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5.xml" ContentType="application/vnd.openxmlformats-officedocument.spreadsheetml.table+xml"/>
  <Override PartName="/xl/drawings/drawing7.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10.xml" ContentType="application/vnd.openxmlformats-officedocument.spreadsheetml.table+xml"/>
  <Override PartName="/xl/drawings/drawing13.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C:\Users\kkeen\OneDrive - The Global Fund\Downloads\hmpt\"/>
    </mc:Choice>
  </mc:AlternateContent>
  <xr:revisionPtr revIDLastSave="0" documentId="13_ncr:1_{C98BBDF7-A3E6-440E-A49B-A94734815EE5}" xr6:coauthVersionLast="41" xr6:coauthVersionMax="45" xr10:uidLastSave="{00000000-0000-0000-0000-000000000000}"/>
  <workbookProtection workbookAlgorithmName="SHA-512" workbookHashValue="tUSBMd9+aI0CCNpy8+QD9q+soKCBzVjVEshvUuO2HtSTFUP/a6ipK3CDLgBfHWvH1EhujhuLzLClsd0u3+cklA==" workbookSaltValue="jpwfsD8juhc+UZkGo17qTg==" workbookSpinCount="100000" lockStructure="1"/>
  <bookViews>
    <workbookView xWindow="-110" yWindow="-110" windowWidth="19420" windowHeight="10420" tabRatio="889" activeTab="1" xr2:uid="{00000000-000D-0000-FFFF-FFFF00000000}"/>
  </bookViews>
  <sheets>
    <sheet name="DOCUMENTS" sheetId="6" r:id="rId1"/>
    <sheet name="SETUP" sheetId="1" r:id="rId2"/>
    <sheet name="Search Product" sheetId="72" r:id="rId3"/>
    <sheet name="HIV-Key Info" sheetId="9" r:id="rId4"/>
    <sheet name="HIV-Pharmaceuticals" sheetId="15" r:id="rId5"/>
    <sheet name="HIV-Equipment" sheetId="21" r:id="rId6"/>
    <sheet name="HIV-Other HPs" sheetId="17" r:id="rId7"/>
    <sheet name="EBS-H" sheetId="62" state="hidden" r:id="rId8"/>
    <sheet name="HIV-Pharma" sheetId="41" state="hidden" r:id="rId9"/>
    <sheet name="HIV-Equip" sheetId="20" state="hidden" r:id="rId10"/>
    <sheet name="HIV-Other HP" sheetId="19" state="hidden" r:id="rId11"/>
    <sheet name="TB-Key Info" sheetId="11" state="hidden" r:id="rId12"/>
    <sheet name="TB-Pharmaceuticals" sheetId="22" state="hidden" r:id="rId13"/>
    <sheet name="TB-EQUIPMENT &amp; OTHER HPs" sheetId="23" state="hidden" r:id="rId14"/>
    <sheet name="TB-Pharma" sheetId="44" state="hidden" r:id="rId15"/>
    <sheet name="Extended Budget Sheet - TB" sheetId="61" state="hidden" r:id="rId16"/>
    <sheet name="TB-Other HPs" sheetId="45" state="hidden" r:id="rId17"/>
    <sheet name="Malaria-Key Info" sheetId="14" state="hidden" r:id="rId18"/>
    <sheet name="Malaria-Pharmaceuticals" sheetId="24" state="hidden" r:id="rId19"/>
    <sheet name="Malaria-Equipment &amp; Other HPs" sheetId="34" state="hidden" r:id="rId20"/>
    <sheet name="Extended Budget Sheet - Malaria" sheetId="55" state="hidden" r:id="rId21"/>
    <sheet name="Malaria-Pharma" sheetId="46" state="hidden" r:id="rId22"/>
    <sheet name="Malaria-Other HPs" sheetId="48" state="hidden" r:id="rId23"/>
    <sheet name="HPM costs" sheetId="35" r:id="rId24"/>
    <sheet name="RSSH- HPM &amp;Lab System" sheetId="64" r:id="rId25"/>
    <sheet name="Detailed Budget" sheetId="58" r:id="rId26"/>
    <sheet name="Cost Input SB" sheetId="71" r:id="rId27"/>
    <sheet name="Mod Int SB" sheetId="68" r:id="rId28"/>
    <sheet name="Mod Int with HIV KP SB" sheetId="70" r:id="rId29"/>
    <sheet name="HIV Aggregation SB" sheetId="78" r:id="rId30"/>
    <sheet name="Population SB" sheetId="76" r:id="rId31"/>
    <sheet name="Blank Pivot" sheetId="80" r:id="rId32"/>
    <sheet name="HPM LIST" sheetId="36" state="hidden" r:id="rId33"/>
    <sheet name="LISTS" sheetId="2" state="hidden" r:id="rId34"/>
    <sheet name="PR_Countries" sheetId="65" state="hidden" r:id="rId35"/>
  </sheets>
  <definedNames>
    <definedName name="___">PR_Countries!$AN$858:$AN$860</definedName>
    <definedName name="__Caribbean_Vulnerable_Communities_Coalition__">PR_Countries!$F$1956:$F$1956</definedName>
    <definedName name="__International_HIV_AIDS_Alliance__">PR_Countries!$F$1957:$F$1957</definedName>
    <definedName name="__Partners_in_Health__">PR_Countries!$F$1958:$F$1958</definedName>
    <definedName name="_xlnm._FilterDatabase" localSheetId="25" hidden="1">'Detailed Budget'!$A$1:$BR$550</definedName>
    <definedName name="_xlnm._FilterDatabase" localSheetId="7" hidden="1">'EBS-H'!$D$214:$D$292</definedName>
    <definedName name="_xlnm._FilterDatabase" localSheetId="20" hidden="1">'Extended Budget Sheet - Malaria'!$A$165:$BT$255</definedName>
    <definedName name="_xlnm._FilterDatabase" localSheetId="15" hidden="1">'Extended Budget Sheet - TB'!$D$1:$D$392</definedName>
    <definedName name="_xlnm._FilterDatabase" localSheetId="5" hidden="1">'HIV-Equipment'!$A$1:$I$1</definedName>
    <definedName name="_xlnm._FilterDatabase" localSheetId="10" hidden="1">'HIV-Other HP'!#REF!</definedName>
    <definedName name="_xlnm._FilterDatabase" localSheetId="6" hidden="1">'HIV-Other HPs'!$A$121:$L$223</definedName>
    <definedName name="_xlnm._FilterDatabase" localSheetId="8" hidden="1">'HIV-Pharma'!$A$1:$C$1</definedName>
    <definedName name="_xlnm._FilterDatabase" localSheetId="4" hidden="1">'HIV-Pharmaceuticals'!$A$105:$AL$192</definedName>
    <definedName name="_xlnm._FilterDatabase" localSheetId="23" hidden="1">'HPM costs'!$A$15:$J$698</definedName>
    <definedName name="_xlnm._FilterDatabase" localSheetId="19" hidden="1">'Malaria-Equipment &amp; Other HPs'!$A$1:$A$230</definedName>
    <definedName name="_xlnm._FilterDatabase" localSheetId="22" hidden="1">'Malaria-Other HPs'!$Q$1:$S$93</definedName>
    <definedName name="_xlnm._FilterDatabase" localSheetId="18" hidden="1">'Malaria-Pharmaceuticals'!$A$66:$AL$75</definedName>
    <definedName name="_xlnm._FilterDatabase" localSheetId="34" hidden="1">PR_Countries!$AJ$1:$AN$860</definedName>
    <definedName name="_xlnm._FilterDatabase" localSheetId="2" hidden="1">'Search Product'!$W$34:$X$601</definedName>
    <definedName name="_xlnm._FilterDatabase" localSheetId="13" hidden="1">'TB-EQUIPMENT &amp; OTHER HPs'!$A$8:$AL$61</definedName>
    <definedName name="_xlnm._FilterDatabase" localSheetId="12" hidden="1">'TB-Pharmaceuticals'!$A$12:$AK$33</definedName>
    <definedName name="_HIV__">PR_Countries!$AN$841:$AN$844</definedName>
    <definedName name="_HIV_Australian_Federation_Of_Aids_Organisations__Inc___">PR_Countries!$F$1934:$F$1934</definedName>
    <definedName name="_HIV_Caribbean_Community_Secretariat__">PR_Countries!$F$1935:$F$1935</definedName>
    <definedName name="_HIV_Humanist_Institute_for_Co_operation_with_Developing_Countries__">PR_Countries!$F$1936:$F$1936</definedName>
    <definedName name="_HIV_International_Charitable_Foundation__Alliance_for_Public_Health___">PR_Countries!$F$1937:$F$1937</definedName>
    <definedName name="_Malaria__">PR_Countries!$AN$845:$AN$848</definedName>
    <definedName name="_Malaria____">PR_Countries!$F$1938:$F$1941</definedName>
    <definedName name="_Malaria_Inter_American_Development_Bank__">PR_Countries!$F$1942:$F$1942</definedName>
    <definedName name="_Malaria_Lubombo_Spatial_Development_Initiative___NPC__">PR_Countries!$F$1943:$F$1943</definedName>
    <definedName name="_Malaria_Non_Profit_Association__Southern_Africa_Malaria_Elimination_Eight_Initiative_Sectretariat___">PR_Countries!$F$1944:$F$1944</definedName>
    <definedName name="_Malaria_United_Nations_Office_for_Project_Services__">PR_Countries!$F$1945:$F$1945</definedName>
    <definedName name="_Multi__">PR_Countries!$AN$849:$AN$850</definedName>
    <definedName name="_Multi____">PR_Countries!$F$1946:$F$1946</definedName>
    <definedName name="_Multi_International_Organization_for_Migration__">PR_Countries!$F$1947:$F$1947</definedName>
    <definedName name="_Multi_Organisation_of_Eastern_Caribbean_States__">PR_Countries!$F$1948:$F$1948</definedName>
    <definedName name="_TB__">PR_Countries!$AN$851:$AN$857</definedName>
    <definedName name="_TB_Center_for_Health_Policies_and_Studies__">PR_Countries!$F$1949:$F$1949</definedName>
    <definedName name="_TB_East__Central_and_Southern_Africa_Health_Community__">PR_Countries!$F$1950:$F$1950</definedName>
    <definedName name="_TB_Intergovernmental_Authority_on_Development__">PR_Countries!$F$1951:$F$1951</definedName>
    <definedName name="_TB_Programme_National_contre_la_Tuberculose_de_la_R_publique_du_B_nin__">PR_Countries!$F$1952:$F$1952</definedName>
    <definedName name="_TB_United_Nations_Development_Programme__">PR_Countries!$F$1953:$F$1953</definedName>
    <definedName name="_TB_United_Nations_Office_for_Project_Services__">PR_Countries!$F$1954:$F$1954</definedName>
    <definedName name="_TB_Wits_Health_Consortium__Pty__Ltd__">PR_Countries!$F$1955:$F$1955</definedName>
    <definedName name="Abacavir">'HIV-Pharma'!$D$2:$D$4</definedName>
    <definedName name="Abacavir_Lamivudine">'HIV-Pharma'!$D$5:$D$8</definedName>
    <definedName name="Abacavir_Lamivudine_Zidovudine">'HIV-Pharma'!$D$9:$D$10</definedName>
    <definedName name="Abbott">LISTS!$L$3:$L$5</definedName>
    <definedName name="AbbottEquip">LISTS!$L$3:$L$5</definedName>
    <definedName name="Aciclovir">'TB-Pharma'!$AB$19</definedName>
    <definedName name="Afghanistan_HIV__">PR_Countries!$F$5:$F$6</definedName>
    <definedName name="Afghanistan_HIV__USD">PR_Countries!$F$4:$F$4</definedName>
    <definedName name="Afghanistan_HIV_Ministry_of_Public_Health_of_the_Islamic_Republic_of_Afghanistan_USD">PR_Countries!$F$2:$F$2</definedName>
    <definedName name="Afghanistan_HIV_United_Nations_Development_Programme_USD">PR_Countries!$F$3:$F$3</definedName>
    <definedName name="Afghanistan_HIV_USD">PR_Countries!$AN$2:$AN$3</definedName>
    <definedName name="Afghanistan_Malaria__">PR_Countries!$F$14:$F$15</definedName>
    <definedName name="Afghanistan_Malaria__EUR">PR_Countries!$F$8:$F$11</definedName>
    <definedName name="Afghanistan_Malaria__USD">PR_Countries!$F$12:$F$13</definedName>
    <definedName name="Afghanistan_Malaria_United_Nations_Development_Programme_USD">PR_Countries!$F$7:$F$7</definedName>
    <definedName name="Afghanistan_Malaria_USD">PR_Countries!$AN$4:$AN$4</definedName>
    <definedName name="Afghanistan_Multi_">PR_Countries!$AN$5:$AN$5</definedName>
    <definedName name="Afghanistan_Multi__">PR_Countries!$F$17:$F$17</definedName>
    <definedName name="Afghanistan_Multi_United_Nations_Development_Programme_">PR_Countries!$F$16:$F$16</definedName>
    <definedName name="Afghanistan_RSSH__USD">PR_Countries!$F$20:$F$20</definedName>
    <definedName name="Afghanistan_RSSH_Ministry_of_Public_Health_of_the_Islamic_Republic_of_Afghanistan_USD">PR_Countries!$F$18:$F$18</definedName>
    <definedName name="Afghanistan_RSSH_United_Nations_Development_Programme_USD">PR_Countries!$F$19:$F$19</definedName>
    <definedName name="Afghanistan_RSSH_USD">PR_Countries!$AN$6:$AN$7</definedName>
    <definedName name="Afghanistan_TB__">PR_Countries!$F$27:$F$28</definedName>
    <definedName name="Afghanistan_TB__EUR">PR_Countries!$F$23:$F$25</definedName>
    <definedName name="Afghanistan_TB__USD">PR_Countries!$F$26:$F$26</definedName>
    <definedName name="Afghanistan_TB_Ministry_of_Public_Health_of_the_Islamic_Republic_of_Afghanistan_USD">PR_Countries!$F$21:$F$21</definedName>
    <definedName name="Afghanistan_TB_United_Nations_Development_Programme_USD">PR_Countries!$F$22:$F$22</definedName>
    <definedName name="Afghanistan_TB_USD">PR_Countries!$AN$8:$AN$9</definedName>
    <definedName name="Africa_HIV_African_Network_for_the_Care_of_Children_Affected_by_HIV_AIDS_USD">PR_Countries!$F$29:$F$29</definedName>
    <definedName name="Africa_HIV_Humanist_Institute_for_Co_operation_with_Developing_Countries_USD">PR_Countries!$F$30:$F$30</definedName>
    <definedName name="Africa_HIV_Southern_African_Development_Community_Secretariat_USD">PR_Countries!$F$31:$F$32</definedName>
    <definedName name="Africa_HIV_United_Nations_Development_Programme_USD">PR_Countries!$F$33:$F$33</definedName>
    <definedName name="Africa_HIV_USD">PR_Countries!$AN$10:$AN$13</definedName>
    <definedName name="Africa_Malaria__USD">PR_Countries!$F$36:$F$37</definedName>
    <definedName name="Africa_Malaria_Lubombo_Spatial_Development_Initiative___NPC_USD">PR_Countries!$F$34:$F$34</definedName>
    <definedName name="Africa_Malaria_Non_Profit_Association__Southern_Africa_Malaria_Elimination_Eight_Initiative_Sectretariat__USD">PR_Countries!$F$35:$F$35</definedName>
    <definedName name="Africa_Malaria_USD">PR_Countries!$AN$14:$AN$15</definedName>
    <definedName name="Africa_Multi_Intergovernmental_Authority_on_Development_USD">PR_Countries!$F$38:$F$38</definedName>
    <definedName name="Africa_Multi_USD">PR_Countries!$AN$16:$AN$16</definedName>
    <definedName name="Africa_TB_East__Central_and_Southern_Africa_Health_Community_USD">PR_Countries!$F$39:$F$39</definedName>
    <definedName name="Africa_TB_EUR">PR_Countries!$AN$17:$AN$17</definedName>
    <definedName name="Africa_TB_Programme_National_contre_la_Tuberculose_de_la_R_publique_du_B_nin_EUR">PR_Countries!$F$40:$F$40</definedName>
    <definedName name="Africa_TB_USD">PR_Countries!$AN$18:$AN$19</definedName>
    <definedName name="Africa_TB_Wits_Health_Consortium__Pty__Ltd_USD">PR_Countries!$F$41:$F$41</definedName>
    <definedName name="Albania_HIV__USD">PR_Countries!$F$42:$F$42</definedName>
    <definedName name="Albania_Multi_">PR_Countries!$AN$21:$AN$21</definedName>
    <definedName name="Albania_Multi_Ministry_of_Health_of_the_Republic_of_Albania_">PR_Countries!$F$44:$F$45</definedName>
    <definedName name="Albania_Multi_Ministry_of_Health_of_the_Republic_of_Albania_USD">PR_Countries!$F$43:$F$43</definedName>
    <definedName name="Albania_Multi_USD">PR_Countries!$AN$20:$AN$20</definedName>
    <definedName name="Albania_TB__USD">PR_Countries!$F$46:$F$46</definedName>
    <definedName name="Alere_PIMA">'HIV-Other HP'!$AB$26</definedName>
    <definedName name="Alere_PIMA_Consumables">'HIV-Other HP'!$AB$13</definedName>
    <definedName name="Alere_PIMA_Other_reagents">'HIV-Other HP'!$AB$33</definedName>
    <definedName name="Algeria_HIV_">PR_Countries!$AN$23:$AN$23</definedName>
    <definedName name="Algeria_HIV__USD">PR_Countries!$F$49:$F$49</definedName>
    <definedName name="Algeria_HIV_Ministry_of_Health__Population_and_Hospital_Reform_of_the_People_s_Democratic_Republic_of_Algeria_">PR_Countries!$F$48:$F$48</definedName>
    <definedName name="Algeria_HIV_Ministry_of_Health__Population_and_Hospital_Reform_of_the_People_s_Democratic_Republic_of_Algeria_USD">PR_Countries!$F$47:$F$47</definedName>
    <definedName name="Algeria_HIV_USD">PR_Countries!$AN$22:$AN$22</definedName>
    <definedName name="Americas_HIV__USD">PR_Countries!$F$58:$F$61</definedName>
    <definedName name="Americas_HIV_Caribbean_Community_Secretariat_USD">PR_Countries!$F$50:$F$51</definedName>
    <definedName name="Americas_HIV_Caribbean_Vulnerable_Communities_Coalition_USD">PR_Countries!$F$52:$F$52</definedName>
    <definedName name="Americas_HIV_Humanist_Institute_for_Co_operation_with_Developing_Countries_USD">PR_Countries!$F$53:$F$54</definedName>
    <definedName name="Americas_HIV_International_Organization_for_Migration_USD">PR_Countries!$F$55:$F$56</definedName>
    <definedName name="Americas_HIV_United_Nations_Development_Programme_USD">PR_Countries!$F$57:$F$57</definedName>
    <definedName name="Americas_HIV_USD">PR_Countries!$AN$24:$AN$28</definedName>
    <definedName name="Americas_Malaria_Inter_American_Bank_USD">PR_Countries!$F$62:$F$62</definedName>
    <definedName name="Americas_Malaria_Population_Services_International_USD">PR_Countries!$F$63:$F$63</definedName>
    <definedName name="Americas_Malaria_USD">PR_Countries!$AN$29:$AN$30</definedName>
    <definedName name="Americas_TB_Organismo_Andino_de_Salud___Convenio_Hip_lito_Unanue_USD">PR_Countries!$F$64:$F$64</definedName>
    <definedName name="Americas_TB_Partners_In_Health_USD">PR_Countries!$F$65:$F$65</definedName>
    <definedName name="Americas_TB_USD">PR_Countries!$AN$31:$AN$32</definedName>
    <definedName name="Amikacin">'TB-Pharma'!$L$16:$L$17</definedName>
    <definedName name="Amitriptyline_as_hydrochloride">'TB-Pharma'!$AB$20</definedName>
    <definedName name="Amodiaquine_Sulfadoxine_Pyrimethamine">'Malaria-Pharma'!$C$2:$C$6</definedName>
    <definedName name="Amoxicillin">'TB-Pharma'!$AB$21:$AB$23</definedName>
    <definedName name="Amoxicillin_Clavulanic_acid">'TB-Pharma'!$L$18:$L$22</definedName>
    <definedName name="Amphotericin_b_liposome">'TB-Pharma'!$AB$2</definedName>
    <definedName name="Ampicillin">'TB-Pharma'!$AB$24</definedName>
    <definedName name="Angola_HIV__">PR_Countries!$F$68:$F$68</definedName>
    <definedName name="Angola_HIV_United_Nations_Development_Programme_USD">PR_Countries!$F$66:$F$67</definedName>
    <definedName name="Angola_HIV_USD">PR_Countries!$AN$33:$AN$33</definedName>
    <definedName name="Angola_Malaria_">PR_Countries!$AN$36:$AN$36</definedName>
    <definedName name="Angola_Malaria__USD">PR_Countries!$F$72:$F$73</definedName>
    <definedName name="Angola_Malaria_Ministry_of_Health_of_the_Republic_of_Angola_USD">PR_Countries!$F$69:$F$69</definedName>
    <definedName name="Angola_Malaria_USD">PR_Countries!$AN$34:$AN$35</definedName>
    <definedName name="Angola_Malaria_World_Vision_International_">PR_Countries!$F$71:$F$71</definedName>
    <definedName name="Angola_Malaria_World_Vision_International_USD">PR_Countries!$F$70:$F$70</definedName>
    <definedName name="Angola_Multi_">PR_Countries!$AN$37:$AN$37</definedName>
    <definedName name="Angola_Multi__">PR_Countries!$F$75:$F$75</definedName>
    <definedName name="Angola_Multi_United_Nations_Development_Programme_">PR_Countries!$F$74:$F$74</definedName>
    <definedName name="Angola_RSSH_">PR_Countries!$AN$38:$AN$38</definedName>
    <definedName name="Angola_RSSH__">PR_Countries!$F$77:$F$77</definedName>
    <definedName name="Angola_RSSH_United_Nations_Development_Programme_">PR_Countries!$F$76:$F$76</definedName>
    <definedName name="Angola_TB__USD">PR_Countries!$F$80:$F$80</definedName>
    <definedName name="Angola_TB_Ministry_of_Health_of_the_Republic_of_Angola_USD">PR_Countries!$F$78:$F$79</definedName>
    <definedName name="Angola_TB_USD">PR_Countries!$AN$39:$AN$39</definedName>
    <definedName name="Antimalaria_medicines_prevention">'Malaria-Pharma'!$S$2</definedName>
    <definedName name="Antimalaria_medicines_treatment">'Malaria-Pharma'!$P$2:$P$16</definedName>
    <definedName name="Argentina_HIV__USD">PR_Countries!$F$81:$F$83</definedName>
    <definedName name="Armenia_HIV_">PR_Countries!$AN$43:$AN$43</definedName>
    <definedName name="Armenia_HIV__EUR">PR_Countries!$F$88:$F$88</definedName>
    <definedName name="Armenia_HIV__USD">PR_Countries!$F$89:$F$89</definedName>
    <definedName name="Armenia_HIV_EUR">PR_Countries!$AN$40:$AN$40</definedName>
    <definedName name="Armenia_HIV_Ministry_of_Health_of_the_Republic_of_Armenia_">PR_Countries!$F$86:$F$86</definedName>
    <definedName name="Armenia_HIV_Ministry_of_Health_of_the_Republic_of_Armenia_EUR">PR_Countries!$F$84:$F$84</definedName>
    <definedName name="Armenia_HIV_Ministry_of_Health_of_the_Republic_of_Armenia_USD">PR_Countries!$F$85:$F$85</definedName>
    <definedName name="Armenia_HIV_Mission_East_USD">PR_Countries!$F$87:$F$87</definedName>
    <definedName name="Armenia_HIV_USD">PR_Countries!$AN$41:$AN$42</definedName>
    <definedName name="Armenia_Multi_">PR_Countries!$AN$45:$AN$45</definedName>
    <definedName name="Armenia_Multi_Ministry_of_Health_of_the_Republic_of_Armenia_">PR_Countries!$F$91:$F$91</definedName>
    <definedName name="Armenia_Multi_Ministry_of_Health_of_the_Republic_of_Armenia_USD">PR_Countries!$F$90:$F$90</definedName>
    <definedName name="Armenia_Multi_USD">PR_Countries!$AN$44:$AN$44</definedName>
    <definedName name="Armenia_RSSH__EUR">PR_Countries!$F$92:$F$92</definedName>
    <definedName name="Armenia_TB_">PR_Countries!$AN$47:$AN$47</definedName>
    <definedName name="Armenia_TB__">PR_Countries!$F$97:$F$97</definedName>
    <definedName name="Armenia_TB__EUR">PR_Countries!$F$95:$F$95</definedName>
    <definedName name="Armenia_TB__USD">PR_Countries!$F$96:$F$96</definedName>
    <definedName name="Armenia_TB_Ministry_of_Health_of_the_Republic_of_Armenia_">PR_Countries!$F$94:$F$94</definedName>
    <definedName name="Armenia_TB_Ministry_of_Health_of_the_Republic_of_Armenia_USD">PR_Countries!$F$93:$F$93</definedName>
    <definedName name="Armenia_TB_USD">PR_Countries!$AN$46:$AN$46</definedName>
    <definedName name="Artemether">'Malaria-Pharma'!$C$7</definedName>
    <definedName name="Artemether_Lumefantrine">'Malaria-Pharma'!$C$8:$C$17</definedName>
    <definedName name="Artesunate">'Malaria-Pharma'!$C$18:$C$21</definedName>
    <definedName name="Artesunate_amodiaquine">'Malaria-Pharma'!$C$22:$C$25</definedName>
    <definedName name="Artesunate_Mefloquine">'Malaria-Pharma'!$C$26:$C$29</definedName>
    <definedName name="Artesunate_Pyronaridine">'Malaria-Pharma'!$C$30:$C$31</definedName>
    <definedName name="Artesunate_Sulfadoxine_Pyrimethamine">'Malaria-Pharma'!$C$32:$C$33</definedName>
    <definedName name="ARVs">'HIV-Pharma'!$B$2:$B$32</definedName>
    <definedName name="Asia_HIV_India_HIV_AIDS_Alliance_USD">PR_Countries!$F$98:$F$98</definedName>
    <definedName name="Asia_HIV_USD">PR_Countries!$AN$48:$AN$48</definedName>
    <definedName name="At_delivery">SETUP!$S$9:$S$12</definedName>
    <definedName name="Atazanavir">'HIV-Pharma'!$D$11:$D$15</definedName>
    <definedName name="Atazanavir_Ritonavir">'HIV-Pharma'!$D$16</definedName>
    <definedName name="Atazanavir_Ritonavir_Lamivudine_Zidovudine">'HIV-Pharma'!$D$17</definedName>
    <definedName name="Autoclave_for_laboratory">'Malaria-Other HPs'!$R$47:$R$49</definedName>
    <definedName name="Autoclave_for_laboratory_Spare_parts_and_accessories">'Malaria-Other HPs'!$R$50:$R$52</definedName>
    <definedName name="Autoclave_for_waste_management">'Malaria-Other HPs'!$R$53:$R$55</definedName>
    <definedName name="Autoclave_for_waste_management_Spare_parts_and_accessories">'Malaria-Other HPs'!$R$56:$R$58</definedName>
    <definedName name="Automated_blood_culture_system_system_for_incubating_and_processing_blood_cultures">'Malaria-Other HPs'!$R$2:$R$4</definedName>
    <definedName name="Azerbaijan_HIV_">PR_Countries!$AN$51:$AN$51</definedName>
    <definedName name="Azerbaijan_HIV__">PR_Countries!$F$103:$F$103</definedName>
    <definedName name="Azerbaijan_HIV__USD">PR_Countries!$F$102:$F$102</definedName>
    <definedName name="Azerbaijan_HIV_EUR">PR_Countries!$AN$49:$AN$49</definedName>
    <definedName name="Azerbaijan_HIV_Ministry_of_Health_of_the_Republic_of_Azerbaijan_">PR_Countries!$F$101:$F$101</definedName>
    <definedName name="Azerbaijan_HIV_Ministry_of_Health_of_the_Republic_of_Azerbaijan_EUR">PR_Countries!$F$99:$F$99</definedName>
    <definedName name="Azerbaijan_HIV_Ministry_of_Health_of_the_Republic_of_Azerbaijan_USD">PR_Countries!$F$100:$F$100</definedName>
    <definedName name="Azerbaijan_HIV_USD">PR_Countries!$AN$50:$AN$50</definedName>
    <definedName name="Azerbaijan_Malaria__EUR">PR_Countries!$F$104:$F$104</definedName>
    <definedName name="Azerbaijan_Multi__">PR_Countries!$F$105:$F$105</definedName>
    <definedName name="Azerbaijan_TB_">PR_Countries!$AN$55:$AN$55</definedName>
    <definedName name="Azerbaijan_TB__">PR_Countries!$F$111:$F$111</definedName>
    <definedName name="Azerbaijan_TB__EUR">PR_Countries!$F$110:$F$110</definedName>
    <definedName name="Azerbaijan_TB_EUR">PR_Countries!$AN$52:$AN$53</definedName>
    <definedName name="Azerbaijan_TB_Main_Medical_Department_of_the_Ministry_of_Justice_of_the_Republic_of_Azerbaijan_EUR">PR_Countries!$F$106:$F$106</definedName>
    <definedName name="Azerbaijan_TB_Ministry_of_Health_of_the_Republic_of_Azerbaijan_">PR_Countries!$F$109:$F$109</definedName>
    <definedName name="Azerbaijan_TB_Ministry_of_Health_of_the_Republic_of_Azerbaijan_EUR">PR_Countries!$F$107:$F$107</definedName>
    <definedName name="Azerbaijan_TB_Ministry_of_Health_of_the_Republic_of_Azerbaijan_USD">PR_Countries!$F$108:$F$108</definedName>
    <definedName name="Azerbaijan_TB_USD">PR_Countries!$AN$54:$AN$54</definedName>
    <definedName name="Azithromycin">'TB-Pharma'!$AB$25:$AB$27</definedName>
    <definedName name="Bangladesh_HIV_">PR_Countries!$AN$59:$AN$59</definedName>
    <definedName name="Bangladesh_HIV__">PR_Countries!$F$121:$F$121</definedName>
    <definedName name="Bangladesh_HIV__USD">PR_Countries!$F$118:$F$120</definedName>
    <definedName name="Bangladesh_HIV_Economic_Relations_Division__Ministry_of_Finance_of_the_People_s_Republic_of_Bangladesh_">PR_Countries!$F$113:$F$113</definedName>
    <definedName name="Bangladesh_HIV_Economic_Relations_Division__Ministry_of_Finance_of_the_People_s_Republic_of_Bangladesh_USD">PR_Countries!$F$112:$F$112</definedName>
    <definedName name="Bangladesh_HIV_International_Centre_for_Diarrhoeal_Disease_Research_of_the_People_s_Republic_of_Bangladesh_USD">PR_Countries!$F$114:$F$115</definedName>
    <definedName name="Bangladesh_HIV_Save_the_Children_Federation__Inc__USD">PR_Countries!$F$116:$F$117</definedName>
    <definedName name="Bangladesh_HIV_USD">PR_Countries!$AN$56:$AN$58</definedName>
    <definedName name="Bangladesh_Malaria_">PR_Countries!$AN$62:$AN$62</definedName>
    <definedName name="Bangladesh_Malaria__">PR_Countries!$F$127:$F$127</definedName>
    <definedName name="Bangladesh_Malaria__USD">PR_Countries!$F$125:$F$126</definedName>
    <definedName name="Bangladesh_Malaria_BRAC_USD">PR_Countries!$F$122:$F$122</definedName>
    <definedName name="Bangladesh_Malaria_Economic_Relations_Division__Ministry_of_Finance_of_the_People_s_Republic_of_Bangladesh_">PR_Countries!$F$124:$F$124</definedName>
    <definedName name="Bangladesh_Malaria_Economic_Relations_Division__Ministry_of_Finance_of_the_People_s_Republic_of_Bangladesh_USD">PR_Countries!$F$123:$F$123</definedName>
    <definedName name="Bangladesh_Malaria_USD">PR_Countries!$AN$60:$AN$61</definedName>
    <definedName name="Bangladesh_TB_">PR_Countries!$AN$65:$AN$65</definedName>
    <definedName name="Bangladesh_TB__">PR_Countries!$F$137:$F$137</definedName>
    <definedName name="Bangladesh_TB__USD">PR_Countries!$F$131:$F$136</definedName>
    <definedName name="Bangladesh_TB_BRAC_USD">PR_Countries!$F$128:$F$128</definedName>
    <definedName name="Bangladesh_TB_Economic_Relations_Division__Ministry_of_Finance_of_the_People_s_Republic_of_Bangladesh_">PR_Countries!$F$130:$F$130</definedName>
    <definedName name="Bangladesh_TB_Economic_Relations_Division__Ministry_of_Finance_of_the_People_s_Republic_of_Bangladesh_USD">PR_Countries!$F$129:$F$129</definedName>
    <definedName name="Bangladesh_TB_USD">PR_Countries!$AN$63:$AN$64</definedName>
    <definedName name="BD_FACS">'HIV-Other HP'!$AB$31</definedName>
    <definedName name="BD_FACS_Consumables">'HIV-Other HP'!$AB$12</definedName>
    <definedName name="BD_FACS_Other_reagents">'HIV-Other HP'!$AB$32</definedName>
    <definedName name="BD_FACSCount">'HIV-Other HP'!$AB$27:$AB$28</definedName>
    <definedName name="BD_Multicheck">'HIV-Other HP'!$AB$30</definedName>
    <definedName name="BD_Multitest">'HIV-Other HP'!$AB$29</definedName>
    <definedName name="Bedaquiline">'TB-Pharma'!$L$23:$L$24</definedName>
    <definedName name="Belarus_HIV_">PR_Countries!$AN$68:$AN$68</definedName>
    <definedName name="Belarus_HIV__">PR_Countries!$F$143:$F$144</definedName>
    <definedName name="Belarus_HIV__EUR">PR_Countries!$F$141:$F$141</definedName>
    <definedName name="Belarus_HIV__USD">PR_Countries!$F$142:$F$142</definedName>
    <definedName name="Belarus_HIV_Republican_Scientific_and_Practical_Center_for_Medical_Technologies__Informatization__Administration_and_Management_of_Health_">PR_Countries!$F$139:$F$139</definedName>
    <definedName name="Belarus_HIV_Republican_Scientific_and_Practical_Center_for_Medical_Technologies__Informatization__Administration_and_Management_of_Health_USD">PR_Countries!$F$138:$F$138</definedName>
    <definedName name="Belarus_HIV_United_Nations_Development_Programme_USD">PR_Countries!$F$140:$F$140</definedName>
    <definedName name="Belarus_HIV_USD">PR_Countries!$AN$66:$AN$67</definedName>
    <definedName name="Belarus_Multi_">PR_Countries!$AN$70:$AN$70</definedName>
    <definedName name="Belarus_Multi__">PR_Countries!$F$147:$F$147</definedName>
    <definedName name="Belarus_Multi_Republican_Scientific_and_Practical_Center_for_Medical_Technologies__Informatization__Administration_and_Management_of_Health_">PR_Countries!$F$146:$F$146</definedName>
    <definedName name="Belarus_Multi_Republican_Scientific_and_Practical_Center_for_Medical_Technologies__Informatization__Administration_and_Management_of_Health_USD">PR_Countries!$F$145:$F$145</definedName>
    <definedName name="Belarus_Multi_USD">PR_Countries!$AN$69:$AN$69</definedName>
    <definedName name="Belarus_TB_">PR_Countries!$AN$73:$AN$73</definedName>
    <definedName name="Belarus_TB__">PR_Countries!$F$152:$F$153</definedName>
    <definedName name="Belarus_TB__USD">PR_Countries!$F$151:$F$151</definedName>
    <definedName name="Belarus_TB_Republican_Scientific_and_Practical_Center_for_Medical_Technologies__Informatization__Administration_and_Management_of_Health_">PR_Countries!$F$149:$F$149</definedName>
    <definedName name="Belarus_TB_Republican_Scientific_and_Practical_Center_for_Medical_Technologies__Informatization__Administration_and_Management_of_Health_USD">PR_Countries!$F$148:$F$148</definedName>
    <definedName name="Belarus_TB_United_Nations_Development_Programme_USD">PR_Countries!$F$150:$F$150</definedName>
    <definedName name="Belarus_TB_USD">PR_Countries!$AN$71:$AN$72</definedName>
    <definedName name="Belize_HIV__USD">PR_Countries!$F$155:$F$155</definedName>
    <definedName name="Belize_HIV_United_Nations_Development_Programme_USD">PR_Countries!$F$154:$F$154</definedName>
    <definedName name="Belize_HIV_USD">PR_Countries!$AN$74:$AN$74</definedName>
    <definedName name="Belize_Multi_">PR_Countries!$AN$76:$AN$76</definedName>
    <definedName name="Belize_Multi_United_Nations_Development_Programme_">PR_Countries!$F$157:$F$157</definedName>
    <definedName name="Belize_Multi_United_Nations_Development_Programme_USD">PR_Countries!$F$156:$F$156</definedName>
    <definedName name="Belize_Multi_USD">PR_Countries!$AN$75:$AN$75</definedName>
    <definedName name="Benin_HIV_">PR_Countries!$AN$79:$AN$79</definedName>
    <definedName name="Benin_HIV__EUR">PR_Countries!$F$161:$F$162</definedName>
    <definedName name="Benin_HIV__USD">PR_Countries!$F$163:$F$163</definedName>
    <definedName name="Benin_HIV_EUR">PR_Countries!$AN$77:$AN$78</definedName>
    <definedName name="Benin_HIV_Plan_International__Inc__EUR">PR_Countries!$F$158:$F$158</definedName>
    <definedName name="Benin_HIV_Programme_National_de_Lutte_contre_le_SIDA_de_la_R_publique_du_B_nin_">PR_Countries!$F$160:$F$160</definedName>
    <definedName name="Benin_HIV_Programme_National_de_Lutte_contre_le_SIDA_de_la_R_publique_du_B_nin_EUR">PR_Countries!$F$159:$F$159</definedName>
    <definedName name="Benin_Malaria_">PR_Countries!$AN$83:$AN$83</definedName>
    <definedName name="Benin_Malaria__">PR_Countries!$F$169:$F$169</definedName>
    <definedName name="Benin_Malaria__USD">PR_Countries!$F$168:$F$168</definedName>
    <definedName name="Benin_Malaria_Africare_USD">PR_Countries!$F$164:$F$164</definedName>
    <definedName name="Benin_Malaria_Catholic_Relief_Services___United_States_Conference_of_Catholic_Bishops_EUR">PR_Countries!$F$165:$F$165</definedName>
    <definedName name="Benin_Malaria_EUR">PR_Countries!$AN$80:$AN$81</definedName>
    <definedName name="Benin_Malaria_Programme_National_de_Lutte_contre_le_Paludisme_de_la_R_publique_du_B_nin_">PR_Countries!$F$167:$F$167</definedName>
    <definedName name="Benin_Malaria_Programme_National_de_Lutte_contre_le_Paludisme_de_la_R_publique_du_B_nin_EUR">PR_Countries!$F$166:$F$166</definedName>
    <definedName name="Benin_Malaria_USD">PR_Countries!$AN$82:$AN$82</definedName>
    <definedName name="Benin_RSSH_">PR_Countries!$AN$86:$AN$86</definedName>
    <definedName name="Benin_RSSH__">PR_Countries!$F$174:$F$174</definedName>
    <definedName name="Benin_RSSH_Conseil_National_de_Lutte_contre_le_VIH_SIDA__la_Tuberculose__le_Paludisme__les_H_patites__les_Infections_sexuellement_transmissibles_et_les_Epid_mies_">PR_Countries!$F$172:$F$172</definedName>
    <definedName name="Benin_RSSH_Conseil_National_de_Lutte_contre_le_VIH_SIDA__la_Tuberculose__le_Paludisme__les_H_patites__les_Infections_sexuellement_transmissibles_et_les_Epid_mies_EUR">PR_Countries!$F$170:$F$171</definedName>
    <definedName name="Benin_RSSH_EUR">PR_Countries!$AN$84:$AN$85</definedName>
    <definedName name="Benin_RSSH_Health_System_Performance_Program_EUR">PR_Countries!$F$173:$F$173</definedName>
    <definedName name="Benin_TB_">PR_Countries!$AN$88:$AN$88</definedName>
    <definedName name="Benin_TB__EUR">PR_Countries!$F$177:$F$177</definedName>
    <definedName name="Benin_TB__USD">PR_Countries!$F$178:$F$178</definedName>
    <definedName name="Benin_TB_EUR">PR_Countries!$AN$87:$AN$87</definedName>
    <definedName name="Benin_TB_Programme_National_contre_la_Tuberculose_de_la_R_publique_du_B_nin_">PR_Countries!$F$176:$F$176</definedName>
    <definedName name="Benin_TB_Programme_National_contre_la_Tuberculose_de_la_R_publique_du_B_nin_EUR">PR_Countries!$F$175:$F$175</definedName>
    <definedName name="Benzathine_penicillin">'TB-Pharma'!$AB$28</definedName>
    <definedName name="Bhutan_HIV_">PR_Countries!$AN$90:$AN$90</definedName>
    <definedName name="Bhutan_HIV__USD">PR_Countries!$F$181:$F$181</definedName>
    <definedName name="Bhutan_HIV_Ministry_of_Health_of_the_Royal_Government_of_Bhutan_">PR_Countries!$F$180:$F$180</definedName>
    <definedName name="Bhutan_HIV_Ministry_of_Health_of_the_Royal_Government_of_Bhutan_USD">PR_Countries!$F$179:$F$179</definedName>
    <definedName name="Bhutan_HIV_USD">PR_Countries!$AN$89:$AN$89</definedName>
    <definedName name="Bhutan_Malaria_">PR_Countries!$AN$92:$AN$92</definedName>
    <definedName name="Bhutan_Malaria__USD">PR_Countries!$F$184:$F$185</definedName>
    <definedName name="Bhutan_Malaria_Ministry_of_Health_of_the_Royal_Government_of_Bhutan_">PR_Countries!$F$183:$F$183</definedName>
    <definedName name="Bhutan_Malaria_Ministry_of_Health_of_the_Royal_Government_of_Bhutan_USD">PR_Countries!$F$182:$F$182</definedName>
    <definedName name="Bhutan_Malaria_USD">PR_Countries!$AN$91:$AN$91</definedName>
    <definedName name="Bhutan_Multi__">PR_Countries!$F$186:$F$186</definedName>
    <definedName name="Bhutan_TB_">PR_Countries!$AN$94:$AN$94</definedName>
    <definedName name="Bhutan_TB__USD">PR_Countries!$F$189:$F$190</definedName>
    <definedName name="Bhutan_TB_Ministry_of_Health_of_the_Royal_Government_of_Bhutan_">PR_Countries!$F$188:$F$188</definedName>
    <definedName name="Bhutan_TB_Ministry_of_Health_of_the_Royal_Government_of_Bhutan_USD">PR_Countries!$F$187:$F$187</definedName>
    <definedName name="Bhutan_TB_USD">PR_Countries!$AN$93:$AN$93</definedName>
    <definedName name="Biological_Safety_Cabinet">'Malaria-Other HPs'!$R$5:$R$7</definedName>
    <definedName name="bioMerieux">LISTS!$L$6:$L$8</definedName>
    <definedName name="Bleomycin">'TB-Pharma'!$AB$29</definedName>
    <definedName name="Bolivia__Plurinational_State__HIV_">PR_Countries!$AN$96:$AN$96</definedName>
    <definedName name="Bolivia__Plurinational_State__HIV__USD">PR_Countries!$F$194:$F$196</definedName>
    <definedName name="Bolivia__Plurinational_State__HIV_Humanist_Institute_for_Co_operation_with_Developing_Countries_">PR_Countries!$F$193:$F$193</definedName>
    <definedName name="Bolivia__Plurinational_State__HIV_Humanist_Institute_for_Co_operation_with_Developing_Countries_USD">PR_Countries!$F$191:$F$192</definedName>
    <definedName name="Bolivia__Plurinational_State__HIV_USD">PR_Countries!$AN$95:$AN$95</definedName>
    <definedName name="Bolivia__Plurinational_State__Malaria_">PR_Countries!$AN$98:$AN$98</definedName>
    <definedName name="Bolivia__Plurinational_State__Malaria__USD">PR_Countries!$F$200:$F$201</definedName>
    <definedName name="Bolivia__Plurinational_State__Malaria_United_Nations_Development_Programme_">PR_Countries!$F$199:$F$199</definedName>
    <definedName name="Bolivia__Plurinational_State__Malaria_United_Nations_Development_Programme_USD">PR_Countries!$F$197:$F$198</definedName>
    <definedName name="Bolivia__Plurinational_State__Malaria_USD">PR_Countries!$AN$97:$AN$97</definedName>
    <definedName name="Bolivia__Plurinational_State__TB_">PR_Countries!$AN$101:$AN$101</definedName>
    <definedName name="Bolivia__Plurinational_State__TB__USD">PR_Countries!$F$205:$F$208</definedName>
    <definedName name="Bolivia__Plurinational_State__TB_Asociaci_n_Protecci_n_a_la_Salud_USD">PR_Countries!$F$202:$F$202</definedName>
    <definedName name="Bolivia__Plurinational_State__TB_United_Nations_Development_Programme_">PR_Countries!$F$204:$F$204</definedName>
    <definedName name="Bolivia__Plurinational_State__TB_United_Nations_Development_Programme_USD">PR_Countries!$F$203:$F$203</definedName>
    <definedName name="Bolivia__Plurinational_State__TB_USD">PR_Countries!$AN$99:$AN$100</definedName>
    <definedName name="Bosnia_and_Herzegovina_HIV__USD">PR_Countries!$F$210:$F$210</definedName>
    <definedName name="Bosnia_and_Herzegovina_HIV_EUR">PR_Countries!$AN$102:$AN$102</definedName>
    <definedName name="Bosnia_and_Herzegovina_HIV_United_Nations_Development_Programme_EUR">PR_Countries!$F$209:$F$209</definedName>
    <definedName name="Bosnia_and_Herzegovina_TB__USD">PR_Countries!$F$212:$F$212</definedName>
    <definedName name="Bosnia_and_Herzegovina_TB_United_Nations_Development_Programme_USD">PR_Countries!$F$211:$F$211</definedName>
    <definedName name="Bosnia_and_Herzegovina_TB_USD">PR_Countries!$AN$103:$AN$103</definedName>
    <definedName name="Botswana_HIV__USD">PR_Countries!$F$213:$F$213</definedName>
    <definedName name="Botswana_Malaria_">PR_Countries!$AN$105:$AN$105</definedName>
    <definedName name="Botswana_Malaria_Ministry_of_Health_of_the_Republic_of_Botswana_">PR_Countries!$F$215:$F$215</definedName>
    <definedName name="Botswana_Malaria_Ministry_of_Health_of_the_Republic_of_Botswana_USD">PR_Countries!$F$214:$F$214</definedName>
    <definedName name="Botswana_Malaria_USD">PR_Countries!$AN$104:$AN$104</definedName>
    <definedName name="Botswana_Multi_">PR_Countries!$AN$108:$AN$108</definedName>
    <definedName name="Botswana_Multi_African_Comprehensive_HIV_AIDS_Partnerships_">PR_Countries!$F$217:$F$217</definedName>
    <definedName name="Botswana_Multi_African_Comprehensive_HIV_AIDS_Partnerships_USD">PR_Countries!$F$216:$F$216</definedName>
    <definedName name="Botswana_Multi_Ministry_of_Health_of_the_Republic_of_Botswana_USD">PR_Countries!$F$218:$F$218</definedName>
    <definedName name="Botswana_Multi_USD">PR_Countries!$AN$106:$AN$107</definedName>
    <definedName name="Botswana_TB__USD">PR_Countries!$F$219:$F$219</definedName>
    <definedName name="Brazil_Malaria__EUR">PR_Countries!$F$220:$F$221</definedName>
    <definedName name="Brazil_TB__USD">PR_Countries!$F$222:$F$223</definedName>
    <definedName name="Bulgaria_HIV_Ministry_of_Health_of_the_Republic_of_Bulgaria_USD">PR_Countries!$F$224:$F$224</definedName>
    <definedName name="Bulgaria_HIV_USD">PR_Countries!$AN$109:$AN$109</definedName>
    <definedName name="Bulgaria_TB__EUR">PR_Countries!$F$227:$F$227</definedName>
    <definedName name="Bulgaria_TB_EUR">PR_Countries!$AN$110:$AN$110</definedName>
    <definedName name="Bulgaria_TB_Ministry_of_Health_of_the_Republic_of_Bulgaria_EUR">PR_Countries!$F$225:$F$226</definedName>
    <definedName name="Buprenorphine_opioid_substitute">'HIV-Pharma'!$D$101:$D$102</definedName>
    <definedName name="Burkina_Faso_HIV_">PR_Countries!$AN$113:$AN$113</definedName>
    <definedName name="Burkina_Faso_HIV__EUR">PR_Countries!$F$231:$F$231</definedName>
    <definedName name="Burkina_Faso_HIV__USD">PR_Countries!$F$232:$F$233</definedName>
    <definedName name="Burkina_Faso_HIV_EUR">PR_Countries!$AN$111:$AN$112</definedName>
    <definedName name="Burkina_Faso_HIV_Initiative_Priv_e_et_Communautaire_contre_le_VIH_SIDA_au_Burkina_Faso_EUR">PR_Countries!$F$228:$F$228</definedName>
    <definedName name="Burkina_Faso_HIV_Secr_tariat_Permanent_du_Conseil_National_de_Lutte_contre_le_Sida_et_les_IST_du_Burkina_Faso_">PR_Countries!$F$230:$F$230</definedName>
    <definedName name="Burkina_Faso_HIV_Secr_tariat_Permanent_du_Conseil_National_de_Lutte_contre_le_Sida_et_les_IST_du_Burkina_Faso_EUR">PR_Countries!$F$229:$F$229</definedName>
    <definedName name="Burkina_Faso_Malaria_">PR_Countries!$AN$116:$AN$116</definedName>
    <definedName name="Burkina_Faso_Malaria__">PR_Countries!$F$241:$F$241</definedName>
    <definedName name="Burkina_Faso_Malaria__EUR">PR_Countries!$F$237:$F$239</definedName>
    <definedName name="Burkina_Faso_Malaria__USD">PR_Countries!$F$240:$F$240</definedName>
    <definedName name="Burkina_Faso_Malaria_EUR">PR_Countries!$AN$114:$AN$115</definedName>
    <definedName name="Burkina_Faso_Malaria_Plan_International__Inc__EUR">PR_Countries!$F$234:$F$234</definedName>
    <definedName name="Burkina_Faso_Malaria_Programme_d_Appui_au_D_veloppment_Sanitaire_du_Burkina_Faso_">PR_Countries!$F$236:$F$236</definedName>
    <definedName name="Burkina_Faso_Malaria_Programme_d_Appui_au_D_veloppment_Sanitaire_du_Burkina_Faso_EUR">PR_Countries!$F$235:$F$235</definedName>
    <definedName name="Burkina_Faso_Multi_EUR">PR_Countries!$AN$117:$AN$117</definedName>
    <definedName name="Burkina_Faso_Multi_Initiative_Priv_e_et_Communautaire_contre_le_VIH_SIDA_au_Burkina_Faso_EUR">PR_Countries!$F$242:$F$242</definedName>
    <definedName name="Burkina_Faso_RSSH_EUR">PR_Countries!$AN$118:$AN$118</definedName>
    <definedName name="Burkina_Faso_RSSH_Programme_d_Appui_au_D_veloppment_Sanitaire_du_Burkina_Faso_EUR">PR_Countries!$F$243:$F$243</definedName>
    <definedName name="Burkina_Faso_TB_">PR_Countries!$AN$121:$AN$121</definedName>
    <definedName name="Burkina_Faso_TB__EUR">PR_Countries!$F$247:$F$247</definedName>
    <definedName name="Burkina_Faso_TB__USD">PR_Countries!$F$248:$F$249</definedName>
    <definedName name="Burkina_Faso_TB_EUR">PR_Countries!$AN$119:$AN$120</definedName>
    <definedName name="Burkina_Faso_TB_Programme_d_Appui_au_D_veloppment_Sanitaire_du_Burkina_Faso_">PR_Countries!$F$245:$F$245</definedName>
    <definedName name="Burkina_Faso_TB_Programme_d_Appui_au_D_veloppment_Sanitaire_du_Burkina_Faso_EUR">PR_Countries!$F$244:$F$244</definedName>
    <definedName name="Burkina_Faso_TB_Secr_tariat_Permanent_du_Conseil_National_de_Lutte_contre_le_Sida_et_les_IST_du_Burkina_Faso_EUR">PR_Countries!$F$246:$F$246</definedName>
    <definedName name="Burundi___">PR_Countries!$AN$122:$AN$122</definedName>
    <definedName name="Burundi___United_Nations_Development_Programme_">PR_Countries!$F$250:$F$251</definedName>
    <definedName name="Burundi_HIV_">PR_Countries!$AN$126:$AN$126</definedName>
    <definedName name="Burundi_HIV__USD">PR_Countries!$F$257:$F$258</definedName>
    <definedName name="Burundi_HIV_Ministry_of_Public_Health_and_Fight_against_AIDS_of_the_Republic_of_Burundi_USD">PR_Countries!$F$252:$F$252</definedName>
    <definedName name="Burundi_HIV_R_seau_Burundais_des_Personnes_Vivant_avec_le_VIH_SIDA_USD">PR_Countries!$F$253:$F$253</definedName>
    <definedName name="Burundi_HIV_Secr_tariat_Ex_cutif_Permanent_du_Conseil_National_de_Lutte_contre_le_SIDA_USD">PR_Countries!$F$254:$F$255</definedName>
    <definedName name="Burundi_HIV_United_Nations_Development_Programme_">PR_Countries!$F$256:$F$256</definedName>
    <definedName name="Burundi_HIV_USD">PR_Countries!$AN$123:$AN$125</definedName>
    <definedName name="Burundi_Malaria__">PR_Countries!$F$267:$F$268</definedName>
    <definedName name="Burundi_Malaria__USD">PR_Countries!$F$264:$F$266</definedName>
    <definedName name="Burundi_Malaria_CED_Caritas_USD">PR_Countries!$F$259:$F$260</definedName>
    <definedName name="Burundi_Malaria_Ministry_of_Public_Health_and_Fight_against_AIDS_of_the_Republic_of_Burundi_USD">PR_Countries!$F$261:$F$261</definedName>
    <definedName name="Burundi_Malaria_Secr_tariat_Ex_cutif_Permanent_du_Conseil_National_de_Lutte_contre_le_SIDA_USD">PR_Countries!$F$262:$F$262</definedName>
    <definedName name="Burundi_Malaria_United_Nations_Development_Programme_USD">PR_Countries!$F$263:$F$263</definedName>
    <definedName name="Burundi_Malaria_USD">PR_Countries!$AN$127:$AN$130</definedName>
    <definedName name="Burundi_Multi_">PR_Countries!$AN$133:$AN$134</definedName>
    <definedName name="Burundi_Multi__">PR_Countries!$F$273:$F$273</definedName>
    <definedName name="Burundi_Multi_Ministry_of_Public_Health_and_Fight_against_AIDS_of_the_Republic_of_Burundi_">PR_Countries!$F$269:$F$269</definedName>
    <definedName name="Burundi_Multi_Red_Cross_Burundi_">PR_Countries!$F$271:$F$271</definedName>
    <definedName name="Burundi_Multi_Red_Cross_Burundi_USD">PR_Countries!$F$270:$F$270</definedName>
    <definedName name="Burundi_Multi_United_Nations_Development_Programme_USD">PR_Countries!$F$272:$F$272</definedName>
    <definedName name="Burundi_Multi_USD">PR_Countries!$AN$131:$AN$132</definedName>
    <definedName name="Burundi_TB__USD">PR_Countries!$F$276:$F$276</definedName>
    <definedName name="Burundi_TB_Ministry_of_Public_Health_and_Fight_against_AIDS_of_the_Republic_of_Burundi_USD">PR_Countries!$F$274:$F$274</definedName>
    <definedName name="Burundi_TB_National_Integrated_Programme_Against_Leprosy_and_Tuberculosis_USD">PR_Countries!$F$275:$F$275</definedName>
    <definedName name="Burundi_TB_USD">PR_Countries!$AN$135:$AN$136</definedName>
    <definedName name="C_te_d_Ivoire_HIV_">PR_Countries!$AN$208:$AN$208</definedName>
    <definedName name="C_te_d_Ivoire_HIV__">PR_Countries!$F$473:$F$473</definedName>
    <definedName name="C_te_d_Ivoire_HIV__EUR">PR_Countries!$F$469:$F$469</definedName>
    <definedName name="C_te_d_Ivoire_HIV__USD">PR_Countries!$F$470:$F$472</definedName>
    <definedName name="C_te_d_Ivoire_HIV_Alliance_Nationale_Contre_Le_Sida_en_Cote_D_Ivoire_EUR">PR_Countries!$F$464:$F$465</definedName>
    <definedName name="C_te_d_Ivoire_HIV_EUR">PR_Countries!$AN$206:$AN$207</definedName>
    <definedName name="C_te_d_Ivoire_HIV_Ministry_of_Health_and_Public_Hygiene_of_the_Republic_of_C_te_d_Ivoire_">PR_Countries!$F$466:$F$467</definedName>
    <definedName name="C_te_d_Ivoire_HIV_Programme_National_de_Lutte_contre_le_SIDA_de_la_R_publique_de_C_te_d_Ivoire_EUR">PR_Countries!$F$468:$F$468</definedName>
    <definedName name="C_te_d_Ivoire_Malaria_">PR_Countries!$AN$213:$AN$213</definedName>
    <definedName name="C_te_d_Ivoire_Malaria__">PR_Countries!$F$480:$F$480</definedName>
    <definedName name="C_te_d_Ivoire_Malaria__EUR">PR_Countries!$F$479:$F$479</definedName>
    <definedName name="C_te_d_Ivoire_Malaria_CARE_International_EUR">PR_Countries!$F$474:$F$474</definedName>
    <definedName name="C_te_d_Ivoire_Malaria_EUR">PR_Countries!$AN$209:$AN$212</definedName>
    <definedName name="C_te_d_Ivoire_Malaria_Ministry_of_Health_and_Public_Hygiene_of_the_Republic_of_C_te_d_Ivoire_">PR_Countries!$F$476:$F$476</definedName>
    <definedName name="C_te_d_Ivoire_Malaria_Ministry_of_Health_and_Public_Hygiene_of_the_Republic_of_C_te_d_Ivoire_EUR">PR_Countries!$F$475:$F$475</definedName>
    <definedName name="C_te_d_Ivoire_Malaria_Programme_National_de_Lutte_contre_le_Paludisme_EUR">PR_Countries!$F$477:$F$477</definedName>
    <definedName name="C_te_d_Ivoire_Malaria_Save_the_Children_Federation__Inc__EUR">PR_Countries!$F$478:$F$478</definedName>
    <definedName name="C_te_d_Ivoire_TB_">PR_Countries!$AN$217:$AN$217</definedName>
    <definedName name="C_te_d_Ivoire_TB__">PR_Countries!$F$487:$F$487</definedName>
    <definedName name="C_te_d_Ivoire_TB__EUR">PR_Countries!$F$485:$F$485</definedName>
    <definedName name="C_te_d_Ivoire_TB__USD">PR_Countries!$F$486:$F$486</definedName>
    <definedName name="C_te_d_Ivoire_TB_Alliance_Nationale_Contre_Le_Sida_en_Cote_D_Ivoire_EUR">PR_Countries!$F$481:$F$481</definedName>
    <definedName name="C_te_d_Ivoire_TB_Caritas_C_te_d_Ivoire_EUR">PR_Countries!$F$482:$F$482</definedName>
    <definedName name="C_te_d_Ivoire_TB_EUR">PR_Countries!$AN$214:$AN$216</definedName>
    <definedName name="C_te_d_Ivoire_TB_Ministry_of_Health_and_Public_Hygiene_of_the_Republic_of_C_te_d_Ivoire_">PR_Countries!$F$484:$F$484</definedName>
    <definedName name="C_te_d_Ivoire_TB_Ministry_of_Health_and_Public_Hygiene_of_the_Republic_of_C_te_d_Ivoire_EUR">PR_Countries!$F$483:$F$483</definedName>
    <definedName name="Cabo_Verde_HIV_Cape_Verde_Non_Governmental_Organisations_Platform_USD">PR_Countries!$F$277:$F$277</definedName>
    <definedName name="Cabo_Verde_HIV_Coordination_Committee_of_the_Fight_against_AIDS_of_Cabo_Verde_USD">PR_Countries!$F$278:$F$278</definedName>
    <definedName name="Cabo_Verde_HIV_USD">PR_Countries!$AN$137:$AN$138</definedName>
    <definedName name="Cabo_Verde_Malaria_Coordination_Committee_of_the_Fight_against_AIDS_of_Cabo_Verde_EUR">PR_Countries!$F$279:$F$280</definedName>
    <definedName name="Cabo_Verde_Malaria_EUR">PR_Countries!$AN$139:$AN$139</definedName>
    <definedName name="Cabo_Verde_Multi_">PR_Countries!$AN$141:$AN$141</definedName>
    <definedName name="Cabo_Verde_Multi_Coordination_Committee_of_the_Fight_against_AIDS_of_Cabo_Verde_">PR_Countries!$F$283:$F$283</definedName>
    <definedName name="Cabo_Verde_Multi_Coordination_Committee_of_the_Fight_against_AIDS_of_Cabo_Verde_EUR">PR_Countries!$F$281:$F$282</definedName>
    <definedName name="Cabo_Verde_Multi_EUR">PR_Countries!$AN$140:$AN$140</definedName>
    <definedName name="Cambodia_HIV_">PR_Countries!$AN$143:$AN$143</definedName>
    <definedName name="Cambodia_HIV__USD">PR_Countries!$F$286:$F$290</definedName>
    <definedName name="Cambodia_HIV_Federal_Ministry_of_Health_of_the_Republic_of_Sudan_">PR_Countries!$F$284:$F$284</definedName>
    <definedName name="Cambodia_HIV_National_Center_for_HIV_AIDS__Dermatology_and_STI_USD">PR_Countries!$F$285:$F$285</definedName>
    <definedName name="Cambodia_HIV_USD">PR_Countries!$AN$142:$AN$142</definedName>
    <definedName name="Cambodia_Malaria__USD">PR_Countries!$F$292:$F$296</definedName>
    <definedName name="Cambodia_Malaria_United_Nations_Office_for_Project_Services_USD">PR_Countries!$F$291:$F$291</definedName>
    <definedName name="Cambodia_Malaria_USD">PR_Countries!$AN$144:$AN$144</definedName>
    <definedName name="Cambodia_Multi_">PR_Countries!$AN$145:$AN$145</definedName>
    <definedName name="Cambodia_Multi__">PR_Countries!$F$298:$F$298</definedName>
    <definedName name="Cambodia_Multi_Cambodia_Ministry_of_Economy_and_Finance_">PR_Countries!$F$297:$F$297</definedName>
    <definedName name="Cambodia_RSSH__USD">PR_Countries!$F$300:$F$300</definedName>
    <definedName name="Cambodia_RSSH_Ministry_of_Health_of_the_Kingdom_of_Cambodia_USD">PR_Countries!$F$299:$F$299</definedName>
    <definedName name="Cambodia_RSSH_USD">PR_Countries!$AN$146:$AN$146</definedName>
    <definedName name="Cambodia_TB__">PR_Countries!$F$305:$F$305</definedName>
    <definedName name="Cambodia_TB__USD">PR_Countries!$F$303:$F$304</definedName>
    <definedName name="Cambodia_TB_National_Center_for_Tuberculosis_and_Leprosy_Control_USD">PR_Countries!$F$301:$F$302</definedName>
    <definedName name="Cambodia_TB_USD">PR_Countries!$AN$147:$AN$147</definedName>
    <definedName name="Cameroon_HIV__">PR_Countries!$F$313:$F$313</definedName>
    <definedName name="Cameroon_HIV__EUR">PR_Countries!$F$310:$F$310</definedName>
    <definedName name="Cameroon_HIV__USD">PR_Countries!$F$311:$F$312</definedName>
    <definedName name="Cameroon_HIV_Cameroon_National_Association_for_Family_Welfare_EUR">PR_Countries!$F$306:$F$307</definedName>
    <definedName name="Cameroon_HIV_EUR">PR_Countries!$AN$148:$AN$149</definedName>
    <definedName name="Cameroon_HIV_Ministry_of_Public_Health_of_the_Republic_of_Cameroon_EUR">PR_Countries!$F$308:$F$309</definedName>
    <definedName name="Cameroon_Malaria_">PR_Countries!$AN$152:$AN$152</definedName>
    <definedName name="Cameroon_Malaria__">PR_Countries!$F$320:$F$320</definedName>
    <definedName name="Cameroon_Malaria__EUR">PR_Countries!$F$318:$F$318</definedName>
    <definedName name="Cameroon_Malaria__USD">PR_Countries!$F$319:$F$319</definedName>
    <definedName name="Cameroon_Malaria_EUR">PR_Countries!$AN$150:$AN$151</definedName>
    <definedName name="Cameroon_Malaria_Ministry_of_Public_Health_of_the_Republic_of_Cameroon_">PR_Countries!$F$316:$F$316</definedName>
    <definedName name="Cameroon_Malaria_Ministry_of_Public_Health_of_the_Republic_of_Cameroon_EUR">PR_Countries!$F$314:$F$315</definedName>
    <definedName name="Cameroon_Malaria_Plan_International__Inc__EUR">PR_Countries!$F$317:$F$317</definedName>
    <definedName name="Cameroon_Multi_">PR_Countries!$AN$153:$AN$153</definedName>
    <definedName name="Cameroon_Multi__">PR_Countries!$F$322:$F$322</definedName>
    <definedName name="Cameroon_Multi_Cameroon_National_Association_for_Family_Welfare_">PR_Countries!$F$321:$F$321</definedName>
    <definedName name="Cameroon_TB__">PR_Countries!$F$326:$F$326</definedName>
    <definedName name="Cameroon_TB__USD">PR_Countries!$F$325:$F$325</definedName>
    <definedName name="Cameroon_TB_EUR">PR_Countries!$AN$154:$AN$154</definedName>
    <definedName name="Cameroon_TB_Ministry_of_Public_Health_of_the_Republic_of_Cameroon_EUR">PR_Countries!$F$323:$F$324</definedName>
    <definedName name="Capreomycin">'TB-Pharma'!$E$38:$E$39</definedName>
    <definedName name="Caribbean_HIV__USD">PR_Countries!$F$327:$F$327</definedName>
    <definedName name="Caribbean_Multi_Organisation_of_Eastern_Caribbean_States_USD">PR_Countries!$F$328:$F$328</definedName>
    <definedName name="Caribbean_Multi_USD">PR_Countries!$AN$155:$AN$155</definedName>
    <definedName name="Ceftriaxone">'TB-Pharma'!$AB$30</definedName>
    <definedName name="Central_African_Republic_HIV__USD">PR_Countries!$F$329:$F$332</definedName>
    <definedName name="Central_African_Republic_Malaria_">PR_Countries!$AN$158:$AN$158</definedName>
    <definedName name="Central_African_Republic_Malaria__">PR_Countries!$F$339:$F$340</definedName>
    <definedName name="Central_African_Republic_Malaria__EUR">PR_Countries!$F$337:$F$337</definedName>
    <definedName name="Central_African_Republic_Malaria__USD">PR_Countries!$F$338:$F$338</definedName>
    <definedName name="Central_African_Republic_Malaria_EUR">PR_Countries!$AN$156:$AN$157</definedName>
    <definedName name="Central_African_Republic_Malaria_The_International_Federation_of_Red_Cross_and_Red_Crescent_Societies_EUR">PR_Countries!$F$333:$F$334</definedName>
    <definedName name="Central_African_Republic_Malaria_World_Vision_International__CAR_Branch_office__">PR_Countries!$F$336:$F$336</definedName>
    <definedName name="Central_African_Republic_Malaria_World_Vision_International__CAR_Branch_office__EUR">PR_Countries!$F$335:$F$335</definedName>
    <definedName name="Central_African_Republic_Multi_">PR_Countries!$AN$160:$AN$160</definedName>
    <definedName name="Central_African_Republic_Multi__">PR_Countries!$F$344:$F$344</definedName>
    <definedName name="Central_African_Republic_Multi_EUR">PR_Countries!$AN$159:$AN$159</definedName>
    <definedName name="Central_African_Republic_Multi_La_Croix_Rouge_fran_aise_">PR_Countries!$F$341:$F$342</definedName>
    <definedName name="Central_African_Republic_Multi_The_International_Federation_of_Red_Cross_and_Red_Crescent_Societies_EUR">PR_Countries!$F$343:$F$343</definedName>
    <definedName name="Central_African_Republic_TB__USD">PR_Countries!$F$346:$F$347</definedName>
    <definedName name="Central_African_Republic_TB_EUR">PR_Countries!$AN$161:$AN$161</definedName>
    <definedName name="Central_African_Republic_TB_The_Ministry_of_Public_Heath__Population_and_the_Fight_Against_HIV_AIDS_of_the_Central_African_Republic_EUR">PR_Countries!$F$345:$F$345</definedName>
    <definedName name="Central_America_HIV__USD">PR_Countries!$F$349:$F$349</definedName>
    <definedName name="Central_America_HIV_Secretar_a_de_la_Integraci_n_Social_Centroamericana_USD">PR_Countries!$F$348:$F$348</definedName>
    <definedName name="Central_America_HIV_USD">PR_Countries!$AN$162:$AN$162</definedName>
    <definedName name="Centrifuges">'Malaria-Other HPs'!$R$8:$R$10</definedName>
    <definedName name="Cepheid">LISTS!$L$9</definedName>
    <definedName name="Chad_HIV__">PR_Countries!$F$356:$F$356</definedName>
    <definedName name="Chad_HIV__EUR">PR_Countries!$F$353:$F$354</definedName>
    <definedName name="Chad_HIV__USD">PR_Countries!$F$355:$F$355</definedName>
    <definedName name="Chad_HIV_EUR">PR_Countries!$AN$163:$AN$164</definedName>
    <definedName name="Chad_HIV_Fonds_de_soutien_aux_activit_s_en_mati_re_de_population_et_de_lutte_contre_le_Sida_de_la_R_publique_du_Tchad_EUR">PR_Countries!$F$350:$F$351</definedName>
    <definedName name="Chad_HIV_Ministry_of_Public_Health_Chad_EUR">PR_Countries!$F$352:$F$352</definedName>
    <definedName name="Chad_Malaria_">PR_Countries!$AN$167:$AN$167</definedName>
    <definedName name="Chad_Malaria__">PR_Countries!$F$362:$F$362</definedName>
    <definedName name="Chad_Malaria__EUR">PR_Countries!$F$360:$F$360</definedName>
    <definedName name="Chad_Malaria__USD">PR_Countries!$F$361:$F$361</definedName>
    <definedName name="Chad_Malaria_EUR">PR_Countries!$AN$165:$AN$166</definedName>
    <definedName name="Chad_Malaria_Fonds_de_soutien_aux_activit_s_en_mati_re_de_population_et_de_lutte_contre_le_Sida_de_la_R_publique_du_Tchad_EUR">PR_Countries!$F$357:$F$357</definedName>
    <definedName name="Chad_Malaria_United_Nations_Development_Programme_">PR_Countries!$F$359:$F$359</definedName>
    <definedName name="Chad_Malaria_United_Nations_Development_Programme_EUR">PR_Countries!$F$358:$F$358</definedName>
    <definedName name="Chad_Multi_">PR_Countries!$AN$168:$AN$169</definedName>
    <definedName name="Chad_Multi__">PR_Countries!$F$365:$F$366</definedName>
    <definedName name="Chad_Multi_Ministry_of_Public_Health_Chad_">PR_Countries!$F$363:$F$363</definedName>
    <definedName name="Chad_Multi_Swiss_Tropical_and_Public_Health_Institute_">PR_Countries!$F$364:$F$364</definedName>
    <definedName name="Chad_RSSH__">PR_Countries!$F$367:$F$367</definedName>
    <definedName name="Chad_TB__USD">PR_Countries!$F$371:$F$371</definedName>
    <definedName name="Chad_TB_EUR">PR_Countries!$AN$170:$AN$171</definedName>
    <definedName name="Chad_TB_Fonds_de_soutien_aux_activit_s_en_mati_re_de_population_et_de_lutte_contre_le_Sida_de_la_R_publique_du_Tchad_EUR">PR_Countries!$F$368:$F$369</definedName>
    <definedName name="Chad_TB_Ministry_of_Public_Health_Chad_EUR">PR_Countries!$F$370:$F$370</definedName>
    <definedName name="Chemistry_analyzer">'Malaria-Other HPs'!$R$11:$R$13</definedName>
    <definedName name="Chile_HIV__USD">PR_Countries!$F$372:$F$372</definedName>
    <definedName name="China_HIV__USD">PR_Countries!$F$373:$F$376</definedName>
    <definedName name="China_Malaria__USD">PR_Countries!$F$377:$F$381</definedName>
    <definedName name="China_TB__EUR">PR_Countries!$F$382:$F$382</definedName>
    <definedName name="China_TB__USD">PR_Countries!$F$383:$F$387</definedName>
    <definedName name="Chloramphenicol">'TB-Pharma'!$AB$31</definedName>
    <definedName name="Chloroquine">'Malaria-Pharma'!$C$34:$C$40</definedName>
    <definedName name="Chlorphenamine_maleate">'TB-Pharma'!$AB$32</definedName>
    <definedName name="Ciprofloxacin">'TB-Pharma'!$AB$33</definedName>
    <definedName name="Clarithromycin">'TB-Pharma'!$L$25:$L$26</definedName>
    <definedName name="Clindamycin">'TB-Pharma'!$AB$34:$AB$35</definedName>
    <definedName name="Clofazimine">'TB-Pharma'!$L$27:$L$28</definedName>
    <definedName name="Clotrimzole">'TB-Pharma'!$AB$36:$AB$37</definedName>
    <definedName name="CmpAcroSelected" localSheetId="26">INDIRECT(ADDRESS(CmpSelectedOnRow,2,1,TRUE,"CatCmp"))</definedName>
    <definedName name="CmpAcroSelected" localSheetId="28">INDIRECT(ADDRESS(CmpSelectedOnRow,2,1,TRUE,"CatCmp"))</definedName>
    <definedName name="CmpAcroSelected">INDIRECT(ADDRESS(CmpSelectedOnRow,2,1,TRUE,"CatCmp"))</definedName>
    <definedName name="CmpIdSelected" localSheetId="26">INDIRECT(ADDRESS(CmpSelectedOnRow,1,1,TRUE,"CatCmp"))</definedName>
    <definedName name="CmpIdSelected" localSheetId="28">INDIRECT(ADDRESS(CmpSelectedOnRow,1,1,TRUE,"CatCmp"))</definedName>
    <definedName name="CmpIdSelected">INDIRECT(ADDRESS(CmpSelectedOnRow,1,1,TRUE,"CatCmp"))</definedName>
    <definedName name="Co_trimoxazole">'TB-Pharma'!$AB$3:$AB$8</definedName>
    <definedName name="Codeine_as_phosphate">'TB-Pharma'!$AB$38</definedName>
    <definedName name="Colombia___">PR_Countries!$AN$172:$AN$172</definedName>
    <definedName name="Colombia___Fondo_Financiero_de_Proyectos_de_Desarrollo_">PR_Countries!$F$388:$F$388</definedName>
    <definedName name="Colombia_HIV__USD">PR_Countries!$F$392:$F$392</definedName>
    <definedName name="Colombia_HIV_Cooperative_Housing_Foundation_EUR">PR_Countries!$F$389:$F$389</definedName>
    <definedName name="Colombia_HIV_EUR">PR_Countries!$AN$173:$AN$173</definedName>
    <definedName name="Colombia_HIV_Fondo_Financiero_de_Proyectos_de_Desarrollo_USD">PR_Countries!$F$390:$F$390</definedName>
    <definedName name="Colombia_HIV_Sociedad_Nacional_de_la_Cruz_Roja_Colombiana_USD">PR_Countries!$F$391:$F$391</definedName>
    <definedName name="Colombia_HIV_USD">PR_Countries!$AN$174:$AN$175</definedName>
    <definedName name="Colombia_Malaria__EUR">PR_Countries!$F$393:$F$394</definedName>
    <definedName name="Colombia_TB_Fondo_Financiero_de_Proyectos_de_Desarrollo_USD">PR_Countries!$F$395:$F$395</definedName>
    <definedName name="Colombia_TB_International_Organization_for_Migration_USD">PR_Countries!$F$396:$F$396</definedName>
    <definedName name="Colombia_TB_USD">PR_Countries!$AN$176:$AN$177</definedName>
    <definedName name="Comoros_HIV_">PR_Countries!$AN$179:$AN$179</definedName>
    <definedName name="Comoros_HIV__USD">PR_Countries!$F$400:$F$400</definedName>
    <definedName name="Comoros_HIV_EUR">PR_Countries!$AN$178:$AN$178</definedName>
    <definedName name="Comoros_HIV_Ministry_of_Health__Solidarity_and_Gender_Promotion_of_the_Union_of_the_Comoros_">PR_Countries!$F$399:$F$399</definedName>
    <definedName name="Comoros_HIV_Ministry_of_Health__Solidarity_and_Gender_Promotion_of_the_Union_of_the_Comoros_EUR">PR_Countries!$F$397:$F$398</definedName>
    <definedName name="Comoros_Malaria_">PR_Countries!$AN$182:$AN$182</definedName>
    <definedName name="Comoros_Malaria__">PR_Countries!$F$405:$F$405</definedName>
    <definedName name="Comoros_Malaria__USD">PR_Countries!$F$404:$F$404</definedName>
    <definedName name="Comoros_Malaria_Association_Comorienne_pour_le_Bien_Être_de_la_Famille_EUR">PR_Countries!$F$401:$F$401</definedName>
    <definedName name="Comoros_Malaria_EUR">PR_Countries!$AN$180:$AN$181</definedName>
    <definedName name="Comoros_Malaria_Ministry_of_Health__Solidarity_and_Gender_Promotion_of_the_Union_of_the_Comoros_">PR_Countries!$F$403:$F$403</definedName>
    <definedName name="Comoros_Malaria_Ministry_of_Health__Solidarity_and_Gender_Promotion_of_the_Union_of_the_Comoros_EUR">PR_Countries!$F$402:$F$402</definedName>
    <definedName name="Comoros_TB_">PR_Countries!$AN$185:$AN$185</definedName>
    <definedName name="Comoros_TB_Association_Comorienne_pour_le_Bien_Être_de_la_Famille_EUR">PR_Countries!$F$406:$F$406</definedName>
    <definedName name="Comoros_TB_EUR">PR_Countries!$AN$183:$AN$184</definedName>
    <definedName name="Comoros_TB_Programme_National_de_Lutte_contre_la_Tuberculose_et_la_Lepre_">PR_Countries!$F$408:$F$408</definedName>
    <definedName name="Comoros_TB_Programme_National_de_Lutte_contre_la_Tuberculose_et_la_Lepre_EUR">PR_Countries!$F$407:$F$407</definedName>
    <definedName name="COMPONENT">LISTS!$D$3:$D$6</definedName>
    <definedName name="Condoms">'HIV-Other HP'!$B$2:$B$3</definedName>
    <definedName name="Condoms_Lubricants">'HIV-Other HP'!$B$2:$B$4</definedName>
    <definedName name="Congo__Democratic_Republic__HIV__USD">PR_Countries!$F$432:$F$436</definedName>
    <definedName name="Congo__Democratic_Republic__HIV_Ministry_of_Health_and_Population_of_the_Democratic_Republic_of_Congo_USD">PR_Countries!$F$429:$F$429</definedName>
    <definedName name="Congo__Democratic_Republic__HIV_SANRU_Asbl_USD">PR_Countries!$F$430:$F$430</definedName>
    <definedName name="Congo__Democratic_Republic__HIV_Stichting_Cordaid_USD">PR_Countries!$F$431:$F$431</definedName>
    <definedName name="Congo__Democratic_Republic__HIV_USD">PR_Countries!$AN$192:$AN$194</definedName>
    <definedName name="Congo__Democratic_Republic__Malaria_">PR_Countries!$AN$198:$AN$198</definedName>
    <definedName name="Congo__Democratic_Republic__Malaria__USD">PR_Countries!$F$442:$F$446</definedName>
    <definedName name="Congo__Democratic_Republic__Malaria_Ministry_of_Health_and_Population_of_the_Democratic_Republic_of_Congo_">PR_Countries!$F$439:$F$439</definedName>
    <definedName name="Congo__Democratic_Republic__Malaria_Ministry_of_Health_and_Population_of_the_Democratic_Republic_of_Congo_USD">PR_Countries!$F$437:$F$438</definedName>
    <definedName name="Congo__Democratic_Republic__Malaria_Population_Services_International_USD">PR_Countries!$F$440:$F$440</definedName>
    <definedName name="Congo__Democratic_Republic__Malaria_SANRU_Asbl_USD">PR_Countries!$F$441:$F$441</definedName>
    <definedName name="Congo__Democratic_Republic__Malaria_USD">PR_Countries!$AN$195:$AN$197</definedName>
    <definedName name="Congo__Democratic_Republic__Multi_">PR_Countries!$AN$199:$AN$200</definedName>
    <definedName name="Congo__Democratic_Republic__Multi__">PR_Countries!$F$449:$F$450</definedName>
    <definedName name="Congo__Democratic_Republic__Multi_Ministry_of_Health_and_Population_of_the_Democratic_Republic_of_Congo_">PR_Countries!$F$447:$F$447</definedName>
    <definedName name="Congo__Democratic_Republic__Multi_Stichting_Cordaid_">PR_Countries!$F$448:$F$448</definedName>
    <definedName name="Congo__Democratic_Republic__RSSH_Ministry_of_Health_and_Population_of_the_Democratic_Republic_of_Congo_USD">PR_Countries!$F$451:$F$451</definedName>
    <definedName name="Congo__Democratic_Republic__RSSH_USD">PR_Countries!$AN$201:$AN$201</definedName>
    <definedName name="Congo__Democratic_Republic__TB__USD">PR_Countries!$F$456:$F$458</definedName>
    <definedName name="Congo__Democratic_Republic__TB_Caritas__Congo_ASBL_USD">PR_Countries!$F$452:$F$453</definedName>
    <definedName name="Congo__Democratic_Republic__TB_Ministry_of_Health_and_Population_of_the_Democratic_Republic_of_Congo_USD">PR_Countries!$F$454:$F$455</definedName>
    <definedName name="Congo__Democratic_Republic__TB_USD">PR_Countries!$AN$202:$AN$203</definedName>
    <definedName name="Congo_HIV__">PR_Countries!$F$414:$F$414</definedName>
    <definedName name="Congo_HIV__USD">PR_Countries!$F$413:$F$413</definedName>
    <definedName name="Congo_HIV_EUR">PR_Countries!$AN$186:$AN$187</definedName>
    <definedName name="Congo_HIV_La_Croix_Rouge_fran_aise_EUR">PR_Countries!$F$409:$F$410</definedName>
    <definedName name="Congo_HIV_Secr_tariat_Ex_cutif_Permanent_du_Conseil_National_de_Lutte_contre_le_SIDA_de_la_R_publique_du_Congo_EUR">PR_Countries!$F$411:$F$412</definedName>
    <definedName name="Congo_Malaria_">PR_Countries!$AN$188:$AN$188</definedName>
    <definedName name="Congo_Malaria__">PR_Countries!$F$419:$F$420</definedName>
    <definedName name="Congo_Malaria__EUR">PR_Countries!$F$417:$F$418</definedName>
    <definedName name="Congo_Malaria_Catholic_Relief_Services__United_States_Conference_of_Catholic_Bishops_">PR_Countries!$F$415:$F$416</definedName>
    <definedName name="Congo_Multi_">PR_Countries!$AN$190:$AN$190</definedName>
    <definedName name="Congo_Multi__">PR_Countries!$F$423:$F$424</definedName>
    <definedName name="Congo_Multi_EUR">PR_Countries!$AN$189:$AN$189</definedName>
    <definedName name="Congo_Multi_La_Croix_Rouge_fran_aise_">PR_Countries!$F$422:$F$422</definedName>
    <definedName name="Congo_Multi_La_Croix_Rouge_fran_aise_EUR">PR_Countries!$F$421:$F$421</definedName>
    <definedName name="Congo_TB__">PR_Countries!$F$427:$F$428</definedName>
    <definedName name="Congo_TB_EUR">PR_Countries!$AN$191:$AN$191</definedName>
    <definedName name="Congo_TB_Ministry_of_Health_and_Population_of_the_Government_of_the_Republic_of_Congo_EUR">PR_Countries!$F$425:$F$426</definedName>
    <definedName name="Consumables">'Malaria-Other HPs'!$R$94</definedName>
    <definedName name="Consumables_Blood_collection">'Malaria-Other HPs'!$R$59</definedName>
    <definedName name="Consumables_DBS_collection">'Malaria-Other HPs'!$R$60</definedName>
    <definedName name="Consumables_for_HIV_program">'HIV-Other HP'!$Z$2:$Z$14</definedName>
    <definedName name="Consumables_for_TB_program">'TB-Other HPs'!$Z$2:$Z$12</definedName>
    <definedName name="Consumables_Infection_prevention_and_control">'Malaria-Other HPs'!$R$61</definedName>
    <definedName name="Consumables_Laboratory_Other">'Malaria-Other HPs'!$R$62</definedName>
    <definedName name="Consumables_Other">'Malaria-Other HPs'!$R$63</definedName>
    <definedName name="Consumables_Other_non_laboratory">'Malaria-Other HPs'!$R$64</definedName>
    <definedName name="Consumables_Sample_collection_and_media_transport">'TB-Other HPs'!$AB$7</definedName>
    <definedName name="Consumables_TB_specimen_processing">'TB-Other HPs'!$AB$8</definedName>
    <definedName name="Consumables_Waste_management_supplies">'HIV-Other HP'!$AB$2</definedName>
    <definedName name="Costa_Rica_HIV_">PR_Countries!$AN$205:$AN$205</definedName>
    <definedName name="Costa_Rica_HIV__">PR_Countries!$F$463:$F$463</definedName>
    <definedName name="Costa_Rica_HIV__USD">PR_Countries!$F$461:$F$462</definedName>
    <definedName name="Costa_Rica_HIV_Humanist_Institute_for_Co_operation_with_Developing_Countries_">PR_Countries!$F$460:$F$460</definedName>
    <definedName name="Costa_Rica_HIV_Humanist_Institute_for_Co_operation_with_Developing_Countries_USD">PR_Countries!$F$459:$F$459</definedName>
    <definedName name="Costa_Rica_HIV_USD">PR_Countries!$AN$204:$AN$204</definedName>
    <definedName name="COUNTRY_">PR_Countries!$I$2:$I$145</definedName>
    <definedName name="COUNTRYLIST">LISTS!$A$3:$A$166</definedName>
    <definedName name="COUTRYLIST">LISTS!$A$3:$A$166</definedName>
    <definedName name="Croatia_HIV__USD">PR_Countries!$F$488:$F$488</definedName>
    <definedName name="Cuba_HIV_">PR_Countries!$AN$219:$AN$219</definedName>
    <definedName name="Cuba_HIV__">PR_Countries!$F$493:$F$493</definedName>
    <definedName name="Cuba_HIV__USD">PR_Countries!$F$492:$F$492</definedName>
    <definedName name="Cuba_HIV_United_Nations_Development_Programme_">PR_Countries!$F$491:$F$491</definedName>
    <definedName name="Cuba_HIV_United_Nations_Development_Programme_USD">PR_Countries!$F$489:$F$490</definedName>
    <definedName name="Cuba_HIV_USD">PR_Countries!$AN$218:$AN$218</definedName>
    <definedName name="Cuba_TB__USD">PR_Countries!$F$494:$F$494</definedName>
    <definedName name="Culture_DST_LPA_Equipment_reagents">'TB-Other HPs'!$R$2:$R$12</definedName>
    <definedName name="CURRENCY">LISTS!$C$3:$C$4</definedName>
    <definedName name="Cycloserine">'TB-Pharma'!$L$29</definedName>
    <definedName name="Daclatasvir">'TB-Pharma'!$AB$39:$AB$40</definedName>
    <definedName name="Dapsone">'TB-Pharma'!$AB$41</definedName>
    <definedName name="Darunavir">'HIV-Pharma'!$D$18:$D$22</definedName>
    <definedName name="Darunavir_Ritonavir">'HIV-Pharma'!$D$23:$D$24</definedName>
    <definedName name="Delamanid">'TB-Pharma'!$L$30</definedName>
    <definedName name="Diclofenac_as_sodium">'TB-Pharma'!$AB$42:$AB$43</definedName>
    <definedName name="Djibouti_HIV__USD">PR_Countries!$F$496:$F$497</definedName>
    <definedName name="Djibouti_HIV_United_Nations_Development_Programme_USD">PR_Countries!$F$495:$F$495</definedName>
    <definedName name="Djibouti_HIV_USD">PR_Countries!$AN$220:$AN$220</definedName>
    <definedName name="Djibouti_Malaria_">PR_Countries!$AN$222:$AN$222</definedName>
    <definedName name="Djibouti_Malaria__">PR_Countries!$F$501:$F$501</definedName>
    <definedName name="Djibouti_Malaria__USD">PR_Countries!$F$500:$F$500</definedName>
    <definedName name="Djibouti_Malaria_United_Nations_Development_Programme_">PR_Countries!$F$499:$F$499</definedName>
    <definedName name="Djibouti_Malaria_United_Nations_Development_Programme_USD">PR_Countries!$F$498:$F$498</definedName>
    <definedName name="Djibouti_Malaria_USD">PR_Countries!$AN$221:$AN$221</definedName>
    <definedName name="Djibouti_Multi_">PR_Countries!$AN$224:$AN$224</definedName>
    <definedName name="Djibouti_Multi__">PR_Countries!$F$504:$F$504</definedName>
    <definedName name="Djibouti_Multi_United_Nations_Development_Programme_">PR_Countries!$F$503:$F$503</definedName>
    <definedName name="Djibouti_Multi_United_Nations_Development_Programme_USD">PR_Countries!$F$502:$F$502</definedName>
    <definedName name="Djibouti_Multi_USD">PR_Countries!$AN$223:$AN$223</definedName>
    <definedName name="Djibouti_TB__USD">PR_Countries!$F$506:$F$506</definedName>
    <definedName name="Djibouti_TB_EUR">PR_Countries!$AN$225:$AN$225</definedName>
    <definedName name="Djibouti_TB_United_Nations_Development_Programme_EUR">PR_Countries!$F$505:$F$505</definedName>
    <definedName name="DNA_extraction_amplification_isolation_purification_detection_and_sequencing_analyzers">'Malaria-Other HPs'!$R$14:$R$16</definedName>
    <definedName name="Dolutegravir">'HIV-Pharma'!$D$25</definedName>
    <definedName name="Dolutegravir_Lamivudine_Tenofovir">'HIV-Pharma'!$D$26:$D$29</definedName>
    <definedName name="Dominican_Republic_HIV_">PR_Countries!$AN$228:$AN$228</definedName>
    <definedName name="Dominican_Republic_HIV__USD">PR_Countries!$F$510:$F$511</definedName>
    <definedName name="Dominican_Republic_HIV_Consejo_Nacional_para_el_VIH_y_el_SIDA_USD">PR_Countries!$F$507:$F$507</definedName>
    <definedName name="Dominican_Republic_HIV_Instituto_Dermatol_gico_y_Cirug_a_de_Piel_‘Dr__Huberto_Bogaert_D_az’_">PR_Countries!$F$509:$F$509</definedName>
    <definedName name="Dominican_Republic_HIV_Instituto_Dermatol_gico_y_Cirug_a_de_Piel_‘Dr__Huberto_Bogaert_D_az’_USD">PR_Countries!$F$508:$F$508</definedName>
    <definedName name="Dominican_Republic_HIV_USD">PR_Countries!$AN$226:$AN$227</definedName>
    <definedName name="Dominican_Republic_Malaria__USD">PR_Countries!$F$512:$F$513</definedName>
    <definedName name="Dominican_Republic_TB_">PR_Countries!$AN$230:$AN$230</definedName>
    <definedName name="Dominican_Republic_TB__USD">PR_Countries!$F$516:$F$519</definedName>
    <definedName name="Dominican_Republic_TB_Ministry_of_Public_Health_and_Social_Assistance_of_the_Dominican_Republic_">PR_Countries!$F$515:$F$515</definedName>
    <definedName name="Dominican_Republic_TB_Ministry_of_Public_Health_and_Social_Assistance_of_the_Dominican_Republic_USD">PR_Countries!$F$514:$F$514</definedName>
    <definedName name="Dominican_Republic_TB_USD">PR_Countries!$AN$229:$AN$229</definedName>
    <definedName name="Doxorubicin_as_hydrochloride">'TB-Pharma'!$AB$44:$AB$45</definedName>
    <definedName name="Doxycycline_as_hyclate">'TB-Pharma'!$AB$46</definedName>
    <definedName name="DRW">LISTS!$L$10:$L$11</definedName>
    <definedName name="Eastern_Africa_HIV_Kenya_AIDS_NGOs_Consortium_USD">PR_Countries!$F$520:$F$520</definedName>
    <definedName name="Eastern_Africa_HIV_USD">PR_Countries!$AN$231:$AN$231</definedName>
    <definedName name="Eastern_Africa_TB_Intergovernmental_Authority_on_Development_USD">PR_Countries!$F$521:$F$521</definedName>
    <definedName name="Eastern_Africa_TB_USD">PR_Countries!$AN$232:$AN$232</definedName>
    <definedName name="ECG">'TB-Other HPs'!$AB$60:$AB$62</definedName>
    <definedName name="Ecuador_HIV_">PR_Countries!$AN$236:$AN$236</definedName>
    <definedName name="Ecuador_HIV__USD">PR_Countries!$F$528:$F$530</definedName>
    <definedName name="Ecuador_HIV_CARE_International_USD">PR_Countries!$F$522:$F$522</definedName>
    <definedName name="Ecuador_HIV_Corporaci_n_Kimirina_USD">PR_Countries!$F$523:$F$524</definedName>
    <definedName name="Ecuador_HIV_Ministry_of_Public_Health_of_the_Republic_of_Ecuador_">PR_Countries!$F$527:$F$527</definedName>
    <definedName name="Ecuador_HIV_Ministry_of_Public_Health_of_the_Republic_of_Ecuador_USD">PR_Countries!$F$525:$F$526</definedName>
    <definedName name="Ecuador_HIV_USD">PR_Countries!$AN$233:$AN$235</definedName>
    <definedName name="Ecuador_Malaria_Corporaci_n_Kimirina_USD">PR_Countries!$F$531:$F$531</definedName>
    <definedName name="Ecuador_Malaria_Technical_Management_Unit_of_the_Ministry_of_Public_Health_of_the_Republic_of_Ecuador_USD">PR_Countries!$F$532:$F$532</definedName>
    <definedName name="Ecuador_Malaria_USD">PR_Countries!$AN$237:$AN$238</definedName>
    <definedName name="Ecuador_TB__USD">PR_Countries!$F$535:$F$535</definedName>
    <definedName name="Ecuador_TB_CARE_International_USD">PR_Countries!$F$533:$F$533</definedName>
    <definedName name="Ecuador_TB_Ministry_of_Public_Health_of_the_Republic_of_Ecuador_USD">PR_Countries!$F$534:$F$534</definedName>
    <definedName name="Ecuador_TB_USD">PR_Countries!$AN$239:$AN$240</definedName>
    <definedName name="Efavirenz">'HIV-Pharma'!$D$30:$D$40</definedName>
    <definedName name="Efavirenz_Emtricitabine_Tenofovir">'HIV-Pharma'!$D$41:$D$44</definedName>
    <definedName name="Efavirenz_Lamivudine_Tenofovir">'HIV-Pharma'!$D$45:$D$55</definedName>
    <definedName name="Egypt_HIV_The_Ministry_of_Health_and_Population_of_Egypt_USD">PR_Countries!$F$536:$F$536</definedName>
    <definedName name="Egypt_HIV_USD">PR_Countries!$AN$241:$AN$241</definedName>
    <definedName name="Egypt_Multi_">PR_Countries!$AN$243:$AN$243</definedName>
    <definedName name="Egypt_Multi_United_Nations_Development_Programme_">PR_Countries!$F$538:$F$538</definedName>
    <definedName name="Egypt_Multi_United_Nations_Development_Programme_USD">PR_Countries!$F$537:$F$537</definedName>
    <definedName name="Egypt_Multi_USD">PR_Countries!$AN$242:$AN$242</definedName>
    <definedName name="Egypt_TB__USD">PR_Countries!$F$540:$F$540</definedName>
    <definedName name="Egypt_TB_The_Ministry_of_Health_and_Population_of_Egypt_USD">PR_Countries!$F$539:$F$539</definedName>
    <definedName name="Egypt_TB_USD">PR_Countries!$AN$244:$AN$244</definedName>
    <definedName name="El_Salvador_HIV_">PR_Countries!$AN$247:$AN$247</definedName>
    <definedName name="El_Salvador_HIV__USD">PR_Countries!$F$544:$F$548</definedName>
    <definedName name="El_Salvador_HIV_Ministry_of_Health_of_the_Republic_of_El_Salvador_">PR_Countries!$F$542:$F$542</definedName>
    <definedName name="El_Salvador_HIV_Ministry_of_Health_of_the_Republic_of_El_Salvador_USD">PR_Countries!$F$541:$F$541</definedName>
    <definedName name="El_Salvador_HIV_Plan_International__Inc__USD">PR_Countries!$F$543:$F$543</definedName>
    <definedName name="El_Salvador_HIV_USD">PR_Countries!$AN$245:$AN$246</definedName>
    <definedName name="El_Salvador_Malaria_Ministry_of_Health_of_the_Republic_of_El_Salvador_USD">PR_Countries!$F$549:$F$549</definedName>
    <definedName name="El_Salvador_Malaria_USD">PR_Countries!$AN$248:$AN$248</definedName>
    <definedName name="El_Salvador_TB_">PR_Countries!$AN$250:$AN$250</definedName>
    <definedName name="El_Salvador_TB__USD">PR_Countries!$F$553:$F$555</definedName>
    <definedName name="El_Salvador_TB_Ministry_of_Health_of_the_Republic_of_El_Salvador_">PR_Countries!$F$552:$F$552</definedName>
    <definedName name="El_Salvador_TB_Ministry_of_Health_of_the_Republic_of_El_Salvador_USD">PR_Countries!$F$550:$F$551</definedName>
    <definedName name="El_Salvador_TB_USD">PR_Countries!$AN$249:$AN$249</definedName>
    <definedName name="Emtricitabine">'HIV-Pharma'!$D$56:$D$57</definedName>
    <definedName name="Emtricitabine_Tenofovir">'HIV-Pharma'!$D$58</definedName>
    <definedName name="Emtricitabine_Tenofovir_Nevirapine">'HIV-Pharma'!$D$59</definedName>
    <definedName name="Entecavir">'TB-Pharma'!$AB$47:$AB$50</definedName>
    <definedName name="Equatorial_Guinea_HIV__USD">PR_Countries!$F$556:$F$556</definedName>
    <definedName name="Equatorial_Guinea_Malaria__USD">PR_Countries!$F$557:$F$557</definedName>
    <definedName name="Equipment_BACTEC_MGIT_system_maintenance_and_services">'Malaria-Other HPs'!$R$66:$R$68</definedName>
    <definedName name="Equipment_IRS">'Malaria-Other HPs'!$M$74</definedName>
    <definedName name="Equipment_Other">'Malaria-Other HPs'!$R$17:$R$19</definedName>
    <definedName name="Eritrea_HIV_">PR_Countries!$AN$252:$AN$252</definedName>
    <definedName name="Eritrea_HIV__">PR_Countries!$F$563:$F$563</definedName>
    <definedName name="Eritrea_HIV__USD">PR_Countries!$F$560:$F$562</definedName>
    <definedName name="Eritrea_HIV_Ministry_of_Health_of_the_State_of_Eritrea_">PR_Countries!$F$559:$F$559</definedName>
    <definedName name="Eritrea_HIV_Ministry_of_Health_of_the_State_of_Eritrea_USD">PR_Countries!$F$558:$F$558</definedName>
    <definedName name="Eritrea_HIV_USD">PR_Countries!$AN$251:$AN$251</definedName>
    <definedName name="Eritrea_Malaria_">PR_Countries!$AN$254:$AN$254</definedName>
    <definedName name="Eritrea_Malaria__">PR_Countries!$F$569:$F$569</definedName>
    <definedName name="Eritrea_Malaria__USD">PR_Countries!$F$566:$F$568</definedName>
    <definedName name="Eritrea_Malaria_Ministry_of_Health_of_the_State_of_Eritrea_">PR_Countries!$F$565:$F$565</definedName>
    <definedName name="Eritrea_Malaria_Ministry_of_Health_of_the_State_of_Eritrea_USD">PR_Countries!$F$564:$F$564</definedName>
    <definedName name="Eritrea_Malaria_USD">PR_Countries!$AN$253:$AN$253</definedName>
    <definedName name="Eritrea_TB_">PR_Countries!$AN$256:$AN$256</definedName>
    <definedName name="Eritrea_TB__">PR_Countries!$F$573:$F$574</definedName>
    <definedName name="Eritrea_TB__USD">PR_Countries!$F$572:$F$572</definedName>
    <definedName name="Eritrea_TB_Ministry_of_Health_of_the_State_of_Eritrea_">PR_Countries!$F$571:$F$571</definedName>
    <definedName name="Eritrea_TB_Ministry_of_Health_of_the_State_of_Eritrea_USD">PR_Countries!$F$570:$F$570</definedName>
    <definedName name="Eritrea_TB_USD">PR_Countries!$AN$255:$AN$255</definedName>
    <definedName name="Erythromycin">'TB-Pharma'!$AB$51</definedName>
    <definedName name="Erythromycin_as_stearate">'TB-Pharma'!$AB$52:$AB$54</definedName>
    <definedName name="Estonia_HIV__USD">PR_Countries!$F$575:$F$575</definedName>
    <definedName name="Eswatini_HIV__USD">PR_Countries!$F$579:$F$580</definedName>
    <definedName name="Eswatini_HIV_Coordinating_Assembly_of_Non_Governmental_Organisation_USD">PR_Countries!$F$576:$F$576</definedName>
    <definedName name="Eswatini_HIV_National_Emergency_Response_Council_on_HIV_and_AIDS_USD">PR_Countries!$F$577:$F$578</definedName>
    <definedName name="Eswatini_HIV_USD">PR_Countries!$AN$257:$AN$258</definedName>
    <definedName name="Eswatini_Malaria_">PR_Countries!$AN$260:$AN$260</definedName>
    <definedName name="Eswatini_Malaria__">PR_Countries!$F$585:$F$585</definedName>
    <definedName name="Eswatini_Malaria__USD">PR_Countries!$F$584:$F$584</definedName>
    <definedName name="Eswatini_Malaria_National_Emergency_Response_Council_on_HIV_and_AIDS_">PR_Countries!$F$583:$F$583</definedName>
    <definedName name="Eswatini_Malaria_National_Emergency_Response_Council_on_HIV_and_AIDS_USD">PR_Countries!$F$581:$F$582</definedName>
    <definedName name="Eswatini_Malaria_USD">PR_Countries!$AN$259:$AN$259</definedName>
    <definedName name="Eswatini_Multi_">PR_Countries!$AN$261:$AN$262</definedName>
    <definedName name="Eswatini_Multi__">PR_Countries!$F$589:$F$589</definedName>
    <definedName name="Eswatini_Multi_Coordinating_Assembly_of_Non_Governmental_Organisation_">PR_Countries!$F$586:$F$587</definedName>
    <definedName name="Eswatini_Multi_National_Emergency_Response_Council_on_HIV_and_AIDS_">PR_Countries!$F$588:$F$588</definedName>
    <definedName name="Eswatini_RSSH__USD">PR_Countries!$F$590:$F$590</definedName>
    <definedName name="Eswatini_TB__USD">PR_Countries!$F$592:$F$593</definedName>
    <definedName name="Eswatini_TB_National_Emergency_Response_Council_on_HIV_and_AIDS_USD">PR_Countries!$F$591:$F$591</definedName>
    <definedName name="Eswatini_TB_USD">PR_Countries!$AN$263:$AN$263</definedName>
    <definedName name="Ethambutol">'TB-Pharma'!$D$28:$D$31</definedName>
    <definedName name="Ethambutol_Isoniazid">'TB-Pharma'!$E$93:$E$96</definedName>
    <definedName name="Ethambutol_Isoniazid_Pyrazinamide_Rifampicin">'TB-Pharma'!$D$9:$D$10</definedName>
    <definedName name="Ethambutol_Isoniazid_Rifampicin">'TB-Pharma'!$D$11:$D$12</definedName>
    <definedName name="Ethionamide">'TB-Pharma'!$L$31:$L$32</definedName>
    <definedName name="Ethiopia___">PR_Countries!$AN$264:$AN$264</definedName>
    <definedName name="Ethiopia___UNICEF_Ethiopia_">PR_Countries!$F$594:$F$594</definedName>
    <definedName name="Ethiopia_HIV__">PR_Countries!$F$601:$F$601</definedName>
    <definedName name="Ethiopia_HIV__USD">PR_Countries!$F$597:$F$600</definedName>
    <definedName name="Ethiopia_HIV_HIV_AIDS_Prevention_and_Control_Office_USD">PR_Countries!$F$595:$F$596</definedName>
    <definedName name="Ethiopia_HIV_USD">PR_Countries!$AN$265:$AN$265</definedName>
    <definedName name="Ethiopia_Malaria_">PR_Countries!$AN$268:$AN$268</definedName>
    <definedName name="Ethiopia_Malaria__USD">PR_Countries!$F$606:$F$607</definedName>
    <definedName name="Ethiopia_Malaria_Federal_Ministry_of_Health_of_the_Federal_Democratic_Republic_of_Ethiopia_">PR_Countries!$F$604:$F$604</definedName>
    <definedName name="Ethiopia_Malaria_Federal_Ministry_of_Health_of_the_Federal_Democratic_Republic_of_Ethiopia_USD">PR_Countries!$F$602:$F$603</definedName>
    <definedName name="Ethiopia_Malaria_UNICEF_Ethiopia_USD">PR_Countries!$F$605:$F$605</definedName>
    <definedName name="Ethiopia_Malaria_USD">PR_Countries!$AN$266:$AN$267</definedName>
    <definedName name="Ethiopia_Multi_">PR_Countries!$AN$269:$AN$269</definedName>
    <definedName name="Ethiopia_Multi_HIV_AIDS_Prevention_and_Control_Office_">PR_Countries!$F$608:$F$608</definedName>
    <definedName name="Ethiopia_RSSH_">PR_Countries!$AN$271:$AN$271</definedName>
    <definedName name="Ethiopia_RSSH_Federal_Ministry_of_Health_of_the_Federal_Democratic_Republic_of_Ethiopia_">PR_Countries!$F$611:$F$611</definedName>
    <definedName name="Ethiopia_RSSH_Federal_Ministry_of_Health_of_the_Federal_Democratic_Republic_of_Ethiopia_USD">PR_Countries!$F$609:$F$610</definedName>
    <definedName name="Ethiopia_RSSH_USD">PR_Countries!$AN$270:$AN$270</definedName>
    <definedName name="Ethiopia_TB__">PR_Countries!$F$615:$F$616</definedName>
    <definedName name="Ethiopia_TB__USD">PR_Countries!$F$613:$F$614</definedName>
    <definedName name="Ethiopia_TB_Federal_Ministry_of_Health_of_the_Federal_Democratic_Republic_of_Ethiopia_USD">PR_Countries!$F$612:$F$612</definedName>
    <definedName name="Ethiopia_TB_USD">PR_Countries!$AN$272:$AN$272</definedName>
    <definedName name="Etravirine">'HIV-Pharma'!$D$60:$D$62</definedName>
    <definedName name="Female_condom">'HIV-Other HP'!$D$19:$D$23</definedName>
    <definedName name="Fiji_TB_Ministry_of_Health_and_Medical_Services_of_the_Republic_of_Fiji_USD">PR_Countries!$F$617:$F$617</definedName>
    <definedName name="Fiji_TB_USD">PR_Countries!$AN$273:$AN$273</definedName>
    <definedName name="Flow_cytometry_analyzer_CD4">'HIV-Equip'!$D$24:$D$26</definedName>
    <definedName name="Flow_cytometry_analyzer_CD4_">'Malaria-Other HPs'!$R$23</definedName>
    <definedName name="Flow_cytometry_analyzer_CD4_for_Malaria">'Malaria-Other HPs'!$R$23:$R$25</definedName>
    <definedName name="Flow_cytometry_analyzer_CD4_for_TB">'TB-Other HPs'!$AB$28</definedName>
    <definedName name="Fluconazole">'TB-Pharma'!$AB$9:$AB$12</definedName>
    <definedName name="Flucytosine">'TB-Pharma'!$AB$13</definedName>
    <definedName name="Flucytosine_injection">'TB-Pharma'!$AB$14</definedName>
    <definedName name="Fosamprenavir">'HIV-Pharma'!$D$63:$D$64</definedName>
    <definedName name="Freezer">'Malaria-Other HPs'!$R$26:$R$28</definedName>
    <definedName name="Gabon___">PR_Countries!$AN$274:$AN$274</definedName>
    <definedName name="Gabon___Centre_de_Recherches_M_dicales_de_Lambar_n__">PR_Countries!$F$618:$F$618</definedName>
    <definedName name="Gabon_HIV__EUR">PR_Countries!$F$619:$F$619</definedName>
    <definedName name="Gabon_HIV__USD">PR_Countries!$F$620:$F$620</definedName>
    <definedName name="Gabon_Malaria__EUR">PR_Countries!$F$621:$F$622</definedName>
    <definedName name="Gabon_Malaria__USD">PR_Countries!$F$623:$F$623</definedName>
    <definedName name="Gabon_TB_">PR_Countries!$AN$277:$AN$277</definedName>
    <definedName name="Gabon_TB_Centre_de_Recherches_M_dicales_de_Lambar_n__">PR_Countries!$F$625:$F$625</definedName>
    <definedName name="Gabon_TB_Centre_de_Recherches_M_dicales_de_Lambar_n__EUR">PR_Countries!$F$624:$F$624</definedName>
    <definedName name="Gabon_TB_EUR">PR_Countries!$AN$275:$AN$276</definedName>
    <definedName name="Gabon_TB_Ministry_of_Health__Social_Welfare_and_National_Solidarity_of_the_Gabonese_Republic_EUR">PR_Countries!$F$626:$F$626</definedName>
    <definedName name="Gambia_HIV__USD">PR_Countries!$F$631:$F$631</definedName>
    <definedName name="Gambia_HIV_ActionAid_International_The_Gambia_EUR">PR_Countries!$F$627:$F$627</definedName>
    <definedName name="Gambia_HIV_ActionAid_International_The_Gambia_USD">PR_Countries!$F$628:$F$628</definedName>
    <definedName name="Gambia_HIV_EUR">PR_Countries!$AN$278:$AN$279</definedName>
    <definedName name="Gambia_HIV_The_National_AIDS_Secretariat_of_the_Republic_of_The_Gambia_EUR">PR_Countries!$F$629:$F$629</definedName>
    <definedName name="Gambia_HIV_The_National_AIDS_Secretariat_of_the_Republic_of_The_Gambia_USD">PR_Countries!$F$630:$F$630</definedName>
    <definedName name="Gambia_HIV_USD">PR_Countries!$AN$280:$AN$281</definedName>
    <definedName name="Gambia_Malaria_">PR_Countries!$AN$284:$AN$284</definedName>
    <definedName name="Gambia_Malaria__USD">PR_Countries!$F$635:$F$636</definedName>
    <definedName name="Gambia_Malaria_Catholic_Relief_Services___United_States_Conference_of_Catholic_Bishops_USD">PR_Countries!$F$632:$F$632</definedName>
    <definedName name="Gambia_Malaria_Ministry_of_Health_and_Social_Welfare_of_the_Republic_of_Gambia_">PR_Countries!$F$634:$F$634</definedName>
    <definedName name="Gambia_Malaria_Ministry_of_Health_and_Social_Welfare_of_the_Republic_of_Gambia_USD">PR_Countries!$F$633:$F$633</definedName>
    <definedName name="Gambia_Malaria_USD">PR_Countries!$AN$282:$AN$283</definedName>
    <definedName name="Gambia_Multi_">PR_Countries!$AN$287:$AN$287</definedName>
    <definedName name="Gambia_Multi_ActionAid_International_The_Gambia_">PR_Countries!$F$638:$F$638</definedName>
    <definedName name="Gambia_Multi_ActionAid_International_The_Gambia_USD">PR_Countries!$F$637:$F$637</definedName>
    <definedName name="Gambia_Multi_The_National_AIDS_Secretariat_of_the_Republic_of_The_Gambia_USD">PR_Countries!$F$639:$F$639</definedName>
    <definedName name="Gambia_Multi_USD">PR_Countries!$AN$285:$AN$286</definedName>
    <definedName name="Gambia_TB__USD">PR_Countries!$F$642:$F$642</definedName>
    <definedName name="Gambia_TB_Medical_Research_Council__UK__USD">PR_Countries!$F$640:$F$640</definedName>
    <definedName name="Gambia_TB_Ministry_of_Health_and_Social_Welfare_of_the_Republic_of_Gambia_USD">PR_Countries!$F$641:$F$641</definedName>
    <definedName name="Gambia_TB_USD">PR_Countries!$AN$288:$AN$289</definedName>
    <definedName name="Ganciclovir">'TB-Pharma'!$AB$55</definedName>
    <definedName name="GeneXpert">'Malaria-Other HPs'!$R$69:$R$72</definedName>
    <definedName name="GeneXpert_Consumables">'TB-Other HPs'!$AB$10</definedName>
    <definedName name="GeneXpert_Equipment">'TB-Other HPs'!$L$10:$L$19</definedName>
    <definedName name="GeneXpert_Equipment_cartridges">'TB-Other HPs'!$L$4:$L$7</definedName>
    <definedName name="GeneXpert_Equipment_cartridges_for_HIV_program">'HIV-Equip'!$B$2:$B$2</definedName>
    <definedName name="GeneXpert_Equipment_cartridges_for_TB_program">'TB-Other HPs'!$J$6:$J$6</definedName>
    <definedName name="Gentamicin">'TB-Pharma'!$AB$56</definedName>
    <definedName name="Georgia_HIV_">PR_Countries!$AN$291:$AN$291</definedName>
    <definedName name="Georgia_HIV__EUR">PR_Countries!$F$645:$F$646</definedName>
    <definedName name="Georgia_HIV__USD">PR_Countries!$F$647:$F$648</definedName>
    <definedName name="Georgia_HIV_National_Center_For_Disease_Control_and_Public_Health_">PR_Countries!$F$644:$F$644</definedName>
    <definedName name="Georgia_HIV_National_Center_For_Disease_Control_and_Public_Health_USD">PR_Countries!$F$643:$F$643</definedName>
    <definedName name="Georgia_HIV_USD">PR_Countries!$AN$290:$AN$290</definedName>
    <definedName name="Georgia_Malaria__USD">PR_Countries!$F$649:$F$651</definedName>
    <definedName name="Georgia_TB_">PR_Countries!$AN$293:$AN$293</definedName>
    <definedName name="Georgia_TB__EUR">PR_Countries!$F$654:$F$656</definedName>
    <definedName name="Georgia_TB__USD">PR_Countries!$F$657:$F$658</definedName>
    <definedName name="Georgia_TB_National_Center_For_Disease_Control_and_Public_Health_">PR_Countries!$F$653:$F$653</definedName>
    <definedName name="Georgia_TB_National_Center_For_Disease_Control_and_Public_Health_USD">PR_Countries!$F$652:$F$652</definedName>
    <definedName name="Georgia_TB_USD">PR_Countries!$AN$292:$AN$292</definedName>
    <definedName name="Ghana_HIV_">PR_Countries!$AN$298:$AN$298</definedName>
    <definedName name="Ghana_HIV__USD">PR_Countries!$F$664:$F$669</definedName>
    <definedName name="Ghana_HIV_Adventist_Development_and_Relief_Agency_of_Ghana_USD">PR_Countries!$F$659:$F$659</definedName>
    <definedName name="Ghana_HIV_Ghana_AIDS_Commission_USD">PR_Countries!$F$660:$F$660</definedName>
    <definedName name="Ghana_HIV_Ministry_of_Health_of_the_Republic_of_Ghana_USD">PR_Countries!$F$661:$F$661</definedName>
    <definedName name="Ghana_HIV_Planned_Parenthood_Association_of_Ghana_USD">PR_Countries!$F$662:$F$662</definedName>
    <definedName name="Ghana_HIV_USD">PR_Countries!$AN$294:$AN$297</definedName>
    <definedName name="Ghana_HIV_West_African_Program_to_Combat_AIDS_and_STI_">PR_Countries!$F$663:$F$663</definedName>
    <definedName name="Ghana_Malaria_">PR_Countries!$AN$301:$AN$301</definedName>
    <definedName name="Ghana_Malaria__">PR_Countries!$F$677:$F$678</definedName>
    <definedName name="Ghana_Malaria__USD">PR_Countries!$F$673:$F$676</definedName>
    <definedName name="Ghana_Malaria_AngloGold_Ashanti__Ghana__Malaria_Control_Limited_">PR_Countries!$F$671:$F$671</definedName>
    <definedName name="Ghana_Malaria_AngloGold_Ashanti__Ghana__Malaria_Control_Limited_USD">PR_Countries!$F$670:$F$670</definedName>
    <definedName name="Ghana_Malaria_Ministry_of_Health_of_the_Republic_of_Ghana_USD">PR_Countries!$F$672:$F$672</definedName>
    <definedName name="Ghana_Malaria_USD">PR_Countries!$AN$299:$AN$300</definedName>
    <definedName name="Ghana_Multi_">PR_Countries!$AN$302:$AN$303</definedName>
    <definedName name="Ghana_Multi__">PR_Countries!$F$681:$F$682</definedName>
    <definedName name="Ghana_Multi_Ministry_of_Health_of_the_Republic_of_Ghana_">PR_Countries!$F$679:$F$679</definedName>
    <definedName name="Ghana_Multi_West_African_Program_to_Combat_AIDS_and_STI_">PR_Countries!$F$680:$F$680</definedName>
    <definedName name="Ghana_RSSH__">PR_Countries!$F$683:$F$683</definedName>
    <definedName name="Ghana_TB__USD">PR_Countries!$F$685:$F$686</definedName>
    <definedName name="Ghana_TB_Ministry_of_Health_of_the_Republic_of_Ghana_USD">PR_Countries!$F$684:$F$684</definedName>
    <definedName name="Ghana_TB_USD">PR_Countries!$AN$304:$AN$304</definedName>
    <definedName name="GRAN_NO">SETUP!$G$13</definedName>
    <definedName name="Guatemala_HIV_">PR_Countries!$AN$307:$AN$307</definedName>
    <definedName name="Guatemala_HIV__">PR_Countries!$F$693:$F$695</definedName>
    <definedName name="Guatemala_HIV__USD">PR_Countries!$F$692:$F$692</definedName>
    <definedName name="Guatemala_HIV_Humanist_Institute_for_Co_operation_with_Developing_Countries_USD">PR_Countries!$F$687:$F$688</definedName>
    <definedName name="Guatemala_HIV_Instituto_de_Nutrici_n_de_Centro_Am_rica_y_Panam___INCAP__">PR_Countries!$F$689:$F$690</definedName>
    <definedName name="Guatemala_HIV_Ministry_of_Health_and_Social_Assistance_of_the_Republic_of_Guatemala_USD">PR_Countries!$F$691:$F$691</definedName>
    <definedName name="Guatemala_HIV_USD">PR_Countries!$AN$305:$AN$306</definedName>
    <definedName name="Guatemala_Malaria_">PR_Countries!$AN$309:$AN$309</definedName>
    <definedName name="Guatemala_Malaria__">PR_Countries!$F$699:$F$699</definedName>
    <definedName name="Guatemala_Malaria__USD">PR_Countries!$F$698:$F$698</definedName>
    <definedName name="Guatemala_Malaria_Ministry_of_Health_and_Social_Assistance_of_the_Republic_of_Guatemala_">PR_Countries!$F$697:$F$697</definedName>
    <definedName name="Guatemala_Malaria_Ministry_of_Health_and_Social_Assistance_of_the_Republic_of_Guatemala_USD">PR_Countries!$F$696:$F$696</definedName>
    <definedName name="Guatemala_Malaria_USD">PR_Countries!$AN$308:$AN$308</definedName>
    <definedName name="Guatemala_TB_">PR_Countries!$AN$311:$AN$311</definedName>
    <definedName name="Guatemala_TB__USD">PR_Countries!$F$702:$F$703</definedName>
    <definedName name="Guatemala_TB_Ministry_of_Health_and_Social_Assistance_of_the_Republic_of_Guatemala_">PR_Countries!$F$701:$F$701</definedName>
    <definedName name="Guatemala_TB_Ministry_of_Health_and_Social_Assistance_of_the_Republic_of_Guatemala_USD">PR_Countries!$F$700:$F$700</definedName>
    <definedName name="Guatemala_TB_USD">PR_Countries!$AN$310:$AN$310</definedName>
    <definedName name="Guinea_Bissau_HIV__USD">PR_Countries!$F$727:$F$728</definedName>
    <definedName name="Guinea_Bissau_HIV_EUR">PR_Countries!$AN$324:$AN$324</definedName>
    <definedName name="Guinea_Bissau_HIV_National_Secretariat_to_Fight_AIDS_of_Guinea_Bissau_EUR">PR_Countries!$F$725:$F$725</definedName>
    <definedName name="Guinea_Bissau_HIV_National_Secretariat_to_Fight_AIDS_of_Guinea_Bissau_USD">PR_Countries!$F$726:$F$726</definedName>
    <definedName name="Guinea_Bissau_HIV_USD">PR_Countries!$AN$325:$AN$325</definedName>
    <definedName name="Guinea_Bissau_Malaria_">PR_Countries!$AN$327:$AN$327</definedName>
    <definedName name="Guinea_Bissau_Malaria__">PR_Countries!$F$735:$F$736</definedName>
    <definedName name="Guinea_Bissau_Malaria__EUR">PR_Countries!$F$731:$F$731</definedName>
    <definedName name="Guinea_Bissau_Malaria__USD">PR_Countries!$F$732:$F$734</definedName>
    <definedName name="Guinea_Bissau_Malaria_EUR">PR_Countries!$AN$326:$AN$326</definedName>
    <definedName name="Guinea_Bissau_Malaria_United_Nations_Development_Programme_">PR_Countries!$F$730:$F$730</definedName>
    <definedName name="Guinea_Bissau_Malaria_United_Nations_Development_Programme_EUR">PR_Countries!$F$729:$F$729</definedName>
    <definedName name="Guinea_Bissau_Multi_">PR_Countries!$AN$329:$AN$329</definedName>
    <definedName name="Guinea_Bissau_Multi__">PR_Countries!$F$739:$F$740</definedName>
    <definedName name="Guinea_Bissau_Multi_EUR">PR_Countries!$AN$328:$AN$328</definedName>
    <definedName name="Guinea_Bissau_Multi_Ministry_of_Health_of_the_Republic_of_Guinea_Bissau_">PR_Countries!$F$738:$F$738</definedName>
    <definedName name="Guinea_Bissau_Multi_Ministry_of_Health_of_the_Republic_of_Guinea_Bissau_EUR">PR_Countries!$F$737:$F$737</definedName>
    <definedName name="Guinea_Bissau_RSSH__EUR">PR_Countries!$F$741:$F$741</definedName>
    <definedName name="Guinea_Bissau_TB__EUR">PR_Countries!$F$744:$F$744</definedName>
    <definedName name="Guinea_Bissau_TB__USD">PR_Countries!$F$745:$F$746</definedName>
    <definedName name="Guinea_Bissau_TB_EUR">PR_Countries!$AN$330:$AN$331</definedName>
    <definedName name="Guinea_Bissau_TB_Ministry_of_Health_of_the_Republic_of_Guinea_Bissau_EUR">PR_Countries!$F$742:$F$742</definedName>
    <definedName name="Guinea_Bissau_TB_United_Nations_Development_Programme_EUR">PR_Countries!$F$743:$F$743</definedName>
    <definedName name="Guinea_HIV_">PR_Countries!$AN$316:$AN$316</definedName>
    <definedName name="Guinea_HIV__USD">PR_Countries!$F$709:$F$710</definedName>
    <definedName name="Guinea_HIV_German_Corporation_for_International_Cooperation__GIZ__GmbH_USD">PR_Countries!$F$704:$F$704</definedName>
    <definedName name="Guinea_HIV_Population_Services_International_USD">PR_Countries!$F$705:$F$705</definedName>
    <definedName name="Guinea_HIV_Secr_tariat_Ex_cutif_du_Comit__National_de_Lutte_contre_le_Sida_de_la_R_publique_de_Guin_e_USD">PR_Countries!$F$706:$F$706</definedName>
    <definedName name="Guinea_HIV_The_Ministry_of_Public_Health_of_the_Republic_of_Guinea_">PR_Countries!$F$708:$F$708</definedName>
    <definedName name="Guinea_HIV_The_Ministry_of_Public_Health_of_the_Republic_of_Guinea_USD">PR_Countries!$F$707:$F$707</definedName>
    <definedName name="Guinea_HIV_USD">PR_Countries!$AN$312:$AN$315</definedName>
    <definedName name="Guinea_Malaria_">PR_Countries!$AN$318:$AN$318</definedName>
    <definedName name="Guinea_Malaria__">PR_Countries!$F$716:$F$716</definedName>
    <definedName name="Guinea_Malaria__USD">PR_Countries!$F$713:$F$715</definedName>
    <definedName name="Guinea_Malaria_Catholic_Relief_Services___United_States_Conference_of_Catholic_Bishops_">PR_Countries!$F$712:$F$712</definedName>
    <definedName name="Guinea_Malaria_Catholic_Relief_Services___United_States_Conference_of_Catholic_Bishops_USD">PR_Countries!$F$711:$F$711</definedName>
    <definedName name="Guinea_Malaria_USD">PR_Countries!$AN$317:$AN$317</definedName>
    <definedName name="Guinea_Multi__">PR_Countries!$F$718:$F$718</definedName>
    <definedName name="Guinea_Multi_Plan_International__Inc__USD">PR_Countries!$F$717:$F$717</definedName>
    <definedName name="Guinea_Multi_USD">PR_Countries!$AN$319:$AN$319</definedName>
    <definedName name="Guinea_RSSH__USD">PR_Countries!$F$719:$F$719</definedName>
    <definedName name="Guinea_TB_">PR_Countries!$AN$323:$AN$323</definedName>
    <definedName name="Guinea_TB__EUR">PR_Countries!$F$724:$F$724</definedName>
    <definedName name="Guinea_TB_Plan_International__Inc__">PR_Countries!$F$721:$F$721</definedName>
    <definedName name="Guinea_TB_Plan_International__Inc__USD">PR_Countries!$F$720:$F$720</definedName>
    <definedName name="Guinea_TB_Population_Services_International_USD">PR_Countries!$F$722:$F$722</definedName>
    <definedName name="Guinea_TB_The_Ministry_of_Public_Health_of_the_Republic_of_Guinea_USD">PR_Countries!$F$723:$F$723</definedName>
    <definedName name="Guinea_TB_USD">PR_Countries!$AN$320:$AN$322</definedName>
    <definedName name="Guyana_HIV_">PR_Countries!$AN$333:$AN$333</definedName>
    <definedName name="Guyana_HIV_Ministry_of_Health_of_the_Republic_of_Guyana_">PR_Countries!$F$748:$F$749</definedName>
    <definedName name="Guyana_HIV_Ministry_of_Health_of_the_Republic_of_Guyana_USD">PR_Countries!$F$747:$F$747</definedName>
    <definedName name="Guyana_HIV_USD">PR_Countries!$AN$332:$AN$332</definedName>
    <definedName name="Guyana_Malaria_">PR_Countries!$AN$335:$AN$335</definedName>
    <definedName name="Guyana_Malaria__USD">PR_Countries!$F$752:$F$753</definedName>
    <definedName name="Guyana_Malaria_Ministry_of_Health_of_the_Republic_of_Guyana_">PR_Countries!$F$751:$F$751</definedName>
    <definedName name="Guyana_Malaria_Ministry_of_Health_of_the_Republic_of_Guyana_USD">PR_Countries!$F$750:$F$750</definedName>
    <definedName name="Guyana_Malaria_USD">PR_Countries!$AN$334:$AN$334</definedName>
    <definedName name="Guyana_Multi__">PR_Countries!$F$754:$F$754</definedName>
    <definedName name="Guyana_RSSH__USD">PR_Countries!$F$755:$F$755</definedName>
    <definedName name="Guyana_TB_">PR_Countries!$AN$337:$AN$337</definedName>
    <definedName name="Guyana_TB__USD">PR_Countries!$F$759:$F$759</definedName>
    <definedName name="Guyana_TB_Ministry_of_Health_of_the_Republic_of_Guyana_">PR_Countries!$F$758:$F$758</definedName>
    <definedName name="Guyana_TB_Ministry_of_Health_of_the_Republic_of_Guyana_USD">PR_Countries!$F$756:$F$757</definedName>
    <definedName name="Guyana_TB_USD">PR_Countries!$AN$336:$AN$336</definedName>
    <definedName name="Haiti_HIV__USD">PR_Countries!$F$761:$F$764</definedName>
    <definedName name="Haiti_HIV_United_Nations_Development_Programme_USD">PR_Countries!$F$760:$F$760</definedName>
    <definedName name="Haiti_HIV_USD">PR_Countries!$AN$338:$AN$338</definedName>
    <definedName name="Haiti_Malaria_">PR_Countries!$AN$340:$AN$340</definedName>
    <definedName name="Haiti_Malaria__USD">PR_Countries!$F$768:$F$768</definedName>
    <definedName name="Haiti_Malaria_Population_Services_International_">PR_Countries!$F$767:$F$767</definedName>
    <definedName name="Haiti_Malaria_Population_Services_International_USD">PR_Countries!$F$765:$F$766</definedName>
    <definedName name="Haiti_Malaria_USD">PR_Countries!$AN$339:$AN$339</definedName>
    <definedName name="Haiti_Multi_">PR_Countries!$AN$342:$AN$342</definedName>
    <definedName name="Haiti_Multi__">PR_Countries!$F$771:$F$771</definedName>
    <definedName name="Haiti_Multi_Population_Services_International_">PR_Countries!$F$770:$F$770</definedName>
    <definedName name="Haiti_Multi_Population_Services_International_USD">PR_Countries!$F$769:$F$769</definedName>
    <definedName name="Haiti_Multi_USD">PR_Countries!$AN$341:$AN$341</definedName>
    <definedName name="Haiti_TB__USD">PR_Countries!$F$773:$F$773</definedName>
    <definedName name="Haiti_TB_United_Nations_Development_Programme_USD">PR_Countries!$F$772:$F$772</definedName>
    <definedName name="Haiti_TB_USD">PR_Countries!$AN$343:$AN$343</definedName>
    <definedName name="Hematology_analyzer">'Malaria-Other HPs'!$R$29:$R$31</definedName>
    <definedName name="Hematology_or_biochemistry_analyzers">'Malaria-Other HPs'!$R$32:$R$34</definedName>
    <definedName name="Hematology_or_biochemistry_reagents_Coulter">'Malaria-Other HPs'!$R$74</definedName>
    <definedName name="Hematology_or_biochemistry_reagents_ELITechGroup">'Malaria-Other HPs'!$R$75</definedName>
    <definedName name="Hematology_or_biochemistry_reagents_Roche_Cobas_c_Integra">'Malaria-Other HPs'!$R$73</definedName>
    <definedName name="Hematology_or_biochemistry_reagents_Roche_Cobas_c111">'Malaria-Other HPs'!$R$76</definedName>
    <definedName name="Hematology_or_biochemistry_reagents_Sysmex">'Malaria-Other HPs'!$R$77</definedName>
    <definedName name="HIV_Automated_blood_culture_system_system_for_incubating_and_processing_blood_cultures1">'HIV-Equip'!$D$2:$D$3</definedName>
    <definedName name="HIV_Automated_blood_culture_system_system_for_incubating_and_processing_blood_cultures2">'HIV-Equip'!$D$31</definedName>
    <definedName name="HIV_Biological_Safety_Cabinet1">'HIV-Equip'!$D$4:$D$5</definedName>
    <definedName name="HIV_Biological_Safety_Cabinet2">'HIV-Equip'!$D$32</definedName>
    <definedName name="HIV_Centrifuges1">'HIV-Equip'!$D$6:$D$7</definedName>
    <definedName name="HIV_Centrifuges2">'HIV-Equip'!$D$33</definedName>
    <definedName name="HIV_DNA_extraction_amplification_isolation_purification_detection_and_sequencing_analyzers1">'HIV-Equip'!$D$8:$D$8</definedName>
    <definedName name="HIV_DNA_extraction_amplification_isolation_purification_detection_and_sequencing_analyzers2">'HIV-Equip'!$D$35</definedName>
    <definedName name="HIV_Early_Infant_Diagnosis">'HIV-Other HP'!$T$2:$T$9</definedName>
    <definedName name="HIV_Equipment_Other1">'HIV-Equip'!$D$51</definedName>
    <definedName name="HIV_Flow_cytometry_analyzer_CD41">'HIV-Equip'!$D$27:$D$28</definedName>
    <definedName name="HIV_Flow_cytometry_analyzer_CD42">'HIV-Equip'!$D$36</definedName>
    <definedName name="HIV_Freezer1">'HIV-Equip'!$D$10:$D$11</definedName>
    <definedName name="HIV_Freezer2">'HIV-Equip'!$D$37</definedName>
    <definedName name="HIV_Laboratory_equipment">'HIV-Equip'!$B$2:$B$16</definedName>
    <definedName name="HIV_Laboratory_reagents">'HIV-Other HP'!$R$2:$R$3</definedName>
    <definedName name="HIV_Maintenance_and_service_costs_for_health_equipment">'HIV-Equip'!$B$17:$B$31</definedName>
    <definedName name="HIV_Microbiology_analyzers1">'HIV-Equip'!$D$16:$D$17</definedName>
    <definedName name="HIV_Microbiology_analyzers2">'HIV-Equip'!$D$39</definedName>
    <definedName name="HIV_Other_health_equipment">'HIV-Equip'!$B$26:$B$34</definedName>
    <definedName name="HIV_Refrigerator1">'HIV-Equip'!$D$18:$D$19</definedName>
    <definedName name="HIV_Refrigerator2">'HIV-Equip'!$D$40</definedName>
    <definedName name="HIV_Spectrofluorimeters_or_fluorimeters1">'HIV-Equip'!$D$20:$D$21</definedName>
    <definedName name="HIV_Spectrofluorimeters_or_fluorimeters2">'HIV-Equip'!$D$41</definedName>
    <definedName name="HIV_Viral_load_and_or_EID_analyzer1">'HIV-Equip'!$D$29:$D$30</definedName>
    <definedName name="HIV_Viral_load_and_or_EID_analyzer2">'HIV-Equip'!$D$42</definedName>
    <definedName name="HIV_Viral_Load_test">'HIV-Other HP'!$T$10:$T$20</definedName>
    <definedName name="Hologic">LISTS!$L$12</definedName>
    <definedName name="Honduras_HIV_">PR_Countries!$AN$345:$AN$345</definedName>
    <definedName name="Honduras_HIV__USD">PR_Countries!$F$776:$F$777</definedName>
    <definedName name="Honduras_HIV_Cooperative_Housing_Foundation_">PR_Countries!$F$775:$F$775</definedName>
    <definedName name="Honduras_HIV_Cooperative_Housing_Foundation_USD">PR_Countries!$F$774:$F$774</definedName>
    <definedName name="Honduras_HIV_USD">PR_Countries!$AN$344:$AN$344</definedName>
    <definedName name="Honduras_Malaria_">PR_Countries!$AN$347:$AN$347</definedName>
    <definedName name="Honduras_Malaria__">PR_Countries!$F$782:$F$782</definedName>
    <definedName name="Honduras_Malaria__USD">PR_Countries!$F$781:$F$781</definedName>
    <definedName name="Honduras_Malaria_Cooperative_Housing_Foundation_">PR_Countries!$F$780:$F$780</definedName>
    <definedName name="Honduras_Malaria_Cooperative_Housing_Foundation_USD">PR_Countries!$F$778:$F$779</definedName>
    <definedName name="Honduras_Malaria_USD">PR_Countries!$AN$346:$AN$346</definedName>
    <definedName name="Honduras_Multi_Cooperative_Housing_Foundation_USD">PR_Countries!$F$783:$F$783</definedName>
    <definedName name="Honduras_Multi_USD">PR_Countries!$AN$348:$AN$348</definedName>
    <definedName name="Honduras_TB_">PR_Countries!$AN$351:$AN$351</definedName>
    <definedName name="Honduras_TB__USD">PR_Countries!$F$787:$F$787</definedName>
    <definedName name="Honduras_TB_Cooperative_Housing_Foundation_USD">PR_Countries!$F$784:$F$784</definedName>
    <definedName name="Honduras_TB_Ministry_of_Health_of_the_Republic_of_Honduras_">PR_Countries!$F$786:$F$786</definedName>
    <definedName name="Honduras_TB_Ministry_of_Health_of_the_Republic_of_Honduras_USD">PR_Countries!$F$785:$F$785</definedName>
    <definedName name="Honduras_TB_USD">PR_Countries!$AN$349:$AN$350</definedName>
    <definedName name="HPMInvestAutho">'HPM LIST'!$F$2:$F$8</definedName>
    <definedName name="HPMTypeOfInvest">'HPM LIST'!$D$2:$D$11</definedName>
    <definedName name="HPMTypeOfLab">'HPM LIST'!$E$2:$E$10</definedName>
    <definedName name="HPMTypeOfProd">'HPM LIST'!$C$2:$C$8</definedName>
    <definedName name="Ibuprofen">'TB-Pharma'!$AB$57:$AB$58</definedName>
    <definedName name="Imipenem_Cilastatin">'TB-Pharma'!$L$33:$L$34</definedName>
    <definedName name="IMP_ST_DATE">SETUP!$G$14</definedName>
    <definedName name="India_HIV_">PR_Countries!$AN$360:$AN$360</definedName>
    <definedName name="India_HIV__USD">PR_Countries!$F$799:$F$805</definedName>
    <definedName name="India_HIV_Department_of_Economic_Affairs__Ministry_of_Finance_of_India_USD">PR_Countries!$F$788:$F$790</definedName>
    <definedName name="India_HIV_Emmanuel_Hospital_Association_USD">PR_Countries!$F$791:$F$791</definedName>
    <definedName name="India_HIV_IL_FS_Education___Technology_Services_Ltd__USD">PR_Countries!$F$792:$F$792</definedName>
    <definedName name="India_HIV_India_HIV_AIDS_Alliance_USD">PR_Countries!$F$793:$F$793</definedName>
    <definedName name="India_HIV_Indian_Nursing_Council_USD">PR_Countries!$F$794:$F$794</definedName>
    <definedName name="India_HIV_Plan_International__India_Chapter__">PR_Countries!$F$796:$F$796</definedName>
    <definedName name="India_HIV_Plan_International__India_Chapter__USD">PR_Countries!$F$795:$F$795</definedName>
    <definedName name="India_HIV_Solidarity_and_Action_Against_The_HIV_Infection_in_India_USD">PR_Countries!$F$797:$F$797</definedName>
    <definedName name="India_HIV_Tata_Institute_of_Social_Sciences_USD">PR_Countries!$F$798:$F$798</definedName>
    <definedName name="India_HIV_USD">PR_Countries!$AN$352:$AN$359</definedName>
    <definedName name="India_Malaria_">PR_Countries!$AN$363:$AN$363</definedName>
    <definedName name="India_Malaria__USD">PR_Countries!$F$811:$F$811</definedName>
    <definedName name="India_Malaria_Caritas_India_USD">PR_Countries!$F$806:$F$807</definedName>
    <definedName name="India_Malaria_Department_of_Economic_Affairs__Ministry_of_Finance_of_India_">PR_Countries!$F$810:$F$810</definedName>
    <definedName name="India_Malaria_Department_of_Economic_Affairs__Ministry_of_Finance_of_India_USD">PR_Countries!$F$808:$F$809</definedName>
    <definedName name="India_Malaria_USD">PR_Countries!$AN$361:$AN$362</definedName>
    <definedName name="India_Multi_">PR_Countries!$AN$364:$AN$364</definedName>
    <definedName name="India_Multi__USD">PR_Countries!$F$813:$F$813</definedName>
    <definedName name="India_Multi_William_J_Clinton_Foundation_">PR_Countries!$F$812:$F$812</definedName>
    <definedName name="India_TB_">PR_Countries!$AN$368:$AN$371</definedName>
    <definedName name="India_TB__USD">PR_Countries!$F$821:$F$827</definedName>
    <definedName name="India_TB_Centre_for_Health_Research_and_Innovation_">PR_Countries!$F$814:$F$814</definedName>
    <definedName name="India_TB_Department_of_Economic_Affairs__Ministry_of_Finance_of_India_">PR_Countries!$F$816:$F$816</definedName>
    <definedName name="India_TB_Department_of_Economic_Affairs__Ministry_of_Finance_of_India_USD">PR_Countries!$F$815:$F$815</definedName>
    <definedName name="India_TB_FOUNDATION_FOR_INNOVATIVE_NEW_DIAGNOSTICS_INDIA_">PR_Countries!$F$817:$F$817</definedName>
    <definedName name="India_TB_International_Bank_for_Reconstruction_and_Development_">PR_Countries!$F$818:$F$818</definedName>
    <definedName name="India_TB_International_Union_Against_Tuberculosis_and_Lung_Disease_USD">PR_Countries!$F$819:$F$819</definedName>
    <definedName name="India_TB_USD">PR_Countries!$AN$365:$AN$367</definedName>
    <definedName name="India_TB_World_Vision_India_USD">PR_Countries!$F$820:$F$820</definedName>
    <definedName name="Indonesia_HIV_">PR_Countries!$AN$377:$AN$377</definedName>
    <definedName name="Indonesia_HIV__">PR_Countries!$F$840:$F$840</definedName>
    <definedName name="Indonesia_HIV__USD">PR_Countries!$F$834:$F$839</definedName>
    <definedName name="Indonesia_HIV_Directorate_General_of_Disease_Prevention_and_Control__Ministry_of_Health_of_The_Republic_of_Indonesia_USD">PR_Countries!$F$828:$F$828</definedName>
    <definedName name="Indonesia_HIV_Indonesia_AIDS_Coalition_">PR_Countries!$F$829:$F$829</definedName>
    <definedName name="Indonesia_HIV_Indonesia_Planned_Parenthood_Association_USD">PR_Countries!$F$830:$F$830</definedName>
    <definedName name="Indonesia_HIV_Nahdlatul_Ulama_USD">PR_Countries!$F$831:$F$831</definedName>
    <definedName name="Indonesia_HIV_National_AIDS_Commission_of_Indonesia_USD">PR_Countries!$F$832:$F$832</definedName>
    <definedName name="Indonesia_HIV_USD">PR_Countries!$AN$372:$AN$376</definedName>
    <definedName name="Indonesia_HIV_Yayasan_Spiritia_USD">PR_Countries!$F$833:$F$833</definedName>
    <definedName name="Indonesia_Malaria_">PR_Countries!$AN$380:$AN$380</definedName>
    <definedName name="Indonesia_Malaria__">PR_Countries!$F$848:$F$848</definedName>
    <definedName name="Indonesia_Malaria__USD">PR_Countries!$F$844:$F$847</definedName>
    <definedName name="Indonesia_Malaria_Directorate_General_of_Disease_Prevention_and_Control__Ministry_of_Health_of_The_Republic_of_Indonesia_">PR_Countries!$F$842:$F$842</definedName>
    <definedName name="Indonesia_Malaria_Directorate_General_of_Disease_Prevention_and_Control__Ministry_of_Health_of_The_Republic_of_Indonesia_USD">PR_Countries!$F$841:$F$841</definedName>
    <definedName name="Indonesia_Malaria_Persatuan_Karya_Dharma_Kesehatan_Indonesia__also_known_as__PERDHAKI___Association_of_Voluntary_Health_Services_of_Indonesia__USD">PR_Countries!$F$843:$F$843</definedName>
    <definedName name="Indonesia_Malaria_USD">PR_Countries!$AN$378:$AN$379</definedName>
    <definedName name="Indonesia_Multi_">PR_Countries!$AN$381:$AN$381</definedName>
    <definedName name="Indonesia_Multi_Nahdlatul_Ulama_">PR_Countries!$F$849:$F$849</definedName>
    <definedName name="Indonesia_RSSH_Directorate_General_of_Disease_Prevention_and_Control__Ministry_of_Health_of_The_Republic_of_Indonesia_USD">PR_Countries!$F$850:$F$850</definedName>
    <definedName name="Indonesia_RSSH_USD">PR_Countries!$AN$382:$AN$382</definedName>
    <definedName name="Indonesia_TB_">PR_Countries!$AN$386:$AN$386</definedName>
    <definedName name="Indonesia_TB__">PR_Countries!$F$859:$F$859</definedName>
    <definedName name="Indonesia_TB__USD">PR_Countries!$F$855:$F$858</definedName>
    <definedName name="Indonesia_TB_Central_Board_of_‘Aisyiyah_USD">PR_Countries!$F$851:$F$851</definedName>
    <definedName name="Indonesia_TB_Directorate_General_of_Disease_Prevention_and_Control__Ministry_of_Health_of_The_Republic_of_Indonesia_USD">PR_Countries!$F$852:$F$852</definedName>
    <definedName name="Indonesia_TB_Faculty_of_Public_Health__University_of_Indonesia_USD">PR_Countries!$F$853:$F$853</definedName>
    <definedName name="Indonesia_TB_Nahdlatul_Ulama_">PR_Countries!$F$854:$F$854</definedName>
    <definedName name="Indonesia_TB_USD">PR_Countries!$AN$383:$AN$385</definedName>
    <definedName name="Insecticides_for_purposes_other_than_IRS">'Malaria-Other HPs'!$M$56</definedName>
    <definedName name="Iran__Islamic_Republic__HIV_">PR_Countries!$AN$388:$AN$388</definedName>
    <definedName name="Iran__Islamic_Republic__HIV__USD">PR_Countries!$F$862:$F$863</definedName>
    <definedName name="Iran__Islamic_Republic__HIV_United_Nations_Development_Programme_">PR_Countries!$F$861:$F$861</definedName>
    <definedName name="Iran__Islamic_Republic__HIV_United_Nations_Development_Programme_USD">PR_Countries!$F$860:$F$860</definedName>
    <definedName name="Iran__Islamic_Republic__HIV_USD">PR_Countries!$AN$387:$AN$387</definedName>
    <definedName name="Iran__Islamic_Republic__Malaria__USD">PR_Countries!$F$865:$F$865</definedName>
    <definedName name="Iran__Islamic_Republic__Malaria_United_Nations_Development_Programme_USD">PR_Countries!$F$864:$F$864</definedName>
    <definedName name="Iran__Islamic_Republic__Malaria_USD">PR_Countries!$AN$389:$AN$389</definedName>
    <definedName name="Iran__Islamic_Republic__TB__USD">PR_Countries!$F$866:$F$866</definedName>
    <definedName name="Iraq_TB__USD">PR_Countries!$F$869:$F$869</definedName>
    <definedName name="Iraq_TB_Swiss_Tropical_and_Public_Health_Institute_USD">PR_Countries!$F$867:$F$867</definedName>
    <definedName name="Iraq_TB_United_Nations_Development_Programme_USD">PR_Countries!$F$868:$F$868</definedName>
    <definedName name="Iraq_TB_USD">PR_Countries!$AN$390:$AN$391</definedName>
    <definedName name="IRS_equipment_insecticides">'Malaria-Other HPs'!$AB$5:$AB$6</definedName>
    <definedName name="IRS_Insecticides">'Malaria-Other HPs'!$M$57:$M$73</definedName>
    <definedName name="Isoniazid">'TB-Pharma'!$D$3:$D$7</definedName>
    <definedName name="Isoniazid_Pyrazinamide_Rifampicin">'TB-Pharma'!$D$13:$D$14</definedName>
    <definedName name="Isoniazid_Pyridoxine_hydrochl_Sulfamethoxazole_Trimethoprim">'TB-Pharma'!$D$2</definedName>
    <definedName name="Isoniazid_Rifampicin">'TB-Pharma'!$D$15:$D$18</definedName>
    <definedName name="Itraconazole">'TB-Pharma'!$AB$59</definedName>
    <definedName name="Jamaica_HIV_">PR_Countries!$AN$393:$AN$393</definedName>
    <definedName name="Jamaica_HIV__">PR_Countries!$F$874:$F$874</definedName>
    <definedName name="Jamaica_HIV__USD">PR_Countries!$F$873:$F$873</definedName>
    <definedName name="Jamaica_HIV_Ministry_of_Health_of_Jamaica_">PR_Countries!$F$872:$F$872</definedName>
    <definedName name="Jamaica_HIV_Ministry_of_Health_of_Jamaica_USD">PR_Countries!$F$870:$F$871</definedName>
    <definedName name="Jamaica_HIV_USD">PR_Countries!$AN$392:$AN$392</definedName>
    <definedName name="Jordan_HIV__USD">PR_Countries!$F$875:$F$876</definedName>
    <definedName name="Jordan_TB__USD">PR_Countries!$F$877:$F$878</definedName>
    <definedName name="Kanamycin">'TB-Pharma'!$L$35:$L$38</definedName>
    <definedName name="Kazakhstan_HIV_">PR_Countries!$AN$395:$AN$395</definedName>
    <definedName name="Kazakhstan_HIV__">PR_Countries!$F$883:$F$883</definedName>
    <definedName name="Kazakhstan_HIV__USD">PR_Countries!$F$881:$F$882</definedName>
    <definedName name="Kazakhstan_HIV_Kazakh_scientific_center_of_dermatology_and_infectious_diseases_of_the_Ministry_of_Health_of_the_Republic_of_Kazakhstan_">PR_Countries!$F$880:$F$880</definedName>
    <definedName name="Kazakhstan_HIV_Kazakh_scientific_center_of_dermatology_and_infectious_diseases_of_the_Ministry_of_Health_of_the_Republic_of_Kazakhstan_USD">PR_Countries!$F$879:$F$879</definedName>
    <definedName name="Kazakhstan_HIV_USD">PR_Countries!$AN$394:$AN$394</definedName>
    <definedName name="Kazakhstan_TB_">PR_Countries!$AN$398:$AN$398</definedName>
    <definedName name="Kazakhstan_TB__USD">PR_Countries!$F$888:$F$888</definedName>
    <definedName name="Kazakhstan_TB_National_Center_of_Tuberculosis_Problems_of_the_Ministry_of_Healthcare_and_Social_Development_of_the_Republic_of_Kazakhstan_">PR_Countries!$F$886:$F$886</definedName>
    <definedName name="Kazakhstan_TB_National_Center_of_Tuberculosis_Problems_of_the_Ministry_of_Healthcare_and_Social_Development_of_the_Republic_of_Kazakhstan_USD">PR_Countries!$F$884:$F$885</definedName>
    <definedName name="Kazakhstan_TB_Project_HOPE____the_People_to_People_Health_Foundation_USD">PR_Countries!$F$887:$F$887</definedName>
    <definedName name="Kazakhstan_TB_USD">PR_Countries!$AN$396:$AN$397</definedName>
    <definedName name="Kenya_HIV__">PR_Countries!$F$896:$F$896</definedName>
    <definedName name="Kenya_HIV__USD">PR_Countries!$F$891:$F$895</definedName>
    <definedName name="Kenya_HIV_Kenya_Red_Cross_Society_USD">PR_Countries!$F$889:$F$889</definedName>
    <definedName name="Kenya_HIV_National_Treasury_of_the_Republic_of_Kenya_USD">PR_Countries!$F$890:$F$890</definedName>
    <definedName name="Kenya_HIV_USD">PR_Countries!$AN$399:$AN$400</definedName>
    <definedName name="Kenya_Malaria_">PR_Countries!$AN$403:$AN$403</definedName>
    <definedName name="Kenya_Malaria__USD">PR_Countries!$F$900:$F$903</definedName>
    <definedName name="Kenya_Malaria_Amref_Health_Africa_in_Kenya_">PR_Countries!$F$898:$F$898</definedName>
    <definedName name="Kenya_Malaria_Amref_Health_Africa_in_Kenya_USD">PR_Countries!$F$897:$F$897</definedName>
    <definedName name="Kenya_Malaria_National_Treasury_of_the_Republic_of_Kenya_USD">PR_Countries!$F$899:$F$899</definedName>
    <definedName name="Kenya_Malaria_USD">PR_Countries!$AN$401:$AN$402</definedName>
    <definedName name="Kenya_Multi_">PR_Countries!$AN$404:$AN$404</definedName>
    <definedName name="Kenya_Multi_Amref_Health_Africa_in_Kenya_">PR_Countries!$F$904:$F$904</definedName>
    <definedName name="Kenya_TB__">PR_Countries!$F$910:$F$911</definedName>
    <definedName name="Kenya_TB__USD">PR_Countries!$F$907:$F$909</definedName>
    <definedName name="Kenya_TB_Amref_Health_Africa_in_Kenya_USD">PR_Countries!$F$905:$F$905</definedName>
    <definedName name="Kenya_TB_National_Treasury_of_the_Republic_of_Kenya_USD">PR_Countries!$F$906:$F$906</definedName>
    <definedName name="Kenya_TB_USD">PR_Countries!$AN$405:$AN$406</definedName>
    <definedName name="KEY">SETUP!$G$12</definedName>
    <definedName name="KEY_1">SETUP!$F$12</definedName>
    <definedName name="Korea__Democratic_Peoples_Republic__Malaria_">PR_Countries!$AN$408:$AN$408</definedName>
    <definedName name="Korea__Democratic_Peoples_Republic__Malaria__USD">PR_Countries!$F$914:$F$914</definedName>
    <definedName name="Korea__Democratic_Peoples_Republic__Malaria_United_Nations_Children_s_Fund_">PR_Countries!$F$913:$F$913</definedName>
    <definedName name="Korea__Democratic_Peoples_Republic__Malaria_United_Nations_Children_s_Fund_USD">PR_Countries!$F$912:$F$912</definedName>
    <definedName name="Korea__Democratic_Peoples_Republic__Malaria_USD">PR_Countries!$AN$407:$AN$407</definedName>
    <definedName name="Korea__Democratic_Peoples_Republic__Multi_">PR_Countries!$AN$410:$AN$410</definedName>
    <definedName name="Korea__Democratic_Peoples_Republic__Multi_United_Nations_Children_s_Fund_">PR_Countries!$F$916:$F$916</definedName>
    <definedName name="Korea__Democratic_Peoples_Republic__Multi_United_Nations_Children_s_Fund_USD">PR_Countries!$F$915:$F$915</definedName>
    <definedName name="Korea__Democratic_Peoples_Republic__Multi_USD">PR_Countries!$AN$409:$AN$409</definedName>
    <definedName name="Korea__Democratic_Peoples_Republic__TB_">PR_Countries!$AN$412:$AN$412</definedName>
    <definedName name="Korea__Democratic_Peoples_Republic__TB__USD">PR_Countries!$F$919:$F$919</definedName>
    <definedName name="Korea__Democratic_Peoples_Republic__TB_United_Nations_Children_s_Fund_">PR_Countries!$F$918:$F$918</definedName>
    <definedName name="Korea__Democratic_Peoples_Republic__TB_United_Nations_Children_s_Fund_USD">PR_Countries!$F$917:$F$917</definedName>
    <definedName name="Korea__Democratic_Peoples_Republic__TB_USD">PR_Countries!$AN$411:$AN$411</definedName>
    <definedName name="Kosovo_HIV_">PR_Countries!$AN$414:$AN$414</definedName>
    <definedName name="Kosovo_HIV__EUR">PR_Countries!$F$923:$F$923</definedName>
    <definedName name="Kosovo_HIV_Community_Development_Fund_">PR_Countries!$F$922:$F$922</definedName>
    <definedName name="Kosovo_HIV_Community_Development_Fund_EUR">PR_Countries!$F$920:$F$921</definedName>
    <definedName name="Kosovo_HIV_EUR">PR_Countries!$AN$413:$AN$413</definedName>
    <definedName name="Kosovo_TB_">PR_Countries!$AN$416:$AN$416</definedName>
    <definedName name="Kosovo_TB__EUR">PR_Countries!$F$927:$F$927</definedName>
    <definedName name="Kosovo_TB__USD">PR_Countries!$F$928:$F$928</definedName>
    <definedName name="Kosovo_TB_Community_Development_Fund_">PR_Countries!$F$926:$F$926</definedName>
    <definedName name="Kosovo_TB_Community_Development_Fund_EUR">PR_Countries!$F$924:$F$925</definedName>
    <definedName name="Kosovo_TB_EUR">PR_Countries!$AN$415:$AN$415</definedName>
    <definedName name="Kyrgyzstan_HIV__USD">PR_Countries!$F$930:$F$931</definedName>
    <definedName name="Kyrgyzstan_HIV_United_Nations_Development_Programme_USD">PR_Countries!$F$929:$F$929</definedName>
    <definedName name="Kyrgyzstan_HIV_USD">PR_Countries!$AN$417:$AN$417</definedName>
    <definedName name="Kyrgyzstan_Malaria__USD">PR_Countries!$F$933:$F$934</definedName>
    <definedName name="Kyrgyzstan_Malaria_United_Nations_Development_Programme_USD">PR_Countries!$F$932:$F$932</definedName>
    <definedName name="Kyrgyzstan_Malaria_USD">PR_Countries!$AN$418:$AN$418</definedName>
    <definedName name="Kyrgyzstan_Multi_">PR_Countries!$AN$420:$AN$420</definedName>
    <definedName name="Kyrgyzstan_Multi__">PR_Countries!$F$937:$F$937</definedName>
    <definedName name="Kyrgyzstan_Multi_United_Nations_Development_Programme_">PR_Countries!$F$936:$F$936</definedName>
    <definedName name="Kyrgyzstan_Multi_United_Nations_Development_Programme_USD">PR_Countries!$F$935:$F$935</definedName>
    <definedName name="Kyrgyzstan_Multi_USD">PR_Countries!$AN$419:$AN$419</definedName>
    <definedName name="Kyrgyzstan_TB__">PR_Countries!$F$942:$F$943</definedName>
    <definedName name="Kyrgyzstan_TB__USD">PR_Countries!$F$940:$F$941</definedName>
    <definedName name="Kyrgyzstan_TB_Project_HOPE____the_People_to_People_Health_Foundation_USD">PR_Countries!$F$938:$F$938</definedName>
    <definedName name="Kyrgyzstan_TB_United_Nations_Development_Programme_USD">PR_Countries!$F$939:$F$939</definedName>
    <definedName name="Kyrgyzstan_TB_USD">PR_Countries!$AN$421:$AN$422</definedName>
    <definedName name="Laboratory_Equipment_BACTEC_MGIT_960_system">'TB-Other HPs'!$T$26</definedName>
    <definedName name="Laboratory_Equipment_BACTEC_MGIT_other_system">'TB-Other HPs'!$T$27</definedName>
    <definedName name="Laboratory_equipment_for_HIV_program">'HIV-Equip'!$B$3:$B$21</definedName>
    <definedName name="Laboratory_equipment_for_TB_program">'TB-Other HPs'!$Z$13:$Z$36</definedName>
    <definedName name="Laboratory_Equipment_Incubator">'Malaria-Other HPs'!$R$78:$R$80</definedName>
    <definedName name="Laboratory_equipment_Other_equipment">'Malaria-Other HPs'!$R$81:$R$83</definedName>
    <definedName name="Laboratory_equipment_Other_maintenance_and_services">'Malaria-Other HPs'!$R$84:$R$86</definedName>
    <definedName name="Laboratory_equipment_Spare_parts_and_accessories">'Malaria-Other HPs'!$R$87</definedName>
    <definedName name="Laboratory_reagents_Other">'Malaria-Other HPs'!$R$88</definedName>
    <definedName name="Lactulose_as_liquid">'TB-Pharma'!$AB$60</definedName>
    <definedName name="Lamivudine">'HIV-Pharma'!$D$65:$D$67</definedName>
    <definedName name="Lamivudine_Tenofovir">'HIV-Pharma'!$D$68:$D$69</definedName>
    <definedName name="Lamivudine_Tenofovir_Atazanavir_Ritonavir">'HIV-Pharma'!$D$70</definedName>
    <definedName name="Lamivudine_Zidovudine">'HIV-Pharma'!$D$71:$D$72</definedName>
    <definedName name="Lamivudine_Zidovudine_Efavirenz">'HIV-Pharma'!$D$73</definedName>
    <definedName name="LANGUAGELIST">LISTS!$B$3:$B$6</definedName>
    <definedName name="Lao__Peoples_Democratic_Republic__HIV_">PR_Countries!$AN$424:$AN$424</definedName>
    <definedName name="Lao__Peoples_Democratic_Republic__HIV__USD">PR_Countries!$F$946:$F$949</definedName>
    <definedName name="Lao__Peoples_Democratic_Republic__HIV_Ministry_of_Health_of_the_Lao_People_s_Democratic_Republic_">PR_Countries!$F$945:$F$945</definedName>
    <definedName name="Lao__Peoples_Democratic_Republic__HIV_Ministry_of_Health_of_the_Lao_People_s_Democratic_Republic_USD">PR_Countries!$F$944:$F$944</definedName>
    <definedName name="Lao__Peoples_Democratic_Republic__HIV_USD">PR_Countries!$AN$423:$AN$423</definedName>
    <definedName name="Lao__Peoples_Democratic_Republic__Malaria__USD">PR_Countries!$F$952:$F$954</definedName>
    <definedName name="Lao__Peoples_Democratic_Republic__Malaria_Ministry_of_Health_of_the_Lao_People_s_Democratic_Republic_USD">PR_Countries!$F$950:$F$951</definedName>
    <definedName name="Lao__Peoples_Democratic_Republic__Malaria_USD">PR_Countries!$AN$425:$AN$425</definedName>
    <definedName name="Lao__Peoples_Democratic_Republic__Multi__">PR_Countries!$F$955:$F$955</definedName>
    <definedName name="Lao__Peoples_Democratic_Republic__RSSH_Ministry_of_Health_of_the_Lao_People_s_Democratic_Republic_USD">PR_Countries!$F$956:$F$956</definedName>
    <definedName name="Lao__Peoples_Democratic_Republic__RSSH_USD">PR_Countries!$AN$426:$AN$426</definedName>
    <definedName name="Lao__Peoples_Democratic_Republic__TB_">PR_Countries!$AN$428:$AN$428</definedName>
    <definedName name="Lao__Peoples_Democratic_Republic__TB__USD">PR_Countries!$F$959:$F$961</definedName>
    <definedName name="Lao__Peoples_Democratic_Republic__TB_Ministry_of_Health_of_the_Lao_People_s_Democratic_Republic_">PR_Countries!$F$958:$F$958</definedName>
    <definedName name="Lao__Peoples_Democratic_Republic__TB_Ministry_of_Health_of_the_Lao_People_s_Democratic_Republic_USD">PR_Countries!$F$957:$F$957</definedName>
    <definedName name="Lao__Peoples_Democratic_Republic__TB_USD">PR_Countries!$AN$427:$AN$427</definedName>
    <definedName name="Lesotho_HIV__">PR_Countries!$F$971:$F$971</definedName>
    <definedName name="Lesotho_HIV__USD">PR_Countries!$F$966:$F$970</definedName>
    <definedName name="Lesotho_HIV_Ministry_of_Finance_of_the_Kingdom_of_Lesotho_USD">PR_Countries!$F$962:$F$964</definedName>
    <definedName name="Lesotho_HIV_Pact_Lesotho_USD">PR_Countries!$F$965:$F$965</definedName>
    <definedName name="Lesotho_HIV_USD">PR_Countries!$AN$429:$AN$430</definedName>
    <definedName name="Lesotho_Multi_">PR_Countries!$AN$433:$AN$433</definedName>
    <definedName name="Lesotho_Multi_Ministry_of_Finance_of_the_Kingdom_of_Lesotho_USD">PR_Countries!$F$972:$F$972</definedName>
    <definedName name="Lesotho_Multi_Pact_Lesotho_">PR_Countries!$F$974:$F$974</definedName>
    <definedName name="Lesotho_Multi_Pact_Lesotho_USD">PR_Countries!$F$973:$F$973</definedName>
    <definedName name="Lesotho_Multi_USD">PR_Countries!$AN$431:$AN$432</definedName>
    <definedName name="Lesotho_TB__USD">PR_Countries!$F$976:$F$977</definedName>
    <definedName name="Lesotho_TB_Ministry_of_Finance_of_the_Kingdom_of_Lesotho_USD">PR_Countries!$F$975:$F$975</definedName>
    <definedName name="Lesotho_TB_USD">PR_Countries!$AN$434:$AN$434</definedName>
    <definedName name="Levofloxacin">'TB-Pharma'!$L$39:$L$42</definedName>
    <definedName name="Liberia_HIV____">PR_Countries!$F$978:$F$978</definedName>
    <definedName name="Liberia_HIV___USD">PR_Countries!$F$979:$F$980</definedName>
    <definedName name="Liberia_HIV_Ministry_of_Health_and_Social_Welfare_of_the_Republic_of_Liberia_USD">PR_Countries!$F$981:$F$981</definedName>
    <definedName name="Liberia_HIV_Population_Services_International_USD">PR_Countries!$F$982:$F$982</definedName>
    <definedName name="Liberia_HIV_USD">PR_Countries!$AN$435:$AN$436</definedName>
    <definedName name="Liberia_Malaria__">PR_Countries!$AN$437:$AN$437</definedName>
    <definedName name="Liberia_Malaria___USD">PR_Countries!$F$983:$F$984</definedName>
    <definedName name="Liberia_Malaria_Ministry_of_Health_and_Social_Welfare_of_the_Republic_of_Liberia_USD">PR_Countries!$F$985:$F$985</definedName>
    <definedName name="Liberia_Malaria_Plan_International__Inc___">PR_Countries!$F$986:$F$986</definedName>
    <definedName name="Liberia_Malaria_Plan_International__Inc__USD">PR_Countries!$F$987:$F$987</definedName>
    <definedName name="Liberia_Malaria_USD">PR_Countries!$AN$438:$AN$439</definedName>
    <definedName name="Liberia_Multi__">PR_Countries!$AN$440:$AN$440</definedName>
    <definedName name="Liberia_Multi____">PR_Countries!$F$988:$F$988</definedName>
    <definedName name="Liberia_Multi_Ministry_of_Health_and_Social_Welfare_of_the_Republic_of_Liberia_USD">PR_Countries!$F$989:$F$989</definedName>
    <definedName name="Liberia_Multi_Population_Services_International__">PR_Countries!$F$990:$F$990</definedName>
    <definedName name="Liberia_Multi_USD">PR_Countries!$AN$441:$AN$441</definedName>
    <definedName name="Liberia_TB___USD">PR_Countries!$F$991:$F$992</definedName>
    <definedName name="Liberia_TB_Ministry_of_Health_and_Social_Welfare_of_the_Republic_of_Liberia_USD">PR_Countries!$F$993:$F$993</definedName>
    <definedName name="Liberia_TB_USD">PR_Countries!$AN$442:$AN$442</definedName>
    <definedName name="Linezolide">'TB-Pharma'!$L$43:$L$44</definedName>
    <definedName name="Liquid_culture_and_DST_Media_Reagents_Antibiotics">'TB-Other HPs'!$T$2</definedName>
    <definedName name="Liquid_culture_and_DST_Other_reagents_not_consumables">'TB-Other HPs'!$T$3</definedName>
    <definedName name="Liquid_culture_and_DST_Reagents_kits">'TB-Other HPs'!$T$4:$T$9</definedName>
    <definedName name="ListMalariaMed">'Malaria-Pharma'!$A$2:$A$18</definedName>
    <definedName name="ListTBMed">'TB-Pharma'!$C$2:$C$65</definedName>
    <definedName name="LLINs_mass_campaign">'Malaria-Other HPs'!$M$2:$M$28</definedName>
    <definedName name="LLINs_mass_campaigns">'Malaria-Other HPs'!$AB$2</definedName>
    <definedName name="LLINs_routine_distribution">'Malaria-Other HPs'!$M$29:$M$55</definedName>
    <definedName name="LLINs_routine_distributions">'Malaria-Other HPs'!$AB$3</definedName>
    <definedName name="Lopinavir_Ritonavir">'HIV-Pharma'!$D$74:$D$80</definedName>
    <definedName name="LPA_Equipment_reagents">'TB-Other HPs'!$Z$2:$Z$8</definedName>
    <definedName name="Lubricant">'HIV-Other HP'!$D$24:$D$28</definedName>
    <definedName name="Lubricants">'HIV-Other HP'!$B$4</definedName>
    <definedName name="Lumpsumpharma">LISTS!$P$3:$P$4</definedName>
    <definedName name="Madagascar_HIV__">PR_Countries!$AN$443:$AN$443</definedName>
    <definedName name="Madagascar_HIV____">PR_Countries!$F$994:$F$995</definedName>
    <definedName name="Madagascar_HIV___USD">PR_Countries!$F$996:$F$998</definedName>
    <definedName name="Madagascar_HIV_Population_Services_International_USD">PR_Countries!$F$999:$F$1000</definedName>
    <definedName name="Madagascar_HIV_S_cr_tariat_Ex_cutif_du_Comit__National_de_Lutte_Contre_le_VIH_SIDA_de_la_R_publique_de_Madagascar__">PR_Countries!$F$1001:$F$1001</definedName>
    <definedName name="Madagascar_HIV_S_cr_tariat_Ex_cutif_du_Comit__National_de_Lutte_Contre_le_VIH_SIDA_de_la_R_publique_de_Madagascar_USD">PR_Countries!$F$1002:$F$1003</definedName>
    <definedName name="Madagascar_HIV_USD">PR_Countries!$AN$444:$AN$445</definedName>
    <definedName name="Madagascar_Malaria__">PR_Countries!$AN$446:$AN$446</definedName>
    <definedName name="Madagascar_Malaria____">PR_Countries!$F$1004:$F$1006</definedName>
    <definedName name="Madagascar_Malaria___USD">PR_Countries!$F$1007:$F$1013</definedName>
    <definedName name="Madagascar_Malaria_Ministry_of_Public_Health_of_the_Republic_of_Madagascar_USD">PR_Countries!$F$1014:$F$1014</definedName>
    <definedName name="Madagascar_Malaria_Pact_Madagascar_USD">PR_Countries!$F$1015:$F$1015</definedName>
    <definedName name="Madagascar_Malaria_Population_Services_International__">PR_Countries!$F$1016:$F$1016</definedName>
    <definedName name="Madagascar_Malaria_Population_Services_International_USD">PR_Countries!$F$1017:$F$1019</definedName>
    <definedName name="Madagascar_Malaria_Unit__de_Gestion_des_Projets_d_Appui_au_Secteur_Sant__de_la_R_publique_de_Madagascar_USD">PR_Countries!$F$1020:$F$1020</definedName>
    <definedName name="Madagascar_Malaria_USD">PR_Countries!$AN$447:$AN$450</definedName>
    <definedName name="Madagascar_TB__">PR_Countries!$AN$451:$AN$451</definedName>
    <definedName name="Madagascar_TB____">PR_Countries!$F$1021:$F$1021</definedName>
    <definedName name="Madagascar_TB___USD">PR_Countries!$F$1022:$F$1022</definedName>
    <definedName name="Madagascar_TB_Office_National_de_Nutrition__">PR_Countries!$F$1023:$F$1023</definedName>
    <definedName name="Madagascar_TB_Office_National_de_Nutrition_USD">PR_Countries!$F$1024:$F$1025</definedName>
    <definedName name="Madagascar_TB_Pact_Madagascar_USD">PR_Countries!$F$1026:$F$1026</definedName>
    <definedName name="Madagascar_TB_USD">PR_Countries!$AN$452:$AN$453</definedName>
    <definedName name="Maintenance_and_service_costs_for_health_equipment">'Malaria-Other HPs'!$AE$33:$AE$49</definedName>
    <definedName name="Maintenance_and_service_costs_for_health_equipment_HIV_program">'HIV-Equip'!$B$22:$B$25</definedName>
    <definedName name="Malaria_Consumables">'Malaria-Other HPs'!$AE$2:$AE$10</definedName>
    <definedName name="Malaria_Laboratory_equipment">'Malaria-Other HPs'!$AE$11:$AE$26</definedName>
    <definedName name="Malaria_Laboratory_reagents">'Malaria-Other HPs'!$AE$27:$AE$32</definedName>
    <definedName name="Malaria_Microscopy_Equipment_reagents">'Malaria-Other HPs'!$V$2:$V$5</definedName>
    <definedName name="MalariaRDTs">'Malaria-Other HPs'!$F$2</definedName>
    <definedName name="MalariaVectorC">'Malaria-Other HPs'!$K$2:$K$7</definedName>
    <definedName name="Malawi_HIV___USD">PR_Countries!$F$1027:$F$1029</definedName>
    <definedName name="Malawi_HIV_The_Registered_Trustees_of_the_National_AIDS_Commission_Trust_of_the_Republic_of_Malawi_USD">PR_Countries!$F$1030:$F$1030</definedName>
    <definedName name="Malawi_HIV_USD">PR_Countries!$AN$454:$AN$454</definedName>
    <definedName name="Malawi_Malaria__">PR_Countries!$AN$455:$AN$455</definedName>
    <definedName name="Malawi_Malaria____">PR_Countries!$F$1031:$F$1031</definedName>
    <definedName name="Malawi_Malaria___USD">PR_Countries!$F$1032:$F$1032</definedName>
    <definedName name="Malawi_Malaria_Ministry_of_Health_of_the_Republic_of_Malawi_USD">PR_Countries!$F$1033:$F$1035</definedName>
    <definedName name="Malawi_Malaria_USD">PR_Countries!$AN$456:$AN$457</definedName>
    <definedName name="Malawi_Malaria_World_Vision_Malawi__">PR_Countries!$F$1036:$F$1036</definedName>
    <definedName name="Malawi_Malaria_World_Vision_Malawi_USD">PR_Countries!$F$1037:$F$1037</definedName>
    <definedName name="Malawi_Multi__">PR_Countries!$AN$458:$AN$458</definedName>
    <definedName name="Malawi_Multi____">PR_Countries!$F$1038:$F$1038</definedName>
    <definedName name="Malawi_Multi_ActionAid_International_Malawi__">PR_Countries!$F$1039:$F$1039</definedName>
    <definedName name="Malawi_Multi_ActionAid_International_Malawi_USD">PR_Countries!$F$1040:$F$1040</definedName>
    <definedName name="Malawi_Multi_Ministry_of_Health_of_the_Republic_of_Malawi_USD">PR_Countries!$F$1041:$F$1041</definedName>
    <definedName name="Malawi_Multi_USD">PR_Countries!$AN$459:$AN$460</definedName>
    <definedName name="Malawi_RSSH___USD">PR_Countries!$F$1042:$F$1042</definedName>
    <definedName name="Malawi_TB_Ministry_of_Health_of_the_Republic_of_Malawi_USD">PR_Countries!$F$1043:$F$1043</definedName>
    <definedName name="Malawi_TB_USD">PR_Countries!$AN$461:$AN$461</definedName>
    <definedName name="Malaysia_HIV__">PR_Countries!$AN$462:$AN$462</definedName>
    <definedName name="Malaysia_HIV____">PR_Countries!$F$1044:$F$1044</definedName>
    <definedName name="Malaysia_HIV_Malaysian_AIDS_Council__">PR_Countries!$F$1045:$F$1045</definedName>
    <definedName name="Malaysia_HIV_Malaysian_AIDS_Council_USD">PR_Countries!$F$1046:$F$1046</definedName>
    <definedName name="Malaysia_HIV_USD">PR_Countries!$AN$463:$AN$463</definedName>
    <definedName name="Maldives_HIV___USD">PR_Countries!$F$1047:$F$1047</definedName>
    <definedName name="Male_condom">'HIV-Other HP'!$D$2:$D$18</definedName>
    <definedName name="Mali_HIV___EUR">PR_Countries!$F$1048:$F$1049</definedName>
    <definedName name="Mali_HIV_EUR">PR_Countries!$AN$464:$AN$466</definedName>
    <definedName name="Mali_HIV_National_High_Council_for_the_Fight_against_AIDS_in_the_Republic_of_Mali_EUR">PR_Countries!$F$1050:$F$1050</definedName>
    <definedName name="Mali_HIV_National_High_Council_for_the_Fight_against_AIDS_in_the_Republic_of_Mali_USD">PR_Countries!$F$1051:$F$1051</definedName>
    <definedName name="Mali_HIV_Plan_International__Inc__EUR">PR_Countries!$F$1052:$F$1053</definedName>
    <definedName name="Mali_HIV_United_Nations_Development_Programme_EUR">PR_Countries!$F$1054:$F$1055</definedName>
    <definedName name="Mali_HIV_USD">PR_Countries!$AN$467:$AN$467</definedName>
    <definedName name="Mali_Malaria__">PR_Countries!$AN$468:$AN$468</definedName>
    <definedName name="Mali_Malaria___USD">PR_Countries!$F$1056:$F$1057</definedName>
    <definedName name="Mali_Malaria_EUR">PR_Countries!$AN$469:$AN$469</definedName>
    <definedName name="Mali_Malaria_Groupe_Pivot_Sant__Population_USD">PR_Countries!$F$1058:$F$1058</definedName>
    <definedName name="Mali_Malaria_Population_Services_International__">PR_Countries!$F$1059:$F$1059</definedName>
    <definedName name="Mali_Malaria_Population_Services_International_EUR">PR_Countries!$F$1060:$F$1060</definedName>
    <definedName name="Mali_Malaria_USD">PR_Countries!$AN$470:$AN$470</definedName>
    <definedName name="Mali_Multi__">PR_Countries!$AN$471:$AN$471</definedName>
    <definedName name="Mali_Multi____">PR_Countries!$F$1061:$F$1061</definedName>
    <definedName name="Mali_Multi_Plan_International__Inc___">PR_Countries!$F$1062:$F$1062</definedName>
    <definedName name="Mali_TB___USD">PR_Countries!$F$1063:$F$1063</definedName>
    <definedName name="Mali_TB_Catholic_Relief_Services___United_States_Conference_of_Catholic_Bishops_EUR">PR_Countries!$F$1064:$F$1065</definedName>
    <definedName name="Mali_TB_EUR">PR_Countries!$AN$472:$AN$473</definedName>
    <definedName name="Mali_TB_The_Ministry_of_Health_of_the_Republic_of_Mali_EUR">PR_Countries!$F$1066:$F$1066</definedName>
    <definedName name="Mauritania_HIV__">PR_Countries!$AN$474:$AN$474</definedName>
    <definedName name="Mauritania_HIV_Secr_tariat_Ex_cutif_National_de_Lutte_contre_le_SIDA_de_la_R_publique_Islamique_de_Mauritanie__">PR_Countries!$F$1067:$F$1067</definedName>
    <definedName name="Mauritania_HIV_Secr_tariat_Ex_cutif_National_de_Lutte_contre_le_SIDA_de_la_R_publique_Islamique_de_Mauritanie_USD">PR_Countries!$F$1068:$F$1069</definedName>
    <definedName name="Mauritania_HIV_USD">PR_Countries!$AN$475:$AN$475</definedName>
    <definedName name="Mauritania_Malaria__">PR_Countries!$AN$476:$AN$476</definedName>
    <definedName name="Mauritania_Malaria_Secr_tariat_Ex_cutif_National_de_Lutte_contre_le_SIDA_de_la_R_publique_Islamique_de_Mauritanie__">PR_Countries!$F$1070:$F$1070</definedName>
    <definedName name="Mauritania_Malaria_Secr_tariat_Ex_cutif_National_de_Lutte_contre_le_SIDA_de_la_R_publique_Islamique_de_Mauritanie_USD">PR_Countries!$F$1071:$F$1071</definedName>
    <definedName name="Mauritania_Malaria_United_Nations_Development_Programme_USD">PR_Countries!$F$1072:$F$1073</definedName>
    <definedName name="Mauritania_Malaria_USD">PR_Countries!$AN$477:$AN$478</definedName>
    <definedName name="Mauritania_Multi__">PR_Countries!$AN$479:$AN$479</definedName>
    <definedName name="Mauritania_Multi_Secr_tariat_Ex_cutif_National_de_Lutte_contre_le_SIDA_de_la_R_publique_Islamique_de_Mauritanie__">PR_Countries!$F$1074:$F$1074</definedName>
    <definedName name="Mauritania_Multi_Secr_tariat_Ex_cutif_National_de_Lutte_contre_le_SIDA_de_la_R_publique_Islamique_de_Mauritanie_USD">PR_Countries!$F$1075:$F$1075</definedName>
    <definedName name="Mauritania_Multi_USD">PR_Countries!$AN$480:$AN$480</definedName>
    <definedName name="Mauritania_RSSH____">PR_Countries!$F$1076:$F$1076</definedName>
    <definedName name="Mauritania_TB__">PR_Countries!$AN$481:$AN$481</definedName>
    <definedName name="Mauritania_TB_Secr_tariat_Ex_cutif_National_de_Lutte_contre_le_SIDA_de_la_R_publique_Islamique_de_Mauritanie__">PR_Countries!$F$1077:$F$1077</definedName>
    <definedName name="Mauritania_TB_Secr_tariat_Ex_cutif_National_de_Lutte_contre_le_SIDA_de_la_R_publique_Islamique_de_Mauritanie_USD">PR_Countries!$F$1078:$F$1078</definedName>
    <definedName name="Mauritania_TB_United_Nations_Development_Programme_USD">PR_Countries!$F$1079:$F$1080</definedName>
    <definedName name="Mauritania_TB_USD">PR_Countries!$AN$482:$AN$483</definedName>
    <definedName name="Mauritius_HIV__">PR_Countries!$AN$484:$AN$484</definedName>
    <definedName name="Mauritius_HIV___EUR">PR_Countries!$F$1081:$F$1081</definedName>
    <definedName name="Mauritius_HIV_EUR">PR_Countries!$AN$485:$AN$486</definedName>
    <definedName name="Mauritius_HIV_Ministry_of_Health_and_Quality_of_Life__implementing_through_the_National_AIDS_Secretariat__of_the_Republic_of_Mauritius_EUR">PR_Countries!$F$1082:$F$1082</definedName>
    <definedName name="Mauritius_HIV_Ministry_of_Health_and_Quality_of_Life__implementing_through_the_National_AIDS_Secretariat__of_the_Republic_of_Mauritius_USD">PR_Countries!$F$1083:$F$1083</definedName>
    <definedName name="Mauritius_HIV_Pr_vention_Information_Lutte_contre_le_Sida__">PR_Countries!$F$1084:$F$1084</definedName>
    <definedName name="Mauritius_HIV_Pr_vention_Information_Lutte_contre_le_Sida_EUR">PR_Countries!$F$1085:$F$1085</definedName>
    <definedName name="Mauritius_HIV_Pr_vention_Information_Lutte_contre_le_Sida_USD">PR_Countries!$F$1086:$F$1086</definedName>
    <definedName name="Mauritius_HIV_USD">PR_Countries!$AN$487:$AN$488</definedName>
    <definedName name="MDR_XDR_TB_medicines">'TB-Pharma'!$J$2:$J$24</definedName>
    <definedName name="MDR_XDR_TB_medicines_for_Section2">'TB-Pharma'!$J$2:$J$21</definedName>
    <definedName name="MDR_XDR_TB_medicines_for_Section3">'TB-Pharma'!$R$2</definedName>
    <definedName name="Mefloquine">'Malaria-Pharma'!$C$41</definedName>
    <definedName name="Meropenem">'TB-Pharma'!$L$45</definedName>
    <definedName name="Methadone_opioid_substitute">'HIV-Pharma'!$D$103:$D$107</definedName>
    <definedName name="Metronidazole">'TB-Pharma'!$AB$61:$AB$63</definedName>
    <definedName name="Mexico_HIV___USD">PR_Countries!$F$1087:$F$1087</definedName>
    <definedName name="Microbiology_analyzers">'Malaria-Other HPs'!$R$35:$R$37</definedName>
    <definedName name="Microscope_Equipment">'TB-Other HPs'!$D$5:$D$6</definedName>
    <definedName name="Microscope_Maintenance_and_services">'Malaria-Other HPs'!$R$89</definedName>
    <definedName name="Microscope_other">'TB-Other HPs'!$D$7</definedName>
    <definedName name="Microscope_Spare_parts_and_accessories">'TB-Other HPs'!$D$8</definedName>
    <definedName name="Microscopy__Malaria_consumables">'Malaria-Other HPs'!$R$90</definedName>
    <definedName name="Microscopy_Malaria_consumables">'Malaria-Other HPs'!$R$90</definedName>
    <definedName name="Microscopy_Malaria_smear_microscopy_reagents">'Malaria-Other HPs'!$C$2</definedName>
    <definedName name="Microscopy_TB_consumables">'TB-Other HPs'!$AB$11</definedName>
    <definedName name="Microscopy_TB_smear_microscopy_reagent_kits">'TB-Other HPs'!$D$2:$D$3</definedName>
    <definedName name="Microscopy_TB_smear_microscopy_reagents">'TB-Other HPs'!$D$4</definedName>
    <definedName name="MO_CHECK">SETUP!$H$14</definedName>
    <definedName name="Moldova_HIV__">PR_Countries!$AN$489:$AN$489</definedName>
    <definedName name="Moldova_HIV___EUR">PR_Countries!$F$1088:$F$1088</definedName>
    <definedName name="Moldova_HIV___USD">PR_Countries!$F$1089:$F$1089</definedName>
    <definedName name="Moldova_HIV_Center_for_Health_Policies_and_Studies__">PR_Countries!$F$1090:$F$1090</definedName>
    <definedName name="Moldova_HIV_Center_for_Health_Policies_and_Studies_EUR">PR_Countries!$F$1091:$F$1091</definedName>
    <definedName name="Moldova_HIV_EUR">PR_Countries!$AN$490:$AN$490</definedName>
    <definedName name="Moldova_HIV_Public_Institution___Coordination__Implementation_and_Monitoring_Unit_of_the_Health__System_Projects_USD">PR_Countries!$F$1092:$F$1092</definedName>
    <definedName name="Moldova_HIV_USD">PR_Countries!$AN$491:$AN$491</definedName>
    <definedName name="Moldova_Multi____">PR_Countries!$F$1093:$F$1093</definedName>
    <definedName name="Moldova_Multi___USD">PR_Countries!$F$1094:$F$1094</definedName>
    <definedName name="Moldova_Multi_EUR">PR_Countries!$AN$492:$AN$492</definedName>
    <definedName name="Moldova_Multi_Public_Institution___Coordination__Implementation_and_Monitoring_Unit_of_the_Health__System_Projects_EUR">PR_Countries!$F$1095:$F$1095</definedName>
    <definedName name="Moldova_TB__">PR_Countries!$AN$493:$AN$493</definedName>
    <definedName name="Moldova_TB____">PR_Countries!$F$1096:$F$1096</definedName>
    <definedName name="Moldova_TB___EUR">PR_Countries!$F$1097:$F$1098</definedName>
    <definedName name="Moldova_TB___USD">PR_Countries!$F$1099:$F$1099</definedName>
    <definedName name="Moldova_TB_Center_for_Health_Policies_and_Studies__">PR_Countries!$F$1100:$F$1100</definedName>
    <definedName name="Moldova_TB_Center_for_Health_Policies_and_Studies_EUR">PR_Countries!$F$1101:$F$1102</definedName>
    <definedName name="Moldova_TB_EUR">PR_Countries!$AN$494:$AN$495</definedName>
    <definedName name="Moldova_TB_Public_Institution___Coordination__Implementation_and_Monitoring_Unit_of_the_Health__System_Projects_EUR">PR_Countries!$F$1103:$F$1103</definedName>
    <definedName name="Molecular_diagnosis_LPA_Chemicals">'TB-Other HPs'!$T$12</definedName>
    <definedName name="Molecular_diagnosis_LPA_Equipment">'TB-Other HPs'!$T$21:$T$24</definedName>
    <definedName name="Molecular_diagnosis_LPA_Equipment_maintenance_and_services">'Malaria-Other HPs'!$R$91</definedName>
    <definedName name="Molecular_diagnosis_LPA_Equipment_spare_parts_and_accessories">'TB-Other HPs'!$T$25</definedName>
    <definedName name="Molecular_diagnosis_LPA_Other_reagents_no_consumables">'TB-Other HPs'!$T$13</definedName>
    <definedName name="Molecular_diagnosis_LPA_Reagents_kits">'TB-Other HPs'!$T$14:$T$20</definedName>
    <definedName name="Mongolia_HIV__">PR_Countries!$AN$496:$AN$496</definedName>
    <definedName name="Mongolia_HIV___USD">PR_Countries!$F$1104:$F$1107</definedName>
    <definedName name="Mongolia_HIV_Ministry_of_Health_of_Mongolia__">PR_Countries!$F$1108:$F$1108</definedName>
    <definedName name="Mongolia_HIV_Ministry_of_Health_of_Mongolia_USD">PR_Countries!$F$1109:$F$1109</definedName>
    <definedName name="Mongolia_HIV_USD">PR_Countries!$AN$497:$AN$497</definedName>
    <definedName name="Mongolia_Multi____">PR_Countries!$F$1110:$F$1110</definedName>
    <definedName name="Mongolia_RSSH___USD">PR_Countries!$F$1111:$F$1112</definedName>
    <definedName name="Mongolia_TB__">PR_Countries!$AN$498:$AN$498</definedName>
    <definedName name="Mongolia_TB____">PR_Countries!$F$1113:$F$1114</definedName>
    <definedName name="Mongolia_TB___USD">PR_Countries!$F$1115:$F$1116</definedName>
    <definedName name="Mongolia_TB_Ministry_of_Health_of_Mongolia__">PR_Countries!$F$1117:$F$1117</definedName>
    <definedName name="Mongolia_TB_Ministry_of_Health_of_Mongolia_USD">PR_Countries!$F$1118:$F$1118</definedName>
    <definedName name="Mongolia_TB_USD">PR_Countries!$AN$499:$AN$499</definedName>
    <definedName name="Montenegro_HIV__">PR_Countries!$AN$500:$AN$500</definedName>
    <definedName name="Montenegro_HIV___EUR">PR_Countries!$F$1119:$F$1119</definedName>
    <definedName name="Montenegro_HIV_EUR">PR_Countries!$AN$501:$AN$502</definedName>
    <definedName name="Montenegro_HIV_Ministry_of_Health_of_Montenegro__">PR_Countries!$F$1120:$F$1120</definedName>
    <definedName name="Montenegro_HIV_Ministry_of_Health_of_Montenegro_EUR">PR_Countries!$F$1121:$F$1121</definedName>
    <definedName name="Montenegro_HIV_United_Nations_Development_Programme_EUR">PR_Countries!$F$1122:$F$1122</definedName>
    <definedName name="Montenegro_TB___EUR">PR_Countries!$F$1123:$F$1123</definedName>
    <definedName name="Morocco_HIV__">PR_Countries!$AN$503:$AN$503</definedName>
    <definedName name="Morocco_HIV___USD">PR_Countries!$F$1124:$F$1125</definedName>
    <definedName name="Morocco_HIV_Ministry_of_Health_of_the_Kingdom_of_Morocco__">PR_Countries!$F$1126:$F$1126</definedName>
    <definedName name="Morocco_HIV_Ministry_of_Health_of_the_Kingdom_of_Morocco_USD">PR_Countries!$F$1127:$F$1128</definedName>
    <definedName name="Morocco_HIV_USD">PR_Countries!$AN$504:$AN$504</definedName>
    <definedName name="Morocco_Multi____">PR_Countries!$F$1129:$F$1129</definedName>
    <definedName name="Morocco_RSSH_EUR">PR_Countries!$AN$505:$AN$505</definedName>
    <definedName name="Morocco_RSSH_Ministry_of_Health_of_the_Kingdom_of_Morocco_EUR">PR_Countries!$F$1130:$F$1130</definedName>
    <definedName name="Morocco_TB__">PR_Countries!$AN$506:$AN$506</definedName>
    <definedName name="Morocco_TB___USD">PR_Countries!$F$1131:$F$1131</definedName>
    <definedName name="Morocco_TB_Ministry_of_Health_of_the_Kingdom_of_Morocco__">PR_Countries!$F$1132:$F$1132</definedName>
    <definedName name="Morocco_TB_Ministry_of_Health_of_the_Kingdom_of_Morocco_USD">PR_Countries!$F$1133:$F$1134</definedName>
    <definedName name="Morocco_TB_USD">PR_Countries!$AN$507:$AN$507</definedName>
    <definedName name="Moxifloxacin">'TB-Pharma'!$L$46:$L$47</definedName>
    <definedName name="Mozambique_HIV____">PR_Countries!$F$1135:$F$1135</definedName>
    <definedName name="Mozambique_HIV___USD">PR_Countries!$F$1136:$F$1138</definedName>
    <definedName name="Mozambique_HIV_Funda__o_para_o_Desenvolvimento_da_Comunidade_USD">PR_Countries!$F$1139:$F$1140</definedName>
    <definedName name="Mozambique_HIV_Ministry_of_Health_of_Mozambique_USD">PR_Countries!$F$1141:$F$1142</definedName>
    <definedName name="Mozambique_HIV_USD">PR_Countries!$AN$508:$AN$509</definedName>
    <definedName name="Mozambique_Malaria__">PR_Countries!$AN$510:$AN$510</definedName>
    <definedName name="Mozambique_Malaria____">PR_Countries!$F$1143:$F$1143</definedName>
    <definedName name="Mozambique_Malaria___USD">PR_Countries!$F$1144:$F$1145</definedName>
    <definedName name="Mozambique_Malaria_Ministry_of_Health_of_Mozambique__">PR_Countries!$F$1146:$F$1146</definedName>
    <definedName name="Mozambique_Malaria_Ministry_of_Health_of_Mozambique_USD">PR_Countries!$F$1147:$F$1148</definedName>
    <definedName name="Mozambique_Malaria_USD">PR_Countries!$AN$511:$AN$512</definedName>
    <definedName name="Mozambique_Malaria_World_Vision_Mozambique_USD">PR_Countries!$F$1149:$F$1150</definedName>
    <definedName name="Mozambique_Multi__">PR_Countries!$AN$513:$AN$515</definedName>
    <definedName name="Mozambique_Multi_Centro_de_Colabora__o_em_Sa_de__">PR_Countries!$F$1151:$F$1151</definedName>
    <definedName name="Mozambique_Multi_Funda__o_para_o_Desenvolvimento_da_Comunidade__">PR_Countries!$F$1152:$F$1152</definedName>
    <definedName name="Mozambique_Multi_Funda__o_para_o_Desenvolvimento_da_Comunidade_USD">PR_Countries!$F$1153:$F$1153</definedName>
    <definedName name="Mozambique_Multi_Ministry_of_Health_of_Mozambique__">PR_Countries!$F$1154:$F$1154</definedName>
    <definedName name="Mozambique_Multi_USD">PR_Countries!$AN$516:$AN$516</definedName>
    <definedName name="Mozambique_RSSH_Ministry_of_Health_of_Mozambique_USD">PR_Countries!$F$1155:$F$1155</definedName>
    <definedName name="Mozambique_RSSH_USD">PR_Countries!$AN$517:$AN$517</definedName>
    <definedName name="Mozambique_TB___USD">PR_Countries!$F$1156:$F$1157</definedName>
    <definedName name="Mozambique_TB_Ministry_of_Health_of_Mozambique_USD">PR_Countries!$F$1158:$F$1158</definedName>
    <definedName name="Mozambique_TB_USD">PR_Countries!$AN$518:$AN$518</definedName>
    <definedName name="MTB_MPT64_identification_Other_reagents">'TB-Other HPs'!$L$8</definedName>
    <definedName name="MTB_MPT64_identification_Rapid_test">'TB-Other HPs'!$L$9</definedName>
    <definedName name="Myanmar_HIV___USD">PR_Countries!$F$1159:$F$1159</definedName>
    <definedName name="Myanmar_HIV_Save_the_Children_Federation__Inc__USD">PR_Countries!$F$1160:$F$1160</definedName>
    <definedName name="Myanmar_HIV_United_Nations_Office_for_Project_Services_USD">PR_Countries!$F$1161:$F$1161</definedName>
    <definedName name="Myanmar_HIV_USD">PR_Countries!$AN$519:$AN$520</definedName>
    <definedName name="Myanmar_Malaria___USD">PR_Countries!$F$1162:$F$1162</definedName>
    <definedName name="Myanmar_Malaria_Save_the_Children_Federation__Inc__USD">PR_Countries!$F$1163:$F$1163</definedName>
    <definedName name="Myanmar_Malaria_United_Nations_Office_for_Project_Services_USD">PR_Countries!$F$1164:$F$1164</definedName>
    <definedName name="Myanmar_Malaria_USD">PR_Countries!$AN$521:$AN$522</definedName>
    <definedName name="Myanmar_Multi__">PR_Countries!$AN$523:$AN$523</definedName>
    <definedName name="Myanmar_Multi____">PR_Countries!$F$1165:$F$1165</definedName>
    <definedName name="Myanmar_Multi_United_Nations_Office_for_Project_Services__">PR_Countries!$F$1166:$F$1166</definedName>
    <definedName name="Myanmar_TB___USD">PR_Countries!$F$1167:$F$1167</definedName>
    <definedName name="Myanmar_TB_Save_the_Children_Federation__Inc__USD">PR_Countries!$F$1168:$F$1168</definedName>
    <definedName name="Myanmar_TB_United_Nations_Office_for_Project_Services_USD">PR_Countries!$F$1169:$F$1169</definedName>
    <definedName name="Myanmar_TB_USD">PR_Countries!$AN$524:$AN$525</definedName>
    <definedName name="Namibia_HIV_Ministry_of_Health_and_Social_Services_of_Namibia_USD">PR_Countries!$F$1170:$F$1170</definedName>
    <definedName name="Namibia_HIV_Namibia_Network_of_AIDS_Service_Organizations_USD">PR_Countries!$F$1171:$F$1171</definedName>
    <definedName name="Namibia_HIV_USD">PR_Countries!$AN$526:$AN$527</definedName>
    <definedName name="Namibia_Malaria__">PR_Countries!$AN$528:$AN$528</definedName>
    <definedName name="Namibia_Malaria____">PR_Countries!$F$1172:$F$1172</definedName>
    <definedName name="Namibia_Malaria___USD">PR_Countries!$F$1173:$F$1173</definedName>
    <definedName name="Namibia_Malaria_Ministry_of_Health_and_Social_Services_of_Namibia__">PR_Countries!$F$1174:$F$1174</definedName>
    <definedName name="Namibia_Malaria_Ministry_of_Health_and_Social_Services_of_Namibia_USD">PR_Countries!$F$1175:$F$1176</definedName>
    <definedName name="Namibia_Malaria_USD">PR_Countries!$AN$529:$AN$529</definedName>
    <definedName name="Namibia_Multi__">PR_Countries!$AN$530:$AN$531</definedName>
    <definedName name="Namibia_Multi_Ministry_of_Health_and_Social_Services_of_Namibia__">PR_Countries!$F$1177:$F$1177</definedName>
    <definedName name="Namibia_Multi_Namibia_Network_of_AIDS_Service_Organizations__">PR_Countries!$F$1178:$F$1178</definedName>
    <definedName name="Namibia_Multi_Namibia_Network_of_AIDS_Service_Organizations_USD">PR_Countries!$F$1179:$F$1179</definedName>
    <definedName name="Namibia_Multi_USD">PR_Countries!$AN$532:$AN$532</definedName>
    <definedName name="Namibia_TB____">PR_Countries!$F$1180:$F$1180</definedName>
    <definedName name="Namibia_TB___USD">PR_Countries!$F$1181:$F$1182</definedName>
    <definedName name="Namibia_TB_Ministry_of_Health_and_Social_Services_of_Namibia_USD">PR_Countries!$F$1183:$F$1183</definedName>
    <definedName name="Namibia_TB_USD">PR_Countries!$AN$533:$AN$533</definedName>
    <definedName name="NbMachin">LISTS!$E$3:$E$114</definedName>
    <definedName name="Nepal_HIV__">PR_Countries!$AN$534:$AN$534</definedName>
    <definedName name="Nepal_HIV____">PR_Countries!$F$1184:$F$1184</definedName>
    <definedName name="Nepal_HIV___USD">PR_Countries!$F$1185:$F$1190</definedName>
    <definedName name="Nepal_HIV_Save_the_Children_Federation__Inc___">PR_Countries!$F$1191:$F$1191</definedName>
    <definedName name="Nepal_HIV_Save_the_Children_Federation__Inc__USD">PR_Countries!$F$1192:$F$1192</definedName>
    <definedName name="Nepal_HIV_The_Ministry_of_Health_and_Population_of_Nepal_USD">PR_Countries!$F$1193:$F$1193</definedName>
    <definedName name="Nepal_HIV_USD">PR_Countries!$AN$535:$AN$536</definedName>
    <definedName name="Nepal_Malaria__">PR_Countries!$AN$537:$AN$537</definedName>
    <definedName name="Nepal_Malaria____">PR_Countries!$F$1194:$F$1194</definedName>
    <definedName name="Nepal_Malaria___USD">PR_Countries!$F$1195:$F$1198</definedName>
    <definedName name="Nepal_Malaria_Population_Services_International_USD">PR_Countries!$F$1199:$F$1199</definedName>
    <definedName name="Nepal_Malaria_Save_the_Children_Federation__Inc___">PR_Countries!$F$1200:$F$1200</definedName>
    <definedName name="Nepal_Malaria_Save_the_Children_Federation__Inc__USD">PR_Countries!$F$1201:$F$1201</definedName>
    <definedName name="Nepal_Malaria_The_Ministry_of_Health_and_Population_of_Nepal_USD">PR_Countries!$F$1202:$F$1202</definedName>
    <definedName name="Nepal_Malaria_USD">PR_Countries!$AN$538:$AN$540</definedName>
    <definedName name="Nepal_Multi____">PR_Countries!$F$1203:$F$1203</definedName>
    <definedName name="Nepal_TB__">PR_Countries!$AN$541:$AN$541</definedName>
    <definedName name="Nepal_TB____">PR_Countries!$F$1204:$F$1204</definedName>
    <definedName name="Nepal_TB___USD">PR_Countries!$F$1205:$F$1206</definedName>
    <definedName name="Nepal_TB_Save_the_Children_Federation__Inc___">PR_Countries!$F$1207:$F$1207</definedName>
    <definedName name="Nepal_TB_Save_the_Children_Federation__Inc__USD">PR_Countries!$F$1208:$F$1208</definedName>
    <definedName name="Nepal_TB_The_Ministry_of_Health_and_Population_of_Nepal_USD">PR_Countries!$F$1209:$F$1209</definedName>
    <definedName name="Nepal_TB_USD">PR_Countries!$AN$542:$AN$543</definedName>
    <definedName name="Nevirapine">'HIV-Pharma'!$D$81</definedName>
    <definedName name="Nevirapine_10mg_ml_oral_suspension_240ml">'HIV-Pharma'!$D$82</definedName>
    <definedName name="Nicaragua_HIV__">PR_Countries!$AN$544:$AN$544</definedName>
    <definedName name="Nicaragua_HIV___USD">PR_Countries!$F$1210:$F$1210</definedName>
    <definedName name="Nicaragua_HIV_Instituto_Nicarag_ense_de_Seguridad_Social_USD">PR_Countries!$F$1211:$F$1212</definedName>
    <definedName name="Nicaragua_HIV_USD">PR_Countries!$AN$545:$AN$546</definedName>
    <definedName name="Nicaragua_HIV_World_Vision_International_para_Nicaragua__">PR_Countries!$F$1213:$F$1213</definedName>
    <definedName name="Nicaragua_HIV_World_Vision_International_para_Nicaragua_USD">PR_Countries!$F$1214:$F$1214</definedName>
    <definedName name="Nicaragua_Malaria__">PR_Countries!$AN$547:$AN$547</definedName>
    <definedName name="Nicaragua_Malaria___USD">PR_Countries!$F$1215:$F$1217</definedName>
    <definedName name="Nicaragua_Malaria_Federaci_n_Red_NICASALUD__">PR_Countries!$F$1218:$F$1218</definedName>
    <definedName name="Nicaragua_Malaria_Federaci_n_Red_NICASALUD_USD">PR_Countries!$F$1219:$F$1219</definedName>
    <definedName name="Nicaragua_Malaria_USD">PR_Countries!$AN$548:$AN$548</definedName>
    <definedName name="Nicaragua_TB__">PR_Countries!$AN$549:$AN$549</definedName>
    <definedName name="Nicaragua_TB___USD">PR_Countries!$F$1220:$F$1220</definedName>
    <definedName name="Nicaragua_TB_Instituto_Nicarag_ense_de_Seguridad_Social__">PR_Countries!$F$1221:$F$1221</definedName>
    <definedName name="Nicaragua_TB_Instituto_Nicarag_ense_de_Seguridad_Social_USD">PR_Countries!$F$1222:$F$1223</definedName>
    <definedName name="Nicaragua_TB_USD">PR_Countries!$AN$550:$AN$551</definedName>
    <definedName name="Nicaragua_TB_World_Vision_International_para_Nicaragua_USD">PR_Countries!$F$1224:$F$1224</definedName>
    <definedName name="Niger_HIV__">PR_Countries!$AN$552:$AN$552</definedName>
    <definedName name="Niger_HIV____">PR_Countries!$F$1225:$F$1225</definedName>
    <definedName name="Niger_HIV___USD">PR_Countries!$F$1226:$F$1226</definedName>
    <definedName name="Niger_HIV_Coordination_Intersectorielle_de_Lutte_contre_les_IST_VIH_SIDA_de_la_R_publique_du_Niger__">PR_Countries!$F$1227:$F$1227</definedName>
    <definedName name="Niger_HIV_Coordination_Intersectorielle_de_Lutte_contre_les_IST_VIH_SIDA_de_la_R_publique_du_Niger_EUR">PR_Countries!$F$1228:$F$1229</definedName>
    <definedName name="Niger_HIV_EUR">PR_Countries!$AN$553:$AN$553</definedName>
    <definedName name="Niger_Malaria__">PR_Countries!$AN$554:$AN$554</definedName>
    <definedName name="Niger_Malaria____">PR_Countries!$F$1230:$F$1230</definedName>
    <definedName name="Niger_Malaria___USD">PR_Countries!$F$1231:$F$1233</definedName>
    <definedName name="Niger_Malaria_Catholic_Relief_Services___United_States_Conference_of_Catholic_Bishops__">PR_Countries!$F$1234:$F$1234</definedName>
    <definedName name="Niger_Malaria_Catholic_Relief_Services___United_States_Conference_of_Catholic_Bishops_EUR">PR_Countries!$F$1235:$F$1236</definedName>
    <definedName name="Niger_Malaria_EUR">PR_Countries!$AN$555:$AN$555</definedName>
    <definedName name="Niger_Malaria_United_Nations_Development_Programme_USD">PR_Countries!$F$1237:$F$1237</definedName>
    <definedName name="Niger_Malaria_USD">PR_Countries!$AN$556:$AN$556</definedName>
    <definedName name="Niger_Multi__">PR_Countries!$AN$557:$AN$557</definedName>
    <definedName name="Niger_Multi_Ministry_of_Public_Health_of_Niger__">PR_Countries!$F$1238:$F$1238</definedName>
    <definedName name="Niger_RSSH___EUR">PR_Countries!$F$1239:$F$1239</definedName>
    <definedName name="Niger_TB____">PR_Countries!$F$1240:$F$1240</definedName>
    <definedName name="Niger_TB_EUR">PR_Countries!$AN$558:$AN$561</definedName>
    <definedName name="Niger_TB_Ministry_of_Public_Health_Of_Niger_EUR">PR_Countries!$F$1241:$F$1241</definedName>
    <definedName name="Niger_TB_Save_the_Children_Federation__Inc__EUR">PR_Countries!$F$1242:$F$1242</definedName>
    <definedName name="Niger_TB_The_International_Federation_of_Red_Cross_and_Red_Crescent_Societies_EUR">PR_Countries!$F$1243:$F$1243</definedName>
    <definedName name="Niger_TB_United_Nations_Development_Programme_EUR">PR_Countries!$F$1244:$F$1244</definedName>
    <definedName name="Nigeria_HIV__">PR_Countries!$AN$562:$AN$562</definedName>
    <definedName name="Nigeria_HIV___USD">PR_Countries!$F$1245:$F$1252</definedName>
    <definedName name="Nigeria_HIV_Association_For_Reproductive_And_Family_Health_USD">PR_Countries!$F$1253:$F$1253</definedName>
    <definedName name="Nigeria_HIV_Family_Health_International__FHI_____USD">PR_Countries!$F$1254:$F$1254</definedName>
    <definedName name="Nigeria_HIV_Lagos_State_Ministry_of_Health__">PR_Countries!$F$1255:$F$1255</definedName>
    <definedName name="Nigeria_HIV_Lagos_State_Ministry_of_Health_USD">PR_Countries!$F$1256:$F$1256</definedName>
    <definedName name="Nigeria_HIV_National_Agency_for_the_Control_of_AIDS_USD">PR_Countries!$F$1257:$F$1257</definedName>
    <definedName name="Nigeria_HIV_Society_For_Family_Health_USD">PR_Countries!$F$1258:$F$1258</definedName>
    <definedName name="Nigeria_HIV_USD">PR_Countries!$AN$563:$AN$567</definedName>
    <definedName name="Nigeria_Malaria__">PR_Countries!$AN$568:$AN$568</definedName>
    <definedName name="Nigeria_Malaria____">PR_Countries!$F$1259:$F$1260</definedName>
    <definedName name="Nigeria_Malaria___USD">PR_Countries!$F$1261:$F$1265</definedName>
    <definedName name="Nigeria_Malaria_Catholic_Relief_Services___United_States_Conference_of_Catholic_Bishops_USD">PR_Countries!$F$1266:$F$1266</definedName>
    <definedName name="Nigeria_Malaria_National_Malaria_Elimination_Programme_of_the_Federal_Ministry_of_Health_of_the_Federal_Republic_of_Nigeria__">PR_Countries!$F$1267:$F$1267</definedName>
    <definedName name="Nigeria_Malaria_National_Malaria_Elimination_Programme_of_the_Federal_Ministry_of_Health_of_the_Federal_Republic_of_Nigeria_USD">PR_Countries!$F$1268:$F$1269</definedName>
    <definedName name="Nigeria_Malaria_Society_For_Family_Health_USD">PR_Countries!$F$1270:$F$1270</definedName>
    <definedName name="Nigeria_Malaria_USD">PR_Countries!$AN$569:$AN$571</definedName>
    <definedName name="Nigeria_Multi__">PR_Countries!$AN$572:$AN$573</definedName>
    <definedName name="Nigeria_Multi____">PR_Countries!$F$1271:$F$1274</definedName>
    <definedName name="Nigeria_Multi_Family_Health_International__FHI______">PR_Countries!$F$1275:$F$1275</definedName>
    <definedName name="Nigeria_Multi_Lagos_State_Ministry_of_Health__">PR_Countries!$F$1276:$F$1276</definedName>
    <definedName name="Nigeria_Multi_Lagos_State_Ministry_of_Health_USD">PR_Countries!$F$1277:$F$1277</definedName>
    <definedName name="Nigeria_Multi_USD">PR_Countries!$AN$574:$AN$574</definedName>
    <definedName name="Nigeria_RSSH___USD">PR_Countries!$F$1278:$F$1278</definedName>
    <definedName name="Nigeria_RSSH_Management_Sciences_for_Health_USD">PR_Countries!$F$1279:$F$1279</definedName>
    <definedName name="Nigeria_RSSH_USD">PR_Countries!$AN$575:$AN$575</definedName>
    <definedName name="Nigeria_TB__">PR_Countries!$AN$576:$AN$576</definedName>
    <definedName name="Nigeria_TB____">PR_Countries!$F$1280:$F$1280</definedName>
    <definedName name="Nigeria_TB___USD">PR_Countries!$F$1281:$F$1282</definedName>
    <definedName name="Nigeria_TB_Association_For_Reproductive_And_Family_Health_USD">PR_Countries!$F$1283:$F$1283</definedName>
    <definedName name="Nigeria_TB_Institute_of_Human_Virology_Nigeria_USD">PR_Countries!$F$1284:$F$1284</definedName>
    <definedName name="Nigeria_TB_Management_Sciences_for_Health__">PR_Countries!$F$1285:$F$1285</definedName>
    <definedName name="Nigeria_TB_National_Tuberculosis___Leprosy_Control_Programme_USD">PR_Countries!$F$1286:$F$1286</definedName>
    <definedName name="Nigeria_TB_USD">PR_Countries!$AN$577:$AN$579</definedName>
    <definedName name="North_Macedonia_HIV___EUR">PR_Countries!$F$1287:$F$1287</definedName>
    <definedName name="North_Macedonia_HIV___USD">PR_Countries!$F$1288:$F$1288</definedName>
    <definedName name="North_Macedonia_HIV_EUR">PR_Countries!$AN$580:$AN$580</definedName>
    <definedName name="North_Macedonia_HIV_The_Ministry_of_Health_of_the_Former_Yugoslav_Republic_of_Macedonia_EUR">PR_Countries!$F$1289:$F$1289</definedName>
    <definedName name="North_Macedonia_TB___USD">PR_Countries!$F$1290:$F$1290</definedName>
    <definedName name="North_Macedonia_TB_EUR">PR_Countries!$AN$581:$AN$581</definedName>
    <definedName name="North_Macedonia_TB_The_Ministry_of_Health_of_the_Former_Yugoslav_Republic_of_Macedonia_EUR">PR_Countries!$F$1291:$F$1291</definedName>
    <definedName name="Nystatin">'TB-Pharma'!$AB$64:$AB$65</definedName>
    <definedName name="Oceania_HIV___USD">PR_Countries!$F$1292:$F$1293</definedName>
    <definedName name="Oceania_Malaria__">PR_Countries!$AN$582:$AN$582</definedName>
    <definedName name="Oceania_Malaria___USD">PR_Countries!$F$1294:$F$1296</definedName>
    <definedName name="Oceania_Malaria_United_Nations_Development_Programme__">PR_Countries!$F$1297:$F$1297</definedName>
    <definedName name="Oceania_Malaria_United_Nations_Development_Programme_USD">PR_Countries!$F$1298:$F$1298</definedName>
    <definedName name="Oceania_Malaria_USD">PR_Countries!$AN$583:$AN$583</definedName>
    <definedName name="Oceania_Multi__">PR_Countries!$AN$584:$AN$584</definedName>
    <definedName name="Oceania_Multi_United_Nations_Development_Programme__">PR_Countries!$F$1299:$F$1299</definedName>
    <definedName name="Oceania_Multi_United_Nations_Development_Programme_USD">PR_Countries!$F$1300:$F$1300</definedName>
    <definedName name="Oceania_Multi_USD">PR_Countries!$AN$585:$AN$585</definedName>
    <definedName name="Oceania_TB___USD">PR_Countries!$F$1301:$F$1302</definedName>
    <definedName name="Ofloxacin">'TB-Pharma'!$E$262:$E$269</definedName>
    <definedName name="OIs_STIs_other_medicines">'HIV-Pharma'!$I$2:$I$59</definedName>
    <definedName name="Opioid_substitute_medecines">'HIV-Pharma'!$B$33:$B$35</definedName>
    <definedName name="Opioid_substitute_medicines">'HIV-Pharma'!$B$33:$B$35</definedName>
    <definedName name="Oral_rehydration_salt">'TB-Pharma'!$AB$66</definedName>
    <definedName name="Other">LISTS!$K$3,LISTS!$K$6,LISTS!$K$9,LISTS!$K$10,LISTS!$K$12,LISTS!$K$13,LISTS!$K$14,LISTS!$K$20</definedName>
    <definedName name="Other_anti_TB_medicine">'TB-Pharma'!$D$36</definedName>
    <definedName name="Other_antimalaria_medicine">'Malaria-Pharma'!$C$42</definedName>
    <definedName name="Other_ARV">'HIV-Pharma'!$D$83</definedName>
    <definedName name="Other_chemicals_reagents_HIV_program">'HIV-Other HP'!$Z$15</definedName>
    <definedName name="Other_chemicals_reagents_TB_program">'TB-Other HPs'!$AA$57</definedName>
    <definedName name="Other_health_equipment_for_HIV_program">'HIV-Equip'!$B$26:$B$27</definedName>
    <definedName name="Other_health_equipment_for_Section5">'Malaria-Other HPs'!$AE$51:$AE$53</definedName>
    <definedName name="Other_health_equipment_for_TB_program">'TB-Other HPs'!$Z$37:$Z$40</definedName>
    <definedName name="Other_Laboratory_reagents_HIV_program">'HIV-Other HP'!$Z$16:$Z$30</definedName>
    <definedName name="Other_Laboratory_reagents_TB_program">'TB-Other HPs'!$Z$41:$Z$47</definedName>
    <definedName name="Other_MDR_XDR_TB_medicine">'TB-Pharma'!$L$15</definedName>
    <definedName name="Other_medicines">'TB-Pharma'!$AB$15</definedName>
    <definedName name="Other_opioid_substitute">'HIV-Pharma'!$D$108</definedName>
    <definedName name="Pakistan_HIV__">PR_Countries!$AN$586:$AN$586</definedName>
    <definedName name="Pakistan_HIV____">PR_Countries!$F$1303:$F$1303</definedName>
    <definedName name="Pakistan_HIV___USD">PR_Countries!$F$1304:$F$1306</definedName>
    <definedName name="Pakistan_HIV_Ministry_of_National_Health_Services__Regulations_and_Coordination_of_Pakistan_USD">PR_Countries!$F$1307:$F$1307</definedName>
    <definedName name="Pakistan_HIV_Nai_Zindagi__">PR_Countries!$F$1308:$F$1308</definedName>
    <definedName name="Pakistan_HIV_Nai_Zindagi_USD">PR_Countries!$F$1309:$F$1309</definedName>
    <definedName name="Pakistan_HIV_USD">PR_Countries!$AN$587:$AN$588</definedName>
    <definedName name="Pakistan_Malaria__">PR_Countries!$AN$589:$AN$589</definedName>
    <definedName name="Pakistan_Malaria____">PR_Countries!$F$1310:$F$1310</definedName>
    <definedName name="Pakistan_Malaria___USD">PR_Countries!$F$1311:$F$1314</definedName>
    <definedName name="Pakistan_Malaria_Ministry_of_National_Health_Services__Regulations_and_Coordination_of_Pakistan__">PR_Countries!$F$1315:$F$1315</definedName>
    <definedName name="Pakistan_Malaria_Ministry_of_National_Health_Services__Regulations_and_Coordination_of_Pakistan_USD">PR_Countries!$F$1316:$F$1316</definedName>
    <definedName name="Pakistan_Malaria_The_Indus_Hospital_USD">PR_Countries!$F$1317:$F$1317</definedName>
    <definedName name="Pakistan_Malaria_USD">PR_Countries!$AN$590:$AN$591</definedName>
    <definedName name="Pakistan_RSSH_Ministry_of_National_Health_Services__Regulations_and_Coordination_of_Pakistan_USD">PR_Countries!$F$1318:$F$1318</definedName>
    <definedName name="Pakistan_RSSH_USD">PR_Countries!$AN$592:$AN$592</definedName>
    <definedName name="Pakistan_TB__">PR_Countries!$AN$593:$AN$593</definedName>
    <definedName name="Pakistan_TB___USD">PR_Countries!$F$1319:$F$1326</definedName>
    <definedName name="Pakistan_TB_Mercy_Corps__">PR_Countries!$F$1327:$F$1327</definedName>
    <definedName name="Pakistan_TB_Mercy_Corps_USD">PR_Countries!$F$1328:$F$1328</definedName>
    <definedName name="Pakistan_TB_National_TB_Control_Programme_Pakistan_USD">PR_Countries!$F$1329:$F$1329</definedName>
    <definedName name="Pakistan_TB_The_Indus_Hospital_USD">PR_Countries!$F$1330:$F$1330</definedName>
    <definedName name="Pakistan_TB_USD">PR_Countries!$AN$594:$AN$596</definedName>
    <definedName name="Palestine_HIV_United_Nations_Development_Programme_USD">PR_Countries!$F$1331:$F$1331</definedName>
    <definedName name="Palestine_HIV_USD">PR_Countries!$AN$597:$AN$597</definedName>
    <definedName name="Palestine_TB_United_Nations_Development_Programme_USD">PR_Countries!$F$1332:$F$1332</definedName>
    <definedName name="Palestine_TB_USD">PR_Countries!$AN$598:$AN$598</definedName>
    <definedName name="Panama_HIV_Cicatelli_Associates_Inc__USD">PR_Countries!$F$1333:$F$1333</definedName>
    <definedName name="Panama_HIV_USD">PR_Countries!$AN$599:$AN$599</definedName>
    <definedName name="Panama_Multi__">PR_Countries!$AN$600:$AN$600</definedName>
    <definedName name="Panama_Multi_United_Nations_Development_Programme__">PR_Countries!$F$1334:$F$1334</definedName>
    <definedName name="Panama_Multi_United_Nations_Development_Programme_USD">PR_Countries!$F$1335:$F$1335</definedName>
    <definedName name="Panama_Multi_USD">PR_Countries!$AN$601:$AN$601</definedName>
    <definedName name="Panama_TB___USD">PR_Countries!$F$1336:$F$1336</definedName>
    <definedName name="Pantoprazole">'TB-Pharma'!$AB$68</definedName>
    <definedName name="Papua_New_Guinea_HIV____">PR_Countries!$F$1337:$F$1337</definedName>
    <definedName name="Papua_New_Guinea_HIV___USD">PR_Countries!$F$1338:$F$1339</definedName>
    <definedName name="Papua_New_Guinea_HIV_Oil_Search_Foundation_USD">PR_Countries!$F$1340:$F$1340</definedName>
    <definedName name="Papua_New_Guinea_HIV_USD">PR_Countries!$AN$602:$AN$602</definedName>
    <definedName name="Papua_New_Guinea_Malaria__">PR_Countries!$AN$603:$AN$603</definedName>
    <definedName name="Papua_New_Guinea_Malaria____">PR_Countries!$F$1341:$F$1341</definedName>
    <definedName name="Papua_New_Guinea_Malaria___USD">PR_Countries!$F$1342:$F$1345</definedName>
    <definedName name="Papua_New_Guinea_Malaria_Population_Services_International_USD">PR_Countries!$F$1346:$F$1347</definedName>
    <definedName name="Papua_New_Guinea_Malaria_The_Rotary_Club_of_Port_Moresby_Inc___">PR_Countries!$F$1348:$F$1348</definedName>
    <definedName name="Papua_New_Guinea_Malaria_The_Rotary_Club_of_Port_Moresby_Inc__USD">PR_Countries!$F$1349:$F$1349</definedName>
    <definedName name="Papua_New_Guinea_Malaria_USD">PR_Countries!$AN$604:$AN$605</definedName>
    <definedName name="Papua_New_Guinea_Multi__">PR_Countries!$AN$606:$AN$607</definedName>
    <definedName name="Papua_New_Guinea_Multi____">PR_Countries!$F$1350:$F$1351</definedName>
    <definedName name="Papua_New_Guinea_Multi_Oil_Search_Foundation__">PR_Countries!$F$1352:$F$1352</definedName>
    <definedName name="Papua_New_Guinea_Multi_World_Vision__PNG__Trust__">PR_Countries!$F$1353:$F$1353</definedName>
    <definedName name="Papua_New_Guinea_TB___USD">PR_Countries!$F$1354:$F$1355</definedName>
    <definedName name="Papua_New_Guinea_TB_USD">PR_Countries!$AN$608:$AN$608</definedName>
    <definedName name="Papua_New_Guinea_TB_World_Vision__PNG__Trust_USD">PR_Countries!$F$1356:$F$1356</definedName>
    <definedName name="Para_AminoSalicylate_Sodium">'TB-Pharma'!$L$48:$L$51</definedName>
    <definedName name="Paracetamol">'TB-Pharma'!$AB$69:$AB$70</definedName>
    <definedName name="Paraguay_HIV__">PR_Countries!$AN$609:$AN$609</definedName>
    <definedName name="Paraguay_HIV____">PR_Countries!$F$1357:$F$1357</definedName>
    <definedName name="Paraguay_HIV___USD">PR_Countries!$F$1358:$F$1358</definedName>
    <definedName name="Paraguay_HIV_Centro_de_Informaci_n_y_Recursos_para_el_Desarrollo__">PR_Countries!$F$1359:$F$1359</definedName>
    <definedName name="Paraguay_HIV_Centro_de_Informaci_n_y_Recursos_para_el_Desarrollo_EUR">PR_Countries!$F$1360:$F$1360</definedName>
    <definedName name="Paraguay_HIV_Centro_de_Informaci_n_y_Recursos_para_el_Desarrollo_USD">PR_Countries!$F$1361:$F$1361</definedName>
    <definedName name="Paraguay_HIV_EUR">PR_Countries!$AN$610:$AN$610</definedName>
    <definedName name="Paraguay_HIV_USD">PR_Countries!$AN$611:$AN$611</definedName>
    <definedName name="Paraguay_Malaria_International_Organization_for_Migration_USD">PR_Countries!$F$1362:$F$1362</definedName>
    <definedName name="Paraguay_Malaria_USD">PR_Countries!$AN$612:$AN$612</definedName>
    <definedName name="Paraguay_RSSH_Centro_de_Informaci_n_y_Recursos_para_el_Desarrollo_USD">PR_Countries!$F$1363:$F$1363</definedName>
    <definedName name="Paraguay_RSSH_USD">PR_Countries!$AN$613:$AN$613</definedName>
    <definedName name="Paraguay_TB__">PR_Countries!$AN$614:$AN$614</definedName>
    <definedName name="Paraguay_TB___USD">PR_Countries!$F$1364:$F$1365</definedName>
    <definedName name="Paraguay_TB_Alter_Vida___Centro_de_Estudios_y_Formaci_n_para_el_Ecodesarrollo__">PR_Countries!$F$1366:$F$1366</definedName>
    <definedName name="Paraguay_TB_Alter_Vida___Centro_de_Estudios_y_Formaci_n_para_el_Ecodesarrollo_USD">PR_Countries!$F$1367:$F$1367</definedName>
    <definedName name="Paraguay_TB_USD">PR_Countries!$AN$615:$AN$615</definedName>
    <definedName name="Pegylated_liposomal_doxorubicin">'TB-Pharma'!$AB$16:$AB$17</definedName>
    <definedName name="Peru_HIV__">PR_Countries!$AN$616:$AN$616</definedName>
    <definedName name="Peru_HIV___USD">PR_Countries!$F$1368:$F$1371</definedName>
    <definedName name="Peru_HIV_Care_Peru__">PR_Countries!$F$1372:$F$1372</definedName>
    <definedName name="Peru_HIV_Care_Peru_USD">PR_Countries!$F$1373:$F$1373</definedName>
    <definedName name="Peru_HIV_Ministry_of_Health__PARSALUD_II__Unidad_Ejecutora______of_the_Republic_of_Peru_USD">PR_Countries!$F$1374:$F$1374</definedName>
    <definedName name="Peru_HIV_Pathfinder_International_USD">PR_Countries!$F$1375:$F$1375</definedName>
    <definedName name="Peru_HIV_USD">PR_Countries!$AN$617:$AN$619</definedName>
    <definedName name="Peru_TB__">PR_Countries!$AN$620:$AN$620</definedName>
    <definedName name="Peru_TB___EUR">PR_Countries!$F$1376:$F$1376</definedName>
    <definedName name="Peru_TB___USD">PR_Countries!$F$1377:$F$1378</definedName>
    <definedName name="Peru_TB_EUR">PR_Countries!$AN$621:$AN$621</definedName>
    <definedName name="Peru_TB_Ministry_of_Health__PARSALUD_II__Unidad_Ejecutora______of_the_Republic_of_Peru_EUR">PR_Countries!$F$1379:$F$1379</definedName>
    <definedName name="Peru_TB_Socios_en_Salud_sucursal_Peru__">PR_Countries!$F$1380:$F$1380</definedName>
    <definedName name="Peru_TB_Socios_en_Salud_sucursal_Peru_USD">PR_Countries!$F$1381:$F$1381</definedName>
    <definedName name="Peru_TB_USD">PR_Countries!$AN$622:$AN$622</definedName>
    <definedName name="Phenoxymethylpenicillin">'TB-Pharma'!$AB$71</definedName>
    <definedName name="Philippines_HIV__">PR_Countries!$AN$623:$AN$623</definedName>
    <definedName name="Philippines_HIV____">PR_Countries!$F$1382:$F$1383</definedName>
    <definedName name="Philippines_HIV___USD">PR_Countries!$F$1384:$F$1386</definedName>
    <definedName name="Philippines_HIV_Department_of_Health__Republic_of_the_Philippines_USD">PR_Countries!$F$1387:$F$1387</definedName>
    <definedName name="Philippines_HIV_Save_the_Children_Federation__Inc___">PR_Countries!$F$1388:$F$1388</definedName>
    <definedName name="Philippines_HIV_Save_the_Children_Federation__Inc__USD">PR_Countries!$F$1389:$F$1389</definedName>
    <definedName name="Philippines_HIV_USD">PR_Countries!$AN$624:$AN$625</definedName>
    <definedName name="Philippines_Malaria__">PR_Countries!$AN$626:$AN$626</definedName>
    <definedName name="Philippines_Malaria____">PR_Countries!$F$1390:$F$1390</definedName>
    <definedName name="Philippines_Malaria___USD">PR_Countries!$F$1391:$F$1394</definedName>
    <definedName name="Philippines_Malaria_Pilipinas_Shell_Foundation__Inc___">PR_Countries!$F$1395:$F$1395</definedName>
    <definedName name="Philippines_Malaria_Pilipinas_Shell_Foundation__Inc__USD">PR_Countries!$F$1396:$F$1396</definedName>
    <definedName name="Philippines_Malaria_USD">PR_Countries!$AN$627:$AN$627</definedName>
    <definedName name="Philippines_TB__">PR_Countries!$AN$628:$AN$628</definedName>
    <definedName name="Philippines_TB____">PR_Countries!$F$1397:$F$1398</definedName>
    <definedName name="Philippines_TB___EUR">PR_Countries!$F$1399:$F$1400</definedName>
    <definedName name="Philippines_TB___USD">PR_Countries!$F$1401:$F$1401</definedName>
    <definedName name="Philippines_TB_Philippine_Business_for_Social_Progress__Inc___">PR_Countries!$F$1403:$F$1403</definedName>
    <definedName name="Philippines_TB_Philippine_Business_for_Social_Progress_USD">PR_Countries!$F$1402:$F$1402</definedName>
    <definedName name="Philippines_TB_USD">PR_Countries!$AN$629:$AN$629</definedName>
    <definedName name="Piperaquine_Dihydroartemisinin">'Malaria-Pharma'!$C$43:$C$47</definedName>
    <definedName name="Podophyllotoxin">'TB-Pharma'!$AB$72</definedName>
    <definedName name="Pretomanid">'TB-Pharma'!$L$39</definedName>
    <definedName name="Primaquine">'Malaria-Pharma'!$C$48:$C$52</definedName>
    <definedName name="_xlnm.Print_Area" localSheetId="25">'Detailed Budget'!$A$1:$BN$549</definedName>
    <definedName name="_xlnm.Print_Area" localSheetId="1">SETUP!$A$1:$K$55</definedName>
    <definedName name="PROCUREMENTENTITY">LISTS!$F$3:$F$6</definedName>
    <definedName name="Proguanil">'Malaria-Pharma'!$C$53</definedName>
    <definedName name="Prothionamide">'TB-Pharma'!$L$52</definedName>
    <definedName name="Pvp_iodine">'TB-Pharma'!$AB$73:$AB$74</definedName>
    <definedName name="Pyrazinamide">'TB-Pharma'!$D$32:$D$35</definedName>
    <definedName name="Pyrimethamine">'TB-Pharma'!$AB$75:$AB$76</definedName>
    <definedName name="Qiagen">LISTS!$L$13</definedName>
    <definedName name="Quinine">'Malaria-Pharma'!$C$54:$C$57</definedName>
    <definedName name="Raltegravir">'HIV-Pharma'!$D$84:$D$86</definedName>
    <definedName name="Rapid_Diagnostic_Test_Cryptococcus">'HIV-Other HP'!$L$34:$L$35</definedName>
    <definedName name="Rapid_Diagnostic_Test_HBV">'HIV-Other HP'!$L$36:$L$37</definedName>
    <definedName name="Rapid_Diagnostic_Test_HCV">'HIV-Other HP'!$L$38:$L$39</definedName>
    <definedName name="Rapid_Diagnostic_Test_HIV">'HIV-Other HP'!$L$2:$L$33</definedName>
    <definedName name="Rapid_Diagnostic_Test_Malaria">'Malaria-Other HPs'!$H$2:$H$9</definedName>
    <definedName name="Rapid_Diagnostic_Test_Syphilis">'HIV-Other HP'!$L$40</definedName>
    <definedName name="Rapid_Diagnostic_Test_TB">'TB-Other HPs'!$L$2:$L$3</definedName>
    <definedName name="RDTs_for_HIV">'HIV-Other HP'!$J$2</definedName>
    <definedName name="RDTS_for_HIV_testing_in_TB_program">'TB-Other HPs'!$Z$48</definedName>
    <definedName name="RDTs_for_Malaria">'Malaria-Other HPs'!$Y$2</definedName>
    <definedName name="RDTs_for_STIs_OIs_hepatitis">'HIV-Other HP'!$J$3:$J$6</definedName>
    <definedName name="RDTs_for_TB">'TB-Other HPs'!$J$2:$J$5</definedName>
    <definedName name="RDTs_for_TB_for_HIV_program">'HIV-Other HP'!$J$7:$J$8</definedName>
    <definedName name="Reagents">'Malaria-Other HPs'!$R$95</definedName>
    <definedName name="Refrigerator">'Malaria-Other HPs'!$R$38:$R$40</definedName>
    <definedName name="Ribavirin">'TB-Pharma'!$AB$77</definedName>
    <definedName name="Rifabutin">'TB-Pharma'!$D$19</definedName>
    <definedName name="Rifampicin">'TB-Pharma'!$D$20:$D$25</definedName>
    <definedName name="Rifapentine">'TB-Pharma'!$D$8</definedName>
    <definedName name="Ritonavir">'HIV-Pharma'!$D$87:$D$93</definedName>
    <definedName name="Roche">LISTS!$L$14:$L$19</definedName>
    <definedName name="Romania_HIV___EUR">PR_Countries!$F$1404:$F$1404</definedName>
    <definedName name="Romania_HIV___USD">PR_Countries!$F$1405:$F$1405</definedName>
    <definedName name="Romania_TB__">PR_Countries!$AN$630:$AN$630</definedName>
    <definedName name="Romania_TB____">PR_Countries!$F$1406:$F$1406</definedName>
    <definedName name="Romania_TB___USD">PR_Countries!$F$1407:$F$1407</definedName>
    <definedName name="Romania_TB_EUR">PR_Countries!$AN$631:$AN$632</definedName>
    <definedName name="Romania_TB_Ministry_of_Health_of_Romania_EUR">PR_Countries!$F$1408:$F$1408</definedName>
    <definedName name="Romania_TB_Romanian_Angel_Appeal_Foundation__">PR_Countries!$F$1409:$F$1409</definedName>
    <definedName name="Romania_TB_Romanian_Angel_Appeal_Foundation_EUR">PR_Countries!$F$1410:$F$1411</definedName>
    <definedName name="RSHHHPMSystems">'HPM LIST'!$A$2:$A$6</definedName>
    <definedName name="Russian_Federation_HIV___EUR">PR_Countries!$F$1412:$F$1412</definedName>
    <definedName name="Russian_Federation_HIV___USD">PR_Countries!$F$1413:$F$1413</definedName>
    <definedName name="Russian_Federation_HIV_Open_Health_Institute_USD">PR_Countries!$F$1414:$F$1415</definedName>
    <definedName name="Russian_Federation_HIV_USD">PR_Countries!$AN$633:$AN$633</definedName>
    <definedName name="Russian_Federation_TB___USD">PR_Countries!$F$1416:$F$1417</definedName>
    <definedName name="Rwanda_HIV___USD">PR_Countries!$F$1418:$F$1420</definedName>
    <definedName name="Rwanda_HIV_Ministry_of_Health_of_the_Republic_of_Rwanda_USD">PR_Countries!$F$1421:$F$1421</definedName>
    <definedName name="Rwanda_HIV_USD">PR_Countries!$AN$634:$AN$634</definedName>
    <definedName name="Rwanda_Malaria__">PR_Countries!$AN$635:$AN$635</definedName>
    <definedName name="Rwanda_Malaria____">PR_Countries!$F$1422:$F$1423</definedName>
    <definedName name="Rwanda_Malaria___USD">PR_Countries!$F$1424:$F$1426</definedName>
    <definedName name="Rwanda_Malaria_Ministry_of_Health_of_the_Republic_of_Rwanda__">PR_Countries!$F$1427:$F$1428</definedName>
    <definedName name="Rwanda_Malaria_Ministry_of_Health_of_the_Republic_of_Rwanda_USD">PR_Countries!$F$1429:$F$1430</definedName>
    <definedName name="Rwanda_Malaria_USD">PR_Countries!$AN$636:$AN$636</definedName>
    <definedName name="Rwanda_Multi____">PR_Countries!$F$1431:$F$1431</definedName>
    <definedName name="Rwanda_Multi___USD">PR_Countries!$F$1432:$F$1432</definedName>
    <definedName name="Rwanda_Multi_United_Nations_High_Commisioner_for_Refugees_USD">PR_Countries!$F$1433:$F$1433</definedName>
    <definedName name="Rwanda_Multi_USD">PR_Countries!$AN$637:$AN$637</definedName>
    <definedName name="Rwanda_RSSH___USD">PR_Countries!$F$1434:$F$1434</definedName>
    <definedName name="Rwanda_TB____">PR_Countries!$F$1435:$F$1435</definedName>
    <definedName name="Rwanda_TB___USD">PR_Countries!$F$1436:$F$1437</definedName>
    <definedName name="Rwanda_TB_Ministry_of_Health_of_the_Republic_of_Rwanda_USD">PR_Countries!$F$1438:$F$1438</definedName>
    <definedName name="Rwanda_TB_USD">PR_Countries!$AN$638:$AN$638</definedName>
    <definedName name="Salbutamol">'TB-Pharma'!$AB$78</definedName>
    <definedName name="SampleTypeVLEID">LISTS!$M$3:$M$5</definedName>
    <definedName name="Sao_Tome_and_Principe_HIV___USD">PR_Countries!$F$1439:$F$1439</definedName>
    <definedName name="Sao_Tome_and_Principe_HIV_United_Nations_Development_Programme_USD">PR_Countries!$F$1440:$F$1441</definedName>
    <definedName name="Sao_Tome_and_Principe_HIV_USD">PR_Countries!$AN$639:$AN$639</definedName>
    <definedName name="Sao_Tome_and_Principe_Malaria___USD">PR_Countries!$F$1442:$F$1443</definedName>
    <definedName name="Sao_Tome_and_Principe_Malaria_United_Nations_Development_Programme_USD">PR_Countries!$F$1444:$F$1444</definedName>
    <definedName name="Sao_Tome_and_Principe_Malaria_USD">PR_Countries!$AN$640:$AN$640</definedName>
    <definedName name="Sao_Tome_and_Principe_Multi__">PR_Countries!$AN$641:$AN$641</definedName>
    <definedName name="Sao_Tome_and_Principe_Multi_United_Nations_Development_Programme__">PR_Countries!$F$1445:$F$1446</definedName>
    <definedName name="Sao_Tome_and_Principe_TB_United_Nations_Development_Programme_USD">PR_Countries!$F$1447:$F$1448</definedName>
    <definedName name="Sao_Tome_and_Principe_TB_USD">PR_Countries!$AN$642:$AN$642</definedName>
    <definedName name="Section_3_Malaria_Other_chemicals_reagents">'Malaria-Other HPs'!$L$56</definedName>
    <definedName name="Section_3_Malaria_Other_health_equipment">'Malaria-Other HPs'!$L$75</definedName>
    <definedName name="Section_4_Equipment_Other">'Malaria-Other HPs'!$R$20:$R$22</definedName>
    <definedName name="Section_4_Malaria_Other_chemicals_reagents">'Malaria-Other HPs'!$AE$50</definedName>
    <definedName name="Senegal_HIV__">PR_Countries!$AN$643:$AN$643</definedName>
    <definedName name="Senegal_HIV___EUR">PR_Countries!$F$1449:$F$1450</definedName>
    <definedName name="Senegal_HIV___USD">PR_Countries!$F$1451:$F$1452</definedName>
    <definedName name="Senegal_HIV_Alliance_Nationale_Contre_le_Sida___S_n_gal_EUR">PR_Countries!$F$1453:$F$1453</definedName>
    <definedName name="Senegal_HIV_Alliance_Nationale_des_Communaut_s_pour_la_Sant____S_n_gal__">PR_Countries!$F$1454:$F$1454</definedName>
    <definedName name="Senegal_HIV_Conseil_National_de_Lutte_contre_le_SIDA_de_la_R_publique_du_S_n_gal_EUR">PR_Countries!$F$1455:$F$1455</definedName>
    <definedName name="Senegal_HIV_EUR">PR_Countries!$AN$644:$AN$646</definedName>
    <definedName name="Senegal_HIV_Ministry_of_Health__Prevention_and_Public_Hygiene_of_the_Republic_of_Senegal___AIDS_Division_EUR">PR_Countries!$F$1456:$F$1456</definedName>
    <definedName name="Senegal_Malaria__">PR_Countries!$AN$647:$AN$647</definedName>
    <definedName name="Senegal_Malaria___EUR">PR_Countries!$F$1457:$F$1457</definedName>
    <definedName name="Senegal_Malaria___USD">PR_Countries!$F$1458:$F$1459</definedName>
    <definedName name="Senegal_Malaria_EUR">PR_Countries!$AN$648:$AN$649</definedName>
    <definedName name="Senegal_Malaria_IntraHealth_International__Inc__EUR">PR_Countries!$F$1460:$F$1461</definedName>
    <definedName name="Senegal_Malaria_Ministry_of_Health_and_Social_Action_of_the_Republic_of_Senegal__">PR_Countries!$F$1462:$F$1462</definedName>
    <definedName name="Senegal_Malaria_Ministry_of_Health_and_Social_Action_of_the_Republic_of_Senegal_EUR">PR_Countries!$F$1463:$F$1464</definedName>
    <definedName name="Senegal_Multi__">PR_Countries!$AN$650:$AN$650</definedName>
    <definedName name="Senegal_Multi____">PR_Countries!$F$1465:$F$1465</definedName>
    <definedName name="Senegal_Multi_EUR">PR_Countries!$AN$651:$AN$651</definedName>
    <definedName name="Senegal_Multi_Ministry_of_Health_and_Social_Action_of_the_Republic_of_Senegal__">PR_Countries!$F$1466:$F$1466</definedName>
    <definedName name="Senegal_Multi_Ministry_of_Health_and_Social_Action_of_the_Republic_of_Senegal_EUR">PR_Countries!$F$1467:$F$1467</definedName>
    <definedName name="Senegal_RSSH_EUR">PR_Countries!$AN$652:$AN$652</definedName>
    <definedName name="Senegal_RSSH_Ministry_of_Health_and_Social_Action_of_the_Republic_of_Senegal_EUR">PR_Countries!$F$1468:$F$1468</definedName>
    <definedName name="Senegal_TB___EUR">PR_Countries!$F$1469:$F$1469</definedName>
    <definedName name="Senegal_TB_EUR">PR_Countries!$AN$653:$AN$654</definedName>
    <definedName name="Senegal_TB_Ministry_of_Health_and_Social_Action_of_the_Republic_of_Senegal_EUR">PR_Countries!$F$1470:$F$1470</definedName>
    <definedName name="Senegal_TB_Plan_International__Inc__EUR">PR_Countries!$F$1471:$F$1471</definedName>
    <definedName name="Sensitive_TB_medicines">'TB-Pharma'!$B$3:$B$12</definedName>
    <definedName name="Sensitive_TB_medicines_for_Section2">'TB-Pharma'!$J$22:$J$25</definedName>
    <definedName name="Sensitive_TB_medicines_for_Section3">'TB-Pharma'!$R$3:$R$5</definedName>
    <definedName name="Serbia_HIV__">PR_Countries!$AN$655:$AN$655</definedName>
    <definedName name="Serbia_HIV___EUR">PR_Countries!$F$1472:$F$1474</definedName>
    <definedName name="Serbia_HIV___USD">PR_Countries!$F$1475:$F$1475</definedName>
    <definedName name="Serbia_HIV_EUR">PR_Countries!$AN$656:$AN$656</definedName>
    <definedName name="Serbia_HIV_Ministry_of_Health_of_Republic_of_Serbia__">PR_Countries!$F$1476:$F$1476</definedName>
    <definedName name="Serbia_HIV_Ministry_of_Health_of_Republic_of_Serbia_EUR">PR_Countries!$F$1477:$F$1477</definedName>
    <definedName name="Serbia_TB___USD">PR_Countries!$F$1478:$F$1480</definedName>
    <definedName name="Sierra_Leone_HIV__">PR_Countries!$AN$657:$AN$657</definedName>
    <definedName name="Sierra_Leone_HIV___USD">PR_Countries!$F$1481:$F$1482</definedName>
    <definedName name="Sierra_Leone_HIV_National_HIV_AIDS_Secretariat__">PR_Countries!$F$1483:$F$1483</definedName>
    <definedName name="Sierra_Leone_HIV_National_HIV_AIDS_Secretariat_USD">PR_Countries!$F$1484:$F$1484</definedName>
    <definedName name="Sierra_Leone_HIV_USD">PR_Countries!$AN$658:$AN$658</definedName>
    <definedName name="Sierra_Leone_Malaria__">PR_Countries!$AN$659:$AN$659</definedName>
    <definedName name="Sierra_Leone_Malaria___USD">PR_Countries!$F$1485:$F$1486</definedName>
    <definedName name="Sierra_Leone_Malaria_Catholic_Relief_Services___United_States_Conference_of_Catholic_Bishops__">PR_Countries!$F$1487:$F$1487</definedName>
    <definedName name="Sierra_Leone_Malaria_Catholic_Relief_Services___United_States_Conference_of_Catholic_Bishops_USD">PR_Countries!$F$1488:$F$1488</definedName>
    <definedName name="Sierra_Leone_Malaria_Ministry_of_Health_and_Sanitation_of_Sierra_Leone_USD">PR_Countries!$F$1489:$F$1489</definedName>
    <definedName name="Sierra_Leone_Malaria_USD">PR_Countries!$AN$660:$AN$661</definedName>
    <definedName name="Sierra_Leone_Multi____">PR_Countries!$F$1490:$F$1490</definedName>
    <definedName name="Sierra_Leone_Multi_Ministry_of_Health_and_Sanitation_of_Sierra_Leone_USD">PR_Countries!$F$1491:$F$1491</definedName>
    <definedName name="Sierra_Leone_Multi_USD">PR_Countries!$AN$662:$AN$662</definedName>
    <definedName name="Sierra_Leone_TB___USD">PR_Countries!$F$1492:$F$1492</definedName>
    <definedName name="Sierra_Leone_TB_Ministry_of_Health_and_Sanitation_of_Sierra_Leone_USD">PR_Countries!$F$1493:$F$1493</definedName>
    <definedName name="Sierra_Leone_TB_USD">PR_Countries!$AN$663:$AN$663</definedName>
    <definedName name="Sodium_dichloroisocyanurate">'TB-Pharma'!$AB$79</definedName>
    <definedName name="Sofosbuvir">'TB-Pharma'!$AB$80</definedName>
    <definedName name="Sofosbuvir_Daclatasvir">'TB-Pharma'!$AB$83</definedName>
    <definedName name="Sofosbuvir_Ledipasvir">'TB-Pharma'!$AB$81</definedName>
    <definedName name="Sofosbuvir_Velpatasvir">'TB-Pharma'!$AB$82</definedName>
    <definedName name="Solid_culture_and_DST_Media_Reagents_Antibiotics">'TB-Other HPs'!$T$10</definedName>
    <definedName name="Solid_culture_and_DST_Other_reagents_no_consumables">'TB-Other HPs'!$T$11</definedName>
    <definedName name="Solomon_Islands_HIV____">PR_Countries!$F$1494:$F$1494</definedName>
    <definedName name="Solomon_Islands_Malaria__">PR_Countries!$AN$664:$AN$664</definedName>
    <definedName name="Solomon_Islands_Malaria____">PR_Countries!$F$1495:$F$1495</definedName>
    <definedName name="Solomon_Islands_Malaria_Solomon_Islands_Ministry_of_Health_and_Medical_Services__">PR_Countries!$F$1496:$F$1496</definedName>
    <definedName name="Solomon_Islands_Malaria_Solomon_Islands_Ministry_of_Health_and_Medical_Services_USD">PR_Countries!$F$1497:$F$1497</definedName>
    <definedName name="Solomon_Islands_Malaria_USD">PR_Countries!$AN$665:$AN$665</definedName>
    <definedName name="Solomon_Islands_Multi__">PR_Countries!$AN$666:$AN$666</definedName>
    <definedName name="Solomon_Islands_Multi_Solomon_Islands_Ministry_of_Health_and_Medical_Services__">PR_Countries!$F$1498:$F$1498</definedName>
    <definedName name="Solomon_Islands_Multi_Solomon_Islands_Ministry_of_Health_and_Medical_Services_USD">PR_Countries!$F$1499:$F$1499</definedName>
    <definedName name="Solomon_Islands_Multi_USD">PR_Countries!$AN$667:$AN$667</definedName>
    <definedName name="Solomon_Islands_TB___USD">PR_Countries!$F$1500:$F$1500</definedName>
    <definedName name="Solomon_Islands_TB_Solomon_Islands_Ministry_of_Health_and_Medical_Services_USD">PR_Countries!$F$1501:$F$1501</definedName>
    <definedName name="Solomon_Islands_TB_USD">PR_Countries!$AN$668:$AN$668</definedName>
    <definedName name="Somalia_HIV__">PR_Countries!$AN$669:$AN$669</definedName>
    <definedName name="Somalia_HIV____">PR_Countries!$F$1502:$F$1502</definedName>
    <definedName name="Somalia_HIV___USD">PR_Countries!$F$1503:$F$1503</definedName>
    <definedName name="Somalia_HIV_United_Nations_Children_s_Fund__">PR_Countries!$F$1504:$F$1504</definedName>
    <definedName name="Somalia_HIV_United_Nations_Children_s_Fund_USD">PR_Countries!$F$1505:$F$1506</definedName>
    <definedName name="Somalia_HIV_USD">PR_Countries!$AN$670:$AN$670</definedName>
    <definedName name="Somalia_Malaria__">PR_Countries!$AN$671:$AN$671</definedName>
    <definedName name="Somalia_Malaria____">PR_Countries!$F$1507:$F$1507</definedName>
    <definedName name="Somalia_Malaria___USD">PR_Countries!$F$1508:$F$1509</definedName>
    <definedName name="Somalia_Malaria_United_Nations_Children_s_Fund__">PR_Countries!$F$1510:$F$1510</definedName>
    <definedName name="Somalia_Malaria_United_Nations_Children_s_Fund_USD">PR_Countries!$F$1511:$F$1512</definedName>
    <definedName name="Somalia_Malaria_USD">PR_Countries!$AN$672:$AN$672</definedName>
    <definedName name="Somalia_Multi____">PR_Countries!$F$1513:$F$1514</definedName>
    <definedName name="Somalia_TB__">PR_Countries!$AN$673:$AN$673</definedName>
    <definedName name="Somalia_TB____">PR_Countries!$F$1515:$F$1515</definedName>
    <definedName name="Somalia_TB___USD">PR_Countries!$F$1516:$F$1517</definedName>
    <definedName name="Somalia_TB_USD">PR_Countries!$AN$674:$AN$674</definedName>
    <definedName name="Somalia_TB_World_Vision_International_USD">PR_Countries!$F$1518:$F$1518</definedName>
    <definedName name="Somalia_TB_World_Vision_Somalia__">PR_Countries!$F$1519:$F$1519</definedName>
    <definedName name="South_Africa_HIV___USD">PR_Countries!$F$1520:$F$1523</definedName>
    <definedName name="South_Africa_HIV_National_Department_of_Health_of_the_Republic_of_South_Africa_USD">PR_Countries!$F$1524:$F$1524</definedName>
    <definedName name="South_Africa_HIV_National_Religious_Association_for_Social_Development_USD">PR_Countries!$F$1525:$F$1525</definedName>
    <definedName name="South_Africa_HIV_Networking_HIV__AIDS_Community_of_South_Africa_NPC_USD">PR_Countries!$F$1526:$F$1526</definedName>
    <definedName name="South_Africa_HIV_Right_to_Care_USD">PR_Countries!$F$1527:$F$1527</definedName>
    <definedName name="South_Africa_HIV_Soul_City_Institute_for_Health_and_Development_Communication_USD">PR_Countries!$F$1528:$F$1528</definedName>
    <definedName name="South_Africa_HIV_USD">PR_Countries!$AN$675:$AN$680</definedName>
    <definedName name="South_Africa_HIV_Western_Cape_Government__Health_USD">PR_Countries!$F$1529:$F$1529</definedName>
    <definedName name="South_Africa_Multi__">PR_Countries!$AN$681:$AN$681</definedName>
    <definedName name="South_Africa_Multi___USD">PR_Countries!$F$1530:$F$1533</definedName>
    <definedName name="South_Africa_Multi_AIDS_Foundation_South_Africa__">PR_Countries!$F$1534:$F$1534</definedName>
    <definedName name="South_Africa_Multi_AIDS_Foundation_South_Africa_USD">PR_Countries!$F$1535:$F$1535</definedName>
    <definedName name="South_Africa_Multi_Beyond_Zero_NPC_USD">PR_Countries!$F$1536:$F$1536</definedName>
    <definedName name="South_Africa_Multi_Kheth_Impilo_AIDS_Free_Living_USD">PR_Countries!$F$1537:$F$1537</definedName>
    <definedName name="South_Africa_Multi_KwaZulu_Natal_Provincial_Treasury_USD">PR_Countries!$F$1538:$F$1538</definedName>
    <definedName name="South_Africa_Multi_National_Department_of_Health_of_the_Republic_of_South_Africa_USD">PR_Countries!$F$1539:$F$1539</definedName>
    <definedName name="South_Africa_Multi_Networking_HIV__AIDS_Community_of_South_Africa_NPC_USD">PR_Countries!$F$1540:$F$1540</definedName>
    <definedName name="South_Africa_Multi_Right_to_Care_USD">PR_Countries!$F$1541:$F$1541</definedName>
    <definedName name="South_Africa_Multi_Soul_City_Institute_for_Health_and_Development_Communication_USD">PR_Countries!$F$1542:$F$1542</definedName>
    <definedName name="South_Africa_Multi_USD">PR_Countries!$AN$682:$AN$690</definedName>
    <definedName name="South_Africa_Multi_Western_Cape_Government__Health_USD">PR_Countries!$F$1543:$F$1543</definedName>
    <definedName name="South_America_Malaria___USD">PR_Countries!$F$1544:$F$1544</definedName>
    <definedName name="South_Eastern_Asia_HIV_Australian_Federation_Of_Aids_Organisations__Inc__USD">PR_Countries!$F$1566:$F$1566</definedName>
    <definedName name="South_Eastern_Asia_HIV_Humanist_Institute_for_Co_operation_with_Developing_Countries_USD">PR_Countries!$F$1567:$F$1567</definedName>
    <definedName name="South_Eastern_Asia_HIV_USD">PR_Countries!$AN$698:$AN$699</definedName>
    <definedName name="South_Eastern_Asia_Malaria__">PR_Countries!$AN$700:$AN$700</definedName>
    <definedName name="South_Eastern_Asia_Malaria_United_Nations_Office_for_Project_Services__">PR_Countries!$F$1568:$F$1568</definedName>
    <definedName name="South_Eastern_Asia_Malaria_United_Nations_Office_for_Project_Services_USD">PR_Countries!$F$1569:$F$1569</definedName>
    <definedName name="South_Eastern_Asia_Malaria_USD">PR_Countries!$AN$701:$AN$701</definedName>
    <definedName name="South_Eastern_Asia_TB_United_Nations_Office_for_Project_Services_USD">PR_Countries!$F$1570:$F$1570</definedName>
    <definedName name="South_Eastern_Asia_TB_USD">PR_Countries!$AN$702:$AN$702</definedName>
    <definedName name="South_Sudan_HIV__">PR_Countries!$AN$691:$AN$691</definedName>
    <definedName name="South_Sudan_HIV____">PR_Countries!$F$1545:$F$1546</definedName>
    <definedName name="South_Sudan_HIV_United_Nations_Development_Programme__">PR_Countries!$F$1547:$F$1547</definedName>
    <definedName name="South_Sudan_HIV_United_Nations_Development_Programme_USD">PR_Countries!$F$1548:$F$1549</definedName>
    <definedName name="South_Sudan_HIV_USD">PR_Countries!$AN$692:$AN$692</definedName>
    <definedName name="South_Sudan_Malaria__">PR_Countries!$AN$693:$AN$693</definedName>
    <definedName name="South_Sudan_Malaria____">PR_Countries!$F$1550:$F$1552</definedName>
    <definedName name="South_Sudan_Malaria___USD">PR_Countries!$F$1553:$F$1554</definedName>
    <definedName name="South_Sudan_Malaria_Population_Services_International__">PR_Countries!$F$1555:$F$1555</definedName>
    <definedName name="South_Sudan_Malaria_Population_Services_International_USD">PR_Countries!$F$1556:$F$1556</definedName>
    <definedName name="South_Sudan_Malaria_USD">PR_Countries!$AN$694:$AN$694</definedName>
    <definedName name="South_Sudan_RSSH_United_Nations_Development_Programme_USD">PR_Countries!$F$1557:$F$1557</definedName>
    <definedName name="South_Sudan_RSSH_USD">PR_Countries!$AN$695:$AN$695</definedName>
    <definedName name="South_Sudan_TB__">PR_Countries!$AN$696:$AN$696</definedName>
    <definedName name="South_Sudan_TB____">PR_Countries!$F$1558:$F$1560</definedName>
    <definedName name="South_Sudan_TB___USD">PR_Countries!$F$1561:$F$1561</definedName>
    <definedName name="South_Sudan_TB_United_Nations_Development_Programme__">PR_Countries!$F$1562:$F$1562</definedName>
    <definedName name="South_Sudan_TB_United_Nations_Development_Programme_USD">PR_Countries!$F$1563:$F$1565</definedName>
    <definedName name="South_Sudan_TB_USD">PR_Countries!$AN$697:$AN$697</definedName>
    <definedName name="Southern_Asia_HIV___USD">PR_Countries!$F$1571:$F$1571</definedName>
    <definedName name="Southern_Asia_HIV_Save_the_Children_Federation__Inc__USD">PR_Countries!$F$1572:$F$1572</definedName>
    <definedName name="Southern_Asia_HIV_United_Nations_Development_Programme_USD">PR_Countries!$F$1573:$F$1573</definedName>
    <definedName name="Southern_Asia_HIV_USD">PR_Countries!$AN$703:$AN$704</definedName>
    <definedName name="Southern_Asia_TB_United_Nations_Development_Programme_USD">PR_Countries!$F$1574:$F$1574</definedName>
    <definedName name="Southern_Asia_TB_USD">PR_Countries!$AN$705:$AN$705</definedName>
    <definedName name="Southern_Europe_HIV___USD">PR_Countries!$F$1575:$F$1575</definedName>
    <definedName name="Spectrofluorimeters_or_fluorimeters">'Malaria-Other HPs'!$R$41:$R$43</definedName>
    <definedName name="Sri_Lanka_HIV__">PR_Countries!$AN$706:$AN$706</definedName>
    <definedName name="Sri_Lanka_HIV____">PR_Countries!$F$1576:$F$1576</definedName>
    <definedName name="Sri_Lanka_HIV___USD">PR_Countries!$F$1577:$F$1580</definedName>
    <definedName name="Sri_Lanka_HIV_Ministry_of_Health__Nutrition___Indigenous_Medicine_of_the_Democratic_Socialist_Republic_of_Sri_Lanka_USD">PR_Countries!$F$1581:$F$1581</definedName>
    <definedName name="Sri_Lanka_HIV_The_Family_Planning_Association_of_Sri_Lanka__">PR_Countries!$F$1582:$F$1582</definedName>
    <definedName name="Sri_Lanka_HIV_The_Family_Planning_Association_of_Sri_Lanka_USD">PR_Countries!$F$1583:$F$1583</definedName>
    <definedName name="Sri_Lanka_HIV_USD">PR_Countries!$AN$707:$AN$708</definedName>
    <definedName name="Sri_Lanka_Malaria__">PR_Countries!$AN$709:$AN$709</definedName>
    <definedName name="Sri_Lanka_Malaria____">PR_Countries!$F$1584:$F$1585</definedName>
    <definedName name="Sri_Lanka_Malaria___USD">PR_Countries!$F$1586:$F$1592</definedName>
    <definedName name="Sri_Lanka_Malaria_Ministry_of_Health__Nutrition___Indigenous_Medicine_of_the_Democratic_Socialist_Republic_of_Sri_Lanka__">PR_Countries!$F$1593:$F$1593</definedName>
    <definedName name="Sri_Lanka_Malaria_Ministry_of_Health__Nutrition___Indigenous_Medicine_of_the_Democratic_Socialist_Republic_of_Sri_Lanka_USD">PR_Countries!$F$1594:$F$1594</definedName>
    <definedName name="Sri_Lanka_Malaria_USD">PR_Countries!$AN$710:$AN$710</definedName>
    <definedName name="Sri_Lanka_RSSH____">PR_Countries!$F$1595:$F$1596</definedName>
    <definedName name="Sri_Lanka_RSSH_Ministry_of_Health__Nutrition___Indigenous_Medicine_of_the_Democratic_Socialist_Republic_of_Sri_Lanka_USD">PR_Countries!$F$1597:$F$1597</definedName>
    <definedName name="Sri_Lanka_RSSH_USD">PR_Countries!$AN$711:$AN$711</definedName>
    <definedName name="Sri_Lanka_TB__">PR_Countries!$AN$712:$AN$712</definedName>
    <definedName name="Sri_Lanka_TB___USD">PR_Countries!$F$1598:$F$1601</definedName>
    <definedName name="Sri_Lanka_TB_Ministry_of_Health__Nutrition___Indigenous_Medicine_of_the_Democratic_Socialist_Republic_of_Sri_Lanka__">PR_Countries!$F$1602:$F$1602</definedName>
    <definedName name="Sri_Lanka_TB_Ministry_of_Health__Nutrition___Indigenous_Medicine_of_the_Democratic_Socialist_Republic_of_Sri_Lanka_USD">PR_Countries!$F$1603:$F$1603</definedName>
    <definedName name="Sri_Lanka_TB_USD">PR_Countries!$AN$713:$AN$713</definedName>
    <definedName name="Streptomycin">'TB-Pharma'!$L$54</definedName>
    <definedName name="Sudan_HIV____">PR_Countries!$F$1604:$F$1604</definedName>
    <definedName name="Sudan_HIV___USD">PR_Countries!$F$1605:$F$1606</definedName>
    <definedName name="Sudan_HIV_United_Nations_Development_Programme_USD">PR_Countries!$F$1607:$F$1608</definedName>
    <definedName name="Sudan_HIV_USD">PR_Countries!$AN$714:$AN$714</definedName>
    <definedName name="Sudan_Malaria____">PR_Countries!$F$1609:$F$1609</definedName>
    <definedName name="Sudan_Malaria___USD">PR_Countries!$F$1610:$F$1610</definedName>
    <definedName name="Sudan_Malaria_Federal_Ministry_of_Health_of_the_Republic_of_Sudan_USD">PR_Countries!$F$1611:$F$1611</definedName>
    <definedName name="Sudan_Malaria_United_Nations_Development_Programme_USD">PR_Countries!$F$1612:$F$1614</definedName>
    <definedName name="Sudan_Malaria_USD">PR_Countries!$AN$715:$AN$716</definedName>
    <definedName name="Sudan_Multi__">PR_Countries!$AN$717:$AN$717</definedName>
    <definedName name="Sudan_Multi_Federal_Ministry_of_Health_of_the_Republic_of_Sudan__">PR_Countries!$F$1615:$F$1615</definedName>
    <definedName name="Sudan_RSSH_Federal_Ministry_of_Health_of_the_Republic_of_Sudan_USD">PR_Countries!$F$1616:$F$1616</definedName>
    <definedName name="Sudan_RSSH_USD">PR_Countries!$AN$718:$AN$718</definedName>
    <definedName name="Sudan_TB____">PR_Countries!$F$1617:$F$1617</definedName>
    <definedName name="Sudan_TB___USD">PR_Countries!$F$1618:$F$1619</definedName>
    <definedName name="Sudan_TB_United_Nations_Development_Programme_USD">PR_Countries!$F$1620:$F$1621</definedName>
    <definedName name="Sudan_TB_USD">PR_Countries!$AN$719:$AN$719</definedName>
    <definedName name="Sulfadiazine">'TB-Pharma'!$AB$84</definedName>
    <definedName name="Sulfadoxine_Pyrimethamine">'Malaria-Pharma'!$J$2:$J$5</definedName>
    <definedName name="Suriname_HIV___USD">PR_Countries!$F$1622:$F$1623</definedName>
    <definedName name="Suriname_Malaria__">PR_Countries!$AN$720:$AN$720</definedName>
    <definedName name="Suriname_Malaria___USD">PR_Countries!$F$1624:$F$1625</definedName>
    <definedName name="Suriname_Malaria_Ministry_of_Health_of_the_Republic_of_Suriname__">PR_Countries!$F$1626:$F$1626</definedName>
    <definedName name="Suriname_Malaria_Ministry_of_Health_of_the_Republic_of_Suriname_USD">PR_Countries!$F$1627:$F$1627</definedName>
    <definedName name="Suriname_Malaria_USD">PR_Countries!$AN$721:$AN$721</definedName>
    <definedName name="Suriname_Multi__">PR_Countries!$AN$722:$AN$722</definedName>
    <definedName name="Suriname_Multi_Ministry_of_Health_of_the_Republic_of_Suriname__">PR_Countries!$F$1628:$F$1628</definedName>
    <definedName name="Suriname_Multi_Ministry_of_Health_of_the_Republic_of_Suriname_USD">PR_Countries!$F$1629:$F$1629</definedName>
    <definedName name="Suriname_Multi_USD">PR_Countries!$AN$723:$AN$723</definedName>
    <definedName name="Suriname_TB___USD">PR_Countries!$F$1630:$F$1630</definedName>
    <definedName name="Syrian_Arab_Republic_HIV_United_Nations_Development_Programme_USD">PR_Countries!$F$1631:$F$1631</definedName>
    <definedName name="Syrian_Arab_Republic_HIV_USD">PR_Countries!$AN$724:$AN$724</definedName>
    <definedName name="Syrian_Arab_Republic_TB_United_Nations_Development_Programme_USD">PR_Countries!$F$1632:$F$1632</definedName>
    <definedName name="Syrian_Arab_Republic_TB_USD">PR_Countries!$AN$725:$AN$725</definedName>
    <definedName name="Syringes_and_needles">'Malaria-Other HPs'!$R$92</definedName>
    <definedName name="Syringes_and_needles_for_HARM_REDUCTION">'HIV-Other HP'!$AB$10</definedName>
    <definedName name="Sysmex_Partec_Cyflow">'HIV-Other HP'!$AB$22:$AB$25</definedName>
    <definedName name="Sysmex_Partec_Cyflow_Consumables">'HIV-Other HP'!$AB$14</definedName>
    <definedName name="Sysmex_Partec_Cyflow_Other_reagents">'HIV-Other HP'!$AB$34</definedName>
    <definedName name="Tajikistan_HIV__">PR_Countries!$AN$726:$AN$726</definedName>
    <definedName name="Tajikistan_HIV___USD">PR_Countries!$F$1633:$F$1635</definedName>
    <definedName name="Tajikistan_HIV_United_Nations_Development_Programme__">PR_Countries!$F$1636:$F$1636</definedName>
    <definedName name="Tajikistan_HIV_United_Nations_Development_Programme_USD">PR_Countries!$F$1637:$F$1638</definedName>
    <definedName name="Tajikistan_HIV_USD">PR_Countries!$AN$727:$AN$727</definedName>
    <definedName name="Tajikistan_Malaria___USD">PR_Countries!$F$1639:$F$1639</definedName>
    <definedName name="Tajikistan_Malaria_United_Nations_Development_Programme_USD">PR_Countries!$F$1640:$F$1640</definedName>
    <definedName name="Tajikistan_Malaria_USD">PR_Countries!$AN$728:$AN$728</definedName>
    <definedName name="Tajikistan_Multi____">PR_Countries!$F$1641:$F$1642</definedName>
    <definedName name="Tajikistan_TB__">PR_Countries!$AN$729:$AN$729</definedName>
    <definedName name="Tajikistan_TB____">PR_Countries!$F$1643:$F$1643</definedName>
    <definedName name="Tajikistan_TB___USD">PR_Countries!$F$1644:$F$1644</definedName>
    <definedName name="Tajikistan_TB_Project_HOPE____the_People_to_People_Health_Foundation_USD">PR_Countries!$F$1645:$F$1646</definedName>
    <definedName name="Tajikistan_TB_Republican_Center_of_Tuberculosis_Control___Tajikistan__">PR_Countries!$F$1647:$F$1647</definedName>
    <definedName name="Tajikistan_TB_Republican_Center_of_Tuberculosis_Control___Tajikistan_USD">PR_Countries!$F$1648:$F$1648</definedName>
    <definedName name="Tajikistan_TB_United_Nations_Development_Programme_USD">PR_Countries!$F$1649:$F$1649</definedName>
    <definedName name="Tajikistan_TB_USD">PR_Countries!$AN$730:$AN$732</definedName>
    <definedName name="Tanzania__United_Republic__HIV___USD">PR_Countries!$F$1650:$F$1654</definedName>
    <definedName name="Tanzania__United_Republic__HIV_Ministry_of_Finance_and_Planning_of_the_United_Republic_of_Tanzania_USD">PR_Countries!$F$1655:$F$1656</definedName>
    <definedName name="Tanzania__United_Republic__HIV_Population_Services_International_USD">PR_Countries!$F$1657:$F$1657</definedName>
    <definedName name="Tanzania__United_Republic__HIV_USD">PR_Countries!$AN$733:$AN$734</definedName>
    <definedName name="Tanzania__United_Republic__Malaria____">PR_Countries!$F$1658:$F$1659</definedName>
    <definedName name="Tanzania__United_Republic__Malaria___USD">PR_Countries!$F$1660:$F$1663</definedName>
    <definedName name="Tanzania__United_Republic__Malaria_Ministry_of_Finance_and_Planning_of_the_United_Republic_of_Tanzania_USD">PR_Countries!$F$1664:$F$1664</definedName>
    <definedName name="Tanzania__United_Republic__Malaria_USD">PR_Countries!$AN$735:$AN$735</definedName>
    <definedName name="Tanzania__United_Republic__Multi__">PR_Countries!$AN$736:$AN$737</definedName>
    <definedName name="Tanzania__United_Republic__Multi____">PR_Countries!$F$1665:$F$1665</definedName>
    <definedName name="Tanzania__United_Republic__Multi___USD">PR_Countries!$F$1666:$F$1666</definedName>
    <definedName name="Tanzania__United_Republic__Multi_Amref_Health_Africa__Tanzania__">PR_Countries!$F$1667:$F$1667</definedName>
    <definedName name="Tanzania__United_Republic__Multi_Ministry_of_Finance_and_Planning_of_the_United_Republic_of_Tanzania__">PR_Countries!$F$1668:$F$1669</definedName>
    <definedName name="Tanzania__United_Republic__Multi_Save_the_Children_Federation__Inc__USD">PR_Countries!$F$1670:$F$1670</definedName>
    <definedName name="Tanzania__United_Republic__Multi_USD">PR_Countries!$AN$738:$AN$738</definedName>
    <definedName name="Tanzania__United_Republic__RSSH__">PR_Countries!$AN$739:$AN$739</definedName>
    <definedName name="Tanzania__United_Republic__RSSH_Ministry_of_Finance_and_Planning_of_the_United_Republic_of_Tanzania__">PR_Countries!$F$1671:$F$1671</definedName>
    <definedName name="Tanzania__United_Republic__RSSH_Ministry_of_Finance_and_Planning_of_the_United_Republic_of_Tanzania_USD">PR_Countries!$F$1672:$F$1672</definedName>
    <definedName name="Tanzania__United_Republic__RSSH_USD">PR_Countries!$AN$740:$AN$740</definedName>
    <definedName name="Tanzania__United_Republic__TB_Ministry_of_Finance_and_Planning_of_the_United_Republic_of_Tanzania_USD">PR_Countries!$F$1673:$F$1674</definedName>
    <definedName name="Tanzania__United_Republic__TB_USD">PR_Countries!$AN$741:$AN$741</definedName>
    <definedName name="Tanzania_HIV">PR_Countries!$G$1667</definedName>
    <definedName name="Tanzania_HIV_USD">PR_Countries!$G$1667</definedName>
    <definedName name="TB_Cat_I_III_Patient_Kit_A">'TB-Pharma'!$D$26</definedName>
    <definedName name="TB_Cat_I_III_Patient_Kit_B">'TB-Pharma'!$E$327</definedName>
    <definedName name="TB_Cat_I_III_Patient_Kit_C">'TB-Pharma'!$D$27</definedName>
    <definedName name="TB_Cat_I_III_Patient_Kit_C_UNICEF__DPRK_">'TB-Pharma'!$E$329</definedName>
    <definedName name="TB_Cat_II_Patient_Kit_A1">'TB-Pharma'!$E$330</definedName>
    <definedName name="TB_Cat_II_Patient_Kit_A1_or_A2_Without_Streptomycin_Sy_H2O">'TB-Pharma'!$E$331</definedName>
    <definedName name="TB_Cat_II_Patient_Kit_A2">'TB-Pharma'!$E$332</definedName>
    <definedName name="TB_Cat_II_Patient_Kit_B1">'TB-Pharma'!$E$333</definedName>
    <definedName name="TB_Cat_II_Patient_Kit_B1_or_B2_Without_Streptomycin_Sy_H2O">'TB-Pharma'!$E$334</definedName>
    <definedName name="TB_Cat_II_Patient_Kit_B1_UNICEF__DPRK_">'TB-Pharma'!$E$335</definedName>
    <definedName name="TB_Cat_II_Patient_Kit_B1_UNICEF__DPRK__w_Streptomycin">'TB-Pharma'!$E$336</definedName>
    <definedName name="TB_Cat_II_Patient_Kit_B2">'TB-Pharma'!$E$337</definedName>
    <definedName name="TB_India_PC1">'TB-Pharma'!$E$338</definedName>
    <definedName name="TB_India_PC10">'TB-Pharma'!$E$339</definedName>
    <definedName name="TB_India_PC11">'TB-Pharma'!$E$340</definedName>
    <definedName name="TB_India_PC12">'TB-Pharma'!$E$341</definedName>
    <definedName name="TB_India_PC13_Ped_PWBs_6_10kg">'TB-Pharma'!$E$342</definedName>
    <definedName name="TB_India_PC14_Ped_PWBs_11_17_kg">'TB-Pharma'!$E$343</definedName>
    <definedName name="TB_India_PC15_Ped_PPs_18_25_kg">'TB-Pharma'!$E$344</definedName>
    <definedName name="TB_India_PC16_Ped_PPs_18_25kg_and_26_30kg">'TB-Pharma'!$E$345</definedName>
    <definedName name="TB_India_PC2">'TB-Pharma'!$E$346</definedName>
    <definedName name="TB_India_PC21">'TB-Pharma'!$E$347</definedName>
    <definedName name="TB_India_PC23">'TB-Pharma'!$E$348</definedName>
    <definedName name="TB_India_PC26">'TB-Pharma'!$E$349</definedName>
    <definedName name="TB_India_PC3">'TB-Pharma'!$E$350</definedName>
    <definedName name="TB_India_PC31">'TB-Pharma'!$E$351</definedName>
    <definedName name="TB_India_PC4">'TB-Pharma'!$E$352</definedName>
    <definedName name="TB_India_PC5">'TB-Pharma'!$E$353</definedName>
    <definedName name="TB_India_PC6">'TB-Pharma'!$E$354</definedName>
    <definedName name="TB_India_PC7">'TB-Pharma'!$E$355</definedName>
    <definedName name="TB_India_PC8">'TB-Pharma'!$E$356</definedName>
    <definedName name="TB_India_PC9">'TB-Pharma'!$E$357</definedName>
    <definedName name="TB_medicines">'TB-Pharma'!$B$2:$B$15</definedName>
    <definedName name="TB_medicines_for_HIV_program">'HIV-Pharma'!$I$60:$I$62</definedName>
    <definedName name="TB_medicines_for_IPT">'TB-Pharma'!$R$2:$R$5</definedName>
    <definedName name="TB_Microscopy_Equipment_reagents">'TB-Other HPs'!$B$2:$B$6</definedName>
    <definedName name="TB_specimen_processing_Reagents">'TB-Other HPs'!$AB$83</definedName>
    <definedName name="Tenofovir">'HIV-Pharma'!$D$94:$D$95</definedName>
    <definedName name="Terizidone">'TB-Pharma'!$L$55</definedName>
    <definedName name="Thailand_HIV___USD">PR_Countries!$F$1675:$F$1684</definedName>
    <definedName name="Thailand_HIV_Department_of_Disease_Control__Ministry_of_Public_Health_of_the_Royal_Government_of_Thailand_USD">PR_Countries!$F$1685:$F$1685</definedName>
    <definedName name="Thailand_HIV_USD">PR_Countries!$AN$742:$AN$742</definedName>
    <definedName name="Thailand_Malaria___USD">PR_Countries!$F$1686:$F$1687</definedName>
    <definedName name="Thailand_Malaria_Department_of_Disease_Control__Ministry_of_Public_Health_of_the_Royal_Government_of_Thailand_USD">PR_Countries!$F$1688:$F$1688</definedName>
    <definedName name="Thailand_Malaria_USD">PR_Countries!$AN$743:$AN$743</definedName>
    <definedName name="Thailand_Multi__">PR_Countries!$AN$744:$AN$744</definedName>
    <definedName name="Thailand_Multi____">PR_Countries!$F$1689:$F$1690</definedName>
    <definedName name="Thailand_Multi_Department_of_Disease_Control__Ministry_of_Public_Health_of_the_Royal_Government_of_Thailand__">PR_Countries!$F$1691:$F$1691</definedName>
    <definedName name="Thailand_Multi_Department_of_Disease_Control__Ministry_of_Public_Health_of_the_Royal_Government_of_Thailand_USD">PR_Countries!$F$1692:$F$1692</definedName>
    <definedName name="Thailand_Multi_Raks_Thai_Foundation_USD">PR_Countries!$F$1693:$F$1693</definedName>
    <definedName name="Thailand_Multi_USD">PR_Countries!$AN$745:$AN$746</definedName>
    <definedName name="Thailand_TB____">PR_Countries!$F$1694:$F$1694</definedName>
    <definedName name="Thailand_TB___USD">PR_Countries!$F$1695:$F$1699</definedName>
    <definedName name="Therapeutic_food_products">'TB-Pharma'!$AB$85</definedName>
    <definedName name="Therapeutic_milk_F100_powder">'TB-Pharma'!$AB$86:$AB$87</definedName>
    <definedName name="Timor_Leste_HIV__">PR_Countries!$AN$747:$AN$747</definedName>
    <definedName name="Timor_Leste_HIV____">PR_Countries!$F$1700:$F$1700</definedName>
    <definedName name="Timor_Leste_HIV___USD">PR_Countries!$F$1701:$F$1701</definedName>
    <definedName name="Timor_Leste_HIV_Ministry_of_Health_of_the_Democratic_Republic_of_Timor_Leste__">PR_Countries!$F$1702:$F$1702</definedName>
    <definedName name="Timor_Leste_HIV_Ministry_of_Health_of_the_Democratic_Republic_of_Timor_Leste_USD">PR_Countries!$F$1703:$F$1703</definedName>
    <definedName name="Timor_Leste_HIV_USD">PR_Countries!$AN$748:$AN$748</definedName>
    <definedName name="Timor_Leste_Malaria__">PR_Countries!$AN$749:$AN$749</definedName>
    <definedName name="Timor_Leste_Malaria____">PR_Countries!$F$1704:$F$1704</definedName>
    <definedName name="Timor_Leste_Malaria___USD">PR_Countries!$F$1705:$F$1706</definedName>
    <definedName name="Timor_Leste_Malaria_Ministry_of_Health_of_the_Democratic_Republic_of_Timor_Leste__">PR_Countries!$F$1707:$F$1707</definedName>
    <definedName name="Timor_Leste_Malaria_Ministry_of_Health_of_the_Democratic_Republic_of_Timor_Leste_USD">PR_Countries!$F$1708:$F$1708</definedName>
    <definedName name="Timor_Leste_Malaria_USD">PR_Countries!$AN$750:$AN$750</definedName>
    <definedName name="Timor_Leste_TB____">PR_Countries!$F$1709:$F$1710</definedName>
    <definedName name="Timor_Leste_TB___USD">PR_Countries!$F$1711:$F$1711</definedName>
    <definedName name="Timor_Leste_TB_Ministry_of_Health_of_the_Democratic_Republic_of_Timor_Leste_USD">PR_Countries!$F$1712:$F$1712</definedName>
    <definedName name="Timor_Leste_TB_USD">PR_Countries!$AN$751:$AN$751</definedName>
    <definedName name="Togo_HIV___EUR">PR_Countries!$F$1713:$F$1713</definedName>
    <definedName name="Togo_HIV___USD">PR_Countries!$F$1714:$F$1715</definedName>
    <definedName name="Togo_HIV_EUR">PR_Countries!$AN$752:$AN$753</definedName>
    <definedName name="Togo_HIV_Population_Services_International_EUR">PR_Countries!$F$1716:$F$1716</definedName>
    <definedName name="Togo_HIV_Primature_de_la_R_publique_Togolaise_EUR">PR_Countries!$F$1717:$F$1717</definedName>
    <definedName name="Togo_Malaria__">PR_Countries!$AN$754:$AN$754</definedName>
    <definedName name="Togo_Malaria____">PR_Countries!$F$1718:$F$1718</definedName>
    <definedName name="Togo_Malaria___EUR">PR_Countries!$F$1719:$F$1719</definedName>
    <definedName name="Togo_Malaria___USD">PR_Countries!$F$1720:$F$1721</definedName>
    <definedName name="Togo_Malaria_EUR">PR_Countries!$AN$755:$AN$757</definedName>
    <definedName name="Togo_Malaria_Plan_International__Inc__EUR">PR_Countries!$F$1722:$F$1722</definedName>
    <definedName name="Togo_Malaria_Primature_de_la_R_publique_Togolaise__">PR_Countries!$F$1723:$F$1723</definedName>
    <definedName name="Togo_Malaria_Primature_de_la_R_publique_Togolaise_EUR">PR_Countries!$F$1724:$F$1724</definedName>
    <definedName name="Togo_Malaria_The_Ministry_of_Health_of_the_Togolese_Republic_EUR">PR_Countries!$F$1725:$F$1725</definedName>
    <definedName name="Togo_Multi__">PR_Countries!$AN$758:$AN$758</definedName>
    <definedName name="Togo_Multi_Primature_de_la_R_publique_Togolaise__">PR_Countries!$F$1726:$F$1726</definedName>
    <definedName name="Togo_TB___EUR">PR_Countries!$F$1727:$F$1727</definedName>
    <definedName name="Togo_TB___USD">PR_Countries!$F$1728:$F$1728</definedName>
    <definedName name="Togo_TB_EUR">PR_Countries!$AN$759:$AN$760</definedName>
    <definedName name="Togo_TB_Primature_de_la_R_publique_Togolaise_EUR">PR_Countries!$F$1729:$F$1729</definedName>
    <definedName name="Togo_TB_The_Ministry_of_Health_of_the_Togolese_Republic_EUR">PR_Countries!$F$1730:$F$1730</definedName>
    <definedName name="Tunisia_HIV__">PR_Countries!$AN$761:$AN$761</definedName>
    <definedName name="Tunisia_HIV_Office_National_de_la_Famille_et_de_la_Population_de_la_R_publique_de_Tunisie__">PR_Countries!$F$1731:$F$1731</definedName>
    <definedName name="Tunisia_HIV_Office_National_de_la_Famille_et_de_la_Population_de_la_R_publique_de_Tunisie_USD">PR_Countries!$F$1732:$F$1733</definedName>
    <definedName name="Tunisia_HIV_USD">PR_Countries!$AN$762:$AN$762</definedName>
    <definedName name="Tunisia_TB_Basic_Health_Care_Directorate_USD">PR_Countries!$F$1734:$F$1734</definedName>
    <definedName name="Tunisia_TB_Soci_t__Tunisienne_des_Maladies_Respiratoires_et_d’Allergologie_USD">PR_Countries!$F$1735:$F$1735</definedName>
    <definedName name="Tunisia_TB_USD">PR_Countries!$AN$763:$AN$764</definedName>
    <definedName name="Turkey_HIV___USD">PR_Countries!$F$1736:$F$1736</definedName>
    <definedName name="Turkmenistan_TB__">PR_Countries!$AN$765:$AN$765</definedName>
    <definedName name="Turkmenistan_TB____">PR_Countries!$F$1737:$F$1738</definedName>
    <definedName name="Turkmenistan_TB_United_Nations_Development_Programme__">PR_Countries!$F$1739:$F$1739</definedName>
    <definedName name="Turkmenistan_TB_United_Nations_Development_Programme_USD">PR_Countries!$F$1740:$F$1741</definedName>
    <definedName name="Turkmenistan_TB_USD">PR_Countries!$AN$766:$AN$766</definedName>
    <definedName name="TypeOfPay">LISTS!$F$9:$F$10</definedName>
    <definedName name="Uganda_HIV___USD">PR_Countries!$F$1742:$F$1744</definedName>
    <definedName name="Uganda_HIV_Ministry_of_Finance__Planning_and_Economic_Development_of_the_Republic_of_Uganda_USD">PR_Countries!$F$1745:$F$1746</definedName>
    <definedName name="Uganda_HIV_USD">PR_Countries!$AN$767:$AN$767</definedName>
    <definedName name="Uganda_Malaria__">PR_Countries!$AN$768:$AN$768</definedName>
    <definedName name="Uganda_Malaria____">PR_Countries!$F$1747:$F$1747</definedName>
    <definedName name="Uganda_Malaria___USD">PR_Countries!$F$1748:$F$1750</definedName>
    <definedName name="Uganda_Malaria_Ministry_of_Finance__Planning_and_Economic_Development_of_the_Republic_of_Uganda_USD">PR_Countries!$F$1751:$F$1753</definedName>
    <definedName name="Uganda_Malaria_The_AIDS_Support_Organisation__Uganda__Limited__">PR_Countries!$F$1754:$F$1754</definedName>
    <definedName name="Uganda_Malaria_The_AIDS_Support_Organisation__Uganda__Limited_USD">PR_Countries!$F$1755:$F$1755</definedName>
    <definedName name="Uganda_Malaria_USD">PR_Countries!$AN$769:$AN$770</definedName>
    <definedName name="Uganda_Multi__">PR_Countries!$AN$771:$AN$771</definedName>
    <definedName name="Uganda_Multi____">PR_Countries!$F$1756:$F$1756</definedName>
    <definedName name="Uganda_Multi_The_AIDS_Support_Organisation__Uganda__Limited__">PR_Countries!$F$1757:$F$1757</definedName>
    <definedName name="Uganda_Multi_The_AIDS_Support_Organisation__Uganda__Limited_USD">PR_Countries!$F$1758:$F$1758</definedName>
    <definedName name="Uganda_Multi_USD">PR_Countries!$AN$772:$AN$772</definedName>
    <definedName name="Uganda_RSSH____">PR_Countries!$F$1759:$F$1759</definedName>
    <definedName name="Uganda_RSSH___USD">PR_Countries!$F$1760:$F$1761</definedName>
    <definedName name="Uganda_RSSH_Ministry_of_Finance__Planning_and_Economic_Development_of_the_Republic_of_Uganda_USD">PR_Countries!$F$1762:$F$1762</definedName>
    <definedName name="Uganda_RSSH_The_AIDS_Support_Organisation__Uganda__Limited_USD">PR_Countries!$F$1763:$F$1763</definedName>
    <definedName name="Uganda_RSSH_USD">PR_Countries!$AN$773:$AN$774</definedName>
    <definedName name="Uganda_TB____">PR_Countries!$F$1764:$F$1765</definedName>
    <definedName name="Uganda_TB___USD">PR_Countries!$F$1766:$F$1767</definedName>
    <definedName name="Uganda_TB_Ministry_of_Finance__Planning_and_Economic_Development_of_the_Republic_of_Uganda_USD">PR_Countries!$F$1768:$F$1768</definedName>
    <definedName name="Uganda_TB_USD">PR_Countries!$AN$775:$AN$775</definedName>
    <definedName name="Ukraine_HIV___USD">PR_Countries!$F$1769:$F$1775</definedName>
    <definedName name="Ukraine_HIV_Charitable_Organization__All_Ukrainian_Network_of_People_Living_with_HIV_AIDS__USD">PR_Countries!$F$1776:$F$1776</definedName>
    <definedName name="Ukraine_HIV_International_Charitable_Foundation__Alliance_for_Public_Health__USD">PR_Countries!$F$1777:$F$1777</definedName>
    <definedName name="Ukraine_HIV_State_Institution__Public_Health_Center_of_the_Ministry_of_Health_of_Ukraine__USD">PR_Countries!$F$1778:$F$1778</definedName>
    <definedName name="Ukraine_HIV_United_Nations_Children_s_Fund_USD">PR_Countries!$F$1779:$F$1779</definedName>
    <definedName name="Ukraine_HIV_USD">PR_Countries!$AN$776:$AN$779</definedName>
    <definedName name="Ukraine_Multi__">PR_Countries!$AN$780:$AN$780</definedName>
    <definedName name="Ukraine_Multi____">PR_Countries!$F$1780:$F$1780</definedName>
    <definedName name="Ukraine_Multi_Charitable_Organization__All_Ukrainian_Network_of_People_Living_with_HIV_AIDS___">PR_Countries!$F$1781:$F$1781</definedName>
    <definedName name="Ukraine_Multi_Charitable_Organization__All_Ukrainian_Network_of_People_Living_with_HIV_AIDS__USD">PR_Countries!$F$1782:$F$1782</definedName>
    <definedName name="Ukraine_Multi_International_Charitable_Foundation__Alliance_for_Public_Health__USD">PR_Countries!$F$1783:$F$1783</definedName>
    <definedName name="Ukraine_Multi_State_Institution__Public_Health_Center_of_the_Ministry_of_Health_of_Ukraine__USD">PR_Countries!$F$1784:$F$1784</definedName>
    <definedName name="Ukraine_Multi_USD">PR_Countries!$AN$781:$AN$783</definedName>
    <definedName name="Ukraine_TB____">PR_Countries!$F$1785:$F$1785</definedName>
    <definedName name="Ukraine_TB___USD">PR_Countries!$F$1786:$F$1786</definedName>
    <definedName name="Ukraine_TB_State_Institution__Public_Health_Center_of_the_Ministry_of_Health_of_Ukraine__USD">PR_Countries!$F$1787:$F$1787</definedName>
    <definedName name="Ukraine_TB_USD">PR_Countries!$AN$784:$AN$784</definedName>
    <definedName name="UnitMeasure">LISTS!$Q$3:$Q$4</definedName>
    <definedName name="UnitMeasure2">LISTS!$R$3:$R$4</definedName>
    <definedName name="UnitMeasure3">LISTS!$S$3:$S$5</definedName>
    <definedName name="Upfront">SETUP!$S$8:$S$12</definedName>
    <definedName name="Uruguay_HIV___USD">PR_Countries!$F$1788:$F$1789</definedName>
    <definedName name="Uzbekistan_HIV__">PR_Countries!$AN$785:$AN$785</definedName>
    <definedName name="Uzbekistan_HIV___USD">PR_Countries!$F$1790:$F$1791</definedName>
    <definedName name="Uzbekistan_HIV_Republican_Center_to_Fight_AIDS__">PR_Countries!$F$1792:$F$1792</definedName>
    <definedName name="Uzbekistan_HIV_Republican_Center_to_Fight_AIDS_USD">PR_Countries!$F$1793:$F$1793</definedName>
    <definedName name="Uzbekistan_HIV_United_Nations_Development_Programme_USD">PR_Countries!$F$1794:$F$1794</definedName>
    <definedName name="Uzbekistan_HIV_USD">PR_Countries!$AN$786:$AN$787</definedName>
    <definedName name="Uzbekistan_Malaria___USD">PR_Countries!$F$1795:$F$1795</definedName>
    <definedName name="Uzbekistan_Malaria_Republican_Center_of_State_Sanitary_Epidemiological_Surveillance_of_the_Republic_of_Uzbekistan_USD">PR_Countries!$F$1796:$F$1797</definedName>
    <definedName name="Uzbekistan_Malaria_USD">PR_Countries!$AN$788:$AN$788</definedName>
    <definedName name="Uzbekistan_TB__">PR_Countries!$AN$789:$AN$789</definedName>
    <definedName name="Uzbekistan_TB____">PR_Countries!$F$1798:$F$1799</definedName>
    <definedName name="Uzbekistan_TB___USD">PR_Countries!$F$1800:$F$1800</definedName>
    <definedName name="Uzbekistan_TB_Republican_DOTS_Center_of_the_Republic_of_Uzbekistan_USD">PR_Countries!$F$1801:$F$1802</definedName>
    <definedName name="Uzbekistan_TB_Republican_Specialized_Scientific_Practical_Medical_Center_of_Phthisiology_and_Pulmonology__">PR_Countries!$F$1803:$F$1803</definedName>
    <definedName name="Uzbekistan_TB_Republican_Specialized_Scientific_Practical_Medical_Center_of_Phthisiology_and_Pulmonology_USD">PR_Countries!$F$1804:$F$1804</definedName>
    <definedName name="Uzbekistan_TB_USD">PR_Countries!$AN$790:$AN$791</definedName>
    <definedName name="Valganciclovir">'TB-Pharma'!$AB$18</definedName>
    <definedName name="Vector_control_equipment_for_purposes_other_than_IRS">'Malaria-Other HPs'!$M$75</definedName>
    <definedName name="Venezuela_Malaria____">PR_Countries!$F$1805:$F$1806</definedName>
    <definedName name="VERSION">LISTS!$E$4:$E$23</definedName>
    <definedName name="Viet_Nam_HIV__">PR_Countries!$AN$792:$AN$792</definedName>
    <definedName name="Viet_Nam_HIV____">PR_Countries!$F$1807:$F$1807</definedName>
    <definedName name="Viet_Nam_HIV___USD">PR_Countries!$F$1808:$F$1810</definedName>
    <definedName name="Viet_Nam_HIV_USD">PR_Countries!$AN$793:$AN$794</definedName>
    <definedName name="Viet_Nam_HIV_Viet_Nam_Authority_of_HIV_AIDS_Control_USD">PR_Countries!$F$1811:$F$1811</definedName>
    <definedName name="Viet_Nam_HIV_Viet_Nam_Union_of_Science_and_Technology_Associations__">PR_Countries!$F$1812:$F$1812</definedName>
    <definedName name="Viet_Nam_HIV_Viet_Nam_Union_of_Science_and_Technology_Associations_USD">PR_Countries!$F$1813:$F$1813</definedName>
    <definedName name="Viet_Nam_Malaria____">PR_Countries!$F$1814:$F$1814</definedName>
    <definedName name="Viet_Nam_Malaria___USD">PR_Countries!$F$1815:$F$1815</definedName>
    <definedName name="Viet_Nam_Malaria_National_Institute_of_Malariology__Parasitology_and_Entomology_of_the_Ministry_of_Health_of_the_Socialist_Republic_of_Viet_Nam_USD">PR_Countries!$F$1816:$F$1817</definedName>
    <definedName name="Viet_Nam_Malaria_USD">PR_Countries!$AN$795:$AN$795</definedName>
    <definedName name="Viet_Nam_RSSH_Department_of_Planning_and_Finance__Ministry_of_Health__Socialist_Republic_of_Vietnam_USD">PR_Countries!$F$1818:$F$1818</definedName>
    <definedName name="Viet_Nam_RSSH_USD">PR_Countries!$AN$796:$AN$796</definedName>
    <definedName name="Viet_Nam_TB__">PR_Countries!$AN$797:$AN$797</definedName>
    <definedName name="Viet_Nam_TB____">PR_Countries!$F$1819:$F$1820</definedName>
    <definedName name="Viet_Nam_TB___USD">PR_Countries!$F$1821:$F$1822</definedName>
    <definedName name="Viet_Nam_TB_Ministry_of_Health_National_Lung_Hospital_of_the_Socialist_Republic_of_Viet_Nam_USD">PR_Countries!$F$1823:$F$1823</definedName>
    <definedName name="Viet_Nam_TB_USD">PR_Countries!$AN$798:$AN$799</definedName>
    <definedName name="Viet_Nam_TB_Viet_Nam_National_Lung_Hospital__">PR_Countries!$F$1824:$F$1824</definedName>
    <definedName name="Viet_Nam_TB_Viet_Nam_National_Lung_Hospital_USD">PR_Countries!$F$1825:$F$1825</definedName>
    <definedName name="Vincristine_as_sulfate">'TB-Pharma'!$AB$88</definedName>
    <definedName name="Viral_load_and_or_EID_analyzer">'HIV-Equip'!$D$44:$D$46</definedName>
    <definedName name="Viral_load_and_or_EID_analyzer_for_Malaria">'Malaria-Other HPs'!$R$44:$R$46</definedName>
    <definedName name="Viral_load_and_or_EID_analyzer_for_TB">'TB-Other HPs'!$AB$45</definedName>
    <definedName name="ViralLoadBrand">LISTS!$K$3,LISTS!$K$6,LISTS!$K$9,LISTS!$K$10,LISTS!$K$12,LISTS!$K$13,LISTS!$K$14,LISTS!$K$20</definedName>
    <definedName name="Vitamin_B_6_pyridoxine_as_hydrochloride">'TB-Pharma'!$AB$89</definedName>
    <definedName name="VL">LISTS!$K$3:$K$22</definedName>
    <definedName name="VLBrand">LISTS!$K$3:$K$22</definedName>
    <definedName name="VLEIDBrand">LISTS!$J$3:$J$10</definedName>
    <definedName name="VMMC_kits">'HIV-Other HP'!$AB$11</definedName>
    <definedName name="Waste_management_for_HIV">'HIV-Other HP'!$Z$31:$Z$33</definedName>
    <definedName name="Waste_management_for_Malaria">'Malaria-Other HPs'!$AE$51:$AE$53</definedName>
    <definedName name="Waste_management_for_TB">'TB-Other HPs'!$Z$49:$Z$51</definedName>
    <definedName name="Waste_management_supplies_Reagents">'Malaria-Other HPs'!$R$93</definedName>
    <definedName name="Water_for_injection">'TB-Pharma'!$AB$90:$AB$94</definedName>
    <definedName name="Western_Africa_HIV___USD">PR_Countries!$F$1826:$F$1826</definedName>
    <definedName name="Western_Africa_HIV_Abidjan_Lagos_Corridor_Organization_EUR">PR_Countries!$F$1827:$F$1827</definedName>
    <definedName name="Western_Africa_HIV_EUR">PR_Countries!$AN$800:$AN$802</definedName>
    <definedName name="Western_Africa_HIV_Handicap_International_Federation_EUR">PR_Countries!$F$1828:$F$1828</definedName>
    <definedName name="Western_Africa_HIV_International_Treatment_Preparedness_Coalition_EUR">PR_Countries!$F$1829:$F$1829</definedName>
    <definedName name="Western_Africa_Multi_Alliance_Nationale_Contre_le_Sida___S_n_gal_EUR">PR_Countries!$F$1830:$F$1830</definedName>
    <definedName name="Western_Africa_Multi_EUR">PR_Countries!$AN$803:$AN$803</definedName>
    <definedName name="Western_Asia_Multi_International_Organization_for_Migration_USD">PR_Countries!$F$1831:$F$1831</definedName>
    <definedName name="Western_Asia_Multi_USD">PR_Countries!$AN$804:$AN$804</definedName>
    <definedName name="Western_Asia_TB_International_Organization_for_Migration_USD">PR_Countries!$F$1832:$F$1832</definedName>
    <definedName name="Western_Asia_TB_USD">PR_Countries!$AN$805:$AN$805</definedName>
    <definedName name="World_HIV___USD">PR_Countries!$F$1833:$F$1833</definedName>
    <definedName name="World_HIV_Asia_Pacific_Network_of_People_Living_with_HIV_AIDS_USD">PR_Countries!$F$1834:$F$1834</definedName>
    <definedName name="World_HIV_Australian_Federation_Of_Aids_Organisations__Inc__USD">PR_Countries!$F$1835:$F$1835</definedName>
    <definedName name="World_HIV_EUR">PR_Countries!$AN$806:$AN$808</definedName>
    <definedName name="World_HIV_Eurasian_Coalition_on_Male_Health_EUR">PR_Countries!$F$1836:$F$1836</definedName>
    <definedName name="World_HIV_Eurasian_Harm_Reduction_Network_EUR">PR_Countries!$F$1837:$F$1837</definedName>
    <definedName name="World_HIV_Frontline_AIDS_USD">PR_Countries!$F$1838:$F$1838</definedName>
    <definedName name="World_HIV_ICO_East_Europe_and_Central_Asia_Union_of_People_Living_with_HIV_EUR">PR_Countries!$F$1839:$F$1839</definedName>
    <definedName name="World_HIV_International_Charitable_Foundation__Alliance_for_Public_Health__USD">PR_Countries!$F$1840:$F$1840</definedName>
    <definedName name="World_HIV_Middle_East_and_North_Africa_Harm_Reduction_Association_USD">PR_Countries!$F$1841:$F$1841</definedName>
    <definedName name="World_HIV_Save_the_Children_Federation__Inc__USD">PR_Countries!$F$1842:$F$1842</definedName>
    <definedName name="World_HIV_USD">PR_Countries!$AN$809:$AN$814</definedName>
    <definedName name="World_Multi_International_Charitable_Foundation__Alliance_for_Public_Health__USD">PR_Countries!$F$1843:$F$1843</definedName>
    <definedName name="World_Multi_USD">PR_Countries!$AN$815:$AN$815</definedName>
    <definedName name="World_TB_Center_for_Health_Policies_and_Studies_USD">PR_Countries!$F$1844:$F$1844</definedName>
    <definedName name="World_TB_USD">PR_Countries!$AN$816:$AN$816</definedName>
    <definedName name="X_ray_Equipment">'TB-Other HPs'!$AB$64:$AB$73</definedName>
    <definedName name="X_ray_Equipment_Other">'TB-Other HPs'!$AB$74:$AB$76</definedName>
    <definedName name="Yemen_HIV___USD">PR_Countries!$F$1845:$F$1847</definedName>
    <definedName name="Yemen_HIV_National_AIDS_Program_USD">PR_Countries!$F$1848:$F$1848</definedName>
    <definedName name="Yemen_HIV_USD">PR_Countries!$AN$817:$AN$817</definedName>
    <definedName name="Yemen_Malaria___USD">PR_Countries!$F$1849:$F$1849</definedName>
    <definedName name="Yemen_Malaria_National_Malaria_Control_Programme_of_the_Ministry_of_Health_and_Population_of_the_Republic_of_Yemen_USD">PR_Countries!$F$1850:$F$1851</definedName>
    <definedName name="Yemen_Malaria_USD">PR_Countries!$AN$818:$AN$818</definedName>
    <definedName name="Yemen_TB___USD">PR_Countries!$F$1852:$F$1852</definedName>
    <definedName name="Yemen_TB_The_National_Tuberculosis_Control_Program_USD">PR_Countries!$F$1853:$F$1853</definedName>
    <definedName name="Yemen_TB_USD">PR_Countries!$AN$819:$AN$819</definedName>
    <definedName name="YesNo">LISTS!$O$3:$O$4</definedName>
    <definedName name="Zambia_HIV____">PR_Countries!$F$1854:$F$1854</definedName>
    <definedName name="Zambia_HIV___USD">PR_Countries!$F$1855:$F$1870</definedName>
    <definedName name="Zambia_HIV_United_Nations_Development_Programme_USD">PR_Countries!$F$1871:$F$1871</definedName>
    <definedName name="Zambia_HIV_USD">PR_Countries!$AN$820:$AN$820</definedName>
    <definedName name="Zambia_Malaria___USD">PR_Countries!$F$1872:$F$1878</definedName>
    <definedName name="Zambia_Malaria_Churches_Health_Association_of_Zambia_USD">PR_Countries!$F$1879:$F$1879</definedName>
    <definedName name="Zambia_Malaria_Ministry_of_Health_of_the_Republic_of_Zambia_USD">PR_Countries!$F$1880:$F$1880</definedName>
    <definedName name="Zambia_Malaria_United_Nations_Development_Programme_USD">PR_Countries!$F$1881:$F$1881</definedName>
    <definedName name="Zambia_Malaria_USD">PR_Countries!$AN$821:$AN$823</definedName>
    <definedName name="Zambia_Multi__">PR_Countries!$AN$824:$AN$824</definedName>
    <definedName name="Zambia_Multi____">PR_Countries!$F$1882:$F$1882</definedName>
    <definedName name="Zambia_Multi_Churches_Health_Association_of_Zambia__">PR_Countries!$F$1883:$F$1884</definedName>
    <definedName name="Zambia_Multi_Churches_Health_Association_of_Zambia_USD">PR_Countries!$F$1885:$F$1885</definedName>
    <definedName name="Zambia_Multi_Ministry_of_Health_of_the_Republic_of_Zambia_USD">PR_Countries!$F$1886:$F$1886</definedName>
    <definedName name="Zambia_Multi_USD">PR_Countries!$AN$825:$AN$826</definedName>
    <definedName name="Zambia_TB____">PR_Countries!$F$1887:$F$1887</definedName>
    <definedName name="Zambia_TB___USD">PR_Countries!$F$1888:$F$1893</definedName>
    <definedName name="Zambia_TB_United_Nations_Development_Programme_USD">PR_Countries!$F$1894:$F$1894</definedName>
    <definedName name="Zambia_TB_USD">PR_Countries!$AN$827:$AN$827</definedName>
    <definedName name="Zanzibar_HIV___USD">PR_Countries!$F$1895:$F$1897</definedName>
    <definedName name="Zanzibar_Malaria__">PR_Countries!$AN$828:$AN$828</definedName>
    <definedName name="Zanzibar_Malaria___EUR">PR_Countries!$F$1898:$F$1898</definedName>
    <definedName name="Zanzibar_Malaria___USD">PR_Countries!$F$1899:$F$1900</definedName>
    <definedName name="Zanzibar_Malaria_Ministry_of_Health_of_the_Revolutionary_Government_of_Zanzibar__">PR_Countries!$F$1901:$F$1901</definedName>
    <definedName name="Zanzibar_Malaria_Ministry_of_Health_of_the_Revolutionary_Government_of_Zanzibar_USD">PR_Countries!$F$1902:$F$1902</definedName>
    <definedName name="Zanzibar_Malaria_USD">PR_Countries!$AN$829:$AN$829</definedName>
    <definedName name="Zanzibar_Multi__">PR_Countries!$AN$830:$AN$830</definedName>
    <definedName name="Zanzibar_Multi_Ministry_of_Health_of_the_Revolutionary_Government_of_Zanzibar__">PR_Countries!$F$1903:$F$1903</definedName>
    <definedName name="Zanzibar_Multi_Ministry_of_Health_of_the_Revolutionary_Government_of_Zanzibar_USD">PR_Countries!$F$1904:$F$1904</definedName>
    <definedName name="Zanzibar_Multi_USD">PR_Countries!$AN$831:$AN$831</definedName>
    <definedName name="Zanzibar_TB___USD">PR_Countries!$F$1905:$F$1906</definedName>
    <definedName name="Zidovudine">'HIV-Pharma'!$D$96:$D$100</definedName>
    <definedName name="Zimbabwe_HIV__">PR_Countries!$AN$832:$AN$832</definedName>
    <definedName name="Zimbabwe_HIV____">PR_Countries!$F$1907:$F$1907</definedName>
    <definedName name="Zimbabwe_HIV___USD">PR_Countries!$F$1908:$F$1912</definedName>
    <definedName name="Zimbabwe_HIV_The_Ministry_of_Health_and_Child_Care_of_the_Republic_of_Zimbabwe__">PR_Countries!$F$1913:$F$1913</definedName>
    <definedName name="Zimbabwe_HIV_United_Nations_Development_Programme_USD">PR_Countries!$F$1914:$F$1915</definedName>
    <definedName name="Zimbabwe_HIV_USD">PR_Countries!$AN$833:$AN$833</definedName>
    <definedName name="Zimbabwe_Malaria__">PR_Countries!$AN$834:$AN$834</definedName>
    <definedName name="Zimbabwe_Malaria____">PR_Countries!$F$1916:$F$1916</definedName>
    <definedName name="Zimbabwe_Malaria___USD">PR_Countries!$F$1917:$F$1921</definedName>
    <definedName name="Zimbabwe_Malaria_The_Ministry_of_Health_and_Child_Care_of_the_Republic_of_Zimbabwe__">PR_Countries!$F$1922:$F$1922</definedName>
    <definedName name="Zimbabwe_Malaria_The_Ministry_of_Health_and_Child_Care_of_the_Republic_of_Zimbabwe_USD">PR_Countries!$F$1923:$F$1923</definedName>
    <definedName name="Zimbabwe_Malaria_United_Nations_Development_Programme_USD">PR_Countries!$F$1924:$F$1924</definedName>
    <definedName name="Zimbabwe_Malaria_USD">PR_Countries!$AN$835:$AN$836</definedName>
    <definedName name="Zimbabwe_Multi__">PR_Countries!$AN$837:$AN$837</definedName>
    <definedName name="Zimbabwe_Multi____">PR_Countries!$F$1925:$F$1926</definedName>
    <definedName name="Zimbabwe_Multi_The_Ministry_of_Health_and_Child_Care_of_the_Republic_of_Zimbabwe__">PR_Countries!$F$1927:$F$1927</definedName>
    <definedName name="Zimbabwe_RSSH_United_Nations_Development_Programme_USD">PR_Countries!$F$1928:$F$1928</definedName>
    <definedName name="Zimbabwe_RSSH_USD">PR_Countries!$AN$838:$AN$838</definedName>
    <definedName name="Zimbabwe_TB____">PR_Countries!$F$1929:$F$1929</definedName>
    <definedName name="Zimbabwe_TB___USD">PR_Countries!$F$1930:$F$1931</definedName>
    <definedName name="Zimbabwe_TB_The_Ministry_of_Health_and_Child_Care_of_the_Republic_of_Zimbabwe_USD">PR_Countries!$F$1932:$F$1932</definedName>
    <definedName name="Zimbabwe_TB_United_Nations_Development_Programme_USD">PR_Countries!$F$1933:$F$1933</definedName>
    <definedName name="Zimbabwe_TB_USD">PR_Countries!$AN$839:$AN$840</definedName>
  </definedNames>
  <calcPr calcId="191029" concurrentCalc="0"/>
  <pivotCaches>
    <pivotCache cacheId="2" r:id="rId36"/>
    <pivotCache cacheId="3" r:id="rId3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4" i="72" l="1" a="1"/>
  <c r="F14" i="72"/>
  <c r="E14" i="72" a="1"/>
  <c r="E14" i="72"/>
  <c r="D14" i="72" a="1"/>
  <c r="D14" i="72"/>
  <c r="F13" i="72" a="1"/>
  <c r="F13" i="72"/>
  <c r="E13" i="72" a="1"/>
  <c r="E13" i="72"/>
  <c r="D13" i="72" a="1"/>
  <c r="D13" i="72"/>
  <c r="F12" i="72" a="1"/>
  <c r="F12" i="72"/>
  <c r="E12" i="72" a="1"/>
  <c r="E12" i="72"/>
  <c r="D12" i="72" a="1"/>
  <c r="D12" i="72"/>
  <c r="F6" i="72" a="1"/>
  <c r="F6" i="72"/>
  <c r="R35" i="72" a="1"/>
  <c r="R35" i="72"/>
  <c r="Q35" i="72" a="1"/>
  <c r="Q35" i="72"/>
  <c r="B207" i="72"/>
  <c r="B208" i="72"/>
  <c r="B209" i="72"/>
  <c r="B210" i="72"/>
  <c r="B211" i="72"/>
  <c r="B212" i="72"/>
  <c r="B213" i="72"/>
  <c r="B214" i="72"/>
  <c r="B215" i="72"/>
  <c r="B216" i="72"/>
  <c r="B217" i="72"/>
  <c r="B218" i="72"/>
  <c r="B219" i="72"/>
  <c r="B220" i="72"/>
  <c r="B221" i="72"/>
  <c r="B222" i="72"/>
  <c r="B223" i="72"/>
  <c r="B224" i="72"/>
  <c r="B225" i="72"/>
  <c r="B226" i="72"/>
  <c r="B227" i="72"/>
  <c r="B228" i="72"/>
  <c r="B229" i="72"/>
  <c r="B230" i="72"/>
  <c r="B231" i="72"/>
  <c r="B232" i="72"/>
  <c r="B233" i="72"/>
  <c r="B234" i="72"/>
  <c r="B235" i="72"/>
  <c r="B236" i="72"/>
  <c r="B237" i="72"/>
  <c r="B238" i="72"/>
  <c r="B239" i="72"/>
  <c r="B240" i="72"/>
  <c r="B241" i="72"/>
  <c r="B242" i="72"/>
  <c r="B243" i="72"/>
  <c r="B244" i="72"/>
  <c r="B245" i="72"/>
  <c r="B246" i="72"/>
  <c r="B247" i="72"/>
  <c r="B248" i="72"/>
  <c r="B249" i="72"/>
  <c r="B250" i="72"/>
  <c r="B251" i="72"/>
  <c r="B252" i="72"/>
  <c r="B253" i="72"/>
  <c r="B254" i="72"/>
  <c r="B255" i="72"/>
  <c r="B256" i="72"/>
  <c r="B257" i="72"/>
  <c r="B258" i="72"/>
  <c r="B259" i="72"/>
  <c r="B260" i="72"/>
  <c r="B261" i="72"/>
  <c r="B262" i="72"/>
  <c r="B263" i="72"/>
  <c r="B264" i="72"/>
  <c r="B265" i="72"/>
  <c r="B266" i="72"/>
  <c r="B267" i="72"/>
  <c r="B268" i="72"/>
  <c r="B269" i="72"/>
  <c r="B270" i="72"/>
  <c r="B271" i="72"/>
  <c r="B272" i="72"/>
  <c r="B273" i="72"/>
  <c r="B274" i="72"/>
  <c r="B275" i="72"/>
  <c r="B276" i="72"/>
  <c r="B277" i="72"/>
  <c r="B278" i="72"/>
  <c r="B279" i="72"/>
  <c r="B280" i="72"/>
  <c r="B281" i="72"/>
  <c r="B282" i="72"/>
  <c r="B283" i="72"/>
  <c r="B284" i="72"/>
  <c r="B285" i="72"/>
  <c r="B286" i="72"/>
  <c r="B287" i="72"/>
  <c r="B288" i="72"/>
  <c r="B289" i="72"/>
  <c r="B290" i="72"/>
  <c r="B291" i="72"/>
  <c r="B292" i="72"/>
  <c r="B293" i="72"/>
  <c r="B294" i="72"/>
  <c r="B295" i="72"/>
  <c r="B296" i="72"/>
  <c r="B297" i="72"/>
  <c r="B298" i="72"/>
  <c r="B299" i="72"/>
  <c r="B300" i="72"/>
  <c r="B301" i="72"/>
  <c r="B302" i="72"/>
  <c r="B303" i="72"/>
  <c r="B304" i="72"/>
  <c r="B305" i="72"/>
  <c r="B306" i="72"/>
  <c r="B307" i="72"/>
  <c r="B308" i="72"/>
  <c r="B309" i="72"/>
  <c r="B310" i="72"/>
  <c r="B311" i="72"/>
  <c r="B312" i="72"/>
  <c r="B313" i="72"/>
  <c r="B314" i="72"/>
  <c r="B315" i="72"/>
  <c r="B316" i="72"/>
  <c r="B317" i="72"/>
  <c r="B318" i="72"/>
  <c r="B319" i="72"/>
  <c r="B320" i="72"/>
  <c r="B321" i="72"/>
  <c r="B322" i="72"/>
  <c r="B323" i="72"/>
  <c r="B324" i="72"/>
  <c r="B325" i="72"/>
  <c r="B326" i="72"/>
  <c r="B327" i="72"/>
  <c r="B328" i="72"/>
  <c r="B329" i="72"/>
  <c r="B330" i="72"/>
  <c r="B331" i="72"/>
  <c r="B332" i="72"/>
  <c r="B333" i="72"/>
  <c r="B334" i="72"/>
  <c r="B335" i="72"/>
  <c r="B336" i="72"/>
  <c r="B337" i="72"/>
  <c r="B338" i="72"/>
  <c r="B339" i="72"/>
  <c r="B340" i="72"/>
  <c r="B341" i="72"/>
  <c r="B342" i="72"/>
  <c r="B343" i="72"/>
  <c r="B344" i="72"/>
  <c r="B345" i="72"/>
  <c r="B346" i="72"/>
  <c r="B347" i="72"/>
  <c r="B348" i="72"/>
  <c r="B349" i="72"/>
  <c r="B350" i="72"/>
  <c r="B351" i="72"/>
  <c r="B352" i="72"/>
  <c r="B353" i="72"/>
  <c r="B354" i="72"/>
  <c r="B355" i="72"/>
  <c r="B356" i="72"/>
  <c r="B357" i="72"/>
  <c r="B358" i="72"/>
  <c r="B359" i="72"/>
  <c r="B360" i="72"/>
  <c r="B361" i="72"/>
  <c r="B362" i="72"/>
  <c r="B363" i="72"/>
  <c r="B364" i="72"/>
  <c r="B365" i="72"/>
  <c r="B366" i="72"/>
  <c r="B367" i="72"/>
  <c r="B368" i="72"/>
  <c r="B369" i="72"/>
  <c r="B370" i="72"/>
  <c r="B371" i="72"/>
  <c r="B372" i="72"/>
  <c r="B373" i="72"/>
  <c r="B374" i="72"/>
  <c r="B375" i="72"/>
  <c r="B376" i="72"/>
  <c r="B377" i="72"/>
  <c r="B378" i="72"/>
  <c r="B379" i="72"/>
  <c r="B380" i="72"/>
  <c r="B381" i="72"/>
  <c r="B382" i="72"/>
  <c r="B383" i="72"/>
  <c r="B384" i="72"/>
  <c r="B385" i="72"/>
  <c r="B386" i="72"/>
  <c r="B387" i="72"/>
  <c r="B388" i="72"/>
  <c r="B389" i="72"/>
  <c r="B390" i="72"/>
  <c r="B391" i="72"/>
  <c r="B392" i="72"/>
  <c r="B393" i="72"/>
  <c r="B394" i="72"/>
  <c r="B395" i="72"/>
  <c r="B396" i="72"/>
  <c r="B397" i="72"/>
  <c r="B398" i="72"/>
  <c r="B399" i="72"/>
  <c r="B400" i="72"/>
  <c r="B401" i="72"/>
  <c r="B402" i="72"/>
  <c r="B403" i="72"/>
  <c r="B404" i="72"/>
  <c r="B405" i="72"/>
  <c r="B406" i="72"/>
  <c r="B407" i="72"/>
  <c r="B408" i="72"/>
  <c r="B409" i="72"/>
  <c r="B410" i="72"/>
  <c r="B411" i="72"/>
  <c r="B412" i="72"/>
  <c r="B413" i="72"/>
  <c r="B414" i="72"/>
  <c r="B415" i="72"/>
  <c r="B416" i="72"/>
  <c r="B417" i="72"/>
  <c r="B418" i="72"/>
  <c r="B419" i="72"/>
  <c r="B420" i="72"/>
  <c r="B421" i="72"/>
  <c r="B422" i="72"/>
  <c r="B423" i="72"/>
  <c r="B424" i="72"/>
  <c r="B425" i="72"/>
  <c r="B426" i="72"/>
  <c r="B427" i="72"/>
  <c r="B428" i="72"/>
  <c r="B429" i="72"/>
  <c r="B430" i="72"/>
  <c r="B431" i="72"/>
  <c r="B432" i="72"/>
  <c r="B433" i="72"/>
  <c r="B434" i="72"/>
  <c r="B435" i="72"/>
  <c r="B436" i="72"/>
  <c r="B437" i="72"/>
  <c r="B438" i="72"/>
  <c r="B439" i="72"/>
  <c r="B440" i="72"/>
  <c r="B441" i="72"/>
  <c r="B442" i="72"/>
  <c r="B443" i="72"/>
  <c r="B444" i="72"/>
  <c r="B445" i="72"/>
  <c r="B446" i="72"/>
  <c r="B447" i="72"/>
  <c r="B448" i="72"/>
  <c r="B449" i="72"/>
  <c r="B450" i="72"/>
  <c r="B451" i="72"/>
  <c r="B452" i="72"/>
  <c r="B453" i="72"/>
  <c r="B454" i="72"/>
  <c r="B455" i="72"/>
  <c r="B456" i="72"/>
  <c r="B457" i="72"/>
  <c r="B458" i="72"/>
  <c r="B459" i="72"/>
  <c r="B460" i="72"/>
  <c r="B461" i="72"/>
  <c r="B462" i="72"/>
  <c r="B463" i="72"/>
  <c r="B464" i="72"/>
  <c r="B465" i="72"/>
  <c r="B466" i="72"/>
  <c r="B467" i="72"/>
  <c r="B468" i="72"/>
  <c r="B469" i="72"/>
  <c r="B470" i="72"/>
  <c r="B471" i="72"/>
  <c r="B472" i="72"/>
  <c r="B473" i="72"/>
  <c r="B474" i="72"/>
  <c r="B475" i="72"/>
  <c r="B476" i="72"/>
  <c r="B477" i="72"/>
  <c r="B478" i="72"/>
  <c r="B479" i="72"/>
  <c r="B480" i="72"/>
  <c r="B481" i="72"/>
  <c r="B482" i="72"/>
  <c r="B483" i="72"/>
  <c r="B484" i="72"/>
  <c r="B485" i="72"/>
  <c r="B486" i="72"/>
  <c r="B487" i="72"/>
  <c r="B488" i="72"/>
  <c r="B489" i="72"/>
  <c r="B490" i="72"/>
  <c r="B491" i="72"/>
  <c r="B492" i="72"/>
  <c r="B493" i="72"/>
  <c r="B494" i="72"/>
  <c r="B495" i="72"/>
  <c r="B496" i="72"/>
  <c r="B497" i="72"/>
  <c r="B498" i="72"/>
  <c r="B499" i="72"/>
  <c r="B500" i="72"/>
  <c r="B501" i="72"/>
  <c r="B502" i="72"/>
  <c r="B503" i="72"/>
  <c r="B504" i="72"/>
  <c r="B505" i="72"/>
  <c r="B506" i="72"/>
  <c r="B507" i="72"/>
  <c r="B508" i="72"/>
  <c r="B509" i="72"/>
  <c r="B510" i="72"/>
  <c r="B511" i="72"/>
  <c r="B512" i="72"/>
  <c r="B513" i="72"/>
  <c r="B514" i="72"/>
  <c r="B515" i="72"/>
  <c r="B516" i="72"/>
  <c r="B517" i="72"/>
  <c r="B518" i="72"/>
  <c r="B519" i="72"/>
  <c r="B520" i="72"/>
  <c r="B521" i="72"/>
  <c r="B522" i="72"/>
  <c r="B523" i="72"/>
  <c r="B524" i="72"/>
  <c r="B525" i="72"/>
  <c r="B526" i="72"/>
  <c r="B527" i="72"/>
  <c r="B528" i="72"/>
  <c r="B529" i="72"/>
  <c r="B530" i="72"/>
  <c r="B531" i="72"/>
  <c r="B532" i="72"/>
  <c r="B533" i="72"/>
  <c r="B534" i="72"/>
  <c r="B535" i="72"/>
  <c r="B536" i="72"/>
  <c r="B537" i="72"/>
  <c r="B538" i="72"/>
  <c r="B539" i="72"/>
  <c r="B540" i="72"/>
  <c r="B541" i="72"/>
  <c r="B542" i="72"/>
  <c r="B543" i="72"/>
  <c r="B544" i="72"/>
  <c r="B545" i="72"/>
  <c r="B546" i="72"/>
  <c r="B547" i="72"/>
  <c r="B548" i="72"/>
  <c r="B549" i="72"/>
  <c r="B550" i="72"/>
  <c r="B551" i="72"/>
  <c r="B552" i="72"/>
  <c r="B553" i="72"/>
  <c r="B554" i="72"/>
  <c r="B555" i="72"/>
  <c r="B556" i="72"/>
  <c r="B557" i="72"/>
  <c r="B558" i="72"/>
  <c r="B559" i="72"/>
  <c r="B560" i="72"/>
  <c r="B561" i="72"/>
  <c r="B562" i="72"/>
  <c r="B563" i="72"/>
  <c r="B564" i="72"/>
  <c r="B565" i="72"/>
  <c r="B566" i="72"/>
  <c r="B567" i="72"/>
  <c r="B568" i="72"/>
  <c r="B569" i="72"/>
  <c r="B570" i="72"/>
  <c r="B571" i="72"/>
  <c r="B572" i="72"/>
  <c r="B573" i="72"/>
  <c r="B574" i="72"/>
  <c r="B575" i="72"/>
  <c r="B576" i="72"/>
  <c r="B577" i="72"/>
  <c r="B578" i="72"/>
  <c r="B579" i="72"/>
  <c r="B580" i="72"/>
  <c r="B581" i="72"/>
  <c r="B582" i="72"/>
  <c r="B583" i="72"/>
  <c r="B584" i="72"/>
  <c r="B585" i="72"/>
  <c r="B586" i="72"/>
  <c r="B587" i="72"/>
  <c r="B588" i="72"/>
  <c r="B589" i="72"/>
  <c r="B590" i="72"/>
  <c r="B591" i="72"/>
  <c r="B592" i="72"/>
  <c r="B593" i="72"/>
  <c r="B594" i="72"/>
  <c r="B595" i="72"/>
  <c r="B596" i="72"/>
  <c r="B597" i="72"/>
  <c r="B598" i="72"/>
  <c r="B599" i="72"/>
  <c r="B600" i="72"/>
  <c r="B601" i="72"/>
  <c r="B602" i="72"/>
  <c r="B603" i="72"/>
  <c r="B604" i="72"/>
  <c r="B605" i="72"/>
  <c r="B606" i="72"/>
  <c r="B607" i="72"/>
  <c r="B608" i="72"/>
  <c r="B609" i="72"/>
  <c r="B610" i="72"/>
  <c r="B611" i="72"/>
  <c r="B612" i="72"/>
  <c r="B613" i="72"/>
  <c r="B614" i="72"/>
  <c r="B615" i="72"/>
  <c r="B616" i="72"/>
  <c r="B617" i="72"/>
  <c r="B618" i="72"/>
  <c r="B619" i="72"/>
  <c r="B620" i="72"/>
  <c r="B621" i="72"/>
  <c r="B622" i="72"/>
  <c r="B623" i="72"/>
  <c r="B624" i="72"/>
  <c r="B625" i="72"/>
  <c r="B626" i="72"/>
  <c r="B627" i="72"/>
  <c r="B628" i="72"/>
  <c r="B629" i="72"/>
  <c r="B630" i="72"/>
  <c r="B631" i="72"/>
  <c r="B632" i="72"/>
  <c r="B633" i="72"/>
  <c r="B634" i="72"/>
  <c r="B635" i="72"/>
  <c r="B636" i="72"/>
  <c r="B637" i="72"/>
  <c r="B638" i="72"/>
  <c r="B639" i="72"/>
  <c r="B640" i="72"/>
  <c r="B641" i="72"/>
  <c r="B642" i="72"/>
  <c r="B643" i="72"/>
  <c r="B644" i="72"/>
  <c r="B645" i="72"/>
  <c r="B646" i="72"/>
  <c r="B647" i="72"/>
  <c r="B648" i="72"/>
  <c r="B649" i="72"/>
  <c r="B650" i="72"/>
  <c r="B651" i="72"/>
  <c r="B652" i="72"/>
  <c r="B653" i="72"/>
  <c r="B654" i="72"/>
  <c r="B655" i="72"/>
  <c r="B656" i="72"/>
  <c r="B657" i="72"/>
  <c r="B658" i="72"/>
  <c r="B659" i="72"/>
  <c r="B660" i="72"/>
  <c r="B661" i="72"/>
  <c r="B662" i="72"/>
  <c r="B663" i="72"/>
  <c r="B664" i="72"/>
  <c r="B665" i="72"/>
  <c r="B666" i="72"/>
  <c r="B667" i="72"/>
  <c r="B668" i="72"/>
  <c r="B669" i="72"/>
  <c r="B670" i="72"/>
  <c r="B671" i="72"/>
  <c r="B672" i="72"/>
  <c r="N12" i="15"/>
  <c r="U12" i="15"/>
  <c r="U105" i="15"/>
  <c r="F56" i="14"/>
  <c r="F61" i="14"/>
  <c r="F60" i="14"/>
  <c r="F59" i="14"/>
  <c r="F58" i="14"/>
  <c r="F57" i="14"/>
  <c r="F19" i="14"/>
  <c r="G19" i="14"/>
  <c r="H19" i="14"/>
  <c r="I19" i="14"/>
  <c r="G15" i="14"/>
  <c r="AS318" i="62" a="1"/>
  <c r="AS318" i="62"/>
  <c r="BF318" i="62" a="1"/>
  <c r="BF318" i="62"/>
  <c r="BG318" i="62"/>
  <c r="AS319" i="62" a="1"/>
  <c r="AS319" i="62"/>
  <c r="BF319" i="62" a="1"/>
  <c r="BF319" i="62"/>
  <c r="BG319" i="62"/>
  <c r="AS320" i="62" a="1"/>
  <c r="AS320" i="62"/>
  <c r="BF320" i="62" a="1"/>
  <c r="BF320" i="62"/>
  <c r="BG320" i="62"/>
  <c r="AS321" i="62" a="1"/>
  <c r="AS321" i="62"/>
  <c r="BF321" i="62" a="1"/>
  <c r="BF321" i="62"/>
  <c r="BG321" i="62"/>
  <c r="AS322" i="62" a="1"/>
  <c r="AS322" i="62"/>
  <c r="BF322" i="62" a="1"/>
  <c r="BF322" i="62"/>
  <c r="BG322" i="62"/>
  <c r="AV239" i="58"/>
  <c r="BB318" i="62" a="1"/>
  <c r="BB318" i="62"/>
  <c r="BC318" i="62"/>
  <c r="BB319" i="62" a="1"/>
  <c r="BB319" i="62"/>
  <c r="BC319" i="62"/>
  <c r="BB320" i="62" a="1"/>
  <c r="BB320" i="62"/>
  <c r="BC320" i="62"/>
  <c r="BB321" i="62" a="1"/>
  <c r="BB321" i="62"/>
  <c r="BC321" i="62"/>
  <c r="BB322" i="62" a="1"/>
  <c r="BB322" i="62"/>
  <c r="BC322" i="62"/>
  <c r="AT239" i="58"/>
  <c r="AX318" i="62" a="1"/>
  <c r="AX318" i="62"/>
  <c r="AY318" i="62"/>
  <c r="AX319" i="62" a="1"/>
  <c r="AX319" i="62"/>
  <c r="AY319" i="62"/>
  <c r="AX320" i="62" a="1"/>
  <c r="AX320" i="62"/>
  <c r="AY320" i="62"/>
  <c r="AX321" i="62" a="1"/>
  <c r="AX321" i="62"/>
  <c r="AY321" i="62"/>
  <c r="AX322" i="62" a="1"/>
  <c r="AX322" i="62"/>
  <c r="AY322" i="62"/>
  <c r="AR239" i="58"/>
  <c r="AT318" i="62" a="1"/>
  <c r="AT318" i="62"/>
  <c r="AU318" i="62"/>
  <c r="AT319" i="62" a="1"/>
  <c r="AT319" i="62"/>
  <c r="AU319" i="62"/>
  <c r="AT320" i="62" a="1"/>
  <c r="AT320" i="62"/>
  <c r="AU320" i="62"/>
  <c r="AT321" i="62" a="1"/>
  <c r="AT321" i="62"/>
  <c r="AU321" i="62"/>
  <c r="AT322" i="62" a="1"/>
  <c r="AT322" i="62"/>
  <c r="AU322" i="62"/>
  <c r="AP239" i="58"/>
  <c r="AA318" i="62" a="1"/>
  <c r="AA318" i="62"/>
  <c r="AN318" i="62" a="1"/>
  <c r="AN318" i="62"/>
  <c r="AO318" i="62"/>
  <c r="AA319" i="62" a="1"/>
  <c r="AA319" i="62"/>
  <c r="AN319" i="62" a="1"/>
  <c r="AN319" i="62"/>
  <c r="AO319" i="62"/>
  <c r="AA320" i="62" a="1"/>
  <c r="AA320" i="62"/>
  <c r="AN320" i="62" a="1"/>
  <c r="AN320" i="62"/>
  <c r="AO320" i="62"/>
  <c r="AA321" i="62" a="1"/>
  <c r="AA321" i="62"/>
  <c r="AN321" i="62" a="1"/>
  <c r="AN321" i="62"/>
  <c r="AO321" i="62"/>
  <c r="AA322" i="62" a="1"/>
  <c r="AA322" i="62"/>
  <c r="AN322" i="62" a="1"/>
  <c r="AN322" i="62"/>
  <c r="AO322" i="62"/>
  <c r="AI239" i="58"/>
  <c r="AJ318" i="62" a="1"/>
  <c r="AJ318" i="62"/>
  <c r="AK318" i="62"/>
  <c r="AJ319" i="62" a="1"/>
  <c r="AJ319" i="62"/>
  <c r="AK319" i="62"/>
  <c r="AJ320" i="62" a="1"/>
  <c r="AJ320" i="62"/>
  <c r="AK320" i="62"/>
  <c r="AJ321" i="62" a="1"/>
  <c r="AJ321" i="62"/>
  <c r="AK321" i="62"/>
  <c r="AJ322" i="62" a="1"/>
  <c r="AJ322" i="62"/>
  <c r="AK322" i="62"/>
  <c r="AG239" i="58"/>
  <c r="AF318" i="62" a="1"/>
  <c r="AF318" i="62"/>
  <c r="AG318" i="62"/>
  <c r="AF319" i="62" a="1"/>
  <c r="AF319" i="62"/>
  <c r="AG319" i="62"/>
  <c r="AF320" i="62" a="1"/>
  <c r="AF320" i="62"/>
  <c r="AG320" i="62"/>
  <c r="AF321" i="62" a="1"/>
  <c r="AF321" i="62"/>
  <c r="AG321" i="62"/>
  <c r="AF322" i="62" a="1"/>
  <c r="AF322" i="62"/>
  <c r="AG322" i="62"/>
  <c r="AE239" i="58"/>
  <c r="AB318" i="62" a="1"/>
  <c r="AB318" i="62"/>
  <c r="AC318" i="62"/>
  <c r="AB319" i="62" a="1"/>
  <c r="AB319" i="62"/>
  <c r="AC319" i="62"/>
  <c r="AB320" i="62" a="1"/>
  <c r="AB320" i="62"/>
  <c r="AC320" i="62"/>
  <c r="AB321" i="62" a="1"/>
  <c r="AB321" i="62"/>
  <c r="AC321" i="62"/>
  <c r="AB322" i="62" a="1"/>
  <c r="AB322" i="62"/>
  <c r="AC322" i="62"/>
  <c r="AC239" i="58"/>
  <c r="I318" i="62" a="1"/>
  <c r="I318" i="62"/>
  <c r="V318" i="62" a="1"/>
  <c r="V318" i="62"/>
  <c r="W318" i="62"/>
  <c r="I319" i="62" a="1"/>
  <c r="I319" i="62"/>
  <c r="V319" i="62" a="1"/>
  <c r="V319" i="62"/>
  <c r="W319" i="62"/>
  <c r="I320" i="62" a="1"/>
  <c r="I320" i="62"/>
  <c r="V320" i="62" a="1"/>
  <c r="V320" i="62"/>
  <c r="W320" i="62"/>
  <c r="I321" i="62" a="1"/>
  <c r="I321" i="62"/>
  <c r="V321" i="62" a="1"/>
  <c r="V321" i="62"/>
  <c r="W321" i="62"/>
  <c r="I322" i="62" a="1"/>
  <c r="I322" i="62"/>
  <c r="V322" i="62" a="1"/>
  <c r="V322" i="62"/>
  <c r="W322" i="62"/>
  <c r="V239" i="58"/>
  <c r="R318" i="62" a="1"/>
  <c r="R318" i="62"/>
  <c r="S318" i="62"/>
  <c r="R319" i="62" a="1"/>
  <c r="R319" i="62"/>
  <c r="S319" i="62"/>
  <c r="R320" i="62" a="1"/>
  <c r="R320" i="62"/>
  <c r="S320" i="62"/>
  <c r="R321" i="62" a="1"/>
  <c r="R321" i="62"/>
  <c r="S321" i="62"/>
  <c r="R322" i="62" a="1"/>
  <c r="R322" i="62"/>
  <c r="S322" i="62"/>
  <c r="T239" i="58"/>
  <c r="J318" i="62" a="1"/>
  <c r="J318" i="62"/>
  <c r="K318" i="62"/>
  <c r="J319" i="62" a="1"/>
  <c r="J319" i="62"/>
  <c r="K319" i="62"/>
  <c r="J320" i="62" a="1"/>
  <c r="J320" i="62"/>
  <c r="K320" i="62"/>
  <c r="J321" i="62" a="1"/>
  <c r="J321" i="62"/>
  <c r="K321" i="62"/>
  <c r="J322" i="62" a="1"/>
  <c r="J322" i="62"/>
  <c r="K322" i="62"/>
  <c r="N318" i="62" a="1"/>
  <c r="N318" i="62"/>
  <c r="O318" i="62"/>
  <c r="N319" i="62" a="1"/>
  <c r="N319" i="62"/>
  <c r="O319" i="62"/>
  <c r="N320" i="62" a="1"/>
  <c r="N320" i="62"/>
  <c r="O320" i="62"/>
  <c r="N321" i="62" a="1"/>
  <c r="N321" i="62"/>
  <c r="O321" i="62"/>
  <c r="N322" i="62" a="1"/>
  <c r="N322" i="62"/>
  <c r="O322" i="62"/>
  <c r="R239" i="58"/>
  <c r="I692" i="35"/>
  <c r="H692" i="35"/>
  <c r="G692" i="35"/>
  <c r="G130" i="62" a="1"/>
  <c r="G130" i="62"/>
  <c r="H130" i="62" a="1"/>
  <c r="H130" i="62"/>
  <c r="BF286" i="62" a="1"/>
  <c r="BF286" i="62"/>
  <c r="BB286" i="62" a="1"/>
  <c r="BB286" i="62"/>
  <c r="AX286" i="62" a="1"/>
  <c r="AX286" i="62"/>
  <c r="AT286" i="62" a="1"/>
  <c r="AT286" i="62"/>
  <c r="AS286" i="62" a="1"/>
  <c r="AS286" i="62"/>
  <c r="AN286" i="62" a="1"/>
  <c r="AN286" i="62"/>
  <c r="AJ286" i="62" a="1"/>
  <c r="AJ286" i="62"/>
  <c r="AF286" i="62" a="1"/>
  <c r="AF286" i="62"/>
  <c r="AB286" i="62" a="1"/>
  <c r="AB286" i="62"/>
  <c r="AA286" i="62" a="1"/>
  <c r="AA286" i="62"/>
  <c r="V286" i="62" a="1"/>
  <c r="V286" i="62"/>
  <c r="R286" i="62" a="1"/>
  <c r="R286" i="62"/>
  <c r="N286" i="62" a="1"/>
  <c r="N286" i="62"/>
  <c r="J286" i="62" a="1"/>
  <c r="J286" i="62"/>
  <c r="I286" i="62" a="1"/>
  <c r="I286" i="62"/>
  <c r="BF285" i="62" a="1"/>
  <c r="BF285" i="62"/>
  <c r="BB285" i="62" a="1"/>
  <c r="BB285" i="62"/>
  <c r="AX285" i="62" a="1"/>
  <c r="AX285" i="62"/>
  <c r="AT285" i="62" a="1"/>
  <c r="AT285" i="62"/>
  <c r="AS285" i="62" a="1"/>
  <c r="AS285" i="62"/>
  <c r="AN285" i="62" a="1"/>
  <c r="AN285" i="62"/>
  <c r="AJ285" i="62" a="1"/>
  <c r="AJ285" i="62"/>
  <c r="AF285" i="62" a="1"/>
  <c r="AF285" i="62"/>
  <c r="AB285" i="62" a="1"/>
  <c r="AB285" i="62"/>
  <c r="AA285" i="62" a="1"/>
  <c r="AA285" i="62"/>
  <c r="V285" i="62" a="1"/>
  <c r="V285" i="62"/>
  <c r="R285" i="62" a="1"/>
  <c r="R285" i="62"/>
  <c r="N285" i="62" a="1"/>
  <c r="N285" i="62"/>
  <c r="J285" i="62" a="1"/>
  <c r="J285" i="62"/>
  <c r="I285" i="62" a="1"/>
  <c r="I285" i="62"/>
  <c r="BF284" i="62" a="1"/>
  <c r="BF284" i="62"/>
  <c r="BB284" i="62" a="1"/>
  <c r="BB284" i="62"/>
  <c r="AX284" i="62" a="1"/>
  <c r="AX284" i="62"/>
  <c r="AT284" i="62" a="1"/>
  <c r="AT284" i="62"/>
  <c r="AS284" i="62" a="1"/>
  <c r="AS284" i="62"/>
  <c r="AN284" i="62" a="1"/>
  <c r="AN284" i="62"/>
  <c r="AJ284" i="62" a="1"/>
  <c r="AJ284" i="62"/>
  <c r="AF284" i="62" a="1"/>
  <c r="AF284" i="62"/>
  <c r="AB284" i="62" a="1"/>
  <c r="AB284" i="62"/>
  <c r="AA284" i="62" a="1"/>
  <c r="AA284" i="62"/>
  <c r="V284" i="62" a="1"/>
  <c r="V284" i="62"/>
  <c r="R284" i="62" a="1"/>
  <c r="R284" i="62"/>
  <c r="N284" i="62" a="1"/>
  <c r="N284" i="62"/>
  <c r="J284" i="62" a="1"/>
  <c r="J284" i="62"/>
  <c r="I284" i="62" a="1"/>
  <c r="I284" i="62"/>
  <c r="AO284" i="62"/>
  <c r="AG284" i="62"/>
  <c r="AC284" i="62"/>
  <c r="AK284" i="62"/>
  <c r="AY284" i="62"/>
  <c r="AU284" i="62"/>
  <c r="BG284" i="62"/>
  <c r="BC284" i="62"/>
  <c r="BG285" i="62"/>
  <c r="BC285" i="62"/>
  <c r="AY285" i="62"/>
  <c r="AU285" i="62"/>
  <c r="AY286" i="62"/>
  <c r="AU286" i="62"/>
  <c r="BG286" i="62"/>
  <c r="BC286" i="62"/>
  <c r="AO286" i="62"/>
  <c r="AK286" i="62"/>
  <c r="AG286" i="62"/>
  <c r="AC286" i="62"/>
  <c r="O284" i="62"/>
  <c r="W284" i="62"/>
  <c r="S284" i="62"/>
  <c r="K284" i="62"/>
  <c r="W285" i="62"/>
  <c r="S285" i="62"/>
  <c r="O285" i="62"/>
  <c r="K285" i="62"/>
  <c r="AG285" i="62"/>
  <c r="AC285" i="62"/>
  <c r="AO285" i="62"/>
  <c r="AK285" i="62"/>
  <c r="O286" i="62"/>
  <c r="K286" i="62"/>
  <c r="W286" i="62"/>
  <c r="S286" i="62"/>
  <c r="AG76" i="23"/>
  <c r="AG71" i="23"/>
  <c r="AH71" i="23"/>
  <c r="AG70" i="23"/>
  <c r="AH70" i="23"/>
  <c r="AG69" i="23"/>
  <c r="AH69" i="23"/>
  <c r="AG142" i="23"/>
  <c r="AH142" i="23"/>
  <c r="AG141" i="23"/>
  <c r="AH141" i="23"/>
  <c r="AG140" i="23"/>
  <c r="AH140" i="23"/>
  <c r="AG139" i="23"/>
  <c r="AH139" i="23"/>
  <c r="AG138" i="23"/>
  <c r="AH138" i="23"/>
  <c r="S142" i="23"/>
  <c r="T142" i="23"/>
  <c r="S141" i="23"/>
  <c r="T141" i="23"/>
  <c r="S140" i="23"/>
  <c r="T140" i="23"/>
  <c r="S139" i="23"/>
  <c r="T139" i="23"/>
  <c r="S138" i="23"/>
  <c r="T138" i="23"/>
  <c r="Z142" i="23"/>
  <c r="AA142" i="23"/>
  <c r="Z141" i="23"/>
  <c r="AA141" i="23"/>
  <c r="Z140" i="23"/>
  <c r="AA140" i="23"/>
  <c r="Z139" i="23"/>
  <c r="AA139" i="23"/>
  <c r="Z138" i="23"/>
  <c r="AA138" i="23"/>
  <c r="S15" i="15"/>
  <c r="T15" i="15"/>
  <c r="S14" i="15"/>
  <c r="T14" i="15"/>
  <c r="Z15" i="15"/>
  <c r="AA15" i="15"/>
  <c r="Z14" i="15"/>
  <c r="AG15" i="15"/>
  <c r="AH15" i="15"/>
  <c r="AG14" i="15"/>
  <c r="AH14" i="15"/>
  <c r="AF68" i="22"/>
  <c r="AG68" i="22"/>
  <c r="Y68" i="22"/>
  <c r="Z68" i="22"/>
  <c r="R71" i="22"/>
  <c r="S71" i="22"/>
  <c r="R70" i="22"/>
  <c r="S70" i="22"/>
  <c r="R69" i="22"/>
  <c r="S69" i="22"/>
  <c r="R68" i="22"/>
  <c r="S68" i="22"/>
  <c r="AG94" i="23"/>
  <c r="AH94" i="23"/>
  <c r="AG93" i="23"/>
  <c r="AH93" i="23"/>
  <c r="AG92" i="23"/>
  <c r="AH92" i="23"/>
  <c r="AG91" i="23"/>
  <c r="AH91" i="23"/>
  <c r="Z94" i="23"/>
  <c r="AA94" i="23"/>
  <c r="Z93" i="23"/>
  <c r="AA93" i="23"/>
  <c r="Z92" i="23"/>
  <c r="AA92" i="23"/>
  <c r="Z91" i="23"/>
  <c r="AA91" i="23"/>
  <c r="S94" i="23"/>
  <c r="T94" i="23"/>
  <c r="AJ94" i="23"/>
  <c r="S93" i="23"/>
  <c r="T93" i="23"/>
  <c r="AJ93" i="23"/>
  <c r="S92" i="23"/>
  <c r="T92" i="23"/>
  <c r="AJ92" i="23"/>
  <c r="S91" i="23"/>
  <c r="T91" i="23"/>
  <c r="AJ91" i="23"/>
  <c r="AG14" i="23"/>
  <c r="AH14" i="23"/>
  <c r="Z14" i="23"/>
  <c r="AA14" i="23"/>
  <c r="S14" i="23"/>
  <c r="T14" i="23"/>
  <c r="Z71" i="23"/>
  <c r="AA71" i="23"/>
  <c r="Z70" i="23"/>
  <c r="AA70" i="23"/>
  <c r="Z69" i="23"/>
  <c r="AA69" i="23"/>
  <c r="S71" i="23"/>
  <c r="T71" i="23"/>
  <c r="AJ71" i="23"/>
  <c r="S70" i="23"/>
  <c r="T70" i="23"/>
  <c r="S69" i="23"/>
  <c r="T69" i="23"/>
  <c r="R14" i="22"/>
  <c r="S14" i="22"/>
  <c r="Y14" i="22"/>
  <c r="Z14" i="22"/>
  <c r="AF14" i="22"/>
  <c r="AG14" i="22"/>
  <c r="AF41" i="22"/>
  <c r="AG41" i="22"/>
  <c r="Y41" i="22"/>
  <c r="Z41" i="22"/>
  <c r="R41" i="22"/>
  <c r="S41" i="22"/>
  <c r="AF111" i="22"/>
  <c r="AG111" i="22"/>
  <c r="Y111" i="22"/>
  <c r="Z111" i="22"/>
  <c r="R111" i="22"/>
  <c r="S111" i="22"/>
  <c r="AJ70" i="23"/>
  <c r="AJ14" i="23"/>
  <c r="AI41" i="22"/>
  <c r="AI111" i="22"/>
  <c r="AJ140" i="23"/>
  <c r="AJ141" i="23"/>
  <c r="AJ142" i="23"/>
  <c r="AJ139" i="23"/>
  <c r="AJ138" i="23"/>
  <c r="AJ69" i="23"/>
  <c r="AI14" i="23"/>
  <c r="AI92" i="23"/>
  <c r="AI94" i="23"/>
  <c r="AI139" i="23"/>
  <c r="AI141" i="23"/>
  <c r="AI70" i="23"/>
  <c r="AH111" i="22"/>
  <c r="AI91" i="23"/>
  <c r="AI93" i="23"/>
  <c r="AI15" i="15"/>
  <c r="AI138" i="23"/>
  <c r="AI140" i="23"/>
  <c r="AI142" i="23"/>
  <c r="AH41" i="22"/>
  <c r="AI69" i="23"/>
  <c r="AI71" i="23"/>
  <c r="AI14" i="15"/>
  <c r="AJ15" i="15"/>
  <c r="AA14" i="15"/>
  <c r="AJ14" i="15"/>
  <c r="AI68" i="22"/>
  <c r="AH68" i="22"/>
  <c r="AI14" i="22"/>
  <c r="AH14" i="22"/>
  <c r="AG192" i="15"/>
  <c r="AH192" i="15"/>
  <c r="AG191" i="15"/>
  <c r="AH191" i="15"/>
  <c r="AG190" i="15"/>
  <c r="AH190" i="15"/>
  <c r="AG189" i="15"/>
  <c r="AH189" i="15"/>
  <c r="AG188" i="15"/>
  <c r="AH188" i="15"/>
  <c r="AG187" i="15"/>
  <c r="AH187" i="15"/>
  <c r="AG186" i="15"/>
  <c r="AH186" i="15"/>
  <c r="AG185" i="15"/>
  <c r="AH185" i="15"/>
  <c r="AG184" i="15"/>
  <c r="AH184" i="15"/>
  <c r="AG183" i="15"/>
  <c r="AH183" i="15"/>
  <c r="AG182" i="15"/>
  <c r="AH182" i="15"/>
  <c r="AG181" i="15"/>
  <c r="AH181" i="15"/>
  <c r="AG180" i="15"/>
  <c r="AH180" i="15"/>
  <c r="AG179" i="15"/>
  <c r="AH179" i="15"/>
  <c r="AG178" i="15"/>
  <c r="AH178" i="15"/>
  <c r="AG177" i="15"/>
  <c r="AH177" i="15"/>
  <c r="AG176" i="15"/>
  <c r="AH176" i="15"/>
  <c r="AG175" i="15"/>
  <c r="AH175" i="15"/>
  <c r="AG174" i="15"/>
  <c r="AH174" i="15"/>
  <c r="AG173" i="15"/>
  <c r="AH173" i="15"/>
  <c r="AG172" i="15"/>
  <c r="AH172" i="15"/>
  <c r="AG171" i="15"/>
  <c r="AH171" i="15"/>
  <c r="AG170" i="15"/>
  <c r="AH170" i="15"/>
  <c r="AG169" i="15"/>
  <c r="AH169" i="15"/>
  <c r="AG168" i="15"/>
  <c r="AH168" i="15"/>
  <c r="AG167" i="15"/>
  <c r="AH167" i="15"/>
  <c r="AG166" i="15"/>
  <c r="AH166" i="15"/>
  <c r="AG165" i="15"/>
  <c r="AH165" i="15"/>
  <c r="AG164" i="15"/>
  <c r="AH164" i="15"/>
  <c r="AG163" i="15"/>
  <c r="AH163" i="15"/>
  <c r="AG162" i="15"/>
  <c r="AH162" i="15"/>
  <c r="AG161" i="15"/>
  <c r="AH161" i="15"/>
  <c r="AG160" i="15"/>
  <c r="AH160" i="15"/>
  <c r="AG159" i="15"/>
  <c r="AH159" i="15"/>
  <c r="AG158" i="15"/>
  <c r="AH158" i="15"/>
  <c r="AG157" i="15"/>
  <c r="AH157" i="15"/>
  <c r="AG156" i="15"/>
  <c r="AH156" i="15"/>
  <c r="AG155" i="15"/>
  <c r="AH155" i="15"/>
  <c r="AG154" i="15"/>
  <c r="AH154" i="15"/>
  <c r="AG153" i="15"/>
  <c r="AH153" i="15"/>
  <c r="AG152" i="15"/>
  <c r="AH152" i="15"/>
  <c r="AG151" i="15"/>
  <c r="AH151" i="15"/>
  <c r="AG150" i="15"/>
  <c r="AH150" i="15"/>
  <c r="AG149" i="15"/>
  <c r="AH149" i="15"/>
  <c r="AG148" i="15"/>
  <c r="AH148" i="15"/>
  <c r="AG147" i="15"/>
  <c r="AH147" i="15"/>
  <c r="AG146" i="15"/>
  <c r="AH146" i="15"/>
  <c r="AG145" i="15"/>
  <c r="AH145" i="15"/>
  <c r="AG144" i="15"/>
  <c r="AH144" i="15"/>
  <c r="AG143" i="15"/>
  <c r="AH143" i="15"/>
  <c r="AG142" i="15"/>
  <c r="AH142" i="15"/>
  <c r="AG141" i="15"/>
  <c r="AH141" i="15"/>
  <c r="AG140" i="15"/>
  <c r="AH140" i="15"/>
  <c r="AG139" i="15"/>
  <c r="AH139" i="15"/>
  <c r="AG138" i="15"/>
  <c r="AH138" i="15"/>
  <c r="AG137" i="15"/>
  <c r="AH137" i="15"/>
  <c r="AG136" i="15"/>
  <c r="AH136" i="15"/>
  <c r="AG135" i="15"/>
  <c r="AH135" i="15"/>
  <c r="AG134" i="15"/>
  <c r="AH134" i="15"/>
  <c r="AG133" i="15"/>
  <c r="AH133" i="15"/>
  <c r="AG132" i="15"/>
  <c r="AH132" i="15"/>
  <c r="AG131" i="15"/>
  <c r="AH131" i="15"/>
  <c r="AG130" i="15"/>
  <c r="AH130" i="15"/>
  <c r="AG129" i="15"/>
  <c r="AH129" i="15"/>
  <c r="AG128" i="15"/>
  <c r="AH128" i="15"/>
  <c r="AG127" i="15"/>
  <c r="AH127" i="15"/>
  <c r="AG126" i="15"/>
  <c r="AH126" i="15"/>
  <c r="AG125" i="15"/>
  <c r="AH125" i="15"/>
  <c r="AG124" i="15"/>
  <c r="AH124" i="15"/>
  <c r="AG123" i="15"/>
  <c r="AH123" i="15"/>
  <c r="AG122" i="15"/>
  <c r="AH122" i="15"/>
  <c r="AG121" i="15"/>
  <c r="AH121" i="15"/>
  <c r="AG120" i="15"/>
  <c r="AH120" i="15"/>
  <c r="AG119" i="15"/>
  <c r="AH119" i="15"/>
  <c r="AG118" i="15"/>
  <c r="AH118" i="15"/>
  <c r="AG117" i="15"/>
  <c r="AH117" i="15"/>
  <c r="AG116" i="15"/>
  <c r="AH116" i="15"/>
  <c r="AG115" i="15"/>
  <c r="AH115" i="15"/>
  <c r="AG114" i="15"/>
  <c r="AH114" i="15"/>
  <c r="AG113" i="15"/>
  <c r="AH113" i="15"/>
  <c r="AG112" i="15"/>
  <c r="AH112" i="15"/>
  <c r="AG111" i="15"/>
  <c r="AH111" i="15"/>
  <c r="AG110" i="15"/>
  <c r="AH110" i="15"/>
  <c r="AG109" i="15"/>
  <c r="AH109" i="15"/>
  <c r="AG108" i="15"/>
  <c r="AH108" i="15"/>
  <c r="Z192" i="15"/>
  <c r="AA192" i="15"/>
  <c r="Z191" i="15"/>
  <c r="AA191" i="15"/>
  <c r="Z190" i="15"/>
  <c r="AA190" i="15"/>
  <c r="Z189" i="15"/>
  <c r="AA189" i="15"/>
  <c r="Z188" i="15"/>
  <c r="AA188" i="15"/>
  <c r="Z187" i="15"/>
  <c r="AA187" i="15"/>
  <c r="Z186" i="15"/>
  <c r="AA186" i="15"/>
  <c r="Z185" i="15"/>
  <c r="AA185" i="15"/>
  <c r="Z184" i="15"/>
  <c r="AA184" i="15"/>
  <c r="Z183" i="15"/>
  <c r="AA183" i="15"/>
  <c r="Z182" i="15"/>
  <c r="AA182" i="15"/>
  <c r="Z181" i="15"/>
  <c r="AA181" i="15"/>
  <c r="Z180" i="15"/>
  <c r="AA180" i="15"/>
  <c r="Z179" i="15"/>
  <c r="AA179" i="15"/>
  <c r="Z178" i="15"/>
  <c r="AA178" i="15"/>
  <c r="Z177" i="15"/>
  <c r="AA177" i="15"/>
  <c r="Z176" i="15"/>
  <c r="AA176" i="15"/>
  <c r="Z175" i="15"/>
  <c r="AA175" i="15"/>
  <c r="Z174" i="15"/>
  <c r="AA174" i="15"/>
  <c r="Z173" i="15"/>
  <c r="AA173" i="15"/>
  <c r="Z172" i="15"/>
  <c r="AA172" i="15"/>
  <c r="Z171" i="15"/>
  <c r="AA171" i="15"/>
  <c r="Z170" i="15"/>
  <c r="AA170" i="15"/>
  <c r="Z169" i="15"/>
  <c r="AA169" i="15"/>
  <c r="Z168" i="15"/>
  <c r="AA168" i="15"/>
  <c r="Z167" i="15"/>
  <c r="AA167" i="15"/>
  <c r="Z166" i="15"/>
  <c r="AA166" i="15"/>
  <c r="Z165" i="15"/>
  <c r="AA165" i="15"/>
  <c r="Z164" i="15"/>
  <c r="AA164" i="15"/>
  <c r="Z163" i="15"/>
  <c r="AA163" i="15"/>
  <c r="Z162" i="15"/>
  <c r="AA162" i="15"/>
  <c r="Z161" i="15"/>
  <c r="AA161" i="15"/>
  <c r="Z160" i="15"/>
  <c r="AA160" i="15"/>
  <c r="Z159" i="15"/>
  <c r="AA159" i="15"/>
  <c r="Z158" i="15"/>
  <c r="AA158" i="15"/>
  <c r="Z157" i="15"/>
  <c r="AA157" i="15"/>
  <c r="Z156" i="15"/>
  <c r="AA156" i="15"/>
  <c r="Z155" i="15"/>
  <c r="AA155" i="15"/>
  <c r="Z154" i="15"/>
  <c r="AA154" i="15"/>
  <c r="Z153" i="15"/>
  <c r="AA153" i="15"/>
  <c r="Z152" i="15"/>
  <c r="AA152" i="15"/>
  <c r="Z151" i="15"/>
  <c r="AA151" i="15"/>
  <c r="Z150" i="15"/>
  <c r="AA150" i="15"/>
  <c r="Z149" i="15"/>
  <c r="AA149" i="15"/>
  <c r="Z148" i="15"/>
  <c r="AA148" i="15"/>
  <c r="Z147" i="15"/>
  <c r="AA147" i="15"/>
  <c r="Z146" i="15"/>
  <c r="AA146" i="15"/>
  <c r="Z145" i="15"/>
  <c r="AA145" i="15"/>
  <c r="Z144" i="15"/>
  <c r="AA144" i="15"/>
  <c r="Z143" i="15"/>
  <c r="AA143" i="15"/>
  <c r="Z142" i="15"/>
  <c r="AA142" i="15"/>
  <c r="Z141" i="15"/>
  <c r="AA141" i="15"/>
  <c r="Z140" i="15"/>
  <c r="AA140" i="15"/>
  <c r="Z139" i="15"/>
  <c r="AA139" i="15"/>
  <c r="Z138" i="15"/>
  <c r="AA138" i="15"/>
  <c r="Z137" i="15"/>
  <c r="AA137" i="15"/>
  <c r="Z136" i="15"/>
  <c r="AA136" i="15"/>
  <c r="Z135" i="15"/>
  <c r="AA135" i="15"/>
  <c r="Z134" i="15"/>
  <c r="AA134" i="15"/>
  <c r="Z133" i="15"/>
  <c r="AA133" i="15"/>
  <c r="Z132" i="15"/>
  <c r="AA132" i="15"/>
  <c r="Z131" i="15"/>
  <c r="AA131" i="15"/>
  <c r="Z130" i="15"/>
  <c r="AA130" i="15"/>
  <c r="Z129" i="15"/>
  <c r="AA129" i="15"/>
  <c r="Z128" i="15"/>
  <c r="AA128" i="15"/>
  <c r="Z127" i="15"/>
  <c r="AA127" i="15"/>
  <c r="Z126" i="15"/>
  <c r="AA126" i="15"/>
  <c r="Z125" i="15"/>
  <c r="AA125" i="15"/>
  <c r="Z124" i="15"/>
  <c r="AA124" i="15"/>
  <c r="Z123" i="15"/>
  <c r="AA123" i="15"/>
  <c r="Z122" i="15"/>
  <c r="AA122" i="15"/>
  <c r="Z121" i="15"/>
  <c r="AA121" i="15"/>
  <c r="Z120" i="15"/>
  <c r="AA120" i="15"/>
  <c r="Z119" i="15"/>
  <c r="AA119" i="15"/>
  <c r="Z118" i="15"/>
  <c r="AA118" i="15"/>
  <c r="Z117" i="15"/>
  <c r="AA117" i="15"/>
  <c r="Z116" i="15"/>
  <c r="AA116" i="15"/>
  <c r="Z115" i="15"/>
  <c r="AA115" i="15"/>
  <c r="Z114" i="15"/>
  <c r="AA114" i="15"/>
  <c r="Z113" i="15"/>
  <c r="AA113" i="15"/>
  <c r="Z112" i="15"/>
  <c r="AA112" i="15"/>
  <c r="Z111" i="15"/>
  <c r="AA111" i="15"/>
  <c r="Z110" i="15"/>
  <c r="AA110" i="15"/>
  <c r="Z109" i="15"/>
  <c r="AA109" i="15"/>
  <c r="Z108" i="15"/>
  <c r="AA108" i="15"/>
  <c r="S192" i="15"/>
  <c r="T192" i="15"/>
  <c r="AJ192" i="15"/>
  <c r="AI192" i="15"/>
  <c r="S191" i="15"/>
  <c r="S190" i="15"/>
  <c r="AI190" i="15"/>
  <c r="S189" i="15"/>
  <c r="AI189" i="15"/>
  <c r="S188" i="15"/>
  <c r="T188" i="15"/>
  <c r="AJ188" i="15"/>
  <c r="AI188" i="15"/>
  <c r="S187" i="15"/>
  <c r="AI187" i="15"/>
  <c r="S186" i="15"/>
  <c r="S185" i="15"/>
  <c r="AI185" i="15"/>
  <c r="S184" i="15"/>
  <c r="T184" i="15"/>
  <c r="AJ184" i="15"/>
  <c r="AI184" i="15"/>
  <c r="S183" i="15"/>
  <c r="S182" i="15"/>
  <c r="AI182" i="15"/>
  <c r="S181" i="15"/>
  <c r="AI181" i="15"/>
  <c r="S180" i="15"/>
  <c r="T180" i="15"/>
  <c r="AJ180" i="15"/>
  <c r="AI180" i="15"/>
  <c r="S179" i="15"/>
  <c r="AI179" i="15"/>
  <c r="S178" i="15"/>
  <c r="S177" i="15"/>
  <c r="AI177" i="15"/>
  <c r="S176" i="15"/>
  <c r="T176" i="15"/>
  <c r="AJ176" i="15"/>
  <c r="AI176" i="15"/>
  <c r="S175" i="15"/>
  <c r="S174" i="15"/>
  <c r="AI174" i="15"/>
  <c r="S173" i="15"/>
  <c r="AI173" i="15"/>
  <c r="S172" i="15"/>
  <c r="T172" i="15"/>
  <c r="AJ172" i="15"/>
  <c r="AI172" i="15"/>
  <c r="S171" i="15"/>
  <c r="AI171" i="15"/>
  <c r="S170" i="15"/>
  <c r="S169" i="15"/>
  <c r="AI169" i="15"/>
  <c r="S168" i="15"/>
  <c r="T168" i="15"/>
  <c r="AJ168" i="15"/>
  <c r="AI168" i="15"/>
  <c r="S167" i="15"/>
  <c r="S166" i="15"/>
  <c r="AI166" i="15"/>
  <c r="S165" i="15"/>
  <c r="AI165" i="15"/>
  <c r="S164" i="15"/>
  <c r="T164" i="15"/>
  <c r="AJ164" i="15"/>
  <c r="AI164" i="15"/>
  <c r="S163" i="15"/>
  <c r="AI163" i="15"/>
  <c r="S162" i="15"/>
  <c r="S161" i="15"/>
  <c r="AI161" i="15"/>
  <c r="S160" i="15"/>
  <c r="T160" i="15"/>
  <c r="AJ160" i="15"/>
  <c r="AI160" i="15"/>
  <c r="S159" i="15"/>
  <c r="S158" i="15"/>
  <c r="AI158" i="15"/>
  <c r="S157" i="15"/>
  <c r="AI157" i="15"/>
  <c r="S156" i="15"/>
  <c r="T156" i="15"/>
  <c r="AJ156" i="15"/>
  <c r="AI156" i="15"/>
  <c r="S155" i="15"/>
  <c r="AI155" i="15"/>
  <c r="S154" i="15"/>
  <c r="S153" i="15"/>
  <c r="AI153" i="15"/>
  <c r="S152" i="15"/>
  <c r="T152" i="15"/>
  <c r="AJ152" i="15"/>
  <c r="AI152" i="15"/>
  <c r="S151" i="15"/>
  <c r="S150" i="15"/>
  <c r="AI150" i="15"/>
  <c r="S149" i="15"/>
  <c r="AI149" i="15"/>
  <c r="S148" i="15"/>
  <c r="T148" i="15"/>
  <c r="AJ148" i="15"/>
  <c r="AI148" i="15"/>
  <c r="S147" i="15"/>
  <c r="AI147" i="15"/>
  <c r="S146" i="15"/>
  <c r="S145" i="15"/>
  <c r="AI145" i="15"/>
  <c r="S144" i="15"/>
  <c r="T144" i="15"/>
  <c r="AJ144" i="15"/>
  <c r="AI144" i="15"/>
  <c r="S143" i="15"/>
  <c r="S142" i="15"/>
  <c r="AI142" i="15"/>
  <c r="S141" i="15"/>
  <c r="AI141" i="15"/>
  <c r="S140" i="15"/>
  <c r="T140" i="15"/>
  <c r="AJ140" i="15"/>
  <c r="AI140" i="15"/>
  <c r="S139" i="15"/>
  <c r="AI139" i="15"/>
  <c r="S138" i="15"/>
  <c r="S137" i="15"/>
  <c r="AI137" i="15"/>
  <c r="S136" i="15"/>
  <c r="T136" i="15"/>
  <c r="AJ136" i="15"/>
  <c r="AI136" i="15"/>
  <c r="S135" i="15"/>
  <c r="S134" i="15"/>
  <c r="AI134" i="15"/>
  <c r="S133" i="15"/>
  <c r="AI133" i="15"/>
  <c r="S132" i="15"/>
  <c r="T132" i="15"/>
  <c r="AJ132" i="15"/>
  <c r="AI132" i="15"/>
  <c r="S131" i="15"/>
  <c r="AI131" i="15"/>
  <c r="S130" i="15"/>
  <c r="S129" i="15"/>
  <c r="AI129" i="15"/>
  <c r="S128" i="15"/>
  <c r="T128" i="15"/>
  <c r="AJ128" i="15"/>
  <c r="AI128" i="15"/>
  <c r="S127" i="15"/>
  <c r="S126" i="15"/>
  <c r="AI126" i="15"/>
  <c r="S125" i="15"/>
  <c r="AI125" i="15"/>
  <c r="S124" i="15"/>
  <c r="T124" i="15"/>
  <c r="AJ124" i="15"/>
  <c r="AI124" i="15"/>
  <c r="S123" i="15"/>
  <c r="AI123" i="15"/>
  <c r="S122" i="15"/>
  <c r="S121" i="15"/>
  <c r="AI121" i="15"/>
  <c r="S120" i="15"/>
  <c r="T120" i="15"/>
  <c r="AJ120" i="15"/>
  <c r="AI120" i="15"/>
  <c r="S119" i="15"/>
  <c r="S118" i="15"/>
  <c r="AI118" i="15"/>
  <c r="S117" i="15"/>
  <c r="AI117" i="15"/>
  <c r="S116" i="15"/>
  <c r="T116" i="15"/>
  <c r="AJ116" i="15"/>
  <c r="AI116" i="15"/>
  <c r="S115" i="15"/>
  <c r="AI115" i="15"/>
  <c r="S114" i="15"/>
  <c r="S113" i="15"/>
  <c r="AI113" i="15"/>
  <c r="S112" i="15"/>
  <c r="T112" i="15"/>
  <c r="AJ112" i="15"/>
  <c r="AI112" i="15"/>
  <c r="S111" i="15"/>
  <c r="T111" i="15"/>
  <c r="S110" i="15"/>
  <c r="T110" i="15"/>
  <c r="S109" i="15"/>
  <c r="S108" i="15"/>
  <c r="AI108" i="15"/>
  <c r="AG107" i="15"/>
  <c r="AH107" i="15"/>
  <c r="Z107" i="15"/>
  <c r="AA107" i="15"/>
  <c r="S107" i="15"/>
  <c r="T107" i="15"/>
  <c r="AJ110" i="15"/>
  <c r="T118" i="15"/>
  <c r="AJ118" i="15"/>
  <c r="T126" i="15"/>
  <c r="AJ126" i="15"/>
  <c r="T134" i="15"/>
  <c r="AJ134" i="15"/>
  <c r="T142" i="15"/>
  <c r="AJ142" i="15"/>
  <c r="T150" i="15"/>
  <c r="AJ150" i="15"/>
  <c r="T158" i="15"/>
  <c r="AJ158" i="15"/>
  <c r="T166" i="15"/>
  <c r="AJ166" i="15"/>
  <c r="T174" i="15"/>
  <c r="AJ174" i="15"/>
  <c r="T182" i="15"/>
  <c r="AJ182" i="15"/>
  <c r="T190" i="15"/>
  <c r="AJ190" i="15"/>
  <c r="AI114" i="15"/>
  <c r="AI122" i="15"/>
  <c r="AI130" i="15"/>
  <c r="AI135" i="15"/>
  <c r="AI146" i="15"/>
  <c r="AI154" i="15"/>
  <c r="AI170" i="15"/>
  <c r="AI178" i="15"/>
  <c r="AI183" i="15"/>
  <c r="AI186" i="15"/>
  <c r="AI191" i="15"/>
  <c r="AI119" i="15"/>
  <c r="AI127" i="15"/>
  <c r="AI138" i="15"/>
  <c r="AI143" i="15"/>
  <c r="AI151" i="15"/>
  <c r="AI159" i="15"/>
  <c r="AI162" i="15"/>
  <c r="AI167" i="15"/>
  <c r="AI175" i="15"/>
  <c r="T108" i="15"/>
  <c r="AJ108" i="15"/>
  <c r="T114" i="15"/>
  <c r="AJ114" i="15"/>
  <c r="T122" i="15"/>
  <c r="AJ122" i="15"/>
  <c r="T130" i="15"/>
  <c r="AJ130" i="15"/>
  <c r="T138" i="15"/>
  <c r="AJ138" i="15"/>
  <c r="T146" i="15"/>
  <c r="AJ146" i="15"/>
  <c r="T154" i="15"/>
  <c r="AJ154" i="15"/>
  <c r="T162" i="15"/>
  <c r="AJ162" i="15"/>
  <c r="T170" i="15"/>
  <c r="AJ170" i="15"/>
  <c r="T178" i="15"/>
  <c r="AJ178" i="15"/>
  <c r="T186" i="15"/>
  <c r="AJ186" i="15"/>
  <c r="AI107" i="15"/>
  <c r="T113" i="15"/>
  <c r="AJ113" i="15"/>
  <c r="T115" i="15"/>
  <c r="AJ115" i="15"/>
  <c r="T117" i="15"/>
  <c r="AJ117" i="15"/>
  <c r="T119" i="15"/>
  <c r="AJ119" i="15"/>
  <c r="T121" i="15"/>
  <c r="AJ121" i="15"/>
  <c r="T123" i="15"/>
  <c r="AJ123" i="15"/>
  <c r="T125" i="15"/>
  <c r="AJ125" i="15"/>
  <c r="T127" i="15"/>
  <c r="AJ127" i="15"/>
  <c r="T129" i="15"/>
  <c r="AJ129" i="15"/>
  <c r="T131" i="15"/>
  <c r="AJ131" i="15"/>
  <c r="T133" i="15"/>
  <c r="AJ133" i="15"/>
  <c r="T135" i="15"/>
  <c r="AJ135" i="15"/>
  <c r="T137" i="15"/>
  <c r="AJ137" i="15"/>
  <c r="T139" i="15"/>
  <c r="AJ139" i="15"/>
  <c r="T141" i="15"/>
  <c r="AJ141" i="15"/>
  <c r="T143" i="15"/>
  <c r="AJ143" i="15"/>
  <c r="T145" i="15"/>
  <c r="AJ145" i="15"/>
  <c r="T147" i="15"/>
  <c r="AJ147" i="15"/>
  <c r="T149" i="15"/>
  <c r="AJ149" i="15"/>
  <c r="T151" i="15"/>
  <c r="AJ151" i="15"/>
  <c r="T153" i="15"/>
  <c r="AJ153" i="15"/>
  <c r="T155" i="15"/>
  <c r="AJ155" i="15"/>
  <c r="T157" i="15"/>
  <c r="AJ157" i="15"/>
  <c r="T159" i="15"/>
  <c r="AJ159" i="15"/>
  <c r="T161" i="15"/>
  <c r="AJ161" i="15"/>
  <c r="T163" i="15"/>
  <c r="AJ163" i="15"/>
  <c r="T165" i="15"/>
  <c r="AJ165" i="15"/>
  <c r="T167" i="15"/>
  <c r="AJ167" i="15"/>
  <c r="T169" i="15"/>
  <c r="AJ169" i="15"/>
  <c r="T171" i="15"/>
  <c r="AJ171" i="15"/>
  <c r="T173" i="15"/>
  <c r="AJ173" i="15"/>
  <c r="T175" i="15"/>
  <c r="AJ175" i="15"/>
  <c r="T177" i="15"/>
  <c r="AJ177" i="15"/>
  <c r="T179" i="15"/>
  <c r="AJ179" i="15"/>
  <c r="T181" i="15"/>
  <c r="AJ181" i="15"/>
  <c r="T183" i="15"/>
  <c r="AJ183" i="15"/>
  <c r="T185" i="15"/>
  <c r="AJ185" i="15"/>
  <c r="T187" i="15"/>
  <c r="AJ187" i="15"/>
  <c r="T189" i="15"/>
  <c r="AJ189" i="15"/>
  <c r="T191" i="15"/>
  <c r="AJ191" i="15"/>
  <c r="AJ107" i="15"/>
  <c r="AJ111" i="15"/>
  <c r="AI110" i="15"/>
  <c r="AI111" i="15"/>
  <c r="AI109" i="15"/>
  <c r="T109" i="15"/>
  <c r="AJ109" i="15"/>
  <c r="E14" i="21"/>
  <c r="F14" i="21"/>
  <c r="L14" i="21"/>
  <c r="S14" i="21"/>
  <c r="T14" i="21"/>
  <c r="Z14" i="21"/>
  <c r="AA14" i="21"/>
  <c r="AD14" i="21"/>
  <c r="L15" i="21"/>
  <c r="M15" i="21"/>
  <c r="L16" i="21"/>
  <c r="M16" i="21"/>
  <c r="L17" i="21"/>
  <c r="L18" i="21"/>
  <c r="M18" i="21"/>
  <c r="L19" i="21"/>
  <c r="M19" i="21"/>
  <c r="L20" i="21"/>
  <c r="M20" i="21"/>
  <c r="L21" i="21"/>
  <c r="L22" i="21"/>
  <c r="M22" i="21"/>
  <c r="L23" i="21"/>
  <c r="L24" i="21"/>
  <c r="S24" i="21"/>
  <c r="Z24" i="21"/>
  <c r="AB24" i="21"/>
  <c r="L25" i="21"/>
  <c r="L26" i="21"/>
  <c r="L27" i="21"/>
  <c r="L28" i="21"/>
  <c r="S28" i="21"/>
  <c r="Z28" i="21"/>
  <c r="AB28" i="21"/>
  <c r="L29" i="21"/>
  <c r="L30" i="21"/>
  <c r="L31" i="21"/>
  <c r="L32" i="21"/>
  <c r="S32" i="21"/>
  <c r="Z32" i="21"/>
  <c r="AB32" i="21"/>
  <c r="L33" i="21"/>
  <c r="L34" i="21"/>
  <c r="L35" i="21"/>
  <c r="L36" i="21"/>
  <c r="S36" i="21"/>
  <c r="Z36" i="21"/>
  <c r="AB36" i="21"/>
  <c r="L37" i="21"/>
  <c r="L38" i="21"/>
  <c r="L39" i="21"/>
  <c r="L40" i="21"/>
  <c r="S40" i="21"/>
  <c r="Z40" i="21"/>
  <c r="AB40" i="21"/>
  <c r="L41" i="21"/>
  <c r="L42" i="21"/>
  <c r="L43" i="21"/>
  <c r="L44" i="21"/>
  <c r="S44" i="21"/>
  <c r="Z44" i="21"/>
  <c r="AB44" i="21"/>
  <c r="L45" i="21"/>
  <c r="L46" i="21"/>
  <c r="L47" i="21"/>
  <c r="L48" i="21"/>
  <c r="M48" i="21"/>
  <c r="L49" i="21"/>
  <c r="L50" i="21"/>
  <c r="L51" i="21"/>
  <c r="L52" i="21"/>
  <c r="M52" i="21"/>
  <c r="L53" i="21"/>
  <c r="L54" i="21"/>
  <c r="L55" i="21"/>
  <c r="L56" i="21"/>
  <c r="M56" i="21"/>
  <c r="L57" i="21"/>
  <c r="L58" i="21"/>
  <c r="M17" i="21"/>
  <c r="M21" i="21"/>
  <c r="M23" i="21"/>
  <c r="M25" i="21"/>
  <c r="M26" i="21"/>
  <c r="M27" i="21"/>
  <c r="M29" i="21"/>
  <c r="M30" i="21"/>
  <c r="M31" i="21"/>
  <c r="M33" i="21"/>
  <c r="M34" i="21"/>
  <c r="M35" i="21"/>
  <c r="M37" i="21"/>
  <c r="M38" i="21"/>
  <c r="M39" i="21"/>
  <c r="M41" i="21"/>
  <c r="M42" i="21"/>
  <c r="M43" i="21"/>
  <c r="M45" i="21"/>
  <c r="M46" i="21"/>
  <c r="M47" i="21"/>
  <c r="M49" i="21"/>
  <c r="M50" i="21"/>
  <c r="M51" i="21"/>
  <c r="M53" i="21"/>
  <c r="M54" i="21"/>
  <c r="M55" i="21"/>
  <c r="M57" i="21"/>
  <c r="M58" i="21"/>
  <c r="S15" i="21"/>
  <c r="T15" i="21"/>
  <c r="S16" i="21"/>
  <c r="S17" i="21"/>
  <c r="T17" i="21"/>
  <c r="S18" i="21"/>
  <c r="T18" i="21"/>
  <c r="S19" i="21"/>
  <c r="S20" i="21"/>
  <c r="T20" i="21"/>
  <c r="S21" i="21"/>
  <c r="S22" i="21"/>
  <c r="T22" i="21"/>
  <c r="S23" i="21"/>
  <c r="T23" i="21"/>
  <c r="T24" i="21"/>
  <c r="S25" i="21"/>
  <c r="S26" i="21"/>
  <c r="T26" i="21"/>
  <c r="S27" i="21"/>
  <c r="T27" i="21"/>
  <c r="T28" i="21"/>
  <c r="S29" i="21"/>
  <c r="S30" i="21"/>
  <c r="T30" i="21"/>
  <c r="S31" i="21"/>
  <c r="T31" i="21"/>
  <c r="T32" i="21"/>
  <c r="S33" i="21"/>
  <c r="S34" i="21"/>
  <c r="T34" i="21"/>
  <c r="S35" i="21"/>
  <c r="T35" i="21"/>
  <c r="T36" i="21"/>
  <c r="S37" i="21"/>
  <c r="S38" i="21"/>
  <c r="T38" i="21"/>
  <c r="S39" i="21"/>
  <c r="T39" i="21"/>
  <c r="T40" i="21"/>
  <c r="S41" i="21"/>
  <c r="S42" i="21"/>
  <c r="T42" i="21"/>
  <c r="S43" i="21"/>
  <c r="T43" i="21"/>
  <c r="T44" i="21"/>
  <c r="S45" i="21"/>
  <c r="S46" i="21"/>
  <c r="T46" i="21"/>
  <c r="S47" i="21"/>
  <c r="T47" i="21"/>
  <c r="S48" i="21"/>
  <c r="T48" i="21"/>
  <c r="S49" i="21"/>
  <c r="S50" i="21"/>
  <c r="T50" i="21"/>
  <c r="S51" i="21"/>
  <c r="T51" i="21"/>
  <c r="S52" i="21"/>
  <c r="T52" i="21"/>
  <c r="S53" i="21"/>
  <c r="S54" i="21"/>
  <c r="T54" i="21"/>
  <c r="S55" i="21"/>
  <c r="T55" i="21"/>
  <c r="S56" i="21"/>
  <c r="T56" i="21"/>
  <c r="S57" i="21"/>
  <c r="S58" i="21"/>
  <c r="T58" i="21"/>
  <c r="T21" i="21"/>
  <c r="T25" i="21"/>
  <c r="T29" i="21"/>
  <c r="T33" i="21"/>
  <c r="T37" i="21"/>
  <c r="T41" i="21"/>
  <c r="T45" i="21"/>
  <c r="T49" i="21"/>
  <c r="T53" i="21"/>
  <c r="T57" i="21"/>
  <c r="Z15" i="21"/>
  <c r="AA15" i="21"/>
  <c r="Z16" i="21"/>
  <c r="AA16" i="21"/>
  <c r="Z17" i="21"/>
  <c r="AA17" i="21"/>
  <c r="Z18" i="21"/>
  <c r="AA18" i="21"/>
  <c r="Z19" i="21"/>
  <c r="AA19" i="21"/>
  <c r="Z20" i="21"/>
  <c r="AA20" i="21"/>
  <c r="Z21" i="21"/>
  <c r="AB21" i="21"/>
  <c r="Z22" i="21"/>
  <c r="AA22" i="21"/>
  <c r="Z23" i="21"/>
  <c r="AB23" i="21"/>
  <c r="Z25" i="21"/>
  <c r="AA25" i="21"/>
  <c r="AC25" i="21"/>
  <c r="Z26" i="21"/>
  <c r="AA26" i="21"/>
  <c r="Z27" i="21"/>
  <c r="AA27" i="21"/>
  <c r="Z29" i="21"/>
  <c r="AA29" i="21"/>
  <c r="Z30" i="21"/>
  <c r="AA30" i="21"/>
  <c r="Z31" i="21"/>
  <c r="AB31" i="21"/>
  <c r="Z33" i="21"/>
  <c r="AA33" i="21"/>
  <c r="AC33" i="21"/>
  <c r="Z34" i="21"/>
  <c r="AA34" i="21"/>
  <c r="Z35" i="21"/>
  <c r="AA35" i="21"/>
  <c r="Z37" i="21"/>
  <c r="AA37" i="21"/>
  <c r="Z38" i="21"/>
  <c r="AA38" i="21"/>
  <c r="Z39" i="21"/>
  <c r="AB39" i="21"/>
  <c r="Z41" i="21"/>
  <c r="AA41" i="21"/>
  <c r="AC41" i="21"/>
  <c r="Z42" i="21"/>
  <c r="AA42" i="21"/>
  <c r="Z43" i="21"/>
  <c r="AA43" i="21"/>
  <c r="Z45" i="21"/>
  <c r="AA45" i="21"/>
  <c r="Z46" i="21"/>
  <c r="Z47" i="21"/>
  <c r="AB47" i="21"/>
  <c r="Z48" i="21"/>
  <c r="Z49" i="21"/>
  <c r="AA49" i="21"/>
  <c r="AC49" i="21"/>
  <c r="Z50" i="21"/>
  <c r="AA50" i="21"/>
  <c r="Z51" i="21"/>
  <c r="AA51" i="21"/>
  <c r="Z52" i="21"/>
  <c r="Z53" i="21"/>
  <c r="AA53" i="21"/>
  <c r="Z54" i="21"/>
  <c r="AA54" i="21"/>
  <c r="Z55" i="21"/>
  <c r="AB55" i="21"/>
  <c r="Z56" i="21"/>
  <c r="Z57" i="21"/>
  <c r="AA57" i="21"/>
  <c r="AC57" i="21"/>
  <c r="Z58" i="21"/>
  <c r="AA58" i="21"/>
  <c r="AA23" i="21"/>
  <c r="AA24" i="21"/>
  <c r="AA28" i="21"/>
  <c r="AA31" i="21"/>
  <c r="AA32" i="21"/>
  <c r="AA36" i="21"/>
  <c r="AA39" i="21"/>
  <c r="AA40" i="21"/>
  <c r="AA44" i="21"/>
  <c r="AA47" i="21"/>
  <c r="AA48" i="21"/>
  <c r="AA52" i="21"/>
  <c r="AA55" i="21"/>
  <c r="AA56" i="21"/>
  <c r="AB27" i="21"/>
  <c r="AB43" i="21"/>
  <c r="AB52" i="21"/>
  <c r="AK109" i="15"/>
  <c r="L109" i="15"/>
  <c r="M109" i="15"/>
  <c r="AK108" i="15"/>
  <c r="L108" i="15"/>
  <c r="M108" i="15"/>
  <c r="AK107" i="15"/>
  <c r="L107" i="15"/>
  <c r="M107" i="15"/>
  <c r="E15" i="21"/>
  <c r="F15" i="21"/>
  <c r="AD15" i="21"/>
  <c r="E16" i="21"/>
  <c r="F16" i="21"/>
  <c r="AD16" i="21"/>
  <c r="E17" i="21"/>
  <c r="F17" i="21"/>
  <c r="AD17" i="21"/>
  <c r="E18" i="21"/>
  <c r="F18" i="21"/>
  <c r="AD18" i="21"/>
  <c r="L14" i="17"/>
  <c r="M14" i="17"/>
  <c r="S14" i="17"/>
  <c r="T14" i="17"/>
  <c r="Z14" i="17"/>
  <c r="AA14" i="17"/>
  <c r="AG14" i="17"/>
  <c r="AH14" i="17"/>
  <c r="AK14" i="17"/>
  <c r="AW14" i="17"/>
  <c r="AX14" i="17"/>
  <c r="AY14" i="17"/>
  <c r="AZ14" i="17"/>
  <c r="BA14" i="17"/>
  <c r="BB14" i="17"/>
  <c r="BC14" i="17"/>
  <c r="BD14" i="17"/>
  <c r="BE14" i="17"/>
  <c r="BF14" i="17"/>
  <c r="BG14" i="17"/>
  <c r="BH14" i="17"/>
  <c r="L15" i="17"/>
  <c r="M15" i="17"/>
  <c r="S15" i="17"/>
  <c r="T15" i="17"/>
  <c r="Z15" i="17"/>
  <c r="AA15" i="17"/>
  <c r="AG15" i="17"/>
  <c r="AH15" i="17"/>
  <c r="AK15" i="17"/>
  <c r="AW15" i="17"/>
  <c r="AX15" i="17"/>
  <c r="AY15" i="17"/>
  <c r="AZ15" i="17"/>
  <c r="BA15" i="17"/>
  <c r="BB15" i="17"/>
  <c r="BC15" i="17"/>
  <c r="BD15" i="17"/>
  <c r="BE15" i="17"/>
  <c r="BF15" i="17"/>
  <c r="BG15" i="17"/>
  <c r="BH15" i="17"/>
  <c r="L16" i="17"/>
  <c r="M16" i="17"/>
  <c r="S16" i="17"/>
  <c r="T16" i="17"/>
  <c r="Z16" i="17"/>
  <c r="AA16" i="17"/>
  <c r="AG16" i="17"/>
  <c r="AH16" i="17"/>
  <c r="AK16" i="17"/>
  <c r="AW16" i="17"/>
  <c r="AX16" i="17"/>
  <c r="AY16" i="17"/>
  <c r="AZ16" i="17"/>
  <c r="BA16" i="17"/>
  <c r="BB16" i="17"/>
  <c r="BC16" i="17"/>
  <c r="BD16" i="17"/>
  <c r="BE16" i="17"/>
  <c r="BF16" i="17"/>
  <c r="BG16" i="17"/>
  <c r="BH16" i="17"/>
  <c r="S17" i="17"/>
  <c r="S18" i="17"/>
  <c r="S19" i="17"/>
  <c r="S20" i="17"/>
  <c r="S21" i="17"/>
  <c r="S22" i="17"/>
  <c r="S23" i="17"/>
  <c r="S24" i="17"/>
  <c r="S25" i="17"/>
  <c r="S26" i="17"/>
  <c r="S27" i="17"/>
  <c r="S28" i="17"/>
  <c r="S29" i="17"/>
  <c r="S30" i="17"/>
  <c r="S31" i="17"/>
  <c r="S32" i="17"/>
  <c r="S33" i="17"/>
  <c r="S34" i="17"/>
  <c r="S35" i="17"/>
  <c r="S36" i="17"/>
  <c r="S37" i="17"/>
  <c r="S38" i="17"/>
  <c r="S39" i="17"/>
  <c r="S40" i="17"/>
  <c r="T17" i="17"/>
  <c r="T18" i="17"/>
  <c r="T19" i="17"/>
  <c r="T20" i="17"/>
  <c r="T21" i="17"/>
  <c r="T22" i="17"/>
  <c r="T23" i="17"/>
  <c r="T24" i="17"/>
  <c r="T25" i="17"/>
  <c r="T26" i="17"/>
  <c r="T27" i="17"/>
  <c r="T28" i="17"/>
  <c r="T29" i="17"/>
  <c r="T30" i="17"/>
  <c r="T31" i="17"/>
  <c r="T32" i="17"/>
  <c r="T33" i="17"/>
  <c r="T34" i="17"/>
  <c r="T35" i="17"/>
  <c r="T36" i="17"/>
  <c r="T37" i="17"/>
  <c r="T38" i="17"/>
  <c r="T39" i="17"/>
  <c r="T40" i="17"/>
  <c r="Z17" i="17"/>
  <c r="Z18" i="17"/>
  <c r="Z19" i="17"/>
  <c r="Z20" i="17"/>
  <c r="Z21" i="17"/>
  <c r="Z22" i="17"/>
  <c r="Z23" i="17"/>
  <c r="Z24" i="17"/>
  <c r="Z25" i="17"/>
  <c r="Z26" i="17"/>
  <c r="Z27" i="17"/>
  <c r="Z28" i="17"/>
  <c r="Z29" i="17"/>
  <c r="Z30" i="17"/>
  <c r="Z31" i="17"/>
  <c r="Z32" i="17"/>
  <c r="Z33" i="17"/>
  <c r="Z34" i="17"/>
  <c r="Z35" i="17"/>
  <c r="Z36" i="17"/>
  <c r="Z37" i="17"/>
  <c r="Z38" i="17"/>
  <c r="Z39" i="17"/>
  <c r="Z40" i="17"/>
  <c r="AA17" i="17"/>
  <c r="AA18" i="17"/>
  <c r="AA19" i="17"/>
  <c r="AA20" i="17"/>
  <c r="AA21" i="17"/>
  <c r="AA22" i="17"/>
  <c r="AA23" i="17"/>
  <c r="AA24" i="17"/>
  <c r="AA25" i="17"/>
  <c r="AA26" i="17"/>
  <c r="AA27" i="17"/>
  <c r="AA28" i="17"/>
  <c r="AA29" i="17"/>
  <c r="AA30" i="17"/>
  <c r="AA31" i="17"/>
  <c r="AA32" i="17"/>
  <c r="AA33" i="17"/>
  <c r="AA34" i="17"/>
  <c r="AA35" i="17"/>
  <c r="AA36" i="17"/>
  <c r="AA37" i="17"/>
  <c r="AA38" i="17"/>
  <c r="AA39" i="17"/>
  <c r="AA40" i="17"/>
  <c r="AG17" i="17"/>
  <c r="AG18" i="17"/>
  <c r="AG19" i="17"/>
  <c r="AG20" i="17"/>
  <c r="AG21" i="17"/>
  <c r="AG22" i="17"/>
  <c r="AG23" i="17"/>
  <c r="AG24" i="17"/>
  <c r="AG25" i="17"/>
  <c r="AG26" i="17"/>
  <c r="AG27" i="17"/>
  <c r="AG28" i="17"/>
  <c r="AG29" i="17"/>
  <c r="AG30" i="17"/>
  <c r="AG31" i="17"/>
  <c r="AG32" i="17"/>
  <c r="AG33" i="17"/>
  <c r="AG34" i="17"/>
  <c r="AG35" i="17"/>
  <c r="AG36" i="17"/>
  <c r="AG37" i="17"/>
  <c r="AG38" i="17"/>
  <c r="AG39" i="17"/>
  <c r="AG40" i="17"/>
  <c r="AH17" i="17"/>
  <c r="AH18" i="17"/>
  <c r="AH19" i="17"/>
  <c r="AH20" i="17"/>
  <c r="AH21" i="17"/>
  <c r="AH22" i="17"/>
  <c r="AH23" i="17"/>
  <c r="AH24" i="17"/>
  <c r="AH25" i="17"/>
  <c r="AH26" i="17"/>
  <c r="AH27" i="17"/>
  <c r="AH28" i="17"/>
  <c r="AH29" i="17"/>
  <c r="AH30" i="17"/>
  <c r="AH31" i="17"/>
  <c r="AH32" i="17"/>
  <c r="AH33" i="17"/>
  <c r="AH34" i="17"/>
  <c r="AH35" i="17"/>
  <c r="AH36" i="17"/>
  <c r="AH37" i="17"/>
  <c r="AH38" i="17"/>
  <c r="AH39" i="17"/>
  <c r="AH40" i="17"/>
  <c r="AI17" i="17"/>
  <c r="AI18" i="17"/>
  <c r="AI19" i="17"/>
  <c r="AI20" i="17"/>
  <c r="AI21" i="17"/>
  <c r="AI22" i="17"/>
  <c r="AI23" i="17"/>
  <c r="AI24" i="17"/>
  <c r="AI25" i="17"/>
  <c r="AI26" i="17"/>
  <c r="AI27" i="17"/>
  <c r="AI28" i="17"/>
  <c r="AI29" i="17"/>
  <c r="AI30" i="17"/>
  <c r="AI31" i="17"/>
  <c r="AI32" i="17"/>
  <c r="AI33" i="17"/>
  <c r="AI34" i="17"/>
  <c r="AI35" i="17"/>
  <c r="AI36" i="17"/>
  <c r="AI37" i="17"/>
  <c r="AI38" i="17"/>
  <c r="AI39" i="17"/>
  <c r="AI40" i="17"/>
  <c r="AJ17" i="17"/>
  <c r="AJ18" i="17"/>
  <c r="AJ19" i="17"/>
  <c r="AJ20" i="17"/>
  <c r="AJ21" i="17"/>
  <c r="AJ22" i="17"/>
  <c r="AJ23" i="17"/>
  <c r="AJ24" i="17"/>
  <c r="AJ25" i="17"/>
  <c r="AJ26" i="17"/>
  <c r="AJ27" i="17"/>
  <c r="AJ28" i="17"/>
  <c r="AJ29" i="17"/>
  <c r="AJ30" i="17"/>
  <c r="AJ31" i="17"/>
  <c r="AJ32" i="17"/>
  <c r="AJ33" i="17"/>
  <c r="AJ34" i="17"/>
  <c r="AJ35" i="17"/>
  <c r="AJ36" i="17"/>
  <c r="AJ37" i="17"/>
  <c r="AJ38" i="17"/>
  <c r="AJ39" i="17"/>
  <c r="AJ40" i="17"/>
  <c r="L49" i="17"/>
  <c r="M49" i="17"/>
  <c r="S49" i="17"/>
  <c r="Z49" i="17"/>
  <c r="AA49" i="17"/>
  <c r="AG49" i="17"/>
  <c r="AH49" i="17"/>
  <c r="AK49" i="17"/>
  <c r="L50" i="17"/>
  <c r="M50" i="17"/>
  <c r="S50" i="17"/>
  <c r="T50" i="17"/>
  <c r="Z50" i="17"/>
  <c r="AA50" i="17"/>
  <c r="AG50" i="17"/>
  <c r="AH50" i="17"/>
  <c r="AK50" i="17"/>
  <c r="L51" i="17"/>
  <c r="M51" i="17"/>
  <c r="S51" i="17"/>
  <c r="T51" i="17"/>
  <c r="Z51" i="17"/>
  <c r="AA51" i="17"/>
  <c r="AG51" i="17"/>
  <c r="AH51" i="17"/>
  <c r="AK51" i="17"/>
  <c r="S52" i="17"/>
  <c r="S53" i="17"/>
  <c r="T53" i="17"/>
  <c r="S54" i="17"/>
  <c r="T54" i="17"/>
  <c r="S55" i="17"/>
  <c r="S56" i="17"/>
  <c r="S57" i="17"/>
  <c r="T57" i="17"/>
  <c r="S58" i="17"/>
  <c r="S59" i="17"/>
  <c r="S60" i="17"/>
  <c r="S61" i="17"/>
  <c r="T61" i="17"/>
  <c r="S62" i="17"/>
  <c r="T62" i="17"/>
  <c r="S63" i="17"/>
  <c r="S64" i="17"/>
  <c r="S65" i="17"/>
  <c r="T65" i="17"/>
  <c r="S66" i="17"/>
  <c r="T66" i="17"/>
  <c r="S67" i="17"/>
  <c r="S68" i="17"/>
  <c r="S69" i="17"/>
  <c r="T69" i="17"/>
  <c r="S70" i="17"/>
  <c r="T70" i="17"/>
  <c r="S71" i="17"/>
  <c r="S72" i="17"/>
  <c r="S73" i="17"/>
  <c r="T73" i="17"/>
  <c r="S74" i="17"/>
  <c r="T55" i="17"/>
  <c r="T56" i="17"/>
  <c r="T58" i="17"/>
  <c r="T59" i="17"/>
  <c r="T63" i="17"/>
  <c r="T67" i="17"/>
  <c r="T71" i="17"/>
  <c r="T74" i="17"/>
  <c r="Z52" i="17"/>
  <c r="AA52" i="17"/>
  <c r="Z53" i="17"/>
  <c r="AA53" i="17"/>
  <c r="Z54" i="17"/>
  <c r="AA54" i="17"/>
  <c r="Z55" i="17"/>
  <c r="AA55" i="17"/>
  <c r="Z56" i="17"/>
  <c r="Z57" i="17"/>
  <c r="AA57" i="17"/>
  <c r="Z58" i="17"/>
  <c r="AA58" i="17"/>
  <c r="Z59" i="17"/>
  <c r="AA59" i="17"/>
  <c r="Z60" i="17"/>
  <c r="Z61" i="17"/>
  <c r="Z62" i="17"/>
  <c r="Z63" i="17"/>
  <c r="AA63" i="17"/>
  <c r="Z64" i="17"/>
  <c r="Z65" i="17"/>
  <c r="AA65" i="17"/>
  <c r="Z66" i="17"/>
  <c r="Z67" i="17"/>
  <c r="AA67" i="17"/>
  <c r="Z68" i="17"/>
  <c r="Z69" i="17"/>
  <c r="AA69" i="17"/>
  <c r="Z70" i="17"/>
  <c r="AA70" i="17"/>
  <c r="Z71" i="17"/>
  <c r="AA71" i="17"/>
  <c r="Z72" i="17"/>
  <c r="Z73" i="17"/>
  <c r="AA73" i="17"/>
  <c r="Z74" i="17"/>
  <c r="AA74" i="17"/>
  <c r="AA56" i="17"/>
  <c r="AA60" i="17"/>
  <c r="AA61" i="17"/>
  <c r="AA62" i="17"/>
  <c r="AA64" i="17"/>
  <c r="AA66" i="17"/>
  <c r="AA68" i="17"/>
  <c r="AA72" i="17"/>
  <c r="AG52" i="17"/>
  <c r="AG53" i="17"/>
  <c r="AG54" i="17"/>
  <c r="AI54" i="17"/>
  <c r="AG55" i="17"/>
  <c r="AH55" i="17"/>
  <c r="AG56" i="17"/>
  <c r="AG57" i="17"/>
  <c r="AG58" i="17"/>
  <c r="AI58" i="17"/>
  <c r="AG59" i="17"/>
  <c r="AH59" i="17"/>
  <c r="AG60" i="17"/>
  <c r="AG61" i="17"/>
  <c r="AG62" i="17"/>
  <c r="AI62" i="17"/>
  <c r="AG63" i="17"/>
  <c r="AI63" i="17"/>
  <c r="AG64" i="17"/>
  <c r="AG65" i="17"/>
  <c r="AG66" i="17"/>
  <c r="AI66" i="17"/>
  <c r="AG67" i="17"/>
  <c r="AH67" i="17"/>
  <c r="AG68" i="17"/>
  <c r="AG69" i="17"/>
  <c r="AG70" i="17"/>
  <c r="AI70" i="17"/>
  <c r="AG71" i="17"/>
  <c r="AH71" i="17"/>
  <c r="AG72" i="17"/>
  <c r="AG73" i="17"/>
  <c r="AG74" i="17"/>
  <c r="AI74" i="17"/>
  <c r="AH52" i="17"/>
  <c r="AH56" i="17"/>
  <c r="AH58" i="17"/>
  <c r="AH60" i="17"/>
  <c r="AH63" i="17"/>
  <c r="AH64" i="17"/>
  <c r="AH68" i="17"/>
  <c r="AH70" i="17"/>
  <c r="AH72" i="17"/>
  <c r="AI56" i="17"/>
  <c r="AI59" i="17"/>
  <c r="AI67" i="17"/>
  <c r="K83" i="17"/>
  <c r="L83" i="17"/>
  <c r="R83" i="17"/>
  <c r="Y83" i="17"/>
  <c r="Z83" i="17"/>
  <c r="AF83" i="17"/>
  <c r="AG83" i="17"/>
  <c r="AJ83" i="17"/>
  <c r="R84" i="17"/>
  <c r="R85" i="17"/>
  <c r="R86" i="17"/>
  <c r="S86" i="17"/>
  <c r="R87" i="17"/>
  <c r="S87" i="17"/>
  <c r="R88" i="17"/>
  <c r="R89" i="17"/>
  <c r="Y89" i="17"/>
  <c r="AF89" i="17"/>
  <c r="AH89" i="17"/>
  <c r="R90" i="17"/>
  <c r="S90" i="17"/>
  <c r="R91" i="17"/>
  <c r="S91" i="17"/>
  <c r="R92" i="17"/>
  <c r="S92" i="17"/>
  <c r="R93" i="17"/>
  <c r="Y93" i="17"/>
  <c r="AF93" i="17"/>
  <c r="AH93" i="17"/>
  <c r="R94" i="17"/>
  <c r="R95" i="17"/>
  <c r="S95" i="17"/>
  <c r="R96" i="17"/>
  <c r="S96" i="17"/>
  <c r="R97" i="17"/>
  <c r="S97" i="17"/>
  <c r="R98" i="17"/>
  <c r="R99" i="17"/>
  <c r="S99" i="17"/>
  <c r="R100" i="17"/>
  <c r="R101" i="17"/>
  <c r="S101" i="17"/>
  <c r="R102" i="17"/>
  <c r="S102" i="17"/>
  <c r="R103" i="17"/>
  <c r="S103" i="17"/>
  <c r="R104" i="17"/>
  <c r="R105" i="17"/>
  <c r="Y105" i="17"/>
  <c r="AF105" i="17"/>
  <c r="AH105" i="17"/>
  <c r="R106" i="17"/>
  <c r="S106" i="17"/>
  <c r="R107" i="17"/>
  <c r="S107" i="17"/>
  <c r="R108" i="17"/>
  <c r="S108" i="17"/>
  <c r="R109" i="17"/>
  <c r="S109" i="17"/>
  <c r="R110" i="17"/>
  <c r="S110" i="17"/>
  <c r="R111" i="17"/>
  <c r="S111" i="17"/>
  <c r="R112" i="17"/>
  <c r="S112" i="17"/>
  <c r="R113" i="17"/>
  <c r="R114" i="17"/>
  <c r="S85" i="17"/>
  <c r="S93" i="17"/>
  <c r="S94" i="17"/>
  <c r="S98" i="17"/>
  <c r="S105" i="17"/>
  <c r="S113" i="17"/>
  <c r="S114" i="17"/>
  <c r="Y84" i="17"/>
  <c r="Y85" i="17"/>
  <c r="Z85" i="17"/>
  <c r="Y86" i="17"/>
  <c r="Z86" i="17"/>
  <c r="Y87" i="17"/>
  <c r="Z87" i="17"/>
  <c r="Y88" i="17"/>
  <c r="Z89" i="17"/>
  <c r="Y90" i="17"/>
  <c r="Z90" i="17"/>
  <c r="Y91" i="17"/>
  <c r="Z91" i="17"/>
  <c r="Y92" i="17"/>
  <c r="Z93" i="17"/>
  <c r="Y94" i="17"/>
  <c r="Y95" i="17"/>
  <c r="Y96" i="17"/>
  <c r="Y97" i="17"/>
  <c r="Z97" i="17"/>
  <c r="Y98" i="17"/>
  <c r="Y99" i="17"/>
  <c r="Z99" i="17"/>
  <c r="Y100" i="17"/>
  <c r="Y101" i="17"/>
  <c r="Z101" i="17"/>
  <c r="Y102" i="17"/>
  <c r="AF102" i="17"/>
  <c r="AH102" i="17"/>
  <c r="Y103" i="17"/>
  <c r="Y104" i="17"/>
  <c r="Z105" i="17"/>
  <c r="Y106" i="17"/>
  <c r="Z106" i="17"/>
  <c r="Y107" i="17"/>
  <c r="Y108" i="17"/>
  <c r="Y109" i="17"/>
  <c r="Z109" i="17"/>
  <c r="Y110" i="17"/>
  <c r="Y111" i="17"/>
  <c r="Z111" i="17"/>
  <c r="Y112" i="17"/>
  <c r="Y113" i="17"/>
  <c r="Z113" i="17"/>
  <c r="Y114" i="17"/>
  <c r="Z84" i="17"/>
  <c r="Z88" i="17"/>
  <c r="Z92" i="17"/>
  <c r="Z95" i="17"/>
  <c r="Z96" i="17"/>
  <c r="Z100" i="17"/>
  <c r="Z102" i="17"/>
  <c r="Z103" i="17"/>
  <c r="Z104" i="17"/>
  <c r="Z107" i="17"/>
  <c r="Z108" i="17"/>
  <c r="Z112" i="17"/>
  <c r="Z114" i="17"/>
  <c r="AF84" i="17"/>
  <c r="AF85" i="17"/>
  <c r="AG85" i="17"/>
  <c r="AF86" i="17"/>
  <c r="AG86" i="17"/>
  <c r="AF87" i="17"/>
  <c r="AH87" i="17"/>
  <c r="AF88" i="17"/>
  <c r="AF90" i="17"/>
  <c r="AF91" i="17"/>
  <c r="AH91" i="17"/>
  <c r="AF92" i="17"/>
  <c r="AF94" i="17"/>
  <c r="AF95" i="17"/>
  <c r="AH95" i="17"/>
  <c r="AF96" i="17"/>
  <c r="AF97" i="17"/>
  <c r="AF98" i="17"/>
  <c r="AG98" i="17"/>
  <c r="AF99" i="17"/>
  <c r="AH99" i="17"/>
  <c r="AF100" i="17"/>
  <c r="AF101" i="17"/>
  <c r="AG101" i="17"/>
  <c r="AF103" i="17"/>
  <c r="AH103" i="17"/>
  <c r="AF104" i="17"/>
  <c r="AF106" i="17"/>
  <c r="AG106" i="17"/>
  <c r="AF107" i="17"/>
  <c r="AH107" i="17"/>
  <c r="AF108" i="17"/>
  <c r="AF109" i="17"/>
  <c r="AF110" i="17"/>
  <c r="AG110" i="17"/>
  <c r="AF111" i="17"/>
  <c r="AH111" i="17"/>
  <c r="AF112" i="17"/>
  <c r="AF113" i="17"/>
  <c r="AF114" i="17"/>
  <c r="AG114" i="17"/>
  <c r="AG84" i="17"/>
  <c r="AG88" i="17"/>
  <c r="AG89" i="17"/>
  <c r="AG90" i="17"/>
  <c r="AG92" i="17"/>
  <c r="AG93" i="17"/>
  <c r="AG94" i="17"/>
  <c r="AG96" i="17"/>
  <c r="AI96" i="17"/>
  <c r="AG97" i="17"/>
  <c r="AG100" i="17"/>
  <c r="AG102" i="17"/>
  <c r="AG104" i="17"/>
  <c r="AG105" i="17"/>
  <c r="AG108" i="17"/>
  <c r="AI108" i="17"/>
  <c r="AG109" i="17"/>
  <c r="AG112" i="17"/>
  <c r="AI112" i="17"/>
  <c r="AG113" i="17"/>
  <c r="AH85" i="17"/>
  <c r="AH86" i="17"/>
  <c r="AH90" i="17"/>
  <c r="AH96" i="17"/>
  <c r="AH97" i="17"/>
  <c r="AH101" i="17"/>
  <c r="AH106" i="17"/>
  <c r="AH108" i="17"/>
  <c r="AH112" i="17"/>
  <c r="AH113" i="17"/>
  <c r="AI114" i="17"/>
  <c r="K123" i="17"/>
  <c r="R123" i="17"/>
  <c r="S123" i="17"/>
  <c r="Y123" i="17"/>
  <c r="Z123" i="17"/>
  <c r="AF123" i="17"/>
  <c r="AJ123" i="17"/>
  <c r="K124" i="17"/>
  <c r="R124" i="17"/>
  <c r="S124" i="17"/>
  <c r="Y124" i="17"/>
  <c r="Z124" i="17"/>
  <c r="AF124" i="17"/>
  <c r="AG124" i="17"/>
  <c r="AJ124" i="17"/>
  <c r="K125" i="17"/>
  <c r="R125" i="17"/>
  <c r="S125" i="17"/>
  <c r="Y125" i="17"/>
  <c r="Z125" i="17"/>
  <c r="AF125" i="17"/>
  <c r="AG125" i="17"/>
  <c r="AJ125" i="17"/>
  <c r="R126" i="17"/>
  <c r="S126" i="17"/>
  <c r="R127" i="17"/>
  <c r="S127" i="17"/>
  <c r="R128" i="17"/>
  <c r="S128" i="17"/>
  <c r="R129" i="17"/>
  <c r="R130" i="17"/>
  <c r="S130" i="17"/>
  <c r="R131" i="17"/>
  <c r="R132" i="17"/>
  <c r="R133" i="17"/>
  <c r="R134" i="17"/>
  <c r="S134" i="17"/>
  <c r="R135" i="17"/>
  <c r="R136" i="17"/>
  <c r="R137" i="17"/>
  <c r="R138" i="17"/>
  <c r="S138" i="17"/>
  <c r="R139" i="17"/>
  <c r="R140" i="17"/>
  <c r="R141" i="17"/>
  <c r="R142" i="17"/>
  <c r="S142" i="17"/>
  <c r="Y142" i="17"/>
  <c r="Z142" i="17"/>
  <c r="AF142" i="17"/>
  <c r="AG142" i="17"/>
  <c r="AI142" i="17"/>
  <c r="R143" i="17"/>
  <c r="R144" i="17"/>
  <c r="R145" i="17"/>
  <c r="R146" i="17"/>
  <c r="S146" i="17"/>
  <c r="R147" i="17"/>
  <c r="R148" i="17"/>
  <c r="R149" i="17"/>
  <c r="R150" i="17"/>
  <c r="S150" i="17"/>
  <c r="R151" i="17"/>
  <c r="R152" i="17"/>
  <c r="R153" i="17"/>
  <c r="R154" i="17"/>
  <c r="S154" i="17"/>
  <c r="R155" i="17"/>
  <c r="R156" i="17"/>
  <c r="R157" i="17"/>
  <c r="R158" i="17"/>
  <c r="S158" i="17"/>
  <c r="Y158" i="17"/>
  <c r="Z158" i="17"/>
  <c r="AF158" i="17"/>
  <c r="AG158" i="17"/>
  <c r="AI158" i="17"/>
  <c r="R159" i="17"/>
  <c r="R160" i="17"/>
  <c r="R161" i="17"/>
  <c r="R162" i="17"/>
  <c r="S162" i="17"/>
  <c r="R163" i="17"/>
  <c r="R164" i="17"/>
  <c r="R165" i="17"/>
  <c r="R166" i="17"/>
  <c r="S166" i="17"/>
  <c r="R167" i="17"/>
  <c r="R168" i="17"/>
  <c r="R169" i="17"/>
  <c r="R170" i="17"/>
  <c r="S170" i="17"/>
  <c r="R171" i="17"/>
  <c r="R172" i="17"/>
  <c r="R173" i="17"/>
  <c r="R174" i="17"/>
  <c r="S174" i="17"/>
  <c r="Y174" i="17"/>
  <c r="Z174" i="17"/>
  <c r="AF174" i="17"/>
  <c r="AG174" i="17"/>
  <c r="AI174" i="17"/>
  <c r="R175" i="17"/>
  <c r="R176" i="17"/>
  <c r="R177" i="17"/>
  <c r="R178" i="17"/>
  <c r="S178" i="17"/>
  <c r="R179" i="17"/>
  <c r="R180" i="17"/>
  <c r="R181" i="17"/>
  <c r="R182" i="17"/>
  <c r="S182" i="17"/>
  <c r="R183" i="17"/>
  <c r="R184" i="17"/>
  <c r="R185" i="17"/>
  <c r="R186" i="17"/>
  <c r="S186" i="17"/>
  <c r="R187" i="17"/>
  <c r="R188" i="17"/>
  <c r="R189" i="17"/>
  <c r="R190" i="17"/>
  <c r="S190" i="17"/>
  <c r="Y190" i="17"/>
  <c r="Z190" i="17"/>
  <c r="AF190" i="17"/>
  <c r="AG190" i="17"/>
  <c r="AI190" i="17"/>
  <c r="R191" i="17"/>
  <c r="R192" i="17"/>
  <c r="R193" i="17"/>
  <c r="R194" i="17"/>
  <c r="S194" i="17"/>
  <c r="R195" i="17"/>
  <c r="R196" i="17"/>
  <c r="R197" i="17"/>
  <c r="R198" i="17"/>
  <c r="S198" i="17"/>
  <c r="R199" i="17"/>
  <c r="R200" i="17"/>
  <c r="R201" i="17"/>
  <c r="R202" i="17"/>
  <c r="S202" i="17"/>
  <c r="R203" i="17"/>
  <c r="R204" i="17"/>
  <c r="R205" i="17"/>
  <c r="R206" i="17"/>
  <c r="S206" i="17"/>
  <c r="Y206" i="17"/>
  <c r="Z206" i="17"/>
  <c r="AF206" i="17"/>
  <c r="AG206" i="17"/>
  <c r="AI206" i="17"/>
  <c r="R207" i="17"/>
  <c r="R208" i="17"/>
  <c r="R209" i="17"/>
  <c r="R210" i="17"/>
  <c r="S210" i="17"/>
  <c r="R211" i="17"/>
  <c r="R212" i="17"/>
  <c r="R213" i="17"/>
  <c r="R214" i="17"/>
  <c r="S214" i="17"/>
  <c r="R215" i="17"/>
  <c r="R216" i="17"/>
  <c r="R217" i="17"/>
  <c r="R218" i="17"/>
  <c r="S218" i="17"/>
  <c r="R219" i="17"/>
  <c r="R220" i="17"/>
  <c r="R221" i="17"/>
  <c r="R222" i="17"/>
  <c r="Y222" i="17"/>
  <c r="AF222" i="17"/>
  <c r="AH222" i="17"/>
  <c r="R223" i="17"/>
  <c r="S129" i="17"/>
  <c r="S131" i="17"/>
  <c r="Y131" i="17"/>
  <c r="Z131" i="17"/>
  <c r="AF131" i="17"/>
  <c r="AG131" i="17"/>
  <c r="AI131" i="17"/>
  <c r="S132" i="17"/>
  <c r="S133" i="17"/>
  <c r="S135" i="17"/>
  <c r="S136" i="17"/>
  <c r="S137" i="17"/>
  <c r="S139" i="17"/>
  <c r="Y139" i="17"/>
  <c r="Z139" i="17"/>
  <c r="AF139" i="17"/>
  <c r="AG139" i="17"/>
  <c r="AI139" i="17"/>
  <c r="S140" i="17"/>
  <c r="S141" i="17"/>
  <c r="S143" i="17"/>
  <c r="S144" i="17"/>
  <c r="S145" i="17"/>
  <c r="S147" i="17"/>
  <c r="S148" i="17"/>
  <c r="S149" i="17"/>
  <c r="S151" i="17"/>
  <c r="S152" i="17"/>
  <c r="S153" i="17"/>
  <c r="S155" i="17"/>
  <c r="S156" i="17"/>
  <c r="S157" i="17"/>
  <c r="S159" i="17"/>
  <c r="Y159" i="17"/>
  <c r="Z159" i="17"/>
  <c r="AF159" i="17"/>
  <c r="AG159" i="17"/>
  <c r="AI159" i="17"/>
  <c r="S160" i="17"/>
  <c r="S161" i="17"/>
  <c r="S163" i="17"/>
  <c r="S164" i="17"/>
  <c r="S165" i="17"/>
  <c r="S167" i="17"/>
  <c r="S168" i="17"/>
  <c r="S169" i="17"/>
  <c r="S171" i="17"/>
  <c r="Y171" i="17"/>
  <c r="Z171" i="17"/>
  <c r="AF171" i="17"/>
  <c r="AG171" i="17"/>
  <c r="AI171" i="17"/>
  <c r="S172" i="17"/>
  <c r="S173" i="17"/>
  <c r="S175" i="17"/>
  <c r="S176" i="17"/>
  <c r="S177" i="17"/>
  <c r="S179" i="17"/>
  <c r="Y179" i="17"/>
  <c r="Z179" i="17"/>
  <c r="AF179" i="17"/>
  <c r="AG179" i="17"/>
  <c r="AI179" i="17"/>
  <c r="S180" i="17"/>
  <c r="S181" i="17"/>
  <c r="S183" i="17"/>
  <c r="S184" i="17"/>
  <c r="S185" i="17"/>
  <c r="S187" i="17"/>
  <c r="S188" i="17"/>
  <c r="S189" i="17"/>
  <c r="S191" i="17"/>
  <c r="S192" i="17"/>
  <c r="S193" i="17"/>
  <c r="S195" i="17"/>
  <c r="Y195" i="17"/>
  <c r="Z195" i="17"/>
  <c r="AF195" i="17"/>
  <c r="AG195" i="17"/>
  <c r="AI195" i="17"/>
  <c r="S196" i="17"/>
  <c r="S197" i="17"/>
  <c r="S199" i="17"/>
  <c r="S200" i="17"/>
  <c r="S201" i="17"/>
  <c r="S203" i="17"/>
  <c r="Y203" i="17"/>
  <c r="Z203" i="17"/>
  <c r="AF203" i="17"/>
  <c r="AG203" i="17"/>
  <c r="AI203" i="17"/>
  <c r="S204" i="17"/>
  <c r="S205" i="17"/>
  <c r="S207" i="17"/>
  <c r="S208" i="17"/>
  <c r="S209" i="17"/>
  <c r="S211" i="17"/>
  <c r="S212" i="17"/>
  <c r="S213" i="17"/>
  <c r="S215" i="17"/>
  <c r="S216" i="17"/>
  <c r="S217" i="17"/>
  <c r="S219" i="17"/>
  <c r="Y219" i="17"/>
  <c r="Z219" i="17"/>
  <c r="AF219" i="17"/>
  <c r="AG219" i="17"/>
  <c r="AI219" i="17"/>
  <c r="S220" i="17"/>
  <c r="S221" i="17"/>
  <c r="S223" i="17"/>
  <c r="Y223" i="17"/>
  <c r="Z223" i="17"/>
  <c r="AF223" i="17"/>
  <c r="AG223" i="17"/>
  <c r="AI223" i="17"/>
  <c r="Y126" i="17"/>
  <c r="Z126" i="17"/>
  <c r="Y127" i="17"/>
  <c r="Z127" i="17"/>
  <c r="Y128" i="17"/>
  <c r="Z128" i="17"/>
  <c r="Y129" i="17"/>
  <c r="Z129" i="17"/>
  <c r="Y130" i="17"/>
  <c r="Y132" i="17"/>
  <c r="Y133" i="17"/>
  <c r="Z133" i="17"/>
  <c r="AF133" i="17"/>
  <c r="AG133" i="17"/>
  <c r="AI133" i="17"/>
  <c r="Y134" i="17"/>
  <c r="Y135" i="17"/>
  <c r="Z135" i="17"/>
  <c r="Y136" i="17"/>
  <c r="Z136" i="17"/>
  <c r="Y137" i="17"/>
  <c r="Y138" i="17"/>
  <c r="Y140" i="17"/>
  <c r="Y141" i="17"/>
  <c r="Z141" i="17"/>
  <c r="Y143" i="17"/>
  <c r="Z143" i="17"/>
  <c r="Y144" i="17"/>
  <c r="Z144" i="17"/>
  <c r="Y145" i="17"/>
  <c r="Z145" i="17"/>
  <c r="Y146" i="17"/>
  <c r="Y147" i="17"/>
  <c r="Z147" i="17"/>
  <c r="Y148" i="17"/>
  <c r="Y149" i="17"/>
  <c r="Z149" i="17"/>
  <c r="AF149" i="17"/>
  <c r="AG149" i="17"/>
  <c r="AI149" i="17"/>
  <c r="Y150" i="17"/>
  <c r="Y151" i="17"/>
  <c r="Z151" i="17"/>
  <c r="Y152" i="17"/>
  <c r="Z152" i="17"/>
  <c r="Y153" i="17"/>
  <c r="Y154" i="17"/>
  <c r="Y155" i="17"/>
  <c r="Z155" i="17"/>
  <c r="Y156" i="17"/>
  <c r="Y157" i="17"/>
  <c r="Z157" i="17"/>
  <c r="Y160" i="17"/>
  <c r="Z160" i="17"/>
  <c r="Y161" i="17"/>
  <c r="Z161" i="17"/>
  <c r="Y162" i="17"/>
  <c r="Y163" i="17"/>
  <c r="Z163" i="17"/>
  <c r="Y164" i="17"/>
  <c r="Y165" i="17"/>
  <c r="Z165" i="17"/>
  <c r="AF165" i="17"/>
  <c r="AG165" i="17"/>
  <c r="AI165" i="17"/>
  <c r="Y166" i="17"/>
  <c r="Y167" i="17"/>
  <c r="Z167" i="17"/>
  <c r="Y168" i="17"/>
  <c r="Z168" i="17"/>
  <c r="Y169" i="17"/>
  <c r="Y170" i="17"/>
  <c r="Y172" i="17"/>
  <c r="Y173" i="17"/>
  <c r="Z173" i="17"/>
  <c r="AF173" i="17"/>
  <c r="AG173" i="17"/>
  <c r="AI173" i="17"/>
  <c r="Y175" i="17"/>
  <c r="Z175" i="17"/>
  <c r="Y176" i="17"/>
  <c r="Z176" i="17"/>
  <c r="Y177" i="17"/>
  <c r="Z177" i="17"/>
  <c r="AF177" i="17"/>
  <c r="AG177" i="17"/>
  <c r="AI177" i="17"/>
  <c r="Y178" i="17"/>
  <c r="Y180" i="17"/>
  <c r="Y181" i="17"/>
  <c r="Z181" i="17"/>
  <c r="Y182" i="17"/>
  <c r="Y183" i="17"/>
  <c r="Z183" i="17"/>
  <c r="Y184" i="17"/>
  <c r="Z184" i="17"/>
  <c r="Y185" i="17"/>
  <c r="Y186" i="17"/>
  <c r="Y187" i="17"/>
  <c r="Z187" i="17"/>
  <c r="Y188" i="17"/>
  <c r="Y189" i="17"/>
  <c r="Z189" i="17"/>
  <c r="AF189" i="17"/>
  <c r="AG189" i="17"/>
  <c r="AI189" i="17"/>
  <c r="Y191" i="17"/>
  <c r="Z191" i="17"/>
  <c r="Y192" i="17"/>
  <c r="Z192" i="17"/>
  <c r="Y193" i="17"/>
  <c r="Z193" i="17"/>
  <c r="AF193" i="17"/>
  <c r="AG193" i="17"/>
  <c r="AI193" i="17"/>
  <c r="Y194" i="17"/>
  <c r="Y196" i="17"/>
  <c r="Y197" i="17"/>
  <c r="Z197" i="17"/>
  <c r="AF197" i="17"/>
  <c r="AG197" i="17"/>
  <c r="AI197" i="17"/>
  <c r="Y198" i="17"/>
  <c r="Y199" i="17"/>
  <c r="Z199" i="17"/>
  <c r="Y200" i="17"/>
  <c r="Z200" i="17"/>
  <c r="Y201" i="17"/>
  <c r="Y202" i="17"/>
  <c r="Y204" i="17"/>
  <c r="Y205" i="17"/>
  <c r="Z205" i="17"/>
  <c r="AF205" i="17"/>
  <c r="AG205" i="17"/>
  <c r="AI205" i="17"/>
  <c r="Y207" i="17"/>
  <c r="Z207" i="17"/>
  <c r="Y208" i="17"/>
  <c r="Z208" i="17"/>
  <c r="Y209" i="17"/>
  <c r="Z209" i="17"/>
  <c r="AF209" i="17"/>
  <c r="AG209" i="17"/>
  <c r="AI209" i="17"/>
  <c r="Y210" i="17"/>
  <c r="Y211" i="17"/>
  <c r="Z211" i="17"/>
  <c r="Y212" i="17"/>
  <c r="Y213" i="17"/>
  <c r="Z213" i="17"/>
  <c r="AF213" i="17"/>
  <c r="AG213" i="17"/>
  <c r="AI213" i="17"/>
  <c r="Y214" i="17"/>
  <c r="Y215" i="17"/>
  <c r="Z215" i="17"/>
  <c r="Y216" i="17"/>
  <c r="Z216" i="17"/>
  <c r="Y217" i="17"/>
  <c r="Z217" i="17"/>
  <c r="AF217" i="17"/>
  <c r="AG217" i="17"/>
  <c r="AI217" i="17"/>
  <c r="Y218" i="17"/>
  <c r="Y220" i="17"/>
  <c r="Y221" i="17"/>
  <c r="Z221" i="17"/>
  <c r="Z130" i="17"/>
  <c r="Z132" i="17"/>
  <c r="AF132" i="17"/>
  <c r="AG132" i="17"/>
  <c r="AI132" i="17"/>
  <c r="Z134" i="17"/>
  <c r="Z138" i="17"/>
  <c r="Z140" i="17"/>
  <c r="Z146" i="17"/>
  <c r="Z148" i="17"/>
  <c r="Z150" i="17"/>
  <c r="Z154" i="17"/>
  <c r="Z156" i="17"/>
  <c r="Z162" i="17"/>
  <c r="Z164" i="17"/>
  <c r="AF164" i="17"/>
  <c r="AG164" i="17"/>
  <c r="AI164" i="17"/>
  <c r="Z166" i="17"/>
  <c r="Z170" i="17"/>
  <c r="Z172" i="17"/>
  <c r="Z178" i="17"/>
  <c r="Z180" i="17"/>
  <c r="AF180" i="17"/>
  <c r="AG180" i="17"/>
  <c r="AI180" i="17"/>
  <c r="Z182" i="17"/>
  <c r="Z186" i="17"/>
  <c r="Z188" i="17"/>
  <c r="Z194" i="17"/>
  <c r="Z196" i="17"/>
  <c r="Z198" i="17"/>
  <c r="Z202" i="17"/>
  <c r="Z204" i="17"/>
  <c r="Z210" i="17"/>
  <c r="Z212" i="17"/>
  <c r="AF212" i="17"/>
  <c r="AG212" i="17"/>
  <c r="AI212" i="17"/>
  <c r="Z214" i="17"/>
  <c r="Z218" i="17"/>
  <c r="Z220" i="17"/>
  <c r="Z222" i="17"/>
  <c r="AF126" i="17"/>
  <c r="AG126" i="17"/>
  <c r="AF127" i="17"/>
  <c r="AG127" i="17"/>
  <c r="AF128" i="17"/>
  <c r="AG128" i="17"/>
  <c r="AF129" i="17"/>
  <c r="AF130" i="17"/>
  <c r="AG130" i="17"/>
  <c r="AF134" i="17"/>
  <c r="AG134" i="17"/>
  <c r="AF135" i="17"/>
  <c r="AG135" i="17"/>
  <c r="AI135" i="17"/>
  <c r="AF136" i="17"/>
  <c r="AG136" i="17"/>
  <c r="AF137" i="17"/>
  <c r="AF138" i="17"/>
  <c r="AG138" i="17"/>
  <c r="AF140" i="17"/>
  <c r="AG140" i="17"/>
  <c r="AF141" i="17"/>
  <c r="AF143" i="17"/>
  <c r="AG143" i="17"/>
  <c r="AF144" i="17"/>
  <c r="AG144" i="17"/>
  <c r="AF145" i="17"/>
  <c r="AF146" i="17"/>
  <c r="AG146" i="17"/>
  <c r="AF147" i="17"/>
  <c r="AG147" i="17"/>
  <c r="AF148" i="17"/>
  <c r="AG148" i="17"/>
  <c r="AF150" i="17"/>
  <c r="AG150" i="17"/>
  <c r="AF151" i="17"/>
  <c r="AG151" i="17"/>
  <c r="AI151" i="17"/>
  <c r="AF152" i="17"/>
  <c r="AG152" i="17"/>
  <c r="AF153" i="17"/>
  <c r="AF154" i="17"/>
  <c r="AG154" i="17"/>
  <c r="AF155" i="17"/>
  <c r="AG155" i="17"/>
  <c r="AF156" i="17"/>
  <c r="AG156" i="17"/>
  <c r="AF157" i="17"/>
  <c r="AF160" i="17"/>
  <c r="AG160" i="17"/>
  <c r="AF161" i="17"/>
  <c r="AF162" i="17"/>
  <c r="AG162" i="17"/>
  <c r="AF163" i="17"/>
  <c r="AG163" i="17"/>
  <c r="AF166" i="17"/>
  <c r="AG166" i="17"/>
  <c r="AF167" i="17"/>
  <c r="AG167" i="17"/>
  <c r="AF168" i="17"/>
  <c r="AG168" i="17"/>
  <c r="AF169" i="17"/>
  <c r="AF170" i="17"/>
  <c r="AG170" i="17"/>
  <c r="AH171" i="17"/>
  <c r="AF172" i="17"/>
  <c r="AG172" i="17"/>
  <c r="AF175" i="17"/>
  <c r="AG175" i="17"/>
  <c r="AF176" i="17"/>
  <c r="AG176" i="17"/>
  <c r="AF178" i="17"/>
  <c r="AG178" i="17"/>
  <c r="AF181" i="17"/>
  <c r="AF182" i="17"/>
  <c r="AG182" i="17"/>
  <c r="AF183" i="17"/>
  <c r="AG183" i="17"/>
  <c r="AF184" i="17"/>
  <c r="AG184" i="17"/>
  <c r="AF185" i="17"/>
  <c r="AF186" i="17"/>
  <c r="AG186" i="17"/>
  <c r="AF187" i="17"/>
  <c r="AF188" i="17"/>
  <c r="AG188" i="17"/>
  <c r="AF191" i="17"/>
  <c r="AG191" i="17"/>
  <c r="AI191" i="17"/>
  <c r="AF192" i="17"/>
  <c r="AG192" i="17"/>
  <c r="AF194" i="17"/>
  <c r="AG194" i="17"/>
  <c r="AF196" i="17"/>
  <c r="AG196" i="17"/>
  <c r="AF198" i="17"/>
  <c r="AG198" i="17"/>
  <c r="AF199" i="17"/>
  <c r="AG199" i="17"/>
  <c r="AF200" i="17"/>
  <c r="AG200" i="17"/>
  <c r="AF201" i="17"/>
  <c r="AF202" i="17"/>
  <c r="AG202" i="17"/>
  <c r="AF204" i="17"/>
  <c r="AG204" i="17"/>
  <c r="AF207" i="17"/>
  <c r="AG207" i="17"/>
  <c r="AF208" i="17"/>
  <c r="AG208" i="17"/>
  <c r="AF210" i="17"/>
  <c r="AG210" i="17"/>
  <c r="AF211" i="17"/>
  <c r="AH211" i="17"/>
  <c r="AF214" i="17"/>
  <c r="AG214" i="17"/>
  <c r="AF215" i="17"/>
  <c r="AG215" i="17"/>
  <c r="AF216" i="17"/>
  <c r="AG216" i="17"/>
  <c r="AF218" i="17"/>
  <c r="AG218" i="17"/>
  <c r="AH219" i="17"/>
  <c r="AF220" i="17"/>
  <c r="AF221" i="17"/>
  <c r="AG222" i="17"/>
  <c r="AG129" i="17"/>
  <c r="AG137" i="17"/>
  <c r="AG141" i="17"/>
  <c r="AG145" i="17"/>
  <c r="AG153" i="17"/>
  <c r="AG157" i="17"/>
  <c r="AG161" i="17"/>
  <c r="AG169" i="17"/>
  <c r="AG181" i="17"/>
  <c r="AG185" i="17"/>
  <c r="AG187" i="17"/>
  <c r="AG201" i="17"/>
  <c r="AG211" i="17"/>
  <c r="AG220" i="17"/>
  <c r="AG221" i="17"/>
  <c r="AH129" i="17"/>
  <c r="AH136" i="17"/>
  <c r="AH140" i="17"/>
  <c r="AH144" i="17"/>
  <c r="AH151" i="17"/>
  <c r="AH152" i="17"/>
  <c r="AH156" i="17"/>
  <c r="AH157" i="17"/>
  <c r="AH160" i="17"/>
  <c r="AH165" i="17"/>
  <c r="AH168" i="17"/>
  <c r="AH172" i="17"/>
  <c r="AH176" i="17"/>
  <c r="AH179" i="17"/>
  <c r="AH184" i="17"/>
  <c r="AH187" i="17"/>
  <c r="AH188" i="17"/>
  <c r="AH192" i="17"/>
  <c r="AH193" i="17"/>
  <c r="AH200" i="17"/>
  <c r="AH204" i="17"/>
  <c r="AH208" i="17"/>
  <c r="AH215" i="17"/>
  <c r="AH216" i="17"/>
  <c r="AH220" i="17"/>
  <c r="AI129" i="17"/>
  <c r="AI136" i="17"/>
  <c r="AI140" i="17"/>
  <c r="AI141" i="17"/>
  <c r="AI144" i="17"/>
  <c r="AI145" i="17"/>
  <c r="AI148" i="17"/>
  <c r="AI152" i="17"/>
  <c r="AI156" i="17"/>
  <c r="AI157" i="17"/>
  <c r="AI160" i="17"/>
  <c r="AI161" i="17"/>
  <c r="AI167" i="17"/>
  <c r="AI168" i="17"/>
  <c r="AI172" i="17"/>
  <c r="AI176" i="17"/>
  <c r="AI181" i="17"/>
  <c r="AI184" i="17"/>
  <c r="AI187" i="17"/>
  <c r="AI188" i="17"/>
  <c r="AI192" i="17"/>
  <c r="AI196" i="17"/>
  <c r="AI200" i="17"/>
  <c r="AI204" i="17"/>
  <c r="AI208" i="17"/>
  <c r="AI211" i="17"/>
  <c r="AI216" i="17"/>
  <c r="AI220" i="17"/>
  <c r="AI221" i="17"/>
  <c r="BH15" i="15"/>
  <c r="BG15" i="15"/>
  <c r="BF15" i="15"/>
  <c r="BE15" i="15"/>
  <c r="BD15" i="15"/>
  <c r="BC15" i="15"/>
  <c r="BB15" i="15"/>
  <c r="BA15" i="15"/>
  <c r="AZ15" i="15"/>
  <c r="AY15" i="15"/>
  <c r="AX15" i="15"/>
  <c r="AW15" i="15"/>
  <c r="AK15" i="15"/>
  <c r="L15" i="15"/>
  <c r="M15" i="15"/>
  <c r="BH14" i="15"/>
  <c r="BG14" i="15"/>
  <c r="BF14" i="15"/>
  <c r="BE14" i="15"/>
  <c r="BD14" i="15"/>
  <c r="BC14" i="15"/>
  <c r="BB14" i="15"/>
  <c r="BA14" i="15"/>
  <c r="AZ14" i="15"/>
  <c r="AY14" i="15"/>
  <c r="AX14" i="15"/>
  <c r="AW14" i="15"/>
  <c r="AK14" i="15"/>
  <c r="L14" i="15"/>
  <c r="M14" i="15"/>
  <c r="AK142" i="23"/>
  <c r="L142" i="23"/>
  <c r="M142" i="23"/>
  <c r="AK141" i="23"/>
  <c r="L141" i="23"/>
  <c r="M141" i="23"/>
  <c r="AK140" i="23"/>
  <c r="L140" i="23"/>
  <c r="M140" i="23"/>
  <c r="AK139" i="23"/>
  <c r="L139" i="23"/>
  <c r="M139" i="23"/>
  <c r="AK138" i="23"/>
  <c r="L138" i="23"/>
  <c r="M138" i="23"/>
  <c r="AK94" i="23"/>
  <c r="L94" i="23"/>
  <c r="M94" i="23"/>
  <c r="AK93" i="23"/>
  <c r="L93" i="23"/>
  <c r="M93" i="23"/>
  <c r="AK92" i="23"/>
  <c r="L92" i="23"/>
  <c r="M92" i="23"/>
  <c r="AK91" i="23"/>
  <c r="L91" i="23"/>
  <c r="M91" i="23"/>
  <c r="AK71" i="23"/>
  <c r="L71" i="23"/>
  <c r="M71" i="23"/>
  <c r="AK70" i="23"/>
  <c r="L70" i="23"/>
  <c r="M70" i="23"/>
  <c r="AK69" i="23"/>
  <c r="L69" i="23"/>
  <c r="M69" i="23"/>
  <c r="BH14" i="23"/>
  <c r="BG14" i="23"/>
  <c r="BF14" i="23"/>
  <c r="BE14" i="23"/>
  <c r="BD14" i="23"/>
  <c r="BC14" i="23"/>
  <c r="BB14" i="23"/>
  <c r="BA14" i="23"/>
  <c r="AZ14" i="23"/>
  <c r="AY14" i="23"/>
  <c r="AX14" i="23"/>
  <c r="AW14" i="23"/>
  <c r="AK14" i="23"/>
  <c r="L14" i="23"/>
  <c r="M14" i="23"/>
  <c r="AJ111" i="22"/>
  <c r="K111" i="22"/>
  <c r="L111" i="22"/>
  <c r="AJ68" i="22"/>
  <c r="K68" i="22"/>
  <c r="L68" i="22"/>
  <c r="AJ41" i="22"/>
  <c r="K41" i="22"/>
  <c r="L41" i="22"/>
  <c r="BH14" i="22"/>
  <c r="BG14" i="22"/>
  <c r="BF14" i="22"/>
  <c r="BE14" i="22"/>
  <c r="BD14" i="22"/>
  <c r="BC14" i="22"/>
  <c r="BB14" i="22"/>
  <c r="BA14" i="22"/>
  <c r="AZ14" i="22"/>
  <c r="AY14" i="22"/>
  <c r="AX14" i="22"/>
  <c r="AW14" i="22"/>
  <c r="AJ14" i="22"/>
  <c r="K14" i="22"/>
  <c r="L14" i="22"/>
  <c r="AI175" i="17"/>
  <c r="AI143" i="17"/>
  <c r="AI163" i="17"/>
  <c r="AI147" i="17"/>
  <c r="AI207" i="17"/>
  <c r="AI215" i="17"/>
  <c r="AI199" i="17"/>
  <c r="AI183" i="17"/>
  <c r="AI155" i="17"/>
  <c r="Z201" i="17"/>
  <c r="AI201" i="17"/>
  <c r="AH201" i="17"/>
  <c r="Z185" i="17"/>
  <c r="AI185" i="17"/>
  <c r="AH185" i="17"/>
  <c r="Z169" i="17"/>
  <c r="AI169" i="17"/>
  <c r="AH169" i="17"/>
  <c r="Z153" i="17"/>
  <c r="AH153" i="17"/>
  <c r="Z137" i="17"/>
  <c r="AH137" i="17"/>
  <c r="AH223" i="17"/>
  <c r="AH213" i="17"/>
  <c r="AH205" i="17"/>
  <c r="AH199" i="17"/>
  <c r="AH177" i="17"/>
  <c r="AH163" i="17"/>
  <c r="AH149" i="17"/>
  <c r="AH141" i="17"/>
  <c r="AH135" i="17"/>
  <c r="AH127" i="17"/>
  <c r="AI218" i="17"/>
  <c r="AI214" i="17"/>
  <c r="AI210" i="17"/>
  <c r="AH206" i="17"/>
  <c r="AI202" i="17"/>
  <c r="AI198" i="17"/>
  <c r="AI194" i="17"/>
  <c r="AH190" i="17"/>
  <c r="AI186" i="17"/>
  <c r="AH212" i="17"/>
  <c r="AH196" i="17"/>
  <c r="AH180" i="17"/>
  <c r="AH164" i="17"/>
  <c r="AH148" i="17"/>
  <c r="AH132" i="17"/>
  <c r="S222" i="17"/>
  <c r="AI222" i="17"/>
  <c r="AH92" i="17"/>
  <c r="AI137" i="17"/>
  <c r="AH217" i="17"/>
  <c r="AH197" i="17"/>
  <c r="AH189" i="17"/>
  <c r="AH183" i="17"/>
  <c r="AH161" i="17"/>
  <c r="AH155" i="17"/>
  <c r="AH147" i="17"/>
  <c r="AH133" i="17"/>
  <c r="AJ56" i="17"/>
  <c r="T72" i="17"/>
  <c r="AJ72" i="17"/>
  <c r="AI72" i="17"/>
  <c r="T68" i="17"/>
  <c r="AJ68" i="17"/>
  <c r="AI68" i="17"/>
  <c r="AI64" i="17"/>
  <c r="T64" i="17"/>
  <c r="AJ64" i="17"/>
  <c r="T60" i="17"/>
  <c r="AJ60" i="17"/>
  <c r="AI60" i="17"/>
  <c r="T52" i="17"/>
  <c r="AI52" i="17"/>
  <c r="AH221" i="17"/>
  <c r="AH209" i="17"/>
  <c r="AH203" i="17"/>
  <c r="AH195" i="17"/>
  <c r="AH181" i="17"/>
  <c r="AH173" i="17"/>
  <c r="AH167" i="17"/>
  <c r="AH145" i="17"/>
  <c r="AH139" i="17"/>
  <c r="AH131" i="17"/>
  <c r="AH207" i="17"/>
  <c r="AH191" i="17"/>
  <c r="AH175" i="17"/>
  <c r="AH159" i="17"/>
  <c r="AH143" i="17"/>
  <c r="AH114" i="17"/>
  <c r="AH110" i="17"/>
  <c r="Z110" i="17"/>
  <c r="Z98" i="17"/>
  <c r="AI98" i="17"/>
  <c r="AH98" i="17"/>
  <c r="Z94" i="17"/>
  <c r="AI94" i="17"/>
  <c r="AH94" i="17"/>
  <c r="S104" i="17"/>
  <c r="AH104" i="17"/>
  <c r="AH100" i="17"/>
  <c r="S100" i="17"/>
  <c r="AI100" i="17"/>
  <c r="S88" i="17"/>
  <c r="AH88" i="17"/>
  <c r="S84" i="17"/>
  <c r="AI84" i="17"/>
  <c r="AH84" i="17"/>
  <c r="AI73" i="17"/>
  <c r="AI69" i="17"/>
  <c r="AI65" i="17"/>
  <c r="AI61" i="17"/>
  <c r="AI57" i="17"/>
  <c r="AI53" i="17"/>
  <c r="AI153" i="17"/>
  <c r="AH109" i="17"/>
  <c r="AI104" i="17"/>
  <c r="AI92" i="17"/>
  <c r="S89" i="17"/>
  <c r="AI89" i="17"/>
  <c r="AI110" i="17"/>
  <c r="AI106" i="17"/>
  <c r="AI102" i="17"/>
  <c r="AI90" i="17"/>
  <c r="AI86" i="17"/>
  <c r="AH74" i="17"/>
  <c r="AJ74" i="17"/>
  <c r="AH66" i="17"/>
  <c r="AC55" i="21"/>
  <c r="AC51" i="21"/>
  <c r="AC47" i="21"/>
  <c r="AC43" i="21"/>
  <c r="AC39" i="21"/>
  <c r="AC35" i="21"/>
  <c r="AC31" i="21"/>
  <c r="AC27" i="21"/>
  <c r="AC23" i="21"/>
  <c r="AJ58" i="17"/>
  <c r="AB51" i="21"/>
  <c r="AB46" i="21"/>
  <c r="AI182" i="17"/>
  <c r="AI178" i="17"/>
  <c r="AH174" i="17"/>
  <c r="AI170" i="17"/>
  <c r="AI166" i="17"/>
  <c r="AI162" i="17"/>
  <c r="AH158" i="17"/>
  <c r="AI154" i="17"/>
  <c r="AI150" i="17"/>
  <c r="AI146" i="17"/>
  <c r="AH142" i="17"/>
  <c r="AI138" i="17"/>
  <c r="AI134" i="17"/>
  <c r="AI130" i="17"/>
  <c r="AI88" i="17"/>
  <c r="AH62" i="17"/>
  <c r="AJ62" i="17"/>
  <c r="AH54" i="17"/>
  <c r="AB56" i="21"/>
  <c r="AB48" i="21"/>
  <c r="AB35" i="21"/>
  <c r="AB20" i="21"/>
  <c r="AC53" i="21"/>
  <c r="AC45" i="21"/>
  <c r="AC37" i="21"/>
  <c r="AC29" i="21"/>
  <c r="AC56" i="21"/>
  <c r="AC52" i="21"/>
  <c r="AC48" i="21"/>
  <c r="M36" i="21"/>
  <c r="AC36" i="21"/>
  <c r="M32" i="21"/>
  <c r="AC32" i="21"/>
  <c r="M44" i="21"/>
  <c r="AC44" i="21"/>
  <c r="M40" i="21"/>
  <c r="AC40" i="21"/>
  <c r="M28" i="21"/>
  <c r="AC28" i="21"/>
  <c r="M24" i="21"/>
  <c r="AC24" i="21"/>
  <c r="AH218" i="17"/>
  <c r="AH214" i="17"/>
  <c r="AH210" i="17"/>
  <c r="AH202" i="17"/>
  <c r="AH198" i="17"/>
  <c r="AH194" i="17"/>
  <c r="AH186" i="17"/>
  <c r="AH182" i="17"/>
  <c r="AH178" i="17"/>
  <c r="AH170" i="17"/>
  <c r="AH166" i="17"/>
  <c r="AH162" i="17"/>
  <c r="AH154" i="17"/>
  <c r="AH150" i="17"/>
  <c r="AH146" i="17"/>
  <c r="AH138" i="17"/>
  <c r="AH134" i="17"/>
  <c r="AH130" i="17"/>
  <c r="AC58" i="21"/>
  <c r="AC50" i="21"/>
  <c r="AC42" i="21"/>
  <c r="AC34" i="21"/>
  <c r="AC26" i="21"/>
  <c r="AC54" i="21"/>
  <c r="AC38" i="21"/>
  <c r="AC30" i="21"/>
  <c r="L124" i="17"/>
  <c r="H285" i="62" a="1"/>
  <c r="H285" i="62"/>
  <c r="G285" i="62" a="1"/>
  <c r="G285" i="62"/>
  <c r="AB42" i="21"/>
  <c r="AB38" i="21"/>
  <c r="AB34" i="21"/>
  <c r="AB30" i="21"/>
  <c r="AB26" i="21"/>
  <c r="L123" i="17"/>
  <c r="H284" i="62" a="1"/>
  <c r="H284" i="62"/>
  <c r="G284" i="62" a="1"/>
  <c r="G284" i="62"/>
  <c r="AI113" i="17"/>
  <c r="AI109" i="17"/>
  <c r="AI105" i="17"/>
  <c r="AI101" i="17"/>
  <c r="AI97" i="17"/>
  <c r="AI93" i="17"/>
  <c r="AI85" i="17"/>
  <c r="AI71" i="17"/>
  <c r="AI55" i="17"/>
  <c r="AJ66" i="17"/>
  <c r="AJ52" i="17"/>
  <c r="AB58" i="21"/>
  <c r="AB54" i="21"/>
  <c r="AB50" i="21"/>
  <c r="AB45" i="21"/>
  <c r="AB41" i="21"/>
  <c r="AB37" i="21"/>
  <c r="AB33" i="21"/>
  <c r="AB29" i="21"/>
  <c r="AB25" i="21"/>
  <c r="AC20" i="21"/>
  <c r="AJ70" i="17"/>
  <c r="AJ54" i="17"/>
  <c r="AB57" i="21"/>
  <c r="AB53" i="21"/>
  <c r="AB49" i="21"/>
  <c r="L125" i="17"/>
  <c r="H286" i="62" a="1"/>
  <c r="H286" i="62"/>
  <c r="G286" i="62" a="1"/>
  <c r="G286" i="62"/>
  <c r="AJ71" i="17"/>
  <c r="AJ67" i="17"/>
  <c r="AJ63" i="17"/>
  <c r="AJ59" i="17"/>
  <c r="AJ55" i="17"/>
  <c r="AH126" i="17"/>
  <c r="AI49" i="17"/>
  <c r="AI126" i="17"/>
  <c r="AH128" i="17"/>
  <c r="AI128" i="17"/>
  <c r="AI127" i="17"/>
  <c r="AA21" i="21"/>
  <c r="AC21" i="21"/>
  <c r="AC22" i="21"/>
  <c r="AB22" i="21"/>
  <c r="AC15" i="21"/>
  <c r="AB15" i="21"/>
  <c r="AB19" i="21"/>
  <c r="T19" i="21"/>
  <c r="AC19" i="21"/>
  <c r="AI124" i="17"/>
  <c r="AI125" i="17"/>
  <c r="AH125" i="17"/>
  <c r="AH124" i="17"/>
  <c r="AH123" i="17"/>
  <c r="AH83" i="17"/>
  <c r="AJ50" i="17"/>
  <c r="AJ51" i="17"/>
  <c r="AI51" i="17"/>
  <c r="AI50" i="17"/>
  <c r="AI15" i="17"/>
  <c r="AJ16" i="17"/>
  <c r="AI14" i="17"/>
  <c r="AI16" i="17"/>
  <c r="AC17" i="21"/>
  <c r="AB17" i="21"/>
  <c r="AC18" i="21"/>
  <c r="AB16" i="21"/>
  <c r="T16" i="21"/>
  <c r="AC16" i="21"/>
  <c r="AB18" i="21"/>
  <c r="AB14" i="21"/>
  <c r="M14" i="21"/>
  <c r="AC14" i="21"/>
  <c r="AA46" i="21"/>
  <c r="AC46" i="21"/>
  <c r="AJ14" i="17"/>
  <c r="AJ15" i="17"/>
  <c r="T49" i="17"/>
  <c r="AJ49" i="17"/>
  <c r="AH73" i="17"/>
  <c r="AJ73" i="17"/>
  <c r="AH69" i="17"/>
  <c r="AJ69" i="17"/>
  <c r="AH65" i="17"/>
  <c r="AJ65" i="17"/>
  <c r="AH61" i="17"/>
  <c r="AJ61" i="17"/>
  <c r="AH57" i="17"/>
  <c r="AJ57" i="17"/>
  <c r="AH53" i="17"/>
  <c r="AJ53" i="17"/>
  <c r="S83" i="17"/>
  <c r="AI83" i="17"/>
  <c r="AG111" i="17"/>
  <c r="AI111" i="17"/>
  <c r="AG107" i="17"/>
  <c r="AI107" i="17"/>
  <c r="AG103" i="17"/>
  <c r="AI103" i="17"/>
  <c r="AG99" i="17"/>
  <c r="AI99" i="17"/>
  <c r="AG95" i="17"/>
  <c r="AI95" i="17"/>
  <c r="AG91" i="17"/>
  <c r="AI91" i="17"/>
  <c r="AG87" i="17"/>
  <c r="AI87" i="17"/>
  <c r="AG123" i="17"/>
  <c r="AI123" i="17"/>
  <c r="F18" i="14"/>
  <c r="G18" i="14"/>
  <c r="H18" i="14"/>
  <c r="I18" i="14"/>
  <c r="K19" i="14"/>
  <c r="K18" i="14"/>
  <c r="J19" i="14"/>
  <c r="J18" i="14"/>
  <c r="K15" i="14"/>
  <c r="J15" i="14"/>
  <c r="I15" i="14"/>
  <c r="H15" i="14"/>
  <c r="F15" i="14"/>
  <c r="J14" i="14"/>
  <c r="K14" i="14"/>
  <c r="I14" i="14"/>
  <c r="H14" i="14"/>
  <c r="G14" i="14"/>
  <c r="F14" i="14"/>
  <c r="Z395" i="61"/>
  <c r="AR395" i="61"/>
  <c r="BJ395" i="61"/>
  <c r="BK395" i="61"/>
  <c r="BL395" i="61"/>
  <c r="BM395" i="61"/>
  <c r="BN395" i="61"/>
  <c r="BO395" i="61"/>
  <c r="BP395" i="61"/>
  <c r="BQ395" i="61"/>
  <c r="BR395" i="61"/>
  <c r="Z394" i="61"/>
  <c r="AJ223" i="17"/>
  <c r="AJ222" i="17"/>
  <c r="AJ221" i="17"/>
  <c r="AJ220" i="17"/>
  <c r="AJ219" i="17"/>
  <c r="AJ218" i="17"/>
  <c r="AJ217" i="17"/>
  <c r="AJ216" i="17"/>
  <c r="AJ215" i="17"/>
  <c r="AJ214" i="17"/>
  <c r="AJ213" i="17"/>
  <c r="AJ212" i="17"/>
  <c r="AJ211" i="17"/>
  <c r="AJ210" i="17"/>
  <c r="AJ209" i="17"/>
  <c r="AJ208" i="17"/>
  <c r="AJ207" i="17"/>
  <c r="AJ206" i="17"/>
  <c r="AJ205" i="17"/>
  <c r="AJ204" i="17"/>
  <c r="AJ203" i="17"/>
  <c r="AJ202" i="17"/>
  <c r="AJ201" i="17"/>
  <c r="AJ200" i="17"/>
  <c r="AJ199" i="17"/>
  <c r="AJ198" i="17"/>
  <c r="AJ197" i="17"/>
  <c r="AJ196" i="17"/>
  <c r="AJ195" i="17"/>
  <c r="AJ194" i="17"/>
  <c r="AJ193" i="17"/>
  <c r="AJ192" i="17"/>
  <c r="AJ191" i="17"/>
  <c r="AJ190" i="17"/>
  <c r="AJ189" i="17"/>
  <c r="AJ188" i="17"/>
  <c r="AJ187" i="17"/>
  <c r="AJ186" i="17"/>
  <c r="AJ185" i="17"/>
  <c r="AJ184" i="17"/>
  <c r="AJ183" i="17"/>
  <c r="AJ182" i="17"/>
  <c r="AJ181" i="17"/>
  <c r="AJ180" i="17"/>
  <c r="AJ179" i="17"/>
  <c r="AJ178" i="17"/>
  <c r="AJ177" i="17"/>
  <c r="AJ176" i="17"/>
  <c r="AJ175" i="17"/>
  <c r="AJ174" i="17"/>
  <c r="AJ173" i="17"/>
  <c r="AJ172" i="17"/>
  <c r="AJ171" i="17"/>
  <c r="AJ170" i="17"/>
  <c r="AJ169" i="17"/>
  <c r="AJ168" i="17"/>
  <c r="AJ167" i="17"/>
  <c r="AJ166" i="17"/>
  <c r="AJ165" i="17"/>
  <c r="AJ164" i="17"/>
  <c r="AJ163" i="17"/>
  <c r="AJ162" i="17"/>
  <c r="AJ161" i="17"/>
  <c r="AJ160" i="17"/>
  <c r="AJ159" i="17"/>
  <c r="AJ158" i="17"/>
  <c r="AJ157" i="17"/>
  <c r="AJ156" i="17"/>
  <c r="AJ155" i="17"/>
  <c r="AJ154" i="17"/>
  <c r="AJ153" i="17"/>
  <c r="AJ152" i="17"/>
  <c r="AJ151" i="17"/>
  <c r="AJ150" i="17"/>
  <c r="AJ149" i="17"/>
  <c r="AJ148" i="17"/>
  <c r="AJ147" i="17"/>
  <c r="AJ146" i="17"/>
  <c r="AJ145" i="17"/>
  <c r="AJ144" i="17"/>
  <c r="AJ143" i="17"/>
  <c r="AJ142" i="17"/>
  <c r="AJ141" i="17"/>
  <c r="AJ140" i="17"/>
  <c r="AJ139" i="17"/>
  <c r="AJ138" i="17"/>
  <c r="AJ137" i="17"/>
  <c r="AJ136" i="17"/>
  <c r="AJ135" i="17"/>
  <c r="AJ134" i="17"/>
  <c r="AJ133" i="17"/>
  <c r="AJ132" i="17"/>
  <c r="AJ131" i="17"/>
  <c r="AJ130" i="17"/>
  <c r="AJ129" i="17"/>
  <c r="AJ128" i="17"/>
  <c r="AJ127" i="17"/>
  <c r="AJ126" i="17"/>
  <c r="N166" i="35"/>
  <c r="S252" i="35"/>
  <c r="BF392" i="61" a="1"/>
  <c r="BF392" i="61"/>
  <c r="BF391" i="61" a="1"/>
  <c r="BF391" i="61"/>
  <c r="BF390" i="61" a="1"/>
  <c r="BF390" i="61"/>
  <c r="BF389" i="61" a="1"/>
  <c r="BF389" i="61"/>
  <c r="BF388" i="61" a="1"/>
  <c r="BF388" i="61"/>
  <c r="BF387" i="61" a="1"/>
  <c r="BF387" i="61"/>
  <c r="BF386" i="61" a="1"/>
  <c r="BF386" i="61"/>
  <c r="BF385" i="61" a="1"/>
  <c r="BF385" i="61"/>
  <c r="BF384" i="61" a="1"/>
  <c r="BF384" i="61"/>
  <c r="BF383" i="61" a="1"/>
  <c r="BF383" i="61"/>
  <c r="BF382" i="61" a="1"/>
  <c r="BF382" i="61"/>
  <c r="BF381" i="61" a="1"/>
  <c r="BF381" i="61"/>
  <c r="BF380" i="61" a="1"/>
  <c r="BF380" i="61"/>
  <c r="BF379" i="61" a="1"/>
  <c r="BF379" i="61"/>
  <c r="BF378" i="61" a="1"/>
  <c r="BF378" i="61"/>
  <c r="BF377" i="61" a="1"/>
  <c r="BF377" i="61"/>
  <c r="BF376" i="61" a="1"/>
  <c r="BF376" i="61"/>
  <c r="BF375" i="61" a="1"/>
  <c r="BF375" i="61"/>
  <c r="BF374" i="61" a="1"/>
  <c r="BF374" i="61"/>
  <c r="BF373" i="61" a="1"/>
  <c r="BF373" i="61"/>
  <c r="BF372" i="61" a="1"/>
  <c r="BF372" i="61"/>
  <c r="BF371" i="61" a="1"/>
  <c r="BF371" i="61"/>
  <c r="BF370" i="61" a="1"/>
  <c r="BF370" i="61"/>
  <c r="BF369" i="61" a="1"/>
  <c r="BF369" i="61"/>
  <c r="BF368" i="61" a="1"/>
  <c r="BF368" i="61"/>
  <c r="BF367" i="61" a="1"/>
  <c r="BF367" i="61"/>
  <c r="BF366" i="61" a="1"/>
  <c r="BF366" i="61"/>
  <c r="BF365" i="61" a="1"/>
  <c r="BF365" i="61"/>
  <c r="BF364" i="61" a="1"/>
  <c r="BF364" i="61"/>
  <c r="BF363" i="61" a="1"/>
  <c r="BF363" i="61"/>
  <c r="BF362" i="61" a="1"/>
  <c r="BF362" i="61"/>
  <c r="BF361" i="61" a="1"/>
  <c r="BF361" i="61"/>
  <c r="BF360" i="61" a="1"/>
  <c r="BF360" i="61"/>
  <c r="BF359" i="61" a="1"/>
  <c r="BF359" i="61"/>
  <c r="BF358" i="61" a="1"/>
  <c r="BF358" i="61"/>
  <c r="BF357" i="61" a="1"/>
  <c r="BF357" i="61"/>
  <c r="BF356" i="61" a="1"/>
  <c r="BF356" i="61"/>
  <c r="BF355" i="61" a="1"/>
  <c r="BF355" i="61"/>
  <c r="BF354" i="61" a="1"/>
  <c r="BF354" i="61"/>
  <c r="BF353" i="61" a="1"/>
  <c r="BF353" i="61"/>
  <c r="BF352" i="61" a="1"/>
  <c r="BF352" i="61"/>
  <c r="BF351" i="61" a="1"/>
  <c r="BF351" i="61"/>
  <c r="BF350" i="61" a="1"/>
  <c r="BF350" i="61"/>
  <c r="BF349" i="61" a="1"/>
  <c r="BF349" i="61"/>
  <c r="BF348" i="61" a="1"/>
  <c r="BF348" i="61"/>
  <c r="BF347" i="61" a="1"/>
  <c r="BF347" i="61"/>
  <c r="BF346" i="61" a="1"/>
  <c r="BF346" i="61"/>
  <c r="BF345" i="61" a="1"/>
  <c r="BF345" i="61"/>
  <c r="BF344" i="61" a="1"/>
  <c r="BF344" i="61"/>
  <c r="BF343" i="61" a="1"/>
  <c r="BF343" i="61"/>
  <c r="BF342" i="61" a="1"/>
  <c r="BF342" i="61"/>
  <c r="BF341" i="61" a="1"/>
  <c r="BF341" i="61"/>
  <c r="BF340" i="61" a="1"/>
  <c r="BF340" i="61"/>
  <c r="BF339" i="61" a="1"/>
  <c r="BF339" i="61"/>
  <c r="BF338" i="61" a="1"/>
  <c r="BF338" i="61"/>
  <c r="BF337" i="61" a="1"/>
  <c r="BF337" i="61"/>
  <c r="BF336" i="61" a="1"/>
  <c r="BF336" i="61"/>
  <c r="BF335" i="61" a="1"/>
  <c r="BF335" i="61"/>
  <c r="BF334" i="61" a="1"/>
  <c r="BF334" i="61"/>
  <c r="BF333" i="61" a="1"/>
  <c r="BF333" i="61"/>
  <c r="BF332" i="61" a="1"/>
  <c r="BF332" i="61"/>
  <c r="BF331" i="61" a="1"/>
  <c r="BF331" i="61"/>
  <c r="BF330" i="61" a="1"/>
  <c r="BF330" i="61"/>
  <c r="BF329" i="61" a="1"/>
  <c r="BF329" i="61"/>
  <c r="BF328" i="61" a="1"/>
  <c r="BF328" i="61"/>
  <c r="BF327" i="61" a="1"/>
  <c r="BF327" i="61"/>
  <c r="BF326" i="61" a="1"/>
  <c r="BF326" i="61"/>
  <c r="BF325" i="61" a="1"/>
  <c r="BF325" i="61"/>
  <c r="BF324" i="61" a="1"/>
  <c r="BF324" i="61"/>
  <c r="BF323" i="61" a="1"/>
  <c r="BF323" i="61"/>
  <c r="BF322" i="61" a="1"/>
  <c r="BF322" i="61"/>
  <c r="BF321" i="61" a="1"/>
  <c r="BF321" i="61"/>
  <c r="BF320" i="61" a="1"/>
  <c r="BF320" i="61"/>
  <c r="BF319" i="61" a="1"/>
  <c r="BF319" i="61"/>
  <c r="BF318" i="61" a="1"/>
  <c r="BF318" i="61"/>
  <c r="BF317" i="61" a="1"/>
  <c r="BF317" i="61"/>
  <c r="BF316" i="61" a="1"/>
  <c r="BF316" i="61"/>
  <c r="BF315" i="61" a="1"/>
  <c r="BF315" i="61"/>
  <c r="BF314" i="61" a="1"/>
  <c r="BF314" i="61"/>
  <c r="BF313" i="61" a="1"/>
  <c r="BF313" i="61"/>
  <c r="BF312" i="61" a="1"/>
  <c r="BF312" i="61"/>
  <c r="BF311" i="61" a="1"/>
  <c r="BF311" i="61"/>
  <c r="BF310" i="61" a="1"/>
  <c r="BF310" i="61"/>
  <c r="BF309" i="61" a="1"/>
  <c r="BF309" i="61"/>
  <c r="BF308" i="61" a="1"/>
  <c r="BF308" i="61"/>
  <c r="BF307" i="61" a="1"/>
  <c r="BF307" i="61"/>
  <c r="BF306" i="61" a="1"/>
  <c r="BF306" i="61"/>
  <c r="BF305" i="61" a="1"/>
  <c r="BF305" i="61"/>
  <c r="BF304" i="61" a="1"/>
  <c r="BF304" i="61"/>
  <c r="BF303" i="61" a="1"/>
  <c r="BF303" i="61"/>
  <c r="BF302" i="61" a="1"/>
  <c r="BF302" i="61"/>
  <c r="BF301" i="61" a="1"/>
  <c r="BF301" i="61"/>
  <c r="BF300" i="61" a="1"/>
  <c r="BF300" i="61"/>
  <c r="BF299" i="61" a="1"/>
  <c r="BF299" i="61"/>
  <c r="BF298" i="61" a="1"/>
  <c r="BF298" i="61"/>
  <c r="BF297" i="61" a="1"/>
  <c r="BF297" i="61"/>
  <c r="BF296" i="61" a="1"/>
  <c r="BF296" i="61"/>
  <c r="BF295" i="61" a="1"/>
  <c r="BF295" i="61"/>
  <c r="BF294" i="61" a="1"/>
  <c r="BF294" i="61"/>
  <c r="BF293" i="61" a="1"/>
  <c r="BF293" i="61"/>
  <c r="BF292" i="61" a="1"/>
  <c r="BF292" i="61"/>
  <c r="BF291" i="61" a="1"/>
  <c r="BF291" i="61"/>
  <c r="BF290" i="61" a="1"/>
  <c r="BF290" i="61"/>
  <c r="BF289" i="61" a="1"/>
  <c r="BF289" i="61"/>
  <c r="BF288" i="61" a="1"/>
  <c r="BF288" i="61"/>
  <c r="BF287" i="61" a="1"/>
  <c r="BF287" i="61"/>
  <c r="BF286" i="61" a="1"/>
  <c r="BF286" i="61"/>
  <c r="BF285" i="61" a="1"/>
  <c r="BF285" i="61"/>
  <c r="BF284" i="61" a="1"/>
  <c r="BF284" i="61"/>
  <c r="BF283" i="61" a="1"/>
  <c r="BF283" i="61"/>
  <c r="BF282" i="61" a="1"/>
  <c r="BF282" i="61"/>
  <c r="BF281" i="61" a="1"/>
  <c r="BF281" i="61"/>
  <c r="BF280" i="61" a="1"/>
  <c r="BF280" i="61"/>
  <c r="BF279" i="61" a="1"/>
  <c r="BF279" i="61"/>
  <c r="BF278" i="61" a="1"/>
  <c r="BF278" i="61"/>
  <c r="BF277" i="61" a="1"/>
  <c r="BF277" i="61"/>
  <c r="BF276" i="61" a="1"/>
  <c r="BF276" i="61"/>
  <c r="BF275" i="61" a="1"/>
  <c r="BF275" i="61"/>
  <c r="BF274" i="61" a="1"/>
  <c r="BF274" i="61"/>
  <c r="BF273" i="61" a="1"/>
  <c r="BF273" i="61"/>
  <c r="BF272" i="61" a="1"/>
  <c r="BF272" i="61"/>
  <c r="BF271" i="61" a="1"/>
  <c r="BF271" i="61"/>
  <c r="BF270" i="61" a="1"/>
  <c r="BF270" i="61"/>
  <c r="BF395" i="61"/>
  <c r="AR394" i="61"/>
  <c r="BJ394" i="61"/>
  <c r="BK394" i="61"/>
  <c r="BL394" i="61"/>
  <c r="BM394" i="61"/>
  <c r="BN394" i="61"/>
  <c r="BO394" i="61"/>
  <c r="BP394" i="61"/>
  <c r="BQ394" i="61"/>
  <c r="BR394" i="61"/>
  <c r="AR258" i="55"/>
  <c r="Z258" i="55"/>
  <c r="AK175" i="23"/>
  <c r="AK174" i="23"/>
  <c r="AK173" i="23"/>
  <c r="AK172" i="23"/>
  <c r="AK171" i="23"/>
  <c r="AK170" i="23"/>
  <c r="AK169" i="23"/>
  <c r="AK168" i="23"/>
  <c r="AK167" i="23"/>
  <c r="AK166" i="23"/>
  <c r="AK165" i="23"/>
  <c r="AK164" i="23"/>
  <c r="AK163" i="23"/>
  <c r="AK162" i="23"/>
  <c r="AK161" i="23"/>
  <c r="AK160" i="23"/>
  <c r="AK159" i="23"/>
  <c r="AK158" i="23"/>
  <c r="AK157" i="23"/>
  <c r="AK156" i="23"/>
  <c r="AK155" i="23"/>
  <c r="AK154" i="23"/>
  <c r="AK153" i="23"/>
  <c r="AK152" i="23"/>
  <c r="AK151" i="23"/>
  <c r="AK150" i="23"/>
  <c r="AK149" i="23"/>
  <c r="AK148" i="23"/>
  <c r="AK147" i="23"/>
  <c r="AK146" i="23"/>
  <c r="AK145" i="23"/>
  <c r="AK144" i="23"/>
  <c r="AK143" i="23"/>
  <c r="BK136" i="58"/>
  <c r="BM549" i="58"/>
  <c r="BK549" i="58"/>
  <c r="Z257" i="55"/>
  <c r="AR257" i="55"/>
  <c r="AK230" i="34"/>
  <c r="AK229" i="34"/>
  <c r="AK228" i="34"/>
  <c r="AK227" i="34"/>
  <c r="AK226" i="34"/>
  <c r="AK225" i="34"/>
  <c r="AK224" i="34"/>
  <c r="AK223" i="34"/>
  <c r="AK222" i="34"/>
  <c r="AK221" i="34"/>
  <c r="AK220" i="34"/>
  <c r="AK219" i="34"/>
  <c r="AK218" i="34"/>
  <c r="AK217" i="34"/>
  <c r="AK216" i="34"/>
  <c r="AK215" i="34"/>
  <c r="AK214" i="34"/>
  <c r="AK213" i="34"/>
  <c r="AK212" i="34"/>
  <c r="AK211" i="34"/>
  <c r="AK210" i="34"/>
  <c r="AK209" i="34"/>
  <c r="AK208" i="34"/>
  <c r="AK207" i="34"/>
  <c r="AK206" i="34"/>
  <c r="AK205" i="34"/>
  <c r="AK204" i="34"/>
  <c r="AK203" i="34"/>
  <c r="AK202" i="34"/>
  <c r="AK201" i="34"/>
  <c r="AK200" i="34"/>
  <c r="AK199" i="34"/>
  <c r="AK198" i="34"/>
  <c r="AK197" i="34"/>
  <c r="AK196" i="34"/>
  <c r="AK195" i="34"/>
  <c r="AK194" i="34"/>
  <c r="AK193" i="34"/>
  <c r="AK192" i="34"/>
  <c r="AK191" i="34"/>
  <c r="AK190" i="34"/>
  <c r="AK189" i="34"/>
  <c r="AK188" i="34"/>
  <c r="AK187" i="34"/>
  <c r="AK186" i="34"/>
  <c r="AK185" i="34"/>
  <c r="AK184" i="34"/>
  <c r="AK183" i="34"/>
  <c r="AK182" i="34"/>
  <c r="AK181" i="34"/>
  <c r="AK180" i="34"/>
  <c r="AK179" i="34"/>
  <c r="AK178" i="34"/>
  <c r="AK177" i="34"/>
  <c r="AK176" i="34"/>
  <c r="AK175" i="34"/>
  <c r="AK174" i="34"/>
  <c r="AK173" i="34"/>
  <c r="AK172" i="34"/>
  <c r="AK171" i="34"/>
  <c r="AK170" i="34"/>
  <c r="AK169" i="34"/>
  <c r="AK168" i="34"/>
  <c r="AK167" i="34"/>
  <c r="AK166" i="34"/>
  <c r="AK165" i="34"/>
  <c r="AK164" i="34"/>
  <c r="AK163" i="34"/>
  <c r="AK162" i="34"/>
  <c r="AK161" i="34"/>
  <c r="AK160" i="34"/>
  <c r="AK159" i="34"/>
  <c r="AK158" i="34"/>
  <c r="AK157" i="34"/>
  <c r="AK156" i="34"/>
  <c r="AK155" i="34"/>
  <c r="AK154" i="34"/>
  <c r="AK153" i="34"/>
  <c r="AK152" i="34"/>
  <c r="AK151" i="34"/>
  <c r="AK150" i="34"/>
  <c r="AK149" i="34"/>
  <c r="AK148" i="34"/>
  <c r="AK147" i="34"/>
  <c r="AK146" i="34"/>
  <c r="AK145" i="34"/>
  <c r="AK144" i="34"/>
  <c r="AK143" i="34"/>
  <c r="AK142" i="34"/>
  <c r="AK141" i="34"/>
  <c r="AK140" i="34"/>
  <c r="AK139" i="34"/>
  <c r="AK138" i="34"/>
  <c r="AK137" i="34"/>
  <c r="AK136" i="34"/>
  <c r="AK135" i="34"/>
  <c r="AK134" i="34"/>
  <c r="AK133" i="34"/>
  <c r="AK132" i="34"/>
  <c r="AK131" i="34"/>
  <c r="I63" i="55" a="1"/>
  <c r="I63" i="55"/>
  <c r="J63" i="55" a="1"/>
  <c r="J63" i="55"/>
  <c r="N63" i="55" a="1"/>
  <c r="N63" i="55"/>
  <c r="R63" i="55" a="1"/>
  <c r="R63" i="55"/>
  <c r="V63" i="55" a="1"/>
  <c r="V63" i="55"/>
  <c r="AA63" i="55" a="1"/>
  <c r="AA63" i="55"/>
  <c r="AB63" i="55" a="1"/>
  <c r="AB63" i="55"/>
  <c r="AF63" i="55" a="1"/>
  <c r="AF63" i="55"/>
  <c r="AJ63" i="55" a="1"/>
  <c r="AJ63" i="55"/>
  <c r="AN63" i="55" a="1"/>
  <c r="AN63" i="55"/>
  <c r="AS63" i="55" a="1"/>
  <c r="AS63" i="55"/>
  <c r="AT63" i="55" a="1"/>
  <c r="AT63" i="55"/>
  <c r="AX63" i="55" a="1"/>
  <c r="AX63" i="55"/>
  <c r="BB63" i="55" a="1"/>
  <c r="BB63" i="55"/>
  <c r="BF63" i="55" a="1"/>
  <c r="BF63" i="55"/>
  <c r="G64" i="55" a="1"/>
  <c r="G64" i="55"/>
  <c r="H64" i="55" a="1"/>
  <c r="H64" i="55"/>
  <c r="I64" i="55" a="1"/>
  <c r="I64" i="55"/>
  <c r="J64" i="55" a="1"/>
  <c r="J64" i="55"/>
  <c r="N64" i="55" a="1"/>
  <c r="N64" i="55"/>
  <c r="R64" i="55" a="1"/>
  <c r="R64" i="55"/>
  <c r="V64" i="55" a="1"/>
  <c r="V64" i="55"/>
  <c r="AA64" i="55" a="1"/>
  <c r="AA64" i="55"/>
  <c r="AB64" i="55" a="1"/>
  <c r="AB64" i="55"/>
  <c r="AF64" i="55" a="1"/>
  <c r="AF64" i="55"/>
  <c r="AJ64" i="55" a="1"/>
  <c r="AJ64" i="55"/>
  <c r="AN64" i="55" a="1"/>
  <c r="AN64" i="55"/>
  <c r="AS64" i="55" a="1"/>
  <c r="AS64" i="55"/>
  <c r="AT64" i="55" a="1"/>
  <c r="AT64" i="55"/>
  <c r="AX64" i="55" a="1"/>
  <c r="AX64" i="55"/>
  <c r="BB64" i="55" a="1"/>
  <c r="BB64" i="55"/>
  <c r="BF64" i="55" a="1"/>
  <c r="BF64" i="55"/>
  <c r="G65" i="55" a="1"/>
  <c r="G65" i="55"/>
  <c r="H65" i="55" a="1"/>
  <c r="H65" i="55"/>
  <c r="I65" i="55" a="1"/>
  <c r="I65" i="55"/>
  <c r="J65" i="55" a="1"/>
  <c r="J65" i="55"/>
  <c r="N65" i="55" a="1"/>
  <c r="N65" i="55"/>
  <c r="R65" i="55" a="1"/>
  <c r="R65" i="55"/>
  <c r="V65" i="55" a="1"/>
  <c r="V65" i="55"/>
  <c r="AA65" i="55" a="1"/>
  <c r="AA65" i="55"/>
  <c r="AB65" i="55" a="1"/>
  <c r="AB65" i="55"/>
  <c r="AF65" i="55" a="1"/>
  <c r="AF65" i="55"/>
  <c r="AJ65" i="55" a="1"/>
  <c r="AJ65" i="55"/>
  <c r="AN65" i="55" a="1"/>
  <c r="AN65" i="55"/>
  <c r="AS65" i="55" a="1"/>
  <c r="AS65" i="55"/>
  <c r="AT65" i="55" a="1"/>
  <c r="AT65" i="55"/>
  <c r="AX65" i="55" a="1"/>
  <c r="AX65" i="55"/>
  <c r="BB65" i="55" a="1"/>
  <c r="BB65" i="55"/>
  <c r="BF65" i="55" a="1"/>
  <c r="BF65" i="55"/>
  <c r="J62" i="55" a="1"/>
  <c r="J62" i="55"/>
  <c r="G62" i="55" a="1"/>
  <c r="G62" i="55"/>
  <c r="H62" i="55" a="1"/>
  <c r="H62" i="55"/>
  <c r="AK65" i="55"/>
  <c r="AO65" i="55"/>
  <c r="AC65" i="55"/>
  <c r="AG65" i="55"/>
  <c r="BC64" i="55"/>
  <c r="BG64" i="55"/>
  <c r="AU64" i="55"/>
  <c r="AY64" i="55"/>
  <c r="S64" i="55"/>
  <c r="W64" i="55"/>
  <c r="K64" i="55"/>
  <c r="O64" i="55"/>
  <c r="AK63" i="55"/>
  <c r="AO63" i="55"/>
  <c r="AC63" i="55"/>
  <c r="AG63" i="55"/>
  <c r="K65" i="55"/>
  <c r="O65" i="55"/>
  <c r="S65" i="55"/>
  <c r="W65" i="55"/>
  <c r="AC64" i="55"/>
  <c r="AG64" i="55"/>
  <c r="AK64" i="55"/>
  <c r="AO64" i="55"/>
  <c r="AU63" i="55"/>
  <c r="AY63" i="55"/>
  <c r="BC63" i="55"/>
  <c r="BG63" i="55"/>
  <c r="AY65" i="55"/>
  <c r="BC65" i="55"/>
  <c r="BG65" i="55"/>
  <c r="AU65" i="55"/>
  <c r="K63" i="55"/>
  <c r="O63" i="55"/>
  <c r="S63" i="55"/>
  <c r="W63" i="55"/>
  <c r="BM136" i="58"/>
  <c r="BH16" i="22"/>
  <c r="BG16" i="22"/>
  <c r="BF16" i="22"/>
  <c r="BE16" i="22"/>
  <c r="BD16" i="22"/>
  <c r="BC16" i="22"/>
  <c r="BB16" i="22"/>
  <c r="BA16" i="22"/>
  <c r="AZ16" i="22"/>
  <c r="AY16" i="22"/>
  <c r="AX16" i="22"/>
  <c r="AW16" i="22"/>
  <c r="G224" i="61" a="1"/>
  <c r="G224" i="61"/>
  <c r="H224" i="61" a="1"/>
  <c r="H224" i="61"/>
  <c r="I224" i="61" a="1"/>
  <c r="I224" i="61"/>
  <c r="J224" i="61" a="1"/>
  <c r="J224" i="61"/>
  <c r="N224" i="61" a="1"/>
  <c r="N224" i="61"/>
  <c r="R224" i="61" a="1"/>
  <c r="R224" i="61"/>
  <c r="V224" i="61" a="1"/>
  <c r="V224" i="61"/>
  <c r="AA224" i="61" a="1"/>
  <c r="AA224" i="61"/>
  <c r="AB224" i="61" a="1"/>
  <c r="AB224" i="61"/>
  <c r="AF224" i="61" a="1"/>
  <c r="AF224" i="61"/>
  <c r="AJ224" i="61" a="1"/>
  <c r="AJ224" i="61"/>
  <c r="AN224" i="61" a="1"/>
  <c r="AN224" i="61"/>
  <c r="AS224" i="61" a="1"/>
  <c r="AS224" i="61"/>
  <c r="AT224" i="61" a="1"/>
  <c r="AT224" i="61"/>
  <c r="AX224" i="61" a="1"/>
  <c r="AX224" i="61"/>
  <c r="BB224" i="61" a="1"/>
  <c r="BB224" i="61"/>
  <c r="BF224" i="61" a="1"/>
  <c r="BF224" i="61"/>
  <c r="G225" i="61" a="1"/>
  <c r="G225" i="61"/>
  <c r="H225" i="61" a="1"/>
  <c r="H225" i="61"/>
  <c r="I225" i="61" a="1"/>
  <c r="I225" i="61"/>
  <c r="J225" i="61" a="1"/>
  <c r="J225" i="61"/>
  <c r="N225" i="61" a="1"/>
  <c r="N225" i="61"/>
  <c r="R225" i="61" a="1"/>
  <c r="R225" i="61"/>
  <c r="V225" i="61" a="1"/>
  <c r="V225" i="61"/>
  <c r="AA225" i="61" a="1"/>
  <c r="AA225" i="61"/>
  <c r="AB225" i="61" a="1"/>
  <c r="AB225" i="61"/>
  <c r="AF225" i="61" a="1"/>
  <c r="AF225" i="61"/>
  <c r="AJ225" i="61" a="1"/>
  <c r="AJ225" i="61"/>
  <c r="AN225" i="61" a="1"/>
  <c r="AN225" i="61"/>
  <c r="AS225" i="61" a="1"/>
  <c r="AS225" i="61"/>
  <c r="AT225" i="61" a="1"/>
  <c r="AT225" i="61"/>
  <c r="AX225" i="61" a="1"/>
  <c r="AX225" i="61"/>
  <c r="BB225" i="61" a="1"/>
  <c r="BB225" i="61"/>
  <c r="BF225" i="61" a="1"/>
  <c r="BF225" i="61"/>
  <c r="G226" i="61" a="1"/>
  <c r="G226" i="61"/>
  <c r="H226" i="61" a="1"/>
  <c r="H226" i="61"/>
  <c r="I226" i="61" a="1"/>
  <c r="I226" i="61"/>
  <c r="J226" i="61" a="1"/>
  <c r="J226" i="61"/>
  <c r="N226" i="61" a="1"/>
  <c r="N226" i="61"/>
  <c r="R226" i="61" a="1"/>
  <c r="R226" i="61"/>
  <c r="V226" i="61" a="1"/>
  <c r="V226" i="61"/>
  <c r="AA226" i="61" a="1"/>
  <c r="AA226" i="61"/>
  <c r="AB226" i="61" a="1"/>
  <c r="AB226" i="61"/>
  <c r="AF226" i="61" a="1"/>
  <c r="AF226" i="61"/>
  <c r="AJ226" i="61" a="1"/>
  <c r="AJ226" i="61"/>
  <c r="AN226" i="61" a="1"/>
  <c r="AN226" i="61"/>
  <c r="AS226" i="61" a="1"/>
  <c r="AS226" i="61"/>
  <c r="AT226" i="61" a="1"/>
  <c r="AT226" i="61"/>
  <c r="AX226" i="61" a="1"/>
  <c r="AX226" i="61"/>
  <c r="BB226" i="61" a="1"/>
  <c r="BB226" i="61"/>
  <c r="BF226" i="61" a="1"/>
  <c r="BF226" i="61"/>
  <c r="G227" i="61" a="1"/>
  <c r="G227" i="61"/>
  <c r="H227" i="61" a="1"/>
  <c r="H227" i="61"/>
  <c r="I227" i="61" a="1"/>
  <c r="I227" i="61"/>
  <c r="J227" i="61" a="1"/>
  <c r="J227" i="61"/>
  <c r="N227" i="61" a="1"/>
  <c r="N227" i="61"/>
  <c r="R227" i="61" a="1"/>
  <c r="R227" i="61"/>
  <c r="V227" i="61" a="1"/>
  <c r="V227" i="61"/>
  <c r="AA227" i="61" a="1"/>
  <c r="AA227" i="61"/>
  <c r="AB227" i="61" a="1"/>
  <c r="AB227" i="61"/>
  <c r="AF227" i="61" a="1"/>
  <c r="AF227" i="61"/>
  <c r="AJ227" i="61" a="1"/>
  <c r="AJ227" i="61"/>
  <c r="AN227" i="61" a="1"/>
  <c r="AN227" i="61"/>
  <c r="AS227" i="61" a="1"/>
  <c r="AS227" i="61"/>
  <c r="AT227" i="61" a="1"/>
  <c r="AT227" i="61"/>
  <c r="AX227" i="61" a="1"/>
  <c r="AX227" i="61"/>
  <c r="BB227" i="61" a="1"/>
  <c r="BB227" i="61"/>
  <c r="BF227" i="61" a="1"/>
  <c r="BF227" i="61"/>
  <c r="G228" i="61" a="1"/>
  <c r="G228" i="61"/>
  <c r="H228" i="61" a="1"/>
  <c r="H228" i="61"/>
  <c r="I228" i="61" a="1"/>
  <c r="I228" i="61"/>
  <c r="J228" i="61" a="1"/>
  <c r="J228" i="61"/>
  <c r="N228" i="61" a="1"/>
  <c r="N228" i="61"/>
  <c r="R228" i="61" a="1"/>
  <c r="R228" i="61"/>
  <c r="V228" i="61" a="1"/>
  <c r="V228" i="61"/>
  <c r="AA228" i="61" a="1"/>
  <c r="AA228" i="61"/>
  <c r="AB228" i="61" a="1"/>
  <c r="AB228" i="61"/>
  <c r="AF228" i="61" a="1"/>
  <c r="AF228" i="61"/>
  <c r="AJ228" i="61" a="1"/>
  <c r="AJ228" i="61"/>
  <c r="AN228" i="61" a="1"/>
  <c r="AN228" i="61"/>
  <c r="AS228" i="61" a="1"/>
  <c r="AS228" i="61"/>
  <c r="AT228" i="61" a="1"/>
  <c r="AT228" i="61"/>
  <c r="AX228" i="61" a="1"/>
  <c r="AX228" i="61"/>
  <c r="BB228" i="61" a="1"/>
  <c r="BB228" i="61"/>
  <c r="BF228" i="61" a="1"/>
  <c r="BF228" i="61"/>
  <c r="G229" i="61" a="1"/>
  <c r="G229" i="61"/>
  <c r="H229" i="61" a="1"/>
  <c r="H229" i="61"/>
  <c r="I229" i="61" a="1"/>
  <c r="I229" i="61"/>
  <c r="J229" i="61" a="1"/>
  <c r="J229" i="61"/>
  <c r="N229" i="61" a="1"/>
  <c r="N229" i="61"/>
  <c r="R229" i="61" a="1"/>
  <c r="R229" i="61"/>
  <c r="V229" i="61" a="1"/>
  <c r="V229" i="61"/>
  <c r="AA229" i="61" a="1"/>
  <c r="AA229" i="61"/>
  <c r="AB229" i="61" a="1"/>
  <c r="AB229" i="61"/>
  <c r="AF229" i="61" a="1"/>
  <c r="AF229" i="61"/>
  <c r="AJ229" i="61" a="1"/>
  <c r="AJ229" i="61"/>
  <c r="AN229" i="61" a="1"/>
  <c r="AN229" i="61"/>
  <c r="AS229" i="61" a="1"/>
  <c r="AS229" i="61"/>
  <c r="AT229" i="61" a="1"/>
  <c r="AT229" i="61"/>
  <c r="AX229" i="61" a="1"/>
  <c r="AX229" i="61"/>
  <c r="BB229" i="61" a="1"/>
  <c r="BB229" i="61"/>
  <c r="BF229" i="61" a="1"/>
  <c r="BF229" i="61"/>
  <c r="G230" i="61" a="1"/>
  <c r="G230" i="61"/>
  <c r="H230" i="61" a="1"/>
  <c r="H230" i="61"/>
  <c r="I230" i="61" a="1"/>
  <c r="I230" i="61"/>
  <c r="J230" i="61" a="1"/>
  <c r="J230" i="61"/>
  <c r="N230" i="61" a="1"/>
  <c r="N230" i="61"/>
  <c r="R230" i="61" a="1"/>
  <c r="R230" i="61"/>
  <c r="V230" i="61" a="1"/>
  <c r="V230" i="61"/>
  <c r="AA230" i="61" a="1"/>
  <c r="AA230" i="61"/>
  <c r="AB230" i="61" a="1"/>
  <c r="AB230" i="61"/>
  <c r="AF230" i="61" a="1"/>
  <c r="AF230" i="61"/>
  <c r="AJ230" i="61" a="1"/>
  <c r="AJ230" i="61"/>
  <c r="AN230" i="61" a="1"/>
  <c r="AN230" i="61"/>
  <c r="AS230" i="61" a="1"/>
  <c r="AS230" i="61"/>
  <c r="AT230" i="61" a="1"/>
  <c r="AT230" i="61"/>
  <c r="AX230" i="61" a="1"/>
  <c r="AX230" i="61"/>
  <c r="BB230" i="61" a="1"/>
  <c r="BB230" i="61"/>
  <c r="BF230" i="61" a="1"/>
  <c r="BF230" i="61"/>
  <c r="G231" i="61" a="1"/>
  <c r="G231" i="61"/>
  <c r="H231" i="61" a="1"/>
  <c r="H231" i="61"/>
  <c r="I231" i="61" a="1"/>
  <c r="I231" i="61"/>
  <c r="J231" i="61" a="1"/>
  <c r="J231" i="61"/>
  <c r="N231" i="61" a="1"/>
  <c r="N231" i="61"/>
  <c r="R231" i="61" a="1"/>
  <c r="R231" i="61"/>
  <c r="V231" i="61" a="1"/>
  <c r="V231" i="61"/>
  <c r="AA231" i="61" a="1"/>
  <c r="AA231" i="61"/>
  <c r="AB231" i="61" a="1"/>
  <c r="AB231" i="61"/>
  <c r="AF231" i="61" a="1"/>
  <c r="AF231" i="61"/>
  <c r="AJ231" i="61" a="1"/>
  <c r="AJ231" i="61"/>
  <c r="AN231" i="61" a="1"/>
  <c r="AN231" i="61"/>
  <c r="AS231" i="61" a="1"/>
  <c r="AS231" i="61"/>
  <c r="AT231" i="61" a="1"/>
  <c r="AT231" i="61"/>
  <c r="AX231" i="61" a="1"/>
  <c r="AX231" i="61"/>
  <c r="BB231" i="61" a="1"/>
  <c r="BB231" i="61"/>
  <c r="BF231" i="61" a="1"/>
  <c r="BF231" i="61"/>
  <c r="G232" i="61" a="1"/>
  <c r="G232" i="61"/>
  <c r="H232" i="61" a="1"/>
  <c r="H232" i="61"/>
  <c r="I232" i="61" a="1"/>
  <c r="I232" i="61"/>
  <c r="J232" i="61" a="1"/>
  <c r="J232" i="61"/>
  <c r="N232" i="61" a="1"/>
  <c r="N232" i="61"/>
  <c r="R232" i="61" a="1"/>
  <c r="R232" i="61"/>
  <c r="V232" i="61" a="1"/>
  <c r="V232" i="61"/>
  <c r="AA232" i="61" a="1"/>
  <c r="AA232" i="61"/>
  <c r="AB232" i="61" a="1"/>
  <c r="AB232" i="61"/>
  <c r="AF232" i="61" a="1"/>
  <c r="AF232" i="61"/>
  <c r="AJ232" i="61" a="1"/>
  <c r="AJ232" i="61"/>
  <c r="AN232" i="61" a="1"/>
  <c r="AN232" i="61"/>
  <c r="AS232" i="61" a="1"/>
  <c r="AS232" i="61"/>
  <c r="AT232" i="61" a="1"/>
  <c r="AT232" i="61"/>
  <c r="AX232" i="61" a="1"/>
  <c r="AX232" i="61"/>
  <c r="BB232" i="61" a="1"/>
  <c r="BB232" i="61"/>
  <c r="BF232" i="61" a="1"/>
  <c r="BF232" i="61"/>
  <c r="C224" i="61"/>
  <c r="C225" i="61"/>
  <c r="C226" i="61"/>
  <c r="AZ226" i="61"/>
  <c r="C227" i="61"/>
  <c r="C228" i="61"/>
  <c r="C229" i="61"/>
  <c r="C230" i="61"/>
  <c r="C231" i="61"/>
  <c r="C232" i="61"/>
  <c r="BM550" i="58"/>
  <c r="BM548" i="58"/>
  <c r="BM547" i="58"/>
  <c r="BM546" i="58"/>
  <c r="BM545" i="58"/>
  <c r="BM544" i="58"/>
  <c r="BM543" i="58"/>
  <c r="BM542" i="58"/>
  <c r="BM541" i="58"/>
  <c r="BM540" i="58"/>
  <c r="BM539" i="58"/>
  <c r="BM538" i="58"/>
  <c r="BM537" i="58"/>
  <c r="BM536" i="58"/>
  <c r="BM535" i="58"/>
  <c r="BM534" i="58"/>
  <c r="BM533" i="58"/>
  <c r="BM532" i="58"/>
  <c r="BM531" i="58"/>
  <c r="BM530" i="58"/>
  <c r="BM529" i="58"/>
  <c r="BM528" i="58"/>
  <c r="BM527" i="58"/>
  <c r="BM526" i="58"/>
  <c r="BM525" i="58"/>
  <c r="BM524" i="58"/>
  <c r="BM523" i="58"/>
  <c r="BM522" i="58"/>
  <c r="BM521" i="58"/>
  <c r="BM520" i="58"/>
  <c r="BM519" i="58"/>
  <c r="BM518" i="58"/>
  <c r="BM517" i="58"/>
  <c r="BM516" i="58"/>
  <c r="BM515" i="58"/>
  <c r="BM514" i="58"/>
  <c r="BM513" i="58"/>
  <c r="BM512" i="58"/>
  <c r="BM511" i="58"/>
  <c r="BM510" i="58"/>
  <c r="BM509" i="58"/>
  <c r="BM508" i="58"/>
  <c r="BM507" i="58"/>
  <c r="BM506" i="58"/>
  <c r="BM505" i="58"/>
  <c r="BM504" i="58"/>
  <c r="BM503" i="58"/>
  <c r="BM502" i="58"/>
  <c r="BM501" i="58"/>
  <c r="BM500" i="58"/>
  <c r="BM499" i="58"/>
  <c r="BM498" i="58"/>
  <c r="BM497" i="58"/>
  <c r="BM496" i="58"/>
  <c r="BM495" i="58"/>
  <c r="BM494" i="58"/>
  <c r="BM493" i="58"/>
  <c r="BM492" i="58"/>
  <c r="BM491" i="58"/>
  <c r="BM490" i="58"/>
  <c r="BM489" i="58"/>
  <c r="BM488" i="58"/>
  <c r="BM487" i="58"/>
  <c r="BM486" i="58"/>
  <c r="BM485" i="58"/>
  <c r="BM484" i="58"/>
  <c r="BM483" i="58"/>
  <c r="BM482" i="58"/>
  <c r="BM481" i="58"/>
  <c r="BM480" i="58"/>
  <c r="BM479" i="58"/>
  <c r="BM478" i="58"/>
  <c r="BM477" i="58"/>
  <c r="BM476" i="58"/>
  <c r="BM475" i="58"/>
  <c r="BM474" i="58"/>
  <c r="BM473" i="58"/>
  <c r="BM472" i="58"/>
  <c r="BM471" i="58"/>
  <c r="BM470" i="58"/>
  <c r="BM469" i="58"/>
  <c r="BM468" i="58"/>
  <c r="BM467" i="58"/>
  <c r="BM466" i="58"/>
  <c r="BM465" i="58"/>
  <c r="BM464" i="58"/>
  <c r="BM463" i="58"/>
  <c r="BM462" i="58"/>
  <c r="BM461" i="58"/>
  <c r="BM460" i="58"/>
  <c r="BM459" i="58"/>
  <c r="BM458" i="58"/>
  <c r="BM457" i="58"/>
  <c r="BM456" i="58"/>
  <c r="BM455" i="58"/>
  <c r="BM454" i="58"/>
  <c r="BM453" i="58"/>
  <c r="BM452" i="58"/>
  <c r="BM451" i="58"/>
  <c r="BM450" i="58"/>
  <c r="BM449" i="58"/>
  <c r="BM448" i="58"/>
  <c r="BM447" i="58"/>
  <c r="BM446" i="58"/>
  <c r="BM445" i="58"/>
  <c r="BM444" i="58"/>
  <c r="BM443" i="58"/>
  <c r="BM442" i="58"/>
  <c r="BM441" i="58"/>
  <c r="BM440" i="58"/>
  <c r="BM439" i="58"/>
  <c r="BM438" i="58"/>
  <c r="BM437" i="58"/>
  <c r="BM436" i="58"/>
  <c r="BM435" i="58"/>
  <c r="BM434" i="58"/>
  <c r="BM433" i="58"/>
  <c r="BM432" i="58"/>
  <c r="BM431" i="58"/>
  <c r="BM430" i="58"/>
  <c r="BM429" i="58"/>
  <c r="BM428" i="58"/>
  <c r="BM427" i="58"/>
  <c r="BM426" i="58"/>
  <c r="BM425" i="58"/>
  <c r="BM424" i="58"/>
  <c r="BM423" i="58"/>
  <c r="BM422" i="58"/>
  <c r="BM421" i="58"/>
  <c r="BM420" i="58"/>
  <c r="BM419" i="58"/>
  <c r="BM418" i="58"/>
  <c r="BM417" i="58"/>
  <c r="BM416" i="58"/>
  <c r="BM415" i="58"/>
  <c r="BM414" i="58"/>
  <c r="BM413" i="58"/>
  <c r="BM412" i="58"/>
  <c r="BM411" i="58"/>
  <c r="BM410" i="58"/>
  <c r="BM409" i="58"/>
  <c r="BM408" i="58"/>
  <c r="BM407" i="58"/>
  <c r="BM406" i="58"/>
  <c r="BM405" i="58"/>
  <c r="BM404" i="58"/>
  <c r="BM403" i="58"/>
  <c r="BM402" i="58"/>
  <c r="BM401" i="58"/>
  <c r="BM400" i="58"/>
  <c r="BM399" i="58"/>
  <c r="BM398" i="58"/>
  <c r="BM397" i="58"/>
  <c r="BM396" i="58"/>
  <c r="BM395" i="58"/>
  <c r="BM394" i="58"/>
  <c r="BM393" i="58"/>
  <c r="BM392" i="58"/>
  <c r="BM391" i="58"/>
  <c r="BM390" i="58"/>
  <c r="BM389" i="58"/>
  <c r="BM388" i="58"/>
  <c r="BM387" i="58"/>
  <c r="BM386" i="58"/>
  <c r="BM385" i="58"/>
  <c r="BM384" i="58"/>
  <c r="BM383" i="58"/>
  <c r="BM382" i="58"/>
  <c r="BM381" i="58"/>
  <c r="BM380" i="58"/>
  <c r="BM379" i="58"/>
  <c r="BM378" i="58"/>
  <c r="BM377" i="58"/>
  <c r="BM376" i="58"/>
  <c r="BM375" i="58"/>
  <c r="BM374" i="58"/>
  <c r="BM373" i="58"/>
  <c r="BM372" i="58"/>
  <c r="BM371" i="58"/>
  <c r="BM370" i="58"/>
  <c r="BM369" i="58"/>
  <c r="BM368" i="58"/>
  <c r="BM367" i="58"/>
  <c r="BM366" i="58"/>
  <c r="BM365" i="58"/>
  <c r="BM364" i="58"/>
  <c r="BM363" i="58"/>
  <c r="BM362" i="58"/>
  <c r="BM361" i="58"/>
  <c r="BM360" i="58"/>
  <c r="BM359" i="58"/>
  <c r="BM358" i="58"/>
  <c r="BM357" i="58"/>
  <c r="BM356" i="58"/>
  <c r="BM355" i="58"/>
  <c r="BM354" i="58"/>
  <c r="BM353" i="58"/>
  <c r="BM352" i="58"/>
  <c r="BM351" i="58"/>
  <c r="BM350" i="58"/>
  <c r="BM349" i="58"/>
  <c r="BM348" i="58"/>
  <c r="BM347" i="58"/>
  <c r="BM346" i="58"/>
  <c r="BM345" i="58"/>
  <c r="BM344" i="58"/>
  <c r="BM343" i="58"/>
  <c r="BM342" i="58"/>
  <c r="BM341" i="58"/>
  <c r="BM340" i="58"/>
  <c r="BM339" i="58"/>
  <c r="BM338" i="58"/>
  <c r="BM337" i="58"/>
  <c r="BM336" i="58"/>
  <c r="BM335" i="58"/>
  <c r="BM334" i="58"/>
  <c r="BM333" i="58"/>
  <c r="BM332" i="58"/>
  <c r="BM331" i="58"/>
  <c r="BM330" i="58"/>
  <c r="BM329" i="58"/>
  <c r="BM328" i="58"/>
  <c r="BM327" i="58"/>
  <c r="BM326" i="58"/>
  <c r="BM325" i="58"/>
  <c r="BM324" i="58"/>
  <c r="BM323" i="58"/>
  <c r="BM322" i="58"/>
  <c r="BM321" i="58"/>
  <c r="BM320" i="58"/>
  <c r="BM319" i="58"/>
  <c r="BM318" i="58"/>
  <c r="BM317" i="58"/>
  <c r="BM316" i="58"/>
  <c r="BM315" i="58"/>
  <c r="BM314" i="58"/>
  <c r="BM313" i="58"/>
  <c r="BM312" i="58"/>
  <c r="BM311" i="58"/>
  <c r="BM310" i="58"/>
  <c r="BM309" i="58"/>
  <c r="BM308" i="58"/>
  <c r="BM307" i="58"/>
  <c r="BM306" i="58"/>
  <c r="BM305" i="58"/>
  <c r="BM304" i="58"/>
  <c r="BM303" i="58"/>
  <c r="BM302" i="58"/>
  <c r="BM301" i="58"/>
  <c r="BM300" i="58"/>
  <c r="BM299" i="58"/>
  <c r="BM298" i="58"/>
  <c r="BM297" i="58"/>
  <c r="BM296" i="58"/>
  <c r="BM295" i="58"/>
  <c r="BM294" i="58"/>
  <c r="BM293" i="58"/>
  <c r="BM292" i="58"/>
  <c r="BM291" i="58"/>
  <c r="BM290" i="58"/>
  <c r="BM289" i="58"/>
  <c r="BM288" i="58"/>
  <c r="BM287" i="58"/>
  <c r="BM286" i="58"/>
  <c r="BM285" i="58"/>
  <c r="BM284" i="58"/>
  <c r="BM283" i="58"/>
  <c r="BM282" i="58"/>
  <c r="BM281" i="58"/>
  <c r="BM280" i="58"/>
  <c r="BM279" i="58"/>
  <c r="BM278" i="58"/>
  <c r="BM277" i="58"/>
  <c r="BM276" i="58"/>
  <c r="BM275" i="58"/>
  <c r="BM274" i="58"/>
  <c r="BM273" i="58"/>
  <c r="BM272" i="58"/>
  <c r="BM271" i="58"/>
  <c r="BM270" i="58"/>
  <c r="BM269" i="58"/>
  <c r="BM268" i="58"/>
  <c r="BM267" i="58"/>
  <c r="BM266" i="58"/>
  <c r="BM265" i="58"/>
  <c r="BM264" i="58"/>
  <c r="BM263" i="58"/>
  <c r="BM262" i="58"/>
  <c r="BM261" i="58"/>
  <c r="BM260" i="58"/>
  <c r="BM259" i="58"/>
  <c r="BM258" i="58"/>
  <c r="BM257" i="58"/>
  <c r="BM256" i="58"/>
  <c r="BM255" i="58"/>
  <c r="BM254" i="58"/>
  <c r="BM253" i="58"/>
  <c r="BM252" i="58"/>
  <c r="BM251" i="58"/>
  <c r="BM250" i="58"/>
  <c r="BM249" i="58"/>
  <c r="BM248" i="58"/>
  <c r="BM247" i="58"/>
  <c r="BM246" i="58"/>
  <c r="BM245" i="58"/>
  <c r="BM244" i="58"/>
  <c r="BM243" i="58"/>
  <c r="BM242" i="58"/>
  <c r="BM241" i="58"/>
  <c r="BM240" i="58"/>
  <c r="BM239" i="58"/>
  <c r="BM238" i="58"/>
  <c r="BM237" i="58"/>
  <c r="BM236" i="58"/>
  <c r="BM235" i="58"/>
  <c r="BM234" i="58"/>
  <c r="BM233" i="58"/>
  <c r="BM232" i="58"/>
  <c r="BM231" i="58"/>
  <c r="BM230" i="58"/>
  <c r="BM229" i="58"/>
  <c r="BM228" i="58"/>
  <c r="BM227" i="58"/>
  <c r="BM226" i="58"/>
  <c r="BM225" i="58"/>
  <c r="BM224" i="58"/>
  <c r="BM223" i="58"/>
  <c r="BM222" i="58"/>
  <c r="BM221" i="58"/>
  <c r="BM220" i="58"/>
  <c r="BM219" i="58"/>
  <c r="BM218" i="58"/>
  <c r="BM217" i="58"/>
  <c r="BM216" i="58"/>
  <c r="BM215" i="58"/>
  <c r="BM214" i="58"/>
  <c r="BM213" i="58"/>
  <c r="BM212" i="58"/>
  <c r="BM211" i="58"/>
  <c r="BM210" i="58"/>
  <c r="BM209" i="58"/>
  <c r="BM208" i="58"/>
  <c r="BM207" i="58"/>
  <c r="BM206" i="58"/>
  <c r="BM205" i="58"/>
  <c r="BM204" i="58"/>
  <c r="BM203" i="58"/>
  <c r="BM202" i="58"/>
  <c r="BM201" i="58"/>
  <c r="BM200" i="58"/>
  <c r="BM199" i="58"/>
  <c r="BM198" i="58"/>
  <c r="BM197" i="58"/>
  <c r="BM196" i="58"/>
  <c r="BM195" i="58"/>
  <c r="BM194" i="58"/>
  <c r="BM193" i="58"/>
  <c r="BM192" i="58"/>
  <c r="BM191" i="58"/>
  <c r="BM190" i="58"/>
  <c r="BM189" i="58"/>
  <c r="BM188" i="58"/>
  <c r="BM187" i="58"/>
  <c r="BM186" i="58"/>
  <c r="BM185" i="58"/>
  <c r="BM184" i="58"/>
  <c r="BM183" i="58"/>
  <c r="BM182" i="58"/>
  <c r="BM181" i="58"/>
  <c r="BM180" i="58"/>
  <c r="BM179" i="58"/>
  <c r="BM178" i="58"/>
  <c r="BM177" i="58"/>
  <c r="BM176" i="58"/>
  <c r="BM175" i="58"/>
  <c r="BM174" i="58"/>
  <c r="BM173" i="58"/>
  <c r="BM172" i="58"/>
  <c r="BM171" i="58"/>
  <c r="BM170" i="58"/>
  <c r="BM169" i="58"/>
  <c r="BM168" i="58"/>
  <c r="BM167" i="58"/>
  <c r="BM166" i="58"/>
  <c r="BM165" i="58"/>
  <c r="BM164" i="58"/>
  <c r="BM163" i="58"/>
  <c r="BM162" i="58"/>
  <c r="BM161" i="58"/>
  <c r="BM160" i="58"/>
  <c r="BM159" i="58"/>
  <c r="BM158" i="58"/>
  <c r="BM157" i="58"/>
  <c r="BM156" i="58"/>
  <c r="BM155" i="58"/>
  <c r="BM154" i="58"/>
  <c r="BM153" i="58"/>
  <c r="BM152" i="58"/>
  <c r="BM151" i="58"/>
  <c r="BM150" i="58"/>
  <c r="BM149" i="58"/>
  <c r="BM148" i="58"/>
  <c r="BM147" i="58"/>
  <c r="BM146" i="58"/>
  <c r="BM145" i="58"/>
  <c r="BM144" i="58"/>
  <c r="BM143" i="58"/>
  <c r="BM142" i="58"/>
  <c r="BM141" i="58"/>
  <c r="BM140" i="58"/>
  <c r="BM139" i="58"/>
  <c r="BM138" i="58"/>
  <c r="BM137" i="58"/>
  <c r="BM135" i="58"/>
  <c r="BM134" i="58"/>
  <c r="BM133" i="58"/>
  <c r="BM132" i="58"/>
  <c r="BM131" i="58"/>
  <c r="BM130" i="58"/>
  <c r="BM129" i="58"/>
  <c r="BM128" i="58"/>
  <c r="BM127" i="58"/>
  <c r="BM126" i="58"/>
  <c r="BM125" i="58"/>
  <c r="BM124" i="58"/>
  <c r="BM123" i="58"/>
  <c r="BM122" i="58"/>
  <c r="BM121" i="58"/>
  <c r="BM120" i="58"/>
  <c r="BM119" i="58"/>
  <c r="BM118" i="58"/>
  <c r="BM117" i="58"/>
  <c r="BM116" i="58"/>
  <c r="BM115" i="58"/>
  <c r="BM114" i="58"/>
  <c r="BM113" i="58"/>
  <c r="BM112" i="58"/>
  <c r="BM111" i="58"/>
  <c r="BM110" i="58"/>
  <c r="BM109" i="58"/>
  <c r="BM108" i="58"/>
  <c r="BM107" i="58"/>
  <c r="BM106" i="58"/>
  <c r="BM105" i="58"/>
  <c r="BM104" i="58"/>
  <c r="BM103" i="58"/>
  <c r="BM102" i="58"/>
  <c r="BM101" i="58"/>
  <c r="BM100" i="58"/>
  <c r="BM99" i="58"/>
  <c r="BM98" i="58"/>
  <c r="BM97" i="58"/>
  <c r="BM96" i="58"/>
  <c r="BM95" i="58"/>
  <c r="BM94" i="58"/>
  <c r="BM93" i="58"/>
  <c r="BM92" i="58"/>
  <c r="BM91" i="58"/>
  <c r="BM90" i="58"/>
  <c r="BM89" i="58"/>
  <c r="BM88" i="58"/>
  <c r="BM87" i="58"/>
  <c r="BM86" i="58"/>
  <c r="BM85" i="58"/>
  <c r="BM84" i="58"/>
  <c r="BM83" i="58"/>
  <c r="BM82" i="58"/>
  <c r="BM81" i="58"/>
  <c r="BM80" i="58"/>
  <c r="BM79" i="58"/>
  <c r="BM78" i="58"/>
  <c r="BM77" i="58"/>
  <c r="BM76" i="58"/>
  <c r="BM75" i="58"/>
  <c r="BM74" i="58"/>
  <c r="BM73" i="58"/>
  <c r="BM72" i="58"/>
  <c r="BM71" i="58"/>
  <c r="BM70" i="58"/>
  <c r="BM69" i="58"/>
  <c r="BM68" i="58"/>
  <c r="BM67" i="58"/>
  <c r="BM66" i="58"/>
  <c r="BM65" i="58"/>
  <c r="BM64" i="58"/>
  <c r="BM63" i="58"/>
  <c r="BM62" i="58"/>
  <c r="BM61" i="58"/>
  <c r="BM60" i="58"/>
  <c r="BM59" i="58"/>
  <c r="BM58" i="58"/>
  <c r="BM57" i="58"/>
  <c r="BM56" i="58"/>
  <c r="BM55" i="58"/>
  <c r="BM54" i="58"/>
  <c r="BM53" i="58"/>
  <c r="BM52" i="58"/>
  <c r="BM51" i="58"/>
  <c r="BM50" i="58"/>
  <c r="BM49" i="58"/>
  <c r="BM48" i="58"/>
  <c r="BM47" i="58"/>
  <c r="BM46" i="58"/>
  <c r="BM45" i="58"/>
  <c r="BM44" i="58"/>
  <c r="BM43" i="58"/>
  <c r="BM42" i="58"/>
  <c r="BM41" i="58"/>
  <c r="BM40" i="58"/>
  <c r="BM39" i="58"/>
  <c r="BM38" i="58"/>
  <c r="BM37" i="58"/>
  <c r="BM36" i="58"/>
  <c r="BM35" i="58"/>
  <c r="BM34" i="58"/>
  <c r="BM33" i="58"/>
  <c r="BM32" i="58"/>
  <c r="BM31" i="58"/>
  <c r="BM30" i="58"/>
  <c r="BM29" i="58"/>
  <c r="BM28" i="58"/>
  <c r="BM27" i="58"/>
  <c r="BM26" i="58"/>
  <c r="BM25" i="58"/>
  <c r="BM24" i="58"/>
  <c r="BM23" i="58"/>
  <c r="BM22" i="58"/>
  <c r="BM21" i="58"/>
  <c r="BM20" i="58"/>
  <c r="BM19" i="58"/>
  <c r="BM18" i="58"/>
  <c r="BM17" i="58"/>
  <c r="BM16" i="58"/>
  <c r="BM15" i="58"/>
  <c r="BM14" i="58"/>
  <c r="BM13" i="58"/>
  <c r="BM12" i="58"/>
  <c r="BM11" i="58"/>
  <c r="BM10" i="58"/>
  <c r="BM9" i="58"/>
  <c r="BM8" i="58"/>
  <c r="BM7" i="58"/>
  <c r="BM6" i="58"/>
  <c r="BM5" i="58"/>
  <c r="BM4" i="58"/>
  <c r="BM3" i="58"/>
  <c r="BM2" i="58"/>
  <c r="BN550" i="58"/>
  <c r="V426" i="62" a="1"/>
  <c r="V426" i="62"/>
  <c r="V425" i="62" a="1"/>
  <c r="V425" i="62"/>
  <c r="V424" i="62" a="1"/>
  <c r="V424" i="62"/>
  <c r="V423" i="62" a="1"/>
  <c r="V423" i="62"/>
  <c r="V422" i="62" a="1"/>
  <c r="V422" i="62"/>
  <c r="V421" i="62" a="1"/>
  <c r="V421" i="62"/>
  <c r="V420" i="62" a="1"/>
  <c r="V420" i="62"/>
  <c r="V419" i="62" a="1"/>
  <c r="V419" i="62"/>
  <c r="V418" i="62" a="1"/>
  <c r="V418" i="62"/>
  <c r="V417" i="62" a="1"/>
  <c r="V417" i="62"/>
  <c r="V416" i="62" a="1"/>
  <c r="V416" i="62"/>
  <c r="V415" i="62" a="1"/>
  <c r="V415" i="62"/>
  <c r="V414" i="62" a="1"/>
  <c r="V414" i="62"/>
  <c r="V413" i="62" a="1"/>
  <c r="V413" i="62"/>
  <c r="V412" i="62" a="1"/>
  <c r="V412" i="62"/>
  <c r="V411" i="62" a="1"/>
  <c r="V411" i="62"/>
  <c r="V410" i="62" a="1"/>
  <c r="V410" i="62"/>
  <c r="V409" i="62" a="1"/>
  <c r="V409" i="62"/>
  <c r="V408" i="62" a="1"/>
  <c r="V408" i="62"/>
  <c r="V407" i="62" a="1"/>
  <c r="V407" i="62"/>
  <c r="V406" i="62" a="1"/>
  <c r="V406" i="62"/>
  <c r="V405" i="62" a="1"/>
  <c r="V405" i="62"/>
  <c r="V404" i="62" a="1"/>
  <c r="V404" i="62"/>
  <c r="V403" i="62" a="1"/>
  <c r="V403" i="62"/>
  <c r="V402" i="62" a="1"/>
  <c r="V402" i="62"/>
  <c r="V401" i="62" a="1"/>
  <c r="V401" i="62"/>
  <c r="V400" i="62" a="1"/>
  <c r="V400" i="62"/>
  <c r="V399" i="62" a="1"/>
  <c r="V399" i="62"/>
  <c r="V398" i="62" a="1"/>
  <c r="V398" i="62"/>
  <c r="V397" i="62" a="1"/>
  <c r="V397" i="62"/>
  <c r="V396" i="62" a="1"/>
  <c r="V396" i="62"/>
  <c r="V395" i="62" a="1"/>
  <c r="V395" i="62"/>
  <c r="P616" i="35"/>
  <c r="K616" i="35"/>
  <c r="F616" i="35"/>
  <c r="P531" i="35"/>
  <c r="K531" i="35"/>
  <c r="F531" i="35"/>
  <c r="P445" i="35"/>
  <c r="K445" i="35"/>
  <c r="F445" i="35"/>
  <c r="P359" i="35"/>
  <c r="K359" i="35"/>
  <c r="F359" i="35"/>
  <c r="P270" i="35"/>
  <c r="K270" i="35"/>
  <c r="F270" i="35"/>
  <c r="P184" i="35"/>
  <c r="K184" i="35"/>
  <c r="F184" i="35"/>
  <c r="P98" i="35"/>
  <c r="K98" i="35"/>
  <c r="F98" i="35"/>
  <c r="P12" i="35"/>
  <c r="K12" i="35"/>
  <c r="F12" i="35"/>
  <c r="BE12" i="34"/>
  <c r="BA12" i="34"/>
  <c r="AW12" i="34"/>
  <c r="BE12" i="24"/>
  <c r="BA12" i="24"/>
  <c r="AW12" i="24"/>
  <c r="H73" i="14"/>
  <c r="F73" i="14"/>
  <c r="D73" i="14"/>
  <c r="H67" i="14"/>
  <c r="F67" i="14"/>
  <c r="D67" i="14"/>
  <c r="H63" i="14"/>
  <c r="F63" i="14"/>
  <c r="D63" i="14"/>
  <c r="L46" i="14"/>
  <c r="J46" i="14"/>
  <c r="H46" i="14"/>
  <c r="J32" i="14"/>
  <c r="H32" i="14"/>
  <c r="F32" i="14"/>
  <c r="BE12" i="23"/>
  <c r="BA12" i="23"/>
  <c r="AW12" i="23"/>
  <c r="BE12" i="22"/>
  <c r="BA12" i="22"/>
  <c r="AW12" i="22"/>
  <c r="BE12" i="17"/>
  <c r="BA12" i="17"/>
  <c r="AW12" i="17"/>
  <c r="BD12" i="21"/>
  <c r="AZ12" i="21"/>
  <c r="AV12" i="21"/>
  <c r="F43" i="9"/>
  <c r="E43" i="9"/>
  <c r="D43" i="9"/>
  <c r="E11" i="9"/>
  <c r="BE12" i="15"/>
  <c r="BA12" i="15"/>
  <c r="AW12" i="15"/>
  <c r="BH18" i="23"/>
  <c r="BG18" i="23"/>
  <c r="BF18" i="23"/>
  <c r="BE18" i="23"/>
  <c r="BD18" i="23"/>
  <c r="BC18" i="23"/>
  <c r="BB18" i="23"/>
  <c r="BA18" i="23"/>
  <c r="AZ18" i="23"/>
  <c r="AY18" i="23"/>
  <c r="AX18" i="23"/>
  <c r="AW18" i="23"/>
  <c r="P232" i="61"/>
  <c r="S229" i="61"/>
  <c r="S228" i="61"/>
  <c r="AB12" i="15"/>
  <c r="F12" i="14"/>
  <c r="G11" i="9"/>
  <c r="F12" i="11"/>
  <c r="G12" i="21"/>
  <c r="U12" i="21"/>
  <c r="N12" i="17"/>
  <c r="U12" i="17"/>
  <c r="U47" i="17"/>
  <c r="T81" i="17"/>
  <c r="T121" i="17"/>
  <c r="N12" i="34"/>
  <c r="U12" i="34"/>
  <c r="U62" i="34"/>
  <c r="U128" i="34"/>
  <c r="M12" i="22"/>
  <c r="AA12" i="22"/>
  <c r="AA39" i="22"/>
  <c r="AA66" i="22"/>
  <c r="N12" i="23"/>
  <c r="AB12" i="23"/>
  <c r="AB67" i="23"/>
  <c r="AB89" i="23"/>
  <c r="AB136" i="23"/>
  <c r="N12" i="24"/>
  <c r="AB12" i="24"/>
  <c r="AB66" i="24"/>
  <c r="AP232" i="61"/>
  <c r="T232" i="61"/>
  <c r="AD232" i="61"/>
  <c r="AZ230" i="61"/>
  <c r="AL230" i="61"/>
  <c r="AV228" i="61"/>
  <c r="AH228" i="61"/>
  <c r="AD226" i="61"/>
  <c r="P226" i="61"/>
  <c r="AZ224" i="61"/>
  <c r="AL224" i="61"/>
  <c r="X224" i="61"/>
  <c r="BH232" i="61"/>
  <c r="AV232" i="61"/>
  <c r="L232" i="61"/>
  <c r="P228" i="61"/>
  <c r="BD232" i="61"/>
  <c r="AH232" i="61"/>
  <c r="X232" i="61"/>
  <c r="BD228" i="61"/>
  <c r="AP228" i="61"/>
  <c r="L228" i="61"/>
  <c r="AL226" i="61"/>
  <c r="X226" i="61"/>
  <c r="BH224" i="61"/>
  <c r="AD224" i="61"/>
  <c r="P224" i="61"/>
  <c r="AZ232" i="61"/>
  <c r="AL232" i="61"/>
  <c r="AD231" i="61"/>
  <c r="T231" i="61"/>
  <c r="BD230" i="61"/>
  <c r="AP230" i="61"/>
  <c r="AD230" i="61"/>
  <c r="BD229" i="61"/>
  <c r="AP229" i="61"/>
  <c r="L229" i="61"/>
  <c r="BH228" i="61"/>
  <c r="AD228" i="61"/>
  <c r="T228" i="61"/>
  <c r="BD227" i="61"/>
  <c r="AD227" i="61"/>
  <c r="T227" i="61"/>
  <c r="BD226" i="61"/>
  <c r="AV226" i="61"/>
  <c r="AH226" i="61"/>
  <c r="T226" i="61"/>
  <c r="AZ225" i="61"/>
  <c r="AL225" i="61"/>
  <c r="X225" i="61"/>
  <c r="BD224" i="61"/>
  <c r="AP224" i="61"/>
  <c r="L224" i="61"/>
  <c r="BD231" i="61"/>
  <c r="AP231" i="61"/>
  <c r="P231" i="61"/>
  <c r="AZ229" i="61"/>
  <c r="AL229" i="61"/>
  <c r="X229" i="61"/>
  <c r="AZ227" i="61"/>
  <c r="AP227" i="61"/>
  <c r="P227" i="61"/>
  <c r="AV225" i="61"/>
  <c r="AH225" i="61"/>
  <c r="T225" i="61"/>
  <c r="AZ231" i="61"/>
  <c r="AL231" i="61"/>
  <c r="X231" i="61"/>
  <c r="L231" i="61"/>
  <c r="BH230" i="61"/>
  <c r="AV230" i="61"/>
  <c r="AH230" i="61"/>
  <c r="X230" i="61"/>
  <c r="L230" i="61"/>
  <c r="AV229" i="61"/>
  <c r="AH229" i="61"/>
  <c r="AZ228" i="61"/>
  <c r="AL228" i="61"/>
  <c r="X228" i="61"/>
  <c r="AL227" i="61"/>
  <c r="X227" i="61"/>
  <c r="L227" i="61"/>
  <c r="BH226" i="61"/>
  <c r="AP226" i="61"/>
  <c r="L226" i="61"/>
  <c r="BH225" i="61"/>
  <c r="AD225" i="61"/>
  <c r="P225" i="61"/>
  <c r="AV224" i="61"/>
  <c r="AH224" i="61"/>
  <c r="T224" i="61"/>
  <c r="BH231" i="61"/>
  <c r="AV231" i="61"/>
  <c r="AH231" i="61"/>
  <c r="AD229" i="61"/>
  <c r="P229" i="61"/>
  <c r="BH227" i="61"/>
  <c r="AV227" i="61"/>
  <c r="AH227" i="61"/>
  <c r="BD225" i="61"/>
  <c r="AP225" i="61"/>
  <c r="L225" i="61"/>
  <c r="BC228" i="61"/>
  <c r="AK227" i="61"/>
  <c r="AU228" i="61"/>
  <c r="AU232" i="61"/>
  <c r="AY232" i="61"/>
  <c r="BG232" i="61"/>
  <c r="BC232" i="61"/>
  <c r="AK232" i="61"/>
  <c r="AO232" i="61"/>
  <c r="AQ232" i="61"/>
  <c r="AC232" i="61"/>
  <c r="AG232" i="61"/>
  <c r="K232" i="61"/>
  <c r="M232" i="61"/>
  <c r="O232" i="61"/>
  <c r="Q232" i="61"/>
  <c r="S232" i="61"/>
  <c r="W232" i="61"/>
  <c r="AK230" i="61"/>
  <c r="AO230" i="61"/>
  <c r="AQ230" i="61"/>
  <c r="AC230" i="61"/>
  <c r="AG230" i="61"/>
  <c r="O230" i="61"/>
  <c r="Q230" i="61"/>
  <c r="P230" i="61"/>
  <c r="BC231" i="61"/>
  <c r="BG231" i="61"/>
  <c r="AU231" i="61"/>
  <c r="AY231" i="61"/>
  <c r="AC231" i="61"/>
  <c r="AG231" i="61"/>
  <c r="AK231" i="61"/>
  <c r="AO231" i="61"/>
  <c r="AQ231" i="61"/>
  <c r="S231" i="61"/>
  <c r="W231" i="61"/>
  <c r="K231" i="61"/>
  <c r="M231" i="61"/>
  <c r="O231" i="61"/>
  <c r="Q231" i="61"/>
  <c r="AU230" i="61"/>
  <c r="AY230" i="61"/>
  <c r="BC230" i="61"/>
  <c r="BG230" i="61"/>
  <c r="K230" i="61"/>
  <c r="M230" i="61"/>
  <c r="AO229" i="61"/>
  <c r="AC229" i="61"/>
  <c r="AE229" i="61"/>
  <c r="AG229" i="61"/>
  <c r="AK229" i="61"/>
  <c r="S230" i="61"/>
  <c r="T230" i="61"/>
  <c r="BG229" i="61"/>
  <c r="BH229" i="61"/>
  <c r="W230" i="61"/>
  <c r="O229" i="61"/>
  <c r="Q229" i="61"/>
  <c r="AK228" i="61"/>
  <c r="AO228" i="61"/>
  <c r="AG228" i="61"/>
  <c r="BC227" i="61"/>
  <c r="BG227" i="61"/>
  <c r="AY227" i="61"/>
  <c r="AU226" i="61"/>
  <c r="AY226" i="61"/>
  <c r="BC226" i="61"/>
  <c r="BE226" i="61"/>
  <c r="BG226" i="61"/>
  <c r="O228" i="61"/>
  <c r="Q228" i="61"/>
  <c r="W228" i="61"/>
  <c r="AG227" i="61"/>
  <c r="AO227" i="61"/>
  <c r="AK226" i="61"/>
  <c r="AO226" i="61"/>
  <c r="AC226" i="61"/>
  <c r="AE226" i="61"/>
  <c r="AG226" i="61"/>
  <c r="BC225" i="61"/>
  <c r="BG225" i="61"/>
  <c r="AU225" i="61"/>
  <c r="AW225" i="61"/>
  <c r="AY225" i="61"/>
  <c r="AU224" i="61"/>
  <c r="AY224" i="61"/>
  <c r="BC224" i="61"/>
  <c r="BE224" i="61"/>
  <c r="BG224" i="61"/>
  <c r="AK224" i="61"/>
  <c r="AO224" i="61"/>
  <c r="AC224" i="61"/>
  <c r="AG224" i="61"/>
  <c r="K224" i="61"/>
  <c r="M224" i="61"/>
  <c r="O224" i="61"/>
  <c r="Q224" i="61"/>
  <c r="S224" i="61"/>
  <c r="U224" i="61"/>
  <c r="W224" i="61"/>
  <c r="AY229" i="61"/>
  <c r="BA229" i="61"/>
  <c r="W229" i="61"/>
  <c r="Y229" i="61"/>
  <c r="T229" i="61"/>
  <c r="K229" i="61"/>
  <c r="M229" i="61"/>
  <c r="AC228" i="61"/>
  <c r="AE228" i="61"/>
  <c r="AU227" i="61"/>
  <c r="S227" i="61"/>
  <c r="U227" i="61"/>
  <c r="W227" i="61"/>
  <c r="K227" i="61"/>
  <c r="M227" i="61"/>
  <c r="O227" i="61"/>
  <c r="Q227" i="61"/>
  <c r="K226" i="61"/>
  <c r="M226" i="61"/>
  <c r="O226" i="61"/>
  <c r="Q226" i="61"/>
  <c r="S226" i="61"/>
  <c r="W226" i="61"/>
  <c r="AC225" i="61"/>
  <c r="AE225" i="61"/>
  <c r="AG225" i="61"/>
  <c r="AK225" i="61"/>
  <c r="AO225" i="61"/>
  <c r="BC229" i="61"/>
  <c r="AU229" i="61"/>
  <c r="AW229" i="61"/>
  <c r="AY228" i="61"/>
  <c r="BG228" i="61"/>
  <c r="K228" i="61"/>
  <c r="M228" i="61"/>
  <c r="AC227" i="61"/>
  <c r="S225" i="61"/>
  <c r="W225" i="61"/>
  <c r="K225" i="61"/>
  <c r="M225" i="61"/>
  <c r="O225" i="61"/>
  <c r="Q225" i="61"/>
  <c r="C211" i="62"/>
  <c r="C210" i="62"/>
  <c r="C209" i="62"/>
  <c r="C208" i="62"/>
  <c r="C207" i="62"/>
  <c r="C206" i="62"/>
  <c r="N12" i="21"/>
  <c r="BI229" i="61"/>
  <c r="BI230" i="61"/>
  <c r="Y228" i="61"/>
  <c r="AQ228" i="61"/>
  <c r="AM228" i="61"/>
  <c r="BE228" i="61"/>
  <c r="BI228" i="61"/>
  <c r="AI227" i="61"/>
  <c r="BI227" i="61"/>
  <c r="Y225" i="61"/>
  <c r="Y226" i="61"/>
  <c r="AW227" i="61"/>
  <c r="BA224" i="61"/>
  <c r="BI225" i="61"/>
  <c r="AQ226" i="61"/>
  <c r="BA226" i="61"/>
  <c r="BE230" i="61"/>
  <c r="AM231" i="61"/>
  <c r="AM230" i="61"/>
  <c r="AM232" i="61"/>
  <c r="AW232" i="61"/>
  <c r="BE229" i="61"/>
  <c r="AQ225" i="61"/>
  <c r="AQ224" i="61"/>
  <c r="BA228" i="61"/>
  <c r="U230" i="61"/>
  <c r="BE227" i="61"/>
  <c r="U225" i="61"/>
  <c r="AM225" i="61"/>
  <c r="U226" i="61"/>
  <c r="AM224" i="61"/>
  <c r="AW224" i="61"/>
  <c r="BE225" i="61"/>
  <c r="AM226" i="61"/>
  <c r="AW226" i="61"/>
  <c r="AI228" i="61"/>
  <c r="Y230" i="61"/>
  <c r="AQ229" i="61"/>
  <c r="BA230" i="61"/>
  <c r="Y231" i="61"/>
  <c r="AI231" i="61"/>
  <c r="BI231" i="61"/>
  <c r="AI230" i="61"/>
  <c r="Y232" i="61"/>
  <c r="AI232" i="61"/>
  <c r="BE232" i="61"/>
  <c r="AW228" i="61"/>
  <c r="U228" i="61"/>
  <c r="AW231" i="61"/>
  <c r="AE227" i="61"/>
  <c r="AI225" i="61"/>
  <c r="Y227" i="61"/>
  <c r="Y224" i="61"/>
  <c r="AI224" i="61"/>
  <c r="BI224" i="61"/>
  <c r="BA225" i="61"/>
  <c r="AI226" i="61"/>
  <c r="AQ227" i="61"/>
  <c r="BI226" i="61"/>
  <c r="BA227" i="61"/>
  <c r="AM229" i="61"/>
  <c r="AW230" i="61"/>
  <c r="U231" i="61"/>
  <c r="AE231" i="61"/>
  <c r="BE231" i="61"/>
  <c r="AE230" i="61"/>
  <c r="U232" i="61"/>
  <c r="AE232" i="61"/>
  <c r="BI232" i="61"/>
  <c r="AM227" i="61"/>
  <c r="U229" i="61"/>
  <c r="AE224" i="61"/>
  <c r="AI229" i="61"/>
  <c r="BA231" i="61"/>
  <c r="BA232" i="61"/>
  <c r="H12" i="14"/>
  <c r="J12" i="14"/>
  <c r="J12" i="11"/>
  <c r="H12" i="11"/>
  <c r="K11" i="9"/>
  <c r="I11" i="9"/>
  <c r="T12" i="22"/>
  <c r="T39" i="22"/>
  <c r="T66" i="22"/>
  <c r="U12" i="23"/>
  <c r="U67" i="23"/>
  <c r="U89" i="23"/>
  <c r="U136" i="23"/>
  <c r="N66" i="24"/>
  <c r="U12" i="24"/>
  <c r="U66" i="24"/>
  <c r="N67" i="23"/>
  <c r="N89" i="23"/>
  <c r="N136" i="23"/>
  <c r="U40" i="34"/>
  <c r="AB12" i="17"/>
  <c r="AB47" i="17"/>
  <c r="AA81" i="17"/>
  <c r="AA121" i="17"/>
  <c r="N47" i="17"/>
  <c r="M81" i="17"/>
  <c r="M121" i="17"/>
  <c r="M39" i="22"/>
  <c r="M66" i="22"/>
  <c r="N40" i="34"/>
  <c r="N62" i="34"/>
  <c r="N128" i="34"/>
  <c r="AB12" i="34"/>
  <c r="AB62" i="34"/>
  <c r="AB128" i="34"/>
  <c r="AB40" i="34"/>
  <c r="I204" i="62" a="1"/>
  <c r="I204" i="62"/>
  <c r="J204" i="62" a="1"/>
  <c r="J204" i="62"/>
  <c r="N204" i="62" a="1"/>
  <c r="N204" i="62"/>
  <c r="R204" i="62" a="1"/>
  <c r="R204" i="62"/>
  <c r="V204" i="62" a="1"/>
  <c r="V204" i="62"/>
  <c r="AA204" i="62" a="1"/>
  <c r="AA204" i="62"/>
  <c r="AB204" i="62" a="1"/>
  <c r="AB204" i="62"/>
  <c r="AF204" i="62" a="1"/>
  <c r="AF204" i="62"/>
  <c r="AJ204" i="62" a="1"/>
  <c r="AJ204" i="62"/>
  <c r="AN204" i="62" a="1"/>
  <c r="AN204" i="62"/>
  <c r="AS204" i="62" a="1"/>
  <c r="AS204" i="62"/>
  <c r="AT204" i="62" a="1"/>
  <c r="AT204" i="62"/>
  <c r="AX204" i="62" a="1"/>
  <c r="AX204" i="62"/>
  <c r="BB204" i="62" a="1"/>
  <c r="BB204" i="62"/>
  <c r="BF204" i="62" a="1"/>
  <c r="BF204" i="62"/>
  <c r="AU204" i="62"/>
  <c r="AY204" i="62"/>
  <c r="BC204" i="62"/>
  <c r="BG204" i="62"/>
  <c r="AO204" i="62"/>
  <c r="AC204" i="62"/>
  <c r="AG204" i="62"/>
  <c r="AK204" i="62"/>
  <c r="K204" i="62"/>
  <c r="O204" i="62"/>
  <c r="S204" i="62"/>
  <c r="W204" i="62"/>
  <c r="BF247" i="61" a="1"/>
  <c r="BF247" i="61"/>
  <c r="BB247" i="61" a="1"/>
  <c r="BB247" i="61"/>
  <c r="AX247" i="61" a="1"/>
  <c r="AX247" i="61"/>
  <c r="AT247" i="61" a="1"/>
  <c r="AT247" i="61"/>
  <c r="AS247" i="61" a="1"/>
  <c r="AS247" i="61"/>
  <c r="AN247" i="61" a="1"/>
  <c r="AN247" i="61"/>
  <c r="AJ247" i="61" a="1"/>
  <c r="AJ247" i="61"/>
  <c r="AF247" i="61" a="1"/>
  <c r="AF247" i="61"/>
  <c r="AB247" i="61" a="1"/>
  <c r="AB247" i="61"/>
  <c r="AA247" i="61" a="1"/>
  <c r="AA247" i="61"/>
  <c r="V247" i="61" a="1"/>
  <c r="V247" i="61"/>
  <c r="R247" i="61" a="1"/>
  <c r="R247" i="61"/>
  <c r="N247" i="61" a="1"/>
  <c r="N247" i="61"/>
  <c r="J247" i="61" a="1"/>
  <c r="J247" i="61"/>
  <c r="I247" i="61" a="1"/>
  <c r="I247" i="61"/>
  <c r="C247" i="61"/>
  <c r="BF280" i="62" a="1"/>
  <c r="BF280" i="62"/>
  <c r="BB280" i="62" a="1"/>
  <c r="BB280" i="62"/>
  <c r="AX280" i="62" a="1"/>
  <c r="AX280" i="62"/>
  <c r="AT280" i="62" a="1"/>
  <c r="AT280" i="62"/>
  <c r="AS280" i="62" a="1"/>
  <c r="AS280" i="62"/>
  <c r="AN280" i="62" a="1"/>
  <c r="AN280" i="62"/>
  <c r="AJ280" i="62" a="1"/>
  <c r="AJ280" i="62"/>
  <c r="AF280" i="62" a="1"/>
  <c r="AF280" i="62"/>
  <c r="AB280" i="62" a="1"/>
  <c r="AB280" i="62"/>
  <c r="AA280" i="62" a="1"/>
  <c r="AA280" i="62"/>
  <c r="V280" i="62" a="1"/>
  <c r="V280" i="62"/>
  <c r="R280" i="62" a="1"/>
  <c r="R280" i="62"/>
  <c r="N280" i="62" a="1"/>
  <c r="N280" i="62"/>
  <c r="J280" i="62" a="1"/>
  <c r="J280" i="62"/>
  <c r="I280" i="62" a="1"/>
  <c r="I280" i="62"/>
  <c r="C280" i="62"/>
  <c r="BF279" i="62" a="1"/>
  <c r="BF279" i="62"/>
  <c r="BB279" i="62" a="1"/>
  <c r="BB279" i="62"/>
  <c r="AX279" i="62" a="1"/>
  <c r="AX279" i="62"/>
  <c r="AT279" i="62" a="1"/>
  <c r="AT279" i="62"/>
  <c r="AS279" i="62" a="1"/>
  <c r="AS279" i="62"/>
  <c r="AN279" i="62" a="1"/>
  <c r="AN279" i="62"/>
  <c r="AJ279" i="62" a="1"/>
  <c r="AJ279" i="62"/>
  <c r="AF279" i="62" a="1"/>
  <c r="AF279" i="62"/>
  <c r="AB279" i="62" a="1"/>
  <c r="AB279" i="62"/>
  <c r="AA279" i="62" a="1"/>
  <c r="AA279" i="62"/>
  <c r="V279" i="62" a="1"/>
  <c r="V279" i="62"/>
  <c r="R279" i="62" a="1"/>
  <c r="R279" i="62"/>
  <c r="N279" i="62" a="1"/>
  <c r="N279" i="62"/>
  <c r="J279" i="62" a="1"/>
  <c r="J279" i="62"/>
  <c r="I279" i="62" a="1"/>
  <c r="I279" i="62"/>
  <c r="C279" i="62"/>
  <c r="BF278" i="62" a="1"/>
  <c r="BF278" i="62"/>
  <c r="BB278" i="62" a="1"/>
  <c r="BB278" i="62"/>
  <c r="AX278" i="62" a="1"/>
  <c r="AX278" i="62"/>
  <c r="AT278" i="62" a="1"/>
  <c r="AT278" i="62"/>
  <c r="AS278" i="62" a="1"/>
  <c r="AS278" i="62"/>
  <c r="AN278" i="62" a="1"/>
  <c r="AN278" i="62"/>
  <c r="AJ278" i="62" a="1"/>
  <c r="AJ278" i="62"/>
  <c r="AF278" i="62" a="1"/>
  <c r="AF278" i="62"/>
  <c r="AB278" i="62" a="1"/>
  <c r="AB278" i="62"/>
  <c r="AA278" i="62" a="1"/>
  <c r="AA278" i="62"/>
  <c r="V278" i="62" a="1"/>
  <c r="V278" i="62"/>
  <c r="R278" i="62" a="1"/>
  <c r="R278" i="62"/>
  <c r="N278" i="62" a="1"/>
  <c r="N278" i="62"/>
  <c r="J278" i="62" a="1"/>
  <c r="J278" i="62"/>
  <c r="I278" i="62" a="1"/>
  <c r="I278" i="62"/>
  <c r="C278" i="62"/>
  <c r="BK548" i="58"/>
  <c r="BK547" i="58"/>
  <c r="BK546" i="58"/>
  <c r="BK545" i="58"/>
  <c r="BK544" i="58"/>
  <c r="BK543" i="58"/>
  <c r="BK542" i="58"/>
  <c r="BK541" i="58"/>
  <c r="BK540" i="58"/>
  <c r="BK539" i="58"/>
  <c r="BK538" i="58"/>
  <c r="BK537" i="58"/>
  <c r="BK536" i="58"/>
  <c r="BK535" i="58"/>
  <c r="BK534" i="58"/>
  <c r="BK533" i="58"/>
  <c r="BK532" i="58"/>
  <c r="BK531" i="58"/>
  <c r="BK530" i="58"/>
  <c r="BK529" i="58"/>
  <c r="BK528" i="58"/>
  <c r="BK527" i="58"/>
  <c r="BK526" i="58"/>
  <c r="BK525" i="58"/>
  <c r="BK524" i="58"/>
  <c r="BK523" i="58"/>
  <c r="BK522" i="58"/>
  <c r="BK521" i="58"/>
  <c r="BK520" i="58"/>
  <c r="BK519" i="58"/>
  <c r="BK518" i="58"/>
  <c r="BK517" i="58"/>
  <c r="BK516" i="58"/>
  <c r="BK515" i="58"/>
  <c r="BK514" i="58"/>
  <c r="BK513" i="58"/>
  <c r="BK512" i="58"/>
  <c r="BK511" i="58"/>
  <c r="BK510" i="58"/>
  <c r="BK509" i="58"/>
  <c r="BK508" i="58"/>
  <c r="BK507" i="58"/>
  <c r="BK506" i="58"/>
  <c r="BK505" i="58"/>
  <c r="BK504" i="58"/>
  <c r="BK503" i="58"/>
  <c r="BK502" i="58"/>
  <c r="BK501" i="58"/>
  <c r="BK500" i="58"/>
  <c r="BK499" i="58"/>
  <c r="BK498" i="58"/>
  <c r="BK497" i="58"/>
  <c r="BK496" i="58"/>
  <c r="BK495" i="58"/>
  <c r="BK494" i="58"/>
  <c r="BK493" i="58"/>
  <c r="BK492" i="58"/>
  <c r="BK491" i="58"/>
  <c r="BK490" i="58"/>
  <c r="BK489" i="58"/>
  <c r="BK488" i="58"/>
  <c r="BK487" i="58"/>
  <c r="BK486" i="58"/>
  <c r="BK485" i="58"/>
  <c r="BK484" i="58"/>
  <c r="BK483" i="58"/>
  <c r="BK482" i="58"/>
  <c r="BK481" i="58"/>
  <c r="BK480" i="58"/>
  <c r="BK479" i="58"/>
  <c r="BK478" i="58"/>
  <c r="BK477" i="58"/>
  <c r="BK476" i="58"/>
  <c r="BK475" i="58"/>
  <c r="BK474" i="58"/>
  <c r="BK473" i="58"/>
  <c r="BK472" i="58"/>
  <c r="BK471" i="58"/>
  <c r="BK470" i="58"/>
  <c r="BK469" i="58"/>
  <c r="BK468" i="58"/>
  <c r="BK467" i="58"/>
  <c r="BK466" i="58"/>
  <c r="BK465" i="58"/>
  <c r="BK464" i="58"/>
  <c r="BK463" i="58"/>
  <c r="BK462" i="58"/>
  <c r="BK461" i="58"/>
  <c r="BK460" i="58"/>
  <c r="BK459" i="58"/>
  <c r="BK458" i="58"/>
  <c r="BK457" i="58"/>
  <c r="BK456" i="58"/>
  <c r="BK455" i="58"/>
  <c r="BK454" i="58"/>
  <c r="BK453" i="58"/>
  <c r="BK452" i="58"/>
  <c r="BK451" i="58"/>
  <c r="BK450" i="58"/>
  <c r="BK449" i="58"/>
  <c r="BK448" i="58"/>
  <c r="BK447" i="58"/>
  <c r="BK446" i="58"/>
  <c r="BK445" i="58"/>
  <c r="BK444" i="58"/>
  <c r="BK443" i="58"/>
  <c r="BK442" i="58"/>
  <c r="BK441" i="58"/>
  <c r="BK440" i="58"/>
  <c r="BK439" i="58"/>
  <c r="BK438" i="58"/>
  <c r="BK437" i="58"/>
  <c r="BK436" i="58"/>
  <c r="BK435" i="58"/>
  <c r="BK434" i="58"/>
  <c r="BK433" i="58"/>
  <c r="BK432" i="58"/>
  <c r="BK431" i="58"/>
  <c r="BK430" i="58"/>
  <c r="BK429" i="58"/>
  <c r="BK428" i="58"/>
  <c r="BK427" i="58"/>
  <c r="BK426" i="58"/>
  <c r="BK425" i="58"/>
  <c r="BK424" i="58"/>
  <c r="BK423" i="58"/>
  <c r="BK422" i="58"/>
  <c r="BK421" i="58"/>
  <c r="BK420" i="58"/>
  <c r="BK419" i="58"/>
  <c r="BK418" i="58"/>
  <c r="BK417" i="58"/>
  <c r="BK416" i="58"/>
  <c r="BK415" i="58"/>
  <c r="BK414" i="58"/>
  <c r="BK413" i="58"/>
  <c r="BK412" i="58"/>
  <c r="BK411" i="58"/>
  <c r="BK410" i="58"/>
  <c r="BK409" i="58"/>
  <c r="BK408" i="58"/>
  <c r="BK407" i="58"/>
  <c r="BK406" i="58"/>
  <c r="BK405" i="58"/>
  <c r="BK404" i="58"/>
  <c r="BK403" i="58"/>
  <c r="BK402" i="58"/>
  <c r="BK401" i="58"/>
  <c r="BK400" i="58"/>
  <c r="BK399" i="58"/>
  <c r="BK398" i="58"/>
  <c r="BK397" i="58"/>
  <c r="BK396" i="58"/>
  <c r="BK395" i="58"/>
  <c r="BK394" i="58"/>
  <c r="BK393" i="58"/>
  <c r="BK392" i="58"/>
  <c r="BK391" i="58"/>
  <c r="BK390" i="58"/>
  <c r="BK389" i="58"/>
  <c r="BK388" i="58"/>
  <c r="BK387" i="58"/>
  <c r="BK386" i="58"/>
  <c r="BK385" i="58"/>
  <c r="BK384" i="58"/>
  <c r="BK383" i="58"/>
  <c r="BK382" i="58"/>
  <c r="BK381" i="58"/>
  <c r="BK380" i="58"/>
  <c r="BK379" i="58"/>
  <c r="BK378" i="58"/>
  <c r="BK377" i="58"/>
  <c r="BK376" i="58"/>
  <c r="BK375" i="58"/>
  <c r="BK374" i="58"/>
  <c r="BK373" i="58"/>
  <c r="BK372" i="58"/>
  <c r="BK371" i="58"/>
  <c r="BK370" i="58"/>
  <c r="BK369" i="58"/>
  <c r="BK368" i="58"/>
  <c r="BK367" i="58"/>
  <c r="BK366" i="58"/>
  <c r="BK365" i="58"/>
  <c r="BK364" i="58"/>
  <c r="BK363" i="58"/>
  <c r="BK362" i="58"/>
  <c r="BK361" i="58"/>
  <c r="BK360" i="58"/>
  <c r="BK359" i="58"/>
  <c r="BK358" i="58"/>
  <c r="BK357" i="58"/>
  <c r="BK356" i="58"/>
  <c r="BK355" i="58"/>
  <c r="BK354" i="58"/>
  <c r="BK353" i="58"/>
  <c r="BK352" i="58"/>
  <c r="BK351" i="58"/>
  <c r="BK350" i="58"/>
  <c r="BK349" i="58"/>
  <c r="BK348" i="58"/>
  <c r="BK347" i="58"/>
  <c r="BK346" i="58"/>
  <c r="BK345" i="58"/>
  <c r="BK344" i="58"/>
  <c r="BK343" i="58"/>
  <c r="BK342" i="58"/>
  <c r="BK341" i="58"/>
  <c r="BK340" i="58"/>
  <c r="BK339" i="58"/>
  <c r="BK338" i="58"/>
  <c r="BK337" i="58"/>
  <c r="BK336" i="58"/>
  <c r="BK335" i="58"/>
  <c r="BK334" i="58"/>
  <c r="BK333" i="58"/>
  <c r="BK332" i="58"/>
  <c r="BK331" i="58"/>
  <c r="BK330" i="58"/>
  <c r="BK329" i="58"/>
  <c r="BK328" i="58"/>
  <c r="BK327" i="58"/>
  <c r="BK326" i="58"/>
  <c r="BK325" i="58"/>
  <c r="BK324" i="58"/>
  <c r="BK323" i="58"/>
  <c r="BK322" i="58"/>
  <c r="BK321" i="58"/>
  <c r="BK320" i="58"/>
  <c r="BK319" i="58"/>
  <c r="BK318" i="58"/>
  <c r="BK317" i="58"/>
  <c r="BK316" i="58"/>
  <c r="BK315" i="58"/>
  <c r="BK314" i="58"/>
  <c r="BK313" i="58"/>
  <c r="BK312" i="58"/>
  <c r="BK311" i="58"/>
  <c r="BK310" i="58"/>
  <c r="BK309" i="58"/>
  <c r="BK308" i="58"/>
  <c r="BK307" i="58"/>
  <c r="BK306" i="58"/>
  <c r="BK305" i="58"/>
  <c r="BK304" i="58"/>
  <c r="BK303" i="58"/>
  <c r="BK302" i="58"/>
  <c r="BK301" i="58"/>
  <c r="BK300" i="58"/>
  <c r="BK299" i="58"/>
  <c r="BK298" i="58"/>
  <c r="BK297" i="58"/>
  <c r="BK296" i="58"/>
  <c r="BK295" i="58"/>
  <c r="BK294" i="58"/>
  <c r="BK293" i="58"/>
  <c r="BK292" i="58"/>
  <c r="BK291" i="58"/>
  <c r="BK290" i="58"/>
  <c r="BK289" i="58"/>
  <c r="BK288" i="58"/>
  <c r="BK287" i="58"/>
  <c r="BK286" i="58"/>
  <c r="BK285" i="58"/>
  <c r="BK284" i="58"/>
  <c r="BK283" i="58"/>
  <c r="BK282" i="58"/>
  <c r="BK281" i="58"/>
  <c r="BK280" i="58"/>
  <c r="BK279" i="58"/>
  <c r="BK278" i="58"/>
  <c r="BK277" i="58"/>
  <c r="BK276" i="58"/>
  <c r="BK275" i="58"/>
  <c r="BK274" i="58"/>
  <c r="BK273" i="58"/>
  <c r="BK272" i="58"/>
  <c r="BK271" i="58"/>
  <c r="BK270" i="58"/>
  <c r="BK269" i="58"/>
  <c r="BK268" i="58"/>
  <c r="BK267" i="58"/>
  <c r="BK266" i="58"/>
  <c r="BK265" i="58"/>
  <c r="BK264" i="58"/>
  <c r="BK263" i="58"/>
  <c r="BK262" i="58"/>
  <c r="BK261" i="58"/>
  <c r="BK260" i="58"/>
  <c r="BK259" i="58"/>
  <c r="BK258" i="58"/>
  <c r="BK257" i="58"/>
  <c r="BK256" i="58"/>
  <c r="BK255" i="58"/>
  <c r="BK254" i="58"/>
  <c r="BK253" i="58"/>
  <c r="BK252" i="58"/>
  <c r="BK251" i="58"/>
  <c r="BK250" i="58"/>
  <c r="BK249" i="58"/>
  <c r="BK248" i="58"/>
  <c r="BK247" i="58"/>
  <c r="BK246" i="58"/>
  <c r="BK245" i="58"/>
  <c r="BK244" i="58"/>
  <c r="BK243" i="58"/>
  <c r="BK242" i="58"/>
  <c r="BK241" i="58"/>
  <c r="BK240" i="58"/>
  <c r="BK239" i="58"/>
  <c r="BK238" i="58"/>
  <c r="BK237" i="58"/>
  <c r="BK236" i="58"/>
  <c r="BK235" i="58"/>
  <c r="BK234" i="58"/>
  <c r="BK233" i="58"/>
  <c r="BK232" i="58"/>
  <c r="BK231" i="58"/>
  <c r="BK230" i="58"/>
  <c r="BK229" i="58"/>
  <c r="BK228" i="58"/>
  <c r="BK227" i="58"/>
  <c r="BK226" i="58"/>
  <c r="BK225" i="58"/>
  <c r="BK224" i="58"/>
  <c r="BK223" i="58"/>
  <c r="BK222" i="58"/>
  <c r="BK221" i="58"/>
  <c r="BK220" i="58"/>
  <c r="BK219" i="58"/>
  <c r="BK218" i="58"/>
  <c r="BK217" i="58"/>
  <c r="BK216" i="58"/>
  <c r="BK215" i="58"/>
  <c r="BK214" i="58"/>
  <c r="BK213" i="58"/>
  <c r="BK212" i="58"/>
  <c r="BK211" i="58"/>
  <c r="BK210" i="58"/>
  <c r="BK209" i="58"/>
  <c r="BK208" i="58"/>
  <c r="BK207" i="58"/>
  <c r="BK206" i="58"/>
  <c r="BK205" i="58"/>
  <c r="BK204" i="58"/>
  <c r="BK203" i="58"/>
  <c r="BK202" i="58"/>
  <c r="BK201" i="58"/>
  <c r="BK200" i="58"/>
  <c r="BK199" i="58"/>
  <c r="BK198" i="58"/>
  <c r="BK197" i="58"/>
  <c r="BK196" i="58"/>
  <c r="BK195" i="58"/>
  <c r="BK194" i="58"/>
  <c r="BK193" i="58"/>
  <c r="BK192" i="58"/>
  <c r="BK191" i="58"/>
  <c r="BK190" i="58"/>
  <c r="BK189" i="58"/>
  <c r="BK188" i="58"/>
  <c r="BK187" i="58"/>
  <c r="BK186" i="58"/>
  <c r="BK185" i="58"/>
  <c r="BK184" i="58"/>
  <c r="BK183" i="58"/>
  <c r="BK182" i="58"/>
  <c r="BK181" i="58"/>
  <c r="BK180" i="58"/>
  <c r="BK179" i="58"/>
  <c r="BK178" i="58"/>
  <c r="BK177" i="58"/>
  <c r="BK176" i="58"/>
  <c r="BK175" i="58"/>
  <c r="BK174" i="58"/>
  <c r="BK173" i="58"/>
  <c r="BK172" i="58"/>
  <c r="BK171" i="58"/>
  <c r="BK170" i="58"/>
  <c r="BK169" i="58"/>
  <c r="BK168" i="58"/>
  <c r="BK167" i="58"/>
  <c r="BK166" i="58"/>
  <c r="BK165" i="58"/>
  <c r="BK164" i="58"/>
  <c r="BK163" i="58"/>
  <c r="BK162" i="58"/>
  <c r="BK161" i="58"/>
  <c r="BK160" i="58"/>
  <c r="BK159" i="58"/>
  <c r="BK158" i="58"/>
  <c r="BK157" i="58"/>
  <c r="BK156" i="58"/>
  <c r="BK155" i="58"/>
  <c r="BK154" i="58"/>
  <c r="BK153" i="58"/>
  <c r="BK152" i="58"/>
  <c r="BK151" i="58"/>
  <c r="BK150" i="58"/>
  <c r="BK149" i="58"/>
  <c r="BK148" i="58"/>
  <c r="BK147" i="58"/>
  <c r="BK146" i="58"/>
  <c r="BK145" i="58"/>
  <c r="BK144" i="58"/>
  <c r="BK143" i="58"/>
  <c r="BK142" i="58"/>
  <c r="BK141" i="58"/>
  <c r="BK140" i="58"/>
  <c r="BK139" i="58"/>
  <c r="BK138" i="58"/>
  <c r="BK137" i="58"/>
  <c r="BK135" i="58"/>
  <c r="BK134" i="58"/>
  <c r="BK133" i="58"/>
  <c r="BK132" i="58"/>
  <c r="BK131" i="58"/>
  <c r="BK130" i="58"/>
  <c r="BK129" i="58"/>
  <c r="BK128" i="58"/>
  <c r="BK127" i="58"/>
  <c r="BK126" i="58"/>
  <c r="BK125" i="58"/>
  <c r="BK124" i="58"/>
  <c r="BK123" i="58"/>
  <c r="BK122" i="58"/>
  <c r="BK121" i="58"/>
  <c r="BK120" i="58"/>
  <c r="BK119" i="58"/>
  <c r="BK118" i="58"/>
  <c r="BK117" i="58"/>
  <c r="BK116" i="58"/>
  <c r="BK115" i="58"/>
  <c r="BK114" i="58"/>
  <c r="BK113" i="58"/>
  <c r="BK112" i="58"/>
  <c r="BK111" i="58"/>
  <c r="BK110" i="58"/>
  <c r="BK109" i="58"/>
  <c r="BK108" i="58"/>
  <c r="BK107" i="58"/>
  <c r="BK106" i="58"/>
  <c r="BK105" i="58"/>
  <c r="BK104" i="58"/>
  <c r="BK103" i="58"/>
  <c r="BK102" i="58"/>
  <c r="BK101" i="58"/>
  <c r="BK100" i="58"/>
  <c r="BK99" i="58"/>
  <c r="BK98" i="58"/>
  <c r="BK97" i="58"/>
  <c r="BK96" i="58"/>
  <c r="BK95" i="58"/>
  <c r="BK94" i="58"/>
  <c r="BK93" i="58"/>
  <c r="BK92" i="58"/>
  <c r="BK91" i="58"/>
  <c r="BK90" i="58"/>
  <c r="BK89" i="58"/>
  <c r="BK88" i="58"/>
  <c r="BK87" i="58"/>
  <c r="BK86" i="58"/>
  <c r="BK85" i="58"/>
  <c r="BK84" i="58"/>
  <c r="BK83" i="58"/>
  <c r="BK82" i="58"/>
  <c r="BK81" i="58"/>
  <c r="BK80" i="58"/>
  <c r="BK79" i="58"/>
  <c r="BK78" i="58"/>
  <c r="BK77" i="58"/>
  <c r="BK76" i="58"/>
  <c r="BK75" i="58"/>
  <c r="BK74" i="58"/>
  <c r="BK73" i="58"/>
  <c r="BK72" i="58"/>
  <c r="BK71" i="58"/>
  <c r="BK70" i="58"/>
  <c r="BK69" i="58"/>
  <c r="BK68" i="58"/>
  <c r="BK67" i="58"/>
  <c r="BK66" i="58"/>
  <c r="BK65" i="58"/>
  <c r="BK64" i="58"/>
  <c r="BK63" i="58"/>
  <c r="BK62" i="58"/>
  <c r="BK61" i="58"/>
  <c r="BK60" i="58"/>
  <c r="BK59" i="58"/>
  <c r="BK58" i="58"/>
  <c r="BK57" i="58"/>
  <c r="BK56" i="58"/>
  <c r="BK55" i="58"/>
  <c r="BK54" i="58"/>
  <c r="BK53" i="58"/>
  <c r="BK52" i="58"/>
  <c r="BK51" i="58"/>
  <c r="BK50" i="58"/>
  <c r="BK49" i="58"/>
  <c r="BK48" i="58"/>
  <c r="BK47" i="58"/>
  <c r="BK46" i="58"/>
  <c r="BK45" i="58"/>
  <c r="BK44" i="58"/>
  <c r="BK43" i="58"/>
  <c r="BK42" i="58"/>
  <c r="BK41" i="58"/>
  <c r="BK40" i="58"/>
  <c r="BK39" i="58"/>
  <c r="BK38" i="58"/>
  <c r="BK37" i="58"/>
  <c r="BK36" i="58"/>
  <c r="BK35" i="58"/>
  <c r="BK34" i="58"/>
  <c r="BK33" i="58"/>
  <c r="BK32" i="58"/>
  <c r="BK31" i="58"/>
  <c r="BK30" i="58"/>
  <c r="BK29" i="58"/>
  <c r="BK28" i="58"/>
  <c r="BK27" i="58"/>
  <c r="BK26" i="58"/>
  <c r="BK25" i="58"/>
  <c r="BK24" i="58"/>
  <c r="BK23" i="58"/>
  <c r="BK22" i="58"/>
  <c r="BK21" i="58"/>
  <c r="BK20" i="58"/>
  <c r="BK19" i="58"/>
  <c r="BK18" i="58"/>
  <c r="BK17" i="58"/>
  <c r="BK16" i="58"/>
  <c r="BK15" i="58"/>
  <c r="BK14" i="58"/>
  <c r="BK13" i="58"/>
  <c r="BK12" i="58"/>
  <c r="BK11" i="58"/>
  <c r="BK10" i="58"/>
  <c r="BK9" i="58"/>
  <c r="BK8" i="58"/>
  <c r="BK7" i="58"/>
  <c r="BK6" i="58"/>
  <c r="BK5" i="58"/>
  <c r="BK4" i="58"/>
  <c r="BK3" i="58"/>
  <c r="BK2" i="58"/>
  <c r="X279" i="62"/>
  <c r="O247" i="61"/>
  <c r="Q247" i="61"/>
  <c r="K247" i="61"/>
  <c r="W247" i="61"/>
  <c r="Y247" i="61"/>
  <c r="S247" i="61"/>
  <c r="U247" i="61"/>
  <c r="AY247" i="61"/>
  <c r="BA247" i="61"/>
  <c r="AU247" i="61"/>
  <c r="AW247" i="61"/>
  <c r="BG247" i="61"/>
  <c r="BI247" i="61"/>
  <c r="BC247" i="61"/>
  <c r="BE247" i="61"/>
  <c r="AO247" i="61"/>
  <c r="AQ247" i="61"/>
  <c r="AK247" i="61"/>
  <c r="AM247" i="61"/>
  <c r="AG247" i="61"/>
  <c r="AI247" i="61"/>
  <c r="AC247" i="61"/>
  <c r="AE247" i="61"/>
  <c r="M247" i="61"/>
  <c r="P247" i="61"/>
  <c r="AP247" i="61"/>
  <c r="AZ247" i="61"/>
  <c r="T247" i="61"/>
  <c r="AD247" i="61"/>
  <c r="BD247" i="61"/>
  <c r="X247" i="61"/>
  <c r="AH247" i="61"/>
  <c r="BH247" i="61"/>
  <c r="L247" i="61"/>
  <c r="AL247" i="61"/>
  <c r="AV247" i="61"/>
  <c r="AH280" i="62"/>
  <c r="AV280" i="62"/>
  <c r="X280" i="62"/>
  <c r="AL280" i="62"/>
  <c r="L280" i="62"/>
  <c r="P278" i="62"/>
  <c r="P280" i="62"/>
  <c r="BC280" i="62"/>
  <c r="BE280" i="62"/>
  <c r="S280" i="62"/>
  <c r="U280" i="62"/>
  <c r="AO279" i="62"/>
  <c r="AQ279" i="62"/>
  <c r="AK279" i="62"/>
  <c r="AM279" i="62"/>
  <c r="BH278" i="62"/>
  <c r="AZ280" i="62"/>
  <c r="K278" i="62"/>
  <c r="M278" i="62"/>
  <c r="W278" i="62"/>
  <c r="Y278" i="62"/>
  <c r="S278" i="62"/>
  <c r="U278" i="62"/>
  <c r="O278" i="62"/>
  <c r="Q278" i="62"/>
  <c r="AU278" i="62"/>
  <c r="AW278" i="62"/>
  <c r="BG278" i="62"/>
  <c r="BI278" i="62"/>
  <c r="BC278" i="62"/>
  <c r="BE278" i="62"/>
  <c r="AY278" i="62"/>
  <c r="BA278" i="62"/>
  <c r="AC280" i="62"/>
  <c r="AE280" i="62"/>
  <c r="AO280" i="62"/>
  <c r="AQ280" i="62"/>
  <c r="AK280" i="62"/>
  <c r="AM280" i="62"/>
  <c r="AG280" i="62"/>
  <c r="AI280" i="62"/>
  <c r="AK278" i="62"/>
  <c r="AM278" i="62"/>
  <c r="AG278" i="62"/>
  <c r="AC278" i="62"/>
  <c r="AE278" i="62"/>
  <c r="AO278" i="62"/>
  <c r="AQ278" i="62"/>
  <c r="O279" i="62"/>
  <c r="Q279" i="62"/>
  <c r="K279" i="62"/>
  <c r="M279" i="62"/>
  <c r="W279" i="62"/>
  <c r="Y279" i="62"/>
  <c r="S279" i="62"/>
  <c r="U279" i="62"/>
  <c r="AY279" i="62"/>
  <c r="BA279" i="62"/>
  <c r="AU279" i="62"/>
  <c r="AW279" i="62"/>
  <c r="BG279" i="62"/>
  <c r="BI279" i="62"/>
  <c r="BC279" i="62"/>
  <c r="BE279" i="62"/>
  <c r="L278" i="62"/>
  <c r="AI278" i="62"/>
  <c r="AL278" i="62"/>
  <c r="AV278" i="62"/>
  <c r="P279" i="62"/>
  <c r="AC279" i="62"/>
  <c r="AE279" i="62"/>
  <c r="AP279" i="62"/>
  <c r="AZ279" i="62"/>
  <c r="T280" i="62"/>
  <c r="W280" i="62"/>
  <c r="Y280" i="62"/>
  <c r="AD280" i="62"/>
  <c r="BD280" i="62"/>
  <c r="BG280" i="62"/>
  <c r="BI280" i="62"/>
  <c r="AP278" i="62"/>
  <c r="AZ278" i="62"/>
  <c r="T279" i="62"/>
  <c r="AD279" i="62"/>
  <c r="AG279" i="62"/>
  <c r="AI279" i="62"/>
  <c r="BD279" i="62"/>
  <c r="K280" i="62"/>
  <c r="M280" i="62"/>
  <c r="AU280" i="62"/>
  <c r="AW280" i="62"/>
  <c r="BH280" i="62"/>
  <c r="T278" i="62"/>
  <c r="AD278" i="62"/>
  <c r="BD278" i="62"/>
  <c r="AH279" i="62"/>
  <c r="BH279" i="62"/>
  <c r="O280" i="62"/>
  <c r="Q280" i="62"/>
  <c r="AY280" i="62"/>
  <c r="BA280" i="62"/>
  <c r="X278" i="62"/>
  <c r="AH278" i="62"/>
  <c r="L279" i="62"/>
  <c r="AL279" i="62"/>
  <c r="AV279" i="62"/>
  <c r="AP280" i="62"/>
  <c r="K21" i="11"/>
  <c r="I21" i="11"/>
  <c r="K18" i="11"/>
  <c r="I18" i="11"/>
  <c r="G21" i="11"/>
  <c r="G18" i="11"/>
  <c r="K17" i="11"/>
  <c r="I17" i="11"/>
  <c r="G17" i="11"/>
  <c r="G14" i="11"/>
  <c r="K14" i="11"/>
  <c r="I14" i="11"/>
  <c r="I16" i="11"/>
  <c r="I15" i="11"/>
  <c r="K16" i="11"/>
  <c r="K15" i="11"/>
  <c r="G16" i="11"/>
  <c r="G15" i="11"/>
  <c r="AG143" i="23"/>
  <c r="AH143" i="23"/>
  <c r="Z143" i="23"/>
  <c r="AA143" i="23"/>
  <c r="S143" i="23"/>
  <c r="BF225" i="55" a="1"/>
  <c r="BF225" i="55"/>
  <c r="BB225" i="55" a="1"/>
  <c r="BB225" i="55"/>
  <c r="AX225" i="55" a="1"/>
  <c r="AX225" i="55"/>
  <c r="AT225" i="55" a="1"/>
  <c r="AT225" i="55"/>
  <c r="AS225" i="55" a="1"/>
  <c r="AS225" i="55"/>
  <c r="AN225" i="55" a="1"/>
  <c r="AN225" i="55"/>
  <c r="AJ225" i="55" a="1"/>
  <c r="AJ225" i="55"/>
  <c r="AF225" i="55" a="1"/>
  <c r="AF225" i="55"/>
  <c r="AB225" i="55" a="1"/>
  <c r="AB225" i="55"/>
  <c r="AA225" i="55" a="1"/>
  <c r="AA225" i="55"/>
  <c r="V225" i="55" a="1"/>
  <c r="V225" i="55"/>
  <c r="R225" i="55" a="1"/>
  <c r="R225" i="55"/>
  <c r="N225" i="55" a="1"/>
  <c r="N225" i="55"/>
  <c r="J225" i="55" a="1"/>
  <c r="J225" i="55"/>
  <c r="I225" i="55" a="1"/>
  <c r="I225" i="55"/>
  <c r="H225" i="55" a="1"/>
  <c r="H225" i="55"/>
  <c r="G225" i="55" a="1"/>
  <c r="G225" i="55"/>
  <c r="BF224" i="55" a="1"/>
  <c r="BF224" i="55"/>
  <c r="BB224" i="55" a="1"/>
  <c r="BB224" i="55"/>
  <c r="AX224" i="55" a="1"/>
  <c r="AX224" i="55"/>
  <c r="AT224" i="55" a="1"/>
  <c r="AT224" i="55"/>
  <c r="AS224" i="55" a="1"/>
  <c r="AS224" i="55"/>
  <c r="AN224" i="55" a="1"/>
  <c r="AN224" i="55"/>
  <c r="AJ224" i="55" a="1"/>
  <c r="AJ224" i="55"/>
  <c r="AF224" i="55" a="1"/>
  <c r="AF224" i="55"/>
  <c r="AB224" i="55" a="1"/>
  <c r="AB224" i="55"/>
  <c r="AA224" i="55" a="1"/>
  <c r="AA224" i="55"/>
  <c r="V224" i="55" a="1"/>
  <c r="V224" i="55"/>
  <c r="R224" i="55" a="1"/>
  <c r="R224" i="55"/>
  <c r="N224" i="55" a="1"/>
  <c r="N224" i="55"/>
  <c r="J224" i="55" a="1"/>
  <c r="J224" i="55"/>
  <c r="I224" i="55" a="1"/>
  <c r="I224" i="55"/>
  <c r="H224" i="55" a="1"/>
  <c r="H224" i="55"/>
  <c r="G224" i="55" a="1"/>
  <c r="G224" i="55"/>
  <c r="BF223" i="55" a="1"/>
  <c r="BF223" i="55"/>
  <c r="BB223" i="55" a="1"/>
  <c r="BB223" i="55"/>
  <c r="AX223" i="55" a="1"/>
  <c r="AX223" i="55"/>
  <c r="AT223" i="55" a="1"/>
  <c r="AT223" i="55"/>
  <c r="AS223" i="55" a="1"/>
  <c r="AS223" i="55"/>
  <c r="AN223" i="55" a="1"/>
  <c r="AN223" i="55"/>
  <c r="AJ223" i="55" a="1"/>
  <c r="AJ223" i="55"/>
  <c r="AF223" i="55" a="1"/>
  <c r="AF223" i="55"/>
  <c r="AB223" i="55" a="1"/>
  <c r="AB223" i="55"/>
  <c r="AA223" i="55" a="1"/>
  <c r="AA223" i="55"/>
  <c r="V223" i="55" a="1"/>
  <c r="V223" i="55"/>
  <c r="R223" i="55" a="1"/>
  <c r="R223" i="55"/>
  <c r="N223" i="55" a="1"/>
  <c r="N223" i="55"/>
  <c r="J223" i="55" a="1"/>
  <c r="J223" i="55"/>
  <c r="I223" i="55" a="1"/>
  <c r="I223" i="55"/>
  <c r="H223" i="55" a="1"/>
  <c r="H223" i="55"/>
  <c r="G223" i="55" a="1"/>
  <c r="G223" i="55"/>
  <c r="BF222" i="55" a="1"/>
  <c r="BF222" i="55"/>
  <c r="BB222" i="55" a="1"/>
  <c r="BB222" i="55"/>
  <c r="AX222" i="55" a="1"/>
  <c r="AX222" i="55"/>
  <c r="AT222" i="55" a="1"/>
  <c r="AT222" i="55"/>
  <c r="AS222" i="55" a="1"/>
  <c r="AS222" i="55"/>
  <c r="AN222" i="55" a="1"/>
  <c r="AN222" i="55"/>
  <c r="AJ222" i="55" a="1"/>
  <c r="AJ222" i="55"/>
  <c r="AF222" i="55" a="1"/>
  <c r="AF222" i="55"/>
  <c r="AB222" i="55" a="1"/>
  <c r="AB222" i="55"/>
  <c r="AA222" i="55" a="1"/>
  <c r="AA222" i="55"/>
  <c r="V222" i="55" a="1"/>
  <c r="V222" i="55"/>
  <c r="R222" i="55" a="1"/>
  <c r="R222" i="55"/>
  <c r="N222" i="55" a="1"/>
  <c r="N222" i="55"/>
  <c r="J222" i="55" a="1"/>
  <c r="J222" i="55"/>
  <c r="I222" i="55" a="1"/>
  <c r="I222" i="55"/>
  <c r="H222" i="55" a="1"/>
  <c r="H222" i="55"/>
  <c r="G222" i="55" a="1"/>
  <c r="G222" i="55"/>
  <c r="BF221" i="55" a="1"/>
  <c r="BF221" i="55"/>
  <c r="BB221" i="55" a="1"/>
  <c r="BB221" i="55"/>
  <c r="AX221" i="55" a="1"/>
  <c r="AX221" i="55"/>
  <c r="AT221" i="55" a="1"/>
  <c r="AT221" i="55"/>
  <c r="AS221" i="55" a="1"/>
  <c r="AS221" i="55"/>
  <c r="AN221" i="55" a="1"/>
  <c r="AN221" i="55"/>
  <c r="AJ221" i="55" a="1"/>
  <c r="AJ221" i="55"/>
  <c r="AF221" i="55" a="1"/>
  <c r="AF221" i="55"/>
  <c r="AB221" i="55" a="1"/>
  <c r="AB221" i="55"/>
  <c r="AA221" i="55" a="1"/>
  <c r="AA221" i="55"/>
  <c r="V221" i="55" a="1"/>
  <c r="V221" i="55"/>
  <c r="R221" i="55" a="1"/>
  <c r="R221" i="55"/>
  <c r="N221" i="55" a="1"/>
  <c r="N221" i="55"/>
  <c r="J221" i="55" a="1"/>
  <c r="J221" i="55"/>
  <c r="I221" i="55" a="1"/>
  <c r="I221" i="55"/>
  <c r="H221" i="55" a="1"/>
  <c r="H221" i="55"/>
  <c r="G221" i="55" a="1"/>
  <c r="G221" i="55"/>
  <c r="BF220" i="55" a="1"/>
  <c r="BF220" i="55"/>
  <c r="BB220" i="55" a="1"/>
  <c r="BB220" i="55"/>
  <c r="AX220" i="55" a="1"/>
  <c r="AX220" i="55"/>
  <c r="AT220" i="55" a="1"/>
  <c r="AT220" i="55"/>
  <c r="AS220" i="55" a="1"/>
  <c r="AS220" i="55"/>
  <c r="AN220" i="55" a="1"/>
  <c r="AN220" i="55"/>
  <c r="AJ220" i="55" a="1"/>
  <c r="AJ220" i="55"/>
  <c r="AF220" i="55" a="1"/>
  <c r="AF220" i="55"/>
  <c r="AB220" i="55" a="1"/>
  <c r="AB220" i="55"/>
  <c r="AA220" i="55" a="1"/>
  <c r="AA220" i="55"/>
  <c r="V220" i="55" a="1"/>
  <c r="V220" i="55"/>
  <c r="R220" i="55" a="1"/>
  <c r="R220" i="55"/>
  <c r="N220" i="55" a="1"/>
  <c r="N220" i="55"/>
  <c r="J220" i="55" a="1"/>
  <c r="J220" i="55"/>
  <c r="I220" i="55" a="1"/>
  <c r="I220" i="55"/>
  <c r="H220" i="55" a="1"/>
  <c r="H220" i="55"/>
  <c r="G220" i="55" a="1"/>
  <c r="G220" i="55"/>
  <c r="BF219" i="55" a="1"/>
  <c r="BF219" i="55"/>
  <c r="BB219" i="55" a="1"/>
  <c r="BB219" i="55"/>
  <c r="AX219" i="55" a="1"/>
  <c r="AX219" i="55"/>
  <c r="AT219" i="55" a="1"/>
  <c r="AT219" i="55"/>
  <c r="AS219" i="55" a="1"/>
  <c r="AS219" i="55"/>
  <c r="AN219" i="55" a="1"/>
  <c r="AN219" i="55"/>
  <c r="AJ219" i="55" a="1"/>
  <c r="AJ219" i="55"/>
  <c r="AF219" i="55" a="1"/>
  <c r="AF219" i="55"/>
  <c r="AB219" i="55" a="1"/>
  <c r="AB219" i="55"/>
  <c r="AA219" i="55" a="1"/>
  <c r="AA219" i="55"/>
  <c r="V219" i="55" a="1"/>
  <c r="V219" i="55"/>
  <c r="R219" i="55" a="1"/>
  <c r="R219" i="55"/>
  <c r="N219" i="55" a="1"/>
  <c r="N219" i="55"/>
  <c r="J219" i="55" a="1"/>
  <c r="J219" i="55"/>
  <c r="I219" i="55" a="1"/>
  <c r="I219" i="55"/>
  <c r="H219" i="55" a="1"/>
  <c r="H219" i="55"/>
  <c r="G219" i="55" a="1"/>
  <c r="G219" i="55"/>
  <c r="BF218" i="55" a="1"/>
  <c r="BF218" i="55"/>
  <c r="BB218" i="55" a="1"/>
  <c r="BB218" i="55"/>
  <c r="AX218" i="55" a="1"/>
  <c r="AX218" i="55"/>
  <c r="AT218" i="55" a="1"/>
  <c r="AT218" i="55"/>
  <c r="AS218" i="55" a="1"/>
  <c r="AS218" i="55"/>
  <c r="AN218" i="55" a="1"/>
  <c r="AN218" i="55"/>
  <c r="AJ218" i="55" a="1"/>
  <c r="AJ218" i="55"/>
  <c r="AF218" i="55" a="1"/>
  <c r="AF218" i="55"/>
  <c r="AB218" i="55" a="1"/>
  <c r="AB218" i="55"/>
  <c r="AA218" i="55" a="1"/>
  <c r="AA218" i="55"/>
  <c r="V218" i="55" a="1"/>
  <c r="V218" i="55"/>
  <c r="R218" i="55" a="1"/>
  <c r="R218" i="55"/>
  <c r="N218" i="55" a="1"/>
  <c r="N218" i="55"/>
  <c r="J218" i="55" a="1"/>
  <c r="J218" i="55"/>
  <c r="I218" i="55" a="1"/>
  <c r="I218" i="55"/>
  <c r="H218" i="55" a="1"/>
  <c r="H218" i="55"/>
  <c r="G218" i="55" a="1"/>
  <c r="G218" i="55"/>
  <c r="BF217" i="55" a="1"/>
  <c r="BF217" i="55"/>
  <c r="BB217" i="55" a="1"/>
  <c r="BB217" i="55"/>
  <c r="AX217" i="55" a="1"/>
  <c r="AX217" i="55"/>
  <c r="AT217" i="55" a="1"/>
  <c r="AT217" i="55"/>
  <c r="AS217" i="55" a="1"/>
  <c r="AS217" i="55"/>
  <c r="AN217" i="55" a="1"/>
  <c r="AN217" i="55"/>
  <c r="AJ217" i="55" a="1"/>
  <c r="AJ217" i="55"/>
  <c r="AF217" i="55" a="1"/>
  <c r="AF217" i="55"/>
  <c r="AB217" i="55" a="1"/>
  <c r="AB217" i="55"/>
  <c r="AA217" i="55" a="1"/>
  <c r="AA217" i="55"/>
  <c r="V217" i="55" a="1"/>
  <c r="V217" i="55"/>
  <c r="R217" i="55" a="1"/>
  <c r="R217" i="55"/>
  <c r="N217" i="55" a="1"/>
  <c r="N217" i="55"/>
  <c r="J217" i="55" a="1"/>
  <c r="J217" i="55"/>
  <c r="I217" i="55" a="1"/>
  <c r="I217" i="55"/>
  <c r="H217" i="55" a="1"/>
  <c r="H217" i="55"/>
  <c r="G217" i="55" a="1"/>
  <c r="G217" i="55"/>
  <c r="BF216" i="55" a="1"/>
  <c r="BF216" i="55"/>
  <c r="BB216" i="55" a="1"/>
  <c r="BB216" i="55"/>
  <c r="AX216" i="55" a="1"/>
  <c r="AX216" i="55"/>
  <c r="AT216" i="55" a="1"/>
  <c r="AT216" i="55"/>
  <c r="AS216" i="55" a="1"/>
  <c r="AS216" i="55"/>
  <c r="AN216" i="55" a="1"/>
  <c r="AN216" i="55"/>
  <c r="AJ216" i="55" a="1"/>
  <c r="AJ216" i="55"/>
  <c r="AF216" i="55" a="1"/>
  <c r="AF216" i="55"/>
  <c r="AB216" i="55" a="1"/>
  <c r="AB216" i="55"/>
  <c r="AA216" i="55" a="1"/>
  <c r="AA216" i="55"/>
  <c r="V216" i="55" a="1"/>
  <c r="V216" i="55"/>
  <c r="R216" i="55" a="1"/>
  <c r="R216" i="55"/>
  <c r="N216" i="55" a="1"/>
  <c r="N216" i="55"/>
  <c r="J216" i="55" a="1"/>
  <c r="J216" i="55"/>
  <c r="I216" i="55" a="1"/>
  <c r="I216" i="55"/>
  <c r="H216" i="55" a="1"/>
  <c r="H216" i="55"/>
  <c r="G216" i="55" a="1"/>
  <c r="G216" i="55"/>
  <c r="BF215" i="55" a="1"/>
  <c r="BF215" i="55"/>
  <c r="BB215" i="55" a="1"/>
  <c r="BB215" i="55"/>
  <c r="AX215" i="55" a="1"/>
  <c r="AX215" i="55"/>
  <c r="AT215" i="55" a="1"/>
  <c r="AT215" i="55"/>
  <c r="AS215" i="55" a="1"/>
  <c r="AS215" i="55"/>
  <c r="AN215" i="55" a="1"/>
  <c r="AN215" i="55"/>
  <c r="AJ215" i="55" a="1"/>
  <c r="AJ215" i="55"/>
  <c r="AF215" i="55" a="1"/>
  <c r="AF215" i="55"/>
  <c r="AB215" i="55" a="1"/>
  <c r="AB215" i="55"/>
  <c r="AA215" i="55" a="1"/>
  <c r="AA215" i="55"/>
  <c r="V215" i="55" a="1"/>
  <c r="V215" i="55"/>
  <c r="R215" i="55" a="1"/>
  <c r="R215" i="55"/>
  <c r="N215" i="55" a="1"/>
  <c r="N215" i="55"/>
  <c r="J215" i="55" a="1"/>
  <c r="J215" i="55"/>
  <c r="I215" i="55" a="1"/>
  <c r="I215" i="55"/>
  <c r="H215" i="55" a="1"/>
  <c r="H215" i="55"/>
  <c r="G215" i="55" a="1"/>
  <c r="G215" i="55"/>
  <c r="BF214" i="55" a="1"/>
  <c r="BF214" i="55"/>
  <c r="BB214" i="55" a="1"/>
  <c r="BB214" i="55"/>
  <c r="AX214" i="55" a="1"/>
  <c r="AX214" i="55"/>
  <c r="AT214" i="55" a="1"/>
  <c r="AT214" i="55"/>
  <c r="AS214" i="55" a="1"/>
  <c r="AS214" i="55"/>
  <c r="AN214" i="55" a="1"/>
  <c r="AN214" i="55"/>
  <c r="AJ214" i="55" a="1"/>
  <c r="AJ214" i="55"/>
  <c r="AF214" i="55" a="1"/>
  <c r="AF214" i="55"/>
  <c r="AB214" i="55" a="1"/>
  <c r="AB214" i="55"/>
  <c r="AA214" i="55" a="1"/>
  <c r="AA214" i="55"/>
  <c r="V214" i="55" a="1"/>
  <c r="V214" i="55"/>
  <c r="R214" i="55" a="1"/>
  <c r="R214" i="55"/>
  <c r="N214" i="55" a="1"/>
  <c r="N214" i="55"/>
  <c r="J214" i="55" a="1"/>
  <c r="J214" i="55"/>
  <c r="I214" i="55" a="1"/>
  <c r="I214" i="55"/>
  <c r="H214" i="55" a="1"/>
  <c r="H214" i="55"/>
  <c r="G214" i="55" a="1"/>
  <c r="G214" i="55"/>
  <c r="BF213" i="55" a="1"/>
  <c r="BF213" i="55"/>
  <c r="BB213" i="55" a="1"/>
  <c r="BB213" i="55"/>
  <c r="AX213" i="55" a="1"/>
  <c r="AX213" i="55"/>
  <c r="AT213" i="55" a="1"/>
  <c r="AT213" i="55"/>
  <c r="AS213" i="55" a="1"/>
  <c r="AS213" i="55"/>
  <c r="AN213" i="55" a="1"/>
  <c r="AN213" i="55"/>
  <c r="AJ213" i="55" a="1"/>
  <c r="AJ213" i="55"/>
  <c r="AF213" i="55" a="1"/>
  <c r="AF213" i="55"/>
  <c r="AB213" i="55" a="1"/>
  <c r="AB213" i="55"/>
  <c r="AA213" i="55" a="1"/>
  <c r="AA213" i="55"/>
  <c r="V213" i="55" a="1"/>
  <c r="V213" i="55"/>
  <c r="R213" i="55" a="1"/>
  <c r="R213" i="55"/>
  <c r="N213" i="55" a="1"/>
  <c r="N213" i="55"/>
  <c r="J213" i="55" a="1"/>
  <c r="J213" i="55"/>
  <c r="I213" i="55" a="1"/>
  <c r="I213" i="55"/>
  <c r="H213" i="55" a="1"/>
  <c r="H213" i="55"/>
  <c r="G213" i="55" a="1"/>
  <c r="G213" i="55"/>
  <c r="BF212" i="55" a="1"/>
  <c r="BF212" i="55"/>
  <c r="BB212" i="55" a="1"/>
  <c r="BB212" i="55"/>
  <c r="AX212" i="55" a="1"/>
  <c r="AX212" i="55"/>
  <c r="AT212" i="55" a="1"/>
  <c r="AT212" i="55"/>
  <c r="AS212" i="55" a="1"/>
  <c r="AS212" i="55"/>
  <c r="AN212" i="55" a="1"/>
  <c r="AN212" i="55"/>
  <c r="AJ212" i="55" a="1"/>
  <c r="AJ212" i="55"/>
  <c r="AF212" i="55" a="1"/>
  <c r="AF212" i="55"/>
  <c r="AB212" i="55" a="1"/>
  <c r="AB212" i="55"/>
  <c r="AA212" i="55" a="1"/>
  <c r="AA212" i="55"/>
  <c r="V212" i="55" a="1"/>
  <c r="V212" i="55"/>
  <c r="R212" i="55" a="1"/>
  <c r="R212" i="55"/>
  <c r="N212" i="55" a="1"/>
  <c r="N212" i="55"/>
  <c r="J212" i="55" a="1"/>
  <c r="J212" i="55"/>
  <c r="I212" i="55" a="1"/>
  <c r="I212" i="55"/>
  <c r="H212" i="55" a="1"/>
  <c r="H212" i="55"/>
  <c r="G212" i="55" a="1"/>
  <c r="G212" i="55"/>
  <c r="BF211" i="55" a="1"/>
  <c r="BF211" i="55"/>
  <c r="BB211" i="55" a="1"/>
  <c r="BB211" i="55"/>
  <c r="AX211" i="55" a="1"/>
  <c r="AX211" i="55"/>
  <c r="AT211" i="55" a="1"/>
  <c r="AT211" i="55"/>
  <c r="AS211" i="55" a="1"/>
  <c r="AS211" i="55"/>
  <c r="AN211" i="55" a="1"/>
  <c r="AN211" i="55"/>
  <c r="AJ211" i="55" a="1"/>
  <c r="AJ211" i="55"/>
  <c r="AF211" i="55" a="1"/>
  <c r="AF211" i="55"/>
  <c r="AB211" i="55" a="1"/>
  <c r="AB211" i="55"/>
  <c r="AA211" i="55" a="1"/>
  <c r="AA211" i="55"/>
  <c r="V211" i="55" a="1"/>
  <c r="V211" i="55"/>
  <c r="R211" i="55" a="1"/>
  <c r="R211" i="55"/>
  <c r="N211" i="55" a="1"/>
  <c r="N211" i="55"/>
  <c r="J211" i="55" a="1"/>
  <c r="J211" i="55"/>
  <c r="I211" i="55" a="1"/>
  <c r="I211" i="55"/>
  <c r="H211" i="55" a="1"/>
  <c r="H211" i="55"/>
  <c r="G211" i="55" a="1"/>
  <c r="G211" i="55"/>
  <c r="BF210" i="55" a="1"/>
  <c r="BF210" i="55"/>
  <c r="BB210" i="55" a="1"/>
  <c r="BB210" i="55"/>
  <c r="AX210" i="55" a="1"/>
  <c r="AX210" i="55"/>
  <c r="AT210" i="55" a="1"/>
  <c r="AT210" i="55"/>
  <c r="AS210" i="55" a="1"/>
  <c r="AS210" i="55"/>
  <c r="AN210" i="55" a="1"/>
  <c r="AN210" i="55"/>
  <c r="AJ210" i="55" a="1"/>
  <c r="AJ210" i="55"/>
  <c r="AF210" i="55" a="1"/>
  <c r="AF210" i="55"/>
  <c r="AB210" i="55" a="1"/>
  <c r="AB210" i="55"/>
  <c r="AA210" i="55" a="1"/>
  <c r="AA210" i="55"/>
  <c r="V210" i="55" a="1"/>
  <c r="V210" i="55"/>
  <c r="R210" i="55" a="1"/>
  <c r="R210" i="55"/>
  <c r="N210" i="55" a="1"/>
  <c r="N210" i="55"/>
  <c r="J210" i="55" a="1"/>
  <c r="J210" i="55"/>
  <c r="I210" i="55" a="1"/>
  <c r="I210" i="55"/>
  <c r="H210" i="55" a="1"/>
  <c r="H210" i="55"/>
  <c r="G210" i="55" a="1"/>
  <c r="G210" i="55"/>
  <c r="BF209" i="55" a="1"/>
  <c r="BF209" i="55"/>
  <c r="BB209" i="55" a="1"/>
  <c r="BB209" i="55"/>
  <c r="AX209" i="55" a="1"/>
  <c r="AX209" i="55"/>
  <c r="AT209" i="55" a="1"/>
  <c r="AT209" i="55"/>
  <c r="AS209" i="55" a="1"/>
  <c r="AS209" i="55"/>
  <c r="AN209" i="55" a="1"/>
  <c r="AN209" i="55"/>
  <c r="AJ209" i="55" a="1"/>
  <c r="AJ209" i="55"/>
  <c r="AF209" i="55" a="1"/>
  <c r="AF209" i="55"/>
  <c r="AB209" i="55" a="1"/>
  <c r="AB209" i="55"/>
  <c r="AA209" i="55" a="1"/>
  <c r="AA209" i="55"/>
  <c r="V209" i="55" a="1"/>
  <c r="V209" i="55"/>
  <c r="R209" i="55" a="1"/>
  <c r="R209" i="55"/>
  <c r="N209" i="55" a="1"/>
  <c r="N209" i="55"/>
  <c r="J209" i="55" a="1"/>
  <c r="J209" i="55"/>
  <c r="I209" i="55" a="1"/>
  <c r="I209" i="55"/>
  <c r="H209" i="55" a="1"/>
  <c r="H209" i="55"/>
  <c r="G209" i="55" a="1"/>
  <c r="G209" i="55"/>
  <c r="BF208" i="55" a="1"/>
  <c r="BF208" i="55"/>
  <c r="BB208" i="55" a="1"/>
  <c r="BB208" i="55"/>
  <c r="AX208" i="55" a="1"/>
  <c r="AX208" i="55"/>
  <c r="AT208" i="55" a="1"/>
  <c r="AT208" i="55"/>
  <c r="AS208" i="55" a="1"/>
  <c r="AS208" i="55"/>
  <c r="AN208" i="55" a="1"/>
  <c r="AN208" i="55"/>
  <c r="AJ208" i="55" a="1"/>
  <c r="AJ208" i="55"/>
  <c r="AF208" i="55" a="1"/>
  <c r="AF208" i="55"/>
  <c r="AB208" i="55" a="1"/>
  <c r="AB208" i="55"/>
  <c r="AA208" i="55" a="1"/>
  <c r="AA208" i="55"/>
  <c r="V208" i="55" a="1"/>
  <c r="V208" i="55"/>
  <c r="R208" i="55" a="1"/>
  <c r="R208" i="55"/>
  <c r="N208" i="55" a="1"/>
  <c r="N208" i="55"/>
  <c r="J208" i="55" a="1"/>
  <c r="J208" i="55"/>
  <c r="I208" i="55" a="1"/>
  <c r="I208" i="55"/>
  <c r="H208" i="55" a="1"/>
  <c r="H208" i="55"/>
  <c r="G208" i="55" a="1"/>
  <c r="G208" i="55"/>
  <c r="BF207" i="55" a="1"/>
  <c r="BF207" i="55"/>
  <c r="BB207" i="55" a="1"/>
  <c r="BB207" i="55"/>
  <c r="AX207" i="55" a="1"/>
  <c r="AX207" i="55"/>
  <c r="AT207" i="55" a="1"/>
  <c r="AT207" i="55"/>
  <c r="AS207" i="55" a="1"/>
  <c r="AS207" i="55"/>
  <c r="AN207" i="55" a="1"/>
  <c r="AN207" i="55"/>
  <c r="AJ207" i="55" a="1"/>
  <c r="AJ207" i="55"/>
  <c r="AF207" i="55" a="1"/>
  <c r="AF207" i="55"/>
  <c r="AB207" i="55" a="1"/>
  <c r="AB207" i="55"/>
  <c r="AA207" i="55" a="1"/>
  <c r="AA207" i="55"/>
  <c r="V207" i="55" a="1"/>
  <c r="V207" i="55"/>
  <c r="R207" i="55" a="1"/>
  <c r="R207" i="55"/>
  <c r="N207" i="55" a="1"/>
  <c r="N207" i="55"/>
  <c r="J207" i="55" a="1"/>
  <c r="J207" i="55"/>
  <c r="I207" i="55" a="1"/>
  <c r="I207" i="55"/>
  <c r="H207" i="55" a="1"/>
  <c r="H207" i="55"/>
  <c r="G207" i="55" a="1"/>
  <c r="G207" i="55"/>
  <c r="BF206" i="55" a="1"/>
  <c r="BF206" i="55"/>
  <c r="BB206" i="55" a="1"/>
  <c r="BB206" i="55"/>
  <c r="AX206" i="55" a="1"/>
  <c r="AX206" i="55"/>
  <c r="AT206" i="55" a="1"/>
  <c r="AT206" i="55"/>
  <c r="AS206" i="55" a="1"/>
  <c r="AS206" i="55"/>
  <c r="AN206" i="55" a="1"/>
  <c r="AN206" i="55"/>
  <c r="AJ206" i="55" a="1"/>
  <c r="AJ206" i="55"/>
  <c r="AF206" i="55" a="1"/>
  <c r="AF206" i="55"/>
  <c r="AB206" i="55" a="1"/>
  <c r="AB206" i="55"/>
  <c r="AA206" i="55" a="1"/>
  <c r="AA206" i="55"/>
  <c r="V206" i="55" a="1"/>
  <c r="V206" i="55"/>
  <c r="R206" i="55" a="1"/>
  <c r="R206" i="55"/>
  <c r="N206" i="55" a="1"/>
  <c r="N206" i="55"/>
  <c r="J206" i="55" a="1"/>
  <c r="J206" i="55"/>
  <c r="I206" i="55" a="1"/>
  <c r="I206" i="55"/>
  <c r="H206" i="55" a="1"/>
  <c r="H206" i="55"/>
  <c r="G206" i="55" a="1"/>
  <c r="G206" i="55"/>
  <c r="BF205" i="55" a="1"/>
  <c r="BF205" i="55"/>
  <c r="BB205" i="55" a="1"/>
  <c r="BB205" i="55"/>
  <c r="AX205" i="55" a="1"/>
  <c r="AX205" i="55"/>
  <c r="AT205" i="55" a="1"/>
  <c r="AT205" i="55"/>
  <c r="AS205" i="55" a="1"/>
  <c r="AS205" i="55"/>
  <c r="AN205" i="55" a="1"/>
  <c r="AN205" i="55"/>
  <c r="AJ205" i="55" a="1"/>
  <c r="AJ205" i="55"/>
  <c r="AF205" i="55" a="1"/>
  <c r="AF205" i="55"/>
  <c r="AB205" i="55" a="1"/>
  <c r="AB205" i="55"/>
  <c r="AA205" i="55" a="1"/>
  <c r="AA205" i="55"/>
  <c r="V205" i="55" a="1"/>
  <c r="V205" i="55"/>
  <c r="R205" i="55" a="1"/>
  <c r="R205" i="55"/>
  <c r="N205" i="55" a="1"/>
  <c r="N205" i="55"/>
  <c r="J205" i="55" a="1"/>
  <c r="J205" i="55"/>
  <c r="I205" i="55" a="1"/>
  <c r="I205" i="55"/>
  <c r="H205" i="55" a="1"/>
  <c r="H205" i="55"/>
  <c r="G205" i="55" a="1"/>
  <c r="G205" i="55"/>
  <c r="BF204" i="55" a="1"/>
  <c r="BF204" i="55"/>
  <c r="BB204" i="55" a="1"/>
  <c r="BB204" i="55"/>
  <c r="AX204" i="55" a="1"/>
  <c r="AX204" i="55"/>
  <c r="AT204" i="55" a="1"/>
  <c r="AT204" i="55"/>
  <c r="AS204" i="55" a="1"/>
  <c r="AS204" i="55"/>
  <c r="AN204" i="55" a="1"/>
  <c r="AN204" i="55"/>
  <c r="AJ204" i="55" a="1"/>
  <c r="AJ204" i="55"/>
  <c r="AF204" i="55" a="1"/>
  <c r="AF204" i="55"/>
  <c r="AB204" i="55" a="1"/>
  <c r="AB204" i="55"/>
  <c r="AA204" i="55" a="1"/>
  <c r="AA204" i="55"/>
  <c r="V204" i="55" a="1"/>
  <c r="V204" i="55"/>
  <c r="R204" i="55" a="1"/>
  <c r="R204" i="55"/>
  <c r="N204" i="55" a="1"/>
  <c r="N204" i="55"/>
  <c r="J204" i="55" a="1"/>
  <c r="J204" i="55"/>
  <c r="I204" i="55" a="1"/>
  <c r="I204" i="55"/>
  <c r="H204" i="55" a="1"/>
  <c r="H204" i="55"/>
  <c r="G204" i="55" a="1"/>
  <c r="G204" i="55"/>
  <c r="BF203" i="55" a="1"/>
  <c r="BF203" i="55"/>
  <c r="BB203" i="55" a="1"/>
  <c r="BB203" i="55"/>
  <c r="AX203" i="55" a="1"/>
  <c r="AX203" i="55"/>
  <c r="AT203" i="55" a="1"/>
  <c r="AT203" i="55"/>
  <c r="AS203" i="55" a="1"/>
  <c r="AS203" i="55"/>
  <c r="AN203" i="55" a="1"/>
  <c r="AN203" i="55"/>
  <c r="AJ203" i="55" a="1"/>
  <c r="AJ203" i="55"/>
  <c r="AF203" i="55" a="1"/>
  <c r="AF203" i="55"/>
  <c r="AB203" i="55" a="1"/>
  <c r="AB203" i="55"/>
  <c r="AA203" i="55" a="1"/>
  <c r="AA203" i="55"/>
  <c r="V203" i="55" a="1"/>
  <c r="V203" i="55"/>
  <c r="R203" i="55" a="1"/>
  <c r="R203" i="55"/>
  <c r="N203" i="55" a="1"/>
  <c r="N203" i="55"/>
  <c r="J203" i="55" a="1"/>
  <c r="J203" i="55"/>
  <c r="I203" i="55" a="1"/>
  <c r="I203" i="55"/>
  <c r="H203" i="55" a="1"/>
  <c r="H203" i="55"/>
  <c r="G203" i="55" a="1"/>
  <c r="G203" i="55"/>
  <c r="BF202" i="55" a="1"/>
  <c r="BF202" i="55"/>
  <c r="BB202" i="55" a="1"/>
  <c r="BB202" i="55"/>
  <c r="AX202" i="55" a="1"/>
  <c r="AX202" i="55"/>
  <c r="AT202" i="55" a="1"/>
  <c r="AT202" i="55"/>
  <c r="AS202" i="55" a="1"/>
  <c r="AS202" i="55"/>
  <c r="AN202" i="55" a="1"/>
  <c r="AN202" i="55"/>
  <c r="AJ202" i="55" a="1"/>
  <c r="AJ202" i="55"/>
  <c r="AF202" i="55" a="1"/>
  <c r="AF202" i="55"/>
  <c r="AB202" i="55" a="1"/>
  <c r="AB202" i="55"/>
  <c r="AA202" i="55" a="1"/>
  <c r="AA202" i="55"/>
  <c r="V202" i="55" a="1"/>
  <c r="V202" i="55"/>
  <c r="R202" i="55" a="1"/>
  <c r="R202" i="55"/>
  <c r="N202" i="55" a="1"/>
  <c r="N202" i="55"/>
  <c r="J202" i="55" a="1"/>
  <c r="J202" i="55"/>
  <c r="I202" i="55" a="1"/>
  <c r="I202" i="55"/>
  <c r="H202" i="55" a="1"/>
  <c r="H202" i="55"/>
  <c r="G202" i="55" a="1"/>
  <c r="G202" i="55"/>
  <c r="BF201" i="55" a="1"/>
  <c r="BF201" i="55"/>
  <c r="BB201" i="55" a="1"/>
  <c r="BB201" i="55"/>
  <c r="AX201" i="55" a="1"/>
  <c r="AX201" i="55"/>
  <c r="AT201" i="55" a="1"/>
  <c r="AT201" i="55"/>
  <c r="AS201" i="55" a="1"/>
  <c r="AS201" i="55"/>
  <c r="AN201" i="55" a="1"/>
  <c r="AN201" i="55"/>
  <c r="AJ201" i="55" a="1"/>
  <c r="AJ201" i="55"/>
  <c r="AF201" i="55" a="1"/>
  <c r="AF201" i="55"/>
  <c r="AB201" i="55" a="1"/>
  <c r="AB201" i="55"/>
  <c r="AA201" i="55" a="1"/>
  <c r="AA201" i="55"/>
  <c r="V201" i="55" a="1"/>
  <c r="V201" i="55"/>
  <c r="R201" i="55" a="1"/>
  <c r="R201" i="55"/>
  <c r="N201" i="55" a="1"/>
  <c r="N201" i="55"/>
  <c r="J201" i="55" a="1"/>
  <c r="J201" i="55"/>
  <c r="I201" i="55" a="1"/>
  <c r="I201" i="55"/>
  <c r="BF200" i="55" a="1"/>
  <c r="BF200" i="55"/>
  <c r="BB200" i="55" a="1"/>
  <c r="BB200" i="55"/>
  <c r="AX200" i="55" a="1"/>
  <c r="AX200" i="55"/>
  <c r="AT200" i="55" a="1"/>
  <c r="AT200" i="55"/>
  <c r="AS200" i="55" a="1"/>
  <c r="AS200" i="55"/>
  <c r="AN200" i="55" a="1"/>
  <c r="AN200" i="55"/>
  <c r="AJ200" i="55" a="1"/>
  <c r="AJ200" i="55"/>
  <c r="AF200" i="55" a="1"/>
  <c r="AF200" i="55"/>
  <c r="AB200" i="55" a="1"/>
  <c r="AB200" i="55"/>
  <c r="AA200" i="55" a="1"/>
  <c r="AA200" i="55"/>
  <c r="V200" i="55" a="1"/>
  <c r="V200" i="55"/>
  <c r="R200" i="55" a="1"/>
  <c r="R200" i="55"/>
  <c r="N200" i="55" a="1"/>
  <c r="N200" i="55"/>
  <c r="J200" i="55" a="1"/>
  <c r="J200" i="55"/>
  <c r="I200" i="55" a="1"/>
  <c r="I200" i="55"/>
  <c r="H200" i="55" a="1"/>
  <c r="H200" i="55"/>
  <c r="G200" i="55" a="1"/>
  <c r="G200" i="55"/>
  <c r="BF199" i="55" a="1"/>
  <c r="BF199" i="55"/>
  <c r="BB199" i="55" a="1"/>
  <c r="BB199" i="55"/>
  <c r="AX199" i="55" a="1"/>
  <c r="AX199" i="55"/>
  <c r="AT199" i="55" a="1"/>
  <c r="AT199" i="55"/>
  <c r="AS199" i="55" a="1"/>
  <c r="AS199" i="55"/>
  <c r="AN199" i="55" a="1"/>
  <c r="AN199" i="55"/>
  <c r="AJ199" i="55" a="1"/>
  <c r="AJ199" i="55"/>
  <c r="AF199" i="55" a="1"/>
  <c r="AF199" i="55"/>
  <c r="AB199" i="55" a="1"/>
  <c r="AB199" i="55"/>
  <c r="AA199" i="55" a="1"/>
  <c r="AA199" i="55"/>
  <c r="V199" i="55" a="1"/>
  <c r="V199" i="55"/>
  <c r="R199" i="55" a="1"/>
  <c r="R199" i="55"/>
  <c r="N199" i="55" a="1"/>
  <c r="N199" i="55"/>
  <c r="J199" i="55" a="1"/>
  <c r="J199" i="55"/>
  <c r="I199" i="55" a="1"/>
  <c r="I199" i="55"/>
  <c r="H199" i="55" a="1"/>
  <c r="H199" i="55"/>
  <c r="G199" i="55" a="1"/>
  <c r="G199" i="55"/>
  <c r="BF198" i="55" a="1"/>
  <c r="BF198" i="55"/>
  <c r="BB198" i="55" a="1"/>
  <c r="BB198" i="55"/>
  <c r="AX198" i="55" a="1"/>
  <c r="AX198" i="55"/>
  <c r="AT198" i="55" a="1"/>
  <c r="AT198" i="55"/>
  <c r="AS198" i="55" a="1"/>
  <c r="AS198" i="55"/>
  <c r="AN198" i="55" a="1"/>
  <c r="AN198" i="55"/>
  <c r="AJ198" i="55" a="1"/>
  <c r="AJ198" i="55"/>
  <c r="AF198" i="55" a="1"/>
  <c r="AF198" i="55"/>
  <c r="AB198" i="55" a="1"/>
  <c r="AB198" i="55"/>
  <c r="AA198" i="55" a="1"/>
  <c r="AA198" i="55"/>
  <c r="V198" i="55" a="1"/>
  <c r="V198" i="55"/>
  <c r="R198" i="55" a="1"/>
  <c r="R198" i="55"/>
  <c r="N198" i="55" a="1"/>
  <c r="N198" i="55"/>
  <c r="J198" i="55" a="1"/>
  <c r="J198" i="55"/>
  <c r="I198" i="55" a="1"/>
  <c r="I198" i="55"/>
  <c r="H198" i="55" a="1"/>
  <c r="H198" i="55"/>
  <c r="G198" i="55" a="1"/>
  <c r="G198" i="55"/>
  <c r="BF197" i="55" a="1"/>
  <c r="BF197" i="55"/>
  <c r="BB197" i="55" a="1"/>
  <c r="BB197" i="55"/>
  <c r="AX197" i="55" a="1"/>
  <c r="AX197" i="55"/>
  <c r="AT197" i="55" a="1"/>
  <c r="AT197" i="55"/>
  <c r="AS197" i="55" a="1"/>
  <c r="AS197" i="55"/>
  <c r="AN197" i="55" a="1"/>
  <c r="AN197" i="55"/>
  <c r="AJ197" i="55" a="1"/>
  <c r="AJ197" i="55"/>
  <c r="AF197" i="55" a="1"/>
  <c r="AF197" i="55"/>
  <c r="AB197" i="55" a="1"/>
  <c r="AB197" i="55"/>
  <c r="AA197" i="55" a="1"/>
  <c r="AA197" i="55"/>
  <c r="V197" i="55" a="1"/>
  <c r="V197" i="55"/>
  <c r="R197" i="55" a="1"/>
  <c r="R197" i="55"/>
  <c r="N197" i="55" a="1"/>
  <c r="N197" i="55"/>
  <c r="J197" i="55" a="1"/>
  <c r="J197" i="55"/>
  <c r="I197" i="55" a="1"/>
  <c r="I197" i="55"/>
  <c r="H197" i="55" a="1"/>
  <c r="H197" i="55"/>
  <c r="G197" i="55" a="1"/>
  <c r="G197" i="55"/>
  <c r="BF196" i="55" a="1"/>
  <c r="BF196" i="55"/>
  <c r="BB196" i="55" a="1"/>
  <c r="BB196" i="55"/>
  <c r="AX196" i="55" a="1"/>
  <c r="AX196" i="55"/>
  <c r="AT196" i="55" a="1"/>
  <c r="AT196" i="55"/>
  <c r="AS196" i="55" a="1"/>
  <c r="AS196" i="55"/>
  <c r="AN196" i="55" a="1"/>
  <c r="AN196" i="55"/>
  <c r="AJ196" i="55" a="1"/>
  <c r="AJ196" i="55"/>
  <c r="AF196" i="55" a="1"/>
  <c r="AF196" i="55"/>
  <c r="AB196" i="55" a="1"/>
  <c r="AB196" i="55"/>
  <c r="AA196" i="55" a="1"/>
  <c r="AA196" i="55"/>
  <c r="V196" i="55" a="1"/>
  <c r="V196" i="55"/>
  <c r="R196" i="55" a="1"/>
  <c r="R196" i="55"/>
  <c r="N196" i="55" a="1"/>
  <c r="N196" i="55"/>
  <c r="J196" i="55" a="1"/>
  <c r="J196" i="55"/>
  <c r="I196" i="55" a="1"/>
  <c r="I196" i="55"/>
  <c r="H196" i="55" a="1"/>
  <c r="H196" i="55"/>
  <c r="G196" i="55" a="1"/>
  <c r="G196" i="55"/>
  <c r="BF195" i="55" a="1"/>
  <c r="BF195" i="55"/>
  <c r="BB195" i="55" a="1"/>
  <c r="BB195" i="55"/>
  <c r="AX195" i="55" a="1"/>
  <c r="AX195" i="55"/>
  <c r="AT195" i="55" a="1"/>
  <c r="AT195" i="55"/>
  <c r="AS195" i="55" a="1"/>
  <c r="AS195" i="55"/>
  <c r="AN195" i="55" a="1"/>
  <c r="AN195" i="55"/>
  <c r="AJ195" i="55" a="1"/>
  <c r="AJ195" i="55"/>
  <c r="AF195" i="55" a="1"/>
  <c r="AF195" i="55"/>
  <c r="AB195" i="55" a="1"/>
  <c r="AB195" i="55"/>
  <c r="AA195" i="55" a="1"/>
  <c r="AA195" i="55"/>
  <c r="V195" i="55" a="1"/>
  <c r="V195" i="55"/>
  <c r="R195" i="55" a="1"/>
  <c r="R195" i="55"/>
  <c r="N195" i="55" a="1"/>
  <c r="N195" i="55"/>
  <c r="J195" i="55" a="1"/>
  <c r="J195" i="55"/>
  <c r="I195" i="55" a="1"/>
  <c r="I195" i="55"/>
  <c r="H195" i="55" a="1"/>
  <c r="H195" i="55"/>
  <c r="G195" i="55" a="1"/>
  <c r="G195" i="55"/>
  <c r="BF194" i="55" a="1"/>
  <c r="BF194" i="55"/>
  <c r="BB194" i="55" a="1"/>
  <c r="BB194" i="55"/>
  <c r="AX194" i="55" a="1"/>
  <c r="AX194" i="55"/>
  <c r="AT194" i="55" a="1"/>
  <c r="AT194" i="55"/>
  <c r="AS194" i="55" a="1"/>
  <c r="AS194" i="55"/>
  <c r="AN194" i="55" a="1"/>
  <c r="AN194" i="55"/>
  <c r="AJ194" i="55" a="1"/>
  <c r="AJ194" i="55"/>
  <c r="AF194" i="55" a="1"/>
  <c r="AF194" i="55"/>
  <c r="AB194" i="55" a="1"/>
  <c r="AB194" i="55"/>
  <c r="AA194" i="55" a="1"/>
  <c r="AA194" i="55"/>
  <c r="V194" i="55" a="1"/>
  <c r="V194" i="55"/>
  <c r="R194" i="55" a="1"/>
  <c r="R194" i="55"/>
  <c r="N194" i="55" a="1"/>
  <c r="N194" i="55"/>
  <c r="J194" i="55" a="1"/>
  <c r="J194" i="55"/>
  <c r="I194" i="55" a="1"/>
  <c r="I194" i="55"/>
  <c r="H194" i="55" a="1"/>
  <c r="H194" i="55"/>
  <c r="G194" i="55" a="1"/>
  <c r="G194" i="55"/>
  <c r="BF193" i="55" a="1"/>
  <c r="BF193" i="55"/>
  <c r="BB193" i="55" a="1"/>
  <c r="BB193" i="55"/>
  <c r="AX193" i="55" a="1"/>
  <c r="AX193" i="55"/>
  <c r="AT193" i="55" a="1"/>
  <c r="AT193" i="55"/>
  <c r="AS193" i="55" a="1"/>
  <c r="AS193" i="55"/>
  <c r="AN193" i="55" a="1"/>
  <c r="AN193" i="55"/>
  <c r="AJ193" i="55" a="1"/>
  <c r="AJ193" i="55"/>
  <c r="AF193" i="55" a="1"/>
  <c r="AF193" i="55"/>
  <c r="AB193" i="55" a="1"/>
  <c r="AB193" i="55"/>
  <c r="AA193" i="55" a="1"/>
  <c r="AA193" i="55"/>
  <c r="V193" i="55" a="1"/>
  <c r="V193" i="55"/>
  <c r="R193" i="55" a="1"/>
  <c r="R193" i="55"/>
  <c r="N193" i="55" a="1"/>
  <c r="N193" i="55"/>
  <c r="J193" i="55" a="1"/>
  <c r="J193" i="55"/>
  <c r="I193" i="55" a="1"/>
  <c r="I193" i="55"/>
  <c r="BF192" i="55" a="1"/>
  <c r="BF192" i="55"/>
  <c r="BB192" i="55" a="1"/>
  <c r="BB192" i="55"/>
  <c r="AX192" i="55" a="1"/>
  <c r="AX192" i="55"/>
  <c r="AT192" i="55" a="1"/>
  <c r="AT192" i="55"/>
  <c r="AS192" i="55" a="1"/>
  <c r="AS192" i="55"/>
  <c r="AN192" i="55" a="1"/>
  <c r="AN192" i="55"/>
  <c r="AJ192" i="55" a="1"/>
  <c r="AJ192" i="55"/>
  <c r="AF192" i="55" a="1"/>
  <c r="AF192" i="55"/>
  <c r="AB192" i="55" a="1"/>
  <c r="AB192" i="55"/>
  <c r="AA192" i="55" a="1"/>
  <c r="AA192" i="55"/>
  <c r="V192" i="55" a="1"/>
  <c r="V192" i="55"/>
  <c r="R192" i="55" a="1"/>
  <c r="R192" i="55"/>
  <c r="N192" i="55" a="1"/>
  <c r="N192" i="55"/>
  <c r="J192" i="55" a="1"/>
  <c r="J192" i="55"/>
  <c r="I192" i="55" a="1"/>
  <c r="I192" i="55"/>
  <c r="H192" i="55" a="1"/>
  <c r="H192" i="55"/>
  <c r="G192" i="55" a="1"/>
  <c r="G192" i="55"/>
  <c r="BF191" i="55" a="1"/>
  <c r="BF191" i="55"/>
  <c r="BB191" i="55" a="1"/>
  <c r="BB191" i="55"/>
  <c r="AX191" i="55" a="1"/>
  <c r="AX191" i="55"/>
  <c r="AT191" i="55" a="1"/>
  <c r="AT191" i="55"/>
  <c r="AS191" i="55" a="1"/>
  <c r="AS191" i="55"/>
  <c r="AN191" i="55" a="1"/>
  <c r="AN191" i="55"/>
  <c r="AJ191" i="55" a="1"/>
  <c r="AJ191" i="55"/>
  <c r="AF191" i="55" a="1"/>
  <c r="AF191" i="55"/>
  <c r="AB191" i="55" a="1"/>
  <c r="AB191" i="55"/>
  <c r="AA191" i="55" a="1"/>
  <c r="AA191" i="55"/>
  <c r="V191" i="55" a="1"/>
  <c r="V191" i="55"/>
  <c r="R191" i="55" a="1"/>
  <c r="R191" i="55"/>
  <c r="N191" i="55" a="1"/>
  <c r="N191" i="55"/>
  <c r="J191" i="55" a="1"/>
  <c r="J191" i="55"/>
  <c r="I191" i="55" a="1"/>
  <c r="I191" i="55"/>
  <c r="H191" i="55" a="1"/>
  <c r="H191" i="55"/>
  <c r="G191" i="55" a="1"/>
  <c r="G191" i="55"/>
  <c r="BF190" i="55" a="1"/>
  <c r="BF190" i="55"/>
  <c r="BB190" i="55" a="1"/>
  <c r="BB190" i="55"/>
  <c r="AX190" i="55" a="1"/>
  <c r="AX190" i="55"/>
  <c r="AT190" i="55" a="1"/>
  <c r="AT190" i="55"/>
  <c r="AS190" i="55" a="1"/>
  <c r="AS190" i="55"/>
  <c r="AN190" i="55" a="1"/>
  <c r="AN190" i="55"/>
  <c r="AJ190" i="55" a="1"/>
  <c r="AJ190" i="55"/>
  <c r="AF190" i="55" a="1"/>
  <c r="AF190" i="55"/>
  <c r="AB190" i="55" a="1"/>
  <c r="AB190" i="55"/>
  <c r="AA190" i="55" a="1"/>
  <c r="AA190" i="55"/>
  <c r="V190" i="55" a="1"/>
  <c r="V190" i="55"/>
  <c r="R190" i="55" a="1"/>
  <c r="R190" i="55"/>
  <c r="N190" i="55" a="1"/>
  <c r="N190" i="55"/>
  <c r="J190" i="55" a="1"/>
  <c r="J190" i="55"/>
  <c r="I190" i="55" a="1"/>
  <c r="I190" i="55"/>
  <c r="H190" i="55" a="1"/>
  <c r="H190" i="55"/>
  <c r="G190" i="55" a="1"/>
  <c r="G190" i="55"/>
  <c r="BF189" i="55" a="1"/>
  <c r="BF189" i="55"/>
  <c r="BB189" i="55" a="1"/>
  <c r="BB189" i="55"/>
  <c r="AX189" i="55" a="1"/>
  <c r="AX189" i="55"/>
  <c r="AT189" i="55" a="1"/>
  <c r="AT189" i="55"/>
  <c r="AS189" i="55" a="1"/>
  <c r="AS189" i="55"/>
  <c r="AN189" i="55" a="1"/>
  <c r="AN189" i="55"/>
  <c r="AJ189" i="55" a="1"/>
  <c r="AJ189" i="55"/>
  <c r="AF189" i="55" a="1"/>
  <c r="AF189" i="55"/>
  <c r="AB189" i="55" a="1"/>
  <c r="AB189" i="55"/>
  <c r="AA189" i="55" a="1"/>
  <c r="AA189" i="55"/>
  <c r="V189" i="55" a="1"/>
  <c r="V189" i="55"/>
  <c r="R189" i="55" a="1"/>
  <c r="R189" i="55"/>
  <c r="N189" i="55" a="1"/>
  <c r="N189" i="55"/>
  <c r="J189" i="55" a="1"/>
  <c r="J189" i="55"/>
  <c r="I189" i="55" a="1"/>
  <c r="I189" i="55"/>
  <c r="H189" i="55" a="1"/>
  <c r="H189" i="55"/>
  <c r="G189" i="55" a="1"/>
  <c r="G189" i="55"/>
  <c r="BF188" i="55" a="1"/>
  <c r="BF188" i="55"/>
  <c r="BB188" i="55" a="1"/>
  <c r="BB188" i="55"/>
  <c r="AX188" i="55" a="1"/>
  <c r="AX188" i="55"/>
  <c r="AT188" i="55" a="1"/>
  <c r="AT188" i="55"/>
  <c r="AS188" i="55" a="1"/>
  <c r="AS188" i="55"/>
  <c r="AN188" i="55" a="1"/>
  <c r="AN188" i="55"/>
  <c r="AJ188" i="55" a="1"/>
  <c r="AJ188" i="55"/>
  <c r="AF188" i="55" a="1"/>
  <c r="AF188" i="55"/>
  <c r="AB188" i="55" a="1"/>
  <c r="AB188" i="55"/>
  <c r="AA188" i="55" a="1"/>
  <c r="AA188" i="55"/>
  <c r="V188" i="55" a="1"/>
  <c r="V188" i="55"/>
  <c r="R188" i="55" a="1"/>
  <c r="R188" i="55"/>
  <c r="N188" i="55" a="1"/>
  <c r="N188" i="55"/>
  <c r="J188" i="55" a="1"/>
  <c r="J188" i="55"/>
  <c r="I188" i="55" a="1"/>
  <c r="I188" i="55"/>
  <c r="BF187" i="55" a="1"/>
  <c r="BF187" i="55"/>
  <c r="BB187" i="55" a="1"/>
  <c r="BB187" i="55"/>
  <c r="AX187" i="55" a="1"/>
  <c r="AX187" i="55"/>
  <c r="AT187" i="55" a="1"/>
  <c r="AT187" i="55"/>
  <c r="AS187" i="55" a="1"/>
  <c r="AS187" i="55"/>
  <c r="AN187" i="55" a="1"/>
  <c r="AN187" i="55"/>
  <c r="AJ187" i="55" a="1"/>
  <c r="AJ187" i="55"/>
  <c r="AF187" i="55" a="1"/>
  <c r="AF187" i="55"/>
  <c r="AB187" i="55" a="1"/>
  <c r="AB187" i="55"/>
  <c r="AA187" i="55" a="1"/>
  <c r="AA187" i="55"/>
  <c r="V187" i="55" a="1"/>
  <c r="V187" i="55"/>
  <c r="R187" i="55" a="1"/>
  <c r="R187" i="55"/>
  <c r="N187" i="55" a="1"/>
  <c r="N187" i="55"/>
  <c r="J187" i="55" a="1"/>
  <c r="J187" i="55"/>
  <c r="I187" i="55" a="1"/>
  <c r="I187" i="55"/>
  <c r="BF186" i="55" a="1"/>
  <c r="BF186" i="55"/>
  <c r="BB186" i="55" a="1"/>
  <c r="BB186" i="55"/>
  <c r="AX186" i="55" a="1"/>
  <c r="AX186" i="55"/>
  <c r="AT186" i="55" a="1"/>
  <c r="AT186" i="55"/>
  <c r="AS186" i="55" a="1"/>
  <c r="AS186" i="55"/>
  <c r="AN186" i="55" a="1"/>
  <c r="AN186" i="55"/>
  <c r="AJ186" i="55" a="1"/>
  <c r="AJ186" i="55"/>
  <c r="AF186" i="55" a="1"/>
  <c r="AF186" i="55"/>
  <c r="AB186" i="55" a="1"/>
  <c r="AB186" i="55"/>
  <c r="AA186" i="55" a="1"/>
  <c r="AA186" i="55"/>
  <c r="V186" i="55" a="1"/>
  <c r="V186" i="55"/>
  <c r="R186" i="55" a="1"/>
  <c r="R186" i="55"/>
  <c r="N186" i="55" a="1"/>
  <c r="N186" i="55"/>
  <c r="J186" i="55" a="1"/>
  <c r="J186" i="55"/>
  <c r="I186" i="55" a="1"/>
  <c r="I186" i="55"/>
  <c r="H186" i="55" a="1"/>
  <c r="H186" i="55"/>
  <c r="G186" i="55" a="1"/>
  <c r="G186" i="55"/>
  <c r="BF185" i="55" a="1"/>
  <c r="BF185" i="55"/>
  <c r="BB185" i="55" a="1"/>
  <c r="BB185" i="55"/>
  <c r="AX185" i="55" a="1"/>
  <c r="AX185" i="55"/>
  <c r="AT185" i="55" a="1"/>
  <c r="AT185" i="55"/>
  <c r="AS185" i="55" a="1"/>
  <c r="AS185" i="55"/>
  <c r="AN185" i="55" a="1"/>
  <c r="AN185" i="55"/>
  <c r="AJ185" i="55" a="1"/>
  <c r="AJ185" i="55"/>
  <c r="AF185" i="55" a="1"/>
  <c r="AF185" i="55"/>
  <c r="AB185" i="55" a="1"/>
  <c r="AB185" i="55"/>
  <c r="AA185" i="55" a="1"/>
  <c r="AA185" i="55"/>
  <c r="V185" i="55" a="1"/>
  <c r="V185" i="55"/>
  <c r="R185" i="55" a="1"/>
  <c r="R185" i="55"/>
  <c r="N185" i="55" a="1"/>
  <c r="N185" i="55"/>
  <c r="J185" i="55" a="1"/>
  <c r="J185" i="55"/>
  <c r="I185" i="55" a="1"/>
  <c r="I185" i="55"/>
  <c r="H185" i="55" a="1"/>
  <c r="H185" i="55"/>
  <c r="G185" i="55" a="1"/>
  <c r="G185" i="55"/>
  <c r="BF184" i="55" a="1"/>
  <c r="BF184" i="55"/>
  <c r="BB184" i="55" a="1"/>
  <c r="BB184" i="55"/>
  <c r="AX184" i="55" a="1"/>
  <c r="AX184" i="55"/>
  <c r="AT184" i="55" a="1"/>
  <c r="AT184" i="55"/>
  <c r="AS184" i="55" a="1"/>
  <c r="AS184" i="55"/>
  <c r="AN184" i="55" a="1"/>
  <c r="AN184" i="55"/>
  <c r="AJ184" i="55" a="1"/>
  <c r="AJ184" i="55"/>
  <c r="AF184" i="55" a="1"/>
  <c r="AF184" i="55"/>
  <c r="AB184" i="55" a="1"/>
  <c r="AB184" i="55"/>
  <c r="AA184" i="55" a="1"/>
  <c r="AA184" i="55"/>
  <c r="V184" i="55" a="1"/>
  <c r="V184" i="55"/>
  <c r="R184" i="55" a="1"/>
  <c r="R184" i="55"/>
  <c r="N184" i="55" a="1"/>
  <c r="N184" i="55"/>
  <c r="J184" i="55" a="1"/>
  <c r="J184" i="55"/>
  <c r="I184" i="55" a="1"/>
  <c r="I184" i="55"/>
  <c r="H184" i="55" a="1"/>
  <c r="H184" i="55"/>
  <c r="G184" i="55" a="1"/>
  <c r="G184" i="55"/>
  <c r="BF183" i="55" a="1"/>
  <c r="BF183" i="55"/>
  <c r="BB183" i="55" a="1"/>
  <c r="BB183" i="55"/>
  <c r="AX183" i="55" a="1"/>
  <c r="AX183" i="55"/>
  <c r="AT183" i="55" a="1"/>
  <c r="AT183" i="55"/>
  <c r="AS183" i="55" a="1"/>
  <c r="AS183" i="55"/>
  <c r="AN183" i="55" a="1"/>
  <c r="AN183" i="55"/>
  <c r="AJ183" i="55" a="1"/>
  <c r="AJ183" i="55"/>
  <c r="AF183" i="55" a="1"/>
  <c r="AF183" i="55"/>
  <c r="AB183" i="55" a="1"/>
  <c r="AB183" i="55"/>
  <c r="AA183" i="55" a="1"/>
  <c r="AA183" i="55"/>
  <c r="V183" i="55" a="1"/>
  <c r="V183" i="55"/>
  <c r="R183" i="55" a="1"/>
  <c r="R183" i="55"/>
  <c r="N183" i="55" a="1"/>
  <c r="N183" i="55"/>
  <c r="J183" i="55" a="1"/>
  <c r="J183" i="55"/>
  <c r="I183" i="55" a="1"/>
  <c r="I183" i="55"/>
  <c r="H183" i="55" a="1"/>
  <c r="H183" i="55"/>
  <c r="G183" i="55" a="1"/>
  <c r="G183" i="55"/>
  <c r="BF182" i="55" a="1"/>
  <c r="BF182" i="55"/>
  <c r="BB182" i="55" a="1"/>
  <c r="BB182" i="55"/>
  <c r="AX182" i="55" a="1"/>
  <c r="AX182" i="55"/>
  <c r="AT182" i="55" a="1"/>
  <c r="AT182" i="55"/>
  <c r="AS182" i="55" a="1"/>
  <c r="AS182" i="55"/>
  <c r="AN182" i="55" a="1"/>
  <c r="AN182" i="55"/>
  <c r="AJ182" i="55" a="1"/>
  <c r="AJ182" i="55"/>
  <c r="AF182" i="55" a="1"/>
  <c r="AF182" i="55"/>
  <c r="AB182" i="55" a="1"/>
  <c r="AB182" i="55"/>
  <c r="AA182" i="55" a="1"/>
  <c r="AA182" i="55"/>
  <c r="V182" i="55" a="1"/>
  <c r="V182" i="55"/>
  <c r="R182" i="55" a="1"/>
  <c r="R182" i="55"/>
  <c r="N182" i="55" a="1"/>
  <c r="N182" i="55"/>
  <c r="J182" i="55" a="1"/>
  <c r="J182" i="55"/>
  <c r="I182" i="55" a="1"/>
  <c r="I182" i="55"/>
  <c r="H182" i="55" a="1"/>
  <c r="H182" i="55"/>
  <c r="G182" i="55" a="1"/>
  <c r="G182" i="55"/>
  <c r="BF181" i="55" a="1"/>
  <c r="BF181" i="55"/>
  <c r="BB181" i="55" a="1"/>
  <c r="BB181" i="55"/>
  <c r="AX181" i="55" a="1"/>
  <c r="AX181" i="55"/>
  <c r="AT181" i="55" a="1"/>
  <c r="AT181" i="55"/>
  <c r="AS181" i="55" a="1"/>
  <c r="AS181" i="55"/>
  <c r="AN181" i="55" a="1"/>
  <c r="AN181" i="55"/>
  <c r="AJ181" i="55" a="1"/>
  <c r="AJ181" i="55"/>
  <c r="AF181" i="55" a="1"/>
  <c r="AF181" i="55"/>
  <c r="AB181" i="55" a="1"/>
  <c r="AB181" i="55"/>
  <c r="AA181" i="55" a="1"/>
  <c r="AA181" i="55"/>
  <c r="V181" i="55" a="1"/>
  <c r="V181" i="55"/>
  <c r="R181" i="55" a="1"/>
  <c r="R181" i="55"/>
  <c r="N181" i="55" a="1"/>
  <c r="N181" i="55"/>
  <c r="J181" i="55" a="1"/>
  <c r="J181" i="55"/>
  <c r="I181" i="55" a="1"/>
  <c r="I181" i="55"/>
  <c r="H181" i="55" a="1"/>
  <c r="H181" i="55"/>
  <c r="G181" i="55" a="1"/>
  <c r="G181" i="55"/>
  <c r="L16" i="11"/>
  <c r="W202" i="55"/>
  <c r="L15" i="11"/>
  <c r="W216" i="55"/>
  <c r="W195" i="55"/>
  <c r="W191" i="55"/>
  <c r="AI143" i="23"/>
  <c r="AO192" i="55"/>
  <c r="BG193" i="55"/>
  <c r="AO181" i="55"/>
  <c r="O219" i="55"/>
  <c r="T143" i="23"/>
  <c r="AJ143" i="23"/>
  <c r="AG187" i="55"/>
  <c r="S213" i="55"/>
  <c r="AK199" i="55"/>
  <c r="AG202" i="55"/>
  <c r="O205" i="55"/>
  <c r="AU213" i="55"/>
  <c r="AO215" i="55"/>
  <c r="AU189" i="55"/>
  <c r="AK210" i="55"/>
  <c r="AU185" i="55"/>
  <c r="S198" i="55"/>
  <c r="AK201" i="55"/>
  <c r="AO201" i="55"/>
  <c r="K185" i="55"/>
  <c r="K212" i="55"/>
  <c r="AY186" i="55"/>
  <c r="AC198" i="55"/>
  <c r="BC198" i="55"/>
  <c r="AK221" i="55"/>
  <c r="S222" i="55"/>
  <c r="O196" i="55"/>
  <c r="AO199" i="55"/>
  <c r="AY207" i="55"/>
  <c r="AG214" i="55"/>
  <c r="K216" i="55"/>
  <c r="AO209" i="55"/>
  <c r="K189" i="55"/>
  <c r="BC208" i="55"/>
  <c r="O217" i="55"/>
  <c r="O203" i="55"/>
  <c r="AY211" i="55"/>
  <c r="BC211" i="55"/>
  <c r="AG212" i="55"/>
  <c r="O188" i="55"/>
  <c r="AK185" i="55"/>
  <c r="AK187" i="55"/>
  <c r="BG191" i="55"/>
  <c r="AC192" i="55"/>
  <c r="BG198" i="55"/>
  <c r="W214" i="55"/>
  <c r="W200" i="55"/>
  <c r="AY217" i="55"/>
  <c r="AU220" i="55"/>
  <c r="W187" i="55"/>
  <c r="W189" i="55"/>
  <c r="AY201" i="55"/>
  <c r="O192" i="55"/>
  <c r="O207" i="55"/>
  <c r="AO219" i="55"/>
  <c r="AC188" i="55"/>
  <c r="AU202" i="55"/>
  <c r="BG185" i="55"/>
  <c r="BC186" i="55"/>
  <c r="AG189" i="55"/>
  <c r="BC190" i="55"/>
  <c r="AY190" i="55"/>
  <c r="AU187" i="55"/>
  <c r="BG183" i="55"/>
  <c r="AK184" i="55"/>
  <c r="K202" i="55"/>
  <c r="AO205" i="55"/>
  <c r="S185" i="55"/>
  <c r="AY185" i="55"/>
  <c r="S215" i="55"/>
  <c r="AK216" i="55"/>
  <c r="AG216" i="55"/>
  <c r="AK209" i="55"/>
  <c r="AU212" i="55"/>
  <c r="O215" i="55"/>
  <c r="BG208" i="55"/>
  <c r="AC211" i="55"/>
  <c r="AK212" i="55"/>
  <c r="O213" i="55"/>
  <c r="AK214" i="55"/>
  <c r="BC222" i="55"/>
  <c r="AC213" i="55"/>
  <c r="AU216" i="55"/>
  <c r="K220" i="55"/>
  <c r="S220" i="55"/>
  <c r="O181" i="55"/>
  <c r="W181" i="55"/>
  <c r="S181" i="55"/>
  <c r="K181" i="55"/>
  <c r="AY181" i="55"/>
  <c r="BC181" i="55"/>
  <c r="AU181" i="55"/>
  <c r="BG181" i="55"/>
  <c r="W182" i="55"/>
  <c r="W184" i="55"/>
  <c r="S184" i="55"/>
  <c r="O184" i="55"/>
  <c r="K184" i="55"/>
  <c r="W186" i="55"/>
  <c r="S186" i="55"/>
  <c r="O186" i="55"/>
  <c r="K186" i="55"/>
  <c r="O183" i="55"/>
  <c r="K183" i="55"/>
  <c r="W183" i="55"/>
  <c r="S183" i="55"/>
  <c r="AG182" i="55"/>
  <c r="AC182" i="55"/>
  <c r="AO182" i="55"/>
  <c r="AK182" i="55"/>
  <c r="BG182" i="55"/>
  <c r="BG184" i="55"/>
  <c r="BC184" i="55"/>
  <c r="AY184" i="55"/>
  <c r="AU184" i="55"/>
  <c r="AC186" i="55"/>
  <c r="O182" i="55"/>
  <c r="AC181" i="55"/>
  <c r="K182" i="55"/>
  <c r="AU182" i="55"/>
  <c r="AO183" i="55"/>
  <c r="AU183" i="55"/>
  <c r="AG184" i="55"/>
  <c r="AG185" i="55"/>
  <c r="BC185" i="55"/>
  <c r="AU186" i="55"/>
  <c r="BG186" i="55"/>
  <c r="K187" i="55"/>
  <c r="AC189" i="55"/>
  <c r="AO189" i="55"/>
  <c r="K190" i="55"/>
  <c r="W190" i="55"/>
  <c r="K192" i="55"/>
  <c r="W192" i="55"/>
  <c r="AU192" i="55"/>
  <c r="BG192" i="55"/>
  <c r="S193" i="55"/>
  <c r="O193" i="55"/>
  <c r="AC195" i="55"/>
  <c r="AO195" i="55"/>
  <c r="AK195" i="55"/>
  <c r="AG195" i="55"/>
  <c r="AU196" i="55"/>
  <c r="BG196" i="55"/>
  <c r="BC196" i="55"/>
  <c r="AY196" i="55"/>
  <c r="S197" i="55"/>
  <c r="O197" i="55"/>
  <c r="K197" i="55"/>
  <c r="AU198" i="55"/>
  <c r="W199" i="55"/>
  <c r="O199" i="55"/>
  <c r="K199" i="55"/>
  <c r="AY200" i="55"/>
  <c r="BG200" i="55"/>
  <c r="AU200" i="55"/>
  <c r="BC200" i="55"/>
  <c r="W201" i="55"/>
  <c r="K201" i="55"/>
  <c r="S201" i="55"/>
  <c r="BG201" i="55"/>
  <c r="AU201" i="55"/>
  <c r="AK207" i="55"/>
  <c r="AG207" i="55"/>
  <c r="AC207" i="55"/>
  <c r="AO207" i="55"/>
  <c r="AG181" i="55"/>
  <c r="AY182" i="55"/>
  <c r="AY183" i="55"/>
  <c r="AO185" i="55"/>
  <c r="AK186" i="55"/>
  <c r="AG186" i="55"/>
  <c r="AO186" i="55"/>
  <c r="S187" i="55"/>
  <c r="O187" i="55"/>
  <c r="BC187" i="55"/>
  <c r="AY187" i="55"/>
  <c r="BG187" i="55"/>
  <c r="AU188" i="55"/>
  <c r="BG188" i="55"/>
  <c r="AC191" i="55"/>
  <c r="AO191" i="55"/>
  <c r="AY192" i="55"/>
  <c r="BC192" i="55"/>
  <c r="AC193" i="55"/>
  <c r="AO193" i="55"/>
  <c r="AU193" i="55"/>
  <c r="K194" i="55"/>
  <c r="W194" i="55"/>
  <c r="S194" i="55"/>
  <c r="AK194" i="55"/>
  <c r="AG194" i="55"/>
  <c r="AC194" i="55"/>
  <c r="AO194" i="55"/>
  <c r="BC195" i="55"/>
  <c r="AY195" i="55"/>
  <c r="AU195" i="55"/>
  <c r="BG195" i="55"/>
  <c r="AC197" i="55"/>
  <c r="AO197" i="55"/>
  <c r="AK197" i="55"/>
  <c r="AG197" i="55"/>
  <c r="S199" i="55"/>
  <c r="AK202" i="55"/>
  <c r="S206" i="55"/>
  <c r="O206" i="55"/>
  <c r="K206" i="55"/>
  <c r="W206" i="55"/>
  <c r="S208" i="55"/>
  <c r="O208" i="55"/>
  <c r="K208" i="55"/>
  <c r="W208" i="55"/>
  <c r="W209" i="55"/>
  <c r="O209" i="55"/>
  <c r="K209" i="55"/>
  <c r="S209" i="55"/>
  <c r="O210" i="55"/>
  <c r="S210" i="55"/>
  <c r="K210" i="55"/>
  <c r="W210" i="55"/>
  <c r="BC182" i="55"/>
  <c r="O185" i="55"/>
  <c r="W185" i="55"/>
  <c r="S188" i="55"/>
  <c r="AK188" i="55"/>
  <c r="AG188" i="55"/>
  <c r="AO188" i="55"/>
  <c r="S189" i="55"/>
  <c r="O189" i="55"/>
  <c r="AK189" i="55"/>
  <c r="BC189" i="55"/>
  <c r="AY189" i="55"/>
  <c r="BG189" i="55"/>
  <c r="O190" i="55"/>
  <c r="AC190" i="55"/>
  <c r="AU190" i="55"/>
  <c r="BG190" i="55"/>
  <c r="K191" i="55"/>
  <c r="AU191" i="55"/>
  <c r="S192" i="55"/>
  <c r="AK192" i="55"/>
  <c r="AG192" i="55"/>
  <c r="W193" i="55"/>
  <c r="AG193" i="55"/>
  <c r="AK193" i="55"/>
  <c r="BC193" i="55"/>
  <c r="AY193" i="55"/>
  <c r="O194" i="55"/>
  <c r="K196" i="55"/>
  <c r="W196" i="55"/>
  <c r="S196" i="55"/>
  <c r="AK196" i="55"/>
  <c r="AG196" i="55"/>
  <c r="AC196" i="55"/>
  <c r="AO196" i="55"/>
  <c r="BG197" i="55"/>
  <c r="BC197" i="55"/>
  <c r="AY197" i="55"/>
  <c r="AU197" i="55"/>
  <c r="AO198" i="55"/>
  <c r="AK198" i="55"/>
  <c r="AG198" i="55"/>
  <c r="AC199" i="55"/>
  <c r="BG199" i="55"/>
  <c r="BC199" i="55"/>
  <c r="AY199" i="55"/>
  <c r="AU199" i="55"/>
  <c r="O200" i="55"/>
  <c r="S200" i="55"/>
  <c r="K200" i="55"/>
  <c r="AO200" i="55"/>
  <c r="AK200" i="55"/>
  <c r="AG200" i="55"/>
  <c r="AC200" i="55"/>
  <c r="O201" i="55"/>
  <c r="AK181" i="55"/>
  <c r="S182" i="55"/>
  <c r="AC183" i="55"/>
  <c r="AG183" i="55"/>
  <c r="AK183" i="55"/>
  <c r="BC183" i="55"/>
  <c r="AC184" i="55"/>
  <c r="AO184" i="55"/>
  <c r="AC185" i="55"/>
  <c r="AC187" i="55"/>
  <c r="AO187" i="55"/>
  <c r="K188" i="55"/>
  <c r="W188" i="55"/>
  <c r="AY188" i="55"/>
  <c r="BC188" i="55"/>
  <c r="S190" i="55"/>
  <c r="AK190" i="55"/>
  <c r="AG190" i="55"/>
  <c r="AO190" i="55"/>
  <c r="S191" i="55"/>
  <c r="O191" i="55"/>
  <c r="AG191" i="55"/>
  <c r="AK191" i="55"/>
  <c r="BC191" i="55"/>
  <c r="AY191" i="55"/>
  <c r="K193" i="55"/>
  <c r="AU194" i="55"/>
  <c r="BG194" i="55"/>
  <c r="BC194" i="55"/>
  <c r="AY194" i="55"/>
  <c r="S195" i="55"/>
  <c r="O195" i="55"/>
  <c r="K195" i="55"/>
  <c r="W197" i="55"/>
  <c r="K198" i="55"/>
  <c r="AC201" i="55"/>
  <c r="BC201" i="55"/>
  <c r="BC204" i="55"/>
  <c r="AY204" i="55"/>
  <c r="AU204" i="55"/>
  <c r="BG204" i="55"/>
  <c r="S202" i="55"/>
  <c r="O202" i="55"/>
  <c r="BC202" i="55"/>
  <c r="AY202" i="55"/>
  <c r="BG202" i="55"/>
  <c r="AU203" i="55"/>
  <c r="BG203" i="55"/>
  <c r="BC203" i="55"/>
  <c r="AC204" i="55"/>
  <c r="AO204" i="55"/>
  <c r="AK204" i="55"/>
  <c r="BC206" i="55"/>
  <c r="AY206" i="55"/>
  <c r="AU206" i="55"/>
  <c r="AY210" i="55"/>
  <c r="BG210" i="55"/>
  <c r="AU210" i="55"/>
  <c r="BC210" i="55"/>
  <c r="W211" i="55"/>
  <c r="K211" i="55"/>
  <c r="S211" i="55"/>
  <c r="AG199" i="55"/>
  <c r="S203" i="55"/>
  <c r="AK203" i="55"/>
  <c r="AG203" i="55"/>
  <c r="AC203" i="55"/>
  <c r="AY203" i="55"/>
  <c r="AG204" i="55"/>
  <c r="K205" i="55"/>
  <c r="W205" i="55"/>
  <c r="S205" i="55"/>
  <c r="AU205" i="55"/>
  <c r="BG205" i="55"/>
  <c r="BC205" i="55"/>
  <c r="AC206" i="55"/>
  <c r="AO206" i="55"/>
  <c r="AK206" i="55"/>
  <c r="BG206" i="55"/>
  <c r="AC208" i="55"/>
  <c r="AO208" i="55"/>
  <c r="AK208" i="55"/>
  <c r="BG209" i="55"/>
  <c r="BC209" i="55"/>
  <c r="AY209" i="55"/>
  <c r="AU209" i="55"/>
  <c r="O198" i="55"/>
  <c r="W198" i="55"/>
  <c r="AY198" i="55"/>
  <c r="AG201" i="55"/>
  <c r="AC202" i="55"/>
  <c r="AO202" i="55"/>
  <c r="K203" i="55"/>
  <c r="W203" i="55"/>
  <c r="AO203" i="55"/>
  <c r="S204" i="55"/>
  <c r="O204" i="55"/>
  <c r="K204" i="55"/>
  <c r="W204" i="55"/>
  <c r="AK205" i="55"/>
  <c r="AG205" i="55"/>
  <c r="AC205" i="55"/>
  <c r="AY205" i="55"/>
  <c r="AG206" i="55"/>
  <c r="K207" i="55"/>
  <c r="W207" i="55"/>
  <c r="S207" i="55"/>
  <c r="AU207" i="55"/>
  <c r="BG207" i="55"/>
  <c r="BC207" i="55"/>
  <c r="AG208" i="55"/>
  <c r="O211" i="55"/>
  <c r="AU208" i="55"/>
  <c r="AC209" i="55"/>
  <c r="AC210" i="55"/>
  <c r="AY208" i="55"/>
  <c r="AG209" i="55"/>
  <c r="AG210" i="55"/>
  <c r="AU211" i="55"/>
  <c r="BG211" i="55"/>
  <c r="BG212" i="55"/>
  <c r="BC212" i="55"/>
  <c r="AY212" i="55"/>
  <c r="AO213" i="55"/>
  <c r="AK213" i="55"/>
  <c r="AG213" i="55"/>
  <c r="K214" i="55"/>
  <c r="S218" i="55"/>
  <c r="O218" i="55"/>
  <c r="K218" i="55"/>
  <c r="W218" i="55"/>
  <c r="AO210" i="55"/>
  <c r="AK211" i="55"/>
  <c r="AG211" i="55"/>
  <c r="AO211" i="55"/>
  <c r="W212" i="55"/>
  <c r="S212" i="55"/>
  <c r="O212" i="55"/>
  <c r="BC214" i="55"/>
  <c r="AY214" i="55"/>
  <c r="BG214" i="55"/>
  <c r="AU214" i="55"/>
  <c r="AU217" i="55"/>
  <c r="BG217" i="55"/>
  <c r="BC217" i="55"/>
  <c r="AO212" i="55"/>
  <c r="W213" i="55"/>
  <c r="K215" i="55"/>
  <c r="W215" i="55"/>
  <c r="AU215" i="55"/>
  <c r="BG215" i="55"/>
  <c r="S216" i="55"/>
  <c r="O216" i="55"/>
  <c r="BG216" i="55"/>
  <c r="AC218" i="55"/>
  <c r="AO218" i="55"/>
  <c r="AK218" i="55"/>
  <c r="AG218" i="55"/>
  <c r="AC212" i="55"/>
  <c r="K213" i="55"/>
  <c r="S214" i="55"/>
  <c r="O214" i="55"/>
  <c r="AC215" i="55"/>
  <c r="AY215" i="55"/>
  <c r="BC215" i="55"/>
  <c r="AC216" i="55"/>
  <c r="AO216" i="55"/>
  <c r="K217" i="55"/>
  <c r="W217" i="55"/>
  <c r="S217" i="55"/>
  <c r="AK217" i="55"/>
  <c r="AG217" i="55"/>
  <c r="AC217" i="55"/>
  <c r="AO217" i="55"/>
  <c r="BC218" i="55"/>
  <c r="AY218" i="55"/>
  <c r="AU218" i="55"/>
  <c r="BG218" i="55"/>
  <c r="AY219" i="55"/>
  <c r="BG219" i="55"/>
  <c r="BC219" i="55"/>
  <c r="AU219" i="55"/>
  <c r="BG213" i="55"/>
  <c r="AY213" i="55"/>
  <c r="BC213" i="55"/>
  <c r="AC214" i="55"/>
  <c r="AO214" i="55"/>
  <c r="AK215" i="55"/>
  <c r="AG215" i="55"/>
  <c r="BC216" i="55"/>
  <c r="AY216" i="55"/>
  <c r="K219" i="55"/>
  <c r="W219" i="55"/>
  <c r="S219" i="55"/>
  <c r="AK219" i="55"/>
  <c r="AG219" i="55"/>
  <c r="AC219" i="55"/>
  <c r="AG220" i="55"/>
  <c r="AO220" i="55"/>
  <c r="AK220" i="55"/>
  <c r="O221" i="55"/>
  <c r="W221" i="55"/>
  <c r="S221" i="55"/>
  <c r="AY221" i="55"/>
  <c r="BG221" i="55"/>
  <c r="BC221" i="55"/>
  <c r="W222" i="55"/>
  <c r="O222" i="55"/>
  <c r="K222" i="55"/>
  <c r="AG222" i="55"/>
  <c r="AO222" i="55"/>
  <c r="AK222" i="55"/>
  <c r="BG224" i="55"/>
  <c r="BC224" i="55"/>
  <c r="AY224" i="55"/>
  <c r="AU224" i="55"/>
  <c r="AY225" i="55"/>
  <c r="AU225" i="55"/>
  <c r="BG225" i="55"/>
  <c r="BC225" i="55"/>
  <c r="W220" i="55"/>
  <c r="O220" i="55"/>
  <c r="BG220" i="55"/>
  <c r="AY220" i="55"/>
  <c r="BC220" i="55"/>
  <c r="AO223" i="55"/>
  <c r="AK223" i="55"/>
  <c r="AG223" i="55"/>
  <c r="AC223" i="55"/>
  <c r="AY223" i="55"/>
  <c r="AU223" i="55"/>
  <c r="BG223" i="55"/>
  <c r="BC223" i="55"/>
  <c r="AG224" i="55"/>
  <c r="AC224" i="55"/>
  <c r="AO224" i="55"/>
  <c r="AK224" i="55"/>
  <c r="AO225" i="55"/>
  <c r="AK225" i="55"/>
  <c r="AG225" i="55"/>
  <c r="AC225" i="55"/>
  <c r="AC220" i="55"/>
  <c r="K221" i="55"/>
  <c r="AO221" i="55"/>
  <c r="AG221" i="55"/>
  <c r="AC221" i="55"/>
  <c r="AU221" i="55"/>
  <c r="AC222" i="55"/>
  <c r="BG222" i="55"/>
  <c r="AY222" i="55"/>
  <c r="AU222" i="55"/>
  <c r="O223" i="55"/>
  <c r="K223" i="55"/>
  <c r="W223" i="55"/>
  <c r="S223" i="55"/>
  <c r="W224" i="55"/>
  <c r="S224" i="55"/>
  <c r="O224" i="55"/>
  <c r="K224" i="55"/>
  <c r="O225" i="55"/>
  <c r="K225" i="55"/>
  <c r="W225" i="55"/>
  <c r="S225" i="55"/>
  <c r="BH16" i="15"/>
  <c r="BG16" i="15"/>
  <c r="BF16" i="15"/>
  <c r="BE16" i="15"/>
  <c r="BD16" i="15"/>
  <c r="BC16" i="15"/>
  <c r="BB16" i="15"/>
  <c r="BA16" i="15"/>
  <c r="AZ16" i="15"/>
  <c r="AY16" i="15"/>
  <c r="AX16" i="15"/>
  <c r="AW16" i="15"/>
  <c r="C223" i="62"/>
  <c r="I216" i="62" a="1"/>
  <c r="I216" i="62"/>
  <c r="J216" i="62" a="1"/>
  <c r="J216" i="62"/>
  <c r="N216" i="62" a="1"/>
  <c r="N216" i="62"/>
  <c r="R216" i="62" a="1"/>
  <c r="R216" i="62"/>
  <c r="V216" i="62" a="1"/>
  <c r="V216" i="62"/>
  <c r="AA216" i="62" a="1"/>
  <c r="AA216" i="62"/>
  <c r="AB216" i="62" a="1"/>
  <c r="AB216" i="62"/>
  <c r="AF216" i="62" a="1"/>
  <c r="AF216" i="62"/>
  <c r="AJ216" i="62" a="1"/>
  <c r="AJ216" i="62"/>
  <c r="AN216" i="62" a="1"/>
  <c r="AN216" i="62"/>
  <c r="AS216" i="62" a="1"/>
  <c r="AS216" i="62"/>
  <c r="AT216" i="62" a="1"/>
  <c r="AT216" i="62"/>
  <c r="AX216" i="62" a="1"/>
  <c r="AX216" i="62"/>
  <c r="BB216" i="62" a="1"/>
  <c r="BB216" i="62"/>
  <c r="BF216" i="62" a="1"/>
  <c r="BF216" i="62"/>
  <c r="I217" i="62" a="1"/>
  <c r="I217" i="62"/>
  <c r="J217" i="62" a="1"/>
  <c r="J217" i="62"/>
  <c r="N217" i="62" a="1"/>
  <c r="N217" i="62"/>
  <c r="R217" i="62" a="1"/>
  <c r="R217" i="62"/>
  <c r="V217" i="62" a="1"/>
  <c r="V217" i="62"/>
  <c r="AA217" i="62" a="1"/>
  <c r="AA217" i="62"/>
  <c r="AB217" i="62" a="1"/>
  <c r="AB217" i="62"/>
  <c r="AF217" i="62" a="1"/>
  <c r="AF217" i="62"/>
  <c r="AJ217" i="62" a="1"/>
  <c r="AJ217" i="62"/>
  <c r="AN217" i="62" a="1"/>
  <c r="AN217" i="62"/>
  <c r="AS217" i="62" a="1"/>
  <c r="AS217" i="62"/>
  <c r="AT217" i="62" a="1"/>
  <c r="AT217" i="62"/>
  <c r="AX217" i="62" a="1"/>
  <c r="AX217" i="62"/>
  <c r="BB217" i="62" a="1"/>
  <c r="BB217" i="62"/>
  <c r="BF217" i="62" a="1"/>
  <c r="BF217" i="62"/>
  <c r="I218" i="62" a="1"/>
  <c r="I218" i="62"/>
  <c r="J218" i="62" a="1"/>
  <c r="J218" i="62"/>
  <c r="N218" i="62" a="1"/>
  <c r="N218" i="62"/>
  <c r="R218" i="62" a="1"/>
  <c r="R218" i="62"/>
  <c r="V218" i="62" a="1"/>
  <c r="V218" i="62"/>
  <c r="AA218" i="62" a="1"/>
  <c r="AA218" i="62"/>
  <c r="AB218" i="62" a="1"/>
  <c r="AB218" i="62"/>
  <c r="AF218" i="62" a="1"/>
  <c r="AF218" i="62"/>
  <c r="AJ218" i="62" a="1"/>
  <c r="AJ218" i="62"/>
  <c r="AN218" i="62" a="1"/>
  <c r="AN218" i="62"/>
  <c r="AS218" i="62" a="1"/>
  <c r="AS218" i="62"/>
  <c r="AT218" i="62" a="1"/>
  <c r="AT218" i="62"/>
  <c r="AX218" i="62" a="1"/>
  <c r="AX218" i="62"/>
  <c r="BB218" i="62" a="1"/>
  <c r="BB218" i="62"/>
  <c r="BF218" i="62" a="1"/>
  <c r="BF218" i="62"/>
  <c r="I219" i="62" a="1"/>
  <c r="I219" i="62"/>
  <c r="J219" i="62" a="1"/>
  <c r="J219" i="62"/>
  <c r="N219" i="62" a="1"/>
  <c r="N219" i="62"/>
  <c r="R219" i="62" a="1"/>
  <c r="R219" i="62"/>
  <c r="V219" i="62" a="1"/>
  <c r="V219" i="62"/>
  <c r="AA219" i="62" a="1"/>
  <c r="AA219" i="62"/>
  <c r="AB219" i="62" a="1"/>
  <c r="AB219" i="62"/>
  <c r="AF219" i="62" a="1"/>
  <c r="AF219" i="62"/>
  <c r="AJ219" i="62" a="1"/>
  <c r="AJ219" i="62"/>
  <c r="AN219" i="62" a="1"/>
  <c r="AN219" i="62"/>
  <c r="AS219" i="62" a="1"/>
  <c r="AS219" i="62"/>
  <c r="AT219" i="62" a="1"/>
  <c r="AT219" i="62"/>
  <c r="AX219" i="62" a="1"/>
  <c r="AX219" i="62"/>
  <c r="BB219" i="62" a="1"/>
  <c r="BB219" i="62"/>
  <c r="BF219" i="62" a="1"/>
  <c r="BF219" i="62"/>
  <c r="G221" i="62" a="1"/>
  <c r="G221" i="62"/>
  <c r="H221" i="62" a="1"/>
  <c r="H221" i="62"/>
  <c r="I221" i="62" a="1"/>
  <c r="I221" i="62"/>
  <c r="J221" i="62" a="1"/>
  <c r="J221" i="62"/>
  <c r="N221" i="62" a="1"/>
  <c r="N221" i="62"/>
  <c r="R221" i="62" a="1"/>
  <c r="R221" i="62"/>
  <c r="V221" i="62" a="1"/>
  <c r="V221" i="62"/>
  <c r="AA221" i="62" a="1"/>
  <c r="AA221" i="62"/>
  <c r="AB221" i="62" a="1"/>
  <c r="AB221" i="62"/>
  <c r="AF221" i="62" a="1"/>
  <c r="AF221" i="62"/>
  <c r="AJ221" i="62" a="1"/>
  <c r="AJ221" i="62"/>
  <c r="AN221" i="62" a="1"/>
  <c r="AN221" i="62"/>
  <c r="AS221" i="62" a="1"/>
  <c r="AS221" i="62"/>
  <c r="AT221" i="62" a="1"/>
  <c r="AT221" i="62"/>
  <c r="AX221" i="62" a="1"/>
  <c r="AX221" i="62"/>
  <c r="BB221" i="62" a="1"/>
  <c r="BB221" i="62"/>
  <c r="BF221" i="62" a="1"/>
  <c r="BF221" i="62"/>
  <c r="G222" i="62" a="1"/>
  <c r="G222" i="62"/>
  <c r="H222" i="62" a="1"/>
  <c r="H222" i="62"/>
  <c r="I222" i="62" a="1"/>
  <c r="I222" i="62"/>
  <c r="J222" i="62" a="1"/>
  <c r="J222" i="62"/>
  <c r="N222" i="62" a="1"/>
  <c r="N222" i="62"/>
  <c r="R222" i="62" a="1"/>
  <c r="R222" i="62"/>
  <c r="V222" i="62" a="1"/>
  <c r="V222" i="62"/>
  <c r="AA222" i="62" a="1"/>
  <c r="AA222" i="62"/>
  <c r="AB222" i="62" a="1"/>
  <c r="AB222" i="62"/>
  <c r="AF222" i="62" a="1"/>
  <c r="AF222" i="62"/>
  <c r="AJ222" i="62" a="1"/>
  <c r="AJ222" i="62"/>
  <c r="AN222" i="62" a="1"/>
  <c r="AN222" i="62"/>
  <c r="AS222" i="62" a="1"/>
  <c r="AS222" i="62"/>
  <c r="AT222" i="62" a="1"/>
  <c r="AT222" i="62"/>
  <c r="AX222" i="62" a="1"/>
  <c r="AX222" i="62"/>
  <c r="BB222" i="62" a="1"/>
  <c r="BB222" i="62"/>
  <c r="BF222" i="62" a="1"/>
  <c r="BF222" i="62"/>
  <c r="G223" i="62" a="1"/>
  <c r="G223" i="62"/>
  <c r="H223" i="62" a="1"/>
  <c r="H223" i="62"/>
  <c r="I223" i="62" a="1"/>
  <c r="I223" i="62"/>
  <c r="J223" i="62" a="1"/>
  <c r="J223" i="62"/>
  <c r="N223" i="62" a="1"/>
  <c r="N223" i="62"/>
  <c r="R223" i="62" a="1"/>
  <c r="R223" i="62"/>
  <c r="V223" i="62" a="1"/>
  <c r="V223" i="62"/>
  <c r="AA223" i="62" a="1"/>
  <c r="AA223" i="62"/>
  <c r="AB223" i="62" a="1"/>
  <c r="AB223" i="62"/>
  <c r="AF223" i="62" a="1"/>
  <c r="AF223" i="62"/>
  <c r="AJ223" i="62" a="1"/>
  <c r="AJ223" i="62"/>
  <c r="AN223" i="62" a="1"/>
  <c r="AN223" i="62"/>
  <c r="AS223" i="62" a="1"/>
  <c r="AS223" i="62"/>
  <c r="AT223" i="62" a="1"/>
  <c r="AT223" i="62"/>
  <c r="AX223" i="62" a="1"/>
  <c r="AX223" i="62"/>
  <c r="BB223" i="62" a="1"/>
  <c r="BB223" i="62"/>
  <c r="BF223" i="62" a="1"/>
  <c r="BF223" i="62"/>
  <c r="O17" i="45"/>
  <c r="O18" i="45"/>
  <c r="O19" i="45"/>
  <c r="C342" i="61"/>
  <c r="G342" i="61" a="1"/>
  <c r="G342" i="61"/>
  <c r="H342" i="61" a="1"/>
  <c r="H342" i="61"/>
  <c r="I342" i="61" a="1"/>
  <c r="I342" i="61"/>
  <c r="J342" i="61" a="1"/>
  <c r="J342" i="61"/>
  <c r="N342" i="61" a="1"/>
  <c r="N342" i="61"/>
  <c r="R342" i="61" a="1"/>
  <c r="R342" i="61"/>
  <c r="V342" i="61" a="1"/>
  <c r="V342" i="61"/>
  <c r="AA342" i="61" a="1"/>
  <c r="AA342" i="61"/>
  <c r="AB342" i="61" a="1"/>
  <c r="AB342" i="61"/>
  <c r="AF342" i="61" a="1"/>
  <c r="AF342" i="61"/>
  <c r="AJ342" i="61" a="1"/>
  <c r="AJ342" i="61"/>
  <c r="AN342" i="61" a="1"/>
  <c r="AN342" i="61"/>
  <c r="AS342" i="61" a="1"/>
  <c r="AS342" i="61"/>
  <c r="AT342" i="61" a="1"/>
  <c r="AT342" i="61"/>
  <c r="AX342" i="61" a="1"/>
  <c r="AX342" i="61"/>
  <c r="BB342" i="61" a="1"/>
  <c r="BB342" i="61"/>
  <c r="C343" i="61"/>
  <c r="G343" i="61" a="1"/>
  <c r="G343" i="61"/>
  <c r="H343" i="61" a="1"/>
  <c r="H343" i="61"/>
  <c r="I343" i="61" a="1"/>
  <c r="I343" i="61"/>
  <c r="J343" i="61" a="1"/>
  <c r="J343" i="61"/>
  <c r="N343" i="61" a="1"/>
  <c r="N343" i="61"/>
  <c r="R343" i="61" a="1"/>
  <c r="R343" i="61"/>
  <c r="V343" i="61" a="1"/>
  <c r="V343" i="61"/>
  <c r="AA343" i="61" a="1"/>
  <c r="AA343" i="61"/>
  <c r="AB343" i="61" a="1"/>
  <c r="AB343" i="61"/>
  <c r="AF343" i="61" a="1"/>
  <c r="AF343" i="61"/>
  <c r="AJ343" i="61" a="1"/>
  <c r="AJ343" i="61"/>
  <c r="AN343" i="61" a="1"/>
  <c r="AN343" i="61"/>
  <c r="AS343" i="61" a="1"/>
  <c r="AS343" i="61"/>
  <c r="AT343" i="61" a="1"/>
  <c r="AT343" i="61"/>
  <c r="AX343" i="61" a="1"/>
  <c r="AX343" i="61"/>
  <c r="BB343" i="61" a="1"/>
  <c r="BB343" i="61"/>
  <c r="C344" i="61"/>
  <c r="G344" i="61" a="1"/>
  <c r="G344" i="61"/>
  <c r="H344" i="61" a="1"/>
  <c r="H344" i="61"/>
  <c r="I344" i="61" a="1"/>
  <c r="I344" i="61"/>
  <c r="J344" i="61" a="1"/>
  <c r="J344" i="61"/>
  <c r="N344" i="61" a="1"/>
  <c r="N344" i="61"/>
  <c r="R344" i="61" a="1"/>
  <c r="R344" i="61"/>
  <c r="V344" i="61" a="1"/>
  <c r="V344" i="61"/>
  <c r="AA344" i="61" a="1"/>
  <c r="AA344" i="61"/>
  <c r="AB344" i="61" a="1"/>
  <c r="AB344" i="61"/>
  <c r="AF344" i="61" a="1"/>
  <c r="AF344" i="61"/>
  <c r="AJ344" i="61" a="1"/>
  <c r="AJ344" i="61"/>
  <c r="AN344" i="61" a="1"/>
  <c r="AN344" i="61"/>
  <c r="AS344" i="61" a="1"/>
  <c r="AS344" i="61"/>
  <c r="AT344" i="61" a="1"/>
  <c r="AT344" i="61"/>
  <c r="AX344" i="61" a="1"/>
  <c r="AX344" i="61"/>
  <c r="BB344" i="61" a="1"/>
  <c r="BB344" i="61"/>
  <c r="C331" i="61"/>
  <c r="G331" i="61" a="1"/>
  <c r="G331" i="61"/>
  <c r="H331" i="61" a="1"/>
  <c r="H331" i="61"/>
  <c r="I331" i="61" a="1"/>
  <c r="I331" i="61"/>
  <c r="J331" i="61" a="1"/>
  <c r="J331" i="61"/>
  <c r="N331" i="61" a="1"/>
  <c r="N331" i="61"/>
  <c r="R331" i="61" a="1"/>
  <c r="R331" i="61"/>
  <c r="V331" i="61" a="1"/>
  <c r="V331" i="61"/>
  <c r="AA331" i="61" a="1"/>
  <c r="AA331" i="61"/>
  <c r="AB331" i="61" a="1"/>
  <c r="AB331" i="61"/>
  <c r="AF331" i="61" a="1"/>
  <c r="AF331" i="61"/>
  <c r="AJ331" i="61" a="1"/>
  <c r="AJ331" i="61"/>
  <c r="AN331" i="61" a="1"/>
  <c r="AN331" i="61"/>
  <c r="AS331" i="61" a="1"/>
  <c r="AS331" i="61"/>
  <c r="AT331" i="61" a="1"/>
  <c r="AT331" i="61"/>
  <c r="AX331" i="61" a="1"/>
  <c r="AX331" i="61"/>
  <c r="BB331" i="61" a="1"/>
  <c r="BB331" i="61"/>
  <c r="C332" i="61"/>
  <c r="G332" i="61" a="1"/>
  <c r="G332" i="61"/>
  <c r="H332" i="61" a="1"/>
  <c r="H332" i="61"/>
  <c r="I332" i="61" a="1"/>
  <c r="I332" i="61"/>
  <c r="J332" i="61" a="1"/>
  <c r="J332" i="61"/>
  <c r="N332" i="61" a="1"/>
  <c r="N332" i="61"/>
  <c r="R332" i="61" a="1"/>
  <c r="R332" i="61"/>
  <c r="V332" i="61" a="1"/>
  <c r="V332" i="61"/>
  <c r="AA332" i="61" a="1"/>
  <c r="AA332" i="61"/>
  <c r="AB332" i="61" a="1"/>
  <c r="AB332" i="61"/>
  <c r="AF332" i="61" a="1"/>
  <c r="AF332" i="61"/>
  <c r="AJ332" i="61" a="1"/>
  <c r="AJ332" i="61"/>
  <c r="AN332" i="61" a="1"/>
  <c r="AN332" i="61"/>
  <c r="AS332" i="61" a="1"/>
  <c r="AS332" i="61"/>
  <c r="AT332" i="61" a="1"/>
  <c r="AT332" i="61"/>
  <c r="AX332" i="61" a="1"/>
  <c r="AX332" i="61"/>
  <c r="BB332" i="61" a="1"/>
  <c r="BB332" i="61"/>
  <c r="C347" i="61"/>
  <c r="I347" i="61" a="1"/>
  <c r="I347" i="61"/>
  <c r="J347" i="61" a="1"/>
  <c r="J347" i="61"/>
  <c r="N347" i="61" a="1"/>
  <c r="N347" i="61"/>
  <c r="R347" i="61" a="1"/>
  <c r="R347" i="61"/>
  <c r="V347" i="61" a="1"/>
  <c r="V347" i="61"/>
  <c r="AA347" i="61" a="1"/>
  <c r="AA347" i="61"/>
  <c r="AB347" i="61" a="1"/>
  <c r="AB347" i="61"/>
  <c r="AF347" i="61" a="1"/>
  <c r="AF347" i="61"/>
  <c r="AJ347" i="61" a="1"/>
  <c r="AJ347" i="61"/>
  <c r="AN347" i="61" a="1"/>
  <c r="AN347" i="61"/>
  <c r="AS347" i="61" a="1"/>
  <c r="AS347" i="61"/>
  <c r="AT347" i="61" a="1"/>
  <c r="AT347" i="61"/>
  <c r="AX347" i="61" a="1"/>
  <c r="AX347" i="61"/>
  <c r="BB347" i="61" a="1"/>
  <c r="BB347" i="61"/>
  <c r="C348" i="61"/>
  <c r="G348" i="61" a="1"/>
  <c r="G348" i="61"/>
  <c r="H348" i="61" a="1"/>
  <c r="H348" i="61"/>
  <c r="I348" i="61" a="1"/>
  <c r="I348" i="61"/>
  <c r="J348" i="61" a="1"/>
  <c r="J348" i="61"/>
  <c r="N348" i="61" a="1"/>
  <c r="N348" i="61"/>
  <c r="R348" i="61" a="1"/>
  <c r="R348" i="61"/>
  <c r="V348" i="61" a="1"/>
  <c r="V348" i="61"/>
  <c r="AA348" i="61" a="1"/>
  <c r="AA348" i="61"/>
  <c r="AB348" i="61" a="1"/>
  <c r="AB348" i="61"/>
  <c r="AF348" i="61" a="1"/>
  <c r="AF348" i="61"/>
  <c r="AJ348" i="61" a="1"/>
  <c r="AJ348" i="61"/>
  <c r="AN348" i="61" a="1"/>
  <c r="AN348" i="61"/>
  <c r="AS348" i="61" a="1"/>
  <c r="AS348" i="61"/>
  <c r="AT348" i="61" a="1"/>
  <c r="AT348" i="61"/>
  <c r="AX348" i="61" a="1"/>
  <c r="AX348" i="61"/>
  <c r="BB348" i="61" a="1"/>
  <c r="BB348" i="61"/>
  <c r="C334" i="61"/>
  <c r="I334" i="61" a="1"/>
  <c r="I334" i="61"/>
  <c r="J334" i="61" a="1"/>
  <c r="J334" i="61"/>
  <c r="N334" i="61" a="1"/>
  <c r="N334" i="61"/>
  <c r="R334" i="61" a="1"/>
  <c r="R334" i="61"/>
  <c r="V334" i="61" a="1"/>
  <c r="V334" i="61"/>
  <c r="AA334" i="61" a="1"/>
  <c r="AA334" i="61"/>
  <c r="AB334" i="61" a="1"/>
  <c r="AB334" i="61"/>
  <c r="AF334" i="61" a="1"/>
  <c r="AF334" i="61"/>
  <c r="AJ334" i="61" a="1"/>
  <c r="AJ334" i="61"/>
  <c r="AN334" i="61" a="1"/>
  <c r="AN334" i="61"/>
  <c r="AS334" i="61" a="1"/>
  <c r="AS334" i="61"/>
  <c r="AT334" i="61" a="1"/>
  <c r="AT334" i="61"/>
  <c r="AX334" i="61" a="1"/>
  <c r="AX334" i="61"/>
  <c r="BB334" i="61" a="1"/>
  <c r="BB334" i="61"/>
  <c r="C335" i="61"/>
  <c r="G335" i="61" a="1"/>
  <c r="G335" i="61"/>
  <c r="H335" i="61" a="1"/>
  <c r="H335" i="61"/>
  <c r="I335" i="61" a="1"/>
  <c r="I335" i="61"/>
  <c r="J335" i="61" a="1"/>
  <c r="J335" i="61"/>
  <c r="N335" i="61" a="1"/>
  <c r="N335" i="61"/>
  <c r="R335" i="61" a="1"/>
  <c r="R335" i="61"/>
  <c r="V335" i="61" a="1"/>
  <c r="V335" i="61"/>
  <c r="AA335" i="61" a="1"/>
  <c r="AA335" i="61"/>
  <c r="AB335" i="61" a="1"/>
  <c r="AB335" i="61"/>
  <c r="AF335" i="61" a="1"/>
  <c r="AF335" i="61"/>
  <c r="AJ335" i="61" a="1"/>
  <c r="AJ335" i="61"/>
  <c r="AN335" i="61" a="1"/>
  <c r="AN335" i="61"/>
  <c r="AS335" i="61" a="1"/>
  <c r="AS335" i="61"/>
  <c r="AT335" i="61" a="1"/>
  <c r="AT335" i="61"/>
  <c r="AX335" i="61" a="1"/>
  <c r="AX335" i="61"/>
  <c r="BB335" i="61" a="1"/>
  <c r="BB335" i="61"/>
  <c r="T343" i="61"/>
  <c r="BD342" i="61"/>
  <c r="L348" i="61"/>
  <c r="L343" i="61"/>
  <c r="L332" i="61"/>
  <c r="L344" i="61"/>
  <c r="P344" i="61"/>
  <c r="AD342" i="61"/>
  <c r="P342" i="61"/>
  <c r="L223" i="62"/>
  <c r="T331" i="61"/>
  <c r="AL347" i="61"/>
  <c r="AL332" i="61"/>
  <c r="AP342" i="61"/>
  <c r="AD348" i="61"/>
  <c r="AZ347" i="61"/>
  <c r="AZ332" i="61"/>
  <c r="X332" i="61"/>
  <c r="AV331" i="61"/>
  <c r="AH331" i="61"/>
  <c r="AV343" i="61"/>
  <c r="BD348" i="61"/>
  <c r="AP348" i="61"/>
  <c r="AV347" i="61"/>
  <c r="AH347" i="61"/>
  <c r="T347" i="61"/>
  <c r="O332" i="61"/>
  <c r="Q332" i="61"/>
  <c r="BH342" i="61"/>
  <c r="AZ343" i="61"/>
  <c r="BH348" i="61"/>
  <c r="AP344" i="61"/>
  <c r="BD343" i="61"/>
  <c r="AP343" i="61"/>
  <c r="AP335" i="61"/>
  <c r="AV334" i="61"/>
  <c r="AV348" i="61"/>
  <c r="BD347" i="61"/>
  <c r="AP332" i="61"/>
  <c r="AZ331" i="61"/>
  <c r="AL331" i="61"/>
  <c r="X331" i="61"/>
  <c r="BH344" i="61"/>
  <c r="AD344" i="61"/>
  <c r="AZ348" i="61"/>
  <c r="BH347" i="61"/>
  <c r="AD347" i="61"/>
  <c r="BD331" i="61"/>
  <c r="AP331" i="61"/>
  <c r="AZ223" i="62"/>
  <c r="P223" i="62"/>
  <c r="T223" i="62"/>
  <c r="BH334" i="61"/>
  <c r="BH223" i="62"/>
  <c r="AV223" i="62"/>
  <c r="AH223" i="62"/>
  <c r="X223" i="62"/>
  <c r="T334" i="61"/>
  <c r="AV332" i="61"/>
  <c r="AH332" i="61"/>
  <c r="T332" i="61"/>
  <c r="BH331" i="61"/>
  <c r="AD331" i="61"/>
  <c r="P331" i="61"/>
  <c r="AZ344" i="61"/>
  <c r="AL344" i="61"/>
  <c r="X344" i="61"/>
  <c r="BH343" i="61"/>
  <c r="AD343" i="61"/>
  <c r="AZ342" i="61"/>
  <c r="AL342" i="61"/>
  <c r="X342" i="61"/>
  <c r="BD223" i="62"/>
  <c r="AP223" i="62"/>
  <c r="AD223" i="62"/>
  <c r="L335" i="61"/>
  <c r="AH334" i="61"/>
  <c r="BD334" i="61"/>
  <c r="AP334" i="61"/>
  <c r="AZ334" i="61"/>
  <c r="AL334" i="61"/>
  <c r="X334" i="61"/>
  <c r="AL348" i="61"/>
  <c r="X348" i="61"/>
  <c r="BH332" i="61"/>
  <c r="AD332" i="61"/>
  <c r="P332" i="61"/>
  <c r="AV344" i="61"/>
  <c r="AH344" i="61"/>
  <c r="AV342" i="61"/>
  <c r="AH342" i="61"/>
  <c r="T342" i="61"/>
  <c r="AL223" i="62"/>
  <c r="S221" i="62"/>
  <c r="AK219" i="62"/>
  <c r="BC219" i="62"/>
  <c r="K219" i="62"/>
  <c r="AU219" i="62"/>
  <c r="AC219" i="62"/>
  <c r="BC223" i="62"/>
  <c r="AU223" i="62"/>
  <c r="BG223" i="62"/>
  <c r="AY223" i="62"/>
  <c r="AU222" i="62"/>
  <c r="AY222" i="62"/>
  <c r="BG222" i="62"/>
  <c r="BC222" i="62"/>
  <c r="AO222" i="62"/>
  <c r="AC222" i="62"/>
  <c r="AG222" i="62"/>
  <c r="AK222" i="62"/>
  <c r="O222" i="62"/>
  <c r="S222" i="62"/>
  <c r="W222" i="62"/>
  <c r="K222" i="62"/>
  <c r="AC221" i="62"/>
  <c r="AG221" i="62"/>
  <c r="AK221" i="62"/>
  <c r="AO221" i="62"/>
  <c r="W223" i="62"/>
  <c r="K223" i="62"/>
  <c r="O223" i="62"/>
  <c r="S223" i="62"/>
  <c r="AC223" i="62"/>
  <c r="AG223" i="62"/>
  <c r="AO223" i="62"/>
  <c r="AK223" i="62"/>
  <c r="BC221" i="62"/>
  <c r="BG221" i="62"/>
  <c r="AU221" i="62"/>
  <c r="AY221" i="62"/>
  <c r="S219" i="62"/>
  <c r="AU218" i="62"/>
  <c r="AY218" i="62"/>
  <c r="BC218" i="62"/>
  <c r="BG218" i="62"/>
  <c r="BC217" i="62"/>
  <c r="BG217" i="62"/>
  <c r="AU217" i="62"/>
  <c r="AY217" i="62"/>
  <c r="AU216" i="62"/>
  <c r="AY216" i="62"/>
  <c r="BC216" i="62"/>
  <c r="BG216" i="62"/>
  <c r="W221" i="62"/>
  <c r="AK218" i="62"/>
  <c r="AO218" i="62"/>
  <c r="AC218" i="62"/>
  <c r="AG218" i="62"/>
  <c r="K218" i="62"/>
  <c r="O218" i="62"/>
  <c r="S218" i="62"/>
  <c r="W218" i="62"/>
  <c r="AC217" i="62"/>
  <c r="AG217" i="62"/>
  <c r="AK217" i="62"/>
  <c r="AO217" i="62"/>
  <c r="S217" i="62"/>
  <c r="W217" i="62"/>
  <c r="K217" i="62"/>
  <c r="O217" i="62"/>
  <c r="AK216" i="62"/>
  <c r="AO216" i="62"/>
  <c r="AC216" i="62"/>
  <c r="AG216" i="62"/>
  <c r="K216" i="62"/>
  <c r="O216" i="62"/>
  <c r="S216" i="62"/>
  <c r="W216" i="62"/>
  <c r="O221" i="62"/>
  <c r="AY219" i="62"/>
  <c r="BG219" i="62"/>
  <c r="O219" i="62"/>
  <c r="W219" i="62"/>
  <c r="K221" i="62"/>
  <c r="AO219" i="62"/>
  <c r="AG219" i="62"/>
  <c r="K343" i="61"/>
  <c r="M343" i="61"/>
  <c r="AC343" i="61"/>
  <c r="AO343" i="61"/>
  <c r="W344" i="61"/>
  <c r="O344" i="61"/>
  <c r="Q344" i="61"/>
  <c r="AY344" i="61"/>
  <c r="O343" i="61"/>
  <c r="Q343" i="61"/>
  <c r="AH343" i="61"/>
  <c r="AG343" i="61"/>
  <c r="X343" i="61"/>
  <c r="W343" i="61"/>
  <c r="Y343" i="61"/>
  <c r="L342" i="61"/>
  <c r="BG344" i="61"/>
  <c r="BG342" i="61"/>
  <c r="AU342" i="61"/>
  <c r="AY342" i="61"/>
  <c r="BC342" i="61"/>
  <c r="AG342" i="61"/>
  <c r="AK342" i="61"/>
  <c r="AO342" i="61"/>
  <c r="AC342" i="61"/>
  <c r="W342" i="61"/>
  <c r="K342" i="61"/>
  <c r="M342" i="61"/>
  <c r="O342" i="61"/>
  <c r="Q342" i="61"/>
  <c r="S342" i="61"/>
  <c r="S344" i="61"/>
  <c r="T344" i="61"/>
  <c r="BD344" i="61"/>
  <c r="BC344" i="61"/>
  <c r="AC344" i="61"/>
  <c r="AE344" i="61"/>
  <c r="AG344" i="61"/>
  <c r="AK344" i="61"/>
  <c r="AO344" i="61"/>
  <c r="AU343" i="61"/>
  <c r="AY343" i="61"/>
  <c r="BC343" i="61"/>
  <c r="BG343" i="61"/>
  <c r="AK343" i="61"/>
  <c r="AL343" i="61"/>
  <c r="K344" i="61"/>
  <c r="M344" i="61"/>
  <c r="AU344" i="61"/>
  <c r="S343" i="61"/>
  <c r="P343" i="61"/>
  <c r="AH348" i="61"/>
  <c r="T348" i="61"/>
  <c r="AP347" i="61"/>
  <c r="P347" i="61"/>
  <c r="AD334" i="61"/>
  <c r="P334" i="61"/>
  <c r="P348" i="61"/>
  <c r="X347" i="61"/>
  <c r="AU332" i="61"/>
  <c r="AY332" i="61"/>
  <c r="BC332" i="61"/>
  <c r="BD332" i="61"/>
  <c r="BG331" i="61"/>
  <c r="AU331" i="61"/>
  <c r="AY331" i="61"/>
  <c r="BC331" i="61"/>
  <c r="AG331" i="61"/>
  <c r="AK331" i="61"/>
  <c r="AO331" i="61"/>
  <c r="AC331" i="61"/>
  <c r="L331" i="61"/>
  <c r="W331" i="61"/>
  <c r="K331" i="61"/>
  <c r="M331" i="61"/>
  <c r="O331" i="61"/>
  <c r="Q331" i="61"/>
  <c r="S331" i="61"/>
  <c r="AC332" i="61"/>
  <c r="AG332" i="61"/>
  <c r="AK332" i="61"/>
  <c r="AO332" i="61"/>
  <c r="K332" i="61"/>
  <c r="M332" i="61"/>
  <c r="BG332" i="61"/>
  <c r="W332" i="61"/>
  <c r="Y332" i="61"/>
  <c r="S332" i="61"/>
  <c r="O348" i="61"/>
  <c r="Q348" i="61"/>
  <c r="AG347" i="61"/>
  <c r="AK347" i="61"/>
  <c r="AO347" i="61"/>
  <c r="AC347" i="61"/>
  <c r="L347" i="61"/>
  <c r="AK348" i="61"/>
  <c r="AO348" i="61"/>
  <c r="AC348" i="61"/>
  <c r="AG348" i="61"/>
  <c r="K348" i="61"/>
  <c r="M348" i="61"/>
  <c r="W347" i="61"/>
  <c r="K347" i="61"/>
  <c r="M347" i="61"/>
  <c r="O347" i="61"/>
  <c r="Q347" i="61"/>
  <c r="S347" i="61"/>
  <c r="BG347" i="61"/>
  <c r="AU347" i="61"/>
  <c r="AY347" i="61"/>
  <c r="BC347" i="61"/>
  <c r="AU348" i="61"/>
  <c r="AY348" i="61"/>
  <c r="BC348" i="61"/>
  <c r="BG348" i="61"/>
  <c r="W348" i="61"/>
  <c r="S348" i="61"/>
  <c r="AZ335" i="61"/>
  <c r="AL335" i="61"/>
  <c r="X335" i="61"/>
  <c r="AV335" i="61"/>
  <c r="AH335" i="61"/>
  <c r="T335" i="61"/>
  <c r="BH335" i="61"/>
  <c r="AD335" i="61"/>
  <c r="P335" i="61"/>
  <c r="AY335" i="61"/>
  <c r="O335" i="61"/>
  <c r="Q335" i="61"/>
  <c r="AG334" i="61"/>
  <c r="AK334" i="61"/>
  <c r="AO334" i="61"/>
  <c r="AC334" i="61"/>
  <c r="L334" i="61"/>
  <c r="BD335" i="61"/>
  <c r="BC335" i="61"/>
  <c r="K335" i="61"/>
  <c r="M335" i="61"/>
  <c r="W334" i="61"/>
  <c r="K334" i="61"/>
  <c r="M334" i="61"/>
  <c r="O334" i="61"/>
  <c r="Q334" i="61"/>
  <c r="S334" i="61"/>
  <c r="AO335" i="61"/>
  <c r="AC335" i="61"/>
  <c r="AG335" i="61"/>
  <c r="AK335" i="61"/>
  <c r="BG334" i="61"/>
  <c r="AU334" i="61"/>
  <c r="AW334" i="61"/>
  <c r="AY334" i="61"/>
  <c r="BA334" i="61"/>
  <c r="BC334" i="61"/>
  <c r="BG335" i="61"/>
  <c r="AU335" i="61"/>
  <c r="W335" i="61"/>
  <c r="S335" i="61"/>
  <c r="U335" i="61"/>
  <c r="O16" i="45"/>
  <c r="AI344" i="61"/>
  <c r="BI344" i="61"/>
  <c r="AW223" i="62"/>
  <c r="AE223" i="62"/>
  <c r="BI223" i="62"/>
  <c r="AQ223" i="62"/>
  <c r="BI335" i="61"/>
  <c r="Y223" i="62"/>
  <c r="U223" i="62"/>
  <c r="BE223" i="62"/>
  <c r="BA223" i="62"/>
  <c r="M223" i="62"/>
  <c r="AM223" i="62"/>
  <c r="AI223" i="62"/>
  <c r="Q223" i="62"/>
  <c r="U348" i="61"/>
  <c r="AW347" i="61"/>
  <c r="Y331" i="61"/>
  <c r="AM331" i="61"/>
  <c r="BI343" i="61"/>
  <c r="AQ344" i="61"/>
  <c r="U342" i="61"/>
  <c r="BE342" i="61"/>
  <c r="AI343" i="61"/>
  <c r="BE348" i="61"/>
  <c r="BA347" i="61"/>
  <c r="AQ331" i="61"/>
  <c r="U343" i="61"/>
  <c r="BE332" i="61"/>
  <c r="AM343" i="61"/>
  <c r="Y342" i="61"/>
  <c r="Y335" i="61"/>
  <c r="BA343" i="61"/>
  <c r="BI342" i="61"/>
  <c r="BA348" i="61"/>
  <c r="AW344" i="61"/>
  <c r="BE334" i="61"/>
  <c r="AM335" i="61"/>
  <c r="U334" i="61"/>
  <c r="BI347" i="61"/>
  <c r="AQ347" i="61"/>
  <c r="AQ332" i="61"/>
  <c r="BE343" i="61"/>
  <c r="AM344" i="61"/>
  <c r="AQ342" i="61"/>
  <c r="AQ334" i="61"/>
  <c r="BI348" i="61"/>
  <c r="BE347" i="61"/>
  <c r="AW335" i="61"/>
  <c r="BI332" i="61"/>
  <c r="AI332" i="61"/>
  <c r="AQ343" i="61"/>
  <c r="Y348" i="61"/>
  <c r="AW348" i="61"/>
  <c r="U332" i="61"/>
  <c r="AI331" i="61"/>
  <c r="AW332" i="61"/>
  <c r="U347" i="61"/>
  <c r="BI334" i="61"/>
  <c r="AQ335" i="61"/>
  <c r="Y334" i="61"/>
  <c r="AI334" i="61"/>
  <c r="AE348" i="61"/>
  <c r="AE347" i="61"/>
  <c r="AE332" i="61"/>
  <c r="AW331" i="61"/>
  <c r="BA332" i="61"/>
  <c r="BE344" i="61"/>
  <c r="AE342" i="61"/>
  <c r="BA344" i="61"/>
  <c r="AE343" i="61"/>
  <c r="AE334" i="61"/>
  <c r="Y347" i="61"/>
  <c r="AQ348" i="61"/>
  <c r="U331" i="61"/>
  <c r="BI331" i="61"/>
  <c r="BA342" i="61"/>
  <c r="AI335" i="61"/>
  <c r="BE335" i="61"/>
  <c r="BA335" i="61"/>
  <c r="AM348" i="61"/>
  <c r="AM347" i="61"/>
  <c r="AM332" i="61"/>
  <c r="AE331" i="61"/>
  <c r="BE331" i="61"/>
  <c r="AM342" i="61"/>
  <c r="AW342" i="61"/>
  <c r="Y344" i="61"/>
  <c r="AE335" i="61"/>
  <c r="AM334" i="61"/>
  <c r="AI348" i="61"/>
  <c r="AI347" i="61"/>
  <c r="BA331" i="61"/>
  <c r="AW343" i="61"/>
  <c r="U344" i="61"/>
  <c r="AI342" i="61"/>
  <c r="AK130" i="34"/>
  <c r="BF255" i="55" a="1"/>
  <c r="BF255" i="55"/>
  <c r="BB255" i="55" a="1"/>
  <c r="BB255" i="55"/>
  <c r="AX255" i="55" a="1"/>
  <c r="AX255" i="55"/>
  <c r="AT255" i="55" a="1"/>
  <c r="AT255" i="55"/>
  <c r="AS255" i="55" a="1"/>
  <c r="AS255" i="55"/>
  <c r="AN255" i="55" a="1"/>
  <c r="AN255" i="55"/>
  <c r="AJ255" i="55" a="1"/>
  <c r="AJ255" i="55"/>
  <c r="AF255" i="55" a="1"/>
  <c r="AF255" i="55"/>
  <c r="AB255" i="55" a="1"/>
  <c r="AB255" i="55"/>
  <c r="AA255" i="55" a="1"/>
  <c r="AA255" i="55"/>
  <c r="V255" i="55" a="1"/>
  <c r="V255" i="55"/>
  <c r="R255" i="55" a="1"/>
  <c r="R255" i="55"/>
  <c r="N255" i="55" a="1"/>
  <c r="N255" i="55"/>
  <c r="J255" i="55" a="1"/>
  <c r="J255" i="55"/>
  <c r="I255" i="55" a="1"/>
  <c r="I255" i="55"/>
  <c r="BF254" i="55" a="1"/>
  <c r="BF254" i="55"/>
  <c r="BB254" i="55" a="1"/>
  <c r="BB254" i="55"/>
  <c r="AX254" i="55" a="1"/>
  <c r="AX254" i="55"/>
  <c r="AT254" i="55" a="1"/>
  <c r="AT254" i="55"/>
  <c r="AS254" i="55" a="1"/>
  <c r="AS254" i="55"/>
  <c r="AN254" i="55" a="1"/>
  <c r="AN254" i="55"/>
  <c r="AJ254" i="55" a="1"/>
  <c r="AJ254" i="55"/>
  <c r="AF254" i="55" a="1"/>
  <c r="AF254" i="55"/>
  <c r="AB254" i="55" a="1"/>
  <c r="AB254" i="55"/>
  <c r="AA254" i="55" a="1"/>
  <c r="AA254" i="55"/>
  <c r="V254" i="55" a="1"/>
  <c r="V254" i="55"/>
  <c r="R254" i="55" a="1"/>
  <c r="R254" i="55"/>
  <c r="N254" i="55" a="1"/>
  <c r="N254" i="55"/>
  <c r="J254" i="55" a="1"/>
  <c r="J254" i="55"/>
  <c r="I254" i="55" a="1"/>
  <c r="I254" i="55"/>
  <c r="BF253" i="55" a="1"/>
  <c r="BF253" i="55"/>
  <c r="BB253" i="55" a="1"/>
  <c r="BB253" i="55"/>
  <c r="AX253" i="55" a="1"/>
  <c r="AX253" i="55"/>
  <c r="AT253" i="55" a="1"/>
  <c r="AT253" i="55"/>
  <c r="AS253" i="55" a="1"/>
  <c r="AS253" i="55"/>
  <c r="AN253" i="55" a="1"/>
  <c r="AN253" i="55"/>
  <c r="AJ253" i="55" a="1"/>
  <c r="AJ253" i="55"/>
  <c r="AF253" i="55" a="1"/>
  <c r="AF253" i="55"/>
  <c r="AB253" i="55" a="1"/>
  <c r="AB253" i="55"/>
  <c r="AA253" i="55" a="1"/>
  <c r="AA253" i="55"/>
  <c r="V253" i="55" a="1"/>
  <c r="V253" i="55"/>
  <c r="R253" i="55" a="1"/>
  <c r="R253" i="55"/>
  <c r="N253" i="55" a="1"/>
  <c r="N253" i="55"/>
  <c r="J253" i="55" a="1"/>
  <c r="J253" i="55"/>
  <c r="I253" i="55" a="1"/>
  <c r="I253" i="55"/>
  <c r="BF252" i="55" a="1"/>
  <c r="BF252" i="55"/>
  <c r="BB252" i="55" a="1"/>
  <c r="BB252" i="55"/>
  <c r="AX252" i="55" a="1"/>
  <c r="AX252" i="55"/>
  <c r="AT252" i="55" a="1"/>
  <c r="AT252" i="55"/>
  <c r="AS252" i="55" a="1"/>
  <c r="AS252" i="55"/>
  <c r="AN252" i="55" a="1"/>
  <c r="AN252" i="55"/>
  <c r="AJ252" i="55" a="1"/>
  <c r="AJ252" i="55"/>
  <c r="AF252" i="55" a="1"/>
  <c r="AF252" i="55"/>
  <c r="AB252" i="55" a="1"/>
  <c r="AB252" i="55"/>
  <c r="AA252" i="55" a="1"/>
  <c r="AA252" i="55"/>
  <c r="V252" i="55" a="1"/>
  <c r="V252" i="55"/>
  <c r="R252" i="55" a="1"/>
  <c r="R252" i="55"/>
  <c r="N252" i="55" a="1"/>
  <c r="N252" i="55"/>
  <c r="J252" i="55" a="1"/>
  <c r="J252" i="55"/>
  <c r="I252" i="55" a="1"/>
  <c r="I252" i="55"/>
  <c r="BF251" i="55" a="1"/>
  <c r="BF251" i="55"/>
  <c r="BB251" i="55" a="1"/>
  <c r="BB251" i="55"/>
  <c r="AX251" i="55" a="1"/>
  <c r="AX251" i="55"/>
  <c r="AT251" i="55" a="1"/>
  <c r="AT251" i="55"/>
  <c r="AS251" i="55" a="1"/>
  <c r="AS251" i="55"/>
  <c r="AN251" i="55" a="1"/>
  <c r="AN251" i="55"/>
  <c r="AJ251" i="55" a="1"/>
  <c r="AJ251" i="55"/>
  <c r="AF251" i="55" a="1"/>
  <c r="AF251" i="55"/>
  <c r="AB251" i="55" a="1"/>
  <c r="AB251" i="55"/>
  <c r="AA251" i="55" a="1"/>
  <c r="AA251" i="55"/>
  <c r="V251" i="55" a="1"/>
  <c r="V251" i="55"/>
  <c r="R251" i="55" a="1"/>
  <c r="R251" i="55"/>
  <c r="N251" i="55" a="1"/>
  <c r="N251" i="55"/>
  <c r="J251" i="55" a="1"/>
  <c r="J251" i="55"/>
  <c r="I251" i="55" a="1"/>
  <c r="I251" i="55"/>
  <c r="BF250" i="55" a="1"/>
  <c r="BF250" i="55"/>
  <c r="BB250" i="55" a="1"/>
  <c r="BB250" i="55"/>
  <c r="AX250" i="55" a="1"/>
  <c r="AX250" i="55"/>
  <c r="AT250" i="55" a="1"/>
  <c r="AT250" i="55"/>
  <c r="AS250" i="55" a="1"/>
  <c r="AS250" i="55"/>
  <c r="AN250" i="55" a="1"/>
  <c r="AN250" i="55"/>
  <c r="AJ250" i="55" a="1"/>
  <c r="AJ250" i="55"/>
  <c r="AF250" i="55" a="1"/>
  <c r="AF250" i="55"/>
  <c r="AB250" i="55" a="1"/>
  <c r="AB250" i="55"/>
  <c r="AA250" i="55" a="1"/>
  <c r="AA250" i="55"/>
  <c r="V250" i="55" a="1"/>
  <c r="V250" i="55"/>
  <c r="R250" i="55" a="1"/>
  <c r="R250" i="55"/>
  <c r="N250" i="55" a="1"/>
  <c r="N250" i="55"/>
  <c r="J250" i="55" a="1"/>
  <c r="J250" i="55"/>
  <c r="I250" i="55" a="1"/>
  <c r="I250" i="55"/>
  <c r="BF249" i="55" a="1"/>
  <c r="BF249" i="55"/>
  <c r="BB249" i="55" a="1"/>
  <c r="BB249" i="55"/>
  <c r="AX249" i="55" a="1"/>
  <c r="AX249" i="55"/>
  <c r="AT249" i="55" a="1"/>
  <c r="AT249" i="55"/>
  <c r="AS249" i="55" a="1"/>
  <c r="AS249" i="55"/>
  <c r="AN249" i="55" a="1"/>
  <c r="AN249" i="55"/>
  <c r="AJ249" i="55" a="1"/>
  <c r="AJ249" i="55"/>
  <c r="AF249" i="55" a="1"/>
  <c r="AF249" i="55"/>
  <c r="AB249" i="55" a="1"/>
  <c r="AB249" i="55"/>
  <c r="AA249" i="55" a="1"/>
  <c r="AA249" i="55"/>
  <c r="V249" i="55" a="1"/>
  <c r="V249" i="55"/>
  <c r="R249" i="55" a="1"/>
  <c r="R249" i="55"/>
  <c r="N249" i="55" a="1"/>
  <c r="N249" i="55"/>
  <c r="J249" i="55" a="1"/>
  <c r="J249" i="55"/>
  <c r="I249" i="55" a="1"/>
  <c r="I249" i="55"/>
  <c r="BF248" i="55" a="1"/>
  <c r="BF248" i="55"/>
  <c r="BB248" i="55" a="1"/>
  <c r="BB248" i="55"/>
  <c r="AX248" i="55" a="1"/>
  <c r="AX248" i="55"/>
  <c r="AT248" i="55" a="1"/>
  <c r="AT248" i="55"/>
  <c r="AS248" i="55" a="1"/>
  <c r="AS248" i="55"/>
  <c r="AN248" i="55" a="1"/>
  <c r="AN248" i="55"/>
  <c r="AJ248" i="55" a="1"/>
  <c r="AJ248" i="55"/>
  <c r="AF248" i="55" a="1"/>
  <c r="AF248" i="55"/>
  <c r="AB248" i="55" a="1"/>
  <c r="AB248" i="55"/>
  <c r="AA248" i="55" a="1"/>
  <c r="AA248" i="55"/>
  <c r="V248" i="55" a="1"/>
  <c r="V248" i="55"/>
  <c r="R248" i="55" a="1"/>
  <c r="R248" i="55"/>
  <c r="N248" i="55" a="1"/>
  <c r="N248" i="55"/>
  <c r="J248" i="55" a="1"/>
  <c r="J248" i="55"/>
  <c r="I248" i="55" a="1"/>
  <c r="I248" i="55"/>
  <c r="BF247" i="55" a="1"/>
  <c r="BF247" i="55"/>
  <c r="BB247" i="55" a="1"/>
  <c r="BB247" i="55"/>
  <c r="AX247" i="55" a="1"/>
  <c r="AX247" i="55"/>
  <c r="AT247" i="55" a="1"/>
  <c r="AT247" i="55"/>
  <c r="AS247" i="55" a="1"/>
  <c r="AS247" i="55"/>
  <c r="AN247" i="55" a="1"/>
  <c r="AN247" i="55"/>
  <c r="AJ247" i="55" a="1"/>
  <c r="AJ247" i="55"/>
  <c r="AF247" i="55" a="1"/>
  <c r="AF247" i="55"/>
  <c r="AB247" i="55" a="1"/>
  <c r="AB247" i="55"/>
  <c r="AA247" i="55" a="1"/>
  <c r="AA247" i="55"/>
  <c r="V247" i="55" a="1"/>
  <c r="V247" i="55"/>
  <c r="R247" i="55" a="1"/>
  <c r="R247" i="55"/>
  <c r="N247" i="55" a="1"/>
  <c r="N247" i="55"/>
  <c r="J247" i="55" a="1"/>
  <c r="J247" i="55"/>
  <c r="I247" i="55" a="1"/>
  <c r="I247" i="55"/>
  <c r="BF246" i="55" a="1"/>
  <c r="BF246" i="55"/>
  <c r="BB246" i="55" a="1"/>
  <c r="BB246" i="55"/>
  <c r="AX246" i="55" a="1"/>
  <c r="AX246" i="55"/>
  <c r="AT246" i="55" a="1"/>
  <c r="AT246" i="55"/>
  <c r="AS246" i="55" a="1"/>
  <c r="AS246" i="55"/>
  <c r="AN246" i="55" a="1"/>
  <c r="AN246" i="55"/>
  <c r="AJ246" i="55" a="1"/>
  <c r="AJ246" i="55"/>
  <c r="AF246" i="55" a="1"/>
  <c r="AF246" i="55"/>
  <c r="AB246" i="55" a="1"/>
  <c r="AB246" i="55"/>
  <c r="AA246" i="55" a="1"/>
  <c r="AA246" i="55"/>
  <c r="V246" i="55" a="1"/>
  <c r="V246" i="55"/>
  <c r="R246" i="55" a="1"/>
  <c r="R246" i="55"/>
  <c r="N246" i="55" a="1"/>
  <c r="N246" i="55"/>
  <c r="J246" i="55" a="1"/>
  <c r="J246" i="55"/>
  <c r="I246" i="55" a="1"/>
  <c r="I246" i="55"/>
  <c r="BF245" i="55" a="1"/>
  <c r="BF245" i="55"/>
  <c r="BB245" i="55" a="1"/>
  <c r="BB245" i="55"/>
  <c r="AX245" i="55" a="1"/>
  <c r="AX245" i="55"/>
  <c r="AT245" i="55" a="1"/>
  <c r="AT245" i="55"/>
  <c r="AS245" i="55" a="1"/>
  <c r="AS245" i="55"/>
  <c r="AN245" i="55" a="1"/>
  <c r="AN245" i="55"/>
  <c r="AJ245" i="55" a="1"/>
  <c r="AJ245" i="55"/>
  <c r="AF245" i="55" a="1"/>
  <c r="AF245" i="55"/>
  <c r="AB245" i="55" a="1"/>
  <c r="AB245" i="55"/>
  <c r="AA245" i="55" a="1"/>
  <c r="AA245" i="55"/>
  <c r="V245" i="55" a="1"/>
  <c r="V245" i="55"/>
  <c r="R245" i="55" a="1"/>
  <c r="R245" i="55"/>
  <c r="N245" i="55" a="1"/>
  <c r="N245" i="55"/>
  <c r="J245" i="55" a="1"/>
  <c r="J245" i="55"/>
  <c r="I245" i="55" a="1"/>
  <c r="I245" i="55"/>
  <c r="BF244" i="55" a="1"/>
  <c r="BF244" i="55"/>
  <c r="BB244" i="55" a="1"/>
  <c r="BB244" i="55"/>
  <c r="AX244" i="55" a="1"/>
  <c r="AX244" i="55"/>
  <c r="AT244" i="55" a="1"/>
  <c r="AT244" i="55"/>
  <c r="AS244" i="55" a="1"/>
  <c r="AS244" i="55"/>
  <c r="AN244" i="55" a="1"/>
  <c r="AN244" i="55"/>
  <c r="AJ244" i="55" a="1"/>
  <c r="AJ244" i="55"/>
  <c r="AF244" i="55" a="1"/>
  <c r="AF244" i="55"/>
  <c r="AB244" i="55" a="1"/>
  <c r="AB244" i="55"/>
  <c r="AA244" i="55" a="1"/>
  <c r="AA244" i="55"/>
  <c r="V244" i="55" a="1"/>
  <c r="V244" i="55"/>
  <c r="R244" i="55" a="1"/>
  <c r="R244" i="55"/>
  <c r="N244" i="55" a="1"/>
  <c r="N244" i="55"/>
  <c r="J244" i="55" a="1"/>
  <c r="J244" i="55"/>
  <c r="I244" i="55" a="1"/>
  <c r="I244" i="55"/>
  <c r="BF243" i="55" a="1"/>
  <c r="BF243" i="55"/>
  <c r="BB243" i="55" a="1"/>
  <c r="BB243" i="55"/>
  <c r="AX243" i="55" a="1"/>
  <c r="AX243" i="55"/>
  <c r="AT243" i="55" a="1"/>
  <c r="AT243" i="55"/>
  <c r="AS243" i="55" a="1"/>
  <c r="AS243" i="55"/>
  <c r="AN243" i="55" a="1"/>
  <c r="AN243" i="55"/>
  <c r="AJ243" i="55" a="1"/>
  <c r="AJ243" i="55"/>
  <c r="AF243" i="55" a="1"/>
  <c r="AF243" i="55"/>
  <c r="AB243" i="55" a="1"/>
  <c r="AB243" i="55"/>
  <c r="AA243" i="55" a="1"/>
  <c r="AA243" i="55"/>
  <c r="V243" i="55" a="1"/>
  <c r="V243" i="55"/>
  <c r="R243" i="55" a="1"/>
  <c r="R243" i="55"/>
  <c r="N243" i="55" a="1"/>
  <c r="N243" i="55"/>
  <c r="J243" i="55" a="1"/>
  <c r="J243" i="55"/>
  <c r="I243" i="55" a="1"/>
  <c r="I243" i="55"/>
  <c r="BF242" i="55" a="1"/>
  <c r="BF242" i="55"/>
  <c r="BB242" i="55" a="1"/>
  <c r="BB242" i="55"/>
  <c r="AX242" i="55" a="1"/>
  <c r="AX242" i="55"/>
  <c r="AT242" i="55" a="1"/>
  <c r="AT242" i="55"/>
  <c r="AS242" i="55" a="1"/>
  <c r="AS242" i="55"/>
  <c r="AN242" i="55" a="1"/>
  <c r="AN242" i="55"/>
  <c r="AJ242" i="55" a="1"/>
  <c r="AJ242" i="55"/>
  <c r="AF242" i="55" a="1"/>
  <c r="AF242" i="55"/>
  <c r="AB242" i="55" a="1"/>
  <c r="AB242" i="55"/>
  <c r="AA242" i="55" a="1"/>
  <c r="AA242" i="55"/>
  <c r="V242" i="55" a="1"/>
  <c r="V242" i="55"/>
  <c r="R242" i="55" a="1"/>
  <c r="R242" i="55"/>
  <c r="N242" i="55" a="1"/>
  <c r="N242" i="55"/>
  <c r="J242" i="55" a="1"/>
  <c r="J242" i="55"/>
  <c r="I242" i="55" a="1"/>
  <c r="I242" i="55"/>
  <c r="BF241" i="55" a="1"/>
  <c r="BF241" i="55"/>
  <c r="BB241" i="55" a="1"/>
  <c r="BB241" i="55"/>
  <c r="AX241" i="55" a="1"/>
  <c r="AX241" i="55"/>
  <c r="AT241" i="55" a="1"/>
  <c r="AT241" i="55"/>
  <c r="AS241" i="55" a="1"/>
  <c r="AS241" i="55"/>
  <c r="AN241" i="55" a="1"/>
  <c r="AN241" i="55"/>
  <c r="AJ241" i="55" a="1"/>
  <c r="AJ241" i="55"/>
  <c r="AF241" i="55" a="1"/>
  <c r="AF241" i="55"/>
  <c r="AB241" i="55" a="1"/>
  <c r="AB241" i="55"/>
  <c r="AA241" i="55" a="1"/>
  <c r="AA241" i="55"/>
  <c r="V241" i="55" a="1"/>
  <c r="V241" i="55"/>
  <c r="R241" i="55" a="1"/>
  <c r="R241" i="55"/>
  <c r="N241" i="55" a="1"/>
  <c r="N241" i="55"/>
  <c r="J241" i="55" a="1"/>
  <c r="J241" i="55"/>
  <c r="I241" i="55" a="1"/>
  <c r="I241" i="55"/>
  <c r="BF240" i="55" a="1"/>
  <c r="BF240" i="55"/>
  <c r="BB240" i="55" a="1"/>
  <c r="BB240" i="55"/>
  <c r="AX240" i="55" a="1"/>
  <c r="AX240" i="55"/>
  <c r="AT240" i="55" a="1"/>
  <c r="AT240" i="55"/>
  <c r="AS240" i="55" a="1"/>
  <c r="AS240" i="55"/>
  <c r="AN240" i="55" a="1"/>
  <c r="AN240" i="55"/>
  <c r="AJ240" i="55" a="1"/>
  <c r="AJ240" i="55"/>
  <c r="AF240" i="55" a="1"/>
  <c r="AF240" i="55"/>
  <c r="AB240" i="55" a="1"/>
  <c r="AB240" i="55"/>
  <c r="AA240" i="55" a="1"/>
  <c r="AA240" i="55"/>
  <c r="V240" i="55" a="1"/>
  <c r="V240" i="55"/>
  <c r="R240" i="55" a="1"/>
  <c r="R240" i="55"/>
  <c r="N240" i="55" a="1"/>
  <c r="N240" i="55"/>
  <c r="J240" i="55" a="1"/>
  <c r="J240" i="55"/>
  <c r="I240" i="55" a="1"/>
  <c r="I240" i="55"/>
  <c r="BF239" i="55" a="1"/>
  <c r="BF239" i="55"/>
  <c r="BB239" i="55" a="1"/>
  <c r="BB239" i="55"/>
  <c r="AX239" i="55" a="1"/>
  <c r="AX239" i="55"/>
  <c r="AT239" i="55" a="1"/>
  <c r="AT239" i="55"/>
  <c r="AS239" i="55" a="1"/>
  <c r="AS239" i="55"/>
  <c r="AN239" i="55" a="1"/>
  <c r="AN239" i="55"/>
  <c r="AJ239" i="55" a="1"/>
  <c r="AJ239" i="55"/>
  <c r="AF239" i="55" a="1"/>
  <c r="AF239" i="55"/>
  <c r="AB239" i="55" a="1"/>
  <c r="AB239" i="55"/>
  <c r="AA239" i="55" a="1"/>
  <c r="AA239" i="55"/>
  <c r="V239" i="55" a="1"/>
  <c r="V239" i="55"/>
  <c r="R239" i="55" a="1"/>
  <c r="R239" i="55"/>
  <c r="N239" i="55" a="1"/>
  <c r="N239" i="55"/>
  <c r="J239" i="55" a="1"/>
  <c r="J239" i="55"/>
  <c r="I239" i="55" a="1"/>
  <c r="I239" i="55"/>
  <c r="BF238" i="55" a="1"/>
  <c r="BF238" i="55"/>
  <c r="BB238" i="55" a="1"/>
  <c r="BB238" i="55"/>
  <c r="AX238" i="55" a="1"/>
  <c r="AX238" i="55"/>
  <c r="AT238" i="55" a="1"/>
  <c r="AT238" i="55"/>
  <c r="AS238" i="55" a="1"/>
  <c r="AS238" i="55"/>
  <c r="AN238" i="55" a="1"/>
  <c r="AN238" i="55"/>
  <c r="AJ238" i="55" a="1"/>
  <c r="AJ238" i="55"/>
  <c r="AF238" i="55" a="1"/>
  <c r="AF238" i="55"/>
  <c r="AB238" i="55" a="1"/>
  <c r="AB238" i="55"/>
  <c r="AA238" i="55" a="1"/>
  <c r="AA238" i="55"/>
  <c r="V238" i="55" a="1"/>
  <c r="V238" i="55"/>
  <c r="R238" i="55" a="1"/>
  <c r="R238" i="55"/>
  <c r="N238" i="55" a="1"/>
  <c r="N238" i="55"/>
  <c r="J238" i="55" a="1"/>
  <c r="J238" i="55"/>
  <c r="I238" i="55" a="1"/>
  <c r="I238" i="55"/>
  <c r="BF237" i="55" a="1"/>
  <c r="BF237" i="55"/>
  <c r="BB237" i="55" a="1"/>
  <c r="BB237" i="55"/>
  <c r="AX237" i="55" a="1"/>
  <c r="AX237" i="55"/>
  <c r="AT237" i="55" a="1"/>
  <c r="AT237" i="55"/>
  <c r="AS237" i="55" a="1"/>
  <c r="AS237" i="55"/>
  <c r="AN237" i="55" a="1"/>
  <c r="AN237" i="55"/>
  <c r="AJ237" i="55" a="1"/>
  <c r="AJ237" i="55"/>
  <c r="AF237" i="55" a="1"/>
  <c r="AF237" i="55"/>
  <c r="AB237" i="55" a="1"/>
  <c r="AB237" i="55"/>
  <c r="AA237" i="55" a="1"/>
  <c r="AA237" i="55"/>
  <c r="V237" i="55" a="1"/>
  <c r="V237" i="55"/>
  <c r="R237" i="55" a="1"/>
  <c r="R237" i="55"/>
  <c r="N237" i="55" a="1"/>
  <c r="N237" i="55"/>
  <c r="J237" i="55" a="1"/>
  <c r="J237" i="55"/>
  <c r="I237" i="55" a="1"/>
  <c r="I237" i="55"/>
  <c r="BF236" i="55" a="1"/>
  <c r="BF236" i="55"/>
  <c r="BB236" i="55" a="1"/>
  <c r="BB236" i="55"/>
  <c r="AX236" i="55" a="1"/>
  <c r="AX236" i="55"/>
  <c r="AT236" i="55" a="1"/>
  <c r="AT236" i="55"/>
  <c r="AS236" i="55" a="1"/>
  <c r="AS236" i="55"/>
  <c r="AN236" i="55" a="1"/>
  <c r="AN236" i="55"/>
  <c r="AJ236" i="55" a="1"/>
  <c r="AJ236" i="55"/>
  <c r="AF236" i="55" a="1"/>
  <c r="AF236" i="55"/>
  <c r="AB236" i="55" a="1"/>
  <c r="AB236" i="55"/>
  <c r="AA236" i="55" a="1"/>
  <c r="AA236" i="55"/>
  <c r="V236" i="55" a="1"/>
  <c r="V236" i="55"/>
  <c r="R236" i="55" a="1"/>
  <c r="R236" i="55"/>
  <c r="N236" i="55" a="1"/>
  <c r="N236" i="55"/>
  <c r="J236" i="55" a="1"/>
  <c r="J236" i="55"/>
  <c r="I236" i="55" a="1"/>
  <c r="I236" i="55"/>
  <c r="BF235" i="55" a="1"/>
  <c r="BF235" i="55"/>
  <c r="BB235" i="55" a="1"/>
  <c r="BB235" i="55"/>
  <c r="AX235" i="55" a="1"/>
  <c r="AX235" i="55"/>
  <c r="AT235" i="55" a="1"/>
  <c r="AT235" i="55"/>
  <c r="AS235" i="55" a="1"/>
  <c r="AS235" i="55"/>
  <c r="AN235" i="55" a="1"/>
  <c r="AN235" i="55"/>
  <c r="AJ235" i="55" a="1"/>
  <c r="AJ235" i="55"/>
  <c r="AF235" i="55" a="1"/>
  <c r="AF235" i="55"/>
  <c r="AB235" i="55" a="1"/>
  <c r="AB235" i="55"/>
  <c r="AA235" i="55" a="1"/>
  <c r="AA235" i="55"/>
  <c r="V235" i="55" a="1"/>
  <c r="V235" i="55"/>
  <c r="R235" i="55" a="1"/>
  <c r="R235" i="55"/>
  <c r="N235" i="55" a="1"/>
  <c r="N235" i="55"/>
  <c r="J235" i="55" a="1"/>
  <c r="J235" i="55"/>
  <c r="I235" i="55" a="1"/>
  <c r="I235" i="55"/>
  <c r="BF234" i="55" a="1"/>
  <c r="BF234" i="55"/>
  <c r="BB234" i="55" a="1"/>
  <c r="BB234" i="55"/>
  <c r="AX234" i="55" a="1"/>
  <c r="AX234" i="55"/>
  <c r="AT234" i="55" a="1"/>
  <c r="AT234" i="55"/>
  <c r="AS234" i="55" a="1"/>
  <c r="AS234" i="55"/>
  <c r="AN234" i="55" a="1"/>
  <c r="AN234" i="55"/>
  <c r="AJ234" i="55" a="1"/>
  <c r="AJ234" i="55"/>
  <c r="AF234" i="55" a="1"/>
  <c r="AF234" i="55"/>
  <c r="AB234" i="55" a="1"/>
  <c r="AB234" i="55"/>
  <c r="AA234" i="55" a="1"/>
  <c r="AA234" i="55"/>
  <c r="V234" i="55" a="1"/>
  <c r="V234" i="55"/>
  <c r="R234" i="55" a="1"/>
  <c r="R234" i="55"/>
  <c r="N234" i="55" a="1"/>
  <c r="N234" i="55"/>
  <c r="J234" i="55" a="1"/>
  <c r="J234" i="55"/>
  <c r="I234" i="55" a="1"/>
  <c r="I234" i="55"/>
  <c r="BF233" i="55" a="1"/>
  <c r="BF233" i="55"/>
  <c r="BB233" i="55" a="1"/>
  <c r="BB233" i="55"/>
  <c r="AX233" i="55" a="1"/>
  <c r="AX233" i="55"/>
  <c r="AT233" i="55" a="1"/>
  <c r="AT233" i="55"/>
  <c r="AS233" i="55" a="1"/>
  <c r="AS233" i="55"/>
  <c r="AN233" i="55" a="1"/>
  <c r="AN233" i="55"/>
  <c r="AJ233" i="55" a="1"/>
  <c r="AJ233" i="55"/>
  <c r="AF233" i="55" a="1"/>
  <c r="AF233" i="55"/>
  <c r="AB233" i="55" a="1"/>
  <c r="AB233" i="55"/>
  <c r="AA233" i="55" a="1"/>
  <c r="AA233" i="55"/>
  <c r="V233" i="55" a="1"/>
  <c r="V233" i="55"/>
  <c r="R233" i="55" a="1"/>
  <c r="R233" i="55"/>
  <c r="N233" i="55" a="1"/>
  <c r="N233" i="55"/>
  <c r="J233" i="55" a="1"/>
  <c r="J233" i="55"/>
  <c r="I233" i="55" a="1"/>
  <c r="I233" i="55"/>
  <c r="BF232" i="55" a="1"/>
  <c r="BF232" i="55"/>
  <c r="BB232" i="55" a="1"/>
  <c r="BB232" i="55"/>
  <c r="AX232" i="55" a="1"/>
  <c r="AX232" i="55"/>
  <c r="AT232" i="55" a="1"/>
  <c r="AT232" i="55"/>
  <c r="AS232" i="55" a="1"/>
  <c r="AS232" i="55"/>
  <c r="AN232" i="55" a="1"/>
  <c r="AN232" i="55"/>
  <c r="AJ232" i="55" a="1"/>
  <c r="AJ232" i="55"/>
  <c r="AF232" i="55" a="1"/>
  <c r="AF232" i="55"/>
  <c r="AB232" i="55" a="1"/>
  <c r="AB232" i="55"/>
  <c r="AA232" i="55" a="1"/>
  <c r="AA232" i="55"/>
  <c r="V232" i="55" a="1"/>
  <c r="V232" i="55"/>
  <c r="R232" i="55" a="1"/>
  <c r="R232" i="55"/>
  <c r="N232" i="55" a="1"/>
  <c r="N232" i="55"/>
  <c r="J232" i="55" a="1"/>
  <c r="J232" i="55"/>
  <c r="I232" i="55" a="1"/>
  <c r="I232" i="55"/>
  <c r="BF231" i="55" a="1"/>
  <c r="BF231" i="55"/>
  <c r="BB231" i="55" a="1"/>
  <c r="BB231" i="55"/>
  <c r="AX231" i="55" a="1"/>
  <c r="AX231" i="55"/>
  <c r="AT231" i="55" a="1"/>
  <c r="AT231" i="55"/>
  <c r="AS231" i="55" a="1"/>
  <c r="AS231" i="55"/>
  <c r="AN231" i="55" a="1"/>
  <c r="AN231" i="55"/>
  <c r="AJ231" i="55" a="1"/>
  <c r="AJ231" i="55"/>
  <c r="AF231" i="55" a="1"/>
  <c r="AF231" i="55"/>
  <c r="AB231" i="55" a="1"/>
  <c r="AB231" i="55"/>
  <c r="AA231" i="55" a="1"/>
  <c r="AA231" i="55"/>
  <c r="V231" i="55" a="1"/>
  <c r="V231" i="55"/>
  <c r="R231" i="55" a="1"/>
  <c r="R231" i="55"/>
  <c r="N231" i="55" a="1"/>
  <c r="N231" i="55"/>
  <c r="J231" i="55" a="1"/>
  <c r="J231" i="55"/>
  <c r="I231" i="55" a="1"/>
  <c r="I231" i="55"/>
  <c r="BF230" i="55" a="1"/>
  <c r="BF230" i="55"/>
  <c r="BB230" i="55" a="1"/>
  <c r="BB230" i="55"/>
  <c r="AX230" i="55" a="1"/>
  <c r="AX230" i="55"/>
  <c r="AT230" i="55" a="1"/>
  <c r="AT230" i="55"/>
  <c r="AS230" i="55" a="1"/>
  <c r="AS230" i="55"/>
  <c r="AN230" i="55" a="1"/>
  <c r="AN230" i="55"/>
  <c r="AJ230" i="55" a="1"/>
  <c r="AJ230" i="55"/>
  <c r="AF230" i="55" a="1"/>
  <c r="AF230" i="55"/>
  <c r="AB230" i="55" a="1"/>
  <c r="AB230" i="55"/>
  <c r="AA230" i="55" a="1"/>
  <c r="AA230" i="55"/>
  <c r="V230" i="55" a="1"/>
  <c r="V230" i="55"/>
  <c r="R230" i="55" a="1"/>
  <c r="R230" i="55"/>
  <c r="N230" i="55" a="1"/>
  <c r="N230" i="55"/>
  <c r="J230" i="55" a="1"/>
  <c r="J230" i="55"/>
  <c r="I230" i="55" a="1"/>
  <c r="I230" i="55"/>
  <c r="BF229" i="55" a="1"/>
  <c r="BF229" i="55"/>
  <c r="BB229" i="55" a="1"/>
  <c r="BB229" i="55"/>
  <c r="AX229" i="55" a="1"/>
  <c r="AX229" i="55"/>
  <c r="AT229" i="55" a="1"/>
  <c r="AT229" i="55"/>
  <c r="AS229" i="55" a="1"/>
  <c r="AS229" i="55"/>
  <c r="AN229" i="55" a="1"/>
  <c r="AN229" i="55"/>
  <c r="AJ229" i="55" a="1"/>
  <c r="AJ229" i="55"/>
  <c r="AF229" i="55" a="1"/>
  <c r="AF229" i="55"/>
  <c r="AB229" i="55" a="1"/>
  <c r="AB229" i="55"/>
  <c r="AA229" i="55" a="1"/>
  <c r="AA229" i="55"/>
  <c r="V229" i="55" a="1"/>
  <c r="V229" i="55"/>
  <c r="R229" i="55" a="1"/>
  <c r="R229" i="55"/>
  <c r="N229" i="55" a="1"/>
  <c r="N229" i="55"/>
  <c r="J229" i="55" a="1"/>
  <c r="J229" i="55"/>
  <c r="I229" i="55" a="1"/>
  <c r="I229" i="55"/>
  <c r="BF228" i="55" a="1"/>
  <c r="BF228" i="55"/>
  <c r="BB228" i="55" a="1"/>
  <c r="BB228" i="55"/>
  <c r="AX228" i="55" a="1"/>
  <c r="AX228" i="55"/>
  <c r="AT228" i="55" a="1"/>
  <c r="AT228" i="55"/>
  <c r="AS228" i="55" a="1"/>
  <c r="AS228" i="55"/>
  <c r="AN228" i="55" a="1"/>
  <c r="AN228" i="55"/>
  <c r="AJ228" i="55" a="1"/>
  <c r="AJ228" i="55"/>
  <c r="AF228" i="55" a="1"/>
  <c r="AF228" i="55"/>
  <c r="AB228" i="55" a="1"/>
  <c r="AB228" i="55"/>
  <c r="AA228" i="55" a="1"/>
  <c r="AA228" i="55"/>
  <c r="V228" i="55" a="1"/>
  <c r="V228" i="55"/>
  <c r="R228" i="55" a="1"/>
  <c r="R228" i="55"/>
  <c r="N228" i="55" a="1"/>
  <c r="N228" i="55"/>
  <c r="J228" i="55" a="1"/>
  <c r="J228" i="55"/>
  <c r="I228" i="55" a="1"/>
  <c r="I228" i="55"/>
  <c r="BF227" i="55" a="1"/>
  <c r="BF227" i="55"/>
  <c r="BB227" i="55" a="1"/>
  <c r="BB227" i="55"/>
  <c r="AX227" i="55" a="1"/>
  <c r="AX227" i="55"/>
  <c r="AT227" i="55" a="1"/>
  <c r="AT227" i="55"/>
  <c r="AS227" i="55" a="1"/>
  <c r="AS227" i="55"/>
  <c r="AN227" i="55" a="1"/>
  <c r="AN227" i="55"/>
  <c r="AJ227" i="55" a="1"/>
  <c r="AJ227" i="55"/>
  <c r="AF227" i="55" a="1"/>
  <c r="AF227" i="55"/>
  <c r="AB227" i="55" a="1"/>
  <c r="AB227" i="55"/>
  <c r="AA227" i="55" a="1"/>
  <c r="AA227" i="55"/>
  <c r="V227" i="55" a="1"/>
  <c r="V227" i="55"/>
  <c r="R227" i="55" a="1"/>
  <c r="R227" i="55"/>
  <c r="N227" i="55" a="1"/>
  <c r="N227" i="55"/>
  <c r="J227" i="55" a="1"/>
  <c r="J227" i="55"/>
  <c r="I227" i="55" a="1"/>
  <c r="I227" i="55"/>
  <c r="BF226" i="55" a="1"/>
  <c r="BF226" i="55"/>
  <c r="BB226" i="55" a="1"/>
  <c r="BB226" i="55"/>
  <c r="AX226" i="55" a="1"/>
  <c r="AX226" i="55"/>
  <c r="AT226" i="55" a="1"/>
  <c r="AT226" i="55"/>
  <c r="AS226" i="55" a="1"/>
  <c r="AS226" i="55"/>
  <c r="AN226" i="55" a="1"/>
  <c r="AN226" i="55"/>
  <c r="AJ226" i="55" a="1"/>
  <c r="AJ226" i="55"/>
  <c r="AF226" i="55" a="1"/>
  <c r="AF226" i="55"/>
  <c r="AB226" i="55" a="1"/>
  <c r="AB226" i="55"/>
  <c r="AA226" i="55" a="1"/>
  <c r="AA226" i="55"/>
  <c r="V226" i="55" a="1"/>
  <c r="V226" i="55"/>
  <c r="R226" i="55" a="1"/>
  <c r="R226" i="55"/>
  <c r="N226" i="55" a="1"/>
  <c r="N226" i="55"/>
  <c r="J226" i="55" a="1"/>
  <c r="J226" i="55"/>
  <c r="I226" i="55" a="1"/>
  <c r="I226" i="55"/>
  <c r="BF180" i="55" a="1"/>
  <c r="BF180" i="55"/>
  <c r="BB180" i="55" a="1"/>
  <c r="BB180" i="55"/>
  <c r="AX180" i="55" a="1"/>
  <c r="AX180" i="55"/>
  <c r="AT180" i="55" a="1"/>
  <c r="AT180" i="55"/>
  <c r="AS180" i="55" a="1"/>
  <c r="AS180" i="55"/>
  <c r="AN180" i="55" a="1"/>
  <c r="AN180" i="55"/>
  <c r="AJ180" i="55" a="1"/>
  <c r="AJ180" i="55"/>
  <c r="AF180" i="55" a="1"/>
  <c r="AF180" i="55"/>
  <c r="AB180" i="55" a="1"/>
  <c r="AB180" i="55"/>
  <c r="AA180" i="55" a="1"/>
  <c r="AA180" i="55"/>
  <c r="V180" i="55" a="1"/>
  <c r="V180" i="55"/>
  <c r="R180" i="55" a="1"/>
  <c r="R180" i="55"/>
  <c r="N180" i="55" a="1"/>
  <c r="N180" i="55"/>
  <c r="J180" i="55" a="1"/>
  <c r="J180" i="55"/>
  <c r="I180" i="55" a="1"/>
  <c r="I180" i="55"/>
  <c r="BF179" i="55" a="1"/>
  <c r="BF179" i="55"/>
  <c r="BB179" i="55" a="1"/>
  <c r="BB179" i="55"/>
  <c r="AX179" i="55" a="1"/>
  <c r="AX179" i="55"/>
  <c r="AT179" i="55" a="1"/>
  <c r="AT179" i="55"/>
  <c r="AS179" i="55" a="1"/>
  <c r="AS179" i="55"/>
  <c r="AN179" i="55" a="1"/>
  <c r="AN179" i="55"/>
  <c r="AJ179" i="55" a="1"/>
  <c r="AJ179" i="55"/>
  <c r="AF179" i="55" a="1"/>
  <c r="AF179" i="55"/>
  <c r="AB179" i="55" a="1"/>
  <c r="AB179" i="55"/>
  <c r="AA179" i="55" a="1"/>
  <c r="AA179" i="55"/>
  <c r="V179" i="55" a="1"/>
  <c r="V179" i="55"/>
  <c r="R179" i="55" a="1"/>
  <c r="R179" i="55"/>
  <c r="N179" i="55" a="1"/>
  <c r="N179" i="55"/>
  <c r="J179" i="55" a="1"/>
  <c r="J179" i="55"/>
  <c r="I179" i="55" a="1"/>
  <c r="I179" i="55"/>
  <c r="BF178" i="55" a="1"/>
  <c r="BF178" i="55"/>
  <c r="BB178" i="55" a="1"/>
  <c r="BB178" i="55"/>
  <c r="AX178" i="55" a="1"/>
  <c r="AX178" i="55"/>
  <c r="AT178" i="55" a="1"/>
  <c r="AT178" i="55"/>
  <c r="AS178" i="55" a="1"/>
  <c r="AS178" i="55"/>
  <c r="AN178" i="55" a="1"/>
  <c r="AN178" i="55"/>
  <c r="AJ178" i="55" a="1"/>
  <c r="AJ178" i="55"/>
  <c r="AF178" i="55" a="1"/>
  <c r="AF178" i="55"/>
  <c r="AB178" i="55" a="1"/>
  <c r="AB178" i="55"/>
  <c r="AA178" i="55" a="1"/>
  <c r="AA178" i="55"/>
  <c r="V178" i="55" a="1"/>
  <c r="V178" i="55"/>
  <c r="R178" i="55" a="1"/>
  <c r="R178" i="55"/>
  <c r="N178" i="55" a="1"/>
  <c r="N178" i="55"/>
  <c r="J178" i="55" a="1"/>
  <c r="J178" i="55"/>
  <c r="I178" i="55" a="1"/>
  <c r="I178" i="55"/>
  <c r="BF177" i="55" a="1"/>
  <c r="BF177" i="55"/>
  <c r="BB177" i="55" a="1"/>
  <c r="BB177" i="55"/>
  <c r="AX177" i="55" a="1"/>
  <c r="AX177" i="55"/>
  <c r="AT177" i="55" a="1"/>
  <c r="AT177" i="55"/>
  <c r="AS177" i="55" a="1"/>
  <c r="AS177" i="55"/>
  <c r="AN177" i="55" a="1"/>
  <c r="AN177" i="55"/>
  <c r="AJ177" i="55" a="1"/>
  <c r="AJ177" i="55"/>
  <c r="AF177" i="55" a="1"/>
  <c r="AF177" i="55"/>
  <c r="AB177" i="55" a="1"/>
  <c r="AB177" i="55"/>
  <c r="AA177" i="55" a="1"/>
  <c r="AA177" i="55"/>
  <c r="V177" i="55" a="1"/>
  <c r="V177" i="55"/>
  <c r="R177" i="55" a="1"/>
  <c r="R177" i="55"/>
  <c r="N177" i="55" a="1"/>
  <c r="N177" i="55"/>
  <c r="J177" i="55" a="1"/>
  <c r="J177" i="55"/>
  <c r="I177" i="55" a="1"/>
  <c r="I177" i="55"/>
  <c r="BF176" i="55" a="1"/>
  <c r="BF176" i="55"/>
  <c r="BB176" i="55" a="1"/>
  <c r="BB176" i="55"/>
  <c r="AX176" i="55" a="1"/>
  <c r="AX176" i="55"/>
  <c r="AT176" i="55" a="1"/>
  <c r="AT176" i="55"/>
  <c r="AS176" i="55" a="1"/>
  <c r="AS176" i="55"/>
  <c r="AN176" i="55" a="1"/>
  <c r="AN176" i="55"/>
  <c r="AJ176" i="55" a="1"/>
  <c r="AJ176" i="55"/>
  <c r="AF176" i="55" a="1"/>
  <c r="AF176" i="55"/>
  <c r="AB176" i="55" a="1"/>
  <c r="AB176" i="55"/>
  <c r="AA176" i="55" a="1"/>
  <c r="AA176" i="55"/>
  <c r="V176" i="55" a="1"/>
  <c r="V176" i="55"/>
  <c r="R176" i="55" a="1"/>
  <c r="R176" i="55"/>
  <c r="N176" i="55" a="1"/>
  <c r="N176" i="55"/>
  <c r="J176" i="55" a="1"/>
  <c r="J176" i="55"/>
  <c r="I176" i="55" a="1"/>
  <c r="I176" i="55"/>
  <c r="BF175" i="55" a="1"/>
  <c r="BF175" i="55"/>
  <c r="BB175" i="55" a="1"/>
  <c r="BB175" i="55"/>
  <c r="AX175" i="55" a="1"/>
  <c r="AX175" i="55"/>
  <c r="AT175" i="55" a="1"/>
  <c r="AT175" i="55"/>
  <c r="AS175" i="55" a="1"/>
  <c r="AS175" i="55"/>
  <c r="AN175" i="55" a="1"/>
  <c r="AN175" i="55"/>
  <c r="AJ175" i="55" a="1"/>
  <c r="AJ175" i="55"/>
  <c r="AF175" i="55" a="1"/>
  <c r="AF175" i="55"/>
  <c r="AB175" i="55" a="1"/>
  <c r="AB175" i="55"/>
  <c r="AA175" i="55" a="1"/>
  <c r="AA175" i="55"/>
  <c r="V175" i="55" a="1"/>
  <c r="V175" i="55"/>
  <c r="R175" i="55" a="1"/>
  <c r="R175" i="55"/>
  <c r="N175" i="55" a="1"/>
  <c r="N175" i="55"/>
  <c r="J175" i="55" a="1"/>
  <c r="J175" i="55"/>
  <c r="I175" i="55" a="1"/>
  <c r="I175" i="55"/>
  <c r="BF174" i="55" a="1"/>
  <c r="BF174" i="55"/>
  <c r="BB174" i="55" a="1"/>
  <c r="BB174" i="55"/>
  <c r="AX174" i="55" a="1"/>
  <c r="AX174" i="55"/>
  <c r="AT174" i="55" a="1"/>
  <c r="AT174" i="55"/>
  <c r="AS174" i="55" a="1"/>
  <c r="AS174" i="55"/>
  <c r="AN174" i="55" a="1"/>
  <c r="AN174" i="55"/>
  <c r="AJ174" i="55" a="1"/>
  <c r="AJ174" i="55"/>
  <c r="AF174" i="55" a="1"/>
  <c r="AF174" i="55"/>
  <c r="AB174" i="55" a="1"/>
  <c r="AB174" i="55"/>
  <c r="AA174" i="55" a="1"/>
  <c r="AA174" i="55"/>
  <c r="V174" i="55" a="1"/>
  <c r="V174" i="55"/>
  <c r="R174" i="55" a="1"/>
  <c r="R174" i="55"/>
  <c r="N174" i="55" a="1"/>
  <c r="N174" i="55"/>
  <c r="J174" i="55" a="1"/>
  <c r="J174" i="55"/>
  <c r="I174" i="55" a="1"/>
  <c r="I174" i="55"/>
  <c r="BF173" i="55" a="1"/>
  <c r="BF173" i="55"/>
  <c r="BB173" i="55" a="1"/>
  <c r="BB173" i="55"/>
  <c r="AX173" i="55" a="1"/>
  <c r="AX173" i="55"/>
  <c r="AT173" i="55" a="1"/>
  <c r="AT173" i="55"/>
  <c r="AS173" i="55" a="1"/>
  <c r="AS173" i="55"/>
  <c r="AN173" i="55" a="1"/>
  <c r="AN173" i="55"/>
  <c r="AJ173" i="55" a="1"/>
  <c r="AJ173" i="55"/>
  <c r="AF173" i="55" a="1"/>
  <c r="AF173" i="55"/>
  <c r="AB173" i="55" a="1"/>
  <c r="AB173" i="55"/>
  <c r="AA173" i="55" a="1"/>
  <c r="AA173" i="55"/>
  <c r="V173" i="55" a="1"/>
  <c r="V173" i="55"/>
  <c r="R173" i="55" a="1"/>
  <c r="R173" i="55"/>
  <c r="N173" i="55" a="1"/>
  <c r="N173" i="55"/>
  <c r="J173" i="55" a="1"/>
  <c r="J173" i="55"/>
  <c r="I173" i="55" a="1"/>
  <c r="I173" i="55"/>
  <c r="BF172" i="55" a="1"/>
  <c r="BF172" i="55"/>
  <c r="BB172" i="55" a="1"/>
  <c r="BB172" i="55"/>
  <c r="AX172" i="55" a="1"/>
  <c r="AX172" i="55"/>
  <c r="AT172" i="55" a="1"/>
  <c r="AT172" i="55"/>
  <c r="AS172" i="55" a="1"/>
  <c r="AS172" i="55"/>
  <c r="AN172" i="55" a="1"/>
  <c r="AN172" i="55"/>
  <c r="AJ172" i="55" a="1"/>
  <c r="AJ172" i="55"/>
  <c r="AF172" i="55" a="1"/>
  <c r="AF172" i="55"/>
  <c r="AB172" i="55" a="1"/>
  <c r="AB172" i="55"/>
  <c r="AA172" i="55" a="1"/>
  <c r="AA172" i="55"/>
  <c r="V172" i="55" a="1"/>
  <c r="V172" i="55"/>
  <c r="R172" i="55" a="1"/>
  <c r="R172" i="55"/>
  <c r="N172" i="55" a="1"/>
  <c r="N172" i="55"/>
  <c r="J172" i="55" a="1"/>
  <c r="J172" i="55"/>
  <c r="I172" i="55" a="1"/>
  <c r="I172" i="55"/>
  <c r="BF171" i="55" a="1"/>
  <c r="BF171" i="55"/>
  <c r="BB171" i="55" a="1"/>
  <c r="BB171" i="55"/>
  <c r="AX171" i="55" a="1"/>
  <c r="AX171" i="55"/>
  <c r="AT171" i="55" a="1"/>
  <c r="AT171" i="55"/>
  <c r="AS171" i="55" a="1"/>
  <c r="AS171" i="55"/>
  <c r="AN171" i="55" a="1"/>
  <c r="AN171" i="55"/>
  <c r="AJ171" i="55" a="1"/>
  <c r="AJ171" i="55"/>
  <c r="AF171" i="55" a="1"/>
  <c r="AF171" i="55"/>
  <c r="AB171" i="55" a="1"/>
  <c r="AB171" i="55"/>
  <c r="AA171" i="55" a="1"/>
  <c r="AA171" i="55"/>
  <c r="V171" i="55" a="1"/>
  <c r="V171" i="55"/>
  <c r="R171" i="55" a="1"/>
  <c r="R171" i="55"/>
  <c r="N171" i="55" a="1"/>
  <c r="N171" i="55"/>
  <c r="J171" i="55" a="1"/>
  <c r="J171" i="55"/>
  <c r="I171" i="55" a="1"/>
  <c r="I171" i="55"/>
  <c r="BF170" i="55" a="1"/>
  <c r="BF170" i="55"/>
  <c r="BB170" i="55" a="1"/>
  <c r="BB170" i="55"/>
  <c r="AX170" i="55" a="1"/>
  <c r="AX170" i="55"/>
  <c r="AT170" i="55" a="1"/>
  <c r="AT170" i="55"/>
  <c r="AS170" i="55" a="1"/>
  <c r="AS170" i="55"/>
  <c r="AN170" i="55" a="1"/>
  <c r="AN170" i="55"/>
  <c r="AJ170" i="55" a="1"/>
  <c r="AJ170" i="55"/>
  <c r="AF170" i="55" a="1"/>
  <c r="AF170" i="55"/>
  <c r="AB170" i="55" a="1"/>
  <c r="AB170" i="55"/>
  <c r="AA170" i="55" a="1"/>
  <c r="AA170" i="55"/>
  <c r="V170" i="55" a="1"/>
  <c r="V170" i="55"/>
  <c r="R170" i="55" a="1"/>
  <c r="R170" i="55"/>
  <c r="N170" i="55" a="1"/>
  <c r="N170" i="55"/>
  <c r="J170" i="55" a="1"/>
  <c r="J170" i="55"/>
  <c r="I170" i="55" a="1"/>
  <c r="I170" i="55"/>
  <c r="BF169" i="55" a="1"/>
  <c r="BF169" i="55"/>
  <c r="BB169" i="55" a="1"/>
  <c r="BB169" i="55"/>
  <c r="AX169" i="55" a="1"/>
  <c r="AX169" i="55"/>
  <c r="AT169" i="55" a="1"/>
  <c r="AT169" i="55"/>
  <c r="AS169" i="55" a="1"/>
  <c r="AS169" i="55"/>
  <c r="AN169" i="55" a="1"/>
  <c r="AN169" i="55"/>
  <c r="AJ169" i="55" a="1"/>
  <c r="AJ169" i="55"/>
  <c r="AF169" i="55" a="1"/>
  <c r="AF169" i="55"/>
  <c r="AB169" i="55" a="1"/>
  <c r="AB169" i="55"/>
  <c r="AA169" i="55" a="1"/>
  <c r="AA169" i="55"/>
  <c r="V169" i="55" a="1"/>
  <c r="V169" i="55"/>
  <c r="R169" i="55" a="1"/>
  <c r="R169" i="55"/>
  <c r="N169" i="55" a="1"/>
  <c r="N169" i="55"/>
  <c r="J169" i="55" a="1"/>
  <c r="J169" i="55"/>
  <c r="I169" i="55" a="1"/>
  <c r="I169" i="55"/>
  <c r="BF168" i="55" a="1"/>
  <c r="BF168" i="55"/>
  <c r="BB168" i="55" a="1"/>
  <c r="BB168" i="55"/>
  <c r="AX168" i="55" a="1"/>
  <c r="AX168" i="55"/>
  <c r="AT168" i="55" a="1"/>
  <c r="AT168" i="55"/>
  <c r="AS168" i="55" a="1"/>
  <c r="AS168" i="55"/>
  <c r="AN168" i="55" a="1"/>
  <c r="AN168" i="55"/>
  <c r="AJ168" i="55" a="1"/>
  <c r="AJ168" i="55"/>
  <c r="AF168" i="55" a="1"/>
  <c r="AF168" i="55"/>
  <c r="AB168" i="55" a="1"/>
  <c r="AB168" i="55"/>
  <c r="AA168" i="55" a="1"/>
  <c r="AA168" i="55"/>
  <c r="V168" i="55" a="1"/>
  <c r="V168" i="55"/>
  <c r="R168" i="55" a="1"/>
  <c r="R168" i="55"/>
  <c r="N168" i="55" a="1"/>
  <c r="N168" i="55"/>
  <c r="J168" i="55" a="1"/>
  <c r="J168" i="55"/>
  <c r="I168" i="55" a="1"/>
  <c r="I168" i="55"/>
  <c r="BF167" i="55" a="1"/>
  <c r="BF167" i="55"/>
  <c r="BB167" i="55" a="1"/>
  <c r="BB167" i="55"/>
  <c r="AX167" i="55" a="1"/>
  <c r="AX167" i="55"/>
  <c r="AT167" i="55" a="1"/>
  <c r="AT167" i="55"/>
  <c r="AS167" i="55" a="1"/>
  <c r="AS167" i="55"/>
  <c r="AN167" i="55" a="1"/>
  <c r="AN167" i="55"/>
  <c r="AJ167" i="55" a="1"/>
  <c r="AJ167" i="55"/>
  <c r="AF167" i="55" a="1"/>
  <c r="AF167" i="55"/>
  <c r="AB167" i="55" a="1"/>
  <c r="AB167" i="55"/>
  <c r="AA167" i="55" a="1"/>
  <c r="AA167" i="55"/>
  <c r="V167" i="55" a="1"/>
  <c r="V167" i="55"/>
  <c r="R167" i="55" a="1"/>
  <c r="R167" i="55"/>
  <c r="N167" i="55" a="1"/>
  <c r="N167" i="55"/>
  <c r="J167" i="55" a="1"/>
  <c r="J167" i="55"/>
  <c r="I167" i="55" a="1"/>
  <c r="I167" i="55"/>
  <c r="BF166" i="55" a="1"/>
  <c r="BF166" i="55"/>
  <c r="BB166" i="55" a="1"/>
  <c r="BB166" i="55"/>
  <c r="AX166" i="55" a="1"/>
  <c r="AX166" i="55"/>
  <c r="AT166" i="55" a="1"/>
  <c r="AT166" i="55"/>
  <c r="AS166" i="55" a="1"/>
  <c r="AS166" i="55"/>
  <c r="AN166" i="55" a="1"/>
  <c r="AN166" i="55"/>
  <c r="AJ166" i="55" a="1"/>
  <c r="AJ166" i="55"/>
  <c r="AF166" i="55" a="1"/>
  <c r="AF166" i="55"/>
  <c r="AB166" i="55" a="1"/>
  <c r="AB166" i="55"/>
  <c r="AA166" i="55" a="1"/>
  <c r="AA166" i="55"/>
  <c r="V166" i="55" a="1"/>
  <c r="V166" i="55"/>
  <c r="R166" i="55" a="1"/>
  <c r="R166" i="55"/>
  <c r="N166" i="55" a="1"/>
  <c r="N166" i="55"/>
  <c r="J166" i="55" a="1"/>
  <c r="J166" i="55"/>
  <c r="I166" i="55" a="1"/>
  <c r="I166" i="55"/>
  <c r="AW19" i="34"/>
  <c r="BF19" i="34"/>
  <c r="BC19" i="34"/>
  <c r="BH19" i="34"/>
  <c r="BG19" i="34"/>
  <c r="BD19" i="34"/>
  <c r="BA19" i="34"/>
  <c r="BE19" i="34"/>
  <c r="BB19" i="34"/>
  <c r="AX19" i="34"/>
  <c r="AY19" i="34"/>
  <c r="AZ19" i="34"/>
  <c r="BF162" i="55" a="1"/>
  <c r="BF162" i="55"/>
  <c r="BB162" i="55" a="1"/>
  <c r="BB162" i="55"/>
  <c r="AX162" i="55" a="1"/>
  <c r="AX162" i="55"/>
  <c r="AT162" i="55" a="1"/>
  <c r="AT162" i="55"/>
  <c r="AS162" i="55" a="1"/>
  <c r="AS162" i="55"/>
  <c r="AN162" i="55" a="1"/>
  <c r="AN162" i="55"/>
  <c r="AJ162" i="55" a="1"/>
  <c r="AJ162" i="55"/>
  <c r="AF162" i="55" a="1"/>
  <c r="AF162" i="55"/>
  <c r="AB162" i="55" a="1"/>
  <c r="AB162" i="55"/>
  <c r="AA162" i="55" a="1"/>
  <c r="AA162" i="55"/>
  <c r="V162" i="55" a="1"/>
  <c r="V162" i="55"/>
  <c r="R162" i="55" a="1"/>
  <c r="R162" i="55"/>
  <c r="N162" i="55" a="1"/>
  <c r="N162" i="55"/>
  <c r="J162" i="55" a="1"/>
  <c r="J162" i="55"/>
  <c r="I162" i="55" a="1"/>
  <c r="I162" i="55"/>
  <c r="BF161" i="55" a="1"/>
  <c r="BF161" i="55"/>
  <c r="BB161" i="55" a="1"/>
  <c r="BB161" i="55"/>
  <c r="AX161" i="55" a="1"/>
  <c r="AX161" i="55"/>
  <c r="AT161" i="55" a="1"/>
  <c r="AT161" i="55"/>
  <c r="AS161" i="55" a="1"/>
  <c r="AS161" i="55"/>
  <c r="AN161" i="55" a="1"/>
  <c r="AN161" i="55"/>
  <c r="AJ161" i="55" a="1"/>
  <c r="AJ161" i="55"/>
  <c r="AF161" i="55" a="1"/>
  <c r="AF161" i="55"/>
  <c r="AB161" i="55" a="1"/>
  <c r="AB161" i="55"/>
  <c r="AA161" i="55" a="1"/>
  <c r="AA161" i="55"/>
  <c r="V161" i="55" a="1"/>
  <c r="V161" i="55"/>
  <c r="R161" i="55" a="1"/>
  <c r="R161" i="55"/>
  <c r="N161" i="55" a="1"/>
  <c r="N161" i="55"/>
  <c r="J161" i="55" a="1"/>
  <c r="J161" i="55"/>
  <c r="I161" i="55" a="1"/>
  <c r="I161" i="55"/>
  <c r="BF160" i="55" a="1"/>
  <c r="BF160" i="55"/>
  <c r="BB160" i="55" a="1"/>
  <c r="BB160" i="55"/>
  <c r="AX160" i="55" a="1"/>
  <c r="AX160" i="55"/>
  <c r="AT160" i="55" a="1"/>
  <c r="AT160" i="55"/>
  <c r="AS160" i="55" a="1"/>
  <c r="AS160" i="55"/>
  <c r="AN160" i="55" a="1"/>
  <c r="AN160" i="55"/>
  <c r="AJ160" i="55" a="1"/>
  <c r="AJ160" i="55"/>
  <c r="AF160" i="55" a="1"/>
  <c r="AF160" i="55"/>
  <c r="AB160" i="55" a="1"/>
  <c r="AB160" i="55"/>
  <c r="AA160" i="55" a="1"/>
  <c r="AA160" i="55"/>
  <c r="V160" i="55" a="1"/>
  <c r="V160" i="55"/>
  <c r="R160" i="55" a="1"/>
  <c r="R160" i="55"/>
  <c r="N160" i="55" a="1"/>
  <c r="N160" i="55"/>
  <c r="J160" i="55" a="1"/>
  <c r="J160" i="55"/>
  <c r="I160" i="55" a="1"/>
  <c r="I160" i="55"/>
  <c r="BF159" i="55" a="1"/>
  <c r="BF159" i="55"/>
  <c r="BB159" i="55" a="1"/>
  <c r="BB159" i="55"/>
  <c r="AX159" i="55" a="1"/>
  <c r="AX159" i="55"/>
  <c r="AT159" i="55" a="1"/>
  <c r="AT159" i="55"/>
  <c r="AS159" i="55" a="1"/>
  <c r="AS159" i="55"/>
  <c r="AN159" i="55" a="1"/>
  <c r="AN159" i="55"/>
  <c r="AJ159" i="55" a="1"/>
  <c r="AJ159" i="55"/>
  <c r="AF159" i="55" a="1"/>
  <c r="AF159" i="55"/>
  <c r="AB159" i="55" a="1"/>
  <c r="AB159" i="55"/>
  <c r="AA159" i="55" a="1"/>
  <c r="AA159" i="55"/>
  <c r="V159" i="55" a="1"/>
  <c r="V159" i="55"/>
  <c r="R159" i="55" a="1"/>
  <c r="R159" i="55"/>
  <c r="N159" i="55" a="1"/>
  <c r="N159" i="55"/>
  <c r="J159" i="55" a="1"/>
  <c r="J159" i="55"/>
  <c r="I159" i="55" a="1"/>
  <c r="I159" i="55"/>
  <c r="BF158" i="55" a="1"/>
  <c r="BF158" i="55"/>
  <c r="BB158" i="55" a="1"/>
  <c r="BB158" i="55"/>
  <c r="AX158" i="55" a="1"/>
  <c r="AX158" i="55"/>
  <c r="AT158" i="55" a="1"/>
  <c r="AT158" i="55"/>
  <c r="AS158" i="55" a="1"/>
  <c r="AS158" i="55"/>
  <c r="AN158" i="55" a="1"/>
  <c r="AN158" i="55"/>
  <c r="AJ158" i="55" a="1"/>
  <c r="AJ158" i="55"/>
  <c r="AF158" i="55" a="1"/>
  <c r="AF158" i="55"/>
  <c r="AB158" i="55" a="1"/>
  <c r="AB158" i="55"/>
  <c r="AA158" i="55" a="1"/>
  <c r="AA158" i="55"/>
  <c r="V158" i="55" a="1"/>
  <c r="V158" i="55"/>
  <c r="R158" i="55" a="1"/>
  <c r="R158" i="55"/>
  <c r="N158" i="55" a="1"/>
  <c r="N158" i="55"/>
  <c r="J158" i="55" a="1"/>
  <c r="J158" i="55"/>
  <c r="I158" i="55" a="1"/>
  <c r="I158" i="55"/>
  <c r="BF157" i="55" a="1"/>
  <c r="BF157" i="55"/>
  <c r="BB157" i="55" a="1"/>
  <c r="BB157" i="55"/>
  <c r="AX157" i="55" a="1"/>
  <c r="AX157" i="55"/>
  <c r="AT157" i="55" a="1"/>
  <c r="AT157" i="55"/>
  <c r="AS157" i="55" a="1"/>
  <c r="AS157" i="55"/>
  <c r="AN157" i="55" a="1"/>
  <c r="AN157" i="55"/>
  <c r="AJ157" i="55" a="1"/>
  <c r="AJ157" i="55"/>
  <c r="AF157" i="55" a="1"/>
  <c r="AF157" i="55"/>
  <c r="AB157" i="55" a="1"/>
  <c r="AB157" i="55"/>
  <c r="AA157" i="55" a="1"/>
  <c r="AA157" i="55"/>
  <c r="V157" i="55" a="1"/>
  <c r="V157" i="55"/>
  <c r="R157" i="55" a="1"/>
  <c r="R157" i="55"/>
  <c r="N157" i="55" a="1"/>
  <c r="N157" i="55"/>
  <c r="J157" i="55" a="1"/>
  <c r="J157" i="55"/>
  <c r="I157" i="55" a="1"/>
  <c r="I157" i="55"/>
  <c r="BF156" i="55" a="1"/>
  <c r="BF156" i="55"/>
  <c r="BB156" i="55" a="1"/>
  <c r="BB156" i="55"/>
  <c r="AX156" i="55" a="1"/>
  <c r="AX156" i="55"/>
  <c r="AT156" i="55" a="1"/>
  <c r="AT156" i="55"/>
  <c r="AS156" i="55" a="1"/>
  <c r="AS156" i="55"/>
  <c r="AN156" i="55" a="1"/>
  <c r="AN156" i="55"/>
  <c r="AJ156" i="55" a="1"/>
  <c r="AJ156" i="55"/>
  <c r="AF156" i="55" a="1"/>
  <c r="AF156" i="55"/>
  <c r="AB156" i="55" a="1"/>
  <c r="AB156" i="55"/>
  <c r="AA156" i="55" a="1"/>
  <c r="AA156" i="55"/>
  <c r="V156" i="55" a="1"/>
  <c r="V156" i="55"/>
  <c r="R156" i="55" a="1"/>
  <c r="R156" i="55"/>
  <c r="N156" i="55" a="1"/>
  <c r="N156" i="55"/>
  <c r="J156" i="55" a="1"/>
  <c r="J156" i="55"/>
  <c r="I156" i="55" a="1"/>
  <c r="I156" i="55"/>
  <c r="BF155" i="55" a="1"/>
  <c r="BF155" i="55"/>
  <c r="BB155" i="55" a="1"/>
  <c r="BB155" i="55"/>
  <c r="AX155" i="55" a="1"/>
  <c r="AX155" i="55"/>
  <c r="AT155" i="55" a="1"/>
  <c r="AT155" i="55"/>
  <c r="AS155" i="55" a="1"/>
  <c r="AS155" i="55"/>
  <c r="AN155" i="55" a="1"/>
  <c r="AN155" i="55"/>
  <c r="AJ155" i="55" a="1"/>
  <c r="AJ155" i="55"/>
  <c r="AF155" i="55" a="1"/>
  <c r="AF155" i="55"/>
  <c r="AB155" i="55" a="1"/>
  <c r="AB155" i="55"/>
  <c r="AA155" i="55" a="1"/>
  <c r="AA155" i="55"/>
  <c r="V155" i="55" a="1"/>
  <c r="V155" i="55"/>
  <c r="R155" i="55" a="1"/>
  <c r="R155" i="55"/>
  <c r="N155" i="55" a="1"/>
  <c r="N155" i="55"/>
  <c r="J155" i="55" a="1"/>
  <c r="J155" i="55"/>
  <c r="I155" i="55" a="1"/>
  <c r="I155" i="55"/>
  <c r="BF154" i="55" a="1"/>
  <c r="BF154" i="55"/>
  <c r="BB154" i="55" a="1"/>
  <c r="BB154" i="55"/>
  <c r="AX154" i="55" a="1"/>
  <c r="AX154" i="55"/>
  <c r="AT154" i="55" a="1"/>
  <c r="AT154" i="55"/>
  <c r="AS154" i="55" a="1"/>
  <c r="AS154" i="55"/>
  <c r="AN154" i="55" a="1"/>
  <c r="AN154" i="55"/>
  <c r="AJ154" i="55" a="1"/>
  <c r="AJ154" i="55"/>
  <c r="AF154" i="55" a="1"/>
  <c r="AF154" i="55"/>
  <c r="AB154" i="55" a="1"/>
  <c r="AB154" i="55"/>
  <c r="AA154" i="55" a="1"/>
  <c r="AA154" i="55"/>
  <c r="V154" i="55" a="1"/>
  <c r="V154" i="55"/>
  <c r="R154" i="55" a="1"/>
  <c r="R154" i="55"/>
  <c r="N154" i="55" a="1"/>
  <c r="N154" i="55"/>
  <c r="J154" i="55" a="1"/>
  <c r="J154" i="55"/>
  <c r="I154" i="55" a="1"/>
  <c r="I154" i="55"/>
  <c r="BF153" i="55" a="1"/>
  <c r="BF153" i="55"/>
  <c r="BB153" i="55" a="1"/>
  <c r="BB153" i="55"/>
  <c r="AX153" i="55" a="1"/>
  <c r="AX153" i="55"/>
  <c r="AT153" i="55" a="1"/>
  <c r="AT153" i="55"/>
  <c r="AS153" i="55" a="1"/>
  <c r="AS153" i="55"/>
  <c r="AN153" i="55" a="1"/>
  <c r="AN153" i="55"/>
  <c r="AJ153" i="55" a="1"/>
  <c r="AJ153" i="55"/>
  <c r="AF153" i="55" a="1"/>
  <c r="AF153" i="55"/>
  <c r="AB153" i="55" a="1"/>
  <c r="AB153" i="55"/>
  <c r="AA153" i="55" a="1"/>
  <c r="AA153" i="55"/>
  <c r="V153" i="55" a="1"/>
  <c r="V153" i="55"/>
  <c r="R153" i="55" a="1"/>
  <c r="R153" i="55"/>
  <c r="N153" i="55" a="1"/>
  <c r="N153" i="55"/>
  <c r="J153" i="55" a="1"/>
  <c r="J153" i="55"/>
  <c r="I153" i="55" a="1"/>
  <c r="I153" i="55"/>
  <c r="BF152" i="55" a="1"/>
  <c r="BF152" i="55"/>
  <c r="BB152" i="55" a="1"/>
  <c r="BB152" i="55"/>
  <c r="AX152" i="55" a="1"/>
  <c r="AX152" i="55"/>
  <c r="AT152" i="55" a="1"/>
  <c r="AT152" i="55"/>
  <c r="AS152" i="55" a="1"/>
  <c r="AS152" i="55"/>
  <c r="AN152" i="55" a="1"/>
  <c r="AN152" i="55"/>
  <c r="AJ152" i="55" a="1"/>
  <c r="AJ152" i="55"/>
  <c r="AF152" i="55" a="1"/>
  <c r="AF152" i="55"/>
  <c r="AB152" i="55" a="1"/>
  <c r="AB152" i="55"/>
  <c r="AA152" i="55" a="1"/>
  <c r="AA152" i="55"/>
  <c r="V152" i="55" a="1"/>
  <c r="V152" i="55"/>
  <c r="R152" i="55" a="1"/>
  <c r="R152" i="55"/>
  <c r="N152" i="55" a="1"/>
  <c r="N152" i="55"/>
  <c r="J152" i="55" a="1"/>
  <c r="J152" i="55"/>
  <c r="I152" i="55" a="1"/>
  <c r="I152" i="55"/>
  <c r="BF151" i="55" a="1"/>
  <c r="BF151" i="55"/>
  <c r="BB151" i="55" a="1"/>
  <c r="BB151" i="55"/>
  <c r="AX151" i="55" a="1"/>
  <c r="AX151" i="55"/>
  <c r="AT151" i="55" a="1"/>
  <c r="AT151" i="55"/>
  <c r="AS151" i="55" a="1"/>
  <c r="AS151" i="55"/>
  <c r="AN151" i="55" a="1"/>
  <c r="AN151" i="55"/>
  <c r="AJ151" i="55" a="1"/>
  <c r="AJ151" i="55"/>
  <c r="AF151" i="55" a="1"/>
  <c r="AF151" i="55"/>
  <c r="AB151" i="55" a="1"/>
  <c r="AB151" i="55"/>
  <c r="AA151" i="55" a="1"/>
  <c r="AA151" i="55"/>
  <c r="V151" i="55" a="1"/>
  <c r="V151" i="55"/>
  <c r="R151" i="55" a="1"/>
  <c r="R151" i="55"/>
  <c r="N151" i="55" a="1"/>
  <c r="N151" i="55"/>
  <c r="J151" i="55" a="1"/>
  <c r="J151" i="55"/>
  <c r="I151" i="55" a="1"/>
  <c r="I151" i="55"/>
  <c r="BF150" i="55" a="1"/>
  <c r="BF150" i="55"/>
  <c r="BB150" i="55" a="1"/>
  <c r="BB150" i="55"/>
  <c r="AX150" i="55" a="1"/>
  <c r="AX150" i="55"/>
  <c r="AT150" i="55" a="1"/>
  <c r="AT150" i="55"/>
  <c r="AS150" i="55" a="1"/>
  <c r="AS150" i="55"/>
  <c r="AN150" i="55" a="1"/>
  <c r="AN150" i="55"/>
  <c r="AJ150" i="55" a="1"/>
  <c r="AJ150" i="55"/>
  <c r="AF150" i="55" a="1"/>
  <c r="AF150" i="55"/>
  <c r="AB150" i="55" a="1"/>
  <c r="AB150" i="55"/>
  <c r="AA150" i="55" a="1"/>
  <c r="AA150" i="55"/>
  <c r="V150" i="55" a="1"/>
  <c r="V150" i="55"/>
  <c r="R150" i="55" a="1"/>
  <c r="R150" i="55"/>
  <c r="N150" i="55" a="1"/>
  <c r="N150" i="55"/>
  <c r="J150" i="55" a="1"/>
  <c r="J150" i="55"/>
  <c r="I150" i="55" a="1"/>
  <c r="I150" i="55"/>
  <c r="BF149" i="55" a="1"/>
  <c r="BF149" i="55"/>
  <c r="BB149" i="55" a="1"/>
  <c r="BB149" i="55"/>
  <c r="AX149" i="55" a="1"/>
  <c r="AX149" i="55"/>
  <c r="AT149" i="55" a="1"/>
  <c r="AT149" i="55"/>
  <c r="AS149" i="55" a="1"/>
  <c r="AS149" i="55"/>
  <c r="AN149" i="55" a="1"/>
  <c r="AN149" i="55"/>
  <c r="AJ149" i="55" a="1"/>
  <c r="AJ149" i="55"/>
  <c r="AF149" i="55" a="1"/>
  <c r="AF149" i="55"/>
  <c r="AB149" i="55" a="1"/>
  <c r="AB149" i="55"/>
  <c r="AA149" i="55" a="1"/>
  <c r="AA149" i="55"/>
  <c r="V149" i="55" a="1"/>
  <c r="V149" i="55"/>
  <c r="R149" i="55" a="1"/>
  <c r="R149" i="55"/>
  <c r="N149" i="55" a="1"/>
  <c r="N149" i="55"/>
  <c r="J149" i="55" a="1"/>
  <c r="J149" i="55"/>
  <c r="I149" i="55" a="1"/>
  <c r="I149" i="55"/>
  <c r="BF148" i="55" a="1"/>
  <c r="BF148" i="55"/>
  <c r="BB148" i="55" a="1"/>
  <c r="BB148" i="55"/>
  <c r="AX148" i="55" a="1"/>
  <c r="AX148" i="55"/>
  <c r="AT148" i="55" a="1"/>
  <c r="AT148" i="55"/>
  <c r="AS148" i="55" a="1"/>
  <c r="AS148" i="55"/>
  <c r="AN148" i="55" a="1"/>
  <c r="AN148" i="55"/>
  <c r="AJ148" i="55" a="1"/>
  <c r="AJ148" i="55"/>
  <c r="AF148" i="55" a="1"/>
  <c r="AF148" i="55"/>
  <c r="AB148" i="55" a="1"/>
  <c r="AB148" i="55"/>
  <c r="AA148" i="55" a="1"/>
  <c r="AA148" i="55"/>
  <c r="V148" i="55" a="1"/>
  <c r="V148" i="55"/>
  <c r="R148" i="55" a="1"/>
  <c r="R148" i="55"/>
  <c r="N148" i="55" a="1"/>
  <c r="N148" i="55"/>
  <c r="J148" i="55" a="1"/>
  <c r="J148" i="55"/>
  <c r="I148" i="55" a="1"/>
  <c r="I148" i="55"/>
  <c r="BF147" i="55" a="1"/>
  <c r="BF147" i="55"/>
  <c r="BB147" i="55" a="1"/>
  <c r="BB147" i="55"/>
  <c r="AX147" i="55" a="1"/>
  <c r="AX147" i="55"/>
  <c r="AT147" i="55" a="1"/>
  <c r="AT147" i="55"/>
  <c r="AS147" i="55" a="1"/>
  <c r="AS147" i="55"/>
  <c r="AN147" i="55" a="1"/>
  <c r="AN147" i="55"/>
  <c r="AJ147" i="55" a="1"/>
  <c r="AJ147" i="55"/>
  <c r="AF147" i="55" a="1"/>
  <c r="AF147" i="55"/>
  <c r="AB147" i="55" a="1"/>
  <c r="AB147" i="55"/>
  <c r="AA147" i="55" a="1"/>
  <c r="AA147" i="55"/>
  <c r="V147" i="55" a="1"/>
  <c r="V147" i="55"/>
  <c r="R147" i="55" a="1"/>
  <c r="R147" i="55"/>
  <c r="N147" i="55" a="1"/>
  <c r="N147" i="55"/>
  <c r="J147" i="55" a="1"/>
  <c r="J147" i="55"/>
  <c r="I147" i="55" a="1"/>
  <c r="I147" i="55"/>
  <c r="BF146" i="55" a="1"/>
  <c r="BF146" i="55"/>
  <c r="BB146" i="55" a="1"/>
  <c r="BB146" i="55"/>
  <c r="AX146" i="55" a="1"/>
  <c r="AX146" i="55"/>
  <c r="AT146" i="55" a="1"/>
  <c r="AT146" i="55"/>
  <c r="AS146" i="55" a="1"/>
  <c r="AS146" i="55"/>
  <c r="AN146" i="55" a="1"/>
  <c r="AN146" i="55"/>
  <c r="AJ146" i="55" a="1"/>
  <c r="AJ146" i="55"/>
  <c r="AF146" i="55" a="1"/>
  <c r="AF146" i="55"/>
  <c r="AB146" i="55" a="1"/>
  <c r="AB146" i="55"/>
  <c r="AA146" i="55" a="1"/>
  <c r="AA146" i="55"/>
  <c r="V146" i="55" a="1"/>
  <c r="V146" i="55"/>
  <c r="R146" i="55" a="1"/>
  <c r="R146" i="55"/>
  <c r="N146" i="55" a="1"/>
  <c r="N146" i="55"/>
  <c r="J146" i="55" a="1"/>
  <c r="J146" i="55"/>
  <c r="I146" i="55" a="1"/>
  <c r="I146" i="55"/>
  <c r="BF145" i="55" a="1"/>
  <c r="BF145" i="55"/>
  <c r="BB145" i="55" a="1"/>
  <c r="BB145" i="55"/>
  <c r="AX145" i="55" a="1"/>
  <c r="AX145" i="55"/>
  <c r="AT145" i="55" a="1"/>
  <c r="AT145" i="55"/>
  <c r="AS145" i="55" a="1"/>
  <c r="AS145" i="55"/>
  <c r="AN145" i="55" a="1"/>
  <c r="AN145" i="55"/>
  <c r="AJ145" i="55" a="1"/>
  <c r="AJ145" i="55"/>
  <c r="AF145" i="55" a="1"/>
  <c r="AF145" i="55"/>
  <c r="AB145" i="55" a="1"/>
  <c r="AB145" i="55"/>
  <c r="AA145" i="55" a="1"/>
  <c r="AA145" i="55"/>
  <c r="V145" i="55" a="1"/>
  <c r="V145" i="55"/>
  <c r="R145" i="55" a="1"/>
  <c r="R145" i="55"/>
  <c r="N145" i="55" a="1"/>
  <c r="N145" i="55"/>
  <c r="J145" i="55" a="1"/>
  <c r="J145" i="55"/>
  <c r="I145" i="55" a="1"/>
  <c r="I145" i="55"/>
  <c r="BF144" i="55" a="1"/>
  <c r="BF144" i="55"/>
  <c r="BB144" i="55" a="1"/>
  <c r="BB144" i="55"/>
  <c r="AX144" i="55" a="1"/>
  <c r="AX144" i="55"/>
  <c r="AT144" i="55" a="1"/>
  <c r="AT144" i="55"/>
  <c r="AS144" i="55" a="1"/>
  <c r="AS144" i="55"/>
  <c r="AN144" i="55" a="1"/>
  <c r="AN144" i="55"/>
  <c r="AJ144" i="55" a="1"/>
  <c r="AJ144" i="55"/>
  <c r="AF144" i="55" a="1"/>
  <c r="AF144" i="55"/>
  <c r="AB144" i="55" a="1"/>
  <c r="AB144" i="55"/>
  <c r="AA144" i="55" a="1"/>
  <c r="AA144" i="55"/>
  <c r="V144" i="55" a="1"/>
  <c r="V144" i="55"/>
  <c r="R144" i="55" a="1"/>
  <c r="R144" i="55"/>
  <c r="N144" i="55" a="1"/>
  <c r="N144" i="55"/>
  <c r="J144" i="55" a="1"/>
  <c r="J144" i="55"/>
  <c r="I144" i="55" a="1"/>
  <c r="I144" i="55"/>
  <c r="BF143" i="55" a="1"/>
  <c r="BF143" i="55"/>
  <c r="BB143" i="55" a="1"/>
  <c r="BB143" i="55"/>
  <c r="AX143" i="55" a="1"/>
  <c r="AX143" i="55"/>
  <c r="AT143" i="55" a="1"/>
  <c r="AT143" i="55"/>
  <c r="AS143" i="55" a="1"/>
  <c r="AS143" i="55"/>
  <c r="AN143" i="55" a="1"/>
  <c r="AN143" i="55"/>
  <c r="AJ143" i="55" a="1"/>
  <c r="AJ143" i="55"/>
  <c r="AF143" i="55" a="1"/>
  <c r="AF143" i="55"/>
  <c r="AB143" i="55" a="1"/>
  <c r="AB143" i="55"/>
  <c r="AA143" i="55" a="1"/>
  <c r="AA143" i="55"/>
  <c r="V143" i="55" a="1"/>
  <c r="V143" i="55"/>
  <c r="R143" i="55" a="1"/>
  <c r="R143" i="55"/>
  <c r="N143" i="55" a="1"/>
  <c r="N143" i="55"/>
  <c r="J143" i="55" a="1"/>
  <c r="J143" i="55"/>
  <c r="I143" i="55" a="1"/>
  <c r="I143" i="55"/>
  <c r="BF142" i="55" a="1"/>
  <c r="BF142" i="55"/>
  <c r="BB142" i="55" a="1"/>
  <c r="BB142" i="55"/>
  <c r="AX142" i="55" a="1"/>
  <c r="AX142" i="55"/>
  <c r="AT142" i="55" a="1"/>
  <c r="AT142" i="55"/>
  <c r="AS142" i="55" a="1"/>
  <c r="AS142" i="55"/>
  <c r="AN142" i="55" a="1"/>
  <c r="AN142" i="55"/>
  <c r="AJ142" i="55" a="1"/>
  <c r="AJ142" i="55"/>
  <c r="AF142" i="55" a="1"/>
  <c r="AF142" i="55"/>
  <c r="AB142" i="55" a="1"/>
  <c r="AB142" i="55"/>
  <c r="AA142" i="55" a="1"/>
  <c r="AA142" i="55"/>
  <c r="V142" i="55" a="1"/>
  <c r="V142" i="55"/>
  <c r="R142" i="55" a="1"/>
  <c r="R142" i="55"/>
  <c r="N142" i="55" a="1"/>
  <c r="N142" i="55"/>
  <c r="J142" i="55" a="1"/>
  <c r="J142" i="55"/>
  <c r="I142" i="55" a="1"/>
  <c r="I142" i="55"/>
  <c r="BF141" i="55" a="1"/>
  <c r="BF141" i="55"/>
  <c r="BB141" i="55" a="1"/>
  <c r="BB141" i="55"/>
  <c r="AX141" i="55" a="1"/>
  <c r="AX141" i="55"/>
  <c r="AT141" i="55" a="1"/>
  <c r="AT141" i="55"/>
  <c r="AS141" i="55" a="1"/>
  <c r="AS141" i="55"/>
  <c r="AN141" i="55" a="1"/>
  <c r="AN141" i="55"/>
  <c r="AJ141" i="55" a="1"/>
  <c r="AJ141" i="55"/>
  <c r="AF141" i="55" a="1"/>
  <c r="AF141" i="55"/>
  <c r="AB141" i="55" a="1"/>
  <c r="AB141" i="55"/>
  <c r="AA141" i="55" a="1"/>
  <c r="AA141" i="55"/>
  <c r="V141" i="55" a="1"/>
  <c r="V141" i="55"/>
  <c r="R141" i="55" a="1"/>
  <c r="R141" i="55"/>
  <c r="N141" i="55" a="1"/>
  <c r="N141" i="55"/>
  <c r="J141" i="55" a="1"/>
  <c r="J141" i="55"/>
  <c r="I141" i="55" a="1"/>
  <c r="I141" i="55"/>
  <c r="BF140" i="55" a="1"/>
  <c r="BF140" i="55"/>
  <c r="BB140" i="55" a="1"/>
  <c r="BB140" i="55"/>
  <c r="AX140" i="55" a="1"/>
  <c r="AX140" i="55"/>
  <c r="AT140" i="55" a="1"/>
  <c r="AT140" i="55"/>
  <c r="AS140" i="55" a="1"/>
  <c r="AS140" i="55"/>
  <c r="AN140" i="55" a="1"/>
  <c r="AN140" i="55"/>
  <c r="AJ140" i="55" a="1"/>
  <c r="AJ140" i="55"/>
  <c r="AF140" i="55" a="1"/>
  <c r="AF140" i="55"/>
  <c r="AB140" i="55" a="1"/>
  <c r="AB140" i="55"/>
  <c r="AA140" i="55" a="1"/>
  <c r="AA140" i="55"/>
  <c r="V140" i="55" a="1"/>
  <c r="V140" i="55"/>
  <c r="R140" i="55" a="1"/>
  <c r="R140" i="55"/>
  <c r="N140" i="55" a="1"/>
  <c r="N140" i="55"/>
  <c r="J140" i="55" a="1"/>
  <c r="J140" i="55"/>
  <c r="I140" i="55" a="1"/>
  <c r="I140" i="55"/>
  <c r="BF139" i="55" a="1"/>
  <c r="BF139" i="55"/>
  <c r="BB139" i="55" a="1"/>
  <c r="BB139" i="55"/>
  <c r="AX139" i="55" a="1"/>
  <c r="AX139" i="55"/>
  <c r="AT139" i="55" a="1"/>
  <c r="AT139" i="55"/>
  <c r="AS139" i="55" a="1"/>
  <c r="AS139" i="55"/>
  <c r="AN139" i="55" a="1"/>
  <c r="AN139" i="55"/>
  <c r="AJ139" i="55" a="1"/>
  <c r="AJ139" i="55"/>
  <c r="AF139" i="55" a="1"/>
  <c r="AF139" i="55"/>
  <c r="AB139" i="55" a="1"/>
  <c r="AB139" i="55"/>
  <c r="AA139" i="55" a="1"/>
  <c r="AA139" i="55"/>
  <c r="V139" i="55" a="1"/>
  <c r="V139" i="55"/>
  <c r="R139" i="55" a="1"/>
  <c r="R139" i="55"/>
  <c r="N139" i="55" a="1"/>
  <c r="N139" i="55"/>
  <c r="J139" i="55" a="1"/>
  <c r="J139" i="55"/>
  <c r="I139" i="55" a="1"/>
  <c r="I139" i="55"/>
  <c r="BF138" i="55" a="1"/>
  <c r="BF138" i="55"/>
  <c r="BB138" i="55" a="1"/>
  <c r="BB138" i="55"/>
  <c r="AX138" i="55" a="1"/>
  <c r="AX138" i="55"/>
  <c r="AT138" i="55" a="1"/>
  <c r="AT138" i="55"/>
  <c r="AS138" i="55" a="1"/>
  <c r="AS138" i="55"/>
  <c r="AN138" i="55" a="1"/>
  <c r="AN138" i="55"/>
  <c r="AJ138" i="55" a="1"/>
  <c r="AJ138" i="55"/>
  <c r="AF138" i="55" a="1"/>
  <c r="AF138" i="55"/>
  <c r="AB138" i="55" a="1"/>
  <c r="AB138" i="55"/>
  <c r="AA138" i="55" a="1"/>
  <c r="AA138" i="55"/>
  <c r="V138" i="55" a="1"/>
  <c r="V138" i="55"/>
  <c r="R138" i="55" a="1"/>
  <c r="R138" i="55"/>
  <c r="N138" i="55" a="1"/>
  <c r="N138" i="55"/>
  <c r="J138" i="55" a="1"/>
  <c r="J138" i="55"/>
  <c r="I138" i="55" a="1"/>
  <c r="I138" i="55"/>
  <c r="BF137" i="55" a="1"/>
  <c r="BF137" i="55"/>
  <c r="BB137" i="55" a="1"/>
  <c r="BB137" i="55"/>
  <c r="AX137" i="55" a="1"/>
  <c r="AX137" i="55"/>
  <c r="AT137" i="55" a="1"/>
  <c r="AT137" i="55"/>
  <c r="AS137" i="55" a="1"/>
  <c r="AS137" i="55"/>
  <c r="AN137" i="55" a="1"/>
  <c r="AN137" i="55"/>
  <c r="AJ137" i="55" a="1"/>
  <c r="AJ137" i="55"/>
  <c r="AF137" i="55" a="1"/>
  <c r="AF137" i="55"/>
  <c r="AB137" i="55" a="1"/>
  <c r="AB137" i="55"/>
  <c r="AA137" i="55" a="1"/>
  <c r="AA137" i="55"/>
  <c r="V137" i="55" a="1"/>
  <c r="V137" i="55"/>
  <c r="R137" i="55" a="1"/>
  <c r="R137" i="55"/>
  <c r="N137" i="55" a="1"/>
  <c r="N137" i="55"/>
  <c r="J137" i="55" a="1"/>
  <c r="J137" i="55"/>
  <c r="I137" i="55" a="1"/>
  <c r="I137" i="55"/>
  <c r="BF136" i="55" a="1"/>
  <c r="BF136" i="55"/>
  <c r="BB136" i="55" a="1"/>
  <c r="BB136" i="55"/>
  <c r="AX136" i="55" a="1"/>
  <c r="AX136" i="55"/>
  <c r="AT136" i="55" a="1"/>
  <c r="AT136" i="55"/>
  <c r="AS136" i="55" a="1"/>
  <c r="AS136" i="55"/>
  <c r="AN136" i="55" a="1"/>
  <c r="AN136" i="55"/>
  <c r="AJ136" i="55" a="1"/>
  <c r="AJ136" i="55"/>
  <c r="AF136" i="55" a="1"/>
  <c r="AF136" i="55"/>
  <c r="AB136" i="55" a="1"/>
  <c r="AB136" i="55"/>
  <c r="AA136" i="55" a="1"/>
  <c r="AA136" i="55"/>
  <c r="V136" i="55" a="1"/>
  <c r="V136" i="55"/>
  <c r="R136" i="55" a="1"/>
  <c r="R136" i="55"/>
  <c r="N136" i="55" a="1"/>
  <c r="N136" i="55"/>
  <c r="J136" i="55" a="1"/>
  <c r="J136" i="55"/>
  <c r="I136" i="55" a="1"/>
  <c r="I136" i="55"/>
  <c r="BF135" i="55" a="1"/>
  <c r="BF135" i="55"/>
  <c r="BB135" i="55" a="1"/>
  <c r="BB135" i="55"/>
  <c r="AX135" i="55" a="1"/>
  <c r="AX135" i="55"/>
  <c r="AT135" i="55" a="1"/>
  <c r="AT135" i="55"/>
  <c r="AS135" i="55" a="1"/>
  <c r="AS135" i="55"/>
  <c r="AN135" i="55" a="1"/>
  <c r="AN135" i="55"/>
  <c r="AJ135" i="55" a="1"/>
  <c r="AJ135" i="55"/>
  <c r="AF135" i="55" a="1"/>
  <c r="AF135" i="55"/>
  <c r="AB135" i="55" a="1"/>
  <c r="AB135" i="55"/>
  <c r="AA135" i="55" a="1"/>
  <c r="AA135" i="55"/>
  <c r="V135" i="55" a="1"/>
  <c r="V135" i="55"/>
  <c r="R135" i="55" a="1"/>
  <c r="R135" i="55"/>
  <c r="N135" i="55" a="1"/>
  <c r="N135" i="55"/>
  <c r="J135" i="55" a="1"/>
  <c r="J135" i="55"/>
  <c r="I135" i="55" a="1"/>
  <c r="I135" i="55"/>
  <c r="BF134" i="55" a="1"/>
  <c r="BF134" i="55"/>
  <c r="BB134" i="55" a="1"/>
  <c r="BB134" i="55"/>
  <c r="AX134" i="55" a="1"/>
  <c r="AX134" i="55"/>
  <c r="AT134" i="55" a="1"/>
  <c r="AT134" i="55"/>
  <c r="AS134" i="55" a="1"/>
  <c r="AS134" i="55"/>
  <c r="AN134" i="55" a="1"/>
  <c r="AN134" i="55"/>
  <c r="AJ134" i="55" a="1"/>
  <c r="AJ134" i="55"/>
  <c r="AF134" i="55" a="1"/>
  <c r="AF134" i="55"/>
  <c r="AB134" i="55" a="1"/>
  <c r="AB134" i="55"/>
  <c r="AA134" i="55" a="1"/>
  <c r="AA134" i="55"/>
  <c r="V134" i="55" a="1"/>
  <c r="V134" i="55"/>
  <c r="R134" i="55" a="1"/>
  <c r="R134" i="55"/>
  <c r="N134" i="55" a="1"/>
  <c r="N134" i="55"/>
  <c r="J134" i="55" a="1"/>
  <c r="J134" i="55"/>
  <c r="I134" i="55" a="1"/>
  <c r="I134" i="55"/>
  <c r="BF133" i="55" a="1"/>
  <c r="BF133" i="55"/>
  <c r="BB133" i="55" a="1"/>
  <c r="BB133" i="55"/>
  <c r="AX133" i="55" a="1"/>
  <c r="AX133" i="55"/>
  <c r="AT133" i="55" a="1"/>
  <c r="AT133" i="55"/>
  <c r="AS133" i="55" a="1"/>
  <c r="AS133" i="55"/>
  <c r="AN133" i="55" a="1"/>
  <c r="AN133" i="55"/>
  <c r="AJ133" i="55" a="1"/>
  <c r="AJ133" i="55"/>
  <c r="AF133" i="55" a="1"/>
  <c r="AF133" i="55"/>
  <c r="AB133" i="55" a="1"/>
  <c r="AB133" i="55"/>
  <c r="AA133" i="55" a="1"/>
  <c r="AA133" i="55"/>
  <c r="V133" i="55" a="1"/>
  <c r="V133" i="55"/>
  <c r="R133" i="55" a="1"/>
  <c r="R133" i="55"/>
  <c r="N133" i="55" a="1"/>
  <c r="N133" i="55"/>
  <c r="J133" i="55" a="1"/>
  <c r="J133" i="55"/>
  <c r="I133" i="55" a="1"/>
  <c r="I133" i="55"/>
  <c r="BF132" i="55" a="1"/>
  <c r="BF132" i="55"/>
  <c r="BB132" i="55" a="1"/>
  <c r="BB132" i="55"/>
  <c r="AX132" i="55" a="1"/>
  <c r="AX132" i="55"/>
  <c r="AT132" i="55" a="1"/>
  <c r="AT132" i="55"/>
  <c r="AS132" i="55" a="1"/>
  <c r="AS132" i="55"/>
  <c r="AN132" i="55" a="1"/>
  <c r="AN132" i="55"/>
  <c r="AJ132" i="55" a="1"/>
  <c r="AJ132" i="55"/>
  <c r="AF132" i="55" a="1"/>
  <c r="AF132" i="55"/>
  <c r="AB132" i="55" a="1"/>
  <c r="AB132" i="55"/>
  <c r="AA132" i="55" a="1"/>
  <c r="AA132" i="55"/>
  <c r="V132" i="55" a="1"/>
  <c r="V132" i="55"/>
  <c r="R132" i="55" a="1"/>
  <c r="R132" i="55"/>
  <c r="N132" i="55" a="1"/>
  <c r="N132" i="55"/>
  <c r="J132" i="55" a="1"/>
  <c r="J132" i="55"/>
  <c r="I132" i="55" a="1"/>
  <c r="I132" i="55"/>
  <c r="BF131" i="55" a="1"/>
  <c r="BF131" i="55"/>
  <c r="BB131" i="55" a="1"/>
  <c r="BB131" i="55"/>
  <c r="AX131" i="55" a="1"/>
  <c r="AX131" i="55"/>
  <c r="AT131" i="55" a="1"/>
  <c r="AT131" i="55"/>
  <c r="AS131" i="55" a="1"/>
  <c r="AS131" i="55"/>
  <c r="AN131" i="55" a="1"/>
  <c r="AN131" i="55"/>
  <c r="AJ131" i="55" a="1"/>
  <c r="AJ131" i="55"/>
  <c r="AF131" i="55" a="1"/>
  <c r="AF131" i="55"/>
  <c r="AB131" i="55" a="1"/>
  <c r="AB131" i="55"/>
  <c r="AA131" i="55" a="1"/>
  <c r="AA131" i="55"/>
  <c r="V131" i="55" a="1"/>
  <c r="V131" i="55"/>
  <c r="R131" i="55" a="1"/>
  <c r="R131" i="55"/>
  <c r="N131" i="55" a="1"/>
  <c r="N131" i="55"/>
  <c r="J131" i="55" a="1"/>
  <c r="J131" i="55"/>
  <c r="I131" i="55" a="1"/>
  <c r="I131" i="55"/>
  <c r="BF130" i="55" a="1"/>
  <c r="BF130" i="55"/>
  <c r="BB130" i="55" a="1"/>
  <c r="BB130" i="55"/>
  <c r="AX130" i="55" a="1"/>
  <c r="AX130" i="55"/>
  <c r="AT130" i="55" a="1"/>
  <c r="AT130" i="55"/>
  <c r="AS130" i="55" a="1"/>
  <c r="AS130" i="55"/>
  <c r="AN130" i="55" a="1"/>
  <c r="AN130" i="55"/>
  <c r="AJ130" i="55" a="1"/>
  <c r="AJ130" i="55"/>
  <c r="AF130" i="55" a="1"/>
  <c r="AF130" i="55"/>
  <c r="AB130" i="55" a="1"/>
  <c r="AB130" i="55"/>
  <c r="AA130" i="55" a="1"/>
  <c r="AA130" i="55"/>
  <c r="V130" i="55" a="1"/>
  <c r="V130" i="55"/>
  <c r="R130" i="55" a="1"/>
  <c r="R130" i="55"/>
  <c r="N130" i="55" a="1"/>
  <c r="N130" i="55"/>
  <c r="J130" i="55" a="1"/>
  <c r="J130" i="55"/>
  <c r="I130" i="55" a="1"/>
  <c r="I130" i="55"/>
  <c r="BF129" i="55" a="1"/>
  <c r="BF129" i="55"/>
  <c r="BB129" i="55" a="1"/>
  <c r="BB129" i="55"/>
  <c r="AX129" i="55" a="1"/>
  <c r="AX129" i="55"/>
  <c r="AT129" i="55" a="1"/>
  <c r="AT129" i="55"/>
  <c r="AS129" i="55" a="1"/>
  <c r="AS129" i="55"/>
  <c r="AN129" i="55" a="1"/>
  <c r="AN129" i="55"/>
  <c r="AJ129" i="55" a="1"/>
  <c r="AJ129" i="55"/>
  <c r="AF129" i="55" a="1"/>
  <c r="AF129" i="55"/>
  <c r="AB129" i="55" a="1"/>
  <c r="AB129" i="55"/>
  <c r="AA129" i="55" a="1"/>
  <c r="AA129" i="55"/>
  <c r="V129" i="55" a="1"/>
  <c r="V129" i="55"/>
  <c r="R129" i="55" a="1"/>
  <c r="R129" i="55"/>
  <c r="N129" i="55" a="1"/>
  <c r="N129" i="55"/>
  <c r="J129" i="55" a="1"/>
  <c r="J129" i="55"/>
  <c r="I129" i="55" a="1"/>
  <c r="I129" i="55"/>
  <c r="BF128" i="55" a="1"/>
  <c r="BF128" i="55"/>
  <c r="BB128" i="55" a="1"/>
  <c r="BB128" i="55"/>
  <c r="AX128" i="55" a="1"/>
  <c r="AX128" i="55"/>
  <c r="AT128" i="55" a="1"/>
  <c r="AT128" i="55"/>
  <c r="AS128" i="55" a="1"/>
  <c r="AS128" i="55"/>
  <c r="AN128" i="55" a="1"/>
  <c r="AN128" i="55"/>
  <c r="AJ128" i="55" a="1"/>
  <c r="AJ128" i="55"/>
  <c r="AF128" i="55" a="1"/>
  <c r="AF128" i="55"/>
  <c r="AB128" i="55" a="1"/>
  <c r="AB128" i="55"/>
  <c r="AA128" i="55" a="1"/>
  <c r="AA128" i="55"/>
  <c r="V128" i="55" a="1"/>
  <c r="V128" i="55"/>
  <c r="R128" i="55" a="1"/>
  <c r="R128" i="55"/>
  <c r="N128" i="55" a="1"/>
  <c r="N128" i="55"/>
  <c r="J128" i="55" a="1"/>
  <c r="J128" i="55"/>
  <c r="I128" i="55" a="1"/>
  <c r="I128" i="55"/>
  <c r="BF127" i="55" a="1"/>
  <c r="BF127" i="55"/>
  <c r="BB127" i="55" a="1"/>
  <c r="BB127" i="55"/>
  <c r="AX127" i="55" a="1"/>
  <c r="AX127" i="55"/>
  <c r="AT127" i="55" a="1"/>
  <c r="AT127" i="55"/>
  <c r="AS127" i="55" a="1"/>
  <c r="AS127" i="55"/>
  <c r="AN127" i="55" a="1"/>
  <c r="AN127" i="55"/>
  <c r="AJ127" i="55" a="1"/>
  <c r="AJ127" i="55"/>
  <c r="AF127" i="55" a="1"/>
  <c r="AF127" i="55"/>
  <c r="AB127" i="55" a="1"/>
  <c r="AB127" i="55"/>
  <c r="AA127" i="55" a="1"/>
  <c r="AA127" i="55"/>
  <c r="V127" i="55" a="1"/>
  <c r="V127" i="55"/>
  <c r="R127" i="55" a="1"/>
  <c r="R127" i="55"/>
  <c r="N127" i="55" a="1"/>
  <c r="N127" i="55"/>
  <c r="J127" i="55" a="1"/>
  <c r="J127" i="55"/>
  <c r="I127" i="55" a="1"/>
  <c r="I127" i="55"/>
  <c r="BF126" i="55" a="1"/>
  <c r="BF126" i="55"/>
  <c r="BB126" i="55" a="1"/>
  <c r="BB126" i="55"/>
  <c r="AX126" i="55" a="1"/>
  <c r="AX126" i="55"/>
  <c r="AT126" i="55" a="1"/>
  <c r="AT126" i="55"/>
  <c r="AS126" i="55" a="1"/>
  <c r="AS126" i="55"/>
  <c r="AN126" i="55" a="1"/>
  <c r="AN126" i="55"/>
  <c r="AJ126" i="55" a="1"/>
  <c r="AJ126" i="55"/>
  <c r="AF126" i="55" a="1"/>
  <c r="AF126" i="55"/>
  <c r="AB126" i="55" a="1"/>
  <c r="AB126" i="55"/>
  <c r="AA126" i="55" a="1"/>
  <c r="AA126" i="55"/>
  <c r="V126" i="55" a="1"/>
  <c r="V126" i="55"/>
  <c r="R126" i="55" a="1"/>
  <c r="R126" i="55"/>
  <c r="N126" i="55" a="1"/>
  <c r="N126" i="55"/>
  <c r="J126" i="55" a="1"/>
  <c r="J126" i="55"/>
  <c r="I126" i="55" a="1"/>
  <c r="I126" i="55"/>
  <c r="BF125" i="55" a="1"/>
  <c r="BF125" i="55"/>
  <c r="BB125" i="55" a="1"/>
  <c r="BB125" i="55"/>
  <c r="AX125" i="55" a="1"/>
  <c r="AX125" i="55"/>
  <c r="AT125" i="55" a="1"/>
  <c r="AT125" i="55"/>
  <c r="AS125" i="55" a="1"/>
  <c r="AS125" i="55"/>
  <c r="AN125" i="55" a="1"/>
  <c r="AN125" i="55"/>
  <c r="AJ125" i="55" a="1"/>
  <c r="AJ125" i="55"/>
  <c r="AF125" i="55" a="1"/>
  <c r="AF125" i="55"/>
  <c r="AB125" i="55" a="1"/>
  <c r="AB125" i="55"/>
  <c r="AA125" i="55" a="1"/>
  <c r="AA125" i="55"/>
  <c r="V125" i="55" a="1"/>
  <c r="V125" i="55"/>
  <c r="R125" i="55" a="1"/>
  <c r="R125" i="55"/>
  <c r="N125" i="55" a="1"/>
  <c r="N125" i="55"/>
  <c r="J125" i="55" a="1"/>
  <c r="J125" i="55"/>
  <c r="I125" i="55" a="1"/>
  <c r="I125" i="55"/>
  <c r="BF124" i="55" a="1"/>
  <c r="BF124" i="55"/>
  <c r="BB124" i="55" a="1"/>
  <c r="BB124" i="55"/>
  <c r="AX124" i="55" a="1"/>
  <c r="AX124" i="55"/>
  <c r="AT124" i="55" a="1"/>
  <c r="AT124" i="55"/>
  <c r="AS124" i="55" a="1"/>
  <c r="AS124" i="55"/>
  <c r="AN124" i="55" a="1"/>
  <c r="AN124" i="55"/>
  <c r="AJ124" i="55" a="1"/>
  <c r="AJ124" i="55"/>
  <c r="AF124" i="55" a="1"/>
  <c r="AF124" i="55"/>
  <c r="AB124" i="55" a="1"/>
  <c r="AB124" i="55"/>
  <c r="AA124" i="55" a="1"/>
  <c r="AA124" i="55"/>
  <c r="V124" i="55" a="1"/>
  <c r="V124" i="55"/>
  <c r="R124" i="55" a="1"/>
  <c r="R124" i="55"/>
  <c r="N124" i="55" a="1"/>
  <c r="N124" i="55"/>
  <c r="J124" i="55" a="1"/>
  <c r="J124" i="55"/>
  <c r="I124" i="55" a="1"/>
  <c r="I124" i="55"/>
  <c r="BF123" i="55" a="1"/>
  <c r="BF123" i="55"/>
  <c r="BB123" i="55" a="1"/>
  <c r="BB123" i="55"/>
  <c r="AX123" i="55" a="1"/>
  <c r="AX123" i="55"/>
  <c r="AT123" i="55" a="1"/>
  <c r="AT123" i="55"/>
  <c r="AS123" i="55" a="1"/>
  <c r="AS123" i="55"/>
  <c r="AN123" i="55" a="1"/>
  <c r="AN123" i="55"/>
  <c r="AJ123" i="55" a="1"/>
  <c r="AJ123" i="55"/>
  <c r="AF123" i="55" a="1"/>
  <c r="AF123" i="55"/>
  <c r="AB123" i="55" a="1"/>
  <c r="AB123" i="55"/>
  <c r="AA123" i="55" a="1"/>
  <c r="AA123" i="55"/>
  <c r="V123" i="55" a="1"/>
  <c r="V123" i="55"/>
  <c r="R123" i="55" a="1"/>
  <c r="R123" i="55"/>
  <c r="N123" i="55" a="1"/>
  <c r="N123" i="55"/>
  <c r="J123" i="55" a="1"/>
  <c r="J123" i="55"/>
  <c r="I123" i="55" a="1"/>
  <c r="I123" i="55"/>
  <c r="BF122" i="55" a="1"/>
  <c r="BF122" i="55"/>
  <c r="BB122" i="55" a="1"/>
  <c r="BB122" i="55"/>
  <c r="AX122" i="55" a="1"/>
  <c r="AX122" i="55"/>
  <c r="AT122" i="55" a="1"/>
  <c r="AT122" i="55"/>
  <c r="AS122" i="55" a="1"/>
  <c r="AS122" i="55"/>
  <c r="AN122" i="55" a="1"/>
  <c r="AN122" i="55"/>
  <c r="AJ122" i="55" a="1"/>
  <c r="AJ122" i="55"/>
  <c r="AF122" i="55" a="1"/>
  <c r="AF122" i="55"/>
  <c r="AB122" i="55" a="1"/>
  <c r="AB122" i="55"/>
  <c r="AA122" i="55" a="1"/>
  <c r="AA122" i="55"/>
  <c r="V122" i="55" a="1"/>
  <c r="V122" i="55"/>
  <c r="R122" i="55" a="1"/>
  <c r="R122" i="55"/>
  <c r="N122" i="55" a="1"/>
  <c r="N122" i="55"/>
  <c r="J122" i="55" a="1"/>
  <c r="J122" i="55"/>
  <c r="I122" i="55" a="1"/>
  <c r="I122" i="55"/>
  <c r="BF121" i="55" a="1"/>
  <c r="BF121" i="55"/>
  <c r="BB121" i="55" a="1"/>
  <c r="BB121" i="55"/>
  <c r="AX121" i="55" a="1"/>
  <c r="AX121" i="55"/>
  <c r="AT121" i="55" a="1"/>
  <c r="AT121" i="55"/>
  <c r="AS121" i="55" a="1"/>
  <c r="AS121" i="55"/>
  <c r="AN121" i="55" a="1"/>
  <c r="AN121" i="55"/>
  <c r="AJ121" i="55" a="1"/>
  <c r="AJ121" i="55"/>
  <c r="AF121" i="55" a="1"/>
  <c r="AF121" i="55"/>
  <c r="AB121" i="55" a="1"/>
  <c r="AB121" i="55"/>
  <c r="AA121" i="55" a="1"/>
  <c r="AA121" i="55"/>
  <c r="V121" i="55" a="1"/>
  <c r="V121" i="55"/>
  <c r="R121" i="55" a="1"/>
  <c r="R121" i="55"/>
  <c r="N121" i="55" a="1"/>
  <c r="N121" i="55"/>
  <c r="J121" i="55" a="1"/>
  <c r="J121" i="55"/>
  <c r="I121" i="55" a="1"/>
  <c r="I121" i="55"/>
  <c r="BF120" i="55" a="1"/>
  <c r="BF120" i="55"/>
  <c r="BB120" i="55" a="1"/>
  <c r="BB120" i="55"/>
  <c r="AX120" i="55" a="1"/>
  <c r="AX120" i="55"/>
  <c r="AT120" i="55" a="1"/>
  <c r="AT120" i="55"/>
  <c r="AS120" i="55" a="1"/>
  <c r="AS120" i="55"/>
  <c r="AN120" i="55" a="1"/>
  <c r="AN120" i="55"/>
  <c r="AJ120" i="55" a="1"/>
  <c r="AJ120" i="55"/>
  <c r="AF120" i="55" a="1"/>
  <c r="AF120" i="55"/>
  <c r="AB120" i="55" a="1"/>
  <c r="AB120" i="55"/>
  <c r="AA120" i="55" a="1"/>
  <c r="AA120" i="55"/>
  <c r="V120" i="55" a="1"/>
  <c r="V120" i="55"/>
  <c r="R120" i="55" a="1"/>
  <c r="R120" i="55"/>
  <c r="N120" i="55" a="1"/>
  <c r="N120" i="55"/>
  <c r="J120" i="55" a="1"/>
  <c r="J120" i="55"/>
  <c r="I120" i="55" a="1"/>
  <c r="I120" i="55"/>
  <c r="BF119" i="55" a="1"/>
  <c r="BF119" i="55"/>
  <c r="BB119" i="55" a="1"/>
  <c r="BB119" i="55"/>
  <c r="AX119" i="55" a="1"/>
  <c r="AX119" i="55"/>
  <c r="AT119" i="55" a="1"/>
  <c r="AT119" i="55"/>
  <c r="AS119" i="55" a="1"/>
  <c r="AS119" i="55"/>
  <c r="AN119" i="55" a="1"/>
  <c r="AN119" i="55"/>
  <c r="AJ119" i="55" a="1"/>
  <c r="AJ119" i="55"/>
  <c r="AF119" i="55" a="1"/>
  <c r="AF119" i="55"/>
  <c r="AB119" i="55" a="1"/>
  <c r="AB119" i="55"/>
  <c r="AA119" i="55" a="1"/>
  <c r="AA119" i="55"/>
  <c r="V119" i="55" a="1"/>
  <c r="V119" i="55"/>
  <c r="R119" i="55" a="1"/>
  <c r="R119" i="55"/>
  <c r="N119" i="55" a="1"/>
  <c r="N119" i="55"/>
  <c r="J119" i="55" a="1"/>
  <c r="J119" i="55"/>
  <c r="I119" i="55" a="1"/>
  <c r="I119" i="55"/>
  <c r="BF118" i="55" a="1"/>
  <c r="BF118" i="55"/>
  <c r="BB118" i="55" a="1"/>
  <c r="BB118" i="55"/>
  <c r="AX118" i="55" a="1"/>
  <c r="AX118" i="55"/>
  <c r="AT118" i="55" a="1"/>
  <c r="AT118" i="55"/>
  <c r="AS118" i="55" a="1"/>
  <c r="AS118" i="55"/>
  <c r="AN118" i="55" a="1"/>
  <c r="AN118" i="55"/>
  <c r="AJ118" i="55" a="1"/>
  <c r="AJ118" i="55"/>
  <c r="AF118" i="55" a="1"/>
  <c r="AF118" i="55"/>
  <c r="AB118" i="55" a="1"/>
  <c r="AB118" i="55"/>
  <c r="AA118" i="55" a="1"/>
  <c r="AA118" i="55"/>
  <c r="V118" i="55" a="1"/>
  <c r="V118" i="55"/>
  <c r="R118" i="55" a="1"/>
  <c r="R118" i="55"/>
  <c r="N118" i="55" a="1"/>
  <c r="N118" i="55"/>
  <c r="J118" i="55" a="1"/>
  <c r="J118" i="55"/>
  <c r="I118" i="55" a="1"/>
  <c r="I118" i="55"/>
  <c r="BF117" i="55" a="1"/>
  <c r="BF117" i="55"/>
  <c r="BB117" i="55" a="1"/>
  <c r="BB117" i="55"/>
  <c r="AX117" i="55" a="1"/>
  <c r="AX117" i="55"/>
  <c r="AT117" i="55" a="1"/>
  <c r="AT117" i="55"/>
  <c r="AS117" i="55" a="1"/>
  <c r="AS117" i="55"/>
  <c r="AN117" i="55" a="1"/>
  <c r="AN117" i="55"/>
  <c r="AJ117" i="55" a="1"/>
  <c r="AJ117" i="55"/>
  <c r="AF117" i="55" a="1"/>
  <c r="AF117" i="55"/>
  <c r="AB117" i="55" a="1"/>
  <c r="AB117" i="55"/>
  <c r="AA117" i="55" a="1"/>
  <c r="AA117" i="55"/>
  <c r="V117" i="55" a="1"/>
  <c r="V117" i="55"/>
  <c r="R117" i="55" a="1"/>
  <c r="R117" i="55"/>
  <c r="N117" i="55" a="1"/>
  <c r="N117" i="55"/>
  <c r="J117" i="55" a="1"/>
  <c r="J117" i="55"/>
  <c r="I117" i="55" a="1"/>
  <c r="I117" i="55"/>
  <c r="BF116" i="55" a="1"/>
  <c r="BF116" i="55"/>
  <c r="BB116" i="55" a="1"/>
  <c r="BB116" i="55"/>
  <c r="AX116" i="55" a="1"/>
  <c r="AX116" i="55"/>
  <c r="AT116" i="55" a="1"/>
  <c r="AT116" i="55"/>
  <c r="AS116" i="55" a="1"/>
  <c r="AS116" i="55"/>
  <c r="AN116" i="55" a="1"/>
  <c r="AN116" i="55"/>
  <c r="AJ116" i="55" a="1"/>
  <c r="AJ116" i="55"/>
  <c r="AF116" i="55" a="1"/>
  <c r="AF116" i="55"/>
  <c r="AB116" i="55" a="1"/>
  <c r="AB116" i="55"/>
  <c r="AA116" i="55" a="1"/>
  <c r="AA116" i="55"/>
  <c r="V116" i="55" a="1"/>
  <c r="V116" i="55"/>
  <c r="R116" i="55" a="1"/>
  <c r="R116" i="55"/>
  <c r="N116" i="55" a="1"/>
  <c r="N116" i="55"/>
  <c r="J116" i="55" a="1"/>
  <c r="J116" i="55"/>
  <c r="I116" i="55" a="1"/>
  <c r="I116" i="55"/>
  <c r="BF115" i="55" a="1"/>
  <c r="BF115" i="55"/>
  <c r="BB115" i="55" a="1"/>
  <c r="BB115" i="55"/>
  <c r="AX115" i="55" a="1"/>
  <c r="AX115" i="55"/>
  <c r="AT115" i="55" a="1"/>
  <c r="AT115" i="55"/>
  <c r="AS115" i="55" a="1"/>
  <c r="AS115" i="55"/>
  <c r="AN115" i="55" a="1"/>
  <c r="AN115" i="55"/>
  <c r="AJ115" i="55" a="1"/>
  <c r="AJ115" i="55"/>
  <c r="AF115" i="55" a="1"/>
  <c r="AF115" i="55"/>
  <c r="AB115" i="55" a="1"/>
  <c r="AB115" i="55"/>
  <c r="AA115" i="55" a="1"/>
  <c r="AA115" i="55"/>
  <c r="V115" i="55" a="1"/>
  <c r="V115" i="55"/>
  <c r="R115" i="55" a="1"/>
  <c r="R115" i="55"/>
  <c r="N115" i="55" a="1"/>
  <c r="N115" i="55"/>
  <c r="J115" i="55" a="1"/>
  <c r="J115" i="55"/>
  <c r="I115" i="55" a="1"/>
  <c r="I115" i="55"/>
  <c r="BF114" i="55" a="1"/>
  <c r="BF114" i="55"/>
  <c r="BB114" i="55" a="1"/>
  <c r="BB114" i="55"/>
  <c r="AX114" i="55" a="1"/>
  <c r="AX114" i="55"/>
  <c r="AT114" i="55" a="1"/>
  <c r="AT114" i="55"/>
  <c r="AS114" i="55" a="1"/>
  <c r="AS114" i="55"/>
  <c r="AN114" i="55" a="1"/>
  <c r="AN114" i="55"/>
  <c r="AJ114" i="55" a="1"/>
  <c r="AJ114" i="55"/>
  <c r="AF114" i="55" a="1"/>
  <c r="AF114" i="55"/>
  <c r="AB114" i="55" a="1"/>
  <c r="AB114" i="55"/>
  <c r="AA114" i="55" a="1"/>
  <c r="AA114" i="55"/>
  <c r="V114" i="55" a="1"/>
  <c r="V114" i="55"/>
  <c r="R114" i="55" a="1"/>
  <c r="R114" i="55"/>
  <c r="N114" i="55" a="1"/>
  <c r="N114" i="55"/>
  <c r="J114" i="55" a="1"/>
  <c r="J114" i="55"/>
  <c r="I114" i="55" a="1"/>
  <c r="I114" i="55"/>
  <c r="BF113" i="55" a="1"/>
  <c r="BF113" i="55"/>
  <c r="BB113" i="55" a="1"/>
  <c r="BB113" i="55"/>
  <c r="AX113" i="55" a="1"/>
  <c r="AX113" i="55"/>
  <c r="AT113" i="55" a="1"/>
  <c r="AT113" i="55"/>
  <c r="AS113" i="55" a="1"/>
  <c r="AS113" i="55"/>
  <c r="AN113" i="55" a="1"/>
  <c r="AN113" i="55"/>
  <c r="AJ113" i="55" a="1"/>
  <c r="AJ113" i="55"/>
  <c r="AF113" i="55" a="1"/>
  <c r="AF113" i="55"/>
  <c r="AB113" i="55" a="1"/>
  <c r="AB113" i="55"/>
  <c r="AA113" i="55" a="1"/>
  <c r="AA113" i="55"/>
  <c r="V113" i="55" a="1"/>
  <c r="V113" i="55"/>
  <c r="R113" i="55" a="1"/>
  <c r="R113" i="55"/>
  <c r="N113" i="55" a="1"/>
  <c r="N113" i="55"/>
  <c r="J113" i="55" a="1"/>
  <c r="J113" i="55"/>
  <c r="I113" i="55" a="1"/>
  <c r="I113" i="55"/>
  <c r="BF112" i="55" a="1"/>
  <c r="BF112" i="55"/>
  <c r="BB112" i="55" a="1"/>
  <c r="BB112" i="55"/>
  <c r="AX112" i="55" a="1"/>
  <c r="AX112" i="55"/>
  <c r="AT112" i="55" a="1"/>
  <c r="AT112" i="55"/>
  <c r="AS112" i="55" a="1"/>
  <c r="AS112" i="55"/>
  <c r="AN112" i="55" a="1"/>
  <c r="AN112" i="55"/>
  <c r="AJ112" i="55" a="1"/>
  <c r="AJ112" i="55"/>
  <c r="AF112" i="55" a="1"/>
  <c r="AF112" i="55"/>
  <c r="AB112" i="55" a="1"/>
  <c r="AB112" i="55"/>
  <c r="AA112" i="55" a="1"/>
  <c r="AA112" i="55"/>
  <c r="V112" i="55" a="1"/>
  <c r="V112" i="55"/>
  <c r="R112" i="55" a="1"/>
  <c r="R112" i="55"/>
  <c r="N112" i="55" a="1"/>
  <c r="N112" i="55"/>
  <c r="J112" i="55" a="1"/>
  <c r="J112" i="55"/>
  <c r="I112" i="55" a="1"/>
  <c r="I112" i="55"/>
  <c r="BF111" i="55" a="1"/>
  <c r="BF111" i="55"/>
  <c r="BB111" i="55" a="1"/>
  <c r="BB111" i="55"/>
  <c r="AX111" i="55" a="1"/>
  <c r="AX111" i="55"/>
  <c r="AT111" i="55" a="1"/>
  <c r="AT111" i="55"/>
  <c r="AS111" i="55" a="1"/>
  <c r="AS111" i="55"/>
  <c r="AN111" i="55" a="1"/>
  <c r="AN111" i="55"/>
  <c r="AJ111" i="55" a="1"/>
  <c r="AJ111" i="55"/>
  <c r="AF111" i="55" a="1"/>
  <c r="AF111" i="55"/>
  <c r="AB111" i="55" a="1"/>
  <c r="AB111" i="55"/>
  <c r="AA111" i="55" a="1"/>
  <c r="AA111" i="55"/>
  <c r="V111" i="55" a="1"/>
  <c r="V111" i="55"/>
  <c r="R111" i="55" a="1"/>
  <c r="R111" i="55"/>
  <c r="N111" i="55" a="1"/>
  <c r="N111" i="55"/>
  <c r="J111" i="55" a="1"/>
  <c r="J111" i="55"/>
  <c r="I111" i="55" a="1"/>
  <c r="I111" i="55"/>
  <c r="BF110" i="55" a="1"/>
  <c r="BF110" i="55"/>
  <c r="BB110" i="55" a="1"/>
  <c r="BB110" i="55"/>
  <c r="AX110" i="55" a="1"/>
  <c r="AX110" i="55"/>
  <c r="AT110" i="55" a="1"/>
  <c r="AT110" i="55"/>
  <c r="AS110" i="55" a="1"/>
  <c r="AS110" i="55"/>
  <c r="AN110" i="55" a="1"/>
  <c r="AN110" i="55"/>
  <c r="AJ110" i="55" a="1"/>
  <c r="AJ110" i="55"/>
  <c r="AF110" i="55" a="1"/>
  <c r="AF110" i="55"/>
  <c r="AB110" i="55" a="1"/>
  <c r="AB110" i="55"/>
  <c r="AA110" i="55" a="1"/>
  <c r="AA110" i="55"/>
  <c r="V110" i="55" a="1"/>
  <c r="V110" i="55"/>
  <c r="R110" i="55" a="1"/>
  <c r="R110" i="55"/>
  <c r="N110" i="55" a="1"/>
  <c r="N110" i="55"/>
  <c r="J110" i="55" a="1"/>
  <c r="J110" i="55"/>
  <c r="I110" i="55" a="1"/>
  <c r="I110" i="55"/>
  <c r="BF109" i="55" a="1"/>
  <c r="BF109" i="55"/>
  <c r="BB109" i="55" a="1"/>
  <c r="BB109" i="55"/>
  <c r="AX109" i="55" a="1"/>
  <c r="AX109" i="55"/>
  <c r="AT109" i="55" a="1"/>
  <c r="AT109" i="55"/>
  <c r="AS109" i="55" a="1"/>
  <c r="AS109" i="55"/>
  <c r="AN109" i="55" a="1"/>
  <c r="AN109" i="55"/>
  <c r="AJ109" i="55" a="1"/>
  <c r="AJ109" i="55"/>
  <c r="AF109" i="55" a="1"/>
  <c r="AF109" i="55"/>
  <c r="AB109" i="55" a="1"/>
  <c r="AB109" i="55"/>
  <c r="AA109" i="55" a="1"/>
  <c r="AA109" i="55"/>
  <c r="V109" i="55" a="1"/>
  <c r="V109" i="55"/>
  <c r="R109" i="55" a="1"/>
  <c r="R109" i="55"/>
  <c r="N109" i="55" a="1"/>
  <c r="N109" i="55"/>
  <c r="J109" i="55" a="1"/>
  <c r="J109" i="55"/>
  <c r="I109" i="55" a="1"/>
  <c r="I109" i="55"/>
  <c r="BF108" i="55" a="1"/>
  <c r="BF108" i="55"/>
  <c r="BB108" i="55" a="1"/>
  <c r="BB108" i="55"/>
  <c r="AX108" i="55" a="1"/>
  <c r="AX108" i="55"/>
  <c r="AT108" i="55" a="1"/>
  <c r="AT108" i="55"/>
  <c r="AS108" i="55" a="1"/>
  <c r="AS108" i="55"/>
  <c r="AN108" i="55" a="1"/>
  <c r="AN108" i="55"/>
  <c r="AJ108" i="55" a="1"/>
  <c r="AJ108" i="55"/>
  <c r="AF108" i="55" a="1"/>
  <c r="AF108" i="55"/>
  <c r="AB108" i="55" a="1"/>
  <c r="AB108" i="55"/>
  <c r="AA108" i="55" a="1"/>
  <c r="AA108" i="55"/>
  <c r="V108" i="55" a="1"/>
  <c r="V108" i="55"/>
  <c r="R108" i="55" a="1"/>
  <c r="R108" i="55"/>
  <c r="N108" i="55" a="1"/>
  <c r="N108" i="55"/>
  <c r="J108" i="55" a="1"/>
  <c r="J108" i="55"/>
  <c r="I108" i="55" a="1"/>
  <c r="I108" i="55"/>
  <c r="BF107" i="55" a="1"/>
  <c r="BF107" i="55"/>
  <c r="BB107" i="55" a="1"/>
  <c r="BB107" i="55"/>
  <c r="AX107" i="55" a="1"/>
  <c r="AX107" i="55"/>
  <c r="AT107" i="55" a="1"/>
  <c r="AT107" i="55"/>
  <c r="AS107" i="55" a="1"/>
  <c r="AS107" i="55"/>
  <c r="AN107" i="55" a="1"/>
  <c r="AN107" i="55"/>
  <c r="AJ107" i="55" a="1"/>
  <c r="AJ107" i="55"/>
  <c r="AF107" i="55" a="1"/>
  <c r="AF107" i="55"/>
  <c r="AB107" i="55" a="1"/>
  <c r="AB107" i="55"/>
  <c r="AA107" i="55" a="1"/>
  <c r="AA107" i="55"/>
  <c r="V107" i="55" a="1"/>
  <c r="V107" i="55"/>
  <c r="R107" i="55" a="1"/>
  <c r="R107" i="55"/>
  <c r="N107" i="55" a="1"/>
  <c r="N107" i="55"/>
  <c r="J107" i="55" a="1"/>
  <c r="J107" i="55"/>
  <c r="I107" i="55" a="1"/>
  <c r="I107" i="55"/>
  <c r="BF106" i="55" a="1"/>
  <c r="BF106" i="55"/>
  <c r="BB106" i="55" a="1"/>
  <c r="BB106" i="55"/>
  <c r="AX106" i="55" a="1"/>
  <c r="AX106" i="55"/>
  <c r="AT106" i="55" a="1"/>
  <c r="AT106" i="55"/>
  <c r="AS106" i="55" a="1"/>
  <c r="AS106" i="55"/>
  <c r="AN106" i="55" a="1"/>
  <c r="AN106" i="55"/>
  <c r="AJ106" i="55" a="1"/>
  <c r="AJ106" i="55"/>
  <c r="AF106" i="55" a="1"/>
  <c r="AF106" i="55"/>
  <c r="AB106" i="55" a="1"/>
  <c r="AB106" i="55"/>
  <c r="AA106" i="55" a="1"/>
  <c r="AA106" i="55"/>
  <c r="V106" i="55" a="1"/>
  <c r="V106" i="55"/>
  <c r="R106" i="55" a="1"/>
  <c r="R106" i="55"/>
  <c r="N106" i="55" a="1"/>
  <c r="N106" i="55"/>
  <c r="J106" i="55" a="1"/>
  <c r="J106" i="55"/>
  <c r="I106" i="55" a="1"/>
  <c r="I106" i="55"/>
  <c r="BF105" i="55" a="1"/>
  <c r="BF105" i="55"/>
  <c r="BB105" i="55" a="1"/>
  <c r="BB105" i="55"/>
  <c r="AX105" i="55" a="1"/>
  <c r="AX105" i="55"/>
  <c r="AT105" i="55" a="1"/>
  <c r="AT105" i="55"/>
  <c r="AS105" i="55" a="1"/>
  <c r="AS105" i="55"/>
  <c r="AN105" i="55" a="1"/>
  <c r="AN105" i="55"/>
  <c r="AJ105" i="55" a="1"/>
  <c r="AJ105" i="55"/>
  <c r="AF105" i="55" a="1"/>
  <c r="AF105" i="55"/>
  <c r="AB105" i="55" a="1"/>
  <c r="AB105" i="55"/>
  <c r="AA105" i="55" a="1"/>
  <c r="AA105" i="55"/>
  <c r="V105" i="55" a="1"/>
  <c r="V105" i="55"/>
  <c r="R105" i="55" a="1"/>
  <c r="R105" i="55"/>
  <c r="N105" i="55" a="1"/>
  <c r="N105" i="55"/>
  <c r="J105" i="55" a="1"/>
  <c r="J105" i="55"/>
  <c r="I105" i="55" a="1"/>
  <c r="I105" i="55"/>
  <c r="BF104" i="55" a="1"/>
  <c r="BF104" i="55"/>
  <c r="BB104" i="55" a="1"/>
  <c r="BB104" i="55"/>
  <c r="AX104" i="55" a="1"/>
  <c r="AX104" i="55"/>
  <c r="AT104" i="55" a="1"/>
  <c r="AT104" i="55"/>
  <c r="AS104" i="55" a="1"/>
  <c r="AS104" i="55"/>
  <c r="AN104" i="55" a="1"/>
  <c r="AN104" i="55"/>
  <c r="AJ104" i="55" a="1"/>
  <c r="AJ104" i="55"/>
  <c r="AF104" i="55" a="1"/>
  <c r="AF104" i="55"/>
  <c r="AB104" i="55" a="1"/>
  <c r="AB104" i="55"/>
  <c r="AA104" i="55" a="1"/>
  <c r="AA104" i="55"/>
  <c r="V104" i="55" a="1"/>
  <c r="V104" i="55"/>
  <c r="R104" i="55" a="1"/>
  <c r="R104" i="55"/>
  <c r="N104" i="55" a="1"/>
  <c r="N104" i="55"/>
  <c r="J104" i="55" a="1"/>
  <c r="J104" i="55"/>
  <c r="I104" i="55" a="1"/>
  <c r="I104" i="55"/>
  <c r="BF103" i="55" a="1"/>
  <c r="BF103" i="55"/>
  <c r="BB103" i="55" a="1"/>
  <c r="BB103" i="55"/>
  <c r="AX103" i="55" a="1"/>
  <c r="AX103" i="55"/>
  <c r="AT103" i="55" a="1"/>
  <c r="AT103" i="55"/>
  <c r="AS103" i="55" a="1"/>
  <c r="AS103" i="55"/>
  <c r="AN103" i="55" a="1"/>
  <c r="AN103" i="55"/>
  <c r="AJ103" i="55" a="1"/>
  <c r="AJ103" i="55"/>
  <c r="AF103" i="55" a="1"/>
  <c r="AF103" i="55"/>
  <c r="AB103" i="55" a="1"/>
  <c r="AB103" i="55"/>
  <c r="AA103" i="55" a="1"/>
  <c r="AA103" i="55"/>
  <c r="V103" i="55" a="1"/>
  <c r="V103" i="55"/>
  <c r="R103" i="55" a="1"/>
  <c r="R103" i="55"/>
  <c r="N103" i="55" a="1"/>
  <c r="N103" i="55"/>
  <c r="J103" i="55" a="1"/>
  <c r="J103" i="55"/>
  <c r="I103" i="55" a="1"/>
  <c r="I103" i="55"/>
  <c r="BF102" i="55" a="1"/>
  <c r="BF102" i="55"/>
  <c r="BB102" i="55" a="1"/>
  <c r="BB102" i="55"/>
  <c r="AX102" i="55" a="1"/>
  <c r="AX102" i="55"/>
  <c r="AT102" i="55" a="1"/>
  <c r="AT102" i="55"/>
  <c r="AS102" i="55" a="1"/>
  <c r="AS102" i="55"/>
  <c r="AN102" i="55" a="1"/>
  <c r="AN102" i="55"/>
  <c r="AJ102" i="55" a="1"/>
  <c r="AJ102" i="55"/>
  <c r="AF102" i="55" a="1"/>
  <c r="AF102" i="55"/>
  <c r="AB102" i="55" a="1"/>
  <c r="AB102" i="55"/>
  <c r="AA102" i="55" a="1"/>
  <c r="AA102" i="55"/>
  <c r="V102" i="55" a="1"/>
  <c r="V102" i="55"/>
  <c r="R102" i="55" a="1"/>
  <c r="R102" i="55"/>
  <c r="N102" i="55" a="1"/>
  <c r="N102" i="55"/>
  <c r="J102" i="55" a="1"/>
  <c r="J102" i="55"/>
  <c r="I102" i="55" a="1"/>
  <c r="I102" i="55"/>
  <c r="BF101" i="55" a="1"/>
  <c r="BF101" i="55"/>
  <c r="BB101" i="55" a="1"/>
  <c r="BB101" i="55"/>
  <c r="AX101" i="55" a="1"/>
  <c r="AX101" i="55"/>
  <c r="AT101" i="55" a="1"/>
  <c r="AT101" i="55"/>
  <c r="AS101" i="55" a="1"/>
  <c r="AS101" i="55"/>
  <c r="AN101" i="55" a="1"/>
  <c r="AN101" i="55"/>
  <c r="AJ101" i="55" a="1"/>
  <c r="AJ101" i="55"/>
  <c r="AF101" i="55" a="1"/>
  <c r="AF101" i="55"/>
  <c r="AB101" i="55" a="1"/>
  <c r="AB101" i="55"/>
  <c r="AA101" i="55" a="1"/>
  <c r="AA101" i="55"/>
  <c r="V101" i="55" a="1"/>
  <c r="V101" i="55"/>
  <c r="R101" i="55" a="1"/>
  <c r="R101" i="55"/>
  <c r="N101" i="55" a="1"/>
  <c r="N101" i="55"/>
  <c r="J101" i="55" a="1"/>
  <c r="J101" i="55"/>
  <c r="I101" i="55" a="1"/>
  <c r="I101" i="55"/>
  <c r="BF100" i="55" a="1"/>
  <c r="BF100" i="55"/>
  <c r="BB100" i="55" a="1"/>
  <c r="BB100" i="55"/>
  <c r="AX100" i="55" a="1"/>
  <c r="AX100" i="55"/>
  <c r="AT100" i="55" a="1"/>
  <c r="AT100" i="55"/>
  <c r="AS100" i="55" a="1"/>
  <c r="AS100" i="55"/>
  <c r="AN100" i="55" a="1"/>
  <c r="AN100" i="55"/>
  <c r="AJ100" i="55" a="1"/>
  <c r="AJ100" i="55"/>
  <c r="AF100" i="55" a="1"/>
  <c r="AF100" i="55"/>
  <c r="AB100" i="55" a="1"/>
  <c r="AB100" i="55"/>
  <c r="AA100" i="55" a="1"/>
  <c r="AA100" i="55"/>
  <c r="V100" i="55" a="1"/>
  <c r="V100" i="55"/>
  <c r="R100" i="55" a="1"/>
  <c r="R100" i="55"/>
  <c r="N100" i="55" a="1"/>
  <c r="N100" i="55"/>
  <c r="J100" i="55" a="1"/>
  <c r="J100" i="55"/>
  <c r="I100" i="55" a="1"/>
  <c r="I100" i="55"/>
  <c r="BF99" i="55" a="1"/>
  <c r="BF99" i="55"/>
  <c r="BB99" i="55" a="1"/>
  <c r="BB99" i="55"/>
  <c r="AX99" i="55" a="1"/>
  <c r="AX99" i="55"/>
  <c r="AT99" i="55" a="1"/>
  <c r="AT99" i="55"/>
  <c r="AS99" i="55" a="1"/>
  <c r="AS99" i="55"/>
  <c r="AN99" i="55" a="1"/>
  <c r="AN99" i="55"/>
  <c r="AJ99" i="55" a="1"/>
  <c r="AJ99" i="55"/>
  <c r="AF99" i="55" a="1"/>
  <c r="AF99" i="55"/>
  <c r="AB99" i="55" a="1"/>
  <c r="AB99" i="55"/>
  <c r="AA99" i="55" a="1"/>
  <c r="AA99" i="55"/>
  <c r="V99" i="55" a="1"/>
  <c r="V99" i="55"/>
  <c r="R99" i="55" a="1"/>
  <c r="R99" i="55"/>
  <c r="N99" i="55" a="1"/>
  <c r="N99" i="55"/>
  <c r="J99" i="55" a="1"/>
  <c r="J99" i="55"/>
  <c r="I99" i="55" a="1"/>
  <c r="I99" i="55"/>
  <c r="BF98" i="55" a="1"/>
  <c r="BF98" i="55"/>
  <c r="BB98" i="55" a="1"/>
  <c r="BB98" i="55"/>
  <c r="AX98" i="55" a="1"/>
  <c r="AX98" i="55"/>
  <c r="AT98" i="55" a="1"/>
  <c r="AT98" i="55"/>
  <c r="AS98" i="55" a="1"/>
  <c r="AS98" i="55"/>
  <c r="AN98" i="55" a="1"/>
  <c r="AN98" i="55"/>
  <c r="AJ98" i="55" a="1"/>
  <c r="AJ98" i="55"/>
  <c r="AF98" i="55" a="1"/>
  <c r="AF98" i="55"/>
  <c r="AB98" i="55" a="1"/>
  <c r="AB98" i="55"/>
  <c r="AA98" i="55" a="1"/>
  <c r="AA98" i="55"/>
  <c r="V98" i="55" a="1"/>
  <c r="V98" i="55"/>
  <c r="R98" i="55" a="1"/>
  <c r="R98" i="55"/>
  <c r="N98" i="55" a="1"/>
  <c r="N98" i="55"/>
  <c r="J98" i="55" a="1"/>
  <c r="J98" i="55"/>
  <c r="I98" i="55" a="1"/>
  <c r="I98" i="55"/>
  <c r="BF97" i="55" a="1"/>
  <c r="BF97" i="55"/>
  <c r="BB97" i="55" a="1"/>
  <c r="BB97" i="55"/>
  <c r="AX97" i="55" a="1"/>
  <c r="AX97" i="55"/>
  <c r="AT97" i="55" a="1"/>
  <c r="AT97" i="55"/>
  <c r="AS97" i="55" a="1"/>
  <c r="AS97" i="55"/>
  <c r="AN97" i="55" a="1"/>
  <c r="AN97" i="55"/>
  <c r="AJ97" i="55" a="1"/>
  <c r="AJ97" i="55"/>
  <c r="AF97" i="55" a="1"/>
  <c r="AF97" i="55"/>
  <c r="AB97" i="55" a="1"/>
  <c r="AB97" i="55"/>
  <c r="AA97" i="55" a="1"/>
  <c r="AA97" i="55"/>
  <c r="V97" i="55" a="1"/>
  <c r="V97" i="55"/>
  <c r="R97" i="55" a="1"/>
  <c r="R97" i="55"/>
  <c r="N97" i="55" a="1"/>
  <c r="N97" i="55"/>
  <c r="J97" i="55" a="1"/>
  <c r="J97" i="55"/>
  <c r="I97" i="55" a="1"/>
  <c r="I97" i="55"/>
  <c r="BF96" i="55" a="1"/>
  <c r="BF96" i="55"/>
  <c r="BB96" i="55" a="1"/>
  <c r="BB96" i="55"/>
  <c r="AX96" i="55" a="1"/>
  <c r="AX96" i="55"/>
  <c r="AT96" i="55" a="1"/>
  <c r="AT96" i="55"/>
  <c r="AS96" i="55" a="1"/>
  <c r="AS96" i="55"/>
  <c r="AN96" i="55" a="1"/>
  <c r="AN96" i="55"/>
  <c r="AJ96" i="55" a="1"/>
  <c r="AJ96" i="55"/>
  <c r="AF96" i="55" a="1"/>
  <c r="AF96" i="55"/>
  <c r="AB96" i="55" a="1"/>
  <c r="AB96" i="55"/>
  <c r="AA96" i="55" a="1"/>
  <c r="AA96" i="55"/>
  <c r="V96" i="55" a="1"/>
  <c r="V96" i="55"/>
  <c r="R96" i="55" a="1"/>
  <c r="R96" i="55"/>
  <c r="N96" i="55" a="1"/>
  <c r="N96" i="55"/>
  <c r="J96" i="55" a="1"/>
  <c r="J96" i="55"/>
  <c r="I96" i="55" a="1"/>
  <c r="I96" i="55"/>
  <c r="BF95" i="55" a="1"/>
  <c r="BF95" i="55"/>
  <c r="BB95" i="55" a="1"/>
  <c r="BB95" i="55"/>
  <c r="AX95" i="55" a="1"/>
  <c r="AX95" i="55"/>
  <c r="AT95" i="55" a="1"/>
  <c r="AT95" i="55"/>
  <c r="AS95" i="55" a="1"/>
  <c r="AS95" i="55"/>
  <c r="AN95" i="55" a="1"/>
  <c r="AN95" i="55"/>
  <c r="AJ95" i="55" a="1"/>
  <c r="AJ95" i="55"/>
  <c r="AF95" i="55" a="1"/>
  <c r="AF95" i="55"/>
  <c r="AB95" i="55" a="1"/>
  <c r="AB95" i="55"/>
  <c r="AA95" i="55" a="1"/>
  <c r="AA95" i="55"/>
  <c r="V95" i="55" a="1"/>
  <c r="V95" i="55"/>
  <c r="R95" i="55" a="1"/>
  <c r="R95" i="55"/>
  <c r="N95" i="55" a="1"/>
  <c r="N95" i="55"/>
  <c r="J95" i="55" a="1"/>
  <c r="J95" i="55"/>
  <c r="I95" i="55" a="1"/>
  <c r="I95" i="55"/>
  <c r="BF94" i="55" a="1"/>
  <c r="BF94" i="55"/>
  <c r="BB94" i="55" a="1"/>
  <c r="BB94" i="55"/>
  <c r="AX94" i="55" a="1"/>
  <c r="AX94" i="55"/>
  <c r="AT94" i="55" a="1"/>
  <c r="AT94" i="55"/>
  <c r="AS94" i="55" a="1"/>
  <c r="AS94" i="55"/>
  <c r="AN94" i="55" a="1"/>
  <c r="AN94" i="55"/>
  <c r="AJ94" i="55" a="1"/>
  <c r="AJ94" i="55"/>
  <c r="AF94" i="55" a="1"/>
  <c r="AF94" i="55"/>
  <c r="AB94" i="55" a="1"/>
  <c r="AB94" i="55"/>
  <c r="AA94" i="55" a="1"/>
  <c r="AA94" i="55"/>
  <c r="V94" i="55" a="1"/>
  <c r="V94" i="55"/>
  <c r="R94" i="55" a="1"/>
  <c r="R94" i="55"/>
  <c r="N94" i="55" a="1"/>
  <c r="N94" i="55"/>
  <c r="J94" i="55" a="1"/>
  <c r="J94" i="55"/>
  <c r="I94" i="55" a="1"/>
  <c r="I94" i="55"/>
  <c r="BF93" i="55" a="1"/>
  <c r="BF93" i="55"/>
  <c r="BB93" i="55" a="1"/>
  <c r="BB93" i="55"/>
  <c r="AX93" i="55" a="1"/>
  <c r="AX93" i="55"/>
  <c r="AT93" i="55" a="1"/>
  <c r="AT93" i="55"/>
  <c r="AS93" i="55" a="1"/>
  <c r="AS93" i="55"/>
  <c r="AN93" i="55" a="1"/>
  <c r="AN93" i="55"/>
  <c r="AJ93" i="55" a="1"/>
  <c r="AJ93" i="55"/>
  <c r="AF93" i="55" a="1"/>
  <c r="AF93" i="55"/>
  <c r="AB93" i="55" a="1"/>
  <c r="AB93" i="55"/>
  <c r="AA93" i="55" a="1"/>
  <c r="AA93" i="55"/>
  <c r="V93" i="55" a="1"/>
  <c r="V93" i="55"/>
  <c r="R93" i="55" a="1"/>
  <c r="R93" i="55"/>
  <c r="N93" i="55" a="1"/>
  <c r="N93" i="55"/>
  <c r="J93" i="55" a="1"/>
  <c r="J93" i="55"/>
  <c r="I93" i="55" a="1"/>
  <c r="I93" i="55"/>
  <c r="BF92" i="55" a="1"/>
  <c r="BF92" i="55"/>
  <c r="BB92" i="55" a="1"/>
  <c r="BB92" i="55"/>
  <c r="AX92" i="55" a="1"/>
  <c r="AX92" i="55"/>
  <c r="AT92" i="55" a="1"/>
  <c r="AT92" i="55"/>
  <c r="AS92" i="55" a="1"/>
  <c r="AS92" i="55"/>
  <c r="AN92" i="55" a="1"/>
  <c r="AN92" i="55"/>
  <c r="AJ92" i="55" a="1"/>
  <c r="AJ92" i="55"/>
  <c r="AF92" i="55" a="1"/>
  <c r="AF92" i="55"/>
  <c r="AB92" i="55" a="1"/>
  <c r="AB92" i="55"/>
  <c r="AA92" i="55" a="1"/>
  <c r="AA92" i="55"/>
  <c r="V92" i="55" a="1"/>
  <c r="V92" i="55"/>
  <c r="R92" i="55" a="1"/>
  <c r="R92" i="55"/>
  <c r="N92" i="55" a="1"/>
  <c r="N92" i="55"/>
  <c r="J92" i="55" a="1"/>
  <c r="J92" i="55"/>
  <c r="I92" i="55" a="1"/>
  <c r="I92" i="55"/>
  <c r="BF91" i="55" a="1"/>
  <c r="BF91" i="55"/>
  <c r="BB91" i="55" a="1"/>
  <c r="BB91" i="55"/>
  <c r="AX91" i="55" a="1"/>
  <c r="AX91" i="55"/>
  <c r="AT91" i="55" a="1"/>
  <c r="AT91" i="55"/>
  <c r="AS91" i="55" a="1"/>
  <c r="AS91" i="55"/>
  <c r="AN91" i="55" a="1"/>
  <c r="AN91" i="55"/>
  <c r="AJ91" i="55" a="1"/>
  <c r="AJ91" i="55"/>
  <c r="AF91" i="55" a="1"/>
  <c r="AF91" i="55"/>
  <c r="AB91" i="55" a="1"/>
  <c r="AB91" i="55"/>
  <c r="AA91" i="55" a="1"/>
  <c r="AA91" i="55"/>
  <c r="V91" i="55" a="1"/>
  <c r="V91" i="55"/>
  <c r="R91" i="55" a="1"/>
  <c r="R91" i="55"/>
  <c r="N91" i="55" a="1"/>
  <c r="N91" i="55"/>
  <c r="J91" i="55" a="1"/>
  <c r="J91" i="55"/>
  <c r="I91" i="55" a="1"/>
  <c r="I91" i="55"/>
  <c r="BF90" i="55" a="1"/>
  <c r="BF90" i="55"/>
  <c r="BB90" i="55" a="1"/>
  <c r="BB90" i="55"/>
  <c r="AX90" i="55" a="1"/>
  <c r="AX90" i="55"/>
  <c r="AT90" i="55" a="1"/>
  <c r="AT90" i="55"/>
  <c r="AS90" i="55" a="1"/>
  <c r="AS90" i="55"/>
  <c r="AN90" i="55" a="1"/>
  <c r="AN90" i="55"/>
  <c r="AJ90" i="55" a="1"/>
  <c r="AJ90" i="55"/>
  <c r="AF90" i="55" a="1"/>
  <c r="AF90" i="55"/>
  <c r="AB90" i="55" a="1"/>
  <c r="AB90" i="55"/>
  <c r="AA90" i="55" a="1"/>
  <c r="AA90" i="55"/>
  <c r="V90" i="55" a="1"/>
  <c r="V90" i="55"/>
  <c r="R90" i="55" a="1"/>
  <c r="R90" i="55"/>
  <c r="N90" i="55" a="1"/>
  <c r="N90" i="55"/>
  <c r="J90" i="55" a="1"/>
  <c r="J90" i="55"/>
  <c r="I90" i="55" a="1"/>
  <c r="I90" i="55"/>
  <c r="BF89" i="55" a="1"/>
  <c r="BF89" i="55"/>
  <c r="BB89" i="55" a="1"/>
  <c r="BB89" i="55"/>
  <c r="AX89" i="55" a="1"/>
  <c r="AX89" i="55"/>
  <c r="AT89" i="55" a="1"/>
  <c r="AT89" i="55"/>
  <c r="AS89" i="55" a="1"/>
  <c r="AS89" i="55"/>
  <c r="AN89" i="55" a="1"/>
  <c r="AN89" i="55"/>
  <c r="AJ89" i="55" a="1"/>
  <c r="AJ89" i="55"/>
  <c r="AF89" i="55" a="1"/>
  <c r="AF89" i="55"/>
  <c r="AB89" i="55" a="1"/>
  <c r="AB89" i="55"/>
  <c r="AA89" i="55" a="1"/>
  <c r="AA89" i="55"/>
  <c r="V89" i="55" a="1"/>
  <c r="V89" i="55"/>
  <c r="R89" i="55" a="1"/>
  <c r="R89" i="55"/>
  <c r="N89" i="55" a="1"/>
  <c r="N89" i="55"/>
  <c r="J89" i="55" a="1"/>
  <c r="J89" i="55"/>
  <c r="I89" i="55" a="1"/>
  <c r="I89" i="55"/>
  <c r="BF85" i="55" a="1"/>
  <c r="BF85" i="55"/>
  <c r="BB85" i="55" a="1"/>
  <c r="BB85" i="55"/>
  <c r="AX85" i="55" a="1"/>
  <c r="AX85" i="55"/>
  <c r="AT85" i="55" a="1"/>
  <c r="AT85" i="55"/>
  <c r="AS85" i="55" a="1"/>
  <c r="AS85" i="55"/>
  <c r="AN85" i="55" a="1"/>
  <c r="AN85" i="55"/>
  <c r="AJ85" i="55" a="1"/>
  <c r="AJ85" i="55"/>
  <c r="AF85" i="55" a="1"/>
  <c r="AF85" i="55"/>
  <c r="AB85" i="55" a="1"/>
  <c r="AB85" i="55"/>
  <c r="AA85" i="55" a="1"/>
  <c r="AA85" i="55"/>
  <c r="V85" i="55" a="1"/>
  <c r="V85" i="55"/>
  <c r="R85" i="55" a="1"/>
  <c r="R85" i="55"/>
  <c r="N85" i="55" a="1"/>
  <c r="N85" i="55"/>
  <c r="J85" i="55" a="1"/>
  <c r="J85" i="55"/>
  <c r="I85" i="55" a="1"/>
  <c r="I85" i="55"/>
  <c r="BF84" i="55" a="1"/>
  <c r="BF84" i="55"/>
  <c r="BB84" i="55" a="1"/>
  <c r="BB84" i="55"/>
  <c r="AX84" i="55" a="1"/>
  <c r="AX84" i="55"/>
  <c r="AT84" i="55" a="1"/>
  <c r="AT84" i="55"/>
  <c r="AS84" i="55" a="1"/>
  <c r="AS84" i="55"/>
  <c r="AN84" i="55" a="1"/>
  <c r="AN84" i="55"/>
  <c r="AJ84" i="55" a="1"/>
  <c r="AJ84" i="55"/>
  <c r="AF84" i="55" a="1"/>
  <c r="AF84" i="55"/>
  <c r="AB84" i="55" a="1"/>
  <c r="AB84" i="55"/>
  <c r="AA84" i="55" a="1"/>
  <c r="AA84" i="55"/>
  <c r="V84" i="55" a="1"/>
  <c r="V84" i="55"/>
  <c r="R84" i="55" a="1"/>
  <c r="R84" i="55"/>
  <c r="N84" i="55" a="1"/>
  <c r="N84" i="55"/>
  <c r="J84" i="55" a="1"/>
  <c r="J84" i="55"/>
  <c r="I84" i="55" a="1"/>
  <c r="I84" i="55"/>
  <c r="BF83" i="55" a="1"/>
  <c r="BF83" i="55"/>
  <c r="BB83" i="55" a="1"/>
  <c r="BB83" i="55"/>
  <c r="AX83" i="55" a="1"/>
  <c r="AX83" i="55"/>
  <c r="AT83" i="55" a="1"/>
  <c r="AT83" i="55"/>
  <c r="AS83" i="55" a="1"/>
  <c r="AS83" i="55"/>
  <c r="AN83" i="55" a="1"/>
  <c r="AN83" i="55"/>
  <c r="AJ83" i="55" a="1"/>
  <c r="AJ83" i="55"/>
  <c r="AF83" i="55" a="1"/>
  <c r="AF83" i="55"/>
  <c r="AB83" i="55" a="1"/>
  <c r="AB83" i="55"/>
  <c r="AA83" i="55" a="1"/>
  <c r="AA83" i="55"/>
  <c r="V83" i="55" a="1"/>
  <c r="V83" i="55"/>
  <c r="R83" i="55" a="1"/>
  <c r="R83" i="55"/>
  <c r="N83" i="55" a="1"/>
  <c r="N83" i="55"/>
  <c r="J83" i="55" a="1"/>
  <c r="J83" i="55"/>
  <c r="I83" i="55" a="1"/>
  <c r="I83" i="55"/>
  <c r="BF82" i="55" a="1"/>
  <c r="BF82" i="55"/>
  <c r="BB82" i="55" a="1"/>
  <c r="BB82" i="55"/>
  <c r="AX82" i="55" a="1"/>
  <c r="AX82" i="55"/>
  <c r="AT82" i="55" a="1"/>
  <c r="AT82" i="55"/>
  <c r="AS82" i="55" a="1"/>
  <c r="AS82" i="55"/>
  <c r="AN82" i="55" a="1"/>
  <c r="AN82" i="55"/>
  <c r="AJ82" i="55" a="1"/>
  <c r="AJ82" i="55"/>
  <c r="AF82" i="55" a="1"/>
  <c r="AF82" i="55"/>
  <c r="AB82" i="55" a="1"/>
  <c r="AB82" i="55"/>
  <c r="AA82" i="55" a="1"/>
  <c r="AA82" i="55"/>
  <c r="V82" i="55" a="1"/>
  <c r="V82" i="55"/>
  <c r="R82" i="55" a="1"/>
  <c r="R82" i="55"/>
  <c r="N82" i="55" a="1"/>
  <c r="N82" i="55"/>
  <c r="J82" i="55" a="1"/>
  <c r="J82" i="55"/>
  <c r="I82" i="55" a="1"/>
  <c r="I82" i="55"/>
  <c r="BF81" i="55" a="1"/>
  <c r="BF81" i="55"/>
  <c r="BB81" i="55" a="1"/>
  <c r="BB81" i="55"/>
  <c r="AX81" i="55" a="1"/>
  <c r="AX81" i="55"/>
  <c r="AT81" i="55" a="1"/>
  <c r="AT81" i="55"/>
  <c r="AS81" i="55" a="1"/>
  <c r="AS81" i="55"/>
  <c r="AN81" i="55" a="1"/>
  <c r="AN81" i="55"/>
  <c r="AJ81" i="55" a="1"/>
  <c r="AJ81" i="55"/>
  <c r="AF81" i="55" a="1"/>
  <c r="AF81" i="55"/>
  <c r="AB81" i="55" a="1"/>
  <c r="AB81" i="55"/>
  <c r="AA81" i="55" a="1"/>
  <c r="AA81" i="55"/>
  <c r="V81" i="55" a="1"/>
  <c r="V81" i="55"/>
  <c r="R81" i="55" a="1"/>
  <c r="R81" i="55"/>
  <c r="N81" i="55" a="1"/>
  <c r="N81" i="55"/>
  <c r="J81" i="55" a="1"/>
  <c r="J81" i="55"/>
  <c r="I81" i="55" a="1"/>
  <c r="I81" i="55"/>
  <c r="BF80" i="55" a="1"/>
  <c r="BF80" i="55"/>
  <c r="BB80" i="55" a="1"/>
  <c r="BB80" i="55"/>
  <c r="AX80" i="55" a="1"/>
  <c r="AX80" i="55"/>
  <c r="AT80" i="55" a="1"/>
  <c r="AT80" i="55"/>
  <c r="AS80" i="55" a="1"/>
  <c r="AS80" i="55"/>
  <c r="AN80" i="55" a="1"/>
  <c r="AN80" i="55"/>
  <c r="AJ80" i="55" a="1"/>
  <c r="AJ80" i="55"/>
  <c r="AF80" i="55" a="1"/>
  <c r="AF80" i="55"/>
  <c r="AB80" i="55" a="1"/>
  <c r="AB80" i="55"/>
  <c r="AA80" i="55" a="1"/>
  <c r="AA80" i="55"/>
  <c r="V80" i="55" a="1"/>
  <c r="V80" i="55"/>
  <c r="R80" i="55" a="1"/>
  <c r="R80" i="55"/>
  <c r="N80" i="55" a="1"/>
  <c r="N80" i="55"/>
  <c r="J80" i="55" a="1"/>
  <c r="J80" i="55"/>
  <c r="I80" i="55" a="1"/>
  <c r="I80" i="55"/>
  <c r="BF79" i="55" a="1"/>
  <c r="BF79" i="55"/>
  <c r="BB79" i="55" a="1"/>
  <c r="BB79" i="55"/>
  <c r="AX79" i="55" a="1"/>
  <c r="AX79" i="55"/>
  <c r="AT79" i="55" a="1"/>
  <c r="AT79" i="55"/>
  <c r="AS79" i="55" a="1"/>
  <c r="AS79" i="55"/>
  <c r="AN79" i="55" a="1"/>
  <c r="AN79" i="55"/>
  <c r="AJ79" i="55" a="1"/>
  <c r="AJ79" i="55"/>
  <c r="AF79" i="55" a="1"/>
  <c r="AF79" i="55"/>
  <c r="AB79" i="55" a="1"/>
  <c r="AB79" i="55"/>
  <c r="AA79" i="55" a="1"/>
  <c r="AA79" i="55"/>
  <c r="V79" i="55" a="1"/>
  <c r="V79" i="55"/>
  <c r="R79" i="55" a="1"/>
  <c r="R79" i="55"/>
  <c r="N79" i="55" a="1"/>
  <c r="N79" i="55"/>
  <c r="J79" i="55" a="1"/>
  <c r="J79" i="55"/>
  <c r="I79" i="55" a="1"/>
  <c r="I79" i="55"/>
  <c r="BF78" i="55" a="1"/>
  <c r="BF78" i="55"/>
  <c r="BB78" i="55" a="1"/>
  <c r="BB78" i="55"/>
  <c r="AX78" i="55" a="1"/>
  <c r="AX78" i="55"/>
  <c r="AT78" i="55" a="1"/>
  <c r="AT78" i="55"/>
  <c r="AS78" i="55" a="1"/>
  <c r="AS78" i="55"/>
  <c r="AN78" i="55" a="1"/>
  <c r="AN78" i="55"/>
  <c r="AJ78" i="55" a="1"/>
  <c r="AJ78" i="55"/>
  <c r="AF78" i="55" a="1"/>
  <c r="AF78" i="55"/>
  <c r="AB78" i="55" a="1"/>
  <c r="AB78" i="55"/>
  <c r="AA78" i="55" a="1"/>
  <c r="AA78" i="55"/>
  <c r="V78" i="55" a="1"/>
  <c r="V78" i="55"/>
  <c r="R78" i="55" a="1"/>
  <c r="R78" i="55"/>
  <c r="N78" i="55" a="1"/>
  <c r="N78" i="55"/>
  <c r="J78" i="55" a="1"/>
  <c r="J78" i="55"/>
  <c r="I78" i="55" a="1"/>
  <c r="I78" i="55"/>
  <c r="BF74" i="55" a="1"/>
  <c r="BF74" i="55"/>
  <c r="BB74" i="55" a="1"/>
  <c r="BB74" i="55"/>
  <c r="AX74" i="55" a="1"/>
  <c r="AX74" i="55"/>
  <c r="AT74" i="55" a="1"/>
  <c r="AT74" i="55"/>
  <c r="AS74" i="55" a="1"/>
  <c r="AS74" i="55"/>
  <c r="AN74" i="55" a="1"/>
  <c r="AN74" i="55"/>
  <c r="AJ74" i="55" a="1"/>
  <c r="AJ74" i="55"/>
  <c r="AF74" i="55" a="1"/>
  <c r="AF74" i="55"/>
  <c r="AB74" i="55" a="1"/>
  <c r="AB74" i="55"/>
  <c r="AA74" i="55" a="1"/>
  <c r="AA74" i="55"/>
  <c r="V74" i="55" a="1"/>
  <c r="V74" i="55"/>
  <c r="R74" i="55" a="1"/>
  <c r="R74" i="55"/>
  <c r="N74" i="55" a="1"/>
  <c r="N74" i="55"/>
  <c r="J74" i="55" a="1"/>
  <c r="J74" i="55"/>
  <c r="I74" i="55" a="1"/>
  <c r="I74" i="55"/>
  <c r="BF73" i="55" a="1"/>
  <c r="BF73" i="55"/>
  <c r="BB73" i="55" a="1"/>
  <c r="BB73" i="55"/>
  <c r="AX73" i="55" a="1"/>
  <c r="AX73" i="55"/>
  <c r="AT73" i="55" a="1"/>
  <c r="AT73" i="55"/>
  <c r="AS73" i="55" a="1"/>
  <c r="AS73" i="55"/>
  <c r="AN73" i="55" a="1"/>
  <c r="AN73" i="55"/>
  <c r="AJ73" i="55" a="1"/>
  <c r="AJ73" i="55"/>
  <c r="AF73" i="55" a="1"/>
  <c r="AF73" i="55"/>
  <c r="AB73" i="55" a="1"/>
  <c r="AB73" i="55"/>
  <c r="AA73" i="55" a="1"/>
  <c r="AA73" i="55"/>
  <c r="V73" i="55" a="1"/>
  <c r="V73" i="55"/>
  <c r="R73" i="55" a="1"/>
  <c r="R73" i="55"/>
  <c r="N73" i="55" a="1"/>
  <c r="N73" i="55"/>
  <c r="J73" i="55" a="1"/>
  <c r="J73" i="55"/>
  <c r="I73" i="55" a="1"/>
  <c r="I73" i="55"/>
  <c r="BF72" i="55" a="1"/>
  <c r="BF72" i="55"/>
  <c r="BB72" i="55" a="1"/>
  <c r="BB72" i="55"/>
  <c r="AX72" i="55" a="1"/>
  <c r="AX72" i="55"/>
  <c r="AT72" i="55" a="1"/>
  <c r="AT72" i="55"/>
  <c r="AS72" i="55" a="1"/>
  <c r="AS72" i="55"/>
  <c r="AN72" i="55" a="1"/>
  <c r="AN72" i="55"/>
  <c r="AJ72" i="55" a="1"/>
  <c r="AJ72" i="55"/>
  <c r="AF72" i="55" a="1"/>
  <c r="AF72" i="55"/>
  <c r="AB72" i="55" a="1"/>
  <c r="AB72" i="55"/>
  <c r="AA72" i="55" a="1"/>
  <c r="AA72" i="55"/>
  <c r="V72" i="55" a="1"/>
  <c r="V72" i="55"/>
  <c r="R72" i="55" a="1"/>
  <c r="R72" i="55"/>
  <c r="N72" i="55" a="1"/>
  <c r="N72" i="55"/>
  <c r="J72" i="55" a="1"/>
  <c r="J72" i="55"/>
  <c r="I72" i="55" a="1"/>
  <c r="I72" i="55"/>
  <c r="BF71" i="55" a="1"/>
  <c r="BF71" i="55"/>
  <c r="BB71" i="55" a="1"/>
  <c r="BB71" i="55"/>
  <c r="AX71" i="55" a="1"/>
  <c r="AX71" i="55"/>
  <c r="AT71" i="55" a="1"/>
  <c r="AT71" i="55"/>
  <c r="AS71" i="55" a="1"/>
  <c r="AS71" i="55"/>
  <c r="AN71" i="55" a="1"/>
  <c r="AN71" i="55"/>
  <c r="AJ71" i="55" a="1"/>
  <c r="AJ71" i="55"/>
  <c r="AF71" i="55" a="1"/>
  <c r="AF71" i="55"/>
  <c r="AB71" i="55" a="1"/>
  <c r="AB71" i="55"/>
  <c r="AA71" i="55" a="1"/>
  <c r="AA71" i="55"/>
  <c r="V71" i="55" a="1"/>
  <c r="V71" i="55"/>
  <c r="R71" i="55" a="1"/>
  <c r="R71" i="55"/>
  <c r="N71" i="55" a="1"/>
  <c r="N71" i="55"/>
  <c r="J71" i="55" a="1"/>
  <c r="J71" i="55"/>
  <c r="I71" i="55" a="1"/>
  <c r="I71" i="55"/>
  <c r="BF70" i="55" a="1"/>
  <c r="BF70" i="55"/>
  <c r="BB70" i="55" a="1"/>
  <c r="BB70" i="55"/>
  <c r="AX70" i="55" a="1"/>
  <c r="AX70" i="55"/>
  <c r="AT70" i="55" a="1"/>
  <c r="AT70" i="55"/>
  <c r="AS70" i="55" a="1"/>
  <c r="AS70" i="55"/>
  <c r="AN70" i="55" a="1"/>
  <c r="AN70" i="55"/>
  <c r="AJ70" i="55" a="1"/>
  <c r="AJ70" i="55"/>
  <c r="AF70" i="55" a="1"/>
  <c r="AF70" i="55"/>
  <c r="AB70" i="55" a="1"/>
  <c r="AB70" i="55"/>
  <c r="AA70" i="55" a="1"/>
  <c r="AA70" i="55"/>
  <c r="V70" i="55" a="1"/>
  <c r="V70" i="55"/>
  <c r="R70" i="55" a="1"/>
  <c r="R70" i="55"/>
  <c r="N70" i="55" a="1"/>
  <c r="N70" i="55"/>
  <c r="J70" i="55" a="1"/>
  <c r="J70" i="55"/>
  <c r="I70" i="55" a="1"/>
  <c r="I70" i="55"/>
  <c r="BB392" i="61" a="1"/>
  <c r="BB392" i="61"/>
  <c r="AX392" i="61" a="1"/>
  <c r="AX392" i="61"/>
  <c r="AT392" i="61" a="1"/>
  <c r="AT392" i="61"/>
  <c r="AS392" i="61" a="1"/>
  <c r="AS392" i="61"/>
  <c r="AN392" i="61" a="1"/>
  <c r="AN392" i="61"/>
  <c r="AJ392" i="61" a="1"/>
  <c r="AJ392" i="61"/>
  <c r="AF392" i="61" a="1"/>
  <c r="AF392" i="61"/>
  <c r="AB392" i="61" a="1"/>
  <c r="AB392" i="61"/>
  <c r="AA392" i="61" a="1"/>
  <c r="AA392" i="61"/>
  <c r="V392" i="61" a="1"/>
  <c r="V392" i="61"/>
  <c r="R392" i="61" a="1"/>
  <c r="R392" i="61"/>
  <c r="N392" i="61" a="1"/>
  <c r="N392" i="61"/>
  <c r="J392" i="61" a="1"/>
  <c r="J392" i="61"/>
  <c r="I392" i="61" a="1"/>
  <c r="I392" i="61"/>
  <c r="BB391" i="61" a="1"/>
  <c r="BB391" i="61"/>
  <c r="AX391" i="61" a="1"/>
  <c r="AX391" i="61"/>
  <c r="AT391" i="61" a="1"/>
  <c r="AT391" i="61"/>
  <c r="AS391" i="61" a="1"/>
  <c r="AS391" i="61"/>
  <c r="AN391" i="61" a="1"/>
  <c r="AN391" i="61"/>
  <c r="AJ391" i="61" a="1"/>
  <c r="AJ391" i="61"/>
  <c r="AF391" i="61" a="1"/>
  <c r="AF391" i="61"/>
  <c r="AB391" i="61" a="1"/>
  <c r="AB391" i="61"/>
  <c r="AA391" i="61" a="1"/>
  <c r="AA391" i="61"/>
  <c r="V391" i="61" a="1"/>
  <c r="V391" i="61"/>
  <c r="R391" i="61" a="1"/>
  <c r="R391" i="61"/>
  <c r="N391" i="61" a="1"/>
  <c r="N391" i="61"/>
  <c r="J391" i="61" a="1"/>
  <c r="J391" i="61"/>
  <c r="I391" i="61" a="1"/>
  <c r="I391" i="61"/>
  <c r="BB390" i="61" a="1"/>
  <c r="BB390" i="61"/>
  <c r="AX390" i="61" a="1"/>
  <c r="AX390" i="61"/>
  <c r="AT390" i="61" a="1"/>
  <c r="AT390" i="61"/>
  <c r="AS390" i="61" a="1"/>
  <c r="AS390" i="61"/>
  <c r="AN390" i="61" a="1"/>
  <c r="AN390" i="61"/>
  <c r="AJ390" i="61" a="1"/>
  <c r="AJ390" i="61"/>
  <c r="AF390" i="61" a="1"/>
  <c r="AF390" i="61"/>
  <c r="AB390" i="61" a="1"/>
  <c r="AB390" i="61"/>
  <c r="AA390" i="61" a="1"/>
  <c r="AA390" i="61"/>
  <c r="V390" i="61" a="1"/>
  <c r="V390" i="61"/>
  <c r="R390" i="61" a="1"/>
  <c r="R390" i="61"/>
  <c r="N390" i="61" a="1"/>
  <c r="N390" i="61"/>
  <c r="J390" i="61" a="1"/>
  <c r="J390" i="61"/>
  <c r="I390" i="61" a="1"/>
  <c r="I390" i="61"/>
  <c r="BB389" i="61" a="1"/>
  <c r="BB389" i="61"/>
  <c r="AX389" i="61" a="1"/>
  <c r="AX389" i="61"/>
  <c r="AT389" i="61" a="1"/>
  <c r="AT389" i="61"/>
  <c r="AS389" i="61" a="1"/>
  <c r="AS389" i="61"/>
  <c r="AN389" i="61" a="1"/>
  <c r="AN389" i="61"/>
  <c r="AJ389" i="61" a="1"/>
  <c r="AJ389" i="61"/>
  <c r="AF389" i="61" a="1"/>
  <c r="AF389" i="61"/>
  <c r="AB389" i="61" a="1"/>
  <c r="AB389" i="61"/>
  <c r="AA389" i="61" a="1"/>
  <c r="AA389" i="61"/>
  <c r="V389" i="61" a="1"/>
  <c r="V389" i="61"/>
  <c r="R389" i="61" a="1"/>
  <c r="R389" i="61"/>
  <c r="N389" i="61" a="1"/>
  <c r="N389" i="61"/>
  <c r="J389" i="61" a="1"/>
  <c r="J389" i="61"/>
  <c r="I389" i="61" a="1"/>
  <c r="I389" i="61"/>
  <c r="BB388" i="61" a="1"/>
  <c r="BB388" i="61"/>
  <c r="AX388" i="61" a="1"/>
  <c r="AX388" i="61"/>
  <c r="AT388" i="61" a="1"/>
  <c r="AT388" i="61"/>
  <c r="AS388" i="61" a="1"/>
  <c r="AS388" i="61"/>
  <c r="AN388" i="61" a="1"/>
  <c r="AN388" i="61"/>
  <c r="AJ388" i="61" a="1"/>
  <c r="AJ388" i="61"/>
  <c r="AF388" i="61" a="1"/>
  <c r="AF388" i="61"/>
  <c r="AB388" i="61" a="1"/>
  <c r="AB388" i="61"/>
  <c r="AA388" i="61" a="1"/>
  <c r="AA388" i="61"/>
  <c r="V388" i="61" a="1"/>
  <c r="V388" i="61"/>
  <c r="R388" i="61" a="1"/>
  <c r="R388" i="61"/>
  <c r="N388" i="61" a="1"/>
  <c r="N388" i="61"/>
  <c r="J388" i="61" a="1"/>
  <c r="J388" i="61"/>
  <c r="I388" i="61" a="1"/>
  <c r="I388" i="61"/>
  <c r="BB387" i="61" a="1"/>
  <c r="BB387" i="61"/>
  <c r="AX387" i="61" a="1"/>
  <c r="AX387" i="61"/>
  <c r="AT387" i="61" a="1"/>
  <c r="AT387" i="61"/>
  <c r="AS387" i="61" a="1"/>
  <c r="AS387" i="61"/>
  <c r="AN387" i="61" a="1"/>
  <c r="AN387" i="61"/>
  <c r="AJ387" i="61" a="1"/>
  <c r="AJ387" i="61"/>
  <c r="AF387" i="61" a="1"/>
  <c r="AF387" i="61"/>
  <c r="AB387" i="61" a="1"/>
  <c r="AB387" i="61"/>
  <c r="AA387" i="61" a="1"/>
  <c r="AA387" i="61"/>
  <c r="V387" i="61" a="1"/>
  <c r="V387" i="61"/>
  <c r="R387" i="61" a="1"/>
  <c r="R387" i="61"/>
  <c r="N387" i="61" a="1"/>
  <c r="N387" i="61"/>
  <c r="J387" i="61" a="1"/>
  <c r="J387" i="61"/>
  <c r="I387" i="61" a="1"/>
  <c r="I387" i="61"/>
  <c r="BB386" i="61" a="1"/>
  <c r="BB386" i="61"/>
  <c r="AX386" i="61" a="1"/>
  <c r="AX386" i="61"/>
  <c r="AT386" i="61" a="1"/>
  <c r="AT386" i="61"/>
  <c r="AS386" i="61" a="1"/>
  <c r="AS386" i="61"/>
  <c r="AN386" i="61" a="1"/>
  <c r="AN386" i="61"/>
  <c r="AJ386" i="61" a="1"/>
  <c r="AJ386" i="61"/>
  <c r="AF386" i="61" a="1"/>
  <c r="AF386" i="61"/>
  <c r="AB386" i="61" a="1"/>
  <c r="AB386" i="61"/>
  <c r="AA386" i="61" a="1"/>
  <c r="AA386" i="61"/>
  <c r="V386" i="61" a="1"/>
  <c r="V386" i="61"/>
  <c r="R386" i="61" a="1"/>
  <c r="R386" i="61"/>
  <c r="N386" i="61" a="1"/>
  <c r="N386" i="61"/>
  <c r="J386" i="61" a="1"/>
  <c r="J386" i="61"/>
  <c r="I386" i="61" a="1"/>
  <c r="I386" i="61"/>
  <c r="BB385" i="61" a="1"/>
  <c r="BB385" i="61"/>
  <c r="AX385" i="61" a="1"/>
  <c r="AX385" i="61"/>
  <c r="AT385" i="61" a="1"/>
  <c r="AT385" i="61"/>
  <c r="AS385" i="61" a="1"/>
  <c r="AS385" i="61"/>
  <c r="AN385" i="61" a="1"/>
  <c r="AN385" i="61"/>
  <c r="AJ385" i="61" a="1"/>
  <c r="AJ385" i="61"/>
  <c r="AF385" i="61" a="1"/>
  <c r="AF385" i="61"/>
  <c r="AB385" i="61" a="1"/>
  <c r="AB385" i="61"/>
  <c r="AA385" i="61" a="1"/>
  <c r="AA385" i="61"/>
  <c r="V385" i="61" a="1"/>
  <c r="V385" i="61"/>
  <c r="R385" i="61" a="1"/>
  <c r="R385" i="61"/>
  <c r="N385" i="61" a="1"/>
  <c r="N385" i="61"/>
  <c r="J385" i="61" a="1"/>
  <c r="J385" i="61"/>
  <c r="I385" i="61" a="1"/>
  <c r="I385" i="61"/>
  <c r="BB384" i="61" a="1"/>
  <c r="BB384" i="61"/>
  <c r="AX384" i="61" a="1"/>
  <c r="AX384" i="61"/>
  <c r="AT384" i="61" a="1"/>
  <c r="AT384" i="61"/>
  <c r="AS384" i="61" a="1"/>
  <c r="AS384" i="61"/>
  <c r="AN384" i="61" a="1"/>
  <c r="AN384" i="61"/>
  <c r="AJ384" i="61" a="1"/>
  <c r="AJ384" i="61"/>
  <c r="AF384" i="61" a="1"/>
  <c r="AF384" i="61"/>
  <c r="AB384" i="61" a="1"/>
  <c r="AB384" i="61"/>
  <c r="AA384" i="61" a="1"/>
  <c r="AA384" i="61"/>
  <c r="V384" i="61" a="1"/>
  <c r="V384" i="61"/>
  <c r="R384" i="61" a="1"/>
  <c r="R384" i="61"/>
  <c r="N384" i="61" a="1"/>
  <c r="N384" i="61"/>
  <c r="J384" i="61" a="1"/>
  <c r="J384" i="61"/>
  <c r="I384" i="61" a="1"/>
  <c r="I384" i="61"/>
  <c r="BB383" i="61" a="1"/>
  <c r="BB383" i="61"/>
  <c r="AX383" i="61" a="1"/>
  <c r="AX383" i="61"/>
  <c r="AT383" i="61" a="1"/>
  <c r="AT383" i="61"/>
  <c r="AS383" i="61" a="1"/>
  <c r="AS383" i="61"/>
  <c r="AN383" i="61" a="1"/>
  <c r="AN383" i="61"/>
  <c r="AJ383" i="61" a="1"/>
  <c r="AJ383" i="61"/>
  <c r="AF383" i="61" a="1"/>
  <c r="AF383" i="61"/>
  <c r="AB383" i="61" a="1"/>
  <c r="AB383" i="61"/>
  <c r="AA383" i="61" a="1"/>
  <c r="AA383" i="61"/>
  <c r="V383" i="61" a="1"/>
  <c r="V383" i="61"/>
  <c r="R383" i="61" a="1"/>
  <c r="R383" i="61"/>
  <c r="N383" i="61" a="1"/>
  <c r="N383" i="61"/>
  <c r="J383" i="61" a="1"/>
  <c r="J383" i="61"/>
  <c r="I383" i="61" a="1"/>
  <c r="I383" i="61"/>
  <c r="BB382" i="61" a="1"/>
  <c r="BB382" i="61"/>
  <c r="AX382" i="61" a="1"/>
  <c r="AX382" i="61"/>
  <c r="AT382" i="61" a="1"/>
  <c r="AT382" i="61"/>
  <c r="AS382" i="61" a="1"/>
  <c r="AS382" i="61"/>
  <c r="AN382" i="61" a="1"/>
  <c r="AN382" i="61"/>
  <c r="AJ382" i="61" a="1"/>
  <c r="AJ382" i="61"/>
  <c r="AF382" i="61" a="1"/>
  <c r="AF382" i="61"/>
  <c r="AB382" i="61" a="1"/>
  <c r="AB382" i="61"/>
  <c r="AA382" i="61" a="1"/>
  <c r="AA382" i="61"/>
  <c r="V382" i="61" a="1"/>
  <c r="V382" i="61"/>
  <c r="R382" i="61" a="1"/>
  <c r="R382" i="61"/>
  <c r="N382" i="61" a="1"/>
  <c r="N382" i="61"/>
  <c r="J382" i="61" a="1"/>
  <c r="J382" i="61"/>
  <c r="I382" i="61" a="1"/>
  <c r="I382" i="61"/>
  <c r="BB381" i="61" a="1"/>
  <c r="BB381" i="61"/>
  <c r="AX381" i="61" a="1"/>
  <c r="AX381" i="61"/>
  <c r="AT381" i="61" a="1"/>
  <c r="AT381" i="61"/>
  <c r="AS381" i="61" a="1"/>
  <c r="AS381" i="61"/>
  <c r="AN381" i="61" a="1"/>
  <c r="AN381" i="61"/>
  <c r="AJ381" i="61" a="1"/>
  <c r="AJ381" i="61"/>
  <c r="AF381" i="61" a="1"/>
  <c r="AF381" i="61"/>
  <c r="AB381" i="61" a="1"/>
  <c r="AB381" i="61"/>
  <c r="AA381" i="61" a="1"/>
  <c r="AA381" i="61"/>
  <c r="V381" i="61" a="1"/>
  <c r="V381" i="61"/>
  <c r="R381" i="61" a="1"/>
  <c r="R381" i="61"/>
  <c r="N381" i="61" a="1"/>
  <c r="N381" i="61"/>
  <c r="J381" i="61" a="1"/>
  <c r="J381" i="61"/>
  <c r="I381" i="61" a="1"/>
  <c r="I381" i="61"/>
  <c r="BB380" i="61" a="1"/>
  <c r="BB380" i="61"/>
  <c r="AX380" i="61" a="1"/>
  <c r="AX380" i="61"/>
  <c r="AT380" i="61" a="1"/>
  <c r="AT380" i="61"/>
  <c r="AS380" i="61" a="1"/>
  <c r="AS380" i="61"/>
  <c r="AN380" i="61" a="1"/>
  <c r="AN380" i="61"/>
  <c r="AJ380" i="61" a="1"/>
  <c r="AJ380" i="61"/>
  <c r="AF380" i="61" a="1"/>
  <c r="AF380" i="61"/>
  <c r="AB380" i="61" a="1"/>
  <c r="AB380" i="61"/>
  <c r="AA380" i="61" a="1"/>
  <c r="AA380" i="61"/>
  <c r="V380" i="61" a="1"/>
  <c r="V380" i="61"/>
  <c r="R380" i="61" a="1"/>
  <c r="R380" i="61"/>
  <c r="N380" i="61" a="1"/>
  <c r="N380" i="61"/>
  <c r="J380" i="61" a="1"/>
  <c r="J380" i="61"/>
  <c r="I380" i="61" a="1"/>
  <c r="I380" i="61"/>
  <c r="BB379" i="61" a="1"/>
  <c r="BB379" i="61"/>
  <c r="AX379" i="61" a="1"/>
  <c r="AX379" i="61"/>
  <c r="AT379" i="61" a="1"/>
  <c r="AT379" i="61"/>
  <c r="AS379" i="61" a="1"/>
  <c r="AS379" i="61"/>
  <c r="AN379" i="61" a="1"/>
  <c r="AN379" i="61"/>
  <c r="AJ379" i="61" a="1"/>
  <c r="AJ379" i="61"/>
  <c r="AF379" i="61" a="1"/>
  <c r="AF379" i="61"/>
  <c r="AB379" i="61" a="1"/>
  <c r="AB379" i="61"/>
  <c r="AA379" i="61" a="1"/>
  <c r="AA379" i="61"/>
  <c r="V379" i="61" a="1"/>
  <c r="V379" i="61"/>
  <c r="R379" i="61" a="1"/>
  <c r="R379" i="61"/>
  <c r="N379" i="61" a="1"/>
  <c r="N379" i="61"/>
  <c r="J379" i="61" a="1"/>
  <c r="J379" i="61"/>
  <c r="I379" i="61" a="1"/>
  <c r="I379" i="61"/>
  <c r="BB378" i="61" a="1"/>
  <c r="BB378" i="61"/>
  <c r="AX378" i="61" a="1"/>
  <c r="AX378" i="61"/>
  <c r="AT378" i="61" a="1"/>
  <c r="AT378" i="61"/>
  <c r="AS378" i="61" a="1"/>
  <c r="AS378" i="61"/>
  <c r="AN378" i="61" a="1"/>
  <c r="AN378" i="61"/>
  <c r="AJ378" i="61" a="1"/>
  <c r="AJ378" i="61"/>
  <c r="AF378" i="61" a="1"/>
  <c r="AF378" i="61"/>
  <c r="AB378" i="61" a="1"/>
  <c r="AB378" i="61"/>
  <c r="AA378" i="61" a="1"/>
  <c r="AA378" i="61"/>
  <c r="V378" i="61" a="1"/>
  <c r="V378" i="61"/>
  <c r="R378" i="61" a="1"/>
  <c r="R378" i="61"/>
  <c r="N378" i="61" a="1"/>
  <c r="N378" i="61"/>
  <c r="J378" i="61" a="1"/>
  <c r="J378" i="61"/>
  <c r="I378" i="61" a="1"/>
  <c r="I378" i="61"/>
  <c r="BB377" i="61" a="1"/>
  <c r="BB377" i="61"/>
  <c r="AX377" i="61" a="1"/>
  <c r="AX377" i="61"/>
  <c r="AT377" i="61" a="1"/>
  <c r="AT377" i="61"/>
  <c r="AS377" i="61" a="1"/>
  <c r="AS377" i="61"/>
  <c r="AN377" i="61" a="1"/>
  <c r="AN377" i="61"/>
  <c r="AJ377" i="61" a="1"/>
  <c r="AJ377" i="61"/>
  <c r="AF377" i="61" a="1"/>
  <c r="AF377" i="61"/>
  <c r="AB377" i="61" a="1"/>
  <c r="AB377" i="61"/>
  <c r="AA377" i="61" a="1"/>
  <c r="AA377" i="61"/>
  <c r="V377" i="61" a="1"/>
  <c r="V377" i="61"/>
  <c r="R377" i="61" a="1"/>
  <c r="R377" i="61"/>
  <c r="N377" i="61" a="1"/>
  <c r="N377" i="61"/>
  <c r="J377" i="61" a="1"/>
  <c r="J377" i="61"/>
  <c r="I377" i="61" a="1"/>
  <c r="I377" i="61"/>
  <c r="BB376" i="61" a="1"/>
  <c r="BB376" i="61"/>
  <c r="AX376" i="61" a="1"/>
  <c r="AX376" i="61"/>
  <c r="AT376" i="61" a="1"/>
  <c r="AT376" i="61"/>
  <c r="AS376" i="61" a="1"/>
  <c r="AS376" i="61"/>
  <c r="AN376" i="61" a="1"/>
  <c r="AN376" i="61"/>
  <c r="AJ376" i="61" a="1"/>
  <c r="AJ376" i="61"/>
  <c r="AF376" i="61" a="1"/>
  <c r="AF376" i="61"/>
  <c r="AB376" i="61" a="1"/>
  <c r="AB376" i="61"/>
  <c r="AA376" i="61" a="1"/>
  <c r="AA376" i="61"/>
  <c r="V376" i="61" a="1"/>
  <c r="V376" i="61"/>
  <c r="R376" i="61" a="1"/>
  <c r="R376" i="61"/>
  <c r="N376" i="61" a="1"/>
  <c r="N376" i="61"/>
  <c r="J376" i="61" a="1"/>
  <c r="J376" i="61"/>
  <c r="I376" i="61" a="1"/>
  <c r="I376" i="61"/>
  <c r="BB375" i="61" a="1"/>
  <c r="BB375" i="61"/>
  <c r="AX375" i="61" a="1"/>
  <c r="AX375" i="61"/>
  <c r="AT375" i="61" a="1"/>
  <c r="AT375" i="61"/>
  <c r="AS375" i="61" a="1"/>
  <c r="AS375" i="61"/>
  <c r="AN375" i="61" a="1"/>
  <c r="AN375" i="61"/>
  <c r="AJ375" i="61" a="1"/>
  <c r="AJ375" i="61"/>
  <c r="AF375" i="61" a="1"/>
  <c r="AF375" i="61"/>
  <c r="AB375" i="61" a="1"/>
  <c r="AB375" i="61"/>
  <c r="AA375" i="61" a="1"/>
  <c r="AA375" i="61"/>
  <c r="V375" i="61" a="1"/>
  <c r="V375" i="61"/>
  <c r="R375" i="61" a="1"/>
  <c r="R375" i="61"/>
  <c r="N375" i="61" a="1"/>
  <c r="N375" i="61"/>
  <c r="J375" i="61" a="1"/>
  <c r="J375" i="61"/>
  <c r="I375" i="61" a="1"/>
  <c r="I375" i="61"/>
  <c r="BB374" i="61" a="1"/>
  <c r="BB374" i="61"/>
  <c r="AX374" i="61" a="1"/>
  <c r="AX374" i="61"/>
  <c r="AT374" i="61" a="1"/>
  <c r="AT374" i="61"/>
  <c r="AS374" i="61" a="1"/>
  <c r="AS374" i="61"/>
  <c r="AN374" i="61" a="1"/>
  <c r="AN374" i="61"/>
  <c r="AJ374" i="61" a="1"/>
  <c r="AJ374" i="61"/>
  <c r="AF374" i="61" a="1"/>
  <c r="AF374" i="61"/>
  <c r="AB374" i="61" a="1"/>
  <c r="AB374" i="61"/>
  <c r="AA374" i="61" a="1"/>
  <c r="AA374" i="61"/>
  <c r="V374" i="61" a="1"/>
  <c r="V374" i="61"/>
  <c r="R374" i="61" a="1"/>
  <c r="R374" i="61"/>
  <c r="N374" i="61" a="1"/>
  <c r="N374" i="61"/>
  <c r="J374" i="61" a="1"/>
  <c r="J374" i="61"/>
  <c r="I374" i="61" a="1"/>
  <c r="I374" i="61"/>
  <c r="BB373" i="61" a="1"/>
  <c r="BB373" i="61"/>
  <c r="AX373" i="61" a="1"/>
  <c r="AX373" i="61"/>
  <c r="AT373" i="61" a="1"/>
  <c r="AT373" i="61"/>
  <c r="AS373" i="61" a="1"/>
  <c r="AS373" i="61"/>
  <c r="AN373" i="61" a="1"/>
  <c r="AN373" i="61"/>
  <c r="AJ373" i="61" a="1"/>
  <c r="AJ373" i="61"/>
  <c r="AF373" i="61" a="1"/>
  <c r="AF373" i="61"/>
  <c r="AB373" i="61" a="1"/>
  <c r="AB373" i="61"/>
  <c r="AA373" i="61" a="1"/>
  <c r="AA373" i="61"/>
  <c r="V373" i="61" a="1"/>
  <c r="V373" i="61"/>
  <c r="R373" i="61" a="1"/>
  <c r="R373" i="61"/>
  <c r="N373" i="61" a="1"/>
  <c r="N373" i="61"/>
  <c r="J373" i="61" a="1"/>
  <c r="J373" i="61"/>
  <c r="I373" i="61" a="1"/>
  <c r="I373" i="61"/>
  <c r="BB372" i="61" a="1"/>
  <c r="BB372" i="61"/>
  <c r="AX372" i="61" a="1"/>
  <c r="AX372" i="61"/>
  <c r="AT372" i="61" a="1"/>
  <c r="AT372" i="61"/>
  <c r="AS372" i="61" a="1"/>
  <c r="AS372" i="61"/>
  <c r="AN372" i="61" a="1"/>
  <c r="AN372" i="61"/>
  <c r="AJ372" i="61" a="1"/>
  <c r="AJ372" i="61"/>
  <c r="AF372" i="61" a="1"/>
  <c r="AF372" i="61"/>
  <c r="AB372" i="61" a="1"/>
  <c r="AB372" i="61"/>
  <c r="AA372" i="61" a="1"/>
  <c r="AA372" i="61"/>
  <c r="V372" i="61" a="1"/>
  <c r="V372" i="61"/>
  <c r="R372" i="61" a="1"/>
  <c r="R372" i="61"/>
  <c r="N372" i="61" a="1"/>
  <c r="N372" i="61"/>
  <c r="J372" i="61" a="1"/>
  <c r="J372" i="61"/>
  <c r="I372" i="61" a="1"/>
  <c r="I372" i="61"/>
  <c r="BB371" i="61" a="1"/>
  <c r="BB371" i="61"/>
  <c r="AX371" i="61" a="1"/>
  <c r="AX371" i="61"/>
  <c r="AT371" i="61" a="1"/>
  <c r="AT371" i="61"/>
  <c r="AS371" i="61" a="1"/>
  <c r="AS371" i="61"/>
  <c r="AN371" i="61" a="1"/>
  <c r="AN371" i="61"/>
  <c r="AJ371" i="61" a="1"/>
  <c r="AJ371" i="61"/>
  <c r="AF371" i="61" a="1"/>
  <c r="AF371" i="61"/>
  <c r="AB371" i="61" a="1"/>
  <c r="AB371" i="61"/>
  <c r="AA371" i="61" a="1"/>
  <c r="AA371" i="61"/>
  <c r="V371" i="61" a="1"/>
  <c r="V371" i="61"/>
  <c r="R371" i="61" a="1"/>
  <c r="R371" i="61"/>
  <c r="N371" i="61" a="1"/>
  <c r="N371" i="61"/>
  <c r="J371" i="61" a="1"/>
  <c r="J371" i="61"/>
  <c r="I371" i="61" a="1"/>
  <c r="I371" i="61"/>
  <c r="BB370" i="61" a="1"/>
  <c r="BB370" i="61"/>
  <c r="AX370" i="61" a="1"/>
  <c r="AX370" i="61"/>
  <c r="AT370" i="61" a="1"/>
  <c r="AT370" i="61"/>
  <c r="AS370" i="61" a="1"/>
  <c r="AS370" i="61"/>
  <c r="AN370" i="61" a="1"/>
  <c r="AN370" i="61"/>
  <c r="AJ370" i="61" a="1"/>
  <c r="AJ370" i="61"/>
  <c r="AF370" i="61" a="1"/>
  <c r="AF370" i="61"/>
  <c r="AB370" i="61" a="1"/>
  <c r="AB370" i="61"/>
  <c r="AA370" i="61" a="1"/>
  <c r="AA370" i="61"/>
  <c r="V370" i="61" a="1"/>
  <c r="V370" i="61"/>
  <c r="R370" i="61" a="1"/>
  <c r="R370" i="61"/>
  <c r="N370" i="61" a="1"/>
  <c r="N370" i="61"/>
  <c r="J370" i="61" a="1"/>
  <c r="J370" i="61"/>
  <c r="I370" i="61" a="1"/>
  <c r="I370" i="61"/>
  <c r="BB369" i="61" a="1"/>
  <c r="BB369" i="61"/>
  <c r="AX369" i="61" a="1"/>
  <c r="AX369" i="61"/>
  <c r="AT369" i="61" a="1"/>
  <c r="AT369" i="61"/>
  <c r="AS369" i="61" a="1"/>
  <c r="AS369" i="61"/>
  <c r="AN369" i="61" a="1"/>
  <c r="AN369" i="61"/>
  <c r="AJ369" i="61" a="1"/>
  <c r="AJ369" i="61"/>
  <c r="AF369" i="61" a="1"/>
  <c r="AF369" i="61"/>
  <c r="AB369" i="61" a="1"/>
  <c r="AB369" i="61"/>
  <c r="AA369" i="61" a="1"/>
  <c r="AA369" i="61"/>
  <c r="V369" i="61" a="1"/>
  <c r="V369" i="61"/>
  <c r="R369" i="61" a="1"/>
  <c r="R369" i="61"/>
  <c r="N369" i="61" a="1"/>
  <c r="N369" i="61"/>
  <c r="J369" i="61" a="1"/>
  <c r="J369" i="61"/>
  <c r="I369" i="61" a="1"/>
  <c r="I369" i="61"/>
  <c r="BB368" i="61" a="1"/>
  <c r="BB368" i="61"/>
  <c r="AX368" i="61" a="1"/>
  <c r="AX368" i="61"/>
  <c r="AT368" i="61" a="1"/>
  <c r="AT368" i="61"/>
  <c r="AS368" i="61" a="1"/>
  <c r="AS368" i="61"/>
  <c r="AN368" i="61" a="1"/>
  <c r="AN368" i="61"/>
  <c r="AJ368" i="61" a="1"/>
  <c r="AJ368" i="61"/>
  <c r="AF368" i="61" a="1"/>
  <c r="AF368" i="61"/>
  <c r="AB368" i="61" a="1"/>
  <c r="AB368" i="61"/>
  <c r="AA368" i="61" a="1"/>
  <c r="AA368" i="61"/>
  <c r="V368" i="61" a="1"/>
  <c r="V368" i="61"/>
  <c r="R368" i="61" a="1"/>
  <c r="R368" i="61"/>
  <c r="N368" i="61" a="1"/>
  <c r="N368" i="61"/>
  <c r="J368" i="61" a="1"/>
  <c r="J368" i="61"/>
  <c r="I368" i="61" a="1"/>
  <c r="I368" i="61"/>
  <c r="BB367" i="61" a="1"/>
  <c r="BB367" i="61"/>
  <c r="AX367" i="61" a="1"/>
  <c r="AX367" i="61"/>
  <c r="AT367" i="61" a="1"/>
  <c r="AT367" i="61"/>
  <c r="AS367" i="61" a="1"/>
  <c r="AS367" i="61"/>
  <c r="AN367" i="61" a="1"/>
  <c r="AN367" i="61"/>
  <c r="AJ367" i="61" a="1"/>
  <c r="AJ367" i="61"/>
  <c r="AF367" i="61" a="1"/>
  <c r="AF367" i="61"/>
  <c r="AB367" i="61" a="1"/>
  <c r="AB367" i="61"/>
  <c r="AA367" i="61" a="1"/>
  <c r="AA367" i="61"/>
  <c r="V367" i="61" a="1"/>
  <c r="V367" i="61"/>
  <c r="R367" i="61" a="1"/>
  <c r="R367" i="61"/>
  <c r="N367" i="61" a="1"/>
  <c r="N367" i="61"/>
  <c r="J367" i="61" a="1"/>
  <c r="J367" i="61"/>
  <c r="I367" i="61" a="1"/>
  <c r="I367" i="61"/>
  <c r="BB366" i="61" a="1"/>
  <c r="BB366" i="61"/>
  <c r="AX366" i="61" a="1"/>
  <c r="AX366" i="61"/>
  <c r="AT366" i="61" a="1"/>
  <c r="AT366" i="61"/>
  <c r="AS366" i="61" a="1"/>
  <c r="AS366" i="61"/>
  <c r="AN366" i="61" a="1"/>
  <c r="AN366" i="61"/>
  <c r="AJ366" i="61" a="1"/>
  <c r="AJ366" i="61"/>
  <c r="AF366" i="61" a="1"/>
  <c r="AF366" i="61"/>
  <c r="AB366" i="61" a="1"/>
  <c r="AB366" i="61"/>
  <c r="AA366" i="61" a="1"/>
  <c r="AA366" i="61"/>
  <c r="V366" i="61" a="1"/>
  <c r="V366" i="61"/>
  <c r="R366" i="61" a="1"/>
  <c r="R366" i="61"/>
  <c r="N366" i="61" a="1"/>
  <c r="N366" i="61"/>
  <c r="J366" i="61" a="1"/>
  <c r="J366" i="61"/>
  <c r="I366" i="61" a="1"/>
  <c r="I366" i="61"/>
  <c r="BB365" i="61" a="1"/>
  <c r="BB365" i="61"/>
  <c r="AX365" i="61" a="1"/>
  <c r="AX365" i="61"/>
  <c r="AT365" i="61" a="1"/>
  <c r="AT365" i="61"/>
  <c r="AS365" i="61" a="1"/>
  <c r="AS365" i="61"/>
  <c r="AN365" i="61" a="1"/>
  <c r="AN365" i="61"/>
  <c r="AJ365" i="61" a="1"/>
  <c r="AJ365" i="61"/>
  <c r="AF365" i="61" a="1"/>
  <c r="AF365" i="61"/>
  <c r="AB365" i="61" a="1"/>
  <c r="AB365" i="61"/>
  <c r="AA365" i="61" a="1"/>
  <c r="AA365" i="61"/>
  <c r="V365" i="61" a="1"/>
  <c r="V365" i="61"/>
  <c r="R365" i="61" a="1"/>
  <c r="R365" i="61"/>
  <c r="N365" i="61" a="1"/>
  <c r="N365" i="61"/>
  <c r="J365" i="61" a="1"/>
  <c r="J365" i="61"/>
  <c r="I365" i="61" a="1"/>
  <c r="I365" i="61"/>
  <c r="BB364" i="61" a="1"/>
  <c r="BB364" i="61"/>
  <c r="AX364" i="61" a="1"/>
  <c r="AX364" i="61"/>
  <c r="AT364" i="61" a="1"/>
  <c r="AT364" i="61"/>
  <c r="AS364" i="61" a="1"/>
  <c r="AS364" i="61"/>
  <c r="AN364" i="61" a="1"/>
  <c r="AN364" i="61"/>
  <c r="AJ364" i="61" a="1"/>
  <c r="AJ364" i="61"/>
  <c r="AF364" i="61" a="1"/>
  <c r="AF364" i="61"/>
  <c r="AB364" i="61" a="1"/>
  <c r="AB364" i="61"/>
  <c r="AA364" i="61" a="1"/>
  <c r="AA364" i="61"/>
  <c r="V364" i="61" a="1"/>
  <c r="V364" i="61"/>
  <c r="R364" i="61" a="1"/>
  <c r="R364" i="61"/>
  <c r="N364" i="61" a="1"/>
  <c r="N364" i="61"/>
  <c r="J364" i="61" a="1"/>
  <c r="J364" i="61"/>
  <c r="I364" i="61" a="1"/>
  <c r="I364" i="61"/>
  <c r="BB363" i="61" a="1"/>
  <c r="BB363" i="61"/>
  <c r="AX363" i="61" a="1"/>
  <c r="AX363" i="61"/>
  <c r="AT363" i="61" a="1"/>
  <c r="AT363" i="61"/>
  <c r="AS363" i="61" a="1"/>
  <c r="AS363" i="61"/>
  <c r="AN363" i="61" a="1"/>
  <c r="AN363" i="61"/>
  <c r="AJ363" i="61" a="1"/>
  <c r="AJ363" i="61"/>
  <c r="AF363" i="61" a="1"/>
  <c r="AF363" i="61"/>
  <c r="AB363" i="61" a="1"/>
  <c r="AB363" i="61"/>
  <c r="AA363" i="61" a="1"/>
  <c r="AA363" i="61"/>
  <c r="V363" i="61" a="1"/>
  <c r="V363" i="61"/>
  <c r="R363" i="61" a="1"/>
  <c r="R363" i="61"/>
  <c r="N363" i="61" a="1"/>
  <c r="N363" i="61"/>
  <c r="J363" i="61" a="1"/>
  <c r="J363" i="61"/>
  <c r="I363" i="61" a="1"/>
  <c r="I363" i="61"/>
  <c r="BB362" i="61" a="1"/>
  <c r="BB362" i="61"/>
  <c r="AX362" i="61" a="1"/>
  <c r="AX362" i="61"/>
  <c r="AT362" i="61" a="1"/>
  <c r="AT362" i="61"/>
  <c r="AS362" i="61" a="1"/>
  <c r="AS362" i="61"/>
  <c r="AN362" i="61" a="1"/>
  <c r="AN362" i="61"/>
  <c r="AJ362" i="61" a="1"/>
  <c r="AJ362" i="61"/>
  <c r="AF362" i="61" a="1"/>
  <c r="AF362" i="61"/>
  <c r="AB362" i="61" a="1"/>
  <c r="AB362" i="61"/>
  <c r="AA362" i="61" a="1"/>
  <c r="AA362" i="61"/>
  <c r="V362" i="61" a="1"/>
  <c r="V362" i="61"/>
  <c r="R362" i="61" a="1"/>
  <c r="R362" i="61"/>
  <c r="N362" i="61" a="1"/>
  <c r="N362" i="61"/>
  <c r="J362" i="61" a="1"/>
  <c r="J362" i="61"/>
  <c r="I362" i="61" a="1"/>
  <c r="I362" i="61"/>
  <c r="BB361" i="61" a="1"/>
  <c r="BB361" i="61"/>
  <c r="AX361" i="61" a="1"/>
  <c r="AX361" i="61"/>
  <c r="AT361" i="61" a="1"/>
  <c r="AT361" i="61"/>
  <c r="AS361" i="61" a="1"/>
  <c r="AS361" i="61"/>
  <c r="AN361" i="61" a="1"/>
  <c r="AN361" i="61"/>
  <c r="AJ361" i="61" a="1"/>
  <c r="AJ361" i="61"/>
  <c r="AF361" i="61" a="1"/>
  <c r="AF361" i="61"/>
  <c r="AB361" i="61" a="1"/>
  <c r="AB361" i="61"/>
  <c r="AA361" i="61" a="1"/>
  <c r="AA361" i="61"/>
  <c r="V361" i="61" a="1"/>
  <c r="V361" i="61"/>
  <c r="R361" i="61" a="1"/>
  <c r="R361" i="61"/>
  <c r="N361" i="61" a="1"/>
  <c r="N361" i="61"/>
  <c r="J361" i="61" a="1"/>
  <c r="J361" i="61"/>
  <c r="I361" i="61" a="1"/>
  <c r="I361" i="61"/>
  <c r="BB360" i="61" a="1"/>
  <c r="BB360" i="61"/>
  <c r="AX360" i="61" a="1"/>
  <c r="AX360" i="61"/>
  <c r="AT360" i="61" a="1"/>
  <c r="AT360" i="61"/>
  <c r="AS360" i="61" a="1"/>
  <c r="AS360" i="61"/>
  <c r="AN360" i="61" a="1"/>
  <c r="AN360" i="61"/>
  <c r="AJ360" i="61" a="1"/>
  <c r="AJ360" i="61"/>
  <c r="AF360" i="61" a="1"/>
  <c r="AF360" i="61"/>
  <c r="AB360" i="61" a="1"/>
  <c r="AB360" i="61"/>
  <c r="AA360" i="61" a="1"/>
  <c r="AA360" i="61"/>
  <c r="V360" i="61" a="1"/>
  <c r="V360" i="61"/>
  <c r="R360" i="61" a="1"/>
  <c r="R360" i="61"/>
  <c r="N360" i="61" a="1"/>
  <c r="N360" i="61"/>
  <c r="J360" i="61" a="1"/>
  <c r="J360" i="61"/>
  <c r="I360" i="61" a="1"/>
  <c r="I360" i="61"/>
  <c r="BB359" i="61" a="1"/>
  <c r="BB359" i="61"/>
  <c r="AX359" i="61" a="1"/>
  <c r="AX359" i="61"/>
  <c r="AT359" i="61" a="1"/>
  <c r="AT359" i="61"/>
  <c r="AS359" i="61" a="1"/>
  <c r="AS359" i="61"/>
  <c r="AN359" i="61" a="1"/>
  <c r="AN359" i="61"/>
  <c r="AJ359" i="61" a="1"/>
  <c r="AJ359" i="61"/>
  <c r="AF359" i="61" a="1"/>
  <c r="AF359" i="61"/>
  <c r="AB359" i="61" a="1"/>
  <c r="AB359" i="61"/>
  <c r="AA359" i="61" a="1"/>
  <c r="AA359" i="61"/>
  <c r="V359" i="61" a="1"/>
  <c r="V359" i="61"/>
  <c r="R359" i="61" a="1"/>
  <c r="R359" i="61"/>
  <c r="N359" i="61" a="1"/>
  <c r="N359" i="61"/>
  <c r="J359" i="61" a="1"/>
  <c r="J359" i="61"/>
  <c r="I359" i="61" a="1"/>
  <c r="I359" i="61"/>
  <c r="BB358" i="61" a="1"/>
  <c r="BB358" i="61"/>
  <c r="AX358" i="61" a="1"/>
  <c r="AX358" i="61"/>
  <c r="AT358" i="61" a="1"/>
  <c r="AT358" i="61"/>
  <c r="AS358" i="61" a="1"/>
  <c r="AS358" i="61"/>
  <c r="AN358" i="61" a="1"/>
  <c r="AN358" i="61"/>
  <c r="AJ358" i="61" a="1"/>
  <c r="AJ358" i="61"/>
  <c r="AF358" i="61" a="1"/>
  <c r="AF358" i="61"/>
  <c r="AB358" i="61" a="1"/>
  <c r="AB358" i="61"/>
  <c r="AA358" i="61" a="1"/>
  <c r="AA358" i="61"/>
  <c r="V358" i="61" a="1"/>
  <c r="V358" i="61"/>
  <c r="R358" i="61" a="1"/>
  <c r="R358" i="61"/>
  <c r="N358" i="61" a="1"/>
  <c r="N358" i="61"/>
  <c r="J358" i="61" a="1"/>
  <c r="J358" i="61"/>
  <c r="I358" i="61" a="1"/>
  <c r="I358" i="61"/>
  <c r="BB357" i="61" a="1"/>
  <c r="BB357" i="61"/>
  <c r="AX357" i="61" a="1"/>
  <c r="AX357" i="61"/>
  <c r="AT357" i="61" a="1"/>
  <c r="AT357" i="61"/>
  <c r="AS357" i="61" a="1"/>
  <c r="AS357" i="61"/>
  <c r="AN357" i="61" a="1"/>
  <c r="AN357" i="61"/>
  <c r="AJ357" i="61" a="1"/>
  <c r="AJ357" i="61"/>
  <c r="AF357" i="61" a="1"/>
  <c r="AF357" i="61"/>
  <c r="AB357" i="61" a="1"/>
  <c r="AB357" i="61"/>
  <c r="AA357" i="61" a="1"/>
  <c r="AA357" i="61"/>
  <c r="V357" i="61" a="1"/>
  <c r="V357" i="61"/>
  <c r="R357" i="61" a="1"/>
  <c r="R357" i="61"/>
  <c r="N357" i="61" a="1"/>
  <c r="N357" i="61"/>
  <c r="J357" i="61" a="1"/>
  <c r="J357" i="61"/>
  <c r="I357" i="61" a="1"/>
  <c r="I357" i="61"/>
  <c r="BB356" i="61" a="1"/>
  <c r="BB356" i="61"/>
  <c r="AX356" i="61" a="1"/>
  <c r="AX356" i="61"/>
  <c r="AT356" i="61" a="1"/>
  <c r="AT356" i="61"/>
  <c r="AS356" i="61" a="1"/>
  <c r="AS356" i="61"/>
  <c r="AN356" i="61" a="1"/>
  <c r="AN356" i="61"/>
  <c r="AJ356" i="61" a="1"/>
  <c r="AJ356" i="61"/>
  <c r="AF356" i="61" a="1"/>
  <c r="AF356" i="61"/>
  <c r="AB356" i="61" a="1"/>
  <c r="AB356" i="61"/>
  <c r="AA356" i="61" a="1"/>
  <c r="AA356" i="61"/>
  <c r="V356" i="61" a="1"/>
  <c r="V356" i="61"/>
  <c r="R356" i="61" a="1"/>
  <c r="R356" i="61"/>
  <c r="N356" i="61" a="1"/>
  <c r="N356" i="61"/>
  <c r="J356" i="61" a="1"/>
  <c r="J356" i="61"/>
  <c r="I356" i="61" a="1"/>
  <c r="I356" i="61"/>
  <c r="BB355" i="61" a="1"/>
  <c r="BB355" i="61"/>
  <c r="AX355" i="61" a="1"/>
  <c r="AX355" i="61"/>
  <c r="AT355" i="61" a="1"/>
  <c r="AT355" i="61"/>
  <c r="AS355" i="61" a="1"/>
  <c r="AS355" i="61"/>
  <c r="AN355" i="61" a="1"/>
  <c r="AN355" i="61"/>
  <c r="AJ355" i="61" a="1"/>
  <c r="AJ355" i="61"/>
  <c r="AF355" i="61" a="1"/>
  <c r="AF355" i="61"/>
  <c r="AB355" i="61" a="1"/>
  <c r="AB355" i="61"/>
  <c r="AA355" i="61" a="1"/>
  <c r="AA355" i="61"/>
  <c r="V355" i="61" a="1"/>
  <c r="V355" i="61"/>
  <c r="R355" i="61" a="1"/>
  <c r="R355" i="61"/>
  <c r="N355" i="61" a="1"/>
  <c r="N355" i="61"/>
  <c r="J355" i="61" a="1"/>
  <c r="J355" i="61"/>
  <c r="I355" i="61" a="1"/>
  <c r="I355" i="61"/>
  <c r="BB354" i="61" a="1"/>
  <c r="BB354" i="61"/>
  <c r="AX354" i="61" a="1"/>
  <c r="AX354" i="61"/>
  <c r="AT354" i="61" a="1"/>
  <c r="AT354" i="61"/>
  <c r="AS354" i="61" a="1"/>
  <c r="AS354" i="61"/>
  <c r="AN354" i="61" a="1"/>
  <c r="AN354" i="61"/>
  <c r="AJ354" i="61" a="1"/>
  <c r="AJ354" i="61"/>
  <c r="AF354" i="61" a="1"/>
  <c r="AF354" i="61"/>
  <c r="AB354" i="61" a="1"/>
  <c r="AB354" i="61"/>
  <c r="AA354" i="61" a="1"/>
  <c r="AA354" i="61"/>
  <c r="V354" i="61" a="1"/>
  <c r="V354" i="61"/>
  <c r="R354" i="61" a="1"/>
  <c r="R354" i="61"/>
  <c r="N354" i="61" a="1"/>
  <c r="N354" i="61"/>
  <c r="J354" i="61" a="1"/>
  <c r="J354" i="61"/>
  <c r="I354" i="61" a="1"/>
  <c r="I354" i="61"/>
  <c r="BB353" i="61" a="1"/>
  <c r="BB353" i="61"/>
  <c r="AX353" i="61" a="1"/>
  <c r="AX353" i="61"/>
  <c r="AT353" i="61" a="1"/>
  <c r="AT353" i="61"/>
  <c r="AS353" i="61" a="1"/>
  <c r="AS353" i="61"/>
  <c r="AN353" i="61" a="1"/>
  <c r="AN353" i="61"/>
  <c r="AJ353" i="61" a="1"/>
  <c r="AJ353" i="61"/>
  <c r="AF353" i="61" a="1"/>
  <c r="AF353" i="61"/>
  <c r="AB353" i="61" a="1"/>
  <c r="AB353" i="61"/>
  <c r="AA353" i="61" a="1"/>
  <c r="AA353" i="61"/>
  <c r="V353" i="61" a="1"/>
  <c r="V353" i="61"/>
  <c r="R353" i="61" a="1"/>
  <c r="R353" i="61"/>
  <c r="N353" i="61" a="1"/>
  <c r="N353" i="61"/>
  <c r="J353" i="61" a="1"/>
  <c r="J353" i="61"/>
  <c r="I353" i="61" a="1"/>
  <c r="I353" i="61"/>
  <c r="BB352" i="61" a="1"/>
  <c r="BB352" i="61"/>
  <c r="AX352" i="61" a="1"/>
  <c r="AX352" i="61"/>
  <c r="AT352" i="61" a="1"/>
  <c r="AT352" i="61"/>
  <c r="AS352" i="61" a="1"/>
  <c r="AS352" i="61"/>
  <c r="AN352" i="61" a="1"/>
  <c r="AN352" i="61"/>
  <c r="AJ352" i="61" a="1"/>
  <c r="AJ352" i="61"/>
  <c r="AF352" i="61" a="1"/>
  <c r="AF352" i="61"/>
  <c r="AB352" i="61" a="1"/>
  <c r="AB352" i="61"/>
  <c r="AA352" i="61" a="1"/>
  <c r="AA352" i="61"/>
  <c r="V352" i="61" a="1"/>
  <c r="V352" i="61"/>
  <c r="R352" i="61" a="1"/>
  <c r="R352" i="61"/>
  <c r="N352" i="61" a="1"/>
  <c r="N352" i="61"/>
  <c r="J352" i="61" a="1"/>
  <c r="J352" i="61"/>
  <c r="I352" i="61" a="1"/>
  <c r="I352" i="61"/>
  <c r="BB351" i="61" a="1"/>
  <c r="BB351" i="61"/>
  <c r="AX351" i="61" a="1"/>
  <c r="AX351" i="61"/>
  <c r="AT351" i="61" a="1"/>
  <c r="AT351" i="61"/>
  <c r="AS351" i="61" a="1"/>
  <c r="AS351" i="61"/>
  <c r="AN351" i="61" a="1"/>
  <c r="AN351" i="61"/>
  <c r="AJ351" i="61" a="1"/>
  <c r="AJ351" i="61"/>
  <c r="AF351" i="61" a="1"/>
  <c r="AF351" i="61"/>
  <c r="AB351" i="61" a="1"/>
  <c r="AB351" i="61"/>
  <c r="AA351" i="61" a="1"/>
  <c r="AA351" i="61"/>
  <c r="V351" i="61" a="1"/>
  <c r="V351" i="61"/>
  <c r="R351" i="61" a="1"/>
  <c r="R351" i="61"/>
  <c r="N351" i="61" a="1"/>
  <c r="N351" i="61"/>
  <c r="J351" i="61" a="1"/>
  <c r="J351" i="61"/>
  <c r="I351" i="61" a="1"/>
  <c r="I351" i="61"/>
  <c r="BB350" i="61" a="1"/>
  <c r="BB350" i="61"/>
  <c r="AX350" i="61" a="1"/>
  <c r="AX350" i="61"/>
  <c r="AT350" i="61" a="1"/>
  <c r="AT350" i="61"/>
  <c r="AS350" i="61" a="1"/>
  <c r="AS350" i="61"/>
  <c r="AN350" i="61" a="1"/>
  <c r="AN350" i="61"/>
  <c r="AJ350" i="61" a="1"/>
  <c r="AJ350" i="61"/>
  <c r="AF350" i="61" a="1"/>
  <c r="AF350" i="61"/>
  <c r="AB350" i="61" a="1"/>
  <c r="AB350" i="61"/>
  <c r="AA350" i="61" a="1"/>
  <c r="AA350" i="61"/>
  <c r="V350" i="61" a="1"/>
  <c r="V350" i="61"/>
  <c r="R350" i="61" a="1"/>
  <c r="R350" i="61"/>
  <c r="N350" i="61" a="1"/>
  <c r="N350" i="61"/>
  <c r="J350" i="61" a="1"/>
  <c r="J350" i="61"/>
  <c r="I350" i="61" a="1"/>
  <c r="I350" i="61"/>
  <c r="BB349" i="61" a="1"/>
  <c r="BB349" i="61"/>
  <c r="AX349" i="61" a="1"/>
  <c r="AX349" i="61"/>
  <c r="AT349" i="61" a="1"/>
  <c r="AT349" i="61"/>
  <c r="AS349" i="61" a="1"/>
  <c r="AS349" i="61"/>
  <c r="AN349" i="61" a="1"/>
  <c r="AN349" i="61"/>
  <c r="AJ349" i="61" a="1"/>
  <c r="AJ349" i="61"/>
  <c r="AF349" i="61" a="1"/>
  <c r="AF349" i="61"/>
  <c r="AB349" i="61" a="1"/>
  <c r="AB349" i="61"/>
  <c r="AA349" i="61" a="1"/>
  <c r="AA349" i="61"/>
  <c r="V349" i="61" a="1"/>
  <c r="V349" i="61"/>
  <c r="R349" i="61" a="1"/>
  <c r="R349" i="61"/>
  <c r="N349" i="61" a="1"/>
  <c r="N349" i="61"/>
  <c r="J349" i="61" a="1"/>
  <c r="J349" i="61"/>
  <c r="I349" i="61" a="1"/>
  <c r="I349" i="61"/>
  <c r="BB346" i="61" a="1"/>
  <c r="BB346" i="61"/>
  <c r="AX346" i="61" a="1"/>
  <c r="AX346" i="61"/>
  <c r="AT346" i="61" a="1"/>
  <c r="AT346" i="61"/>
  <c r="AS346" i="61" a="1"/>
  <c r="AS346" i="61"/>
  <c r="AN346" i="61" a="1"/>
  <c r="AN346" i="61"/>
  <c r="AJ346" i="61" a="1"/>
  <c r="AJ346" i="61"/>
  <c r="AF346" i="61" a="1"/>
  <c r="AF346" i="61"/>
  <c r="AB346" i="61" a="1"/>
  <c r="AB346" i="61"/>
  <c r="AA346" i="61" a="1"/>
  <c r="AA346" i="61"/>
  <c r="V346" i="61" a="1"/>
  <c r="V346" i="61"/>
  <c r="R346" i="61" a="1"/>
  <c r="R346" i="61"/>
  <c r="N346" i="61" a="1"/>
  <c r="N346" i="61"/>
  <c r="J346" i="61" a="1"/>
  <c r="J346" i="61"/>
  <c r="I346" i="61" a="1"/>
  <c r="I346" i="61"/>
  <c r="BB345" i="61" a="1"/>
  <c r="BB345" i="61"/>
  <c r="AX345" i="61" a="1"/>
  <c r="AX345" i="61"/>
  <c r="AT345" i="61" a="1"/>
  <c r="AT345" i="61"/>
  <c r="AS345" i="61" a="1"/>
  <c r="AS345" i="61"/>
  <c r="AN345" i="61" a="1"/>
  <c r="AN345" i="61"/>
  <c r="AJ345" i="61" a="1"/>
  <c r="AJ345" i="61"/>
  <c r="AF345" i="61" a="1"/>
  <c r="AF345" i="61"/>
  <c r="AB345" i="61" a="1"/>
  <c r="AB345" i="61"/>
  <c r="AA345" i="61" a="1"/>
  <c r="AA345" i="61"/>
  <c r="V345" i="61" a="1"/>
  <c r="V345" i="61"/>
  <c r="R345" i="61" a="1"/>
  <c r="R345" i="61"/>
  <c r="N345" i="61" a="1"/>
  <c r="N345" i="61"/>
  <c r="J345" i="61" a="1"/>
  <c r="J345" i="61"/>
  <c r="I345" i="61" a="1"/>
  <c r="I345" i="61"/>
  <c r="BB341" i="61" a="1"/>
  <c r="BB341" i="61"/>
  <c r="AX341" i="61" a="1"/>
  <c r="AX341" i="61"/>
  <c r="AT341" i="61" a="1"/>
  <c r="AT341" i="61"/>
  <c r="AS341" i="61" a="1"/>
  <c r="AS341" i="61"/>
  <c r="AN341" i="61" a="1"/>
  <c r="AN341" i="61"/>
  <c r="AJ341" i="61" a="1"/>
  <c r="AJ341" i="61"/>
  <c r="AF341" i="61" a="1"/>
  <c r="AF341" i="61"/>
  <c r="AB341" i="61" a="1"/>
  <c r="AB341" i="61"/>
  <c r="AA341" i="61" a="1"/>
  <c r="AA341" i="61"/>
  <c r="V341" i="61" a="1"/>
  <c r="V341" i="61"/>
  <c r="R341" i="61" a="1"/>
  <c r="R341" i="61"/>
  <c r="N341" i="61" a="1"/>
  <c r="N341" i="61"/>
  <c r="J341" i="61" a="1"/>
  <c r="J341" i="61"/>
  <c r="I341" i="61" a="1"/>
  <c r="I341" i="61"/>
  <c r="BB340" i="61" a="1"/>
  <c r="BB340" i="61"/>
  <c r="AX340" i="61" a="1"/>
  <c r="AX340" i="61"/>
  <c r="AT340" i="61" a="1"/>
  <c r="AT340" i="61"/>
  <c r="AS340" i="61" a="1"/>
  <c r="AS340" i="61"/>
  <c r="AN340" i="61" a="1"/>
  <c r="AN340" i="61"/>
  <c r="AJ340" i="61" a="1"/>
  <c r="AJ340" i="61"/>
  <c r="AF340" i="61" a="1"/>
  <c r="AF340" i="61"/>
  <c r="AB340" i="61" a="1"/>
  <c r="AB340" i="61"/>
  <c r="AA340" i="61" a="1"/>
  <c r="AA340" i="61"/>
  <c r="V340" i="61" a="1"/>
  <c r="V340" i="61"/>
  <c r="R340" i="61" a="1"/>
  <c r="R340" i="61"/>
  <c r="N340" i="61" a="1"/>
  <c r="N340" i="61"/>
  <c r="J340" i="61" a="1"/>
  <c r="J340" i="61"/>
  <c r="I340" i="61" a="1"/>
  <c r="I340" i="61"/>
  <c r="BB339" i="61" a="1"/>
  <c r="BB339" i="61"/>
  <c r="AX339" i="61" a="1"/>
  <c r="AX339" i="61"/>
  <c r="AT339" i="61" a="1"/>
  <c r="AT339" i="61"/>
  <c r="AS339" i="61" a="1"/>
  <c r="AS339" i="61"/>
  <c r="AN339" i="61" a="1"/>
  <c r="AN339" i="61"/>
  <c r="AJ339" i="61" a="1"/>
  <c r="AJ339" i="61"/>
  <c r="AF339" i="61" a="1"/>
  <c r="AF339" i="61"/>
  <c r="AB339" i="61" a="1"/>
  <c r="AB339" i="61"/>
  <c r="AA339" i="61" a="1"/>
  <c r="AA339" i="61"/>
  <c r="V339" i="61" a="1"/>
  <c r="V339" i="61"/>
  <c r="R339" i="61" a="1"/>
  <c r="R339" i="61"/>
  <c r="N339" i="61" a="1"/>
  <c r="N339" i="61"/>
  <c r="J339" i="61" a="1"/>
  <c r="J339" i="61"/>
  <c r="I339" i="61" a="1"/>
  <c r="I339" i="61"/>
  <c r="BB338" i="61" a="1"/>
  <c r="BB338" i="61"/>
  <c r="AX338" i="61" a="1"/>
  <c r="AX338" i="61"/>
  <c r="AT338" i="61" a="1"/>
  <c r="AT338" i="61"/>
  <c r="AS338" i="61" a="1"/>
  <c r="AS338" i="61"/>
  <c r="AN338" i="61" a="1"/>
  <c r="AN338" i="61"/>
  <c r="AJ338" i="61" a="1"/>
  <c r="AJ338" i="61"/>
  <c r="AF338" i="61" a="1"/>
  <c r="AF338" i="61"/>
  <c r="AB338" i="61" a="1"/>
  <c r="AB338" i="61"/>
  <c r="AA338" i="61" a="1"/>
  <c r="AA338" i="61"/>
  <c r="V338" i="61" a="1"/>
  <c r="V338" i="61"/>
  <c r="R338" i="61" a="1"/>
  <c r="R338" i="61"/>
  <c r="N338" i="61" a="1"/>
  <c r="N338" i="61"/>
  <c r="J338" i="61" a="1"/>
  <c r="J338" i="61"/>
  <c r="I338" i="61" a="1"/>
  <c r="I338" i="61"/>
  <c r="BB337" i="61" a="1"/>
  <c r="BB337" i="61"/>
  <c r="AX337" i="61" a="1"/>
  <c r="AX337" i="61"/>
  <c r="AT337" i="61" a="1"/>
  <c r="AT337" i="61"/>
  <c r="AS337" i="61" a="1"/>
  <c r="AS337" i="61"/>
  <c r="AN337" i="61" a="1"/>
  <c r="AN337" i="61"/>
  <c r="AJ337" i="61" a="1"/>
  <c r="AJ337" i="61"/>
  <c r="AF337" i="61" a="1"/>
  <c r="AF337" i="61"/>
  <c r="AB337" i="61" a="1"/>
  <c r="AB337" i="61"/>
  <c r="AA337" i="61" a="1"/>
  <c r="AA337" i="61"/>
  <c r="V337" i="61" a="1"/>
  <c r="V337" i="61"/>
  <c r="R337" i="61" a="1"/>
  <c r="R337" i="61"/>
  <c r="N337" i="61" a="1"/>
  <c r="N337" i="61"/>
  <c r="J337" i="61" a="1"/>
  <c r="J337" i="61"/>
  <c r="I337" i="61" a="1"/>
  <c r="I337" i="61"/>
  <c r="BB336" i="61" a="1"/>
  <c r="BB336" i="61"/>
  <c r="AX336" i="61" a="1"/>
  <c r="AX336" i="61"/>
  <c r="AT336" i="61" a="1"/>
  <c r="AT336" i="61"/>
  <c r="AS336" i="61" a="1"/>
  <c r="AS336" i="61"/>
  <c r="AN336" i="61" a="1"/>
  <c r="AN336" i="61"/>
  <c r="AJ336" i="61" a="1"/>
  <c r="AJ336" i="61"/>
  <c r="AF336" i="61" a="1"/>
  <c r="AF336" i="61"/>
  <c r="AB336" i="61" a="1"/>
  <c r="AB336" i="61"/>
  <c r="AA336" i="61" a="1"/>
  <c r="AA336" i="61"/>
  <c r="V336" i="61" a="1"/>
  <c r="V336" i="61"/>
  <c r="R336" i="61" a="1"/>
  <c r="R336" i="61"/>
  <c r="N336" i="61" a="1"/>
  <c r="N336" i="61"/>
  <c r="J336" i="61" a="1"/>
  <c r="J336" i="61"/>
  <c r="I336" i="61" a="1"/>
  <c r="I336" i="61"/>
  <c r="BB333" i="61" a="1"/>
  <c r="BB333" i="61"/>
  <c r="AX333" i="61" a="1"/>
  <c r="AX333" i="61"/>
  <c r="AT333" i="61" a="1"/>
  <c r="AT333" i="61"/>
  <c r="AS333" i="61" a="1"/>
  <c r="AS333" i="61"/>
  <c r="AN333" i="61" a="1"/>
  <c r="AN333" i="61"/>
  <c r="AJ333" i="61" a="1"/>
  <c r="AJ333" i="61"/>
  <c r="AF333" i="61" a="1"/>
  <c r="AF333" i="61"/>
  <c r="AB333" i="61" a="1"/>
  <c r="AB333" i="61"/>
  <c r="AA333" i="61" a="1"/>
  <c r="AA333" i="61"/>
  <c r="V333" i="61" a="1"/>
  <c r="V333" i="61"/>
  <c r="R333" i="61" a="1"/>
  <c r="R333" i="61"/>
  <c r="N333" i="61" a="1"/>
  <c r="N333" i="61"/>
  <c r="J333" i="61" a="1"/>
  <c r="J333" i="61"/>
  <c r="I333" i="61" a="1"/>
  <c r="I333" i="61"/>
  <c r="BB330" i="61" a="1"/>
  <c r="BB330" i="61"/>
  <c r="AX330" i="61" a="1"/>
  <c r="AX330" i="61"/>
  <c r="AT330" i="61" a="1"/>
  <c r="AT330" i="61"/>
  <c r="AS330" i="61" a="1"/>
  <c r="AS330" i="61"/>
  <c r="AN330" i="61" a="1"/>
  <c r="AN330" i="61"/>
  <c r="AJ330" i="61" a="1"/>
  <c r="AJ330" i="61"/>
  <c r="AF330" i="61" a="1"/>
  <c r="AF330" i="61"/>
  <c r="AB330" i="61" a="1"/>
  <c r="AB330" i="61"/>
  <c r="AA330" i="61" a="1"/>
  <c r="AA330" i="61"/>
  <c r="V330" i="61" a="1"/>
  <c r="V330" i="61"/>
  <c r="R330" i="61" a="1"/>
  <c r="R330" i="61"/>
  <c r="N330" i="61" a="1"/>
  <c r="N330" i="61"/>
  <c r="J330" i="61" a="1"/>
  <c r="J330" i="61"/>
  <c r="I330" i="61" a="1"/>
  <c r="I330" i="61"/>
  <c r="BB329" i="61" a="1"/>
  <c r="BB329" i="61"/>
  <c r="AX329" i="61" a="1"/>
  <c r="AX329" i="61"/>
  <c r="AT329" i="61" a="1"/>
  <c r="AT329" i="61"/>
  <c r="AS329" i="61" a="1"/>
  <c r="AS329" i="61"/>
  <c r="AN329" i="61" a="1"/>
  <c r="AN329" i="61"/>
  <c r="AJ329" i="61" a="1"/>
  <c r="AJ329" i="61"/>
  <c r="AF329" i="61" a="1"/>
  <c r="AF329" i="61"/>
  <c r="AB329" i="61" a="1"/>
  <c r="AB329" i="61"/>
  <c r="AA329" i="61" a="1"/>
  <c r="AA329" i="61"/>
  <c r="V329" i="61" a="1"/>
  <c r="V329" i="61"/>
  <c r="R329" i="61" a="1"/>
  <c r="R329" i="61"/>
  <c r="N329" i="61" a="1"/>
  <c r="N329" i="61"/>
  <c r="J329" i="61" a="1"/>
  <c r="J329" i="61"/>
  <c r="I329" i="61" a="1"/>
  <c r="I329" i="61"/>
  <c r="BB328" i="61" a="1"/>
  <c r="BB328" i="61"/>
  <c r="AX328" i="61" a="1"/>
  <c r="AX328" i="61"/>
  <c r="AT328" i="61" a="1"/>
  <c r="AT328" i="61"/>
  <c r="AS328" i="61" a="1"/>
  <c r="AS328" i="61"/>
  <c r="AN328" i="61" a="1"/>
  <c r="AN328" i="61"/>
  <c r="AJ328" i="61" a="1"/>
  <c r="AJ328" i="61"/>
  <c r="AF328" i="61" a="1"/>
  <c r="AF328" i="61"/>
  <c r="AB328" i="61" a="1"/>
  <c r="AB328" i="61"/>
  <c r="AA328" i="61" a="1"/>
  <c r="AA328" i="61"/>
  <c r="V328" i="61" a="1"/>
  <c r="V328" i="61"/>
  <c r="R328" i="61" a="1"/>
  <c r="R328" i="61"/>
  <c r="N328" i="61" a="1"/>
  <c r="N328" i="61"/>
  <c r="J328" i="61" a="1"/>
  <c r="J328" i="61"/>
  <c r="I328" i="61" a="1"/>
  <c r="I328" i="61"/>
  <c r="BB327" i="61" a="1"/>
  <c r="BB327" i="61"/>
  <c r="AX327" i="61" a="1"/>
  <c r="AX327" i="61"/>
  <c r="AT327" i="61" a="1"/>
  <c r="AT327" i="61"/>
  <c r="AS327" i="61" a="1"/>
  <c r="AS327" i="61"/>
  <c r="AN327" i="61" a="1"/>
  <c r="AN327" i="61"/>
  <c r="AJ327" i="61" a="1"/>
  <c r="AJ327" i="61"/>
  <c r="AF327" i="61" a="1"/>
  <c r="AF327" i="61"/>
  <c r="AB327" i="61" a="1"/>
  <c r="AB327" i="61"/>
  <c r="AA327" i="61" a="1"/>
  <c r="AA327" i="61"/>
  <c r="V327" i="61" a="1"/>
  <c r="V327" i="61"/>
  <c r="R327" i="61" a="1"/>
  <c r="R327" i="61"/>
  <c r="N327" i="61" a="1"/>
  <c r="N327" i="61"/>
  <c r="J327" i="61" a="1"/>
  <c r="J327" i="61"/>
  <c r="I327" i="61" a="1"/>
  <c r="I327" i="61"/>
  <c r="BB326" i="61" a="1"/>
  <c r="BB326" i="61"/>
  <c r="AX326" i="61" a="1"/>
  <c r="AX326" i="61"/>
  <c r="AT326" i="61" a="1"/>
  <c r="AT326" i="61"/>
  <c r="AS326" i="61" a="1"/>
  <c r="AS326" i="61"/>
  <c r="AN326" i="61" a="1"/>
  <c r="AN326" i="61"/>
  <c r="AJ326" i="61" a="1"/>
  <c r="AJ326" i="61"/>
  <c r="AF326" i="61" a="1"/>
  <c r="AF326" i="61"/>
  <c r="AB326" i="61" a="1"/>
  <c r="AB326" i="61"/>
  <c r="AA326" i="61" a="1"/>
  <c r="AA326" i="61"/>
  <c r="V326" i="61" a="1"/>
  <c r="V326" i="61"/>
  <c r="R326" i="61" a="1"/>
  <c r="R326" i="61"/>
  <c r="N326" i="61" a="1"/>
  <c r="N326" i="61"/>
  <c r="J326" i="61" a="1"/>
  <c r="J326" i="61"/>
  <c r="I326" i="61" a="1"/>
  <c r="I326" i="61"/>
  <c r="BB325" i="61" a="1"/>
  <c r="BB325" i="61"/>
  <c r="AX325" i="61" a="1"/>
  <c r="AX325" i="61"/>
  <c r="AT325" i="61" a="1"/>
  <c r="AT325" i="61"/>
  <c r="AS325" i="61" a="1"/>
  <c r="AS325" i="61"/>
  <c r="AN325" i="61" a="1"/>
  <c r="AN325" i="61"/>
  <c r="AJ325" i="61" a="1"/>
  <c r="AJ325" i="61"/>
  <c r="AF325" i="61" a="1"/>
  <c r="AF325" i="61"/>
  <c r="AB325" i="61" a="1"/>
  <c r="AB325" i="61"/>
  <c r="AA325" i="61" a="1"/>
  <c r="AA325" i="61"/>
  <c r="V325" i="61" a="1"/>
  <c r="V325" i="61"/>
  <c r="R325" i="61" a="1"/>
  <c r="R325" i="61"/>
  <c r="N325" i="61" a="1"/>
  <c r="N325" i="61"/>
  <c r="J325" i="61" a="1"/>
  <c r="J325" i="61"/>
  <c r="I325" i="61" a="1"/>
  <c r="I325" i="61"/>
  <c r="BB324" i="61" a="1"/>
  <c r="BB324" i="61"/>
  <c r="AX324" i="61" a="1"/>
  <c r="AX324" i="61"/>
  <c r="AT324" i="61" a="1"/>
  <c r="AT324" i="61"/>
  <c r="AS324" i="61" a="1"/>
  <c r="AS324" i="61"/>
  <c r="AN324" i="61" a="1"/>
  <c r="AN324" i="61"/>
  <c r="AJ324" i="61" a="1"/>
  <c r="AJ324" i="61"/>
  <c r="AF324" i="61" a="1"/>
  <c r="AF324" i="61"/>
  <c r="AB324" i="61" a="1"/>
  <c r="AB324" i="61"/>
  <c r="AA324" i="61" a="1"/>
  <c r="AA324" i="61"/>
  <c r="V324" i="61" a="1"/>
  <c r="V324" i="61"/>
  <c r="R324" i="61" a="1"/>
  <c r="R324" i="61"/>
  <c r="N324" i="61" a="1"/>
  <c r="N324" i="61"/>
  <c r="J324" i="61" a="1"/>
  <c r="J324" i="61"/>
  <c r="I324" i="61" a="1"/>
  <c r="I324" i="61"/>
  <c r="BB323" i="61" a="1"/>
  <c r="BB323" i="61"/>
  <c r="AX323" i="61" a="1"/>
  <c r="AX323" i="61"/>
  <c r="AT323" i="61" a="1"/>
  <c r="AT323" i="61"/>
  <c r="AS323" i="61" a="1"/>
  <c r="AS323" i="61"/>
  <c r="AN323" i="61" a="1"/>
  <c r="AN323" i="61"/>
  <c r="AJ323" i="61" a="1"/>
  <c r="AJ323" i="61"/>
  <c r="AF323" i="61" a="1"/>
  <c r="AF323" i="61"/>
  <c r="AB323" i="61" a="1"/>
  <c r="AB323" i="61"/>
  <c r="AA323" i="61" a="1"/>
  <c r="AA323" i="61"/>
  <c r="V323" i="61" a="1"/>
  <c r="V323" i="61"/>
  <c r="R323" i="61" a="1"/>
  <c r="R323" i="61"/>
  <c r="N323" i="61" a="1"/>
  <c r="N323" i="61"/>
  <c r="J323" i="61" a="1"/>
  <c r="J323" i="61"/>
  <c r="I323" i="61" a="1"/>
  <c r="I323" i="61"/>
  <c r="BB322" i="61" a="1"/>
  <c r="BB322" i="61"/>
  <c r="AX322" i="61" a="1"/>
  <c r="AX322" i="61"/>
  <c r="AT322" i="61" a="1"/>
  <c r="AT322" i="61"/>
  <c r="AS322" i="61" a="1"/>
  <c r="AS322" i="61"/>
  <c r="AN322" i="61" a="1"/>
  <c r="AN322" i="61"/>
  <c r="AJ322" i="61" a="1"/>
  <c r="AJ322" i="61"/>
  <c r="AF322" i="61" a="1"/>
  <c r="AF322" i="61"/>
  <c r="AB322" i="61" a="1"/>
  <c r="AB322" i="61"/>
  <c r="AA322" i="61" a="1"/>
  <c r="AA322" i="61"/>
  <c r="V322" i="61" a="1"/>
  <c r="V322" i="61"/>
  <c r="R322" i="61" a="1"/>
  <c r="R322" i="61"/>
  <c r="N322" i="61" a="1"/>
  <c r="N322" i="61"/>
  <c r="J322" i="61" a="1"/>
  <c r="J322" i="61"/>
  <c r="I322" i="61" a="1"/>
  <c r="I322" i="61"/>
  <c r="BB321" i="61" a="1"/>
  <c r="BB321" i="61"/>
  <c r="AX321" i="61" a="1"/>
  <c r="AX321" i="61"/>
  <c r="AT321" i="61" a="1"/>
  <c r="AT321" i="61"/>
  <c r="AS321" i="61" a="1"/>
  <c r="AS321" i="61"/>
  <c r="AN321" i="61" a="1"/>
  <c r="AN321" i="61"/>
  <c r="AJ321" i="61" a="1"/>
  <c r="AJ321" i="61"/>
  <c r="AF321" i="61" a="1"/>
  <c r="AF321" i="61"/>
  <c r="AB321" i="61" a="1"/>
  <c r="AB321" i="61"/>
  <c r="AA321" i="61" a="1"/>
  <c r="AA321" i="61"/>
  <c r="V321" i="61" a="1"/>
  <c r="V321" i="61"/>
  <c r="R321" i="61" a="1"/>
  <c r="R321" i="61"/>
  <c r="N321" i="61" a="1"/>
  <c r="N321" i="61"/>
  <c r="J321" i="61" a="1"/>
  <c r="J321" i="61"/>
  <c r="I321" i="61" a="1"/>
  <c r="I321" i="61"/>
  <c r="BB320" i="61" a="1"/>
  <c r="BB320" i="61"/>
  <c r="AX320" i="61" a="1"/>
  <c r="AX320" i="61"/>
  <c r="AT320" i="61" a="1"/>
  <c r="AT320" i="61"/>
  <c r="AS320" i="61" a="1"/>
  <c r="AS320" i="61"/>
  <c r="AN320" i="61" a="1"/>
  <c r="AN320" i="61"/>
  <c r="AJ320" i="61" a="1"/>
  <c r="AJ320" i="61"/>
  <c r="AF320" i="61" a="1"/>
  <c r="AF320" i="61"/>
  <c r="AB320" i="61" a="1"/>
  <c r="AB320" i="61"/>
  <c r="AA320" i="61" a="1"/>
  <c r="AA320" i="61"/>
  <c r="V320" i="61" a="1"/>
  <c r="V320" i="61"/>
  <c r="R320" i="61" a="1"/>
  <c r="R320" i="61"/>
  <c r="N320" i="61" a="1"/>
  <c r="N320" i="61"/>
  <c r="J320" i="61" a="1"/>
  <c r="J320" i="61"/>
  <c r="I320" i="61" a="1"/>
  <c r="I320" i="61"/>
  <c r="BB319" i="61" a="1"/>
  <c r="BB319" i="61"/>
  <c r="AX319" i="61" a="1"/>
  <c r="AX319" i="61"/>
  <c r="AT319" i="61" a="1"/>
  <c r="AT319" i="61"/>
  <c r="AS319" i="61" a="1"/>
  <c r="AS319" i="61"/>
  <c r="AN319" i="61" a="1"/>
  <c r="AN319" i="61"/>
  <c r="AJ319" i="61" a="1"/>
  <c r="AJ319" i="61"/>
  <c r="AF319" i="61" a="1"/>
  <c r="AF319" i="61"/>
  <c r="AB319" i="61" a="1"/>
  <c r="AB319" i="61"/>
  <c r="AA319" i="61" a="1"/>
  <c r="AA319" i="61"/>
  <c r="V319" i="61" a="1"/>
  <c r="V319" i="61"/>
  <c r="R319" i="61" a="1"/>
  <c r="R319" i="61"/>
  <c r="N319" i="61" a="1"/>
  <c r="N319" i="61"/>
  <c r="J319" i="61" a="1"/>
  <c r="J319" i="61"/>
  <c r="I319" i="61" a="1"/>
  <c r="I319" i="61"/>
  <c r="BB318" i="61" a="1"/>
  <c r="BB318" i="61"/>
  <c r="AX318" i="61" a="1"/>
  <c r="AX318" i="61"/>
  <c r="AT318" i="61" a="1"/>
  <c r="AT318" i="61"/>
  <c r="AS318" i="61" a="1"/>
  <c r="AS318" i="61"/>
  <c r="AN318" i="61" a="1"/>
  <c r="AN318" i="61"/>
  <c r="AJ318" i="61" a="1"/>
  <c r="AJ318" i="61"/>
  <c r="AF318" i="61" a="1"/>
  <c r="AF318" i="61"/>
  <c r="AB318" i="61" a="1"/>
  <c r="AB318" i="61"/>
  <c r="AA318" i="61" a="1"/>
  <c r="AA318" i="61"/>
  <c r="V318" i="61" a="1"/>
  <c r="V318" i="61"/>
  <c r="R318" i="61" a="1"/>
  <c r="R318" i="61"/>
  <c r="N318" i="61" a="1"/>
  <c r="N318" i="61"/>
  <c r="J318" i="61" a="1"/>
  <c r="J318" i="61"/>
  <c r="I318" i="61" a="1"/>
  <c r="I318" i="61"/>
  <c r="BB317" i="61" a="1"/>
  <c r="BB317" i="61"/>
  <c r="AX317" i="61" a="1"/>
  <c r="AX317" i="61"/>
  <c r="AT317" i="61" a="1"/>
  <c r="AT317" i="61"/>
  <c r="AS317" i="61" a="1"/>
  <c r="AS317" i="61"/>
  <c r="AN317" i="61" a="1"/>
  <c r="AN317" i="61"/>
  <c r="AJ317" i="61" a="1"/>
  <c r="AJ317" i="61"/>
  <c r="AF317" i="61" a="1"/>
  <c r="AF317" i="61"/>
  <c r="AB317" i="61" a="1"/>
  <c r="AB317" i="61"/>
  <c r="AA317" i="61" a="1"/>
  <c r="AA317" i="61"/>
  <c r="V317" i="61" a="1"/>
  <c r="V317" i="61"/>
  <c r="R317" i="61" a="1"/>
  <c r="R317" i="61"/>
  <c r="N317" i="61" a="1"/>
  <c r="N317" i="61"/>
  <c r="J317" i="61" a="1"/>
  <c r="J317" i="61"/>
  <c r="I317" i="61" a="1"/>
  <c r="I317" i="61"/>
  <c r="BB316" i="61" a="1"/>
  <c r="BB316" i="61"/>
  <c r="AX316" i="61" a="1"/>
  <c r="AX316" i="61"/>
  <c r="AT316" i="61" a="1"/>
  <c r="AT316" i="61"/>
  <c r="AS316" i="61" a="1"/>
  <c r="AS316" i="61"/>
  <c r="AN316" i="61" a="1"/>
  <c r="AN316" i="61"/>
  <c r="AJ316" i="61" a="1"/>
  <c r="AJ316" i="61"/>
  <c r="AF316" i="61" a="1"/>
  <c r="AF316" i="61"/>
  <c r="AB316" i="61" a="1"/>
  <c r="AB316" i="61"/>
  <c r="AA316" i="61" a="1"/>
  <c r="AA316" i="61"/>
  <c r="V316" i="61" a="1"/>
  <c r="V316" i="61"/>
  <c r="R316" i="61" a="1"/>
  <c r="R316" i="61"/>
  <c r="N316" i="61" a="1"/>
  <c r="N316" i="61"/>
  <c r="J316" i="61" a="1"/>
  <c r="J316" i="61"/>
  <c r="I316" i="61" a="1"/>
  <c r="I316" i="61"/>
  <c r="BB315" i="61" a="1"/>
  <c r="BB315" i="61"/>
  <c r="AX315" i="61" a="1"/>
  <c r="AX315" i="61"/>
  <c r="AT315" i="61" a="1"/>
  <c r="AT315" i="61"/>
  <c r="AS315" i="61" a="1"/>
  <c r="AS315" i="61"/>
  <c r="AN315" i="61" a="1"/>
  <c r="AN315" i="61"/>
  <c r="AJ315" i="61" a="1"/>
  <c r="AJ315" i="61"/>
  <c r="AF315" i="61" a="1"/>
  <c r="AF315" i="61"/>
  <c r="AB315" i="61" a="1"/>
  <c r="AB315" i="61"/>
  <c r="AA315" i="61" a="1"/>
  <c r="AA315" i="61"/>
  <c r="V315" i="61" a="1"/>
  <c r="V315" i="61"/>
  <c r="R315" i="61" a="1"/>
  <c r="R315" i="61"/>
  <c r="N315" i="61" a="1"/>
  <c r="N315" i="61"/>
  <c r="J315" i="61" a="1"/>
  <c r="J315" i="61"/>
  <c r="I315" i="61" a="1"/>
  <c r="I315" i="61"/>
  <c r="BB314" i="61" a="1"/>
  <c r="BB314" i="61"/>
  <c r="AX314" i="61" a="1"/>
  <c r="AX314" i="61"/>
  <c r="AT314" i="61" a="1"/>
  <c r="AT314" i="61"/>
  <c r="AS314" i="61" a="1"/>
  <c r="AS314" i="61"/>
  <c r="AN314" i="61" a="1"/>
  <c r="AN314" i="61"/>
  <c r="AJ314" i="61" a="1"/>
  <c r="AJ314" i="61"/>
  <c r="AF314" i="61" a="1"/>
  <c r="AF314" i="61"/>
  <c r="AB314" i="61" a="1"/>
  <c r="AB314" i="61"/>
  <c r="AA314" i="61" a="1"/>
  <c r="AA314" i="61"/>
  <c r="V314" i="61" a="1"/>
  <c r="V314" i="61"/>
  <c r="R314" i="61" a="1"/>
  <c r="R314" i="61"/>
  <c r="N314" i="61" a="1"/>
  <c r="N314" i="61"/>
  <c r="J314" i="61" a="1"/>
  <c r="J314" i="61"/>
  <c r="I314" i="61" a="1"/>
  <c r="I314" i="61"/>
  <c r="BB313" i="61" a="1"/>
  <c r="BB313" i="61"/>
  <c r="AX313" i="61" a="1"/>
  <c r="AX313" i="61"/>
  <c r="AT313" i="61" a="1"/>
  <c r="AT313" i="61"/>
  <c r="AS313" i="61" a="1"/>
  <c r="AS313" i="61"/>
  <c r="AN313" i="61" a="1"/>
  <c r="AN313" i="61"/>
  <c r="AJ313" i="61" a="1"/>
  <c r="AJ313" i="61"/>
  <c r="AF313" i="61" a="1"/>
  <c r="AF313" i="61"/>
  <c r="AB313" i="61" a="1"/>
  <c r="AB313" i="61"/>
  <c r="AA313" i="61" a="1"/>
  <c r="AA313" i="61"/>
  <c r="V313" i="61" a="1"/>
  <c r="V313" i="61"/>
  <c r="R313" i="61" a="1"/>
  <c r="R313" i="61"/>
  <c r="N313" i="61" a="1"/>
  <c r="N313" i="61"/>
  <c r="J313" i="61" a="1"/>
  <c r="J313" i="61"/>
  <c r="I313" i="61" a="1"/>
  <c r="I313" i="61"/>
  <c r="BB312" i="61" a="1"/>
  <c r="BB312" i="61"/>
  <c r="AX312" i="61" a="1"/>
  <c r="AX312" i="61"/>
  <c r="AT312" i="61" a="1"/>
  <c r="AT312" i="61"/>
  <c r="AS312" i="61" a="1"/>
  <c r="AS312" i="61"/>
  <c r="AN312" i="61" a="1"/>
  <c r="AN312" i="61"/>
  <c r="AJ312" i="61" a="1"/>
  <c r="AJ312" i="61"/>
  <c r="AF312" i="61" a="1"/>
  <c r="AF312" i="61"/>
  <c r="AB312" i="61" a="1"/>
  <c r="AB312" i="61"/>
  <c r="AA312" i="61" a="1"/>
  <c r="AA312" i="61"/>
  <c r="V312" i="61" a="1"/>
  <c r="V312" i="61"/>
  <c r="R312" i="61" a="1"/>
  <c r="R312" i="61"/>
  <c r="N312" i="61" a="1"/>
  <c r="N312" i="61"/>
  <c r="J312" i="61" a="1"/>
  <c r="J312" i="61"/>
  <c r="I312" i="61" a="1"/>
  <c r="I312" i="61"/>
  <c r="BB311" i="61" a="1"/>
  <c r="BB311" i="61"/>
  <c r="AX311" i="61" a="1"/>
  <c r="AX311" i="61"/>
  <c r="AT311" i="61" a="1"/>
  <c r="AT311" i="61"/>
  <c r="AS311" i="61" a="1"/>
  <c r="AS311" i="61"/>
  <c r="AN311" i="61" a="1"/>
  <c r="AN311" i="61"/>
  <c r="AJ311" i="61" a="1"/>
  <c r="AJ311" i="61"/>
  <c r="AF311" i="61" a="1"/>
  <c r="AF311" i="61"/>
  <c r="AB311" i="61" a="1"/>
  <c r="AB311" i="61"/>
  <c r="AA311" i="61" a="1"/>
  <c r="AA311" i="61"/>
  <c r="V311" i="61" a="1"/>
  <c r="V311" i="61"/>
  <c r="R311" i="61" a="1"/>
  <c r="R311" i="61"/>
  <c r="N311" i="61" a="1"/>
  <c r="N311" i="61"/>
  <c r="J311" i="61" a="1"/>
  <c r="J311" i="61"/>
  <c r="I311" i="61" a="1"/>
  <c r="I311" i="61"/>
  <c r="BB310" i="61" a="1"/>
  <c r="BB310" i="61"/>
  <c r="AX310" i="61" a="1"/>
  <c r="AX310" i="61"/>
  <c r="AT310" i="61" a="1"/>
  <c r="AT310" i="61"/>
  <c r="AS310" i="61" a="1"/>
  <c r="AS310" i="61"/>
  <c r="AN310" i="61" a="1"/>
  <c r="AN310" i="61"/>
  <c r="AJ310" i="61" a="1"/>
  <c r="AJ310" i="61"/>
  <c r="AF310" i="61" a="1"/>
  <c r="AF310" i="61"/>
  <c r="AB310" i="61" a="1"/>
  <c r="AB310" i="61"/>
  <c r="AA310" i="61" a="1"/>
  <c r="AA310" i="61"/>
  <c r="V310" i="61" a="1"/>
  <c r="V310" i="61"/>
  <c r="R310" i="61" a="1"/>
  <c r="R310" i="61"/>
  <c r="N310" i="61" a="1"/>
  <c r="N310" i="61"/>
  <c r="J310" i="61" a="1"/>
  <c r="J310" i="61"/>
  <c r="I310" i="61" a="1"/>
  <c r="I310" i="61"/>
  <c r="BB309" i="61" a="1"/>
  <c r="BB309" i="61"/>
  <c r="AX309" i="61" a="1"/>
  <c r="AX309" i="61"/>
  <c r="AT309" i="61" a="1"/>
  <c r="AT309" i="61"/>
  <c r="AS309" i="61" a="1"/>
  <c r="AS309" i="61"/>
  <c r="AN309" i="61" a="1"/>
  <c r="AN309" i="61"/>
  <c r="AJ309" i="61" a="1"/>
  <c r="AJ309" i="61"/>
  <c r="AF309" i="61" a="1"/>
  <c r="AF309" i="61"/>
  <c r="AB309" i="61" a="1"/>
  <c r="AB309" i="61"/>
  <c r="AA309" i="61" a="1"/>
  <c r="AA309" i="61"/>
  <c r="V309" i="61" a="1"/>
  <c r="V309" i="61"/>
  <c r="R309" i="61" a="1"/>
  <c r="R309" i="61"/>
  <c r="N309" i="61" a="1"/>
  <c r="N309" i="61"/>
  <c r="J309" i="61" a="1"/>
  <c r="J309" i="61"/>
  <c r="I309" i="61" a="1"/>
  <c r="I309" i="61"/>
  <c r="BB308" i="61" a="1"/>
  <c r="BB308" i="61"/>
  <c r="AX308" i="61" a="1"/>
  <c r="AX308" i="61"/>
  <c r="AT308" i="61" a="1"/>
  <c r="AT308" i="61"/>
  <c r="AS308" i="61" a="1"/>
  <c r="AS308" i="61"/>
  <c r="AN308" i="61" a="1"/>
  <c r="AN308" i="61"/>
  <c r="AJ308" i="61" a="1"/>
  <c r="AJ308" i="61"/>
  <c r="AF308" i="61" a="1"/>
  <c r="AF308" i="61"/>
  <c r="AB308" i="61" a="1"/>
  <c r="AB308" i="61"/>
  <c r="AA308" i="61" a="1"/>
  <c r="AA308" i="61"/>
  <c r="V308" i="61" a="1"/>
  <c r="V308" i="61"/>
  <c r="R308" i="61" a="1"/>
  <c r="R308" i="61"/>
  <c r="N308" i="61" a="1"/>
  <c r="N308" i="61"/>
  <c r="J308" i="61" a="1"/>
  <c r="J308" i="61"/>
  <c r="I308" i="61" a="1"/>
  <c r="I308" i="61"/>
  <c r="BB307" i="61" a="1"/>
  <c r="BB307" i="61"/>
  <c r="AX307" i="61" a="1"/>
  <c r="AX307" i="61"/>
  <c r="AT307" i="61" a="1"/>
  <c r="AT307" i="61"/>
  <c r="AS307" i="61" a="1"/>
  <c r="AS307" i="61"/>
  <c r="AN307" i="61" a="1"/>
  <c r="AN307" i="61"/>
  <c r="AJ307" i="61" a="1"/>
  <c r="AJ307" i="61"/>
  <c r="AF307" i="61" a="1"/>
  <c r="AF307" i="61"/>
  <c r="AB307" i="61" a="1"/>
  <c r="AB307" i="61"/>
  <c r="AA307" i="61" a="1"/>
  <c r="AA307" i="61"/>
  <c r="V307" i="61" a="1"/>
  <c r="V307" i="61"/>
  <c r="R307" i="61" a="1"/>
  <c r="R307" i="61"/>
  <c r="N307" i="61" a="1"/>
  <c r="N307" i="61"/>
  <c r="J307" i="61" a="1"/>
  <c r="J307" i="61"/>
  <c r="I307" i="61" a="1"/>
  <c r="I307" i="61"/>
  <c r="BB306" i="61" a="1"/>
  <c r="BB306" i="61"/>
  <c r="AX306" i="61" a="1"/>
  <c r="AX306" i="61"/>
  <c r="AT306" i="61" a="1"/>
  <c r="AT306" i="61"/>
  <c r="AS306" i="61" a="1"/>
  <c r="AS306" i="61"/>
  <c r="AN306" i="61" a="1"/>
  <c r="AN306" i="61"/>
  <c r="AJ306" i="61" a="1"/>
  <c r="AJ306" i="61"/>
  <c r="AF306" i="61" a="1"/>
  <c r="AF306" i="61"/>
  <c r="AB306" i="61" a="1"/>
  <c r="AB306" i="61"/>
  <c r="AA306" i="61" a="1"/>
  <c r="AA306" i="61"/>
  <c r="V306" i="61" a="1"/>
  <c r="V306" i="61"/>
  <c r="R306" i="61" a="1"/>
  <c r="R306" i="61"/>
  <c r="N306" i="61" a="1"/>
  <c r="N306" i="61"/>
  <c r="J306" i="61" a="1"/>
  <c r="J306" i="61"/>
  <c r="I306" i="61" a="1"/>
  <c r="I306" i="61"/>
  <c r="BB305" i="61" a="1"/>
  <c r="BB305" i="61"/>
  <c r="AX305" i="61" a="1"/>
  <c r="AX305" i="61"/>
  <c r="AT305" i="61" a="1"/>
  <c r="AT305" i="61"/>
  <c r="AS305" i="61" a="1"/>
  <c r="AS305" i="61"/>
  <c r="AN305" i="61" a="1"/>
  <c r="AN305" i="61"/>
  <c r="AJ305" i="61" a="1"/>
  <c r="AJ305" i="61"/>
  <c r="AF305" i="61" a="1"/>
  <c r="AF305" i="61"/>
  <c r="AB305" i="61" a="1"/>
  <c r="AB305" i="61"/>
  <c r="AA305" i="61" a="1"/>
  <c r="AA305" i="61"/>
  <c r="V305" i="61" a="1"/>
  <c r="V305" i="61"/>
  <c r="R305" i="61" a="1"/>
  <c r="R305" i="61"/>
  <c r="N305" i="61" a="1"/>
  <c r="N305" i="61"/>
  <c r="J305" i="61" a="1"/>
  <c r="J305" i="61"/>
  <c r="I305" i="61" a="1"/>
  <c r="I305" i="61"/>
  <c r="BB304" i="61" a="1"/>
  <c r="BB304" i="61"/>
  <c r="AX304" i="61" a="1"/>
  <c r="AX304" i="61"/>
  <c r="AT304" i="61" a="1"/>
  <c r="AT304" i="61"/>
  <c r="AS304" i="61" a="1"/>
  <c r="AS304" i="61"/>
  <c r="AN304" i="61" a="1"/>
  <c r="AN304" i="61"/>
  <c r="AJ304" i="61" a="1"/>
  <c r="AJ304" i="61"/>
  <c r="AF304" i="61" a="1"/>
  <c r="AF304" i="61"/>
  <c r="AB304" i="61" a="1"/>
  <c r="AB304" i="61"/>
  <c r="AA304" i="61" a="1"/>
  <c r="AA304" i="61"/>
  <c r="V304" i="61" a="1"/>
  <c r="V304" i="61"/>
  <c r="R304" i="61" a="1"/>
  <c r="R304" i="61"/>
  <c r="N304" i="61" a="1"/>
  <c r="N304" i="61"/>
  <c r="J304" i="61" a="1"/>
  <c r="J304" i="61"/>
  <c r="I304" i="61" a="1"/>
  <c r="I304" i="61"/>
  <c r="BB303" i="61" a="1"/>
  <c r="BB303" i="61"/>
  <c r="AX303" i="61" a="1"/>
  <c r="AX303" i="61"/>
  <c r="AT303" i="61" a="1"/>
  <c r="AT303" i="61"/>
  <c r="AS303" i="61" a="1"/>
  <c r="AS303" i="61"/>
  <c r="AN303" i="61" a="1"/>
  <c r="AN303" i="61"/>
  <c r="AJ303" i="61" a="1"/>
  <c r="AJ303" i="61"/>
  <c r="AF303" i="61" a="1"/>
  <c r="AF303" i="61"/>
  <c r="AB303" i="61" a="1"/>
  <c r="AB303" i="61"/>
  <c r="AA303" i="61" a="1"/>
  <c r="AA303" i="61"/>
  <c r="V303" i="61" a="1"/>
  <c r="V303" i="61"/>
  <c r="R303" i="61" a="1"/>
  <c r="R303" i="61"/>
  <c r="N303" i="61" a="1"/>
  <c r="N303" i="61"/>
  <c r="J303" i="61" a="1"/>
  <c r="J303" i="61"/>
  <c r="I303" i="61" a="1"/>
  <c r="I303" i="61"/>
  <c r="BB302" i="61" a="1"/>
  <c r="BB302" i="61"/>
  <c r="AX302" i="61" a="1"/>
  <c r="AX302" i="61"/>
  <c r="AT302" i="61" a="1"/>
  <c r="AT302" i="61"/>
  <c r="AS302" i="61" a="1"/>
  <c r="AS302" i="61"/>
  <c r="AN302" i="61" a="1"/>
  <c r="AN302" i="61"/>
  <c r="AJ302" i="61" a="1"/>
  <c r="AJ302" i="61"/>
  <c r="AF302" i="61" a="1"/>
  <c r="AF302" i="61"/>
  <c r="AB302" i="61" a="1"/>
  <c r="AB302" i="61"/>
  <c r="AA302" i="61" a="1"/>
  <c r="AA302" i="61"/>
  <c r="V302" i="61" a="1"/>
  <c r="V302" i="61"/>
  <c r="R302" i="61" a="1"/>
  <c r="R302" i="61"/>
  <c r="N302" i="61" a="1"/>
  <c r="N302" i="61"/>
  <c r="J302" i="61" a="1"/>
  <c r="J302" i="61"/>
  <c r="I302" i="61" a="1"/>
  <c r="I302" i="61"/>
  <c r="BB301" i="61" a="1"/>
  <c r="BB301" i="61"/>
  <c r="AX301" i="61" a="1"/>
  <c r="AX301" i="61"/>
  <c r="AT301" i="61" a="1"/>
  <c r="AT301" i="61"/>
  <c r="AS301" i="61" a="1"/>
  <c r="AS301" i="61"/>
  <c r="AN301" i="61" a="1"/>
  <c r="AN301" i="61"/>
  <c r="AJ301" i="61" a="1"/>
  <c r="AJ301" i="61"/>
  <c r="AF301" i="61" a="1"/>
  <c r="AF301" i="61"/>
  <c r="AB301" i="61" a="1"/>
  <c r="AB301" i="61"/>
  <c r="AA301" i="61" a="1"/>
  <c r="AA301" i="61"/>
  <c r="V301" i="61" a="1"/>
  <c r="V301" i="61"/>
  <c r="R301" i="61" a="1"/>
  <c r="R301" i="61"/>
  <c r="N301" i="61" a="1"/>
  <c r="N301" i="61"/>
  <c r="J301" i="61" a="1"/>
  <c r="J301" i="61"/>
  <c r="I301" i="61" a="1"/>
  <c r="I301" i="61"/>
  <c r="BB300" i="61" a="1"/>
  <c r="BB300" i="61"/>
  <c r="AX300" i="61" a="1"/>
  <c r="AX300" i="61"/>
  <c r="AT300" i="61" a="1"/>
  <c r="AT300" i="61"/>
  <c r="AS300" i="61" a="1"/>
  <c r="AS300" i="61"/>
  <c r="AN300" i="61" a="1"/>
  <c r="AN300" i="61"/>
  <c r="AJ300" i="61" a="1"/>
  <c r="AJ300" i="61"/>
  <c r="AF300" i="61" a="1"/>
  <c r="AF300" i="61"/>
  <c r="AB300" i="61" a="1"/>
  <c r="AB300" i="61"/>
  <c r="AA300" i="61" a="1"/>
  <c r="AA300" i="61"/>
  <c r="V300" i="61" a="1"/>
  <c r="V300" i="61"/>
  <c r="R300" i="61" a="1"/>
  <c r="R300" i="61"/>
  <c r="N300" i="61" a="1"/>
  <c r="N300" i="61"/>
  <c r="J300" i="61" a="1"/>
  <c r="J300" i="61"/>
  <c r="I300" i="61" a="1"/>
  <c r="I300" i="61"/>
  <c r="BB299" i="61" a="1"/>
  <c r="BB299" i="61"/>
  <c r="AX299" i="61" a="1"/>
  <c r="AX299" i="61"/>
  <c r="AT299" i="61" a="1"/>
  <c r="AT299" i="61"/>
  <c r="AS299" i="61" a="1"/>
  <c r="AS299" i="61"/>
  <c r="AN299" i="61" a="1"/>
  <c r="AN299" i="61"/>
  <c r="AJ299" i="61" a="1"/>
  <c r="AJ299" i="61"/>
  <c r="AF299" i="61" a="1"/>
  <c r="AF299" i="61"/>
  <c r="AB299" i="61" a="1"/>
  <c r="AB299" i="61"/>
  <c r="AA299" i="61" a="1"/>
  <c r="AA299" i="61"/>
  <c r="V299" i="61" a="1"/>
  <c r="V299" i="61"/>
  <c r="R299" i="61" a="1"/>
  <c r="R299" i="61"/>
  <c r="N299" i="61" a="1"/>
  <c r="N299" i="61"/>
  <c r="J299" i="61" a="1"/>
  <c r="J299" i="61"/>
  <c r="I299" i="61" a="1"/>
  <c r="I299" i="61"/>
  <c r="BB298" i="61" a="1"/>
  <c r="BB298" i="61"/>
  <c r="AX298" i="61" a="1"/>
  <c r="AX298" i="61"/>
  <c r="AT298" i="61" a="1"/>
  <c r="AT298" i="61"/>
  <c r="AS298" i="61" a="1"/>
  <c r="AS298" i="61"/>
  <c r="AN298" i="61" a="1"/>
  <c r="AN298" i="61"/>
  <c r="AJ298" i="61" a="1"/>
  <c r="AJ298" i="61"/>
  <c r="AF298" i="61" a="1"/>
  <c r="AF298" i="61"/>
  <c r="AB298" i="61" a="1"/>
  <c r="AB298" i="61"/>
  <c r="AA298" i="61" a="1"/>
  <c r="AA298" i="61"/>
  <c r="V298" i="61" a="1"/>
  <c r="V298" i="61"/>
  <c r="R298" i="61" a="1"/>
  <c r="R298" i="61"/>
  <c r="N298" i="61" a="1"/>
  <c r="N298" i="61"/>
  <c r="J298" i="61" a="1"/>
  <c r="J298" i="61"/>
  <c r="I298" i="61" a="1"/>
  <c r="I298" i="61"/>
  <c r="BB297" i="61" a="1"/>
  <c r="BB297" i="61"/>
  <c r="AX297" i="61" a="1"/>
  <c r="AX297" i="61"/>
  <c r="AT297" i="61" a="1"/>
  <c r="AT297" i="61"/>
  <c r="AS297" i="61" a="1"/>
  <c r="AS297" i="61"/>
  <c r="AN297" i="61" a="1"/>
  <c r="AN297" i="61"/>
  <c r="AJ297" i="61" a="1"/>
  <c r="AJ297" i="61"/>
  <c r="AF297" i="61" a="1"/>
  <c r="AF297" i="61"/>
  <c r="AB297" i="61" a="1"/>
  <c r="AB297" i="61"/>
  <c r="AA297" i="61" a="1"/>
  <c r="AA297" i="61"/>
  <c r="V297" i="61" a="1"/>
  <c r="V297" i="61"/>
  <c r="R297" i="61" a="1"/>
  <c r="R297" i="61"/>
  <c r="N297" i="61" a="1"/>
  <c r="N297" i="61"/>
  <c r="J297" i="61" a="1"/>
  <c r="J297" i="61"/>
  <c r="I297" i="61" a="1"/>
  <c r="I297" i="61"/>
  <c r="BB296" i="61" a="1"/>
  <c r="BB296" i="61"/>
  <c r="AX296" i="61" a="1"/>
  <c r="AX296" i="61"/>
  <c r="AT296" i="61" a="1"/>
  <c r="AT296" i="61"/>
  <c r="AS296" i="61" a="1"/>
  <c r="AS296" i="61"/>
  <c r="AN296" i="61" a="1"/>
  <c r="AN296" i="61"/>
  <c r="AJ296" i="61" a="1"/>
  <c r="AJ296" i="61"/>
  <c r="AF296" i="61" a="1"/>
  <c r="AF296" i="61"/>
  <c r="AB296" i="61" a="1"/>
  <c r="AB296" i="61"/>
  <c r="AA296" i="61" a="1"/>
  <c r="AA296" i="61"/>
  <c r="V296" i="61" a="1"/>
  <c r="V296" i="61"/>
  <c r="R296" i="61" a="1"/>
  <c r="R296" i="61"/>
  <c r="N296" i="61" a="1"/>
  <c r="N296" i="61"/>
  <c r="J296" i="61" a="1"/>
  <c r="J296" i="61"/>
  <c r="I296" i="61" a="1"/>
  <c r="I296" i="61"/>
  <c r="BB295" i="61" a="1"/>
  <c r="BB295" i="61"/>
  <c r="AX295" i="61" a="1"/>
  <c r="AX295" i="61"/>
  <c r="AT295" i="61" a="1"/>
  <c r="AT295" i="61"/>
  <c r="AS295" i="61" a="1"/>
  <c r="AS295" i="61"/>
  <c r="AN295" i="61" a="1"/>
  <c r="AN295" i="61"/>
  <c r="AJ295" i="61" a="1"/>
  <c r="AJ295" i="61"/>
  <c r="AF295" i="61" a="1"/>
  <c r="AF295" i="61"/>
  <c r="AB295" i="61" a="1"/>
  <c r="AB295" i="61"/>
  <c r="AA295" i="61" a="1"/>
  <c r="AA295" i="61"/>
  <c r="V295" i="61" a="1"/>
  <c r="V295" i="61"/>
  <c r="R295" i="61" a="1"/>
  <c r="R295" i="61"/>
  <c r="N295" i="61" a="1"/>
  <c r="N295" i="61"/>
  <c r="J295" i="61" a="1"/>
  <c r="J295" i="61"/>
  <c r="I295" i="61" a="1"/>
  <c r="I295" i="61"/>
  <c r="BB294" i="61" a="1"/>
  <c r="BB294" i="61"/>
  <c r="AX294" i="61" a="1"/>
  <c r="AX294" i="61"/>
  <c r="AT294" i="61" a="1"/>
  <c r="AT294" i="61"/>
  <c r="AS294" i="61" a="1"/>
  <c r="AS294" i="61"/>
  <c r="AN294" i="61" a="1"/>
  <c r="AN294" i="61"/>
  <c r="AJ294" i="61" a="1"/>
  <c r="AJ294" i="61"/>
  <c r="AF294" i="61" a="1"/>
  <c r="AF294" i="61"/>
  <c r="AB294" i="61" a="1"/>
  <c r="AB294" i="61"/>
  <c r="AA294" i="61" a="1"/>
  <c r="AA294" i="61"/>
  <c r="V294" i="61" a="1"/>
  <c r="V294" i="61"/>
  <c r="R294" i="61" a="1"/>
  <c r="R294" i="61"/>
  <c r="N294" i="61" a="1"/>
  <c r="N294" i="61"/>
  <c r="J294" i="61" a="1"/>
  <c r="J294" i="61"/>
  <c r="I294" i="61" a="1"/>
  <c r="I294" i="61"/>
  <c r="BB293" i="61" a="1"/>
  <c r="BB293" i="61"/>
  <c r="AX293" i="61" a="1"/>
  <c r="AX293" i="61"/>
  <c r="AT293" i="61" a="1"/>
  <c r="AT293" i="61"/>
  <c r="AS293" i="61" a="1"/>
  <c r="AS293" i="61"/>
  <c r="AN293" i="61" a="1"/>
  <c r="AN293" i="61"/>
  <c r="AJ293" i="61" a="1"/>
  <c r="AJ293" i="61"/>
  <c r="AF293" i="61" a="1"/>
  <c r="AF293" i="61"/>
  <c r="AB293" i="61" a="1"/>
  <c r="AB293" i="61"/>
  <c r="AA293" i="61" a="1"/>
  <c r="AA293" i="61"/>
  <c r="V293" i="61" a="1"/>
  <c r="V293" i="61"/>
  <c r="R293" i="61" a="1"/>
  <c r="R293" i="61"/>
  <c r="N293" i="61" a="1"/>
  <c r="N293" i="61"/>
  <c r="J293" i="61" a="1"/>
  <c r="J293" i="61"/>
  <c r="I293" i="61" a="1"/>
  <c r="I293" i="61"/>
  <c r="BB292" i="61" a="1"/>
  <c r="BB292" i="61"/>
  <c r="AX292" i="61" a="1"/>
  <c r="AX292" i="61"/>
  <c r="AT292" i="61" a="1"/>
  <c r="AT292" i="61"/>
  <c r="AS292" i="61" a="1"/>
  <c r="AS292" i="61"/>
  <c r="AN292" i="61" a="1"/>
  <c r="AN292" i="61"/>
  <c r="AJ292" i="61" a="1"/>
  <c r="AJ292" i="61"/>
  <c r="AF292" i="61" a="1"/>
  <c r="AF292" i="61"/>
  <c r="AB292" i="61" a="1"/>
  <c r="AB292" i="61"/>
  <c r="AA292" i="61" a="1"/>
  <c r="AA292" i="61"/>
  <c r="V292" i="61" a="1"/>
  <c r="V292" i="61"/>
  <c r="R292" i="61" a="1"/>
  <c r="R292" i="61"/>
  <c r="N292" i="61" a="1"/>
  <c r="N292" i="61"/>
  <c r="J292" i="61" a="1"/>
  <c r="J292" i="61"/>
  <c r="I292" i="61" a="1"/>
  <c r="I292" i="61"/>
  <c r="BB291" i="61" a="1"/>
  <c r="BB291" i="61"/>
  <c r="AX291" i="61" a="1"/>
  <c r="AX291" i="61"/>
  <c r="AT291" i="61" a="1"/>
  <c r="AT291" i="61"/>
  <c r="AS291" i="61" a="1"/>
  <c r="AS291" i="61"/>
  <c r="AN291" i="61" a="1"/>
  <c r="AN291" i="61"/>
  <c r="AJ291" i="61" a="1"/>
  <c r="AJ291" i="61"/>
  <c r="AF291" i="61" a="1"/>
  <c r="AF291" i="61"/>
  <c r="AB291" i="61" a="1"/>
  <c r="AB291" i="61"/>
  <c r="AA291" i="61" a="1"/>
  <c r="AA291" i="61"/>
  <c r="V291" i="61" a="1"/>
  <c r="V291" i="61"/>
  <c r="R291" i="61" a="1"/>
  <c r="R291" i="61"/>
  <c r="N291" i="61" a="1"/>
  <c r="N291" i="61"/>
  <c r="J291" i="61" a="1"/>
  <c r="J291" i="61"/>
  <c r="I291" i="61" a="1"/>
  <c r="I291" i="61"/>
  <c r="BB290" i="61" a="1"/>
  <c r="BB290" i="61"/>
  <c r="AX290" i="61" a="1"/>
  <c r="AX290" i="61"/>
  <c r="AT290" i="61" a="1"/>
  <c r="AT290" i="61"/>
  <c r="AS290" i="61" a="1"/>
  <c r="AS290" i="61"/>
  <c r="AN290" i="61" a="1"/>
  <c r="AN290" i="61"/>
  <c r="AJ290" i="61" a="1"/>
  <c r="AJ290" i="61"/>
  <c r="AF290" i="61" a="1"/>
  <c r="AF290" i="61"/>
  <c r="AB290" i="61" a="1"/>
  <c r="AB290" i="61"/>
  <c r="AA290" i="61" a="1"/>
  <c r="AA290" i="61"/>
  <c r="V290" i="61" a="1"/>
  <c r="V290" i="61"/>
  <c r="R290" i="61" a="1"/>
  <c r="R290" i="61"/>
  <c r="N290" i="61" a="1"/>
  <c r="N290" i="61"/>
  <c r="J290" i="61" a="1"/>
  <c r="J290" i="61"/>
  <c r="I290" i="61" a="1"/>
  <c r="I290" i="61"/>
  <c r="BB289" i="61" a="1"/>
  <c r="BB289" i="61"/>
  <c r="AX289" i="61" a="1"/>
  <c r="AX289" i="61"/>
  <c r="AT289" i="61" a="1"/>
  <c r="AT289" i="61"/>
  <c r="AS289" i="61" a="1"/>
  <c r="AS289" i="61"/>
  <c r="AN289" i="61" a="1"/>
  <c r="AN289" i="61"/>
  <c r="AJ289" i="61" a="1"/>
  <c r="AJ289" i="61"/>
  <c r="AF289" i="61" a="1"/>
  <c r="AF289" i="61"/>
  <c r="AB289" i="61" a="1"/>
  <c r="AB289" i="61"/>
  <c r="AA289" i="61" a="1"/>
  <c r="AA289" i="61"/>
  <c r="V289" i="61" a="1"/>
  <c r="V289" i="61"/>
  <c r="R289" i="61" a="1"/>
  <c r="R289" i="61"/>
  <c r="N289" i="61" a="1"/>
  <c r="N289" i="61"/>
  <c r="J289" i="61" a="1"/>
  <c r="J289" i="61"/>
  <c r="I289" i="61" a="1"/>
  <c r="I289" i="61"/>
  <c r="BB288" i="61" a="1"/>
  <c r="BB288" i="61"/>
  <c r="AX288" i="61" a="1"/>
  <c r="AX288" i="61"/>
  <c r="AT288" i="61" a="1"/>
  <c r="AT288" i="61"/>
  <c r="AS288" i="61" a="1"/>
  <c r="AS288" i="61"/>
  <c r="AN288" i="61" a="1"/>
  <c r="AN288" i="61"/>
  <c r="AJ288" i="61" a="1"/>
  <c r="AJ288" i="61"/>
  <c r="AF288" i="61" a="1"/>
  <c r="AF288" i="61"/>
  <c r="AB288" i="61" a="1"/>
  <c r="AB288" i="61"/>
  <c r="AA288" i="61" a="1"/>
  <c r="AA288" i="61"/>
  <c r="V288" i="61" a="1"/>
  <c r="V288" i="61"/>
  <c r="R288" i="61" a="1"/>
  <c r="R288" i="61"/>
  <c r="N288" i="61" a="1"/>
  <c r="N288" i="61"/>
  <c r="J288" i="61" a="1"/>
  <c r="J288" i="61"/>
  <c r="I288" i="61" a="1"/>
  <c r="I288" i="61"/>
  <c r="BB287" i="61" a="1"/>
  <c r="BB287" i="61"/>
  <c r="AX287" i="61" a="1"/>
  <c r="AX287" i="61"/>
  <c r="AT287" i="61" a="1"/>
  <c r="AT287" i="61"/>
  <c r="AS287" i="61" a="1"/>
  <c r="AS287" i="61"/>
  <c r="AN287" i="61" a="1"/>
  <c r="AN287" i="61"/>
  <c r="AJ287" i="61" a="1"/>
  <c r="AJ287" i="61"/>
  <c r="AF287" i="61" a="1"/>
  <c r="AF287" i="61"/>
  <c r="AB287" i="61" a="1"/>
  <c r="AB287" i="61"/>
  <c r="AA287" i="61" a="1"/>
  <c r="AA287" i="61"/>
  <c r="V287" i="61" a="1"/>
  <c r="V287" i="61"/>
  <c r="R287" i="61" a="1"/>
  <c r="R287" i="61"/>
  <c r="N287" i="61" a="1"/>
  <c r="N287" i="61"/>
  <c r="J287" i="61" a="1"/>
  <c r="J287" i="61"/>
  <c r="I287" i="61" a="1"/>
  <c r="I287" i="61"/>
  <c r="BB286" i="61" a="1"/>
  <c r="BB286" i="61"/>
  <c r="AX286" i="61" a="1"/>
  <c r="AX286" i="61"/>
  <c r="AT286" i="61" a="1"/>
  <c r="AT286" i="61"/>
  <c r="AS286" i="61" a="1"/>
  <c r="AS286" i="61"/>
  <c r="AN286" i="61" a="1"/>
  <c r="AN286" i="61"/>
  <c r="AJ286" i="61" a="1"/>
  <c r="AJ286" i="61"/>
  <c r="AF286" i="61" a="1"/>
  <c r="AF286" i="61"/>
  <c r="AB286" i="61" a="1"/>
  <c r="AB286" i="61"/>
  <c r="AA286" i="61" a="1"/>
  <c r="AA286" i="61"/>
  <c r="V286" i="61" a="1"/>
  <c r="V286" i="61"/>
  <c r="R286" i="61" a="1"/>
  <c r="R286" i="61"/>
  <c r="N286" i="61" a="1"/>
  <c r="N286" i="61"/>
  <c r="J286" i="61" a="1"/>
  <c r="J286" i="61"/>
  <c r="I286" i="61" a="1"/>
  <c r="I286" i="61"/>
  <c r="BB285" i="61" a="1"/>
  <c r="BB285" i="61"/>
  <c r="AX285" i="61" a="1"/>
  <c r="AX285" i="61"/>
  <c r="AT285" i="61" a="1"/>
  <c r="AT285" i="61"/>
  <c r="AS285" i="61" a="1"/>
  <c r="AS285" i="61"/>
  <c r="AN285" i="61" a="1"/>
  <c r="AN285" i="61"/>
  <c r="AJ285" i="61" a="1"/>
  <c r="AJ285" i="61"/>
  <c r="AF285" i="61" a="1"/>
  <c r="AF285" i="61"/>
  <c r="AB285" i="61" a="1"/>
  <c r="AB285" i="61"/>
  <c r="AA285" i="61" a="1"/>
  <c r="AA285" i="61"/>
  <c r="V285" i="61" a="1"/>
  <c r="V285" i="61"/>
  <c r="R285" i="61" a="1"/>
  <c r="R285" i="61"/>
  <c r="N285" i="61" a="1"/>
  <c r="N285" i="61"/>
  <c r="J285" i="61" a="1"/>
  <c r="J285" i="61"/>
  <c r="I285" i="61" a="1"/>
  <c r="I285" i="61"/>
  <c r="BB284" i="61" a="1"/>
  <c r="BB284" i="61"/>
  <c r="AX284" i="61" a="1"/>
  <c r="AX284" i="61"/>
  <c r="AT284" i="61" a="1"/>
  <c r="AT284" i="61"/>
  <c r="AS284" i="61" a="1"/>
  <c r="AS284" i="61"/>
  <c r="AN284" i="61" a="1"/>
  <c r="AN284" i="61"/>
  <c r="AJ284" i="61" a="1"/>
  <c r="AJ284" i="61"/>
  <c r="AF284" i="61" a="1"/>
  <c r="AF284" i="61"/>
  <c r="AB284" i="61" a="1"/>
  <c r="AB284" i="61"/>
  <c r="AA284" i="61" a="1"/>
  <c r="AA284" i="61"/>
  <c r="V284" i="61" a="1"/>
  <c r="V284" i="61"/>
  <c r="R284" i="61" a="1"/>
  <c r="R284" i="61"/>
  <c r="N284" i="61" a="1"/>
  <c r="N284" i="61"/>
  <c r="J284" i="61" a="1"/>
  <c r="J284" i="61"/>
  <c r="I284" i="61" a="1"/>
  <c r="I284" i="61"/>
  <c r="BB283" i="61" a="1"/>
  <c r="BB283" i="61"/>
  <c r="AX283" i="61" a="1"/>
  <c r="AX283" i="61"/>
  <c r="AT283" i="61" a="1"/>
  <c r="AT283" i="61"/>
  <c r="AS283" i="61" a="1"/>
  <c r="AS283" i="61"/>
  <c r="AN283" i="61" a="1"/>
  <c r="AN283" i="61"/>
  <c r="AJ283" i="61" a="1"/>
  <c r="AJ283" i="61"/>
  <c r="AF283" i="61" a="1"/>
  <c r="AF283" i="61"/>
  <c r="AB283" i="61" a="1"/>
  <c r="AB283" i="61"/>
  <c r="AA283" i="61" a="1"/>
  <c r="AA283" i="61"/>
  <c r="V283" i="61" a="1"/>
  <c r="V283" i="61"/>
  <c r="R283" i="61" a="1"/>
  <c r="R283" i="61"/>
  <c r="N283" i="61" a="1"/>
  <c r="N283" i="61"/>
  <c r="J283" i="61" a="1"/>
  <c r="J283" i="61"/>
  <c r="I283" i="61" a="1"/>
  <c r="I283" i="61"/>
  <c r="BB282" i="61" a="1"/>
  <c r="BB282" i="61"/>
  <c r="AX282" i="61" a="1"/>
  <c r="AX282" i="61"/>
  <c r="AT282" i="61" a="1"/>
  <c r="AT282" i="61"/>
  <c r="AS282" i="61" a="1"/>
  <c r="AS282" i="61"/>
  <c r="AN282" i="61" a="1"/>
  <c r="AN282" i="61"/>
  <c r="AJ282" i="61" a="1"/>
  <c r="AJ282" i="61"/>
  <c r="AF282" i="61" a="1"/>
  <c r="AF282" i="61"/>
  <c r="AB282" i="61" a="1"/>
  <c r="AB282" i="61"/>
  <c r="AA282" i="61" a="1"/>
  <c r="AA282" i="61"/>
  <c r="V282" i="61" a="1"/>
  <c r="V282" i="61"/>
  <c r="R282" i="61" a="1"/>
  <c r="R282" i="61"/>
  <c r="N282" i="61" a="1"/>
  <c r="N282" i="61"/>
  <c r="J282" i="61" a="1"/>
  <c r="J282" i="61"/>
  <c r="I282" i="61" a="1"/>
  <c r="I282" i="61"/>
  <c r="BB281" i="61" a="1"/>
  <c r="BB281" i="61"/>
  <c r="AX281" i="61" a="1"/>
  <c r="AX281" i="61"/>
  <c r="AT281" i="61" a="1"/>
  <c r="AT281" i="61"/>
  <c r="AS281" i="61" a="1"/>
  <c r="AS281" i="61"/>
  <c r="AN281" i="61" a="1"/>
  <c r="AN281" i="61"/>
  <c r="AJ281" i="61" a="1"/>
  <c r="AJ281" i="61"/>
  <c r="AF281" i="61" a="1"/>
  <c r="AF281" i="61"/>
  <c r="AB281" i="61" a="1"/>
  <c r="AB281" i="61"/>
  <c r="AA281" i="61" a="1"/>
  <c r="AA281" i="61"/>
  <c r="V281" i="61" a="1"/>
  <c r="V281" i="61"/>
  <c r="R281" i="61" a="1"/>
  <c r="R281" i="61"/>
  <c r="N281" i="61" a="1"/>
  <c r="N281" i="61"/>
  <c r="J281" i="61" a="1"/>
  <c r="J281" i="61"/>
  <c r="I281" i="61" a="1"/>
  <c r="I281" i="61"/>
  <c r="BB280" i="61" a="1"/>
  <c r="BB280" i="61"/>
  <c r="AX280" i="61" a="1"/>
  <c r="AX280" i="61"/>
  <c r="AT280" i="61" a="1"/>
  <c r="AT280" i="61"/>
  <c r="AS280" i="61" a="1"/>
  <c r="AS280" i="61"/>
  <c r="AN280" i="61" a="1"/>
  <c r="AN280" i="61"/>
  <c r="AJ280" i="61" a="1"/>
  <c r="AJ280" i="61"/>
  <c r="AF280" i="61" a="1"/>
  <c r="AF280" i="61"/>
  <c r="AB280" i="61" a="1"/>
  <c r="AB280" i="61"/>
  <c r="AA280" i="61" a="1"/>
  <c r="AA280" i="61"/>
  <c r="V280" i="61" a="1"/>
  <c r="V280" i="61"/>
  <c r="R280" i="61" a="1"/>
  <c r="R280" i="61"/>
  <c r="N280" i="61" a="1"/>
  <c r="N280" i="61"/>
  <c r="J280" i="61" a="1"/>
  <c r="J280" i="61"/>
  <c r="I280" i="61" a="1"/>
  <c r="I280" i="61"/>
  <c r="BB279" i="61" a="1"/>
  <c r="BB279" i="61"/>
  <c r="AX279" i="61" a="1"/>
  <c r="AX279" i="61"/>
  <c r="AT279" i="61" a="1"/>
  <c r="AT279" i="61"/>
  <c r="AS279" i="61" a="1"/>
  <c r="AS279" i="61"/>
  <c r="AN279" i="61" a="1"/>
  <c r="AN279" i="61"/>
  <c r="AJ279" i="61" a="1"/>
  <c r="AJ279" i="61"/>
  <c r="AF279" i="61" a="1"/>
  <c r="AF279" i="61"/>
  <c r="AB279" i="61" a="1"/>
  <c r="AB279" i="61"/>
  <c r="AA279" i="61" a="1"/>
  <c r="AA279" i="61"/>
  <c r="V279" i="61" a="1"/>
  <c r="V279" i="61"/>
  <c r="R279" i="61" a="1"/>
  <c r="R279" i="61"/>
  <c r="N279" i="61" a="1"/>
  <c r="N279" i="61"/>
  <c r="J279" i="61" a="1"/>
  <c r="J279" i="61"/>
  <c r="I279" i="61" a="1"/>
  <c r="I279" i="61"/>
  <c r="BB278" i="61" a="1"/>
  <c r="BB278" i="61"/>
  <c r="AX278" i="61" a="1"/>
  <c r="AX278" i="61"/>
  <c r="AT278" i="61" a="1"/>
  <c r="AT278" i="61"/>
  <c r="AS278" i="61" a="1"/>
  <c r="AS278" i="61"/>
  <c r="AN278" i="61" a="1"/>
  <c r="AN278" i="61"/>
  <c r="AJ278" i="61" a="1"/>
  <c r="AJ278" i="61"/>
  <c r="AF278" i="61" a="1"/>
  <c r="AF278" i="61"/>
  <c r="AB278" i="61" a="1"/>
  <c r="AB278" i="61"/>
  <c r="AA278" i="61" a="1"/>
  <c r="AA278" i="61"/>
  <c r="V278" i="61" a="1"/>
  <c r="V278" i="61"/>
  <c r="R278" i="61" a="1"/>
  <c r="R278" i="61"/>
  <c r="N278" i="61" a="1"/>
  <c r="N278" i="61"/>
  <c r="J278" i="61" a="1"/>
  <c r="J278" i="61"/>
  <c r="I278" i="61" a="1"/>
  <c r="I278" i="61"/>
  <c r="BB277" i="61" a="1"/>
  <c r="BB277" i="61"/>
  <c r="AX277" i="61" a="1"/>
  <c r="AX277" i="61"/>
  <c r="AT277" i="61" a="1"/>
  <c r="AT277" i="61"/>
  <c r="AS277" i="61" a="1"/>
  <c r="AS277" i="61"/>
  <c r="AN277" i="61" a="1"/>
  <c r="AN277" i="61"/>
  <c r="AJ277" i="61" a="1"/>
  <c r="AJ277" i="61"/>
  <c r="AF277" i="61" a="1"/>
  <c r="AF277" i="61"/>
  <c r="AB277" i="61" a="1"/>
  <c r="AB277" i="61"/>
  <c r="AA277" i="61" a="1"/>
  <c r="AA277" i="61"/>
  <c r="V277" i="61" a="1"/>
  <c r="V277" i="61"/>
  <c r="R277" i="61" a="1"/>
  <c r="R277" i="61"/>
  <c r="N277" i="61" a="1"/>
  <c r="N277" i="61"/>
  <c r="J277" i="61" a="1"/>
  <c r="J277" i="61"/>
  <c r="I277" i="61" a="1"/>
  <c r="I277" i="61"/>
  <c r="BB276" i="61" a="1"/>
  <c r="BB276" i="61"/>
  <c r="AX276" i="61" a="1"/>
  <c r="AX276" i="61"/>
  <c r="AT276" i="61" a="1"/>
  <c r="AT276" i="61"/>
  <c r="AS276" i="61" a="1"/>
  <c r="AS276" i="61"/>
  <c r="AN276" i="61" a="1"/>
  <c r="AN276" i="61"/>
  <c r="AJ276" i="61" a="1"/>
  <c r="AJ276" i="61"/>
  <c r="AF276" i="61" a="1"/>
  <c r="AF276" i="61"/>
  <c r="AB276" i="61" a="1"/>
  <c r="AB276" i="61"/>
  <c r="AA276" i="61" a="1"/>
  <c r="AA276" i="61"/>
  <c r="V276" i="61" a="1"/>
  <c r="V276" i="61"/>
  <c r="R276" i="61" a="1"/>
  <c r="R276" i="61"/>
  <c r="N276" i="61" a="1"/>
  <c r="N276" i="61"/>
  <c r="J276" i="61" a="1"/>
  <c r="J276" i="61"/>
  <c r="I276" i="61" a="1"/>
  <c r="I276" i="61"/>
  <c r="BB275" i="61" a="1"/>
  <c r="BB275" i="61"/>
  <c r="AX275" i="61" a="1"/>
  <c r="AX275" i="61"/>
  <c r="AT275" i="61" a="1"/>
  <c r="AT275" i="61"/>
  <c r="AS275" i="61" a="1"/>
  <c r="AS275" i="61"/>
  <c r="AN275" i="61" a="1"/>
  <c r="AN275" i="61"/>
  <c r="AJ275" i="61" a="1"/>
  <c r="AJ275" i="61"/>
  <c r="AF275" i="61" a="1"/>
  <c r="AF275" i="61"/>
  <c r="AB275" i="61" a="1"/>
  <c r="AB275" i="61"/>
  <c r="AA275" i="61" a="1"/>
  <c r="AA275" i="61"/>
  <c r="V275" i="61" a="1"/>
  <c r="V275" i="61"/>
  <c r="R275" i="61" a="1"/>
  <c r="R275" i="61"/>
  <c r="N275" i="61" a="1"/>
  <c r="N275" i="61"/>
  <c r="J275" i="61" a="1"/>
  <c r="J275" i="61"/>
  <c r="I275" i="61" a="1"/>
  <c r="I275" i="61"/>
  <c r="BB274" i="61" a="1"/>
  <c r="BB274" i="61"/>
  <c r="AX274" i="61" a="1"/>
  <c r="AX274" i="61"/>
  <c r="AT274" i="61" a="1"/>
  <c r="AT274" i="61"/>
  <c r="AS274" i="61" a="1"/>
  <c r="AS274" i="61"/>
  <c r="AN274" i="61" a="1"/>
  <c r="AN274" i="61"/>
  <c r="AJ274" i="61" a="1"/>
  <c r="AJ274" i="61"/>
  <c r="AF274" i="61" a="1"/>
  <c r="AF274" i="61"/>
  <c r="AB274" i="61" a="1"/>
  <c r="AB274" i="61"/>
  <c r="AA274" i="61" a="1"/>
  <c r="AA274" i="61"/>
  <c r="V274" i="61" a="1"/>
  <c r="V274" i="61"/>
  <c r="R274" i="61" a="1"/>
  <c r="R274" i="61"/>
  <c r="N274" i="61" a="1"/>
  <c r="N274" i="61"/>
  <c r="J274" i="61" a="1"/>
  <c r="J274" i="61"/>
  <c r="I274" i="61" a="1"/>
  <c r="I274" i="61"/>
  <c r="BB273" i="61" a="1"/>
  <c r="BB273" i="61"/>
  <c r="AX273" i="61" a="1"/>
  <c r="AX273" i="61"/>
  <c r="AT273" i="61" a="1"/>
  <c r="AT273" i="61"/>
  <c r="AS273" i="61" a="1"/>
  <c r="AS273" i="61"/>
  <c r="AN273" i="61" a="1"/>
  <c r="AN273" i="61"/>
  <c r="AJ273" i="61" a="1"/>
  <c r="AJ273" i="61"/>
  <c r="AF273" i="61" a="1"/>
  <c r="AF273" i="61"/>
  <c r="AB273" i="61" a="1"/>
  <c r="AB273" i="61"/>
  <c r="AA273" i="61" a="1"/>
  <c r="AA273" i="61"/>
  <c r="V273" i="61" a="1"/>
  <c r="V273" i="61"/>
  <c r="R273" i="61" a="1"/>
  <c r="R273" i="61"/>
  <c r="N273" i="61" a="1"/>
  <c r="N273" i="61"/>
  <c r="J273" i="61" a="1"/>
  <c r="J273" i="61"/>
  <c r="I273" i="61" a="1"/>
  <c r="I273" i="61"/>
  <c r="BB272" i="61" a="1"/>
  <c r="BB272" i="61"/>
  <c r="AX272" i="61" a="1"/>
  <c r="AX272" i="61"/>
  <c r="AT272" i="61" a="1"/>
  <c r="AT272" i="61"/>
  <c r="AS272" i="61" a="1"/>
  <c r="AS272" i="61"/>
  <c r="AN272" i="61" a="1"/>
  <c r="AN272" i="61"/>
  <c r="AJ272" i="61" a="1"/>
  <c r="AJ272" i="61"/>
  <c r="AF272" i="61" a="1"/>
  <c r="AF272" i="61"/>
  <c r="AB272" i="61" a="1"/>
  <c r="AB272" i="61"/>
  <c r="AA272" i="61" a="1"/>
  <c r="AA272" i="61"/>
  <c r="V272" i="61" a="1"/>
  <c r="V272" i="61"/>
  <c r="R272" i="61" a="1"/>
  <c r="R272" i="61"/>
  <c r="N272" i="61" a="1"/>
  <c r="N272" i="61"/>
  <c r="J272" i="61" a="1"/>
  <c r="J272" i="61"/>
  <c r="I272" i="61" a="1"/>
  <c r="I272" i="61"/>
  <c r="BB271" i="61" a="1"/>
  <c r="BB271" i="61"/>
  <c r="AX271" i="61" a="1"/>
  <c r="AX271" i="61"/>
  <c r="AT271" i="61" a="1"/>
  <c r="AT271" i="61"/>
  <c r="AS271" i="61" a="1"/>
  <c r="AS271" i="61"/>
  <c r="AN271" i="61" a="1"/>
  <c r="AN271" i="61"/>
  <c r="AJ271" i="61" a="1"/>
  <c r="AJ271" i="61"/>
  <c r="AF271" i="61" a="1"/>
  <c r="AF271" i="61"/>
  <c r="AB271" i="61" a="1"/>
  <c r="AB271" i="61"/>
  <c r="AA271" i="61" a="1"/>
  <c r="AA271" i="61"/>
  <c r="V271" i="61" a="1"/>
  <c r="V271" i="61"/>
  <c r="R271" i="61" a="1"/>
  <c r="R271" i="61"/>
  <c r="N271" i="61" a="1"/>
  <c r="N271" i="61"/>
  <c r="J271" i="61" a="1"/>
  <c r="J271" i="61"/>
  <c r="I271" i="61" a="1"/>
  <c r="I271" i="61"/>
  <c r="BB270" i="61" a="1"/>
  <c r="BB270" i="61"/>
  <c r="AX270" i="61" a="1"/>
  <c r="AX270" i="61"/>
  <c r="AT270" i="61" a="1"/>
  <c r="AT270" i="61"/>
  <c r="AS270" i="61" a="1"/>
  <c r="AS270" i="61"/>
  <c r="AN270" i="61" a="1"/>
  <c r="AN270" i="61"/>
  <c r="AJ270" i="61" a="1"/>
  <c r="AJ270" i="61"/>
  <c r="AF270" i="61" a="1"/>
  <c r="AF270" i="61"/>
  <c r="AB270" i="61" a="1"/>
  <c r="AB270" i="61"/>
  <c r="AA270" i="61" a="1"/>
  <c r="AA270" i="61"/>
  <c r="V270" i="61" a="1"/>
  <c r="V270" i="61"/>
  <c r="R270" i="61" a="1"/>
  <c r="R270" i="61"/>
  <c r="N270" i="61" a="1"/>
  <c r="N270" i="61"/>
  <c r="J270" i="61" a="1"/>
  <c r="J270" i="61"/>
  <c r="I270" i="61" a="1"/>
  <c r="I270" i="61"/>
  <c r="BF266" i="61" a="1"/>
  <c r="BF266" i="61"/>
  <c r="BB266" i="61" a="1"/>
  <c r="BB266" i="61"/>
  <c r="AX266" i="61" a="1"/>
  <c r="AX266" i="61"/>
  <c r="AT266" i="61" a="1"/>
  <c r="AT266" i="61"/>
  <c r="AS266" i="61" a="1"/>
  <c r="AS266" i="61"/>
  <c r="AN266" i="61" a="1"/>
  <c r="AN266" i="61"/>
  <c r="AJ266" i="61" a="1"/>
  <c r="AJ266" i="61"/>
  <c r="AF266" i="61" a="1"/>
  <c r="AF266" i="61"/>
  <c r="AB266" i="61" a="1"/>
  <c r="AB266" i="61"/>
  <c r="AA266" i="61" a="1"/>
  <c r="AA266" i="61"/>
  <c r="V266" i="61" a="1"/>
  <c r="V266" i="61"/>
  <c r="R266" i="61" a="1"/>
  <c r="R266" i="61"/>
  <c r="N266" i="61" a="1"/>
  <c r="N266" i="61"/>
  <c r="J266" i="61" a="1"/>
  <c r="J266" i="61"/>
  <c r="I266" i="61" a="1"/>
  <c r="I266" i="61"/>
  <c r="BF265" i="61" a="1"/>
  <c r="BF265" i="61"/>
  <c r="BB265" i="61" a="1"/>
  <c r="BB265" i="61"/>
  <c r="AX265" i="61" a="1"/>
  <c r="AX265" i="61"/>
  <c r="AT265" i="61" a="1"/>
  <c r="AT265" i="61"/>
  <c r="AS265" i="61" a="1"/>
  <c r="AS265" i="61"/>
  <c r="AN265" i="61" a="1"/>
  <c r="AN265" i="61"/>
  <c r="AJ265" i="61" a="1"/>
  <c r="AJ265" i="61"/>
  <c r="AF265" i="61" a="1"/>
  <c r="AF265" i="61"/>
  <c r="AB265" i="61" a="1"/>
  <c r="AB265" i="61"/>
  <c r="AA265" i="61" a="1"/>
  <c r="AA265" i="61"/>
  <c r="V265" i="61" a="1"/>
  <c r="V265" i="61"/>
  <c r="R265" i="61" a="1"/>
  <c r="R265" i="61"/>
  <c r="N265" i="61" a="1"/>
  <c r="N265" i="61"/>
  <c r="J265" i="61" a="1"/>
  <c r="J265" i="61"/>
  <c r="I265" i="61" a="1"/>
  <c r="I265" i="61"/>
  <c r="BF264" i="61" a="1"/>
  <c r="BF264" i="61"/>
  <c r="BB264" i="61" a="1"/>
  <c r="BB264" i="61"/>
  <c r="AX264" i="61" a="1"/>
  <c r="AX264" i="61"/>
  <c r="AT264" i="61" a="1"/>
  <c r="AT264" i="61"/>
  <c r="AS264" i="61" a="1"/>
  <c r="AS264" i="61"/>
  <c r="AN264" i="61" a="1"/>
  <c r="AN264" i="61"/>
  <c r="AJ264" i="61" a="1"/>
  <c r="AJ264" i="61"/>
  <c r="AF264" i="61" a="1"/>
  <c r="AF264" i="61"/>
  <c r="AB264" i="61" a="1"/>
  <c r="AB264" i="61"/>
  <c r="AA264" i="61" a="1"/>
  <c r="AA264" i="61"/>
  <c r="V264" i="61" a="1"/>
  <c r="V264" i="61"/>
  <c r="R264" i="61" a="1"/>
  <c r="R264" i="61"/>
  <c r="N264" i="61" a="1"/>
  <c r="N264" i="61"/>
  <c r="J264" i="61" a="1"/>
  <c r="J264" i="61"/>
  <c r="I264" i="61" a="1"/>
  <c r="I264" i="61"/>
  <c r="BF263" i="61" a="1"/>
  <c r="BF263" i="61"/>
  <c r="BB263" i="61" a="1"/>
  <c r="BB263" i="61"/>
  <c r="AX263" i="61" a="1"/>
  <c r="AX263" i="61"/>
  <c r="AT263" i="61" a="1"/>
  <c r="AT263" i="61"/>
  <c r="AS263" i="61" a="1"/>
  <c r="AS263" i="61"/>
  <c r="AN263" i="61" a="1"/>
  <c r="AN263" i="61"/>
  <c r="AJ263" i="61" a="1"/>
  <c r="AJ263" i="61"/>
  <c r="AF263" i="61" a="1"/>
  <c r="AF263" i="61"/>
  <c r="AB263" i="61" a="1"/>
  <c r="AB263" i="61"/>
  <c r="AA263" i="61" a="1"/>
  <c r="AA263" i="61"/>
  <c r="V263" i="61" a="1"/>
  <c r="V263" i="61"/>
  <c r="R263" i="61" a="1"/>
  <c r="R263" i="61"/>
  <c r="N263" i="61" a="1"/>
  <c r="N263" i="61"/>
  <c r="J263" i="61" a="1"/>
  <c r="J263" i="61"/>
  <c r="I263" i="61" a="1"/>
  <c r="I263" i="61"/>
  <c r="BF262" i="61" a="1"/>
  <c r="BF262" i="61"/>
  <c r="BB262" i="61" a="1"/>
  <c r="BB262" i="61"/>
  <c r="AX262" i="61" a="1"/>
  <c r="AX262" i="61"/>
  <c r="AT262" i="61" a="1"/>
  <c r="AT262" i="61"/>
  <c r="AS262" i="61" a="1"/>
  <c r="AS262" i="61"/>
  <c r="AN262" i="61" a="1"/>
  <c r="AN262" i="61"/>
  <c r="AJ262" i="61" a="1"/>
  <c r="AJ262" i="61"/>
  <c r="AF262" i="61" a="1"/>
  <c r="AF262" i="61"/>
  <c r="AB262" i="61" a="1"/>
  <c r="AB262" i="61"/>
  <c r="AA262" i="61" a="1"/>
  <c r="AA262" i="61"/>
  <c r="V262" i="61" a="1"/>
  <c r="V262" i="61"/>
  <c r="R262" i="61" a="1"/>
  <c r="R262" i="61"/>
  <c r="N262" i="61" a="1"/>
  <c r="N262" i="61"/>
  <c r="J262" i="61" a="1"/>
  <c r="J262" i="61"/>
  <c r="I262" i="61" a="1"/>
  <c r="I262" i="61"/>
  <c r="BF261" i="61" a="1"/>
  <c r="BF261" i="61"/>
  <c r="BB261" i="61" a="1"/>
  <c r="BB261" i="61"/>
  <c r="AX261" i="61" a="1"/>
  <c r="AX261" i="61"/>
  <c r="AT261" i="61" a="1"/>
  <c r="AT261" i="61"/>
  <c r="AS261" i="61" a="1"/>
  <c r="AS261" i="61"/>
  <c r="AN261" i="61" a="1"/>
  <c r="AN261" i="61"/>
  <c r="AJ261" i="61" a="1"/>
  <c r="AJ261" i="61"/>
  <c r="AF261" i="61" a="1"/>
  <c r="AF261" i="61"/>
  <c r="AB261" i="61" a="1"/>
  <c r="AB261" i="61"/>
  <c r="AA261" i="61" a="1"/>
  <c r="AA261" i="61"/>
  <c r="V261" i="61" a="1"/>
  <c r="V261" i="61"/>
  <c r="R261" i="61" a="1"/>
  <c r="R261" i="61"/>
  <c r="N261" i="61" a="1"/>
  <c r="N261" i="61"/>
  <c r="J261" i="61" a="1"/>
  <c r="J261" i="61"/>
  <c r="I261" i="61" a="1"/>
  <c r="I261" i="61"/>
  <c r="BF260" i="61" a="1"/>
  <c r="BF260" i="61"/>
  <c r="BB260" i="61" a="1"/>
  <c r="BB260" i="61"/>
  <c r="AX260" i="61" a="1"/>
  <c r="AX260" i="61"/>
  <c r="AT260" i="61" a="1"/>
  <c r="AT260" i="61"/>
  <c r="AS260" i="61" a="1"/>
  <c r="AS260" i="61"/>
  <c r="AN260" i="61" a="1"/>
  <c r="AN260" i="61"/>
  <c r="AJ260" i="61" a="1"/>
  <c r="AJ260" i="61"/>
  <c r="AF260" i="61" a="1"/>
  <c r="AF260" i="61"/>
  <c r="AB260" i="61" a="1"/>
  <c r="AB260" i="61"/>
  <c r="AA260" i="61" a="1"/>
  <c r="AA260" i="61"/>
  <c r="V260" i="61" a="1"/>
  <c r="V260" i="61"/>
  <c r="R260" i="61" a="1"/>
  <c r="R260" i="61"/>
  <c r="N260" i="61" a="1"/>
  <c r="N260" i="61"/>
  <c r="J260" i="61" a="1"/>
  <c r="J260" i="61"/>
  <c r="I260" i="61" a="1"/>
  <c r="I260" i="61"/>
  <c r="BF259" i="61" a="1"/>
  <c r="BF259" i="61"/>
  <c r="BB259" i="61" a="1"/>
  <c r="BB259" i="61"/>
  <c r="AX259" i="61" a="1"/>
  <c r="AX259" i="61"/>
  <c r="AT259" i="61" a="1"/>
  <c r="AT259" i="61"/>
  <c r="AS259" i="61" a="1"/>
  <c r="AS259" i="61"/>
  <c r="AN259" i="61" a="1"/>
  <c r="AN259" i="61"/>
  <c r="AJ259" i="61" a="1"/>
  <c r="AJ259" i="61"/>
  <c r="AF259" i="61" a="1"/>
  <c r="AF259" i="61"/>
  <c r="AB259" i="61" a="1"/>
  <c r="AB259" i="61"/>
  <c r="AA259" i="61" a="1"/>
  <c r="AA259" i="61"/>
  <c r="V259" i="61" a="1"/>
  <c r="V259" i="61"/>
  <c r="R259" i="61" a="1"/>
  <c r="R259" i="61"/>
  <c r="N259" i="61" a="1"/>
  <c r="N259" i="61"/>
  <c r="J259" i="61" a="1"/>
  <c r="J259" i="61"/>
  <c r="I259" i="61" a="1"/>
  <c r="I259" i="61"/>
  <c r="BF258" i="61" a="1"/>
  <c r="BF258" i="61"/>
  <c r="BB258" i="61" a="1"/>
  <c r="BB258" i="61"/>
  <c r="AX258" i="61" a="1"/>
  <c r="AX258" i="61"/>
  <c r="AT258" i="61" a="1"/>
  <c r="AT258" i="61"/>
  <c r="AS258" i="61" a="1"/>
  <c r="AS258" i="61"/>
  <c r="AN258" i="61" a="1"/>
  <c r="AN258" i="61"/>
  <c r="AJ258" i="61" a="1"/>
  <c r="AJ258" i="61"/>
  <c r="AF258" i="61" a="1"/>
  <c r="AF258" i="61"/>
  <c r="AB258" i="61" a="1"/>
  <c r="AB258" i="61"/>
  <c r="AA258" i="61" a="1"/>
  <c r="AA258" i="61"/>
  <c r="V258" i="61" a="1"/>
  <c r="V258" i="61"/>
  <c r="R258" i="61" a="1"/>
  <c r="R258" i="61"/>
  <c r="N258" i="61" a="1"/>
  <c r="N258" i="61"/>
  <c r="J258" i="61" a="1"/>
  <c r="J258" i="61"/>
  <c r="I258" i="61" a="1"/>
  <c r="I258" i="61"/>
  <c r="BF257" i="61" a="1"/>
  <c r="BF257" i="61"/>
  <c r="BB257" i="61" a="1"/>
  <c r="BB257" i="61"/>
  <c r="AX257" i="61" a="1"/>
  <c r="AX257" i="61"/>
  <c r="AT257" i="61" a="1"/>
  <c r="AT257" i="61"/>
  <c r="AS257" i="61" a="1"/>
  <c r="AS257" i="61"/>
  <c r="AN257" i="61" a="1"/>
  <c r="AN257" i="61"/>
  <c r="AJ257" i="61" a="1"/>
  <c r="AJ257" i="61"/>
  <c r="AF257" i="61" a="1"/>
  <c r="AF257" i="61"/>
  <c r="AB257" i="61" a="1"/>
  <c r="AB257" i="61"/>
  <c r="AA257" i="61" a="1"/>
  <c r="AA257" i="61"/>
  <c r="V257" i="61" a="1"/>
  <c r="V257" i="61"/>
  <c r="R257" i="61" a="1"/>
  <c r="R257" i="61"/>
  <c r="N257" i="61" a="1"/>
  <c r="N257" i="61"/>
  <c r="J257" i="61" a="1"/>
  <c r="J257" i="61"/>
  <c r="I257" i="61" a="1"/>
  <c r="I257" i="61"/>
  <c r="BF256" i="61" a="1"/>
  <c r="BF256" i="61"/>
  <c r="BB256" i="61" a="1"/>
  <c r="BB256" i="61"/>
  <c r="AX256" i="61" a="1"/>
  <c r="AX256" i="61"/>
  <c r="AT256" i="61" a="1"/>
  <c r="AT256" i="61"/>
  <c r="AS256" i="61" a="1"/>
  <c r="AS256" i="61"/>
  <c r="AN256" i="61" a="1"/>
  <c r="AN256" i="61"/>
  <c r="AJ256" i="61" a="1"/>
  <c r="AJ256" i="61"/>
  <c r="AF256" i="61" a="1"/>
  <c r="AF256" i="61"/>
  <c r="AB256" i="61" a="1"/>
  <c r="AB256" i="61"/>
  <c r="AA256" i="61" a="1"/>
  <c r="AA256" i="61"/>
  <c r="V256" i="61" a="1"/>
  <c r="V256" i="61"/>
  <c r="R256" i="61" a="1"/>
  <c r="R256" i="61"/>
  <c r="N256" i="61" a="1"/>
  <c r="N256" i="61"/>
  <c r="J256" i="61" a="1"/>
  <c r="J256" i="61"/>
  <c r="I256" i="61" a="1"/>
  <c r="I256" i="61"/>
  <c r="BF255" i="61" a="1"/>
  <c r="BF255" i="61"/>
  <c r="BB255" i="61" a="1"/>
  <c r="BB255" i="61"/>
  <c r="AX255" i="61" a="1"/>
  <c r="AX255" i="61"/>
  <c r="AT255" i="61" a="1"/>
  <c r="AT255" i="61"/>
  <c r="AS255" i="61" a="1"/>
  <c r="AS255" i="61"/>
  <c r="AN255" i="61" a="1"/>
  <c r="AN255" i="61"/>
  <c r="AJ255" i="61" a="1"/>
  <c r="AJ255" i="61"/>
  <c r="AF255" i="61" a="1"/>
  <c r="AF255" i="61"/>
  <c r="AB255" i="61" a="1"/>
  <c r="AB255" i="61"/>
  <c r="AA255" i="61" a="1"/>
  <c r="AA255" i="61"/>
  <c r="V255" i="61" a="1"/>
  <c r="V255" i="61"/>
  <c r="R255" i="61" a="1"/>
  <c r="R255" i="61"/>
  <c r="N255" i="61" a="1"/>
  <c r="N255" i="61"/>
  <c r="J255" i="61" a="1"/>
  <c r="J255" i="61"/>
  <c r="I255" i="61" a="1"/>
  <c r="I255" i="61"/>
  <c r="BF254" i="61" a="1"/>
  <c r="BF254" i="61"/>
  <c r="BB254" i="61" a="1"/>
  <c r="BB254" i="61"/>
  <c r="AX254" i="61" a="1"/>
  <c r="AX254" i="61"/>
  <c r="AT254" i="61" a="1"/>
  <c r="AT254" i="61"/>
  <c r="AS254" i="61" a="1"/>
  <c r="AS254" i="61"/>
  <c r="AN254" i="61" a="1"/>
  <c r="AN254" i="61"/>
  <c r="AJ254" i="61" a="1"/>
  <c r="AJ254" i="61"/>
  <c r="AF254" i="61" a="1"/>
  <c r="AF254" i="61"/>
  <c r="AB254" i="61" a="1"/>
  <c r="AB254" i="61"/>
  <c r="AA254" i="61" a="1"/>
  <c r="AA254" i="61"/>
  <c r="V254" i="61" a="1"/>
  <c r="V254" i="61"/>
  <c r="R254" i="61" a="1"/>
  <c r="R254" i="61"/>
  <c r="N254" i="61" a="1"/>
  <c r="N254" i="61"/>
  <c r="J254" i="61" a="1"/>
  <c r="J254" i="61"/>
  <c r="I254" i="61" a="1"/>
  <c r="I254" i="61"/>
  <c r="BF253" i="61" a="1"/>
  <c r="BF253" i="61"/>
  <c r="BB253" i="61" a="1"/>
  <c r="BB253" i="61"/>
  <c r="AX253" i="61" a="1"/>
  <c r="AX253" i="61"/>
  <c r="AT253" i="61" a="1"/>
  <c r="AT253" i="61"/>
  <c r="AS253" i="61" a="1"/>
  <c r="AS253" i="61"/>
  <c r="AN253" i="61" a="1"/>
  <c r="AN253" i="61"/>
  <c r="AJ253" i="61" a="1"/>
  <c r="AJ253" i="61"/>
  <c r="AF253" i="61" a="1"/>
  <c r="AF253" i="61"/>
  <c r="AB253" i="61" a="1"/>
  <c r="AB253" i="61"/>
  <c r="AA253" i="61" a="1"/>
  <c r="AA253" i="61"/>
  <c r="V253" i="61" a="1"/>
  <c r="V253" i="61"/>
  <c r="R253" i="61" a="1"/>
  <c r="R253" i="61"/>
  <c r="N253" i="61" a="1"/>
  <c r="N253" i="61"/>
  <c r="J253" i="61" a="1"/>
  <c r="J253" i="61"/>
  <c r="I253" i="61" a="1"/>
  <c r="I253" i="61"/>
  <c r="BF252" i="61" a="1"/>
  <c r="BF252" i="61"/>
  <c r="BB252" i="61" a="1"/>
  <c r="BB252" i="61"/>
  <c r="AX252" i="61" a="1"/>
  <c r="AX252" i="61"/>
  <c r="AT252" i="61" a="1"/>
  <c r="AT252" i="61"/>
  <c r="AS252" i="61" a="1"/>
  <c r="AS252" i="61"/>
  <c r="AN252" i="61" a="1"/>
  <c r="AN252" i="61"/>
  <c r="AJ252" i="61" a="1"/>
  <c r="AJ252" i="61"/>
  <c r="AF252" i="61" a="1"/>
  <c r="AF252" i="61"/>
  <c r="AB252" i="61" a="1"/>
  <c r="AB252" i="61"/>
  <c r="AA252" i="61" a="1"/>
  <c r="AA252" i="61"/>
  <c r="V252" i="61" a="1"/>
  <c r="V252" i="61"/>
  <c r="R252" i="61" a="1"/>
  <c r="R252" i="61"/>
  <c r="N252" i="61" a="1"/>
  <c r="N252" i="61"/>
  <c r="J252" i="61" a="1"/>
  <c r="J252" i="61"/>
  <c r="I252" i="61" a="1"/>
  <c r="I252" i="61"/>
  <c r="BF251" i="61" a="1"/>
  <c r="BF251" i="61"/>
  <c r="BB251" i="61" a="1"/>
  <c r="BB251" i="61"/>
  <c r="AX251" i="61" a="1"/>
  <c r="AX251" i="61"/>
  <c r="AT251" i="61" a="1"/>
  <c r="AT251" i="61"/>
  <c r="AS251" i="61" a="1"/>
  <c r="AS251" i="61"/>
  <c r="AN251" i="61" a="1"/>
  <c r="AN251" i="61"/>
  <c r="AJ251" i="61" a="1"/>
  <c r="AJ251" i="61"/>
  <c r="AF251" i="61" a="1"/>
  <c r="AF251" i="61"/>
  <c r="AB251" i="61" a="1"/>
  <c r="AB251" i="61"/>
  <c r="AA251" i="61" a="1"/>
  <c r="AA251" i="61"/>
  <c r="V251" i="61" a="1"/>
  <c r="V251" i="61"/>
  <c r="R251" i="61" a="1"/>
  <c r="R251" i="61"/>
  <c r="N251" i="61" a="1"/>
  <c r="N251" i="61"/>
  <c r="J251" i="61" a="1"/>
  <c r="J251" i="61"/>
  <c r="I251" i="61" a="1"/>
  <c r="I251" i="61"/>
  <c r="BF250" i="61" a="1"/>
  <c r="BF250" i="61"/>
  <c r="BB250" i="61" a="1"/>
  <c r="BB250" i="61"/>
  <c r="AX250" i="61" a="1"/>
  <c r="AX250" i="61"/>
  <c r="AT250" i="61" a="1"/>
  <c r="AT250" i="61"/>
  <c r="AS250" i="61" a="1"/>
  <c r="AS250" i="61"/>
  <c r="AN250" i="61" a="1"/>
  <c r="AN250" i="61"/>
  <c r="AJ250" i="61" a="1"/>
  <c r="AJ250" i="61"/>
  <c r="AF250" i="61" a="1"/>
  <c r="AF250" i="61"/>
  <c r="AB250" i="61" a="1"/>
  <c r="AB250" i="61"/>
  <c r="AA250" i="61" a="1"/>
  <c r="AA250" i="61"/>
  <c r="V250" i="61" a="1"/>
  <c r="V250" i="61"/>
  <c r="R250" i="61" a="1"/>
  <c r="R250" i="61"/>
  <c r="N250" i="61" a="1"/>
  <c r="N250" i="61"/>
  <c r="J250" i="61" a="1"/>
  <c r="J250" i="61"/>
  <c r="I250" i="61" a="1"/>
  <c r="I250" i="61"/>
  <c r="BF249" i="61" a="1"/>
  <c r="BF249" i="61"/>
  <c r="BB249" i="61" a="1"/>
  <c r="BB249" i="61"/>
  <c r="AX249" i="61" a="1"/>
  <c r="AX249" i="61"/>
  <c r="AT249" i="61" a="1"/>
  <c r="AT249" i="61"/>
  <c r="AS249" i="61" a="1"/>
  <c r="AS249" i="61"/>
  <c r="AN249" i="61" a="1"/>
  <c r="AN249" i="61"/>
  <c r="AJ249" i="61" a="1"/>
  <c r="AJ249" i="61"/>
  <c r="AF249" i="61" a="1"/>
  <c r="AF249" i="61"/>
  <c r="AB249" i="61" a="1"/>
  <c r="AB249" i="61"/>
  <c r="AA249" i="61" a="1"/>
  <c r="AA249" i="61"/>
  <c r="V249" i="61" a="1"/>
  <c r="V249" i="61"/>
  <c r="R249" i="61" a="1"/>
  <c r="R249" i="61"/>
  <c r="N249" i="61" a="1"/>
  <c r="N249" i="61"/>
  <c r="J249" i="61" a="1"/>
  <c r="J249" i="61"/>
  <c r="I249" i="61" a="1"/>
  <c r="I249" i="61"/>
  <c r="BF248" i="61" a="1"/>
  <c r="BF248" i="61"/>
  <c r="BB248" i="61" a="1"/>
  <c r="BB248" i="61"/>
  <c r="AX248" i="61" a="1"/>
  <c r="AX248" i="61"/>
  <c r="AT248" i="61" a="1"/>
  <c r="AT248" i="61"/>
  <c r="AS248" i="61" a="1"/>
  <c r="AS248" i="61"/>
  <c r="AN248" i="61" a="1"/>
  <c r="AN248" i="61"/>
  <c r="AJ248" i="61" a="1"/>
  <c r="AJ248" i="61"/>
  <c r="AF248" i="61" a="1"/>
  <c r="AF248" i="61"/>
  <c r="AB248" i="61" a="1"/>
  <c r="AB248" i="61"/>
  <c r="AA248" i="61" a="1"/>
  <c r="AA248" i="61"/>
  <c r="V248" i="61" a="1"/>
  <c r="V248" i="61"/>
  <c r="R248" i="61" a="1"/>
  <c r="R248" i="61"/>
  <c r="N248" i="61" a="1"/>
  <c r="N248" i="61"/>
  <c r="J248" i="61" a="1"/>
  <c r="J248" i="61"/>
  <c r="I248" i="61" a="1"/>
  <c r="I248" i="61"/>
  <c r="BF246" i="61" a="1"/>
  <c r="BF246" i="61"/>
  <c r="BB246" i="61" a="1"/>
  <c r="BB246" i="61"/>
  <c r="AX246" i="61" a="1"/>
  <c r="AX246" i="61"/>
  <c r="AT246" i="61" a="1"/>
  <c r="AT246" i="61"/>
  <c r="AS246" i="61" a="1"/>
  <c r="AS246" i="61"/>
  <c r="AN246" i="61" a="1"/>
  <c r="AN246" i="61"/>
  <c r="AJ246" i="61" a="1"/>
  <c r="AJ246" i="61"/>
  <c r="AF246" i="61" a="1"/>
  <c r="AF246" i="61"/>
  <c r="AB246" i="61" a="1"/>
  <c r="AB246" i="61"/>
  <c r="AA246" i="61" a="1"/>
  <c r="AA246" i="61"/>
  <c r="V246" i="61" a="1"/>
  <c r="V246" i="61"/>
  <c r="R246" i="61" a="1"/>
  <c r="R246" i="61"/>
  <c r="N246" i="61" a="1"/>
  <c r="N246" i="61"/>
  <c r="J246" i="61" a="1"/>
  <c r="J246" i="61"/>
  <c r="I246" i="61" a="1"/>
  <c r="I246" i="61"/>
  <c r="BF245" i="61" a="1"/>
  <c r="BF245" i="61"/>
  <c r="BB245" i="61" a="1"/>
  <c r="BB245" i="61"/>
  <c r="AX245" i="61" a="1"/>
  <c r="AX245" i="61"/>
  <c r="AT245" i="61" a="1"/>
  <c r="AT245" i="61"/>
  <c r="AS245" i="61" a="1"/>
  <c r="AS245" i="61"/>
  <c r="AN245" i="61" a="1"/>
  <c r="AN245" i="61"/>
  <c r="AJ245" i="61" a="1"/>
  <c r="AJ245" i="61"/>
  <c r="AF245" i="61" a="1"/>
  <c r="AF245" i="61"/>
  <c r="AB245" i="61" a="1"/>
  <c r="AB245" i="61"/>
  <c r="AA245" i="61" a="1"/>
  <c r="AA245" i="61"/>
  <c r="V245" i="61" a="1"/>
  <c r="V245" i="61"/>
  <c r="R245" i="61" a="1"/>
  <c r="R245" i="61"/>
  <c r="N245" i="61" a="1"/>
  <c r="N245" i="61"/>
  <c r="J245" i="61" a="1"/>
  <c r="J245" i="61"/>
  <c r="I245" i="61" a="1"/>
  <c r="I245" i="61"/>
  <c r="BF244" i="61" a="1"/>
  <c r="BF244" i="61"/>
  <c r="BB244" i="61" a="1"/>
  <c r="BB244" i="61"/>
  <c r="AX244" i="61" a="1"/>
  <c r="AX244" i="61"/>
  <c r="AT244" i="61" a="1"/>
  <c r="AT244" i="61"/>
  <c r="AS244" i="61" a="1"/>
  <c r="AS244" i="61"/>
  <c r="AN244" i="61" a="1"/>
  <c r="AN244" i="61"/>
  <c r="AJ244" i="61" a="1"/>
  <c r="AJ244" i="61"/>
  <c r="AF244" i="61" a="1"/>
  <c r="AF244" i="61"/>
  <c r="AB244" i="61" a="1"/>
  <c r="AB244" i="61"/>
  <c r="AA244" i="61" a="1"/>
  <c r="AA244" i="61"/>
  <c r="V244" i="61" a="1"/>
  <c r="V244" i="61"/>
  <c r="R244" i="61" a="1"/>
  <c r="R244" i="61"/>
  <c r="N244" i="61" a="1"/>
  <c r="N244" i="61"/>
  <c r="J244" i="61" a="1"/>
  <c r="J244" i="61"/>
  <c r="I244" i="61" a="1"/>
  <c r="I244" i="61"/>
  <c r="BF243" i="61" a="1"/>
  <c r="BF243" i="61"/>
  <c r="BB243" i="61" a="1"/>
  <c r="BB243" i="61"/>
  <c r="AX243" i="61" a="1"/>
  <c r="AX243" i="61"/>
  <c r="AT243" i="61" a="1"/>
  <c r="AT243" i="61"/>
  <c r="AS243" i="61" a="1"/>
  <c r="AS243" i="61"/>
  <c r="AN243" i="61" a="1"/>
  <c r="AN243" i="61"/>
  <c r="AJ243" i="61" a="1"/>
  <c r="AJ243" i="61"/>
  <c r="AF243" i="61" a="1"/>
  <c r="AF243" i="61"/>
  <c r="AB243" i="61" a="1"/>
  <c r="AB243" i="61"/>
  <c r="AA243" i="61" a="1"/>
  <c r="AA243" i="61"/>
  <c r="V243" i="61" a="1"/>
  <c r="V243" i="61"/>
  <c r="R243" i="61" a="1"/>
  <c r="R243" i="61"/>
  <c r="N243" i="61" a="1"/>
  <c r="N243" i="61"/>
  <c r="J243" i="61" a="1"/>
  <c r="J243" i="61"/>
  <c r="I243" i="61" a="1"/>
  <c r="I243" i="61"/>
  <c r="BF242" i="61" a="1"/>
  <c r="BF242" i="61"/>
  <c r="BB242" i="61" a="1"/>
  <c r="BB242" i="61"/>
  <c r="AX242" i="61" a="1"/>
  <c r="AX242" i="61"/>
  <c r="AT242" i="61" a="1"/>
  <c r="AT242" i="61"/>
  <c r="AS242" i="61" a="1"/>
  <c r="AS242" i="61"/>
  <c r="AN242" i="61" a="1"/>
  <c r="AN242" i="61"/>
  <c r="AJ242" i="61" a="1"/>
  <c r="AJ242" i="61"/>
  <c r="AF242" i="61" a="1"/>
  <c r="AF242" i="61"/>
  <c r="AB242" i="61" a="1"/>
  <c r="AB242" i="61"/>
  <c r="AA242" i="61" a="1"/>
  <c r="AA242" i="61"/>
  <c r="V242" i="61" a="1"/>
  <c r="V242" i="61"/>
  <c r="R242" i="61" a="1"/>
  <c r="R242" i="61"/>
  <c r="N242" i="61" a="1"/>
  <c r="N242" i="61"/>
  <c r="J242" i="61" a="1"/>
  <c r="J242" i="61"/>
  <c r="I242" i="61" a="1"/>
  <c r="I242" i="61"/>
  <c r="BF241" i="61" a="1"/>
  <c r="BF241" i="61"/>
  <c r="BB241" i="61" a="1"/>
  <c r="BB241" i="61"/>
  <c r="AX241" i="61" a="1"/>
  <c r="AX241" i="61"/>
  <c r="AT241" i="61" a="1"/>
  <c r="AT241" i="61"/>
  <c r="AS241" i="61" a="1"/>
  <c r="AS241" i="61"/>
  <c r="AN241" i="61" a="1"/>
  <c r="AN241" i="61"/>
  <c r="AJ241" i="61" a="1"/>
  <c r="AJ241" i="61"/>
  <c r="AF241" i="61" a="1"/>
  <c r="AF241" i="61"/>
  <c r="AB241" i="61" a="1"/>
  <c r="AB241" i="61"/>
  <c r="AA241" i="61" a="1"/>
  <c r="AA241" i="61"/>
  <c r="V241" i="61" a="1"/>
  <c r="V241" i="61"/>
  <c r="R241" i="61" a="1"/>
  <c r="R241" i="61"/>
  <c r="N241" i="61" a="1"/>
  <c r="N241" i="61"/>
  <c r="J241" i="61" a="1"/>
  <c r="J241" i="61"/>
  <c r="I241" i="61" a="1"/>
  <c r="I241" i="61"/>
  <c r="BF240" i="61" a="1"/>
  <c r="BF240" i="61"/>
  <c r="BB240" i="61" a="1"/>
  <c r="BB240" i="61"/>
  <c r="AX240" i="61" a="1"/>
  <c r="AX240" i="61"/>
  <c r="AT240" i="61" a="1"/>
  <c r="AT240" i="61"/>
  <c r="AS240" i="61" a="1"/>
  <c r="AS240" i="61"/>
  <c r="AN240" i="61" a="1"/>
  <c r="AN240" i="61"/>
  <c r="AJ240" i="61" a="1"/>
  <c r="AJ240" i="61"/>
  <c r="AF240" i="61" a="1"/>
  <c r="AF240" i="61"/>
  <c r="AB240" i="61" a="1"/>
  <c r="AB240" i="61"/>
  <c r="AA240" i="61" a="1"/>
  <c r="AA240" i="61"/>
  <c r="V240" i="61" a="1"/>
  <c r="V240" i="61"/>
  <c r="R240" i="61" a="1"/>
  <c r="R240" i="61"/>
  <c r="N240" i="61" a="1"/>
  <c r="N240" i="61"/>
  <c r="J240" i="61" a="1"/>
  <c r="J240" i="61"/>
  <c r="I240" i="61" a="1"/>
  <c r="I240" i="61"/>
  <c r="BF239" i="61" a="1"/>
  <c r="BF239" i="61"/>
  <c r="BB239" i="61" a="1"/>
  <c r="BB239" i="61"/>
  <c r="AX239" i="61" a="1"/>
  <c r="AX239" i="61"/>
  <c r="AT239" i="61" a="1"/>
  <c r="AT239" i="61"/>
  <c r="AS239" i="61" a="1"/>
  <c r="AS239" i="61"/>
  <c r="AN239" i="61" a="1"/>
  <c r="AN239" i="61"/>
  <c r="AJ239" i="61" a="1"/>
  <c r="AJ239" i="61"/>
  <c r="AF239" i="61" a="1"/>
  <c r="AF239" i="61"/>
  <c r="AB239" i="61" a="1"/>
  <c r="AB239" i="61"/>
  <c r="AA239" i="61" a="1"/>
  <c r="AA239" i="61"/>
  <c r="V239" i="61" a="1"/>
  <c r="V239" i="61"/>
  <c r="R239" i="61" a="1"/>
  <c r="R239" i="61"/>
  <c r="N239" i="61" a="1"/>
  <c r="N239" i="61"/>
  <c r="J239" i="61" a="1"/>
  <c r="J239" i="61"/>
  <c r="I239" i="61" a="1"/>
  <c r="I239" i="61"/>
  <c r="BF238" i="61" a="1"/>
  <c r="BF238" i="61"/>
  <c r="BB238" i="61" a="1"/>
  <c r="BB238" i="61"/>
  <c r="AX238" i="61" a="1"/>
  <c r="AX238" i="61"/>
  <c r="AT238" i="61" a="1"/>
  <c r="AT238" i="61"/>
  <c r="AS238" i="61" a="1"/>
  <c r="AS238" i="61"/>
  <c r="AN238" i="61" a="1"/>
  <c r="AN238" i="61"/>
  <c r="AJ238" i="61" a="1"/>
  <c r="AJ238" i="61"/>
  <c r="AF238" i="61" a="1"/>
  <c r="AF238" i="61"/>
  <c r="AB238" i="61" a="1"/>
  <c r="AB238" i="61"/>
  <c r="AA238" i="61" a="1"/>
  <c r="AA238" i="61"/>
  <c r="V238" i="61" a="1"/>
  <c r="V238" i="61"/>
  <c r="R238" i="61" a="1"/>
  <c r="R238" i="61"/>
  <c r="N238" i="61" a="1"/>
  <c r="N238" i="61"/>
  <c r="J238" i="61" a="1"/>
  <c r="J238" i="61"/>
  <c r="I238" i="61" a="1"/>
  <c r="I238" i="61"/>
  <c r="BF234" i="61" a="1"/>
  <c r="BF234" i="61"/>
  <c r="BB234" i="61" a="1"/>
  <c r="BB234" i="61"/>
  <c r="AX234" i="61" a="1"/>
  <c r="AX234" i="61"/>
  <c r="AT234" i="61" a="1"/>
  <c r="AT234" i="61"/>
  <c r="AS234" i="61" a="1"/>
  <c r="AS234" i="61"/>
  <c r="AN234" i="61" a="1"/>
  <c r="AN234" i="61"/>
  <c r="AJ234" i="61" a="1"/>
  <c r="AJ234" i="61"/>
  <c r="AF234" i="61" a="1"/>
  <c r="AF234" i="61"/>
  <c r="AB234" i="61" a="1"/>
  <c r="AB234" i="61"/>
  <c r="AA234" i="61" a="1"/>
  <c r="AA234" i="61"/>
  <c r="V234" i="61" a="1"/>
  <c r="V234" i="61"/>
  <c r="R234" i="61" a="1"/>
  <c r="R234" i="61"/>
  <c r="N234" i="61" a="1"/>
  <c r="N234" i="61"/>
  <c r="J234" i="61" a="1"/>
  <c r="J234" i="61"/>
  <c r="I234" i="61" a="1"/>
  <c r="I234" i="61"/>
  <c r="BF233" i="61" a="1"/>
  <c r="BF233" i="61"/>
  <c r="BB233" i="61" a="1"/>
  <c r="BB233" i="61"/>
  <c r="AX233" i="61" a="1"/>
  <c r="AX233" i="61"/>
  <c r="AT233" i="61" a="1"/>
  <c r="AT233" i="61"/>
  <c r="AS233" i="61" a="1"/>
  <c r="AS233" i="61"/>
  <c r="AN233" i="61" a="1"/>
  <c r="AN233" i="61"/>
  <c r="AJ233" i="61" a="1"/>
  <c r="AJ233" i="61"/>
  <c r="AF233" i="61" a="1"/>
  <c r="AF233" i="61"/>
  <c r="AB233" i="61" a="1"/>
  <c r="AB233" i="61"/>
  <c r="AA233" i="61" a="1"/>
  <c r="AA233" i="61"/>
  <c r="V233" i="61" a="1"/>
  <c r="V233" i="61"/>
  <c r="R233" i="61" a="1"/>
  <c r="R233" i="61"/>
  <c r="N233" i="61" a="1"/>
  <c r="N233" i="61"/>
  <c r="J233" i="61" a="1"/>
  <c r="J233" i="61"/>
  <c r="I233" i="61" a="1"/>
  <c r="I233" i="61"/>
  <c r="BF223" i="61" a="1"/>
  <c r="BF223" i="61"/>
  <c r="BB223" i="61" a="1"/>
  <c r="BB223" i="61"/>
  <c r="AX223" i="61" a="1"/>
  <c r="AX223" i="61"/>
  <c r="AT223" i="61" a="1"/>
  <c r="AT223" i="61"/>
  <c r="AS223" i="61" a="1"/>
  <c r="AS223" i="61"/>
  <c r="AN223" i="61" a="1"/>
  <c r="AN223" i="61"/>
  <c r="AJ223" i="61" a="1"/>
  <c r="AJ223" i="61"/>
  <c r="AF223" i="61" a="1"/>
  <c r="AF223" i="61"/>
  <c r="AB223" i="61" a="1"/>
  <c r="AB223" i="61"/>
  <c r="AA223" i="61" a="1"/>
  <c r="AA223" i="61"/>
  <c r="V223" i="61" a="1"/>
  <c r="V223" i="61"/>
  <c r="R223" i="61" a="1"/>
  <c r="R223" i="61"/>
  <c r="N223" i="61" a="1"/>
  <c r="N223" i="61"/>
  <c r="J223" i="61" a="1"/>
  <c r="J223" i="61"/>
  <c r="I223" i="61" a="1"/>
  <c r="I223" i="61"/>
  <c r="BF222" i="61" a="1"/>
  <c r="BF222" i="61"/>
  <c r="BB222" i="61" a="1"/>
  <c r="BB222" i="61"/>
  <c r="AX222" i="61" a="1"/>
  <c r="AX222" i="61"/>
  <c r="AT222" i="61" a="1"/>
  <c r="AT222" i="61"/>
  <c r="AS222" i="61" a="1"/>
  <c r="AS222" i="61"/>
  <c r="AN222" i="61" a="1"/>
  <c r="AN222" i="61"/>
  <c r="AJ222" i="61" a="1"/>
  <c r="AJ222" i="61"/>
  <c r="AF222" i="61" a="1"/>
  <c r="AF222" i="61"/>
  <c r="AB222" i="61" a="1"/>
  <c r="AB222" i="61"/>
  <c r="AA222" i="61" a="1"/>
  <c r="AA222" i="61"/>
  <c r="V222" i="61" a="1"/>
  <c r="V222" i="61"/>
  <c r="R222" i="61" a="1"/>
  <c r="R222" i="61"/>
  <c r="N222" i="61" a="1"/>
  <c r="N222" i="61"/>
  <c r="J222" i="61" a="1"/>
  <c r="J222" i="61"/>
  <c r="I222" i="61" a="1"/>
  <c r="I222" i="61"/>
  <c r="BF221" i="61" a="1"/>
  <c r="BF221" i="61"/>
  <c r="BB221" i="61" a="1"/>
  <c r="BB221" i="61"/>
  <c r="AX221" i="61" a="1"/>
  <c r="AX221" i="61"/>
  <c r="AT221" i="61" a="1"/>
  <c r="AT221" i="61"/>
  <c r="AS221" i="61" a="1"/>
  <c r="AS221" i="61"/>
  <c r="AN221" i="61" a="1"/>
  <c r="AN221" i="61"/>
  <c r="AJ221" i="61" a="1"/>
  <c r="AJ221" i="61"/>
  <c r="AF221" i="61" a="1"/>
  <c r="AF221" i="61"/>
  <c r="AB221" i="61" a="1"/>
  <c r="AB221" i="61"/>
  <c r="AA221" i="61" a="1"/>
  <c r="AA221" i="61"/>
  <c r="V221" i="61" a="1"/>
  <c r="V221" i="61"/>
  <c r="R221" i="61" a="1"/>
  <c r="R221" i="61"/>
  <c r="N221" i="61" a="1"/>
  <c r="N221" i="61"/>
  <c r="J221" i="61" a="1"/>
  <c r="J221" i="61"/>
  <c r="I221" i="61" a="1"/>
  <c r="I221" i="61"/>
  <c r="BF220" i="61" a="1"/>
  <c r="BF220" i="61"/>
  <c r="BB220" i="61" a="1"/>
  <c r="BB220" i="61"/>
  <c r="AX220" i="61" a="1"/>
  <c r="AX220" i="61"/>
  <c r="AT220" i="61" a="1"/>
  <c r="AT220" i="61"/>
  <c r="AS220" i="61" a="1"/>
  <c r="AS220" i="61"/>
  <c r="AN220" i="61" a="1"/>
  <c r="AN220" i="61"/>
  <c r="AJ220" i="61" a="1"/>
  <c r="AJ220" i="61"/>
  <c r="AF220" i="61" a="1"/>
  <c r="AF220" i="61"/>
  <c r="AB220" i="61" a="1"/>
  <c r="AB220" i="61"/>
  <c r="AA220" i="61" a="1"/>
  <c r="AA220" i="61"/>
  <c r="V220" i="61" a="1"/>
  <c r="V220" i="61"/>
  <c r="R220" i="61" a="1"/>
  <c r="R220" i="61"/>
  <c r="N220" i="61" a="1"/>
  <c r="N220" i="61"/>
  <c r="J220" i="61" a="1"/>
  <c r="J220" i="61"/>
  <c r="I220" i="61" a="1"/>
  <c r="I220" i="61"/>
  <c r="BF219" i="61" a="1"/>
  <c r="BF219" i="61"/>
  <c r="BB219" i="61" a="1"/>
  <c r="BB219" i="61"/>
  <c r="AX219" i="61" a="1"/>
  <c r="AX219" i="61"/>
  <c r="AT219" i="61" a="1"/>
  <c r="AT219" i="61"/>
  <c r="AS219" i="61" a="1"/>
  <c r="AS219" i="61"/>
  <c r="AN219" i="61" a="1"/>
  <c r="AN219" i="61"/>
  <c r="AJ219" i="61" a="1"/>
  <c r="AJ219" i="61"/>
  <c r="AF219" i="61" a="1"/>
  <c r="AF219" i="61"/>
  <c r="AB219" i="61" a="1"/>
  <c r="AB219" i="61"/>
  <c r="AA219" i="61" a="1"/>
  <c r="AA219" i="61"/>
  <c r="V219" i="61" a="1"/>
  <c r="V219" i="61"/>
  <c r="R219" i="61" a="1"/>
  <c r="R219" i="61"/>
  <c r="N219" i="61" a="1"/>
  <c r="N219" i="61"/>
  <c r="J219" i="61" a="1"/>
  <c r="J219" i="61"/>
  <c r="I219" i="61" a="1"/>
  <c r="I219" i="61"/>
  <c r="BF218" i="61" a="1"/>
  <c r="BF218" i="61"/>
  <c r="BB218" i="61" a="1"/>
  <c r="BB218" i="61"/>
  <c r="AX218" i="61" a="1"/>
  <c r="AX218" i="61"/>
  <c r="AT218" i="61" a="1"/>
  <c r="AT218" i="61"/>
  <c r="AS218" i="61" a="1"/>
  <c r="AS218" i="61"/>
  <c r="AN218" i="61" a="1"/>
  <c r="AN218" i="61"/>
  <c r="AJ218" i="61" a="1"/>
  <c r="AJ218" i="61"/>
  <c r="AF218" i="61" a="1"/>
  <c r="AF218" i="61"/>
  <c r="AB218" i="61" a="1"/>
  <c r="AB218" i="61"/>
  <c r="AA218" i="61" a="1"/>
  <c r="AA218" i="61"/>
  <c r="V218" i="61" a="1"/>
  <c r="V218" i="61"/>
  <c r="R218" i="61" a="1"/>
  <c r="R218" i="61"/>
  <c r="N218" i="61" a="1"/>
  <c r="N218" i="61"/>
  <c r="J218" i="61" a="1"/>
  <c r="J218" i="61"/>
  <c r="I218" i="61" a="1"/>
  <c r="I218" i="61"/>
  <c r="BF217" i="61" a="1"/>
  <c r="BF217" i="61"/>
  <c r="BB217" i="61" a="1"/>
  <c r="BB217" i="61"/>
  <c r="AX217" i="61" a="1"/>
  <c r="AX217" i="61"/>
  <c r="AT217" i="61" a="1"/>
  <c r="AT217" i="61"/>
  <c r="AS217" i="61" a="1"/>
  <c r="AS217" i="61"/>
  <c r="AN217" i="61" a="1"/>
  <c r="AN217" i="61"/>
  <c r="AJ217" i="61" a="1"/>
  <c r="AJ217" i="61"/>
  <c r="AF217" i="61" a="1"/>
  <c r="AF217" i="61"/>
  <c r="AB217" i="61" a="1"/>
  <c r="AB217" i="61"/>
  <c r="AA217" i="61" a="1"/>
  <c r="AA217" i="61"/>
  <c r="V217" i="61" a="1"/>
  <c r="V217" i="61"/>
  <c r="R217" i="61" a="1"/>
  <c r="R217" i="61"/>
  <c r="N217" i="61" a="1"/>
  <c r="N217" i="61"/>
  <c r="J217" i="61" a="1"/>
  <c r="J217" i="61"/>
  <c r="I217" i="61" a="1"/>
  <c r="I217" i="61"/>
  <c r="BF216" i="61" a="1"/>
  <c r="BF216" i="61"/>
  <c r="BB216" i="61" a="1"/>
  <c r="BB216" i="61"/>
  <c r="AX216" i="61" a="1"/>
  <c r="AX216" i="61"/>
  <c r="AT216" i="61" a="1"/>
  <c r="AT216" i="61"/>
  <c r="AS216" i="61" a="1"/>
  <c r="AS216" i="61"/>
  <c r="AN216" i="61" a="1"/>
  <c r="AN216" i="61"/>
  <c r="AJ216" i="61" a="1"/>
  <c r="AJ216" i="61"/>
  <c r="AF216" i="61" a="1"/>
  <c r="AF216" i="61"/>
  <c r="AB216" i="61" a="1"/>
  <c r="AB216" i="61"/>
  <c r="AA216" i="61" a="1"/>
  <c r="AA216" i="61"/>
  <c r="V216" i="61" a="1"/>
  <c r="V216" i="61"/>
  <c r="R216" i="61" a="1"/>
  <c r="R216" i="61"/>
  <c r="N216" i="61" a="1"/>
  <c r="N216" i="61"/>
  <c r="J216" i="61" a="1"/>
  <c r="J216" i="61"/>
  <c r="I216" i="61" a="1"/>
  <c r="I216" i="61"/>
  <c r="BF215" i="61" a="1"/>
  <c r="BF215" i="61"/>
  <c r="BB215" i="61" a="1"/>
  <c r="BB215" i="61"/>
  <c r="AX215" i="61" a="1"/>
  <c r="AX215" i="61"/>
  <c r="AT215" i="61" a="1"/>
  <c r="AT215" i="61"/>
  <c r="AS215" i="61" a="1"/>
  <c r="AS215" i="61"/>
  <c r="AN215" i="61" a="1"/>
  <c r="AN215" i="61"/>
  <c r="AJ215" i="61" a="1"/>
  <c r="AJ215" i="61"/>
  <c r="AF215" i="61" a="1"/>
  <c r="AF215" i="61"/>
  <c r="AB215" i="61" a="1"/>
  <c r="AB215" i="61"/>
  <c r="AA215" i="61" a="1"/>
  <c r="AA215" i="61"/>
  <c r="V215" i="61" a="1"/>
  <c r="V215" i="61"/>
  <c r="R215" i="61" a="1"/>
  <c r="R215" i="61"/>
  <c r="N215" i="61" a="1"/>
  <c r="N215" i="61"/>
  <c r="J215" i="61" a="1"/>
  <c r="J215" i="61"/>
  <c r="I215" i="61" a="1"/>
  <c r="I215" i="61"/>
  <c r="BF211" i="61" a="1"/>
  <c r="BF211" i="61"/>
  <c r="BB211" i="61" a="1"/>
  <c r="BB211" i="61"/>
  <c r="AX211" i="61" a="1"/>
  <c r="AX211" i="61"/>
  <c r="AT211" i="61" a="1"/>
  <c r="AT211" i="61"/>
  <c r="AS211" i="61" a="1"/>
  <c r="AS211" i="61"/>
  <c r="AN211" i="61" a="1"/>
  <c r="AN211" i="61"/>
  <c r="AJ211" i="61" a="1"/>
  <c r="AJ211" i="61"/>
  <c r="AF211" i="61" a="1"/>
  <c r="AF211" i="61"/>
  <c r="AB211" i="61" a="1"/>
  <c r="AB211" i="61"/>
  <c r="AA211" i="61" a="1"/>
  <c r="AA211" i="61"/>
  <c r="V211" i="61" a="1"/>
  <c r="V211" i="61"/>
  <c r="R211" i="61" a="1"/>
  <c r="R211" i="61"/>
  <c r="N211" i="61" a="1"/>
  <c r="N211" i="61"/>
  <c r="J211" i="61" a="1"/>
  <c r="J211" i="61"/>
  <c r="I211" i="61" a="1"/>
  <c r="I211" i="61"/>
  <c r="BF210" i="61" a="1"/>
  <c r="BF210" i="61"/>
  <c r="BB210" i="61" a="1"/>
  <c r="BB210" i="61"/>
  <c r="AX210" i="61" a="1"/>
  <c r="AX210" i="61"/>
  <c r="AT210" i="61" a="1"/>
  <c r="AT210" i="61"/>
  <c r="AS210" i="61" a="1"/>
  <c r="AS210" i="61"/>
  <c r="AN210" i="61" a="1"/>
  <c r="AN210" i="61"/>
  <c r="AJ210" i="61" a="1"/>
  <c r="AJ210" i="61"/>
  <c r="AF210" i="61" a="1"/>
  <c r="AF210" i="61"/>
  <c r="AB210" i="61" a="1"/>
  <c r="AB210" i="61"/>
  <c r="AA210" i="61" a="1"/>
  <c r="AA210" i="61"/>
  <c r="V210" i="61" a="1"/>
  <c r="V210" i="61"/>
  <c r="R210" i="61" a="1"/>
  <c r="R210" i="61"/>
  <c r="N210" i="61" a="1"/>
  <c r="N210" i="61"/>
  <c r="J210" i="61" a="1"/>
  <c r="J210" i="61"/>
  <c r="I210" i="61" a="1"/>
  <c r="I210" i="61"/>
  <c r="BF209" i="61" a="1"/>
  <c r="BF209" i="61"/>
  <c r="BB209" i="61" a="1"/>
  <c r="BB209" i="61"/>
  <c r="AX209" i="61" a="1"/>
  <c r="AX209" i="61"/>
  <c r="AT209" i="61" a="1"/>
  <c r="AT209" i="61"/>
  <c r="AS209" i="61" a="1"/>
  <c r="AS209" i="61"/>
  <c r="AN209" i="61" a="1"/>
  <c r="AN209" i="61"/>
  <c r="AJ209" i="61" a="1"/>
  <c r="AJ209" i="61"/>
  <c r="AF209" i="61" a="1"/>
  <c r="AF209" i="61"/>
  <c r="AB209" i="61" a="1"/>
  <c r="AB209" i="61"/>
  <c r="AA209" i="61" a="1"/>
  <c r="AA209" i="61"/>
  <c r="V209" i="61" a="1"/>
  <c r="V209" i="61"/>
  <c r="R209" i="61" a="1"/>
  <c r="R209" i="61"/>
  <c r="N209" i="61" a="1"/>
  <c r="N209" i="61"/>
  <c r="J209" i="61" a="1"/>
  <c r="J209" i="61"/>
  <c r="I209" i="61" a="1"/>
  <c r="I209" i="61"/>
  <c r="BF208" i="61" a="1"/>
  <c r="BF208" i="61"/>
  <c r="BB208" i="61" a="1"/>
  <c r="BB208" i="61"/>
  <c r="AX208" i="61" a="1"/>
  <c r="AX208" i="61"/>
  <c r="AT208" i="61" a="1"/>
  <c r="AT208" i="61"/>
  <c r="AS208" i="61" a="1"/>
  <c r="AS208" i="61"/>
  <c r="AN208" i="61" a="1"/>
  <c r="AN208" i="61"/>
  <c r="AJ208" i="61" a="1"/>
  <c r="AJ208" i="61"/>
  <c r="AF208" i="61" a="1"/>
  <c r="AF208" i="61"/>
  <c r="AB208" i="61" a="1"/>
  <c r="AB208" i="61"/>
  <c r="AA208" i="61" a="1"/>
  <c r="AA208" i="61"/>
  <c r="V208" i="61" a="1"/>
  <c r="V208" i="61"/>
  <c r="R208" i="61" a="1"/>
  <c r="R208" i="61"/>
  <c r="N208" i="61" a="1"/>
  <c r="N208" i="61"/>
  <c r="J208" i="61" a="1"/>
  <c r="J208" i="61"/>
  <c r="I208" i="61" a="1"/>
  <c r="I208" i="61"/>
  <c r="BF207" i="61" a="1"/>
  <c r="BF207" i="61"/>
  <c r="BB207" i="61" a="1"/>
  <c r="BB207" i="61"/>
  <c r="AX207" i="61" a="1"/>
  <c r="AX207" i="61"/>
  <c r="AT207" i="61" a="1"/>
  <c r="AT207" i="61"/>
  <c r="AS207" i="61" a="1"/>
  <c r="AS207" i="61"/>
  <c r="AN207" i="61" a="1"/>
  <c r="AN207" i="61"/>
  <c r="AJ207" i="61" a="1"/>
  <c r="AJ207" i="61"/>
  <c r="AF207" i="61" a="1"/>
  <c r="AF207" i="61"/>
  <c r="AB207" i="61" a="1"/>
  <c r="AB207" i="61"/>
  <c r="AA207" i="61" a="1"/>
  <c r="AA207" i="61"/>
  <c r="V207" i="61" a="1"/>
  <c r="V207" i="61"/>
  <c r="R207" i="61" a="1"/>
  <c r="R207" i="61"/>
  <c r="N207" i="61" a="1"/>
  <c r="N207" i="61"/>
  <c r="J207" i="61" a="1"/>
  <c r="J207" i="61"/>
  <c r="I207" i="61" a="1"/>
  <c r="I207" i="61"/>
  <c r="BF206" i="61" a="1"/>
  <c r="BF206" i="61"/>
  <c r="BB206" i="61" a="1"/>
  <c r="BB206" i="61"/>
  <c r="AX206" i="61" a="1"/>
  <c r="AX206" i="61"/>
  <c r="AT206" i="61" a="1"/>
  <c r="AT206" i="61"/>
  <c r="AS206" i="61" a="1"/>
  <c r="AS206" i="61"/>
  <c r="AN206" i="61" a="1"/>
  <c r="AN206" i="61"/>
  <c r="AJ206" i="61" a="1"/>
  <c r="AJ206" i="61"/>
  <c r="AF206" i="61" a="1"/>
  <c r="AF206" i="61"/>
  <c r="AB206" i="61" a="1"/>
  <c r="AB206" i="61"/>
  <c r="AA206" i="61" a="1"/>
  <c r="AA206" i="61"/>
  <c r="V206" i="61" a="1"/>
  <c r="V206" i="61"/>
  <c r="R206" i="61" a="1"/>
  <c r="R206" i="61"/>
  <c r="N206" i="61" a="1"/>
  <c r="N206" i="61"/>
  <c r="J206" i="61" a="1"/>
  <c r="J206" i="61"/>
  <c r="I206" i="61" a="1"/>
  <c r="I206" i="61"/>
  <c r="BF205" i="61" a="1"/>
  <c r="BF205" i="61"/>
  <c r="BB205" i="61" a="1"/>
  <c r="BB205" i="61"/>
  <c r="AX205" i="61" a="1"/>
  <c r="AX205" i="61"/>
  <c r="AT205" i="61" a="1"/>
  <c r="AT205" i="61"/>
  <c r="AS205" i="61" a="1"/>
  <c r="AS205" i="61"/>
  <c r="AN205" i="61" a="1"/>
  <c r="AN205" i="61"/>
  <c r="AJ205" i="61" a="1"/>
  <c r="AJ205" i="61"/>
  <c r="AF205" i="61" a="1"/>
  <c r="AF205" i="61"/>
  <c r="AB205" i="61" a="1"/>
  <c r="AB205" i="61"/>
  <c r="AA205" i="61" a="1"/>
  <c r="AA205" i="61"/>
  <c r="V205" i="61" a="1"/>
  <c r="V205" i="61"/>
  <c r="R205" i="61" a="1"/>
  <c r="R205" i="61"/>
  <c r="N205" i="61" a="1"/>
  <c r="N205" i="61"/>
  <c r="J205" i="61" a="1"/>
  <c r="J205" i="61"/>
  <c r="I205" i="61" a="1"/>
  <c r="I205" i="61"/>
  <c r="BF201" i="61" a="1"/>
  <c r="BF201" i="61"/>
  <c r="BB201" i="61" a="1"/>
  <c r="BB201" i="61"/>
  <c r="AX201" i="61" a="1"/>
  <c r="AX201" i="61"/>
  <c r="AT201" i="61" a="1"/>
  <c r="AT201" i="61"/>
  <c r="AS201" i="61" a="1"/>
  <c r="AS201" i="61"/>
  <c r="AN201" i="61" a="1"/>
  <c r="AN201" i="61"/>
  <c r="AJ201" i="61" a="1"/>
  <c r="AJ201" i="61"/>
  <c r="AF201" i="61" a="1"/>
  <c r="AF201" i="61"/>
  <c r="AB201" i="61" a="1"/>
  <c r="AB201" i="61"/>
  <c r="AA201" i="61" a="1"/>
  <c r="AA201" i="61"/>
  <c r="V201" i="61" a="1"/>
  <c r="V201" i="61"/>
  <c r="R201" i="61" a="1"/>
  <c r="R201" i="61"/>
  <c r="N201" i="61" a="1"/>
  <c r="N201" i="61"/>
  <c r="J201" i="61" a="1"/>
  <c r="J201" i="61"/>
  <c r="I201" i="61" a="1"/>
  <c r="I201" i="61"/>
  <c r="BF200" i="61" a="1"/>
  <c r="BF200" i="61"/>
  <c r="BB200" i="61" a="1"/>
  <c r="BB200" i="61"/>
  <c r="AX200" i="61" a="1"/>
  <c r="AX200" i="61"/>
  <c r="AT200" i="61" a="1"/>
  <c r="AT200" i="61"/>
  <c r="AS200" i="61" a="1"/>
  <c r="AS200" i="61"/>
  <c r="AN200" i="61" a="1"/>
  <c r="AN200" i="61"/>
  <c r="AJ200" i="61" a="1"/>
  <c r="AJ200" i="61"/>
  <c r="AF200" i="61" a="1"/>
  <c r="AF200" i="61"/>
  <c r="AB200" i="61" a="1"/>
  <c r="AB200" i="61"/>
  <c r="AA200" i="61" a="1"/>
  <c r="AA200" i="61"/>
  <c r="V200" i="61" a="1"/>
  <c r="V200" i="61"/>
  <c r="R200" i="61" a="1"/>
  <c r="R200" i="61"/>
  <c r="N200" i="61" a="1"/>
  <c r="N200" i="61"/>
  <c r="J200" i="61" a="1"/>
  <c r="J200" i="61"/>
  <c r="I200" i="61" a="1"/>
  <c r="I200" i="61"/>
  <c r="BF199" i="61" a="1"/>
  <c r="BF199" i="61"/>
  <c r="BB199" i="61" a="1"/>
  <c r="BB199" i="61"/>
  <c r="AX199" i="61" a="1"/>
  <c r="AX199" i="61"/>
  <c r="AT199" i="61" a="1"/>
  <c r="AT199" i="61"/>
  <c r="AS199" i="61" a="1"/>
  <c r="AS199" i="61"/>
  <c r="AN199" i="61" a="1"/>
  <c r="AN199" i="61"/>
  <c r="AJ199" i="61" a="1"/>
  <c r="AJ199" i="61"/>
  <c r="AF199" i="61" a="1"/>
  <c r="AF199" i="61"/>
  <c r="AB199" i="61" a="1"/>
  <c r="AB199" i="61"/>
  <c r="AA199" i="61" a="1"/>
  <c r="AA199" i="61"/>
  <c r="V199" i="61" a="1"/>
  <c r="V199" i="61"/>
  <c r="R199" i="61" a="1"/>
  <c r="R199" i="61"/>
  <c r="N199" i="61" a="1"/>
  <c r="N199" i="61"/>
  <c r="J199" i="61" a="1"/>
  <c r="J199" i="61"/>
  <c r="I199" i="61" a="1"/>
  <c r="I199" i="61"/>
  <c r="BF198" i="61" a="1"/>
  <c r="BF198" i="61"/>
  <c r="BB198" i="61" a="1"/>
  <c r="BB198" i="61"/>
  <c r="AX198" i="61" a="1"/>
  <c r="AX198" i="61"/>
  <c r="AT198" i="61" a="1"/>
  <c r="AT198" i="61"/>
  <c r="AS198" i="61" a="1"/>
  <c r="AS198" i="61"/>
  <c r="AN198" i="61" a="1"/>
  <c r="AN198" i="61"/>
  <c r="AJ198" i="61" a="1"/>
  <c r="AJ198" i="61"/>
  <c r="AF198" i="61" a="1"/>
  <c r="AF198" i="61"/>
  <c r="AB198" i="61" a="1"/>
  <c r="AB198" i="61"/>
  <c r="AA198" i="61" a="1"/>
  <c r="AA198" i="61"/>
  <c r="V198" i="61" a="1"/>
  <c r="V198" i="61"/>
  <c r="R198" i="61" a="1"/>
  <c r="R198" i="61"/>
  <c r="N198" i="61" a="1"/>
  <c r="N198" i="61"/>
  <c r="J198" i="61" a="1"/>
  <c r="J198" i="61"/>
  <c r="I198" i="61" a="1"/>
  <c r="I198" i="61"/>
  <c r="BF197" i="61" a="1"/>
  <c r="BF197" i="61"/>
  <c r="BB197" i="61" a="1"/>
  <c r="BB197" i="61"/>
  <c r="AX197" i="61" a="1"/>
  <c r="AX197" i="61"/>
  <c r="AT197" i="61" a="1"/>
  <c r="AT197" i="61"/>
  <c r="AS197" i="61" a="1"/>
  <c r="AS197" i="61"/>
  <c r="AN197" i="61" a="1"/>
  <c r="AN197" i="61"/>
  <c r="AJ197" i="61" a="1"/>
  <c r="AJ197" i="61"/>
  <c r="AF197" i="61" a="1"/>
  <c r="AF197" i="61"/>
  <c r="AB197" i="61" a="1"/>
  <c r="AB197" i="61"/>
  <c r="AA197" i="61" a="1"/>
  <c r="AA197" i="61"/>
  <c r="V197" i="61" a="1"/>
  <c r="V197" i="61"/>
  <c r="R197" i="61" a="1"/>
  <c r="R197" i="61"/>
  <c r="N197" i="61" a="1"/>
  <c r="N197" i="61"/>
  <c r="J197" i="61" a="1"/>
  <c r="J197" i="61"/>
  <c r="I197" i="61" a="1"/>
  <c r="I197" i="61"/>
  <c r="BF196" i="61" a="1"/>
  <c r="BF196" i="61"/>
  <c r="BB196" i="61" a="1"/>
  <c r="BB196" i="61"/>
  <c r="AX196" i="61" a="1"/>
  <c r="AX196" i="61"/>
  <c r="AT196" i="61" a="1"/>
  <c r="AT196" i="61"/>
  <c r="AS196" i="61" a="1"/>
  <c r="AS196" i="61"/>
  <c r="AN196" i="61" a="1"/>
  <c r="AN196" i="61"/>
  <c r="AJ196" i="61" a="1"/>
  <c r="AJ196" i="61"/>
  <c r="AF196" i="61" a="1"/>
  <c r="AF196" i="61"/>
  <c r="AB196" i="61" a="1"/>
  <c r="AB196" i="61"/>
  <c r="AA196" i="61" a="1"/>
  <c r="AA196" i="61"/>
  <c r="V196" i="61" a="1"/>
  <c r="V196" i="61"/>
  <c r="R196" i="61" a="1"/>
  <c r="R196" i="61"/>
  <c r="N196" i="61" a="1"/>
  <c r="N196" i="61"/>
  <c r="J196" i="61" a="1"/>
  <c r="J196" i="61"/>
  <c r="I196" i="61" a="1"/>
  <c r="I196" i="61"/>
  <c r="BF195" i="61" a="1"/>
  <c r="BF195" i="61"/>
  <c r="BB195" i="61" a="1"/>
  <c r="BB195" i="61"/>
  <c r="AX195" i="61" a="1"/>
  <c r="AX195" i="61"/>
  <c r="AT195" i="61" a="1"/>
  <c r="AT195" i="61"/>
  <c r="AS195" i="61" a="1"/>
  <c r="AS195" i="61"/>
  <c r="AN195" i="61" a="1"/>
  <c r="AN195" i="61"/>
  <c r="AJ195" i="61" a="1"/>
  <c r="AJ195" i="61"/>
  <c r="AF195" i="61" a="1"/>
  <c r="AF195" i="61"/>
  <c r="AB195" i="61" a="1"/>
  <c r="AB195" i="61"/>
  <c r="AA195" i="61" a="1"/>
  <c r="AA195" i="61"/>
  <c r="V195" i="61" a="1"/>
  <c r="V195" i="61"/>
  <c r="R195" i="61" a="1"/>
  <c r="R195" i="61"/>
  <c r="N195" i="61" a="1"/>
  <c r="N195" i="61"/>
  <c r="J195" i="61" a="1"/>
  <c r="J195" i="61"/>
  <c r="I195" i="61" a="1"/>
  <c r="I195" i="61"/>
  <c r="BF194" i="61" a="1"/>
  <c r="BF194" i="61"/>
  <c r="BB194" i="61" a="1"/>
  <c r="BB194" i="61"/>
  <c r="AX194" i="61" a="1"/>
  <c r="AX194" i="61"/>
  <c r="AT194" i="61" a="1"/>
  <c r="AT194" i="61"/>
  <c r="AS194" i="61" a="1"/>
  <c r="AS194" i="61"/>
  <c r="AN194" i="61" a="1"/>
  <c r="AN194" i="61"/>
  <c r="AJ194" i="61" a="1"/>
  <c r="AJ194" i="61"/>
  <c r="AF194" i="61" a="1"/>
  <c r="AF194" i="61"/>
  <c r="AB194" i="61" a="1"/>
  <c r="AB194" i="61"/>
  <c r="AA194" i="61" a="1"/>
  <c r="AA194" i="61"/>
  <c r="V194" i="61" a="1"/>
  <c r="V194" i="61"/>
  <c r="R194" i="61" a="1"/>
  <c r="R194" i="61"/>
  <c r="N194" i="61" a="1"/>
  <c r="N194" i="61"/>
  <c r="J194" i="61" a="1"/>
  <c r="J194" i="61"/>
  <c r="I194" i="61" a="1"/>
  <c r="I194" i="61"/>
  <c r="BF193" i="61" a="1"/>
  <c r="BF193" i="61"/>
  <c r="BB193" i="61" a="1"/>
  <c r="BB193" i="61"/>
  <c r="AX193" i="61" a="1"/>
  <c r="AX193" i="61"/>
  <c r="AT193" i="61" a="1"/>
  <c r="AT193" i="61"/>
  <c r="AS193" i="61" a="1"/>
  <c r="AS193" i="61"/>
  <c r="AN193" i="61" a="1"/>
  <c r="AN193" i="61"/>
  <c r="AJ193" i="61" a="1"/>
  <c r="AJ193" i="61"/>
  <c r="AF193" i="61" a="1"/>
  <c r="AF193" i="61"/>
  <c r="AB193" i="61" a="1"/>
  <c r="AB193" i="61"/>
  <c r="AA193" i="61" a="1"/>
  <c r="AA193" i="61"/>
  <c r="V193" i="61" a="1"/>
  <c r="V193" i="61"/>
  <c r="R193" i="61" a="1"/>
  <c r="R193" i="61"/>
  <c r="N193" i="61" a="1"/>
  <c r="N193" i="61"/>
  <c r="J193" i="61" a="1"/>
  <c r="J193" i="61"/>
  <c r="I193" i="61" a="1"/>
  <c r="I193" i="61"/>
  <c r="BF192" i="61" a="1"/>
  <c r="BF192" i="61"/>
  <c r="BB192" i="61" a="1"/>
  <c r="BB192" i="61"/>
  <c r="AX192" i="61" a="1"/>
  <c r="AX192" i="61"/>
  <c r="AT192" i="61" a="1"/>
  <c r="AT192" i="61"/>
  <c r="AS192" i="61" a="1"/>
  <c r="AS192" i="61"/>
  <c r="AN192" i="61" a="1"/>
  <c r="AN192" i="61"/>
  <c r="AJ192" i="61" a="1"/>
  <c r="AJ192" i="61"/>
  <c r="AF192" i="61" a="1"/>
  <c r="AF192" i="61"/>
  <c r="AB192" i="61" a="1"/>
  <c r="AB192" i="61"/>
  <c r="AA192" i="61" a="1"/>
  <c r="AA192" i="61"/>
  <c r="V192" i="61" a="1"/>
  <c r="V192" i="61"/>
  <c r="R192" i="61" a="1"/>
  <c r="R192" i="61"/>
  <c r="N192" i="61" a="1"/>
  <c r="N192" i="61"/>
  <c r="J192" i="61" a="1"/>
  <c r="J192" i="61"/>
  <c r="I192" i="61" a="1"/>
  <c r="I192" i="61"/>
  <c r="BF191" i="61" a="1"/>
  <c r="BF191" i="61"/>
  <c r="BB191" i="61" a="1"/>
  <c r="BB191" i="61"/>
  <c r="AX191" i="61" a="1"/>
  <c r="AX191" i="61"/>
  <c r="AT191" i="61" a="1"/>
  <c r="AT191" i="61"/>
  <c r="AS191" i="61" a="1"/>
  <c r="AS191" i="61"/>
  <c r="AN191" i="61" a="1"/>
  <c r="AN191" i="61"/>
  <c r="AJ191" i="61" a="1"/>
  <c r="AJ191" i="61"/>
  <c r="AF191" i="61" a="1"/>
  <c r="AF191" i="61"/>
  <c r="AB191" i="61" a="1"/>
  <c r="AB191" i="61"/>
  <c r="AA191" i="61" a="1"/>
  <c r="AA191" i="61"/>
  <c r="V191" i="61" a="1"/>
  <c r="V191" i="61"/>
  <c r="R191" i="61" a="1"/>
  <c r="R191" i="61"/>
  <c r="N191" i="61" a="1"/>
  <c r="N191" i="61"/>
  <c r="J191" i="61" a="1"/>
  <c r="J191" i="61"/>
  <c r="I191" i="61" a="1"/>
  <c r="I191" i="61"/>
  <c r="BF190" i="61" a="1"/>
  <c r="BF190" i="61"/>
  <c r="BB190" i="61" a="1"/>
  <c r="BB190" i="61"/>
  <c r="AX190" i="61" a="1"/>
  <c r="AX190" i="61"/>
  <c r="AT190" i="61" a="1"/>
  <c r="AT190" i="61"/>
  <c r="AS190" i="61" a="1"/>
  <c r="AS190" i="61"/>
  <c r="AN190" i="61" a="1"/>
  <c r="AN190" i="61"/>
  <c r="AJ190" i="61" a="1"/>
  <c r="AJ190" i="61"/>
  <c r="AF190" i="61" a="1"/>
  <c r="AF190" i="61"/>
  <c r="AB190" i="61" a="1"/>
  <c r="AB190" i="61"/>
  <c r="AA190" i="61" a="1"/>
  <c r="AA190" i="61"/>
  <c r="V190" i="61" a="1"/>
  <c r="V190" i="61"/>
  <c r="R190" i="61" a="1"/>
  <c r="R190" i="61"/>
  <c r="N190" i="61" a="1"/>
  <c r="N190" i="61"/>
  <c r="J190" i="61" a="1"/>
  <c r="J190" i="61"/>
  <c r="I190" i="61" a="1"/>
  <c r="I190" i="61"/>
  <c r="BF189" i="61" a="1"/>
  <c r="BF189" i="61"/>
  <c r="BB189" i="61" a="1"/>
  <c r="BB189" i="61"/>
  <c r="AX189" i="61" a="1"/>
  <c r="AX189" i="61"/>
  <c r="AT189" i="61" a="1"/>
  <c r="AT189" i="61"/>
  <c r="AS189" i="61" a="1"/>
  <c r="AS189" i="61"/>
  <c r="AN189" i="61" a="1"/>
  <c r="AN189" i="61"/>
  <c r="AJ189" i="61" a="1"/>
  <c r="AJ189" i="61"/>
  <c r="AF189" i="61" a="1"/>
  <c r="AF189" i="61"/>
  <c r="AB189" i="61" a="1"/>
  <c r="AB189" i="61"/>
  <c r="AA189" i="61" a="1"/>
  <c r="AA189" i="61"/>
  <c r="V189" i="61" a="1"/>
  <c r="V189" i="61"/>
  <c r="R189" i="61" a="1"/>
  <c r="R189" i="61"/>
  <c r="N189" i="61" a="1"/>
  <c r="N189" i="61"/>
  <c r="J189" i="61" a="1"/>
  <c r="J189" i="61"/>
  <c r="I189" i="61" a="1"/>
  <c r="I189" i="61"/>
  <c r="BF188" i="61" a="1"/>
  <c r="BF188" i="61"/>
  <c r="BB188" i="61" a="1"/>
  <c r="BB188" i="61"/>
  <c r="AX188" i="61" a="1"/>
  <c r="AX188" i="61"/>
  <c r="AT188" i="61" a="1"/>
  <c r="AT188" i="61"/>
  <c r="AS188" i="61" a="1"/>
  <c r="AS188" i="61"/>
  <c r="AN188" i="61" a="1"/>
  <c r="AN188" i="61"/>
  <c r="AJ188" i="61" a="1"/>
  <c r="AJ188" i="61"/>
  <c r="AF188" i="61" a="1"/>
  <c r="AF188" i="61"/>
  <c r="AB188" i="61" a="1"/>
  <c r="AB188" i="61"/>
  <c r="AA188" i="61" a="1"/>
  <c r="AA188" i="61"/>
  <c r="V188" i="61" a="1"/>
  <c r="V188" i="61"/>
  <c r="R188" i="61" a="1"/>
  <c r="R188" i="61"/>
  <c r="N188" i="61" a="1"/>
  <c r="N188" i="61"/>
  <c r="J188" i="61" a="1"/>
  <c r="J188" i="61"/>
  <c r="I188" i="61" a="1"/>
  <c r="I188" i="61"/>
  <c r="BF187" i="61" a="1"/>
  <c r="BF187" i="61"/>
  <c r="BB187" i="61" a="1"/>
  <c r="BB187" i="61"/>
  <c r="AX187" i="61" a="1"/>
  <c r="AX187" i="61"/>
  <c r="AT187" i="61" a="1"/>
  <c r="AT187" i="61"/>
  <c r="AS187" i="61" a="1"/>
  <c r="AS187" i="61"/>
  <c r="AN187" i="61" a="1"/>
  <c r="AN187" i="61"/>
  <c r="AJ187" i="61" a="1"/>
  <c r="AJ187" i="61"/>
  <c r="AF187" i="61" a="1"/>
  <c r="AF187" i="61"/>
  <c r="AB187" i="61" a="1"/>
  <c r="AB187" i="61"/>
  <c r="AA187" i="61" a="1"/>
  <c r="AA187" i="61"/>
  <c r="V187" i="61" a="1"/>
  <c r="V187" i="61"/>
  <c r="R187" i="61" a="1"/>
  <c r="R187" i="61"/>
  <c r="N187" i="61" a="1"/>
  <c r="N187" i="61"/>
  <c r="J187" i="61" a="1"/>
  <c r="J187" i="61"/>
  <c r="I187" i="61" a="1"/>
  <c r="I187" i="61"/>
  <c r="BF186" i="61" a="1"/>
  <c r="BF186" i="61"/>
  <c r="BB186" i="61" a="1"/>
  <c r="BB186" i="61"/>
  <c r="AX186" i="61" a="1"/>
  <c r="AX186" i="61"/>
  <c r="AT186" i="61" a="1"/>
  <c r="AT186" i="61"/>
  <c r="AS186" i="61" a="1"/>
  <c r="AS186" i="61"/>
  <c r="AN186" i="61" a="1"/>
  <c r="AN186" i="61"/>
  <c r="AJ186" i="61" a="1"/>
  <c r="AJ186" i="61"/>
  <c r="AF186" i="61" a="1"/>
  <c r="AF186" i="61"/>
  <c r="AB186" i="61" a="1"/>
  <c r="AB186" i="61"/>
  <c r="AA186" i="61" a="1"/>
  <c r="AA186" i="61"/>
  <c r="V186" i="61" a="1"/>
  <c r="V186" i="61"/>
  <c r="R186" i="61" a="1"/>
  <c r="R186" i="61"/>
  <c r="N186" i="61" a="1"/>
  <c r="N186" i="61"/>
  <c r="J186" i="61" a="1"/>
  <c r="J186" i="61"/>
  <c r="I186" i="61" a="1"/>
  <c r="I186" i="61"/>
  <c r="BF185" i="61" a="1"/>
  <c r="BF185" i="61"/>
  <c r="BB185" i="61" a="1"/>
  <c r="BB185" i="61"/>
  <c r="AX185" i="61" a="1"/>
  <c r="AX185" i="61"/>
  <c r="AT185" i="61" a="1"/>
  <c r="AT185" i="61"/>
  <c r="AS185" i="61" a="1"/>
  <c r="AS185" i="61"/>
  <c r="AN185" i="61" a="1"/>
  <c r="AN185" i="61"/>
  <c r="AJ185" i="61" a="1"/>
  <c r="AJ185" i="61"/>
  <c r="AF185" i="61" a="1"/>
  <c r="AF185" i="61"/>
  <c r="AB185" i="61" a="1"/>
  <c r="AB185" i="61"/>
  <c r="AA185" i="61" a="1"/>
  <c r="AA185" i="61"/>
  <c r="V185" i="61" a="1"/>
  <c r="V185" i="61"/>
  <c r="R185" i="61" a="1"/>
  <c r="R185" i="61"/>
  <c r="N185" i="61" a="1"/>
  <c r="N185" i="61"/>
  <c r="J185" i="61" a="1"/>
  <c r="J185" i="61"/>
  <c r="I185" i="61" a="1"/>
  <c r="I185" i="61"/>
  <c r="BF184" i="61" a="1"/>
  <c r="BF184" i="61"/>
  <c r="BB184" i="61" a="1"/>
  <c r="BB184" i="61"/>
  <c r="AX184" i="61" a="1"/>
  <c r="AX184" i="61"/>
  <c r="AT184" i="61" a="1"/>
  <c r="AT184" i="61"/>
  <c r="AS184" i="61" a="1"/>
  <c r="AS184" i="61"/>
  <c r="AN184" i="61" a="1"/>
  <c r="AN184" i="61"/>
  <c r="AJ184" i="61" a="1"/>
  <c r="AJ184" i="61"/>
  <c r="AF184" i="61" a="1"/>
  <c r="AF184" i="61"/>
  <c r="AB184" i="61" a="1"/>
  <c r="AB184" i="61"/>
  <c r="AA184" i="61" a="1"/>
  <c r="AA184" i="61"/>
  <c r="V184" i="61" a="1"/>
  <c r="V184" i="61"/>
  <c r="R184" i="61" a="1"/>
  <c r="R184" i="61"/>
  <c r="N184" i="61" a="1"/>
  <c r="N184" i="61"/>
  <c r="J184" i="61" a="1"/>
  <c r="J184" i="61"/>
  <c r="I184" i="61" a="1"/>
  <c r="I184" i="61"/>
  <c r="BF183" i="61" a="1"/>
  <c r="BF183" i="61"/>
  <c r="BB183" i="61" a="1"/>
  <c r="BB183" i="61"/>
  <c r="AX183" i="61" a="1"/>
  <c r="AX183" i="61"/>
  <c r="AT183" i="61" a="1"/>
  <c r="AT183" i="61"/>
  <c r="AS183" i="61" a="1"/>
  <c r="AS183" i="61"/>
  <c r="AN183" i="61" a="1"/>
  <c r="AN183" i="61"/>
  <c r="AJ183" i="61" a="1"/>
  <c r="AJ183" i="61"/>
  <c r="AF183" i="61" a="1"/>
  <c r="AF183" i="61"/>
  <c r="AB183" i="61" a="1"/>
  <c r="AB183" i="61"/>
  <c r="AA183" i="61" a="1"/>
  <c r="AA183" i="61"/>
  <c r="V183" i="61" a="1"/>
  <c r="V183" i="61"/>
  <c r="R183" i="61" a="1"/>
  <c r="R183" i="61"/>
  <c r="N183" i="61" a="1"/>
  <c r="N183" i="61"/>
  <c r="J183" i="61" a="1"/>
  <c r="J183" i="61"/>
  <c r="I183" i="61" a="1"/>
  <c r="I183" i="61"/>
  <c r="BF182" i="61" a="1"/>
  <c r="BF182" i="61"/>
  <c r="BB182" i="61" a="1"/>
  <c r="BB182" i="61"/>
  <c r="AX182" i="61" a="1"/>
  <c r="AX182" i="61"/>
  <c r="AT182" i="61" a="1"/>
  <c r="AT182" i="61"/>
  <c r="AS182" i="61" a="1"/>
  <c r="AS182" i="61"/>
  <c r="AN182" i="61" a="1"/>
  <c r="AN182" i="61"/>
  <c r="AJ182" i="61" a="1"/>
  <c r="AJ182" i="61"/>
  <c r="AF182" i="61" a="1"/>
  <c r="AF182" i="61"/>
  <c r="AB182" i="61" a="1"/>
  <c r="AB182" i="61"/>
  <c r="AA182" i="61" a="1"/>
  <c r="AA182" i="61"/>
  <c r="V182" i="61" a="1"/>
  <c r="V182" i="61"/>
  <c r="R182" i="61" a="1"/>
  <c r="R182" i="61"/>
  <c r="N182" i="61" a="1"/>
  <c r="N182" i="61"/>
  <c r="J182" i="61" a="1"/>
  <c r="J182" i="61"/>
  <c r="I182" i="61" a="1"/>
  <c r="I182" i="61"/>
  <c r="BF181" i="61" a="1"/>
  <c r="BF181" i="61"/>
  <c r="BB181" i="61" a="1"/>
  <c r="BB181" i="61"/>
  <c r="AX181" i="61" a="1"/>
  <c r="AX181" i="61"/>
  <c r="AT181" i="61" a="1"/>
  <c r="AT181" i="61"/>
  <c r="AS181" i="61" a="1"/>
  <c r="AS181" i="61"/>
  <c r="AN181" i="61" a="1"/>
  <c r="AN181" i="61"/>
  <c r="AJ181" i="61" a="1"/>
  <c r="AJ181" i="61"/>
  <c r="AF181" i="61" a="1"/>
  <c r="AF181" i="61"/>
  <c r="AB181" i="61" a="1"/>
  <c r="AB181" i="61"/>
  <c r="AA181" i="61" a="1"/>
  <c r="AA181" i="61"/>
  <c r="V181" i="61" a="1"/>
  <c r="V181" i="61"/>
  <c r="R181" i="61" a="1"/>
  <c r="R181" i="61"/>
  <c r="N181" i="61" a="1"/>
  <c r="N181" i="61"/>
  <c r="J181" i="61" a="1"/>
  <c r="J181" i="61"/>
  <c r="I181" i="61" a="1"/>
  <c r="I181" i="61"/>
  <c r="BF180" i="61" a="1"/>
  <c r="BF180" i="61"/>
  <c r="BB180" i="61" a="1"/>
  <c r="BB180" i="61"/>
  <c r="AX180" i="61" a="1"/>
  <c r="AX180" i="61"/>
  <c r="AT180" i="61" a="1"/>
  <c r="AT180" i="61"/>
  <c r="AS180" i="61" a="1"/>
  <c r="AS180" i="61"/>
  <c r="AN180" i="61" a="1"/>
  <c r="AN180" i="61"/>
  <c r="AJ180" i="61" a="1"/>
  <c r="AJ180" i="61"/>
  <c r="AF180" i="61" a="1"/>
  <c r="AF180" i="61"/>
  <c r="AB180" i="61" a="1"/>
  <c r="AB180" i="61"/>
  <c r="AA180" i="61" a="1"/>
  <c r="AA180" i="61"/>
  <c r="V180" i="61" a="1"/>
  <c r="V180" i="61"/>
  <c r="R180" i="61" a="1"/>
  <c r="R180" i="61"/>
  <c r="N180" i="61" a="1"/>
  <c r="N180" i="61"/>
  <c r="J180" i="61" a="1"/>
  <c r="J180" i="61"/>
  <c r="I180" i="61" a="1"/>
  <c r="I180" i="61"/>
  <c r="BF179" i="61" a="1"/>
  <c r="BF179" i="61"/>
  <c r="BB179" i="61" a="1"/>
  <c r="BB179" i="61"/>
  <c r="AX179" i="61" a="1"/>
  <c r="AX179" i="61"/>
  <c r="AT179" i="61" a="1"/>
  <c r="AT179" i="61"/>
  <c r="AS179" i="61" a="1"/>
  <c r="AS179" i="61"/>
  <c r="AN179" i="61" a="1"/>
  <c r="AN179" i="61"/>
  <c r="AJ179" i="61" a="1"/>
  <c r="AJ179" i="61"/>
  <c r="AF179" i="61" a="1"/>
  <c r="AF179" i="61"/>
  <c r="AB179" i="61" a="1"/>
  <c r="AB179" i="61"/>
  <c r="AA179" i="61" a="1"/>
  <c r="AA179" i="61"/>
  <c r="V179" i="61" a="1"/>
  <c r="V179" i="61"/>
  <c r="R179" i="61" a="1"/>
  <c r="R179" i="61"/>
  <c r="N179" i="61" a="1"/>
  <c r="N179" i="61"/>
  <c r="J179" i="61" a="1"/>
  <c r="J179" i="61"/>
  <c r="I179" i="61" a="1"/>
  <c r="I179" i="61"/>
  <c r="BF178" i="61" a="1"/>
  <c r="BF178" i="61"/>
  <c r="BB178" i="61" a="1"/>
  <c r="BB178" i="61"/>
  <c r="AX178" i="61" a="1"/>
  <c r="AX178" i="61"/>
  <c r="AT178" i="61" a="1"/>
  <c r="AT178" i="61"/>
  <c r="AS178" i="61" a="1"/>
  <c r="AS178" i="61"/>
  <c r="AN178" i="61" a="1"/>
  <c r="AN178" i="61"/>
  <c r="AJ178" i="61" a="1"/>
  <c r="AJ178" i="61"/>
  <c r="AF178" i="61" a="1"/>
  <c r="AF178" i="61"/>
  <c r="AB178" i="61" a="1"/>
  <c r="AB178" i="61"/>
  <c r="AA178" i="61" a="1"/>
  <c r="AA178" i="61"/>
  <c r="V178" i="61" a="1"/>
  <c r="V178" i="61"/>
  <c r="R178" i="61" a="1"/>
  <c r="R178" i="61"/>
  <c r="N178" i="61" a="1"/>
  <c r="N178" i="61"/>
  <c r="J178" i="61" a="1"/>
  <c r="J178" i="61"/>
  <c r="I178" i="61" a="1"/>
  <c r="I178" i="61"/>
  <c r="BF177" i="61" a="1"/>
  <c r="BF177" i="61"/>
  <c r="BB177" i="61" a="1"/>
  <c r="BB177" i="61"/>
  <c r="AX177" i="61" a="1"/>
  <c r="AX177" i="61"/>
  <c r="AT177" i="61" a="1"/>
  <c r="AT177" i="61"/>
  <c r="AS177" i="61" a="1"/>
  <c r="AS177" i="61"/>
  <c r="AN177" i="61" a="1"/>
  <c r="AN177" i="61"/>
  <c r="AJ177" i="61" a="1"/>
  <c r="AJ177" i="61"/>
  <c r="AF177" i="61" a="1"/>
  <c r="AF177" i="61"/>
  <c r="AB177" i="61" a="1"/>
  <c r="AB177" i="61"/>
  <c r="AA177" i="61" a="1"/>
  <c r="AA177" i="61"/>
  <c r="V177" i="61" a="1"/>
  <c r="V177" i="61"/>
  <c r="R177" i="61" a="1"/>
  <c r="R177" i="61"/>
  <c r="N177" i="61" a="1"/>
  <c r="N177" i="61"/>
  <c r="J177" i="61" a="1"/>
  <c r="J177" i="61"/>
  <c r="I177" i="61" a="1"/>
  <c r="I177" i="61"/>
  <c r="BF176" i="61" a="1"/>
  <c r="BF176" i="61"/>
  <c r="BB176" i="61" a="1"/>
  <c r="BB176" i="61"/>
  <c r="AX176" i="61" a="1"/>
  <c r="AX176" i="61"/>
  <c r="AT176" i="61" a="1"/>
  <c r="AT176" i="61"/>
  <c r="AS176" i="61" a="1"/>
  <c r="AS176" i="61"/>
  <c r="AN176" i="61" a="1"/>
  <c r="AN176" i="61"/>
  <c r="AJ176" i="61" a="1"/>
  <c r="AJ176" i="61"/>
  <c r="AF176" i="61" a="1"/>
  <c r="AF176" i="61"/>
  <c r="AB176" i="61" a="1"/>
  <c r="AB176" i="61"/>
  <c r="AA176" i="61" a="1"/>
  <c r="AA176" i="61"/>
  <c r="V176" i="61" a="1"/>
  <c r="V176" i="61"/>
  <c r="R176" i="61" a="1"/>
  <c r="R176" i="61"/>
  <c r="N176" i="61" a="1"/>
  <c r="N176" i="61"/>
  <c r="J176" i="61" a="1"/>
  <c r="J176" i="61"/>
  <c r="I176" i="61" a="1"/>
  <c r="I176" i="61"/>
  <c r="BF175" i="61" a="1"/>
  <c r="BF175" i="61"/>
  <c r="BB175" i="61" a="1"/>
  <c r="BB175" i="61"/>
  <c r="AX175" i="61" a="1"/>
  <c r="AX175" i="61"/>
  <c r="AT175" i="61" a="1"/>
  <c r="AT175" i="61"/>
  <c r="AS175" i="61" a="1"/>
  <c r="AS175" i="61"/>
  <c r="AN175" i="61" a="1"/>
  <c r="AN175" i="61"/>
  <c r="AJ175" i="61" a="1"/>
  <c r="AJ175" i="61"/>
  <c r="AF175" i="61" a="1"/>
  <c r="AF175" i="61"/>
  <c r="AB175" i="61" a="1"/>
  <c r="AB175" i="61"/>
  <c r="AA175" i="61" a="1"/>
  <c r="AA175" i="61"/>
  <c r="V175" i="61" a="1"/>
  <c r="V175" i="61"/>
  <c r="R175" i="61" a="1"/>
  <c r="R175" i="61"/>
  <c r="N175" i="61" a="1"/>
  <c r="N175" i="61"/>
  <c r="J175" i="61" a="1"/>
  <c r="J175" i="61"/>
  <c r="I175" i="61" a="1"/>
  <c r="I175" i="61"/>
  <c r="BF174" i="61" a="1"/>
  <c r="BF174" i="61"/>
  <c r="BB174" i="61" a="1"/>
  <c r="BB174" i="61"/>
  <c r="AX174" i="61" a="1"/>
  <c r="AX174" i="61"/>
  <c r="AT174" i="61" a="1"/>
  <c r="AT174" i="61"/>
  <c r="AS174" i="61" a="1"/>
  <c r="AS174" i="61"/>
  <c r="AN174" i="61" a="1"/>
  <c r="AN174" i="61"/>
  <c r="AJ174" i="61" a="1"/>
  <c r="AJ174" i="61"/>
  <c r="AF174" i="61" a="1"/>
  <c r="AF174" i="61"/>
  <c r="AB174" i="61" a="1"/>
  <c r="AB174" i="61"/>
  <c r="AA174" i="61" a="1"/>
  <c r="AA174" i="61"/>
  <c r="V174" i="61" a="1"/>
  <c r="V174" i="61"/>
  <c r="R174" i="61" a="1"/>
  <c r="R174" i="61"/>
  <c r="N174" i="61" a="1"/>
  <c r="N174" i="61"/>
  <c r="J174" i="61" a="1"/>
  <c r="J174" i="61"/>
  <c r="I174" i="61" a="1"/>
  <c r="I174" i="61"/>
  <c r="BF173" i="61" a="1"/>
  <c r="BF173" i="61"/>
  <c r="BB173" i="61" a="1"/>
  <c r="BB173" i="61"/>
  <c r="AX173" i="61" a="1"/>
  <c r="AX173" i="61"/>
  <c r="AT173" i="61" a="1"/>
  <c r="AT173" i="61"/>
  <c r="AS173" i="61" a="1"/>
  <c r="AS173" i="61"/>
  <c r="AN173" i="61" a="1"/>
  <c r="AN173" i="61"/>
  <c r="AJ173" i="61" a="1"/>
  <c r="AJ173" i="61"/>
  <c r="AF173" i="61" a="1"/>
  <c r="AF173" i="61"/>
  <c r="AB173" i="61" a="1"/>
  <c r="AB173" i="61"/>
  <c r="AA173" i="61" a="1"/>
  <c r="AA173" i="61"/>
  <c r="V173" i="61" a="1"/>
  <c r="V173" i="61"/>
  <c r="R173" i="61" a="1"/>
  <c r="R173" i="61"/>
  <c r="N173" i="61" a="1"/>
  <c r="N173" i="61"/>
  <c r="J173" i="61" a="1"/>
  <c r="J173" i="61"/>
  <c r="I173" i="61" a="1"/>
  <c r="I173" i="61"/>
  <c r="BF172" i="61" a="1"/>
  <c r="BF172" i="61"/>
  <c r="BB172" i="61" a="1"/>
  <c r="BB172" i="61"/>
  <c r="AX172" i="61" a="1"/>
  <c r="AX172" i="61"/>
  <c r="AT172" i="61" a="1"/>
  <c r="AT172" i="61"/>
  <c r="AS172" i="61" a="1"/>
  <c r="AS172" i="61"/>
  <c r="AN172" i="61" a="1"/>
  <c r="AN172" i="61"/>
  <c r="AJ172" i="61" a="1"/>
  <c r="AJ172" i="61"/>
  <c r="AF172" i="61" a="1"/>
  <c r="AF172" i="61"/>
  <c r="AB172" i="61" a="1"/>
  <c r="AB172" i="61"/>
  <c r="AA172" i="61" a="1"/>
  <c r="AA172" i="61"/>
  <c r="V172" i="61" a="1"/>
  <c r="V172" i="61"/>
  <c r="R172" i="61" a="1"/>
  <c r="R172" i="61"/>
  <c r="N172" i="61" a="1"/>
  <c r="N172" i="61"/>
  <c r="J172" i="61" a="1"/>
  <c r="J172" i="61"/>
  <c r="I172" i="61" a="1"/>
  <c r="I172" i="61"/>
  <c r="BF171" i="61" a="1"/>
  <c r="BF171" i="61"/>
  <c r="BB171" i="61" a="1"/>
  <c r="BB171" i="61"/>
  <c r="AX171" i="61" a="1"/>
  <c r="AX171" i="61"/>
  <c r="AT171" i="61" a="1"/>
  <c r="AT171" i="61"/>
  <c r="AS171" i="61" a="1"/>
  <c r="AS171" i="61"/>
  <c r="AN171" i="61" a="1"/>
  <c r="AN171" i="61"/>
  <c r="AJ171" i="61" a="1"/>
  <c r="AJ171" i="61"/>
  <c r="AF171" i="61" a="1"/>
  <c r="AF171" i="61"/>
  <c r="AB171" i="61" a="1"/>
  <c r="AB171" i="61"/>
  <c r="AA171" i="61" a="1"/>
  <c r="AA171" i="61"/>
  <c r="V171" i="61" a="1"/>
  <c r="V171" i="61"/>
  <c r="R171" i="61" a="1"/>
  <c r="R171" i="61"/>
  <c r="N171" i="61" a="1"/>
  <c r="N171" i="61"/>
  <c r="J171" i="61" a="1"/>
  <c r="J171" i="61"/>
  <c r="I171" i="61" a="1"/>
  <c r="I171" i="61"/>
  <c r="BF170" i="61" a="1"/>
  <c r="BF170" i="61"/>
  <c r="BB170" i="61" a="1"/>
  <c r="BB170" i="61"/>
  <c r="AX170" i="61" a="1"/>
  <c r="AX170" i="61"/>
  <c r="AT170" i="61" a="1"/>
  <c r="AT170" i="61"/>
  <c r="AS170" i="61" a="1"/>
  <c r="AS170" i="61"/>
  <c r="AN170" i="61" a="1"/>
  <c r="AN170" i="61"/>
  <c r="AJ170" i="61" a="1"/>
  <c r="AJ170" i="61"/>
  <c r="AF170" i="61" a="1"/>
  <c r="AF170" i="61"/>
  <c r="AB170" i="61" a="1"/>
  <c r="AB170" i="61"/>
  <c r="AA170" i="61" a="1"/>
  <c r="AA170" i="61"/>
  <c r="V170" i="61" a="1"/>
  <c r="V170" i="61"/>
  <c r="R170" i="61" a="1"/>
  <c r="R170" i="61"/>
  <c r="N170" i="61" a="1"/>
  <c r="N170" i="61"/>
  <c r="J170" i="61" a="1"/>
  <c r="J170" i="61"/>
  <c r="I170" i="61" a="1"/>
  <c r="I170" i="61"/>
  <c r="BF169" i="61" a="1"/>
  <c r="BF169" i="61"/>
  <c r="BB169" i="61" a="1"/>
  <c r="BB169" i="61"/>
  <c r="AX169" i="61" a="1"/>
  <c r="AX169" i="61"/>
  <c r="AT169" i="61" a="1"/>
  <c r="AT169" i="61"/>
  <c r="AS169" i="61" a="1"/>
  <c r="AS169" i="61"/>
  <c r="AN169" i="61" a="1"/>
  <c r="AN169" i="61"/>
  <c r="AJ169" i="61" a="1"/>
  <c r="AJ169" i="61"/>
  <c r="AF169" i="61" a="1"/>
  <c r="AF169" i="61"/>
  <c r="AB169" i="61" a="1"/>
  <c r="AB169" i="61"/>
  <c r="AA169" i="61" a="1"/>
  <c r="AA169" i="61"/>
  <c r="V169" i="61" a="1"/>
  <c r="V169" i="61"/>
  <c r="R169" i="61" a="1"/>
  <c r="R169" i="61"/>
  <c r="N169" i="61" a="1"/>
  <c r="N169" i="61"/>
  <c r="J169" i="61" a="1"/>
  <c r="J169" i="61"/>
  <c r="I169" i="61" a="1"/>
  <c r="I169" i="61"/>
  <c r="BF168" i="61" a="1"/>
  <c r="BF168" i="61"/>
  <c r="BB168" i="61" a="1"/>
  <c r="BB168" i="61"/>
  <c r="AX168" i="61" a="1"/>
  <c r="AX168" i="61"/>
  <c r="AT168" i="61" a="1"/>
  <c r="AT168" i="61"/>
  <c r="AS168" i="61" a="1"/>
  <c r="AS168" i="61"/>
  <c r="AN168" i="61" a="1"/>
  <c r="AN168" i="61"/>
  <c r="AJ168" i="61" a="1"/>
  <c r="AJ168" i="61"/>
  <c r="AF168" i="61" a="1"/>
  <c r="AF168" i="61"/>
  <c r="AB168" i="61" a="1"/>
  <c r="AB168" i="61"/>
  <c r="AA168" i="61" a="1"/>
  <c r="AA168" i="61"/>
  <c r="V168" i="61" a="1"/>
  <c r="V168" i="61"/>
  <c r="R168" i="61" a="1"/>
  <c r="R168" i="61"/>
  <c r="N168" i="61" a="1"/>
  <c r="N168" i="61"/>
  <c r="J168" i="61" a="1"/>
  <c r="J168" i="61"/>
  <c r="I168" i="61" a="1"/>
  <c r="I168" i="61"/>
  <c r="BF167" i="61" a="1"/>
  <c r="BF167" i="61"/>
  <c r="BB167" i="61" a="1"/>
  <c r="BB167" i="61"/>
  <c r="AX167" i="61" a="1"/>
  <c r="AX167" i="61"/>
  <c r="AT167" i="61" a="1"/>
  <c r="AT167" i="61"/>
  <c r="AS167" i="61" a="1"/>
  <c r="AS167" i="61"/>
  <c r="AN167" i="61" a="1"/>
  <c r="AN167" i="61"/>
  <c r="AJ167" i="61" a="1"/>
  <c r="AJ167" i="61"/>
  <c r="AF167" i="61" a="1"/>
  <c r="AF167" i="61"/>
  <c r="AB167" i="61" a="1"/>
  <c r="AB167" i="61"/>
  <c r="AA167" i="61" a="1"/>
  <c r="AA167" i="61"/>
  <c r="V167" i="61" a="1"/>
  <c r="V167" i="61"/>
  <c r="R167" i="61" a="1"/>
  <c r="R167" i="61"/>
  <c r="N167" i="61" a="1"/>
  <c r="N167" i="61"/>
  <c r="J167" i="61" a="1"/>
  <c r="J167" i="61"/>
  <c r="I167" i="61" a="1"/>
  <c r="I167" i="61"/>
  <c r="BF166" i="61" a="1"/>
  <c r="BF166" i="61"/>
  <c r="BB166" i="61" a="1"/>
  <c r="BB166" i="61"/>
  <c r="AX166" i="61" a="1"/>
  <c r="AX166" i="61"/>
  <c r="AT166" i="61" a="1"/>
  <c r="AT166" i="61"/>
  <c r="AS166" i="61" a="1"/>
  <c r="AS166" i="61"/>
  <c r="AN166" i="61" a="1"/>
  <c r="AN166" i="61"/>
  <c r="AJ166" i="61" a="1"/>
  <c r="AJ166" i="61"/>
  <c r="AF166" i="61" a="1"/>
  <c r="AF166" i="61"/>
  <c r="AB166" i="61" a="1"/>
  <c r="AB166" i="61"/>
  <c r="AA166" i="61" a="1"/>
  <c r="AA166" i="61"/>
  <c r="V166" i="61" a="1"/>
  <c r="V166" i="61"/>
  <c r="R166" i="61" a="1"/>
  <c r="R166" i="61"/>
  <c r="N166" i="61" a="1"/>
  <c r="N166" i="61"/>
  <c r="J166" i="61" a="1"/>
  <c r="J166" i="61"/>
  <c r="I166" i="61" a="1"/>
  <c r="I166" i="61"/>
  <c r="BF165" i="61" a="1"/>
  <c r="BF165" i="61"/>
  <c r="BB165" i="61" a="1"/>
  <c r="BB165" i="61"/>
  <c r="AX165" i="61" a="1"/>
  <c r="AX165" i="61"/>
  <c r="AT165" i="61" a="1"/>
  <c r="AT165" i="61"/>
  <c r="AS165" i="61" a="1"/>
  <c r="AS165" i="61"/>
  <c r="AN165" i="61" a="1"/>
  <c r="AN165" i="61"/>
  <c r="AJ165" i="61" a="1"/>
  <c r="AJ165" i="61"/>
  <c r="AF165" i="61" a="1"/>
  <c r="AF165" i="61"/>
  <c r="AB165" i="61" a="1"/>
  <c r="AB165" i="61"/>
  <c r="AA165" i="61" a="1"/>
  <c r="AA165" i="61"/>
  <c r="V165" i="61" a="1"/>
  <c r="V165" i="61"/>
  <c r="R165" i="61" a="1"/>
  <c r="R165" i="61"/>
  <c r="N165" i="61" a="1"/>
  <c r="N165" i="61"/>
  <c r="J165" i="61" a="1"/>
  <c r="J165" i="61"/>
  <c r="I165" i="61" a="1"/>
  <c r="I165" i="61"/>
  <c r="BF164" i="61" a="1"/>
  <c r="BF164" i="61"/>
  <c r="BB164" i="61" a="1"/>
  <c r="BB164" i="61"/>
  <c r="AX164" i="61" a="1"/>
  <c r="AX164" i="61"/>
  <c r="AT164" i="61" a="1"/>
  <c r="AT164" i="61"/>
  <c r="AS164" i="61" a="1"/>
  <c r="AS164" i="61"/>
  <c r="AN164" i="61" a="1"/>
  <c r="AN164" i="61"/>
  <c r="AJ164" i="61" a="1"/>
  <c r="AJ164" i="61"/>
  <c r="AF164" i="61" a="1"/>
  <c r="AF164" i="61"/>
  <c r="AB164" i="61" a="1"/>
  <c r="AB164" i="61"/>
  <c r="AA164" i="61" a="1"/>
  <c r="AA164" i="61"/>
  <c r="V164" i="61" a="1"/>
  <c r="V164" i="61"/>
  <c r="R164" i="61" a="1"/>
  <c r="R164" i="61"/>
  <c r="N164" i="61" a="1"/>
  <c r="N164" i="61"/>
  <c r="J164" i="61" a="1"/>
  <c r="J164" i="61"/>
  <c r="I164" i="61" a="1"/>
  <c r="I164" i="61"/>
  <c r="BF163" i="61" a="1"/>
  <c r="BF163" i="61"/>
  <c r="BB163" i="61" a="1"/>
  <c r="BB163" i="61"/>
  <c r="AX163" i="61" a="1"/>
  <c r="AX163" i="61"/>
  <c r="AT163" i="61" a="1"/>
  <c r="AT163" i="61"/>
  <c r="AS163" i="61" a="1"/>
  <c r="AS163" i="61"/>
  <c r="AN163" i="61" a="1"/>
  <c r="AN163" i="61"/>
  <c r="AJ163" i="61" a="1"/>
  <c r="AJ163" i="61"/>
  <c r="AF163" i="61" a="1"/>
  <c r="AF163" i="61"/>
  <c r="AB163" i="61" a="1"/>
  <c r="AB163" i="61"/>
  <c r="AA163" i="61" a="1"/>
  <c r="AA163" i="61"/>
  <c r="V163" i="61" a="1"/>
  <c r="V163" i="61"/>
  <c r="R163" i="61" a="1"/>
  <c r="R163" i="61"/>
  <c r="N163" i="61" a="1"/>
  <c r="N163" i="61"/>
  <c r="J163" i="61" a="1"/>
  <c r="J163" i="61"/>
  <c r="I163" i="61" a="1"/>
  <c r="I163" i="61"/>
  <c r="BF162" i="61" a="1"/>
  <c r="BF162" i="61"/>
  <c r="BB162" i="61" a="1"/>
  <c r="BB162" i="61"/>
  <c r="AX162" i="61" a="1"/>
  <c r="AX162" i="61"/>
  <c r="AT162" i="61" a="1"/>
  <c r="AT162" i="61"/>
  <c r="AS162" i="61" a="1"/>
  <c r="AS162" i="61"/>
  <c r="AN162" i="61" a="1"/>
  <c r="AN162" i="61"/>
  <c r="AJ162" i="61" a="1"/>
  <c r="AJ162" i="61"/>
  <c r="AF162" i="61" a="1"/>
  <c r="AF162" i="61"/>
  <c r="AB162" i="61" a="1"/>
  <c r="AB162" i="61"/>
  <c r="AA162" i="61" a="1"/>
  <c r="AA162" i="61"/>
  <c r="V162" i="61" a="1"/>
  <c r="V162" i="61"/>
  <c r="R162" i="61" a="1"/>
  <c r="R162" i="61"/>
  <c r="N162" i="61" a="1"/>
  <c r="N162" i="61"/>
  <c r="J162" i="61" a="1"/>
  <c r="J162" i="61"/>
  <c r="I162" i="61" a="1"/>
  <c r="I162" i="61"/>
  <c r="BF161" i="61" a="1"/>
  <c r="BF161" i="61"/>
  <c r="BB161" i="61" a="1"/>
  <c r="BB161" i="61"/>
  <c r="AX161" i="61" a="1"/>
  <c r="AX161" i="61"/>
  <c r="AT161" i="61" a="1"/>
  <c r="AT161" i="61"/>
  <c r="AS161" i="61" a="1"/>
  <c r="AS161" i="61"/>
  <c r="AN161" i="61" a="1"/>
  <c r="AN161" i="61"/>
  <c r="AJ161" i="61" a="1"/>
  <c r="AJ161" i="61"/>
  <c r="AF161" i="61" a="1"/>
  <c r="AF161" i="61"/>
  <c r="AB161" i="61" a="1"/>
  <c r="AB161" i="61"/>
  <c r="AA161" i="61" a="1"/>
  <c r="AA161" i="61"/>
  <c r="V161" i="61" a="1"/>
  <c r="V161" i="61"/>
  <c r="R161" i="61" a="1"/>
  <c r="R161" i="61"/>
  <c r="N161" i="61" a="1"/>
  <c r="N161" i="61"/>
  <c r="J161" i="61" a="1"/>
  <c r="J161" i="61"/>
  <c r="I161" i="61" a="1"/>
  <c r="I161" i="61"/>
  <c r="BF160" i="61" a="1"/>
  <c r="BF160" i="61"/>
  <c r="BB160" i="61" a="1"/>
  <c r="BB160" i="61"/>
  <c r="AX160" i="61" a="1"/>
  <c r="AX160" i="61"/>
  <c r="AT160" i="61" a="1"/>
  <c r="AT160" i="61"/>
  <c r="AS160" i="61" a="1"/>
  <c r="AS160" i="61"/>
  <c r="AN160" i="61" a="1"/>
  <c r="AN160" i="61"/>
  <c r="AJ160" i="61" a="1"/>
  <c r="AJ160" i="61"/>
  <c r="AF160" i="61" a="1"/>
  <c r="AF160" i="61"/>
  <c r="AB160" i="61" a="1"/>
  <c r="AB160" i="61"/>
  <c r="AA160" i="61" a="1"/>
  <c r="AA160" i="61"/>
  <c r="V160" i="61" a="1"/>
  <c r="V160" i="61"/>
  <c r="R160" i="61" a="1"/>
  <c r="R160" i="61"/>
  <c r="N160" i="61" a="1"/>
  <c r="N160" i="61"/>
  <c r="J160" i="61" a="1"/>
  <c r="J160" i="61"/>
  <c r="I160" i="61" a="1"/>
  <c r="I160" i="61"/>
  <c r="BF159" i="61" a="1"/>
  <c r="BF159" i="61"/>
  <c r="BB159" i="61" a="1"/>
  <c r="BB159" i="61"/>
  <c r="AX159" i="61" a="1"/>
  <c r="AX159" i="61"/>
  <c r="AT159" i="61" a="1"/>
  <c r="AT159" i="61"/>
  <c r="AS159" i="61" a="1"/>
  <c r="AS159" i="61"/>
  <c r="AN159" i="61" a="1"/>
  <c r="AN159" i="61"/>
  <c r="AJ159" i="61" a="1"/>
  <c r="AJ159" i="61"/>
  <c r="AF159" i="61" a="1"/>
  <c r="AF159" i="61"/>
  <c r="AB159" i="61" a="1"/>
  <c r="AB159" i="61"/>
  <c r="AA159" i="61" a="1"/>
  <c r="AA159" i="61"/>
  <c r="V159" i="61" a="1"/>
  <c r="V159" i="61"/>
  <c r="R159" i="61" a="1"/>
  <c r="R159" i="61"/>
  <c r="N159" i="61" a="1"/>
  <c r="N159" i="61"/>
  <c r="J159" i="61" a="1"/>
  <c r="J159" i="61"/>
  <c r="I159" i="61" a="1"/>
  <c r="I159" i="61"/>
  <c r="BF158" i="61" a="1"/>
  <c r="BF158" i="61"/>
  <c r="BB158" i="61" a="1"/>
  <c r="BB158" i="61"/>
  <c r="AX158" i="61" a="1"/>
  <c r="AX158" i="61"/>
  <c r="AT158" i="61" a="1"/>
  <c r="AT158" i="61"/>
  <c r="AS158" i="61" a="1"/>
  <c r="AS158" i="61"/>
  <c r="AN158" i="61" a="1"/>
  <c r="AN158" i="61"/>
  <c r="AJ158" i="61" a="1"/>
  <c r="AJ158" i="61"/>
  <c r="AF158" i="61" a="1"/>
  <c r="AF158" i="61"/>
  <c r="AB158" i="61" a="1"/>
  <c r="AB158" i="61"/>
  <c r="AA158" i="61" a="1"/>
  <c r="AA158" i="61"/>
  <c r="V158" i="61" a="1"/>
  <c r="V158" i="61"/>
  <c r="R158" i="61" a="1"/>
  <c r="R158" i="61"/>
  <c r="N158" i="61" a="1"/>
  <c r="N158" i="61"/>
  <c r="J158" i="61" a="1"/>
  <c r="J158" i="61"/>
  <c r="I158" i="61" a="1"/>
  <c r="I158" i="61"/>
  <c r="BF157" i="61" a="1"/>
  <c r="BF157" i="61"/>
  <c r="BB157" i="61" a="1"/>
  <c r="BB157" i="61"/>
  <c r="AX157" i="61" a="1"/>
  <c r="AX157" i="61"/>
  <c r="AT157" i="61" a="1"/>
  <c r="AT157" i="61"/>
  <c r="AS157" i="61" a="1"/>
  <c r="AS157" i="61"/>
  <c r="AN157" i="61" a="1"/>
  <c r="AN157" i="61"/>
  <c r="AJ157" i="61" a="1"/>
  <c r="AJ157" i="61"/>
  <c r="AF157" i="61" a="1"/>
  <c r="AF157" i="61"/>
  <c r="AB157" i="61" a="1"/>
  <c r="AB157" i="61"/>
  <c r="AA157" i="61" a="1"/>
  <c r="AA157" i="61"/>
  <c r="V157" i="61" a="1"/>
  <c r="V157" i="61"/>
  <c r="R157" i="61" a="1"/>
  <c r="R157" i="61"/>
  <c r="N157" i="61" a="1"/>
  <c r="N157" i="61"/>
  <c r="J157" i="61" a="1"/>
  <c r="J157" i="61"/>
  <c r="I157" i="61" a="1"/>
  <c r="I157" i="61"/>
  <c r="BF156" i="61" a="1"/>
  <c r="BF156" i="61"/>
  <c r="BB156" i="61" a="1"/>
  <c r="BB156" i="61"/>
  <c r="AX156" i="61" a="1"/>
  <c r="AX156" i="61"/>
  <c r="AT156" i="61" a="1"/>
  <c r="AT156" i="61"/>
  <c r="AS156" i="61" a="1"/>
  <c r="AS156" i="61"/>
  <c r="AN156" i="61" a="1"/>
  <c r="AN156" i="61"/>
  <c r="AJ156" i="61" a="1"/>
  <c r="AJ156" i="61"/>
  <c r="AF156" i="61" a="1"/>
  <c r="AF156" i="61"/>
  <c r="AB156" i="61" a="1"/>
  <c r="AB156" i="61"/>
  <c r="AA156" i="61" a="1"/>
  <c r="AA156" i="61"/>
  <c r="V156" i="61" a="1"/>
  <c r="V156" i="61"/>
  <c r="R156" i="61" a="1"/>
  <c r="R156" i="61"/>
  <c r="N156" i="61" a="1"/>
  <c r="N156" i="61"/>
  <c r="J156" i="61" a="1"/>
  <c r="J156" i="61"/>
  <c r="I156" i="61" a="1"/>
  <c r="I156" i="61"/>
  <c r="BF155" i="61" a="1"/>
  <c r="BF155" i="61"/>
  <c r="BB155" i="61" a="1"/>
  <c r="BB155" i="61"/>
  <c r="AX155" i="61" a="1"/>
  <c r="AX155" i="61"/>
  <c r="AT155" i="61" a="1"/>
  <c r="AT155" i="61"/>
  <c r="AS155" i="61" a="1"/>
  <c r="AS155" i="61"/>
  <c r="AN155" i="61" a="1"/>
  <c r="AN155" i="61"/>
  <c r="AJ155" i="61" a="1"/>
  <c r="AJ155" i="61"/>
  <c r="AF155" i="61" a="1"/>
  <c r="AF155" i="61"/>
  <c r="AB155" i="61" a="1"/>
  <c r="AB155" i="61"/>
  <c r="AA155" i="61" a="1"/>
  <c r="AA155" i="61"/>
  <c r="V155" i="61" a="1"/>
  <c r="V155" i="61"/>
  <c r="R155" i="61" a="1"/>
  <c r="R155" i="61"/>
  <c r="N155" i="61" a="1"/>
  <c r="N155" i="61"/>
  <c r="J155" i="61" a="1"/>
  <c r="J155" i="61"/>
  <c r="I155" i="61" a="1"/>
  <c r="I155" i="61"/>
  <c r="BF154" i="61" a="1"/>
  <c r="BF154" i="61"/>
  <c r="BB154" i="61" a="1"/>
  <c r="BB154" i="61"/>
  <c r="AX154" i="61" a="1"/>
  <c r="AX154" i="61"/>
  <c r="AT154" i="61" a="1"/>
  <c r="AT154" i="61"/>
  <c r="AS154" i="61" a="1"/>
  <c r="AS154" i="61"/>
  <c r="AN154" i="61" a="1"/>
  <c r="AN154" i="61"/>
  <c r="AJ154" i="61" a="1"/>
  <c r="AJ154" i="61"/>
  <c r="AF154" i="61" a="1"/>
  <c r="AF154" i="61"/>
  <c r="AB154" i="61" a="1"/>
  <c r="AB154" i="61"/>
  <c r="AA154" i="61" a="1"/>
  <c r="AA154" i="61"/>
  <c r="V154" i="61" a="1"/>
  <c r="V154" i="61"/>
  <c r="R154" i="61" a="1"/>
  <c r="R154" i="61"/>
  <c r="N154" i="61" a="1"/>
  <c r="N154" i="61"/>
  <c r="J154" i="61" a="1"/>
  <c r="J154" i="61"/>
  <c r="I154" i="61" a="1"/>
  <c r="I154" i="61"/>
  <c r="BF153" i="61" a="1"/>
  <c r="BF153" i="61"/>
  <c r="BB153" i="61" a="1"/>
  <c r="BB153" i="61"/>
  <c r="AX153" i="61" a="1"/>
  <c r="AX153" i="61"/>
  <c r="AT153" i="61" a="1"/>
  <c r="AT153" i="61"/>
  <c r="AS153" i="61" a="1"/>
  <c r="AS153" i="61"/>
  <c r="AN153" i="61" a="1"/>
  <c r="AN153" i="61"/>
  <c r="AJ153" i="61" a="1"/>
  <c r="AJ153" i="61"/>
  <c r="AF153" i="61" a="1"/>
  <c r="AF153" i="61"/>
  <c r="AB153" i="61" a="1"/>
  <c r="AB153" i="61"/>
  <c r="AA153" i="61" a="1"/>
  <c r="AA153" i="61"/>
  <c r="V153" i="61" a="1"/>
  <c r="V153" i="61"/>
  <c r="R153" i="61" a="1"/>
  <c r="R153" i="61"/>
  <c r="N153" i="61" a="1"/>
  <c r="N153" i="61"/>
  <c r="J153" i="61" a="1"/>
  <c r="J153" i="61"/>
  <c r="I153" i="61" a="1"/>
  <c r="I153" i="61"/>
  <c r="BF152" i="61" a="1"/>
  <c r="BF152" i="61"/>
  <c r="BB152" i="61" a="1"/>
  <c r="BB152" i="61"/>
  <c r="AX152" i="61" a="1"/>
  <c r="AX152" i="61"/>
  <c r="AT152" i="61" a="1"/>
  <c r="AT152" i="61"/>
  <c r="AS152" i="61" a="1"/>
  <c r="AS152" i="61"/>
  <c r="AN152" i="61" a="1"/>
  <c r="AN152" i="61"/>
  <c r="AJ152" i="61" a="1"/>
  <c r="AJ152" i="61"/>
  <c r="AF152" i="61" a="1"/>
  <c r="AF152" i="61"/>
  <c r="AB152" i="61" a="1"/>
  <c r="AB152" i="61"/>
  <c r="AA152" i="61" a="1"/>
  <c r="AA152" i="61"/>
  <c r="V152" i="61" a="1"/>
  <c r="V152" i="61"/>
  <c r="R152" i="61" a="1"/>
  <c r="R152" i="61"/>
  <c r="N152" i="61" a="1"/>
  <c r="N152" i="61"/>
  <c r="J152" i="61" a="1"/>
  <c r="J152" i="61"/>
  <c r="I152" i="61" a="1"/>
  <c r="I152" i="61"/>
  <c r="BF151" i="61" a="1"/>
  <c r="BF151" i="61"/>
  <c r="BB151" i="61" a="1"/>
  <c r="BB151" i="61"/>
  <c r="AX151" i="61" a="1"/>
  <c r="AX151" i="61"/>
  <c r="AT151" i="61" a="1"/>
  <c r="AT151" i="61"/>
  <c r="AS151" i="61" a="1"/>
  <c r="AS151" i="61"/>
  <c r="AN151" i="61" a="1"/>
  <c r="AN151" i="61"/>
  <c r="AJ151" i="61" a="1"/>
  <c r="AJ151" i="61"/>
  <c r="AF151" i="61" a="1"/>
  <c r="AF151" i="61"/>
  <c r="AB151" i="61" a="1"/>
  <c r="AB151" i="61"/>
  <c r="AA151" i="61" a="1"/>
  <c r="AA151" i="61"/>
  <c r="V151" i="61" a="1"/>
  <c r="V151" i="61"/>
  <c r="R151" i="61" a="1"/>
  <c r="R151" i="61"/>
  <c r="N151" i="61" a="1"/>
  <c r="N151" i="61"/>
  <c r="J151" i="61" a="1"/>
  <c r="J151" i="61"/>
  <c r="I151" i="61" a="1"/>
  <c r="I151" i="61"/>
  <c r="BF150" i="61" a="1"/>
  <c r="BF150" i="61"/>
  <c r="BB150" i="61" a="1"/>
  <c r="BB150" i="61"/>
  <c r="AX150" i="61" a="1"/>
  <c r="AX150" i="61"/>
  <c r="AT150" i="61" a="1"/>
  <c r="AT150" i="61"/>
  <c r="AS150" i="61" a="1"/>
  <c r="AS150" i="61"/>
  <c r="AN150" i="61" a="1"/>
  <c r="AN150" i="61"/>
  <c r="AJ150" i="61" a="1"/>
  <c r="AJ150" i="61"/>
  <c r="AF150" i="61" a="1"/>
  <c r="AF150" i="61"/>
  <c r="AB150" i="61" a="1"/>
  <c r="AB150" i="61"/>
  <c r="AA150" i="61" a="1"/>
  <c r="AA150" i="61"/>
  <c r="V150" i="61" a="1"/>
  <c r="V150" i="61"/>
  <c r="R150" i="61" a="1"/>
  <c r="R150" i="61"/>
  <c r="N150" i="61" a="1"/>
  <c r="N150" i="61"/>
  <c r="J150" i="61" a="1"/>
  <c r="J150" i="61"/>
  <c r="I150" i="61" a="1"/>
  <c r="I150" i="61"/>
  <c r="BF149" i="61" a="1"/>
  <c r="BF149" i="61"/>
  <c r="BB149" i="61" a="1"/>
  <c r="BB149" i="61"/>
  <c r="AX149" i="61" a="1"/>
  <c r="AX149" i="61"/>
  <c r="AT149" i="61" a="1"/>
  <c r="AT149" i="61"/>
  <c r="AS149" i="61" a="1"/>
  <c r="AS149" i="61"/>
  <c r="AN149" i="61" a="1"/>
  <c r="AN149" i="61"/>
  <c r="AJ149" i="61" a="1"/>
  <c r="AJ149" i="61"/>
  <c r="AF149" i="61" a="1"/>
  <c r="AF149" i="61"/>
  <c r="AB149" i="61" a="1"/>
  <c r="AB149" i="61"/>
  <c r="AA149" i="61" a="1"/>
  <c r="AA149" i="61"/>
  <c r="V149" i="61" a="1"/>
  <c r="V149" i="61"/>
  <c r="R149" i="61" a="1"/>
  <c r="R149" i="61"/>
  <c r="N149" i="61" a="1"/>
  <c r="N149" i="61"/>
  <c r="J149" i="61" a="1"/>
  <c r="J149" i="61"/>
  <c r="I149" i="61" a="1"/>
  <c r="I149" i="61"/>
  <c r="BF148" i="61" a="1"/>
  <c r="BF148" i="61"/>
  <c r="BB148" i="61" a="1"/>
  <c r="BB148" i="61"/>
  <c r="AX148" i="61" a="1"/>
  <c r="AX148" i="61"/>
  <c r="AT148" i="61" a="1"/>
  <c r="AT148" i="61"/>
  <c r="AS148" i="61" a="1"/>
  <c r="AS148" i="61"/>
  <c r="AN148" i="61" a="1"/>
  <c r="AN148" i="61"/>
  <c r="AJ148" i="61" a="1"/>
  <c r="AJ148" i="61"/>
  <c r="AF148" i="61" a="1"/>
  <c r="AF148" i="61"/>
  <c r="AB148" i="61" a="1"/>
  <c r="AB148" i="61"/>
  <c r="AA148" i="61" a="1"/>
  <c r="AA148" i="61"/>
  <c r="V148" i="61" a="1"/>
  <c r="V148" i="61"/>
  <c r="R148" i="61" a="1"/>
  <c r="R148" i="61"/>
  <c r="N148" i="61" a="1"/>
  <c r="N148" i="61"/>
  <c r="J148" i="61" a="1"/>
  <c r="J148" i="61"/>
  <c r="I148" i="61" a="1"/>
  <c r="I148" i="61"/>
  <c r="BF147" i="61" a="1"/>
  <c r="BF147" i="61"/>
  <c r="BB147" i="61" a="1"/>
  <c r="BB147" i="61"/>
  <c r="AX147" i="61" a="1"/>
  <c r="AX147" i="61"/>
  <c r="AT147" i="61" a="1"/>
  <c r="AT147" i="61"/>
  <c r="AS147" i="61" a="1"/>
  <c r="AS147" i="61"/>
  <c r="AN147" i="61" a="1"/>
  <c r="AN147" i="61"/>
  <c r="AJ147" i="61" a="1"/>
  <c r="AJ147" i="61"/>
  <c r="AF147" i="61" a="1"/>
  <c r="AF147" i="61"/>
  <c r="AB147" i="61" a="1"/>
  <c r="AB147" i="61"/>
  <c r="AA147" i="61" a="1"/>
  <c r="AA147" i="61"/>
  <c r="V147" i="61" a="1"/>
  <c r="V147" i="61"/>
  <c r="R147" i="61" a="1"/>
  <c r="R147" i="61"/>
  <c r="N147" i="61" a="1"/>
  <c r="N147" i="61"/>
  <c r="J147" i="61" a="1"/>
  <c r="J147" i="61"/>
  <c r="I147" i="61" a="1"/>
  <c r="I147" i="61"/>
  <c r="BF146" i="61" a="1"/>
  <c r="BF146" i="61"/>
  <c r="BB146" i="61" a="1"/>
  <c r="BB146" i="61"/>
  <c r="AX146" i="61" a="1"/>
  <c r="AX146" i="61"/>
  <c r="AT146" i="61" a="1"/>
  <c r="AT146" i="61"/>
  <c r="AS146" i="61" a="1"/>
  <c r="AS146" i="61"/>
  <c r="AN146" i="61" a="1"/>
  <c r="AN146" i="61"/>
  <c r="AJ146" i="61" a="1"/>
  <c r="AJ146" i="61"/>
  <c r="AF146" i="61" a="1"/>
  <c r="AF146" i="61"/>
  <c r="AB146" i="61" a="1"/>
  <c r="AB146" i="61"/>
  <c r="AA146" i="61" a="1"/>
  <c r="AA146" i="61"/>
  <c r="V146" i="61" a="1"/>
  <c r="V146" i="61"/>
  <c r="R146" i="61" a="1"/>
  <c r="R146" i="61"/>
  <c r="N146" i="61" a="1"/>
  <c r="N146" i="61"/>
  <c r="J146" i="61" a="1"/>
  <c r="J146" i="61"/>
  <c r="I146" i="61" a="1"/>
  <c r="I146" i="61"/>
  <c r="BF145" i="61" a="1"/>
  <c r="BF145" i="61"/>
  <c r="BB145" i="61" a="1"/>
  <c r="BB145" i="61"/>
  <c r="AX145" i="61" a="1"/>
  <c r="AX145" i="61"/>
  <c r="AT145" i="61" a="1"/>
  <c r="AT145" i="61"/>
  <c r="AS145" i="61" a="1"/>
  <c r="AS145" i="61"/>
  <c r="AN145" i="61" a="1"/>
  <c r="AN145" i="61"/>
  <c r="AJ145" i="61" a="1"/>
  <c r="AJ145" i="61"/>
  <c r="AF145" i="61" a="1"/>
  <c r="AF145" i="61"/>
  <c r="AB145" i="61" a="1"/>
  <c r="AB145" i="61"/>
  <c r="AA145" i="61" a="1"/>
  <c r="AA145" i="61"/>
  <c r="V145" i="61" a="1"/>
  <c r="V145" i="61"/>
  <c r="R145" i="61" a="1"/>
  <c r="R145" i="61"/>
  <c r="N145" i="61" a="1"/>
  <c r="N145" i="61"/>
  <c r="J145" i="61" a="1"/>
  <c r="J145" i="61"/>
  <c r="I145" i="61" a="1"/>
  <c r="I145" i="61"/>
  <c r="BF144" i="61" a="1"/>
  <c r="BF144" i="61"/>
  <c r="BB144" i="61" a="1"/>
  <c r="BB144" i="61"/>
  <c r="AX144" i="61" a="1"/>
  <c r="AX144" i="61"/>
  <c r="AT144" i="61" a="1"/>
  <c r="AT144" i="61"/>
  <c r="AS144" i="61" a="1"/>
  <c r="AS144" i="61"/>
  <c r="AN144" i="61" a="1"/>
  <c r="AN144" i="61"/>
  <c r="AJ144" i="61" a="1"/>
  <c r="AJ144" i="61"/>
  <c r="AF144" i="61" a="1"/>
  <c r="AF144" i="61"/>
  <c r="AB144" i="61" a="1"/>
  <c r="AB144" i="61"/>
  <c r="AA144" i="61" a="1"/>
  <c r="AA144" i="61"/>
  <c r="V144" i="61" a="1"/>
  <c r="V144" i="61"/>
  <c r="R144" i="61" a="1"/>
  <c r="R144" i="61"/>
  <c r="N144" i="61" a="1"/>
  <c r="N144" i="61"/>
  <c r="J144" i="61" a="1"/>
  <c r="J144" i="61"/>
  <c r="I144" i="61" a="1"/>
  <c r="I144" i="61"/>
  <c r="BF143" i="61" a="1"/>
  <c r="BF143" i="61"/>
  <c r="BB143" i="61" a="1"/>
  <c r="BB143" i="61"/>
  <c r="AX143" i="61" a="1"/>
  <c r="AX143" i="61"/>
  <c r="AT143" i="61" a="1"/>
  <c r="AT143" i="61"/>
  <c r="AS143" i="61" a="1"/>
  <c r="AS143" i="61"/>
  <c r="AN143" i="61" a="1"/>
  <c r="AN143" i="61"/>
  <c r="AJ143" i="61" a="1"/>
  <c r="AJ143" i="61"/>
  <c r="AF143" i="61" a="1"/>
  <c r="AF143" i="61"/>
  <c r="AB143" i="61" a="1"/>
  <c r="AB143" i="61"/>
  <c r="AA143" i="61" a="1"/>
  <c r="AA143" i="61"/>
  <c r="V143" i="61" a="1"/>
  <c r="V143" i="61"/>
  <c r="R143" i="61" a="1"/>
  <c r="R143" i="61"/>
  <c r="N143" i="61" a="1"/>
  <c r="N143" i="61"/>
  <c r="J143" i="61" a="1"/>
  <c r="J143" i="61"/>
  <c r="I143" i="61" a="1"/>
  <c r="I143" i="61"/>
  <c r="BF142" i="61" a="1"/>
  <c r="BF142" i="61"/>
  <c r="BB142" i="61" a="1"/>
  <c r="BB142" i="61"/>
  <c r="AX142" i="61" a="1"/>
  <c r="AX142" i="61"/>
  <c r="AT142" i="61" a="1"/>
  <c r="AT142" i="61"/>
  <c r="AS142" i="61" a="1"/>
  <c r="AS142" i="61"/>
  <c r="AN142" i="61" a="1"/>
  <c r="AN142" i="61"/>
  <c r="AJ142" i="61" a="1"/>
  <c r="AJ142" i="61"/>
  <c r="AF142" i="61" a="1"/>
  <c r="AF142" i="61"/>
  <c r="AB142" i="61" a="1"/>
  <c r="AB142" i="61"/>
  <c r="AA142" i="61" a="1"/>
  <c r="AA142" i="61"/>
  <c r="V142" i="61" a="1"/>
  <c r="V142" i="61"/>
  <c r="R142" i="61" a="1"/>
  <c r="R142" i="61"/>
  <c r="N142" i="61" a="1"/>
  <c r="N142" i="61"/>
  <c r="J142" i="61" a="1"/>
  <c r="J142" i="61"/>
  <c r="I142" i="61" a="1"/>
  <c r="I142" i="61"/>
  <c r="BF141" i="61" a="1"/>
  <c r="BF141" i="61"/>
  <c r="BB141" i="61" a="1"/>
  <c r="BB141" i="61"/>
  <c r="AX141" i="61" a="1"/>
  <c r="AX141" i="61"/>
  <c r="AT141" i="61" a="1"/>
  <c r="AT141" i="61"/>
  <c r="AS141" i="61" a="1"/>
  <c r="AS141" i="61"/>
  <c r="AN141" i="61" a="1"/>
  <c r="AN141" i="61"/>
  <c r="AJ141" i="61" a="1"/>
  <c r="AJ141" i="61"/>
  <c r="AF141" i="61" a="1"/>
  <c r="AF141" i="61"/>
  <c r="AB141" i="61" a="1"/>
  <c r="AB141" i="61"/>
  <c r="AA141" i="61" a="1"/>
  <c r="AA141" i="61"/>
  <c r="V141" i="61" a="1"/>
  <c r="V141" i="61"/>
  <c r="R141" i="61" a="1"/>
  <c r="R141" i="61"/>
  <c r="N141" i="61" a="1"/>
  <c r="N141" i="61"/>
  <c r="J141" i="61" a="1"/>
  <c r="J141" i="61"/>
  <c r="I141" i="61" a="1"/>
  <c r="I141" i="61"/>
  <c r="BF140" i="61" a="1"/>
  <c r="BF140" i="61"/>
  <c r="BB140" i="61" a="1"/>
  <c r="BB140" i="61"/>
  <c r="AX140" i="61" a="1"/>
  <c r="AX140" i="61"/>
  <c r="AT140" i="61" a="1"/>
  <c r="AT140" i="61"/>
  <c r="AS140" i="61" a="1"/>
  <c r="AS140" i="61"/>
  <c r="AN140" i="61" a="1"/>
  <c r="AN140" i="61"/>
  <c r="AJ140" i="61" a="1"/>
  <c r="AJ140" i="61"/>
  <c r="AF140" i="61" a="1"/>
  <c r="AF140" i="61"/>
  <c r="AB140" i="61" a="1"/>
  <c r="AB140" i="61"/>
  <c r="AA140" i="61" a="1"/>
  <c r="AA140" i="61"/>
  <c r="V140" i="61" a="1"/>
  <c r="V140" i="61"/>
  <c r="R140" i="61" a="1"/>
  <c r="R140" i="61"/>
  <c r="N140" i="61" a="1"/>
  <c r="N140" i="61"/>
  <c r="J140" i="61" a="1"/>
  <c r="J140" i="61"/>
  <c r="I140" i="61" a="1"/>
  <c r="I140" i="61"/>
  <c r="BF139" i="61" a="1"/>
  <c r="BF139" i="61"/>
  <c r="BB139" i="61" a="1"/>
  <c r="BB139" i="61"/>
  <c r="AX139" i="61" a="1"/>
  <c r="AX139" i="61"/>
  <c r="AT139" i="61" a="1"/>
  <c r="AT139" i="61"/>
  <c r="AS139" i="61" a="1"/>
  <c r="AS139" i="61"/>
  <c r="AN139" i="61" a="1"/>
  <c r="AN139" i="61"/>
  <c r="AJ139" i="61" a="1"/>
  <c r="AJ139" i="61"/>
  <c r="AF139" i="61" a="1"/>
  <c r="AF139" i="61"/>
  <c r="AB139" i="61" a="1"/>
  <c r="AB139" i="61"/>
  <c r="AA139" i="61" a="1"/>
  <c r="AA139" i="61"/>
  <c r="V139" i="61" a="1"/>
  <c r="V139" i="61"/>
  <c r="R139" i="61" a="1"/>
  <c r="R139" i="61"/>
  <c r="N139" i="61" a="1"/>
  <c r="N139" i="61"/>
  <c r="J139" i="61" a="1"/>
  <c r="J139" i="61"/>
  <c r="I139" i="61" a="1"/>
  <c r="I139" i="61"/>
  <c r="BF138" i="61" a="1"/>
  <c r="BF138" i="61"/>
  <c r="BB138" i="61" a="1"/>
  <c r="BB138" i="61"/>
  <c r="AX138" i="61" a="1"/>
  <c r="AX138" i="61"/>
  <c r="AT138" i="61" a="1"/>
  <c r="AT138" i="61"/>
  <c r="AS138" i="61" a="1"/>
  <c r="AS138" i="61"/>
  <c r="AN138" i="61" a="1"/>
  <c r="AN138" i="61"/>
  <c r="AJ138" i="61" a="1"/>
  <c r="AJ138" i="61"/>
  <c r="AF138" i="61" a="1"/>
  <c r="AF138" i="61"/>
  <c r="AB138" i="61" a="1"/>
  <c r="AB138" i="61"/>
  <c r="AA138" i="61" a="1"/>
  <c r="AA138" i="61"/>
  <c r="V138" i="61" a="1"/>
  <c r="V138" i="61"/>
  <c r="R138" i="61" a="1"/>
  <c r="R138" i="61"/>
  <c r="N138" i="61" a="1"/>
  <c r="N138" i="61"/>
  <c r="J138" i="61" a="1"/>
  <c r="J138" i="61"/>
  <c r="I138" i="61" a="1"/>
  <c r="I138" i="61"/>
  <c r="BF137" i="61" a="1"/>
  <c r="BF137" i="61"/>
  <c r="BB137" i="61" a="1"/>
  <c r="BB137" i="61"/>
  <c r="AX137" i="61" a="1"/>
  <c r="AX137" i="61"/>
  <c r="AT137" i="61" a="1"/>
  <c r="AT137" i="61"/>
  <c r="AS137" i="61" a="1"/>
  <c r="AS137" i="61"/>
  <c r="AN137" i="61" a="1"/>
  <c r="AN137" i="61"/>
  <c r="AJ137" i="61" a="1"/>
  <c r="AJ137" i="61"/>
  <c r="AF137" i="61" a="1"/>
  <c r="AF137" i="61"/>
  <c r="AB137" i="61" a="1"/>
  <c r="AB137" i="61"/>
  <c r="AA137" i="61" a="1"/>
  <c r="AA137" i="61"/>
  <c r="V137" i="61" a="1"/>
  <c r="V137" i="61"/>
  <c r="R137" i="61" a="1"/>
  <c r="R137" i="61"/>
  <c r="N137" i="61" a="1"/>
  <c r="N137" i="61"/>
  <c r="J137" i="61" a="1"/>
  <c r="J137" i="61"/>
  <c r="I137" i="61" a="1"/>
  <c r="I137" i="61"/>
  <c r="BF136" i="61" a="1"/>
  <c r="BF136" i="61"/>
  <c r="BB136" i="61" a="1"/>
  <c r="BB136" i="61"/>
  <c r="AX136" i="61" a="1"/>
  <c r="AX136" i="61"/>
  <c r="AT136" i="61" a="1"/>
  <c r="AT136" i="61"/>
  <c r="AS136" i="61" a="1"/>
  <c r="AS136" i="61"/>
  <c r="AN136" i="61" a="1"/>
  <c r="AN136" i="61"/>
  <c r="AJ136" i="61" a="1"/>
  <c r="AJ136" i="61"/>
  <c r="AF136" i="61" a="1"/>
  <c r="AF136" i="61"/>
  <c r="AB136" i="61" a="1"/>
  <c r="AB136" i="61"/>
  <c r="AA136" i="61" a="1"/>
  <c r="AA136" i="61"/>
  <c r="V136" i="61" a="1"/>
  <c r="V136" i="61"/>
  <c r="R136" i="61" a="1"/>
  <c r="R136" i="61"/>
  <c r="N136" i="61" a="1"/>
  <c r="N136" i="61"/>
  <c r="J136" i="61" a="1"/>
  <c r="J136" i="61"/>
  <c r="I136" i="61" a="1"/>
  <c r="I136" i="61"/>
  <c r="BF135" i="61" a="1"/>
  <c r="BF135" i="61"/>
  <c r="BB135" i="61" a="1"/>
  <c r="BB135" i="61"/>
  <c r="AX135" i="61" a="1"/>
  <c r="AX135" i="61"/>
  <c r="AT135" i="61" a="1"/>
  <c r="AT135" i="61"/>
  <c r="AS135" i="61" a="1"/>
  <c r="AS135" i="61"/>
  <c r="AN135" i="61" a="1"/>
  <c r="AN135" i="61"/>
  <c r="AJ135" i="61" a="1"/>
  <c r="AJ135" i="61"/>
  <c r="AF135" i="61" a="1"/>
  <c r="AF135" i="61"/>
  <c r="AB135" i="61" a="1"/>
  <c r="AB135" i="61"/>
  <c r="AA135" i="61" a="1"/>
  <c r="AA135" i="61"/>
  <c r="V135" i="61" a="1"/>
  <c r="V135" i="61"/>
  <c r="R135" i="61" a="1"/>
  <c r="R135" i="61"/>
  <c r="N135" i="61" a="1"/>
  <c r="N135" i="61"/>
  <c r="J135" i="61" a="1"/>
  <c r="J135" i="61"/>
  <c r="I135" i="61" a="1"/>
  <c r="I135" i="61"/>
  <c r="BF134" i="61" a="1"/>
  <c r="BF134" i="61"/>
  <c r="BB134" i="61" a="1"/>
  <c r="BB134" i="61"/>
  <c r="AX134" i="61" a="1"/>
  <c r="AX134" i="61"/>
  <c r="AT134" i="61" a="1"/>
  <c r="AT134" i="61"/>
  <c r="AS134" i="61" a="1"/>
  <c r="AS134" i="61"/>
  <c r="AN134" i="61" a="1"/>
  <c r="AN134" i="61"/>
  <c r="AJ134" i="61" a="1"/>
  <c r="AJ134" i="61"/>
  <c r="AF134" i="61" a="1"/>
  <c r="AF134" i="61"/>
  <c r="AB134" i="61" a="1"/>
  <c r="AB134" i="61"/>
  <c r="AA134" i="61" a="1"/>
  <c r="AA134" i="61"/>
  <c r="V134" i="61" a="1"/>
  <c r="V134" i="61"/>
  <c r="R134" i="61" a="1"/>
  <c r="R134" i="61"/>
  <c r="N134" i="61" a="1"/>
  <c r="N134" i="61"/>
  <c r="J134" i="61" a="1"/>
  <c r="J134" i="61"/>
  <c r="I134" i="61" a="1"/>
  <c r="I134" i="61"/>
  <c r="BF133" i="61" a="1"/>
  <c r="BF133" i="61"/>
  <c r="BB133" i="61" a="1"/>
  <c r="BB133" i="61"/>
  <c r="AX133" i="61" a="1"/>
  <c r="AX133" i="61"/>
  <c r="AT133" i="61" a="1"/>
  <c r="AT133" i="61"/>
  <c r="AS133" i="61" a="1"/>
  <c r="AS133" i="61"/>
  <c r="AN133" i="61" a="1"/>
  <c r="AN133" i="61"/>
  <c r="AJ133" i="61" a="1"/>
  <c r="AJ133" i="61"/>
  <c r="AF133" i="61" a="1"/>
  <c r="AF133" i="61"/>
  <c r="AB133" i="61" a="1"/>
  <c r="AB133" i="61"/>
  <c r="AA133" i="61" a="1"/>
  <c r="AA133" i="61"/>
  <c r="V133" i="61" a="1"/>
  <c r="V133" i="61"/>
  <c r="R133" i="61" a="1"/>
  <c r="R133" i="61"/>
  <c r="N133" i="61" a="1"/>
  <c r="N133" i="61"/>
  <c r="J133" i="61" a="1"/>
  <c r="J133" i="61"/>
  <c r="I133" i="61" a="1"/>
  <c r="I133" i="61"/>
  <c r="BF132" i="61" a="1"/>
  <c r="BF132" i="61"/>
  <c r="BB132" i="61" a="1"/>
  <c r="BB132" i="61"/>
  <c r="AX132" i="61" a="1"/>
  <c r="AX132" i="61"/>
  <c r="AT132" i="61" a="1"/>
  <c r="AT132" i="61"/>
  <c r="AS132" i="61" a="1"/>
  <c r="AS132" i="61"/>
  <c r="AN132" i="61" a="1"/>
  <c r="AN132" i="61"/>
  <c r="AJ132" i="61" a="1"/>
  <c r="AJ132" i="61"/>
  <c r="AF132" i="61" a="1"/>
  <c r="AF132" i="61"/>
  <c r="AB132" i="61" a="1"/>
  <c r="AB132" i="61"/>
  <c r="AA132" i="61" a="1"/>
  <c r="AA132" i="61"/>
  <c r="V132" i="61" a="1"/>
  <c r="V132" i="61"/>
  <c r="R132" i="61" a="1"/>
  <c r="R132" i="61"/>
  <c r="N132" i="61" a="1"/>
  <c r="N132" i="61"/>
  <c r="J132" i="61" a="1"/>
  <c r="J132" i="61"/>
  <c r="I132" i="61" a="1"/>
  <c r="I132" i="61"/>
  <c r="BF131" i="61" a="1"/>
  <c r="BF131" i="61"/>
  <c r="BB131" i="61" a="1"/>
  <c r="BB131" i="61"/>
  <c r="AX131" i="61" a="1"/>
  <c r="AX131" i="61"/>
  <c r="AT131" i="61" a="1"/>
  <c r="AT131" i="61"/>
  <c r="AS131" i="61" a="1"/>
  <c r="AS131" i="61"/>
  <c r="AN131" i="61" a="1"/>
  <c r="AN131" i="61"/>
  <c r="AJ131" i="61" a="1"/>
  <c r="AJ131" i="61"/>
  <c r="AF131" i="61" a="1"/>
  <c r="AF131" i="61"/>
  <c r="AB131" i="61" a="1"/>
  <c r="AB131" i="61"/>
  <c r="AA131" i="61" a="1"/>
  <c r="AA131" i="61"/>
  <c r="V131" i="61" a="1"/>
  <c r="V131" i="61"/>
  <c r="R131" i="61" a="1"/>
  <c r="R131" i="61"/>
  <c r="N131" i="61" a="1"/>
  <c r="N131" i="61"/>
  <c r="J131" i="61" a="1"/>
  <c r="J131" i="61"/>
  <c r="I131" i="61" a="1"/>
  <c r="I131" i="61"/>
  <c r="BF130" i="61" a="1"/>
  <c r="BF130" i="61"/>
  <c r="BB130" i="61" a="1"/>
  <c r="BB130" i="61"/>
  <c r="AX130" i="61" a="1"/>
  <c r="AX130" i="61"/>
  <c r="AT130" i="61" a="1"/>
  <c r="AT130" i="61"/>
  <c r="AS130" i="61" a="1"/>
  <c r="AS130" i="61"/>
  <c r="AN130" i="61" a="1"/>
  <c r="AN130" i="61"/>
  <c r="AJ130" i="61" a="1"/>
  <c r="AJ130" i="61"/>
  <c r="AF130" i="61" a="1"/>
  <c r="AF130" i="61"/>
  <c r="AB130" i="61" a="1"/>
  <c r="AB130" i="61"/>
  <c r="AA130" i="61" a="1"/>
  <c r="AA130" i="61"/>
  <c r="V130" i="61" a="1"/>
  <c r="V130" i="61"/>
  <c r="R130" i="61" a="1"/>
  <c r="R130" i="61"/>
  <c r="N130" i="61" a="1"/>
  <c r="N130" i="61"/>
  <c r="J130" i="61" a="1"/>
  <c r="J130" i="61"/>
  <c r="I130" i="61" a="1"/>
  <c r="I130" i="61"/>
  <c r="BF129" i="61" a="1"/>
  <c r="BF129" i="61"/>
  <c r="BB129" i="61" a="1"/>
  <c r="BB129" i="61"/>
  <c r="AX129" i="61" a="1"/>
  <c r="AX129" i="61"/>
  <c r="AT129" i="61" a="1"/>
  <c r="AT129" i="61"/>
  <c r="AS129" i="61" a="1"/>
  <c r="AS129" i="61"/>
  <c r="AN129" i="61" a="1"/>
  <c r="AN129" i="61"/>
  <c r="AJ129" i="61" a="1"/>
  <c r="AJ129" i="61"/>
  <c r="AF129" i="61" a="1"/>
  <c r="AF129" i="61"/>
  <c r="AB129" i="61" a="1"/>
  <c r="AB129" i="61"/>
  <c r="AA129" i="61" a="1"/>
  <c r="AA129" i="61"/>
  <c r="V129" i="61" a="1"/>
  <c r="V129" i="61"/>
  <c r="R129" i="61" a="1"/>
  <c r="R129" i="61"/>
  <c r="N129" i="61" a="1"/>
  <c r="N129" i="61"/>
  <c r="J129" i="61" a="1"/>
  <c r="J129" i="61"/>
  <c r="I129" i="61" a="1"/>
  <c r="I129" i="61"/>
  <c r="BF128" i="61" a="1"/>
  <c r="BF128" i="61"/>
  <c r="BB128" i="61" a="1"/>
  <c r="BB128" i="61"/>
  <c r="AX128" i="61" a="1"/>
  <c r="AX128" i="61"/>
  <c r="AT128" i="61" a="1"/>
  <c r="AT128" i="61"/>
  <c r="AS128" i="61" a="1"/>
  <c r="AS128" i="61"/>
  <c r="AN128" i="61" a="1"/>
  <c r="AN128" i="61"/>
  <c r="AJ128" i="61" a="1"/>
  <c r="AJ128" i="61"/>
  <c r="AF128" i="61" a="1"/>
  <c r="AF128" i="61"/>
  <c r="AB128" i="61" a="1"/>
  <c r="AB128" i="61"/>
  <c r="AA128" i="61" a="1"/>
  <c r="AA128" i="61"/>
  <c r="V128" i="61" a="1"/>
  <c r="V128" i="61"/>
  <c r="R128" i="61" a="1"/>
  <c r="R128" i="61"/>
  <c r="N128" i="61" a="1"/>
  <c r="N128" i="61"/>
  <c r="J128" i="61" a="1"/>
  <c r="J128" i="61"/>
  <c r="I128" i="61" a="1"/>
  <c r="I128" i="61"/>
  <c r="BF127" i="61" a="1"/>
  <c r="BF127" i="61"/>
  <c r="BB127" i="61" a="1"/>
  <c r="BB127" i="61"/>
  <c r="AX127" i="61" a="1"/>
  <c r="AX127" i="61"/>
  <c r="AT127" i="61" a="1"/>
  <c r="AT127" i="61"/>
  <c r="AS127" i="61" a="1"/>
  <c r="AS127" i="61"/>
  <c r="AN127" i="61" a="1"/>
  <c r="AN127" i="61"/>
  <c r="AJ127" i="61" a="1"/>
  <c r="AJ127" i="61"/>
  <c r="AF127" i="61" a="1"/>
  <c r="AF127" i="61"/>
  <c r="AB127" i="61" a="1"/>
  <c r="AB127" i="61"/>
  <c r="AA127" i="61" a="1"/>
  <c r="AA127" i="61"/>
  <c r="V127" i="61" a="1"/>
  <c r="V127" i="61"/>
  <c r="R127" i="61" a="1"/>
  <c r="R127" i="61"/>
  <c r="N127" i="61" a="1"/>
  <c r="N127" i="61"/>
  <c r="J127" i="61" a="1"/>
  <c r="J127" i="61"/>
  <c r="I127" i="61" a="1"/>
  <c r="I127" i="61"/>
  <c r="BF126" i="61" a="1"/>
  <c r="BF126" i="61"/>
  <c r="BB126" i="61" a="1"/>
  <c r="BB126" i="61"/>
  <c r="AX126" i="61" a="1"/>
  <c r="AX126" i="61"/>
  <c r="AT126" i="61" a="1"/>
  <c r="AT126" i="61"/>
  <c r="AS126" i="61" a="1"/>
  <c r="AS126" i="61"/>
  <c r="AN126" i="61" a="1"/>
  <c r="AN126" i="61"/>
  <c r="AJ126" i="61" a="1"/>
  <c r="AJ126" i="61"/>
  <c r="AF126" i="61" a="1"/>
  <c r="AF126" i="61"/>
  <c r="AB126" i="61" a="1"/>
  <c r="AB126" i="61"/>
  <c r="AA126" i="61" a="1"/>
  <c r="AA126" i="61"/>
  <c r="V126" i="61" a="1"/>
  <c r="V126" i="61"/>
  <c r="R126" i="61" a="1"/>
  <c r="R126" i="61"/>
  <c r="N126" i="61" a="1"/>
  <c r="N126" i="61"/>
  <c r="J126" i="61" a="1"/>
  <c r="J126" i="61"/>
  <c r="I126" i="61" a="1"/>
  <c r="I126" i="61"/>
  <c r="BF125" i="61" a="1"/>
  <c r="BF125" i="61"/>
  <c r="BB125" i="61" a="1"/>
  <c r="BB125" i="61"/>
  <c r="AX125" i="61" a="1"/>
  <c r="AX125" i="61"/>
  <c r="AT125" i="61" a="1"/>
  <c r="AT125" i="61"/>
  <c r="AS125" i="61" a="1"/>
  <c r="AS125" i="61"/>
  <c r="AN125" i="61" a="1"/>
  <c r="AN125" i="61"/>
  <c r="AJ125" i="61" a="1"/>
  <c r="AJ125" i="61"/>
  <c r="AF125" i="61" a="1"/>
  <c r="AF125" i="61"/>
  <c r="AB125" i="61" a="1"/>
  <c r="AB125" i="61"/>
  <c r="AA125" i="61" a="1"/>
  <c r="AA125" i="61"/>
  <c r="V125" i="61" a="1"/>
  <c r="V125" i="61"/>
  <c r="R125" i="61" a="1"/>
  <c r="R125" i="61"/>
  <c r="N125" i="61" a="1"/>
  <c r="N125" i="61"/>
  <c r="J125" i="61" a="1"/>
  <c r="J125" i="61"/>
  <c r="I125" i="61" a="1"/>
  <c r="I125" i="61"/>
  <c r="BF124" i="61" a="1"/>
  <c r="BF124" i="61"/>
  <c r="BB124" i="61" a="1"/>
  <c r="BB124" i="61"/>
  <c r="AX124" i="61" a="1"/>
  <c r="AX124" i="61"/>
  <c r="AT124" i="61" a="1"/>
  <c r="AT124" i="61"/>
  <c r="AS124" i="61" a="1"/>
  <c r="AS124" i="61"/>
  <c r="AN124" i="61" a="1"/>
  <c r="AN124" i="61"/>
  <c r="AJ124" i="61" a="1"/>
  <c r="AJ124" i="61"/>
  <c r="AF124" i="61" a="1"/>
  <c r="AF124" i="61"/>
  <c r="AB124" i="61" a="1"/>
  <c r="AB124" i="61"/>
  <c r="AA124" i="61" a="1"/>
  <c r="AA124" i="61"/>
  <c r="V124" i="61" a="1"/>
  <c r="V124" i="61"/>
  <c r="R124" i="61" a="1"/>
  <c r="R124" i="61"/>
  <c r="N124" i="61" a="1"/>
  <c r="N124" i="61"/>
  <c r="J124" i="61" a="1"/>
  <c r="J124" i="61"/>
  <c r="I124" i="61" a="1"/>
  <c r="I124" i="61"/>
  <c r="BF123" i="61" a="1"/>
  <c r="BF123" i="61"/>
  <c r="BB123" i="61" a="1"/>
  <c r="BB123" i="61"/>
  <c r="AX123" i="61" a="1"/>
  <c r="AX123" i="61"/>
  <c r="AT123" i="61" a="1"/>
  <c r="AT123" i="61"/>
  <c r="AS123" i="61" a="1"/>
  <c r="AS123" i="61"/>
  <c r="AN123" i="61" a="1"/>
  <c r="AN123" i="61"/>
  <c r="AJ123" i="61" a="1"/>
  <c r="AJ123" i="61"/>
  <c r="AF123" i="61" a="1"/>
  <c r="AF123" i="61"/>
  <c r="AB123" i="61" a="1"/>
  <c r="AB123" i="61"/>
  <c r="AA123" i="61" a="1"/>
  <c r="AA123" i="61"/>
  <c r="V123" i="61" a="1"/>
  <c r="V123" i="61"/>
  <c r="R123" i="61" a="1"/>
  <c r="R123" i="61"/>
  <c r="N123" i="61" a="1"/>
  <c r="N123" i="61"/>
  <c r="J123" i="61" a="1"/>
  <c r="J123" i="61"/>
  <c r="I123" i="61" a="1"/>
  <c r="I123" i="61"/>
  <c r="BF122" i="61" a="1"/>
  <c r="BF122" i="61"/>
  <c r="BB122" i="61" a="1"/>
  <c r="BB122" i="61"/>
  <c r="AX122" i="61" a="1"/>
  <c r="AX122" i="61"/>
  <c r="AT122" i="61" a="1"/>
  <c r="AT122" i="61"/>
  <c r="AS122" i="61" a="1"/>
  <c r="AS122" i="61"/>
  <c r="AN122" i="61" a="1"/>
  <c r="AN122" i="61"/>
  <c r="AJ122" i="61" a="1"/>
  <c r="AJ122" i="61"/>
  <c r="AF122" i="61" a="1"/>
  <c r="AF122" i="61"/>
  <c r="AB122" i="61" a="1"/>
  <c r="AB122" i="61"/>
  <c r="AA122" i="61" a="1"/>
  <c r="AA122" i="61"/>
  <c r="V122" i="61" a="1"/>
  <c r="V122" i="61"/>
  <c r="R122" i="61" a="1"/>
  <c r="R122" i="61"/>
  <c r="N122" i="61" a="1"/>
  <c r="N122" i="61"/>
  <c r="J122" i="61" a="1"/>
  <c r="J122" i="61"/>
  <c r="I122" i="61" a="1"/>
  <c r="I122" i="61"/>
  <c r="BF121" i="61" a="1"/>
  <c r="BF121" i="61"/>
  <c r="BB121" i="61" a="1"/>
  <c r="BB121" i="61"/>
  <c r="AX121" i="61" a="1"/>
  <c r="AX121" i="61"/>
  <c r="AT121" i="61" a="1"/>
  <c r="AT121" i="61"/>
  <c r="AS121" i="61" a="1"/>
  <c r="AS121" i="61"/>
  <c r="AN121" i="61" a="1"/>
  <c r="AN121" i="61"/>
  <c r="AJ121" i="61" a="1"/>
  <c r="AJ121" i="61"/>
  <c r="AF121" i="61" a="1"/>
  <c r="AF121" i="61"/>
  <c r="AB121" i="61" a="1"/>
  <c r="AB121" i="61"/>
  <c r="AA121" i="61" a="1"/>
  <c r="AA121" i="61"/>
  <c r="V121" i="61" a="1"/>
  <c r="V121" i="61"/>
  <c r="R121" i="61" a="1"/>
  <c r="R121" i="61"/>
  <c r="N121" i="61" a="1"/>
  <c r="N121" i="61"/>
  <c r="J121" i="61" a="1"/>
  <c r="J121" i="61"/>
  <c r="I121" i="61" a="1"/>
  <c r="I121" i="61"/>
  <c r="BF120" i="61" a="1"/>
  <c r="BF120" i="61"/>
  <c r="BB120" i="61" a="1"/>
  <c r="BB120" i="61"/>
  <c r="AX120" i="61" a="1"/>
  <c r="AX120" i="61"/>
  <c r="AT120" i="61" a="1"/>
  <c r="AT120" i="61"/>
  <c r="AS120" i="61" a="1"/>
  <c r="AS120" i="61"/>
  <c r="AN120" i="61" a="1"/>
  <c r="AN120" i="61"/>
  <c r="AJ120" i="61" a="1"/>
  <c r="AJ120" i="61"/>
  <c r="AF120" i="61" a="1"/>
  <c r="AF120" i="61"/>
  <c r="AB120" i="61" a="1"/>
  <c r="AB120" i="61"/>
  <c r="AA120" i="61" a="1"/>
  <c r="AA120" i="61"/>
  <c r="V120" i="61" a="1"/>
  <c r="V120" i="61"/>
  <c r="R120" i="61" a="1"/>
  <c r="R120" i="61"/>
  <c r="N120" i="61" a="1"/>
  <c r="N120" i="61"/>
  <c r="J120" i="61" a="1"/>
  <c r="J120" i="61"/>
  <c r="I120" i="61" a="1"/>
  <c r="I120" i="61"/>
  <c r="BF119" i="61" a="1"/>
  <c r="BF119" i="61"/>
  <c r="BB119" i="61" a="1"/>
  <c r="BB119" i="61"/>
  <c r="AX119" i="61" a="1"/>
  <c r="AX119" i="61"/>
  <c r="AT119" i="61" a="1"/>
  <c r="AT119" i="61"/>
  <c r="AS119" i="61" a="1"/>
  <c r="AS119" i="61"/>
  <c r="AN119" i="61" a="1"/>
  <c r="AN119" i="61"/>
  <c r="AJ119" i="61" a="1"/>
  <c r="AJ119" i="61"/>
  <c r="AF119" i="61" a="1"/>
  <c r="AF119" i="61"/>
  <c r="AB119" i="61" a="1"/>
  <c r="AB119" i="61"/>
  <c r="AA119" i="61" a="1"/>
  <c r="AA119" i="61"/>
  <c r="V119" i="61" a="1"/>
  <c r="V119" i="61"/>
  <c r="R119" i="61" a="1"/>
  <c r="R119" i="61"/>
  <c r="N119" i="61" a="1"/>
  <c r="N119" i="61"/>
  <c r="J119" i="61" a="1"/>
  <c r="J119" i="61"/>
  <c r="I119" i="61" a="1"/>
  <c r="I119" i="61"/>
  <c r="BF118" i="61" a="1"/>
  <c r="BF118" i="61"/>
  <c r="BB118" i="61" a="1"/>
  <c r="BB118" i="61"/>
  <c r="AX118" i="61" a="1"/>
  <c r="AX118" i="61"/>
  <c r="AT118" i="61" a="1"/>
  <c r="AT118" i="61"/>
  <c r="AS118" i="61" a="1"/>
  <c r="AS118" i="61"/>
  <c r="AN118" i="61" a="1"/>
  <c r="AN118" i="61"/>
  <c r="AJ118" i="61" a="1"/>
  <c r="AJ118" i="61"/>
  <c r="AF118" i="61" a="1"/>
  <c r="AF118" i="61"/>
  <c r="AB118" i="61" a="1"/>
  <c r="AB118" i="61"/>
  <c r="AA118" i="61" a="1"/>
  <c r="AA118" i="61"/>
  <c r="V118" i="61" a="1"/>
  <c r="V118" i="61"/>
  <c r="R118" i="61" a="1"/>
  <c r="R118" i="61"/>
  <c r="N118" i="61" a="1"/>
  <c r="N118" i="61"/>
  <c r="J118" i="61" a="1"/>
  <c r="J118" i="61"/>
  <c r="I118" i="61" a="1"/>
  <c r="I118" i="61"/>
  <c r="BF117" i="61" a="1"/>
  <c r="BF117" i="61"/>
  <c r="BB117" i="61" a="1"/>
  <c r="BB117" i="61"/>
  <c r="AX117" i="61" a="1"/>
  <c r="AX117" i="61"/>
  <c r="AT117" i="61" a="1"/>
  <c r="AT117" i="61"/>
  <c r="AS117" i="61" a="1"/>
  <c r="AS117" i="61"/>
  <c r="AN117" i="61" a="1"/>
  <c r="AN117" i="61"/>
  <c r="AJ117" i="61" a="1"/>
  <c r="AJ117" i="61"/>
  <c r="AF117" i="61" a="1"/>
  <c r="AF117" i="61"/>
  <c r="AB117" i="61" a="1"/>
  <c r="AB117" i="61"/>
  <c r="AA117" i="61" a="1"/>
  <c r="AA117" i="61"/>
  <c r="V117" i="61" a="1"/>
  <c r="V117" i="61"/>
  <c r="R117" i="61" a="1"/>
  <c r="R117" i="61"/>
  <c r="N117" i="61" a="1"/>
  <c r="N117" i="61"/>
  <c r="J117" i="61" a="1"/>
  <c r="J117" i="61"/>
  <c r="I117" i="61" a="1"/>
  <c r="I117" i="61"/>
  <c r="BF116" i="61" a="1"/>
  <c r="BF116" i="61"/>
  <c r="BB116" i="61" a="1"/>
  <c r="BB116" i="61"/>
  <c r="AX116" i="61" a="1"/>
  <c r="AX116" i="61"/>
  <c r="AT116" i="61" a="1"/>
  <c r="AT116" i="61"/>
  <c r="AS116" i="61" a="1"/>
  <c r="AS116" i="61"/>
  <c r="AN116" i="61" a="1"/>
  <c r="AN116" i="61"/>
  <c r="AJ116" i="61" a="1"/>
  <c r="AJ116" i="61"/>
  <c r="AF116" i="61" a="1"/>
  <c r="AF116" i="61"/>
  <c r="AB116" i="61" a="1"/>
  <c r="AB116" i="61"/>
  <c r="AA116" i="61" a="1"/>
  <c r="AA116" i="61"/>
  <c r="V116" i="61" a="1"/>
  <c r="V116" i="61"/>
  <c r="R116" i="61" a="1"/>
  <c r="R116" i="61"/>
  <c r="N116" i="61" a="1"/>
  <c r="N116" i="61"/>
  <c r="J116" i="61" a="1"/>
  <c r="J116" i="61"/>
  <c r="I116" i="61" a="1"/>
  <c r="I116" i="61"/>
  <c r="BF115" i="61" a="1"/>
  <c r="BF115" i="61"/>
  <c r="BB115" i="61" a="1"/>
  <c r="BB115" i="61"/>
  <c r="AX115" i="61" a="1"/>
  <c r="AX115" i="61"/>
  <c r="AT115" i="61" a="1"/>
  <c r="AT115" i="61"/>
  <c r="AS115" i="61" a="1"/>
  <c r="AS115" i="61"/>
  <c r="AN115" i="61" a="1"/>
  <c r="AN115" i="61"/>
  <c r="AJ115" i="61" a="1"/>
  <c r="AJ115" i="61"/>
  <c r="AF115" i="61" a="1"/>
  <c r="AF115" i="61"/>
  <c r="AB115" i="61" a="1"/>
  <c r="AB115" i="61"/>
  <c r="AA115" i="61" a="1"/>
  <c r="AA115" i="61"/>
  <c r="V115" i="61" a="1"/>
  <c r="V115" i="61"/>
  <c r="R115" i="61" a="1"/>
  <c r="R115" i="61"/>
  <c r="N115" i="61" a="1"/>
  <c r="N115" i="61"/>
  <c r="J115" i="61" a="1"/>
  <c r="J115" i="61"/>
  <c r="I115" i="61" a="1"/>
  <c r="I115" i="61"/>
  <c r="BF114" i="61" a="1"/>
  <c r="BF114" i="61"/>
  <c r="BB114" i="61" a="1"/>
  <c r="BB114" i="61"/>
  <c r="AX114" i="61" a="1"/>
  <c r="AX114" i="61"/>
  <c r="AT114" i="61" a="1"/>
  <c r="AT114" i="61"/>
  <c r="AS114" i="61" a="1"/>
  <c r="AS114" i="61"/>
  <c r="AN114" i="61" a="1"/>
  <c r="AN114" i="61"/>
  <c r="AJ114" i="61" a="1"/>
  <c r="AJ114" i="61"/>
  <c r="AF114" i="61" a="1"/>
  <c r="AF114" i="61"/>
  <c r="AB114" i="61" a="1"/>
  <c r="AB114" i="61"/>
  <c r="AA114" i="61" a="1"/>
  <c r="AA114" i="61"/>
  <c r="V114" i="61" a="1"/>
  <c r="V114" i="61"/>
  <c r="R114" i="61" a="1"/>
  <c r="R114" i="61"/>
  <c r="N114" i="61" a="1"/>
  <c r="N114" i="61"/>
  <c r="J114" i="61" a="1"/>
  <c r="J114" i="61"/>
  <c r="I114" i="61" a="1"/>
  <c r="I114" i="61"/>
  <c r="BF113" i="61" a="1"/>
  <c r="BF113" i="61"/>
  <c r="BB113" i="61" a="1"/>
  <c r="BB113" i="61"/>
  <c r="AX113" i="61" a="1"/>
  <c r="AX113" i="61"/>
  <c r="AT113" i="61" a="1"/>
  <c r="AT113" i="61"/>
  <c r="AS113" i="61" a="1"/>
  <c r="AS113" i="61"/>
  <c r="AN113" i="61" a="1"/>
  <c r="AN113" i="61"/>
  <c r="AJ113" i="61" a="1"/>
  <c r="AJ113" i="61"/>
  <c r="AF113" i="61" a="1"/>
  <c r="AF113" i="61"/>
  <c r="AB113" i="61" a="1"/>
  <c r="AB113" i="61"/>
  <c r="AA113" i="61" a="1"/>
  <c r="AA113" i="61"/>
  <c r="V113" i="61" a="1"/>
  <c r="V113" i="61"/>
  <c r="R113" i="61" a="1"/>
  <c r="R113" i="61"/>
  <c r="N113" i="61" a="1"/>
  <c r="N113" i="61"/>
  <c r="J113" i="61" a="1"/>
  <c r="J113" i="61"/>
  <c r="I113" i="61" a="1"/>
  <c r="I113" i="61"/>
  <c r="BF112" i="61" a="1"/>
  <c r="BF112" i="61"/>
  <c r="BB112" i="61" a="1"/>
  <c r="BB112" i="61"/>
  <c r="AX112" i="61" a="1"/>
  <c r="AX112" i="61"/>
  <c r="AT112" i="61" a="1"/>
  <c r="AT112" i="61"/>
  <c r="AS112" i="61" a="1"/>
  <c r="AS112" i="61"/>
  <c r="AN112" i="61" a="1"/>
  <c r="AN112" i="61"/>
  <c r="AJ112" i="61" a="1"/>
  <c r="AJ112" i="61"/>
  <c r="AF112" i="61" a="1"/>
  <c r="AF112" i="61"/>
  <c r="AB112" i="61" a="1"/>
  <c r="AB112" i="61"/>
  <c r="AA112" i="61" a="1"/>
  <c r="AA112" i="61"/>
  <c r="V112" i="61" a="1"/>
  <c r="V112" i="61"/>
  <c r="R112" i="61" a="1"/>
  <c r="R112" i="61"/>
  <c r="N112" i="61" a="1"/>
  <c r="N112" i="61"/>
  <c r="J112" i="61" a="1"/>
  <c r="J112" i="61"/>
  <c r="I112" i="61" a="1"/>
  <c r="I112" i="61"/>
  <c r="BF111" i="61" a="1"/>
  <c r="BF111" i="61"/>
  <c r="BB111" i="61" a="1"/>
  <c r="BB111" i="61"/>
  <c r="AX111" i="61" a="1"/>
  <c r="AX111" i="61"/>
  <c r="AT111" i="61" a="1"/>
  <c r="AT111" i="61"/>
  <c r="AS111" i="61" a="1"/>
  <c r="AS111" i="61"/>
  <c r="AN111" i="61" a="1"/>
  <c r="AN111" i="61"/>
  <c r="AJ111" i="61" a="1"/>
  <c r="AJ111" i="61"/>
  <c r="AF111" i="61" a="1"/>
  <c r="AF111" i="61"/>
  <c r="AB111" i="61" a="1"/>
  <c r="AB111" i="61"/>
  <c r="AA111" i="61" a="1"/>
  <c r="AA111" i="61"/>
  <c r="V111" i="61" a="1"/>
  <c r="V111" i="61"/>
  <c r="R111" i="61" a="1"/>
  <c r="R111" i="61"/>
  <c r="N111" i="61" a="1"/>
  <c r="N111" i="61"/>
  <c r="J111" i="61" a="1"/>
  <c r="J111" i="61"/>
  <c r="I111" i="61" a="1"/>
  <c r="I111" i="61"/>
  <c r="BF110" i="61" a="1"/>
  <c r="BF110" i="61"/>
  <c r="BB110" i="61" a="1"/>
  <c r="BB110" i="61"/>
  <c r="AX110" i="61" a="1"/>
  <c r="AX110" i="61"/>
  <c r="AT110" i="61" a="1"/>
  <c r="AT110" i="61"/>
  <c r="AS110" i="61" a="1"/>
  <c r="AS110" i="61"/>
  <c r="AN110" i="61" a="1"/>
  <c r="AN110" i="61"/>
  <c r="AJ110" i="61" a="1"/>
  <c r="AJ110" i="61"/>
  <c r="AF110" i="61" a="1"/>
  <c r="AF110" i="61"/>
  <c r="AB110" i="61" a="1"/>
  <c r="AB110" i="61"/>
  <c r="AA110" i="61" a="1"/>
  <c r="AA110" i="61"/>
  <c r="V110" i="61" a="1"/>
  <c r="V110" i="61"/>
  <c r="R110" i="61" a="1"/>
  <c r="R110" i="61"/>
  <c r="N110" i="61" a="1"/>
  <c r="N110" i="61"/>
  <c r="J110" i="61" a="1"/>
  <c r="J110" i="61"/>
  <c r="I110" i="61" a="1"/>
  <c r="I110" i="61"/>
  <c r="BF109" i="61" a="1"/>
  <c r="BF109" i="61"/>
  <c r="BB109" i="61" a="1"/>
  <c r="BB109" i="61"/>
  <c r="AX109" i="61" a="1"/>
  <c r="AX109" i="61"/>
  <c r="AT109" i="61" a="1"/>
  <c r="AT109" i="61"/>
  <c r="AS109" i="61" a="1"/>
  <c r="AS109" i="61"/>
  <c r="AN109" i="61" a="1"/>
  <c r="AN109" i="61"/>
  <c r="AJ109" i="61" a="1"/>
  <c r="AJ109" i="61"/>
  <c r="AF109" i="61" a="1"/>
  <c r="AF109" i="61"/>
  <c r="AB109" i="61" a="1"/>
  <c r="AB109" i="61"/>
  <c r="AA109" i="61" a="1"/>
  <c r="AA109" i="61"/>
  <c r="V109" i="61" a="1"/>
  <c r="V109" i="61"/>
  <c r="R109" i="61" a="1"/>
  <c r="R109" i="61"/>
  <c r="N109" i="61" a="1"/>
  <c r="N109" i="61"/>
  <c r="J109" i="61" a="1"/>
  <c r="J109" i="61"/>
  <c r="I109" i="61" a="1"/>
  <c r="I109" i="61"/>
  <c r="BF105" i="61" a="1"/>
  <c r="BF105" i="61"/>
  <c r="BB105" i="61" a="1"/>
  <c r="BB105" i="61"/>
  <c r="AX105" i="61" a="1"/>
  <c r="AX105" i="61"/>
  <c r="AT105" i="61" a="1"/>
  <c r="AT105" i="61"/>
  <c r="AS105" i="61" a="1"/>
  <c r="AS105" i="61"/>
  <c r="AN105" i="61" a="1"/>
  <c r="AN105" i="61"/>
  <c r="AJ105" i="61" a="1"/>
  <c r="AJ105" i="61"/>
  <c r="AF105" i="61" a="1"/>
  <c r="AF105" i="61"/>
  <c r="AB105" i="61" a="1"/>
  <c r="AB105" i="61"/>
  <c r="AA105" i="61" a="1"/>
  <c r="AA105" i="61"/>
  <c r="V105" i="61" a="1"/>
  <c r="V105" i="61"/>
  <c r="R105" i="61" a="1"/>
  <c r="R105" i="61"/>
  <c r="N105" i="61" a="1"/>
  <c r="N105" i="61"/>
  <c r="J105" i="61" a="1"/>
  <c r="J105" i="61"/>
  <c r="I105" i="61" a="1"/>
  <c r="I105" i="61"/>
  <c r="BF104" i="61" a="1"/>
  <c r="BF104" i="61"/>
  <c r="BB104" i="61" a="1"/>
  <c r="BB104" i="61"/>
  <c r="AX104" i="61" a="1"/>
  <c r="AX104" i="61"/>
  <c r="AT104" i="61" a="1"/>
  <c r="AT104" i="61"/>
  <c r="AS104" i="61" a="1"/>
  <c r="AS104" i="61"/>
  <c r="AN104" i="61" a="1"/>
  <c r="AN104" i="61"/>
  <c r="AJ104" i="61" a="1"/>
  <c r="AJ104" i="61"/>
  <c r="AF104" i="61" a="1"/>
  <c r="AF104" i="61"/>
  <c r="AB104" i="61" a="1"/>
  <c r="AB104" i="61"/>
  <c r="AA104" i="61" a="1"/>
  <c r="AA104" i="61"/>
  <c r="V104" i="61" a="1"/>
  <c r="V104" i="61"/>
  <c r="R104" i="61" a="1"/>
  <c r="R104" i="61"/>
  <c r="N104" i="61" a="1"/>
  <c r="N104" i="61"/>
  <c r="J104" i="61" a="1"/>
  <c r="J104" i="61"/>
  <c r="I104" i="61" a="1"/>
  <c r="I104" i="61"/>
  <c r="BF103" i="61" a="1"/>
  <c r="BF103" i="61"/>
  <c r="BB103" i="61" a="1"/>
  <c r="BB103" i="61"/>
  <c r="AX103" i="61" a="1"/>
  <c r="AX103" i="61"/>
  <c r="AT103" i="61" a="1"/>
  <c r="AT103" i="61"/>
  <c r="AS103" i="61" a="1"/>
  <c r="AS103" i="61"/>
  <c r="AN103" i="61" a="1"/>
  <c r="AN103" i="61"/>
  <c r="AJ103" i="61" a="1"/>
  <c r="AJ103" i="61"/>
  <c r="AF103" i="61" a="1"/>
  <c r="AF103" i="61"/>
  <c r="AB103" i="61" a="1"/>
  <c r="AB103" i="61"/>
  <c r="AA103" i="61" a="1"/>
  <c r="AA103" i="61"/>
  <c r="V103" i="61" a="1"/>
  <c r="V103" i="61"/>
  <c r="R103" i="61" a="1"/>
  <c r="R103" i="61"/>
  <c r="N103" i="61" a="1"/>
  <c r="N103" i="61"/>
  <c r="J103" i="61" a="1"/>
  <c r="J103" i="61"/>
  <c r="I103" i="61" a="1"/>
  <c r="I103" i="61"/>
  <c r="BF102" i="61" a="1"/>
  <c r="BF102" i="61"/>
  <c r="BB102" i="61" a="1"/>
  <c r="BB102" i="61"/>
  <c r="AX102" i="61" a="1"/>
  <c r="AX102" i="61"/>
  <c r="AT102" i="61" a="1"/>
  <c r="AT102" i="61"/>
  <c r="AS102" i="61" a="1"/>
  <c r="AS102" i="61"/>
  <c r="AN102" i="61" a="1"/>
  <c r="AN102" i="61"/>
  <c r="AJ102" i="61" a="1"/>
  <c r="AJ102" i="61"/>
  <c r="AF102" i="61" a="1"/>
  <c r="AF102" i="61"/>
  <c r="AB102" i="61" a="1"/>
  <c r="AB102" i="61"/>
  <c r="AA102" i="61" a="1"/>
  <c r="AA102" i="61"/>
  <c r="V102" i="61" a="1"/>
  <c r="V102" i="61"/>
  <c r="R102" i="61" a="1"/>
  <c r="R102" i="61"/>
  <c r="N102" i="61" a="1"/>
  <c r="N102" i="61"/>
  <c r="J102" i="61" a="1"/>
  <c r="J102" i="61"/>
  <c r="I102" i="61" a="1"/>
  <c r="I102" i="61"/>
  <c r="BF101" i="61" a="1"/>
  <c r="BF101" i="61"/>
  <c r="BB101" i="61" a="1"/>
  <c r="BB101" i="61"/>
  <c r="AX101" i="61" a="1"/>
  <c r="AX101" i="61"/>
  <c r="AT101" i="61" a="1"/>
  <c r="AT101" i="61"/>
  <c r="AS101" i="61" a="1"/>
  <c r="AS101" i="61"/>
  <c r="AN101" i="61" a="1"/>
  <c r="AN101" i="61"/>
  <c r="AJ101" i="61" a="1"/>
  <c r="AJ101" i="61"/>
  <c r="AF101" i="61" a="1"/>
  <c r="AF101" i="61"/>
  <c r="AB101" i="61" a="1"/>
  <c r="AB101" i="61"/>
  <c r="AA101" i="61" a="1"/>
  <c r="AA101" i="61"/>
  <c r="V101" i="61" a="1"/>
  <c r="V101" i="61"/>
  <c r="R101" i="61" a="1"/>
  <c r="R101" i="61"/>
  <c r="N101" i="61" a="1"/>
  <c r="N101" i="61"/>
  <c r="J101" i="61" a="1"/>
  <c r="J101" i="61"/>
  <c r="I101" i="61" a="1"/>
  <c r="I101" i="61"/>
  <c r="BF100" i="61" a="1"/>
  <c r="BF100" i="61"/>
  <c r="BB100" i="61" a="1"/>
  <c r="BB100" i="61"/>
  <c r="AX100" i="61" a="1"/>
  <c r="AX100" i="61"/>
  <c r="AT100" i="61" a="1"/>
  <c r="AT100" i="61"/>
  <c r="AS100" i="61" a="1"/>
  <c r="AS100" i="61"/>
  <c r="AN100" i="61" a="1"/>
  <c r="AN100" i="61"/>
  <c r="AJ100" i="61" a="1"/>
  <c r="AJ100" i="61"/>
  <c r="AF100" i="61" a="1"/>
  <c r="AF100" i="61"/>
  <c r="AB100" i="61" a="1"/>
  <c r="AB100" i="61"/>
  <c r="AA100" i="61" a="1"/>
  <c r="AA100" i="61"/>
  <c r="V100" i="61" a="1"/>
  <c r="V100" i="61"/>
  <c r="R100" i="61" a="1"/>
  <c r="R100" i="61"/>
  <c r="N100" i="61" a="1"/>
  <c r="N100" i="61"/>
  <c r="J100" i="61" a="1"/>
  <c r="J100" i="61"/>
  <c r="I100" i="61" a="1"/>
  <c r="I100" i="61"/>
  <c r="BF99" i="61" a="1"/>
  <c r="BF99" i="61"/>
  <c r="BB99" i="61" a="1"/>
  <c r="BB99" i="61"/>
  <c r="AX99" i="61" a="1"/>
  <c r="AX99" i="61"/>
  <c r="AT99" i="61" a="1"/>
  <c r="AT99" i="61"/>
  <c r="AS99" i="61" a="1"/>
  <c r="AS99" i="61"/>
  <c r="AN99" i="61" a="1"/>
  <c r="AN99" i="61"/>
  <c r="AJ99" i="61" a="1"/>
  <c r="AJ99" i="61"/>
  <c r="AF99" i="61" a="1"/>
  <c r="AF99" i="61"/>
  <c r="AB99" i="61" a="1"/>
  <c r="AB99" i="61"/>
  <c r="AA99" i="61" a="1"/>
  <c r="AA99" i="61"/>
  <c r="V99" i="61" a="1"/>
  <c r="V99" i="61"/>
  <c r="R99" i="61" a="1"/>
  <c r="R99" i="61"/>
  <c r="N99" i="61" a="1"/>
  <c r="N99" i="61"/>
  <c r="J99" i="61" a="1"/>
  <c r="J99" i="61"/>
  <c r="I99" i="61" a="1"/>
  <c r="I99" i="61"/>
  <c r="BF98" i="61" a="1"/>
  <c r="BF98" i="61"/>
  <c r="BB98" i="61" a="1"/>
  <c r="BB98" i="61"/>
  <c r="AX98" i="61" a="1"/>
  <c r="AX98" i="61"/>
  <c r="AT98" i="61" a="1"/>
  <c r="AT98" i="61"/>
  <c r="AS98" i="61" a="1"/>
  <c r="AS98" i="61"/>
  <c r="AN98" i="61" a="1"/>
  <c r="AN98" i="61"/>
  <c r="AJ98" i="61" a="1"/>
  <c r="AJ98" i="61"/>
  <c r="AF98" i="61" a="1"/>
  <c r="AF98" i="61"/>
  <c r="AB98" i="61" a="1"/>
  <c r="AB98" i="61"/>
  <c r="AA98" i="61" a="1"/>
  <c r="AA98" i="61"/>
  <c r="V98" i="61" a="1"/>
  <c r="V98" i="61"/>
  <c r="R98" i="61" a="1"/>
  <c r="R98" i="61"/>
  <c r="N98" i="61" a="1"/>
  <c r="N98" i="61"/>
  <c r="J98" i="61" a="1"/>
  <c r="J98" i="61"/>
  <c r="I98" i="61" a="1"/>
  <c r="I98" i="61"/>
  <c r="BF94" i="61" a="1"/>
  <c r="BF94" i="61"/>
  <c r="BB94" i="61" a="1"/>
  <c r="BB94" i="61"/>
  <c r="AX94" i="61" a="1"/>
  <c r="AX94" i="61"/>
  <c r="AT94" i="61" a="1"/>
  <c r="AT94" i="61"/>
  <c r="AS94" i="61" a="1"/>
  <c r="AS94" i="61"/>
  <c r="AN94" i="61" a="1"/>
  <c r="AN94" i="61"/>
  <c r="AJ94" i="61" a="1"/>
  <c r="AJ94" i="61"/>
  <c r="AF94" i="61" a="1"/>
  <c r="AF94" i="61"/>
  <c r="AB94" i="61" a="1"/>
  <c r="AB94" i="61"/>
  <c r="AA94" i="61" a="1"/>
  <c r="AA94" i="61"/>
  <c r="V94" i="61" a="1"/>
  <c r="V94" i="61"/>
  <c r="R94" i="61" a="1"/>
  <c r="R94" i="61"/>
  <c r="N94" i="61" a="1"/>
  <c r="N94" i="61"/>
  <c r="J94" i="61" a="1"/>
  <c r="J94" i="61"/>
  <c r="I94" i="61" a="1"/>
  <c r="I94" i="61"/>
  <c r="BF93" i="61" a="1"/>
  <c r="BF93" i="61"/>
  <c r="BB93" i="61" a="1"/>
  <c r="BB93" i="61"/>
  <c r="AX93" i="61" a="1"/>
  <c r="AX93" i="61"/>
  <c r="AT93" i="61" a="1"/>
  <c r="AT93" i="61"/>
  <c r="AS93" i="61" a="1"/>
  <c r="AS93" i="61"/>
  <c r="AN93" i="61" a="1"/>
  <c r="AN93" i="61"/>
  <c r="AJ93" i="61" a="1"/>
  <c r="AJ93" i="61"/>
  <c r="AF93" i="61" a="1"/>
  <c r="AF93" i="61"/>
  <c r="AB93" i="61" a="1"/>
  <c r="AB93" i="61"/>
  <c r="AA93" i="61" a="1"/>
  <c r="AA93" i="61"/>
  <c r="V93" i="61" a="1"/>
  <c r="V93" i="61"/>
  <c r="R93" i="61" a="1"/>
  <c r="R93" i="61"/>
  <c r="N93" i="61" a="1"/>
  <c r="N93" i="61"/>
  <c r="J93" i="61" a="1"/>
  <c r="J93" i="61"/>
  <c r="I93" i="61" a="1"/>
  <c r="I93" i="61"/>
  <c r="BF92" i="61" a="1"/>
  <c r="BF92" i="61"/>
  <c r="BB92" i="61" a="1"/>
  <c r="BB92" i="61"/>
  <c r="AX92" i="61" a="1"/>
  <c r="AX92" i="61"/>
  <c r="AT92" i="61" a="1"/>
  <c r="AT92" i="61"/>
  <c r="AS92" i="61" a="1"/>
  <c r="AS92" i="61"/>
  <c r="AN92" i="61" a="1"/>
  <c r="AN92" i="61"/>
  <c r="AJ92" i="61" a="1"/>
  <c r="AJ92" i="61"/>
  <c r="AF92" i="61" a="1"/>
  <c r="AF92" i="61"/>
  <c r="AB92" i="61" a="1"/>
  <c r="AB92" i="61"/>
  <c r="AA92" i="61" a="1"/>
  <c r="AA92" i="61"/>
  <c r="V92" i="61" a="1"/>
  <c r="V92" i="61"/>
  <c r="R92" i="61" a="1"/>
  <c r="R92" i="61"/>
  <c r="N92" i="61" a="1"/>
  <c r="N92" i="61"/>
  <c r="J92" i="61" a="1"/>
  <c r="J92" i="61"/>
  <c r="I92" i="61" a="1"/>
  <c r="I92" i="61"/>
  <c r="BF91" i="61" a="1"/>
  <c r="BF91" i="61"/>
  <c r="BB91" i="61" a="1"/>
  <c r="BB91" i="61"/>
  <c r="AX91" i="61" a="1"/>
  <c r="AX91" i="61"/>
  <c r="AT91" i="61" a="1"/>
  <c r="AT91" i="61"/>
  <c r="AS91" i="61" a="1"/>
  <c r="AS91" i="61"/>
  <c r="AN91" i="61" a="1"/>
  <c r="AN91" i="61"/>
  <c r="AJ91" i="61" a="1"/>
  <c r="AJ91" i="61"/>
  <c r="AF91" i="61" a="1"/>
  <c r="AF91" i="61"/>
  <c r="AB91" i="61" a="1"/>
  <c r="AB91" i="61"/>
  <c r="AA91" i="61" a="1"/>
  <c r="AA91" i="61"/>
  <c r="V91" i="61" a="1"/>
  <c r="V91" i="61"/>
  <c r="R91" i="61" a="1"/>
  <c r="R91" i="61"/>
  <c r="N91" i="61" a="1"/>
  <c r="N91" i="61"/>
  <c r="J91" i="61" a="1"/>
  <c r="J91" i="61"/>
  <c r="I91" i="61" a="1"/>
  <c r="I91" i="61"/>
  <c r="BF90" i="61" a="1"/>
  <c r="BF90" i="61"/>
  <c r="BB90" i="61" a="1"/>
  <c r="BB90" i="61"/>
  <c r="AX90" i="61" a="1"/>
  <c r="AX90" i="61"/>
  <c r="AT90" i="61" a="1"/>
  <c r="AT90" i="61"/>
  <c r="AS90" i="61" a="1"/>
  <c r="AS90" i="61"/>
  <c r="AN90" i="61" a="1"/>
  <c r="AN90" i="61"/>
  <c r="AJ90" i="61" a="1"/>
  <c r="AJ90" i="61"/>
  <c r="AF90" i="61" a="1"/>
  <c r="AF90" i="61"/>
  <c r="AB90" i="61" a="1"/>
  <c r="AB90" i="61"/>
  <c r="AA90" i="61" a="1"/>
  <c r="AA90" i="61"/>
  <c r="V90" i="61" a="1"/>
  <c r="V90" i="61"/>
  <c r="R90" i="61" a="1"/>
  <c r="R90" i="61"/>
  <c r="N90" i="61" a="1"/>
  <c r="N90" i="61"/>
  <c r="J90" i="61" a="1"/>
  <c r="J90" i="61"/>
  <c r="I90" i="61" a="1"/>
  <c r="I90" i="61"/>
  <c r="BF89" i="61" a="1"/>
  <c r="BF89" i="61"/>
  <c r="BB89" i="61" a="1"/>
  <c r="BB89" i="61"/>
  <c r="AX89" i="61" a="1"/>
  <c r="AX89" i="61"/>
  <c r="AT89" i="61" a="1"/>
  <c r="AT89" i="61"/>
  <c r="AS89" i="61" a="1"/>
  <c r="AS89" i="61"/>
  <c r="AN89" i="61" a="1"/>
  <c r="AN89" i="61"/>
  <c r="AJ89" i="61" a="1"/>
  <c r="AJ89" i="61"/>
  <c r="AF89" i="61" a="1"/>
  <c r="AF89" i="61"/>
  <c r="AB89" i="61" a="1"/>
  <c r="AB89" i="61"/>
  <c r="AA89" i="61" a="1"/>
  <c r="AA89" i="61"/>
  <c r="V89" i="61" a="1"/>
  <c r="V89" i="61"/>
  <c r="R89" i="61" a="1"/>
  <c r="R89" i="61"/>
  <c r="N89" i="61" a="1"/>
  <c r="N89" i="61"/>
  <c r="J89" i="61" a="1"/>
  <c r="J89" i="61"/>
  <c r="I89" i="61" a="1"/>
  <c r="I89" i="61"/>
  <c r="BF88" i="61" a="1"/>
  <c r="BF88" i="61"/>
  <c r="BB88" i="61" a="1"/>
  <c r="BB88" i="61"/>
  <c r="AX88" i="61" a="1"/>
  <c r="AX88" i="61"/>
  <c r="AT88" i="61" a="1"/>
  <c r="AT88" i="61"/>
  <c r="AS88" i="61" a="1"/>
  <c r="AS88" i="61"/>
  <c r="AN88" i="61" a="1"/>
  <c r="AN88" i="61"/>
  <c r="AJ88" i="61" a="1"/>
  <c r="AJ88" i="61"/>
  <c r="AF88" i="61" a="1"/>
  <c r="AF88" i="61"/>
  <c r="AB88" i="61" a="1"/>
  <c r="AB88" i="61"/>
  <c r="AA88" i="61" a="1"/>
  <c r="AA88" i="61"/>
  <c r="V88" i="61" a="1"/>
  <c r="V88" i="61"/>
  <c r="R88" i="61" a="1"/>
  <c r="R88" i="61"/>
  <c r="N88" i="61" a="1"/>
  <c r="N88" i="61"/>
  <c r="J88" i="61" a="1"/>
  <c r="J88" i="61"/>
  <c r="I88" i="61" a="1"/>
  <c r="I88" i="61"/>
  <c r="BF87" i="61" a="1"/>
  <c r="BF87" i="61"/>
  <c r="BB87" i="61" a="1"/>
  <c r="BB87" i="61"/>
  <c r="AX87" i="61" a="1"/>
  <c r="AX87" i="61"/>
  <c r="AT87" i="61" a="1"/>
  <c r="AT87" i="61"/>
  <c r="AS87" i="61" a="1"/>
  <c r="AS87" i="61"/>
  <c r="AN87" i="61" a="1"/>
  <c r="AN87" i="61"/>
  <c r="AJ87" i="61" a="1"/>
  <c r="AJ87" i="61"/>
  <c r="AF87" i="61" a="1"/>
  <c r="AF87" i="61"/>
  <c r="AB87" i="61" a="1"/>
  <c r="AB87" i="61"/>
  <c r="AA87" i="61" a="1"/>
  <c r="AA87" i="61"/>
  <c r="V87" i="61" a="1"/>
  <c r="V87" i="61"/>
  <c r="R87" i="61" a="1"/>
  <c r="R87" i="61"/>
  <c r="N87" i="61" a="1"/>
  <c r="N87" i="61"/>
  <c r="J87" i="61" a="1"/>
  <c r="J87" i="61"/>
  <c r="I87" i="61" a="1"/>
  <c r="I87" i="61"/>
  <c r="BF86" i="61" a="1"/>
  <c r="BF86" i="61"/>
  <c r="BB86" i="61" a="1"/>
  <c r="BB86" i="61"/>
  <c r="AX86" i="61" a="1"/>
  <c r="AX86" i="61"/>
  <c r="AT86" i="61" a="1"/>
  <c r="AT86" i="61"/>
  <c r="AS86" i="61" a="1"/>
  <c r="AS86" i="61"/>
  <c r="AN86" i="61" a="1"/>
  <c r="AN86" i="61"/>
  <c r="AJ86" i="61" a="1"/>
  <c r="AJ86" i="61"/>
  <c r="AF86" i="61" a="1"/>
  <c r="AF86" i="61"/>
  <c r="AB86" i="61" a="1"/>
  <c r="AB86" i="61"/>
  <c r="AA86" i="61" a="1"/>
  <c r="AA86" i="61"/>
  <c r="V86" i="61" a="1"/>
  <c r="V86" i="61"/>
  <c r="R86" i="61" a="1"/>
  <c r="R86" i="61"/>
  <c r="N86" i="61" a="1"/>
  <c r="N86" i="61"/>
  <c r="J86" i="61" a="1"/>
  <c r="J86" i="61"/>
  <c r="I86" i="61" a="1"/>
  <c r="I86" i="61"/>
  <c r="BF85" i="61" a="1"/>
  <c r="BF85" i="61"/>
  <c r="BB85" i="61" a="1"/>
  <c r="BB85" i="61"/>
  <c r="AX85" i="61" a="1"/>
  <c r="AX85" i="61"/>
  <c r="AT85" i="61" a="1"/>
  <c r="AT85" i="61"/>
  <c r="AS85" i="61" a="1"/>
  <c r="AS85" i="61"/>
  <c r="AN85" i="61" a="1"/>
  <c r="AN85" i="61"/>
  <c r="AJ85" i="61" a="1"/>
  <c r="AJ85" i="61"/>
  <c r="AF85" i="61" a="1"/>
  <c r="AF85" i="61"/>
  <c r="AB85" i="61" a="1"/>
  <c r="AB85" i="61"/>
  <c r="AA85" i="61" a="1"/>
  <c r="AA85" i="61"/>
  <c r="V85" i="61" a="1"/>
  <c r="V85" i="61"/>
  <c r="R85" i="61" a="1"/>
  <c r="R85" i="61"/>
  <c r="N85" i="61" a="1"/>
  <c r="N85" i="61"/>
  <c r="J85" i="61" a="1"/>
  <c r="J85" i="61"/>
  <c r="I85" i="61" a="1"/>
  <c r="I85" i="61"/>
  <c r="BF84" i="61" a="1"/>
  <c r="BF84" i="61"/>
  <c r="BB84" i="61" a="1"/>
  <c r="BB84" i="61"/>
  <c r="AX84" i="61" a="1"/>
  <c r="AX84" i="61"/>
  <c r="AT84" i="61" a="1"/>
  <c r="AT84" i="61"/>
  <c r="AS84" i="61" a="1"/>
  <c r="AS84" i="61"/>
  <c r="AN84" i="61" a="1"/>
  <c r="AN84" i="61"/>
  <c r="AJ84" i="61" a="1"/>
  <c r="AJ84" i="61"/>
  <c r="AF84" i="61" a="1"/>
  <c r="AF84" i="61"/>
  <c r="AB84" i="61" a="1"/>
  <c r="AB84" i="61"/>
  <c r="AA84" i="61" a="1"/>
  <c r="AA84" i="61"/>
  <c r="V84" i="61" a="1"/>
  <c r="V84" i="61"/>
  <c r="R84" i="61" a="1"/>
  <c r="R84" i="61"/>
  <c r="N84" i="61" a="1"/>
  <c r="N84" i="61"/>
  <c r="J84" i="61" a="1"/>
  <c r="J84" i="61"/>
  <c r="I84" i="61" a="1"/>
  <c r="I84" i="61"/>
  <c r="BF83" i="61" a="1"/>
  <c r="BF83" i="61"/>
  <c r="BB83" i="61" a="1"/>
  <c r="BB83" i="61"/>
  <c r="AX83" i="61" a="1"/>
  <c r="AX83" i="61"/>
  <c r="AT83" i="61" a="1"/>
  <c r="AT83" i="61"/>
  <c r="AS83" i="61" a="1"/>
  <c r="AS83" i="61"/>
  <c r="AN83" i="61" a="1"/>
  <c r="AN83" i="61"/>
  <c r="AJ83" i="61" a="1"/>
  <c r="AJ83" i="61"/>
  <c r="AF83" i="61" a="1"/>
  <c r="AF83" i="61"/>
  <c r="AB83" i="61" a="1"/>
  <c r="AB83" i="61"/>
  <c r="AA83" i="61" a="1"/>
  <c r="AA83" i="61"/>
  <c r="V83" i="61" a="1"/>
  <c r="V83" i="61"/>
  <c r="R83" i="61" a="1"/>
  <c r="R83" i="61"/>
  <c r="N83" i="61" a="1"/>
  <c r="N83" i="61"/>
  <c r="J83" i="61" a="1"/>
  <c r="J83" i="61"/>
  <c r="I83" i="61" a="1"/>
  <c r="I83" i="61"/>
  <c r="BF82" i="61" a="1"/>
  <c r="BF82" i="61"/>
  <c r="BB82" i="61" a="1"/>
  <c r="BB82" i="61"/>
  <c r="AX82" i="61" a="1"/>
  <c r="AX82" i="61"/>
  <c r="AT82" i="61" a="1"/>
  <c r="AT82" i="61"/>
  <c r="AS82" i="61" a="1"/>
  <c r="AS82" i="61"/>
  <c r="AN82" i="61" a="1"/>
  <c r="AN82" i="61"/>
  <c r="AJ82" i="61" a="1"/>
  <c r="AJ82" i="61"/>
  <c r="AF82" i="61" a="1"/>
  <c r="AF82" i="61"/>
  <c r="AB82" i="61" a="1"/>
  <c r="AB82" i="61"/>
  <c r="AA82" i="61" a="1"/>
  <c r="AA82" i="61"/>
  <c r="V82" i="61" a="1"/>
  <c r="V82" i="61"/>
  <c r="R82" i="61" a="1"/>
  <c r="R82" i="61"/>
  <c r="N82" i="61" a="1"/>
  <c r="N82" i="61"/>
  <c r="J82" i="61" a="1"/>
  <c r="J82" i="61"/>
  <c r="I82" i="61" a="1"/>
  <c r="I82" i="61"/>
  <c r="BF81" i="61" a="1"/>
  <c r="BF81" i="61"/>
  <c r="BB81" i="61" a="1"/>
  <c r="BB81" i="61"/>
  <c r="AX81" i="61" a="1"/>
  <c r="AX81" i="61"/>
  <c r="AT81" i="61" a="1"/>
  <c r="AT81" i="61"/>
  <c r="AS81" i="61" a="1"/>
  <c r="AS81" i="61"/>
  <c r="AN81" i="61" a="1"/>
  <c r="AN81" i="61"/>
  <c r="AJ81" i="61" a="1"/>
  <c r="AJ81" i="61"/>
  <c r="AF81" i="61" a="1"/>
  <c r="AF81" i="61"/>
  <c r="AB81" i="61" a="1"/>
  <c r="AB81" i="61"/>
  <c r="AA81" i="61" a="1"/>
  <c r="AA81" i="61"/>
  <c r="V81" i="61" a="1"/>
  <c r="V81" i="61"/>
  <c r="R81" i="61" a="1"/>
  <c r="R81" i="61"/>
  <c r="N81" i="61" a="1"/>
  <c r="N81" i="61"/>
  <c r="J81" i="61" a="1"/>
  <c r="J81" i="61"/>
  <c r="I81" i="61" a="1"/>
  <c r="I81" i="61"/>
  <c r="BF80" i="61" a="1"/>
  <c r="BF80" i="61"/>
  <c r="BB80" i="61" a="1"/>
  <c r="BB80" i="61"/>
  <c r="AX80" i="61" a="1"/>
  <c r="AX80" i="61"/>
  <c r="AT80" i="61" a="1"/>
  <c r="AT80" i="61"/>
  <c r="AS80" i="61" a="1"/>
  <c r="AS80" i="61"/>
  <c r="AN80" i="61" a="1"/>
  <c r="AN80" i="61"/>
  <c r="AJ80" i="61" a="1"/>
  <c r="AJ80" i="61"/>
  <c r="AF80" i="61" a="1"/>
  <c r="AF80" i="61"/>
  <c r="AB80" i="61" a="1"/>
  <c r="AB80" i="61"/>
  <c r="AA80" i="61" a="1"/>
  <c r="AA80" i="61"/>
  <c r="V80" i="61" a="1"/>
  <c r="V80" i="61"/>
  <c r="R80" i="61" a="1"/>
  <c r="R80" i="61"/>
  <c r="N80" i="61" a="1"/>
  <c r="N80" i="61"/>
  <c r="J80" i="61" a="1"/>
  <c r="J80" i="61"/>
  <c r="I80" i="61" a="1"/>
  <c r="I80" i="61"/>
  <c r="BF79" i="61" a="1"/>
  <c r="BF79" i="61"/>
  <c r="BB79" i="61" a="1"/>
  <c r="BB79" i="61"/>
  <c r="AX79" i="61" a="1"/>
  <c r="AX79" i="61"/>
  <c r="AT79" i="61" a="1"/>
  <c r="AT79" i="61"/>
  <c r="AS79" i="61" a="1"/>
  <c r="AS79" i="61"/>
  <c r="AN79" i="61" a="1"/>
  <c r="AN79" i="61"/>
  <c r="AJ79" i="61" a="1"/>
  <c r="AJ79" i="61"/>
  <c r="AF79" i="61" a="1"/>
  <c r="AF79" i="61"/>
  <c r="AB79" i="61" a="1"/>
  <c r="AB79" i="61"/>
  <c r="AA79" i="61" a="1"/>
  <c r="AA79" i="61"/>
  <c r="V79" i="61" a="1"/>
  <c r="V79" i="61"/>
  <c r="R79" i="61" a="1"/>
  <c r="R79" i="61"/>
  <c r="N79" i="61" a="1"/>
  <c r="N79" i="61"/>
  <c r="J79" i="61" a="1"/>
  <c r="J79" i="61"/>
  <c r="I79" i="61" a="1"/>
  <c r="I79" i="61"/>
  <c r="BF78" i="61" a="1"/>
  <c r="BF78" i="61"/>
  <c r="BB78" i="61" a="1"/>
  <c r="BB78" i="61"/>
  <c r="AX78" i="61" a="1"/>
  <c r="AX78" i="61"/>
  <c r="AT78" i="61" a="1"/>
  <c r="AT78" i="61"/>
  <c r="AS78" i="61" a="1"/>
  <c r="AS78" i="61"/>
  <c r="AN78" i="61" a="1"/>
  <c r="AN78" i="61"/>
  <c r="AJ78" i="61" a="1"/>
  <c r="AJ78" i="61"/>
  <c r="AF78" i="61" a="1"/>
  <c r="AF78" i="61"/>
  <c r="AB78" i="61" a="1"/>
  <c r="AB78" i="61"/>
  <c r="AA78" i="61" a="1"/>
  <c r="AA78" i="61"/>
  <c r="V78" i="61" a="1"/>
  <c r="V78" i="61"/>
  <c r="R78" i="61" a="1"/>
  <c r="R78" i="61"/>
  <c r="N78" i="61" a="1"/>
  <c r="N78" i="61"/>
  <c r="J78" i="61" a="1"/>
  <c r="J78" i="61"/>
  <c r="I78" i="61" a="1"/>
  <c r="I78" i="61"/>
  <c r="BF77" i="61" a="1"/>
  <c r="BF77" i="61"/>
  <c r="BB77" i="61" a="1"/>
  <c r="BB77" i="61"/>
  <c r="AX77" i="61" a="1"/>
  <c r="AX77" i="61"/>
  <c r="AT77" i="61" a="1"/>
  <c r="AT77" i="61"/>
  <c r="AS77" i="61" a="1"/>
  <c r="AS77" i="61"/>
  <c r="AN77" i="61" a="1"/>
  <c r="AN77" i="61"/>
  <c r="AJ77" i="61" a="1"/>
  <c r="AJ77" i="61"/>
  <c r="AF77" i="61" a="1"/>
  <c r="AF77" i="61"/>
  <c r="AB77" i="61" a="1"/>
  <c r="AB77" i="61"/>
  <c r="AA77" i="61" a="1"/>
  <c r="AA77" i="61"/>
  <c r="V77" i="61" a="1"/>
  <c r="V77" i="61"/>
  <c r="R77" i="61" a="1"/>
  <c r="R77" i="61"/>
  <c r="N77" i="61" a="1"/>
  <c r="N77" i="61"/>
  <c r="J77" i="61" a="1"/>
  <c r="J77" i="61"/>
  <c r="I77" i="61" a="1"/>
  <c r="I77" i="61"/>
  <c r="BF76" i="61" a="1"/>
  <c r="BF76" i="61"/>
  <c r="BB76" i="61" a="1"/>
  <c r="BB76" i="61"/>
  <c r="AX76" i="61" a="1"/>
  <c r="AX76" i="61"/>
  <c r="AT76" i="61" a="1"/>
  <c r="AT76" i="61"/>
  <c r="AS76" i="61" a="1"/>
  <c r="AS76" i="61"/>
  <c r="AN76" i="61" a="1"/>
  <c r="AN76" i="61"/>
  <c r="AJ76" i="61" a="1"/>
  <c r="AJ76" i="61"/>
  <c r="AF76" i="61" a="1"/>
  <c r="AF76" i="61"/>
  <c r="AB76" i="61" a="1"/>
  <c r="AB76" i="61"/>
  <c r="AA76" i="61" a="1"/>
  <c r="AA76" i="61"/>
  <c r="V76" i="61" a="1"/>
  <c r="V76" i="61"/>
  <c r="R76" i="61" a="1"/>
  <c r="R76" i="61"/>
  <c r="N76" i="61" a="1"/>
  <c r="N76" i="61"/>
  <c r="J76" i="61" a="1"/>
  <c r="J76" i="61"/>
  <c r="I76" i="61" a="1"/>
  <c r="I76" i="61"/>
  <c r="BF75" i="61" a="1"/>
  <c r="BF75" i="61"/>
  <c r="BB75" i="61" a="1"/>
  <c r="BB75" i="61"/>
  <c r="AX75" i="61" a="1"/>
  <c r="AX75" i="61"/>
  <c r="AT75" i="61" a="1"/>
  <c r="AT75" i="61"/>
  <c r="AS75" i="61" a="1"/>
  <c r="AS75" i="61"/>
  <c r="AN75" i="61" a="1"/>
  <c r="AN75" i="61"/>
  <c r="AJ75" i="61" a="1"/>
  <c r="AJ75" i="61"/>
  <c r="AF75" i="61" a="1"/>
  <c r="AF75" i="61"/>
  <c r="AB75" i="61" a="1"/>
  <c r="AB75" i="61"/>
  <c r="AA75" i="61" a="1"/>
  <c r="AA75" i="61"/>
  <c r="V75" i="61" a="1"/>
  <c r="V75" i="61"/>
  <c r="R75" i="61" a="1"/>
  <c r="R75" i="61"/>
  <c r="N75" i="61" a="1"/>
  <c r="N75" i="61"/>
  <c r="J75" i="61" a="1"/>
  <c r="J75" i="61"/>
  <c r="I75" i="61" a="1"/>
  <c r="I75" i="61"/>
  <c r="BF74" i="61" a="1"/>
  <c r="BF74" i="61"/>
  <c r="BB74" i="61" a="1"/>
  <c r="BB74" i="61"/>
  <c r="AX74" i="61" a="1"/>
  <c r="AX74" i="61"/>
  <c r="AT74" i="61" a="1"/>
  <c r="AT74" i="61"/>
  <c r="AS74" i="61" a="1"/>
  <c r="AS74" i="61"/>
  <c r="AN74" i="61" a="1"/>
  <c r="AN74" i="61"/>
  <c r="AJ74" i="61" a="1"/>
  <c r="AJ74" i="61"/>
  <c r="AF74" i="61" a="1"/>
  <c r="AF74" i="61"/>
  <c r="AB74" i="61" a="1"/>
  <c r="AB74" i="61"/>
  <c r="AA74" i="61" a="1"/>
  <c r="AA74" i="61"/>
  <c r="V74" i="61" a="1"/>
  <c r="V74" i="61"/>
  <c r="R74" i="61" a="1"/>
  <c r="R74" i="61"/>
  <c r="N74" i="61" a="1"/>
  <c r="N74" i="61"/>
  <c r="J74" i="61" a="1"/>
  <c r="J74" i="61"/>
  <c r="I74" i="61" a="1"/>
  <c r="I74" i="61"/>
  <c r="BF73" i="61" a="1"/>
  <c r="BF73" i="61"/>
  <c r="BB73" i="61" a="1"/>
  <c r="BB73" i="61"/>
  <c r="AX73" i="61" a="1"/>
  <c r="AX73" i="61"/>
  <c r="AT73" i="61" a="1"/>
  <c r="AT73" i="61"/>
  <c r="AS73" i="61" a="1"/>
  <c r="AS73" i="61"/>
  <c r="AN73" i="61" a="1"/>
  <c r="AN73" i="61"/>
  <c r="AJ73" i="61" a="1"/>
  <c r="AJ73" i="61"/>
  <c r="AF73" i="61" a="1"/>
  <c r="AF73" i="61"/>
  <c r="AB73" i="61" a="1"/>
  <c r="AB73" i="61"/>
  <c r="AA73" i="61" a="1"/>
  <c r="AA73" i="61"/>
  <c r="V73" i="61" a="1"/>
  <c r="V73" i="61"/>
  <c r="R73" i="61" a="1"/>
  <c r="R73" i="61"/>
  <c r="N73" i="61" a="1"/>
  <c r="N73" i="61"/>
  <c r="J73" i="61" a="1"/>
  <c r="J73" i="61"/>
  <c r="I73" i="61" a="1"/>
  <c r="I73" i="61"/>
  <c r="BF72" i="61" a="1"/>
  <c r="BF72" i="61"/>
  <c r="BB72" i="61" a="1"/>
  <c r="BB72" i="61"/>
  <c r="AX72" i="61" a="1"/>
  <c r="AX72" i="61"/>
  <c r="AT72" i="61" a="1"/>
  <c r="AT72" i="61"/>
  <c r="AS72" i="61" a="1"/>
  <c r="AS72" i="61"/>
  <c r="AN72" i="61" a="1"/>
  <c r="AN72" i="61"/>
  <c r="AJ72" i="61" a="1"/>
  <c r="AJ72" i="61"/>
  <c r="AF72" i="61" a="1"/>
  <c r="AF72" i="61"/>
  <c r="AB72" i="61" a="1"/>
  <c r="AB72" i="61"/>
  <c r="AA72" i="61" a="1"/>
  <c r="AA72" i="61"/>
  <c r="V72" i="61" a="1"/>
  <c r="V72" i="61"/>
  <c r="R72" i="61" a="1"/>
  <c r="R72" i="61"/>
  <c r="N72" i="61" a="1"/>
  <c r="N72" i="61"/>
  <c r="J72" i="61" a="1"/>
  <c r="J72" i="61"/>
  <c r="I72" i="61" a="1"/>
  <c r="I72" i="61"/>
  <c r="BF71" i="61" a="1"/>
  <c r="BF71" i="61"/>
  <c r="BB71" i="61" a="1"/>
  <c r="BB71" i="61"/>
  <c r="AX71" i="61" a="1"/>
  <c r="AX71" i="61"/>
  <c r="AT71" i="61" a="1"/>
  <c r="AT71" i="61"/>
  <c r="AS71" i="61" a="1"/>
  <c r="AS71" i="61"/>
  <c r="AN71" i="61" a="1"/>
  <c r="AN71" i="61"/>
  <c r="AJ71" i="61" a="1"/>
  <c r="AJ71" i="61"/>
  <c r="AF71" i="61" a="1"/>
  <c r="AF71" i="61"/>
  <c r="AB71" i="61" a="1"/>
  <c r="AB71" i="61"/>
  <c r="AA71" i="61" a="1"/>
  <c r="AA71" i="61"/>
  <c r="V71" i="61" a="1"/>
  <c r="V71" i="61"/>
  <c r="R71" i="61" a="1"/>
  <c r="R71" i="61"/>
  <c r="N71" i="61" a="1"/>
  <c r="N71" i="61"/>
  <c r="J71" i="61" a="1"/>
  <c r="J71" i="61"/>
  <c r="I71" i="61" a="1"/>
  <c r="I71" i="61"/>
  <c r="BF70" i="61" a="1"/>
  <c r="BF70" i="61"/>
  <c r="BB70" i="61" a="1"/>
  <c r="BB70" i="61"/>
  <c r="AX70" i="61" a="1"/>
  <c r="AX70" i="61"/>
  <c r="AT70" i="61" a="1"/>
  <c r="AT70" i="61"/>
  <c r="AS70" i="61" a="1"/>
  <c r="AS70" i="61"/>
  <c r="AN70" i="61" a="1"/>
  <c r="AN70" i="61"/>
  <c r="AJ70" i="61" a="1"/>
  <c r="AJ70" i="61"/>
  <c r="AF70" i="61" a="1"/>
  <c r="AF70" i="61"/>
  <c r="AB70" i="61" a="1"/>
  <c r="AB70" i="61"/>
  <c r="AA70" i="61" a="1"/>
  <c r="AA70" i="61"/>
  <c r="V70" i="61" a="1"/>
  <c r="V70" i="61"/>
  <c r="R70" i="61" a="1"/>
  <c r="R70" i="61"/>
  <c r="N70" i="61" a="1"/>
  <c r="N70" i="61"/>
  <c r="J70" i="61" a="1"/>
  <c r="J70" i="61"/>
  <c r="I70" i="61" a="1"/>
  <c r="I70" i="61"/>
  <c r="BF69" i="61" a="1"/>
  <c r="BF69" i="61"/>
  <c r="BB69" i="61" a="1"/>
  <c r="BB69" i="61"/>
  <c r="AX69" i="61" a="1"/>
  <c r="AX69" i="61"/>
  <c r="AT69" i="61" a="1"/>
  <c r="AT69" i="61"/>
  <c r="AS69" i="61" a="1"/>
  <c r="AS69" i="61"/>
  <c r="AN69" i="61" a="1"/>
  <c r="AN69" i="61"/>
  <c r="AJ69" i="61" a="1"/>
  <c r="AJ69" i="61"/>
  <c r="AF69" i="61" a="1"/>
  <c r="AF69" i="61"/>
  <c r="AB69" i="61" a="1"/>
  <c r="AB69" i="61"/>
  <c r="AA69" i="61" a="1"/>
  <c r="AA69" i="61"/>
  <c r="V69" i="61" a="1"/>
  <c r="V69" i="61"/>
  <c r="R69" i="61" a="1"/>
  <c r="R69" i="61"/>
  <c r="N69" i="61" a="1"/>
  <c r="N69" i="61"/>
  <c r="J69" i="61" a="1"/>
  <c r="J69" i="61"/>
  <c r="I69" i="61" a="1"/>
  <c r="I69" i="61"/>
  <c r="BF68" i="61" a="1"/>
  <c r="BF68" i="61"/>
  <c r="BB68" i="61" a="1"/>
  <c r="BB68" i="61"/>
  <c r="AX68" i="61" a="1"/>
  <c r="AX68" i="61"/>
  <c r="AT68" i="61" a="1"/>
  <c r="AT68" i="61"/>
  <c r="AS68" i="61" a="1"/>
  <c r="AS68" i="61"/>
  <c r="AN68" i="61" a="1"/>
  <c r="AN68" i="61"/>
  <c r="AJ68" i="61" a="1"/>
  <c r="AJ68" i="61"/>
  <c r="AF68" i="61" a="1"/>
  <c r="AF68" i="61"/>
  <c r="AB68" i="61" a="1"/>
  <c r="AB68" i="61"/>
  <c r="AA68" i="61" a="1"/>
  <c r="AA68" i="61"/>
  <c r="V68" i="61" a="1"/>
  <c r="V68" i="61"/>
  <c r="R68" i="61" a="1"/>
  <c r="R68" i="61"/>
  <c r="N68" i="61" a="1"/>
  <c r="N68" i="61"/>
  <c r="J68" i="61" a="1"/>
  <c r="J68" i="61"/>
  <c r="I68" i="61" a="1"/>
  <c r="I68" i="61"/>
  <c r="BF67" i="61" a="1"/>
  <c r="BF67" i="61"/>
  <c r="BB67" i="61" a="1"/>
  <c r="BB67" i="61"/>
  <c r="AX67" i="61" a="1"/>
  <c r="AX67" i="61"/>
  <c r="AT67" i="61" a="1"/>
  <c r="AT67" i="61"/>
  <c r="AS67" i="61" a="1"/>
  <c r="AS67" i="61"/>
  <c r="AN67" i="61" a="1"/>
  <c r="AN67" i="61"/>
  <c r="AJ67" i="61" a="1"/>
  <c r="AJ67" i="61"/>
  <c r="AF67" i="61" a="1"/>
  <c r="AF67" i="61"/>
  <c r="AB67" i="61" a="1"/>
  <c r="AB67" i="61"/>
  <c r="AA67" i="61" a="1"/>
  <c r="AA67" i="61"/>
  <c r="V67" i="61" a="1"/>
  <c r="V67" i="61"/>
  <c r="R67" i="61" a="1"/>
  <c r="R67" i="61"/>
  <c r="N67" i="61" a="1"/>
  <c r="N67" i="61"/>
  <c r="J67" i="61" a="1"/>
  <c r="J67" i="61"/>
  <c r="I67" i="61" a="1"/>
  <c r="I67" i="61"/>
  <c r="BF66" i="61" a="1"/>
  <c r="BF66" i="61"/>
  <c r="BB66" i="61" a="1"/>
  <c r="BB66" i="61"/>
  <c r="AX66" i="61" a="1"/>
  <c r="AX66" i="61"/>
  <c r="AT66" i="61" a="1"/>
  <c r="AT66" i="61"/>
  <c r="AS66" i="61" a="1"/>
  <c r="AS66" i="61"/>
  <c r="AN66" i="61" a="1"/>
  <c r="AN66" i="61"/>
  <c r="AJ66" i="61" a="1"/>
  <c r="AJ66" i="61"/>
  <c r="AF66" i="61" a="1"/>
  <c r="AF66" i="61"/>
  <c r="AB66" i="61" a="1"/>
  <c r="AB66" i="61"/>
  <c r="AA66" i="61" a="1"/>
  <c r="AA66" i="61"/>
  <c r="V66" i="61" a="1"/>
  <c r="V66" i="61"/>
  <c r="R66" i="61" a="1"/>
  <c r="R66" i="61"/>
  <c r="N66" i="61" a="1"/>
  <c r="N66" i="61"/>
  <c r="J66" i="61" a="1"/>
  <c r="J66" i="61"/>
  <c r="I66" i="61" a="1"/>
  <c r="I66" i="61"/>
  <c r="BF65" i="61" a="1"/>
  <c r="BF65" i="61"/>
  <c r="BB65" i="61" a="1"/>
  <c r="BB65" i="61"/>
  <c r="AX65" i="61" a="1"/>
  <c r="AX65" i="61"/>
  <c r="AT65" i="61" a="1"/>
  <c r="AT65" i="61"/>
  <c r="AS65" i="61" a="1"/>
  <c r="AS65" i="61"/>
  <c r="AN65" i="61" a="1"/>
  <c r="AN65" i="61"/>
  <c r="AJ65" i="61" a="1"/>
  <c r="AJ65" i="61"/>
  <c r="AF65" i="61" a="1"/>
  <c r="AF65" i="61"/>
  <c r="AB65" i="61" a="1"/>
  <c r="AB65" i="61"/>
  <c r="AA65" i="61" a="1"/>
  <c r="AA65" i="61"/>
  <c r="V65" i="61" a="1"/>
  <c r="V65" i="61"/>
  <c r="R65" i="61" a="1"/>
  <c r="R65" i="61"/>
  <c r="N65" i="61" a="1"/>
  <c r="N65" i="61"/>
  <c r="J65" i="61" a="1"/>
  <c r="J65" i="61"/>
  <c r="I65" i="61" a="1"/>
  <c r="I65" i="61"/>
  <c r="BF64" i="61" a="1"/>
  <c r="BF64" i="61"/>
  <c r="BB64" i="61" a="1"/>
  <c r="BB64" i="61"/>
  <c r="AX64" i="61" a="1"/>
  <c r="AX64" i="61"/>
  <c r="AT64" i="61" a="1"/>
  <c r="AT64" i="61"/>
  <c r="AS64" i="61" a="1"/>
  <c r="AS64" i="61"/>
  <c r="AN64" i="61" a="1"/>
  <c r="AN64" i="61"/>
  <c r="AJ64" i="61" a="1"/>
  <c r="AJ64" i="61"/>
  <c r="AF64" i="61" a="1"/>
  <c r="AF64" i="61"/>
  <c r="AB64" i="61" a="1"/>
  <c r="AB64" i="61"/>
  <c r="AA64" i="61" a="1"/>
  <c r="AA64" i="61"/>
  <c r="V64" i="61" a="1"/>
  <c r="V64" i="61"/>
  <c r="R64" i="61" a="1"/>
  <c r="R64" i="61"/>
  <c r="N64" i="61" a="1"/>
  <c r="N64" i="61"/>
  <c r="J64" i="61" a="1"/>
  <c r="J64" i="61"/>
  <c r="I64" i="61" a="1"/>
  <c r="I64" i="61"/>
  <c r="BF63" i="61" a="1"/>
  <c r="BF63" i="61"/>
  <c r="BB63" i="61" a="1"/>
  <c r="BB63" i="61"/>
  <c r="AX63" i="61" a="1"/>
  <c r="AX63" i="61"/>
  <c r="AT63" i="61" a="1"/>
  <c r="AT63" i="61"/>
  <c r="AS63" i="61" a="1"/>
  <c r="AS63" i="61"/>
  <c r="AN63" i="61" a="1"/>
  <c r="AN63" i="61"/>
  <c r="AJ63" i="61" a="1"/>
  <c r="AJ63" i="61"/>
  <c r="AF63" i="61" a="1"/>
  <c r="AF63" i="61"/>
  <c r="AB63" i="61" a="1"/>
  <c r="AB63" i="61"/>
  <c r="AA63" i="61" a="1"/>
  <c r="AA63" i="61"/>
  <c r="V63" i="61" a="1"/>
  <c r="V63" i="61"/>
  <c r="R63" i="61" a="1"/>
  <c r="R63" i="61"/>
  <c r="N63" i="61" a="1"/>
  <c r="N63" i="61"/>
  <c r="J63" i="61" a="1"/>
  <c r="J63" i="61"/>
  <c r="I63" i="61" a="1"/>
  <c r="I63" i="61"/>
  <c r="BF62" i="61" a="1"/>
  <c r="BF62" i="61"/>
  <c r="BB62" i="61" a="1"/>
  <c r="BB62" i="61"/>
  <c r="AX62" i="61" a="1"/>
  <c r="AX62" i="61"/>
  <c r="AT62" i="61" a="1"/>
  <c r="AT62" i="61"/>
  <c r="AS62" i="61" a="1"/>
  <c r="AS62" i="61"/>
  <c r="AN62" i="61" a="1"/>
  <c r="AN62" i="61"/>
  <c r="AJ62" i="61" a="1"/>
  <c r="AJ62" i="61"/>
  <c r="AF62" i="61" a="1"/>
  <c r="AF62" i="61"/>
  <c r="AB62" i="61" a="1"/>
  <c r="AB62" i="61"/>
  <c r="AA62" i="61" a="1"/>
  <c r="AA62" i="61"/>
  <c r="V62" i="61" a="1"/>
  <c r="V62" i="61"/>
  <c r="R62" i="61" a="1"/>
  <c r="R62" i="61"/>
  <c r="N62" i="61" a="1"/>
  <c r="N62" i="61"/>
  <c r="J62" i="61" a="1"/>
  <c r="J62" i="61"/>
  <c r="I62" i="61" a="1"/>
  <c r="I62" i="61"/>
  <c r="BF61" i="61" a="1"/>
  <c r="BF61" i="61"/>
  <c r="BB61" i="61" a="1"/>
  <c r="BB61" i="61"/>
  <c r="AX61" i="61" a="1"/>
  <c r="AX61" i="61"/>
  <c r="AT61" i="61" a="1"/>
  <c r="AT61" i="61"/>
  <c r="AS61" i="61" a="1"/>
  <c r="AS61" i="61"/>
  <c r="AN61" i="61" a="1"/>
  <c r="AN61" i="61"/>
  <c r="AJ61" i="61" a="1"/>
  <c r="AJ61" i="61"/>
  <c r="AF61" i="61" a="1"/>
  <c r="AF61" i="61"/>
  <c r="AB61" i="61" a="1"/>
  <c r="AB61" i="61"/>
  <c r="AA61" i="61" a="1"/>
  <c r="AA61" i="61"/>
  <c r="V61" i="61" a="1"/>
  <c r="V61" i="61"/>
  <c r="R61" i="61" a="1"/>
  <c r="R61" i="61"/>
  <c r="N61" i="61" a="1"/>
  <c r="N61" i="61"/>
  <c r="J61" i="61" a="1"/>
  <c r="J61" i="61"/>
  <c r="I61" i="61" a="1"/>
  <c r="I61" i="61"/>
  <c r="BF60" i="61" a="1"/>
  <c r="BF60" i="61"/>
  <c r="BB60" i="61" a="1"/>
  <c r="BB60" i="61"/>
  <c r="AX60" i="61" a="1"/>
  <c r="AX60" i="61"/>
  <c r="AT60" i="61" a="1"/>
  <c r="AT60" i="61"/>
  <c r="AS60" i="61" a="1"/>
  <c r="AS60" i="61"/>
  <c r="AN60" i="61" a="1"/>
  <c r="AN60" i="61"/>
  <c r="AJ60" i="61" a="1"/>
  <c r="AJ60" i="61"/>
  <c r="AF60" i="61" a="1"/>
  <c r="AF60" i="61"/>
  <c r="AB60" i="61" a="1"/>
  <c r="AB60" i="61"/>
  <c r="AA60" i="61" a="1"/>
  <c r="AA60" i="61"/>
  <c r="V60" i="61" a="1"/>
  <c r="V60" i="61"/>
  <c r="R60" i="61" a="1"/>
  <c r="R60" i="61"/>
  <c r="N60" i="61" a="1"/>
  <c r="N60" i="61"/>
  <c r="J60" i="61" a="1"/>
  <c r="J60" i="61"/>
  <c r="I60" i="61" a="1"/>
  <c r="I60" i="61"/>
  <c r="BF59" i="61" a="1"/>
  <c r="BF59" i="61"/>
  <c r="BB59" i="61" a="1"/>
  <c r="BB59" i="61"/>
  <c r="AX59" i="61" a="1"/>
  <c r="AX59" i="61"/>
  <c r="AT59" i="61" a="1"/>
  <c r="AT59" i="61"/>
  <c r="AS59" i="61" a="1"/>
  <c r="AS59" i="61"/>
  <c r="AN59" i="61" a="1"/>
  <c r="AN59" i="61"/>
  <c r="AJ59" i="61" a="1"/>
  <c r="AJ59" i="61"/>
  <c r="AF59" i="61" a="1"/>
  <c r="AF59" i="61"/>
  <c r="AB59" i="61" a="1"/>
  <c r="AB59" i="61"/>
  <c r="AA59" i="61" a="1"/>
  <c r="AA59" i="61"/>
  <c r="V59" i="61" a="1"/>
  <c r="V59" i="61"/>
  <c r="R59" i="61" a="1"/>
  <c r="R59" i="61"/>
  <c r="N59" i="61" a="1"/>
  <c r="N59" i="61"/>
  <c r="J59" i="61" a="1"/>
  <c r="J59" i="61"/>
  <c r="I59" i="61" a="1"/>
  <c r="I59" i="61"/>
  <c r="BF58" i="61" a="1"/>
  <c r="BF58" i="61"/>
  <c r="BB58" i="61" a="1"/>
  <c r="BB58" i="61"/>
  <c r="AX58" i="61" a="1"/>
  <c r="AX58" i="61"/>
  <c r="AT58" i="61" a="1"/>
  <c r="AT58" i="61"/>
  <c r="AS58" i="61" a="1"/>
  <c r="AS58" i="61"/>
  <c r="AN58" i="61" a="1"/>
  <c r="AN58" i="61"/>
  <c r="AJ58" i="61" a="1"/>
  <c r="AJ58" i="61"/>
  <c r="AF58" i="61" a="1"/>
  <c r="AF58" i="61"/>
  <c r="AB58" i="61" a="1"/>
  <c r="AB58" i="61"/>
  <c r="AA58" i="61" a="1"/>
  <c r="AA58" i="61"/>
  <c r="V58" i="61" a="1"/>
  <c r="V58" i="61"/>
  <c r="R58" i="61" a="1"/>
  <c r="R58" i="61"/>
  <c r="N58" i="61" a="1"/>
  <c r="N58" i="61"/>
  <c r="J58" i="61" a="1"/>
  <c r="J58" i="61"/>
  <c r="I58" i="61" a="1"/>
  <c r="I58" i="61"/>
  <c r="BF57" i="61" a="1"/>
  <c r="BF57" i="61"/>
  <c r="BB57" i="61" a="1"/>
  <c r="BB57" i="61"/>
  <c r="AX57" i="61" a="1"/>
  <c r="AX57" i="61"/>
  <c r="AT57" i="61" a="1"/>
  <c r="AT57" i="61"/>
  <c r="AS57" i="61" a="1"/>
  <c r="AS57" i="61"/>
  <c r="AN57" i="61" a="1"/>
  <c r="AN57" i="61"/>
  <c r="AJ57" i="61" a="1"/>
  <c r="AJ57" i="61"/>
  <c r="AF57" i="61" a="1"/>
  <c r="AF57" i="61"/>
  <c r="AB57" i="61" a="1"/>
  <c r="AB57" i="61"/>
  <c r="AA57" i="61" a="1"/>
  <c r="AA57" i="61"/>
  <c r="V57" i="61" a="1"/>
  <c r="V57" i="61"/>
  <c r="R57" i="61" a="1"/>
  <c r="R57" i="61"/>
  <c r="N57" i="61" a="1"/>
  <c r="N57" i="61"/>
  <c r="J57" i="61" a="1"/>
  <c r="J57" i="61"/>
  <c r="I57" i="61" a="1"/>
  <c r="I57" i="61"/>
  <c r="BF56" i="61" a="1"/>
  <c r="BF56" i="61"/>
  <c r="BB56" i="61" a="1"/>
  <c r="BB56" i="61"/>
  <c r="AX56" i="61" a="1"/>
  <c r="AX56" i="61"/>
  <c r="AT56" i="61" a="1"/>
  <c r="AT56" i="61"/>
  <c r="AS56" i="61" a="1"/>
  <c r="AS56" i="61"/>
  <c r="AN56" i="61" a="1"/>
  <c r="AN56" i="61"/>
  <c r="AJ56" i="61" a="1"/>
  <c r="AJ56" i="61"/>
  <c r="AF56" i="61" a="1"/>
  <c r="AF56" i="61"/>
  <c r="AB56" i="61" a="1"/>
  <c r="AB56" i="61"/>
  <c r="AA56" i="61" a="1"/>
  <c r="AA56" i="61"/>
  <c r="V56" i="61" a="1"/>
  <c r="V56" i="61"/>
  <c r="R56" i="61" a="1"/>
  <c r="R56" i="61"/>
  <c r="N56" i="61" a="1"/>
  <c r="N56" i="61"/>
  <c r="J56" i="61" a="1"/>
  <c r="J56" i="61"/>
  <c r="I56" i="61" a="1"/>
  <c r="I56" i="61"/>
  <c r="BF55" i="61" a="1"/>
  <c r="BF55" i="61"/>
  <c r="BB55" i="61" a="1"/>
  <c r="BB55" i="61"/>
  <c r="AX55" i="61" a="1"/>
  <c r="AX55" i="61"/>
  <c r="AT55" i="61" a="1"/>
  <c r="AT55" i="61"/>
  <c r="AS55" i="61" a="1"/>
  <c r="AS55" i="61"/>
  <c r="AN55" i="61" a="1"/>
  <c r="AN55" i="61"/>
  <c r="AJ55" i="61" a="1"/>
  <c r="AJ55" i="61"/>
  <c r="AF55" i="61" a="1"/>
  <c r="AF55" i="61"/>
  <c r="AB55" i="61" a="1"/>
  <c r="AB55" i="61"/>
  <c r="AA55" i="61" a="1"/>
  <c r="AA55" i="61"/>
  <c r="V55" i="61" a="1"/>
  <c r="V55" i="61"/>
  <c r="R55" i="61" a="1"/>
  <c r="R55" i="61"/>
  <c r="N55" i="61" a="1"/>
  <c r="N55" i="61"/>
  <c r="J55" i="61" a="1"/>
  <c r="J55" i="61"/>
  <c r="I55" i="61" a="1"/>
  <c r="I55" i="61"/>
  <c r="BF54" i="61" a="1"/>
  <c r="BF54" i="61"/>
  <c r="BB54" i="61" a="1"/>
  <c r="BB54" i="61"/>
  <c r="AX54" i="61" a="1"/>
  <c r="AX54" i="61"/>
  <c r="AT54" i="61" a="1"/>
  <c r="AT54" i="61"/>
  <c r="AS54" i="61" a="1"/>
  <c r="AS54" i="61"/>
  <c r="AN54" i="61" a="1"/>
  <c r="AN54" i="61"/>
  <c r="AJ54" i="61" a="1"/>
  <c r="AJ54" i="61"/>
  <c r="AF54" i="61" a="1"/>
  <c r="AF54" i="61"/>
  <c r="AB54" i="61" a="1"/>
  <c r="AB54" i="61"/>
  <c r="AA54" i="61" a="1"/>
  <c r="AA54" i="61"/>
  <c r="V54" i="61" a="1"/>
  <c r="V54" i="61"/>
  <c r="R54" i="61" a="1"/>
  <c r="R54" i="61"/>
  <c r="N54" i="61" a="1"/>
  <c r="N54" i="61"/>
  <c r="J54" i="61" a="1"/>
  <c r="J54" i="61"/>
  <c r="I54" i="61" a="1"/>
  <c r="I54" i="61"/>
  <c r="BF53" i="61" a="1"/>
  <c r="BF53" i="61"/>
  <c r="BB53" i="61" a="1"/>
  <c r="BB53" i="61"/>
  <c r="AX53" i="61" a="1"/>
  <c r="AX53" i="61"/>
  <c r="AT53" i="61" a="1"/>
  <c r="AT53" i="61"/>
  <c r="AS53" i="61" a="1"/>
  <c r="AS53" i="61"/>
  <c r="AN53" i="61" a="1"/>
  <c r="AN53" i="61"/>
  <c r="AJ53" i="61" a="1"/>
  <c r="AJ53" i="61"/>
  <c r="AF53" i="61" a="1"/>
  <c r="AF53" i="61"/>
  <c r="AB53" i="61" a="1"/>
  <c r="AB53" i="61"/>
  <c r="AA53" i="61" a="1"/>
  <c r="AA53" i="61"/>
  <c r="V53" i="61" a="1"/>
  <c r="V53" i="61"/>
  <c r="R53" i="61" a="1"/>
  <c r="R53" i="61"/>
  <c r="N53" i="61" a="1"/>
  <c r="N53" i="61"/>
  <c r="J53" i="61" a="1"/>
  <c r="J53" i="61"/>
  <c r="I53" i="61" a="1"/>
  <c r="I53" i="61"/>
  <c r="BF52" i="61" a="1"/>
  <c r="BF52" i="61"/>
  <c r="BB52" i="61" a="1"/>
  <c r="BB52" i="61"/>
  <c r="AX52" i="61" a="1"/>
  <c r="AX52" i="61"/>
  <c r="AT52" i="61" a="1"/>
  <c r="AT52" i="61"/>
  <c r="AS52" i="61" a="1"/>
  <c r="AS52" i="61"/>
  <c r="AN52" i="61" a="1"/>
  <c r="AN52" i="61"/>
  <c r="AJ52" i="61" a="1"/>
  <c r="AJ52" i="61"/>
  <c r="AF52" i="61" a="1"/>
  <c r="AF52" i="61"/>
  <c r="AB52" i="61" a="1"/>
  <c r="AB52" i="61"/>
  <c r="AA52" i="61" a="1"/>
  <c r="AA52" i="61"/>
  <c r="V52" i="61" a="1"/>
  <c r="V52" i="61"/>
  <c r="R52" i="61" a="1"/>
  <c r="R52" i="61"/>
  <c r="N52" i="61" a="1"/>
  <c r="N52" i="61"/>
  <c r="J52" i="61" a="1"/>
  <c r="J52" i="61"/>
  <c r="I52" i="61" a="1"/>
  <c r="I52" i="61"/>
  <c r="BF51" i="61" a="1"/>
  <c r="BF51" i="61"/>
  <c r="BB51" i="61" a="1"/>
  <c r="BB51" i="61"/>
  <c r="AX51" i="61" a="1"/>
  <c r="AX51" i="61"/>
  <c r="AT51" i="61" a="1"/>
  <c r="AT51" i="61"/>
  <c r="AS51" i="61" a="1"/>
  <c r="AS51" i="61"/>
  <c r="AN51" i="61" a="1"/>
  <c r="AN51" i="61"/>
  <c r="AJ51" i="61" a="1"/>
  <c r="AJ51" i="61"/>
  <c r="AF51" i="61" a="1"/>
  <c r="AF51" i="61"/>
  <c r="AB51" i="61" a="1"/>
  <c r="AB51" i="61"/>
  <c r="AA51" i="61" a="1"/>
  <c r="AA51" i="61"/>
  <c r="V51" i="61" a="1"/>
  <c r="V51" i="61"/>
  <c r="R51" i="61" a="1"/>
  <c r="R51" i="61"/>
  <c r="N51" i="61" a="1"/>
  <c r="N51" i="61"/>
  <c r="J51" i="61" a="1"/>
  <c r="J51" i="61"/>
  <c r="I51" i="61" a="1"/>
  <c r="I51" i="61"/>
  <c r="BF50" i="61" a="1"/>
  <c r="BF50" i="61"/>
  <c r="BB50" i="61" a="1"/>
  <c r="BB50" i="61"/>
  <c r="AX50" i="61" a="1"/>
  <c r="AX50" i="61"/>
  <c r="AT50" i="61" a="1"/>
  <c r="AT50" i="61"/>
  <c r="AS50" i="61" a="1"/>
  <c r="AS50" i="61"/>
  <c r="AN50" i="61" a="1"/>
  <c r="AN50" i="61"/>
  <c r="AJ50" i="61" a="1"/>
  <c r="AJ50" i="61"/>
  <c r="AF50" i="61" a="1"/>
  <c r="AF50" i="61"/>
  <c r="AB50" i="61" a="1"/>
  <c r="AB50" i="61"/>
  <c r="AA50" i="61" a="1"/>
  <c r="AA50" i="61"/>
  <c r="V50" i="61" a="1"/>
  <c r="V50" i="61"/>
  <c r="R50" i="61" a="1"/>
  <c r="R50" i="61"/>
  <c r="N50" i="61" a="1"/>
  <c r="N50" i="61"/>
  <c r="J50" i="61" a="1"/>
  <c r="J50" i="61"/>
  <c r="I50" i="61" a="1"/>
  <c r="I50" i="61"/>
  <c r="BF49" i="61" a="1"/>
  <c r="BF49" i="61"/>
  <c r="BB49" i="61" a="1"/>
  <c r="BB49" i="61"/>
  <c r="AX49" i="61" a="1"/>
  <c r="AX49" i="61"/>
  <c r="AT49" i="61" a="1"/>
  <c r="AT49" i="61"/>
  <c r="AS49" i="61" a="1"/>
  <c r="AS49" i="61"/>
  <c r="AN49" i="61" a="1"/>
  <c r="AN49" i="61"/>
  <c r="AJ49" i="61" a="1"/>
  <c r="AJ49" i="61"/>
  <c r="AF49" i="61" a="1"/>
  <c r="AF49" i="61"/>
  <c r="AB49" i="61" a="1"/>
  <c r="AB49" i="61"/>
  <c r="AA49" i="61" a="1"/>
  <c r="AA49" i="61"/>
  <c r="V49" i="61" a="1"/>
  <c r="V49" i="61"/>
  <c r="R49" i="61" a="1"/>
  <c r="R49" i="61"/>
  <c r="N49" i="61" a="1"/>
  <c r="N49" i="61"/>
  <c r="J49" i="61" a="1"/>
  <c r="J49" i="61"/>
  <c r="I49" i="61" a="1"/>
  <c r="I49" i="61"/>
  <c r="BF48" i="61" a="1"/>
  <c r="BF48" i="61"/>
  <c r="BB48" i="61" a="1"/>
  <c r="BB48" i="61"/>
  <c r="AX48" i="61" a="1"/>
  <c r="AX48" i="61"/>
  <c r="AT48" i="61" a="1"/>
  <c r="AT48" i="61"/>
  <c r="AS48" i="61" a="1"/>
  <c r="AS48" i="61"/>
  <c r="AN48" i="61" a="1"/>
  <c r="AN48" i="61"/>
  <c r="AJ48" i="61" a="1"/>
  <c r="AJ48" i="61"/>
  <c r="AF48" i="61" a="1"/>
  <c r="AF48" i="61"/>
  <c r="AB48" i="61" a="1"/>
  <c r="AB48" i="61"/>
  <c r="AA48" i="61" a="1"/>
  <c r="AA48" i="61"/>
  <c r="V48" i="61" a="1"/>
  <c r="V48" i="61"/>
  <c r="R48" i="61" a="1"/>
  <c r="R48" i="61"/>
  <c r="N48" i="61" a="1"/>
  <c r="N48" i="61"/>
  <c r="J48" i="61" a="1"/>
  <c r="J48" i="61"/>
  <c r="I48" i="61" a="1"/>
  <c r="I48" i="61"/>
  <c r="BF47" i="61" a="1"/>
  <c r="BF47" i="61"/>
  <c r="BB47" i="61" a="1"/>
  <c r="BB47" i="61"/>
  <c r="AX47" i="61" a="1"/>
  <c r="AX47" i="61"/>
  <c r="AT47" i="61" a="1"/>
  <c r="AT47" i="61"/>
  <c r="AS47" i="61" a="1"/>
  <c r="AS47" i="61"/>
  <c r="AN47" i="61" a="1"/>
  <c r="AN47" i="61"/>
  <c r="AJ47" i="61" a="1"/>
  <c r="AJ47" i="61"/>
  <c r="AF47" i="61" a="1"/>
  <c r="AF47" i="61"/>
  <c r="AB47" i="61" a="1"/>
  <c r="AB47" i="61"/>
  <c r="AA47" i="61" a="1"/>
  <c r="AA47" i="61"/>
  <c r="V47" i="61" a="1"/>
  <c r="V47" i="61"/>
  <c r="R47" i="61" a="1"/>
  <c r="R47" i="61"/>
  <c r="N47" i="61" a="1"/>
  <c r="N47" i="61"/>
  <c r="J47" i="61" a="1"/>
  <c r="J47" i="61"/>
  <c r="I47" i="61" a="1"/>
  <c r="I47" i="61"/>
  <c r="BF46" i="61" a="1"/>
  <c r="BF46" i="61"/>
  <c r="BB46" i="61" a="1"/>
  <c r="BB46" i="61"/>
  <c r="AX46" i="61" a="1"/>
  <c r="AX46" i="61"/>
  <c r="AT46" i="61" a="1"/>
  <c r="AT46" i="61"/>
  <c r="AS46" i="61" a="1"/>
  <c r="AS46" i="61"/>
  <c r="AN46" i="61" a="1"/>
  <c r="AN46" i="61"/>
  <c r="AJ46" i="61" a="1"/>
  <c r="AJ46" i="61"/>
  <c r="AF46" i="61" a="1"/>
  <c r="AF46" i="61"/>
  <c r="AB46" i="61" a="1"/>
  <c r="AB46" i="61"/>
  <c r="AA46" i="61" a="1"/>
  <c r="AA46" i="61"/>
  <c r="V46" i="61" a="1"/>
  <c r="V46" i="61"/>
  <c r="R46" i="61" a="1"/>
  <c r="R46" i="61"/>
  <c r="N46" i="61" a="1"/>
  <c r="N46" i="61"/>
  <c r="J46" i="61" a="1"/>
  <c r="J46" i="61"/>
  <c r="I46" i="61" a="1"/>
  <c r="I46" i="61"/>
  <c r="BF45" i="61" a="1"/>
  <c r="BF45" i="61"/>
  <c r="BB45" i="61" a="1"/>
  <c r="BB45" i="61"/>
  <c r="AX45" i="61" a="1"/>
  <c r="AX45" i="61"/>
  <c r="AT45" i="61" a="1"/>
  <c r="AT45" i="61"/>
  <c r="AS45" i="61" a="1"/>
  <c r="AS45" i="61"/>
  <c r="AN45" i="61" a="1"/>
  <c r="AN45" i="61"/>
  <c r="AJ45" i="61" a="1"/>
  <c r="AJ45" i="61"/>
  <c r="AF45" i="61" a="1"/>
  <c r="AF45" i="61"/>
  <c r="AB45" i="61" a="1"/>
  <c r="AB45" i="61"/>
  <c r="AA45" i="61" a="1"/>
  <c r="AA45" i="61"/>
  <c r="V45" i="61" a="1"/>
  <c r="V45" i="61"/>
  <c r="R45" i="61" a="1"/>
  <c r="R45" i="61"/>
  <c r="N45" i="61" a="1"/>
  <c r="N45" i="61"/>
  <c r="J45" i="61" a="1"/>
  <c r="J45" i="61"/>
  <c r="I45" i="61" a="1"/>
  <c r="I45" i="61"/>
  <c r="BF44" i="61" a="1"/>
  <c r="BF44" i="61"/>
  <c r="BB44" i="61" a="1"/>
  <c r="BB44" i="61"/>
  <c r="AX44" i="61" a="1"/>
  <c r="AX44" i="61"/>
  <c r="AT44" i="61" a="1"/>
  <c r="AT44" i="61"/>
  <c r="AS44" i="61" a="1"/>
  <c r="AS44" i="61"/>
  <c r="AN44" i="61" a="1"/>
  <c r="AN44" i="61"/>
  <c r="AJ44" i="61" a="1"/>
  <c r="AJ44" i="61"/>
  <c r="AF44" i="61" a="1"/>
  <c r="AF44" i="61"/>
  <c r="AB44" i="61" a="1"/>
  <c r="AB44" i="61"/>
  <c r="AA44" i="61" a="1"/>
  <c r="AA44" i="61"/>
  <c r="V44" i="61" a="1"/>
  <c r="V44" i="61"/>
  <c r="R44" i="61" a="1"/>
  <c r="R44" i="61"/>
  <c r="N44" i="61" a="1"/>
  <c r="N44" i="61"/>
  <c r="J44" i="61" a="1"/>
  <c r="J44" i="61"/>
  <c r="I44" i="61" a="1"/>
  <c r="I44" i="61"/>
  <c r="BF43" i="61" a="1"/>
  <c r="BF43" i="61"/>
  <c r="BB43" i="61" a="1"/>
  <c r="BB43" i="61"/>
  <c r="AX43" i="61" a="1"/>
  <c r="AX43" i="61"/>
  <c r="AT43" i="61" a="1"/>
  <c r="AT43" i="61"/>
  <c r="AS43" i="61" a="1"/>
  <c r="AS43" i="61"/>
  <c r="AN43" i="61" a="1"/>
  <c r="AN43" i="61"/>
  <c r="AJ43" i="61" a="1"/>
  <c r="AJ43" i="61"/>
  <c r="AF43" i="61" a="1"/>
  <c r="AF43" i="61"/>
  <c r="AB43" i="61" a="1"/>
  <c r="AB43" i="61"/>
  <c r="AA43" i="61" a="1"/>
  <c r="AA43" i="61"/>
  <c r="V43" i="61" a="1"/>
  <c r="V43" i="61"/>
  <c r="R43" i="61" a="1"/>
  <c r="R43" i="61"/>
  <c r="N43" i="61" a="1"/>
  <c r="N43" i="61"/>
  <c r="J43" i="61" a="1"/>
  <c r="J43" i="61"/>
  <c r="I43" i="61" a="1"/>
  <c r="I43" i="61"/>
  <c r="BF42" i="61" a="1"/>
  <c r="BF42" i="61"/>
  <c r="BB42" i="61" a="1"/>
  <c r="BB42" i="61"/>
  <c r="AX42" i="61" a="1"/>
  <c r="AX42" i="61"/>
  <c r="AT42" i="61" a="1"/>
  <c r="AT42" i="61"/>
  <c r="AS42" i="61" a="1"/>
  <c r="AS42" i="61"/>
  <c r="AN42" i="61" a="1"/>
  <c r="AN42" i="61"/>
  <c r="AJ42" i="61" a="1"/>
  <c r="AJ42" i="61"/>
  <c r="AF42" i="61" a="1"/>
  <c r="AF42" i="61"/>
  <c r="AB42" i="61" a="1"/>
  <c r="AB42" i="61"/>
  <c r="AA42" i="61" a="1"/>
  <c r="AA42" i="61"/>
  <c r="V42" i="61" a="1"/>
  <c r="V42" i="61"/>
  <c r="R42" i="61" a="1"/>
  <c r="R42" i="61"/>
  <c r="N42" i="61" a="1"/>
  <c r="N42" i="61"/>
  <c r="J42" i="61" a="1"/>
  <c r="J42" i="61"/>
  <c r="I42" i="61" a="1"/>
  <c r="I42" i="61"/>
  <c r="BF41" i="61" a="1"/>
  <c r="BF41" i="61"/>
  <c r="BB41" i="61" a="1"/>
  <c r="BB41" i="61"/>
  <c r="AX41" i="61" a="1"/>
  <c r="AX41" i="61"/>
  <c r="AT41" i="61" a="1"/>
  <c r="AT41" i="61"/>
  <c r="AS41" i="61" a="1"/>
  <c r="AS41" i="61"/>
  <c r="AN41" i="61" a="1"/>
  <c r="AN41" i="61"/>
  <c r="AJ41" i="61" a="1"/>
  <c r="AJ41" i="61"/>
  <c r="AF41" i="61" a="1"/>
  <c r="AF41" i="61"/>
  <c r="AB41" i="61" a="1"/>
  <c r="AB41" i="61"/>
  <c r="AA41" i="61" a="1"/>
  <c r="AA41" i="61"/>
  <c r="V41" i="61" a="1"/>
  <c r="V41" i="61"/>
  <c r="R41" i="61" a="1"/>
  <c r="R41" i="61"/>
  <c r="N41" i="61" a="1"/>
  <c r="N41" i="61"/>
  <c r="J41" i="61" a="1"/>
  <c r="J41" i="61"/>
  <c r="I41" i="61" a="1"/>
  <c r="I41" i="61"/>
  <c r="BF37" i="61" a="1"/>
  <c r="BF37" i="61"/>
  <c r="BB37" i="61" a="1"/>
  <c r="BB37" i="61"/>
  <c r="AX37" i="61" a="1"/>
  <c r="AX37" i="61"/>
  <c r="AT37" i="61" a="1"/>
  <c r="AT37" i="61"/>
  <c r="AS37" i="61" a="1"/>
  <c r="AS37" i="61"/>
  <c r="AN37" i="61" a="1"/>
  <c r="AN37" i="61"/>
  <c r="AJ37" i="61" a="1"/>
  <c r="AJ37" i="61"/>
  <c r="AF37" i="61" a="1"/>
  <c r="AF37" i="61"/>
  <c r="AB37" i="61" a="1"/>
  <c r="AB37" i="61"/>
  <c r="AA37" i="61" a="1"/>
  <c r="AA37" i="61"/>
  <c r="V37" i="61" a="1"/>
  <c r="V37" i="61"/>
  <c r="R37" i="61" a="1"/>
  <c r="R37" i="61"/>
  <c r="N37" i="61" a="1"/>
  <c r="N37" i="61"/>
  <c r="J37" i="61" a="1"/>
  <c r="J37" i="61"/>
  <c r="I37" i="61" a="1"/>
  <c r="I37" i="61"/>
  <c r="BF36" i="61" a="1"/>
  <c r="BF36" i="61"/>
  <c r="BB36" i="61" a="1"/>
  <c r="BB36" i="61"/>
  <c r="AX36" i="61" a="1"/>
  <c r="AX36" i="61"/>
  <c r="AT36" i="61" a="1"/>
  <c r="AT36" i="61"/>
  <c r="AS36" i="61" a="1"/>
  <c r="AS36" i="61"/>
  <c r="AN36" i="61" a="1"/>
  <c r="AN36" i="61"/>
  <c r="AJ36" i="61" a="1"/>
  <c r="AJ36" i="61"/>
  <c r="AF36" i="61" a="1"/>
  <c r="AF36" i="61"/>
  <c r="AB36" i="61" a="1"/>
  <c r="AB36" i="61"/>
  <c r="AA36" i="61" a="1"/>
  <c r="AA36" i="61"/>
  <c r="V36" i="61" a="1"/>
  <c r="V36" i="61"/>
  <c r="R36" i="61" a="1"/>
  <c r="R36" i="61"/>
  <c r="N36" i="61" a="1"/>
  <c r="N36" i="61"/>
  <c r="J36" i="61" a="1"/>
  <c r="J36" i="61"/>
  <c r="I36" i="61" a="1"/>
  <c r="I36" i="61"/>
  <c r="BF35" i="61" a="1"/>
  <c r="BF35" i="61"/>
  <c r="BB35" i="61" a="1"/>
  <c r="BB35" i="61"/>
  <c r="AX35" i="61" a="1"/>
  <c r="AX35" i="61"/>
  <c r="AT35" i="61" a="1"/>
  <c r="AT35" i="61"/>
  <c r="AS35" i="61" a="1"/>
  <c r="AS35" i="61"/>
  <c r="AN35" i="61" a="1"/>
  <c r="AN35" i="61"/>
  <c r="AJ35" i="61" a="1"/>
  <c r="AJ35" i="61"/>
  <c r="AF35" i="61" a="1"/>
  <c r="AF35" i="61"/>
  <c r="AB35" i="61" a="1"/>
  <c r="AB35" i="61"/>
  <c r="AA35" i="61" a="1"/>
  <c r="AA35" i="61"/>
  <c r="V35" i="61" a="1"/>
  <c r="V35" i="61"/>
  <c r="R35" i="61" a="1"/>
  <c r="R35" i="61"/>
  <c r="N35" i="61" a="1"/>
  <c r="N35" i="61"/>
  <c r="J35" i="61" a="1"/>
  <c r="J35" i="61"/>
  <c r="I35" i="61" a="1"/>
  <c r="I35" i="61"/>
  <c r="BF34" i="61" a="1"/>
  <c r="BF34" i="61"/>
  <c r="BB34" i="61" a="1"/>
  <c r="BB34" i="61"/>
  <c r="AX34" i="61" a="1"/>
  <c r="AX34" i="61"/>
  <c r="AT34" i="61" a="1"/>
  <c r="AT34" i="61"/>
  <c r="AS34" i="61" a="1"/>
  <c r="AS34" i="61"/>
  <c r="AN34" i="61" a="1"/>
  <c r="AN34" i="61"/>
  <c r="AJ34" i="61" a="1"/>
  <c r="AJ34" i="61"/>
  <c r="AF34" i="61" a="1"/>
  <c r="AF34" i="61"/>
  <c r="AB34" i="61" a="1"/>
  <c r="AB34" i="61"/>
  <c r="AA34" i="61" a="1"/>
  <c r="AA34" i="61"/>
  <c r="V34" i="61" a="1"/>
  <c r="V34" i="61"/>
  <c r="R34" i="61" a="1"/>
  <c r="R34" i="61"/>
  <c r="N34" i="61" a="1"/>
  <c r="N34" i="61"/>
  <c r="J34" i="61" a="1"/>
  <c r="J34" i="61"/>
  <c r="I34" i="61" a="1"/>
  <c r="I34" i="61"/>
  <c r="BF33" i="61" a="1"/>
  <c r="BF33" i="61"/>
  <c r="BB33" i="61" a="1"/>
  <c r="BB33" i="61"/>
  <c r="AX33" i="61" a="1"/>
  <c r="AX33" i="61"/>
  <c r="AT33" i="61" a="1"/>
  <c r="AT33" i="61"/>
  <c r="AS33" i="61" a="1"/>
  <c r="AS33" i="61"/>
  <c r="AN33" i="61" a="1"/>
  <c r="AN33" i="61"/>
  <c r="AJ33" i="61" a="1"/>
  <c r="AJ33" i="61"/>
  <c r="AF33" i="61" a="1"/>
  <c r="AF33" i="61"/>
  <c r="AB33" i="61" a="1"/>
  <c r="AB33" i="61"/>
  <c r="AA33" i="61" a="1"/>
  <c r="AA33" i="61"/>
  <c r="V33" i="61" a="1"/>
  <c r="V33" i="61"/>
  <c r="R33" i="61" a="1"/>
  <c r="R33" i="61"/>
  <c r="N33" i="61" a="1"/>
  <c r="N33" i="61"/>
  <c r="J33" i="61" a="1"/>
  <c r="J33" i="61"/>
  <c r="I33" i="61" a="1"/>
  <c r="I33" i="61"/>
  <c r="BF32" i="61" a="1"/>
  <c r="BF32" i="61"/>
  <c r="BB32" i="61" a="1"/>
  <c r="BB32" i="61"/>
  <c r="AX32" i="61" a="1"/>
  <c r="AX32" i="61"/>
  <c r="AT32" i="61" a="1"/>
  <c r="AT32" i="61"/>
  <c r="AS32" i="61" a="1"/>
  <c r="AS32" i="61"/>
  <c r="AN32" i="61" a="1"/>
  <c r="AN32" i="61"/>
  <c r="AJ32" i="61" a="1"/>
  <c r="AJ32" i="61"/>
  <c r="AF32" i="61" a="1"/>
  <c r="AF32" i="61"/>
  <c r="AB32" i="61" a="1"/>
  <c r="AB32" i="61"/>
  <c r="AA32" i="61" a="1"/>
  <c r="AA32" i="61"/>
  <c r="V32" i="61" a="1"/>
  <c r="V32" i="61"/>
  <c r="R32" i="61" a="1"/>
  <c r="R32" i="61"/>
  <c r="N32" i="61" a="1"/>
  <c r="N32" i="61"/>
  <c r="J32" i="61" a="1"/>
  <c r="J32" i="61"/>
  <c r="I32" i="61" a="1"/>
  <c r="I32" i="61"/>
  <c r="BF31" i="61" a="1"/>
  <c r="BF31" i="61"/>
  <c r="BB31" i="61" a="1"/>
  <c r="BB31" i="61"/>
  <c r="AX31" i="61" a="1"/>
  <c r="AX31" i="61"/>
  <c r="AT31" i="61" a="1"/>
  <c r="AT31" i="61"/>
  <c r="AS31" i="61" a="1"/>
  <c r="AS31" i="61"/>
  <c r="AN31" i="61" a="1"/>
  <c r="AN31" i="61"/>
  <c r="AJ31" i="61" a="1"/>
  <c r="AJ31" i="61"/>
  <c r="AF31" i="61" a="1"/>
  <c r="AF31" i="61"/>
  <c r="AB31" i="61" a="1"/>
  <c r="AB31" i="61"/>
  <c r="AA31" i="61" a="1"/>
  <c r="AA31" i="61"/>
  <c r="V31" i="61" a="1"/>
  <c r="V31" i="61"/>
  <c r="R31" i="61" a="1"/>
  <c r="R31" i="61"/>
  <c r="N31" i="61" a="1"/>
  <c r="N31" i="61"/>
  <c r="J31" i="61" a="1"/>
  <c r="J31" i="61"/>
  <c r="I31" i="61" a="1"/>
  <c r="I31" i="61"/>
  <c r="BF30" i="61" a="1"/>
  <c r="BF30" i="61"/>
  <c r="BB30" i="61" a="1"/>
  <c r="BB30" i="61"/>
  <c r="AX30" i="61" a="1"/>
  <c r="AX30" i="61"/>
  <c r="AT30" i="61" a="1"/>
  <c r="AT30" i="61"/>
  <c r="AS30" i="61" a="1"/>
  <c r="AS30" i="61"/>
  <c r="AN30" i="61" a="1"/>
  <c r="AN30" i="61"/>
  <c r="AJ30" i="61" a="1"/>
  <c r="AJ30" i="61"/>
  <c r="AF30" i="61" a="1"/>
  <c r="AF30" i="61"/>
  <c r="AB30" i="61" a="1"/>
  <c r="AB30" i="61"/>
  <c r="AA30" i="61" a="1"/>
  <c r="AA30" i="61"/>
  <c r="V30" i="61" a="1"/>
  <c r="V30" i="61"/>
  <c r="R30" i="61" a="1"/>
  <c r="R30" i="61"/>
  <c r="N30" i="61" a="1"/>
  <c r="N30" i="61"/>
  <c r="J30" i="61" a="1"/>
  <c r="J30" i="61"/>
  <c r="I30" i="61" a="1"/>
  <c r="I30" i="61"/>
  <c r="BF29" i="61" a="1"/>
  <c r="BF29" i="61"/>
  <c r="BB29" i="61" a="1"/>
  <c r="BB29" i="61"/>
  <c r="AX29" i="61" a="1"/>
  <c r="AX29" i="61"/>
  <c r="AT29" i="61" a="1"/>
  <c r="AT29" i="61"/>
  <c r="AS29" i="61" a="1"/>
  <c r="AS29" i="61"/>
  <c r="AN29" i="61" a="1"/>
  <c r="AN29" i="61"/>
  <c r="AJ29" i="61" a="1"/>
  <c r="AJ29" i="61"/>
  <c r="AF29" i="61" a="1"/>
  <c r="AF29" i="61"/>
  <c r="AB29" i="61" a="1"/>
  <c r="AB29" i="61"/>
  <c r="AA29" i="61" a="1"/>
  <c r="AA29" i="61"/>
  <c r="V29" i="61" a="1"/>
  <c r="V29" i="61"/>
  <c r="R29" i="61" a="1"/>
  <c r="R29" i="61"/>
  <c r="N29" i="61" a="1"/>
  <c r="N29" i="61"/>
  <c r="J29" i="61" a="1"/>
  <c r="J29" i="61"/>
  <c r="I29" i="61" a="1"/>
  <c r="I29" i="61"/>
  <c r="BF28" i="61" a="1"/>
  <c r="BF28" i="61"/>
  <c r="BB28" i="61" a="1"/>
  <c r="BB28" i="61"/>
  <c r="AX28" i="61" a="1"/>
  <c r="AX28" i="61"/>
  <c r="AT28" i="61" a="1"/>
  <c r="AT28" i="61"/>
  <c r="AS28" i="61" a="1"/>
  <c r="AS28" i="61"/>
  <c r="AN28" i="61" a="1"/>
  <c r="AN28" i="61"/>
  <c r="AJ28" i="61" a="1"/>
  <c r="AJ28" i="61"/>
  <c r="AF28" i="61" a="1"/>
  <c r="AF28" i="61"/>
  <c r="AB28" i="61" a="1"/>
  <c r="AB28" i="61"/>
  <c r="AA28" i="61" a="1"/>
  <c r="AA28" i="61"/>
  <c r="V28" i="61" a="1"/>
  <c r="V28" i="61"/>
  <c r="R28" i="61" a="1"/>
  <c r="R28" i="61"/>
  <c r="N28" i="61" a="1"/>
  <c r="N28" i="61"/>
  <c r="J28" i="61" a="1"/>
  <c r="J28" i="61"/>
  <c r="I28" i="61" a="1"/>
  <c r="I28" i="61"/>
  <c r="BF27" i="61" a="1"/>
  <c r="BF27" i="61"/>
  <c r="BB27" i="61" a="1"/>
  <c r="BB27" i="61"/>
  <c r="AX27" i="61" a="1"/>
  <c r="AX27" i="61"/>
  <c r="AT27" i="61" a="1"/>
  <c r="AT27" i="61"/>
  <c r="AS27" i="61" a="1"/>
  <c r="AS27" i="61"/>
  <c r="AN27" i="61" a="1"/>
  <c r="AN27" i="61"/>
  <c r="AJ27" i="61" a="1"/>
  <c r="AJ27" i="61"/>
  <c r="AF27" i="61" a="1"/>
  <c r="AF27" i="61"/>
  <c r="AB27" i="61" a="1"/>
  <c r="AB27" i="61"/>
  <c r="AA27" i="61" a="1"/>
  <c r="AA27" i="61"/>
  <c r="V27" i="61" a="1"/>
  <c r="V27" i="61"/>
  <c r="R27" i="61" a="1"/>
  <c r="R27" i="61"/>
  <c r="N27" i="61" a="1"/>
  <c r="N27" i="61"/>
  <c r="J27" i="61" a="1"/>
  <c r="J27" i="61"/>
  <c r="I27" i="61" a="1"/>
  <c r="I27" i="61"/>
  <c r="BF26" i="61" a="1"/>
  <c r="BF26" i="61"/>
  <c r="BB26" i="61" a="1"/>
  <c r="BB26" i="61"/>
  <c r="AX26" i="61" a="1"/>
  <c r="AX26" i="61"/>
  <c r="AT26" i="61" a="1"/>
  <c r="AT26" i="61"/>
  <c r="AS26" i="61" a="1"/>
  <c r="AS26" i="61"/>
  <c r="AN26" i="61" a="1"/>
  <c r="AN26" i="61"/>
  <c r="AJ26" i="61" a="1"/>
  <c r="AJ26" i="61"/>
  <c r="AF26" i="61" a="1"/>
  <c r="AF26" i="61"/>
  <c r="AB26" i="61" a="1"/>
  <c r="AB26" i="61"/>
  <c r="AA26" i="61" a="1"/>
  <c r="AA26" i="61"/>
  <c r="V26" i="61" a="1"/>
  <c r="V26" i="61"/>
  <c r="R26" i="61" a="1"/>
  <c r="R26" i="61"/>
  <c r="N26" i="61" a="1"/>
  <c r="N26" i="61"/>
  <c r="J26" i="61" a="1"/>
  <c r="J26" i="61"/>
  <c r="I26" i="61" a="1"/>
  <c r="I26" i="61"/>
  <c r="BF25" i="61" a="1"/>
  <c r="BF25" i="61"/>
  <c r="BB25" i="61" a="1"/>
  <c r="BB25" i="61"/>
  <c r="AX25" i="61" a="1"/>
  <c r="AX25" i="61"/>
  <c r="AT25" i="61" a="1"/>
  <c r="AT25" i="61"/>
  <c r="AS25" i="61" a="1"/>
  <c r="AS25" i="61"/>
  <c r="AN25" i="61" a="1"/>
  <c r="AN25" i="61"/>
  <c r="AJ25" i="61" a="1"/>
  <c r="AJ25" i="61"/>
  <c r="AF25" i="61" a="1"/>
  <c r="AF25" i="61"/>
  <c r="AB25" i="61" a="1"/>
  <c r="AB25" i="61"/>
  <c r="AA25" i="61" a="1"/>
  <c r="AA25" i="61"/>
  <c r="V25" i="61" a="1"/>
  <c r="V25" i="61"/>
  <c r="R25" i="61" a="1"/>
  <c r="R25" i="61"/>
  <c r="N25" i="61" a="1"/>
  <c r="N25" i="61"/>
  <c r="J25" i="61" a="1"/>
  <c r="J25" i="61"/>
  <c r="I25" i="61" a="1"/>
  <c r="I25" i="61"/>
  <c r="BF24" i="61" a="1"/>
  <c r="BF24" i="61"/>
  <c r="BB24" i="61" a="1"/>
  <c r="BB24" i="61"/>
  <c r="AX24" i="61" a="1"/>
  <c r="AX24" i="61"/>
  <c r="AT24" i="61" a="1"/>
  <c r="AT24" i="61"/>
  <c r="AS24" i="61" a="1"/>
  <c r="AS24" i="61"/>
  <c r="AN24" i="61" a="1"/>
  <c r="AN24" i="61"/>
  <c r="AJ24" i="61" a="1"/>
  <c r="AJ24" i="61"/>
  <c r="AF24" i="61" a="1"/>
  <c r="AF24" i="61"/>
  <c r="AB24" i="61" a="1"/>
  <c r="AB24" i="61"/>
  <c r="AA24" i="61" a="1"/>
  <c r="AA24" i="61"/>
  <c r="V24" i="61" a="1"/>
  <c r="V24" i="61"/>
  <c r="R24" i="61" a="1"/>
  <c r="R24" i="61"/>
  <c r="N24" i="61" a="1"/>
  <c r="N24" i="61"/>
  <c r="J24" i="61" a="1"/>
  <c r="J24" i="61"/>
  <c r="I24" i="61" a="1"/>
  <c r="I24" i="61"/>
  <c r="BF23" i="61" a="1"/>
  <c r="BF23" i="61"/>
  <c r="BB23" i="61" a="1"/>
  <c r="BB23" i="61"/>
  <c r="AX23" i="61" a="1"/>
  <c r="AX23" i="61"/>
  <c r="AT23" i="61" a="1"/>
  <c r="AT23" i="61"/>
  <c r="AS23" i="61" a="1"/>
  <c r="AS23" i="61"/>
  <c r="AN23" i="61" a="1"/>
  <c r="AN23" i="61"/>
  <c r="AJ23" i="61" a="1"/>
  <c r="AJ23" i="61"/>
  <c r="AF23" i="61" a="1"/>
  <c r="AF23" i="61"/>
  <c r="AB23" i="61" a="1"/>
  <c r="AB23" i="61"/>
  <c r="AA23" i="61" a="1"/>
  <c r="AA23" i="61"/>
  <c r="V23" i="61" a="1"/>
  <c r="V23" i="61"/>
  <c r="R23" i="61" a="1"/>
  <c r="R23" i="61"/>
  <c r="N23" i="61" a="1"/>
  <c r="N23" i="61"/>
  <c r="J23" i="61" a="1"/>
  <c r="J23" i="61"/>
  <c r="I23" i="61" a="1"/>
  <c r="I23" i="61"/>
  <c r="BF22" i="61" a="1"/>
  <c r="BF22" i="61"/>
  <c r="BB22" i="61" a="1"/>
  <c r="BB22" i="61"/>
  <c r="AX22" i="61" a="1"/>
  <c r="AX22" i="61"/>
  <c r="AT22" i="61" a="1"/>
  <c r="AT22" i="61"/>
  <c r="AS22" i="61" a="1"/>
  <c r="AS22" i="61"/>
  <c r="AN22" i="61" a="1"/>
  <c r="AN22" i="61"/>
  <c r="AJ22" i="61" a="1"/>
  <c r="AJ22" i="61"/>
  <c r="AF22" i="61" a="1"/>
  <c r="AF22" i="61"/>
  <c r="AB22" i="61" a="1"/>
  <c r="AB22" i="61"/>
  <c r="AA22" i="61" a="1"/>
  <c r="AA22" i="61"/>
  <c r="V22" i="61" a="1"/>
  <c r="V22" i="61"/>
  <c r="R22" i="61" a="1"/>
  <c r="R22" i="61"/>
  <c r="N22" i="61" a="1"/>
  <c r="N22" i="61"/>
  <c r="J22" i="61" a="1"/>
  <c r="J22" i="61"/>
  <c r="I22" i="61" a="1"/>
  <c r="I22" i="61"/>
  <c r="BF21" i="61" a="1"/>
  <c r="BF21" i="61"/>
  <c r="BB21" i="61" a="1"/>
  <c r="BB21" i="61"/>
  <c r="AX21" i="61" a="1"/>
  <c r="AX21" i="61"/>
  <c r="AT21" i="61" a="1"/>
  <c r="AT21" i="61"/>
  <c r="AS21" i="61" a="1"/>
  <c r="AS21" i="61"/>
  <c r="AN21" i="61" a="1"/>
  <c r="AN21" i="61"/>
  <c r="AJ21" i="61" a="1"/>
  <c r="AJ21" i="61"/>
  <c r="AF21" i="61" a="1"/>
  <c r="AF21" i="61"/>
  <c r="AB21" i="61" a="1"/>
  <c r="AB21" i="61"/>
  <c r="AA21" i="61" a="1"/>
  <c r="AA21" i="61"/>
  <c r="V21" i="61" a="1"/>
  <c r="V21" i="61"/>
  <c r="R21" i="61" a="1"/>
  <c r="R21" i="61"/>
  <c r="N21" i="61" a="1"/>
  <c r="N21" i="61"/>
  <c r="J21" i="61" a="1"/>
  <c r="J21" i="61"/>
  <c r="I21" i="61" a="1"/>
  <c r="I21" i="61"/>
  <c r="BF20" i="61" a="1"/>
  <c r="BF20" i="61"/>
  <c r="BB20" i="61" a="1"/>
  <c r="BB20" i="61"/>
  <c r="AX20" i="61" a="1"/>
  <c r="AX20" i="61"/>
  <c r="AT20" i="61" a="1"/>
  <c r="AT20" i="61"/>
  <c r="AS20" i="61" a="1"/>
  <c r="AS20" i="61"/>
  <c r="AN20" i="61" a="1"/>
  <c r="AN20" i="61"/>
  <c r="AJ20" i="61" a="1"/>
  <c r="AJ20" i="61"/>
  <c r="AF20" i="61" a="1"/>
  <c r="AF20" i="61"/>
  <c r="AB20" i="61" a="1"/>
  <c r="AB20" i="61"/>
  <c r="AA20" i="61" a="1"/>
  <c r="AA20" i="61"/>
  <c r="V20" i="61" a="1"/>
  <c r="V20" i="61"/>
  <c r="R20" i="61" a="1"/>
  <c r="R20" i="61"/>
  <c r="N20" i="61" a="1"/>
  <c r="N20" i="61"/>
  <c r="J20" i="61" a="1"/>
  <c r="J20" i="61"/>
  <c r="I20" i="61" a="1"/>
  <c r="I20" i="61"/>
  <c r="BF19" i="61" a="1"/>
  <c r="BF19" i="61"/>
  <c r="BB19" i="61" a="1"/>
  <c r="BB19" i="61"/>
  <c r="AX19" i="61" a="1"/>
  <c r="AX19" i="61"/>
  <c r="AT19" i="61" a="1"/>
  <c r="AT19" i="61"/>
  <c r="AS19" i="61" a="1"/>
  <c r="AS19" i="61"/>
  <c r="AN19" i="61" a="1"/>
  <c r="AN19" i="61"/>
  <c r="AJ19" i="61" a="1"/>
  <c r="AJ19" i="61"/>
  <c r="AF19" i="61" a="1"/>
  <c r="AF19" i="61"/>
  <c r="AB19" i="61" a="1"/>
  <c r="AB19" i="61"/>
  <c r="AA19" i="61" a="1"/>
  <c r="AA19" i="61"/>
  <c r="V19" i="61" a="1"/>
  <c r="V19" i="61"/>
  <c r="R19" i="61" a="1"/>
  <c r="R19" i="61"/>
  <c r="N19" i="61" a="1"/>
  <c r="N19" i="61"/>
  <c r="J19" i="61" a="1"/>
  <c r="J19" i="61"/>
  <c r="I19" i="61" a="1"/>
  <c r="I19" i="61"/>
  <c r="BF18" i="61" a="1"/>
  <c r="BF18" i="61"/>
  <c r="BB18" i="61" a="1"/>
  <c r="BB18" i="61"/>
  <c r="AX18" i="61" a="1"/>
  <c r="AX18" i="61"/>
  <c r="AT18" i="61" a="1"/>
  <c r="AT18" i="61"/>
  <c r="AS18" i="61" a="1"/>
  <c r="AS18" i="61"/>
  <c r="AN18" i="61" a="1"/>
  <c r="AN18" i="61"/>
  <c r="AJ18" i="61" a="1"/>
  <c r="AJ18" i="61"/>
  <c r="AF18" i="61" a="1"/>
  <c r="AF18" i="61"/>
  <c r="AB18" i="61" a="1"/>
  <c r="AB18" i="61"/>
  <c r="AA18" i="61" a="1"/>
  <c r="AA18" i="61"/>
  <c r="V18" i="61" a="1"/>
  <c r="V18" i="61"/>
  <c r="R18" i="61" a="1"/>
  <c r="R18" i="61"/>
  <c r="N18" i="61" a="1"/>
  <c r="N18" i="61"/>
  <c r="J18" i="61" a="1"/>
  <c r="J18" i="61"/>
  <c r="I18" i="61" a="1"/>
  <c r="I18" i="61"/>
  <c r="BF17" i="61" a="1"/>
  <c r="BF17" i="61"/>
  <c r="BB17" i="61" a="1"/>
  <c r="BB17" i="61"/>
  <c r="AX17" i="61" a="1"/>
  <c r="AX17" i="61"/>
  <c r="AT17" i="61" a="1"/>
  <c r="AT17" i="61"/>
  <c r="AS17" i="61" a="1"/>
  <c r="AS17" i="61"/>
  <c r="AN17" i="61" a="1"/>
  <c r="AN17" i="61"/>
  <c r="AJ17" i="61" a="1"/>
  <c r="AJ17" i="61"/>
  <c r="AF17" i="61" a="1"/>
  <c r="AF17" i="61"/>
  <c r="AB17" i="61" a="1"/>
  <c r="AB17" i="61"/>
  <c r="AA17" i="61" a="1"/>
  <c r="AA17" i="61"/>
  <c r="V17" i="61" a="1"/>
  <c r="V17" i="61"/>
  <c r="R17" i="61" a="1"/>
  <c r="R17" i="61"/>
  <c r="N17" i="61" a="1"/>
  <c r="N17" i="61"/>
  <c r="J17" i="61" a="1"/>
  <c r="J17" i="61"/>
  <c r="I17" i="61" a="1"/>
  <c r="I17" i="61"/>
  <c r="BF16" i="61" a="1"/>
  <c r="BF16" i="61"/>
  <c r="BB16" i="61" a="1"/>
  <c r="BB16" i="61"/>
  <c r="AX16" i="61" a="1"/>
  <c r="AX16" i="61"/>
  <c r="AT16" i="61" a="1"/>
  <c r="AT16" i="61"/>
  <c r="AS16" i="61" a="1"/>
  <c r="AS16" i="61"/>
  <c r="AN16" i="61" a="1"/>
  <c r="AN16" i="61"/>
  <c r="AJ16" i="61" a="1"/>
  <c r="AJ16" i="61"/>
  <c r="AF16" i="61" a="1"/>
  <c r="AF16" i="61"/>
  <c r="AB16" i="61" a="1"/>
  <c r="AB16" i="61"/>
  <c r="AA16" i="61" a="1"/>
  <c r="AA16" i="61"/>
  <c r="V16" i="61" a="1"/>
  <c r="V16" i="61"/>
  <c r="R16" i="61" a="1"/>
  <c r="R16" i="61"/>
  <c r="N16" i="61" a="1"/>
  <c r="N16" i="61"/>
  <c r="J16" i="61" a="1"/>
  <c r="J16" i="61"/>
  <c r="I16" i="61" a="1"/>
  <c r="I16" i="61"/>
  <c r="BF15" i="61" a="1"/>
  <c r="BF15" i="61"/>
  <c r="BB15" i="61" a="1"/>
  <c r="BB15" i="61"/>
  <c r="AX15" i="61" a="1"/>
  <c r="AX15" i="61"/>
  <c r="AT15" i="61" a="1"/>
  <c r="AT15" i="61"/>
  <c r="AS15" i="61" a="1"/>
  <c r="AS15" i="61"/>
  <c r="AN15" i="61" a="1"/>
  <c r="AN15" i="61"/>
  <c r="AJ15" i="61" a="1"/>
  <c r="AJ15" i="61"/>
  <c r="AF15" i="61" a="1"/>
  <c r="AF15" i="61"/>
  <c r="AB15" i="61" a="1"/>
  <c r="AB15" i="61"/>
  <c r="AA15" i="61" a="1"/>
  <c r="AA15" i="61"/>
  <c r="V15" i="61" a="1"/>
  <c r="V15" i="61"/>
  <c r="R15" i="61" a="1"/>
  <c r="R15" i="61"/>
  <c r="N15" i="61" a="1"/>
  <c r="N15" i="61"/>
  <c r="J15" i="61" a="1"/>
  <c r="J15" i="61"/>
  <c r="I15" i="61" a="1"/>
  <c r="I15" i="61"/>
  <c r="BF14" i="61" a="1"/>
  <c r="BF14" i="61"/>
  <c r="BB14" i="61" a="1"/>
  <c r="BB14" i="61"/>
  <c r="AX14" i="61" a="1"/>
  <c r="AX14" i="61"/>
  <c r="AT14" i="61" a="1"/>
  <c r="AT14" i="61"/>
  <c r="AS14" i="61" a="1"/>
  <c r="AS14" i="61"/>
  <c r="AN14" i="61" a="1"/>
  <c r="AN14" i="61"/>
  <c r="AJ14" i="61" a="1"/>
  <c r="AJ14" i="61"/>
  <c r="AF14" i="61" a="1"/>
  <c r="AF14" i="61"/>
  <c r="AB14" i="61" a="1"/>
  <c r="AB14" i="61"/>
  <c r="AA14" i="61" a="1"/>
  <c r="AA14" i="61"/>
  <c r="V14" i="61" a="1"/>
  <c r="V14" i="61"/>
  <c r="R14" i="61" a="1"/>
  <c r="R14" i="61"/>
  <c r="N14" i="61" a="1"/>
  <c r="N14" i="61"/>
  <c r="J14" i="61" a="1"/>
  <c r="J14" i="61"/>
  <c r="I14" i="61" a="1"/>
  <c r="I14" i="61"/>
  <c r="BF13" i="61" a="1"/>
  <c r="BF13" i="61"/>
  <c r="BB13" i="61" a="1"/>
  <c r="BB13" i="61"/>
  <c r="AX13" i="61" a="1"/>
  <c r="AX13" i="61"/>
  <c r="AT13" i="61" a="1"/>
  <c r="AT13" i="61"/>
  <c r="AS13" i="61" a="1"/>
  <c r="AS13" i="61"/>
  <c r="AN13" i="61" a="1"/>
  <c r="AN13" i="61"/>
  <c r="AJ13" i="61" a="1"/>
  <c r="AJ13" i="61"/>
  <c r="AF13" i="61" a="1"/>
  <c r="AF13" i="61"/>
  <c r="AB13" i="61" a="1"/>
  <c r="AB13" i="61"/>
  <c r="AA13" i="61" a="1"/>
  <c r="AA13" i="61"/>
  <c r="V13" i="61" a="1"/>
  <c r="V13" i="61"/>
  <c r="R13" i="61" a="1"/>
  <c r="R13" i="61"/>
  <c r="N13" i="61" a="1"/>
  <c r="N13" i="61"/>
  <c r="J13" i="61" a="1"/>
  <c r="J13" i="61"/>
  <c r="I13" i="61" a="1"/>
  <c r="I13" i="61"/>
  <c r="BF12" i="61" a="1"/>
  <c r="BF12" i="61"/>
  <c r="BB12" i="61" a="1"/>
  <c r="BB12" i="61"/>
  <c r="AX12" i="61" a="1"/>
  <c r="AX12" i="61"/>
  <c r="AT12" i="61" a="1"/>
  <c r="AT12" i="61"/>
  <c r="AS12" i="61" a="1"/>
  <c r="AS12" i="61"/>
  <c r="AN12" i="61" a="1"/>
  <c r="AN12" i="61"/>
  <c r="AJ12" i="61" a="1"/>
  <c r="AJ12" i="61"/>
  <c r="AF12" i="61" a="1"/>
  <c r="AF12" i="61"/>
  <c r="AB12" i="61" a="1"/>
  <c r="AB12" i="61"/>
  <c r="AA12" i="61" a="1"/>
  <c r="AA12" i="61"/>
  <c r="V12" i="61" a="1"/>
  <c r="V12" i="61"/>
  <c r="R12" i="61" a="1"/>
  <c r="R12" i="61"/>
  <c r="N12" i="61" a="1"/>
  <c r="N12" i="61"/>
  <c r="J12" i="61" a="1"/>
  <c r="J12" i="61"/>
  <c r="I12" i="61" a="1"/>
  <c r="I12" i="61"/>
  <c r="BF11" i="61" a="1"/>
  <c r="BF11" i="61"/>
  <c r="BB11" i="61" a="1"/>
  <c r="BB11" i="61"/>
  <c r="AX11" i="61" a="1"/>
  <c r="AX11" i="61"/>
  <c r="AT11" i="61" a="1"/>
  <c r="AT11" i="61"/>
  <c r="AS11" i="61" a="1"/>
  <c r="AS11" i="61"/>
  <c r="AN11" i="61" a="1"/>
  <c r="AN11" i="61"/>
  <c r="AJ11" i="61" a="1"/>
  <c r="AJ11" i="61"/>
  <c r="AF11" i="61" a="1"/>
  <c r="AF11" i="61"/>
  <c r="AB11" i="61" a="1"/>
  <c r="AB11" i="61"/>
  <c r="AA11" i="61" a="1"/>
  <c r="AA11" i="61"/>
  <c r="V11" i="61" a="1"/>
  <c r="V11" i="61"/>
  <c r="R11" i="61" a="1"/>
  <c r="R11" i="61"/>
  <c r="N11" i="61" a="1"/>
  <c r="N11" i="61"/>
  <c r="J11" i="61" a="1"/>
  <c r="J11" i="61"/>
  <c r="I11" i="61" a="1"/>
  <c r="I11" i="61"/>
  <c r="BF10" i="61" a="1"/>
  <c r="BF10" i="61"/>
  <c r="BB10" i="61" a="1"/>
  <c r="BB10" i="61"/>
  <c r="AX10" i="61" a="1"/>
  <c r="AX10" i="61"/>
  <c r="AT10" i="61" a="1"/>
  <c r="AT10" i="61"/>
  <c r="AS10" i="61" a="1"/>
  <c r="AS10" i="61"/>
  <c r="AN10" i="61" a="1"/>
  <c r="AN10" i="61"/>
  <c r="AJ10" i="61" a="1"/>
  <c r="AJ10" i="61"/>
  <c r="AF10" i="61" a="1"/>
  <c r="AF10" i="61"/>
  <c r="AB10" i="61" a="1"/>
  <c r="AB10" i="61"/>
  <c r="AA10" i="61" a="1"/>
  <c r="AA10" i="61"/>
  <c r="V10" i="61" a="1"/>
  <c r="V10" i="61"/>
  <c r="R10" i="61" a="1"/>
  <c r="R10" i="61"/>
  <c r="N10" i="61" a="1"/>
  <c r="N10" i="61"/>
  <c r="J10" i="61" a="1"/>
  <c r="J10" i="61"/>
  <c r="I10" i="61" a="1"/>
  <c r="I10" i="61"/>
  <c r="BF9" i="61" a="1"/>
  <c r="BF9" i="61"/>
  <c r="BB9" i="61" a="1"/>
  <c r="BB9" i="61"/>
  <c r="AX9" i="61" a="1"/>
  <c r="AX9" i="61"/>
  <c r="AT9" i="61" a="1"/>
  <c r="AT9" i="61"/>
  <c r="AS9" i="61" a="1"/>
  <c r="AS9" i="61"/>
  <c r="AN9" i="61" a="1"/>
  <c r="AN9" i="61"/>
  <c r="AJ9" i="61" a="1"/>
  <c r="AJ9" i="61"/>
  <c r="AF9" i="61" a="1"/>
  <c r="AF9" i="61"/>
  <c r="AB9" i="61" a="1"/>
  <c r="AB9" i="61"/>
  <c r="AA9" i="61" a="1"/>
  <c r="AA9" i="61"/>
  <c r="V9" i="61" a="1"/>
  <c r="V9" i="61"/>
  <c r="R9" i="61" a="1"/>
  <c r="R9" i="61"/>
  <c r="N9" i="61" a="1"/>
  <c r="N9" i="61"/>
  <c r="J9" i="61" a="1"/>
  <c r="J9" i="61"/>
  <c r="I9" i="61" a="1"/>
  <c r="I9" i="61"/>
  <c r="BF8" i="61" a="1"/>
  <c r="BF8" i="61"/>
  <c r="BB8" i="61" a="1"/>
  <c r="BB8" i="61"/>
  <c r="AX8" i="61" a="1"/>
  <c r="AX8" i="61"/>
  <c r="AT8" i="61" a="1"/>
  <c r="AT8" i="61"/>
  <c r="AS8" i="61" a="1"/>
  <c r="AS8" i="61"/>
  <c r="AN8" i="61" a="1"/>
  <c r="AN8" i="61"/>
  <c r="AJ8" i="61" a="1"/>
  <c r="AJ8" i="61"/>
  <c r="AF8" i="61" a="1"/>
  <c r="AF8" i="61"/>
  <c r="AB8" i="61" a="1"/>
  <c r="AB8" i="61"/>
  <c r="AA8" i="61" a="1"/>
  <c r="AA8" i="61"/>
  <c r="V8" i="61" a="1"/>
  <c r="V8" i="61"/>
  <c r="R8" i="61" a="1"/>
  <c r="R8" i="61"/>
  <c r="N8" i="61" a="1"/>
  <c r="N8" i="61"/>
  <c r="J8" i="61" a="1"/>
  <c r="J8" i="61"/>
  <c r="I8" i="61" a="1"/>
  <c r="I8" i="61"/>
  <c r="BF7" i="61" a="1"/>
  <c r="BF7" i="61"/>
  <c r="BB7" i="61" a="1"/>
  <c r="BB7" i="61"/>
  <c r="AX7" i="61" a="1"/>
  <c r="AX7" i="61"/>
  <c r="AT7" i="61" a="1"/>
  <c r="AT7" i="61"/>
  <c r="AS7" i="61" a="1"/>
  <c r="AS7" i="61"/>
  <c r="AN7" i="61" a="1"/>
  <c r="AN7" i="61"/>
  <c r="AJ7" i="61" a="1"/>
  <c r="AJ7" i="61"/>
  <c r="AF7" i="61" a="1"/>
  <c r="AF7" i="61"/>
  <c r="AB7" i="61" a="1"/>
  <c r="AB7" i="61"/>
  <c r="AA7" i="61" a="1"/>
  <c r="AA7" i="61"/>
  <c r="V7" i="61" a="1"/>
  <c r="V7" i="61"/>
  <c r="R7" i="61" a="1"/>
  <c r="R7" i="61"/>
  <c r="N7" i="61" a="1"/>
  <c r="N7" i="61"/>
  <c r="J7" i="61" a="1"/>
  <c r="J7" i="61"/>
  <c r="I7" i="61" a="1"/>
  <c r="I7" i="61"/>
  <c r="BF6" i="61" a="1"/>
  <c r="BF6" i="61"/>
  <c r="BB6" i="61" a="1"/>
  <c r="BB6" i="61"/>
  <c r="AX6" i="61" a="1"/>
  <c r="AX6" i="61"/>
  <c r="AT6" i="61" a="1"/>
  <c r="AT6" i="61"/>
  <c r="AS6" i="61" a="1"/>
  <c r="AS6" i="61"/>
  <c r="AN6" i="61" a="1"/>
  <c r="AN6" i="61"/>
  <c r="AJ6" i="61" a="1"/>
  <c r="AJ6" i="61"/>
  <c r="AF6" i="61" a="1"/>
  <c r="AF6" i="61"/>
  <c r="AB6" i="61" a="1"/>
  <c r="AB6" i="61"/>
  <c r="AA6" i="61" a="1"/>
  <c r="AA6" i="61"/>
  <c r="V6" i="61" a="1"/>
  <c r="V6" i="61"/>
  <c r="R6" i="61" a="1"/>
  <c r="R6" i="61"/>
  <c r="N6" i="61" a="1"/>
  <c r="N6" i="61"/>
  <c r="J6" i="61" a="1"/>
  <c r="J6" i="61"/>
  <c r="I6" i="61" a="1"/>
  <c r="I6" i="61"/>
  <c r="BF5" i="61" a="1"/>
  <c r="BF5" i="61"/>
  <c r="BB5" i="61" a="1"/>
  <c r="BB5" i="61"/>
  <c r="AX5" i="61" a="1"/>
  <c r="AX5" i="61"/>
  <c r="AT5" i="61" a="1"/>
  <c r="AT5" i="61"/>
  <c r="AS5" i="61" a="1"/>
  <c r="AS5" i="61"/>
  <c r="AN5" i="61" a="1"/>
  <c r="AN5" i="61"/>
  <c r="AJ5" i="61" a="1"/>
  <c r="AJ5" i="61"/>
  <c r="AF5" i="61" a="1"/>
  <c r="AF5" i="61"/>
  <c r="AB5" i="61" a="1"/>
  <c r="AB5" i="61"/>
  <c r="AA5" i="61" a="1"/>
  <c r="AA5" i="61"/>
  <c r="V5" i="61" a="1"/>
  <c r="V5" i="61"/>
  <c r="R5" i="61" a="1"/>
  <c r="R5" i="61"/>
  <c r="N5" i="61" a="1"/>
  <c r="N5" i="61"/>
  <c r="J5" i="61" a="1"/>
  <c r="J5" i="61"/>
  <c r="I5" i="61" a="1"/>
  <c r="I5" i="61"/>
  <c r="BF4" i="61" a="1"/>
  <c r="BF4" i="61"/>
  <c r="BB4" i="61" a="1"/>
  <c r="BB4" i="61"/>
  <c r="AX4" i="61" a="1"/>
  <c r="AX4" i="61"/>
  <c r="AT4" i="61" a="1"/>
  <c r="AT4" i="61"/>
  <c r="AS4" i="61" a="1"/>
  <c r="AS4" i="61"/>
  <c r="AN4" i="61" a="1"/>
  <c r="AN4" i="61"/>
  <c r="AJ4" i="61" a="1"/>
  <c r="AJ4" i="61"/>
  <c r="AF4" i="61" a="1"/>
  <c r="AF4" i="61"/>
  <c r="AB4" i="61" a="1"/>
  <c r="AB4" i="61"/>
  <c r="AA4" i="61" a="1"/>
  <c r="AA4" i="61"/>
  <c r="V4" i="61" a="1"/>
  <c r="V4" i="61"/>
  <c r="R4" i="61" a="1"/>
  <c r="R4" i="61"/>
  <c r="N4" i="61" a="1"/>
  <c r="N4" i="61"/>
  <c r="J4" i="61" a="1"/>
  <c r="J4" i="61"/>
  <c r="I4" i="61" a="1"/>
  <c r="I4" i="61"/>
  <c r="BF3" i="61" a="1"/>
  <c r="BF3" i="61"/>
  <c r="BB3" i="61" a="1"/>
  <c r="BB3" i="61"/>
  <c r="AX3" i="61" a="1"/>
  <c r="AX3" i="61"/>
  <c r="AT3" i="61" a="1"/>
  <c r="AT3" i="61"/>
  <c r="AS3" i="61" a="1"/>
  <c r="AS3" i="61"/>
  <c r="AN3" i="61" a="1"/>
  <c r="AN3" i="61"/>
  <c r="AJ3" i="61" a="1"/>
  <c r="AJ3" i="61"/>
  <c r="AF3" i="61" a="1"/>
  <c r="AF3" i="61"/>
  <c r="AB3" i="61" a="1"/>
  <c r="AB3" i="61"/>
  <c r="AA3" i="61" a="1"/>
  <c r="AA3" i="61"/>
  <c r="V3" i="61" a="1"/>
  <c r="V3" i="61"/>
  <c r="R3" i="61" a="1"/>
  <c r="R3" i="61"/>
  <c r="N3" i="61" a="1"/>
  <c r="N3" i="61"/>
  <c r="J3" i="61" a="1"/>
  <c r="J3" i="61"/>
  <c r="I3" i="61" a="1"/>
  <c r="I3" i="61"/>
  <c r="BF426" i="62" a="1"/>
  <c r="BF426" i="62"/>
  <c r="BB426" i="62" a="1"/>
  <c r="BB426" i="62"/>
  <c r="AX426" i="62" a="1"/>
  <c r="AX426" i="62"/>
  <c r="AT426" i="62" a="1"/>
  <c r="AT426" i="62"/>
  <c r="AS426" i="62" a="1"/>
  <c r="AS426" i="62"/>
  <c r="AN426" i="62" a="1"/>
  <c r="AN426" i="62"/>
  <c r="AJ426" i="62" a="1"/>
  <c r="AJ426" i="62"/>
  <c r="AF426" i="62" a="1"/>
  <c r="AF426" i="62"/>
  <c r="AB426" i="62" a="1"/>
  <c r="AB426" i="62"/>
  <c r="AA426" i="62" a="1"/>
  <c r="AA426" i="62"/>
  <c r="R426" i="62" a="1"/>
  <c r="R426" i="62"/>
  <c r="N426" i="62" a="1"/>
  <c r="N426" i="62"/>
  <c r="J426" i="62" a="1"/>
  <c r="J426" i="62"/>
  <c r="I426" i="62" a="1"/>
  <c r="I426" i="62"/>
  <c r="BF425" i="62" a="1"/>
  <c r="BF425" i="62"/>
  <c r="BB425" i="62" a="1"/>
  <c r="BB425" i="62"/>
  <c r="AX425" i="62" a="1"/>
  <c r="AX425" i="62"/>
  <c r="AT425" i="62" a="1"/>
  <c r="AT425" i="62"/>
  <c r="AS425" i="62" a="1"/>
  <c r="AS425" i="62"/>
  <c r="AN425" i="62" a="1"/>
  <c r="AN425" i="62"/>
  <c r="AJ425" i="62" a="1"/>
  <c r="AJ425" i="62"/>
  <c r="AF425" i="62" a="1"/>
  <c r="AF425" i="62"/>
  <c r="AB425" i="62" a="1"/>
  <c r="AB425" i="62"/>
  <c r="AA425" i="62" a="1"/>
  <c r="AA425" i="62"/>
  <c r="R425" i="62" a="1"/>
  <c r="R425" i="62"/>
  <c r="N425" i="62" a="1"/>
  <c r="N425" i="62"/>
  <c r="J425" i="62" a="1"/>
  <c r="J425" i="62"/>
  <c r="I425" i="62" a="1"/>
  <c r="I425" i="62"/>
  <c r="BF424" i="62" a="1"/>
  <c r="BF424" i="62"/>
  <c r="BB424" i="62" a="1"/>
  <c r="BB424" i="62"/>
  <c r="AX424" i="62" a="1"/>
  <c r="AX424" i="62"/>
  <c r="AT424" i="62" a="1"/>
  <c r="AT424" i="62"/>
  <c r="AS424" i="62" a="1"/>
  <c r="AS424" i="62"/>
  <c r="AN424" i="62" a="1"/>
  <c r="AN424" i="62"/>
  <c r="AJ424" i="62" a="1"/>
  <c r="AJ424" i="62"/>
  <c r="AF424" i="62" a="1"/>
  <c r="AF424" i="62"/>
  <c r="AB424" i="62" a="1"/>
  <c r="AB424" i="62"/>
  <c r="AA424" i="62" a="1"/>
  <c r="AA424" i="62"/>
  <c r="R424" i="62" a="1"/>
  <c r="R424" i="62"/>
  <c r="N424" i="62" a="1"/>
  <c r="N424" i="62"/>
  <c r="J424" i="62" a="1"/>
  <c r="J424" i="62"/>
  <c r="I424" i="62" a="1"/>
  <c r="I424" i="62"/>
  <c r="BF423" i="62" a="1"/>
  <c r="BF423" i="62"/>
  <c r="BB423" i="62" a="1"/>
  <c r="BB423" i="62"/>
  <c r="AX423" i="62" a="1"/>
  <c r="AX423" i="62"/>
  <c r="AT423" i="62" a="1"/>
  <c r="AT423" i="62"/>
  <c r="AS423" i="62" a="1"/>
  <c r="AS423" i="62"/>
  <c r="AN423" i="62" a="1"/>
  <c r="AN423" i="62"/>
  <c r="AJ423" i="62" a="1"/>
  <c r="AJ423" i="62"/>
  <c r="AF423" i="62" a="1"/>
  <c r="AF423" i="62"/>
  <c r="AB423" i="62" a="1"/>
  <c r="AB423" i="62"/>
  <c r="AA423" i="62" a="1"/>
  <c r="AA423" i="62"/>
  <c r="R423" i="62" a="1"/>
  <c r="R423" i="62"/>
  <c r="N423" i="62" a="1"/>
  <c r="N423" i="62"/>
  <c r="J423" i="62" a="1"/>
  <c r="J423" i="62"/>
  <c r="I423" i="62" a="1"/>
  <c r="I423" i="62"/>
  <c r="BF422" i="62" a="1"/>
  <c r="BF422" i="62"/>
  <c r="BB422" i="62" a="1"/>
  <c r="BB422" i="62"/>
  <c r="AX422" i="62" a="1"/>
  <c r="AX422" i="62"/>
  <c r="AT422" i="62" a="1"/>
  <c r="AT422" i="62"/>
  <c r="AS422" i="62" a="1"/>
  <c r="AS422" i="62"/>
  <c r="AN422" i="62" a="1"/>
  <c r="AN422" i="62"/>
  <c r="AJ422" i="62" a="1"/>
  <c r="AJ422" i="62"/>
  <c r="AF422" i="62" a="1"/>
  <c r="AF422" i="62"/>
  <c r="AB422" i="62" a="1"/>
  <c r="AB422" i="62"/>
  <c r="AA422" i="62" a="1"/>
  <c r="AA422" i="62"/>
  <c r="R422" i="62" a="1"/>
  <c r="R422" i="62"/>
  <c r="N422" i="62" a="1"/>
  <c r="N422" i="62"/>
  <c r="J422" i="62" a="1"/>
  <c r="J422" i="62"/>
  <c r="I422" i="62" a="1"/>
  <c r="I422" i="62"/>
  <c r="BF421" i="62" a="1"/>
  <c r="BF421" i="62"/>
  <c r="BB421" i="62" a="1"/>
  <c r="BB421" i="62"/>
  <c r="AX421" i="62" a="1"/>
  <c r="AX421" i="62"/>
  <c r="AT421" i="62" a="1"/>
  <c r="AT421" i="62"/>
  <c r="AS421" i="62" a="1"/>
  <c r="AS421" i="62"/>
  <c r="AN421" i="62" a="1"/>
  <c r="AN421" i="62"/>
  <c r="AJ421" i="62" a="1"/>
  <c r="AJ421" i="62"/>
  <c r="AF421" i="62" a="1"/>
  <c r="AF421" i="62"/>
  <c r="AB421" i="62" a="1"/>
  <c r="AB421" i="62"/>
  <c r="AA421" i="62" a="1"/>
  <c r="AA421" i="62"/>
  <c r="R421" i="62" a="1"/>
  <c r="R421" i="62"/>
  <c r="N421" i="62" a="1"/>
  <c r="N421" i="62"/>
  <c r="J421" i="62" a="1"/>
  <c r="J421" i="62"/>
  <c r="I421" i="62" a="1"/>
  <c r="I421" i="62"/>
  <c r="BF420" i="62" a="1"/>
  <c r="BF420" i="62"/>
  <c r="BB420" i="62" a="1"/>
  <c r="BB420" i="62"/>
  <c r="AX420" i="62" a="1"/>
  <c r="AX420" i="62"/>
  <c r="AT420" i="62" a="1"/>
  <c r="AT420" i="62"/>
  <c r="AS420" i="62" a="1"/>
  <c r="AS420" i="62"/>
  <c r="AN420" i="62" a="1"/>
  <c r="AN420" i="62"/>
  <c r="AJ420" i="62" a="1"/>
  <c r="AJ420" i="62"/>
  <c r="AF420" i="62" a="1"/>
  <c r="AF420" i="62"/>
  <c r="AB420" i="62" a="1"/>
  <c r="AB420" i="62"/>
  <c r="AA420" i="62" a="1"/>
  <c r="AA420" i="62"/>
  <c r="R420" i="62" a="1"/>
  <c r="R420" i="62"/>
  <c r="N420" i="62" a="1"/>
  <c r="N420" i="62"/>
  <c r="J420" i="62" a="1"/>
  <c r="J420" i="62"/>
  <c r="I420" i="62" a="1"/>
  <c r="I420" i="62"/>
  <c r="BF419" i="62" a="1"/>
  <c r="BF419" i="62"/>
  <c r="BB419" i="62" a="1"/>
  <c r="BB419" i="62"/>
  <c r="AX419" i="62" a="1"/>
  <c r="AX419" i="62"/>
  <c r="AT419" i="62" a="1"/>
  <c r="AT419" i="62"/>
  <c r="AS419" i="62" a="1"/>
  <c r="AS419" i="62"/>
  <c r="AN419" i="62" a="1"/>
  <c r="AN419" i="62"/>
  <c r="AJ419" i="62" a="1"/>
  <c r="AJ419" i="62"/>
  <c r="AF419" i="62" a="1"/>
  <c r="AF419" i="62"/>
  <c r="AB419" i="62" a="1"/>
  <c r="AB419" i="62"/>
  <c r="AA419" i="62" a="1"/>
  <c r="AA419" i="62"/>
  <c r="R419" i="62" a="1"/>
  <c r="R419" i="62"/>
  <c r="N419" i="62" a="1"/>
  <c r="N419" i="62"/>
  <c r="J419" i="62" a="1"/>
  <c r="J419" i="62"/>
  <c r="I419" i="62" a="1"/>
  <c r="I419" i="62"/>
  <c r="BF418" i="62" a="1"/>
  <c r="BF418" i="62"/>
  <c r="BB418" i="62" a="1"/>
  <c r="BB418" i="62"/>
  <c r="AX418" i="62" a="1"/>
  <c r="AX418" i="62"/>
  <c r="AT418" i="62" a="1"/>
  <c r="AT418" i="62"/>
  <c r="AS418" i="62" a="1"/>
  <c r="AS418" i="62"/>
  <c r="AN418" i="62" a="1"/>
  <c r="AN418" i="62"/>
  <c r="AJ418" i="62" a="1"/>
  <c r="AJ418" i="62"/>
  <c r="AF418" i="62" a="1"/>
  <c r="AF418" i="62"/>
  <c r="AB418" i="62" a="1"/>
  <c r="AB418" i="62"/>
  <c r="AA418" i="62" a="1"/>
  <c r="AA418" i="62"/>
  <c r="R418" i="62" a="1"/>
  <c r="R418" i="62"/>
  <c r="N418" i="62" a="1"/>
  <c r="N418" i="62"/>
  <c r="J418" i="62" a="1"/>
  <c r="J418" i="62"/>
  <c r="I418" i="62" a="1"/>
  <c r="I418" i="62"/>
  <c r="BF417" i="62" a="1"/>
  <c r="BF417" i="62"/>
  <c r="BB417" i="62" a="1"/>
  <c r="BB417" i="62"/>
  <c r="AX417" i="62" a="1"/>
  <c r="AX417" i="62"/>
  <c r="AT417" i="62" a="1"/>
  <c r="AT417" i="62"/>
  <c r="AS417" i="62" a="1"/>
  <c r="AS417" i="62"/>
  <c r="AN417" i="62" a="1"/>
  <c r="AN417" i="62"/>
  <c r="AJ417" i="62" a="1"/>
  <c r="AJ417" i="62"/>
  <c r="AF417" i="62" a="1"/>
  <c r="AF417" i="62"/>
  <c r="AB417" i="62" a="1"/>
  <c r="AB417" i="62"/>
  <c r="AA417" i="62" a="1"/>
  <c r="AA417" i="62"/>
  <c r="R417" i="62" a="1"/>
  <c r="R417" i="62"/>
  <c r="N417" i="62" a="1"/>
  <c r="N417" i="62"/>
  <c r="J417" i="62" a="1"/>
  <c r="J417" i="62"/>
  <c r="I417" i="62" a="1"/>
  <c r="I417" i="62"/>
  <c r="BF416" i="62" a="1"/>
  <c r="BF416" i="62"/>
  <c r="BB416" i="62" a="1"/>
  <c r="BB416" i="62"/>
  <c r="AX416" i="62" a="1"/>
  <c r="AX416" i="62"/>
  <c r="AT416" i="62" a="1"/>
  <c r="AT416" i="62"/>
  <c r="AS416" i="62" a="1"/>
  <c r="AS416" i="62"/>
  <c r="AN416" i="62" a="1"/>
  <c r="AN416" i="62"/>
  <c r="AJ416" i="62" a="1"/>
  <c r="AJ416" i="62"/>
  <c r="AF416" i="62" a="1"/>
  <c r="AF416" i="62"/>
  <c r="AB416" i="62" a="1"/>
  <c r="AB416" i="62"/>
  <c r="AA416" i="62" a="1"/>
  <c r="AA416" i="62"/>
  <c r="R416" i="62" a="1"/>
  <c r="R416" i="62"/>
  <c r="N416" i="62" a="1"/>
  <c r="N416" i="62"/>
  <c r="J416" i="62" a="1"/>
  <c r="J416" i="62"/>
  <c r="I416" i="62" a="1"/>
  <c r="I416" i="62"/>
  <c r="BF415" i="62" a="1"/>
  <c r="BF415" i="62"/>
  <c r="BB415" i="62" a="1"/>
  <c r="BB415" i="62"/>
  <c r="AX415" i="62" a="1"/>
  <c r="AX415" i="62"/>
  <c r="AT415" i="62" a="1"/>
  <c r="AT415" i="62"/>
  <c r="AS415" i="62" a="1"/>
  <c r="AS415" i="62"/>
  <c r="AN415" i="62" a="1"/>
  <c r="AN415" i="62"/>
  <c r="AJ415" i="62" a="1"/>
  <c r="AJ415" i="62"/>
  <c r="AF415" i="62" a="1"/>
  <c r="AF415" i="62"/>
  <c r="AB415" i="62" a="1"/>
  <c r="AB415" i="62"/>
  <c r="AA415" i="62" a="1"/>
  <c r="AA415" i="62"/>
  <c r="R415" i="62" a="1"/>
  <c r="R415" i="62"/>
  <c r="N415" i="62" a="1"/>
  <c r="N415" i="62"/>
  <c r="J415" i="62" a="1"/>
  <c r="J415" i="62"/>
  <c r="I415" i="62" a="1"/>
  <c r="I415" i="62"/>
  <c r="BF414" i="62" a="1"/>
  <c r="BF414" i="62"/>
  <c r="BB414" i="62" a="1"/>
  <c r="BB414" i="62"/>
  <c r="AX414" i="62" a="1"/>
  <c r="AX414" i="62"/>
  <c r="AT414" i="62" a="1"/>
  <c r="AT414" i="62"/>
  <c r="AS414" i="62" a="1"/>
  <c r="AS414" i="62"/>
  <c r="AN414" i="62" a="1"/>
  <c r="AN414" i="62"/>
  <c r="AJ414" i="62" a="1"/>
  <c r="AJ414" i="62"/>
  <c r="AF414" i="62" a="1"/>
  <c r="AF414" i="62"/>
  <c r="AB414" i="62" a="1"/>
  <c r="AB414" i="62"/>
  <c r="AA414" i="62" a="1"/>
  <c r="AA414" i="62"/>
  <c r="R414" i="62" a="1"/>
  <c r="R414" i="62"/>
  <c r="N414" i="62" a="1"/>
  <c r="N414" i="62"/>
  <c r="J414" i="62" a="1"/>
  <c r="J414" i="62"/>
  <c r="I414" i="62" a="1"/>
  <c r="I414" i="62"/>
  <c r="BF413" i="62" a="1"/>
  <c r="BF413" i="62"/>
  <c r="BB413" i="62" a="1"/>
  <c r="BB413" i="62"/>
  <c r="AX413" i="62" a="1"/>
  <c r="AX413" i="62"/>
  <c r="AT413" i="62" a="1"/>
  <c r="AT413" i="62"/>
  <c r="AS413" i="62" a="1"/>
  <c r="AS413" i="62"/>
  <c r="AN413" i="62" a="1"/>
  <c r="AN413" i="62"/>
  <c r="AJ413" i="62" a="1"/>
  <c r="AJ413" i="62"/>
  <c r="AF413" i="62" a="1"/>
  <c r="AF413" i="62"/>
  <c r="AB413" i="62" a="1"/>
  <c r="AB413" i="62"/>
  <c r="AA413" i="62" a="1"/>
  <c r="AA413" i="62"/>
  <c r="R413" i="62" a="1"/>
  <c r="R413" i="62"/>
  <c r="N413" i="62" a="1"/>
  <c r="N413" i="62"/>
  <c r="J413" i="62" a="1"/>
  <c r="J413" i="62"/>
  <c r="I413" i="62" a="1"/>
  <c r="I413" i="62"/>
  <c r="BF412" i="62" a="1"/>
  <c r="BF412" i="62"/>
  <c r="BB412" i="62" a="1"/>
  <c r="BB412" i="62"/>
  <c r="AX412" i="62" a="1"/>
  <c r="AX412" i="62"/>
  <c r="AT412" i="62" a="1"/>
  <c r="AT412" i="62"/>
  <c r="AS412" i="62" a="1"/>
  <c r="AS412" i="62"/>
  <c r="AN412" i="62" a="1"/>
  <c r="AN412" i="62"/>
  <c r="AJ412" i="62" a="1"/>
  <c r="AJ412" i="62"/>
  <c r="AF412" i="62" a="1"/>
  <c r="AF412" i="62"/>
  <c r="AB412" i="62" a="1"/>
  <c r="AB412" i="62"/>
  <c r="AA412" i="62" a="1"/>
  <c r="AA412" i="62"/>
  <c r="R412" i="62" a="1"/>
  <c r="R412" i="62"/>
  <c r="N412" i="62" a="1"/>
  <c r="N412" i="62"/>
  <c r="J412" i="62" a="1"/>
  <c r="J412" i="62"/>
  <c r="I412" i="62" a="1"/>
  <c r="I412" i="62"/>
  <c r="BF411" i="62" a="1"/>
  <c r="BF411" i="62"/>
  <c r="BB411" i="62" a="1"/>
  <c r="BB411" i="62"/>
  <c r="AX411" i="62" a="1"/>
  <c r="AX411" i="62"/>
  <c r="AT411" i="62" a="1"/>
  <c r="AT411" i="62"/>
  <c r="AS411" i="62" a="1"/>
  <c r="AS411" i="62"/>
  <c r="AN411" i="62" a="1"/>
  <c r="AN411" i="62"/>
  <c r="AJ411" i="62" a="1"/>
  <c r="AJ411" i="62"/>
  <c r="AF411" i="62" a="1"/>
  <c r="AF411" i="62"/>
  <c r="AB411" i="62" a="1"/>
  <c r="AB411" i="62"/>
  <c r="AA411" i="62" a="1"/>
  <c r="AA411" i="62"/>
  <c r="R411" i="62" a="1"/>
  <c r="R411" i="62"/>
  <c r="N411" i="62" a="1"/>
  <c r="N411" i="62"/>
  <c r="J411" i="62" a="1"/>
  <c r="J411" i="62"/>
  <c r="I411" i="62" a="1"/>
  <c r="I411" i="62"/>
  <c r="BF410" i="62" a="1"/>
  <c r="BF410" i="62"/>
  <c r="BB410" i="62" a="1"/>
  <c r="BB410" i="62"/>
  <c r="AX410" i="62" a="1"/>
  <c r="AX410" i="62"/>
  <c r="AT410" i="62" a="1"/>
  <c r="AT410" i="62"/>
  <c r="AS410" i="62" a="1"/>
  <c r="AS410" i="62"/>
  <c r="AN410" i="62" a="1"/>
  <c r="AN410" i="62"/>
  <c r="AJ410" i="62" a="1"/>
  <c r="AJ410" i="62"/>
  <c r="AF410" i="62" a="1"/>
  <c r="AF410" i="62"/>
  <c r="AB410" i="62" a="1"/>
  <c r="AB410" i="62"/>
  <c r="AA410" i="62" a="1"/>
  <c r="AA410" i="62"/>
  <c r="R410" i="62" a="1"/>
  <c r="R410" i="62"/>
  <c r="N410" i="62" a="1"/>
  <c r="N410" i="62"/>
  <c r="J410" i="62" a="1"/>
  <c r="J410" i="62"/>
  <c r="I410" i="62" a="1"/>
  <c r="I410" i="62"/>
  <c r="BF409" i="62" a="1"/>
  <c r="BF409" i="62"/>
  <c r="BB409" i="62" a="1"/>
  <c r="BB409" i="62"/>
  <c r="AX409" i="62" a="1"/>
  <c r="AX409" i="62"/>
  <c r="AT409" i="62" a="1"/>
  <c r="AT409" i="62"/>
  <c r="AS409" i="62" a="1"/>
  <c r="AS409" i="62"/>
  <c r="AN409" i="62" a="1"/>
  <c r="AN409" i="62"/>
  <c r="AJ409" i="62" a="1"/>
  <c r="AJ409" i="62"/>
  <c r="AF409" i="62" a="1"/>
  <c r="AF409" i="62"/>
  <c r="AB409" i="62" a="1"/>
  <c r="AB409" i="62"/>
  <c r="AA409" i="62" a="1"/>
  <c r="AA409" i="62"/>
  <c r="R409" i="62" a="1"/>
  <c r="R409" i="62"/>
  <c r="N409" i="62" a="1"/>
  <c r="N409" i="62"/>
  <c r="J409" i="62" a="1"/>
  <c r="J409" i="62"/>
  <c r="I409" i="62" a="1"/>
  <c r="I409" i="62"/>
  <c r="BF408" i="62" a="1"/>
  <c r="BF408" i="62"/>
  <c r="BB408" i="62" a="1"/>
  <c r="BB408" i="62"/>
  <c r="AX408" i="62" a="1"/>
  <c r="AX408" i="62"/>
  <c r="AT408" i="62" a="1"/>
  <c r="AT408" i="62"/>
  <c r="AS408" i="62" a="1"/>
  <c r="AS408" i="62"/>
  <c r="AN408" i="62" a="1"/>
  <c r="AN408" i="62"/>
  <c r="AJ408" i="62" a="1"/>
  <c r="AJ408" i="62"/>
  <c r="AF408" i="62" a="1"/>
  <c r="AF408" i="62"/>
  <c r="AB408" i="62" a="1"/>
  <c r="AB408" i="62"/>
  <c r="AA408" i="62" a="1"/>
  <c r="AA408" i="62"/>
  <c r="R408" i="62" a="1"/>
  <c r="R408" i="62"/>
  <c r="N408" i="62" a="1"/>
  <c r="N408" i="62"/>
  <c r="J408" i="62" a="1"/>
  <c r="J408" i="62"/>
  <c r="I408" i="62" a="1"/>
  <c r="I408" i="62"/>
  <c r="BF407" i="62" a="1"/>
  <c r="BF407" i="62"/>
  <c r="BB407" i="62" a="1"/>
  <c r="BB407" i="62"/>
  <c r="AX407" i="62" a="1"/>
  <c r="AX407" i="62"/>
  <c r="AT407" i="62" a="1"/>
  <c r="AT407" i="62"/>
  <c r="AS407" i="62" a="1"/>
  <c r="AS407" i="62"/>
  <c r="AN407" i="62" a="1"/>
  <c r="AN407" i="62"/>
  <c r="AJ407" i="62" a="1"/>
  <c r="AJ407" i="62"/>
  <c r="AF407" i="62" a="1"/>
  <c r="AF407" i="62"/>
  <c r="AB407" i="62" a="1"/>
  <c r="AB407" i="62"/>
  <c r="AA407" i="62" a="1"/>
  <c r="AA407" i="62"/>
  <c r="R407" i="62" a="1"/>
  <c r="R407" i="62"/>
  <c r="N407" i="62" a="1"/>
  <c r="N407" i="62"/>
  <c r="J407" i="62" a="1"/>
  <c r="J407" i="62"/>
  <c r="I407" i="62" a="1"/>
  <c r="I407" i="62"/>
  <c r="BF406" i="62" a="1"/>
  <c r="BF406" i="62"/>
  <c r="BB406" i="62" a="1"/>
  <c r="BB406" i="62"/>
  <c r="AX406" i="62" a="1"/>
  <c r="AX406" i="62"/>
  <c r="AT406" i="62" a="1"/>
  <c r="AT406" i="62"/>
  <c r="AS406" i="62" a="1"/>
  <c r="AS406" i="62"/>
  <c r="AN406" i="62" a="1"/>
  <c r="AN406" i="62"/>
  <c r="AJ406" i="62" a="1"/>
  <c r="AJ406" i="62"/>
  <c r="AF406" i="62" a="1"/>
  <c r="AF406" i="62"/>
  <c r="AB406" i="62" a="1"/>
  <c r="AB406" i="62"/>
  <c r="AA406" i="62" a="1"/>
  <c r="AA406" i="62"/>
  <c r="R406" i="62" a="1"/>
  <c r="R406" i="62"/>
  <c r="N406" i="62" a="1"/>
  <c r="N406" i="62"/>
  <c r="J406" i="62" a="1"/>
  <c r="J406" i="62"/>
  <c r="I406" i="62" a="1"/>
  <c r="I406" i="62"/>
  <c r="BF405" i="62" a="1"/>
  <c r="BF405" i="62"/>
  <c r="BB405" i="62" a="1"/>
  <c r="BB405" i="62"/>
  <c r="AX405" i="62" a="1"/>
  <c r="AX405" i="62"/>
  <c r="AT405" i="62" a="1"/>
  <c r="AT405" i="62"/>
  <c r="AS405" i="62" a="1"/>
  <c r="AS405" i="62"/>
  <c r="AN405" i="62" a="1"/>
  <c r="AN405" i="62"/>
  <c r="AJ405" i="62" a="1"/>
  <c r="AJ405" i="62"/>
  <c r="AF405" i="62" a="1"/>
  <c r="AF405" i="62"/>
  <c r="AB405" i="62" a="1"/>
  <c r="AB405" i="62"/>
  <c r="AA405" i="62" a="1"/>
  <c r="AA405" i="62"/>
  <c r="R405" i="62" a="1"/>
  <c r="R405" i="62"/>
  <c r="N405" i="62" a="1"/>
  <c r="N405" i="62"/>
  <c r="J405" i="62" a="1"/>
  <c r="J405" i="62"/>
  <c r="I405" i="62" a="1"/>
  <c r="I405" i="62"/>
  <c r="BF404" i="62" a="1"/>
  <c r="BF404" i="62"/>
  <c r="BB404" i="62" a="1"/>
  <c r="BB404" i="62"/>
  <c r="AX404" i="62" a="1"/>
  <c r="AX404" i="62"/>
  <c r="AT404" i="62" a="1"/>
  <c r="AT404" i="62"/>
  <c r="AS404" i="62" a="1"/>
  <c r="AS404" i="62"/>
  <c r="AN404" i="62" a="1"/>
  <c r="AN404" i="62"/>
  <c r="AJ404" i="62" a="1"/>
  <c r="AJ404" i="62"/>
  <c r="AF404" i="62" a="1"/>
  <c r="AF404" i="62"/>
  <c r="AB404" i="62" a="1"/>
  <c r="AB404" i="62"/>
  <c r="AA404" i="62" a="1"/>
  <c r="AA404" i="62"/>
  <c r="R404" i="62" a="1"/>
  <c r="R404" i="62"/>
  <c r="N404" i="62" a="1"/>
  <c r="N404" i="62"/>
  <c r="J404" i="62" a="1"/>
  <c r="J404" i="62"/>
  <c r="I404" i="62" a="1"/>
  <c r="I404" i="62"/>
  <c r="BF403" i="62" a="1"/>
  <c r="BF403" i="62"/>
  <c r="BB403" i="62" a="1"/>
  <c r="BB403" i="62"/>
  <c r="AX403" i="62" a="1"/>
  <c r="AX403" i="62"/>
  <c r="AT403" i="62" a="1"/>
  <c r="AT403" i="62"/>
  <c r="AS403" i="62" a="1"/>
  <c r="AS403" i="62"/>
  <c r="AN403" i="62" a="1"/>
  <c r="AN403" i="62"/>
  <c r="AJ403" i="62" a="1"/>
  <c r="AJ403" i="62"/>
  <c r="AF403" i="62" a="1"/>
  <c r="AF403" i="62"/>
  <c r="AB403" i="62" a="1"/>
  <c r="AB403" i="62"/>
  <c r="AA403" i="62" a="1"/>
  <c r="AA403" i="62"/>
  <c r="R403" i="62" a="1"/>
  <c r="R403" i="62"/>
  <c r="N403" i="62" a="1"/>
  <c r="N403" i="62"/>
  <c r="J403" i="62" a="1"/>
  <c r="J403" i="62"/>
  <c r="I403" i="62" a="1"/>
  <c r="I403" i="62"/>
  <c r="BF402" i="62" a="1"/>
  <c r="BF402" i="62"/>
  <c r="BB402" i="62" a="1"/>
  <c r="BB402" i="62"/>
  <c r="AX402" i="62" a="1"/>
  <c r="AX402" i="62"/>
  <c r="AT402" i="62" a="1"/>
  <c r="AT402" i="62"/>
  <c r="AS402" i="62" a="1"/>
  <c r="AS402" i="62"/>
  <c r="AN402" i="62" a="1"/>
  <c r="AN402" i="62"/>
  <c r="AJ402" i="62" a="1"/>
  <c r="AJ402" i="62"/>
  <c r="AF402" i="62" a="1"/>
  <c r="AF402" i="62"/>
  <c r="AB402" i="62" a="1"/>
  <c r="AB402" i="62"/>
  <c r="AA402" i="62" a="1"/>
  <c r="AA402" i="62"/>
  <c r="R402" i="62" a="1"/>
  <c r="R402" i="62"/>
  <c r="N402" i="62" a="1"/>
  <c r="N402" i="62"/>
  <c r="J402" i="62" a="1"/>
  <c r="J402" i="62"/>
  <c r="I402" i="62" a="1"/>
  <c r="I402" i="62"/>
  <c r="BF401" i="62" a="1"/>
  <c r="BF401" i="62"/>
  <c r="BB401" i="62" a="1"/>
  <c r="BB401" i="62"/>
  <c r="AX401" i="62" a="1"/>
  <c r="AX401" i="62"/>
  <c r="AT401" i="62" a="1"/>
  <c r="AT401" i="62"/>
  <c r="AS401" i="62" a="1"/>
  <c r="AS401" i="62"/>
  <c r="AN401" i="62" a="1"/>
  <c r="AN401" i="62"/>
  <c r="AJ401" i="62" a="1"/>
  <c r="AJ401" i="62"/>
  <c r="AF401" i="62" a="1"/>
  <c r="AF401" i="62"/>
  <c r="AB401" i="62" a="1"/>
  <c r="AB401" i="62"/>
  <c r="AA401" i="62" a="1"/>
  <c r="AA401" i="62"/>
  <c r="R401" i="62" a="1"/>
  <c r="R401" i="62"/>
  <c r="N401" i="62" a="1"/>
  <c r="N401" i="62"/>
  <c r="J401" i="62" a="1"/>
  <c r="J401" i="62"/>
  <c r="I401" i="62" a="1"/>
  <c r="I401" i="62"/>
  <c r="BF400" i="62" a="1"/>
  <c r="BF400" i="62"/>
  <c r="BB400" i="62" a="1"/>
  <c r="BB400" i="62"/>
  <c r="AX400" i="62" a="1"/>
  <c r="AX400" i="62"/>
  <c r="AT400" i="62" a="1"/>
  <c r="AT400" i="62"/>
  <c r="AS400" i="62" a="1"/>
  <c r="AS400" i="62"/>
  <c r="AN400" i="62" a="1"/>
  <c r="AN400" i="62"/>
  <c r="AJ400" i="62" a="1"/>
  <c r="AJ400" i="62"/>
  <c r="AF400" i="62" a="1"/>
  <c r="AF400" i="62"/>
  <c r="AB400" i="62" a="1"/>
  <c r="AB400" i="62"/>
  <c r="AA400" i="62" a="1"/>
  <c r="AA400" i="62"/>
  <c r="R400" i="62" a="1"/>
  <c r="R400" i="62"/>
  <c r="N400" i="62" a="1"/>
  <c r="N400" i="62"/>
  <c r="J400" i="62" a="1"/>
  <c r="J400" i="62"/>
  <c r="I400" i="62" a="1"/>
  <c r="I400" i="62"/>
  <c r="BF399" i="62" a="1"/>
  <c r="BF399" i="62"/>
  <c r="BB399" i="62" a="1"/>
  <c r="BB399" i="62"/>
  <c r="AX399" i="62" a="1"/>
  <c r="AX399" i="62"/>
  <c r="AT399" i="62" a="1"/>
  <c r="AT399" i="62"/>
  <c r="AS399" i="62" a="1"/>
  <c r="AS399" i="62"/>
  <c r="AN399" i="62" a="1"/>
  <c r="AN399" i="62"/>
  <c r="AJ399" i="62" a="1"/>
  <c r="AJ399" i="62"/>
  <c r="AF399" i="62" a="1"/>
  <c r="AF399" i="62"/>
  <c r="AB399" i="62" a="1"/>
  <c r="AB399" i="62"/>
  <c r="AA399" i="62" a="1"/>
  <c r="AA399" i="62"/>
  <c r="R399" i="62" a="1"/>
  <c r="R399" i="62"/>
  <c r="N399" i="62" a="1"/>
  <c r="N399" i="62"/>
  <c r="J399" i="62" a="1"/>
  <c r="J399" i="62"/>
  <c r="I399" i="62" a="1"/>
  <c r="I399" i="62"/>
  <c r="BF398" i="62" a="1"/>
  <c r="BF398" i="62"/>
  <c r="BB398" i="62" a="1"/>
  <c r="BB398" i="62"/>
  <c r="AX398" i="62" a="1"/>
  <c r="AX398" i="62"/>
  <c r="AT398" i="62" a="1"/>
  <c r="AT398" i="62"/>
  <c r="AS398" i="62" a="1"/>
  <c r="AS398" i="62"/>
  <c r="AN398" i="62" a="1"/>
  <c r="AN398" i="62"/>
  <c r="AJ398" i="62" a="1"/>
  <c r="AJ398" i="62"/>
  <c r="AF398" i="62" a="1"/>
  <c r="AF398" i="62"/>
  <c r="AB398" i="62" a="1"/>
  <c r="AB398" i="62"/>
  <c r="AA398" i="62" a="1"/>
  <c r="AA398" i="62"/>
  <c r="R398" i="62" a="1"/>
  <c r="R398" i="62"/>
  <c r="N398" i="62" a="1"/>
  <c r="N398" i="62"/>
  <c r="J398" i="62" a="1"/>
  <c r="J398" i="62"/>
  <c r="I398" i="62" a="1"/>
  <c r="I398" i="62"/>
  <c r="BF397" i="62" a="1"/>
  <c r="BF397" i="62"/>
  <c r="BB397" i="62" a="1"/>
  <c r="BB397" i="62"/>
  <c r="AX397" i="62" a="1"/>
  <c r="AX397" i="62"/>
  <c r="AT397" i="62" a="1"/>
  <c r="AT397" i="62"/>
  <c r="AS397" i="62" a="1"/>
  <c r="AS397" i="62"/>
  <c r="AN397" i="62" a="1"/>
  <c r="AN397" i="62"/>
  <c r="AJ397" i="62" a="1"/>
  <c r="AJ397" i="62"/>
  <c r="AF397" i="62" a="1"/>
  <c r="AF397" i="62"/>
  <c r="AB397" i="62" a="1"/>
  <c r="AB397" i="62"/>
  <c r="AA397" i="62" a="1"/>
  <c r="AA397" i="62"/>
  <c r="R397" i="62" a="1"/>
  <c r="R397" i="62"/>
  <c r="N397" i="62" a="1"/>
  <c r="N397" i="62"/>
  <c r="J397" i="62" a="1"/>
  <c r="J397" i="62"/>
  <c r="I397" i="62" a="1"/>
  <c r="I397" i="62"/>
  <c r="BF396" i="62" a="1"/>
  <c r="BF396" i="62"/>
  <c r="BB396" i="62" a="1"/>
  <c r="BB396" i="62"/>
  <c r="AX396" i="62" a="1"/>
  <c r="AX396" i="62"/>
  <c r="AT396" i="62" a="1"/>
  <c r="AT396" i="62"/>
  <c r="AS396" i="62" a="1"/>
  <c r="AS396" i="62"/>
  <c r="AN396" i="62" a="1"/>
  <c r="AN396" i="62"/>
  <c r="AJ396" i="62" a="1"/>
  <c r="AJ396" i="62"/>
  <c r="AF396" i="62" a="1"/>
  <c r="AF396" i="62"/>
  <c r="AB396" i="62" a="1"/>
  <c r="AB396" i="62"/>
  <c r="AA396" i="62" a="1"/>
  <c r="AA396" i="62"/>
  <c r="R396" i="62" a="1"/>
  <c r="R396" i="62"/>
  <c r="N396" i="62" a="1"/>
  <c r="N396" i="62"/>
  <c r="J396" i="62" a="1"/>
  <c r="J396" i="62"/>
  <c r="I396" i="62" a="1"/>
  <c r="I396" i="62"/>
  <c r="BF395" i="62" a="1"/>
  <c r="BF395" i="62"/>
  <c r="BB395" i="62" a="1"/>
  <c r="BB395" i="62"/>
  <c r="AX395" i="62" a="1"/>
  <c r="AX395" i="62"/>
  <c r="AT395" i="62" a="1"/>
  <c r="AT395" i="62"/>
  <c r="AS395" i="62" a="1"/>
  <c r="AS395" i="62"/>
  <c r="AN395" i="62" a="1"/>
  <c r="AN395" i="62"/>
  <c r="AJ395" i="62" a="1"/>
  <c r="AJ395" i="62"/>
  <c r="AF395" i="62" a="1"/>
  <c r="AF395" i="62"/>
  <c r="AB395" i="62" a="1"/>
  <c r="AB395" i="62"/>
  <c r="AA395" i="62" a="1"/>
  <c r="AA395" i="62"/>
  <c r="R395" i="62" a="1"/>
  <c r="R395" i="62"/>
  <c r="N395" i="62" a="1"/>
  <c r="N395" i="62"/>
  <c r="J395" i="62" a="1"/>
  <c r="J395" i="62"/>
  <c r="I395" i="62" a="1"/>
  <c r="I395" i="62"/>
  <c r="BF391" i="62" a="1"/>
  <c r="BF391" i="62"/>
  <c r="BB391" i="62" a="1"/>
  <c r="BB391" i="62"/>
  <c r="AX391" i="62" a="1"/>
  <c r="AX391" i="62"/>
  <c r="AT391" i="62" a="1"/>
  <c r="AT391" i="62"/>
  <c r="AS391" i="62" a="1"/>
  <c r="AS391" i="62"/>
  <c r="AN391" i="62" a="1"/>
  <c r="AN391" i="62"/>
  <c r="AJ391" i="62" a="1"/>
  <c r="AJ391" i="62"/>
  <c r="AF391" i="62" a="1"/>
  <c r="AF391" i="62"/>
  <c r="AB391" i="62" a="1"/>
  <c r="AB391" i="62"/>
  <c r="AA391" i="62" a="1"/>
  <c r="AA391" i="62"/>
  <c r="V391" i="62" a="1"/>
  <c r="V391" i="62"/>
  <c r="R391" i="62" a="1"/>
  <c r="R391" i="62"/>
  <c r="N391" i="62" a="1"/>
  <c r="N391" i="62"/>
  <c r="J391" i="62" a="1"/>
  <c r="J391" i="62"/>
  <c r="I391" i="62" a="1"/>
  <c r="I391" i="62"/>
  <c r="BF390" i="62" a="1"/>
  <c r="BF390" i="62"/>
  <c r="BB390" i="62" a="1"/>
  <c r="BB390" i="62"/>
  <c r="AX390" i="62" a="1"/>
  <c r="AX390" i="62"/>
  <c r="AT390" i="62" a="1"/>
  <c r="AT390" i="62"/>
  <c r="AS390" i="62" a="1"/>
  <c r="AS390" i="62"/>
  <c r="AN390" i="62" a="1"/>
  <c r="AN390" i="62"/>
  <c r="AJ390" i="62" a="1"/>
  <c r="AJ390" i="62"/>
  <c r="AF390" i="62" a="1"/>
  <c r="AF390" i="62"/>
  <c r="AB390" i="62" a="1"/>
  <c r="AB390" i="62"/>
  <c r="AA390" i="62" a="1"/>
  <c r="AA390" i="62"/>
  <c r="V390" i="62" a="1"/>
  <c r="V390" i="62"/>
  <c r="R390" i="62" a="1"/>
  <c r="R390" i="62"/>
  <c r="N390" i="62" a="1"/>
  <c r="N390" i="62"/>
  <c r="J390" i="62" a="1"/>
  <c r="J390" i="62"/>
  <c r="I390" i="62" a="1"/>
  <c r="I390" i="62"/>
  <c r="BF389" i="62" a="1"/>
  <c r="BF389" i="62"/>
  <c r="BB389" i="62" a="1"/>
  <c r="BB389" i="62"/>
  <c r="AX389" i="62" a="1"/>
  <c r="AX389" i="62"/>
  <c r="AT389" i="62" a="1"/>
  <c r="AT389" i="62"/>
  <c r="AS389" i="62" a="1"/>
  <c r="AS389" i="62"/>
  <c r="AN389" i="62" a="1"/>
  <c r="AN389" i="62"/>
  <c r="AJ389" i="62" a="1"/>
  <c r="AJ389" i="62"/>
  <c r="AF389" i="62" a="1"/>
  <c r="AF389" i="62"/>
  <c r="AB389" i="62" a="1"/>
  <c r="AB389" i="62"/>
  <c r="AA389" i="62" a="1"/>
  <c r="AA389" i="62"/>
  <c r="V389" i="62" a="1"/>
  <c r="V389" i="62"/>
  <c r="R389" i="62" a="1"/>
  <c r="R389" i="62"/>
  <c r="N389" i="62" a="1"/>
  <c r="N389" i="62"/>
  <c r="J389" i="62" a="1"/>
  <c r="J389" i="62"/>
  <c r="I389" i="62" a="1"/>
  <c r="I389" i="62"/>
  <c r="BF388" i="62" a="1"/>
  <c r="BF388" i="62"/>
  <c r="BB388" i="62" a="1"/>
  <c r="BB388" i="62"/>
  <c r="AX388" i="62" a="1"/>
  <c r="AX388" i="62"/>
  <c r="AT388" i="62" a="1"/>
  <c r="AT388" i="62"/>
  <c r="AS388" i="62" a="1"/>
  <c r="AS388" i="62"/>
  <c r="AN388" i="62" a="1"/>
  <c r="AN388" i="62"/>
  <c r="AJ388" i="62" a="1"/>
  <c r="AJ388" i="62"/>
  <c r="AF388" i="62" a="1"/>
  <c r="AF388" i="62"/>
  <c r="AB388" i="62" a="1"/>
  <c r="AB388" i="62"/>
  <c r="AA388" i="62" a="1"/>
  <c r="AA388" i="62"/>
  <c r="V388" i="62" a="1"/>
  <c r="V388" i="62"/>
  <c r="R388" i="62" a="1"/>
  <c r="R388" i="62"/>
  <c r="N388" i="62" a="1"/>
  <c r="N388" i="62"/>
  <c r="J388" i="62" a="1"/>
  <c r="J388" i="62"/>
  <c r="I388" i="62" a="1"/>
  <c r="I388" i="62"/>
  <c r="BF387" i="62" a="1"/>
  <c r="BF387" i="62"/>
  <c r="BB387" i="62" a="1"/>
  <c r="BB387" i="62"/>
  <c r="AX387" i="62" a="1"/>
  <c r="AX387" i="62"/>
  <c r="AT387" i="62" a="1"/>
  <c r="AT387" i="62"/>
  <c r="AS387" i="62" a="1"/>
  <c r="AS387" i="62"/>
  <c r="AN387" i="62" a="1"/>
  <c r="AN387" i="62"/>
  <c r="AJ387" i="62" a="1"/>
  <c r="AJ387" i="62"/>
  <c r="AF387" i="62" a="1"/>
  <c r="AF387" i="62"/>
  <c r="AB387" i="62" a="1"/>
  <c r="AB387" i="62"/>
  <c r="AA387" i="62" a="1"/>
  <c r="AA387" i="62"/>
  <c r="V387" i="62" a="1"/>
  <c r="V387" i="62"/>
  <c r="R387" i="62" a="1"/>
  <c r="R387" i="62"/>
  <c r="N387" i="62" a="1"/>
  <c r="N387" i="62"/>
  <c r="J387" i="62" a="1"/>
  <c r="J387" i="62"/>
  <c r="I387" i="62" a="1"/>
  <c r="I387" i="62"/>
  <c r="BF386" i="62" a="1"/>
  <c r="BF386" i="62"/>
  <c r="BB386" i="62" a="1"/>
  <c r="BB386" i="62"/>
  <c r="AX386" i="62" a="1"/>
  <c r="AX386" i="62"/>
  <c r="AT386" i="62" a="1"/>
  <c r="AT386" i="62"/>
  <c r="AS386" i="62" a="1"/>
  <c r="AS386" i="62"/>
  <c r="AN386" i="62" a="1"/>
  <c r="AN386" i="62"/>
  <c r="AJ386" i="62" a="1"/>
  <c r="AJ386" i="62"/>
  <c r="AF386" i="62" a="1"/>
  <c r="AF386" i="62"/>
  <c r="AB386" i="62" a="1"/>
  <c r="AB386" i="62"/>
  <c r="AA386" i="62" a="1"/>
  <c r="AA386" i="62"/>
  <c r="V386" i="62" a="1"/>
  <c r="V386" i="62"/>
  <c r="R386" i="62" a="1"/>
  <c r="R386" i="62"/>
  <c r="N386" i="62" a="1"/>
  <c r="N386" i="62"/>
  <c r="J386" i="62" a="1"/>
  <c r="J386" i="62"/>
  <c r="I386" i="62" a="1"/>
  <c r="I386" i="62"/>
  <c r="BF385" i="62" a="1"/>
  <c r="BF385" i="62"/>
  <c r="BB385" i="62" a="1"/>
  <c r="BB385" i="62"/>
  <c r="AX385" i="62" a="1"/>
  <c r="AX385" i="62"/>
  <c r="AT385" i="62" a="1"/>
  <c r="AT385" i="62"/>
  <c r="AS385" i="62" a="1"/>
  <c r="AS385" i="62"/>
  <c r="AN385" i="62" a="1"/>
  <c r="AN385" i="62"/>
  <c r="AJ385" i="62" a="1"/>
  <c r="AJ385" i="62"/>
  <c r="AF385" i="62" a="1"/>
  <c r="AF385" i="62"/>
  <c r="AB385" i="62" a="1"/>
  <c r="AB385" i="62"/>
  <c r="AA385" i="62" a="1"/>
  <c r="AA385" i="62"/>
  <c r="V385" i="62" a="1"/>
  <c r="V385" i="62"/>
  <c r="R385" i="62" a="1"/>
  <c r="R385" i="62"/>
  <c r="N385" i="62" a="1"/>
  <c r="N385" i="62"/>
  <c r="J385" i="62" a="1"/>
  <c r="J385" i="62"/>
  <c r="I385" i="62" a="1"/>
  <c r="I385" i="62"/>
  <c r="BF384" i="62" a="1"/>
  <c r="BF384" i="62"/>
  <c r="BB384" i="62" a="1"/>
  <c r="BB384" i="62"/>
  <c r="AX384" i="62" a="1"/>
  <c r="AX384" i="62"/>
  <c r="AT384" i="62" a="1"/>
  <c r="AT384" i="62"/>
  <c r="AS384" i="62" a="1"/>
  <c r="AS384" i="62"/>
  <c r="AN384" i="62" a="1"/>
  <c r="AN384" i="62"/>
  <c r="AJ384" i="62" a="1"/>
  <c r="AJ384" i="62"/>
  <c r="AF384" i="62" a="1"/>
  <c r="AF384" i="62"/>
  <c r="AB384" i="62" a="1"/>
  <c r="AB384" i="62"/>
  <c r="AA384" i="62" a="1"/>
  <c r="AA384" i="62"/>
  <c r="V384" i="62" a="1"/>
  <c r="V384" i="62"/>
  <c r="R384" i="62" a="1"/>
  <c r="R384" i="62"/>
  <c r="N384" i="62" a="1"/>
  <c r="N384" i="62"/>
  <c r="J384" i="62" a="1"/>
  <c r="J384" i="62"/>
  <c r="I384" i="62" a="1"/>
  <c r="I384" i="62"/>
  <c r="BF383" i="62" a="1"/>
  <c r="BF383" i="62"/>
  <c r="BB383" i="62" a="1"/>
  <c r="BB383" i="62"/>
  <c r="AX383" i="62" a="1"/>
  <c r="AX383" i="62"/>
  <c r="AT383" i="62" a="1"/>
  <c r="AT383" i="62"/>
  <c r="AS383" i="62" a="1"/>
  <c r="AS383" i="62"/>
  <c r="AN383" i="62" a="1"/>
  <c r="AN383" i="62"/>
  <c r="AJ383" i="62" a="1"/>
  <c r="AJ383" i="62"/>
  <c r="AF383" i="62" a="1"/>
  <c r="AF383" i="62"/>
  <c r="AB383" i="62" a="1"/>
  <c r="AB383" i="62"/>
  <c r="AA383" i="62" a="1"/>
  <c r="AA383" i="62"/>
  <c r="V383" i="62" a="1"/>
  <c r="V383" i="62"/>
  <c r="R383" i="62" a="1"/>
  <c r="R383" i="62"/>
  <c r="N383" i="62" a="1"/>
  <c r="N383" i="62"/>
  <c r="J383" i="62" a="1"/>
  <c r="J383" i="62"/>
  <c r="I383" i="62" a="1"/>
  <c r="I383" i="62"/>
  <c r="BF382" i="62" a="1"/>
  <c r="BF382" i="62"/>
  <c r="BB382" i="62" a="1"/>
  <c r="BB382" i="62"/>
  <c r="AX382" i="62" a="1"/>
  <c r="AX382" i="62"/>
  <c r="AT382" i="62" a="1"/>
  <c r="AT382" i="62"/>
  <c r="AS382" i="62" a="1"/>
  <c r="AS382" i="62"/>
  <c r="AN382" i="62" a="1"/>
  <c r="AN382" i="62"/>
  <c r="AJ382" i="62" a="1"/>
  <c r="AJ382" i="62"/>
  <c r="AF382" i="62" a="1"/>
  <c r="AF382" i="62"/>
  <c r="AB382" i="62" a="1"/>
  <c r="AB382" i="62"/>
  <c r="AA382" i="62" a="1"/>
  <c r="AA382" i="62"/>
  <c r="V382" i="62" a="1"/>
  <c r="V382" i="62"/>
  <c r="R382" i="62" a="1"/>
  <c r="R382" i="62"/>
  <c r="N382" i="62" a="1"/>
  <c r="N382" i="62"/>
  <c r="J382" i="62" a="1"/>
  <c r="J382" i="62"/>
  <c r="I382" i="62" a="1"/>
  <c r="I382" i="62"/>
  <c r="BF381" i="62" a="1"/>
  <c r="BF381" i="62"/>
  <c r="BB381" i="62" a="1"/>
  <c r="BB381" i="62"/>
  <c r="AX381" i="62" a="1"/>
  <c r="AX381" i="62"/>
  <c r="AT381" i="62" a="1"/>
  <c r="AT381" i="62"/>
  <c r="AS381" i="62" a="1"/>
  <c r="AS381" i="62"/>
  <c r="AN381" i="62" a="1"/>
  <c r="AN381" i="62"/>
  <c r="AJ381" i="62" a="1"/>
  <c r="AJ381" i="62"/>
  <c r="AF381" i="62" a="1"/>
  <c r="AF381" i="62"/>
  <c r="AB381" i="62" a="1"/>
  <c r="AB381" i="62"/>
  <c r="AA381" i="62" a="1"/>
  <c r="AA381" i="62"/>
  <c r="V381" i="62" a="1"/>
  <c r="V381" i="62"/>
  <c r="R381" i="62" a="1"/>
  <c r="R381" i="62"/>
  <c r="N381" i="62" a="1"/>
  <c r="N381" i="62"/>
  <c r="J381" i="62" a="1"/>
  <c r="J381" i="62"/>
  <c r="I381" i="62" a="1"/>
  <c r="I381" i="62"/>
  <c r="BF380" i="62" a="1"/>
  <c r="BF380" i="62"/>
  <c r="BB380" i="62" a="1"/>
  <c r="BB380" i="62"/>
  <c r="AX380" i="62" a="1"/>
  <c r="AX380" i="62"/>
  <c r="AT380" i="62" a="1"/>
  <c r="AT380" i="62"/>
  <c r="AS380" i="62" a="1"/>
  <c r="AS380" i="62"/>
  <c r="AN380" i="62" a="1"/>
  <c r="AN380" i="62"/>
  <c r="AJ380" i="62" a="1"/>
  <c r="AJ380" i="62"/>
  <c r="AF380" i="62" a="1"/>
  <c r="AF380" i="62"/>
  <c r="AB380" i="62" a="1"/>
  <c r="AB380" i="62"/>
  <c r="AA380" i="62" a="1"/>
  <c r="AA380" i="62"/>
  <c r="V380" i="62" a="1"/>
  <c r="V380" i="62"/>
  <c r="R380" i="62" a="1"/>
  <c r="R380" i="62"/>
  <c r="N380" i="62" a="1"/>
  <c r="N380" i="62"/>
  <c r="J380" i="62" a="1"/>
  <c r="J380" i="62"/>
  <c r="I380" i="62" a="1"/>
  <c r="I380" i="62"/>
  <c r="BF379" i="62" a="1"/>
  <c r="BF379" i="62"/>
  <c r="BB379" i="62" a="1"/>
  <c r="BB379" i="62"/>
  <c r="AX379" i="62" a="1"/>
  <c r="AX379" i="62"/>
  <c r="AT379" i="62" a="1"/>
  <c r="AT379" i="62"/>
  <c r="AS379" i="62" a="1"/>
  <c r="AS379" i="62"/>
  <c r="AN379" i="62" a="1"/>
  <c r="AN379" i="62"/>
  <c r="AJ379" i="62" a="1"/>
  <c r="AJ379" i="62"/>
  <c r="AF379" i="62" a="1"/>
  <c r="AF379" i="62"/>
  <c r="AB379" i="62" a="1"/>
  <c r="AB379" i="62"/>
  <c r="AA379" i="62" a="1"/>
  <c r="AA379" i="62"/>
  <c r="V379" i="62" a="1"/>
  <c r="V379" i="62"/>
  <c r="R379" i="62" a="1"/>
  <c r="R379" i="62"/>
  <c r="N379" i="62" a="1"/>
  <c r="N379" i="62"/>
  <c r="J379" i="62" a="1"/>
  <c r="J379" i="62"/>
  <c r="I379" i="62" a="1"/>
  <c r="I379" i="62"/>
  <c r="BF378" i="62" a="1"/>
  <c r="BF378" i="62"/>
  <c r="BB378" i="62" a="1"/>
  <c r="BB378" i="62"/>
  <c r="AX378" i="62" a="1"/>
  <c r="AX378" i="62"/>
  <c r="AT378" i="62" a="1"/>
  <c r="AT378" i="62"/>
  <c r="AS378" i="62" a="1"/>
  <c r="AS378" i="62"/>
  <c r="AN378" i="62" a="1"/>
  <c r="AN378" i="62"/>
  <c r="AJ378" i="62" a="1"/>
  <c r="AJ378" i="62"/>
  <c r="AF378" i="62" a="1"/>
  <c r="AF378" i="62"/>
  <c r="AB378" i="62" a="1"/>
  <c r="AB378" i="62"/>
  <c r="AA378" i="62" a="1"/>
  <c r="AA378" i="62"/>
  <c r="V378" i="62" a="1"/>
  <c r="V378" i="62"/>
  <c r="R378" i="62" a="1"/>
  <c r="R378" i="62"/>
  <c r="N378" i="62" a="1"/>
  <c r="N378" i="62"/>
  <c r="J378" i="62" a="1"/>
  <c r="J378" i="62"/>
  <c r="I378" i="62" a="1"/>
  <c r="I378" i="62"/>
  <c r="BF377" i="62" a="1"/>
  <c r="BF377" i="62"/>
  <c r="BB377" i="62" a="1"/>
  <c r="BB377" i="62"/>
  <c r="AX377" i="62" a="1"/>
  <c r="AX377" i="62"/>
  <c r="AT377" i="62" a="1"/>
  <c r="AT377" i="62"/>
  <c r="AS377" i="62" a="1"/>
  <c r="AS377" i="62"/>
  <c r="AN377" i="62" a="1"/>
  <c r="AN377" i="62"/>
  <c r="AJ377" i="62" a="1"/>
  <c r="AJ377" i="62"/>
  <c r="AF377" i="62" a="1"/>
  <c r="AF377" i="62"/>
  <c r="AB377" i="62" a="1"/>
  <c r="AB377" i="62"/>
  <c r="AA377" i="62" a="1"/>
  <c r="AA377" i="62"/>
  <c r="V377" i="62" a="1"/>
  <c r="V377" i="62"/>
  <c r="R377" i="62" a="1"/>
  <c r="R377" i="62"/>
  <c r="N377" i="62" a="1"/>
  <c r="N377" i="62"/>
  <c r="J377" i="62" a="1"/>
  <c r="J377" i="62"/>
  <c r="I377" i="62" a="1"/>
  <c r="I377" i="62"/>
  <c r="BF376" i="62" a="1"/>
  <c r="BF376" i="62"/>
  <c r="BB376" i="62" a="1"/>
  <c r="BB376" i="62"/>
  <c r="AX376" i="62" a="1"/>
  <c r="AX376" i="62"/>
  <c r="AT376" i="62" a="1"/>
  <c r="AT376" i="62"/>
  <c r="AS376" i="62" a="1"/>
  <c r="AS376" i="62"/>
  <c r="AN376" i="62" a="1"/>
  <c r="AN376" i="62"/>
  <c r="AJ376" i="62" a="1"/>
  <c r="AJ376" i="62"/>
  <c r="AF376" i="62" a="1"/>
  <c r="AF376" i="62"/>
  <c r="AB376" i="62" a="1"/>
  <c r="AB376" i="62"/>
  <c r="AA376" i="62" a="1"/>
  <c r="AA376" i="62"/>
  <c r="V376" i="62" a="1"/>
  <c r="V376" i="62"/>
  <c r="R376" i="62" a="1"/>
  <c r="R376" i="62"/>
  <c r="N376" i="62" a="1"/>
  <c r="N376" i="62"/>
  <c r="J376" i="62" a="1"/>
  <c r="J376" i="62"/>
  <c r="I376" i="62" a="1"/>
  <c r="I376" i="62"/>
  <c r="BF375" i="62" a="1"/>
  <c r="BF375" i="62"/>
  <c r="BB375" i="62" a="1"/>
  <c r="BB375" i="62"/>
  <c r="AX375" i="62" a="1"/>
  <c r="AX375" i="62"/>
  <c r="AT375" i="62" a="1"/>
  <c r="AT375" i="62"/>
  <c r="AS375" i="62" a="1"/>
  <c r="AS375" i="62"/>
  <c r="AN375" i="62" a="1"/>
  <c r="AN375" i="62"/>
  <c r="AJ375" i="62" a="1"/>
  <c r="AJ375" i="62"/>
  <c r="AF375" i="62" a="1"/>
  <c r="AF375" i="62"/>
  <c r="AB375" i="62" a="1"/>
  <c r="AB375" i="62"/>
  <c r="AA375" i="62" a="1"/>
  <c r="AA375" i="62"/>
  <c r="V375" i="62" a="1"/>
  <c r="V375" i="62"/>
  <c r="R375" i="62" a="1"/>
  <c r="R375" i="62"/>
  <c r="N375" i="62" a="1"/>
  <c r="N375" i="62"/>
  <c r="J375" i="62" a="1"/>
  <c r="J375" i="62"/>
  <c r="I375" i="62" a="1"/>
  <c r="I375" i="62"/>
  <c r="BF374" i="62" a="1"/>
  <c r="BF374" i="62"/>
  <c r="BB374" i="62" a="1"/>
  <c r="BB374" i="62"/>
  <c r="AX374" i="62" a="1"/>
  <c r="AX374" i="62"/>
  <c r="AT374" i="62" a="1"/>
  <c r="AT374" i="62"/>
  <c r="AS374" i="62" a="1"/>
  <c r="AS374" i="62"/>
  <c r="AN374" i="62" a="1"/>
  <c r="AN374" i="62"/>
  <c r="AJ374" i="62" a="1"/>
  <c r="AJ374" i="62"/>
  <c r="AF374" i="62" a="1"/>
  <c r="AF374" i="62"/>
  <c r="AB374" i="62" a="1"/>
  <c r="AB374" i="62"/>
  <c r="AA374" i="62" a="1"/>
  <c r="AA374" i="62"/>
  <c r="V374" i="62" a="1"/>
  <c r="V374" i="62"/>
  <c r="R374" i="62" a="1"/>
  <c r="R374" i="62"/>
  <c r="N374" i="62" a="1"/>
  <c r="N374" i="62"/>
  <c r="J374" i="62" a="1"/>
  <c r="J374" i="62"/>
  <c r="I374" i="62" a="1"/>
  <c r="I374" i="62"/>
  <c r="BF373" i="62" a="1"/>
  <c r="BF373" i="62"/>
  <c r="BB373" i="62" a="1"/>
  <c r="BB373" i="62"/>
  <c r="AX373" i="62" a="1"/>
  <c r="AX373" i="62"/>
  <c r="AT373" i="62" a="1"/>
  <c r="AT373" i="62"/>
  <c r="AS373" i="62" a="1"/>
  <c r="AS373" i="62"/>
  <c r="AN373" i="62" a="1"/>
  <c r="AN373" i="62"/>
  <c r="AJ373" i="62" a="1"/>
  <c r="AJ373" i="62"/>
  <c r="AF373" i="62" a="1"/>
  <c r="AF373" i="62"/>
  <c r="AB373" i="62" a="1"/>
  <c r="AB373" i="62"/>
  <c r="AA373" i="62" a="1"/>
  <c r="AA373" i="62"/>
  <c r="V373" i="62" a="1"/>
  <c r="V373" i="62"/>
  <c r="R373" i="62" a="1"/>
  <c r="R373" i="62"/>
  <c r="N373" i="62" a="1"/>
  <c r="N373" i="62"/>
  <c r="J373" i="62" a="1"/>
  <c r="J373" i="62"/>
  <c r="I373" i="62" a="1"/>
  <c r="I373" i="62"/>
  <c r="BF369" i="62" a="1"/>
  <c r="BF369" i="62"/>
  <c r="BB369" i="62" a="1"/>
  <c r="BB369" i="62"/>
  <c r="AX369" i="62" a="1"/>
  <c r="AX369" i="62"/>
  <c r="AT369" i="62" a="1"/>
  <c r="AT369" i="62"/>
  <c r="AS369" i="62" a="1"/>
  <c r="AS369" i="62"/>
  <c r="AN369" i="62" a="1"/>
  <c r="AN369" i="62"/>
  <c r="AJ369" i="62" a="1"/>
  <c r="AJ369" i="62"/>
  <c r="AF369" i="62" a="1"/>
  <c r="AF369" i="62"/>
  <c r="AB369" i="62" a="1"/>
  <c r="AB369" i="62"/>
  <c r="AA369" i="62" a="1"/>
  <c r="AA369" i="62"/>
  <c r="V369" i="62" a="1"/>
  <c r="V369" i="62"/>
  <c r="R369" i="62" a="1"/>
  <c r="R369" i="62"/>
  <c r="N369" i="62" a="1"/>
  <c r="N369" i="62"/>
  <c r="J369" i="62" a="1"/>
  <c r="J369" i="62"/>
  <c r="I369" i="62" a="1"/>
  <c r="I369" i="62"/>
  <c r="BF368" i="62" a="1"/>
  <c r="BF368" i="62"/>
  <c r="BB368" i="62" a="1"/>
  <c r="BB368" i="62"/>
  <c r="AX368" i="62" a="1"/>
  <c r="AX368" i="62"/>
  <c r="AT368" i="62" a="1"/>
  <c r="AT368" i="62"/>
  <c r="AS368" i="62" a="1"/>
  <c r="AS368" i="62"/>
  <c r="AN368" i="62" a="1"/>
  <c r="AN368" i="62"/>
  <c r="AJ368" i="62" a="1"/>
  <c r="AJ368" i="62"/>
  <c r="AF368" i="62" a="1"/>
  <c r="AF368" i="62"/>
  <c r="AB368" i="62" a="1"/>
  <c r="AB368" i="62"/>
  <c r="AA368" i="62" a="1"/>
  <c r="AA368" i="62"/>
  <c r="V368" i="62" a="1"/>
  <c r="V368" i="62"/>
  <c r="R368" i="62" a="1"/>
  <c r="R368" i="62"/>
  <c r="N368" i="62" a="1"/>
  <c r="N368" i="62"/>
  <c r="J368" i="62" a="1"/>
  <c r="J368" i="62"/>
  <c r="I368" i="62" a="1"/>
  <c r="I368" i="62"/>
  <c r="BF367" i="62" a="1"/>
  <c r="BF367" i="62"/>
  <c r="BB367" i="62" a="1"/>
  <c r="BB367" i="62"/>
  <c r="AX367" i="62" a="1"/>
  <c r="AX367" i="62"/>
  <c r="AT367" i="62" a="1"/>
  <c r="AT367" i="62"/>
  <c r="AS367" i="62" a="1"/>
  <c r="AS367" i="62"/>
  <c r="AN367" i="62" a="1"/>
  <c r="AN367" i="62"/>
  <c r="AJ367" i="62" a="1"/>
  <c r="AJ367" i="62"/>
  <c r="AF367" i="62" a="1"/>
  <c r="AF367" i="62"/>
  <c r="AB367" i="62" a="1"/>
  <c r="AB367" i="62"/>
  <c r="AA367" i="62" a="1"/>
  <c r="AA367" i="62"/>
  <c r="V367" i="62" a="1"/>
  <c r="V367" i="62"/>
  <c r="R367" i="62" a="1"/>
  <c r="R367" i="62"/>
  <c r="N367" i="62" a="1"/>
  <c r="N367" i="62"/>
  <c r="J367" i="62" a="1"/>
  <c r="J367" i="62"/>
  <c r="I367" i="62" a="1"/>
  <c r="I367" i="62"/>
  <c r="BF366" i="62" a="1"/>
  <c r="BF366" i="62"/>
  <c r="BB366" i="62" a="1"/>
  <c r="BB366" i="62"/>
  <c r="AX366" i="62" a="1"/>
  <c r="AX366" i="62"/>
  <c r="AT366" i="62" a="1"/>
  <c r="AT366" i="62"/>
  <c r="AS366" i="62" a="1"/>
  <c r="AS366" i="62"/>
  <c r="AN366" i="62" a="1"/>
  <c r="AN366" i="62"/>
  <c r="AJ366" i="62" a="1"/>
  <c r="AJ366" i="62"/>
  <c r="AF366" i="62" a="1"/>
  <c r="AF366" i="62"/>
  <c r="AB366" i="62" a="1"/>
  <c r="AB366" i="62"/>
  <c r="AA366" i="62" a="1"/>
  <c r="AA366" i="62"/>
  <c r="V366" i="62" a="1"/>
  <c r="V366" i="62"/>
  <c r="R366" i="62" a="1"/>
  <c r="R366" i="62"/>
  <c r="N366" i="62" a="1"/>
  <c r="N366" i="62"/>
  <c r="J366" i="62" a="1"/>
  <c r="J366" i="62"/>
  <c r="I366" i="62" a="1"/>
  <c r="I366" i="62"/>
  <c r="BF365" i="62" a="1"/>
  <c r="BF365" i="62"/>
  <c r="BB365" i="62" a="1"/>
  <c r="BB365" i="62"/>
  <c r="AX365" i="62" a="1"/>
  <c r="AX365" i="62"/>
  <c r="AT365" i="62" a="1"/>
  <c r="AT365" i="62"/>
  <c r="AS365" i="62" a="1"/>
  <c r="AS365" i="62"/>
  <c r="AN365" i="62" a="1"/>
  <c r="AN365" i="62"/>
  <c r="AJ365" i="62" a="1"/>
  <c r="AJ365" i="62"/>
  <c r="AF365" i="62" a="1"/>
  <c r="AF365" i="62"/>
  <c r="AB365" i="62" a="1"/>
  <c r="AB365" i="62"/>
  <c r="AA365" i="62" a="1"/>
  <c r="AA365" i="62"/>
  <c r="V365" i="62" a="1"/>
  <c r="V365" i="62"/>
  <c r="R365" i="62" a="1"/>
  <c r="R365" i="62"/>
  <c r="N365" i="62" a="1"/>
  <c r="N365" i="62"/>
  <c r="J365" i="62" a="1"/>
  <c r="J365" i="62"/>
  <c r="I365" i="62" a="1"/>
  <c r="I365" i="62"/>
  <c r="BF364" i="62" a="1"/>
  <c r="BF364" i="62"/>
  <c r="BB364" i="62" a="1"/>
  <c r="BB364" i="62"/>
  <c r="AX364" i="62" a="1"/>
  <c r="AX364" i="62"/>
  <c r="AT364" i="62" a="1"/>
  <c r="AT364" i="62"/>
  <c r="AS364" i="62" a="1"/>
  <c r="AS364" i="62"/>
  <c r="AN364" i="62" a="1"/>
  <c r="AN364" i="62"/>
  <c r="AJ364" i="62" a="1"/>
  <c r="AJ364" i="62"/>
  <c r="AF364" i="62" a="1"/>
  <c r="AF364" i="62"/>
  <c r="AB364" i="62" a="1"/>
  <c r="AB364" i="62"/>
  <c r="AA364" i="62" a="1"/>
  <c r="AA364" i="62"/>
  <c r="V364" i="62" a="1"/>
  <c r="V364" i="62"/>
  <c r="R364" i="62" a="1"/>
  <c r="R364" i="62"/>
  <c r="N364" i="62" a="1"/>
  <c r="N364" i="62"/>
  <c r="J364" i="62" a="1"/>
  <c r="J364" i="62"/>
  <c r="I364" i="62" a="1"/>
  <c r="I364" i="62"/>
  <c r="BF363" i="62" a="1"/>
  <c r="BF363" i="62"/>
  <c r="BB363" i="62" a="1"/>
  <c r="BB363" i="62"/>
  <c r="AX363" i="62" a="1"/>
  <c r="AX363" i="62"/>
  <c r="AT363" i="62" a="1"/>
  <c r="AT363" i="62"/>
  <c r="AS363" i="62" a="1"/>
  <c r="AS363" i="62"/>
  <c r="AN363" i="62" a="1"/>
  <c r="AN363" i="62"/>
  <c r="AJ363" i="62" a="1"/>
  <c r="AJ363" i="62"/>
  <c r="AF363" i="62" a="1"/>
  <c r="AF363" i="62"/>
  <c r="AB363" i="62" a="1"/>
  <c r="AB363" i="62"/>
  <c r="AA363" i="62" a="1"/>
  <c r="AA363" i="62"/>
  <c r="V363" i="62" a="1"/>
  <c r="V363" i="62"/>
  <c r="R363" i="62" a="1"/>
  <c r="R363" i="62"/>
  <c r="N363" i="62" a="1"/>
  <c r="N363" i="62"/>
  <c r="J363" i="62" a="1"/>
  <c r="J363" i="62"/>
  <c r="I363" i="62" a="1"/>
  <c r="I363" i="62"/>
  <c r="BF362" i="62" a="1"/>
  <c r="BF362" i="62"/>
  <c r="BB362" i="62" a="1"/>
  <c r="BB362" i="62"/>
  <c r="AX362" i="62" a="1"/>
  <c r="AX362" i="62"/>
  <c r="AT362" i="62" a="1"/>
  <c r="AT362" i="62"/>
  <c r="AS362" i="62" a="1"/>
  <c r="AS362" i="62"/>
  <c r="AN362" i="62" a="1"/>
  <c r="AN362" i="62"/>
  <c r="AJ362" i="62" a="1"/>
  <c r="AJ362" i="62"/>
  <c r="AF362" i="62" a="1"/>
  <c r="AF362" i="62"/>
  <c r="AB362" i="62" a="1"/>
  <c r="AB362" i="62"/>
  <c r="AA362" i="62" a="1"/>
  <c r="AA362" i="62"/>
  <c r="V362" i="62" a="1"/>
  <c r="V362" i="62"/>
  <c r="R362" i="62" a="1"/>
  <c r="R362" i="62"/>
  <c r="N362" i="62" a="1"/>
  <c r="N362" i="62"/>
  <c r="J362" i="62" a="1"/>
  <c r="J362" i="62"/>
  <c r="I362" i="62" a="1"/>
  <c r="I362" i="62"/>
  <c r="BF361" i="62" a="1"/>
  <c r="BF361" i="62"/>
  <c r="BB361" i="62" a="1"/>
  <c r="BB361" i="62"/>
  <c r="AX361" i="62" a="1"/>
  <c r="AX361" i="62"/>
  <c r="AT361" i="62" a="1"/>
  <c r="AT361" i="62"/>
  <c r="AS361" i="62" a="1"/>
  <c r="AS361" i="62"/>
  <c r="AN361" i="62" a="1"/>
  <c r="AN361" i="62"/>
  <c r="AJ361" i="62" a="1"/>
  <c r="AJ361" i="62"/>
  <c r="AF361" i="62" a="1"/>
  <c r="AF361" i="62"/>
  <c r="AB361" i="62" a="1"/>
  <c r="AB361" i="62"/>
  <c r="AA361" i="62" a="1"/>
  <c r="AA361" i="62"/>
  <c r="V361" i="62" a="1"/>
  <c r="V361" i="62"/>
  <c r="R361" i="62" a="1"/>
  <c r="R361" i="62"/>
  <c r="N361" i="62" a="1"/>
  <c r="N361" i="62"/>
  <c r="J361" i="62" a="1"/>
  <c r="J361" i="62"/>
  <c r="I361" i="62" a="1"/>
  <c r="I361" i="62"/>
  <c r="BF360" i="62" a="1"/>
  <c r="BF360" i="62"/>
  <c r="BB360" i="62" a="1"/>
  <c r="BB360" i="62"/>
  <c r="AX360" i="62" a="1"/>
  <c r="AX360" i="62"/>
  <c r="AT360" i="62" a="1"/>
  <c r="AT360" i="62"/>
  <c r="AS360" i="62" a="1"/>
  <c r="AS360" i="62"/>
  <c r="AN360" i="62" a="1"/>
  <c r="AN360" i="62"/>
  <c r="AJ360" i="62" a="1"/>
  <c r="AJ360" i="62"/>
  <c r="AF360" i="62" a="1"/>
  <c r="AF360" i="62"/>
  <c r="AB360" i="62" a="1"/>
  <c r="AB360" i="62"/>
  <c r="AA360" i="62" a="1"/>
  <c r="AA360" i="62"/>
  <c r="V360" i="62" a="1"/>
  <c r="V360" i="62"/>
  <c r="R360" i="62" a="1"/>
  <c r="R360" i="62"/>
  <c r="N360" i="62" a="1"/>
  <c r="N360" i="62"/>
  <c r="J360" i="62" a="1"/>
  <c r="J360" i="62"/>
  <c r="I360" i="62" a="1"/>
  <c r="I360" i="62"/>
  <c r="BF359" i="62" a="1"/>
  <c r="BF359" i="62"/>
  <c r="BB359" i="62" a="1"/>
  <c r="BB359" i="62"/>
  <c r="AX359" i="62" a="1"/>
  <c r="AX359" i="62"/>
  <c r="AT359" i="62" a="1"/>
  <c r="AT359" i="62"/>
  <c r="AS359" i="62" a="1"/>
  <c r="AS359" i="62"/>
  <c r="AN359" i="62" a="1"/>
  <c r="AN359" i="62"/>
  <c r="AJ359" i="62" a="1"/>
  <c r="AJ359" i="62"/>
  <c r="AF359" i="62" a="1"/>
  <c r="AF359" i="62"/>
  <c r="AB359" i="62" a="1"/>
  <c r="AB359" i="62"/>
  <c r="AA359" i="62" a="1"/>
  <c r="AA359" i="62"/>
  <c r="V359" i="62" a="1"/>
  <c r="V359" i="62"/>
  <c r="R359" i="62" a="1"/>
  <c r="R359" i="62"/>
  <c r="N359" i="62" a="1"/>
  <c r="N359" i="62"/>
  <c r="J359" i="62" a="1"/>
  <c r="J359" i="62"/>
  <c r="I359" i="62" a="1"/>
  <c r="I359" i="62"/>
  <c r="BF358" i="62" a="1"/>
  <c r="BF358" i="62"/>
  <c r="BB358" i="62" a="1"/>
  <c r="BB358" i="62"/>
  <c r="AX358" i="62" a="1"/>
  <c r="AX358" i="62"/>
  <c r="AT358" i="62" a="1"/>
  <c r="AT358" i="62"/>
  <c r="AS358" i="62" a="1"/>
  <c r="AS358" i="62"/>
  <c r="AN358" i="62" a="1"/>
  <c r="AN358" i="62"/>
  <c r="AJ358" i="62" a="1"/>
  <c r="AJ358" i="62"/>
  <c r="AF358" i="62" a="1"/>
  <c r="AF358" i="62"/>
  <c r="AB358" i="62" a="1"/>
  <c r="AB358" i="62"/>
  <c r="AA358" i="62" a="1"/>
  <c r="AA358" i="62"/>
  <c r="V358" i="62" a="1"/>
  <c r="V358" i="62"/>
  <c r="R358" i="62" a="1"/>
  <c r="R358" i="62"/>
  <c r="N358" i="62" a="1"/>
  <c r="N358" i="62"/>
  <c r="J358" i="62" a="1"/>
  <c r="J358" i="62"/>
  <c r="I358" i="62" a="1"/>
  <c r="I358" i="62"/>
  <c r="BF357" i="62" a="1"/>
  <c r="BF357" i="62"/>
  <c r="BB357" i="62" a="1"/>
  <c r="BB357" i="62"/>
  <c r="AX357" i="62" a="1"/>
  <c r="AX357" i="62"/>
  <c r="AT357" i="62" a="1"/>
  <c r="AT357" i="62"/>
  <c r="AS357" i="62" a="1"/>
  <c r="AS357" i="62"/>
  <c r="AN357" i="62" a="1"/>
  <c r="AN357" i="62"/>
  <c r="AJ357" i="62" a="1"/>
  <c r="AJ357" i="62"/>
  <c r="AF357" i="62" a="1"/>
  <c r="AF357" i="62"/>
  <c r="AB357" i="62" a="1"/>
  <c r="AB357" i="62"/>
  <c r="AA357" i="62" a="1"/>
  <c r="AA357" i="62"/>
  <c r="V357" i="62" a="1"/>
  <c r="V357" i="62"/>
  <c r="R357" i="62" a="1"/>
  <c r="R357" i="62"/>
  <c r="N357" i="62" a="1"/>
  <c r="N357" i="62"/>
  <c r="J357" i="62" a="1"/>
  <c r="J357" i="62"/>
  <c r="I357" i="62" a="1"/>
  <c r="I357" i="62"/>
  <c r="BF356" i="62" a="1"/>
  <c r="BF356" i="62"/>
  <c r="BB356" i="62" a="1"/>
  <c r="BB356" i="62"/>
  <c r="AX356" i="62" a="1"/>
  <c r="AX356" i="62"/>
  <c r="AT356" i="62" a="1"/>
  <c r="AT356" i="62"/>
  <c r="AS356" i="62" a="1"/>
  <c r="AS356" i="62"/>
  <c r="AN356" i="62" a="1"/>
  <c r="AN356" i="62"/>
  <c r="AJ356" i="62" a="1"/>
  <c r="AJ356" i="62"/>
  <c r="AF356" i="62" a="1"/>
  <c r="AF356" i="62"/>
  <c r="AB356" i="62" a="1"/>
  <c r="AB356" i="62"/>
  <c r="AA356" i="62" a="1"/>
  <c r="AA356" i="62"/>
  <c r="V356" i="62" a="1"/>
  <c r="V356" i="62"/>
  <c r="R356" i="62" a="1"/>
  <c r="R356" i="62"/>
  <c r="N356" i="62" a="1"/>
  <c r="N356" i="62"/>
  <c r="J356" i="62" a="1"/>
  <c r="J356" i="62"/>
  <c r="I356" i="62" a="1"/>
  <c r="I356" i="62"/>
  <c r="BF355" i="62" a="1"/>
  <c r="BF355" i="62"/>
  <c r="BB355" i="62" a="1"/>
  <c r="BB355" i="62"/>
  <c r="AX355" i="62" a="1"/>
  <c r="AX355" i="62"/>
  <c r="AT355" i="62" a="1"/>
  <c r="AT355" i="62"/>
  <c r="AS355" i="62" a="1"/>
  <c r="AS355" i="62"/>
  <c r="AN355" i="62" a="1"/>
  <c r="AN355" i="62"/>
  <c r="AJ355" i="62" a="1"/>
  <c r="AJ355" i="62"/>
  <c r="AF355" i="62" a="1"/>
  <c r="AF355" i="62"/>
  <c r="AB355" i="62" a="1"/>
  <c r="AB355" i="62"/>
  <c r="AA355" i="62" a="1"/>
  <c r="AA355" i="62"/>
  <c r="V355" i="62" a="1"/>
  <c r="V355" i="62"/>
  <c r="R355" i="62" a="1"/>
  <c r="R355" i="62"/>
  <c r="N355" i="62" a="1"/>
  <c r="N355" i="62"/>
  <c r="J355" i="62" a="1"/>
  <c r="J355" i="62"/>
  <c r="I355" i="62" a="1"/>
  <c r="I355" i="62"/>
  <c r="BF354" i="62" a="1"/>
  <c r="BF354" i="62"/>
  <c r="BB354" i="62" a="1"/>
  <c r="BB354" i="62"/>
  <c r="AX354" i="62" a="1"/>
  <c r="AX354" i="62"/>
  <c r="AT354" i="62" a="1"/>
  <c r="AT354" i="62"/>
  <c r="AS354" i="62" a="1"/>
  <c r="AS354" i="62"/>
  <c r="AN354" i="62" a="1"/>
  <c r="AN354" i="62"/>
  <c r="AJ354" i="62" a="1"/>
  <c r="AJ354" i="62"/>
  <c r="AF354" i="62" a="1"/>
  <c r="AF354" i="62"/>
  <c r="AB354" i="62" a="1"/>
  <c r="AB354" i="62"/>
  <c r="AA354" i="62" a="1"/>
  <c r="AA354" i="62"/>
  <c r="V354" i="62" a="1"/>
  <c r="V354" i="62"/>
  <c r="R354" i="62" a="1"/>
  <c r="R354" i="62"/>
  <c r="N354" i="62" a="1"/>
  <c r="N354" i="62"/>
  <c r="J354" i="62" a="1"/>
  <c r="J354" i="62"/>
  <c r="I354" i="62" a="1"/>
  <c r="I354" i="62"/>
  <c r="BF353" i="62" a="1"/>
  <c r="BF353" i="62"/>
  <c r="BB353" i="62" a="1"/>
  <c r="BB353" i="62"/>
  <c r="AX353" i="62" a="1"/>
  <c r="AX353" i="62"/>
  <c r="AT353" i="62" a="1"/>
  <c r="AT353" i="62"/>
  <c r="AS353" i="62" a="1"/>
  <c r="AS353" i="62"/>
  <c r="AN353" i="62" a="1"/>
  <c r="AN353" i="62"/>
  <c r="AJ353" i="62" a="1"/>
  <c r="AJ353" i="62"/>
  <c r="AF353" i="62" a="1"/>
  <c r="AF353" i="62"/>
  <c r="AB353" i="62" a="1"/>
  <c r="AB353" i="62"/>
  <c r="AA353" i="62" a="1"/>
  <c r="AA353" i="62"/>
  <c r="V353" i="62" a="1"/>
  <c r="V353" i="62"/>
  <c r="R353" i="62" a="1"/>
  <c r="R353" i="62"/>
  <c r="N353" i="62" a="1"/>
  <c r="N353" i="62"/>
  <c r="J353" i="62" a="1"/>
  <c r="J353" i="62"/>
  <c r="I353" i="62" a="1"/>
  <c r="I353" i="62"/>
  <c r="BF352" i="62" a="1"/>
  <c r="BF352" i="62"/>
  <c r="BB352" i="62" a="1"/>
  <c r="BB352" i="62"/>
  <c r="AX352" i="62" a="1"/>
  <c r="AX352" i="62"/>
  <c r="AT352" i="62" a="1"/>
  <c r="AT352" i="62"/>
  <c r="AS352" i="62" a="1"/>
  <c r="AS352" i="62"/>
  <c r="AN352" i="62" a="1"/>
  <c r="AN352" i="62"/>
  <c r="AJ352" i="62" a="1"/>
  <c r="AJ352" i="62"/>
  <c r="AF352" i="62" a="1"/>
  <c r="AF352" i="62"/>
  <c r="AB352" i="62" a="1"/>
  <c r="AB352" i="62"/>
  <c r="AA352" i="62" a="1"/>
  <c r="AA352" i="62"/>
  <c r="V352" i="62" a="1"/>
  <c r="V352" i="62"/>
  <c r="R352" i="62" a="1"/>
  <c r="R352" i="62"/>
  <c r="N352" i="62" a="1"/>
  <c r="N352" i="62"/>
  <c r="J352" i="62" a="1"/>
  <c r="J352" i="62"/>
  <c r="I352" i="62" a="1"/>
  <c r="I352" i="62"/>
  <c r="BF351" i="62" a="1"/>
  <c r="BF351" i="62"/>
  <c r="BB351" i="62" a="1"/>
  <c r="BB351" i="62"/>
  <c r="AX351" i="62" a="1"/>
  <c r="AX351" i="62"/>
  <c r="AT351" i="62" a="1"/>
  <c r="AT351" i="62"/>
  <c r="AS351" i="62" a="1"/>
  <c r="AS351" i="62"/>
  <c r="AN351" i="62" a="1"/>
  <c r="AN351" i="62"/>
  <c r="AJ351" i="62" a="1"/>
  <c r="AJ351" i="62"/>
  <c r="AF351" i="62" a="1"/>
  <c r="AF351" i="62"/>
  <c r="AB351" i="62" a="1"/>
  <c r="AB351" i="62"/>
  <c r="AA351" i="62" a="1"/>
  <c r="AA351" i="62"/>
  <c r="V351" i="62" a="1"/>
  <c r="V351" i="62"/>
  <c r="R351" i="62" a="1"/>
  <c r="R351" i="62"/>
  <c r="N351" i="62" a="1"/>
  <c r="N351" i="62"/>
  <c r="J351" i="62" a="1"/>
  <c r="J351" i="62"/>
  <c r="I351" i="62" a="1"/>
  <c r="I351" i="62"/>
  <c r="BF350" i="62" a="1"/>
  <c r="BF350" i="62"/>
  <c r="BB350" i="62" a="1"/>
  <c r="BB350" i="62"/>
  <c r="AX350" i="62" a="1"/>
  <c r="AX350" i="62"/>
  <c r="AT350" i="62" a="1"/>
  <c r="AT350" i="62"/>
  <c r="AS350" i="62" a="1"/>
  <c r="AS350" i="62"/>
  <c r="AN350" i="62" a="1"/>
  <c r="AN350" i="62"/>
  <c r="AJ350" i="62" a="1"/>
  <c r="AJ350" i="62"/>
  <c r="AF350" i="62" a="1"/>
  <c r="AF350" i="62"/>
  <c r="AB350" i="62" a="1"/>
  <c r="AB350" i="62"/>
  <c r="AA350" i="62" a="1"/>
  <c r="AA350" i="62"/>
  <c r="V350" i="62" a="1"/>
  <c r="V350" i="62"/>
  <c r="R350" i="62" a="1"/>
  <c r="R350" i="62"/>
  <c r="N350" i="62" a="1"/>
  <c r="N350" i="62"/>
  <c r="J350" i="62" a="1"/>
  <c r="J350" i="62"/>
  <c r="I350" i="62" a="1"/>
  <c r="I350" i="62"/>
  <c r="BF349" i="62" a="1"/>
  <c r="BF349" i="62"/>
  <c r="BB349" i="62" a="1"/>
  <c r="BB349" i="62"/>
  <c r="AX349" i="62" a="1"/>
  <c r="AX349" i="62"/>
  <c r="AT349" i="62" a="1"/>
  <c r="AT349" i="62"/>
  <c r="AS349" i="62" a="1"/>
  <c r="AS349" i="62"/>
  <c r="AN349" i="62" a="1"/>
  <c r="AN349" i="62"/>
  <c r="AJ349" i="62" a="1"/>
  <c r="AJ349" i="62"/>
  <c r="AF349" i="62" a="1"/>
  <c r="AF349" i="62"/>
  <c r="AB349" i="62" a="1"/>
  <c r="AB349" i="62"/>
  <c r="AA349" i="62" a="1"/>
  <c r="AA349" i="62"/>
  <c r="V349" i="62" a="1"/>
  <c r="V349" i="62"/>
  <c r="R349" i="62" a="1"/>
  <c r="R349" i="62"/>
  <c r="N349" i="62" a="1"/>
  <c r="N349" i="62"/>
  <c r="J349" i="62" a="1"/>
  <c r="J349" i="62"/>
  <c r="I349" i="62" a="1"/>
  <c r="I349" i="62"/>
  <c r="BF348" i="62" a="1"/>
  <c r="BF348" i="62"/>
  <c r="BB348" i="62" a="1"/>
  <c r="BB348" i="62"/>
  <c r="AX348" i="62" a="1"/>
  <c r="AX348" i="62"/>
  <c r="AT348" i="62" a="1"/>
  <c r="AT348" i="62"/>
  <c r="AS348" i="62" a="1"/>
  <c r="AS348" i="62"/>
  <c r="AN348" i="62" a="1"/>
  <c r="AN348" i="62"/>
  <c r="AJ348" i="62" a="1"/>
  <c r="AJ348" i="62"/>
  <c r="AF348" i="62" a="1"/>
  <c r="AF348" i="62"/>
  <c r="AB348" i="62" a="1"/>
  <c r="AB348" i="62"/>
  <c r="AA348" i="62" a="1"/>
  <c r="AA348" i="62"/>
  <c r="V348" i="62" a="1"/>
  <c r="V348" i="62"/>
  <c r="R348" i="62" a="1"/>
  <c r="R348" i="62"/>
  <c r="N348" i="62" a="1"/>
  <c r="N348" i="62"/>
  <c r="J348" i="62" a="1"/>
  <c r="J348" i="62"/>
  <c r="I348" i="62" a="1"/>
  <c r="I348" i="62"/>
  <c r="BF347" i="62" a="1"/>
  <c r="BF347" i="62"/>
  <c r="BB347" i="62" a="1"/>
  <c r="BB347" i="62"/>
  <c r="AX347" i="62" a="1"/>
  <c r="AX347" i="62"/>
  <c r="AT347" i="62" a="1"/>
  <c r="AT347" i="62"/>
  <c r="AS347" i="62" a="1"/>
  <c r="AS347" i="62"/>
  <c r="AN347" i="62" a="1"/>
  <c r="AN347" i="62"/>
  <c r="AJ347" i="62" a="1"/>
  <c r="AJ347" i="62"/>
  <c r="AF347" i="62" a="1"/>
  <c r="AF347" i="62"/>
  <c r="AB347" i="62" a="1"/>
  <c r="AB347" i="62"/>
  <c r="AA347" i="62" a="1"/>
  <c r="AA347" i="62"/>
  <c r="V347" i="62" a="1"/>
  <c r="V347" i="62"/>
  <c r="R347" i="62" a="1"/>
  <c r="R347" i="62"/>
  <c r="N347" i="62" a="1"/>
  <c r="N347" i="62"/>
  <c r="J347" i="62" a="1"/>
  <c r="J347" i="62"/>
  <c r="I347" i="62" a="1"/>
  <c r="I347" i="62"/>
  <c r="BF346" i="62" a="1"/>
  <c r="BF346" i="62"/>
  <c r="BB346" i="62" a="1"/>
  <c r="BB346" i="62"/>
  <c r="AX346" i="62" a="1"/>
  <c r="AX346" i="62"/>
  <c r="AT346" i="62" a="1"/>
  <c r="AT346" i="62"/>
  <c r="AS346" i="62" a="1"/>
  <c r="AS346" i="62"/>
  <c r="AN346" i="62" a="1"/>
  <c r="AN346" i="62"/>
  <c r="AJ346" i="62" a="1"/>
  <c r="AJ346" i="62"/>
  <c r="AF346" i="62" a="1"/>
  <c r="AF346" i="62"/>
  <c r="AB346" i="62" a="1"/>
  <c r="AB346" i="62"/>
  <c r="AA346" i="62" a="1"/>
  <c r="AA346" i="62"/>
  <c r="V346" i="62" a="1"/>
  <c r="V346" i="62"/>
  <c r="R346" i="62" a="1"/>
  <c r="R346" i="62"/>
  <c r="N346" i="62" a="1"/>
  <c r="N346" i="62"/>
  <c r="J346" i="62" a="1"/>
  <c r="J346" i="62"/>
  <c r="I346" i="62" a="1"/>
  <c r="I346" i="62"/>
  <c r="BF345" i="62" a="1"/>
  <c r="BF345" i="62"/>
  <c r="BB345" i="62" a="1"/>
  <c r="BB345" i="62"/>
  <c r="AX345" i="62" a="1"/>
  <c r="AX345" i="62"/>
  <c r="AT345" i="62" a="1"/>
  <c r="AT345" i="62"/>
  <c r="AS345" i="62" a="1"/>
  <c r="AS345" i="62"/>
  <c r="AN345" i="62" a="1"/>
  <c r="AN345" i="62"/>
  <c r="AJ345" i="62" a="1"/>
  <c r="AJ345" i="62"/>
  <c r="AF345" i="62" a="1"/>
  <c r="AF345" i="62"/>
  <c r="AB345" i="62" a="1"/>
  <c r="AB345" i="62"/>
  <c r="AA345" i="62" a="1"/>
  <c r="AA345" i="62"/>
  <c r="V345" i="62" a="1"/>
  <c r="V345" i="62"/>
  <c r="R345" i="62" a="1"/>
  <c r="R345" i="62"/>
  <c r="N345" i="62" a="1"/>
  <c r="N345" i="62"/>
  <c r="J345" i="62" a="1"/>
  <c r="J345" i="62"/>
  <c r="I345" i="62" a="1"/>
  <c r="I345" i="62"/>
  <c r="BF344" i="62" a="1"/>
  <c r="BF344" i="62"/>
  <c r="BB344" i="62" a="1"/>
  <c r="BB344" i="62"/>
  <c r="AX344" i="62" a="1"/>
  <c r="AX344" i="62"/>
  <c r="AT344" i="62" a="1"/>
  <c r="AT344" i="62"/>
  <c r="AS344" i="62" a="1"/>
  <c r="AS344" i="62"/>
  <c r="AN344" i="62" a="1"/>
  <c r="AN344" i="62"/>
  <c r="AJ344" i="62" a="1"/>
  <c r="AJ344" i="62"/>
  <c r="AF344" i="62" a="1"/>
  <c r="AF344" i="62"/>
  <c r="AB344" i="62" a="1"/>
  <c r="AB344" i="62"/>
  <c r="AA344" i="62" a="1"/>
  <c r="AA344" i="62"/>
  <c r="V344" i="62" a="1"/>
  <c r="V344" i="62"/>
  <c r="R344" i="62" a="1"/>
  <c r="R344" i="62"/>
  <c r="N344" i="62" a="1"/>
  <c r="N344" i="62"/>
  <c r="J344" i="62" a="1"/>
  <c r="J344" i="62"/>
  <c r="I344" i="62" a="1"/>
  <c r="I344" i="62"/>
  <c r="BF343" i="62" a="1"/>
  <c r="BF343" i="62"/>
  <c r="BB343" i="62" a="1"/>
  <c r="BB343" i="62"/>
  <c r="AX343" i="62" a="1"/>
  <c r="AX343" i="62"/>
  <c r="AT343" i="62" a="1"/>
  <c r="AT343" i="62"/>
  <c r="AS343" i="62" a="1"/>
  <c r="AS343" i="62"/>
  <c r="AN343" i="62" a="1"/>
  <c r="AN343" i="62"/>
  <c r="AJ343" i="62" a="1"/>
  <c r="AJ343" i="62"/>
  <c r="AF343" i="62" a="1"/>
  <c r="AF343" i="62"/>
  <c r="AB343" i="62" a="1"/>
  <c r="AB343" i="62"/>
  <c r="AA343" i="62" a="1"/>
  <c r="AA343" i="62"/>
  <c r="V343" i="62" a="1"/>
  <c r="V343" i="62"/>
  <c r="R343" i="62" a="1"/>
  <c r="R343" i="62"/>
  <c r="N343" i="62" a="1"/>
  <c r="N343" i="62"/>
  <c r="J343" i="62" a="1"/>
  <c r="J343" i="62"/>
  <c r="I343" i="62" a="1"/>
  <c r="I343" i="62"/>
  <c r="BF342" i="62" a="1"/>
  <c r="BF342" i="62"/>
  <c r="BB342" i="62" a="1"/>
  <c r="BB342" i="62"/>
  <c r="AX342" i="62" a="1"/>
  <c r="AX342" i="62"/>
  <c r="AT342" i="62" a="1"/>
  <c r="AT342" i="62"/>
  <c r="AS342" i="62" a="1"/>
  <c r="AS342" i="62"/>
  <c r="AN342" i="62" a="1"/>
  <c r="AN342" i="62"/>
  <c r="AJ342" i="62" a="1"/>
  <c r="AJ342" i="62"/>
  <c r="AF342" i="62" a="1"/>
  <c r="AF342" i="62"/>
  <c r="AB342" i="62" a="1"/>
  <c r="AB342" i="62"/>
  <c r="AA342" i="62" a="1"/>
  <c r="AA342" i="62"/>
  <c r="V342" i="62" a="1"/>
  <c r="V342" i="62"/>
  <c r="R342" i="62" a="1"/>
  <c r="R342" i="62"/>
  <c r="N342" i="62" a="1"/>
  <c r="N342" i="62"/>
  <c r="J342" i="62" a="1"/>
  <c r="J342" i="62"/>
  <c r="I342" i="62" a="1"/>
  <c r="I342" i="62"/>
  <c r="BF341" i="62" a="1"/>
  <c r="BF341" i="62"/>
  <c r="BB341" i="62" a="1"/>
  <c r="BB341" i="62"/>
  <c r="AX341" i="62" a="1"/>
  <c r="AX341" i="62"/>
  <c r="AT341" i="62" a="1"/>
  <c r="AT341" i="62"/>
  <c r="AS341" i="62" a="1"/>
  <c r="AS341" i="62"/>
  <c r="AN341" i="62" a="1"/>
  <c r="AN341" i="62"/>
  <c r="AJ341" i="62" a="1"/>
  <c r="AJ341" i="62"/>
  <c r="AF341" i="62" a="1"/>
  <c r="AF341" i="62"/>
  <c r="AB341" i="62" a="1"/>
  <c r="AB341" i="62"/>
  <c r="AA341" i="62" a="1"/>
  <c r="AA341" i="62"/>
  <c r="V341" i="62" a="1"/>
  <c r="V341" i="62"/>
  <c r="R341" i="62" a="1"/>
  <c r="R341" i="62"/>
  <c r="N341" i="62" a="1"/>
  <c r="N341" i="62"/>
  <c r="J341" i="62" a="1"/>
  <c r="J341" i="62"/>
  <c r="I341" i="62" a="1"/>
  <c r="I341" i="62"/>
  <c r="BF340" i="62" a="1"/>
  <c r="BF340" i="62"/>
  <c r="BB340" i="62" a="1"/>
  <c r="BB340" i="62"/>
  <c r="AX340" i="62" a="1"/>
  <c r="AX340" i="62"/>
  <c r="AT340" i="62" a="1"/>
  <c r="AT340" i="62"/>
  <c r="AS340" i="62" a="1"/>
  <c r="AS340" i="62"/>
  <c r="AN340" i="62" a="1"/>
  <c r="AN340" i="62"/>
  <c r="AJ340" i="62" a="1"/>
  <c r="AJ340" i="62"/>
  <c r="AF340" i="62" a="1"/>
  <c r="AF340" i="62"/>
  <c r="AB340" i="62" a="1"/>
  <c r="AB340" i="62"/>
  <c r="AA340" i="62" a="1"/>
  <c r="AA340" i="62"/>
  <c r="V340" i="62" a="1"/>
  <c r="V340" i="62"/>
  <c r="R340" i="62" a="1"/>
  <c r="R340" i="62"/>
  <c r="N340" i="62" a="1"/>
  <c r="N340" i="62"/>
  <c r="J340" i="62" a="1"/>
  <c r="J340" i="62"/>
  <c r="I340" i="62" a="1"/>
  <c r="I340" i="62"/>
  <c r="BF339" i="62" a="1"/>
  <c r="BF339" i="62"/>
  <c r="BB339" i="62" a="1"/>
  <c r="BB339" i="62"/>
  <c r="AX339" i="62" a="1"/>
  <c r="AX339" i="62"/>
  <c r="AT339" i="62" a="1"/>
  <c r="AT339" i="62"/>
  <c r="AS339" i="62" a="1"/>
  <c r="AS339" i="62"/>
  <c r="AN339" i="62" a="1"/>
  <c r="AN339" i="62"/>
  <c r="AJ339" i="62" a="1"/>
  <c r="AJ339" i="62"/>
  <c r="AF339" i="62" a="1"/>
  <c r="AF339" i="62"/>
  <c r="AB339" i="62" a="1"/>
  <c r="AB339" i="62"/>
  <c r="AA339" i="62" a="1"/>
  <c r="AA339" i="62"/>
  <c r="V339" i="62" a="1"/>
  <c r="V339" i="62"/>
  <c r="R339" i="62" a="1"/>
  <c r="R339" i="62"/>
  <c r="N339" i="62" a="1"/>
  <c r="N339" i="62"/>
  <c r="J339" i="62" a="1"/>
  <c r="J339" i="62"/>
  <c r="I339" i="62" a="1"/>
  <c r="I339" i="62"/>
  <c r="BF338" i="62" a="1"/>
  <c r="BF338" i="62"/>
  <c r="BB338" i="62" a="1"/>
  <c r="BB338" i="62"/>
  <c r="AX338" i="62" a="1"/>
  <c r="AX338" i="62"/>
  <c r="AT338" i="62" a="1"/>
  <c r="AT338" i="62"/>
  <c r="AS338" i="62" a="1"/>
  <c r="AS338" i="62"/>
  <c r="AN338" i="62" a="1"/>
  <c r="AN338" i="62"/>
  <c r="AJ338" i="62" a="1"/>
  <c r="AJ338" i="62"/>
  <c r="AF338" i="62" a="1"/>
  <c r="AF338" i="62"/>
  <c r="AB338" i="62" a="1"/>
  <c r="AB338" i="62"/>
  <c r="AA338" i="62" a="1"/>
  <c r="AA338" i="62"/>
  <c r="V338" i="62" a="1"/>
  <c r="V338" i="62"/>
  <c r="R338" i="62" a="1"/>
  <c r="R338" i="62"/>
  <c r="N338" i="62" a="1"/>
  <c r="N338" i="62"/>
  <c r="J338" i="62" a="1"/>
  <c r="J338" i="62"/>
  <c r="I338" i="62" a="1"/>
  <c r="I338" i="62"/>
  <c r="BF337" i="62" a="1"/>
  <c r="BF337" i="62"/>
  <c r="BB337" i="62" a="1"/>
  <c r="BB337" i="62"/>
  <c r="AX337" i="62" a="1"/>
  <c r="AX337" i="62"/>
  <c r="AT337" i="62" a="1"/>
  <c r="AT337" i="62"/>
  <c r="AS337" i="62" a="1"/>
  <c r="AS337" i="62"/>
  <c r="AN337" i="62" a="1"/>
  <c r="AN337" i="62"/>
  <c r="AJ337" i="62" a="1"/>
  <c r="AJ337" i="62"/>
  <c r="AF337" i="62" a="1"/>
  <c r="AF337" i="62"/>
  <c r="AB337" i="62" a="1"/>
  <c r="AB337" i="62"/>
  <c r="AA337" i="62" a="1"/>
  <c r="AA337" i="62"/>
  <c r="V337" i="62" a="1"/>
  <c r="V337" i="62"/>
  <c r="R337" i="62" a="1"/>
  <c r="R337" i="62"/>
  <c r="N337" i="62" a="1"/>
  <c r="N337" i="62"/>
  <c r="J337" i="62" a="1"/>
  <c r="J337" i="62"/>
  <c r="I337" i="62" a="1"/>
  <c r="I337" i="62"/>
  <c r="BF336" i="62" a="1"/>
  <c r="BF336" i="62"/>
  <c r="BB336" i="62" a="1"/>
  <c r="BB336" i="62"/>
  <c r="AX336" i="62" a="1"/>
  <c r="AX336" i="62"/>
  <c r="AT336" i="62" a="1"/>
  <c r="AT336" i="62"/>
  <c r="AS336" i="62" a="1"/>
  <c r="AS336" i="62"/>
  <c r="AN336" i="62" a="1"/>
  <c r="AN336" i="62"/>
  <c r="AJ336" i="62" a="1"/>
  <c r="AJ336" i="62"/>
  <c r="AF336" i="62" a="1"/>
  <c r="AF336" i="62"/>
  <c r="AB336" i="62" a="1"/>
  <c r="AB336" i="62"/>
  <c r="AA336" i="62" a="1"/>
  <c r="AA336" i="62"/>
  <c r="V336" i="62" a="1"/>
  <c r="V336" i="62"/>
  <c r="R336" i="62" a="1"/>
  <c r="R336" i="62"/>
  <c r="N336" i="62" a="1"/>
  <c r="N336" i="62"/>
  <c r="J336" i="62" a="1"/>
  <c r="J336" i="62"/>
  <c r="I336" i="62" a="1"/>
  <c r="I336" i="62"/>
  <c r="BF335" i="62" a="1"/>
  <c r="BF335" i="62"/>
  <c r="BB335" i="62" a="1"/>
  <c r="BB335" i="62"/>
  <c r="AX335" i="62" a="1"/>
  <c r="AX335" i="62"/>
  <c r="AT335" i="62" a="1"/>
  <c r="AT335" i="62"/>
  <c r="AS335" i="62" a="1"/>
  <c r="AS335" i="62"/>
  <c r="AN335" i="62" a="1"/>
  <c r="AN335" i="62"/>
  <c r="AJ335" i="62" a="1"/>
  <c r="AJ335" i="62"/>
  <c r="AF335" i="62" a="1"/>
  <c r="AF335" i="62"/>
  <c r="AB335" i="62" a="1"/>
  <c r="AB335" i="62"/>
  <c r="AA335" i="62" a="1"/>
  <c r="AA335" i="62"/>
  <c r="V335" i="62" a="1"/>
  <c r="V335" i="62"/>
  <c r="R335" i="62" a="1"/>
  <c r="R335" i="62"/>
  <c r="N335" i="62" a="1"/>
  <c r="N335" i="62"/>
  <c r="J335" i="62" a="1"/>
  <c r="J335" i="62"/>
  <c r="I335" i="62" a="1"/>
  <c r="I335" i="62"/>
  <c r="BF334" i="62" a="1"/>
  <c r="BF334" i="62"/>
  <c r="BB334" i="62" a="1"/>
  <c r="BB334" i="62"/>
  <c r="AX334" i="62" a="1"/>
  <c r="AX334" i="62"/>
  <c r="AT334" i="62" a="1"/>
  <c r="AT334" i="62"/>
  <c r="AS334" i="62" a="1"/>
  <c r="AS334" i="62"/>
  <c r="AN334" i="62" a="1"/>
  <c r="AN334" i="62"/>
  <c r="AJ334" i="62" a="1"/>
  <c r="AJ334" i="62"/>
  <c r="AF334" i="62" a="1"/>
  <c r="AF334" i="62"/>
  <c r="AB334" i="62" a="1"/>
  <c r="AB334" i="62"/>
  <c r="AA334" i="62" a="1"/>
  <c r="AA334" i="62"/>
  <c r="V334" i="62" a="1"/>
  <c r="V334" i="62"/>
  <c r="R334" i="62" a="1"/>
  <c r="R334" i="62"/>
  <c r="N334" i="62" a="1"/>
  <c r="N334" i="62"/>
  <c r="J334" i="62" a="1"/>
  <c r="J334" i="62"/>
  <c r="I334" i="62" a="1"/>
  <c r="I334" i="62"/>
  <c r="BF333" i="62" a="1"/>
  <c r="BF333" i="62"/>
  <c r="BB333" i="62" a="1"/>
  <c r="BB333" i="62"/>
  <c r="AX333" i="62" a="1"/>
  <c r="AX333" i="62"/>
  <c r="AT333" i="62" a="1"/>
  <c r="AT333" i="62"/>
  <c r="AS333" i="62" a="1"/>
  <c r="AS333" i="62"/>
  <c r="AN333" i="62" a="1"/>
  <c r="AN333" i="62"/>
  <c r="AJ333" i="62" a="1"/>
  <c r="AJ333" i="62"/>
  <c r="AF333" i="62" a="1"/>
  <c r="AF333" i="62"/>
  <c r="AB333" i="62" a="1"/>
  <c r="AB333" i="62"/>
  <c r="AA333" i="62" a="1"/>
  <c r="AA333" i="62"/>
  <c r="V333" i="62" a="1"/>
  <c r="V333" i="62"/>
  <c r="R333" i="62" a="1"/>
  <c r="R333" i="62"/>
  <c r="N333" i="62" a="1"/>
  <c r="N333" i="62"/>
  <c r="J333" i="62" a="1"/>
  <c r="J333" i="62"/>
  <c r="I333" i="62" a="1"/>
  <c r="I333" i="62"/>
  <c r="BF332" i="62" a="1"/>
  <c r="BF332" i="62"/>
  <c r="BB332" i="62" a="1"/>
  <c r="BB332" i="62"/>
  <c r="AX332" i="62" a="1"/>
  <c r="AX332" i="62"/>
  <c r="AT332" i="62" a="1"/>
  <c r="AT332" i="62"/>
  <c r="AS332" i="62" a="1"/>
  <c r="AS332" i="62"/>
  <c r="AN332" i="62" a="1"/>
  <c r="AN332" i="62"/>
  <c r="AJ332" i="62" a="1"/>
  <c r="AJ332" i="62"/>
  <c r="AF332" i="62" a="1"/>
  <c r="AF332" i="62"/>
  <c r="AB332" i="62" a="1"/>
  <c r="AB332" i="62"/>
  <c r="AA332" i="62" a="1"/>
  <c r="AA332" i="62"/>
  <c r="V332" i="62" a="1"/>
  <c r="V332" i="62"/>
  <c r="R332" i="62" a="1"/>
  <c r="R332" i="62"/>
  <c r="N332" i="62" a="1"/>
  <c r="N332" i="62"/>
  <c r="J332" i="62" a="1"/>
  <c r="J332" i="62"/>
  <c r="I332" i="62" a="1"/>
  <c r="I332" i="62"/>
  <c r="BF331" i="62" a="1"/>
  <c r="BF331" i="62"/>
  <c r="BB331" i="62" a="1"/>
  <c r="BB331" i="62"/>
  <c r="AX331" i="62" a="1"/>
  <c r="AX331" i="62"/>
  <c r="AT331" i="62" a="1"/>
  <c r="AT331" i="62"/>
  <c r="AS331" i="62" a="1"/>
  <c r="AS331" i="62"/>
  <c r="AN331" i="62" a="1"/>
  <c r="AN331" i="62"/>
  <c r="AJ331" i="62" a="1"/>
  <c r="AJ331" i="62"/>
  <c r="AF331" i="62" a="1"/>
  <c r="AF331" i="62"/>
  <c r="AB331" i="62" a="1"/>
  <c r="AB331" i="62"/>
  <c r="AA331" i="62" a="1"/>
  <c r="AA331" i="62"/>
  <c r="V331" i="62" a="1"/>
  <c r="V331" i="62"/>
  <c r="R331" i="62" a="1"/>
  <c r="R331" i="62"/>
  <c r="N331" i="62" a="1"/>
  <c r="N331" i="62"/>
  <c r="J331" i="62" a="1"/>
  <c r="J331" i="62"/>
  <c r="I331" i="62" a="1"/>
  <c r="I331" i="62"/>
  <c r="BF330" i="62" a="1"/>
  <c r="BF330" i="62"/>
  <c r="BB330" i="62" a="1"/>
  <c r="BB330" i="62"/>
  <c r="AX330" i="62" a="1"/>
  <c r="AX330" i="62"/>
  <c r="AT330" i="62" a="1"/>
  <c r="AT330" i="62"/>
  <c r="AS330" i="62" a="1"/>
  <c r="AS330" i="62"/>
  <c r="AN330" i="62" a="1"/>
  <c r="AN330" i="62"/>
  <c r="AJ330" i="62" a="1"/>
  <c r="AJ330" i="62"/>
  <c r="AF330" i="62" a="1"/>
  <c r="AF330" i="62"/>
  <c r="AB330" i="62" a="1"/>
  <c r="AB330" i="62"/>
  <c r="AA330" i="62" a="1"/>
  <c r="AA330" i="62"/>
  <c r="V330" i="62" a="1"/>
  <c r="V330" i="62"/>
  <c r="R330" i="62" a="1"/>
  <c r="R330" i="62"/>
  <c r="N330" i="62" a="1"/>
  <c r="N330" i="62"/>
  <c r="J330" i="62" a="1"/>
  <c r="J330" i="62"/>
  <c r="I330" i="62" a="1"/>
  <c r="I330" i="62"/>
  <c r="BF329" i="62" a="1"/>
  <c r="BF329" i="62"/>
  <c r="BB329" i="62" a="1"/>
  <c r="BB329" i="62"/>
  <c r="AX329" i="62" a="1"/>
  <c r="AX329" i="62"/>
  <c r="AT329" i="62" a="1"/>
  <c r="AT329" i="62"/>
  <c r="AS329" i="62" a="1"/>
  <c r="AS329" i="62"/>
  <c r="AN329" i="62" a="1"/>
  <c r="AN329" i="62"/>
  <c r="AJ329" i="62" a="1"/>
  <c r="AJ329" i="62"/>
  <c r="AF329" i="62" a="1"/>
  <c r="AF329" i="62"/>
  <c r="AB329" i="62" a="1"/>
  <c r="AB329" i="62"/>
  <c r="AA329" i="62" a="1"/>
  <c r="AA329" i="62"/>
  <c r="V329" i="62" a="1"/>
  <c r="V329" i="62"/>
  <c r="R329" i="62" a="1"/>
  <c r="R329" i="62"/>
  <c r="N329" i="62" a="1"/>
  <c r="N329" i="62"/>
  <c r="J329" i="62" a="1"/>
  <c r="J329" i="62"/>
  <c r="I329" i="62" a="1"/>
  <c r="I329" i="62"/>
  <c r="BF328" i="62" a="1"/>
  <c r="BF328" i="62"/>
  <c r="BB328" i="62" a="1"/>
  <c r="BB328" i="62"/>
  <c r="AX328" i="62" a="1"/>
  <c r="AX328" i="62"/>
  <c r="AT328" i="62" a="1"/>
  <c r="AT328" i="62"/>
  <c r="AS328" i="62" a="1"/>
  <c r="AS328" i="62"/>
  <c r="AN328" i="62" a="1"/>
  <c r="AN328" i="62"/>
  <c r="AJ328" i="62" a="1"/>
  <c r="AJ328" i="62"/>
  <c r="AF328" i="62" a="1"/>
  <c r="AF328" i="62"/>
  <c r="AB328" i="62" a="1"/>
  <c r="AB328" i="62"/>
  <c r="AA328" i="62" a="1"/>
  <c r="AA328" i="62"/>
  <c r="V328" i="62" a="1"/>
  <c r="V328" i="62"/>
  <c r="R328" i="62" a="1"/>
  <c r="R328" i="62"/>
  <c r="N328" i="62" a="1"/>
  <c r="N328" i="62"/>
  <c r="J328" i="62" a="1"/>
  <c r="J328" i="62"/>
  <c r="I328" i="62" a="1"/>
  <c r="I328" i="62"/>
  <c r="BF327" i="62" a="1"/>
  <c r="BF327" i="62"/>
  <c r="BB327" i="62" a="1"/>
  <c r="BB327" i="62"/>
  <c r="AX327" i="62" a="1"/>
  <c r="AX327" i="62"/>
  <c r="AT327" i="62" a="1"/>
  <c r="AT327" i="62"/>
  <c r="AS327" i="62" a="1"/>
  <c r="AS327" i="62"/>
  <c r="AN327" i="62" a="1"/>
  <c r="AN327" i="62"/>
  <c r="AJ327" i="62" a="1"/>
  <c r="AJ327" i="62"/>
  <c r="AF327" i="62" a="1"/>
  <c r="AF327" i="62"/>
  <c r="AB327" i="62" a="1"/>
  <c r="AB327" i="62"/>
  <c r="AA327" i="62" a="1"/>
  <c r="AA327" i="62"/>
  <c r="V327" i="62" a="1"/>
  <c r="V327" i="62"/>
  <c r="R327" i="62" a="1"/>
  <c r="R327" i="62"/>
  <c r="N327" i="62" a="1"/>
  <c r="N327" i="62"/>
  <c r="J327" i="62" a="1"/>
  <c r="J327" i="62"/>
  <c r="I327" i="62" a="1"/>
  <c r="I327" i="62"/>
  <c r="BF326" i="62" a="1"/>
  <c r="BF326" i="62"/>
  <c r="BB326" i="62" a="1"/>
  <c r="BB326" i="62"/>
  <c r="AX326" i="62" a="1"/>
  <c r="AX326" i="62"/>
  <c r="AT326" i="62" a="1"/>
  <c r="AT326" i="62"/>
  <c r="AS326" i="62" a="1"/>
  <c r="AS326" i="62"/>
  <c r="AN326" i="62" a="1"/>
  <c r="AN326" i="62"/>
  <c r="AJ326" i="62" a="1"/>
  <c r="AJ326" i="62"/>
  <c r="AF326" i="62" a="1"/>
  <c r="AF326" i="62"/>
  <c r="AB326" i="62" a="1"/>
  <c r="AB326" i="62"/>
  <c r="AA326" i="62" a="1"/>
  <c r="AA326" i="62"/>
  <c r="V326" i="62" a="1"/>
  <c r="V326" i="62"/>
  <c r="R326" i="62" a="1"/>
  <c r="R326" i="62"/>
  <c r="N326" i="62" a="1"/>
  <c r="N326" i="62"/>
  <c r="J326" i="62" a="1"/>
  <c r="J326" i="62"/>
  <c r="I326" i="62" a="1"/>
  <c r="I326" i="62"/>
  <c r="BF317" i="62" a="1"/>
  <c r="BF317" i="62"/>
  <c r="BB317" i="62" a="1"/>
  <c r="BB317" i="62"/>
  <c r="AX317" i="62" a="1"/>
  <c r="AX317" i="62"/>
  <c r="AT317" i="62" a="1"/>
  <c r="AT317" i="62"/>
  <c r="AS317" i="62" a="1"/>
  <c r="AS317" i="62"/>
  <c r="AN317" i="62" a="1"/>
  <c r="AN317" i="62"/>
  <c r="AJ317" i="62" a="1"/>
  <c r="AJ317" i="62"/>
  <c r="AF317" i="62" a="1"/>
  <c r="AF317" i="62"/>
  <c r="AB317" i="62" a="1"/>
  <c r="AB317" i="62"/>
  <c r="AA317" i="62" a="1"/>
  <c r="AA317" i="62"/>
  <c r="V317" i="62" a="1"/>
  <c r="V317" i="62"/>
  <c r="R317" i="62" a="1"/>
  <c r="R317" i="62"/>
  <c r="N317" i="62" a="1"/>
  <c r="N317" i="62"/>
  <c r="J317" i="62" a="1"/>
  <c r="J317" i="62"/>
  <c r="I317" i="62" a="1"/>
  <c r="I317" i="62"/>
  <c r="BF316" i="62" a="1"/>
  <c r="BF316" i="62"/>
  <c r="BB316" i="62" a="1"/>
  <c r="BB316" i="62"/>
  <c r="AX316" i="62" a="1"/>
  <c r="AX316" i="62"/>
  <c r="AT316" i="62" a="1"/>
  <c r="AT316" i="62"/>
  <c r="AS316" i="62" a="1"/>
  <c r="AS316" i="62"/>
  <c r="AN316" i="62" a="1"/>
  <c r="AN316" i="62"/>
  <c r="AJ316" i="62" a="1"/>
  <c r="AJ316" i="62"/>
  <c r="AF316" i="62" a="1"/>
  <c r="AF316" i="62"/>
  <c r="AB316" i="62" a="1"/>
  <c r="AB316" i="62"/>
  <c r="AA316" i="62" a="1"/>
  <c r="AA316" i="62"/>
  <c r="V316" i="62" a="1"/>
  <c r="V316" i="62"/>
  <c r="R316" i="62" a="1"/>
  <c r="R316" i="62"/>
  <c r="N316" i="62" a="1"/>
  <c r="N316" i="62"/>
  <c r="J316" i="62" a="1"/>
  <c r="J316" i="62"/>
  <c r="I316" i="62" a="1"/>
  <c r="I316" i="62"/>
  <c r="BF315" i="62" a="1"/>
  <c r="BF315" i="62"/>
  <c r="BB315" i="62" a="1"/>
  <c r="BB315" i="62"/>
  <c r="AX315" i="62" a="1"/>
  <c r="AX315" i="62"/>
  <c r="AT315" i="62" a="1"/>
  <c r="AT315" i="62"/>
  <c r="AS315" i="62" a="1"/>
  <c r="AS315" i="62"/>
  <c r="AN315" i="62" a="1"/>
  <c r="AN315" i="62"/>
  <c r="AJ315" i="62" a="1"/>
  <c r="AJ315" i="62"/>
  <c r="AF315" i="62" a="1"/>
  <c r="AF315" i="62"/>
  <c r="AB315" i="62" a="1"/>
  <c r="AB315" i="62"/>
  <c r="AA315" i="62" a="1"/>
  <c r="AA315" i="62"/>
  <c r="V315" i="62" a="1"/>
  <c r="V315" i="62"/>
  <c r="R315" i="62" a="1"/>
  <c r="R315" i="62"/>
  <c r="N315" i="62" a="1"/>
  <c r="N315" i="62"/>
  <c r="J315" i="62" a="1"/>
  <c r="J315" i="62"/>
  <c r="I315" i="62" a="1"/>
  <c r="I315" i="62"/>
  <c r="BF314" i="62" a="1"/>
  <c r="BF314" i="62"/>
  <c r="BB314" i="62" a="1"/>
  <c r="BB314" i="62"/>
  <c r="AX314" i="62" a="1"/>
  <c r="AX314" i="62"/>
  <c r="AT314" i="62" a="1"/>
  <c r="AT314" i="62"/>
  <c r="AS314" i="62" a="1"/>
  <c r="AS314" i="62"/>
  <c r="AN314" i="62" a="1"/>
  <c r="AN314" i="62"/>
  <c r="AJ314" i="62" a="1"/>
  <c r="AJ314" i="62"/>
  <c r="AF314" i="62" a="1"/>
  <c r="AF314" i="62"/>
  <c r="AB314" i="62" a="1"/>
  <c r="AB314" i="62"/>
  <c r="AA314" i="62" a="1"/>
  <c r="AA314" i="62"/>
  <c r="V314" i="62" a="1"/>
  <c r="V314" i="62"/>
  <c r="R314" i="62" a="1"/>
  <c r="R314" i="62"/>
  <c r="N314" i="62" a="1"/>
  <c r="N314" i="62"/>
  <c r="J314" i="62" a="1"/>
  <c r="J314" i="62"/>
  <c r="I314" i="62" a="1"/>
  <c r="I314" i="62"/>
  <c r="BF313" i="62" a="1"/>
  <c r="BF313" i="62"/>
  <c r="BB313" i="62" a="1"/>
  <c r="BB313" i="62"/>
  <c r="AX313" i="62" a="1"/>
  <c r="AX313" i="62"/>
  <c r="AT313" i="62" a="1"/>
  <c r="AT313" i="62"/>
  <c r="AS313" i="62" a="1"/>
  <c r="AS313" i="62"/>
  <c r="AN313" i="62" a="1"/>
  <c r="AN313" i="62"/>
  <c r="AJ313" i="62" a="1"/>
  <c r="AJ313" i="62"/>
  <c r="AF313" i="62" a="1"/>
  <c r="AF313" i="62"/>
  <c r="AB313" i="62" a="1"/>
  <c r="AB313" i="62"/>
  <c r="AA313" i="62" a="1"/>
  <c r="AA313" i="62"/>
  <c r="V313" i="62" a="1"/>
  <c r="V313" i="62"/>
  <c r="R313" i="62" a="1"/>
  <c r="R313" i="62"/>
  <c r="N313" i="62" a="1"/>
  <c r="N313" i="62"/>
  <c r="J313" i="62" a="1"/>
  <c r="J313" i="62"/>
  <c r="I313" i="62" a="1"/>
  <c r="I313" i="62"/>
  <c r="BF312" i="62" a="1"/>
  <c r="BF312" i="62"/>
  <c r="BB312" i="62" a="1"/>
  <c r="BB312" i="62"/>
  <c r="AX312" i="62" a="1"/>
  <c r="AX312" i="62"/>
  <c r="AT312" i="62" a="1"/>
  <c r="AT312" i="62"/>
  <c r="AS312" i="62" a="1"/>
  <c r="AS312" i="62"/>
  <c r="AN312" i="62" a="1"/>
  <c r="AN312" i="62"/>
  <c r="AJ312" i="62" a="1"/>
  <c r="AJ312" i="62"/>
  <c r="AF312" i="62" a="1"/>
  <c r="AF312" i="62"/>
  <c r="AB312" i="62" a="1"/>
  <c r="AB312" i="62"/>
  <c r="AA312" i="62" a="1"/>
  <c r="AA312" i="62"/>
  <c r="V312" i="62" a="1"/>
  <c r="V312" i="62"/>
  <c r="R312" i="62" a="1"/>
  <c r="R312" i="62"/>
  <c r="N312" i="62" a="1"/>
  <c r="N312" i="62"/>
  <c r="J312" i="62" a="1"/>
  <c r="J312" i="62"/>
  <c r="I312" i="62" a="1"/>
  <c r="I312" i="62"/>
  <c r="BF311" i="62" a="1"/>
  <c r="BF311" i="62"/>
  <c r="BB311" i="62" a="1"/>
  <c r="BB311" i="62"/>
  <c r="AX311" i="62" a="1"/>
  <c r="AX311" i="62"/>
  <c r="AT311" i="62" a="1"/>
  <c r="AT311" i="62"/>
  <c r="AS311" i="62" a="1"/>
  <c r="AS311" i="62"/>
  <c r="AN311" i="62" a="1"/>
  <c r="AN311" i="62"/>
  <c r="AJ311" i="62" a="1"/>
  <c r="AJ311" i="62"/>
  <c r="AF311" i="62" a="1"/>
  <c r="AF311" i="62"/>
  <c r="AB311" i="62" a="1"/>
  <c r="AB311" i="62"/>
  <c r="AA311" i="62" a="1"/>
  <c r="AA311" i="62"/>
  <c r="V311" i="62" a="1"/>
  <c r="V311" i="62"/>
  <c r="R311" i="62" a="1"/>
  <c r="R311" i="62"/>
  <c r="N311" i="62" a="1"/>
  <c r="N311" i="62"/>
  <c r="J311" i="62" a="1"/>
  <c r="J311" i="62"/>
  <c r="I311" i="62" a="1"/>
  <c r="I311" i="62"/>
  <c r="BF310" i="62" a="1"/>
  <c r="BF310" i="62"/>
  <c r="BB310" i="62" a="1"/>
  <c r="BB310" i="62"/>
  <c r="AX310" i="62" a="1"/>
  <c r="AX310" i="62"/>
  <c r="AT310" i="62" a="1"/>
  <c r="AT310" i="62"/>
  <c r="AS310" i="62" a="1"/>
  <c r="AS310" i="62"/>
  <c r="AN310" i="62" a="1"/>
  <c r="AN310" i="62"/>
  <c r="AJ310" i="62" a="1"/>
  <c r="AJ310" i="62"/>
  <c r="AF310" i="62" a="1"/>
  <c r="AF310" i="62"/>
  <c r="AB310" i="62" a="1"/>
  <c r="AB310" i="62"/>
  <c r="AA310" i="62" a="1"/>
  <c r="AA310" i="62"/>
  <c r="V310" i="62" a="1"/>
  <c r="V310" i="62"/>
  <c r="R310" i="62" a="1"/>
  <c r="R310" i="62"/>
  <c r="N310" i="62" a="1"/>
  <c r="N310" i="62"/>
  <c r="J310" i="62" a="1"/>
  <c r="J310" i="62"/>
  <c r="I310" i="62" a="1"/>
  <c r="I310" i="62"/>
  <c r="BF309" i="62" a="1"/>
  <c r="BF309" i="62"/>
  <c r="BB309" i="62" a="1"/>
  <c r="BB309" i="62"/>
  <c r="AX309" i="62" a="1"/>
  <c r="AX309" i="62"/>
  <c r="AT309" i="62" a="1"/>
  <c r="AT309" i="62"/>
  <c r="AS309" i="62" a="1"/>
  <c r="AS309" i="62"/>
  <c r="AN309" i="62" a="1"/>
  <c r="AN309" i="62"/>
  <c r="AJ309" i="62" a="1"/>
  <c r="AJ309" i="62"/>
  <c r="AF309" i="62" a="1"/>
  <c r="AF309" i="62"/>
  <c r="AB309" i="62" a="1"/>
  <c r="AB309" i="62"/>
  <c r="AA309" i="62" a="1"/>
  <c r="AA309" i="62"/>
  <c r="V309" i="62" a="1"/>
  <c r="V309" i="62"/>
  <c r="R309" i="62" a="1"/>
  <c r="R309" i="62"/>
  <c r="N309" i="62" a="1"/>
  <c r="N309" i="62"/>
  <c r="J309" i="62" a="1"/>
  <c r="J309" i="62"/>
  <c r="I309" i="62" a="1"/>
  <c r="I309" i="62"/>
  <c r="BF308" i="62" a="1"/>
  <c r="BF308" i="62"/>
  <c r="BB308" i="62" a="1"/>
  <c r="BB308" i="62"/>
  <c r="AX308" i="62" a="1"/>
  <c r="AX308" i="62"/>
  <c r="AT308" i="62" a="1"/>
  <c r="AT308" i="62"/>
  <c r="AS308" i="62" a="1"/>
  <c r="AS308" i="62"/>
  <c r="AN308" i="62" a="1"/>
  <c r="AN308" i="62"/>
  <c r="AJ308" i="62" a="1"/>
  <c r="AJ308" i="62"/>
  <c r="AF308" i="62" a="1"/>
  <c r="AF308" i="62"/>
  <c r="AB308" i="62" a="1"/>
  <c r="AB308" i="62"/>
  <c r="AA308" i="62" a="1"/>
  <c r="AA308" i="62"/>
  <c r="V308" i="62" a="1"/>
  <c r="V308" i="62"/>
  <c r="R308" i="62" a="1"/>
  <c r="R308" i="62"/>
  <c r="N308" i="62" a="1"/>
  <c r="N308" i="62"/>
  <c r="J308" i="62" a="1"/>
  <c r="J308" i="62"/>
  <c r="I308" i="62" a="1"/>
  <c r="I308" i="62"/>
  <c r="BF307" i="62" a="1"/>
  <c r="BF307" i="62"/>
  <c r="BB307" i="62" a="1"/>
  <c r="BB307" i="62"/>
  <c r="AX307" i="62" a="1"/>
  <c r="AX307" i="62"/>
  <c r="AT307" i="62" a="1"/>
  <c r="AT307" i="62"/>
  <c r="AS307" i="62" a="1"/>
  <c r="AS307" i="62"/>
  <c r="AN307" i="62" a="1"/>
  <c r="AN307" i="62"/>
  <c r="AJ307" i="62" a="1"/>
  <c r="AJ307" i="62"/>
  <c r="AF307" i="62" a="1"/>
  <c r="AF307" i="62"/>
  <c r="AB307" i="62" a="1"/>
  <c r="AB307" i="62"/>
  <c r="AA307" i="62" a="1"/>
  <c r="AA307" i="62"/>
  <c r="V307" i="62" a="1"/>
  <c r="V307" i="62"/>
  <c r="R307" i="62" a="1"/>
  <c r="R307" i="62"/>
  <c r="N307" i="62" a="1"/>
  <c r="N307" i="62"/>
  <c r="J307" i="62" a="1"/>
  <c r="J307" i="62"/>
  <c r="I307" i="62" a="1"/>
  <c r="I307" i="62"/>
  <c r="BF306" i="62" a="1"/>
  <c r="BF306" i="62"/>
  <c r="BB306" i="62" a="1"/>
  <c r="BB306" i="62"/>
  <c r="AX306" i="62" a="1"/>
  <c r="AX306" i="62"/>
  <c r="AT306" i="62" a="1"/>
  <c r="AT306" i="62"/>
  <c r="AS306" i="62" a="1"/>
  <c r="AS306" i="62"/>
  <c r="AN306" i="62" a="1"/>
  <c r="AN306" i="62"/>
  <c r="AJ306" i="62" a="1"/>
  <c r="AJ306" i="62"/>
  <c r="AF306" i="62" a="1"/>
  <c r="AF306" i="62"/>
  <c r="AB306" i="62" a="1"/>
  <c r="AB306" i="62"/>
  <c r="AA306" i="62" a="1"/>
  <c r="AA306" i="62"/>
  <c r="V306" i="62" a="1"/>
  <c r="V306" i="62"/>
  <c r="R306" i="62" a="1"/>
  <c r="R306" i="62"/>
  <c r="N306" i="62" a="1"/>
  <c r="N306" i="62"/>
  <c r="J306" i="62" a="1"/>
  <c r="J306" i="62"/>
  <c r="I306" i="62" a="1"/>
  <c r="I306" i="62"/>
  <c r="BF305" i="62" a="1"/>
  <c r="BF305" i="62"/>
  <c r="BB305" i="62" a="1"/>
  <c r="BB305" i="62"/>
  <c r="AX305" i="62" a="1"/>
  <c r="AX305" i="62"/>
  <c r="AT305" i="62" a="1"/>
  <c r="AT305" i="62"/>
  <c r="AS305" i="62" a="1"/>
  <c r="AS305" i="62"/>
  <c r="AN305" i="62" a="1"/>
  <c r="AN305" i="62"/>
  <c r="AJ305" i="62" a="1"/>
  <c r="AJ305" i="62"/>
  <c r="AF305" i="62" a="1"/>
  <c r="AF305" i="62"/>
  <c r="AB305" i="62" a="1"/>
  <c r="AB305" i="62"/>
  <c r="AA305" i="62" a="1"/>
  <c r="AA305" i="62"/>
  <c r="V305" i="62" a="1"/>
  <c r="V305" i="62"/>
  <c r="R305" i="62" a="1"/>
  <c r="R305" i="62"/>
  <c r="N305" i="62" a="1"/>
  <c r="N305" i="62"/>
  <c r="J305" i="62" a="1"/>
  <c r="J305" i="62"/>
  <c r="I305" i="62" a="1"/>
  <c r="I305" i="62"/>
  <c r="BF304" i="62" a="1"/>
  <c r="BF304" i="62"/>
  <c r="BB304" i="62" a="1"/>
  <c r="BB304" i="62"/>
  <c r="AX304" i="62" a="1"/>
  <c r="AX304" i="62"/>
  <c r="AT304" i="62" a="1"/>
  <c r="AT304" i="62"/>
  <c r="AS304" i="62" a="1"/>
  <c r="AS304" i="62"/>
  <c r="AN304" i="62" a="1"/>
  <c r="AN304" i="62"/>
  <c r="AJ304" i="62" a="1"/>
  <c r="AJ304" i="62"/>
  <c r="AF304" i="62" a="1"/>
  <c r="AF304" i="62"/>
  <c r="AB304" i="62" a="1"/>
  <c r="AB304" i="62"/>
  <c r="AA304" i="62" a="1"/>
  <c r="AA304" i="62"/>
  <c r="V304" i="62" a="1"/>
  <c r="V304" i="62"/>
  <c r="R304" i="62" a="1"/>
  <c r="R304" i="62"/>
  <c r="N304" i="62" a="1"/>
  <c r="N304" i="62"/>
  <c r="J304" i="62" a="1"/>
  <c r="J304" i="62"/>
  <c r="I304" i="62" a="1"/>
  <c r="I304" i="62"/>
  <c r="BF303" i="62" a="1"/>
  <c r="BF303" i="62"/>
  <c r="BB303" i="62" a="1"/>
  <c r="BB303" i="62"/>
  <c r="AX303" i="62" a="1"/>
  <c r="AX303" i="62"/>
  <c r="AT303" i="62" a="1"/>
  <c r="AT303" i="62"/>
  <c r="AS303" i="62" a="1"/>
  <c r="AS303" i="62"/>
  <c r="AN303" i="62" a="1"/>
  <c r="AN303" i="62"/>
  <c r="AJ303" i="62" a="1"/>
  <c r="AJ303" i="62"/>
  <c r="AF303" i="62" a="1"/>
  <c r="AF303" i="62"/>
  <c r="AB303" i="62" a="1"/>
  <c r="AB303" i="62"/>
  <c r="AA303" i="62" a="1"/>
  <c r="AA303" i="62"/>
  <c r="V303" i="62" a="1"/>
  <c r="V303" i="62"/>
  <c r="R303" i="62" a="1"/>
  <c r="R303" i="62"/>
  <c r="N303" i="62" a="1"/>
  <c r="N303" i="62"/>
  <c r="J303" i="62" a="1"/>
  <c r="J303" i="62"/>
  <c r="I303" i="62" a="1"/>
  <c r="I303" i="62"/>
  <c r="BF302" i="62" a="1"/>
  <c r="BF302" i="62"/>
  <c r="BB302" i="62" a="1"/>
  <c r="BB302" i="62"/>
  <c r="AX302" i="62" a="1"/>
  <c r="AX302" i="62"/>
  <c r="AT302" i="62" a="1"/>
  <c r="AT302" i="62"/>
  <c r="AS302" i="62" a="1"/>
  <c r="AS302" i="62"/>
  <c r="AN302" i="62" a="1"/>
  <c r="AN302" i="62"/>
  <c r="AJ302" i="62" a="1"/>
  <c r="AJ302" i="62"/>
  <c r="AF302" i="62" a="1"/>
  <c r="AF302" i="62"/>
  <c r="AB302" i="62" a="1"/>
  <c r="AB302" i="62"/>
  <c r="AA302" i="62" a="1"/>
  <c r="AA302" i="62"/>
  <c r="V302" i="62" a="1"/>
  <c r="V302" i="62"/>
  <c r="R302" i="62" a="1"/>
  <c r="R302" i="62"/>
  <c r="N302" i="62" a="1"/>
  <c r="N302" i="62"/>
  <c r="J302" i="62" a="1"/>
  <c r="J302" i="62"/>
  <c r="I302" i="62" a="1"/>
  <c r="I302" i="62"/>
  <c r="BF301" i="62" a="1"/>
  <c r="BF301" i="62"/>
  <c r="BB301" i="62" a="1"/>
  <c r="BB301" i="62"/>
  <c r="AX301" i="62" a="1"/>
  <c r="AX301" i="62"/>
  <c r="AT301" i="62" a="1"/>
  <c r="AT301" i="62"/>
  <c r="AS301" i="62" a="1"/>
  <c r="AS301" i="62"/>
  <c r="AN301" i="62" a="1"/>
  <c r="AN301" i="62"/>
  <c r="AJ301" i="62" a="1"/>
  <c r="AJ301" i="62"/>
  <c r="AF301" i="62" a="1"/>
  <c r="AF301" i="62"/>
  <c r="AB301" i="62" a="1"/>
  <c r="AB301" i="62"/>
  <c r="AA301" i="62" a="1"/>
  <c r="AA301" i="62"/>
  <c r="V301" i="62" a="1"/>
  <c r="V301" i="62"/>
  <c r="R301" i="62" a="1"/>
  <c r="R301" i="62"/>
  <c r="N301" i="62" a="1"/>
  <c r="N301" i="62"/>
  <c r="J301" i="62" a="1"/>
  <c r="J301" i="62"/>
  <c r="I301" i="62" a="1"/>
  <c r="I301" i="62"/>
  <c r="BF300" i="62" a="1"/>
  <c r="BF300" i="62"/>
  <c r="BB300" i="62" a="1"/>
  <c r="BB300" i="62"/>
  <c r="AX300" i="62" a="1"/>
  <c r="AX300" i="62"/>
  <c r="AT300" i="62" a="1"/>
  <c r="AT300" i="62"/>
  <c r="AS300" i="62" a="1"/>
  <c r="AS300" i="62"/>
  <c r="AN300" i="62" a="1"/>
  <c r="AN300" i="62"/>
  <c r="AJ300" i="62" a="1"/>
  <c r="AJ300" i="62"/>
  <c r="AF300" i="62" a="1"/>
  <c r="AF300" i="62"/>
  <c r="AB300" i="62" a="1"/>
  <c r="AB300" i="62"/>
  <c r="AA300" i="62" a="1"/>
  <c r="AA300" i="62"/>
  <c r="V300" i="62" a="1"/>
  <c r="V300" i="62"/>
  <c r="R300" i="62" a="1"/>
  <c r="R300" i="62"/>
  <c r="N300" i="62" a="1"/>
  <c r="N300" i="62"/>
  <c r="J300" i="62" a="1"/>
  <c r="J300" i="62"/>
  <c r="I300" i="62" a="1"/>
  <c r="I300" i="62"/>
  <c r="BF299" i="62" a="1"/>
  <c r="BF299" i="62"/>
  <c r="BB299" i="62" a="1"/>
  <c r="BB299" i="62"/>
  <c r="AX299" i="62" a="1"/>
  <c r="AX299" i="62"/>
  <c r="AT299" i="62" a="1"/>
  <c r="AT299" i="62"/>
  <c r="AS299" i="62" a="1"/>
  <c r="AS299" i="62"/>
  <c r="AN299" i="62" a="1"/>
  <c r="AN299" i="62"/>
  <c r="AJ299" i="62" a="1"/>
  <c r="AJ299" i="62"/>
  <c r="AF299" i="62" a="1"/>
  <c r="AF299" i="62"/>
  <c r="AB299" i="62" a="1"/>
  <c r="AB299" i="62"/>
  <c r="AA299" i="62" a="1"/>
  <c r="AA299" i="62"/>
  <c r="V299" i="62" a="1"/>
  <c r="V299" i="62"/>
  <c r="R299" i="62" a="1"/>
  <c r="R299" i="62"/>
  <c r="N299" i="62" a="1"/>
  <c r="N299" i="62"/>
  <c r="J299" i="62" a="1"/>
  <c r="J299" i="62"/>
  <c r="I299" i="62" a="1"/>
  <c r="I299" i="62"/>
  <c r="BF298" i="62" a="1"/>
  <c r="BF298" i="62"/>
  <c r="BB298" i="62" a="1"/>
  <c r="BB298" i="62"/>
  <c r="AX298" i="62" a="1"/>
  <c r="AX298" i="62"/>
  <c r="AT298" i="62" a="1"/>
  <c r="AT298" i="62"/>
  <c r="AS298" i="62" a="1"/>
  <c r="AS298" i="62"/>
  <c r="AN298" i="62" a="1"/>
  <c r="AN298" i="62"/>
  <c r="AJ298" i="62" a="1"/>
  <c r="AJ298" i="62"/>
  <c r="AF298" i="62" a="1"/>
  <c r="AF298" i="62"/>
  <c r="AB298" i="62" a="1"/>
  <c r="AB298" i="62"/>
  <c r="AA298" i="62" a="1"/>
  <c r="AA298" i="62"/>
  <c r="V298" i="62" a="1"/>
  <c r="V298" i="62"/>
  <c r="R298" i="62" a="1"/>
  <c r="R298" i="62"/>
  <c r="N298" i="62" a="1"/>
  <c r="N298" i="62"/>
  <c r="J298" i="62" a="1"/>
  <c r="J298" i="62"/>
  <c r="I298" i="62" a="1"/>
  <c r="I298" i="62"/>
  <c r="BF297" i="62" a="1"/>
  <c r="BF297" i="62"/>
  <c r="BB297" i="62" a="1"/>
  <c r="BB297" i="62"/>
  <c r="AX297" i="62" a="1"/>
  <c r="AX297" i="62"/>
  <c r="AT297" i="62" a="1"/>
  <c r="AT297" i="62"/>
  <c r="AS297" i="62" a="1"/>
  <c r="AS297" i="62"/>
  <c r="AN297" i="62" a="1"/>
  <c r="AN297" i="62"/>
  <c r="AJ297" i="62" a="1"/>
  <c r="AJ297" i="62"/>
  <c r="AF297" i="62" a="1"/>
  <c r="AF297" i="62"/>
  <c r="AB297" i="62" a="1"/>
  <c r="AB297" i="62"/>
  <c r="AA297" i="62" a="1"/>
  <c r="AA297" i="62"/>
  <c r="V297" i="62" a="1"/>
  <c r="V297" i="62"/>
  <c r="R297" i="62" a="1"/>
  <c r="R297" i="62"/>
  <c r="N297" i="62" a="1"/>
  <c r="N297" i="62"/>
  <c r="J297" i="62" a="1"/>
  <c r="J297" i="62"/>
  <c r="I297" i="62" a="1"/>
  <c r="I297" i="62"/>
  <c r="BF296" i="62" a="1"/>
  <c r="BF296" i="62"/>
  <c r="BB296" i="62" a="1"/>
  <c r="BB296" i="62"/>
  <c r="AX296" i="62" a="1"/>
  <c r="AX296" i="62"/>
  <c r="AT296" i="62" a="1"/>
  <c r="AT296" i="62"/>
  <c r="AS296" i="62" a="1"/>
  <c r="AS296" i="62"/>
  <c r="AN296" i="62" a="1"/>
  <c r="AN296" i="62"/>
  <c r="AJ296" i="62" a="1"/>
  <c r="AJ296" i="62"/>
  <c r="AF296" i="62" a="1"/>
  <c r="AF296" i="62"/>
  <c r="AB296" i="62" a="1"/>
  <c r="AB296" i="62"/>
  <c r="AA296" i="62" a="1"/>
  <c r="AA296" i="62"/>
  <c r="V296" i="62" a="1"/>
  <c r="V296" i="62"/>
  <c r="R296" i="62" a="1"/>
  <c r="R296" i="62"/>
  <c r="N296" i="62" a="1"/>
  <c r="N296" i="62"/>
  <c r="J296" i="62" a="1"/>
  <c r="J296" i="62"/>
  <c r="I296" i="62" a="1"/>
  <c r="I296" i="62"/>
  <c r="BF292" i="62" a="1"/>
  <c r="BF292" i="62"/>
  <c r="BB292" i="62" a="1"/>
  <c r="BB292" i="62"/>
  <c r="AX292" i="62" a="1"/>
  <c r="AX292" i="62"/>
  <c r="AT292" i="62" a="1"/>
  <c r="AT292" i="62"/>
  <c r="AS292" i="62" a="1"/>
  <c r="AS292" i="62"/>
  <c r="AN292" i="62" a="1"/>
  <c r="AN292" i="62"/>
  <c r="AJ292" i="62" a="1"/>
  <c r="AJ292" i="62"/>
  <c r="AF292" i="62" a="1"/>
  <c r="AF292" i="62"/>
  <c r="AB292" i="62" a="1"/>
  <c r="AB292" i="62"/>
  <c r="AA292" i="62" a="1"/>
  <c r="AA292" i="62"/>
  <c r="V292" i="62" a="1"/>
  <c r="V292" i="62"/>
  <c r="R292" i="62" a="1"/>
  <c r="R292" i="62"/>
  <c r="N292" i="62" a="1"/>
  <c r="N292" i="62"/>
  <c r="J292" i="62" a="1"/>
  <c r="J292" i="62"/>
  <c r="I292" i="62" a="1"/>
  <c r="I292" i="62"/>
  <c r="BF291" i="62" a="1"/>
  <c r="BF291" i="62"/>
  <c r="BB291" i="62" a="1"/>
  <c r="BB291" i="62"/>
  <c r="AX291" i="62" a="1"/>
  <c r="AX291" i="62"/>
  <c r="AT291" i="62" a="1"/>
  <c r="AT291" i="62"/>
  <c r="AS291" i="62" a="1"/>
  <c r="AS291" i="62"/>
  <c r="AN291" i="62" a="1"/>
  <c r="AN291" i="62"/>
  <c r="AJ291" i="62" a="1"/>
  <c r="AJ291" i="62"/>
  <c r="AF291" i="62" a="1"/>
  <c r="AF291" i="62"/>
  <c r="AB291" i="62" a="1"/>
  <c r="AB291" i="62"/>
  <c r="AA291" i="62" a="1"/>
  <c r="AA291" i="62"/>
  <c r="V291" i="62" a="1"/>
  <c r="V291" i="62"/>
  <c r="R291" i="62" a="1"/>
  <c r="R291" i="62"/>
  <c r="N291" i="62" a="1"/>
  <c r="N291" i="62"/>
  <c r="J291" i="62" a="1"/>
  <c r="J291" i="62"/>
  <c r="I291" i="62" a="1"/>
  <c r="I291" i="62"/>
  <c r="BF290" i="62" a="1"/>
  <c r="BF290" i="62"/>
  <c r="BB290" i="62" a="1"/>
  <c r="BB290" i="62"/>
  <c r="AX290" i="62" a="1"/>
  <c r="AX290" i="62"/>
  <c r="AT290" i="62" a="1"/>
  <c r="AT290" i="62"/>
  <c r="AS290" i="62" a="1"/>
  <c r="AS290" i="62"/>
  <c r="AN290" i="62" a="1"/>
  <c r="AN290" i="62"/>
  <c r="AJ290" i="62" a="1"/>
  <c r="AJ290" i="62"/>
  <c r="AF290" i="62" a="1"/>
  <c r="AF290" i="62"/>
  <c r="AB290" i="62" a="1"/>
  <c r="AB290" i="62"/>
  <c r="AA290" i="62" a="1"/>
  <c r="AA290" i="62"/>
  <c r="V290" i="62" a="1"/>
  <c r="V290" i="62"/>
  <c r="R290" i="62" a="1"/>
  <c r="R290" i="62"/>
  <c r="N290" i="62" a="1"/>
  <c r="N290" i="62"/>
  <c r="J290" i="62" a="1"/>
  <c r="J290" i="62"/>
  <c r="I290" i="62" a="1"/>
  <c r="I290" i="62"/>
  <c r="BF289" i="62" a="1"/>
  <c r="BF289" i="62"/>
  <c r="BB289" i="62" a="1"/>
  <c r="BB289" i="62"/>
  <c r="AX289" i="62" a="1"/>
  <c r="AX289" i="62"/>
  <c r="AT289" i="62" a="1"/>
  <c r="AT289" i="62"/>
  <c r="AS289" i="62" a="1"/>
  <c r="AS289" i="62"/>
  <c r="AN289" i="62" a="1"/>
  <c r="AN289" i="62"/>
  <c r="AJ289" i="62" a="1"/>
  <c r="AJ289" i="62"/>
  <c r="AF289" i="62" a="1"/>
  <c r="AF289" i="62"/>
  <c r="AB289" i="62" a="1"/>
  <c r="AB289" i="62"/>
  <c r="AA289" i="62" a="1"/>
  <c r="AA289" i="62"/>
  <c r="V289" i="62" a="1"/>
  <c r="V289" i="62"/>
  <c r="R289" i="62" a="1"/>
  <c r="R289" i="62"/>
  <c r="N289" i="62" a="1"/>
  <c r="N289" i="62"/>
  <c r="J289" i="62" a="1"/>
  <c r="J289" i="62"/>
  <c r="I289" i="62" a="1"/>
  <c r="I289" i="62"/>
  <c r="BF288" i="62" a="1"/>
  <c r="BF288" i="62"/>
  <c r="BB288" i="62" a="1"/>
  <c r="BB288" i="62"/>
  <c r="AX288" i="62" a="1"/>
  <c r="AX288" i="62"/>
  <c r="AT288" i="62" a="1"/>
  <c r="AT288" i="62"/>
  <c r="AS288" i="62" a="1"/>
  <c r="AS288" i="62"/>
  <c r="AN288" i="62" a="1"/>
  <c r="AN288" i="62"/>
  <c r="AJ288" i="62" a="1"/>
  <c r="AJ288" i="62"/>
  <c r="AF288" i="62" a="1"/>
  <c r="AF288" i="62"/>
  <c r="AB288" i="62" a="1"/>
  <c r="AB288" i="62"/>
  <c r="AA288" i="62" a="1"/>
  <c r="AA288" i="62"/>
  <c r="V288" i="62" a="1"/>
  <c r="V288" i="62"/>
  <c r="R288" i="62" a="1"/>
  <c r="R288" i="62"/>
  <c r="N288" i="62" a="1"/>
  <c r="N288" i="62"/>
  <c r="J288" i="62" a="1"/>
  <c r="J288" i="62"/>
  <c r="I288" i="62" a="1"/>
  <c r="I288" i="62"/>
  <c r="BF287" i="62" a="1"/>
  <c r="BF287" i="62"/>
  <c r="BB287" i="62" a="1"/>
  <c r="BB287" i="62"/>
  <c r="AX287" i="62" a="1"/>
  <c r="AX287" i="62"/>
  <c r="AT287" i="62" a="1"/>
  <c r="AT287" i="62"/>
  <c r="AS287" i="62" a="1"/>
  <c r="AS287" i="62"/>
  <c r="AN287" i="62" a="1"/>
  <c r="AN287" i="62"/>
  <c r="AJ287" i="62" a="1"/>
  <c r="AJ287" i="62"/>
  <c r="AF287" i="62" a="1"/>
  <c r="AF287" i="62"/>
  <c r="AB287" i="62" a="1"/>
  <c r="AB287" i="62"/>
  <c r="AA287" i="62" a="1"/>
  <c r="AA287" i="62"/>
  <c r="V287" i="62" a="1"/>
  <c r="V287" i="62"/>
  <c r="R287" i="62" a="1"/>
  <c r="R287" i="62"/>
  <c r="N287" i="62" a="1"/>
  <c r="N287" i="62"/>
  <c r="J287" i="62" a="1"/>
  <c r="J287" i="62"/>
  <c r="I287" i="62" a="1"/>
  <c r="I287" i="62"/>
  <c r="BF283" i="62" a="1"/>
  <c r="BF283" i="62"/>
  <c r="BB283" i="62" a="1"/>
  <c r="BB283" i="62"/>
  <c r="AX283" i="62" a="1"/>
  <c r="AX283" i="62"/>
  <c r="AT283" i="62" a="1"/>
  <c r="AT283" i="62"/>
  <c r="AS283" i="62" a="1"/>
  <c r="AS283" i="62"/>
  <c r="AN283" i="62" a="1"/>
  <c r="AN283" i="62"/>
  <c r="AJ283" i="62" a="1"/>
  <c r="AJ283" i="62"/>
  <c r="AF283" i="62" a="1"/>
  <c r="AF283" i="62"/>
  <c r="AB283" i="62" a="1"/>
  <c r="AB283" i="62"/>
  <c r="AA283" i="62" a="1"/>
  <c r="AA283" i="62"/>
  <c r="V283" i="62" a="1"/>
  <c r="V283" i="62"/>
  <c r="R283" i="62" a="1"/>
  <c r="R283" i="62"/>
  <c r="N283" i="62" a="1"/>
  <c r="N283" i="62"/>
  <c r="J283" i="62" a="1"/>
  <c r="J283" i="62"/>
  <c r="I283" i="62" a="1"/>
  <c r="I283" i="62"/>
  <c r="BF282" i="62" a="1"/>
  <c r="BF282" i="62"/>
  <c r="BB282" i="62" a="1"/>
  <c r="BB282" i="62"/>
  <c r="AX282" i="62" a="1"/>
  <c r="AX282" i="62"/>
  <c r="AT282" i="62" a="1"/>
  <c r="AT282" i="62"/>
  <c r="AS282" i="62" a="1"/>
  <c r="AS282" i="62"/>
  <c r="AN282" i="62" a="1"/>
  <c r="AN282" i="62"/>
  <c r="AJ282" i="62" a="1"/>
  <c r="AJ282" i="62"/>
  <c r="AF282" i="62" a="1"/>
  <c r="AF282" i="62"/>
  <c r="AB282" i="62" a="1"/>
  <c r="AB282" i="62"/>
  <c r="AA282" i="62" a="1"/>
  <c r="AA282" i="62"/>
  <c r="V282" i="62" a="1"/>
  <c r="V282" i="62"/>
  <c r="R282" i="62" a="1"/>
  <c r="R282" i="62"/>
  <c r="N282" i="62" a="1"/>
  <c r="N282" i="62"/>
  <c r="J282" i="62" a="1"/>
  <c r="J282" i="62"/>
  <c r="I282" i="62" a="1"/>
  <c r="I282" i="62"/>
  <c r="BF281" i="62" a="1"/>
  <c r="BF281" i="62"/>
  <c r="BB281" i="62" a="1"/>
  <c r="BB281" i="62"/>
  <c r="AX281" i="62" a="1"/>
  <c r="AX281" i="62"/>
  <c r="AT281" i="62" a="1"/>
  <c r="AT281" i="62"/>
  <c r="AS281" i="62" a="1"/>
  <c r="AS281" i="62"/>
  <c r="AN281" i="62" a="1"/>
  <c r="AN281" i="62"/>
  <c r="AJ281" i="62" a="1"/>
  <c r="AJ281" i="62"/>
  <c r="AF281" i="62" a="1"/>
  <c r="AF281" i="62"/>
  <c r="AB281" i="62" a="1"/>
  <c r="AB281" i="62"/>
  <c r="AA281" i="62" a="1"/>
  <c r="AA281" i="62"/>
  <c r="V281" i="62" a="1"/>
  <c r="V281" i="62"/>
  <c r="R281" i="62" a="1"/>
  <c r="R281" i="62"/>
  <c r="N281" i="62" a="1"/>
  <c r="N281" i="62"/>
  <c r="J281" i="62" a="1"/>
  <c r="J281" i="62"/>
  <c r="I281" i="62" a="1"/>
  <c r="I281" i="62"/>
  <c r="BF277" i="62" a="1"/>
  <c r="BF277" i="62"/>
  <c r="BB277" i="62" a="1"/>
  <c r="BB277" i="62"/>
  <c r="AX277" i="62" a="1"/>
  <c r="AX277" i="62"/>
  <c r="AT277" i="62" a="1"/>
  <c r="AT277" i="62"/>
  <c r="AS277" i="62" a="1"/>
  <c r="AS277" i="62"/>
  <c r="AN277" i="62" a="1"/>
  <c r="AN277" i="62"/>
  <c r="AJ277" i="62" a="1"/>
  <c r="AJ277" i="62"/>
  <c r="AF277" i="62" a="1"/>
  <c r="AF277" i="62"/>
  <c r="AB277" i="62" a="1"/>
  <c r="AB277" i="62"/>
  <c r="AA277" i="62" a="1"/>
  <c r="AA277" i="62"/>
  <c r="V277" i="62" a="1"/>
  <c r="V277" i="62"/>
  <c r="R277" i="62" a="1"/>
  <c r="R277" i="62"/>
  <c r="N277" i="62" a="1"/>
  <c r="N277" i="62"/>
  <c r="J277" i="62" a="1"/>
  <c r="J277" i="62"/>
  <c r="I277" i="62" a="1"/>
  <c r="I277" i="62"/>
  <c r="BF276" i="62" a="1"/>
  <c r="BF276" i="62"/>
  <c r="BB276" i="62" a="1"/>
  <c r="BB276" i="62"/>
  <c r="AX276" i="62" a="1"/>
  <c r="AX276" i="62"/>
  <c r="AT276" i="62" a="1"/>
  <c r="AT276" i="62"/>
  <c r="AS276" i="62" a="1"/>
  <c r="AS276" i="62"/>
  <c r="AN276" i="62" a="1"/>
  <c r="AN276" i="62"/>
  <c r="AJ276" i="62" a="1"/>
  <c r="AJ276" i="62"/>
  <c r="AF276" i="62" a="1"/>
  <c r="AF276" i="62"/>
  <c r="AB276" i="62" a="1"/>
  <c r="AB276" i="62"/>
  <c r="AA276" i="62" a="1"/>
  <c r="AA276" i="62"/>
  <c r="V276" i="62" a="1"/>
  <c r="V276" i="62"/>
  <c r="R276" i="62" a="1"/>
  <c r="R276" i="62"/>
  <c r="N276" i="62" a="1"/>
  <c r="N276" i="62"/>
  <c r="J276" i="62" a="1"/>
  <c r="J276" i="62"/>
  <c r="I276" i="62" a="1"/>
  <c r="I276" i="62"/>
  <c r="BF275" i="62" a="1"/>
  <c r="BF275" i="62"/>
  <c r="BB275" i="62" a="1"/>
  <c r="BB275" i="62"/>
  <c r="AX275" i="62" a="1"/>
  <c r="AX275" i="62"/>
  <c r="AT275" i="62" a="1"/>
  <c r="AT275" i="62"/>
  <c r="AS275" i="62" a="1"/>
  <c r="AS275" i="62"/>
  <c r="AN275" i="62" a="1"/>
  <c r="AN275" i="62"/>
  <c r="AJ275" i="62" a="1"/>
  <c r="AJ275" i="62"/>
  <c r="AF275" i="62" a="1"/>
  <c r="AF275" i="62"/>
  <c r="AB275" i="62" a="1"/>
  <c r="AB275" i="62"/>
  <c r="AA275" i="62" a="1"/>
  <c r="AA275" i="62"/>
  <c r="V275" i="62" a="1"/>
  <c r="V275" i="62"/>
  <c r="R275" i="62" a="1"/>
  <c r="R275" i="62"/>
  <c r="N275" i="62" a="1"/>
  <c r="N275" i="62"/>
  <c r="J275" i="62" a="1"/>
  <c r="J275" i="62"/>
  <c r="I275" i="62" a="1"/>
  <c r="I275" i="62"/>
  <c r="BF274" i="62" a="1"/>
  <c r="BF274" i="62"/>
  <c r="BB274" i="62" a="1"/>
  <c r="BB274" i="62"/>
  <c r="AX274" i="62" a="1"/>
  <c r="AX274" i="62"/>
  <c r="AT274" i="62" a="1"/>
  <c r="AT274" i="62"/>
  <c r="AS274" i="62" a="1"/>
  <c r="AS274" i="62"/>
  <c r="AN274" i="62" a="1"/>
  <c r="AN274" i="62"/>
  <c r="AJ274" i="62" a="1"/>
  <c r="AJ274" i="62"/>
  <c r="AF274" i="62" a="1"/>
  <c r="AF274" i="62"/>
  <c r="AB274" i="62" a="1"/>
  <c r="AB274" i="62"/>
  <c r="AA274" i="62" a="1"/>
  <c r="AA274" i="62"/>
  <c r="V274" i="62" a="1"/>
  <c r="V274" i="62"/>
  <c r="R274" i="62" a="1"/>
  <c r="R274" i="62"/>
  <c r="N274" i="62" a="1"/>
  <c r="N274" i="62"/>
  <c r="J274" i="62" a="1"/>
  <c r="J274" i="62"/>
  <c r="I274" i="62" a="1"/>
  <c r="I274" i="62"/>
  <c r="BF273" i="62" a="1"/>
  <c r="BF273" i="62"/>
  <c r="BB273" i="62" a="1"/>
  <c r="BB273" i="62"/>
  <c r="AX273" i="62" a="1"/>
  <c r="AX273" i="62"/>
  <c r="AT273" i="62" a="1"/>
  <c r="AT273" i="62"/>
  <c r="AS273" i="62" a="1"/>
  <c r="AS273" i="62"/>
  <c r="AN273" i="62" a="1"/>
  <c r="AN273" i="62"/>
  <c r="AJ273" i="62" a="1"/>
  <c r="AJ273" i="62"/>
  <c r="AF273" i="62" a="1"/>
  <c r="AF273" i="62"/>
  <c r="AB273" i="62" a="1"/>
  <c r="AB273" i="62"/>
  <c r="AA273" i="62" a="1"/>
  <c r="AA273" i="62"/>
  <c r="V273" i="62" a="1"/>
  <c r="V273" i="62"/>
  <c r="R273" i="62" a="1"/>
  <c r="R273" i="62"/>
  <c r="N273" i="62" a="1"/>
  <c r="N273" i="62"/>
  <c r="J273" i="62" a="1"/>
  <c r="J273" i="62"/>
  <c r="I273" i="62" a="1"/>
  <c r="I273" i="62"/>
  <c r="BF272" i="62" a="1"/>
  <c r="BF272" i="62"/>
  <c r="BB272" i="62" a="1"/>
  <c r="BB272" i="62"/>
  <c r="AX272" i="62" a="1"/>
  <c r="AX272" i="62"/>
  <c r="AT272" i="62" a="1"/>
  <c r="AT272" i="62"/>
  <c r="AS272" i="62" a="1"/>
  <c r="AS272" i="62"/>
  <c r="AN272" i="62" a="1"/>
  <c r="AN272" i="62"/>
  <c r="AJ272" i="62" a="1"/>
  <c r="AJ272" i="62"/>
  <c r="AF272" i="62" a="1"/>
  <c r="AF272" i="62"/>
  <c r="AB272" i="62" a="1"/>
  <c r="AB272" i="62"/>
  <c r="AA272" i="62" a="1"/>
  <c r="AA272" i="62"/>
  <c r="V272" i="62" a="1"/>
  <c r="V272" i="62"/>
  <c r="R272" i="62" a="1"/>
  <c r="R272" i="62"/>
  <c r="N272" i="62" a="1"/>
  <c r="N272" i="62"/>
  <c r="J272" i="62" a="1"/>
  <c r="J272" i="62"/>
  <c r="I272" i="62" a="1"/>
  <c r="I272" i="62"/>
  <c r="BF271" i="62" a="1"/>
  <c r="BF271" i="62"/>
  <c r="BB271" i="62" a="1"/>
  <c r="BB271" i="62"/>
  <c r="AX271" i="62" a="1"/>
  <c r="AX271" i="62"/>
  <c r="AT271" i="62" a="1"/>
  <c r="AT271" i="62"/>
  <c r="AS271" i="62" a="1"/>
  <c r="AS271" i="62"/>
  <c r="AN271" i="62" a="1"/>
  <c r="AN271" i="62"/>
  <c r="AJ271" i="62" a="1"/>
  <c r="AJ271" i="62"/>
  <c r="AF271" i="62" a="1"/>
  <c r="AF271" i="62"/>
  <c r="AB271" i="62" a="1"/>
  <c r="AB271" i="62"/>
  <c r="AA271" i="62" a="1"/>
  <c r="AA271" i="62"/>
  <c r="V271" i="62" a="1"/>
  <c r="V271" i="62"/>
  <c r="R271" i="62" a="1"/>
  <c r="R271" i="62"/>
  <c r="N271" i="62" a="1"/>
  <c r="N271" i="62"/>
  <c r="J271" i="62" a="1"/>
  <c r="J271" i="62"/>
  <c r="I271" i="62" a="1"/>
  <c r="I271" i="62"/>
  <c r="BF270" i="62" a="1"/>
  <c r="BF270" i="62"/>
  <c r="BB270" i="62" a="1"/>
  <c r="BB270" i="62"/>
  <c r="AX270" i="62" a="1"/>
  <c r="AX270" i="62"/>
  <c r="AT270" i="62" a="1"/>
  <c r="AT270" i="62"/>
  <c r="AS270" i="62" a="1"/>
  <c r="AS270" i="62"/>
  <c r="AN270" i="62" a="1"/>
  <c r="AN270" i="62"/>
  <c r="AJ270" i="62" a="1"/>
  <c r="AJ270" i="62"/>
  <c r="AF270" i="62" a="1"/>
  <c r="AF270" i="62"/>
  <c r="AB270" i="62" a="1"/>
  <c r="AB270" i="62"/>
  <c r="AA270" i="62" a="1"/>
  <c r="AA270" i="62"/>
  <c r="V270" i="62" a="1"/>
  <c r="V270" i="62"/>
  <c r="R270" i="62" a="1"/>
  <c r="R270" i="62"/>
  <c r="N270" i="62" a="1"/>
  <c r="N270" i="62"/>
  <c r="J270" i="62" a="1"/>
  <c r="J270" i="62"/>
  <c r="I270" i="62" a="1"/>
  <c r="I270" i="62"/>
  <c r="BF269" i="62" a="1"/>
  <c r="BF269" i="62"/>
  <c r="BB269" i="62" a="1"/>
  <c r="BB269" i="62"/>
  <c r="AX269" i="62" a="1"/>
  <c r="AX269" i="62"/>
  <c r="AT269" i="62" a="1"/>
  <c r="AT269" i="62"/>
  <c r="AS269" i="62" a="1"/>
  <c r="AS269" i="62"/>
  <c r="AN269" i="62" a="1"/>
  <c r="AN269" i="62"/>
  <c r="AJ269" i="62" a="1"/>
  <c r="AJ269" i="62"/>
  <c r="AF269" i="62" a="1"/>
  <c r="AF269" i="62"/>
  <c r="AB269" i="62" a="1"/>
  <c r="AB269" i="62"/>
  <c r="AA269" i="62" a="1"/>
  <c r="AA269" i="62"/>
  <c r="V269" i="62" a="1"/>
  <c r="V269" i="62"/>
  <c r="R269" i="62" a="1"/>
  <c r="R269" i="62"/>
  <c r="N269" i="62" a="1"/>
  <c r="N269" i="62"/>
  <c r="J269" i="62" a="1"/>
  <c r="J269" i="62"/>
  <c r="I269" i="62" a="1"/>
  <c r="I269" i="62"/>
  <c r="BF268" i="62" a="1"/>
  <c r="BF268" i="62"/>
  <c r="BB268" i="62" a="1"/>
  <c r="BB268" i="62"/>
  <c r="AX268" i="62" a="1"/>
  <c r="AX268" i="62"/>
  <c r="AT268" i="62" a="1"/>
  <c r="AT268" i="62"/>
  <c r="AS268" i="62" a="1"/>
  <c r="AS268" i="62"/>
  <c r="AN268" i="62" a="1"/>
  <c r="AN268" i="62"/>
  <c r="AJ268" i="62" a="1"/>
  <c r="AJ268" i="62"/>
  <c r="AF268" i="62" a="1"/>
  <c r="AF268" i="62"/>
  <c r="AB268" i="62" a="1"/>
  <c r="AB268" i="62"/>
  <c r="AA268" i="62" a="1"/>
  <c r="AA268" i="62"/>
  <c r="V268" i="62" a="1"/>
  <c r="V268" i="62"/>
  <c r="R268" i="62" a="1"/>
  <c r="R268" i="62"/>
  <c r="N268" i="62" a="1"/>
  <c r="N268" i="62"/>
  <c r="J268" i="62" a="1"/>
  <c r="J268" i="62"/>
  <c r="I268" i="62" a="1"/>
  <c r="I268" i="62"/>
  <c r="BF267" i="62" a="1"/>
  <c r="BF267" i="62"/>
  <c r="BB267" i="62" a="1"/>
  <c r="BB267" i="62"/>
  <c r="AX267" i="62" a="1"/>
  <c r="AX267" i="62"/>
  <c r="AT267" i="62" a="1"/>
  <c r="AT267" i="62"/>
  <c r="AS267" i="62" a="1"/>
  <c r="AS267" i="62"/>
  <c r="AN267" i="62" a="1"/>
  <c r="AN267" i="62"/>
  <c r="AJ267" i="62" a="1"/>
  <c r="AJ267" i="62"/>
  <c r="AF267" i="62" a="1"/>
  <c r="AF267" i="62"/>
  <c r="AB267" i="62" a="1"/>
  <c r="AB267" i="62"/>
  <c r="AA267" i="62" a="1"/>
  <c r="AA267" i="62"/>
  <c r="V267" i="62" a="1"/>
  <c r="V267" i="62"/>
  <c r="R267" i="62" a="1"/>
  <c r="R267" i="62"/>
  <c r="N267" i="62" a="1"/>
  <c r="N267" i="62"/>
  <c r="J267" i="62" a="1"/>
  <c r="J267" i="62"/>
  <c r="I267" i="62" a="1"/>
  <c r="I267" i="62"/>
  <c r="BF266" i="62" a="1"/>
  <c r="BF266" i="62"/>
  <c r="BB266" i="62" a="1"/>
  <c r="BB266" i="62"/>
  <c r="AX266" i="62" a="1"/>
  <c r="AX266" i="62"/>
  <c r="AT266" i="62" a="1"/>
  <c r="AT266" i="62"/>
  <c r="AS266" i="62" a="1"/>
  <c r="AS266" i="62"/>
  <c r="AN266" i="62" a="1"/>
  <c r="AN266" i="62"/>
  <c r="AJ266" i="62" a="1"/>
  <c r="AJ266" i="62"/>
  <c r="AF266" i="62" a="1"/>
  <c r="AF266" i="62"/>
  <c r="AB266" i="62" a="1"/>
  <c r="AB266" i="62"/>
  <c r="AA266" i="62" a="1"/>
  <c r="AA266" i="62"/>
  <c r="V266" i="62" a="1"/>
  <c r="V266" i="62"/>
  <c r="R266" i="62" a="1"/>
  <c r="R266" i="62"/>
  <c r="N266" i="62" a="1"/>
  <c r="N266" i="62"/>
  <c r="J266" i="62" a="1"/>
  <c r="J266" i="62"/>
  <c r="I266" i="62" a="1"/>
  <c r="I266" i="62"/>
  <c r="BF265" i="62" a="1"/>
  <c r="BF265" i="62"/>
  <c r="BB265" i="62" a="1"/>
  <c r="BB265" i="62"/>
  <c r="AX265" i="62" a="1"/>
  <c r="AX265" i="62"/>
  <c r="AT265" i="62" a="1"/>
  <c r="AT265" i="62"/>
  <c r="AS265" i="62" a="1"/>
  <c r="AS265" i="62"/>
  <c r="AN265" i="62" a="1"/>
  <c r="AN265" i="62"/>
  <c r="AJ265" i="62" a="1"/>
  <c r="AJ265" i="62"/>
  <c r="AF265" i="62" a="1"/>
  <c r="AF265" i="62"/>
  <c r="AB265" i="62" a="1"/>
  <c r="AB265" i="62"/>
  <c r="AA265" i="62" a="1"/>
  <c r="AA265" i="62"/>
  <c r="V265" i="62" a="1"/>
  <c r="V265" i="62"/>
  <c r="R265" i="62" a="1"/>
  <c r="R265" i="62"/>
  <c r="N265" i="62" a="1"/>
  <c r="N265" i="62"/>
  <c r="J265" i="62" a="1"/>
  <c r="J265" i="62"/>
  <c r="I265" i="62" a="1"/>
  <c r="I265" i="62"/>
  <c r="BF264" i="62" a="1"/>
  <c r="BF264" i="62"/>
  <c r="BB264" i="62" a="1"/>
  <c r="BB264" i="62"/>
  <c r="AX264" i="62" a="1"/>
  <c r="AX264" i="62"/>
  <c r="AT264" i="62" a="1"/>
  <c r="AT264" i="62"/>
  <c r="AS264" i="62" a="1"/>
  <c r="AS264" i="62"/>
  <c r="AN264" i="62" a="1"/>
  <c r="AN264" i="62"/>
  <c r="AJ264" i="62" a="1"/>
  <c r="AJ264" i="62"/>
  <c r="AF264" i="62" a="1"/>
  <c r="AF264" i="62"/>
  <c r="AB264" i="62" a="1"/>
  <c r="AB264" i="62"/>
  <c r="AA264" i="62" a="1"/>
  <c r="AA264" i="62"/>
  <c r="V264" i="62" a="1"/>
  <c r="V264" i="62"/>
  <c r="R264" i="62" a="1"/>
  <c r="R264" i="62"/>
  <c r="N264" i="62" a="1"/>
  <c r="N264" i="62"/>
  <c r="J264" i="62" a="1"/>
  <c r="J264" i="62"/>
  <c r="I264" i="62" a="1"/>
  <c r="I264" i="62"/>
  <c r="BF263" i="62" a="1"/>
  <c r="BF263" i="62"/>
  <c r="BB263" i="62" a="1"/>
  <c r="BB263" i="62"/>
  <c r="AX263" i="62" a="1"/>
  <c r="AX263" i="62"/>
  <c r="AT263" i="62" a="1"/>
  <c r="AT263" i="62"/>
  <c r="AS263" i="62" a="1"/>
  <c r="AS263" i="62"/>
  <c r="AN263" i="62" a="1"/>
  <c r="AN263" i="62"/>
  <c r="AJ263" i="62" a="1"/>
  <c r="AJ263" i="62"/>
  <c r="AF263" i="62" a="1"/>
  <c r="AF263" i="62"/>
  <c r="AB263" i="62" a="1"/>
  <c r="AB263" i="62"/>
  <c r="AA263" i="62" a="1"/>
  <c r="AA263" i="62"/>
  <c r="V263" i="62" a="1"/>
  <c r="V263" i="62"/>
  <c r="R263" i="62" a="1"/>
  <c r="R263" i="62"/>
  <c r="N263" i="62" a="1"/>
  <c r="N263" i="62"/>
  <c r="J263" i="62" a="1"/>
  <c r="J263" i="62"/>
  <c r="I263" i="62" a="1"/>
  <c r="I263" i="62"/>
  <c r="BF262" i="62" a="1"/>
  <c r="BF262" i="62"/>
  <c r="BB262" i="62" a="1"/>
  <c r="BB262" i="62"/>
  <c r="AX262" i="62" a="1"/>
  <c r="AX262" i="62"/>
  <c r="AT262" i="62" a="1"/>
  <c r="AT262" i="62"/>
  <c r="AS262" i="62" a="1"/>
  <c r="AS262" i="62"/>
  <c r="AN262" i="62" a="1"/>
  <c r="AN262" i="62"/>
  <c r="AJ262" i="62" a="1"/>
  <c r="AJ262" i="62"/>
  <c r="AF262" i="62" a="1"/>
  <c r="AF262" i="62"/>
  <c r="AB262" i="62" a="1"/>
  <c r="AB262" i="62"/>
  <c r="AA262" i="62" a="1"/>
  <c r="AA262" i="62"/>
  <c r="V262" i="62" a="1"/>
  <c r="V262" i="62"/>
  <c r="R262" i="62" a="1"/>
  <c r="R262" i="62"/>
  <c r="N262" i="62" a="1"/>
  <c r="N262" i="62"/>
  <c r="J262" i="62" a="1"/>
  <c r="J262" i="62"/>
  <c r="I262" i="62" a="1"/>
  <c r="I262" i="62"/>
  <c r="BF261" i="62" a="1"/>
  <c r="BF261" i="62"/>
  <c r="BB261" i="62" a="1"/>
  <c r="BB261" i="62"/>
  <c r="AX261" i="62" a="1"/>
  <c r="AX261" i="62"/>
  <c r="AT261" i="62" a="1"/>
  <c r="AT261" i="62"/>
  <c r="AS261" i="62" a="1"/>
  <c r="AS261" i="62"/>
  <c r="AN261" i="62" a="1"/>
  <c r="AN261" i="62"/>
  <c r="AJ261" i="62" a="1"/>
  <c r="AJ261" i="62"/>
  <c r="AF261" i="62" a="1"/>
  <c r="AF261" i="62"/>
  <c r="AB261" i="62" a="1"/>
  <c r="AB261" i="62"/>
  <c r="AA261" i="62" a="1"/>
  <c r="AA261" i="62"/>
  <c r="V261" i="62" a="1"/>
  <c r="V261" i="62"/>
  <c r="R261" i="62" a="1"/>
  <c r="R261" i="62"/>
  <c r="N261" i="62" a="1"/>
  <c r="N261" i="62"/>
  <c r="J261" i="62" a="1"/>
  <c r="J261" i="62"/>
  <c r="I261" i="62" a="1"/>
  <c r="I261" i="62"/>
  <c r="BF260" i="62" a="1"/>
  <c r="BF260" i="62"/>
  <c r="BB260" i="62" a="1"/>
  <c r="BB260" i="62"/>
  <c r="AX260" i="62" a="1"/>
  <c r="AX260" i="62"/>
  <c r="AT260" i="62" a="1"/>
  <c r="AT260" i="62"/>
  <c r="AS260" i="62" a="1"/>
  <c r="AS260" i="62"/>
  <c r="AN260" i="62" a="1"/>
  <c r="AN260" i="62"/>
  <c r="AJ260" i="62" a="1"/>
  <c r="AJ260" i="62"/>
  <c r="AF260" i="62" a="1"/>
  <c r="AF260" i="62"/>
  <c r="AB260" i="62" a="1"/>
  <c r="AB260" i="62"/>
  <c r="AA260" i="62" a="1"/>
  <c r="AA260" i="62"/>
  <c r="V260" i="62" a="1"/>
  <c r="V260" i="62"/>
  <c r="R260" i="62" a="1"/>
  <c r="R260" i="62"/>
  <c r="N260" i="62" a="1"/>
  <c r="N260" i="62"/>
  <c r="J260" i="62" a="1"/>
  <c r="J260" i="62"/>
  <c r="I260" i="62" a="1"/>
  <c r="I260" i="62"/>
  <c r="BF259" i="62" a="1"/>
  <c r="BF259" i="62"/>
  <c r="BB259" i="62" a="1"/>
  <c r="BB259" i="62"/>
  <c r="AX259" i="62" a="1"/>
  <c r="AX259" i="62"/>
  <c r="AT259" i="62" a="1"/>
  <c r="AT259" i="62"/>
  <c r="AS259" i="62" a="1"/>
  <c r="AS259" i="62"/>
  <c r="AN259" i="62" a="1"/>
  <c r="AN259" i="62"/>
  <c r="AJ259" i="62" a="1"/>
  <c r="AJ259" i="62"/>
  <c r="AF259" i="62" a="1"/>
  <c r="AF259" i="62"/>
  <c r="AB259" i="62" a="1"/>
  <c r="AB259" i="62"/>
  <c r="AA259" i="62" a="1"/>
  <c r="AA259" i="62"/>
  <c r="V259" i="62" a="1"/>
  <c r="V259" i="62"/>
  <c r="R259" i="62" a="1"/>
  <c r="R259" i="62"/>
  <c r="N259" i="62" a="1"/>
  <c r="N259" i="62"/>
  <c r="J259" i="62" a="1"/>
  <c r="J259" i="62"/>
  <c r="I259" i="62" a="1"/>
  <c r="I259" i="62"/>
  <c r="BF258" i="62" a="1"/>
  <c r="BF258" i="62"/>
  <c r="BB258" i="62" a="1"/>
  <c r="BB258" i="62"/>
  <c r="AX258" i="62" a="1"/>
  <c r="AX258" i="62"/>
  <c r="AT258" i="62" a="1"/>
  <c r="AT258" i="62"/>
  <c r="AS258" i="62" a="1"/>
  <c r="AS258" i="62"/>
  <c r="AN258" i="62" a="1"/>
  <c r="AN258" i="62"/>
  <c r="AJ258" i="62" a="1"/>
  <c r="AJ258" i="62"/>
  <c r="AF258" i="62" a="1"/>
  <c r="AF258" i="62"/>
  <c r="AB258" i="62" a="1"/>
  <c r="AB258" i="62"/>
  <c r="AA258" i="62" a="1"/>
  <c r="AA258" i="62"/>
  <c r="V258" i="62" a="1"/>
  <c r="V258" i="62"/>
  <c r="R258" i="62" a="1"/>
  <c r="R258" i="62"/>
  <c r="N258" i="62" a="1"/>
  <c r="N258" i="62"/>
  <c r="J258" i="62" a="1"/>
  <c r="J258" i="62"/>
  <c r="I258" i="62" a="1"/>
  <c r="I258" i="62"/>
  <c r="BF257" i="62" a="1"/>
  <c r="BF257" i="62"/>
  <c r="BB257" i="62" a="1"/>
  <c r="BB257" i="62"/>
  <c r="AX257" i="62" a="1"/>
  <c r="AX257" i="62"/>
  <c r="AT257" i="62" a="1"/>
  <c r="AT257" i="62"/>
  <c r="AS257" i="62" a="1"/>
  <c r="AS257" i="62"/>
  <c r="AN257" i="62" a="1"/>
  <c r="AN257" i="62"/>
  <c r="AJ257" i="62" a="1"/>
  <c r="AJ257" i="62"/>
  <c r="AF257" i="62" a="1"/>
  <c r="AF257" i="62"/>
  <c r="AB257" i="62" a="1"/>
  <c r="AB257" i="62"/>
  <c r="AA257" i="62" a="1"/>
  <c r="AA257" i="62"/>
  <c r="V257" i="62" a="1"/>
  <c r="V257" i="62"/>
  <c r="R257" i="62" a="1"/>
  <c r="R257" i="62"/>
  <c r="N257" i="62" a="1"/>
  <c r="N257" i="62"/>
  <c r="J257" i="62" a="1"/>
  <c r="J257" i="62"/>
  <c r="I257" i="62" a="1"/>
  <c r="I257" i="62"/>
  <c r="BF256" i="62" a="1"/>
  <c r="BF256" i="62"/>
  <c r="BB256" i="62" a="1"/>
  <c r="BB256" i="62"/>
  <c r="AX256" i="62" a="1"/>
  <c r="AX256" i="62"/>
  <c r="AT256" i="62" a="1"/>
  <c r="AT256" i="62"/>
  <c r="AS256" i="62" a="1"/>
  <c r="AS256" i="62"/>
  <c r="AN256" i="62" a="1"/>
  <c r="AN256" i="62"/>
  <c r="AJ256" i="62" a="1"/>
  <c r="AJ256" i="62"/>
  <c r="AF256" i="62" a="1"/>
  <c r="AF256" i="62"/>
  <c r="AB256" i="62" a="1"/>
  <c r="AB256" i="62"/>
  <c r="AA256" i="62" a="1"/>
  <c r="AA256" i="62"/>
  <c r="V256" i="62" a="1"/>
  <c r="V256" i="62"/>
  <c r="R256" i="62" a="1"/>
  <c r="R256" i="62"/>
  <c r="N256" i="62" a="1"/>
  <c r="N256" i="62"/>
  <c r="J256" i="62" a="1"/>
  <c r="J256" i="62"/>
  <c r="I256" i="62" a="1"/>
  <c r="I256" i="62"/>
  <c r="BF255" i="62" a="1"/>
  <c r="BF255" i="62"/>
  <c r="BB255" i="62" a="1"/>
  <c r="BB255" i="62"/>
  <c r="AX255" i="62" a="1"/>
  <c r="AX255" i="62"/>
  <c r="AT255" i="62" a="1"/>
  <c r="AT255" i="62"/>
  <c r="AS255" i="62" a="1"/>
  <c r="AS255" i="62"/>
  <c r="AN255" i="62" a="1"/>
  <c r="AN255" i="62"/>
  <c r="AJ255" i="62" a="1"/>
  <c r="AJ255" i="62"/>
  <c r="AF255" i="62" a="1"/>
  <c r="AF255" i="62"/>
  <c r="AB255" i="62" a="1"/>
  <c r="AB255" i="62"/>
  <c r="AA255" i="62" a="1"/>
  <c r="AA255" i="62"/>
  <c r="V255" i="62" a="1"/>
  <c r="V255" i="62"/>
  <c r="R255" i="62" a="1"/>
  <c r="R255" i="62"/>
  <c r="N255" i="62" a="1"/>
  <c r="N255" i="62"/>
  <c r="J255" i="62" a="1"/>
  <c r="J255" i="62"/>
  <c r="I255" i="62" a="1"/>
  <c r="I255" i="62"/>
  <c r="BF254" i="62" a="1"/>
  <c r="BF254" i="62"/>
  <c r="BB254" i="62" a="1"/>
  <c r="BB254" i="62"/>
  <c r="AX254" i="62" a="1"/>
  <c r="AX254" i="62"/>
  <c r="AT254" i="62" a="1"/>
  <c r="AT254" i="62"/>
  <c r="AS254" i="62" a="1"/>
  <c r="AS254" i="62"/>
  <c r="AN254" i="62" a="1"/>
  <c r="AN254" i="62"/>
  <c r="AJ254" i="62" a="1"/>
  <c r="AJ254" i="62"/>
  <c r="AF254" i="62" a="1"/>
  <c r="AF254" i="62"/>
  <c r="AB254" i="62" a="1"/>
  <c r="AB254" i="62"/>
  <c r="AA254" i="62" a="1"/>
  <c r="AA254" i="62"/>
  <c r="V254" i="62" a="1"/>
  <c r="V254" i="62"/>
  <c r="R254" i="62" a="1"/>
  <c r="R254" i="62"/>
  <c r="N254" i="62" a="1"/>
  <c r="N254" i="62"/>
  <c r="J254" i="62" a="1"/>
  <c r="J254" i="62"/>
  <c r="I254" i="62" a="1"/>
  <c r="I254" i="62"/>
  <c r="BF253" i="62" a="1"/>
  <c r="BF253" i="62"/>
  <c r="BB253" i="62" a="1"/>
  <c r="BB253" i="62"/>
  <c r="AX253" i="62" a="1"/>
  <c r="AX253" i="62"/>
  <c r="AT253" i="62" a="1"/>
  <c r="AT253" i="62"/>
  <c r="AS253" i="62" a="1"/>
  <c r="AS253" i="62"/>
  <c r="AN253" i="62" a="1"/>
  <c r="AN253" i="62"/>
  <c r="AJ253" i="62" a="1"/>
  <c r="AJ253" i="62"/>
  <c r="AF253" i="62" a="1"/>
  <c r="AF253" i="62"/>
  <c r="AB253" i="62" a="1"/>
  <c r="AB253" i="62"/>
  <c r="AA253" i="62" a="1"/>
  <c r="AA253" i="62"/>
  <c r="V253" i="62" a="1"/>
  <c r="V253" i="62"/>
  <c r="R253" i="62" a="1"/>
  <c r="R253" i="62"/>
  <c r="N253" i="62" a="1"/>
  <c r="N253" i="62"/>
  <c r="J253" i="62" a="1"/>
  <c r="J253" i="62"/>
  <c r="I253" i="62" a="1"/>
  <c r="I253" i="62"/>
  <c r="BF252" i="62" a="1"/>
  <c r="BF252" i="62"/>
  <c r="BB252" i="62" a="1"/>
  <c r="BB252" i="62"/>
  <c r="AX252" i="62" a="1"/>
  <c r="AX252" i="62"/>
  <c r="AT252" i="62" a="1"/>
  <c r="AT252" i="62"/>
  <c r="AS252" i="62" a="1"/>
  <c r="AS252" i="62"/>
  <c r="AN252" i="62" a="1"/>
  <c r="AN252" i="62"/>
  <c r="AJ252" i="62" a="1"/>
  <c r="AJ252" i="62"/>
  <c r="AF252" i="62" a="1"/>
  <c r="AF252" i="62"/>
  <c r="AB252" i="62" a="1"/>
  <c r="AB252" i="62"/>
  <c r="AA252" i="62" a="1"/>
  <c r="AA252" i="62"/>
  <c r="V252" i="62" a="1"/>
  <c r="V252" i="62"/>
  <c r="R252" i="62" a="1"/>
  <c r="R252" i="62"/>
  <c r="N252" i="62" a="1"/>
  <c r="N252" i="62"/>
  <c r="J252" i="62" a="1"/>
  <c r="J252" i="62"/>
  <c r="I252" i="62" a="1"/>
  <c r="I252" i="62"/>
  <c r="BF251" i="62" a="1"/>
  <c r="BF251" i="62"/>
  <c r="BB251" i="62" a="1"/>
  <c r="BB251" i="62"/>
  <c r="AX251" i="62" a="1"/>
  <c r="AX251" i="62"/>
  <c r="AT251" i="62" a="1"/>
  <c r="AT251" i="62"/>
  <c r="AS251" i="62" a="1"/>
  <c r="AS251" i="62"/>
  <c r="AN251" i="62" a="1"/>
  <c r="AN251" i="62"/>
  <c r="AJ251" i="62" a="1"/>
  <c r="AJ251" i="62"/>
  <c r="AF251" i="62" a="1"/>
  <c r="AF251" i="62"/>
  <c r="AB251" i="62" a="1"/>
  <c r="AB251" i="62"/>
  <c r="AA251" i="62" a="1"/>
  <c r="AA251" i="62"/>
  <c r="V251" i="62" a="1"/>
  <c r="V251" i="62"/>
  <c r="R251" i="62" a="1"/>
  <c r="R251" i="62"/>
  <c r="N251" i="62" a="1"/>
  <c r="N251" i="62"/>
  <c r="J251" i="62" a="1"/>
  <c r="J251" i="62"/>
  <c r="I251" i="62" a="1"/>
  <c r="I251" i="62"/>
  <c r="BF250" i="62" a="1"/>
  <c r="BF250" i="62"/>
  <c r="BB250" i="62" a="1"/>
  <c r="BB250" i="62"/>
  <c r="AX250" i="62" a="1"/>
  <c r="AX250" i="62"/>
  <c r="AT250" i="62" a="1"/>
  <c r="AT250" i="62"/>
  <c r="AS250" i="62" a="1"/>
  <c r="AS250" i="62"/>
  <c r="AN250" i="62" a="1"/>
  <c r="AN250" i="62"/>
  <c r="AJ250" i="62" a="1"/>
  <c r="AJ250" i="62"/>
  <c r="AF250" i="62" a="1"/>
  <c r="AF250" i="62"/>
  <c r="AB250" i="62" a="1"/>
  <c r="AB250" i="62"/>
  <c r="AA250" i="62" a="1"/>
  <c r="AA250" i="62"/>
  <c r="V250" i="62" a="1"/>
  <c r="V250" i="62"/>
  <c r="R250" i="62" a="1"/>
  <c r="R250" i="62"/>
  <c r="N250" i="62" a="1"/>
  <c r="N250" i="62"/>
  <c r="J250" i="62" a="1"/>
  <c r="J250" i="62"/>
  <c r="I250" i="62" a="1"/>
  <c r="I250" i="62"/>
  <c r="BF249" i="62" a="1"/>
  <c r="BF249" i="62"/>
  <c r="BB249" i="62" a="1"/>
  <c r="BB249" i="62"/>
  <c r="AX249" i="62" a="1"/>
  <c r="AX249" i="62"/>
  <c r="AT249" i="62" a="1"/>
  <c r="AT249" i="62"/>
  <c r="AS249" i="62" a="1"/>
  <c r="AS249" i="62"/>
  <c r="AN249" i="62" a="1"/>
  <c r="AN249" i="62"/>
  <c r="AJ249" i="62" a="1"/>
  <c r="AJ249" i="62"/>
  <c r="AF249" i="62" a="1"/>
  <c r="AF249" i="62"/>
  <c r="AB249" i="62" a="1"/>
  <c r="AB249" i="62"/>
  <c r="AA249" i="62" a="1"/>
  <c r="AA249" i="62"/>
  <c r="V249" i="62" a="1"/>
  <c r="V249" i="62"/>
  <c r="R249" i="62" a="1"/>
  <c r="R249" i="62"/>
  <c r="N249" i="62" a="1"/>
  <c r="N249" i="62"/>
  <c r="J249" i="62" a="1"/>
  <c r="J249" i="62"/>
  <c r="I249" i="62" a="1"/>
  <c r="I249" i="62"/>
  <c r="BF248" i="62" a="1"/>
  <c r="BF248" i="62"/>
  <c r="BB248" i="62" a="1"/>
  <c r="BB248" i="62"/>
  <c r="AX248" i="62" a="1"/>
  <c r="AX248" i="62"/>
  <c r="AT248" i="62" a="1"/>
  <c r="AT248" i="62"/>
  <c r="AS248" i="62" a="1"/>
  <c r="AS248" i="62"/>
  <c r="AN248" i="62" a="1"/>
  <c r="AN248" i="62"/>
  <c r="AJ248" i="62" a="1"/>
  <c r="AJ248" i="62"/>
  <c r="AF248" i="62" a="1"/>
  <c r="AF248" i="62"/>
  <c r="AB248" i="62" a="1"/>
  <c r="AB248" i="62"/>
  <c r="AA248" i="62" a="1"/>
  <c r="AA248" i="62"/>
  <c r="V248" i="62" a="1"/>
  <c r="V248" i="62"/>
  <c r="R248" i="62" a="1"/>
  <c r="R248" i="62"/>
  <c r="N248" i="62" a="1"/>
  <c r="N248" i="62"/>
  <c r="J248" i="62" a="1"/>
  <c r="J248" i="62"/>
  <c r="I248" i="62" a="1"/>
  <c r="I248" i="62"/>
  <c r="BF247" i="62" a="1"/>
  <c r="BF247" i="62"/>
  <c r="BB247" i="62" a="1"/>
  <c r="BB247" i="62"/>
  <c r="AX247" i="62" a="1"/>
  <c r="AX247" i="62"/>
  <c r="AT247" i="62" a="1"/>
  <c r="AT247" i="62"/>
  <c r="AS247" i="62" a="1"/>
  <c r="AS247" i="62"/>
  <c r="AN247" i="62" a="1"/>
  <c r="AN247" i="62"/>
  <c r="AJ247" i="62" a="1"/>
  <c r="AJ247" i="62"/>
  <c r="AF247" i="62" a="1"/>
  <c r="AF247" i="62"/>
  <c r="AB247" i="62" a="1"/>
  <c r="AB247" i="62"/>
  <c r="AA247" i="62" a="1"/>
  <c r="AA247" i="62"/>
  <c r="V247" i="62" a="1"/>
  <c r="V247" i="62"/>
  <c r="R247" i="62" a="1"/>
  <c r="R247" i="62"/>
  <c r="N247" i="62" a="1"/>
  <c r="N247" i="62"/>
  <c r="J247" i="62" a="1"/>
  <c r="J247" i="62"/>
  <c r="I247" i="62" a="1"/>
  <c r="I247" i="62"/>
  <c r="BF246" i="62" a="1"/>
  <c r="BF246" i="62"/>
  <c r="BB246" i="62" a="1"/>
  <c r="BB246" i="62"/>
  <c r="AX246" i="62" a="1"/>
  <c r="AX246" i="62"/>
  <c r="AT246" i="62" a="1"/>
  <c r="AT246" i="62"/>
  <c r="AS246" i="62" a="1"/>
  <c r="AS246" i="62"/>
  <c r="AN246" i="62" a="1"/>
  <c r="AN246" i="62"/>
  <c r="AJ246" i="62" a="1"/>
  <c r="AJ246" i="62"/>
  <c r="AF246" i="62" a="1"/>
  <c r="AF246" i="62"/>
  <c r="AB246" i="62" a="1"/>
  <c r="AB246" i="62"/>
  <c r="AA246" i="62" a="1"/>
  <c r="AA246" i="62"/>
  <c r="V246" i="62" a="1"/>
  <c r="V246" i="62"/>
  <c r="R246" i="62" a="1"/>
  <c r="R246" i="62"/>
  <c r="N246" i="62" a="1"/>
  <c r="N246" i="62"/>
  <c r="J246" i="62" a="1"/>
  <c r="J246" i="62"/>
  <c r="I246" i="62" a="1"/>
  <c r="I246" i="62"/>
  <c r="BF245" i="62" a="1"/>
  <c r="BF245" i="62"/>
  <c r="BB245" i="62" a="1"/>
  <c r="BB245" i="62"/>
  <c r="AX245" i="62" a="1"/>
  <c r="AX245" i="62"/>
  <c r="AT245" i="62" a="1"/>
  <c r="AT245" i="62"/>
  <c r="AS245" i="62" a="1"/>
  <c r="AS245" i="62"/>
  <c r="AN245" i="62" a="1"/>
  <c r="AN245" i="62"/>
  <c r="AJ245" i="62" a="1"/>
  <c r="AJ245" i="62"/>
  <c r="AF245" i="62" a="1"/>
  <c r="AF245" i="62"/>
  <c r="AB245" i="62" a="1"/>
  <c r="AB245" i="62"/>
  <c r="AA245" i="62" a="1"/>
  <c r="AA245" i="62"/>
  <c r="V245" i="62" a="1"/>
  <c r="V245" i="62"/>
  <c r="R245" i="62" a="1"/>
  <c r="R245" i="62"/>
  <c r="N245" i="62" a="1"/>
  <c r="N245" i="62"/>
  <c r="J245" i="62" a="1"/>
  <c r="J245" i="62"/>
  <c r="I245" i="62" a="1"/>
  <c r="I245" i="62"/>
  <c r="BF244" i="62" a="1"/>
  <c r="BF244" i="62"/>
  <c r="BB244" i="62" a="1"/>
  <c r="BB244" i="62"/>
  <c r="AX244" i="62" a="1"/>
  <c r="AX244" i="62"/>
  <c r="AT244" i="62" a="1"/>
  <c r="AT244" i="62"/>
  <c r="AS244" i="62" a="1"/>
  <c r="AS244" i="62"/>
  <c r="AN244" i="62" a="1"/>
  <c r="AN244" i="62"/>
  <c r="AJ244" i="62" a="1"/>
  <c r="AJ244" i="62"/>
  <c r="AF244" i="62" a="1"/>
  <c r="AF244" i="62"/>
  <c r="AB244" i="62" a="1"/>
  <c r="AB244" i="62"/>
  <c r="AA244" i="62" a="1"/>
  <c r="AA244" i="62"/>
  <c r="V244" i="62" a="1"/>
  <c r="V244" i="62"/>
  <c r="R244" i="62" a="1"/>
  <c r="R244" i="62"/>
  <c r="N244" i="62" a="1"/>
  <c r="N244" i="62"/>
  <c r="J244" i="62" a="1"/>
  <c r="J244" i="62"/>
  <c r="I244" i="62" a="1"/>
  <c r="I244" i="62"/>
  <c r="BF243" i="62" a="1"/>
  <c r="BF243" i="62"/>
  <c r="BB243" i="62" a="1"/>
  <c r="BB243" i="62"/>
  <c r="AX243" i="62" a="1"/>
  <c r="AX243" i="62"/>
  <c r="AT243" i="62" a="1"/>
  <c r="AT243" i="62"/>
  <c r="AS243" i="62" a="1"/>
  <c r="AS243" i="62"/>
  <c r="AN243" i="62" a="1"/>
  <c r="AN243" i="62"/>
  <c r="AJ243" i="62" a="1"/>
  <c r="AJ243" i="62"/>
  <c r="AF243" i="62" a="1"/>
  <c r="AF243" i="62"/>
  <c r="AB243" i="62" a="1"/>
  <c r="AB243" i="62"/>
  <c r="AA243" i="62" a="1"/>
  <c r="AA243" i="62"/>
  <c r="V243" i="62" a="1"/>
  <c r="V243" i="62"/>
  <c r="R243" i="62" a="1"/>
  <c r="R243" i="62"/>
  <c r="N243" i="62" a="1"/>
  <c r="N243" i="62"/>
  <c r="J243" i="62" a="1"/>
  <c r="J243" i="62"/>
  <c r="I243" i="62" a="1"/>
  <c r="I243" i="62"/>
  <c r="BF242" i="62" a="1"/>
  <c r="BF242" i="62"/>
  <c r="BB242" i="62" a="1"/>
  <c r="BB242" i="62"/>
  <c r="AX242" i="62" a="1"/>
  <c r="AX242" i="62"/>
  <c r="AT242" i="62" a="1"/>
  <c r="AT242" i="62"/>
  <c r="AS242" i="62" a="1"/>
  <c r="AS242" i="62"/>
  <c r="AN242" i="62" a="1"/>
  <c r="AN242" i="62"/>
  <c r="AJ242" i="62" a="1"/>
  <c r="AJ242" i="62"/>
  <c r="AF242" i="62" a="1"/>
  <c r="AF242" i="62"/>
  <c r="AB242" i="62" a="1"/>
  <c r="AB242" i="62"/>
  <c r="AA242" i="62" a="1"/>
  <c r="AA242" i="62"/>
  <c r="V242" i="62" a="1"/>
  <c r="V242" i="62"/>
  <c r="R242" i="62" a="1"/>
  <c r="R242" i="62"/>
  <c r="N242" i="62" a="1"/>
  <c r="N242" i="62"/>
  <c r="J242" i="62" a="1"/>
  <c r="J242" i="62"/>
  <c r="I242" i="62" a="1"/>
  <c r="I242" i="62"/>
  <c r="BF241" i="62" a="1"/>
  <c r="BF241" i="62"/>
  <c r="BB241" i="62" a="1"/>
  <c r="BB241" i="62"/>
  <c r="AX241" i="62" a="1"/>
  <c r="AX241" i="62"/>
  <c r="AT241" i="62" a="1"/>
  <c r="AT241" i="62"/>
  <c r="AS241" i="62" a="1"/>
  <c r="AS241" i="62"/>
  <c r="AN241" i="62" a="1"/>
  <c r="AN241" i="62"/>
  <c r="AJ241" i="62" a="1"/>
  <c r="AJ241" i="62"/>
  <c r="AF241" i="62" a="1"/>
  <c r="AF241" i="62"/>
  <c r="AB241" i="62" a="1"/>
  <c r="AB241" i="62"/>
  <c r="AA241" i="62" a="1"/>
  <c r="AA241" i="62"/>
  <c r="V241" i="62" a="1"/>
  <c r="V241" i="62"/>
  <c r="R241" i="62" a="1"/>
  <c r="R241" i="62"/>
  <c r="N241" i="62" a="1"/>
  <c r="N241" i="62"/>
  <c r="J241" i="62" a="1"/>
  <c r="J241" i="62"/>
  <c r="I241" i="62" a="1"/>
  <c r="I241" i="62"/>
  <c r="BF240" i="62" a="1"/>
  <c r="BF240" i="62"/>
  <c r="BB240" i="62" a="1"/>
  <c r="BB240" i="62"/>
  <c r="AX240" i="62" a="1"/>
  <c r="AX240" i="62"/>
  <c r="AT240" i="62" a="1"/>
  <c r="AT240" i="62"/>
  <c r="AS240" i="62" a="1"/>
  <c r="AS240" i="62"/>
  <c r="AN240" i="62" a="1"/>
  <c r="AN240" i="62"/>
  <c r="AJ240" i="62" a="1"/>
  <c r="AJ240" i="62"/>
  <c r="AF240" i="62" a="1"/>
  <c r="AF240" i="62"/>
  <c r="AB240" i="62" a="1"/>
  <c r="AB240" i="62"/>
  <c r="AA240" i="62" a="1"/>
  <c r="AA240" i="62"/>
  <c r="V240" i="62" a="1"/>
  <c r="V240" i="62"/>
  <c r="R240" i="62" a="1"/>
  <c r="R240" i="62"/>
  <c r="N240" i="62" a="1"/>
  <c r="N240" i="62"/>
  <c r="J240" i="62" a="1"/>
  <c r="J240" i="62"/>
  <c r="I240" i="62" a="1"/>
  <c r="I240" i="62"/>
  <c r="BF239" i="62" a="1"/>
  <c r="BF239" i="62"/>
  <c r="BB239" i="62" a="1"/>
  <c r="BB239" i="62"/>
  <c r="AX239" i="62" a="1"/>
  <c r="AX239" i="62"/>
  <c r="AT239" i="62" a="1"/>
  <c r="AT239" i="62"/>
  <c r="AS239" i="62" a="1"/>
  <c r="AS239" i="62"/>
  <c r="AN239" i="62" a="1"/>
  <c r="AN239" i="62"/>
  <c r="AJ239" i="62" a="1"/>
  <c r="AJ239" i="62"/>
  <c r="AF239" i="62" a="1"/>
  <c r="AF239" i="62"/>
  <c r="AB239" i="62" a="1"/>
  <c r="AB239" i="62"/>
  <c r="AA239" i="62" a="1"/>
  <c r="AA239" i="62"/>
  <c r="V239" i="62" a="1"/>
  <c r="V239" i="62"/>
  <c r="R239" i="62" a="1"/>
  <c r="R239" i="62"/>
  <c r="N239" i="62" a="1"/>
  <c r="N239" i="62"/>
  <c r="J239" i="62" a="1"/>
  <c r="J239" i="62"/>
  <c r="I239" i="62" a="1"/>
  <c r="I239" i="62"/>
  <c r="BF238" i="62" a="1"/>
  <c r="BF238" i="62"/>
  <c r="BB238" i="62" a="1"/>
  <c r="BB238" i="62"/>
  <c r="AX238" i="62" a="1"/>
  <c r="AX238" i="62"/>
  <c r="AT238" i="62" a="1"/>
  <c r="AT238" i="62"/>
  <c r="AS238" i="62" a="1"/>
  <c r="AS238" i="62"/>
  <c r="AN238" i="62" a="1"/>
  <c r="AN238" i="62"/>
  <c r="AJ238" i="62" a="1"/>
  <c r="AJ238" i="62"/>
  <c r="AF238" i="62" a="1"/>
  <c r="AF238" i="62"/>
  <c r="AB238" i="62" a="1"/>
  <c r="AB238" i="62"/>
  <c r="AA238" i="62" a="1"/>
  <c r="AA238" i="62"/>
  <c r="V238" i="62" a="1"/>
  <c r="V238" i="62"/>
  <c r="R238" i="62" a="1"/>
  <c r="R238" i="62"/>
  <c r="N238" i="62" a="1"/>
  <c r="N238" i="62"/>
  <c r="J238" i="62" a="1"/>
  <c r="J238" i="62"/>
  <c r="I238" i="62" a="1"/>
  <c r="I238" i="62"/>
  <c r="BF237" i="62" a="1"/>
  <c r="BF237" i="62"/>
  <c r="BB237" i="62" a="1"/>
  <c r="BB237" i="62"/>
  <c r="AX237" i="62" a="1"/>
  <c r="AX237" i="62"/>
  <c r="AT237" i="62" a="1"/>
  <c r="AT237" i="62"/>
  <c r="AS237" i="62" a="1"/>
  <c r="AS237" i="62"/>
  <c r="AN237" i="62" a="1"/>
  <c r="AN237" i="62"/>
  <c r="AJ237" i="62" a="1"/>
  <c r="AJ237" i="62"/>
  <c r="AF237" i="62" a="1"/>
  <c r="AF237" i="62"/>
  <c r="AB237" i="62" a="1"/>
  <c r="AB237" i="62"/>
  <c r="AA237" i="62" a="1"/>
  <c r="AA237" i="62"/>
  <c r="V237" i="62" a="1"/>
  <c r="V237" i="62"/>
  <c r="R237" i="62" a="1"/>
  <c r="R237" i="62"/>
  <c r="N237" i="62" a="1"/>
  <c r="N237" i="62"/>
  <c r="J237" i="62" a="1"/>
  <c r="J237" i="62"/>
  <c r="I237" i="62" a="1"/>
  <c r="I237" i="62"/>
  <c r="BF236" i="62" a="1"/>
  <c r="BF236" i="62"/>
  <c r="BB236" i="62" a="1"/>
  <c r="BB236" i="62"/>
  <c r="AX236" i="62" a="1"/>
  <c r="AX236" i="62"/>
  <c r="AT236" i="62" a="1"/>
  <c r="AT236" i="62"/>
  <c r="AS236" i="62" a="1"/>
  <c r="AS236" i="62"/>
  <c r="AN236" i="62" a="1"/>
  <c r="AN236" i="62"/>
  <c r="AJ236" i="62" a="1"/>
  <c r="AJ236" i="62"/>
  <c r="AF236" i="62" a="1"/>
  <c r="AF236" i="62"/>
  <c r="AB236" i="62" a="1"/>
  <c r="AB236" i="62"/>
  <c r="AA236" i="62" a="1"/>
  <c r="AA236" i="62"/>
  <c r="V236" i="62" a="1"/>
  <c r="V236" i="62"/>
  <c r="R236" i="62" a="1"/>
  <c r="R236" i="62"/>
  <c r="N236" i="62" a="1"/>
  <c r="N236" i="62"/>
  <c r="J236" i="62" a="1"/>
  <c r="J236" i="62"/>
  <c r="I236" i="62" a="1"/>
  <c r="I236" i="62"/>
  <c r="BF235" i="62" a="1"/>
  <c r="BF235" i="62"/>
  <c r="BB235" i="62" a="1"/>
  <c r="BB235" i="62"/>
  <c r="AX235" i="62" a="1"/>
  <c r="AX235" i="62"/>
  <c r="AT235" i="62" a="1"/>
  <c r="AT235" i="62"/>
  <c r="AS235" i="62" a="1"/>
  <c r="AS235" i="62"/>
  <c r="AN235" i="62" a="1"/>
  <c r="AN235" i="62"/>
  <c r="AJ235" i="62" a="1"/>
  <c r="AJ235" i="62"/>
  <c r="AF235" i="62" a="1"/>
  <c r="AF235" i="62"/>
  <c r="AB235" i="62" a="1"/>
  <c r="AB235" i="62"/>
  <c r="AA235" i="62" a="1"/>
  <c r="AA235" i="62"/>
  <c r="V235" i="62" a="1"/>
  <c r="V235" i="62"/>
  <c r="R235" i="62" a="1"/>
  <c r="R235" i="62"/>
  <c r="N235" i="62" a="1"/>
  <c r="N235" i="62"/>
  <c r="J235" i="62" a="1"/>
  <c r="J235" i="62"/>
  <c r="I235" i="62" a="1"/>
  <c r="I235" i="62"/>
  <c r="BF234" i="62" a="1"/>
  <c r="BF234" i="62"/>
  <c r="BB234" i="62" a="1"/>
  <c r="BB234" i="62"/>
  <c r="AX234" i="62" a="1"/>
  <c r="AX234" i="62"/>
  <c r="AT234" i="62" a="1"/>
  <c r="AT234" i="62"/>
  <c r="AS234" i="62" a="1"/>
  <c r="AS234" i="62"/>
  <c r="AN234" i="62" a="1"/>
  <c r="AN234" i="62"/>
  <c r="AJ234" i="62" a="1"/>
  <c r="AJ234" i="62"/>
  <c r="AF234" i="62" a="1"/>
  <c r="AF234" i="62"/>
  <c r="AB234" i="62" a="1"/>
  <c r="AB234" i="62"/>
  <c r="AA234" i="62" a="1"/>
  <c r="AA234" i="62"/>
  <c r="V234" i="62" a="1"/>
  <c r="V234" i="62"/>
  <c r="R234" i="62" a="1"/>
  <c r="R234" i="62"/>
  <c r="N234" i="62" a="1"/>
  <c r="N234" i="62"/>
  <c r="J234" i="62" a="1"/>
  <c r="J234" i="62"/>
  <c r="I234" i="62" a="1"/>
  <c r="I234" i="62"/>
  <c r="BF233" i="62" a="1"/>
  <c r="BF233" i="62"/>
  <c r="BB233" i="62" a="1"/>
  <c r="BB233" i="62"/>
  <c r="AX233" i="62" a="1"/>
  <c r="AX233" i="62"/>
  <c r="AT233" i="62" a="1"/>
  <c r="AT233" i="62"/>
  <c r="AS233" i="62" a="1"/>
  <c r="AS233" i="62"/>
  <c r="AN233" i="62" a="1"/>
  <c r="AN233" i="62"/>
  <c r="AJ233" i="62" a="1"/>
  <c r="AJ233" i="62"/>
  <c r="AF233" i="62" a="1"/>
  <c r="AF233" i="62"/>
  <c r="AB233" i="62" a="1"/>
  <c r="AB233" i="62"/>
  <c r="AA233" i="62" a="1"/>
  <c r="AA233" i="62"/>
  <c r="V233" i="62" a="1"/>
  <c r="V233" i="62"/>
  <c r="R233" i="62" a="1"/>
  <c r="R233" i="62"/>
  <c r="N233" i="62" a="1"/>
  <c r="N233" i="62"/>
  <c r="J233" i="62" a="1"/>
  <c r="J233" i="62"/>
  <c r="I233" i="62" a="1"/>
  <c r="I233" i="62"/>
  <c r="BF232" i="62" a="1"/>
  <c r="BF232" i="62"/>
  <c r="BB232" i="62" a="1"/>
  <c r="BB232" i="62"/>
  <c r="AX232" i="62" a="1"/>
  <c r="AX232" i="62"/>
  <c r="AT232" i="62" a="1"/>
  <c r="AT232" i="62"/>
  <c r="AS232" i="62" a="1"/>
  <c r="AS232" i="62"/>
  <c r="AN232" i="62" a="1"/>
  <c r="AN232" i="62"/>
  <c r="AJ232" i="62" a="1"/>
  <c r="AJ232" i="62"/>
  <c r="AF232" i="62" a="1"/>
  <c r="AF232" i="62"/>
  <c r="AB232" i="62" a="1"/>
  <c r="AB232" i="62"/>
  <c r="AA232" i="62" a="1"/>
  <c r="AA232" i="62"/>
  <c r="V232" i="62" a="1"/>
  <c r="V232" i="62"/>
  <c r="R232" i="62" a="1"/>
  <c r="R232" i="62"/>
  <c r="N232" i="62" a="1"/>
  <c r="N232" i="62"/>
  <c r="J232" i="62" a="1"/>
  <c r="J232" i="62"/>
  <c r="I232" i="62" a="1"/>
  <c r="I232" i="62"/>
  <c r="BF231" i="62" a="1"/>
  <c r="BF231" i="62"/>
  <c r="BB231" i="62" a="1"/>
  <c r="BB231" i="62"/>
  <c r="AX231" i="62" a="1"/>
  <c r="AX231" i="62"/>
  <c r="AT231" i="62" a="1"/>
  <c r="AT231" i="62"/>
  <c r="AS231" i="62" a="1"/>
  <c r="AS231" i="62"/>
  <c r="AN231" i="62" a="1"/>
  <c r="AN231" i="62"/>
  <c r="AJ231" i="62" a="1"/>
  <c r="AJ231" i="62"/>
  <c r="AF231" i="62" a="1"/>
  <c r="AF231" i="62"/>
  <c r="AB231" i="62" a="1"/>
  <c r="AB231" i="62"/>
  <c r="AA231" i="62" a="1"/>
  <c r="AA231" i="62"/>
  <c r="V231" i="62" a="1"/>
  <c r="V231" i="62"/>
  <c r="R231" i="62" a="1"/>
  <c r="R231" i="62"/>
  <c r="N231" i="62" a="1"/>
  <c r="N231" i="62"/>
  <c r="J231" i="62" a="1"/>
  <c r="J231" i="62"/>
  <c r="I231" i="62" a="1"/>
  <c r="I231" i="62"/>
  <c r="BF230" i="62" a="1"/>
  <c r="BF230" i="62"/>
  <c r="BB230" i="62" a="1"/>
  <c r="BB230" i="62"/>
  <c r="AX230" i="62" a="1"/>
  <c r="AX230" i="62"/>
  <c r="AT230" i="62" a="1"/>
  <c r="AT230" i="62"/>
  <c r="AS230" i="62" a="1"/>
  <c r="AS230" i="62"/>
  <c r="AN230" i="62" a="1"/>
  <c r="AN230" i="62"/>
  <c r="AJ230" i="62" a="1"/>
  <c r="AJ230" i="62"/>
  <c r="AF230" i="62" a="1"/>
  <c r="AF230" i="62"/>
  <c r="AB230" i="62" a="1"/>
  <c r="AB230" i="62"/>
  <c r="AA230" i="62" a="1"/>
  <c r="AA230" i="62"/>
  <c r="V230" i="62" a="1"/>
  <c r="V230" i="62"/>
  <c r="R230" i="62" a="1"/>
  <c r="R230" i="62"/>
  <c r="N230" i="62" a="1"/>
  <c r="N230" i="62"/>
  <c r="J230" i="62" a="1"/>
  <c r="J230" i="62"/>
  <c r="I230" i="62" a="1"/>
  <c r="I230" i="62"/>
  <c r="BF229" i="62" a="1"/>
  <c r="BF229" i="62"/>
  <c r="BB229" i="62" a="1"/>
  <c r="BB229" i="62"/>
  <c r="AX229" i="62" a="1"/>
  <c r="AX229" i="62"/>
  <c r="AT229" i="62" a="1"/>
  <c r="AT229" i="62"/>
  <c r="AS229" i="62" a="1"/>
  <c r="AS229" i="62"/>
  <c r="AN229" i="62" a="1"/>
  <c r="AN229" i="62"/>
  <c r="AJ229" i="62" a="1"/>
  <c r="AJ229" i="62"/>
  <c r="AF229" i="62" a="1"/>
  <c r="AF229" i="62"/>
  <c r="AB229" i="62" a="1"/>
  <c r="AB229" i="62"/>
  <c r="AA229" i="62" a="1"/>
  <c r="AA229" i="62"/>
  <c r="V229" i="62" a="1"/>
  <c r="V229" i="62"/>
  <c r="R229" i="62" a="1"/>
  <c r="R229" i="62"/>
  <c r="N229" i="62" a="1"/>
  <c r="N229" i="62"/>
  <c r="J229" i="62" a="1"/>
  <c r="J229" i="62"/>
  <c r="I229" i="62" a="1"/>
  <c r="I229" i="62"/>
  <c r="BF228" i="62" a="1"/>
  <c r="BF228" i="62"/>
  <c r="BB228" i="62" a="1"/>
  <c r="BB228" i="62"/>
  <c r="AX228" i="62" a="1"/>
  <c r="AX228" i="62"/>
  <c r="AT228" i="62" a="1"/>
  <c r="AT228" i="62"/>
  <c r="AS228" i="62" a="1"/>
  <c r="AS228" i="62"/>
  <c r="AN228" i="62" a="1"/>
  <c r="AN228" i="62"/>
  <c r="AJ228" i="62" a="1"/>
  <c r="AJ228" i="62"/>
  <c r="AF228" i="62" a="1"/>
  <c r="AF228" i="62"/>
  <c r="AB228" i="62" a="1"/>
  <c r="AB228" i="62"/>
  <c r="AA228" i="62" a="1"/>
  <c r="AA228" i="62"/>
  <c r="V228" i="62" a="1"/>
  <c r="V228" i="62"/>
  <c r="R228" i="62" a="1"/>
  <c r="R228" i="62"/>
  <c r="N228" i="62" a="1"/>
  <c r="N228" i="62"/>
  <c r="J228" i="62" a="1"/>
  <c r="J228" i="62"/>
  <c r="I228" i="62" a="1"/>
  <c r="I228" i="62"/>
  <c r="BF227" i="62" a="1"/>
  <c r="BF227" i="62"/>
  <c r="BB227" i="62" a="1"/>
  <c r="BB227" i="62"/>
  <c r="AX227" i="62" a="1"/>
  <c r="AX227" i="62"/>
  <c r="AT227" i="62" a="1"/>
  <c r="AT227" i="62"/>
  <c r="AS227" i="62" a="1"/>
  <c r="AS227" i="62"/>
  <c r="AN227" i="62" a="1"/>
  <c r="AN227" i="62"/>
  <c r="AJ227" i="62" a="1"/>
  <c r="AJ227" i="62"/>
  <c r="AF227" i="62" a="1"/>
  <c r="AF227" i="62"/>
  <c r="AB227" i="62" a="1"/>
  <c r="AB227" i="62"/>
  <c r="AA227" i="62" a="1"/>
  <c r="AA227" i="62"/>
  <c r="V227" i="62" a="1"/>
  <c r="V227" i="62"/>
  <c r="R227" i="62" a="1"/>
  <c r="R227" i="62"/>
  <c r="N227" i="62" a="1"/>
  <c r="N227" i="62"/>
  <c r="J227" i="62" a="1"/>
  <c r="J227" i="62"/>
  <c r="I227" i="62" a="1"/>
  <c r="I227" i="62"/>
  <c r="BF226" i="62" a="1"/>
  <c r="BF226" i="62"/>
  <c r="BB226" i="62" a="1"/>
  <c r="BB226" i="62"/>
  <c r="AX226" i="62" a="1"/>
  <c r="AX226" i="62"/>
  <c r="AT226" i="62" a="1"/>
  <c r="AT226" i="62"/>
  <c r="AS226" i="62" a="1"/>
  <c r="AS226" i="62"/>
  <c r="AN226" i="62" a="1"/>
  <c r="AN226" i="62"/>
  <c r="AJ226" i="62" a="1"/>
  <c r="AJ226" i="62"/>
  <c r="AF226" i="62" a="1"/>
  <c r="AF226" i="62"/>
  <c r="AB226" i="62" a="1"/>
  <c r="AB226" i="62"/>
  <c r="AA226" i="62" a="1"/>
  <c r="AA226" i="62"/>
  <c r="V226" i="62" a="1"/>
  <c r="V226" i="62"/>
  <c r="R226" i="62" a="1"/>
  <c r="R226" i="62"/>
  <c r="N226" i="62" a="1"/>
  <c r="N226" i="62"/>
  <c r="J226" i="62" a="1"/>
  <c r="J226" i="62"/>
  <c r="I226" i="62" a="1"/>
  <c r="I226" i="62"/>
  <c r="BF225" i="62" a="1"/>
  <c r="BF225" i="62"/>
  <c r="BB225" i="62" a="1"/>
  <c r="BB225" i="62"/>
  <c r="AX225" i="62" a="1"/>
  <c r="AX225" i="62"/>
  <c r="AT225" i="62" a="1"/>
  <c r="AT225" i="62"/>
  <c r="AS225" i="62" a="1"/>
  <c r="AS225" i="62"/>
  <c r="AN225" i="62" a="1"/>
  <c r="AN225" i="62"/>
  <c r="AJ225" i="62" a="1"/>
  <c r="AJ225" i="62"/>
  <c r="AF225" i="62" a="1"/>
  <c r="AF225" i="62"/>
  <c r="AB225" i="62" a="1"/>
  <c r="AB225" i="62"/>
  <c r="AA225" i="62" a="1"/>
  <c r="AA225" i="62"/>
  <c r="V225" i="62" a="1"/>
  <c r="V225" i="62"/>
  <c r="R225" i="62" a="1"/>
  <c r="R225" i="62"/>
  <c r="N225" i="62" a="1"/>
  <c r="N225" i="62"/>
  <c r="J225" i="62" a="1"/>
  <c r="J225" i="62"/>
  <c r="I225" i="62" a="1"/>
  <c r="I225" i="62"/>
  <c r="BF224" i="62" a="1"/>
  <c r="BF224" i="62"/>
  <c r="BB224" i="62" a="1"/>
  <c r="BB224" i="62"/>
  <c r="AX224" i="62" a="1"/>
  <c r="AX224" i="62"/>
  <c r="AT224" i="62" a="1"/>
  <c r="AT224" i="62"/>
  <c r="AS224" i="62" a="1"/>
  <c r="AS224" i="62"/>
  <c r="AN224" i="62" a="1"/>
  <c r="AN224" i="62"/>
  <c r="AJ224" i="62" a="1"/>
  <c r="AJ224" i="62"/>
  <c r="AF224" i="62" a="1"/>
  <c r="AF224" i="62"/>
  <c r="AB224" i="62" a="1"/>
  <c r="AB224" i="62"/>
  <c r="AA224" i="62" a="1"/>
  <c r="AA224" i="62"/>
  <c r="V224" i="62" a="1"/>
  <c r="V224" i="62"/>
  <c r="R224" i="62" a="1"/>
  <c r="R224" i="62"/>
  <c r="N224" i="62" a="1"/>
  <c r="N224" i="62"/>
  <c r="J224" i="62" a="1"/>
  <c r="J224" i="62"/>
  <c r="I224" i="62" a="1"/>
  <c r="I224" i="62"/>
  <c r="BF215" i="62" a="1"/>
  <c r="BF215" i="62"/>
  <c r="BB215" i="62" a="1"/>
  <c r="BB215" i="62"/>
  <c r="AX215" i="62" a="1"/>
  <c r="AX215" i="62"/>
  <c r="AT215" i="62" a="1"/>
  <c r="AT215" i="62"/>
  <c r="AS215" i="62" a="1"/>
  <c r="AS215" i="62"/>
  <c r="AN215" i="62" a="1"/>
  <c r="AN215" i="62"/>
  <c r="AJ215" i="62" a="1"/>
  <c r="AJ215" i="62"/>
  <c r="AF215" i="62" a="1"/>
  <c r="AF215" i="62"/>
  <c r="AB215" i="62" a="1"/>
  <c r="AB215" i="62"/>
  <c r="AA215" i="62" a="1"/>
  <c r="AA215" i="62"/>
  <c r="V215" i="62" a="1"/>
  <c r="V215" i="62"/>
  <c r="R215" i="62" a="1"/>
  <c r="R215" i="62"/>
  <c r="N215" i="62" a="1"/>
  <c r="N215" i="62"/>
  <c r="J215" i="62" a="1"/>
  <c r="J215" i="62"/>
  <c r="I215" i="62" a="1"/>
  <c r="I215" i="62"/>
  <c r="BF211" i="62" a="1"/>
  <c r="BF211" i="62"/>
  <c r="BB211" i="62" a="1"/>
  <c r="BB211" i="62"/>
  <c r="AX211" i="62" a="1"/>
  <c r="AX211" i="62"/>
  <c r="AT211" i="62" a="1"/>
  <c r="AT211" i="62"/>
  <c r="AS211" i="62" a="1"/>
  <c r="AS211" i="62"/>
  <c r="AN211" i="62" a="1"/>
  <c r="AN211" i="62"/>
  <c r="AJ211" i="62" a="1"/>
  <c r="AJ211" i="62"/>
  <c r="AF211" i="62" a="1"/>
  <c r="AF211" i="62"/>
  <c r="AB211" i="62" a="1"/>
  <c r="AB211" i="62"/>
  <c r="AA211" i="62" a="1"/>
  <c r="AA211" i="62"/>
  <c r="V211" i="62" a="1"/>
  <c r="V211" i="62"/>
  <c r="R211" i="62" a="1"/>
  <c r="R211" i="62"/>
  <c r="N211" i="62" a="1"/>
  <c r="N211" i="62"/>
  <c r="J211" i="62" a="1"/>
  <c r="J211" i="62"/>
  <c r="I211" i="62" a="1"/>
  <c r="I211" i="62"/>
  <c r="BF210" i="62" a="1"/>
  <c r="BF210" i="62"/>
  <c r="BB210" i="62" a="1"/>
  <c r="BB210" i="62"/>
  <c r="AX210" i="62" a="1"/>
  <c r="AX210" i="62"/>
  <c r="AT210" i="62" a="1"/>
  <c r="AT210" i="62"/>
  <c r="AS210" i="62" a="1"/>
  <c r="AS210" i="62"/>
  <c r="AN210" i="62" a="1"/>
  <c r="AN210" i="62"/>
  <c r="AJ210" i="62" a="1"/>
  <c r="AJ210" i="62"/>
  <c r="AF210" i="62" a="1"/>
  <c r="AF210" i="62"/>
  <c r="AB210" i="62" a="1"/>
  <c r="AB210" i="62"/>
  <c r="AA210" i="62" a="1"/>
  <c r="AA210" i="62"/>
  <c r="V210" i="62" a="1"/>
  <c r="V210" i="62"/>
  <c r="R210" i="62" a="1"/>
  <c r="R210" i="62"/>
  <c r="N210" i="62" a="1"/>
  <c r="N210" i="62"/>
  <c r="J210" i="62" a="1"/>
  <c r="J210" i="62"/>
  <c r="I210" i="62" a="1"/>
  <c r="I210" i="62"/>
  <c r="BF209" i="62" a="1"/>
  <c r="BF209" i="62"/>
  <c r="BB209" i="62" a="1"/>
  <c r="BB209" i="62"/>
  <c r="AX209" i="62" a="1"/>
  <c r="AX209" i="62"/>
  <c r="AT209" i="62" a="1"/>
  <c r="AT209" i="62"/>
  <c r="AS209" i="62" a="1"/>
  <c r="AS209" i="62"/>
  <c r="AN209" i="62" a="1"/>
  <c r="AN209" i="62"/>
  <c r="AJ209" i="62" a="1"/>
  <c r="AJ209" i="62"/>
  <c r="AF209" i="62" a="1"/>
  <c r="AF209" i="62"/>
  <c r="AB209" i="62" a="1"/>
  <c r="AB209" i="62"/>
  <c r="AA209" i="62" a="1"/>
  <c r="AA209" i="62"/>
  <c r="V209" i="62" a="1"/>
  <c r="V209" i="62"/>
  <c r="R209" i="62" a="1"/>
  <c r="R209" i="62"/>
  <c r="N209" i="62" a="1"/>
  <c r="N209" i="62"/>
  <c r="J209" i="62" a="1"/>
  <c r="J209" i="62"/>
  <c r="I209" i="62" a="1"/>
  <c r="I209" i="62"/>
  <c r="BF208" i="62" a="1"/>
  <c r="BF208" i="62"/>
  <c r="BB208" i="62" a="1"/>
  <c r="BB208" i="62"/>
  <c r="AX208" i="62" a="1"/>
  <c r="AX208" i="62"/>
  <c r="AT208" i="62" a="1"/>
  <c r="AT208" i="62"/>
  <c r="AS208" i="62" a="1"/>
  <c r="AS208" i="62"/>
  <c r="AN208" i="62" a="1"/>
  <c r="AN208" i="62"/>
  <c r="AJ208" i="62" a="1"/>
  <c r="AJ208" i="62"/>
  <c r="AF208" i="62" a="1"/>
  <c r="AF208" i="62"/>
  <c r="AB208" i="62" a="1"/>
  <c r="AB208" i="62"/>
  <c r="AA208" i="62" a="1"/>
  <c r="AA208" i="62"/>
  <c r="V208" i="62" a="1"/>
  <c r="V208" i="62"/>
  <c r="R208" i="62" a="1"/>
  <c r="R208" i="62"/>
  <c r="N208" i="62" a="1"/>
  <c r="N208" i="62"/>
  <c r="J208" i="62" a="1"/>
  <c r="J208" i="62"/>
  <c r="I208" i="62" a="1"/>
  <c r="I208" i="62"/>
  <c r="BF207" i="62" a="1"/>
  <c r="BF207" i="62"/>
  <c r="BB207" i="62" a="1"/>
  <c r="BB207" i="62"/>
  <c r="AX207" i="62" a="1"/>
  <c r="AX207" i="62"/>
  <c r="AT207" i="62" a="1"/>
  <c r="AT207" i="62"/>
  <c r="AS207" i="62" a="1"/>
  <c r="AS207" i="62"/>
  <c r="AN207" i="62" a="1"/>
  <c r="AN207" i="62"/>
  <c r="AJ207" i="62" a="1"/>
  <c r="AJ207" i="62"/>
  <c r="AF207" i="62" a="1"/>
  <c r="AF207" i="62"/>
  <c r="AB207" i="62" a="1"/>
  <c r="AB207" i="62"/>
  <c r="AA207" i="62" a="1"/>
  <c r="AA207" i="62"/>
  <c r="V207" i="62" a="1"/>
  <c r="V207" i="62"/>
  <c r="R207" i="62" a="1"/>
  <c r="R207" i="62"/>
  <c r="N207" i="62" a="1"/>
  <c r="N207" i="62"/>
  <c r="J207" i="62" a="1"/>
  <c r="J207" i="62"/>
  <c r="I207" i="62" a="1"/>
  <c r="I207" i="62"/>
  <c r="BF206" i="62" a="1"/>
  <c r="BF206" i="62"/>
  <c r="BB206" i="62" a="1"/>
  <c r="BB206" i="62"/>
  <c r="AX206" i="62" a="1"/>
  <c r="AX206" i="62"/>
  <c r="AT206" i="62" a="1"/>
  <c r="AT206" i="62"/>
  <c r="AS206" i="62" a="1"/>
  <c r="AS206" i="62"/>
  <c r="AN206" i="62" a="1"/>
  <c r="AN206" i="62"/>
  <c r="AJ206" i="62" a="1"/>
  <c r="AJ206" i="62"/>
  <c r="AF206" i="62" a="1"/>
  <c r="AF206" i="62"/>
  <c r="AB206" i="62" a="1"/>
  <c r="AB206" i="62"/>
  <c r="AA206" i="62" a="1"/>
  <c r="AA206" i="62"/>
  <c r="V206" i="62" a="1"/>
  <c r="V206" i="62"/>
  <c r="R206" i="62" a="1"/>
  <c r="R206" i="62"/>
  <c r="N206" i="62" a="1"/>
  <c r="N206" i="62"/>
  <c r="J206" i="62" a="1"/>
  <c r="J206" i="62"/>
  <c r="I206" i="62" a="1"/>
  <c r="I206" i="62"/>
  <c r="BF205" i="62" a="1"/>
  <c r="BF205" i="62"/>
  <c r="BB205" i="62" a="1"/>
  <c r="BB205" i="62"/>
  <c r="AX205" i="62" a="1"/>
  <c r="AX205" i="62"/>
  <c r="AT205" i="62" a="1"/>
  <c r="AT205" i="62"/>
  <c r="AS205" i="62" a="1"/>
  <c r="AS205" i="62"/>
  <c r="AN205" i="62" a="1"/>
  <c r="AN205" i="62"/>
  <c r="AJ205" i="62" a="1"/>
  <c r="AJ205" i="62"/>
  <c r="AF205" i="62" a="1"/>
  <c r="AF205" i="62"/>
  <c r="AB205" i="62" a="1"/>
  <c r="AB205" i="62"/>
  <c r="AA205" i="62" a="1"/>
  <c r="AA205" i="62"/>
  <c r="V205" i="62" a="1"/>
  <c r="V205" i="62"/>
  <c r="R205" i="62" a="1"/>
  <c r="R205" i="62"/>
  <c r="N205" i="62" a="1"/>
  <c r="N205" i="62"/>
  <c r="J205" i="62" a="1"/>
  <c r="J205" i="62"/>
  <c r="I205" i="62" a="1"/>
  <c r="I205" i="62"/>
  <c r="BF203" i="62" a="1"/>
  <c r="BF203" i="62"/>
  <c r="BB203" i="62" a="1"/>
  <c r="BB203" i="62"/>
  <c r="AX203" i="62" a="1"/>
  <c r="AX203" i="62"/>
  <c r="AT203" i="62" a="1"/>
  <c r="AT203" i="62"/>
  <c r="AS203" i="62" a="1"/>
  <c r="AS203" i="62"/>
  <c r="AN203" i="62" a="1"/>
  <c r="AN203" i="62"/>
  <c r="AJ203" i="62" a="1"/>
  <c r="AJ203" i="62"/>
  <c r="AF203" i="62" a="1"/>
  <c r="AF203" i="62"/>
  <c r="AB203" i="62" a="1"/>
  <c r="AB203" i="62"/>
  <c r="AA203" i="62" a="1"/>
  <c r="AA203" i="62"/>
  <c r="V203" i="62" a="1"/>
  <c r="V203" i="62"/>
  <c r="R203" i="62" a="1"/>
  <c r="R203" i="62"/>
  <c r="N203" i="62" a="1"/>
  <c r="N203" i="62"/>
  <c r="J203" i="62" a="1"/>
  <c r="J203" i="62"/>
  <c r="I203" i="62" a="1"/>
  <c r="I203" i="62"/>
  <c r="BF202" i="62" a="1"/>
  <c r="BF202" i="62"/>
  <c r="BB202" i="62" a="1"/>
  <c r="BB202" i="62"/>
  <c r="AX202" i="62" a="1"/>
  <c r="AX202" i="62"/>
  <c r="AT202" i="62" a="1"/>
  <c r="AT202" i="62"/>
  <c r="AS202" i="62" a="1"/>
  <c r="AS202" i="62"/>
  <c r="AN202" i="62" a="1"/>
  <c r="AN202" i="62"/>
  <c r="AJ202" i="62" a="1"/>
  <c r="AJ202" i="62"/>
  <c r="AF202" i="62" a="1"/>
  <c r="AF202" i="62"/>
  <c r="AB202" i="62" a="1"/>
  <c r="AB202" i="62"/>
  <c r="AA202" i="62" a="1"/>
  <c r="AA202" i="62"/>
  <c r="V202" i="62" a="1"/>
  <c r="V202" i="62"/>
  <c r="R202" i="62" a="1"/>
  <c r="R202" i="62"/>
  <c r="N202" i="62" a="1"/>
  <c r="N202" i="62"/>
  <c r="J202" i="62" a="1"/>
  <c r="J202" i="62"/>
  <c r="I202" i="62" a="1"/>
  <c r="I202" i="62"/>
  <c r="BF201" i="62" a="1"/>
  <c r="BF201" i="62"/>
  <c r="BB201" i="62" a="1"/>
  <c r="BB201" i="62"/>
  <c r="AX201" i="62" a="1"/>
  <c r="AX201" i="62"/>
  <c r="AT201" i="62" a="1"/>
  <c r="AT201" i="62"/>
  <c r="AS201" i="62" a="1"/>
  <c r="AS201" i="62"/>
  <c r="AN201" i="62" a="1"/>
  <c r="AN201" i="62"/>
  <c r="AJ201" i="62" a="1"/>
  <c r="AJ201" i="62"/>
  <c r="AF201" i="62" a="1"/>
  <c r="AF201" i="62"/>
  <c r="AB201" i="62" a="1"/>
  <c r="AB201" i="62"/>
  <c r="AA201" i="62" a="1"/>
  <c r="AA201" i="62"/>
  <c r="V201" i="62" a="1"/>
  <c r="V201" i="62"/>
  <c r="R201" i="62" a="1"/>
  <c r="R201" i="62"/>
  <c r="N201" i="62" a="1"/>
  <c r="N201" i="62"/>
  <c r="J201" i="62" a="1"/>
  <c r="J201" i="62"/>
  <c r="I201" i="62" a="1"/>
  <c r="I201" i="62"/>
  <c r="BF200" i="62" a="1"/>
  <c r="BF200" i="62"/>
  <c r="BB200" i="62" a="1"/>
  <c r="BB200" i="62"/>
  <c r="AX200" i="62" a="1"/>
  <c r="AX200" i="62"/>
  <c r="AT200" i="62" a="1"/>
  <c r="AT200" i="62"/>
  <c r="AS200" i="62" a="1"/>
  <c r="AS200" i="62"/>
  <c r="AN200" i="62" a="1"/>
  <c r="AN200" i="62"/>
  <c r="AJ200" i="62" a="1"/>
  <c r="AJ200" i="62"/>
  <c r="AF200" i="62" a="1"/>
  <c r="AF200" i="62"/>
  <c r="AB200" i="62" a="1"/>
  <c r="AB200" i="62"/>
  <c r="AA200" i="62" a="1"/>
  <c r="AA200" i="62"/>
  <c r="V200" i="62" a="1"/>
  <c r="V200" i="62"/>
  <c r="R200" i="62" a="1"/>
  <c r="R200" i="62"/>
  <c r="N200" i="62" a="1"/>
  <c r="N200" i="62"/>
  <c r="J200" i="62" a="1"/>
  <c r="J200" i="62"/>
  <c r="I200" i="62" a="1"/>
  <c r="I200" i="62"/>
  <c r="BF199" i="62" a="1"/>
  <c r="BF199" i="62"/>
  <c r="BB199" i="62" a="1"/>
  <c r="BB199" i="62"/>
  <c r="AX199" i="62" a="1"/>
  <c r="AX199" i="62"/>
  <c r="AT199" i="62" a="1"/>
  <c r="AT199" i="62"/>
  <c r="AS199" i="62" a="1"/>
  <c r="AS199" i="62"/>
  <c r="AN199" i="62" a="1"/>
  <c r="AN199" i="62"/>
  <c r="AJ199" i="62" a="1"/>
  <c r="AJ199" i="62"/>
  <c r="AF199" i="62" a="1"/>
  <c r="AF199" i="62"/>
  <c r="AB199" i="62" a="1"/>
  <c r="AB199" i="62"/>
  <c r="AA199" i="62" a="1"/>
  <c r="AA199" i="62"/>
  <c r="V199" i="62" a="1"/>
  <c r="V199" i="62"/>
  <c r="R199" i="62" a="1"/>
  <c r="R199" i="62"/>
  <c r="N199" i="62" a="1"/>
  <c r="N199" i="62"/>
  <c r="J199" i="62" a="1"/>
  <c r="J199" i="62"/>
  <c r="I199" i="62" a="1"/>
  <c r="I199" i="62"/>
  <c r="BF198" i="62" a="1"/>
  <c r="BF198" i="62"/>
  <c r="BB198" i="62" a="1"/>
  <c r="BB198" i="62"/>
  <c r="AX198" i="62" a="1"/>
  <c r="AX198" i="62"/>
  <c r="AT198" i="62" a="1"/>
  <c r="AT198" i="62"/>
  <c r="AS198" i="62" a="1"/>
  <c r="AS198" i="62"/>
  <c r="AN198" i="62" a="1"/>
  <c r="AN198" i="62"/>
  <c r="AJ198" i="62" a="1"/>
  <c r="AJ198" i="62"/>
  <c r="AF198" i="62" a="1"/>
  <c r="AF198" i="62"/>
  <c r="AB198" i="62" a="1"/>
  <c r="AB198" i="62"/>
  <c r="AA198" i="62" a="1"/>
  <c r="AA198" i="62"/>
  <c r="V198" i="62" a="1"/>
  <c r="V198" i="62"/>
  <c r="R198" i="62" a="1"/>
  <c r="R198" i="62"/>
  <c r="N198" i="62" a="1"/>
  <c r="N198" i="62"/>
  <c r="J198" i="62" a="1"/>
  <c r="J198" i="62"/>
  <c r="I198" i="62" a="1"/>
  <c r="I198" i="62"/>
  <c r="BF197" i="62" a="1"/>
  <c r="BF197" i="62"/>
  <c r="BB197" i="62" a="1"/>
  <c r="BB197" i="62"/>
  <c r="AX197" i="62" a="1"/>
  <c r="AX197" i="62"/>
  <c r="AT197" i="62" a="1"/>
  <c r="AT197" i="62"/>
  <c r="AS197" i="62" a="1"/>
  <c r="AS197" i="62"/>
  <c r="AN197" i="62" a="1"/>
  <c r="AN197" i="62"/>
  <c r="AJ197" i="62" a="1"/>
  <c r="AJ197" i="62"/>
  <c r="AF197" i="62" a="1"/>
  <c r="AF197" i="62"/>
  <c r="AB197" i="62" a="1"/>
  <c r="AB197" i="62"/>
  <c r="AA197" i="62" a="1"/>
  <c r="AA197" i="62"/>
  <c r="V197" i="62" a="1"/>
  <c r="V197" i="62"/>
  <c r="R197" i="62" a="1"/>
  <c r="R197" i="62"/>
  <c r="N197" i="62" a="1"/>
  <c r="N197" i="62"/>
  <c r="J197" i="62" a="1"/>
  <c r="J197" i="62"/>
  <c r="I197" i="62" a="1"/>
  <c r="I197" i="62"/>
  <c r="BF196" i="62" a="1"/>
  <c r="BF196" i="62"/>
  <c r="BB196" i="62" a="1"/>
  <c r="BB196" i="62"/>
  <c r="AX196" i="62" a="1"/>
  <c r="AX196" i="62"/>
  <c r="AT196" i="62" a="1"/>
  <c r="AT196" i="62"/>
  <c r="AS196" i="62" a="1"/>
  <c r="AS196" i="62"/>
  <c r="AN196" i="62" a="1"/>
  <c r="AN196" i="62"/>
  <c r="AJ196" i="62" a="1"/>
  <c r="AJ196" i="62"/>
  <c r="AF196" i="62" a="1"/>
  <c r="AF196" i="62"/>
  <c r="AB196" i="62" a="1"/>
  <c r="AB196" i="62"/>
  <c r="AA196" i="62" a="1"/>
  <c r="AA196" i="62"/>
  <c r="V196" i="62" a="1"/>
  <c r="V196" i="62"/>
  <c r="R196" i="62" a="1"/>
  <c r="R196" i="62"/>
  <c r="N196" i="62" a="1"/>
  <c r="N196" i="62"/>
  <c r="J196" i="62" a="1"/>
  <c r="J196" i="62"/>
  <c r="I196" i="62" a="1"/>
  <c r="I196" i="62"/>
  <c r="BF195" i="62" a="1"/>
  <c r="BF195" i="62"/>
  <c r="BB195" i="62" a="1"/>
  <c r="BB195" i="62"/>
  <c r="AX195" i="62" a="1"/>
  <c r="AX195" i="62"/>
  <c r="AT195" i="62" a="1"/>
  <c r="AT195" i="62"/>
  <c r="AS195" i="62" a="1"/>
  <c r="AS195" i="62"/>
  <c r="AN195" i="62" a="1"/>
  <c r="AN195" i="62"/>
  <c r="AJ195" i="62" a="1"/>
  <c r="AJ195" i="62"/>
  <c r="AF195" i="62" a="1"/>
  <c r="AF195" i="62"/>
  <c r="AB195" i="62" a="1"/>
  <c r="AB195" i="62"/>
  <c r="AA195" i="62" a="1"/>
  <c r="AA195" i="62"/>
  <c r="V195" i="62" a="1"/>
  <c r="V195" i="62"/>
  <c r="R195" i="62" a="1"/>
  <c r="R195" i="62"/>
  <c r="N195" i="62" a="1"/>
  <c r="N195" i="62"/>
  <c r="J195" i="62" a="1"/>
  <c r="J195" i="62"/>
  <c r="I195" i="62" a="1"/>
  <c r="I195" i="62"/>
  <c r="BF194" i="62" a="1"/>
  <c r="BF194" i="62"/>
  <c r="BB194" i="62" a="1"/>
  <c r="BB194" i="62"/>
  <c r="AX194" i="62" a="1"/>
  <c r="AX194" i="62"/>
  <c r="AT194" i="62" a="1"/>
  <c r="AT194" i="62"/>
  <c r="AS194" i="62" a="1"/>
  <c r="AS194" i="62"/>
  <c r="AN194" i="62" a="1"/>
  <c r="AN194" i="62"/>
  <c r="AJ194" i="62" a="1"/>
  <c r="AJ194" i="62"/>
  <c r="AF194" i="62" a="1"/>
  <c r="AF194" i="62"/>
  <c r="AB194" i="62" a="1"/>
  <c r="AB194" i="62"/>
  <c r="AA194" i="62" a="1"/>
  <c r="AA194" i="62"/>
  <c r="V194" i="62" a="1"/>
  <c r="V194" i="62"/>
  <c r="R194" i="62" a="1"/>
  <c r="R194" i="62"/>
  <c r="N194" i="62" a="1"/>
  <c r="N194" i="62"/>
  <c r="J194" i="62" a="1"/>
  <c r="J194" i="62"/>
  <c r="I194" i="62" a="1"/>
  <c r="I194" i="62"/>
  <c r="BF193" i="62" a="1"/>
  <c r="BF193" i="62"/>
  <c r="BB193" i="62" a="1"/>
  <c r="BB193" i="62"/>
  <c r="AX193" i="62" a="1"/>
  <c r="AX193" i="62"/>
  <c r="AT193" i="62" a="1"/>
  <c r="AT193" i="62"/>
  <c r="AS193" i="62" a="1"/>
  <c r="AS193" i="62"/>
  <c r="AN193" i="62" a="1"/>
  <c r="AN193" i="62"/>
  <c r="AJ193" i="62" a="1"/>
  <c r="AJ193" i="62"/>
  <c r="AF193" i="62" a="1"/>
  <c r="AF193" i="62"/>
  <c r="AB193" i="62" a="1"/>
  <c r="AB193" i="62"/>
  <c r="AA193" i="62" a="1"/>
  <c r="AA193" i="62"/>
  <c r="V193" i="62" a="1"/>
  <c r="V193" i="62"/>
  <c r="R193" i="62" a="1"/>
  <c r="R193" i="62"/>
  <c r="N193" i="62" a="1"/>
  <c r="N193" i="62"/>
  <c r="J193" i="62" a="1"/>
  <c r="J193" i="62"/>
  <c r="I193" i="62" a="1"/>
  <c r="I193" i="62"/>
  <c r="BF192" i="62" a="1"/>
  <c r="BF192" i="62"/>
  <c r="BB192" i="62" a="1"/>
  <c r="BB192" i="62"/>
  <c r="AX192" i="62" a="1"/>
  <c r="AX192" i="62"/>
  <c r="AT192" i="62" a="1"/>
  <c r="AT192" i="62"/>
  <c r="AS192" i="62" a="1"/>
  <c r="AS192" i="62"/>
  <c r="AN192" i="62" a="1"/>
  <c r="AN192" i="62"/>
  <c r="AJ192" i="62" a="1"/>
  <c r="AJ192" i="62"/>
  <c r="AF192" i="62" a="1"/>
  <c r="AF192" i="62"/>
  <c r="AB192" i="62" a="1"/>
  <c r="AB192" i="62"/>
  <c r="AA192" i="62" a="1"/>
  <c r="AA192" i="62"/>
  <c r="V192" i="62" a="1"/>
  <c r="V192" i="62"/>
  <c r="R192" i="62" a="1"/>
  <c r="R192" i="62"/>
  <c r="N192" i="62" a="1"/>
  <c r="N192" i="62"/>
  <c r="J192" i="62" a="1"/>
  <c r="J192" i="62"/>
  <c r="I192" i="62" a="1"/>
  <c r="I192" i="62"/>
  <c r="BF191" i="62" a="1"/>
  <c r="BF191" i="62"/>
  <c r="BB191" i="62" a="1"/>
  <c r="BB191" i="62"/>
  <c r="AX191" i="62" a="1"/>
  <c r="AX191" i="62"/>
  <c r="AT191" i="62" a="1"/>
  <c r="AT191" i="62"/>
  <c r="AS191" i="62" a="1"/>
  <c r="AS191" i="62"/>
  <c r="AN191" i="62" a="1"/>
  <c r="AN191" i="62"/>
  <c r="AJ191" i="62" a="1"/>
  <c r="AJ191" i="62"/>
  <c r="AF191" i="62" a="1"/>
  <c r="AF191" i="62"/>
  <c r="AB191" i="62" a="1"/>
  <c r="AB191" i="62"/>
  <c r="AA191" i="62" a="1"/>
  <c r="AA191" i="62"/>
  <c r="V191" i="62" a="1"/>
  <c r="V191" i="62"/>
  <c r="R191" i="62" a="1"/>
  <c r="R191" i="62"/>
  <c r="N191" i="62" a="1"/>
  <c r="N191" i="62"/>
  <c r="J191" i="62" a="1"/>
  <c r="J191" i="62"/>
  <c r="I191" i="62" a="1"/>
  <c r="I191" i="62"/>
  <c r="BF190" i="62" a="1"/>
  <c r="BF190" i="62"/>
  <c r="BB190" i="62" a="1"/>
  <c r="BB190" i="62"/>
  <c r="AX190" i="62" a="1"/>
  <c r="AX190" i="62"/>
  <c r="AT190" i="62" a="1"/>
  <c r="AT190" i="62"/>
  <c r="AS190" i="62" a="1"/>
  <c r="AS190" i="62"/>
  <c r="AN190" i="62" a="1"/>
  <c r="AN190" i="62"/>
  <c r="AJ190" i="62" a="1"/>
  <c r="AJ190" i="62"/>
  <c r="AF190" i="62" a="1"/>
  <c r="AF190" i="62"/>
  <c r="AB190" i="62" a="1"/>
  <c r="AB190" i="62"/>
  <c r="AA190" i="62" a="1"/>
  <c r="AA190" i="62"/>
  <c r="V190" i="62" a="1"/>
  <c r="V190" i="62"/>
  <c r="R190" i="62" a="1"/>
  <c r="R190" i="62"/>
  <c r="N190" i="62" a="1"/>
  <c r="N190" i="62"/>
  <c r="J190" i="62" a="1"/>
  <c r="J190" i="62"/>
  <c r="I190" i="62" a="1"/>
  <c r="I190" i="62"/>
  <c r="BF189" i="62" a="1"/>
  <c r="BF189" i="62"/>
  <c r="BB189" i="62" a="1"/>
  <c r="BB189" i="62"/>
  <c r="AX189" i="62" a="1"/>
  <c r="AX189" i="62"/>
  <c r="AT189" i="62" a="1"/>
  <c r="AT189" i="62"/>
  <c r="AS189" i="62" a="1"/>
  <c r="AS189" i="62"/>
  <c r="AN189" i="62" a="1"/>
  <c r="AN189" i="62"/>
  <c r="AJ189" i="62" a="1"/>
  <c r="AJ189" i="62"/>
  <c r="AF189" i="62" a="1"/>
  <c r="AF189" i="62"/>
  <c r="AB189" i="62" a="1"/>
  <c r="AB189" i="62"/>
  <c r="AA189" i="62" a="1"/>
  <c r="AA189" i="62"/>
  <c r="V189" i="62" a="1"/>
  <c r="V189" i="62"/>
  <c r="R189" i="62" a="1"/>
  <c r="R189" i="62"/>
  <c r="N189" i="62" a="1"/>
  <c r="N189" i="62"/>
  <c r="J189" i="62" a="1"/>
  <c r="J189" i="62"/>
  <c r="I189" i="62" a="1"/>
  <c r="I189" i="62"/>
  <c r="BF188" i="62" a="1"/>
  <c r="BF188" i="62"/>
  <c r="BB188" i="62" a="1"/>
  <c r="BB188" i="62"/>
  <c r="AX188" i="62" a="1"/>
  <c r="AX188" i="62"/>
  <c r="AT188" i="62" a="1"/>
  <c r="AT188" i="62"/>
  <c r="AS188" i="62" a="1"/>
  <c r="AS188" i="62"/>
  <c r="AN188" i="62" a="1"/>
  <c r="AN188" i="62"/>
  <c r="AJ188" i="62" a="1"/>
  <c r="AJ188" i="62"/>
  <c r="AF188" i="62" a="1"/>
  <c r="AF188" i="62"/>
  <c r="AB188" i="62" a="1"/>
  <c r="AB188" i="62"/>
  <c r="AA188" i="62" a="1"/>
  <c r="AA188" i="62"/>
  <c r="V188" i="62" a="1"/>
  <c r="V188" i="62"/>
  <c r="R188" i="62" a="1"/>
  <c r="R188" i="62"/>
  <c r="N188" i="62" a="1"/>
  <c r="N188" i="62"/>
  <c r="J188" i="62" a="1"/>
  <c r="J188" i="62"/>
  <c r="I188" i="62" a="1"/>
  <c r="I188" i="62"/>
  <c r="BF187" i="62" a="1"/>
  <c r="BF187" i="62"/>
  <c r="BB187" i="62" a="1"/>
  <c r="BB187" i="62"/>
  <c r="AX187" i="62" a="1"/>
  <c r="AX187" i="62"/>
  <c r="AT187" i="62" a="1"/>
  <c r="AT187" i="62"/>
  <c r="AS187" i="62" a="1"/>
  <c r="AS187" i="62"/>
  <c r="AN187" i="62" a="1"/>
  <c r="AN187" i="62"/>
  <c r="AJ187" i="62" a="1"/>
  <c r="AJ187" i="62"/>
  <c r="AF187" i="62" a="1"/>
  <c r="AF187" i="62"/>
  <c r="AB187" i="62" a="1"/>
  <c r="AB187" i="62"/>
  <c r="AA187" i="62" a="1"/>
  <c r="AA187" i="62"/>
  <c r="V187" i="62" a="1"/>
  <c r="V187" i="62"/>
  <c r="R187" i="62" a="1"/>
  <c r="R187" i="62"/>
  <c r="N187" i="62" a="1"/>
  <c r="N187" i="62"/>
  <c r="J187" i="62" a="1"/>
  <c r="J187" i="62"/>
  <c r="I187" i="62" a="1"/>
  <c r="I187" i="62"/>
  <c r="BF186" i="62" a="1"/>
  <c r="BF186" i="62"/>
  <c r="BB186" i="62" a="1"/>
  <c r="BB186" i="62"/>
  <c r="AX186" i="62" a="1"/>
  <c r="AX186" i="62"/>
  <c r="AT186" i="62" a="1"/>
  <c r="AT186" i="62"/>
  <c r="AS186" i="62" a="1"/>
  <c r="AS186" i="62"/>
  <c r="AN186" i="62" a="1"/>
  <c r="AN186" i="62"/>
  <c r="AJ186" i="62" a="1"/>
  <c r="AJ186" i="62"/>
  <c r="AF186" i="62" a="1"/>
  <c r="AF186" i="62"/>
  <c r="AB186" i="62" a="1"/>
  <c r="AB186" i="62"/>
  <c r="AA186" i="62" a="1"/>
  <c r="AA186" i="62"/>
  <c r="V186" i="62" a="1"/>
  <c r="V186" i="62"/>
  <c r="R186" i="62" a="1"/>
  <c r="R186" i="62"/>
  <c r="N186" i="62" a="1"/>
  <c r="N186" i="62"/>
  <c r="J186" i="62" a="1"/>
  <c r="J186" i="62"/>
  <c r="I186" i="62" a="1"/>
  <c r="I186" i="62"/>
  <c r="BF185" i="62" a="1"/>
  <c r="BF185" i="62"/>
  <c r="BB185" i="62" a="1"/>
  <c r="BB185" i="62"/>
  <c r="AX185" i="62" a="1"/>
  <c r="AX185" i="62"/>
  <c r="AT185" i="62" a="1"/>
  <c r="AT185" i="62"/>
  <c r="AS185" i="62" a="1"/>
  <c r="AS185" i="62"/>
  <c r="AN185" i="62" a="1"/>
  <c r="AN185" i="62"/>
  <c r="AJ185" i="62" a="1"/>
  <c r="AJ185" i="62"/>
  <c r="AF185" i="62" a="1"/>
  <c r="AF185" i="62"/>
  <c r="AB185" i="62" a="1"/>
  <c r="AB185" i="62"/>
  <c r="AA185" i="62" a="1"/>
  <c r="AA185" i="62"/>
  <c r="V185" i="62" a="1"/>
  <c r="V185" i="62"/>
  <c r="R185" i="62" a="1"/>
  <c r="R185" i="62"/>
  <c r="N185" i="62" a="1"/>
  <c r="N185" i="62"/>
  <c r="J185" i="62" a="1"/>
  <c r="J185" i="62"/>
  <c r="I185" i="62" a="1"/>
  <c r="I185" i="62"/>
  <c r="BF184" i="62" a="1"/>
  <c r="BF184" i="62"/>
  <c r="BB184" i="62" a="1"/>
  <c r="BB184" i="62"/>
  <c r="AX184" i="62" a="1"/>
  <c r="AX184" i="62"/>
  <c r="AT184" i="62" a="1"/>
  <c r="AT184" i="62"/>
  <c r="AS184" i="62" a="1"/>
  <c r="AS184" i="62"/>
  <c r="AN184" i="62" a="1"/>
  <c r="AN184" i="62"/>
  <c r="AJ184" i="62" a="1"/>
  <c r="AJ184" i="62"/>
  <c r="AF184" i="62" a="1"/>
  <c r="AF184" i="62"/>
  <c r="AB184" i="62" a="1"/>
  <c r="AB184" i="62"/>
  <c r="AA184" i="62" a="1"/>
  <c r="AA184" i="62"/>
  <c r="V184" i="62" a="1"/>
  <c r="V184" i="62"/>
  <c r="R184" i="62" a="1"/>
  <c r="R184" i="62"/>
  <c r="N184" i="62" a="1"/>
  <c r="N184" i="62"/>
  <c r="J184" i="62" a="1"/>
  <c r="J184" i="62"/>
  <c r="I184" i="62" a="1"/>
  <c r="I184" i="62"/>
  <c r="BF183" i="62" a="1"/>
  <c r="BF183" i="62"/>
  <c r="BB183" i="62" a="1"/>
  <c r="BB183" i="62"/>
  <c r="AX183" i="62" a="1"/>
  <c r="AX183" i="62"/>
  <c r="AT183" i="62" a="1"/>
  <c r="AT183" i="62"/>
  <c r="AS183" i="62" a="1"/>
  <c r="AS183" i="62"/>
  <c r="AN183" i="62" a="1"/>
  <c r="AN183" i="62"/>
  <c r="AJ183" i="62" a="1"/>
  <c r="AJ183" i="62"/>
  <c r="AF183" i="62" a="1"/>
  <c r="AF183" i="62"/>
  <c r="AB183" i="62" a="1"/>
  <c r="AB183" i="62"/>
  <c r="AA183" i="62" a="1"/>
  <c r="AA183" i="62"/>
  <c r="V183" i="62" a="1"/>
  <c r="V183" i="62"/>
  <c r="R183" i="62" a="1"/>
  <c r="R183" i="62"/>
  <c r="N183" i="62" a="1"/>
  <c r="N183" i="62"/>
  <c r="J183" i="62" a="1"/>
  <c r="J183" i="62"/>
  <c r="I183" i="62" a="1"/>
  <c r="I183" i="62"/>
  <c r="BF182" i="62" a="1"/>
  <c r="BF182" i="62"/>
  <c r="BB182" i="62" a="1"/>
  <c r="BB182" i="62"/>
  <c r="AX182" i="62" a="1"/>
  <c r="AX182" i="62"/>
  <c r="AT182" i="62" a="1"/>
  <c r="AT182" i="62"/>
  <c r="AS182" i="62" a="1"/>
  <c r="AS182" i="62"/>
  <c r="AN182" i="62" a="1"/>
  <c r="AN182" i="62"/>
  <c r="AJ182" i="62" a="1"/>
  <c r="AJ182" i="62"/>
  <c r="AF182" i="62" a="1"/>
  <c r="AF182" i="62"/>
  <c r="AB182" i="62" a="1"/>
  <c r="AB182" i="62"/>
  <c r="AA182" i="62" a="1"/>
  <c r="AA182" i="62"/>
  <c r="V182" i="62" a="1"/>
  <c r="V182" i="62"/>
  <c r="R182" i="62" a="1"/>
  <c r="R182" i="62"/>
  <c r="N182" i="62" a="1"/>
  <c r="N182" i="62"/>
  <c r="J182" i="62" a="1"/>
  <c r="J182" i="62"/>
  <c r="I182" i="62" a="1"/>
  <c r="I182" i="62"/>
  <c r="BF181" i="62" a="1"/>
  <c r="BF181" i="62"/>
  <c r="BB181" i="62" a="1"/>
  <c r="BB181" i="62"/>
  <c r="AX181" i="62" a="1"/>
  <c r="AX181" i="62"/>
  <c r="AT181" i="62" a="1"/>
  <c r="AT181" i="62"/>
  <c r="AS181" i="62" a="1"/>
  <c r="AS181" i="62"/>
  <c r="AN181" i="62" a="1"/>
  <c r="AN181" i="62"/>
  <c r="AJ181" i="62" a="1"/>
  <c r="AJ181" i="62"/>
  <c r="AF181" i="62" a="1"/>
  <c r="AF181" i="62"/>
  <c r="AB181" i="62" a="1"/>
  <c r="AB181" i="62"/>
  <c r="AA181" i="62" a="1"/>
  <c r="AA181" i="62"/>
  <c r="V181" i="62" a="1"/>
  <c r="V181" i="62"/>
  <c r="R181" i="62" a="1"/>
  <c r="R181" i="62"/>
  <c r="N181" i="62" a="1"/>
  <c r="N181" i="62"/>
  <c r="J181" i="62" a="1"/>
  <c r="J181" i="62"/>
  <c r="I181" i="62" a="1"/>
  <c r="I181" i="62"/>
  <c r="BF180" i="62" a="1"/>
  <c r="BF180" i="62"/>
  <c r="BB180" i="62" a="1"/>
  <c r="BB180" i="62"/>
  <c r="AX180" i="62" a="1"/>
  <c r="AX180" i="62"/>
  <c r="AT180" i="62" a="1"/>
  <c r="AT180" i="62"/>
  <c r="AS180" i="62" a="1"/>
  <c r="AS180" i="62"/>
  <c r="AN180" i="62" a="1"/>
  <c r="AN180" i="62"/>
  <c r="AJ180" i="62" a="1"/>
  <c r="AJ180" i="62"/>
  <c r="AF180" i="62" a="1"/>
  <c r="AF180" i="62"/>
  <c r="AB180" i="62" a="1"/>
  <c r="AB180" i="62"/>
  <c r="AA180" i="62" a="1"/>
  <c r="AA180" i="62"/>
  <c r="V180" i="62" a="1"/>
  <c r="V180" i="62"/>
  <c r="R180" i="62" a="1"/>
  <c r="R180" i="62"/>
  <c r="N180" i="62" a="1"/>
  <c r="N180" i="62"/>
  <c r="J180" i="62" a="1"/>
  <c r="J180" i="62"/>
  <c r="I180" i="62" a="1"/>
  <c r="I180" i="62"/>
  <c r="BF179" i="62" a="1"/>
  <c r="BF179" i="62"/>
  <c r="BB179" i="62" a="1"/>
  <c r="BB179" i="62"/>
  <c r="AX179" i="62" a="1"/>
  <c r="AX179" i="62"/>
  <c r="AT179" i="62" a="1"/>
  <c r="AT179" i="62"/>
  <c r="AS179" i="62" a="1"/>
  <c r="AS179" i="62"/>
  <c r="AN179" i="62" a="1"/>
  <c r="AN179" i="62"/>
  <c r="AJ179" i="62" a="1"/>
  <c r="AJ179" i="62"/>
  <c r="AF179" i="62" a="1"/>
  <c r="AF179" i="62"/>
  <c r="AB179" i="62" a="1"/>
  <c r="AB179" i="62"/>
  <c r="AA179" i="62" a="1"/>
  <c r="AA179" i="62"/>
  <c r="V179" i="62" a="1"/>
  <c r="V179" i="62"/>
  <c r="R179" i="62" a="1"/>
  <c r="R179" i="62"/>
  <c r="N179" i="62" a="1"/>
  <c r="N179" i="62"/>
  <c r="J179" i="62" a="1"/>
  <c r="J179" i="62"/>
  <c r="I179" i="62" a="1"/>
  <c r="I179" i="62"/>
  <c r="BF178" i="62" a="1"/>
  <c r="BF178" i="62"/>
  <c r="BB178" i="62" a="1"/>
  <c r="BB178" i="62"/>
  <c r="AX178" i="62" a="1"/>
  <c r="AX178" i="62"/>
  <c r="AT178" i="62" a="1"/>
  <c r="AT178" i="62"/>
  <c r="AS178" i="62" a="1"/>
  <c r="AS178" i="62"/>
  <c r="AN178" i="62" a="1"/>
  <c r="AN178" i="62"/>
  <c r="AJ178" i="62" a="1"/>
  <c r="AJ178" i="62"/>
  <c r="AF178" i="62" a="1"/>
  <c r="AF178" i="62"/>
  <c r="AB178" i="62" a="1"/>
  <c r="AB178" i="62"/>
  <c r="AA178" i="62" a="1"/>
  <c r="AA178" i="62"/>
  <c r="V178" i="62" a="1"/>
  <c r="V178" i="62"/>
  <c r="R178" i="62" a="1"/>
  <c r="R178" i="62"/>
  <c r="N178" i="62" a="1"/>
  <c r="N178" i="62"/>
  <c r="J178" i="62" a="1"/>
  <c r="J178" i="62"/>
  <c r="I178" i="62" a="1"/>
  <c r="I178" i="62"/>
  <c r="BF177" i="62" a="1"/>
  <c r="BF177" i="62"/>
  <c r="BB177" i="62" a="1"/>
  <c r="BB177" i="62"/>
  <c r="AX177" i="62" a="1"/>
  <c r="AX177" i="62"/>
  <c r="AT177" i="62" a="1"/>
  <c r="AT177" i="62"/>
  <c r="AS177" i="62" a="1"/>
  <c r="AS177" i="62"/>
  <c r="AN177" i="62" a="1"/>
  <c r="AN177" i="62"/>
  <c r="AJ177" i="62" a="1"/>
  <c r="AJ177" i="62"/>
  <c r="AF177" i="62" a="1"/>
  <c r="AF177" i="62"/>
  <c r="AB177" i="62" a="1"/>
  <c r="AB177" i="62"/>
  <c r="AA177" i="62" a="1"/>
  <c r="AA177" i="62"/>
  <c r="V177" i="62" a="1"/>
  <c r="V177" i="62"/>
  <c r="R177" i="62" a="1"/>
  <c r="R177" i="62"/>
  <c r="N177" i="62" a="1"/>
  <c r="N177" i="62"/>
  <c r="J177" i="62" a="1"/>
  <c r="J177" i="62"/>
  <c r="I177" i="62" a="1"/>
  <c r="I177" i="62"/>
  <c r="BF176" i="62" a="1"/>
  <c r="BF176" i="62"/>
  <c r="BB176" i="62" a="1"/>
  <c r="BB176" i="62"/>
  <c r="AX176" i="62" a="1"/>
  <c r="AX176" i="62"/>
  <c r="AT176" i="62" a="1"/>
  <c r="AT176" i="62"/>
  <c r="AS176" i="62" a="1"/>
  <c r="AS176" i="62"/>
  <c r="AN176" i="62" a="1"/>
  <c r="AN176" i="62"/>
  <c r="AJ176" i="62" a="1"/>
  <c r="AJ176" i="62"/>
  <c r="AF176" i="62" a="1"/>
  <c r="AF176" i="62"/>
  <c r="AB176" i="62" a="1"/>
  <c r="AB176" i="62"/>
  <c r="AA176" i="62" a="1"/>
  <c r="AA176" i="62"/>
  <c r="V176" i="62" a="1"/>
  <c r="V176" i="62"/>
  <c r="R176" i="62" a="1"/>
  <c r="R176" i="62"/>
  <c r="N176" i="62" a="1"/>
  <c r="N176" i="62"/>
  <c r="J176" i="62" a="1"/>
  <c r="J176" i="62"/>
  <c r="I176" i="62" a="1"/>
  <c r="I176" i="62"/>
  <c r="BF175" i="62" a="1"/>
  <c r="BF175" i="62"/>
  <c r="BB175" i="62" a="1"/>
  <c r="BB175" i="62"/>
  <c r="AX175" i="62" a="1"/>
  <c r="AX175" i="62"/>
  <c r="AT175" i="62" a="1"/>
  <c r="AT175" i="62"/>
  <c r="AS175" i="62" a="1"/>
  <c r="AS175" i="62"/>
  <c r="AN175" i="62" a="1"/>
  <c r="AN175" i="62"/>
  <c r="AJ175" i="62" a="1"/>
  <c r="AJ175" i="62"/>
  <c r="AF175" i="62" a="1"/>
  <c r="AF175" i="62"/>
  <c r="AB175" i="62" a="1"/>
  <c r="AB175" i="62"/>
  <c r="AA175" i="62" a="1"/>
  <c r="AA175" i="62"/>
  <c r="V175" i="62" a="1"/>
  <c r="V175" i="62"/>
  <c r="R175" i="62" a="1"/>
  <c r="R175" i="62"/>
  <c r="N175" i="62" a="1"/>
  <c r="N175" i="62"/>
  <c r="J175" i="62" a="1"/>
  <c r="J175" i="62"/>
  <c r="I175" i="62" a="1"/>
  <c r="I175" i="62"/>
  <c r="BF174" i="62" a="1"/>
  <c r="BF174" i="62"/>
  <c r="BB174" i="62" a="1"/>
  <c r="BB174" i="62"/>
  <c r="AX174" i="62" a="1"/>
  <c r="AX174" i="62"/>
  <c r="AT174" i="62" a="1"/>
  <c r="AT174" i="62"/>
  <c r="AS174" i="62" a="1"/>
  <c r="AS174" i="62"/>
  <c r="AN174" i="62" a="1"/>
  <c r="AN174" i="62"/>
  <c r="AJ174" i="62" a="1"/>
  <c r="AJ174" i="62"/>
  <c r="AF174" i="62" a="1"/>
  <c r="AF174" i="62"/>
  <c r="AB174" i="62" a="1"/>
  <c r="AB174" i="62"/>
  <c r="AA174" i="62" a="1"/>
  <c r="AA174" i="62"/>
  <c r="V174" i="62" a="1"/>
  <c r="V174" i="62"/>
  <c r="R174" i="62" a="1"/>
  <c r="R174" i="62"/>
  <c r="N174" i="62" a="1"/>
  <c r="N174" i="62"/>
  <c r="J174" i="62" a="1"/>
  <c r="J174" i="62"/>
  <c r="I174" i="62" a="1"/>
  <c r="I174" i="62"/>
  <c r="BF173" i="62" a="1"/>
  <c r="BF173" i="62"/>
  <c r="BB173" i="62" a="1"/>
  <c r="BB173" i="62"/>
  <c r="AX173" i="62" a="1"/>
  <c r="AX173" i="62"/>
  <c r="AT173" i="62" a="1"/>
  <c r="AT173" i="62"/>
  <c r="AS173" i="62" a="1"/>
  <c r="AS173" i="62"/>
  <c r="AN173" i="62" a="1"/>
  <c r="AN173" i="62"/>
  <c r="AJ173" i="62" a="1"/>
  <c r="AJ173" i="62"/>
  <c r="AF173" i="62" a="1"/>
  <c r="AF173" i="62"/>
  <c r="AB173" i="62" a="1"/>
  <c r="AB173" i="62"/>
  <c r="AA173" i="62" a="1"/>
  <c r="AA173" i="62"/>
  <c r="V173" i="62" a="1"/>
  <c r="V173" i="62"/>
  <c r="R173" i="62" a="1"/>
  <c r="R173" i="62"/>
  <c r="N173" i="62" a="1"/>
  <c r="N173" i="62"/>
  <c r="J173" i="62" a="1"/>
  <c r="J173" i="62"/>
  <c r="I173" i="62" a="1"/>
  <c r="I173" i="62"/>
  <c r="BF172" i="62" a="1"/>
  <c r="BF172" i="62"/>
  <c r="BB172" i="62" a="1"/>
  <c r="BB172" i="62"/>
  <c r="AX172" i="62" a="1"/>
  <c r="AX172" i="62"/>
  <c r="AT172" i="62" a="1"/>
  <c r="AT172" i="62"/>
  <c r="AS172" i="62" a="1"/>
  <c r="AS172" i="62"/>
  <c r="AN172" i="62" a="1"/>
  <c r="AN172" i="62"/>
  <c r="AJ172" i="62" a="1"/>
  <c r="AJ172" i="62"/>
  <c r="AF172" i="62" a="1"/>
  <c r="AF172" i="62"/>
  <c r="AB172" i="62" a="1"/>
  <c r="AB172" i="62"/>
  <c r="AA172" i="62" a="1"/>
  <c r="AA172" i="62"/>
  <c r="V172" i="62" a="1"/>
  <c r="V172" i="62"/>
  <c r="R172" i="62" a="1"/>
  <c r="R172" i="62"/>
  <c r="N172" i="62" a="1"/>
  <c r="N172" i="62"/>
  <c r="J172" i="62" a="1"/>
  <c r="J172" i="62"/>
  <c r="I172" i="62" a="1"/>
  <c r="I172" i="62"/>
  <c r="BF171" i="62" a="1"/>
  <c r="BF171" i="62"/>
  <c r="BB171" i="62" a="1"/>
  <c r="BB171" i="62"/>
  <c r="AX171" i="62" a="1"/>
  <c r="AX171" i="62"/>
  <c r="AT171" i="62" a="1"/>
  <c r="AT171" i="62"/>
  <c r="AS171" i="62" a="1"/>
  <c r="AS171" i="62"/>
  <c r="AN171" i="62" a="1"/>
  <c r="AN171" i="62"/>
  <c r="AJ171" i="62" a="1"/>
  <c r="AJ171" i="62"/>
  <c r="AF171" i="62" a="1"/>
  <c r="AF171" i="62"/>
  <c r="AB171" i="62" a="1"/>
  <c r="AB171" i="62"/>
  <c r="AA171" i="62" a="1"/>
  <c r="AA171" i="62"/>
  <c r="V171" i="62" a="1"/>
  <c r="V171" i="62"/>
  <c r="R171" i="62" a="1"/>
  <c r="R171" i="62"/>
  <c r="N171" i="62" a="1"/>
  <c r="N171" i="62"/>
  <c r="J171" i="62" a="1"/>
  <c r="J171" i="62"/>
  <c r="I171" i="62" a="1"/>
  <c r="I171" i="62"/>
  <c r="BF170" i="62" a="1"/>
  <c r="BF170" i="62"/>
  <c r="BB170" i="62" a="1"/>
  <c r="BB170" i="62"/>
  <c r="AX170" i="62" a="1"/>
  <c r="AX170" i="62"/>
  <c r="AT170" i="62" a="1"/>
  <c r="AT170" i="62"/>
  <c r="AS170" i="62" a="1"/>
  <c r="AS170" i="62"/>
  <c r="AN170" i="62" a="1"/>
  <c r="AN170" i="62"/>
  <c r="AJ170" i="62" a="1"/>
  <c r="AJ170" i="62"/>
  <c r="AF170" i="62" a="1"/>
  <c r="AF170" i="62"/>
  <c r="AB170" i="62" a="1"/>
  <c r="AB170" i="62"/>
  <c r="AA170" i="62" a="1"/>
  <c r="AA170" i="62"/>
  <c r="V170" i="62" a="1"/>
  <c r="V170" i="62"/>
  <c r="R170" i="62" a="1"/>
  <c r="R170" i="62"/>
  <c r="N170" i="62" a="1"/>
  <c r="N170" i="62"/>
  <c r="J170" i="62" a="1"/>
  <c r="J170" i="62"/>
  <c r="I170" i="62" a="1"/>
  <c r="I170" i="62"/>
  <c r="BF169" i="62" a="1"/>
  <c r="BF169" i="62"/>
  <c r="BB169" i="62" a="1"/>
  <c r="BB169" i="62"/>
  <c r="AX169" i="62" a="1"/>
  <c r="AX169" i="62"/>
  <c r="AT169" i="62" a="1"/>
  <c r="AT169" i="62"/>
  <c r="AS169" i="62" a="1"/>
  <c r="AS169" i="62"/>
  <c r="AN169" i="62" a="1"/>
  <c r="AN169" i="62"/>
  <c r="AJ169" i="62" a="1"/>
  <c r="AJ169" i="62"/>
  <c r="AF169" i="62" a="1"/>
  <c r="AF169" i="62"/>
  <c r="AB169" i="62" a="1"/>
  <c r="AB169" i="62"/>
  <c r="AA169" i="62" a="1"/>
  <c r="AA169" i="62"/>
  <c r="V169" i="62" a="1"/>
  <c r="V169" i="62"/>
  <c r="R169" i="62" a="1"/>
  <c r="R169" i="62"/>
  <c r="N169" i="62" a="1"/>
  <c r="N169" i="62"/>
  <c r="J169" i="62" a="1"/>
  <c r="J169" i="62"/>
  <c r="I169" i="62" a="1"/>
  <c r="I169" i="62"/>
  <c r="BF168" i="62" a="1"/>
  <c r="BF168" i="62"/>
  <c r="BB168" i="62" a="1"/>
  <c r="BB168" i="62"/>
  <c r="AX168" i="62" a="1"/>
  <c r="AX168" i="62"/>
  <c r="AT168" i="62" a="1"/>
  <c r="AT168" i="62"/>
  <c r="AS168" i="62" a="1"/>
  <c r="AS168" i="62"/>
  <c r="AN168" i="62" a="1"/>
  <c r="AN168" i="62"/>
  <c r="AJ168" i="62" a="1"/>
  <c r="AJ168" i="62"/>
  <c r="AF168" i="62" a="1"/>
  <c r="AF168" i="62"/>
  <c r="AB168" i="62" a="1"/>
  <c r="AB168" i="62"/>
  <c r="AA168" i="62" a="1"/>
  <c r="AA168" i="62"/>
  <c r="V168" i="62" a="1"/>
  <c r="V168" i="62"/>
  <c r="R168" i="62" a="1"/>
  <c r="R168" i="62"/>
  <c r="N168" i="62" a="1"/>
  <c r="N168" i="62"/>
  <c r="J168" i="62" a="1"/>
  <c r="J168" i="62"/>
  <c r="I168" i="62" a="1"/>
  <c r="I168" i="62"/>
  <c r="BF167" i="62" a="1"/>
  <c r="BF167" i="62"/>
  <c r="BB167" i="62" a="1"/>
  <c r="BB167" i="62"/>
  <c r="AX167" i="62" a="1"/>
  <c r="AX167" i="62"/>
  <c r="AT167" i="62" a="1"/>
  <c r="AT167" i="62"/>
  <c r="AS167" i="62" a="1"/>
  <c r="AS167" i="62"/>
  <c r="AN167" i="62" a="1"/>
  <c r="AN167" i="62"/>
  <c r="AJ167" i="62" a="1"/>
  <c r="AJ167" i="62"/>
  <c r="AF167" i="62" a="1"/>
  <c r="AF167" i="62"/>
  <c r="AB167" i="62" a="1"/>
  <c r="AB167" i="62"/>
  <c r="AA167" i="62" a="1"/>
  <c r="AA167" i="62"/>
  <c r="V167" i="62" a="1"/>
  <c r="V167" i="62"/>
  <c r="R167" i="62" a="1"/>
  <c r="R167" i="62"/>
  <c r="N167" i="62" a="1"/>
  <c r="N167" i="62"/>
  <c r="J167" i="62" a="1"/>
  <c r="J167" i="62"/>
  <c r="I167" i="62" a="1"/>
  <c r="I167" i="62"/>
  <c r="BF166" i="62" a="1"/>
  <c r="BF166" i="62"/>
  <c r="BB166" i="62" a="1"/>
  <c r="BB166" i="62"/>
  <c r="AX166" i="62" a="1"/>
  <c r="AX166" i="62"/>
  <c r="AT166" i="62" a="1"/>
  <c r="AT166" i="62"/>
  <c r="AS166" i="62" a="1"/>
  <c r="AS166" i="62"/>
  <c r="AN166" i="62" a="1"/>
  <c r="AN166" i="62"/>
  <c r="AJ166" i="62" a="1"/>
  <c r="AJ166" i="62"/>
  <c r="AF166" i="62" a="1"/>
  <c r="AF166" i="62"/>
  <c r="AB166" i="62" a="1"/>
  <c r="AB166" i="62"/>
  <c r="AA166" i="62" a="1"/>
  <c r="AA166" i="62"/>
  <c r="V166" i="62" a="1"/>
  <c r="V166" i="62"/>
  <c r="R166" i="62" a="1"/>
  <c r="R166" i="62"/>
  <c r="N166" i="62" a="1"/>
  <c r="N166" i="62"/>
  <c r="J166" i="62" a="1"/>
  <c r="J166" i="62"/>
  <c r="I166" i="62" a="1"/>
  <c r="I166" i="62"/>
  <c r="BF165" i="62" a="1"/>
  <c r="BF165" i="62"/>
  <c r="BB165" i="62" a="1"/>
  <c r="BB165" i="62"/>
  <c r="AX165" i="62" a="1"/>
  <c r="AX165" i="62"/>
  <c r="AT165" i="62" a="1"/>
  <c r="AT165" i="62"/>
  <c r="AS165" i="62" a="1"/>
  <c r="AS165" i="62"/>
  <c r="AN165" i="62" a="1"/>
  <c r="AN165" i="62"/>
  <c r="AJ165" i="62" a="1"/>
  <c r="AJ165" i="62"/>
  <c r="AF165" i="62" a="1"/>
  <c r="AF165" i="62"/>
  <c r="AB165" i="62" a="1"/>
  <c r="AB165" i="62"/>
  <c r="AA165" i="62" a="1"/>
  <c r="AA165" i="62"/>
  <c r="V165" i="62" a="1"/>
  <c r="V165" i="62"/>
  <c r="R165" i="62" a="1"/>
  <c r="R165" i="62"/>
  <c r="N165" i="62" a="1"/>
  <c r="N165" i="62"/>
  <c r="J165" i="62" a="1"/>
  <c r="J165" i="62"/>
  <c r="I165" i="62" a="1"/>
  <c r="I165" i="62"/>
  <c r="BF164" i="62" a="1"/>
  <c r="BF164" i="62"/>
  <c r="BB164" i="62" a="1"/>
  <c r="BB164" i="62"/>
  <c r="AX164" i="62" a="1"/>
  <c r="AX164" i="62"/>
  <c r="AT164" i="62" a="1"/>
  <c r="AT164" i="62"/>
  <c r="AS164" i="62" a="1"/>
  <c r="AS164" i="62"/>
  <c r="AN164" i="62" a="1"/>
  <c r="AN164" i="62"/>
  <c r="AJ164" i="62" a="1"/>
  <c r="AJ164" i="62"/>
  <c r="AF164" i="62" a="1"/>
  <c r="AF164" i="62"/>
  <c r="AB164" i="62" a="1"/>
  <c r="AB164" i="62"/>
  <c r="AA164" i="62" a="1"/>
  <c r="AA164" i="62"/>
  <c r="V164" i="62" a="1"/>
  <c r="V164" i="62"/>
  <c r="R164" i="62" a="1"/>
  <c r="R164" i="62"/>
  <c r="N164" i="62" a="1"/>
  <c r="N164" i="62"/>
  <c r="J164" i="62" a="1"/>
  <c r="J164" i="62"/>
  <c r="I164" i="62" a="1"/>
  <c r="I164" i="62"/>
  <c r="BF163" i="62" a="1"/>
  <c r="BF163" i="62"/>
  <c r="BB163" i="62" a="1"/>
  <c r="BB163" i="62"/>
  <c r="AX163" i="62" a="1"/>
  <c r="AX163" i="62"/>
  <c r="AT163" i="62" a="1"/>
  <c r="AT163" i="62"/>
  <c r="AS163" i="62" a="1"/>
  <c r="AS163" i="62"/>
  <c r="AN163" i="62" a="1"/>
  <c r="AN163" i="62"/>
  <c r="AJ163" i="62" a="1"/>
  <c r="AJ163" i="62"/>
  <c r="AF163" i="62" a="1"/>
  <c r="AF163" i="62"/>
  <c r="AB163" i="62" a="1"/>
  <c r="AB163" i="62"/>
  <c r="AA163" i="62" a="1"/>
  <c r="AA163" i="62"/>
  <c r="V163" i="62" a="1"/>
  <c r="V163" i="62"/>
  <c r="R163" i="62" a="1"/>
  <c r="R163" i="62"/>
  <c r="N163" i="62" a="1"/>
  <c r="N163" i="62"/>
  <c r="J163" i="62" a="1"/>
  <c r="J163" i="62"/>
  <c r="I163" i="62" a="1"/>
  <c r="I163" i="62"/>
  <c r="BF162" i="62" a="1"/>
  <c r="BF162" i="62"/>
  <c r="BB162" i="62" a="1"/>
  <c r="BB162" i="62"/>
  <c r="AX162" i="62" a="1"/>
  <c r="AX162" i="62"/>
  <c r="AT162" i="62" a="1"/>
  <c r="AT162" i="62"/>
  <c r="AS162" i="62" a="1"/>
  <c r="AS162" i="62"/>
  <c r="AN162" i="62" a="1"/>
  <c r="AN162" i="62"/>
  <c r="AJ162" i="62" a="1"/>
  <c r="AJ162" i="62"/>
  <c r="AF162" i="62" a="1"/>
  <c r="AF162" i="62"/>
  <c r="AB162" i="62" a="1"/>
  <c r="AB162" i="62"/>
  <c r="AA162" i="62" a="1"/>
  <c r="AA162" i="62"/>
  <c r="V162" i="62" a="1"/>
  <c r="V162" i="62"/>
  <c r="R162" i="62" a="1"/>
  <c r="R162" i="62"/>
  <c r="N162" i="62" a="1"/>
  <c r="N162" i="62"/>
  <c r="J162" i="62" a="1"/>
  <c r="J162" i="62"/>
  <c r="I162" i="62" a="1"/>
  <c r="I162" i="62"/>
  <c r="BF161" i="62" a="1"/>
  <c r="BF161" i="62"/>
  <c r="BB161" i="62" a="1"/>
  <c r="BB161" i="62"/>
  <c r="AX161" i="62" a="1"/>
  <c r="AX161" i="62"/>
  <c r="AT161" i="62" a="1"/>
  <c r="AT161" i="62"/>
  <c r="AS161" i="62" a="1"/>
  <c r="AS161" i="62"/>
  <c r="AN161" i="62" a="1"/>
  <c r="AN161" i="62"/>
  <c r="AJ161" i="62" a="1"/>
  <c r="AJ161" i="62"/>
  <c r="AF161" i="62" a="1"/>
  <c r="AF161" i="62"/>
  <c r="AB161" i="62" a="1"/>
  <c r="AB161" i="62"/>
  <c r="AA161" i="62" a="1"/>
  <c r="AA161" i="62"/>
  <c r="V161" i="62" a="1"/>
  <c r="V161" i="62"/>
  <c r="R161" i="62" a="1"/>
  <c r="R161" i="62"/>
  <c r="N161" i="62" a="1"/>
  <c r="N161" i="62"/>
  <c r="J161" i="62" a="1"/>
  <c r="J161" i="62"/>
  <c r="I161" i="62" a="1"/>
  <c r="I161" i="62"/>
  <c r="BF160" i="62" a="1"/>
  <c r="BF160" i="62"/>
  <c r="BB160" i="62" a="1"/>
  <c r="BB160" i="62"/>
  <c r="AX160" i="62" a="1"/>
  <c r="AX160" i="62"/>
  <c r="AT160" i="62" a="1"/>
  <c r="AT160" i="62"/>
  <c r="AS160" i="62" a="1"/>
  <c r="AS160" i="62"/>
  <c r="AN160" i="62" a="1"/>
  <c r="AN160" i="62"/>
  <c r="AJ160" i="62" a="1"/>
  <c r="AJ160" i="62"/>
  <c r="AF160" i="62" a="1"/>
  <c r="AF160" i="62"/>
  <c r="AB160" i="62" a="1"/>
  <c r="AB160" i="62"/>
  <c r="AA160" i="62" a="1"/>
  <c r="AA160" i="62"/>
  <c r="V160" i="62" a="1"/>
  <c r="V160" i="62"/>
  <c r="R160" i="62" a="1"/>
  <c r="R160" i="62"/>
  <c r="N160" i="62" a="1"/>
  <c r="N160" i="62"/>
  <c r="J160" i="62" a="1"/>
  <c r="J160" i="62"/>
  <c r="I160" i="62" a="1"/>
  <c r="I160" i="62"/>
  <c r="BF159" i="62" a="1"/>
  <c r="BF159" i="62"/>
  <c r="BB159" i="62" a="1"/>
  <c r="BB159" i="62"/>
  <c r="AX159" i="62" a="1"/>
  <c r="AX159" i="62"/>
  <c r="AT159" i="62" a="1"/>
  <c r="AT159" i="62"/>
  <c r="AS159" i="62" a="1"/>
  <c r="AS159" i="62"/>
  <c r="AN159" i="62" a="1"/>
  <c r="AN159" i="62"/>
  <c r="AJ159" i="62" a="1"/>
  <c r="AJ159" i="62"/>
  <c r="AF159" i="62" a="1"/>
  <c r="AF159" i="62"/>
  <c r="AB159" i="62" a="1"/>
  <c r="AB159" i="62"/>
  <c r="AA159" i="62" a="1"/>
  <c r="AA159" i="62"/>
  <c r="V159" i="62" a="1"/>
  <c r="V159" i="62"/>
  <c r="R159" i="62" a="1"/>
  <c r="R159" i="62"/>
  <c r="N159" i="62" a="1"/>
  <c r="N159" i="62"/>
  <c r="J159" i="62" a="1"/>
  <c r="J159" i="62"/>
  <c r="I159" i="62" a="1"/>
  <c r="I159" i="62"/>
  <c r="BF158" i="62" a="1"/>
  <c r="BF158" i="62"/>
  <c r="BB158" i="62" a="1"/>
  <c r="BB158" i="62"/>
  <c r="AX158" i="62" a="1"/>
  <c r="AX158" i="62"/>
  <c r="AT158" i="62" a="1"/>
  <c r="AT158" i="62"/>
  <c r="AS158" i="62" a="1"/>
  <c r="AS158" i="62"/>
  <c r="AN158" i="62" a="1"/>
  <c r="AN158" i="62"/>
  <c r="AJ158" i="62" a="1"/>
  <c r="AJ158" i="62"/>
  <c r="AF158" i="62" a="1"/>
  <c r="AF158" i="62"/>
  <c r="AB158" i="62" a="1"/>
  <c r="AB158" i="62"/>
  <c r="AA158" i="62" a="1"/>
  <c r="AA158" i="62"/>
  <c r="V158" i="62" a="1"/>
  <c r="V158" i="62"/>
  <c r="R158" i="62" a="1"/>
  <c r="R158" i="62"/>
  <c r="N158" i="62" a="1"/>
  <c r="N158" i="62"/>
  <c r="J158" i="62" a="1"/>
  <c r="J158" i="62"/>
  <c r="I158" i="62" a="1"/>
  <c r="I158" i="62"/>
  <c r="BF157" i="62" a="1"/>
  <c r="BF157" i="62"/>
  <c r="BB157" i="62" a="1"/>
  <c r="BB157" i="62"/>
  <c r="AX157" i="62" a="1"/>
  <c r="AX157" i="62"/>
  <c r="AT157" i="62" a="1"/>
  <c r="AT157" i="62"/>
  <c r="AS157" i="62" a="1"/>
  <c r="AS157" i="62"/>
  <c r="AN157" i="62" a="1"/>
  <c r="AN157" i="62"/>
  <c r="AJ157" i="62" a="1"/>
  <c r="AJ157" i="62"/>
  <c r="AF157" i="62" a="1"/>
  <c r="AF157" i="62"/>
  <c r="AB157" i="62" a="1"/>
  <c r="AB157" i="62"/>
  <c r="AA157" i="62" a="1"/>
  <c r="AA157" i="62"/>
  <c r="V157" i="62" a="1"/>
  <c r="V157" i="62"/>
  <c r="R157" i="62" a="1"/>
  <c r="R157" i="62"/>
  <c r="N157" i="62" a="1"/>
  <c r="N157" i="62"/>
  <c r="J157" i="62" a="1"/>
  <c r="J157" i="62"/>
  <c r="I157" i="62" a="1"/>
  <c r="I157" i="62"/>
  <c r="BF156" i="62" a="1"/>
  <c r="BF156" i="62"/>
  <c r="BB156" i="62" a="1"/>
  <c r="BB156" i="62"/>
  <c r="AX156" i="62" a="1"/>
  <c r="AX156" i="62"/>
  <c r="AT156" i="62" a="1"/>
  <c r="AT156" i="62"/>
  <c r="AS156" i="62" a="1"/>
  <c r="AS156" i="62"/>
  <c r="AN156" i="62" a="1"/>
  <c r="AN156" i="62"/>
  <c r="AJ156" i="62" a="1"/>
  <c r="AJ156" i="62"/>
  <c r="AF156" i="62" a="1"/>
  <c r="AF156" i="62"/>
  <c r="AB156" i="62" a="1"/>
  <c r="AB156" i="62"/>
  <c r="AA156" i="62" a="1"/>
  <c r="AA156" i="62"/>
  <c r="V156" i="62" a="1"/>
  <c r="V156" i="62"/>
  <c r="R156" i="62" a="1"/>
  <c r="R156" i="62"/>
  <c r="N156" i="62" a="1"/>
  <c r="N156" i="62"/>
  <c r="J156" i="62" a="1"/>
  <c r="J156" i="62"/>
  <c r="I156" i="62" a="1"/>
  <c r="I156" i="62"/>
  <c r="BF155" i="62" a="1"/>
  <c r="BF155" i="62"/>
  <c r="BB155" i="62" a="1"/>
  <c r="BB155" i="62"/>
  <c r="AX155" i="62" a="1"/>
  <c r="AX155" i="62"/>
  <c r="AT155" i="62" a="1"/>
  <c r="AT155" i="62"/>
  <c r="AS155" i="62" a="1"/>
  <c r="AS155" i="62"/>
  <c r="AN155" i="62" a="1"/>
  <c r="AN155" i="62"/>
  <c r="AJ155" i="62" a="1"/>
  <c r="AJ155" i="62"/>
  <c r="AF155" i="62" a="1"/>
  <c r="AF155" i="62"/>
  <c r="AB155" i="62" a="1"/>
  <c r="AB155" i="62"/>
  <c r="AA155" i="62" a="1"/>
  <c r="AA155" i="62"/>
  <c r="V155" i="62" a="1"/>
  <c r="V155" i="62"/>
  <c r="R155" i="62" a="1"/>
  <c r="R155" i="62"/>
  <c r="N155" i="62" a="1"/>
  <c r="N155" i="62"/>
  <c r="J155" i="62" a="1"/>
  <c r="J155" i="62"/>
  <c r="I155" i="62" a="1"/>
  <c r="I155" i="62"/>
  <c r="BF154" i="62" a="1"/>
  <c r="BF154" i="62"/>
  <c r="BB154" i="62" a="1"/>
  <c r="BB154" i="62"/>
  <c r="AX154" i="62" a="1"/>
  <c r="AX154" i="62"/>
  <c r="AT154" i="62" a="1"/>
  <c r="AT154" i="62"/>
  <c r="AS154" i="62" a="1"/>
  <c r="AS154" i="62"/>
  <c r="AN154" i="62" a="1"/>
  <c r="AN154" i="62"/>
  <c r="AJ154" i="62" a="1"/>
  <c r="AJ154" i="62"/>
  <c r="AF154" i="62" a="1"/>
  <c r="AF154" i="62"/>
  <c r="AB154" i="62" a="1"/>
  <c r="AB154" i="62"/>
  <c r="AA154" i="62" a="1"/>
  <c r="AA154" i="62"/>
  <c r="V154" i="62" a="1"/>
  <c r="V154" i="62"/>
  <c r="R154" i="62" a="1"/>
  <c r="R154" i="62"/>
  <c r="N154" i="62" a="1"/>
  <c r="N154" i="62"/>
  <c r="J154" i="62" a="1"/>
  <c r="J154" i="62"/>
  <c r="I154" i="62" a="1"/>
  <c r="I154" i="62"/>
  <c r="BF153" i="62" a="1"/>
  <c r="BF153" i="62"/>
  <c r="BB153" i="62" a="1"/>
  <c r="BB153" i="62"/>
  <c r="AX153" i="62" a="1"/>
  <c r="AX153" i="62"/>
  <c r="AT153" i="62" a="1"/>
  <c r="AT153" i="62"/>
  <c r="AS153" i="62" a="1"/>
  <c r="AS153" i="62"/>
  <c r="AN153" i="62" a="1"/>
  <c r="AN153" i="62"/>
  <c r="AJ153" i="62" a="1"/>
  <c r="AJ153" i="62"/>
  <c r="AF153" i="62" a="1"/>
  <c r="AF153" i="62"/>
  <c r="AB153" i="62" a="1"/>
  <c r="AB153" i="62"/>
  <c r="AA153" i="62" a="1"/>
  <c r="AA153" i="62"/>
  <c r="V153" i="62" a="1"/>
  <c r="V153" i="62"/>
  <c r="R153" i="62" a="1"/>
  <c r="R153" i="62"/>
  <c r="N153" i="62" a="1"/>
  <c r="N153" i="62"/>
  <c r="J153" i="62" a="1"/>
  <c r="J153" i="62"/>
  <c r="I153" i="62" a="1"/>
  <c r="I153" i="62"/>
  <c r="BF152" i="62" a="1"/>
  <c r="BF152" i="62"/>
  <c r="BB152" i="62" a="1"/>
  <c r="BB152" i="62"/>
  <c r="AX152" i="62" a="1"/>
  <c r="AX152" i="62"/>
  <c r="AT152" i="62" a="1"/>
  <c r="AT152" i="62"/>
  <c r="AS152" i="62" a="1"/>
  <c r="AS152" i="62"/>
  <c r="AN152" i="62" a="1"/>
  <c r="AN152" i="62"/>
  <c r="AJ152" i="62" a="1"/>
  <c r="AJ152" i="62"/>
  <c r="AF152" i="62" a="1"/>
  <c r="AF152" i="62"/>
  <c r="AB152" i="62" a="1"/>
  <c r="AB152" i="62"/>
  <c r="AA152" i="62" a="1"/>
  <c r="AA152" i="62"/>
  <c r="V152" i="62" a="1"/>
  <c r="V152" i="62"/>
  <c r="R152" i="62" a="1"/>
  <c r="R152" i="62"/>
  <c r="N152" i="62" a="1"/>
  <c r="N152" i="62"/>
  <c r="J152" i="62" a="1"/>
  <c r="J152" i="62"/>
  <c r="I152" i="62" a="1"/>
  <c r="I152" i="62"/>
  <c r="BF151" i="62" a="1"/>
  <c r="BF151" i="62"/>
  <c r="BB151" i="62" a="1"/>
  <c r="BB151" i="62"/>
  <c r="AX151" i="62" a="1"/>
  <c r="AX151" i="62"/>
  <c r="AT151" i="62" a="1"/>
  <c r="AT151" i="62"/>
  <c r="AS151" i="62" a="1"/>
  <c r="AS151" i="62"/>
  <c r="AN151" i="62" a="1"/>
  <c r="AN151" i="62"/>
  <c r="AJ151" i="62" a="1"/>
  <c r="AJ151" i="62"/>
  <c r="AF151" i="62" a="1"/>
  <c r="AF151" i="62"/>
  <c r="AB151" i="62" a="1"/>
  <c r="AB151" i="62"/>
  <c r="AA151" i="62" a="1"/>
  <c r="AA151" i="62"/>
  <c r="V151" i="62" a="1"/>
  <c r="V151" i="62"/>
  <c r="R151" i="62" a="1"/>
  <c r="R151" i="62"/>
  <c r="N151" i="62" a="1"/>
  <c r="N151" i="62"/>
  <c r="J151" i="62" a="1"/>
  <c r="J151" i="62"/>
  <c r="I151" i="62" a="1"/>
  <c r="I151" i="62"/>
  <c r="BF150" i="62" a="1"/>
  <c r="BF150" i="62"/>
  <c r="BB150" i="62" a="1"/>
  <c r="BB150" i="62"/>
  <c r="AX150" i="62" a="1"/>
  <c r="AX150" i="62"/>
  <c r="AT150" i="62" a="1"/>
  <c r="AT150" i="62"/>
  <c r="AS150" i="62" a="1"/>
  <c r="AS150" i="62"/>
  <c r="AN150" i="62" a="1"/>
  <c r="AN150" i="62"/>
  <c r="AJ150" i="62" a="1"/>
  <c r="AJ150" i="62"/>
  <c r="AF150" i="62" a="1"/>
  <c r="AF150" i="62"/>
  <c r="AB150" i="62" a="1"/>
  <c r="AB150" i="62"/>
  <c r="AA150" i="62" a="1"/>
  <c r="AA150" i="62"/>
  <c r="V150" i="62" a="1"/>
  <c r="V150" i="62"/>
  <c r="R150" i="62" a="1"/>
  <c r="R150" i="62"/>
  <c r="N150" i="62" a="1"/>
  <c r="N150" i="62"/>
  <c r="J150" i="62" a="1"/>
  <c r="J150" i="62"/>
  <c r="I150" i="62" a="1"/>
  <c r="I150" i="62"/>
  <c r="BF149" i="62" a="1"/>
  <c r="BF149" i="62"/>
  <c r="BB149" i="62" a="1"/>
  <c r="BB149" i="62"/>
  <c r="AX149" i="62" a="1"/>
  <c r="AX149" i="62"/>
  <c r="AT149" i="62" a="1"/>
  <c r="AT149" i="62"/>
  <c r="AS149" i="62" a="1"/>
  <c r="AS149" i="62"/>
  <c r="AN149" i="62" a="1"/>
  <c r="AN149" i="62"/>
  <c r="AJ149" i="62" a="1"/>
  <c r="AJ149" i="62"/>
  <c r="AF149" i="62" a="1"/>
  <c r="AF149" i="62"/>
  <c r="AB149" i="62" a="1"/>
  <c r="AB149" i="62"/>
  <c r="AA149" i="62" a="1"/>
  <c r="AA149" i="62"/>
  <c r="V149" i="62" a="1"/>
  <c r="V149" i="62"/>
  <c r="R149" i="62" a="1"/>
  <c r="R149" i="62"/>
  <c r="N149" i="62" a="1"/>
  <c r="N149" i="62"/>
  <c r="J149" i="62" a="1"/>
  <c r="J149" i="62"/>
  <c r="I149" i="62" a="1"/>
  <c r="I149" i="62"/>
  <c r="BF148" i="62" a="1"/>
  <c r="BF148" i="62"/>
  <c r="BB148" i="62" a="1"/>
  <c r="BB148" i="62"/>
  <c r="AX148" i="62" a="1"/>
  <c r="AX148" i="62"/>
  <c r="AT148" i="62" a="1"/>
  <c r="AT148" i="62"/>
  <c r="AS148" i="62" a="1"/>
  <c r="AS148" i="62"/>
  <c r="AN148" i="62" a="1"/>
  <c r="AN148" i="62"/>
  <c r="AJ148" i="62" a="1"/>
  <c r="AJ148" i="62"/>
  <c r="AF148" i="62" a="1"/>
  <c r="AF148" i="62"/>
  <c r="AB148" i="62" a="1"/>
  <c r="AB148" i="62"/>
  <c r="AA148" i="62" a="1"/>
  <c r="AA148" i="62"/>
  <c r="V148" i="62" a="1"/>
  <c r="V148" i="62"/>
  <c r="R148" i="62" a="1"/>
  <c r="R148" i="62"/>
  <c r="N148" i="62" a="1"/>
  <c r="N148" i="62"/>
  <c r="J148" i="62" a="1"/>
  <c r="J148" i="62"/>
  <c r="I148" i="62" a="1"/>
  <c r="I148" i="62"/>
  <c r="BF147" i="62" a="1"/>
  <c r="BF147" i="62"/>
  <c r="BB147" i="62" a="1"/>
  <c r="BB147" i="62"/>
  <c r="AX147" i="62" a="1"/>
  <c r="AX147" i="62"/>
  <c r="AT147" i="62" a="1"/>
  <c r="AT147" i="62"/>
  <c r="AS147" i="62" a="1"/>
  <c r="AS147" i="62"/>
  <c r="AN147" i="62" a="1"/>
  <c r="AN147" i="62"/>
  <c r="AJ147" i="62" a="1"/>
  <c r="AJ147" i="62"/>
  <c r="AF147" i="62" a="1"/>
  <c r="AF147" i="62"/>
  <c r="AB147" i="62" a="1"/>
  <c r="AB147" i="62"/>
  <c r="AA147" i="62" a="1"/>
  <c r="AA147" i="62"/>
  <c r="V147" i="62" a="1"/>
  <c r="V147" i="62"/>
  <c r="R147" i="62" a="1"/>
  <c r="R147" i="62"/>
  <c r="N147" i="62" a="1"/>
  <c r="N147" i="62"/>
  <c r="J147" i="62" a="1"/>
  <c r="J147" i="62"/>
  <c r="I147" i="62" a="1"/>
  <c r="I147" i="62"/>
  <c r="BF146" i="62" a="1"/>
  <c r="BF146" i="62"/>
  <c r="BB146" i="62" a="1"/>
  <c r="BB146" i="62"/>
  <c r="AX146" i="62" a="1"/>
  <c r="AX146" i="62"/>
  <c r="AT146" i="62" a="1"/>
  <c r="AT146" i="62"/>
  <c r="AS146" i="62" a="1"/>
  <c r="AS146" i="62"/>
  <c r="AN146" i="62" a="1"/>
  <c r="AN146" i="62"/>
  <c r="AJ146" i="62" a="1"/>
  <c r="AJ146" i="62"/>
  <c r="AF146" i="62" a="1"/>
  <c r="AF146" i="62"/>
  <c r="AB146" i="62" a="1"/>
  <c r="AB146" i="62"/>
  <c r="AA146" i="62" a="1"/>
  <c r="AA146" i="62"/>
  <c r="V146" i="62" a="1"/>
  <c r="V146" i="62"/>
  <c r="R146" i="62" a="1"/>
  <c r="R146" i="62"/>
  <c r="N146" i="62" a="1"/>
  <c r="N146" i="62"/>
  <c r="J146" i="62" a="1"/>
  <c r="J146" i="62"/>
  <c r="I146" i="62" a="1"/>
  <c r="I146" i="62"/>
  <c r="BF145" i="62" a="1"/>
  <c r="BF145" i="62"/>
  <c r="BB145" i="62" a="1"/>
  <c r="BB145" i="62"/>
  <c r="AX145" i="62" a="1"/>
  <c r="AX145" i="62"/>
  <c r="AT145" i="62" a="1"/>
  <c r="AT145" i="62"/>
  <c r="AS145" i="62" a="1"/>
  <c r="AS145" i="62"/>
  <c r="AN145" i="62" a="1"/>
  <c r="AN145" i="62"/>
  <c r="AJ145" i="62" a="1"/>
  <c r="AJ145" i="62"/>
  <c r="AF145" i="62" a="1"/>
  <c r="AF145" i="62"/>
  <c r="AB145" i="62" a="1"/>
  <c r="AB145" i="62"/>
  <c r="AA145" i="62" a="1"/>
  <c r="AA145" i="62"/>
  <c r="V145" i="62" a="1"/>
  <c r="V145" i="62"/>
  <c r="R145" i="62" a="1"/>
  <c r="R145" i="62"/>
  <c r="N145" i="62" a="1"/>
  <c r="N145" i="62"/>
  <c r="J145" i="62" a="1"/>
  <c r="J145" i="62"/>
  <c r="I145" i="62" a="1"/>
  <c r="I145" i="62"/>
  <c r="BF144" i="62" a="1"/>
  <c r="BF144" i="62"/>
  <c r="BB144" i="62" a="1"/>
  <c r="BB144" i="62"/>
  <c r="AX144" i="62" a="1"/>
  <c r="AX144" i="62"/>
  <c r="AT144" i="62" a="1"/>
  <c r="AT144" i="62"/>
  <c r="AS144" i="62" a="1"/>
  <c r="AS144" i="62"/>
  <c r="AN144" i="62" a="1"/>
  <c r="AN144" i="62"/>
  <c r="AJ144" i="62" a="1"/>
  <c r="AJ144" i="62"/>
  <c r="AF144" i="62" a="1"/>
  <c r="AF144" i="62"/>
  <c r="AB144" i="62" a="1"/>
  <c r="AB144" i="62"/>
  <c r="AA144" i="62" a="1"/>
  <c r="AA144" i="62"/>
  <c r="V144" i="62" a="1"/>
  <c r="V144" i="62"/>
  <c r="R144" i="62" a="1"/>
  <c r="R144" i="62"/>
  <c r="N144" i="62" a="1"/>
  <c r="N144" i="62"/>
  <c r="J144" i="62" a="1"/>
  <c r="J144" i="62"/>
  <c r="I144" i="62" a="1"/>
  <c r="I144" i="62"/>
  <c r="BF143" i="62" a="1"/>
  <c r="BF143" i="62"/>
  <c r="BB143" i="62" a="1"/>
  <c r="BB143" i="62"/>
  <c r="AX143" i="62" a="1"/>
  <c r="AX143" i="62"/>
  <c r="AT143" i="62" a="1"/>
  <c r="AT143" i="62"/>
  <c r="AS143" i="62" a="1"/>
  <c r="AS143" i="62"/>
  <c r="AN143" i="62" a="1"/>
  <c r="AN143" i="62"/>
  <c r="AJ143" i="62" a="1"/>
  <c r="AJ143" i="62"/>
  <c r="AF143" i="62" a="1"/>
  <c r="AF143" i="62"/>
  <c r="AB143" i="62" a="1"/>
  <c r="AB143" i="62"/>
  <c r="AA143" i="62" a="1"/>
  <c r="AA143" i="62"/>
  <c r="V143" i="62" a="1"/>
  <c r="V143" i="62"/>
  <c r="R143" i="62" a="1"/>
  <c r="R143" i="62"/>
  <c r="N143" i="62" a="1"/>
  <c r="N143" i="62"/>
  <c r="J143" i="62" a="1"/>
  <c r="J143" i="62"/>
  <c r="I143" i="62" a="1"/>
  <c r="I143" i="62"/>
  <c r="BF142" i="62" a="1"/>
  <c r="BF142" i="62"/>
  <c r="BB142" i="62" a="1"/>
  <c r="BB142" i="62"/>
  <c r="AX142" i="62" a="1"/>
  <c r="AX142" i="62"/>
  <c r="AT142" i="62" a="1"/>
  <c r="AT142" i="62"/>
  <c r="AS142" i="62" a="1"/>
  <c r="AS142" i="62"/>
  <c r="AN142" i="62" a="1"/>
  <c r="AN142" i="62"/>
  <c r="AJ142" i="62" a="1"/>
  <c r="AJ142" i="62"/>
  <c r="AF142" i="62" a="1"/>
  <c r="AF142" i="62"/>
  <c r="AB142" i="62" a="1"/>
  <c r="AB142" i="62"/>
  <c r="AA142" i="62" a="1"/>
  <c r="AA142" i="62"/>
  <c r="V142" i="62" a="1"/>
  <c r="V142" i="62"/>
  <c r="R142" i="62" a="1"/>
  <c r="R142" i="62"/>
  <c r="N142" i="62" a="1"/>
  <c r="N142" i="62"/>
  <c r="J142" i="62" a="1"/>
  <c r="J142" i="62"/>
  <c r="I142" i="62" a="1"/>
  <c r="I142" i="62"/>
  <c r="BF141" i="62" a="1"/>
  <c r="BF141" i="62"/>
  <c r="BB141" i="62" a="1"/>
  <c r="BB141" i="62"/>
  <c r="AX141" i="62" a="1"/>
  <c r="AX141" i="62"/>
  <c r="AT141" i="62" a="1"/>
  <c r="AT141" i="62"/>
  <c r="AS141" i="62" a="1"/>
  <c r="AS141" i="62"/>
  <c r="AN141" i="62" a="1"/>
  <c r="AN141" i="62"/>
  <c r="AJ141" i="62" a="1"/>
  <c r="AJ141" i="62"/>
  <c r="AF141" i="62" a="1"/>
  <c r="AF141" i="62"/>
  <c r="AB141" i="62" a="1"/>
  <c r="AB141" i="62"/>
  <c r="AA141" i="62" a="1"/>
  <c r="AA141" i="62"/>
  <c r="V141" i="62" a="1"/>
  <c r="V141" i="62"/>
  <c r="R141" i="62" a="1"/>
  <c r="R141" i="62"/>
  <c r="N141" i="62" a="1"/>
  <c r="N141" i="62"/>
  <c r="J141" i="62" a="1"/>
  <c r="J141" i="62"/>
  <c r="I141" i="62" a="1"/>
  <c r="I141" i="62"/>
  <c r="BF140" i="62" a="1"/>
  <c r="BF140" i="62"/>
  <c r="BB140" i="62" a="1"/>
  <c r="BB140" i="62"/>
  <c r="AX140" i="62" a="1"/>
  <c r="AX140" i="62"/>
  <c r="AT140" i="62" a="1"/>
  <c r="AT140" i="62"/>
  <c r="AS140" i="62" a="1"/>
  <c r="AS140" i="62"/>
  <c r="AN140" i="62" a="1"/>
  <c r="AN140" i="62"/>
  <c r="AJ140" i="62" a="1"/>
  <c r="AJ140" i="62"/>
  <c r="AF140" i="62" a="1"/>
  <c r="AF140" i="62"/>
  <c r="AB140" i="62" a="1"/>
  <c r="AB140" i="62"/>
  <c r="AA140" i="62" a="1"/>
  <c r="AA140" i="62"/>
  <c r="V140" i="62" a="1"/>
  <c r="V140" i="62"/>
  <c r="R140" i="62" a="1"/>
  <c r="R140" i="62"/>
  <c r="N140" i="62" a="1"/>
  <c r="N140" i="62"/>
  <c r="J140" i="62" a="1"/>
  <c r="J140" i="62"/>
  <c r="I140" i="62" a="1"/>
  <c r="I140" i="62"/>
  <c r="BF139" i="62" a="1"/>
  <c r="BF139" i="62"/>
  <c r="BB139" i="62" a="1"/>
  <c r="BB139" i="62"/>
  <c r="AX139" i="62" a="1"/>
  <c r="AX139" i="62"/>
  <c r="AT139" i="62" a="1"/>
  <c r="AT139" i="62"/>
  <c r="AS139" i="62" a="1"/>
  <c r="AS139" i="62"/>
  <c r="AN139" i="62" a="1"/>
  <c r="AN139" i="62"/>
  <c r="AJ139" i="62" a="1"/>
  <c r="AJ139" i="62"/>
  <c r="AF139" i="62" a="1"/>
  <c r="AF139" i="62"/>
  <c r="AB139" i="62" a="1"/>
  <c r="AB139" i="62"/>
  <c r="AA139" i="62" a="1"/>
  <c r="AA139" i="62"/>
  <c r="V139" i="62" a="1"/>
  <c r="V139" i="62"/>
  <c r="R139" i="62" a="1"/>
  <c r="R139" i="62"/>
  <c r="N139" i="62" a="1"/>
  <c r="N139" i="62"/>
  <c r="J139" i="62" a="1"/>
  <c r="J139" i="62"/>
  <c r="I139" i="62" a="1"/>
  <c r="I139" i="62"/>
  <c r="BF138" i="62" a="1"/>
  <c r="BF138" i="62"/>
  <c r="BB138" i="62" a="1"/>
  <c r="BB138" i="62"/>
  <c r="AX138" i="62" a="1"/>
  <c r="AX138" i="62"/>
  <c r="AT138" i="62" a="1"/>
  <c r="AT138" i="62"/>
  <c r="AS138" i="62" a="1"/>
  <c r="AS138" i="62"/>
  <c r="AN138" i="62" a="1"/>
  <c r="AN138" i="62"/>
  <c r="AJ138" i="62" a="1"/>
  <c r="AJ138" i="62"/>
  <c r="AF138" i="62" a="1"/>
  <c r="AF138" i="62"/>
  <c r="AB138" i="62" a="1"/>
  <c r="AB138" i="62"/>
  <c r="AA138" i="62" a="1"/>
  <c r="AA138" i="62"/>
  <c r="V138" i="62" a="1"/>
  <c r="V138" i="62"/>
  <c r="R138" i="62" a="1"/>
  <c r="R138" i="62"/>
  <c r="N138" i="62" a="1"/>
  <c r="N138" i="62"/>
  <c r="J138" i="62" a="1"/>
  <c r="J138" i="62"/>
  <c r="I138" i="62" a="1"/>
  <c r="I138" i="62"/>
  <c r="BF137" i="62" a="1"/>
  <c r="BF137" i="62"/>
  <c r="BB137" i="62" a="1"/>
  <c r="BB137" i="62"/>
  <c r="AX137" i="62" a="1"/>
  <c r="AX137" i="62"/>
  <c r="AT137" i="62" a="1"/>
  <c r="AT137" i="62"/>
  <c r="AS137" i="62" a="1"/>
  <c r="AS137" i="62"/>
  <c r="AN137" i="62" a="1"/>
  <c r="AN137" i="62"/>
  <c r="AJ137" i="62" a="1"/>
  <c r="AJ137" i="62"/>
  <c r="AF137" i="62" a="1"/>
  <c r="AF137" i="62"/>
  <c r="AB137" i="62" a="1"/>
  <c r="AB137" i="62"/>
  <c r="AA137" i="62" a="1"/>
  <c r="AA137" i="62"/>
  <c r="V137" i="62" a="1"/>
  <c r="V137" i="62"/>
  <c r="R137" i="62" a="1"/>
  <c r="R137" i="62"/>
  <c r="N137" i="62" a="1"/>
  <c r="N137" i="62"/>
  <c r="J137" i="62" a="1"/>
  <c r="J137" i="62"/>
  <c r="I137" i="62" a="1"/>
  <c r="I137" i="62"/>
  <c r="BF136" i="62" a="1"/>
  <c r="BF136" i="62"/>
  <c r="BB136" i="62" a="1"/>
  <c r="BB136" i="62"/>
  <c r="AX136" i="62" a="1"/>
  <c r="AX136" i="62"/>
  <c r="AT136" i="62" a="1"/>
  <c r="AT136" i="62"/>
  <c r="AS136" i="62" a="1"/>
  <c r="AS136" i="62"/>
  <c r="AN136" i="62" a="1"/>
  <c r="AN136" i="62"/>
  <c r="AJ136" i="62" a="1"/>
  <c r="AJ136" i="62"/>
  <c r="AF136" i="62" a="1"/>
  <c r="AF136" i="62"/>
  <c r="AB136" i="62" a="1"/>
  <c r="AB136" i="62"/>
  <c r="AA136" i="62" a="1"/>
  <c r="AA136" i="62"/>
  <c r="V136" i="62" a="1"/>
  <c r="V136" i="62"/>
  <c r="R136" i="62" a="1"/>
  <c r="R136" i="62"/>
  <c r="N136" i="62" a="1"/>
  <c r="N136" i="62"/>
  <c r="J136" i="62" a="1"/>
  <c r="J136" i="62"/>
  <c r="I136" i="62" a="1"/>
  <c r="I136" i="62"/>
  <c r="BF135" i="62" a="1"/>
  <c r="BF135" i="62"/>
  <c r="BB135" i="62" a="1"/>
  <c r="BB135" i="62"/>
  <c r="AX135" i="62" a="1"/>
  <c r="AX135" i="62"/>
  <c r="AT135" i="62" a="1"/>
  <c r="AT135" i="62"/>
  <c r="AS135" i="62" a="1"/>
  <c r="AS135" i="62"/>
  <c r="AN135" i="62" a="1"/>
  <c r="AN135" i="62"/>
  <c r="AJ135" i="62" a="1"/>
  <c r="AJ135" i="62"/>
  <c r="AF135" i="62" a="1"/>
  <c r="AF135" i="62"/>
  <c r="AB135" i="62" a="1"/>
  <c r="AB135" i="62"/>
  <c r="AA135" i="62" a="1"/>
  <c r="AA135" i="62"/>
  <c r="V135" i="62" a="1"/>
  <c r="V135" i="62"/>
  <c r="R135" i="62" a="1"/>
  <c r="R135" i="62"/>
  <c r="N135" i="62" a="1"/>
  <c r="N135" i="62"/>
  <c r="J135" i="62" a="1"/>
  <c r="J135" i="62"/>
  <c r="I135" i="62" a="1"/>
  <c r="I135" i="62"/>
  <c r="BF134" i="62" a="1"/>
  <c r="BF134" i="62"/>
  <c r="BB134" i="62" a="1"/>
  <c r="BB134" i="62"/>
  <c r="AX134" i="62" a="1"/>
  <c r="AX134" i="62"/>
  <c r="AT134" i="62" a="1"/>
  <c r="AT134" i="62"/>
  <c r="AS134" i="62" a="1"/>
  <c r="AS134" i="62"/>
  <c r="AN134" i="62" a="1"/>
  <c r="AN134" i="62"/>
  <c r="AJ134" i="62" a="1"/>
  <c r="AJ134" i="62"/>
  <c r="AF134" i="62" a="1"/>
  <c r="AF134" i="62"/>
  <c r="AB134" i="62" a="1"/>
  <c r="AB134" i="62"/>
  <c r="AA134" i="62" a="1"/>
  <c r="AA134" i="62"/>
  <c r="V134" i="62" a="1"/>
  <c r="V134" i="62"/>
  <c r="R134" i="62" a="1"/>
  <c r="R134" i="62"/>
  <c r="N134" i="62" a="1"/>
  <c r="N134" i="62"/>
  <c r="J134" i="62" a="1"/>
  <c r="J134" i="62"/>
  <c r="I134" i="62" a="1"/>
  <c r="I134" i="62"/>
  <c r="BF133" i="62" a="1"/>
  <c r="BF133" i="62"/>
  <c r="BB133" i="62" a="1"/>
  <c r="BB133" i="62"/>
  <c r="AX133" i="62" a="1"/>
  <c r="AX133" i="62"/>
  <c r="AT133" i="62" a="1"/>
  <c r="AT133" i="62"/>
  <c r="AS133" i="62" a="1"/>
  <c r="AS133" i="62"/>
  <c r="AN133" i="62" a="1"/>
  <c r="AN133" i="62"/>
  <c r="AJ133" i="62" a="1"/>
  <c r="AJ133" i="62"/>
  <c r="AF133" i="62" a="1"/>
  <c r="AF133" i="62"/>
  <c r="AB133" i="62" a="1"/>
  <c r="AB133" i="62"/>
  <c r="AA133" i="62" a="1"/>
  <c r="AA133" i="62"/>
  <c r="V133" i="62" a="1"/>
  <c r="V133" i="62"/>
  <c r="R133" i="62" a="1"/>
  <c r="R133" i="62"/>
  <c r="N133" i="62" a="1"/>
  <c r="N133" i="62"/>
  <c r="J133" i="62" a="1"/>
  <c r="J133" i="62"/>
  <c r="I133" i="62" a="1"/>
  <c r="I133" i="62"/>
  <c r="BF132" i="62" a="1"/>
  <c r="BF132" i="62"/>
  <c r="BB132" i="62" a="1"/>
  <c r="BB132" i="62"/>
  <c r="AX132" i="62" a="1"/>
  <c r="AX132" i="62"/>
  <c r="AT132" i="62" a="1"/>
  <c r="AT132" i="62"/>
  <c r="AS132" i="62" a="1"/>
  <c r="AS132" i="62"/>
  <c r="AN132" i="62" a="1"/>
  <c r="AN132" i="62"/>
  <c r="AJ132" i="62" a="1"/>
  <c r="AJ132" i="62"/>
  <c r="AF132" i="62" a="1"/>
  <c r="AF132" i="62"/>
  <c r="AB132" i="62" a="1"/>
  <c r="AB132" i="62"/>
  <c r="AA132" i="62" a="1"/>
  <c r="AA132" i="62"/>
  <c r="V132" i="62" a="1"/>
  <c r="V132" i="62"/>
  <c r="R132" i="62" a="1"/>
  <c r="R132" i="62"/>
  <c r="N132" i="62" a="1"/>
  <c r="N132" i="62"/>
  <c r="J132" i="62" a="1"/>
  <c r="J132" i="62"/>
  <c r="I132" i="62" a="1"/>
  <c r="I132" i="62"/>
  <c r="BF131" i="62" a="1"/>
  <c r="BF131" i="62"/>
  <c r="BB131" i="62" a="1"/>
  <c r="BB131" i="62"/>
  <c r="AX131" i="62" a="1"/>
  <c r="AX131" i="62"/>
  <c r="AT131" i="62" a="1"/>
  <c r="AT131" i="62"/>
  <c r="AS131" i="62" a="1"/>
  <c r="AS131" i="62"/>
  <c r="AN131" i="62" a="1"/>
  <c r="AN131" i="62"/>
  <c r="AJ131" i="62" a="1"/>
  <c r="AJ131" i="62"/>
  <c r="AF131" i="62" a="1"/>
  <c r="AF131" i="62"/>
  <c r="AB131" i="62" a="1"/>
  <c r="AB131" i="62"/>
  <c r="AA131" i="62" a="1"/>
  <c r="AA131" i="62"/>
  <c r="V131" i="62" a="1"/>
  <c r="V131" i="62"/>
  <c r="R131" i="62" a="1"/>
  <c r="R131" i="62"/>
  <c r="N131" i="62" a="1"/>
  <c r="N131" i="62"/>
  <c r="J131" i="62" a="1"/>
  <c r="J131" i="62"/>
  <c r="I131" i="62" a="1"/>
  <c r="I131" i="62"/>
  <c r="BF130" i="62" a="1"/>
  <c r="BF130" i="62"/>
  <c r="BB130" i="62" a="1"/>
  <c r="BB130" i="62"/>
  <c r="AX130" i="62" a="1"/>
  <c r="AX130" i="62"/>
  <c r="AT130" i="62" a="1"/>
  <c r="AT130" i="62"/>
  <c r="AS130" i="62" a="1"/>
  <c r="AS130" i="62"/>
  <c r="AN130" i="62" a="1"/>
  <c r="AN130" i="62"/>
  <c r="AJ130" i="62" a="1"/>
  <c r="AJ130" i="62"/>
  <c r="AF130" i="62" a="1"/>
  <c r="AF130" i="62"/>
  <c r="AB130" i="62" a="1"/>
  <c r="AB130" i="62"/>
  <c r="AA130" i="62" a="1"/>
  <c r="AA130" i="62"/>
  <c r="V130" i="62" a="1"/>
  <c r="V130" i="62"/>
  <c r="R130" i="62" a="1"/>
  <c r="R130" i="62"/>
  <c r="N130" i="62" a="1"/>
  <c r="N130" i="62"/>
  <c r="J130" i="62" a="1"/>
  <c r="J130" i="62"/>
  <c r="I130" i="62" a="1"/>
  <c r="I130" i="62"/>
  <c r="BF129" i="62" a="1"/>
  <c r="BF129" i="62"/>
  <c r="BB129" i="62" a="1"/>
  <c r="BB129" i="62"/>
  <c r="AX129" i="62" a="1"/>
  <c r="AX129" i="62"/>
  <c r="AT129" i="62" a="1"/>
  <c r="AT129" i="62"/>
  <c r="AS129" i="62" a="1"/>
  <c r="AS129" i="62"/>
  <c r="AN129" i="62" a="1"/>
  <c r="AN129" i="62"/>
  <c r="AJ129" i="62" a="1"/>
  <c r="AJ129" i="62"/>
  <c r="AF129" i="62" a="1"/>
  <c r="AF129" i="62"/>
  <c r="AB129" i="62" a="1"/>
  <c r="AB129" i="62"/>
  <c r="AA129" i="62" a="1"/>
  <c r="AA129" i="62"/>
  <c r="V129" i="62" a="1"/>
  <c r="V129" i="62"/>
  <c r="R129" i="62" a="1"/>
  <c r="R129" i="62"/>
  <c r="N129" i="62" a="1"/>
  <c r="N129" i="62"/>
  <c r="J129" i="62" a="1"/>
  <c r="J129" i="62"/>
  <c r="I129" i="62" a="1"/>
  <c r="I129" i="62"/>
  <c r="BF128" i="62" a="1"/>
  <c r="BF128" i="62"/>
  <c r="BB128" i="62" a="1"/>
  <c r="BB128" i="62"/>
  <c r="AX128" i="62" a="1"/>
  <c r="AX128" i="62"/>
  <c r="AT128" i="62" a="1"/>
  <c r="AT128" i="62"/>
  <c r="AS128" i="62" a="1"/>
  <c r="AS128" i="62"/>
  <c r="AN128" i="62" a="1"/>
  <c r="AN128" i="62"/>
  <c r="AJ128" i="62" a="1"/>
  <c r="AJ128" i="62"/>
  <c r="AF128" i="62" a="1"/>
  <c r="AF128" i="62"/>
  <c r="AB128" i="62" a="1"/>
  <c r="AB128" i="62"/>
  <c r="AA128" i="62" a="1"/>
  <c r="AA128" i="62"/>
  <c r="V128" i="62" a="1"/>
  <c r="V128" i="62"/>
  <c r="R128" i="62" a="1"/>
  <c r="R128" i="62"/>
  <c r="N128" i="62" a="1"/>
  <c r="N128" i="62"/>
  <c r="J128" i="62" a="1"/>
  <c r="J128" i="62"/>
  <c r="I128" i="62" a="1"/>
  <c r="I128" i="62"/>
  <c r="BF127" i="62" a="1"/>
  <c r="BF127" i="62"/>
  <c r="BB127" i="62" a="1"/>
  <c r="BB127" i="62"/>
  <c r="AX127" i="62" a="1"/>
  <c r="AX127" i="62"/>
  <c r="AT127" i="62" a="1"/>
  <c r="AT127" i="62"/>
  <c r="AS127" i="62" a="1"/>
  <c r="AS127" i="62"/>
  <c r="AN127" i="62" a="1"/>
  <c r="AN127" i="62"/>
  <c r="AJ127" i="62" a="1"/>
  <c r="AJ127" i="62"/>
  <c r="AF127" i="62" a="1"/>
  <c r="AF127" i="62"/>
  <c r="AB127" i="62" a="1"/>
  <c r="AB127" i="62"/>
  <c r="AA127" i="62" a="1"/>
  <c r="AA127" i="62"/>
  <c r="V127" i="62" a="1"/>
  <c r="V127" i="62"/>
  <c r="R127" i="62" a="1"/>
  <c r="R127" i="62"/>
  <c r="N127" i="62" a="1"/>
  <c r="N127" i="62"/>
  <c r="J127" i="62" a="1"/>
  <c r="J127" i="62"/>
  <c r="I127" i="62" a="1"/>
  <c r="I127" i="62"/>
  <c r="BF126" i="62" a="1"/>
  <c r="BF126" i="62"/>
  <c r="BB126" i="62" a="1"/>
  <c r="BB126" i="62"/>
  <c r="AX126" i="62" a="1"/>
  <c r="AX126" i="62"/>
  <c r="AT126" i="62" a="1"/>
  <c r="AT126" i="62"/>
  <c r="AS126" i="62" a="1"/>
  <c r="AS126" i="62"/>
  <c r="AN126" i="62" a="1"/>
  <c r="AN126" i="62"/>
  <c r="AJ126" i="62" a="1"/>
  <c r="AJ126" i="62"/>
  <c r="AF126" i="62" a="1"/>
  <c r="AF126" i="62"/>
  <c r="AB126" i="62" a="1"/>
  <c r="AB126" i="62"/>
  <c r="AA126" i="62" a="1"/>
  <c r="AA126" i="62"/>
  <c r="V126" i="62" a="1"/>
  <c r="V126" i="62"/>
  <c r="R126" i="62" a="1"/>
  <c r="R126" i="62"/>
  <c r="N126" i="62" a="1"/>
  <c r="N126" i="62"/>
  <c r="J126" i="62" a="1"/>
  <c r="J126" i="62"/>
  <c r="I126" i="62" a="1"/>
  <c r="I126" i="62"/>
  <c r="BF125" i="62" a="1"/>
  <c r="BF125" i="62"/>
  <c r="BB125" i="62" a="1"/>
  <c r="BB125" i="62"/>
  <c r="AX125" i="62" a="1"/>
  <c r="AX125" i="62"/>
  <c r="AT125" i="62" a="1"/>
  <c r="AT125" i="62"/>
  <c r="AS125" i="62" a="1"/>
  <c r="AS125" i="62"/>
  <c r="AN125" i="62" a="1"/>
  <c r="AN125" i="62"/>
  <c r="AJ125" i="62" a="1"/>
  <c r="AJ125" i="62"/>
  <c r="AF125" i="62" a="1"/>
  <c r="AF125" i="62"/>
  <c r="AB125" i="62" a="1"/>
  <c r="AB125" i="62"/>
  <c r="AA125" i="62" a="1"/>
  <c r="AA125" i="62"/>
  <c r="V125" i="62" a="1"/>
  <c r="V125" i="62"/>
  <c r="R125" i="62" a="1"/>
  <c r="R125" i="62"/>
  <c r="N125" i="62" a="1"/>
  <c r="N125" i="62"/>
  <c r="J125" i="62" a="1"/>
  <c r="J125" i="62"/>
  <c r="I125" i="62" a="1"/>
  <c r="I125" i="62"/>
  <c r="BF124" i="62" a="1"/>
  <c r="BF124" i="62"/>
  <c r="BB124" i="62" a="1"/>
  <c r="BB124" i="62"/>
  <c r="AX124" i="62" a="1"/>
  <c r="AX124" i="62"/>
  <c r="AT124" i="62" a="1"/>
  <c r="AT124" i="62"/>
  <c r="AS124" i="62" a="1"/>
  <c r="AS124" i="62"/>
  <c r="AN124" i="62" a="1"/>
  <c r="AN124" i="62"/>
  <c r="AJ124" i="62" a="1"/>
  <c r="AJ124" i="62"/>
  <c r="AF124" i="62" a="1"/>
  <c r="AF124" i="62"/>
  <c r="AB124" i="62" a="1"/>
  <c r="AB124" i="62"/>
  <c r="AA124" i="62" a="1"/>
  <c r="AA124" i="62"/>
  <c r="V124" i="62" a="1"/>
  <c r="V124" i="62"/>
  <c r="R124" i="62" a="1"/>
  <c r="R124" i="62"/>
  <c r="N124" i="62" a="1"/>
  <c r="N124" i="62"/>
  <c r="J124" i="62" a="1"/>
  <c r="J124" i="62"/>
  <c r="I124" i="62" a="1"/>
  <c r="I124" i="62"/>
  <c r="BF123" i="62" a="1"/>
  <c r="BF123" i="62"/>
  <c r="BB123" i="62" a="1"/>
  <c r="BB123" i="62"/>
  <c r="AX123" i="62" a="1"/>
  <c r="AX123" i="62"/>
  <c r="AT123" i="62" a="1"/>
  <c r="AT123" i="62"/>
  <c r="AS123" i="62" a="1"/>
  <c r="AS123" i="62"/>
  <c r="AN123" i="62" a="1"/>
  <c r="AN123" i="62"/>
  <c r="AJ123" i="62" a="1"/>
  <c r="AJ123" i="62"/>
  <c r="AF123" i="62" a="1"/>
  <c r="AF123" i="62"/>
  <c r="AB123" i="62" a="1"/>
  <c r="AB123" i="62"/>
  <c r="AA123" i="62" a="1"/>
  <c r="AA123" i="62"/>
  <c r="V123" i="62" a="1"/>
  <c r="V123" i="62"/>
  <c r="R123" i="62" a="1"/>
  <c r="R123" i="62"/>
  <c r="N123" i="62" a="1"/>
  <c r="N123" i="62"/>
  <c r="J123" i="62" a="1"/>
  <c r="J123" i="62"/>
  <c r="I123" i="62" a="1"/>
  <c r="I123" i="62"/>
  <c r="BF122" i="62" a="1"/>
  <c r="BF122" i="62"/>
  <c r="BB122" i="62" a="1"/>
  <c r="BB122" i="62"/>
  <c r="AX122" i="62" a="1"/>
  <c r="AX122" i="62"/>
  <c r="AT122" i="62" a="1"/>
  <c r="AT122" i="62"/>
  <c r="AS122" i="62" a="1"/>
  <c r="AS122" i="62"/>
  <c r="AN122" i="62" a="1"/>
  <c r="AN122" i="62"/>
  <c r="AJ122" i="62" a="1"/>
  <c r="AJ122" i="62"/>
  <c r="AF122" i="62" a="1"/>
  <c r="AF122" i="62"/>
  <c r="AB122" i="62" a="1"/>
  <c r="AB122" i="62"/>
  <c r="AA122" i="62" a="1"/>
  <c r="AA122" i="62"/>
  <c r="V122" i="62" a="1"/>
  <c r="V122" i="62"/>
  <c r="R122" i="62" a="1"/>
  <c r="R122" i="62"/>
  <c r="N122" i="62" a="1"/>
  <c r="N122" i="62"/>
  <c r="J122" i="62" a="1"/>
  <c r="J122" i="62"/>
  <c r="I122" i="62" a="1"/>
  <c r="I122" i="62"/>
  <c r="BF121" i="62" a="1"/>
  <c r="BF121" i="62"/>
  <c r="BB121" i="62" a="1"/>
  <c r="BB121" i="62"/>
  <c r="AX121" i="62" a="1"/>
  <c r="AX121" i="62"/>
  <c r="AT121" i="62" a="1"/>
  <c r="AT121" i="62"/>
  <c r="AS121" i="62" a="1"/>
  <c r="AS121" i="62"/>
  <c r="AN121" i="62" a="1"/>
  <c r="AN121" i="62"/>
  <c r="AJ121" i="62" a="1"/>
  <c r="AJ121" i="62"/>
  <c r="AF121" i="62" a="1"/>
  <c r="AF121" i="62"/>
  <c r="AB121" i="62" a="1"/>
  <c r="AB121" i="62"/>
  <c r="AA121" i="62" a="1"/>
  <c r="AA121" i="62"/>
  <c r="V121" i="62" a="1"/>
  <c r="V121" i="62"/>
  <c r="R121" i="62" a="1"/>
  <c r="R121" i="62"/>
  <c r="N121" i="62" a="1"/>
  <c r="N121" i="62"/>
  <c r="J121" i="62" a="1"/>
  <c r="J121" i="62"/>
  <c r="I121" i="62" a="1"/>
  <c r="I121" i="62"/>
  <c r="BF120" i="62" a="1"/>
  <c r="BF120" i="62"/>
  <c r="BB120" i="62" a="1"/>
  <c r="BB120" i="62"/>
  <c r="AX120" i="62" a="1"/>
  <c r="AX120" i="62"/>
  <c r="AT120" i="62" a="1"/>
  <c r="AT120" i="62"/>
  <c r="AS120" i="62" a="1"/>
  <c r="AS120" i="62"/>
  <c r="AN120" i="62" a="1"/>
  <c r="AN120" i="62"/>
  <c r="AJ120" i="62" a="1"/>
  <c r="AJ120" i="62"/>
  <c r="AF120" i="62" a="1"/>
  <c r="AF120" i="62"/>
  <c r="AB120" i="62" a="1"/>
  <c r="AB120" i="62"/>
  <c r="AA120" i="62" a="1"/>
  <c r="AA120" i="62"/>
  <c r="V120" i="62" a="1"/>
  <c r="V120" i="62"/>
  <c r="R120" i="62" a="1"/>
  <c r="R120" i="62"/>
  <c r="N120" i="62" a="1"/>
  <c r="N120" i="62"/>
  <c r="J120" i="62" a="1"/>
  <c r="J120" i="62"/>
  <c r="I120" i="62" a="1"/>
  <c r="I120" i="62"/>
  <c r="BF119" i="62" a="1"/>
  <c r="BF119" i="62"/>
  <c r="BB119" i="62" a="1"/>
  <c r="BB119" i="62"/>
  <c r="AX119" i="62" a="1"/>
  <c r="AX119" i="62"/>
  <c r="AT119" i="62" a="1"/>
  <c r="AT119" i="62"/>
  <c r="AS119" i="62" a="1"/>
  <c r="AS119" i="62"/>
  <c r="AN119" i="62" a="1"/>
  <c r="AN119" i="62"/>
  <c r="AJ119" i="62" a="1"/>
  <c r="AJ119" i="62"/>
  <c r="AF119" i="62" a="1"/>
  <c r="AF119" i="62"/>
  <c r="AB119" i="62" a="1"/>
  <c r="AB119" i="62"/>
  <c r="AA119" i="62" a="1"/>
  <c r="AA119" i="62"/>
  <c r="V119" i="62" a="1"/>
  <c r="V119" i="62"/>
  <c r="R119" i="62" a="1"/>
  <c r="R119" i="62"/>
  <c r="N119" i="62" a="1"/>
  <c r="N119" i="62"/>
  <c r="J119" i="62" a="1"/>
  <c r="J119" i="62"/>
  <c r="I119" i="62" a="1"/>
  <c r="I119" i="62"/>
  <c r="BF118" i="62" a="1"/>
  <c r="BF118" i="62"/>
  <c r="BB118" i="62" a="1"/>
  <c r="BB118" i="62"/>
  <c r="AX118" i="62" a="1"/>
  <c r="AX118" i="62"/>
  <c r="AT118" i="62" a="1"/>
  <c r="AT118" i="62"/>
  <c r="AS118" i="62" a="1"/>
  <c r="AS118" i="62"/>
  <c r="AN118" i="62" a="1"/>
  <c r="AN118" i="62"/>
  <c r="AJ118" i="62" a="1"/>
  <c r="AJ118" i="62"/>
  <c r="AF118" i="62" a="1"/>
  <c r="AF118" i="62"/>
  <c r="AB118" i="62" a="1"/>
  <c r="AB118" i="62"/>
  <c r="AA118" i="62" a="1"/>
  <c r="AA118" i="62"/>
  <c r="V118" i="62" a="1"/>
  <c r="V118" i="62"/>
  <c r="R118" i="62" a="1"/>
  <c r="R118" i="62"/>
  <c r="N118" i="62" a="1"/>
  <c r="N118" i="62"/>
  <c r="J118" i="62" a="1"/>
  <c r="J118" i="62"/>
  <c r="I118" i="62" a="1"/>
  <c r="I118" i="62"/>
  <c r="BF117" i="62" a="1"/>
  <c r="BF117" i="62"/>
  <c r="BB117" i="62" a="1"/>
  <c r="BB117" i="62"/>
  <c r="AX117" i="62" a="1"/>
  <c r="AX117" i="62"/>
  <c r="AT117" i="62" a="1"/>
  <c r="AT117" i="62"/>
  <c r="AS117" i="62" a="1"/>
  <c r="AS117" i="62"/>
  <c r="AN117" i="62" a="1"/>
  <c r="AN117" i="62"/>
  <c r="AJ117" i="62" a="1"/>
  <c r="AJ117" i="62"/>
  <c r="AF117" i="62" a="1"/>
  <c r="AF117" i="62"/>
  <c r="AB117" i="62" a="1"/>
  <c r="AB117" i="62"/>
  <c r="AA117" i="62" a="1"/>
  <c r="AA117" i="62"/>
  <c r="V117" i="62" a="1"/>
  <c r="V117" i="62"/>
  <c r="R117" i="62" a="1"/>
  <c r="R117" i="62"/>
  <c r="N117" i="62" a="1"/>
  <c r="N117" i="62"/>
  <c r="J117" i="62" a="1"/>
  <c r="J117" i="62"/>
  <c r="I117" i="62" a="1"/>
  <c r="I117" i="62"/>
  <c r="BF116" i="62" a="1"/>
  <c r="BF116" i="62"/>
  <c r="BB116" i="62" a="1"/>
  <c r="BB116" i="62"/>
  <c r="AX116" i="62" a="1"/>
  <c r="AX116" i="62"/>
  <c r="AT116" i="62" a="1"/>
  <c r="AT116" i="62"/>
  <c r="AS116" i="62" a="1"/>
  <c r="AS116" i="62"/>
  <c r="AN116" i="62" a="1"/>
  <c r="AN116" i="62"/>
  <c r="AJ116" i="62" a="1"/>
  <c r="AJ116" i="62"/>
  <c r="AF116" i="62" a="1"/>
  <c r="AF116" i="62"/>
  <c r="AB116" i="62" a="1"/>
  <c r="AB116" i="62"/>
  <c r="AA116" i="62" a="1"/>
  <c r="AA116" i="62"/>
  <c r="V116" i="62" a="1"/>
  <c r="V116" i="62"/>
  <c r="R116" i="62" a="1"/>
  <c r="R116" i="62"/>
  <c r="N116" i="62" a="1"/>
  <c r="N116" i="62"/>
  <c r="J116" i="62" a="1"/>
  <c r="J116" i="62"/>
  <c r="I116" i="62" a="1"/>
  <c r="I116" i="62"/>
  <c r="BF115" i="62" a="1"/>
  <c r="BF115" i="62"/>
  <c r="BB115" i="62" a="1"/>
  <c r="BB115" i="62"/>
  <c r="AX115" i="62" a="1"/>
  <c r="AX115" i="62"/>
  <c r="AT115" i="62" a="1"/>
  <c r="AT115" i="62"/>
  <c r="AS115" i="62" a="1"/>
  <c r="AS115" i="62"/>
  <c r="AN115" i="62" a="1"/>
  <c r="AN115" i="62"/>
  <c r="AJ115" i="62" a="1"/>
  <c r="AJ115" i="62"/>
  <c r="AF115" i="62" a="1"/>
  <c r="AF115" i="62"/>
  <c r="AB115" i="62" a="1"/>
  <c r="AB115" i="62"/>
  <c r="AA115" i="62" a="1"/>
  <c r="AA115" i="62"/>
  <c r="V115" i="62" a="1"/>
  <c r="V115" i="62"/>
  <c r="R115" i="62" a="1"/>
  <c r="R115" i="62"/>
  <c r="N115" i="62" a="1"/>
  <c r="N115" i="62"/>
  <c r="J115" i="62" a="1"/>
  <c r="J115" i="62"/>
  <c r="I115" i="62" a="1"/>
  <c r="I115" i="62"/>
  <c r="BF114" i="62" a="1"/>
  <c r="BF114" i="62"/>
  <c r="BB114" i="62" a="1"/>
  <c r="BB114" i="62"/>
  <c r="AX114" i="62" a="1"/>
  <c r="AX114" i="62"/>
  <c r="AT114" i="62" a="1"/>
  <c r="AT114" i="62"/>
  <c r="AS114" i="62" a="1"/>
  <c r="AS114" i="62"/>
  <c r="AN114" i="62" a="1"/>
  <c r="AN114" i="62"/>
  <c r="AJ114" i="62" a="1"/>
  <c r="AJ114" i="62"/>
  <c r="AF114" i="62" a="1"/>
  <c r="AF114" i="62"/>
  <c r="AB114" i="62" a="1"/>
  <c r="AB114" i="62"/>
  <c r="AA114" i="62" a="1"/>
  <c r="AA114" i="62"/>
  <c r="V114" i="62" a="1"/>
  <c r="V114" i="62"/>
  <c r="R114" i="62" a="1"/>
  <c r="R114" i="62"/>
  <c r="N114" i="62" a="1"/>
  <c r="N114" i="62"/>
  <c r="J114" i="62" a="1"/>
  <c r="J114" i="62"/>
  <c r="I114" i="62" a="1"/>
  <c r="I114" i="62"/>
  <c r="BF113" i="62" a="1"/>
  <c r="BF113" i="62"/>
  <c r="BB113" i="62" a="1"/>
  <c r="BB113" i="62"/>
  <c r="AX113" i="62" a="1"/>
  <c r="AX113" i="62"/>
  <c r="AT113" i="62" a="1"/>
  <c r="AT113" i="62"/>
  <c r="AS113" i="62" a="1"/>
  <c r="AS113" i="62"/>
  <c r="AN113" i="62" a="1"/>
  <c r="AN113" i="62"/>
  <c r="AJ113" i="62" a="1"/>
  <c r="AJ113" i="62"/>
  <c r="AF113" i="62" a="1"/>
  <c r="AF113" i="62"/>
  <c r="AB113" i="62" a="1"/>
  <c r="AB113" i="62"/>
  <c r="AA113" i="62" a="1"/>
  <c r="AA113" i="62"/>
  <c r="V113" i="62" a="1"/>
  <c r="V113" i="62"/>
  <c r="R113" i="62" a="1"/>
  <c r="R113" i="62"/>
  <c r="N113" i="62" a="1"/>
  <c r="N113" i="62"/>
  <c r="J113" i="62" a="1"/>
  <c r="J113" i="62"/>
  <c r="I113" i="62" a="1"/>
  <c r="I113" i="62"/>
  <c r="BF109" i="62" a="1"/>
  <c r="BF109" i="62"/>
  <c r="BB109" i="62" a="1"/>
  <c r="BB109" i="62"/>
  <c r="AX109" i="62" a="1"/>
  <c r="AX109" i="62"/>
  <c r="AT109" i="62" a="1"/>
  <c r="AT109" i="62"/>
  <c r="AS109" i="62" a="1"/>
  <c r="AS109" i="62"/>
  <c r="AN109" i="62" a="1"/>
  <c r="AN109" i="62"/>
  <c r="AJ109" i="62" a="1"/>
  <c r="AJ109" i="62"/>
  <c r="AF109" i="62" a="1"/>
  <c r="AF109" i="62"/>
  <c r="AB109" i="62" a="1"/>
  <c r="AB109" i="62"/>
  <c r="AA109" i="62" a="1"/>
  <c r="AA109" i="62"/>
  <c r="V109" i="62" a="1"/>
  <c r="V109" i="62"/>
  <c r="R109" i="62" a="1"/>
  <c r="R109" i="62"/>
  <c r="N109" i="62" a="1"/>
  <c r="N109" i="62"/>
  <c r="J109" i="62" a="1"/>
  <c r="J109" i="62"/>
  <c r="I109" i="62" a="1"/>
  <c r="I109" i="62"/>
  <c r="BF108" i="62" a="1"/>
  <c r="BF108" i="62"/>
  <c r="BB108" i="62" a="1"/>
  <c r="BB108" i="62"/>
  <c r="AX108" i="62" a="1"/>
  <c r="AX108" i="62"/>
  <c r="AT108" i="62" a="1"/>
  <c r="AT108" i="62"/>
  <c r="AS108" i="62" a="1"/>
  <c r="AS108" i="62"/>
  <c r="AN108" i="62" a="1"/>
  <c r="AN108" i="62"/>
  <c r="AJ108" i="62" a="1"/>
  <c r="AJ108" i="62"/>
  <c r="AF108" i="62" a="1"/>
  <c r="AF108" i="62"/>
  <c r="AB108" i="62" a="1"/>
  <c r="AB108" i="62"/>
  <c r="AA108" i="62" a="1"/>
  <c r="AA108" i="62"/>
  <c r="V108" i="62" a="1"/>
  <c r="V108" i="62"/>
  <c r="R108" i="62" a="1"/>
  <c r="R108" i="62"/>
  <c r="N108" i="62" a="1"/>
  <c r="N108" i="62"/>
  <c r="J108" i="62" a="1"/>
  <c r="J108" i="62"/>
  <c r="I108" i="62" a="1"/>
  <c r="I108" i="62"/>
  <c r="BF107" i="62" a="1"/>
  <c r="BF107" i="62"/>
  <c r="BB107" i="62" a="1"/>
  <c r="BB107" i="62"/>
  <c r="AX107" i="62" a="1"/>
  <c r="AX107" i="62"/>
  <c r="AT107" i="62" a="1"/>
  <c r="AT107" i="62"/>
  <c r="AS107" i="62" a="1"/>
  <c r="AS107" i="62"/>
  <c r="AN107" i="62" a="1"/>
  <c r="AN107" i="62"/>
  <c r="AJ107" i="62" a="1"/>
  <c r="AJ107" i="62"/>
  <c r="AF107" i="62" a="1"/>
  <c r="AF107" i="62"/>
  <c r="AB107" i="62" a="1"/>
  <c r="AB107" i="62"/>
  <c r="AA107" i="62" a="1"/>
  <c r="AA107" i="62"/>
  <c r="V107" i="62" a="1"/>
  <c r="V107" i="62"/>
  <c r="R107" i="62" a="1"/>
  <c r="R107" i="62"/>
  <c r="N107" i="62" a="1"/>
  <c r="N107" i="62"/>
  <c r="J107" i="62" a="1"/>
  <c r="J107" i="62"/>
  <c r="I107" i="62" a="1"/>
  <c r="I107" i="62"/>
  <c r="BF106" i="62" a="1"/>
  <c r="BF106" i="62"/>
  <c r="BB106" i="62" a="1"/>
  <c r="BB106" i="62"/>
  <c r="AX106" i="62" a="1"/>
  <c r="AX106" i="62"/>
  <c r="AT106" i="62" a="1"/>
  <c r="AT106" i="62"/>
  <c r="AS106" i="62" a="1"/>
  <c r="AS106" i="62"/>
  <c r="AN106" i="62" a="1"/>
  <c r="AN106" i="62"/>
  <c r="AJ106" i="62" a="1"/>
  <c r="AJ106" i="62"/>
  <c r="AF106" i="62" a="1"/>
  <c r="AF106" i="62"/>
  <c r="AB106" i="62" a="1"/>
  <c r="AB106" i="62"/>
  <c r="AA106" i="62" a="1"/>
  <c r="AA106" i="62"/>
  <c r="V106" i="62" a="1"/>
  <c r="V106" i="62"/>
  <c r="R106" i="62" a="1"/>
  <c r="R106" i="62"/>
  <c r="N106" i="62" a="1"/>
  <c r="N106" i="62"/>
  <c r="J106" i="62" a="1"/>
  <c r="J106" i="62"/>
  <c r="I106" i="62" a="1"/>
  <c r="I106" i="62"/>
  <c r="BF105" i="62" a="1"/>
  <c r="BF105" i="62"/>
  <c r="BB105" i="62" a="1"/>
  <c r="BB105" i="62"/>
  <c r="AX105" i="62" a="1"/>
  <c r="AX105" i="62"/>
  <c r="AT105" i="62" a="1"/>
  <c r="AT105" i="62"/>
  <c r="AS105" i="62" a="1"/>
  <c r="AS105" i="62"/>
  <c r="AN105" i="62" a="1"/>
  <c r="AN105" i="62"/>
  <c r="AJ105" i="62" a="1"/>
  <c r="AJ105" i="62"/>
  <c r="AF105" i="62" a="1"/>
  <c r="AF105" i="62"/>
  <c r="AB105" i="62" a="1"/>
  <c r="AB105" i="62"/>
  <c r="AA105" i="62" a="1"/>
  <c r="AA105" i="62"/>
  <c r="V105" i="62" a="1"/>
  <c r="V105" i="62"/>
  <c r="R105" i="62" a="1"/>
  <c r="R105" i="62"/>
  <c r="N105" i="62" a="1"/>
  <c r="N105" i="62"/>
  <c r="J105" i="62" a="1"/>
  <c r="J105" i="62"/>
  <c r="I105" i="62" a="1"/>
  <c r="I105" i="62"/>
  <c r="BF104" i="62" a="1"/>
  <c r="BF104" i="62"/>
  <c r="BB104" i="62" a="1"/>
  <c r="BB104" i="62"/>
  <c r="AX104" i="62" a="1"/>
  <c r="AX104" i="62"/>
  <c r="AT104" i="62" a="1"/>
  <c r="AT104" i="62"/>
  <c r="AS104" i="62" a="1"/>
  <c r="AS104" i="62"/>
  <c r="AN104" i="62" a="1"/>
  <c r="AN104" i="62"/>
  <c r="AJ104" i="62" a="1"/>
  <c r="AJ104" i="62"/>
  <c r="AF104" i="62" a="1"/>
  <c r="AF104" i="62"/>
  <c r="AB104" i="62" a="1"/>
  <c r="AB104" i="62"/>
  <c r="AA104" i="62" a="1"/>
  <c r="AA104" i="62"/>
  <c r="V104" i="62" a="1"/>
  <c r="V104" i="62"/>
  <c r="R104" i="62" a="1"/>
  <c r="R104" i="62"/>
  <c r="N104" i="62" a="1"/>
  <c r="N104" i="62"/>
  <c r="J104" i="62" a="1"/>
  <c r="J104" i="62"/>
  <c r="I104" i="62" a="1"/>
  <c r="I104" i="62"/>
  <c r="BF103" i="62" a="1"/>
  <c r="BF103" i="62"/>
  <c r="BB103" i="62" a="1"/>
  <c r="BB103" i="62"/>
  <c r="AX103" i="62" a="1"/>
  <c r="AX103" i="62"/>
  <c r="AT103" i="62" a="1"/>
  <c r="AT103" i="62"/>
  <c r="AS103" i="62" a="1"/>
  <c r="AS103" i="62"/>
  <c r="AN103" i="62" a="1"/>
  <c r="AN103" i="62"/>
  <c r="AJ103" i="62" a="1"/>
  <c r="AJ103" i="62"/>
  <c r="AF103" i="62" a="1"/>
  <c r="AF103" i="62"/>
  <c r="AB103" i="62" a="1"/>
  <c r="AB103" i="62"/>
  <c r="AA103" i="62" a="1"/>
  <c r="AA103" i="62"/>
  <c r="V103" i="62" a="1"/>
  <c r="V103" i="62"/>
  <c r="R103" i="62" a="1"/>
  <c r="R103" i="62"/>
  <c r="N103" i="62" a="1"/>
  <c r="N103" i="62"/>
  <c r="J103" i="62" a="1"/>
  <c r="J103" i="62"/>
  <c r="I103" i="62" a="1"/>
  <c r="I103" i="62"/>
  <c r="BF102" i="62" a="1"/>
  <c r="BF102" i="62"/>
  <c r="BB102" i="62" a="1"/>
  <c r="BB102" i="62"/>
  <c r="AX102" i="62" a="1"/>
  <c r="AX102" i="62"/>
  <c r="AT102" i="62" a="1"/>
  <c r="AT102" i="62"/>
  <c r="AS102" i="62" a="1"/>
  <c r="AS102" i="62"/>
  <c r="AN102" i="62" a="1"/>
  <c r="AN102" i="62"/>
  <c r="AJ102" i="62" a="1"/>
  <c r="AJ102" i="62"/>
  <c r="AF102" i="62" a="1"/>
  <c r="AF102" i="62"/>
  <c r="AB102" i="62" a="1"/>
  <c r="AB102" i="62"/>
  <c r="AA102" i="62" a="1"/>
  <c r="AA102" i="62"/>
  <c r="V102" i="62" a="1"/>
  <c r="V102" i="62"/>
  <c r="R102" i="62" a="1"/>
  <c r="R102" i="62"/>
  <c r="N102" i="62" a="1"/>
  <c r="N102" i="62"/>
  <c r="J102" i="62" a="1"/>
  <c r="J102" i="62"/>
  <c r="I102" i="62" a="1"/>
  <c r="I102" i="62"/>
  <c r="BF101" i="62" a="1"/>
  <c r="BF101" i="62"/>
  <c r="BB101" i="62" a="1"/>
  <c r="BB101" i="62"/>
  <c r="AX101" i="62" a="1"/>
  <c r="AX101" i="62"/>
  <c r="AT101" i="62" a="1"/>
  <c r="AT101" i="62"/>
  <c r="AS101" i="62" a="1"/>
  <c r="AS101" i="62"/>
  <c r="AN101" i="62" a="1"/>
  <c r="AN101" i="62"/>
  <c r="AJ101" i="62" a="1"/>
  <c r="AJ101" i="62"/>
  <c r="AF101" i="62" a="1"/>
  <c r="AF101" i="62"/>
  <c r="AB101" i="62" a="1"/>
  <c r="AB101" i="62"/>
  <c r="AA101" i="62" a="1"/>
  <c r="AA101" i="62"/>
  <c r="V101" i="62" a="1"/>
  <c r="V101" i="62"/>
  <c r="R101" i="62" a="1"/>
  <c r="R101" i="62"/>
  <c r="N101" i="62" a="1"/>
  <c r="N101" i="62"/>
  <c r="J101" i="62" a="1"/>
  <c r="J101" i="62"/>
  <c r="I101" i="62" a="1"/>
  <c r="I101" i="62"/>
  <c r="BF100" i="62" a="1"/>
  <c r="BF100" i="62"/>
  <c r="BB100" i="62" a="1"/>
  <c r="BB100" i="62"/>
  <c r="AX100" i="62" a="1"/>
  <c r="AX100" i="62"/>
  <c r="AT100" i="62" a="1"/>
  <c r="AT100" i="62"/>
  <c r="AS100" i="62" a="1"/>
  <c r="AS100" i="62"/>
  <c r="AN100" i="62" a="1"/>
  <c r="AN100" i="62"/>
  <c r="AJ100" i="62" a="1"/>
  <c r="AJ100" i="62"/>
  <c r="AF100" i="62" a="1"/>
  <c r="AF100" i="62"/>
  <c r="AB100" i="62" a="1"/>
  <c r="AB100" i="62"/>
  <c r="AA100" i="62" a="1"/>
  <c r="AA100" i="62"/>
  <c r="V100" i="62" a="1"/>
  <c r="V100" i="62"/>
  <c r="R100" i="62" a="1"/>
  <c r="R100" i="62"/>
  <c r="N100" i="62" a="1"/>
  <c r="N100" i="62"/>
  <c r="J100" i="62" a="1"/>
  <c r="J100" i="62"/>
  <c r="I100" i="62" a="1"/>
  <c r="I100" i="62"/>
  <c r="BF99" i="62" a="1"/>
  <c r="BF99" i="62"/>
  <c r="BB99" i="62" a="1"/>
  <c r="BB99" i="62"/>
  <c r="AX99" i="62" a="1"/>
  <c r="AX99" i="62"/>
  <c r="AT99" i="62" a="1"/>
  <c r="AT99" i="62"/>
  <c r="AS99" i="62" a="1"/>
  <c r="AS99" i="62"/>
  <c r="AN99" i="62" a="1"/>
  <c r="AN99" i="62"/>
  <c r="AJ99" i="62" a="1"/>
  <c r="AJ99" i="62"/>
  <c r="AF99" i="62" a="1"/>
  <c r="AF99" i="62"/>
  <c r="AB99" i="62" a="1"/>
  <c r="AB99" i="62"/>
  <c r="AA99" i="62" a="1"/>
  <c r="AA99" i="62"/>
  <c r="V99" i="62" a="1"/>
  <c r="V99" i="62"/>
  <c r="R99" i="62" a="1"/>
  <c r="R99" i="62"/>
  <c r="N99" i="62" a="1"/>
  <c r="N99" i="62"/>
  <c r="J99" i="62" a="1"/>
  <c r="J99" i="62"/>
  <c r="I99" i="62" a="1"/>
  <c r="I99" i="62"/>
  <c r="BF98" i="62" a="1"/>
  <c r="BF98" i="62"/>
  <c r="BB98" i="62" a="1"/>
  <c r="BB98" i="62"/>
  <c r="AX98" i="62" a="1"/>
  <c r="AX98" i="62"/>
  <c r="AT98" i="62" a="1"/>
  <c r="AT98" i="62"/>
  <c r="AS98" i="62" a="1"/>
  <c r="AS98" i="62"/>
  <c r="AN98" i="62" a="1"/>
  <c r="AN98" i="62"/>
  <c r="AJ98" i="62" a="1"/>
  <c r="AJ98" i="62"/>
  <c r="AF98" i="62" a="1"/>
  <c r="AF98" i="62"/>
  <c r="AB98" i="62" a="1"/>
  <c r="AB98" i="62"/>
  <c r="AA98" i="62" a="1"/>
  <c r="AA98" i="62"/>
  <c r="V98" i="62" a="1"/>
  <c r="V98" i="62"/>
  <c r="R98" i="62" a="1"/>
  <c r="R98" i="62"/>
  <c r="N98" i="62" a="1"/>
  <c r="N98" i="62"/>
  <c r="J98" i="62" a="1"/>
  <c r="J98" i="62"/>
  <c r="I98" i="62" a="1"/>
  <c r="I98" i="62"/>
  <c r="BF97" i="62" a="1"/>
  <c r="BF97" i="62"/>
  <c r="BB97" i="62" a="1"/>
  <c r="BB97" i="62"/>
  <c r="AX97" i="62" a="1"/>
  <c r="AX97" i="62"/>
  <c r="AT97" i="62" a="1"/>
  <c r="AT97" i="62"/>
  <c r="AS97" i="62" a="1"/>
  <c r="AS97" i="62"/>
  <c r="AN97" i="62" a="1"/>
  <c r="AN97" i="62"/>
  <c r="AJ97" i="62" a="1"/>
  <c r="AJ97" i="62"/>
  <c r="AF97" i="62" a="1"/>
  <c r="AF97" i="62"/>
  <c r="AB97" i="62" a="1"/>
  <c r="AB97" i="62"/>
  <c r="AA97" i="62" a="1"/>
  <c r="AA97" i="62"/>
  <c r="V97" i="62" a="1"/>
  <c r="V97" i="62"/>
  <c r="R97" i="62" a="1"/>
  <c r="R97" i="62"/>
  <c r="N97" i="62" a="1"/>
  <c r="N97" i="62"/>
  <c r="J97" i="62" a="1"/>
  <c r="J97" i="62"/>
  <c r="I97" i="62" a="1"/>
  <c r="I97" i="62"/>
  <c r="BF96" i="62" a="1"/>
  <c r="BF96" i="62"/>
  <c r="BB96" i="62" a="1"/>
  <c r="BB96" i="62"/>
  <c r="AX96" i="62" a="1"/>
  <c r="AX96" i="62"/>
  <c r="AT96" i="62" a="1"/>
  <c r="AT96" i="62"/>
  <c r="AS96" i="62" a="1"/>
  <c r="AS96" i="62"/>
  <c r="AN96" i="62" a="1"/>
  <c r="AN96" i="62"/>
  <c r="AJ96" i="62" a="1"/>
  <c r="AJ96" i="62"/>
  <c r="AF96" i="62" a="1"/>
  <c r="AF96" i="62"/>
  <c r="AB96" i="62" a="1"/>
  <c r="AB96" i="62"/>
  <c r="AA96" i="62" a="1"/>
  <c r="AA96" i="62"/>
  <c r="V96" i="62" a="1"/>
  <c r="V96" i="62"/>
  <c r="R96" i="62" a="1"/>
  <c r="R96" i="62"/>
  <c r="N96" i="62" a="1"/>
  <c r="N96" i="62"/>
  <c r="J96" i="62" a="1"/>
  <c r="J96" i="62"/>
  <c r="I96" i="62" a="1"/>
  <c r="I96" i="62"/>
  <c r="BF95" i="62" a="1"/>
  <c r="BF95" i="62"/>
  <c r="BB95" i="62" a="1"/>
  <c r="BB95" i="62"/>
  <c r="AX95" i="62" a="1"/>
  <c r="AX95" i="62"/>
  <c r="AT95" i="62" a="1"/>
  <c r="AT95" i="62"/>
  <c r="AS95" i="62" a="1"/>
  <c r="AS95" i="62"/>
  <c r="AN95" i="62" a="1"/>
  <c r="AN95" i="62"/>
  <c r="AJ95" i="62" a="1"/>
  <c r="AJ95" i="62"/>
  <c r="AF95" i="62" a="1"/>
  <c r="AF95" i="62"/>
  <c r="AB95" i="62" a="1"/>
  <c r="AB95" i="62"/>
  <c r="AA95" i="62" a="1"/>
  <c r="AA95" i="62"/>
  <c r="V95" i="62" a="1"/>
  <c r="V95" i="62"/>
  <c r="R95" i="62" a="1"/>
  <c r="R95" i="62"/>
  <c r="N95" i="62" a="1"/>
  <c r="N95" i="62"/>
  <c r="J95" i="62" a="1"/>
  <c r="J95" i="62"/>
  <c r="I95" i="62" a="1"/>
  <c r="I95" i="62"/>
  <c r="BF94" i="62" a="1"/>
  <c r="BF94" i="62"/>
  <c r="BB94" i="62" a="1"/>
  <c r="BB94" i="62"/>
  <c r="AX94" i="62" a="1"/>
  <c r="AX94" i="62"/>
  <c r="AT94" i="62" a="1"/>
  <c r="AT94" i="62"/>
  <c r="AS94" i="62" a="1"/>
  <c r="AS94" i="62"/>
  <c r="AN94" i="62" a="1"/>
  <c r="AN94" i="62"/>
  <c r="AJ94" i="62" a="1"/>
  <c r="AJ94" i="62"/>
  <c r="AF94" i="62" a="1"/>
  <c r="AF94" i="62"/>
  <c r="AB94" i="62" a="1"/>
  <c r="AB94" i="62"/>
  <c r="AA94" i="62" a="1"/>
  <c r="AA94" i="62"/>
  <c r="V94" i="62" a="1"/>
  <c r="V94" i="62"/>
  <c r="R94" i="62" a="1"/>
  <c r="R94" i="62"/>
  <c r="N94" i="62" a="1"/>
  <c r="N94" i="62"/>
  <c r="J94" i="62" a="1"/>
  <c r="J94" i="62"/>
  <c r="I94" i="62" a="1"/>
  <c r="I94" i="62"/>
  <c r="BF93" i="62" a="1"/>
  <c r="BF93" i="62"/>
  <c r="BB93" i="62" a="1"/>
  <c r="BB93" i="62"/>
  <c r="AX93" i="62" a="1"/>
  <c r="AX93" i="62"/>
  <c r="AT93" i="62" a="1"/>
  <c r="AT93" i="62"/>
  <c r="AS93" i="62" a="1"/>
  <c r="AS93" i="62"/>
  <c r="AN93" i="62" a="1"/>
  <c r="AN93" i="62"/>
  <c r="AJ93" i="62" a="1"/>
  <c r="AJ93" i="62"/>
  <c r="AF93" i="62" a="1"/>
  <c r="AF93" i="62"/>
  <c r="AB93" i="62" a="1"/>
  <c r="AB93" i="62"/>
  <c r="AA93" i="62" a="1"/>
  <c r="AA93" i="62"/>
  <c r="V93" i="62" a="1"/>
  <c r="V93" i="62"/>
  <c r="R93" i="62" a="1"/>
  <c r="R93" i="62"/>
  <c r="N93" i="62" a="1"/>
  <c r="N93" i="62"/>
  <c r="J93" i="62" a="1"/>
  <c r="J93" i="62"/>
  <c r="I93" i="62" a="1"/>
  <c r="I93" i="62"/>
  <c r="BF92" i="62" a="1"/>
  <c r="BF92" i="62"/>
  <c r="BB92" i="62" a="1"/>
  <c r="BB92" i="62"/>
  <c r="AX92" i="62" a="1"/>
  <c r="AX92" i="62"/>
  <c r="AT92" i="62" a="1"/>
  <c r="AT92" i="62"/>
  <c r="AS92" i="62" a="1"/>
  <c r="AS92" i="62"/>
  <c r="AN92" i="62" a="1"/>
  <c r="AN92" i="62"/>
  <c r="AJ92" i="62" a="1"/>
  <c r="AJ92" i="62"/>
  <c r="AF92" i="62" a="1"/>
  <c r="AF92" i="62"/>
  <c r="AB92" i="62" a="1"/>
  <c r="AB92" i="62"/>
  <c r="AA92" i="62" a="1"/>
  <c r="AA92" i="62"/>
  <c r="V92" i="62" a="1"/>
  <c r="V92" i="62"/>
  <c r="R92" i="62" a="1"/>
  <c r="R92" i="62"/>
  <c r="N92" i="62" a="1"/>
  <c r="N92" i="62"/>
  <c r="J92" i="62" a="1"/>
  <c r="J92" i="62"/>
  <c r="I92" i="62" a="1"/>
  <c r="I92" i="62"/>
  <c r="BF91" i="62" a="1"/>
  <c r="BF91" i="62"/>
  <c r="BB91" i="62" a="1"/>
  <c r="BB91" i="62"/>
  <c r="AX91" i="62" a="1"/>
  <c r="AX91" i="62"/>
  <c r="AT91" i="62" a="1"/>
  <c r="AT91" i="62"/>
  <c r="AS91" i="62" a="1"/>
  <c r="AS91" i="62"/>
  <c r="AN91" i="62" a="1"/>
  <c r="AN91" i="62"/>
  <c r="AJ91" i="62" a="1"/>
  <c r="AJ91" i="62"/>
  <c r="AF91" i="62" a="1"/>
  <c r="AF91" i="62"/>
  <c r="AB91" i="62" a="1"/>
  <c r="AB91" i="62"/>
  <c r="AA91" i="62" a="1"/>
  <c r="AA91" i="62"/>
  <c r="V91" i="62" a="1"/>
  <c r="V91" i="62"/>
  <c r="R91" i="62" a="1"/>
  <c r="R91" i="62"/>
  <c r="N91" i="62" a="1"/>
  <c r="N91" i="62"/>
  <c r="J91" i="62" a="1"/>
  <c r="J91" i="62"/>
  <c r="I91" i="62" a="1"/>
  <c r="I91" i="62"/>
  <c r="BF90" i="62" a="1"/>
  <c r="BF90" i="62"/>
  <c r="BB90" i="62" a="1"/>
  <c r="BB90" i="62"/>
  <c r="AX90" i="62" a="1"/>
  <c r="AX90" i="62"/>
  <c r="AT90" i="62" a="1"/>
  <c r="AT90" i="62"/>
  <c r="AS90" i="62" a="1"/>
  <c r="AS90" i="62"/>
  <c r="AN90" i="62" a="1"/>
  <c r="AN90" i="62"/>
  <c r="AJ90" i="62" a="1"/>
  <c r="AJ90" i="62"/>
  <c r="AF90" i="62" a="1"/>
  <c r="AF90" i="62"/>
  <c r="AB90" i="62" a="1"/>
  <c r="AB90" i="62"/>
  <c r="AA90" i="62" a="1"/>
  <c r="AA90" i="62"/>
  <c r="V90" i="62" a="1"/>
  <c r="V90" i="62"/>
  <c r="R90" i="62" a="1"/>
  <c r="R90" i="62"/>
  <c r="N90" i="62" a="1"/>
  <c r="N90" i="62"/>
  <c r="J90" i="62" a="1"/>
  <c r="J90" i="62"/>
  <c r="I90" i="62" a="1"/>
  <c r="I90" i="62"/>
  <c r="BF89" i="62" a="1"/>
  <c r="BF89" i="62"/>
  <c r="BB89" i="62" a="1"/>
  <c r="BB89" i="62"/>
  <c r="AX89" i="62" a="1"/>
  <c r="AX89" i="62"/>
  <c r="AT89" i="62" a="1"/>
  <c r="AT89" i="62"/>
  <c r="AS89" i="62" a="1"/>
  <c r="AS89" i="62"/>
  <c r="AN89" i="62" a="1"/>
  <c r="AN89" i="62"/>
  <c r="AJ89" i="62" a="1"/>
  <c r="AJ89" i="62"/>
  <c r="AF89" i="62" a="1"/>
  <c r="AF89" i="62"/>
  <c r="AB89" i="62" a="1"/>
  <c r="AB89" i="62"/>
  <c r="AA89" i="62" a="1"/>
  <c r="AA89" i="62"/>
  <c r="V89" i="62" a="1"/>
  <c r="V89" i="62"/>
  <c r="R89" i="62" a="1"/>
  <c r="R89" i="62"/>
  <c r="N89" i="62" a="1"/>
  <c r="N89" i="62"/>
  <c r="J89" i="62" a="1"/>
  <c r="J89" i="62"/>
  <c r="I89" i="62" a="1"/>
  <c r="I89" i="62"/>
  <c r="BF88" i="62" a="1"/>
  <c r="BF88" i="62"/>
  <c r="BB88" i="62" a="1"/>
  <c r="BB88" i="62"/>
  <c r="AX88" i="62" a="1"/>
  <c r="AX88" i="62"/>
  <c r="AT88" i="62" a="1"/>
  <c r="AT88" i="62"/>
  <c r="AS88" i="62" a="1"/>
  <c r="AS88" i="62"/>
  <c r="AN88" i="62" a="1"/>
  <c r="AN88" i="62"/>
  <c r="AJ88" i="62" a="1"/>
  <c r="AJ88" i="62"/>
  <c r="AF88" i="62" a="1"/>
  <c r="AF88" i="62"/>
  <c r="AB88" i="62" a="1"/>
  <c r="AB88" i="62"/>
  <c r="AA88" i="62" a="1"/>
  <c r="AA88" i="62"/>
  <c r="V88" i="62" a="1"/>
  <c r="V88" i="62"/>
  <c r="R88" i="62" a="1"/>
  <c r="R88" i="62"/>
  <c r="N88" i="62" a="1"/>
  <c r="N88" i="62"/>
  <c r="J88" i="62" a="1"/>
  <c r="J88" i="62"/>
  <c r="I88" i="62" a="1"/>
  <c r="I88" i="62"/>
  <c r="BF87" i="62" a="1"/>
  <c r="BF87" i="62"/>
  <c r="BB87" i="62" a="1"/>
  <c r="BB87" i="62"/>
  <c r="AX87" i="62" a="1"/>
  <c r="AX87" i="62"/>
  <c r="AT87" i="62" a="1"/>
  <c r="AT87" i="62"/>
  <c r="AS87" i="62" a="1"/>
  <c r="AS87" i="62"/>
  <c r="AN87" i="62" a="1"/>
  <c r="AN87" i="62"/>
  <c r="AJ87" i="62" a="1"/>
  <c r="AJ87" i="62"/>
  <c r="AF87" i="62" a="1"/>
  <c r="AF87" i="62"/>
  <c r="AB87" i="62" a="1"/>
  <c r="AB87" i="62"/>
  <c r="AA87" i="62" a="1"/>
  <c r="AA87" i="62"/>
  <c r="V87" i="62" a="1"/>
  <c r="V87" i="62"/>
  <c r="R87" i="62" a="1"/>
  <c r="R87" i="62"/>
  <c r="N87" i="62" a="1"/>
  <c r="N87" i="62"/>
  <c r="J87" i="62" a="1"/>
  <c r="J87" i="62"/>
  <c r="I87" i="62" a="1"/>
  <c r="I87" i="62"/>
  <c r="BF86" i="62" a="1"/>
  <c r="BF86" i="62"/>
  <c r="BB86" i="62" a="1"/>
  <c r="BB86" i="62"/>
  <c r="AX86" i="62" a="1"/>
  <c r="AX86" i="62"/>
  <c r="AT86" i="62" a="1"/>
  <c r="AT86" i="62"/>
  <c r="AS86" i="62" a="1"/>
  <c r="AS86" i="62"/>
  <c r="AN86" i="62" a="1"/>
  <c r="AN86" i="62"/>
  <c r="AJ86" i="62" a="1"/>
  <c r="AJ86" i="62"/>
  <c r="AF86" i="62" a="1"/>
  <c r="AF86" i="62"/>
  <c r="AB86" i="62" a="1"/>
  <c r="AB86" i="62"/>
  <c r="AA86" i="62" a="1"/>
  <c r="AA86" i="62"/>
  <c r="V86" i="62" a="1"/>
  <c r="V86" i="62"/>
  <c r="R86" i="62" a="1"/>
  <c r="R86" i="62"/>
  <c r="N86" i="62" a="1"/>
  <c r="N86" i="62"/>
  <c r="J86" i="62" a="1"/>
  <c r="J86" i="62"/>
  <c r="I86" i="62" a="1"/>
  <c r="I86" i="62"/>
  <c r="BF85" i="62" a="1"/>
  <c r="BF85" i="62"/>
  <c r="BB85" i="62" a="1"/>
  <c r="BB85" i="62"/>
  <c r="AX85" i="62" a="1"/>
  <c r="AX85" i="62"/>
  <c r="AT85" i="62" a="1"/>
  <c r="AT85" i="62"/>
  <c r="AS85" i="62" a="1"/>
  <c r="AS85" i="62"/>
  <c r="AN85" i="62" a="1"/>
  <c r="AN85" i="62"/>
  <c r="AJ85" i="62" a="1"/>
  <c r="AJ85" i="62"/>
  <c r="AF85" i="62" a="1"/>
  <c r="AF85" i="62"/>
  <c r="AB85" i="62" a="1"/>
  <c r="AB85" i="62"/>
  <c r="AA85" i="62" a="1"/>
  <c r="AA85" i="62"/>
  <c r="V85" i="62" a="1"/>
  <c r="V85" i="62"/>
  <c r="R85" i="62" a="1"/>
  <c r="R85" i="62"/>
  <c r="N85" i="62" a="1"/>
  <c r="N85" i="62"/>
  <c r="J85" i="62" a="1"/>
  <c r="J85" i="62"/>
  <c r="I85" i="62" a="1"/>
  <c r="I85" i="62"/>
  <c r="BF84" i="62" a="1"/>
  <c r="BF84" i="62"/>
  <c r="BB84" i="62" a="1"/>
  <c r="BB84" i="62"/>
  <c r="AX84" i="62" a="1"/>
  <c r="AX84" i="62"/>
  <c r="AT84" i="62" a="1"/>
  <c r="AT84" i="62"/>
  <c r="AS84" i="62" a="1"/>
  <c r="AS84" i="62"/>
  <c r="AN84" i="62" a="1"/>
  <c r="AN84" i="62"/>
  <c r="AJ84" i="62" a="1"/>
  <c r="AJ84" i="62"/>
  <c r="AF84" i="62" a="1"/>
  <c r="AF84" i="62"/>
  <c r="AB84" i="62" a="1"/>
  <c r="AB84" i="62"/>
  <c r="AA84" i="62" a="1"/>
  <c r="AA84" i="62"/>
  <c r="V84" i="62" a="1"/>
  <c r="V84" i="62"/>
  <c r="R84" i="62" a="1"/>
  <c r="R84" i="62"/>
  <c r="N84" i="62" a="1"/>
  <c r="N84" i="62"/>
  <c r="J84" i="62" a="1"/>
  <c r="J84" i="62"/>
  <c r="I84" i="62" a="1"/>
  <c r="I84" i="62"/>
  <c r="BF83" i="62" a="1"/>
  <c r="BF83" i="62"/>
  <c r="BB83" i="62" a="1"/>
  <c r="BB83" i="62"/>
  <c r="AX83" i="62" a="1"/>
  <c r="AX83" i="62"/>
  <c r="AT83" i="62" a="1"/>
  <c r="AT83" i="62"/>
  <c r="AS83" i="62" a="1"/>
  <c r="AS83" i="62"/>
  <c r="AN83" i="62" a="1"/>
  <c r="AN83" i="62"/>
  <c r="AJ83" i="62" a="1"/>
  <c r="AJ83" i="62"/>
  <c r="AF83" i="62" a="1"/>
  <c r="AF83" i="62"/>
  <c r="AB83" i="62" a="1"/>
  <c r="AB83" i="62"/>
  <c r="AA83" i="62" a="1"/>
  <c r="AA83" i="62"/>
  <c r="V83" i="62" a="1"/>
  <c r="V83" i="62"/>
  <c r="R83" i="62" a="1"/>
  <c r="R83" i="62"/>
  <c r="N83" i="62" a="1"/>
  <c r="N83" i="62"/>
  <c r="J83" i="62" a="1"/>
  <c r="J83" i="62"/>
  <c r="I83" i="62" a="1"/>
  <c r="I83" i="62"/>
  <c r="BF82" i="62" a="1"/>
  <c r="BF82" i="62"/>
  <c r="BB82" i="62" a="1"/>
  <c r="BB82" i="62"/>
  <c r="AX82" i="62" a="1"/>
  <c r="AX82" i="62"/>
  <c r="AT82" i="62" a="1"/>
  <c r="AT82" i="62"/>
  <c r="AS82" i="62" a="1"/>
  <c r="AS82" i="62"/>
  <c r="AN82" i="62" a="1"/>
  <c r="AN82" i="62"/>
  <c r="AJ82" i="62" a="1"/>
  <c r="AJ82" i="62"/>
  <c r="AF82" i="62" a="1"/>
  <c r="AF82" i="62"/>
  <c r="AB82" i="62" a="1"/>
  <c r="AB82" i="62"/>
  <c r="AA82" i="62" a="1"/>
  <c r="AA82" i="62"/>
  <c r="V82" i="62" a="1"/>
  <c r="V82" i="62"/>
  <c r="R82" i="62" a="1"/>
  <c r="R82" i="62"/>
  <c r="N82" i="62" a="1"/>
  <c r="N82" i="62"/>
  <c r="J82" i="62" a="1"/>
  <c r="J82" i="62"/>
  <c r="I82" i="62" a="1"/>
  <c r="I82" i="62"/>
  <c r="BF81" i="62" a="1"/>
  <c r="BF81" i="62"/>
  <c r="BB81" i="62" a="1"/>
  <c r="BB81" i="62"/>
  <c r="AX81" i="62" a="1"/>
  <c r="AX81" i="62"/>
  <c r="AT81" i="62" a="1"/>
  <c r="AT81" i="62"/>
  <c r="AS81" i="62" a="1"/>
  <c r="AS81" i="62"/>
  <c r="AN81" i="62" a="1"/>
  <c r="AN81" i="62"/>
  <c r="AJ81" i="62" a="1"/>
  <c r="AJ81" i="62"/>
  <c r="AF81" i="62" a="1"/>
  <c r="AF81" i="62"/>
  <c r="AB81" i="62" a="1"/>
  <c r="AB81" i="62"/>
  <c r="AA81" i="62" a="1"/>
  <c r="AA81" i="62"/>
  <c r="V81" i="62" a="1"/>
  <c r="V81" i="62"/>
  <c r="R81" i="62" a="1"/>
  <c r="R81" i="62"/>
  <c r="N81" i="62" a="1"/>
  <c r="N81" i="62"/>
  <c r="J81" i="62" a="1"/>
  <c r="J81" i="62"/>
  <c r="I81" i="62" a="1"/>
  <c r="I81" i="62"/>
  <c r="BF80" i="62" a="1"/>
  <c r="BF80" i="62"/>
  <c r="BB80" i="62" a="1"/>
  <c r="BB80" i="62"/>
  <c r="AX80" i="62" a="1"/>
  <c r="AX80" i="62"/>
  <c r="AT80" i="62" a="1"/>
  <c r="AT80" i="62"/>
  <c r="AS80" i="62" a="1"/>
  <c r="AS80" i="62"/>
  <c r="AN80" i="62" a="1"/>
  <c r="AN80" i="62"/>
  <c r="AJ80" i="62" a="1"/>
  <c r="AJ80" i="62"/>
  <c r="AF80" i="62" a="1"/>
  <c r="AF80" i="62"/>
  <c r="AB80" i="62" a="1"/>
  <c r="AB80" i="62"/>
  <c r="AA80" i="62" a="1"/>
  <c r="AA80" i="62"/>
  <c r="V80" i="62" a="1"/>
  <c r="V80" i="62"/>
  <c r="R80" i="62" a="1"/>
  <c r="R80" i="62"/>
  <c r="N80" i="62" a="1"/>
  <c r="N80" i="62"/>
  <c r="J80" i="62" a="1"/>
  <c r="J80" i="62"/>
  <c r="I80" i="62" a="1"/>
  <c r="I80" i="62"/>
  <c r="BF79" i="62" a="1"/>
  <c r="BF79" i="62"/>
  <c r="BB79" i="62" a="1"/>
  <c r="BB79" i="62"/>
  <c r="AX79" i="62" a="1"/>
  <c r="AX79" i="62"/>
  <c r="AT79" i="62" a="1"/>
  <c r="AT79" i="62"/>
  <c r="AS79" i="62" a="1"/>
  <c r="AS79" i="62"/>
  <c r="AN79" i="62" a="1"/>
  <c r="AN79" i="62"/>
  <c r="AJ79" i="62" a="1"/>
  <c r="AJ79" i="62"/>
  <c r="AF79" i="62" a="1"/>
  <c r="AF79" i="62"/>
  <c r="AB79" i="62" a="1"/>
  <c r="AB79" i="62"/>
  <c r="AA79" i="62" a="1"/>
  <c r="AA79" i="62"/>
  <c r="V79" i="62" a="1"/>
  <c r="V79" i="62"/>
  <c r="R79" i="62" a="1"/>
  <c r="R79" i="62"/>
  <c r="N79" i="62" a="1"/>
  <c r="N79" i="62"/>
  <c r="J79" i="62" a="1"/>
  <c r="J79" i="62"/>
  <c r="I79" i="62" a="1"/>
  <c r="I79" i="62"/>
  <c r="BF78" i="62" a="1"/>
  <c r="BF78" i="62"/>
  <c r="BB78" i="62" a="1"/>
  <c r="BB78" i="62"/>
  <c r="AX78" i="62" a="1"/>
  <c r="AX78" i="62"/>
  <c r="AT78" i="62" a="1"/>
  <c r="AT78" i="62"/>
  <c r="AS78" i="62" a="1"/>
  <c r="AS78" i="62"/>
  <c r="AN78" i="62" a="1"/>
  <c r="AN78" i="62"/>
  <c r="AJ78" i="62" a="1"/>
  <c r="AJ78" i="62"/>
  <c r="AF78" i="62" a="1"/>
  <c r="AF78" i="62"/>
  <c r="AB78" i="62" a="1"/>
  <c r="AB78" i="62"/>
  <c r="AA78" i="62" a="1"/>
  <c r="AA78" i="62"/>
  <c r="V78" i="62" a="1"/>
  <c r="V78" i="62"/>
  <c r="R78" i="62" a="1"/>
  <c r="R78" i="62"/>
  <c r="N78" i="62" a="1"/>
  <c r="N78" i="62"/>
  <c r="J78" i="62" a="1"/>
  <c r="J78" i="62"/>
  <c r="I78" i="62" a="1"/>
  <c r="I78" i="62"/>
  <c r="BF77" i="62" a="1"/>
  <c r="BF77" i="62"/>
  <c r="BB77" i="62" a="1"/>
  <c r="BB77" i="62"/>
  <c r="AX77" i="62" a="1"/>
  <c r="AX77" i="62"/>
  <c r="AT77" i="62" a="1"/>
  <c r="AT77" i="62"/>
  <c r="AS77" i="62" a="1"/>
  <c r="AS77" i="62"/>
  <c r="AN77" i="62" a="1"/>
  <c r="AN77" i="62"/>
  <c r="AJ77" i="62" a="1"/>
  <c r="AJ77" i="62"/>
  <c r="AF77" i="62" a="1"/>
  <c r="AF77" i="62"/>
  <c r="AB77" i="62" a="1"/>
  <c r="AB77" i="62"/>
  <c r="AA77" i="62" a="1"/>
  <c r="AA77" i="62"/>
  <c r="V77" i="62" a="1"/>
  <c r="V77" i="62"/>
  <c r="R77" i="62" a="1"/>
  <c r="R77" i="62"/>
  <c r="N77" i="62" a="1"/>
  <c r="N77" i="62"/>
  <c r="J77" i="62" a="1"/>
  <c r="J77" i="62"/>
  <c r="I77" i="62" a="1"/>
  <c r="I77" i="62"/>
  <c r="BF76" i="62" a="1"/>
  <c r="BF76" i="62"/>
  <c r="BB76" i="62" a="1"/>
  <c r="BB76" i="62"/>
  <c r="AX76" i="62" a="1"/>
  <c r="AX76" i="62"/>
  <c r="AT76" i="62" a="1"/>
  <c r="AT76" i="62"/>
  <c r="AS76" i="62" a="1"/>
  <c r="AS76" i="62"/>
  <c r="AN76" i="62" a="1"/>
  <c r="AN76" i="62"/>
  <c r="AJ76" i="62" a="1"/>
  <c r="AJ76" i="62"/>
  <c r="AF76" i="62" a="1"/>
  <c r="AF76" i="62"/>
  <c r="AB76" i="62" a="1"/>
  <c r="AB76" i="62"/>
  <c r="AA76" i="62" a="1"/>
  <c r="AA76" i="62"/>
  <c r="V76" i="62" a="1"/>
  <c r="V76" i="62"/>
  <c r="R76" i="62" a="1"/>
  <c r="R76" i="62"/>
  <c r="N76" i="62" a="1"/>
  <c r="N76" i="62"/>
  <c r="J76" i="62" a="1"/>
  <c r="J76" i="62"/>
  <c r="I76" i="62" a="1"/>
  <c r="I76" i="62"/>
  <c r="BF75" i="62" a="1"/>
  <c r="BF75" i="62"/>
  <c r="BB75" i="62" a="1"/>
  <c r="BB75" i="62"/>
  <c r="AX75" i="62" a="1"/>
  <c r="AX75" i="62"/>
  <c r="AT75" i="62" a="1"/>
  <c r="AT75" i="62"/>
  <c r="AS75" i="62" a="1"/>
  <c r="AS75" i="62"/>
  <c r="AN75" i="62" a="1"/>
  <c r="AN75" i="62"/>
  <c r="AJ75" i="62" a="1"/>
  <c r="AJ75" i="62"/>
  <c r="AF75" i="62" a="1"/>
  <c r="AF75" i="62"/>
  <c r="AB75" i="62" a="1"/>
  <c r="AB75" i="62"/>
  <c r="AA75" i="62" a="1"/>
  <c r="AA75" i="62"/>
  <c r="V75" i="62" a="1"/>
  <c r="V75" i="62"/>
  <c r="R75" i="62" a="1"/>
  <c r="R75" i="62"/>
  <c r="N75" i="62" a="1"/>
  <c r="N75" i="62"/>
  <c r="J75" i="62" a="1"/>
  <c r="J75" i="62"/>
  <c r="I75" i="62" a="1"/>
  <c r="I75" i="62"/>
  <c r="BF74" i="62" a="1"/>
  <c r="BF74" i="62"/>
  <c r="BB74" i="62" a="1"/>
  <c r="BB74" i="62"/>
  <c r="AX74" i="62" a="1"/>
  <c r="AX74" i="62"/>
  <c r="AT74" i="62" a="1"/>
  <c r="AT74" i="62"/>
  <c r="AS74" i="62" a="1"/>
  <c r="AS74" i="62"/>
  <c r="AN74" i="62" a="1"/>
  <c r="AN74" i="62"/>
  <c r="AJ74" i="62" a="1"/>
  <c r="AJ74" i="62"/>
  <c r="AF74" i="62" a="1"/>
  <c r="AF74" i="62"/>
  <c r="AB74" i="62" a="1"/>
  <c r="AB74" i="62"/>
  <c r="AA74" i="62" a="1"/>
  <c r="AA74" i="62"/>
  <c r="V74" i="62" a="1"/>
  <c r="V74" i="62"/>
  <c r="R74" i="62" a="1"/>
  <c r="R74" i="62"/>
  <c r="N74" i="62" a="1"/>
  <c r="N74" i="62"/>
  <c r="J74" i="62" a="1"/>
  <c r="J74" i="62"/>
  <c r="I74" i="62" a="1"/>
  <c r="I74" i="62"/>
  <c r="BF73" i="62" a="1"/>
  <c r="BF73" i="62"/>
  <c r="BB73" i="62" a="1"/>
  <c r="BB73" i="62"/>
  <c r="AX73" i="62" a="1"/>
  <c r="AX73" i="62"/>
  <c r="AT73" i="62" a="1"/>
  <c r="AT73" i="62"/>
  <c r="AS73" i="62" a="1"/>
  <c r="AS73" i="62"/>
  <c r="AN73" i="62" a="1"/>
  <c r="AN73" i="62"/>
  <c r="AJ73" i="62" a="1"/>
  <c r="AJ73" i="62"/>
  <c r="AF73" i="62" a="1"/>
  <c r="AF73" i="62"/>
  <c r="AB73" i="62" a="1"/>
  <c r="AB73" i="62"/>
  <c r="AA73" i="62" a="1"/>
  <c r="AA73" i="62"/>
  <c r="V73" i="62" a="1"/>
  <c r="V73" i="62"/>
  <c r="R73" i="62" a="1"/>
  <c r="R73" i="62"/>
  <c r="N73" i="62" a="1"/>
  <c r="N73" i="62"/>
  <c r="J73" i="62" a="1"/>
  <c r="J73" i="62"/>
  <c r="I73" i="62" a="1"/>
  <c r="I73" i="62"/>
  <c r="BF72" i="62" a="1"/>
  <c r="BF72" i="62"/>
  <c r="BB72" i="62" a="1"/>
  <c r="BB72" i="62"/>
  <c r="AX72" i="62" a="1"/>
  <c r="AX72" i="62"/>
  <c r="AT72" i="62" a="1"/>
  <c r="AT72" i="62"/>
  <c r="AS72" i="62" a="1"/>
  <c r="AS72" i="62"/>
  <c r="AN72" i="62" a="1"/>
  <c r="AN72" i="62"/>
  <c r="AJ72" i="62" a="1"/>
  <c r="AJ72" i="62"/>
  <c r="AF72" i="62" a="1"/>
  <c r="AF72" i="62"/>
  <c r="AB72" i="62" a="1"/>
  <c r="AB72" i="62"/>
  <c r="AA72" i="62" a="1"/>
  <c r="AA72" i="62"/>
  <c r="V72" i="62" a="1"/>
  <c r="V72" i="62"/>
  <c r="R72" i="62" a="1"/>
  <c r="R72" i="62"/>
  <c r="N72" i="62" a="1"/>
  <c r="N72" i="62"/>
  <c r="J72" i="62" a="1"/>
  <c r="J72" i="62"/>
  <c r="I72" i="62" a="1"/>
  <c r="I72" i="62"/>
  <c r="BF71" i="62" a="1"/>
  <c r="BF71" i="62"/>
  <c r="BB71" i="62" a="1"/>
  <c r="BB71" i="62"/>
  <c r="AX71" i="62" a="1"/>
  <c r="AX71" i="62"/>
  <c r="AT71" i="62" a="1"/>
  <c r="AT71" i="62"/>
  <c r="AS71" i="62" a="1"/>
  <c r="AS71" i="62"/>
  <c r="AN71" i="62" a="1"/>
  <c r="AN71" i="62"/>
  <c r="AJ71" i="62" a="1"/>
  <c r="AJ71" i="62"/>
  <c r="AF71" i="62" a="1"/>
  <c r="AF71" i="62"/>
  <c r="AB71" i="62" a="1"/>
  <c r="AB71" i="62"/>
  <c r="AA71" i="62" a="1"/>
  <c r="AA71" i="62"/>
  <c r="V71" i="62" a="1"/>
  <c r="V71" i="62"/>
  <c r="R71" i="62" a="1"/>
  <c r="R71" i="62"/>
  <c r="N71" i="62" a="1"/>
  <c r="N71" i="62"/>
  <c r="J71" i="62" a="1"/>
  <c r="J71" i="62"/>
  <c r="I71" i="62" a="1"/>
  <c r="I71" i="62"/>
  <c r="BF70" i="62" a="1"/>
  <c r="BF70" i="62"/>
  <c r="BB70" i="62" a="1"/>
  <c r="BB70" i="62"/>
  <c r="AX70" i="62" a="1"/>
  <c r="AX70" i="62"/>
  <c r="AT70" i="62" a="1"/>
  <c r="AT70" i="62"/>
  <c r="AS70" i="62" a="1"/>
  <c r="AS70" i="62"/>
  <c r="AN70" i="62" a="1"/>
  <c r="AN70" i="62"/>
  <c r="AJ70" i="62" a="1"/>
  <c r="AJ70" i="62"/>
  <c r="AF70" i="62" a="1"/>
  <c r="AF70" i="62"/>
  <c r="AB70" i="62" a="1"/>
  <c r="AB70" i="62"/>
  <c r="AA70" i="62" a="1"/>
  <c r="AA70" i="62"/>
  <c r="V70" i="62" a="1"/>
  <c r="V70" i="62"/>
  <c r="R70" i="62" a="1"/>
  <c r="R70" i="62"/>
  <c r="N70" i="62" a="1"/>
  <c r="N70" i="62"/>
  <c r="J70" i="62" a="1"/>
  <c r="J70" i="62"/>
  <c r="I70" i="62" a="1"/>
  <c r="I70" i="62"/>
  <c r="BF69" i="62" a="1"/>
  <c r="BF69" i="62"/>
  <c r="BB69" i="62" a="1"/>
  <c r="BB69" i="62"/>
  <c r="AX69" i="62" a="1"/>
  <c r="AX69" i="62"/>
  <c r="AT69" i="62" a="1"/>
  <c r="AT69" i="62"/>
  <c r="AS69" i="62" a="1"/>
  <c r="AS69" i="62"/>
  <c r="AN69" i="62" a="1"/>
  <c r="AN69" i="62"/>
  <c r="AJ69" i="62" a="1"/>
  <c r="AJ69" i="62"/>
  <c r="AF69" i="62" a="1"/>
  <c r="AF69" i="62"/>
  <c r="AB69" i="62" a="1"/>
  <c r="AB69" i="62"/>
  <c r="AA69" i="62" a="1"/>
  <c r="AA69" i="62"/>
  <c r="V69" i="62" a="1"/>
  <c r="V69" i="62"/>
  <c r="R69" i="62" a="1"/>
  <c r="R69" i="62"/>
  <c r="N69" i="62" a="1"/>
  <c r="N69" i="62"/>
  <c r="J69" i="62" a="1"/>
  <c r="J69" i="62"/>
  <c r="I69" i="62" a="1"/>
  <c r="I69" i="62"/>
  <c r="BF68" i="62" a="1"/>
  <c r="BF68" i="62"/>
  <c r="BB68" i="62" a="1"/>
  <c r="BB68" i="62"/>
  <c r="AX68" i="62" a="1"/>
  <c r="AX68" i="62"/>
  <c r="AT68" i="62" a="1"/>
  <c r="AT68" i="62"/>
  <c r="AS68" i="62" a="1"/>
  <c r="AS68" i="62"/>
  <c r="AN68" i="62" a="1"/>
  <c r="AN68" i="62"/>
  <c r="AJ68" i="62" a="1"/>
  <c r="AJ68" i="62"/>
  <c r="AF68" i="62" a="1"/>
  <c r="AF68" i="62"/>
  <c r="AB68" i="62" a="1"/>
  <c r="AB68" i="62"/>
  <c r="AA68" i="62" a="1"/>
  <c r="AA68" i="62"/>
  <c r="V68" i="62" a="1"/>
  <c r="V68" i="62"/>
  <c r="R68" i="62" a="1"/>
  <c r="R68" i="62"/>
  <c r="N68" i="62" a="1"/>
  <c r="N68" i="62"/>
  <c r="J68" i="62" a="1"/>
  <c r="J68" i="62"/>
  <c r="I68" i="62" a="1"/>
  <c r="I68" i="62"/>
  <c r="BF67" i="62" a="1"/>
  <c r="BF67" i="62"/>
  <c r="BB67" i="62" a="1"/>
  <c r="BB67" i="62"/>
  <c r="AX67" i="62" a="1"/>
  <c r="AX67" i="62"/>
  <c r="AT67" i="62" a="1"/>
  <c r="AT67" i="62"/>
  <c r="AS67" i="62" a="1"/>
  <c r="AS67" i="62"/>
  <c r="AN67" i="62" a="1"/>
  <c r="AN67" i="62"/>
  <c r="AJ67" i="62" a="1"/>
  <c r="AJ67" i="62"/>
  <c r="AF67" i="62" a="1"/>
  <c r="AF67" i="62"/>
  <c r="AB67" i="62" a="1"/>
  <c r="AB67" i="62"/>
  <c r="AA67" i="62" a="1"/>
  <c r="AA67" i="62"/>
  <c r="V67" i="62" a="1"/>
  <c r="V67" i="62"/>
  <c r="R67" i="62" a="1"/>
  <c r="R67" i="62"/>
  <c r="N67" i="62" a="1"/>
  <c r="N67" i="62"/>
  <c r="J67" i="62" a="1"/>
  <c r="J67" i="62"/>
  <c r="I67" i="62" a="1"/>
  <c r="I67" i="62"/>
  <c r="BF66" i="62" a="1"/>
  <c r="BF66" i="62"/>
  <c r="BB66" i="62" a="1"/>
  <c r="BB66" i="62"/>
  <c r="AX66" i="62" a="1"/>
  <c r="AX66" i="62"/>
  <c r="AT66" i="62" a="1"/>
  <c r="AT66" i="62"/>
  <c r="AS66" i="62" a="1"/>
  <c r="AS66" i="62"/>
  <c r="AN66" i="62" a="1"/>
  <c r="AN66" i="62"/>
  <c r="AJ66" i="62" a="1"/>
  <c r="AJ66" i="62"/>
  <c r="AF66" i="62" a="1"/>
  <c r="AF66" i="62"/>
  <c r="AB66" i="62" a="1"/>
  <c r="AB66" i="62"/>
  <c r="AA66" i="62" a="1"/>
  <c r="AA66" i="62"/>
  <c r="V66" i="62" a="1"/>
  <c r="V66" i="62"/>
  <c r="R66" i="62" a="1"/>
  <c r="R66" i="62"/>
  <c r="N66" i="62" a="1"/>
  <c r="N66" i="62"/>
  <c r="J66" i="62" a="1"/>
  <c r="J66" i="62"/>
  <c r="I66" i="62" a="1"/>
  <c r="I66" i="62"/>
  <c r="BF65" i="62" a="1"/>
  <c r="BF65" i="62"/>
  <c r="BB65" i="62" a="1"/>
  <c r="BB65" i="62"/>
  <c r="AX65" i="62" a="1"/>
  <c r="AX65" i="62"/>
  <c r="AT65" i="62" a="1"/>
  <c r="AT65" i="62"/>
  <c r="AS65" i="62" a="1"/>
  <c r="AS65" i="62"/>
  <c r="AN65" i="62" a="1"/>
  <c r="AN65" i="62"/>
  <c r="AJ65" i="62" a="1"/>
  <c r="AJ65" i="62"/>
  <c r="AF65" i="62" a="1"/>
  <c r="AF65" i="62"/>
  <c r="AB65" i="62" a="1"/>
  <c r="AB65" i="62"/>
  <c r="AA65" i="62" a="1"/>
  <c r="AA65" i="62"/>
  <c r="V65" i="62" a="1"/>
  <c r="V65" i="62"/>
  <c r="R65" i="62" a="1"/>
  <c r="R65" i="62"/>
  <c r="N65" i="62" a="1"/>
  <c r="N65" i="62"/>
  <c r="J65" i="62" a="1"/>
  <c r="J65" i="62"/>
  <c r="I65" i="62" a="1"/>
  <c r="I65" i="62"/>
  <c r="BF64" i="62" a="1"/>
  <c r="BF64" i="62"/>
  <c r="BB64" i="62" a="1"/>
  <c r="BB64" i="62"/>
  <c r="AX64" i="62" a="1"/>
  <c r="AX64" i="62"/>
  <c r="AT64" i="62" a="1"/>
  <c r="AT64" i="62"/>
  <c r="AS64" i="62" a="1"/>
  <c r="AS64" i="62"/>
  <c r="AN64" i="62" a="1"/>
  <c r="AN64" i="62"/>
  <c r="AJ64" i="62" a="1"/>
  <c r="AJ64" i="62"/>
  <c r="AF64" i="62" a="1"/>
  <c r="AF64" i="62"/>
  <c r="AB64" i="62" a="1"/>
  <c r="AB64" i="62"/>
  <c r="AA64" i="62" a="1"/>
  <c r="AA64" i="62"/>
  <c r="V64" i="62" a="1"/>
  <c r="V64" i="62"/>
  <c r="R64" i="62" a="1"/>
  <c r="R64" i="62"/>
  <c r="N64" i="62" a="1"/>
  <c r="N64" i="62"/>
  <c r="J64" i="62" a="1"/>
  <c r="J64" i="62"/>
  <c r="I64" i="62" a="1"/>
  <c r="I64" i="62"/>
  <c r="BF63" i="62" a="1"/>
  <c r="BF63" i="62"/>
  <c r="BB63" i="62" a="1"/>
  <c r="BB63" i="62"/>
  <c r="AX63" i="62" a="1"/>
  <c r="AX63" i="62"/>
  <c r="AT63" i="62" a="1"/>
  <c r="AT63" i="62"/>
  <c r="AS63" i="62" a="1"/>
  <c r="AS63" i="62"/>
  <c r="AN63" i="62" a="1"/>
  <c r="AN63" i="62"/>
  <c r="AJ63" i="62" a="1"/>
  <c r="AJ63" i="62"/>
  <c r="AF63" i="62" a="1"/>
  <c r="AF63" i="62"/>
  <c r="AB63" i="62" a="1"/>
  <c r="AB63" i="62"/>
  <c r="AA63" i="62" a="1"/>
  <c r="AA63" i="62"/>
  <c r="V63" i="62" a="1"/>
  <c r="V63" i="62"/>
  <c r="R63" i="62" a="1"/>
  <c r="R63" i="62"/>
  <c r="N63" i="62" a="1"/>
  <c r="N63" i="62"/>
  <c r="J63" i="62" a="1"/>
  <c r="J63" i="62"/>
  <c r="I63" i="62" a="1"/>
  <c r="I63" i="62"/>
  <c r="BF62" i="62" a="1"/>
  <c r="BF62" i="62"/>
  <c r="BB62" i="62" a="1"/>
  <c r="BB62" i="62"/>
  <c r="AX62" i="62" a="1"/>
  <c r="AX62" i="62"/>
  <c r="AT62" i="62" a="1"/>
  <c r="AT62" i="62"/>
  <c r="AS62" i="62" a="1"/>
  <c r="AS62" i="62"/>
  <c r="AN62" i="62" a="1"/>
  <c r="AN62" i="62"/>
  <c r="AJ62" i="62" a="1"/>
  <c r="AJ62" i="62"/>
  <c r="AF62" i="62" a="1"/>
  <c r="AF62" i="62"/>
  <c r="AB62" i="62" a="1"/>
  <c r="AB62" i="62"/>
  <c r="AA62" i="62" a="1"/>
  <c r="AA62" i="62"/>
  <c r="V62" i="62" a="1"/>
  <c r="V62" i="62"/>
  <c r="R62" i="62" a="1"/>
  <c r="R62" i="62"/>
  <c r="N62" i="62" a="1"/>
  <c r="N62" i="62"/>
  <c r="J62" i="62" a="1"/>
  <c r="J62" i="62"/>
  <c r="I62" i="62" a="1"/>
  <c r="I62" i="62"/>
  <c r="BF61" i="62" a="1"/>
  <c r="BF61" i="62"/>
  <c r="BB61" i="62" a="1"/>
  <c r="BB61" i="62"/>
  <c r="AX61" i="62" a="1"/>
  <c r="AX61" i="62"/>
  <c r="AT61" i="62" a="1"/>
  <c r="AT61" i="62"/>
  <c r="AS61" i="62" a="1"/>
  <c r="AS61" i="62"/>
  <c r="AN61" i="62" a="1"/>
  <c r="AN61" i="62"/>
  <c r="AJ61" i="62" a="1"/>
  <c r="AJ61" i="62"/>
  <c r="AF61" i="62" a="1"/>
  <c r="AF61" i="62"/>
  <c r="AB61" i="62" a="1"/>
  <c r="AB61" i="62"/>
  <c r="AA61" i="62" a="1"/>
  <c r="AA61" i="62"/>
  <c r="V61" i="62" a="1"/>
  <c r="V61" i="62"/>
  <c r="R61" i="62" a="1"/>
  <c r="R61" i="62"/>
  <c r="N61" i="62" a="1"/>
  <c r="N61" i="62"/>
  <c r="J61" i="62" a="1"/>
  <c r="J61" i="62"/>
  <c r="I61" i="62" a="1"/>
  <c r="I61" i="62"/>
  <c r="BF60" i="62" a="1"/>
  <c r="BF60" i="62"/>
  <c r="BB60" i="62" a="1"/>
  <c r="BB60" i="62"/>
  <c r="AX60" i="62" a="1"/>
  <c r="AX60" i="62"/>
  <c r="AT60" i="62" a="1"/>
  <c r="AT60" i="62"/>
  <c r="AS60" i="62" a="1"/>
  <c r="AS60" i="62"/>
  <c r="AN60" i="62" a="1"/>
  <c r="AN60" i="62"/>
  <c r="AJ60" i="62" a="1"/>
  <c r="AJ60" i="62"/>
  <c r="AF60" i="62" a="1"/>
  <c r="AF60" i="62"/>
  <c r="AB60" i="62" a="1"/>
  <c r="AB60" i="62"/>
  <c r="AA60" i="62" a="1"/>
  <c r="AA60" i="62"/>
  <c r="V60" i="62" a="1"/>
  <c r="V60" i="62"/>
  <c r="R60" i="62" a="1"/>
  <c r="R60" i="62"/>
  <c r="N60" i="62" a="1"/>
  <c r="N60" i="62"/>
  <c r="J60" i="62" a="1"/>
  <c r="J60" i="62"/>
  <c r="I60" i="62" a="1"/>
  <c r="I60" i="62"/>
  <c r="BF59" i="62" a="1"/>
  <c r="BF59" i="62"/>
  <c r="BB59" i="62" a="1"/>
  <c r="BB59" i="62"/>
  <c r="AX59" i="62" a="1"/>
  <c r="AX59" i="62"/>
  <c r="AT59" i="62" a="1"/>
  <c r="AT59" i="62"/>
  <c r="AS59" i="62" a="1"/>
  <c r="AS59" i="62"/>
  <c r="AN59" i="62" a="1"/>
  <c r="AN59" i="62"/>
  <c r="AJ59" i="62" a="1"/>
  <c r="AJ59" i="62"/>
  <c r="AF59" i="62" a="1"/>
  <c r="AF59" i="62"/>
  <c r="AB59" i="62" a="1"/>
  <c r="AB59" i="62"/>
  <c r="AA59" i="62" a="1"/>
  <c r="AA59" i="62"/>
  <c r="V59" i="62" a="1"/>
  <c r="V59" i="62"/>
  <c r="R59" i="62" a="1"/>
  <c r="R59" i="62"/>
  <c r="N59" i="62" a="1"/>
  <c r="N59" i="62"/>
  <c r="J59" i="62" a="1"/>
  <c r="J59" i="62"/>
  <c r="I59" i="62" a="1"/>
  <c r="I59" i="62"/>
  <c r="BF58" i="62" a="1"/>
  <c r="BF58" i="62"/>
  <c r="BB58" i="62" a="1"/>
  <c r="BB58" i="62"/>
  <c r="AX58" i="62" a="1"/>
  <c r="AX58" i="62"/>
  <c r="AT58" i="62" a="1"/>
  <c r="AT58" i="62"/>
  <c r="AS58" i="62" a="1"/>
  <c r="AS58" i="62"/>
  <c r="AN58" i="62" a="1"/>
  <c r="AN58" i="62"/>
  <c r="AJ58" i="62" a="1"/>
  <c r="AJ58" i="62"/>
  <c r="AF58" i="62" a="1"/>
  <c r="AF58" i="62"/>
  <c r="AB58" i="62" a="1"/>
  <c r="AB58" i="62"/>
  <c r="AA58" i="62" a="1"/>
  <c r="AA58" i="62"/>
  <c r="V58" i="62" a="1"/>
  <c r="V58" i="62"/>
  <c r="R58" i="62" a="1"/>
  <c r="R58" i="62"/>
  <c r="N58" i="62" a="1"/>
  <c r="N58" i="62"/>
  <c r="J58" i="62" a="1"/>
  <c r="J58" i="62"/>
  <c r="I58" i="62" a="1"/>
  <c r="I58" i="62"/>
  <c r="BF57" i="62" a="1"/>
  <c r="BF57" i="62"/>
  <c r="BB57" i="62" a="1"/>
  <c r="BB57" i="62"/>
  <c r="AX57" i="62" a="1"/>
  <c r="AX57" i="62"/>
  <c r="AT57" i="62" a="1"/>
  <c r="AT57" i="62"/>
  <c r="AS57" i="62" a="1"/>
  <c r="AS57" i="62"/>
  <c r="AN57" i="62" a="1"/>
  <c r="AN57" i="62"/>
  <c r="AJ57" i="62" a="1"/>
  <c r="AJ57" i="62"/>
  <c r="AF57" i="62" a="1"/>
  <c r="AF57" i="62"/>
  <c r="AB57" i="62" a="1"/>
  <c r="AB57" i="62"/>
  <c r="AA57" i="62" a="1"/>
  <c r="AA57" i="62"/>
  <c r="V57" i="62" a="1"/>
  <c r="V57" i="62"/>
  <c r="R57" i="62" a="1"/>
  <c r="R57" i="62"/>
  <c r="N57" i="62" a="1"/>
  <c r="N57" i="62"/>
  <c r="J57" i="62" a="1"/>
  <c r="J57" i="62"/>
  <c r="I57" i="62" a="1"/>
  <c r="I57" i="62"/>
  <c r="BF56" i="62" a="1"/>
  <c r="BF56" i="62"/>
  <c r="BB56" i="62" a="1"/>
  <c r="BB56" i="62"/>
  <c r="AX56" i="62" a="1"/>
  <c r="AX56" i="62"/>
  <c r="AT56" i="62" a="1"/>
  <c r="AT56" i="62"/>
  <c r="AS56" i="62" a="1"/>
  <c r="AS56" i="62"/>
  <c r="AN56" i="62" a="1"/>
  <c r="AN56" i="62"/>
  <c r="AJ56" i="62" a="1"/>
  <c r="AJ56" i="62"/>
  <c r="AF56" i="62" a="1"/>
  <c r="AF56" i="62"/>
  <c r="AB56" i="62" a="1"/>
  <c r="AB56" i="62"/>
  <c r="AA56" i="62" a="1"/>
  <c r="AA56" i="62"/>
  <c r="V56" i="62" a="1"/>
  <c r="V56" i="62"/>
  <c r="R56" i="62" a="1"/>
  <c r="R56" i="62"/>
  <c r="N56" i="62" a="1"/>
  <c r="N56" i="62"/>
  <c r="J56" i="62" a="1"/>
  <c r="J56" i="62"/>
  <c r="I56" i="62" a="1"/>
  <c r="I56" i="62"/>
  <c r="BF55" i="62" a="1"/>
  <c r="BF55" i="62"/>
  <c r="BB55" i="62" a="1"/>
  <c r="BB55" i="62"/>
  <c r="AX55" i="62" a="1"/>
  <c r="AX55" i="62"/>
  <c r="AT55" i="62" a="1"/>
  <c r="AT55" i="62"/>
  <c r="AS55" i="62" a="1"/>
  <c r="AS55" i="62"/>
  <c r="AN55" i="62" a="1"/>
  <c r="AN55" i="62"/>
  <c r="AJ55" i="62" a="1"/>
  <c r="AJ55" i="62"/>
  <c r="AF55" i="62" a="1"/>
  <c r="AF55" i="62"/>
  <c r="AB55" i="62" a="1"/>
  <c r="AB55" i="62"/>
  <c r="AA55" i="62" a="1"/>
  <c r="AA55" i="62"/>
  <c r="V55" i="62" a="1"/>
  <c r="V55" i="62"/>
  <c r="R55" i="62" a="1"/>
  <c r="R55" i="62"/>
  <c r="N55" i="62" a="1"/>
  <c r="N55" i="62"/>
  <c r="J55" i="62" a="1"/>
  <c r="J55" i="62"/>
  <c r="I55" i="62" a="1"/>
  <c r="I55" i="62"/>
  <c r="BF54" i="62" a="1"/>
  <c r="BF54" i="62"/>
  <c r="BB54" i="62" a="1"/>
  <c r="BB54" i="62"/>
  <c r="AX54" i="62" a="1"/>
  <c r="AX54" i="62"/>
  <c r="AT54" i="62" a="1"/>
  <c r="AT54" i="62"/>
  <c r="AS54" i="62" a="1"/>
  <c r="AS54" i="62"/>
  <c r="AN54" i="62" a="1"/>
  <c r="AN54" i="62"/>
  <c r="AJ54" i="62" a="1"/>
  <c r="AJ54" i="62"/>
  <c r="AF54" i="62" a="1"/>
  <c r="AF54" i="62"/>
  <c r="AB54" i="62" a="1"/>
  <c r="AB54" i="62"/>
  <c r="AA54" i="62" a="1"/>
  <c r="AA54" i="62"/>
  <c r="V54" i="62" a="1"/>
  <c r="V54" i="62"/>
  <c r="R54" i="62" a="1"/>
  <c r="R54" i="62"/>
  <c r="N54" i="62" a="1"/>
  <c r="N54" i="62"/>
  <c r="J54" i="62" a="1"/>
  <c r="J54" i="62"/>
  <c r="I54" i="62" a="1"/>
  <c r="I54" i="62"/>
  <c r="BF53" i="62" a="1"/>
  <c r="BF53" i="62"/>
  <c r="BB53" i="62" a="1"/>
  <c r="BB53" i="62"/>
  <c r="AX53" i="62" a="1"/>
  <c r="AX53" i="62"/>
  <c r="AT53" i="62" a="1"/>
  <c r="AT53" i="62"/>
  <c r="AS53" i="62" a="1"/>
  <c r="AS53" i="62"/>
  <c r="AN53" i="62" a="1"/>
  <c r="AN53" i="62"/>
  <c r="AJ53" i="62" a="1"/>
  <c r="AJ53" i="62"/>
  <c r="AF53" i="62" a="1"/>
  <c r="AF53" i="62"/>
  <c r="AB53" i="62" a="1"/>
  <c r="AB53" i="62"/>
  <c r="AA53" i="62" a="1"/>
  <c r="AA53" i="62"/>
  <c r="V53" i="62" a="1"/>
  <c r="V53" i="62"/>
  <c r="R53" i="62" a="1"/>
  <c r="R53" i="62"/>
  <c r="N53" i="62" a="1"/>
  <c r="N53" i="62"/>
  <c r="J53" i="62" a="1"/>
  <c r="J53" i="62"/>
  <c r="I53" i="62" a="1"/>
  <c r="I53" i="62"/>
  <c r="BF52" i="62" a="1"/>
  <c r="BF52" i="62"/>
  <c r="BB52" i="62" a="1"/>
  <c r="BB52" i="62"/>
  <c r="AX52" i="62" a="1"/>
  <c r="AX52" i="62"/>
  <c r="AT52" i="62" a="1"/>
  <c r="AT52" i="62"/>
  <c r="AS52" i="62" a="1"/>
  <c r="AS52" i="62"/>
  <c r="AN52" i="62" a="1"/>
  <c r="AN52" i="62"/>
  <c r="AJ52" i="62" a="1"/>
  <c r="AJ52" i="62"/>
  <c r="AF52" i="62" a="1"/>
  <c r="AF52" i="62"/>
  <c r="AB52" i="62" a="1"/>
  <c r="AB52" i="62"/>
  <c r="AA52" i="62" a="1"/>
  <c r="AA52" i="62"/>
  <c r="V52" i="62" a="1"/>
  <c r="V52" i="62"/>
  <c r="R52" i="62" a="1"/>
  <c r="R52" i="62"/>
  <c r="N52" i="62" a="1"/>
  <c r="N52" i="62"/>
  <c r="J52" i="62" a="1"/>
  <c r="J52" i="62"/>
  <c r="I52" i="62" a="1"/>
  <c r="I52" i="62"/>
  <c r="BF51" i="62" a="1"/>
  <c r="BF51" i="62"/>
  <c r="BB51" i="62" a="1"/>
  <c r="BB51" i="62"/>
  <c r="AX51" i="62" a="1"/>
  <c r="AX51" i="62"/>
  <c r="AT51" i="62" a="1"/>
  <c r="AT51" i="62"/>
  <c r="AS51" i="62" a="1"/>
  <c r="AS51" i="62"/>
  <c r="AN51" i="62" a="1"/>
  <c r="AN51" i="62"/>
  <c r="AJ51" i="62" a="1"/>
  <c r="AJ51" i="62"/>
  <c r="AF51" i="62" a="1"/>
  <c r="AF51" i="62"/>
  <c r="AB51" i="62" a="1"/>
  <c r="AB51" i="62"/>
  <c r="AA51" i="62" a="1"/>
  <c r="AA51" i="62"/>
  <c r="V51" i="62" a="1"/>
  <c r="V51" i="62"/>
  <c r="R51" i="62" a="1"/>
  <c r="R51" i="62"/>
  <c r="N51" i="62" a="1"/>
  <c r="N51" i="62"/>
  <c r="J51" i="62" a="1"/>
  <c r="J51" i="62"/>
  <c r="I51" i="62" a="1"/>
  <c r="I51" i="62"/>
  <c r="BF50" i="62" a="1"/>
  <c r="BF50" i="62"/>
  <c r="BB50" i="62" a="1"/>
  <c r="BB50" i="62"/>
  <c r="AX50" i="62" a="1"/>
  <c r="AX50" i="62"/>
  <c r="AT50" i="62" a="1"/>
  <c r="AT50" i="62"/>
  <c r="AS50" i="62" a="1"/>
  <c r="AS50" i="62"/>
  <c r="AN50" i="62" a="1"/>
  <c r="AN50" i="62"/>
  <c r="AJ50" i="62" a="1"/>
  <c r="AJ50" i="62"/>
  <c r="AF50" i="62" a="1"/>
  <c r="AF50" i="62"/>
  <c r="AB50" i="62" a="1"/>
  <c r="AB50" i="62"/>
  <c r="AA50" i="62" a="1"/>
  <c r="AA50" i="62"/>
  <c r="V50" i="62" a="1"/>
  <c r="V50" i="62"/>
  <c r="R50" i="62" a="1"/>
  <c r="R50" i="62"/>
  <c r="N50" i="62" a="1"/>
  <c r="N50" i="62"/>
  <c r="J50" i="62" a="1"/>
  <c r="J50" i="62"/>
  <c r="I50" i="62" a="1"/>
  <c r="I50" i="62"/>
  <c r="BF49" i="62" a="1"/>
  <c r="BF49" i="62"/>
  <c r="BB49" i="62" a="1"/>
  <c r="BB49" i="62"/>
  <c r="AX49" i="62" a="1"/>
  <c r="AX49" i="62"/>
  <c r="AT49" i="62" a="1"/>
  <c r="AT49" i="62"/>
  <c r="AS49" i="62" a="1"/>
  <c r="AS49" i="62"/>
  <c r="AN49" i="62" a="1"/>
  <c r="AN49" i="62"/>
  <c r="AJ49" i="62" a="1"/>
  <c r="AJ49" i="62"/>
  <c r="AF49" i="62" a="1"/>
  <c r="AF49" i="62"/>
  <c r="AB49" i="62" a="1"/>
  <c r="AB49" i="62"/>
  <c r="AA49" i="62" a="1"/>
  <c r="AA49" i="62"/>
  <c r="V49" i="62" a="1"/>
  <c r="V49" i="62"/>
  <c r="R49" i="62" a="1"/>
  <c r="R49" i="62"/>
  <c r="N49" i="62" a="1"/>
  <c r="N49" i="62"/>
  <c r="J49" i="62" a="1"/>
  <c r="J49" i="62"/>
  <c r="I49" i="62" a="1"/>
  <c r="I49" i="62"/>
  <c r="BF48" i="62" a="1"/>
  <c r="BF48" i="62"/>
  <c r="BB48" i="62" a="1"/>
  <c r="BB48" i="62"/>
  <c r="AX48" i="62" a="1"/>
  <c r="AX48" i="62"/>
  <c r="AT48" i="62" a="1"/>
  <c r="AT48" i="62"/>
  <c r="AS48" i="62" a="1"/>
  <c r="AS48" i="62"/>
  <c r="AN48" i="62" a="1"/>
  <c r="AN48" i="62"/>
  <c r="AJ48" i="62" a="1"/>
  <c r="AJ48" i="62"/>
  <c r="AF48" i="62" a="1"/>
  <c r="AF48" i="62"/>
  <c r="AB48" i="62" a="1"/>
  <c r="AB48" i="62"/>
  <c r="AA48" i="62" a="1"/>
  <c r="AA48" i="62"/>
  <c r="V48" i="62" a="1"/>
  <c r="V48" i="62"/>
  <c r="R48" i="62" a="1"/>
  <c r="R48" i="62"/>
  <c r="N48" i="62" a="1"/>
  <c r="N48" i="62"/>
  <c r="J48" i="62" a="1"/>
  <c r="J48" i="62"/>
  <c r="I48" i="62" a="1"/>
  <c r="I48" i="62"/>
  <c r="BF47" i="62" a="1"/>
  <c r="BF47" i="62"/>
  <c r="BB47" i="62" a="1"/>
  <c r="BB47" i="62"/>
  <c r="AX47" i="62" a="1"/>
  <c r="AX47" i="62"/>
  <c r="AT47" i="62" a="1"/>
  <c r="AT47" i="62"/>
  <c r="AS47" i="62" a="1"/>
  <c r="AS47" i="62"/>
  <c r="AN47" i="62" a="1"/>
  <c r="AN47" i="62"/>
  <c r="AJ47" i="62" a="1"/>
  <c r="AJ47" i="62"/>
  <c r="AF47" i="62" a="1"/>
  <c r="AF47" i="62"/>
  <c r="AB47" i="62" a="1"/>
  <c r="AB47" i="62"/>
  <c r="AA47" i="62" a="1"/>
  <c r="AA47" i="62"/>
  <c r="V47" i="62" a="1"/>
  <c r="V47" i="62"/>
  <c r="R47" i="62" a="1"/>
  <c r="R47" i="62"/>
  <c r="N47" i="62" a="1"/>
  <c r="N47" i="62"/>
  <c r="J47" i="62" a="1"/>
  <c r="J47" i="62"/>
  <c r="I47" i="62" a="1"/>
  <c r="I47" i="62"/>
  <c r="BF46" i="62" a="1"/>
  <c r="BF46" i="62"/>
  <c r="BB46" i="62" a="1"/>
  <c r="BB46" i="62"/>
  <c r="AX46" i="62" a="1"/>
  <c r="AX46" i="62"/>
  <c r="AT46" i="62" a="1"/>
  <c r="AT46" i="62"/>
  <c r="AS46" i="62" a="1"/>
  <c r="AS46" i="62"/>
  <c r="AN46" i="62" a="1"/>
  <c r="AN46" i="62"/>
  <c r="AJ46" i="62" a="1"/>
  <c r="AJ46" i="62"/>
  <c r="AF46" i="62" a="1"/>
  <c r="AF46" i="62"/>
  <c r="AB46" i="62" a="1"/>
  <c r="AB46" i="62"/>
  <c r="AA46" i="62" a="1"/>
  <c r="AA46" i="62"/>
  <c r="V46" i="62" a="1"/>
  <c r="V46" i="62"/>
  <c r="R46" i="62" a="1"/>
  <c r="R46" i="62"/>
  <c r="N46" i="62" a="1"/>
  <c r="N46" i="62"/>
  <c r="J46" i="62" a="1"/>
  <c r="J46" i="62"/>
  <c r="I46" i="62" a="1"/>
  <c r="I46" i="62"/>
  <c r="BF45" i="62" a="1"/>
  <c r="BF45" i="62"/>
  <c r="BB45" i="62" a="1"/>
  <c r="BB45" i="62"/>
  <c r="AX45" i="62" a="1"/>
  <c r="AX45" i="62"/>
  <c r="AT45" i="62" a="1"/>
  <c r="AT45" i="62"/>
  <c r="AS45" i="62" a="1"/>
  <c r="AS45" i="62"/>
  <c r="AN45" i="62" a="1"/>
  <c r="AN45" i="62"/>
  <c r="AJ45" i="62" a="1"/>
  <c r="AJ45" i="62"/>
  <c r="AF45" i="62" a="1"/>
  <c r="AF45" i="62"/>
  <c r="AB45" i="62" a="1"/>
  <c r="AB45" i="62"/>
  <c r="AA45" i="62" a="1"/>
  <c r="AA45" i="62"/>
  <c r="V45" i="62" a="1"/>
  <c r="V45" i="62"/>
  <c r="R45" i="62" a="1"/>
  <c r="R45" i="62"/>
  <c r="N45" i="62" a="1"/>
  <c r="N45" i="62"/>
  <c r="J45" i="62" a="1"/>
  <c r="J45" i="62"/>
  <c r="I45" i="62" a="1"/>
  <c r="I45" i="62"/>
  <c r="BF44" i="62" a="1"/>
  <c r="BF44" i="62"/>
  <c r="BB44" i="62" a="1"/>
  <c r="BB44" i="62"/>
  <c r="AX44" i="62" a="1"/>
  <c r="AX44" i="62"/>
  <c r="AT44" i="62" a="1"/>
  <c r="AT44" i="62"/>
  <c r="AS44" i="62" a="1"/>
  <c r="AS44" i="62"/>
  <c r="AN44" i="62" a="1"/>
  <c r="AN44" i="62"/>
  <c r="AJ44" i="62" a="1"/>
  <c r="AJ44" i="62"/>
  <c r="AF44" i="62" a="1"/>
  <c r="AF44" i="62"/>
  <c r="AB44" i="62" a="1"/>
  <c r="AB44" i="62"/>
  <c r="AA44" i="62" a="1"/>
  <c r="AA44" i="62"/>
  <c r="V44" i="62" a="1"/>
  <c r="V44" i="62"/>
  <c r="R44" i="62" a="1"/>
  <c r="R44" i="62"/>
  <c r="N44" i="62" a="1"/>
  <c r="N44" i="62"/>
  <c r="J44" i="62" a="1"/>
  <c r="J44" i="62"/>
  <c r="I44" i="62" a="1"/>
  <c r="I44" i="62"/>
  <c r="BF43" i="62" a="1"/>
  <c r="BF43" i="62"/>
  <c r="BB43" i="62" a="1"/>
  <c r="BB43" i="62"/>
  <c r="AX43" i="62" a="1"/>
  <c r="AX43" i="62"/>
  <c r="AT43" i="62" a="1"/>
  <c r="AT43" i="62"/>
  <c r="AS43" i="62" a="1"/>
  <c r="AS43" i="62"/>
  <c r="AN43" i="62" a="1"/>
  <c r="AN43" i="62"/>
  <c r="AJ43" i="62" a="1"/>
  <c r="AJ43" i="62"/>
  <c r="AF43" i="62" a="1"/>
  <c r="AF43" i="62"/>
  <c r="AB43" i="62" a="1"/>
  <c r="AB43" i="62"/>
  <c r="AA43" i="62" a="1"/>
  <c r="AA43" i="62"/>
  <c r="V43" i="62" a="1"/>
  <c r="V43" i="62"/>
  <c r="R43" i="62" a="1"/>
  <c r="R43" i="62"/>
  <c r="N43" i="62" a="1"/>
  <c r="N43" i="62"/>
  <c r="J43" i="62" a="1"/>
  <c r="J43" i="62"/>
  <c r="I43" i="62" a="1"/>
  <c r="I43" i="62"/>
  <c r="BF42" i="62" a="1"/>
  <c r="BF42" i="62"/>
  <c r="BB42" i="62" a="1"/>
  <c r="BB42" i="62"/>
  <c r="AX42" i="62" a="1"/>
  <c r="AX42" i="62"/>
  <c r="AT42" i="62" a="1"/>
  <c r="AT42" i="62"/>
  <c r="AS42" i="62" a="1"/>
  <c r="AS42" i="62"/>
  <c r="AN42" i="62" a="1"/>
  <c r="AN42" i="62"/>
  <c r="AJ42" i="62" a="1"/>
  <c r="AJ42" i="62"/>
  <c r="AF42" i="62" a="1"/>
  <c r="AF42" i="62"/>
  <c r="AB42" i="62" a="1"/>
  <c r="AB42" i="62"/>
  <c r="AA42" i="62" a="1"/>
  <c r="AA42" i="62"/>
  <c r="V42" i="62" a="1"/>
  <c r="V42" i="62"/>
  <c r="R42" i="62" a="1"/>
  <c r="R42" i="62"/>
  <c r="N42" i="62" a="1"/>
  <c r="N42" i="62"/>
  <c r="J42" i="62" a="1"/>
  <c r="J42" i="62"/>
  <c r="I42" i="62" a="1"/>
  <c r="I42" i="62"/>
  <c r="BF41" i="62" a="1"/>
  <c r="BF41" i="62"/>
  <c r="BB41" i="62" a="1"/>
  <c r="BB41" i="62"/>
  <c r="AX41" i="62" a="1"/>
  <c r="AX41" i="62"/>
  <c r="AT41" i="62" a="1"/>
  <c r="AT41" i="62"/>
  <c r="AS41" i="62" a="1"/>
  <c r="AS41" i="62"/>
  <c r="AN41" i="62" a="1"/>
  <c r="AN41" i="62"/>
  <c r="AJ41" i="62" a="1"/>
  <c r="AJ41" i="62"/>
  <c r="AF41" i="62" a="1"/>
  <c r="AF41" i="62"/>
  <c r="AB41" i="62" a="1"/>
  <c r="AB41" i="62"/>
  <c r="AA41" i="62" a="1"/>
  <c r="AA41" i="62"/>
  <c r="V41" i="62" a="1"/>
  <c r="V41" i="62"/>
  <c r="R41" i="62" a="1"/>
  <c r="R41" i="62"/>
  <c r="N41" i="62" a="1"/>
  <c r="N41" i="62"/>
  <c r="J41" i="62" a="1"/>
  <c r="J41" i="62"/>
  <c r="I41" i="62" a="1"/>
  <c r="I41" i="62"/>
  <c r="BF40" i="62" a="1"/>
  <c r="BF40" i="62"/>
  <c r="BB40" i="62" a="1"/>
  <c r="BB40" i="62"/>
  <c r="AX40" i="62" a="1"/>
  <c r="AX40" i="62"/>
  <c r="AT40" i="62" a="1"/>
  <c r="AT40" i="62"/>
  <c r="AS40" i="62" a="1"/>
  <c r="AS40" i="62"/>
  <c r="AN40" i="62" a="1"/>
  <c r="AN40" i="62"/>
  <c r="AJ40" i="62" a="1"/>
  <c r="AJ40" i="62"/>
  <c r="AF40" i="62" a="1"/>
  <c r="AF40" i="62"/>
  <c r="AB40" i="62" a="1"/>
  <c r="AB40" i="62"/>
  <c r="AA40" i="62" a="1"/>
  <c r="AA40" i="62"/>
  <c r="V40" i="62" a="1"/>
  <c r="V40" i="62"/>
  <c r="R40" i="62" a="1"/>
  <c r="R40" i="62"/>
  <c r="N40" i="62" a="1"/>
  <c r="N40" i="62"/>
  <c r="J40" i="62" a="1"/>
  <c r="J40" i="62"/>
  <c r="I40" i="62" a="1"/>
  <c r="I40" i="62"/>
  <c r="BF39" i="62" a="1"/>
  <c r="BF39" i="62"/>
  <c r="BB39" i="62" a="1"/>
  <c r="BB39" i="62"/>
  <c r="AX39" i="62" a="1"/>
  <c r="AX39" i="62"/>
  <c r="AT39" i="62" a="1"/>
  <c r="AT39" i="62"/>
  <c r="AS39" i="62" a="1"/>
  <c r="AS39" i="62"/>
  <c r="AN39" i="62" a="1"/>
  <c r="AN39" i="62"/>
  <c r="AJ39" i="62" a="1"/>
  <c r="AJ39" i="62"/>
  <c r="AF39" i="62" a="1"/>
  <c r="AF39" i="62"/>
  <c r="AB39" i="62" a="1"/>
  <c r="AB39" i="62"/>
  <c r="AA39" i="62" a="1"/>
  <c r="AA39" i="62"/>
  <c r="V39" i="62" a="1"/>
  <c r="V39" i="62"/>
  <c r="R39" i="62" a="1"/>
  <c r="R39" i="62"/>
  <c r="N39" i="62" a="1"/>
  <c r="N39" i="62"/>
  <c r="J39" i="62" a="1"/>
  <c r="J39" i="62"/>
  <c r="I39" i="62" a="1"/>
  <c r="I39" i="62"/>
  <c r="BF38" i="62" a="1"/>
  <c r="BF38" i="62"/>
  <c r="BB38" i="62" a="1"/>
  <c r="BB38" i="62"/>
  <c r="AX38" i="62" a="1"/>
  <c r="AX38" i="62"/>
  <c r="AT38" i="62" a="1"/>
  <c r="AT38" i="62"/>
  <c r="AS38" i="62" a="1"/>
  <c r="AS38" i="62"/>
  <c r="AN38" i="62" a="1"/>
  <c r="AN38" i="62"/>
  <c r="AJ38" i="62" a="1"/>
  <c r="AJ38" i="62"/>
  <c r="AF38" i="62" a="1"/>
  <c r="AF38" i="62"/>
  <c r="AB38" i="62" a="1"/>
  <c r="AB38" i="62"/>
  <c r="AA38" i="62" a="1"/>
  <c r="AA38" i="62"/>
  <c r="V38" i="62" a="1"/>
  <c r="V38" i="62"/>
  <c r="R38" i="62" a="1"/>
  <c r="R38" i="62"/>
  <c r="N38" i="62" a="1"/>
  <c r="N38" i="62"/>
  <c r="J38" i="62" a="1"/>
  <c r="J38" i="62"/>
  <c r="I38" i="62" a="1"/>
  <c r="I38" i="62"/>
  <c r="BF37" i="62" a="1"/>
  <c r="BF37" i="62"/>
  <c r="BB37" i="62" a="1"/>
  <c r="BB37" i="62"/>
  <c r="AX37" i="62" a="1"/>
  <c r="AX37" i="62"/>
  <c r="AT37" i="62" a="1"/>
  <c r="AT37" i="62"/>
  <c r="AS37" i="62" a="1"/>
  <c r="AS37" i="62"/>
  <c r="AN37" i="62" a="1"/>
  <c r="AN37" i="62"/>
  <c r="AJ37" i="62" a="1"/>
  <c r="AJ37" i="62"/>
  <c r="AF37" i="62" a="1"/>
  <c r="AF37" i="62"/>
  <c r="AB37" i="62" a="1"/>
  <c r="AB37" i="62"/>
  <c r="AA37" i="62" a="1"/>
  <c r="AA37" i="62"/>
  <c r="V37" i="62" a="1"/>
  <c r="V37" i="62"/>
  <c r="R37" i="62" a="1"/>
  <c r="R37" i="62"/>
  <c r="N37" i="62" a="1"/>
  <c r="N37" i="62"/>
  <c r="J37" i="62" a="1"/>
  <c r="J37" i="62"/>
  <c r="I37" i="62" a="1"/>
  <c r="I37" i="62"/>
  <c r="BF36" i="62" a="1"/>
  <c r="BF36" i="62"/>
  <c r="BB36" i="62" a="1"/>
  <c r="BB36" i="62"/>
  <c r="AX36" i="62" a="1"/>
  <c r="AX36" i="62"/>
  <c r="AT36" i="62" a="1"/>
  <c r="AT36" i="62"/>
  <c r="AS36" i="62" a="1"/>
  <c r="AS36" i="62"/>
  <c r="AN36" i="62" a="1"/>
  <c r="AN36" i="62"/>
  <c r="AJ36" i="62" a="1"/>
  <c r="AJ36" i="62"/>
  <c r="AF36" i="62" a="1"/>
  <c r="AF36" i="62"/>
  <c r="AB36" i="62" a="1"/>
  <c r="AB36" i="62"/>
  <c r="AA36" i="62" a="1"/>
  <c r="AA36" i="62"/>
  <c r="V36" i="62" a="1"/>
  <c r="V36" i="62"/>
  <c r="R36" i="62" a="1"/>
  <c r="R36" i="62"/>
  <c r="N36" i="62" a="1"/>
  <c r="N36" i="62"/>
  <c r="J36" i="62" a="1"/>
  <c r="J36" i="62"/>
  <c r="I36" i="62" a="1"/>
  <c r="I36" i="62"/>
  <c r="BF35" i="62" a="1"/>
  <c r="BF35" i="62"/>
  <c r="BB35" i="62" a="1"/>
  <c r="BB35" i="62"/>
  <c r="AX35" i="62" a="1"/>
  <c r="AX35" i="62"/>
  <c r="AT35" i="62" a="1"/>
  <c r="AT35" i="62"/>
  <c r="AS35" i="62" a="1"/>
  <c r="AS35" i="62"/>
  <c r="AN35" i="62" a="1"/>
  <c r="AN35" i="62"/>
  <c r="AJ35" i="62" a="1"/>
  <c r="AJ35" i="62"/>
  <c r="AF35" i="62" a="1"/>
  <c r="AF35" i="62"/>
  <c r="AB35" i="62" a="1"/>
  <c r="AB35" i="62"/>
  <c r="AA35" i="62" a="1"/>
  <c r="AA35" i="62"/>
  <c r="V35" i="62" a="1"/>
  <c r="V35" i="62"/>
  <c r="R35" i="62" a="1"/>
  <c r="R35" i="62"/>
  <c r="N35" i="62" a="1"/>
  <c r="N35" i="62"/>
  <c r="J35" i="62" a="1"/>
  <c r="J35" i="62"/>
  <c r="I35" i="62" a="1"/>
  <c r="I35" i="62"/>
  <c r="BF34" i="62" a="1"/>
  <c r="BF34" i="62"/>
  <c r="BB34" i="62" a="1"/>
  <c r="BB34" i="62"/>
  <c r="AX34" i="62" a="1"/>
  <c r="AX34" i="62"/>
  <c r="AT34" i="62" a="1"/>
  <c r="AT34" i="62"/>
  <c r="AS34" i="62" a="1"/>
  <c r="AS34" i="62"/>
  <c r="AN34" i="62" a="1"/>
  <c r="AN34" i="62"/>
  <c r="AJ34" i="62" a="1"/>
  <c r="AJ34" i="62"/>
  <c r="AF34" i="62" a="1"/>
  <c r="AF34" i="62"/>
  <c r="AB34" i="62" a="1"/>
  <c r="AB34" i="62"/>
  <c r="AA34" i="62" a="1"/>
  <c r="AA34" i="62"/>
  <c r="V34" i="62" a="1"/>
  <c r="V34" i="62"/>
  <c r="R34" i="62" a="1"/>
  <c r="R34" i="62"/>
  <c r="N34" i="62" a="1"/>
  <c r="N34" i="62"/>
  <c r="J34" i="62" a="1"/>
  <c r="J34" i="62"/>
  <c r="I34" i="62" a="1"/>
  <c r="I34" i="62"/>
  <c r="BF33" i="62" a="1"/>
  <c r="BF33" i="62"/>
  <c r="BB33" i="62" a="1"/>
  <c r="BB33" i="62"/>
  <c r="AX33" i="62" a="1"/>
  <c r="AX33" i="62"/>
  <c r="AT33" i="62" a="1"/>
  <c r="AT33" i="62"/>
  <c r="AS33" i="62" a="1"/>
  <c r="AS33" i="62"/>
  <c r="AN33" i="62" a="1"/>
  <c r="AN33" i="62"/>
  <c r="AJ33" i="62" a="1"/>
  <c r="AJ33" i="62"/>
  <c r="AF33" i="62" a="1"/>
  <c r="AF33" i="62"/>
  <c r="AB33" i="62" a="1"/>
  <c r="AB33" i="62"/>
  <c r="AA33" i="62" a="1"/>
  <c r="AA33" i="62"/>
  <c r="V33" i="62" a="1"/>
  <c r="V33" i="62"/>
  <c r="R33" i="62" a="1"/>
  <c r="R33" i="62"/>
  <c r="N33" i="62" a="1"/>
  <c r="N33" i="62"/>
  <c r="J33" i="62" a="1"/>
  <c r="J33" i="62"/>
  <c r="I33" i="62" a="1"/>
  <c r="I33" i="62"/>
  <c r="BF32" i="62" a="1"/>
  <c r="BF32" i="62"/>
  <c r="BB32" i="62" a="1"/>
  <c r="BB32" i="62"/>
  <c r="AX32" i="62" a="1"/>
  <c r="AX32" i="62"/>
  <c r="AT32" i="62" a="1"/>
  <c r="AT32" i="62"/>
  <c r="AS32" i="62" a="1"/>
  <c r="AS32" i="62"/>
  <c r="AN32" i="62" a="1"/>
  <c r="AN32" i="62"/>
  <c r="AJ32" i="62" a="1"/>
  <c r="AJ32" i="62"/>
  <c r="AF32" i="62" a="1"/>
  <c r="AF32" i="62"/>
  <c r="AB32" i="62" a="1"/>
  <c r="AB32" i="62"/>
  <c r="AA32" i="62" a="1"/>
  <c r="AA32" i="62"/>
  <c r="V32" i="62" a="1"/>
  <c r="V32" i="62"/>
  <c r="R32" i="62" a="1"/>
  <c r="R32" i="62"/>
  <c r="N32" i="62" a="1"/>
  <c r="N32" i="62"/>
  <c r="J32" i="62" a="1"/>
  <c r="J32" i="62"/>
  <c r="I32" i="62" a="1"/>
  <c r="I32" i="62"/>
  <c r="BF31" i="62" a="1"/>
  <c r="BF31" i="62"/>
  <c r="BB31" i="62" a="1"/>
  <c r="BB31" i="62"/>
  <c r="AX31" i="62" a="1"/>
  <c r="AX31" i="62"/>
  <c r="AT31" i="62" a="1"/>
  <c r="AT31" i="62"/>
  <c r="AS31" i="62" a="1"/>
  <c r="AS31" i="62"/>
  <c r="AN31" i="62" a="1"/>
  <c r="AN31" i="62"/>
  <c r="AJ31" i="62" a="1"/>
  <c r="AJ31" i="62"/>
  <c r="AF31" i="62" a="1"/>
  <c r="AF31" i="62"/>
  <c r="AB31" i="62" a="1"/>
  <c r="AB31" i="62"/>
  <c r="AA31" i="62" a="1"/>
  <c r="AA31" i="62"/>
  <c r="V31" i="62" a="1"/>
  <c r="V31" i="62"/>
  <c r="R31" i="62" a="1"/>
  <c r="R31" i="62"/>
  <c r="N31" i="62" a="1"/>
  <c r="N31" i="62"/>
  <c r="J31" i="62" a="1"/>
  <c r="J31" i="62"/>
  <c r="I31" i="62" a="1"/>
  <c r="I31" i="62"/>
  <c r="BF30" i="62" a="1"/>
  <c r="BF30" i="62"/>
  <c r="BB30" i="62" a="1"/>
  <c r="BB30" i="62"/>
  <c r="AX30" i="62" a="1"/>
  <c r="AX30" i="62"/>
  <c r="AT30" i="62" a="1"/>
  <c r="AT30" i="62"/>
  <c r="AS30" i="62" a="1"/>
  <c r="AS30" i="62"/>
  <c r="AN30" i="62" a="1"/>
  <c r="AN30" i="62"/>
  <c r="AJ30" i="62" a="1"/>
  <c r="AJ30" i="62"/>
  <c r="AF30" i="62" a="1"/>
  <c r="AF30" i="62"/>
  <c r="AB30" i="62" a="1"/>
  <c r="AB30" i="62"/>
  <c r="AA30" i="62" a="1"/>
  <c r="AA30" i="62"/>
  <c r="V30" i="62" a="1"/>
  <c r="V30" i="62"/>
  <c r="R30" i="62" a="1"/>
  <c r="R30" i="62"/>
  <c r="N30" i="62" a="1"/>
  <c r="N30" i="62"/>
  <c r="J30" i="62" a="1"/>
  <c r="J30" i="62"/>
  <c r="I30" i="62" a="1"/>
  <c r="I30" i="62"/>
  <c r="BF29" i="62" a="1"/>
  <c r="BF29" i="62"/>
  <c r="BB29" i="62" a="1"/>
  <c r="BB29" i="62"/>
  <c r="AX29" i="62" a="1"/>
  <c r="AX29" i="62"/>
  <c r="AT29" i="62" a="1"/>
  <c r="AT29" i="62"/>
  <c r="AS29" i="62" a="1"/>
  <c r="AS29" i="62"/>
  <c r="AN29" i="62" a="1"/>
  <c r="AN29" i="62"/>
  <c r="AJ29" i="62" a="1"/>
  <c r="AJ29" i="62"/>
  <c r="AF29" i="62" a="1"/>
  <c r="AF29" i="62"/>
  <c r="AB29" i="62" a="1"/>
  <c r="AB29" i="62"/>
  <c r="AA29" i="62" a="1"/>
  <c r="AA29" i="62"/>
  <c r="V29" i="62" a="1"/>
  <c r="V29" i="62"/>
  <c r="R29" i="62" a="1"/>
  <c r="R29" i="62"/>
  <c r="N29" i="62" a="1"/>
  <c r="N29" i="62"/>
  <c r="J29" i="62" a="1"/>
  <c r="J29" i="62"/>
  <c r="I29" i="62" a="1"/>
  <c r="I29" i="62"/>
  <c r="BF28" i="62" a="1"/>
  <c r="BF28" i="62"/>
  <c r="BB28" i="62" a="1"/>
  <c r="BB28" i="62"/>
  <c r="AX28" i="62" a="1"/>
  <c r="AX28" i="62"/>
  <c r="AT28" i="62" a="1"/>
  <c r="AT28" i="62"/>
  <c r="AS28" i="62" a="1"/>
  <c r="AS28" i="62"/>
  <c r="AN28" i="62" a="1"/>
  <c r="AN28" i="62"/>
  <c r="AJ28" i="62" a="1"/>
  <c r="AJ28" i="62"/>
  <c r="AF28" i="62" a="1"/>
  <c r="AF28" i="62"/>
  <c r="AB28" i="62" a="1"/>
  <c r="AB28" i="62"/>
  <c r="AA28" i="62" a="1"/>
  <c r="AA28" i="62"/>
  <c r="V28" i="62" a="1"/>
  <c r="V28" i="62"/>
  <c r="R28" i="62" a="1"/>
  <c r="R28" i="62"/>
  <c r="N28" i="62" a="1"/>
  <c r="N28" i="62"/>
  <c r="J28" i="62" a="1"/>
  <c r="J28" i="62"/>
  <c r="I28" i="62" a="1"/>
  <c r="I28" i="62"/>
  <c r="BF27" i="62" a="1"/>
  <c r="BF27" i="62"/>
  <c r="BB27" i="62" a="1"/>
  <c r="BB27" i="62"/>
  <c r="AX27" i="62" a="1"/>
  <c r="AX27" i="62"/>
  <c r="AT27" i="62" a="1"/>
  <c r="AT27" i="62"/>
  <c r="AS27" i="62" a="1"/>
  <c r="AS27" i="62"/>
  <c r="AN27" i="62" a="1"/>
  <c r="AN27" i="62"/>
  <c r="AJ27" i="62" a="1"/>
  <c r="AJ27" i="62"/>
  <c r="AF27" i="62" a="1"/>
  <c r="AF27" i="62"/>
  <c r="AB27" i="62" a="1"/>
  <c r="AB27" i="62"/>
  <c r="AA27" i="62" a="1"/>
  <c r="AA27" i="62"/>
  <c r="V27" i="62" a="1"/>
  <c r="V27" i="62"/>
  <c r="R27" i="62" a="1"/>
  <c r="R27" i="62"/>
  <c r="N27" i="62" a="1"/>
  <c r="N27" i="62"/>
  <c r="J27" i="62" a="1"/>
  <c r="J27" i="62"/>
  <c r="I27" i="62" a="1"/>
  <c r="I27" i="62"/>
  <c r="BF26" i="62" a="1"/>
  <c r="BF26" i="62"/>
  <c r="BB26" i="62" a="1"/>
  <c r="BB26" i="62"/>
  <c r="AX26" i="62" a="1"/>
  <c r="AX26" i="62"/>
  <c r="AT26" i="62" a="1"/>
  <c r="AT26" i="62"/>
  <c r="AS26" i="62" a="1"/>
  <c r="AS26" i="62"/>
  <c r="AN26" i="62" a="1"/>
  <c r="AN26" i="62"/>
  <c r="AJ26" i="62" a="1"/>
  <c r="AJ26" i="62"/>
  <c r="AF26" i="62" a="1"/>
  <c r="AF26" i="62"/>
  <c r="AB26" i="62" a="1"/>
  <c r="AB26" i="62"/>
  <c r="AA26" i="62" a="1"/>
  <c r="AA26" i="62"/>
  <c r="V26" i="62" a="1"/>
  <c r="V26" i="62"/>
  <c r="R26" i="62" a="1"/>
  <c r="R26" i="62"/>
  <c r="N26" i="62" a="1"/>
  <c r="N26" i="62"/>
  <c r="J26" i="62" a="1"/>
  <c r="J26" i="62"/>
  <c r="I26" i="62" a="1"/>
  <c r="I26" i="62"/>
  <c r="BF25" i="62" a="1"/>
  <c r="BF25" i="62"/>
  <c r="BB25" i="62" a="1"/>
  <c r="BB25" i="62"/>
  <c r="AX25" i="62" a="1"/>
  <c r="AX25" i="62"/>
  <c r="AT25" i="62" a="1"/>
  <c r="AT25" i="62"/>
  <c r="AS25" i="62" a="1"/>
  <c r="AS25" i="62"/>
  <c r="AN25" i="62" a="1"/>
  <c r="AN25" i="62"/>
  <c r="AJ25" i="62" a="1"/>
  <c r="AJ25" i="62"/>
  <c r="AF25" i="62" a="1"/>
  <c r="AF25" i="62"/>
  <c r="AB25" i="62" a="1"/>
  <c r="AB25" i="62"/>
  <c r="AA25" i="62" a="1"/>
  <c r="AA25" i="62"/>
  <c r="V25" i="62" a="1"/>
  <c r="V25" i="62"/>
  <c r="R25" i="62" a="1"/>
  <c r="R25" i="62"/>
  <c r="N25" i="62" a="1"/>
  <c r="N25" i="62"/>
  <c r="J25" i="62" a="1"/>
  <c r="J25" i="62"/>
  <c r="I25" i="62" a="1"/>
  <c r="I25" i="62"/>
  <c r="BF24" i="62" a="1"/>
  <c r="BF24" i="62"/>
  <c r="BB24" i="62" a="1"/>
  <c r="BB24" i="62"/>
  <c r="AX24" i="62" a="1"/>
  <c r="AX24" i="62"/>
  <c r="AT24" i="62" a="1"/>
  <c r="AT24" i="62"/>
  <c r="AS24" i="62" a="1"/>
  <c r="AS24" i="62"/>
  <c r="AN24" i="62" a="1"/>
  <c r="AN24" i="62"/>
  <c r="AJ24" i="62" a="1"/>
  <c r="AJ24" i="62"/>
  <c r="AF24" i="62" a="1"/>
  <c r="AF24" i="62"/>
  <c r="AB24" i="62" a="1"/>
  <c r="AB24" i="62"/>
  <c r="AA24" i="62" a="1"/>
  <c r="AA24" i="62"/>
  <c r="V24" i="62" a="1"/>
  <c r="V24" i="62"/>
  <c r="R24" i="62" a="1"/>
  <c r="R24" i="62"/>
  <c r="N24" i="62" a="1"/>
  <c r="N24" i="62"/>
  <c r="J24" i="62" a="1"/>
  <c r="J24" i="62"/>
  <c r="I24" i="62" a="1"/>
  <c r="I24" i="62"/>
  <c r="BF23" i="62" a="1"/>
  <c r="BF23" i="62"/>
  <c r="BB23" i="62" a="1"/>
  <c r="BB23" i="62"/>
  <c r="AX23" i="62" a="1"/>
  <c r="AX23" i="62"/>
  <c r="AT23" i="62" a="1"/>
  <c r="AT23" i="62"/>
  <c r="AS23" i="62" a="1"/>
  <c r="AS23" i="62"/>
  <c r="AN23" i="62" a="1"/>
  <c r="AN23" i="62"/>
  <c r="AJ23" i="62" a="1"/>
  <c r="AJ23" i="62"/>
  <c r="AF23" i="62" a="1"/>
  <c r="AF23" i="62"/>
  <c r="AB23" i="62" a="1"/>
  <c r="AB23" i="62"/>
  <c r="AA23" i="62" a="1"/>
  <c r="AA23" i="62"/>
  <c r="V23" i="62" a="1"/>
  <c r="V23" i="62"/>
  <c r="R23" i="62" a="1"/>
  <c r="R23" i="62"/>
  <c r="N23" i="62" a="1"/>
  <c r="N23" i="62"/>
  <c r="J23" i="62" a="1"/>
  <c r="J23" i="62"/>
  <c r="I23" i="62" a="1"/>
  <c r="I23" i="62"/>
  <c r="BF22" i="62" a="1"/>
  <c r="BF22" i="62"/>
  <c r="BB22" i="62" a="1"/>
  <c r="BB22" i="62"/>
  <c r="AX22" i="62" a="1"/>
  <c r="AX22" i="62"/>
  <c r="AT22" i="62" a="1"/>
  <c r="AT22" i="62"/>
  <c r="AS22" i="62" a="1"/>
  <c r="AS22" i="62"/>
  <c r="AN22" i="62" a="1"/>
  <c r="AN22" i="62"/>
  <c r="AJ22" i="62" a="1"/>
  <c r="AJ22" i="62"/>
  <c r="AF22" i="62" a="1"/>
  <c r="AF22" i="62"/>
  <c r="AB22" i="62" a="1"/>
  <c r="AB22" i="62"/>
  <c r="AA22" i="62" a="1"/>
  <c r="AA22" i="62"/>
  <c r="V22" i="62" a="1"/>
  <c r="V22" i="62"/>
  <c r="R22" i="62" a="1"/>
  <c r="R22" i="62"/>
  <c r="N22" i="62" a="1"/>
  <c r="N22" i="62"/>
  <c r="J22" i="62" a="1"/>
  <c r="J22" i="62"/>
  <c r="I22" i="62" a="1"/>
  <c r="I22" i="62"/>
  <c r="BF21" i="62" a="1"/>
  <c r="BF21" i="62"/>
  <c r="BB21" i="62" a="1"/>
  <c r="BB21" i="62"/>
  <c r="AX21" i="62" a="1"/>
  <c r="AX21" i="62"/>
  <c r="AT21" i="62" a="1"/>
  <c r="AT21" i="62"/>
  <c r="AS21" i="62" a="1"/>
  <c r="AS21" i="62"/>
  <c r="AN21" i="62" a="1"/>
  <c r="AN21" i="62"/>
  <c r="AJ21" i="62" a="1"/>
  <c r="AJ21" i="62"/>
  <c r="AF21" i="62" a="1"/>
  <c r="AF21" i="62"/>
  <c r="AB21" i="62" a="1"/>
  <c r="AB21" i="62"/>
  <c r="AA21" i="62" a="1"/>
  <c r="AA21" i="62"/>
  <c r="V21" i="62" a="1"/>
  <c r="V21" i="62"/>
  <c r="R21" i="62" a="1"/>
  <c r="R21" i="62"/>
  <c r="N21" i="62" a="1"/>
  <c r="N21" i="62"/>
  <c r="J21" i="62" a="1"/>
  <c r="J21" i="62"/>
  <c r="I21" i="62" a="1"/>
  <c r="I21" i="62"/>
  <c r="BF20" i="62" a="1"/>
  <c r="BF20" i="62"/>
  <c r="BB20" i="62" a="1"/>
  <c r="BB20" i="62"/>
  <c r="AX20" i="62" a="1"/>
  <c r="AX20" i="62"/>
  <c r="AT20" i="62" a="1"/>
  <c r="AT20" i="62"/>
  <c r="AS20" i="62" a="1"/>
  <c r="AS20" i="62"/>
  <c r="AN20" i="62" a="1"/>
  <c r="AN20" i="62"/>
  <c r="AJ20" i="62" a="1"/>
  <c r="AJ20" i="62"/>
  <c r="AF20" i="62" a="1"/>
  <c r="AF20" i="62"/>
  <c r="AB20" i="62" a="1"/>
  <c r="AB20" i="62"/>
  <c r="AA20" i="62" a="1"/>
  <c r="AA20" i="62"/>
  <c r="V20" i="62" a="1"/>
  <c r="V20" i="62"/>
  <c r="R20" i="62" a="1"/>
  <c r="R20" i="62"/>
  <c r="N20" i="62" a="1"/>
  <c r="N20" i="62"/>
  <c r="J20" i="62" a="1"/>
  <c r="J20" i="62"/>
  <c r="I20" i="62" a="1"/>
  <c r="I20" i="62"/>
  <c r="BF19" i="62" a="1"/>
  <c r="BF19" i="62"/>
  <c r="BB19" i="62" a="1"/>
  <c r="BB19" i="62"/>
  <c r="AX19" i="62" a="1"/>
  <c r="AX19" i="62"/>
  <c r="AT19" i="62" a="1"/>
  <c r="AT19" i="62"/>
  <c r="AS19" i="62" a="1"/>
  <c r="AS19" i="62"/>
  <c r="AN19" i="62" a="1"/>
  <c r="AN19" i="62"/>
  <c r="AJ19" i="62" a="1"/>
  <c r="AJ19" i="62"/>
  <c r="AF19" i="62" a="1"/>
  <c r="AF19" i="62"/>
  <c r="AB19" i="62" a="1"/>
  <c r="AB19" i="62"/>
  <c r="AA19" i="62" a="1"/>
  <c r="AA19" i="62"/>
  <c r="V19" i="62" a="1"/>
  <c r="V19" i="62"/>
  <c r="R19" i="62" a="1"/>
  <c r="R19" i="62"/>
  <c r="N19" i="62" a="1"/>
  <c r="N19" i="62"/>
  <c r="J19" i="62" a="1"/>
  <c r="J19" i="62"/>
  <c r="I19" i="62" a="1"/>
  <c r="I19" i="62"/>
  <c r="BF18" i="62" a="1"/>
  <c r="BF18" i="62"/>
  <c r="BB18" i="62" a="1"/>
  <c r="BB18" i="62"/>
  <c r="AX18" i="62" a="1"/>
  <c r="AX18" i="62"/>
  <c r="AT18" i="62" a="1"/>
  <c r="AT18" i="62"/>
  <c r="AS18" i="62" a="1"/>
  <c r="AS18" i="62"/>
  <c r="AN18" i="62" a="1"/>
  <c r="AN18" i="62"/>
  <c r="AJ18" i="62" a="1"/>
  <c r="AJ18" i="62"/>
  <c r="AF18" i="62" a="1"/>
  <c r="AF18" i="62"/>
  <c r="AB18" i="62" a="1"/>
  <c r="AB18" i="62"/>
  <c r="AA18" i="62" a="1"/>
  <c r="AA18" i="62"/>
  <c r="V18" i="62" a="1"/>
  <c r="V18" i="62"/>
  <c r="R18" i="62" a="1"/>
  <c r="R18" i="62"/>
  <c r="N18" i="62" a="1"/>
  <c r="N18" i="62"/>
  <c r="J18" i="62" a="1"/>
  <c r="J18" i="62"/>
  <c r="I18" i="62" a="1"/>
  <c r="I18" i="62"/>
  <c r="BF17" i="62" a="1"/>
  <c r="BF17" i="62"/>
  <c r="BB17" i="62" a="1"/>
  <c r="BB17" i="62"/>
  <c r="AX17" i="62" a="1"/>
  <c r="AX17" i="62"/>
  <c r="AT17" i="62" a="1"/>
  <c r="AT17" i="62"/>
  <c r="AS17" i="62" a="1"/>
  <c r="AS17" i="62"/>
  <c r="AN17" i="62" a="1"/>
  <c r="AN17" i="62"/>
  <c r="AJ17" i="62" a="1"/>
  <c r="AJ17" i="62"/>
  <c r="AF17" i="62" a="1"/>
  <c r="AF17" i="62"/>
  <c r="AB17" i="62" a="1"/>
  <c r="AB17" i="62"/>
  <c r="AA17" i="62" a="1"/>
  <c r="AA17" i="62"/>
  <c r="V17" i="62" a="1"/>
  <c r="V17" i="62"/>
  <c r="R17" i="62" a="1"/>
  <c r="R17" i="62"/>
  <c r="N17" i="62" a="1"/>
  <c r="N17" i="62"/>
  <c r="J17" i="62" a="1"/>
  <c r="J17" i="62"/>
  <c r="I17" i="62" a="1"/>
  <c r="I17" i="62"/>
  <c r="BF16" i="62" a="1"/>
  <c r="BF16" i="62"/>
  <c r="BB16" i="62" a="1"/>
  <c r="BB16" i="62"/>
  <c r="AX16" i="62" a="1"/>
  <c r="AX16" i="62"/>
  <c r="AT16" i="62" a="1"/>
  <c r="AT16" i="62"/>
  <c r="AS16" i="62" a="1"/>
  <c r="AS16" i="62"/>
  <c r="AN16" i="62" a="1"/>
  <c r="AN16" i="62"/>
  <c r="AJ16" i="62" a="1"/>
  <c r="AJ16" i="62"/>
  <c r="AF16" i="62" a="1"/>
  <c r="AF16" i="62"/>
  <c r="AB16" i="62" a="1"/>
  <c r="AB16" i="62"/>
  <c r="AA16" i="62" a="1"/>
  <c r="AA16" i="62"/>
  <c r="V16" i="62" a="1"/>
  <c r="V16" i="62"/>
  <c r="R16" i="62" a="1"/>
  <c r="R16" i="62"/>
  <c r="N16" i="62" a="1"/>
  <c r="N16" i="62"/>
  <c r="J16" i="62" a="1"/>
  <c r="J16" i="62"/>
  <c r="I16" i="62" a="1"/>
  <c r="I16" i="62"/>
  <c r="BF15" i="62" a="1"/>
  <c r="BF15" i="62"/>
  <c r="BB15" i="62" a="1"/>
  <c r="BB15" i="62"/>
  <c r="AX15" i="62" a="1"/>
  <c r="AX15" i="62"/>
  <c r="AT15" i="62" a="1"/>
  <c r="AT15" i="62"/>
  <c r="AS15" i="62" a="1"/>
  <c r="AS15" i="62"/>
  <c r="AN15" i="62" a="1"/>
  <c r="AN15" i="62"/>
  <c r="AJ15" i="62" a="1"/>
  <c r="AJ15" i="62"/>
  <c r="AF15" i="62" a="1"/>
  <c r="AF15" i="62"/>
  <c r="AB15" i="62" a="1"/>
  <c r="AB15" i="62"/>
  <c r="AA15" i="62" a="1"/>
  <c r="AA15" i="62"/>
  <c r="V15" i="62" a="1"/>
  <c r="V15" i="62"/>
  <c r="R15" i="62" a="1"/>
  <c r="R15" i="62"/>
  <c r="N15" i="62" a="1"/>
  <c r="N15" i="62"/>
  <c r="J15" i="62" a="1"/>
  <c r="J15" i="62"/>
  <c r="I15" i="62" a="1"/>
  <c r="I15" i="62"/>
  <c r="BF14" i="62" a="1"/>
  <c r="BF14" i="62"/>
  <c r="BB14" i="62" a="1"/>
  <c r="BB14" i="62"/>
  <c r="AX14" i="62" a="1"/>
  <c r="AX14" i="62"/>
  <c r="AT14" i="62" a="1"/>
  <c r="AT14" i="62"/>
  <c r="AS14" i="62" a="1"/>
  <c r="AS14" i="62"/>
  <c r="AN14" i="62" a="1"/>
  <c r="AN14" i="62"/>
  <c r="AJ14" i="62" a="1"/>
  <c r="AJ14" i="62"/>
  <c r="AF14" i="62" a="1"/>
  <c r="AF14" i="62"/>
  <c r="AB14" i="62" a="1"/>
  <c r="AB14" i="62"/>
  <c r="AA14" i="62" a="1"/>
  <c r="AA14" i="62"/>
  <c r="V14" i="62" a="1"/>
  <c r="V14" i="62"/>
  <c r="R14" i="62" a="1"/>
  <c r="R14" i="62"/>
  <c r="N14" i="62" a="1"/>
  <c r="N14" i="62"/>
  <c r="J14" i="62" a="1"/>
  <c r="J14" i="62"/>
  <c r="I14" i="62" a="1"/>
  <c r="I14" i="62"/>
  <c r="BF13" i="62" a="1"/>
  <c r="BF13" i="62"/>
  <c r="BB13" i="62" a="1"/>
  <c r="BB13" i="62"/>
  <c r="AX13" i="62" a="1"/>
  <c r="AX13" i="62"/>
  <c r="AT13" i="62" a="1"/>
  <c r="AT13" i="62"/>
  <c r="AS13" i="62" a="1"/>
  <c r="AS13" i="62"/>
  <c r="AN13" i="62" a="1"/>
  <c r="AN13" i="62"/>
  <c r="AJ13" i="62" a="1"/>
  <c r="AJ13" i="62"/>
  <c r="AF13" i="62" a="1"/>
  <c r="AF13" i="62"/>
  <c r="AB13" i="62" a="1"/>
  <c r="AB13" i="62"/>
  <c r="AA13" i="62" a="1"/>
  <c r="AA13" i="62"/>
  <c r="V13" i="62" a="1"/>
  <c r="V13" i="62"/>
  <c r="R13" i="62" a="1"/>
  <c r="R13" i="62"/>
  <c r="N13" i="62" a="1"/>
  <c r="N13" i="62"/>
  <c r="J13" i="62" a="1"/>
  <c r="J13" i="62"/>
  <c r="I13" i="62" a="1"/>
  <c r="I13" i="62"/>
  <c r="BF12" i="62" a="1"/>
  <c r="BF12" i="62"/>
  <c r="BB12" i="62" a="1"/>
  <c r="BB12" i="62"/>
  <c r="AX12" i="62" a="1"/>
  <c r="AX12" i="62"/>
  <c r="AT12" i="62" a="1"/>
  <c r="AT12" i="62"/>
  <c r="AS12" i="62" a="1"/>
  <c r="AS12" i="62"/>
  <c r="AN12" i="62" a="1"/>
  <c r="AN12" i="62"/>
  <c r="AJ12" i="62" a="1"/>
  <c r="AJ12" i="62"/>
  <c r="AF12" i="62" a="1"/>
  <c r="AF12" i="62"/>
  <c r="AB12" i="62" a="1"/>
  <c r="AB12" i="62"/>
  <c r="AA12" i="62" a="1"/>
  <c r="AA12" i="62"/>
  <c r="V12" i="62" a="1"/>
  <c r="V12" i="62"/>
  <c r="R12" i="62" a="1"/>
  <c r="R12" i="62"/>
  <c r="N12" i="62" a="1"/>
  <c r="N12" i="62"/>
  <c r="J12" i="62" a="1"/>
  <c r="J12" i="62"/>
  <c r="I12" i="62" a="1"/>
  <c r="I12" i="62"/>
  <c r="BF11" i="62" a="1"/>
  <c r="BF11" i="62"/>
  <c r="BB11" i="62" a="1"/>
  <c r="BB11" i="62"/>
  <c r="AX11" i="62" a="1"/>
  <c r="AX11" i="62"/>
  <c r="AT11" i="62" a="1"/>
  <c r="AT11" i="62"/>
  <c r="AS11" i="62" a="1"/>
  <c r="AS11" i="62"/>
  <c r="AN11" i="62" a="1"/>
  <c r="AN11" i="62"/>
  <c r="AJ11" i="62" a="1"/>
  <c r="AJ11" i="62"/>
  <c r="AF11" i="62" a="1"/>
  <c r="AF11" i="62"/>
  <c r="AB11" i="62" a="1"/>
  <c r="AB11" i="62"/>
  <c r="AA11" i="62" a="1"/>
  <c r="AA11" i="62"/>
  <c r="V11" i="62" a="1"/>
  <c r="V11" i="62"/>
  <c r="R11" i="62" a="1"/>
  <c r="R11" i="62"/>
  <c r="N11" i="62" a="1"/>
  <c r="N11" i="62"/>
  <c r="J11" i="62" a="1"/>
  <c r="J11" i="62"/>
  <c r="I11" i="62" a="1"/>
  <c r="I11" i="62"/>
  <c r="BF10" i="62" a="1"/>
  <c r="BF10" i="62"/>
  <c r="BB10" i="62" a="1"/>
  <c r="BB10" i="62"/>
  <c r="AX10" i="62" a="1"/>
  <c r="AX10" i="62"/>
  <c r="AT10" i="62" a="1"/>
  <c r="AT10" i="62"/>
  <c r="AS10" i="62" a="1"/>
  <c r="AS10" i="62"/>
  <c r="AN10" i="62" a="1"/>
  <c r="AN10" i="62"/>
  <c r="AJ10" i="62" a="1"/>
  <c r="AJ10" i="62"/>
  <c r="AF10" i="62" a="1"/>
  <c r="AF10" i="62"/>
  <c r="AB10" i="62" a="1"/>
  <c r="AB10" i="62"/>
  <c r="AA10" i="62" a="1"/>
  <c r="AA10" i="62"/>
  <c r="V10" i="62" a="1"/>
  <c r="V10" i="62"/>
  <c r="R10" i="62" a="1"/>
  <c r="R10" i="62"/>
  <c r="N10" i="62" a="1"/>
  <c r="N10" i="62"/>
  <c r="J10" i="62" a="1"/>
  <c r="J10" i="62"/>
  <c r="I10" i="62" a="1"/>
  <c r="I10" i="62"/>
  <c r="BF9" i="62" a="1"/>
  <c r="BF9" i="62"/>
  <c r="BB9" i="62" a="1"/>
  <c r="BB9" i="62"/>
  <c r="AX9" i="62" a="1"/>
  <c r="AX9" i="62"/>
  <c r="AT9" i="62" a="1"/>
  <c r="AT9" i="62"/>
  <c r="AS9" i="62" a="1"/>
  <c r="AS9" i="62"/>
  <c r="AN9" i="62" a="1"/>
  <c r="AN9" i="62"/>
  <c r="AJ9" i="62" a="1"/>
  <c r="AJ9" i="62"/>
  <c r="AF9" i="62" a="1"/>
  <c r="AF9" i="62"/>
  <c r="AB9" i="62" a="1"/>
  <c r="AB9" i="62"/>
  <c r="AA9" i="62" a="1"/>
  <c r="AA9" i="62"/>
  <c r="V9" i="62" a="1"/>
  <c r="V9" i="62"/>
  <c r="R9" i="62" a="1"/>
  <c r="R9" i="62"/>
  <c r="N9" i="62" a="1"/>
  <c r="N9" i="62"/>
  <c r="J9" i="62" a="1"/>
  <c r="J9" i="62"/>
  <c r="I9" i="62" a="1"/>
  <c r="I9" i="62"/>
  <c r="BF8" i="62" a="1"/>
  <c r="BF8" i="62"/>
  <c r="BB8" i="62" a="1"/>
  <c r="BB8" i="62"/>
  <c r="AX8" i="62" a="1"/>
  <c r="AX8" i="62"/>
  <c r="AT8" i="62" a="1"/>
  <c r="AT8" i="62"/>
  <c r="AS8" i="62" a="1"/>
  <c r="AS8" i="62"/>
  <c r="AN8" i="62" a="1"/>
  <c r="AN8" i="62"/>
  <c r="AJ8" i="62" a="1"/>
  <c r="AJ8" i="62"/>
  <c r="AF8" i="62" a="1"/>
  <c r="AF8" i="62"/>
  <c r="AB8" i="62" a="1"/>
  <c r="AB8" i="62"/>
  <c r="AA8" i="62" a="1"/>
  <c r="AA8" i="62"/>
  <c r="V8" i="62" a="1"/>
  <c r="V8" i="62"/>
  <c r="R8" i="62" a="1"/>
  <c r="R8" i="62"/>
  <c r="N8" i="62" a="1"/>
  <c r="N8" i="62"/>
  <c r="J8" i="62" a="1"/>
  <c r="J8" i="62"/>
  <c r="I8" i="62" a="1"/>
  <c r="I8" i="62"/>
  <c r="BF7" i="62" a="1"/>
  <c r="BF7" i="62"/>
  <c r="BB7" i="62" a="1"/>
  <c r="BB7" i="62"/>
  <c r="AX7" i="62" a="1"/>
  <c r="AX7" i="62"/>
  <c r="AT7" i="62" a="1"/>
  <c r="AT7" i="62"/>
  <c r="AS7" i="62" a="1"/>
  <c r="AS7" i="62"/>
  <c r="AN7" i="62" a="1"/>
  <c r="AN7" i="62"/>
  <c r="AJ7" i="62" a="1"/>
  <c r="AJ7" i="62"/>
  <c r="AF7" i="62" a="1"/>
  <c r="AF7" i="62"/>
  <c r="AB7" i="62" a="1"/>
  <c r="AB7" i="62"/>
  <c r="AA7" i="62" a="1"/>
  <c r="AA7" i="62"/>
  <c r="V7" i="62" a="1"/>
  <c r="V7" i="62"/>
  <c r="R7" i="62" a="1"/>
  <c r="R7" i="62"/>
  <c r="N7" i="62" a="1"/>
  <c r="N7" i="62"/>
  <c r="J7" i="62" a="1"/>
  <c r="J7" i="62"/>
  <c r="I7" i="62" a="1"/>
  <c r="I7" i="62"/>
  <c r="BF6" i="62" a="1"/>
  <c r="BF6" i="62"/>
  <c r="BB6" i="62" a="1"/>
  <c r="BB6" i="62"/>
  <c r="AX6" i="62" a="1"/>
  <c r="AX6" i="62"/>
  <c r="AT6" i="62" a="1"/>
  <c r="AT6" i="62"/>
  <c r="AS6" i="62" a="1"/>
  <c r="AS6" i="62"/>
  <c r="AN6" i="62" a="1"/>
  <c r="AN6" i="62"/>
  <c r="AJ6" i="62" a="1"/>
  <c r="AJ6" i="62"/>
  <c r="AF6" i="62" a="1"/>
  <c r="AF6" i="62"/>
  <c r="AB6" i="62" a="1"/>
  <c r="AB6" i="62"/>
  <c r="AA6" i="62" a="1"/>
  <c r="AA6" i="62"/>
  <c r="V6" i="62" a="1"/>
  <c r="V6" i="62"/>
  <c r="R6" i="62" a="1"/>
  <c r="R6" i="62"/>
  <c r="N6" i="62" a="1"/>
  <c r="N6" i="62"/>
  <c r="J6" i="62" a="1"/>
  <c r="J6" i="62"/>
  <c r="I6" i="62" a="1"/>
  <c r="I6" i="62"/>
  <c r="BF5" i="62" a="1"/>
  <c r="BF5" i="62"/>
  <c r="BB5" i="62" a="1"/>
  <c r="BB5" i="62"/>
  <c r="AX5" i="62" a="1"/>
  <c r="AX5" i="62"/>
  <c r="AT5" i="62" a="1"/>
  <c r="AT5" i="62"/>
  <c r="AS5" i="62" a="1"/>
  <c r="AS5" i="62"/>
  <c r="AN5" i="62" a="1"/>
  <c r="AN5" i="62"/>
  <c r="AJ5" i="62" a="1"/>
  <c r="AJ5" i="62"/>
  <c r="AF5" i="62" a="1"/>
  <c r="AF5" i="62"/>
  <c r="AB5" i="62" a="1"/>
  <c r="AB5" i="62"/>
  <c r="AA5" i="62" a="1"/>
  <c r="AA5" i="62"/>
  <c r="V5" i="62" a="1"/>
  <c r="V5" i="62"/>
  <c r="R5" i="62" a="1"/>
  <c r="R5" i="62"/>
  <c r="N5" i="62" a="1"/>
  <c r="N5" i="62"/>
  <c r="J5" i="62" a="1"/>
  <c r="J5" i="62"/>
  <c r="I5" i="62" a="1"/>
  <c r="I5" i="62"/>
  <c r="BF4" i="62" a="1"/>
  <c r="BF4" i="62"/>
  <c r="BB4" i="62" a="1"/>
  <c r="BB4" i="62"/>
  <c r="AX4" i="62" a="1"/>
  <c r="AX4" i="62"/>
  <c r="AT4" i="62" a="1"/>
  <c r="AT4" i="62"/>
  <c r="AS4" i="62" a="1"/>
  <c r="AS4" i="62"/>
  <c r="AN4" i="62" a="1"/>
  <c r="AN4" i="62"/>
  <c r="AJ4" i="62" a="1"/>
  <c r="AJ4" i="62"/>
  <c r="AF4" i="62" a="1"/>
  <c r="AF4" i="62"/>
  <c r="AB4" i="62" a="1"/>
  <c r="AB4" i="62"/>
  <c r="AA4" i="62" a="1"/>
  <c r="AA4" i="62"/>
  <c r="V4" i="62" a="1"/>
  <c r="V4" i="62"/>
  <c r="R4" i="62" a="1"/>
  <c r="R4" i="62"/>
  <c r="N4" i="62" a="1"/>
  <c r="N4" i="62"/>
  <c r="J4" i="62" a="1"/>
  <c r="J4" i="62"/>
  <c r="I4" i="62" a="1"/>
  <c r="I4" i="62"/>
  <c r="BF3" i="62" a="1"/>
  <c r="BF3" i="62"/>
  <c r="BB3" i="62" a="1"/>
  <c r="BB3" i="62"/>
  <c r="AX3" i="62" a="1"/>
  <c r="AX3" i="62"/>
  <c r="AT3" i="62" a="1"/>
  <c r="AT3" i="62"/>
  <c r="AS3" i="62" a="1"/>
  <c r="AS3" i="62"/>
  <c r="AN3" i="62" a="1"/>
  <c r="AN3" i="62"/>
  <c r="AJ3" i="62" a="1"/>
  <c r="AJ3" i="62"/>
  <c r="AF3" i="62" a="1"/>
  <c r="AF3" i="62"/>
  <c r="AB3" i="62" a="1"/>
  <c r="AB3" i="62"/>
  <c r="AA3" i="62" a="1"/>
  <c r="AA3" i="62"/>
  <c r="V3" i="62" a="1"/>
  <c r="V3" i="62"/>
  <c r="R3" i="62" a="1"/>
  <c r="R3" i="62"/>
  <c r="N3" i="62" a="1"/>
  <c r="N3" i="62"/>
  <c r="J3" i="62" a="1"/>
  <c r="J3" i="62"/>
  <c r="I3" i="62" a="1"/>
  <c r="I3" i="62"/>
  <c r="C205" i="62"/>
  <c r="V395" i="61"/>
  <c r="I394" i="61"/>
  <c r="V394" i="61"/>
  <c r="AX395" i="61"/>
  <c r="AJ395" i="61"/>
  <c r="J395" i="61"/>
  <c r="J394" i="61"/>
  <c r="AF395" i="61"/>
  <c r="R394" i="61"/>
  <c r="R395" i="61"/>
  <c r="N395" i="61"/>
  <c r="N394" i="61"/>
  <c r="AB395" i="61"/>
  <c r="AB394" i="61"/>
  <c r="AT395" i="61"/>
  <c r="AS395" i="61"/>
  <c r="I395" i="61"/>
  <c r="BB395" i="61"/>
  <c r="AN395" i="61"/>
  <c r="AA394" i="61"/>
  <c r="AA395" i="61"/>
  <c r="BF394" i="61"/>
  <c r="AJ394" i="61"/>
  <c r="AX394" i="61"/>
  <c r="AN394" i="61"/>
  <c r="BB394" i="61"/>
  <c r="AS394" i="61"/>
  <c r="AW24" i="34"/>
  <c r="AW20" i="34" a="1"/>
  <c r="AW20" i="34"/>
  <c r="AX24" i="34"/>
  <c r="AY24" i="34"/>
  <c r="AZ24" i="34"/>
  <c r="AF394" i="61"/>
  <c r="AT394" i="61"/>
  <c r="AX258" i="55"/>
  <c r="AJ258" i="55"/>
  <c r="V258" i="55"/>
  <c r="I258" i="55"/>
  <c r="N258" i="55"/>
  <c r="AB258" i="55"/>
  <c r="AS258" i="55"/>
  <c r="BF258" i="55"/>
  <c r="R258" i="55"/>
  <c r="AF258" i="55"/>
  <c r="AT258" i="55"/>
  <c r="J258" i="55"/>
  <c r="AA258" i="55"/>
  <c r="AN258" i="55"/>
  <c r="BB258" i="55"/>
  <c r="N257" i="55"/>
  <c r="AB257" i="55"/>
  <c r="AS257" i="55"/>
  <c r="BF257" i="55"/>
  <c r="R257" i="55"/>
  <c r="AF257" i="55"/>
  <c r="AT257" i="55"/>
  <c r="J257" i="55"/>
  <c r="AA257" i="55"/>
  <c r="AN257" i="55"/>
  <c r="BB257" i="55"/>
  <c r="BA24" i="34"/>
  <c r="BB24" i="34"/>
  <c r="BF24" i="34"/>
  <c r="BD24" i="34"/>
  <c r="BH24" i="34"/>
  <c r="BC24" i="34"/>
  <c r="BE24" i="34"/>
  <c r="BG24" i="34"/>
  <c r="I257" i="55"/>
  <c r="V257" i="55"/>
  <c r="AJ257" i="55"/>
  <c r="AX257" i="55"/>
  <c r="AK70" i="61"/>
  <c r="AK70" i="62"/>
  <c r="AK70" i="55"/>
  <c r="K70" i="55"/>
  <c r="K70" i="61"/>
  <c r="K70" i="62"/>
  <c r="F12" i="1"/>
  <c r="G12" i="1"/>
  <c r="H3" i="34"/>
  <c r="H3" i="24"/>
  <c r="H3" i="6"/>
  <c r="I550" i="35"/>
  <c r="H550" i="35"/>
  <c r="G550" i="35"/>
  <c r="I544" i="35"/>
  <c r="H544" i="35"/>
  <c r="G544" i="35"/>
  <c r="J18" i="9"/>
  <c r="F14" i="9"/>
  <c r="L18" i="9"/>
  <c r="K18" i="9"/>
  <c r="I18" i="9"/>
  <c r="H18" i="9"/>
  <c r="G18" i="9"/>
  <c r="F18" i="9"/>
  <c r="L14" i="9"/>
  <c r="K14" i="9"/>
  <c r="J14" i="9"/>
  <c r="I14" i="9"/>
  <c r="H14" i="9"/>
  <c r="G14" i="9"/>
  <c r="G13" i="9"/>
  <c r="L13" i="9"/>
  <c r="E18" i="9"/>
  <c r="E14" i="9"/>
  <c r="G473" i="35"/>
  <c r="K13" i="9"/>
  <c r="H13" i="9"/>
  <c r="F13" i="9"/>
  <c r="J13" i="9"/>
  <c r="I13" i="9"/>
  <c r="E13" i="9"/>
  <c r="I3" i="64"/>
  <c r="X87" i="64"/>
  <c r="S87" i="64"/>
  <c r="N87" i="64"/>
  <c r="X86" i="64"/>
  <c r="S86" i="64"/>
  <c r="N86" i="64"/>
  <c r="X85" i="64"/>
  <c r="S85" i="64"/>
  <c r="N85" i="64"/>
  <c r="X84" i="64"/>
  <c r="S84" i="64"/>
  <c r="N84" i="64"/>
  <c r="X83" i="64"/>
  <c r="S83" i="64"/>
  <c r="N83" i="64"/>
  <c r="X82" i="64"/>
  <c r="S82" i="64"/>
  <c r="N82" i="64"/>
  <c r="X81" i="64"/>
  <c r="S81" i="64"/>
  <c r="N81" i="64"/>
  <c r="X80" i="64"/>
  <c r="S80" i="64"/>
  <c r="N80" i="64"/>
  <c r="X79" i="64"/>
  <c r="S79" i="64"/>
  <c r="N79" i="64"/>
  <c r="X78" i="64"/>
  <c r="S78" i="64"/>
  <c r="N78" i="64"/>
  <c r="X77" i="64"/>
  <c r="S77" i="64"/>
  <c r="N77" i="64"/>
  <c r="X76" i="64"/>
  <c r="S76" i="64"/>
  <c r="N76" i="64"/>
  <c r="X75" i="64"/>
  <c r="S75" i="64"/>
  <c r="N75" i="64"/>
  <c r="X74" i="64"/>
  <c r="S74" i="64"/>
  <c r="N74" i="64"/>
  <c r="X73" i="64"/>
  <c r="S73" i="64"/>
  <c r="N73" i="64"/>
  <c r="X72" i="64"/>
  <c r="S72" i="64"/>
  <c r="N72" i="64"/>
  <c r="X71" i="64"/>
  <c r="S71" i="64"/>
  <c r="N71" i="64"/>
  <c r="X70" i="64"/>
  <c r="S70" i="64"/>
  <c r="N70" i="64"/>
  <c r="X69" i="64"/>
  <c r="S69" i="64"/>
  <c r="N69" i="64"/>
  <c r="X68" i="64"/>
  <c r="S68" i="64"/>
  <c r="N68" i="64"/>
  <c r="X67" i="64"/>
  <c r="S67" i="64"/>
  <c r="N67" i="64"/>
  <c r="X66" i="64"/>
  <c r="S66" i="64"/>
  <c r="N66" i="64"/>
  <c r="X65" i="64"/>
  <c r="S65" i="64"/>
  <c r="N65" i="64"/>
  <c r="X64" i="64"/>
  <c r="S64" i="64"/>
  <c r="N64" i="64"/>
  <c r="X63" i="64"/>
  <c r="S63" i="64"/>
  <c r="N63" i="64"/>
  <c r="X62" i="64"/>
  <c r="S62" i="64"/>
  <c r="N62" i="64"/>
  <c r="X61" i="64"/>
  <c r="S61" i="64"/>
  <c r="N61" i="64"/>
  <c r="X60" i="64"/>
  <c r="S60" i="64"/>
  <c r="N60" i="64"/>
  <c r="X59" i="64"/>
  <c r="S59" i="64"/>
  <c r="N59" i="64"/>
  <c r="X58" i="64"/>
  <c r="S58" i="64"/>
  <c r="N58" i="64"/>
  <c r="X57" i="64"/>
  <c r="S57" i="64"/>
  <c r="N57" i="64"/>
  <c r="X56" i="64"/>
  <c r="S56" i="64"/>
  <c r="N56" i="64"/>
  <c r="X55" i="64"/>
  <c r="S55" i="64"/>
  <c r="N55" i="64"/>
  <c r="X47" i="64"/>
  <c r="S47" i="64"/>
  <c r="N47" i="64"/>
  <c r="X46" i="64"/>
  <c r="S46" i="64"/>
  <c r="N46" i="64"/>
  <c r="X45" i="64"/>
  <c r="S45" i="64"/>
  <c r="N45" i="64"/>
  <c r="X44" i="64"/>
  <c r="S44" i="64"/>
  <c r="N44" i="64"/>
  <c r="X43" i="64"/>
  <c r="S43" i="64"/>
  <c r="N43" i="64"/>
  <c r="X42" i="64"/>
  <c r="S42" i="64"/>
  <c r="N42" i="64"/>
  <c r="X41" i="64"/>
  <c r="S41" i="64"/>
  <c r="N41" i="64"/>
  <c r="X40" i="64"/>
  <c r="S40" i="64"/>
  <c r="N40" i="64"/>
  <c r="X39" i="64"/>
  <c r="S39" i="64"/>
  <c r="N39" i="64"/>
  <c r="X38" i="64"/>
  <c r="S38" i="64"/>
  <c r="N38" i="64"/>
  <c r="X37" i="64"/>
  <c r="S37" i="64"/>
  <c r="N37" i="64"/>
  <c r="X36" i="64"/>
  <c r="S36" i="64"/>
  <c r="N36" i="64"/>
  <c r="X35" i="64"/>
  <c r="S35" i="64"/>
  <c r="N35" i="64"/>
  <c r="X34" i="64"/>
  <c r="S34" i="64"/>
  <c r="N34" i="64"/>
  <c r="X33" i="64"/>
  <c r="S33" i="64"/>
  <c r="N33" i="64"/>
  <c r="X32" i="64"/>
  <c r="S32" i="64"/>
  <c r="N32" i="64"/>
  <c r="X31" i="64"/>
  <c r="S31" i="64"/>
  <c r="N31" i="64"/>
  <c r="X30" i="64"/>
  <c r="S30" i="64"/>
  <c r="N30" i="64"/>
  <c r="X29" i="64"/>
  <c r="S29" i="64"/>
  <c r="N29" i="64"/>
  <c r="X28" i="64"/>
  <c r="S28" i="64"/>
  <c r="N28" i="64"/>
  <c r="X27" i="64"/>
  <c r="S27" i="64"/>
  <c r="N27" i="64"/>
  <c r="X26" i="64"/>
  <c r="S26" i="64"/>
  <c r="N26" i="64"/>
  <c r="X25" i="64"/>
  <c r="S25" i="64"/>
  <c r="N25" i="64"/>
  <c r="X24" i="64"/>
  <c r="S24" i="64"/>
  <c r="N24" i="64"/>
  <c r="X23" i="64"/>
  <c r="S23" i="64"/>
  <c r="N23" i="64"/>
  <c r="X22" i="64"/>
  <c r="S22" i="64"/>
  <c r="N22" i="64"/>
  <c r="X21" i="64"/>
  <c r="S21" i="64"/>
  <c r="N21" i="64"/>
  <c r="X20" i="64"/>
  <c r="S20" i="64"/>
  <c r="N20" i="64"/>
  <c r="X19" i="64"/>
  <c r="S19" i="64"/>
  <c r="N19" i="64"/>
  <c r="X18" i="64"/>
  <c r="S18" i="64"/>
  <c r="N18" i="64"/>
  <c r="X17" i="64"/>
  <c r="S17" i="64"/>
  <c r="N17" i="64"/>
  <c r="X16" i="64"/>
  <c r="S16" i="64"/>
  <c r="N16" i="64"/>
  <c r="X15" i="64"/>
  <c r="S15" i="64"/>
  <c r="N15" i="64"/>
  <c r="I5" i="64"/>
  <c r="C5" i="64"/>
  <c r="C3" i="64"/>
  <c r="G167" i="55" a="1"/>
  <c r="G167" i="55"/>
  <c r="H167" i="55" a="1"/>
  <c r="H167" i="55"/>
  <c r="G168" i="55" a="1"/>
  <c r="G168" i="55"/>
  <c r="H168" i="55" a="1"/>
  <c r="H168" i="55"/>
  <c r="G170" i="55" a="1"/>
  <c r="G170" i="55"/>
  <c r="H170" i="55" a="1"/>
  <c r="H170" i="55"/>
  <c r="G171" i="55" a="1"/>
  <c r="G171" i="55"/>
  <c r="H171" i="55" a="1"/>
  <c r="H171" i="55"/>
  <c r="BG178" i="55"/>
  <c r="G226" i="55" a="1"/>
  <c r="G226" i="55"/>
  <c r="H226" i="55" a="1"/>
  <c r="H226" i="55"/>
  <c r="G227" i="55" a="1"/>
  <c r="G227" i="55"/>
  <c r="H227" i="55" a="1"/>
  <c r="H227" i="55"/>
  <c r="G228" i="55" a="1"/>
  <c r="G228" i="55"/>
  <c r="H228" i="55" a="1"/>
  <c r="H228" i="55"/>
  <c r="G229" i="55" a="1"/>
  <c r="G229" i="55"/>
  <c r="H229" i="55" a="1"/>
  <c r="H229" i="55"/>
  <c r="G231" i="55" a="1"/>
  <c r="G231" i="55"/>
  <c r="H231" i="55" a="1"/>
  <c r="H231" i="55"/>
  <c r="G232" i="55" a="1"/>
  <c r="G232" i="55"/>
  <c r="H232" i="55" a="1"/>
  <c r="H232" i="55"/>
  <c r="G233" i="55" a="1"/>
  <c r="G233" i="55"/>
  <c r="H233" i="55" a="1"/>
  <c r="H233" i="55"/>
  <c r="G234" i="55" a="1"/>
  <c r="G234" i="55"/>
  <c r="H234" i="55" a="1"/>
  <c r="H234" i="55"/>
  <c r="G235" i="55" a="1"/>
  <c r="G235" i="55"/>
  <c r="H235" i="55" a="1"/>
  <c r="H235" i="55"/>
  <c r="G236" i="55" a="1"/>
  <c r="G236" i="55"/>
  <c r="H236" i="55" a="1"/>
  <c r="H236" i="55"/>
  <c r="G237" i="55" a="1"/>
  <c r="G237" i="55"/>
  <c r="H237" i="55" a="1"/>
  <c r="H237" i="55"/>
  <c r="G239" i="55" a="1"/>
  <c r="G239" i="55"/>
  <c r="H239" i="55" a="1"/>
  <c r="H239" i="55"/>
  <c r="G240" i="55" a="1"/>
  <c r="G240" i="55"/>
  <c r="H240" i="55" a="1"/>
  <c r="H240" i="55"/>
  <c r="G241" i="55" a="1"/>
  <c r="G241" i="55"/>
  <c r="H241" i="55" a="1"/>
  <c r="H241" i="55"/>
  <c r="G242" i="55" a="1"/>
  <c r="G242" i="55"/>
  <c r="H242" i="55" a="1"/>
  <c r="H242" i="55"/>
  <c r="G243" i="55" a="1"/>
  <c r="G243" i="55"/>
  <c r="H243" i="55" a="1"/>
  <c r="H243" i="55"/>
  <c r="G245" i="55" a="1"/>
  <c r="G245" i="55"/>
  <c r="H245" i="55" a="1"/>
  <c r="H245" i="55"/>
  <c r="G246" i="55" a="1"/>
  <c r="G246" i="55"/>
  <c r="H246" i="55" a="1"/>
  <c r="H246" i="55"/>
  <c r="G247" i="55" a="1"/>
  <c r="G247" i="55"/>
  <c r="H247" i="55" a="1"/>
  <c r="H247" i="55"/>
  <c r="G248" i="55" a="1"/>
  <c r="G248" i="55"/>
  <c r="H248" i="55" a="1"/>
  <c r="H248" i="55"/>
  <c r="G249" i="55" a="1"/>
  <c r="G249" i="55"/>
  <c r="H249" i="55" a="1"/>
  <c r="H249" i="55"/>
  <c r="G250" i="55" a="1"/>
  <c r="G250" i="55"/>
  <c r="H250" i="55" a="1"/>
  <c r="H250" i="55"/>
  <c r="G251" i="55" a="1"/>
  <c r="G251" i="55"/>
  <c r="H251" i="55" a="1"/>
  <c r="H251" i="55"/>
  <c r="G252" i="55" a="1"/>
  <c r="G252" i="55"/>
  <c r="H252" i="55" a="1"/>
  <c r="H252" i="55"/>
  <c r="G253" i="55" a="1"/>
  <c r="G253" i="55"/>
  <c r="H253" i="55" a="1"/>
  <c r="H253" i="55"/>
  <c r="G254" i="55" a="1"/>
  <c r="G254" i="55"/>
  <c r="H254" i="55" a="1"/>
  <c r="H254" i="55"/>
  <c r="G255" i="55" a="1"/>
  <c r="G255" i="55"/>
  <c r="H255" i="55" a="1"/>
  <c r="H255" i="55"/>
  <c r="Y72" i="64"/>
  <c r="Y76" i="64"/>
  <c r="Y80" i="64"/>
  <c r="Y84" i="64"/>
  <c r="Y74" i="64"/>
  <c r="Y78" i="64"/>
  <c r="Y82" i="64"/>
  <c r="Y86" i="64"/>
  <c r="Y22" i="64"/>
  <c r="Y34" i="64"/>
  <c r="Y37" i="64"/>
  <c r="Y16" i="64"/>
  <c r="Y17" i="64"/>
  <c r="Y21" i="64"/>
  <c r="Y66" i="64"/>
  <c r="Y38" i="64"/>
  <c r="Y25" i="64"/>
  <c r="Y29" i="64"/>
  <c r="Y31" i="64"/>
  <c r="Y32" i="64"/>
  <c r="Y33" i="64"/>
  <c r="Y58" i="64"/>
  <c r="Y59" i="64"/>
  <c r="Y61" i="64"/>
  <c r="Y62" i="64"/>
  <c r="Y18" i="64"/>
  <c r="Y41" i="64"/>
  <c r="Y45" i="64"/>
  <c r="Y47" i="64"/>
  <c r="Y70" i="64"/>
  <c r="Y15" i="64"/>
  <c r="W247" i="55"/>
  <c r="AO246" i="55"/>
  <c r="BG251" i="55"/>
  <c r="BG247" i="55"/>
  <c r="S251" i="55"/>
  <c r="AK172" i="55"/>
  <c r="W249" i="55"/>
  <c r="S171" i="55"/>
  <c r="AK170" i="55"/>
  <c r="K244" i="55"/>
  <c r="Y19" i="64"/>
  <c r="Y20" i="64"/>
  <c r="Y26" i="64"/>
  <c r="Y35" i="64"/>
  <c r="Y36" i="64"/>
  <c r="Y42" i="64"/>
  <c r="Y60" i="64"/>
  <c r="Y63" i="64"/>
  <c r="Y65" i="64"/>
  <c r="Y23" i="64"/>
  <c r="Y24" i="64"/>
  <c r="Y30" i="64"/>
  <c r="Y39" i="64"/>
  <c r="Y40" i="64"/>
  <c r="Y46" i="64"/>
  <c r="Y64" i="64"/>
  <c r="Y67" i="64"/>
  <c r="Y69" i="64"/>
  <c r="Y27" i="64"/>
  <c r="Y28" i="64"/>
  <c r="Y43" i="64"/>
  <c r="Y44" i="64"/>
  <c r="Y55" i="64"/>
  <c r="Y56" i="64"/>
  <c r="Y57" i="64"/>
  <c r="Y68" i="64"/>
  <c r="Y71" i="64"/>
  <c r="Y73" i="64"/>
  <c r="Y75" i="64"/>
  <c r="Y77" i="64"/>
  <c r="Y79" i="64"/>
  <c r="Y81" i="64"/>
  <c r="Y83" i="64"/>
  <c r="Y85" i="64"/>
  <c r="Y87" i="64"/>
  <c r="BC244" i="55"/>
  <c r="AC244" i="55"/>
  <c r="S247" i="55"/>
  <c r="AC243" i="55"/>
  <c r="S178" i="55"/>
  <c r="S176" i="55"/>
  <c r="K171" i="55"/>
  <c r="AO254" i="55"/>
  <c r="AU232" i="55"/>
  <c r="AC231" i="55"/>
  <c r="S230" i="55"/>
  <c r="W255" i="55"/>
  <c r="S245" i="55"/>
  <c r="AU244" i="55"/>
  <c r="BC230" i="55"/>
  <c r="K227" i="55"/>
  <c r="AC226" i="55"/>
  <c r="AU180" i="55"/>
  <c r="K172" i="55"/>
  <c r="K254" i="55"/>
  <c r="S244" i="55"/>
  <c r="BC241" i="55"/>
  <c r="K234" i="55"/>
  <c r="AC177" i="55"/>
  <c r="AU171" i="55"/>
  <c r="BG254" i="55"/>
  <c r="AC248" i="55"/>
  <c r="BC254" i="55"/>
  <c r="W253" i="55"/>
  <c r="K252" i="55"/>
  <c r="BC251" i="55"/>
  <c r="K249" i="55"/>
  <c r="AK246" i="55"/>
  <c r="AU243" i="55"/>
  <c r="BC240" i="55"/>
  <c r="S228" i="55"/>
  <c r="BC232" i="55"/>
  <c r="AO251" i="55"/>
  <c r="AK250" i="55"/>
  <c r="K245" i="55"/>
  <c r="BC242" i="55"/>
  <c r="K177" i="55"/>
  <c r="AC172" i="55"/>
  <c r="AC171" i="55"/>
  <c r="BC179" i="55"/>
  <c r="K170" i="55"/>
  <c r="AY252" i="55"/>
  <c r="AU252" i="55"/>
  <c r="AG247" i="55"/>
  <c r="AC247" i="55"/>
  <c r="AU255" i="55"/>
  <c r="AY255" i="55"/>
  <c r="AC255" i="55"/>
  <c r="AK255" i="55"/>
  <c r="AO255" i="55"/>
  <c r="W251" i="55"/>
  <c r="S249" i="55"/>
  <c r="AK241" i="55"/>
  <c r="S240" i="55"/>
  <c r="AK231" i="55"/>
  <c r="AG254" i="55"/>
  <c r="W254" i="55"/>
  <c r="S254" i="55"/>
  <c r="O232" i="55"/>
  <c r="S232" i="55"/>
  <c r="AG231" i="55"/>
  <c r="AU254" i="55"/>
  <c r="O255" i="55"/>
  <c r="AG252" i="55"/>
  <c r="BC247" i="55"/>
  <c r="AY245" i="55"/>
  <c r="AY232" i="55"/>
  <c r="K253" i="55"/>
  <c r="AY249" i="55"/>
  <c r="AK248" i="55"/>
  <c r="AG233" i="55"/>
  <c r="AK233" i="55"/>
  <c r="K230" i="55"/>
  <c r="BC243" i="55"/>
  <c r="O234" i="55"/>
  <c r="AU230" i="55"/>
  <c r="K229" i="55"/>
  <c r="AC228" i="55"/>
  <c r="AK229" i="55"/>
  <c r="S226" i="55"/>
  <c r="O179" i="55"/>
  <c r="S179" i="55"/>
  <c r="AG180" i="55"/>
  <c r="AY179" i="55"/>
  <c r="AU179" i="55"/>
  <c r="O173" i="55"/>
  <c r="AU170" i="55"/>
  <c r="W178" i="55"/>
  <c r="AO177" i="55"/>
  <c r="AK177" i="55"/>
  <c r="BC171" i="55"/>
  <c r="BC176" i="55"/>
  <c r="BC172" i="55"/>
  <c r="BC170" i="55"/>
  <c r="AY253" i="55"/>
  <c r="BG253" i="55"/>
  <c r="S252" i="55"/>
  <c r="BG250" i="55"/>
  <c r="AU250" i="55"/>
  <c r="AY250" i="55"/>
  <c r="BC250" i="55"/>
  <c r="AC246" i="55"/>
  <c r="AG255" i="55"/>
  <c r="AY254" i="55"/>
  <c r="O254" i="55"/>
  <c r="AO245" i="55"/>
  <c r="AC245" i="55"/>
  <c r="AG245" i="55"/>
  <c r="AK245" i="55"/>
  <c r="AC253" i="55"/>
  <c r="AG253" i="55"/>
  <c r="AK253" i="55"/>
  <c r="AO253" i="55"/>
  <c r="AU251" i="55"/>
  <c r="W250" i="55"/>
  <c r="K250" i="55"/>
  <c r="O250" i="55"/>
  <c r="S250" i="55"/>
  <c r="K247" i="55"/>
  <c r="W246" i="55"/>
  <c r="O246" i="55"/>
  <c r="S246" i="55"/>
  <c r="K246" i="55"/>
  <c r="K251" i="55"/>
  <c r="AO249" i="55"/>
  <c r="AG249" i="55"/>
  <c r="AK249" i="55"/>
  <c r="AC249" i="55"/>
  <c r="BG248" i="55"/>
  <c r="AU248" i="55"/>
  <c r="AY248" i="55"/>
  <c r="BC248" i="55"/>
  <c r="S248" i="55"/>
  <c r="BG246" i="55"/>
  <c r="AY246" i="55"/>
  <c r="BC246" i="55"/>
  <c r="AU246" i="55"/>
  <c r="BG255" i="55"/>
  <c r="BC255" i="55"/>
  <c r="S255" i="55"/>
  <c r="AK254" i="55"/>
  <c r="BC253" i="55"/>
  <c r="S253" i="55"/>
  <c r="BC252" i="55"/>
  <c r="O252" i="55"/>
  <c r="AY251" i="55"/>
  <c r="O251" i="55"/>
  <c r="AO248" i="55"/>
  <c r="AK247" i="55"/>
  <c r="AG246" i="55"/>
  <c r="BG245" i="55"/>
  <c r="AU245" i="55"/>
  <c r="W245" i="55"/>
  <c r="O245" i="55"/>
  <c r="AK244" i="55"/>
  <c r="AO244" i="55"/>
  <c r="AG244" i="55"/>
  <c r="S243" i="55"/>
  <c r="K243" i="55"/>
  <c r="AC242" i="55"/>
  <c r="BG241" i="55"/>
  <c r="AY241" i="55"/>
  <c r="AC241" i="55"/>
  <c r="AG241" i="55"/>
  <c r="AO241" i="55"/>
  <c r="K241" i="55"/>
  <c r="AC237" i="55"/>
  <c r="AG237" i="55"/>
  <c r="AK237" i="55"/>
  <c r="AO237" i="55"/>
  <c r="S237" i="55"/>
  <c r="W237" i="55"/>
  <c r="K237" i="55"/>
  <c r="O237" i="55"/>
  <c r="AK232" i="55"/>
  <c r="AO232" i="55"/>
  <c r="AC232" i="55"/>
  <c r="AG232" i="55"/>
  <c r="K232" i="55"/>
  <c r="BG229" i="55"/>
  <c r="AU229" i="55"/>
  <c r="AY229" i="55"/>
  <c r="BC229" i="55"/>
  <c r="O249" i="55"/>
  <c r="W248" i="55"/>
  <c r="BC245" i="55"/>
  <c r="AY242" i="55"/>
  <c r="BG242" i="55"/>
  <c r="O242" i="55"/>
  <c r="W242" i="55"/>
  <c r="AK240" i="55"/>
  <c r="AO240" i="55"/>
  <c r="AG240" i="55"/>
  <c r="BC239" i="55"/>
  <c r="BG239" i="55"/>
  <c r="AU239" i="55"/>
  <c r="AY239" i="55"/>
  <c r="AU238" i="55"/>
  <c r="AY238" i="55"/>
  <c r="BC238" i="55"/>
  <c r="BG238" i="55"/>
  <c r="AK238" i="55"/>
  <c r="AO238" i="55"/>
  <c r="AC238" i="55"/>
  <c r="AG238" i="55"/>
  <c r="K238" i="55"/>
  <c r="O238" i="55"/>
  <c r="S238" i="55"/>
  <c r="W238" i="55"/>
  <c r="BC235" i="55"/>
  <c r="BG235" i="55"/>
  <c r="AU235" i="55"/>
  <c r="AY235" i="55"/>
  <c r="AU234" i="55"/>
  <c r="AY234" i="55"/>
  <c r="BC234" i="55"/>
  <c r="BG234" i="55"/>
  <c r="AK234" i="55"/>
  <c r="AO234" i="55"/>
  <c r="AC234" i="55"/>
  <c r="AG234" i="55"/>
  <c r="BC233" i="55"/>
  <c r="BG233" i="55"/>
  <c r="AU233" i="55"/>
  <c r="AY233" i="55"/>
  <c r="S233" i="55"/>
  <c r="W233" i="55"/>
  <c r="K233" i="55"/>
  <c r="O233" i="55"/>
  <c r="AK230" i="55"/>
  <c r="AO230" i="55"/>
  <c r="AC230" i="55"/>
  <c r="AG230" i="55"/>
  <c r="K255" i="55"/>
  <c r="AU253" i="55"/>
  <c r="AO252" i="55"/>
  <c r="AC252" i="55"/>
  <c r="AK251" i="55"/>
  <c r="AG251" i="55"/>
  <c r="AG250" i="55"/>
  <c r="BG249" i="55"/>
  <c r="AU249" i="55"/>
  <c r="O248" i="55"/>
  <c r="AY247" i="55"/>
  <c r="O247" i="55"/>
  <c r="BG243" i="55"/>
  <c r="AY243" i="55"/>
  <c r="W243" i="55"/>
  <c r="O243" i="55"/>
  <c r="AK242" i="55"/>
  <c r="AO242" i="55"/>
  <c r="AG242" i="55"/>
  <c r="AU241" i="55"/>
  <c r="S241" i="55"/>
  <c r="W241" i="55"/>
  <c r="O241" i="55"/>
  <c r="K240" i="55"/>
  <c r="O240" i="55"/>
  <c r="W240" i="55"/>
  <c r="AC239" i="55"/>
  <c r="AG239" i="55"/>
  <c r="AK239" i="55"/>
  <c r="AO239" i="55"/>
  <c r="S239" i="55"/>
  <c r="W239" i="55"/>
  <c r="K239" i="55"/>
  <c r="O239" i="55"/>
  <c r="AC235" i="55"/>
  <c r="AG235" i="55"/>
  <c r="AK235" i="55"/>
  <c r="AO235" i="55"/>
  <c r="S235" i="55"/>
  <c r="W235" i="55"/>
  <c r="K235" i="55"/>
  <c r="O235" i="55"/>
  <c r="S234" i="55"/>
  <c r="AC233" i="55"/>
  <c r="BC231" i="55"/>
  <c r="BG231" i="55"/>
  <c r="AU231" i="55"/>
  <c r="AY231" i="55"/>
  <c r="S231" i="55"/>
  <c r="W231" i="55"/>
  <c r="K231" i="55"/>
  <c r="O231" i="55"/>
  <c r="AC254" i="55"/>
  <c r="O253" i="55"/>
  <c r="BG252" i="55"/>
  <c r="AK252" i="55"/>
  <c r="W252" i="55"/>
  <c r="AC251" i="55"/>
  <c r="AO250" i="55"/>
  <c r="AC250" i="55"/>
  <c r="BC249" i="55"/>
  <c r="AG248" i="55"/>
  <c r="K248" i="55"/>
  <c r="AU247" i="55"/>
  <c r="AO247" i="55"/>
  <c r="AY244" i="55"/>
  <c r="BG244" i="55"/>
  <c r="O244" i="55"/>
  <c r="W244" i="55"/>
  <c r="AK243" i="55"/>
  <c r="AG243" i="55"/>
  <c r="AO243" i="55"/>
  <c r="AU242" i="55"/>
  <c r="S242" i="55"/>
  <c r="K242" i="55"/>
  <c r="AU240" i="55"/>
  <c r="AY240" i="55"/>
  <c r="BG240" i="55"/>
  <c r="AC240" i="55"/>
  <c r="BC237" i="55"/>
  <c r="BG237" i="55"/>
  <c r="AU237" i="55"/>
  <c r="AY237" i="55"/>
  <c r="AU236" i="55"/>
  <c r="AY236" i="55"/>
  <c r="BC236" i="55"/>
  <c r="BG236" i="55"/>
  <c r="AK236" i="55"/>
  <c r="AO236" i="55"/>
  <c r="AC236" i="55"/>
  <c r="AG236" i="55"/>
  <c r="K236" i="55"/>
  <c r="O236" i="55"/>
  <c r="S236" i="55"/>
  <c r="W236" i="55"/>
  <c r="AY230" i="55"/>
  <c r="W234" i="55"/>
  <c r="AO233" i="55"/>
  <c r="BG232" i="55"/>
  <c r="W232" i="55"/>
  <c r="AO231" i="55"/>
  <c r="BG230" i="55"/>
  <c r="W230" i="55"/>
  <c r="O230" i="55"/>
  <c r="S229" i="55"/>
  <c r="BG227" i="55"/>
  <c r="AY227" i="55"/>
  <c r="BC227" i="55"/>
  <c r="AY228" i="55"/>
  <c r="BG228" i="55"/>
  <c r="AU228" i="55"/>
  <c r="O228" i="55"/>
  <c r="W228" i="55"/>
  <c r="K228" i="55"/>
  <c r="AG227" i="55"/>
  <c r="AO227" i="55"/>
  <c r="AC227" i="55"/>
  <c r="AY226" i="55"/>
  <c r="BG226" i="55"/>
  <c r="AU226" i="55"/>
  <c r="O226" i="55"/>
  <c r="W226" i="55"/>
  <c r="K226" i="55"/>
  <c r="AG229" i="55"/>
  <c r="W229" i="55"/>
  <c r="O229" i="55"/>
  <c r="AO228" i="55"/>
  <c r="AG228" i="55"/>
  <c r="AK228" i="55"/>
  <c r="AU227" i="55"/>
  <c r="W227" i="55"/>
  <c r="O227" i="55"/>
  <c r="S227" i="55"/>
  <c r="AO226" i="55"/>
  <c r="AG226" i="55"/>
  <c r="AK226" i="55"/>
  <c r="AO229" i="55"/>
  <c r="AC229" i="55"/>
  <c r="BC228" i="55"/>
  <c r="AK227" i="55"/>
  <c r="BC226" i="55"/>
  <c r="AK180" i="55"/>
  <c r="AC180" i="55"/>
  <c r="AK179" i="55"/>
  <c r="AO179" i="55"/>
  <c r="AC179" i="55"/>
  <c r="AG179" i="55"/>
  <c r="K179" i="55"/>
  <c r="AO178" i="55"/>
  <c r="AC178" i="55"/>
  <c r="AG178" i="55"/>
  <c r="AK178" i="55"/>
  <c r="K178" i="55"/>
  <c r="S180" i="55"/>
  <c r="W180" i="55"/>
  <c r="O180" i="55"/>
  <c r="BG177" i="55"/>
  <c r="AY177" i="55"/>
  <c r="BC177" i="55"/>
  <c r="AU177" i="55"/>
  <c r="K180" i="55"/>
  <c r="BC180" i="55"/>
  <c r="BG180" i="55"/>
  <c r="AY180" i="55"/>
  <c r="AO180" i="55"/>
  <c r="BG179" i="55"/>
  <c r="W179" i="55"/>
  <c r="S177" i="55"/>
  <c r="BG175" i="55"/>
  <c r="AU175" i="55"/>
  <c r="AY175" i="55"/>
  <c r="BC175" i="55"/>
  <c r="AO174" i="55"/>
  <c r="AC174" i="55"/>
  <c r="AG174" i="55"/>
  <c r="AK174" i="55"/>
  <c r="AO176" i="55"/>
  <c r="AG176" i="55"/>
  <c r="AK176" i="55"/>
  <c r="W175" i="55"/>
  <c r="K175" i="55"/>
  <c r="O175" i="55"/>
  <c r="S175" i="55"/>
  <c r="AY174" i="55"/>
  <c r="BC174" i="55"/>
  <c r="BG174" i="55"/>
  <c r="AU174" i="55"/>
  <c r="AG173" i="55"/>
  <c r="AK173" i="55"/>
  <c r="AO173" i="55"/>
  <c r="AC173" i="55"/>
  <c r="AY178" i="55"/>
  <c r="O178" i="55"/>
  <c r="W177" i="55"/>
  <c r="O177" i="55"/>
  <c r="O176" i="55"/>
  <c r="W176" i="55"/>
  <c r="K176" i="55"/>
  <c r="AG175" i="55"/>
  <c r="AK175" i="55"/>
  <c r="AO175" i="55"/>
  <c r="AC175" i="55"/>
  <c r="O174" i="55"/>
  <c r="S174" i="55"/>
  <c r="W174" i="55"/>
  <c r="K174" i="55"/>
  <c r="BC178" i="55"/>
  <c r="AU178" i="55"/>
  <c r="AG177" i="55"/>
  <c r="AY176" i="55"/>
  <c r="BG176" i="55"/>
  <c r="AU176" i="55"/>
  <c r="AC176" i="55"/>
  <c r="BG173" i="55"/>
  <c r="AU173" i="55"/>
  <c r="AY173" i="55"/>
  <c r="BC173" i="55"/>
  <c r="S173" i="55"/>
  <c r="K173" i="55"/>
  <c r="AY171" i="55"/>
  <c r="BG171" i="55"/>
  <c r="O171" i="55"/>
  <c r="W171" i="55"/>
  <c r="AU169" i="55"/>
  <c r="AY169" i="55"/>
  <c r="BC169" i="55"/>
  <c r="BG169" i="55"/>
  <c r="BC168" i="55"/>
  <c r="BG168" i="55"/>
  <c r="AU168" i="55"/>
  <c r="AY168" i="55"/>
  <c r="AU167" i="55"/>
  <c r="AY167" i="55"/>
  <c r="BC167" i="55"/>
  <c r="BG167" i="55"/>
  <c r="BG172" i="55"/>
  <c r="AY172" i="55"/>
  <c r="W172" i="55"/>
  <c r="O172" i="55"/>
  <c r="AK171" i="55"/>
  <c r="AO171" i="55"/>
  <c r="AG171" i="55"/>
  <c r="S170" i="55"/>
  <c r="W170" i="55"/>
  <c r="O170" i="55"/>
  <c r="AK169" i="55"/>
  <c r="AO169" i="55"/>
  <c r="AC169" i="55"/>
  <c r="AG169" i="55"/>
  <c r="K169" i="55"/>
  <c r="O169" i="55"/>
  <c r="S169" i="55"/>
  <c r="W169" i="55"/>
  <c r="AC168" i="55"/>
  <c r="AG168" i="55"/>
  <c r="AK168" i="55"/>
  <c r="AO168" i="55"/>
  <c r="S168" i="55"/>
  <c r="W168" i="55"/>
  <c r="K168" i="55"/>
  <c r="O168" i="55"/>
  <c r="AK167" i="55"/>
  <c r="AO167" i="55"/>
  <c r="AC167" i="55"/>
  <c r="AG167" i="55"/>
  <c r="K167" i="55"/>
  <c r="O167" i="55"/>
  <c r="S167" i="55"/>
  <c r="W167" i="55"/>
  <c r="AG172" i="55"/>
  <c r="AO172" i="55"/>
  <c r="W173" i="55"/>
  <c r="AU172" i="55"/>
  <c r="S172" i="55"/>
  <c r="BG170" i="55"/>
  <c r="AY170" i="55"/>
  <c r="AC170" i="55"/>
  <c r="AG170" i="55"/>
  <c r="AO170" i="55"/>
  <c r="AY166" i="55"/>
  <c r="AU166" i="55"/>
  <c r="BG166" i="55"/>
  <c r="BC166" i="55"/>
  <c r="AO166" i="55"/>
  <c r="AK166" i="55"/>
  <c r="AG166" i="55"/>
  <c r="AC166" i="55"/>
  <c r="O166" i="55"/>
  <c r="W166" i="55"/>
  <c r="K166" i="55"/>
  <c r="S166" i="55"/>
  <c r="P64" i="58"/>
  <c r="AU258" i="55"/>
  <c r="AK258" i="55"/>
  <c r="S258" i="55"/>
  <c r="AO258" i="55"/>
  <c r="BG258" i="55"/>
  <c r="K258" i="55"/>
  <c r="AC258" i="55"/>
  <c r="BC258" i="55"/>
  <c r="O258" i="55"/>
  <c r="W258" i="55"/>
  <c r="AG258" i="55"/>
  <c r="AY258" i="55"/>
  <c r="AO257" i="55"/>
  <c r="W257" i="55"/>
  <c r="AY257" i="55"/>
  <c r="AK257" i="55"/>
  <c r="AG257" i="55"/>
  <c r="O257" i="55"/>
  <c r="K257" i="55"/>
  <c r="BC257" i="55"/>
  <c r="BG257" i="55"/>
  <c r="AG64" i="58"/>
  <c r="AU257" i="55"/>
  <c r="S257" i="55"/>
  <c r="AC257" i="55"/>
  <c r="V63" i="58"/>
  <c r="T63" i="58"/>
  <c r="P63" i="58"/>
  <c r="AT63" i="58"/>
  <c r="R63" i="58"/>
  <c r="AE63" i="58"/>
  <c r="AI63" i="58"/>
  <c r="AR63" i="58"/>
  <c r="AP63" i="58"/>
  <c r="AC63" i="58"/>
  <c r="AG63" i="58"/>
  <c r="AV63" i="58"/>
  <c r="C182" i="55"/>
  <c r="C183" i="55"/>
  <c r="C184" i="55"/>
  <c r="C185" i="55"/>
  <c r="C186" i="55"/>
  <c r="C187" i="55"/>
  <c r="C188" i="55"/>
  <c r="C189" i="55"/>
  <c r="C190" i="55"/>
  <c r="C191" i="55"/>
  <c r="C192" i="55"/>
  <c r="C193" i="55"/>
  <c r="C194" i="55"/>
  <c r="C195" i="55"/>
  <c r="C196" i="55"/>
  <c r="C197" i="55"/>
  <c r="C198" i="55"/>
  <c r="C199" i="55"/>
  <c r="C200" i="55"/>
  <c r="C201" i="55"/>
  <c r="C202" i="55"/>
  <c r="C203" i="55"/>
  <c r="C204" i="55"/>
  <c r="C205" i="55"/>
  <c r="C206" i="55"/>
  <c r="C207" i="55"/>
  <c r="C208" i="55"/>
  <c r="C209" i="55"/>
  <c r="C210" i="55"/>
  <c r="C211" i="55"/>
  <c r="C212" i="55"/>
  <c r="C213" i="55"/>
  <c r="C214" i="55"/>
  <c r="C215" i="55"/>
  <c r="C216" i="55"/>
  <c r="C217" i="55"/>
  <c r="C218" i="55"/>
  <c r="C219" i="55"/>
  <c r="C220" i="55"/>
  <c r="C221" i="55"/>
  <c r="C222" i="55"/>
  <c r="C223" i="55"/>
  <c r="C224" i="55"/>
  <c r="C225" i="55"/>
  <c r="C226" i="55"/>
  <c r="BA226" i="55"/>
  <c r="C227" i="55"/>
  <c r="Y227" i="55"/>
  <c r="C228" i="55"/>
  <c r="AW228" i="55"/>
  <c r="C229" i="55"/>
  <c r="Y229" i="55"/>
  <c r="C230" i="55"/>
  <c r="C231" i="55"/>
  <c r="AW231" i="55"/>
  <c r="C232" i="55"/>
  <c r="C233" i="55"/>
  <c r="AM233" i="55"/>
  <c r="C234" i="55"/>
  <c r="AW234" i="55"/>
  <c r="C235" i="55"/>
  <c r="BE235" i="55"/>
  <c r="C236" i="55"/>
  <c r="AM236" i="55"/>
  <c r="C237" i="55"/>
  <c r="U237" i="55"/>
  <c r="C238" i="55"/>
  <c r="Y238" i="55"/>
  <c r="C239" i="55"/>
  <c r="BA239" i="55"/>
  <c r="C240" i="55"/>
  <c r="AW240" i="55"/>
  <c r="C241" i="55"/>
  <c r="U241" i="55"/>
  <c r="C242" i="55"/>
  <c r="Y242" i="55"/>
  <c r="C243" i="55"/>
  <c r="AI243" i="55"/>
  <c r="C244" i="55"/>
  <c r="C245" i="55"/>
  <c r="AM245" i="55"/>
  <c r="C246" i="55"/>
  <c r="U246" i="55"/>
  <c r="C247" i="55"/>
  <c r="BE247" i="55"/>
  <c r="C248" i="55"/>
  <c r="U248" i="55"/>
  <c r="C249" i="55"/>
  <c r="AE249" i="55"/>
  <c r="C250" i="55"/>
  <c r="BI250" i="55"/>
  <c r="C251" i="55"/>
  <c r="AQ251" i="55"/>
  <c r="C252" i="55"/>
  <c r="AQ252" i="55"/>
  <c r="C253" i="55"/>
  <c r="AM253" i="55"/>
  <c r="C254" i="55"/>
  <c r="AQ254" i="55"/>
  <c r="C255" i="55"/>
  <c r="U255" i="55"/>
  <c r="C173" i="55"/>
  <c r="C174" i="55"/>
  <c r="C175" i="55"/>
  <c r="AQ175" i="55"/>
  <c r="C176" i="55"/>
  <c r="BA176" i="55"/>
  <c r="C177" i="55"/>
  <c r="AW177" i="55"/>
  <c r="C178" i="55"/>
  <c r="AI178" i="55"/>
  <c r="C179" i="55"/>
  <c r="BE179" i="55"/>
  <c r="C180" i="55"/>
  <c r="C167" i="55"/>
  <c r="C168" i="55"/>
  <c r="BA168" i="55"/>
  <c r="C169" i="55"/>
  <c r="C170" i="55"/>
  <c r="BE170" i="55"/>
  <c r="C171" i="55"/>
  <c r="C172" i="55"/>
  <c r="AQ172" i="55"/>
  <c r="C389" i="61"/>
  <c r="C390" i="61"/>
  <c r="C388" i="61"/>
  <c r="C391" i="61"/>
  <c r="C392" i="61"/>
  <c r="C424" i="62"/>
  <c r="BH424" i="62"/>
  <c r="C425" i="62"/>
  <c r="C426" i="62"/>
  <c r="C423" i="62"/>
  <c r="R549" i="58"/>
  <c r="V62" i="58"/>
  <c r="P62" i="58"/>
  <c r="R62" i="58"/>
  <c r="T549" i="58"/>
  <c r="AR62" i="58"/>
  <c r="AT62" i="58"/>
  <c r="AE62" i="58"/>
  <c r="T62" i="58"/>
  <c r="V549" i="58"/>
  <c r="P549" i="58"/>
  <c r="AR549" i="58"/>
  <c r="AC549" i="58"/>
  <c r="AG549" i="58"/>
  <c r="AP549" i="58"/>
  <c r="AT549" i="58"/>
  <c r="AI62" i="58"/>
  <c r="AC62" i="58"/>
  <c r="AG62" i="58"/>
  <c r="AV62" i="58"/>
  <c r="AP62" i="58"/>
  <c r="AV549" i="58"/>
  <c r="AI549" i="58"/>
  <c r="AE549" i="58"/>
  <c r="X63" i="58"/>
  <c r="AX63" i="58"/>
  <c r="AK63" i="58"/>
  <c r="M221" i="55"/>
  <c r="Q221" i="55"/>
  <c r="L221" i="55"/>
  <c r="P221" i="55"/>
  <c r="AH221" i="55"/>
  <c r="T221" i="55"/>
  <c r="AP221" i="55"/>
  <c r="X221" i="55"/>
  <c r="BD221" i="55"/>
  <c r="AV221" i="55"/>
  <c r="AZ221" i="55"/>
  <c r="AW221" i="55"/>
  <c r="AD221" i="55"/>
  <c r="BH221" i="55"/>
  <c r="AL221" i="55"/>
  <c r="BE221" i="55"/>
  <c r="Y221" i="55"/>
  <c r="AI221" i="55"/>
  <c r="U221" i="55"/>
  <c r="AE221" i="55"/>
  <c r="AQ221" i="55"/>
  <c r="BA221" i="55"/>
  <c r="AM221" i="55"/>
  <c r="BI221" i="55"/>
  <c r="Q213" i="55"/>
  <c r="M213" i="55"/>
  <c r="P213" i="55"/>
  <c r="L213" i="55"/>
  <c r="X213" i="55"/>
  <c r="BD213" i="55"/>
  <c r="AE213" i="55"/>
  <c r="AZ213" i="55"/>
  <c r="T213" i="55"/>
  <c r="AD213" i="55"/>
  <c r="AP213" i="55"/>
  <c r="AL213" i="55"/>
  <c r="AH213" i="55"/>
  <c r="BE213" i="55"/>
  <c r="AV213" i="55"/>
  <c r="BH213" i="55"/>
  <c r="BI213" i="55"/>
  <c r="U213" i="55"/>
  <c r="BA213" i="55"/>
  <c r="AI213" i="55"/>
  <c r="AQ213" i="55"/>
  <c r="Y213" i="55"/>
  <c r="AW213" i="55"/>
  <c r="AM213" i="55"/>
  <c r="P205" i="55"/>
  <c r="L205" i="55"/>
  <c r="M205" i="55"/>
  <c r="Q205" i="55"/>
  <c r="Y205" i="55"/>
  <c r="AP205" i="55"/>
  <c r="X205" i="55"/>
  <c r="BD205" i="55"/>
  <c r="AH205" i="55"/>
  <c r="AL205" i="55"/>
  <c r="AV205" i="55"/>
  <c r="AZ205" i="55"/>
  <c r="AD205" i="55"/>
  <c r="BH205" i="55"/>
  <c r="T205" i="55"/>
  <c r="AE205" i="55"/>
  <c r="BI205" i="55"/>
  <c r="BE205" i="55"/>
  <c r="AI205" i="55"/>
  <c r="AQ205" i="55"/>
  <c r="AW205" i="55"/>
  <c r="U205" i="55"/>
  <c r="BA205" i="55"/>
  <c r="AM205" i="55"/>
  <c r="M197" i="55"/>
  <c r="Q197" i="55"/>
  <c r="L197" i="55"/>
  <c r="P197" i="55"/>
  <c r="AZ197" i="55"/>
  <c r="AH197" i="55"/>
  <c r="T197" i="55"/>
  <c r="BH197" i="55"/>
  <c r="AP197" i="55"/>
  <c r="AV197" i="55"/>
  <c r="AD197" i="55"/>
  <c r="BD197" i="55"/>
  <c r="AL197" i="55"/>
  <c r="X197" i="55"/>
  <c r="AI197" i="55"/>
  <c r="AW197" i="55"/>
  <c r="AE197" i="55"/>
  <c r="AQ197" i="55"/>
  <c r="BE197" i="55"/>
  <c r="BI197" i="55"/>
  <c r="Y197" i="55"/>
  <c r="BA197" i="55"/>
  <c r="AM197" i="55"/>
  <c r="U197" i="55"/>
  <c r="Q189" i="55"/>
  <c r="M189" i="55"/>
  <c r="T189" i="55"/>
  <c r="P189" i="55"/>
  <c r="L189" i="55"/>
  <c r="AV189" i="55"/>
  <c r="AP189" i="55"/>
  <c r="AL189" i="55"/>
  <c r="BH189" i="55"/>
  <c r="AI189" i="55"/>
  <c r="AZ189" i="55"/>
  <c r="U189" i="55"/>
  <c r="AD189" i="55"/>
  <c r="AH189" i="55"/>
  <c r="X189" i="55"/>
  <c r="BE189" i="55"/>
  <c r="BD189" i="55"/>
  <c r="BI189" i="55"/>
  <c r="AQ189" i="55"/>
  <c r="AE189" i="55"/>
  <c r="AM189" i="55"/>
  <c r="Y189" i="55"/>
  <c r="BA189" i="55"/>
  <c r="AW189" i="55"/>
  <c r="Q224" i="55"/>
  <c r="L224" i="55"/>
  <c r="P224" i="55"/>
  <c r="M224" i="55"/>
  <c r="AH224" i="55"/>
  <c r="AV224" i="55"/>
  <c r="BD224" i="55"/>
  <c r="AL224" i="55"/>
  <c r="X224" i="55"/>
  <c r="AP224" i="55"/>
  <c r="T224" i="55"/>
  <c r="AZ224" i="55"/>
  <c r="AD224" i="55"/>
  <c r="BH224" i="55"/>
  <c r="AI224" i="55"/>
  <c r="BE224" i="55"/>
  <c r="AQ224" i="55"/>
  <c r="Y224" i="55"/>
  <c r="U224" i="55"/>
  <c r="BA224" i="55"/>
  <c r="BI224" i="55"/>
  <c r="AM224" i="55"/>
  <c r="AE224" i="55"/>
  <c r="AW224" i="55"/>
  <c r="P220" i="55"/>
  <c r="M220" i="55"/>
  <c r="Q220" i="55"/>
  <c r="L220" i="55"/>
  <c r="BD220" i="55"/>
  <c r="BH220" i="55"/>
  <c r="AL220" i="55"/>
  <c r="AP220" i="55"/>
  <c r="AH220" i="55"/>
  <c r="AZ220" i="55"/>
  <c r="BE220" i="55"/>
  <c r="T220" i="55"/>
  <c r="X220" i="55"/>
  <c r="AV220" i="55"/>
  <c r="AD220" i="55"/>
  <c r="AW220" i="55"/>
  <c r="Y220" i="55"/>
  <c r="AQ220" i="55"/>
  <c r="AE220" i="55"/>
  <c r="AI220" i="55"/>
  <c r="BA220" i="55"/>
  <c r="U220" i="55"/>
  <c r="BI220" i="55"/>
  <c r="AM220" i="55"/>
  <c r="AH216" i="55"/>
  <c r="Q216" i="55"/>
  <c r="M216" i="55"/>
  <c r="P216" i="55"/>
  <c r="L216" i="55"/>
  <c r="T216" i="55"/>
  <c r="U216" i="55"/>
  <c r="AZ216" i="55"/>
  <c r="AD216" i="55"/>
  <c r="AV216" i="55"/>
  <c r="AL216" i="55"/>
  <c r="X216" i="55"/>
  <c r="AP216" i="55"/>
  <c r="BH216" i="55"/>
  <c r="BD216" i="55"/>
  <c r="AI216" i="55"/>
  <c r="AQ216" i="55"/>
  <c r="AW216" i="55"/>
  <c r="AE216" i="55"/>
  <c r="BI216" i="55"/>
  <c r="Y216" i="55"/>
  <c r="BA216" i="55"/>
  <c r="AM216" i="55"/>
  <c r="BE216" i="55"/>
  <c r="Q212" i="55"/>
  <c r="M212" i="55"/>
  <c r="L212" i="55"/>
  <c r="P212" i="55"/>
  <c r="AP212" i="55"/>
  <c r="T212" i="55"/>
  <c r="BH212" i="55"/>
  <c r="U212" i="55"/>
  <c r="AH212" i="55"/>
  <c r="AQ212" i="55"/>
  <c r="AL212" i="55"/>
  <c r="AV212" i="55"/>
  <c r="AD212" i="55"/>
  <c r="AZ212" i="55"/>
  <c r="X212" i="55"/>
  <c r="BD212" i="55"/>
  <c r="AM212" i="55"/>
  <c r="Y212" i="55"/>
  <c r="BE212" i="55"/>
  <c r="BI212" i="55"/>
  <c r="AI212" i="55"/>
  <c r="BA212" i="55"/>
  <c r="AE212" i="55"/>
  <c r="AW212" i="55"/>
  <c r="M208" i="55"/>
  <c r="Q208" i="55"/>
  <c r="L208" i="55"/>
  <c r="P208" i="55"/>
  <c r="X208" i="55"/>
  <c r="BD208" i="55"/>
  <c r="AL208" i="55"/>
  <c r="T208" i="55"/>
  <c r="AH208" i="55"/>
  <c r="BH208" i="55"/>
  <c r="AV208" i="55"/>
  <c r="AP208" i="55"/>
  <c r="AD208" i="55"/>
  <c r="AZ208" i="55"/>
  <c r="BE208" i="55"/>
  <c r="U208" i="55"/>
  <c r="Y208" i="55"/>
  <c r="AW208" i="55"/>
  <c r="AI208" i="55"/>
  <c r="AQ208" i="55"/>
  <c r="AE208" i="55"/>
  <c r="BI208" i="55"/>
  <c r="AM208" i="55"/>
  <c r="BA208" i="55"/>
  <c r="Q204" i="55"/>
  <c r="L204" i="55"/>
  <c r="P204" i="55"/>
  <c r="M204" i="55"/>
  <c r="AD204" i="55"/>
  <c r="X204" i="55"/>
  <c r="T204" i="55"/>
  <c r="AH204" i="55"/>
  <c r="AV204" i="55"/>
  <c r="AP204" i="55"/>
  <c r="AL204" i="55"/>
  <c r="BH204" i="55"/>
  <c r="BD204" i="55"/>
  <c r="AZ204" i="55"/>
  <c r="BA204" i="55"/>
  <c r="U204" i="55"/>
  <c r="BE204" i="55"/>
  <c r="AE204" i="55"/>
  <c r="AW204" i="55"/>
  <c r="AQ204" i="55"/>
  <c r="AI204" i="55"/>
  <c r="BI204" i="55"/>
  <c r="Y204" i="55"/>
  <c r="AM204" i="55"/>
  <c r="P200" i="55"/>
  <c r="M200" i="55"/>
  <c r="Q200" i="55"/>
  <c r="L200" i="55"/>
  <c r="AZ200" i="55"/>
  <c r="X200" i="55"/>
  <c r="BH200" i="55"/>
  <c r="AD200" i="55"/>
  <c r="AP200" i="55"/>
  <c r="T200" i="55"/>
  <c r="AL200" i="55"/>
  <c r="BD200" i="55"/>
  <c r="AH200" i="55"/>
  <c r="AI200" i="55"/>
  <c r="AV200" i="55"/>
  <c r="BE200" i="55"/>
  <c r="BI200" i="55"/>
  <c r="AM200" i="55"/>
  <c r="AQ200" i="55"/>
  <c r="AW200" i="55"/>
  <c r="U200" i="55"/>
  <c r="AE200" i="55"/>
  <c r="Y200" i="55"/>
  <c r="BA200" i="55"/>
  <c r="Q196" i="55"/>
  <c r="M196" i="55"/>
  <c r="P196" i="55"/>
  <c r="L196" i="55"/>
  <c r="X196" i="55"/>
  <c r="AL196" i="55"/>
  <c r="AP196" i="55"/>
  <c r="AV196" i="55"/>
  <c r="T196" i="55"/>
  <c r="BD196" i="55"/>
  <c r="BH196" i="55"/>
  <c r="Y196" i="55"/>
  <c r="AZ196" i="55"/>
  <c r="AD196" i="55"/>
  <c r="AH196" i="55"/>
  <c r="AI196" i="55"/>
  <c r="AW196" i="55"/>
  <c r="AQ196" i="55"/>
  <c r="BA196" i="55"/>
  <c r="AM196" i="55"/>
  <c r="U196" i="55"/>
  <c r="BE196" i="55"/>
  <c r="BI196" i="55"/>
  <c r="AE196" i="55"/>
  <c r="Q192" i="55"/>
  <c r="L192" i="55"/>
  <c r="P192" i="55"/>
  <c r="M192" i="55"/>
  <c r="AD192" i="55"/>
  <c r="BA192" i="55"/>
  <c r="X192" i="55"/>
  <c r="AV192" i="55"/>
  <c r="AL192" i="55"/>
  <c r="BD192" i="55"/>
  <c r="AH192" i="55"/>
  <c r="AZ192" i="55"/>
  <c r="Y192" i="55"/>
  <c r="AM192" i="55"/>
  <c r="BH192" i="55"/>
  <c r="AP192" i="55"/>
  <c r="T192" i="55"/>
  <c r="AQ192" i="55"/>
  <c r="AW192" i="55"/>
  <c r="BE192" i="55"/>
  <c r="AI192" i="55"/>
  <c r="BI192" i="55"/>
  <c r="U192" i="55"/>
  <c r="AE192" i="55"/>
  <c r="AZ188" i="55"/>
  <c r="Q188" i="55"/>
  <c r="M188" i="55"/>
  <c r="P188" i="55"/>
  <c r="L188" i="55"/>
  <c r="BD188" i="55"/>
  <c r="X188" i="55"/>
  <c r="AL188" i="55"/>
  <c r="Y188" i="55"/>
  <c r="AD188" i="55"/>
  <c r="BH188" i="55"/>
  <c r="AH188" i="55"/>
  <c r="AP188" i="55"/>
  <c r="AV188" i="55"/>
  <c r="T188" i="55"/>
  <c r="BA188" i="55"/>
  <c r="AQ188" i="55"/>
  <c r="BE188" i="55"/>
  <c r="U188" i="55"/>
  <c r="AM188" i="55"/>
  <c r="BI188" i="55"/>
  <c r="AI188" i="55"/>
  <c r="AW188" i="55"/>
  <c r="AE188" i="55"/>
  <c r="Q184" i="55"/>
  <c r="M184" i="55"/>
  <c r="L184" i="55"/>
  <c r="P184" i="55"/>
  <c r="X184" i="55"/>
  <c r="AH184" i="55"/>
  <c r="AZ184" i="55"/>
  <c r="AD184" i="55"/>
  <c r="BH184" i="55"/>
  <c r="AL184" i="55"/>
  <c r="AP184" i="55"/>
  <c r="AV184" i="55"/>
  <c r="T184" i="55"/>
  <c r="BD184" i="55"/>
  <c r="BA184" i="55"/>
  <c r="AM184" i="55"/>
  <c r="BE184" i="55"/>
  <c r="AI184" i="55"/>
  <c r="AE184" i="55"/>
  <c r="Y184" i="55"/>
  <c r="AW184" i="55"/>
  <c r="AQ184" i="55"/>
  <c r="BI184" i="55"/>
  <c r="U184" i="55"/>
  <c r="Q225" i="55"/>
  <c r="M225" i="55"/>
  <c r="P225" i="55"/>
  <c r="L225" i="55"/>
  <c r="T225" i="55"/>
  <c r="X225" i="55"/>
  <c r="BH225" i="55"/>
  <c r="AD225" i="55"/>
  <c r="BD225" i="55"/>
  <c r="AH225" i="55"/>
  <c r="AL225" i="55"/>
  <c r="AZ225" i="55"/>
  <c r="AV225" i="55"/>
  <c r="AP225" i="55"/>
  <c r="AE225" i="55"/>
  <c r="AQ225" i="55"/>
  <c r="BA225" i="55"/>
  <c r="BE225" i="55"/>
  <c r="AW225" i="55"/>
  <c r="U225" i="55"/>
  <c r="AM225" i="55"/>
  <c r="BI225" i="55"/>
  <c r="AI225" i="55"/>
  <c r="Y225" i="55"/>
  <c r="Q217" i="55"/>
  <c r="M217" i="55"/>
  <c r="P217" i="55"/>
  <c r="L217" i="55"/>
  <c r="AD217" i="55"/>
  <c r="BD217" i="55"/>
  <c r="AZ217" i="55"/>
  <c r="T217" i="55"/>
  <c r="BI217" i="55"/>
  <c r="AH217" i="55"/>
  <c r="AV217" i="55"/>
  <c r="AP217" i="55"/>
  <c r="Y217" i="55"/>
  <c r="BH217" i="55"/>
  <c r="X217" i="55"/>
  <c r="AL217" i="55"/>
  <c r="AW217" i="55"/>
  <c r="BA217" i="55"/>
  <c r="AM217" i="55"/>
  <c r="AE217" i="55"/>
  <c r="AI217" i="55"/>
  <c r="AQ217" i="55"/>
  <c r="BE217" i="55"/>
  <c r="U217" i="55"/>
  <c r="M209" i="55"/>
  <c r="Q209" i="55"/>
  <c r="L209" i="55"/>
  <c r="P209" i="55"/>
  <c r="T209" i="55"/>
  <c r="X209" i="55"/>
  <c r="AZ209" i="55"/>
  <c r="AH209" i="55"/>
  <c r="BA209" i="55"/>
  <c r="AP209" i="55"/>
  <c r="AV209" i="55"/>
  <c r="BH209" i="55"/>
  <c r="AD209" i="55"/>
  <c r="AL209" i="55"/>
  <c r="BD209" i="55"/>
  <c r="AI209" i="55"/>
  <c r="AE209" i="55"/>
  <c r="AM209" i="55"/>
  <c r="U209" i="55"/>
  <c r="Y209" i="55"/>
  <c r="BE209" i="55"/>
  <c r="AW209" i="55"/>
  <c r="BI209" i="55"/>
  <c r="AQ209" i="55"/>
  <c r="M201" i="55"/>
  <c r="Q201" i="55"/>
  <c r="L201" i="55"/>
  <c r="P201" i="55"/>
  <c r="BH201" i="55"/>
  <c r="AW201" i="55"/>
  <c r="AD201" i="55"/>
  <c r="X201" i="55"/>
  <c r="AH201" i="55"/>
  <c r="AP201" i="55"/>
  <c r="AV201" i="55"/>
  <c r="BA201" i="55"/>
  <c r="BI201" i="55"/>
  <c r="BD201" i="55"/>
  <c r="T201" i="55"/>
  <c r="AZ201" i="55"/>
  <c r="AL201" i="55"/>
  <c r="AE201" i="55"/>
  <c r="U201" i="55"/>
  <c r="BE201" i="55"/>
  <c r="AQ201" i="55"/>
  <c r="AM201" i="55"/>
  <c r="Y201" i="55"/>
  <c r="AI201" i="55"/>
  <c r="P193" i="55"/>
  <c r="M193" i="55"/>
  <c r="Q193" i="55"/>
  <c r="L193" i="55"/>
  <c r="AV193" i="55"/>
  <c r="AD193" i="55"/>
  <c r="T193" i="55"/>
  <c r="AL193" i="55"/>
  <c r="AP193" i="55"/>
  <c r="BD193" i="55"/>
  <c r="X193" i="55"/>
  <c r="AZ193" i="55"/>
  <c r="AH193" i="55"/>
  <c r="BH193" i="55"/>
  <c r="BI193" i="55"/>
  <c r="AM193" i="55"/>
  <c r="AQ193" i="55"/>
  <c r="Y193" i="55"/>
  <c r="AI193" i="55"/>
  <c r="BE193" i="55"/>
  <c r="AE193" i="55"/>
  <c r="AW193" i="55"/>
  <c r="U193" i="55"/>
  <c r="BA193" i="55"/>
  <c r="Q185" i="55"/>
  <c r="L185" i="55"/>
  <c r="BD185" i="55"/>
  <c r="P185" i="55"/>
  <c r="M185" i="55"/>
  <c r="X185" i="55"/>
  <c r="AV185" i="55"/>
  <c r="BH185" i="55"/>
  <c r="AP185" i="55"/>
  <c r="AW185" i="55"/>
  <c r="U185" i="55"/>
  <c r="AZ185" i="55"/>
  <c r="T185" i="55"/>
  <c r="AL185" i="55"/>
  <c r="BE185" i="55"/>
  <c r="AH185" i="55"/>
  <c r="AD185" i="55"/>
  <c r="AQ185" i="55"/>
  <c r="AE185" i="55"/>
  <c r="AM185" i="55"/>
  <c r="AI185" i="55"/>
  <c r="Y185" i="55"/>
  <c r="BA185" i="55"/>
  <c r="BI185" i="55"/>
  <c r="M223" i="55"/>
  <c r="Q223" i="55"/>
  <c r="L223" i="55"/>
  <c r="P223" i="55"/>
  <c r="AV223" i="55"/>
  <c r="AP223" i="55"/>
  <c r="BH223" i="55"/>
  <c r="X223" i="55"/>
  <c r="AZ223" i="55"/>
  <c r="AL223" i="55"/>
  <c r="AH223" i="55"/>
  <c r="AD223" i="55"/>
  <c r="BD223" i="55"/>
  <c r="T223" i="55"/>
  <c r="BE223" i="55"/>
  <c r="U223" i="55"/>
  <c r="AM223" i="55"/>
  <c r="AI223" i="55"/>
  <c r="AW223" i="55"/>
  <c r="Y223" i="55"/>
  <c r="BA223" i="55"/>
  <c r="AE223" i="55"/>
  <c r="AQ223" i="55"/>
  <c r="BI223" i="55"/>
  <c r="P219" i="55"/>
  <c r="M219" i="55"/>
  <c r="L219" i="55"/>
  <c r="Q219" i="55"/>
  <c r="AP219" i="55"/>
  <c r="Y219" i="55"/>
  <c r="BD219" i="55"/>
  <c r="AL219" i="55"/>
  <c r="AZ219" i="55"/>
  <c r="AH219" i="55"/>
  <c r="BA219" i="55"/>
  <c r="AV219" i="55"/>
  <c r="BH219" i="55"/>
  <c r="AD219" i="55"/>
  <c r="X219" i="55"/>
  <c r="T219" i="55"/>
  <c r="AE219" i="55"/>
  <c r="AM219" i="55"/>
  <c r="AQ219" i="55"/>
  <c r="BI219" i="55"/>
  <c r="AW219" i="55"/>
  <c r="AI219" i="55"/>
  <c r="U219" i="55"/>
  <c r="BE219" i="55"/>
  <c r="M215" i="55"/>
  <c r="AV215" i="55"/>
  <c r="Q215" i="55"/>
  <c r="L215" i="55"/>
  <c r="P215" i="55"/>
  <c r="BA215" i="55"/>
  <c r="BH215" i="55"/>
  <c r="AP215" i="55"/>
  <c r="BD215" i="55"/>
  <c r="AL215" i="55"/>
  <c r="X215" i="55"/>
  <c r="AH215" i="55"/>
  <c r="T215" i="55"/>
  <c r="AD215" i="55"/>
  <c r="AZ215" i="55"/>
  <c r="BI215" i="55"/>
  <c r="U215" i="55"/>
  <c r="Y215" i="55"/>
  <c r="BE215" i="55"/>
  <c r="AE215" i="55"/>
  <c r="AM215" i="55"/>
  <c r="AI215" i="55"/>
  <c r="AQ215" i="55"/>
  <c r="AW215" i="55"/>
  <c r="AZ211" i="55"/>
  <c r="AV211" i="55"/>
  <c r="AP211" i="55"/>
  <c r="Q211" i="55"/>
  <c r="M211" i="55"/>
  <c r="L211" i="55"/>
  <c r="P211" i="55"/>
  <c r="BI211" i="55"/>
  <c r="X211" i="55"/>
  <c r="AH211" i="55"/>
  <c r="AL211" i="55"/>
  <c r="BH211" i="55"/>
  <c r="BD211" i="55"/>
  <c r="T211" i="55"/>
  <c r="AD211" i="55"/>
  <c r="AW211" i="55"/>
  <c r="U211" i="55"/>
  <c r="AM211" i="55"/>
  <c r="AE211" i="55"/>
  <c r="AQ211" i="55"/>
  <c r="AI211" i="55"/>
  <c r="BE211" i="55"/>
  <c r="Y211" i="55"/>
  <c r="BA211" i="55"/>
  <c r="P207" i="55"/>
  <c r="L207" i="55"/>
  <c r="M207" i="55"/>
  <c r="Q207" i="55"/>
  <c r="AL207" i="55"/>
  <c r="BD207" i="55"/>
  <c r="X207" i="55"/>
  <c r="BI207" i="55"/>
  <c r="AH207" i="55"/>
  <c r="AD207" i="55"/>
  <c r="AV207" i="55"/>
  <c r="BH207" i="55"/>
  <c r="AP207" i="55"/>
  <c r="AZ207" i="55"/>
  <c r="Y207" i="55"/>
  <c r="T207" i="55"/>
  <c r="BE207" i="55"/>
  <c r="AE207" i="55"/>
  <c r="BA207" i="55"/>
  <c r="AM207" i="55"/>
  <c r="U207" i="55"/>
  <c r="AQ207" i="55"/>
  <c r="AI207" i="55"/>
  <c r="AW207" i="55"/>
  <c r="P203" i="55"/>
  <c r="L203" i="55"/>
  <c r="Q203" i="55"/>
  <c r="M203" i="55"/>
  <c r="T203" i="55"/>
  <c r="AH203" i="55"/>
  <c r="Y203" i="55"/>
  <c r="X203" i="55"/>
  <c r="AV203" i="55"/>
  <c r="AZ203" i="55"/>
  <c r="AD203" i="55"/>
  <c r="AP203" i="55"/>
  <c r="BH203" i="55"/>
  <c r="AL203" i="55"/>
  <c r="BD203" i="55"/>
  <c r="U203" i="55"/>
  <c r="BA203" i="55"/>
  <c r="AM203" i="55"/>
  <c r="BI203" i="55"/>
  <c r="BE203" i="55"/>
  <c r="AI203" i="55"/>
  <c r="AQ203" i="55"/>
  <c r="AE203" i="55"/>
  <c r="AW203" i="55"/>
  <c r="M199" i="55"/>
  <c r="Q199" i="55"/>
  <c r="L199" i="55"/>
  <c r="P199" i="55"/>
  <c r="X199" i="55"/>
  <c r="AP199" i="55"/>
  <c r="BH199" i="55"/>
  <c r="AH199" i="55"/>
  <c r="BD199" i="55"/>
  <c r="AD199" i="55"/>
  <c r="T199" i="55"/>
  <c r="AW199" i="55"/>
  <c r="BA199" i="55"/>
  <c r="AV199" i="55"/>
  <c r="AZ199" i="55"/>
  <c r="AL199" i="55"/>
  <c r="BI199" i="55"/>
  <c r="BE199" i="55"/>
  <c r="AI199" i="55"/>
  <c r="AM199" i="55"/>
  <c r="U199" i="55"/>
  <c r="AE199" i="55"/>
  <c r="Y199" i="55"/>
  <c r="AQ199" i="55"/>
  <c r="P195" i="55"/>
  <c r="M195" i="55"/>
  <c r="Q195" i="55"/>
  <c r="L195" i="55"/>
  <c r="BH195" i="55"/>
  <c r="AI195" i="55"/>
  <c r="AD195" i="55"/>
  <c r="T195" i="55"/>
  <c r="AH195" i="55"/>
  <c r="AV195" i="55"/>
  <c r="AL195" i="55"/>
  <c r="AP195" i="55"/>
  <c r="X195" i="55"/>
  <c r="BD195" i="55"/>
  <c r="AZ195" i="55"/>
  <c r="AQ195" i="55"/>
  <c r="AW195" i="55"/>
  <c r="Y195" i="55"/>
  <c r="AE195" i="55"/>
  <c r="BE195" i="55"/>
  <c r="U195" i="55"/>
  <c r="BA195" i="55"/>
  <c r="BI195" i="55"/>
  <c r="AM195" i="55"/>
  <c r="Q191" i="55"/>
  <c r="L191" i="55"/>
  <c r="P191" i="55"/>
  <c r="M191" i="55"/>
  <c r="AZ191" i="55"/>
  <c r="X191" i="55"/>
  <c r="AL191" i="55"/>
  <c r="BH191" i="55"/>
  <c r="AH191" i="55"/>
  <c r="AV191" i="55"/>
  <c r="T191" i="55"/>
  <c r="AP191" i="55"/>
  <c r="BD191" i="55"/>
  <c r="AD191" i="55"/>
  <c r="AI191" i="55"/>
  <c r="Y191" i="55"/>
  <c r="AW191" i="55"/>
  <c r="AM191" i="55"/>
  <c r="U191" i="55"/>
  <c r="AE191" i="55"/>
  <c r="BA191" i="55"/>
  <c r="BE191" i="55"/>
  <c r="AQ191" i="55"/>
  <c r="BI191" i="55"/>
  <c r="P187" i="55"/>
  <c r="Q187" i="55"/>
  <c r="M187" i="55"/>
  <c r="L187" i="55"/>
  <c r="BH187" i="55"/>
  <c r="AV187" i="55"/>
  <c r="X187" i="55"/>
  <c r="AP187" i="55"/>
  <c r="AD187" i="55"/>
  <c r="AI187" i="55"/>
  <c r="AL187" i="55"/>
  <c r="AW187" i="55"/>
  <c r="AQ187" i="55"/>
  <c r="T187" i="55"/>
  <c r="BD187" i="55"/>
  <c r="AZ187" i="55"/>
  <c r="AH187" i="55"/>
  <c r="Y187" i="55"/>
  <c r="AE187" i="55"/>
  <c r="U187" i="55"/>
  <c r="BE187" i="55"/>
  <c r="BA187" i="55"/>
  <c r="AM187" i="55"/>
  <c r="BI187" i="55"/>
  <c r="M183" i="55"/>
  <c r="L183" i="55"/>
  <c r="Q183" i="55"/>
  <c r="P183" i="55"/>
  <c r="AH183" i="55"/>
  <c r="AP183" i="55"/>
  <c r="AV183" i="55"/>
  <c r="AD183" i="55"/>
  <c r="BD183" i="55"/>
  <c r="X183" i="55"/>
  <c r="AL183" i="55"/>
  <c r="BH183" i="55"/>
  <c r="T183" i="55"/>
  <c r="AZ183" i="55"/>
  <c r="BI183" i="55"/>
  <c r="AW183" i="55"/>
  <c r="BA183" i="55"/>
  <c r="U183" i="55"/>
  <c r="BE183" i="55"/>
  <c r="AE183" i="55"/>
  <c r="AQ183" i="55"/>
  <c r="AM183" i="55"/>
  <c r="Y183" i="55"/>
  <c r="AI183" i="55"/>
  <c r="M222" i="55"/>
  <c r="Q222" i="55"/>
  <c r="L222" i="55"/>
  <c r="P222" i="55"/>
  <c r="AL222" i="55"/>
  <c r="AP222" i="55"/>
  <c r="AH222" i="55"/>
  <c r="AZ222" i="55"/>
  <c r="AE222" i="55"/>
  <c r="BH222" i="55"/>
  <c r="AD222" i="55"/>
  <c r="T222" i="55"/>
  <c r="BD222" i="55"/>
  <c r="X222" i="55"/>
  <c r="AV222" i="55"/>
  <c r="AI222" i="55"/>
  <c r="BI222" i="55"/>
  <c r="AW222" i="55"/>
  <c r="AM222" i="55"/>
  <c r="Y222" i="55"/>
  <c r="AQ222" i="55"/>
  <c r="BE222" i="55"/>
  <c r="BA222" i="55"/>
  <c r="U222" i="55"/>
  <c r="P218" i="55"/>
  <c r="M218" i="55"/>
  <c r="Q218" i="55"/>
  <c r="L218" i="55"/>
  <c r="AV218" i="55"/>
  <c r="AL218" i="55"/>
  <c r="T218" i="55"/>
  <c r="BD218" i="55"/>
  <c r="BH218" i="55"/>
  <c r="AH218" i="55"/>
  <c r="AD218" i="55"/>
  <c r="AZ218" i="55"/>
  <c r="X218" i="55"/>
  <c r="AP218" i="55"/>
  <c r="BE218" i="55"/>
  <c r="AW218" i="55"/>
  <c r="AE218" i="55"/>
  <c r="AI218" i="55"/>
  <c r="AQ218" i="55"/>
  <c r="AM218" i="55"/>
  <c r="Y218" i="55"/>
  <c r="BI218" i="55"/>
  <c r="BA218" i="55"/>
  <c r="U218" i="55"/>
  <c r="P214" i="55"/>
  <c r="M214" i="55"/>
  <c r="L214" i="55"/>
  <c r="Q214" i="55"/>
  <c r="AL214" i="55"/>
  <c r="AP214" i="55"/>
  <c r="T214" i="55"/>
  <c r="AQ214" i="55"/>
  <c r="BD214" i="55"/>
  <c r="AI214" i="55"/>
  <c r="BH214" i="55"/>
  <c r="X214" i="55"/>
  <c r="AH214" i="55"/>
  <c r="AD214" i="55"/>
  <c r="AZ214" i="55"/>
  <c r="AV214" i="55"/>
  <c r="BA214" i="55"/>
  <c r="BE214" i="55"/>
  <c r="BI214" i="55"/>
  <c r="U214" i="55"/>
  <c r="AM214" i="55"/>
  <c r="AE214" i="55"/>
  <c r="Y214" i="55"/>
  <c r="AW214" i="55"/>
  <c r="Q210" i="55"/>
  <c r="L210" i="55"/>
  <c r="BD210" i="55"/>
  <c r="P210" i="55"/>
  <c r="M210" i="55"/>
  <c r="AD210" i="55"/>
  <c r="AH210" i="55"/>
  <c r="AL210" i="55"/>
  <c r="AZ210" i="55"/>
  <c r="AV210" i="55"/>
  <c r="X210" i="55"/>
  <c r="BH210" i="55"/>
  <c r="AW210" i="55"/>
  <c r="T210" i="55"/>
  <c r="AP210" i="55"/>
  <c r="BI210" i="55"/>
  <c r="AQ210" i="55"/>
  <c r="BE210" i="55"/>
  <c r="AI210" i="55"/>
  <c r="U210" i="55"/>
  <c r="AE210" i="55"/>
  <c r="BA210" i="55"/>
  <c r="AM210" i="55"/>
  <c r="Y210" i="55"/>
  <c r="P206" i="55"/>
  <c r="T206" i="55"/>
  <c r="M206" i="55"/>
  <c r="L206" i="55"/>
  <c r="Q206" i="55"/>
  <c r="AH206" i="55"/>
  <c r="AL206" i="55"/>
  <c r="AP206" i="55"/>
  <c r="AV206" i="55"/>
  <c r="AZ206" i="55"/>
  <c r="BD206" i="55"/>
  <c r="BH206" i="55"/>
  <c r="AD206" i="55"/>
  <c r="X206" i="55"/>
  <c r="BA206" i="55"/>
  <c r="AW206" i="55"/>
  <c r="U206" i="55"/>
  <c r="AQ206" i="55"/>
  <c r="Y206" i="55"/>
  <c r="AE206" i="55"/>
  <c r="BI206" i="55"/>
  <c r="AI206" i="55"/>
  <c r="AM206" i="55"/>
  <c r="BE206" i="55"/>
  <c r="M202" i="55"/>
  <c r="Q202" i="55"/>
  <c r="L202" i="55"/>
  <c r="P202" i="55"/>
  <c r="AQ202" i="55"/>
  <c r="AI202" i="55"/>
  <c r="AD202" i="55"/>
  <c r="X202" i="55"/>
  <c r="T202" i="55"/>
  <c r="AL202" i="55"/>
  <c r="AH202" i="55"/>
  <c r="BD202" i="55"/>
  <c r="AP202" i="55"/>
  <c r="AV202" i="55"/>
  <c r="BH202" i="55"/>
  <c r="AZ202" i="55"/>
  <c r="BA202" i="55"/>
  <c r="AE202" i="55"/>
  <c r="AM202" i="55"/>
  <c r="AW202" i="55"/>
  <c r="BI202" i="55"/>
  <c r="Y202" i="55"/>
  <c r="U202" i="55"/>
  <c r="BE202" i="55"/>
  <c r="M198" i="55"/>
  <c r="Q198" i="55"/>
  <c r="L198" i="55"/>
  <c r="P198" i="55"/>
  <c r="X198" i="55"/>
  <c r="AM198" i="55"/>
  <c r="BH198" i="55"/>
  <c r="AP198" i="55"/>
  <c r="AV198" i="55"/>
  <c r="AE198" i="55"/>
  <c r="AH198" i="55"/>
  <c r="AL198" i="55"/>
  <c r="AZ198" i="55"/>
  <c r="T198" i="55"/>
  <c r="AD198" i="55"/>
  <c r="BD198" i="55"/>
  <c r="AQ198" i="55"/>
  <c r="AW198" i="55"/>
  <c r="Y198" i="55"/>
  <c r="BE198" i="55"/>
  <c r="U198" i="55"/>
  <c r="BI198" i="55"/>
  <c r="AI198" i="55"/>
  <c r="BA198" i="55"/>
  <c r="P194" i="55"/>
  <c r="M194" i="55"/>
  <c r="AV194" i="55"/>
  <c r="L194" i="55"/>
  <c r="Q194" i="55"/>
  <c r="X194" i="55"/>
  <c r="AH194" i="55"/>
  <c r="BD194" i="55"/>
  <c r="BH194" i="55"/>
  <c r="AL194" i="55"/>
  <c r="AD194" i="55"/>
  <c r="T194" i="55"/>
  <c r="AP194" i="55"/>
  <c r="AZ194" i="55"/>
  <c r="AQ194" i="55"/>
  <c r="AW194" i="55"/>
  <c r="BA194" i="55"/>
  <c r="BE194" i="55"/>
  <c r="Y194" i="55"/>
  <c r="AE194" i="55"/>
  <c r="BI194" i="55"/>
  <c r="U194" i="55"/>
  <c r="AM194" i="55"/>
  <c r="AI194" i="55"/>
  <c r="Q190" i="55"/>
  <c r="L190" i="55"/>
  <c r="AV190" i="55"/>
  <c r="P190" i="55"/>
  <c r="M190" i="55"/>
  <c r="T190" i="55"/>
  <c r="X190" i="55"/>
  <c r="AH190" i="55"/>
  <c r="AD190" i="55"/>
  <c r="AL190" i="55"/>
  <c r="AP190" i="55"/>
  <c r="BD190" i="55"/>
  <c r="AZ190" i="55"/>
  <c r="BH190" i="55"/>
  <c r="AQ190" i="55"/>
  <c r="U190" i="55"/>
  <c r="BI190" i="55"/>
  <c r="AW190" i="55"/>
  <c r="AI190" i="55"/>
  <c r="Y190" i="55"/>
  <c r="AE190" i="55"/>
  <c r="BA190" i="55"/>
  <c r="AM190" i="55"/>
  <c r="BE190" i="55"/>
  <c r="P186" i="55"/>
  <c r="Q186" i="55"/>
  <c r="M186" i="55"/>
  <c r="L186" i="55"/>
  <c r="AL186" i="55"/>
  <c r="BI186" i="55"/>
  <c r="BD186" i="55"/>
  <c r="T186" i="55"/>
  <c r="X186" i="55"/>
  <c r="AZ186" i="55"/>
  <c r="BH186" i="55"/>
  <c r="AD186" i="55"/>
  <c r="AH186" i="55"/>
  <c r="AP186" i="55"/>
  <c r="AV186" i="55"/>
  <c r="BE186" i="55"/>
  <c r="Y186" i="55"/>
  <c r="BA186" i="55"/>
  <c r="AW186" i="55"/>
  <c r="U186" i="55"/>
  <c r="AQ186" i="55"/>
  <c r="AE186" i="55"/>
  <c r="AI186" i="55"/>
  <c r="AM186" i="55"/>
  <c r="P182" i="55"/>
  <c r="Q182" i="55"/>
  <c r="L182" i="55"/>
  <c r="M182" i="55"/>
  <c r="AD182" i="55"/>
  <c r="AH182" i="55"/>
  <c r="BD182" i="55"/>
  <c r="BH182" i="55"/>
  <c r="AL182" i="55"/>
  <c r="AZ182" i="55"/>
  <c r="AP182" i="55"/>
  <c r="T182" i="55"/>
  <c r="X182" i="55"/>
  <c r="AV182" i="55"/>
  <c r="AW182" i="55"/>
  <c r="AI182" i="55"/>
  <c r="AM182" i="55"/>
  <c r="U182" i="55"/>
  <c r="Y182" i="55"/>
  <c r="AQ182" i="55"/>
  <c r="BI182" i="55"/>
  <c r="BA182" i="55"/>
  <c r="BE182" i="55"/>
  <c r="AE182" i="55"/>
  <c r="AL392" i="61"/>
  <c r="AD424" i="62"/>
  <c r="T423" i="62"/>
  <c r="AV423" i="62"/>
  <c r="P424" i="62"/>
  <c r="AL426" i="62"/>
  <c r="T426" i="62"/>
  <c r="AZ426" i="62"/>
  <c r="X426" i="62"/>
  <c r="AV426" i="62"/>
  <c r="AH426" i="62"/>
  <c r="BH426" i="62"/>
  <c r="BH391" i="61"/>
  <c r="AD391" i="61"/>
  <c r="P391" i="61"/>
  <c r="G391" i="61" a="1"/>
  <c r="G391" i="61"/>
  <c r="AZ388" i="61"/>
  <c r="AL388" i="61"/>
  <c r="X388" i="61"/>
  <c r="BH390" i="61"/>
  <c r="AD390" i="61"/>
  <c r="P390" i="61"/>
  <c r="BD389" i="61"/>
  <c r="AP389" i="61"/>
  <c r="AI246" i="55"/>
  <c r="BE238" i="55"/>
  <c r="AW251" i="55"/>
  <c r="BA243" i="55"/>
  <c r="AI254" i="55"/>
  <c r="AW229" i="55"/>
  <c r="AE250" i="55"/>
  <c r="BI243" i="55"/>
  <c r="AE255" i="55"/>
  <c r="AI234" i="55"/>
  <c r="AI245" i="55"/>
  <c r="U242" i="55"/>
  <c r="L424" i="62"/>
  <c r="BH423" i="62"/>
  <c r="AD423" i="62"/>
  <c r="P423" i="62"/>
  <c r="AV392" i="61"/>
  <c r="AH392" i="61"/>
  <c r="T392" i="61"/>
  <c r="H392" i="61" a="1"/>
  <c r="H392" i="61"/>
  <c r="BD391" i="61"/>
  <c r="AP391" i="61"/>
  <c r="AC391" i="61"/>
  <c r="L391" i="61"/>
  <c r="AV388" i="61"/>
  <c r="AH388" i="61"/>
  <c r="T388" i="61"/>
  <c r="BD390" i="61"/>
  <c r="AP390" i="61"/>
  <c r="AC390" i="61"/>
  <c r="L390" i="61"/>
  <c r="AZ389" i="61"/>
  <c r="AL389" i="61"/>
  <c r="X389" i="61"/>
  <c r="BI254" i="55"/>
  <c r="AE243" i="55"/>
  <c r="AW238" i="55"/>
  <c r="BE249" i="55"/>
  <c r="U253" i="55"/>
  <c r="AE253" i="55"/>
  <c r="AE231" i="55"/>
  <c r="BE233" i="55"/>
  <c r="BE254" i="55"/>
  <c r="BD425" i="62"/>
  <c r="L425" i="62"/>
  <c r="AL425" i="62"/>
  <c r="BD424" i="62"/>
  <c r="AD426" i="62"/>
  <c r="P426" i="62"/>
  <c r="AV425" i="62"/>
  <c r="AH425" i="62"/>
  <c r="T425" i="62"/>
  <c r="AZ424" i="62"/>
  <c r="AL424" i="62"/>
  <c r="BD423" i="62"/>
  <c r="AP423" i="62"/>
  <c r="L423" i="62"/>
  <c r="BG392" i="61"/>
  <c r="G392" i="61" a="1"/>
  <c r="G392" i="61"/>
  <c r="AZ391" i="61"/>
  <c r="O391" i="61"/>
  <c r="Q391" i="61"/>
  <c r="BH388" i="61"/>
  <c r="AD388" i="61"/>
  <c r="P388" i="61"/>
  <c r="AL390" i="61"/>
  <c r="X390" i="61"/>
  <c r="AV389" i="61"/>
  <c r="AH389" i="61"/>
  <c r="T389" i="61"/>
  <c r="U249" i="55"/>
  <c r="BA245" i="55"/>
  <c r="BI241" i="55"/>
  <c r="U235" i="55"/>
  <c r="AW233" i="55"/>
  <c r="AM241" i="55"/>
  <c r="Y179" i="55"/>
  <c r="Y241" i="55"/>
  <c r="Y233" i="55"/>
  <c r="AQ227" i="55"/>
  <c r="Y176" i="55"/>
  <c r="AP425" i="62"/>
  <c r="AZ425" i="62"/>
  <c r="AP424" i="62"/>
  <c r="BD426" i="62"/>
  <c r="AP426" i="62"/>
  <c r="L426" i="62"/>
  <c r="BH425" i="62"/>
  <c r="AD425" i="62"/>
  <c r="P425" i="62"/>
  <c r="AV424" i="62"/>
  <c r="T424" i="62"/>
  <c r="AZ423" i="62"/>
  <c r="AL423" i="62"/>
  <c r="AP392" i="61"/>
  <c r="L392" i="61"/>
  <c r="AV391" i="61"/>
  <c r="AH391" i="61"/>
  <c r="T391" i="61"/>
  <c r="H391" i="61" a="1"/>
  <c r="H391" i="61"/>
  <c r="BD388" i="61"/>
  <c r="AP388" i="61"/>
  <c r="L388" i="61"/>
  <c r="AV390" i="61"/>
  <c r="AH390" i="61"/>
  <c r="T390" i="61"/>
  <c r="BH389" i="61"/>
  <c r="AD389" i="61"/>
  <c r="P389" i="61"/>
  <c r="U245" i="55"/>
  <c r="AQ233" i="55"/>
  <c r="Y250" i="55"/>
  <c r="Y237" i="55"/>
  <c r="AE233" i="55"/>
  <c r="AM172" i="55"/>
  <c r="AM251" i="55"/>
  <c r="AI239" i="55"/>
  <c r="AI172" i="55"/>
  <c r="L167" i="55"/>
  <c r="P167" i="55"/>
  <c r="BH167" i="55"/>
  <c r="M167" i="55"/>
  <c r="Q167" i="55"/>
  <c r="T167" i="55"/>
  <c r="AP167" i="55"/>
  <c r="X167" i="55"/>
  <c r="AD167" i="55"/>
  <c r="AL167" i="55"/>
  <c r="AV167" i="55"/>
  <c r="AZ167" i="55"/>
  <c r="AH167" i="55"/>
  <c r="BD167" i="55"/>
  <c r="AI167" i="55"/>
  <c r="AM167" i="55"/>
  <c r="U167" i="55"/>
  <c r="AQ167" i="55"/>
  <c r="BI167" i="55"/>
  <c r="AW167" i="55"/>
  <c r="Y167" i="55"/>
  <c r="L173" i="55"/>
  <c r="P173" i="55"/>
  <c r="M173" i="55"/>
  <c r="Q173" i="55"/>
  <c r="BD173" i="55"/>
  <c r="T173" i="55"/>
  <c r="AP173" i="55"/>
  <c r="AV173" i="55"/>
  <c r="AD173" i="55"/>
  <c r="AZ173" i="55"/>
  <c r="AL173" i="55"/>
  <c r="AH173" i="55"/>
  <c r="BH173" i="55"/>
  <c r="X173" i="55"/>
  <c r="U173" i="55"/>
  <c r="BA173" i="55"/>
  <c r="AW173" i="55"/>
  <c r="AQ173" i="55"/>
  <c r="BE173" i="55"/>
  <c r="AM173" i="55"/>
  <c r="AI173" i="55"/>
  <c r="BI173" i="55"/>
  <c r="AE173" i="55"/>
  <c r="L244" i="55"/>
  <c r="P244" i="55"/>
  <c r="AZ244" i="55"/>
  <c r="M244" i="55"/>
  <c r="Q244" i="55"/>
  <c r="AH244" i="55"/>
  <c r="X244" i="55"/>
  <c r="BE244" i="55"/>
  <c r="AM244" i="55"/>
  <c r="AP244" i="55"/>
  <c r="AD244" i="55"/>
  <c r="BH244" i="55"/>
  <c r="BD244" i="55"/>
  <c r="T244" i="55"/>
  <c r="U244" i="55"/>
  <c r="AE244" i="55"/>
  <c r="AL244" i="55"/>
  <c r="AV244" i="55"/>
  <c r="BA244" i="55"/>
  <c r="AQ244" i="55"/>
  <c r="L232" i="55"/>
  <c r="P232" i="55"/>
  <c r="M232" i="55"/>
  <c r="Q232" i="55"/>
  <c r="AZ232" i="55"/>
  <c r="BD232" i="55"/>
  <c r="BE232" i="55"/>
  <c r="AP232" i="55"/>
  <c r="AL232" i="55"/>
  <c r="AV232" i="55"/>
  <c r="X232" i="55"/>
  <c r="T232" i="55"/>
  <c r="AD232" i="55"/>
  <c r="AH232" i="55"/>
  <c r="BH232" i="55"/>
  <c r="Y232" i="55"/>
  <c r="AI232" i="55"/>
  <c r="AM232" i="55"/>
  <c r="BI232" i="55"/>
  <c r="U252" i="55"/>
  <c r="Y173" i="55"/>
  <c r="BI248" i="55"/>
  <c r="Y240" i="55"/>
  <c r="BA177" i="55"/>
  <c r="AE167" i="55"/>
  <c r="L176" i="55"/>
  <c r="P176" i="55"/>
  <c r="M176" i="55"/>
  <c r="Q176" i="55"/>
  <c r="X176" i="55"/>
  <c r="AZ176" i="55"/>
  <c r="AH176" i="55"/>
  <c r="BD176" i="55"/>
  <c r="T176" i="55"/>
  <c r="AD176" i="55"/>
  <c r="AE176" i="55"/>
  <c r="AV176" i="55"/>
  <c r="AP176" i="55"/>
  <c r="BH176" i="55"/>
  <c r="AL176" i="55"/>
  <c r="AW176" i="55"/>
  <c r="U176" i="55"/>
  <c r="AQ176" i="55"/>
  <c r="L169" i="55"/>
  <c r="P169" i="55"/>
  <c r="BH169" i="55"/>
  <c r="M169" i="55"/>
  <c r="Q169" i="55"/>
  <c r="AV169" i="55"/>
  <c r="BD169" i="55"/>
  <c r="AZ169" i="55"/>
  <c r="AH169" i="55"/>
  <c r="AP169" i="55"/>
  <c r="AL169" i="55"/>
  <c r="X169" i="55"/>
  <c r="AD169" i="55"/>
  <c r="T169" i="55"/>
  <c r="AI169" i="55"/>
  <c r="AM169" i="55"/>
  <c r="BE169" i="55"/>
  <c r="U169" i="55"/>
  <c r="AQ169" i="55"/>
  <c r="AW169" i="55"/>
  <c r="BI169" i="55"/>
  <c r="Y169" i="55"/>
  <c r="L179" i="55"/>
  <c r="Q179" i="55"/>
  <c r="M179" i="55"/>
  <c r="AL179" i="55"/>
  <c r="P179" i="55"/>
  <c r="AD179" i="55"/>
  <c r="BD179" i="55"/>
  <c r="AV179" i="55"/>
  <c r="AH179" i="55"/>
  <c r="AZ179" i="55"/>
  <c r="T179" i="55"/>
  <c r="AP179" i="55"/>
  <c r="BH179" i="55"/>
  <c r="X179" i="55"/>
  <c r="U179" i="55"/>
  <c r="BI179" i="55"/>
  <c r="AW179" i="55"/>
  <c r="BA179" i="55"/>
  <c r="AE179" i="55"/>
  <c r="L175" i="55"/>
  <c r="P175" i="55"/>
  <c r="M175" i="55"/>
  <c r="Q175" i="55"/>
  <c r="X175" i="55"/>
  <c r="BH175" i="55"/>
  <c r="T175" i="55"/>
  <c r="BD175" i="55"/>
  <c r="AP175" i="55"/>
  <c r="AZ175" i="55"/>
  <c r="AL175" i="55"/>
  <c r="AV175" i="55"/>
  <c r="AD175" i="55"/>
  <c r="AH175" i="55"/>
  <c r="BE175" i="55"/>
  <c r="AM175" i="55"/>
  <c r="Y175" i="55"/>
  <c r="BA175" i="55"/>
  <c r="U175" i="55"/>
  <c r="AW175" i="55"/>
  <c r="BI175" i="55"/>
  <c r="L254" i="55"/>
  <c r="Q254" i="55"/>
  <c r="M254" i="55"/>
  <c r="P254" i="55"/>
  <c r="AL254" i="55"/>
  <c r="BA254" i="55"/>
  <c r="AZ254" i="55"/>
  <c r="U254" i="55"/>
  <c r="AD254" i="55"/>
  <c r="AH254" i="55"/>
  <c r="BD254" i="55"/>
  <c r="T254" i="55"/>
  <c r="AP254" i="55"/>
  <c r="AV254" i="55"/>
  <c r="BH254" i="55"/>
  <c r="X254" i="55"/>
  <c r="AW254" i="55"/>
  <c r="Y254" i="55"/>
  <c r="AE254" i="55"/>
  <c r="AM254" i="55"/>
  <c r="P250" i="55"/>
  <c r="BH250" i="55"/>
  <c r="M250" i="55"/>
  <c r="L250" i="55"/>
  <c r="AV250" i="55"/>
  <c r="Q250" i="55"/>
  <c r="AL250" i="55"/>
  <c r="AD250" i="55"/>
  <c r="X250" i="55"/>
  <c r="T250" i="55"/>
  <c r="BD250" i="55"/>
  <c r="AH250" i="55"/>
  <c r="AP250" i="55"/>
  <c r="AZ250" i="55"/>
  <c r="U250" i="55"/>
  <c r="BA250" i="55"/>
  <c r="P246" i="55"/>
  <c r="L246" i="55"/>
  <c r="Q246" i="55"/>
  <c r="AZ246" i="55"/>
  <c r="M246" i="55"/>
  <c r="X246" i="55"/>
  <c r="AP246" i="55"/>
  <c r="BD246" i="55"/>
  <c r="AD246" i="55"/>
  <c r="BH246" i="55"/>
  <c r="BA246" i="55"/>
  <c r="AH246" i="55"/>
  <c r="T246" i="55"/>
  <c r="AV246" i="55"/>
  <c r="AL246" i="55"/>
  <c r="P242" i="55"/>
  <c r="AH242" i="55"/>
  <c r="L242" i="55"/>
  <c r="Q242" i="55"/>
  <c r="M242" i="55"/>
  <c r="AZ242" i="55"/>
  <c r="AL242" i="55"/>
  <c r="BH242" i="55"/>
  <c r="AP242" i="55"/>
  <c r="AD242" i="55"/>
  <c r="AV242" i="55"/>
  <c r="X242" i="55"/>
  <c r="BD242" i="55"/>
  <c r="T242" i="55"/>
  <c r="AQ242" i="55"/>
  <c r="BE242" i="55"/>
  <c r="BA242" i="55"/>
  <c r="L238" i="55"/>
  <c r="Q238" i="55"/>
  <c r="M238" i="55"/>
  <c r="P238" i="55"/>
  <c r="T238" i="55"/>
  <c r="AH238" i="55"/>
  <c r="AZ238" i="55"/>
  <c r="AP238" i="55"/>
  <c r="BD238" i="55"/>
  <c r="X238" i="55"/>
  <c r="AL238" i="55"/>
  <c r="BH238" i="55"/>
  <c r="AV238" i="55"/>
  <c r="AD238" i="55"/>
  <c r="AQ238" i="55"/>
  <c r="BA238" i="55"/>
  <c r="AE238" i="55"/>
  <c r="M234" i="55"/>
  <c r="P234" i="55"/>
  <c r="L234" i="55"/>
  <c r="Q234" i="55"/>
  <c r="AV234" i="55"/>
  <c r="AZ234" i="55"/>
  <c r="BH234" i="55"/>
  <c r="AH234" i="55"/>
  <c r="U234" i="55"/>
  <c r="T234" i="55"/>
  <c r="X234" i="55"/>
  <c r="AP234" i="55"/>
  <c r="AL234" i="55"/>
  <c r="BD234" i="55"/>
  <c r="AD234" i="55"/>
  <c r="AM234" i="55"/>
  <c r="Y234" i="55"/>
  <c r="AE234" i="55"/>
  <c r="BI234" i="55"/>
  <c r="L230" i="55"/>
  <c r="P230" i="55"/>
  <c r="M230" i="55"/>
  <c r="Q230" i="55"/>
  <c r="BD230" i="55"/>
  <c r="AP230" i="55"/>
  <c r="AL230" i="55"/>
  <c r="AZ230" i="55"/>
  <c r="AV230" i="55"/>
  <c r="AH230" i="55"/>
  <c r="X230" i="55"/>
  <c r="AE230" i="55"/>
  <c r="BH230" i="55"/>
  <c r="AD230" i="55"/>
  <c r="T230" i="55"/>
  <c r="U230" i="55"/>
  <c r="AQ230" i="55"/>
  <c r="P226" i="55"/>
  <c r="Q226" i="55"/>
  <c r="L226" i="55"/>
  <c r="M226" i="55"/>
  <c r="AZ226" i="55"/>
  <c r="X226" i="55"/>
  <c r="AH226" i="55"/>
  <c r="AP226" i="55"/>
  <c r="T226" i="55"/>
  <c r="AD226" i="55"/>
  <c r="BH226" i="55"/>
  <c r="AL226" i="55"/>
  <c r="AM226" i="55"/>
  <c r="AV226" i="55"/>
  <c r="BD226" i="55"/>
  <c r="AW226" i="55"/>
  <c r="AI226" i="55"/>
  <c r="AQ226" i="55"/>
  <c r="U226" i="55"/>
  <c r="AE226" i="55"/>
  <c r="AW246" i="55"/>
  <c r="AM248" i="55"/>
  <c r="AI251" i="55"/>
  <c r="Y255" i="55"/>
  <c r="U229" i="55"/>
  <c r="BI253" i="55"/>
  <c r="U251" i="55"/>
  <c r="AQ246" i="55"/>
  <c r="BI229" i="55"/>
  <c r="U238" i="55"/>
  <c r="AW230" i="55"/>
  <c r="AW242" i="55"/>
  <c r="U239" i="55"/>
  <c r="BI231" i="55"/>
  <c r="BE236" i="55"/>
  <c r="AM227" i="55"/>
  <c r="AM255" i="55"/>
  <c r="AM249" i="55"/>
  <c r="AW244" i="55"/>
  <c r="AE237" i="55"/>
  <c r="BA230" i="55"/>
  <c r="AI244" i="55"/>
  <c r="AI230" i="55"/>
  <c r="AI250" i="55"/>
  <c r="AM242" i="55"/>
  <c r="AM238" i="55"/>
  <c r="AQ250" i="55"/>
  <c r="AE235" i="55"/>
  <c r="AE242" i="55"/>
  <c r="BE255" i="55"/>
  <c r="BE230" i="55"/>
  <c r="AQ255" i="55"/>
  <c r="BE246" i="55"/>
  <c r="AI238" i="55"/>
  <c r="Y243" i="55"/>
  <c r="U231" i="55"/>
  <c r="AI236" i="55"/>
  <c r="AI177" i="55"/>
  <c r="AI179" i="55"/>
  <c r="BA169" i="55"/>
  <c r="BE167" i="55"/>
  <c r="BI226" i="55"/>
  <c r="AM179" i="55"/>
  <c r="AM176" i="55"/>
  <c r="L171" i="55"/>
  <c r="P171" i="55"/>
  <c r="M171" i="55"/>
  <c r="Q171" i="55"/>
  <c r="AE171" i="55"/>
  <c r="BD171" i="55"/>
  <c r="T171" i="55"/>
  <c r="AP171" i="55"/>
  <c r="BE171" i="55"/>
  <c r="AZ171" i="55"/>
  <c r="AV171" i="55"/>
  <c r="X171" i="55"/>
  <c r="AL171" i="55"/>
  <c r="BH171" i="55"/>
  <c r="AH171" i="55"/>
  <c r="U171" i="55"/>
  <c r="AD171" i="55"/>
  <c r="BI171" i="55"/>
  <c r="Y171" i="55"/>
  <c r="AW171" i="55"/>
  <c r="AQ171" i="55"/>
  <c r="AM171" i="55"/>
  <c r="M252" i="55"/>
  <c r="P252" i="55"/>
  <c r="AV252" i="55"/>
  <c r="Q252" i="55"/>
  <c r="L252" i="55"/>
  <c r="BD252" i="55"/>
  <c r="T252" i="55"/>
  <c r="AH252" i="55"/>
  <c r="X252" i="55"/>
  <c r="BH252" i="55"/>
  <c r="AZ252" i="55"/>
  <c r="AL252" i="55"/>
  <c r="AP252" i="55"/>
  <c r="AD252" i="55"/>
  <c r="AE252" i="55"/>
  <c r="BI252" i="55"/>
  <c r="BA252" i="55"/>
  <c r="P240" i="55"/>
  <c r="X240" i="55"/>
  <c r="L240" i="55"/>
  <c r="Q240" i="55"/>
  <c r="BH240" i="55"/>
  <c r="M240" i="55"/>
  <c r="AZ240" i="55"/>
  <c r="AL240" i="55"/>
  <c r="AH240" i="55"/>
  <c r="AD240" i="55"/>
  <c r="BD240" i="55"/>
  <c r="AV240" i="55"/>
  <c r="AP240" i="55"/>
  <c r="T240" i="55"/>
  <c r="AI240" i="55"/>
  <c r="AM240" i="55"/>
  <c r="AQ240" i="55"/>
  <c r="P228" i="55"/>
  <c r="AZ228" i="55"/>
  <c r="L228" i="55"/>
  <c r="Q228" i="55"/>
  <c r="M228" i="55"/>
  <c r="X228" i="55"/>
  <c r="BH228" i="55"/>
  <c r="AD228" i="55"/>
  <c r="AL228" i="55"/>
  <c r="T228" i="55"/>
  <c r="AV228" i="55"/>
  <c r="BD228" i="55"/>
  <c r="AH228" i="55"/>
  <c r="AP228" i="55"/>
  <c r="AQ228" i="55"/>
  <c r="U228" i="55"/>
  <c r="BA228" i="55"/>
  <c r="BE228" i="55"/>
  <c r="AE228" i="55"/>
  <c r="BE252" i="55"/>
  <c r="AW252" i="55"/>
  <c r="U236" i="55"/>
  <c r="BI228" i="55"/>
  <c r="U232" i="55"/>
  <c r="U177" i="55"/>
  <c r="M180" i="55"/>
  <c r="P180" i="55"/>
  <c r="L180" i="55"/>
  <c r="Q180" i="55"/>
  <c r="X180" i="55"/>
  <c r="AH180" i="55"/>
  <c r="BE180" i="55"/>
  <c r="BH180" i="55"/>
  <c r="AD180" i="55"/>
  <c r="AP180" i="55"/>
  <c r="AZ180" i="55"/>
  <c r="T180" i="55"/>
  <c r="AL180" i="55"/>
  <c r="BD180" i="55"/>
  <c r="AV180" i="55"/>
  <c r="AW180" i="55"/>
  <c r="U180" i="55"/>
  <c r="AE180" i="55"/>
  <c r="AM180" i="55"/>
  <c r="BA180" i="55"/>
  <c r="AI180" i="55"/>
  <c r="BI180" i="55"/>
  <c r="Y180" i="55"/>
  <c r="AQ180" i="55"/>
  <c r="M172" i="55"/>
  <c r="BH172" i="55"/>
  <c r="P172" i="55"/>
  <c r="L172" i="55"/>
  <c r="Q172" i="55"/>
  <c r="AP172" i="55"/>
  <c r="AH172" i="55"/>
  <c r="AV172" i="55"/>
  <c r="AD172" i="55"/>
  <c r="T172" i="55"/>
  <c r="AZ172" i="55"/>
  <c r="X172" i="55"/>
  <c r="AW172" i="55"/>
  <c r="BD172" i="55"/>
  <c r="U172" i="55"/>
  <c r="AL172" i="55"/>
  <c r="BI172" i="55"/>
  <c r="BA172" i="55"/>
  <c r="Y172" i="55"/>
  <c r="AE172" i="55"/>
  <c r="L168" i="55"/>
  <c r="P168" i="55"/>
  <c r="BH168" i="55"/>
  <c r="M168" i="55"/>
  <c r="Q168" i="55"/>
  <c r="X168" i="55"/>
  <c r="AP168" i="55"/>
  <c r="AZ168" i="55"/>
  <c r="AH168" i="55"/>
  <c r="AD168" i="55"/>
  <c r="T168" i="55"/>
  <c r="AL168" i="55"/>
  <c r="BD168" i="55"/>
  <c r="AV168" i="55"/>
  <c r="AI168" i="55"/>
  <c r="BE168" i="55"/>
  <c r="U168" i="55"/>
  <c r="AQ168" i="55"/>
  <c r="Y168" i="55"/>
  <c r="AW168" i="55"/>
  <c r="BI168" i="55"/>
  <c r="AE168" i="55"/>
  <c r="L178" i="55"/>
  <c r="P178" i="55"/>
  <c r="M178" i="55"/>
  <c r="Q178" i="55"/>
  <c r="AH178" i="55"/>
  <c r="AE178" i="55"/>
  <c r="AL178" i="55"/>
  <c r="AD178" i="55"/>
  <c r="AP178" i="55"/>
  <c r="X178" i="55"/>
  <c r="AZ178" i="55"/>
  <c r="AV178" i="55"/>
  <c r="BD178" i="55"/>
  <c r="BH178" i="55"/>
  <c r="T178" i="55"/>
  <c r="Y178" i="55"/>
  <c r="BE178" i="55"/>
  <c r="BI178" i="55"/>
  <c r="U178" i="55"/>
  <c r="BA178" i="55"/>
  <c r="AM178" i="55"/>
  <c r="AQ178" i="55"/>
  <c r="P174" i="55"/>
  <c r="L174" i="55"/>
  <c r="Q174" i="55"/>
  <c r="M174" i="55"/>
  <c r="AL174" i="55"/>
  <c r="AV174" i="55"/>
  <c r="AP174" i="55"/>
  <c r="AD174" i="55"/>
  <c r="BD174" i="55"/>
  <c r="AH174" i="55"/>
  <c r="AZ174" i="55"/>
  <c r="BH174" i="55"/>
  <c r="T174" i="55"/>
  <c r="X174" i="55"/>
  <c r="BA174" i="55"/>
  <c r="AW174" i="55"/>
  <c r="U174" i="55"/>
  <c r="AI174" i="55"/>
  <c r="AE174" i="55"/>
  <c r="AQ174" i="55"/>
  <c r="BI174" i="55"/>
  <c r="Y174" i="55"/>
  <c r="BE174" i="55"/>
  <c r="L253" i="55"/>
  <c r="Q253" i="55"/>
  <c r="M253" i="55"/>
  <c r="P253" i="55"/>
  <c r="AH253" i="55"/>
  <c r="X253" i="55"/>
  <c r="AD253" i="55"/>
  <c r="BD253" i="55"/>
  <c r="T253" i="55"/>
  <c r="AP253" i="55"/>
  <c r="AZ253" i="55"/>
  <c r="AV253" i="55"/>
  <c r="AL253" i="55"/>
  <c r="BH253" i="55"/>
  <c r="Y253" i="55"/>
  <c r="AW253" i="55"/>
  <c r="BE253" i="55"/>
  <c r="P249" i="55"/>
  <c r="M249" i="55"/>
  <c r="L249" i="55"/>
  <c r="T249" i="55"/>
  <c r="Q249" i="55"/>
  <c r="AH249" i="55"/>
  <c r="BH249" i="55"/>
  <c r="AZ249" i="55"/>
  <c r="BD249" i="55"/>
  <c r="AL249" i="55"/>
  <c r="AV249" i="55"/>
  <c r="AI249" i="55"/>
  <c r="X249" i="55"/>
  <c r="AP249" i="55"/>
  <c r="AD249" i="55"/>
  <c r="BA249" i="55"/>
  <c r="AQ249" i="55"/>
  <c r="Y249" i="55"/>
  <c r="M245" i="55"/>
  <c r="P245" i="55"/>
  <c r="L245" i="55"/>
  <c r="Q245" i="55"/>
  <c r="AH245" i="55"/>
  <c r="BD245" i="55"/>
  <c r="AL245" i="55"/>
  <c r="X245" i="55"/>
  <c r="AP245" i="55"/>
  <c r="AZ245" i="55"/>
  <c r="BH245" i="55"/>
  <c r="AE245" i="55"/>
  <c r="T245" i="55"/>
  <c r="AV245" i="55"/>
  <c r="AD245" i="55"/>
  <c r="AW245" i="55"/>
  <c r="L241" i="55"/>
  <c r="P241" i="55"/>
  <c r="X241" i="55"/>
  <c r="M241" i="55"/>
  <c r="Q241" i="55"/>
  <c r="AH241" i="55"/>
  <c r="AD241" i="55"/>
  <c r="T241" i="55"/>
  <c r="BH241" i="55"/>
  <c r="BD241" i="55"/>
  <c r="AZ241" i="55"/>
  <c r="AV241" i="55"/>
  <c r="AP241" i="55"/>
  <c r="AL241" i="55"/>
  <c r="BE241" i="55"/>
  <c r="AQ241" i="55"/>
  <c r="M237" i="55"/>
  <c r="Q237" i="55"/>
  <c r="L237" i="55"/>
  <c r="P237" i="55"/>
  <c r="AH237" i="55"/>
  <c r="AD237" i="55"/>
  <c r="AL237" i="55"/>
  <c r="BD237" i="55"/>
  <c r="X237" i="55"/>
  <c r="AZ237" i="55"/>
  <c r="AV237" i="55"/>
  <c r="T237" i="55"/>
  <c r="AP237" i="55"/>
  <c r="BH237" i="55"/>
  <c r="AW237" i="55"/>
  <c r="AI237" i="55"/>
  <c r="BE237" i="55"/>
  <c r="AH233" i="55"/>
  <c r="AP233" i="55"/>
  <c r="T233" i="55"/>
  <c r="L233" i="55"/>
  <c r="P233" i="55"/>
  <c r="M233" i="55"/>
  <c r="Q233" i="55"/>
  <c r="BD233" i="55"/>
  <c r="AZ233" i="55"/>
  <c r="BH233" i="55"/>
  <c r="X233" i="55"/>
  <c r="AV233" i="55"/>
  <c r="AL233" i="55"/>
  <c r="AD233" i="55"/>
  <c r="BI233" i="55"/>
  <c r="AI233" i="55"/>
  <c r="BA233" i="55"/>
  <c r="U233" i="55"/>
  <c r="AZ229" i="55"/>
  <c r="L229" i="55"/>
  <c r="P229" i="55"/>
  <c r="X229" i="55"/>
  <c r="M229" i="55"/>
  <c r="Q229" i="55"/>
  <c r="BH229" i="55"/>
  <c r="T229" i="55"/>
  <c r="AL229" i="55"/>
  <c r="AV229" i="55"/>
  <c r="BD229" i="55"/>
  <c r="AD229" i="55"/>
  <c r="AP229" i="55"/>
  <c r="AH229" i="55"/>
  <c r="AM229" i="55"/>
  <c r="AI229" i="55"/>
  <c r="AQ229" i="55"/>
  <c r="AW250" i="55"/>
  <c r="AI253" i="55"/>
  <c r="BA251" i="55"/>
  <c r="BE243" i="55"/>
  <c r="AW241" i="55"/>
  <c r="AM246" i="55"/>
  <c r="BE251" i="55"/>
  <c r="AW249" i="55"/>
  <c r="Y245" i="55"/>
  <c r="BA237" i="55"/>
  <c r="AI242" i="55"/>
  <c r="BE234" i="55"/>
  <c r="AE241" i="55"/>
  <c r="AW235" i="55"/>
  <c r="Y231" i="55"/>
  <c r="Y244" i="55"/>
  <c r="AW236" i="55"/>
  <c r="Y226" i="55"/>
  <c r="BE227" i="55"/>
  <c r="BA229" i="55"/>
  <c r="AE240" i="55"/>
  <c r="BI245" i="55"/>
  <c r="AM228" i="55"/>
  <c r="AQ253" i="55"/>
  <c r="BI246" i="55"/>
  <c r="U243" i="55"/>
  <c r="AW232" i="55"/>
  <c r="BI238" i="55"/>
  <c r="BA235" i="55"/>
  <c r="BI240" i="55"/>
  <c r="BI249" i="55"/>
  <c r="AE246" i="55"/>
  <c r="AQ237" i="55"/>
  <c r="AI231" i="55"/>
  <c r="BA253" i="55"/>
  <c r="Y252" i="55"/>
  <c r="BE229" i="55"/>
  <c r="AQ234" i="55"/>
  <c r="U240" i="55"/>
  <c r="AE229" i="55"/>
  <c r="AQ179" i="55"/>
  <c r="BI176" i="55"/>
  <c r="AE175" i="55"/>
  <c r="BA167" i="55"/>
  <c r="AI175" i="55"/>
  <c r="AE169" i="55"/>
  <c r="BA171" i="55"/>
  <c r="P177" i="55"/>
  <c r="L177" i="55"/>
  <c r="Q177" i="55"/>
  <c r="M177" i="55"/>
  <c r="AL177" i="55"/>
  <c r="BH177" i="55"/>
  <c r="AZ177" i="55"/>
  <c r="AD177" i="55"/>
  <c r="BD177" i="55"/>
  <c r="AP177" i="55"/>
  <c r="X177" i="55"/>
  <c r="AM177" i="55"/>
  <c r="AH177" i="55"/>
  <c r="T177" i="55"/>
  <c r="AV177" i="55"/>
  <c r="AQ177" i="55"/>
  <c r="Y177" i="55"/>
  <c r="AE177" i="55"/>
  <c r="BE177" i="55"/>
  <c r="M248" i="55"/>
  <c r="Q248" i="55"/>
  <c r="P248" i="55"/>
  <c r="L248" i="55"/>
  <c r="BH248" i="55"/>
  <c r="X248" i="55"/>
  <c r="AL248" i="55"/>
  <c r="AV248" i="55"/>
  <c r="T248" i="55"/>
  <c r="AP248" i="55"/>
  <c r="AZ248" i="55"/>
  <c r="BD248" i="55"/>
  <c r="AH248" i="55"/>
  <c r="AD248" i="55"/>
  <c r="AI248" i="55"/>
  <c r="AE248" i="55"/>
  <c r="Y248" i="55"/>
  <c r="AQ248" i="55"/>
  <c r="BA248" i="55"/>
  <c r="M236" i="55"/>
  <c r="AZ236" i="55"/>
  <c r="P236" i="55"/>
  <c r="L236" i="55"/>
  <c r="Q236" i="55"/>
  <c r="AV236" i="55"/>
  <c r="AH236" i="55"/>
  <c r="AP236" i="55"/>
  <c r="AL236" i="55"/>
  <c r="T236" i="55"/>
  <c r="X236" i="55"/>
  <c r="AD236" i="55"/>
  <c r="BH236" i="55"/>
  <c r="BD236" i="55"/>
  <c r="AQ236" i="55"/>
  <c r="AE236" i="55"/>
  <c r="BI236" i="55"/>
  <c r="Y236" i="55"/>
  <c r="BA236" i="55"/>
  <c r="BA232" i="55"/>
  <c r="Y228" i="55"/>
  <c r="BI177" i="55"/>
  <c r="M170" i="55"/>
  <c r="P170" i="55"/>
  <c r="L170" i="55"/>
  <c r="Q170" i="55"/>
  <c r="AP170" i="55"/>
  <c r="AH170" i="55"/>
  <c r="BD170" i="55"/>
  <c r="T170" i="55"/>
  <c r="BH170" i="55"/>
  <c r="AV170" i="55"/>
  <c r="AZ170" i="55"/>
  <c r="AW170" i="55"/>
  <c r="X170" i="55"/>
  <c r="AL170" i="55"/>
  <c r="AD170" i="55"/>
  <c r="BA170" i="55"/>
  <c r="AE170" i="55"/>
  <c r="BI170" i="55"/>
  <c r="AI170" i="55"/>
  <c r="AQ170" i="55"/>
  <c r="AM170" i="55"/>
  <c r="Y170" i="55"/>
  <c r="L255" i="55"/>
  <c r="P255" i="55"/>
  <c r="BH255" i="55"/>
  <c r="AV255" i="55"/>
  <c r="Q255" i="55"/>
  <c r="X255" i="55"/>
  <c r="M255" i="55"/>
  <c r="T255" i="55"/>
  <c r="AL255" i="55"/>
  <c r="AD255" i="55"/>
  <c r="BD255" i="55"/>
  <c r="AZ255" i="55"/>
  <c r="AI255" i="55"/>
  <c r="AH255" i="55"/>
  <c r="AP255" i="55"/>
  <c r="AW255" i="55"/>
  <c r="BA255" i="55"/>
  <c r="P251" i="55"/>
  <c r="M251" i="55"/>
  <c r="AP251" i="55"/>
  <c r="L251" i="55"/>
  <c r="Q251" i="55"/>
  <c r="AL251" i="55"/>
  <c r="AE251" i="55"/>
  <c r="AD251" i="55"/>
  <c r="AV251" i="55"/>
  <c r="BH251" i="55"/>
  <c r="AZ251" i="55"/>
  <c r="X251" i="55"/>
  <c r="AH251" i="55"/>
  <c r="BD251" i="55"/>
  <c r="T251" i="55"/>
  <c r="L247" i="55"/>
  <c r="P247" i="55"/>
  <c r="AD247" i="55"/>
  <c r="M247" i="55"/>
  <c r="Q247" i="55"/>
  <c r="AH247" i="55"/>
  <c r="AE247" i="55"/>
  <c r="BH247" i="55"/>
  <c r="AL247" i="55"/>
  <c r="BD247" i="55"/>
  <c r="X247" i="55"/>
  <c r="AV247" i="55"/>
  <c r="AZ247" i="55"/>
  <c r="AP247" i="55"/>
  <c r="AI247" i="55"/>
  <c r="T247" i="55"/>
  <c r="Y247" i="55"/>
  <c r="AW247" i="55"/>
  <c r="BA247" i="55"/>
  <c r="BI247" i="55"/>
  <c r="U247" i="55"/>
  <c r="M243" i="55"/>
  <c r="P243" i="55"/>
  <c r="AZ243" i="55"/>
  <c r="L243" i="55"/>
  <c r="Q243" i="55"/>
  <c r="AP243" i="55"/>
  <c r="BH243" i="55"/>
  <c r="AV243" i="55"/>
  <c r="X243" i="55"/>
  <c r="AL243" i="55"/>
  <c r="AH243" i="55"/>
  <c r="AD243" i="55"/>
  <c r="AM243" i="55"/>
  <c r="T243" i="55"/>
  <c r="BD243" i="55"/>
  <c r="AQ243" i="55"/>
  <c r="AW243" i="55"/>
  <c r="M239" i="55"/>
  <c r="Q239" i="55"/>
  <c r="L239" i="55"/>
  <c r="P239" i="55"/>
  <c r="X239" i="55"/>
  <c r="AP239" i="55"/>
  <c r="T239" i="55"/>
  <c r="AL239" i="55"/>
  <c r="BD239" i="55"/>
  <c r="AD239" i="55"/>
  <c r="AV239" i="55"/>
  <c r="AZ239" i="55"/>
  <c r="AH239" i="55"/>
  <c r="BH239" i="55"/>
  <c r="AQ239" i="55"/>
  <c r="BE239" i="55"/>
  <c r="AM239" i="55"/>
  <c r="Y239" i="55"/>
  <c r="L235" i="55"/>
  <c r="P235" i="55"/>
  <c r="X235" i="55"/>
  <c r="M235" i="55"/>
  <c r="Q235" i="55"/>
  <c r="AP235" i="55"/>
  <c r="BH235" i="55"/>
  <c r="AV235" i="55"/>
  <c r="AH235" i="55"/>
  <c r="AL235" i="55"/>
  <c r="T235" i="55"/>
  <c r="AD235" i="55"/>
  <c r="BD235" i="55"/>
  <c r="AZ235" i="55"/>
  <c r="AM235" i="55"/>
  <c r="Y235" i="55"/>
  <c r="AQ235" i="55"/>
  <c r="BI235" i="55"/>
  <c r="L231" i="55"/>
  <c r="Q231" i="55"/>
  <c r="M231" i="55"/>
  <c r="P231" i="55"/>
  <c r="T231" i="55"/>
  <c r="X231" i="55"/>
  <c r="AZ231" i="55"/>
  <c r="AL231" i="55"/>
  <c r="AM231" i="55"/>
  <c r="BD231" i="55"/>
  <c r="AH231" i="55"/>
  <c r="AD231" i="55"/>
  <c r="BH231" i="55"/>
  <c r="AV231" i="55"/>
  <c r="AP231" i="55"/>
  <c r="BE231" i="55"/>
  <c r="BA231" i="55"/>
  <c r="P227" i="55"/>
  <c r="Q227" i="55"/>
  <c r="L227" i="55"/>
  <c r="M227" i="55"/>
  <c r="BH227" i="55"/>
  <c r="AP227" i="55"/>
  <c r="X227" i="55"/>
  <c r="AV227" i="55"/>
  <c r="AD227" i="55"/>
  <c r="U227" i="55"/>
  <c r="AZ227" i="55"/>
  <c r="AH227" i="55"/>
  <c r="T227" i="55"/>
  <c r="BD227" i="55"/>
  <c r="AL227" i="55"/>
  <c r="AW227" i="55"/>
  <c r="AE227" i="55"/>
  <c r="BA227" i="55"/>
  <c r="BI227" i="55"/>
  <c r="BI255" i="55"/>
  <c r="AE232" i="55"/>
  <c r="BI251" i="55"/>
  <c r="AQ232" i="55"/>
  <c r="AW239" i="55"/>
  <c r="AM250" i="55"/>
  <c r="BE240" i="55"/>
  <c r="AI228" i="55"/>
  <c r="AQ247" i="55"/>
  <c r="AQ231" i="55"/>
  <c r="BE250" i="55"/>
  <c r="Y246" i="55"/>
  <c r="Y251" i="55"/>
  <c r="AM237" i="55"/>
  <c r="BI242" i="55"/>
  <c r="BA234" i="55"/>
  <c r="AI241" i="55"/>
  <c r="AI252" i="55"/>
  <c r="BI230" i="55"/>
  <c r="AM247" i="55"/>
  <c r="AQ245" i="55"/>
  <c r="BE245" i="55"/>
  <c r="BA240" i="55"/>
  <c r="AM230" i="55"/>
  <c r="AE239" i="55"/>
  <c r="BI244" i="55"/>
  <c r="Y230" i="55"/>
  <c r="U170" i="55"/>
  <c r="AW248" i="55"/>
  <c r="BE248" i="55"/>
  <c r="BA241" i="55"/>
  <c r="BI239" i="55"/>
  <c r="AM252" i="55"/>
  <c r="AI235" i="55"/>
  <c r="BI237" i="55"/>
  <c r="BE226" i="55"/>
  <c r="AM174" i="55"/>
  <c r="AM168" i="55"/>
  <c r="AW178" i="55"/>
  <c r="AI171" i="55"/>
  <c r="AI227" i="55"/>
  <c r="BE176" i="55"/>
  <c r="AI176" i="55"/>
  <c r="BE172" i="55"/>
  <c r="O390" i="61"/>
  <c r="Q390" i="61"/>
  <c r="AZ390" i="61"/>
  <c r="AY390" i="61"/>
  <c r="AU390" i="61"/>
  <c r="BG389" i="61"/>
  <c r="AU389" i="61"/>
  <c r="AY389" i="61"/>
  <c r="BC389" i="61"/>
  <c r="AG389" i="61"/>
  <c r="AK389" i="61"/>
  <c r="AO389" i="61"/>
  <c r="W389" i="61"/>
  <c r="K389" i="61"/>
  <c r="M389" i="61"/>
  <c r="O389" i="61"/>
  <c r="Q389" i="61"/>
  <c r="AO390" i="61"/>
  <c r="K390" i="61"/>
  <c r="M390" i="61"/>
  <c r="L389" i="61"/>
  <c r="AD392" i="61"/>
  <c r="X391" i="61"/>
  <c r="BG390" i="61"/>
  <c r="BC390" i="61"/>
  <c r="S390" i="61"/>
  <c r="AU392" i="61"/>
  <c r="AL391" i="61"/>
  <c r="W392" i="61"/>
  <c r="K391" i="61"/>
  <c r="M391" i="61"/>
  <c r="AU391" i="61"/>
  <c r="AY391" i="61"/>
  <c r="BD392" i="61"/>
  <c r="BC392" i="61"/>
  <c r="K392" i="61"/>
  <c r="M392" i="61"/>
  <c r="AY392" i="61"/>
  <c r="AZ392" i="61"/>
  <c r="BG388" i="61"/>
  <c r="AU388" i="61"/>
  <c r="AY388" i="61"/>
  <c r="BC388" i="61"/>
  <c r="AG388" i="61"/>
  <c r="AK388" i="61"/>
  <c r="AC388" i="61"/>
  <c r="W388" i="61"/>
  <c r="K388" i="61"/>
  <c r="M388" i="61"/>
  <c r="S388" i="61"/>
  <c r="O392" i="61"/>
  <c r="Q392" i="61"/>
  <c r="P392" i="61"/>
  <c r="AO391" i="61"/>
  <c r="AC392" i="61"/>
  <c r="AG392" i="61"/>
  <c r="AK392" i="61"/>
  <c r="X392" i="61"/>
  <c r="BG391" i="61"/>
  <c r="BC391" i="61"/>
  <c r="S391" i="61"/>
  <c r="AC424" i="62"/>
  <c r="AG424" i="62"/>
  <c r="AK424" i="62"/>
  <c r="AO424" i="62"/>
  <c r="AU423" i="62"/>
  <c r="AY423" i="62"/>
  <c r="BC423" i="62"/>
  <c r="BG423" i="62"/>
  <c r="AY425" i="62"/>
  <c r="BC425" i="62"/>
  <c r="BG425" i="62"/>
  <c r="AU425" i="62"/>
  <c r="AK425" i="62"/>
  <c r="AO425" i="62"/>
  <c r="AC425" i="62"/>
  <c r="AG425" i="62"/>
  <c r="K425" i="62"/>
  <c r="M425" i="62"/>
  <c r="O425" i="62"/>
  <c r="Q425" i="62"/>
  <c r="S425" i="62"/>
  <c r="S424" i="62"/>
  <c r="K424" i="62"/>
  <c r="M424" i="62"/>
  <c r="O424" i="62"/>
  <c r="Q424" i="62"/>
  <c r="AK423" i="62"/>
  <c r="AO423" i="62"/>
  <c r="AC423" i="62"/>
  <c r="AG423" i="62"/>
  <c r="K423" i="62"/>
  <c r="M423" i="62"/>
  <c r="O423" i="62"/>
  <c r="Q423" i="62"/>
  <c r="S423" i="62"/>
  <c r="BG426" i="62"/>
  <c r="AU426" i="62"/>
  <c r="AY426" i="62"/>
  <c r="BC426" i="62"/>
  <c r="AG426" i="62"/>
  <c r="AK426" i="62"/>
  <c r="AO426" i="62"/>
  <c r="AC426" i="62"/>
  <c r="S426" i="62"/>
  <c r="W426" i="62"/>
  <c r="O426" i="62"/>
  <c r="Q426" i="62"/>
  <c r="K426" i="62"/>
  <c r="M426" i="62"/>
  <c r="BG424" i="62"/>
  <c r="AU424" i="62"/>
  <c r="AY424" i="62"/>
  <c r="BC424" i="62"/>
  <c r="C248" i="62"/>
  <c r="AP248" i="62"/>
  <c r="G248" i="62" a="1"/>
  <c r="G248" i="62"/>
  <c r="H248" i="62" a="1"/>
  <c r="H248" i="62"/>
  <c r="C249" i="62"/>
  <c r="X249" i="62"/>
  <c r="G249" i="62" a="1"/>
  <c r="G249" i="62"/>
  <c r="H249" i="62" a="1"/>
  <c r="H249" i="62"/>
  <c r="C234" i="62"/>
  <c r="G234" i="62" a="1"/>
  <c r="G234" i="62"/>
  <c r="H234" i="62" a="1"/>
  <c r="H234" i="62"/>
  <c r="C235" i="62"/>
  <c r="BH235" i="62"/>
  <c r="G235" i="62" a="1"/>
  <c r="G235" i="62"/>
  <c r="H235" i="62" a="1"/>
  <c r="H235" i="62"/>
  <c r="C268" i="62"/>
  <c r="G268" i="62" a="1"/>
  <c r="G268" i="62"/>
  <c r="H268" i="62" a="1"/>
  <c r="H268" i="62"/>
  <c r="C269" i="62"/>
  <c r="X269" i="62"/>
  <c r="G269" i="62" a="1"/>
  <c r="G269" i="62"/>
  <c r="H269" i="62" a="1"/>
  <c r="H269" i="62"/>
  <c r="C274" i="62"/>
  <c r="AP274" i="62"/>
  <c r="G274" i="62" a="1"/>
  <c r="G274" i="62"/>
  <c r="H274" i="62" a="1"/>
  <c r="H274" i="62"/>
  <c r="C275" i="62"/>
  <c r="T275" i="62"/>
  <c r="G275" i="62" a="1"/>
  <c r="G275" i="62"/>
  <c r="H275" i="62" a="1"/>
  <c r="H275" i="62"/>
  <c r="C271" i="62"/>
  <c r="G271" i="62" a="1"/>
  <c r="G271" i="62"/>
  <c r="H271" i="62" a="1"/>
  <c r="H271" i="62"/>
  <c r="C272" i="62"/>
  <c r="G272" i="62" a="1"/>
  <c r="G272" i="62"/>
  <c r="H272" i="62" a="1"/>
  <c r="H272" i="62"/>
  <c r="C265" i="62"/>
  <c r="BD265" i="62"/>
  <c r="G265" i="62" a="1"/>
  <c r="G265" i="62"/>
  <c r="H265" i="62" a="1"/>
  <c r="H265" i="62"/>
  <c r="C266" i="62"/>
  <c r="X266" i="62"/>
  <c r="G266" i="62" a="1"/>
  <c r="G266" i="62"/>
  <c r="H266" i="62" a="1"/>
  <c r="H266" i="62"/>
  <c r="H225" i="62" a="1"/>
  <c r="H225" i="62"/>
  <c r="G226" i="62" a="1"/>
  <c r="G226" i="62"/>
  <c r="H226" i="62" a="1"/>
  <c r="H226" i="62"/>
  <c r="H229" i="62" a="1"/>
  <c r="H229" i="62"/>
  <c r="G231" i="62" a="1"/>
  <c r="G231" i="62"/>
  <c r="G232" i="62" a="1"/>
  <c r="G232" i="62"/>
  <c r="H232" i="62" a="1"/>
  <c r="H232" i="62"/>
  <c r="G237" i="62" a="1"/>
  <c r="G237" i="62"/>
  <c r="H237" i="62" a="1"/>
  <c r="H237" i="62"/>
  <c r="G238" i="62" a="1"/>
  <c r="G238" i="62"/>
  <c r="H238" i="62" a="1"/>
  <c r="H238" i="62"/>
  <c r="G239" i="62" a="1"/>
  <c r="G239" i="62"/>
  <c r="H239" i="62" a="1"/>
  <c r="H239" i="62"/>
  <c r="G240" i="62" a="1"/>
  <c r="G240" i="62"/>
  <c r="H240" i="62" a="1"/>
  <c r="H240" i="62"/>
  <c r="G243" i="62" a="1"/>
  <c r="G243" i="62"/>
  <c r="H243" i="62" a="1"/>
  <c r="H243" i="62"/>
  <c r="G245" i="62" a="1"/>
  <c r="G245" i="62"/>
  <c r="H245" i="62" a="1"/>
  <c r="H245" i="62"/>
  <c r="G246" i="62" a="1"/>
  <c r="G246" i="62"/>
  <c r="H246" i="62" a="1"/>
  <c r="H246" i="62"/>
  <c r="G250" i="62" a="1"/>
  <c r="G250" i="62"/>
  <c r="H250" i="62" a="1"/>
  <c r="H250" i="62"/>
  <c r="G251" i="62" a="1"/>
  <c r="G251" i="62"/>
  <c r="H251" i="62" a="1"/>
  <c r="H251" i="62"/>
  <c r="G253" i="62" a="1"/>
  <c r="G253" i="62"/>
  <c r="H253" i="62" a="1"/>
  <c r="H253" i="62"/>
  <c r="G254" i="62" a="1"/>
  <c r="G254" i="62"/>
  <c r="H254" i="62" a="1"/>
  <c r="H254" i="62"/>
  <c r="G256" i="62" a="1"/>
  <c r="G256" i="62"/>
  <c r="H256" i="62" a="1"/>
  <c r="H256" i="62"/>
  <c r="G257" i="62" a="1"/>
  <c r="G257" i="62"/>
  <c r="H257" i="62" a="1"/>
  <c r="H257" i="62"/>
  <c r="G259" i="62" a="1"/>
  <c r="G259" i="62"/>
  <c r="H259" i="62" a="1"/>
  <c r="H259" i="62"/>
  <c r="G260" i="62" a="1"/>
  <c r="G260" i="62"/>
  <c r="H260" i="62" a="1"/>
  <c r="H260" i="62"/>
  <c r="G263" i="62" a="1"/>
  <c r="G263" i="62"/>
  <c r="H263" i="62" a="1"/>
  <c r="H263" i="62"/>
  <c r="G282" i="62" a="1"/>
  <c r="G282" i="62"/>
  <c r="H282" i="62" a="1"/>
  <c r="H282" i="62"/>
  <c r="G283" i="62" a="1"/>
  <c r="G283" i="62"/>
  <c r="H283" i="62" a="1"/>
  <c r="H283" i="62"/>
  <c r="G288" i="62" a="1"/>
  <c r="G288" i="62"/>
  <c r="H288" i="62" a="1"/>
  <c r="H288" i="62"/>
  <c r="G289" i="62" a="1"/>
  <c r="G289" i="62"/>
  <c r="H289" i="62" a="1"/>
  <c r="H289" i="62"/>
  <c r="G292" i="62" a="1"/>
  <c r="G292" i="62"/>
  <c r="H292" i="62" a="1"/>
  <c r="H292" i="62"/>
  <c r="C282" i="62"/>
  <c r="C283" i="62"/>
  <c r="C284" i="62"/>
  <c r="C285" i="62"/>
  <c r="C286" i="62"/>
  <c r="C287" i="62"/>
  <c r="C288" i="62"/>
  <c r="C289" i="62"/>
  <c r="C290" i="62"/>
  <c r="C291" i="62"/>
  <c r="C292" i="62"/>
  <c r="AD285" i="62"/>
  <c r="AV285" i="62"/>
  <c r="L285" i="62"/>
  <c r="BH285" i="62"/>
  <c r="AL285" i="62"/>
  <c r="AP285" i="62"/>
  <c r="T285" i="62"/>
  <c r="BD285" i="62"/>
  <c r="AZ285" i="62"/>
  <c r="P285" i="62"/>
  <c r="X285" i="62"/>
  <c r="AH285" i="62"/>
  <c r="U285" i="62"/>
  <c r="BE285" i="62"/>
  <c r="AI285" i="62"/>
  <c r="AM285" i="62"/>
  <c r="Y285" i="62"/>
  <c r="BI285" i="62"/>
  <c r="M285" i="62"/>
  <c r="AW285" i="62"/>
  <c r="AQ285" i="62"/>
  <c r="Q285" i="62"/>
  <c r="BA285" i="62"/>
  <c r="AE285" i="62"/>
  <c r="AD284" i="62"/>
  <c r="T284" i="62"/>
  <c r="AL284" i="62"/>
  <c r="BD284" i="62"/>
  <c r="AH284" i="62"/>
  <c r="L284" i="62"/>
  <c r="P284" i="62"/>
  <c r="AZ284" i="62"/>
  <c r="AV284" i="62"/>
  <c r="AP284" i="62"/>
  <c r="BH284" i="62"/>
  <c r="X284" i="62"/>
  <c r="AM284" i="62"/>
  <c r="U284" i="62"/>
  <c r="BI284" i="62"/>
  <c r="AE284" i="62"/>
  <c r="Y284" i="62"/>
  <c r="AW284" i="62"/>
  <c r="AI284" i="62"/>
  <c r="Q284" i="62"/>
  <c r="BA284" i="62"/>
  <c r="M284" i="62"/>
  <c r="BE284" i="62"/>
  <c r="AQ284" i="62"/>
  <c r="AV286" i="62"/>
  <c r="X286" i="62"/>
  <c r="BD286" i="62"/>
  <c r="AH286" i="62"/>
  <c r="AL286" i="62"/>
  <c r="P286" i="62"/>
  <c r="AZ286" i="62"/>
  <c r="L286" i="62"/>
  <c r="AD286" i="62"/>
  <c r="T286" i="62"/>
  <c r="AP286" i="62"/>
  <c r="BH286" i="62"/>
  <c r="U286" i="62"/>
  <c r="AE286" i="62"/>
  <c r="BA286" i="62"/>
  <c r="BE286" i="62"/>
  <c r="Y286" i="62"/>
  <c r="AI286" i="62"/>
  <c r="BI286" i="62"/>
  <c r="M286" i="62"/>
  <c r="AM286" i="62"/>
  <c r="AW286" i="62"/>
  <c r="Q286" i="62"/>
  <c r="AQ286" i="62"/>
  <c r="X549" i="58"/>
  <c r="AX549" i="58"/>
  <c r="AK62" i="58"/>
  <c r="AX62" i="58"/>
  <c r="AK549" i="58"/>
  <c r="BA258" i="55"/>
  <c r="U258" i="55"/>
  <c r="AV258" i="55"/>
  <c r="AZ258" i="55"/>
  <c r="AH258" i="55"/>
  <c r="Q258" i="55"/>
  <c r="BI258" i="55"/>
  <c r="AM258" i="55"/>
  <c r="X258" i="55"/>
  <c r="AL258" i="55"/>
  <c r="AD258" i="55"/>
  <c r="P258" i="55"/>
  <c r="AE258" i="55"/>
  <c r="AQ258" i="55"/>
  <c r="AI258" i="55"/>
  <c r="T258" i="55"/>
  <c r="BH258" i="55"/>
  <c r="M258" i="55"/>
  <c r="BE258" i="55"/>
  <c r="Y258" i="55"/>
  <c r="AW258" i="55"/>
  <c r="AP258" i="55"/>
  <c r="BD258" i="55"/>
  <c r="L258" i="55"/>
  <c r="BN63" i="58"/>
  <c r="BE424" i="62"/>
  <c r="BE426" i="62"/>
  <c r="BA424" i="62"/>
  <c r="BD274" i="62"/>
  <c r="BE388" i="61"/>
  <c r="BI389" i="61"/>
  <c r="AM388" i="61"/>
  <c r="U390" i="61"/>
  <c r="BE391" i="61"/>
  <c r="AI388" i="61"/>
  <c r="BE392" i="61"/>
  <c r="BI425" i="62"/>
  <c r="BE423" i="62"/>
  <c r="AM424" i="62"/>
  <c r="BI423" i="62"/>
  <c r="AQ424" i="62"/>
  <c r="AW424" i="62"/>
  <c r="AQ426" i="62"/>
  <c r="AQ423" i="62"/>
  <c r="AQ425" i="62"/>
  <c r="U424" i="62"/>
  <c r="Y426" i="62"/>
  <c r="AM426" i="62"/>
  <c r="AM423" i="62"/>
  <c r="BI424" i="62"/>
  <c r="BI426" i="62"/>
  <c r="AE426" i="62"/>
  <c r="BE425" i="62"/>
  <c r="AM425" i="62"/>
  <c r="U426" i="62"/>
  <c r="AI426" i="62"/>
  <c r="U425" i="62"/>
  <c r="AE425" i="62"/>
  <c r="U423" i="62"/>
  <c r="AE423" i="62"/>
  <c r="AE424" i="62"/>
  <c r="AW426" i="62"/>
  <c r="AW425" i="62"/>
  <c r="BA423" i="62"/>
  <c r="BA426" i="62"/>
  <c r="BA425" i="62"/>
  <c r="AW423" i="62"/>
  <c r="AW392" i="61"/>
  <c r="AQ389" i="61"/>
  <c r="U391" i="61"/>
  <c r="AI392" i="61"/>
  <c r="AE388" i="61"/>
  <c r="BI390" i="61"/>
  <c r="Y389" i="61"/>
  <c r="BE389" i="61"/>
  <c r="BI391" i="61"/>
  <c r="BI388" i="61"/>
  <c r="BI392" i="61"/>
  <c r="BE390" i="61"/>
  <c r="AW388" i="61"/>
  <c r="BA389" i="61"/>
  <c r="BA390" i="61"/>
  <c r="AW389" i="61"/>
  <c r="AM392" i="61"/>
  <c r="BA391" i="61"/>
  <c r="U388" i="61"/>
  <c r="Y392" i="61"/>
  <c r="AI389" i="61"/>
  <c r="AE390" i="61"/>
  <c r="AE391" i="61"/>
  <c r="BD248" i="62"/>
  <c r="BH266" i="62"/>
  <c r="BH271" i="62"/>
  <c r="BH234" i="62"/>
  <c r="AD266" i="62"/>
  <c r="AD269" i="62"/>
  <c r="AD234" i="62"/>
  <c r="AD271" i="62"/>
  <c r="BH269" i="62"/>
  <c r="AP265" i="62"/>
  <c r="BD268" i="62"/>
  <c r="AD275" i="62"/>
  <c r="BH249" i="62"/>
  <c r="AD249" i="62"/>
  <c r="AP268" i="62"/>
  <c r="AD235" i="62"/>
  <c r="W390" i="61"/>
  <c r="Y390" i="61"/>
  <c r="BH392" i="61"/>
  <c r="AO392" i="61"/>
  <c r="AQ392" i="61"/>
  <c r="AK391" i="61"/>
  <c r="AM391" i="61"/>
  <c r="O388" i="61"/>
  <c r="Q388" i="61"/>
  <c r="AO388" i="61"/>
  <c r="AQ388" i="61"/>
  <c r="S392" i="61"/>
  <c r="U392" i="61"/>
  <c r="AK390" i="61"/>
  <c r="AM390" i="61"/>
  <c r="W391" i="61"/>
  <c r="Y391" i="61"/>
  <c r="AG391" i="61"/>
  <c r="AQ391" i="61"/>
  <c r="AG390" i="61"/>
  <c r="AQ390" i="61"/>
  <c r="S389" i="61"/>
  <c r="U389" i="61"/>
  <c r="AC389" i="61"/>
  <c r="AV235" i="62"/>
  <c r="AH235" i="62"/>
  <c r="BH248" i="62"/>
  <c r="X275" i="62"/>
  <c r="L249" i="62"/>
  <c r="AV249" i="62"/>
  <c r="BD234" i="62"/>
  <c r="T249" i="62"/>
  <c r="BD249" i="62"/>
  <c r="AP249" i="62"/>
  <c r="P249" i="62"/>
  <c r="AL249" i="62"/>
  <c r="AL235" i="62"/>
  <c r="AV248" i="62"/>
  <c r="AH248" i="62"/>
  <c r="T248" i="62"/>
  <c r="AD248" i="62"/>
  <c r="P248" i="62"/>
  <c r="BD235" i="62"/>
  <c r="AP235" i="62"/>
  <c r="AZ248" i="62"/>
  <c r="AL248" i="62"/>
  <c r="X248" i="62"/>
  <c r="AZ274" i="62"/>
  <c r="BD272" i="62"/>
  <c r="AP272" i="62"/>
  <c r="AL274" i="62"/>
  <c r="X274" i="62"/>
  <c r="AV268" i="62"/>
  <c r="AH268" i="62"/>
  <c r="T268" i="62"/>
  <c r="BH268" i="62"/>
  <c r="AD268" i="62"/>
  <c r="AZ268" i="62"/>
  <c r="W287" i="62"/>
  <c r="P268" i="62"/>
  <c r="O249" i="62"/>
  <c r="Q249" i="62"/>
  <c r="AP234" i="62"/>
  <c r="AZ234" i="62"/>
  <c r="AL234" i="62"/>
  <c r="AH249" i="62"/>
  <c r="AL268" i="62"/>
  <c r="X268" i="62"/>
  <c r="AV234" i="62"/>
  <c r="AH234" i="62"/>
  <c r="AZ249" i="62"/>
  <c r="AY249" i="62"/>
  <c r="AU249" i="62"/>
  <c r="BG248" i="62"/>
  <c r="AU248" i="62"/>
  <c r="AY248" i="62"/>
  <c r="BC248" i="62"/>
  <c r="AG248" i="62"/>
  <c r="AK248" i="62"/>
  <c r="AO248" i="62"/>
  <c r="AC248" i="62"/>
  <c r="W248" i="62"/>
  <c r="K248" i="62"/>
  <c r="M248" i="62"/>
  <c r="O248" i="62"/>
  <c r="Q248" i="62"/>
  <c r="S248" i="62"/>
  <c r="AK249" i="62"/>
  <c r="AO249" i="62"/>
  <c r="AC249" i="62"/>
  <c r="AG249" i="62"/>
  <c r="K249" i="62"/>
  <c r="M249" i="62"/>
  <c r="L248" i="62"/>
  <c r="BG249" i="62"/>
  <c r="BI249" i="62"/>
  <c r="W249" i="62"/>
  <c r="BC249" i="62"/>
  <c r="S249" i="62"/>
  <c r="T271" i="62"/>
  <c r="BD269" i="62"/>
  <c r="AP269" i="62"/>
  <c r="AP275" i="62"/>
  <c r="AZ269" i="62"/>
  <c r="AL269" i="62"/>
  <c r="L269" i="62"/>
  <c r="AZ275" i="62"/>
  <c r="AV269" i="62"/>
  <c r="AH269" i="62"/>
  <c r="AU235" i="62"/>
  <c r="S245" i="62"/>
  <c r="W243" i="62"/>
  <c r="O263" i="62"/>
  <c r="O259" i="62"/>
  <c r="W253" i="62"/>
  <c r="K237" i="62"/>
  <c r="L272" i="62"/>
  <c r="T272" i="62"/>
  <c r="S243" i="62"/>
  <c r="S225" i="62"/>
  <c r="T269" i="62"/>
  <c r="AZ235" i="62"/>
  <c r="AY235" i="62"/>
  <c r="X272" i="62"/>
  <c r="S272" i="62"/>
  <c r="P269" i="62"/>
  <c r="P272" i="62"/>
  <c r="K269" i="62"/>
  <c r="M269" i="62"/>
  <c r="BG234" i="62"/>
  <c r="AU234" i="62"/>
  <c r="AY234" i="62"/>
  <c r="BC234" i="62"/>
  <c r="AG234" i="62"/>
  <c r="AK234" i="62"/>
  <c r="AO234" i="62"/>
  <c r="AC234" i="62"/>
  <c r="AK235" i="62"/>
  <c r="AO235" i="62"/>
  <c r="AC235" i="62"/>
  <c r="AG235" i="62"/>
  <c r="BG235" i="62"/>
  <c r="P235" i="62"/>
  <c r="L234" i="62"/>
  <c r="BC235" i="62"/>
  <c r="L235" i="62"/>
  <c r="X234" i="62"/>
  <c r="X235" i="62"/>
  <c r="T234" i="62"/>
  <c r="T235" i="62"/>
  <c r="P234" i="62"/>
  <c r="AV274" i="62"/>
  <c r="AH274" i="62"/>
  <c r="T274" i="62"/>
  <c r="BH274" i="62"/>
  <c r="AD274" i="62"/>
  <c r="P274" i="62"/>
  <c r="X271" i="62"/>
  <c r="AY269" i="62"/>
  <c r="AU269" i="62"/>
  <c r="AK269" i="62"/>
  <c r="AO269" i="62"/>
  <c r="AC269" i="62"/>
  <c r="AG269" i="62"/>
  <c r="W268" i="62"/>
  <c r="K268" i="62"/>
  <c r="M268" i="62"/>
  <c r="O268" i="62"/>
  <c r="Q268" i="62"/>
  <c r="S268" i="62"/>
  <c r="BG268" i="62"/>
  <c r="AU268" i="62"/>
  <c r="AY268" i="62"/>
  <c r="BC268" i="62"/>
  <c r="AG268" i="62"/>
  <c r="AI268" i="62"/>
  <c r="AK268" i="62"/>
  <c r="AO268" i="62"/>
  <c r="AC268" i="62"/>
  <c r="AE268" i="62"/>
  <c r="L268" i="62"/>
  <c r="BG269" i="62"/>
  <c r="BC269" i="62"/>
  <c r="AV271" i="62"/>
  <c r="AH271" i="62"/>
  <c r="AL272" i="62"/>
  <c r="P275" i="62"/>
  <c r="P271" i="62"/>
  <c r="AV272" i="62"/>
  <c r="AH272" i="62"/>
  <c r="BD271" i="62"/>
  <c r="AP271" i="62"/>
  <c r="BH275" i="62"/>
  <c r="AV275" i="62"/>
  <c r="AL275" i="62"/>
  <c r="L275" i="62"/>
  <c r="BH272" i="62"/>
  <c r="AD272" i="62"/>
  <c r="AZ271" i="62"/>
  <c r="AL271" i="62"/>
  <c r="AH275" i="62"/>
  <c r="O275" i="62"/>
  <c r="Q275" i="62"/>
  <c r="AU275" i="62"/>
  <c r="AY275" i="62"/>
  <c r="W274" i="62"/>
  <c r="K274" i="62"/>
  <c r="M274" i="62"/>
  <c r="O274" i="62"/>
  <c r="Q274" i="62"/>
  <c r="S274" i="62"/>
  <c r="AK275" i="62"/>
  <c r="AO275" i="62"/>
  <c r="AC275" i="62"/>
  <c r="AG275" i="62"/>
  <c r="K275" i="62"/>
  <c r="M275" i="62"/>
  <c r="BC275" i="62"/>
  <c r="BD275" i="62"/>
  <c r="BG274" i="62"/>
  <c r="AU274" i="62"/>
  <c r="AY274" i="62"/>
  <c r="BC274" i="62"/>
  <c r="AG274" i="62"/>
  <c r="AK274" i="62"/>
  <c r="AO274" i="62"/>
  <c r="AC274" i="62"/>
  <c r="L274" i="62"/>
  <c r="BG275" i="62"/>
  <c r="W275" i="62"/>
  <c r="Y275" i="62"/>
  <c r="S275" i="62"/>
  <c r="AP266" i="62"/>
  <c r="P266" i="62"/>
  <c r="AZ266" i="62"/>
  <c r="AL266" i="62"/>
  <c r="AV266" i="62"/>
  <c r="AZ272" i="62"/>
  <c r="AY272" i="62"/>
  <c r="AU272" i="62"/>
  <c r="BG271" i="62"/>
  <c r="AU271" i="62"/>
  <c r="AY271" i="62"/>
  <c r="BC271" i="62"/>
  <c r="AG271" i="62"/>
  <c r="AK271" i="62"/>
  <c r="AO271" i="62"/>
  <c r="AC271" i="62"/>
  <c r="W271" i="62"/>
  <c r="K271" i="62"/>
  <c r="M271" i="62"/>
  <c r="O271" i="62"/>
  <c r="Q271" i="62"/>
  <c r="S271" i="62"/>
  <c r="AK272" i="62"/>
  <c r="AO272" i="62"/>
  <c r="AC272" i="62"/>
  <c r="AE272" i="62"/>
  <c r="AG272" i="62"/>
  <c r="L271" i="62"/>
  <c r="BG272" i="62"/>
  <c r="BC272" i="62"/>
  <c r="AZ292" i="62"/>
  <c r="AL292" i="62"/>
  <c r="X292" i="62"/>
  <c r="AZ288" i="62"/>
  <c r="AL288" i="62"/>
  <c r="X288" i="62"/>
  <c r="L266" i="62"/>
  <c r="AZ265" i="62"/>
  <c r="AL265" i="62"/>
  <c r="X265" i="62"/>
  <c r="W254" i="62"/>
  <c r="AV292" i="62"/>
  <c r="AH292" i="62"/>
  <c r="T292" i="62"/>
  <c r="AV288" i="62"/>
  <c r="AH288" i="62"/>
  <c r="T288" i="62"/>
  <c r="AV265" i="62"/>
  <c r="AH265" i="62"/>
  <c r="T265" i="62"/>
  <c r="BH292" i="62"/>
  <c r="AD292" i="62"/>
  <c r="P292" i="62"/>
  <c r="BH288" i="62"/>
  <c r="AD288" i="62"/>
  <c r="P288" i="62"/>
  <c r="T266" i="62"/>
  <c r="BD266" i="62"/>
  <c r="AH266" i="62"/>
  <c r="BH265" i="62"/>
  <c r="AD265" i="62"/>
  <c r="P265" i="62"/>
  <c r="AU266" i="62"/>
  <c r="AY266" i="62"/>
  <c r="K266" i="62"/>
  <c r="M266" i="62"/>
  <c r="O266" i="62"/>
  <c r="Q266" i="62"/>
  <c r="W265" i="62"/>
  <c r="K265" i="62"/>
  <c r="M265" i="62"/>
  <c r="O265" i="62"/>
  <c r="Q265" i="62"/>
  <c r="S265" i="62"/>
  <c r="AK266" i="62"/>
  <c r="AO266" i="62"/>
  <c r="AC266" i="62"/>
  <c r="AG266" i="62"/>
  <c r="BG265" i="62"/>
  <c r="AU265" i="62"/>
  <c r="AY265" i="62"/>
  <c r="BC265" i="62"/>
  <c r="AG265" i="62"/>
  <c r="AI265" i="62"/>
  <c r="AK265" i="62"/>
  <c r="AO265" i="62"/>
  <c r="AC265" i="62"/>
  <c r="AE265" i="62"/>
  <c r="L265" i="62"/>
  <c r="BG266" i="62"/>
  <c r="BI266" i="62"/>
  <c r="W266" i="62"/>
  <c r="BC266" i="62"/>
  <c r="S266" i="62"/>
  <c r="BH290" i="62"/>
  <c r="AD290" i="62"/>
  <c r="AV289" i="62"/>
  <c r="AH289" i="62"/>
  <c r="T289" i="62"/>
  <c r="P290" i="62"/>
  <c r="BH282" i="62"/>
  <c r="AD282" i="62"/>
  <c r="P282" i="62"/>
  <c r="BH289" i="62"/>
  <c r="AD289" i="62"/>
  <c r="P289" i="62"/>
  <c r="L287" i="62"/>
  <c r="AP291" i="62"/>
  <c r="BD287" i="62"/>
  <c r="BD283" i="62"/>
  <c r="X291" i="62"/>
  <c r="BD290" i="62"/>
  <c r="L290" i="62"/>
  <c r="AZ287" i="62"/>
  <c r="AL287" i="62"/>
  <c r="X287" i="62"/>
  <c r="AZ283" i="62"/>
  <c r="AL283" i="62"/>
  <c r="X283" i="62"/>
  <c r="BD282" i="62"/>
  <c r="AP282" i="62"/>
  <c r="L282" i="62"/>
  <c r="L291" i="62"/>
  <c r="AP287" i="62"/>
  <c r="AP283" i="62"/>
  <c r="L283" i="62"/>
  <c r="AL291" i="62"/>
  <c r="AP290" i="62"/>
  <c r="AV291" i="62"/>
  <c r="AH291" i="62"/>
  <c r="T291" i="62"/>
  <c r="AZ290" i="62"/>
  <c r="AL290" i="62"/>
  <c r="X290" i="62"/>
  <c r="AP289" i="62"/>
  <c r="L289" i="62"/>
  <c r="AV287" i="62"/>
  <c r="AH287" i="62"/>
  <c r="T287" i="62"/>
  <c r="AV283" i="62"/>
  <c r="AH283" i="62"/>
  <c r="AZ282" i="62"/>
  <c r="AL282" i="62"/>
  <c r="X282" i="62"/>
  <c r="BD292" i="62"/>
  <c r="AP292" i="62"/>
  <c r="L292" i="62"/>
  <c r="BH291" i="62"/>
  <c r="AD291" i="62"/>
  <c r="AV290" i="62"/>
  <c r="AH290" i="62"/>
  <c r="T290" i="62"/>
  <c r="AZ289" i="62"/>
  <c r="AL289" i="62"/>
  <c r="X289" i="62"/>
  <c r="BD288" i="62"/>
  <c r="L288" i="62"/>
  <c r="BH287" i="62"/>
  <c r="AD287" i="62"/>
  <c r="P287" i="62"/>
  <c r="AD283" i="62"/>
  <c r="P283" i="62"/>
  <c r="AH282" i="62"/>
  <c r="T282" i="62"/>
  <c r="W236" i="62"/>
  <c r="AK251" i="62"/>
  <c r="W225" i="62"/>
  <c r="O229" i="62"/>
  <c r="G229" i="62" a="1"/>
  <c r="G229" i="62"/>
  <c r="S228" i="62"/>
  <c r="H228" i="62" a="1"/>
  <c r="H228" i="62"/>
  <c r="AY227" i="62"/>
  <c r="K227" i="62"/>
  <c r="BC226" i="62"/>
  <c r="AG226" i="62"/>
  <c r="O225" i="62"/>
  <c r="G225" i="62" a="1"/>
  <c r="G225" i="62"/>
  <c r="AG224" i="62"/>
  <c r="S224" i="62"/>
  <c r="H231" i="62" a="1"/>
  <c r="H231" i="62"/>
  <c r="AY230" i="62"/>
  <c r="AK230" i="62"/>
  <c r="S230" i="62"/>
  <c r="BC229" i="62"/>
  <c r="AC229" i="62"/>
  <c r="BC228" i="62"/>
  <c r="G228" i="62" a="1"/>
  <c r="G228" i="62"/>
  <c r="AU227" i="62"/>
  <c r="AG227" i="62"/>
  <c r="AY226" i="62"/>
  <c r="O226" i="62"/>
  <c r="K225" i="62"/>
  <c r="BC224" i="62"/>
  <c r="O224" i="62"/>
  <c r="K282" i="62"/>
  <c r="S291" i="62"/>
  <c r="AC259" i="62"/>
  <c r="AC246" i="62"/>
  <c r="K243" i="62"/>
  <c r="AC287" i="62"/>
  <c r="AO282" i="62"/>
  <c r="K246" i="62"/>
  <c r="BC245" i="62"/>
  <c r="AO224" i="62"/>
  <c r="BC242" i="62"/>
  <c r="O291" i="62"/>
  <c r="Q291" i="62"/>
  <c r="S262" i="62"/>
  <c r="AC231" i="62"/>
  <c r="BC260" i="62"/>
  <c r="S252" i="62"/>
  <c r="AC245" i="62"/>
  <c r="BD291" i="62"/>
  <c r="BC291" i="62"/>
  <c r="AG292" i="62"/>
  <c r="AK292" i="62"/>
  <c r="AY291" i="62"/>
  <c r="AZ291" i="62"/>
  <c r="BC283" i="62"/>
  <c r="K287" i="62"/>
  <c r="M287" i="62"/>
  <c r="AU282" i="62"/>
  <c r="S281" i="62"/>
  <c r="AY231" i="62"/>
  <c r="BC289" i="62"/>
  <c r="BG283" i="62"/>
  <c r="AY237" i="62"/>
  <c r="K261" i="62"/>
  <c r="S254" i="62"/>
  <c r="AY247" i="62"/>
  <c r="BG246" i="62"/>
  <c r="AU244" i="62"/>
  <c r="AK224" i="62"/>
  <c r="K262" i="62"/>
  <c r="AY261" i="62"/>
  <c r="S256" i="62"/>
  <c r="AU251" i="62"/>
  <c r="AC292" i="62"/>
  <c r="P291" i="62"/>
  <c r="W291" i="62"/>
  <c r="Y291" i="62"/>
  <c r="AC270" i="62"/>
  <c r="AG270" i="62"/>
  <c r="AK288" i="62"/>
  <c r="AG282" i="62"/>
  <c r="AC282" i="62"/>
  <c r="AU264" i="62"/>
  <c r="AY264" i="62"/>
  <c r="O264" i="62"/>
  <c r="AG263" i="62"/>
  <c r="AO261" i="62"/>
  <c r="AG250" i="62"/>
  <c r="BG291" i="62"/>
  <c r="BI291" i="62"/>
  <c r="AK290" i="62"/>
  <c r="AG290" i="62"/>
  <c r="AI290" i="62"/>
  <c r="AO288" i="62"/>
  <c r="AU267" i="62"/>
  <c r="AY267" i="62"/>
  <c r="O267" i="62"/>
  <c r="AU262" i="62"/>
  <c r="AY262" i="62"/>
  <c r="K247" i="62"/>
  <c r="O247" i="62"/>
  <c r="S287" i="62"/>
  <c r="AY282" i="62"/>
  <c r="S283" i="62"/>
  <c r="AU261" i="62"/>
  <c r="AG261" i="62"/>
  <c r="W256" i="62"/>
  <c r="AK255" i="62"/>
  <c r="AC251" i="62"/>
  <c r="AK246" i="62"/>
  <c r="AC261" i="62"/>
  <c r="K260" i="62"/>
  <c r="AY254" i="62"/>
  <c r="BC251" i="62"/>
  <c r="AG230" i="62"/>
  <c r="AK253" i="62"/>
  <c r="AU245" i="62"/>
  <c r="S244" i="62"/>
  <c r="AU243" i="62"/>
  <c r="BC232" i="62"/>
  <c r="AO231" i="62"/>
  <c r="K283" i="62"/>
  <c r="M283" i="62"/>
  <c r="BC281" i="62"/>
  <c r="K267" i="62"/>
  <c r="K264" i="62"/>
  <c r="AG260" i="62"/>
  <c r="AG257" i="62"/>
  <c r="AY256" i="62"/>
  <c r="AY252" i="62"/>
  <c r="K252" i="62"/>
  <c r="BG227" i="62"/>
  <c r="AG233" i="62"/>
  <c r="AO230" i="62"/>
  <c r="S290" i="62"/>
  <c r="W290" i="62"/>
  <c r="K290" i="62"/>
  <c r="M290" i="62"/>
  <c r="O290" i="62"/>
  <c r="Q290" i="62"/>
  <c r="W288" i="62"/>
  <c r="K288" i="62"/>
  <c r="M288" i="62"/>
  <c r="O288" i="62"/>
  <c r="Q288" i="62"/>
  <c r="S288" i="62"/>
  <c r="AO283" i="62"/>
  <c r="AC283" i="62"/>
  <c r="AG283" i="62"/>
  <c r="AK283" i="62"/>
  <c r="AO289" i="62"/>
  <c r="AC289" i="62"/>
  <c r="AG289" i="62"/>
  <c r="AK289" i="62"/>
  <c r="AU281" i="62"/>
  <c r="BC292" i="62"/>
  <c r="BG292" i="62"/>
  <c r="AU292" i="62"/>
  <c r="AY292" i="62"/>
  <c r="BG290" i="62"/>
  <c r="AU290" i="62"/>
  <c r="AY290" i="62"/>
  <c r="BC290" i="62"/>
  <c r="AO281" i="62"/>
  <c r="AC281" i="62"/>
  <c r="AG281" i="62"/>
  <c r="AK281" i="62"/>
  <c r="W292" i="62"/>
  <c r="K292" i="62"/>
  <c r="M292" i="62"/>
  <c r="O292" i="62"/>
  <c r="Q292" i="62"/>
  <c r="S292" i="62"/>
  <c r="AK291" i="62"/>
  <c r="AC291" i="62"/>
  <c r="AE291" i="62"/>
  <c r="AG291" i="62"/>
  <c r="AO291" i="62"/>
  <c r="O289" i="62"/>
  <c r="Q289" i="62"/>
  <c r="BG288" i="62"/>
  <c r="AY287" i="62"/>
  <c r="AU291" i="62"/>
  <c r="AW291" i="62"/>
  <c r="K291" i="62"/>
  <c r="M291" i="62"/>
  <c r="AC290" i="62"/>
  <c r="AY289" i="62"/>
  <c r="AO292" i="62"/>
  <c r="AO290" i="62"/>
  <c r="BG289" i="62"/>
  <c r="BD289" i="62"/>
  <c r="AU289" i="62"/>
  <c r="S289" i="62"/>
  <c r="AU288" i="62"/>
  <c r="AW288" i="62"/>
  <c r="AP288" i="62"/>
  <c r="AG288" i="62"/>
  <c r="AI288" i="62"/>
  <c r="BC287" i="62"/>
  <c r="AK287" i="62"/>
  <c r="AM287" i="62"/>
  <c r="AG287" i="62"/>
  <c r="AI287" i="62"/>
  <c r="BH283" i="62"/>
  <c r="AY283" i="62"/>
  <c r="W283" i="62"/>
  <c r="T283" i="62"/>
  <c r="BC282" i="62"/>
  <c r="AV282" i="62"/>
  <c r="BG281" i="62"/>
  <c r="BC276" i="62"/>
  <c r="BG276" i="62"/>
  <c r="AU276" i="62"/>
  <c r="AY276" i="62"/>
  <c r="AC276" i="62"/>
  <c r="AG276" i="62"/>
  <c r="AK276" i="62"/>
  <c r="AO276" i="62"/>
  <c r="S276" i="62"/>
  <c r="W276" i="62"/>
  <c r="K276" i="62"/>
  <c r="O276" i="62"/>
  <c r="S270" i="62"/>
  <c r="W270" i="62"/>
  <c r="K270" i="62"/>
  <c r="O270" i="62"/>
  <c r="S263" i="62"/>
  <c r="W263" i="62"/>
  <c r="K263" i="62"/>
  <c r="AC288" i="62"/>
  <c r="O287" i="62"/>
  <c r="Q287" i="62"/>
  <c r="AU283" i="62"/>
  <c r="AW283" i="62"/>
  <c r="AK267" i="62"/>
  <c r="AO267" i="62"/>
  <c r="AC267" i="62"/>
  <c r="AG267" i="62"/>
  <c r="AK264" i="62"/>
  <c r="AO264" i="62"/>
  <c r="AC264" i="62"/>
  <c r="AG264" i="62"/>
  <c r="AK262" i="62"/>
  <c r="AO262" i="62"/>
  <c r="AC262" i="62"/>
  <c r="AG262" i="62"/>
  <c r="W282" i="62"/>
  <c r="O281" i="62"/>
  <c r="AU277" i="62"/>
  <c r="AY277" i="62"/>
  <c r="BC277" i="62"/>
  <c r="BG277" i="62"/>
  <c r="AK277" i="62"/>
  <c r="AO277" i="62"/>
  <c r="AC277" i="62"/>
  <c r="AG277" i="62"/>
  <c r="K277" i="62"/>
  <c r="O277" i="62"/>
  <c r="S277" i="62"/>
  <c r="W277" i="62"/>
  <c r="AU273" i="62"/>
  <c r="AY273" i="62"/>
  <c r="BC273" i="62"/>
  <c r="BG273" i="62"/>
  <c r="AK273" i="62"/>
  <c r="AO273" i="62"/>
  <c r="AC273" i="62"/>
  <c r="AG273" i="62"/>
  <c r="K273" i="62"/>
  <c r="O273" i="62"/>
  <c r="S273" i="62"/>
  <c r="W273" i="62"/>
  <c r="AK270" i="62"/>
  <c r="BC263" i="62"/>
  <c r="BG263" i="62"/>
  <c r="AU263" i="62"/>
  <c r="AY263" i="62"/>
  <c r="W289" i="62"/>
  <c r="Y289" i="62"/>
  <c r="K289" i="62"/>
  <c r="M289" i="62"/>
  <c r="BC288" i="62"/>
  <c r="BE288" i="62"/>
  <c r="AY288" i="62"/>
  <c r="BA288" i="62"/>
  <c r="BG287" i="62"/>
  <c r="AU287" i="62"/>
  <c r="AO287" i="62"/>
  <c r="O283" i="62"/>
  <c r="Q283" i="62"/>
  <c r="BG282" i="62"/>
  <c r="BI282" i="62"/>
  <c r="AK282" i="62"/>
  <c r="S282" i="62"/>
  <c r="O282" i="62"/>
  <c r="AY281" i="62"/>
  <c r="W281" i="62"/>
  <c r="K281" i="62"/>
  <c r="BC270" i="62"/>
  <c r="BG270" i="62"/>
  <c r="AU270" i="62"/>
  <c r="AY270" i="62"/>
  <c r="AC263" i="62"/>
  <c r="AO270" i="62"/>
  <c r="BG267" i="62"/>
  <c r="W267" i="62"/>
  <c r="BG264" i="62"/>
  <c r="W264" i="62"/>
  <c r="AO263" i="62"/>
  <c r="BG262" i="62"/>
  <c r="W262" i="62"/>
  <c r="BC261" i="62"/>
  <c r="BG260" i="62"/>
  <c r="AU260" i="62"/>
  <c r="S260" i="62"/>
  <c r="W260" i="62"/>
  <c r="O260" i="62"/>
  <c r="AK259" i="62"/>
  <c r="AO259" i="62"/>
  <c r="AG259" i="62"/>
  <c r="K256" i="62"/>
  <c r="BG255" i="62"/>
  <c r="AY255" i="62"/>
  <c r="BC255" i="62"/>
  <c r="AU255" i="62"/>
  <c r="W255" i="62"/>
  <c r="K255" i="62"/>
  <c r="O255" i="62"/>
  <c r="S255" i="62"/>
  <c r="AO254" i="62"/>
  <c r="AC254" i="62"/>
  <c r="AG254" i="62"/>
  <c r="AK254" i="62"/>
  <c r="BC267" i="62"/>
  <c r="S267" i="62"/>
  <c r="BC264" i="62"/>
  <c r="S264" i="62"/>
  <c r="AK263" i="62"/>
  <c r="BC262" i="62"/>
  <c r="AK260" i="62"/>
  <c r="AC260" i="62"/>
  <c r="AU259" i="62"/>
  <c r="S259" i="62"/>
  <c r="W259" i="62"/>
  <c r="BC258" i="62"/>
  <c r="BG258" i="62"/>
  <c r="AY258" i="62"/>
  <c r="AC258" i="62"/>
  <c r="AG258" i="62"/>
  <c r="AK258" i="62"/>
  <c r="AO258" i="62"/>
  <c r="S258" i="62"/>
  <c r="W258" i="62"/>
  <c r="K258" i="62"/>
  <c r="O258" i="62"/>
  <c r="AO256" i="62"/>
  <c r="AC256" i="62"/>
  <c r="AG256" i="62"/>
  <c r="AK256" i="62"/>
  <c r="BG253" i="62"/>
  <c r="AU253" i="62"/>
  <c r="AY253" i="62"/>
  <c r="BC253" i="62"/>
  <c r="W261" i="62"/>
  <c r="W257" i="62"/>
  <c r="O257" i="62"/>
  <c r="S257" i="62"/>
  <c r="K257" i="62"/>
  <c r="AO252" i="62"/>
  <c r="AG252" i="62"/>
  <c r="AK252" i="62"/>
  <c r="AC252" i="62"/>
  <c r="O262" i="62"/>
  <c r="BG261" i="62"/>
  <c r="AK261" i="62"/>
  <c r="S261" i="62"/>
  <c r="O261" i="62"/>
  <c r="AY260" i="62"/>
  <c r="AO260" i="62"/>
  <c r="BC259" i="62"/>
  <c r="AY259" i="62"/>
  <c r="BG259" i="62"/>
  <c r="K259" i="62"/>
  <c r="AU258" i="62"/>
  <c r="AU257" i="62"/>
  <c r="AY257" i="62"/>
  <c r="BC257" i="62"/>
  <c r="BG257" i="62"/>
  <c r="BG256" i="62"/>
  <c r="AU256" i="62"/>
  <c r="AG255" i="62"/>
  <c r="BC254" i="62"/>
  <c r="AO253" i="62"/>
  <c r="AC253" i="62"/>
  <c r="S251" i="62"/>
  <c r="AK250" i="62"/>
  <c r="AK247" i="62"/>
  <c r="AO247" i="62"/>
  <c r="AC247" i="62"/>
  <c r="AG247" i="62"/>
  <c r="BC256" i="62"/>
  <c r="AO255" i="62"/>
  <c r="AC255" i="62"/>
  <c r="O254" i="62"/>
  <c r="W252" i="62"/>
  <c r="AO257" i="62"/>
  <c r="AC257" i="62"/>
  <c r="O256" i="62"/>
  <c r="K254" i="62"/>
  <c r="BG252" i="62"/>
  <c r="AU252" i="62"/>
  <c r="AY251" i="62"/>
  <c r="BG251" i="62"/>
  <c r="BC250" i="62"/>
  <c r="BG250" i="62"/>
  <c r="AU250" i="62"/>
  <c r="AY250" i="62"/>
  <c r="AC250" i="62"/>
  <c r="BC246" i="62"/>
  <c r="AK257" i="62"/>
  <c r="BG254" i="62"/>
  <c r="AU254" i="62"/>
  <c r="AG253" i="62"/>
  <c r="BC252" i="62"/>
  <c r="O252" i="62"/>
  <c r="AO251" i="62"/>
  <c r="AG251" i="62"/>
  <c r="K251" i="62"/>
  <c r="O251" i="62"/>
  <c r="W251" i="62"/>
  <c r="S250" i="62"/>
  <c r="W250" i="62"/>
  <c r="K250" i="62"/>
  <c r="O250" i="62"/>
  <c r="AU247" i="62"/>
  <c r="AO250" i="62"/>
  <c r="BG247" i="62"/>
  <c r="W247" i="62"/>
  <c r="AY246" i="62"/>
  <c r="AU246" i="62"/>
  <c r="S246" i="62"/>
  <c r="O246" i="62"/>
  <c r="W246" i="62"/>
  <c r="AK245" i="62"/>
  <c r="AG245" i="62"/>
  <c r="AO245" i="62"/>
  <c r="BC244" i="62"/>
  <c r="AY244" i="62"/>
  <c r="BG244" i="62"/>
  <c r="AY236" i="62"/>
  <c r="BC247" i="62"/>
  <c r="S247" i="62"/>
  <c r="AK244" i="62"/>
  <c r="AO244" i="62"/>
  <c r="AG244" i="62"/>
  <c r="AG243" i="62"/>
  <c r="AO243" i="62"/>
  <c r="AC243" i="62"/>
  <c r="BG241" i="62"/>
  <c r="AU241" i="62"/>
  <c r="AY241" i="62"/>
  <c r="BC241" i="62"/>
  <c r="AG241" i="62"/>
  <c r="AK241" i="62"/>
  <c r="AO241" i="62"/>
  <c r="AC241" i="62"/>
  <c r="W241" i="62"/>
  <c r="K241" i="62"/>
  <c r="O241" i="62"/>
  <c r="S241" i="62"/>
  <c r="BG239" i="62"/>
  <c r="AU239" i="62"/>
  <c r="AY239" i="62"/>
  <c r="BC239" i="62"/>
  <c r="AG239" i="62"/>
  <c r="AK239" i="62"/>
  <c r="AO239" i="62"/>
  <c r="AC239" i="62"/>
  <c r="W239" i="62"/>
  <c r="K239" i="62"/>
  <c r="O239" i="62"/>
  <c r="S239" i="62"/>
  <c r="AY238" i="62"/>
  <c r="BC238" i="62"/>
  <c r="BG238" i="62"/>
  <c r="AU238" i="62"/>
  <c r="O238" i="62"/>
  <c r="S238" i="62"/>
  <c r="W238" i="62"/>
  <c r="K238" i="62"/>
  <c r="BG233" i="62"/>
  <c r="AY233" i="62"/>
  <c r="BC233" i="62"/>
  <c r="AU233" i="62"/>
  <c r="AK243" i="62"/>
  <c r="BG237" i="62"/>
  <c r="BG236" i="62"/>
  <c r="W233" i="62"/>
  <c r="K233" i="62"/>
  <c r="O233" i="62"/>
  <c r="S233" i="62"/>
  <c r="AO246" i="62"/>
  <c r="AG246" i="62"/>
  <c r="BG245" i="62"/>
  <c r="AY245" i="62"/>
  <c r="AC244" i="62"/>
  <c r="O244" i="62"/>
  <c r="W244" i="62"/>
  <c r="K244" i="62"/>
  <c r="BG243" i="62"/>
  <c r="AY243" i="62"/>
  <c r="BC243" i="62"/>
  <c r="O243" i="62"/>
  <c r="AY242" i="62"/>
  <c r="BG242" i="62"/>
  <c r="AU242" i="62"/>
  <c r="AO242" i="62"/>
  <c r="AC242" i="62"/>
  <c r="AG242" i="62"/>
  <c r="AK242" i="62"/>
  <c r="O242" i="62"/>
  <c r="S242" i="62"/>
  <c r="W242" i="62"/>
  <c r="K242" i="62"/>
  <c r="AY240" i="62"/>
  <c r="BC240" i="62"/>
  <c r="BG240" i="62"/>
  <c r="AU240" i="62"/>
  <c r="AO240" i="62"/>
  <c r="AC240" i="62"/>
  <c r="AG240" i="62"/>
  <c r="AK240" i="62"/>
  <c r="O240" i="62"/>
  <c r="S240" i="62"/>
  <c r="W240" i="62"/>
  <c r="K240" i="62"/>
  <c r="AO238" i="62"/>
  <c r="AC238" i="62"/>
  <c r="AG238" i="62"/>
  <c r="AK238" i="62"/>
  <c r="AG237" i="62"/>
  <c r="AK237" i="62"/>
  <c r="AO237" i="62"/>
  <c r="AC237" i="62"/>
  <c r="BC236" i="62"/>
  <c r="AO236" i="62"/>
  <c r="AC236" i="62"/>
  <c r="AG236" i="62"/>
  <c r="AK236" i="62"/>
  <c r="AO232" i="62"/>
  <c r="AC232" i="62"/>
  <c r="AG232" i="62"/>
  <c r="AK232" i="62"/>
  <c r="BC237" i="62"/>
  <c r="AU236" i="62"/>
  <c r="S236" i="62"/>
  <c r="BG231" i="62"/>
  <c r="AU231" i="62"/>
  <c r="W231" i="62"/>
  <c r="K231" i="62"/>
  <c r="O231" i="62"/>
  <c r="BC230" i="62"/>
  <c r="BG230" i="62"/>
  <c r="AO228" i="62"/>
  <c r="AK228" i="62"/>
  <c r="BC227" i="62"/>
  <c r="AO227" i="62"/>
  <c r="AC227" i="62"/>
  <c r="AO233" i="62"/>
  <c r="AC233" i="62"/>
  <c r="S231" i="62"/>
  <c r="AC230" i="62"/>
  <c r="AU237" i="62"/>
  <c r="O236" i="62"/>
  <c r="AK233" i="62"/>
  <c r="AY232" i="62"/>
  <c r="BC231" i="62"/>
  <c r="AG231" i="62"/>
  <c r="AK231" i="62"/>
  <c r="AU230" i="62"/>
  <c r="K236" i="62"/>
  <c r="BG232" i="62"/>
  <c r="AU232" i="62"/>
  <c r="BG229" i="62"/>
  <c r="AU229" i="62"/>
  <c r="BG226" i="62"/>
  <c r="AU226" i="62"/>
  <c r="W229" i="62"/>
  <c r="S229" i="62"/>
  <c r="W228" i="62"/>
  <c r="K228" i="62"/>
  <c r="AY229" i="62"/>
  <c r="W224" i="62"/>
  <c r="K224" i="62"/>
  <c r="BG160" i="62"/>
  <c r="AU160" i="62"/>
  <c r="AY160" i="62"/>
  <c r="BC160" i="62"/>
  <c r="AY159" i="62"/>
  <c r="BC159" i="62"/>
  <c r="BG159" i="62"/>
  <c r="AU159" i="62"/>
  <c r="BC158" i="62"/>
  <c r="BG158" i="62"/>
  <c r="AU158" i="62"/>
  <c r="AY158" i="62"/>
  <c r="AU157" i="62"/>
  <c r="AY157" i="62"/>
  <c r="BC157" i="62"/>
  <c r="BG157" i="62"/>
  <c r="AU161" i="62"/>
  <c r="AY161" i="62"/>
  <c r="BC161" i="62"/>
  <c r="BG161" i="62"/>
  <c r="AO161" i="62"/>
  <c r="AC161" i="62"/>
  <c r="AG161" i="62"/>
  <c r="AK161" i="62"/>
  <c r="O161" i="62"/>
  <c r="S161" i="62"/>
  <c r="W161" i="62"/>
  <c r="K161" i="62"/>
  <c r="AG160" i="62"/>
  <c r="AK160" i="62"/>
  <c r="AO160" i="62"/>
  <c r="AC160" i="62"/>
  <c r="S160" i="62"/>
  <c r="W160" i="62"/>
  <c r="K160" i="62"/>
  <c r="O160" i="62"/>
  <c r="AK159" i="62"/>
  <c r="AO159" i="62"/>
  <c r="AC159" i="62"/>
  <c r="AG159" i="62"/>
  <c r="K159" i="62"/>
  <c r="O159" i="62"/>
  <c r="S159" i="62"/>
  <c r="W159" i="62"/>
  <c r="AC158" i="62"/>
  <c r="AG158" i="62"/>
  <c r="AK158" i="62"/>
  <c r="AO158" i="62"/>
  <c r="S158" i="62"/>
  <c r="W158" i="62"/>
  <c r="K158" i="62"/>
  <c r="O158" i="62"/>
  <c r="AK157" i="62"/>
  <c r="AO157" i="62"/>
  <c r="AC157" i="62"/>
  <c r="AG157" i="62"/>
  <c r="K157" i="62"/>
  <c r="O157" i="62"/>
  <c r="S157" i="62"/>
  <c r="W157" i="62"/>
  <c r="G629" i="35"/>
  <c r="G665" i="35"/>
  <c r="G653" i="35"/>
  <c r="AW20" i="17"/>
  <c r="G650" i="35"/>
  <c r="G580" i="35"/>
  <c r="G568" i="35"/>
  <c r="G565" i="35"/>
  <c r="G494" i="35"/>
  <c r="G482" i="35"/>
  <c r="G479" i="35"/>
  <c r="G458" i="35"/>
  <c r="G408" i="35"/>
  <c r="G396" i="35"/>
  <c r="G393" i="35"/>
  <c r="G372" i="35"/>
  <c r="G320" i="35"/>
  <c r="G308" i="35"/>
  <c r="G305" i="35"/>
  <c r="G284" i="35"/>
  <c r="G234" i="35"/>
  <c r="G222" i="35"/>
  <c r="G219" i="35"/>
  <c r="G198" i="35"/>
  <c r="G148" i="35"/>
  <c r="G136" i="35"/>
  <c r="G133" i="35"/>
  <c r="G112" i="35"/>
  <c r="G62" i="35"/>
  <c r="G50" i="35"/>
  <c r="G47" i="35"/>
  <c r="H653" i="35"/>
  <c r="AX20" i="17"/>
  <c r="H650" i="35"/>
  <c r="H629" i="35"/>
  <c r="H568" i="35"/>
  <c r="H565" i="35"/>
  <c r="H482" i="35"/>
  <c r="H479" i="35"/>
  <c r="H458" i="35"/>
  <c r="H396" i="35"/>
  <c r="H393" i="35"/>
  <c r="H308" i="35"/>
  <c r="H305" i="35"/>
  <c r="H222" i="35"/>
  <c r="H219" i="35"/>
  <c r="H136" i="35"/>
  <c r="H133" i="35"/>
  <c r="H50" i="35"/>
  <c r="H47" i="35"/>
  <c r="H26" i="35"/>
  <c r="I653" i="35"/>
  <c r="I629" i="35"/>
  <c r="I568" i="35"/>
  <c r="I482" i="35"/>
  <c r="I458" i="35"/>
  <c r="I396" i="35"/>
  <c r="I372" i="35"/>
  <c r="I308" i="35"/>
  <c r="I284" i="35"/>
  <c r="I222" i="35"/>
  <c r="I198" i="35"/>
  <c r="I136" i="35"/>
  <c r="I112" i="35"/>
  <c r="I50" i="35"/>
  <c r="I26" i="35"/>
  <c r="AG164" i="34"/>
  <c r="AH164" i="34"/>
  <c r="Z164" i="34"/>
  <c r="AA164" i="34"/>
  <c r="AG163" i="34"/>
  <c r="AH163" i="34"/>
  <c r="Z163" i="34"/>
  <c r="AA163" i="34"/>
  <c r="AK122" i="34"/>
  <c r="AG122" i="34"/>
  <c r="AH122" i="34"/>
  <c r="AK121" i="34"/>
  <c r="AG121" i="34"/>
  <c r="AH121" i="34"/>
  <c r="AK120" i="34"/>
  <c r="AG120" i="34"/>
  <c r="AH120" i="34"/>
  <c r="AK119" i="34"/>
  <c r="AG119" i="34"/>
  <c r="AH119" i="34"/>
  <c r="AK118" i="34"/>
  <c r="AG118" i="34"/>
  <c r="AH118" i="34"/>
  <c r="AK117" i="34"/>
  <c r="AG117" i="34"/>
  <c r="AH117" i="34"/>
  <c r="AK116" i="34"/>
  <c r="AG116" i="34"/>
  <c r="AH116" i="34"/>
  <c r="AK115" i="34"/>
  <c r="AG115" i="34"/>
  <c r="AH115" i="34"/>
  <c r="AK114" i="34"/>
  <c r="AG114" i="34"/>
  <c r="AH114" i="34"/>
  <c r="AK113" i="34"/>
  <c r="AG113" i="34"/>
  <c r="AH113" i="34"/>
  <c r="AK112" i="34"/>
  <c r="AG112" i="34"/>
  <c r="AH112" i="34"/>
  <c r="AK111" i="34"/>
  <c r="AG111" i="34"/>
  <c r="AH111" i="34"/>
  <c r="AK110" i="34"/>
  <c r="AG110" i="34"/>
  <c r="AH110" i="34"/>
  <c r="AK109" i="34"/>
  <c r="AG109" i="34"/>
  <c r="AH109" i="34"/>
  <c r="AK108" i="34"/>
  <c r="AG108" i="34"/>
  <c r="AH108" i="34"/>
  <c r="AK107" i="34"/>
  <c r="AG107" i="34"/>
  <c r="AH107" i="34"/>
  <c r="AK106" i="34"/>
  <c r="AG106" i="34"/>
  <c r="AH106" i="34"/>
  <c r="AK105" i="34"/>
  <c r="AG105" i="34"/>
  <c r="AH105" i="34"/>
  <c r="AK104" i="34"/>
  <c r="AG104" i="34"/>
  <c r="AH104" i="34"/>
  <c r="AK103" i="34"/>
  <c r="AG103" i="34"/>
  <c r="AH103" i="34"/>
  <c r="AK102" i="34"/>
  <c r="AG102" i="34"/>
  <c r="AH102" i="34"/>
  <c r="AK101" i="34"/>
  <c r="AG101" i="34"/>
  <c r="AH101" i="34"/>
  <c r="AK100" i="34"/>
  <c r="AG100" i="34"/>
  <c r="AH100" i="34"/>
  <c r="AK99" i="34"/>
  <c r="AG99" i="34"/>
  <c r="AH99" i="34"/>
  <c r="AK98" i="34"/>
  <c r="AG98" i="34"/>
  <c r="AH98" i="34"/>
  <c r="AK97" i="34"/>
  <c r="AG97" i="34"/>
  <c r="AH97" i="34"/>
  <c r="AK96" i="34"/>
  <c r="AG96" i="34"/>
  <c r="AH96" i="34"/>
  <c r="AK95" i="34"/>
  <c r="AG95" i="34"/>
  <c r="AH95" i="34"/>
  <c r="AK94" i="34"/>
  <c r="AG94" i="34"/>
  <c r="AH94" i="34"/>
  <c r="AK93" i="34"/>
  <c r="AG93" i="34"/>
  <c r="AH93" i="34"/>
  <c r="AK92" i="34"/>
  <c r="AG92" i="34"/>
  <c r="AH92" i="34"/>
  <c r="AK91" i="34"/>
  <c r="AG91" i="34"/>
  <c r="AH91" i="34"/>
  <c r="AK90" i="34"/>
  <c r="AG90" i="34"/>
  <c r="AH90" i="34"/>
  <c r="AK89" i="34"/>
  <c r="AG89" i="34"/>
  <c r="AH89" i="34"/>
  <c r="AK88" i="34"/>
  <c r="AG88" i="34"/>
  <c r="AH88" i="34"/>
  <c r="AK87" i="34"/>
  <c r="AG87" i="34"/>
  <c r="AH87" i="34"/>
  <c r="AK86" i="34"/>
  <c r="AG86" i="34"/>
  <c r="AH86" i="34"/>
  <c r="AK85" i="34"/>
  <c r="AG85" i="34"/>
  <c r="AH85" i="34"/>
  <c r="AK84" i="34"/>
  <c r="AG84" i="34"/>
  <c r="AH84" i="34"/>
  <c r="AK83" i="34"/>
  <c r="AG83" i="34"/>
  <c r="AH83" i="34"/>
  <c r="AK82" i="34"/>
  <c r="AG82" i="34"/>
  <c r="AH82" i="34"/>
  <c r="AK81" i="34"/>
  <c r="AG81" i="34"/>
  <c r="AH81" i="34"/>
  <c r="AK80" i="34"/>
  <c r="AG80" i="34"/>
  <c r="AH80" i="34"/>
  <c r="AK79" i="34"/>
  <c r="AG79" i="34"/>
  <c r="AH79" i="34"/>
  <c r="AK78" i="34"/>
  <c r="AG78" i="34"/>
  <c r="AH78" i="34"/>
  <c r="AK77" i="34"/>
  <c r="AG77" i="34"/>
  <c r="AH77" i="34"/>
  <c r="AK76" i="34"/>
  <c r="AG76" i="34"/>
  <c r="AH76" i="34"/>
  <c r="AK75" i="34"/>
  <c r="AG75" i="34"/>
  <c r="AH75" i="34"/>
  <c r="AK74" i="34"/>
  <c r="AG74" i="34"/>
  <c r="AH74" i="34"/>
  <c r="AK73" i="34"/>
  <c r="AG73" i="34"/>
  <c r="AH73" i="34"/>
  <c r="AK72" i="34"/>
  <c r="AG72" i="34"/>
  <c r="AH72" i="34"/>
  <c r="AK71" i="34"/>
  <c r="AG71" i="34"/>
  <c r="AH71" i="34"/>
  <c r="AK70" i="34"/>
  <c r="AG70" i="34"/>
  <c r="AH70" i="34"/>
  <c r="AK69" i="34"/>
  <c r="AG69" i="34"/>
  <c r="AH69" i="34"/>
  <c r="AK68" i="34"/>
  <c r="AG68" i="34"/>
  <c r="AH68" i="34"/>
  <c r="AK67" i="34"/>
  <c r="AG67" i="34"/>
  <c r="AH67" i="34"/>
  <c r="AK66" i="34"/>
  <c r="AG66" i="34"/>
  <c r="AH66" i="34"/>
  <c r="AK65" i="34"/>
  <c r="AG65" i="34"/>
  <c r="AH65" i="34"/>
  <c r="Q369" i="35"/>
  <c r="R369" i="35"/>
  <c r="P525" i="58"/>
  <c r="AG525" i="58"/>
  <c r="AG526" i="58"/>
  <c r="V525" i="58"/>
  <c r="AE525" i="58"/>
  <c r="AV525" i="58"/>
  <c r="AT526" i="58"/>
  <c r="V526" i="58"/>
  <c r="AE526" i="58"/>
  <c r="AR526" i="58"/>
  <c r="AT525" i="58"/>
  <c r="AE528" i="58"/>
  <c r="AP525" i="58"/>
  <c r="T525" i="58"/>
  <c r="AC525" i="58"/>
  <c r="AR525" i="58"/>
  <c r="AV526" i="58"/>
  <c r="AC526" i="58"/>
  <c r="AP526" i="58"/>
  <c r="AT528" i="58"/>
  <c r="R525" i="58"/>
  <c r="AI525" i="58"/>
  <c r="R526" i="58"/>
  <c r="AI526" i="58"/>
  <c r="P526" i="58"/>
  <c r="T526" i="58"/>
  <c r="AI528" i="58"/>
  <c r="BN549" i="58"/>
  <c r="AE389" i="61"/>
  <c r="AW390" i="61"/>
  <c r="U248" i="62"/>
  <c r="BE248" i="62"/>
  <c r="BA290" i="62"/>
  <c r="AM289" i="62"/>
  <c r="AM283" i="62"/>
  <c r="U288" i="62"/>
  <c r="U292" i="62"/>
  <c r="BE290" i="62"/>
  <c r="AQ289" i="62"/>
  <c r="AQ283" i="62"/>
  <c r="Y288" i="62"/>
  <c r="AQ287" i="62"/>
  <c r="BI289" i="62"/>
  <c r="BI288" i="62"/>
  <c r="AW290" i="62"/>
  <c r="BE266" i="62"/>
  <c r="BE272" i="62"/>
  <c r="BE275" i="62"/>
  <c r="BI269" i="62"/>
  <c r="Y249" i="62"/>
  <c r="AW249" i="62"/>
  <c r="AM274" i="62"/>
  <c r="AM275" i="62"/>
  <c r="BI268" i="62"/>
  <c r="AM269" i="62"/>
  <c r="BE235" i="62"/>
  <c r="BE234" i="62"/>
  <c r="AQ248" i="62"/>
  <c r="BI287" i="62"/>
  <c r="AE288" i="62"/>
  <c r="AW289" i="62"/>
  <c r="AQ292" i="62"/>
  <c r="AQ291" i="62"/>
  <c r="U283" i="62"/>
  <c r="BI283" i="62"/>
  <c r="AM265" i="62"/>
  <c r="AQ266" i="62"/>
  <c r="AI274" i="62"/>
  <c r="U249" i="62"/>
  <c r="AM272" i="62"/>
  <c r="AI292" i="62"/>
  <c r="U266" i="62"/>
  <c r="U290" i="62"/>
  <c r="Y271" i="62"/>
  <c r="BI265" i="62"/>
  <c r="AM266" i="62"/>
  <c r="Y265" i="62"/>
  <c r="U271" i="62"/>
  <c r="BE271" i="62"/>
  <c r="U275" i="62"/>
  <c r="BE274" i="62"/>
  <c r="AQ268" i="62"/>
  <c r="AQ235" i="62"/>
  <c r="AM234" i="62"/>
  <c r="AI266" i="62"/>
  <c r="BA272" i="62"/>
  <c r="Y283" i="62"/>
  <c r="BI271" i="62"/>
  <c r="BI274" i="62"/>
  <c r="AI275" i="62"/>
  <c r="U274" i="62"/>
  <c r="BA275" i="62"/>
  <c r="BE268" i="62"/>
  <c r="U268" i="62"/>
  <c r="AW269" i="62"/>
  <c r="AQ234" i="62"/>
  <c r="BA235" i="62"/>
  <c r="AM292" i="62"/>
  <c r="AW265" i="62"/>
  <c r="BA266" i="62"/>
  <c r="AI271" i="62"/>
  <c r="BA234" i="62"/>
  <c r="BA283" i="62"/>
  <c r="BA289" i="62"/>
  <c r="BA287" i="62"/>
  <c r="AI291" i="62"/>
  <c r="AW292" i="62"/>
  <c r="AM290" i="62"/>
  <c r="BE283" i="62"/>
  <c r="AW266" i="62"/>
  <c r="AE271" i="62"/>
  <c r="AW272" i="62"/>
  <c r="AE274" i="62"/>
  <c r="AE275" i="62"/>
  <c r="AW275" i="62"/>
  <c r="BE269" i="62"/>
  <c r="BA268" i="62"/>
  <c r="BA269" i="62"/>
  <c r="AW234" i="62"/>
  <c r="AW235" i="62"/>
  <c r="BE249" i="62"/>
  <c r="AM249" i="62"/>
  <c r="Y248" i="62"/>
  <c r="AI248" i="62"/>
  <c r="BI248" i="62"/>
  <c r="AE290" i="62"/>
  <c r="BI292" i="62"/>
  <c r="AI289" i="62"/>
  <c r="U287" i="62"/>
  <c r="BE265" i="62"/>
  <c r="U265" i="62"/>
  <c r="AQ271" i="62"/>
  <c r="BA271" i="62"/>
  <c r="AQ274" i="62"/>
  <c r="BA274" i="62"/>
  <c r="AQ275" i="62"/>
  <c r="AM268" i="62"/>
  <c r="AW268" i="62"/>
  <c r="AQ269" i="62"/>
  <c r="BI235" i="62"/>
  <c r="AM235" i="62"/>
  <c r="BI234" i="62"/>
  <c r="AI249" i="62"/>
  <c r="AE248" i="62"/>
  <c r="BA292" i="62"/>
  <c r="AE292" i="62"/>
  <c r="AI283" i="62"/>
  <c r="BE289" i="62"/>
  <c r="BE291" i="62"/>
  <c r="AW287" i="62"/>
  <c r="BE287" i="62"/>
  <c r="U289" i="62"/>
  <c r="AQ290" i="62"/>
  <c r="AM291" i="62"/>
  <c r="Y292" i="62"/>
  <c r="BI290" i="62"/>
  <c r="BE292" i="62"/>
  <c r="AE289" i="62"/>
  <c r="AE283" i="62"/>
  <c r="Y290" i="62"/>
  <c r="AQ288" i="62"/>
  <c r="AM288" i="62"/>
  <c r="BA291" i="62"/>
  <c r="AE287" i="62"/>
  <c r="U291" i="62"/>
  <c r="Y266" i="62"/>
  <c r="AQ265" i="62"/>
  <c r="BA265" i="62"/>
  <c r="AE266" i="62"/>
  <c r="BI272" i="62"/>
  <c r="AQ272" i="62"/>
  <c r="AM271" i="62"/>
  <c r="AW271" i="62"/>
  <c r="BI275" i="62"/>
  <c r="AW274" i="62"/>
  <c r="Y274" i="62"/>
  <c r="Y268" i="62"/>
  <c r="AE249" i="62"/>
  <c r="BA248" i="62"/>
  <c r="BA249" i="62"/>
  <c r="Y287" i="62"/>
  <c r="AQ249" i="62"/>
  <c r="AM248" i="62"/>
  <c r="AW248" i="62"/>
  <c r="BA392" i="61"/>
  <c r="AM389" i="61"/>
  <c r="BA388" i="61"/>
  <c r="AW391" i="61"/>
  <c r="Y388" i="61"/>
  <c r="AI390" i="61"/>
  <c r="AI391" i="61"/>
  <c r="AE392" i="61"/>
  <c r="AM282" i="62"/>
  <c r="Y282" i="62"/>
  <c r="AI282" i="62"/>
  <c r="M282" i="62"/>
  <c r="BA282" i="62"/>
  <c r="Q282" i="62"/>
  <c r="BE282" i="62"/>
  <c r="AW282" i="62"/>
  <c r="AQ282" i="62"/>
  <c r="U282" i="62"/>
  <c r="AE282" i="62"/>
  <c r="K245" i="62"/>
  <c r="W245" i="62"/>
  <c r="O245" i="62"/>
  <c r="O237" i="62"/>
  <c r="AC226" i="62"/>
  <c r="W232" i="62"/>
  <c r="S253" i="62"/>
  <c r="K253" i="62"/>
  <c r="O253" i="62"/>
  <c r="S232" i="62"/>
  <c r="K232" i="62"/>
  <c r="O232" i="62"/>
  <c r="S237" i="62"/>
  <c r="W237" i="62"/>
  <c r="W269" i="62"/>
  <c r="O269" i="62"/>
  <c r="Q269" i="62"/>
  <c r="K272" i="62"/>
  <c r="M272" i="62"/>
  <c r="O272" i="62"/>
  <c r="Q272" i="62"/>
  <c r="S269" i="62"/>
  <c r="U269" i="62"/>
  <c r="W272" i="62"/>
  <c r="K235" i="62"/>
  <c r="M235" i="62"/>
  <c r="O235" i="62"/>
  <c r="Q235" i="62"/>
  <c r="S235" i="62"/>
  <c r="AE235" i="62"/>
  <c r="W235" i="62"/>
  <c r="W234" i="62"/>
  <c r="K234" i="62"/>
  <c r="M234" i="62"/>
  <c r="O234" i="62"/>
  <c r="Q234" i="62"/>
  <c r="S234" i="62"/>
  <c r="AC225" i="62"/>
  <c r="K226" i="62"/>
  <c r="AY228" i="62"/>
  <c r="O227" i="62"/>
  <c r="S226" i="62"/>
  <c r="AY224" i="62"/>
  <c r="AU228" i="62"/>
  <c r="AG228" i="62"/>
  <c r="BG224" i="62"/>
  <c r="AO225" i="62"/>
  <c r="AO229" i="62"/>
  <c r="AC228" i="62"/>
  <c r="W227" i="62"/>
  <c r="AK229" i="62"/>
  <c r="BC225" i="62"/>
  <c r="AT529" i="58"/>
  <c r="AO226" i="62"/>
  <c r="BG225" i="62"/>
  <c r="AV529" i="58"/>
  <c r="O228" i="62"/>
  <c r="AU225" i="62"/>
  <c r="AP529" i="58"/>
  <c r="W226" i="62"/>
  <c r="AC224" i="62"/>
  <c r="AU224" i="62"/>
  <c r="AY225" i="62"/>
  <c r="AR529" i="58"/>
  <c r="K229" i="62"/>
  <c r="W230" i="62"/>
  <c r="AG225" i="62"/>
  <c r="O230" i="62"/>
  <c r="K230" i="62"/>
  <c r="P528" i="58"/>
  <c r="AG229" i="62"/>
  <c r="BG228" i="62"/>
  <c r="AK225" i="62"/>
  <c r="S227" i="62"/>
  <c r="T528" i="58"/>
  <c r="AK227" i="62"/>
  <c r="AK226" i="62"/>
  <c r="N541" i="35"/>
  <c r="N455" i="35"/>
  <c r="N626" i="35"/>
  <c r="N281" i="35"/>
  <c r="N109" i="35"/>
  <c r="N23" i="35"/>
  <c r="N369" i="35"/>
  <c r="N195" i="35"/>
  <c r="P626" i="35"/>
  <c r="P541" i="35"/>
  <c r="P455" i="35"/>
  <c r="K626" i="35"/>
  <c r="K541" i="35"/>
  <c r="K455" i="35"/>
  <c r="K369" i="35"/>
  <c r="K281" i="35"/>
  <c r="K195" i="35"/>
  <c r="K109" i="35"/>
  <c r="K23" i="35"/>
  <c r="P23" i="35"/>
  <c r="P109" i="35"/>
  <c r="P195" i="35"/>
  <c r="P281" i="35"/>
  <c r="P369" i="35"/>
  <c r="Q23" i="35"/>
  <c r="Q109" i="35"/>
  <c r="Q195" i="35"/>
  <c r="Q281" i="35"/>
  <c r="S626" i="35"/>
  <c r="S541" i="35"/>
  <c r="S455" i="35"/>
  <c r="M541" i="35"/>
  <c r="M455" i="35"/>
  <c r="M369" i="35"/>
  <c r="M281" i="35"/>
  <c r="M195" i="35"/>
  <c r="M626" i="35"/>
  <c r="M109" i="35"/>
  <c r="M23" i="35"/>
  <c r="H195" i="35"/>
  <c r="H626" i="35"/>
  <c r="H541" i="35"/>
  <c r="H109" i="35"/>
  <c r="H455" i="35"/>
  <c r="H369" i="35"/>
  <c r="H23" i="35"/>
  <c r="H281" i="35"/>
  <c r="R23" i="35"/>
  <c r="R109" i="35"/>
  <c r="R195" i="35"/>
  <c r="R281" i="35"/>
  <c r="I626" i="35"/>
  <c r="I455" i="35"/>
  <c r="I281" i="35"/>
  <c r="I541" i="35"/>
  <c r="I369" i="35"/>
  <c r="I195" i="35"/>
  <c r="I23" i="35"/>
  <c r="I109" i="35"/>
  <c r="R626" i="35"/>
  <c r="R541" i="35"/>
  <c r="R455" i="35"/>
  <c r="Q626" i="35"/>
  <c r="Q541" i="35"/>
  <c r="Q455" i="35"/>
  <c r="L626" i="35"/>
  <c r="L541" i="35"/>
  <c r="L281" i="35"/>
  <c r="L455" i="35"/>
  <c r="L369" i="35"/>
  <c r="L195" i="35"/>
  <c r="L109" i="35"/>
  <c r="L23" i="35"/>
  <c r="S23" i="35"/>
  <c r="S109" i="35"/>
  <c r="S195" i="35"/>
  <c r="S281" i="35"/>
  <c r="S369" i="35"/>
  <c r="G26" i="35"/>
  <c r="H112" i="35"/>
  <c r="H284" i="35"/>
  <c r="H198" i="35"/>
  <c r="H372" i="35"/>
  <c r="S164" i="34"/>
  <c r="AI164" i="34"/>
  <c r="S163" i="34"/>
  <c r="AI163" i="34"/>
  <c r="V529" i="58"/>
  <c r="AG529" i="58"/>
  <c r="R529" i="58"/>
  <c r="P529" i="58"/>
  <c r="T529" i="58"/>
  <c r="AE529" i="58"/>
  <c r="AI529" i="58"/>
  <c r="AC529" i="58"/>
  <c r="V528" i="58"/>
  <c r="AV528" i="58"/>
  <c r="AG528" i="58"/>
  <c r="AC528" i="58"/>
  <c r="AP528" i="58"/>
  <c r="AR528" i="58"/>
  <c r="R528" i="58"/>
  <c r="AK525" i="58"/>
  <c r="AK526" i="58"/>
  <c r="AX525" i="58"/>
  <c r="AX526" i="58"/>
  <c r="U234" i="62"/>
  <c r="Y235" i="62"/>
  <c r="Y272" i="62"/>
  <c r="AI235" i="62"/>
  <c r="Y269" i="62"/>
  <c r="Y234" i="62"/>
  <c r="AI234" i="62"/>
  <c r="AE234" i="62"/>
  <c r="AE269" i="62"/>
  <c r="AI272" i="62"/>
  <c r="AI269" i="62"/>
  <c r="U272" i="62"/>
  <c r="U235" i="62"/>
  <c r="G610" i="35"/>
  <c r="G524" i="35"/>
  <c r="G350" i="35"/>
  <c r="G695" i="35"/>
  <c r="G438" i="35"/>
  <c r="G264" i="35"/>
  <c r="G92" i="35"/>
  <c r="T164" i="34"/>
  <c r="AJ164" i="34"/>
  <c r="T163" i="34"/>
  <c r="AJ163" i="34"/>
  <c r="AX528" i="58"/>
  <c r="AK528" i="58"/>
  <c r="AK529" i="58"/>
  <c r="X529" i="58"/>
  <c r="BH18" i="34"/>
  <c r="BG18" i="34"/>
  <c r="BF18" i="34"/>
  <c r="BE18" i="34"/>
  <c r="BD18" i="34"/>
  <c r="BC18" i="34"/>
  <c r="BB18" i="34"/>
  <c r="BA18" i="34"/>
  <c r="AZ18" i="34"/>
  <c r="AY18" i="34"/>
  <c r="AX18" i="34"/>
  <c r="AW18" i="34"/>
  <c r="BH17" i="34"/>
  <c r="BG17" i="34"/>
  <c r="BF17" i="34"/>
  <c r="BE17" i="34"/>
  <c r="BD17" i="34"/>
  <c r="BC17" i="34"/>
  <c r="BB17" i="34"/>
  <c r="BA17" i="34"/>
  <c r="AZ17" i="34"/>
  <c r="AY17" i="34"/>
  <c r="AX17" i="34"/>
  <c r="AW17" i="34"/>
  <c r="BH16" i="34"/>
  <c r="S82" i="35"/>
  <c r="BG16" i="34"/>
  <c r="R82" i="35"/>
  <c r="BF16" i="34"/>
  <c r="Q82" i="35"/>
  <c r="BE16" i="34"/>
  <c r="P82" i="35"/>
  <c r="BD16" i="34"/>
  <c r="BC16" i="34"/>
  <c r="BB16" i="34"/>
  <c r="BA16" i="34"/>
  <c r="AZ16" i="34"/>
  <c r="AY16" i="34"/>
  <c r="AX16" i="34"/>
  <c r="AW16" i="34"/>
  <c r="BH15" i="34"/>
  <c r="BG15" i="34"/>
  <c r="BF15" i="34"/>
  <c r="BE15" i="34"/>
  <c r="BD15" i="34"/>
  <c r="BC15" i="34"/>
  <c r="BB15" i="34"/>
  <c r="BA15" i="34"/>
  <c r="AZ15" i="34"/>
  <c r="AY15" i="34"/>
  <c r="AX15" i="34"/>
  <c r="AW15" i="34"/>
  <c r="BH14" i="34"/>
  <c r="BG14" i="34"/>
  <c r="BF14" i="34"/>
  <c r="BE14" i="34"/>
  <c r="BD14" i="34"/>
  <c r="BC14" i="34"/>
  <c r="BB14" i="34"/>
  <c r="BA14" i="34"/>
  <c r="AZ14" i="34"/>
  <c r="AY14" i="34"/>
  <c r="AX14" i="34"/>
  <c r="AW14" i="34"/>
  <c r="S680" i="35"/>
  <c r="S595" i="35"/>
  <c r="S509" i="35"/>
  <c r="S423" i="35"/>
  <c r="S335" i="35"/>
  <c r="S249" i="35"/>
  <c r="S77" i="35"/>
  <c r="I598" i="35"/>
  <c r="I426" i="35"/>
  <c r="I252" i="35"/>
  <c r="I683" i="35"/>
  <c r="I512" i="35"/>
  <c r="I338" i="35"/>
  <c r="I80" i="35"/>
  <c r="N683" i="35"/>
  <c r="N512" i="35"/>
  <c r="N598" i="35"/>
  <c r="N426" i="35"/>
  <c r="N252" i="35"/>
  <c r="N80" i="35"/>
  <c r="N338" i="35"/>
  <c r="S683" i="35"/>
  <c r="S598" i="35"/>
  <c r="S512" i="35"/>
  <c r="S426" i="35"/>
  <c r="S338" i="35"/>
  <c r="S80" i="35"/>
  <c r="I601" i="35"/>
  <c r="I429" i="35"/>
  <c r="I255" i="35"/>
  <c r="I83" i="35"/>
  <c r="I686" i="35"/>
  <c r="I515" i="35"/>
  <c r="I341" i="35"/>
  <c r="N686" i="35"/>
  <c r="N515" i="35"/>
  <c r="N601" i="35"/>
  <c r="N341" i="35"/>
  <c r="N83" i="35"/>
  <c r="N429" i="35"/>
  <c r="N255" i="35"/>
  <c r="S686" i="35"/>
  <c r="S601" i="35"/>
  <c r="S515" i="35"/>
  <c r="S429" i="35"/>
  <c r="S341" i="35"/>
  <c r="S255" i="35"/>
  <c r="S83" i="35"/>
  <c r="I689" i="35"/>
  <c r="I518" i="35"/>
  <c r="I344" i="35"/>
  <c r="I604" i="35"/>
  <c r="I432" i="35"/>
  <c r="I258" i="35"/>
  <c r="I86" i="35"/>
  <c r="N689" i="35"/>
  <c r="N518" i="35"/>
  <c r="N604" i="35"/>
  <c r="N432" i="35"/>
  <c r="N258" i="35"/>
  <c r="N86" i="35"/>
  <c r="N344" i="35"/>
  <c r="S689" i="35"/>
  <c r="S604" i="35"/>
  <c r="S518" i="35"/>
  <c r="S344" i="35"/>
  <c r="S258" i="35"/>
  <c r="S86" i="35"/>
  <c r="S432" i="35"/>
  <c r="I521" i="35"/>
  <c r="I347" i="35"/>
  <c r="I607" i="35"/>
  <c r="I435" i="35"/>
  <c r="I261" i="35"/>
  <c r="I89" i="35"/>
  <c r="N692" i="35"/>
  <c r="N521" i="35"/>
  <c r="N435" i="35"/>
  <c r="N607" i="35"/>
  <c r="N347" i="35"/>
  <c r="N89" i="35"/>
  <c r="N261" i="35"/>
  <c r="S692" i="35"/>
  <c r="S607" i="35"/>
  <c r="S521" i="35"/>
  <c r="S435" i="35"/>
  <c r="S347" i="35"/>
  <c r="S261" i="35"/>
  <c r="S89" i="35"/>
  <c r="N680" i="35"/>
  <c r="N509" i="35"/>
  <c r="N595" i="35"/>
  <c r="N335" i="35"/>
  <c r="N77" i="35"/>
  <c r="N423" i="35"/>
  <c r="N249" i="35"/>
  <c r="K595" i="35"/>
  <c r="K680" i="35"/>
  <c r="K509" i="35"/>
  <c r="K423" i="35"/>
  <c r="K335" i="35"/>
  <c r="K249" i="35"/>
  <c r="K77" i="35"/>
  <c r="P680" i="35"/>
  <c r="P595" i="35"/>
  <c r="P509" i="35"/>
  <c r="P423" i="35"/>
  <c r="P335" i="35"/>
  <c r="P249" i="35"/>
  <c r="P77" i="35"/>
  <c r="K598" i="35"/>
  <c r="K683" i="35"/>
  <c r="K512" i="35"/>
  <c r="K426" i="35"/>
  <c r="K338" i="35"/>
  <c r="K252" i="35"/>
  <c r="K80" i="35"/>
  <c r="P683" i="35"/>
  <c r="P598" i="35"/>
  <c r="P512" i="35"/>
  <c r="P426" i="35"/>
  <c r="P338" i="35"/>
  <c r="P252" i="35"/>
  <c r="P80" i="35"/>
  <c r="K601" i="35"/>
  <c r="K686" i="35"/>
  <c r="K515" i="35"/>
  <c r="K429" i="35"/>
  <c r="K341" i="35"/>
  <c r="K255" i="35"/>
  <c r="K83" i="35"/>
  <c r="P686" i="35"/>
  <c r="P601" i="35"/>
  <c r="P515" i="35"/>
  <c r="P429" i="35"/>
  <c r="P341" i="35"/>
  <c r="P255" i="35"/>
  <c r="P83" i="35"/>
  <c r="K604" i="35"/>
  <c r="K689" i="35"/>
  <c r="K518" i="35"/>
  <c r="K432" i="35"/>
  <c r="K344" i="35"/>
  <c r="K258" i="35"/>
  <c r="K86" i="35"/>
  <c r="P689" i="35"/>
  <c r="P604" i="35"/>
  <c r="P518" i="35"/>
  <c r="P432" i="35"/>
  <c r="P344" i="35"/>
  <c r="P258" i="35"/>
  <c r="P86" i="35"/>
  <c r="K607" i="35"/>
  <c r="K692" i="35"/>
  <c r="K521" i="35"/>
  <c r="K435" i="35"/>
  <c r="K347" i="35"/>
  <c r="K261" i="35"/>
  <c r="K89" i="35"/>
  <c r="P692" i="35"/>
  <c r="P607" i="35"/>
  <c r="P521" i="35"/>
  <c r="P435" i="35"/>
  <c r="P347" i="35"/>
  <c r="P261" i="35"/>
  <c r="P89" i="35"/>
  <c r="G680" i="35"/>
  <c r="G423" i="35"/>
  <c r="G249" i="35"/>
  <c r="G77" i="35"/>
  <c r="G595" i="35"/>
  <c r="G509" i="35"/>
  <c r="G335" i="35"/>
  <c r="L595" i="35"/>
  <c r="L680" i="35"/>
  <c r="L509" i="35"/>
  <c r="L335" i="35"/>
  <c r="L423" i="35"/>
  <c r="L249" i="35"/>
  <c r="L77" i="35"/>
  <c r="Q680" i="35"/>
  <c r="Q595" i="35"/>
  <c r="Q509" i="35"/>
  <c r="Q423" i="35"/>
  <c r="Q335" i="35"/>
  <c r="Q249" i="35"/>
  <c r="Q77" i="35"/>
  <c r="G598" i="35"/>
  <c r="G512" i="35"/>
  <c r="G338" i="35"/>
  <c r="G683" i="35"/>
  <c r="G426" i="35"/>
  <c r="G252" i="35"/>
  <c r="G80" i="35"/>
  <c r="L598" i="35"/>
  <c r="L683" i="35"/>
  <c r="L512" i="35"/>
  <c r="L426" i="35"/>
  <c r="L252" i="35"/>
  <c r="L338" i="35"/>
  <c r="L80" i="35"/>
  <c r="Q683" i="35"/>
  <c r="Q598" i="35"/>
  <c r="Q512" i="35"/>
  <c r="Q426" i="35"/>
  <c r="Q338" i="35"/>
  <c r="Q252" i="35"/>
  <c r="Q80" i="35"/>
  <c r="G515" i="35"/>
  <c r="G341" i="35"/>
  <c r="G686" i="35"/>
  <c r="G429" i="35"/>
  <c r="G255" i="35"/>
  <c r="G83" i="35"/>
  <c r="G601" i="35"/>
  <c r="L601" i="35"/>
  <c r="L686" i="35"/>
  <c r="L515" i="35"/>
  <c r="L341" i="35"/>
  <c r="L429" i="35"/>
  <c r="L255" i="35"/>
  <c r="L83" i="35"/>
  <c r="Q686" i="35"/>
  <c r="Q601" i="35"/>
  <c r="Q515" i="35"/>
  <c r="Q429" i="35"/>
  <c r="Q341" i="35"/>
  <c r="Q255" i="35"/>
  <c r="Q83" i="35"/>
  <c r="G689" i="35"/>
  <c r="G432" i="35"/>
  <c r="G258" i="35"/>
  <c r="G86" i="35"/>
  <c r="G604" i="35"/>
  <c r="G518" i="35"/>
  <c r="G344" i="35"/>
  <c r="L604" i="35"/>
  <c r="L689" i="35"/>
  <c r="L518" i="35"/>
  <c r="L432" i="35"/>
  <c r="L258" i="35"/>
  <c r="L344" i="35"/>
  <c r="L86" i="35"/>
  <c r="Q689" i="35"/>
  <c r="Q604" i="35"/>
  <c r="Q518" i="35"/>
  <c r="Q432" i="35"/>
  <c r="Q344" i="35"/>
  <c r="Q258" i="35"/>
  <c r="Q86" i="35"/>
  <c r="G435" i="35"/>
  <c r="G261" i="35"/>
  <c r="G89" i="35"/>
  <c r="G607" i="35"/>
  <c r="G521" i="35"/>
  <c r="G347" i="35"/>
  <c r="L607" i="35"/>
  <c r="L692" i="35"/>
  <c r="L521" i="35"/>
  <c r="L347" i="35"/>
  <c r="L435" i="35"/>
  <c r="L261" i="35"/>
  <c r="L89" i="35"/>
  <c r="Q692" i="35"/>
  <c r="Q607" i="35"/>
  <c r="Q521" i="35"/>
  <c r="Q435" i="35"/>
  <c r="Q347" i="35"/>
  <c r="Q261" i="35"/>
  <c r="Q89" i="35"/>
  <c r="I680" i="35"/>
  <c r="I509" i="35"/>
  <c r="I335" i="35"/>
  <c r="I595" i="35"/>
  <c r="I423" i="35"/>
  <c r="I249" i="35"/>
  <c r="I77" i="35"/>
  <c r="H249" i="35"/>
  <c r="H680" i="35"/>
  <c r="H595" i="35"/>
  <c r="H509" i="35"/>
  <c r="H77" i="35"/>
  <c r="H423" i="35"/>
  <c r="H335" i="35"/>
  <c r="M680" i="35"/>
  <c r="M509" i="35"/>
  <c r="M423" i="35"/>
  <c r="M335" i="35"/>
  <c r="M249" i="35"/>
  <c r="M595" i="35"/>
  <c r="M77" i="35"/>
  <c r="R680" i="35"/>
  <c r="R595" i="35"/>
  <c r="R509" i="35"/>
  <c r="R423" i="35"/>
  <c r="R335" i="35"/>
  <c r="R249" i="35"/>
  <c r="R77" i="35"/>
  <c r="H683" i="35"/>
  <c r="H598" i="35"/>
  <c r="H512" i="35"/>
  <c r="H80" i="35"/>
  <c r="H426" i="35"/>
  <c r="H338" i="35"/>
  <c r="H252" i="35"/>
  <c r="M683" i="35"/>
  <c r="M512" i="35"/>
  <c r="M426" i="35"/>
  <c r="M338" i="35"/>
  <c r="M252" i="35"/>
  <c r="M598" i="35"/>
  <c r="M80" i="35"/>
  <c r="R683" i="35"/>
  <c r="R598" i="35"/>
  <c r="R512" i="35"/>
  <c r="R426" i="35"/>
  <c r="R338" i="35"/>
  <c r="R252" i="35"/>
  <c r="R80" i="35"/>
  <c r="H601" i="35"/>
  <c r="H515" i="35"/>
  <c r="H83" i="35"/>
  <c r="H429" i="35"/>
  <c r="H341" i="35"/>
  <c r="H255" i="35"/>
  <c r="H686" i="35"/>
  <c r="M686" i="35"/>
  <c r="M515" i="35"/>
  <c r="M429" i="35"/>
  <c r="M341" i="35"/>
  <c r="M255" i="35"/>
  <c r="M601" i="35"/>
  <c r="M83" i="35"/>
  <c r="R686" i="35"/>
  <c r="R601" i="35"/>
  <c r="R515" i="35"/>
  <c r="R429" i="35"/>
  <c r="R341" i="35"/>
  <c r="R255" i="35"/>
  <c r="R83" i="35"/>
  <c r="H432" i="35"/>
  <c r="H344" i="35"/>
  <c r="H258" i="35"/>
  <c r="H689" i="35"/>
  <c r="H604" i="35"/>
  <c r="H518" i="35"/>
  <c r="H86" i="35"/>
  <c r="M689" i="35"/>
  <c r="M518" i="35"/>
  <c r="M432" i="35"/>
  <c r="M344" i="35"/>
  <c r="M258" i="35"/>
  <c r="M604" i="35"/>
  <c r="M86" i="35"/>
  <c r="R689" i="35"/>
  <c r="R604" i="35"/>
  <c r="R518" i="35"/>
  <c r="R432" i="35"/>
  <c r="R344" i="35"/>
  <c r="R258" i="35"/>
  <c r="R86" i="35"/>
  <c r="H261" i="35"/>
  <c r="H607" i="35"/>
  <c r="H521" i="35"/>
  <c r="H89" i="35"/>
  <c r="H435" i="35"/>
  <c r="H347" i="35"/>
  <c r="M692" i="35"/>
  <c r="M521" i="35"/>
  <c r="M435" i="35"/>
  <c r="M347" i="35"/>
  <c r="M261" i="35"/>
  <c r="M607" i="35"/>
  <c r="M89" i="35"/>
  <c r="R692" i="35"/>
  <c r="R607" i="35"/>
  <c r="R521" i="35"/>
  <c r="R435" i="35"/>
  <c r="R347" i="35"/>
  <c r="R261" i="35"/>
  <c r="R89" i="35"/>
  <c r="AU18" i="34"/>
  <c r="AU14" i="34"/>
  <c r="AU15" i="34"/>
  <c r="AU16" i="34"/>
  <c r="AU17" i="34"/>
  <c r="N695" i="35"/>
  <c r="N524" i="35"/>
  <c r="N438" i="35"/>
  <c r="N610" i="35"/>
  <c r="N264" i="35"/>
  <c r="N92" i="35"/>
  <c r="N350" i="35"/>
  <c r="L610" i="35"/>
  <c r="L695" i="35"/>
  <c r="L524" i="35"/>
  <c r="L264" i="35"/>
  <c r="L438" i="35"/>
  <c r="L350" i="35"/>
  <c r="L92" i="35"/>
  <c r="H695" i="35"/>
  <c r="H610" i="35"/>
  <c r="H524" i="35"/>
  <c r="H92" i="35"/>
  <c r="H438" i="35"/>
  <c r="H350" i="35"/>
  <c r="H264" i="35"/>
  <c r="P695" i="35"/>
  <c r="P610" i="35"/>
  <c r="P524" i="35"/>
  <c r="P438" i="35"/>
  <c r="P350" i="35"/>
  <c r="P264" i="35"/>
  <c r="P92" i="35"/>
  <c r="R695" i="35"/>
  <c r="R610" i="35"/>
  <c r="R524" i="35"/>
  <c r="R438" i="35"/>
  <c r="R350" i="35"/>
  <c r="R264" i="35"/>
  <c r="R92" i="35"/>
  <c r="M695" i="35"/>
  <c r="M524" i="35"/>
  <c r="M438" i="35"/>
  <c r="M350" i="35"/>
  <c r="M264" i="35"/>
  <c r="M610" i="35"/>
  <c r="M92" i="35"/>
  <c r="S695" i="35"/>
  <c r="S610" i="35"/>
  <c r="S524" i="35"/>
  <c r="S350" i="35"/>
  <c r="S264" i="35"/>
  <c r="S92" i="35"/>
  <c r="S438" i="35"/>
  <c r="Q695" i="35"/>
  <c r="Q610" i="35"/>
  <c r="Q524" i="35"/>
  <c r="Q438" i="35"/>
  <c r="Q350" i="35"/>
  <c r="Q264" i="35"/>
  <c r="Q92" i="35"/>
  <c r="AJ130" i="22"/>
  <c r="AF130" i="22"/>
  <c r="AG130" i="22"/>
  <c r="Y130" i="22"/>
  <c r="Z130" i="22"/>
  <c r="R130" i="22"/>
  <c r="S130" i="22"/>
  <c r="K130" i="22"/>
  <c r="L130" i="22"/>
  <c r="AJ129" i="22"/>
  <c r="AF129" i="22"/>
  <c r="AG129" i="22"/>
  <c r="Y129" i="22"/>
  <c r="Z129" i="22"/>
  <c r="R129" i="22"/>
  <c r="K129" i="22"/>
  <c r="L129" i="22"/>
  <c r="AJ128" i="22"/>
  <c r="AF128" i="22"/>
  <c r="AG128" i="22"/>
  <c r="Y128" i="22"/>
  <c r="Z128" i="22"/>
  <c r="R128" i="22"/>
  <c r="K128" i="22"/>
  <c r="L128" i="22"/>
  <c r="AJ127" i="22"/>
  <c r="AF127" i="22"/>
  <c r="AG127" i="22"/>
  <c r="Y127" i="22"/>
  <c r="Z127" i="22"/>
  <c r="R127" i="22"/>
  <c r="S127" i="22"/>
  <c r="K127" i="22"/>
  <c r="L127" i="22"/>
  <c r="AJ126" i="22"/>
  <c r="AF126" i="22"/>
  <c r="AG126" i="22"/>
  <c r="Y126" i="22"/>
  <c r="Z126" i="22"/>
  <c r="R126" i="22"/>
  <c r="S126" i="22"/>
  <c r="K126" i="22"/>
  <c r="L126" i="22"/>
  <c r="AJ125" i="22"/>
  <c r="AF125" i="22"/>
  <c r="AG125" i="22"/>
  <c r="Y125" i="22"/>
  <c r="Z125" i="22"/>
  <c r="R125" i="22"/>
  <c r="K125" i="22"/>
  <c r="L125" i="22"/>
  <c r="AJ124" i="22"/>
  <c r="AF124" i="22"/>
  <c r="AG124" i="22"/>
  <c r="Y124" i="22"/>
  <c r="Z124" i="22"/>
  <c r="R124" i="22"/>
  <c r="K124" i="22"/>
  <c r="L124" i="22"/>
  <c r="AJ123" i="22"/>
  <c r="AF123" i="22"/>
  <c r="AG123" i="22"/>
  <c r="Y123" i="22"/>
  <c r="R123" i="22"/>
  <c r="S123" i="22"/>
  <c r="K123" i="22"/>
  <c r="L123" i="22"/>
  <c r="AJ122" i="22"/>
  <c r="AF122" i="22"/>
  <c r="AG122" i="22"/>
  <c r="Y122" i="22"/>
  <c r="Z122" i="22"/>
  <c r="R122" i="22"/>
  <c r="S122" i="22"/>
  <c r="K122" i="22"/>
  <c r="L122" i="22"/>
  <c r="AJ121" i="22"/>
  <c r="AF121" i="22"/>
  <c r="AG121" i="22"/>
  <c r="Y121" i="22"/>
  <c r="Z121" i="22"/>
  <c r="R121" i="22"/>
  <c r="K121" i="22"/>
  <c r="L121" i="22"/>
  <c r="AJ120" i="22"/>
  <c r="AF120" i="22"/>
  <c r="AG120" i="22"/>
  <c r="Y120" i="22"/>
  <c r="Z120" i="22"/>
  <c r="R120" i="22"/>
  <c r="K120" i="22"/>
  <c r="L120" i="22"/>
  <c r="AJ119" i="22"/>
  <c r="AF119" i="22"/>
  <c r="AG119" i="22"/>
  <c r="Y119" i="22"/>
  <c r="Z119" i="22"/>
  <c r="R119" i="22"/>
  <c r="S119" i="22"/>
  <c r="K119" i="22"/>
  <c r="L119" i="22"/>
  <c r="AJ118" i="22"/>
  <c r="AF118" i="22"/>
  <c r="AG118" i="22"/>
  <c r="Y118" i="22"/>
  <c r="Z118" i="22"/>
  <c r="R118" i="22"/>
  <c r="K118" i="22"/>
  <c r="L118" i="22"/>
  <c r="AJ117" i="22"/>
  <c r="AF117" i="22"/>
  <c r="AG117" i="22"/>
  <c r="Y117" i="22"/>
  <c r="Z117" i="22"/>
  <c r="R117" i="22"/>
  <c r="K117" i="22"/>
  <c r="L117" i="22"/>
  <c r="AJ103" i="22"/>
  <c r="AF103" i="22"/>
  <c r="AG103" i="22"/>
  <c r="Y103" i="22"/>
  <c r="Z103" i="22"/>
  <c r="R103" i="22"/>
  <c r="K103" i="22"/>
  <c r="L103" i="22"/>
  <c r="AJ60" i="22"/>
  <c r="AF60" i="22"/>
  <c r="AG60" i="22"/>
  <c r="Y60" i="22"/>
  <c r="Z60" i="22"/>
  <c r="R60" i="22"/>
  <c r="S60" i="22"/>
  <c r="K60" i="22"/>
  <c r="L60" i="22"/>
  <c r="AJ59" i="22"/>
  <c r="AF59" i="22"/>
  <c r="AG59" i="22"/>
  <c r="Y59" i="22"/>
  <c r="Z59" i="22"/>
  <c r="R59" i="22"/>
  <c r="K59" i="22"/>
  <c r="L59" i="22"/>
  <c r="AJ58" i="22"/>
  <c r="AF58" i="22"/>
  <c r="AG58" i="22"/>
  <c r="Y58" i="22"/>
  <c r="Z58" i="22"/>
  <c r="R58" i="22"/>
  <c r="S58" i="22"/>
  <c r="K58" i="22"/>
  <c r="L58" i="22"/>
  <c r="AJ57" i="22"/>
  <c r="AF57" i="22"/>
  <c r="AG57" i="22"/>
  <c r="Y57" i="22"/>
  <c r="R57" i="22"/>
  <c r="S57" i="22"/>
  <c r="K57" i="22"/>
  <c r="L57" i="22"/>
  <c r="AJ56" i="22"/>
  <c r="AF56" i="22"/>
  <c r="AG56" i="22"/>
  <c r="Y56" i="22"/>
  <c r="Z56" i="22"/>
  <c r="R56" i="22"/>
  <c r="K56" i="22"/>
  <c r="L56" i="22"/>
  <c r="AJ55" i="22"/>
  <c r="AF55" i="22"/>
  <c r="AG55" i="22"/>
  <c r="Y55" i="22"/>
  <c r="Z55" i="22"/>
  <c r="R55" i="22"/>
  <c r="K55" i="22"/>
  <c r="L55" i="22"/>
  <c r="AJ54" i="22"/>
  <c r="AF54" i="22"/>
  <c r="AG54" i="22"/>
  <c r="Y54" i="22"/>
  <c r="Z54" i="22"/>
  <c r="R54" i="22"/>
  <c r="S54" i="22"/>
  <c r="K54" i="22"/>
  <c r="L54" i="22"/>
  <c r="AJ53" i="22"/>
  <c r="AF53" i="22"/>
  <c r="AG53" i="22"/>
  <c r="Y53" i="22"/>
  <c r="R53" i="22"/>
  <c r="S53" i="22"/>
  <c r="K53" i="22"/>
  <c r="L53" i="22"/>
  <c r="AJ52" i="22"/>
  <c r="AF52" i="22"/>
  <c r="AG52" i="22"/>
  <c r="Y52" i="22"/>
  <c r="Z52" i="22"/>
  <c r="R52" i="22"/>
  <c r="S52" i="22"/>
  <c r="K52" i="22"/>
  <c r="L52" i="22"/>
  <c r="AJ51" i="22"/>
  <c r="AF51" i="22"/>
  <c r="AG51" i="22"/>
  <c r="Y51" i="22"/>
  <c r="Z51" i="22"/>
  <c r="R51" i="22"/>
  <c r="K51" i="22"/>
  <c r="L51" i="22"/>
  <c r="AJ50" i="22"/>
  <c r="AF50" i="22"/>
  <c r="AG50" i="22"/>
  <c r="Y50" i="22"/>
  <c r="Z50" i="22"/>
  <c r="R50" i="22"/>
  <c r="S50" i="22"/>
  <c r="K50" i="22"/>
  <c r="L50" i="22"/>
  <c r="AJ49" i="22"/>
  <c r="AF49" i="22"/>
  <c r="AG49" i="22"/>
  <c r="Y49" i="22"/>
  <c r="Z49" i="22"/>
  <c r="R49" i="22"/>
  <c r="S49" i="22"/>
  <c r="K49" i="22"/>
  <c r="L49" i="22"/>
  <c r="AJ48" i="22"/>
  <c r="AF48" i="22"/>
  <c r="AG48" i="22"/>
  <c r="Y48" i="22"/>
  <c r="Z48" i="22"/>
  <c r="R48" i="22"/>
  <c r="K48" i="22"/>
  <c r="L48" i="22"/>
  <c r="AJ47" i="22"/>
  <c r="AF47" i="22"/>
  <c r="AG47" i="22"/>
  <c r="Y47" i="22"/>
  <c r="Z47" i="22"/>
  <c r="R47" i="22"/>
  <c r="K47" i="22"/>
  <c r="L47" i="22"/>
  <c r="AJ33" i="22"/>
  <c r="AF33" i="22"/>
  <c r="AG33" i="22"/>
  <c r="Y33" i="22"/>
  <c r="Z33" i="22"/>
  <c r="R33" i="22"/>
  <c r="K33" i="22"/>
  <c r="L33" i="22"/>
  <c r="AJ32" i="22"/>
  <c r="AF32" i="22"/>
  <c r="AG32" i="22"/>
  <c r="Y32" i="22"/>
  <c r="Z32" i="22"/>
  <c r="R32" i="22"/>
  <c r="S32" i="22"/>
  <c r="K32" i="22"/>
  <c r="L32" i="22"/>
  <c r="AJ31" i="22"/>
  <c r="AF31" i="22"/>
  <c r="AG31" i="22"/>
  <c r="Y31" i="22"/>
  <c r="Z31" i="22"/>
  <c r="R31" i="22"/>
  <c r="S31" i="22"/>
  <c r="K31" i="22"/>
  <c r="L31" i="22"/>
  <c r="AJ30" i="22"/>
  <c r="AF30" i="22"/>
  <c r="AG30" i="22"/>
  <c r="Y30" i="22"/>
  <c r="Z30" i="22"/>
  <c r="R30" i="22"/>
  <c r="S30" i="22"/>
  <c r="K30" i="22"/>
  <c r="L30" i="22"/>
  <c r="AJ29" i="22"/>
  <c r="AF29" i="22"/>
  <c r="AG29" i="22"/>
  <c r="Y29" i="22"/>
  <c r="Z29" i="22"/>
  <c r="R29" i="22"/>
  <c r="K29" i="22"/>
  <c r="L29" i="22"/>
  <c r="AJ28" i="22"/>
  <c r="AF28" i="22"/>
  <c r="AG28" i="22"/>
  <c r="Y28" i="22"/>
  <c r="R28" i="22"/>
  <c r="S28" i="22"/>
  <c r="K28" i="22"/>
  <c r="L28" i="22"/>
  <c r="AJ27" i="22"/>
  <c r="AF27" i="22"/>
  <c r="AG27" i="22"/>
  <c r="Y27" i="22"/>
  <c r="R27" i="22"/>
  <c r="S27" i="22"/>
  <c r="K27" i="22"/>
  <c r="L27" i="22"/>
  <c r="AJ26" i="22"/>
  <c r="AF26" i="22"/>
  <c r="AG26" i="22"/>
  <c r="Y26" i="22"/>
  <c r="Z26" i="22"/>
  <c r="R26" i="22"/>
  <c r="S26" i="22"/>
  <c r="K26" i="22"/>
  <c r="L26" i="22"/>
  <c r="AJ25" i="22"/>
  <c r="AF25" i="22"/>
  <c r="AG25" i="22"/>
  <c r="Y25" i="22"/>
  <c r="Z25" i="22"/>
  <c r="R25" i="22"/>
  <c r="K25" i="22"/>
  <c r="L25" i="22"/>
  <c r="AJ24" i="22"/>
  <c r="AF24" i="22"/>
  <c r="AG24" i="22"/>
  <c r="Y24" i="22"/>
  <c r="R24" i="22"/>
  <c r="S24" i="22"/>
  <c r="K24" i="22"/>
  <c r="L24" i="22"/>
  <c r="AJ23" i="22"/>
  <c r="AF23" i="22"/>
  <c r="AG23" i="22"/>
  <c r="Y23" i="22"/>
  <c r="R23" i="22"/>
  <c r="S23" i="22"/>
  <c r="K23" i="22"/>
  <c r="L23" i="22"/>
  <c r="AG132" i="34"/>
  <c r="AH132" i="34"/>
  <c r="Z132" i="34"/>
  <c r="AA132" i="34"/>
  <c r="AG131" i="34"/>
  <c r="AH131" i="34"/>
  <c r="Z131" i="34"/>
  <c r="AA131" i="34"/>
  <c r="S132" i="34"/>
  <c r="T132" i="34"/>
  <c r="S131" i="34"/>
  <c r="AG230" i="34"/>
  <c r="AH230" i="34"/>
  <c r="Z230" i="34"/>
  <c r="AA230" i="34"/>
  <c r="S230" i="34"/>
  <c r="L230" i="34"/>
  <c r="M230" i="34"/>
  <c r="AG229" i="34"/>
  <c r="AH229" i="34"/>
  <c r="Z229" i="34"/>
  <c r="AA229" i="34"/>
  <c r="S229" i="34"/>
  <c r="T229" i="34"/>
  <c r="L229" i="34"/>
  <c r="M229" i="34"/>
  <c r="AG228" i="34"/>
  <c r="AH228" i="34"/>
  <c r="Z228" i="34"/>
  <c r="AA228" i="34"/>
  <c r="S228" i="34"/>
  <c r="L228" i="34"/>
  <c r="M228" i="34"/>
  <c r="AG227" i="34"/>
  <c r="AH227" i="34"/>
  <c r="Z227" i="34"/>
  <c r="AA227" i="34"/>
  <c r="S227" i="34"/>
  <c r="L227" i="34"/>
  <c r="M227" i="34"/>
  <c r="AG226" i="34"/>
  <c r="AH226" i="34"/>
  <c r="Z226" i="34"/>
  <c r="AA226" i="34"/>
  <c r="S226" i="34"/>
  <c r="L226" i="34"/>
  <c r="M226" i="34"/>
  <c r="AG225" i="34"/>
  <c r="AH225" i="34"/>
  <c r="Z225" i="34"/>
  <c r="AA225" i="34"/>
  <c r="S225" i="34"/>
  <c r="T225" i="34"/>
  <c r="L225" i="34"/>
  <c r="M225" i="34"/>
  <c r="AG224" i="34"/>
  <c r="AH224" i="34"/>
  <c r="Z224" i="34"/>
  <c r="AA224" i="34"/>
  <c r="S224" i="34"/>
  <c r="L224" i="34"/>
  <c r="M224" i="34"/>
  <c r="AG223" i="34"/>
  <c r="AH223" i="34"/>
  <c r="Z223" i="34"/>
  <c r="AA223" i="34"/>
  <c r="S223" i="34"/>
  <c r="L223" i="34"/>
  <c r="M223" i="34"/>
  <c r="AG222" i="34"/>
  <c r="AH222" i="34"/>
  <c r="Z222" i="34"/>
  <c r="AA222" i="34"/>
  <c r="S222" i="34"/>
  <c r="L222" i="34"/>
  <c r="M222" i="34"/>
  <c r="AG221" i="34"/>
  <c r="AH221" i="34"/>
  <c r="Z221" i="34"/>
  <c r="AA221" i="34"/>
  <c r="S221" i="34"/>
  <c r="T221" i="34"/>
  <c r="L221" i="34"/>
  <c r="M221" i="34"/>
  <c r="AG220" i="34"/>
  <c r="AH220" i="34"/>
  <c r="Z220" i="34"/>
  <c r="AA220" i="34"/>
  <c r="S220" i="34"/>
  <c r="L220" i="34"/>
  <c r="M220" i="34"/>
  <c r="AG219" i="34"/>
  <c r="AH219" i="34"/>
  <c r="Z219" i="34"/>
  <c r="AA219" i="34"/>
  <c r="S219" i="34"/>
  <c r="L219" i="34"/>
  <c r="M219" i="34"/>
  <c r="AG218" i="34"/>
  <c r="AH218" i="34"/>
  <c r="Z218" i="34"/>
  <c r="AA218" i="34"/>
  <c r="S218" i="34"/>
  <c r="L218" i="34"/>
  <c r="M218" i="34"/>
  <c r="AG217" i="34"/>
  <c r="AH217" i="34"/>
  <c r="Z217" i="34"/>
  <c r="S217" i="34"/>
  <c r="T217" i="34"/>
  <c r="L217" i="34"/>
  <c r="M217" i="34"/>
  <c r="AG216" i="34"/>
  <c r="AH216" i="34"/>
  <c r="Z216" i="34"/>
  <c r="AA216" i="34"/>
  <c r="S216" i="34"/>
  <c r="L216" i="34"/>
  <c r="M216" i="34"/>
  <c r="AG215" i="34"/>
  <c r="AH215" i="34"/>
  <c r="Z215" i="34"/>
  <c r="AA215" i="34"/>
  <c r="S215" i="34"/>
  <c r="L215" i="34"/>
  <c r="M215" i="34"/>
  <c r="AG214" i="34"/>
  <c r="AH214" i="34"/>
  <c r="Z214" i="34"/>
  <c r="AA214" i="34"/>
  <c r="S214" i="34"/>
  <c r="L214" i="34"/>
  <c r="M214" i="34"/>
  <c r="AG213" i="34"/>
  <c r="AH213" i="34"/>
  <c r="Z213" i="34"/>
  <c r="S213" i="34"/>
  <c r="T213" i="34"/>
  <c r="L213" i="34"/>
  <c r="M213" i="34"/>
  <c r="AG212" i="34"/>
  <c r="AH212" i="34"/>
  <c r="Z212" i="34"/>
  <c r="AA212" i="34"/>
  <c r="S212" i="34"/>
  <c r="L212" i="34"/>
  <c r="M212" i="34"/>
  <c r="AG211" i="34"/>
  <c r="AH211" i="34"/>
  <c r="Z211" i="34"/>
  <c r="AA211" i="34"/>
  <c r="S211" i="34"/>
  <c r="L211" i="34"/>
  <c r="M211" i="34"/>
  <c r="AG210" i="34"/>
  <c r="AH210" i="34"/>
  <c r="Z210" i="34"/>
  <c r="AA210" i="34"/>
  <c r="S210" i="34"/>
  <c r="L210" i="34"/>
  <c r="M210" i="34"/>
  <c r="AG209" i="34"/>
  <c r="AH209" i="34"/>
  <c r="Z209" i="34"/>
  <c r="S209" i="34"/>
  <c r="T209" i="34"/>
  <c r="L209" i="34"/>
  <c r="M209" i="34"/>
  <c r="AG208" i="34"/>
  <c r="AH208" i="34"/>
  <c r="Z208" i="34"/>
  <c r="AA208" i="34"/>
  <c r="S208" i="34"/>
  <c r="L208" i="34"/>
  <c r="M208" i="34"/>
  <c r="AG207" i="34"/>
  <c r="AH207" i="34"/>
  <c r="Z207" i="34"/>
  <c r="AA207" i="34"/>
  <c r="S207" i="34"/>
  <c r="L207" i="34"/>
  <c r="M207" i="34"/>
  <c r="AG206" i="34"/>
  <c r="AH206" i="34"/>
  <c r="Z206" i="34"/>
  <c r="AA206" i="34"/>
  <c r="S206" i="34"/>
  <c r="L206" i="34"/>
  <c r="M206" i="34"/>
  <c r="AG205" i="34"/>
  <c r="AH205" i="34"/>
  <c r="Z205" i="34"/>
  <c r="S205" i="34"/>
  <c r="T205" i="34"/>
  <c r="L205" i="34"/>
  <c r="M205" i="34"/>
  <c r="AG204" i="34"/>
  <c r="AH204" i="34"/>
  <c r="Z204" i="34"/>
  <c r="AA204" i="34"/>
  <c r="S204" i="34"/>
  <c r="L204" i="34"/>
  <c r="M204" i="34"/>
  <c r="AG203" i="34"/>
  <c r="AH203" i="34"/>
  <c r="Z203" i="34"/>
  <c r="AA203" i="34"/>
  <c r="S203" i="34"/>
  <c r="T203" i="34"/>
  <c r="L203" i="34"/>
  <c r="M203" i="34"/>
  <c r="AG202" i="34"/>
  <c r="AH202" i="34"/>
  <c r="Z202" i="34"/>
  <c r="AA202" i="34"/>
  <c r="S202" i="34"/>
  <c r="L202" i="34"/>
  <c r="M202" i="34"/>
  <c r="AG201" i="34"/>
  <c r="AH201" i="34"/>
  <c r="Z201" i="34"/>
  <c r="S201" i="34"/>
  <c r="T201" i="34"/>
  <c r="L201" i="34"/>
  <c r="M201" i="34"/>
  <c r="AG200" i="34"/>
  <c r="AH200" i="34"/>
  <c r="Z200" i="34"/>
  <c r="AA200" i="34"/>
  <c r="S200" i="34"/>
  <c r="L200" i="34"/>
  <c r="M200" i="34"/>
  <c r="AG199" i="34"/>
  <c r="AH199" i="34"/>
  <c r="Z199" i="34"/>
  <c r="AA199" i="34"/>
  <c r="S199" i="34"/>
  <c r="L199" i="34"/>
  <c r="M199" i="34"/>
  <c r="AG198" i="34"/>
  <c r="AH198" i="34"/>
  <c r="Z198" i="34"/>
  <c r="AA198" i="34"/>
  <c r="S198" i="34"/>
  <c r="L198" i="34"/>
  <c r="M198" i="34"/>
  <c r="AG197" i="34"/>
  <c r="AH197" i="34"/>
  <c r="Z197" i="34"/>
  <c r="S197" i="34"/>
  <c r="T197" i="34"/>
  <c r="L197" i="34"/>
  <c r="M197" i="34"/>
  <c r="AG196" i="34"/>
  <c r="AH196" i="34"/>
  <c r="Z196" i="34"/>
  <c r="AA196" i="34"/>
  <c r="S196" i="34"/>
  <c r="L196" i="34"/>
  <c r="M196" i="34"/>
  <c r="AG195" i="34"/>
  <c r="AH195" i="34"/>
  <c r="Z195" i="34"/>
  <c r="AA195" i="34"/>
  <c r="S195" i="34"/>
  <c r="L195" i="34"/>
  <c r="M195" i="34"/>
  <c r="AG194" i="34"/>
  <c r="AH194" i="34"/>
  <c r="Z194" i="34"/>
  <c r="AA194" i="34"/>
  <c r="S194" i="34"/>
  <c r="L194" i="34"/>
  <c r="M194" i="34"/>
  <c r="AG193" i="34"/>
  <c r="AH193" i="34"/>
  <c r="Z193" i="34"/>
  <c r="S193" i="34"/>
  <c r="T193" i="34"/>
  <c r="L193" i="34"/>
  <c r="M193" i="34"/>
  <c r="AG192" i="34"/>
  <c r="AH192" i="34"/>
  <c r="Z192" i="34"/>
  <c r="AA192" i="34"/>
  <c r="S192" i="34"/>
  <c r="L192" i="34"/>
  <c r="M192" i="34"/>
  <c r="AG191" i="34"/>
  <c r="AH191" i="34"/>
  <c r="Z191" i="34"/>
  <c r="AA191" i="34"/>
  <c r="S191" i="34"/>
  <c r="L191" i="34"/>
  <c r="M191" i="34"/>
  <c r="AG190" i="34"/>
  <c r="AH190" i="34"/>
  <c r="Z190" i="34"/>
  <c r="AA190" i="34"/>
  <c r="S190" i="34"/>
  <c r="L190" i="34"/>
  <c r="M190" i="34"/>
  <c r="AG189" i="34"/>
  <c r="AH189" i="34"/>
  <c r="Z189" i="34"/>
  <c r="S189" i="34"/>
  <c r="T189" i="34"/>
  <c r="L189" i="34"/>
  <c r="M189" i="34"/>
  <c r="AG188" i="34"/>
  <c r="AH188" i="34"/>
  <c r="Z188" i="34"/>
  <c r="AA188" i="34"/>
  <c r="S188" i="34"/>
  <c r="L188" i="34"/>
  <c r="M188" i="34"/>
  <c r="AG187" i="34"/>
  <c r="AH187" i="34"/>
  <c r="Z187" i="34"/>
  <c r="AA187" i="34"/>
  <c r="S187" i="34"/>
  <c r="L187" i="34"/>
  <c r="M187" i="34"/>
  <c r="AG186" i="34"/>
  <c r="AH186" i="34"/>
  <c r="Z186" i="34"/>
  <c r="AA186" i="34"/>
  <c r="S186" i="34"/>
  <c r="L186" i="34"/>
  <c r="M186" i="34"/>
  <c r="AG185" i="34"/>
  <c r="AH185" i="34"/>
  <c r="Z185" i="34"/>
  <c r="S185" i="34"/>
  <c r="T185" i="34"/>
  <c r="L185" i="34"/>
  <c r="M185" i="34"/>
  <c r="AG184" i="34"/>
  <c r="AH184" i="34"/>
  <c r="Z184" i="34"/>
  <c r="AA184" i="34"/>
  <c r="S184" i="34"/>
  <c r="L184" i="34"/>
  <c r="M184" i="34"/>
  <c r="AG183" i="34"/>
  <c r="AH183" i="34"/>
  <c r="Z183" i="34"/>
  <c r="AA183" i="34"/>
  <c r="S183" i="34"/>
  <c r="L183" i="34"/>
  <c r="M183" i="34"/>
  <c r="AG182" i="34"/>
  <c r="AH182" i="34"/>
  <c r="Z182" i="34"/>
  <c r="AA182" i="34"/>
  <c r="S182" i="34"/>
  <c r="L182" i="34"/>
  <c r="M182" i="34"/>
  <c r="AG181" i="34"/>
  <c r="AH181" i="34"/>
  <c r="Z181" i="34"/>
  <c r="S181" i="34"/>
  <c r="T181" i="34"/>
  <c r="L181" i="34"/>
  <c r="M181" i="34"/>
  <c r="AG180" i="34"/>
  <c r="AH180" i="34"/>
  <c r="Z180" i="34"/>
  <c r="AA180" i="34"/>
  <c r="S180" i="34"/>
  <c r="T180" i="34"/>
  <c r="L180" i="34"/>
  <c r="M180" i="34"/>
  <c r="AG179" i="34"/>
  <c r="AH179" i="34"/>
  <c r="Z179" i="34"/>
  <c r="AA179" i="34"/>
  <c r="S179" i="34"/>
  <c r="L179" i="34"/>
  <c r="M179" i="34"/>
  <c r="AG178" i="34"/>
  <c r="AH178" i="34"/>
  <c r="Z178" i="34"/>
  <c r="AA178" i="34"/>
  <c r="S178" i="34"/>
  <c r="T178" i="34"/>
  <c r="L178" i="34"/>
  <c r="M178" i="34"/>
  <c r="AG177" i="34"/>
  <c r="AH177" i="34"/>
  <c r="Z177" i="34"/>
  <c r="AA177" i="34"/>
  <c r="S177" i="34"/>
  <c r="T177" i="34"/>
  <c r="L177" i="34"/>
  <c r="M177" i="34"/>
  <c r="AG176" i="34"/>
  <c r="AH176" i="34"/>
  <c r="Z176" i="34"/>
  <c r="AA176" i="34"/>
  <c r="S176" i="34"/>
  <c r="L176" i="34"/>
  <c r="M176" i="34"/>
  <c r="AG175" i="34"/>
  <c r="AH175" i="34"/>
  <c r="Z175" i="34"/>
  <c r="AA175" i="34"/>
  <c r="S175" i="34"/>
  <c r="L175" i="34"/>
  <c r="M175" i="34"/>
  <c r="AG174" i="34"/>
  <c r="AH174" i="34"/>
  <c r="Z174" i="34"/>
  <c r="AA174" i="34"/>
  <c r="S174" i="34"/>
  <c r="L174" i="34"/>
  <c r="M174" i="34"/>
  <c r="AG173" i="34"/>
  <c r="AH173" i="34"/>
  <c r="Z173" i="34"/>
  <c r="AA173" i="34"/>
  <c r="S173" i="34"/>
  <c r="T173" i="34"/>
  <c r="L173" i="34"/>
  <c r="M173" i="34"/>
  <c r="AG172" i="34"/>
  <c r="AH172" i="34"/>
  <c r="Z172" i="34"/>
  <c r="S172" i="34"/>
  <c r="T172" i="34"/>
  <c r="L172" i="34"/>
  <c r="M172" i="34"/>
  <c r="AG171" i="34"/>
  <c r="AH171" i="34"/>
  <c r="Z171" i="34"/>
  <c r="AA171" i="34"/>
  <c r="S171" i="34"/>
  <c r="T171" i="34"/>
  <c r="L171" i="34"/>
  <c r="M171" i="34"/>
  <c r="AG170" i="34"/>
  <c r="AH170" i="34"/>
  <c r="Z170" i="34"/>
  <c r="AA170" i="34"/>
  <c r="S170" i="34"/>
  <c r="L170" i="34"/>
  <c r="M170" i="34"/>
  <c r="AG169" i="34"/>
  <c r="AH169" i="34"/>
  <c r="Z169" i="34"/>
  <c r="AA169" i="34"/>
  <c r="S169" i="34"/>
  <c r="T169" i="34"/>
  <c r="L169" i="34"/>
  <c r="M169" i="34"/>
  <c r="AG168" i="34"/>
  <c r="AH168" i="34"/>
  <c r="Z168" i="34"/>
  <c r="S168" i="34"/>
  <c r="T168" i="34"/>
  <c r="L168" i="34"/>
  <c r="M168" i="34"/>
  <c r="AG167" i="34"/>
  <c r="AH167" i="34"/>
  <c r="Z167" i="34"/>
  <c r="AA167" i="34"/>
  <c r="S167" i="34"/>
  <c r="T167" i="34"/>
  <c r="L167" i="34"/>
  <c r="M167" i="34"/>
  <c r="AG166" i="34"/>
  <c r="AH166" i="34"/>
  <c r="Z166" i="34"/>
  <c r="AA166" i="34"/>
  <c r="S166" i="34"/>
  <c r="L166" i="34"/>
  <c r="M166" i="34"/>
  <c r="AG165" i="34"/>
  <c r="AH165" i="34"/>
  <c r="Z165" i="34"/>
  <c r="AA165" i="34"/>
  <c r="S165" i="34"/>
  <c r="T165" i="34"/>
  <c r="L165" i="34"/>
  <c r="M165" i="34"/>
  <c r="L164" i="34"/>
  <c r="M164" i="34"/>
  <c r="L163" i="34"/>
  <c r="M163" i="34"/>
  <c r="AG162" i="34"/>
  <c r="AH162" i="34"/>
  <c r="Z162" i="34"/>
  <c r="AA162" i="34"/>
  <c r="S162" i="34"/>
  <c r="L162" i="34"/>
  <c r="M162" i="34"/>
  <c r="AG161" i="34"/>
  <c r="AH161" i="34"/>
  <c r="Z161" i="34"/>
  <c r="AA161" i="34"/>
  <c r="S161" i="34"/>
  <c r="T161" i="34"/>
  <c r="L161" i="34"/>
  <c r="M161" i="34"/>
  <c r="AG160" i="34"/>
  <c r="AH160" i="34"/>
  <c r="Z160" i="34"/>
  <c r="S160" i="34"/>
  <c r="T160" i="34"/>
  <c r="L160" i="34"/>
  <c r="M160" i="34"/>
  <c r="AG159" i="34"/>
  <c r="AH159" i="34"/>
  <c r="Z159" i="34"/>
  <c r="AA159" i="34"/>
  <c r="S159" i="34"/>
  <c r="T159" i="34"/>
  <c r="L159" i="34"/>
  <c r="M159" i="34"/>
  <c r="AG158" i="34"/>
  <c r="AH158" i="34"/>
  <c r="Z158" i="34"/>
  <c r="AA158" i="34"/>
  <c r="S158" i="34"/>
  <c r="L158" i="34"/>
  <c r="M158" i="34"/>
  <c r="AG157" i="34"/>
  <c r="AH157" i="34"/>
  <c r="Z157" i="34"/>
  <c r="AA157" i="34"/>
  <c r="S157" i="34"/>
  <c r="T157" i="34"/>
  <c r="L157" i="34"/>
  <c r="M157" i="34"/>
  <c r="AG156" i="34"/>
  <c r="AH156" i="34"/>
  <c r="Z156" i="34"/>
  <c r="S156" i="34"/>
  <c r="T156" i="34"/>
  <c r="L156" i="34"/>
  <c r="M156" i="34"/>
  <c r="AG155" i="34"/>
  <c r="AH155" i="34"/>
  <c r="Z155" i="34"/>
  <c r="AA155" i="34"/>
  <c r="S155" i="34"/>
  <c r="T155" i="34"/>
  <c r="L155" i="34"/>
  <c r="M155" i="34"/>
  <c r="AG154" i="34"/>
  <c r="AH154" i="34"/>
  <c r="Z154" i="34"/>
  <c r="AA154" i="34"/>
  <c r="S154" i="34"/>
  <c r="L154" i="34"/>
  <c r="M154" i="34"/>
  <c r="AG153" i="34"/>
  <c r="AH153" i="34"/>
  <c r="Z153" i="34"/>
  <c r="AA153" i="34"/>
  <c r="S153" i="34"/>
  <c r="T153" i="34"/>
  <c r="L153" i="34"/>
  <c r="M153" i="34"/>
  <c r="AG152" i="34"/>
  <c r="AH152" i="34"/>
  <c r="Z152" i="34"/>
  <c r="S152" i="34"/>
  <c r="T152" i="34"/>
  <c r="L152" i="34"/>
  <c r="M152" i="34"/>
  <c r="AG151" i="34"/>
  <c r="AH151" i="34"/>
  <c r="Z151" i="34"/>
  <c r="AA151" i="34"/>
  <c r="S151" i="34"/>
  <c r="T151" i="34"/>
  <c r="L151" i="34"/>
  <c r="M151" i="34"/>
  <c r="AG150" i="34"/>
  <c r="AH150" i="34"/>
  <c r="Z150" i="34"/>
  <c r="AA150" i="34"/>
  <c r="S150" i="34"/>
  <c r="L150" i="34"/>
  <c r="M150" i="34"/>
  <c r="AG149" i="34"/>
  <c r="AH149" i="34"/>
  <c r="Z149" i="34"/>
  <c r="AA149" i="34"/>
  <c r="S149" i="34"/>
  <c r="T149" i="34"/>
  <c r="L149" i="34"/>
  <c r="M149" i="34"/>
  <c r="AG148" i="34"/>
  <c r="AH148" i="34"/>
  <c r="Z148" i="34"/>
  <c r="S148" i="34"/>
  <c r="T148" i="34"/>
  <c r="L148" i="34"/>
  <c r="M148" i="34"/>
  <c r="AG147" i="34"/>
  <c r="AH147" i="34"/>
  <c r="Z147" i="34"/>
  <c r="AA147" i="34"/>
  <c r="S147" i="34"/>
  <c r="T147" i="34"/>
  <c r="L147" i="34"/>
  <c r="M147" i="34"/>
  <c r="AG146" i="34"/>
  <c r="AH146" i="34"/>
  <c r="Z146" i="34"/>
  <c r="AA146" i="34"/>
  <c r="S146" i="34"/>
  <c r="L146" i="34"/>
  <c r="M146" i="34"/>
  <c r="AG145" i="34"/>
  <c r="AH145" i="34"/>
  <c r="Z145" i="34"/>
  <c r="AA145" i="34"/>
  <c r="S145" i="34"/>
  <c r="T145" i="34"/>
  <c r="L145" i="34"/>
  <c r="M145" i="34"/>
  <c r="AG144" i="34"/>
  <c r="AH144" i="34"/>
  <c r="Z144" i="34"/>
  <c r="S144" i="34"/>
  <c r="T144" i="34"/>
  <c r="L144" i="34"/>
  <c r="M144" i="34"/>
  <c r="AG143" i="34"/>
  <c r="AH143" i="34"/>
  <c r="Z143" i="34"/>
  <c r="AA143" i="34"/>
  <c r="S143" i="34"/>
  <c r="T143" i="34"/>
  <c r="L143" i="34"/>
  <c r="M143" i="34"/>
  <c r="AG142" i="34"/>
  <c r="AH142" i="34"/>
  <c r="Z142" i="34"/>
  <c r="AA142" i="34"/>
  <c r="S142" i="34"/>
  <c r="L142" i="34"/>
  <c r="M142" i="34"/>
  <c r="AG141" i="34"/>
  <c r="AH141" i="34"/>
  <c r="Z141" i="34"/>
  <c r="AA141" i="34"/>
  <c r="S141" i="34"/>
  <c r="T141" i="34"/>
  <c r="L141" i="34"/>
  <c r="M141" i="34"/>
  <c r="AG140" i="34"/>
  <c r="AH140" i="34"/>
  <c r="Z140" i="34"/>
  <c r="S140" i="34"/>
  <c r="T140" i="34"/>
  <c r="L140" i="34"/>
  <c r="M140" i="34"/>
  <c r="AG139" i="34"/>
  <c r="AH139" i="34"/>
  <c r="Z139" i="34"/>
  <c r="AA139" i="34"/>
  <c r="S139" i="34"/>
  <c r="T139" i="34"/>
  <c r="L139" i="34"/>
  <c r="M139" i="34"/>
  <c r="AG138" i="34"/>
  <c r="AH138" i="34"/>
  <c r="Z138" i="34"/>
  <c r="AA138" i="34"/>
  <c r="S138" i="34"/>
  <c r="L138" i="34"/>
  <c r="M138" i="34"/>
  <c r="AG137" i="34"/>
  <c r="AH137" i="34"/>
  <c r="Z137" i="34"/>
  <c r="AA137" i="34"/>
  <c r="S137" i="34"/>
  <c r="T137" i="34"/>
  <c r="L137" i="34"/>
  <c r="M137" i="34"/>
  <c r="AG136" i="34"/>
  <c r="AH136" i="34"/>
  <c r="Z136" i="34"/>
  <c r="S136" i="34"/>
  <c r="T136" i="34"/>
  <c r="L136" i="34"/>
  <c r="AG135" i="34"/>
  <c r="AH135" i="34"/>
  <c r="Z135" i="34"/>
  <c r="AA135" i="34"/>
  <c r="S135" i="34"/>
  <c r="L135" i="34"/>
  <c r="AG134" i="34"/>
  <c r="AH134" i="34"/>
  <c r="Z134" i="34"/>
  <c r="AA134" i="34"/>
  <c r="S134" i="34"/>
  <c r="L134" i="34"/>
  <c r="AG133" i="34"/>
  <c r="AH133" i="34"/>
  <c r="Z133" i="34"/>
  <c r="S133" i="34"/>
  <c r="T133" i="34"/>
  <c r="L133" i="34"/>
  <c r="G193" i="55" a="1"/>
  <c r="G193" i="55"/>
  <c r="L132" i="34"/>
  <c r="M132" i="34"/>
  <c r="L131" i="34"/>
  <c r="M131" i="34"/>
  <c r="AG130" i="34"/>
  <c r="AH130" i="34"/>
  <c r="Z130" i="34"/>
  <c r="S130" i="34"/>
  <c r="L130" i="34"/>
  <c r="G169" i="55" a="1"/>
  <c r="G169" i="55"/>
  <c r="G187" i="55" a="1"/>
  <c r="G187" i="55"/>
  <c r="M134" i="34"/>
  <c r="H188" i="55" a="1"/>
  <c r="H188" i="55"/>
  <c r="G188" i="55" a="1"/>
  <c r="G188" i="55"/>
  <c r="M135" i="34"/>
  <c r="H201" i="55" a="1"/>
  <c r="H201" i="55"/>
  <c r="G201" i="55" a="1"/>
  <c r="G201" i="55"/>
  <c r="M136" i="34"/>
  <c r="H230" i="55" a="1"/>
  <c r="H230" i="55"/>
  <c r="G230" i="55" a="1"/>
  <c r="G230" i="55"/>
  <c r="M133" i="34"/>
  <c r="G238" i="55" a="1"/>
  <c r="G238" i="55"/>
  <c r="G244" i="55" a="1"/>
  <c r="G244" i="55"/>
  <c r="G166" i="55" a="1"/>
  <c r="G166" i="55"/>
  <c r="G173" i="55" a="1"/>
  <c r="G173" i="55"/>
  <c r="G180" i="55" a="1"/>
  <c r="G180" i="55"/>
  <c r="G178" i="55" a="1"/>
  <c r="G178" i="55"/>
  <c r="G179" i="55" a="1"/>
  <c r="G179" i="55"/>
  <c r="G176" i="55" a="1"/>
  <c r="G176" i="55"/>
  <c r="G177" i="55" a="1"/>
  <c r="G177" i="55"/>
  <c r="G174" i="55" a="1"/>
  <c r="G174" i="55"/>
  <c r="G175" i="55" a="1"/>
  <c r="G175" i="55"/>
  <c r="M130" i="34"/>
  <c r="G172" i="55" a="1"/>
  <c r="G172" i="55"/>
  <c r="AH103" i="22"/>
  <c r="AH29" i="22"/>
  <c r="AI32" i="22"/>
  <c r="AH28" i="22"/>
  <c r="I610" i="35"/>
  <c r="I438" i="35"/>
  <c r="I264" i="35"/>
  <c r="I695" i="35"/>
  <c r="I524" i="35"/>
  <c r="I350" i="35"/>
  <c r="I92" i="35"/>
  <c r="AH117" i="22"/>
  <c r="AH121" i="22"/>
  <c r="AH125" i="22"/>
  <c r="AH129" i="22"/>
  <c r="AH51" i="22"/>
  <c r="AH47" i="22"/>
  <c r="AH56" i="22"/>
  <c r="AH53" i="22"/>
  <c r="AH25" i="22"/>
  <c r="AH27" i="22"/>
  <c r="AH24" i="22"/>
  <c r="AH23" i="22"/>
  <c r="Z24" i="22"/>
  <c r="AI24" i="22"/>
  <c r="Z28" i="22"/>
  <c r="AI28" i="22"/>
  <c r="AH48" i="22"/>
  <c r="AH57" i="22"/>
  <c r="AH118" i="22"/>
  <c r="AH26" i="22"/>
  <c r="AH30" i="22"/>
  <c r="AH32" i="22"/>
  <c r="AH33" i="22"/>
  <c r="S48" i="22"/>
  <c r="AI48" i="22"/>
  <c r="AH50" i="22"/>
  <c r="AH52" i="22"/>
  <c r="AH54" i="22"/>
  <c r="AH59" i="22"/>
  <c r="S118" i="22"/>
  <c r="AI118" i="22"/>
  <c r="AI119" i="22"/>
  <c r="AH123" i="22"/>
  <c r="AI127" i="22"/>
  <c r="AI26" i="22"/>
  <c r="AI30" i="22"/>
  <c r="AI50" i="22"/>
  <c r="AI52" i="22"/>
  <c r="AI54" i="22"/>
  <c r="AH49" i="22"/>
  <c r="AH55" i="22"/>
  <c r="S56" i="22"/>
  <c r="AI56" i="22"/>
  <c r="AH58" i="22"/>
  <c r="AH60" i="22"/>
  <c r="S103" i="22"/>
  <c r="AI103" i="22"/>
  <c r="AH120" i="22"/>
  <c r="AH124" i="22"/>
  <c r="AH128" i="22"/>
  <c r="AA130" i="34"/>
  <c r="AI131" i="34"/>
  <c r="T131" i="34"/>
  <c r="AJ131" i="34"/>
  <c r="AI122" i="22"/>
  <c r="AI126" i="22"/>
  <c r="AI130" i="22"/>
  <c r="AH119" i="22"/>
  <c r="Z123" i="22"/>
  <c r="AI123" i="22"/>
  <c r="S125" i="22"/>
  <c r="AI125" i="22"/>
  <c r="AH126" i="22"/>
  <c r="S129" i="22"/>
  <c r="AI129" i="22"/>
  <c r="AH130" i="22"/>
  <c r="AH127" i="22"/>
  <c r="S117" i="22"/>
  <c r="AI117" i="22"/>
  <c r="S121" i="22"/>
  <c r="AI121" i="22"/>
  <c r="AH122" i="22"/>
  <c r="S120" i="22"/>
  <c r="AI120" i="22"/>
  <c r="S124" i="22"/>
  <c r="AI124" i="22"/>
  <c r="S128" i="22"/>
  <c r="AI128" i="22"/>
  <c r="AI58" i="22"/>
  <c r="AI49" i="22"/>
  <c r="AI60" i="22"/>
  <c r="S47" i="22"/>
  <c r="AI47" i="22"/>
  <c r="S51" i="22"/>
  <c r="AI51" i="22"/>
  <c r="Z53" i="22"/>
  <c r="AI53" i="22"/>
  <c r="S55" i="22"/>
  <c r="AI55" i="22"/>
  <c r="Z57" i="22"/>
  <c r="AI57" i="22"/>
  <c r="S59" i="22"/>
  <c r="AI59" i="22"/>
  <c r="AI31" i="22"/>
  <c r="AH31" i="22"/>
  <c r="Z23" i="22"/>
  <c r="AI23" i="22"/>
  <c r="S25" i="22"/>
  <c r="AI25" i="22"/>
  <c r="Z27" i="22"/>
  <c r="AI27" i="22"/>
  <c r="S29" i="22"/>
  <c r="AI29" i="22"/>
  <c r="S33" i="22"/>
  <c r="AI33" i="22"/>
  <c r="AJ132" i="34"/>
  <c r="AI132" i="34"/>
  <c r="AI193" i="34"/>
  <c r="AI201" i="34"/>
  <c r="AI197" i="34"/>
  <c r="AI192" i="34"/>
  <c r="AI205" i="34"/>
  <c r="AI207" i="34"/>
  <c r="AI213" i="34"/>
  <c r="AI195" i="34"/>
  <c r="AI199" i="34"/>
  <c r="AI203" i="34"/>
  <c r="AA205" i="34"/>
  <c r="AJ205" i="34"/>
  <c r="T207" i="34"/>
  <c r="AJ207" i="34"/>
  <c r="AA213" i="34"/>
  <c r="AJ213" i="34"/>
  <c r="AI211" i="34"/>
  <c r="AI217" i="34"/>
  <c r="AA193" i="34"/>
  <c r="AJ193" i="34"/>
  <c r="T195" i="34"/>
  <c r="AJ195" i="34"/>
  <c r="AA197" i="34"/>
  <c r="AJ197" i="34"/>
  <c r="T199" i="34"/>
  <c r="AJ199" i="34"/>
  <c r="AA201" i="34"/>
  <c r="AJ201" i="34"/>
  <c r="AI187" i="34"/>
  <c r="AI130" i="34"/>
  <c r="AI183" i="34"/>
  <c r="AI185" i="34"/>
  <c r="AI189" i="34"/>
  <c r="AI209" i="34"/>
  <c r="AI176" i="34"/>
  <c r="AI191" i="34"/>
  <c r="AA209" i="34"/>
  <c r="AJ209" i="34"/>
  <c r="AI215" i="34"/>
  <c r="AI219" i="34"/>
  <c r="AI223" i="34"/>
  <c r="AI227" i="34"/>
  <c r="AI181" i="34"/>
  <c r="AI140" i="34"/>
  <c r="AI148" i="34"/>
  <c r="AI156" i="34"/>
  <c r="AI135" i="34"/>
  <c r="AI175" i="34"/>
  <c r="AJ221" i="34"/>
  <c r="AJ225" i="34"/>
  <c r="AJ177" i="34"/>
  <c r="AI136" i="34"/>
  <c r="AI144" i="34"/>
  <c r="AI152" i="34"/>
  <c r="AI160" i="34"/>
  <c r="AI168" i="34"/>
  <c r="AI172" i="34"/>
  <c r="AI184" i="34"/>
  <c r="AI188" i="34"/>
  <c r="AJ203" i="34"/>
  <c r="T211" i="34"/>
  <c r="AJ211" i="34"/>
  <c r="T215" i="34"/>
  <c r="AJ215" i="34"/>
  <c r="AA217" i="34"/>
  <c r="AJ217" i="34"/>
  <c r="T219" i="34"/>
  <c r="AJ219" i="34"/>
  <c r="T223" i="34"/>
  <c r="AJ223" i="34"/>
  <c r="T227" i="34"/>
  <c r="AJ227" i="34"/>
  <c r="AI134" i="34"/>
  <c r="AI138" i="34"/>
  <c r="AI142" i="34"/>
  <c r="AI146" i="34"/>
  <c r="AI150" i="34"/>
  <c r="AI179" i="34"/>
  <c r="AI186" i="34"/>
  <c r="AI190" i="34"/>
  <c r="AI194" i="34"/>
  <c r="AI198" i="34"/>
  <c r="AI202" i="34"/>
  <c r="AI206" i="34"/>
  <c r="AI210" i="34"/>
  <c r="AI214" i="34"/>
  <c r="AI218" i="34"/>
  <c r="AI221" i="34"/>
  <c r="AI222" i="34"/>
  <c r="AI225" i="34"/>
  <c r="AI226" i="34"/>
  <c r="AI229" i="34"/>
  <c r="AI230" i="34"/>
  <c r="AI133" i="34"/>
  <c r="AJ137" i="34"/>
  <c r="AJ141" i="34"/>
  <c r="AJ145" i="34"/>
  <c r="AJ149" i="34"/>
  <c r="AJ153" i="34"/>
  <c r="AJ157" i="34"/>
  <c r="AJ161" i="34"/>
  <c r="AJ165" i="34"/>
  <c r="AJ169" i="34"/>
  <c r="AJ173" i="34"/>
  <c r="AJ229" i="34"/>
  <c r="AI196" i="34"/>
  <c r="AI200" i="34"/>
  <c r="AI204" i="34"/>
  <c r="AI208" i="34"/>
  <c r="AI212" i="34"/>
  <c r="AI216" i="34"/>
  <c r="AI220" i="34"/>
  <c r="AI224" i="34"/>
  <c r="AI228" i="34"/>
  <c r="AI154" i="34"/>
  <c r="AI158" i="34"/>
  <c r="AI162" i="34"/>
  <c r="AI166" i="34"/>
  <c r="AI170" i="34"/>
  <c r="AI174" i="34"/>
  <c r="T175" i="34"/>
  <c r="AJ175" i="34"/>
  <c r="AI177" i="34"/>
  <c r="AA181" i="34"/>
  <c r="AJ181" i="34"/>
  <c r="T183" i="34"/>
  <c r="AJ183" i="34"/>
  <c r="AA185" i="34"/>
  <c r="AJ185" i="34"/>
  <c r="T187" i="34"/>
  <c r="AJ187" i="34"/>
  <c r="AA189" i="34"/>
  <c r="AJ189" i="34"/>
  <c r="T191" i="34"/>
  <c r="AJ191" i="34"/>
  <c r="AJ139" i="34"/>
  <c r="AJ143" i="34"/>
  <c r="AJ151" i="34"/>
  <c r="AJ155" i="34"/>
  <c r="AJ159" i="34"/>
  <c r="AJ167" i="34"/>
  <c r="AJ171" i="34"/>
  <c r="AJ178" i="34"/>
  <c r="AJ147" i="34"/>
  <c r="AA133" i="34"/>
  <c r="AJ133" i="34"/>
  <c r="T135" i="34"/>
  <c r="AJ135" i="34"/>
  <c r="T130" i="34"/>
  <c r="T134" i="34"/>
  <c r="AJ134" i="34"/>
  <c r="AA136" i="34"/>
  <c r="AJ136" i="34"/>
  <c r="T138" i="34"/>
  <c r="AJ138" i="34"/>
  <c r="AI139" i="34"/>
  <c r="AA140" i="34"/>
  <c r="AJ140" i="34"/>
  <c r="T142" i="34"/>
  <c r="AJ142" i="34"/>
  <c r="AI143" i="34"/>
  <c r="AA144" i="34"/>
  <c r="AJ144" i="34"/>
  <c r="T146" i="34"/>
  <c r="AJ146" i="34"/>
  <c r="AI147" i="34"/>
  <c r="AA148" i="34"/>
  <c r="AJ148" i="34"/>
  <c r="T150" i="34"/>
  <c r="AJ150" i="34"/>
  <c r="AI151" i="34"/>
  <c r="AA152" i="34"/>
  <c r="AJ152" i="34"/>
  <c r="T154" i="34"/>
  <c r="AJ154" i="34"/>
  <c r="AI155" i="34"/>
  <c r="AA156" i="34"/>
  <c r="AJ156" i="34"/>
  <c r="T158" i="34"/>
  <c r="AJ158" i="34"/>
  <c r="AI159" i="34"/>
  <c r="AA160" i="34"/>
  <c r="AJ160" i="34"/>
  <c r="T162" i="34"/>
  <c r="AJ162" i="34"/>
  <c r="T166" i="34"/>
  <c r="AJ166" i="34"/>
  <c r="AI167" i="34"/>
  <c r="AA168" i="34"/>
  <c r="AJ168" i="34"/>
  <c r="T170" i="34"/>
  <c r="AJ170" i="34"/>
  <c r="AI171" i="34"/>
  <c r="AA172" i="34"/>
  <c r="AJ172" i="34"/>
  <c r="T174" i="34"/>
  <c r="AJ174" i="34"/>
  <c r="T179" i="34"/>
  <c r="AJ179" i="34"/>
  <c r="AJ180" i="34"/>
  <c r="AI182" i="34"/>
  <c r="T182" i="34"/>
  <c r="AJ182" i="34"/>
  <c r="AI137" i="34"/>
  <c r="AI141" i="34"/>
  <c r="AI145" i="34"/>
  <c r="AI149" i="34"/>
  <c r="AI153" i="34"/>
  <c r="AI157" i="34"/>
  <c r="AI161" i="34"/>
  <c r="AI165" i="34"/>
  <c r="AI169" i="34"/>
  <c r="AI173" i="34"/>
  <c r="AI178" i="34"/>
  <c r="T176" i="34"/>
  <c r="AJ176" i="34"/>
  <c r="AI180" i="34"/>
  <c r="T186" i="34"/>
  <c r="AJ186" i="34"/>
  <c r="T190" i="34"/>
  <c r="AJ190" i="34"/>
  <c r="T194" i="34"/>
  <c r="AJ194" i="34"/>
  <c r="T198" i="34"/>
  <c r="AJ198" i="34"/>
  <c r="T202" i="34"/>
  <c r="AJ202" i="34"/>
  <c r="T206" i="34"/>
  <c r="AJ206" i="34"/>
  <c r="T210" i="34"/>
  <c r="AJ210" i="34"/>
  <c r="T214" i="34"/>
  <c r="AJ214" i="34"/>
  <c r="T218" i="34"/>
  <c r="AJ218" i="34"/>
  <c r="T222" i="34"/>
  <c r="AJ222" i="34"/>
  <c r="T226" i="34"/>
  <c r="AJ226" i="34"/>
  <c r="T230" i="34"/>
  <c r="AJ230" i="34"/>
  <c r="T184" i="34"/>
  <c r="AJ184" i="34"/>
  <c r="T188" i="34"/>
  <c r="AJ188" i="34"/>
  <c r="T192" i="34"/>
  <c r="AJ192" i="34"/>
  <c r="T196" i="34"/>
  <c r="AJ196" i="34"/>
  <c r="T200" i="34"/>
  <c r="AJ200" i="34"/>
  <c r="T204" i="34"/>
  <c r="AJ204" i="34"/>
  <c r="T208" i="34"/>
  <c r="AJ208" i="34"/>
  <c r="T212" i="34"/>
  <c r="AJ212" i="34"/>
  <c r="T216" i="34"/>
  <c r="AJ216" i="34"/>
  <c r="T220" i="34"/>
  <c r="AJ220" i="34"/>
  <c r="T224" i="34"/>
  <c r="AJ224" i="34"/>
  <c r="T228" i="34"/>
  <c r="AJ228" i="34"/>
  <c r="H187" i="55" a="1"/>
  <c r="H187" i="55"/>
  <c r="H238" i="55" a="1"/>
  <c r="H238" i="55"/>
  <c r="H193" i="55" a="1"/>
  <c r="H193" i="55"/>
  <c r="H166" i="55" a="1"/>
  <c r="H166" i="55"/>
  <c r="H169" i="55" a="1"/>
  <c r="H169" i="55"/>
  <c r="H180" i="55" a="1"/>
  <c r="H180" i="55"/>
  <c r="H244" i="55" a="1"/>
  <c r="H244" i="55"/>
  <c r="H179" i="55" a="1"/>
  <c r="H179" i="55"/>
  <c r="H173" i="55" a="1"/>
  <c r="H173" i="55"/>
  <c r="H177" i="55" a="1"/>
  <c r="H177" i="55"/>
  <c r="H178" i="55" a="1"/>
  <c r="H178" i="55"/>
  <c r="H175" i="55" a="1"/>
  <c r="H175" i="55"/>
  <c r="H176" i="55" a="1"/>
  <c r="H176" i="55"/>
  <c r="H172" i="55" a="1"/>
  <c r="H172" i="55"/>
  <c r="H174" i="55" a="1"/>
  <c r="H174" i="55"/>
  <c r="AU19" i="34"/>
  <c r="K610" i="35"/>
  <c r="K695" i="35"/>
  <c r="K524" i="35"/>
  <c r="K438" i="35"/>
  <c r="K350" i="35"/>
  <c r="K264" i="35"/>
  <c r="K92" i="35"/>
  <c r="AJ130" i="34"/>
  <c r="G278" i="62" a="1"/>
  <c r="G278" i="62"/>
  <c r="G242" i="62" a="1"/>
  <c r="G242" i="62"/>
  <c r="BH20" i="34"/>
  <c r="BB20" i="34"/>
  <c r="AX20" i="34"/>
  <c r="BG20" i="34"/>
  <c r="BD20" i="34"/>
  <c r="BE20" i="34"/>
  <c r="BC20" i="34"/>
  <c r="AZ20" i="34"/>
  <c r="BA20" i="34"/>
  <c r="AY20" i="34"/>
  <c r="BF20" i="34"/>
  <c r="AJ116" i="22"/>
  <c r="AJ115" i="22"/>
  <c r="AJ114" i="22"/>
  <c r="AJ113" i="22"/>
  <c r="AJ112" i="22"/>
  <c r="K613" i="35"/>
  <c r="AU24" i="34"/>
  <c r="S353" i="35"/>
  <c r="S698" i="35"/>
  <c r="S267" i="35"/>
  <c r="S613" i="35"/>
  <c r="S95" i="35"/>
  <c r="S527" i="35"/>
  <c r="S441" i="35"/>
  <c r="R613" i="35"/>
  <c r="R267" i="35"/>
  <c r="R698" i="35"/>
  <c r="R527" i="35"/>
  <c r="R95" i="35"/>
  <c r="R441" i="35"/>
  <c r="R353" i="35"/>
  <c r="N95" i="35"/>
  <c r="N441" i="35"/>
  <c r="N267" i="35"/>
  <c r="N527" i="35"/>
  <c r="N613" i="35"/>
  <c r="N698" i="35"/>
  <c r="N353" i="35"/>
  <c r="H95" i="35"/>
  <c r="H698" i="35"/>
  <c r="H441" i="35"/>
  <c r="H527" i="35"/>
  <c r="H267" i="35"/>
  <c r="H613" i="35"/>
  <c r="H353" i="35"/>
  <c r="Q613" i="35"/>
  <c r="Q527" i="35"/>
  <c r="Q95" i="35"/>
  <c r="Q698" i="35"/>
  <c r="Q441" i="35"/>
  <c r="Q353" i="35"/>
  <c r="Q267" i="35"/>
  <c r="M441" i="35"/>
  <c r="M613" i="35"/>
  <c r="M698" i="35"/>
  <c r="M353" i="35"/>
  <c r="M95" i="35"/>
  <c r="M267" i="35"/>
  <c r="M527" i="35"/>
  <c r="L527" i="35"/>
  <c r="L95" i="35"/>
  <c r="L698" i="35"/>
  <c r="L267" i="35"/>
  <c r="L441" i="35"/>
  <c r="L353" i="35"/>
  <c r="L613" i="35"/>
  <c r="P698" i="35"/>
  <c r="P353" i="35"/>
  <c r="P95" i="35"/>
  <c r="P613" i="35"/>
  <c r="P267" i="35"/>
  <c r="P527" i="35"/>
  <c r="P441" i="35"/>
  <c r="AF116" i="22"/>
  <c r="AG116" i="22"/>
  <c r="Y116" i="22"/>
  <c r="Z116" i="22"/>
  <c r="R116" i="22"/>
  <c r="K116" i="22"/>
  <c r="L116" i="22"/>
  <c r="AF115" i="22"/>
  <c r="AG115" i="22"/>
  <c r="Y115" i="22"/>
  <c r="Z115" i="22"/>
  <c r="R115" i="22"/>
  <c r="S115" i="22"/>
  <c r="K115" i="22"/>
  <c r="L115" i="22"/>
  <c r="AF114" i="22"/>
  <c r="AG114" i="22"/>
  <c r="Y114" i="22"/>
  <c r="R114" i="22"/>
  <c r="S114" i="22"/>
  <c r="K114" i="22"/>
  <c r="L114" i="22"/>
  <c r="AF113" i="22"/>
  <c r="AG113" i="22"/>
  <c r="Y113" i="22"/>
  <c r="Z113" i="22"/>
  <c r="R113" i="22"/>
  <c r="S113" i="22"/>
  <c r="K113" i="22"/>
  <c r="L113" i="22"/>
  <c r="AF112" i="22"/>
  <c r="AG112" i="22"/>
  <c r="Y112" i="22"/>
  <c r="Z112" i="22"/>
  <c r="R112" i="22"/>
  <c r="K112" i="22"/>
  <c r="L112" i="22"/>
  <c r="I267" i="35"/>
  <c r="I527" i="35"/>
  <c r="I353" i="35"/>
  <c r="I95" i="35"/>
  <c r="I613" i="35"/>
  <c r="I441" i="35"/>
  <c r="I698" i="35"/>
  <c r="K441" i="35"/>
  <c r="K267" i="35"/>
  <c r="K95" i="35"/>
  <c r="K698" i="35"/>
  <c r="K527" i="35"/>
  <c r="K353" i="35"/>
  <c r="G527" i="35"/>
  <c r="G95" i="35"/>
  <c r="AU20" i="34"/>
  <c r="G353" i="35"/>
  <c r="G441" i="35"/>
  <c r="G698" i="35"/>
  <c r="G267" i="35"/>
  <c r="G613" i="35"/>
  <c r="AH112" i="22"/>
  <c r="AI113" i="22"/>
  <c r="AH114" i="22"/>
  <c r="S112" i="22"/>
  <c r="AI112" i="22"/>
  <c r="Z114" i="22"/>
  <c r="AI114" i="22"/>
  <c r="AH116" i="22"/>
  <c r="S116" i="22"/>
  <c r="AI116" i="22"/>
  <c r="AI115" i="22"/>
  <c r="AH115" i="22"/>
  <c r="AH113" i="22"/>
  <c r="AJ46" i="22"/>
  <c r="AJ45" i="22"/>
  <c r="AJ44" i="22"/>
  <c r="AJ43" i="22"/>
  <c r="AJ42" i="22"/>
  <c r="K46" i="22"/>
  <c r="L46" i="22"/>
  <c r="K45" i="22"/>
  <c r="L45" i="22"/>
  <c r="K44" i="22"/>
  <c r="L44" i="22"/>
  <c r="K43" i="22"/>
  <c r="L43" i="22"/>
  <c r="K42" i="22"/>
  <c r="L42" i="22"/>
  <c r="K22" i="22"/>
  <c r="L22" i="22"/>
  <c r="K21" i="22"/>
  <c r="L21" i="22"/>
  <c r="K20" i="22"/>
  <c r="L20" i="22"/>
  <c r="K19" i="22"/>
  <c r="L19" i="22"/>
  <c r="K18" i="22"/>
  <c r="L18" i="22"/>
  <c r="K17" i="22"/>
  <c r="L17" i="22"/>
  <c r="K16" i="22"/>
  <c r="L16" i="22"/>
  <c r="K15" i="22"/>
  <c r="L15" i="22"/>
  <c r="AK192" i="15"/>
  <c r="AK191" i="15"/>
  <c r="AK190" i="15"/>
  <c r="AK189" i="15"/>
  <c r="AK188" i="15"/>
  <c r="AK187" i="15"/>
  <c r="AK186" i="15"/>
  <c r="AK185" i="15"/>
  <c r="AK184" i="15"/>
  <c r="AK183" i="15"/>
  <c r="AK182" i="15"/>
  <c r="AK181" i="15"/>
  <c r="AK180" i="15"/>
  <c r="AK179" i="15"/>
  <c r="AK178" i="15"/>
  <c r="AK177" i="15"/>
  <c r="AK176" i="15"/>
  <c r="AK175" i="15"/>
  <c r="AK174" i="15"/>
  <c r="AK173" i="15"/>
  <c r="AK172" i="15"/>
  <c r="AK171" i="15"/>
  <c r="AK170" i="15"/>
  <c r="AK169" i="15"/>
  <c r="AK168" i="15"/>
  <c r="AK167" i="15"/>
  <c r="AK166" i="15"/>
  <c r="AK165" i="15"/>
  <c r="AK164" i="15"/>
  <c r="AK163" i="15"/>
  <c r="AK162" i="15"/>
  <c r="AK161" i="15"/>
  <c r="AK160" i="15"/>
  <c r="AK159" i="15"/>
  <c r="AK158" i="15"/>
  <c r="AK157" i="15"/>
  <c r="AK156" i="15"/>
  <c r="AK155" i="15"/>
  <c r="AK154" i="15"/>
  <c r="AK153" i="15"/>
  <c r="AK152" i="15"/>
  <c r="AK151" i="15"/>
  <c r="AK150" i="15"/>
  <c r="AK149" i="15"/>
  <c r="AK148" i="15"/>
  <c r="AK147" i="15"/>
  <c r="AK146" i="15"/>
  <c r="AK145" i="15"/>
  <c r="AK144" i="15"/>
  <c r="AK143" i="15"/>
  <c r="AK142" i="15"/>
  <c r="AK141" i="15"/>
  <c r="AK140" i="15"/>
  <c r="AK139" i="15"/>
  <c r="AK138" i="15"/>
  <c r="AK137" i="15"/>
  <c r="AK136" i="15"/>
  <c r="AK135" i="15"/>
  <c r="AK134" i="15"/>
  <c r="AK133" i="15"/>
  <c r="AK132" i="15"/>
  <c r="AK131" i="15"/>
  <c r="AK130" i="15"/>
  <c r="AK129" i="15"/>
  <c r="AK128" i="15"/>
  <c r="AK127" i="15"/>
  <c r="AK126" i="15"/>
  <c r="AK125" i="15"/>
  <c r="AK124" i="15"/>
  <c r="AK123" i="15"/>
  <c r="AK122" i="15"/>
  <c r="AK121" i="15"/>
  <c r="AK120" i="15"/>
  <c r="AK119" i="15"/>
  <c r="AK118" i="15"/>
  <c r="AK117" i="15"/>
  <c r="AK116" i="15"/>
  <c r="AK115" i="15"/>
  <c r="AK114" i="15"/>
  <c r="AK113" i="15"/>
  <c r="AK112" i="15"/>
  <c r="AK111" i="15"/>
  <c r="AK110" i="15"/>
  <c r="S448" i="35"/>
  <c r="P534" i="35"/>
  <c r="K619" i="35"/>
  <c r="H448" i="35"/>
  <c r="Q546" i="35"/>
  <c r="R546" i="35"/>
  <c r="S546" i="35"/>
  <c r="R549" i="35"/>
  <c r="S549" i="35"/>
  <c r="P546" i="35"/>
  <c r="Q549" i="35"/>
  <c r="N546" i="35"/>
  <c r="P549" i="35"/>
  <c r="M546" i="35"/>
  <c r="N549" i="35"/>
  <c r="L546" i="35"/>
  <c r="K546" i="35"/>
  <c r="I546" i="35"/>
  <c r="I547" i="35"/>
  <c r="BF17" i="17"/>
  <c r="BG17" i="17"/>
  <c r="BH17" i="17"/>
  <c r="S640" i="35"/>
  <c r="BE17" i="17"/>
  <c r="BD17" i="17"/>
  <c r="BC17" i="17"/>
  <c r="BB17" i="17"/>
  <c r="L555" i="35"/>
  <c r="BA17" i="17"/>
  <c r="AZ17" i="17"/>
  <c r="AY17" i="17"/>
  <c r="H555" i="35"/>
  <c r="R537" i="35"/>
  <c r="P622" i="35"/>
  <c r="N537" i="35"/>
  <c r="M19" i="35"/>
  <c r="K451" i="35"/>
  <c r="I622" i="35"/>
  <c r="G537" i="35"/>
  <c r="F622" i="35"/>
  <c r="F621" i="35"/>
  <c r="S540" i="35"/>
  <c r="S539" i="35"/>
  <c r="R194" i="35"/>
  <c r="R193" i="35"/>
  <c r="Q540" i="35"/>
  <c r="Q539" i="35"/>
  <c r="P625" i="35"/>
  <c r="P624" i="35"/>
  <c r="N540" i="35"/>
  <c r="N539" i="35"/>
  <c r="L540" i="35"/>
  <c r="L539" i="35"/>
  <c r="K625" i="35"/>
  <c r="I540" i="35"/>
  <c r="I539" i="35"/>
  <c r="G540" i="35"/>
  <c r="G634" i="35"/>
  <c r="AD58" i="21"/>
  <c r="AD57" i="21"/>
  <c r="AD56" i="21"/>
  <c r="AD55" i="21"/>
  <c r="AD54" i="21"/>
  <c r="AD53" i="21"/>
  <c r="AD52" i="21"/>
  <c r="AD51" i="21"/>
  <c r="AD50" i="21"/>
  <c r="AD49" i="21"/>
  <c r="AD48" i="2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K40" i="17"/>
  <c r="AK39" i="17"/>
  <c r="AK38" i="17"/>
  <c r="AK37" i="17"/>
  <c r="AK36" i="17"/>
  <c r="AK35" i="17"/>
  <c r="AK34" i="17"/>
  <c r="AK33" i="17"/>
  <c r="AK32" i="17"/>
  <c r="AK31" i="17"/>
  <c r="AK30" i="17"/>
  <c r="AK29" i="17"/>
  <c r="AK28" i="17"/>
  <c r="AK27" i="17"/>
  <c r="AK26" i="17"/>
  <c r="AK25" i="17"/>
  <c r="AK24" i="17"/>
  <c r="AK23" i="17"/>
  <c r="AK22" i="17"/>
  <c r="AK21" i="17"/>
  <c r="AK20" i="17"/>
  <c r="AK19" i="17"/>
  <c r="AK18" i="17"/>
  <c r="AK17" i="17"/>
  <c r="AX17" i="17"/>
  <c r="AW17" i="17"/>
  <c r="F640" i="35"/>
  <c r="F639" i="35"/>
  <c r="S163" i="62"/>
  <c r="S167" i="62"/>
  <c r="S171" i="62"/>
  <c r="O130" i="62"/>
  <c r="O136" i="62"/>
  <c r="O140" i="62"/>
  <c r="O142" i="62"/>
  <c r="O150" i="62"/>
  <c r="O166" i="62"/>
  <c r="O174" i="62"/>
  <c r="O181" i="62"/>
  <c r="K205" i="62"/>
  <c r="K209" i="62"/>
  <c r="S115" i="62"/>
  <c r="K106" i="62"/>
  <c r="AK283" i="61"/>
  <c r="AK287" i="61"/>
  <c r="AK295" i="61"/>
  <c r="O285" i="61"/>
  <c r="K287" i="61"/>
  <c r="O273" i="61"/>
  <c r="K272" i="61"/>
  <c r="K276" i="61"/>
  <c r="X62" i="58"/>
  <c r="BN62" i="58"/>
  <c r="AO145" i="55"/>
  <c r="AO149" i="55"/>
  <c r="AO153" i="55"/>
  <c r="AO157" i="55"/>
  <c r="AK159" i="55"/>
  <c r="AG145" i="55"/>
  <c r="AG149" i="55"/>
  <c r="AG153" i="55"/>
  <c r="T13" i="64"/>
  <c r="T53" i="64"/>
  <c r="O13" i="64"/>
  <c r="O53" i="64"/>
  <c r="J13" i="64"/>
  <c r="J53" i="64"/>
  <c r="F619" i="35"/>
  <c r="F618" i="35"/>
  <c r="C396" i="62"/>
  <c r="P396" i="62"/>
  <c r="C397" i="62"/>
  <c r="C398" i="62"/>
  <c r="C399" i="62"/>
  <c r="C400" i="62"/>
  <c r="C401" i="62"/>
  <c r="C402" i="62"/>
  <c r="T402" i="62"/>
  <c r="C403" i="62"/>
  <c r="C404" i="62"/>
  <c r="P404" i="62"/>
  <c r="C405" i="62"/>
  <c r="C406" i="62"/>
  <c r="C407" i="62"/>
  <c r="C408" i="62"/>
  <c r="L408" i="62"/>
  <c r="C409" i="62"/>
  <c r="C410" i="62"/>
  <c r="C411" i="62"/>
  <c r="C412" i="62"/>
  <c r="T412" i="62"/>
  <c r="C413" i="62"/>
  <c r="C414" i="62"/>
  <c r="C415" i="62"/>
  <c r="C416" i="62"/>
  <c r="C417" i="62"/>
  <c r="P417" i="62"/>
  <c r="BC417" i="62"/>
  <c r="C418" i="62"/>
  <c r="L418" i="62"/>
  <c r="C419" i="62"/>
  <c r="C420" i="62"/>
  <c r="T420" i="62"/>
  <c r="C421" i="62"/>
  <c r="C422" i="62"/>
  <c r="L422" i="62"/>
  <c r="G408" i="62" a="1"/>
  <c r="G408" i="62"/>
  <c r="H408" i="62" a="1"/>
  <c r="H408" i="62"/>
  <c r="H395" i="62" a="1"/>
  <c r="H395" i="62"/>
  <c r="C395" i="62"/>
  <c r="C374" i="62"/>
  <c r="L374" i="62"/>
  <c r="C375" i="62"/>
  <c r="L375" i="62"/>
  <c r="AY375" i="62"/>
  <c r="C376" i="62"/>
  <c r="C377" i="62"/>
  <c r="C378" i="62"/>
  <c r="C379" i="62"/>
  <c r="C380" i="62"/>
  <c r="C381" i="62"/>
  <c r="C382" i="62"/>
  <c r="C383" i="62"/>
  <c r="L383" i="62"/>
  <c r="C384" i="62"/>
  <c r="L384" i="62"/>
  <c r="C385" i="62"/>
  <c r="C386" i="62"/>
  <c r="C387" i="62"/>
  <c r="AP387" i="62"/>
  <c r="AY387" i="62"/>
  <c r="C388" i="62"/>
  <c r="L388" i="62"/>
  <c r="C389" i="62"/>
  <c r="L389" i="62"/>
  <c r="C390" i="62"/>
  <c r="P390" i="62"/>
  <c r="C391" i="62"/>
  <c r="AP391" i="62"/>
  <c r="AL374" i="62"/>
  <c r="AP375" i="62"/>
  <c r="AO377" i="62"/>
  <c r="G376" i="62" a="1"/>
  <c r="G376" i="62"/>
  <c r="H376" i="62" a="1"/>
  <c r="H376" i="62"/>
  <c r="G377" i="62" a="1"/>
  <c r="G377" i="62"/>
  <c r="H377" i="62" a="1"/>
  <c r="H377" i="62"/>
  <c r="G378" i="62" a="1"/>
  <c r="G378" i="62"/>
  <c r="H378" i="62" a="1"/>
  <c r="H378" i="62"/>
  <c r="G379" i="62" a="1"/>
  <c r="G379" i="62"/>
  <c r="H379" i="62" a="1"/>
  <c r="H379" i="62"/>
  <c r="G381" i="62" a="1"/>
  <c r="G381" i="62"/>
  <c r="H381" i="62" a="1"/>
  <c r="H381" i="62"/>
  <c r="G382" i="62" a="1"/>
  <c r="G382" i="62"/>
  <c r="H382" i="62" a="1"/>
  <c r="H382" i="62"/>
  <c r="G383" i="62" a="1"/>
  <c r="G383" i="62"/>
  <c r="H383" i="62" a="1"/>
  <c r="H383" i="62"/>
  <c r="G384" i="62" a="1"/>
  <c r="G384" i="62"/>
  <c r="H384" i="62" a="1"/>
  <c r="H384" i="62"/>
  <c r="G386" i="62" a="1"/>
  <c r="G386" i="62"/>
  <c r="H386" i="62" a="1"/>
  <c r="H386" i="62"/>
  <c r="G387" i="62" a="1"/>
  <c r="G387" i="62"/>
  <c r="H387" i="62" a="1"/>
  <c r="H387" i="62"/>
  <c r="G388" i="62" a="1"/>
  <c r="G388" i="62"/>
  <c r="H388" i="62" a="1"/>
  <c r="H388" i="62"/>
  <c r="G389" i="62" a="1"/>
  <c r="G389" i="62"/>
  <c r="H389" i="62" a="1"/>
  <c r="H389" i="62"/>
  <c r="G390" i="62" a="1"/>
  <c r="G390" i="62"/>
  <c r="H390" i="62" a="1"/>
  <c r="H390" i="62"/>
  <c r="G391" i="62" a="1"/>
  <c r="G391" i="62"/>
  <c r="H391" i="62" a="1"/>
  <c r="H391" i="62"/>
  <c r="C373" i="62"/>
  <c r="P373" i="62"/>
  <c r="C365" i="62"/>
  <c r="AP365" i="62"/>
  <c r="C366" i="62"/>
  <c r="L366" i="62"/>
  <c r="C367" i="62"/>
  <c r="C368" i="62"/>
  <c r="BD368" i="62"/>
  <c r="C369" i="62"/>
  <c r="P369" i="62"/>
  <c r="C359" i="62"/>
  <c r="C360" i="62"/>
  <c r="C361" i="62"/>
  <c r="P361" i="62"/>
  <c r="C362" i="62"/>
  <c r="C363" i="62"/>
  <c r="AL363" i="62"/>
  <c r="C364" i="62"/>
  <c r="L364" i="62"/>
  <c r="C358" i="62"/>
  <c r="AZ358" i="62"/>
  <c r="C327" i="62"/>
  <c r="T327" i="62"/>
  <c r="C328" i="62"/>
  <c r="AZ328" i="62"/>
  <c r="C329" i="62"/>
  <c r="L329" i="62"/>
  <c r="C330" i="62"/>
  <c r="L330" i="62"/>
  <c r="C331" i="62"/>
  <c r="L331" i="62"/>
  <c r="C332" i="62"/>
  <c r="C333" i="62"/>
  <c r="L333" i="62"/>
  <c r="C334" i="62"/>
  <c r="AZ334" i="62"/>
  <c r="C335" i="62"/>
  <c r="C336" i="62"/>
  <c r="C337" i="62"/>
  <c r="C338" i="62"/>
  <c r="AZ338" i="62"/>
  <c r="C339" i="62"/>
  <c r="C340" i="62"/>
  <c r="L340" i="62"/>
  <c r="C341" i="62"/>
  <c r="C342" i="62"/>
  <c r="C343" i="62"/>
  <c r="AZ343" i="62"/>
  <c r="C344" i="62"/>
  <c r="AZ344" i="62"/>
  <c r="C345" i="62"/>
  <c r="L345" i="62"/>
  <c r="C346" i="62"/>
  <c r="C347" i="62"/>
  <c r="C348" i="62"/>
  <c r="C349" i="62"/>
  <c r="C350" i="62"/>
  <c r="AZ350" i="62"/>
  <c r="C351" i="62"/>
  <c r="C352" i="62"/>
  <c r="C353" i="62"/>
  <c r="C354" i="62"/>
  <c r="P354" i="62"/>
  <c r="C355" i="62"/>
  <c r="AZ355" i="62"/>
  <c r="C356" i="62"/>
  <c r="C357" i="62"/>
  <c r="C326" i="62"/>
  <c r="BD326" i="62"/>
  <c r="BG332" i="62"/>
  <c r="BG344" i="62"/>
  <c r="BG348" i="62"/>
  <c r="BG356" i="62"/>
  <c r="BG358" i="62"/>
  <c r="BG361" i="62"/>
  <c r="BG363" i="62"/>
  <c r="BG365" i="62"/>
  <c r="AO354" i="62"/>
  <c r="G327" i="62" a="1"/>
  <c r="G327" i="62"/>
  <c r="H327" i="62" a="1"/>
  <c r="H327" i="62"/>
  <c r="G328" i="62" a="1"/>
  <c r="G328" i="62"/>
  <c r="H328" i="62" a="1"/>
  <c r="H328" i="62"/>
  <c r="G329" i="62" a="1"/>
  <c r="G329" i="62"/>
  <c r="H329" i="62" a="1"/>
  <c r="H329" i="62"/>
  <c r="G331" i="62" a="1"/>
  <c r="G331" i="62"/>
  <c r="H331" i="62" a="1"/>
  <c r="H331" i="62"/>
  <c r="G332" i="62" a="1"/>
  <c r="G332" i="62"/>
  <c r="H332" i="62" a="1"/>
  <c r="H332" i="62"/>
  <c r="G333" i="62" a="1"/>
  <c r="G333" i="62"/>
  <c r="H333" i="62" a="1"/>
  <c r="H333" i="62"/>
  <c r="G334" i="62" a="1"/>
  <c r="G334" i="62"/>
  <c r="H334" i="62" a="1"/>
  <c r="H334" i="62"/>
  <c r="G335" i="62" a="1"/>
  <c r="G335" i="62"/>
  <c r="H335" i="62" a="1"/>
  <c r="H335" i="62"/>
  <c r="G336" i="62" a="1"/>
  <c r="G336" i="62"/>
  <c r="H336" i="62" a="1"/>
  <c r="H336" i="62"/>
  <c r="G337" i="62" a="1"/>
  <c r="G337" i="62"/>
  <c r="H337" i="62" a="1"/>
  <c r="H337" i="62"/>
  <c r="G338" i="62" a="1"/>
  <c r="G338" i="62"/>
  <c r="H338" i="62" a="1"/>
  <c r="H338" i="62"/>
  <c r="G339" i="62" a="1"/>
  <c r="G339" i="62"/>
  <c r="H339" i="62" a="1"/>
  <c r="H339" i="62"/>
  <c r="G340" i="62" a="1"/>
  <c r="G340" i="62"/>
  <c r="H340" i="62" a="1"/>
  <c r="H340" i="62"/>
  <c r="G341" i="62" a="1"/>
  <c r="G341" i="62"/>
  <c r="H341" i="62" a="1"/>
  <c r="H341" i="62"/>
  <c r="G342" i="62" a="1"/>
  <c r="G342" i="62"/>
  <c r="H342" i="62" a="1"/>
  <c r="H342" i="62"/>
  <c r="G343" i="62" a="1"/>
  <c r="G343" i="62"/>
  <c r="H343" i="62" a="1"/>
  <c r="H343" i="62"/>
  <c r="G344" i="62" a="1"/>
  <c r="G344" i="62"/>
  <c r="H344" i="62" a="1"/>
  <c r="H344" i="62"/>
  <c r="G345" i="62" a="1"/>
  <c r="G345" i="62"/>
  <c r="H345" i="62" a="1"/>
  <c r="H345" i="62"/>
  <c r="G346" i="62" a="1"/>
  <c r="G346" i="62"/>
  <c r="H346" i="62" a="1"/>
  <c r="H346" i="62"/>
  <c r="G347" i="62" a="1"/>
  <c r="G347" i="62"/>
  <c r="H347" i="62" a="1"/>
  <c r="H347" i="62"/>
  <c r="G348" i="62" a="1"/>
  <c r="G348" i="62"/>
  <c r="H348" i="62" a="1"/>
  <c r="H348" i="62"/>
  <c r="G349" i="62" a="1"/>
  <c r="G349" i="62"/>
  <c r="H349" i="62" a="1"/>
  <c r="H349" i="62"/>
  <c r="G350" i="62" a="1"/>
  <c r="G350" i="62"/>
  <c r="H350" i="62" a="1"/>
  <c r="H350" i="62"/>
  <c r="G351" i="62" a="1"/>
  <c r="G351" i="62"/>
  <c r="H351" i="62" a="1"/>
  <c r="H351" i="62"/>
  <c r="G352" i="62" a="1"/>
  <c r="G352" i="62"/>
  <c r="H352" i="62" a="1"/>
  <c r="H352" i="62"/>
  <c r="G353" i="62" a="1"/>
  <c r="G353" i="62"/>
  <c r="H353" i="62" a="1"/>
  <c r="H353" i="62"/>
  <c r="G354" i="62" a="1"/>
  <c r="G354" i="62"/>
  <c r="H354" i="62" a="1"/>
  <c r="H354" i="62"/>
  <c r="G355" i="62" a="1"/>
  <c r="G355" i="62"/>
  <c r="H355" i="62" a="1"/>
  <c r="H355" i="62"/>
  <c r="G356" i="62" a="1"/>
  <c r="G356" i="62"/>
  <c r="H356" i="62" a="1"/>
  <c r="H356" i="62"/>
  <c r="G357" i="62" a="1"/>
  <c r="G357" i="62"/>
  <c r="H357" i="62" a="1"/>
  <c r="H357" i="62"/>
  <c r="G358" i="62" a="1"/>
  <c r="G358" i="62"/>
  <c r="H358" i="62" a="1"/>
  <c r="H358" i="62"/>
  <c r="G359" i="62" a="1"/>
  <c r="G359" i="62"/>
  <c r="H359" i="62" a="1"/>
  <c r="H359" i="62"/>
  <c r="G360" i="62" a="1"/>
  <c r="G360" i="62"/>
  <c r="H360" i="62" a="1"/>
  <c r="H360" i="62"/>
  <c r="G362" i="62" a="1"/>
  <c r="G362" i="62"/>
  <c r="H362" i="62" a="1"/>
  <c r="H362" i="62"/>
  <c r="G363" i="62" a="1"/>
  <c r="G363" i="62"/>
  <c r="H363" i="62" a="1"/>
  <c r="H363" i="62"/>
  <c r="G364" i="62" a="1"/>
  <c r="G364" i="62"/>
  <c r="H364" i="62" a="1"/>
  <c r="H364" i="62"/>
  <c r="G366" i="62" a="1"/>
  <c r="G366" i="62"/>
  <c r="H366" i="62" a="1"/>
  <c r="H366" i="62"/>
  <c r="G367" i="62" a="1"/>
  <c r="G367" i="62"/>
  <c r="H367" i="62" a="1"/>
  <c r="H367" i="62"/>
  <c r="G368" i="62" a="1"/>
  <c r="G368" i="62"/>
  <c r="H368" i="62" a="1"/>
  <c r="H368" i="62"/>
  <c r="G300" i="62" a="1"/>
  <c r="G300" i="62"/>
  <c r="H300" i="62" a="1"/>
  <c r="H300" i="62"/>
  <c r="G301" i="62" a="1"/>
  <c r="G301" i="62"/>
  <c r="H301" i="62" a="1"/>
  <c r="H301" i="62"/>
  <c r="G302" i="62" a="1"/>
  <c r="G302" i="62"/>
  <c r="H302" i="62" a="1"/>
  <c r="H302" i="62"/>
  <c r="G303" i="62" a="1"/>
  <c r="G303" i="62"/>
  <c r="H303" i="62" a="1"/>
  <c r="H303" i="62"/>
  <c r="G304" i="62" a="1"/>
  <c r="G304" i="62"/>
  <c r="H304" i="62" a="1"/>
  <c r="H304" i="62"/>
  <c r="G306" i="62" a="1"/>
  <c r="G306" i="62"/>
  <c r="H306" i="62" a="1"/>
  <c r="H306" i="62"/>
  <c r="G307" i="62" a="1"/>
  <c r="G307" i="62"/>
  <c r="H307" i="62" a="1"/>
  <c r="H307" i="62"/>
  <c r="G308" i="62" a="1"/>
  <c r="G308" i="62"/>
  <c r="H308" i="62" a="1"/>
  <c r="H308" i="62"/>
  <c r="G309" i="62" a="1"/>
  <c r="G309" i="62"/>
  <c r="H309" i="62" a="1"/>
  <c r="H309" i="62"/>
  <c r="W310" i="62"/>
  <c r="G311" i="62" a="1"/>
  <c r="G311" i="62"/>
  <c r="H311" i="62" a="1"/>
  <c r="H311" i="62"/>
  <c r="G312" i="62" a="1"/>
  <c r="G312" i="62"/>
  <c r="H312" i="62" a="1"/>
  <c r="H312" i="62"/>
  <c r="G296" i="62" a="1"/>
  <c r="G296" i="62"/>
  <c r="C319" i="62"/>
  <c r="C320" i="62"/>
  <c r="L320" i="62"/>
  <c r="C321" i="62"/>
  <c r="C322" i="62"/>
  <c r="T322" i="62"/>
  <c r="C318" i="62"/>
  <c r="P318" i="62"/>
  <c r="C297" i="62"/>
  <c r="P297" i="62"/>
  <c r="C298" i="62"/>
  <c r="C299" i="62"/>
  <c r="X299" i="62"/>
  <c r="C300" i="62"/>
  <c r="C301" i="62"/>
  <c r="X301" i="62"/>
  <c r="C302" i="62"/>
  <c r="L302" i="62"/>
  <c r="C303" i="62"/>
  <c r="P303" i="62"/>
  <c r="C304" i="62"/>
  <c r="C305" i="62"/>
  <c r="BD305" i="62"/>
  <c r="C306" i="62"/>
  <c r="C307" i="62"/>
  <c r="L307" i="62"/>
  <c r="C308" i="62"/>
  <c r="C309" i="62"/>
  <c r="P309" i="62"/>
  <c r="C310" i="62"/>
  <c r="C311" i="62"/>
  <c r="C312" i="62"/>
  <c r="C313" i="62"/>
  <c r="C314" i="62"/>
  <c r="C315" i="62"/>
  <c r="X315" i="62"/>
  <c r="C316" i="62"/>
  <c r="C317" i="62"/>
  <c r="C296" i="62"/>
  <c r="X296" i="62"/>
  <c r="AY410" i="62"/>
  <c r="BG401" i="62"/>
  <c r="BG215" i="62"/>
  <c r="G215" i="62" a="1"/>
  <c r="G215" i="62"/>
  <c r="C216" i="62"/>
  <c r="C217" i="62"/>
  <c r="C218" i="62"/>
  <c r="C219" i="62"/>
  <c r="C220" i="62"/>
  <c r="C221" i="62"/>
  <c r="C222" i="62"/>
  <c r="C224" i="62"/>
  <c r="C225" i="62"/>
  <c r="C226" i="62"/>
  <c r="C227" i="62"/>
  <c r="C228" i="62"/>
  <c r="C229" i="62"/>
  <c r="C230" i="62"/>
  <c r="C231" i="62"/>
  <c r="C232" i="62"/>
  <c r="C233" i="62"/>
  <c r="C236" i="62"/>
  <c r="C237" i="62"/>
  <c r="C238" i="62"/>
  <c r="C239" i="62"/>
  <c r="C240" i="62"/>
  <c r="C241" i="62"/>
  <c r="C242" i="62"/>
  <c r="C243" i="62"/>
  <c r="C244" i="62"/>
  <c r="C245" i="62"/>
  <c r="C246" i="62"/>
  <c r="C247" i="62"/>
  <c r="C250" i="62"/>
  <c r="C251" i="62"/>
  <c r="C252" i="62"/>
  <c r="C253" i="62"/>
  <c r="C254" i="62"/>
  <c r="C255" i="62"/>
  <c r="C256" i="62"/>
  <c r="C257" i="62"/>
  <c r="C258" i="62"/>
  <c r="C259" i="62"/>
  <c r="C260" i="62"/>
  <c r="C261" i="62"/>
  <c r="C262" i="62"/>
  <c r="C263" i="62"/>
  <c r="C264" i="62"/>
  <c r="C267" i="62"/>
  <c r="C270" i="62"/>
  <c r="C273" i="62"/>
  <c r="C276" i="62"/>
  <c r="C277" i="62"/>
  <c r="C281" i="62"/>
  <c r="C215" i="62"/>
  <c r="BG201" i="62"/>
  <c r="AV205" i="62"/>
  <c r="AZ205" i="62"/>
  <c r="BD205" i="62"/>
  <c r="BH205" i="62"/>
  <c r="AD205" i="62"/>
  <c r="AH205" i="62"/>
  <c r="AL205" i="62"/>
  <c r="AP205" i="62"/>
  <c r="G116" i="62" a="1"/>
  <c r="G116" i="62"/>
  <c r="H116" i="62" a="1"/>
  <c r="H116" i="62"/>
  <c r="G117" i="62" a="1"/>
  <c r="G117" i="62"/>
  <c r="H117" i="62" a="1"/>
  <c r="H117" i="62"/>
  <c r="G118" i="62" a="1"/>
  <c r="G118" i="62"/>
  <c r="H118" i="62" a="1"/>
  <c r="H118" i="62"/>
  <c r="G119" i="62" a="1"/>
  <c r="G119" i="62"/>
  <c r="H119" i="62" a="1"/>
  <c r="H119" i="62"/>
  <c r="G120" i="62" a="1"/>
  <c r="G120" i="62"/>
  <c r="H120" i="62" a="1"/>
  <c r="H120" i="62"/>
  <c r="G121" i="62" a="1"/>
  <c r="G121" i="62"/>
  <c r="H121" i="62" a="1"/>
  <c r="H121" i="62"/>
  <c r="G122" i="62" a="1"/>
  <c r="G122" i="62"/>
  <c r="H122" i="62" a="1"/>
  <c r="H122" i="62"/>
  <c r="G123" i="62" a="1"/>
  <c r="G123" i="62"/>
  <c r="H123" i="62" a="1"/>
  <c r="H123" i="62"/>
  <c r="G124" i="62" a="1"/>
  <c r="G124" i="62"/>
  <c r="H124" i="62" a="1"/>
  <c r="H124" i="62"/>
  <c r="G125" i="62" a="1"/>
  <c r="G125" i="62"/>
  <c r="H125" i="62" a="1"/>
  <c r="H125" i="62"/>
  <c r="G126" i="62" a="1"/>
  <c r="G126" i="62"/>
  <c r="H126" i="62" a="1"/>
  <c r="H126" i="62"/>
  <c r="G127" i="62" a="1"/>
  <c r="G127" i="62"/>
  <c r="H127" i="62" a="1"/>
  <c r="H127" i="62"/>
  <c r="G128" i="62" a="1"/>
  <c r="G128" i="62"/>
  <c r="H128" i="62" a="1"/>
  <c r="H128" i="62"/>
  <c r="L205" i="62"/>
  <c r="P205" i="62"/>
  <c r="T205" i="62"/>
  <c r="X205" i="62"/>
  <c r="C151" i="62"/>
  <c r="C152" i="62"/>
  <c r="C153" i="62"/>
  <c r="C154" i="62"/>
  <c r="T154" i="62"/>
  <c r="C155" i="62"/>
  <c r="C156" i="62"/>
  <c r="P156" i="62"/>
  <c r="C157" i="62"/>
  <c r="C158" i="62"/>
  <c r="C159" i="62"/>
  <c r="C160" i="62"/>
  <c r="C161" i="62"/>
  <c r="C162" i="62"/>
  <c r="T162" i="62"/>
  <c r="C163" i="62"/>
  <c r="C164" i="62"/>
  <c r="X164" i="62"/>
  <c r="C165" i="62"/>
  <c r="C166" i="62"/>
  <c r="X166" i="62"/>
  <c r="C167" i="62"/>
  <c r="L167" i="62"/>
  <c r="C168" i="62"/>
  <c r="X168" i="62"/>
  <c r="C169" i="62"/>
  <c r="T169" i="62"/>
  <c r="C170" i="62"/>
  <c r="C171" i="62"/>
  <c r="C172" i="62"/>
  <c r="P172" i="62"/>
  <c r="C173" i="62"/>
  <c r="C174" i="62"/>
  <c r="T174" i="62"/>
  <c r="C175" i="62"/>
  <c r="L175" i="62"/>
  <c r="C176" i="62"/>
  <c r="X176" i="62"/>
  <c r="C177" i="62"/>
  <c r="C178" i="62"/>
  <c r="L178" i="62"/>
  <c r="C179" i="62"/>
  <c r="C180" i="62"/>
  <c r="C181" i="62"/>
  <c r="C182" i="62"/>
  <c r="L182" i="62"/>
  <c r="C183" i="62"/>
  <c r="X183" i="62"/>
  <c r="C184" i="62"/>
  <c r="AV184" i="62"/>
  <c r="C185" i="62"/>
  <c r="T185" i="62"/>
  <c r="C186" i="62"/>
  <c r="C187" i="62"/>
  <c r="P187" i="62"/>
  <c r="C188" i="62"/>
  <c r="T188" i="62"/>
  <c r="C189" i="62"/>
  <c r="C190" i="62"/>
  <c r="C191" i="62"/>
  <c r="X191" i="62"/>
  <c r="C192" i="62"/>
  <c r="C193" i="62"/>
  <c r="C194" i="62"/>
  <c r="L194" i="62"/>
  <c r="C195" i="62"/>
  <c r="X195" i="62"/>
  <c r="C196" i="62"/>
  <c r="C197" i="62"/>
  <c r="C198" i="62"/>
  <c r="C199" i="62"/>
  <c r="X199" i="62"/>
  <c r="C200" i="62"/>
  <c r="C201" i="62"/>
  <c r="C202" i="62"/>
  <c r="BD202" i="62"/>
  <c r="C203" i="62"/>
  <c r="P203" i="62"/>
  <c r="C204" i="62"/>
  <c r="C114" i="62"/>
  <c r="C115" i="62"/>
  <c r="C116" i="62"/>
  <c r="P116" i="62"/>
  <c r="C117" i="62"/>
  <c r="C118" i="62"/>
  <c r="C119" i="62"/>
  <c r="C120" i="62"/>
  <c r="C121" i="62"/>
  <c r="C122" i="62"/>
  <c r="C123" i="62"/>
  <c r="C124" i="62"/>
  <c r="C125" i="62"/>
  <c r="C126" i="62"/>
  <c r="C127" i="62"/>
  <c r="P127" i="62"/>
  <c r="C128" i="62"/>
  <c r="C129" i="62"/>
  <c r="C130" i="62"/>
  <c r="C131" i="62"/>
  <c r="L131" i="62"/>
  <c r="C132" i="62"/>
  <c r="X132" i="62"/>
  <c r="C133" i="62"/>
  <c r="P133" i="62"/>
  <c r="C134" i="62"/>
  <c r="T134" i="62"/>
  <c r="C135" i="62"/>
  <c r="BD135" i="62"/>
  <c r="C136" i="62"/>
  <c r="X136" i="62"/>
  <c r="C137" i="62"/>
  <c r="P137" i="62"/>
  <c r="C138" i="62"/>
  <c r="T138" i="62"/>
  <c r="C139" i="62"/>
  <c r="AV139" i="62"/>
  <c r="C140" i="62"/>
  <c r="X140" i="62"/>
  <c r="C141" i="62"/>
  <c r="C142" i="62"/>
  <c r="C143" i="62"/>
  <c r="C144" i="62"/>
  <c r="C145" i="62"/>
  <c r="AP145" i="62"/>
  <c r="C146" i="62"/>
  <c r="C147" i="62"/>
  <c r="L147" i="62"/>
  <c r="C148" i="62"/>
  <c r="X148" i="62"/>
  <c r="C149" i="62"/>
  <c r="C150" i="62"/>
  <c r="T150" i="62"/>
  <c r="C113" i="62"/>
  <c r="C103" i="62"/>
  <c r="L103" i="62"/>
  <c r="C104" i="62"/>
  <c r="AD104" i="62"/>
  <c r="C105" i="62"/>
  <c r="X105" i="62"/>
  <c r="C106" i="62"/>
  <c r="X106" i="62"/>
  <c r="C107" i="62"/>
  <c r="C108" i="62"/>
  <c r="C109" i="62"/>
  <c r="L109" i="62"/>
  <c r="C102" i="62"/>
  <c r="C4" i="62"/>
  <c r="BD4" i="62"/>
  <c r="C5" i="62"/>
  <c r="P5" i="62"/>
  <c r="C6" i="62"/>
  <c r="AV6" i="62"/>
  <c r="C7" i="62"/>
  <c r="BD7" i="62"/>
  <c r="C8" i="62"/>
  <c r="C9" i="62"/>
  <c r="P9" i="62"/>
  <c r="C10" i="62"/>
  <c r="T10" i="62"/>
  <c r="C11" i="62"/>
  <c r="BD11" i="62"/>
  <c r="C12" i="62"/>
  <c r="X12" i="62"/>
  <c r="C13" i="62"/>
  <c r="L13" i="62"/>
  <c r="C14" i="62"/>
  <c r="L14" i="62"/>
  <c r="C15" i="62"/>
  <c r="L15" i="62"/>
  <c r="C16" i="62"/>
  <c r="X16" i="62"/>
  <c r="C17" i="62"/>
  <c r="P17" i="62"/>
  <c r="C18" i="62"/>
  <c r="P18" i="62"/>
  <c r="C19" i="62"/>
  <c r="C20" i="62"/>
  <c r="AV20" i="62"/>
  <c r="C21" i="62"/>
  <c r="P21" i="62"/>
  <c r="C22" i="62"/>
  <c r="X22" i="62"/>
  <c r="C23" i="62"/>
  <c r="P23" i="62"/>
  <c r="C24" i="62"/>
  <c r="C25" i="62"/>
  <c r="P25" i="62"/>
  <c r="C26" i="62"/>
  <c r="C27" i="62"/>
  <c r="P27" i="62"/>
  <c r="C28" i="62"/>
  <c r="P28" i="62"/>
  <c r="C29" i="62"/>
  <c r="P29" i="62"/>
  <c r="C30" i="62"/>
  <c r="L30" i="62"/>
  <c r="C31" i="62"/>
  <c r="C32" i="62"/>
  <c r="T32" i="62"/>
  <c r="C33" i="62"/>
  <c r="BD33" i="62"/>
  <c r="C34" i="62"/>
  <c r="X34" i="62"/>
  <c r="C35" i="62"/>
  <c r="AV35" i="62"/>
  <c r="C36" i="62"/>
  <c r="L36" i="62"/>
  <c r="C37" i="62"/>
  <c r="BD37" i="62"/>
  <c r="C38" i="62"/>
  <c r="X38" i="62"/>
  <c r="C39" i="62"/>
  <c r="L39" i="62"/>
  <c r="C40" i="62"/>
  <c r="BD40" i="62"/>
  <c r="C41" i="62"/>
  <c r="C42" i="62"/>
  <c r="X42" i="62"/>
  <c r="C43" i="62"/>
  <c r="C44" i="62"/>
  <c r="T44" i="62"/>
  <c r="C45" i="62"/>
  <c r="C46" i="62"/>
  <c r="L46" i="62"/>
  <c r="C47" i="62"/>
  <c r="BD47" i="62"/>
  <c r="C48" i="62"/>
  <c r="AV48" i="62"/>
  <c r="C49" i="62"/>
  <c r="X49" i="62"/>
  <c r="C50" i="62"/>
  <c r="AV50" i="62"/>
  <c r="C51" i="62"/>
  <c r="P51" i="62"/>
  <c r="C52" i="62"/>
  <c r="P52" i="62"/>
  <c r="C53" i="62"/>
  <c r="L53" i="62"/>
  <c r="C54" i="62"/>
  <c r="T54" i="62"/>
  <c r="C55" i="62"/>
  <c r="P55" i="62"/>
  <c r="C56" i="62"/>
  <c r="P56" i="62"/>
  <c r="C57" i="62"/>
  <c r="P57" i="62"/>
  <c r="C58" i="62"/>
  <c r="L58" i="62"/>
  <c r="C59" i="62"/>
  <c r="X59" i="62"/>
  <c r="C60" i="62"/>
  <c r="L60" i="62"/>
  <c r="C61" i="62"/>
  <c r="C62" i="62"/>
  <c r="AV62" i="62"/>
  <c r="C63" i="62"/>
  <c r="X63" i="62"/>
  <c r="C64" i="62"/>
  <c r="C65" i="62"/>
  <c r="C66" i="62"/>
  <c r="X66" i="62"/>
  <c r="C67" i="62"/>
  <c r="X67" i="62"/>
  <c r="C68" i="62"/>
  <c r="L68" i="62"/>
  <c r="C69" i="62"/>
  <c r="C70" i="62"/>
  <c r="P70" i="62"/>
  <c r="C71" i="62"/>
  <c r="C72" i="62"/>
  <c r="L72" i="62"/>
  <c r="C73" i="62"/>
  <c r="L73" i="62"/>
  <c r="C74" i="62"/>
  <c r="C75" i="62"/>
  <c r="P75" i="62"/>
  <c r="C76" i="62"/>
  <c r="T76" i="62"/>
  <c r="C77" i="62"/>
  <c r="L77" i="62"/>
  <c r="C78" i="62"/>
  <c r="AV78" i="62"/>
  <c r="C79" i="62"/>
  <c r="C80" i="62"/>
  <c r="L80" i="62"/>
  <c r="C81" i="62"/>
  <c r="X81" i="62"/>
  <c r="C82" i="62"/>
  <c r="T82" i="62"/>
  <c r="C83" i="62"/>
  <c r="P83" i="62"/>
  <c r="C84" i="62"/>
  <c r="X84" i="62"/>
  <c r="C85" i="62"/>
  <c r="L85" i="62"/>
  <c r="C86" i="62"/>
  <c r="C87" i="62"/>
  <c r="P87" i="62"/>
  <c r="C88" i="62"/>
  <c r="P88" i="62"/>
  <c r="C89" i="62"/>
  <c r="P89" i="62"/>
  <c r="C90" i="62"/>
  <c r="T90" i="62"/>
  <c r="C91" i="62"/>
  <c r="T91" i="62"/>
  <c r="C92" i="62"/>
  <c r="T92" i="62"/>
  <c r="C93" i="62"/>
  <c r="L93" i="62"/>
  <c r="C94" i="62"/>
  <c r="C95" i="62"/>
  <c r="P95" i="62"/>
  <c r="C96" i="62"/>
  <c r="P96" i="62"/>
  <c r="C97" i="62"/>
  <c r="P97" i="62"/>
  <c r="C98" i="62"/>
  <c r="AV98" i="62"/>
  <c r="C99" i="62"/>
  <c r="AV99" i="62"/>
  <c r="C100" i="62"/>
  <c r="L100" i="62"/>
  <c r="C101" i="62"/>
  <c r="X101" i="62"/>
  <c r="C3" i="62"/>
  <c r="L3" i="62"/>
  <c r="BG14" i="62"/>
  <c r="BG20" i="62"/>
  <c r="BG34" i="62"/>
  <c r="BD34" i="62"/>
  <c r="BG58" i="62"/>
  <c r="BG91" i="62"/>
  <c r="AO25" i="62"/>
  <c r="AO84" i="62"/>
  <c r="S4" i="62"/>
  <c r="W5" i="62"/>
  <c r="S6" i="62"/>
  <c r="W6" i="62"/>
  <c r="S10" i="62"/>
  <c r="S14" i="62"/>
  <c r="S18" i="62"/>
  <c r="S20" i="62"/>
  <c r="S22" i="62"/>
  <c r="W22" i="62"/>
  <c r="W26" i="62"/>
  <c r="S28" i="62"/>
  <c r="W28" i="62"/>
  <c r="S30" i="62"/>
  <c r="S34" i="62"/>
  <c r="S36" i="62"/>
  <c r="W42" i="62"/>
  <c r="W45" i="62"/>
  <c r="S46" i="62"/>
  <c r="S49" i="62"/>
  <c r="S52" i="62"/>
  <c r="S53" i="62"/>
  <c r="W54" i="62"/>
  <c r="S55" i="62"/>
  <c r="W56" i="62"/>
  <c r="S58" i="62"/>
  <c r="W62" i="62"/>
  <c r="W64" i="62"/>
  <c r="S66" i="62"/>
  <c r="W66" i="62"/>
  <c r="S68" i="62"/>
  <c r="W72" i="62"/>
  <c r="S74" i="62"/>
  <c r="W74" i="62"/>
  <c r="S75" i="62"/>
  <c r="W78" i="62"/>
  <c r="W80" i="62"/>
  <c r="G81" i="62" a="1"/>
  <c r="G81" i="62"/>
  <c r="H81" i="62" a="1"/>
  <c r="H81" i="62"/>
  <c r="W81" i="62"/>
  <c r="G82" i="62" a="1"/>
  <c r="G82" i="62"/>
  <c r="H82" i="62" a="1"/>
  <c r="H82" i="62"/>
  <c r="W82" i="62"/>
  <c r="G83" i="62" a="1"/>
  <c r="G83" i="62"/>
  <c r="H83" i="62" a="1"/>
  <c r="H83" i="62"/>
  <c r="G84" i="62" a="1"/>
  <c r="G84" i="62"/>
  <c r="H84" i="62" a="1"/>
  <c r="H84" i="62"/>
  <c r="W84" i="62"/>
  <c r="G85" i="62" a="1"/>
  <c r="G85" i="62"/>
  <c r="H85" i="62" a="1"/>
  <c r="H85" i="62"/>
  <c r="W85" i="62"/>
  <c r="G86" i="62" a="1"/>
  <c r="G86" i="62"/>
  <c r="H86" i="62" a="1"/>
  <c r="H86" i="62"/>
  <c r="S86" i="62"/>
  <c r="G87" i="62" a="1"/>
  <c r="G87" i="62"/>
  <c r="H87" i="62" a="1"/>
  <c r="H87" i="62"/>
  <c r="W87" i="62"/>
  <c r="G88" i="62" a="1"/>
  <c r="G88" i="62"/>
  <c r="H88" i="62" a="1"/>
  <c r="H88" i="62"/>
  <c r="W88" i="62"/>
  <c r="G89" i="62" a="1"/>
  <c r="G89" i="62"/>
  <c r="H89" i="62" a="1"/>
  <c r="H89" i="62"/>
  <c r="G90" i="62" a="1"/>
  <c r="G90" i="62"/>
  <c r="H90" i="62" a="1"/>
  <c r="H90" i="62"/>
  <c r="S90" i="62"/>
  <c r="W90" i="62"/>
  <c r="G91" i="62" a="1"/>
  <c r="G91" i="62"/>
  <c r="H91" i="62" a="1"/>
  <c r="H91" i="62"/>
  <c r="G92" i="62" a="1"/>
  <c r="G92" i="62"/>
  <c r="H92" i="62" a="1"/>
  <c r="H92" i="62"/>
  <c r="S92" i="62"/>
  <c r="W92" i="62"/>
  <c r="G93" i="62" a="1"/>
  <c r="G93" i="62"/>
  <c r="H93" i="62" a="1"/>
  <c r="H93" i="62"/>
  <c r="W93" i="62"/>
  <c r="G94" i="62" a="1"/>
  <c r="G94" i="62"/>
  <c r="H94" i="62" a="1"/>
  <c r="H94" i="62"/>
  <c r="W94" i="62"/>
  <c r="G95" i="62" a="1"/>
  <c r="G95" i="62"/>
  <c r="H95" i="62" a="1"/>
  <c r="H95" i="62"/>
  <c r="W95" i="62"/>
  <c r="G96" i="62" a="1"/>
  <c r="G96" i="62"/>
  <c r="H96" i="62" a="1"/>
  <c r="H96" i="62"/>
  <c r="S96" i="62"/>
  <c r="G97" i="62" a="1"/>
  <c r="G97" i="62"/>
  <c r="H97" i="62" a="1"/>
  <c r="H97" i="62"/>
  <c r="W97" i="62"/>
  <c r="G98" i="62" a="1"/>
  <c r="G98" i="62"/>
  <c r="H98" i="62" a="1"/>
  <c r="H98" i="62"/>
  <c r="S98" i="62"/>
  <c r="W98" i="62"/>
  <c r="G99" i="62" a="1"/>
  <c r="G99" i="62"/>
  <c r="H99" i="62" a="1"/>
  <c r="H99" i="62"/>
  <c r="G100" i="62" a="1"/>
  <c r="G100" i="62"/>
  <c r="H100" i="62" a="1"/>
  <c r="H100" i="62"/>
  <c r="S100" i="62"/>
  <c r="G101" i="62" a="1"/>
  <c r="G101" i="62"/>
  <c r="H101" i="62" a="1"/>
  <c r="H101" i="62"/>
  <c r="W101" i="62"/>
  <c r="W102" i="62"/>
  <c r="W106" i="62"/>
  <c r="W108" i="62"/>
  <c r="BG124" i="62"/>
  <c r="AY205" i="62"/>
  <c r="BC171" i="62"/>
  <c r="BG174" i="62"/>
  <c r="BG166" i="62"/>
  <c r="BG162" i="62"/>
  <c r="BG154" i="62"/>
  <c r="BG150" i="62"/>
  <c r="AY128" i="62"/>
  <c r="BG142" i="62"/>
  <c r="BG126" i="62"/>
  <c r="BG125" i="62"/>
  <c r="BG134" i="62"/>
  <c r="BG130" i="62"/>
  <c r="BC120" i="62"/>
  <c r="BG116" i="62"/>
  <c r="BG119" i="62"/>
  <c r="BG117" i="62"/>
  <c r="BG115" i="62"/>
  <c r="AO116" i="62"/>
  <c r="AK74" i="17"/>
  <c r="AK73" i="17"/>
  <c r="AK72" i="17"/>
  <c r="AK71" i="17"/>
  <c r="AK70" i="17"/>
  <c r="AK69" i="17"/>
  <c r="AK68" i="17"/>
  <c r="AK67" i="17"/>
  <c r="AK66" i="17"/>
  <c r="AK65" i="17"/>
  <c r="AK64" i="17"/>
  <c r="AK63" i="17"/>
  <c r="AK62" i="17"/>
  <c r="AK61" i="17"/>
  <c r="AK60" i="17"/>
  <c r="AK59" i="17"/>
  <c r="AK58" i="17"/>
  <c r="AK57" i="17"/>
  <c r="AK56" i="17"/>
  <c r="AK55" i="17"/>
  <c r="AK54" i="17"/>
  <c r="AK53" i="17"/>
  <c r="AK52" i="17"/>
  <c r="AK99" i="15"/>
  <c r="AK98" i="15"/>
  <c r="AK97" i="15"/>
  <c r="AK96" i="15"/>
  <c r="AK95" i="15"/>
  <c r="AK94" i="15"/>
  <c r="AK93" i="15"/>
  <c r="AK92" i="15"/>
  <c r="AK91" i="15"/>
  <c r="AK90" i="15"/>
  <c r="AK89" i="15"/>
  <c r="AK88" i="15"/>
  <c r="AK87" i="15"/>
  <c r="AK86" i="15"/>
  <c r="AK85" i="15"/>
  <c r="AK84" i="15"/>
  <c r="AK83" i="15"/>
  <c r="AK82" i="15"/>
  <c r="AK81" i="15"/>
  <c r="AK80" i="15"/>
  <c r="AK79" i="15"/>
  <c r="AK78" i="15"/>
  <c r="AK77" i="15"/>
  <c r="AK76" i="15"/>
  <c r="AK75" i="15"/>
  <c r="AK74" i="15"/>
  <c r="AK73" i="15"/>
  <c r="AK72" i="15"/>
  <c r="AK71" i="15"/>
  <c r="AK70" i="15"/>
  <c r="AK69" i="15"/>
  <c r="AK68" i="15"/>
  <c r="AK67" i="15"/>
  <c r="AK66" i="15"/>
  <c r="AK65" i="15"/>
  <c r="AK64" i="15"/>
  <c r="AK63" i="15"/>
  <c r="AK62" i="15"/>
  <c r="AK61" i="15"/>
  <c r="AK60" i="15"/>
  <c r="AK59" i="15"/>
  <c r="AK58" i="15"/>
  <c r="AK57" i="15"/>
  <c r="AK56" i="15"/>
  <c r="AK55" i="15"/>
  <c r="AK54" i="15"/>
  <c r="AK53" i="15"/>
  <c r="AK52" i="15"/>
  <c r="AK51" i="15"/>
  <c r="AK50" i="15"/>
  <c r="AK49" i="15"/>
  <c r="AK48" i="15"/>
  <c r="AK47" i="15"/>
  <c r="AK46" i="15"/>
  <c r="AK45" i="15"/>
  <c r="AK44" i="15"/>
  <c r="AK43" i="15"/>
  <c r="AK42" i="15"/>
  <c r="AK41" i="15"/>
  <c r="AK40" i="15"/>
  <c r="AK39" i="15"/>
  <c r="AK38" i="15"/>
  <c r="AK37" i="15"/>
  <c r="AK36" i="15"/>
  <c r="AK35" i="15"/>
  <c r="AK34" i="15"/>
  <c r="AK33" i="15"/>
  <c r="AK32" i="15"/>
  <c r="AK31" i="15"/>
  <c r="AK30" i="15"/>
  <c r="AK29" i="15"/>
  <c r="AK28" i="15"/>
  <c r="AK27" i="15"/>
  <c r="AK26" i="15"/>
  <c r="AK25" i="15"/>
  <c r="AK24" i="15"/>
  <c r="AK23" i="15"/>
  <c r="AK22" i="15"/>
  <c r="AK21" i="15"/>
  <c r="AK20" i="15"/>
  <c r="AK19" i="15"/>
  <c r="AK18" i="15"/>
  <c r="AK17" i="15"/>
  <c r="AK16" i="15"/>
  <c r="R640" i="35"/>
  <c r="Q640" i="35"/>
  <c r="P640" i="35"/>
  <c r="N640" i="35"/>
  <c r="M640" i="35"/>
  <c r="K640" i="35"/>
  <c r="I640" i="35"/>
  <c r="G640" i="35"/>
  <c r="R555" i="35"/>
  <c r="Q555" i="35"/>
  <c r="P555" i="35"/>
  <c r="N555" i="35"/>
  <c r="M555" i="35"/>
  <c r="K555" i="35"/>
  <c r="I555" i="35"/>
  <c r="G555" i="35"/>
  <c r="R469" i="35"/>
  <c r="Q469" i="35"/>
  <c r="P469" i="35"/>
  <c r="N469" i="35"/>
  <c r="M469" i="35"/>
  <c r="L469" i="35"/>
  <c r="K469" i="35"/>
  <c r="I469" i="35"/>
  <c r="H469" i="35"/>
  <c r="G469" i="35"/>
  <c r="F469" i="35"/>
  <c r="F468" i="35"/>
  <c r="R383" i="35"/>
  <c r="Q383" i="35"/>
  <c r="P383" i="35"/>
  <c r="N383" i="35"/>
  <c r="M383" i="35"/>
  <c r="K383" i="35"/>
  <c r="I383" i="35"/>
  <c r="H383" i="35"/>
  <c r="G383" i="35"/>
  <c r="F383" i="35"/>
  <c r="F382" i="35"/>
  <c r="R295" i="35"/>
  <c r="Q295" i="35"/>
  <c r="P295" i="35"/>
  <c r="N295" i="35"/>
  <c r="M295" i="35"/>
  <c r="K295" i="35"/>
  <c r="I295" i="35"/>
  <c r="H295" i="35"/>
  <c r="G295" i="35"/>
  <c r="F295" i="35"/>
  <c r="F294" i="35"/>
  <c r="R209" i="35"/>
  <c r="Q209" i="35"/>
  <c r="P209" i="35"/>
  <c r="N209" i="35"/>
  <c r="M209" i="35"/>
  <c r="K209" i="35"/>
  <c r="I209" i="35"/>
  <c r="H209" i="35"/>
  <c r="G209" i="35"/>
  <c r="F209" i="35"/>
  <c r="F208" i="35"/>
  <c r="R123" i="35"/>
  <c r="Q123" i="35"/>
  <c r="P123" i="35"/>
  <c r="N123" i="35"/>
  <c r="M123" i="35"/>
  <c r="L123" i="35"/>
  <c r="K123" i="35"/>
  <c r="I123" i="35"/>
  <c r="G123" i="35"/>
  <c r="R37" i="35"/>
  <c r="Q37" i="35"/>
  <c r="P37" i="35"/>
  <c r="N37" i="35"/>
  <c r="M37" i="35"/>
  <c r="K37" i="35"/>
  <c r="I37" i="35"/>
  <c r="G37" i="35"/>
  <c r="R637" i="35"/>
  <c r="Q637" i="35"/>
  <c r="L637" i="35"/>
  <c r="K552" i="35"/>
  <c r="I637" i="35"/>
  <c r="H637" i="35"/>
  <c r="G637" i="35"/>
  <c r="F380" i="35"/>
  <c r="F379" i="35"/>
  <c r="G619" i="35"/>
  <c r="S637" i="35"/>
  <c r="P637" i="35"/>
  <c r="N637" i="35"/>
  <c r="M637" i="35"/>
  <c r="S552" i="35"/>
  <c r="P552" i="35"/>
  <c r="N552" i="35"/>
  <c r="M552" i="35"/>
  <c r="S466" i="35"/>
  <c r="P466" i="35"/>
  <c r="N466" i="35"/>
  <c r="M466" i="35"/>
  <c r="S380" i="35"/>
  <c r="P380" i="35"/>
  <c r="N380" i="35"/>
  <c r="M380" i="35"/>
  <c r="S292" i="35"/>
  <c r="P292" i="35"/>
  <c r="N292" i="35"/>
  <c r="M292" i="35"/>
  <c r="S206" i="35"/>
  <c r="Q206" i="35"/>
  <c r="P206" i="35"/>
  <c r="N206" i="35"/>
  <c r="M206" i="35"/>
  <c r="L206" i="35"/>
  <c r="S120" i="35"/>
  <c r="P120" i="35"/>
  <c r="N120" i="35"/>
  <c r="M120" i="35"/>
  <c r="I120" i="35"/>
  <c r="S34" i="35"/>
  <c r="P34" i="35"/>
  <c r="N34" i="35"/>
  <c r="M34" i="35"/>
  <c r="S634" i="35"/>
  <c r="R634" i="35"/>
  <c r="Q634" i="35"/>
  <c r="P634" i="35"/>
  <c r="N634" i="35"/>
  <c r="M634" i="35"/>
  <c r="L634" i="35"/>
  <c r="K634" i="35"/>
  <c r="I634" i="35"/>
  <c r="H634" i="35"/>
  <c r="F634" i="35"/>
  <c r="F633" i="35"/>
  <c r="S463" i="35"/>
  <c r="R463" i="35"/>
  <c r="Q463" i="35"/>
  <c r="P463" i="35"/>
  <c r="N463" i="35"/>
  <c r="M463" i="35"/>
  <c r="L463" i="35"/>
  <c r="K463" i="35"/>
  <c r="I463" i="35"/>
  <c r="H463" i="35"/>
  <c r="F463" i="35"/>
  <c r="F462" i="35"/>
  <c r="S377" i="35"/>
  <c r="R377" i="35"/>
  <c r="Q377" i="35"/>
  <c r="P377" i="35"/>
  <c r="N377" i="35"/>
  <c r="M377" i="35"/>
  <c r="L377" i="35"/>
  <c r="K377" i="35"/>
  <c r="I377" i="35"/>
  <c r="H377" i="35"/>
  <c r="F377" i="35"/>
  <c r="S289" i="35"/>
  <c r="R289" i="35"/>
  <c r="Q289" i="35"/>
  <c r="P289" i="35"/>
  <c r="N289" i="35"/>
  <c r="M289" i="35"/>
  <c r="L289" i="35"/>
  <c r="K289" i="35"/>
  <c r="I289" i="35"/>
  <c r="H289" i="35"/>
  <c r="F289" i="35"/>
  <c r="F288" i="35"/>
  <c r="S203" i="35"/>
  <c r="R203" i="35"/>
  <c r="Q203" i="35"/>
  <c r="P203" i="35"/>
  <c r="N203" i="35"/>
  <c r="M203" i="35"/>
  <c r="L203" i="35"/>
  <c r="K203" i="35"/>
  <c r="I203" i="35"/>
  <c r="H203" i="35"/>
  <c r="F203" i="35"/>
  <c r="F202" i="35"/>
  <c r="S117" i="35"/>
  <c r="R117" i="35"/>
  <c r="Q117" i="35"/>
  <c r="P117" i="35"/>
  <c r="N117" i="35"/>
  <c r="M117" i="35"/>
  <c r="L117" i="35"/>
  <c r="K117" i="35"/>
  <c r="I117" i="35"/>
  <c r="H117" i="35"/>
  <c r="F117" i="35"/>
  <c r="Q31" i="35"/>
  <c r="S31" i="35"/>
  <c r="R31" i="35"/>
  <c r="P31" i="35"/>
  <c r="N31" i="35"/>
  <c r="M31" i="35"/>
  <c r="L31" i="35"/>
  <c r="K31" i="35"/>
  <c r="I31" i="35"/>
  <c r="H31" i="35"/>
  <c r="S631" i="35"/>
  <c r="Q631" i="35"/>
  <c r="N631" i="35"/>
  <c r="M631" i="35"/>
  <c r="L631" i="35"/>
  <c r="I631" i="35"/>
  <c r="G631" i="35"/>
  <c r="F631" i="35"/>
  <c r="F630" i="35"/>
  <c r="S460" i="35"/>
  <c r="Q460" i="35"/>
  <c r="N460" i="35"/>
  <c r="L460" i="35"/>
  <c r="I460" i="35"/>
  <c r="G460" i="35"/>
  <c r="F460" i="35"/>
  <c r="S374" i="35"/>
  <c r="Q374" i="35"/>
  <c r="N374" i="35"/>
  <c r="L374" i="35"/>
  <c r="I374" i="35"/>
  <c r="G374" i="35"/>
  <c r="F374" i="35"/>
  <c r="S286" i="35"/>
  <c r="Q286" i="35"/>
  <c r="P286" i="35"/>
  <c r="N286" i="35"/>
  <c r="L286" i="35"/>
  <c r="I286" i="35"/>
  <c r="G286" i="35"/>
  <c r="F286" i="35"/>
  <c r="S200" i="35"/>
  <c r="Q200" i="35"/>
  <c r="N200" i="35"/>
  <c r="L200" i="35"/>
  <c r="I200" i="35"/>
  <c r="G200" i="35"/>
  <c r="F200" i="35"/>
  <c r="S114" i="35"/>
  <c r="Q114" i="35"/>
  <c r="N114" i="35"/>
  <c r="L114" i="35"/>
  <c r="I114" i="35"/>
  <c r="G114" i="35"/>
  <c r="F114" i="35"/>
  <c r="F113" i="35"/>
  <c r="S28" i="35"/>
  <c r="Q28" i="35"/>
  <c r="N28" i="35"/>
  <c r="L28" i="35"/>
  <c r="I28" i="35"/>
  <c r="G28" i="35"/>
  <c r="F31" i="35"/>
  <c r="F28" i="35"/>
  <c r="S622" i="35"/>
  <c r="Q622" i="35"/>
  <c r="M622" i="35"/>
  <c r="L622" i="35"/>
  <c r="H622" i="35"/>
  <c r="S537" i="35"/>
  <c r="Q537" i="35"/>
  <c r="P537" i="35"/>
  <c r="L537" i="35"/>
  <c r="H537" i="35"/>
  <c r="S451" i="35"/>
  <c r="Q451" i="35"/>
  <c r="M451" i="35"/>
  <c r="L451" i="35"/>
  <c r="H451" i="35"/>
  <c r="S365" i="35"/>
  <c r="Q365" i="35"/>
  <c r="P365" i="35"/>
  <c r="M365" i="35"/>
  <c r="L365" i="35"/>
  <c r="H365" i="35"/>
  <c r="G365" i="35"/>
  <c r="F365" i="35"/>
  <c r="F364" i="35"/>
  <c r="S277" i="35"/>
  <c r="Q277" i="35"/>
  <c r="L277" i="35"/>
  <c r="H277" i="35"/>
  <c r="G277" i="35"/>
  <c r="S191" i="35"/>
  <c r="Q191" i="35"/>
  <c r="P191" i="35"/>
  <c r="L191" i="35"/>
  <c r="H191" i="35"/>
  <c r="F191" i="35"/>
  <c r="F190" i="35"/>
  <c r="S105" i="35"/>
  <c r="R105" i="35"/>
  <c r="Q105" i="35"/>
  <c r="L105" i="35"/>
  <c r="H105" i="35"/>
  <c r="G105" i="35"/>
  <c r="S19" i="35"/>
  <c r="Q19" i="35"/>
  <c r="L19" i="35"/>
  <c r="H19" i="35"/>
  <c r="S619" i="35"/>
  <c r="R619" i="35"/>
  <c r="Q619" i="35"/>
  <c r="N619" i="35"/>
  <c r="M619" i="35"/>
  <c r="L619" i="35"/>
  <c r="I619" i="35"/>
  <c r="R534" i="35"/>
  <c r="Q534" i="35"/>
  <c r="N534" i="35"/>
  <c r="M534" i="35"/>
  <c r="L534" i="35"/>
  <c r="I534" i="35"/>
  <c r="H534" i="35"/>
  <c r="R448" i="35"/>
  <c r="Q448" i="35"/>
  <c r="N448" i="35"/>
  <c r="M448" i="35"/>
  <c r="L448" i="35"/>
  <c r="I448" i="35"/>
  <c r="S362" i="35"/>
  <c r="R362" i="35"/>
  <c r="Q362" i="35"/>
  <c r="N362" i="35"/>
  <c r="M362" i="35"/>
  <c r="L362" i="35"/>
  <c r="I362" i="35"/>
  <c r="R274" i="35"/>
  <c r="Q274" i="35"/>
  <c r="N274" i="35"/>
  <c r="M274" i="35"/>
  <c r="L274" i="35"/>
  <c r="I274" i="35"/>
  <c r="H274" i="35"/>
  <c r="S188" i="35"/>
  <c r="R188" i="35"/>
  <c r="Q188" i="35"/>
  <c r="N188" i="35"/>
  <c r="M188" i="35"/>
  <c r="L188" i="35"/>
  <c r="I188" i="35"/>
  <c r="H188" i="35"/>
  <c r="R102" i="35"/>
  <c r="Q102" i="35"/>
  <c r="N102" i="35"/>
  <c r="M102" i="35"/>
  <c r="L102" i="35"/>
  <c r="I102" i="35"/>
  <c r="S16" i="35"/>
  <c r="R16" i="35"/>
  <c r="Q16" i="35"/>
  <c r="N16" i="35"/>
  <c r="M16" i="35"/>
  <c r="L16" i="35"/>
  <c r="I16" i="35"/>
  <c r="F376" i="35"/>
  <c r="F116" i="35"/>
  <c r="F459" i="35"/>
  <c r="F27" i="35"/>
  <c r="BF20" i="17"/>
  <c r="Q564" i="35"/>
  <c r="BG20" i="17"/>
  <c r="R392" i="35"/>
  <c r="BH20" i="17"/>
  <c r="BE20" i="17"/>
  <c r="P392" i="35"/>
  <c r="BB20" i="17"/>
  <c r="BC20" i="17"/>
  <c r="BD20" i="17"/>
  <c r="BA20" i="17"/>
  <c r="AY20" i="17"/>
  <c r="AZ20" i="17"/>
  <c r="BF19" i="17"/>
  <c r="BG19" i="17"/>
  <c r="BH19" i="17"/>
  <c r="BE19" i="17"/>
  <c r="BB19" i="17"/>
  <c r="BC19" i="17"/>
  <c r="BD19" i="17"/>
  <c r="BA19" i="17"/>
  <c r="AX19" i="17"/>
  <c r="G646" i="35"/>
  <c r="AY19" i="17"/>
  <c r="H646" i="35"/>
  <c r="AZ19" i="17"/>
  <c r="I646" i="35"/>
  <c r="AW19" i="17"/>
  <c r="F646" i="35"/>
  <c r="F645" i="35"/>
  <c r="BF18" i="17"/>
  <c r="Q386" i="35"/>
  <c r="BG18" i="17"/>
  <c r="R212" i="35"/>
  <c r="BH18" i="17"/>
  <c r="S212" i="35"/>
  <c r="BE18" i="17"/>
  <c r="P386" i="35"/>
  <c r="BB18" i="17"/>
  <c r="L386" i="35"/>
  <c r="BC18" i="17"/>
  <c r="M212" i="35"/>
  <c r="BD18" i="17"/>
  <c r="N212" i="35"/>
  <c r="BA18" i="17"/>
  <c r="K386" i="35"/>
  <c r="AX18" i="17"/>
  <c r="G472" i="35"/>
  <c r="AY18" i="17"/>
  <c r="H212" i="35"/>
  <c r="AZ18" i="17"/>
  <c r="I212" i="35"/>
  <c r="AW18" i="17"/>
  <c r="F472" i="35"/>
  <c r="F471" i="35"/>
  <c r="G3" i="19"/>
  <c r="G4" i="19"/>
  <c r="G5" i="19"/>
  <c r="G6" i="19"/>
  <c r="G7" i="19"/>
  <c r="G8" i="19"/>
  <c r="G9" i="19"/>
  <c r="G10" i="19"/>
  <c r="G11" i="19"/>
  <c r="G12" i="19"/>
  <c r="G13" i="19"/>
  <c r="G14" i="19"/>
  <c r="G15" i="19"/>
  <c r="G16" i="19"/>
  <c r="G17" i="19"/>
  <c r="G18" i="19"/>
  <c r="G19" i="19"/>
  <c r="G20" i="19"/>
  <c r="G21" i="19"/>
  <c r="G22" i="19"/>
  <c r="G23" i="19"/>
  <c r="G24" i="19"/>
  <c r="G25" i="19"/>
  <c r="G26" i="19"/>
  <c r="G27" i="19"/>
  <c r="G28" i="19"/>
  <c r="G2" i="19"/>
  <c r="S280" i="35"/>
  <c r="S279" i="35"/>
  <c r="Q280" i="35"/>
  <c r="Q279" i="35"/>
  <c r="G280" i="35"/>
  <c r="I280" i="35"/>
  <c r="I279" i="35"/>
  <c r="L280" i="35"/>
  <c r="L279" i="35"/>
  <c r="N280" i="35"/>
  <c r="N279" i="35"/>
  <c r="W3" i="19"/>
  <c r="W4" i="19"/>
  <c r="W5" i="19"/>
  <c r="W6" i="19"/>
  <c r="W7" i="19"/>
  <c r="W8" i="19"/>
  <c r="W9" i="19"/>
  <c r="W10" i="19"/>
  <c r="W11" i="19"/>
  <c r="W12" i="19"/>
  <c r="W13" i="19"/>
  <c r="W14" i="19"/>
  <c r="W15" i="19"/>
  <c r="W16" i="19"/>
  <c r="W17" i="19"/>
  <c r="W18" i="19"/>
  <c r="W19" i="19"/>
  <c r="W20" i="19"/>
  <c r="W2" i="19"/>
  <c r="L192" i="15"/>
  <c r="M192" i="15"/>
  <c r="L191" i="15"/>
  <c r="M191" i="15"/>
  <c r="L190" i="15"/>
  <c r="M190" i="15"/>
  <c r="L189" i="15"/>
  <c r="M189" i="15"/>
  <c r="H210" i="62" a="1"/>
  <c r="H210" i="62"/>
  <c r="L188" i="15"/>
  <c r="M188" i="15"/>
  <c r="H209" i="62" a="1"/>
  <c r="H209" i="62"/>
  <c r="L187" i="15"/>
  <c r="M187" i="15"/>
  <c r="L186" i="15"/>
  <c r="M186" i="15"/>
  <c r="H207" i="62" a="1"/>
  <c r="H207" i="62"/>
  <c r="L185" i="15"/>
  <c r="M185" i="15"/>
  <c r="L184" i="15"/>
  <c r="M184" i="15"/>
  <c r="L183" i="15"/>
  <c r="M183" i="15"/>
  <c r="L182" i="15"/>
  <c r="M182" i="15"/>
  <c r="H203" i="62" a="1"/>
  <c r="H203" i="62"/>
  <c r="L181" i="15"/>
  <c r="M181" i="15"/>
  <c r="H202" i="62" a="1"/>
  <c r="H202" i="62"/>
  <c r="L180" i="15"/>
  <c r="M180" i="15"/>
  <c r="H201" i="62" a="1"/>
  <c r="H201" i="62"/>
  <c r="L179" i="15"/>
  <c r="M179" i="15"/>
  <c r="H200" i="62" a="1"/>
  <c r="H200" i="62"/>
  <c r="L178" i="15"/>
  <c r="M178" i="15"/>
  <c r="H199" i="62" a="1"/>
  <c r="H199" i="62"/>
  <c r="L177" i="15"/>
  <c r="M177" i="15"/>
  <c r="H198" i="62" a="1"/>
  <c r="H198" i="62"/>
  <c r="L176" i="15"/>
  <c r="M176" i="15"/>
  <c r="H197" i="62" a="1"/>
  <c r="H197" i="62"/>
  <c r="L175" i="15"/>
  <c r="M175" i="15"/>
  <c r="H196" i="62" a="1"/>
  <c r="H196" i="62"/>
  <c r="L174" i="15"/>
  <c r="M174" i="15"/>
  <c r="H195" i="62" a="1"/>
  <c r="H195" i="62"/>
  <c r="L173" i="15"/>
  <c r="M173" i="15"/>
  <c r="H194" i="62" a="1"/>
  <c r="H194" i="62"/>
  <c r="L172" i="15"/>
  <c r="M172" i="15"/>
  <c r="H193" i="62" a="1"/>
  <c r="H193" i="62"/>
  <c r="L171" i="15"/>
  <c r="G192" i="62" a="1"/>
  <c r="G192" i="62"/>
  <c r="L170" i="15"/>
  <c r="M170" i="15"/>
  <c r="H191" i="62" a="1"/>
  <c r="H191" i="62"/>
  <c r="L169" i="15"/>
  <c r="M169" i="15"/>
  <c r="H190" i="62" a="1"/>
  <c r="H190" i="62"/>
  <c r="L168" i="15"/>
  <c r="M168" i="15"/>
  <c r="H189" i="62" a="1"/>
  <c r="H189" i="62"/>
  <c r="L167" i="15"/>
  <c r="M167" i="15"/>
  <c r="H188" i="62" a="1"/>
  <c r="H188" i="62"/>
  <c r="L166" i="15"/>
  <c r="M166" i="15"/>
  <c r="H187" i="62" a="1"/>
  <c r="H187" i="62"/>
  <c r="L165" i="15"/>
  <c r="M165" i="15"/>
  <c r="H186" i="62" a="1"/>
  <c r="H186" i="62"/>
  <c r="L164" i="15"/>
  <c r="M164" i="15"/>
  <c r="H185" i="62" a="1"/>
  <c r="H185" i="62"/>
  <c r="L163" i="15"/>
  <c r="M163" i="15"/>
  <c r="H184" i="62" a="1"/>
  <c r="H184" i="62"/>
  <c r="L162" i="15"/>
  <c r="M162" i="15"/>
  <c r="H183" i="62" a="1"/>
  <c r="H183" i="62"/>
  <c r="L161" i="15"/>
  <c r="M161" i="15"/>
  <c r="H182" i="62" a="1"/>
  <c r="H182" i="62"/>
  <c r="L160" i="15"/>
  <c r="M160" i="15"/>
  <c r="H181" i="62" a="1"/>
  <c r="H181" i="62"/>
  <c r="L159" i="15"/>
  <c r="M159" i="15"/>
  <c r="H180" i="62" a="1"/>
  <c r="H180" i="62"/>
  <c r="L158" i="15"/>
  <c r="G179" i="62" a="1"/>
  <c r="G179" i="62"/>
  <c r="L157" i="15"/>
  <c r="G178" i="62" a="1"/>
  <c r="G178" i="62"/>
  <c r="L156" i="15"/>
  <c r="M156" i="15"/>
  <c r="H177" i="62" a="1"/>
  <c r="H177" i="62"/>
  <c r="L155" i="15"/>
  <c r="M155" i="15"/>
  <c r="L154" i="15"/>
  <c r="M154" i="15"/>
  <c r="H176" i="62" a="1"/>
  <c r="H176" i="62"/>
  <c r="L153" i="15"/>
  <c r="M153" i="15"/>
  <c r="H175" i="62" a="1"/>
  <c r="H175" i="62"/>
  <c r="L152" i="15"/>
  <c r="M152" i="15"/>
  <c r="H174" i="62" a="1"/>
  <c r="H174" i="62"/>
  <c r="L151" i="15"/>
  <c r="M151" i="15"/>
  <c r="H173" i="62" a="1"/>
  <c r="H173" i="62"/>
  <c r="L150" i="15"/>
  <c r="M150" i="15"/>
  <c r="H172" i="62" a="1"/>
  <c r="H172" i="62"/>
  <c r="L149" i="15"/>
  <c r="M149" i="15"/>
  <c r="H171" i="62" a="1"/>
  <c r="H171" i="62"/>
  <c r="L148" i="15"/>
  <c r="M148" i="15"/>
  <c r="H170" i="62" a="1"/>
  <c r="H170" i="62"/>
  <c r="L147" i="15"/>
  <c r="M147" i="15"/>
  <c r="H169" i="62" a="1"/>
  <c r="H169" i="62"/>
  <c r="L146" i="15"/>
  <c r="M146" i="15"/>
  <c r="H168" i="62" a="1"/>
  <c r="H168" i="62"/>
  <c r="L145" i="15"/>
  <c r="M145" i="15"/>
  <c r="H167" i="62" a="1"/>
  <c r="H167" i="62"/>
  <c r="L144" i="15"/>
  <c r="M144" i="15"/>
  <c r="H166" i="62" a="1"/>
  <c r="H166" i="62"/>
  <c r="L143" i="15"/>
  <c r="G165" i="62" a="1"/>
  <c r="G165" i="62"/>
  <c r="L142" i="15"/>
  <c r="M142" i="15"/>
  <c r="H164" i="62" a="1"/>
  <c r="H164" i="62"/>
  <c r="L141" i="15"/>
  <c r="M141" i="15"/>
  <c r="H163" i="62" a="1"/>
  <c r="H163" i="62"/>
  <c r="L140" i="15"/>
  <c r="M140" i="15"/>
  <c r="H162" i="62" a="1"/>
  <c r="H162" i="62"/>
  <c r="L139" i="15"/>
  <c r="G161" i="62" a="1"/>
  <c r="G161" i="62"/>
  <c r="L138" i="15"/>
  <c r="L137" i="15"/>
  <c r="L136" i="15"/>
  <c r="L135" i="15"/>
  <c r="L134" i="15"/>
  <c r="M134" i="15"/>
  <c r="H156" i="62" a="1"/>
  <c r="H156" i="62"/>
  <c r="L133" i="15"/>
  <c r="M133" i="15"/>
  <c r="H155" i="62" a="1"/>
  <c r="H155" i="62"/>
  <c r="L132" i="15"/>
  <c r="M132" i="15"/>
  <c r="H154" i="62" a="1"/>
  <c r="H154" i="62"/>
  <c r="L131" i="15"/>
  <c r="M131" i="15"/>
  <c r="H153" i="62" a="1"/>
  <c r="H153" i="62"/>
  <c r="L130" i="15"/>
  <c r="M130" i="15"/>
  <c r="H152" i="62" a="1"/>
  <c r="H152" i="62"/>
  <c r="L129" i="15"/>
  <c r="M129" i="15"/>
  <c r="H151" i="62" a="1"/>
  <c r="H151" i="62"/>
  <c r="L128" i="15"/>
  <c r="M128" i="15"/>
  <c r="H150" i="62" a="1"/>
  <c r="H150" i="62"/>
  <c r="L127" i="15"/>
  <c r="M127" i="15"/>
  <c r="H149" i="62" a="1"/>
  <c r="H149" i="62"/>
  <c r="L126" i="15"/>
  <c r="M126" i="15"/>
  <c r="H148" i="62" a="1"/>
  <c r="H148" i="62"/>
  <c r="L125" i="15"/>
  <c r="G147" i="62" a="1"/>
  <c r="G147" i="62"/>
  <c r="L124" i="15"/>
  <c r="M124" i="15"/>
  <c r="H146" i="62" a="1"/>
  <c r="H146" i="62"/>
  <c r="L123" i="15"/>
  <c r="M123" i="15"/>
  <c r="H145" i="62" a="1"/>
  <c r="H145" i="62"/>
  <c r="L122" i="15"/>
  <c r="M122" i="15"/>
  <c r="H144" i="62" a="1"/>
  <c r="H144" i="62"/>
  <c r="L121" i="15"/>
  <c r="M121" i="15"/>
  <c r="H143" i="62" a="1"/>
  <c r="H143" i="62"/>
  <c r="L120" i="15"/>
  <c r="M120" i="15"/>
  <c r="H142" i="62" a="1"/>
  <c r="H142" i="62"/>
  <c r="L119" i="15"/>
  <c r="M119" i="15"/>
  <c r="H141" i="62" a="1"/>
  <c r="H141" i="62"/>
  <c r="L118" i="15"/>
  <c r="M118" i="15"/>
  <c r="H140" i="62" a="1"/>
  <c r="H140" i="62"/>
  <c r="L117" i="15"/>
  <c r="M117" i="15"/>
  <c r="H139" i="62" a="1"/>
  <c r="H139" i="62"/>
  <c r="L116" i="15"/>
  <c r="M116" i="15"/>
  <c r="H138" i="62" a="1"/>
  <c r="H138" i="62"/>
  <c r="L115" i="15"/>
  <c r="M115" i="15"/>
  <c r="H137" i="62" a="1"/>
  <c r="H137" i="62"/>
  <c r="L114" i="15"/>
  <c r="M114" i="15"/>
  <c r="H136" i="62" a="1"/>
  <c r="H136" i="62"/>
  <c r="L113" i="15"/>
  <c r="M113" i="15"/>
  <c r="H135" i="62" a="1"/>
  <c r="H135" i="62"/>
  <c r="L112" i="15"/>
  <c r="M112" i="15"/>
  <c r="H134" i="62" a="1"/>
  <c r="H134" i="62"/>
  <c r="L111" i="15"/>
  <c r="M111" i="15"/>
  <c r="H133" i="62" a="1"/>
  <c r="H133" i="62"/>
  <c r="L110" i="15"/>
  <c r="M110" i="15"/>
  <c r="H132" i="62" a="1"/>
  <c r="H132" i="62"/>
  <c r="H131" i="62" a="1"/>
  <c r="H131" i="62"/>
  <c r="G115" i="62" a="1"/>
  <c r="G115" i="62"/>
  <c r="G113" i="62" a="1"/>
  <c r="G113" i="62"/>
  <c r="BG326" i="61"/>
  <c r="BG330" i="61"/>
  <c r="G287" i="61" a="1"/>
  <c r="G287" i="61"/>
  <c r="H287" i="61" a="1"/>
  <c r="H287" i="61"/>
  <c r="G289" i="61" a="1"/>
  <c r="G289" i="61"/>
  <c r="H289" i="61" a="1"/>
  <c r="H289" i="61"/>
  <c r="G290" i="61" a="1"/>
  <c r="G290" i="61"/>
  <c r="H290" i="61" a="1"/>
  <c r="H290" i="61"/>
  <c r="G291" i="61" a="1"/>
  <c r="G291" i="61"/>
  <c r="H291" i="61" a="1"/>
  <c r="H291" i="61"/>
  <c r="G292" i="61" a="1"/>
  <c r="G292" i="61"/>
  <c r="H292" i="61" a="1"/>
  <c r="H292" i="61"/>
  <c r="G293" i="61" a="1"/>
  <c r="G293" i="61"/>
  <c r="H293" i="61" a="1"/>
  <c r="H293" i="61"/>
  <c r="G294" i="61" a="1"/>
  <c r="G294" i="61"/>
  <c r="H294" i="61" a="1"/>
  <c r="H294" i="61"/>
  <c r="G295" i="61" a="1"/>
  <c r="G295" i="61"/>
  <c r="H295" i="61" a="1"/>
  <c r="H295" i="61"/>
  <c r="G296" i="61" a="1"/>
  <c r="G296" i="61"/>
  <c r="H296" i="61" a="1"/>
  <c r="H296" i="61"/>
  <c r="G297" i="61" a="1"/>
  <c r="G297" i="61"/>
  <c r="H297" i="61" a="1"/>
  <c r="H297" i="61"/>
  <c r="G298" i="61" a="1"/>
  <c r="G298" i="61"/>
  <c r="H298" i="61" a="1"/>
  <c r="H298" i="61"/>
  <c r="G299" i="61" a="1"/>
  <c r="G299" i="61"/>
  <c r="H299" i="61" a="1"/>
  <c r="H299" i="61"/>
  <c r="G308" i="61" a="1"/>
  <c r="G308" i="61"/>
  <c r="H308" i="61" a="1"/>
  <c r="H308" i="61"/>
  <c r="G309" i="61" a="1"/>
  <c r="G309" i="61"/>
  <c r="H309" i="61" a="1"/>
  <c r="H309" i="61"/>
  <c r="G310" i="61" a="1"/>
  <c r="G310" i="61"/>
  <c r="H310" i="61" a="1"/>
  <c r="H310" i="61"/>
  <c r="G311" i="61" a="1"/>
  <c r="G311" i="61"/>
  <c r="H311" i="61" a="1"/>
  <c r="H311" i="61"/>
  <c r="G312" i="61" a="1"/>
  <c r="G312" i="61"/>
  <c r="H312" i="61" a="1"/>
  <c r="H312" i="61"/>
  <c r="G313" i="61" a="1"/>
  <c r="G313" i="61"/>
  <c r="H313" i="61" a="1"/>
  <c r="H313" i="61"/>
  <c r="G314" i="61" a="1"/>
  <c r="G314" i="61"/>
  <c r="H314" i="61" a="1"/>
  <c r="H314" i="61"/>
  <c r="G315" i="61" a="1"/>
  <c r="G315" i="61"/>
  <c r="H315" i="61" a="1"/>
  <c r="H315" i="61"/>
  <c r="G316" i="61" a="1"/>
  <c r="G316" i="61"/>
  <c r="H316" i="61" a="1"/>
  <c r="H316" i="61"/>
  <c r="G317" i="61" a="1"/>
  <c r="G317" i="61"/>
  <c r="H317" i="61" a="1"/>
  <c r="H317" i="61"/>
  <c r="G318" i="61" a="1"/>
  <c r="G318" i="61"/>
  <c r="H318" i="61" a="1"/>
  <c r="H318" i="61"/>
  <c r="G319" i="61" a="1"/>
  <c r="G319" i="61"/>
  <c r="H319" i="61" a="1"/>
  <c r="H319" i="61"/>
  <c r="G320" i="61" a="1"/>
  <c r="G320" i="61"/>
  <c r="H320" i="61" a="1"/>
  <c r="H320" i="61"/>
  <c r="G321" i="61" a="1"/>
  <c r="G321" i="61"/>
  <c r="H321" i="61" a="1"/>
  <c r="H321" i="61"/>
  <c r="G322" i="61" a="1"/>
  <c r="G322" i="61"/>
  <c r="H322" i="61" a="1"/>
  <c r="H322" i="61"/>
  <c r="G323" i="61" a="1"/>
  <c r="G323" i="61"/>
  <c r="H323" i="61" a="1"/>
  <c r="H323" i="61"/>
  <c r="G324" i="61" a="1"/>
  <c r="G324" i="61"/>
  <c r="H324" i="61" a="1"/>
  <c r="H324" i="61"/>
  <c r="G325" i="61" a="1"/>
  <c r="G325" i="61"/>
  <c r="H325" i="61" a="1"/>
  <c r="H325" i="61"/>
  <c r="G326" i="61" a="1"/>
  <c r="G326" i="61"/>
  <c r="H326" i="61" a="1"/>
  <c r="H326" i="61"/>
  <c r="G327" i="61" a="1"/>
  <c r="G327" i="61"/>
  <c r="H327" i="61" a="1"/>
  <c r="H327" i="61"/>
  <c r="G328" i="61" a="1"/>
  <c r="G328" i="61"/>
  <c r="H328" i="61" a="1"/>
  <c r="H328" i="61"/>
  <c r="G329" i="61" a="1"/>
  <c r="G329" i="61"/>
  <c r="H329" i="61" a="1"/>
  <c r="H329" i="61"/>
  <c r="G330" i="61" a="1"/>
  <c r="G330" i="61"/>
  <c r="H330" i="61" a="1"/>
  <c r="H330" i="61"/>
  <c r="G333" i="61" a="1"/>
  <c r="G333" i="61"/>
  <c r="H333" i="61" a="1"/>
  <c r="H333" i="61"/>
  <c r="G336" i="61" a="1"/>
  <c r="G336" i="61"/>
  <c r="H336" i="61" a="1"/>
  <c r="H336" i="61"/>
  <c r="G337" i="61" a="1"/>
  <c r="G337" i="61"/>
  <c r="H337" i="61" a="1"/>
  <c r="H337" i="61"/>
  <c r="G338" i="61" a="1"/>
  <c r="G338" i="61"/>
  <c r="H338" i="61" a="1"/>
  <c r="H338" i="61"/>
  <c r="G339" i="61" a="1"/>
  <c r="G339" i="61"/>
  <c r="H339" i="61" a="1"/>
  <c r="H339" i="61"/>
  <c r="G340" i="61" a="1"/>
  <c r="G340" i="61"/>
  <c r="H340" i="61" a="1"/>
  <c r="H340" i="61"/>
  <c r="G341" i="61" a="1"/>
  <c r="G341" i="61"/>
  <c r="H341" i="61" a="1"/>
  <c r="H341" i="61"/>
  <c r="G345" i="61" a="1"/>
  <c r="G345" i="61"/>
  <c r="H345" i="61" a="1"/>
  <c r="H345" i="61"/>
  <c r="G346" i="61" a="1"/>
  <c r="G346" i="61"/>
  <c r="H346" i="61" a="1"/>
  <c r="H346" i="61"/>
  <c r="G349" i="61" a="1"/>
  <c r="G349" i="61"/>
  <c r="H349" i="61" a="1"/>
  <c r="H349" i="61"/>
  <c r="G350" i="61" a="1"/>
  <c r="G350" i="61"/>
  <c r="H350" i="61" a="1"/>
  <c r="H350" i="61"/>
  <c r="G351" i="61" a="1"/>
  <c r="G351" i="61"/>
  <c r="H351" i="61" a="1"/>
  <c r="H351" i="61"/>
  <c r="G352" i="61" a="1"/>
  <c r="G352" i="61"/>
  <c r="H352" i="61" a="1"/>
  <c r="H352" i="61"/>
  <c r="G353" i="61" a="1"/>
  <c r="G353" i="61"/>
  <c r="H353" i="61" a="1"/>
  <c r="H353" i="61"/>
  <c r="G354" i="61" a="1"/>
  <c r="G354" i="61"/>
  <c r="H354" i="61" a="1"/>
  <c r="H354" i="61"/>
  <c r="G355" i="61" a="1"/>
  <c r="G355" i="61"/>
  <c r="H355" i="61" a="1"/>
  <c r="H355" i="61"/>
  <c r="G356" i="61" a="1"/>
  <c r="G356" i="61"/>
  <c r="H356" i="61" a="1"/>
  <c r="H356" i="61"/>
  <c r="G357" i="61" a="1"/>
  <c r="G357" i="61"/>
  <c r="H357" i="61" a="1"/>
  <c r="H357" i="61"/>
  <c r="G358" i="61" a="1"/>
  <c r="G358" i="61"/>
  <c r="H358" i="61" a="1"/>
  <c r="H358" i="61"/>
  <c r="G360" i="61" a="1"/>
  <c r="G360" i="61"/>
  <c r="H360" i="61" a="1"/>
  <c r="H360" i="61"/>
  <c r="G361" i="61" a="1"/>
  <c r="G361" i="61"/>
  <c r="H361" i="61" a="1"/>
  <c r="H361" i="61"/>
  <c r="G362" i="61" a="1"/>
  <c r="G362" i="61"/>
  <c r="H362" i="61" a="1"/>
  <c r="H362" i="61"/>
  <c r="G363" i="61" a="1"/>
  <c r="G363" i="61"/>
  <c r="H363" i="61" a="1"/>
  <c r="H363" i="61"/>
  <c r="G364" i="61" a="1"/>
  <c r="G364" i="61"/>
  <c r="H364" i="61" a="1"/>
  <c r="H364" i="61"/>
  <c r="G365" i="61" a="1"/>
  <c r="G365" i="61"/>
  <c r="H365" i="61" a="1"/>
  <c r="H365" i="61"/>
  <c r="G366" i="61" a="1"/>
  <c r="G366" i="61"/>
  <c r="H366" i="61" a="1"/>
  <c r="H366" i="61"/>
  <c r="G367" i="61" a="1"/>
  <c r="G367" i="61"/>
  <c r="H367" i="61" a="1"/>
  <c r="H367" i="61"/>
  <c r="G368" i="61" a="1"/>
  <c r="G368" i="61"/>
  <c r="H368" i="61" a="1"/>
  <c r="H368" i="61"/>
  <c r="G369" i="61" a="1"/>
  <c r="G369" i="61"/>
  <c r="H369" i="61" a="1"/>
  <c r="H369" i="61"/>
  <c r="G370" i="61" a="1"/>
  <c r="G370" i="61"/>
  <c r="H370" i="61" a="1"/>
  <c r="H370" i="61"/>
  <c r="G371" i="61" a="1"/>
  <c r="G371" i="61"/>
  <c r="H371" i="61" a="1"/>
  <c r="H371" i="61"/>
  <c r="G372" i="61" a="1"/>
  <c r="G372" i="61"/>
  <c r="H372" i="61" a="1"/>
  <c r="H372" i="61"/>
  <c r="G373" i="61" a="1"/>
  <c r="G373" i="61"/>
  <c r="H373" i="61" a="1"/>
  <c r="H373" i="61"/>
  <c r="G374" i="61" a="1"/>
  <c r="G374" i="61"/>
  <c r="H374" i="61" a="1"/>
  <c r="H374" i="61"/>
  <c r="G375" i="61" a="1"/>
  <c r="G375" i="61"/>
  <c r="H375" i="61" a="1"/>
  <c r="H375" i="61"/>
  <c r="G376" i="61" a="1"/>
  <c r="G376" i="61"/>
  <c r="H376" i="61" a="1"/>
  <c r="H376" i="61"/>
  <c r="G377" i="61" a="1"/>
  <c r="G377" i="61"/>
  <c r="H377" i="61" a="1"/>
  <c r="H377" i="61"/>
  <c r="G378" i="61" a="1"/>
  <c r="G378" i="61"/>
  <c r="H378" i="61" a="1"/>
  <c r="H378" i="61"/>
  <c r="G379" i="61" a="1"/>
  <c r="G379" i="61"/>
  <c r="H379" i="61" a="1"/>
  <c r="H379" i="61"/>
  <c r="G380" i="61" a="1"/>
  <c r="G380" i="61"/>
  <c r="H380" i="61" a="1"/>
  <c r="H380" i="61"/>
  <c r="G381" i="61" a="1"/>
  <c r="G381" i="61"/>
  <c r="H381" i="61" a="1"/>
  <c r="H381" i="61"/>
  <c r="G382" i="61" a="1"/>
  <c r="G382" i="61"/>
  <c r="H382" i="61" a="1"/>
  <c r="H382" i="61"/>
  <c r="G383" i="61" a="1"/>
  <c r="G383" i="61"/>
  <c r="H383" i="61" a="1"/>
  <c r="H383" i="61"/>
  <c r="G384" i="61" a="1"/>
  <c r="G384" i="61"/>
  <c r="H384" i="61" a="1"/>
  <c r="H384" i="61"/>
  <c r="G385" i="61" a="1"/>
  <c r="G385" i="61"/>
  <c r="H385" i="61" a="1"/>
  <c r="H385" i="61"/>
  <c r="G386" i="61" a="1"/>
  <c r="G386" i="61"/>
  <c r="H386" i="61" a="1"/>
  <c r="H386" i="61"/>
  <c r="G387" i="61" a="1"/>
  <c r="G387" i="61"/>
  <c r="H387" i="61" a="1"/>
  <c r="H387" i="61"/>
  <c r="AO238" i="61"/>
  <c r="G233" i="61" a="1"/>
  <c r="G233" i="61"/>
  <c r="H233" i="61" a="1"/>
  <c r="H233" i="61"/>
  <c r="G234" i="61" a="1"/>
  <c r="G234" i="61"/>
  <c r="H234" i="61" a="1"/>
  <c r="H234" i="61"/>
  <c r="AO322" i="61"/>
  <c r="AO328" i="61"/>
  <c r="AO316" i="61"/>
  <c r="AO310" i="61"/>
  <c r="AO318" i="61"/>
  <c r="AO314" i="61"/>
  <c r="AO312" i="61"/>
  <c r="AO308" i="61"/>
  <c r="AO306" i="61"/>
  <c r="AO304" i="61"/>
  <c r="AO302" i="61"/>
  <c r="BC300" i="61"/>
  <c r="AO300" i="61"/>
  <c r="W325" i="61"/>
  <c r="AO208" i="61"/>
  <c r="C271" i="61"/>
  <c r="X271" i="61"/>
  <c r="C272" i="61"/>
  <c r="AP272" i="61"/>
  <c r="C273" i="61"/>
  <c r="C274" i="61"/>
  <c r="AD274" i="61"/>
  <c r="C275" i="61"/>
  <c r="X275" i="61"/>
  <c r="C276" i="61"/>
  <c r="AD276" i="61"/>
  <c r="C277" i="61"/>
  <c r="C278" i="61"/>
  <c r="X278" i="61"/>
  <c r="C279" i="61"/>
  <c r="T279" i="61"/>
  <c r="C280" i="61"/>
  <c r="AL280" i="61"/>
  <c r="C281" i="61"/>
  <c r="C282" i="61"/>
  <c r="BD282" i="61"/>
  <c r="C283" i="61"/>
  <c r="P283" i="61"/>
  <c r="C284" i="61"/>
  <c r="AH284" i="61"/>
  <c r="C285" i="61"/>
  <c r="C286" i="61"/>
  <c r="L286" i="61"/>
  <c r="C287" i="61"/>
  <c r="AZ287" i="61"/>
  <c r="C288" i="61"/>
  <c r="X288" i="61"/>
  <c r="C289" i="61"/>
  <c r="BH289" i="61"/>
  <c r="C290" i="61"/>
  <c r="C291" i="61"/>
  <c r="AP291" i="61"/>
  <c r="C292" i="61"/>
  <c r="AD292" i="61"/>
  <c r="C293" i="61"/>
  <c r="BD293" i="61"/>
  <c r="C294" i="61"/>
  <c r="C295" i="61"/>
  <c r="AZ295" i="61"/>
  <c r="C296" i="61"/>
  <c r="AH296" i="61"/>
  <c r="C297" i="61"/>
  <c r="C298" i="61"/>
  <c r="C299" i="61"/>
  <c r="BH299" i="61"/>
  <c r="C300" i="61"/>
  <c r="C301" i="61"/>
  <c r="C302" i="61"/>
  <c r="BH302" i="61"/>
  <c r="C303" i="61"/>
  <c r="AH303" i="61"/>
  <c r="C304" i="61"/>
  <c r="AP304" i="61"/>
  <c r="C305" i="61"/>
  <c r="AL305" i="61"/>
  <c r="C306" i="61"/>
  <c r="BD306" i="61"/>
  <c r="C307" i="61"/>
  <c r="AL307" i="61"/>
  <c r="C308" i="61"/>
  <c r="C309" i="61"/>
  <c r="C310" i="61"/>
  <c r="AP310" i="61"/>
  <c r="C311" i="61"/>
  <c r="AZ311" i="61"/>
  <c r="C312" i="61"/>
  <c r="AP312" i="61"/>
  <c r="C313" i="61"/>
  <c r="C314" i="61"/>
  <c r="BD314" i="61"/>
  <c r="C315" i="61"/>
  <c r="C316" i="61"/>
  <c r="BD316" i="61"/>
  <c r="C317" i="61"/>
  <c r="C318" i="61"/>
  <c r="C319" i="61"/>
  <c r="AH319" i="61"/>
  <c r="C320" i="61"/>
  <c r="C321" i="61"/>
  <c r="C322" i="61"/>
  <c r="AP322" i="61"/>
  <c r="C323" i="61"/>
  <c r="AH323" i="61"/>
  <c r="C324" i="61"/>
  <c r="BD324" i="61"/>
  <c r="C325" i="61"/>
  <c r="C326" i="61"/>
  <c r="C327" i="61"/>
  <c r="AV327" i="61"/>
  <c r="C328" i="61"/>
  <c r="BD328" i="61"/>
  <c r="C329" i="61"/>
  <c r="AV329" i="61"/>
  <c r="C330" i="61"/>
  <c r="C333" i="61"/>
  <c r="AV333" i="61"/>
  <c r="C336" i="61"/>
  <c r="AP336" i="61"/>
  <c r="C337" i="61"/>
  <c r="AV337" i="61"/>
  <c r="C338" i="61"/>
  <c r="C339" i="61"/>
  <c r="AH339" i="61"/>
  <c r="C340" i="61"/>
  <c r="BD340" i="61"/>
  <c r="C341" i="61"/>
  <c r="C345" i="61"/>
  <c r="C346" i="61"/>
  <c r="C349" i="61"/>
  <c r="T349" i="61"/>
  <c r="C350" i="61"/>
  <c r="C351" i="61"/>
  <c r="C352" i="61"/>
  <c r="T352" i="61"/>
  <c r="C353" i="61"/>
  <c r="AL353" i="61"/>
  <c r="C354" i="61"/>
  <c r="AZ354" i="61"/>
  <c r="C355" i="61"/>
  <c r="C356" i="61"/>
  <c r="C357" i="61"/>
  <c r="C358" i="61"/>
  <c r="C359" i="61"/>
  <c r="C360" i="61"/>
  <c r="C361" i="61"/>
  <c r="C362" i="61"/>
  <c r="C363" i="61"/>
  <c r="AH363" i="61"/>
  <c r="C364" i="61"/>
  <c r="C365" i="61"/>
  <c r="C366" i="61"/>
  <c r="C367" i="61"/>
  <c r="C368" i="61"/>
  <c r="C369" i="61"/>
  <c r="C370" i="61"/>
  <c r="C371" i="61"/>
  <c r="C372" i="61"/>
  <c r="C373" i="61"/>
  <c r="C374" i="61"/>
  <c r="C375" i="61"/>
  <c r="C376" i="61"/>
  <c r="C377" i="61"/>
  <c r="C378" i="61"/>
  <c r="C379" i="61"/>
  <c r="C380" i="61"/>
  <c r="C381" i="61"/>
  <c r="C382" i="61"/>
  <c r="C383" i="61"/>
  <c r="C384" i="61"/>
  <c r="C385" i="61"/>
  <c r="C386" i="61"/>
  <c r="C387" i="61"/>
  <c r="C270" i="61"/>
  <c r="C239" i="61"/>
  <c r="L239" i="61"/>
  <c r="C240" i="61"/>
  <c r="C241" i="61"/>
  <c r="L241" i="61"/>
  <c r="C242" i="61"/>
  <c r="P242" i="61"/>
  <c r="C243" i="61"/>
  <c r="AZ243" i="61"/>
  <c r="C244" i="61"/>
  <c r="C245" i="61"/>
  <c r="C246" i="61"/>
  <c r="L246" i="61"/>
  <c r="C248" i="61"/>
  <c r="C249" i="61"/>
  <c r="C250" i="61"/>
  <c r="C251" i="61"/>
  <c r="P251" i="61"/>
  <c r="C252" i="61"/>
  <c r="C253" i="61"/>
  <c r="P253" i="61"/>
  <c r="C254" i="61"/>
  <c r="C255" i="61"/>
  <c r="L255" i="61"/>
  <c r="C256" i="61"/>
  <c r="P256" i="61"/>
  <c r="C257" i="61"/>
  <c r="C258" i="61"/>
  <c r="P258" i="61"/>
  <c r="C259" i="61"/>
  <c r="C260" i="61"/>
  <c r="P260" i="61"/>
  <c r="C261" i="61"/>
  <c r="C262" i="61"/>
  <c r="C263" i="61"/>
  <c r="C264" i="61"/>
  <c r="P264" i="61"/>
  <c r="C265" i="61"/>
  <c r="C266" i="61"/>
  <c r="C238" i="61"/>
  <c r="L238" i="61"/>
  <c r="O3" i="45"/>
  <c r="O4" i="45"/>
  <c r="O5" i="45"/>
  <c r="O6" i="45"/>
  <c r="O7" i="45"/>
  <c r="O8" i="45"/>
  <c r="O9" i="45"/>
  <c r="O10" i="45"/>
  <c r="O11" i="45"/>
  <c r="O12" i="45"/>
  <c r="O13" i="45"/>
  <c r="O14" i="45"/>
  <c r="O15" i="45"/>
  <c r="C216" i="61"/>
  <c r="L216" i="61"/>
  <c r="C217" i="61"/>
  <c r="C218" i="61"/>
  <c r="P218" i="61"/>
  <c r="C219" i="61"/>
  <c r="C220" i="61"/>
  <c r="C221" i="61"/>
  <c r="C222" i="61"/>
  <c r="L222" i="61"/>
  <c r="C223" i="61"/>
  <c r="C233" i="61"/>
  <c r="L233" i="61"/>
  <c r="C234" i="61"/>
  <c r="AH234" i="61"/>
  <c r="C215" i="61"/>
  <c r="L215" i="61"/>
  <c r="C206" i="61"/>
  <c r="C207" i="61"/>
  <c r="C208" i="61"/>
  <c r="P208" i="61"/>
  <c r="C209" i="61"/>
  <c r="P209" i="61"/>
  <c r="C210" i="61"/>
  <c r="C211" i="61"/>
  <c r="L211" i="61"/>
  <c r="C205" i="61"/>
  <c r="L205" i="61"/>
  <c r="C110" i="61"/>
  <c r="C111" i="61"/>
  <c r="C112" i="61"/>
  <c r="P112" i="61"/>
  <c r="C113" i="61"/>
  <c r="C114" i="61"/>
  <c r="C115" i="61"/>
  <c r="P115" i="61"/>
  <c r="C116" i="61"/>
  <c r="C117" i="61"/>
  <c r="C118" i="61"/>
  <c r="C119" i="61"/>
  <c r="P119" i="61"/>
  <c r="C120" i="61"/>
  <c r="T120" i="61"/>
  <c r="C121" i="61"/>
  <c r="C122" i="61"/>
  <c r="C123" i="61"/>
  <c r="C124" i="61"/>
  <c r="P124" i="61"/>
  <c r="C125" i="61"/>
  <c r="C126" i="61"/>
  <c r="C127" i="61"/>
  <c r="BH127" i="61"/>
  <c r="C128" i="61"/>
  <c r="T128" i="61"/>
  <c r="C129" i="61"/>
  <c r="C130" i="61"/>
  <c r="C131" i="61"/>
  <c r="C132" i="61"/>
  <c r="T132" i="61"/>
  <c r="C133" i="61"/>
  <c r="BH133" i="61"/>
  <c r="C134" i="61"/>
  <c r="C135" i="61"/>
  <c r="AD135" i="61"/>
  <c r="C136" i="61"/>
  <c r="L136" i="61"/>
  <c r="C137" i="61"/>
  <c r="C138" i="61"/>
  <c r="C139" i="61"/>
  <c r="C140" i="61"/>
  <c r="T140" i="61"/>
  <c r="C141" i="61"/>
  <c r="C142" i="61"/>
  <c r="BD142" i="61"/>
  <c r="C143" i="61"/>
  <c r="L143" i="61"/>
  <c r="C144" i="61"/>
  <c r="C145" i="61"/>
  <c r="L145" i="61"/>
  <c r="C146" i="61"/>
  <c r="BD146" i="61"/>
  <c r="C147" i="61"/>
  <c r="C148" i="61"/>
  <c r="T148" i="61"/>
  <c r="C149" i="61"/>
  <c r="C150" i="61"/>
  <c r="T150" i="61"/>
  <c r="C151" i="61"/>
  <c r="L151" i="61"/>
  <c r="C152" i="61"/>
  <c r="C153" i="61"/>
  <c r="C154" i="61"/>
  <c r="BD154" i="61"/>
  <c r="C155" i="61"/>
  <c r="C156" i="61"/>
  <c r="T156" i="61"/>
  <c r="C157" i="61"/>
  <c r="C158" i="61"/>
  <c r="P158" i="61"/>
  <c r="C159" i="61"/>
  <c r="C160" i="61"/>
  <c r="C161" i="61"/>
  <c r="C162" i="61"/>
  <c r="AL162" i="61"/>
  <c r="C163" i="61"/>
  <c r="C164" i="61"/>
  <c r="L164" i="61"/>
  <c r="C165" i="61"/>
  <c r="L165" i="61"/>
  <c r="C166" i="61"/>
  <c r="AL166" i="61"/>
  <c r="C167" i="61"/>
  <c r="L167" i="61"/>
  <c r="C168" i="61"/>
  <c r="P168" i="61"/>
  <c r="C169" i="61"/>
  <c r="C170" i="61"/>
  <c r="AL170" i="61"/>
  <c r="C171" i="61"/>
  <c r="C172" i="61"/>
  <c r="L172" i="61"/>
  <c r="C173" i="61"/>
  <c r="C174" i="61"/>
  <c r="BD174" i="61"/>
  <c r="C175" i="61"/>
  <c r="C176" i="61"/>
  <c r="C177" i="61"/>
  <c r="C178" i="61"/>
  <c r="BD178" i="61"/>
  <c r="C179" i="61"/>
  <c r="L179" i="61"/>
  <c r="C180" i="61"/>
  <c r="T180" i="61"/>
  <c r="C181" i="61"/>
  <c r="C182" i="61"/>
  <c r="T182" i="61"/>
  <c r="C183" i="61"/>
  <c r="C184" i="61"/>
  <c r="T184" i="61"/>
  <c r="C185" i="61"/>
  <c r="C186" i="61"/>
  <c r="AL186" i="61"/>
  <c r="C187" i="61"/>
  <c r="C188" i="61"/>
  <c r="T188" i="61"/>
  <c r="C189" i="61"/>
  <c r="C190" i="61"/>
  <c r="T190" i="61"/>
  <c r="C191" i="61"/>
  <c r="P191" i="61"/>
  <c r="C192" i="61"/>
  <c r="C193" i="61"/>
  <c r="L193" i="61"/>
  <c r="C194" i="61"/>
  <c r="L194" i="61"/>
  <c r="C195" i="61"/>
  <c r="C196" i="61"/>
  <c r="L196" i="61"/>
  <c r="C197" i="61"/>
  <c r="P197" i="61"/>
  <c r="C198" i="61"/>
  <c r="L198" i="61"/>
  <c r="C199" i="61"/>
  <c r="L199" i="61"/>
  <c r="C200" i="61"/>
  <c r="BD200" i="61"/>
  <c r="C201" i="61"/>
  <c r="C109" i="61"/>
  <c r="AP109" i="61"/>
  <c r="C99" i="61"/>
  <c r="C100" i="61"/>
  <c r="P100" i="61"/>
  <c r="C101" i="61"/>
  <c r="L101" i="61"/>
  <c r="C102" i="61"/>
  <c r="P102" i="61"/>
  <c r="C103" i="61"/>
  <c r="C104" i="61"/>
  <c r="AD104" i="61"/>
  <c r="C105" i="61"/>
  <c r="AD105" i="61"/>
  <c r="C42" i="61"/>
  <c r="P42" i="61"/>
  <c r="C43" i="61"/>
  <c r="C44" i="61"/>
  <c r="L44" i="61"/>
  <c r="C45" i="61"/>
  <c r="C46" i="61"/>
  <c r="L46" i="61"/>
  <c r="C47" i="61"/>
  <c r="C48" i="61"/>
  <c r="L48" i="61"/>
  <c r="C49" i="61"/>
  <c r="C50" i="61"/>
  <c r="P50" i="61"/>
  <c r="C51" i="61"/>
  <c r="C52" i="61"/>
  <c r="BH52" i="61"/>
  <c r="C53" i="61"/>
  <c r="C54" i="61"/>
  <c r="L54" i="61"/>
  <c r="C55" i="61"/>
  <c r="C56" i="61"/>
  <c r="L56" i="61"/>
  <c r="C57" i="61"/>
  <c r="C58" i="61"/>
  <c r="L58" i="61"/>
  <c r="C59" i="61"/>
  <c r="C60" i="61"/>
  <c r="L60" i="61"/>
  <c r="C61" i="61"/>
  <c r="C62" i="61"/>
  <c r="L62" i="61"/>
  <c r="C63" i="61"/>
  <c r="C64" i="61"/>
  <c r="L64" i="61"/>
  <c r="C65" i="61"/>
  <c r="C66" i="61"/>
  <c r="L66" i="61"/>
  <c r="C67" i="61"/>
  <c r="C68" i="61"/>
  <c r="L68" i="61"/>
  <c r="C69" i="61"/>
  <c r="C70" i="61"/>
  <c r="P70" i="61"/>
  <c r="C71" i="61"/>
  <c r="C72" i="61"/>
  <c r="L72" i="61"/>
  <c r="C73" i="61"/>
  <c r="C74" i="61"/>
  <c r="P74" i="61"/>
  <c r="C75" i="61"/>
  <c r="C76" i="61"/>
  <c r="L76" i="61"/>
  <c r="C77" i="61"/>
  <c r="C78" i="61"/>
  <c r="L78" i="61"/>
  <c r="C79" i="61"/>
  <c r="C80" i="61"/>
  <c r="L80" i="61"/>
  <c r="C81" i="61"/>
  <c r="C82" i="61"/>
  <c r="L82" i="61"/>
  <c r="C83" i="61"/>
  <c r="C84" i="61"/>
  <c r="L84" i="61"/>
  <c r="C85" i="61"/>
  <c r="C86" i="61"/>
  <c r="L86" i="61"/>
  <c r="C87" i="61"/>
  <c r="C88" i="61"/>
  <c r="BH88" i="61"/>
  <c r="C89" i="61"/>
  <c r="C90" i="61"/>
  <c r="P90" i="61"/>
  <c r="C91" i="61"/>
  <c r="C92" i="61"/>
  <c r="P92" i="61"/>
  <c r="C93" i="61"/>
  <c r="C94" i="61"/>
  <c r="P94" i="61"/>
  <c r="C41" i="61"/>
  <c r="P41" i="61"/>
  <c r="C4" i="61"/>
  <c r="AZ4" i="61"/>
  <c r="C5" i="61"/>
  <c r="AH5" i="61"/>
  <c r="C6" i="61"/>
  <c r="L6" i="61"/>
  <c r="C7" i="61"/>
  <c r="AZ7" i="61"/>
  <c r="C8" i="61"/>
  <c r="X8" i="61"/>
  <c r="C9" i="61"/>
  <c r="AH9" i="61"/>
  <c r="C10" i="61"/>
  <c r="BH10" i="61"/>
  <c r="C11" i="61"/>
  <c r="AZ11" i="61"/>
  <c r="C12" i="61"/>
  <c r="AV12" i="61"/>
  <c r="C13" i="61"/>
  <c r="AH13" i="61"/>
  <c r="C14" i="61"/>
  <c r="BD14" i="61"/>
  <c r="C15" i="61"/>
  <c r="AL15" i="61"/>
  <c r="C16" i="61"/>
  <c r="AZ16" i="61"/>
  <c r="C17" i="61"/>
  <c r="AV17" i="61"/>
  <c r="C18" i="61"/>
  <c r="AV18" i="61"/>
  <c r="C19" i="61"/>
  <c r="X19" i="61"/>
  <c r="C20" i="61"/>
  <c r="AZ20" i="61"/>
  <c r="C21" i="61"/>
  <c r="AH21" i="61"/>
  <c r="C22" i="61"/>
  <c r="AV22" i="61"/>
  <c r="C23" i="61"/>
  <c r="X23" i="61"/>
  <c r="C24" i="61"/>
  <c r="AV24" i="61"/>
  <c r="C25" i="61"/>
  <c r="AH25" i="61"/>
  <c r="C26" i="61"/>
  <c r="AV26" i="61"/>
  <c r="C27" i="61"/>
  <c r="AL27" i="61"/>
  <c r="C28" i="61"/>
  <c r="AV28" i="61"/>
  <c r="C29" i="61"/>
  <c r="AH29" i="61"/>
  <c r="C30" i="61"/>
  <c r="AV30" i="61"/>
  <c r="C31" i="61"/>
  <c r="AZ31" i="61"/>
  <c r="C32" i="61"/>
  <c r="AD32" i="61"/>
  <c r="C33" i="61"/>
  <c r="AV33" i="61"/>
  <c r="C34" i="61"/>
  <c r="AZ34" i="61"/>
  <c r="C35" i="61"/>
  <c r="X35" i="61"/>
  <c r="C36" i="61"/>
  <c r="T36" i="61"/>
  <c r="C37" i="61"/>
  <c r="AH37" i="61"/>
  <c r="S573" i="35"/>
  <c r="R573" i="35"/>
  <c r="Q573" i="35"/>
  <c r="P573" i="35"/>
  <c r="N573" i="35"/>
  <c r="M573" i="35"/>
  <c r="L573" i="35"/>
  <c r="K573" i="35"/>
  <c r="I573" i="35"/>
  <c r="H573" i="35"/>
  <c r="G573" i="35"/>
  <c r="F573" i="35"/>
  <c r="F572" i="35"/>
  <c r="S487" i="35"/>
  <c r="P487" i="35"/>
  <c r="Q487" i="35"/>
  <c r="R487" i="35"/>
  <c r="N487" i="35"/>
  <c r="K487" i="35"/>
  <c r="L487" i="35"/>
  <c r="M487" i="35"/>
  <c r="I487" i="35"/>
  <c r="F487" i="35"/>
  <c r="F486" i="35"/>
  <c r="G487" i="35"/>
  <c r="H487" i="35"/>
  <c r="S401" i="35"/>
  <c r="R401" i="35"/>
  <c r="Q401" i="35"/>
  <c r="P401" i="35"/>
  <c r="N401" i="35"/>
  <c r="M401" i="35"/>
  <c r="L401" i="35"/>
  <c r="K401" i="35"/>
  <c r="I401" i="35"/>
  <c r="H401" i="35"/>
  <c r="G401" i="35"/>
  <c r="F401" i="35"/>
  <c r="F400" i="35"/>
  <c r="S313" i="35"/>
  <c r="P313" i="35"/>
  <c r="Q313" i="35"/>
  <c r="R313" i="35"/>
  <c r="N313" i="35"/>
  <c r="K313" i="35"/>
  <c r="L313" i="35"/>
  <c r="M313" i="35"/>
  <c r="I313" i="35"/>
  <c r="F313" i="35"/>
  <c r="F312" i="35"/>
  <c r="G313" i="35"/>
  <c r="H313" i="35"/>
  <c r="S658" i="35"/>
  <c r="R658" i="35"/>
  <c r="Q658" i="35"/>
  <c r="P658" i="35"/>
  <c r="N658" i="35"/>
  <c r="M658" i="35"/>
  <c r="L658" i="35"/>
  <c r="K658" i="35"/>
  <c r="I658" i="35"/>
  <c r="H658" i="35"/>
  <c r="G658" i="35"/>
  <c r="F658" i="35"/>
  <c r="F657" i="35"/>
  <c r="S227" i="35"/>
  <c r="R227" i="35"/>
  <c r="Q227" i="35"/>
  <c r="P227" i="35"/>
  <c r="N227" i="35"/>
  <c r="M227" i="35"/>
  <c r="K227" i="35"/>
  <c r="L227" i="35"/>
  <c r="I227" i="35"/>
  <c r="H227" i="35"/>
  <c r="F227" i="35"/>
  <c r="F226" i="35"/>
  <c r="G227" i="35"/>
  <c r="S141" i="35"/>
  <c r="R141" i="35"/>
  <c r="Q141" i="35"/>
  <c r="P141" i="35"/>
  <c r="N141" i="35"/>
  <c r="M141" i="35"/>
  <c r="L141" i="35"/>
  <c r="K141" i="35"/>
  <c r="I141" i="35"/>
  <c r="H141" i="35"/>
  <c r="G141" i="35"/>
  <c r="F141" i="35"/>
  <c r="F140" i="35"/>
  <c r="S55" i="35"/>
  <c r="R55" i="35"/>
  <c r="Q55" i="35"/>
  <c r="P55" i="35"/>
  <c r="N55" i="35"/>
  <c r="M55" i="35"/>
  <c r="K55" i="35"/>
  <c r="L55" i="35"/>
  <c r="I55" i="35"/>
  <c r="H55" i="35"/>
  <c r="G55" i="35"/>
  <c r="F55" i="35"/>
  <c r="F54" i="35"/>
  <c r="BH16" i="23"/>
  <c r="S667" i="35"/>
  <c r="BG16" i="23"/>
  <c r="R236" i="35"/>
  <c r="BF16" i="23"/>
  <c r="Q236" i="35"/>
  <c r="BH15" i="23"/>
  <c r="S233" i="35"/>
  <c r="BG15" i="23"/>
  <c r="R233" i="35"/>
  <c r="BF15" i="23"/>
  <c r="Q407" i="35"/>
  <c r="BE16" i="23"/>
  <c r="P64" i="35"/>
  <c r="BE15" i="23"/>
  <c r="P579" i="35"/>
  <c r="BD16" i="23"/>
  <c r="N582" i="35"/>
  <c r="BC16" i="23"/>
  <c r="M236" i="35"/>
  <c r="BB16" i="23"/>
  <c r="L236" i="35"/>
  <c r="BD15" i="23"/>
  <c r="BC15" i="23"/>
  <c r="M407" i="35"/>
  <c r="BB15" i="23"/>
  <c r="L579" i="35"/>
  <c r="BA16" i="23"/>
  <c r="K236" i="35"/>
  <c r="BA15" i="23"/>
  <c r="K493" i="35"/>
  <c r="AZ16" i="23"/>
  <c r="I496" i="35"/>
  <c r="AY16" i="23"/>
  <c r="H236" i="35"/>
  <c r="AX16" i="23"/>
  <c r="G236" i="35"/>
  <c r="AZ15" i="23"/>
  <c r="AY15" i="23"/>
  <c r="H407" i="35"/>
  <c r="AX15" i="23"/>
  <c r="AW16" i="23"/>
  <c r="F236" i="35"/>
  <c r="F235" i="35"/>
  <c r="AW15" i="23"/>
  <c r="S58" i="35"/>
  <c r="R58" i="35"/>
  <c r="Q490" i="35"/>
  <c r="P404" i="35"/>
  <c r="N144" i="35"/>
  <c r="M144" i="35"/>
  <c r="L144" i="35"/>
  <c r="K316" i="35"/>
  <c r="I661" i="35"/>
  <c r="H144" i="35"/>
  <c r="G144" i="35"/>
  <c r="F661" i="35"/>
  <c r="F660" i="35"/>
  <c r="S652" i="35"/>
  <c r="R567" i="35"/>
  <c r="Q49" i="35"/>
  <c r="P395" i="35"/>
  <c r="BH15" i="22"/>
  <c r="S398" i="35"/>
  <c r="BG15" i="22"/>
  <c r="R484" i="35"/>
  <c r="BF15" i="22"/>
  <c r="Q484" i="35"/>
  <c r="BE15" i="22"/>
  <c r="P484" i="35"/>
  <c r="BD15" i="22"/>
  <c r="N484" i="35"/>
  <c r="BC15" i="22"/>
  <c r="M484" i="35"/>
  <c r="BB15" i="22"/>
  <c r="L484" i="35"/>
  <c r="BA15" i="22"/>
  <c r="K484" i="35"/>
  <c r="AZ15" i="22"/>
  <c r="AY15" i="22"/>
  <c r="AX15" i="22"/>
  <c r="AW15" i="22"/>
  <c r="AK95" i="23"/>
  <c r="AK96" i="23"/>
  <c r="AK97" i="23"/>
  <c r="AK98" i="23"/>
  <c r="AK99" i="23"/>
  <c r="AK100" i="23"/>
  <c r="AK101" i="23"/>
  <c r="AK102" i="23"/>
  <c r="AK103" i="23"/>
  <c r="AK104" i="23"/>
  <c r="AK105" i="23"/>
  <c r="AK106" i="23"/>
  <c r="AK107" i="23"/>
  <c r="AK108" i="23"/>
  <c r="AK109" i="23"/>
  <c r="AK110" i="23"/>
  <c r="AK111" i="23"/>
  <c r="AK112" i="23"/>
  <c r="AK113" i="23"/>
  <c r="AK114" i="23"/>
  <c r="AK115" i="23"/>
  <c r="AK116" i="23"/>
  <c r="AK117" i="23"/>
  <c r="AK118" i="23"/>
  <c r="AK119" i="23"/>
  <c r="AK120" i="23"/>
  <c r="AK121" i="23"/>
  <c r="AK122" i="23"/>
  <c r="AK123" i="23"/>
  <c r="AK124" i="23"/>
  <c r="AK125" i="23"/>
  <c r="AK126" i="23"/>
  <c r="AK127" i="23"/>
  <c r="AK128" i="23"/>
  <c r="AK129" i="23"/>
  <c r="AK130" i="23"/>
  <c r="AK83" i="23"/>
  <c r="AK82" i="23"/>
  <c r="AK81" i="23"/>
  <c r="AK80" i="23"/>
  <c r="AK79" i="23"/>
  <c r="AK78" i="23"/>
  <c r="AK77" i="23"/>
  <c r="AK76" i="23"/>
  <c r="AK75" i="23"/>
  <c r="AK74" i="23"/>
  <c r="AK73" i="23"/>
  <c r="AK72" i="23"/>
  <c r="AK61" i="23"/>
  <c r="AK60" i="23"/>
  <c r="AK59" i="23"/>
  <c r="AK58" i="23"/>
  <c r="AK57" i="23"/>
  <c r="AK56" i="23"/>
  <c r="AK55" i="23"/>
  <c r="AK54" i="23"/>
  <c r="AK53" i="23"/>
  <c r="AK52" i="23"/>
  <c r="AK51" i="23"/>
  <c r="AK50" i="23"/>
  <c r="AK49" i="23"/>
  <c r="AK48" i="23"/>
  <c r="AK47" i="23"/>
  <c r="AK46" i="23"/>
  <c r="AK45" i="23"/>
  <c r="AK44" i="23"/>
  <c r="AK43" i="23"/>
  <c r="AK42" i="23"/>
  <c r="AK41" i="23"/>
  <c r="AK40" i="23"/>
  <c r="AK39" i="23"/>
  <c r="AK38" i="23"/>
  <c r="AK37" i="23"/>
  <c r="AK36" i="23"/>
  <c r="AK35" i="23"/>
  <c r="AK34" i="23"/>
  <c r="AK33" i="23"/>
  <c r="AK32" i="23"/>
  <c r="AK31" i="23"/>
  <c r="AK30" i="23"/>
  <c r="AK29" i="23"/>
  <c r="AK28" i="23"/>
  <c r="AK27" i="23"/>
  <c r="AK26" i="23"/>
  <c r="AK25" i="23"/>
  <c r="AK24" i="23"/>
  <c r="AK23" i="23"/>
  <c r="AK22" i="23"/>
  <c r="AK21" i="23"/>
  <c r="AK20" i="23"/>
  <c r="AK19" i="23"/>
  <c r="AK18" i="23"/>
  <c r="AK17" i="23"/>
  <c r="AK16" i="23"/>
  <c r="AK15" i="23"/>
  <c r="C98" i="61"/>
  <c r="L98" i="61"/>
  <c r="C3" i="61"/>
  <c r="AP3" i="61"/>
  <c r="C90" i="55"/>
  <c r="C91" i="55"/>
  <c r="AH91" i="55"/>
  <c r="C92" i="55"/>
  <c r="BD92" i="55"/>
  <c r="C93" i="55"/>
  <c r="C94" i="55"/>
  <c r="P94" i="55"/>
  <c r="C95" i="55"/>
  <c r="P95" i="55"/>
  <c r="C96" i="55"/>
  <c r="BD96" i="55"/>
  <c r="C97" i="55"/>
  <c r="C98" i="55"/>
  <c r="P98" i="55"/>
  <c r="C99" i="55"/>
  <c r="AH99" i="55"/>
  <c r="C100" i="55"/>
  <c r="T100" i="55"/>
  <c r="C101" i="55"/>
  <c r="C102" i="55"/>
  <c r="L102" i="55"/>
  <c r="C103" i="55"/>
  <c r="AV103" i="55"/>
  <c r="C104" i="55"/>
  <c r="L104" i="55"/>
  <c r="C105" i="55"/>
  <c r="C106" i="55"/>
  <c r="L106" i="55"/>
  <c r="C107" i="55"/>
  <c r="L107" i="55"/>
  <c r="C108" i="55"/>
  <c r="BD108" i="55"/>
  <c r="C109" i="55"/>
  <c r="C110" i="55"/>
  <c r="C111" i="55"/>
  <c r="BH111" i="55"/>
  <c r="C112" i="55"/>
  <c r="AL112" i="55"/>
  <c r="C113" i="55"/>
  <c r="C114" i="55"/>
  <c r="C115" i="55"/>
  <c r="P115" i="55"/>
  <c r="C116" i="55"/>
  <c r="P116" i="55"/>
  <c r="C117" i="55"/>
  <c r="C118" i="55"/>
  <c r="P118" i="55"/>
  <c r="C119" i="55"/>
  <c r="AZ119" i="55"/>
  <c r="C120" i="55"/>
  <c r="P120" i="55"/>
  <c r="C121" i="55"/>
  <c r="C122" i="55"/>
  <c r="P122" i="55"/>
  <c r="C123" i="55"/>
  <c r="X123" i="55"/>
  <c r="C124" i="55"/>
  <c r="BD124" i="55"/>
  <c r="C125" i="55"/>
  <c r="C126" i="55"/>
  <c r="C127" i="55"/>
  <c r="AD127" i="55"/>
  <c r="C128" i="55"/>
  <c r="P128" i="55"/>
  <c r="C129" i="55"/>
  <c r="C130" i="55"/>
  <c r="P130" i="55"/>
  <c r="C131" i="55"/>
  <c r="AZ131" i="55"/>
  <c r="C132" i="55"/>
  <c r="L132" i="55"/>
  <c r="C133" i="55"/>
  <c r="C134" i="55"/>
  <c r="P134" i="55"/>
  <c r="C135" i="55"/>
  <c r="AL135" i="55"/>
  <c r="C136" i="55"/>
  <c r="AL136" i="55"/>
  <c r="C137" i="55"/>
  <c r="L137" i="55"/>
  <c r="C138" i="55"/>
  <c r="P138" i="55"/>
  <c r="C139" i="55"/>
  <c r="P139" i="55"/>
  <c r="C140" i="55"/>
  <c r="P140" i="55"/>
  <c r="C141" i="55"/>
  <c r="C142" i="55"/>
  <c r="P142" i="55"/>
  <c r="C143" i="55"/>
  <c r="AP143" i="55"/>
  <c r="C144" i="55"/>
  <c r="BH144" i="55"/>
  <c r="C145" i="55"/>
  <c r="C146" i="55"/>
  <c r="AZ146" i="55"/>
  <c r="C147" i="55"/>
  <c r="BH147" i="55"/>
  <c r="C148" i="55"/>
  <c r="BH148" i="55"/>
  <c r="C149" i="55"/>
  <c r="C150" i="55"/>
  <c r="AV150" i="55"/>
  <c r="C151" i="55"/>
  <c r="P151" i="55"/>
  <c r="C152" i="55"/>
  <c r="AZ152" i="55"/>
  <c r="C153" i="55"/>
  <c r="C154" i="55"/>
  <c r="AH154" i="55"/>
  <c r="C155" i="55"/>
  <c r="X155" i="55"/>
  <c r="C156" i="55"/>
  <c r="AP156" i="55"/>
  <c r="C157" i="55"/>
  <c r="P157" i="55"/>
  <c r="C158" i="55"/>
  <c r="AV158" i="55"/>
  <c r="C159" i="55"/>
  <c r="AZ159" i="55"/>
  <c r="C160" i="55"/>
  <c r="AD160" i="55"/>
  <c r="C161" i="55"/>
  <c r="BD161" i="55"/>
  <c r="C162" i="55"/>
  <c r="C79" i="55"/>
  <c r="L79" i="55"/>
  <c r="C80" i="55"/>
  <c r="L80" i="55"/>
  <c r="C81" i="55"/>
  <c r="C82" i="55"/>
  <c r="C83" i="55"/>
  <c r="L83" i="55"/>
  <c r="C84" i="55"/>
  <c r="P84" i="55"/>
  <c r="C85" i="55"/>
  <c r="C4" i="55"/>
  <c r="C5" i="55"/>
  <c r="C6" i="55"/>
  <c r="C7" i="55"/>
  <c r="C8" i="55"/>
  <c r="C9" i="55"/>
  <c r="C10" i="55"/>
  <c r="C11" i="55"/>
  <c r="C12" i="55"/>
  <c r="C13" i="55"/>
  <c r="C14" i="55"/>
  <c r="C15" i="55"/>
  <c r="C16" i="55"/>
  <c r="C17" i="55"/>
  <c r="C18" i="55"/>
  <c r="C19" i="55"/>
  <c r="C20" i="55"/>
  <c r="C21" i="55"/>
  <c r="C22" i="55"/>
  <c r="C23" i="55"/>
  <c r="C24" i="55"/>
  <c r="C25" i="55"/>
  <c r="C26" i="55"/>
  <c r="C27" i="55"/>
  <c r="C28" i="55"/>
  <c r="C29" i="55"/>
  <c r="C30" i="55"/>
  <c r="C31" i="55"/>
  <c r="C32" i="55"/>
  <c r="C33" i="55"/>
  <c r="C34" i="55"/>
  <c r="C35" i="55"/>
  <c r="C36" i="55"/>
  <c r="C37" i="55"/>
  <c r="C38" i="55"/>
  <c r="C39" i="55"/>
  <c r="C40" i="55"/>
  <c r="C41" i="55"/>
  <c r="C42" i="55"/>
  <c r="C43" i="55"/>
  <c r="C44" i="55"/>
  <c r="C45" i="55"/>
  <c r="C46" i="55"/>
  <c r="C47" i="55"/>
  <c r="C48" i="55"/>
  <c r="C49" i="55"/>
  <c r="C50" i="55"/>
  <c r="C51" i="55"/>
  <c r="C52" i="55"/>
  <c r="C53" i="55"/>
  <c r="C54" i="55"/>
  <c r="C55" i="55"/>
  <c r="C56" i="55"/>
  <c r="C57" i="55"/>
  <c r="C58" i="55"/>
  <c r="W3" i="45"/>
  <c r="W4" i="45"/>
  <c r="W5" i="45"/>
  <c r="W6" i="45"/>
  <c r="W7" i="45"/>
  <c r="W8" i="45"/>
  <c r="W9" i="45"/>
  <c r="W10" i="45"/>
  <c r="W11" i="45"/>
  <c r="W12" i="45"/>
  <c r="W13" i="45"/>
  <c r="W14" i="45"/>
  <c r="W15" i="45"/>
  <c r="W16" i="45"/>
  <c r="W17" i="45"/>
  <c r="W18" i="45"/>
  <c r="W19" i="45"/>
  <c r="W20" i="45"/>
  <c r="W21" i="45"/>
  <c r="W22" i="45"/>
  <c r="W23" i="45"/>
  <c r="W24" i="45"/>
  <c r="W25" i="45"/>
  <c r="W26" i="45"/>
  <c r="W27" i="45"/>
  <c r="W28" i="45"/>
  <c r="W29" i="45"/>
  <c r="I4" i="55" a="1"/>
  <c r="I4" i="55"/>
  <c r="J4" i="55" a="1"/>
  <c r="J4" i="55"/>
  <c r="N4" i="55" a="1"/>
  <c r="N4" i="55"/>
  <c r="R4" i="55" a="1"/>
  <c r="R4" i="55"/>
  <c r="V4" i="55" a="1"/>
  <c r="V4" i="55"/>
  <c r="W4" i="55"/>
  <c r="AA4" i="55" a="1"/>
  <c r="AA4" i="55"/>
  <c r="AB4" i="55" a="1"/>
  <c r="AB4" i="55"/>
  <c r="AF4" i="55" a="1"/>
  <c r="AF4" i="55"/>
  <c r="AJ4" i="55" a="1"/>
  <c r="AJ4" i="55"/>
  <c r="AN4" i="55" a="1"/>
  <c r="AN4" i="55"/>
  <c r="AS4" i="55" a="1"/>
  <c r="AS4" i="55"/>
  <c r="AT4" i="55" a="1"/>
  <c r="AT4" i="55"/>
  <c r="AX4" i="55" a="1"/>
  <c r="AX4" i="55"/>
  <c r="BB4" i="55" a="1"/>
  <c r="BB4" i="55"/>
  <c r="BF4" i="55" a="1"/>
  <c r="BF4" i="55"/>
  <c r="G5" i="55" a="1"/>
  <c r="G5" i="55"/>
  <c r="H5" i="55" a="1"/>
  <c r="H5" i="55"/>
  <c r="I5" i="55" a="1"/>
  <c r="I5" i="55"/>
  <c r="J5" i="55" a="1"/>
  <c r="J5" i="55"/>
  <c r="N5" i="55" a="1"/>
  <c r="N5" i="55"/>
  <c r="R5" i="55" a="1"/>
  <c r="R5" i="55"/>
  <c r="V5" i="55" a="1"/>
  <c r="V5" i="55"/>
  <c r="AA5" i="55" a="1"/>
  <c r="AA5" i="55"/>
  <c r="AB5" i="55" a="1"/>
  <c r="AB5" i="55"/>
  <c r="AF5" i="55" a="1"/>
  <c r="AF5" i="55"/>
  <c r="AJ5" i="55" a="1"/>
  <c r="AJ5" i="55"/>
  <c r="AN5" i="55" a="1"/>
  <c r="AN5" i="55"/>
  <c r="AS5" i="55" a="1"/>
  <c r="AS5" i="55"/>
  <c r="AT5" i="55" a="1"/>
  <c r="AT5" i="55"/>
  <c r="AX5" i="55" a="1"/>
  <c r="AX5" i="55"/>
  <c r="BB5" i="55" a="1"/>
  <c r="BB5" i="55"/>
  <c r="BF5" i="55" a="1"/>
  <c r="BF5" i="55"/>
  <c r="G6" i="55" a="1"/>
  <c r="G6" i="55"/>
  <c r="H6" i="55" a="1"/>
  <c r="H6" i="55"/>
  <c r="I6" i="55" a="1"/>
  <c r="I6" i="55"/>
  <c r="J6" i="55" a="1"/>
  <c r="J6" i="55"/>
  <c r="N6" i="55" a="1"/>
  <c r="N6" i="55"/>
  <c r="R6" i="55" a="1"/>
  <c r="R6" i="55"/>
  <c r="V6" i="55" a="1"/>
  <c r="V6" i="55"/>
  <c r="AA6" i="55" a="1"/>
  <c r="AA6" i="55"/>
  <c r="AB6" i="55" a="1"/>
  <c r="AB6" i="55"/>
  <c r="AF6" i="55" a="1"/>
  <c r="AF6" i="55"/>
  <c r="AJ6" i="55" a="1"/>
  <c r="AJ6" i="55"/>
  <c r="AN6" i="55" a="1"/>
  <c r="AN6" i="55"/>
  <c r="AS6" i="55" a="1"/>
  <c r="AS6" i="55"/>
  <c r="AT6" i="55" a="1"/>
  <c r="AT6" i="55"/>
  <c r="AX6" i="55" a="1"/>
  <c r="AX6" i="55"/>
  <c r="BB6" i="55" a="1"/>
  <c r="BB6" i="55"/>
  <c r="BF6" i="55" a="1"/>
  <c r="BF6" i="55"/>
  <c r="G7" i="55" a="1"/>
  <c r="G7" i="55"/>
  <c r="H7" i="55" a="1"/>
  <c r="H7" i="55"/>
  <c r="I7" i="55" a="1"/>
  <c r="I7" i="55"/>
  <c r="J7" i="55" a="1"/>
  <c r="J7" i="55"/>
  <c r="N7" i="55" a="1"/>
  <c r="N7" i="55"/>
  <c r="R7" i="55" a="1"/>
  <c r="R7" i="55"/>
  <c r="V7" i="55" a="1"/>
  <c r="V7" i="55"/>
  <c r="AA7" i="55" a="1"/>
  <c r="AA7" i="55"/>
  <c r="AB7" i="55" a="1"/>
  <c r="AB7" i="55"/>
  <c r="AF7" i="55" a="1"/>
  <c r="AF7" i="55"/>
  <c r="AJ7" i="55" a="1"/>
  <c r="AJ7" i="55"/>
  <c r="AN7" i="55" a="1"/>
  <c r="AN7" i="55"/>
  <c r="AS7" i="55" a="1"/>
  <c r="AS7" i="55"/>
  <c r="AT7" i="55" a="1"/>
  <c r="AT7" i="55"/>
  <c r="AX7" i="55" a="1"/>
  <c r="AX7" i="55"/>
  <c r="BB7" i="55" a="1"/>
  <c r="BB7" i="55"/>
  <c r="BF7" i="55" a="1"/>
  <c r="BF7" i="55"/>
  <c r="I8" i="55" a="1"/>
  <c r="I8" i="55"/>
  <c r="J8" i="55" a="1"/>
  <c r="J8" i="55"/>
  <c r="N8" i="55" a="1"/>
  <c r="N8" i="55"/>
  <c r="R8" i="55" a="1"/>
  <c r="R8" i="55"/>
  <c r="V8" i="55" a="1"/>
  <c r="V8" i="55"/>
  <c r="AA8" i="55" a="1"/>
  <c r="AA8" i="55"/>
  <c r="AB8" i="55" a="1"/>
  <c r="AB8" i="55"/>
  <c r="AF8" i="55" a="1"/>
  <c r="AF8" i="55"/>
  <c r="AJ8" i="55" a="1"/>
  <c r="AJ8" i="55"/>
  <c r="AN8" i="55" a="1"/>
  <c r="AN8" i="55"/>
  <c r="AS8" i="55" a="1"/>
  <c r="AS8" i="55"/>
  <c r="AT8" i="55" a="1"/>
  <c r="AT8" i="55"/>
  <c r="AX8" i="55" a="1"/>
  <c r="AX8" i="55"/>
  <c r="BB8" i="55" a="1"/>
  <c r="BB8" i="55"/>
  <c r="BF8" i="55" a="1"/>
  <c r="BF8" i="55"/>
  <c r="I9" i="55" a="1"/>
  <c r="I9" i="55"/>
  <c r="R9" i="55" a="1"/>
  <c r="R9" i="55"/>
  <c r="J9" i="55" a="1"/>
  <c r="J9" i="55"/>
  <c r="N9" i="55" a="1"/>
  <c r="N9" i="55"/>
  <c r="V9" i="55" a="1"/>
  <c r="V9" i="55"/>
  <c r="AA9" i="55" a="1"/>
  <c r="AA9" i="55"/>
  <c r="AB9" i="55" a="1"/>
  <c r="AB9" i="55"/>
  <c r="AF9" i="55" a="1"/>
  <c r="AF9" i="55"/>
  <c r="AJ9" i="55" a="1"/>
  <c r="AJ9" i="55"/>
  <c r="AN9" i="55" a="1"/>
  <c r="AN9" i="55"/>
  <c r="AS9" i="55" a="1"/>
  <c r="AS9" i="55"/>
  <c r="AT9" i="55" a="1"/>
  <c r="AT9" i="55"/>
  <c r="AX9" i="55" a="1"/>
  <c r="AX9" i="55"/>
  <c r="BB9" i="55" a="1"/>
  <c r="BB9" i="55"/>
  <c r="BF9" i="55" a="1"/>
  <c r="BF9" i="55"/>
  <c r="G10" i="55" a="1"/>
  <c r="G10" i="55"/>
  <c r="H10" i="55" a="1"/>
  <c r="H10" i="55"/>
  <c r="I10" i="55" a="1"/>
  <c r="I10" i="55"/>
  <c r="J10" i="55" a="1"/>
  <c r="J10" i="55"/>
  <c r="N10" i="55" a="1"/>
  <c r="N10" i="55"/>
  <c r="R10" i="55" a="1"/>
  <c r="R10" i="55"/>
  <c r="V10" i="55" a="1"/>
  <c r="V10" i="55"/>
  <c r="AA10" i="55" a="1"/>
  <c r="AA10" i="55"/>
  <c r="AB10" i="55" a="1"/>
  <c r="AB10" i="55"/>
  <c r="AF10" i="55" a="1"/>
  <c r="AF10" i="55"/>
  <c r="AJ10" i="55" a="1"/>
  <c r="AJ10" i="55"/>
  <c r="AN10" i="55" a="1"/>
  <c r="AN10" i="55"/>
  <c r="AS10" i="55" a="1"/>
  <c r="AS10" i="55"/>
  <c r="AT10" i="55" a="1"/>
  <c r="AT10" i="55"/>
  <c r="AX10" i="55" a="1"/>
  <c r="AX10" i="55"/>
  <c r="BB10" i="55" a="1"/>
  <c r="BB10" i="55"/>
  <c r="BF10" i="55" a="1"/>
  <c r="BF10" i="55"/>
  <c r="G11" i="55" a="1"/>
  <c r="G11" i="55"/>
  <c r="H11" i="55" a="1"/>
  <c r="H11" i="55"/>
  <c r="I11" i="55" a="1"/>
  <c r="I11" i="55"/>
  <c r="J11" i="55" a="1"/>
  <c r="J11" i="55"/>
  <c r="N11" i="55" a="1"/>
  <c r="N11" i="55"/>
  <c r="R11" i="55" a="1"/>
  <c r="R11" i="55"/>
  <c r="V11" i="55" a="1"/>
  <c r="V11" i="55"/>
  <c r="AA11" i="55" a="1"/>
  <c r="AA11" i="55"/>
  <c r="AB11" i="55" a="1"/>
  <c r="AB11" i="55"/>
  <c r="AF11" i="55" a="1"/>
  <c r="AF11" i="55"/>
  <c r="AJ11" i="55" a="1"/>
  <c r="AJ11" i="55"/>
  <c r="AN11" i="55" a="1"/>
  <c r="AN11" i="55"/>
  <c r="AS11" i="55" a="1"/>
  <c r="AS11" i="55"/>
  <c r="AT11" i="55" a="1"/>
  <c r="AT11" i="55"/>
  <c r="AX11" i="55" a="1"/>
  <c r="AX11" i="55"/>
  <c r="BB11" i="55" a="1"/>
  <c r="BB11" i="55"/>
  <c r="BF11" i="55" a="1"/>
  <c r="BF11" i="55"/>
  <c r="G12" i="55" a="1"/>
  <c r="G12" i="55"/>
  <c r="H12" i="55" a="1"/>
  <c r="H12" i="55"/>
  <c r="I12" i="55" a="1"/>
  <c r="I12" i="55"/>
  <c r="J12" i="55" a="1"/>
  <c r="J12" i="55"/>
  <c r="N12" i="55" a="1"/>
  <c r="N12" i="55"/>
  <c r="R12" i="55" a="1"/>
  <c r="R12" i="55"/>
  <c r="V12" i="55" a="1"/>
  <c r="V12" i="55"/>
  <c r="AA12" i="55" a="1"/>
  <c r="AA12" i="55"/>
  <c r="AF12" i="55" a="1"/>
  <c r="AF12" i="55"/>
  <c r="AB12" i="55" a="1"/>
  <c r="AB12" i="55"/>
  <c r="AJ12" i="55" a="1"/>
  <c r="AJ12" i="55"/>
  <c r="AN12" i="55" a="1"/>
  <c r="AN12" i="55"/>
  <c r="AS12" i="55" a="1"/>
  <c r="AS12" i="55"/>
  <c r="AT12" i="55" a="1"/>
  <c r="AT12" i="55"/>
  <c r="AX12" i="55" a="1"/>
  <c r="AX12" i="55"/>
  <c r="BB12" i="55" a="1"/>
  <c r="BB12" i="55"/>
  <c r="BF12" i="55" a="1"/>
  <c r="BF12" i="55"/>
  <c r="G13" i="55" a="1"/>
  <c r="G13" i="55"/>
  <c r="H13" i="55" a="1"/>
  <c r="H13" i="55"/>
  <c r="I13" i="55" a="1"/>
  <c r="I13" i="55"/>
  <c r="J13" i="55" a="1"/>
  <c r="J13" i="55"/>
  <c r="N13" i="55" a="1"/>
  <c r="N13" i="55"/>
  <c r="P13" i="55"/>
  <c r="R13" i="55" a="1"/>
  <c r="R13" i="55"/>
  <c r="V13" i="55" a="1"/>
  <c r="V13" i="55"/>
  <c r="AA13" i="55" a="1"/>
  <c r="AA13" i="55"/>
  <c r="AB13" i="55" a="1"/>
  <c r="AB13" i="55"/>
  <c r="AF13" i="55" a="1"/>
  <c r="AF13" i="55"/>
  <c r="AJ13" i="55" a="1"/>
  <c r="AJ13" i="55"/>
  <c r="AN13" i="55" a="1"/>
  <c r="AN13" i="55"/>
  <c r="AS13" i="55" a="1"/>
  <c r="AS13" i="55"/>
  <c r="AX13" i="55" a="1"/>
  <c r="AX13" i="55"/>
  <c r="AT13" i="55" a="1"/>
  <c r="AT13" i="55"/>
  <c r="BB13" i="55" a="1"/>
  <c r="BB13" i="55"/>
  <c r="BF13" i="55" a="1"/>
  <c r="BF13" i="55"/>
  <c r="G14" i="55" a="1"/>
  <c r="G14" i="55"/>
  <c r="H14" i="55" a="1"/>
  <c r="H14" i="55"/>
  <c r="I14" i="55" a="1"/>
  <c r="I14" i="55"/>
  <c r="J14" i="55" a="1"/>
  <c r="J14" i="55"/>
  <c r="N14" i="55" a="1"/>
  <c r="N14" i="55"/>
  <c r="R14" i="55" a="1"/>
  <c r="R14" i="55"/>
  <c r="V14" i="55" a="1"/>
  <c r="V14" i="55"/>
  <c r="AA14" i="55" a="1"/>
  <c r="AA14" i="55"/>
  <c r="AB14" i="55" a="1"/>
  <c r="AB14" i="55"/>
  <c r="AF14" i="55" a="1"/>
  <c r="AF14" i="55"/>
  <c r="AJ14" i="55" a="1"/>
  <c r="AJ14" i="55"/>
  <c r="AN14" i="55" a="1"/>
  <c r="AN14" i="55"/>
  <c r="AS14" i="55" a="1"/>
  <c r="AS14" i="55"/>
  <c r="AX14" i="55" a="1"/>
  <c r="AX14" i="55"/>
  <c r="AT14" i="55" a="1"/>
  <c r="AT14" i="55"/>
  <c r="BB14" i="55" a="1"/>
  <c r="BB14" i="55"/>
  <c r="BF14" i="55" a="1"/>
  <c r="BF14" i="55"/>
  <c r="G15" i="55" a="1"/>
  <c r="G15" i="55"/>
  <c r="H15" i="55" a="1"/>
  <c r="H15" i="55"/>
  <c r="I15" i="55" a="1"/>
  <c r="I15" i="55"/>
  <c r="J15" i="55" a="1"/>
  <c r="J15" i="55"/>
  <c r="N15" i="55" a="1"/>
  <c r="N15" i="55"/>
  <c r="R15" i="55" a="1"/>
  <c r="R15" i="55"/>
  <c r="V15" i="55" a="1"/>
  <c r="V15" i="55"/>
  <c r="AA15" i="55" a="1"/>
  <c r="AA15" i="55"/>
  <c r="AB15" i="55" a="1"/>
  <c r="AB15" i="55"/>
  <c r="AF15" i="55" a="1"/>
  <c r="AF15" i="55"/>
  <c r="AJ15" i="55" a="1"/>
  <c r="AJ15" i="55"/>
  <c r="AN15" i="55" a="1"/>
  <c r="AN15" i="55"/>
  <c r="AS15" i="55" a="1"/>
  <c r="AS15" i="55"/>
  <c r="AX15" i="55" a="1"/>
  <c r="AX15" i="55"/>
  <c r="AT15" i="55" a="1"/>
  <c r="AT15" i="55"/>
  <c r="BB15" i="55" a="1"/>
  <c r="BB15" i="55"/>
  <c r="BF15" i="55" a="1"/>
  <c r="BF15" i="55"/>
  <c r="G16" i="55" a="1"/>
  <c r="G16" i="55"/>
  <c r="H16" i="55" a="1"/>
  <c r="H16" i="55"/>
  <c r="I16" i="55" a="1"/>
  <c r="I16" i="55"/>
  <c r="J16" i="55" a="1"/>
  <c r="J16" i="55"/>
  <c r="N16" i="55" a="1"/>
  <c r="N16" i="55"/>
  <c r="R16" i="55" a="1"/>
  <c r="R16" i="55"/>
  <c r="V16" i="55" a="1"/>
  <c r="V16" i="55"/>
  <c r="AA16" i="55" a="1"/>
  <c r="AA16" i="55"/>
  <c r="AB16" i="55" a="1"/>
  <c r="AB16" i="55"/>
  <c r="AF16" i="55" a="1"/>
  <c r="AF16" i="55"/>
  <c r="AJ16" i="55" a="1"/>
  <c r="AJ16" i="55"/>
  <c r="AN16" i="55" a="1"/>
  <c r="AN16" i="55"/>
  <c r="AS16" i="55" a="1"/>
  <c r="AS16" i="55"/>
  <c r="AX16" i="55" a="1"/>
  <c r="AX16" i="55"/>
  <c r="AT16" i="55" a="1"/>
  <c r="AT16" i="55"/>
  <c r="BB16" i="55" a="1"/>
  <c r="BB16" i="55"/>
  <c r="BF16" i="55" a="1"/>
  <c r="BF16" i="55"/>
  <c r="G17" i="55" a="1"/>
  <c r="G17" i="55"/>
  <c r="H17" i="55" a="1"/>
  <c r="H17" i="55"/>
  <c r="I17" i="55" a="1"/>
  <c r="I17" i="55"/>
  <c r="J17" i="55" a="1"/>
  <c r="J17" i="55"/>
  <c r="N17" i="55" a="1"/>
  <c r="N17" i="55"/>
  <c r="R17" i="55" a="1"/>
  <c r="R17" i="55"/>
  <c r="V17" i="55" a="1"/>
  <c r="V17" i="55"/>
  <c r="AA17" i="55" a="1"/>
  <c r="AA17" i="55"/>
  <c r="AB17" i="55" a="1"/>
  <c r="AB17" i="55"/>
  <c r="AF17" i="55" a="1"/>
  <c r="AF17" i="55"/>
  <c r="AJ17" i="55" a="1"/>
  <c r="AJ17" i="55"/>
  <c r="AN17" i="55" a="1"/>
  <c r="AN17" i="55"/>
  <c r="AS17" i="55" a="1"/>
  <c r="AS17" i="55"/>
  <c r="AX17" i="55" a="1"/>
  <c r="AX17" i="55"/>
  <c r="AT17" i="55" a="1"/>
  <c r="AT17" i="55"/>
  <c r="BB17" i="55" a="1"/>
  <c r="BB17" i="55"/>
  <c r="BF17" i="55" a="1"/>
  <c r="BF17" i="55"/>
  <c r="G18" i="55" a="1"/>
  <c r="G18" i="55"/>
  <c r="H18" i="55" a="1"/>
  <c r="H18" i="55"/>
  <c r="I18" i="55" a="1"/>
  <c r="I18" i="55"/>
  <c r="J18" i="55" a="1"/>
  <c r="J18" i="55"/>
  <c r="N18" i="55" a="1"/>
  <c r="N18" i="55"/>
  <c r="R18" i="55" a="1"/>
  <c r="R18" i="55"/>
  <c r="V18" i="55" a="1"/>
  <c r="V18" i="55"/>
  <c r="AA18" i="55" a="1"/>
  <c r="AA18" i="55"/>
  <c r="AB18" i="55" a="1"/>
  <c r="AB18" i="55"/>
  <c r="AF18" i="55" a="1"/>
  <c r="AF18" i="55"/>
  <c r="AJ18" i="55" a="1"/>
  <c r="AJ18" i="55"/>
  <c r="AN18" i="55" a="1"/>
  <c r="AN18" i="55"/>
  <c r="AS18" i="55" a="1"/>
  <c r="AS18" i="55"/>
  <c r="AX18" i="55" a="1"/>
  <c r="AX18" i="55"/>
  <c r="AT18" i="55" a="1"/>
  <c r="AT18" i="55"/>
  <c r="BB18" i="55" a="1"/>
  <c r="BB18" i="55"/>
  <c r="BF18" i="55" a="1"/>
  <c r="BF18" i="55"/>
  <c r="G19" i="55" a="1"/>
  <c r="G19" i="55"/>
  <c r="H19" i="55" a="1"/>
  <c r="H19" i="55"/>
  <c r="I19" i="55" a="1"/>
  <c r="I19" i="55"/>
  <c r="J19" i="55" a="1"/>
  <c r="J19" i="55"/>
  <c r="N19" i="55" a="1"/>
  <c r="N19" i="55"/>
  <c r="R19" i="55" a="1"/>
  <c r="R19" i="55"/>
  <c r="V19" i="55" a="1"/>
  <c r="V19" i="55"/>
  <c r="AA19" i="55" a="1"/>
  <c r="AA19" i="55"/>
  <c r="AB19" i="55" a="1"/>
  <c r="AB19" i="55"/>
  <c r="AF19" i="55" a="1"/>
  <c r="AF19" i="55"/>
  <c r="AJ19" i="55" a="1"/>
  <c r="AJ19" i="55"/>
  <c r="AN19" i="55" a="1"/>
  <c r="AN19" i="55"/>
  <c r="AS19" i="55" a="1"/>
  <c r="AS19" i="55"/>
  <c r="AT19" i="55" a="1"/>
  <c r="AT19" i="55"/>
  <c r="AX19" i="55" a="1"/>
  <c r="AX19" i="55"/>
  <c r="BB19" i="55" a="1"/>
  <c r="BB19" i="55"/>
  <c r="BF19" i="55" a="1"/>
  <c r="BF19" i="55"/>
  <c r="G20" i="55" a="1"/>
  <c r="G20" i="55"/>
  <c r="H20" i="55" a="1"/>
  <c r="H20" i="55"/>
  <c r="I20" i="55" a="1"/>
  <c r="I20" i="55"/>
  <c r="J20" i="55" a="1"/>
  <c r="J20" i="55"/>
  <c r="N20" i="55" a="1"/>
  <c r="N20" i="55"/>
  <c r="R20" i="55" a="1"/>
  <c r="R20" i="55"/>
  <c r="V20" i="55" a="1"/>
  <c r="V20" i="55"/>
  <c r="AA20" i="55" a="1"/>
  <c r="AA20" i="55"/>
  <c r="AB20" i="55" a="1"/>
  <c r="AB20" i="55"/>
  <c r="AF20" i="55" a="1"/>
  <c r="AF20" i="55"/>
  <c r="AJ20" i="55" a="1"/>
  <c r="AJ20" i="55"/>
  <c r="AN20" i="55" a="1"/>
  <c r="AN20" i="55"/>
  <c r="AS20" i="55" a="1"/>
  <c r="AS20" i="55"/>
  <c r="AT20" i="55" a="1"/>
  <c r="AT20" i="55"/>
  <c r="AX20" i="55" a="1"/>
  <c r="AX20" i="55"/>
  <c r="BB20" i="55" a="1"/>
  <c r="BB20" i="55"/>
  <c r="BF20" i="55" a="1"/>
  <c r="BF20" i="55"/>
  <c r="I21" i="55" a="1"/>
  <c r="I21" i="55"/>
  <c r="J21" i="55" a="1"/>
  <c r="J21" i="55"/>
  <c r="N21" i="55" a="1"/>
  <c r="N21" i="55"/>
  <c r="R21" i="55" a="1"/>
  <c r="R21" i="55"/>
  <c r="V21" i="55" a="1"/>
  <c r="V21" i="55"/>
  <c r="AA21" i="55" a="1"/>
  <c r="AA21" i="55"/>
  <c r="AF21" i="55" a="1"/>
  <c r="AF21" i="55"/>
  <c r="AB21" i="55" a="1"/>
  <c r="AB21" i="55"/>
  <c r="AJ21" i="55" a="1"/>
  <c r="AJ21" i="55"/>
  <c r="AN21" i="55" a="1"/>
  <c r="AN21" i="55"/>
  <c r="AS21" i="55" a="1"/>
  <c r="AS21" i="55"/>
  <c r="AT21" i="55" a="1"/>
  <c r="AT21" i="55"/>
  <c r="AX21" i="55" a="1"/>
  <c r="AX21" i="55"/>
  <c r="BB21" i="55" a="1"/>
  <c r="BB21" i="55"/>
  <c r="BF21" i="55" a="1"/>
  <c r="BF21" i="55"/>
  <c r="I22" i="55" a="1"/>
  <c r="I22" i="55"/>
  <c r="N22" i="55" a="1"/>
  <c r="N22" i="55"/>
  <c r="J22" i="55" a="1"/>
  <c r="J22" i="55"/>
  <c r="R22" i="55" a="1"/>
  <c r="R22" i="55"/>
  <c r="V22" i="55" a="1"/>
  <c r="V22" i="55"/>
  <c r="AA22" i="55" a="1"/>
  <c r="AA22" i="55"/>
  <c r="AB22" i="55" a="1"/>
  <c r="AB22" i="55"/>
  <c r="AF22" i="55" a="1"/>
  <c r="AF22" i="55"/>
  <c r="AJ22" i="55" a="1"/>
  <c r="AJ22" i="55"/>
  <c r="AN22" i="55" a="1"/>
  <c r="AN22" i="55"/>
  <c r="AS22" i="55" a="1"/>
  <c r="AS22" i="55"/>
  <c r="AT22" i="55" a="1"/>
  <c r="AT22" i="55"/>
  <c r="AX22" i="55" a="1"/>
  <c r="AX22" i="55"/>
  <c r="BB22" i="55" a="1"/>
  <c r="BB22" i="55"/>
  <c r="BF22" i="55" a="1"/>
  <c r="BF22" i="55"/>
  <c r="G23" i="55" a="1"/>
  <c r="G23" i="55"/>
  <c r="H23" i="55" a="1"/>
  <c r="H23" i="55"/>
  <c r="I23" i="55" a="1"/>
  <c r="I23" i="55"/>
  <c r="J23" i="55" a="1"/>
  <c r="J23" i="55"/>
  <c r="N23" i="55" a="1"/>
  <c r="N23" i="55"/>
  <c r="R23" i="55" a="1"/>
  <c r="R23" i="55"/>
  <c r="V23" i="55" a="1"/>
  <c r="V23" i="55"/>
  <c r="AA23" i="55" a="1"/>
  <c r="AA23" i="55"/>
  <c r="AB23" i="55" a="1"/>
  <c r="AB23" i="55"/>
  <c r="AF23" i="55" a="1"/>
  <c r="AF23" i="55"/>
  <c r="AJ23" i="55" a="1"/>
  <c r="AJ23" i="55"/>
  <c r="AN23" i="55" a="1"/>
  <c r="AN23" i="55"/>
  <c r="AS23" i="55" a="1"/>
  <c r="AS23" i="55"/>
  <c r="AT23" i="55" a="1"/>
  <c r="AT23" i="55"/>
  <c r="AX23" i="55" a="1"/>
  <c r="AX23" i="55"/>
  <c r="BB23" i="55" a="1"/>
  <c r="BB23" i="55"/>
  <c r="BF23" i="55" a="1"/>
  <c r="BF23" i="55"/>
  <c r="G24" i="55" a="1"/>
  <c r="G24" i="55"/>
  <c r="H24" i="55" a="1"/>
  <c r="H24" i="55"/>
  <c r="I24" i="55" a="1"/>
  <c r="I24" i="55"/>
  <c r="J24" i="55" a="1"/>
  <c r="J24" i="55"/>
  <c r="N24" i="55" a="1"/>
  <c r="N24" i="55"/>
  <c r="R24" i="55" a="1"/>
  <c r="R24" i="55"/>
  <c r="V24" i="55" a="1"/>
  <c r="V24" i="55"/>
  <c r="AA24" i="55" a="1"/>
  <c r="AA24" i="55"/>
  <c r="AB24" i="55" a="1"/>
  <c r="AB24" i="55"/>
  <c r="AF24" i="55" a="1"/>
  <c r="AF24" i="55"/>
  <c r="AJ24" i="55" a="1"/>
  <c r="AJ24" i="55"/>
  <c r="AN24" i="55" a="1"/>
  <c r="AN24" i="55"/>
  <c r="AS24" i="55" a="1"/>
  <c r="AS24" i="55"/>
  <c r="AX24" i="55" a="1"/>
  <c r="AX24" i="55"/>
  <c r="AT24" i="55" a="1"/>
  <c r="AT24" i="55"/>
  <c r="BB24" i="55" a="1"/>
  <c r="BB24" i="55"/>
  <c r="BF24" i="55" a="1"/>
  <c r="BF24" i="55"/>
  <c r="G25" i="55" a="1"/>
  <c r="G25" i="55"/>
  <c r="H25" i="55" a="1"/>
  <c r="H25" i="55"/>
  <c r="I25" i="55" a="1"/>
  <c r="I25" i="55"/>
  <c r="J25" i="55" a="1"/>
  <c r="J25" i="55"/>
  <c r="N25" i="55" a="1"/>
  <c r="N25" i="55"/>
  <c r="R25" i="55" a="1"/>
  <c r="R25" i="55"/>
  <c r="V25" i="55" a="1"/>
  <c r="V25" i="55"/>
  <c r="AA25" i="55" a="1"/>
  <c r="AA25" i="55"/>
  <c r="AB25" i="55" a="1"/>
  <c r="AB25" i="55"/>
  <c r="AF25" i="55" a="1"/>
  <c r="AF25" i="55"/>
  <c r="AJ25" i="55" a="1"/>
  <c r="AJ25" i="55"/>
  <c r="AN25" i="55" a="1"/>
  <c r="AN25" i="55"/>
  <c r="AS25" i="55" a="1"/>
  <c r="AS25" i="55"/>
  <c r="AT25" i="55" a="1"/>
  <c r="AT25" i="55"/>
  <c r="AX25" i="55" a="1"/>
  <c r="AX25" i="55"/>
  <c r="BB25" i="55" a="1"/>
  <c r="BB25" i="55"/>
  <c r="BF25" i="55" a="1"/>
  <c r="BF25" i="55"/>
  <c r="I26" i="55" a="1"/>
  <c r="I26" i="55"/>
  <c r="J26" i="55" a="1"/>
  <c r="J26" i="55"/>
  <c r="N26" i="55" a="1"/>
  <c r="N26" i="55"/>
  <c r="R26" i="55" a="1"/>
  <c r="R26" i="55"/>
  <c r="V26" i="55" a="1"/>
  <c r="V26" i="55"/>
  <c r="AA26" i="55" a="1"/>
  <c r="AA26" i="55"/>
  <c r="AB26" i="55" a="1"/>
  <c r="AB26" i="55"/>
  <c r="AF26" i="55" a="1"/>
  <c r="AF26" i="55"/>
  <c r="AJ26" i="55" a="1"/>
  <c r="AJ26" i="55"/>
  <c r="AN26" i="55" a="1"/>
  <c r="AN26" i="55"/>
  <c r="AS26" i="55" a="1"/>
  <c r="AS26" i="55"/>
  <c r="AT26" i="55" a="1"/>
  <c r="AT26" i="55"/>
  <c r="AX26" i="55" a="1"/>
  <c r="AX26" i="55"/>
  <c r="BB26" i="55" a="1"/>
  <c r="BB26" i="55"/>
  <c r="BF26" i="55" a="1"/>
  <c r="BF26" i="55"/>
  <c r="G27" i="55" a="1"/>
  <c r="G27" i="55"/>
  <c r="H27" i="55" a="1"/>
  <c r="H27" i="55"/>
  <c r="I27" i="55" a="1"/>
  <c r="I27" i="55"/>
  <c r="J27" i="55" a="1"/>
  <c r="J27" i="55"/>
  <c r="N27" i="55" a="1"/>
  <c r="N27" i="55"/>
  <c r="R27" i="55" a="1"/>
  <c r="R27" i="55"/>
  <c r="V27" i="55" a="1"/>
  <c r="V27" i="55"/>
  <c r="AA27" i="55" a="1"/>
  <c r="AA27" i="55"/>
  <c r="AB27" i="55" a="1"/>
  <c r="AB27" i="55"/>
  <c r="AF27" i="55" a="1"/>
  <c r="AF27" i="55"/>
  <c r="AJ27" i="55" a="1"/>
  <c r="AJ27" i="55"/>
  <c r="AN27" i="55" a="1"/>
  <c r="AN27" i="55"/>
  <c r="AS27" i="55" a="1"/>
  <c r="AS27" i="55"/>
  <c r="AT27" i="55" a="1"/>
  <c r="AT27" i="55"/>
  <c r="AX27" i="55" a="1"/>
  <c r="AX27" i="55"/>
  <c r="BB27" i="55" a="1"/>
  <c r="BB27" i="55"/>
  <c r="BF27" i="55" a="1"/>
  <c r="BF27" i="55"/>
  <c r="I28" i="55" a="1"/>
  <c r="I28" i="55"/>
  <c r="J28" i="55" a="1"/>
  <c r="J28" i="55"/>
  <c r="N28" i="55" a="1"/>
  <c r="N28" i="55"/>
  <c r="R28" i="55" a="1"/>
  <c r="R28" i="55"/>
  <c r="V28" i="55" a="1"/>
  <c r="V28" i="55"/>
  <c r="AA28" i="55" a="1"/>
  <c r="AA28" i="55"/>
  <c r="AB28" i="55" a="1"/>
  <c r="AB28" i="55"/>
  <c r="AF28" i="55" a="1"/>
  <c r="AF28" i="55"/>
  <c r="AJ28" i="55" a="1"/>
  <c r="AJ28" i="55"/>
  <c r="AN28" i="55" a="1"/>
  <c r="AN28" i="55"/>
  <c r="AS28" i="55" a="1"/>
  <c r="AS28" i="55"/>
  <c r="AT28" i="55" a="1"/>
  <c r="AT28" i="55"/>
  <c r="AX28" i="55" a="1"/>
  <c r="AX28" i="55"/>
  <c r="BB28" i="55" a="1"/>
  <c r="BB28" i="55"/>
  <c r="BF28" i="55" a="1"/>
  <c r="BF28" i="55"/>
  <c r="BG28" i="55"/>
  <c r="G29" i="55" a="1"/>
  <c r="G29" i="55"/>
  <c r="H29" i="55" a="1"/>
  <c r="H29" i="55"/>
  <c r="I29" i="55" a="1"/>
  <c r="I29" i="55"/>
  <c r="J29" i="55" a="1"/>
  <c r="J29" i="55"/>
  <c r="N29" i="55" a="1"/>
  <c r="N29" i="55"/>
  <c r="R29" i="55" a="1"/>
  <c r="R29" i="55"/>
  <c r="V29" i="55" a="1"/>
  <c r="V29" i="55"/>
  <c r="AA29" i="55" a="1"/>
  <c r="AA29" i="55"/>
  <c r="AB29" i="55" a="1"/>
  <c r="AB29" i="55"/>
  <c r="AF29" i="55" a="1"/>
  <c r="AF29" i="55"/>
  <c r="AJ29" i="55" a="1"/>
  <c r="AJ29" i="55"/>
  <c r="AN29" i="55" a="1"/>
  <c r="AN29" i="55"/>
  <c r="AS29" i="55" a="1"/>
  <c r="AS29" i="55"/>
  <c r="AT29" i="55" a="1"/>
  <c r="AT29" i="55"/>
  <c r="AX29" i="55" a="1"/>
  <c r="AX29" i="55"/>
  <c r="BB29" i="55" a="1"/>
  <c r="BB29" i="55"/>
  <c r="BF29" i="55" a="1"/>
  <c r="BF29" i="55"/>
  <c r="G30" i="55" a="1"/>
  <c r="G30" i="55"/>
  <c r="H30" i="55" a="1"/>
  <c r="H30" i="55"/>
  <c r="I30" i="55" a="1"/>
  <c r="I30" i="55"/>
  <c r="J30" i="55" a="1"/>
  <c r="J30" i="55"/>
  <c r="N30" i="55" a="1"/>
  <c r="N30" i="55"/>
  <c r="R30" i="55" a="1"/>
  <c r="R30" i="55"/>
  <c r="V30" i="55" a="1"/>
  <c r="V30" i="55"/>
  <c r="AA30" i="55" a="1"/>
  <c r="AA30" i="55"/>
  <c r="AB30" i="55" a="1"/>
  <c r="AB30" i="55"/>
  <c r="AF30" i="55" a="1"/>
  <c r="AF30" i="55"/>
  <c r="AJ30" i="55" a="1"/>
  <c r="AJ30" i="55"/>
  <c r="AN30" i="55" a="1"/>
  <c r="AN30" i="55"/>
  <c r="AS30" i="55" a="1"/>
  <c r="AS30" i="55"/>
  <c r="AT30" i="55" a="1"/>
  <c r="AT30" i="55"/>
  <c r="AX30" i="55" a="1"/>
  <c r="AX30" i="55"/>
  <c r="BB30" i="55" a="1"/>
  <c r="BB30" i="55"/>
  <c r="BF30" i="55" a="1"/>
  <c r="BF30" i="55"/>
  <c r="BG30" i="55"/>
  <c r="G31" i="55" a="1"/>
  <c r="G31" i="55"/>
  <c r="H31" i="55" a="1"/>
  <c r="H31" i="55"/>
  <c r="I31" i="55" a="1"/>
  <c r="I31" i="55"/>
  <c r="J31" i="55" a="1"/>
  <c r="J31" i="55"/>
  <c r="N31" i="55" a="1"/>
  <c r="N31" i="55"/>
  <c r="R31" i="55" a="1"/>
  <c r="R31" i="55"/>
  <c r="V31" i="55" a="1"/>
  <c r="V31" i="55"/>
  <c r="AA31" i="55" a="1"/>
  <c r="AA31" i="55"/>
  <c r="AB31" i="55" a="1"/>
  <c r="AB31" i="55"/>
  <c r="AF31" i="55" a="1"/>
  <c r="AF31" i="55"/>
  <c r="AJ31" i="55" a="1"/>
  <c r="AJ31" i="55"/>
  <c r="AN31" i="55" a="1"/>
  <c r="AN31" i="55"/>
  <c r="AS31" i="55" a="1"/>
  <c r="AS31" i="55"/>
  <c r="AT31" i="55" a="1"/>
  <c r="AT31" i="55"/>
  <c r="AX31" i="55" a="1"/>
  <c r="AX31" i="55"/>
  <c r="BB31" i="55" a="1"/>
  <c r="BB31" i="55"/>
  <c r="BF31" i="55" a="1"/>
  <c r="BF31" i="55"/>
  <c r="I32" i="55" a="1"/>
  <c r="I32" i="55"/>
  <c r="J32" i="55" a="1"/>
  <c r="J32" i="55"/>
  <c r="N32" i="55" a="1"/>
  <c r="N32" i="55"/>
  <c r="R32" i="55" a="1"/>
  <c r="R32" i="55"/>
  <c r="V32" i="55" a="1"/>
  <c r="V32" i="55"/>
  <c r="AA32" i="55" a="1"/>
  <c r="AA32" i="55"/>
  <c r="AB32" i="55" a="1"/>
  <c r="AB32" i="55"/>
  <c r="AF32" i="55" a="1"/>
  <c r="AF32" i="55"/>
  <c r="AJ32" i="55" a="1"/>
  <c r="AJ32" i="55"/>
  <c r="AN32" i="55" a="1"/>
  <c r="AN32" i="55"/>
  <c r="AS32" i="55" a="1"/>
  <c r="AS32" i="55"/>
  <c r="AT32" i="55" a="1"/>
  <c r="AT32" i="55"/>
  <c r="AX32" i="55" a="1"/>
  <c r="AX32" i="55"/>
  <c r="BB32" i="55" a="1"/>
  <c r="BB32" i="55"/>
  <c r="BF32" i="55" a="1"/>
  <c r="BF32" i="55"/>
  <c r="BG32" i="55"/>
  <c r="G33" i="55" a="1"/>
  <c r="G33" i="55"/>
  <c r="H33" i="55" a="1"/>
  <c r="H33" i="55"/>
  <c r="I33" i="55" a="1"/>
  <c r="I33" i="55"/>
  <c r="J33" i="55" a="1"/>
  <c r="J33" i="55"/>
  <c r="N33" i="55" a="1"/>
  <c r="N33" i="55"/>
  <c r="R33" i="55" a="1"/>
  <c r="R33" i="55"/>
  <c r="V33" i="55" a="1"/>
  <c r="V33" i="55"/>
  <c r="AA33" i="55" a="1"/>
  <c r="AA33" i="55"/>
  <c r="AB33" i="55" a="1"/>
  <c r="AB33" i="55"/>
  <c r="AF33" i="55" a="1"/>
  <c r="AF33" i="55"/>
  <c r="AJ33" i="55" a="1"/>
  <c r="AJ33" i="55"/>
  <c r="AN33" i="55" a="1"/>
  <c r="AN33" i="55"/>
  <c r="AS33" i="55" a="1"/>
  <c r="AS33" i="55"/>
  <c r="AT33" i="55" a="1"/>
  <c r="AT33" i="55"/>
  <c r="AX33" i="55" a="1"/>
  <c r="AX33" i="55"/>
  <c r="BB33" i="55" a="1"/>
  <c r="BB33" i="55"/>
  <c r="BF33" i="55" a="1"/>
  <c r="BF33" i="55"/>
  <c r="I34" i="55" a="1"/>
  <c r="I34" i="55"/>
  <c r="J34" i="55" a="1"/>
  <c r="J34" i="55"/>
  <c r="N34" i="55" a="1"/>
  <c r="N34" i="55"/>
  <c r="R34" i="55" a="1"/>
  <c r="R34" i="55"/>
  <c r="V34" i="55" a="1"/>
  <c r="V34" i="55"/>
  <c r="AA34" i="55" a="1"/>
  <c r="AA34" i="55"/>
  <c r="AB34" i="55" a="1"/>
  <c r="AB34" i="55"/>
  <c r="AF34" i="55" a="1"/>
  <c r="AF34" i="55"/>
  <c r="AJ34" i="55" a="1"/>
  <c r="AJ34" i="55"/>
  <c r="AN34" i="55" a="1"/>
  <c r="AN34" i="55"/>
  <c r="AS34" i="55" a="1"/>
  <c r="AS34" i="55"/>
  <c r="AT34" i="55" a="1"/>
  <c r="AT34" i="55"/>
  <c r="AX34" i="55" a="1"/>
  <c r="AX34" i="55"/>
  <c r="BB34" i="55" a="1"/>
  <c r="BB34" i="55"/>
  <c r="BF34" i="55" a="1"/>
  <c r="BF34" i="55"/>
  <c r="G35" i="55" a="1"/>
  <c r="G35" i="55"/>
  <c r="H35" i="55" a="1"/>
  <c r="H35" i="55"/>
  <c r="I35" i="55" a="1"/>
  <c r="I35" i="55"/>
  <c r="J35" i="55" a="1"/>
  <c r="J35" i="55"/>
  <c r="N35" i="55" a="1"/>
  <c r="N35" i="55"/>
  <c r="R35" i="55" a="1"/>
  <c r="R35" i="55"/>
  <c r="V35" i="55" a="1"/>
  <c r="V35" i="55"/>
  <c r="AA35" i="55" a="1"/>
  <c r="AA35" i="55"/>
  <c r="AB35" i="55" a="1"/>
  <c r="AB35" i="55"/>
  <c r="AF35" i="55" a="1"/>
  <c r="AF35" i="55"/>
  <c r="AJ35" i="55" a="1"/>
  <c r="AJ35" i="55"/>
  <c r="AN35" i="55" a="1"/>
  <c r="AN35" i="55"/>
  <c r="AS35" i="55" a="1"/>
  <c r="AS35" i="55"/>
  <c r="AT35" i="55" a="1"/>
  <c r="AT35" i="55"/>
  <c r="AX35" i="55" a="1"/>
  <c r="AX35" i="55"/>
  <c r="BB35" i="55" a="1"/>
  <c r="BB35" i="55"/>
  <c r="BF35" i="55" a="1"/>
  <c r="BF35" i="55"/>
  <c r="G36" i="55" a="1"/>
  <c r="G36" i="55"/>
  <c r="H36" i="55" a="1"/>
  <c r="H36" i="55"/>
  <c r="I36" i="55" a="1"/>
  <c r="I36" i="55"/>
  <c r="R36" i="55" a="1"/>
  <c r="R36" i="55"/>
  <c r="J36" i="55" a="1"/>
  <c r="J36" i="55"/>
  <c r="N36" i="55" a="1"/>
  <c r="N36" i="55"/>
  <c r="V36" i="55" a="1"/>
  <c r="V36" i="55"/>
  <c r="AA36" i="55" a="1"/>
  <c r="AA36" i="55"/>
  <c r="AB36" i="55" a="1"/>
  <c r="AB36" i="55"/>
  <c r="AF36" i="55" a="1"/>
  <c r="AF36" i="55"/>
  <c r="AJ36" i="55" a="1"/>
  <c r="AJ36" i="55"/>
  <c r="AN36" i="55" a="1"/>
  <c r="AN36" i="55"/>
  <c r="AS36" i="55" a="1"/>
  <c r="AS36" i="55"/>
  <c r="AT36" i="55" a="1"/>
  <c r="AT36" i="55"/>
  <c r="AX36" i="55" a="1"/>
  <c r="AX36" i="55"/>
  <c r="BB36" i="55" a="1"/>
  <c r="BB36" i="55"/>
  <c r="BF36" i="55" a="1"/>
  <c r="BF36" i="55"/>
  <c r="G37" i="55" a="1"/>
  <c r="G37" i="55"/>
  <c r="H37" i="55" a="1"/>
  <c r="H37" i="55"/>
  <c r="I37" i="55" a="1"/>
  <c r="I37" i="55"/>
  <c r="J37" i="55" a="1"/>
  <c r="J37" i="55"/>
  <c r="N37" i="55" a="1"/>
  <c r="N37" i="55"/>
  <c r="R37" i="55" a="1"/>
  <c r="R37" i="55"/>
  <c r="V37" i="55" a="1"/>
  <c r="V37" i="55"/>
  <c r="AA37" i="55" a="1"/>
  <c r="AA37" i="55"/>
  <c r="AB37" i="55" a="1"/>
  <c r="AB37" i="55"/>
  <c r="AF37" i="55" a="1"/>
  <c r="AF37" i="55"/>
  <c r="AJ37" i="55" a="1"/>
  <c r="AJ37" i="55"/>
  <c r="AN37" i="55" a="1"/>
  <c r="AN37" i="55"/>
  <c r="AS37" i="55" a="1"/>
  <c r="AS37" i="55"/>
  <c r="AT37" i="55" a="1"/>
  <c r="AT37" i="55"/>
  <c r="AX37" i="55" a="1"/>
  <c r="AX37" i="55"/>
  <c r="BB37" i="55" a="1"/>
  <c r="BB37" i="55"/>
  <c r="BF37" i="55" a="1"/>
  <c r="BF37" i="55"/>
  <c r="G38" i="55" a="1"/>
  <c r="G38" i="55"/>
  <c r="H38" i="55" a="1"/>
  <c r="H38" i="55"/>
  <c r="I38" i="55" a="1"/>
  <c r="I38" i="55"/>
  <c r="J38" i="55" a="1"/>
  <c r="J38" i="55"/>
  <c r="N38" i="55" a="1"/>
  <c r="N38" i="55"/>
  <c r="R38" i="55" a="1"/>
  <c r="R38" i="55"/>
  <c r="V38" i="55" a="1"/>
  <c r="V38" i="55"/>
  <c r="AA38" i="55" a="1"/>
  <c r="AA38" i="55"/>
  <c r="AB38" i="55" a="1"/>
  <c r="AB38" i="55"/>
  <c r="AF38" i="55" a="1"/>
  <c r="AF38" i="55"/>
  <c r="AJ38" i="55" a="1"/>
  <c r="AJ38" i="55"/>
  <c r="AN38" i="55" a="1"/>
  <c r="AN38" i="55"/>
  <c r="AS38" i="55" a="1"/>
  <c r="AS38" i="55"/>
  <c r="BF38" i="55" a="1"/>
  <c r="BF38" i="55"/>
  <c r="AT38" i="55" a="1"/>
  <c r="AT38" i="55"/>
  <c r="AX38" i="55" a="1"/>
  <c r="AX38" i="55"/>
  <c r="BB38" i="55" a="1"/>
  <c r="BB38" i="55"/>
  <c r="G39" i="55" a="1"/>
  <c r="G39" i="55"/>
  <c r="H39" i="55" a="1"/>
  <c r="H39" i="55"/>
  <c r="I39" i="55" a="1"/>
  <c r="I39" i="55"/>
  <c r="J39" i="55" a="1"/>
  <c r="J39" i="55"/>
  <c r="N39" i="55" a="1"/>
  <c r="N39" i="55"/>
  <c r="R39" i="55" a="1"/>
  <c r="R39" i="55"/>
  <c r="V39" i="55" a="1"/>
  <c r="V39" i="55"/>
  <c r="AA39" i="55" a="1"/>
  <c r="AA39" i="55"/>
  <c r="AB39" i="55" a="1"/>
  <c r="AB39" i="55"/>
  <c r="AF39" i="55" a="1"/>
  <c r="AF39" i="55"/>
  <c r="AJ39" i="55" a="1"/>
  <c r="AJ39" i="55"/>
  <c r="AN39" i="55" a="1"/>
  <c r="AN39" i="55"/>
  <c r="AS39" i="55" a="1"/>
  <c r="AS39" i="55"/>
  <c r="AT39" i="55" a="1"/>
  <c r="AT39" i="55"/>
  <c r="AX39" i="55" a="1"/>
  <c r="AX39" i="55"/>
  <c r="BB39" i="55" a="1"/>
  <c r="BB39" i="55"/>
  <c r="BF39" i="55" a="1"/>
  <c r="BF39" i="55"/>
  <c r="I40" i="55" a="1"/>
  <c r="I40" i="55"/>
  <c r="J40" i="55" a="1"/>
  <c r="J40" i="55"/>
  <c r="N40" i="55" a="1"/>
  <c r="N40" i="55"/>
  <c r="R40" i="55" a="1"/>
  <c r="R40" i="55"/>
  <c r="V40" i="55" a="1"/>
  <c r="V40" i="55"/>
  <c r="AA40" i="55" a="1"/>
  <c r="AA40" i="55"/>
  <c r="AB40" i="55" a="1"/>
  <c r="AB40" i="55"/>
  <c r="AF40" i="55" a="1"/>
  <c r="AF40" i="55"/>
  <c r="AJ40" i="55" a="1"/>
  <c r="AJ40" i="55"/>
  <c r="AN40" i="55" a="1"/>
  <c r="AN40" i="55"/>
  <c r="AS40" i="55" a="1"/>
  <c r="AS40" i="55"/>
  <c r="AT40" i="55" a="1"/>
  <c r="AT40" i="55"/>
  <c r="AX40" i="55" a="1"/>
  <c r="AX40" i="55"/>
  <c r="BB40" i="55" a="1"/>
  <c r="BB40" i="55"/>
  <c r="BF40" i="55" a="1"/>
  <c r="BF40" i="55"/>
  <c r="G41" i="55" a="1"/>
  <c r="G41" i="55"/>
  <c r="H41" i="55" a="1"/>
  <c r="H41" i="55"/>
  <c r="I41" i="55" a="1"/>
  <c r="I41" i="55"/>
  <c r="J41" i="55" a="1"/>
  <c r="J41" i="55"/>
  <c r="N41" i="55" a="1"/>
  <c r="N41" i="55"/>
  <c r="R41" i="55" a="1"/>
  <c r="R41" i="55"/>
  <c r="V41" i="55" a="1"/>
  <c r="V41" i="55"/>
  <c r="AA41" i="55" a="1"/>
  <c r="AA41" i="55"/>
  <c r="AN41" i="55" a="1"/>
  <c r="AN41" i="55"/>
  <c r="AB41" i="55" a="1"/>
  <c r="AB41" i="55"/>
  <c r="AF41" i="55" a="1"/>
  <c r="AF41" i="55"/>
  <c r="AJ41" i="55" a="1"/>
  <c r="AJ41" i="55"/>
  <c r="AS41" i="55" a="1"/>
  <c r="AS41" i="55"/>
  <c r="AT41" i="55" a="1"/>
  <c r="AT41" i="55"/>
  <c r="AX41" i="55" a="1"/>
  <c r="AX41" i="55"/>
  <c r="BB41" i="55" a="1"/>
  <c r="BB41" i="55"/>
  <c r="BF41" i="55" a="1"/>
  <c r="BF41" i="55"/>
  <c r="I42" i="55" a="1"/>
  <c r="I42" i="55"/>
  <c r="J42" i="55" a="1"/>
  <c r="J42" i="55"/>
  <c r="N42" i="55" a="1"/>
  <c r="N42" i="55"/>
  <c r="R42" i="55" a="1"/>
  <c r="R42" i="55"/>
  <c r="V42" i="55" a="1"/>
  <c r="V42" i="55"/>
  <c r="AA42" i="55" a="1"/>
  <c r="AA42" i="55"/>
  <c r="AB42" i="55" a="1"/>
  <c r="AB42" i="55"/>
  <c r="AF42" i="55" a="1"/>
  <c r="AF42" i="55"/>
  <c r="AJ42" i="55" a="1"/>
  <c r="AJ42" i="55"/>
  <c r="AN42" i="55" a="1"/>
  <c r="AN42" i="55"/>
  <c r="AS42" i="55" a="1"/>
  <c r="AS42" i="55"/>
  <c r="AT42" i="55" a="1"/>
  <c r="AT42" i="55"/>
  <c r="AX42" i="55" a="1"/>
  <c r="AX42" i="55"/>
  <c r="BB42" i="55" a="1"/>
  <c r="BB42" i="55"/>
  <c r="BF42" i="55" a="1"/>
  <c r="BF42" i="55"/>
  <c r="I43" i="55" a="1"/>
  <c r="I43" i="55"/>
  <c r="J43" i="55" a="1"/>
  <c r="J43" i="55"/>
  <c r="N43" i="55" a="1"/>
  <c r="N43" i="55"/>
  <c r="R43" i="55" a="1"/>
  <c r="R43" i="55"/>
  <c r="V43" i="55" a="1"/>
  <c r="V43" i="55"/>
  <c r="AA43" i="55" a="1"/>
  <c r="AA43" i="55"/>
  <c r="AB43" i="55" a="1"/>
  <c r="AB43" i="55"/>
  <c r="AF43" i="55" a="1"/>
  <c r="AF43" i="55"/>
  <c r="AJ43" i="55" a="1"/>
  <c r="AJ43" i="55"/>
  <c r="AN43" i="55" a="1"/>
  <c r="AN43" i="55"/>
  <c r="AS43" i="55" a="1"/>
  <c r="AS43" i="55"/>
  <c r="AT43" i="55" a="1"/>
  <c r="AT43" i="55"/>
  <c r="AX43" i="55" a="1"/>
  <c r="AX43" i="55"/>
  <c r="BB43" i="55" a="1"/>
  <c r="BB43" i="55"/>
  <c r="BF43" i="55" a="1"/>
  <c r="BF43" i="55"/>
  <c r="I44" i="55" a="1"/>
  <c r="I44" i="55"/>
  <c r="J44" i="55" a="1"/>
  <c r="J44" i="55"/>
  <c r="N44" i="55" a="1"/>
  <c r="N44" i="55"/>
  <c r="R44" i="55" a="1"/>
  <c r="R44" i="55"/>
  <c r="V44" i="55" a="1"/>
  <c r="V44" i="55"/>
  <c r="AA44" i="55" a="1"/>
  <c r="AA44" i="55"/>
  <c r="AB44" i="55" a="1"/>
  <c r="AB44" i="55"/>
  <c r="AF44" i="55" a="1"/>
  <c r="AF44" i="55"/>
  <c r="AJ44" i="55" a="1"/>
  <c r="AJ44" i="55"/>
  <c r="AN44" i="55" a="1"/>
  <c r="AN44" i="55"/>
  <c r="AS44" i="55" a="1"/>
  <c r="AS44" i="55"/>
  <c r="AT44" i="55" a="1"/>
  <c r="AT44" i="55"/>
  <c r="AX44" i="55" a="1"/>
  <c r="AX44" i="55"/>
  <c r="BB44" i="55" a="1"/>
  <c r="BB44" i="55"/>
  <c r="BF44" i="55" a="1"/>
  <c r="BF44" i="55"/>
  <c r="G45" i="55" a="1"/>
  <c r="G45" i="55"/>
  <c r="H45" i="55" a="1"/>
  <c r="H45" i="55"/>
  <c r="I45" i="55" a="1"/>
  <c r="I45" i="55"/>
  <c r="J45" i="55" a="1"/>
  <c r="J45" i="55"/>
  <c r="N45" i="55" a="1"/>
  <c r="N45" i="55"/>
  <c r="R45" i="55" a="1"/>
  <c r="R45" i="55"/>
  <c r="V45" i="55" a="1"/>
  <c r="V45" i="55"/>
  <c r="AA45" i="55" a="1"/>
  <c r="AA45" i="55"/>
  <c r="AB45" i="55" a="1"/>
  <c r="AB45" i="55"/>
  <c r="AF45" i="55" a="1"/>
  <c r="AF45" i="55"/>
  <c r="AJ45" i="55" a="1"/>
  <c r="AJ45" i="55"/>
  <c r="AN45" i="55" a="1"/>
  <c r="AN45" i="55"/>
  <c r="AS45" i="55" a="1"/>
  <c r="AS45" i="55"/>
  <c r="AT45" i="55" a="1"/>
  <c r="AT45" i="55"/>
  <c r="AX45" i="55" a="1"/>
  <c r="AX45" i="55"/>
  <c r="BB45" i="55" a="1"/>
  <c r="BB45" i="55"/>
  <c r="BF45" i="55" a="1"/>
  <c r="BF45" i="55"/>
  <c r="G46" i="55" a="1"/>
  <c r="G46" i="55"/>
  <c r="H46" i="55" a="1"/>
  <c r="H46" i="55"/>
  <c r="I46" i="55" a="1"/>
  <c r="I46" i="55"/>
  <c r="J46" i="55" a="1"/>
  <c r="J46" i="55"/>
  <c r="N46" i="55" a="1"/>
  <c r="N46" i="55"/>
  <c r="R46" i="55" a="1"/>
  <c r="R46" i="55"/>
  <c r="V46" i="55" a="1"/>
  <c r="V46" i="55"/>
  <c r="AA46" i="55" a="1"/>
  <c r="AA46" i="55"/>
  <c r="AB46" i="55" a="1"/>
  <c r="AB46" i="55"/>
  <c r="AF46" i="55" a="1"/>
  <c r="AF46" i="55"/>
  <c r="AJ46" i="55" a="1"/>
  <c r="AJ46" i="55"/>
  <c r="AN46" i="55" a="1"/>
  <c r="AN46" i="55"/>
  <c r="AS46" i="55" a="1"/>
  <c r="AS46" i="55"/>
  <c r="AT46" i="55" a="1"/>
  <c r="AT46" i="55"/>
  <c r="AX46" i="55" a="1"/>
  <c r="AX46" i="55"/>
  <c r="BB46" i="55" a="1"/>
  <c r="BB46" i="55"/>
  <c r="BF46" i="55" a="1"/>
  <c r="BF46" i="55"/>
  <c r="G47" i="55" a="1"/>
  <c r="G47" i="55"/>
  <c r="H47" i="55" a="1"/>
  <c r="H47" i="55"/>
  <c r="I47" i="55" a="1"/>
  <c r="I47" i="55"/>
  <c r="J47" i="55" a="1"/>
  <c r="J47" i="55"/>
  <c r="N47" i="55" a="1"/>
  <c r="N47" i="55"/>
  <c r="R47" i="55" a="1"/>
  <c r="R47" i="55"/>
  <c r="V47" i="55" a="1"/>
  <c r="V47" i="55"/>
  <c r="AA47" i="55" a="1"/>
  <c r="AA47" i="55"/>
  <c r="AJ47" i="55" a="1"/>
  <c r="AJ47" i="55"/>
  <c r="AB47" i="55" a="1"/>
  <c r="AB47" i="55"/>
  <c r="AF47" i="55" a="1"/>
  <c r="AF47" i="55"/>
  <c r="AN47" i="55" a="1"/>
  <c r="AN47" i="55"/>
  <c r="AS47" i="55" a="1"/>
  <c r="AS47" i="55"/>
  <c r="AT47" i="55" a="1"/>
  <c r="AT47" i="55"/>
  <c r="AX47" i="55" a="1"/>
  <c r="AX47" i="55"/>
  <c r="BB47" i="55" a="1"/>
  <c r="BB47" i="55"/>
  <c r="BF47" i="55" a="1"/>
  <c r="BF47" i="55"/>
  <c r="I48" i="55" a="1"/>
  <c r="I48" i="55"/>
  <c r="J48" i="55" a="1"/>
  <c r="J48" i="55"/>
  <c r="N48" i="55" a="1"/>
  <c r="N48" i="55"/>
  <c r="R48" i="55" a="1"/>
  <c r="R48" i="55"/>
  <c r="V48" i="55" a="1"/>
  <c r="V48" i="55"/>
  <c r="AA48" i="55" a="1"/>
  <c r="AA48" i="55"/>
  <c r="AB48" i="55" a="1"/>
  <c r="AB48" i="55"/>
  <c r="AF48" i="55" a="1"/>
  <c r="AF48" i="55"/>
  <c r="AJ48" i="55" a="1"/>
  <c r="AJ48" i="55"/>
  <c r="AN48" i="55" a="1"/>
  <c r="AN48" i="55"/>
  <c r="AS48" i="55" a="1"/>
  <c r="AS48" i="55"/>
  <c r="AT48" i="55" a="1"/>
  <c r="AT48" i="55"/>
  <c r="AX48" i="55" a="1"/>
  <c r="AX48" i="55"/>
  <c r="BB48" i="55" a="1"/>
  <c r="BB48" i="55"/>
  <c r="BF48" i="55" a="1"/>
  <c r="BF48" i="55"/>
  <c r="G49" i="55" a="1"/>
  <c r="G49" i="55"/>
  <c r="H49" i="55" a="1"/>
  <c r="H49" i="55"/>
  <c r="I49" i="55" a="1"/>
  <c r="I49" i="55"/>
  <c r="V49" i="55" a="1"/>
  <c r="V49" i="55"/>
  <c r="J49" i="55" a="1"/>
  <c r="J49" i="55"/>
  <c r="N49" i="55" a="1"/>
  <c r="N49" i="55"/>
  <c r="R49" i="55" a="1"/>
  <c r="R49" i="55"/>
  <c r="AA49" i="55" a="1"/>
  <c r="AA49" i="55"/>
  <c r="AB49" i="55" a="1"/>
  <c r="AB49" i="55"/>
  <c r="AF49" i="55" a="1"/>
  <c r="AF49" i="55"/>
  <c r="AJ49" i="55" a="1"/>
  <c r="AJ49" i="55"/>
  <c r="AN49" i="55" a="1"/>
  <c r="AN49" i="55"/>
  <c r="AS49" i="55" a="1"/>
  <c r="AS49" i="55"/>
  <c r="AT49" i="55" a="1"/>
  <c r="AT49" i="55"/>
  <c r="AX49" i="55" a="1"/>
  <c r="AX49" i="55"/>
  <c r="BB49" i="55" a="1"/>
  <c r="BB49" i="55"/>
  <c r="BF49" i="55" a="1"/>
  <c r="BF49" i="55"/>
  <c r="G50" i="55" a="1"/>
  <c r="G50" i="55"/>
  <c r="H50" i="55" a="1"/>
  <c r="H50" i="55"/>
  <c r="I50" i="55" a="1"/>
  <c r="I50" i="55"/>
  <c r="J50" i="55" a="1"/>
  <c r="J50" i="55"/>
  <c r="N50" i="55" a="1"/>
  <c r="N50" i="55"/>
  <c r="R50" i="55" a="1"/>
  <c r="R50" i="55"/>
  <c r="V50" i="55" a="1"/>
  <c r="V50" i="55"/>
  <c r="AA50" i="55" a="1"/>
  <c r="AA50" i="55"/>
  <c r="AN50" i="55" a="1"/>
  <c r="AN50" i="55"/>
  <c r="AB50" i="55" a="1"/>
  <c r="AB50" i="55"/>
  <c r="AF50" i="55" a="1"/>
  <c r="AF50" i="55"/>
  <c r="AJ50" i="55" a="1"/>
  <c r="AJ50" i="55"/>
  <c r="AS50" i="55" a="1"/>
  <c r="AS50" i="55"/>
  <c r="AT50" i="55" a="1"/>
  <c r="AT50" i="55"/>
  <c r="AX50" i="55" a="1"/>
  <c r="AX50" i="55"/>
  <c r="BB50" i="55" a="1"/>
  <c r="BB50" i="55"/>
  <c r="BF50" i="55" a="1"/>
  <c r="BF50" i="55"/>
  <c r="I51" i="55" a="1"/>
  <c r="I51" i="55"/>
  <c r="J51" i="55" a="1"/>
  <c r="J51" i="55"/>
  <c r="N51" i="55" a="1"/>
  <c r="N51" i="55"/>
  <c r="R51" i="55" a="1"/>
  <c r="R51" i="55"/>
  <c r="V51" i="55" a="1"/>
  <c r="V51" i="55"/>
  <c r="AA51" i="55" a="1"/>
  <c r="AA51" i="55"/>
  <c r="AB51" i="55" a="1"/>
  <c r="AB51" i="55"/>
  <c r="AF51" i="55" a="1"/>
  <c r="AF51" i="55"/>
  <c r="AJ51" i="55" a="1"/>
  <c r="AJ51" i="55"/>
  <c r="AN51" i="55" a="1"/>
  <c r="AN51" i="55"/>
  <c r="AS51" i="55" a="1"/>
  <c r="AS51" i="55"/>
  <c r="AT51" i="55" a="1"/>
  <c r="AT51" i="55"/>
  <c r="AX51" i="55" a="1"/>
  <c r="AX51" i="55"/>
  <c r="BB51" i="55" a="1"/>
  <c r="BB51" i="55"/>
  <c r="BF51" i="55" a="1"/>
  <c r="BF51" i="55"/>
  <c r="I52" i="55" a="1"/>
  <c r="I52" i="55"/>
  <c r="R52" i="55" a="1"/>
  <c r="R52" i="55"/>
  <c r="J52" i="55" a="1"/>
  <c r="J52" i="55"/>
  <c r="N52" i="55" a="1"/>
  <c r="N52" i="55"/>
  <c r="V52" i="55" a="1"/>
  <c r="V52" i="55"/>
  <c r="AA52" i="55" a="1"/>
  <c r="AA52" i="55"/>
  <c r="AB52" i="55" a="1"/>
  <c r="AB52" i="55"/>
  <c r="AF52" i="55" a="1"/>
  <c r="AF52" i="55"/>
  <c r="AJ52" i="55" a="1"/>
  <c r="AJ52" i="55"/>
  <c r="AN52" i="55" a="1"/>
  <c r="AN52" i="55"/>
  <c r="AS52" i="55" a="1"/>
  <c r="AS52" i="55"/>
  <c r="AT52" i="55" a="1"/>
  <c r="AT52" i="55"/>
  <c r="AX52" i="55" a="1"/>
  <c r="AX52" i="55"/>
  <c r="BB52" i="55" a="1"/>
  <c r="BB52" i="55"/>
  <c r="BF52" i="55" a="1"/>
  <c r="BF52" i="55"/>
  <c r="G53" i="55" a="1"/>
  <c r="G53" i="55"/>
  <c r="H53" i="55" a="1"/>
  <c r="H53" i="55"/>
  <c r="I53" i="55" a="1"/>
  <c r="I53" i="55"/>
  <c r="J53" i="55" a="1"/>
  <c r="J53" i="55"/>
  <c r="N53" i="55" a="1"/>
  <c r="N53" i="55"/>
  <c r="R53" i="55" a="1"/>
  <c r="R53" i="55"/>
  <c r="V53" i="55" a="1"/>
  <c r="V53" i="55"/>
  <c r="AA53" i="55" a="1"/>
  <c r="AA53" i="55"/>
  <c r="AB53" i="55" a="1"/>
  <c r="AB53" i="55"/>
  <c r="AF53" i="55" a="1"/>
  <c r="AF53" i="55"/>
  <c r="AJ53" i="55" a="1"/>
  <c r="AJ53" i="55"/>
  <c r="AN53" i="55" a="1"/>
  <c r="AN53" i="55"/>
  <c r="AS53" i="55" a="1"/>
  <c r="AS53" i="55"/>
  <c r="AT53" i="55" a="1"/>
  <c r="AT53" i="55"/>
  <c r="AX53" i="55" a="1"/>
  <c r="AX53" i="55"/>
  <c r="BB53" i="55" a="1"/>
  <c r="BB53" i="55"/>
  <c r="BF53" i="55" a="1"/>
  <c r="BF53" i="55"/>
  <c r="I54" i="55" a="1"/>
  <c r="I54" i="55"/>
  <c r="R54" i="55" a="1"/>
  <c r="R54" i="55"/>
  <c r="J54" i="55" a="1"/>
  <c r="J54" i="55"/>
  <c r="N54" i="55" a="1"/>
  <c r="N54" i="55"/>
  <c r="V54" i="55" a="1"/>
  <c r="V54" i="55"/>
  <c r="AA54" i="55" a="1"/>
  <c r="AA54" i="55"/>
  <c r="AB54" i="55" a="1"/>
  <c r="AB54" i="55"/>
  <c r="AF54" i="55" a="1"/>
  <c r="AF54" i="55"/>
  <c r="AJ54" i="55" a="1"/>
  <c r="AJ54" i="55"/>
  <c r="AN54" i="55" a="1"/>
  <c r="AN54" i="55"/>
  <c r="AS54" i="55" a="1"/>
  <c r="AS54" i="55"/>
  <c r="AT54" i="55" a="1"/>
  <c r="AT54" i="55"/>
  <c r="AX54" i="55" a="1"/>
  <c r="AX54" i="55"/>
  <c r="BB54" i="55" a="1"/>
  <c r="BB54" i="55"/>
  <c r="BF54" i="55" a="1"/>
  <c r="BF54" i="55"/>
  <c r="G55" i="55" a="1"/>
  <c r="G55" i="55"/>
  <c r="H55" i="55" a="1"/>
  <c r="H55" i="55"/>
  <c r="I55" i="55" a="1"/>
  <c r="I55" i="55"/>
  <c r="J55" i="55" a="1"/>
  <c r="J55" i="55"/>
  <c r="N55" i="55" a="1"/>
  <c r="N55" i="55"/>
  <c r="R55" i="55" a="1"/>
  <c r="R55" i="55"/>
  <c r="V55" i="55" a="1"/>
  <c r="V55" i="55"/>
  <c r="AA55" i="55" a="1"/>
  <c r="AA55" i="55"/>
  <c r="AB55" i="55" a="1"/>
  <c r="AB55" i="55"/>
  <c r="AF55" i="55" a="1"/>
  <c r="AF55" i="55"/>
  <c r="AJ55" i="55" a="1"/>
  <c r="AJ55" i="55"/>
  <c r="AN55" i="55" a="1"/>
  <c r="AN55" i="55"/>
  <c r="AS55" i="55" a="1"/>
  <c r="AS55" i="55"/>
  <c r="AT55" i="55" a="1"/>
  <c r="AT55" i="55"/>
  <c r="AX55" i="55" a="1"/>
  <c r="AX55" i="55"/>
  <c r="BB55" i="55" a="1"/>
  <c r="BB55" i="55"/>
  <c r="BF55" i="55" a="1"/>
  <c r="BF55" i="55"/>
  <c r="G56" i="55" a="1"/>
  <c r="G56" i="55"/>
  <c r="H56" i="55" a="1"/>
  <c r="H56" i="55"/>
  <c r="I56" i="55" a="1"/>
  <c r="I56" i="55"/>
  <c r="R56" i="55" a="1"/>
  <c r="R56" i="55"/>
  <c r="J56" i="55" a="1"/>
  <c r="J56" i="55"/>
  <c r="N56" i="55" a="1"/>
  <c r="N56" i="55"/>
  <c r="V56" i="55" a="1"/>
  <c r="V56" i="55"/>
  <c r="AA56" i="55" a="1"/>
  <c r="AA56" i="55"/>
  <c r="AB56" i="55" a="1"/>
  <c r="AB56" i="55"/>
  <c r="AF56" i="55" a="1"/>
  <c r="AF56" i="55"/>
  <c r="AJ56" i="55" a="1"/>
  <c r="AJ56" i="55"/>
  <c r="AN56" i="55" a="1"/>
  <c r="AN56" i="55"/>
  <c r="AS56" i="55" a="1"/>
  <c r="AS56" i="55"/>
  <c r="AT56" i="55" a="1"/>
  <c r="AT56" i="55"/>
  <c r="AX56" i="55" a="1"/>
  <c r="AX56" i="55"/>
  <c r="BB56" i="55" a="1"/>
  <c r="BB56" i="55"/>
  <c r="BF56" i="55" a="1"/>
  <c r="BF56" i="55"/>
  <c r="I57" i="55" a="1"/>
  <c r="I57" i="55"/>
  <c r="J57" i="55" a="1"/>
  <c r="J57" i="55"/>
  <c r="N57" i="55" a="1"/>
  <c r="N57" i="55"/>
  <c r="R57" i="55" a="1"/>
  <c r="R57" i="55"/>
  <c r="V57" i="55" a="1"/>
  <c r="V57" i="55"/>
  <c r="AA57" i="55" a="1"/>
  <c r="AA57" i="55"/>
  <c r="AB57" i="55" a="1"/>
  <c r="AB57" i="55"/>
  <c r="AF57" i="55" a="1"/>
  <c r="AF57" i="55"/>
  <c r="AJ57" i="55" a="1"/>
  <c r="AJ57" i="55"/>
  <c r="AN57" i="55" a="1"/>
  <c r="AN57" i="55"/>
  <c r="AS57" i="55" a="1"/>
  <c r="AS57" i="55"/>
  <c r="AT57" i="55" a="1"/>
  <c r="AT57" i="55"/>
  <c r="AX57" i="55" a="1"/>
  <c r="AX57" i="55"/>
  <c r="BB57" i="55" a="1"/>
  <c r="BB57" i="55"/>
  <c r="BF57" i="55" a="1"/>
  <c r="BF57" i="55"/>
  <c r="G58" i="55" a="1"/>
  <c r="G58" i="55"/>
  <c r="H58" i="55" a="1"/>
  <c r="H58" i="55"/>
  <c r="I58" i="55" a="1"/>
  <c r="I58" i="55"/>
  <c r="R58" i="55" a="1"/>
  <c r="R58" i="55"/>
  <c r="J58" i="55" a="1"/>
  <c r="J58" i="55"/>
  <c r="N58" i="55" a="1"/>
  <c r="N58" i="55"/>
  <c r="V58" i="55" a="1"/>
  <c r="V58" i="55"/>
  <c r="AA58" i="55" a="1"/>
  <c r="AA58" i="55"/>
  <c r="AB58" i="55" a="1"/>
  <c r="AB58" i="55"/>
  <c r="AF58" i="55" a="1"/>
  <c r="AF58" i="55"/>
  <c r="AJ58" i="55" a="1"/>
  <c r="AJ58" i="55"/>
  <c r="AN58" i="55" a="1"/>
  <c r="AN58" i="55"/>
  <c r="AS58" i="55" a="1"/>
  <c r="AS58" i="55"/>
  <c r="AT58" i="55" a="1"/>
  <c r="AT58" i="55"/>
  <c r="AX58" i="55" a="1"/>
  <c r="AX58" i="55"/>
  <c r="BB58" i="55" a="1"/>
  <c r="BB58" i="55"/>
  <c r="BF58" i="55" a="1"/>
  <c r="BF58" i="55"/>
  <c r="AO73" i="55"/>
  <c r="AO72" i="55"/>
  <c r="BG74" i="55"/>
  <c r="BG20" i="55"/>
  <c r="G110" i="61" a="1"/>
  <c r="G110" i="61"/>
  <c r="BG110" i="61"/>
  <c r="G111" i="61" a="1"/>
  <c r="G111" i="61"/>
  <c r="O111" i="61"/>
  <c r="AY111" i="61"/>
  <c r="G112" i="61" a="1"/>
  <c r="G112" i="61"/>
  <c r="AG112" i="61"/>
  <c r="G113" i="61" a="1"/>
  <c r="G113" i="61"/>
  <c r="AK113" i="61"/>
  <c r="BC113" i="61"/>
  <c r="G114" i="61" a="1"/>
  <c r="G114" i="61"/>
  <c r="BG114" i="61"/>
  <c r="G115" i="61" a="1"/>
  <c r="G115" i="61"/>
  <c r="O115" i="61"/>
  <c r="AG115" i="61"/>
  <c r="AY115" i="61"/>
  <c r="G116" i="61" a="1"/>
  <c r="G116" i="61"/>
  <c r="AK116" i="61"/>
  <c r="G117" i="61" a="1"/>
  <c r="G117" i="61"/>
  <c r="W117" i="61"/>
  <c r="AY117" i="61"/>
  <c r="G118" i="61" a="1"/>
  <c r="G118" i="61"/>
  <c r="BG118" i="61"/>
  <c r="G119" i="61" a="1"/>
  <c r="G119" i="61"/>
  <c r="O119" i="61"/>
  <c r="AY119" i="61"/>
  <c r="G120" i="61" a="1"/>
  <c r="G120" i="61"/>
  <c r="AG120" i="61"/>
  <c r="G121" i="61" a="1"/>
  <c r="G121" i="61"/>
  <c r="W121" i="61"/>
  <c r="AK121" i="61"/>
  <c r="BG121" i="61"/>
  <c r="G122" i="61" a="1"/>
  <c r="G122" i="61"/>
  <c r="BC122" i="61"/>
  <c r="G123" i="61" a="1"/>
  <c r="G123" i="61"/>
  <c r="O123" i="61"/>
  <c r="AG123" i="61"/>
  <c r="G124" i="61" a="1"/>
  <c r="G124" i="61"/>
  <c r="G125" i="61" a="1"/>
  <c r="G125" i="61"/>
  <c r="W125" i="61"/>
  <c r="AG125" i="61"/>
  <c r="G126" i="61" a="1"/>
  <c r="G126" i="61"/>
  <c r="BC126" i="61"/>
  <c r="G127" i="61" a="1"/>
  <c r="G127" i="61"/>
  <c r="AO127" i="61"/>
  <c r="AY127" i="61"/>
  <c r="G128" i="61" a="1"/>
  <c r="G128" i="61"/>
  <c r="AK128" i="61"/>
  <c r="G129" i="61" a="1"/>
  <c r="G129" i="61"/>
  <c r="AG129" i="61"/>
  <c r="BG129" i="61"/>
  <c r="G130" i="61" a="1"/>
  <c r="G130" i="61"/>
  <c r="S130" i="61"/>
  <c r="BC130" i="61"/>
  <c r="G131" i="61" a="1"/>
  <c r="G131" i="61"/>
  <c r="AG131" i="61"/>
  <c r="AY131" i="61"/>
  <c r="G132" i="61" a="1"/>
  <c r="G132" i="61"/>
  <c r="AG132" i="61"/>
  <c r="G133" i="61" a="1"/>
  <c r="G133" i="61"/>
  <c r="O133" i="61"/>
  <c r="BC133" i="61"/>
  <c r="G134" i="61" a="1"/>
  <c r="G134" i="61"/>
  <c r="W134" i="61"/>
  <c r="G135" i="61" a="1"/>
  <c r="G135" i="61"/>
  <c r="S135" i="61"/>
  <c r="AY135" i="61"/>
  <c r="G136" i="61" a="1"/>
  <c r="G136" i="61"/>
  <c r="AK136" i="61"/>
  <c r="G137" i="61" a="1"/>
  <c r="G137" i="61"/>
  <c r="W137" i="61"/>
  <c r="AG137" i="61"/>
  <c r="BC137" i="61"/>
  <c r="G138" i="61" a="1"/>
  <c r="G138" i="61"/>
  <c r="S138" i="61"/>
  <c r="BC138" i="61"/>
  <c r="G139" i="61" a="1"/>
  <c r="G139" i="61"/>
  <c r="S139" i="61"/>
  <c r="AO139" i="61"/>
  <c r="G140" i="61" a="1"/>
  <c r="G140" i="61"/>
  <c r="AG140" i="61"/>
  <c r="AY140" i="61"/>
  <c r="G141" i="61" a="1"/>
  <c r="G141" i="61"/>
  <c r="O141" i="61"/>
  <c r="AG141" i="61"/>
  <c r="AY141" i="61"/>
  <c r="G142" i="61" a="1"/>
  <c r="G142" i="61"/>
  <c r="W142" i="61"/>
  <c r="BG142" i="61"/>
  <c r="G143" i="61" a="1"/>
  <c r="G143" i="61"/>
  <c r="G144" i="61" a="1"/>
  <c r="G144" i="61"/>
  <c r="AG144" i="61"/>
  <c r="BC144" i="61"/>
  <c r="G145" i="61" a="1"/>
  <c r="G145" i="61"/>
  <c r="AK145" i="61"/>
  <c r="BC145" i="61"/>
  <c r="G146" i="61" a="1"/>
  <c r="G146" i="61"/>
  <c r="W146" i="61"/>
  <c r="BC146" i="61"/>
  <c r="G147" i="61" a="1"/>
  <c r="G147" i="61"/>
  <c r="O147" i="61"/>
  <c r="AO147" i="61"/>
  <c r="BG147" i="61"/>
  <c r="G148" i="61" a="1"/>
  <c r="G148" i="61"/>
  <c r="AK148" i="61"/>
  <c r="BC148" i="61"/>
  <c r="G149" i="61" a="1"/>
  <c r="G149" i="61"/>
  <c r="AO149" i="61"/>
  <c r="AY149" i="61"/>
  <c r="G150" i="61" a="1"/>
  <c r="G150" i="61"/>
  <c r="S150" i="61"/>
  <c r="G151" i="61" a="1"/>
  <c r="G151" i="61"/>
  <c r="O151" i="61"/>
  <c r="BG151" i="61"/>
  <c r="G152" i="61" a="1"/>
  <c r="G152" i="61"/>
  <c r="AK152" i="61"/>
  <c r="BC152" i="61"/>
  <c r="G153" i="61" a="1"/>
  <c r="G153" i="61"/>
  <c r="W153" i="61"/>
  <c r="AG153" i="61"/>
  <c r="G154" i="61" a="1"/>
  <c r="G154" i="61"/>
  <c r="S154" i="61"/>
  <c r="BC154" i="61"/>
  <c r="G155" i="61" a="1"/>
  <c r="G155" i="61"/>
  <c r="S155" i="61"/>
  <c r="G156" i="61" a="1"/>
  <c r="G156" i="61"/>
  <c r="AK156" i="61"/>
  <c r="G157" i="61" a="1"/>
  <c r="G157" i="61"/>
  <c r="AG157" i="61"/>
  <c r="G158" i="61" a="1"/>
  <c r="G158" i="61"/>
  <c r="S158" i="61"/>
  <c r="BG158" i="61"/>
  <c r="G159" i="61" a="1"/>
  <c r="G159" i="61"/>
  <c r="S159" i="61"/>
  <c r="AG159" i="61"/>
  <c r="BG159" i="61"/>
  <c r="G160" i="61" a="1"/>
  <c r="G160" i="61"/>
  <c r="AK160" i="61"/>
  <c r="G161" i="61" a="1"/>
  <c r="G161" i="61"/>
  <c r="AO161" i="61"/>
  <c r="BG161" i="61"/>
  <c r="G162" i="61" a="1"/>
  <c r="G162" i="61"/>
  <c r="S162" i="61"/>
  <c r="BC162" i="61"/>
  <c r="G163" i="61" a="1"/>
  <c r="G163" i="61"/>
  <c r="S163" i="61"/>
  <c r="AG163" i="61"/>
  <c r="G164" i="61" a="1"/>
  <c r="G164" i="61"/>
  <c r="G165" i="61" a="1"/>
  <c r="G165" i="61"/>
  <c r="AO165" i="61"/>
  <c r="BG165" i="61"/>
  <c r="G166" i="61" a="1"/>
  <c r="G166" i="61"/>
  <c r="G167" i="61" a="1"/>
  <c r="G167" i="61"/>
  <c r="BG167" i="61"/>
  <c r="G168" i="61" a="1"/>
  <c r="G168" i="61"/>
  <c r="AK168" i="61"/>
  <c r="BC168" i="61"/>
  <c r="G169" i="61" a="1"/>
  <c r="G169" i="61"/>
  <c r="AO169" i="61"/>
  <c r="BC169" i="61"/>
  <c r="G170" i="61" a="1"/>
  <c r="G170" i="61"/>
  <c r="S170" i="61"/>
  <c r="BC170" i="61"/>
  <c r="G171" i="61" a="1"/>
  <c r="G171" i="61"/>
  <c r="BG171" i="61"/>
  <c r="G172" i="61" a="1"/>
  <c r="G172" i="61"/>
  <c r="AK172" i="61"/>
  <c r="BC172" i="61"/>
  <c r="G173" i="61" a="1"/>
  <c r="G173" i="61"/>
  <c r="BG173" i="61"/>
  <c r="G174" i="61" a="1"/>
  <c r="G174" i="61"/>
  <c r="BC174" i="61"/>
  <c r="G175" i="61" a="1"/>
  <c r="G175" i="61"/>
  <c r="S175" i="61"/>
  <c r="BG175" i="61"/>
  <c r="G176" i="61" a="1"/>
  <c r="G176" i="61"/>
  <c r="BC176" i="61"/>
  <c r="G177" i="61" a="1"/>
  <c r="G177" i="61"/>
  <c r="BG177" i="61"/>
  <c r="G178" i="61" a="1"/>
  <c r="G178" i="61"/>
  <c r="BC178" i="61"/>
  <c r="G179" i="61" a="1"/>
  <c r="G179" i="61"/>
  <c r="O179" i="61"/>
  <c r="AY179" i="61"/>
  <c r="G180" i="61" a="1"/>
  <c r="G180" i="61"/>
  <c r="AK180" i="61"/>
  <c r="G181" i="61" a="1"/>
  <c r="G181" i="61"/>
  <c r="G182" i="61" a="1"/>
  <c r="G182" i="61"/>
  <c r="G183" i="61" a="1"/>
  <c r="G183" i="61"/>
  <c r="O183" i="61"/>
  <c r="AY183" i="61"/>
  <c r="G184" i="61" a="1"/>
  <c r="G184" i="61"/>
  <c r="BC184" i="61"/>
  <c r="G185" i="61" a="1"/>
  <c r="G185" i="61"/>
  <c r="AY185" i="61"/>
  <c r="G186" i="61" a="1"/>
  <c r="G186" i="61"/>
  <c r="BC186" i="61"/>
  <c r="G187" i="61" a="1"/>
  <c r="G187" i="61"/>
  <c r="S187" i="61"/>
  <c r="G188" i="61" a="1"/>
  <c r="G188" i="61"/>
  <c r="AK188" i="61"/>
  <c r="G189" i="61" a="1"/>
  <c r="G189" i="61"/>
  <c r="BG189" i="61"/>
  <c r="G190" i="61" a="1"/>
  <c r="G190" i="61"/>
  <c r="G191" i="61" a="1"/>
  <c r="G191" i="61"/>
  <c r="S191" i="61"/>
  <c r="G192" i="61" a="1"/>
  <c r="G192" i="61"/>
  <c r="BC192" i="61"/>
  <c r="G193" i="61" a="1"/>
  <c r="G193" i="61"/>
  <c r="BC193" i="61"/>
  <c r="G194" i="61" a="1"/>
  <c r="G194" i="61"/>
  <c r="S194" i="61"/>
  <c r="G195" i="61" a="1"/>
  <c r="G195" i="61"/>
  <c r="S195" i="61"/>
  <c r="AO195" i="61"/>
  <c r="G196" i="61" a="1"/>
  <c r="G196" i="61"/>
  <c r="AK196" i="61"/>
  <c r="BC196" i="61"/>
  <c r="G197" i="61" a="1"/>
  <c r="G197" i="61"/>
  <c r="BC197" i="61"/>
  <c r="G198" i="61" a="1"/>
  <c r="G198" i="61"/>
  <c r="S198" i="61"/>
  <c r="G199" i="61" a="1"/>
  <c r="G199" i="61"/>
  <c r="G200" i="61" a="1"/>
  <c r="G200" i="61"/>
  <c r="T200" i="61"/>
  <c r="AK200" i="61"/>
  <c r="BC200" i="61"/>
  <c r="G201" i="61" a="1"/>
  <c r="G201" i="61"/>
  <c r="AO201" i="61"/>
  <c r="G109" i="61" a="1"/>
  <c r="G109" i="61"/>
  <c r="AY144" i="61"/>
  <c r="BC140" i="61"/>
  <c r="BC136" i="61"/>
  <c r="BC132" i="61"/>
  <c r="AY124" i="61"/>
  <c r="BC124" i="61"/>
  <c r="BC116" i="61"/>
  <c r="BC112" i="61"/>
  <c r="W113" i="61"/>
  <c r="AG139" i="61"/>
  <c r="AK131" i="61"/>
  <c r="AC127" i="61"/>
  <c r="O121" i="61"/>
  <c r="AG119" i="61"/>
  <c r="BC134" i="61"/>
  <c r="S110" i="61"/>
  <c r="AK117" i="61"/>
  <c r="BH207" i="62"/>
  <c r="W99" i="61"/>
  <c r="AK99" i="61"/>
  <c r="AY99" i="61"/>
  <c r="G100" i="61" a="1"/>
  <c r="G100" i="61"/>
  <c r="H100" i="61" a="1"/>
  <c r="H100" i="61"/>
  <c r="S100" i="61"/>
  <c r="G101" i="61" a="1"/>
  <c r="G101" i="61"/>
  <c r="H101" i="61" a="1"/>
  <c r="H101" i="61"/>
  <c r="W101" i="61"/>
  <c r="AK101" i="61"/>
  <c r="G102" i="61" a="1"/>
  <c r="G102" i="61"/>
  <c r="H102" i="61" a="1"/>
  <c r="H102" i="61"/>
  <c r="AK102" i="61"/>
  <c r="BC102" i="61"/>
  <c r="G103" i="61" a="1"/>
  <c r="G103" i="61"/>
  <c r="H103" i="61" a="1"/>
  <c r="H103" i="61"/>
  <c r="W103" i="61"/>
  <c r="BC103" i="61"/>
  <c r="S104" i="61"/>
  <c r="AO104" i="61"/>
  <c r="G105" i="61" a="1"/>
  <c r="G105" i="61"/>
  <c r="H105" i="61" a="1"/>
  <c r="H105" i="61"/>
  <c r="AG105" i="61"/>
  <c r="BC105" i="61"/>
  <c r="BG98" i="61"/>
  <c r="BG41" i="61"/>
  <c r="AO58" i="61"/>
  <c r="G42" i="61" a="1"/>
  <c r="G42" i="61"/>
  <c r="H42" i="61" a="1"/>
  <c r="H42" i="61"/>
  <c r="G43" i="61" a="1"/>
  <c r="G43" i="61"/>
  <c r="H43" i="61" a="1"/>
  <c r="H43" i="61"/>
  <c r="G44" i="61" a="1"/>
  <c r="G44" i="61"/>
  <c r="H44" i="61" a="1"/>
  <c r="H44" i="61"/>
  <c r="G45" i="61" a="1"/>
  <c r="G45" i="61"/>
  <c r="H45" i="61" a="1"/>
  <c r="H45" i="61"/>
  <c r="G46" i="61" a="1"/>
  <c r="G46" i="61"/>
  <c r="H46" i="61" a="1"/>
  <c r="H46" i="61"/>
  <c r="G47" i="61" a="1"/>
  <c r="G47" i="61"/>
  <c r="H47" i="61" a="1"/>
  <c r="H47" i="61"/>
  <c r="G48" i="61" a="1"/>
  <c r="G48" i="61"/>
  <c r="H48" i="61" a="1"/>
  <c r="H48" i="61"/>
  <c r="G49" i="61" a="1"/>
  <c r="G49" i="61"/>
  <c r="H49" i="61" a="1"/>
  <c r="H49" i="61"/>
  <c r="G50" i="61" a="1"/>
  <c r="G50" i="61"/>
  <c r="H50" i="61" a="1"/>
  <c r="H50" i="61"/>
  <c r="G51" i="61" a="1"/>
  <c r="G51" i="61"/>
  <c r="H51" i="61" a="1"/>
  <c r="H51" i="61"/>
  <c r="G52" i="61" a="1"/>
  <c r="G52" i="61"/>
  <c r="H52" i="61" a="1"/>
  <c r="H52" i="61"/>
  <c r="G53" i="61" a="1"/>
  <c r="G53" i="61"/>
  <c r="H53" i="61" a="1"/>
  <c r="H53" i="61"/>
  <c r="G54" i="61" a="1"/>
  <c r="G54" i="61"/>
  <c r="H54" i="61" a="1"/>
  <c r="H54" i="61"/>
  <c r="G55" i="61" a="1"/>
  <c r="G55" i="61"/>
  <c r="H55" i="61" a="1"/>
  <c r="H55" i="61"/>
  <c r="G56" i="61" a="1"/>
  <c r="G56" i="61"/>
  <c r="H56" i="61" a="1"/>
  <c r="H56" i="61"/>
  <c r="G57" i="61" a="1"/>
  <c r="G57" i="61"/>
  <c r="H57" i="61" a="1"/>
  <c r="H57" i="61"/>
  <c r="G58" i="61" a="1"/>
  <c r="G58" i="61"/>
  <c r="H58" i="61" a="1"/>
  <c r="H58" i="61"/>
  <c r="G59" i="61" a="1"/>
  <c r="G59" i="61"/>
  <c r="H59" i="61" a="1"/>
  <c r="H59" i="61"/>
  <c r="G60" i="61" a="1"/>
  <c r="G60" i="61"/>
  <c r="H60" i="61" a="1"/>
  <c r="H60" i="61"/>
  <c r="G61" i="61" a="1"/>
  <c r="G61" i="61"/>
  <c r="H61" i="61" a="1"/>
  <c r="H61" i="61"/>
  <c r="G62" i="61" a="1"/>
  <c r="G62" i="61"/>
  <c r="H62" i="61" a="1"/>
  <c r="H62" i="61"/>
  <c r="G63" i="61" a="1"/>
  <c r="G63" i="61"/>
  <c r="H63" i="61" a="1"/>
  <c r="H63" i="61"/>
  <c r="G64" i="61" a="1"/>
  <c r="G64" i="61"/>
  <c r="H64" i="61" a="1"/>
  <c r="H64" i="61"/>
  <c r="G65" i="61" a="1"/>
  <c r="G65" i="61"/>
  <c r="H65" i="61" a="1"/>
  <c r="H65" i="61"/>
  <c r="G66" i="61" a="1"/>
  <c r="G66" i="61"/>
  <c r="H66" i="61" a="1"/>
  <c r="H66" i="61"/>
  <c r="G67" i="61" a="1"/>
  <c r="G67" i="61"/>
  <c r="H67" i="61" a="1"/>
  <c r="H67" i="61"/>
  <c r="G68" i="61" a="1"/>
  <c r="G68" i="61"/>
  <c r="H68" i="61" a="1"/>
  <c r="H68" i="61"/>
  <c r="G69" i="61" a="1"/>
  <c r="G69" i="61"/>
  <c r="H69" i="61" a="1"/>
  <c r="H69" i="61"/>
  <c r="G70" i="61" a="1"/>
  <c r="G70" i="61"/>
  <c r="H70" i="61" a="1"/>
  <c r="H70" i="61"/>
  <c r="G71" i="61" a="1"/>
  <c r="G71" i="61"/>
  <c r="H71" i="61" a="1"/>
  <c r="H71" i="61"/>
  <c r="G72" i="61" a="1"/>
  <c r="G72" i="61"/>
  <c r="H72" i="61" a="1"/>
  <c r="H72" i="61"/>
  <c r="G73" i="61" a="1"/>
  <c r="G73" i="61"/>
  <c r="H73" i="61" a="1"/>
  <c r="H73" i="61"/>
  <c r="G74" i="61" a="1"/>
  <c r="G74" i="61"/>
  <c r="H74" i="61" a="1"/>
  <c r="H74" i="61"/>
  <c r="G75" i="61" a="1"/>
  <c r="G75" i="61"/>
  <c r="H75" i="61" a="1"/>
  <c r="H75" i="61"/>
  <c r="G76" i="61" a="1"/>
  <c r="G76" i="61"/>
  <c r="H76" i="61" a="1"/>
  <c r="H76" i="61"/>
  <c r="G77" i="61" a="1"/>
  <c r="G77" i="61"/>
  <c r="H77" i="61" a="1"/>
  <c r="H77" i="61"/>
  <c r="G78" i="61" a="1"/>
  <c r="G78" i="61"/>
  <c r="H78" i="61" a="1"/>
  <c r="H78" i="61"/>
  <c r="G79" i="61" a="1"/>
  <c r="G79" i="61"/>
  <c r="H79" i="61" a="1"/>
  <c r="H79" i="61"/>
  <c r="G80" i="61" a="1"/>
  <c r="G80" i="61"/>
  <c r="H80" i="61" a="1"/>
  <c r="H80" i="61"/>
  <c r="G81" i="61" a="1"/>
  <c r="G81" i="61"/>
  <c r="H81" i="61" a="1"/>
  <c r="H81" i="61"/>
  <c r="G82" i="61" a="1"/>
  <c r="G82" i="61"/>
  <c r="H82" i="61" a="1"/>
  <c r="H82" i="61"/>
  <c r="G83" i="61" a="1"/>
  <c r="G83" i="61"/>
  <c r="H83" i="61" a="1"/>
  <c r="H83" i="61"/>
  <c r="G84" i="61" a="1"/>
  <c r="G84" i="61"/>
  <c r="H84" i="61" a="1"/>
  <c r="H84" i="61"/>
  <c r="G85" i="61" a="1"/>
  <c r="G85" i="61"/>
  <c r="H85" i="61" a="1"/>
  <c r="H85" i="61"/>
  <c r="G86" i="61" a="1"/>
  <c r="G86" i="61"/>
  <c r="H86" i="61" a="1"/>
  <c r="H86" i="61"/>
  <c r="W86" i="61"/>
  <c r="G87" i="61" a="1"/>
  <c r="G87" i="61"/>
  <c r="H87" i="61" a="1"/>
  <c r="H87" i="61"/>
  <c r="G88" i="61" a="1"/>
  <c r="G88" i="61"/>
  <c r="H88" i="61" a="1"/>
  <c r="H88" i="61"/>
  <c r="G89" i="61" a="1"/>
  <c r="G89" i="61"/>
  <c r="H89" i="61" a="1"/>
  <c r="H89" i="61"/>
  <c r="G90" i="61" a="1"/>
  <c r="G90" i="61"/>
  <c r="H90" i="61" a="1"/>
  <c r="H90" i="61"/>
  <c r="G91" i="61" a="1"/>
  <c r="G91" i="61"/>
  <c r="H91" i="61" a="1"/>
  <c r="H91" i="61"/>
  <c r="G92" i="61" a="1"/>
  <c r="G92" i="61"/>
  <c r="H92" i="61" a="1"/>
  <c r="H92" i="61"/>
  <c r="G93" i="61" a="1"/>
  <c r="G93" i="61"/>
  <c r="H93" i="61" a="1"/>
  <c r="H93" i="61"/>
  <c r="G94" i="61" a="1"/>
  <c r="G94" i="61"/>
  <c r="H94" i="61" a="1"/>
  <c r="H94" i="61"/>
  <c r="BG6" i="61"/>
  <c r="BG14" i="61"/>
  <c r="BG22" i="61"/>
  <c r="BG36" i="61"/>
  <c r="AO8" i="61"/>
  <c r="W7" i="61"/>
  <c r="W9" i="61"/>
  <c r="W13" i="61"/>
  <c r="W15" i="61"/>
  <c r="W17" i="61"/>
  <c r="W19" i="61"/>
  <c r="W23" i="61"/>
  <c r="W27" i="61"/>
  <c r="W31" i="61"/>
  <c r="H5" i="61" a="1"/>
  <c r="H5" i="61"/>
  <c r="H6" i="61" a="1"/>
  <c r="H6" i="61"/>
  <c r="H7" i="61" a="1"/>
  <c r="H7" i="61"/>
  <c r="H8" i="61" a="1"/>
  <c r="H8" i="61"/>
  <c r="H9" i="61" a="1"/>
  <c r="H9" i="61"/>
  <c r="H10" i="61" a="1"/>
  <c r="H10" i="61"/>
  <c r="H11" i="61" a="1"/>
  <c r="H11" i="61"/>
  <c r="H12" i="61" a="1"/>
  <c r="H12" i="61"/>
  <c r="H13" i="61" a="1"/>
  <c r="H13" i="61"/>
  <c r="H14" i="61" a="1"/>
  <c r="H14" i="61"/>
  <c r="H15" i="61" a="1"/>
  <c r="H15" i="61"/>
  <c r="H16" i="61" a="1"/>
  <c r="H16" i="61"/>
  <c r="H17" i="61" a="1"/>
  <c r="H17" i="61"/>
  <c r="H18" i="61" a="1"/>
  <c r="H18" i="61"/>
  <c r="H19" i="61" a="1"/>
  <c r="H19" i="61"/>
  <c r="H20" i="61" a="1"/>
  <c r="H20" i="61"/>
  <c r="H21" i="61" a="1"/>
  <c r="H21" i="61"/>
  <c r="H22" i="61" a="1"/>
  <c r="H22" i="61"/>
  <c r="H23" i="61" a="1"/>
  <c r="H23" i="61"/>
  <c r="H24" i="61" a="1"/>
  <c r="H24" i="61"/>
  <c r="H25" i="61" a="1"/>
  <c r="H25" i="61"/>
  <c r="H26" i="61" a="1"/>
  <c r="H26" i="61"/>
  <c r="H27" i="61" a="1"/>
  <c r="H27" i="61"/>
  <c r="H28" i="61" a="1"/>
  <c r="H28" i="61"/>
  <c r="H29" i="61" a="1"/>
  <c r="H29" i="61"/>
  <c r="H30" i="61" a="1"/>
  <c r="H30" i="61"/>
  <c r="H31" i="61" a="1"/>
  <c r="H31" i="61"/>
  <c r="H32" i="61" a="1"/>
  <c r="H32" i="61"/>
  <c r="H33" i="61" a="1"/>
  <c r="H33" i="61"/>
  <c r="H34" i="61" a="1"/>
  <c r="H34" i="61"/>
  <c r="H35" i="61" a="1"/>
  <c r="H35" i="61"/>
  <c r="H36" i="61" a="1"/>
  <c r="H36" i="61"/>
  <c r="G5" i="61" a="1"/>
  <c r="G5" i="61"/>
  <c r="G6" i="61" a="1"/>
  <c r="G6" i="61"/>
  <c r="G7" i="61" a="1"/>
  <c r="G7" i="61"/>
  <c r="G8" i="61" a="1"/>
  <c r="G8" i="61"/>
  <c r="G9" i="61" a="1"/>
  <c r="G9" i="61"/>
  <c r="G10" i="61" a="1"/>
  <c r="G10" i="61"/>
  <c r="G11" i="61" a="1"/>
  <c r="G11" i="61"/>
  <c r="G12" i="61" a="1"/>
  <c r="G12" i="61"/>
  <c r="G13" i="61" a="1"/>
  <c r="G13" i="61"/>
  <c r="G14" i="61" a="1"/>
  <c r="G14" i="61"/>
  <c r="G15" i="61" a="1"/>
  <c r="G15" i="61"/>
  <c r="G16" i="61" a="1"/>
  <c r="G16" i="61"/>
  <c r="G17" i="61" a="1"/>
  <c r="G17" i="61"/>
  <c r="G18" i="61" a="1"/>
  <c r="G18" i="61"/>
  <c r="G19" i="61" a="1"/>
  <c r="G19" i="61"/>
  <c r="G20" i="61" a="1"/>
  <c r="G20" i="61"/>
  <c r="G21" i="61" a="1"/>
  <c r="G21" i="61"/>
  <c r="G22" i="61" a="1"/>
  <c r="G22" i="61"/>
  <c r="G23" i="61" a="1"/>
  <c r="G23" i="61"/>
  <c r="G24" i="61" a="1"/>
  <c r="G24" i="61"/>
  <c r="G25" i="61" a="1"/>
  <c r="G25" i="61"/>
  <c r="G26" i="61" a="1"/>
  <c r="G26" i="61"/>
  <c r="G27" i="61" a="1"/>
  <c r="G27" i="61"/>
  <c r="G28" i="61" a="1"/>
  <c r="G28" i="61"/>
  <c r="G29" i="61" a="1"/>
  <c r="G29" i="61"/>
  <c r="G30" i="61" a="1"/>
  <c r="G30" i="61"/>
  <c r="G31" i="61" a="1"/>
  <c r="G31" i="61"/>
  <c r="G32" i="61" a="1"/>
  <c r="G32" i="61"/>
  <c r="G33" i="61" a="1"/>
  <c r="G33" i="61"/>
  <c r="G34" i="61" a="1"/>
  <c r="G34" i="61"/>
  <c r="G35" i="61" a="1"/>
  <c r="G35" i="61"/>
  <c r="G36" i="61" a="1"/>
  <c r="G36" i="61"/>
  <c r="AD107" i="62"/>
  <c r="BD36" i="62"/>
  <c r="P109" i="62"/>
  <c r="P50" i="62"/>
  <c r="X46" i="62"/>
  <c r="P30" i="62"/>
  <c r="T26" i="62"/>
  <c r="L10" i="62"/>
  <c r="L6" i="62"/>
  <c r="P74" i="62"/>
  <c r="AO103" i="61"/>
  <c r="BG105" i="61"/>
  <c r="BG101" i="61"/>
  <c r="BC101" i="61"/>
  <c r="AO99" i="61"/>
  <c r="O102" i="61"/>
  <c r="BC100" i="61"/>
  <c r="O3" i="19"/>
  <c r="O4" i="19"/>
  <c r="O5" i="19"/>
  <c r="O6" i="19"/>
  <c r="O7" i="19"/>
  <c r="O8" i="19"/>
  <c r="O9" i="19"/>
  <c r="O10" i="19"/>
  <c r="O11" i="19"/>
  <c r="O12" i="19"/>
  <c r="O13" i="19"/>
  <c r="O14" i="19"/>
  <c r="O15" i="19"/>
  <c r="O16" i="19"/>
  <c r="O17" i="19"/>
  <c r="O18" i="19"/>
  <c r="O19" i="19"/>
  <c r="O20" i="19"/>
  <c r="O21" i="19"/>
  <c r="O22" i="19"/>
  <c r="O23" i="19"/>
  <c r="O24" i="19"/>
  <c r="O25" i="19"/>
  <c r="O26" i="19"/>
  <c r="O27" i="19"/>
  <c r="O28" i="19"/>
  <c r="O29" i="19"/>
  <c r="O30" i="19"/>
  <c r="O31" i="19"/>
  <c r="O32" i="19"/>
  <c r="O33" i="19"/>
  <c r="O34" i="19"/>
  <c r="O35" i="19"/>
  <c r="O36" i="19"/>
  <c r="O37" i="19"/>
  <c r="O38" i="19"/>
  <c r="O39" i="19"/>
  <c r="O40" i="19"/>
  <c r="O2" i="19"/>
  <c r="L5" i="17"/>
  <c r="J4" i="21"/>
  <c r="W3" i="44"/>
  <c r="W4" i="44"/>
  <c r="W5" i="44"/>
  <c r="W6" i="44"/>
  <c r="W7" i="44"/>
  <c r="W8" i="44"/>
  <c r="W9" i="44"/>
  <c r="W10" i="44"/>
  <c r="S688" i="35"/>
  <c r="S687" i="35"/>
  <c r="R688" i="35"/>
  <c r="R687" i="35"/>
  <c r="Q688" i="35"/>
  <c r="Q687" i="35"/>
  <c r="P688" i="35"/>
  <c r="P687" i="35"/>
  <c r="N688" i="35"/>
  <c r="N687" i="35"/>
  <c r="M688" i="35"/>
  <c r="M687" i="35"/>
  <c r="L688" i="35"/>
  <c r="L687" i="35"/>
  <c r="K688" i="35"/>
  <c r="K687" i="35"/>
  <c r="I688" i="35"/>
  <c r="I687" i="35"/>
  <c r="H688" i="35"/>
  <c r="H687" i="35"/>
  <c r="G688" i="35"/>
  <c r="G687" i="35"/>
  <c r="F688" i="35"/>
  <c r="F687" i="35"/>
  <c r="S603" i="35"/>
  <c r="S602" i="35"/>
  <c r="R603" i="35"/>
  <c r="R602" i="35"/>
  <c r="Q603" i="35"/>
  <c r="Q602" i="35"/>
  <c r="P603" i="35"/>
  <c r="P602" i="35"/>
  <c r="N603" i="35"/>
  <c r="N602" i="35"/>
  <c r="M603" i="35"/>
  <c r="M602" i="35"/>
  <c r="L603" i="35"/>
  <c r="L602" i="35"/>
  <c r="K603" i="35"/>
  <c r="K602" i="35"/>
  <c r="I603" i="35"/>
  <c r="I602" i="35"/>
  <c r="H603" i="35"/>
  <c r="H602" i="35"/>
  <c r="G603" i="35"/>
  <c r="G602" i="35"/>
  <c r="F603" i="35"/>
  <c r="F602" i="35"/>
  <c r="S517" i="35"/>
  <c r="S516" i="35"/>
  <c r="R517" i="35"/>
  <c r="R516" i="35"/>
  <c r="Q517" i="35"/>
  <c r="Q516" i="35"/>
  <c r="P517" i="35"/>
  <c r="P516" i="35"/>
  <c r="N517" i="35"/>
  <c r="N516" i="35"/>
  <c r="M517" i="35"/>
  <c r="M516" i="35"/>
  <c r="L517" i="35"/>
  <c r="K517" i="35"/>
  <c r="K516" i="35"/>
  <c r="I517" i="35"/>
  <c r="I516" i="35"/>
  <c r="H517" i="35"/>
  <c r="H516" i="35"/>
  <c r="G517" i="35"/>
  <c r="G516" i="35"/>
  <c r="F517" i="35"/>
  <c r="F516" i="35"/>
  <c r="S431" i="35"/>
  <c r="S430" i="35"/>
  <c r="R431" i="35"/>
  <c r="R430" i="35"/>
  <c r="Q431" i="35"/>
  <c r="Q430" i="35"/>
  <c r="P431" i="35"/>
  <c r="P430" i="35"/>
  <c r="N431" i="35"/>
  <c r="N430" i="35"/>
  <c r="M431" i="35"/>
  <c r="M430" i="35"/>
  <c r="L431" i="35"/>
  <c r="L430" i="35"/>
  <c r="K431" i="35"/>
  <c r="K430" i="35"/>
  <c r="I431" i="35"/>
  <c r="I430" i="35"/>
  <c r="H431" i="35"/>
  <c r="H430" i="35"/>
  <c r="G431" i="35"/>
  <c r="G430" i="35"/>
  <c r="F431" i="35"/>
  <c r="F430" i="35"/>
  <c r="S685" i="35"/>
  <c r="S684" i="35"/>
  <c r="R685" i="35"/>
  <c r="R684" i="35"/>
  <c r="Q685" i="35"/>
  <c r="Q684" i="35"/>
  <c r="P685" i="35"/>
  <c r="N685" i="35"/>
  <c r="N684" i="35"/>
  <c r="M685" i="35"/>
  <c r="M684" i="35"/>
  <c r="L685" i="35"/>
  <c r="K685" i="35"/>
  <c r="K684" i="35"/>
  <c r="I685" i="35"/>
  <c r="H685" i="35"/>
  <c r="H684" i="35"/>
  <c r="G685" i="35"/>
  <c r="G684" i="35"/>
  <c r="F685" i="35"/>
  <c r="F684" i="35"/>
  <c r="S600" i="35"/>
  <c r="S599" i="35"/>
  <c r="R600" i="35"/>
  <c r="R599" i="35"/>
  <c r="Q600" i="35"/>
  <c r="Q599" i="35"/>
  <c r="P600" i="35"/>
  <c r="N600" i="35"/>
  <c r="N599" i="35"/>
  <c r="M600" i="35"/>
  <c r="M599" i="35"/>
  <c r="L600" i="35"/>
  <c r="L599" i="35"/>
  <c r="K600" i="35"/>
  <c r="K599" i="35"/>
  <c r="I600" i="35"/>
  <c r="I599" i="35"/>
  <c r="H600" i="35"/>
  <c r="H599" i="35"/>
  <c r="G600" i="35"/>
  <c r="F600" i="35"/>
  <c r="S514" i="35"/>
  <c r="S513" i="35"/>
  <c r="R514" i="35"/>
  <c r="R513" i="35"/>
  <c r="Q514" i="35"/>
  <c r="Q513" i="35"/>
  <c r="P514" i="35"/>
  <c r="P513" i="35"/>
  <c r="N514" i="35"/>
  <c r="N513" i="35"/>
  <c r="M514" i="35"/>
  <c r="M513" i="35"/>
  <c r="L514" i="35"/>
  <c r="K514" i="35"/>
  <c r="K513" i="35"/>
  <c r="I514" i="35"/>
  <c r="I513" i="35"/>
  <c r="H514" i="35"/>
  <c r="H513" i="35"/>
  <c r="G514" i="35"/>
  <c r="G513" i="35"/>
  <c r="F514" i="35"/>
  <c r="F513" i="35"/>
  <c r="S428" i="35"/>
  <c r="S427" i="35"/>
  <c r="R428" i="35"/>
  <c r="R427" i="35"/>
  <c r="Q428" i="35"/>
  <c r="P428" i="35"/>
  <c r="P427" i="35"/>
  <c r="N428" i="35"/>
  <c r="N427" i="35"/>
  <c r="M428" i="35"/>
  <c r="M427" i="35"/>
  <c r="L428" i="35"/>
  <c r="L427" i="35"/>
  <c r="K428" i="35"/>
  <c r="K427" i="35"/>
  <c r="I428" i="35"/>
  <c r="H428" i="35"/>
  <c r="H427" i="35"/>
  <c r="G428" i="35"/>
  <c r="G427" i="35"/>
  <c r="F428" i="35"/>
  <c r="F427" i="35"/>
  <c r="S682" i="35"/>
  <c r="S681" i="35"/>
  <c r="R682" i="35"/>
  <c r="R681" i="35"/>
  <c r="Q682" i="35"/>
  <c r="Q681" i="35"/>
  <c r="P682" i="35"/>
  <c r="P681" i="35"/>
  <c r="N682" i="35"/>
  <c r="N681" i="35"/>
  <c r="M682" i="35"/>
  <c r="M681" i="35"/>
  <c r="L682" i="35"/>
  <c r="L681" i="35"/>
  <c r="K682" i="35"/>
  <c r="K681" i="35"/>
  <c r="I682" i="35"/>
  <c r="I681" i="35"/>
  <c r="H682" i="35"/>
  <c r="H681" i="35"/>
  <c r="G682" i="35"/>
  <c r="G681" i="35"/>
  <c r="F682" i="35"/>
  <c r="F681" i="35"/>
  <c r="S597" i="35"/>
  <c r="S596" i="35"/>
  <c r="R597" i="35"/>
  <c r="R596" i="35"/>
  <c r="Q597" i="35"/>
  <c r="Q596" i="35"/>
  <c r="P597" i="35"/>
  <c r="P596" i="35"/>
  <c r="N597" i="35"/>
  <c r="N596" i="35"/>
  <c r="M597" i="35"/>
  <c r="M596" i="35"/>
  <c r="L597" i="35"/>
  <c r="L596" i="35"/>
  <c r="K597" i="35"/>
  <c r="K596" i="35"/>
  <c r="I597" i="35"/>
  <c r="I596" i="35"/>
  <c r="H597" i="35"/>
  <c r="H596" i="35"/>
  <c r="G597" i="35"/>
  <c r="G596" i="35"/>
  <c r="F597" i="35"/>
  <c r="F596" i="35"/>
  <c r="S511" i="35"/>
  <c r="S510" i="35"/>
  <c r="R511" i="35"/>
  <c r="R510" i="35"/>
  <c r="Q511" i="35"/>
  <c r="P511" i="35"/>
  <c r="P510" i="35"/>
  <c r="N511" i="35"/>
  <c r="N510" i="35"/>
  <c r="M511" i="35"/>
  <c r="M510" i="35"/>
  <c r="L511" i="35"/>
  <c r="L510" i="35"/>
  <c r="K511" i="35"/>
  <c r="K510" i="35"/>
  <c r="I511" i="35"/>
  <c r="I510" i="35"/>
  <c r="H511" i="35"/>
  <c r="H510" i="35"/>
  <c r="G511" i="35"/>
  <c r="G510" i="35"/>
  <c r="F511" i="35"/>
  <c r="F510" i="35"/>
  <c r="S425" i="35"/>
  <c r="S424" i="35"/>
  <c r="R425" i="35"/>
  <c r="R424" i="35"/>
  <c r="Q425" i="35"/>
  <c r="P425" i="35"/>
  <c r="P424" i="35"/>
  <c r="N425" i="35"/>
  <c r="N424" i="35"/>
  <c r="M425" i="35"/>
  <c r="M424" i="35"/>
  <c r="L425" i="35"/>
  <c r="L424" i="35"/>
  <c r="K425" i="35"/>
  <c r="K424" i="35"/>
  <c r="I425" i="35"/>
  <c r="I424" i="35"/>
  <c r="H425" i="35"/>
  <c r="H424" i="35"/>
  <c r="G425" i="35"/>
  <c r="G424" i="35"/>
  <c r="F425" i="35"/>
  <c r="F424" i="35"/>
  <c r="S508" i="35"/>
  <c r="R508" i="35"/>
  <c r="Q508" i="35"/>
  <c r="P508" i="35"/>
  <c r="N508" i="35"/>
  <c r="M508" i="35"/>
  <c r="L508" i="35"/>
  <c r="K508" i="35"/>
  <c r="I508" i="35"/>
  <c r="H508" i="35"/>
  <c r="G508" i="35"/>
  <c r="F508" i="35"/>
  <c r="F507" i="35"/>
  <c r="S594" i="35"/>
  <c r="R594" i="35"/>
  <c r="Q594" i="35"/>
  <c r="P594" i="35"/>
  <c r="N594" i="35"/>
  <c r="M594" i="35"/>
  <c r="L594" i="35"/>
  <c r="K594" i="35"/>
  <c r="I594" i="35"/>
  <c r="H594" i="35"/>
  <c r="G594" i="35"/>
  <c r="S679" i="35"/>
  <c r="R679" i="35"/>
  <c r="Q679" i="35"/>
  <c r="P679" i="35"/>
  <c r="N679" i="35"/>
  <c r="K679" i="35"/>
  <c r="L679" i="35"/>
  <c r="M679" i="35"/>
  <c r="I679" i="35"/>
  <c r="F679" i="35"/>
  <c r="F678" i="35"/>
  <c r="G679" i="35"/>
  <c r="H679" i="35"/>
  <c r="F594" i="35"/>
  <c r="F593" i="35"/>
  <c r="S422" i="35"/>
  <c r="R422" i="35"/>
  <c r="Q422" i="35"/>
  <c r="P422" i="35"/>
  <c r="N422" i="35"/>
  <c r="M422" i="35"/>
  <c r="L422" i="35"/>
  <c r="K422" i="35"/>
  <c r="I422" i="35"/>
  <c r="H422" i="35"/>
  <c r="G422" i="35"/>
  <c r="F422" i="35"/>
  <c r="F421" i="35"/>
  <c r="F599" i="35"/>
  <c r="Q526" i="35"/>
  <c r="S526" i="35"/>
  <c r="L526" i="35"/>
  <c r="N440" i="35"/>
  <c r="K440" i="35"/>
  <c r="G526" i="35"/>
  <c r="G525" i="35"/>
  <c r="H612" i="35"/>
  <c r="H611" i="35"/>
  <c r="I440" i="35"/>
  <c r="F697" i="35"/>
  <c r="F696" i="35"/>
  <c r="N526" i="35"/>
  <c r="N525" i="35"/>
  <c r="M612" i="35"/>
  <c r="G612" i="35"/>
  <c r="G611" i="35"/>
  <c r="G440" i="35"/>
  <c r="L697" i="35"/>
  <c r="L612" i="35"/>
  <c r="L440" i="35"/>
  <c r="Q697" i="35"/>
  <c r="Q612" i="35"/>
  <c r="Q611" i="35"/>
  <c r="Q440" i="35"/>
  <c r="Q439" i="35"/>
  <c r="S697" i="35"/>
  <c r="S612" i="35"/>
  <c r="S611" i="35"/>
  <c r="S440" i="35"/>
  <c r="F612" i="35"/>
  <c r="F611" i="35"/>
  <c r="P440" i="35"/>
  <c r="K526" i="35"/>
  <c r="K525" i="35"/>
  <c r="K697" i="35"/>
  <c r="K612" i="35"/>
  <c r="P697" i="35"/>
  <c r="P696" i="35"/>
  <c r="P612" i="35"/>
  <c r="P611" i="35"/>
  <c r="P526" i="35"/>
  <c r="AY14" i="24"/>
  <c r="H502" i="35"/>
  <c r="Q694" i="35"/>
  <c r="Q693" i="35"/>
  <c r="R437" i="35"/>
  <c r="R436" i="35"/>
  <c r="S523" i="35"/>
  <c r="S522" i="35"/>
  <c r="M437" i="35"/>
  <c r="M436" i="35"/>
  <c r="N609" i="35"/>
  <c r="N608" i="35"/>
  <c r="G609" i="35"/>
  <c r="G608" i="35"/>
  <c r="H437" i="35"/>
  <c r="H436" i="35"/>
  <c r="F694" i="35"/>
  <c r="F693" i="35"/>
  <c r="R609" i="35"/>
  <c r="R608" i="35"/>
  <c r="G437" i="35"/>
  <c r="G436" i="35"/>
  <c r="G694" i="35"/>
  <c r="G693" i="35"/>
  <c r="G523" i="35"/>
  <c r="G522" i="35"/>
  <c r="L437" i="35"/>
  <c r="L436" i="35"/>
  <c r="L694" i="35"/>
  <c r="L693" i="35"/>
  <c r="L609" i="35"/>
  <c r="L608" i="35"/>
  <c r="L523" i="35"/>
  <c r="L522" i="35"/>
  <c r="Q437" i="35"/>
  <c r="Q436" i="35"/>
  <c r="Q609" i="35"/>
  <c r="Q608" i="35"/>
  <c r="Q523" i="35"/>
  <c r="Q522" i="35"/>
  <c r="M609" i="35"/>
  <c r="M608" i="35"/>
  <c r="H694" i="35"/>
  <c r="H693" i="35"/>
  <c r="N694" i="35"/>
  <c r="N693" i="35"/>
  <c r="K437" i="35"/>
  <c r="K436" i="35"/>
  <c r="K609" i="35"/>
  <c r="P609" i="35"/>
  <c r="P608" i="35"/>
  <c r="H609" i="35"/>
  <c r="H608" i="35"/>
  <c r="H523" i="35"/>
  <c r="H522" i="35"/>
  <c r="C181" i="55"/>
  <c r="C166" i="55"/>
  <c r="BD120" i="55"/>
  <c r="BD136" i="55"/>
  <c r="AL116" i="55"/>
  <c r="AL132" i="55"/>
  <c r="S115" i="55"/>
  <c r="T120" i="55"/>
  <c r="G148" i="55" a="1"/>
  <c r="G148" i="55"/>
  <c r="H148" i="55" a="1"/>
  <c r="H148" i="55"/>
  <c r="G149" i="55" a="1"/>
  <c r="G149" i="55"/>
  <c r="H149" i="55" a="1"/>
  <c r="H149" i="55"/>
  <c r="G150" i="55" a="1"/>
  <c r="G150" i="55"/>
  <c r="H150" i="55" a="1"/>
  <c r="H150" i="55"/>
  <c r="G151" i="55" a="1"/>
  <c r="G151" i="55"/>
  <c r="H151" i="55" a="1"/>
  <c r="H151" i="55"/>
  <c r="G152" i="55" a="1"/>
  <c r="G152" i="55"/>
  <c r="H152" i="55" a="1"/>
  <c r="H152" i="55"/>
  <c r="G153" i="55" a="1"/>
  <c r="G153" i="55"/>
  <c r="H153" i="55" a="1"/>
  <c r="H153" i="55"/>
  <c r="G154" i="55" a="1"/>
  <c r="G154" i="55"/>
  <c r="H154" i="55" a="1"/>
  <c r="H154" i="55"/>
  <c r="G155" i="55" a="1"/>
  <c r="G155" i="55"/>
  <c r="H155" i="55" a="1"/>
  <c r="H155" i="55"/>
  <c r="G156" i="55" a="1"/>
  <c r="G156" i="55"/>
  <c r="H156" i="55" a="1"/>
  <c r="H156" i="55"/>
  <c r="T156" i="55"/>
  <c r="G157" i="55" a="1"/>
  <c r="G157" i="55"/>
  <c r="H157" i="55" a="1"/>
  <c r="H157" i="55"/>
  <c r="G158" i="55" a="1"/>
  <c r="G158" i="55"/>
  <c r="H158" i="55" a="1"/>
  <c r="H158" i="55"/>
  <c r="G159" i="55" a="1"/>
  <c r="G159" i="55"/>
  <c r="H159" i="55" a="1"/>
  <c r="H159" i="55"/>
  <c r="G160" i="55" a="1"/>
  <c r="G160" i="55"/>
  <c r="H160" i="55" a="1"/>
  <c r="H160" i="55"/>
  <c r="C89" i="55"/>
  <c r="G85" i="55" a="1"/>
  <c r="G85" i="55"/>
  <c r="H85" i="55" a="1"/>
  <c r="H85" i="55"/>
  <c r="W78" i="55"/>
  <c r="C78" i="55"/>
  <c r="C71" i="55"/>
  <c r="C72" i="55"/>
  <c r="C73" i="55"/>
  <c r="P73" i="55"/>
  <c r="C74" i="55"/>
  <c r="AL74" i="55"/>
  <c r="C70" i="55"/>
  <c r="BF62" i="55" a="1"/>
  <c r="BF62" i="55"/>
  <c r="BB62" i="55" a="1"/>
  <c r="BB62" i="55"/>
  <c r="AX62" i="55" a="1"/>
  <c r="AX62" i="55"/>
  <c r="AT62" i="55" a="1"/>
  <c r="AT62" i="55"/>
  <c r="AS62" i="55" a="1"/>
  <c r="AS62" i="55"/>
  <c r="AN62" i="55" a="1"/>
  <c r="AN62" i="55"/>
  <c r="AJ62" i="55" a="1"/>
  <c r="AJ62" i="55"/>
  <c r="AF62" i="55" a="1"/>
  <c r="AF62" i="55"/>
  <c r="AB62" i="55" a="1"/>
  <c r="AB62" i="55"/>
  <c r="AA62" i="55" a="1"/>
  <c r="AA62" i="55"/>
  <c r="V62" i="55" a="1"/>
  <c r="V62" i="55"/>
  <c r="R62" i="55" a="1"/>
  <c r="R62" i="55"/>
  <c r="N62" i="55" a="1"/>
  <c r="N62" i="55"/>
  <c r="I62" i="55" a="1"/>
  <c r="I62" i="55"/>
  <c r="H66" i="55" a="1"/>
  <c r="H66" i="55"/>
  <c r="C63" i="55"/>
  <c r="C64" i="55"/>
  <c r="C65" i="55"/>
  <c r="C62" i="55"/>
  <c r="C3" i="55"/>
  <c r="Q266" i="35"/>
  <c r="Q265" i="35"/>
  <c r="R266" i="35"/>
  <c r="R265" i="35"/>
  <c r="S266" i="35"/>
  <c r="S265" i="35"/>
  <c r="P266" i="35"/>
  <c r="P265" i="35"/>
  <c r="L266" i="35"/>
  <c r="L265" i="35"/>
  <c r="M266" i="35"/>
  <c r="M265" i="35"/>
  <c r="N266" i="35"/>
  <c r="N265" i="35"/>
  <c r="K266" i="35"/>
  <c r="K265" i="35"/>
  <c r="G266" i="35"/>
  <c r="G265" i="35"/>
  <c r="H266" i="35"/>
  <c r="H265" i="35"/>
  <c r="I266" i="35"/>
  <c r="I265" i="35"/>
  <c r="F266" i="35"/>
  <c r="F265" i="35"/>
  <c r="Q263" i="35"/>
  <c r="Q262" i="35"/>
  <c r="R263" i="35"/>
  <c r="R262" i="35"/>
  <c r="S263" i="35"/>
  <c r="S262" i="35"/>
  <c r="P263" i="35"/>
  <c r="P262" i="35"/>
  <c r="L263" i="35"/>
  <c r="L262" i="35"/>
  <c r="M263" i="35"/>
  <c r="M262" i="35"/>
  <c r="N263" i="35"/>
  <c r="N262" i="35"/>
  <c r="K263" i="35"/>
  <c r="K262" i="35"/>
  <c r="G263" i="35"/>
  <c r="G262" i="35"/>
  <c r="H263" i="35"/>
  <c r="H262" i="35"/>
  <c r="I263" i="35"/>
  <c r="I262" i="35"/>
  <c r="F263" i="35"/>
  <c r="F262" i="35"/>
  <c r="Q257" i="35"/>
  <c r="Q256" i="35"/>
  <c r="R257" i="35"/>
  <c r="R256" i="35"/>
  <c r="S257" i="35"/>
  <c r="S256" i="35"/>
  <c r="P257" i="35"/>
  <c r="P256" i="35"/>
  <c r="L257" i="35"/>
  <c r="L256" i="35"/>
  <c r="M257" i="35"/>
  <c r="M256" i="35"/>
  <c r="N257" i="35"/>
  <c r="N256" i="35"/>
  <c r="K257" i="35"/>
  <c r="K256" i="35"/>
  <c r="G257" i="35"/>
  <c r="G256" i="35"/>
  <c r="H257" i="35"/>
  <c r="H256" i="35"/>
  <c r="I257" i="35"/>
  <c r="I256" i="35"/>
  <c r="F257" i="35"/>
  <c r="F256" i="35"/>
  <c r="Q254" i="35"/>
  <c r="Q253" i="35"/>
  <c r="R254" i="35"/>
  <c r="R253" i="35"/>
  <c r="S254" i="35"/>
  <c r="S253" i="35"/>
  <c r="P254" i="35"/>
  <c r="L254" i="35"/>
  <c r="M254" i="35"/>
  <c r="M253" i="35"/>
  <c r="N254" i="35"/>
  <c r="N253" i="35"/>
  <c r="K254" i="35"/>
  <c r="K253" i="35"/>
  <c r="G254" i="35"/>
  <c r="H254" i="35"/>
  <c r="H253" i="35"/>
  <c r="I254" i="35"/>
  <c r="I253" i="35"/>
  <c r="F254" i="35"/>
  <c r="F253" i="35"/>
  <c r="Q248" i="35"/>
  <c r="R248" i="35"/>
  <c r="S248" i="35"/>
  <c r="P248" i="35"/>
  <c r="L248" i="35"/>
  <c r="M248" i="35"/>
  <c r="N248" i="35"/>
  <c r="K248" i="35"/>
  <c r="G248" i="35"/>
  <c r="H248" i="35"/>
  <c r="I248" i="35"/>
  <c r="F248" i="35"/>
  <c r="F247" i="35"/>
  <c r="Q352" i="35"/>
  <c r="Q351" i="35"/>
  <c r="R352" i="35"/>
  <c r="R351" i="35"/>
  <c r="S352" i="35"/>
  <c r="S351" i="35"/>
  <c r="P352" i="35"/>
  <c r="P351" i="35"/>
  <c r="L352" i="35"/>
  <c r="L351" i="35"/>
  <c r="M352" i="35"/>
  <c r="M351" i="35"/>
  <c r="N352" i="35"/>
  <c r="N351" i="35"/>
  <c r="K352" i="35"/>
  <c r="G352" i="35"/>
  <c r="G351" i="35"/>
  <c r="H352" i="35"/>
  <c r="H351" i="35"/>
  <c r="I352" i="35"/>
  <c r="I351" i="35"/>
  <c r="F352" i="35"/>
  <c r="F351" i="35"/>
  <c r="Q349" i="35"/>
  <c r="Q348" i="35"/>
  <c r="R349" i="35"/>
  <c r="R348" i="35"/>
  <c r="P349" i="35"/>
  <c r="P348" i="35"/>
  <c r="S349" i="35"/>
  <c r="S348" i="35"/>
  <c r="L349" i="35"/>
  <c r="L348" i="35"/>
  <c r="M349" i="35"/>
  <c r="M348" i="35"/>
  <c r="N349" i="35"/>
  <c r="N348" i="35"/>
  <c r="K349" i="35"/>
  <c r="K348" i="35"/>
  <c r="G349" i="35"/>
  <c r="G348" i="35"/>
  <c r="H349" i="35"/>
  <c r="H348" i="35"/>
  <c r="I349" i="35"/>
  <c r="I348" i="35"/>
  <c r="F349" i="35"/>
  <c r="F348" i="35"/>
  <c r="Q343" i="35"/>
  <c r="Q342" i="35"/>
  <c r="R343" i="35"/>
  <c r="R342" i="35"/>
  <c r="S343" i="35"/>
  <c r="S342" i="35"/>
  <c r="P343" i="35"/>
  <c r="P342" i="35"/>
  <c r="L343" i="35"/>
  <c r="L342" i="35"/>
  <c r="K343" i="35"/>
  <c r="K342" i="35"/>
  <c r="M343" i="35"/>
  <c r="M342" i="35"/>
  <c r="N343" i="35"/>
  <c r="N342" i="35"/>
  <c r="G343" i="35"/>
  <c r="F343" i="35"/>
  <c r="F342" i="35"/>
  <c r="H343" i="35"/>
  <c r="H342" i="35"/>
  <c r="I343" i="35"/>
  <c r="I342" i="35"/>
  <c r="Q340" i="35"/>
  <c r="Q339" i="35"/>
  <c r="R340" i="35"/>
  <c r="R339" i="35"/>
  <c r="S340" i="35"/>
  <c r="S339" i="35"/>
  <c r="P340" i="35"/>
  <c r="L340" i="35"/>
  <c r="L339" i="35"/>
  <c r="M340" i="35"/>
  <c r="M339" i="35"/>
  <c r="N340" i="35"/>
  <c r="N339" i="35"/>
  <c r="K340" i="35"/>
  <c r="G340" i="35"/>
  <c r="G339" i="35"/>
  <c r="H340" i="35"/>
  <c r="H339" i="35"/>
  <c r="I340" i="35"/>
  <c r="I339" i="35"/>
  <c r="F340" i="35"/>
  <c r="F339" i="35"/>
  <c r="Q334" i="35"/>
  <c r="R334" i="35"/>
  <c r="S334" i="35"/>
  <c r="P334" i="35"/>
  <c r="L334" i="35"/>
  <c r="M334" i="35"/>
  <c r="N334" i="35"/>
  <c r="K334" i="35"/>
  <c r="G334" i="35"/>
  <c r="H334" i="35"/>
  <c r="I334" i="35"/>
  <c r="F334" i="35"/>
  <c r="F333" i="35"/>
  <c r="AG75" i="24"/>
  <c r="AH75" i="24"/>
  <c r="AG74" i="24"/>
  <c r="AH74" i="24"/>
  <c r="AG73" i="24"/>
  <c r="AH73" i="24"/>
  <c r="AG72" i="24"/>
  <c r="AH72" i="24"/>
  <c r="AG71" i="24"/>
  <c r="AH71" i="24"/>
  <c r="AG70" i="24"/>
  <c r="AH70" i="24"/>
  <c r="AG69" i="24"/>
  <c r="AH69" i="24"/>
  <c r="AG68" i="24"/>
  <c r="AH68" i="24"/>
  <c r="Z75" i="24"/>
  <c r="AA75" i="24"/>
  <c r="Z74" i="24"/>
  <c r="Z73" i="24"/>
  <c r="AA73" i="24"/>
  <c r="Z72" i="24"/>
  <c r="AA72" i="24"/>
  <c r="Z71" i="24"/>
  <c r="AA71" i="24"/>
  <c r="Z70" i="24"/>
  <c r="AA70" i="24"/>
  <c r="Z69" i="24"/>
  <c r="AA69" i="24"/>
  <c r="Z68" i="24"/>
  <c r="S75" i="24"/>
  <c r="T75" i="24"/>
  <c r="S74" i="24"/>
  <c r="T74" i="24"/>
  <c r="S73" i="24"/>
  <c r="T73" i="24"/>
  <c r="S72" i="24"/>
  <c r="T72" i="24"/>
  <c r="S71" i="24"/>
  <c r="T71" i="24"/>
  <c r="S70" i="24"/>
  <c r="T70" i="24"/>
  <c r="S69" i="24"/>
  <c r="T69" i="24"/>
  <c r="S68" i="24"/>
  <c r="T68" i="24"/>
  <c r="BH15" i="24"/>
  <c r="S245" i="35"/>
  <c r="BG15" i="24"/>
  <c r="R159" i="35"/>
  <c r="BF15" i="24"/>
  <c r="BE15" i="24"/>
  <c r="P245" i="35"/>
  <c r="BD15" i="24"/>
  <c r="N245" i="35"/>
  <c r="BC15" i="24"/>
  <c r="M245" i="35"/>
  <c r="BB15" i="24"/>
  <c r="L245" i="35"/>
  <c r="BA15" i="24"/>
  <c r="K505" i="35"/>
  <c r="AZ15" i="24"/>
  <c r="I505" i="35"/>
  <c r="AY15" i="24"/>
  <c r="H331" i="35"/>
  <c r="AX15" i="24"/>
  <c r="G73" i="35"/>
  <c r="AW15" i="24"/>
  <c r="F245" i="35"/>
  <c r="F244" i="35"/>
  <c r="Q180" i="35"/>
  <c r="R180" i="35"/>
  <c r="S180" i="35"/>
  <c r="P180" i="35"/>
  <c r="L180" i="35"/>
  <c r="M180" i="35"/>
  <c r="N180" i="35"/>
  <c r="K180" i="35"/>
  <c r="G180" i="35"/>
  <c r="H180" i="35"/>
  <c r="I180" i="35"/>
  <c r="F180" i="35"/>
  <c r="F179" i="35"/>
  <c r="Q171" i="35"/>
  <c r="R171" i="35"/>
  <c r="S171" i="35"/>
  <c r="P171" i="35"/>
  <c r="L171" i="35"/>
  <c r="M171" i="35"/>
  <c r="N171" i="35"/>
  <c r="K171" i="35"/>
  <c r="G171" i="35"/>
  <c r="H171" i="35"/>
  <c r="I171" i="35"/>
  <c r="F171" i="35"/>
  <c r="F170" i="35"/>
  <c r="Q168" i="35"/>
  <c r="R168" i="35"/>
  <c r="S168" i="35"/>
  <c r="P168" i="35"/>
  <c r="L168" i="35"/>
  <c r="M168" i="35"/>
  <c r="N168" i="35"/>
  <c r="K168" i="35"/>
  <c r="G168" i="35"/>
  <c r="H168" i="35"/>
  <c r="I168" i="35"/>
  <c r="F168" i="35"/>
  <c r="F167" i="35"/>
  <c r="Q76" i="35"/>
  <c r="R76" i="35"/>
  <c r="S76" i="35"/>
  <c r="S75" i="35"/>
  <c r="Q162" i="35"/>
  <c r="P162" i="35"/>
  <c r="R162" i="35"/>
  <c r="S162" i="35"/>
  <c r="L162" i="35"/>
  <c r="M162" i="35"/>
  <c r="N162" i="35"/>
  <c r="K162" i="35"/>
  <c r="G162" i="35"/>
  <c r="F162" i="35"/>
  <c r="F161" i="35"/>
  <c r="H162" i="35"/>
  <c r="I162" i="35"/>
  <c r="P159" i="35"/>
  <c r="M159" i="35"/>
  <c r="F159" i="35"/>
  <c r="F158" i="35"/>
  <c r="P73" i="35"/>
  <c r="K73" i="35"/>
  <c r="BD14" i="24"/>
  <c r="N328" i="35"/>
  <c r="P337" i="35"/>
  <c r="P336" i="35"/>
  <c r="Q94" i="35"/>
  <c r="Q93" i="35"/>
  <c r="R94" i="35"/>
  <c r="R93" i="35"/>
  <c r="S94" i="35"/>
  <c r="S93" i="35"/>
  <c r="P94" i="35"/>
  <c r="L94" i="35"/>
  <c r="L93" i="35"/>
  <c r="M94" i="35"/>
  <c r="M93" i="35"/>
  <c r="N94" i="35"/>
  <c r="N93" i="35"/>
  <c r="K94" i="35"/>
  <c r="G94" i="35"/>
  <c r="G93" i="35"/>
  <c r="H94" i="35"/>
  <c r="H93" i="35"/>
  <c r="I94" i="35"/>
  <c r="F94" i="35"/>
  <c r="F93" i="35"/>
  <c r="S91" i="35"/>
  <c r="S90" i="35"/>
  <c r="R91" i="35"/>
  <c r="R90" i="35"/>
  <c r="Q91" i="35"/>
  <c r="Q90" i="35"/>
  <c r="P91" i="35"/>
  <c r="P90" i="35"/>
  <c r="N91" i="35"/>
  <c r="N90" i="35"/>
  <c r="M91" i="35"/>
  <c r="M90" i="35"/>
  <c r="L91" i="35"/>
  <c r="L90" i="35"/>
  <c r="K91" i="35"/>
  <c r="I91" i="35"/>
  <c r="I90" i="35"/>
  <c r="H91" i="35"/>
  <c r="H90" i="35"/>
  <c r="G91" i="35"/>
  <c r="G90" i="35"/>
  <c r="F91" i="35"/>
  <c r="F90" i="35"/>
  <c r="S85" i="35"/>
  <c r="S84" i="35"/>
  <c r="R85" i="35"/>
  <c r="Q85" i="35"/>
  <c r="Q84" i="35"/>
  <c r="P85" i="35"/>
  <c r="P84" i="35"/>
  <c r="N85" i="35"/>
  <c r="N84" i="35"/>
  <c r="M85" i="35"/>
  <c r="M84" i="35"/>
  <c r="L85" i="35"/>
  <c r="L84" i="35"/>
  <c r="K85" i="35"/>
  <c r="K84" i="35"/>
  <c r="I85" i="35"/>
  <c r="I84" i="35"/>
  <c r="H85" i="35"/>
  <c r="H84" i="35"/>
  <c r="G85" i="35"/>
  <c r="F85" i="35"/>
  <c r="F84" i="35"/>
  <c r="S81" i="35"/>
  <c r="R81" i="35"/>
  <c r="P81" i="35"/>
  <c r="N82" i="35"/>
  <c r="N81" i="35"/>
  <c r="M82" i="35"/>
  <c r="M81" i="35"/>
  <c r="L82" i="35"/>
  <c r="L81" i="35"/>
  <c r="K82" i="35"/>
  <c r="K81" i="35"/>
  <c r="I82" i="35"/>
  <c r="I81" i="35"/>
  <c r="H82" i="35"/>
  <c r="H81" i="35"/>
  <c r="G82" i="35"/>
  <c r="G81" i="35"/>
  <c r="F82" i="35"/>
  <c r="F81" i="35"/>
  <c r="P76" i="35"/>
  <c r="N76" i="35"/>
  <c r="M76" i="35"/>
  <c r="L76" i="35"/>
  <c r="K76" i="35"/>
  <c r="I76" i="35"/>
  <c r="H76" i="35"/>
  <c r="G76" i="35"/>
  <c r="F76" i="35"/>
  <c r="F75" i="35"/>
  <c r="M520" i="35"/>
  <c r="M519" i="35"/>
  <c r="L691" i="35"/>
  <c r="L690" i="35"/>
  <c r="K434" i="35"/>
  <c r="H691" i="35"/>
  <c r="H690" i="35"/>
  <c r="G260" i="35"/>
  <c r="G259" i="35"/>
  <c r="F520" i="35"/>
  <c r="F519" i="35"/>
  <c r="R251" i="35"/>
  <c r="R250" i="35"/>
  <c r="N79" i="35"/>
  <c r="N78" i="35"/>
  <c r="L79" i="35"/>
  <c r="L78" i="35"/>
  <c r="K251" i="35"/>
  <c r="K250" i="35"/>
  <c r="I337" i="35"/>
  <c r="I336" i="35"/>
  <c r="G251" i="35"/>
  <c r="G250" i="35"/>
  <c r="BH14" i="24"/>
  <c r="S502" i="35"/>
  <c r="BG14" i="24"/>
  <c r="R588" i="35"/>
  <c r="BF14" i="24"/>
  <c r="Q673" i="35"/>
  <c r="BE14" i="24"/>
  <c r="P416" i="35"/>
  <c r="BC14" i="24"/>
  <c r="M156" i="35"/>
  <c r="BB14" i="24"/>
  <c r="L673" i="35"/>
  <c r="BA14" i="24"/>
  <c r="K673" i="35"/>
  <c r="AZ14" i="24"/>
  <c r="I673" i="35"/>
  <c r="AX14" i="24"/>
  <c r="G242" i="35"/>
  <c r="AW14" i="24"/>
  <c r="F588" i="35"/>
  <c r="F587" i="35"/>
  <c r="I691" i="35"/>
  <c r="I690" i="35"/>
  <c r="I606" i="35"/>
  <c r="I605" i="35"/>
  <c r="I520" i="35"/>
  <c r="I519" i="35"/>
  <c r="I434" i="35"/>
  <c r="I433" i="35"/>
  <c r="I260" i="35"/>
  <c r="I259" i="35"/>
  <c r="I346" i="35"/>
  <c r="I345" i="35"/>
  <c r="I88" i="35"/>
  <c r="I87" i="35"/>
  <c r="N691" i="35"/>
  <c r="N690" i="35"/>
  <c r="N606" i="35"/>
  <c r="N605" i="35"/>
  <c r="N520" i="35"/>
  <c r="N519" i="35"/>
  <c r="N434" i="35"/>
  <c r="N433" i="35"/>
  <c r="N260" i="35"/>
  <c r="N259" i="35"/>
  <c r="N346" i="35"/>
  <c r="N345" i="35"/>
  <c r="N88" i="35"/>
  <c r="S691" i="35"/>
  <c r="S690" i="35"/>
  <c r="P691" i="35"/>
  <c r="Q691" i="35"/>
  <c r="Q690" i="35"/>
  <c r="R691" i="35"/>
  <c r="R690" i="35"/>
  <c r="S606" i="35"/>
  <c r="S605" i="35"/>
  <c r="S520" i="35"/>
  <c r="S519" i="35"/>
  <c r="S434" i="35"/>
  <c r="S433" i="35"/>
  <c r="S260" i="35"/>
  <c r="S259" i="35"/>
  <c r="P260" i="35"/>
  <c r="P259" i="35"/>
  <c r="Q260" i="35"/>
  <c r="Q259" i="35"/>
  <c r="R260" i="35"/>
  <c r="R259" i="35"/>
  <c r="S346" i="35"/>
  <c r="S345" i="35"/>
  <c r="S88" i="35"/>
  <c r="S87" i="35"/>
  <c r="H520" i="35"/>
  <c r="H519" i="35"/>
  <c r="H346" i="35"/>
  <c r="H345" i="35"/>
  <c r="H260" i="35"/>
  <c r="H259" i="35"/>
  <c r="F260" i="35"/>
  <c r="H88" i="35"/>
  <c r="H87" i="35"/>
  <c r="R606" i="35"/>
  <c r="R605" i="35"/>
  <c r="R520" i="35"/>
  <c r="R519" i="35"/>
  <c r="P520" i="35"/>
  <c r="P519" i="35"/>
  <c r="Q520" i="35"/>
  <c r="Q519" i="35"/>
  <c r="R434" i="35"/>
  <c r="R433" i="35"/>
  <c r="R346" i="35"/>
  <c r="R345" i="35"/>
  <c r="R88" i="35"/>
  <c r="R87" i="35"/>
  <c r="P88" i="35"/>
  <c r="P87" i="35"/>
  <c r="Q88" i="35"/>
  <c r="Q87" i="35"/>
  <c r="P606" i="35"/>
  <c r="P605" i="35"/>
  <c r="P434" i="35"/>
  <c r="P433" i="35"/>
  <c r="P346" i="35"/>
  <c r="P345" i="35"/>
  <c r="M691" i="35"/>
  <c r="M690" i="35"/>
  <c r="M606" i="35"/>
  <c r="M605" i="35"/>
  <c r="M434" i="35"/>
  <c r="M433" i="35"/>
  <c r="M346" i="35"/>
  <c r="M345" i="35"/>
  <c r="M260" i="35"/>
  <c r="M259" i="35"/>
  <c r="F606" i="35"/>
  <c r="G606" i="35"/>
  <c r="G605" i="35"/>
  <c r="F88" i="35"/>
  <c r="F87" i="35"/>
  <c r="G691" i="35"/>
  <c r="G690" i="35"/>
  <c r="K520" i="35"/>
  <c r="L520" i="35"/>
  <c r="L519" i="35"/>
  <c r="G434" i="35"/>
  <c r="G88" i="35"/>
  <c r="G87" i="35"/>
  <c r="K691" i="35"/>
  <c r="K690" i="35"/>
  <c r="K606" i="35"/>
  <c r="K605" i="35"/>
  <c r="K260" i="35"/>
  <c r="K259" i="35"/>
  <c r="K346" i="35"/>
  <c r="K345" i="35"/>
  <c r="K88" i="35"/>
  <c r="K87" i="35"/>
  <c r="L606" i="35"/>
  <c r="L434" i="35"/>
  <c r="L433" i="35"/>
  <c r="L260" i="35"/>
  <c r="L259" i="35"/>
  <c r="L346" i="35"/>
  <c r="L345" i="35"/>
  <c r="L88" i="35"/>
  <c r="L87" i="35"/>
  <c r="Q606" i="35"/>
  <c r="Q605" i="35"/>
  <c r="Q434" i="35"/>
  <c r="Q346" i="35"/>
  <c r="Q345" i="35"/>
  <c r="H79" i="35"/>
  <c r="H78" i="35"/>
  <c r="H337" i="35"/>
  <c r="H336" i="35"/>
  <c r="H251" i="35"/>
  <c r="H250" i="35"/>
  <c r="M79" i="35"/>
  <c r="M78" i="35"/>
  <c r="M337" i="35"/>
  <c r="M336" i="35"/>
  <c r="M251" i="35"/>
  <c r="M250" i="35"/>
  <c r="I79" i="35"/>
  <c r="I78" i="35"/>
  <c r="S79" i="35"/>
  <c r="S78" i="35"/>
  <c r="S337" i="35"/>
  <c r="S336" i="35"/>
  <c r="S251" i="35"/>
  <c r="S250" i="35"/>
  <c r="P79" i="35"/>
  <c r="P78" i="35"/>
  <c r="P251" i="35"/>
  <c r="P250" i="35"/>
  <c r="G79" i="35"/>
  <c r="G78" i="35"/>
  <c r="L337" i="35"/>
  <c r="L336" i="35"/>
  <c r="Q70" i="35"/>
  <c r="S27" i="24"/>
  <c r="T27" i="24"/>
  <c r="S26" i="24"/>
  <c r="T26" i="24"/>
  <c r="S25" i="24"/>
  <c r="T25" i="24"/>
  <c r="S24" i="24"/>
  <c r="T24" i="24"/>
  <c r="S23" i="24"/>
  <c r="T23" i="24"/>
  <c r="S22" i="24"/>
  <c r="T22" i="24"/>
  <c r="S21" i="24"/>
  <c r="T21" i="24"/>
  <c r="S20" i="24"/>
  <c r="T20" i="24"/>
  <c r="S19" i="24"/>
  <c r="T19" i="24"/>
  <c r="S18" i="24"/>
  <c r="T18" i="24"/>
  <c r="S17" i="24"/>
  <c r="T17" i="24"/>
  <c r="S16" i="24"/>
  <c r="T16" i="24"/>
  <c r="S15" i="24"/>
  <c r="T15" i="24"/>
  <c r="AE3" i="45"/>
  <c r="AE4" i="45"/>
  <c r="AE5" i="45"/>
  <c r="AE6" i="45"/>
  <c r="AE7" i="45"/>
  <c r="AE8" i="45"/>
  <c r="AE9" i="45"/>
  <c r="AE10" i="45"/>
  <c r="AE11" i="45"/>
  <c r="AE12" i="45"/>
  <c r="AE13" i="45"/>
  <c r="AE14" i="45"/>
  <c r="AE15" i="45"/>
  <c r="AE16" i="45"/>
  <c r="AE17" i="45"/>
  <c r="AE18" i="45"/>
  <c r="AE2" i="45"/>
  <c r="W2" i="45"/>
  <c r="O2" i="45"/>
  <c r="G3" i="45"/>
  <c r="G4" i="45"/>
  <c r="G5" i="45"/>
  <c r="G6" i="45"/>
  <c r="G7" i="45"/>
  <c r="G8" i="45"/>
  <c r="G2" i="45"/>
  <c r="AE3" i="44"/>
  <c r="AE4" i="44"/>
  <c r="AE5" i="44"/>
  <c r="AE6" i="44"/>
  <c r="AE7" i="44"/>
  <c r="AE8" i="44"/>
  <c r="AE9" i="44"/>
  <c r="AE10" i="44"/>
  <c r="AE11" i="44"/>
  <c r="AE12" i="44"/>
  <c r="AE13" i="44"/>
  <c r="AE14" i="44"/>
  <c r="AE15" i="44"/>
  <c r="AE16" i="44"/>
  <c r="AE17" i="44"/>
  <c r="AE18" i="44"/>
  <c r="AE19" i="44"/>
  <c r="AE20" i="44"/>
  <c r="AE21" i="44"/>
  <c r="AE22" i="44"/>
  <c r="AE23" i="44"/>
  <c r="AE24" i="44"/>
  <c r="AE25" i="44"/>
  <c r="AE26" i="44"/>
  <c r="AE27" i="44"/>
  <c r="AE28" i="44"/>
  <c r="AE29" i="44"/>
  <c r="AE30" i="44"/>
  <c r="AE31" i="44"/>
  <c r="AE32" i="44"/>
  <c r="AE33" i="44"/>
  <c r="AE34" i="44"/>
  <c r="AE35" i="44"/>
  <c r="AE36" i="44"/>
  <c r="AE37" i="44"/>
  <c r="AE38" i="44"/>
  <c r="AE39" i="44"/>
  <c r="AE40" i="44"/>
  <c r="AE41" i="44"/>
  <c r="AE42" i="44"/>
  <c r="AE43" i="44"/>
  <c r="AE44" i="44"/>
  <c r="AE45" i="44"/>
  <c r="AE46" i="44"/>
  <c r="AE47" i="44"/>
  <c r="AE48" i="44"/>
  <c r="AE49" i="44"/>
  <c r="AE50" i="44"/>
  <c r="AE51" i="44"/>
  <c r="AE52" i="44"/>
  <c r="AE53" i="44"/>
  <c r="AE54" i="44"/>
  <c r="AE55" i="44"/>
  <c r="AE56" i="44"/>
  <c r="AE57" i="44"/>
  <c r="AE58" i="44"/>
  <c r="AE59" i="44"/>
  <c r="AE60" i="44"/>
  <c r="AE61" i="44"/>
  <c r="AE62" i="44"/>
  <c r="AE63" i="44"/>
  <c r="AE64" i="44"/>
  <c r="AE65" i="44"/>
  <c r="AE66" i="44"/>
  <c r="AE67" i="44"/>
  <c r="AE68" i="44"/>
  <c r="AE69" i="44"/>
  <c r="AE70" i="44"/>
  <c r="AE71" i="44"/>
  <c r="AE72" i="44"/>
  <c r="AE73" i="44"/>
  <c r="AE74" i="44"/>
  <c r="AE75" i="44"/>
  <c r="AE76" i="44"/>
  <c r="AE77" i="44"/>
  <c r="AE78" i="44"/>
  <c r="AE79" i="44"/>
  <c r="AE80" i="44"/>
  <c r="AE81" i="44"/>
  <c r="AE82" i="44"/>
  <c r="AE83" i="44"/>
  <c r="AE84" i="44"/>
  <c r="AE85" i="44"/>
  <c r="AE86" i="44"/>
  <c r="AE87" i="44"/>
  <c r="AE88" i="44"/>
  <c r="AE89" i="44"/>
  <c r="AE90" i="44"/>
  <c r="AE91" i="44"/>
  <c r="AE92" i="44"/>
  <c r="AE93" i="44"/>
  <c r="AE94" i="44"/>
  <c r="AE2" i="44"/>
  <c r="W2" i="44"/>
  <c r="O3" i="44"/>
  <c r="O4" i="44"/>
  <c r="O5" i="44"/>
  <c r="O6" i="44"/>
  <c r="O7" i="44"/>
  <c r="O8" i="44"/>
  <c r="O9" i="44"/>
  <c r="O10" i="44"/>
  <c r="O11" i="44"/>
  <c r="O12" i="44"/>
  <c r="O13" i="44"/>
  <c r="O14" i="44"/>
  <c r="O15" i="44"/>
  <c r="O16" i="44"/>
  <c r="O17" i="44"/>
  <c r="O18" i="44"/>
  <c r="O19" i="44"/>
  <c r="O20" i="44"/>
  <c r="O21" i="44"/>
  <c r="O22" i="44"/>
  <c r="O23" i="44"/>
  <c r="O24" i="44"/>
  <c r="O25" i="44"/>
  <c r="O26" i="44"/>
  <c r="O27" i="44"/>
  <c r="O28" i="44"/>
  <c r="O29" i="44"/>
  <c r="O30" i="44"/>
  <c r="O31" i="44"/>
  <c r="O32" i="44"/>
  <c r="O33" i="44"/>
  <c r="O34" i="44"/>
  <c r="O35" i="44"/>
  <c r="O36" i="44"/>
  <c r="O37" i="44"/>
  <c r="O38" i="44"/>
  <c r="O39" i="44"/>
  <c r="O40" i="44"/>
  <c r="O41" i="44"/>
  <c r="O42" i="44"/>
  <c r="O43" i="44"/>
  <c r="O44" i="44"/>
  <c r="O45" i="44"/>
  <c r="O46" i="44"/>
  <c r="O47" i="44"/>
  <c r="O48" i="44"/>
  <c r="O49" i="44"/>
  <c r="O50" i="44"/>
  <c r="O51" i="44"/>
  <c r="O52" i="44"/>
  <c r="O53" i="44"/>
  <c r="O54" i="44"/>
  <c r="O55" i="44"/>
  <c r="O56" i="44"/>
  <c r="O2" i="44"/>
  <c r="G3" i="44"/>
  <c r="G4" i="44"/>
  <c r="G5" i="44"/>
  <c r="G6" i="44"/>
  <c r="G7" i="44"/>
  <c r="G8" i="44"/>
  <c r="G9" i="44"/>
  <c r="G10" i="44"/>
  <c r="G11" i="44"/>
  <c r="G12" i="44"/>
  <c r="G13" i="44"/>
  <c r="G14" i="44"/>
  <c r="G15" i="44"/>
  <c r="G16" i="44"/>
  <c r="G17" i="44"/>
  <c r="G18" i="44"/>
  <c r="G19" i="44"/>
  <c r="G20" i="44"/>
  <c r="G21" i="44"/>
  <c r="G22" i="44"/>
  <c r="G23" i="44"/>
  <c r="G24" i="44"/>
  <c r="G25" i="44"/>
  <c r="G26" i="44"/>
  <c r="G27" i="44"/>
  <c r="G28" i="44"/>
  <c r="G29" i="44"/>
  <c r="G2" i="44"/>
  <c r="M3" i="46"/>
  <c r="M4" i="46"/>
  <c r="M5" i="46"/>
  <c r="M2" i="46"/>
  <c r="F3" i="46"/>
  <c r="F4" i="46"/>
  <c r="F5" i="46"/>
  <c r="F6" i="46"/>
  <c r="F7" i="46"/>
  <c r="F8" i="46"/>
  <c r="F9" i="46"/>
  <c r="F10" i="46"/>
  <c r="F11" i="46"/>
  <c r="F12" i="46"/>
  <c r="F13" i="46"/>
  <c r="F14" i="46"/>
  <c r="F15" i="46"/>
  <c r="F16" i="46"/>
  <c r="F17" i="46"/>
  <c r="F18" i="46"/>
  <c r="F19" i="46"/>
  <c r="F20" i="46"/>
  <c r="F21" i="46"/>
  <c r="F22" i="46"/>
  <c r="F23" i="46"/>
  <c r="F24" i="46"/>
  <c r="F25" i="46"/>
  <c r="F26" i="46"/>
  <c r="F27" i="46"/>
  <c r="F28" i="46"/>
  <c r="F29" i="46"/>
  <c r="F30" i="46"/>
  <c r="F31" i="46"/>
  <c r="F32" i="46"/>
  <c r="F33" i="46"/>
  <c r="F34" i="46"/>
  <c r="F35" i="46"/>
  <c r="F36" i="46"/>
  <c r="F37" i="46"/>
  <c r="F38" i="46"/>
  <c r="F39" i="46"/>
  <c r="F40" i="46"/>
  <c r="F41" i="46"/>
  <c r="F42" i="46"/>
  <c r="F43" i="46"/>
  <c r="F44" i="46"/>
  <c r="F45" i="46"/>
  <c r="F46" i="46"/>
  <c r="F47" i="46"/>
  <c r="F48" i="46"/>
  <c r="F49" i="46"/>
  <c r="F50" i="46"/>
  <c r="F51" i="46"/>
  <c r="F52" i="46"/>
  <c r="F53" i="46"/>
  <c r="F54" i="46"/>
  <c r="F55" i="46"/>
  <c r="F56" i="46"/>
  <c r="F57" i="46"/>
  <c r="F58" i="46"/>
  <c r="F59" i="46"/>
  <c r="H3" i="23"/>
  <c r="F3" i="21"/>
  <c r="H3" i="9"/>
  <c r="I3" i="35"/>
  <c r="R177" i="35"/>
  <c r="P177" i="35"/>
  <c r="F177" i="35"/>
  <c r="F176" i="35"/>
  <c r="G177" i="35"/>
  <c r="I177" i="35"/>
  <c r="K177" i="35"/>
  <c r="L177" i="35"/>
  <c r="AK75" i="24"/>
  <c r="L75" i="24"/>
  <c r="M75" i="24"/>
  <c r="AK74" i="24"/>
  <c r="L74" i="24"/>
  <c r="M74" i="24"/>
  <c r="AK73" i="24"/>
  <c r="L73" i="24"/>
  <c r="M73" i="24"/>
  <c r="AK72" i="24"/>
  <c r="L72" i="24"/>
  <c r="M72" i="24"/>
  <c r="AK71" i="24"/>
  <c r="L71" i="24"/>
  <c r="M71" i="24"/>
  <c r="AK70" i="24"/>
  <c r="L70" i="24"/>
  <c r="M70" i="24"/>
  <c r="AK69" i="24"/>
  <c r="L69" i="24"/>
  <c r="M69" i="24"/>
  <c r="AK68" i="24"/>
  <c r="L68" i="24"/>
  <c r="G63" i="55" a="1"/>
  <c r="G63" i="55"/>
  <c r="H3" i="17"/>
  <c r="H3" i="22"/>
  <c r="AA109" i="22"/>
  <c r="T109" i="22"/>
  <c r="M109" i="22"/>
  <c r="AJ75" i="22"/>
  <c r="AF75" i="22"/>
  <c r="AG75" i="22"/>
  <c r="Y75" i="22"/>
  <c r="Z75" i="22"/>
  <c r="R75" i="22"/>
  <c r="K75" i="22"/>
  <c r="L75" i="22"/>
  <c r="AJ74" i="22"/>
  <c r="AF74" i="22"/>
  <c r="AG74" i="22"/>
  <c r="Y74" i="22"/>
  <c r="Z74" i="22"/>
  <c r="R74" i="22"/>
  <c r="S74" i="22"/>
  <c r="K74" i="22"/>
  <c r="L74" i="22"/>
  <c r="AJ73" i="22"/>
  <c r="AF73" i="22"/>
  <c r="AG73" i="22"/>
  <c r="Y73" i="22"/>
  <c r="Z73" i="22"/>
  <c r="R73" i="22"/>
  <c r="S73" i="22"/>
  <c r="K73" i="22"/>
  <c r="L73" i="22"/>
  <c r="AJ72" i="22"/>
  <c r="AF72" i="22"/>
  <c r="AG72" i="22"/>
  <c r="Y72" i="22"/>
  <c r="Z72" i="22"/>
  <c r="R72" i="22"/>
  <c r="S72" i="22"/>
  <c r="K72" i="22"/>
  <c r="L72" i="22"/>
  <c r="AJ71" i="22"/>
  <c r="AF71" i="22"/>
  <c r="AG71" i="22"/>
  <c r="Y71" i="22"/>
  <c r="Z71" i="22"/>
  <c r="K71" i="22"/>
  <c r="L71" i="22"/>
  <c r="H98" i="61" a="1"/>
  <c r="H98" i="61"/>
  <c r="AJ70" i="22"/>
  <c r="AF70" i="22"/>
  <c r="AG70" i="22"/>
  <c r="Y70" i="22"/>
  <c r="Z70" i="22"/>
  <c r="K70" i="22"/>
  <c r="L70" i="22"/>
  <c r="H99" i="61" a="1"/>
  <c r="H99" i="61"/>
  <c r="AJ69" i="22"/>
  <c r="AF69" i="22"/>
  <c r="AG69" i="22"/>
  <c r="Y69" i="22"/>
  <c r="Z69" i="22"/>
  <c r="K69" i="22"/>
  <c r="L69" i="22"/>
  <c r="AF46" i="22"/>
  <c r="AG46" i="22"/>
  <c r="Y46" i="22"/>
  <c r="Z46" i="22"/>
  <c r="R46" i="22"/>
  <c r="S46" i="22"/>
  <c r="AF45" i="22"/>
  <c r="AG45" i="22"/>
  <c r="Y45" i="22"/>
  <c r="Z45" i="22"/>
  <c r="R45" i="22"/>
  <c r="S45" i="22"/>
  <c r="AF44" i="22"/>
  <c r="AG44" i="22"/>
  <c r="Y44" i="22"/>
  <c r="Z44" i="22"/>
  <c r="R44" i="22"/>
  <c r="S44" i="22"/>
  <c r="AF43" i="22"/>
  <c r="AG43" i="22"/>
  <c r="Y43" i="22"/>
  <c r="Z43" i="22"/>
  <c r="R43" i="22"/>
  <c r="S43" i="22"/>
  <c r="AF42" i="22"/>
  <c r="AG42" i="22"/>
  <c r="Y42" i="22"/>
  <c r="Z42" i="22"/>
  <c r="R42" i="22"/>
  <c r="S42" i="22"/>
  <c r="G41" i="61" a="1"/>
  <c r="G41" i="61"/>
  <c r="H3" i="11"/>
  <c r="H3" i="15"/>
  <c r="I3" i="14"/>
  <c r="G128" i="58"/>
  <c r="G127" i="58"/>
  <c r="G119" i="58"/>
  <c r="G112" i="58"/>
  <c r="G111" i="58"/>
  <c r="G105" i="58"/>
  <c r="G104" i="58"/>
  <c r="G98" i="58"/>
  <c r="G91" i="58"/>
  <c r="S174" i="35"/>
  <c r="F174" i="35"/>
  <c r="F173" i="35"/>
  <c r="L174" i="35"/>
  <c r="R165" i="35"/>
  <c r="M165" i="35"/>
  <c r="H165" i="35"/>
  <c r="S165" i="35"/>
  <c r="I165" i="35"/>
  <c r="P165" i="35"/>
  <c r="G165" i="35"/>
  <c r="F2" i="46"/>
  <c r="E58" i="21"/>
  <c r="F58" i="21"/>
  <c r="G280" i="62" a="1"/>
  <c r="G280" i="62"/>
  <c r="E19" i="21"/>
  <c r="E20" i="21"/>
  <c r="F20" i="21"/>
  <c r="E21" i="21"/>
  <c r="E22" i="21"/>
  <c r="E23" i="21"/>
  <c r="E24" i="21"/>
  <c r="E25" i="21"/>
  <c r="E26" i="21"/>
  <c r="F26" i="21"/>
  <c r="E27" i="21"/>
  <c r="E28" i="21"/>
  <c r="E29" i="21"/>
  <c r="E30" i="21"/>
  <c r="F30" i="21"/>
  <c r="E31" i="21"/>
  <c r="E32" i="21"/>
  <c r="E33" i="21"/>
  <c r="E34" i="21"/>
  <c r="E35" i="21"/>
  <c r="E36" i="21"/>
  <c r="E37" i="21"/>
  <c r="E38" i="21"/>
  <c r="E39" i="21"/>
  <c r="E40" i="21"/>
  <c r="E41" i="21"/>
  <c r="F41" i="21"/>
  <c r="E42" i="21"/>
  <c r="F42" i="21"/>
  <c r="E43" i="21"/>
  <c r="F43" i="21"/>
  <c r="E44" i="21"/>
  <c r="E45" i="21"/>
  <c r="F45" i="21"/>
  <c r="E46" i="21"/>
  <c r="F46" i="21"/>
  <c r="E47" i="21"/>
  <c r="F47" i="21"/>
  <c r="E48" i="21"/>
  <c r="F48" i="21"/>
  <c r="E49" i="21"/>
  <c r="F49" i="21"/>
  <c r="E50" i="21"/>
  <c r="F50" i="21"/>
  <c r="E51" i="21"/>
  <c r="F51" i="21"/>
  <c r="E52" i="21"/>
  <c r="F52" i="21"/>
  <c r="E53" i="21"/>
  <c r="F53" i="21"/>
  <c r="E54" i="21"/>
  <c r="F54" i="21"/>
  <c r="E55" i="21"/>
  <c r="F55" i="21"/>
  <c r="E56" i="21"/>
  <c r="F56" i="21"/>
  <c r="E57" i="21"/>
  <c r="F57" i="21"/>
  <c r="L99" i="15"/>
  <c r="M99" i="15"/>
  <c r="H80" i="62" a="1"/>
  <c r="H80" i="62"/>
  <c r="L98" i="15"/>
  <c r="M98" i="15"/>
  <c r="H79" i="62" a="1"/>
  <c r="H79" i="62"/>
  <c r="L97" i="15"/>
  <c r="M97" i="15"/>
  <c r="H78" i="62" a="1"/>
  <c r="H78" i="62"/>
  <c r="L95" i="15"/>
  <c r="M95" i="15"/>
  <c r="H76" i="62" a="1"/>
  <c r="H76" i="62"/>
  <c r="L94" i="15"/>
  <c r="M94" i="15"/>
  <c r="H75" i="62" a="1"/>
  <c r="H75" i="62"/>
  <c r="L93" i="15"/>
  <c r="M93" i="15"/>
  <c r="H74" i="62" a="1"/>
  <c r="H74" i="62"/>
  <c r="L92" i="15"/>
  <c r="G73" i="62" a="1"/>
  <c r="G73" i="62"/>
  <c r="L91" i="15"/>
  <c r="L90" i="15"/>
  <c r="L89" i="15"/>
  <c r="M89" i="15"/>
  <c r="H70" i="62" a="1"/>
  <c r="H70" i="62"/>
  <c r="L88" i="15"/>
  <c r="M88" i="15"/>
  <c r="H69" i="62" a="1"/>
  <c r="H69" i="62"/>
  <c r="L87" i="15"/>
  <c r="M87" i="15"/>
  <c r="H68" i="62" a="1"/>
  <c r="H68" i="62"/>
  <c r="L86" i="15"/>
  <c r="L85" i="15"/>
  <c r="M85" i="15"/>
  <c r="H66" i="62" a="1"/>
  <c r="H66" i="62"/>
  <c r="L84" i="15"/>
  <c r="L83" i="15"/>
  <c r="M83" i="15"/>
  <c r="H64" i="62" a="1"/>
  <c r="H64" i="62"/>
  <c r="L82" i="15"/>
  <c r="M82" i="15"/>
  <c r="H63" i="62" a="1"/>
  <c r="H63" i="62"/>
  <c r="L81" i="15"/>
  <c r="L80" i="15"/>
  <c r="L79" i="15"/>
  <c r="M79" i="15"/>
  <c r="H60" i="62" a="1"/>
  <c r="H60" i="62"/>
  <c r="L78" i="15"/>
  <c r="M78" i="15"/>
  <c r="H59" i="62" a="1"/>
  <c r="H59" i="62"/>
  <c r="L77" i="15"/>
  <c r="L76" i="15"/>
  <c r="G57" i="62" a="1"/>
  <c r="G57" i="62"/>
  <c r="L75" i="15"/>
  <c r="L74" i="15"/>
  <c r="M74" i="15"/>
  <c r="H55" i="62" a="1"/>
  <c r="H55" i="62"/>
  <c r="L73" i="15"/>
  <c r="M73" i="15"/>
  <c r="H54" i="62" a="1"/>
  <c r="H54" i="62"/>
  <c r="L72" i="15"/>
  <c r="M72" i="15"/>
  <c r="H53" i="62" a="1"/>
  <c r="H53" i="62"/>
  <c r="L71" i="15"/>
  <c r="M71" i="15"/>
  <c r="H52" i="62" a="1"/>
  <c r="H52" i="62"/>
  <c r="L70" i="15"/>
  <c r="G51" i="62" a="1"/>
  <c r="G51" i="62"/>
  <c r="L69" i="15"/>
  <c r="M69" i="15"/>
  <c r="H50" i="62" a="1"/>
  <c r="H50" i="62"/>
  <c r="L68" i="15"/>
  <c r="M68" i="15"/>
  <c r="H49" i="62" a="1"/>
  <c r="H49" i="62"/>
  <c r="L67" i="15"/>
  <c r="M67" i="15"/>
  <c r="H48" i="62" a="1"/>
  <c r="H48" i="62"/>
  <c r="L66" i="15"/>
  <c r="M66" i="15"/>
  <c r="H47" i="62" a="1"/>
  <c r="H47" i="62"/>
  <c r="L65" i="15"/>
  <c r="L64" i="15"/>
  <c r="L63" i="15"/>
  <c r="M63" i="15"/>
  <c r="H44" i="62" a="1"/>
  <c r="H44" i="62"/>
  <c r="L62" i="15"/>
  <c r="M62" i="15"/>
  <c r="H43" i="62" a="1"/>
  <c r="H43" i="62"/>
  <c r="L61" i="15"/>
  <c r="M61" i="15"/>
  <c r="H42" i="62" a="1"/>
  <c r="H42" i="62"/>
  <c r="L60" i="15"/>
  <c r="G41" i="62" a="1"/>
  <c r="G41" i="62"/>
  <c r="L59" i="15"/>
  <c r="L58" i="15"/>
  <c r="L57" i="15"/>
  <c r="M57" i="15"/>
  <c r="H38" i="62" a="1"/>
  <c r="H38" i="62"/>
  <c r="L56" i="15"/>
  <c r="M56" i="15"/>
  <c r="H37" i="62" a="1"/>
  <c r="H37" i="62"/>
  <c r="L55" i="15"/>
  <c r="L54" i="15"/>
  <c r="M54" i="15"/>
  <c r="H35" i="62" a="1"/>
  <c r="H35" i="62"/>
  <c r="L53" i="15"/>
  <c r="M53" i="15"/>
  <c r="H34" i="62" a="1"/>
  <c r="H34" i="62"/>
  <c r="L52" i="15"/>
  <c r="L51" i="15"/>
  <c r="M51" i="15"/>
  <c r="H32" i="62" a="1"/>
  <c r="H32" i="62"/>
  <c r="L50" i="15"/>
  <c r="M50" i="15"/>
  <c r="H31" i="62" a="1"/>
  <c r="H31" i="62"/>
  <c r="L49" i="15"/>
  <c r="L48" i="15"/>
  <c r="L47" i="15"/>
  <c r="M47" i="15"/>
  <c r="H28" i="62" a="1"/>
  <c r="H28" i="62"/>
  <c r="L46" i="15"/>
  <c r="M46" i="15"/>
  <c r="H27" i="62" a="1"/>
  <c r="H27" i="62"/>
  <c r="L45" i="15"/>
  <c r="L44" i="15"/>
  <c r="G25" i="62" a="1"/>
  <c r="G25" i="62"/>
  <c r="L43" i="15"/>
  <c r="L42" i="15"/>
  <c r="L41" i="15"/>
  <c r="M41" i="15"/>
  <c r="H22" i="62" a="1"/>
  <c r="H22" i="62"/>
  <c r="L40" i="15"/>
  <c r="M40" i="15"/>
  <c r="H21" i="62" a="1"/>
  <c r="H21" i="62"/>
  <c r="L39" i="15"/>
  <c r="L38" i="15"/>
  <c r="G19" i="62" a="1"/>
  <c r="G19" i="62"/>
  <c r="L37" i="15"/>
  <c r="M37" i="15"/>
  <c r="H18" i="62" a="1"/>
  <c r="H18" i="62"/>
  <c r="L36" i="15"/>
  <c r="L35" i="15"/>
  <c r="M35" i="15"/>
  <c r="H16" i="62" a="1"/>
  <c r="H16" i="62"/>
  <c r="L34" i="15"/>
  <c r="M34" i="15"/>
  <c r="H15" i="62" a="1"/>
  <c r="H15" i="62"/>
  <c r="L33" i="15"/>
  <c r="M33" i="15"/>
  <c r="H14" i="62" a="1"/>
  <c r="H14" i="62"/>
  <c r="L32" i="15"/>
  <c r="M32" i="15"/>
  <c r="H13" i="62" a="1"/>
  <c r="H13" i="62"/>
  <c r="L31" i="15"/>
  <c r="M31" i="15"/>
  <c r="H12" i="62" a="1"/>
  <c r="H12" i="62"/>
  <c r="L30" i="15"/>
  <c r="M30" i="15"/>
  <c r="H11" i="62" a="1"/>
  <c r="H11" i="62"/>
  <c r="L29" i="15"/>
  <c r="M29" i="15"/>
  <c r="H10" i="62" a="1"/>
  <c r="H10" i="62"/>
  <c r="L28" i="15"/>
  <c r="G9" i="62" a="1"/>
  <c r="G9" i="62"/>
  <c r="L27" i="15"/>
  <c r="L26" i="15"/>
  <c r="L25" i="15"/>
  <c r="M25" i="15"/>
  <c r="H6" i="62" a="1"/>
  <c r="H6" i="62"/>
  <c r="L24" i="15"/>
  <c r="M24" i="15"/>
  <c r="H5" i="62" a="1"/>
  <c r="H5" i="62"/>
  <c r="L23" i="15"/>
  <c r="L22" i="15"/>
  <c r="M22" i="15"/>
  <c r="L21" i="15"/>
  <c r="L20" i="15"/>
  <c r="G108" i="62" a="1"/>
  <c r="G108" i="62"/>
  <c r="L19" i="15"/>
  <c r="L18" i="15"/>
  <c r="M18" i="15"/>
  <c r="H106" i="62" a="1"/>
  <c r="H106" i="62"/>
  <c r="L17" i="15"/>
  <c r="M17" i="15"/>
  <c r="L96" i="15"/>
  <c r="L16" i="15"/>
  <c r="G103" i="62" a="1"/>
  <c r="G103" i="62"/>
  <c r="Z14" i="34"/>
  <c r="Z15" i="34"/>
  <c r="AA15" i="34"/>
  <c r="Z16" i="34"/>
  <c r="AA16" i="34"/>
  <c r="Z17" i="34"/>
  <c r="AA17" i="34"/>
  <c r="Z18" i="34"/>
  <c r="AA18" i="34"/>
  <c r="Z19" i="34"/>
  <c r="AA19" i="34"/>
  <c r="Z20" i="34"/>
  <c r="AA20" i="34"/>
  <c r="Z21" i="34"/>
  <c r="AA21" i="34"/>
  <c r="Z22" i="34"/>
  <c r="AA22" i="34"/>
  <c r="Z23" i="34"/>
  <c r="AA23" i="34"/>
  <c r="Z24" i="34"/>
  <c r="AA24" i="34"/>
  <c r="Z25" i="34"/>
  <c r="AA25" i="34"/>
  <c r="Z26" i="34"/>
  <c r="AA26" i="34"/>
  <c r="Z27" i="34"/>
  <c r="AA27" i="34"/>
  <c r="Z28" i="34"/>
  <c r="AA28" i="34"/>
  <c r="Z29" i="34"/>
  <c r="AA29" i="34"/>
  <c r="Z30" i="34"/>
  <c r="AA30" i="34"/>
  <c r="Z31" i="34"/>
  <c r="AA31" i="34"/>
  <c r="Z32" i="34"/>
  <c r="AA32" i="34"/>
  <c r="Z33" i="34"/>
  <c r="AA33" i="34"/>
  <c r="S14" i="34"/>
  <c r="T14" i="34"/>
  <c r="L20" i="17"/>
  <c r="M20" i="17"/>
  <c r="AB105" i="15"/>
  <c r="F53" i="9"/>
  <c r="E53" i="9"/>
  <c r="N105" i="15"/>
  <c r="D53" i="9"/>
  <c r="J32" i="11"/>
  <c r="K43" i="11"/>
  <c r="H32" i="11"/>
  <c r="I43" i="11"/>
  <c r="F32" i="11"/>
  <c r="G43" i="11"/>
  <c r="H5" i="6"/>
  <c r="I5" i="35"/>
  <c r="H5" i="34"/>
  <c r="H5" i="24"/>
  <c r="I5" i="14"/>
  <c r="H5" i="23"/>
  <c r="H5" i="22"/>
  <c r="H5" i="11"/>
  <c r="H5" i="17"/>
  <c r="F5" i="21"/>
  <c r="H5" i="15"/>
  <c r="H5" i="9"/>
  <c r="L15" i="24"/>
  <c r="M15" i="24"/>
  <c r="H8" i="55" a="1"/>
  <c r="H8" i="55"/>
  <c r="L17" i="24"/>
  <c r="L16" i="24"/>
  <c r="M16" i="24"/>
  <c r="H9" i="55" a="1"/>
  <c r="H9" i="55"/>
  <c r="L14" i="24"/>
  <c r="M14" i="24"/>
  <c r="H3" i="55" a="1"/>
  <c r="H3" i="55"/>
  <c r="L18" i="24"/>
  <c r="M18" i="24"/>
  <c r="H26" i="55" a="1"/>
  <c r="H26" i="55"/>
  <c r="BF3" i="55" a="1"/>
  <c r="BF3" i="55"/>
  <c r="BB3" i="55" a="1"/>
  <c r="BB3" i="55"/>
  <c r="AX3" i="55" a="1"/>
  <c r="AX3" i="55"/>
  <c r="AT3" i="55" a="1"/>
  <c r="AT3" i="55"/>
  <c r="AS3" i="55" a="1"/>
  <c r="AS3" i="55"/>
  <c r="AN3" i="55" a="1"/>
  <c r="AN3" i="55"/>
  <c r="AJ3" i="55" a="1"/>
  <c r="AJ3" i="55"/>
  <c r="AF3" i="55" a="1"/>
  <c r="AF3" i="55"/>
  <c r="AB3" i="55" a="1"/>
  <c r="AB3" i="55"/>
  <c r="AA3" i="55" a="1"/>
  <c r="AA3" i="55"/>
  <c r="V3" i="55" a="1"/>
  <c r="V3" i="55"/>
  <c r="R3" i="55" a="1"/>
  <c r="R3" i="55"/>
  <c r="N3" i="55" a="1"/>
  <c r="N3" i="55"/>
  <c r="J3" i="55" a="1"/>
  <c r="J3" i="55"/>
  <c r="I3" i="55" a="1"/>
  <c r="I3" i="55"/>
  <c r="AK64" i="34"/>
  <c r="L83" i="34"/>
  <c r="M83" i="34"/>
  <c r="H108" i="55" a="1"/>
  <c r="H108" i="55"/>
  <c r="L84" i="34"/>
  <c r="M84" i="34"/>
  <c r="H109" i="55" a="1"/>
  <c r="H109" i="55"/>
  <c r="L85" i="34"/>
  <c r="M85" i="34"/>
  <c r="H110" i="55" a="1"/>
  <c r="H110" i="55"/>
  <c r="L86" i="34"/>
  <c r="M86" i="34"/>
  <c r="H111" i="55" a="1"/>
  <c r="H111" i="55"/>
  <c r="L87" i="34"/>
  <c r="M87" i="34"/>
  <c r="H112" i="55" a="1"/>
  <c r="H112" i="55"/>
  <c r="L88" i="34"/>
  <c r="M88" i="34"/>
  <c r="H113" i="55" a="1"/>
  <c r="H113" i="55"/>
  <c r="L89" i="34"/>
  <c r="M89" i="34"/>
  <c r="H114" i="55" a="1"/>
  <c r="H114" i="55"/>
  <c r="L90" i="34"/>
  <c r="M90" i="34"/>
  <c r="H115" i="55" a="1"/>
  <c r="H115" i="55"/>
  <c r="L91" i="34"/>
  <c r="M91" i="34"/>
  <c r="H116" i="55" a="1"/>
  <c r="H116" i="55"/>
  <c r="L92" i="34"/>
  <c r="M92" i="34"/>
  <c r="H117" i="55" a="1"/>
  <c r="H117" i="55"/>
  <c r="L93" i="34"/>
  <c r="M93" i="34"/>
  <c r="H118" i="55" a="1"/>
  <c r="H118" i="55"/>
  <c r="L94" i="34"/>
  <c r="M94" i="34"/>
  <c r="H119" i="55" a="1"/>
  <c r="H119" i="55"/>
  <c r="L95" i="34"/>
  <c r="M95" i="34"/>
  <c r="H120" i="55" a="1"/>
  <c r="H120" i="55"/>
  <c r="L96" i="34"/>
  <c r="M96" i="34"/>
  <c r="H121" i="55" a="1"/>
  <c r="H121" i="55"/>
  <c r="L97" i="34"/>
  <c r="M97" i="34"/>
  <c r="H122" i="55" a="1"/>
  <c r="H122" i="55"/>
  <c r="L98" i="34"/>
  <c r="M98" i="34"/>
  <c r="H123" i="55" a="1"/>
  <c r="H123" i="55"/>
  <c r="L99" i="34"/>
  <c r="M99" i="34"/>
  <c r="H124" i="55" a="1"/>
  <c r="H124" i="55"/>
  <c r="L100" i="34"/>
  <c r="M100" i="34"/>
  <c r="H125" i="55" a="1"/>
  <c r="H125" i="55"/>
  <c r="L101" i="34"/>
  <c r="M101" i="34"/>
  <c r="H126" i="55" a="1"/>
  <c r="H126" i="55"/>
  <c r="L102" i="34"/>
  <c r="M102" i="34"/>
  <c r="H127" i="55" a="1"/>
  <c r="H127" i="55"/>
  <c r="L103" i="34"/>
  <c r="G128" i="55" a="1"/>
  <c r="G128" i="55"/>
  <c r="L104" i="34"/>
  <c r="M104" i="34"/>
  <c r="H129" i="55" a="1"/>
  <c r="H129" i="55"/>
  <c r="L105" i="34"/>
  <c r="M105" i="34"/>
  <c r="H130" i="55" a="1"/>
  <c r="H130" i="55"/>
  <c r="L106" i="34"/>
  <c r="M106" i="34"/>
  <c r="H131" i="55" a="1"/>
  <c r="H131" i="55"/>
  <c r="L107" i="34"/>
  <c r="M107" i="34"/>
  <c r="H132" i="55" a="1"/>
  <c r="H132" i="55"/>
  <c r="L108" i="34"/>
  <c r="M108" i="34"/>
  <c r="H133" i="55" a="1"/>
  <c r="H133" i="55"/>
  <c r="L109" i="34"/>
  <c r="M109" i="34"/>
  <c r="H134" i="55" a="1"/>
  <c r="H134" i="55"/>
  <c r="L110" i="34"/>
  <c r="M110" i="34"/>
  <c r="H135" i="55" a="1"/>
  <c r="H135" i="55"/>
  <c r="L111" i="34"/>
  <c r="G136" i="55" a="1"/>
  <c r="G136" i="55"/>
  <c r="L112" i="34"/>
  <c r="M112" i="34"/>
  <c r="H137" i="55" a="1"/>
  <c r="H137" i="55"/>
  <c r="L113" i="34"/>
  <c r="M113" i="34"/>
  <c r="H138" i="55" a="1"/>
  <c r="H138" i="55"/>
  <c r="L114" i="34"/>
  <c r="M114" i="34"/>
  <c r="H139" i="55" a="1"/>
  <c r="H139" i="55"/>
  <c r="L115" i="34"/>
  <c r="M115" i="34"/>
  <c r="H140" i="55" a="1"/>
  <c r="H140" i="55"/>
  <c r="L116" i="34"/>
  <c r="M116" i="34"/>
  <c r="H141" i="55" a="1"/>
  <c r="H141" i="55"/>
  <c r="L117" i="34"/>
  <c r="M117" i="34"/>
  <c r="H142" i="55" a="1"/>
  <c r="H142" i="55"/>
  <c r="L118" i="34"/>
  <c r="M118" i="34"/>
  <c r="H143" i="55" a="1"/>
  <c r="H143" i="55"/>
  <c r="L119" i="34"/>
  <c r="M119" i="34"/>
  <c r="H144" i="55" a="1"/>
  <c r="H144" i="55"/>
  <c r="L120" i="34"/>
  <c r="M120" i="34"/>
  <c r="H145" i="55" a="1"/>
  <c r="H145" i="55"/>
  <c r="L121" i="34"/>
  <c r="M121" i="34"/>
  <c r="H146" i="55" a="1"/>
  <c r="H146" i="55"/>
  <c r="L122" i="34"/>
  <c r="M122" i="34"/>
  <c r="H147" i="55" a="1"/>
  <c r="H147" i="55"/>
  <c r="L65" i="34"/>
  <c r="G90" i="55" a="1"/>
  <c r="G90" i="55"/>
  <c r="L66" i="34"/>
  <c r="M66" i="34"/>
  <c r="H91" i="55" a="1"/>
  <c r="H91" i="55"/>
  <c r="L67" i="34"/>
  <c r="M67" i="34"/>
  <c r="H92" i="55" a="1"/>
  <c r="H92" i="55"/>
  <c r="L68" i="34"/>
  <c r="M68" i="34"/>
  <c r="H93" i="55" a="1"/>
  <c r="H93" i="55"/>
  <c r="L69" i="34"/>
  <c r="M69" i="34"/>
  <c r="H94" i="55" a="1"/>
  <c r="H94" i="55"/>
  <c r="L70" i="34"/>
  <c r="M70" i="34"/>
  <c r="H95" i="55" a="1"/>
  <c r="H95" i="55"/>
  <c r="L71" i="34"/>
  <c r="M71" i="34"/>
  <c r="H96" i="55" a="1"/>
  <c r="H96" i="55"/>
  <c r="L72" i="34"/>
  <c r="M72" i="34"/>
  <c r="H97" i="55" a="1"/>
  <c r="H97" i="55"/>
  <c r="L73" i="34"/>
  <c r="M73" i="34"/>
  <c r="H98" i="55" a="1"/>
  <c r="H98" i="55"/>
  <c r="L74" i="34"/>
  <c r="M74" i="34"/>
  <c r="H99" i="55" a="1"/>
  <c r="H99" i="55"/>
  <c r="L75" i="34"/>
  <c r="M75" i="34"/>
  <c r="H100" i="55" a="1"/>
  <c r="H100" i="55"/>
  <c r="L76" i="34"/>
  <c r="M76" i="34"/>
  <c r="H101" i="55" a="1"/>
  <c r="H101" i="55"/>
  <c r="L77" i="34"/>
  <c r="M77" i="34"/>
  <c r="H102" i="55" a="1"/>
  <c r="H102" i="55"/>
  <c r="L78" i="34"/>
  <c r="M78" i="34"/>
  <c r="H103" i="55" a="1"/>
  <c r="H103" i="55"/>
  <c r="L79" i="34"/>
  <c r="M79" i="34"/>
  <c r="H104" i="55" a="1"/>
  <c r="H104" i="55"/>
  <c r="L80" i="34"/>
  <c r="M80" i="34"/>
  <c r="H105" i="55" a="1"/>
  <c r="H105" i="55"/>
  <c r="L81" i="34"/>
  <c r="M81" i="34"/>
  <c r="H106" i="55" a="1"/>
  <c r="H106" i="55"/>
  <c r="L82" i="34"/>
  <c r="M82" i="34"/>
  <c r="H107" i="55" a="1"/>
  <c r="H107" i="55"/>
  <c r="L64" i="34"/>
  <c r="M64" i="34"/>
  <c r="H89" i="55" a="1"/>
  <c r="H89" i="55"/>
  <c r="AK54" i="34"/>
  <c r="AG54" i="34"/>
  <c r="AH54" i="34"/>
  <c r="Z54" i="34"/>
  <c r="AA54" i="34"/>
  <c r="S54" i="34"/>
  <c r="T54" i="34"/>
  <c r="L54" i="34"/>
  <c r="M54" i="34"/>
  <c r="AK53" i="34"/>
  <c r="AG53" i="34"/>
  <c r="AH53" i="34"/>
  <c r="Z53" i="34"/>
  <c r="AA53" i="34"/>
  <c r="S53" i="34"/>
  <c r="T53" i="34"/>
  <c r="L53" i="34"/>
  <c r="M53" i="34"/>
  <c r="AK50" i="34"/>
  <c r="AG50" i="34"/>
  <c r="AH50" i="34"/>
  <c r="Z50" i="34"/>
  <c r="AA50" i="34"/>
  <c r="S50" i="34"/>
  <c r="T50" i="34"/>
  <c r="L50" i="34"/>
  <c r="M50" i="34"/>
  <c r="AK49" i="34"/>
  <c r="AG49" i="34"/>
  <c r="AH49" i="34"/>
  <c r="Z49" i="34"/>
  <c r="AA49" i="34"/>
  <c r="S49" i="34"/>
  <c r="T49" i="34"/>
  <c r="L49" i="34"/>
  <c r="M49" i="34"/>
  <c r="AK48" i="34"/>
  <c r="AG48" i="34"/>
  <c r="AH48" i="34"/>
  <c r="Z48" i="34"/>
  <c r="AA48" i="34"/>
  <c r="S48" i="34"/>
  <c r="T48" i="34"/>
  <c r="L48" i="34"/>
  <c r="M48" i="34"/>
  <c r="H84" i="55" a="1"/>
  <c r="H84" i="55"/>
  <c r="AK47" i="34"/>
  <c r="AG47" i="34"/>
  <c r="AH47" i="34"/>
  <c r="Z47" i="34"/>
  <c r="AA47" i="34"/>
  <c r="S47" i="34"/>
  <c r="T47" i="34"/>
  <c r="L47" i="34"/>
  <c r="M47" i="34"/>
  <c r="H83" i="55" a="1"/>
  <c r="H83" i="55"/>
  <c r="L44" i="34"/>
  <c r="M44" i="34"/>
  <c r="H80" i="55" a="1"/>
  <c r="H80" i="55"/>
  <c r="L45" i="34"/>
  <c r="M45" i="34"/>
  <c r="H81" i="55" a="1"/>
  <c r="H81" i="55"/>
  <c r="L42" i="34"/>
  <c r="G78" i="55" a="1"/>
  <c r="G78" i="55"/>
  <c r="L46" i="34"/>
  <c r="M46" i="34"/>
  <c r="H82" i="55" a="1"/>
  <c r="H82" i="55"/>
  <c r="L51" i="34"/>
  <c r="M51" i="34"/>
  <c r="L52" i="34"/>
  <c r="M52" i="34"/>
  <c r="L55" i="34"/>
  <c r="M55" i="34"/>
  <c r="L56" i="34"/>
  <c r="M56" i="34"/>
  <c r="L43" i="34"/>
  <c r="M43" i="34"/>
  <c r="H79" i="55" a="1"/>
  <c r="H79" i="55"/>
  <c r="S44" i="34"/>
  <c r="T44" i="34"/>
  <c r="Z44" i="34"/>
  <c r="AA44" i="34"/>
  <c r="AG44" i="34"/>
  <c r="AH44" i="34"/>
  <c r="AK44" i="34"/>
  <c r="S45" i="34"/>
  <c r="T45" i="34"/>
  <c r="Z45" i="34"/>
  <c r="AA45" i="34"/>
  <c r="AG45" i="34"/>
  <c r="AH45" i="34"/>
  <c r="AK45" i="34"/>
  <c r="S46" i="34"/>
  <c r="T46" i="34"/>
  <c r="Z46" i="34"/>
  <c r="AA46" i="34"/>
  <c r="AG46" i="34"/>
  <c r="AH46" i="34"/>
  <c r="AK46" i="34"/>
  <c r="S51" i="34"/>
  <c r="Z51" i="34"/>
  <c r="AG51" i="34"/>
  <c r="AH51" i="34"/>
  <c r="AK51" i="34"/>
  <c r="S52" i="34"/>
  <c r="T52" i="34"/>
  <c r="Z52" i="34"/>
  <c r="AA52" i="34"/>
  <c r="AG52" i="34"/>
  <c r="AH52" i="34"/>
  <c r="AK52" i="34"/>
  <c r="AK14" i="34"/>
  <c r="AK15" i="34"/>
  <c r="AK16" i="34"/>
  <c r="AK17" i="34"/>
  <c r="AK18" i="34"/>
  <c r="AK19" i="34"/>
  <c r="AK20" i="34"/>
  <c r="AK21" i="34"/>
  <c r="AK22" i="34"/>
  <c r="AK23" i="34"/>
  <c r="AK24" i="34"/>
  <c r="AK25" i="34"/>
  <c r="AK26" i="34"/>
  <c r="AK27" i="34"/>
  <c r="AK28" i="34"/>
  <c r="AK29" i="34"/>
  <c r="AK30" i="34"/>
  <c r="AK31" i="34"/>
  <c r="AK32" i="34"/>
  <c r="AK33" i="34"/>
  <c r="L16" i="34"/>
  <c r="M16" i="34"/>
  <c r="H73" i="55" a="1"/>
  <c r="H73" i="55"/>
  <c r="L17" i="34"/>
  <c r="M17" i="34"/>
  <c r="H74" i="55" a="1"/>
  <c r="H74" i="55"/>
  <c r="L18" i="34"/>
  <c r="M18" i="34"/>
  <c r="H72" i="55" a="1"/>
  <c r="H72" i="55"/>
  <c r="L19" i="34"/>
  <c r="M19" i="34"/>
  <c r="L20" i="34"/>
  <c r="M20" i="34"/>
  <c r="L21" i="34"/>
  <c r="M21" i="34"/>
  <c r="L22" i="34"/>
  <c r="M22" i="34"/>
  <c r="L23" i="34"/>
  <c r="M23" i="34"/>
  <c r="L24" i="34"/>
  <c r="M24" i="34"/>
  <c r="L25" i="34"/>
  <c r="M25" i="34"/>
  <c r="L26" i="34"/>
  <c r="M26" i="34"/>
  <c r="L27" i="34"/>
  <c r="M27" i="34"/>
  <c r="L28" i="34"/>
  <c r="M28" i="34"/>
  <c r="L29" i="34"/>
  <c r="M29" i="34"/>
  <c r="L30" i="34"/>
  <c r="M30" i="34"/>
  <c r="L31" i="34"/>
  <c r="M31" i="34"/>
  <c r="L32" i="34"/>
  <c r="M32" i="34"/>
  <c r="L33" i="34"/>
  <c r="M33" i="34"/>
  <c r="L15" i="34"/>
  <c r="G71" i="55" a="1"/>
  <c r="G71" i="55"/>
  <c r="L14" i="34"/>
  <c r="M14" i="34"/>
  <c r="H70" i="55" a="1"/>
  <c r="H70" i="55"/>
  <c r="L19" i="24"/>
  <c r="G28" i="55" a="1"/>
  <c r="G28" i="55"/>
  <c r="L20" i="24"/>
  <c r="M20" i="24"/>
  <c r="H32" i="55" a="1"/>
  <c r="H32" i="55"/>
  <c r="L21" i="24"/>
  <c r="M21" i="24"/>
  <c r="H34" i="55" a="1"/>
  <c r="H34" i="55"/>
  <c r="L22" i="24"/>
  <c r="M22" i="24"/>
  <c r="H40" i="55" a="1"/>
  <c r="H40" i="55"/>
  <c r="L23" i="24"/>
  <c r="G42" i="55" a="1"/>
  <c r="G42" i="55"/>
  <c r="L24" i="24"/>
  <c r="M24" i="24"/>
  <c r="H43" i="55" a="1"/>
  <c r="H43" i="55"/>
  <c r="L25" i="24"/>
  <c r="M25" i="24"/>
  <c r="H44" i="55" a="1"/>
  <c r="H44" i="55"/>
  <c r="L26" i="24"/>
  <c r="M26" i="24"/>
  <c r="H51" i="55" a="1"/>
  <c r="H51" i="55"/>
  <c r="L27" i="24"/>
  <c r="M27" i="24"/>
  <c r="H54" i="55" a="1"/>
  <c r="H54" i="55"/>
  <c r="L28" i="24"/>
  <c r="M28" i="24"/>
  <c r="L29" i="24"/>
  <c r="M29" i="24"/>
  <c r="L30" i="24"/>
  <c r="M30" i="24"/>
  <c r="L31" i="24"/>
  <c r="M31" i="24"/>
  <c r="L32" i="24"/>
  <c r="M32" i="24"/>
  <c r="L33" i="24"/>
  <c r="M33" i="24"/>
  <c r="L34" i="24"/>
  <c r="M34" i="24"/>
  <c r="L35" i="24"/>
  <c r="M35" i="24"/>
  <c r="L36" i="24"/>
  <c r="M36" i="24"/>
  <c r="L37" i="24"/>
  <c r="M37" i="24"/>
  <c r="L38" i="24"/>
  <c r="M38" i="24"/>
  <c r="L39" i="24"/>
  <c r="M39" i="24"/>
  <c r="L40" i="24"/>
  <c r="M40" i="24"/>
  <c r="L41" i="24"/>
  <c r="M41" i="24"/>
  <c r="L42" i="24"/>
  <c r="M42" i="24"/>
  <c r="L43" i="24"/>
  <c r="M43" i="24"/>
  <c r="L44" i="24"/>
  <c r="M44" i="24"/>
  <c r="L45" i="24"/>
  <c r="M45" i="24"/>
  <c r="L46" i="24"/>
  <c r="M46" i="24"/>
  <c r="L47" i="24"/>
  <c r="M47" i="24"/>
  <c r="L48" i="24"/>
  <c r="M48" i="24"/>
  <c r="L49" i="24"/>
  <c r="M49" i="24"/>
  <c r="L50" i="24"/>
  <c r="M50" i="24"/>
  <c r="L51" i="24"/>
  <c r="M51" i="24"/>
  <c r="L52" i="24"/>
  <c r="M52" i="24"/>
  <c r="L53" i="24"/>
  <c r="M53" i="24"/>
  <c r="L54" i="24"/>
  <c r="M54" i="24"/>
  <c r="L55" i="24"/>
  <c r="M55" i="24"/>
  <c r="L56" i="24"/>
  <c r="M56" i="24"/>
  <c r="L57" i="24"/>
  <c r="M57" i="24"/>
  <c r="L58" i="24"/>
  <c r="M58" i="24"/>
  <c r="L59" i="24"/>
  <c r="M59" i="24"/>
  <c r="L60" i="24"/>
  <c r="M60" i="24"/>
  <c r="AK14" i="24"/>
  <c r="AK15" i="24"/>
  <c r="AK16" i="24"/>
  <c r="AK17" i="24"/>
  <c r="AK18" i="24"/>
  <c r="AK19" i="24"/>
  <c r="AK20" i="24"/>
  <c r="AK21" i="24"/>
  <c r="AK22" i="24"/>
  <c r="AK23" i="24"/>
  <c r="AK24" i="24"/>
  <c r="AK25" i="24"/>
  <c r="AK26" i="24"/>
  <c r="AK27" i="24"/>
  <c r="AK28" i="24"/>
  <c r="AK29" i="24"/>
  <c r="AK30" i="24"/>
  <c r="AK31" i="24"/>
  <c r="AK32" i="24"/>
  <c r="AK33" i="24"/>
  <c r="AK34" i="24"/>
  <c r="AK35" i="24"/>
  <c r="AK36" i="24"/>
  <c r="AK37" i="24"/>
  <c r="AK38" i="24"/>
  <c r="AK39" i="24"/>
  <c r="AK40" i="24"/>
  <c r="AK41" i="24"/>
  <c r="AK42" i="24"/>
  <c r="AK43" i="24"/>
  <c r="AK44" i="24"/>
  <c r="AK45" i="24"/>
  <c r="AK46" i="24"/>
  <c r="AK47" i="24"/>
  <c r="AK48" i="24"/>
  <c r="AK49" i="24"/>
  <c r="AK50" i="24"/>
  <c r="AK51" i="24"/>
  <c r="AK52" i="24"/>
  <c r="AK53" i="24"/>
  <c r="AK54" i="24"/>
  <c r="AK55" i="24"/>
  <c r="AK56" i="24"/>
  <c r="AK57" i="24"/>
  <c r="AK58" i="24"/>
  <c r="AK59" i="24"/>
  <c r="AK60" i="24"/>
  <c r="K76" i="22"/>
  <c r="L76" i="22"/>
  <c r="K77" i="22"/>
  <c r="L77" i="22"/>
  <c r="K78" i="22"/>
  <c r="L78" i="22"/>
  <c r="K79" i="22"/>
  <c r="L79" i="22"/>
  <c r="K80" i="22"/>
  <c r="L80" i="22"/>
  <c r="K81" i="22"/>
  <c r="L81" i="22"/>
  <c r="K82" i="22"/>
  <c r="L82" i="22"/>
  <c r="K83" i="22"/>
  <c r="L83" i="22"/>
  <c r="K84" i="22"/>
  <c r="L84" i="22"/>
  <c r="K85" i="22"/>
  <c r="L85" i="22"/>
  <c r="K86" i="22"/>
  <c r="L86" i="22"/>
  <c r="K87" i="22"/>
  <c r="L87" i="22"/>
  <c r="K88" i="22"/>
  <c r="L88" i="22"/>
  <c r="K89" i="22"/>
  <c r="L89" i="22"/>
  <c r="K90" i="22"/>
  <c r="L90" i="22"/>
  <c r="K91" i="22"/>
  <c r="L91" i="22"/>
  <c r="K92" i="22"/>
  <c r="L92" i="22"/>
  <c r="K93" i="22"/>
  <c r="L93" i="22"/>
  <c r="K94" i="22"/>
  <c r="L94" i="22"/>
  <c r="K95" i="22"/>
  <c r="L95" i="22"/>
  <c r="K96" i="22"/>
  <c r="L96" i="22"/>
  <c r="K97" i="22"/>
  <c r="L97" i="22"/>
  <c r="K98" i="22"/>
  <c r="L98" i="22"/>
  <c r="K99" i="22"/>
  <c r="L99" i="22"/>
  <c r="K100" i="22"/>
  <c r="L100" i="22"/>
  <c r="K101" i="22"/>
  <c r="L101" i="22"/>
  <c r="K102" i="22"/>
  <c r="L102" i="22"/>
  <c r="G37" i="61" a="1"/>
  <c r="G37" i="61"/>
  <c r="H3" i="61" a="1"/>
  <c r="H3" i="61"/>
  <c r="AJ15" i="22"/>
  <c r="AJ16" i="22"/>
  <c r="AJ17" i="22"/>
  <c r="AJ18" i="22"/>
  <c r="AJ19" i="22"/>
  <c r="AJ20" i="22"/>
  <c r="AJ21" i="22"/>
  <c r="AJ22" i="22"/>
  <c r="AJ76" i="22"/>
  <c r="AJ77" i="22"/>
  <c r="AJ78" i="22"/>
  <c r="AJ79" i="22"/>
  <c r="AJ80" i="22"/>
  <c r="AJ81" i="22"/>
  <c r="AJ82" i="22"/>
  <c r="AJ83" i="22"/>
  <c r="AJ84" i="22"/>
  <c r="AJ85" i="22"/>
  <c r="AJ86" i="22"/>
  <c r="AJ87" i="22"/>
  <c r="AJ88" i="22"/>
  <c r="AJ89" i="22"/>
  <c r="AJ90" i="22"/>
  <c r="AJ91" i="22"/>
  <c r="AJ92" i="22"/>
  <c r="AJ93" i="22"/>
  <c r="AJ94" i="22"/>
  <c r="AJ95" i="22"/>
  <c r="AJ96" i="22"/>
  <c r="AJ97" i="22"/>
  <c r="AJ98" i="22"/>
  <c r="AJ99" i="22"/>
  <c r="AJ100" i="22"/>
  <c r="AJ101" i="22"/>
  <c r="AJ102" i="22"/>
  <c r="R20" i="22"/>
  <c r="S20" i="22"/>
  <c r="Y20" i="22"/>
  <c r="Z20" i="22"/>
  <c r="AF20" i="22"/>
  <c r="AG20" i="22"/>
  <c r="R21" i="22"/>
  <c r="S21" i="22"/>
  <c r="Y21" i="22"/>
  <c r="Z21" i="22"/>
  <c r="AF21" i="22"/>
  <c r="AG21" i="22"/>
  <c r="R22" i="22"/>
  <c r="S22" i="22"/>
  <c r="Y22" i="22"/>
  <c r="Z22" i="22"/>
  <c r="AF22" i="22"/>
  <c r="AG22" i="22"/>
  <c r="R76" i="22"/>
  <c r="S76" i="22"/>
  <c r="Y76" i="22"/>
  <c r="Z76" i="22"/>
  <c r="AF76" i="22"/>
  <c r="AG76" i="22"/>
  <c r="R77" i="22"/>
  <c r="S77" i="22"/>
  <c r="Y77" i="22"/>
  <c r="Z77" i="22"/>
  <c r="AF77" i="22"/>
  <c r="AG77" i="22"/>
  <c r="R78" i="22"/>
  <c r="S78" i="22"/>
  <c r="Y78" i="22"/>
  <c r="Z78" i="22"/>
  <c r="AF78" i="22"/>
  <c r="AG78" i="22"/>
  <c r="R79" i="22"/>
  <c r="S79" i="22"/>
  <c r="Y79" i="22"/>
  <c r="Z79" i="22"/>
  <c r="AF79" i="22"/>
  <c r="AG79" i="22"/>
  <c r="R80" i="22"/>
  <c r="S80" i="22"/>
  <c r="Y80" i="22"/>
  <c r="Z80" i="22"/>
  <c r="AF80" i="22"/>
  <c r="AG80" i="22"/>
  <c r="R81" i="22"/>
  <c r="S81" i="22"/>
  <c r="Y81" i="22"/>
  <c r="Z81" i="22"/>
  <c r="AF81" i="22"/>
  <c r="AG81" i="22"/>
  <c r="R82" i="22"/>
  <c r="S82" i="22"/>
  <c r="Y82" i="22"/>
  <c r="Z82" i="22"/>
  <c r="AF82" i="22"/>
  <c r="AG82" i="22"/>
  <c r="R83" i="22"/>
  <c r="S83" i="22"/>
  <c r="Y83" i="22"/>
  <c r="Z83" i="22"/>
  <c r="AF83" i="22"/>
  <c r="AG83" i="22"/>
  <c r="R84" i="22"/>
  <c r="S84" i="22"/>
  <c r="Y84" i="22"/>
  <c r="Z84" i="22"/>
  <c r="AF84" i="22"/>
  <c r="AG84" i="22"/>
  <c r="R85" i="22"/>
  <c r="S85" i="22"/>
  <c r="Y85" i="22"/>
  <c r="Z85" i="22"/>
  <c r="AF85" i="22"/>
  <c r="AG85" i="22"/>
  <c r="R86" i="22"/>
  <c r="S86" i="22"/>
  <c r="Y86" i="22"/>
  <c r="Z86" i="22"/>
  <c r="AF86" i="22"/>
  <c r="AG86" i="22"/>
  <c r="R87" i="22"/>
  <c r="S87" i="22"/>
  <c r="Y87" i="22"/>
  <c r="Z87" i="22"/>
  <c r="AF87" i="22"/>
  <c r="AG87" i="22"/>
  <c r="R88" i="22"/>
  <c r="S88" i="22"/>
  <c r="Y88" i="22"/>
  <c r="Z88" i="22"/>
  <c r="AF88" i="22"/>
  <c r="AG88" i="22"/>
  <c r="R89" i="22"/>
  <c r="S89" i="22"/>
  <c r="Y89" i="22"/>
  <c r="Z89" i="22"/>
  <c r="AF89" i="22"/>
  <c r="AG89" i="22"/>
  <c r="R90" i="22"/>
  <c r="S90" i="22"/>
  <c r="Y90" i="22"/>
  <c r="Z90" i="22"/>
  <c r="AF90" i="22"/>
  <c r="AG90" i="22"/>
  <c r="R91" i="22"/>
  <c r="S91" i="22"/>
  <c r="Y91" i="22"/>
  <c r="Z91" i="22"/>
  <c r="AF91" i="22"/>
  <c r="AG91" i="22"/>
  <c r="R92" i="22"/>
  <c r="S92" i="22"/>
  <c r="Y92" i="22"/>
  <c r="Z92" i="22"/>
  <c r="AF92" i="22"/>
  <c r="AG92" i="22"/>
  <c r="R93" i="22"/>
  <c r="S93" i="22"/>
  <c r="Y93" i="22"/>
  <c r="Z93" i="22"/>
  <c r="AF93" i="22"/>
  <c r="AG93" i="22"/>
  <c r="R94" i="22"/>
  <c r="S94" i="22"/>
  <c r="Y94" i="22"/>
  <c r="Z94" i="22"/>
  <c r="AF94" i="22"/>
  <c r="AG94" i="22"/>
  <c r="R95" i="22"/>
  <c r="Y95" i="22"/>
  <c r="Z95" i="22"/>
  <c r="AF95" i="22"/>
  <c r="AG95" i="22"/>
  <c r="R96" i="22"/>
  <c r="S96" i="22"/>
  <c r="Y96" i="22"/>
  <c r="Z96" i="22"/>
  <c r="AF96" i="22"/>
  <c r="AG96" i="22"/>
  <c r="R97" i="22"/>
  <c r="S97" i="22"/>
  <c r="Y97" i="22"/>
  <c r="Z97" i="22"/>
  <c r="AF97" i="22"/>
  <c r="AG97" i="22"/>
  <c r="R98" i="22"/>
  <c r="S98" i="22"/>
  <c r="Y98" i="22"/>
  <c r="Z98" i="22"/>
  <c r="AF98" i="22"/>
  <c r="AG98" i="22"/>
  <c r="R99" i="22"/>
  <c r="S99" i="22"/>
  <c r="Y99" i="22"/>
  <c r="Z99" i="22"/>
  <c r="AF99" i="22"/>
  <c r="AG99" i="22"/>
  <c r="R100" i="22"/>
  <c r="S100" i="22"/>
  <c r="Y100" i="22"/>
  <c r="Z100" i="22"/>
  <c r="AF100" i="22"/>
  <c r="AG100" i="22"/>
  <c r="R101" i="22"/>
  <c r="S101" i="22"/>
  <c r="Y101" i="22"/>
  <c r="Z101" i="22"/>
  <c r="AF101" i="22"/>
  <c r="AG101" i="22"/>
  <c r="R102" i="22"/>
  <c r="S102" i="22"/>
  <c r="Y102" i="22"/>
  <c r="Z102" i="22"/>
  <c r="AF102" i="22"/>
  <c r="AG102" i="22"/>
  <c r="L175" i="23"/>
  <c r="M175" i="23"/>
  <c r="H288" i="61" a="1"/>
  <c r="H288" i="61"/>
  <c r="L174" i="23"/>
  <c r="M174" i="23"/>
  <c r="L173" i="23"/>
  <c r="M173" i="23"/>
  <c r="L172" i="23"/>
  <c r="M172" i="23"/>
  <c r="L171" i="23"/>
  <c r="M171" i="23"/>
  <c r="L170" i="23"/>
  <c r="M170" i="23"/>
  <c r="L169" i="23"/>
  <c r="M169" i="23"/>
  <c r="L168" i="23"/>
  <c r="M168" i="23"/>
  <c r="L167" i="23"/>
  <c r="M167" i="23"/>
  <c r="L166" i="23"/>
  <c r="M166" i="23"/>
  <c r="L165" i="23"/>
  <c r="M165" i="23"/>
  <c r="L164" i="23"/>
  <c r="M164" i="23"/>
  <c r="L163" i="23"/>
  <c r="L162" i="23"/>
  <c r="M162" i="23"/>
  <c r="H306" i="61" a="1"/>
  <c r="H306" i="61"/>
  <c r="L161" i="23"/>
  <c r="M161" i="23"/>
  <c r="H286" i="61" a="1"/>
  <c r="H286" i="61"/>
  <c r="L160" i="23"/>
  <c r="M160" i="23"/>
  <c r="L159" i="23"/>
  <c r="M159" i="23"/>
  <c r="L158" i="23"/>
  <c r="L157" i="23"/>
  <c r="L156" i="23"/>
  <c r="L155" i="23"/>
  <c r="M155" i="23"/>
  <c r="L154" i="23"/>
  <c r="L153" i="23"/>
  <c r="M153" i="23"/>
  <c r="H302" i="61" a="1"/>
  <c r="H302" i="61"/>
  <c r="L152" i="23"/>
  <c r="G283" i="61" a="1"/>
  <c r="G283" i="61"/>
  <c r="L151" i="23"/>
  <c r="L150" i="23"/>
  <c r="M150" i="23"/>
  <c r="H300" i="61" a="1"/>
  <c r="H300" i="61"/>
  <c r="L149" i="23"/>
  <c r="M149" i="23"/>
  <c r="H282" i="61" a="1"/>
  <c r="H282" i="61"/>
  <c r="L148" i="23"/>
  <c r="L147" i="23"/>
  <c r="L146" i="23"/>
  <c r="L145" i="23"/>
  <c r="L144" i="23"/>
  <c r="L143" i="23"/>
  <c r="L95" i="23"/>
  <c r="L96" i="23"/>
  <c r="M96" i="23"/>
  <c r="H243" i="61" a="1"/>
  <c r="H243" i="61"/>
  <c r="L97" i="23"/>
  <c r="L98" i="23"/>
  <c r="G245" i="61" a="1"/>
  <c r="G245" i="61"/>
  <c r="L99" i="23"/>
  <c r="L100" i="23"/>
  <c r="G247" i="61" a="1"/>
  <c r="G247" i="61"/>
  <c r="L101" i="23"/>
  <c r="M101" i="23"/>
  <c r="L102" i="23"/>
  <c r="M102" i="23"/>
  <c r="L103" i="23"/>
  <c r="L104" i="23"/>
  <c r="G251" i="61" a="1"/>
  <c r="G251" i="61"/>
  <c r="L105" i="23"/>
  <c r="L106" i="23"/>
  <c r="M106" i="23"/>
  <c r="H253" i="61" a="1"/>
  <c r="H253" i="61"/>
  <c r="L107" i="23"/>
  <c r="G254" i="61" a="1"/>
  <c r="G254" i="61"/>
  <c r="L108" i="23"/>
  <c r="G255" i="61" a="1"/>
  <c r="G255" i="61"/>
  <c r="L109" i="23"/>
  <c r="G256" i="61" a="1"/>
  <c r="G256" i="61"/>
  <c r="L110" i="23"/>
  <c r="G257" i="61" a="1"/>
  <c r="G257" i="61"/>
  <c r="L111" i="23"/>
  <c r="G258" i="61" a="1"/>
  <c r="G258" i="61"/>
  <c r="L112" i="23"/>
  <c r="G259" i="61" a="1"/>
  <c r="G259" i="61"/>
  <c r="L113" i="23"/>
  <c r="M113" i="23"/>
  <c r="H260" i="61" a="1"/>
  <c r="H260" i="61"/>
  <c r="L114" i="23"/>
  <c r="L115" i="23"/>
  <c r="L116" i="23"/>
  <c r="L117" i="23"/>
  <c r="L118" i="23"/>
  <c r="L119" i="23"/>
  <c r="L120" i="23"/>
  <c r="M120" i="23"/>
  <c r="L121" i="23"/>
  <c r="M121" i="23"/>
  <c r="L122" i="23"/>
  <c r="M122" i="23"/>
  <c r="L123" i="23"/>
  <c r="M123" i="23"/>
  <c r="L124" i="23"/>
  <c r="M124" i="23"/>
  <c r="L125" i="23"/>
  <c r="M125" i="23"/>
  <c r="L126" i="23"/>
  <c r="M126" i="23"/>
  <c r="L127" i="23"/>
  <c r="M127" i="23"/>
  <c r="L128" i="23"/>
  <c r="M128" i="23"/>
  <c r="L129" i="23"/>
  <c r="M129" i="23"/>
  <c r="L130" i="23"/>
  <c r="M130" i="23"/>
  <c r="L72" i="23"/>
  <c r="L73" i="23"/>
  <c r="L74" i="23"/>
  <c r="G220" i="61" a="1"/>
  <c r="G220" i="61"/>
  <c r="L75" i="23"/>
  <c r="L76" i="23"/>
  <c r="L77" i="23"/>
  <c r="M77" i="23"/>
  <c r="L78" i="23"/>
  <c r="M78" i="23"/>
  <c r="L79" i="23"/>
  <c r="M79" i="23"/>
  <c r="L80" i="23"/>
  <c r="M80" i="23"/>
  <c r="L81" i="23"/>
  <c r="M81" i="23"/>
  <c r="L82" i="23"/>
  <c r="M82" i="23"/>
  <c r="L83" i="23"/>
  <c r="M83" i="23"/>
  <c r="G216" i="61" a="1"/>
  <c r="G216" i="61"/>
  <c r="H217" i="61" a="1"/>
  <c r="H217" i="61"/>
  <c r="G215" i="61" a="1"/>
  <c r="G215" i="61"/>
  <c r="S74" i="23"/>
  <c r="T74" i="23"/>
  <c r="Z74" i="23"/>
  <c r="AA74" i="23"/>
  <c r="AG74" i="23"/>
  <c r="AH74" i="23"/>
  <c r="S73" i="23"/>
  <c r="T73" i="23"/>
  <c r="Z73" i="23"/>
  <c r="AA73" i="23"/>
  <c r="AG73" i="23"/>
  <c r="AH73" i="23"/>
  <c r="S75" i="23"/>
  <c r="T75" i="23"/>
  <c r="Z75" i="23"/>
  <c r="AA75" i="23"/>
  <c r="AG75" i="23"/>
  <c r="AH75" i="23"/>
  <c r="S76" i="23"/>
  <c r="T76" i="23"/>
  <c r="Z76" i="23"/>
  <c r="AA76" i="23"/>
  <c r="AH76" i="23"/>
  <c r="S77" i="23"/>
  <c r="T77" i="23"/>
  <c r="Z77" i="23"/>
  <c r="AG77" i="23"/>
  <c r="AH77" i="23"/>
  <c r="S78" i="23"/>
  <c r="T78" i="23"/>
  <c r="Z78" i="23"/>
  <c r="AG78" i="23"/>
  <c r="AH78" i="23"/>
  <c r="S79" i="23"/>
  <c r="T79" i="23"/>
  <c r="Z79" i="23"/>
  <c r="AA79" i="23"/>
  <c r="AG79" i="23"/>
  <c r="AH79" i="23"/>
  <c r="S80" i="23"/>
  <c r="Z80" i="23"/>
  <c r="AA80" i="23"/>
  <c r="AG80" i="23"/>
  <c r="AH80" i="23"/>
  <c r="L15" i="23"/>
  <c r="L16" i="23"/>
  <c r="L17" i="23"/>
  <c r="L18" i="23"/>
  <c r="M18" i="23"/>
  <c r="L19" i="23"/>
  <c r="L20" i="23"/>
  <c r="L21" i="23"/>
  <c r="M21" i="23"/>
  <c r="L22" i="23"/>
  <c r="M22" i="23"/>
  <c r="L23" i="23"/>
  <c r="M23" i="23"/>
  <c r="L24" i="23"/>
  <c r="M24" i="23"/>
  <c r="L25" i="23"/>
  <c r="M25" i="23"/>
  <c r="L26" i="23"/>
  <c r="M26" i="23"/>
  <c r="L27" i="23"/>
  <c r="M27" i="23"/>
  <c r="L28" i="23"/>
  <c r="M28" i="23"/>
  <c r="L29" i="23"/>
  <c r="M29" i="23"/>
  <c r="L30" i="23"/>
  <c r="M30" i="23"/>
  <c r="L31" i="23"/>
  <c r="M31" i="23"/>
  <c r="L32" i="23"/>
  <c r="M32" i="23"/>
  <c r="L33" i="23"/>
  <c r="M33" i="23"/>
  <c r="L34" i="23"/>
  <c r="M34" i="23"/>
  <c r="L35" i="23"/>
  <c r="M35" i="23"/>
  <c r="L36" i="23"/>
  <c r="M36" i="23"/>
  <c r="L37" i="23"/>
  <c r="M37" i="23"/>
  <c r="L38" i="23"/>
  <c r="M38" i="23"/>
  <c r="L39" i="23"/>
  <c r="M39" i="23"/>
  <c r="L40" i="23"/>
  <c r="M40" i="23"/>
  <c r="L41" i="23"/>
  <c r="M41" i="23"/>
  <c r="L42" i="23"/>
  <c r="M42" i="23"/>
  <c r="L43" i="23"/>
  <c r="M43" i="23"/>
  <c r="L44" i="23"/>
  <c r="M44" i="23"/>
  <c r="L45" i="23"/>
  <c r="M45" i="23"/>
  <c r="L46" i="23"/>
  <c r="M46" i="23"/>
  <c r="L47" i="23"/>
  <c r="M47" i="23"/>
  <c r="L48" i="23"/>
  <c r="M48" i="23"/>
  <c r="L49" i="23"/>
  <c r="M49" i="23"/>
  <c r="L50" i="23"/>
  <c r="M50" i="23"/>
  <c r="L51" i="23"/>
  <c r="M51" i="23"/>
  <c r="L52" i="23"/>
  <c r="M52" i="23"/>
  <c r="L53" i="23"/>
  <c r="M53" i="23"/>
  <c r="L54" i="23"/>
  <c r="M54" i="23"/>
  <c r="L55" i="23"/>
  <c r="M55" i="23"/>
  <c r="L56" i="23"/>
  <c r="M56" i="23"/>
  <c r="L57" i="23"/>
  <c r="M57" i="23"/>
  <c r="L58" i="23"/>
  <c r="M58" i="23"/>
  <c r="L59" i="23"/>
  <c r="M59" i="23"/>
  <c r="L60" i="23"/>
  <c r="M60" i="23"/>
  <c r="L61" i="23"/>
  <c r="M61" i="23"/>
  <c r="S26" i="23"/>
  <c r="T26" i="23"/>
  <c r="Z26" i="23"/>
  <c r="AA26" i="23"/>
  <c r="AG26" i="23"/>
  <c r="AH26" i="23"/>
  <c r="S27" i="23"/>
  <c r="T27" i="23"/>
  <c r="Z27" i="23"/>
  <c r="AG27" i="23"/>
  <c r="AH27" i="23"/>
  <c r="S28" i="23"/>
  <c r="T28" i="23"/>
  <c r="Z28" i="23"/>
  <c r="AA28" i="23"/>
  <c r="AG28" i="23"/>
  <c r="AH28" i="23"/>
  <c r="S29" i="23"/>
  <c r="T29" i="23"/>
  <c r="Z29" i="23"/>
  <c r="AG29" i="23"/>
  <c r="AH29" i="23"/>
  <c r="S30" i="23"/>
  <c r="T30" i="23"/>
  <c r="Z30" i="23"/>
  <c r="AA30" i="23"/>
  <c r="AG30" i="23"/>
  <c r="AH30" i="23"/>
  <c r="S31" i="23"/>
  <c r="T31" i="23"/>
  <c r="Z31" i="23"/>
  <c r="AA31" i="23"/>
  <c r="AG31" i="23"/>
  <c r="AH31" i="23"/>
  <c r="S32" i="23"/>
  <c r="T32" i="23"/>
  <c r="Z32" i="23"/>
  <c r="AA32" i="23"/>
  <c r="AG32" i="23"/>
  <c r="AH32" i="23"/>
  <c r="S33" i="23"/>
  <c r="T33" i="23"/>
  <c r="Z33" i="23"/>
  <c r="AA33" i="23"/>
  <c r="AG33" i="23"/>
  <c r="AH33" i="23"/>
  <c r="S34" i="23"/>
  <c r="T34" i="23"/>
  <c r="Z34" i="23"/>
  <c r="AA34" i="23"/>
  <c r="AG34" i="23"/>
  <c r="AH34" i="23"/>
  <c r="S35" i="23"/>
  <c r="T35" i="23"/>
  <c r="Z35" i="23"/>
  <c r="AG35" i="23"/>
  <c r="AH35" i="23"/>
  <c r="S36" i="23"/>
  <c r="T36" i="23"/>
  <c r="Z36" i="23"/>
  <c r="AG36" i="23"/>
  <c r="AH36" i="23"/>
  <c r="S37" i="23"/>
  <c r="T37" i="23"/>
  <c r="Z37" i="23"/>
  <c r="AA37" i="23"/>
  <c r="AG37" i="23"/>
  <c r="AH37" i="23"/>
  <c r="S38" i="23"/>
  <c r="Z38" i="23"/>
  <c r="AA38" i="23"/>
  <c r="AG38" i="23"/>
  <c r="AH38" i="23"/>
  <c r="S39" i="23"/>
  <c r="T39" i="23"/>
  <c r="Z39" i="23"/>
  <c r="AA39" i="23"/>
  <c r="AG39" i="23"/>
  <c r="AH39" i="23"/>
  <c r="S40" i="23"/>
  <c r="T40" i="23"/>
  <c r="Z40" i="23"/>
  <c r="AG40" i="23"/>
  <c r="AH40" i="23"/>
  <c r="S41" i="23"/>
  <c r="T41" i="23"/>
  <c r="Z41" i="23"/>
  <c r="AA41" i="23"/>
  <c r="AG41" i="23"/>
  <c r="AH41" i="23"/>
  <c r="S42" i="23"/>
  <c r="T42" i="23"/>
  <c r="Z42" i="23"/>
  <c r="AA42" i="23"/>
  <c r="AG42" i="23"/>
  <c r="AH42" i="23"/>
  <c r="S43" i="23"/>
  <c r="T43" i="23"/>
  <c r="Z43" i="23"/>
  <c r="AA43" i="23"/>
  <c r="AG43" i="23"/>
  <c r="AH43" i="23"/>
  <c r="C3" i="21"/>
  <c r="C5" i="21"/>
  <c r="AG99" i="15"/>
  <c r="AH99" i="15"/>
  <c r="AG98" i="15"/>
  <c r="AH98" i="15"/>
  <c r="AG97" i="15"/>
  <c r="AH97" i="15"/>
  <c r="AG96" i="15"/>
  <c r="AH96" i="15"/>
  <c r="AG95" i="15"/>
  <c r="AH95" i="15"/>
  <c r="AG94" i="15"/>
  <c r="AH94" i="15"/>
  <c r="AG93" i="15"/>
  <c r="AH93" i="15"/>
  <c r="AG92" i="15"/>
  <c r="AH92" i="15"/>
  <c r="AG91" i="15"/>
  <c r="AH91" i="15"/>
  <c r="AG90" i="15"/>
  <c r="AH90" i="15"/>
  <c r="AG89" i="15"/>
  <c r="AH89" i="15"/>
  <c r="AG88" i="15"/>
  <c r="AH88" i="15"/>
  <c r="AG87" i="15"/>
  <c r="AH87" i="15"/>
  <c r="AG86" i="15"/>
  <c r="AH86" i="15"/>
  <c r="AG85" i="15"/>
  <c r="AH85" i="15"/>
  <c r="AG84" i="15"/>
  <c r="AH84" i="15"/>
  <c r="AG83" i="15"/>
  <c r="AH83" i="15"/>
  <c r="AG82" i="15"/>
  <c r="AH82" i="15"/>
  <c r="AG69" i="15"/>
  <c r="AH69" i="15"/>
  <c r="AG68" i="15"/>
  <c r="AH68" i="15"/>
  <c r="AG67" i="15"/>
  <c r="AH67" i="15"/>
  <c r="AG66" i="15"/>
  <c r="AH66" i="15"/>
  <c r="AG65" i="15"/>
  <c r="AH65" i="15"/>
  <c r="AG64" i="15"/>
  <c r="AH64" i="15"/>
  <c r="Z99" i="15"/>
  <c r="AA99" i="15"/>
  <c r="Z98" i="15"/>
  <c r="AA98" i="15"/>
  <c r="Z97" i="15"/>
  <c r="AA97" i="15"/>
  <c r="Z96" i="15"/>
  <c r="AA96" i="15"/>
  <c r="Z95" i="15"/>
  <c r="AA95" i="15"/>
  <c r="Z94" i="15"/>
  <c r="AA94" i="15"/>
  <c r="Z93" i="15"/>
  <c r="AA93" i="15"/>
  <c r="Z92" i="15"/>
  <c r="AA92" i="15"/>
  <c r="Z91" i="15"/>
  <c r="AA91" i="15"/>
  <c r="Z90" i="15"/>
  <c r="Z89" i="15"/>
  <c r="AA89" i="15"/>
  <c r="Z88" i="15"/>
  <c r="AA88" i="15"/>
  <c r="Z87" i="15"/>
  <c r="AA87" i="15"/>
  <c r="Z86" i="15"/>
  <c r="AA86" i="15"/>
  <c r="Z85" i="15"/>
  <c r="AA85" i="15"/>
  <c r="Z84" i="15"/>
  <c r="AA84" i="15"/>
  <c r="Z69" i="15"/>
  <c r="AA69" i="15"/>
  <c r="Z68" i="15"/>
  <c r="AA68" i="15"/>
  <c r="Z67" i="15"/>
  <c r="AA67" i="15"/>
  <c r="Z66" i="15"/>
  <c r="AA66" i="15"/>
  <c r="Z65" i="15"/>
  <c r="AA65" i="15"/>
  <c r="Z64" i="15"/>
  <c r="AA64" i="15"/>
  <c r="S99" i="15"/>
  <c r="T99" i="15"/>
  <c r="S98" i="15"/>
  <c r="T98" i="15"/>
  <c r="S97" i="15"/>
  <c r="T97" i="15"/>
  <c r="S96" i="15"/>
  <c r="S95" i="15"/>
  <c r="T95" i="15"/>
  <c r="S94" i="15"/>
  <c r="T94" i="15"/>
  <c r="S93" i="15"/>
  <c r="S92" i="15"/>
  <c r="T92" i="15"/>
  <c r="S91" i="15"/>
  <c r="T91" i="15"/>
  <c r="S90" i="15"/>
  <c r="T90" i="15"/>
  <c r="S89" i="15"/>
  <c r="T89" i="15"/>
  <c r="S88" i="15"/>
  <c r="T88" i="15"/>
  <c r="S87" i="15"/>
  <c r="S86" i="15"/>
  <c r="T86" i="15"/>
  <c r="S85" i="15"/>
  <c r="T85" i="15"/>
  <c r="S84" i="15"/>
  <c r="T84" i="15"/>
  <c r="S83" i="15"/>
  <c r="T83" i="15"/>
  <c r="S82" i="15"/>
  <c r="T82" i="15"/>
  <c r="S80" i="15"/>
  <c r="T80" i="15"/>
  <c r="S79" i="15"/>
  <c r="T79" i="15"/>
  <c r="S78" i="15"/>
  <c r="S77" i="15"/>
  <c r="T77" i="15"/>
  <c r="S76" i="15"/>
  <c r="T76" i="15"/>
  <c r="S75" i="15"/>
  <c r="T75" i="15"/>
  <c r="S74" i="15"/>
  <c r="S73" i="15"/>
  <c r="S71" i="15"/>
  <c r="T71" i="15"/>
  <c r="S70" i="15"/>
  <c r="T70" i="15"/>
  <c r="S69" i="15"/>
  <c r="T69" i="15"/>
  <c r="S68" i="15"/>
  <c r="T68" i="15"/>
  <c r="S67" i="15"/>
  <c r="S66" i="15"/>
  <c r="T66" i="15"/>
  <c r="S65" i="15"/>
  <c r="T65" i="15"/>
  <c r="S64" i="15"/>
  <c r="Z70" i="15"/>
  <c r="AA70" i="15"/>
  <c r="AG70" i="15"/>
  <c r="AH70" i="15"/>
  <c r="Z71" i="15"/>
  <c r="AA71" i="15"/>
  <c r="AG71" i="15"/>
  <c r="AH71" i="15"/>
  <c r="S72" i="15"/>
  <c r="Z72" i="15"/>
  <c r="AA72" i="15"/>
  <c r="AG72" i="15"/>
  <c r="AH72" i="15"/>
  <c r="Z73" i="15"/>
  <c r="AA73" i="15"/>
  <c r="AG73" i="15"/>
  <c r="AH73" i="15"/>
  <c r="Z74" i="15"/>
  <c r="AA74" i="15"/>
  <c r="AG74" i="15"/>
  <c r="AH74" i="15"/>
  <c r="Z75" i="15"/>
  <c r="AA75" i="15"/>
  <c r="AG75" i="15"/>
  <c r="AH75" i="15"/>
  <c r="Z76" i="15"/>
  <c r="AA76" i="15"/>
  <c r="AG76" i="15"/>
  <c r="AH76" i="15"/>
  <c r="Z77" i="15"/>
  <c r="AA77" i="15"/>
  <c r="AG77" i="15"/>
  <c r="AH77" i="15"/>
  <c r="Z78" i="15"/>
  <c r="AA78" i="15"/>
  <c r="AG78" i="15"/>
  <c r="AH78" i="15"/>
  <c r="Z79" i="15"/>
  <c r="AG79" i="15"/>
  <c r="AH79" i="15"/>
  <c r="Z80" i="15"/>
  <c r="AA80" i="15"/>
  <c r="AG80" i="15"/>
  <c r="AH80" i="15"/>
  <c r="S81" i="15"/>
  <c r="T81" i="15"/>
  <c r="Z81" i="15"/>
  <c r="AA81" i="15"/>
  <c r="AG81" i="15"/>
  <c r="AH81" i="15"/>
  <c r="Z82" i="15"/>
  <c r="AA82" i="15"/>
  <c r="Z83" i="15"/>
  <c r="AA83" i="15"/>
  <c r="S52" i="15"/>
  <c r="T52" i="15"/>
  <c r="Z52" i="15"/>
  <c r="AA52" i="15"/>
  <c r="AG52" i="15"/>
  <c r="AH52" i="15"/>
  <c r="S53" i="15"/>
  <c r="T53" i="15"/>
  <c r="Z53" i="15"/>
  <c r="AA53" i="15"/>
  <c r="AG53" i="15"/>
  <c r="AH53" i="15"/>
  <c r="S54" i="15"/>
  <c r="T54" i="15"/>
  <c r="Z54" i="15"/>
  <c r="AA54" i="15"/>
  <c r="AG54" i="15"/>
  <c r="AH54" i="15"/>
  <c r="S55" i="15"/>
  <c r="Z55" i="15"/>
  <c r="AA55" i="15"/>
  <c r="AG55" i="15"/>
  <c r="AH55" i="15"/>
  <c r="S56" i="15"/>
  <c r="T56" i="15"/>
  <c r="Z56" i="15"/>
  <c r="AA56" i="15"/>
  <c r="AG56" i="15"/>
  <c r="AH56" i="15"/>
  <c r="S57" i="15"/>
  <c r="T57" i="15"/>
  <c r="Z57" i="15"/>
  <c r="AA57" i="15"/>
  <c r="AG57" i="15"/>
  <c r="AH57" i="15"/>
  <c r="S58" i="15"/>
  <c r="T58" i="15"/>
  <c r="Z58" i="15"/>
  <c r="AA58" i="15"/>
  <c r="AG58" i="15"/>
  <c r="AH58" i="15"/>
  <c r="S59" i="15"/>
  <c r="T59" i="15"/>
  <c r="Z59" i="15"/>
  <c r="AA59" i="15"/>
  <c r="AG59" i="15"/>
  <c r="AH59" i="15"/>
  <c r="S60" i="15"/>
  <c r="T60" i="15"/>
  <c r="Z60" i="15"/>
  <c r="AA60" i="15"/>
  <c r="AG60" i="15"/>
  <c r="AH60" i="15"/>
  <c r="S61" i="15"/>
  <c r="T61" i="15"/>
  <c r="Z61" i="15"/>
  <c r="AA61" i="15"/>
  <c r="AG61" i="15"/>
  <c r="AH61" i="15"/>
  <c r="S62" i="15"/>
  <c r="T62" i="15"/>
  <c r="Z62" i="15"/>
  <c r="AA62" i="15"/>
  <c r="AG62" i="15"/>
  <c r="AH62" i="15"/>
  <c r="S63" i="15"/>
  <c r="T63" i="15"/>
  <c r="Z63" i="15"/>
  <c r="AG63" i="15"/>
  <c r="AH63" i="15"/>
  <c r="K223" i="17"/>
  <c r="L223" i="17"/>
  <c r="K222" i="17"/>
  <c r="L222" i="17"/>
  <c r="K221" i="17"/>
  <c r="L221" i="17"/>
  <c r="K220" i="17"/>
  <c r="L220" i="17"/>
  <c r="K219" i="17"/>
  <c r="L219" i="17"/>
  <c r="K218" i="17"/>
  <c r="L218" i="17"/>
  <c r="K217" i="17"/>
  <c r="L217" i="17"/>
  <c r="K216" i="17"/>
  <c r="L216" i="17"/>
  <c r="K215" i="17"/>
  <c r="L215" i="17"/>
  <c r="K214" i="17"/>
  <c r="L214" i="17"/>
  <c r="K213" i="17"/>
  <c r="L213" i="17"/>
  <c r="K212" i="17"/>
  <c r="L212" i="17"/>
  <c r="K211" i="17"/>
  <c r="L211" i="17"/>
  <c r="K210" i="17"/>
  <c r="L210" i="17"/>
  <c r="K209" i="17"/>
  <c r="L209" i="17"/>
  <c r="K208" i="17"/>
  <c r="L208" i="17"/>
  <c r="K207" i="17"/>
  <c r="L207" i="17"/>
  <c r="K206" i="17"/>
  <c r="L206" i="17"/>
  <c r="K205" i="17"/>
  <c r="L205" i="17"/>
  <c r="K204" i="17"/>
  <c r="L204" i="17"/>
  <c r="K203" i="17"/>
  <c r="L203" i="17"/>
  <c r="K202" i="17"/>
  <c r="L202" i="17"/>
  <c r="K201" i="17"/>
  <c r="L201" i="17"/>
  <c r="K200" i="17"/>
  <c r="L200" i="17"/>
  <c r="K199" i="17"/>
  <c r="L199" i="17"/>
  <c r="K198" i="17"/>
  <c r="L198" i="17"/>
  <c r="K197" i="17"/>
  <c r="L197" i="17"/>
  <c r="K196" i="17"/>
  <c r="L196" i="17"/>
  <c r="K195" i="17"/>
  <c r="L195" i="17"/>
  <c r="K194" i="17"/>
  <c r="L194" i="17"/>
  <c r="K193" i="17"/>
  <c r="L193" i="17"/>
  <c r="K192" i="17"/>
  <c r="L192" i="17"/>
  <c r="K191" i="17"/>
  <c r="L191" i="17"/>
  <c r="K190" i="17"/>
  <c r="L190" i="17"/>
  <c r="K189" i="17"/>
  <c r="L189" i="17"/>
  <c r="K188" i="17"/>
  <c r="L188" i="17"/>
  <c r="K187" i="17"/>
  <c r="L187" i="17"/>
  <c r="K186" i="17"/>
  <c r="L186" i="17"/>
  <c r="K185" i="17"/>
  <c r="L185" i="17"/>
  <c r="K184" i="17"/>
  <c r="L184" i="17"/>
  <c r="K183" i="17"/>
  <c r="L183" i="17"/>
  <c r="K182" i="17"/>
  <c r="L182" i="17"/>
  <c r="K181" i="17"/>
  <c r="L181" i="17"/>
  <c r="K180" i="17"/>
  <c r="L180" i="17"/>
  <c r="K179" i="17"/>
  <c r="L179" i="17"/>
  <c r="K178" i="17"/>
  <c r="L178" i="17"/>
  <c r="K177" i="17"/>
  <c r="L177" i="17"/>
  <c r="K176" i="17"/>
  <c r="L176" i="17"/>
  <c r="K175" i="17"/>
  <c r="L175" i="17"/>
  <c r="K174" i="17"/>
  <c r="L174" i="17"/>
  <c r="K173" i="17"/>
  <c r="L173" i="17"/>
  <c r="K172" i="17"/>
  <c r="L172" i="17"/>
  <c r="K171" i="17"/>
  <c r="L171" i="17"/>
  <c r="K170" i="17"/>
  <c r="L170" i="17"/>
  <c r="K169" i="17"/>
  <c r="L169" i="17"/>
  <c r="K168" i="17"/>
  <c r="L168" i="17"/>
  <c r="K167" i="17"/>
  <c r="L167" i="17"/>
  <c r="K166" i="17"/>
  <c r="L166" i="17"/>
  <c r="K165" i="17"/>
  <c r="L165" i="17"/>
  <c r="K164" i="17"/>
  <c r="L164" i="17"/>
  <c r="K163" i="17"/>
  <c r="L163" i="17"/>
  <c r="K162" i="17"/>
  <c r="L162" i="17"/>
  <c r="K161" i="17"/>
  <c r="L161" i="17"/>
  <c r="K160" i="17"/>
  <c r="L160" i="17"/>
  <c r="K159" i="17"/>
  <c r="L159" i="17"/>
  <c r="K158" i="17"/>
  <c r="L158" i="17"/>
  <c r="K157" i="17"/>
  <c r="L157" i="17"/>
  <c r="K156" i="17"/>
  <c r="L156" i="17"/>
  <c r="K155" i="17"/>
  <c r="L155" i="17"/>
  <c r="K154" i="17"/>
  <c r="L154" i="17"/>
  <c r="K153" i="17"/>
  <c r="L153" i="17"/>
  <c r="K152" i="17"/>
  <c r="L152" i="17"/>
  <c r="K151" i="17"/>
  <c r="K150" i="17"/>
  <c r="G423" i="62" a="1"/>
  <c r="G423" i="62"/>
  <c r="K149" i="17"/>
  <c r="K148" i="17"/>
  <c r="K147" i="17"/>
  <c r="K146" i="17"/>
  <c r="K145" i="17"/>
  <c r="K144" i="17"/>
  <c r="K143" i="17"/>
  <c r="K142" i="17"/>
  <c r="K141" i="17"/>
  <c r="L141" i="17"/>
  <c r="K140" i="17"/>
  <c r="K139" i="17"/>
  <c r="L139" i="17"/>
  <c r="K138" i="17"/>
  <c r="K137" i="17"/>
  <c r="G425" i="62" a="1"/>
  <c r="G425" i="62"/>
  <c r="K136" i="17"/>
  <c r="K135" i="17"/>
  <c r="K134" i="17"/>
  <c r="K133" i="17"/>
  <c r="K132" i="17"/>
  <c r="K131" i="17"/>
  <c r="L131" i="17"/>
  <c r="K130" i="17"/>
  <c r="K129" i="17"/>
  <c r="K128" i="17"/>
  <c r="L128" i="17"/>
  <c r="K127" i="17"/>
  <c r="K126" i="17"/>
  <c r="K114" i="17"/>
  <c r="L114" i="17"/>
  <c r="K113" i="17"/>
  <c r="L113" i="17"/>
  <c r="K112" i="17"/>
  <c r="L112" i="17"/>
  <c r="K111" i="17"/>
  <c r="L111" i="17"/>
  <c r="K110" i="17"/>
  <c r="L110" i="17"/>
  <c r="K109" i="17"/>
  <c r="L109" i="17"/>
  <c r="K108" i="17"/>
  <c r="L108" i="17"/>
  <c r="K107" i="17"/>
  <c r="L107" i="17"/>
  <c r="K106" i="17"/>
  <c r="L106" i="17"/>
  <c r="K105" i="17"/>
  <c r="L105" i="17"/>
  <c r="K104" i="17"/>
  <c r="L104" i="17"/>
  <c r="K103" i="17"/>
  <c r="L103" i="17"/>
  <c r="K102" i="17"/>
  <c r="L102" i="17"/>
  <c r="K101" i="17"/>
  <c r="L101" i="17"/>
  <c r="K100" i="17"/>
  <c r="L100" i="17"/>
  <c r="K99" i="17"/>
  <c r="L99" i="17"/>
  <c r="K98" i="17"/>
  <c r="L98" i="17"/>
  <c r="K97" i="17"/>
  <c r="L97" i="17"/>
  <c r="K96" i="17"/>
  <c r="L96" i="17"/>
  <c r="K95" i="17"/>
  <c r="L95" i="17"/>
  <c r="K94" i="17"/>
  <c r="L94" i="17"/>
  <c r="K93" i="17"/>
  <c r="L93" i="17"/>
  <c r="K92" i="17"/>
  <c r="L92" i="17"/>
  <c r="K91" i="17"/>
  <c r="L91" i="17"/>
  <c r="K90" i="17"/>
  <c r="L90" i="17"/>
  <c r="K89" i="17"/>
  <c r="L89" i="17"/>
  <c r="K88" i="17"/>
  <c r="L88" i="17"/>
  <c r="K87" i="17"/>
  <c r="L87" i="17"/>
  <c r="K86" i="17"/>
  <c r="L86" i="17"/>
  <c r="K85" i="17"/>
  <c r="L85" i="17"/>
  <c r="K84" i="17"/>
  <c r="L84" i="17"/>
  <c r="H385" i="62" a="1"/>
  <c r="H385" i="62"/>
  <c r="H375" i="62" a="1"/>
  <c r="H375" i="62"/>
  <c r="AJ89" i="17"/>
  <c r="AJ90" i="17"/>
  <c r="AJ91" i="17"/>
  <c r="AJ92" i="17"/>
  <c r="AJ93" i="17"/>
  <c r="AJ94" i="17"/>
  <c r="AJ95" i="17"/>
  <c r="AJ96" i="17"/>
  <c r="AJ97" i="17"/>
  <c r="AJ98" i="17"/>
  <c r="AJ99" i="17"/>
  <c r="AJ100" i="17"/>
  <c r="AJ101" i="17"/>
  <c r="AJ102" i="17"/>
  <c r="AJ103" i="17"/>
  <c r="AJ104" i="17"/>
  <c r="AJ105" i="17"/>
  <c r="AJ106" i="17"/>
  <c r="L74" i="17"/>
  <c r="M74" i="17"/>
  <c r="L73" i="17"/>
  <c r="M73" i="17"/>
  <c r="L72" i="17"/>
  <c r="M72" i="17"/>
  <c r="L71" i="17"/>
  <c r="M71" i="17"/>
  <c r="L70" i="17"/>
  <c r="M70" i="17"/>
  <c r="L69" i="17"/>
  <c r="M69" i="17"/>
  <c r="L68" i="17"/>
  <c r="M68" i="17"/>
  <c r="L67" i="17"/>
  <c r="M67" i="17"/>
  <c r="L66" i="17"/>
  <c r="M66" i="17"/>
  <c r="L65" i="17"/>
  <c r="M65" i="17"/>
  <c r="L64" i="17"/>
  <c r="M64" i="17"/>
  <c r="L63" i="17"/>
  <c r="M63" i="17"/>
  <c r="L62" i="17"/>
  <c r="M62" i="17"/>
  <c r="L61" i="17"/>
  <c r="M61" i="17"/>
  <c r="L60" i="17"/>
  <c r="M60" i="17"/>
  <c r="L59" i="17"/>
  <c r="M59" i="17"/>
  <c r="L58" i="17"/>
  <c r="M58" i="17"/>
  <c r="L57" i="17"/>
  <c r="M57" i="17"/>
  <c r="L56" i="17"/>
  <c r="M56" i="17"/>
  <c r="L55" i="17"/>
  <c r="M55" i="17"/>
  <c r="L54" i="17"/>
  <c r="M54" i="17"/>
  <c r="L53" i="17"/>
  <c r="M53" i="17"/>
  <c r="L52" i="17"/>
  <c r="M52" i="17"/>
  <c r="H369" i="62" a="1"/>
  <c r="H369" i="62"/>
  <c r="H365" i="62" a="1"/>
  <c r="H365" i="62"/>
  <c r="H361" i="62" a="1"/>
  <c r="H361" i="62"/>
  <c r="G330" i="62" a="1"/>
  <c r="G330" i="62"/>
  <c r="H316" i="62" a="1"/>
  <c r="H316" i="62"/>
  <c r="L17" i="17"/>
  <c r="M17" i="17"/>
  <c r="L18" i="17"/>
  <c r="M18" i="17"/>
  <c r="H299" i="62" a="1"/>
  <c r="H299" i="62"/>
  <c r="L19" i="17"/>
  <c r="M19" i="17"/>
  <c r="L21" i="17"/>
  <c r="M21" i="17"/>
  <c r="H315" i="62" a="1"/>
  <c r="H315" i="62"/>
  <c r="L22" i="17"/>
  <c r="M22" i="17"/>
  <c r="H317" i="62" a="1"/>
  <c r="H317" i="62"/>
  <c r="L23" i="17"/>
  <c r="M23" i="17"/>
  <c r="H310" i="62" a="1"/>
  <c r="H310" i="62"/>
  <c r="L24" i="17"/>
  <c r="M24" i="17"/>
  <c r="H319" i="62" a="1"/>
  <c r="H319" i="62"/>
  <c r="L25" i="17"/>
  <c r="M25" i="17"/>
  <c r="H320" i="62" a="1"/>
  <c r="H320" i="62"/>
  <c r="L26" i="17"/>
  <c r="M26" i="17"/>
  <c r="H321" i="62" a="1"/>
  <c r="H321" i="62"/>
  <c r="L27" i="17"/>
  <c r="M27" i="17"/>
  <c r="H322" i="62" a="1"/>
  <c r="H322" i="62"/>
  <c r="L28" i="17"/>
  <c r="M28" i="17"/>
  <c r="L29" i="17"/>
  <c r="M29" i="17"/>
  <c r="L30" i="17"/>
  <c r="M30" i="17"/>
  <c r="L31" i="17"/>
  <c r="M31" i="17"/>
  <c r="L32" i="17"/>
  <c r="M32" i="17"/>
  <c r="L33" i="17"/>
  <c r="M33" i="17"/>
  <c r="L34" i="17"/>
  <c r="M34" i="17"/>
  <c r="L35" i="17"/>
  <c r="M35" i="17"/>
  <c r="L36" i="17"/>
  <c r="M36" i="17"/>
  <c r="L37" i="17"/>
  <c r="M37" i="17"/>
  <c r="L38" i="17"/>
  <c r="M38" i="17"/>
  <c r="L39" i="17"/>
  <c r="M39" i="17"/>
  <c r="L40" i="17"/>
  <c r="M40" i="17"/>
  <c r="S20" i="34"/>
  <c r="T20" i="34"/>
  <c r="S21" i="34"/>
  <c r="T21" i="34"/>
  <c r="S22" i="34"/>
  <c r="T22" i="34"/>
  <c r="S23" i="34"/>
  <c r="T23" i="34"/>
  <c r="S24" i="34"/>
  <c r="T24" i="34"/>
  <c r="S25" i="34"/>
  <c r="T25" i="34"/>
  <c r="S26" i="34"/>
  <c r="T26" i="34"/>
  <c r="AG20" i="34"/>
  <c r="AH20" i="34"/>
  <c r="AG21" i="34"/>
  <c r="AH21" i="34"/>
  <c r="AG22" i="34"/>
  <c r="AH22" i="34"/>
  <c r="AG23" i="34"/>
  <c r="AH23" i="34"/>
  <c r="AG24" i="34"/>
  <c r="AH24" i="34"/>
  <c r="AG25" i="34"/>
  <c r="AH25" i="34"/>
  <c r="AG26" i="34"/>
  <c r="AH26" i="34"/>
  <c r="S161" i="23"/>
  <c r="T161" i="23"/>
  <c r="Z161" i="23"/>
  <c r="AG161" i="23"/>
  <c r="AH161" i="23"/>
  <c r="S152" i="23"/>
  <c r="T152" i="23"/>
  <c r="S153" i="23"/>
  <c r="T153" i="23"/>
  <c r="S154" i="23"/>
  <c r="T154" i="23"/>
  <c r="S155" i="23"/>
  <c r="T155" i="23"/>
  <c r="S156" i="23"/>
  <c r="T156" i="23"/>
  <c r="S157" i="23"/>
  <c r="T157" i="23"/>
  <c r="S158" i="23"/>
  <c r="S159" i="23"/>
  <c r="T159" i="23"/>
  <c r="S160" i="23"/>
  <c r="T160" i="23"/>
  <c r="Z152" i="23"/>
  <c r="AA152" i="23"/>
  <c r="Z153" i="23"/>
  <c r="AA153" i="23"/>
  <c r="Z154" i="23"/>
  <c r="AA154" i="23"/>
  <c r="Z155" i="23"/>
  <c r="AA155" i="23"/>
  <c r="Z156" i="23"/>
  <c r="AA156" i="23"/>
  <c r="Z157" i="23"/>
  <c r="AA157" i="23"/>
  <c r="Z158" i="23"/>
  <c r="AA158" i="23"/>
  <c r="Z159" i="23"/>
  <c r="AA159" i="23"/>
  <c r="Z160" i="23"/>
  <c r="AA160" i="23"/>
  <c r="AG152" i="23"/>
  <c r="AH152" i="23"/>
  <c r="AG153" i="23"/>
  <c r="AH153" i="23"/>
  <c r="AG154" i="23"/>
  <c r="AH154" i="23"/>
  <c r="AG155" i="23"/>
  <c r="AH155" i="23"/>
  <c r="AG156" i="23"/>
  <c r="AH156" i="23"/>
  <c r="AG157" i="23"/>
  <c r="AH157" i="23"/>
  <c r="AG158" i="23"/>
  <c r="AH158" i="23"/>
  <c r="AG159" i="23"/>
  <c r="AH159" i="23"/>
  <c r="AG160" i="23"/>
  <c r="AH160" i="23"/>
  <c r="S144" i="23"/>
  <c r="T144" i="23"/>
  <c r="S145" i="23"/>
  <c r="T145" i="23"/>
  <c r="S146" i="23"/>
  <c r="T146" i="23"/>
  <c r="S147" i="23"/>
  <c r="T147" i="23"/>
  <c r="S148" i="23"/>
  <c r="T148" i="23"/>
  <c r="S149" i="23"/>
  <c r="T149" i="23"/>
  <c r="S150" i="23"/>
  <c r="T150" i="23"/>
  <c r="S151" i="23"/>
  <c r="T151" i="23"/>
  <c r="Z144" i="23"/>
  <c r="AA144" i="23"/>
  <c r="Z145" i="23"/>
  <c r="Z146" i="23"/>
  <c r="AA146" i="23"/>
  <c r="Z147" i="23"/>
  <c r="AA147" i="23"/>
  <c r="Z148" i="23"/>
  <c r="Z149" i="23"/>
  <c r="AA149" i="23"/>
  <c r="Z150" i="23"/>
  <c r="AA150" i="23"/>
  <c r="Z151" i="23"/>
  <c r="AA151" i="23"/>
  <c r="AG144" i="23"/>
  <c r="AH144" i="23"/>
  <c r="AG145" i="23"/>
  <c r="AH145" i="23"/>
  <c r="AG146" i="23"/>
  <c r="AH146" i="23"/>
  <c r="AG147" i="23"/>
  <c r="AH147" i="23"/>
  <c r="AG148" i="23"/>
  <c r="AH148" i="23"/>
  <c r="AG149" i="23"/>
  <c r="AH149" i="23"/>
  <c r="AG150" i="23"/>
  <c r="AH150" i="23"/>
  <c r="AG151" i="23"/>
  <c r="AH151" i="23"/>
  <c r="S112" i="23"/>
  <c r="T112" i="23"/>
  <c r="Z112" i="23"/>
  <c r="AA112" i="23"/>
  <c r="AG112" i="23"/>
  <c r="AH112" i="23"/>
  <c r="S111" i="23"/>
  <c r="T111" i="23"/>
  <c r="Z111" i="23"/>
  <c r="AA111" i="23"/>
  <c r="AG111" i="23"/>
  <c r="AH111" i="23"/>
  <c r="S110" i="23"/>
  <c r="T110" i="23"/>
  <c r="Z110" i="23"/>
  <c r="AA110" i="23"/>
  <c r="AG110" i="23"/>
  <c r="AH110" i="23"/>
  <c r="S109" i="23"/>
  <c r="T109" i="23"/>
  <c r="Z109" i="23"/>
  <c r="AA109" i="23"/>
  <c r="AG109" i="23"/>
  <c r="AH109" i="23"/>
  <c r="S108" i="23"/>
  <c r="T108" i="23"/>
  <c r="Z108" i="23"/>
  <c r="AA108" i="23"/>
  <c r="AG108" i="23"/>
  <c r="AH108" i="23"/>
  <c r="S107" i="23"/>
  <c r="T107" i="23"/>
  <c r="Z107" i="23"/>
  <c r="AA107" i="23"/>
  <c r="AG107" i="23"/>
  <c r="AH107" i="23"/>
  <c r="S106" i="23"/>
  <c r="T106" i="23"/>
  <c r="Z106" i="23"/>
  <c r="AA106" i="23"/>
  <c r="AG106" i="23"/>
  <c r="AH106" i="23"/>
  <c r="S105" i="23"/>
  <c r="Z105" i="23"/>
  <c r="AA105" i="23"/>
  <c r="AG105" i="23"/>
  <c r="AH105" i="23"/>
  <c r="S104" i="23"/>
  <c r="T104" i="23"/>
  <c r="Z104" i="23"/>
  <c r="AA104" i="23"/>
  <c r="AG104" i="23"/>
  <c r="AH104" i="23"/>
  <c r="S103" i="23"/>
  <c r="T103" i="23"/>
  <c r="Z103" i="23"/>
  <c r="AA103" i="23"/>
  <c r="AG103" i="23"/>
  <c r="AH103" i="23"/>
  <c r="S102" i="23"/>
  <c r="T102" i="23"/>
  <c r="Z102" i="23"/>
  <c r="AA102" i="23"/>
  <c r="AG102" i="23"/>
  <c r="AH102" i="23"/>
  <c r="S101" i="23"/>
  <c r="T101" i="23"/>
  <c r="Z101" i="23"/>
  <c r="AA101" i="23"/>
  <c r="AG101" i="23"/>
  <c r="AH101" i="23"/>
  <c r="S100" i="23"/>
  <c r="T100" i="23"/>
  <c r="Z100" i="23"/>
  <c r="AA100" i="23"/>
  <c r="AG100" i="23"/>
  <c r="AH100" i="23"/>
  <c r="S99" i="23"/>
  <c r="T99" i="23"/>
  <c r="Z99" i="23"/>
  <c r="AA99" i="23"/>
  <c r="AG99" i="23"/>
  <c r="AH99" i="23"/>
  <c r="S98" i="23"/>
  <c r="T98" i="23"/>
  <c r="Z98" i="23"/>
  <c r="AA98" i="23"/>
  <c r="AG98" i="23"/>
  <c r="AH98" i="23"/>
  <c r="S97" i="23"/>
  <c r="T97" i="23"/>
  <c r="Z97" i="23"/>
  <c r="AA97" i="23"/>
  <c r="AG97" i="23"/>
  <c r="AH97" i="23"/>
  <c r="S96" i="23"/>
  <c r="T96" i="23"/>
  <c r="Z96" i="23"/>
  <c r="AA96" i="23"/>
  <c r="AG96" i="23"/>
  <c r="AH96" i="23"/>
  <c r="S95" i="23"/>
  <c r="T95" i="23"/>
  <c r="Z95" i="23"/>
  <c r="AA95" i="23"/>
  <c r="AG95" i="23"/>
  <c r="AH95" i="23"/>
  <c r="S47" i="23"/>
  <c r="T47" i="23"/>
  <c r="S48" i="23"/>
  <c r="T48" i="23"/>
  <c r="S49" i="23"/>
  <c r="T49" i="23"/>
  <c r="S50" i="23"/>
  <c r="T50" i="23"/>
  <c r="S51" i="23"/>
  <c r="T51" i="23"/>
  <c r="S52" i="23"/>
  <c r="T52" i="23"/>
  <c r="Z47" i="23"/>
  <c r="AA47" i="23"/>
  <c r="Z48" i="23"/>
  <c r="AA48" i="23"/>
  <c r="Z49" i="23"/>
  <c r="Z50" i="23"/>
  <c r="AA50" i="23"/>
  <c r="Z51" i="23"/>
  <c r="AA51" i="23"/>
  <c r="Z52" i="23"/>
  <c r="AA52" i="23"/>
  <c r="AG47" i="23"/>
  <c r="AH47" i="23"/>
  <c r="AG48" i="23"/>
  <c r="AH48" i="23"/>
  <c r="AG49" i="23"/>
  <c r="AH49" i="23"/>
  <c r="AG50" i="23"/>
  <c r="AH50" i="23"/>
  <c r="AG51" i="23"/>
  <c r="AH51" i="23"/>
  <c r="AG52" i="23"/>
  <c r="AH52" i="23"/>
  <c r="S17" i="23"/>
  <c r="T17" i="23"/>
  <c r="S18" i="23"/>
  <c r="T18" i="23"/>
  <c r="S19" i="23"/>
  <c r="S20" i="23"/>
  <c r="T20" i="23"/>
  <c r="S21" i="23"/>
  <c r="T21" i="23"/>
  <c r="S22" i="23"/>
  <c r="T22" i="23"/>
  <c r="S23" i="23"/>
  <c r="T23" i="23"/>
  <c r="S24" i="23"/>
  <c r="T24" i="23"/>
  <c r="S25" i="23"/>
  <c r="T25" i="23"/>
  <c r="S44" i="23"/>
  <c r="T44" i="23"/>
  <c r="Z17" i="23"/>
  <c r="AA17" i="23"/>
  <c r="Z18" i="23"/>
  <c r="AA18" i="23"/>
  <c r="Z19" i="23"/>
  <c r="AA19" i="23"/>
  <c r="Z20" i="23"/>
  <c r="AA20" i="23"/>
  <c r="Z21" i="23"/>
  <c r="Z22" i="23"/>
  <c r="AA22" i="23"/>
  <c r="Z23" i="23"/>
  <c r="AA23" i="23"/>
  <c r="Z24" i="23"/>
  <c r="AA24" i="23"/>
  <c r="Z25" i="23"/>
  <c r="AA25" i="23"/>
  <c r="Z44" i="23"/>
  <c r="AA44" i="23"/>
  <c r="AG17" i="23"/>
  <c r="AH17" i="23"/>
  <c r="AG18" i="23"/>
  <c r="AH18" i="23"/>
  <c r="AG19" i="23"/>
  <c r="AH19" i="23"/>
  <c r="AG20" i="23"/>
  <c r="AH20" i="23"/>
  <c r="AG21" i="23"/>
  <c r="AH21" i="23"/>
  <c r="AG22" i="23"/>
  <c r="AH22" i="23"/>
  <c r="AG23" i="23"/>
  <c r="AH23" i="23"/>
  <c r="AG24" i="23"/>
  <c r="AH24" i="23"/>
  <c r="AG25" i="23"/>
  <c r="AH25" i="23"/>
  <c r="AG44" i="23"/>
  <c r="AH44" i="23"/>
  <c r="C5" i="35"/>
  <c r="C3" i="35"/>
  <c r="S86" i="34"/>
  <c r="S87" i="34"/>
  <c r="S88" i="34"/>
  <c r="S89" i="34"/>
  <c r="Z89" i="34"/>
  <c r="AA89" i="34"/>
  <c r="S90" i="34"/>
  <c r="S91" i="34"/>
  <c r="S92" i="34"/>
  <c r="S93" i="34"/>
  <c r="S94" i="34"/>
  <c r="S95" i="34"/>
  <c r="S96" i="34"/>
  <c r="S97" i="34"/>
  <c r="Z97" i="34"/>
  <c r="AA97" i="34"/>
  <c r="S98" i="34"/>
  <c r="S99" i="34"/>
  <c r="S100" i="34"/>
  <c r="S101" i="34"/>
  <c r="Z101" i="34"/>
  <c r="AA101" i="34"/>
  <c r="S102" i="34"/>
  <c r="S103" i="34"/>
  <c r="S104" i="34"/>
  <c r="S105" i="34"/>
  <c r="Z105" i="34"/>
  <c r="AA105" i="34"/>
  <c r="S106" i="34"/>
  <c r="S107" i="34"/>
  <c r="S108" i="34"/>
  <c r="S109" i="34"/>
  <c r="Z109" i="34"/>
  <c r="AA109" i="34"/>
  <c r="S110" i="34"/>
  <c r="S111" i="34"/>
  <c r="S112" i="34"/>
  <c r="S113" i="34"/>
  <c r="Z113" i="34"/>
  <c r="AA113" i="34"/>
  <c r="S114" i="34"/>
  <c r="S115" i="34"/>
  <c r="S116" i="34"/>
  <c r="S117" i="34"/>
  <c r="Z117" i="34"/>
  <c r="AA117" i="34"/>
  <c r="S118" i="34"/>
  <c r="S119" i="34"/>
  <c r="S120" i="34"/>
  <c r="S121" i="34"/>
  <c r="Z121" i="34"/>
  <c r="AA121" i="34"/>
  <c r="S122" i="34"/>
  <c r="Z86" i="34"/>
  <c r="AA86" i="34"/>
  <c r="Z87" i="34"/>
  <c r="AA87" i="34"/>
  <c r="Z88" i="34"/>
  <c r="AA88" i="34"/>
  <c r="Z90" i="34"/>
  <c r="AA90" i="34"/>
  <c r="Z91" i="34"/>
  <c r="AA91" i="34"/>
  <c r="Z92" i="34"/>
  <c r="AA92" i="34"/>
  <c r="Z93" i="34"/>
  <c r="AA93" i="34"/>
  <c r="Z94" i="34"/>
  <c r="AA94" i="34"/>
  <c r="Z95" i="34"/>
  <c r="AA95" i="34"/>
  <c r="Z96" i="34"/>
  <c r="AA96" i="34"/>
  <c r="Z98" i="34"/>
  <c r="AA98" i="34"/>
  <c r="Z99" i="34"/>
  <c r="AA99" i="34"/>
  <c r="Z100" i="34"/>
  <c r="AA100" i="34"/>
  <c r="Z102" i="34"/>
  <c r="AA102" i="34"/>
  <c r="Z103" i="34"/>
  <c r="AA103" i="34"/>
  <c r="Z104" i="34"/>
  <c r="AA104" i="34"/>
  <c r="Z106" i="34"/>
  <c r="AA106" i="34"/>
  <c r="Z107" i="34"/>
  <c r="AA107" i="34"/>
  <c r="Z108" i="34"/>
  <c r="AA108" i="34"/>
  <c r="Z110" i="34"/>
  <c r="AA110" i="34"/>
  <c r="Z111" i="34"/>
  <c r="AA111" i="34"/>
  <c r="Z112" i="34"/>
  <c r="AA112" i="34"/>
  <c r="Z114" i="34"/>
  <c r="AA114" i="34"/>
  <c r="Z115" i="34"/>
  <c r="AA115" i="34"/>
  <c r="Z116" i="34"/>
  <c r="AA116" i="34"/>
  <c r="Z118" i="34"/>
  <c r="AA118" i="34"/>
  <c r="Z119" i="34"/>
  <c r="AA119" i="34"/>
  <c r="Z120" i="34"/>
  <c r="AA120" i="34"/>
  <c r="Z122" i="34"/>
  <c r="AA122" i="34"/>
  <c r="S42" i="34"/>
  <c r="Z42" i="34"/>
  <c r="AA42" i="34"/>
  <c r="AG42" i="34"/>
  <c r="AH42" i="34"/>
  <c r="AK42" i="34"/>
  <c r="S43" i="34"/>
  <c r="T43" i="34"/>
  <c r="Z43" i="34"/>
  <c r="AA43" i="34"/>
  <c r="AG43" i="34"/>
  <c r="AH43" i="34"/>
  <c r="AK43" i="34"/>
  <c r="S55" i="34"/>
  <c r="T55" i="34"/>
  <c r="Z55" i="34"/>
  <c r="AA55" i="34"/>
  <c r="AG55" i="34"/>
  <c r="AH55" i="34"/>
  <c r="AK55" i="34"/>
  <c r="AK56" i="34"/>
  <c r="Z85" i="34"/>
  <c r="AA85" i="34"/>
  <c r="S85" i="34"/>
  <c r="Z84" i="34"/>
  <c r="AA84" i="34"/>
  <c r="S84" i="34"/>
  <c r="Z83" i="34"/>
  <c r="S83" i="34"/>
  <c r="Z82" i="34"/>
  <c r="AA82" i="34"/>
  <c r="S82" i="34"/>
  <c r="Z81" i="34"/>
  <c r="AA81" i="34"/>
  <c r="S81" i="34"/>
  <c r="Z80" i="34"/>
  <c r="AA80" i="34"/>
  <c r="S80" i="34"/>
  <c r="Z79" i="34"/>
  <c r="AA79" i="34"/>
  <c r="S79" i="34"/>
  <c r="Z78" i="34"/>
  <c r="S78" i="34"/>
  <c r="Z77" i="34"/>
  <c r="AA77" i="34"/>
  <c r="S77" i="34"/>
  <c r="Z76" i="34"/>
  <c r="AA76" i="34"/>
  <c r="S76" i="34"/>
  <c r="Z75" i="34"/>
  <c r="AA75" i="34"/>
  <c r="S75" i="34"/>
  <c r="Z74" i="34"/>
  <c r="AA74" i="34"/>
  <c r="S74" i="34"/>
  <c r="Z73" i="34"/>
  <c r="AA73" i="34"/>
  <c r="S73" i="34"/>
  <c r="Z72" i="34"/>
  <c r="AA72" i="34"/>
  <c r="S72" i="34"/>
  <c r="Z71" i="34"/>
  <c r="AA71" i="34"/>
  <c r="S71" i="34"/>
  <c r="Z70" i="34"/>
  <c r="AA70" i="34"/>
  <c r="S70" i="34"/>
  <c r="Z69" i="34"/>
  <c r="AA69" i="34"/>
  <c r="S69" i="34"/>
  <c r="Z68" i="34"/>
  <c r="AA68" i="34"/>
  <c r="S68" i="34"/>
  <c r="S67" i="34"/>
  <c r="Z67" i="34"/>
  <c r="AA67" i="34"/>
  <c r="Z66" i="34"/>
  <c r="AA66" i="34"/>
  <c r="S66" i="34"/>
  <c r="Z65" i="34"/>
  <c r="AA65" i="34"/>
  <c r="S65" i="34"/>
  <c r="AG64" i="34"/>
  <c r="AH64" i="34"/>
  <c r="Z64" i="34"/>
  <c r="S64" i="34"/>
  <c r="T64" i="34"/>
  <c r="AG56" i="34"/>
  <c r="AH56" i="34"/>
  <c r="Z56" i="34"/>
  <c r="AA56" i="34"/>
  <c r="S56" i="34"/>
  <c r="T56" i="34"/>
  <c r="AG33" i="34"/>
  <c r="AH33" i="34"/>
  <c r="S33" i="34"/>
  <c r="T33" i="34"/>
  <c r="AG32" i="34"/>
  <c r="AH32" i="34"/>
  <c r="S32" i="34"/>
  <c r="AG31" i="34"/>
  <c r="AH31" i="34"/>
  <c r="S31" i="34"/>
  <c r="T31" i="34"/>
  <c r="AG30" i="34"/>
  <c r="AH30" i="34"/>
  <c r="S30" i="34"/>
  <c r="T30" i="34"/>
  <c r="AG29" i="34"/>
  <c r="AH29" i="34"/>
  <c r="S29" i="34"/>
  <c r="AG28" i="34"/>
  <c r="AH28" i="34"/>
  <c r="S28" i="34"/>
  <c r="T28" i="34"/>
  <c r="AG27" i="34"/>
  <c r="AH27" i="34"/>
  <c r="S27" i="34"/>
  <c r="T27" i="34"/>
  <c r="AG19" i="34"/>
  <c r="AH19" i="34"/>
  <c r="S19" i="34"/>
  <c r="T19" i="34"/>
  <c r="AG18" i="34"/>
  <c r="AH18" i="34"/>
  <c r="S18" i="34"/>
  <c r="T18" i="34"/>
  <c r="AG17" i="34"/>
  <c r="AH17" i="34"/>
  <c r="S17" i="34"/>
  <c r="AG16" i="34"/>
  <c r="AH16" i="34"/>
  <c r="S16" i="34"/>
  <c r="T16" i="34"/>
  <c r="AG15" i="34"/>
  <c r="AH15" i="34"/>
  <c r="S15" i="34"/>
  <c r="AG14" i="34"/>
  <c r="AH14" i="34"/>
  <c r="C5" i="34"/>
  <c r="C3" i="34"/>
  <c r="S115" i="23"/>
  <c r="T115" i="23"/>
  <c r="S116" i="23"/>
  <c r="T116" i="23"/>
  <c r="S117" i="23"/>
  <c r="T117" i="23"/>
  <c r="S118" i="23"/>
  <c r="T118" i="23"/>
  <c r="S119" i="23"/>
  <c r="T119" i="23"/>
  <c r="S120" i="23"/>
  <c r="T120" i="23"/>
  <c r="S121" i="23"/>
  <c r="T121" i="23"/>
  <c r="S122" i="23"/>
  <c r="T122" i="23"/>
  <c r="Z115" i="23"/>
  <c r="AA115" i="23"/>
  <c r="Z116" i="23"/>
  <c r="AA116" i="23"/>
  <c r="Z117" i="23"/>
  <c r="AA117" i="23"/>
  <c r="Z118" i="23"/>
  <c r="AA118" i="23"/>
  <c r="Z119" i="23"/>
  <c r="AA119" i="23"/>
  <c r="Z120" i="23"/>
  <c r="AA120" i="23"/>
  <c r="Z121" i="23"/>
  <c r="AA121" i="23"/>
  <c r="Z122" i="23"/>
  <c r="AA122" i="23"/>
  <c r="AG115" i="23"/>
  <c r="AH115" i="23"/>
  <c r="AG116" i="23"/>
  <c r="AH116" i="23"/>
  <c r="AG117" i="23"/>
  <c r="AH117" i="23"/>
  <c r="AG118" i="23"/>
  <c r="AH118" i="23"/>
  <c r="AG119" i="23"/>
  <c r="AH119" i="23"/>
  <c r="AG120" i="23"/>
  <c r="AH120" i="23"/>
  <c r="AG121" i="23"/>
  <c r="AH121" i="23"/>
  <c r="AG122" i="23"/>
  <c r="AH122" i="23"/>
  <c r="S72" i="23"/>
  <c r="T72" i="23"/>
  <c r="S81" i="23"/>
  <c r="T81" i="23"/>
  <c r="S82" i="23"/>
  <c r="T82" i="23"/>
  <c r="Z72" i="23"/>
  <c r="AA72" i="23"/>
  <c r="Z81" i="23"/>
  <c r="AA81" i="23"/>
  <c r="Z82" i="23"/>
  <c r="AA82" i="23"/>
  <c r="AG72" i="23"/>
  <c r="AH72" i="23"/>
  <c r="AG81" i="23"/>
  <c r="AH81" i="23"/>
  <c r="AG82" i="23"/>
  <c r="AH82" i="23"/>
  <c r="S46" i="23"/>
  <c r="T46" i="23"/>
  <c r="S53" i="23"/>
  <c r="T53" i="23"/>
  <c r="S54" i="23"/>
  <c r="S55" i="23"/>
  <c r="T55" i="23"/>
  <c r="Z46" i="23"/>
  <c r="AA46" i="23"/>
  <c r="Z53" i="23"/>
  <c r="AA53" i="23"/>
  <c r="Z54" i="23"/>
  <c r="AA54" i="23"/>
  <c r="Z55" i="23"/>
  <c r="AA55" i="23"/>
  <c r="AG46" i="23"/>
  <c r="AH46" i="23"/>
  <c r="AG53" i="23"/>
  <c r="AH53" i="23"/>
  <c r="AG54" i="23"/>
  <c r="AH54" i="23"/>
  <c r="AG55" i="23"/>
  <c r="AH55" i="23"/>
  <c r="AG175" i="23"/>
  <c r="AH175" i="23"/>
  <c r="Z175" i="23"/>
  <c r="AA175" i="23"/>
  <c r="S175" i="23"/>
  <c r="T175" i="23"/>
  <c r="AG174" i="23"/>
  <c r="AH174" i="23"/>
  <c r="Z174" i="23"/>
  <c r="AA174" i="23"/>
  <c r="S174" i="23"/>
  <c r="T174" i="23"/>
  <c r="AG173" i="23"/>
  <c r="AH173" i="23"/>
  <c r="Z173" i="23"/>
  <c r="AA173" i="23"/>
  <c r="S173" i="23"/>
  <c r="T173" i="23"/>
  <c r="AG172" i="23"/>
  <c r="AH172" i="23"/>
  <c r="Z172" i="23"/>
  <c r="AA172" i="23"/>
  <c r="S172" i="23"/>
  <c r="T172" i="23"/>
  <c r="AG171" i="23"/>
  <c r="AH171" i="23"/>
  <c r="Z171" i="23"/>
  <c r="AA171" i="23"/>
  <c r="S171" i="23"/>
  <c r="T171" i="23"/>
  <c r="AG170" i="23"/>
  <c r="AH170" i="23"/>
  <c r="Z170" i="23"/>
  <c r="AA170" i="23"/>
  <c r="S170" i="23"/>
  <c r="T170" i="23"/>
  <c r="AG169" i="23"/>
  <c r="AH169" i="23"/>
  <c r="Z169" i="23"/>
  <c r="AA169" i="23"/>
  <c r="S169" i="23"/>
  <c r="T169" i="23"/>
  <c r="AG168" i="23"/>
  <c r="AH168" i="23"/>
  <c r="Z168" i="23"/>
  <c r="AA168" i="23"/>
  <c r="S168" i="23"/>
  <c r="T168" i="23"/>
  <c r="AG167" i="23"/>
  <c r="AH167" i="23"/>
  <c r="Z167" i="23"/>
  <c r="AA167" i="23"/>
  <c r="S167" i="23"/>
  <c r="T167" i="23"/>
  <c r="AG166" i="23"/>
  <c r="AH166" i="23"/>
  <c r="Z166" i="23"/>
  <c r="AA166" i="23"/>
  <c r="S166" i="23"/>
  <c r="AG165" i="23"/>
  <c r="AH165" i="23"/>
  <c r="Z165" i="23"/>
  <c r="AA165" i="23"/>
  <c r="S165" i="23"/>
  <c r="T165" i="23"/>
  <c r="AG164" i="23"/>
  <c r="AH164" i="23"/>
  <c r="Z164" i="23"/>
  <c r="AA164" i="23"/>
  <c r="S164" i="23"/>
  <c r="T164" i="23"/>
  <c r="AG163" i="23"/>
  <c r="AH163" i="23"/>
  <c r="Z163" i="23"/>
  <c r="AA163" i="23"/>
  <c r="S163" i="23"/>
  <c r="T163" i="23"/>
  <c r="AG162" i="23"/>
  <c r="AH162" i="23"/>
  <c r="Z162" i="23"/>
  <c r="AA162" i="23"/>
  <c r="S162" i="23"/>
  <c r="T162" i="23"/>
  <c r="AG60" i="24"/>
  <c r="AH60" i="24"/>
  <c r="Z60" i="24"/>
  <c r="AA60" i="24"/>
  <c r="S60" i="24"/>
  <c r="T60" i="24"/>
  <c r="AG59" i="24"/>
  <c r="AH59" i="24"/>
  <c r="Z59" i="24"/>
  <c r="AA59" i="24"/>
  <c r="S59" i="24"/>
  <c r="T59" i="24"/>
  <c r="AG58" i="24"/>
  <c r="AH58" i="24"/>
  <c r="Z58" i="24"/>
  <c r="AA58" i="24"/>
  <c r="S58" i="24"/>
  <c r="T58" i="24"/>
  <c r="AG57" i="24"/>
  <c r="AH57" i="24"/>
  <c r="Z57" i="24"/>
  <c r="AA57" i="24"/>
  <c r="S57" i="24"/>
  <c r="T57" i="24"/>
  <c r="AG56" i="24"/>
  <c r="AH56" i="24"/>
  <c r="Z56" i="24"/>
  <c r="AA56" i="24"/>
  <c r="S56" i="24"/>
  <c r="T56" i="24"/>
  <c r="AG55" i="24"/>
  <c r="AH55" i="24"/>
  <c r="Z55" i="24"/>
  <c r="AA55" i="24"/>
  <c r="S55" i="24"/>
  <c r="T55" i="24"/>
  <c r="AG54" i="24"/>
  <c r="AH54" i="24"/>
  <c r="Z54" i="24"/>
  <c r="AA54" i="24"/>
  <c r="S54" i="24"/>
  <c r="T54" i="24"/>
  <c r="AG53" i="24"/>
  <c r="AH53" i="24"/>
  <c r="Z53" i="24"/>
  <c r="AA53" i="24"/>
  <c r="S53" i="24"/>
  <c r="T53" i="24"/>
  <c r="AG52" i="24"/>
  <c r="AH52" i="24"/>
  <c r="Z52" i="24"/>
  <c r="AA52" i="24"/>
  <c r="S52" i="24"/>
  <c r="AG51" i="24"/>
  <c r="AH51" i="24"/>
  <c r="Z51" i="24"/>
  <c r="AA51" i="24"/>
  <c r="S51" i="24"/>
  <c r="T51" i="24"/>
  <c r="AG50" i="24"/>
  <c r="AH50" i="24"/>
  <c r="Z50" i="24"/>
  <c r="AA50" i="24"/>
  <c r="S50" i="24"/>
  <c r="T50" i="24"/>
  <c r="AG49" i="24"/>
  <c r="AH49" i="24"/>
  <c r="Z49" i="24"/>
  <c r="AA49" i="24"/>
  <c r="S49" i="24"/>
  <c r="T49" i="24"/>
  <c r="AG48" i="24"/>
  <c r="AH48" i="24"/>
  <c r="S48" i="24"/>
  <c r="T48" i="24"/>
  <c r="Z48" i="24"/>
  <c r="AA48" i="24"/>
  <c r="AG47" i="24"/>
  <c r="AH47" i="24"/>
  <c r="S47" i="24"/>
  <c r="T47" i="24"/>
  <c r="Z47" i="24"/>
  <c r="AA47" i="24"/>
  <c r="AG46" i="24"/>
  <c r="AH46" i="24"/>
  <c r="Z46" i="24"/>
  <c r="AA46" i="24"/>
  <c r="S46" i="24"/>
  <c r="T46" i="24"/>
  <c r="AG45" i="24"/>
  <c r="AH45" i="24"/>
  <c r="Z45" i="24"/>
  <c r="AA45" i="24"/>
  <c r="S45" i="24"/>
  <c r="T45" i="24"/>
  <c r="AG44" i="24"/>
  <c r="AH44" i="24"/>
  <c r="Z44" i="24"/>
  <c r="AA44" i="24"/>
  <c r="S44" i="24"/>
  <c r="AG43" i="24"/>
  <c r="AH43" i="24"/>
  <c r="Z43" i="24"/>
  <c r="AA43" i="24"/>
  <c r="S43" i="24"/>
  <c r="T43" i="24"/>
  <c r="AG42" i="24"/>
  <c r="AH42" i="24"/>
  <c r="Z42" i="24"/>
  <c r="AA42" i="24"/>
  <c r="S42" i="24"/>
  <c r="AG41" i="24"/>
  <c r="AH41" i="24"/>
  <c r="Z41" i="24"/>
  <c r="AA41" i="24"/>
  <c r="S41" i="24"/>
  <c r="T41" i="24"/>
  <c r="AG40" i="24"/>
  <c r="AH40" i="24"/>
  <c r="Z40" i="24"/>
  <c r="AA40" i="24"/>
  <c r="S40" i="24"/>
  <c r="T40" i="24"/>
  <c r="AG39" i="24"/>
  <c r="AH39" i="24"/>
  <c r="Z39" i="24"/>
  <c r="AA39" i="24"/>
  <c r="S39" i="24"/>
  <c r="T39" i="24"/>
  <c r="AG38" i="24"/>
  <c r="AH38" i="24"/>
  <c r="Z38" i="24"/>
  <c r="AA38" i="24"/>
  <c r="S38" i="24"/>
  <c r="T38" i="24"/>
  <c r="AG37" i="24"/>
  <c r="AH37" i="24"/>
  <c r="Z37" i="24"/>
  <c r="AA37" i="24"/>
  <c r="S37" i="24"/>
  <c r="T37" i="24"/>
  <c r="AG36" i="24"/>
  <c r="AH36" i="24"/>
  <c r="Z36" i="24"/>
  <c r="AA36" i="24"/>
  <c r="S36" i="24"/>
  <c r="T36" i="24"/>
  <c r="AG35" i="24"/>
  <c r="AH35" i="24"/>
  <c r="Z35" i="24"/>
  <c r="AA35" i="24"/>
  <c r="S35" i="24"/>
  <c r="T35" i="24"/>
  <c r="AG34" i="24"/>
  <c r="AH34" i="24"/>
  <c r="Z34" i="24"/>
  <c r="AA34" i="24"/>
  <c r="S34" i="24"/>
  <c r="T34" i="24"/>
  <c r="AG33" i="24"/>
  <c r="AH33" i="24"/>
  <c r="Z33" i="24"/>
  <c r="AA33" i="24"/>
  <c r="S33" i="24"/>
  <c r="T33" i="24"/>
  <c r="AG32" i="24"/>
  <c r="AH32" i="24"/>
  <c r="Z32" i="24"/>
  <c r="AA32" i="24"/>
  <c r="S32" i="24"/>
  <c r="T32" i="24"/>
  <c r="AG31" i="24"/>
  <c r="AH31" i="24"/>
  <c r="Z31" i="24"/>
  <c r="AA31" i="24"/>
  <c r="S31" i="24"/>
  <c r="T31" i="24"/>
  <c r="AG30" i="24"/>
  <c r="AH30" i="24"/>
  <c r="Z30" i="24"/>
  <c r="AA30" i="24"/>
  <c r="S30" i="24"/>
  <c r="T30" i="24"/>
  <c r="AG29" i="24"/>
  <c r="AH29" i="24"/>
  <c r="Z29" i="24"/>
  <c r="AA29" i="24"/>
  <c r="S29" i="24"/>
  <c r="T29" i="24"/>
  <c r="AG28" i="24"/>
  <c r="AH28" i="24"/>
  <c r="Z28" i="24"/>
  <c r="AA28" i="24"/>
  <c r="S28" i="24"/>
  <c r="T28" i="24"/>
  <c r="AG27" i="24"/>
  <c r="AH27" i="24"/>
  <c r="Z27" i="24"/>
  <c r="AA27" i="24"/>
  <c r="AG26" i="24"/>
  <c r="AH26" i="24"/>
  <c r="Z26" i="24"/>
  <c r="AA26" i="24"/>
  <c r="AG25" i="24"/>
  <c r="AH25" i="24"/>
  <c r="Z25" i="24"/>
  <c r="AA25" i="24"/>
  <c r="AG24" i="24"/>
  <c r="AH24" i="24"/>
  <c r="Z24" i="24"/>
  <c r="AA24" i="24"/>
  <c r="AG23" i="24"/>
  <c r="AH23" i="24"/>
  <c r="Z23" i="24"/>
  <c r="AA23" i="24"/>
  <c r="AG22" i="24"/>
  <c r="AH22" i="24"/>
  <c r="Z22" i="24"/>
  <c r="AA22" i="24"/>
  <c r="AG21" i="24"/>
  <c r="AH21" i="24"/>
  <c r="Z21" i="24"/>
  <c r="AA21" i="24"/>
  <c r="AG20" i="24"/>
  <c r="AH20" i="24"/>
  <c r="Z20" i="24"/>
  <c r="AA20" i="24"/>
  <c r="AG19" i="24"/>
  <c r="AH19" i="24"/>
  <c r="Z19" i="24"/>
  <c r="AA19" i="24"/>
  <c r="AG18" i="24"/>
  <c r="Z18" i="24"/>
  <c r="AA18" i="24"/>
  <c r="AG17" i="24"/>
  <c r="AH17" i="24"/>
  <c r="Z17" i="24"/>
  <c r="AA17" i="24"/>
  <c r="AG16" i="24"/>
  <c r="AH16" i="24"/>
  <c r="Z16" i="24"/>
  <c r="AA16" i="24"/>
  <c r="AG15" i="24"/>
  <c r="AH15" i="24"/>
  <c r="Z15" i="24"/>
  <c r="AA15" i="24"/>
  <c r="AG14" i="24"/>
  <c r="AH14" i="24"/>
  <c r="S14" i="24"/>
  <c r="T14" i="24"/>
  <c r="Z14" i="24"/>
  <c r="C5" i="24"/>
  <c r="C3" i="24"/>
  <c r="R16" i="22"/>
  <c r="S16" i="22"/>
  <c r="AG130" i="23"/>
  <c r="AH130" i="23"/>
  <c r="Z130" i="23"/>
  <c r="AA130" i="23"/>
  <c r="S130" i="23"/>
  <c r="T130" i="23"/>
  <c r="AG129" i="23"/>
  <c r="AH129" i="23"/>
  <c r="Z129" i="23"/>
  <c r="AA129" i="23"/>
  <c r="S129" i="23"/>
  <c r="T129" i="23"/>
  <c r="AG128" i="23"/>
  <c r="AH128" i="23"/>
  <c r="Z128" i="23"/>
  <c r="AA128" i="23"/>
  <c r="S128" i="23"/>
  <c r="T128" i="23"/>
  <c r="AG127" i="23"/>
  <c r="AH127" i="23"/>
  <c r="Z127" i="23"/>
  <c r="S127" i="23"/>
  <c r="T127" i="23"/>
  <c r="AG126" i="23"/>
  <c r="AH126" i="23"/>
  <c r="Z126" i="23"/>
  <c r="AA126" i="23"/>
  <c r="S126" i="23"/>
  <c r="T126" i="23"/>
  <c r="AG125" i="23"/>
  <c r="AH125" i="23"/>
  <c r="Z125" i="23"/>
  <c r="AA125" i="23"/>
  <c r="S125" i="23"/>
  <c r="T125" i="23"/>
  <c r="AG124" i="23"/>
  <c r="AH124" i="23"/>
  <c r="Z124" i="23"/>
  <c r="AA124" i="23"/>
  <c r="S124" i="23"/>
  <c r="T124" i="23"/>
  <c r="AG123" i="23"/>
  <c r="AH123" i="23"/>
  <c r="Z123" i="23"/>
  <c r="AA123" i="23"/>
  <c r="S123" i="23"/>
  <c r="T123" i="23"/>
  <c r="AG114" i="23"/>
  <c r="AH114" i="23"/>
  <c r="Z114" i="23"/>
  <c r="AA114" i="23"/>
  <c r="S114" i="23"/>
  <c r="T114" i="23"/>
  <c r="AG113" i="23"/>
  <c r="AH113" i="23"/>
  <c r="Z113" i="23"/>
  <c r="AA113" i="23"/>
  <c r="S113" i="23"/>
  <c r="T113" i="23"/>
  <c r="AG83" i="23"/>
  <c r="AH83" i="23"/>
  <c r="Z83" i="23"/>
  <c r="AA83" i="23"/>
  <c r="S83" i="23"/>
  <c r="T83" i="23"/>
  <c r="AG61" i="23"/>
  <c r="AH61" i="23"/>
  <c r="Z61" i="23"/>
  <c r="AA61" i="23"/>
  <c r="S61" i="23"/>
  <c r="T61" i="23"/>
  <c r="AG60" i="23"/>
  <c r="AH60" i="23"/>
  <c r="Z60" i="23"/>
  <c r="AA60" i="23"/>
  <c r="S60" i="23"/>
  <c r="T60" i="23"/>
  <c r="AG59" i="23"/>
  <c r="Z59" i="23"/>
  <c r="AA59" i="23"/>
  <c r="S59" i="23"/>
  <c r="T59" i="23"/>
  <c r="AG58" i="23"/>
  <c r="AH58" i="23"/>
  <c r="Z58" i="23"/>
  <c r="AA58" i="23"/>
  <c r="S58" i="23"/>
  <c r="T58" i="23"/>
  <c r="AG57" i="23"/>
  <c r="AH57" i="23"/>
  <c r="Z57" i="23"/>
  <c r="AA57" i="23"/>
  <c r="S57" i="23"/>
  <c r="T57" i="23"/>
  <c r="AG56" i="23"/>
  <c r="AH56" i="23"/>
  <c r="Z56" i="23"/>
  <c r="AA56" i="23"/>
  <c r="S56" i="23"/>
  <c r="T56" i="23"/>
  <c r="AG45" i="23"/>
  <c r="AH45" i="23"/>
  <c r="Z45" i="23"/>
  <c r="AA45" i="23"/>
  <c r="S45" i="23"/>
  <c r="T45" i="23"/>
  <c r="AG16" i="23"/>
  <c r="AH16" i="23"/>
  <c r="Z16" i="23"/>
  <c r="AA16" i="23"/>
  <c r="S16" i="23"/>
  <c r="T16" i="23"/>
  <c r="AG15" i="23"/>
  <c r="AH15" i="23"/>
  <c r="Z15" i="23"/>
  <c r="AA15" i="23"/>
  <c r="S15" i="23"/>
  <c r="T15" i="23"/>
  <c r="C5" i="23"/>
  <c r="C3" i="23"/>
  <c r="AF19" i="22"/>
  <c r="AG19" i="22"/>
  <c r="Y19" i="22"/>
  <c r="Z19" i="22"/>
  <c r="R19" i="22"/>
  <c r="S19" i="22"/>
  <c r="AF18" i="22"/>
  <c r="AG18" i="22"/>
  <c r="Y18" i="22"/>
  <c r="Z18" i="22"/>
  <c r="R18" i="22"/>
  <c r="S18" i="22"/>
  <c r="AF17" i="22"/>
  <c r="AG17" i="22"/>
  <c r="Y17" i="22"/>
  <c r="Z17" i="22"/>
  <c r="R17" i="22"/>
  <c r="S17" i="22"/>
  <c r="AF16" i="22"/>
  <c r="AG16" i="22"/>
  <c r="Y16" i="22"/>
  <c r="Z16" i="22"/>
  <c r="AF15" i="22"/>
  <c r="AG15" i="22"/>
  <c r="Y15" i="22"/>
  <c r="Z15" i="22"/>
  <c r="R15" i="22"/>
  <c r="S15" i="22"/>
  <c r="C5" i="22"/>
  <c r="C3" i="22"/>
  <c r="AG16" i="15"/>
  <c r="AH16" i="15"/>
  <c r="AG17" i="15"/>
  <c r="AH17" i="15"/>
  <c r="AG18" i="15"/>
  <c r="AH18" i="15"/>
  <c r="AG19" i="15"/>
  <c r="AH19" i="15"/>
  <c r="AG20" i="15"/>
  <c r="AH20" i="15"/>
  <c r="AG21" i="15"/>
  <c r="AH21" i="15"/>
  <c r="AG22" i="15"/>
  <c r="AH22" i="15"/>
  <c r="AG23" i="15"/>
  <c r="AH23" i="15"/>
  <c r="AG24" i="15"/>
  <c r="AH24" i="15"/>
  <c r="AG25" i="15"/>
  <c r="AH25" i="15"/>
  <c r="AG26" i="15"/>
  <c r="AH26" i="15"/>
  <c r="AG27" i="15"/>
  <c r="AH27" i="15"/>
  <c r="AG28" i="15"/>
  <c r="AH28" i="15"/>
  <c r="AG29" i="15"/>
  <c r="AH29" i="15"/>
  <c r="AG30" i="15"/>
  <c r="AG31" i="15"/>
  <c r="AH31" i="15"/>
  <c r="AG32" i="15"/>
  <c r="AH32" i="15"/>
  <c r="AG33" i="15"/>
  <c r="AH33" i="15"/>
  <c r="AG34" i="15"/>
  <c r="AH34" i="15"/>
  <c r="AG35" i="15"/>
  <c r="AH35" i="15"/>
  <c r="AG36" i="15"/>
  <c r="AH36" i="15"/>
  <c r="AG37" i="15"/>
  <c r="AH37" i="15"/>
  <c r="AG38" i="15"/>
  <c r="AH38" i="15"/>
  <c r="AG39" i="15"/>
  <c r="AH39" i="15"/>
  <c r="AG40" i="15"/>
  <c r="AH40" i="15"/>
  <c r="AG41" i="15"/>
  <c r="AH41" i="15"/>
  <c r="AG42" i="15"/>
  <c r="AH42" i="15"/>
  <c r="AG43" i="15"/>
  <c r="AH43" i="15"/>
  <c r="AG44" i="15"/>
  <c r="AH44" i="15"/>
  <c r="AG45" i="15"/>
  <c r="AH45" i="15"/>
  <c r="AG46" i="15"/>
  <c r="AH46" i="15"/>
  <c r="AG47" i="15"/>
  <c r="AH47" i="15"/>
  <c r="AG48" i="15"/>
  <c r="AH48" i="15"/>
  <c r="AG49" i="15"/>
  <c r="AH49" i="15"/>
  <c r="AG50" i="15"/>
  <c r="AH50" i="15"/>
  <c r="AG51" i="15"/>
  <c r="AH51" i="15"/>
  <c r="Z16" i="15"/>
  <c r="AA16" i="15"/>
  <c r="Z17" i="15"/>
  <c r="AA17" i="15"/>
  <c r="Z18" i="15"/>
  <c r="AA18" i="15"/>
  <c r="Z19" i="15"/>
  <c r="AA19" i="15"/>
  <c r="Z20" i="15"/>
  <c r="AA20" i="15"/>
  <c r="Z21" i="15"/>
  <c r="AA21" i="15"/>
  <c r="Z22" i="15"/>
  <c r="AA22" i="15"/>
  <c r="Z23" i="15"/>
  <c r="AA23" i="15"/>
  <c r="Z24" i="15"/>
  <c r="AA24" i="15"/>
  <c r="Z25" i="15"/>
  <c r="AA25" i="15"/>
  <c r="Z26" i="15"/>
  <c r="AA26" i="15"/>
  <c r="Z27" i="15"/>
  <c r="AA27" i="15"/>
  <c r="Z28" i="15"/>
  <c r="AA28" i="15"/>
  <c r="Z29" i="15"/>
  <c r="AA29" i="15"/>
  <c r="Z30" i="15"/>
  <c r="AA30" i="15"/>
  <c r="Z31" i="15"/>
  <c r="AA31" i="15"/>
  <c r="Z32" i="15"/>
  <c r="AA32" i="15"/>
  <c r="Z33" i="15"/>
  <c r="AA33" i="15"/>
  <c r="Z34" i="15"/>
  <c r="AA34" i="15"/>
  <c r="Z35" i="15"/>
  <c r="AA35" i="15"/>
  <c r="Z36" i="15"/>
  <c r="AA36" i="15"/>
  <c r="Z37" i="15"/>
  <c r="AA37" i="15"/>
  <c r="Z38" i="15"/>
  <c r="AA38" i="15"/>
  <c r="Z39" i="15"/>
  <c r="AA39" i="15"/>
  <c r="Z40" i="15"/>
  <c r="AA40" i="15"/>
  <c r="Z41" i="15"/>
  <c r="AA41" i="15"/>
  <c r="Z42" i="15"/>
  <c r="AA42" i="15"/>
  <c r="Z43" i="15"/>
  <c r="AA43" i="15"/>
  <c r="Z44" i="15"/>
  <c r="AA44" i="15"/>
  <c r="Z45" i="15"/>
  <c r="Z46" i="15"/>
  <c r="AA46" i="15"/>
  <c r="Z47" i="15"/>
  <c r="AA47" i="15"/>
  <c r="Z48" i="15"/>
  <c r="AA48" i="15"/>
  <c r="Z49" i="15"/>
  <c r="AA49" i="15"/>
  <c r="Z50" i="15"/>
  <c r="AA50" i="15"/>
  <c r="Z51" i="15"/>
  <c r="AA51" i="15"/>
  <c r="S51" i="15"/>
  <c r="S16" i="15"/>
  <c r="S17" i="15"/>
  <c r="T17" i="15"/>
  <c r="S18" i="15"/>
  <c r="T18" i="15"/>
  <c r="S19" i="15"/>
  <c r="T19" i="15"/>
  <c r="S20" i="15"/>
  <c r="S21" i="15"/>
  <c r="T21" i="15"/>
  <c r="S22" i="15"/>
  <c r="T22" i="15"/>
  <c r="S23" i="15"/>
  <c r="T23" i="15"/>
  <c r="S24" i="15"/>
  <c r="T24" i="15"/>
  <c r="S25" i="15"/>
  <c r="T25" i="15"/>
  <c r="S26" i="15"/>
  <c r="S27" i="15"/>
  <c r="T27" i="15"/>
  <c r="S28" i="15"/>
  <c r="T28" i="15"/>
  <c r="S29" i="15"/>
  <c r="T29" i="15"/>
  <c r="S30" i="15"/>
  <c r="T30" i="15"/>
  <c r="S31" i="15"/>
  <c r="T31" i="15"/>
  <c r="S32" i="15"/>
  <c r="T32" i="15"/>
  <c r="S33" i="15"/>
  <c r="T33" i="15"/>
  <c r="S34" i="15"/>
  <c r="T34" i="15"/>
  <c r="S35" i="15"/>
  <c r="T35" i="15"/>
  <c r="S36" i="15"/>
  <c r="T36" i="15"/>
  <c r="S37" i="15"/>
  <c r="T37" i="15"/>
  <c r="S38" i="15"/>
  <c r="S39" i="15"/>
  <c r="T39" i="15"/>
  <c r="S40" i="15"/>
  <c r="T40" i="15"/>
  <c r="S41" i="15"/>
  <c r="T41" i="15"/>
  <c r="S42" i="15"/>
  <c r="T42" i="15"/>
  <c r="S43" i="15"/>
  <c r="T43" i="15"/>
  <c r="S44" i="15"/>
  <c r="T44" i="15"/>
  <c r="S45" i="15"/>
  <c r="T45" i="15"/>
  <c r="S46" i="15"/>
  <c r="T46" i="15"/>
  <c r="S47" i="15"/>
  <c r="T47" i="15"/>
  <c r="S48" i="15"/>
  <c r="T48" i="15"/>
  <c r="S49" i="15"/>
  <c r="T49" i="15"/>
  <c r="S50" i="15"/>
  <c r="AJ84" i="17"/>
  <c r="AJ85" i="17"/>
  <c r="AJ86" i="17"/>
  <c r="AJ87" i="17"/>
  <c r="AJ88" i="17"/>
  <c r="AJ107" i="17"/>
  <c r="AJ108" i="17"/>
  <c r="AJ109" i="17"/>
  <c r="AJ110" i="17"/>
  <c r="AJ111" i="17"/>
  <c r="AJ112" i="17"/>
  <c r="AJ113" i="17"/>
  <c r="AJ114" i="17"/>
  <c r="C5" i="17"/>
  <c r="C3" i="17"/>
  <c r="C5" i="15"/>
  <c r="C3" i="15"/>
  <c r="C5" i="14"/>
  <c r="C3" i="14"/>
  <c r="C5" i="11"/>
  <c r="C3" i="11"/>
  <c r="C5" i="9"/>
  <c r="C3" i="9"/>
  <c r="C5" i="6"/>
  <c r="C3" i="6"/>
  <c r="G273" i="61" a="1"/>
  <c r="G273" i="61"/>
  <c r="G274" i="61" a="1"/>
  <c r="G274" i="61"/>
  <c r="G205" i="61" a="1"/>
  <c r="G205" i="61"/>
  <c r="G223" i="61" a="1"/>
  <c r="G223" i="61"/>
  <c r="H238" i="61" a="1"/>
  <c r="H238" i="61"/>
  <c r="G238" i="61" a="1"/>
  <c r="G238" i="61"/>
  <c r="G275" i="61" a="1"/>
  <c r="G275" i="61"/>
  <c r="G4" i="61" a="1"/>
  <c r="G4" i="61"/>
  <c r="G162" i="55" a="1"/>
  <c r="G162" i="55"/>
  <c r="G161" i="55" a="1"/>
  <c r="G161" i="55"/>
  <c r="H37" i="61" a="1"/>
  <c r="H37" i="61"/>
  <c r="AA78" i="23"/>
  <c r="T52" i="24"/>
  <c r="T51" i="34"/>
  <c r="AA145" i="23"/>
  <c r="H275" i="61" a="1"/>
  <c r="H275" i="61"/>
  <c r="H273" i="61" a="1"/>
  <c r="H273" i="61"/>
  <c r="H161" i="55" a="1"/>
  <c r="H161" i="55"/>
  <c r="H162" i="55" a="1"/>
  <c r="H162" i="55"/>
  <c r="AJ97" i="15"/>
  <c r="AH28" i="61"/>
  <c r="L36" i="61"/>
  <c r="P56" i="61"/>
  <c r="R73" i="35"/>
  <c r="H73" i="35"/>
  <c r="G99" i="61" a="1"/>
  <c r="G99" i="61"/>
  <c r="L78" i="62"/>
  <c r="BD14" i="62"/>
  <c r="L34" i="62"/>
  <c r="T58" i="62"/>
  <c r="T22" i="62"/>
  <c r="P42" i="62"/>
  <c r="X62" i="62"/>
  <c r="R70" i="35"/>
  <c r="L84" i="55"/>
  <c r="T108" i="55"/>
  <c r="AL100" i="55"/>
  <c r="BD100" i="55"/>
  <c r="L136" i="55"/>
  <c r="T132" i="55"/>
  <c r="T92" i="55"/>
  <c r="BD156" i="55"/>
  <c r="AL194" i="61"/>
  <c r="L50" i="61"/>
  <c r="BD98" i="61"/>
  <c r="T11" i="62"/>
  <c r="G219" i="62" a="1"/>
  <c r="G219" i="62"/>
  <c r="G291" i="62" a="1"/>
  <c r="G291" i="62"/>
  <c r="BG18" i="21"/>
  <c r="BG14" i="21"/>
  <c r="BD18" i="21"/>
  <c r="BD14" i="21"/>
  <c r="P111" i="35"/>
  <c r="BB18" i="21"/>
  <c r="BB14" i="21"/>
  <c r="AY18" i="21"/>
  <c r="AY14" i="21"/>
  <c r="BA18" i="21"/>
  <c r="BA14" i="21"/>
  <c r="AZ18" i="21"/>
  <c r="AZ14" i="21"/>
  <c r="BC18" i="21"/>
  <c r="BC14" i="21"/>
  <c r="AV18" i="21"/>
  <c r="AV14" i="21"/>
  <c r="F283" i="35"/>
  <c r="F282" i="35"/>
  <c r="BE18" i="21"/>
  <c r="BE14" i="21"/>
  <c r="AW18" i="21"/>
  <c r="AW14" i="21"/>
  <c r="BF18" i="21"/>
  <c r="BF14" i="21"/>
  <c r="AX18" i="21"/>
  <c r="AX14" i="21"/>
  <c r="H371" i="35"/>
  <c r="H370" i="35"/>
  <c r="AL14" i="61"/>
  <c r="L27" i="62"/>
  <c r="L63" i="62"/>
  <c r="H37" i="35"/>
  <c r="F123" i="35"/>
  <c r="F122" i="35"/>
  <c r="F555" i="35"/>
  <c r="F554" i="35"/>
  <c r="H640" i="35"/>
  <c r="F37" i="35"/>
  <c r="F36" i="35"/>
  <c r="H123" i="35"/>
  <c r="P561" i="35"/>
  <c r="P646" i="35"/>
  <c r="S561" i="35"/>
  <c r="S646" i="35"/>
  <c r="R561" i="35"/>
  <c r="R646" i="35"/>
  <c r="Q561" i="35"/>
  <c r="Q646" i="35"/>
  <c r="M205" i="62"/>
  <c r="L150" i="35"/>
  <c r="G150" i="35"/>
  <c r="L109" i="61"/>
  <c r="AD109" i="61"/>
  <c r="T162" i="61"/>
  <c r="AZ15" i="61"/>
  <c r="P160" i="58"/>
  <c r="AE547" i="58"/>
  <c r="AV547" i="58"/>
  <c r="V547" i="58"/>
  <c r="P202" i="58"/>
  <c r="AP548" i="58"/>
  <c r="P206" i="58"/>
  <c r="AI547" i="58"/>
  <c r="AR547" i="58"/>
  <c r="AV527" i="58"/>
  <c r="G401" i="62" a="1"/>
  <c r="G401" i="62"/>
  <c r="AL127" i="55"/>
  <c r="T127" i="55"/>
  <c r="AL159" i="55"/>
  <c r="AE54" i="58"/>
  <c r="P52" i="58"/>
  <c r="AG57" i="58"/>
  <c r="AP57" i="58"/>
  <c r="AP52" i="58"/>
  <c r="AR55" i="58"/>
  <c r="T52" i="58"/>
  <c r="T55" i="58"/>
  <c r="AR56" i="58"/>
  <c r="AI58" i="58"/>
  <c r="V54" i="58"/>
  <c r="P55" i="58"/>
  <c r="AE58" i="58"/>
  <c r="AE52" i="58"/>
  <c r="AE55" i="58"/>
  <c r="AG54" i="58"/>
  <c r="AP54" i="58"/>
  <c r="AT52" i="58"/>
  <c r="AP55" i="58"/>
  <c r="AV52" i="58"/>
  <c r="AV58" i="58"/>
  <c r="AI54" i="58"/>
  <c r="V52" i="58"/>
  <c r="V55" i="58"/>
  <c r="AG55" i="58"/>
  <c r="AR57" i="58"/>
  <c r="AE57" i="58"/>
  <c r="AC52" i="58"/>
  <c r="AC58" i="58"/>
  <c r="AT57" i="58"/>
  <c r="AT55" i="58"/>
  <c r="AV57" i="58"/>
  <c r="AV56" i="58"/>
  <c r="AT58" i="58"/>
  <c r="AI55" i="58"/>
  <c r="V57" i="58"/>
  <c r="T58" i="58"/>
  <c r="R52" i="58"/>
  <c r="R58" i="58"/>
  <c r="AG58" i="58"/>
  <c r="AT54" i="58"/>
  <c r="T57" i="58"/>
  <c r="AT56" i="58"/>
  <c r="AV54" i="58"/>
  <c r="AR58" i="58"/>
  <c r="AI57" i="58"/>
  <c r="V58" i="58"/>
  <c r="T27" i="58"/>
  <c r="AG27" i="58"/>
  <c r="T40" i="58"/>
  <c r="AG32" i="58"/>
  <c r="AV40" i="58"/>
  <c r="V27" i="58"/>
  <c r="AI35" i="58"/>
  <c r="P48" i="58"/>
  <c r="AC24" i="58"/>
  <c r="AT32" i="58"/>
  <c r="P27" i="58"/>
  <c r="AP34" i="58"/>
  <c r="AE40" i="58"/>
  <c r="AR32" i="58"/>
  <c r="AE42" i="58"/>
  <c r="P20" i="58"/>
  <c r="V32" i="58"/>
  <c r="AI24" i="58"/>
  <c r="R3" i="58"/>
  <c r="AE3" i="58"/>
  <c r="AT3" i="58"/>
  <c r="V16" i="58"/>
  <c r="AI16" i="58"/>
  <c r="AV16" i="58"/>
  <c r="AV5" i="58"/>
  <c r="V6" i="58"/>
  <c r="AV9" i="58"/>
  <c r="AI29" i="58"/>
  <c r="AV41" i="58"/>
  <c r="T10" i="58"/>
  <c r="AG10" i="58"/>
  <c r="AV11" i="58"/>
  <c r="T8" i="58"/>
  <c r="AT16" i="58"/>
  <c r="AC5" i="58"/>
  <c r="AP14" i="58"/>
  <c r="P9" i="58"/>
  <c r="AC9" i="58"/>
  <c r="AC45" i="58"/>
  <c r="AP29" i="58"/>
  <c r="P38" i="58"/>
  <c r="AC46" i="58"/>
  <c r="AP38" i="58"/>
  <c r="P25" i="58"/>
  <c r="AC49" i="58"/>
  <c r="AP41" i="58"/>
  <c r="V2" i="58"/>
  <c r="AI10" i="58"/>
  <c r="AR16" i="58"/>
  <c r="R14" i="58"/>
  <c r="R17" i="58"/>
  <c r="AE21" i="58"/>
  <c r="R38" i="58"/>
  <c r="AR46" i="58"/>
  <c r="R33" i="58"/>
  <c r="P10" i="58"/>
  <c r="AP2" i="58"/>
  <c r="P12" i="58"/>
  <c r="P8" i="58"/>
  <c r="AG5" i="58"/>
  <c r="AT5" i="58"/>
  <c r="T6" i="58"/>
  <c r="AG14" i="58"/>
  <c r="AT14" i="58"/>
  <c r="T17" i="58"/>
  <c r="AG9" i="58"/>
  <c r="AT9" i="58"/>
  <c r="AG45" i="58"/>
  <c r="AT45" i="58"/>
  <c r="AG30" i="58"/>
  <c r="AT38" i="58"/>
  <c r="T25" i="58"/>
  <c r="AG25" i="58"/>
  <c r="T73" i="58"/>
  <c r="AE60" i="58"/>
  <c r="AV60" i="58"/>
  <c r="AG73" i="58"/>
  <c r="AI73" i="58"/>
  <c r="AP82" i="58"/>
  <c r="V60" i="58"/>
  <c r="K70" i="35"/>
  <c r="N70" i="35"/>
  <c r="H48" i="55" a="1"/>
  <c r="H48" i="55"/>
  <c r="G48" i="55" a="1"/>
  <c r="G48" i="55"/>
  <c r="M73" i="35"/>
  <c r="K159" i="35"/>
  <c r="H159" i="35"/>
  <c r="F73" i="35"/>
  <c r="F72" i="35"/>
  <c r="P114" i="58"/>
  <c r="H374" i="62" a="1"/>
  <c r="H374" i="62"/>
  <c r="G374" i="62" a="1"/>
  <c r="G374" i="62"/>
  <c r="T160" i="55"/>
  <c r="T136" i="55"/>
  <c r="T124" i="55"/>
  <c r="T112" i="55"/>
  <c r="T96" i="55"/>
  <c r="AL120" i="55"/>
  <c r="AL104" i="55"/>
  <c r="BD160" i="55"/>
  <c r="BD140" i="55"/>
  <c r="BD104" i="55"/>
  <c r="T98" i="61"/>
  <c r="X36" i="61"/>
  <c r="AP98" i="61"/>
  <c r="AV131" i="55"/>
  <c r="P80" i="55"/>
  <c r="T152" i="55"/>
  <c r="T144" i="55"/>
  <c r="T128" i="55"/>
  <c r="T116" i="55"/>
  <c r="T104" i="55"/>
  <c r="AL128" i="55"/>
  <c r="AL96" i="55"/>
  <c r="BD152" i="55"/>
  <c r="BD132" i="55"/>
  <c r="BD116" i="55"/>
  <c r="L4" i="61"/>
  <c r="BH98" i="61"/>
  <c r="AH108" i="55"/>
  <c r="T148" i="55"/>
  <c r="T140" i="55"/>
  <c r="AL144" i="55"/>
  <c r="AL108" i="55"/>
  <c r="AL92" i="55"/>
  <c r="BD144" i="55"/>
  <c r="BD128" i="55"/>
  <c r="P20" i="61"/>
  <c r="AH12" i="61"/>
  <c r="AV16" i="61"/>
  <c r="P98" i="61"/>
  <c r="T136" i="61"/>
  <c r="I565" i="35"/>
  <c r="J565" i="35"/>
  <c r="I305" i="35"/>
  <c r="J305" i="35"/>
  <c r="I650" i="35"/>
  <c r="J650" i="35"/>
  <c r="I393" i="35"/>
  <c r="J393" i="35"/>
  <c r="I47" i="35"/>
  <c r="J47" i="35"/>
  <c r="I133" i="35"/>
  <c r="J133" i="35"/>
  <c r="I479" i="35"/>
  <c r="J479" i="35"/>
  <c r="I219" i="35"/>
  <c r="J219" i="35"/>
  <c r="F579" i="35"/>
  <c r="F578" i="35"/>
  <c r="H665" i="35"/>
  <c r="H580" i="35"/>
  <c r="H148" i="35"/>
  <c r="H234" i="35"/>
  <c r="H62" i="35"/>
  <c r="H320" i="35"/>
  <c r="H494" i="35"/>
  <c r="H408" i="35"/>
  <c r="H406" i="35"/>
  <c r="G579" i="35"/>
  <c r="G578" i="35"/>
  <c r="I320" i="35"/>
  <c r="I234" i="35"/>
  <c r="I148" i="35"/>
  <c r="I62" i="35"/>
  <c r="I665" i="35"/>
  <c r="I580" i="35"/>
  <c r="I494" i="35"/>
  <c r="I408" i="35"/>
  <c r="G426" i="62" a="1"/>
  <c r="G426" i="62"/>
  <c r="V29" i="58"/>
  <c r="V21" i="58"/>
  <c r="R45" i="58"/>
  <c r="R21" i="58"/>
  <c r="G359" i="61" a="1"/>
  <c r="G359" i="61"/>
  <c r="G390" i="61" a="1"/>
  <c r="G390" i="61"/>
  <c r="I567" i="35"/>
  <c r="I566" i="35"/>
  <c r="N653" i="35"/>
  <c r="N568" i="35"/>
  <c r="N482" i="35"/>
  <c r="N396" i="35"/>
  <c r="N308" i="35"/>
  <c r="N222" i="35"/>
  <c r="N136" i="35"/>
  <c r="N50" i="35"/>
  <c r="F567" i="35"/>
  <c r="F566" i="35"/>
  <c r="K653" i="35"/>
  <c r="K568" i="35"/>
  <c r="K482" i="35"/>
  <c r="K396" i="35"/>
  <c r="K308" i="35"/>
  <c r="K222" i="35"/>
  <c r="K136" i="35"/>
  <c r="K50" i="35"/>
  <c r="G395" i="35"/>
  <c r="G394" i="35"/>
  <c r="L653" i="35"/>
  <c r="L568" i="35"/>
  <c r="L482" i="35"/>
  <c r="L396" i="35"/>
  <c r="L308" i="35"/>
  <c r="L222" i="35"/>
  <c r="L136" i="35"/>
  <c r="L50" i="35"/>
  <c r="H395" i="35"/>
  <c r="H394" i="35"/>
  <c r="M653" i="35"/>
  <c r="M568" i="35"/>
  <c r="M482" i="35"/>
  <c r="M396" i="35"/>
  <c r="M308" i="35"/>
  <c r="M222" i="35"/>
  <c r="M136" i="35"/>
  <c r="M50" i="35"/>
  <c r="H245" i="35"/>
  <c r="I419" i="35"/>
  <c r="N419" i="35"/>
  <c r="S419" i="35"/>
  <c r="F505" i="35"/>
  <c r="F504" i="35"/>
  <c r="S505" i="35"/>
  <c r="I591" i="35"/>
  <c r="N591" i="35"/>
  <c r="S591" i="35"/>
  <c r="I676" i="35"/>
  <c r="N676" i="35"/>
  <c r="S676" i="35"/>
  <c r="K331" i="35"/>
  <c r="K245" i="35"/>
  <c r="O245" i="35"/>
  <c r="G331" i="35"/>
  <c r="F419" i="35"/>
  <c r="F418" i="35"/>
  <c r="K419" i="35"/>
  <c r="P419" i="35"/>
  <c r="N505" i="35"/>
  <c r="P505" i="35"/>
  <c r="F591" i="35"/>
  <c r="F590" i="35"/>
  <c r="K591" i="35"/>
  <c r="P591" i="35"/>
  <c r="F676" i="35"/>
  <c r="F675" i="35"/>
  <c r="K676" i="35"/>
  <c r="P676" i="35"/>
  <c r="Q159" i="35"/>
  <c r="Q245" i="35"/>
  <c r="L331" i="35"/>
  <c r="G419" i="35"/>
  <c r="L419" i="35"/>
  <c r="Q419" i="35"/>
  <c r="M505" i="35"/>
  <c r="H505" i="35"/>
  <c r="Q505" i="35"/>
  <c r="G591" i="35"/>
  <c r="L591" i="35"/>
  <c r="Q591" i="35"/>
  <c r="G676" i="35"/>
  <c r="L676" i="35"/>
  <c r="Q676" i="35"/>
  <c r="R331" i="35"/>
  <c r="R245" i="35"/>
  <c r="Q331" i="35"/>
  <c r="H419" i="35"/>
  <c r="M419" i="35"/>
  <c r="R419" i="35"/>
  <c r="L505" i="35"/>
  <c r="G505" i="35"/>
  <c r="R505" i="35"/>
  <c r="H591" i="35"/>
  <c r="M591" i="35"/>
  <c r="R591" i="35"/>
  <c r="H676" i="35"/>
  <c r="M676" i="35"/>
  <c r="R676" i="35"/>
  <c r="AI56" i="58"/>
  <c r="AL65" i="55"/>
  <c r="AP65" i="55"/>
  <c r="AV65" i="55"/>
  <c r="AZ65" i="55"/>
  <c r="BE65" i="55"/>
  <c r="BI65" i="55"/>
  <c r="T65" i="55"/>
  <c r="X65" i="55"/>
  <c r="AD65" i="55"/>
  <c r="AH65" i="55"/>
  <c r="AM65" i="55"/>
  <c r="AQ65" i="55"/>
  <c r="AW65" i="55"/>
  <c r="BA65" i="55"/>
  <c r="L65" i="55"/>
  <c r="P65" i="55"/>
  <c r="U65" i="55"/>
  <c r="Y65" i="55"/>
  <c r="AE65" i="55"/>
  <c r="AI65" i="55"/>
  <c r="M65" i="55"/>
  <c r="Q65" i="55"/>
  <c r="BD65" i="55"/>
  <c r="BH65" i="55"/>
  <c r="AZ14" i="61"/>
  <c r="L42" i="61"/>
  <c r="AL58" i="61"/>
  <c r="AP56" i="58"/>
  <c r="R56" i="58"/>
  <c r="AG56" i="58"/>
  <c r="V56" i="58"/>
  <c r="M64" i="55"/>
  <c r="Q64" i="55"/>
  <c r="BD64" i="55"/>
  <c r="BH64" i="55"/>
  <c r="AL64" i="55"/>
  <c r="AP64" i="55"/>
  <c r="AV64" i="55"/>
  <c r="AZ64" i="55"/>
  <c r="BE64" i="55"/>
  <c r="BI64" i="55"/>
  <c r="T64" i="55"/>
  <c r="X64" i="55"/>
  <c r="AD64" i="55"/>
  <c r="AH64" i="55"/>
  <c r="AM64" i="55"/>
  <c r="AQ64" i="55"/>
  <c r="AW64" i="55"/>
  <c r="BA64" i="55"/>
  <c r="L64" i="55"/>
  <c r="P64" i="55"/>
  <c r="U64" i="55"/>
  <c r="Y64" i="55"/>
  <c r="AE64" i="55"/>
  <c r="AI64" i="55"/>
  <c r="T30" i="61"/>
  <c r="AH26" i="61"/>
  <c r="AV13" i="61"/>
  <c r="L74" i="61"/>
  <c r="AC56" i="58"/>
  <c r="L63" i="55"/>
  <c r="P63" i="55"/>
  <c r="U63" i="55"/>
  <c r="Y63" i="55"/>
  <c r="AE63" i="55"/>
  <c r="AI63" i="55"/>
  <c r="M63" i="55"/>
  <c r="Q63" i="55"/>
  <c r="BD63" i="55"/>
  <c r="BH63" i="55"/>
  <c r="AL63" i="55"/>
  <c r="AP63" i="55"/>
  <c r="AV63" i="55"/>
  <c r="AZ63" i="55"/>
  <c r="BE63" i="55"/>
  <c r="BI63" i="55"/>
  <c r="T63" i="55"/>
  <c r="X63" i="55"/>
  <c r="AD63" i="55"/>
  <c r="AH63" i="55"/>
  <c r="AM63" i="55"/>
  <c r="AQ63" i="55"/>
  <c r="AW63" i="55"/>
  <c r="BA63" i="55"/>
  <c r="T14" i="61"/>
  <c r="AD22" i="61"/>
  <c r="AL197" i="61"/>
  <c r="G279" i="62" a="1"/>
  <c r="G279" i="62"/>
  <c r="G262" i="62" a="1"/>
  <c r="G262" i="62"/>
  <c r="H104" i="61" a="1"/>
  <c r="H104" i="61"/>
  <c r="H4" i="61" a="1"/>
  <c r="H4" i="61"/>
  <c r="BG6" i="55"/>
  <c r="AV34" i="61"/>
  <c r="BH26" i="61"/>
  <c r="P62" i="61"/>
  <c r="AV25" i="61"/>
  <c r="BD10" i="61"/>
  <c r="AL174" i="61"/>
  <c r="AO62" i="55"/>
  <c r="AI31" i="15"/>
  <c r="L34" i="61"/>
  <c r="X6" i="61"/>
  <c r="BH18" i="61"/>
  <c r="BD6" i="61"/>
  <c r="P101" i="61"/>
  <c r="AV109" i="61"/>
  <c r="BD158" i="61"/>
  <c r="BG10" i="55"/>
  <c r="AP296" i="62"/>
  <c r="X34" i="61"/>
  <c r="AI46" i="23"/>
  <c r="Q102" i="61"/>
  <c r="L18" i="61"/>
  <c r="AH30" i="61"/>
  <c r="BG17" i="55"/>
  <c r="AP10" i="61"/>
  <c r="AJ51" i="23"/>
  <c r="AJ50" i="23"/>
  <c r="T166" i="61"/>
  <c r="H200" i="35"/>
  <c r="J200" i="35"/>
  <c r="H286" i="35"/>
  <c r="J286" i="35"/>
  <c r="H374" i="35"/>
  <c r="J374" i="35"/>
  <c r="H460" i="35"/>
  <c r="J460" i="35"/>
  <c r="P460" i="35"/>
  <c r="H28" i="35"/>
  <c r="J28" i="35"/>
  <c r="H114" i="35"/>
  <c r="J114" i="35"/>
  <c r="P114" i="35"/>
  <c r="P109" i="61"/>
  <c r="P215" i="61"/>
  <c r="AL296" i="62"/>
  <c r="L30" i="61"/>
  <c r="L14" i="61"/>
  <c r="P34" i="61"/>
  <c r="P14" i="61"/>
  <c r="T26" i="61"/>
  <c r="T10" i="61"/>
  <c r="X30" i="61"/>
  <c r="AP34" i="61"/>
  <c r="AP22" i="61"/>
  <c r="AP18" i="61"/>
  <c r="AH14" i="61"/>
  <c r="AL10" i="61"/>
  <c r="BH34" i="61"/>
  <c r="BD30" i="61"/>
  <c r="BD26" i="61"/>
  <c r="BD18" i="61"/>
  <c r="AV14" i="61"/>
  <c r="AZ10" i="61"/>
  <c r="AV6" i="61"/>
  <c r="P78" i="61"/>
  <c r="P54" i="61"/>
  <c r="P46" i="61"/>
  <c r="AD102" i="61"/>
  <c r="AH109" i="61"/>
  <c r="BD109" i="61"/>
  <c r="BD198" i="61"/>
  <c r="BD190" i="61"/>
  <c r="BD182" i="61"/>
  <c r="AL178" i="61"/>
  <c r="T174" i="61"/>
  <c r="BD162" i="61"/>
  <c r="BD150" i="61"/>
  <c r="L296" i="62"/>
  <c r="X17" i="62"/>
  <c r="L26" i="61"/>
  <c r="L10" i="61"/>
  <c r="P30" i="61"/>
  <c r="P6" i="61"/>
  <c r="T22" i="61"/>
  <c r="T6" i="61"/>
  <c r="X22" i="61"/>
  <c r="AH34" i="61"/>
  <c r="AP26" i="61"/>
  <c r="AL22" i="61"/>
  <c r="AH18" i="61"/>
  <c r="AD14" i="61"/>
  <c r="AH10" i="61"/>
  <c r="AP6" i="61"/>
  <c r="BD34" i="61"/>
  <c r="AZ30" i="61"/>
  <c r="AZ26" i="61"/>
  <c r="BD22" i="61"/>
  <c r="AZ18" i="61"/>
  <c r="AV10" i="61"/>
  <c r="P82" i="61"/>
  <c r="P66" i="61"/>
  <c r="P58" i="61"/>
  <c r="T109" i="61"/>
  <c r="AL109" i="61"/>
  <c r="AL198" i="61"/>
  <c r="AL190" i="61"/>
  <c r="AL182" i="61"/>
  <c r="BD166" i="61"/>
  <c r="T158" i="61"/>
  <c r="BH42" i="61"/>
  <c r="L22" i="61"/>
  <c r="P22" i="61"/>
  <c r="T34" i="61"/>
  <c r="T18" i="61"/>
  <c r="X14" i="61"/>
  <c r="AP30" i="61"/>
  <c r="AL26" i="61"/>
  <c r="AH22" i="61"/>
  <c r="AP14" i="61"/>
  <c r="AD10" i="61"/>
  <c r="X109" i="61"/>
  <c r="T198" i="61"/>
  <c r="BD194" i="61"/>
  <c r="G322" i="62" a="1"/>
  <c r="G322" i="62"/>
  <c r="G321" i="62" a="1"/>
  <c r="G321" i="62"/>
  <c r="G320" i="62" a="1"/>
  <c r="G320" i="62"/>
  <c r="G319" i="62" a="1"/>
  <c r="G319" i="62"/>
  <c r="H313" i="62" a="1"/>
  <c r="H313" i="62"/>
  <c r="H305" i="62" a="1"/>
  <c r="H305" i="62"/>
  <c r="G305" i="62" a="1"/>
  <c r="G305" i="62"/>
  <c r="H278" i="62" a="1"/>
  <c r="H278" i="62"/>
  <c r="H242" i="62" a="1"/>
  <c r="H242" i="62"/>
  <c r="F233" i="35"/>
  <c r="F232" i="35"/>
  <c r="K233" i="35"/>
  <c r="P58" i="35"/>
  <c r="F230" i="35"/>
  <c r="F229" i="35"/>
  <c r="R230" i="35"/>
  <c r="P316" i="35"/>
  <c r="R404" i="35"/>
  <c r="K230" i="35"/>
  <c r="F404" i="35"/>
  <c r="F403" i="35"/>
  <c r="Q576" i="35"/>
  <c r="F58" i="35"/>
  <c r="F57" i="35"/>
  <c r="F316" i="35"/>
  <c r="F315" i="35"/>
  <c r="K404" i="35"/>
  <c r="Q661" i="35"/>
  <c r="K58" i="35"/>
  <c r="H70" i="35"/>
  <c r="G52" i="55" a="1"/>
  <c r="G52" i="55"/>
  <c r="H52" i="55" a="1"/>
  <c r="H52" i="55"/>
  <c r="H21" i="55" a="1"/>
  <c r="H21" i="55"/>
  <c r="G21" i="55" a="1"/>
  <c r="G21" i="55"/>
  <c r="G4" i="55" a="1"/>
  <c r="G4" i="55"/>
  <c r="L3" i="55"/>
  <c r="H4" i="55" a="1"/>
  <c r="H4" i="55"/>
  <c r="I70" i="35"/>
  <c r="S70" i="35"/>
  <c r="P54" i="55"/>
  <c r="P50" i="55"/>
  <c r="L34" i="55"/>
  <c r="P26" i="55"/>
  <c r="L22" i="55"/>
  <c r="L14" i="55"/>
  <c r="L10" i="55"/>
  <c r="P49" i="55"/>
  <c r="L29" i="55"/>
  <c r="L25" i="55"/>
  <c r="P21" i="55"/>
  <c r="P5" i="55"/>
  <c r="P56" i="55"/>
  <c r="P52" i="55"/>
  <c r="L44" i="55"/>
  <c r="P32" i="55"/>
  <c r="P28" i="55"/>
  <c r="P8" i="55"/>
  <c r="H328" i="35"/>
  <c r="F70" i="35"/>
  <c r="F69" i="35"/>
  <c r="I156" i="35"/>
  <c r="Q156" i="35"/>
  <c r="F242" i="35"/>
  <c r="F241" i="35"/>
  <c r="N242" i="35"/>
  <c r="G328" i="35"/>
  <c r="Q328" i="35"/>
  <c r="H416" i="35"/>
  <c r="R416" i="35"/>
  <c r="I502" i="35"/>
  <c r="G588" i="35"/>
  <c r="F673" i="35"/>
  <c r="F672" i="35"/>
  <c r="N673" i="35"/>
  <c r="G156" i="35"/>
  <c r="I242" i="35"/>
  <c r="S242" i="35"/>
  <c r="G416" i="35"/>
  <c r="F502" i="35"/>
  <c r="F501" i="35"/>
  <c r="N502" i="35"/>
  <c r="H588" i="35"/>
  <c r="G673" i="35"/>
  <c r="S673" i="35"/>
  <c r="G70" i="35"/>
  <c r="F156" i="35"/>
  <c r="F155" i="35"/>
  <c r="K156" i="35"/>
  <c r="H242" i="35"/>
  <c r="Q242" i="35"/>
  <c r="I328" i="35"/>
  <c r="F416" i="35"/>
  <c r="F415" i="35"/>
  <c r="P76" i="58"/>
  <c r="G502" i="35"/>
  <c r="Q502" i="35"/>
  <c r="I588" i="35"/>
  <c r="H673" i="35"/>
  <c r="H156" i="35"/>
  <c r="S156" i="35"/>
  <c r="F328" i="35"/>
  <c r="F327" i="35"/>
  <c r="S328" i="35"/>
  <c r="I416" i="35"/>
  <c r="N416" i="35"/>
  <c r="N588" i="35"/>
  <c r="P156" i="35"/>
  <c r="P242" i="35"/>
  <c r="P328" i="35"/>
  <c r="Q416" i="35"/>
  <c r="P502" i="35"/>
  <c r="S588" i="35"/>
  <c r="R673" i="35"/>
  <c r="P588" i="35"/>
  <c r="P70" i="35"/>
  <c r="R156" i="35"/>
  <c r="R242" i="35"/>
  <c r="R328" i="35"/>
  <c r="S416" i="35"/>
  <c r="R502" i="35"/>
  <c r="Q588" i="35"/>
  <c r="P673" i="35"/>
  <c r="L156" i="35"/>
  <c r="K242" i="35"/>
  <c r="K328" i="35"/>
  <c r="M416" i="35"/>
  <c r="M502" i="35"/>
  <c r="M588" i="35"/>
  <c r="M673" i="35"/>
  <c r="L328" i="35"/>
  <c r="L70" i="35"/>
  <c r="N156" i="35"/>
  <c r="M242" i="35"/>
  <c r="M328" i="35"/>
  <c r="K416" i="35"/>
  <c r="K502" i="35"/>
  <c r="K588" i="35"/>
  <c r="M70" i="35"/>
  <c r="L242" i="35"/>
  <c r="L416" i="35"/>
  <c r="L502" i="35"/>
  <c r="L588" i="35"/>
  <c r="R28" i="35"/>
  <c r="R200" i="35"/>
  <c r="R374" i="35"/>
  <c r="R631" i="35"/>
  <c r="P28" i="35"/>
  <c r="T28" i="35"/>
  <c r="R114" i="35"/>
  <c r="P200" i="35"/>
  <c r="R286" i="35"/>
  <c r="T286" i="35"/>
  <c r="P374" i="35"/>
  <c r="R460" i="35"/>
  <c r="P631" i="35"/>
  <c r="M28" i="35"/>
  <c r="M114" i="35"/>
  <c r="M200" i="35"/>
  <c r="M286" i="35"/>
  <c r="M374" i="35"/>
  <c r="M460" i="35"/>
  <c r="K631" i="35"/>
  <c r="O631" i="35"/>
  <c r="K28" i="35"/>
  <c r="K114" i="35"/>
  <c r="K200" i="35"/>
  <c r="K286" i="35"/>
  <c r="K374" i="35"/>
  <c r="K460" i="35"/>
  <c r="H631" i="35"/>
  <c r="J631" i="35"/>
  <c r="H546" i="35"/>
  <c r="G31" i="35"/>
  <c r="J31" i="35"/>
  <c r="G117" i="35"/>
  <c r="J117" i="35"/>
  <c r="G203" i="35"/>
  <c r="J203" i="35"/>
  <c r="G289" i="35"/>
  <c r="J289" i="35"/>
  <c r="G377" i="35"/>
  <c r="J377" i="35"/>
  <c r="G463" i="35"/>
  <c r="J463" i="35"/>
  <c r="R380" i="35"/>
  <c r="R34" i="35"/>
  <c r="R466" i="35"/>
  <c r="R206" i="35"/>
  <c r="T206" i="35"/>
  <c r="R552" i="35"/>
  <c r="R120" i="35"/>
  <c r="R292" i="35"/>
  <c r="K206" i="35"/>
  <c r="O206" i="35"/>
  <c r="K292" i="35"/>
  <c r="K466" i="35"/>
  <c r="K637" i="35"/>
  <c r="O637" i="35"/>
  <c r="L37" i="35"/>
  <c r="L383" i="35"/>
  <c r="K34" i="35"/>
  <c r="L295" i="35"/>
  <c r="L640" i="35"/>
  <c r="K120" i="35"/>
  <c r="K380" i="35"/>
  <c r="L209" i="35"/>
  <c r="F292" i="35"/>
  <c r="F291" i="35"/>
  <c r="F34" i="35"/>
  <c r="F33" i="35"/>
  <c r="G326" i="62" a="1"/>
  <c r="G326" i="62"/>
  <c r="H380" i="62" a="1"/>
  <c r="H380" i="62"/>
  <c r="G380" i="62" a="1"/>
  <c r="G380" i="62"/>
  <c r="BD99" i="55"/>
  <c r="X7" i="62"/>
  <c r="AL23" i="61"/>
  <c r="AV21" i="55"/>
  <c r="AZ99" i="55"/>
  <c r="BH107" i="55"/>
  <c r="P83" i="55"/>
  <c r="T119" i="55"/>
  <c r="T23" i="62"/>
  <c r="P147" i="55"/>
  <c r="AI79" i="23"/>
  <c r="AI33" i="23"/>
  <c r="AJ81" i="23"/>
  <c r="AI44" i="23"/>
  <c r="AI50" i="23"/>
  <c r="AJ78" i="23"/>
  <c r="AI55" i="23"/>
  <c r="AJ79" i="23"/>
  <c r="AJ25" i="23"/>
  <c r="AJ37" i="23"/>
  <c r="G422" i="62" a="1"/>
  <c r="G422" i="62"/>
  <c r="G373" i="62" a="1"/>
  <c r="G373" i="62"/>
  <c r="H373" i="62" a="1"/>
  <c r="H373" i="62"/>
  <c r="H115" i="62" a="1"/>
  <c r="H115" i="62"/>
  <c r="G204" i="62" a="1"/>
  <c r="G204" i="62"/>
  <c r="AI86" i="15"/>
  <c r="AI25" i="23"/>
  <c r="AI24" i="23"/>
  <c r="AI47" i="23"/>
  <c r="AI23" i="15"/>
  <c r="AI42" i="24"/>
  <c r="AJ33" i="23"/>
  <c r="AI52" i="15"/>
  <c r="AI48" i="23"/>
  <c r="AI59" i="23"/>
  <c r="AJ61" i="23"/>
  <c r="AI88" i="15"/>
  <c r="AI23" i="23"/>
  <c r="AI53" i="23"/>
  <c r="AI42" i="23"/>
  <c r="AJ34" i="23"/>
  <c r="AK11" i="55"/>
  <c r="M19" i="24"/>
  <c r="H28" i="55" a="1"/>
  <c r="H28" i="55"/>
  <c r="AI121" i="23"/>
  <c r="AI78" i="23"/>
  <c r="AJ22" i="23"/>
  <c r="AJ26" i="23"/>
  <c r="AJ23" i="23"/>
  <c r="AI21" i="23"/>
  <c r="P204" i="62"/>
  <c r="X204" i="62"/>
  <c r="AZ204" i="62"/>
  <c r="BH204" i="62"/>
  <c r="AH204" i="62"/>
  <c r="AP204" i="62"/>
  <c r="T204" i="62"/>
  <c r="AD204" i="62"/>
  <c r="L204" i="62"/>
  <c r="BD204" i="62"/>
  <c r="AL204" i="62"/>
  <c r="AV204" i="62"/>
  <c r="U204" i="62"/>
  <c r="BA204" i="62"/>
  <c r="Y204" i="62"/>
  <c r="BE204" i="62"/>
  <c r="AQ204" i="62"/>
  <c r="AM204" i="62"/>
  <c r="Q204" i="62"/>
  <c r="M204" i="62"/>
  <c r="BI204" i="62"/>
  <c r="AE204" i="62"/>
  <c r="AW204" i="62"/>
  <c r="AI204" i="62"/>
  <c r="H206" i="62" a="1"/>
  <c r="H206" i="62"/>
  <c r="I34" i="35"/>
  <c r="H34" i="35"/>
  <c r="H120" i="35"/>
  <c r="I206" i="35"/>
  <c r="I552" i="35"/>
  <c r="H292" i="35"/>
  <c r="F120" i="35"/>
  <c r="F119" i="35"/>
  <c r="F206" i="35"/>
  <c r="F205" i="35"/>
  <c r="F466" i="35"/>
  <c r="F465" i="35"/>
  <c r="P336" i="58"/>
  <c r="H380" i="35"/>
  <c r="I292" i="35"/>
  <c r="I380" i="35"/>
  <c r="I466" i="35"/>
  <c r="H206" i="35"/>
  <c r="H466" i="35"/>
  <c r="H552" i="35"/>
  <c r="F552" i="35"/>
  <c r="F551" i="35"/>
  <c r="F637" i="35"/>
  <c r="F636" i="35"/>
  <c r="L120" i="35"/>
  <c r="Q120" i="35"/>
  <c r="Q380" i="35"/>
  <c r="Q552" i="35"/>
  <c r="L34" i="35"/>
  <c r="Q34" i="35"/>
  <c r="S37" i="35"/>
  <c r="S123" i="35"/>
  <c r="S209" i="35"/>
  <c r="S295" i="35"/>
  <c r="S383" i="35"/>
  <c r="S469" i="35"/>
  <c r="S555" i="35"/>
  <c r="L292" i="35"/>
  <c r="Q292" i="35"/>
  <c r="Q466" i="35"/>
  <c r="G114" i="62" a="1"/>
  <c r="G114" i="62"/>
  <c r="H114" i="62" a="1"/>
  <c r="H114" i="62"/>
  <c r="F277" i="35"/>
  <c r="F276" i="35"/>
  <c r="H16" i="35"/>
  <c r="H102" i="35"/>
  <c r="H619" i="35"/>
  <c r="J619" i="35"/>
  <c r="G19" i="35"/>
  <c r="G191" i="35"/>
  <c r="G451" i="35"/>
  <c r="G622" i="35"/>
  <c r="J622" i="35"/>
  <c r="H362" i="35"/>
  <c r="K105" i="35"/>
  <c r="G102" i="62" a="1"/>
  <c r="G102" i="62"/>
  <c r="M105" i="35"/>
  <c r="M191" i="35"/>
  <c r="M277" i="35"/>
  <c r="M537" i="35"/>
  <c r="K188" i="35"/>
  <c r="K19" i="35"/>
  <c r="K191" i="35"/>
  <c r="K537" i="35"/>
  <c r="O537" i="35"/>
  <c r="K622" i="35"/>
  <c r="K277" i="35"/>
  <c r="K365" i="35"/>
  <c r="F451" i="35"/>
  <c r="F450" i="35"/>
  <c r="F537" i="35"/>
  <c r="F536" i="35"/>
  <c r="P204" i="58"/>
  <c r="G16" i="35"/>
  <c r="G362" i="35"/>
  <c r="F19" i="35"/>
  <c r="F18" i="35"/>
  <c r="F105" i="35"/>
  <c r="F104" i="35"/>
  <c r="H3" i="62" a="1"/>
  <c r="H3" i="62"/>
  <c r="G102" i="35"/>
  <c r="G188" i="35"/>
  <c r="P274" i="35"/>
  <c r="G448" i="35"/>
  <c r="K534" i="35"/>
  <c r="G534" i="35"/>
  <c r="N105" i="35"/>
  <c r="R277" i="35"/>
  <c r="G274" i="35"/>
  <c r="P448" i="35"/>
  <c r="N451" i="35"/>
  <c r="O451" i="35"/>
  <c r="P16" i="35"/>
  <c r="T16" i="35"/>
  <c r="P619" i="35"/>
  <c r="R19" i="35"/>
  <c r="R451" i="35"/>
  <c r="R622" i="35"/>
  <c r="T622" i="35"/>
  <c r="AI71" i="15"/>
  <c r="S102" i="35"/>
  <c r="P188" i="35"/>
  <c r="P362" i="35"/>
  <c r="S534" i="35"/>
  <c r="P105" i="35"/>
  <c r="T105" i="35"/>
  <c r="R191" i="35"/>
  <c r="T191" i="35"/>
  <c r="P277" i="35"/>
  <c r="T277" i="35"/>
  <c r="R365" i="35"/>
  <c r="P102" i="35"/>
  <c r="S274" i="35"/>
  <c r="P19" i="35"/>
  <c r="P451" i="35"/>
  <c r="K102" i="35"/>
  <c r="K448" i="35"/>
  <c r="N19" i="35"/>
  <c r="N365" i="35"/>
  <c r="K16" i="35"/>
  <c r="K362" i="35"/>
  <c r="N277" i="35"/>
  <c r="N622" i="35"/>
  <c r="K274" i="35"/>
  <c r="N191" i="35"/>
  <c r="I19" i="35"/>
  <c r="I105" i="35"/>
  <c r="I191" i="35"/>
  <c r="I277" i="35"/>
  <c r="I365" i="35"/>
  <c r="J365" i="35"/>
  <c r="I451" i="35"/>
  <c r="I537" i="35"/>
  <c r="AJ53" i="15"/>
  <c r="F16" i="35"/>
  <c r="F15" i="35"/>
  <c r="F102" i="35"/>
  <c r="F101" i="35"/>
  <c r="F188" i="35"/>
  <c r="F187" i="35"/>
  <c r="F274" i="35"/>
  <c r="F273" i="35"/>
  <c r="F362" i="35"/>
  <c r="F361" i="35"/>
  <c r="F448" i="35"/>
  <c r="F447" i="35"/>
  <c r="F534" i="35"/>
  <c r="F533" i="35"/>
  <c r="AA63" i="15"/>
  <c r="AI63" i="15"/>
  <c r="T38" i="23"/>
  <c r="AJ38" i="23"/>
  <c r="AI38" i="23"/>
  <c r="AA35" i="23"/>
  <c r="AI35" i="23"/>
  <c r="M68" i="24"/>
  <c r="H63" i="55" a="1"/>
  <c r="H63" i="55"/>
  <c r="AI124" i="23"/>
  <c r="AI89" i="15"/>
  <c r="AI53" i="24"/>
  <c r="AI30" i="23"/>
  <c r="AJ32" i="23"/>
  <c r="AI31" i="23"/>
  <c r="AI55" i="24"/>
  <c r="AI69" i="15"/>
  <c r="AI97" i="15"/>
  <c r="AI82" i="15"/>
  <c r="AI57" i="24"/>
  <c r="AI60" i="23"/>
  <c r="AI160" i="23"/>
  <c r="AA21" i="23"/>
  <c r="AJ21" i="23"/>
  <c r="AJ31" i="23"/>
  <c r="AI28" i="23"/>
  <c r="AI32" i="23"/>
  <c r="AA29" i="23"/>
  <c r="AJ29" i="23"/>
  <c r="AI29" i="23"/>
  <c r="AI83" i="23"/>
  <c r="AI128" i="23"/>
  <c r="AI26" i="23"/>
  <c r="AI18" i="15"/>
  <c r="AI58" i="24"/>
  <c r="AI49" i="15"/>
  <c r="AJ23" i="15"/>
  <c r="AI35" i="15"/>
  <c r="AI51" i="23"/>
  <c r="AI50" i="24"/>
  <c r="AI34" i="23"/>
  <c r="AI39" i="23"/>
  <c r="AJ28" i="23"/>
  <c r="AJ35" i="15"/>
  <c r="T42" i="24"/>
  <c r="AJ49" i="24"/>
  <c r="I159" i="35"/>
  <c r="I245" i="35"/>
  <c r="I331" i="35"/>
  <c r="I73" i="35"/>
  <c r="N159" i="35"/>
  <c r="N73" i="35"/>
  <c r="N331" i="35"/>
  <c r="S159" i="35"/>
  <c r="S73" i="35"/>
  <c r="S331" i="35"/>
  <c r="AJ46" i="23"/>
  <c r="AJ24" i="23"/>
  <c r="AJ75" i="15"/>
  <c r="AJ42" i="23"/>
  <c r="AJ41" i="23"/>
  <c r="AI37" i="23"/>
  <c r="L73" i="35"/>
  <c r="Q73" i="35"/>
  <c r="G159" i="35"/>
  <c r="L159" i="35"/>
  <c r="F331" i="35"/>
  <c r="F330" i="35"/>
  <c r="P331" i="35"/>
  <c r="G245" i="35"/>
  <c r="AD139" i="55"/>
  <c r="AZ139" i="55"/>
  <c r="BH143" i="55"/>
  <c r="K661" i="35"/>
  <c r="K576" i="35"/>
  <c r="P661" i="35"/>
  <c r="P576" i="35"/>
  <c r="I579" i="35"/>
  <c r="I493" i="35"/>
  <c r="N579" i="35"/>
  <c r="N493" i="35"/>
  <c r="S579" i="35"/>
  <c r="S493" i="35"/>
  <c r="S407" i="35"/>
  <c r="F64" i="35"/>
  <c r="F63" i="35"/>
  <c r="G64" i="35"/>
  <c r="K64" i="35"/>
  <c r="L64" i="35"/>
  <c r="Q58" i="35"/>
  <c r="Q64" i="35"/>
  <c r="F144" i="35"/>
  <c r="F143" i="35"/>
  <c r="K144" i="35"/>
  <c r="O144" i="35"/>
  <c r="P144" i="35"/>
  <c r="K150" i="35"/>
  <c r="F150" i="35"/>
  <c r="F149" i="35"/>
  <c r="Q150" i="35"/>
  <c r="G233" i="35"/>
  <c r="G232" i="35"/>
  <c r="L233" i="35"/>
  <c r="P230" i="35"/>
  <c r="S230" i="35"/>
  <c r="F319" i="35"/>
  <c r="F318" i="35"/>
  <c r="G319" i="35"/>
  <c r="G318" i="35"/>
  <c r="K319" i="35"/>
  <c r="L319" i="35"/>
  <c r="P319" i="35"/>
  <c r="Q319" i="35"/>
  <c r="F407" i="35"/>
  <c r="F406" i="35"/>
  <c r="G407" i="35"/>
  <c r="K407" i="35"/>
  <c r="L407" i="35"/>
  <c r="P407" i="35"/>
  <c r="S404" i="35"/>
  <c r="G493" i="35"/>
  <c r="G492" i="35"/>
  <c r="L493" i="35"/>
  <c r="Q493" i="35"/>
  <c r="Q579" i="35"/>
  <c r="I410" i="35"/>
  <c r="N496" i="35"/>
  <c r="S582" i="35"/>
  <c r="H277" i="62" a="1"/>
  <c r="H277" i="62"/>
  <c r="G277" i="62" a="1"/>
  <c r="G277" i="62"/>
  <c r="G576" i="35"/>
  <c r="G490" i="35"/>
  <c r="L576" i="35"/>
  <c r="L490" i="35"/>
  <c r="F496" i="35"/>
  <c r="F495" i="35"/>
  <c r="F667" i="35"/>
  <c r="F666" i="35"/>
  <c r="F410" i="35"/>
  <c r="F409" i="35"/>
  <c r="F322" i="35"/>
  <c r="F321" i="35"/>
  <c r="F582" i="35"/>
  <c r="F581" i="35"/>
  <c r="G667" i="35"/>
  <c r="G582" i="35"/>
  <c r="G410" i="35"/>
  <c r="G322" i="35"/>
  <c r="G496" i="35"/>
  <c r="K496" i="35"/>
  <c r="K667" i="35"/>
  <c r="K410" i="35"/>
  <c r="K322" i="35"/>
  <c r="K582" i="35"/>
  <c r="L667" i="35"/>
  <c r="L582" i="35"/>
  <c r="L410" i="35"/>
  <c r="L322" i="35"/>
  <c r="L496" i="35"/>
  <c r="P496" i="35"/>
  <c r="P667" i="35"/>
  <c r="P410" i="35"/>
  <c r="P322" i="35"/>
  <c r="P582" i="35"/>
  <c r="Q667" i="35"/>
  <c r="Q582" i="35"/>
  <c r="Q410" i="35"/>
  <c r="Q322" i="35"/>
  <c r="Q496" i="35"/>
  <c r="G58" i="35"/>
  <c r="H64" i="35"/>
  <c r="L58" i="35"/>
  <c r="M64" i="35"/>
  <c r="R64" i="35"/>
  <c r="N150" i="35"/>
  <c r="I150" i="35"/>
  <c r="P150" i="35"/>
  <c r="Q144" i="35"/>
  <c r="R150" i="35"/>
  <c r="G230" i="35"/>
  <c r="L230" i="35"/>
  <c r="H233" i="35"/>
  <c r="M233" i="35"/>
  <c r="P233" i="35"/>
  <c r="Q233" i="35"/>
  <c r="G316" i="35"/>
  <c r="H319" i="35"/>
  <c r="L316" i="35"/>
  <c r="M319" i="35"/>
  <c r="Q316" i="35"/>
  <c r="R319" i="35"/>
  <c r="G404" i="35"/>
  <c r="L404" i="35"/>
  <c r="Q404" i="35"/>
  <c r="F493" i="35"/>
  <c r="F492" i="35"/>
  <c r="K490" i="35"/>
  <c r="P490" i="35"/>
  <c r="F576" i="35"/>
  <c r="F575" i="35"/>
  <c r="K579" i="35"/>
  <c r="G661" i="35"/>
  <c r="I322" i="35"/>
  <c r="N410" i="35"/>
  <c r="S496" i="35"/>
  <c r="I667" i="35"/>
  <c r="AI54" i="23"/>
  <c r="M331" i="35"/>
  <c r="P103" i="55"/>
  <c r="AP119" i="55"/>
  <c r="H576" i="35"/>
  <c r="H490" i="35"/>
  <c r="H661" i="35"/>
  <c r="M576" i="35"/>
  <c r="M490" i="35"/>
  <c r="M661" i="35"/>
  <c r="R490" i="35"/>
  <c r="R661" i="35"/>
  <c r="R576" i="35"/>
  <c r="H582" i="35"/>
  <c r="H667" i="35"/>
  <c r="H496" i="35"/>
  <c r="H410" i="35"/>
  <c r="H322" i="35"/>
  <c r="M582" i="35"/>
  <c r="M667" i="35"/>
  <c r="M496" i="35"/>
  <c r="M410" i="35"/>
  <c r="M322" i="35"/>
  <c r="R582" i="35"/>
  <c r="R667" i="35"/>
  <c r="R496" i="35"/>
  <c r="R410" i="35"/>
  <c r="R322" i="35"/>
  <c r="H58" i="35"/>
  <c r="I64" i="35"/>
  <c r="M58" i="35"/>
  <c r="N64" i="35"/>
  <c r="S64" i="35"/>
  <c r="I144" i="35"/>
  <c r="M150" i="35"/>
  <c r="H150" i="35"/>
  <c r="R144" i="35"/>
  <c r="S150" i="35"/>
  <c r="H230" i="35"/>
  <c r="I236" i="35"/>
  <c r="M230" i="35"/>
  <c r="N236" i="35"/>
  <c r="I233" i="35"/>
  <c r="N233" i="35"/>
  <c r="P236" i="35"/>
  <c r="Q230" i="35"/>
  <c r="S236" i="35"/>
  <c r="H316" i="35"/>
  <c r="I319" i="35"/>
  <c r="M316" i="35"/>
  <c r="N319" i="35"/>
  <c r="R316" i="35"/>
  <c r="S319" i="35"/>
  <c r="H404" i="35"/>
  <c r="I407" i="35"/>
  <c r="M404" i="35"/>
  <c r="N407" i="35"/>
  <c r="F490" i="35"/>
  <c r="F489" i="35"/>
  <c r="P493" i="35"/>
  <c r="L661" i="35"/>
  <c r="N322" i="35"/>
  <c r="S410" i="35"/>
  <c r="I582" i="35"/>
  <c r="N667" i="35"/>
  <c r="N661" i="35"/>
  <c r="N576" i="35"/>
  <c r="S661" i="35"/>
  <c r="S576" i="35"/>
  <c r="H579" i="35"/>
  <c r="H493" i="35"/>
  <c r="M579" i="35"/>
  <c r="M493" i="35"/>
  <c r="R147" i="35"/>
  <c r="R579" i="35"/>
  <c r="R493" i="35"/>
  <c r="R407" i="35"/>
  <c r="I58" i="35"/>
  <c r="N58" i="35"/>
  <c r="S144" i="35"/>
  <c r="I230" i="35"/>
  <c r="N230" i="35"/>
  <c r="I316" i="35"/>
  <c r="N316" i="35"/>
  <c r="S316" i="35"/>
  <c r="I404" i="35"/>
  <c r="N404" i="35"/>
  <c r="I490" i="35"/>
  <c r="N490" i="35"/>
  <c r="S490" i="35"/>
  <c r="I576" i="35"/>
  <c r="S322" i="35"/>
  <c r="F43" i="35"/>
  <c r="F42" i="35"/>
  <c r="G34" i="35"/>
  <c r="G120" i="35"/>
  <c r="G206" i="35"/>
  <c r="G292" i="35"/>
  <c r="G380" i="35"/>
  <c r="L380" i="35"/>
  <c r="G466" i="35"/>
  <c r="L466" i="35"/>
  <c r="G552" i="35"/>
  <c r="L552" i="35"/>
  <c r="O552" i="35"/>
  <c r="H40" i="35"/>
  <c r="M40" i="35"/>
  <c r="R40" i="35"/>
  <c r="H126" i="35"/>
  <c r="M126" i="35"/>
  <c r="R126" i="35"/>
  <c r="H298" i="35"/>
  <c r="M298" i="35"/>
  <c r="R298" i="35"/>
  <c r="H386" i="35"/>
  <c r="M386" i="35"/>
  <c r="R386" i="35"/>
  <c r="K472" i="35"/>
  <c r="P472" i="35"/>
  <c r="F558" i="35"/>
  <c r="F557" i="35"/>
  <c r="K558" i="35"/>
  <c r="P558" i="35"/>
  <c r="F643" i="35"/>
  <c r="F642" i="35"/>
  <c r="K643" i="35"/>
  <c r="P643" i="35"/>
  <c r="G43" i="35"/>
  <c r="L43" i="35"/>
  <c r="Q43" i="35"/>
  <c r="G129" i="35"/>
  <c r="L129" i="35"/>
  <c r="Q129" i="35"/>
  <c r="G215" i="35"/>
  <c r="L215" i="35"/>
  <c r="Q215" i="35"/>
  <c r="G301" i="35"/>
  <c r="L301" i="35"/>
  <c r="Q301" i="35"/>
  <c r="G389" i="35"/>
  <c r="L389" i="35"/>
  <c r="Q389" i="35"/>
  <c r="G475" i="35"/>
  <c r="L475" i="35"/>
  <c r="Q475" i="35"/>
  <c r="G561" i="35"/>
  <c r="L561" i="35"/>
  <c r="L646" i="35"/>
  <c r="F212" i="35"/>
  <c r="F211" i="35"/>
  <c r="K212" i="35"/>
  <c r="P212" i="35"/>
  <c r="I40" i="35"/>
  <c r="N40" i="35"/>
  <c r="S40" i="35"/>
  <c r="I126" i="35"/>
  <c r="N126" i="35"/>
  <c r="S126" i="35"/>
  <c r="I298" i="35"/>
  <c r="N298" i="35"/>
  <c r="S298" i="35"/>
  <c r="I386" i="35"/>
  <c r="N386" i="35"/>
  <c r="S386" i="35"/>
  <c r="L472" i="35"/>
  <c r="Q472" i="35"/>
  <c r="G558" i="35"/>
  <c r="L558" i="35"/>
  <c r="Q558" i="35"/>
  <c r="G643" i="35"/>
  <c r="L643" i="35"/>
  <c r="Q643" i="35"/>
  <c r="H43" i="35"/>
  <c r="M43" i="35"/>
  <c r="R43" i="35"/>
  <c r="H129" i="35"/>
  <c r="M129" i="35"/>
  <c r="R129" i="35"/>
  <c r="H215" i="35"/>
  <c r="M215" i="35"/>
  <c r="R215" i="35"/>
  <c r="H301" i="35"/>
  <c r="M301" i="35"/>
  <c r="R301" i="35"/>
  <c r="H389" i="35"/>
  <c r="M389" i="35"/>
  <c r="R389" i="35"/>
  <c r="H475" i="35"/>
  <c r="M475" i="35"/>
  <c r="R475" i="35"/>
  <c r="H561" i="35"/>
  <c r="M561" i="35"/>
  <c r="M646" i="35"/>
  <c r="G212" i="35"/>
  <c r="L212" i="35"/>
  <c r="Q212" i="35"/>
  <c r="G547" i="35"/>
  <c r="F546" i="35"/>
  <c r="F545" i="35"/>
  <c r="K40" i="35"/>
  <c r="P40" i="35"/>
  <c r="F126" i="35"/>
  <c r="F125" i="35"/>
  <c r="K126" i="35"/>
  <c r="P126" i="35"/>
  <c r="F298" i="35"/>
  <c r="F297" i="35"/>
  <c r="K298" i="35"/>
  <c r="P298" i="35"/>
  <c r="F386" i="35"/>
  <c r="F385" i="35"/>
  <c r="H472" i="35"/>
  <c r="M472" i="35"/>
  <c r="R472" i="35"/>
  <c r="H558" i="35"/>
  <c r="M558" i="35"/>
  <c r="R558" i="35"/>
  <c r="H643" i="35"/>
  <c r="M643" i="35"/>
  <c r="R643" i="35"/>
  <c r="I43" i="35"/>
  <c r="N43" i="35"/>
  <c r="S43" i="35"/>
  <c r="I129" i="35"/>
  <c r="N129" i="35"/>
  <c r="S129" i="35"/>
  <c r="I215" i="35"/>
  <c r="N215" i="35"/>
  <c r="S215" i="35"/>
  <c r="I301" i="35"/>
  <c r="N301" i="35"/>
  <c r="S301" i="35"/>
  <c r="I389" i="35"/>
  <c r="N389" i="35"/>
  <c r="S389" i="35"/>
  <c r="I475" i="35"/>
  <c r="N475" i="35"/>
  <c r="S475" i="35"/>
  <c r="I561" i="35"/>
  <c r="N561" i="35"/>
  <c r="N646" i="35"/>
  <c r="F40" i="35"/>
  <c r="F39" i="35"/>
  <c r="G40" i="35"/>
  <c r="L40" i="35"/>
  <c r="Q40" i="35"/>
  <c r="G126" i="35"/>
  <c r="L126" i="35"/>
  <c r="Q126" i="35"/>
  <c r="G298" i="35"/>
  <c r="L298" i="35"/>
  <c r="Q298" i="35"/>
  <c r="G386" i="35"/>
  <c r="I472" i="35"/>
  <c r="N472" i="35"/>
  <c r="S472" i="35"/>
  <c r="I558" i="35"/>
  <c r="N558" i="35"/>
  <c r="S558" i="35"/>
  <c r="I643" i="35"/>
  <c r="N643" i="35"/>
  <c r="S643" i="35"/>
  <c r="K43" i="35"/>
  <c r="P43" i="35"/>
  <c r="F129" i="35"/>
  <c r="F128" i="35"/>
  <c r="K129" i="35"/>
  <c r="O129" i="35"/>
  <c r="P129" i="35"/>
  <c r="T129" i="35"/>
  <c r="F215" i="35"/>
  <c r="F214" i="35"/>
  <c r="K215" i="35"/>
  <c r="P215" i="35"/>
  <c r="F301" i="35"/>
  <c r="F300" i="35"/>
  <c r="K301" i="35"/>
  <c r="P301" i="35"/>
  <c r="F389" i="35"/>
  <c r="F388" i="35"/>
  <c r="K389" i="35"/>
  <c r="O389" i="35"/>
  <c r="P389" i="35"/>
  <c r="T389" i="35"/>
  <c r="F475" i="35"/>
  <c r="F474" i="35"/>
  <c r="K475" i="35"/>
  <c r="P475" i="35"/>
  <c r="F561" i="35"/>
  <c r="F560" i="35"/>
  <c r="K561" i="35"/>
  <c r="O561" i="35"/>
  <c r="K646" i="35"/>
  <c r="O646" i="35"/>
  <c r="H396" i="62" a="1"/>
  <c r="H396" i="62"/>
  <c r="H547" i="35"/>
  <c r="G546" i="35"/>
  <c r="G216" i="62" a="1"/>
  <c r="G216" i="62"/>
  <c r="P82" i="62"/>
  <c r="BD6" i="62"/>
  <c r="X30" i="62"/>
  <c r="T50" i="62"/>
  <c r="P58" i="62"/>
  <c r="AD109" i="62"/>
  <c r="BH296" i="62"/>
  <c r="X78" i="62"/>
  <c r="X98" i="62"/>
  <c r="L22" i="62"/>
  <c r="AV30" i="62"/>
  <c r="P54" i="62"/>
  <c r="P62" i="62"/>
  <c r="AL70" i="55"/>
  <c r="L70" i="55"/>
  <c r="T70" i="55"/>
  <c r="AV70" i="55"/>
  <c r="L326" i="62"/>
  <c r="X20" i="62"/>
  <c r="X44" i="62"/>
  <c r="T103" i="62"/>
  <c r="L12" i="61"/>
  <c r="X16" i="61"/>
  <c r="AL20" i="61"/>
  <c r="P84" i="61"/>
  <c r="AD98" i="61"/>
  <c r="X148" i="55"/>
  <c r="X120" i="55"/>
  <c r="AD104" i="55"/>
  <c r="AH96" i="55"/>
  <c r="AH326" i="62"/>
  <c r="X96" i="62"/>
  <c r="T28" i="62"/>
  <c r="X48" i="62"/>
  <c r="L20" i="61"/>
  <c r="P8" i="61"/>
  <c r="P88" i="61"/>
  <c r="L104" i="61"/>
  <c r="T168" i="61"/>
  <c r="AL70" i="61"/>
  <c r="AV70" i="61"/>
  <c r="L70" i="61"/>
  <c r="T70" i="61"/>
  <c r="T70" i="62"/>
  <c r="AV70" i="62"/>
  <c r="L70" i="62"/>
  <c r="AL70" i="62"/>
  <c r="L52" i="62"/>
  <c r="L28" i="61"/>
  <c r="X28" i="61"/>
  <c r="AL8" i="61"/>
  <c r="BH32" i="61"/>
  <c r="AV20" i="61"/>
  <c r="BH8" i="61"/>
  <c r="AV4" i="61"/>
  <c r="L52" i="61"/>
  <c r="L100" i="61"/>
  <c r="T112" i="61"/>
  <c r="AP148" i="55"/>
  <c r="L152" i="55"/>
  <c r="AD132" i="55"/>
  <c r="L108" i="55"/>
  <c r="L92" i="55"/>
  <c r="AV22" i="62"/>
  <c r="H211" i="62" a="1"/>
  <c r="H211" i="62"/>
  <c r="H208" i="62" a="1"/>
  <c r="H208" i="62"/>
  <c r="H205" i="62" a="1"/>
  <c r="H205" i="62"/>
  <c r="AI82" i="23"/>
  <c r="AI129" i="23"/>
  <c r="AI52" i="23"/>
  <c r="AA45" i="15"/>
  <c r="AI45" i="15"/>
  <c r="AI56" i="24"/>
  <c r="AI61" i="23"/>
  <c r="AI57" i="23"/>
  <c r="AI47" i="15"/>
  <c r="AI130" i="23"/>
  <c r="AJ52" i="23"/>
  <c r="AJ47" i="23"/>
  <c r="T54" i="23"/>
  <c r="AJ54" i="23"/>
  <c r="AJ39" i="23"/>
  <c r="AI52" i="24"/>
  <c r="AI41" i="23"/>
  <c r="T38" i="15"/>
  <c r="AI38" i="15"/>
  <c r="T26" i="15"/>
  <c r="AI26" i="15"/>
  <c r="AI122" i="23"/>
  <c r="AJ44" i="23"/>
  <c r="AA49" i="23"/>
  <c r="AJ49" i="23"/>
  <c r="AI49" i="23"/>
  <c r="T64" i="15"/>
  <c r="AI64" i="15"/>
  <c r="T73" i="15"/>
  <c r="AI73" i="15"/>
  <c r="AJ43" i="23"/>
  <c r="AA40" i="23"/>
  <c r="AJ40" i="23"/>
  <c r="AI40" i="23"/>
  <c r="AA36" i="23"/>
  <c r="AJ36" i="23"/>
  <c r="AI36" i="23"/>
  <c r="AJ35" i="23"/>
  <c r="T80" i="23"/>
  <c r="AJ80" i="23"/>
  <c r="AI80" i="23"/>
  <c r="AA77" i="23"/>
  <c r="AJ77" i="23"/>
  <c r="AI77" i="23"/>
  <c r="AI49" i="24"/>
  <c r="AI44" i="15"/>
  <c r="AI60" i="24"/>
  <c r="AI125" i="23"/>
  <c r="AI32" i="15"/>
  <c r="AI54" i="24"/>
  <c r="AI126" i="23"/>
  <c r="AI81" i="23"/>
  <c r="AI120" i="23"/>
  <c r="AI43" i="23"/>
  <c r="AH59" i="23"/>
  <c r="AJ59" i="23"/>
  <c r="AA127" i="23"/>
  <c r="AJ127" i="23"/>
  <c r="AI127" i="23"/>
  <c r="AJ58" i="24"/>
  <c r="T87" i="15"/>
  <c r="AI87" i="15"/>
  <c r="AI22" i="23"/>
  <c r="AJ83" i="23"/>
  <c r="AA27" i="23"/>
  <c r="AI27" i="23"/>
  <c r="K550" i="35"/>
  <c r="F549" i="35"/>
  <c r="F548" i="35"/>
  <c r="N550" i="35"/>
  <c r="N548" i="35"/>
  <c r="I549" i="35"/>
  <c r="Q550" i="35"/>
  <c r="L549" i="35"/>
  <c r="AJ51" i="24"/>
  <c r="H241" i="61" a="1"/>
  <c r="H241" i="61"/>
  <c r="AJ125" i="23"/>
  <c r="L550" i="35"/>
  <c r="G549" i="35"/>
  <c r="G548" i="35"/>
  <c r="S484" i="35"/>
  <c r="T484" i="35"/>
  <c r="P550" i="35"/>
  <c r="K549" i="35"/>
  <c r="R550" i="35"/>
  <c r="R548" i="35"/>
  <c r="M549" i="35"/>
  <c r="M550" i="35"/>
  <c r="H549" i="35"/>
  <c r="AV29" i="61"/>
  <c r="AL3" i="62"/>
  <c r="AH17" i="61"/>
  <c r="AV376" i="62"/>
  <c r="AV101" i="61"/>
  <c r="AL201" i="61"/>
  <c r="P159" i="55"/>
  <c r="X115" i="55"/>
  <c r="X99" i="55"/>
  <c r="P91" i="55"/>
  <c r="AV111" i="55"/>
  <c r="P106" i="62"/>
  <c r="AD102" i="62"/>
  <c r="L106" i="62"/>
  <c r="BH109" i="62"/>
  <c r="T102" i="62"/>
  <c r="X71" i="62"/>
  <c r="X83" i="62"/>
  <c r="L91" i="62"/>
  <c r="BD95" i="62"/>
  <c r="BH15" i="62"/>
  <c r="L23" i="62"/>
  <c r="T31" i="62"/>
  <c r="T39" i="62"/>
  <c r="T59" i="62"/>
  <c r="P67" i="62"/>
  <c r="T79" i="62"/>
  <c r="X87" i="62"/>
  <c r="T7" i="62"/>
  <c r="BH11" i="62"/>
  <c r="T19" i="62"/>
  <c r="T27" i="62"/>
  <c r="L31" i="62"/>
  <c r="T51" i="62"/>
  <c r="P59" i="62"/>
  <c r="L71" i="62"/>
  <c r="L79" i="62"/>
  <c r="X95" i="62"/>
  <c r="T99" i="62"/>
  <c r="BH7" i="62"/>
  <c r="X15" i="62"/>
  <c r="P19" i="62"/>
  <c r="X35" i="62"/>
  <c r="P43" i="62"/>
  <c r="L51" i="62"/>
  <c r="X74" i="62"/>
  <c r="L94" i="62"/>
  <c r="L98" i="62"/>
  <c r="T66" i="62"/>
  <c r="L86" i="62"/>
  <c r="BH90" i="62"/>
  <c r="P98" i="62"/>
  <c r="AV58" i="62"/>
  <c r="P79" i="55"/>
  <c r="T135" i="55"/>
  <c r="T111" i="55"/>
  <c r="T103" i="55"/>
  <c r="T95" i="55"/>
  <c r="AL155" i="55"/>
  <c r="AL143" i="55"/>
  <c r="AL123" i="55"/>
  <c r="AL115" i="55"/>
  <c r="AL107" i="55"/>
  <c r="AL99" i="55"/>
  <c r="AL91" i="55"/>
  <c r="BD135" i="55"/>
  <c r="BD127" i="55"/>
  <c r="BD119" i="55"/>
  <c r="M181" i="55"/>
  <c r="Q181" i="55"/>
  <c r="L181" i="55"/>
  <c r="P181" i="55"/>
  <c r="BH181" i="55"/>
  <c r="T181" i="55"/>
  <c r="AP181" i="55"/>
  <c r="AV181" i="55"/>
  <c r="BD181" i="55"/>
  <c r="AL181" i="55"/>
  <c r="AD181" i="55"/>
  <c r="X181" i="55"/>
  <c r="AZ181" i="55"/>
  <c r="AH181" i="55"/>
  <c r="BA181" i="55"/>
  <c r="BI181" i="55"/>
  <c r="BE181" i="55"/>
  <c r="AI181" i="55"/>
  <c r="Y181" i="55"/>
  <c r="AE181" i="55"/>
  <c r="AW181" i="55"/>
  <c r="AM181" i="55"/>
  <c r="U181" i="55"/>
  <c r="AQ181" i="55"/>
  <c r="P36" i="61"/>
  <c r="P28" i="61"/>
  <c r="P16" i="61"/>
  <c r="T32" i="61"/>
  <c r="T24" i="61"/>
  <c r="T16" i="61"/>
  <c r="T8" i="61"/>
  <c r="X24" i="61"/>
  <c r="AL32" i="61"/>
  <c r="AH24" i="61"/>
  <c r="AH20" i="61"/>
  <c r="AD12" i="61"/>
  <c r="AH8" i="61"/>
  <c r="AL4" i="61"/>
  <c r="AZ36" i="61"/>
  <c r="AZ32" i="61"/>
  <c r="BH24" i="61"/>
  <c r="AZ8" i="61"/>
  <c r="L88" i="61"/>
  <c r="P68" i="61"/>
  <c r="P64" i="61"/>
  <c r="T196" i="61"/>
  <c r="T192" i="61"/>
  <c r="T176" i="61"/>
  <c r="T152" i="61"/>
  <c r="T124" i="61"/>
  <c r="AH155" i="55"/>
  <c r="P155" i="55"/>
  <c r="AH131" i="55"/>
  <c r="AH111" i="55"/>
  <c r="X103" i="55"/>
  <c r="L95" i="55"/>
  <c r="X91" i="55"/>
  <c r="AZ135" i="55"/>
  <c r="AV123" i="55"/>
  <c r="AV115" i="55"/>
  <c r="AZ107" i="55"/>
  <c r="AZ95" i="55"/>
  <c r="AV119" i="55"/>
  <c r="BH91" i="55"/>
  <c r="BH57" i="55"/>
  <c r="AV57" i="55"/>
  <c r="AH57" i="55"/>
  <c r="AZ17" i="55"/>
  <c r="T123" i="55"/>
  <c r="T115" i="55"/>
  <c r="AL151" i="55"/>
  <c r="AL139" i="55"/>
  <c r="AL131" i="55"/>
  <c r="BD103" i="55"/>
  <c r="BD95" i="55"/>
  <c r="L32" i="61"/>
  <c r="L24" i="61"/>
  <c r="L16" i="61"/>
  <c r="L8" i="61"/>
  <c r="P24" i="61"/>
  <c r="P4" i="61"/>
  <c r="X32" i="61"/>
  <c r="X12" i="61"/>
  <c r="AH36" i="61"/>
  <c r="AH32" i="61"/>
  <c r="AD20" i="61"/>
  <c r="AH16" i="61"/>
  <c r="AD8" i="61"/>
  <c r="AH4" i="61"/>
  <c r="AV36" i="61"/>
  <c r="AV32" i="61"/>
  <c r="AZ24" i="61"/>
  <c r="BH16" i="61"/>
  <c r="AV8" i="61"/>
  <c r="BH4" i="61"/>
  <c r="AV100" i="61"/>
  <c r="T160" i="61"/>
  <c r="T144" i="61"/>
  <c r="BD116" i="61"/>
  <c r="BD112" i="61"/>
  <c r="AH159" i="55"/>
  <c r="P135" i="55"/>
  <c r="P131" i="55"/>
  <c r="P123" i="55"/>
  <c r="X119" i="55"/>
  <c r="X111" i="55"/>
  <c r="AP155" i="55"/>
  <c r="AV135" i="55"/>
  <c r="AH123" i="55"/>
  <c r="AP115" i="55"/>
  <c r="AZ103" i="55"/>
  <c r="AV91" i="55"/>
  <c r="BH115" i="55"/>
  <c r="BD53" i="55"/>
  <c r="AP53" i="55"/>
  <c r="AD53" i="55"/>
  <c r="T139" i="55"/>
  <c r="T107" i="55"/>
  <c r="T99" i="55"/>
  <c r="T91" i="55"/>
  <c r="AL147" i="55"/>
  <c r="AL119" i="55"/>
  <c r="AL111" i="55"/>
  <c r="AL103" i="55"/>
  <c r="AL95" i="55"/>
  <c r="BD139" i="55"/>
  <c r="BD131" i="55"/>
  <c r="BD123" i="55"/>
  <c r="BD115" i="55"/>
  <c r="P32" i="61"/>
  <c r="P12" i="61"/>
  <c r="T28" i="61"/>
  <c r="T20" i="61"/>
  <c r="T12" i="61"/>
  <c r="T4" i="61"/>
  <c r="X20" i="61"/>
  <c r="AL28" i="61"/>
  <c r="AD4" i="61"/>
  <c r="T172" i="61"/>
  <c r="T164" i="61"/>
  <c r="X151" i="55"/>
  <c r="X143" i="55"/>
  <c r="L139" i="55"/>
  <c r="L135" i="55"/>
  <c r="X131" i="55"/>
  <c r="P107" i="55"/>
  <c r="AH103" i="55"/>
  <c r="AZ111" i="55"/>
  <c r="X57" i="55"/>
  <c r="T45" i="55"/>
  <c r="T29" i="55"/>
  <c r="AV34" i="62"/>
  <c r="S550" i="35"/>
  <c r="S548" i="35"/>
  <c r="L129" i="17"/>
  <c r="X401" i="62"/>
  <c r="H412" i="62" a="1"/>
  <c r="H412" i="62"/>
  <c r="G218" i="62" a="1"/>
  <c r="G218" i="62"/>
  <c r="F44" i="21"/>
  <c r="G287" i="62" a="1"/>
  <c r="G287" i="62"/>
  <c r="G217" i="62" a="1"/>
  <c r="G217" i="62"/>
  <c r="AV90" i="62"/>
  <c r="AV44" i="62"/>
  <c r="AD296" i="62"/>
  <c r="AZ296" i="62"/>
  <c r="T326" i="62"/>
  <c r="P326" i="62"/>
  <c r="AD106" i="62"/>
  <c r="P102" i="62"/>
  <c r="T71" i="62"/>
  <c r="X75" i="62"/>
  <c r="BD75" i="62"/>
  <c r="L83" i="62"/>
  <c r="L87" i="62"/>
  <c r="P91" i="62"/>
  <c r="X99" i="62"/>
  <c r="L7" i="62"/>
  <c r="X11" i="62"/>
  <c r="X19" i="62"/>
  <c r="L19" i="62"/>
  <c r="X43" i="62"/>
  <c r="L47" i="62"/>
  <c r="T55" i="62"/>
  <c r="L59" i="62"/>
  <c r="P63" i="62"/>
  <c r="L67" i="62"/>
  <c r="BD147" i="62"/>
  <c r="X156" i="62"/>
  <c r="BH108" i="62"/>
  <c r="P388" i="62"/>
  <c r="P164" i="62"/>
  <c r="P296" i="62"/>
  <c r="AD326" i="62"/>
  <c r="M106" i="62"/>
  <c r="X102" i="62"/>
  <c r="BH102" i="62"/>
  <c r="BD71" i="62"/>
  <c r="P71" i="62"/>
  <c r="L75" i="62"/>
  <c r="P79" i="62"/>
  <c r="T87" i="62"/>
  <c r="BD91" i="62"/>
  <c r="L95" i="62"/>
  <c r="P99" i="62"/>
  <c r="L11" i="62"/>
  <c r="BD15" i="62"/>
  <c r="P15" i="62"/>
  <c r="X27" i="62"/>
  <c r="P31" i="62"/>
  <c r="T35" i="62"/>
  <c r="L35" i="62"/>
  <c r="T43" i="62"/>
  <c r="X47" i="62"/>
  <c r="L55" i="62"/>
  <c r="T63" i="62"/>
  <c r="T67" i="62"/>
  <c r="T166" i="62"/>
  <c r="AV38" i="62"/>
  <c r="AV18" i="62"/>
  <c r="BD78" i="62"/>
  <c r="AV86" i="62"/>
  <c r="AV46" i="62"/>
  <c r="AV26" i="62"/>
  <c r="AV14" i="62"/>
  <c r="BH105" i="62"/>
  <c r="BD70" i="62"/>
  <c r="BD22" i="62"/>
  <c r="AZ109" i="62"/>
  <c r="AV66" i="62"/>
  <c r="BD94" i="62"/>
  <c r="AV77" i="62"/>
  <c r="BD96" i="62"/>
  <c r="AV384" i="62"/>
  <c r="AV380" i="62"/>
  <c r="AZ346" i="62"/>
  <c r="AV33" i="62"/>
  <c r="AV25" i="62"/>
  <c r="BD29" i="62"/>
  <c r="AV32" i="62"/>
  <c r="AV5" i="62"/>
  <c r="BH104" i="62"/>
  <c r="BD53" i="62"/>
  <c r="BD9" i="62"/>
  <c r="AV80" i="62"/>
  <c r="AV36" i="62"/>
  <c r="BH103" i="62"/>
  <c r="BD21" i="62"/>
  <c r="AZ105" i="62"/>
  <c r="AV76" i="62"/>
  <c r="AV54" i="62"/>
  <c r="AV42" i="62"/>
  <c r="AV10" i="62"/>
  <c r="BD98" i="62"/>
  <c r="BD88" i="62"/>
  <c r="BD62" i="62"/>
  <c r="AV82" i="62"/>
  <c r="BD86" i="62"/>
  <c r="AZ332" i="62"/>
  <c r="AL378" i="62"/>
  <c r="P222" i="62"/>
  <c r="L222" i="62"/>
  <c r="Q222" i="62"/>
  <c r="M222" i="62"/>
  <c r="AD222" i="62"/>
  <c r="T222" i="62"/>
  <c r="AP222" i="62"/>
  <c r="AH222" i="62"/>
  <c r="AZ222" i="62"/>
  <c r="BH222" i="62"/>
  <c r="X222" i="62"/>
  <c r="AL222" i="62"/>
  <c r="AV222" i="62"/>
  <c r="BD222" i="62"/>
  <c r="BA222" i="62"/>
  <c r="AW222" i="62"/>
  <c r="AI222" i="62"/>
  <c r="AM222" i="62"/>
  <c r="BE222" i="62"/>
  <c r="AQ222" i="62"/>
  <c r="BI222" i="62"/>
  <c r="Y222" i="62"/>
  <c r="U222" i="62"/>
  <c r="AE222" i="62"/>
  <c r="AV67" i="62"/>
  <c r="BD97" i="62"/>
  <c r="BD13" i="62"/>
  <c r="M221" i="62"/>
  <c r="Q221" i="62"/>
  <c r="L221" i="62"/>
  <c r="P221" i="62"/>
  <c r="BD221" i="62"/>
  <c r="BH221" i="62"/>
  <c r="AP221" i="62"/>
  <c r="AL221" i="62"/>
  <c r="AV221" i="62"/>
  <c r="X221" i="62"/>
  <c r="AH221" i="62"/>
  <c r="T221" i="62"/>
  <c r="AZ221" i="62"/>
  <c r="AD221" i="62"/>
  <c r="Y221" i="62"/>
  <c r="U221" i="62"/>
  <c r="BI221" i="62"/>
  <c r="AM221" i="62"/>
  <c r="BA221" i="62"/>
  <c r="BE221" i="62"/>
  <c r="AI221" i="62"/>
  <c r="AQ221" i="62"/>
  <c r="AE221" i="62"/>
  <c r="AW221" i="62"/>
  <c r="M218" i="62"/>
  <c r="P218" i="62"/>
  <c r="L218" i="62"/>
  <c r="Q218" i="62"/>
  <c r="AZ218" i="62"/>
  <c r="BH218" i="62"/>
  <c r="BD218" i="62"/>
  <c r="T218" i="62"/>
  <c r="AV218" i="62"/>
  <c r="AP218" i="62"/>
  <c r="AL218" i="62"/>
  <c r="AH218" i="62"/>
  <c r="AD218" i="62"/>
  <c r="X218" i="62"/>
  <c r="AE218" i="62"/>
  <c r="Y218" i="62"/>
  <c r="BI218" i="62"/>
  <c r="AQ218" i="62"/>
  <c r="BE218" i="62"/>
  <c r="AM218" i="62"/>
  <c r="BA218" i="62"/>
  <c r="U218" i="62"/>
  <c r="AW218" i="62"/>
  <c r="AI218" i="62"/>
  <c r="P217" i="62"/>
  <c r="L217" i="62"/>
  <c r="Q217" i="62"/>
  <c r="M217" i="62"/>
  <c r="AP217" i="62"/>
  <c r="AZ217" i="62"/>
  <c r="AV217" i="62"/>
  <c r="AD217" i="62"/>
  <c r="T217" i="62"/>
  <c r="AH217" i="62"/>
  <c r="AL217" i="62"/>
  <c r="X217" i="62"/>
  <c r="BD217" i="62"/>
  <c r="BH217" i="62"/>
  <c r="AM217" i="62"/>
  <c r="Y217" i="62"/>
  <c r="U217" i="62"/>
  <c r="AI217" i="62"/>
  <c r="BA217" i="62"/>
  <c r="AW217" i="62"/>
  <c r="BI217" i="62"/>
  <c r="AQ217" i="62"/>
  <c r="BE217" i="62"/>
  <c r="AE217" i="62"/>
  <c r="BD55" i="62"/>
  <c r="P219" i="62"/>
  <c r="L219" i="62"/>
  <c r="Q219" i="62"/>
  <c r="M219" i="62"/>
  <c r="AV219" i="62"/>
  <c r="AL219" i="62"/>
  <c r="AH219" i="62"/>
  <c r="BD219" i="62"/>
  <c r="AZ219" i="62"/>
  <c r="X219" i="62"/>
  <c r="AP219" i="62"/>
  <c r="T219" i="62"/>
  <c r="BH219" i="62"/>
  <c r="AD219" i="62"/>
  <c r="AE219" i="62"/>
  <c r="AQ219" i="62"/>
  <c r="BA219" i="62"/>
  <c r="AM219" i="62"/>
  <c r="AI219" i="62"/>
  <c r="U219" i="62"/>
  <c r="BE219" i="62"/>
  <c r="AW219" i="62"/>
  <c r="BI219" i="62"/>
  <c r="Y219" i="62"/>
  <c r="P216" i="62"/>
  <c r="L216" i="62"/>
  <c r="Q216" i="62"/>
  <c r="M216" i="62"/>
  <c r="AH216" i="62"/>
  <c r="AP216" i="62"/>
  <c r="T216" i="62"/>
  <c r="X216" i="62"/>
  <c r="AD216" i="62"/>
  <c r="BH216" i="62"/>
  <c r="AL216" i="62"/>
  <c r="AV216" i="62"/>
  <c r="BD216" i="62"/>
  <c r="AZ216" i="62"/>
  <c r="AE216" i="62"/>
  <c r="Y216" i="62"/>
  <c r="AQ216" i="62"/>
  <c r="AM216" i="62"/>
  <c r="BA216" i="62"/>
  <c r="U216" i="62"/>
  <c r="AW216" i="62"/>
  <c r="BI216" i="62"/>
  <c r="AI216" i="62"/>
  <c r="BE216" i="62"/>
  <c r="AZ107" i="62"/>
  <c r="AV94" i="62"/>
  <c r="AV74" i="62"/>
  <c r="AV51" i="62"/>
  <c r="BD90" i="62"/>
  <c r="BD74" i="62"/>
  <c r="BD58" i="62"/>
  <c r="AV91" i="62"/>
  <c r="AV59" i="62"/>
  <c r="AZ342" i="62"/>
  <c r="AV96" i="62"/>
  <c r="AV79" i="62"/>
  <c r="AV75" i="62"/>
  <c r="AV31" i="62"/>
  <c r="BD60" i="62"/>
  <c r="BD31" i="62"/>
  <c r="AZ336" i="62"/>
  <c r="AV388" i="62"/>
  <c r="AD73" i="62"/>
  <c r="AZ103" i="62"/>
  <c r="AV93" i="62"/>
  <c r="AV40" i="62"/>
  <c r="AV28" i="62"/>
  <c r="AV24" i="62"/>
  <c r="AV17" i="62"/>
  <c r="AV4" i="62"/>
  <c r="BD80" i="62"/>
  <c r="BD44" i="62"/>
  <c r="BD32" i="62"/>
  <c r="AZ353" i="62"/>
  <c r="AV60" i="62"/>
  <c r="AV52" i="62"/>
  <c r="AV16" i="62"/>
  <c r="AV8" i="62"/>
  <c r="AV12" i="62"/>
  <c r="BH107" i="62"/>
  <c r="BD101" i="62"/>
  <c r="BD72" i="62"/>
  <c r="BD45" i="62"/>
  <c r="BD28" i="62"/>
  <c r="BD17" i="62"/>
  <c r="BD5" i="62"/>
  <c r="X329" i="62"/>
  <c r="AP369" i="62"/>
  <c r="BH369" i="62"/>
  <c r="AL386" i="62"/>
  <c r="AZ106" i="62"/>
  <c r="AV87" i="62"/>
  <c r="AV71" i="62"/>
  <c r="AV43" i="62"/>
  <c r="AV27" i="62"/>
  <c r="AV19" i="62"/>
  <c r="AV15" i="62"/>
  <c r="BD63" i="62"/>
  <c r="BD51" i="62"/>
  <c r="BD19" i="62"/>
  <c r="AV47" i="62"/>
  <c r="AV23" i="62"/>
  <c r="BD83" i="62"/>
  <c r="BD39" i="62"/>
  <c r="AZ340" i="62"/>
  <c r="AL390" i="62"/>
  <c r="AP379" i="62"/>
  <c r="AP383" i="62"/>
  <c r="AZ102" i="62"/>
  <c r="AV95" i="62"/>
  <c r="AV83" i="62"/>
  <c r="AV39" i="62"/>
  <c r="BH106" i="62"/>
  <c r="BD87" i="62"/>
  <c r="BD68" i="62"/>
  <c r="BD59" i="62"/>
  <c r="BD43" i="62"/>
  <c r="AL366" i="62"/>
  <c r="AZ357" i="62"/>
  <c r="AZ352" i="62"/>
  <c r="AZ337" i="62"/>
  <c r="BH366" i="62"/>
  <c r="AL382" i="62"/>
  <c r="G392" i="35"/>
  <c r="G391" i="35"/>
  <c r="L47" i="35"/>
  <c r="L650" i="35"/>
  <c r="L565" i="35"/>
  <c r="L479" i="35"/>
  <c r="L393" i="35"/>
  <c r="L305" i="35"/>
  <c r="L219" i="35"/>
  <c r="L133" i="35"/>
  <c r="F649" i="35"/>
  <c r="F648" i="35"/>
  <c r="K650" i="35"/>
  <c r="K479" i="35"/>
  <c r="K305" i="35"/>
  <c r="K133" i="35"/>
  <c r="K565" i="35"/>
  <c r="K393" i="35"/>
  <c r="K219" i="35"/>
  <c r="K47" i="35"/>
  <c r="H564" i="35"/>
  <c r="H563" i="35"/>
  <c r="M650" i="35"/>
  <c r="M565" i="35"/>
  <c r="M479" i="35"/>
  <c r="M393" i="35"/>
  <c r="M305" i="35"/>
  <c r="M219" i="35"/>
  <c r="M133" i="35"/>
  <c r="M47" i="35"/>
  <c r="N650" i="35"/>
  <c r="N565" i="35"/>
  <c r="N479" i="35"/>
  <c r="N393" i="35"/>
  <c r="N305" i="35"/>
  <c r="N219" i="35"/>
  <c r="N133" i="35"/>
  <c r="N47" i="35"/>
  <c r="X15" i="61"/>
  <c r="AL31" i="61"/>
  <c r="AL7" i="61"/>
  <c r="G347" i="61" a="1"/>
  <c r="G347" i="61"/>
  <c r="G334" i="61" a="1"/>
  <c r="G334" i="61"/>
  <c r="BD120" i="61"/>
  <c r="T116" i="61"/>
  <c r="P248" i="61"/>
  <c r="M567" i="35"/>
  <c r="R653" i="35"/>
  <c r="R568" i="35"/>
  <c r="R566" i="35"/>
  <c r="R482" i="35"/>
  <c r="R396" i="35"/>
  <c r="R308" i="35"/>
  <c r="R222" i="35"/>
  <c r="R136" i="35"/>
  <c r="R50" i="35"/>
  <c r="N652" i="35"/>
  <c r="S653" i="35"/>
  <c r="S568" i="35"/>
  <c r="S482" i="35"/>
  <c r="S396" i="35"/>
  <c r="S308" i="35"/>
  <c r="S222" i="35"/>
  <c r="S136" i="35"/>
  <c r="S50" i="35"/>
  <c r="K652" i="35"/>
  <c r="P653" i="35"/>
  <c r="P568" i="35"/>
  <c r="P482" i="35"/>
  <c r="P396" i="35"/>
  <c r="P394" i="35"/>
  <c r="P308" i="35"/>
  <c r="P222" i="35"/>
  <c r="P136" i="35"/>
  <c r="P50" i="35"/>
  <c r="L567" i="35"/>
  <c r="Q653" i="35"/>
  <c r="Q568" i="35"/>
  <c r="Q482" i="35"/>
  <c r="Q396" i="35"/>
  <c r="Q308" i="35"/>
  <c r="Q222" i="35"/>
  <c r="Q136" i="35"/>
  <c r="Q50" i="35"/>
  <c r="Q48" i="35"/>
  <c r="M649" i="35"/>
  <c r="M648" i="35"/>
  <c r="R650" i="35"/>
  <c r="R565" i="35"/>
  <c r="R479" i="35"/>
  <c r="R393" i="35"/>
  <c r="R391" i="35"/>
  <c r="R305" i="35"/>
  <c r="R219" i="35"/>
  <c r="R133" i="35"/>
  <c r="R47" i="35"/>
  <c r="L132" i="35"/>
  <c r="Q650" i="35"/>
  <c r="Q565" i="35"/>
  <c r="Q563" i="35"/>
  <c r="Q479" i="35"/>
  <c r="Q393" i="35"/>
  <c r="Q305" i="35"/>
  <c r="Q219" i="35"/>
  <c r="Q133" i="35"/>
  <c r="Q47" i="35"/>
  <c r="K304" i="35"/>
  <c r="P650" i="35"/>
  <c r="P565" i="35"/>
  <c r="P479" i="35"/>
  <c r="P393" i="35"/>
  <c r="P391" i="35"/>
  <c r="P305" i="35"/>
  <c r="P219" i="35"/>
  <c r="P133" i="35"/>
  <c r="P47" i="35"/>
  <c r="S650" i="35"/>
  <c r="S565" i="35"/>
  <c r="S479" i="35"/>
  <c r="S393" i="35"/>
  <c r="S305" i="35"/>
  <c r="S219" i="35"/>
  <c r="S133" i="35"/>
  <c r="S47" i="35"/>
  <c r="L547" i="35"/>
  <c r="L545" i="35"/>
  <c r="N547" i="35"/>
  <c r="N545" i="35"/>
  <c r="K547" i="35"/>
  <c r="M547" i="35"/>
  <c r="M545" i="35"/>
  <c r="Q547" i="35"/>
  <c r="Q545" i="35"/>
  <c r="R547" i="35"/>
  <c r="R545" i="35"/>
  <c r="P547" i="35"/>
  <c r="L580" i="35"/>
  <c r="L578" i="35"/>
  <c r="L494" i="35"/>
  <c r="L408" i="35"/>
  <c r="L320" i="35"/>
  <c r="L234" i="35"/>
  <c r="L148" i="35"/>
  <c r="L62" i="35"/>
  <c r="L665" i="35"/>
  <c r="Q665" i="35"/>
  <c r="Q580" i="35"/>
  <c r="Q494" i="35"/>
  <c r="Q408" i="35"/>
  <c r="Q406" i="35"/>
  <c r="Q320" i="35"/>
  <c r="Q234" i="35"/>
  <c r="Q148" i="35"/>
  <c r="Q62" i="35"/>
  <c r="H664" i="35"/>
  <c r="M580" i="35"/>
  <c r="M494" i="35"/>
  <c r="M408" i="35"/>
  <c r="M406" i="35"/>
  <c r="M320" i="35"/>
  <c r="M234" i="35"/>
  <c r="M148" i="35"/>
  <c r="M62" i="35"/>
  <c r="M665" i="35"/>
  <c r="M664" i="35"/>
  <c r="R665" i="35"/>
  <c r="R580" i="35"/>
  <c r="R578" i="35"/>
  <c r="R494" i="35"/>
  <c r="R408" i="35"/>
  <c r="R320" i="35"/>
  <c r="R234" i="35"/>
  <c r="R232" i="35"/>
  <c r="R148" i="35"/>
  <c r="R62" i="35"/>
  <c r="K665" i="35"/>
  <c r="K580" i="35"/>
  <c r="K494" i="35"/>
  <c r="K492" i="35"/>
  <c r="K408" i="35"/>
  <c r="K320" i="35"/>
  <c r="K234" i="35"/>
  <c r="K232" i="35"/>
  <c r="K148" i="35"/>
  <c r="K62" i="35"/>
  <c r="I147" i="35"/>
  <c r="N665" i="35"/>
  <c r="N580" i="35"/>
  <c r="N494" i="35"/>
  <c r="N408" i="35"/>
  <c r="N320" i="35"/>
  <c r="N234" i="35"/>
  <c r="N148" i="35"/>
  <c r="N62" i="35"/>
  <c r="K664" i="35"/>
  <c r="P665" i="35"/>
  <c r="P580" i="35"/>
  <c r="P578" i="35"/>
  <c r="P494" i="35"/>
  <c r="P408" i="35"/>
  <c r="P320" i="35"/>
  <c r="P234" i="35"/>
  <c r="P148" i="35"/>
  <c r="P62" i="35"/>
  <c r="S665" i="35"/>
  <c r="S580" i="35"/>
  <c r="S494" i="35"/>
  <c r="S408" i="35"/>
  <c r="S406" i="35"/>
  <c r="S320" i="35"/>
  <c r="S234" i="35"/>
  <c r="S232" i="35"/>
  <c r="S148" i="35"/>
  <c r="S62" i="35"/>
  <c r="G388" i="61" a="1"/>
  <c r="G388" i="61"/>
  <c r="BD81" i="62"/>
  <c r="BD77" i="62"/>
  <c r="L3" i="61"/>
  <c r="X27" i="61"/>
  <c r="X7" i="61"/>
  <c r="AL19" i="61"/>
  <c r="AZ27" i="61"/>
  <c r="X31" i="61"/>
  <c r="AL35" i="61"/>
  <c r="AL11" i="61"/>
  <c r="AV3" i="61"/>
  <c r="AZ35" i="61"/>
  <c r="AZ23" i="61"/>
  <c r="AD156" i="55"/>
  <c r="L96" i="55"/>
  <c r="P92" i="55"/>
  <c r="AV92" i="55"/>
  <c r="BD79" i="62"/>
  <c r="BD73" i="62"/>
  <c r="BD65" i="62"/>
  <c r="X11" i="61"/>
  <c r="AI15" i="24"/>
  <c r="G22" i="55" a="1"/>
  <c r="G22" i="55"/>
  <c r="M17" i="24"/>
  <c r="H22" i="55" a="1"/>
  <c r="H22" i="55"/>
  <c r="X140" i="55"/>
  <c r="AH124" i="55"/>
  <c r="AH120" i="55"/>
  <c r="X112" i="55"/>
  <c r="AH112" i="55"/>
  <c r="AV136" i="55"/>
  <c r="BH132" i="55"/>
  <c r="BH128" i="55"/>
  <c r="BH124" i="55"/>
  <c r="BH120" i="55"/>
  <c r="X53" i="62"/>
  <c r="T35" i="61"/>
  <c r="T27" i="61"/>
  <c r="T11" i="61"/>
  <c r="X3" i="61"/>
  <c r="AH35" i="61"/>
  <c r="AH31" i="61"/>
  <c r="AH27" i="61"/>
  <c r="AH23" i="61"/>
  <c r="AH19" i="61"/>
  <c r="AH15" i="61"/>
  <c r="AH7" i="61"/>
  <c r="AV27" i="61"/>
  <c r="AV15" i="61"/>
  <c r="AV11" i="61"/>
  <c r="AV103" i="61"/>
  <c r="P103" i="61"/>
  <c r="AV99" i="61"/>
  <c r="P99" i="61"/>
  <c r="AL199" i="61"/>
  <c r="AL25" i="55"/>
  <c r="X21" i="55"/>
  <c r="P17" i="55"/>
  <c r="L9" i="62"/>
  <c r="P35" i="61"/>
  <c r="P31" i="61"/>
  <c r="P19" i="61"/>
  <c r="P15" i="61"/>
  <c r="AD35" i="61"/>
  <c r="AD31" i="61"/>
  <c r="AD27" i="61"/>
  <c r="AD23" i="61"/>
  <c r="AD19" i="61"/>
  <c r="AD15" i="61"/>
  <c r="AD11" i="61"/>
  <c r="AD7" i="61"/>
  <c r="BH35" i="61"/>
  <c r="BH31" i="61"/>
  <c r="BH27" i="61"/>
  <c r="BH23" i="61"/>
  <c r="BH19" i="61"/>
  <c r="BH15" i="61"/>
  <c r="BH11" i="61"/>
  <c r="BH7" i="61"/>
  <c r="P91" i="61"/>
  <c r="P87" i="61"/>
  <c r="P83" i="61"/>
  <c r="P79" i="61"/>
  <c r="P75" i="61"/>
  <c r="P71" i="61"/>
  <c r="P63" i="61"/>
  <c r="P55" i="61"/>
  <c r="P51" i="61"/>
  <c r="P47" i="61"/>
  <c r="P43" i="61"/>
  <c r="L103" i="61"/>
  <c r="BA99" i="61"/>
  <c r="L99" i="61"/>
  <c r="BA127" i="61"/>
  <c r="AP35" i="61"/>
  <c r="AP31" i="61"/>
  <c r="AP27" i="61"/>
  <c r="AP23" i="61"/>
  <c r="AP19" i="61"/>
  <c r="AP15" i="61"/>
  <c r="AP11" i="61"/>
  <c r="AP7" i="61"/>
  <c r="BH3" i="61"/>
  <c r="BD27" i="61"/>
  <c r="BD23" i="61"/>
  <c r="BD11" i="61"/>
  <c r="L41" i="61"/>
  <c r="L91" i="61"/>
  <c r="L79" i="61"/>
  <c r="L55" i="61"/>
  <c r="L47" i="61"/>
  <c r="L43" i="61"/>
  <c r="AV47" i="61"/>
  <c r="AQ139" i="61"/>
  <c r="BD195" i="61"/>
  <c r="BD191" i="61"/>
  <c r="T191" i="61"/>
  <c r="BD187" i="61"/>
  <c r="T187" i="61"/>
  <c r="BD183" i="61"/>
  <c r="T183" i="61"/>
  <c r="BD179" i="61"/>
  <c r="T179" i="61"/>
  <c r="BD175" i="61"/>
  <c r="T175" i="61"/>
  <c r="BD171" i="61"/>
  <c r="T171" i="61"/>
  <c r="BD167" i="61"/>
  <c r="T167" i="61"/>
  <c r="BD163" i="61"/>
  <c r="T163" i="61"/>
  <c r="BD159" i="61"/>
  <c r="T159" i="61"/>
  <c r="BD155" i="61"/>
  <c r="T155" i="61"/>
  <c r="AZ57" i="55"/>
  <c r="AL53" i="55"/>
  <c r="BH41" i="55"/>
  <c r="AH41" i="55"/>
  <c r="P37" i="55"/>
  <c r="BD58" i="55"/>
  <c r="AP58" i="55"/>
  <c r="T3" i="55"/>
  <c r="AZ3" i="55"/>
  <c r="P238" i="61"/>
  <c r="T3" i="61"/>
  <c r="AH3" i="61"/>
  <c r="AP36" i="61"/>
  <c r="AP32" i="61"/>
  <c r="AP28" i="61"/>
  <c r="AP24" i="61"/>
  <c r="AP20" i="61"/>
  <c r="AP16" i="61"/>
  <c r="AP12" i="61"/>
  <c r="AP4" i="61"/>
  <c r="BD3" i="61"/>
  <c r="BD36" i="61"/>
  <c r="BD32" i="61"/>
  <c r="BD28" i="61"/>
  <c r="BD24" i="61"/>
  <c r="BD20" i="61"/>
  <c r="BD16" i="61"/>
  <c r="BD12" i="61"/>
  <c r="BD8" i="61"/>
  <c r="BD4" i="61"/>
  <c r="P104" i="61"/>
  <c r="AD100" i="61"/>
  <c r="AL196" i="61"/>
  <c r="AL188" i="61"/>
  <c r="AL180" i="61"/>
  <c r="AL176" i="61"/>
  <c r="AL172" i="61"/>
  <c r="AL164" i="61"/>
  <c r="AL156" i="61"/>
  <c r="AL148" i="61"/>
  <c r="AL140" i="61"/>
  <c r="AL132" i="61"/>
  <c r="AL124" i="61"/>
  <c r="AL116" i="61"/>
  <c r="AD136" i="55"/>
  <c r="AH100" i="55"/>
  <c r="AZ132" i="55"/>
  <c r="AZ128" i="55"/>
  <c r="AD128" i="55"/>
  <c r="AP124" i="55"/>
  <c r="AZ120" i="55"/>
  <c r="AP116" i="55"/>
  <c r="AZ112" i="55"/>
  <c r="AZ108" i="55"/>
  <c r="BD296" i="62"/>
  <c r="P409" i="62"/>
  <c r="P187" i="58"/>
  <c r="P69" i="62"/>
  <c r="P37" i="61"/>
  <c r="P33" i="61"/>
  <c r="P29" i="61"/>
  <c r="P25" i="61"/>
  <c r="P21" i="61"/>
  <c r="P17" i="61"/>
  <c r="P13" i="61"/>
  <c r="P9" i="61"/>
  <c r="P5" i="61"/>
  <c r="AD37" i="61"/>
  <c r="AD33" i="61"/>
  <c r="AD29" i="61"/>
  <c r="AD25" i="61"/>
  <c r="AD21" i="61"/>
  <c r="AD17" i="61"/>
  <c r="AD13" i="61"/>
  <c r="AD9" i="61"/>
  <c r="AD5" i="61"/>
  <c r="BH37" i="61"/>
  <c r="BH33" i="61"/>
  <c r="BH29" i="61"/>
  <c r="BH25" i="61"/>
  <c r="BH21" i="61"/>
  <c r="BH17" i="61"/>
  <c r="BH13" i="61"/>
  <c r="BH9" i="61"/>
  <c r="BH5" i="61"/>
  <c r="P89" i="61"/>
  <c r="P85" i="61"/>
  <c r="P81" i="61"/>
  <c r="P77" i="61"/>
  <c r="P69" i="61"/>
  <c r="P65" i="61"/>
  <c r="P61" i="61"/>
  <c r="P57" i="61"/>
  <c r="P53" i="61"/>
  <c r="P49" i="61"/>
  <c r="P45" i="61"/>
  <c r="BD69" i="62"/>
  <c r="L37" i="61"/>
  <c r="L29" i="61"/>
  <c r="L21" i="61"/>
  <c r="L5" i="61"/>
  <c r="P42" i="55"/>
  <c r="X160" i="55"/>
  <c r="P160" i="55"/>
  <c r="BH156" i="55"/>
  <c r="L156" i="55"/>
  <c r="P156" i="55"/>
  <c r="X152" i="55"/>
  <c r="BH152" i="55"/>
  <c r="AV152" i="55"/>
  <c r="AP152" i="55"/>
  <c r="AD148" i="55"/>
  <c r="L148" i="55"/>
  <c r="AV148" i="55"/>
  <c r="P148" i="55"/>
  <c r="L144" i="55"/>
  <c r="AV144" i="55"/>
  <c r="AD144" i="55"/>
  <c r="AH144" i="55"/>
  <c r="L140" i="55"/>
  <c r="P136" i="55"/>
  <c r="P132" i="55"/>
  <c r="L128" i="55"/>
  <c r="P124" i="55"/>
  <c r="L124" i="55"/>
  <c r="L120" i="55"/>
  <c r="L112" i="55"/>
  <c r="P112" i="55"/>
  <c r="P108" i="55"/>
  <c r="P104" i="55"/>
  <c r="P100" i="55"/>
  <c r="L100" i="55"/>
  <c r="P96" i="55"/>
  <c r="AP60" i="58"/>
  <c r="P205" i="61"/>
  <c r="X37" i="61"/>
  <c r="X33" i="61"/>
  <c r="X29" i="61"/>
  <c r="X25" i="61"/>
  <c r="X21" i="61"/>
  <c r="L57" i="55"/>
  <c r="P57" i="55"/>
  <c r="P53" i="55"/>
  <c r="L53" i="55"/>
  <c r="P45" i="55"/>
  <c r="P41" i="55"/>
  <c r="AP159" i="55"/>
  <c r="BH159" i="55"/>
  <c r="L159" i="55"/>
  <c r="BH155" i="55"/>
  <c r="L155" i="55"/>
  <c r="AZ155" i="55"/>
  <c r="L151" i="55"/>
  <c r="BH151" i="55"/>
  <c r="AP151" i="55"/>
  <c r="AH151" i="55"/>
  <c r="AP147" i="55"/>
  <c r="L147" i="55"/>
  <c r="AH147" i="55"/>
  <c r="X147" i="55"/>
  <c r="AZ147" i="55"/>
  <c r="P143" i="55"/>
  <c r="L143" i="55"/>
  <c r="AZ143" i="55"/>
  <c r="AH143" i="55"/>
  <c r="L131" i="55"/>
  <c r="P127" i="55"/>
  <c r="L127" i="55"/>
  <c r="L123" i="55"/>
  <c r="P119" i="55"/>
  <c r="L119" i="55"/>
  <c r="L115" i="55"/>
  <c r="P111" i="55"/>
  <c r="L111" i="55"/>
  <c r="L103" i="55"/>
  <c r="P99" i="55"/>
  <c r="L99" i="55"/>
  <c r="L91" i="55"/>
  <c r="P180" i="61"/>
  <c r="AP37" i="61"/>
  <c r="AP29" i="61"/>
  <c r="AP25" i="61"/>
  <c r="AP21" i="61"/>
  <c r="AP17" i="61"/>
  <c r="AP13" i="61"/>
  <c r="AP5" i="61"/>
  <c r="BD37" i="61"/>
  <c r="BD33" i="61"/>
  <c r="BD29" i="61"/>
  <c r="BD21" i="61"/>
  <c r="BD17" i="61"/>
  <c r="BD13" i="61"/>
  <c r="BD5" i="61"/>
  <c r="L93" i="61"/>
  <c r="L89" i="61"/>
  <c r="L81" i="61"/>
  <c r="L77" i="61"/>
  <c r="L73" i="61"/>
  <c r="L65" i="61"/>
  <c r="L61" i="61"/>
  <c r="L57" i="61"/>
  <c r="L49" i="61"/>
  <c r="L45" i="61"/>
  <c r="BD81" i="61"/>
  <c r="BD49" i="61"/>
  <c r="AH98" i="61"/>
  <c r="AV98" i="61"/>
  <c r="AV105" i="61"/>
  <c r="P105" i="61"/>
  <c r="AD101" i="61"/>
  <c r="BD201" i="61"/>
  <c r="BD197" i="61"/>
  <c r="AH140" i="55"/>
  <c r="X128" i="55"/>
  <c r="AH119" i="55"/>
  <c r="AH116" i="55"/>
  <c r="AH115" i="55"/>
  <c r="AD111" i="55"/>
  <c r="AD99" i="55"/>
  <c r="AD96" i="55"/>
  <c r="AZ140" i="55"/>
  <c r="AV139" i="55"/>
  <c r="AZ136" i="55"/>
  <c r="AP135" i="55"/>
  <c r="AV132" i="55"/>
  <c r="AP131" i="55"/>
  <c r="AV128" i="55"/>
  <c r="AZ127" i="55"/>
  <c r="AD124" i="55"/>
  <c r="AP123" i="55"/>
  <c r="AV120" i="55"/>
  <c r="AD116" i="55"/>
  <c r="AP111" i="55"/>
  <c r="AV108" i="55"/>
  <c r="AV107" i="55"/>
  <c r="AZ104" i="55"/>
  <c r="AP103" i="55"/>
  <c r="AZ100" i="55"/>
  <c r="AV99" i="55"/>
  <c r="AZ96" i="55"/>
  <c r="AV95" i="55"/>
  <c r="AP91" i="55"/>
  <c r="AL42" i="55"/>
  <c r="AZ41" i="55"/>
  <c r="AZ37" i="55"/>
  <c r="AL29" i="55"/>
  <c r="T25" i="55"/>
  <c r="P114" i="55"/>
  <c r="X17" i="61"/>
  <c r="X13" i="61"/>
  <c r="X9" i="61"/>
  <c r="X5" i="61"/>
  <c r="AL37" i="61"/>
  <c r="AL33" i="61"/>
  <c r="AL29" i="61"/>
  <c r="AL25" i="61"/>
  <c r="AL21" i="61"/>
  <c r="AL17" i="61"/>
  <c r="AL13" i="61"/>
  <c r="AL9" i="61"/>
  <c r="AL5" i="61"/>
  <c r="AZ33" i="61"/>
  <c r="AZ29" i="61"/>
  <c r="AZ25" i="61"/>
  <c r="AZ21" i="61"/>
  <c r="AZ17" i="61"/>
  <c r="AZ13" i="61"/>
  <c r="AZ9" i="61"/>
  <c r="AZ5" i="61"/>
  <c r="X98" i="61"/>
  <c r="AL98" i="61"/>
  <c r="AZ98" i="61"/>
  <c r="L105" i="61"/>
  <c r="AD135" i="55"/>
  <c r="AH132" i="55"/>
  <c r="AD123" i="55"/>
  <c r="AD119" i="55"/>
  <c r="AD115" i="55"/>
  <c r="AD107" i="55"/>
  <c r="AH104" i="55"/>
  <c r="X100" i="55"/>
  <c r="X96" i="55"/>
  <c r="AD95" i="55"/>
  <c r="AD92" i="55"/>
  <c r="BH140" i="55"/>
  <c r="BH135" i="55"/>
  <c r="BH131" i="55"/>
  <c r="BH127" i="55"/>
  <c r="BH119" i="55"/>
  <c r="AV104" i="55"/>
  <c r="AZ91" i="55"/>
  <c r="BH49" i="55"/>
  <c r="AV49" i="55"/>
  <c r="AD49" i="55"/>
  <c r="AZ45" i="55"/>
  <c r="AH139" i="55"/>
  <c r="X139" i="55"/>
  <c r="AH135" i="55"/>
  <c r="X135" i="55"/>
  <c r="X132" i="55"/>
  <c r="AD131" i="55"/>
  <c r="AH127" i="55"/>
  <c r="X127" i="55"/>
  <c r="AH118" i="55"/>
  <c r="X116" i="55"/>
  <c r="AH107" i="55"/>
  <c r="X107" i="55"/>
  <c r="X104" i="55"/>
  <c r="AD103" i="55"/>
  <c r="AD100" i="55"/>
  <c r="AH95" i="55"/>
  <c r="X95" i="55"/>
  <c r="AD91" i="55"/>
  <c r="AV140" i="55"/>
  <c r="AP139" i="55"/>
  <c r="AP136" i="55"/>
  <c r="AP132" i="55"/>
  <c r="AV127" i="55"/>
  <c r="AZ123" i="55"/>
  <c r="AZ115" i="55"/>
  <c r="AP107" i="55"/>
  <c r="AP99" i="55"/>
  <c r="AP95" i="55"/>
  <c r="BH139" i="55"/>
  <c r="BH103" i="55"/>
  <c r="BH99" i="55"/>
  <c r="BH95" i="55"/>
  <c r="T58" i="55"/>
  <c r="BD57" i="55"/>
  <c r="AP57" i="55"/>
  <c r="AD57" i="55"/>
  <c r="T57" i="55"/>
  <c r="X53" i="55"/>
  <c r="AZ49" i="55"/>
  <c r="AL45" i="55"/>
  <c r="AL37" i="55"/>
  <c r="AL21" i="55"/>
  <c r="AD21" i="55"/>
  <c r="AZ9" i="55"/>
  <c r="P246" i="58"/>
  <c r="AZ10" i="62"/>
  <c r="T133" i="62"/>
  <c r="T417" i="62"/>
  <c r="G310" i="62" a="1"/>
  <c r="G310" i="62"/>
  <c r="G317" i="62" a="1"/>
  <c r="G317" i="62"/>
  <c r="G315" i="62" a="1"/>
  <c r="G315" i="62"/>
  <c r="H314" i="62" a="1"/>
  <c r="H314" i="62"/>
  <c r="G314" i="62" a="1"/>
  <c r="G314" i="62"/>
  <c r="G313" i="62" a="1"/>
  <c r="G313" i="62"/>
  <c r="G318" i="62" a="1"/>
  <c r="G318" i="62"/>
  <c r="G299" i="62" a="1"/>
  <c r="G299" i="62"/>
  <c r="G298" i="62" a="1"/>
  <c r="G298" i="62"/>
  <c r="H298" i="62" a="1"/>
  <c r="H298" i="62"/>
  <c r="G297" i="62" a="1"/>
  <c r="G297" i="62"/>
  <c r="S547" i="35"/>
  <c r="S545" i="35"/>
  <c r="AP73" i="58"/>
  <c r="AJ45" i="15"/>
  <c r="AJ58" i="23"/>
  <c r="AJ56" i="24"/>
  <c r="AJ56" i="23"/>
  <c r="L151" i="17"/>
  <c r="G424" i="62" a="1"/>
  <c r="G424" i="62"/>
  <c r="AJ57" i="23"/>
  <c r="AI166" i="23"/>
  <c r="AJ55" i="23"/>
  <c r="G248" i="61" a="1"/>
  <c r="G248" i="61"/>
  <c r="M100" i="23"/>
  <c r="AI67" i="15"/>
  <c r="R664" i="35"/>
  <c r="BH162" i="62"/>
  <c r="BH154" i="62"/>
  <c r="G396" i="62" a="1"/>
  <c r="G396" i="62"/>
  <c r="AL421" i="62"/>
  <c r="AD419" i="62"/>
  <c r="AD415" i="62"/>
  <c r="AL413" i="62"/>
  <c r="AD411" i="62"/>
  <c r="AL409" i="62"/>
  <c r="AD407" i="62"/>
  <c r="AL405" i="62"/>
  <c r="AD403" i="62"/>
  <c r="AL401" i="62"/>
  <c r="AD399" i="62"/>
  <c r="AL397" i="62"/>
  <c r="L149" i="17"/>
  <c r="X422" i="62"/>
  <c r="M98" i="23"/>
  <c r="H245" i="61" a="1"/>
  <c r="H245" i="61"/>
  <c r="G304" i="61" a="1"/>
  <c r="G304" i="61"/>
  <c r="G389" i="61" a="1"/>
  <c r="G389" i="61"/>
  <c r="M70" i="15"/>
  <c r="H51" i="62" a="1"/>
  <c r="H51" i="62"/>
  <c r="AI75" i="24"/>
  <c r="AZ54" i="55"/>
  <c r="T54" i="55"/>
  <c r="AC16" i="55"/>
  <c r="BH197" i="61"/>
  <c r="AV140" i="61"/>
  <c r="AD284" i="61"/>
  <c r="T421" i="62"/>
  <c r="P405" i="62"/>
  <c r="AI90" i="15"/>
  <c r="M147" i="35"/>
  <c r="AD302" i="61"/>
  <c r="AK105" i="61"/>
  <c r="O125" i="61"/>
  <c r="Q125" i="61"/>
  <c r="AG147" i="61"/>
  <c r="AQ147" i="61"/>
  <c r="AH128" i="55"/>
  <c r="AZ124" i="55"/>
  <c r="AP120" i="55"/>
  <c r="AZ116" i="55"/>
  <c r="AP112" i="55"/>
  <c r="AP108" i="55"/>
  <c r="AP104" i="55"/>
  <c r="AV100" i="55"/>
  <c r="AV96" i="55"/>
  <c r="AZ92" i="55"/>
  <c r="X50" i="55"/>
  <c r="BD46" i="55"/>
  <c r="AD46" i="55"/>
  <c r="I664" i="35"/>
  <c r="P179" i="61"/>
  <c r="M158" i="15"/>
  <c r="H179" i="62" a="1"/>
  <c r="H179" i="62"/>
  <c r="L419" i="62"/>
  <c r="L415" i="62"/>
  <c r="L397" i="62"/>
  <c r="Q166" i="55"/>
  <c r="L166" i="55"/>
  <c r="P166" i="55"/>
  <c r="M166" i="55"/>
  <c r="BH166" i="55"/>
  <c r="T166" i="55"/>
  <c r="X166" i="55"/>
  <c r="AD166" i="55"/>
  <c r="AZ166" i="55"/>
  <c r="AP166" i="55"/>
  <c r="AH166" i="55"/>
  <c r="AL166" i="55"/>
  <c r="BD166" i="55"/>
  <c r="AV166" i="55"/>
  <c r="AW166" i="55"/>
  <c r="BI166" i="55"/>
  <c r="AQ166" i="55"/>
  <c r="BE166" i="55"/>
  <c r="Y166" i="55"/>
  <c r="AE166" i="55"/>
  <c r="BA166" i="55"/>
  <c r="AI166" i="55"/>
  <c r="AM166" i="55"/>
  <c r="U166" i="55"/>
  <c r="AO19" i="55"/>
  <c r="BG12" i="55"/>
  <c r="BH9" i="55"/>
  <c r="AZ5" i="55"/>
  <c r="L9" i="55"/>
  <c r="S113" i="55"/>
  <c r="AY23" i="55"/>
  <c r="O4" i="55"/>
  <c r="S4" i="55"/>
  <c r="AY10" i="55"/>
  <c r="BI10" i="55"/>
  <c r="AG6" i="55"/>
  <c r="BC20" i="55"/>
  <c r="L161" i="55"/>
  <c r="BH39" i="55"/>
  <c r="AV39" i="55"/>
  <c r="AH39" i="55"/>
  <c r="AG4" i="55"/>
  <c r="AG72" i="55"/>
  <c r="AQ72" i="55"/>
  <c r="AL160" i="55"/>
  <c r="AL152" i="55"/>
  <c r="AZ150" i="55"/>
  <c r="AZ148" i="55"/>
  <c r="BH158" i="55"/>
  <c r="AY25" i="55"/>
  <c r="O13" i="55"/>
  <c r="Q13" i="55"/>
  <c r="AY6" i="55"/>
  <c r="BI6" i="55"/>
  <c r="BG141" i="55"/>
  <c r="BC135" i="55"/>
  <c r="BC127" i="55"/>
  <c r="BC123" i="55"/>
  <c r="BC113" i="55"/>
  <c r="BG101" i="55"/>
  <c r="BG93" i="55"/>
  <c r="AL156" i="55"/>
  <c r="AL148" i="55"/>
  <c r="AO18" i="55"/>
  <c r="AK119" i="55"/>
  <c r="BC107" i="55"/>
  <c r="BG99" i="55"/>
  <c r="BG95" i="55"/>
  <c r="AD158" i="55"/>
  <c r="BD142" i="55"/>
  <c r="BD138" i="55"/>
  <c r="BD134" i="55"/>
  <c r="BD130" i="55"/>
  <c r="BD126" i="55"/>
  <c r="BD122" i="55"/>
  <c r="BD118" i="55"/>
  <c r="BD114" i="55"/>
  <c r="BD110" i="55"/>
  <c r="BD106" i="55"/>
  <c r="BD102" i="55"/>
  <c r="BD98" i="55"/>
  <c r="BD94" i="55"/>
  <c r="BD90" i="55"/>
  <c r="L158" i="55"/>
  <c r="X150" i="55"/>
  <c r="AH142" i="55"/>
  <c r="AH134" i="55"/>
  <c r="AH130" i="55"/>
  <c r="P106" i="55"/>
  <c r="P102" i="55"/>
  <c r="AH94" i="55"/>
  <c r="X40" i="55"/>
  <c r="L82" i="55"/>
  <c r="AO114" i="55"/>
  <c r="AG106" i="55"/>
  <c r="BG134" i="55"/>
  <c r="BG122" i="55"/>
  <c r="BG108" i="55"/>
  <c r="BG104" i="55"/>
  <c r="AY90" i="55"/>
  <c r="AK18" i="55"/>
  <c r="BD48" i="55"/>
  <c r="AP48" i="55"/>
  <c r="AD48" i="55"/>
  <c r="BG71" i="55"/>
  <c r="BD162" i="55"/>
  <c r="P146" i="55"/>
  <c r="AH158" i="55"/>
  <c r="P162" i="55"/>
  <c r="X138" i="55"/>
  <c r="L126" i="55"/>
  <c r="AH122" i="55"/>
  <c r="L110" i="55"/>
  <c r="AH98" i="55"/>
  <c r="BH56" i="55"/>
  <c r="AV56" i="55"/>
  <c r="AH56" i="55"/>
  <c r="AL24" i="55"/>
  <c r="S13" i="55"/>
  <c r="X142" i="55"/>
  <c r="X134" i="55"/>
  <c r="X130" i="55"/>
  <c r="X118" i="55"/>
  <c r="AD114" i="55"/>
  <c r="X94" i="55"/>
  <c r="L90" i="55"/>
  <c r="AZ142" i="55"/>
  <c r="AV138" i="55"/>
  <c r="AP134" i="55"/>
  <c r="AP130" i="55"/>
  <c r="AZ126" i="55"/>
  <c r="AP122" i="55"/>
  <c r="AV106" i="55"/>
  <c r="AP102" i="55"/>
  <c r="AV98" i="55"/>
  <c r="AV94" i="55"/>
  <c r="AD90" i="55"/>
  <c r="BH118" i="55"/>
  <c r="AZ90" i="55"/>
  <c r="AZ52" i="55"/>
  <c r="BD150" i="55"/>
  <c r="AD82" i="55"/>
  <c r="T146" i="55"/>
  <c r="P150" i="55"/>
  <c r="AH138" i="55"/>
  <c r="X122" i="55"/>
  <c r="X98" i="55"/>
  <c r="P44" i="55"/>
  <c r="AY8" i="55"/>
  <c r="O125" i="55"/>
  <c r="S82" i="55"/>
  <c r="P3" i="55"/>
  <c r="BG78" i="55"/>
  <c r="AY142" i="55"/>
  <c r="AV156" i="55"/>
  <c r="AC5" i="55"/>
  <c r="BD84" i="55"/>
  <c r="AY27" i="55"/>
  <c r="T83" i="55"/>
  <c r="AG74" i="55"/>
  <c r="K24" i="55"/>
  <c r="O133" i="55"/>
  <c r="Q133" i="55"/>
  <c r="O123" i="55"/>
  <c r="Q123" i="55"/>
  <c r="BH84" i="55"/>
  <c r="X41" i="61"/>
  <c r="X89" i="61"/>
  <c r="T88" i="61"/>
  <c r="X85" i="61"/>
  <c r="T84" i="61"/>
  <c r="X81" i="61"/>
  <c r="T80" i="61"/>
  <c r="X77" i="61"/>
  <c r="T76" i="61"/>
  <c r="X69" i="61"/>
  <c r="T68" i="61"/>
  <c r="X65" i="61"/>
  <c r="X61" i="61"/>
  <c r="X57" i="61"/>
  <c r="X53" i="61"/>
  <c r="T52" i="61"/>
  <c r="X49" i="61"/>
  <c r="T48" i="61"/>
  <c r="X45" i="61"/>
  <c r="AP41" i="61"/>
  <c r="AD94" i="61"/>
  <c r="AP91" i="61"/>
  <c r="AD90" i="61"/>
  <c r="AL88" i="61"/>
  <c r="AP87" i="61"/>
  <c r="AD86" i="61"/>
  <c r="AL84" i="61"/>
  <c r="AP83" i="61"/>
  <c r="AD82" i="61"/>
  <c r="AP79" i="61"/>
  <c r="AD78" i="61"/>
  <c r="AL76" i="61"/>
  <c r="AP75" i="61"/>
  <c r="AD74" i="61"/>
  <c r="AL72" i="61"/>
  <c r="AP71" i="61"/>
  <c r="AD70" i="61"/>
  <c r="AP67" i="61"/>
  <c r="AD66" i="61"/>
  <c r="AP63" i="61"/>
  <c r="AD62" i="61"/>
  <c r="AL60" i="61"/>
  <c r="AP59" i="61"/>
  <c r="AD58" i="61"/>
  <c r="AP55" i="61"/>
  <c r="AD54" i="61"/>
  <c r="AP51" i="61"/>
  <c r="AD50" i="61"/>
  <c r="AD46" i="61"/>
  <c r="AD42" i="61"/>
  <c r="BD94" i="61"/>
  <c r="BH93" i="61"/>
  <c r="BH89" i="61"/>
  <c r="BD86" i="61"/>
  <c r="BH85" i="61"/>
  <c r="BD82" i="61"/>
  <c r="BH81" i="61"/>
  <c r="BH77" i="61"/>
  <c r="BD74" i="61"/>
  <c r="BH73" i="61"/>
  <c r="BH69" i="61"/>
  <c r="BH65" i="61"/>
  <c r="BH61" i="61"/>
  <c r="BH57" i="61"/>
  <c r="BH53" i="61"/>
  <c r="BH49" i="61"/>
  <c r="BH45" i="61"/>
  <c r="BD42" i="61"/>
  <c r="BG122" i="61"/>
  <c r="AO123" i="61"/>
  <c r="AQ123" i="61"/>
  <c r="W133" i="61"/>
  <c r="AL195" i="61"/>
  <c r="AL191" i="61"/>
  <c r="AL187" i="61"/>
  <c r="AL183" i="61"/>
  <c r="AL179" i="61"/>
  <c r="AL175" i="61"/>
  <c r="AL171" i="61"/>
  <c r="AL167" i="61"/>
  <c r="AL159" i="61"/>
  <c r="AL155" i="61"/>
  <c r="AL151" i="61"/>
  <c r="AL147" i="61"/>
  <c r="AL143" i="61"/>
  <c r="AL139" i="61"/>
  <c r="AL135" i="61"/>
  <c r="AL131" i="61"/>
  <c r="AL127" i="61"/>
  <c r="AL123" i="61"/>
  <c r="AL111" i="61"/>
  <c r="AP324" i="61"/>
  <c r="BH304" i="61"/>
  <c r="AL158" i="61"/>
  <c r="AL154" i="61"/>
  <c r="AL150" i="61"/>
  <c r="AL146" i="61"/>
  <c r="AL142" i="61"/>
  <c r="AL138" i="61"/>
  <c r="AL134" i="61"/>
  <c r="AL130" i="61"/>
  <c r="AL126" i="61"/>
  <c r="AL122" i="61"/>
  <c r="AL118" i="61"/>
  <c r="AL114" i="61"/>
  <c r="P154" i="61"/>
  <c r="AZ291" i="61"/>
  <c r="X276" i="61"/>
  <c r="AZ296" i="61"/>
  <c r="AV353" i="61"/>
  <c r="AL303" i="61"/>
  <c r="T275" i="61"/>
  <c r="AD352" i="61"/>
  <c r="AZ292" i="61"/>
  <c r="T142" i="61"/>
  <c r="BD138" i="61"/>
  <c r="BD134" i="61"/>
  <c r="T134" i="61"/>
  <c r="BD130" i="61"/>
  <c r="BD126" i="61"/>
  <c r="T126" i="61"/>
  <c r="BD122" i="61"/>
  <c r="BD118" i="61"/>
  <c r="T118" i="61"/>
  <c r="P239" i="61"/>
  <c r="P167" i="61"/>
  <c r="P195" i="61"/>
  <c r="AV275" i="61"/>
  <c r="BH283" i="61"/>
  <c r="BH295" i="61"/>
  <c r="AV307" i="61"/>
  <c r="AV323" i="61"/>
  <c r="AH288" i="61"/>
  <c r="AP316" i="61"/>
  <c r="O103" i="61"/>
  <c r="Q103" i="61"/>
  <c r="L264" i="61"/>
  <c r="P287" i="61"/>
  <c r="AH307" i="61"/>
  <c r="AH327" i="61"/>
  <c r="AP300" i="61"/>
  <c r="BH300" i="61"/>
  <c r="AV252" i="61"/>
  <c r="AZ252" i="61"/>
  <c r="AH315" i="61"/>
  <c r="AV315" i="61"/>
  <c r="AH299" i="61"/>
  <c r="AZ299" i="61"/>
  <c r="P174" i="61"/>
  <c r="L223" i="61"/>
  <c r="P223" i="61"/>
  <c r="BD271" i="61"/>
  <c r="AP283" i="61"/>
  <c r="AV303" i="61"/>
  <c r="AV319" i="61"/>
  <c r="X352" i="61"/>
  <c r="X290" i="61"/>
  <c r="AD290" i="61"/>
  <c r="BD151" i="61"/>
  <c r="T151" i="61"/>
  <c r="BD147" i="61"/>
  <c r="T147" i="61"/>
  <c r="BD143" i="61"/>
  <c r="T143" i="61"/>
  <c r="BD139" i="61"/>
  <c r="T139" i="61"/>
  <c r="BD135" i="61"/>
  <c r="T135" i="61"/>
  <c r="BD131" i="61"/>
  <c r="BD127" i="61"/>
  <c r="T127" i="61"/>
  <c r="BD123" i="61"/>
  <c r="T123" i="61"/>
  <c r="BD119" i="61"/>
  <c r="T119" i="61"/>
  <c r="BD115" i="61"/>
  <c r="T115" i="61"/>
  <c r="BD111" i="61"/>
  <c r="T111" i="61"/>
  <c r="T103" i="61"/>
  <c r="T99" i="61"/>
  <c r="AL99" i="61"/>
  <c r="BH103" i="61"/>
  <c r="BH99" i="61"/>
  <c r="P216" i="61"/>
  <c r="T340" i="61"/>
  <c r="T324" i="61"/>
  <c r="M276" i="61"/>
  <c r="P279" i="61"/>
  <c r="P271" i="61"/>
  <c r="AH272" i="61"/>
  <c r="AL275" i="61"/>
  <c r="AZ279" i="61"/>
  <c r="AZ275" i="61"/>
  <c r="AZ271" i="61"/>
  <c r="BH279" i="61"/>
  <c r="BH275" i="61"/>
  <c r="T351" i="61"/>
  <c r="AP352" i="61"/>
  <c r="AZ352" i="61"/>
  <c r="L288" i="61"/>
  <c r="T296" i="61"/>
  <c r="T292" i="61"/>
  <c r="AH290" i="61"/>
  <c r="AL296" i="61"/>
  <c r="AL288" i="61"/>
  <c r="AV284" i="61"/>
  <c r="AZ294" i="61"/>
  <c r="BD292" i="61"/>
  <c r="X299" i="61"/>
  <c r="X291" i="61"/>
  <c r="AD291" i="61"/>
  <c r="AD287" i="61"/>
  <c r="P308" i="61"/>
  <c r="AP319" i="61"/>
  <c r="AV318" i="61"/>
  <c r="AP311" i="61"/>
  <c r="AH308" i="61"/>
  <c r="AH300" i="61"/>
  <c r="AD270" i="61"/>
  <c r="BH270" i="61"/>
  <c r="AH369" i="61"/>
  <c r="AL422" i="62"/>
  <c r="AD420" i="62"/>
  <c r="AL418" i="62"/>
  <c r="AL414" i="62"/>
  <c r="AD412" i="62"/>
  <c r="AL410" i="62"/>
  <c r="AD408" i="62"/>
  <c r="AL406" i="62"/>
  <c r="AD404" i="62"/>
  <c r="AL402" i="62"/>
  <c r="AD400" i="62"/>
  <c r="AL398" i="62"/>
  <c r="AD396" i="62"/>
  <c r="S389" i="62"/>
  <c r="BH35" i="62"/>
  <c r="T386" i="62"/>
  <c r="T384" i="62"/>
  <c r="AH382" i="62"/>
  <c r="BD99" i="62"/>
  <c r="AV11" i="62"/>
  <c r="AV7" i="62"/>
  <c r="AZ119" i="62"/>
  <c r="AL417" i="62"/>
  <c r="BG32" i="62"/>
  <c r="BG4" i="62"/>
  <c r="BG146" i="62"/>
  <c r="BG138" i="62"/>
  <c r="BG123" i="62"/>
  <c r="AC387" i="62"/>
  <c r="AC383" i="62"/>
  <c r="L417" i="62"/>
  <c r="AD417" i="62"/>
  <c r="T106" i="62"/>
  <c r="L102" i="62"/>
  <c r="T75" i="62"/>
  <c r="X79" i="62"/>
  <c r="X91" i="62"/>
  <c r="T95" i="62"/>
  <c r="L99" i="62"/>
  <c r="P7" i="62"/>
  <c r="P11" i="62"/>
  <c r="T15" i="62"/>
  <c r="X23" i="62"/>
  <c r="X31" i="62"/>
  <c r="P35" i="62"/>
  <c r="T401" i="62"/>
  <c r="AU312" i="61"/>
  <c r="AO362" i="61"/>
  <c r="AP362" i="61"/>
  <c r="T321" i="61"/>
  <c r="AD273" i="61"/>
  <c r="T303" i="61"/>
  <c r="BH376" i="61"/>
  <c r="AO327" i="61"/>
  <c r="AZ381" i="61"/>
  <c r="AO346" i="61"/>
  <c r="BD369" i="61"/>
  <c r="AP365" i="61"/>
  <c r="L349" i="61"/>
  <c r="AV336" i="61"/>
  <c r="L284" i="61"/>
  <c r="AV280" i="61"/>
  <c r="L276" i="61"/>
  <c r="AH380" i="61"/>
  <c r="BD311" i="61"/>
  <c r="BD359" i="61"/>
  <c r="T355" i="61"/>
  <c r="AH330" i="61"/>
  <c r="AZ298" i="61"/>
  <c r="S272" i="61"/>
  <c r="U272" i="61"/>
  <c r="O276" i="61"/>
  <c r="Q276" i="61"/>
  <c r="O272" i="61"/>
  <c r="Q272" i="61"/>
  <c r="R25" i="35"/>
  <c r="AG298" i="61"/>
  <c r="AG294" i="61"/>
  <c r="AG290" i="61"/>
  <c r="AG286" i="61"/>
  <c r="AG282" i="61"/>
  <c r="AK292" i="61"/>
  <c r="AK288" i="61"/>
  <c r="AK284" i="61"/>
  <c r="BG20" i="23"/>
  <c r="BC20" i="23"/>
  <c r="BC17" i="23" a="1"/>
  <c r="BC17" i="23"/>
  <c r="AY20" i="23"/>
  <c r="AY17" i="23" a="1"/>
  <c r="AY17" i="23"/>
  <c r="BH20" i="23"/>
  <c r="BH17" i="23" a="1"/>
  <c r="BH17" i="23"/>
  <c r="BD20" i="23"/>
  <c r="BD17" i="23" a="1"/>
  <c r="BD17" i="23"/>
  <c r="AZ20" i="23"/>
  <c r="AZ17" i="23" a="1"/>
  <c r="AZ17" i="23"/>
  <c r="BE20" i="23"/>
  <c r="BE17" i="23" a="1"/>
  <c r="BE17" i="23"/>
  <c r="BA20" i="23"/>
  <c r="BA17" i="23" a="1"/>
  <c r="BA17" i="23"/>
  <c r="AW20" i="23"/>
  <c r="AW17" i="23" a="1"/>
  <c r="AW17" i="23"/>
  <c r="BF20" i="23"/>
  <c r="BF17" i="23" a="1"/>
  <c r="BF17" i="23"/>
  <c r="BB20" i="23"/>
  <c r="BB17" i="23" a="1"/>
  <c r="BB17" i="23"/>
  <c r="AX20" i="23"/>
  <c r="AX17" i="23" a="1"/>
  <c r="AX17" i="23"/>
  <c r="F35" i="21"/>
  <c r="H264" i="62" a="1"/>
  <c r="H264" i="62"/>
  <c r="G264" i="62" a="1"/>
  <c r="G264" i="62"/>
  <c r="F23" i="21"/>
  <c r="H230" i="62" a="1"/>
  <c r="H230" i="62"/>
  <c r="G230" i="62" a="1"/>
  <c r="G230" i="62"/>
  <c r="F38" i="21"/>
  <c r="H273" i="62" a="1"/>
  <c r="H273" i="62"/>
  <c r="G273" i="62" a="1"/>
  <c r="G273" i="62"/>
  <c r="F34" i="21"/>
  <c r="H261" i="62" a="1"/>
  <c r="H261" i="62"/>
  <c r="G261" i="62" a="1"/>
  <c r="G261" i="62"/>
  <c r="F22" i="21"/>
  <c r="H227" i="62" a="1"/>
  <c r="H227" i="62"/>
  <c r="G227" i="62" a="1"/>
  <c r="G227" i="62"/>
  <c r="F31" i="21"/>
  <c r="H252" i="62" a="1"/>
  <c r="H252" i="62"/>
  <c r="G252" i="62" a="1"/>
  <c r="G252" i="62"/>
  <c r="F37" i="21"/>
  <c r="H270" i="62" a="1"/>
  <c r="H270" i="62"/>
  <c r="G270" i="62" a="1"/>
  <c r="G270" i="62"/>
  <c r="F33" i="21"/>
  <c r="H258" i="62" a="1"/>
  <c r="H258" i="62"/>
  <c r="G258" i="62" a="1"/>
  <c r="G258" i="62"/>
  <c r="F29" i="21"/>
  <c r="H247" i="62" a="1"/>
  <c r="H247" i="62"/>
  <c r="G247" i="62" a="1"/>
  <c r="G247" i="62"/>
  <c r="F25" i="21"/>
  <c r="H236" i="62" a="1"/>
  <c r="H236" i="62"/>
  <c r="G236" i="62" a="1"/>
  <c r="G236" i="62"/>
  <c r="F21" i="21"/>
  <c r="G224" i="62" a="1"/>
  <c r="G224" i="62"/>
  <c r="G290" i="62" a="1"/>
  <c r="G290" i="62"/>
  <c r="F39" i="21"/>
  <c r="H276" i="62" a="1"/>
  <c r="H276" i="62"/>
  <c r="G276" i="62" a="1"/>
  <c r="G276" i="62"/>
  <c r="F27" i="21"/>
  <c r="H241" i="62" a="1"/>
  <c r="H241" i="62"/>
  <c r="G241" i="62" a="1"/>
  <c r="G241" i="62"/>
  <c r="F36" i="21"/>
  <c r="H267" i="62" a="1"/>
  <c r="H267" i="62"/>
  <c r="G267" i="62" a="1"/>
  <c r="G267" i="62"/>
  <c r="F32" i="21"/>
  <c r="H255" i="62" a="1"/>
  <c r="H255" i="62"/>
  <c r="G255" i="62" a="1"/>
  <c r="G255" i="62"/>
  <c r="F28" i="21"/>
  <c r="H244" i="62" a="1"/>
  <c r="H244" i="62"/>
  <c r="G244" i="62" a="1"/>
  <c r="G244" i="62"/>
  <c r="F24" i="21"/>
  <c r="H233" i="62" a="1"/>
  <c r="H233" i="62"/>
  <c r="G233" i="62" a="1"/>
  <c r="G233" i="62"/>
  <c r="F40" i="21"/>
  <c r="G281" i="62" a="1"/>
  <c r="G281" i="62"/>
  <c r="AJ126" i="23"/>
  <c r="AJ52" i="24"/>
  <c r="AJ50" i="24"/>
  <c r="AJ57" i="24"/>
  <c r="AJ59" i="24"/>
  <c r="AJ45" i="23"/>
  <c r="AJ120" i="23"/>
  <c r="AJ29" i="15"/>
  <c r="AJ36" i="24"/>
  <c r="AI44" i="24"/>
  <c r="AJ82" i="23"/>
  <c r="AJ60" i="24"/>
  <c r="AJ123" i="23"/>
  <c r="AJ128" i="23"/>
  <c r="AJ47" i="24"/>
  <c r="G244" i="61" a="1"/>
  <c r="G244" i="61"/>
  <c r="M97" i="23"/>
  <c r="H244" i="61" a="1"/>
  <c r="H244" i="61"/>
  <c r="L135" i="17"/>
  <c r="G407" i="62" a="1"/>
  <c r="G407" i="62"/>
  <c r="L143" i="17"/>
  <c r="G416" i="62" a="1"/>
  <c r="G416" i="62"/>
  <c r="L147" i="17"/>
  <c r="G420" i="62" a="1"/>
  <c r="G420" i="62"/>
  <c r="L150" i="17"/>
  <c r="AH423" i="62"/>
  <c r="G246" i="61" a="1"/>
  <c r="G246" i="61"/>
  <c r="M99" i="23"/>
  <c r="H246" i="61" a="1"/>
  <c r="H246" i="61"/>
  <c r="L132" i="17"/>
  <c r="G404" i="62" a="1"/>
  <c r="G404" i="62"/>
  <c r="L136" i="17"/>
  <c r="AH409" i="62"/>
  <c r="G409" i="62" a="1"/>
  <c r="G409" i="62"/>
  <c r="L140" i="17"/>
  <c r="G413" i="62" a="1"/>
  <c r="G413" i="62"/>
  <c r="L144" i="17"/>
  <c r="G417" i="62" a="1"/>
  <c r="G417" i="62"/>
  <c r="L148" i="17"/>
  <c r="G421" i="62" a="1"/>
  <c r="G421" i="62"/>
  <c r="L126" i="17"/>
  <c r="AH398" i="62"/>
  <c r="G398" i="62" a="1"/>
  <c r="G398" i="62"/>
  <c r="L133" i="17"/>
  <c r="G405" i="62" a="1"/>
  <c r="G405" i="62"/>
  <c r="L137" i="17"/>
  <c r="G410" i="62" a="1"/>
  <c r="G410" i="62"/>
  <c r="L145" i="17"/>
  <c r="G418" i="62" a="1"/>
  <c r="G418" i="62"/>
  <c r="H422" i="62" a="1"/>
  <c r="H422" i="62"/>
  <c r="G397" i="62" a="1"/>
  <c r="G397" i="62"/>
  <c r="AI79" i="15"/>
  <c r="AJ85" i="15"/>
  <c r="AJ89" i="15"/>
  <c r="AJ99" i="15"/>
  <c r="H103" i="62" a="1"/>
  <c r="H103" i="62"/>
  <c r="AJ72" i="24"/>
  <c r="X83" i="55"/>
  <c r="X79" i="55"/>
  <c r="AP84" i="55"/>
  <c r="AP80" i="55"/>
  <c r="L127" i="17"/>
  <c r="G399" i="62" a="1"/>
  <c r="G399" i="62"/>
  <c r="L130" i="17"/>
  <c r="AH402" i="62"/>
  <c r="G402" i="62" a="1"/>
  <c r="G402" i="62"/>
  <c r="L134" i="17"/>
  <c r="G406" i="62" a="1"/>
  <c r="G406" i="62"/>
  <c r="L138" i="17"/>
  <c r="AH411" i="62"/>
  <c r="G411" i="62" a="1"/>
  <c r="G411" i="62"/>
  <c r="L142" i="17"/>
  <c r="G415" i="62" a="1"/>
  <c r="G415" i="62"/>
  <c r="L146" i="17"/>
  <c r="AH419" i="62"/>
  <c r="G419" i="62" a="1"/>
  <c r="G419" i="62"/>
  <c r="AJ62" i="15"/>
  <c r="M38" i="15"/>
  <c r="H19" i="62" a="1"/>
  <c r="H19" i="62"/>
  <c r="AJ73" i="24"/>
  <c r="L58" i="55"/>
  <c r="P58" i="55"/>
  <c r="L46" i="55"/>
  <c r="L30" i="55"/>
  <c r="P30" i="55"/>
  <c r="L18" i="55"/>
  <c r="AP6" i="55"/>
  <c r="BH160" i="55"/>
  <c r="L160" i="55"/>
  <c r="AV160" i="55"/>
  <c r="AP160" i="55"/>
  <c r="AD152" i="55"/>
  <c r="P152" i="55"/>
  <c r="AP144" i="55"/>
  <c r="P144" i="55"/>
  <c r="L116" i="55"/>
  <c r="F664" i="35"/>
  <c r="F663" i="35"/>
  <c r="F61" i="35"/>
  <c r="F60" i="35"/>
  <c r="N61" i="35"/>
  <c r="N664" i="35"/>
  <c r="P61" i="35"/>
  <c r="P664" i="35"/>
  <c r="P147" i="35"/>
  <c r="S664" i="35"/>
  <c r="S61" i="35"/>
  <c r="L111" i="61"/>
  <c r="AZ111" i="61"/>
  <c r="BH111" i="61"/>
  <c r="P111" i="61"/>
  <c r="P210" i="61"/>
  <c r="L210" i="61"/>
  <c r="L221" i="61"/>
  <c r="P221" i="61"/>
  <c r="L265" i="61"/>
  <c r="P265" i="61"/>
  <c r="BH257" i="61"/>
  <c r="L257" i="61"/>
  <c r="P257" i="61"/>
  <c r="L253" i="61"/>
  <c r="AV253" i="61"/>
  <c r="P249" i="61"/>
  <c r="AV249" i="61"/>
  <c r="BH249" i="61"/>
  <c r="BH244" i="61"/>
  <c r="T79" i="55"/>
  <c r="X82" i="55"/>
  <c r="AL84" i="55"/>
  <c r="AP83" i="55"/>
  <c r="AL80" i="55"/>
  <c r="AP79" i="55"/>
  <c r="X92" i="61"/>
  <c r="T91" i="61"/>
  <c r="X88" i="61"/>
  <c r="X84" i="61"/>
  <c r="T79" i="61"/>
  <c r="X76" i="61"/>
  <c r="X72" i="61"/>
  <c r="T71" i="61"/>
  <c r="X64" i="61"/>
  <c r="T63" i="61"/>
  <c r="X60" i="61"/>
  <c r="T59" i="61"/>
  <c r="X56" i="61"/>
  <c r="X52" i="61"/>
  <c r="T51" i="61"/>
  <c r="X48" i="61"/>
  <c r="T47" i="61"/>
  <c r="X44" i="61"/>
  <c r="AL41" i="61"/>
  <c r="AP92" i="61"/>
  <c r="AL89" i="61"/>
  <c r="AP88" i="61"/>
  <c r="AL85" i="61"/>
  <c r="AP84" i="61"/>
  <c r="AL81" i="61"/>
  <c r="AP80" i="61"/>
  <c r="AP76" i="61"/>
  <c r="AP72" i="61"/>
  <c r="AL69" i="61"/>
  <c r="AP68" i="61"/>
  <c r="AL65" i="61"/>
  <c r="AP64" i="61"/>
  <c r="AH62" i="61"/>
  <c r="AP60" i="61"/>
  <c r="AH58" i="61"/>
  <c r="AL57" i="61"/>
  <c r="AP56" i="61"/>
  <c r="AH54" i="61"/>
  <c r="AP52" i="61"/>
  <c r="AH50" i="61"/>
  <c r="AP48" i="61"/>
  <c r="AH46" i="61"/>
  <c r="AP44" i="61"/>
  <c r="AH42" i="61"/>
  <c r="BH94" i="61"/>
  <c r="BH90" i="61"/>
  <c r="BD87" i="61"/>
  <c r="BH86" i="61"/>
  <c r="BH82" i="61"/>
  <c r="BH78" i="61"/>
  <c r="BH74" i="61"/>
  <c r="BD71" i="61"/>
  <c r="BH70" i="61"/>
  <c r="BH66" i="61"/>
  <c r="BD63" i="61"/>
  <c r="BH62" i="61"/>
  <c r="BH58" i="61"/>
  <c r="BH54" i="61"/>
  <c r="BD51" i="61"/>
  <c r="BH50" i="61"/>
  <c r="BD47" i="61"/>
  <c r="BH46" i="61"/>
  <c r="AL30" i="55"/>
  <c r="W15" i="55"/>
  <c r="L186" i="61"/>
  <c r="P186" i="61"/>
  <c r="AV178" i="61"/>
  <c r="L178" i="61"/>
  <c r="P166" i="61"/>
  <c r="P162" i="61"/>
  <c r="L138" i="61"/>
  <c r="P134" i="61"/>
  <c r="L130" i="61"/>
  <c r="L122" i="61"/>
  <c r="X122" i="61"/>
  <c r="X114" i="61"/>
  <c r="AP114" i="61"/>
  <c r="P114" i="61"/>
  <c r="BH79" i="55"/>
  <c r="BD34" i="55"/>
  <c r="AP34" i="55"/>
  <c r="AD34" i="55"/>
  <c r="K61" i="35"/>
  <c r="BD114" i="61"/>
  <c r="T114" i="61"/>
  <c r="BD79" i="55"/>
  <c r="AD140" i="55"/>
  <c r="AH136" i="55"/>
  <c r="X136" i="55"/>
  <c r="X124" i="55"/>
  <c r="AD120" i="55"/>
  <c r="AD112" i="55"/>
  <c r="X108" i="55"/>
  <c r="AH92" i="55"/>
  <c r="X92" i="55"/>
  <c r="AP140" i="55"/>
  <c r="AP128" i="55"/>
  <c r="AV124" i="55"/>
  <c r="AV116" i="55"/>
  <c r="AD108" i="55"/>
  <c r="AP100" i="55"/>
  <c r="AP96" i="55"/>
  <c r="AP92" i="55"/>
  <c r="AL58" i="55"/>
  <c r="AL54" i="55"/>
  <c r="X54" i="55"/>
  <c r="AZ42" i="55"/>
  <c r="BD38" i="55"/>
  <c r="AV38" i="55"/>
  <c r="AH38" i="55"/>
  <c r="AZ30" i="55"/>
  <c r="T6" i="55"/>
  <c r="M61" i="35"/>
  <c r="R61" i="35"/>
  <c r="L191" i="61"/>
  <c r="AV282" i="61"/>
  <c r="AH320" i="61"/>
  <c r="AP320" i="61"/>
  <c r="T308" i="61"/>
  <c r="X272" i="61"/>
  <c r="M272" i="61"/>
  <c r="AD38" i="55"/>
  <c r="BH14" i="55"/>
  <c r="AD14" i="55"/>
  <c r="T10" i="55"/>
  <c r="H61" i="35"/>
  <c r="L171" i="61"/>
  <c r="AZ104" i="61"/>
  <c r="P184" i="61"/>
  <c r="L152" i="61"/>
  <c r="BD234" i="61"/>
  <c r="L263" i="61"/>
  <c r="AL282" i="61"/>
  <c r="AD54" i="55"/>
  <c r="BH50" i="55"/>
  <c r="AP50" i="55"/>
  <c r="AH50" i="55"/>
  <c r="T42" i="55"/>
  <c r="X38" i="55"/>
  <c r="BD22" i="55"/>
  <c r="AP22" i="55"/>
  <c r="AD22" i="55"/>
  <c r="H147" i="35"/>
  <c r="AD147" i="61"/>
  <c r="AH351" i="61"/>
  <c r="AD351" i="61"/>
  <c r="AH298" i="61"/>
  <c r="AV298" i="61"/>
  <c r="T294" i="61"/>
  <c r="X294" i="61"/>
  <c r="AL286" i="61"/>
  <c r="AV286" i="61"/>
  <c r="P270" i="61"/>
  <c r="M135" i="15"/>
  <c r="H157" i="62" a="1"/>
  <c r="H157" i="62"/>
  <c r="G157" i="62" a="1"/>
  <c r="G157" i="62"/>
  <c r="M136" i="15"/>
  <c r="H158" i="62" a="1"/>
  <c r="H158" i="62"/>
  <c r="G158" i="62" a="1"/>
  <c r="G158" i="62"/>
  <c r="M137" i="15"/>
  <c r="H159" i="62" a="1"/>
  <c r="H159" i="62"/>
  <c r="G159" i="62" a="1"/>
  <c r="G159" i="62"/>
  <c r="M138" i="15"/>
  <c r="H160" i="62" a="1"/>
  <c r="H160" i="62"/>
  <c r="G160" i="62" a="1"/>
  <c r="G160" i="62"/>
  <c r="P194" i="58"/>
  <c r="T546" i="35"/>
  <c r="AH79" i="62"/>
  <c r="AH59" i="62"/>
  <c r="AH47" i="62"/>
  <c r="AH43" i="62"/>
  <c r="AH19" i="62"/>
  <c r="AH11" i="62"/>
  <c r="AH7" i="62"/>
  <c r="AV106" i="62"/>
  <c r="AV102" i="62"/>
  <c r="AP99" i="62"/>
  <c r="AP95" i="62"/>
  <c r="AP91" i="62"/>
  <c r="AP67" i="62"/>
  <c r="AP55" i="62"/>
  <c r="AP39" i="62"/>
  <c r="P384" i="62"/>
  <c r="L376" i="62"/>
  <c r="L380" i="62"/>
  <c r="AO383" i="62"/>
  <c r="P420" i="62"/>
  <c r="T414" i="62"/>
  <c r="P412" i="62"/>
  <c r="T410" i="62"/>
  <c r="P408" i="62"/>
  <c r="T406" i="62"/>
  <c r="L404" i="62"/>
  <c r="P402" i="62"/>
  <c r="T400" i="62"/>
  <c r="T398" i="62"/>
  <c r="L396" i="62"/>
  <c r="K284" i="61"/>
  <c r="M284" i="61"/>
  <c r="O286" i="61"/>
  <c r="Q286" i="61"/>
  <c r="O282" i="61"/>
  <c r="AK296" i="61"/>
  <c r="AO298" i="61"/>
  <c r="AO294" i="61"/>
  <c r="AQ294" i="61"/>
  <c r="AO290" i="61"/>
  <c r="AO286" i="61"/>
  <c r="AO282" i="61"/>
  <c r="AZ165" i="61"/>
  <c r="X126" i="61"/>
  <c r="BD116" i="62"/>
  <c r="X172" i="62"/>
  <c r="P199" i="62"/>
  <c r="P376" i="62"/>
  <c r="P380" i="62"/>
  <c r="T422" i="62"/>
  <c r="L420" i="62"/>
  <c r="T418" i="62"/>
  <c r="L416" i="62"/>
  <c r="P414" i="62"/>
  <c r="L412" i="62"/>
  <c r="P410" i="62"/>
  <c r="X408" i="62"/>
  <c r="P406" i="62"/>
  <c r="X403" i="62"/>
  <c r="L402" i="62"/>
  <c r="P400" i="62"/>
  <c r="P398" i="62"/>
  <c r="X396" i="62"/>
  <c r="AD422" i="62"/>
  <c r="AL420" i="62"/>
  <c r="AD418" i="62"/>
  <c r="AD414" i="62"/>
  <c r="AL412" i="62"/>
  <c r="AH91" i="62"/>
  <c r="AL106" i="62"/>
  <c r="AL102" i="62"/>
  <c r="AZ99" i="62"/>
  <c r="AZ95" i="62"/>
  <c r="AZ91" i="62"/>
  <c r="AZ87" i="62"/>
  <c r="BH59" i="62"/>
  <c r="H215" i="62" a="1"/>
  <c r="H215" i="62"/>
  <c r="H281" i="62" a="1"/>
  <c r="H281" i="62"/>
  <c r="P374" i="62"/>
  <c r="P386" i="62"/>
  <c r="L382" i="62"/>
  <c r="AH380" i="62"/>
  <c r="P378" i="62"/>
  <c r="P422" i="62"/>
  <c r="P418" i="62"/>
  <c r="L414" i="62"/>
  <c r="L410" i="62"/>
  <c r="T408" i="62"/>
  <c r="L406" i="62"/>
  <c r="T404" i="62"/>
  <c r="L400" i="62"/>
  <c r="L398" i="62"/>
  <c r="T396" i="62"/>
  <c r="AD416" i="62"/>
  <c r="AP27" i="62"/>
  <c r="AP23" i="62"/>
  <c r="AP15" i="62"/>
  <c r="BD163" i="62"/>
  <c r="T296" i="62"/>
  <c r="BG62" i="62"/>
  <c r="P243" i="58"/>
  <c r="AY38" i="62"/>
  <c r="W380" i="62"/>
  <c r="AP11" i="62"/>
  <c r="BG11" i="62"/>
  <c r="BH6" i="62"/>
  <c r="AO385" i="62"/>
  <c r="X14" i="62"/>
  <c r="X18" i="62"/>
  <c r="X26" i="62"/>
  <c r="L38" i="62"/>
  <c r="P46" i="62"/>
  <c r="P105" i="62"/>
  <c r="AH3" i="62"/>
  <c r="AV3" i="62"/>
  <c r="BH3" i="62"/>
  <c r="BH82" i="62"/>
  <c r="BD20" i="62"/>
  <c r="BG75" i="62"/>
  <c r="L92" i="62"/>
  <c r="P8" i="62"/>
  <c r="P24" i="62"/>
  <c r="P36" i="62"/>
  <c r="BD52" i="62"/>
  <c r="L64" i="62"/>
  <c r="AY7" i="62"/>
  <c r="BD175" i="62"/>
  <c r="T377" i="62"/>
  <c r="P68" i="62"/>
  <c r="X4" i="62"/>
  <c r="L16" i="62"/>
  <c r="P100" i="62"/>
  <c r="T80" i="62"/>
  <c r="T88" i="62"/>
  <c r="L44" i="62"/>
  <c r="BD169" i="62"/>
  <c r="AL87" i="62"/>
  <c r="AL83" i="62"/>
  <c r="AP78" i="62"/>
  <c r="AL75" i="62"/>
  <c r="AL59" i="62"/>
  <c r="AL23" i="62"/>
  <c r="AY46" i="62"/>
  <c r="BC331" i="62"/>
  <c r="AY406" i="62"/>
  <c r="AZ125" i="62"/>
  <c r="AZ121" i="62"/>
  <c r="BH73" i="62"/>
  <c r="BH37" i="62"/>
  <c r="BC15" i="62"/>
  <c r="AU6" i="62"/>
  <c r="BH142" i="62"/>
  <c r="BH134" i="62"/>
  <c r="BH123" i="62"/>
  <c r="BH119" i="62"/>
  <c r="BH115" i="62"/>
  <c r="S186" i="62"/>
  <c r="S182" i="62"/>
  <c r="S178" i="62"/>
  <c r="S175" i="62"/>
  <c r="BH51" i="62"/>
  <c r="BH39" i="62"/>
  <c r="BG29" i="62"/>
  <c r="AY5" i="62"/>
  <c r="AZ165" i="62"/>
  <c r="BG353" i="62"/>
  <c r="BG27" i="62"/>
  <c r="BC16" i="62"/>
  <c r="AZ6" i="62"/>
  <c r="AO145" i="62"/>
  <c r="BG209" i="62"/>
  <c r="BG177" i="62"/>
  <c r="BG335" i="62"/>
  <c r="AC388" i="62"/>
  <c r="AC380" i="62"/>
  <c r="BG79" i="62"/>
  <c r="BG59" i="62"/>
  <c r="T3" i="62"/>
  <c r="P3" i="62"/>
  <c r="T98" i="62"/>
  <c r="P94" i="62"/>
  <c r="T94" i="62"/>
  <c r="X94" i="62"/>
  <c r="P90" i="62"/>
  <c r="L90" i="62"/>
  <c r="X90" i="62"/>
  <c r="BH86" i="62"/>
  <c r="X86" i="62"/>
  <c r="P86" i="62"/>
  <c r="T86" i="62"/>
  <c r="L82" i="62"/>
  <c r="X82" i="62"/>
  <c r="BD82" i="62"/>
  <c r="P78" i="62"/>
  <c r="T78" i="62"/>
  <c r="L74" i="62"/>
  <c r="T74" i="62"/>
  <c r="X70" i="62"/>
  <c r="L66" i="62"/>
  <c r="P66" i="62"/>
  <c r="T62" i="62"/>
  <c r="L62" i="62"/>
  <c r="BH58" i="62"/>
  <c r="X58" i="62"/>
  <c r="BH54" i="62"/>
  <c r="L54" i="62"/>
  <c r="X54" i="62"/>
  <c r="L50" i="62"/>
  <c r="BD50" i="62"/>
  <c r="X50" i="62"/>
  <c r="BD10" i="62"/>
  <c r="BH92" i="62"/>
  <c r="L56" i="62"/>
  <c r="X56" i="62"/>
  <c r="L40" i="62"/>
  <c r="T40" i="62"/>
  <c r="P32" i="62"/>
  <c r="AL32" i="62"/>
  <c r="L28" i="62"/>
  <c r="AL28" i="62"/>
  <c r="P20" i="62"/>
  <c r="BH20" i="62"/>
  <c r="AD103" i="62"/>
  <c r="L84" i="62"/>
  <c r="T84" i="62"/>
  <c r="P76" i="62"/>
  <c r="X76" i="62"/>
  <c r="BH48" i="62"/>
  <c r="T12" i="62"/>
  <c r="AZ4" i="62"/>
  <c r="L107" i="62"/>
  <c r="X107" i="62"/>
  <c r="T6" i="62"/>
  <c r="P6" i="62"/>
  <c r="X10" i="62"/>
  <c r="P10" i="62"/>
  <c r="T14" i="62"/>
  <c r="P14" i="62"/>
  <c r="T18" i="62"/>
  <c r="L18" i="62"/>
  <c r="P22" i="62"/>
  <c r="BD26" i="62"/>
  <c r="L26" i="62"/>
  <c r="T30" i="62"/>
  <c r="T38" i="62"/>
  <c r="P38" i="62"/>
  <c r="BD46" i="62"/>
  <c r="T68" i="62"/>
  <c r="T72" i="62"/>
  <c r="AZ72" i="62"/>
  <c r="L76" i="62"/>
  <c r="P80" i="62"/>
  <c r="P84" i="62"/>
  <c r="L88" i="62"/>
  <c r="X92" i="62"/>
  <c r="P4" i="62"/>
  <c r="T8" i="62"/>
  <c r="BD8" i="62"/>
  <c r="L12" i="62"/>
  <c r="P16" i="62"/>
  <c r="L24" i="62"/>
  <c r="X28" i="62"/>
  <c r="AZ28" i="62"/>
  <c r="L32" i="62"/>
  <c r="P40" i="62"/>
  <c r="P44" i="62"/>
  <c r="P48" i="62"/>
  <c r="T52" i="62"/>
  <c r="T56" i="62"/>
  <c r="X60" i="62"/>
  <c r="X64" i="62"/>
  <c r="X103" i="62"/>
  <c r="P103" i="62"/>
  <c r="L42" i="62"/>
  <c r="BD42" i="62"/>
  <c r="AO114" i="62"/>
  <c r="T46" i="62"/>
  <c r="BH34" i="62"/>
  <c r="BD30" i="62"/>
  <c r="T109" i="62"/>
  <c r="BD105" i="62"/>
  <c r="L105" i="62"/>
  <c r="X6" i="62"/>
  <c r="BD18" i="62"/>
  <c r="P26" i="62"/>
  <c r="T34" i="62"/>
  <c r="P34" i="62"/>
  <c r="BD38" i="62"/>
  <c r="T42" i="62"/>
  <c r="T105" i="62"/>
  <c r="P72" i="62"/>
  <c r="P92" i="62"/>
  <c r="T96" i="62"/>
  <c r="L96" i="62"/>
  <c r="L4" i="62"/>
  <c r="L8" i="62"/>
  <c r="P12" i="62"/>
  <c r="T20" i="62"/>
  <c r="L20" i="62"/>
  <c r="AZ24" i="62"/>
  <c r="X36" i="62"/>
  <c r="T48" i="62"/>
  <c r="L48" i="62"/>
  <c r="P60" i="62"/>
  <c r="P64" i="62"/>
  <c r="P107" i="62"/>
  <c r="AP3" i="62"/>
  <c r="AV119" i="62"/>
  <c r="P148" i="62"/>
  <c r="AZ3" i="62"/>
  <c r="AD60" i="62"/>
  <c r="AD8" i="62"/>
  <c r="AP88" i="62"/>
  <c r="AP80" i="62"/>
  <c r="T314" i="62"/>
  <c r="T298" i="62"/>
  <c r="S296" i="62"/>
  <c r="AP70" i="62"/>
  <c r="AZ32" i="62"/>
  <c r="S304" i="62"/>
  <c r="S302" i="62"/>
  <c r="S300" i="62"/>
  <c r="S298" i="62"/>
  <c r="AC350" i="62"/>
  <c r="AK347" i="62"/>
  <c r="AK343" i="62"/>
  <c r="AU358" i="62"/>
  <c r="BC339" i="62"/>
  <c r="W326" i="62"/>
  <c r="AH70" i="62"/>
  <c r="AH38" i="62"/>
  <c r="AH30" i="62"/>
  <c r="AO388" i="62"/>
  <c r="AO332" i="62"/>
  <c r="AU347" i="62"/>
  <c r="X382" i="62"/>
  <c r="X376" i="62"/>
  <c r="AZ14" i="62"/>
  <c r="AP66" i="62"/>
  <c r="AP62" i="62"/>
  <c r="AP58" i="62"/>
  <c r="AP54" i="62"/>
  <c r="AP30" i="62"/>
  <c r="AP26" i="62"/>
  <c r="AP22" i="62"/>
  <c r="AP14" i="62"/>
  <c r="BH63" i="62"/>
  <c r="BD215" i="62"/>
  <c r="AH366" i="62"/>
  <c r="T363" i="62"/>
  <c r="AO327" i="62"/>
  <c r="BH337" i="62"/>
  <c r="L390" i="62"/>
  <c r="AD384" i="62"/>
  <c r="P382" i="62"/>
  <c r="X380" i="62"/>
  <c r="AH378" i="62"/>
  <c r="L378" i="62"/>
  <c r="AH376" i="62"/>
  <c r="AH374" i="62"/>
  <c r="AC389" i="62"/>
  <c r="AD410" i="62"/>
  <c r="AL408" i="62"/>
  <c r="AD406" i="62"/>
  <c r="AL404" i="62"/>
  <c r="AD402" i="62"/>
  <c r="AL400" i="62"/>
  <c r="AL396" i="62"/>
  <c r="AH352" i="62"/>
  <c r="T380" i="62"/>
  <c r="AD378" i="62"/>
  <c r="X375" i="62"/>
  <c r="AK380" i="62"/>
  <c r="BD155" i="62"/>
  <c r="BD151" i="62"/>
  <c r="X366" i="62"/>
  <c r="AD340" i="62"/>
  <c r="T375" i="62"/>
  <c r="AL68" i="62"/>
  <c r="AL60" i="62"/>
  <c r="AL40" i="62"/>
  <c r="BH354" i="62"/>
  <c r="BG327" i="62"/>
  <c r="AD215" i="62"/>
  <c r="BH215" i="62"/>
  <c r="W374" i="62"/>
  <c r="BD338" i="62"/>
  <c r="BG301" i="62"/>
  <c r="AZ64" i="62"/>
  <c r="AL55" i="62"/>
  <c r="AL15" i="62"/>
  <c r="AY36" i="62"/>
  <c r="BH166" i="62"/>
  <c r="X273" i="62"/>
  <c r="AP273" i="62"/>
  <c r="AV273" i="62"/>
  <c r="BH273" i="62"/>
  <c r="AD273" i="62"/>
  <c r="L273" i="62"/>
  <c r="AH273" i="62"/>
  <c r="P273" i="62"/>
  <c r="AZ273" i="62"/>
  <c r="T273" i="62"/>
  <c r="BD273" i="62"/>
  <c r="AL273" i="62"/>
  <c r="BE273" i="62"/>
  <c r="AW273" i="62"/>
  <c r="BA273" i="62"/>
  <c r="Y273" i="62"/>
  <c r="U273" i="62"/>
  <c r="M273" i="62"/>
  <c r="AI273" i="62"/>
  <c r="Q273" i="62"/>
  <c r="AE273" i="62"/>
  <c r="AM273" i="62"/>
  <c r="BI273" i="62"/>
  <c r="AQ273" i="62"/>
  <c r="AD264" i="62"/>
  <c r="AP264" i="62"/>
  <c r="AH264" i="62"/>
  <c r="AZ264" i="62"/>
  <c r="L264" i="62"/>
  <c r="T264" i="62"/>
  <c r="AL264" i="62"/>
  <c r="BD264" i="62"/>
  <c r="BH264" i="62"/>
  <c r="AV264" i="62"/>
  <c r="X264" i="62"/>
  <c r="P264" i="62"/>
  <c r="M264" i="62"/>
  <c r="AE264" i="62"/>
  <c r="AQ264" i="62"/>
  <c r="U264" i="62"/>
  <c r="AM264" i="62"/>
  <c r="AI264" i="62"/>
  <c r="BI264" i="62"/>
  <c r="BE264" i="62"/>
  <c r="Y264" i="62"/>
  <c r="AW264" i="62"/>
  <c r="BA264" i="62"/>
  <c r="Q264" i="62"/>
  <c r="L260" i="62"/>
  <c r="AL260" i="62"/>
  <c r="T260" i="62"/>
  <c r="BH260" i="62"/>
  <c r="X260" i="62"/>
  <c r="P260" i="62"/>
  <c r="AD260" i="62"/>
  <c r="BD260" i="62"/>
  <c r="AV260" i="62"/>
  <c r="AZ260" i="62"/>
  <c r="AP260" i="62"/>
  <c r="AH260" i="62"/>
  <c r="AQ260" i="62"/>
  <c r="AE260" i="62"/>
  <c r="U260" i="62"/>
  <c r="BI260" i="62"/>
  <c r="BE260" i="62"/>
  <c r="AI260" i="62"/>
  <c r="M260" i="62"/>
  <c r="Y260" i="62"/>
  <c r="Q260" i="62"/>
  <c r="BA260" i="62"/>
  <c r="AM260" i="62"/>
  <c r="AW260" i="62"/>
  <c r="BH256" i="62"/>
  <c r="T256" i="62"/>
  <c r="AD256" i="62"/>
  <c r="X256" i="62"/>
  <c r="P256" i="62"/>
  <c r="BD256" i="62"/>
  <c r="AZ256" i="62"/>
  <c r="AV256" i="62"/>
  <c r="AL256" i="62"/>
  <c r="AP256" i="62"/>
  <c r="AH256" i="62"/>
  <c r="L256" i="62"/>
  <c r="M256" i="62"/>
  <c r="AQ256" i="62"/>
  <c r="U256" i="62"/>
  <c r="AM256" i="62"/>
  <c r="Y256" i="62"/>
  <c r="BA256" i="62"/>
  <c r="AI256" i="62"/>
  <c r="BE256" i="62"/>
  <c r="Q256" i="62"/>
  <c r="AW256" i="62"/>
  <c r="BI256" i="62"/>
  <c r="AE256" i="62"/>
  <c r="BH252" i="62"/>
  <c r="AD252" i="62"/>
  <c r="AZ252" i="62"/>
  <c r="L252" i="62"/>
  <c r="BD252" i="62"/>
  <c r="T252" i="62"/>
  <c r="AV252" i="62"/>
  <c r="P252" i="62"/>
  <c r="AL252" i="62"/>
  <c r="X252" i="62"/>
  <c r="AP252" i="62"/>
  <c r="AH252" i="62"/>
  <c r="Q252" i="62"/>
  <c r="BE252" i="62"/>
  <c r="AI252" i="62"/>
  <c r="AE252" i="62"/>
  <c r="AQ252" i="62"/>
  <c r="M252" i="62"/>
  <c r="U252" i="62"/>
  <c r="AM252" i="62"/>
  <c r="AW252" i="62"/>
  <c r="Y252" i="62"/>
  <c r="BA252" i="62"/>
  <c r="BI252" i="62"/>
  <c r="AP250" i="62"/>
  <c r="T250" i="62"/>
  <c r="AD250" i="62"/>
  <c r="X250" i="62"/>
  <c r="L250" i="62"/>
  <c r="P250" i="62"/>
  <c r="BD250" i="62"/>
  <c r="AV250" i="62"/>
  <c r="AL250" i="62"/>
  <c r="AZ250" i="62"/>
  <c r="BH250" i="62"/>
  <c r="AH250" i="62"/>
  <c r="M250" i="62"/>
  <c r="AE250" i="62"/>
  <c r="Y250" i="62"/>
  <c r="BI250" i="62"/>
  <c r="BA250" i="62"/>
  <c r="U250" i="62"/>
  <c r="AQ250" i="62"/>
  <c r="AW250" i="62"/>
  <c r="AM250" i="62"/>
  <c r="Q250" i="62"/>
  <c r="BE250" i="62"/>
  <c r="AI250" i="62"/>
  <c r="AP244" i="62"/>
  <c r="AD244" i="62"/>
  <c r="P244" i="62"/>
  <c r="X244" i="62"/>
  <c r="AV244" i="62"/>
  <c r="AZ244" i="62"/>
  <c r="T244" i="62"/>
  <c r="AH244" i="62"/>
  <c r="L244" i="62"/>
  <c r="BH244" i="62"/>
  <c r="AL244" i="62"/>
  <c r="BD244" i="62"/>
  <c r="AI244" i="62"/>
  <c r="AQ244" i="62"/>
  <c r="Y244" i="62"/>
  <c r="BI244" i="62"/>
  <c r="AW244" i="62"/>
  <c r="BE244" i="62"/>
  <c r="U244" i="62"/>
  <c r="M244" i="62"/>
  <c r="AM244" i="62"/>
  <c r="Q244" i="62"/>
  <c r="BA244" i="62"/>
  <c r="AE244" i="62"/>
  <c r="BD240" i="62"/>
  <c r="AD240" i="62"/>
  <c r="AV240" i="62"/>
  <c r="AP240" i="62"/>
  <c r="L240" i="62"/>
  <c r="AZ240" i="62"/>
  <c r="AH240" i="62"/>
  <c r="AL240" i="62"/>
  <c r="P240" i="62"/>
  <c r="BH240" i="62"/>
  <c r="T240" i="62"/>
  <c r="X240" i="62"/>
  <c r="AM240" i="62"/>
  <c r="AI240" i="62"/>
  <c r="U240" i="62"/>
  <c r="AE240" i="62"/>
  <c r="Q240" i="62"/>
  <c r="AW240" i="62"/>
  <c r="BI240" i="62"/>
  <c r="AQ240" i="62"/>
  <c r="BE240" i="62"/>
  <c r="BA240" i="62"/>
  <c r="M240" i="62"/>
  <c r="Y240" i="62"/>
  <c r="T236" i="62"/>
  <c r="AV236" i="62"/>
  <c r="AD236" i="62"/>
  <c r="AH236" i="62"/>
  <c r="L236" i="62"/>
  <c r="BD236" i="62"/>
  <c r="P236" i="62"/>
  <c r="AP236" i="62"/>
  <c r="BH236" i="62"/>
  <c r="AL236" i="62"/>
  <c r="X236" i="62"/>
  <c r="AZ236" i="62"/>
  <c r="U236" i="62"/>
  <c r="BI236" i="62"/>
  <c r="AE236" i="62"/>
  <c r="AQ236" i="62"/>
  <c r="AI236" i="62"/>
  <c r="AM236" i="62"/>
  <c r="BA236" i="62"/>
  <c r="Y236" i="62"/>
  <c r="M236" i="62"/>
  <c r="BE236" i="62"/>
  <c r="Q236" i="62"/>
  <c r="AW236" i="62"/>
  <c r="BD230" i="62"/>
  <c r="AV230" i="62"/>
  <c r="P230" i="62"/>
  <c r="L230" i="62"/>
  <c r="BH230" i="62"/>
  <c r="AP230" i="62"/>
  <c r="AH230" i="62"/>
  <c r="T230" i="62"/>
  <c r="AD230" i="62"/>
  <c r="BE230" i="62"/>
  <c r="AM230" i="62"/>
  <c r="BA230" i="62"/>
  <c r="X230" i="62"/>
  <c r="AZ230" i="62"/>
  <c r="AW230" i="62"/>
  <c r="BI230" i="62"/>
  <c r="AQ230" i="62"/>
  <c r="AL230" i="62"/>
  <c r="AI230" i="62"/>
  <c r="AE230" i="62"/>
  <c r="U230" i="62"/>
  <c r="M230" i="62"/>
  <c r="Y230" i="62"/>
  <c r="Q230" i="62"/>
  <c r="P226" i="62"/>
  <c r="BH226" i="62"/>
  <c r="AV226" i="62"/>
  <c r="AD226" i="62"/>
  <c r="AH226" i="62"/>
  <c r="T226" i="62"/>
  <c r="M226" i="62"/>
  <c r="L226" i="62"/>
  <c r="AL226" i="62"/>
  <c r="BD226" i="62"/>
  <c r="AP226" i="62"/>
  <c r="X226" i="62"/>
  <c r="AI226" i="62"/>
  <c r="BI226" i="62"/>
  <c r="BE226" i="62"/>
  <c r="AZ226" i="62"/>
  <c r="Q226" i="62"/>
  <c r="AW226" i="62"/>
  <c r="AE226" i="62"/>
  <c r="BA226" i="62"/>
  <c r="AM226" i="62"/>
  <c r="AQ226" i="62"/>
  <c r="Y226" i="62"/>
  <c r="U226" i="62"/>
  <c r="AL215" i="62"/>
  <c r="AZ330" i="62"/>
  <c r="P281" i="62"/>
  <c r="AL281" i="62"/>
  <c r="AV281" i="62"/>
  <c r="T281" i="62"/>
  <c r="X281" i="62"/>
  <c r="AH281" i="62"/>
  <c r="BH281" i="62"/>
  <c r="AP281" i="62"/>
  <c r="AZ281" i="62"/>
  <c r="AD281" i="62"/>
  <c r="L281" i="62"/>
  <c r="BD281" i="62"/>
  <c r="Q281" i="62"/>
  <c r="Y281" i="62"/>
  <c r="AM281" i="62"/>
  <c r="AE281" i="62"/>
  <c r="AI281" i="62"/>
  <c r="U281" i="62"/>
  <c r="BE281" i="62"/>
  <c r="BA281" i="62"/>
  <c r="BI281" i="62"/>
  <c r="AW281" i="62"/>
  <c r="M281" i="62"/>
  <c r="AQ281" i="62"/>
  <c r="T270" i="62"/>
  <c r="P270" i="62"/>
  <c r="X270" i="62"/>
  <c r="BD270" i="62"/>
  <c r="AH270" i="62"/>
  <c r="AP270" i="62"/>
  <c r="BH270" i="62"/>
  <c r="AV270" i="62"/>
  <c r="L270" i="62"/>
  <c r="AD270" i="62"/>
  <c r="AL270" i="62"/>
  <c r="AZ270" i="62"/>
  <c r="Y270" i="62"/>
  <c r="BI270" i="62"/>
  <c r="AE270" i="62"/>
  <c r="AW270" i="62"/>
  <c r="AI270" i="62"/>
  <c r="U270" i="62"/>
  <c r="BE270" i="62"/>
  <c r="BA270" i="62"/>
  <c r="AM270" i="62"/>
  <c r="Q270" i="62"/>
  <c r="M270" i="62"/>
  <c r="AQ270" i="62"/>
  <c r="BD263" i="62"/>
  <c r="P263" i="62"/>
  <c r="X263" i="62"/>
  <c r="AH263" i="62"/>
  <c r="AP263" i="62"/>
  <c r="AV263" i="62"/>
  <c r="L263" i="62"/>
  <c r="BH263" i="62"/>
  <c r="AZ263" i="62"/>
  <c r="T263" i="62"/>
  <c r="AD263" i="62"/>
  <c r="AL263" i="62"/>
  <c r="BI263" i="62"/>
  <c r="Q263" i="62"/>
  <c r="M263" i="62"/>
  <c r="AM263" i="62"/>
  <c r="BA263" i="62"/>
  <c r="U263" i="62"/>
  <c r="AW263" i="62"/>
  <c r="BE263" i="62"/>
  <c r="Y263" i="62"/>
  <c r="AI263" i="62"/>
  <c r="AQ263" i="62"/>
  <c r="AE263" i="62"/>
  <c r="AH259" i="62"/>
  <c r="T259" i="62"/>
  <c r="BH259" i="62"/>
  <c r="BD259" i="62"/>
  <c r="AZ259" i="62"/>
  <c r="AD259" i="62"/>
  <c r="AP259" i="62"/>
  <c r="AL259" i="62"/>
  <c r="P259" i="62"/>
  <c r="X259" i="62"/>
  <c r="AV259" i="62"/>
  <c r="L259" i="62"/>
  <c r="BI259" i="62"/>
  <c r="BA259" i="62"/>
  <c r="Y259" i="62"/>
  <c r="AQ259" i="62"/>
  <c r="AW259" i="62"/>
  <c r="Q259" i="62"/>
  <c r="AM259" i="62"/>
  <c r="AE259" i="62"/>
  <c r="BE259" i="62"/>
  <c r="AI259" i="62"/>
  <c r="M259" i="62"/>
  <c r="U259" i="62"/>
  <c r="AH255" i="62"/>
  <c r="BH255" i="62"/>
  <c r="BD255" i="62"/>
  <c r="T255" i="62"/>
  <c r="AD255" i="62"/>
  <c r="AP255" i="62"/>
  <c r="AZ255" i="62"/>
  <c r="P255" i="62"/>
  <c r="L255" i="62"/>
  <c r="X255" i="62"/>
  <c r="AV255" i="62"/>
  <c r="AL255" i="62"/>
  <c r="AQ255" i="62"/>
  <c r="BE255" i="62"/>
  <c r="AE255" i="62"/>
  <c r="M255" i="62"/>
  <c r="BA255" i="62"/>
  <c r="AI255" i="62"/>
  <c r="AM255" i="62"/>
  <c r="Y255" i="62"/>
  <c r="U255" i="62"/>
  <c r="BI255" i="62"/>
  <c r="AW255" i="62"/>
  <c r="Q255" i="62"/>
  <c r="P251" i="62"/>
  <c r="X251" i="62"/>
  <c r="T251" i="62"/>
  <c r="L251" i="62"/>
  <c r="BH251" i="62"/>
  <c r="AZ251" i="62"/>
  <c r="AV251" i="62"/>
  <c r="BD251" i="62"/>
  <c r="AL251" i="62"/>
  <c r="AH251" i="62"/>
  <c r="AP251" i="62"/>
  <c r="AD251" i="62"/>
  <c r="U251" i="62"/>
  <c r="AM251" i="62"/>
  <c r="AQ251" i="62"/>
  <c r="BA251" i="62"/>
  <c r="AI251" i="62"/>
  <c r="Y251" i="62"/>
  <c r="AE251" i="62"/>
  <c r="Q251" i="62"/>
  <c r="BI251" i="62"/>
  <c r="M251" i="62"/>
  <c r="BE251" i="62"/>
  <c r="AW251" i="62"/>
  <c r="P247" i="62"/>
  <c r="T247" i="62"/>
  <c r="AZ247" i="62"/>
  <c r="BD247" i="62"/>
  <c r="BH247" i="62"/>
  <c r="AL247" i="62"/>
  <c r="AV247" i="62"/>
  <c r="AP247" i="62"/>
  <c r="AH247" i="62"/>
  <c r="L247" i="62"/>
  <c r="AD247" i="62"/>
  <c r="X247" i="62"/>
  <c r="U247" i="62"/>
  <c r="AM247" i="62"/>
  <c r="BE247" i="62"/>
  <c r="Y247" i="62"/>
  <c r="AI247" i="62"/>
  <c r="BA247" i="62"/>
  <c r="AW247" i="62"/>
  <c r="Q247" i="62"/>
  <c r="AQ247" i="62"/>
  <c r="M247" i="62"/>
  <c r="AE247" i="62"/>
  <c r="BI247" i="62"/>
  <c r="AZ243" i="62"/>
  <c r="BH243" i="62"/>
  <c r="T243" i="62"/>
  <c r="BD243" i="62"/>
  <c r="AL243" i="62"/>
  <c r="AD243" i="62"/>
  <c r="AP243" i="62"/>
  <c r="X243" i="62"/>
  <c r="P243" i="62"/>
  <c r="AV243" i="62"/>
  <c r="L243" i="62"/>
  <c r="AH243" i="62"/>
  <c r="U243" i="62"/>
  <c r="AW243" i="62"/>
  <c r="Q243" i="62"/>
  <c r="Y243" i="62"/>
  <c r="M243" i="62"/>
  <c r="AQ243" i="62"/>
  <c r="BA243" i="62"/>
  <c r="BI243" i="62"/>
  <c r="AM243" i="62"/>
  <c r="BE243" i="62"/>
  <c r="AI243" i="62"/>
  <c r="AE243" i="62"/>
  <c r="AV239" i="62"/>
  <c r="L239" i="62"/>
  <c r="P239" i="62"/>
  <c r="AZ239" i="62"/>
  <c r="AH239" i="62"/>
  <c r="AL239" i="62"/>
  <c r="T239" i="62"/>
  <c r="BD239" i="62"/>
  <c r="BH239" i="62"/>
  <c r="X239" i="62"/>
  <c r="AP239" i="62"/>
  <c r="AD239" i="62"/>
  <c r="Q239" i="62"/>
  <c r="BI239" i="62"/>
  <c r="U239" i="62"/>
  <c r="BE239" i="62"/>
  <c r="AQ239" i="62"/>
  <c r="AM239" i="62"/>
  <c r="BA239" i="62"/>
  <c r="M239" i="62"/>
  <c r="Y239" i="62"/>
  <c r="AE239" i="62"/>
  <c r="AW239" i="62"/>
  <c r="AI239" i="62"/>
  <c r="X233" i="62"/>
  <c r="AP233" i="62"/>
  <c r="AZ233" i="62"/>
  <c r="AD233" i="62"/>
  <c r="AV233" i="62"/>
  <c r="AL233" i="62"/>
  <c r="L233" i="62"/>
  <c r="AH233" i="62"/>
  <c r="T233" i="62"/>
  <c r="P233" i="62"/>
  <c r="BH233" i="62"/>
  <c r="BD233" i="62"/>
  <c r="AQ233" i="62"/>
  <c r="AE233" i="62"/>
  <c r="U233" i="62"/>
  <c r="BE233" i="62"/>
  <c r="M233" i="62"/>
  <c r="AI233" i="62"/>
  <c r="Y233" i="62"/>
  <c r="Q233" i="62"/>
  <c r="AW233" i="62"/>
  <c r="AM233" i="62"/>
  <c r="BI233" i="62"/>
  <c r="BA233" i="62"/>
  <c r="X229" i="62"/>
  <c r="AV229" i="62"/>
  <c r="AL229" i="62"/>
  <c r="AZ229" i="62"/>
  <c r="AH229" i="62"/>
  <c r="AD229" i="62"/>
  <c r="T229" i="62"/>
  <c r="BH229" i="62"/>
  <c r="BI229" i="62"/>
  <c r="Y229" i="62"/>
  <c r="Q229" i="62"/>
  <c r="U229" i="62"/>
  <c r="AW229" i="62"/>
  <c r="BD229" i="62"/>
  <c r="P229" i="62"/>
  <c r="AP229" i="62"/>
  <c r="BA229" i="62"/>
  <c r="BE229" i="62"/>
  <c r="L229" i="62"/>
  <c r="AE229" i="62"/>
  <c r="AQ229" i="62"/>
  <c r="M229" i="62"/>
  <c r="AI229" i="62"/>
  <c r="AM229" i="62"/>
  <c r="AH225" i="62"/>
  <c r="AV225" i="62"/>
  <c r="AL225" i="62"/>
  <c r="T225" i="62"/>
  <c r="X225" i="62"/>
  <c r="P225" i="62"/>
  <c r="AZ225" i="62"/>
  <c r="U225" i="62"/>
  <c r="BD225" i="62"/>
  <c r="L225" i="62"/>
  <c r="AD225" i="62"/>
  <c r="AP225" i="62"/>
  <c r="BH225" i="62"/>
  <c r="Q225" i="62"/>
  <c r="Y225" i="62"/>
  <c r="M225" i="62"/>
  <c r="AE225" i="62"/>
  <c r="BA225" i="62"/>
  <c r="AW225" i="62"/>
  <c r="BE225" i="62"/>
  <c r="AM225" i="62"/>
  <c r="BI225" i="62"/>
  <c r="AQ225" i="62"/>
  <c r="AI225" i="62"/>
  <c r="P215" i="62"/>
  <c r="X277" i="62"/>
  <c r="BH277" i="62"/>
  <c r="T277" i="62"/>
  <c r="L277" i="62"/>
  <c r="AL277" i="62"/>
  <c r="AD277" i="62"/>
  <c r="P277" i="62"/>
  <c r="AV277" i="62"/>
  <c r="BD277" i="62"/>
  <c r="AH277" i="62"/>
  <c r="AP277" i="62"/>
  <c r="AZ277" i="62"/>
  <c r="Y277" i="62"/>
  <c r="Q277" i="62"/>
  <c r="BA277" i="62"/>
  <c r="U277" i="62"/>
  <c r="M277" i="62"/>
  <c r="AI277" i="62"/>
  <c r="AE277" i="62"/>
  <c r="AM277" i="62"/>
  <c r="BI277" i="62"/>
  <c r="AQ277" i="62"/>
  <c r="BE277" i="62"/>
  <c r="AW277" i="62"/>
  <c r="BH267" i="62"/>
  <c r="AZ267" i="62"/>
  <c r="AL267" i="62"/>
  <c r="AD267" i="62"/>
  <c r="AV267" i="62"/>
  <c r="BD267" i="62"/>
  <c r="AH267" i="62"/>
  <c r="AP267" i="62"/>
  <c r="X267" i="62"/>
  <c r="L267" i="62"/>
  <c r="T267" i="62"/>
  <c r="P267" i="62"/>
  <c r="Y267" i="62"/>
  <c r="BI267" i="62"/>
  <c r="AW267" i="62"/>
  <c r="U267" i="62"/>
  <c r="BA267" i="62"/>
  <c r="Q267" i="62"/>
  <c r="AQ267" i="62"/>
  <c r="BE267" i="62"/>
  <c r="AM267" i="62"/>
  <c r="M267" i="62"/>
  <c r="AE267" i="62"/>
  <c r="AI267" i="62"/>
  <c r="AL262" i="62"/>
  <c r="P262" i="62"/>
  <c r="AV262" i="62"/>
  <c r="BD262" i="62"/>
  <c r="AZ262" i="62"/>
  <c r="AH262" i="62"/>
  <c r="BH262" i="62"/>
  <c r="AP262" i="62"/>
  <c r="AD262" i="62"/>
  <c r="X262" i="62"/>
  <c r="L262" i="62"/>
  <c r="T262" i="62"/>
  <c r="AQ262" i="62"/>
  <c r="AM262" i="62"/>
  <c r="AE262" i="62"/>
  <c r="BA262" i="62"/>
  <c r="Y262" i="62"/>
  <c r="Q262" i="62"/>
  <c r="AI262" i="62"/>
  <c r="M262" i="62"/>
  <c r="BI262" i="62"/>
  <c r="BE262" i="62"/>
  <c r="U262" i="62"/>
  <c r="AW262" i="62"/>
  <c r="X258" i="62"/>
  <c r="AV258" i="62"/>
  <c r="BH258" i="62"/>
  <c r="BD258" i="62"/>
  <c r="AH258" i="62"/>
  <c r="AD258" i="62"/>
  <c r="AP258" i="62"/>
  <c r="AZ258" i="62"/>
  <c r="T258" i="62"/>
  <c r="P258" i="62"/>
  <c r="L258" i="62"/>
  <c r="AL258" i="62"/>
  <c r="BA258" i="62"/>
  <c r="M258" i="62"/>
  <c r="Y258" i="62"/>
  <c r="AI258" i="62"/>
  <c r="AM258" i="62"/>
  <c r="AW258" i="62"/>
  <c r="U258" i="62"/>
  <c r="Q258" i="62"/>
  <c r="BI258" i="62"/>
  <c r="AE258" i="62"/>
  <c r="BE258" i="62"/>
  <c r="AQ258" i="62"/>
  <c r="Y254" i="62"/>
  <c r="AH254" i="62"/>
  <c r="AD254" i="62"/>
  <c r="AP254" i="62"/>
  <c r="T254" i="62"/>
  <c r="P254" i="62"/>
  <c r="L254" i="62"/>
  <c r="AZ254" i="62"/>
  <c r="AL254" i="62"/>
  <c r="BD254" i="62"/>
  <c r="BH254" i="62"/>
  <c r="AV254" i="62"/>
  <c r="X254" i="62"/>
  <c r="M254" i="62"/>
  <c r="AQ254" i="62"/>
  <c r="AW254" i="62"/>
  <c r="BE254" i="62"/>
  <c r="AM254" i="62"/>
  <c r="BI254" i="62"/>
  <c r="Q254" i="62"/>
  <c r="AI254" i="62"/>
  <c r="U254" i="62"/>
  <c r="BA254" i="62"/>
  <c r="AE254" i="62"/>
  <c r="BD246" i="62"/>
  <c r="BH246" i="62"/>
  <c r="AV246" i="62"/>
  <c r="AP246" i="62"/>
  <c r="AZ246" i="62"/>
  <c r="AD246" i="62"/>
  <c r="AH246" i="62"/>
  <c r="L246" i="62"/>
  <c r="AL246" i="62"/>
  <c r="P246" i="62"/>
  <c r="X246" i="62"/>
  <c r="T246" i="62"/>
  <c r="AW246" i="62"/>
  <c r="AI246" i="62"/>
  <c r="BA246" i="62"/>
  <c r="BE246" i="62"/>
  <c r="AQ246" i="62"/>
  <c r="AM246" i="62"/>
  <c r="M246" i="62"/>
  <c r="Q246" i="62"/>
  <c r="AE246" i="62"/>
  <c r="BI246" i="62"/>
  <c r="U246" i="62"/>
  <c r="Y246" i="62"/>
  <c r="AP242" i="62"/>
  <c r="AH242" i="62"/>
  <c r="AD242" i="62"/>
  <c r="L242" i="62"/>
  <c r="T242" i="62"/>
  <c r="AZ242" i="62"/>
  <c r="P242" i="62"/>
  <c r="AL242" i="62"/>
  <c r="X242" i="62"/>
  <c r="BD242" i="62"/>
  <c r="BH242" i="62"/>
  <c r="AV242" i="62"/>
  <c r="Q242" i="62"/>
  <c r="AW242" i="62"/>
  <c r="BI242" i="62"/>
  <c r="AE242" i="62"/>
  <c r="BA242" i="62"/>
  <c r="AQ242" i="62"/>
  <c r="M242" i="62"/>
  <c r="Y242" i="62"/>
  <c r="AM242" i="62"/>
  <c r="AI242" i="62"/>
  <c r="BE242" i="62"/>
  <c r="U242" i="62"/>
  <c r="AL238" i="62"/>
  <c r="AP238" i="62"/>
  <c r="X238" i="62"/>
  <c r="BH238" i="62"/>
  <c r="AV238" i="62"/>
  <c r="L238" i="62"/>
  <c r="AD238" i="62"/>
  <c r="AH238" i="62"/>
  <c r="AZ238" i="62"/>
  <c r="P238" i="62"/>
  <c r="BD238" i="62"/>
  <c r="T238" i="62"/>
  <c r="AQ238" i="62"/>
  <c r="Q238" i="62"/>
  <c r="BE238" i="62"/>
  <c r="AW238" i="62"/>
  <c r="AE238" i="62"/>
  <c r="U238" i="62"/>
  <c r="BA238" i="62"/>
  <c r="Y238" i="62"/>
  <c r="AM238" i="62"/>
  <c r="AI238" i="62"/>
  <c r="BI238" i="62"/>
  <c r="M238" i="62"/>
  <c r="AL232" i="62"/>
  <c r="P232" i="62"/>
  <c r="BD232" i="62"/>
  <c r="Y232" i="62"/>
  <c r="AV232" i="62"/>
  <c r="AP232" i="62"/>
  <c r="AH232" i="62"/>
  <c r="BH232" i="62"/>
  <c r="L232" i="62"/>
  <c r="AZ232" i="62"/>
  <c r="AD232" i="62"/>
  <c r="T232" i="62"/>
  <c r="X232" i="62"/>
  <c r="Q232" i="62"/>
  <c r="AI232" i="62"/>
  <c r="BI232" i="62"/>
  <c r="AM232" i="62"/>
  <c r="AW232" i="62"/>
  <c r="BE232" i="62"/>
  <c r="M232" i="62"/>
  <c r="U232" i="62"/>
  <c r="BA232" i="62"/>
  <c r="AE232" i="62"/>
  <c r="AQ232" i="62"/>
  <c r="BD228" i="62"/>
  <c r="AZ228" i="62"/>
  <c r="AP228" i="62"/>
  <c r="X228" i="62"/>
  <c r="L228" i="62"/>
  <c r="AL228" i="62"/>
  <c r="Y228" i="62"/>
  <c r="T228" i="62"/>
  <c r="AH228" i="62"/>
  <c r="P228" i="62"/>
  <c r="M228" i="62"/>
  <c r="BE228" i="62"/>
  <c r="BA228" i="62"/>
  <c r="AD228" i="62"/>
  <c r="AV228" i="62"/>
  <c r="U228" i="62"/>
  <c r="AM228" i="62"/>
  <c r="AQ228" i="62"/>
  <c r="BH228" i="62"/>
  <c r="AI228" i="62"/>
  <c r="AE228" i="62"/>
  <c r="AW228" i="62"/>
  <c r="Q228" i="62"/>
  <c r="BI228" i="62"/>
  <c r="BD224" i="62"/>
  <c r="X224" i="62"/>
  <c r="AL224" i="62"/>
  <c r="L224" i="62"/>
  <c r="AZ224" i="62"/>
  <c r="AP224" i="62"/>
  <c r="AH224" i="62"/>
  <c r="Q224" i="62"/>
  <c r="U224" i="62"/>
  <c r="BH224" i="62"/>
  <c r="P224" i="62"/>
  <c r="AQ224" i="62"/>
  <c r="AD224" i="62"/>
  <c r="T224" i="62"/>
  <c r="AI224" i="62"/>
  <c r="Y224" i="62"/>
  <c r="AM224" i="62"/>
  <c r="AV224" i="62"/>
  <c r="BE224" i="62"/>
  <c r="M224" i="62"/>
  <c r="AW224" i="62"/>
  <c r="BI224" i="62"/>
  <c r="AE224" i="62"/>
  <c r="BA224" i="62"/>
  <c r="L276" i="62"/>
  <c r="AH276" i="62"/>
  <c r="T276" i="62"/>
  <c r="AP276" i="62"/>
  <c r="AZ276" i="62"/>
  <c r="BH276" i="62"/>
  <c r="X276" i="62"/>
  <c r="BD276" i="62"/>
  <c r="AL276" i="62"/>
  <c r="AD276" i="62"/>
  <c r="P276" i="62"/>
  <c r="AV276" i="62"/>
  <c r="AQ276" i="62"/>
  <c r="AM276" i="62"/>
  <c r="U276" i="62"/>
  <c r="AW276" i="62"/>
  <c r="AE276" i="62"/>
  <c r="M276" i="62"/>
  <c r="Y276" i="62"/>
  <c r="BA276" i="62"/>
  <c r="AI276" i="62"/>
  <c r="BE276" i="62"/>
  <c r="BI276" i="62"/>
  <c r="Q276" i="62"/>
  <c r="BD261" i="62"/>
  <c r="AL261" i="62"/>
  <c r="BH261" i="62"/>
  <c r="L261" i="62"/>
  <c r="X261" i="62"/>
  <c r="AH261" i="62"/>
  <c r="AD261" i="62"/>
  <c r="T261" i="62"/>
  <c r="P261" i="62"/>
  <c r="AZ261" i="62"/>
  <c r="AV261" i="62"/>
  <c r="AP261" i="62"/>
  <c r="AE261" i="62"/>
  <c r="AI261" i="62"/>
  <c r="AW261" i="62"/>
  <c r="AM261" i="62"/>
  <c r="BE261" i="62"/>
  <c r="AQ261" i="62"/>
  <c r="M261" i="62"/>
  <c r="Y261" i="62"/>
  <c r="BA261" i="62"/>
  <c r="Q261" i="62"/>
  <c r="BI261" i="62"/>
  <c r="U261" i="62"/>
  <c r="AL257" i="62"/>
  <c r="AH257" i="62"/>
  <c r="AD257" i="62"/>
  <c r="BD257" i="62"/>
  <c r="X257" i="62"/>
  <c r="T257" i="62"/>
  <c r="P257" i="62"/>
  <c r="AP257" i="62"/>
  <c r="AV257" i="62"/>
  <c r="L257" i="62"/>
  <c r="AZ257" i="62"/>
  <c r="BH257" i="62"/>
  <c r="BI257" i="62"/>
  <c r="AQ257" i="62"/>
  <c r="AW257" i="62"/>
  <c r="Q257" i="62"/>
  <c r="AM257" i="62"/>
  <c r="M257" i="62"/>
  <c r="Y257" i="62"/>
  <c r="BE257" i="62"/>
  <c r="BA257" i="62"/>
  <c r="AI257" i="62"/>
  <c r="U257" i="62"/>
  <c r="AE257" i="62"/>
  <c r="X253" i="62"/>
  <c r="T253" i="62"/>
  <c r="P253" i="62"/>
  <c r="BD253" i="62"/>
  <c r="AP253" i="62"/>
  <c r="AZ253" i="62"/>
  <c r="AV253" i="62"/>
  <c r="BH253" i="62"/>
  <c r="AL253" i="62"/>
  <c r="L253" i="62"/>
  <c r="AD253" i="62"/>
  <c r="AH253" i="62"/>
  <c r="BE253" i="62"/>
  <c r="U253" i="62"/>
  <c r="AE253" i="62"/>
  <c r="Q253" i="62"/>
  <c r="BA253" i="62"/>
  <c r="AM253" i="62"/>
  <c r="AQ253" i="62"/>
  <c r="AW253" i="62"/>
  <c r="M253" i="62"/>
  <c r="AI253" i="62"/>
  <c r="BI253" i="62"/>
  <c r="Y253" i="62"/>
  <c r="AZ245" i="62"/>
  <c r="AD245" i="62"/>
  <c r="BD245" i="62"/>
  <c r="AH245" i="62"/>
  <c r="AL245" i="62"/>
  <c r="P245" i="62"/>
  <c r="AP245" i="62"/>
  <c r="T245" i="62"/>
  <c r="X245" i="62"/>
  <c r="L245" i="62"/>
  <c r="BH245" i="62"/>
  <c r="AV245" i="62"/>
  <c r="AI245" i="62"/>
  <c r="BE245" i="62"/>
  <c r="BA245" i="62"/>
  <c r="AQ245" i="62"/>
  <c r="Y245" i="62"/>
  <c r="BI245" i="62"/>
  <c r="AM245" i="62"/>
  <c r="U245" i="62"/>
  <c r="Q245" i="62"/>
  <c r="AW245" i="62"/>
  <c r="AE245" i="62"/>
  <c r="M245" i="62"/>
  <c r="P241" i="62"/>
  <c r="BD241" i="62"/>
  <c r="T241" i="62"/>
  <c r="AP241" i="62"/>
  <c r="BH241" i="62"/>
  <c r="AZ241" i="62"/>
  <c r="L241" i="62"/>
  <c r="AV241" i="62"/>
  <c r="X241" i="62"/>
  <c r="AL241" i="62"/>
  <c r="AH241" i="62"/>
  <c r="AD241" i="62"/>
  <c r="AQ241" i="62"/>
  <c r="AM241" i="62"/>
  <c r="U241" i="62"/>
  <c r="AE241" i="62"/>
  <c r="BA241" i="62"/>
  <c r="AW241" i="62"/>
  <c r="Y241" i="62"/>
  <c r="AI241" i="62"/>
  <c r="M241" i="62"/>
  <c r="BE241" i="62"/>
  <c r="Q241" i="62"/>
  <c r="BI241" i="62"/>
  <c r="L237" i="62"/>
  <c r="AV237" i="62"/>
  <c r="AL237" i="62"/>
  <c r="AH237" i="62"/>
  <c r="X237" i="62"/>
  <c r="BD237" i="62"/>
  <c r="T237" i="62"/>
  <c r="BH237" i="62"/>
  <c r="AP237" i="62"/>
  <c r="P237" i="62"/>
  <c r="AZ237" i="62"/>
  <c r="AD237" i="62"/>
  <c r="AW237" i="62"/>
  <c r="BI237" i="62"/>
  <c r="BA237" i="62"/>
  <c r="Y237" i="62"/>
  <c r="AE237" i="62"/>
  <c r="AQ237" i="62"/>
  <c r="Q237" i="62"/>
  <c r="U237" i="62"/>
  <c r="BE237" i="62"/>
  <c r="AM237" i="62"/>
  <c r="AI237" i="62"/>
  <c r="M237" i="62"/>
  <c r="BH231" i="62"/>
  <c r="AD231" i="62"/>
  <c r="AV231" i="62"/>
  <c r="P231" i="62"/>
  <c r="BD231" i="62"/>
  <c r="AH231" i="62"/>
  <c r="X231" i="62"/>
  <c r="AL231" i="62"/>
  <c r="L231" i="62"/>
  <c r="T231" i="62"/>
  <c r="AP231" i="62"/>
  <c r="AZ231" i="62"/>
  <c r="BE231" i="62"/>
  <c r="Q231" i="62"/>
  <c r="BA231" i="62"/>
  <c r="Y231" i="62"/>
  <c r="U231" i="62"/>
  <c r="AW231" i="62"/>
  <c r="BI231" i="62"/>
  <c r="AQ231" i="62"/>
  <c r="AI231" i="62"/>
  <c r="AM231" i="62"/>
  <c r="M231" i="62"/>
  <c r="AE231" i="62"/>
  <c r="AD227" i="62"/>
  <c r="AP227" i="62"/>
  <c r="BH227" i="62"/>
  <c r="P227" i="62"/>
  <c r="L227" i="62"/>
  <c r="BD227" i="62"/>
  <c r="X227" i="62"/>
  <c r="T227" i="62"/>
  <c r="AH227" i="62"/>
  <c r="BA227" i="62"/>
  <c r="AV227" i="62"/>
  <c r="AL227" i="62"/>
  <c r="AW227" i="62"/>
  <c r="AI227" i="62"/>
  <c r="AE227" i="62"/>
  <c r="AQ227" i="62"/>
  <c r="AZ227" i="62"/>
  <c r="BE227" i="62"/>
  <c r="Q227" i="62"/>
  <c r="M227" i="62"/>
  <c r="BI227" i="62"/>
  <c r="U227" i="62"/>
  <c r="AM227" i="62"/>
  <c r="Y227" i="62"/>
  <c r="X215" i="62"/>
  <c r="F19" i="21"/>
  <c r="AY215" i="62"/>
  <c r="AZ215" i="62"/>
  <c r="AO334" i="62"/>
  <c r="AG334" i="62"/>
  <c r="AQ334" i="62"/>
  <c r="BG366" i="62"/>
  <c r="BC338" i="62"/>
  <c r="BG334" i="62"/>
  <c r="AO376" i="62"/>
  <c r="BG101" i="62"/>
  <c r="BC352" i="62"/>
  <c r="AL48" i="62"/>
  <c r="AO13" i="62"/>
  <c r="BG31" i="62"/>
  <c r="BH368" i="62"/>
  <c r="BH88" i="62"/>
  <c r="BG82" i="62"/>
  <c r="BH72" i="62"/>
  <c r="BH64" i="62"/>
  <c r="AO355" i="62"/>
  <c r="AO389" i="62"/>
  <c r="AG341" i="62"/>
  <c r="AL109" i="62"/>
  <c r="AL105" i="62"/>
  <c r="AP104" i="62"/>
  <c r="AZ94" i="62"/>
  <c r="AZ86" i="62"/>
  <c r="AZ82" i="62"/>
  <c r="AZ78" i="62"/>
  <c r="AL77" i="62"/>
  <c r="AZ74" i="62"/>
  <c r="AZ70" i="62"/>
  <c r="AP68" i="62"/>
  <c r="AP64" i="62"/>
  <c r="AP60" i="62"/>
  <c r="AZ58" i="62"/>
  <c r="AZ54" i="62"/>
  <c r="AZ50" i="62"/>
  <c r="AP48" i="62"/>
  <c r="AZ46" i="62"/>
  <c r="AZ42" i="62"/>
  <c r="AP40" i="62"/>
  <c r="AZ38" i="62"/>
  <c r="AP36" i="62"/>
  <c r="AZ34" i="62"/>
  <c r="AP32" i="62"/>
  <c r="AZ30" i="62"/>
  <c r="AP28" i="62"/>
  <c r="AZ26" i="62"/>
  <c r="AL25" i="62"/>
  <c r="AP24" i="62"/>
  <c r="AZ22" i="62"/>
  <c r="AP20" i="62"/>
  <c r="AZ18" i="62"/>
  <c r="AP12" i="62"/>
  <c r="AP8" i="62"/>
  <c r="AC5" i="62"/>
  <c r="AP4" i="62"/>
  <c r="AU99" i="62"/>
  <c r="BH98" i="62"/>
  <c r="BC88" i="62"/>
  <c r="BH78" i="62"/>
  <c r="BH70" i="62"/>
  <c r="BH62" i="62"/>
  <c r="BC44" i="62"/>
  <c r="BH38" i="62"/>
  <c r="AU35" i="62"/>
  <c r="BH22" i="62"/>
  <c r="BH18" i="62"/>
  <c r="BD139" i="62"/>
  <c r="BD131" i="62"/>
  <c r="BD124" i="62"/>
  <c r="BD120" i="62"/>
  <c r="AC334" i="62"/>
  <c r="BG346" i="62"/>
  <c r="BC335" i="62"/>
  <c r="BG330" i="62"/>
  <c r="BC327" i="62"/>
  <c r="AL350" i="62"/>
  <c r="AC384" i="62"/>
  <c r="AY39" i="62"/>
  <c r="BG33" i="62"/>
  <c r="AY29" i="62"/>
  <c r="AY301" i="62"/>
  <c r="AG367" i="62"/>
  <c r="AG353" i="62"/>
  <c r="AG343" i="62"/>
  <c r="AG335" i="62"/>
  <c r="AG331" i="62"/>
  <c r="AG327" i="62"/>
  <c r="BG3" i="62"/>
  <c r="AP107" i="62"/>
  <c r="AL72" i="62"/>
  <c r="AL36" i="62"/>
  <c r="AL8" i="62"/>
  <c r="AL4" i="62"/>
  <c r="BD198" i="62"/>
  <c r="BD186" i="62"/>
  <c r="BD171" i="62"/>
  <c r="P342" i="62"/>
  <c r="AH354" i="62"/>
  <c r="AG72" i="62"/>
  <c r="AI72" i="62"/>
  <c r="AO46" i="62"/>
  <c r="AU32" i="62"/>
  <c r="BC9" i="62"/>
  <c r="AY4" i="62"/>
  <c r="P364" i="62"/>
  <c r="S360" i="62"/>
  <c r="AP87" i="62"/>
  <c r="AP83" i="62"/>
  <c r="AP79" i="62"/>
  <c r="AP75" i="62"/>
  <c r="AP71" i="62"/>
  <c r="AP63" i="62"/>
  <c r="AP59" i="62"/>
  <c r="AP51" i="62"/>
  <c r="AP47" i="62"/>
  <c r="AP43" i="62"/>
  <c r="AP35" i="62"/>
  <c r="AO17" i="62"/>
  <c r="BD102" i="62"/>
  <c r="BG83" i="62"/>
  <c r="AU66" i="62"/>
  <c r="BG7" i="62"/>
  <c r="BI7" i="62"/>
  <c r="L368" i="62"/>
  <c r="AD14" i="62"/>
  <c r="BG21" i="62"/>
  <c r="T330" i="62"/>
  <c r="S327" i="62"/>
  <c r="AU367" i="62"/>
  <c r="AY365" i="62"/>
  <c r="AY359" i="62"/>
  <c r="AO359" i="62"/>
  <c r="BA359" i="62"/>
  <c r="AY351" i="62"/>
  <c r="AY347" i="62"/>
  <c r="AU343" i="62"/>
  <c r="AY337" i="62"/>
  <c r="AY327" i="62"/>
  <c r="K380" i="62"/>
  <c r="AC391" i="62"/>
  <c r="S12" i="62"/>
  <c r="AD12" i="62"/>
  <c r="AD18" i="62"/>
  <c r="AD46" i="62"/>
  <c r="BD66" i="62"/>
  <c r="AH116" i="62"/>
  <c r="P120" i="62"/>
  <c r="X187" i="62"/>
  <c r="P191" i="62"/>
  <c r="P195" i="62"/>
  <c r="L123" i="62"/>
  <c r="P124" i="62"/>
  <c r="L198" i="62"/>
  <c r="AV109" i="62"/>
  <c r="AV105" i="62"/>
  <c r="AP98" i="62"/>
  <c r="AZ96" i="62"/>
  <c r="AZ92" i="62"/>
  <c r="AP86" i="62"/>
  <c r="AP82" i="62"/>
  <c r="T320" i="62"/>
  <c r="AL354" i="62"/>
  <c r="BH336" i="62"/>
  <c r="L354" i="62"/>
  <c r="L386" i="62"/>
  <c r="AO391" i="62"/>
  <c r="AD363" i="62"/>
  <c r="L352" i="62"/>
  <c r="AH350" i="62"/>
  <c r="AH422" i="62"/>
  <c r="AP420" i="62"/>
  <c r="AH418" i="62"/>
  <c r="AP417" i="62"/>
  <c r="AH414" i="62"/>
  <c r="AP412" i="62"/>
  <c r="AP408" i="62"/>
  <c r="X297" i="62"/>
  <c r="AY312" i="62"/>
  <c r="AG358" i="62"/>
  <c r="AY366" i="62"/>
  <c r="BH340" i="62"/>
  <c r="BH328" i="62"/>
  <c r="BG100" i="62"/>
  <c r="L297" i="62"/>
  <c r="L309" i="62"/>
  <c r="BG299" i="62"/>
  <c r="O327" i="62"/>
  <c r="Q327" i="62"/>
  <c r="AK342" i="62"/>
  <c r="AC337" i="62"/>
  <c r="AC333" i="62"/>
  <c r="AK329" i="62"/>
  <c r="BC354" i="62"/>
  <c r="AU345" i="62"/>
  <c r="AU340" i="62"/>
  <c r="BC330" i="62"/>
  <c r="AU329" i="62"/>
  <c r="AD390" i="62"/>
  <c r="S374" i="62"/>
  <c r="K374" i="62"/>
  <c r="AK384" i="62"/>
  <c r="AK376" i="62"/>
  <c r="AD52" i="62"/>
  <c r="BD35" i="62"/>
  <c r="AP72" i="62"/>
  <c r="BD127" i="62"/>
  <c r="AZ176" i="62"/>
  <c r="P183" i="62"/>
  <c r="BG76" i="62"/>
  <c r="BG68" i="62"/>
  <c r="BG44" i="62"/>
  <c r="BD67" i="62"/>
  <c r="AV63" i="62"/>
  <c r="AV55" i="62"/>
  <c r="X55" i="62"/>
  <c r="X51" i="62"/>
  <c r="P47" i="62"/>
  <c r="T47" i="62"/>
  <c r="L43" i="62"/>
  <c r="P39" i="62"/>
  <c r="X39" i="62"/>
  <c r="AH143" i="62"/>
  <c r="BD143" i="62"/>
  <c r="X127" i="62"/>
  <c r="AV127" i="62"/>
  <c r="P179" i="62"/>
  <c r="X179" i="62"/>
  <c r="X152" i="62"/>
  <c r="AZ152" i="62"/>
  <c r="AD16" i="62"/>
  <c r="S16" i="62"/>
  <c r="X209" i="62"/>
  <c r="M209" i="62"/>
  <c r="AO41" i="62"/>
  <c r="AD43" i="62"/>
  <c r="AD31" i="62"/>
  <c r="AD27" i="62"/>
  <c r="AD15" i="62"/>
  <c r="AD11" i="62"/>
  <c r="AP106" i="62"/>
  <c r="AP102" i="62"/>
  <c r="AL99" i="62"/>
  <c r="AL95" i="62"/>
  <c r="AL91" i="62"/>
  <c r="AZ88" i="62"/>
  <c r="AZ80" i="62"/>
  <c r="AL79" i="62"/>
  <c r="AZ76" i="62"/>
  <c r="AL71" i="62"/>
  <c r="AZ68" i="62"/>
  <c r="AL67" i="62"/>
  <c r="AL63" i="62"/>
  <c r="AZ60" i="62"/>
  <c r="AZ56" i="62"/>
  <c r="AL39" i="62"/>
  <c r="AL35" i="62"/>
  <c r="AL31" i="62"/>
  <c r="AL19" i="62"/>
  <c r="AL11" i="62"/>
  <c r="AP122" i="62"/>
  <c r="AP118" i="62"/>
  <c r="AP114" i="62"/>
  <c r="BH181" i="62"/>
  <c r="BH174" i="62"/>
  <c r="L314" i="62"/>
  <c r="BG329" i="62"/>
  <c r="BG345" i="62"/>
  <c r="T364" i="62"/>
  <c r="AD364" i="62"/>
  <c r="L357" i="62"/>
  <c r="AH337" i="62"/>
  <c r="AO342" i="62"/>
  <c r="W334" i="62"/>
  <c r="AO357" i="62"/>
  <c r="AK345" i="62"/>
  <c r="BG357" i="62"/>
  <c r="W379" i="62"/>
  <c r="AO384" i="62"/>
  <c r="AP31" i="62"/>
  <c r="K327" i="62"/>
  <c r="AZ345" i="62"/>
  <c r="L353" i="62"/>
  <c r="P333" i="62"/>
  <c r="AC376" i="62"/>
  <c r="AH364" i="62"/>
  <c r="T361" i="62"/>
  <c r="P357" i="62"/>
  <c r="P353" i="62"/>
  <c r="P345" i="62"/>
  <c r="AD338" i="62"/>
  <c r="X337" i="62"/>
  <c r="AH333" i="62"/>
  <c r="O329" i="62"/>
  <c r="Q329" i="62"/>
  <c r="X390" i="62"/>
  <c r="K383" i="62"/>
  <c r="K381" i="62"/>
  <c r="M381" i="62"/>
  <c r="X374" i="62"/>
  <c r="T316" i="62"/>
  <c r="AP364" i="62"/>
  <c r="W337" i="62"/>
  <c r="T357" i="62"/>
  <c r="T353" i="62"/>
  <c r="X349" i="62"/>
  <c r="AD345" i="62"/>
  <c r="T345" i="62"/>
  <c r="P341" i="62"/>
  <c r="AG84" i="62"/>
  <c r="AQ84" i="62"/>
  <c r="AG74" i="62"/>
  <c r="AI74" i="62"/>
  <c r="AG70" i="62"/>
  <c r="AO68" i="62"/>
  <c r="AG66" i="62"/>
  <c r="AI66" i="62"/>
  <c r="AG64" i="62"/>
  <c r="AI64" i="62"/>
  <c r="AC60" i="62"/>
  <c r="AG54" i="62"/>
  <c r="AI54" i="62"/>
  <c r="AP6" i="62"/>
  <c r="BC70" i="62"/>
  <c r="AU41" i="62"/>
  <c r="AL311" i="62"/>
  <c r="AD321" i="62"/>
  <c r="AO312" i="62"/>
  <c r="AU299" i="62"/>
  <c r="AO326" i="62"/>
  <c r="AP360" i="62"/>
  <c r="AC349" i="62"/>
  <c r="AK346" i="62"/>
  <c r="AL341" i="62"/>
  <c r="AK338" i="62"/>
  <c r="AL337" i="62"/>
  <c r="AK334" i="62"/>
  <c r="AL333" i="62"/>
  <c r="AK330" i="62"/>
  <c r="BH364" i="62"/>
  <c r="BC362" i="62"/>
  <c r="BH360" i="62"/>
  <c r="BC358" i="62"/>
  <c r="BE358" i="62"/>
  <c r="BD357" i="62"/>
  <c r="BC350" i="62"/>
  <c r="BC346" i="62"/>
  <c r="BE346" i="62"/>
  <c r="BD341" i="62"/>
  <c r="BG338" i="62"/>
  <c r="BD337" i="62"/>
  <c r="BC334" i="62"/>
  <c r="L350" i="62"/>
  <c r="X338" i="62"/>
  <c r="S326" i="62"/>
  <c r="K326" i="62"/>
  <c r="U326" i="62"/>
  <c r="M326" i="62"/>
  <c r="T379" i="62"/>
  <c r="S329" i="62"/>
  <c r="P387" i="62"/>
  <c r="P381" i="62"/>
  <c r="AK349" i="62"/>
  <c r="AO349" i="62"/>
  <c r="AG349" i="62"/>
  <c r="AQ349" i="62"/>
  <c r="BG341" i="62"/>
  <c r="P337" i="62"/>
  <c r="L337" i="62"/>
  <c r="O379" i="62"/>
  <c r="AG384" i="62"/>
  <c r="AQ384" i="62"/>
  <c r="AO380" i="62"/>
  <c r="L421" i="62"/>
  <c r="P375" i="62"/>
  <c r="P385" i="62"/>
  <c r="S305" i="62"/>
  <c r="S303" i="62"/>
  <c r="S301" i="62"/>
  <c r="S299" i="62"/>
  <c r="S297" i="62"/>
  <c r="AG316" i="62"/>
  <c r="AO314" i="62"/>
  <c r="AG312" i="62"/>
  <c r="AY303" i="62"/>
  <c r="AY297" i="62"/>
  <c r="L341" i="62"/>
  <c r="O339" i="62"/>
  <c r="Q339" i="62"/>
  <c r="X333" i="62"/>
  <c r="K329" i="62"/>
  <c r="M329" i="62"/>
  <c r="AC340" i="62"/>
  <c r="L344" i="62"/>
  <c r="L328" i="62"/>
  <c r="BD328" i="62"/>
  <c r="L363" i="62"/>
  <c r="P363" i="62"/>
  <c r="P366" i="62"/>
  <c r="P421" i="62"/>
  <c r="T413" i="62"/>
  <c r="T411" i="62"/>
  <c r="L409" i="62"/>
  <c r="T407" i="62"/>
  <c r="L405" i="62"/>
  <c r="T403" i="62"/>
  <c r="P399" i="62"/>
  <c r="T397" i="62"/>
  <c r="AH421" i="62"/>
  <c r="AP419" i="62"/>
  <c r="AP416" i="62"/>
  <c r="AP415" i="62"/>
  <c r="AH413" i="62"/>
  <c r="AP411" i="62"/>
  <c r="AP407" i="62"/>
  <c r="AH405" i="62"/>
  <c r="AP403" i="62"/>
  <c r="AH401" i="62"/>
  <c r="AP399" i="62"/>
  <c r="AH397" i="62"/>
  <c r="O6" i="62"/>
  <c r="Y6" i="62"/>
  <c r="T419" i="62"/>
  <c r="T416" i="62"/>
  <c r="T415" i="62"/>
  <c r="P407" i="62"/>
  <c r="P403" i="62"/>
  <c r="P401" i="62"/>
  <c r="L399" i="62"/>
  <c r="K6" i="62"/>
  <c r="S135" i="62"/>
  <c r="S131" i="62"/>
  <c r="W299" i="62"/>
  <c r="AD367" i="62"/>
  <c r="X364" i="62"/>
  <c r="AD357" i="62"/>
  <c r="AH353" i="62"/>
  <c r="X353" i="62"/>
  <c r="X345" i="62"/>
  <c r="X342" i="62"/>
  <c r="AH341" i="62"/>
  <c r="O338" i="62"/>
  <c r="Q338" i="62"/>
  <c r="AD337" i="62"/>
  <c r="X336" i="62"/>
  <c r="AD333" i="62"/>
  <c r="T333" i="62"/>
  <c r="AH332" i="62"/>
  <c r="AG357" i="62"/>
  <c r="AC355" i="62"/>
  <c r="AO351" i="62"/>
  <c r="AC331" i="62"/>
  <c r="AK327" i="62"/>
  <c r="AU361" i="62"/>
  <c r="BG355" i="62"/>
  <c r="BH353" i="62"/>
  <c r="AD383" i="62"/>
  <c r="P419" i="62"/>
  <c r="P416" i="62"/>
  <c r="P415" i="62"/>
  <c r="L413" i="62"/>
  <c r="L411" i="62"/>
  <c r="T409" i="62"/>
  <c r="L407" i="62"/>
  <c r="T405" i="62"/>
  <c r="L403" i="62"/>
  <c r="L401" i="62"/>
  <c r="T399" i="62"/>
  <c r="P397" i="62"/>
  <c r="AP421" i="62"/>
  <c r="AH416" i="62"/>
  <c r="AH415" i="62"/>
  <c r="AP413" i="62"/>
  <c r="AP409" i="62"/>
  <c r="AH407" i="62"/>
  <c r="AP405" i="62"/>
  <c r="AH403" i="62"/>
  <c r="AP401" i="62"/>
  <c r="AH399" i="62"/>
  <c r="AP397" i="62"/>
  <c r="AH54" i="62"/>
  <c r="AD4" i="62"/>
  <c r="AH209" i="62"/>
  <c r="AP19" i="62"/>
  <c r="AC9" i="62"/>
  <c r="AP7" i="62"/>
  <c r="BD106" i="62"/>
  <c r="BH150" i="62"/>
  <c r="BG297" i="62"/>
  <c r="X303" i="62"/>
  <c r="T311" i="62"/>
  <c r="X322" i="62"/>
  <c r="K330" i="62"/>
  <c r="M330" i="62"/>
  <c r="AG338" i="62"/>
  <c r="AO338" i="62"/>
  <c r="AY355" i="62"/>
  <c r="BI322" i="62"/>
  <c r="BG310" i="62"/>
  <c r="BI310" i="62"/>
  <c r="AD361" i="62"/>
  <c r="AH331" i="62"/>
  <c r="AP345" i="62"/>
  <c r="AV341" i="62"/>
  <c r="AV337" i="62"/>
  <c r="AH390" i="62"/>
  <c r="X388" i="62"/>
  <c r="AH386" i="62"/>
  <c r="AH384" i="62"/>
  <c r="AD382" i="62"/>
  <c r="X378" i="62"/>
  <c r="T376" i="62"/>
  <c r="AZ390" i="62"/>
  <c r="AP388" i="62"/>
  <c r="AZ386" i="62"/>
  <c r="AP384" i="62"/>
  <c r="AZ382" i="62"/>
  <c r="AP380" i="62"/>
  <c r="AZ378" i="62"/>
  <c r="AP376" i="62"/>
  <c r="AZ374" i="62"/>
  <c r="AO92" i="62"/>
  <c r="AO76" i="62"/>
  <c r="AO52" i="62"/>
  <c r="BC38" i="62"/>
  <c r="BC34" i="62"/>
  <c r="AU25" i="62"/>
  <c r="BC14" i="62"/>
  <c r="BD307" i="62"/>
  <c r="P315" i="62"/>
  <c r="AO310" i="62"/>
  <c r="W335" i="62"/>
  <c r="S333" i="62"/>
  <c r="AC354" i="62"/>
  <c r="AC346" i="62"/>
  <c r="AC342" i="62"/>
  <c r="AK335" i="62"/>
  <c r="AK331" i="62"/>
  <c r="AY367" i="62"/>
  <c r="BC363" i="62"/>
  <c r="BC355" i="62"/>
  <c r="AU338" i="62"/>
  <c r="AU334" i="62"/>
  <c r="BH322" i="62"/>
  <c r="L311" i="62"/>
  <c r="AZ419" i="62"/>
  <c r="AZ416" i="62"/>
  <c r="AZ415" i="62"/>
  <c r="AZ409" i="62"/>
  <c r="AZ405" i="62"/>
  <c r="AZ397" i="62"/>
  <c r="AO96" i="62"/>
  <c r="AO72" i="62"/>
  <c r="AG60" i="62"/>
  <c r="AO60" i="62"/>
  <c r="AO56" i="62"/>
  <c r="AP74" i="62"/>
  <c r="AZ84" i="62"/>
  <c r="AG56" i="62"/>
  <c r="L160" i="62"/>
  <c r="P160" i="62"/>
  <c r="M160" i="62"/>
  <c r="Q160" i="62"/>
  <c r="BH160" i="62"/>
  <c r="X160" i="62"/>
  <c r="AP160" i="62"/>
  <c r="AL160" i="62"/>
  <c r="T160" i="62"/>
  <c r="AD160" i="62"/>
  <c r="AV160" i="62"/>
  <c r="AZ160" i="62"/>
  <c r="AH160" i="62"/>
  <c r="BD160" i="62"/>
  <c r="BE160" i="62"/>
  <c r="AQ160" i="62"/>
  <c r="AM160" i="62"/>
  <c r="AE160" i="62"/>
  <c r="Y160" i="62"/>
  <c r="AW160" i="62"/>
  <c r="U160" i="62"/>
  <c r="BI160" i="62"/>
  <c r="AI160" i="62"/>
  <c r="BA160" i="62"/>
  <c r="X316" i="62"/>
  <c r="AL313" i="62"/>
  <c r="AC310" i="62"/>
  <c r="S334" i="62"/>
  <c r="X162" i="62"/>
  <c r="L159" i="62"/>
  <c r="Q159" i="62"/>
  <c r="M159" i="62"/>
  <c r="P159" i="62"/>
  <c r="BH159" i="62"/>
  <c r="X159" i="62"/>
  <c r="BD159" i="62"/>
  <c r="AP159" i="62"/>
  <c r="T159" i="62"/>
  <c r="AL159" i="62"/>
  <c r="AZ159" i="62"/>
  <c r="AV159" i="62"/>
  <c r="AD159" i="62"/>
  <c r="AH159" i="62"/>
  <c r="BA159" i="62"/>
  <c r="AE159" i="62"/>
  <c r="BE159" i="62"/>
  <c r="U159" i="62"/>
  <c r="BI159" i="62"/>
  <c r="Y159" i="62"/>
  <c r="AI159" i="62"/>
  <c r="AM159" i="62"/>
  <c r="AW159" i="62"/>
  <c r="AQ159" i="62"/>
  <c r="BD125" i="62"/>
  <c r="BG342" i="62"/>
  <c r="K22" i="62"/>
  <c r="U22" i="62"/>
  <c r="K14" i="62"/>
  <c r="K10" i="62"/>
  <c r="T113" i="62"/>
  <c r="T192" i="62"/>
  <c r="T184" i="62"/>
  <c r="T180" i="62"/>
  <c r="T173" i="62"/>
  <c r="T165" i="62"/>
  <c r="L158" i="62"/>
  <c r="Q158" i="62"/>
  <c r="M158" i="62"/>
  <c r="P158" i="62"/>
  <c r="BH158" i="62"/>
  <c r="AZ158" i="62"/>
  <c r="AP158" i="62"/>
  <c r="AL158" i="62"/>
  <c r="T158" i="62"/>
  <c r="AV158" i="62"/>
  <c r="AD158" i="62"/>
  <c r="X158" i="62"/>
  <c r="BD158" i="62"/>
  <c r="AH158" i="62"/>
  <c r="AM158" i="62"/>
  <c r="AI158" i="62"/>
  <c r="BA158" i="62"/>
  <c r="AQ158" i="62"/>
  <c r="U158" i="62"/>
  <c r="BI158" i="62"/>
  <c r="AW158" i="62"/>
  <c r="BE158" i="62"/>
  <c r="AE158" i="62"/>
  <c r="Y158" i="62"/>
  <c r="AZ169" i="62"/>
  <c r="AZ156" i="62"/>
  <c r="AH154" i="62"/>
  <c r="AV153" i="62"/>
  <c r="AZ136" i="62"/>
  <c r="AP320" i="62"/>
  <c r="AY310" i="62"/>
  <c r="S339" i="62"/>
  <c r="S338" i="62"/>
  <c r="O335" i="62"/>
  <c r="Q335" i="62"/>
  <c r="AG360" i="62"/>
  <c r="AZ354" i="62"/>
  <c r="BH303" i="62"/>
  <c r="BH299" i="62"/>
  <c r="BG316" i="62"/>
  <c r="P368" i="62"/>
  <c r="W340" i="62"/>
  <c r="S337" i="62"/>
  <c r="K336" i="62"/>
  <c r="M336" i="62"/>
  <c r="AO353" i="62"/>
  <c r="AG347" i="62"/>
  <c r="AC341" i="62"/>
  <c r="AG333" i="62"/>
  <c r="AC329" i="62"/>
  <c r="AE329" i="62"/>
  <c r="BG369" i="62"/>
  <c r="AY357" i="62"/>
  <c r="AY353" i="62"/>
  <c r="AU341" i="62"/>
  <c r="BG337" i="62"/>
  <c r="AY335" i="62"/>
  <c r="AL360" i="62"/>
  <c r="S155" i="62"/>
  <c r="S151" i="62"/>
  <c r="S139" i="62"/>
  <c r="AZ161" i="62"/>
  <c r="BH161" i="62"/>
  <c r="L161" i="62"/>
  <c r="P161" i="62"/>
  <c r="M161" i="62"/>
  <c r="Q161" i="62"/>
  <c r="X161" i="62"/>
  <c r="AP161" i="62"/>
  <c r="AV161" i="62"/>
  <c r="T161" i="62"/>
  <c r="AH161" i="62"/>
  <c r="AD161" i="62"/>
  <c r="BD161" i="62"/>
  <c r="AL161" i="62"/>
  <c r="AI161" i="62"/>
  <c r="BI161" i="62"/>
  <c r="BA161" i="62"/>
  <c r="AQ161" i="62"/>
  <c r="AE161" i="62"/>
  <c r="Y161" i="62"/>
  <c r="U161" i="62"/>
  <c r="AM161" i="62"/>
  <c r="AW161" i="62"/>
  <c r="BE161" i="62"/>
  <c r="L157" i="62"/>
  <c r="Q157" i="62"/>
  <c r="M157" i="62"/>
  <c r="P157" i="62"/>
  <c r="BH157" i="62"/>
  <c r="AV157" i="62"/>
  <c r="AD157" i="62"/>
  <c r="AH157" i="62"/>
  <c r="AL157" i="62"/>
  <c r="T157" i="62"/>
  <c r="AZ157" i="62"/>
  <c r="X157" i="62"/>
  <c r="BD157" i="62"/>
  <c r="AP157" i="62"/>
  <c r="AM157" i="62"/>
  <c r="BE157" i="62"/>
  <c r="BA157" i="62"/>
  <c r="AW157" i="62"/>
  <c r="AQ157" i="62"/>
  <c r="BI157" i="62"/>
  <c r="U157" i="62"/>
  <c r="AI157" i="62"/>
  <c r="AE157" i="62"/>
  <c r="Y157" i="62"/>
  <c r="AV196" i="62"/>
  <c r="AZ195" i="62"/>
  <c r="AZ191" i="62"/>
  <c r="AZ187" i="62"/>
  <c r="AH174" i="62"/>
  <c r="AV173" i="62"/>
  <c r="AZ172" i="62"/>
  <c r="AH170" i="62"/>
  <c r="AZ168" i="62"/>
  <c r="AH166" i="62"/>
  <c r="AV165" i="62"/>
  <c r="AZ164" i="62"/>
  <c r="AH162" i="62"/>
  <c r="P307" i="62"/>
  <c r="AD320" i="62"/>
  <c r="L301" i="62"/>
  <c r="P313" i="62"/>
  <c r="P299" i="62"/>
  <c r="K339" i="62"/>
  <c r="K335" i="62"/>
  <c r="AG359" i="62"/>
  <c r="W359" i="62"/>
  <c r="AI359" i="62"/>
  <c r="AU362" i="62"/>
  <c r="AQ318" i="62"/>
  <c r="AO316" i="62"/>
  <c r="AG314" i="62"/>
  <c r="AU315" i="62"/>
  <c r="AY299" i="62"/>
  <c r="S345" i="62"/>
  <c r="K334" i="62"/>
  <c r="K331" i="62"/>
  <c r="M331" i="62"/>
  <c r="AD330" i="62"/>
  <c r="AP326" i="62"/>
  <c r="AK364" i="62"/>
  <c r="AC359" i="62"/>
  <c r="AP358" i="62"/>
  <c r="AC351" i="62"/>
  <c r="AK340" i="62"/>
  <c r="AC335" i="62"/>
  <c r="AM335" i="62"/>
  <c r="AK332" i="62"/>
  <c r="BC364" i="62"/>
  <c r="BC360" i="62"/>
  <c r="AU352" i="62"/>
  <c r="K377" i="62"/>
  <c r="M377" i="62"/>
  <c r="S375" i="62"/>
  <c r="BG374" i="62"/>
  <c r="K308" i="62"/>
  <c r="M308" i="62"/>
  <c r="K300" i="62"/>
  <c r="K40" i="62"/>
  <c r="K12" i="62"/>
  <c r="X154" i="62"/>
  <c r="X134" i="62"/>
  <c r="X181" i="62"/>
  <c r="T149" i="62"/>
  <c r="AV145" i="62"/>
  <c r="AV141" i="62"/>
  <c r="T137" i="62"/>
  <c r="T129" i="62"/>
  <c r="X201" i="62"/>
  <c r="X197" i="62"/>
  <c r="X177" i="62"/>
  <c r="T200" i="62"/>
  <c r="T196" i="62"/>
  <c r="X174" i="62"/>
  <c r="X170" i="62"/>
  <c r="AO208" i="62"/>
  <c r="AG78" i="62"/>
  <c r="AI78" i="62"/>
  <c r="AO62" i="62"/>
  <c r="AO50" i="62"/>
  <c r="AK89" i="62"/>
  <c r="AK85" i="62"/>
  <c r="AC76" i="62"/>
  <c r="AK73" i="62"/>
  <c r="AC64" i="62"/>
  <c r="AC53" i="62"/>
  <c r="AE53" i="62"/>
  <c r="AC45" i="62"/>
  <c r="AO33" i="62"/>
  <c r="AK30" i="62"/>
  <c r="AC25" i="62"/>
  <c r="BG95" i="62"/>
  <c r="BC75" i="62"/>
  <c r="AU26" i="62"/>
  <c r="AO64" i="62"/>
  <c r="AU125" i="61"/>
  <c r="AG322" i="61"/>
  <c r="AQ322" i="61"/>
  <c r="AG317" i="61"/>
  <c r="AG308" i="61"/>
  <c r="AQ308" i="61"/>
  <c r="AC337" i="61"/>
  <c r="AG365" i="61"/>
  <c r="BC387" i="61"/>
  <c r="BC302" i="61"/>
  <c r="AO345" i="61"/>
  <c r="AO320" i="61"/>
  <c r="AJ54" i="24"/>
  <c r="AJ60" i="23"/>
  <c r="AJ33" i="15"/>
  <c r="AI28" i="15"/>
  <c r="AI19" i="15"/>
  <c r="AJ168" i="23"/>
  <c r="AJ122" i="23"/>
  <c r="AJ32" i="15"/>
  <c r="AI30" i="15"/>
  <c r="AJ46" i="24"/>
  <c r="AJ53" i="24"/>
  <c r="T166" i="23"/>
  <c r="AJ129" i="23"/>
  <c r="AJ53" i="23"/>
  <c r="AJ31" i="15"/>
  <c r="AJ47" i="15"/>
  <c r="AJ37" i="15"/>
  <c r="AJ49" i="15"/>
  <c r="AJ42" i="15"/>
  <c r="AI123" i="23"/>
  <c r="AJ130" i="23"/>
  <c r="AJ39" i="24"/>
  <c r="AJ75" i="24"/>
  <c r="AI74" i="15"/>
  <c r="M17" i="23"/>
  <c r="H208" i="61" a="1"/>
  <c r="H208" i="61"/>
  <c r="G208" i="61" a="1"/>
  <c r="G208" i="61"/>
  <c r="M75" i="23"/>
  <c r="H221" i="61" a="1"/>
  <c r="H221" i="61"/>
  <c r="G221" i="61" a="1"/>
  <c r="G221" i="61"/>
  <c r="M72" i="23"/>
  <c r="H218" i="61" a="1"/>
  <c r="H218" i="61"/>
  <c r="G218" i="61" a="1"/>
  <c r="G218" i="61"/>
  <c r="M117" i="23"/>
  <c r="H264" i="61" a="1"/>
  <c r="H264" i="61"/>
  <c r="G264" i="61" a="1"/>
  <c r="G264" i="61"/>
  <c r="G285" i="61" a="1"/>
  <c r="G285" i="61"/>
  <c r="M158" i="23"/>
  <c r="H285" i="61" a="1"/>
  <c r="H285" i="61"/>
  <c r="M65" i="15"/>
  <c r="H46" i="62" a="1"/>
  <c r="H46" i="62"/>
  <c r="G46" i="62" a="1"/>
  <c r="G46" i="62"/>
  <c r="M84" i="15"/>
  <c r="H65" i="62" a="1"/>
  <c r="H65" i="62"/>
  <c r="G65" i="62" a="1"/>
  <c r="G65" i="62"/>
  <c r="I175" i="35"/>
  <c r="H175" i="35"/>
  <c r="G175" i="35"/>
  <c r="M175" i="35"/>
  <c r="K175" i="35"/>
  <c r="N175" i="35"/>
  <c r="L175" i="35"/>
  <c r="L173" i="35"/>
  <c r="S175" i="35"/>
  <c r="S173" i="35"/>
  <c r="R175" i="35"/>
  <c r="Q175" i="35"/>
  <c r="P175" i="35"/>
  <c r="AJ48" i="23"/>
  <c r="AJ60" i="15"/>
  <c r="AJ56" i="15"/>
  <c r="AJ27" i="23"/>
  <c r="M20" i="23"/>
  <c r="H211" i="61" a="1"/>
  <c r="H211" i="61"/>
  <c r="G211" i="61" a="1"/>
  <c r="G211" i="61"/>
  <c r="M16" i="23"/>
  <c r="H207" i="61" a="1"/>
  <c r="H207" i="61"/>
  <c r="G207" i="61" a="1"/>
  <c r="G207" i="61"/>
  <c r="H216" i="61" a="1"/>
  <c r="H216" i="61"/>
  <c r="M74" i="23"/>
  <c r="H220" i="61" a="1"/>
  <c r="H220" i="61"/>
  <c r="G241" i="61" a="1"/>
  <c r="G241" i="61"/>
  <c r="M116" i="23"/>
  <c r="H263" i="61" a="1"/>
  <c r="H263" i="61"/>
  <c r="G263" i="61" a="1"/>
  <c r="G263" i="61"/>
  <c r="M112" i="23"/>
  <c r="H259" i="61" a="1"/>
  <c r="H259" i="61"/>
  <c r="M110" i="23"/>
  <c r="H257" i="61" a="1"/>
  <c r="H257" i="61"/>
  <c r="M108" i="23"/>
  <c r="H255" i="61" a="1"/>
  <c r="H255" i="61"/>
  <c r="M103" i="23"/>
  <c r="H250" i="61" a="1"/>
  <c r="H250" i="61"/>
  <c r="G250" i="61" a="1"/>
  <c r="G250" i="61"/>
  <c r="G276" i="61" a="1"/>
  <c r="G276" i="61"/>
  <c r="H390" i="61" a="1"/>
  <c r="H390" i="61"/>
  <c r="M144" i="23"/>
  <c r="H280" i="61" a="1"/>
  <c r="H280" i="61"/>
  <c r="G280" i="61" a="1"/>
  <c r="G280" i="61"/>
  <c r="M148" i="23"/>
  <c r="H270" i="61" a="1"/>
  <c r="H270" i="61"/>
  <c r="G270" i="61" a="1"/>
  <c r="G270" i="61"/>
  <c r="M152" i="23"/>
  <c r="H283" i="61" a="1"/>
  <c r="H283" i="61"/>
  <c r="M163" i="23"/>
  <c r="G307" i="61" a="1"/>
  <c r="G307" i="61"/>
  <c r="H166" i="35"/>
  <c r="H164" i="35"/>
  <c r="G166" i="35"/>
  <c r="G164" i="35"/>
  <c r="I166" i="35"/>
  <c r="I164" i="35"/>
  <c r="K166" i="35"/>
  <c r="L166" i="35"/>
  <c r="M166" i="35"/>
  <c r="M164" i="35"/>
  <c r="S166" i="35"/>
  <c r="S164" i="35"/>
  <c r="R166" i="35"/>
  <c r="R164" i="35"/>
  <c r="Q166" i="35"/>
  <c r="P166" i="35"/>
  <c r="P164" i="35"/>
  <c r="G169" i="35"/>
  <c r="G167" i="35"/>
  <c r="I169" i="35"/>
  <c r="I167" i="35"/>
  <c r="H169" i="35"/>
  <c r="H167" i="35"/>
  <c r="M169" i="35"/>
  <c r="M167" i="35"/>
  <c r="K169" i="35"/>
  <c r="K167" i="35"/>
  <c r="N169" i="35"/>
  <c r="N167" i="35"/>
  <c r="L169" i="35"/>
  <c r="L167" i="35"/>
  <c r="S169" i="35"/>
  <c r="S167" i="35"/>
  <c r="R169" i="35"/>
  <c r="R167" i="35"/>
  <c r="Q169" i="35"/>
  <c r="Q167" i="35"/>
  <c r="P169" i="35"/>
  <c r="AJ61" i="15"/>
  <c r="AJ92" i="15"/>
  <c r="M19" i="23"/>
  <c r="H210" i="61" a="1"/>
  <c r="H210" i="61"/>
  <c r="G210" i="61" a="1"/>
  <c r="G210" i="61"/>
  <c r="M15" i="23"/>
  <c r="H206" i="61" a="1"/>
  <c r="H206" i="61"/>
  <c r="G206" i="61" a="1"/>
  <c r="G206" i="61"/>
  <c r="H240" i="61" a="1"/>
  <c r="H240" i="61"/>
  <c r="G240" i="61" a="1"/>
  <c r="G240" i="61"/>
  <c r="M119" i="23"/>
  <c r="H266" i="61" a="1"/>
  <c r="H266" i="61"/>
  <c r="G266" i="61" a="1"/>
  <c r="G266" i="61"/>
  <c r="M115" i="23"/>
  <c r="H262" i="61" a="1"/>
  <c r="H262" i="61"/>
  <c r="G262" i="61" a="1"/>
  <c r="G262" i="61"/>
  <c r="G277" i="61" a="1"/>
  <c r="G277" i="61"/>
  <c r="M145" i="23"/>
  <c r="H271" i="61" a="1"/>
  <c r="H271" i="61"/>
  <c r="G271" i="61" a="1"/>
  <c r="G271" i="61"/>
  <c r="G67" i="62" a="1"/>
  <c r="G67" i="62"/>
  <c r="M86" i="15"/>
  <c r="H67" i="62" a="1"/>
  <c r="H67" i="62"/>
  <c r="M90" i="15"/>
  <c r="H71" i="62" a="1"/>
  <c r="H71" i="62"/>
  <c r="G71" i="62" a="1"/>
  <c r="G71" i="62"/>
  <c r="I163" i="35"/>
  <c r="I161" i="35"/>
  <c r="H163" i="35"/>
  <c r="H161" i="35"/>
  <c r="G163" i="35"/>
  <c r="K163" i="35"/>
  <c r="K161" i="35"/>
  <c r="N163" i="35"/>
  <c r="N161" i="35"/>
  <c r="M163" i="35"/>
  <c r="M161" i="35"/>
  <c r="L163" i="35"/>
  <c r="S163" i="35"/>
  <c r="S161" i="35"/>
  <c r="R163" i="35"/>
  <c r="R161" i="35"/>
  <c r="Q163" i="35"/>
  <c r="Q161" i="35"/>
  <c r="P163" i="35"/>
  <c r="P161" i="35"/>
  <c r="AO83" i="55"/>
  <c r="AJ52" i="15"/>
  <c r="AJ70" i="15"/>
  <c r="T74" i="15"/>
  <c r="AJ74" i="15"/>
  <c r="AJ95" i="15"/>
  <c r="AA90" i="15"/>
  <c r="AJ87" i="15"/>
  <c r="AJ30" i="23"/>
  <c r="M76" i="23"/>
  <c r="H222" i="61" a="1"/>
  <c r="H222" i="61"/>
  <c r="G222" i="61" a="1"/>
  <c r="G222" i="61"/>
  <c r="M73" i="23"/>
  <c r="H219" i="61" a="1"/>
  <c r="H219" i="61"/>
  <c r="G219" i="61" a="1"/>
  <c r="G219" i="61"/>
  <c r="H239" i="61" a="1"/>
  <c r="H239" i="61"/>
  <c r="G239" i="61" a="1"/>
  <c r="G239" i="61"/>
  <c r="M118" i="23"/>
  <c r="H265" i="61" a="1"/>
  <c r="H265" i="61"/>
  <c r="G265" i="61" a="1"/>
  <c r="G265" i="61"/>
  <c r="M114" i="23"/>
  <c r="H261" i="61" a="1"/>
  <c r="H261" i="61"/>
  <c r="G261" i="61" a="1"/>
  <c r="G261" i="61"/>
  <c r="M111" i="23"/>
  <c r="H258" i="61" a="1"/>
  <c r="H258" i="61"/>
  <c r="M109" i="23"/>
  <c r="H256" i="61" a="1"/>
  <c r="H256" i="61"/>
  <c r="M107" i="23"/>
  <c r="H254" i="61" a="1"/>
  <c r="H254" i="61"/>
  <c r="M104" i="23"/>
  <c r="H251" i="61" a="1"/>
  <c r="H251" i="61"/>
  <c r="H278" i="61" a="1"/>
  <c r="H278" i="61"/>
  <c r="G278" i="61" a="1"/>
  <c r="G278" i="61"/>
  <c r="M146" i="23"/>
  <c r="H272" i="61" a="1"/>
  <c r="H272" i="61"/>
  <c r="G272" i="61" a="1"/>
  <c r="G272" i="61"/>
  <c r="M157" i="23"/>
  <c r="H305" i="61" a="1"/>
  <c r="H305" i="61"/>
  <c r="G305" i="61" a="1"/>
  <c r="G305" i="61"/>
  <c r="M64" i="15"/>
  <c r="H45" i="62" a="1"/>
  <c r="H45" i="62"/>
  <c r="G45" i="62" a="1"/>
  <c r="G45" i="62"/>
  <c r="M75" i="15"/>
  <c r="H56" i="62" a="1"/>
  <c r="H56" i="62"/>
  <c r="G56" i="62" a="1"/>
  <c r="G56" i="62"/>
  <c r="M91" i="15"/>
  <c r="H72" i="62" a="1"/>
  <c r="H72" i="62"/>
  <c r="G72" i="62" a="1"/>
  <c r="G72" i="62"/>
  <c r="M23" i="15"/>
  <c r="H4" i="62" a="1"/>
  <c r="H4" i="62"/>
  <c r="G4" i="62" a="1"/>
  <c r="G4" i="62"/>
  <c r="M177" i="35"/>
  <c r="H178" i="35"/>
  <c r="G178" i="35"/>
  <c r="G176" i="35"/>
  <c r="I178" i="35"/>
  <c r="I176" i="35"/>
  <c r="M178" i="35"/>
  <c r="K178" i="35"/>
  <c r="K176" i="35"/>
  <c r="N178" i="35"/>
  <c r="L178" i="35"/>
  <c r="L176" i="35"/>
  <c r="S178" i="35"/>
  <c r="R178" i="35"/>
  <c r="R176" i="35"/>
  <c r="Q178" i="35"/>
  <c r="P178" i="35"/>
  <c r="P176" i="35"/>
  <c r="BC62" i="55"/>
  <c r="X94" i="61"/>
  <c r="X90" i="61"/>
  <c r="T89" i="61"/>
  <c r="X78" i="61"/>
  <c r="T77" i="61"/>
  <c r="X74" i="61"/>
  <c r="X70" i="61"/>
  <c r="X62" i="61"/>
  <c r="T61" i="61"/>
  <c r="X58" i="61"/>
  <c r="T57" i="61"/>
  <c r="X54" i="61"/>
  <c r="T53" i="61"/>
  <c r="X50" i="61"/>
  <c r="X46" i="61"/>
  <c r="T45" i="61"/>
  <c r="AP94" i="61"/>
  <c r="AH92" i="61"/>
  <c r="AH88" i="61"/>
  <c r="AP86" i="61"/>
  <c r="AP82" i="61"/>
  <c r="AP78" i="61"/>
  <c r="AH72" i="61"/>
  <c r="AP70" i="61"/>
  <c r="AD69" i="61"/>
  <c r="AD65" i="61"/>
  <c r="AH64" i="61"/>
  <c r="AP62" i="61"/>
  <c r="AD61" i="61"/>
  <c r="AD57" i="61"/>
  <c r="AP54" i="61"/>
  <c r="AD53" i="61"/>
  <c r="AH52" i="61"/>
  <c r="AL51" i="61"/>
  <c r="AP50" i="61"/>
  <c r="AD49" i="61"/>
  <c r="AH48" i="61"/>
  <c r="AL47" i="61"/>
  <c r="AP46" i="61"/>
  <c r="AH44" i="61"/>
  <c r="AL43" i="61"/>
  <c r="AP42" i="61"/>
  <c r="AZ94" i="61"/>
  <c r="BH92" i="61"/>
  <c r="AV91" i="61"/>
  <c r="AZ86" i="61"/>
  <c r="BH84" i="61"/>
  <c r="BH80" i="61"/>
  <c r="AZ78" i="61"/>
  <c r="BH76" i="61"/>
  <c r="AV75" i="61"/>
  <c r="AZ74" i="61"/>
  <c r="BH72" i="61"/>
  <c r="AV71" i="61"/>
  <c r="BD69" i="61"/>
  <c r="BH68" i="61"/>
  <c r="AV67" i="61"/>
  <c r="BD65" i="61"/>
  <c r="BH64" i="61"/>
  <c r="AZ62" i="61"/>
  <c r="BD61" i="61"/>
  <c r="BH60" i="61"/>
  <c r="BD57" i="61"/>
  <c r="BH56" i="61"/>
  <c r="AV55" i="61"/>
  <c r="AZ54" i="61"/>
  <c r="BD53" i="61"/>
  <c r="AV51" i="61"/>
  <c r="AZ50" i="61"/>
  <c r="BH48" i="61"/>
  <c r="AZ46" i="61"/>
  <c r="BD45" i="61"/>
  <c r="BH44" i="61"/>
  <c r="AV43" i="61"/>
  <c r="AZ42" i="61"/>
  <c r="AV83" i="55"/>
  <c r="AV80" i="55"/>
  <c r="AU28" i="55"/>
  <c r="P48" i="55"/>
  <c r="H659" i="35"/>
  <c r="H657" i="35"/>
  <c r="H228" i="35"/>
  <c r="H226" i="35"/>
  <c r="H574" i="35"/>
  <c r="H572" i="35"/>
  <c r="H488" i="35"/>
  <c r="H486" i="35"/>
  <c r="H142" i="35"/>
  <c r="H140" i="35"/>
  <c r="H402" i="35"/>
  <c r="H400" i="35"/>
  <c r="H56" i="35"/>
  <c r="H314" i="35"/>
  <c r="H312" i="35"/>
  <c r="M659" i="35"/>
  <c r="M657" i="35"/>
  <c r="M488" i="35"/>
  <c r="M402" i="35"/>
  <c r="M400" i="35"/>
  <c r="M314" i="35"/>
  <c r="M312" i="35"/>
  <c r="M228" i="35"/>
  <c r="M226" i="35"/>
  <c r="M574" i="35"/>
  <c r="M142" i="35"/>
  <c r="M140" i="35"/>
  <c r="M56" i="35"/>
  <c r="M54" i="35"/>
  <c r="R659" i="35"/>
  <c r="R657" i="35"/>
  <c r="R574" i="35"/>
  <c r="R488" i="35"/>
  <c r="R486" i="35"/>
  <c r="R402" i="35"/>
  <c r="R400" i="35"/>
  <c r="R314" i="35"/>
  <c r="R312" i="35"/>
  <c r="R228" i="35"/>
  <c r="R226" i="35"/>
  <c r="R142" i="35"/>
  <c r="R140" i="35"/>
  <c r="R56" i="35"/>
  <c r="R54" i="35"/>
  <c r="H570" i="35"/>
  <c r="I656" i="35"/>
  <c r="I485" i="35"/>
  <c r="I311" i="35"/>
  <c r="I139" i="35"/>
  <c r="I571" i="35"/>
  <c r="I399" i="35"/>
  <c r="I225" i="35"/>
  <c r="I53" i="35"/>
  <c r="N656" i="35"/>
  <c r="N485" i="35"/>
  <c r="N483" i="35"/>
  <c r="N571" i="35"/>
  <c r="N399" i="35"/>
  <c r="N225" i="35"/>
  <c r="N139" i="35"/>
  <c r="N53" i="35"/>
  <c r="N311" i="35"/>
  <c r="S656" i="35"/>
  <c r="S571" i="35"/>
  <c r="S485" i="35"/>
  <c r="S399" i="35"/>
  <c r="S397" i="35"/>
  <c r="S311" i="35"/>
  <c r="S225" i="35"/>
  <c r="S139" i="35"/>
  <c r="S53" i="35"/>
  <c r="G664" i="35"/>
  <c r="G147" i="35"/>
  <c r="G146" i="35"/>
  <c r="G61" i="35"/>
  <c r="I583" i="35"/>
  <c r="I581" i="35"/>
  <c r="I411" i="35"/>
  <c r="I237" i="35"/>
  <c r="I65" i="35"/>
  <c r="I668" i="35"/>
  <c r="I497" i="35"/>
  <c r="I495" i="35"/>
  <c r="I323" i="35"/>
  <c r="I151" i="35"/>
  <c r="L664" i="35"/>
  <c r="L147" i="35"/>
  <c r="L61" i="35"/>
  <c r="N668" i="35"/>
  <c r="N497" i="35"/>
  <c r="N583" i="35"/>
  <c r="N581" i="35"/>
  <c r="N411" i="35"/>
  <c r="N237" i="35"/>
  <c r="N151" i="35"/>
  <c r="N65" i="35"/>
  <c r="N323" i="35"/>
  <c r="Q664" i="35"/>
  <c r="Q61" i="35"/>
  <c r="S668" i="35"/>
  <c r="S666" i="35"/>
  <c r="S583" i="35"/>
  <c r="S497" i="35"/>
  <c r="S495" i="35"/>
  <c r="S411" i="35"/>
  <c r="S323" i="35"/>
  <c r="S237" i="35"/>
  <c r="S235" i="35"/>
  <c r="S151" i="35"/>
  <c r="S65" i="35"/>
  <c r="Q147" i="35"/>
  <c r="P164" i="61"/>
  <c r="L132" i="61"/>
  <c r="L116" i="61"/>
  <c r="P116" i="61"/>
  <c r="L234" i="61"/>
  <c r="P234" i="61"/>
  <c r="BH223" i="61"/>
  <c r="AP223" i="61"/>
  <c r="X259" i="61"/>
  <c r="P259" i="61"/>
  <c r="AP251" i="61"/>
  <c r="AZ353" i="61"/>
  <c r="BD353" i="61"/>
  <c r="T353" i="61"/>
  <c r="AZ349" i="61"/>
  <c r="AL349" i="61"/>
  <c r="BH308" i="61"/>
  <c r="BD308" i="61"/>
  <c r="P296" i="61"/>
  <c r="AD296" i="61"/>
  <c r="X296" i="61"/>
  <c r="X292" i="61"/>
  <c r="AP292" i="61"/>
  <c r="AZ288" i="61"/>
  <c r="AD288" i="61"/>
  <c r="BD288" i="61"/>
  <c r="T284" i="61"/>
  <c r="AL284" i="61"/>
  <c r="X280" i="61"/>
  <c r="AZ280" i="61"/>
  <c r="L272" i="61"/>
  <c r="AD272" i="61"/>
  <c r="AO105" i="61"/>
  <c r="AQ105" i="61"/>
  <c r="AG103" i="61"/>
  <c r="AQ103" i="61"/>
  <c r="AG99" i="61"/>
  <c r="AQ99" i="61"/>
  <c r="BG100" i="61"/>
  <c r="M105" i="23"/>
  <c r="H252" i="61" a="1"/>
  <c r="H252" i="61"/>
  <c r="G252" i="61" a="1"/>
  <c r="G252" i="61"/>
  <c r="M95" i="23"/>
  <c r="H242" i="61" a="1"/>
  <c r="H242" i="61"/>
  <c r="G242" i="61" a="1"/>
  <c r="G242" i="61"/>
  <c r="M143" i="23"/>
  <c r="H279" i="61" a="1"/>
  <c r="H279" i="61"/>
  <c r="G279" i="61" a="1"/>
  <c r="G279" i="61"/>
  <c r="M147" i="23"/>
  <c r="H281" i="61" a="1"/>
  <c r="H281" i="61"/>
  <c r="G281" i="61" a="1"/>
  <c r="G281" i="61"/>
  <c r="M151" i="23"/>
  <c r="G301" i="61" a="1"/>
  <c r="G301" i="61"/>
  <c r="M154" i="23"/>
  <c r="H303" i="61" a="1"/>
  <c r="H303" i="61"/>
  <c r="G303" i="61" a="1"/>
  <c r="G303" i="61"/>
  <c r="M96" i="15"/>
  <c r="H77" i="62" a="1"/>
  <c r="H77" i="62"/>
  <c r="G77" i="62" a="1"/>
  <c r="G77" i="62"/>
  <c r="I172" i="35"/>
  <c r="I170" i="35"/>
  <c r="H172" i="35"/>
  <c r="H170" i="35"/>
  <c r="G172" i="35"/>
  <c r="G170" i="35"/>
  <c r="M172" i="35"/>
  <c r="M170" i="35"/>
  <c r="K172" i="35"/>
  <c r="K170" i="35"/>
  <c r="N172" i="35"/>
  <c r="N170" i="35"/>
  <c r="L172" i="35"/>
  <c r="L170" i="35"/>
  <c r="S172" i="35"/>
  <c r="S170" i="35"/>
  <c r="R172" i="35"/>
  <c r="R170" i="35"/>
  <c r="Q172" i="35"/>
  <c r="Q170" i="35"/>
  <c r="P172" i="35"/>
  <c r="G181" i="35"/>
  <c r="G179" i="35"/>
  <c r="I181" i="35"/>
  <c r="I179" i="35"/>
  <c r="H181" i="35"/>
  <c r="H179" i="35"/>
  <c r="M181" i="35"/>
  <c r="M179" i="35"/>
  <c r="K181" i="35"/>
  <c r="K179" i="35"/>
  <c r="N181" i="35"/>
  <c r="N179" i="35"/>
  <c r="L181" i="35"/>
  <c r="L179" i="35"/>
  <c r="S181" i="35"/>
  <c r="S179" i="35"/>
  <c r="R181" i="35"/>
  <c r="R179" i="35"/>
  <c r="Q181" i="35"/>
  <c r="Q179" i="35"/>
  <c r="P181" i="35"/>
  <c r="P179" i="35"/>
  <c r="L73" i="55"/>
  <c r="X84" i="55"/>
  <c r="X80" i="55"/>
  <c r="AD84" i="55"/>
  <c r="AH83" i="55"/>
  <c r="AD80" i="55"/>
  <c r="AH79" i="55"/>
  <c r="BH36" i="61"/>
  <c r="T94" i="61"/>
  <c r="X91" i="61"/>
  <c r="X87" i="61"/>
  <c r="T86" i="61"/>
  <c r="X83" i="61"/>
  <c r="T82" i="61"/>
  <c r="X79" i="61"/>
  <c r="T78" i="61"/>
  <c r="X75" i="61"/>
  <c r="X67" i="61"/>
  <c r="T66" i="61"/>
  <c r="X63" i="61"/>
  <c r="T62" i="61"/>
  <c r="X59" i="61"/>
  <c r="T58" i="61"/>
  <c r="X55" i="61"/>
  <c r="T54" i="61"/>
  <c r="X51" i="61"/>
  <c r="T50" i="61"/>
  <c r="X47" i="61"/>
  <c r="T46" i="61"/>
  <c r="X43" i="61"/>
  <c r="T42" i="61"/>
  <c r="AL94" i="61"/>
  <c r="AP93" i="61"/>
  <c r="AD92" i="61"/>
  <c r="AL90" i="61"/>
  <c r="AP89" i="61"/>
  <c r="AD88" i="61"/>
  <c r="AL86" i="61"/>
  <c r="AP85" i="61"/>
  <c r="AD84" i="61"/>
  <c r="AL82" i="61"/>
  <c r="AP81" i="61"/>
  <c r="AD80" i="61"/>
  <c r="AL78" i="61"/>
  <c r="AP77" i="61"/>
  <c r="AD76" i="61"/>
  <c r="AL74" i="61"/>
  <c r="AP73" i="61"/>
  <c r="AD72" i="61"/>
  <c r="AP69" i="61"/>
  <c r="AD68" i="61"/>
  <c r="AL66" i="61"/>
  <c r="AP65" i="61"/>
  <c r="AD64" i="61"/>
  <c r="AL62" i="61"/>
  <c r="AP61" i="61"/>
  <c r="AD60" i="61"/>
  <c r="AP57" i="61"/>
  <c r="AD56" i="61"/>
  <c r="AL54" i="61"/>
  <c r="AP53" i="61"/>
  <c r="AD52" i="61"/>
  <c r="AL50" i="61"/>
  <c r="AP49" i="61"/>
  <c r="AD48" i="61"/>
  <c r="AL46" i="61"/>
  <c r="AP45" i="61"/>
  <c r="AD44" i="61"/>
  <c r="AL42" i="61"/>
  <c r="AV94" i="61"/>
  <c r="AZ93" i="61"/>
  <c r="BD92" i="61"/>
  <c r="AV90" i="61"/>
  <c r="AZ89" i="61"/>
  <c r="BD88" i="61"/>
  <c r="AV86" i="61"/>
  <c r="AZ85" i="61"/>
  <c r="BD84" i="61"/>
  <c r="AV82" i="61"/>
  <c r="AZ81" i="61"/>
  <c r="BD80" i="61"/>
  <c r="AV78" i="61"/>
  <c r="AZ77" i="61"/>
  <c r="BD76" i="61"/>
  <c r="AV74" i="61"/>
  <c r="AZ73" i="61"/>
  <c r="AZ69" i="61"/>
  <c r="BD68" i="61"/>
  <c r="AV66" i="61"/>
  <c r="AZ65" i="61"/>
  <c r="AV62" i="61"/>
  <c r="AZ61" i="61"/>
  <c r="BD60" i="61"/>
  <c r="AV58" i="61"/>
  <c r="AZ57" i="61"/>
  <c r="BD56" i="61"/>
  <c r="AV54" i="61"/>
  <c r="AZ53" i="61"/>
  <c r="BD52" i="61"/>
  <c r="AV50" i="61"/>
  <c r="AZ49" i="61"/>
  <c r="BD48" i="61"/>
  <c r="AV46" i="61"/>
  <c r="AZ45" i="61"/>
  <c r="BD44" i="61"/>
  <c r="AV42" i="61"/>
  <c r="AZ84" i="55"/>
  <c r="BH83" i="55"/>
  <c r="BD80" i="55"/>
  <c r="AV79" i="55"/>
  <c r="AL57" i="55"/>
  <c r="BH53" i="55"/>
  <c r="AV53" i="55"/>
  <c r="AH53" i="55"/>
  <c r="AH49" i="55"/>
  <c r="L45" i="55"/>
  <c r="BD41" i="55"/>
  <c r="AD41" i="55"/>
  <c r="L41" i="55"/>
  <c r="BH37" i="55"/>
  <c r="AV37" i="55"/>
  <c r="AH37" i="55"/>
  <c r="X37" i="55"/>
  <c r="X33" i="55"/>
  <c r="AZ29" i="55"/>
  <c r="P29" i="55"/>
  <c r="AZ26" i="55"/>
  <c r="X25" i="55"/>
  <c r="L24" i="55"/>
  <c r="BH22" i="55"/>
  <c r="AV22" i="55"/>
  <c r="AH22" i="55"/>
  <c r="AD20" i="55"/>
  <c r="AV9" i="55"/>
  <c r="AH9" i="55"/>
  <c r="AD9" i="55"/>
  <c r="BC6" i="55"/>
  <c r="K147" i="35"/>
  <c r="N147" i="35"/>
  <c r="L156" i="61"/>
  <c r="L184" i="61"/>
  <c r="AV242" i="61"/>
  <c r="P255" i="61"/>
  <c r="P219" i="61"/>
  <c r="P199" i="61"/>
  <c r="BH199" i="61"/>
  <c r="L187" i="61"/>
  <c r="P183" i="61"/>
  <c r="P159" i="61"/>
  <c r="BH159" i="61"/>
  <c r="P143" i="61"/>
  <c r="BH143" i="61"/>
  <c r="L131" i="61"/>
  <c r="AD131" i="61"/>
  <c r="AZ272" i="61"/>
  <c r="AV276" i="61"/>
  <c r="AD280" i="61"/>
  <c r="L280" i="61"/>
  <c r="AP284" i="61"/>
  <c r="X284" i="61"/>
  <c r="AV288" i="61"/>
  <c r="AP288" i="61"/>
  <c r="AL292" i="61"/>
  <c r="AH292" i="61"/>
  <c r="AV296" i="61"/>
  <c r="BD300" i="61"/>
  <c r="BD304" i="61"/>
  <c r="AV308" i="61"/>
  <c r="BD312" i="61"/>
  <c r="BD320" i="61"/>
  <c r="BD336" i="61"/>
  <c r="AP340" i="61"/>
  <c r="BH349" i="61"/>
  <c r="L353" i="61"/>
  <c r="BD381" i="61"/>
  <c r="AH295" i="61"/>
  <c r="X295" i="61"/>
  <c r="AH287" i="61"/>
  <c r="M287" i="61"/>
  <c r="AP279" i="61"/>
  <c r="AH279" i="61"/>
  <c r="P275" i="61"/>
  <c r="BD275" i="61"/>
  <c r="L271" i="61"/>
  <c r="AL271" i="61"/>
  <c r="T84" i="55"/>
  <c r="T80" i="55"/>
  <c r="AD83" i="55"/>
  <c r="AD79" i="55"/>
  <c r="AH94" i="61"/>
  <c r="AD91" i="61"/>
  <c r="AH90" i="61"/>
  <c r="AD87" i="61"/>
  <c r="AH86" i="61"/>
  <c r="AD83" i="61"/>
  <c r="AH82" i="61"/>
  <c r="AD79" i="61"/>
  <c r="AH78" i="61"/>
  <c r="AD75" i="61"/>
  <c r="AH74" i="61"/>
  <c r="AD71" i="61"/>
  <c r="AH70" i="61"/>
  <c r="AD67" i="61"/>
  <c r="AH66" i="61"/>
  <c r="AD63" i="61"/>
  <c r="AD59" i="61"/>
  <c r="AD55" i="61"/>
  <c r="AD51" i="61"/>
  <c r="AD47" i="61"/>
  <c r="AD43" i="61"/>
  <c r="AV41" i="61"/>
  <c r="AV93" i="61"/>
  <c r="AV89" i="61"/>
  <c r="AZ88" i="61"/>
  <c r="AV85" i="61"/>
  <c r="AZ84" i="61"/>
  <c r="AV81" i="61"/>
  <c r="AV77" i="61"/>
  <c r="AZ76" i="61"/>
  <c r="AV73" i="61"/>
  <c r="AZ72" i="61"/>
  <c r="AV69" i="61"/>
  <c r="AZ68" i="61"/>
  <c r="AV65" i="61"/>
  <c r="AZ64" i="61"/>
  <c r="AZ60" i="61"/>
  <c r="AV57" i="61"/>
  <c r="AZ56" i="61"/>
  <c r="AV53" i="61"/>
  <c r="AZ52" i="61"/>
  <c r="AV49" i="61"/>
  <c r="AZ48" i="61"/>
  <c r="AV45" i="61"/>
  <c r="AZ44" i="61"/>
  <c r="AV84" i="55"/>
  <c r="BD83" i="55"/>
  <c r="BH80" i="55"/>
  <c r="T37" i="55"/>
  <c r="BH33" i="55"/>
  <c r="AV33" i="55"/>
  <c r="AH33" i="55"/>
  <c r="BH25" i="55"/>
  <c r="AH25" i="55"/>
  <c r="AH21" i="55"/>
  <c r="BH17" i="55"/>
  <c r="AP17" i="55"/>
  <c r="AD17" i="55"/>
  <c r="BH13" i="55"/>
  <c r="AP13" i="55"/>
  <c r="AD13" i="55"/>
  <c r="X9" i="55"/>
  <c r="AZ4" i="55"/>
  <c r="AK4" i="55"/>
  <c r="P46" i="55"/>
  <c r="L42" i="55"/>
  <c r="P34" i="55"/>
  <c r="L26" i="55"/>
  <c r="P14" i="55"/>
  <c r="L6" i="55"/>
  <c r="K574" i="35"/>
  <c r="K572" i="35"/>
  <c r="K659" i="35"/>
  <c r="K657" i="35"/>
  <c r="K488" i="35"/>
  <c r="K402" i="35"/>
  <c r="K400" i="35"/>
  <c r="K314" i="35"/>
  <c r="K312" i="35"/>
  <c r="K228" i="35"/>
  <c r="K226" i="35"/>
  <c r="K142" i="35"/>
  <c r="K56" i="35"/>
  <c r="K54" i="35"/>
  <c r="P659" i="35"/>
  <c r="P657" i="35"/>
  <c r="P574" i="35"/>
  <c r="P572" i="35"/>
  <c r="P488" i="35"/>
  <c r="P486" i="35"/>
  <c r="P402" i="35"/>
  <c r="P314" i="35"/>
  <c r="P312" i="35"/>
  <c r="P228" i="35"/>
  <c r="P142" i="35"/>
  <c r="P140" i="35"/>
  <c r="P56" i="35"/>
  <c r="F570" i="35"/>
  <c r="F569" i="35"/>
  <c r="G656" i="35"/>
  <c r="G571" i="35"/>
  <c r="G399" i="35"/>
  <c r="G225" i="35"/>
  <c r="G53" i="35"/>
  <c r="G485" i="35"/>
  <c r="G311" i="35"/>
  <c r="G139" i="35"/>
  <c r="K398" i="35"/>
  <c r="L571" i="35"/>
  <c r="L656" i="35"/>
  <c r="L485" i="35"/>
  <c r="L483" i="35"/>
  <c r="L399" i="35"/>
  <c r="L225" i="35"/>
  <c r="L311" i="35"/>
  <c r="L139" i="35"/>
  <c r="L53" i="35"/>
  <c r="P655" i="35"/>
  <c r="Q656" i="35"/>
  <c r="Q571" i="35"/>
  <c r="Q485" i="35"/>
  <c r="Q483" i="35"/>
  <c r="Q399" i="35"/>
  <c r="Q311" i="35"/>
  <c r="Q225" i="35"/>
  <c r="Q139" i="35"/>
  <c r="Q53" i="35"/>
  <c r="I61" i="35"/>
  <c r="F147" i="35"/>
  <c r="F146" i="35"/>
  <c r="S147" i="35"/>
  <c r="L175" i="61"/>
  <c r="P131" i="61"/>
  <c r="BH167" i="61"/>
  <c r="P188" i="61"/>
  <c r="AH246" i="61"/>
  <c r="BD259" i="61"/>
  <c r="AL234" i="61"/>
  <c r="L208" i="61"/>
  <c r="P182" i="61"/>
  <c r="L206" i="61"/>
  <c r="P206" i="61"/>
  <c r="L261" i="61"/>
  <c r="P261" i="61"/>
  <c r="L244" i="61"/>
  <c r="AV244" i="61"/>
  <c r="L240" i="61"/>
  <c r="AP271" i="61"/>
  <c r="AP275" i="61"/>
  <c r="L275" i="61"/>
  <c r="L279" i="61"/>
  <c r="AV279" i="61"/>
  <c r="BH287" i="61"/>
  <c r="BH291" i="61"/>
  <c r="AP295" i="61"/>
  <c r="P299" i="61"/>
  <c r="L303" i="61"/>
  <c r="AV311" i="61"/>
  <c r="AV352" i="61"/>
  <c r="AV272" i="61"/>
  <c r="AZ276" i="61"/>
  <c r="AH280" i="61"/>
  <c r="P280" i="61"/>
  <c r="BD284" i="61"/>
  <c r="T288" i="61"/>
  <c r="P288" i="61"/>
  <c r="AV292" i="61"/>
  <c r="P292" i="61"/>
  <c r="BD296" i="61"/>
  <c r="AP296" i="61"/>
  <c r="AD300" i="61"/>
  <c r="AV304" i="61"/>
  <c r="AP308" i="61"/>
  <c r="AV349" i="61"/>
  <c r="AP349" i="61"/>
  <c r="BH353" i="61"/>
  <c r="AH89" i="61"/>
  <c r="AH85" i="61"/>
  <c r="AH81" i="61"/>
  <c r="AH69" i="61"/>
  <c r="AH61" i="61"/>
  <c r="AH57" i="61"/>
  <c r="AH53" i="61"/>
  <c r="AH45" i="61"/>
  <c r="AV92" i="61"/>
  <c r="AV88" i="61"/>
  <c r="AV84" i="61"/>
  <c r="AV80" i="61"/>
  <c r="AV76" i="61"/>
  <c r="AV72" i="61"/>
  <c r="AV68" i="61"/>
  <c r="AV64" i="61"/>
  <c r="AV60" i="61"/>
  <c r="AV56" i="61"/>
  <c r="AV52" i="61"/>
  <c r="AV48" i="61"/>
  <c r="AV44" i="61"/>
  <c r="AZ83" i="55"/>
  <c r="AZ80" i="55"/>
  <c r="L37" i="55"/>
  <c r="P33" i="55"/>
  <c r="L33" i="55"/>
  <c r="P25" i="55"/>
  <c r="L17" i="55"/>
  <c r="G659" i="35"/>
  <c r="G574" i="35"/>
  <c r="G572" i="35"/>
  <c r="G402" i="35"/>
  <c r="G400" i="35"/>
  <c r="G228" i="35"/>
  <c r="G226" i="35"/>
  <c r="G56" i="35"/>
  <c r="G54" i="35"/>
  <c r="G488" i="35"/>
  <c r="G314" i="35"/>
  <c r="G312" i="35"/>
  <c r="G142" i="35"/>
  <c r="L574" i="35"/>
  <c r="L572" i="35"/>
  <c r="L659" i="35"/>
  <c r="L488" i="35"/>
  <c r="L486" i="35"/>
  <c r="L314" i="35"/>
  <c r="L312" i="35"/>
  <c r="L402" i="35"/>
  <c r="L400" i="35"/>
  <c r="L228" i="35"/>
  <c r="L226" i="35"/>
  <c r="L142" i="35"/>
  <c r="L140" i="35"/>
  <c r="L56" i="35"/>
  <c r="L54" i="35"/>
  <c r="Q659" i="35"/>
  <c r="Q657" i="35"/>
  <c r="Q574" i="35"/>
  <c r="Q572" i="35"/>
  <c r="Q488" i="35"/>
  <c r="Q486" i="35"/>
  <c r="Q402" i="35"/>
  <c r="Q400" i="35"/>
  <c r="Q314" i="35"/>
  <c r="Q312" i="35"/>
  <c r="Q228" i="35"/>
  <c r="Q226" i="35"/>
  <c r="Q142" i="35"/>
  <c r="Q56" i="35"/>
  <c r="Q54" i="35"/>
  <c r="G310" i="35"/>
  <c r="H311" i="35"/>
  <c r="H656" i="35"/>
  <c r="H225" i="35"/>
  <c r="H571" i="35"/>
  <c r="H485" i="35"/>
  <c r="H139" i="35"/>
  <c r="H399" i="35"/>
  <c r="H53" i="35"/>
  <c r="L655" i="35"/>
  <c r="M656" i="35"/>
  <c r="M485" i="35"/>
  <c r="M483" i="35"/>
  <c r="M399" i="35"/>
  <c r="M311" i="35"/>
  <c r="M225" i="35"/>
  <c r="M571" i="35"/>
  <c r="M139" i="35"/>
  <c r="M53" i="35"/>
  <c r="Q310" i="35"/>
  <c r="R656" i="35"/>
  <c r="R571" i="35"/>
  <c r="R485" i="35"/>
  <c r="R483" i="35"/>
  <c r="R399" i="35"/>
  <c r="R311" i="35"/>
  <c r="R225" i="35"/>
  <c r="R139" i="35"/>
  <c r="R53" i="35"/>
  <c r="G497" i="35"/>
  <c r="G323" i="35"/>
  <c r="G151" i="35"/>
  <c r="G149" i="35"/>
  <c r="G668" i="35"/>
  <c r="G583" i="35"/>
  <c r="G411" i="35"/>
  <c r="G237" i="35"/>
  <c r="G65" i="35"/>
  <c r="H411" i="35"/>
  <c r="H409" i="35"/>
  <c r="H65" i="35"/>
  <c r="H323" i="35"/>
  <c r="H668" i="35"/>
  <c r="H666" i="35"/>
  <c r="H237" i="35"/>
  <c r="H235" i="35"/>
  <c r="H583" i="35"/>
  <c r="H497" i="35"/>
  <c r="H151" i="35"/>
  <c r="L583" i="35"/>
  <c r="L668" i="35"/>
  <c r="L497" i="35"/>
  <c r="L411" i="35"/>
  <c r="L237" i="35"/>
  <c r="L235" i="35"/>
  <c r="L323" i="35"/>
  <c r="L151" i="35"/>
  <c r="L65" i="35"/>
  <c r="M668" i="35"/>
  <c r="M497" i="35"/>
  <c r="M411" i="35"/>
  <c r="M323" i="35"/>
  <c r="M321" i="35"/>
  <c r="M237" i="35"/>
  <c r="M235" i="35"/>
  <c r="M583" i="35"/>
  <c r="M151" i="35"/>
  <c r="M65" i="35"/>
  <c r="Q668" i="35"/>
  <c r="Q583" i="35"/>
  <c r="Q497" i="35"/>
  <c r="Q411" i="35"/>
  <c r="Q409" i="35"/>
  <c r="Q323" i="35"/>
  <c r="Q237" i="35"/>
  <c r="Q235" i="35"/>
  <c r="Q151" i="35"/>
  <c r="Q65" i="35"/>
  <c r="R668" i="35"/>
  <c r="R583" i="35"/>
  <c r="R497" i="35"/>
  <c r="R411" i="35"/>
  <c r="R323" i="35"/>
  <c r="R237" i="35"/>
  <c r="R235" i="35"/>
  <c r="R151" i="35"/>
  <c r="R65" i="35"/>
  <c r="AP104" i="61"/>
  <c r="AP100" i="61"/>
  <c r="BG152" i="61"/>
  <c r="T50" i="55"/>
  <c r="AL49" i="55"/>
  <c r="BH45" i="55"/>
  <c r="AV45" i="55"/>
  <c r="AH45" i="55"/>
  <c r="X45" i="55"/>
  <c r="T44" i="55"/>
  <c r="X41" i="55"/>
  <c r="BD36" i="55"/>
  <c r="AP36" i="55"/>
  <c r="AL34" i="55"/>
  <c r="BD33" i="55"/>
  <c r="AD33" i="55"/>
  <c r="S32" i="55"/>
  <c r="BH29" i="55"/>
  <c r="AV29" i="55"/>
  <c r="AH29" i="55"/>
  <c r="X29" i="55"/>
  <c r="AZ25" i="55"/>
  <c r="T18" i="55"/>
  <c r="AL17" i="55"/>
  <c r="AL14" i="55"/>
  <c r="AZ13" i="55"/>
  <c r="X13" i="55"/>
  <c r="AC11" i="55"/>
  <c r="AL10" i="55"/>
  <c r="AL9" i="55"/>
  <c r="BD5" i="55"/>
  <c r="AD5" i="55"/>
  <c r="I659" i="35"/>
  <c r="I657" i="35"/>
  <c r="I488" i="35"/>
  <c r="I486" i="35"/>
  <c r="I314" i="35"/>
  <c r="I312" i="35"/>
  <c r="I142" i="35"/>
  <c r="I140" i="35"/>
  <c r="I574" i="35"/>
  <c r="I572" i="35"/>
  <c r="I402" i="35"/>
  <c r="I400" i="35"/>
  <c r="I228" i="35"/>
  <c r="I226" i="35"/>
  <c r="I56" i="35"/>
  <c r="I54" i="35"/>
  <c r="N659" i="35"/>
  <c r="N657" i="35"/>
  <c r="N488" i="35"/>
  <c r="N486" i="35"/>
  <c r="N574" i="35"/>
  <c r="N572" i="35"/>
  <c r="N314" i="35"/>
  <c r="N312" i="35"/>
  <c r="N142" i="35"/>
  <c r="N140" i="35"/>
  <c r="N56" i="35"/>
  <c r="N54" i="35"/>
  <c r="N402" i="35"/>
  <c r="N400" i="35"/>
  <c r="N228" i="35"/>
  <c r="N226" i="35"/>
  <c r="S659" i="35"/>
  <c r="S657" i="35"/>
  <c r="S574" i="35"/>
  <c r="S572" i="35"/>
  <c r="S488" i="35"/>
  <c r="S486" i="35"/>
  <c r="S402" i="35"/>
  <c r="S400" i="35"/>
  <c r="S314" i="35"/>
  <c r="S312" i="35"/>
  <c r="S228" i="35"/>
  <c r="S226" i="35"/>
  <c r="S142" i="35"/>
  <c r="S140" i="35"/>
  <c r="S56" i="35"/>
  <c r="S54" i="35"/>
  <c r="I484" i="35"/>
  <c r="K571" i="35"/>
  <c r="K656" i="35"/>
  <c r="K485" i="35"/>
  <c r="K483" i="35"/>
  <c r="K399" i="35"/>
  <c r="K311" i="35"/>
  <c r="K225" i="35"/>
  <c r="K139" i="35"/>
  <c r="K53" i="35"/>
  <c r="N310" i="35"/>
  <c r="P656" i="35"/>
  <c r="P571" i="35"/>
  <c r="P485" i="35"/>
  <c r="P483" i="35"/>
  <c r="P399" i="35"/>
  <c r="P311" i="35"/>
  <c r="P225" i="35"/>
  <c r="P139" i="35"/>
  <c r="P53" i="35"/>
  <c r="K583" i="35"/>
  <c r="K668" i="35"/>
  <c r="K666" i="35"/>
  <c r="K497" i="35"/>
  <c r="K411" i="35"/>
  <c r="K323" i="35"/>
  <c r="K237" i="35"/>
  <c r="K235" i="35"/>
  <c r="K151" i="35"/>
  <c r="K65" i="35"/>
  <c r="P668" i="35"/>
  <c r="P583" i="35"/>
  <c r="P497" i="35"/>
  <c r="P411" i="35"/>
  <c r="P409" i="35"/>
  <c r="P323" i="35"/>
  <c r="P237" i="35"/>
  <c r="P151" i="35"/>
  <c r="P65" i="35"/>
  <c r="P63" i="35"/>
  <c r="AP137" i="61"/>
  <c r="W305" i="61"/>
  <c r="AO378" i="61"/>
  <c r="AG341" i="61"/>
  <c r="AG337" i="61"/>
  <c r="AG333" i="61"/>
  <c r="AG320" i="61"/>
  <c r="AG315" i="61"/>
  <c r="AO311" i="61"/>
  <c r="AO307" i="61"/>
  <c r="AG305" i="61"/>
  <c r="AU304" i="61"/>
  <c r="AG302" i="61"/>
  <c r="AG301" i="61"/>
  <c r="AG300" i="61"/>
  <c r="H449" i="35"/>
  <c r="H447" i="35"/>
  <c r="H363" i="35"/>
  <c r="H275" i="35"/>
  <c r="H17" i="35"/>
  <c r="H189" i="35"/>
  <c r="H187" i="35"/>
  <c r="H620" i="35"/>
  <c r="H535" i="35"/>
  <c r="H533" i="35"/>
  <c r="AK100" i="62"/>
  <c r="AK88" i="62"/>
  <c r="AK84" i="62"/>
  <c r="AZ83" i="62"/>
  <c r="AC83" i="62"/>
  <c r="AZ79" i="62"/>
  <c r="AZ75" i="62"/>
  <c r="AC75" i="62"/>
  <c r="AK72" i="62"/>
  <c r="AZ71" i="62"/>
  <c r="AC71" i="62"/>
  <c r="AK68" i="62"/>
  <c r="AZ67" i="62"/>
  <c r="AK64" i="62"/>
  <c r="AZ63" i="62"/>
  <c r="AC63" i="62"/>
  <c r="AZ59" i="62"/>
  <c r="AK56" i="62"/>
  <c r="AZ55" i="62"/>
  <c r="AZ51" i="62"/>
  <c r="AZ47" i="62"/>
  <c r="AZ43" i="62"/>
  <c r="AZ39" i="62"/>
  <c r="AZ35" i="62"/>
  <c r="AZ31" i="62"/>
  <c r="AK31" i="62"/>
  <c r="AZ27" i="62"/>
  <c r="AZ23" i="62"/>
  <c r="AZ19" i="62"/>
  <c r="AZ15" i="62"/>
  <c r="AC14" i="62"/>
  <c r="AE14" i="62"/>
  <c r="AZ11" i="62"/>
  <c r="AZ7" i="62"/>
  <c r="BH91" i="62"/>
  <c r="BH87" i="62"/>
  <c r="BH83" i="62"/>
  <c r="AY81" i="62"/>
  <c r="BH79" i="62"/>
  <c r="AY75" i="62"/>
  <c r="BH71" i="62"/>
  <c r="AY67" i="62"/>
  <c r="AY65" i="62"/>
  <c r="AY61" i="62"/>
  <c r="AY59" i="62"/>
  <c r="BH55" i="62"/>
  <c r="BH43" i="62"/>
  <c r="BH31" i="62"/>
  <c r="BH23" i="62"/>
  <c r="AY15" i="62"/>
  <c r="AZ144" i="62"/>
  <c r="BH125" i="62"/>
  <c r="BH121" i="62"/>
  <c r="AZ117" i="62"/>
  <c r="AV180" i="62"/>
  <c r="G183" i="62" a="1"/>
  <c r="G183" i="62"/>
  <c r="G177" i="62" a="1"/>
  <c r="G177" i="62"/>
  <c r="G162" i="62" a="1"/>
  <c r="G162" i="62"/>
  <c r="AV311" i="62"/>
  <c r="L315" i="62"/>
  <c r="X320" i="62"/>
  <c r="BD299" i="62"/>
  <c r="X307" i="62"/>
  <c r="AV315" i="62"/>
  <c r="L321" i="62"/>
  <c r="BH297" i="62"/>
  <c r="P305" i="62"/>
  <c r="P306" i="62"/>
  <c r="AZ314" i="62"/>
  <c r="L299" i="62"/>
  <c r="L322" i="62"/>
  <c r="O337" i="62"/>
  <c r="BH345" i="62"/>
  <c r="L338" i="62"/>
  <c r="AD314" i="62"/>
  <c r="AZ322" i="62"/>
  <c r="AP316" i="62"/>
  <c r="AZ310" i="62"/>
  <c r="AL309" i="62"/>
  <c r="AV307" i="62"/>
  <c r="AZ306" i="62"/>
  <c r="AL305" i="62"/>
  <c r="AV303" i="62"/>
  <c r="AZ302" i="62"/>
  <c r="AL301" i="62"/>
  <c r="AZ298" i="62"/>
  <c r="AL297" i="62"/>
  <c r="BH311" i="62"/>
  <c r="AH367" i="62"/>
  <c r="X357" i="62"/>
  <c r="AH357" i="62"/>
  <c r="AD353" i="62"/>
  <c r="X352" i="62"/>
  <c r="K342" i="62"/>
  <c r="P340" i="62"/>
  <c r="T337" i="62"/>
  <c r="L332" i="62"/>
  <c r="AV364" i="62"/>
  <c r="AP357" i="62"/>
  <c r="AP353" i="62"/>
  <c r="AL345" i="62"/>
  <c r="AP341" i="62"/>
  <c r="AP337" i="62"/>
  <c r="AP333" i="62"/>
  <c r="BH357" i="62"/>
  <c r="AY329" i="62"/>
  <c r="T390" i="62"/>
  <c r="AH389" i="62"/>
  <c r="AH388" i="62"/>
  <c r="AD387" i="62"/>
  <c r="X386" i="62"/>
  <c r="X384" i="62"/>
  <c r="M383" i="62"/>
  <c r="AD380" i="62"/>
  <c r="AD376" i="62"/>
  <c r="AD374" i="62"/>
  <c r="T374" i="62"/>
  <c r="AP390" i="62"/>
  <c r="AZ388" i="62"/>
  <c r="AP386" i="62"/>
  <c r="AZ384" i="62"/>
  <c r="AP382" i="62"/>
  <c r="AZ380" i="62"/>
  <c r="AP378" i="62"/>
  <c r="AZ376" i="62"/>
  <c r="AP374" i="62"/>
  <c r="BH388" i="62"/>
  <c r="BH382" i="62"/>
  <c r="BH380" i="62"/>
  <c r="BH378" i="62"/>
  <c r="BH376" i="62"/>
  <c r="BH374" i="62"/>
  <c r="AP422" i="62"/>
  <c r="AD421" i="62"/>
  <c r="AH420" i="62"/>
  <c r="AL419" i="62"/>
  <c r="AP418" i="62"/>
  <c r="AH417" i="62"/>
  <c r="AL416" i="62"/>
  <c r="AL415" i="62"/>
  <c r="AP414" i="62"/>
  <c r="AD413" i="62"/>
  <c r="AH412" i="62"/>
  <c r="AL411" i="62"/>
  <c r="AP410" i="62"/>
  <c r="AD409" i="62"/>
  <c r="AL407" i="62"/>
  <c r="AP406" i="62"/>
  <c r="AD405" i="62"/>
  <c r="AL403" i="62"/>
  <c r="AP402" i="62"/>
  <c r="AD401" i="62"/>
  <c r="AL399" i="62"/>
  <c r="AP398" i="62"/>
  <c r="AD397" i="62"/>
  <c r="AZ420" i="62"/>
  <c r="BH419" i="62"/>
  <c r="BH416" i="62"/>
  <c r="BH415" i="62"/>
  <c r="AZ414" i="62"/>
  <c r="AZ410" i="62"/>
  <c r="BH409" i="62"/>
  <c r="BH405" i="62"/>
  <c r="G449" i="35"/>
  <c r="G275" i="35"/>
  <c r="G620" i="35"/>
  <c r="G618" i="35"/>
  <c r="G17" i="35"/>
  <c r="G535" i="35"/>
  <c r="G363" i="35"/>
  <c r="G189" i="35"/>
  <c r="K298" i="61"/>
  <c r="M298" i="61"/>
  <c r="K294" i="61"/>
  <c r="M294" i="61"/>
  <c r="K290" i="61"/>
  <c r="M290" i="61"/>
  <c r="K286" i="61"/>
  <c r="M286" i="61"/>
  <c r="K282" i="61"/>
  <c r="O288" i="61"/>
  <c r="Q288" i="61"/>
  <c r="S282" i="61"/>
  <c r="AG296" i="61"/>
  <c r="AG292" i="61"/>
  <c r="AG288" i="61"/>
  <c r="AG284" i="61"/>
  <c r="AK298" i="61"/>
  <c r="AK294" i="61"/>
  <c r="AK290" i="61"/>
  <c r="AK286" i="61"/>
  <c r="AK282" i="61"/>
  <c r="AO296" i="61"/>
  <c r="AO292" i="61"/>
  <c r="AO288" i="61"/>
  <c r="AO284" i="61"/>
  <c r="K623" i="35"/>
  <c r="K538" i="35"/>
  <c r="K452" i="35"/>
  <c r="K450" i="35"/>
  <c r="K366" i="35"/>
  <c r="K278" i="35"/>
  <c r="K192" i="35"/>
  <c r="K106" i="35"/>
  <c r="K20" i="35"/>
  <c r="P623" i="35"/>
  <c r="P621" i="35"/>
  <c r="P538" i="35"/>
  <c r="P536" i="35"/>
  <c r="P452" i="35"/>
  <c r="P450" i="35"/>
  <c r="P366" i="35"/>
  <c r="P364" i="35"/>
  <c r="P278" i="35"/>
  <c r="P192" i="35"/>
  <c r="P190" i="35"/>
  <c r="P106" i="35"/>
  <c r="P20" i="35"/>
  <c r="S623" i="35"/>
  <c r="S621" i="35"/>
  <c r="S538" i="35"/>
  <c r="S452" i="35"/>
  <c r="S450" i="35"/>
  <c r="S366" i="35"/>
  <c r="S364" i="35"/>
  <c r="S278" i="35"/>
  <c r="S276" i="35"/>
  <c r="S192" i="35"/>
  <c r="S190" i="35"/>
  <c r="S106" i="35"/>
  <c r="S20" i="35"/>
  <c r="S18" i="35"/>
  <c r="BC308" i="61"/>
  <c r="AC300" i="61"/>
  <c r="M139" i="15"/>
  <c r="H161" i="62" a="1"/>
  <c r="H161" i="62"/>
  <c r="BC76" i="62"/>
  <c r="BC72" i="62"/>
  <c r="BC48" i="62"/>
  <c r="BC36" i="62"/>
  <c r="BC28" i="62"/>
  <c r="AU27" i="62"/>
  <c r="BC20" i="62"/>
  <c r="BC4" i="62"/>
  <c r="BC215" i="62"/>
  <c r="T317" i="62"/>
  <c r="T302" i="62"/>
  <c r="AO346" i="62"/>
  <c r="BG362" i="62"/>
  <c r="W382" i="62"/>
  <c r="AO387" i="62"/>
  <c r="S45" i="62"/>
  <c r="S43" i="62"/>
  <c r="S17" i="62"/>
  <c r="S13" i="62"/>
  <c r="S9" i="62"/>
  <c r="W7" i="62"/>
  <c r="G452" i="35"/>
  <c r="G278" i="35"/>
  <c r="G276" i="35"/>
  <c r="G106" i="35"/>
  <c r="G623" i="35"/>
  <c r="G20" i="35"/>
  <c r="G538" i="35"/>
  <c r="G366" i="35"/>
  <c r="G192" i="35"/>
  <c r="L623" i="35"/>
  <c r="L621" i="35"/>
  <c r="L538" i="35"/>
  <c r="L536" i="35"/>
  <c r="L366" i="35"/>
  <c r="L364" i="35"/>
  <c r="L192" i="35"/>
  <c r="L190" i="35"/>
  <c r="L452" i="35"/>
  <c r="L450" i="35"/>
  <c r="L278" i="35"/>
  <c r="L276" i="35"/>
  <c r="L106" i="35"/>
  <c r="L104" i="35"/>
  <c r="L20" i="35"/>
  <c r="L18" i="35"/>
  <c r="Q623" i="35"/>
  <c r="Q621" i="35"/>
  <c r="Q538" i="35"/>
  <c r="Q536" i="35"/>
  <c r="Q452" i="35"/>
  <c r="Q450" i="35"/>
  <c r="Q366" i="35"/>
  <c r="Q278" i="35"/>
  <c r="Q276" i="35"/>
  <c r="Q192" i="35"/>
  <c r="Q190" i="35"/>
  <c r="Q106" i="35"/>
  <c r="Q104" i="35"/>
  <c r="Q20" i="35"/>
  <c r="G103" i="35"/>
  <c r="H103" i="35"/>
  <c r="I103" i="35"/>
  <c r="I101" i="35"/>
  <c r="K103" i="35"/>
  <c r="N103" i="35"/>
  <c r="N101" i="35"/>
  <c r="M103" i="35"/>
  <c r="M101" i="35"/>
  <c r="L103" i="35"/>
  <c r="L101" i="35"/>
  <c r="S103" i="35"/>
  <c r="R103" i="35"/>
  <c r="R101" i="35"/>
  <c r="Q103" i="35"/>
  <c r="Q101" i="35"/>
  <c r="P103" i="35"/>
  <c r="P101" i="35"/>
  <c r="K620" i="35"/>
  <c r="K618" i="35"/>
  <c r="K535" i="35"/>
  <c r="K449" i="35"/>
  <c r="K363" i="35"/>
  <c r="K275" i="35"/>
  <c r="K189" i="35"/>
  <c r="K17" i="35"/>
  <c r="M535" i="35"/>
  <c r="M533" i="35"/>
  <c r="M449" i="35"/>
  <c r="M447" i="35"/>
  <c r="M363" i="35"/>
  <c r="M361" i="35"/>
  <c r="M275" i="35"/>
  <c r="M273" i="35"/>
  <c r="M189" i="35"/>
  <c r="M187" i="35"/>
  <c r="M620" i="35"/>
  <c r="M618" i="35"/>
  <c r="M17" i="35"/>
  <c r="M15" i="35"/>
  <c r="P620" i="35"/>
  <c r="P535" i="35"/>
  <c r="P533" i="35"/>
  <c r="P449" i="35"/>
  <c r="P363" i="35"/>
  <c r="P275" i="35"/>
  <c r="P189" i="35"/>
  <c r="P17" i="35"/>
  <c r="AO109" i="62"/>
  <c r="AO37" i="62"/>
  <c r="AO21" i="62"/>
  <c r="AO5" i="62"/>
  <c r="BG103" i="62"/>
  <c r="G181" i="62" a="1"/>
  <c r="G181" i="62"/>
  <c r="G168" i="62" a="1"/>
  <c r="G168" i="62"/>
  <c r="K332" i="62"/>
  <c r="M332" i="62"/>
  <c r="O374" i="62"/>
  <c r="Y374" i="62"/>
  <c r="F368" i="35"/>
  <c r="F367" i="35"/>
  <c r="G626" i="35"/>
  <c r="J626" i="35"/>
  <c r="G23" i="35"/>
  <c r="J23" i="35"/>
  <c r="G541" i="35"/>
  <c r="G539" i="35"/>
  <c r="G369" i="35"/>
  <c r="J369" i="35"/>
  <c r="G195" i="35"/>
  <c r="J195" i="35"/>
  <c r="G455" i="35"/>
  <c r="J455" i="35"/>
  <c r="G281" i="35"/>
  <c r="G279" i="35"/>
  <c r="G109" i="35"/>
  <c r="J109" i="35"/>
  <c r="H278" i="35"/>
  <c r="H276" i="35"/>
  <c r="H192" i="35"/>
  <c r="H190" i="35"/>
  <c r="H623" i="35"/>
  <c r="H538" i="35"/>
  <c r="H536" i="35"/>
  <c r="H106" i="35"/>
  <c r="H104" i="35"/>
  <c r="H452" i="35"/>
  <c r="H450" i="35"/>
  <c r="H366" i="35"/>
  <c r="H364" i="35"/>
  <c r="H20" i="35"/>
  <c r="H18" i="35"/>
  <c r="M538" i="35"/>
  <c r="M536" i="35"/>
  <c r="M452" i="35"/>
  <c r="M450" i="35"/>
  <c r="M366" i="35"/>
  <c r="M364" i="35"/>
  <c r="M278" i="35"/>
  <c r="M276" i="35"/>
  <c r="M192" i="35"/>
  <c r="M623" i="35"/>
  <c r="M621" i="35"/>
  <c r="M106" i="35"/>
  <c r="M20" i="35"/>
  <c r="M18" i="35"/>
  <c r="R623" i="35"/>
  <c r="R538" i="35"/>
  <c r="R536" i="35"/>
  <c r="R452" i="35"/>
  <c r="R366" i="35"/>
  <c r="R364" i="35"/>
  <c r="R278" i="35"/>
  <c r="R192" i="35"/>
  <c r="R106" i="35"/>
  <c r="R104" i="35"/>
  <c r="R20" i="35"/>
  <c r="S620" i="35"/>
  <c r="S618" i="35"/>
  <c r="S535" i="35"/>
  <c r="S449" i="35"/>
  <c r="S447" i="35"/>
  <c r="S363" i="35"/>
  <c r="S361" i="35"/>
  <c r="S275" i="35"/>
  <c r="S189" i="35"/>
  <c r="S187" i="35"/>
  <c r="S17" i="35"/>
  <c r="S15" i="35"/>
  <c r="BG136" i="61"/>
  <c r="BG132" i="61"/>
  <c r="BG124" i="61"/>
  <c r="BI124" i="61"/>
  <c r="BG223" i="61"/>
  <c r="AU377" i="61"/>
  <c r="AK356" i="61"/>
  <c r="AK324" i="61"/>
  <c r="O289" i="35"/>
  <c r="T377" i="35"/>
  <c r="AO45" i="62"/>
  <c r="AO73" i="62"/>
  <c r="AY100" i="62"/>
  <c r="BI100" i="62"/>
  <c r="BG98" i="62"/>
  <c r="BC87" i="62"/>
  <c r="BG86" i="62"/>
  <c r="BC83" i="62"/>
  <c r="BC79" i="62"/>
  <c r="BG66" i="62"/>
  <c r="AY64" i="62"/>
  <c r="AU62" i="62"/>
  <c r="AU58" i="62"/>
  <c r="BG54" i="62"/>
  <c r="BG50" i="62"/>
  <c r="BG46" i="62"/>
  <c r="BC43" i="62"/>
  <c r="BG42" i="62"/>
  <c r="BC39" i="62"/>
  <c r="BC35" i="62"/>
  <c r="BC31" i="62"/>
  <c r="AU30" i="62"/>
  <c r="BC23" i="62"/>
  <c r="BG22" i="62"/>
  <c r="AY20" i="62"/>
  <c r="BI20" i="62"/>
  <c r="BC19" i="62"/>
  <c r="AY18" i="62"/>
  <c r="AU10" i="62"/>
  <c r="BD89" i="62"/>
  <c r="BD85" i="62"/>
  <c r="AL41" i="62"/>
  <c r="AD37" i="62"/>
  <c r="AZ33" i="62"/>
  <c r="AL5" i="62"/>
  <c r="AZ108" i="62"/>
  <c r="G189" i="62" a="1"/>
  <c r="G189" i="62"/>
  <c r="G164" i="62" a="1"/>
  <c r="G164" i="62"/>
  <c r="G132" i="62" a="1"/>
  <c r="G132" i="62"/>
  <c r="AD202" i="62"/>
  <c r="AL196" i="62"/>
  <c r="AP195" i="62"/>
  <c r="AD194" i="62"/>
  <c r="AL192" i="62"/>
  <c r="AP191" i="62"/>
  <c r="AD190" i="62"/>
  <c r="AP183" i="62"/>
  <c r="AL180" i="62"/>
  <c r="AP179" i="62"/>
  <c r="AD178" i="62"/>
  <c r="AP176" i="62"/>
  <c r="AD175" i="62"/>
  <c r="AL173" i="62"/>
  <c r="AP172" i="62"/>
  <c r="AL169" i="62"/>
  <c r="AP168" i="62"/>
  <c r="AL165" i="62"/>
  <c r="AL153" i="62"/>
  <c r="AP152" i="62"/>
  <c r="AP144" i="62"/>
  <c r="AP140" i="62"/>
  <c r="AD139" i="62"/>
  <c r="AP136" i="62"/>
  <c r="AD135" i="62"/>
  <c r="AP132" i="62"/>
  <c r="AP128" i="62"/>
  <c r="AD127" i="62"/>
  <c r="AP121" i="62"/>
  <c r="AD120" i="62"/>
  <c r="AH119" i="62"/>
  <c r="AD116" i="62"/>
  <c r="AH115" i="62"/>
  <c r="BH113" i="62"/>
  <c r="AZ202" i="62"/>
  <c r="BH200" i="62"/>
  <c r="AV199" i="62"/>
  <c r="BH196" i="62"/>
  <c r="AV195" i="62"/>
  <c r="BH192" i="62"/>
  <c r="AV191" i="62"/>
  <c r="AZ190" i="62"/>
  <c r="BH188" i="62"/>
  <c r="AV187" i="62"/>
  <c r="AZ186" i="62"/>
  <c r="BH184" i="62"/>
  <c r="AZ182" i="62"/>
  <c r="BH180" i="62"/>
  <c r="AV179" i="62"/>
  <c r="AZ178" i="62"/>
  <c r="AV176" i="62"/>
  <c r="AZ175" i="62"/>
  <c r="BD174" i="62"/>
  <c r="BH173" i="62"/>
  <c r="AV172" i="62"/>
  <c r="BD170" i="62"/>
  <c r="BH169" i="62"/>
  <c r="AV168" i="62"/>
  <c r="BD166" i="62"/>
  <c r="BH165" i="62"/>
  <c r="BD162" i="62"/>
  <c r="AV156" i="62"/>
  <c r="BD154" i="62"/>
  <c r="BH153" i="62"/>
  <c r="AV152" i="62"/>
  <c r="AV148" i="62"/>
  <c r="AZ147" i="62"/>
  <c r="AV144" i="62"/>
  <c r="AV140" i="62"/>
  <c r="AZ139" i="62"/>
  <c r="AZ135" i="62"/>
  <c r="AV132" i="62"/>
  <c r="AZ131" i="62"/>
  <c r="AZ127" i="62"/>
  <c r="AV125" i="62"/>
  <c r="AZ124" i="62"/>
  <c r="AV121" i="62"/>
  <c r="AZ120" i="62"/>
  <c r="AV117" i="62"/>
  <c r="AZ116" i="62"/>
  <c r="BD115" i="62"/>
  <c r="P311" i="62"/>
  <c r="AD322" i="62"/>
  <c r="BD315" i="62"/>
  <c r="X306" i="62"/>
  <c r="X314" i="62"/>
  <c r="P322" i="62"/>
  <c r="AV313" i="62"/>
  <c r="O343" i="62"/>
  <c r="Q343" i="62"/>
  <c r="K328" i="62"/>
  <c r="AK357" i="62"/>
  <c r="AG356" i="62"/>
  <c r="AG348" i="62"/>
  <c r="AO344" i="62"/>
  <c r="AG344" i="62"/>
  <c r="AQ344" i="62"/>
  <c r="AC336" i="62"/>
  <c r="AI334" i="62"/>
  <c r="AK333" i="62"/>
  <c r="AU344" i="62"/>
  <c r="AK344" i="62"/>
  <c r="AW344" i="62"/>
  <c r="BG336" i="62"/>
  <c r="BC333" i="62"/>
  <c r="AU332" i="62"/>
  <c r="BC329" i="62"/>
  <c r="AC385" i="62"/>
  <c r="AV416" i="62"/>
  <c r="AV411" i="62"/>
  <c r="AV409" i="62"/>
  <c r="AV405" i="62"/>
  <c r="AV399" i="62"/>
  <c r="O317" i="62"/>
  <c r="Q317" i="62"/>
  <c r="O315" i="62"/>
  <c r="I538" i="35"/>
  <c r="I366" i="35"/>
  <c r="I192" i="35"/>
  <c r="I20" i="35"/>
  <c r="I623" i="35"/>
  <c r="I621" i="35"/>
  <c r="I452" i="35"/>
  <c r="I278" i="35"/>
  <c r="I106" i="35"/>
  <c r="N538" i="35"/>
  <c r="N536" i="35"/>
  <c r="N452" i="35"/>
  <c r="N623" i="35"/>
  <c r="N366" i="35"/>
  <c r="N192" i="35"/>
  <c r="N106" i="35"/>
  <c r="N20" i="35"/>
  <c r="N278" i="35"/>
  <c r="I535" i="35"/>
  <c r="I533" i="35"/>
  <c r="I363" i="35"/>
  <c r="I361" i="35"/>
  <c r="I189" i="35"/>
  <c r="I187" i="35"/>
  <c r="I620" i="35"/>
  <c r="I618" i="35"/>
  <c r="I449" i="35"/>
  <c r="I447" i="35"/>
  <c r="I275" i="35"/>
  <c r="I273" i="35"/>
  <c r="I17" i="35"/>
  <c r="I15" i="35"/>
  <c r="L620" i="35"/>
  <c r="L618" i="35"/>
  <c r="L535" i="35"/>
  <c r="L533" i="35"/>
  <c r="L449" i="35"/>
  <c r="L447" i="35"/>
  <c r="L275" i="35"/>
  <c r="L273" i="35"/>
  <c r="L363" i="35"/>
  <c r="L361" i="35"/>
  <c r="L189" i="35"/>
  <c r="L187" i="35"/>
  <c r="L17" i="35"/>
  <c r="L15" i="35"/>
  <c r="N535" i="35"/>
  <c r="N533" i="35"/>
  <c r="N449" i="35"/>
  <c r="N620" i="35"/>
  <c r="N618" i="35"/>
  <c r="N275" i="35"/>
  <c r="N273" i="35"/>
  <c r="N17" i="35"/>
  <c r="N15" i="35"/>
  <c r="N363" i="35"/>
  <c r="N361" i="35"/>
  <c r="N189" i="35"/>
  <c r="N187" i="35"/>
  <c r="Q620" i="35"/>
  <c r="Q618" i="35"/>
  <c r="Q535" i="35"/>
  <c r="Q533" i="35"/>
  <c r="Q449" i="35"/>
  <c r="Q447" i="35"/>
  <c r="Q363" i="35"/>
  <c r="Q361" i="35"/>
  <c r="Q275" i="35"/>
  <c r="Q273" i="35"/>
  <c r="Q189" i="35"/>
  <c r="Q187" i="35"/>
  <c r="Q17" i="35"/>
  <c r="R620" i="35"/>
  <c r="R618" i="35"/>
  <c r="R535" i="35"/>
  <c r="R533" i="35"/>
  <c r="R449" i="35"/>
  <c r="R447" i="35"/>
  <c r="R363" i="35"/>
  <c r="R361" i="35"/>
  <c r="R275" i="35"/>
  <c r="R273" i="35"/>
  <c r="R189" i="35"/>
  <c r="R187" i="35"/>
  <c r="R17" i="35"/>
  <c r="R15" i="35"/>
  <c r="L55" i="55"/>
  <c r="P55" i="55"/>
  <c r="P51" i="55"/>
  <c r="L51" i="55"/>
  <c r="P47" i="55"/>
  <c r="L47" i="55"/>
  <c r="P43" i="55"/>
  <c r="L43" i="55"/>
  <c r="P39" i="55"/>
  <c r="L39" i="55"/>
  <c r="P35" i="55"/>
  <c r="L35" i="55"/>
  <c r="P31" i="55"/>
  <c r="L31" i="55"/>
  <c r="L27" i="55"/>
  <c r="P27" i="55"/>
  <c r="P23" i="55"/>
  <c r="L23" i="55"/>
  <c r="L19" i="55"/>
  <c r="L15" i="55"/>
  <c r="P15" i="55"/>
  <c r="L11" i="55"/>
  <c r="L7" i="55"/>
  <c r="P7" i="55"/>
  <c r="P161" i="55"/>
  <c r="AZ161" i="55"/>
  <c r="AP161" i="55"/>
  <c r="AH161" i="55"/>
  <c r="T161" i="55"/>
  <c r="AV157" i="55"/>
  <c r="AD157" i="55"/>
  <c r="L157" i="55"/>
  <c r="AH157" i="55"/>
  <c r="T157" i="55"/>
  <c r="BD157" i="55"/>
  <c r="AH153" i="55"/>
  <c r="AV153" i="55"/>
  <c r="L153" i="55"/>
  <c r="P153" i="55"/>
  <c r="AD153" i="55"/>
  <c r="AL153" i="55"/>
  <c r="BH149" i="55"/>
  <c r="BD149" i="55"/>
  <c r="P149" i="55"/>
  <c r="AD149" i="55"/>
  <c r="AH149" i="55"/>
  <c r="AL149" i="55"/>
  <c r="T149" i="55"/>
  <c r="L145" i="55"/>
  <c r="AD145" i="55"/>
  <c r="AH145" i="55"/>
  <c r="P145" i="55"/>
  <c r="P141" i="55"/>
  <c r="L141" i="55"/>
  <c r="P137" i="55"/>
  <c r="L133" i="55"/>
  <c r="P133" i="55"/>
  <c r="L129" i="55"/>
  <c r="P125" i="55"/>
  <c r="Q125" i="55"/>
  <c r="L125" i="55"/>
  <c r="P121" i="55"/>
  <c r="L121" i="55"/>
  <c r="P117" i="55"/>
  <c r="L117" i="55"/>
  <c r="P113" i="55"/>
  <c r="L113" i="55"/>
  <c r="L109" i="55"/>
  <c r="P109" i="55"/>
  <c r="L105" i="55"/>
  <c r="P105" i="55"/>
  <c r="L101" i="55"/>
  <c r="P101" i="55"/>
  <c r="P97" i="55"/>
  <c r="L97" i="55"/>
  <c r="P93" i="55"/>
  <c r="L93" i="55"/>
  <c r="X3" i="55"/>
  <c r="AL3" i="55"/>
  <c r="P72" i="55"/>
  <c r="L72" i="55"/>
  <c r="L85" i="55"/>
  <c r="AH85" i="55"/>
  <c r="AH81" i="55"/>
  <c r="AL145" i="55"/>
  <c r="L207" i="62"/>
  <c r="AH211" i="62"/>
  <c r="P211" i="62"/>
  <c r="P129" i="55"/>
  <c r="X117" i="55"/>
  <c r="AH105" i="55"/>
  <c r="AD3" i="55"/>
  <c r="AP3" i="55"/>
  <c r="X85" i="55"/>
  <c r="X81" i="55"/>
  <c r="AD85" i="55"/>
  <c r="AD81" i="55"/>
  <c r="AL157" i="55"/>
  <c r="L149" i="55"/>
  <c r="BH141" i="55"/>
  <c r="BH137" i="55"/>
  <c r="BH101" i="55"/>
  <c r="BH97" i="55"/>
  <c r="BH93" i="55"/>
  <c r="BH55" i="55"/>
  <c r="AV55" i="55"/>
  <c r="AH55" i="55"/>
  <c r="AH3" i="55"/>
  <c r="AV3" i="55"/>
  <c r="BH3" i="55"/>
  <c r="T145" i="55"/>
  <c r="T141" i="55"/>
  <c r="T133" i="55"/>
  <c r="T129" i="55"/>
  <c r="T125" i="55"/>
  <c r="T121" i="55"/>
  <c r="T117" i="55"/>
  <c r="T109" i="55"/>
  <c r="T101" i="55"/>
  <c r="T93" i="55"/>
  <c r="X101" i="55"/>
  <c r="X97" i="55"/>
  <c r="L81" i="55"/>
  <c r="T85" i="55"/>
  <c r="T81" i="55"/>
  <c r="AP81" i="55"/>
  <c r="AL141" i="55"/>
  <c r="AL137" i="55"/>
  <c r="AL133" i="55"/>
  <c r="AL129" i="55"/>
  <c r="AL125" i="55"/>
  <c r="AL121" i="55"/>
  <c r="AL117" i="55"/>
  <c r="AL113" i="55"/>
  <c r="AL109" i="55"/>
  <c r="AL105" i="55"/>
  <c r="AL101" i="55"/>
  <c r="AL97" i="55"/>
  <c r="AL93" i="55"/>
  <c r="AH121" i="55"/>
  <c r="AZ141" i="55"/>
  <c r="AZ137" i="55"/>
  <c r="AV133" i="55"/>
  <c r="AV129" i="55"/>
  <c r="AV121" i="55"/>
  <c r="AP113" i="55"/>
  <c r="AV109" i="55"/>
  <c r="AZ105" i="55"/>
  <c r="AV101" i="55"/>
  <c r="AZ97" i="55"/>
  <c r="AZ93" i="55"/>
  <c r="P85" i="55"/>
  <c r="P81" i="55"/>
  <c r="AL85" i="55"/>
  <c r="AL81" i="55"/>
  <c r="AZ85" i="55"/>
  <c r="BH81" i="55"/>
  <c r="AD121" i="55"/>
  <c r="AH117" i="55"/>
  <c r="X109" i="55"/>
  <c r="AH97" i="55"/>
  <c r="AD93" i="55"/>
  <c r="AL15" i="55"/>
  <c r="AZ7" i="55"/>
  <c r="L210" i="62"/>
  <c r="AV85" i="55"/>
  <c r="AZ81" i="55"/>
  <c r="X121" i="55"/>
  <c r="AD117" i="55"/>
  <c r="AH113" i="55"/>
  <c r="AH109" i="55"/>
  <c r="X105" i="55"/>
  <c r="T55" i="55"/>
  <c r="BD35" i="55"/>
  <c r="AP35" i="55"/>
  <c r="AD35" i="55"/>
  <c r="AZ27" i="55"/>
  <c r="BH85" i="55"/>
  <c r="AH141" i="55"/>
  <c r="X141" i="55"/>
  <c r="AH137" i="55"/>
  <c r="X137" i="55"/>
  <c r="AH133" i="55"/>
  <c r="X133" i="55"/>
  <c r="AH129" i="55"/>
  <c r="X129" i="55"/>
  <c r="AH125" i="55"/>
  <c r="X125" i="55"/>
  <c r="AD109" i="55"/>
  <c r="AD105" i="55"/>
  <c r="AH101" i="55"/>
  <c r="AD97" i="55"/>
  <c r="AV141" i="55"/>
  <c r="AV137" i="55"/>
  <c r="AP133" i="55"/>
  <c r="AP129" i="55"/>
  <c r="AZ125" i="55"/>
  <c r="AP121" i="55"/>
  <c r="AD113" i="55"/>
  <c r="AP109" i="55"/>
  <c r="AV105" i="55"/>
  <c r="AP101" i="55"/>
  <c r="AV93" i="55"/>
  <c r="BH133" i="55"/>
  <c r="BH129" i="55"/>
  <c r="BH125" i="55"/>
  <c r="BH121" i="55"/>
  <c r="T51" i="55"/>
  <c r="BD47" i="55"/>
  <c r="AL47" i="55"/>
  <c r="AD47" i="55"/>
  <c r="X43" i="55"/>
  <c r="BD39" i="55"/>
  <c r="AD39" i="55"/>
  <c r="AL35" i="55"/>
  <c r="BH23" i="55"/>
  <c r="T19" i="55"/>
  <c r="AZ15" i="55"/>
  <c r="T11" i="55"/>
  <c r="L54" i="55"/>
  <c r="L50" i="55"/>
  <c r="P38" i="55"/>
  <c r="L38" i="55"/>
  <c r="P22" i="55"/>
  <c r="BD141" i="55"/>
  <c r="BD137" i="55"/>
  <c r="BD133" i="55"/>
  <c r="BD129" i="55"/>
  <c r="BD125" i="55"/>
  <c r="BD121" i="55"/>
  <c r="BD117" i="55"/>
  <c r="BD113" i="55"/>
  <c r="BD109" i="55"/>
  <c r="BD105" i="55"/>
  <c r="BD101" i="55"/>
  <c r="BD97" i="55"/>
  <c r="BD93" i="55"/>
  <c r="BD85" i="55"/>
  <c r="BD81" i="55"/>
  <c r="AD141" i="55"/>
  <c r="AD137" i="55"/>
  <c r="AD133" i="55"/>
  <c r="AD129" i="55"/>
  <c r="AD125" i="55"/>
  <c r="X113" i="55"/>
  <c r="AP141" i="55"/>
  <c r="AP137" i="55"/>
  <c r="AV125" i="55"/>
  <c r="AZ117" i="55"/>
  <c r="AZ113" i="55"/>
  <c r="AD101" i="55"/>
  <c r="AP97" i="55"/>
  <c r="AH93" i="55"/>
  <c r="AL51" i="55"/>
  <c r="AV47" i="55"/>
  <c r="AL31" i="55"/>
  <c r="T27" i="55"/>
  <c r="AL26" i="55"/>
  <c r="T26" i="55"/>
  <c r="AP23" i="55"/>
  <c r="AD23" i="55"/>
  <c r="AZ18" i="55"/>
  <c r="P18" i="55"/>
  <c r="AV11" i="55"/>
  <c r="AH11" i="55"/>
  <c r="AZ10" i="55"/>
  <c r="P10" i="55"/>
  <c r="P6" i="55"/>
  <c r="X93" i="55"/>
  <c r="AZ133" i="55"/>
  <c r="AZ129" i="55"/>
  <c r="AP125" i="55"/>
  <c r="AZ121" i="55"/>
  <c r="AP117" i="55"/>
  <c r="AV113" i="55"/>
  <c r="AZ109" i="55"/>
  <c r="AZ101" i="55"/>
  <c r="AV117" i="55"/>
  <c r="BH113" i="55"/>
  <c r="BH109" i="55"/>
  <c r="BH105" i="55"/>
  <c r="AZ55" i="55"/>
  <c r="X55" i="55"/>
  <c r="AV43" i="55"/>
  <c r="AH43" i="55"/>
  <c r="X31" i="55"/>
  <c r="AL27" i="55"/>
  <c r="BD19" i="55"/>
  <c r="BD11" i="55"/>
  <c r="AP93" i="55"/>
  <c r="BH117" i="55"/>
  <c r="BH116" i="55"/>
  <c r="BH112" i="55"/>
  <c r="BH108" i="55"/>
  <c r="BH104" i="55"/>
  <c r="AZ58" i="55"/>
  <c r="X58" i="55"/>
  <c r="AD58" i="55"/>
  <c r="BD55" i="55"/>
  <c r="AP55" i="55"/>
  <c r="AD55" i="55"/>
  <c r="BH54" i="55"/>
  <c r="AV54" i="55"/>
  <c r="AH54" i="55"/>
  <c r="AZ51" i="55"/>
  <c r="BD50" i="55"/>
  <c r="AD50" i="55"/>
  <c r="X47" i="55"/>
  <c r="AZ46" i="55"/>
  <c r="T46" i="55"/>
  <c r="AL43" i="55"/>
  <c r="T43" i="55"/>
  <c r="BH42" i="55"/>
  <c r="AV42" i="55"/>
  <c r="AH42" i="55"/>
  <c r="X42" i="55"/>
  <c r="X35" i="55"/>
  <c r="AZ34" i="55"/>
  <c r="T34" i="55"/>
  <c r="AV31" i="55"/>
  <c r="AH31" i="55"/>
  <c r="BH30" i="55"/>
  <c r="AV30" i="55"/>
  <c r="BH27" i="55"/>
  <c r="AV27" i="55"/>
  <c r="AH27" i="55"/>
  <c r="X27" i="55"/>
  <c r="AV26" i="55"/>
  <c r="AL23" i="55"/>
  <c r="AL22" i="55"/>
  <c r="T22" i="55"/>
  <c r="BD18" i="55"/>
  <c r="AV18" i="55"/>
  <c r="AH18" i="55"/>
  <c r="X18" i="55"/>
  <c r="AZ14" i="55"/>
  <c r="T14" i="55"/>
  <c r="X11" i="55"/>
  <c r="BH10" i="55"/>
  <c r="AV10" i="55"/>
  <c r="AH10" i="55"/>
  <c r="X10" i="55"/>
  <c r="BH6" i="55"/>
  <c r="AV6" i="55"/>
  <c r="AH6" i="55"/>
  <c r="X6" i="55"/>
  <c r="BH100" i="55"/>
  <c r="BH96" i="55"/>
  <c r="BH92" i="55"/>
  <c r="BH58" i="55"/>
  <c r="AV58" i="55"/>
  <c r="AH58" i="55"/>
  <c r="AL55" i="55"/>
  <c r="AP54" i="55"/>
  <c r="BH51" i="55"/>
  <c r="AV51" i="55"/>
  <c r="AH51" i="55"/>
  <c r="X51" i="55"/>
  <c r="AZ50" i="55"/>
  <c r="BH47" i="55"/>
  <c r="AP47" i="55"/>
  <c r="AH47" i="55"/>
  <c r="BH46" i="55"/>
  <c r="AH46" i="55"/>
  <c r="X46" i="55"/>
  <c r="AZ43" i="55"/>
  <c r="BD42" i="55"/>
  <c r="AP42" i="55"/>
  <c r="AD42" i="55"/>
  <c r="X39" i="55"/>
  <c r="BH38" i="55"/>
  <c r="AZ38" i="55"/>
  <c r="T38" i="55"/>
  <c r="BH35" i="55"/>
  <c r="AV35" i="55"/>
  <c r="AH35" i="55"/>
  <c r="BH34" i="55"/>
  <c r="AV34" i="55"/>
  <c r="AH34" i="55"/>
  <c r="X34" i="55"/>
  <c r="BD31" i="55"/>
  <c r="AP31" i="55"/>
  <c r="AD31" i="55"/>
  <c r="AP30" i="55"/>
  <c r="AP26" i="55"/>
  <c r="AD26" i="55"/>
  <c r="X23" i="55"/>
  <c r="AZ22" i="55"/>
  <c r="X22" i="55"/>
  <c r="AZ19" i="55"/>
  <c r="X19" i="55"/>
  <c r="BH18" i="55"/>
  <c r="AD18" i="55"/>
  <c r="BH15" i="55"/>
  <c r="AP15" i="55"/>
  <c r="AD15" i="55"/>
  <c r="BD14" i="55"/>
  <c r="AV14" i="55"/>
  <c r="AH14" i="55"/>
  <c r="X14" i="55"/>
  <c r="BD10" i="55"/>
  <c r="AP10" i="55"/>
  <c r="AD10" i="55"/>
  <c r="AL7" i="55"/>
  <c r="AD6" i="55"/>
  <c r="L256" i="61"/>
  <c r="L243" i="61"/>
  <c r="AP248" i="61"/>
  <c r="L248" i="61"/>
  <c r="L252" i="61"/>
  <c r="AZ256" i="61"/>
  <c r="P243" i="61"/>
  <c r="AZ248" i="61"/>
  <c r="P252" i="61"/>
  <c r="L260" i="61"/>
  <c r="BD255" i="61"/>
  <c r="AH255" i="61"/>
  <c r="L259" i="61"/>
  <c r="AP255" i="61"/>
  <c r="BH259" i="61"/>
  <c r="AD259" i="61"/>
  <c r="BA149" i="61"/>
  <c r="AL110" i="61"/>
  <c r="P121" i="61"/>
  <c r="L200" i="61"/>
  <c r="P200" i="61"/>
  <c r="P181" i="61"/>
  <c r="P177" i="61"/>
  <c r="L177" i="61"/>
  <c r="BH173" i="61"/>
  <c r="P173" i="61"/>
  <c r="AP169" i="61"/>
  <c r="L161" i="61"/>
  <c r="L153" i="61"/>
  <c r="P153" i="61"/>
  <c r="AZ137" i="61"/>
  <c r="BH137" i="61"/>
  <c r="P137" i="61"/>
  <c r="L137" i="61"/>
  <c r="L129" i="61"/>
  <c r="BH129" i="61"/>
  <c r="AZ117" i="61"/>
  <c r="P117" i="61"/>
  <c r="AH41" i="61"/>
  <c r="AH91" i="61"/>
  <c r="AH87" i="61"/>
  <c r="AH83" i="61"/>
  <c r="AH79" i="61"/>
  <c r="AH75" i="61"/>
  <c r="AH71" i="61"/>
  <c r="AH67" i="61"/>
  <c r="AH63" i="61"/>
  <c r="AH59" i="61"/>
  <c r="P185" i="61"/>
  <c r="P149" i="61"/>
  <c r="BH149" i="61"/>
  <c r="L149" i="61"/>
  <c r="P141" i="61"/>
  <c r="BH141" i="61"/>
  <c r="L141" i="61"/>
  <c r="Q141" i="61"/>
  <c r="P133" i="61"/>
  <c r="Q133" i="61"/>
  <c r="L133" i="61"/>
  <c r="BH113" i="61"/>
  <c r="L113" i="61"/>
  <c r="P113" i="61"/>
  <c r="AP113" i="61"/>
  <c r="AV110" i="61"/>
  <c r="X110" i="61"/>
  <c r="L110" i="61"/>
  <c r="P110" i="61"/>
  <c r="AI153" i="61"/>
  <c r="AI137" i="61"/>
  <c r="Y133" i="61"/>
  <c r="AI125" i="61"/>
  <c r="BD110" i="61"/>
  <c r="T110" i="61"/>
  <c r="P157" i="61"/>
  <c r="L185" i="61"/>
  <c r="AP47" i="61"/>
  <c r="AP43" i="61"/>
  <c r="AZ91" i="61"/>
  <c r="AZ87" i="61"/>
  <c r="AZ83" i="61"/>
  <c r="AZ79" i="61"/>
  <c r="AZ75" i="61"/>
  <c r="AZ67" i="61"/>
  <c r="AZ63" i="61"/>
  <c r="AZ59" i="61"/>
  <c r="AZ55" i="61"/>
  <c r="AZ51" i="61"/>
  <c r="AZ47" i="61"/>
  <c r="Y121" i="61"/>
  <c r="AL193" i="61"/>
  <c r="AL189" i="61"/>
  <c r="AL185" i="61"/>
  <c r="AL181" i="61"/>
  <c r="AL177" i="61"/>
  <c r="AL173" i="61"/>
  <c r="AL169" i="61"/>
  <c r="AL165" i="61"/>
  <c r="AL161" i="61"/>
  <c r="AL157" i="61"/>
  <c r="AL153" i="61"/>
  <c r="AL149" i="61"/>
  <c r="AL145" i="61"/>
  <c r="AL141" i="61"/>
  <c r="AL137" i="61"/>
  <c r="AL133" i="61"/>
  <c r="AL129" i="61"/>
  <c r="AL125" i="61"/>
  <c r="AL121" i="61"/>
  <c r="AL117" i="61"/>
  <c r="AL113" i="61"/>
  <c r="L195" i="61"/>
  <c r="P171" i="61"/>
  <c r="BH195" i="61"/>
  <c r="AD201" i="61"/>
  <c r="X200" i="61"/>
  <c r="AH198" i="61"/>
  <c r="AD197" i="61"/>
  <c r="AH194" i="61"/>
  <c r="AD193" i="61"/>
  <c r="X192" i="61"/>
  <c r="AD185" i="61"/>
  <c r="AD177" i="61"/>
  <c r="AD165" i="61"/>
  <c r="AD149" i="61"/>
  <c r="AD141" i="61"/>
  <c r="AD137" i="61"/>
  <c r="AD133" i="61"/>
  <c r="AD129" i="61"/>
  <c r="AH55" i="61"/>
  <c r="AH51" i="61"/>
  <c r="AH47" i="61"/>
  <c r="AH43" i="61"/>
  <c r="BH41" i="61"/>
  <c r="BH91" i="61"/>
  <c r="BH87" i="61"/>
  <c r="BH83" i="61"/>
  <c r="BH79" i="61"/>
  <c r="BH75" i="61"/>
  <c r="BH71" i="61"/>
  <c r="BH67" i="61"/>
  <c r="BH63" i="61"/>
  <c r="BH59" i="61"/>
  <c r="BH55" i="61"/>
  <c r="BH51" i="61"/>
  <c r="BH47" i="61"/>
  <c r="BH43" i="61"/>
  <c r="Y125" i="61"/>
  <c r="BD193" i="61"/>
  <c r="T193" i="61"/>
  <c r="BD189" i="61"/>
  <c r="BD185" i="61"/>
  <c r="T185" i="61"/>
  <c r="BD181" i="61"/>
  <c r="BD177" i="61"/>
  <c r="BD173" i="61"/>
  <c r="BD169" i="61"/>
  <c r="BD165" i="61"/>
  <c r="BD161" i="61"/>
  <c r="T161" i="61"/>
  <c r="BD157" i="61"/>
  <c r="T157" i="61"/>
  <c r="BD153" i="61"/>
  <c r="BD149" i="61"/>
  <c r="BD145" i="61"/>
  <c r="T145" i="61"/>
  <c r="BD141" i="61"/>
  <c r="BD137" i="61"/>
  <c r="BD129" i="61"/>
  <c r="BD125" i="61"/>
  <c r="T125" i="61"/>
  <c r="BD121" i="61"/>
  <c r="BD117" i="61"/>
  <c r="BD113" i="61"/>
  <c r="BH183" i="61"/>
  <c r="Q183" i="61"/>
  <c r="P147" i="61"/>
  <c r="L159" i="61"/>
  <c r="P187" i="61"/>
  <c r="P355" i="62"/>
  <c r="L355" i="62"/>
  <c r="P347" i="62"/>
  <c r="L343" i="62"/>
  <c r="BD343" i="62"/>
  <c r="P339" i="62"/>
  <c r="L339" i="62"/>
  <c r="M335" i="62"/>
  <c r="AZ335" i="62"/>
  <c r="P335" i="62"/>
  <c r="L327" i="62"/>
  <c r="M327" i="62"/>
  <c r="AZ327" i="62"/>
  <c r="BH327" i="62"/>
  <c r="BD362" i="62"/>
  <c r="P362" i="62"/>
  <c r="AL362" i="62"/>
  <c r="L369" i="62"/>
  <c r="P365" i="62"/>
  <c r="BH365" i="62"/>
  <c r="L365" i="62"/>
  <c r="AL373" i="62"/>
  <c r="L373" i="62"/>
  <c r="AZ373" i="62"/>
  <c r="X373" i="62"/>
  <c r="AP373" i="62"/>
  <c r="T373" i="62"/>
  <c r="X339" i="62"/>
  <c r="L335" i="62"/>
  <c r="L362" i="62"/>
  <c r="AV335" i="62"/>
  <c r="T369" i="62"/>
  <c r="AD365" i="62"/>
  <c r="P343" i="62"/>
  <c r="P327" i="62"/>
  <c r="BD373" i="62"/>
  <c r="AH362" i="62"/>
  <c r="AH355" i="62"/>
  <c r="L347" i="62"/>
  <c r="AD339" i="62"/>
  <c r="AD373" i="62"/>
  <c r="BH373" i="62"/>
  <c r="P233" i="58"/>
  <c r="O31" i="35"/>
  <c r="O377" i="35"/>
  <c r="O463" i="35"/>
  <c r="O634" i="35"/>
  <c r="BH320" i="62"/>
  <c r="BH301" i="62"/>
  <c r="X305" i="62"/>
  <c r="L305" i="62"/>
  <c r="BD309" i="62"/>
  <c r="X313" i="62"/>
  <c r="P320" i="62"/>
  <c r="BI365" i="62"/>
  <c r="X348" i="62"/>
  <c r="AH336" i="62"/>
  <c r="L336" i="62"/>
  <c r="T335" i="62"/>
  <c r="AH328" i="62"/>
  <c r="T328" i="62"/>
  <c r="X327" i="62"/>
  <c r="AH327" i="62"/>
  <c r="AL365" i="62"/>
  <c r="AV363" i="62"/>
  <c r="AZ362" i="62"/>
  <c r="AV355" i="62"/>
  <c r="AP352" i="62"/>
  <c r="AV347" i="62"/>
  <c r="AV343" i="62"/>
  <c r="AP340" i="62"/>
  <c r="AP336" i="62"/>
  <c r="AP332" i="62"/>
  <c r="AP328" i="62"/>
  <c r="AV327" i="62"/>
  <c r="BD352" i="62"/>
  <c r="BH343" i="62"/>
  <c r="L316" i="62"/>
  <c r="AL320" i="62"/>
  <c r="P301" i="62"/>
  <c r="T305" i="62"/>
  <c r="L313" i="62"/>
  <c r="P316" i="62"/>
  <c r="AV296" i="62"/>
  <c r="AZ316" i="62"/>
  <c r="AV309" i="62"/>
  <c r="AL307" i="62"/>
  <c r="AV305" i="62"/>
  <c r="AL303" i="62"/>
  <c r="AV301" i="62"/>
  <c r="AV297" i="62"/>
  <c r="BH313" i="62"/>
  <c r="BH309" i="62"/>
  <c r="AD369" i="62"/>
  <c r="T365" i="62"/>
  <c r="AH348" i="62"/>
  <c r="L348" i="62"/>
  <c r="AH347" i="62"/>
  <c r="AD343" i="62"/>
  <c r="T339" i="62"/>
  <c r="AH335" i="62"/>
  <c r="X335" i="62"/>
  <c r="X332" i="62"/>
  <c r="X331" i="62"/>
  <c r="AD327" i="62"/>
  <c r="AZ369" i="62"/>
  <c r="AZ365" i="62"/>
  <c r="AV362" i="62"/>
  <c r="AP347" i="62"/>
  <c r="AP343" i="62"/>
  <c r="AP339" i="62"/>
  <c r="AP335" i="62"/>
  <c r="AP327" i="62"/>
  <c r="BH355" i="62"/>
  <c r="BH339" i="62"/>
  <c r="AV373" i="62"/>
  <c r="AH365" i="62"/>
  <c r="X365" i="62"/>
  <c r="AH339" i="62"/>
  <c r="AD335" i="62"/>
  <c r="AV369" i="62"/>
  <c r="AV365" i="62"/>
  <c r="AP362" i="62"/>
  <c r="AL355" i="62"/>
  <c r="AL347" i="62"/>
  <c r="AL339" i="62"/>
  <c r="AL335" i="62"/>
  <c r="AL331" i="62"/>
  <c r="AL327" i="62"/>
  <c r="BD355" i="62"/>
  <c r="BD347" i="62"/>
  <c r="BD339" i="62"/>
  <c r="BD335" i="62"/>
  <c r="BD327" i="62"/>
  <c r="BH189" i="62"/>
  <c r="T189" i="62"/>
  <c r="AL149" i="62"/>
  <c r="BH133" i="62"/>
  <c r="L69" i="62"/>
  <c r="AZ73" i="62"/>
  <c r="P77" i="62"/>
  <c r="BH81" i="62"/>
  <c r="AL93" i="62"/>
  <c r="L5" i="62"/>
  <c r="AV9" i="62"/>
  <c r="L33" i="62"/>
  <c r="AL37" i="62"/>
  <c r="AV37" i="62"/>
  <c r="AZ45" i="62"/>
  <c r="L61" i="62"/>
  <c r="P104" i="62"/>
  <c r="AZ104" i="62"/>
  <c r="L108" i="62"/>
  <c r="AV129" i="62"/>
  <c r="BH201" i="62"/>
  <c r="AV137" i="62"/>
  <c r="X189" i="62"/>
  <c r="T145" i="62"/>
  <c r="AV108" i="62"/>
  <c r="AV104" i="62"/>
  <c r="BD108" i="62"/>
  <c r="BD104" i="62"/>
  <c r="T128" i="62"/>
  <c r="AZ128" i="62"/>
  <c r="AL133" i="62"/>
  <c r="BH149" i="62"/>
  <c r="BH137" i="62"/>
  <c r="BH129" i="62"/>
  <c r="AL69" i="62"/>
  <c r="AV73" i="62"/>
  <c r="P81" i="62"/>
  <c r="AV81" i="62"/>
  <c r="X89" i="62"/>
  <c r="P93" i="62"/>
  <c r="AD5" i="62"/>
  <c r="BH9" i="62"/>
  <c r="AV13" i="62"/>
  <c r="L17" i="62"/>
  <c r="AH21" i="62"/>
  <c r="BH29" i="62"/>
  <c r="AV53" i="62"/>
  <c r="P108" i="62"/>
  <c r="AD108" i="62"/>
  <c r="BH117" i="62"/>
  <c r="AZ132" i="62"/>
  <c r="AV133" i="62"/>
  <c r="AV114" i="62"/>
  <c r="BH170" i="62"/>
  <c r="AZ148" i="62"/>
  <c r="P136" i="62"/>
  <c r="T141" i="62"/>
  <c r="T121" i="62"/>
  <c r="T170" i="62"/>
  <c r="T181" i="62"/>
  <c r="X144" i="62"/>
  <c r="X193" i="62"/>
  <c r="T193" i="62"/>
  <c r="AL137" i="62"/>
  <c r="BH145" i="62"/>
  <c r="BH141" i="62"/>
  <c r="BH122" i="62"/>
  <c r="AZ85" i="62"/>
  <c r="BH69" i="62"/>
  <c r="AV69" i="62"/>
  <c r="P73" i="62"/>
  <c r="X77" i="62"/>
  <c r="L81" i="62"/>
  <c r="P85" i="62"/>
  <c r="BH5" i="62"/>
  <c r="X9" i="62"/>
  <c r="X13" i="62"/>
  <c r="BH13" i="62"/>
  <c r="BH17" i="62"/>
  <c r="AD21" i="62"/>
  <c r="BH25" i="62"/>
  <c r="AZ29" i="62"/>
  <c r="AD33" i="62"/>
  <c r="P37" i="62"/>
  <c r="L41" i="62"/>
  <c r="L49" i="62"/>
  <c r="AL57" i="62"/>
  <c r="X65" i="62"/>
  <c r="L104" i="62"/>
  <c r="P101" i="62"/>
  <c r="AZ118" i="62"/>
  <c r="AV149" i="62"/>
  <c r="BD114" i="62"/>
  <c r="AV118" i="62"/>
  <c r="AV122" i="62"/>
  <c r="BH128" i="62"/>
  <c r="T177" i="62"/>
  <c r="T125" i="62"/>
  <c r="P132" i="62"/>
  <c r="AH40" i="62"/>
  <c r="AH36" i="62"/>
  <c r="AH32" i="62"/>
  <c r="AH20" i="62"/>
  <c r="AL108" i="62"/>
  <c r="AL104" i="62"/>
  <c r="AP103" i="62"/>
  <c r="AL100" i="62"/>
  <c r="AL96" i="62"/>
  <c r="AL92" i="62"/>
  <c r="AL88" i="62"/>
  <c r="AL84" i="62"/>
  <c r="AP202" i="62"/>
  <c r="AP194" i="62"/>
  <c r="AP182" i="62"/>
  <c r="AP178" i="62"/>
  <c r="AL164" i="62"/>
  <c r="AL152" i="62"/>
  <c r="AH149" i="62"/>
  <c r="AH145" i="62"/>
  <c r="AH141" i="62"/>
  <c r="AH137" i="62"/>
  <c r="AH133" i="62"/>
  <c r="AH129" i="62"/>
  <c r="AH122" i="62"/>
  <c r="AD119" i="62"/>
  <c r="AV202" i="62"/>
  <c r="AV198" i="62"/>
  <c r="AV194" i="62"/>
  <c r="AV190" i="62"/>
  <c r="AV186" i="62"/>
  <c r="AV182" i="62"/>
  <c r="AV178" i="62"/>
  <c r="AV175" i="62"/>
  <c r="BH172" i="62"/>
  <c r="BH168" i="62"/>
  <c r="BH164" i="62"/>
  <c r="BH156" i="62"/>
  <c r="AL113" i="62"/>
  <c r="AL202" i="62"/>
  <c r="AD200" i="62"/>
  <c r="AL198" i="62"/>
  <c r="AD196" i="62"/>
  <c r="AD192" i="62"/>
  <c r="AD188" i="62"/>
  <c r="AD184" i="62"/>
  <c r="AP174" i="62"/>
  <c r="AP170" i="62"/>
  <c r="AP166" i="62"/>
  <c r="AH164" i="62"/>
  <c r="AH156" i="62"/>
  <c r="AD149" i="62"/>
  <c r="AH148" i="62"/>
  <c r="AD145" i="62"/>
  <c r="AL143" i="62"/>
  <c r="AD141" i="62"/>
  <c r="AH140" i="62"/>
  <c r="AD137" i="62"/>
  <c r="AH136" i="62"/>
  <c r="AL135" i="62"/>
  <c r="AD133" i="62"/>
  <c r="AH132" i="62"/>
  <c r="AH128" i="62"/>
  <c r="AH125" i="62"/>
  <c r="AH121" i="62"/>
  <c r="AP119" i="62"/>
  <c r="AH117" i="62"/>
  <c r="AP115" i="62"/>
  <c r="AZ113" i="62"/>
  <c r="BH202" i="62"/>
  <c r="BH198" i="62"/>
  <c r="AZ196" i="62"/>
  <c r="BH194" i="62"/>
  <c r="AZ192" i="62"/>
  <c r="BH190" i="62"/>
  <c r="AZ188" i="62"/>
  <c r="BH186" i="62"/>
  <c r="AZ184" i="62"/>
  <c r="BH182" i="62"/>
  <c r="AZ180" i="62"/>
  <c r="BH178" i="62"/>
  <c r="BH175" i="62"/>
  <c r="AV174" i="62"/>
  <c r="BD172" i="62"/>
  <c r="AV170" i="62"/>
  <c r="AV166" i="62"/>
  <c r="BD164" i="62"/>
  <c r="AV162" i="62"/>
  <c r="BD156" i="62"/>
  <c r="AV154" i="62"/>
  <c r="BD152" i="62"/>
  <c r="BD148" i="62"/>
  <c r="BH147" i="62"/>
  <c r="AZ145" i="62"/>
  <c r="BD144" i="62"/>
  <c r="BH143" i="62"/>
  <c r="AZ141" i="62"/>
  <c r="BH139" i="62"/>
  <c r="AZ137" i="62"/>
  <c r="BD136" i="62"/>
  <c r="BH135" i="62"/>
  <c r="AZ133" i="62"/>
  <c r="BD132" i="62"/>
  <c r="BH131" i="62"/>
  <c r="AZ129" i="62"/>
  <c r="BD128" i="62"/>
  <c r="BH127" i="62"/>
  <c r="BH124" i="62"/>
  <c r="AZ122" i="62"/>
  <c r="BD117" i="62"/>
  <c r="AV115" i="62"/>
  <c r="AL80" i="62"/>
  <c r="AL76" i="62"/>
  <c r="AL52" i="62"/>
  <c r="AL44" i="62"/>
  <c r="AL24" i="62"/>
  <c r="AL20" i="62"/>
  <c r="AL16" i="62"/>
  <c r="AL12" i="62"/>
  <c r="X69" i="62"/>
  <c r="X73" i="62"/>
  <c r="BH77" i="62"/>
  <c r="AL81" i="62"/>
  <c r="X85" i="62"/>
  <c r="AL9" i="62"/>
  <c r="AL13" i="62"/>
  <c r="P13" i="62"/>
  <c r="AL17" i="62"/>
  <c r="AL21" i="62"/>
  <c r="L21" i="62"/>
  <c r="BH21" i="62"/>
  <c r="L25" i="62"/>
  <c r="X29" i="62"/>
  <c r="L29" i="62"/>
  <c r="AL33" i="62"/>
  <c r="BH33" i="62"/>
  <c r="X37" i="62"/>
  <c r="L37" i="62"/>
  <c r="X41" i="62"/>
  <c r="X45" i="62"/>
  <c r="BH49" i="62"/>
  <c r="AV49" i="62"/>
  <c r="P53" i="62"/>
  <c r="L57" i="62"/>
  <c r="P61" i="62"/>
  <c r="L101" i="62"/>
  <c r="AD45" i="62"/>
  <c r="AH37" i="62"/>
  <c r="AP101" i="62"/>
  <c r="AP97" i="62"/>
  <c r="AP77" i="62"/>
  <c r="AP73" i="62"/>
  <c r="AP69" i="62"/>
  <c r="AP41" i="62"/>
  <c r="AP33" i="62"/>
  <c r="AP29" i="62"/>
  <c r="AP13" i="62"/>
  <c r="AP9" i="62"/>
  <c r="T17" i="62"/>
  <c r="X21" i="62"/>
  <c r="X25" i="62"/>
  <c r="AL29" i="62"/>
  <c r="X33" i="62"/>
  <c r="P33" i="62"/>
  <c r="AL53" i="62"/>
  <c r="AH57" i="62"/>
  <c r="AD29" i="62"/>
  <c r="AL85" i="62"/>
  <c r="AL73" i="62"/>
  <c r="AH73" i="62"/>
  <c r="AD17" i="62"/>
  <c r="AD13" i="62"/>
  <c r="AD9" i="62"/>
  <c r="AZ77" i="62"/>
  <c r="AZ69" i="62"/>
  <c r="AZ37" i="62"/>
  <c r="AZ25" i="62"/>
  <c r="AZ21" i="62"/>
  <c r="AZ17" i="62"/>
  <c r="AZ13" i="62"/>
  <c r="AZ9" i="62"/>
  <c r="AZ5" i="62"/>
  <c r="BH97" i="62"/>
  <c r="AH215" i="62"/>
  <c r="AP215" i="62"/>
  <c r="P116" i="58"/>
  <c r="P108" i="58"/>
  <c r="P100" i="58"/>
  <c r="AE25" i="58"/>
  <c r="AE41" i="58"/>
  <c r="AL62" i="55"/>
  <c r="L4" i="55"/>
  <c r="Q4" i="55"/>
  <c r="BH119" i="61"/>
  <c r="AZ119" i="61"/>
  <c r="Q119" i="61"/>
  <c r="P207" i="61"/>
  <c r="L207" i="61"/>
  <c r="L266" i="61"/>
  <c r="P262" i="61"/>
  <c r="L262" i="61"/>
  <c r="L254" i="61"/>
  <c r="P254" i="61"/>
  <c r="P350" i="61"/>
  <c r="X350" i="61"/>
  <c r="L350" i="61"/>
  <c r="AV341" i="61"/>
  <c r="BD341" i="61"/>
  <c r="BD317" i="61"/>
  <c r="AL317" i="61"/>
  <c r="AH317" i="61"/>
  <c r="AH309" i="61"/>
  <c r="X309" i="61"/>
  <c r="AP12" i="55"/>
  <c r="L40" i="55"/>
  <c r="L32" i="55"/>
  <c r="P250" i="61"/>
  <c r="L250" i="61"/>
  <c r="P354" i="61"/>
  <c r="AP354" i="61"/>
  <c r="L354" i="61"/>
  <c r="X354" i="61"/>
  <c r="BD321" i="61"/>
  <c r="AV321" i="61"/>
  <c r="X321" i="61"/>
  <c r="AV301" i="61"/>
  <c r="AL301" i="61"/>
  <c r="T277" i="61"/>
  <c r="AD277" i="61"/>
  <c r="P62" i="55"/>
  <c r="AD62" i="55"/>
  <c r="AP62" i="55"/>
  <c r="BD62" i="55"/>
  <c r="AP72" i="55"/>
  <c r="BD72" i="55"/>
  <c r="T82" i="55"/>
  <c r="AP82" i="55"/>
  <c r="T154" i="55"/>
  <c r="AL158" i="55"/>
  <c r="AL154" i="55"/>
  <c r="AL150" i="55"/>
  <c r="AL146" i="55"/>
  <c r="AL142" i="55"/>
  <c r="AL138" i="55"/>
  <c r="AL134" i="55"/>
  <c r="AL130" i="55"/>
  <c r="AL122" i="55"/>
  <c r="AL118" i="55"/>
  <c r="AL110" i="55"/>
  <c r="AL102" i="55"/>
  <c r="AL98" i="55"/>
  <c r="AL94" i="55"/>
  <c r="T210" i="62"/>
  <c r="P206" i="62"/>
  <c r="L208" i="62"/>
  <c r="P154" i="55"/>
  <c r="AP158" i="55"/>
  <c r="BH126" i="55"/>
  <c r="AI4" i="55"/>
  <c r="AV36" i="55"/>
  <c r="BH154" i="55"/>
  <c r="AH150" i="55"/>
  <c r="AZ82" i="55"/>
  <c r="AH162" i="55"/>
  <c r="AD154" i="55"/>
  <c r="L150" i="55"/>
  <c r="L146" i="55"/>
  <c r="AD142" i="55"/>
  <c r="AD138" i="55"/>
  <c r="AD134" i="55"/>
  <c r="AD130" i="55"/>
  <c r="P126" i="55"/>
  <c r="AD122" i="55"/>
  <c r="AD118" i="55"/>
  <c r="L114" i="55"/>
  <c r="P110" i="55"/>
  <c r="AH106" i="55"/>
  <c r="X106" i="55"/>
  <c r="AH102" i="55"/>
  <c r="X102" i="55"/>
  <c r="AD98" i="55"/>
  <c r="AD94" i="55"/>
  <c r="P90" i="55"/>
  <c r="AP162" i="55"/>
  <c r="AD150" i="55"/>
  <c r="AH146" i="55"/>
  <c r="AP142" i="55"/>
  <c r="AP138" i="55"/>
  <c r="AV126" i="55"/>
  <c r="AZ118" i="55"/>
  <c r="AZ114" i="55"/>
  <c r="AP106" i="55"/>
  <c r="AP98" i="55"/>
  <c r="AP94" i="55"/>
  <c r="BH162" i="55"/>
  <c r="BH114" i="55"/>
  <c r="BH110" i="55"/>
  <c r="BH106" i="55"/>
  <c r="BH90" i="55"/>
  <c r="AP56" i="55"/>
  <c r="L56" i="55"/>
  <c r="BH52" i="55"/>
  <c r="AV52" i="55"/>
  <c r="AH52" i="55"/>
  <c r="L52" i="55"/>
  <c r="AL48" i="55"/>
  <c r="L48" i="55"/>
  <c r="BH40" i="55"/>
  <c r="AH40" i="55"/>
  <c r="AL36" i="55"/>
  <c r="P36" i="55"/>
  <c r="AD36" i="55"/>
  <c r="BD28" i="55"/>
  <c r="AP28" i="55"/>
  <c r="AD28" i="55"/>
  <c r="AZ24" i="55"/>
  <c r="P24" i="55"/>
  <c r="T24" i="55"/>
  <c r="P20" i="55"/>
  <c r="X12" i="55"/>
  <c r="X8" i="55"/>
  <c r="BH4" i="55"/>
  <c r="AV4" i="55"/>
  <c r="L119" i="61"/>
  <c r="L258" i="61"/>
  <c r="L218" i="61"/>
  <c r="AP117" i="61"/>
  <c r="P201" i="61"/>
  <c r="L197" i="61"/>
  <c r="AV194" i="61"/>
  <c r="X174" i="61"/>
  <c r="L174" i="61"/>
  <c r="L166" i="61"/>
  <c r="X162" i="61"/>
  <c r="X158" i="61"/>
  <c r="AP158" i="61"/>
  <c r="L158" i="61"/>
  <c r="L154" i="61"/>
  <c r="X146" i="61"/>
  <c r="L146" i="61"/>
  <c r="L134" i="61"/>
  <c r="L126" i="61"/>
  <c r="P122" i="61"/>
  <c r="BH277" i="61"/>
  <c r="AV309" i="61"/>
  <c r="X62" i="55"/>
  <c r="L245" i="61"/>
  <c r="BH382" i="61"/>
  <c r="AV382" i="61"/>
  <c r="X325" i="61"/>
  <c r="BD325" i="61"/>
  <c r="BD313" i="61"/>
  <c r="AV313" i="61"/>
  <c r="AH313" i="61"/>
  <c r="BH297" i="61"/>
  <c r="T297" i="61"/>
  <c r="AD297" i="61"/>
  <c r="X297" i="61"/>
  <c r="BD297" i="61"/>
  <c r="T289" i="61"/>
  <c r="AD289" i="61"/>
  <c r="L289" i="61"/>
  <c r="X289" i="61"/>
  <c r="T281" i="61"/>
  <c r="BH281" i="61"/>
  <c r="AP281" i="61"/>
  <c r="BD281" i="61"/>
  <c r="AV281" i="61"/>
  <c r="L62" i="55"/>
  <c r="T62" i="55"/>
  <c r="AH62" i="55"/>
  <c r="BH62" i="55"/>
  <c r="AD72" i="55"/>
  <c r="X72" i="55"/>
  <c r="P82" i="55"/>
  <c r="AL82" i="55"/>
  <c r="T158" i="55"/>
  <c r="AL162" i="55"/>
  <c r="BD154" i="55"/>
  <c r="BD146" i="55"/>
  <c r="P210" i="62"/>
  <c r="T206" i="62"/>
  <c r="L206" i="62"/>
  <c r="AL119" i="61"/>
  <c r="AL115" i="61"/>
  <c r="P158" i="55"/>
  <c r="AV82" i="55"/>
  <c r="AD162" i="55"/>
  <c r="L162" i="55"/>
  <c r="L154" i="55"/>
  <c r="L142" i="55"/>
  <c r="L138" i="55"/>
  <c r="L134" i="55"/>
  <c r="L130" i="55"/>
  <c r="AH126" i="55"/>
  <c r="X126" i="55"/>
  <c r="L122" i="55"/>
  <c r="L118" i="55"/>
  <c r="AH110" i="55"/>
  <c r="X110" i="55"/>
  <c r="AD106" i="55"/>
  <c r="AD102" i="55"/>
  <c r="L98" i="55"/>
  <c r="L94" i="55"/>
  <c r="X90" i="55"/>
  <c r="AD146" i="55"/>
  <c r="AZ134" i="55"/>
  <c r="AZ130" i="55"/>
  <c r="AP126" i="55"/>
  <c r="AZ122" i="55"/>
  <c r="AV118" i="55"/>
  <c r="AV114" i="55"/>
  <c r="AZ110" i="55"/>
  <c r="AZ102" i="55"/>
  <c r="AV90" i="55"/>
  <c r="AV162" i="55"/>
  <c r="AV142" i="55"/>
  <c r="BH138" i="55"/>
  <c r="BH102" i="55"/>
  <c r="BH98" i="55"/>
  <c r="BH94" i="55"/>
  <c r="AL56" i="55"/>
  <c r="T56" i="55"/>
  <c r="AP52" i="55"/>
  <c r="AZ48" i="55"/>
  <c r="T48" i="55"/>
  <c r="BD44" i="55"/>
  <c r="AD44" i="55"/>
  <c r="BD40" i="55"/>
  <c r="AP40" i="55"/>
  <c r="AD40" i="55"/>
  <c r="T40" i="55"/>
  <c r="AZ36" i="55"/>
  <c r="AV32" i="55"/>
  <c r="AL28" i="55"/>
  <c r="L28" i="55"/>
  <c r="AZ20" i="55"/>
  <c r="X20" i="55"/>
  <c r="BD16" i="55"/>
  <c r="AV16" i="55"/>
  <c r="AH16" i="55"/>
  <c r="L16" i="55"/>
  <c r="AH12" i="55"/>
  <c r="L12" i="55"/>
  <c r="BH8" i="55"/>
  <c r="AH8" i="55"/>
  <c r="BD4" i="55"/>
  <c r="AD4" i="55"/>
  <c r="Q115" i="61"/>
  <c r="L117" i="61"/>
  <c r="AH281" i="61"/>
  <c r="AL297" i="61"/>
  <c r="X313" i="61"/>
  <c r="BD350" i="61"/>
  <c r="AV305" i="61"/>
  <c r="X305" i="61"/>
  <c r="AH305" i="61"/>
  <c r="T293" i="61"/>
  <c r="L293" i="61"/>
  <c r="AD293" i="61"/>
  <c r="L285" i="61"/>
  <c r="X285" i="61"/>
  <c r="AV273" i="61"/>
  <c r="X273" i="61"/>
  <c r="BD273" i="61"/>
  <c r="L273" i="61"/>
  <c r="AP273" i="61"/>
  <c r="T273" i="61"/>
  <c r="AZ62" i="55"/>
  <c r="BD74" i="55"/>
  <c r="AZ72" i="55"/>
  <c r="AH82" i="55"/>
  <c r="T162" i="55"/>
  <c r="T150" i="55"/>
  <c r="T142" i="55"/>
  <c r="T138" i="55"/>
  <c r="T134" i="55"/>
  <c r="T130" i="55"/>
  <c r="T126" i="55"/>
  <c r="T122" i="55"/>
  <c r="T118" i="55"/>
  <c r="T114" i="55"/>
  <c r="T110" i="55"/>
  <c r="T106" i="55"/>
  <c r="T102" i="55"/>
  <c r="T94" i="55"/>
  <c r="T90" i="55"/>
  <c r="BD158" i="55"/>
  <c r="X162" i="55"/>
  <c r="AP154" i="55"/>
  <c r="AP150" i="55"/>
  <c r="Y4" i="55"/>
  <c r="AV146" i="55"/>
  <c r="AP146" i="55"/>
  <c r="BH142" i="55"/>
  <c r="BD82" i="55"/>
  <c r="BH82" i="55"/>
  <c r="AD126" i="55"/>
  <c r="AH114" i="55"/>
  <c r="X114" i="55"/>
  <c r="AD110" i="55"/>
  <c r="AH90" i="55"/>
  <c r="AZ138" i="55"/>
  <c r="AV134" i="55"/>
  <c r="AV130" i="55"/>
  <c r="AV122" i="55"/>
  <c r="AP118" i="55"/>
  <c r="AP114" i="55"/>
  <c r="AV110" i="55"/>
  <c r="AZ106" i="55"/>
  <c r="AV102" i="55"/>
  <c r="AZ98" i="55"/>
  <c r="AZ94" i="55"/>
  <c r="AP90" i="55"/>
  <c r="BH134" i="55"/>
  <c r="BH130" i="55"/>
  <c r="BH122" i="55"/>
  <c r="AZ56" i="55"/>
  <c r="X56" i="55"/>
  <c r="AD56" i="55"/>
  <c r="X52" i="55"/>
  <c r="AD52" i="55"/>
  <c r="P40" i="55"/>
  <c r="L36" i="55"/>
  <c r="BD32" i="55"/>
  <c r="AD32" i="55"/>
  <c r="T32" i="55"/>
  <c r="AZ28" i="55"/>
  <c r="BH24" i="55"/>
  <c r="AP24" i="55"/>
  <c r="AD24" i="55"/>
  <c r="L20" i="55"/>
  <c r="BH16" i="55"/>
  <c r="T16" i="55"/>
  <c r="AP8" i="55"/>
  <c r="AD8" i="55"/>
  <c r="L8" i="55"/>
  <c r="P4" i="55"/>
  <c r="L49" i="55"/>
  <c r="L21" i="55"/>
  <c r="L13" i="55"/>
  <c r="P9" i="55"/>
  <c r="L5" i="55"/>
  <c r="BH117" i="61"/>
  <c r="L188" i="61"/>
  <c r="L180" i="61"/>
  <c r="P176" i="61"/>
  <c r="L168" i="61"/>
  <c r="L160" i="61"/>
  <c r="AP160" i="61"/>
  <c r="P156" i="61"/>
  <c r="L144" i="61"/>
  <c r="BH144" i="61"/>
  <c r="AP140" i="61"/>
  <c r="L140" i="61"/>
  <c r="P136" i="61"/>
  <c r="L124" i="61"/>
  <c r="AV124" i="61"/>
  <c r="AV285" i="61"/>
  <c r="L297" i="61"/>
  <c r="X317" i="61"/>
  <c r="BD354" i="61"/>
  <c r="AH190" i="61"/>
  <c r="X188" i="61"/>
  <c r="AH186" i="61"/>
  <c r="X184" i="61"/>
  <c r="X180" i="61"/>
  <c r="X176" i="61"/>
  <c r="AH174" i="61"/>
  <c r="AH170" i="61"/>
  <c r="X168" i="61"/>
  <c r="AH166" i="61"/>
  <c r="X164" i="61"/>
  <c r="AH162" i="61"/>
  <c r="X156" i="61"/>
  <c r="AH154" i="61"/>
  <c r="AH150" i="61"/>
  <c r="AH146" i="61"/>
  <c r="X144" i="61"/>
  <c r="X140" i="61"/>
  <c r="AH138" i="61"/>
  <c r="X136" i="61"/>
  <c r="AH134" i="61"/>
  <c r="X312" i="62"/>
  <c r="AP312" i="62"/>
  <c r="T312" i="62"/>
  <c r="L312" i="62"/>
  <c r="P312" i="62"/>
  <c r="AZ312" i="62"/>
  <c r="AP308" i="62"/>
  <c r="T308" i="62"/>
  <c r="X308" i="62"/>
  <c r="P308" i="62"/>
  <c r="L308" i="62"/>
  <c r="BH308" i="62"/>
  <c r="BD304" i="62"/>
  <c r="X304" i="62"/>
  <c r="BH304" i="62"/>
  <c r="P304" i="62"/>
  <c r="L304" i="62"/>
  <c r="T304" i="62"/>
  <c r="L300" i="62"/>
  <c r="BD300" i="62"/>
  <c r="P300" i="62"/>
  <c r="T300" i="62"/>
  <c r="X300" i="62"/>
  <c r="AZ318" i="62"/>
  <c r="T318" i="62"/>
  <c r="AD318" i="62"/>
  <c r="AV318" i="62"/>
  <c r="BD319" i="62"/>
  <c r="L319" i="62"/>
  <c r="AD319" i="62"/>
  <c r="T319" i="62"/>
  <c r="AV319" i="62"/>
  <c r="P319" i="62"/>
  <c r="AP319" i="62"/>
  <c r="X319" i="62"/>
  <c r="AH318" i="62"/>
  <c r="AP304" i="62"/>
  <c r="AP300" i="62"/>
  <c r="BH319" i="62"/>
  <c r="AH395" i="62"/>
  <c r="AZ53" i="55"/>
  <c r="T53" i="55"/>
  <c r="AL52" i="55"/>
  <c r="T52" i="55"/>
  <c r="AP51" i="55"/>
  <c r="AD51" i="55"/>
  <c r="BD49" i="55"/>
  <c r="AP49" i="55"/>
  <c r="BH48" i="55"/>
  <c r="AV48" i="55"/>
  <c r="AH48" i="55"/>
  <c r="X48" i="55"/>
  <c r="AZ47" i="55"/>
  <c r="T47" i="55"/>
  <c r="BD45" i="55"/>
  <c r="AP45" i="55"/>
  <c r="AD45" i="55"/>
  <c r="BH44" i="55"/>
  <c r="AV44" i="55"/>
  <c r="AH44" i="55"/>
  <c r="X44" i="55"/>
  <c r="BD43" i="55"/>
  <c r="AP43" i="55"/>
  <c r="AD43" i="55"/>
  <c r="T41" i="55"/>
  <c r="T39" i="55"/>
  <c r="BD37" i="55"/>
  <c r="AP37" i="55"/>
  <c r="AD37" i="55"/>
  <c r="BH36" i="55"/>
  <c r="AZ35" i="55"/>
  <c r="T35" i="55"/>
  <c r="T33" i="55"/>
  <c r="AL32" i="55"/>
  <c r="AZ31" i="55"/>
  <c r="T31" i="55"/>
  <c r="BD29" i="55"/>
  <c r="AP29" i="55"/>
  <c r="AD29" i="55"/>
  <c r="AV28" i="55"/>
  <c r="X28" i="55"/>
  <c r="AP27" i="55"/>
  <c r="AD27" i="55"/>
  <c r="BD24" i="55"/>
  <c r="AV24" i="55"/>
  <c r="AZ23" i="55"/>
  <c r="AP21" i="55"/>
  <c r="BH20" i="55"/>
  <c r="AV20" i="55"/>
  <c r="AH20" i="55"/>
  <c r="BH19" i="55"/>
  <c r="AV19" i="55"/>
  <c r="AH19" i="55"/>
  <c r="AH17" i="55"/>
  <c r="X17" i="55"/>
  <c r="AZ16" i="55"/>
  <c r="X16" i="55"/>
  <c r="AH15" i="55"/>
  <c r="X15" i="55"/>
  <c r="AL13" i="55"/>
  <c r="T12" i="55"/>
  <c r="BD9" i="55"/>
  <c r="AP9" i="55"/>
  <c r="T9" i="55"/>
  <c r="T8" i="55"/>
  <c r="AL5" i="55"/>
  <c r="T5" i="55"/>
  <c r="T4" i="55"/>
  <c r="G406" i="35"/>
  <c r="BH171" i="61"/>
  <c r="AD127" i="61"/>
  <c r="AL255" i="61"/>
  <c r="L219" i="61"/>
  <c r="BH234" i="61"/>
  <c r="AP286" i="61"/>
  <c r="P286" i="61"/>
  <c r="T290" i="61"/>
  <c r="L298" i="61"/>
  <c r="BD274" i="61"/>
  <c r="T282" i="61"/>
  <c r="AV294" i="61"/>
  <c r="X100" i="61"/>
  <c r="AI99" i="61"/>
  <c r="AH199" i="61"/>
  <c r="X197" i="61"/>
  <c r="AH195" i="61"/>
  <c r="AD194" i="61"/>
  <c r="AH187" i="61"/>
  <c r="AD186" i="61"/>
  <c r="X185" i="61"/>
  <c r="AD182" i="61"/>
  <c r="X181" i="61"/>
  <c r="AH179" i="61"/>
  <c r="X177" i="61"/>
  <c r="AH175" i="61"/>
  <c r="AD174" i="61"/>
  <c r="X173" i="61"/>
  <c r="AH171" i="61"/>
  <c r="AD170" i="61"/>
  <c r="AD166" i="61"/>
  <c r="X165" i="61"/>
  <c r="AD162" i="61"/>
  <c r="AH159" i="61"/>
  <c r="AD158" i="61"/>
  <c r="AH155" i="61"/>
  <c r="AD154" i="61"/>
  <c r="X149" i="61"/>
  <c r="X145" i="61"/>
  <c r="X141" i="61"/>
  <c r="AH139" i="61"/>
  <c r="AD138" i="61"/>
  <c r="AD134" i="61"/>
  <c r="AH131" i="61"/>
  <c r="AD130" i="61"/>
  <c r="X129" i="61"/>
  <c r="AH127" i="61"/>
  <c r="AD122" i="61"/>
  <c r="X121" i="61"/>
  <c r="AH119" i="61"/>
  <c r="AD118" i="61"/>
  <c r="X117" i="61"/>
  <c r="AH115" i="61"/>
  <c r="AD114" i="61"/>
  <c r="X113" i="61"/>
  <c r="AH111" i="61"/>
  <c r="AD110" i="61"/>
  <c r="AV198" i="61"/>
  <c r="AP197" i="61"/>
  <c r="AZ195" i="61"/>
  <c r="AZ191" i="61"/>
  <c r="AV190" i="61"/>
  <c r="AV186" i="61"/>
  <c r="AP185" i="61"/>
  <c r="AZ183" i="61"/>
  <c r="AV182" i="61"/>
  <c r="AP181" i="61"/>
  <c r="AP177" i="61"/>
  <c r="AZ175" i="61"/>
  <c r="AV174" i="61"/>
  <c r="AP173" i="61"/>
  <c r="AZ171" i="61"/>
  <c r="AZ167" i="61"/>
  <c r="AV166" i="61"/>
  <c r="AV162" i="61"/>
  <c r="AP161" i="61"/>
  <c r="AZ159" i="61"/>
  <c r="AP157" i="61"/>
  <c r="AV154" i="61"/>
  <c r="AP153" i="61"/>
  <c r="AV150" i="61"/>
  <c r="AP149" i="61"/>
  <c r="AZ147" i="61"/>
  <c r="AV146" i="61"/>
  <c r="AZ143" i="61"/>
  <c r="AP141" i="61"/>
  <c r="AV138" i="61"/>
  <c r="AZ135" i="61"/>
  <c r="AV134" i="61"/>
  <c r="AP133" i="61"/>
  <c r="AZ131" i="61"/>
  <c r="AP129" i="61"/>
  <c r="AP125" i="61"/>
  <c r="AV122" i="61"/>
  <c r="BH189" i="61"/>
  <c r="BH185" i="61"/>
  <c r="BH177" i="61"/>
  <c r="BH165" i="61"/>
  <c r="AL210" i="61"/>
  <c r="AV208" i="61"/>
  <c r="X233" i="61"/>
  <c r="AH222" i="61"/>
  <c r="AD221" i="61"/>
  <c r="AH218" i="61"/>
  <c r="AD217" i="61"/>
  <c r="AH216" i="61"/>
  <c r="AL215" i="61"/>
  <c r="AZ234" i="61"/>
  <c r="AZ223" i="61"/>
  <c r="AL221" i="61"/>
  <c r="AV220" i="61"/>
  <c r="AL217" i="61"/>
  <c r="AV216" i="61"/>
  <c r="BD215" i="61"/>
  <c r="BH233" i="61"/>
  <c r="BD223" i="61"/>
  <c r="BH218" i="61"/>
  <c r="AL238" i="61"/>
  <c r="P241" i="58"/>
  <c r="F199" i="35"/>
  <c r="F285" i="35"/>
  <c r="F373" i="35"/>
  <c r="P236" i="58"/>
  <c r="P255" i="58"/>
  <c r="X150" i="62"/>
  <c r="AZ290" i="61"/>
  <c r="P290" i="61"/>
  <c r="P294" i="61"/>
  <c r="T104" i="61"/>
  <c r="T100" i="61"/>
  <c r="AH104" i="61"/>
  <c r="AH100" i="61"/>
  <c r="BD104" i="61"/>
  <c r="BD100" i="61"/>
  <c r="AH200" i="61"/>
  <c r="AD199" i="61"/>
  <c r="AD195" i="61"/>
  <c r="AD191" i="61"/>
  <c r="AH188" i="61"/>
  <c r="X186" i="61"/>
  <c r="AD183" i="61"/>
  <c r="AH180" i="61"/>
  <c r="AD179" i="61"/>
  <c r="AD171" i="61"/>
  <c r="AH168" i="61"/>
  <c r="AD167" i="61"/>
  <c r="X166" i="61"/>
  <c r="AD159" i="61"/>
  <c r="AH156" i="61"/>
  <c r="AD155" i="61"/>
  <c r="X154" i="61"/>
  <c r="X150" i="61"/>
  <c r="AH148" i="61"/>
  <c r="AH144" i="61"/>
  <c r="AD143" i="61"/>
  <c r="AH140" i="61"/>
  <c r="X138" i="61"/>
  <c r="AH136" i="61"/>
  <c r="X134" i="61"/>
  <c r="AH132" i="61"/>
  <c r="AH128" i="61"/>
  <c r="AH124" i="61"/>
  <c r="AD119" i="61"/>
  <c r="AH116" i="61"/>
  <c r="AD115" i="61"/>
  <c r="AH112" i="61"/>
  <c r="AD111" i="61"/>
  <c r="AZ200" i="61"/>
  <c r="AV199" i="61"/>
  <c r="AP198" i="61"/>
  <c r="AV195" i="61"/>
  <c r="AP194" i="61"/>
  <c r="AZ188" i="61"/>
  <c r="AV187" i="61"/>
  <c r="AP186" i="61"/>
  <c r="AV183" i="61"/>
  <c r="AZ180" i="61"/>
  <c r="AZ176" i="61"/>
  <c r="AP174" i="61"/>
  <c r="AV171" i="61"/>
  <c r="AZ168" i="61"/>
  <c r="AP166" i="61"/>
  <c r="AV159" i="61"/>
  <c r="AZ156" i="61"/>
  <c r="AV155" i="61"/>
  <c r="AP154" i="61"/>
  <c r="AV151" i="61"/>
  <c r="AP150" i="61"/>
  <c r="AZ144" i="61"/>
  <c r="AV143" i="61"/>
  <c r="AP138" i="61"/>
  <c r="AZ136" i="61"/>
  <c r="AV135" i="61"/>
  <c r="AP134" i="61"/>
  <c r="AV131" i="61"/>
  <c r="AZ124" i="61"/>
  <c r="AP122" i="61"/>
  <c r="AV119" i="61"/>
  <c r="AZ116" i="61"/>
  <c r="AV115" i="61"/>
  <c r="AZ112" i="61"/>
  <c r="AP110" i="61"/>
  <c r="BH190" i="61"/>
  <c r="BH186" i="61"/>
  <c r="BH182" i="61"/>
  <c r="BH174" i="61"/>
  <c r="BH170" i="61"/>
  <c r="BH166" i="61"/>
  <c r="BH158" i="61"/>
  <c r="BH154" i="61"/>
  <c r="BH134" i="61"/>
  <c r="BH130" i="61"/>
  <c r="BH122" i="61"/>
  <c r="BH114" i="61"/>
  <c r="BH110" i="61"/>
  <c r="AP208" i="61"/>
  <c r="BH208" i="61"/>
  <c r="AD215" i="61"/>
  <c r="T234" i="61"/>
  <c r="T233" i="61"/>
  <c r="X223" i="61"/>
  <c r="T221" i="61"/>
  <c r="T220" i="61"/>
  <c r="AH219" i="61"/>
  <c r="AD218" i="61"/>
  <c r="T217" i="61"/>
  <c r="AD216" i="61"/>
  <c r="AV234" i="61"/>
  <c r="AZ233" i="61"/>
  <c r="AV223" i="61"/>
  <c r="AZ222" i="61"/>
  <c r="AV219" i="61"/>
  <c r="AZ218" i="61"/>
  <c r="AV217" i="61"/>
  <c r="AP216" i="61"/>
  <c r="BD222" i="61"/>
  <c r="BH221" i="61"/>
  <c r="BD218" i="61"/>
  <c r="BD238" i="61"/>
  <c r="BD266" i="61"/>
  <c r="P262" i="58"/>
  <c r="P252" i="58"/>
  <c r="P272" i="58"/>
  <c r="F30" i="35"/>
  <c r="P249" i="58"/>
  <c r="X103" i="61"/>
  <c r="X99" i="61"/>
  <c r="AP103" i="61"/>
  <c r="AP99" i="61"/>
  <c r="AZ100" i="61"/>
  <c r="AD200" i="61"/>
  <c r="AH197" i="61"/>
  <c r="AD196" i="61"/>
  <c r="X191" i="61"/>
  <c r="AD188" i="61"/>
  <c r="X187" i="61"/>
  <c r="AH185" i="61"/>
  <c r="AD184" i="61"/>
  <c r="X183" i="61"/>
  <c r="AD180" i="61"/>
  <c r="AH177" i="61"/>
  <c r="X175" i="61"/>
  <c r="AH173" i="61"/>
  <c r="X171" i="61"/>
  <c r="AD168" i="61"/>
  <c r="X167" i="61"/>
  <c r="AH165" i="61"/>
  <c r="AD164" i="61"/>
  <c r="AH161" i="61"/>
  <c r="X159" i="61"/>
  <c r="AD156" i="61"/>
  <c r="AH153" i="61"/>
  <c r="AD152" i="61"/>
  <c r="AH149" i="61"/>
  <c r="AD144" i="61"/>
  <c r="AH141" i="61"/>
  <c r="X139" i="61"/>
  <c r="AD136" i="61"/>
  <c r="X135" i="61"/>
  <c r="X131" i="61"/>
  <c r="AH129" i="61"/>
  <c r="P146" i="62"/>
  <c r="X146" i="62"/>
  <c r="T146" i="62"/>
  <c r="BH146" i="62"/>
  <c r="AL142" i="62"/>
  <c r="X142" i="62"/>
  <c r="T142" i="62"/>
  <c r="X138" i="62"/>
  <c r="BH138" i="62"/>
  <c r="T130" i="62"/>
  <c r="X130" i="62"/>
  <c r="BH130" i="62"/>
  <c r="BH126" i="62"/>
  <c r="AZ126" i="62"/>
  <c r="L126" i="62"/>
  <c r="AZ123" i="62"/>
  <c r="AL123" i="62"/>
  <c r="AZ211" i="62"/>
  <c r="AL210" i="62"/>
  <c r="AP209" i="62"/>
  <c r="AV208" i="62"/>
  <c r="AH197" i="62"/>
  <c r="AH193" i="62"/>
  <c r="AH189" i="62"/>
  <c r="AH185" i="62"/>
  <c r="AH177" i="62"/>
  <c r="AD167" i="62"/>
  <c r="AD163" i="62"/>
  <c r="AD155" i="62"/>
  <c r="AD151" i="62"/>
  <c r="AH146" i="62"/>
  <c r="AH142" i="62"/>
  <c r="AH138" i="62"/>
  <c r="AH130" i="62"/>
  <c r="AH126" i="62"/>
  <c r="AH123" i="62"/>
  <c r="AL118" i="62"/>
  <c r="AL114" i="62"/>
  <c r="BH210" i="62"/>
  <c r="BH206" i="62"/>
  <c r="BD197" i="62"/>
  <c r="BD193" i="62"/>
  <c r="BD189" i="62"/>
  <c r="BD185" i="62"/>
  <c r="BD181" i="62"/>
  <c r="BD177" i="62"/>
  <c r="AZ171" i="62"/>
  <c r="AZ167" i="62"/>
  <c r="AZ163" i="62"/>
  <c r="AZ151" i="62"/>
  <c r="BD150" i="62"/>
  <c r="BD146" i="62"/>
  <c r="BD142" i="62"/>
  <c r="BD138" i="62"/>
  <c r="BD134" i="62"/>
  <c r="BD130" i="62"/>
  <c r="BD126" i="62"/>
  <c r="BD123" i="62"/>
  <c r="BH118" i="62"/>
  <c r="BH114" i="62"/>
  <c r="X127" i="61"/>
  <c r="AD124" i="61"/>
  <c r="X119" i="61"/>
  <c r="AD116" i="61"/>
  <c r="AH113" i="61"/>
  <c r="AV200" i="61"/>
  <c r="AZ197" i="61"/>
  <c r="AV196" i="61"/>
  <c r="AP195" i="61"/>
  <c r="AV188" i="61"/>
  <c r="AZ185" i="61"/>
  <c r="AP183" i="61"/>
  <c r="AZ181" i="61"/>
  <c r="AV180" i="61"/>
  <c r="AP179" i="61"/>
  <c r="AZ177" i="61"/>
  <c r="AP175" i="61"/>
  <c r="AV172" i="61"/>
  <c r="AP171" i="61"/>
  <c r="AV168" i="61"/>
  <c r="AV164" i="61"/>
  <c r="AZ161" i="61"/>
  <c r="AV160" i="61"/>
  <c r="AP159" i="61"/>
  <c r="AZ157" i="61"/>
  <c r="AV156" i="61"/>
  <c r="AZ153" i="61"/>
  <c r="AV152" i="61"/>
  <c r="AZ149" i="61"/>
  <c r="AZ141" i="61"/>
  <c r="AV136" i="61"/>
  <c r="AZ133" i="61"/>
  <c r="AV132" i="61"/>
  <c r="AP131" i="61"/>
  <c r="AP127" i="61"/>
  <c r="AZ121" i="61"/>
  <c r="AV120" i="61"/>
  <c r="AP119" i="61"/>
  <c r="AV116" i="61"/>
  <c r="AP115" i="61"/>
  <c r="AZ113" i="61"/>
  <c r="AP111" i="61"/>
  <c r="BH191" i="61"/>
  <c r="BH179" i="61"/>
  <c r="BH155" i="61"/>
  <c r="BH131" i="61"/>
  <c r="BH115" i="61"/>
  <c r="BD208" i="61"/>
  <c r="T215" i="61"/>
  <c r="AH215" i="61"/>
  <c r="X222" i="61"/>
  <c r="X221" i="61"/>
  <c r="AH220" i="61"/>
  <c r="X218" i="61"/>
  <c r="X217" i="61"/>
  <c r="X216" i="61"/>
  <c r="AV215" i="61"/>
  <c r="AV233" i="61"/>
  <c r="AV222" i="61"/>
  <c r="AL220" i="61"/>
  <c r="AP219" i="61"/>
  <c r="AV218" i="61"/>
  <c r="AZ217" i="61"/>
  <c r="AL216" i="61"/>
  <c r="BH215" i="61"/>
  <c r="BD221" i="61"/>
  <c r="BH220" i="61"/>
  <c r="BD217" i="61"/>
  <c r="BH216" i="61"/>
  <c r="AZ260" i="61"/>
  <c r="BH238" i="61"/>
  <c r="BD265" i="61"/>
  <c r="BH264" i="61"/>
  <c r="BH260" i="61"/>
  <c r="T637" i="35"/>
  <c r="X185" i="62"/>
  <c r="T197" i="62"/>
  <c r="AD94" i="62"/>
  <c r="AD10" i="62"/>
  <c r="AP109" i="62"/>
  <c r="AP105" i="62"/>
  <c r="AL98" i="62"/>
  <c r="AL94" i="62"/>
  <c r="AL90" i="62"/>
  <c r="AL86" i="62"/>
  <c r="AL82" i="62"/>
  <c r="AL78" i="62"/>
  <c r="AL74" i="62"/>
  <c r="AL62" i="62"/>
  <c r="AL54" i="62"/>
  <c r="AL50" i="62"/>
  <c r="AL46" i="62"/>
  <c r="AL42" i="62"/>
  <c r="AL38" i="62"/>
  <c r="AL34" i="62"/>
  <c r="AL30" i="62"/>
  <c r="AL26" i="62"/>
  <c r="AL22" i="62"/>
  <c r="AL18" i="62"/>
  <c r="AL10" i="62"/>
  <c r="AL6" i="62"/>
  <c r="P140" i="62"/>
  <c r="AZ140" i="62"/>
  <c r="AH126" i="61"/>
  <c r="X124" i="61"/>
  <c r="AD117" i="61"/>
  <c r="X116" i="61"/>
  <c r="AH114" i="61"/>
  <c r="AD113" i="61"/>
  <c r="X112" i="61"/>
  <c r="AH110" i="61"/>
  <c r="AV201" i="61"/>
  <c r="AP200" i="61"/>
  <c r="AV197" i="61"/>
  <c r="AV193" i="61"/>
  <c r="AP188" i="61"/>
  <c r="AV185" i="61"/>
  <c r="AV181" i="61"/>
  <c r="AP180" i="61"/>
  <c r="AV177" i="61"/>
  <c r="AP176" i="61"/>
  <c r="AZ174" i="61"/>
  <c r="AV173" i="61"/>
  <c r="AZ170" i="61"/>
  <c r="AP168" i="61"/>
  <c r="AZ166" i="61"/>
  <c r="AP164" i="61"/>
  <c r="AZ162" i="61"/>
  <c r="AV161" i="61"/>
  <c r="AV157" i="61"/>
  <c r="AP156" i="61"/>
  <c r="AZ154" i="61"/>
  <c r="AV153" i="61"/>
  <c r="AZ150" i="61"/>
  <c r="AV149" i="61"/>
  <c r="AP144" i="61"/>
  <c r="AZ142" i="61"/>
  <c r="AV141" i="61"/>
  <c r="AV137" i="61"/>
  <c r="AP136" i="61"/>
  <c r="AZ134" i="61"/>
  <c r="AV133" i="61"/>
  <c r="AP132" i="61"/>
  <c r="AV129" i="61"/>
  <c r="AZ126" i="61"/>
  <c r="AP124" i="61"/>
  <c r="AZ122" i="61"/>
  <c r="AV121" i="61"/>
  <c r="AV117" i="61"/>
  <c r="AP116" i="61"/>
  <c r="AZ114" i="61"/>
  <c r="AV113" i="61"/>
  <c r="AP112" i="61"/>
  <c r="AZ110" i="61"/>
  <c r="BH200" i="61"/>
  <c r="BH196" i="61"/>
  <c r="BH192" i="61"/>
  <c r="BH188" i="61"/>
  <c r="BH184" i="61"/>
  <c r="BH180" i="61"/>
  <c r="BH176" i="61"/>
  <c r="BH168" i="61"/>
  <c r="BH160" i="61"/>
  <c r="BH156" i="61"/>
  <c r="BH152" i="61"/>
  <c r="BH136" i="61"/>
  <c r="BH124" i="61"/>
  <c r="BH120" i="61"/>
  <c r="BH116" i="61"/>
  <c r="BH112" i="61"/>
  <c r="AP210" i="61"/>
  <c r="BD211" i="61"/>
  <c r="X215" i="61"/>
  <c r="AH223" i="61"/>
  <c r="T222" i="61"/>
  <c r="X219" i="61"/>
  <c r="T218" i="61"/>
  <c r="T216" i="61"/>
  <c r="AZ215" i="61"/>
  <c r="AL223" i="61"/>
  <c r="AL219" i="61"/>
  <c r="AP218" i="61"/>
  <c r="AZ216" i="61"/>
  <c r="BH219" i="61"/>
  <c r="AZ238" i="61"/>
  <c r="AL266" i="61"/>
  <c r="BD264" i="61"/>
  <c r="BD167" i="62"/>
  <c r="BH193" i="62"/>
  <c r="T153" i="62"/>
  <c r="P153" i="62"/>
  <c r="AP211" i="62"/>
  <c r="AV210" i="62"/>
  <c r="AZ209" i="62"/>
  <c r="AL208" i="62"/>
  <c r="AV206" i="62"/>
  <c r="AP201" i="62"/>
  <c r="AH199" i="62"/>
  <c r="AH195" i="62"/>
  <c r="AH191" i="62"/>
  <c r="AH187" i="62"/>
  <c r="AP185" i="62"/>
  <c r="AH183" i="62"/>
  <c r="AH179" i="62"/>
  <c r="AP177" i="62"/>
  <c r="AH176" i="62"/>
  <c r="AD169" i="62"/>
  <c r="AL163" i="62"/>
  <c r="AD153" i="62"/>
  <c r="AL151" i="62"/>
  <c r="AP146" i="62"/>
  <c r="AP138" i="62"/>
  <c r="AP134" i="62"/>
  <c r="AP130" i="62"/>
  <c r="AP126" i="62"/>
  <c r="AP123" i="62"/>
  <c r="AL120" i="62"/>
  <c r="AL116" i="62"/>
  <c r="AD114" i="62"/>
  <c r="AV197" i="62"/>
  <c r="BD195" i="62"/>
  <c r="AV193" i="62"/>
  <c r="BD191" i="62"/>
  <c r="BD183" i="62"/>
  <c r="AV181" i="62"/>
  <c r="BD179" i="62"/>
  <c r="AV177" i="62"/>
  <c r="BD176" i="62"/>
  <c r="AZ173" i="62"/>
  <c r="BH171" i="62"/>
  <c r="BH167" i="62"/>
  <c r="BH163" i="62"/>
  <c r="BH155" i="62"/>
  <c r="BH151" i="62"/>
  <c r="AV142" i="62"/>
  <c r="AV134" i="62"/>
  <c r="AV126" i="62"/>
  <c r="AV123" i="62"/>
  <c r="BD121" i="62"/>
  <c r="BH120" i="62"/>
  <c r="BH116" i="62"/>
  <c r="AZ114" i="62"/>
  <c r="AD54" i="62"/>
  <c r="AD50" i="62"/>
  <c r="AV107" i="62"/>
  <c r="AV103" i="62"/>
  <c r="AP100" i="62"/>
  <c r="AZ98" i="62"/>
  <c r="AP92" i="62"/>
  <c r="AZ90" i="62"/>
  <c r="AP84" i="62"/>
  <c r="AP76" i="62"/>
  <c r="AZ66" i="62"/>
  <c r="AZ62" i="62"/>
  <c r="AP56" i="62"/>
  <c r="AP52" i="62"/>
  <c r="AP44" i="62"/>
  <c r="AP16" i="62"/>
  <c r="BD107" i="62"/>
  <c r="BD103" i="62"/>
  <c r="BH94" i="62"/>
  <c r="BH50" i="62"/>
  <c r="BH46" i="62"/>
  <c r="BH30" i="62"/>
  <c r="BH26" i="62"/>
  <c r="BH10" i="62"/>
  <c r="AV207" i="62"/>
  <c r="AZ206" i="62"/>
  <c r="AL203" i="62"/>
  <c r="AD201" i="62"/>
  <c r="AH200" i="62"/>
  <c r="AL199" i="62"/>
  <c r="AH196" i="62"/>
  <c r="AD193" i="62"/>
  <c r="AH188" i="62"/>
  <c r="AL187" i="62"/>
  <c r="AD185" i="62"/>
  <c r="AH184" i="62"/>
  <c r="AL183" i="62"/>
  <c r="AD181" i="62"/>
  <c r="AH180" i="62"/>
  <c r="AL179" i="62"/>
  <c r="AD177" i="62"/>
  <c r="AL176" i="62"/>
  <c r="AD174" i="62"/>
  <c r="AD170" i="62"/>
  <c r="AH169" i="62"/>
  <c r="AP167" i="62"/>
  <c r="AD166" i="62"/>
  <c r="AP163" i="62"/>
  <c r="AD162" i="62"/>
  <c r="AP155" i="62"/>
  <c r="AH153" i="62"/>
  <c r="AP151" i="62"/>
  <c r="AL148" i="62"/>
  <c r="AP147" i="62"/>
  <c r="AD146" i="62"/>
  <c r="AL144" i="62"/>
  <c r="AP143" i="62"/>
  <c r="AD142" i="62"/>
  <c r="AP139" i="62"/>
  <c r="AL136" i="62"/>
  <c r="AP135" i="62"/>
  <c r="AD134" i="62"/>
  <c r="AL132" i="62"/>
  <c r="AP131" i="62"/>
  <c r="AL128" i="62"/>
  <c r="AP127" i="62"/>
  <c r="AD126" i="62"/>
  <c r="AL125" i="62"/>
  <c r="AP120" i="62"/>
  <c r="AL117" i="62"/>
  <c r="AP116" i="62"/>
  <c r="AH114" i="62"/>
  <c r="AV113" i="62"/>
  <c r="BD210" i="62"/>
  <c r="BD206" i="62"/>
  <c r="BH203" i="62"/>
  <c r="BD200" i="62"/>
  <c r="BH199" i="62"/>
  <c r="AZ197" i="62"/>
  <c r="BH195" i="62"/>
  <c r="AZ193" i="62"/>
  <c r="BD192" i="62"/>
  <c r="BD188" i="62"/>
  <c r="BH187" i="62"/>
  <c r="BD184" i="62"/>
  <c r="AZ181" i="62"/>
  <c r="BD180" i="62"/>
  <c r="BH179" i="62"/>
  <c r="BH176" i="62"/>
  <c r="AZ174" i="62"/>
  <c r="BD173" i="62"/>
  <c r="AV171" i="62"/>
  <c r="AZ170" i="62"/>
  <c r="AV167" i="62"/>
  <c r="AZ166" i="62"/>
  <c r="BD165" i="62"/>
  <c r="AV163" i="62"/>
  <c r="AZ162" i="62"/>
  <c r="AV155" i="62"/>
  <c r="AP350" i="62"/>
  <c r="BH350" i="62"/>
  <c r="P350" i="62"/>
  <c r="T342" i="62"/>
  <c r="AD342" i="62"/>
  <c r="L342" i="62"/>
  <c r="P338" i="62"/>
  <c r="P330" i="62"/>
  <c r="L361" i="62"/>
  <c r="L317" i="62"/>
  <c r="X317" i="62"/>
  <c r="AL317" i="62"/>
  <c r="P314" i="62"/>
  <c r="BH310" i="62"/>
  <c r="L310" i="62"/>
  <c r="T306" i="62"/>
  <c r="L306" i="62"/>
  <c r="BH302" i="62"/>
  <c r="X302" i="62"/>
  <c r="P302" i="62"/>
  <c r="BD298" i="62"/>
  <c r="L298" i="62"/>
  <c r="X298" i="62"/>
  <c r="AL321" i="62"/>
  <c r="AD317" i="62"/>
  <c r="AV321" i="62"/>
  <c r="AV317" i="62"/>
  <c r="AP314" i="62"/>
  <c r="AP310" i="62"/>
  <c r="AZ308" i="62"/>
  <c r="AP306" i="62"/>
  <c r="AZ304" i="62"/>
  <c r="AP302" i="62"/>
  <c r="AZ300" i="62"/>
  <c r="AP298" i="62"/>
  <c r="BH321" i="62"/>
  <c r="BH317" i="62"/>
  <c r="BD314" i="62"/>
  <c r="BD306" i="62"/>
  <c r="AH100" i="62"/>
  <c r="AH60" i="62"/>
  <c r="AI56" i="62"/>
  <c r="AD38" i="62"/>
  <c r="AD24" i="62"/>
  <c r="AL107" i="62"/>
  <c r="AL103" i="62"/>
  <c r="AZ100" i="62"/>
  <c r="AP94" i="62"/>
  <c r="AP90" i="62"/>
  <c r="AZ52" i="62"/>
  <c r="AP50" i="62"/>
  <c r="AZ48" i="62"/>
  <c r="AZ44" i="62"/>
  <c r="AZ40" i="62"/>
  <c r="AZ36" i="62"/>
  <c r="AZ20" i="62"/>
  <c r="AP18" i="62"/>
  <c r="AZ16" i="62"/>
  <c r="AZ12" i="62"/>
  <c r="AP10" i="62"/>
  <c r="AZ8" i="62"/>
  <c r="BD109" i="62"/>
  <c r="BH96" i="62"/>
  <c r="BH84" i="62"/>
  <c r="BH80" i="62"/>
  <c r="BH76" i="62"/>
  <c r="BH68" i="62"/>
  <c r="BH60" i="62"/>
  <c r="BH56" i="62"/>
  <c r="BH52" i="62"/>
  <c r="BH44" i="62"/>
  <c r="BH40" i="62"/>
  <c r="BH36" i="62"/>
  <c r="BH32" i="62"/>
  <c r="BH28" i="62"/>
  <c r="BH24" i="62"/>
  <c r="BH16" i="62"/>
  <c r="BH12" i="62"/>
  <c r="BH8" i="62"/>
  <c r="BH4" i="62"/>
  <c r="AP113" i="62"/>
  <c r="AL211" i="62"/>
  <c r="AP210" i="62"/>
  <c r="AV209" i="62"/>
  <c r="AL207" i="62"/>
  <c r="AP206" i="62"/>
  <c r="AD203" i="62"/>
  <c r="AH202" i="62"/>
  <c r="AL201" i="62"/>
  <c r="AP200" i="62"/>
  <c r="AD199" i="62"/>
  <c r="AP196" i="62"/>
  <c r="AH194" i="62"/>
  <c r="AL193" i="62"/>
  <c r="AP192" i="62"/>
  <c r="AD191" i="62"/>
  <c r="AH190" i="62"/>
  <c r="AL189" i="62"/>
  <c r="AP188" i="62"/>
  <c r="AD187" i="62"/>
  <c r="AH186" i="62"/>
  <c r="AL185" i="62"/>
  <c r="AP184" i="62"/>
  <c r="AD183" i="62"/>
  <c r="AL181" i="62"/>
  <c r="AP180" i="62"/>
  <c r="AL177" i="62"/>
  <c r="AD176" i="62"/>
  <c r="AH175" i="62"/>
  <c r="AL174" i="62"/>
  <c r="AH171" i="62"/>
  <c r="AL170" i="62"/>
  <c r="AP169" i="62"/>
  <c r="AD168" i="62"/>
  <c r="AL166" i="62"/>
  <c r="AH163" i="62"/>
  <c r="AD156" i="62"/>
  <c r="AH155" i="62"/>
  <c r="AL154" i="62"/>
  <c r="AD152" i="62"/>
  <c r="AP149" i="62"/>
  <c r="AD148" i="62"/>
  <c r="AH147" i="62"/>
  <c r="AL146" i="62"/>
  <c r="AD144" i="62"/>
  <c r="AP141" i="62"/>
  <c r="AL138" i="62"/>
  <c r="AP137" i="62"/>
  <c r="AH135" i="62"/>
  <c r="AL134" i="62"/>
  <c r="AH131" i="62"/>
  <c r="AP129" i="62"/>
  <c r="AD128" i="62"/>
  <c r="AL126" i="62"/>
  <c r="AL119" i="62"/>
  <c r="BD113" i="62"/>
  <c r="AZ203" i="62"/>
  <c r="AV200" i="62"/>
  <c r="AZ199" i="62"/>
  <c r="BH197" i="62"/>
  <c r="BD194" i="62"/>
  <c r="BD190" i="62"/>
  <c r="AV188" i="62"/>
  <c r="AZ183" i="62"/>
  <c r="BD182" i="62"/>
  <c r="BD178" i="62"/>
  <c r="BH177" i="62"/>
  <c r="P317" i="62"/>
  <c r="P321" i="62"/>
  <c r="P298" i="62"/>
  <c r="BD302" i="62"/>
  <c r="X310" i="62"/>
  <c r="AV169" i="62"/>
  <c r="AL352" i="62"/>
  <c r="BD340" i="62"/>
  <c r="AV332" i="62"/>
  <c r="AH309" i="62"/>
  <c r="AH307" i="62"/>
  <c r="AP321" i="62"/>
  <c r="AZ319" i="62"/>
  <c r="AP317" i="62"/>
  <c r="AP313" i="62"/>
  <c r="AV312" i="62"/>
  <c r="AP309" i="62"/>
  <c r="AV308" i="62"/>
  <c r="AZ307" i="62"/>
  <c r="AL306" i="62"/>
  <c r="AP305" i="62"/>
  <c r="AV304" i="62"/>
  <c r="AZ303" i="62"/>
  <c r="AL302" i="62"/>
  <c r="AP301" i="62"/>
  <c r="AV300" i="62"/>
  <c r="AZ299" i="62"/>
  <c r="AL298" i="62"/>
  <c r="AP297" i="62"/>
  <c r="BD321" i="62"/>
  <c r="BD317" i="62"/>
  <c r="BD313" i="62"/>
  <c r="BH312" i="62"/>
  <c r="T368" i="62"/>
  <c r="AD366" i="62"/>
  <c r="AH361" i="62"/>
  <c r="X361" i="62"/>
  <c r="P359" i="62"/>
  <c r="AD358" i="62"/>
  <c r="P352" i="62"/>
  <c r="P348" i="62"/>
  <c r="T348" i="62"/>
  <c r="AH340" i="62"/>
  <c r="P336" i="62"/>
  <c r="T336" i="62"/>
  <c r="P332" i="62"/>
  <c r="T332" i="62"/>
  <c r="AH330" i="62"/>
  <c r="P328" i="62"/>
  <c r="X328" i="62"/>
  <c r="AL368" i="62"/>
  <c r="AP366" i="62"/>
  <c r="AP363" i="62"/>
  <c r="AV358" i="62"/>
  <c r="AV354" i="62"/>
  <c r="AL348" i="62"/>
  <c r="AV342" i="62"/>
  <c r="AL340" i="62"/>
  <c r="AV338" i="62"/>
  <c r="AL336" i="62"/>
  <c r="AL332" i="62"/>
  <c r="AL328" i="62"/>
  <c r="AP338" i="62"/>
  <c r="AP330" i="62"/>
  <c r="BH361" i="62"/>
  <c r="BD354" i="62"/>
  <c r="BD350" i="62"/>
  <c r="BH342" i="62"/>
  <c r="BH330" i="62"/>
  <c r="X326" i="62"/>
  <c r="P379" i="62"/>
  <c r="L379" i="62"/>
  <c r="AZ154" i="62"/>
  <c r="BD153" i="62"/>
  <c r="BH152" i="62"/>
  <c r="AV151" i="62"/>
  <c r="AZ150" i="62"/>
  <c r="BD149" i="62"/>
  <c r="BH148" i="62"/>
  <c r="AV147" i="62"/>
  <c r="AZ146" i="62"/>
  <c r="BD145" i="62"/>
  <c r="BH144" i="62"/>
  <c r="AV143" i="62"/>
  <c r="BD141" i="62"/>
  <c r="BH140" i="62"/>
  <c r="AZ138" i="62"/>
  <c r="BD137" i="62"/>
  <c r="BH136" i="62"/>
  <c r="AV135" i="62"/>
  <c r="BD133" i="62"/>
  <c r="BH132" i="62"/>
  <c r="AV131" i="62"/>
  <c r="AZ130" i="62"/>
  <c r="BD129" i="62"/>
  <c r="AV124" i="62"/>
  <c r="BD122" i="62"/>
  <c r="AV120" i="62"/>
  <c r="BD118" i="62"/>
  <c r="AV116" i="62"/>
  <c r="BA312" i="62"/>
  <c r="BH332" i="62"/>
  <c r="AZ321" i="62"/>
  <c r="AZ317" i="62"/>
  <c r="AV314" i="62"/>
  <c r="AZ313" i="62"/>
  <c r="AP311" i="62"/>
  <c r="AZ309" i="62"/>
  <c r="AL308" i="62"/>
  <c r="AP307" i="62"/>
  <c r="AV306" i="62"/>
  <c r="AZ305" i="62"/>
  <c r="AL304" i="62"/>
  <c r="AP303" i="62"/>
  <c r="AV302" i="62"/>
  <c r="AZ301" i="62"/>
  <c r="AL300" i="62"/>
  <c r="AP299" i="62"/>
  <c r="AV298" i="62"/>
  <c r="AZ297" i="62"/>
  <c r="BH314" i="62"/>
  <c r="BD311" i="62"/>
  <c r="BH306" i="62"/>
  <c r="BH298" i="62"/>
  <c r="X368" i="62"/>
  <c r="T366" i="62"/>
  <c r="AH363" i="62"/>
  <c r="X363" i="62"/>
  <c r="X358" i="62"/>
  <c r="AD354" i="62"/>
  <c r="T354" i="62"/>
  <c r="X350" i="62"/>
  <c r="X346" i="62"/>
  <c r="AH342" i="62"/>
  <c r="AH338" i="62"/>
  <c r="T338" i="62"/>
  <c r="AD336" i="62"/>
  <c r="AD332" i="62"/>
  <c r="X330" i="62"/>
  <c r="AD328" i="62"/>
  <c r="AV326" i="62"/>
  <c r="AV366" i="62"/>
  <c r="AZ363" i="62"/>
  <c r="AP361" i="62"/>
  <c r="AL358" i="62"/>
  <c r="AV348" i="62"/>
  <c r="AL342" i="62"/>
  <c r="AV340" i="62"/>
  <c r="AL338" i="62"/>
  <c r="AV336" i="62"/>
  <c r="AL330" i="62"/>
  <c r="BH326" i="62"/>
  <c r="BH363" i="62"/>
  <c r="BH352" i="62"/>
  <c r="BD332" i="62"/>
  <c r="X385" i="62"/>
  <c r="X383" i="62"/>
  <c r="AD379" i="62"/>
  <c r="BH389" i="62"/>
  <c r="BH377" i="62"/>
  <c r="T395" i="62"/>
  <c r="X254" i="61"/>
  <c r="X245" i="61"/>
  <c r="X241" i="61"/>
  <c r="AD255" i="61"/>
  <c r="AD251" i="61"/>
  <c r="AH249" i="61"/>
  <c r="AH244" i="61"/>
  <c r="AP246" i="61"/>
  <c r="AP242" i="61"/>
  <c r="AV256" i="61"/>
  <c r="AV248" i="61"/>
  <c r="AV243" i="61"/>
  <c r="X109" i="62"/>
  <c r="AD105" i="62"/>
  <c r="T309" i="62"/>
  <c r="T301" i="62"/>
  <c r="T297" i="62"/>
  <c r="X311" i="62"/>
  <c r="X309" i="62"/>
  <c r="T313" i="62"/>
  <c r="T215" i="62"/>
  <c r="L127" i="62"/>
  <c r="L124" i="62"/>
  <c r="L120" i="62"/>
  <c r="L116" i="62"/>
  <c r="P125" i="62"/>
  <c r="P121" i="62"/>
  <c r="P117" i="62"/>
  <c r="P113" i="62"/>
  <c r="T122" i="62"/>
  <c r="T118" i="62"/>
  <c r="X124" i="62"/>
  <c r="X122" i="62"/>
  <c r="X120" i="62"/>
  <c r="X118" i="62"/>
  <c r="X116" i="62"/>
  <c r="X114" i="62"/>
  <c r="T211" i="62"/>
  <c r="T207" i="62"/>
  <c r="X206" i="62"/>
  <c r="AD209" i="62"/>
  <c r="L199" i="62"/>
  <c r="L191" i="62"/>
  <c r="L187" i="62"/>
  <c r="L183" i="62"/>
  <c r="L179" i="62"/>
  <c r="L176" i="62"/>
  <c r="L172" i="62"/>
  <c r="L164" i="62"/>
  <c r="L156" i="62"/>
  <c r="L148" i="62"/>
  <c r="L144" i="62"/>
  <c r="L140" i="62"/>
  <c r="P200" i="62"/>
  <c r="P196" i="62"/>
  <c r="P192" i="62"/>
  <c r="P184" i="62"/>
  <c r="P180" i="62"/>
  <c r="P173" i="62"/>
  <c r="P169" i="62"/>
  <c r="P165" i="62"/>
  <c r="P149" i="62"/>
  <c r="P145" i="62"/>
  <c r="T201" i="62"/>
  <c r="X395" i="62"/>
  <c r="AV328" i="62"/>
  <c r="BD366" i="62"/>
  <c r="BD361" i="62"/>
  <c r="BD358" i="62"/>
  <c r="AH373" i="62"/>
  <c r="AD391" i="62"/>
  <c r="T383" i="62"/>
  <c r="AD375" i="62"/>
  <c r="AL391" i="62"/>
  <c r="AV390" i="62"/>
  <c r="AL388" i="62"/>
  <c r="AL387" i="62"/>
  <c r="AV386" i="62"/>
  <c r="AL384" i="62"/>
  <c r="AL383" i="62"/>
  <c r="AV382" i="62"/>
  <c r="AL380" i="62"/>
  <c r="AL379" i="62"/>
  <c r="AV378" i="62"/>
  <c r="AL376" i="62"/>
  <c r="AL375" i="62"/>
  <c r="AV374" i="62"/>
  <c r="BD391" i="62"/>
  <c r="BD389" i="62"/>
  <c r="BD387" i="62"/>
  <c r="BD383" i="62"/>
  <c r="BD381" i="62"/>
  <c r="BD379" i="62"/>
  <c r="BD377" i="62"/>
  <c r="BD375" i="62"/>
  <c r="L395" i="62"/>
  <c r="AD395" i="62"/>
  <c r="AD398" i="62"/>
  <c r="BD422" i="62"/>
  <c r="BD420" i="62"/>
  <c r="BD414" i="62"/>
  <c r="AD205" i="61"/>
  <c r="AZ205" i="61"/>
  <c r="AH250" i="61"/>
  <c r="AP249" i="61"/>
  <c r="AP244" i="61"/>
  <c r="BH258" i="61"/>
  <c r="BH254" i="61"/>
  <c r="BH250" i="61"/>
  <c r="BH245" i="61"/>
  <c r="BH241" i="61"/>
  <c r="T107" i="62"/>
  <c r="AH406" i="62"/>
  <c r="AP404" i="62"/>
  <c r="AP400" i="62"/>
  <c r="AP396" i="62"/>
  <c r="BD395" i="62"/>
  <c r="BH422" i="62"/>
  <c r="T159" i="55"/>
  <c r="T151" i="55"/>
  <c r="T147" i="55"/>
  <c r="T143" i="55"/>
  <c r="X157" i="55"/>
  <c r="X153" i="55"/>
  <c r="X149" i="55"/>
  <c r="X145" i="55"/>
  <c r="AD155" i="55"/>
  <c r="AD143" i="55"/>
  <c r="AQ153" i="55"/>
  <c r="AQ149" i="55"/>
  <c r="AQ145" i="55"/>
  <c r="AV155" i="55"/>
  <c r="BD159" i="55"/>
  <c r="BD155" i="55"/>
  <c r="BD151" i="55"/>
  <c r="BD147" i="55"/>
  <c r="BD143" i="55"/>
  <c r="BH157" i="55"/>
  <c r="BH153" i="55"/>
  <c r="BH145" i="55"/>
  <c r="X161" i="55"/>
  <c r="AL161" i="55"/>
  <c r="AV161" i="55"/>
  <c r="BH161" i="55"/>
  <c r="AV205" i="61"/>
  <c r="T321" i="62"/>
  <c r="T307" i="62"/>
  <c r="T303" i="62"/>
  <c r="T315" i="62"/>
  <c r="L215" i="62"/>
  <c r="L122" i="62"/>
  <c r="L114" i="62"/>
  <c r="P126" i="62"/>
  <c r="P123" i="62"/>
  <c r="P119" i="62"/>
  <c r="P115" i="62"/>
  <c r="T127" i="62"/>
  <c r="T124" i="62"/>
  <c r="T120" i="62"/>
  <c r="T116" i="62"/>
  <c r="X126" i="62"/>
  <c r="X125" i="62"/>
  <c r="X123" i="62"/>
  <c r="X121" i="62"/>
  <c r="X119" i="62"/>
  <c r="X117" i="62"/>
  <c r="X115" i="62"/>
  <c r="X113" i="62"/>
  <c r="X208" i="62"/>
  <c r="AD207" i="62"/>
  <c r="L201" i="62"/>
  <c r="L197" i="62"/>
  <c r="L193" i="62"/>
  <c r="L181" i="62"/>
  <c r="L174" i="62"/>
  <c r="L170" i="62"/>
  <c r="L162" i="62"/>
  <c r="L154" i="62"/>
  <c r="L150" i="62"/>
  <c r="L146" i="62"/>
  <c r="L142" i="62"/>
  <c r="L138" i="62"/>
  <c r="L134" i="62"/>
  <c r="L130" i="62"/>
  <c r="P202" i="62"/>
  <c r="P194" i="62"/>
  <c r="P186" i="62"/>
  <c r="P178" i="62"/>
  <c r="P175" i="62"/>
  <c r="P167" i="62"/>
  <c r="P163" i="62"/>
  <c r="P155" i="62"/>
  <c r="P151" i="62"/>
  <c r="P147" i="62"/>
  <c r="P143" i="62"/>
  <c r="P139" i="62"/>
  <c r="P135" i="62"/>
  <c r="P131" i="62"/>
  <c r="T203" i="62"/>
  <c r="T195" i="62"/>
  <c r="T187" i="62"/>
  <c r="T179" i="62"/>
  <c r="T172" i="62"/>
  <c r="T168" i="62"/>
  <c r="T164" i="62"/>
  <c r="AZ404" i="62"/>
  <c r="BH401" i="62"/>
  <c r="BH399" i="62"/>
  <c r="AZ398" i="62"/>
  <c r="BH397" i="62"/>
  <c r="X159" i="55"/>
  <c r="T206" i="61"/>
  <c r="X205" i="61"/>
  <c r="AH207" i="61"/>
  <c r="AH205" i="61"/>
  <c r="AL205" i="61"/>
  <c r="AV207" i="61"/>
  <c r="AL257" i="61"/>
  <c r="AZ259" i="61"/>
  <c r="AZ249" i="61"/>
  <c r="AZ246" i="61"/>
  <c r="AZ242" i="61"/>
  <c r="BH255" i="61"/>
  <c r="BH251" i="61"/>
  <c r="BH246" i="61"/>
  <c r="T108" i="62"/>
  <c r="T104" i="62"/>
  <c r="X108" i="62"/>
  <c r="X104" i="62"/>
  <c r="L202" i="62"/>
  <c r="L155" i="62"/>
  <c r="L151" i="62"/>
  <c r="L143" i="62"/>
  <c r="L139" i="62"/>
  <c r="Q140" i="62"/>
  <c r="Q136" i="62"/>
  <c r="T156" i="62"/>
  <c r="T152" i="62"/>
  <c r="T148" i="62"/>
  <c r="T144" i="62"/>
  <c r="T140" i="62"/>
  <c r="T136" i="62"/>
  <c r="T132" i="62"/>
  <c r="X202" i="62"/>
  <c r="X200" i="62"/>
  <c r="X198" i="62"/>
  <c r="X196" i="62"/>
  <c r="X194" i="62"/>
  <c r="X192" i="62"/>
  <c r="X190" i="62"/>
  <c r="X188" i="62"/>
  <c r="X186" i="62"/>
  <c r="X184" i="62"/>
  <c r="X182" i="62"/>
  <c r="X180" i="62"/>
  <c r="X178" i="62"/>
  <c r="X175" i="62"/>
  <c r="X173" i="62"/>
  <c r="X171" i="62"/>
  <c r="X169" i="62"/>
  <c r="X167" i="62"/>
  <c r="X165" i="62"/>
  <c r="X163" i="62"/>
  <c r="X155" i="62"/>
  <c r="X153" i="62"/>
  <c r="X151" i="62"/>
  <c r="X149" i="62"/>
  <c r="X147" i="62"/>
  <c r="X145" i="62"/>
  <c r="X143" i="62"/>
  <c r="X141" i="62"/>
  <c r="X139" i="62"/>
  <c r="X137" i="62"/>
  <c r="X135" i="62"/>
  <c r="X133" i="62"/>
  <c r="X131" i="62"/>
  <c r="X129" i="62"/>
  <c r="T241" i="61"/>
  <c r="X242" i="61"/>
  <c r="AL259" i="61"/>
  <c r="AL246" i="61"/>
  <c r="AL242" i="61"/>
  <c r="AV257" i="61"/>
  <c r="X321" i="62"/>
  <c r="L128" i="62"/>
  <c r="L125" i="62"/>
  <c r="L121" i="62"/>
  <c r="L117" i="62"/>
  <c r="L113" i="62"/>
  <c r="P122" i="62"/>
  <c r="P118" i="62"/>
  <c r="P114" i="62"/>
  <c r="T126" i="62"/>
  <c r="T123" i="62"/>
  <c r="T119" i="62"/>
  <c r="T208" i="62"/>
  <c r="AD210" i="62"/>
  <c r="AD206" i="62"/>
  <c r="AH210" i="62"/>
  <c r="AH208" i="62"/>
  <c r="AH206" i="62"/>
  <c r="L200" i="62"/>
  <c r="L196" i="62"/>
  <c r="L192" i="62"/>
  <c r="L188" i="62"/>
  <c r="L180" i="62"/>
  <c r="L165" i="62"/>
  <c r="L153" i="62"/>
  <c r="L149" i="62"/>
  <c r="L145" i="62"/>
  <c r="L141" i="62"/>
  <c r="L137" i="62"/>
  <c r="L133" i="62"/>
  <c r="L129" i="62"/>
  <c r="P201" i="62"/>
  <c r="P197" i="62"/>
  <c r="P193" i="62"/>
  <c r="P189" i="62"/>
  <c r="P185" i="62"/>
  <c r="Q181" i="62"/>
  <c r="P177" i="62"/>
  <c r="Q174" i="62"/>
  <c r="P170" i="62"/>
  <c r="Q166" i="62"/>
  <c r="P162" i="62"/>
  <c r="P154" i="62"/>
  <c r="Q150" i="62"/>
  <c r="Q142" i="62"/>
  <c r="P138" i="62"/>
  <c r="P134" i="62"/>
  <c r="Q130" i="62"/>
  <c r="T202" i="62"/>
  <c r="T194" i="62"/>
  <c r="T147" i="62"/>
  <c r="T143" i="62"/>
  <c r="X270" i="61"/>
  <c r="L387" i="61"/>
  <c r="T385" i="61"/>
  <c r="P384" i="61"/>
  <c r="T381" i="61"/>
  <c r="P380" i="61"/>
  <c r="P376" i="61"/>
  <c r="T373" i="61"/>
  <c r="P372" i="61"/>
  <c r="X370" i="61"/>
  <c r="P368" i="61"/>
  <c r="X366" i="61"/>
  <c r="T365" i="61"/>
  <c r="X362" i="61"/>
  <c r="T361" i="61"/>
  <c r="P360" i="61"/>
  <c r="P345" i="61"/>
  <c r="L341" i="61"/>
  <c r="X340" i="61"/>
  <c r="P338" i="61"/>
  <c r="L337" i="61"/>
  <c r="X336" i="61"/>
  <c r="T333" i="61"/>
  <c r="X328" i="61"/>
  <c r="T327" i="61"/>
  <c r="P326" i="61"/>
  <c r="L325" i="61"/>
  <c r="X324" i="61"/>
  <c r="T323" i="61"/>
  <c r="P322" i="61"/>
  <c r="X320" i="61"/>
  <c r="L317" i="61"/>
  <c r="L270" i="61"/>
  <c r="T386" i="61"/>
  <c r="P385" i="61"/>
  <c r="L384" i="61"/>
  <c r="X383" i="61"/>
  <c r="T382" i="61"/>
  <c r="P381" i="61"/>
  <c r="L380" i="61"/>
  <c r="T378" i="61"/>
  <c r="P377" i="61"/>
  <c r="L376" i="61"/>
  <c r="P373" i="61"/>
  <c r="L372" i="61"/>
  <c r="T370" i="61"/>
  <c r="P369" i="61"/>
  <c r="L368" i="61"/>
  <c r="T366" i="61"/>
  <c r="P365" i="61"/>
  <c r="L364" i="61"/>
  <c r="X363" i="61"/>
  <c r="L360" i="61"/>
  <c r="X359" i="61"/>
  <c r="T358" i="61"/>
  <c r="P357" i="61"/>
  <c r="L356" i="61"/>
  <c r="P346" i="61"/>
  <c r="P339" i="61"/>
  <c r="T336" i="61"/>
  <c r="L330" i="61"/>
  <c r="X329" i="61"/>
  <c r="T328" i="61"/>
  <c r="P327" i="61"/>
  <c r="T320" i="61"/>
  <c r="T316" i="61"/>
  <c r="L314" i="61"/>
  <c r="T312" i="61"/>
  <c r="AD355" i="61"/>
  <c r="P386" i="61"/>
  <c r="T383" i="61"/>
  <c r="P382" i="61"/>
  <c r="L381" i="61"/>
  <c r="X380" i="61"/>
  <c r="L377" i="61"/>
  <c r="X376" i="61"/>
  <c r="P374" i="61"/>
  <c r="L373" i="61"/>
  <c r="X372" i="61"/>
  <c r="T371" i="61"/>
  <c r="X368" i="61"/>
  <c r="T367" i="61"/>
  <c r="L365" i="61"/>
  <c r="P362" i="61"/>
  <c r="X360" i="61"/>
  <c r="T359" i="61"/>
  <c r="P340" i="61"/>
  <c r="L339" i="61"/>
  <c r="P336" i="61"/>
  <c r="T329" i="61"/>
  <c r="P328" i="61"/>
  <c r="L323" i="61"/>
  <c r="T270" i="61"/>
  <c r="X385" i="61"/>
  <c r="X381" i="61"/>
  <c r="P379" i="61"/>
  <c r="L378" i="61"/>
  <c r="X377" i="61"/>
  <c r="T376" i="61"/>
  <c r="P375" i="61"/>
  <c r="L374" i="61"/>
  <c r="X373" i="61"/>
  <c r="T372" i="61"/>
  <c r="X369" i="61"/>
  <c r="T368" i="61"/>
  <c r="L366" i="61"/>
  <c r="X365" i="61"/>
  <c r="T364" i="61"/>
  <c r="T360" i="61"/>
  <c r="P359" i="61"/>
  <c r="X357" i="61"/>
  <c r="T356" i="61"/>
  <c r="X346" i="61"/>
  <c r="T345" i="61"/>
  <c r="P341" i="61"/>
  <c r="L340" i="61"/>
  <c r="X339" i="61"/>
  <c r="P337" i="61"/>
  <c r="L336" i="61"/>
  <c r="X333" i="61"/>
  <c r="P325" i="61"/>
  <c r="L324" i="61"/>
  <c r="X323" i="61"/>
  <c r="L320" i="61"/>
  <c r="X319" i="61"/>
  <c r="X316" i="61"/>
  <c r="P314" i="61"/>
  <c r="X312" i="61"/>
  <c r="P310" i="61"/>
  <c r="X308" i="61"/>
  <c r="T307" i="61"/>
  <c r="L306" i="61"/>
  <c r="L304" i="61"/>
  <c r="P303" i="61"/>
  <c r="P301" i="61"/>
  <c r="X300" i="61"/>
  <c r="AH270" i="61"/>
  <c r="AV270" i="61"/>
  <c r="BH387" i="61"/>
  <c r="AL386" i="61"/>
  <c r="BH385" i="61"/>
  <c r="AD385" i="61"/>
  <c r="AL384" i="61"/>
  <c r="AZ382" i="61"/>
  <c r="AL382" i="61"/>
  <c r="BH381" i="61"/>
  <c r="AD381" i="61"/>
  <c r="AL380" i="61"/>
  <c r="BH379" i="61"/>
  <c r="AD379" i="61"/>
  <c r="BH377" i="61"/>
  <c r="AZ376" i="61"/>
  <c r="AL374" i="61"/>
  <c r="BH373" i="61"/>
  <c r="AD373" i="61"/>
  <c r="AZ372" i="61"/>
  <c r="AL372" i="61"/>
  <c r="BH371" i="61"/>
  <c r="AD371" i="61"/>
  <c r="AL370" i="61"/>
  <c r="BH369" i="61"/>
  <c r="AD369" i="61"/>
  <c r="AL368" i="61"/>
  <c r="AZ366" i="61"/>
  <c r="BH365" i="61"/>
  <c r="AD365" i="61"/>
  <c r="AL364" i="61"/>
  <c r="AZ362" i="61"/>
  <c r="AL362" i="61"/>
  <c r="BH361" i="61"/>
  <c r="AD361" i="61"/>
  <c r="AZ360" i="61"/>
  <c r="BH359" i="61"/>
  <c r="AZ358" i="61"/>
  <c r="AL358" i="61"/>
  <c r="BH357" i="61"/>
  <c r="AD357" i="61"/>
  <c r="AZ356" i="61"/>
  <c r="BH346" i="61"/>
  <c r="AD346" i="61"/>
  <c r="AL345" i="61"/>
  <c r="BH341" i="61"/>
  <c r="AZ340" i="61"/>
  <c r="AL340" i="61"/>
  <c r="BH339" i="61"/>
  <c r="AZ338" i="61"/>
  <c r="AL338" i="61"/>
  <c r="AZ336" i="61"/>
  <c r="BH333" i="61"/>
  <c r="AD333" i="61"/>
  <c r="AZ330" i="61"/>
  <c r="AL330" i="61"/>
  <c r="BH329" i="61"/>
  <c r="AZ328" i="61"/>
  <c r="AL328" i="61"/>
  <c r="AD327" i="61"/>
  <c r="AZ326" i="61"/>
  <c r="AL326" i="61"/>
  <c r="AD325" i="61"/>
  <c r="AZ324" i="61"/>
  <c r="AZ322" i="61"/>
  <c r="BH321" i="61"/>
  <c r="AD321" i="61"/>
  <c r="AZ320" i="61"/>
  <c r="AL320" i="61"/>
  <c r="BH319" i="61"/>
  <c r="P311" i="61"/>
  <c r="P307" i="61"/>
  <c r="P305" i="61"/>
  <c r="X304" i="61"/>
  <c r="T302" i="61"/>
  <c r="L301" i="61"/>
  <c r="T300" i="61"/>
  <c r="AL270" i="61"/>
  <c r="AZ270" i="61"/>
  <c r="AV386" i="61"/>
  <c r="BD385" i="61"/>
  <c r="AP385" i="61"/>
  <c r="AV384" i="61"/>
  <c r="AH384" i="61"/>
  <c r="AP381" i="61"/>
  <c r="AV380" i="61"/>
  <c r="AP379" i="61"/>
  <c r="BD377" i="61"/>
  <c r="AP377" i="61"/>
  <c r="AV376" i="61"/>
  <c r="AH376" i="61"/>
  <c r="BD375" i="61"/>
  <c r="AV374" i="61"/>
  <c r="BD373" i="61"/>
  <c r="AP373" i="61"/>
  <c r="AV372" i="61"/>
  <c r="AH372" i="61"/>
  <c r="AH370" i="61"/>
  <c r="AP369" i="61"/>
  <c r="AH368" i="61"/>
  <c r="BD367" i="61"/>
  <c r="AV366" i="61"/>
  <c r="BD365" i="61"/>
  <c r="AV364" i="61"/>
  <c r="AH364" i="61"/>
  <c r="AP363" i="61"/>
  <c r="BD361" i="61"/>
  <c r="AP361" i="61"/>
  <c r="AV360" i="61"/>
  <c r="BD357" i="61"/>
  <c r="AP357" i="61"/>
  <c r="AV356" i="61"/>
  <c r="AH356" i="61"/>
  <c r="BD346" i="61"/>
  <c r="AP346" i="61"/>
  <c r="AV340" i="61"/>
  <c r="AH340" i="61"/>
  <c r="AP339" i="61"/>
  <c r="BD337" i="61"/>
  <c r="AP337" i="61"/>
  <c r="AH336" i="61"/>
  <c r="BD333" i="61"/>
  <c r="BD329" i="61"/>
  <c r="AP329" i="61"/>
  <c r="AV328" i="61"/>
  <c r="AH328" i="61"/>
  <c r="BD327" i="61"/>
  <c r="AV324" i="61"/>
  <c r="AH324" i="61"/>
  <c r="AP323" i="61"/>
  <c r="AH322" i="61"/>
  <c r="AV320" i="61"/>
  <c r="BD319" i="61"/>
  <c r="AV316" i="61"/>
  <c r="P320" i="61"/>
  <c r="L319" i="61"/>
  <c r="X318" i="61"/>
  <c r="P316" i="61"/>
  <c r="L315" i="61"/>
  <c r="L311" i="61"/>
  <c r="L307" i="61"/>
  <c r="T304" i="61"/>
  <c r="P300" i="61"/>
  <c r="AP270" i="61"/>
  <c r="BH386" i="61"/>
  <c r="AD386" i="61"/>
  <c r="BH384" i="61"/>
  <c r="BH380" i="61"/>
  <c r="AD378" i="61"/>
  <c r="AZ375" i="61"/>
  <c r="BH374" i="61"/>
  <c r="BH372" i="61"/>
  <c r="BH370" i="61"/>
  <c r="AD370" i="61"/>
  <c r="AZ369" i="61"/>
  <c r="AL369" i="61"/>
  <c r="AD368" i="61"/>
  <c r="AZ365" i="61"/>
  <c r="BH364" i="61"/>
  <c r="BH362" i="61"/>
  <c r="AL361" i="61"/>
  <c r="BH360" i="61"/>
  <c r="AD360" i="61"/>
  <c r="BH358" i="61"/>
  <c r="AZ357" i="61"/>
  <c r="AD356" i="61"/>
  <c r="AL346" i="61"/>
  <c r="AL341" i="61"/>
  <c r="BH340" i="61"/>
  <c r="AD340" i="61"/>
  <c r="BH338" i="61"/>
  <c r="BH336" i="61"/>
  <c r="AZ333" i="61"/>
  <c r="AL333" i="61"/>
  <c r="AZ329" i="61"/>
  <c r="BH328" i="61"/>
  <c r="AD328" i="61"/>
  <c r="AL327" i="61"/>
  <c r="BH324" i="61"/>
  <c r="AD324" i="61"/>
  <c r="BH320" i="61"/>
  <c r="T318" i="61"/>
  <c r="L316" i="61"/>
  <c r="P313" i="61"/>
  <c r="X311" i="61"/>
  <c r="T310" i="61"/>
  <c r="L308" i="61"/>
  <c r="P304" i="61"/>
  <c r="L300" i="61"/>
  <c r="BD386" i="61"/>
  <c r="AV385" i="61"/>
  <c r="AH385" i="61"/>
  <c r="BD384" i="61"/>
  <c r="AH383" i="61"/>
  <c r="BD382" i="61"/>
  <c r="AP382" i="61"/>
  <c r="AV381" i="61"/>
  <c r="BD380" i="61"/>
  <c r="BD378" i="61"/>
  <c r="AV377" i="61"/>
  <c r="BD374" i="61"/>
  <c r="AP374" i="61"/>
  <c r="AV373" i="61"/>
  <c r="AP370" i="61"/>
  <c r="AV369" i="61"/>
  <c r="BD368" i="61"/>
  <c r="AP368" i="61"/>
  <c r="AH367" i="61"/>
  <c r="BD366" i="61"/>
  <c r="AV365" i="61"/>
  <c r="AH365" i="61"/>
  <c r="BD364" i="61"/>
  <c r="AV363" i="61"/>
  <c r="BD362" i="61"/>
  <c r="AV361" i="61"/>
  <c r="AP360" i="61"/>
  <c r="AV359" i="61"/>
  <c r="AP358" i="61"/>
  <c r="AV357" i="61"/>
  <c r="AH357" i="61"/>
  <c r="AP356" i="61"/>
  <c r="AV346" i="61"/>
  <c r="AP345" i="61"/>
  <c r="AH341" i="61"/>
  <c r="AH337" i="61"/>
  <c r="AH333" i="61"/>
  <c r="AZ318" i="61"/>
  <c r="AD317" i="61"/>
  <c r="AZ316" i="61"/>
  <c r="AL316" i="61"/>
  <c r="BH315" i="61"/>
  <c r="AD315" i="61"/>
  <c r="AD313" i="61"/>
  <c r="AZ312" i="61"/>
  <c r="BH311" i="61"/>
  <c r="BH309" i="61"/>
  <c r="AD309" i="61"/>
  <c r="AZ308" i="61"/>
  <c r="BH307" i="61"/>
  <c r="AZ306" i="61"/>
  <c r="AZ304" i="61"/>
  <c r="BH303" i="61"/>
  <c r="AZ302" i="61"/>
  <c r="AL302" i="61"/>
  <c r="BH301" i="61"/>
  <c r="AD301" i="61"/>
  <c r="AZ300" i="61"/>
  <c r="AL300" i="61"/>
  <c r="AH276" i="61"/>
  <c r="AH316" i="61"/>
  <c r="BD315" i="61"/>
  <c r="AV312" i="61"/>
  <c r="AH312" i="61"/>
  <c r="AV310" i="61"/>
  <c r="AH310" i="61"/>
  <c r="BD307" i="61"/>
  <c r="AP307" i="61"/>
  <c r="AH304" i="61"/>
  <c r="BD303" i="61"/>
  <c r="AV300" i="61"/>
  <c r="AD350" i="61"/>
  <c r="AP350" i="61"/>
  <c r="BD349" i="61"/>
  <c r="L296" i="61"/>
  <c r="AD320" i="61"/>
  <c r="AZ317" i="61"/>
  <c r="BH316" i="61"/>
  <c r="AD316" i="61"/>
  <c r="AZ315" i="61"/>
  <c r="AZ313" i="61"/>
  <c r="BH312" i="61"/>
  <c r="AL309" i="61"/>
  <c r="AD308" i="61"/>
  <c r="AZ307" i="61"/>
  <c r="AZ305" i="61"/>
  <c r="AD304" i="61"/>
  <c r="AZ303" i="61"/>
  <c r="AZ301" i="61"/>
  <c r="L274" i="61"/>
  <c r="Q273" i="61"/>
  <c r="T280" i="61"/>
  <c r="AD279" i="61"/>
  <c r="AD275" i="61"/>
  <c r="AH278" i="61"/>
  <c r="AL281" i="61"/>
  <c r="AL277" i="61"/>
  <c r="AL273" i="61"/>
  <c r="AV274" i="61"/>
  <c r="BD280" i="61"/>
  <c r="BD276" i="61"/>
  <c r="BD272" i="61"/>
  <c r="BH280" i="61"/>
  <c r="BH278" i="61"/>
  <c r="BH276" i="61"/>
  <c r="BH272" i="61"/>
  <c r="L352" i="61"/>
  <c r="P353" i="61"/>
  <c r="P349" i="61"/>
  <c r="X353" i="61"/>
  <c r="X349" i="61"/>
  <c r="AD353" i="61"/>
  <c r="AD349" i="61"/>
  <c r="AL355" i="61"/>
  <c r="AL351" i="61"/>
  <c r="AV354" i="61"/>
  <c r="AZ355" i="61"/>
  <c r="AZ351" i="61"/>
  <c r="BD352" i="61"/>
  <c r="BH354" i="61"/>
  <c r="BH352" i="61"/>
  <c r="L299" i="61"/>
  <c r="L295" i="61"/>
  <c r="L291" i="61"/>
  <c r="L283" i="61"/>
  <c r="Q285" i="61"/>
  <c r="T295" i="61"/>
  <c r="T291" i="61"/>
  <c r="T287" i="61"/>
  <c r="T283" i="61"/>
  <c r="AH293" i="61"/>
  <c r="AH289" i="61"/>
  <c r="AH285" i="61"/>
  <c r="AL299" i="61"/>
  <c r="AL291" i="61"/>
  <c r="AP293" i="61"/>
  <c r="AP285" i="61"/>
  <c r="AV299" i="61"/>
  <c r="AV295" i="61"/>
  <c r="AV291" i="61"/>
  <c r="AV287" i="61"/>
  <c r="AV283" i="61"/>
  <c r="AZ293" i="61"/>
  <c r="AZ289" i="61"/>
  <c r="BD299" i="61"/>
  <c r="BD295" i="61"/>
  <c r="BD291" i="61"/>
  <c r="BD283" i="61"/>
  <c r="BH296" i="61"/>
  <c r="BH292" i="61"/>
  <c r="BH290" i="61"/>
  <c r="BH288" i="61"/>
  <c r="BH284" i="61"/>
  <c r="BH282" i="61"/>
  <c r="AP328" i="61"/>
  <c r="AP326" i="61"/>
  <c r="L277" i="61"/>
  <c r="T271" i="61"/>
  <c r="AH273" i="61"/>
  <c r="AL276" i="61"/>
  <c r="AL272" i="61"/>
  <c r="AP280" i="61"/>
  <c r="AP278" i="61"/>
  <c r="AP276" i="61"/>
  <c r="AP274" i="61"/>
  <c r="AH353" i="61"/>
  <c r="AH349" i="61"/>
  <c r="AP353" i="61"/>
  <c r="AZ284" i="61"/>
  <c r="T100" i="62"/>
  <c r="T64" i="62"/>
  <c r="T60" i="62"/>
  <c r="T36" i="62"/>
  <c r="T24" i="62"/>
  <c r="T16" i="62"/>
  <c r="T4" i="62"/>
  <c r="X100" i="62"/>
  <c r="X88" i="62"/>
  <c r="X80" i="62"/>
  <c r="X72" i="62"/>
  <c r="X68" i="62"/>
  <c r="X52" i="62"/>
  <c r="X40" i="62"/>
  <c r="X32" i="62"/>
  <c r="X24" i="62"/>
  <c r="X8" i="62"/>
  <c r="T83" i="62"/>
  <c r="T97" i="62"/>
  <c r="T89" i="62"/>
  <c r="T81" i="62"/>
  <c r="T77" i="62"/>
  <c r="T73" i="62"/>
  <c r="T69" i="62"/>
  <c r="T61" i="62"/>
  <c r="T37" i="62"/>
  <c r="T33" i="62"/>
  <c r="T29" i="62"/>
  <c r="T25" i="62"/>
  <c r="T21" i="62"/>
  <c r="T13" i="62"/>
  <c r="T9" i="62"/>
  <c r="T5" i="62"/>
  <c r="X5" i="62"/>
  <c r="X3" i="62"/>
  <c r="R662" i="35"/>
  <c r="R491" i="35"/>
  <c r="R317" i="35"/>
  <c r="R145" i="35"/>
  <c r="R577" i="35"/>
  <c r="R405" i="35"/>
  <c r="R231" i="35"/>
  <c r="R229" i="35"/>
  <c r="R59" i="35"/>
  <c r="R57" i="35"/>
  <c r="I491" i="35"/>
  <c r="I145" i="35"/>
  <c r="I577" i="35"/>
  <c r="I231" i="35"/>
  <c r="I229" i="35"/>
  <c r="I662" i="35"/>
  <c r="I660" i="35"/>
  <c r="I317" i="35"/>
  <c r="I405" i="35"/>
  <c r="I59" i="35"/>
  <c r="N662" i="35"/>
  <c r="N577" i="35"/>
  <c r="N491" i="35"/>
  <c r="N405" i="35"/>
  <c r="N317" i="35"/>
  <c r="N231" i="35"/>
  <c r="N145" i="35"/>
  <c r="N143" i="35"/>
  <c r="N59" i="35"/>
  <c r="S662" i="35"/>
  <c r="S577" i="35"/>
  <c r="S491" i="35"/>
  <c r="S405" i="35"/>
  <c r="S317" i="35"/>
  <c r="S231" i="35"/>
  <c r="S145" i="35"/>
  <c r="S143" i="35"/>
  <c r="S59" i="35"/>
  <c r="S57" i="35"/>
  <c r="H577" i="35"/>
  <c r="H231" i="35"/>
  <c r="H662" i="35"/>
  <c r="H660" i="35"/>
  <c r="H317" i="35"/>
  <c r="H315" i="35"/>
  <c r="H405" i="35"/>
  <c r="H403" i="35"/>
  <c r="H59" i="35"/>
  <c r="H491" i="35"/>
  <c r="H145" i="35"/>
  <c r="H143" i="35"/>
  <c r="K662" i="35"/>
  <c r="K577" i="35"/>
  <c r="K491" i="35"/>
  <c r="K405" i="35"/>
  <c r="K317" i="35"/>
  <c r="K315" i="35"/>
  <c r="K231" i="35"/>
  <c r="K145" i="35"/>
  <c r="K59" i="35"/>
  <c r="P577" i="35"/>
  <c r="P491" i="35"/>
  <c r="P405" i="35"/>
  <c r="P403" i="35"/>
  <c r="P231" i="35"/>
  <c r="P145" i="35"/>
  <c r="P59" i="35"/>
  <c r="P662" i="35"/>
  <c r="P317" i="35"/>
  <c r="M662" i="35"/>
  <c r="M660" i="35"/>
  <c r="M577" i="35"/>
  <c r="M491" i="35"/>
  <c r="M405" i="35"/>
  <c r="M403" i="35"/>
  <c r="M317" i="35"/>
  <c r="M315" i="35"/>
  <c r="M145" i="35"/>
  <c r="M143" i="35"/>
  <c r="M231" i="35"/>
  <c r="M59" i="35"/>
  <c r="G491" i="35"/>
  <c r="G145" i="35"/>
  <c r="G143" i="35"/>
  <c r="G577" i="35"/>
  <c r="G231" i="35"/>
  <c r="G229" i="35"/>
  <c r="G662" i="35"/>
  <c r="G317" i="35"/>
  <c r="G405" i="35"/>
  <c r="G59" i="35"/>
  <c r="L662" i="35"/>
  <c r="L577" i="35"/>
  <c r="L491" i="35"/>
  <c r="L489" i="35"/>
  <c r="L405" i="35"/>
  <c r="L317" i="35"/>
  <c r="L231" i="35"/>
  <c r="L145" i="35"/>
  <c r="L143" i="35"/>
  <c r="L59" i="35"/>
  <c r="L57" i="35"/>
  <c r="Q662" i="35"/>
  <c r="Q577" i="35"/>
  <c r="Q491" i="35"/>
  <c r="Q489" i="35"/>
  <c r="Q405" i="35"/>
  <c r="Q317" i="35"/>
  <c r="Q315" i="35"/>
  <c r="Q231" i="35"/>
  <c r="Q145" i="35"/>
  <c r="Q59" i="35"/>
  <c r="AU366" i="62"/>
  <c r="AU354" i="62"/>
  <c r="BE354" i="62"/>
  <c r="AU327" i="62"/>
  <c r="AU360" i="62"/>
  <c r="AZ326" i="62"/>
  <c r="AG332" i="62"/>
  <c r="AQ332" i="62"/>
  <c r="AG336" i="62"/>
  <c r="AK341" i="62"/>
  <c r="AC348" i="62"/>
  <c r="AO340" i="62"/>
  <c r="AC358" i="62"/>
  <c r="S358" i="62"/>
  <c r="AE358" i="62"/>
  <c r="AK337" i="62"/>
  <c r="AC344" i="62"/>
  <c r="S344" i="62"/>
  <c r="AE344" i="62"/>
  <c r="AO348" i="62"/>
  <c r="AC347" i="62"/>
  <c r="AM347" i="62"/>
  <c r="AK348" i="62"/>
  <c r="AC327" i="62"/>
  <c r="AK356" i="62"/>
  <c r="AC356" i="62"/>
  <c r="AM356" i="62"/>
  <c r="AO356" i="62"/>
  <c r="AY369" i="62"/>
  <c r="AK369" i="62"/>
  <c r="AY330" i="62"/>
  <c r="O333" i="62"/>
  <c r="S328" i="62"/>
  <c r="W342" i="62"/>
  <c r="K338" i="62"/>
  <c r="S331" i="62"/>
  <c r="AE331" i="62"/>
  <c r="S336" i="62"/>
  <c r="S354" i="62"/>
  <c r="AE354" i="62"/>
  <c r="W338" i="62"/>
  <c r="AG330" i="62"/>
  <c r="W333" i="62"/>
  <c r="AO330" i="62"/>
  <c r="BC368" i="62"/>
  <c r="BE368" i="62"/>
  <c r="BG364" i="62"/>
  <c r="AY362" i="62"/>
  <c r="BG360" i="62"/>
  <c r="AU359" i="62"/>
  <c r="BC357" i="62"/>
  <c r="BC353" i="62"/>
  <c r="BG352" i="62"/>
  <c r="AY349" i="62"/>
  <c r="BA349" i="62"/>
  <c r="AU348" i="62"/>
  <c r="AY346" i="62"/>
  <c r="BC344" i="62"/>
  <c r="BC341" i="62"/>
  <c r="AY340" i="62"/>
  <c r="AY336" i="62"/>
  <c r="AY334" i="62"/>
  <c r="BC332" i="62"/>
  <c r="AU331" i="62"/>
  <c r="AK367" i="62"/>
  <c r="AK361" i="62"/>
  <c r="AW361" i="62"/>
  <c r="BC369" i="62"/>
  <c r="BC365" i="62"/>
  <c r="BG340" i="62"/>
  <c r="AU339" i="62"/>
  <c r="AU355" i="62"/>
  <c r="AU335" i="62"/>
  <c r="AY344" i="62"/>
  <c r="AU364" i="62"/>
  <c r="BH362" i="62"/>
  <c r="AY342" i="62"/>
  <c r="AY361" i="62"/>
  <c r="BI361" i="62"/>
  <c r="AY364" i="62"/>
  <c r="S330" i="62"/>
  <c r="AG361" i="62"/>
  <c r="AC330" i="62"/>
  <c r="AG369" i="62"/>
  <c r="W330" i="62"/>
  <c r="AO369" i="62"/>
  <c r="W332" i="62"/>
  <c r="S342" i="62"/>
  <c r="O326" i="62"/>
  <c r="BG380" i="62"/>
  <c r="AK388" i="62"/>
  <c r="AG376" i="62"/>
  <c r="AQ376" i="62"/>
  <c r="AG380" i="62"/>
  <c r="AQ380" i="62"/>
  <c r="AG388" i="62"/>
  <c r="K375" i="62"/>
  <c r="M375" i="62"/>
  <c r="W378" i="62"/>
  <c r="O378" i="62"/>
  <c r="O375" i="62"/>
  <c r="Q375" i="62"/>
  <c r="W375" i="62"/>
  <c r="Y375" i="62"/>
  <c r="K379" i="62"/>
  <c r="S380" i="62"/>
  <c r="AG399" i="62"/>
  <c r="AC381" i="62"/>
  <c r="G385" i="62" a="1"/>
  <c r="G385" i="62"/>
  <c r="K389" i="62"/>
  <c r="O386" i="62"/>
  <c r="Q386" i="62"/>
  <c r="AC386" i="62"/>
  <c r="AG386" i="62"/>
  <c r="AK386" i="62"/>
  <c r="AO386" i="62"/>
  <c r="O388" i="62"/>
  <c r="G375" i="62" a="1"/>
  <c r="G375" i="62"/>
  <c r="O383" i="62"/>
  <c r="Q383" i="62"/>
  <c r="S381" i="62"/>
  <c r="AD388" i="62"/>
  <c r="S388" i="62"/>
  <c r="AE388" i="62"/>
  <c r="O382" i="62"/>
  <c r="AY386" i="62"/>
  <c r="AY384" i="62"/>
  <c r="AU379" i="62"/>
  <c r="S390" i="62"/>
  <c r="W383" i="62"/>
  <c r="Y383" i="62"/>
  <c r="S382" i="62"/>
  <c r="O380" i="62"/>
  <c r="Y380" i="62"/>
  <c r="S379" i="62"/>
  <c r="BG378" i="62"/>
  <c r="BC381" i="62"/>
  <c r="AU381" i="62"/>
  <c r="BG381" i="62"/>
  <c r="K373" i="62"/>
  <c r="W391" i="62"/>
  <c r="AY390" i="62"/>
  <c r="BC378" i="62"/>
  <c r="K390" i="62"/>
  <c r="O389" i="62"/>
  <c r="W386" i="62"/>
  <c r="AI386" i="62"/>
  <c r="BG373" i="62"/>
  <c r="BG388" i="62"/>
  <c r="BG382" i="62"/>
  <c r="BC374" i="62"/>
  <c r="I647" i="35"/>
  <c r="I645" i="35"/>
  <c r="I562" i="35"/>
  <c r="I476" i="35"/>
  <c r="I474" i="35"/>
  <c r="I390" i="35"/>
  <c r="I388" i="35"/>
  <c r="I302" i="35"/>
  <c r="I216" i="35"/>
  <c r="I130" i="35"/>
  <c r="I128" i="35"/>
  <c r="I44" i="35"/>
  <c r="I42" i="35"/>
  <c r="N647" i="35"/>
  <c r="N645" i="35"/>
  <c r="N562" i="35"/>
  <c r="N476" i="35"/>
  <c r="N390" i="35"/>
  <c r="N302" i="35"/>
  <c r="N216" i="35"/>
  <c r="N130" i="35"/>
  <c r="N128" i="35"/>
  <c r="N44" i="35"/>
  <c r="S647" i="35"/>
  <c r="S645" i="35"/>
  <c r="S562" i="35"/>
  <c r="S476" i="35"/>
  <c r="S390" i="35"/>
  <c r="S302" i="35"/>
  <c r="S216" i="35"/>
  <c r="S214" i="35"/>
  <c r="S130" i="35"/>
  <c r="S44" i="35"/>
  <c r="H647" i="35"/>
  <c r="H562" i="35"/>
  <c r="H476" i="35"/>
  <c r="H474" i="35"/>
  <c r="H390" i="35"/>
  <c r="H302" i="35"/>
  <c r="H216" i="35"/>
  <c r="H130" i="35"/>
  <c r="H128" i="35"/>
  <c r="H44" i="35"/>
  <c r="M647" i="35"/>
  <c r="M562" i="35"/>
  <c r="M476" i="35"/>
  <c r="M474" i="35"/>
  <c r="M390" i="35"/>
  <c r="M302" i="35"/>
  <c r="M216" i="35"/>
  <c r="M130" i="35"/>
  <c r="M128" i="35"/>
  <c r="M44" i="35"/>
  <c r="R647" i="35"/>
  <c r="R562" i="35"/>
  <c r="R560" i="35"/>
  <c r="R476" i="35"/>
  <c r="R390" i="35"/>
  <c r="R302" i="35"/>
  <c r="R216" i="35"/>
  <c r="R214" i="35"/>
  <c r="R130" i="35"/>
  <c r="R44" i="35"/>
  <c r="G647" i="35"/>
  <c r="G645" i="35"/>
  <c r="G562" i="35"/>
  <c r="G476" i="35"/>
  <c r="G474" i="35"/>
  <c r="G390" i="35"/>
  <c r="G388" i="35"/>
  <c r="G302" i="35"/>
  <c r="G216" i="35"/>
  <c r="G130" i="35"/>
  <c r="G128" i="35"/>
  <c r="G44" i="35"/>
  <c r="G42" i="35"/>
  <c r="L647" i="35"/>
  <c r="L645" i="35"/>
  <c r="L562" i="35"/>
  <c r="L476" i="35"/>
  <c r="L474" i="35"/>
  <c r="L390" i="35"/>
  <c r="L302" i="35"/>
  <c r="L216" i="35"/>
  <c r="L130" i="35"/>
  <c r="L128" i="35"/>
  <c r="L44" i="35"/>
  <c r="Q647" i="35"/>
  <c r="Q645" i="35"/>
  <c r="Q562" i="35"/>
  <c r="Q476" i="35"/>
  <c r="Q390" i="35"/>
  <c r="Q302" i="35"/>
  <c r="Q216" i="35"/>
  <c r="Q214" i="35"/>
  <c r="Q130" i="35"/>
  <c r="Q44" i="35"/>
  <c r="K647" i="35"/>
  <c r="K645" i="35"/>
  <c r="K562" i="35"/>
  <c r="K476" i="35"/>
  <c r="K474" i="35"/>
  <c r="K390" i="35"/>
  <c r="K302" i="35"/>
  <c r="K216" i="35"/>
  <c r="K130" i="35"/>
  <c r="K44" i="35"/>
  <c r="P647" i="35"/>
  <c r="P562" i="35"/>
  <c r="P476" i="35"/>
  <c r="P390" i="35"/>
  <c r="P302" i="35"/>
  <c r="P216" i="35"/>
  <c r="P130" i="35"/>
  <c r="P44" i="35"/>
  <c r="AO379" i="62"/>
  <c r="AC379" i="62"/>
  <c r="AE379" i="62"/>
  <c r="AH381" i="62"/>
  <c r="W381" i="62"/>
  <c r="BH381" i="62"/>
  <c r="AY381" i="62"/>
  <c r="AO381" i="62"/>
  <c r="BA381" i="62"/>
  <c r="AY385" i="62"/>
  <c r="BH385" i="62"/>
  <c r="K386" i="62"/>
  <c r="S378" i="62"/>
  <c r="W389" i="62"/>
  <c r="AY388" i="62"/>
  <c r="AY379" i="62"/>
  <c r="AU378" i="62"/>
  <c r="AY374" i="62"/>
  <c r="BI374" i="62"/>
  <c r="O390" i="62"/>
  <c r="BC390" i="62"/>
  <c r="BC386" i="62"/>
  <c r="BG376" i="62"/>
  <c r="AU380" i="62"/>
  <c r="AY378" i="62"/>
  <c r="BI378" i="62"/>
  <c r="AU374" i="62"/>
  <c r="K391" i="62"/>
  <c r="M391" i="62"/>
  <c r="O391" i="62"/>
  <c r="Q391" i="62"/>
  <c r="W388" i="62"/>
  <c r="O387" i="62"/>
  <c r="AC377" i="62"/>
  <c r="BH390" i="62"/>
  <c r="BH386" i="62"/>
  <c r="BG385" i="62"/>
  <c r="BH384" i="62"/>
  <c r="BH383" i="62"/>
  <c r="BG379" i="62"/>
  <c r="T385" i="62"/>
  <c r="K385" i="62"/>
  <c r="T382" i="62"/>
  <c r="K382" i="62"/>
  <c r="M382" i="62"/>
  <c r="AD386" i="62"/>
  <c r="S386" i="62"/>
  <c r="AH385" i="62"/>
  <c r="W385" i="62"/>
  <c r="AK375" i="62"/>
  <c r="AC375" i="62"/>
  <c r="AO375" i="62"/>
  <c r="BA375" i="62"/>
  <c r="BC389" i="62"/>
  <c r="AU389" i="62"/>
  <c r="BG389" i="62"/>
  <c r="AY389" i="62"/>
  <c r="BA389" i="62"/>
  <c r="AY377" i="62"/>
  <c r="BA377" i="62"/>
  <c r="AU377" i="62"/>
  <c r="BG377" i="62"/>
  <c r="T388" i="62"/>
  <c r="K388" i="62"/>
  <c r="K384" i="62"/>
  <c r="O384" i="62"/>
  <c r="W384" i="62"/>
  <c r="S384" i="62"/>
  <c r="AE384" i="62"/>
  <c r="AK390" i="62"/>
  <c r="AO390" i="62"/>
  <c r="AC390" i="62"/>
  <c r="AG390" i="62"/>
  <c r="AK374" i="62"/>
  <c r="AW374" i="62"/>
  <c r="AO374" i="62"/>
  <c r="AC374" i="62"/>
  <c r="AG374" i="62"/>
  <c r="BG391" i="62"/>
  <c r="AU391" i="62"/>
  <c r="BG387" i="62"/>
  <c r="BI387" i="62"/>
  <c r="AU387" i="62"/>
  <c r="BG383" i="62"/>
  <c r="AU383" i="62"/>
  <c r="K378" i="62"/>
  <c r="T378" i="62"/>
  <c r="AH377" i="62"/>
  <c r="W377" i="62"/>
  <c r="W376" i="62"/>
  <c r="K376" i="62"/>
  <c r="O376" i="62"/>
  <c r="S376" i="62"/>
  <c r="AK382" i="62"/>
  <c r="AO382" i="62"/>
  <c r="AC382" i="62"/>
  <c r="AG382" i="62"/>
  <c r="AO378" i="62"/>
  <c r="AK378" i="62"/>
  <c r="AC378" i="62"/>
  <c r="AG378" i="62"/>
  <c r="BD385" i="62"/>
  <c r="AU385" i="62"/>
  <c r="BG375" i="62"/>
  <c r="AU375" i="62"/>
  <c r="K387" i="62"/>
  <c r="W390" i="62"/>
  <c r="AI390" i="62"/>
  <c r="W387" i="62"/>
  <c r="S387" i="62"/>
  <c r="S391" i="62"/>
  <c r="U391" i="62"/>
  <c r="S383" i="62"/>
  <c r="O381" i="62"/>
  <c r="AU390" i="62"/>
  <c r="BG386" i="62"/>
  <c r="AY383" i="62"/>
  <c r="BA383" i="62"/>
  <c r="BC373" i="62"/>
  <c r="BG390" i="62"/>
  <c r="AU388" i="62"/>
  <c r="AU386" i="62"/>
  <c r="BG384" i="62"/>
  <c r="BC382" i="62"/>
  <c r="AU382" i="62"/>
  <c r="AY380" i="62"/>
  <c r="AY376" i="62"/>
  <c r="AU373" i="62"/>
  <c r="AK379" i="62"/>
  <c r="BC391" i="62"/>
  <c r="AY382" i="62"/>
  <c r="BH375" i="62"/>
  <c r="G369" i="62" a="1"/>
  <c r="G369" i="62"/>
  <c r="X343" i="62"/>
  <c r="O358" i="62"/>
  <c r="O334" i="62"/>
  <c r="Q334" i="62"/>
  <c r="S332" i="62"/>
  <c r="W331" i="62"/>
  <c r="AK368" i="62"/>
  <c r="G365" i="62" a="1"/>
  <c r="G365" i="62"/>
  <c r="W328" i="62"/>
  <c r="AO364" i="62"/>
  <c r="AY356" i="62"/>
  <c r="AU356" i="62"/>
  <c r="AW356" i="62"/>
  <c r="W352" i="62"/>
  <c r="K337" i="62"/>
  <c r="S335" i="62"/>
  <c r="S340" i="62"/>
  <c r="AG364" i="62"/>
  <c r="AC362" i="62"/>
  <c r="AU351" i="62"/>
  <c r="BC340" i="62"/>
  <c r="BC336" i="62"/>
  <c r="K333" i="62"/>
  <c r="AY348" i="62"/>
  <c r="BI348" i="62"/>
  <c r="O348" i="62"/>
  <c r="S343" i="62"/>
  <c r="W348" i="62"/>
  <c r="AO347" i="62"/>
  <c r="BA347" i="62"/>
  <c r="AZ347" i="62"/>
  <c r="AC326" i="62"/>
  <c r="AL326" i="62"/>
  <c r="W336" i="62"/>
  <c r="K354" i="62"/>
  <c r="W350" i="62"/>
  <c r="O345" i="62"/>
  <c r="AG329" i="62"/>
  <c r="K358" i="62"/>
  <c r="G361" i="62" a="1"/>
  <c r="G361" i="62"/>
  <c r="K357" i="62"/>
  <c r="W329" i="62"/>
  <c r="AI329" i="62"/>
  <c r="AO328" i="62"/>
  <c r="AC328" i="62"/>
  <c r="AK328" i="62"/>
  <c r="AG328" i="62"/>
  <c r="W358" i="62"/>
  <c r="O360" i="62"/>
  <c r="S349" i="62"/>
  <c r="AK355" i="62"/>
  <c r="K345" i="62"/>
  <c r="W354" i="62"/>
  <c r="O349" i="62"/>
  <c r="Q349" i="62"/>
  <c r="K350" i="62"/>
  <c r="BC366" i="62"/>
  <c r="W367" i="62"/>
  <c r="AI367" i="62"/>
  <c r="K349" i="62"/>
  <c r="U349" i="62"/>
  <c r="W341" i="62"/>
  <c r="O362" i="62"/>
  <c r="Q362" i="62"/>
  <c r="AO368" i="62"/>
  <c r="AG368" i="62"/>
  <c r="AQ368" i="62"/>
  <c r="AG346" i="62"/>
  <c r="AQ346" i="62"/>
  <c r="X340" i="62"/>
  <c r="O340" i="62"/>
  <c r="AP342" i="62"/>
  <c r="AG342" i="62"/>
  <c r="AP354" i="62"/>
  <c r="AG354" i="62"/>
  <c r="AQ354" i="62"/>
  <c r="AV339" i="62"/>
  <c r="AK339" i="62"/>
  <c r="T340" i="62"/>
  <c r="K340" i="62"/>
  <c r="AZ341" i="62"/>
  <c r="AO341" i="62"/>
  <c r="O357" i="62"/>
  <c r="T350" i="62"/>
  <c r="K360" i="62"/>
  <c r="U360" i="62"/>
  <c r="O352" i="62"/>
  <c r="AC365" i="62"/>
  <c r="AG363" i="62"/>
  <c r="AG352" i="62"/>
  <c r="AG351" i="62"/>
  <c r="AC339" i="62"/>
  <c r="AK336" i="62"/>
  <c r="AU357" i="62"/>
  <c r="AW357" i="62"/>
  <c r="BC348" i="62"/>
  <c r="S366" i="62"/>
  <c r="O353" i="62"/>
  <c r="K368" i="62"/>
  <c r="M368" i="62"/>
  <c r="AK359" i="62"/>
  <c r="AO331" i="62"/>
  <c r="BC342" i="62"/>
  <c r="AZ361" i="62"/>
  <c r="AO361" i="62"/>
  <c r="AL353" i="62"/>
  <c r="AC353" i="62"/>
  <c r="AK352" i="62"/>
  <c r="AC352" i="62"/>
  <c r="AM352" i="62"/>
  <c r="BC328" i="62"/>
  <c r="BG328" i="62"/>
  <c r="K369" i="62"/>
  <c r="M369" i="62"/>
  <c r="AG339" i="62"/>
  <c r="AO336" i="62"/>
  <c r="BA336" i="62"/>
  <c r="AG362" i="62"/>
  <c r="AO367" i="62"/>
  <c r="AC367" i="62"/>
  <c r="S367" i="62"/>
  <c r="AE367" i="62"/>
  <c r="BG354" i="62"/>
  <c r="BD353" i="62"/>
  <c r="AU353" i="62"/>
  <c r="BG347" i="62"/>
  <c r="BC347" i="62"/>
  <c r="BE347" i="62"/>
  <c r="AY343" i="62"/>
  <c r="BG343" i="62"/>
  <c r="BD342" i="62"/>
  <c r="AU342" i="62"/>
  <c r="BH341" i="62"/>
  <c r="AY341" i="62"/>
  <c r="BI341" i="62"/>
  <c r="AY339" i="62"/>
  <c r="BG339" i="62"/>
  <c r="BG331" i="62"/>
  <c r="AY331" i="62"/>
  <c r="BD330" i="62"/>
  <c r="AU330" i="62"/>
  <c r="K353" i="62"/>
  <c r="S353" i="62"/>
  <c r="AE353" i="62"/>
  <c r="O331" i="62"/>
  <c r="Q331" i="62"/>
  <c r="K348" i="62"/>
  <c r="O366" i="62"/>
  <c r="AC332" i="62"/>
  <c r="AG365" i="62"/>
  <c r="AU350" i="62"/>
  <c r="AC366" i="62"/>
  <c r="AG366" i="62"/>
  <c r="BD365" i="62"/>
  <c r="AU365" i="62"/>
  <c r="BD363" i="62"/>
  <c r="AU363" i="62"/>
  <c r="AC363" i="62"/>
  <c r="AO363" i="62"/>
  <c r="AK363" i="62"/>
  <c r="BH338" i="62"/>
  <c r="AY338" i="62"/>
  <c r="O330" i="62"/>
  <c r="W353" i="62"/>
  <c r="AI353" i="62"/>
  <c r="W362" i="62"/>
  <c r="AG340" i="62"/>
  <c r="AC338" i="62"/>
  <c r="AU328" i="62"/>
  <c r="AY360" i="62"/>
  <c r="AL361" i="62"/>
  <c r="AC361" i="62"/>
  <c r="AL357" i="62"/>
  <c r="AC357" i="62"/>
  <c r="AO350" i="62"/>
  <c r="AG350" i="62"/>
  <c r="BD369" i="62"/>
  <c r="AU369" i="62"/>
  <c r="BG368" i="62"/>
  <c r="AU368" i="62"/>
  <c r="AY368" i="62"/>
  <c r="BA368" i="62"/>
  <c r="AY345" i="62"/>
  <c r="AU337" i="62"/>
  <c r="BC337" i="62"/>
  <c r="BD336" i="62"/>
  <c r="AU336" i="62"/>
  <c r="AY333" i="62"/>
  <c r="AU333" i="62"/>
  <c r="BG333" i="62"/>
  <c r="AK350" i="62"/>
  <c r="AG337" i="62"/>
  <c r="AY363" i="62"/>
  <c r="BI363" i="62"/>
  <c r="BC356" i="62"/>
  <c r="BG350" i="62"/>
  <c r="BC349" i="62"/>
  <c r="AU346" i="62"/>
  <c r="AK353" i="62"/>
  <c r="AW353" i="62"/>
  <c r="K362" i="62"/>
  <c r="O355" i="62"/>
  <c r="AK360" i="62"/>
  <c r="AO329" i="62"/>
  <c r="AY358" i="62"/>
  <c r="AD355" i="62"/>
  <c r="S355" i="62"/>
  <c r="X369" i="62"/>
  <c r="O369" i="62"/>
  <c r="T355" i="62"/>
  <c r="K355" i="62"/>
  <c r="O368" i="62"/>
  <c r="W368" i="62"/>
  <c r="X355" i="62"/>
  <c r="W349" i="62"/>
  <c r="AI349" i="62"/>
  <c r="T343" i="62"/>
  <c r="K343" i="62"/>
  <c r="AO365" i="62"/>
  <c r="AK365" i="62"/>
  <c r="AL364" i="62"/>
  <c r="AC364" i="62"/>
  <c r="W360" i="62"/>
  <c r="AO366" i="62"/>
  <c r="AC345" i="62"/>
  <c r="AM345" i="62"/>
  <c r="AG345" i="62"/>
  <c r="AL369" i="62"/>
  <c r="AC369" i="62"/>
  <c r="AC368" i="62"/>
  <c r="AI368" i="62"/>
  <c r="AP355" i="62"/>
  <c r="AG355" i="62"/>
  <c r="AQ355" i="62"/>
  <c r="AL343" i="62"/>
  <c r="AC343" i="62"/>
  <c r="AM343" i="62"/>
  <c r="O367" i="62"/>
  <c r="W366" i="62"/>
  <c r="W339" i="62"/>
  <c r="S362" i="62"/>
  <c r="W355" i="62"/>
  <c r="AO343" i="62"/>
  <c r="AO352" i="62"/>
  <c r="AK351" i="62"/>
  <c r="BC361" i="62"/>
  <c r="BC359" i="62"/>
  <c r="BE359" i="62"/>
  <c r="AY350" i="62"/>
  <c r="BC345" i="62"/>
  <c r="T367" i="62"/>
  <c r="K367" i="62"/>
  <c r="M367" i="62"/>
  <c r="O359" i="62"/>
  <c r="Y359" i="62"/>
  <c r="K359" i="62"/>
  <c r="M359" i="62"/>
  <c r="Q359" i="62"/>
  <c r="S359" i="62"/>
  <c r="T352" i="62"/>
  <c r="K352" i="62"/>
  <c r="O351" i="62"/>
  <c r="Q351" i="62"/>
  <c r="S351" i="62"/>
  <c r="AE351" i="62"/>
  <c r="K351" i="62"/>
  <c r="M351" i="62"/>
  <c r="W351" i="62"/>
  <c r="AD347" i="62"/>
  <c r="S347" i="62"/>
  <c r="S346" i="62"/>
  <c r="O346" i="62"/>
  <c r="Q346" i="62"/>
  <c r="W346" i="62"/>
  <c r="K346" i="62"/>
  <c r="AH343" i="62"/>
  <c r="W343" i="62"/>
  <c r="AH369" i="62"/>
  <c r="W369" i="62"/>
  <c r="O356" i="62"/>
  <c r="Q356" i="62"/>
  <c r="K356" i="62"/>
  <c r="M356" i="62"/>
  <c r="S356" i="62"/>
  <c r="AE356" i="62"/>
  <c r="W356" i="62"/>
  <c r="O344" i="62"/>
  <c r="Q344" i="62"/>
  <c r="W344" i="62"/>
  <c r="K344" i="62"/>
  <c r="M344" i="62"/>
  <c r="T341" i="62"/>
  <c r="K341" i="62"/>
  <c r="O365" i="62"/>
  <c r="Q365" i="62"/>
  <c r="S365" i="62"/>
  <c r="K365" i="62"/>
  <c r="W365" i="62"/>
  <c r="K364" i="62"/>
  <c r="S364" i="62"/>
  <c r="O364" i="62"/>
  <c r="W364" i="62"/>
  <c r="AI364" i="62"/>
  <c r="O363" i="62"/>
  <c r="S363" i="62"/>
  <c r="K363" i="62"/>
  <c r="W363" i="62"/>
  <c r="AI363" i="62"/>
  <c r="S361" i="62"/>
  <c r="K361" i="62"/>
  <c r="W361" i="62"/>
  <c r="O361" i="62"/>
  <c r="O354" i="62"/>
  <c r="X354" i="62"/>
  <c r="AD352" i="62"/>
  <c r="S352" i="62"/>
  <c r="AD350" i="62"/>
  <c r="S350" i="62"/>
  <c r="AD348" i="62"/>
  <c r="S348" i="62"/>
  <c r="T347" i="62"/>
  <c r="K347" i="62"/>
  <c r="X341" i="62"/>
  <c r="O341" i="62"/>
  <c r="X347" i="62"/>
  <c r="O347" i="62"/>
  <c r="AH345" i="62"/>
  <c r="W345" i="62"/>
  <c r="AD341" i="62"/>
  <c r="S341" i="62"/>
  <c r="AE341" i="62"/>
  <c r="S369" i="62"/>
  <c r="K366" i="62"/>
  <c r="S368" i="62"/>
  <c r="AE368" i="62"/>
  <c r="AY352" i="62"/>
  <c r="O342" i="62"/>
  <c r="AK366" i="62"/>
  <c r="AK358" i="62"/>
  <c r="AM358" i="62"/>
  <c r="AO358" i="62"/>
  <c r="AQ358" i="62"/>
  <c r="AY354" i="62"/>
  <c r="O350" i="62"/>
  <c r="O336" i="62"/>
  <c r="AO333" i="62"/>
  <c r="BD345" i="62"/>
  <c r="BG351" i="62"/>
  <c r="AU349" i="62"/>
  <c r="BE349" i="62"/>
  <c r="AY328" i="62"/>
  <c r="BH335" i="62"/>
  <c r="O328" i="62"/>
  <c r="AK326" i="62"/>
  <c r="AK354" i="62"/>
  <c r="BC367" i="62"/>
  <c r="K644" i="35"/>
  <c r="K559" i="35"/>
  <c r="K473" i="35"/>
  <c r="K387" i="35"/>
  <c r="K385" i="35"/>
  <c r="K299" i="35"/>
  <c r="K213" i="35"/>
  <c r="K127" i="35"/>
  <c r="K41" i="35"/>
  <c r="P644" i="35"/>
  <c r="P559" i="35"/>
  <c r="P473" i="35"/>
  <c r="P387" i="35"/>
  <c r="P385" i="35"/>
  <c r="P299" i="35"/>
  <c r="P213" i="35"/>
  <c r="P127" i="35"/>
  <c r="P41" i="35"/>
  <c r="I467" i="35"/>
  <c r="I121" i="35"/>
  <c r="I119" i="35"/>
  <c r="I553" i="35"/>
  <c r="I551" i="35"/>
  <c r="I207" i="35"/>
  <c r="I638" i="35"/>
  <c r="I636" i="35"/>
  <c r="I293" i="35"/>
  <c r="I381" i="35"/>
  <c r="I35" i="35"/>
  <c r="N638" i="35"/>
  <c r="N636" i="35"/>
  <c r="N553" i="35"/>
  <c r="N551" i="35"/>
  <c r="N467" i="35"/>
  <c r="N465" i="35"/>
  <c r="N381" i="35"/>
  <c r="N379" i="35"/>
  <c r="N293" i="35"/>
  <c r="N291" i="35"/>
  <c r="N207" i="35"/>
  <c r="N205" i="35"/>
  <c r="N121" i="35"/>
  <c r="N119" i="35"/>
  <c r="N35" i="35"/>
  <c r="N33" i="35"/>
  <c r="S638" i="35"/>
  <c r="S636" i="35"/>
  <c r="S553" i="35"/>
  <c r="S551" i="35"/>
  <c r="S467" i="35"/>
  <c r="S465" i="35"/>
  <c r="S381" i="35"/>
  <c r="S379" i="35"/>
  <c r="S293" i="35"/>
  <c r="S291" i="35"/>
  <c r="S207" i="35"/>
  <c r="S205" i="35"/>
  <c r="S121" i="35"/>
  <c r="S119" i="35"/>
  <c r="S35" i="35"/>
  <c r="S33" i="35"/>
  <c r="H641" i="35"/>
  <c r="H296" i="35"/>
  <c r="H294" i="35"/>
  <c r="H384" i="35"/>
  <c r="H382" i="35"/>
  <c r="H38" i="35"/>
  <c r="H470" i="35"/>
  <c r="H468" i="35"/>
  <c r="H124" i="35"/>
  <c r="H122" i="35"/>
  <c r="H556" i="35"/>
  <c r="H554" i="35"/>
  <c r="H210" i="35"/>
  <c r="H208" i="35"/>
  <c r="K641" i="35"/>
  <c r="K639" i="35"/>
  <c r="K556" i="35"/>
  <c r="K554" i="35"/>
  <c r="K470" i="35"/>
  <c r="K468" i="35"/>
  <c r="K384" i="35"/>
  <c r="K382" i="35"/>
  <c r="K296" i="35"/>
  <c r="K294" i="35"/>
  <c r="K210" i="35"/>
  <c r="K208" i="35"/>
  <c r="K124" i="35"/>
  <c r="K122" i="35"/>
  <c r="K38" i="35"/>
  <c r="K36" i="35"/>
  <c r="M641" i="35"/>
  <c r="M639" i="35"/>
  <c r="M556" i="35"/>
  <c r="M554" i="35"/>
  <c r="M470" i="35"/>
  <c r="M468" i="35"/>
  <c r="M384" i="35"/>
  <c r="M382" i="35"/>
  <c r="M296" i="35"/>
  <c r="M294" i="35"/>
  <c r="M210" i="35"/>
  <c r="M208" i="35"/>
  <c r="M124" i="35"/>
  <c r="M122" i="35"/>
  <c r="M38" i="35"/>
  <c r="M36" i="35"/>
  <c r="P641" i="35"/>
  <c r="P639" i="35"/>
  <c r="P556" i="35"/>
  <c r="P554" i="35"/>
  <c r="P470" i="35"/>
  <c r="P468" i="35"/>
  <c r="P384" i="35"/>
  <c r="P382" i="35"/>
  <c r="P296" i="35"/>
  <c r="P294" i="35"/>
  <c r="P210" i="35"/>
  <c r="P208" i="35"/>
  <c r="P124" i="35"/>
  <c r="P122" i="35"/>
  <c r="P38" i="35"/>
  <c r="P36" i="35"/>
  <c r="S641" i="35"/>
  <c r="S639" i="35"/>
  <c r="S556" i="35"/>
  <c r="S470" i="35"/>
  <c r="S468" i="35"/>
  <c r="S384" i="35"/>
  <c r="S296" i="35"/>
  <c r="S210" i="35"/>
  <c r="S124" i="35"/>
  <c r="S122" i="35"/>
  <c r="S38" i="35"/>
  <c r="I644" i="35"/>
  <c r="I299" i="35"/>
  <c r="I387" i="35"/>
  <c r="I41" i="35"/>
  <c r="I473" i="35"/>
  <c r="I127" i="35"/>
  <c r="I559" i="35"/>
  <c r="I213" i="35"/>
  <c r="I211" i="35"/>
  <c r="N644" i="35"/>
  <c r="N559" i="35"/>
  <c r="N473" i="35"/>
  <c r="N387" i="35"/>
  <c r="N299" i="35"/>
  <c r="N213" i="35"/>
  <c r="N211" i="35"/>
  <c r="N127" i="35"/>
  <c r="N41" i="35"/>
  <c r="S644" i="35"/>
  <c r="S559" i="35"/>
  <c r="S473" i="35"/>
  <c r="S387" i="35"/>
  <c r="S299" i="35"/>
  <c r="S213" i="35"/>
  <c r="S211" i="35"/>
  <c r="S127" i="35"/>
  <c r="S41" i="35"/>
  <c r="K638" i="35"/>
  <c r="K553" i="35"/>
  <c r="K551" i="35"/>
  <c r="K467" i="35"/>
  <c r="K381" i="35"/>
  <c r="K293" i="35"/>
  <c r="K207" i="35"/>
  <c r="K121" i="35"/>
  <c r="K35" i="35"/>
  <c r="P638" i="35"/>
  <c r="P636" i="35"/>
  <c r="P553" i="35"/>
  <c r="P467" i="35"/>
  <c r="P381" i="35"/>
  <c r="P379" i="35"/>
  <c r="P293" i="35"/>
  <c r="P207" i="35"/>
  <c r="P121" i="35"/>
  <c r="P35" i="35"/>
  <c r="R641" i="35"/>
  <c r="R639" i="35"/>
  <c r="R556" i="35"/>
  <c r="R554" i="35"/>
  <c r="R470" i="35"/>
  <c r="R468" i="35"/>
  <c r="R384" i="35"/>
  <c r="R382" i="35"/>
  <c r="R296" i="35"/>
  <c r="R294" i="35"/>
  <c r="R210" i="35"/>
  <c r="R208" i="35"/>
  <c r="R124" i="35"/>
  <c r="R122" i="35"/>
  <c r="R38" i="35"/>
  <c r="R36" i="35"/>
  <c r="H387" i="35"/>
  <c r="H41" i="35"/>
  <c r="H473" i="35"/>
  <c r="H127" i="35"/>
  <c r="H559" i="35"/>
  <c r="H213" i="35"/>
  <c r="H211" i="35"/>
  <c r="H644" i="35"/>
  <c r="H299" i="35"/>
  <c r="M644" i="35"/>
  <c r="M559" i="35"/>
  <c r="M473" i="35"/>
  <c r="M387" i="35"/>
  <c r="M299" i="35"/>
  <c r="M213" i="35"/>
  <c r="M211" i="35"/>
  <c r="M127" i="35"/>
  <c r="M41" i="35"/>
  <c r="R644" i="35"/>
  <c r="R559" i="35"/>
  <c r="R473" i="35"/>
  <c r="R387" i="35"/>
  <c r="R299" i="35"/>
  <c r="R213" i="35"/>
  <c r="R211" i="35"/>
  <c r="R127" i="35"/>
  <c r="R41" i="35"/>
  <c r="G467" i="35"/>
  <c r="G121" i="35"/>
  <c r="G553" i="35"/>
  <c r="G207" i="35"/>
  <c r="G638" i="35"/>
  <c r="G293" i="35"/>
  <c r="G381" i="35"/>
  <c r="G35" i="35"/>
  <c r="L638" i="35"/>
  <c r="L636" i="35"/>
  <c r="L553" i="35"/>
  <c r="L467" i="35"/>
  <c r="L381" i="35"/>
  <c r="L293" i="35"/>
  <c r="L207" i="35"/>
  <c r="L205" i="35"/>
  <c r="L121" i="35"/>
  <c r="L35" i="35"/>
  <c r="Q638" i="35"/>
  <c r="Q636" i="35"/>
  <c r="Q553" i="35"/>
  <c r="Q467" i="35"/>
  <c r="Q465" i="35"/>
  <c r="Q381" i="35"/>
  <c r="Q293" i="35"/>
  <c r="Q207" i="35"/>
  <c r="Q205" i="35"/>
  <c r="Q121" i="35"/>
  <c r="Q35" i="35"/>
  <c r="G556" i="35"/>
  <c r="G554" i="35"/>
  <c r="G210" i="35"/>
  <c r="G208" i="35"/>
  <c r="G641" i="35"/>
  <c r="G639" i="35"/>
  <c r="G296" i="35"/>
  <c r="G294" i="35"/>
  <c r="G384" i="35"/>
  <c r="G382" i="35"/>
  <c r="G38" i="35"/>
  <c r="G36" i="35"/>
  <c r="G470" i="35"/>
  <c r="G468" i="35"/>
  <c r="G124" i="35"/>
  <c r="G122" i="35"/>
  <c r="I556" i="35"/>
  <c r="I554" i="35"/>
  <c r="I210" i="35"/>
  <c r="I208" i="35"/>
  <c r="I641" i="35"/>
  <c r="I639" i="35"/>
  <c r="I296" i="35"/>
  <c r="I294" i="35"/>
  <c r="I384" i="35"/>
  <c r="I382" i="35"/>
  <c r="I38" i="35"/>
  <c r="I36" i="35"/>
  <c r="I470" i="35"/>
  <c r="I468" i="35"/>
  <c r="I124" i="35"/>
  <c r="I122" i="35"/>
  <c r="L641" i="35"/>
  <c r="L556" i="35"/>
  <c r="L554" i="35"/>
  <c r="L470" i="35"/>
  <c r="L468" i="35"/>
  <c r="L384" i="35"/>
  <c r="L296" i="35"/>
  <c r="L210" i="35"/>
  <c r="L124" i="35"/>
  <c r="L122" i="35"/>
  <c r="L38" i="35"/>
  <c r="N641" i="35"/>
  <c r="N639" i="35"/>
  <c r="N556" i="35"/>
  <c r="N554" i="35"/>
  <c r="N470" i="35"/>
  <c r="N468" i="35"/>
  <c r="N384" i="35"/>
  <c r="N382" i="35"/>
  <c r="N296" i="35"/>
  <c r="N294" i="35"/>
  <c r="N210" i="35"/>
  <c r="N208" i="35"/>
  <c r="N124" i="35"/>
  <c r="N122" i="35"/>
  <c r="N38" i="35"/>
  <c r="N36" i="35"/>
  <c r="Q641" i="35"/>
  <c r="Q639" i="35"/>
  <c r="Q556" i="35"/>
  <c r="Q554" i="35"/>
  <c r="Q470" i="35"/>
  <c r="Q468" i="35"/>
  <c r="Q384" i="35"/>
  <c r="Q382" i="35"/>
  <c r="Q296" i="35"/>
  <c r="Q294" i="35"/>
  <c r="Q210" i="35"/>
  <c r="Q208" i="35"/>
  <c r="Q124" i="35"/>
  <c r="Q122" i="35"/>
  <c r="Q38" i="35"/>
  <c r="Q36" i="35"/>
  <c r="G644" i="35"/>
  <c r="G299" i="35"/>
  <c r="G387" i="35"/>
  <c r="G41" i="35"/>
  <c r="G127" i="35"/>
  <c r="G559" i="35"/>
  <c r="G213" i="35"/>
  <c r="L644" i="35"/>
  <c r="L559" i="35"/>
  <c r="L473" i="35"/>
  <c r="L387" i="35"/>
  <c r="L385" i="35"/>
  <c r="L299" i="35"/>
  <c r="L213" i="35"/>
  <c r="L127" i="35"/>
  <c r="L41" i="35"/>
  <c r="Q644" i="35"/>
  <c r="Q559" i="35"/>
  <c r="Q473" i="35"/>
  <c r="Q387" i="35"/>
  <c r="Q385" i="35"/>
  <c r="Q299" i="35"/>
  <c r="Q213" i="35"/>
  <c r="Q127" i="35"/>
  <c r="Q41" i="35"/>
  <c r="H553" i="35"/>
  <c r="H207" i="35"/>
  <c r="H638" i="35"/>
  <c r="H636" i="35"/>
  <c r="H293" i="35"/>
  <c r="H291" i="35"/>
  <c r="H381" i="35"/>
  <c r="H35" i="35"/>
  <c r="H467" i="35"/>
  <c r="H121" i="35"/>
  <c r="M638" i="35"/>
  <c r="M636" i="35"/>
  <c r="M553" i="35"/>
  <c r="M551" i="35"/>
  <c r="M467" i="35"/>
  <c r="M465" i="35"/>
  <c r="M381" i="35"/>
  <c r="M379" i="35"/>
  <c r="M293" i="35"/>
  <c r="M291" i="35"/>
  <c r="M207" i="35"/>
  <c r="M205" i="35"/>
  <c r="M121" i="35"/>
  <c r="M119" i="35"/>
  <c r="M35" i="35"/>
  <c r="M33" i="35"/>
  <c r="R638" i="35"/>
  <c r="R636" i="35"/>
  <c r="R553" i="35"/>
  <c r="R467" i="35"/>
  <c r="R381" i="35"/>
  <c r="R293" i="35"/>
  <c r="R207" i="35"/>
  <c r="R121" i="35"/>
  <c r="R35" i="35"/>
  <c r="P172" i="58"/>
  <c r="P192" i="58"/>
  <c r="G316" i="62" a="1"/>
  <c r="G316" i="62"/>
  <c r="AI319" i="62"/>
  <c r="AY304" i="62"/>
  <c r="BC303" i="62"/>
  <c r="BC299" i="62"/>
  <c r="AP322" i="62"/>
  <c r="AY308" i="62"/>
  <c r="BG308" i="62"/>
  <c r="BG304" i="62"/>
  <c r="AU304" i="62"/>
  <c r="AD297" i="62"/>
  <c r="AD298" i="62"/>
  <c r="BC304" i="62"/>
  <c r="AD300" i="62"/>
  <c r="AD301" i="62"/>
  <c r="AD305" i="62"/>
  <c r="AH321" i="62"/>
  <c r="AD304" i="62"/>
  <c r="AD302" i="62"/>
  <c r="AD303" i="62"/>
  <c r="AY316" i="62"/>
  <c r="BI316" i="62"/>
  <c r="BH316" i="62"/>
  <c r="AK316" i="62"/>
  <c r="AV316" i="62"/>
  <c r="AZ311" i="62"/>
  <c r="BC301" i="62"/>
  <c r="BC297" i="62"/>
  <c r="AK315" i="62"/>
  <c r="AU300" i="62"/>
  <c r="BC300" i="62"/>
  <c r="BG300" i="62"/>
  <c r="AL318" i="62"/>
  <c r="AU307" i="62"/>
  <c r="BC307" i="62"/>
  <c r="S315" i="62"/>
  <c r="AD315" i="62"/>
  <c r="AH308" i="62"/>
  <c r="W308" i="62"/>
  <c r="O305" i="62"/>
  <c r="O301" i="62"/>
  <c r="O297" i="62"/>
  <c r="O312" i="62"/>
  <c r="O308" i="62"/>
  <c r="O304" i="62"/>
  <c r="O300" i="62"/>
  <c r="BC315" i="62"/>
  <c r="P221" i="58"/>
  <c r="P231" i="58"/>
  <c r="G204" i="35"/>
  <c r="G202" i="35"/>
  <c r="G464" i="35"/>
  <c r="G118" i="35"/>
  <c r="G378" i="35"/>
  <c r="G32" i="35"/>
  <c r="G635" i="35"/>
  <c r="G290" i="35"/>
  <c r="G632" i="35"/>
  <c r="G630" i="35"/>
  <c r="G287" i="35"/>
  <c r="G201" i="35"/>
  <c r="G461" i="35"/>
  <c r="G459" i="35"/>
  <c r="G115" i="35"/>
  <c r="G113" i="35"/>
  <c r="G375" i="35"/>
  <c r="G373" i="35"/>
  <c r="G29" i="35"/>
  <c r="G27" i="35"/>
  <c r="L635" i="35"/>
  <c r="L633" i="35"/>
  <c r="L464" i="35"/>
  <c r="L462" i="35"/>
  <c r="L378" i="35"/>
  <c r="L376" i="35"/>
  <c r="L290" i="35"/>
  <c r="L288" i="35"/>
  <c r="L204" i="35"/>
  <c r="L202" i="35"/>
  <c r="L118" i="35"/>
  <c r="L116" i="35"/>
  <c r="L32" i="35"/>
  <c r="L30" i="35"/>
  <c r="L632" i="35"/>
  <c r="L630" i="35"/>
  <c r="L461" i="35"/>
  <c r="L459" i="35"/>
  <c r="L375" i="35"/>
  <c r="L373" i="35"/>
  <c r="L287" i="35"/>
  <c r="L285" i="35"/>
  <c r="L201" i="35"/>
  <c r="L199" i="35"/>
  <c r="L115" i="35"/>
  <c r="L113" i="35"/>
  <c r="L29" i="35"/>
  <c r="L27" i="35"/>
  <c r="P635" i="35"/>
  <c r="P464" i="35"/>
  <c r="P378" i="35"/>
  <c r="P376" i="35"/>
  <c r="P290" i="35"/>
  <c r="P204" i="35"/>
  <c r="P118" i="35"/>
  <c r="P32" i="35"/>
  <c r="P632" i="35"/>
  <c r="P461" i="35"/>
  <c r="P375" i="35"/>
  <c r="P373" i="35"/>
  <c r="P287" i="35"/>
  <c r="P285" i="35"/>
  <c r="P201" i="35"/>
  <c r="P115" i="35"/>
  <c r="P29" i="35"/>
  <c r="P27" i="35"/>
  <c r="R632" i="35"/>
  <c r="R461" i="35"/>
  <c r="R375" i="35"/>
  <c r="R287" i="35"/>
  <c r="R201" i="35"/>
  <c r="R115" i="35"/>
  <c r="R29" i="35"/>
  <c r="R27" i="35"/>
  <c r="I548" i="35"/>
  <c r="I204" i="35"/>
  <c r="I202" i="35"/>
  <c r="I464" i="35"/>
  <c r="I462" i="35"/>
  <c r="I118" i="35"/>
  <c r="I116" i="35"/>
  <c r="I378" i="35"/>
  <c r="I376" i="35"/>
  <c r="I32" i="35"/>
  <c r="I30" i="35"/>
  <c r="I635" i="35"/>
  <c r="I633" i="35"/>
  <c r="I290" i="35"/>
  <c r="I288" i="35"/>
  <c r="N635" i="35"/>
  <c r="N633" i="35"/>
  <c r="N464" i="35"/>
  <c r="N462" i="35"/>
  <c r="N378" i="35"/>
  <c r="N376" i="35"/>
  <c r="N290" i="35"/>
  <c r="N288" i="35"/>
  <c r="N204" i="35"/>
  <c r="N202" i="35"/>
  <c r="N118" i="35"/>
  <c r="N116" i="35"/>
  <c r="N32" i="35"/>
  <c r="N30" i="35"/>
  <c r="N632" i="35"/>
  <c r="N630" i="35"/>
  <c r="N461" i="35"/>
  <c r="N459" i="35"/>
  <c r="N375" i="35"/>
  <c r="N373" i="35"/>
  <c r="N287" i="35"/>
  <c r="N285" i="35"/>
  <c r="N201" i="35"/>
  <c r="N199" i="35"/>
  <c r="N115" i="35"/>
  <c r="N113" i="35"/>
  <c r="N29" i="35"/>
  <c r="N27" i="35"/>
  <c r="R635" i="35"/>
  <c r="R633" i="35"/>
  <c r="R464" i="35"/>
  <c r="R462" i="35"/>
  <c r="R378" i="35"/>
  <c r="R376" i="35"/>
  <c r="R290" i="35"/>
  <c r="R288" i="35"/>
  <c r="R204" i="35"/>
  <c r="R202" i="35"/>
  <c r="R118" i="35"/>
  <c r="R116" i="35"/>
  <c r="R32" i="35"/>
  <c r="R30" i="35"/>
  <c r="S635" i="35"/>
  <c r="S633" i="35"/>
  <c r="S464" i="35"/>
  <c r="S462" i="35"/>
  <c r="S378" i="35"/>
  <c r="S376" i="35"/>
  <c r="S290" i="35"/>
  <c r="S288" i="35"/>
  <c r="S204" i="35"/>
  <c r="S202" i="35"/>
  <c r="S118" i="35"/>
  <c r="S116" i="35"/>
  <c r="S32" i="35"/>
  <c r="S30" i="35"/>
  <c r="H464" i="35"/>
  <c r="H462" i="35"/>
  <c r="H118" i="35"/>
  <c r="H116" i="35"/>
  <c r="H378" i="35"/>
  <c r="H376" i="35"/>
  <c r="H32" i="35"/>
  <c r="H30" i="35"/>
  <c r="H635" i="35"/>
  <c r="H633" i="35"/>
  <c r="H290" i="35"/>
  <c r="H288" i="35"/>
  <c r="H204" i="35"/>
  <c r="H202" i="35"/>
  <c r="K635" i="35"/>
  <c r="K464" i="35"/>
  <c r="K378" i="35"/>
  <c r="K376" i="35"/>
  <c r="K290" i="35"/>
  <c r="K204" i="35"/>
  <c r="K118" i="35"/>
  <c r="K32" i="35"/>
  <c r="K632" i="35"/>
  <c r="K461" i="35"/>
  <c r="K375" i="35"/>
  <c r="K287" i="35"/>
  <c r="K201" i="35"/>
  <c r="K115" i="35"/>
  <c r="K29" i="35"/>
  <c r="O546" i="35"/>
  <c r="H201" i="35"/>
  <c r="H461" i="35"/>
  <c r="H115" i="35"/>
  <c r="H113" i="35"/>
  <c r="H375" i="35"/>
  <c r="H373" i="35"/>
  <c r="H29" i="35"/>
  <c r="H27" i="35"/>
  <c r="H632" i="35"/>
  <c r="H287" i="35"/>
  <c r="I632" i="35"/>
  <c r="I630" i="35"/>
  <c r="I287" i="35"/>
  <c r="I285" i="35"/>
  <c r="I545" i="35"/>
  <c r="I201" i="35"/>
  <c r="I199" i="35"/>
  <c r="I461" i="35"/>
  <c r="I459" i="35"/>
  <c r="I115" i="35"/>
  <c r="I113" i="35"/>
  <c r="I375" i="35"/>
  <c r="I373" i="35"/>
  <c r="I29" i="35"/>
  <c r="I27" i="35"/>
  <c r="M635" i="35"/>
  <c r="M633" i="35"/>
  <c r="M464" i="35"/>
  <c r="M462" i="35"/>
  <c r="M378" i="35"/>
  <c r="M376" i="35"/>
  <c r="M290" i="35"/>
  <c r="M288" i="35"/>
  <c r="M204" i="35"/>
  <c r="M202" i="35"/>
  <c r="M118" i="35"/>
  <c r="M116" i="35"/>
  <c r="M32" i="35"/>
  <c r="M30" i="35"/>
  <c r="M632" i="35"/>
  <c r="M630" i="35"/>
  <c r="M461" i="35"/>
  <c r="M459" i="35"/>
  <c r="M375" i="35"/>
  <c r="M287" i="35"/>
  <c r="M201" i="35"/>
  <c r="M115" i="35"/>
  <c r="M113" i="35"/>
  <c r="M29" i="35"/>
  <c r="Q635" i="35"/>
  <c r="Q633" i="35"/>
  <c r="Q548" i="35"/>
  <c r="Q464" i="35"/>
  <c r="Q462" i="35"/>
  <c r="Q378" i="35"/>
  <c r="Q376" i="35"/>
  <c r="Q290" i="35"/>
  <c r="Q288" i="35"/>
  <c r="Q204" i="35"/>
  <c r="Q202" i="35"/>
  <c r="Q118" i="35"/>
  <c r="Q116" i="35"/>
  <c r="Q32" i="35"/>
  <c r="Q30" i="35"/>
  <c r="Q632" i="35"/>
  <c r="Q630" i="35"/>
  <c r="Q461" i="35"/>
  <c r="Q459" i="35"/>
  <c r="Q375" i="35"/>
  <c r="Q373" i="35"/>
  <c r="Q287" i="35"/>
  <c r="Q285" i="35"/>
  <c r="Q201" i="35"/>
  <c r="Q199" i="35"/>
  <c r="Q115" i="35"/>
  <c r="Q113" i="35"/>
  <c r="Q29" i="35"/>
  <c r="Q27" i="35"/>
  <c r="S632" i="35"/>
  <c r="S630" i="35"/>
  <c r="S461" i="35"/>
  <c r="S459" i="35"/>
  <c r="S375" i="35"/>
  <c r="S373" i="35"/>
  <c r="S287" i="35"/>
  <c r="S285" i="35"/>
  <c r="S201" i="35"/>
  <c r="S199" i="35"/>
  <c r="S115" i="35"/>
  <c r="S113" i="35"/>
  <c r="S29" i="35"/>
  <c r="S27" i="35"/>
  <c r="W296" i="62"/>
  <c r="AH296" i="62"/>
  <c r="AD313" i="62"/>
  <c r="S313" i="62"/>
  <c r="S312" i="62"/>
  <c r="AD312" i="62"/>
  <c r="W311" i="62"/>
  <c r="AH311" i="62"/>
  <c r="AC316" i="62"/>
  <c r="AL316" i="62"/>
  <c r="AP315" i="62"/>
  <c r="AG315" i="62"/>
  <c r="AU306" i="62"/>
  <c r="BG306" i="62"/>
  <c r="AY306" i="62"/>
  <c r="BC306" i="62"/>
  <c r="AK311" i="62"/>
  <c r="AG311" i="62"/>
  <c r="AC311" i="62"/>
  <c r="AO311" i="62"/>
  <c r="BC305" i="62"/>
  <c r="BG305" i="62"/>
  <c r="AU305" i="62"/>
  <c r="AZ320" i="62"/>
  <c r="BA320" i="62"/>
  <c r="AZ315" i="62"/>
  <c r="AO315" i="62"/>
  <c r="AO313" i="62"/>
  <c r="AG313" i="62"/>
  <c r="AC313" i="62"/>
  <c r="AL312" i="62"/>
  <c r="AC312" i="62"/>
  <c r="BD303" i="62"/>
  <c r="AU303" i="62"/>
  <c r="W309" i="62"/>
  <c r="S316" i="62"/>
  <c r="AD316" i="62"/>
  <c r="AK317" i="62"/>
  <c r="AG317" i="62"/>
  <c r="AC317" i="62"/>
  <c r="AO317" i="62"/>
  <c r="AL314" i="62"/>
  <c r="AC314" i="62"/>
  <c r="AV310" i="62"/>
  <c r="AK310" i="62"/>
  <c r="BC308" i="62"/>
  <c r="K312" i="62"/>
  <c r="H296" i="62" a="1"/>
  <c r="H296" i="62"/>
  <c r="AG310" i="62"/>
  <c r="AQ310" i="62"/>
  <c r="AK313" i="62"/>
  <c r="AK312" i="62"/>
  <c r="AK314" i="62"/>
  <c r="BG303" i="62"/>
  <c r="AH306" i="62"/>
  <c r="W306" i="62"/>
  <c r="W307" i="62"/>
  <c r="K299" i="62"/>
  <c r="AL315" i="62"/>
  <c r="AC315" i="62"/>
  <c r="O313" i="62"/>
  <c r="S317" i="62"/>
  <c r="BG315" i="62"/>
  <c r="BG312" i="62"/>
  <c r="BC310" i="62"/>
  <c r="AP318" i="62"/>
  <c r="BC312" i="62"/>
  <c r="BG307" i="62"/>
  <c r="BC316" i="62"/>
  <c r="K304" i="62"/>
  <c r="O411" i="62"/>
  <c r="Q411" i="62"/>
  <c r="BC418" i="62"/>
  <c r="AY408" i="62"/>
  <c r="AG396" i="62"/>
  <c r="BD417" i="62"/>
  <c r="BC402" i="62"/>
  <c r="BC400" i="62"/>
  <c r="BG398" i="62"/>
  <c r="AV397" i="62"/>
  <c r="AY412" i="62"/>
  <c r="AY414" i="62"/>
  <c r="BD402" i="62"/>
  <c r="AZ412" i="62"/>
  <c r="AZ406" i="62"/>
  <c r="O413" i="62"/>
  <c r="Q413" i="62"/>
  <c r="AG408" i="62"/>
  <c r="AZ418" i="62"/>
  <c r="AG404" i="62"/>
  <c r="AG400" i="62"/>
  <c r="AG398" i="62"/>
  <c r="BD418" i="62"/>
  <c r="P46" i="35"/>
  <c r="R132" i="35"/>
  <c r="F478" i="35"/>
  <c r="F477" i="35"/>
  <c r="H649" i="35"/>
  <c r="H648" i="35"/>
  <c r="F304" i="35"/>
  <c r="F303" i="35"/>
  <c r="H304" i="35"/>
  <c r="H303" i="35"/>
  <c r="F392" i="35"/>
  <c r="F391" i="35"/>
  <c r="K392" i="35"/>
  <c r="K478" i="35"/>
  <c r="F564" i="35"/>
  <c r="F563" i="35"/>
  <c r="K564" i="35"/>
  <c r="K649" i="35"/>
  <c r="F46" i="35"/>
  <c r="F45" i="35"/>
  <c r="K46" i="35"/>
  <c r="F132" i="35"/>
  <c r="F131" i="35"/>
  <c r="K132" i="35"/>
  <c r="F218" i="35"/>
  <c r="F217" i="35"/>
  <c r="K218" i="35"/>
  <c r="M392" i="35"/>
  <c r="P478" i="35"/>
  <c r="P564" i="35"/>
  <c r="P649" i="35"/>
  <c r="M46" i="35"/>
  <c r="P132" i="35"/>
  <c r="P218" i="35"/>
  <c r="P304" i="35"/>
  <c r="R478" i="35"/>
  <c r="AY105" i="61"/>
  <c r="AY98" i="61"/>
  <c r="AO100" i="61"/>
  <c r="W102" i="61"/>
  <c r="Y102" i="61"/>
  <c r="AC104" i="61"/>
  <c r="AE104" i="61"/>
  <c r="AO3" i="61"/>
  <c r="O98" i="61"/>
  <c r="BC98" i="61"/>
  <c r="BG104" i="61"/>
  <c r="AY103" i="61"/>
  <c r="BA103" i="61"/>
  <c r="AG104" i="61"/>
  <c r="AO41" i="61"/>
  <c r="W98" i="61"/>
  <c r="BG48" i="61"/>
  <c r="AG101" i="61"/>
  <c r="AI101" i="61"/>
  <c r="W104" i="61"/>
  <c r="AH99" i="61"/>
  <c r="S102" i="61"/>
  <c r="O104" i="61"/>
  <c r="Q104" i="61"/>
  <c r="W100" i="61"/>
  <c r="O100" i="61"/>
  <c r="Q100" i="61"/>
  <c r="G98" i="61" a="1"/>
  <c r="G98" i="61"/>
  <c r="G104" i="61" a="1"/>
  <c r="G104" i="61"/>
  <c r="S98" i="61"/>
  <c r="O105" i="61"/>
  <c r="Q105" i="61"/>
  <c r="AC100" i="61"/>
  <c r="AE100" i="61"/>
  <c r="AU43" i="61"/>
  <c r="W41" i="61"/>
  <c r="W63" i="61"/>
  <c r="W59" i="61"/>
  <c r="BG63" i="61"/>
  <c r="BG55" i="61"/>
  <c r="BC56" i="61"/>
  <c r="AO6" i="61"/>
  <c r="BG5" i="61"/>
  <c r="W11" i="61"/>
  <c r="S395" i="35"/>
  <c r="N395" i="35"/>
  <c r="G3" i="61" a="1"/>
  <c r="G3" i="61"/>
  <c r="AI70" i="24"/>
  <c r="AJ70" i="24"/>
  <c r="AJ71" i="24"/>
  <c r="AJ69" i="24"/>
  <c r="AI71" i="24"/>
  <c r="H592" i="35"/>
  <c r="H420" i="35"/>
  <c r="H246" i="35"/>
  <c r="H74" i="35"/>
  <c r="H72" i="35"/>
  <c r="H677" i="35"/>
  <c r="H675" i="35"/>
  <c r="H506" i="35"/>
  <c r="H504" i="35"/>
  <c r="H332" i="35"/>
  <c r="H330" i="35"/>
  <c r="H160" i="35"/>
  <c r="M677" i="35"/>
  <c r="M675" i="35"/>
  <c r="M592" i="35"/>
  <c r="M506" i="35"/>
  <c r="M504" i="35"/>
  <c r="M420" i="35"/>
  <c r="M418" i="35"/>
  <c r="M332" i="35"/>
  <c r="M246" i="35"/>
  <c r="M244" i="35"/>
  <c r="M160" i="35"/>
  <c r="M158" i="35"/>
  <c r="M74" i="35"/>
  <c r="R420" i="35"/>
  <c r="R418" i="35"/>
  <c r="R332" i="35"/>
  <c r="R330" i="35"/>
  <c r="R246" i="35"/>
  <c r="R244" i="35"/>
  <c r="R160" i="35"/>
  <c r="R158" i="35"/>
  <c r="R74" i="35"/>
  <c r="R72" i="35"/>
  <c r="R677" i="35"/>
  <c r="R592" i="35"/>
  <c r="R590" i="35"/>
  <c r="R506" i="35"/>
  <c r="R504" i="35"/>
  <c r="I592" i="35"/>
  <c r="I420" i="35"/>
  <c r="I418" i="35"/>
  <c r="I246" i="35"/>
  <c r="I74" i="35"/>
  <c r="I677" i="35"/>
  <c r="I675" i="35"/>
  <c r="I506" i="35"/>
  <c r="I504" i="35"/>
  <c r="I332" i="35"/>
  <c r="I330" i="35"/>
  <c r="I160" i="35"/>
  <c r="I158" i="35"/>
  <c r="N677" i="35"/>
  <c r="N675" i="35"/>
  <c r="N592" i="35"/>
  <c r="N506" i="35"/>
  <c r="N504" i="35"/>
  <c r="N420" i="35"/>
  <c r="N418" i="35"/>
  <c r="N332" i="35"/>
  <c r="N246" i="35"/>
  <c r="N244" i="35"/>
  <c r="N160" i="35"/>
  <c r="N74" i="35"/>
  <c r="S677" i="35"/>
  <c r="S592" i="35"/>
  <c r="S506" i="35"/>
  <c r="S504" i="35"/>
  <c r="S420" i="35"/>
  <c r="S332" i="35"/>
  <c r="S246" i="35"/>
  <c r="S244" i="35"/>
  <c r="S160" i="35"/>
  <c r="S74" i="35"/>
  <c r="K160" i="35"/>
  <c r="K158" i="35"/>
  <c r="K677" i="35"/>
  <c r="K592" i="35"/>
  <c r="K590" i="35"/>
  <c r="K506" i="35"/>
  <c r="K504" i="35"/>
  <c r="K420" i="35"/>
  <c r="K332" i="35"/>
  <c r="K246" i="35"/>
  <c r="K244" i="35"/>
  <c r="AC95" i="58"/>
  <c r="K74" i="35"/>
  <c r="K72" i="35"/>
  <c r="P677" i="35"/>
  <c r="P675" i="35"/>
  <c r="P506" i="35"/>
  <c r="P332" i="35"/>
  <c r="P330" i="35"/>
  <c r="P160" i="35"/>
  <c r="P158" i="35"/>
  <c r="P592" i="35"/>
  <c r="P420" i="35"/>
  <c r="P418" i="35"/>
  <c r="P246" i="35"/>
  <c r="P74" i="35"/>
  <c r="P72" i="35"/>
  <c r="G592" i="35"/>
  <c r="G420" i="35"/>
  <c r="G246" i="35"/>
  <c r="G74" i="35"/>
  <c r="G72" i="35"/>
  <c r="G677" i="35"/>
  <c r="G506" i="35"/>
  <c r="G332" i="35"/>
  <c r="G160" i="35"/>
  <c r="L677" i="35"/>
  <c r="L592" i="35"/>
  <c r="L506" i="35"/>
  <c r="L504" i="35"/>
  <c r="L420" i="35"/>
  <c r="L418" i="35"/>
  <c r="L332" i="35"/>
  <c r="L246" i="35"/>
  <c r="L160" i="35"/>
  <c r="L74" i="35"/>
  <c r="Q677" i="35"/>
  <c r="Q592" i="35"/>
  <c r="Q590" i="35"/>
  <c r="Q506" i="35"/>
  <c r="Q420" i="35"/>
  <c r="Q332" i="35"/>
  <c r="Q246" i="35"/>
  <c r="Q160" i="35"/>
  <c r="Q74" i="35"/>
  <c r="O62" i="55"/>
  <c r="AV62" i="55"/>
  <c r="AK62" i="55"/>
  <c r="BG62" i="55"/>
  <c r="BC23" i="55"/>
  <c r="BC21" i="55"/>
  <c r="AU11" i="55"/>
  <c r="AW11" i="55"/>
  <c r="AY4" i="55"/>
  <c r="AG8" i="55"/>
  <c r="AK6" i="55"/>
  <c r="AJ48" i="24"/>
  <c r="AI45" i="24"/>
  <c r="AJ37" i="24"/>
  <c r="AJ40" i="24"/>
  <c r="AJ41" i="24"/>
  <c r="AJ43" i="24"/>
  <c r="AJ45" i="24"/>
  <c r="BG13" i="55"/>
  <c r="BG3" i="55"/>
  <c r="AY20" i="55"/>
  <c r="BI20" i="55"/>
  <c r="AJ30" i="24"/>
  <c r="S17" i="55"/>
  <c r="W7" i="55"/>
  <c r="AG5" i="55"/>
  <c r="AO4" i="55"/>
  <c r="BA4" i="55"/>
  <c r="AK19" i="55"/>
  <c r="AI28" i="24"/>
  <c r="AJ31" i="24"/>
  <c r="AJ33" i="24"/>
  <c r="AJ34" i="24"/>
  <c r="AJ42" i="24"/>
  <c r="AJ16" i="24"/>
  <c r="AI47" i="24"/>
  <c r="AI48" i="24"/>
  <c r="AI46" i="24"/>
  <c r="T44" i="24"/>
  <c r="AJ44" i="24"/>
  <c r="O17" i="55"/>
  <c r="AI33" i="24"/>
  <c r="AI34" i="24"/>
  <c r="AJ35" i="24"/>
  <c r="AI41" i="24"/>
  <c r="AI43" i="24"/>
  <c r="AI38" i="24"/>
  <c r="AJ27" i="24"/>
  <c r="K7" i="55"/>
  <c r="S24" i="55"/>
  <c r="W17" i="55"/>
  <c r="AI39" i="24"/>
  <c r="AI36" i="24"/>
  <c r="AI35" i="24"/>
  <c r="AI37" i="24"/>
  <c r="AI18" i="24"/>
  <c r="AJ22" i="24"/>
  <c r="AJ38" i="24"/>
  <c r="G57" i="55" a="1"/>
  <c r="G57" i="55"/>
  <c r="G54" i="55" a="1"/>
  <c r="G54" i="55"/>
  <c r="G51" i="55" a="1"/>
  <c r="G51" i="55"/>
  <c r="G44" i="55" a="1"/>
  <c r="G44" i="55"/>
  <c r="G43" i="55" a="1"/>
  <c r="G43" i="55"/>
  <c r="M23" i="24"/>
  <c r="H42" i="55" a="1"/>
  <c r="H42" i="55"/>
  <c r="G40" i="55" a="1"/>
  <c r="G40" i="55"/>
  <c r="G34" i="55" a="1"/>
  <c r="G34" i="55"/>
  <c r="G32" i="55" a="1"/>
  <c r="G32" i="55"/>
  <c r="AU15" i="55"/>
  <c r="G26" i="55" a="1"/>
  <c r="G26" i="55"/>
  <c r="BG15" i="55"/>
  <c r="K3" i="55"/>
  <c r="G9" i="55" a="1"/>
  <c r="G9" i="55"/>
  <c r="AY30" i="55"/>
  <c r="BI30" i="55"/>
  <c r="BC27" i="55"/>
  <c r="G8" i="55" a="1"/>
  <c r="G8" i="55"/>
  <c r="AY51" i="55"/>
  <c r="O25" i="55"/>
  <c r="Q25" i="55"/>
  <c r="AU17" i="55"/>
  <c r="S28" i="55"/>
  <c r="S6" i="55"/>
  <c r="K6" i="55"/>
  <c r="W6" i="55"/>
  <c r="AI6" i="55"/>
  <c r="O6" i="55"/>
  <c r="AU5" i="55"/>
  <c r="BG5" i="55"/>
  <c r="AI26" i="24"/>
  <c r="AJ21" i="24"/>
  <c r="AJ24" i="24"/>
  <c r="AI16" i="24"/>
  <c r="AJ15" i="24"/>
  <c r="AJ17" i="24"/>
  <c r="AH18" i="24"/>
  <c r="AJ18" i="24"/>
  <c r="AY5" i="55"/>
  <c r="AC32" i="55"/>
  <c r="AO25" i="55"/>
  <c r="BA25" i="55"/>
  <c r="O23" i="55"/>
  <c r="AY11" i="55"/>
  <c r="AJ23" i="24"/>
  <c r="AU23" i="55"/>
  <c r="L674" i="35"/>
  <c r="L672" i="35"/>
  <c r="L589" i="35"/>
  <c r="L503" i="35"/>
  <c r="L417" i="35"/>
  <c r="L329" i="35"/>
  <c r="L243" i="35"/>
  <c r="L157" i="35"/>
  <c r="L71" i="35"/>
  <c r="R674" i="35"/>
  <c r="R589" i="35"/>
  <c r="R587" i="35"/>
  <c r="R503" i="35"/>
  <c r="R417" i="35"/>
  <c r="R415" i="35"/>
  <c r="R329" i="35"/>
  <c r="R243" i="35"/>
  <c r="R157" i="35"/>
  <c r="R71" i="35"/>
  <c r="R69" i="35"/>
  <c r="I417" i="35"/>
  <c r="I71" i="35"/>
  <c r="I243" i="35"/>
  <c r="I674" i="35"/>
  <c r="I672" i="35"/>
  <c r="I503" i="35"/>
  <c r="I157" i="35"/>
  <c r="I589" i="35"/>
  <c r="I329" i="35"/>
  <c r="I327" i="35"/>
  <c r="Q71" i="35"/>
  <c r="Q69" i="35"/>
  <c r="Q674" i="35"/>
  <c r="Q672" i="35"/>
  <c r="Q589" i="35"/>
  <c r="Q503" i="35"/>
  <c r="Q417" i="35"/>
  <c r="Q329" i="35"/>
  <c r="Q243" i="35"/>
  <c r="Q157" i="35"/>
  <c r="G417" i="35"/>
  <c r="G415" i="35"/>
  <c r="G71" i="35"/>
  <c r="G589" i="35"/>
  <c r="G329" i="35"/>
  <c r="G503" i="35"/>
  <c r="G157" i="35"/>
  <c r="G243" i="35"/>
  <c r="G241" i="35"/>
  <c r="G674" i="35"/>
  <c r="M674" i="35"/>
  <c r="M589" i="35"/>
  <c r="M503" i="35"/>
  <c r="M501" i="35"/>
  <c r="M417" i="35"/>
  <c r="M415" i="35"/>
  <c r="M329" i="35"/>
  <c r="M243" i="35"/>
  <c r="M157" i="35"/>
  <c r="M155" i="35"/>
  <c r="M71" i="35"/>
  <c r="M69" i="35"/>
  <c r="S674" i="35"/>
  <c r="S503" i="35"/>
  <c r="S501" i="35"/>
  <c r="S243" i="35"/>
  <c r="S71" i="35"/>
  <c r="S69" i="35"/>
  <c r="S589" i="35"/>
  <c r="S417" i="35"/>
  <c r="S415" i="35"/>
  <c r="S329" i="35"/>
  <c r="S327" i="35"/>
  <c r="S157" i="35"/>
  <c r="P589" i="35"/>
  <c r="P243" i="35"/>
  <c r="P157" i="35"/>
  <c r="P155" i="35"/>
  <c r="P674" i="35"/>
  <c r="P672" i="35"/>
  <c r="P503" i="35"/>
  <c r="P417" i="35"/>
  <c r="P415" i="35"/>
  <c r="P329" i="35"/>
  <c r="P71" i="35"/>
  <c r="P69" i="35"/>
  <c r="K589" i="35"/>
  <c r="K417" i="35"/>
  <c r="K243" i="35"/>
  <c r="K71" i="35"/>
  <c r="K69" i="35"/>
  <c r="K674" i="35"/>
  <c r="K672" i="35"/>
  <c r="K503" i="35"/>
  <c r="K329" i="35"/>
  <c r="K157" i="35"/>
  <c r="K155" i="35"/>
  <c r="H503" i="35"/>
  <c r="H501" i="35"/>
  <c r="H157" i="35"/>
  <c r="H329" i="35"/>
  <c r="H417" i="35"/>
  <c r="H415" i="35"/>
  <c r="H589" i="35"/>
  <c r="H243" i="35"/>
  <c r="H674" i="35"/>
  <c r="H672" i="35"/>
  <c r="H71" i="35"/>
  <c r="H69" i="35"/>
  <c r="N674" i="35"/>
  <c r="N417" i="35"/>
  <c r="N243" i="35"/>
  <c r="N157" i="35"/>
  <c r="N589" i="35"/>
  <c r="N503" i="35"/>
  <c r="N329" i="35"/>
  <c r="N327" i="35"/>
  <c r="N71" i="35"/>
  <c r="N69" i="35"/>
  <c r="AD30" i="55"/>
  <c r="S30" i="55"/>
  <c r="AV25" i="55"/>
  <c r="AK25" i="55"/>
  <c r="AK21" i="55"/>
  <c r="AC21" i="55"/>
  <c r="AJ29" i="24"/>
  <c r="AI31" i="24"/>
  <c r="BC43" i="55"/>
  <c r="AK39" i="55"/>
  <c r="K13" i="55"/>
  <c r="U13" i="55"/>
  <c r="AU4" i="55"/>
  <c r="AY54" i="55"/>
  <c r="BG11" i="55"/>
  <c r="BC17" i="55"/>
  <c r="AC14" i="55"/>
  <c r="AJ26" i="24"/>
  <c r="AJ32" i="24"/>
  <c r="AL4" i="55"/>
  <c r="AC4" i="55"/>
  <c r="AM4" i="55"/>
  <c r="BD23" i="55"/>
  <c r="S49" i="55"/>
  <c r="AK32" i="55"/>
  <c r="X7" i="55"/>
  <c r="O7" i="55"/>
  <c r="Y7" i="55"/>
  <c r="AO5" i="55"/>
  <c r="AI32" i="24"/>
  <c r="AJ25" i="24"/>
  <c r="AI19" i="24"/>
  <c r="AI20" i="24"/>
  <c r="AI17" i="24"/>
  <c r="AI25" i="24"/>
  <c r="AJ19" i="24"/>
  <c r="AI21" i="24"/>
  <c r="AJ28" i="24"/>
  <c r="BC51" i="55"/>
  <c r="BG31" i="55"/>
  <c r="W23" i="55"/>
  <c r="S23" i="55"/>
  <c r="AU22" i="55"/>
  <c r="BG22" i="55"/>
  <c r="T21" i="55"/>
  <c r="K21" i="55"/>
  <c r="M21" i="55"/>
  <c r="S15" i="55"/>
  <c r="O15" i="55"/>
  <c r="Y15" i="55"/>
  <c r="AZ12" i="55"/>
  <c r="AO12" i="55"/>
  <c r="AD7" i="55"/>
  <c r="S7" i="55"/>
  <c r="T30" i="55"/>
  <c r="K30" i="55"/>
  <c r="AL8" i="55"/>
  <c r="AC8" i="55"/>
  <c r="BD6" i="55"/>
  <c r="AU6" i="55"/>
  <c r="BE6" i="55"/>
  <c r="AI23" i="24"/>
  <c r="AI22" i="24"/>
  <c r="AY3" i="55"/>
  <c r="AO46" i="55"/>
  <c r="K32" i="55"/>
  <c r="U32" i="55"/>
  <c r="BD30" i="55"/>
  <c r="AU30" i="55"/>
  <c r="BC26" i="55"/>
  <c r="AC19" i="55"/>
  <c r="AM19" i="55"/>
  <c r="AU18" i="55"/>
  <c r="AO9" i="55"/>
  <c r="AG9" i="55"/>
  <c r="BC3" i="55"/>
  <c r="O28" i="55"/>
  <c r="BG43" i="55"/>
  <c r="BG23" i="55"/>
  <c r="BI23" i="55"/>
  <c r="BC12" i="55"/>
  <c r="BG26" i="55"/>
  <c r="AG40" i="55"/>
  <c r="K23" i="55"/>
  <c r="U23" i="55"/>
  <c r="BC15" i="55"/>
  <c r="BC8" i="55"/>
  <c r="BC5" i="55"/>
  <c r="AC3" i="55"/>
  <c r="AK3" i="55"/>
  <c r="AO3" i="55"/>
  <c r="BD3" i="55"/>
  <c r="AU3" i="55"/>
  <c r="AO50" i="55"/>
  <c r="AG50" i="55"/>
  <c r="AP18" i="55"/>
  <c r="AG18" i="55"/>
  <c r="AO16" i="55"/>
  <c r="AK16" i="55"/>
  <c r="AO14" i="55"/>
  <c r="AK14" i="55"/>
  <c r="AH13" i="55"/>
  <c r="W13" i="55"/>
  <c r="AA14" i="24"/>
  <c r="AJ14" i="24"/>
  <c r="AI14" i="24"/>
  <c r="AC7" i="55"/>
  <c r="AO7" i="55"/>
  <c r="S5" i="55"/>
  <c r="W5" i="55"/>
  <c r="G3" i="55" a="1"/>
  <c r="G3" i="55"/>
  <c r="O5" i="55"/>
  <c r="AU10" i="55"/>
  <c r="AY56" i="55"/>
  <c r="AY52" i="55"/>
  <c r="AU32" i="55"/>
  <c r="BC32" i="55"/>
  <c r="AH30" i="55"/>
  <c r="W30" i="55"/>
  <c r="K26" i="55"/>
  <c r="S26" i="55"/>
  <c r="BC25" i="55"/>
  <c r="K25" i="55"/>
  <c r="M25" i="55"/>
  <c r="W25" i="55"/>
  <c r="K4" i="55"/>
  <c r="AK44" i="55"/>
  <c r="AK38" i="55"/>
  <c r="AK33" i="55"/>
  <c r="AU31" i="55"/>
  <c r="BC31" i="55"/>
  <c r="BH21" i="55"/>
  <c r="AY21" i="55"/>
  <c r="O21" i="55"/>
  <c r="W21" i="55"/>
  <c r="S21" i="55"/>
  <c r="AO20" i="55"/>
  <c r="BA20" i="55"/>
  <c r="AK20" i="55"/>
  <c r="BC22" i="55"/>
  <c r="BG56" i="55"/>
  <c r="BG54" i="55"/>
  <c r="BG52" i="55"/>
  <c r="W49" i="55"/>
  <c r="AO41" i="55"/>
  <c r="AC25" i="55"/>
  <c r="AG11" i="55"/>
  <c r="AG3" i="55"/>
  <c r="BC56" i="55"/>
  <c r="BC54" i="55"/>
  <c r="BC52" i="55"/>
  <c r="BG25" i="55"/>
  <c r="AU13" i="55"/>
  <c r="BC30" i="55"/>
  <c r="BG27" i="55"/>
  <c r="BI27" i="55"/>
  <c r="AG21" i="55"/>
  <c r="AC20" i="55"/>
  <c r="BG18" i="55"/>
  <c r="K17" i="55"/>
  <c r="AC12" i="55"/>
  <c r="AK9" i="55"/>
  <c r="AK8" i="55"/>
  <c r="BG4" i="55"/>
  <c r="BC28" i="55"/>
  <c r="AU12" i="55"/>
  <c r="BE12" i="55"/>
  <c r="BC10" i="55"/>
  <c r="K15" i="55"/>
  <c r="BC13" i="55"/>
  <c r="AK12" i="55"/>
  <c r="AW12" i="55"/>
  <c r="BC11" i="55"/>
  <c r="T60" i="58"/>
  <c r="T31" i="58"/>
  <c r="AU130" i="61"/>
  <c r="BE130" i="61"/>
  <c r="BG145" i="61"/>
  <c r="AY125" i="61"/>
  <c r="BG137" i="61"/>
  <c r="AY198" i="61"/>
  <c r="AY190" i="61"/>
  <c r="AY166" i="61"/>
  <c r="AY150" i="61"/>
  <c r="AY134" i="61"/>
  <c r="BH198" i="61"/>
  <c r="AU114" i="61"/>
  <c r="BG125" i="61"/>
  <c r="BC199" i="61"/>
  <c r="BC191" i="61"/>
  <c r="BC155" i="61"/>
  <c r="BC163" i="61"/>
  <c r="BC143" i="61"/>
  <c r="BC139" i="61"/>
  <c r="BG180" i="61"/>
  <c r="BG164" i="61"/>
  <c r="BG140" i="61"/>
  <c r="BI140" i="61"/>
  <c r="AC124" i="61"/>
  <c r="AP170" i="61"/>
  <c r="AK120" i="61"/>
  <c r="AC116" i="61"/>
  <c r="AM116" i="61"/>
  <c r="AC132" i="61"/>
  <c r="AK112" i="61"/>
  <c r="AK135" i="61"/>
  <c r="AG191" i="61"/>
  <c r="AK143" i="61"/>
  <c r="AC135" i="61"/>
  <c r="AC119" i="61"/>
  <c r="AV184" i="61"/>
  <c r="AK137" i="61"/>
  <c r="AK140" i="61"/>
  <c r="AK149" i="61"/>
  <c r="AK144" i="61"/>
  <c r="AK115" i="61"/>
  <c r="AK183" i="61"/>
  <c r="AK171" i="61"/>
  <c r="AK155" i="61"/>
  <c r="AP130" i="61"/>
  <c r="AO184" i="61"/>
  <c r="AO164" i="61"/>
  <c r="AO152" i="61"/>
  <c r="AO148" i="61"/>
  <c r="AO124" i="61"/>
  <c r="BA124" i="61"/>
  <c r="AV179" i="61"/>
  <c r="AV175" i="61"/>
  <c r="S142" i="61"/>
  <c r="W199" i="61"/>
  <c r="W171" i="61"/>
  <c r="W167" i="61"/>
  <c r="W143" i="61"/>
  <c r="W131" i="61"/>
  <c r="AI131" i="61"/>
  <c r="W127" i="61"/>
  <c r="O117" i="61"/>
  <c r="Y117" i="61"/>
  <c r="O130" i="61"/>
  <c r="O138" i="61"/>
  <c r="S146" i="61"/>
  <c r="O197" i="61"/>
  <c r="O181" i="61"/>
  <c r="O177" i="61"/>
  <c r="O173" i="61"/>
  <c r="O157" i="61"/>
  <c r="O149" i="61"/>
  <c r="Q149" i="61"/>
  <c r="O145" i="61"/>
  <c r="O137" i="61"/>
  <c r="Y137" i="61"/>
  <c r="K125" i="61"/>
  <c r="W185" i="61"/>
  <c r="O178" i="61"/>
  <c r="O174" i="61"/>
  <c r="O154" i="61"/>
  <c r="O122" i="61"/>
  <c r="O114" i="61"/>
  <c r="AO155" i="61"/>
  <c r="W149" i="61"/>
  <c r="AK159" i="61"/>
  <c r="AU141" i="61"/>
  <c r="BG144" i="61"/>
  <c r="BI144" i="61"/>
  <c r="O113" i="61"/>
  <c r="Y113" i="61"/>
  <c r="W135" i="61"/>
  <c r="BG135" i="61"/>
  <c r="BI135" i="61"/>
  <c r="AG145" i="61"/>
  <c r="AC129" i="61"/>
  <c r="O158" i="61"/>
  <c r="BG148" i="61"/>
  <c r="K150" i="61"/>
  <c r="K110" i="61"/>
  <c r="U110" i="61"/>
  <c r="K127" i="61"/>
  <c r="O110" i="61"/>
  <c r="BC110" i="61"/>
  <c r="AG116" i="61"/>
  <c r="AO120" i="61"/>
  <c r="S122" i="61"/>
  <c r="AK124" i="61"/>
  <c r="AO128" i="61"/>
  <c r="AY130" i="61"/>
  <c r="AK132" i="61"/>
  <c r="S134" i="61"/>
  <c r="AO136" i="61"/>
  <c r="O142" i="61"/>
  <c r="AY142" i="61"/>
  <c r="BI142" i="61"/>
  <c r="O146" i="61"/>
  <c r="Y146" i="61"/>
  <c r="AU146" i="61"/>
  <c r="BE146" i="61"/>
  <c r="AC148" i="61"/>
  <c r="AM148" i="61"/>
  <c r="BG150" i="61"/>
  <c r="AG152" i="61"/>
  <c r="AO156" i="61"/>
  <c r="AG160" i="61"/>
  <c r="AU127" i="61"/>
  <c r="AO112" i="61"/>
  <c r="AO116" i="61"/>
  <c r="AY122" i="61"/>
  <c r="BI122" i="61"/>
  <c r="BG130" i="61"/>
  <c r="AO132" i="61"/>
  <c r="K134" i="61"/>
  <c r="AO140" i="61"/>
  <c r="AO144" i="61"/>
  <c r="AG148" i="61"/>
  <c r="O150" i="61"/>
  <c r="AO160" i="61"/>
  <c r="AC125" i="61"/>
  <c r="AU122" i="61"/>
  <c r="BE122" i="61"/>
  <c r="AY158" i="61"/>
  <c r="BI158" i="61"/>
  <c r="AO180" i="61"/>
  <c r="AK197" i="61"/>
  <c r="AK181" i="61"/>
  <c r="AK173" i="61"/>
  <c r="AY155" i="61"/>
  <c r="AK164" i="61"/>
  <c r="BG131" i="61"/>
  <c r="BI131" i="61"/>
  <c r="S147" i="61"/>
  <c r="AC141" i="61"/>
  <c r="AU139" i="61"/>
  <c r="K139" i="61"/>
  <c r="U139" i="61"/>
  <c r="K123" i="61"/>
  <c r="AC121" i="61"/>
  <c r="AM121" i="61"/>
  <c r="AU119" i="61"/>
  <c r="K119" i="61"/>
  <c r="AC117" i="61"/>
  <c r="AM117" i="61"/>
  <c r="AU115" i="61"/>
  <c r="K115" i="61"/>
  <c r="AC113" i="61"/>
  <c r="AM113" i="61"/>
  <c r="AU111" i="61"/>
  <c r="K111" i="61"/>
  <c r="AU159" i="61"/>
  <c r="AY151" i="61"/>
  <c r="BI151" i="61"/>
  <c r="BG109" i="61"/>
  <c r="S157" i="61"/>
  <c r="S149" i="61"/>
  <c r="S145" i="61"/>
  <c r="W130" i="61"/>
  <c r="W122" i="61"/>
  <c r="S121" i="61"/>
  <c r="AG172" i="61"/>
  <c r="AG128" i="61"/>
  <c r="AQ128" i="61"/>
  <c r="W111" i="61"/>
  <c r="BC111" i="61"/>
  <c r="AO113" i="61"/>
  <c r="W115" i="61"/>
  <c r="BC115" i="61"/>
  <c r="AG117" i="61"/>
  <c r="AI117" i="61"/>
  <c r="W119" i="61"/>
  <c r="BG119" i="61"/>
  <c r="BI119" i="61"/>
  <c r="AO121" i="61"/>
  <c r="W123" i="61"/>
  <c r="AK125" i="61"/>
  <c r="AW125" i="61"/>
  <c r="S127" i="61"/>
  <c r="AE127" i="61"/>
  <c r="BC127" i="61"/>
  <c r="AO129" i="61"/>
  <c r="S131" i="61"/>
  <c r="BC131" i="61"/>
  <c r="K135" i="61"/>
  <c r="AU135" i="61"/>
  <c r="AC137" i="61"/>
  <c r="BG139" i="61"/>
  <c r="AO141" i="61"/>
  <c r="BA141" i="61"/>
  <c r="S143" i="61"/>
  <c r="AC145" i="61"/>
  <c r="AM145" i="61"/>
  <c r="K147" i="61"/>
  <c r="W151" i="61"/>
  <c r="AO153" i="61"/>
  <c r="BG163" i="61"/>
  <c r="W162" i="61"/>
  <c r="W170" i="61"/>
  <c r="S117" i="61"/>
  <c r="AE117" i="61"/>
  <c r="S137" i="61"/>
  <c r="AE137" i="61"/>
  <c r="S113" i="61"/>
  <c r="S193" i="61"/>
  <c r="S169" i="61"/>
  <c r="S165" i="61"/>
  <c r="BC125" i="61"/>
  <c r="BE125" i="61"/>
  <c r="S125" i="61"/>
  <c r="AH130" i="61"/>
  <c r="S111" i="61"/>
  <c r="BG111" i="61"/>
  <c r="BI111" i="61"/>
  <c r="AG113" i="61"/>
  <c r="S115" i="61"/>
  <c r="BG115" i="61"/>
  <c r="BI115" i="61"/>
  <c r="AO117" i="61"/>
  <c r="BA117" i="61"/>
  <c r="S119" i="61"/>
  <c r="AE119" i="61"/>
  <c r="BC119" i="61"/>
  <c r="AG121" i="61"/>
  <c r="S123" i="61"/>
  <c r="O127" i="61"/>
  <c r="Y127" i="61"/>
  <c r="BG127" i="61"/>
  <c r="BI127" i="61"/>
  <c r="AK129" i="61"/>
  <c r="O131" i="61"/>
  <c r="AU131" i="61"/>
  <c r="BC135" i="61"/>
  <c r="AO137" i="61"/>
  <c r="W139" i="61"/>
  <c r="AI139" i="61"/>
  <c r="AY139" i="61"/>
  <c r="AK141" i="61"/>
  <c r="AW141" i="61"/>
  <c r="W147" i="61"/>
  <c r="K151" i="61"/>
  <c r="AK153" i="61"/>
  <c r="BC159" i="61"/>
  <c r="S179" i="61"/>
  <c r="AG124" i="61"/>
  <c r="W154" i="61"/>
  <c r="W194" i="61"/>
  <c r="S141" i="61"/>
  <c r="BG194" i="61"/>
  <c r="W190" i="61"/>
  <c r="W186" i="61"/>
  <c r="AG176" i="61"/>
  <c r="AG164" i="61"/>
  <c r="W158" i="61"/>
  <c r="AG156" i="61"/>
  <c r="AQ156" i="61"/>
  <c r="W110" i="61"/>
  <c r="AH122" i="61"/>
  <c r="AV165" i="61"/>
  <c r="S151" i="61"/>
  <c r="AO157" i="61"/>
  <c r="AY163" i="61"/>
  <c r="W114" i="61"/>
  <c r="AG136" i="61"/>
  <c r="AQ136" i="61"/>
  <c r="W138" i="61"/>
  <c r="W150" i="61"/>
  <c r="AG168" i="61"/>
  <c r="S133" i="61"/>
  <c r="AU112" i="61"/>
  <c r="BE112" i="61"/>
  <c r="AY188" i="61"/>
  <c r="AY156" i="61"/>
  <c r="AY136" i="61"/>
  <c r="BI136" i="61"/>
  <c r="AY132" i="61"/>
  <c r="AK157" i="61"/>
  <c r="K163" i="61"/>
  <c r="W187" i="61"/>
  <c r="AO188" i="61"/>
  <c r="BC171" i="61"/>
  <c r="W157" i="61"/>
  <c r="AI157" i="61"/>
  <c r="AC169" i="61"/>
  <c r="BC165" i="61"/>
  <c r="K162" i="61"/>
  <c r="U162" i="61"/>
  <c r="BG166" i="61"/>
  <c r="AO172" i="61"/>
  <c r="O186" i="61"/>
  <c r="BC164" i="61"/>
  <c r="AY169" i="61"/>
  <c r="S177" i="61"/>
  <c r="AU171" i="61"/>
  <c r="AY165" i="61"/>
  <c r="AU138" i="61"/>
  <c r="BE138" i="61"/>
  <c r="AC140" i="61"/>
  <c r="AM140" i="61"/>
  <c r="K142" i="61"/>
  <c r="K158" i="61"/>
  <c r="U158" i="61"/>
  <c r="AO168" i="61"/>
  <c r="W174" i="61"/>
  <c r="AK184" i="61"/>
  <c r="BC190" i="61"/>
  <c r="O153" i="61"/>
  <c r="Y153" i="61"/>
  <c r="AC188" i="61"/>
  <c r="AM188" i="61"/>
  <c r="W193" i="61"/>
  <c r="AG196" i="61"/>
  <c r="W181" i="61"/>
  <c r="AC153" i="61"/>
  <c r="BC167" i="61"/>
  <c r="AU175" i="61"/>
  <c r="AC159" i="61"/>
  <c r="BC173" i="61"/>
  <c r="AY148" i="61"/>
  <c r="W165" i="61"/>
  <c r="AU167" i="61"/>
  <c r="AC173" i="61"/>
  <c r="AM173" i="61"/>
  <c r="AG195" i="61"/>
  <c r="AQ195" i="61"/>
  <c r="AY152" i="61"/>
  <c r="BI152" i="61"/>
  <c r="AY168" i="61"/>
  <c r="BG179" i="61"/>
  <c r="BI179" i="61"/>
  <c r="BG191" i="61"/>
  <c r="BC151" i="61"/>
  <c r="AC157" i="61"/>
  <c r="AG165" i="61"/>
  <c r="AQ165" i="61"/>
  <c r="O171" i="61"/>
  <c r="W175" i="61"/>
  <c r="S199" i="61"/>
  <c r="S174" i="61"/>
  <c r="AG184" i="61"/>
  <c r="AG188" i="61"/>
  <c r="AO196" i="61"/>
  <c r="O187" i="61"/>
  <c r="AG201" i="61"/>
  <c r="AQ201" i="61"/>
  <c r="AU151" i="61"/>
  <c r="BE151" i="61"/>
  <c r="AY159" i="61"/>
  <c r="BI159" i="61"/>
  <c r="W163" i="61"/>
  <c r="AI163" i="61"/>
  <c r="AK191" i="61"/>
  <c r="O190" i="61"/>
  <c r="AY164" i="61"/>
  <c r="BI164" i="61"/>
  <c r="BG176" i="61"/>
  <c r="AC185" i="61"/>
  <c r="K183" i="61"/>
  <c r="AC177" i="61"/>
  <c r="AO125" i="61"/>
  <c r="BG184" i="61"/>
  <c r="BG172" i="61"/>
  <c r="AY184" i="61"/>
  <c r="K182" i="61"/>
  <c r="AU174" i="61"/>
  <c r="BE174" i="61"/>
  <c r="AC155" i="61"/>
  <c r="AC143" i="61"/>
  <c r="AM143" i="61"/>
  <c r="X196" i="61"/>
  <c r="BG187" i="61"/>
  <c r="AY187" i="61"/>
  <c r="X195" i="61"/>
  <c r="O195" i="61"/>
  <c r="X155" i="61"/>
  <c r="O155" i="61"/>
  <c r="O167" i="61"/>
  <c r="AG169" i="61"/>
  <c r="AQ169" i="61"/>
  <c r="AY171" i="61"/>
  <c r="BI171" i="61"/>
  <c r="AG173" i="61"/>
  <c r="AY175" i="61"/>
  <c r="BI175" i="61"/>
  <c r="BC179" i="61"/>
  <c r="AO185" i="61"/>
  <c r="BA185" i="61"/>
  <c r="AG155" i="61"/>
  <c r="AQ155" i="61"/>
  <c r="AO159" i="61"/>
  <c r="AU154" i="61"/>
  <c r="BE154" i="61"/>
  <c r="O162" i="61"/>
  <c r="AY162" i="61"/>
  <c r="S186" i="61"/>
  <c r="S190" i="61"/>
  <c r="O198" i="61"/>
  <c r="S153" i="61"/>
  <c r="AY109" i="61"/>
  <c r="AU195" i="61"/>
  <c r="AC171" i="61"/>
  <c r="AM171" i="61"/>
  <c r="AC161" i="61"/>
  <c r="K159" i="61"/>
  <c r="AU147" i="61"/>
  <c r="AU143" i="61"/>
  <c r="AY191" i="61"/>
  <c r="AK195" i="61"/>
  <c r="K190" i="61"/>
  <c r="BC109" i="61"/>
  <c r="O163" i="61"/>
  <c r="W145" i="61"/>
  <c r="AI145" i="61"/>
  <c r="K167" i="61"/>
  <c r="AK169" i="61"/>
  <c r="K171" i="61"/>
  <c r="M171" i="61"/>
  <c r="AO173" i="61"/>
  <c r="O175" i="61"/>
  <c r="Y175" i="61"/>
  <c r="BC183" i="61"/>
  <c r="AC156" i="61"/>
  <c r="AM156" i="61"/>
  <c r="W182" i="61"/>
  <c r="AC189" i="61"/>
  <c r="AO145" i="61"/>
  <c r="AL163" i="61"/>
  <c r="AC163" i="61"/>
  <c r="AK133" i="61"/>
  <c r="AO133" i="61"/>
  <c r="AC133" i="61"/>
  <c r="AG133" i="61"/>
  <c r="BG123" i="61"/>
  <c r="AY123" i="61"/>
  <c r="AU123" i="61"/>
  <c r="BC123" i="61"/>
  <c r="AC193" i="61"/>
  <c r="AO193" i="61"/>
  <c r="W166" i="61"/>
  <c r="O166" i="61"/>
  <c r="K166" i="61"/>
  <c r="S166" i="61"/>
  <c r="AY160" i="61"/>
  <c r="BC160" i="61"/>
  <c r="BG160" i="61"/>
  <c r="BD133" i="61"/>
  <c r="AU133" i="61"/>
  <c r="BE133" i="61"/>
  <c r="BC128" i="61"/>
  <c r="BG128" i="61"/>
  <c r="AY128" i="61"/>
  <c r="S161" i="61"/>
  <c r="AE161" i="61"/>
  <c r="K161" i="61"/>
  <c r="O161" i="61"/>
  <c r="W161" i="61"/>
  <c r="O129" i="61"/>
  <c r="S129" i="61"/>
  <c r="W129" i="61"/>
  <c r="AI129" i="61"/>
  <c r="T131" i="61"/>
  <c r="K131" i="61"/>
  <c r="W126" i="61"/>
  <c r="O126" i="61"/>
  <c r="K126" i="61"/>
  <c r="S126" i="61"/>
  <c r="K118" i="61"/>
  <c r="S118" i="61"/>
  <c r="W118" i="61"/>
  <c r="O118" i="61"/>
  <c r="BG195" i="61"/>
  <c r="AU189" i="61"/>
  <c r="BH109" i="61"/>
  <c r="W179" i="61"/>
  <c r="AG181" i="61"/>
  <c r="W191" i="61"/>
  <c r="AI191" i="61"/>
  <c r="W195" i="61"/>
  <c r="AI195" i="61"/>
  <c r="AY195" i="61"/>
  <c r="AO183" i="61"/>
  <c r="BA183" i="61"/>
  <c r="AO191" i="61"/>
  <c r="BA191" i="61"/>
  <c r="AC195" i="61"/>
  <c r="S178" i="61"/>
  <c r="BC198" i="61"/>
  <c r="AY172" i="61"/>
  <c r="BI172" i="61"/>
  <c r="AU117" i="61"/>
  <c r="AD190" i="61"/>
  <c r="O170" i="61"/>
  <c r="K185" i="61"/>
  <c r="W173" i="61"/>
  <c r="AI173" i="61"/>
  <c r="BG168" i="61"/>
  <c r="AO109" i="61"/>
  <c r="W189" i="61"/>
  <c r="S189" i="61"/>
  <c r="BD186" i="61"/>
  <c r="AU186" i="61"/>
  <c r="BE186" i="61"/>
  <c r="O169" i="61"/>
  <c r="W169" i="61"/>
  <c r="BG143" i="61"/>
  <c r="AY147" i="61"/>
  <c r="AG149" i="61"/>
  <c r="AQ149" i="61"/>
  <c r="BG155" i="61"/>
  <c r="AO177" i="61"/>
  <c r="AU191" i="61"/>
  <c r="BE191" i="61"/>
  <c r="AK163" i="61"/>
  <c r="BG169" i="61"/>
  <c r="AC183" i="61"/>
  <c r="AC180" i="61"/>
  <c r="AM180" i="61"/>
  <c r="S173" i="61"/>
  <c r="AK192" i="61"/>
  <c r="AO192" i="61"/>
  <c r="O135" i="61"/>
  <c r="O139" i="61"/>
  <c r="O143" i="61"/>
  <c r="AY143" i="61"/>
  <c r="BI143" i="61"/>
  <c r="BC147" i="61"/>
  <c r="AC149" i="61"/>
  <c r="AM149" i="61"/>
  <c r="K155" i="61"/>
  <c r="O159" i="61"/>
  <c r="AG161" i="61"/>
  <c r="AQ161" i="61"/>
  <c r="AK165" i="61"/>
  <c r="AY167" i="61"/>
  <c r="BI167" i="61"/>
  <c r="BC175" i="61"/>
  <c r="AK177" i="61"/>
  <c r="AO181" i="61"/>
  <c r="S183" i="61"/>
  <c r="AG185" i="61"/>
  <c r="AQ185" i="61"/>
  <c r="K187" i="61"/>
  <c r="AO189" i="61"/>
  <c r="AC197" i="61"/>
  <c r="K157" i="61"/>
  <c r="AO163" i="61"/>
  <c r="AU165" i="61"/>
  <c r="BE165" i="61"/>
  <c r="AO171" i="61"/>
  <c r="AY173" i="61"/>
  <c r="BI173" i="61"/>
  <c r="AG183" i="61"/>
  <c r="S185" i="61"/>
  <c r="AE185" i="61"/>
  <c r="AY189" i="61"/>
  <c r="BI189" i="61"/>
  <c r="AC164" i="61"/>
  <c r="AK176" i="61"/>
  <c r="O182" i="61"/>
  <c r="O194" i="61"/>
  <c r="W177" i="61"/>
  <c r="BC188" i="61"/>
  <c r="O165" i="61"/>
  <c r="BG192" i="61"/>
  <c r="AY192" i="61"/>
  <c r="BD170" i="61"/>
  <c r="AU170" i="61"/>
  <c r="BE170" i="61"/>
  <c r="K143" i="61"/>
  <c r="W155" i="61"/>
  <c r="W159" i="61"/>
  <c r="AI159" i="61"/>
  <c r="AK161" i="61"/>
  <c r="AC165" i="61"/>
  <c r="K175" i="61"/>
  <c r="AC181" i="61"/>
  <c r="AM181" i="61"/>
  <c r="AU183" i="61"/>
  <c r="BE183" i="61"/>
  <c r="BC187" i="61"/>
  <c r="AG171" i="61"/>
  <c r="O185" i="61"/>
  <c r="BC189" i="61"/>
  <c r="O134" i="61"/>
  <c r="AC172" i="61"/>
  <c r="AM172" i="61"/>
  <c r="AO176" i="61"/>
  <c r="W178" i="61"/>
  <c r="AG180" i="61"/>
  <c r="W141" i="61"/>
  <c r="AY176" i="61"/>
  <c r="BI176" i="61"/>
  <c r="BG156" i="61"/>
  <c r="BC156" i="61"/>
  <c r="T133" i="61"/>
  <c r="K133" i="61"/>
  <c r="S181" i="61"/>
  <c r="AD181" i="61"/>
  <c r="AO200" i="61"/>
  <c r="AG200" i="61"/>
  <c r="AZ109" i="61"/>
  <c r="S167" i="61"/>
  <c r="S171" i="61"/>
  <c r="AE171" i="61"/>
  <c r="AU173" i="61"/>
  <c r="BE173" i="61"/>
  <c r="K174" i="61"/>
  <c r="AC176" i="61"/>
  <c r="BG188" i="61"/>
  <c r="O189" i="61"/>
  <c r="AY182" i="61"/>
  <c r="BG182" i="61"/>
  <c r="BC180" i="61"/>
  <c r="AY180" i="61"/>
  <c r="BI180" i="61"/>
  <c r="K179" i="61"/>
  <c r="U179" i="61"/>
  <c r="AU178" i="61"/>
  <c r="BE178" i="61"/>
  <c r="K145" i="61"/>
  <c r="U145" i="61"/>
  <c r="BC195" i="61"/>
  <c r="X132" i="61"/>
  <c r="X115" i="61"/>
  <c r="AP155" i="61"/>
  <c r="X152" i="61"/>
  <c r="O201" i="61"/>
  <c r="S201" i="61"/>
  <c r="W201" i="61"/>
  <c r="AI201" i="61"/>
  <c r="AG189" i="61"/>
  <c r="K191" i="61"/>
  <c r="U191" i="61"/>
  <c r="AG193" i="61"/>
  <c r="AG192" i="61"/>
  <c r="AQ192" i="61"/>
  <c r="AY196" i="61"/>
  <c r="W183" i="61"/>
  <c r="AK185" i="61"/>
  <c r="AK189" i="61"/>
  <c r="O191" i="61"/>
  <c r="Y191" i="61"/>
  <c r="AK193" i="61"/>
  <c r="O199" i="61"/>
  <c r="AC191" i="61"/>
  <c r="S182" i="61"/>
  <c r="AU194" i="61"/>
  <c r="AC109" i="61"/>
  <c r="W197" i="61"/>
  <c r="S197" i="61"/>
  <c r="AE197" i="61"/>
  <c r="AG177" i="61"/>
  <c r="BG183" i="61"/>
  <c r="BI183" i="61"/>
  <c r="AP191" i="61"/>
  <c r="AH182" i="61"/>
  <c r="AD157" i="61"/>
  <c r="BH150" i="61"/>
  <c r="AD146" i="61"/>
  <c r="BH135" i="61"/>
  <c r="AD112" i="61"/>
  <c r="AP201" i="61"/>
  <c r="AP167" i="61"/>
  <c r="AZ164" i="61"/>
  <c r="AD160" i="61"/>
  <c r="AH121" i="61"/>
  <c r="AZ193" i="61"/>
  <c r="AD126" i="61"/>
  <c r="K109" i="61"/>
  <c r="K195" i="61"/>
  <c r="T195" i="61"/>
  <c r="AK201" i="61"/>
  <c r="AC201" i="61"/>
  <c r="T199" i="61"/>
  <c r="K199" i="61"/>
  <c r="U199" i="61"/>
  <c r="K198" i="61"/>
  <c r="W198" i="61"/>
  <c r="K193" i="61"/>
  <c r="O193" i="61"/>
  <c r="Y193" i="61"/>
  <c r="AG197" i="61"/>
  <c r="AO197" i="61"/>
  <c r="AC196" i="61"/>
  <c r="AM196" i="61"/>
  <c r="BG196" i="61"/>
  <c r="BG199" i="61"/>
  <c r="AY199" i="61"/>
  <c r="AU109" i="61"/>
  <c r="BE109" i="61"/>
  <c r="AD140" i="61"/>
  <c r="AU169" i="61"/>
  <c r="BE169" i="61"/>
  <c r="X194" i="61"/>
  <c r="AD176" i="61"/>
  <c r="AZ173" i="61"/>
  <c r="X147" i="61"/>
  <c r="AO303" i="61"/>
  <c r="P272" i="61"/>
  <c r="P276" i="61"/>
  <c r="X306" i="61"/>
  <c r="AG310" i="61"/>
  <c r="AQ310" i="61"/>
  <c r="AC302" i="61"/>
  <c r="AO319" i="61"/>
  <c r="AH374" i="61"/>
  <c r="AP341" i="61"/>
  <c r="AP317" i="61"/>
  <c r="AH277" i="61"/>
  <c r="AO333" i="61"/>
  <c r="AI148" i="23"/>
  <c r="AI170" i="23"/>
  <c r="AI144" i="23"/>
  <c r="AJ150" i="23"/>
  <c r="AJ152" i="23"/>
  <c r="AJ153" i="23"/>
  <c r="AI161" i="23"/>
  <c r="AP305" i="61"/>
  <c r="AU380" i="61"/>
  <c r="AJ169" i="23"/>
  <c r="AJ151" i="23"/>
  <c r="AI156" i="23"/>
  <c r="AA148" i="23"/>
  <c r="AJ148" i="23"/>
  <c r="AJ171" i="23"/>
  <c r="AG304" i="61"/>
  <c r="AQ304" i="61"/>
  <c r="BC346" i="61"/>
  <c r="AU333" i="61"/>
  <c r="BC325" i="61"/>
  <c r="AU321" i="61"/>
  <c r="AU319" i="61"/>
  <c r="AY307" i="61"/>
  <c r="BC305" i="61"/>
  <c r="AC305" i="61"/>
  <c r="AI169" i="23"/>
  <c r="AI165" i="23"/>
  <c r="AA161" i="23"/>
  <c r="AJ161" i="23"/>
  <c r="AI146" i="23"/>
  <c r="AJ147" i="23"/>
  <c r="AI158" i="23"/>
  <c r="AJ154" i="23"/>
  <c r="W304" i="61"/>
  <c r="AG307" i="61"/>
  <c r="AO305" i="61"/>
  <c r="AQ305" i="61"/>
  <c r="AG303" i="61"/>
  <c r="AO301" i="61"/>
  <c r="AJ146" i="23"/>
  <c r="AI152" i="23"/>
  <c r="AJ157" i="23"/>
  <c r="BG318" i="61"/>
  <c r="BG304" i="61"/>
  <c r="AJ166" i="23"/>
  <c r="AJ173" i="23"/>
  <c r="AI159" i="23"/>
  <c r="AI145" i="23"/>
  <c r="AJ163" i="23"/>
  <c r="AJ164" i="23"/>
  <c r="AI174" i="23"/>
  <c r="AJ149" i="23"/>
  <c r="AJ145" i="23"/>
  <c r="AJ160" i="23"/>
  <c r="AJ165" i="23"/>
  <c r="AJ170" i="23"/>
  <c r="AI164" i="23"/>
  <c r="AI150" i="23"/>
  <c r="AJ162" i="23"/>
  <c r="AJ167" i="23"/>
  <c r="K301" i="61"/>
  <c r="M301" i="61"/>
  <c r="AK329" i="61"/>
  <c r="AK303" i="61"/>
  <c r="AJ144" i="23"/>
  <c r="AI171" i="23"/>
  <c r="AI157" i="23"/>
  <c r="AI173" i="23"/>
  <c r="AI147" i="23"/>
  <c r="AJ156" i="23"/>
  <c r="AI149" i="23"/>
  <c r="AI151" i="23"/>
  <c r="AI168" i="23"/>
  <c r="AJ159" i="23"/>
  <c r="W313" i="61"/>
  <c r="O296" i="61"/>
  <c r="Q296" i="61"/>
  <c r="O292" i="61"/>
  <c r="Q292" i="61"/>
  <c r="S298" i="61"/>
  <c r="S294" i="61"/>
  <c r="S290" i="61"/>
  <c r="S286" i="61"/>
  <c r="AI155" i="23"/>
  <c r="AI154" i="23"/>
  <c r="AI172" i="23"/>
  <c r="AI167" i="23"/>
  <c r="T158" i="23"/>
  <c r="AJ158" i="23"/>
  <c r="AJ174" i="23"/>
  <c r="AI175" i="23"/>
  <c r="L329" i="61"/>
  <c r="AI163" i="23"/>
  <c r="AI162" i="23"/>
  <c r="AJ155" i="23"/>
  <c r="AJ172" i="23"/>
  <c r="AI153" i="23"/>
  <c r="O298" i="61"/>
  <c r="Q298" i="61"/>
  <c r="O294" i="61"/>
  <c r="Q294" i="61"/>
  <c r="O290" i="61"/>
  <c r="Q290" i="61"/>
  <c r="BG303" i="61"/>
  <c r="M156" i="23"/>
  <c r="X301" i="61"/>
  <c r="AK361" i="61"/>
  <c r="G306" i="61" a="1"/>
  <c r="G306" i="61"/>
  <c r="G302" i="61" a="1"/>
  <c r="G302" i="61"/>
  <c r="AG383" i="61"/>
  <c r="AG368" i="61"/>
  <c r="AG364" i="61"/>
  <c r="AU340" i="61"/>
  <c r="AG339" i="61"/>
  <c r="AG338" i="61"/>
  <c r="AG330" i="61"/>
  <c r="AG326" i="61"/>
  <c r="AG323" i="61"/>
  <c r="AG319" i="61"/>
  <c r="AG318" i="61"/>
  <c r="AQ318" i="61"/>
  <c r="AG314" i="61"/>
  <c r="AQ314" i="61"/>
  <c r="AG312" i="61"/>
  <c r="AQ312" i="61"/>
  <c r="AG311" i="61"/>
  <c r="AG309" i="61"/>
  <c r="AG306" i="61"/>
  <c r="AQ306" i="61"/>
  <c r="G300" i="61" a="1"/>
  <c r="G300" i="61"/>
  <c r="G288" i="61" a="1"/>
  <c r="G288" i="61"/>
  <c r="G286" i="61" a="1"/>
  <c r="G286" i="61"/>
  <c r="G284" i="61" a="1"/>
  <c r="G284" i="61"/>
  <c r="BG369" i="61"/>
  <c r="BG313" i="61"/>
  <c r="K305" i="61"/>
  <c r="M305" i="61"/>
  <c r="S304" i="61"/>
  <c r="AO385" i="61"/>
  <c r="AO373" i="61"/>
  <c r="AO371" i="61"/>
  <c r="AO367" i="61"/>
  <c r="AO361" i="61"/>
  <c r="AO325" i="61"/>
  <c r="W303" i="61"/>
  <c r="BG311" i="61"/>
  <c r="L287" i="61"/>
  <c r="W337" i="61"/>
  <c r="L302" i="61"/>
  <c r="AK372" i="61"/>
  <c r="BG385" i="61"/>
  <c r="AL376" i="61"/>
  <c r="AK376" i="61"/>
  <c r="AL378" i="61"/>
  <c r="AK378" i="61"/>
  <c r="W300" i="61"/>
  <c r="AO387" i="61"/>
  <c r="AO381" i="61"/>
  <c r="AO369" i="61"/>
  <c r="AO363" i="61"/>
  <c r="AO359" i="61"/>
  <c r="AO357" i="61"/>
  <c r="AK341" i="61"/>
  <c r="AO341" i="61"/>
  <c r="AQ341" i="61"/>
  <c r="AO337" i="61"/>
  <c r="AQ337" i="61"/>
  <c r="AO329" i="61"/>
  <c r="AG329" i="61"/>
  <c r="AO321" i="61"/>
  <c r="AO317" i="61"/>
  <c r="AQ317" i="61"/>
  <c r="AO315" i="61"/>
  <c r="AQ315" i="61"/>
  <c r="AG313" i="61"/>
  <c r="AK313" i="61"/>
  <c r="AL283" i="61"/>
  <c r="AU310" i="61"/>
  <c r="AO313" i="61"/>
  <c r="AQ313" i="61"/>
  <c r="AG316" i="61"/>
  <c r="AQ316" i="61"/>
  <c r="AG324" i="61"/>
  <c r="AO339" i="61"/>
  <c r="S300" i="61"/>
  <c r="W361" i="61"/>
  <c r="AL310" i="61"/>
  <c r="AK310" i="61"/>
  <c r="T272" i="61"/>
  <c r="AL356" i="61"/>
  <c r="AL324" i="61"/>
  <c r="AU305" i="61"/>
  <c r="AK330" i="61"/>
  <c r="AK340" i="61"/>
  <c r="AO323" i="61"/>
  <c r="AO309" i="61"/>
  <c r="AK309" i="61"/>
  <c r="K359" i="61"/>
  <c r="M359" i="61"/>
  <c r="AD387" i="61"/>
  <c r="BH383" i="61"/>
  <c r="BD379" i="61"/>
  <c r="BH367" i="61"/>
  <c r="BH363" i="61"/>
  <c r="AZ345" i="61"/>
  <c r="P318" i="61"/>
  <c r="BH298" i="61"/>
  <c r="BH274" i="61"/>
  <c r="O330" i="61"/>
  <c r="Q330" i="61"/>
  <c r="O314" i="61"/>
  <c r="Q314" i="61"/>
  <c r="O310" i="61"/>
  <c r="Q310" i="61"/>
  <c r="AG378" i="61"/>
  <c r="AG375" i="61"/>
  <c r="AG373" i="61"/>
  <c r="AG371" i="61"/>
  <c r="AG369" i="61"/>
  <c r="AK366" i="61"/>
  <c r="AG363" i="61"/>
  <c r="AG359" i="61"/>
  <c r="AK358" i="61"/>
  <c r="AG346" i="61"/>
  <c r="AG345" i="61"/>
  <c r="AG340" i="61"/>
  <c r="AG336" i="61"/>
  <c r="AG325" i="61"/>
  <c r="AI325" i="61"/>
  <c r="AG321" i="61"/>
  <c r="BG387" i="61"/>
  <c r="AU383" i="61"/>
  <c r="AU379" i="61"/>
  <c r="AC377" i="61"/>
  <c r="BC371" i="61"/>
  <c r="AU361" i="61"/>
  <c r="AC359" i="61"/>
  <c r="BG357" i="61"/>
  <c r="AC357" i="61"/>
  <c r="AU339" i="61"/>
  <c r="AC339" i="61"/>
  <c r="BC337" i="61"/>
  <c r="BC333" i="61"/>
  <c r="AC333" i="61"/>
  <c r="AK328" i="61"/>
  <c r="AU325" i="61"/>
  <c r="AC325" i="61"/>
  <c r="BC321" i="61"/>
  <c r="AC319" i="61"/>
  <c r="AK318" i="61"/>
  <c r="AC317" i="61"/>
  <c r="AK314" i="61"/>
  <c r="BC313" i="61"/>
  <c r="AC313" i="61"/>
  <c r="AC311" i="61"/>
  <c r="BC309" i="61"/>
  <c r="AC309" i="61"/>
  <c r="AY308" i="61"/>
  <c r="BA308" i="61"/>
  <c r="AC307" i="61"/>
  <c r="AK306" i="61"/>
  <c r="AK304" i="61"/>
  <c r="AC303" i="61"/>
  <c r="AY302" i="61"/>
  <c r="BA302" i="61"/>
  <c r="AK302" i="61"/>
  <c r="AK300" i="61"/>
  <c r="K306" i="61"/>
  <c r="M306" i="61"/>
  <c r="S301" i="61"/>
  <c r="AO384" i="61"/>
  <c r="AO376" i="61"/>
  <c r="BC385" i="61"/>
  <c r="AU385" i="61"/>
  <c r="AU373" i="61"/>
  <c r="BC373" i="61"/>
  <c r="AU365" i="61"/>
  <c r="BG365" i="61"/>
  <c r="AY305" i="61"/>
  <c r="BG305" i="61"/>
  <c r="AY303" i="61"/>
  <c r="AU303" i="61"/>
  <c r="AU301" i="61"/>
  <c r="BG301" i="61"/>
  <c r="AY301" i="61"/>
  <c r="O281" i="61"/>
  <c r="Q281" i="61"/>
  <c r="P281" i="61"/>
  <c r="S276" i="61"/>
  <c r="U276" i="61"/>
  <c r="T276" i="61"/>
  <c r="AY285" i="61"/>
  <c r="AZ285" i="61"/>
  <c r="AL304" i="61"/>
  <c r="AH373" i="61"/>
  <c r="O316" i="61"/>
  <c r="Q316" i="61"/>
  <c r="AY300" i="61"/>
  <c r="AC301" i="61"/>
  <c r="BC303" i="61"/>
  <c r="AC327" i="61"/>
  <c r="AG357" i="61"/>
  <c r="BG371" i="61"/>
  <c r="AG385" i="61"/>
  <c r="AD375" i="61"/>
  <c r="AC375" i="61"/>
  <c r="BC369" i="61"/>
  <c r="AU369" i="61"/>
  <c r="BG367" i="61"/>
  <c r="AU367" i="61"/>
  <c r="BG363" i="61"/>
  <c r="AY359" i="61"/>
  <c r="BG359" i="61"/>
  <c r="BC359" i="61"/>
  <c r="AY357" i="61"/>
  <c r="BA357" i="61"/>
  <c r="BC357" i="61"/>
  <c r="BG346" i="61"/>
  <c r="BG341" i="61"/>
  <c r="BC341" i="61"/>
  <c r="BC339" i="61"/>
  <c r="BG339" i="61"/>
  <c r="AK336" i="61"/>
  <c r="AL336" i="61"/>
  <c r="BG329" i="61"/>
  <c r="AU329" i="61"/>
  <c r="AW329" i="61"/>
  <c r="BC327" i="61"/>
  <c r="AU327" i="61"/>
  <c r="AU323" i="61"/>
  <c r="BC323" i="61"/>
  <c r="AC323" i="61"/>
  <c r="AD323" i="61"/>
  <c r="BG319" i="61"/>
  <c r="BC317" i="61"/>
  <c r="AU317" i="61"/>
  <c r="BG317" i="61"/>
  <c r="BG315" i="61"/>
  <c r="AK312" i="61"/>
  <c r="AL312" i="61"/>
  <c r="AU311" i="61"/>
  <c r="BC311" i="61"/>
  <c r="BG309" i="61"/>
  <c r="AU309" i="61"/>
  <c r="AK308" i="61"/>
  <c r="AL308" i="61"/>
  <c r="BG307" i="61"/>
  <c r="AU307" i="61"/>
  <c r="BC307" i="61"/>
  <c r="O277" i="61"/>
  <c r="Q277" i="61"/>
  <c r="P277" i="61"/>
  <c r="AG350" i="61"/>
  <c r="AH350" i="61"/>
  <c r="O293" i="61"/>
  <c r="Q293" i="61"/>
  <c r="P293" i="61"/>
  <c r="AL287" i="61"/>
  <c r="AD311" i="61"/>
  <c r="AD319" i="61"/>
  <c r="AD377" i="61"/>
  <c r="BC301" i="61"/>
  <c r="BE301" i="61"/>
  <c r="AU313" i="61"/>
  <c r="BG333" i="61"/>
  <c r="BC319" i="61"/>
  <c r="BE319" i="61"/>
  <c r="BG337" i="61"/>
  <c r="BG361" i="61"/>
  <c r="AU363" i="61"/>
  <c r="W318" i="61"/>
  <c r="P312" i="61"/>
  <c r="O312" i="61"/>
  <c r="Q312" i="61"/>
  <c r="AU387" i="61"/>
  <c r="AV387" i="61"/>
  <c r="AG387" i="61"/>
  <c r="AH387" i="61"/>
  <c r="AO386" i="61"/>
  <c r="AG386" i="61"/>
  <c r="AK384" i="61"/>
  <c r="AO382" i="61"/>
  <c r="AU381" i="61"/>
  <c r="AG381" i="61"/>
  <c r="AH381" i="61"/>
  <c r="AK380" i="61"/>
  <c r="AG380" i="61"/>
  <c r="AH379" i="61"/>
  <c r="AG379" i="61"/>
  <c r="AG377" i="61"/>
  <c r="AH377" i="61"/>
  <c r="AU375" i="61"/>
  <c r="AG374" i="61"/>
  <c r="AK374" i="61"/>
  <c r="AU371" i="61"/>
  <c r="AK370" i="61"/>
  <c r="AG370" i="61"/>
  <c r="AK368" i="61"/>
  <c r="AO368" i="61"/>
  <c r="AG366" i="61"/>
  <c r="AO366" i="61"/>
  <c r="AO364" i="61"/>
  <c r="AK364" i="61"/>
  <c r="AK362" i="61"/>
  <c r="AG361" i="61"/>
  <c r="AH361" i="61"/>
  <c r="AO360" i="61"/>
  <c r="AG358" i="61"/>
  <c r="AO358" i="61"/>
  <c r="AK326" i="61"/>
  <c r="AK345" i="61"/>
  <c r="AO356" i="61"/>
  <c r="AO340" i="61"/>
  <c r="AO338" i="61"/>
  <c r="AK338" i="61"/>
  <c r="AO326" i="61"/>
  <c r="AQ326" i="61"/>
  <c r="AO324" i="61"/>
  <c r="AQ324" i="61"/>
  <c r="AK322" i="61"/>
  <c r="AP378" i="61"/>
  <c r="BH350" i="61"/>
  <c r="AD337" i="61"/>
  <c r="AH325" i="61"/>
  <c r="T309" i="61"/>
  <c r="P289" i="61"/>
  <c r="P285" i="61"/>
  <c r="AC387" i="61"/>
  <c r="AC385" i="61"/>
  <c r="AC379" i="61"/>
  <c r="K281" i="61"/>
  <c r="M281" i="61"/>
  <c r="K277" i="61"/>
  <c r="M277" i="61"/>
  <c r="K273" i="61"/>
  <c r="M273" i="61"/>
  <c r="S275" i="61"/>
  <c r="AY387" i="61"/>
  <c r="BA387" i="61"/>
  <c r="AY385" i="61"/>
  <c r="AY383" i="61"/>
  <c r="AY379" i="61"/>
  <c r="AY373" i="61"/>
  <c r="AY369" i="61"/>
  <c r="AY364" i="61"/>
  <c r="AY363" i="61"/>
  <c r="BA363" i="61"/>
  <c r="AY360" i="61"/>
  <c r="AY341" i="61"/>
  <c r="AY327" i="61"/>
  <c r="AY324" i="61"/>
  <c r="AY321" i="61"/>
  <c r="AY313" i="61"/>
  <c r="AY311" i="61"/>
  <c r="BA311" i="61"/>
  <c r="AY309" i="61"/>
  <c r="BA309" i="61"/>
  <c r="AY306" i="61"/>
  <c r="BA306" i="61"/>
  <c r="O279" i="61"/>
  <c r="Q279" i="61"/>
  <c r="O271" i="61"/>
  <c r="AU285" i="61"/>
  <c r="S281" i="61"/>
  <c r="U281" i="61"/>
  <c r="S277" i="61"/>
  <c r="U277" i="61"/>
  <c r="S273" i="61"/>
  <c r="U273" i="61"/>
  <c r="W367" i="61"/>
  <c r="W321" i="61"/>
  <c r="O327" i="61"/>
  <c r="Q327" i="61"/>
  <c r="K356" i="61"/>
  <c r="S321" i="61"/>
  <c r="K310" i="61"/>
  <c r="M310" i="61"/>
  <c r="S305" i="61"/>
  <c r="K302" i="61"/>
  <c r="M302" i="61"/>
  <c r="AC382" i="61"/>
  <c r="O303" i="61"/>
  <c r="Q303" i="61"/>
  <c r="AY293" i="61"/>
  <c r="AY289" i="61"/>
  <c r="S362" i="61"/>
  <c r="K321" i="61"/>
  <c r="M321" i="61"/>
  <c r="K313" i="61"/>
  <c r="M313" i="61"/>
  <c r="O300" i="61"/>
  <c r="AO383" i="61"/>
  <c r="AQ383" i="61"/>
  <c r="AO377" i="61"/>
  <c r="AO375" i="61"/>
  <c r="AQ375" i="61"/>
  <c r="AG367" i="61"/>
  <c r="AO365" i="61"/>
  <c r="AQ365" i="61"/>
  <c r="AG362" i="61"/>
  <c r="AC358" i="61"/>
  <c r="AC345" i="61"/>
  <c r="AC330" i="61"/>
  <c r="BC326" i="61"/>
  <c r="AC326" i="61"/>
  <c r="AC316" i="61"/>
  <c r="AC312" i="61"/>
  <c r="AC310" i="61"/>
  <c r="AC308" i="61"/>
  <c r="AC306" i="61"/>
  <c r="BC304" i="61"/>
  <c r="BE304" i="61"/>
  <c r="AC304" i="61"/>
  <c r="AU297" i="61"/>
  <c r="AU293" i="61"/>
  <c r="AU289" i="61"/>
  <c r="BC297" i="61"/>
  <c r="BC293" i="61"/>
  <c r="AO372" i="61"/>
  <c r="T305" i="61"/>
  <c r="AV371" i="61"/>
  <c r="W330" i="61"/>
  <c r="Y330" i="61"/>
  <c r="AG382" i="61"/>
  <c r="AO379" i="61"/>
  <c r="G282" i="61" a="1"/>
  <c r="G282" i="61"/>
  <c r="AC376" i="61"/>
  <c r="BC366" i="61"/>
  <c r="S297" i="61"/>
  <c r="S289" i="61"/>
  <c r="AO299" i="61"/>
  <c r="AH258" i="61"/>
  <c r="K300" i="61"/>
  <c r="BC270" i="61"/>
  <c r="BC386" i="61"/>
  <c r="AC384" i="61"/>
  <c r="AK383" i="61"/>
  <c r="AK375" i="61"/>
  <c r="AM375" i="61"/>
  <c r="AK371" i="61"/>
  <c r="AU370" i="61"/>
  <c r="AK367" i="61"/>
  <c r="AK363" i="61"/>
  <c r="AK359" i="61"/>
  <c r="AM359" i="61"/>
  <c r="AU356" i="61"/>
  <c r="AU338" i="61"/>
  <c r="AK337" i="61"/>
  <c r="AK325" i="61"/>
  <c r="AK323" i="61"/>
  <c r="AU320" i="61"/>
  <c r="AK317" i="61"/>
  <c r="AK311" i="61"/>
  <c r="AK307" i="61"/>
  <c r="AK305" i="61"/>
  <c r="AM305" i="61"/>
  <c r="AU302" i="61"/>
  <c r="AW302" i="61"/>
  <c r="AK301" i="61"/>
  <c r="AM301" i="61"/>
  <c r="AU300" i="61"/>
  <c r="W320" i="61"/>
  <c r="S333" i="61"/>
  <c r="S315" i="61"/>
  <c r="K308" i="61"/>
  <c r="M308" i="61"/>
  <c r="BG368" i="61"/>
  <c r="BG314" i="61"/>
  <c r="BG310" i="61"/>
  <c r="BG308" i="61"/>
  <c r="BI308" i="61"/>
  <c r="L328" i="61"/>
  <c r="K328" i="61"/>
  <c r="M328" i="61"/>
  <c r="W315" i="61"/>
  <c r="BD270" i="61"/>
  <c r="AZ327" i="61"/>
  <c r="AL325" i="61"/>
  <c r="AL383" i="61"/>
  <c r="AY315" i="61"/>
  <c r="AC320" i="61"/>
  <c r="AC360" i="61"/>
  <c r="AC270" i="61"/>
  <c r="AG270" i="61"/>
  <c r="AK385" i="61"/>
  <c r="AL385" i="61"/>
  <c r="AZ373" i="61"/>
  <c r="AZ385" i="61"/>
  <c r="BH326" i="61"/>
  <c r="AY356" i="61"/>
  <c r="K312" i="61"/>
  <c r="M312" i="61"/>
  <c r="L312" i="61"/>
  <c r="P309" i="61"/>
  <c r="O309" i="61"/>
  <c r="Q309" i="61"/>
  <c r="O307" i="61"/>
  <c r="Q307" i="61"/>
  <c r="K307" i="61"/>
  <c r="M307" i="61"/>
  <c r="BC382" i="61"/>
  <c r="BG382" i="61"/>
  <c r="AY382" i="61"/>
  <c r="BA382" i="61"/>
  <c r="AL381" i="61"/>
  <c r="AK381" i="61"/>
  <c r="BC380" i="61"/>
  <c r="BG380" i="61"/>
  <c r="AY378" i="61"/>
  <c r="BG378" i="61"/>
  <c r="AU378" i="61"/>
  <c r="AY377" i="61"/>
  <c r="AZ377" i="61"/>
  <c r="AK377" i="61"/>
  <c r="AL377" i="61"/>
  <c r="AU376" i="61"/>
  <c r="BC376" i="61"/>
  <c r="AY376" i="61"/>
  <c r="BA376" i="61"/>
  <c r="AY374" i="61"/>
  <c r="BC374" i="61"/>
  <c r="AU374" i="61"/>
  <c r="AL373" i="61"/>
  <c r="AK373" i="61"/>
  <c r="AU372" i="61"/>
  <c r="AW372" i="61"/>
  <c r="BC372" i="61"/>
  <c r="BG372" i="61"/>
  <c r="BC368" i="61"/>
  <c r="AU368" i="61"/>
  <c r="AW368" i="61"/>
  <c r="AY368" i="61"/>
  <c r="BA368" i="61"/>
  <c r="AU366" i="61"/>
  <c r="AW366" i="61"/>
  <c r="AY366" i="61"/>
  <c r="BA366" i="61"/>
  <c r="AL365" i="61"/>
  <c r="AK365" i="61"/>
  <c r="AY362" i="61"/>
  <c r="BA362" i="61"/>
  <c r="BG362" i="61"/>
  <c r="AU362" i="61"/>
  <c r="AY361" i="61"/>
  <c r="BA361" i="61"/>
  <c r="AZ361" i="61"/>
  <c r="AU360" i="61"/>
  <c r="BG360" i="61"/>
  <c r="AU358" i="61"/>
  <c r="BC358" i="61"/>
  <c r="AY358" i="61"/>
  <c r="BA358" i="61"/>
  <c r="AK357" i="61"/>
  <c r="AL357" i="61"/>
  <c r="BG356" i="61"/>
  <c r="BC356" i="61"/>
  <c r="AY345" i="61"/>
  <c r="BG345" i="61"/>
  <c r="AU345" i="61"/>
  <c r="AY339" i="61"/>
  <c r="AZ339" i="61"/>
  <c r="AK339" i="61"/>
  <c r="AL339" i="61"/>
  <c r="BG338" i="61"/>
  <c r="BC338" i="61"/>
  <c r="AY336" i="61"/>
  <c r="BC336" i="61"/>
  <c r="BG336" i="61"/>
  <c r="AU336" i="61"/>
  <c r="AC336" i="61"/>
  <c r="AD336" i="61"/>
  <c r="BC330" i="61"/>
  <c r="AY330" i="61"/>
  <c r="AY328" i="61"/>
  <c r="BA328" i="61"/>
  <c r="AU328" i="61"/>
  <c r="AW328" i="61"/>
  <c r="AY326" i="61"/>
  <c r="BI326" i="61"/>
  <c r="AU326" i="61"/>
  <c r="AW326" i="61"/>
  <c r="AU324" i="61"/>
  <c r="BC324" i="61"/>
  <c r="BG324" i="61"/>
  <c r="AZ323" i="61"/>
  <c r="AY323" i="61"/>
  <c r="AU322" i="61"/>
  <c r="AW322" i="61"/>
  <c r="AY322" i="61"/>
  <c r="BA322" i="61"/>
  <c r="BG322" i="61"/>
  <c r="AC322" i="61"/>
  <c r="AD322" i="61"/>
  <c r="AK321" i="61"/>
  <c r="AL321" i="61"/>
  <c r="BG320" i="61"/>
  <c r="AY320" i="61"/>
  <c r="BA320" i="61"/>
  <c r="BC320" i="61"/>
  <c r="AK319" i="61"/>
  <c r="AL319" i="61"/>
  <c r="AU318" i="61"/>
  <c r="AW318" i="61"/>
  <c r="BC318" i="61"/>
  <c r="BC316" i="61"/>
  <c r="BG316" i="61"/>
  <c r="AY316" i="61"/>
  <c r="BA316" i="61"/>
  <c r="AU316" i="61"/>
  <c r="AL315" i="61"/>
  <c r="AK315" i="61"/>
  <c r="AU314" i="61"/>
  <c r="AY314" i="61"/>
  <c r="BA314" i="61"/>
  <c r="AC314" i="61"/>
  <c r="AD314" i="61"/>
  <c r="BG312" i="61"/>
  <c r="O319" i="61"/>
  <c r="Q319" i="61"/>
  <c r="S319" i="61"/>
  <c r="K319" i="61"/>
  <c r="M319" i="61"/>
  <c r="BG384" i="61"/>
  <c r="BC384" i="61"/>
  <c r="AY371" i="61"/>
  <c r="AZ371" i="61"/>
  <c r="AD376" i="61"/>
  <c r="AD384" i="61"/>
  <c r="AL367" i="61"/>
  <c r="BH366" i="61"/>
  <c r="AC328" i="61"/>
  <c r="AY370" i="61"/>
  <c r="AY384" i="61"/>
  <c r="AY386" i="61"/>
  <c r="BA386" i="61"/>
  <c r="AC386" i="61"/>
  <c r="AC378" i="61"/>
  <c r="AD312" i="61"/>
  <c r="AD306" i="61"/>
  <c r="AZ359" i="61"/>
  <c r="AD338" i="61"/>
  <c r="BH330" i="61"/>
  <c r="BH314" i="61"/>
  <c r="BG300" i="61"/>
  <c r="BG302" i="61"/>
  <c r="AY304" i="61"/>
  <c r="BA304" i="61"/>
  <c r="BG306" i="61"/>
  <c r="BC310" i="61"/>
  <c r="BC312" i="61"/>
  <c r="BC306" i="61"/>
  <c r="AU306" i="61"/>
  <c r="AU308" i="61"/>
  <c r="AW308" i="61"/>
  <c r="AY310" i="61"/>
  <c r="BA310" i="61"/>
  <c r="AY312" i="61"/>
  <c r="BA312" i="61"/>
  <c r="W345" i="61"/>
  <c r="W322" i="61"/>
  <c r="S310" i="61"/>
  <c r="U310" i="61"/>
  <c r="W302" i="61"/>
  <c r="O322" i="61"/>
  <c r="Q322" i="61"/>
  <c r="W323" i="61"/>
  <c r="O366" i="61"/>
  <c r="Q366" i="61"/>
  <c r="T326" i="61"/>
  <c r="S368" i="61"/>
  <c r="W307" i="61"/>
  <c r="Y307" i="61"/>
  <c r="L386" i="61"/>
  <c r="O377" i="61"/>
  <c r="Q377" i="61"/>
  <c r="S367" i="61"/>
  <c r="O341" i="61"/>
  <c r="Q341" i="61"/>
  <c r="K338" i="61"/>
  <c r="M338" i="61"/>
  <c r="O321" i="61"/>
  <c r="Q321" i="61"/>
  <c r="O317" i="61"/>
  <c r="Q317" i="61"/>
  <c r="S372" i="61"/>
  <c r="K340" i="61"/>
  <c r="M340" i="61"/>
  <c r="K324" i="61"/>
  <c r="M324" i="61"/>
  <c r="O284" i="61"/>
  <c r="Q284" i="61"/>
  <c r="P284" i="61"/>
  <c r="AY287" i="61"/>
  <c r="K337" i="61"/>
  <c r="M337" i="61"/>
  <c r="K325" i="61"/>
  <c r="M325" i="61"/>
  <c r="S316" i="61"/>
  <c r="W309" i="61"/>
  <c r="Y309" i="61"/>
  <c r="AC290" i="61"/>
  <c r="AC286" i="61"/>
  <c r="AU287" i="61"/>
  <c r="AW287" i="61"/>
  <c r="S312" i="61"/>
  <c r="AO266" i="61"/>
  <c r="S380" i="61"/>
  <c r="W369" i="61"/>
  <c r="S314" i="61"/>
  <c r="K303" i="61"/>
  <c r="M303" i="61"/>
  <c r="AU384" i="61"/>
  <c r="AU382" i="61"/>
  <c r="AY367" i="61"/>
  <c r="BC322" i="61"/>
  <c r="W301" i="61"/>
  <c r="AY346" i="61"/>
  <c r="BA346" i="61"/>
  <c r="AZ346" i="61"/>
  <c r="L370" i="61"/>
  <c r="L362" i="61"/>
  <c r="O311" i="61"/>
  <c r="Q311" i="61"/>
  <c r="O345" i="61"/>
  <c r="Q345" i="61"/>
  <c r="K368" i="61"/>
  <c r="M368" i="61"/>
  <c r="AU277" i="61"/>
  <c r="AI102" i="23"/>
  <c r="O313" i="61"/>
  <c r="Q313" i="61"/>
  <c r="AY381" i="61"/>
  <c r="BA381" i="61"/>
  <c r="AY375" i="61"/>
  <c r="AC370" i="61"/>
  <c r="AC275" i="61"/>
  <c r="AC362" i="61"/>
  <c r="AL278" i="61"/>
  <c r="W375" i="61"/>
  <c r="AI119" i="23"/>
  <c r="AJ95" i="23"/>
  <c r="W385" i="61"/>
  <c r="W311" i="61"/>
  <c r="Y311" i="61"/>
  <c r="K292" i="61"/>
  <c r="M292" i="61"/>
  <c r="L292" i="61"/>
  <c r="AJ100" i="23"/>
  <c r="W363" i="61"/>
  <c r="K367" i="61"/>
  <c r="M367" i="61"/>
  <c r="O365" i="61"/>
  <c r="Q365" i="61"/>
  <c r="O346" i="61"/>
  <c r="Q346" i="61"/>
  <c r="S325" i="61"/>
  <c r="S317" i="61"/>
  <c r="K314" i="61"/>
  <c r="M314" i="61"/>
  <c r="K372" i="61"/>
  <c r="M372" i="61"/>
  <c r="K316" i="61"/>
  <c r="M316" i="61"/>
  <c r="K315" i="61"/>
  <c r="M315" i="61"/>
  <c r="O337" i="61"/>
  <c r="Q337" i="61"/>
  <c r="O306" i="61"/>
  <c r="Q306" i="61"/>
  <c r="O304" i="61"/>
  <c r="Q304" i="61"/>
  <c r="S303" i="61"/>
  <c r="AI95" i="23"/>
  <c r="AJ111" i="23"/>
  <c r="AJ96" i="23"/>
  <c r="AI111" i="23"/>
  <c r="AI98" i="23"/>
  <c r="AI109" i="23"/>
  <c r="AI108" i="23"/>
  <c r="AJ102" i="23"/>
  <c r="AJ114" i="23"/>
  <c r="AJ117" i="23"/>
  <c r="AJ108" i="23"/>
  <c r="AJ110" i="23"/>
  <c r="AJ112" i="23"/>
  <c r="AJ97" i="23"/>
  <c r="AI100" i="23"/>
  <c r="AI101" i="23"/>
  <c r="AI110" i="23"/>
  <c r="AJ116" i="23"/>
  <c r="AI116" i="23"/>
  <c r="AJ98" i="23"/>
  <c r="AI103" i="23"/>
  <c r="AI112" i="23"/>
  <c r="AJ119" i="23"/>
  <c r="AJ115" i="23"/>
  <c r="AJ101" i="23"/>
  <c r="AJ103" i="23"/>
  <c r="AI105" i="23"/>
  <c r="AJ106" i="23"/>
  <c r="AJ107" i="23"/>
  <c r="AJ118" i="23"/>
  <c r="AI96" i="23"/>
  <c r="AI118" i="23"/>
  <c r="AJ99" i="23"/>
  <c r="AI107" i="23"/>
  <c r="T105" i="23"/>
  <c r="AJ105" i="23"/>
  <c r="AI97" i="23"/>
  <c r="AI99" i="23"/>
  <c r="AJ109" i="23"/>
  <c r="AI106" i="23"/>
  <c r="AI104" i="23"/>
  <c r="AI114" i="23"/>
  <c r="AU239" i="61"/>
  <c r="G260" i="61" a="1"/>
  <c r="G260" i="61"/>
  <c r="BG248" i="61"/>
  <c r="G253" i="61" a="1"/>
  <c r="G253" i="61"/>
  <c r="BC266" i="61"/>
  <c r="BD241" i="61"/>
  <c r="O246" i="61"/>
  <c r="O242" i="61"/>
  <c r="Q242" i="61"/>
  <c r="AZ257" i="61"/>
  <c r="AZ253" i="61"/>
  <c r="G243" i="61" a="1"/>
  <c r="G243" i="61"/>
  <c r="BC239" i="61"/>
  <c r="AC238" i="61"/>
  <c r="AC260" i="61"/>
  <c r="AU266" i="61"/>
  <c r="BC263" i="61"/>
  <c r="AI75" i="23"/>
  <c r="AO221" i="61"/>
  <c r="AI73" i="23"/>
  <c r="AI72" i="23"/>
  <c r="AI74" i="23"/>
  <c r="AI76" i="23"/>
  <c r="AJ72" i="23"/>
  <c r="AJ76" i="23"/>
  <c r="AJ74" i="23"/>
  <c r="AJ73" i="23"/>
  <c r="BG208" i="61"/>
  <c r="W220" i="61"/>
  <c r="AZ221" i="61"/>
  <c r="O220" i="61"/>
  <c r="Q220" i="61"/>
  <c r="BG209" i="61"/>
  <c r="X220" i="61"/>
  <c r="BC209" i="61"/>
  <c r="AY217" i="61"/>
  <c r="AY209" i="61"/>
  <c r="BC222" i="61"/>
  <c r="AG215" i="61"/>
  <c r="AO210" i="61"/>
  <c r="AQ210" i="61"/>
  <c r="G217" i="61" a="1"/>
  <c r="G217" i="61"/>
  <c r="AU222" i="61"/>
  <c r="AG216" i="61"/>
  <c r="AU218" i="61"/>
  <c r="AP215" i="61"/>
  <c r="S218" i="61"/>
  <c r="AG208" i="61"/>
  <c r="AY208" i="61"/>
  <c r="O223" i="61"/>
  <c r="BC220" i="61"/>
  <c r="AY211" i="61"/>
  <c r="AG217" i="61"/>
  <c r="AG222" i="61"/>
  <c r="K208" i="61"/>
  <c r="AG210" i="61"/>
  <c r="AY210" i="61"/>
  <c r="AU209" i="61"/>
  <c r="AC215" i="61"/>
  <c r="AU215" i="61"/>
  <c r="S221" i="61"/>
  <c r="O221" i="61"/>
  <c r="AK233" i="61"/>
  <c r="AC221" i="61"/>
  <c r="AI16" i="23"/>
  <c r="AC209" i="61"/>
  <c r="BG210" i="61"/>
  <c r="W221" i="61"/>
  <c r="AH221" i="61"/>
  <c r="AK221" i="61"/>
  <c r="AV221" i="61"/>
  <c r="K223" i="61"/>
  <c r="T223" i="61"/>
  <c r="AC233" i="61"/>
  <c r="AL233" i="61"/>
  <c r="AG221" i="61"/>
  <c r="AP221" i="61"/>
  <c r="S223" i="61"/>
  <c r="AD223" i="61"/>
  <c r="K217" i="61"/>
  <c r="AK215" i="61"/>
  <c r="AG223" i="61"/>
  <c r="AG218" i="61"/>
  <c r="AY222" i="61"/>
  <c r="BC221" i="61"/>
  <c r="AU220" i="61"/>
  <c r="AG233" i="61"/>
  <c r="AO218" i="61"/>
  <c r="AC216" i="61"/>
  <c r="AK234" i="61"/>
  <c r="AC234" i="61"/>
  <c r="BC233" i="61"/>
  <c r="BG233" i="61"/>
  <c r="AU233" i="61"/>
  <c r="AY233" i="61"/>
  <c r="BG218" i="61"/>
  <c r="AY218" i="61"/>
  <c r="BC218" i="61"/>
  <c r="AJ20" i="23"/>
  <c r="K222" i="61"/>
  <c r="M222" i="61"/>
  <c r="O222" i="61"/>
  <c r="Q222" i="61"/>
  <c r="BC234" i="61"/>
  <c r="BG234" i="61"/>
  <c r="AY234" i="61"/>
  <c r="AU216" i="61"/>
  <c r="BD216" i="61"/>
  <c r="W215" i="61"/>
  <c r="K215" i="61"/>
  <c r="O215" i="61"/>
  <c r="BG220" i="61"/>
  <c r="AY220" i="61"/>
  <c r="W217" i="61"/>
  <c r="AH217" i="61"/>
  <c r="AG220" i="61"/>
  <c r="AC220" i="61"/>
  <c r="AU234" i="61"/>
  <c r="BC219" i="61"/>
  <c r="AU219" i="61"/>
  <c r="AO209" i="61"/>
  <c r="K220" i="61"/>
  <c r="AC217" i="61"/>
  <c r="AO216" i="61"/>
  <c r="AY215" i="61"/>
  <c r="O218" i="61"/>
  <c r="Q218" i="61"/>
  <c r="AO217" i="61"/>
  <c r="S215" i="61"/>
  <c r="K233" i="61"/>
  <c r="AO215" i="61"/>
  <c r="AG234" i="61"/>
  <c r="AK222" i="61"/>
  <c r="AO220" i="61"/>
  <c r="BC223" i="61"/>
  <c r="BC216" i="61"/>
  <c r="W218" i="61"/>
  <c r="K218" i="61"/>
  <c r="AI20" i="23"/>
  <c r="AG209" i="61"/>
  <c r="AI17" i="23"/>
  <c r="BC206" i="61"/>
  <c r="AJ16" i="23"/>
  <c r="AI15" i="23"/>
  <c r="AJ15" i="23"/>
  <c r="AI19" i="23"/>
  <c r="AJ18" i="23"/>
  <c r="T19" i="23"/>
  <c r="AJ19" i="23"/>
  <c r="AI18" i="23"/>
  <c r="AJ17" i="23"/>
  <c r="X361" i="61"/>
  <c r="W377" i="61"/>
  <c r="Y377" i="61"/>
  <c r="W371" i="61"/>
  <c r="K371" i="61"/>
  <c r="M371" i="61"/>
  <c r="S377" i="61"/>
  <c r="T377" i="61"/>
  <c r="X375" i="61"/>
  <c r="S374" i="61"/>
  <c r="O308" i="61"/>
  <c r="Q308" i="61"/>
  <c r="S308" i="61"/>
  <c r="K327" i="61"/>
  <c r="M327" i="61"/>
  <c r="L327" i="61"/>
  <c r="O326" i="61"/>
  <c r="Q326" i="61"/>
  <c r="K326" i="61"/>
  <c r="M326" i="61"/>
  <c r="O324" i="61"/>
  <c r="Q324" i="61"/>
  <c r="P324" i="61"/>
  <c r="S379" i="61"/>
  <c r="O373" i="61"/>
  <c r="Q373" i="61"/>
  <c r="O362" i="61"/>
  <c r="Q362" i="61"/>
  <c r="S341" i="61"/>
  <c r="S336" i="61"/>
  <c r="AC278" i="61"/>
  <c r="AY297" i="61"/>
  <c r="S337" i="61"/>
  <c r="U337" i="61"/>
  <c r="AY380" i="61"/>
  <c r="AC374" i="61"/>
  <c r="AE374" i="61"/>
  <c r="AC367" i="61"/>
  <c r="BC328" i="61"/>
  <c r="AC324" i="61"/>
  <c r="O325" i="61"/>
  <c r="Q325" i="61"/>
  <c r="K323" i="61"/>
  <c r="M323" i="61"/>
  <c r="S322" i="61"/>
  <c r="K311" i="61"/>
  <c r="M311" i="61"/>
  <c r="K309" i="61"/>
  <c r="M309" i="61"/>
  <c r="T380" i="61"/>
  <c r="K378" i="61"/>
  <c r="M378" i="61"/>
  <c r="W357" i="61"/>
  <c r="O357" i="61"/>
  <c r="Q357" i="61"/>
  <c r="W340" i="61"/>
  <c r="O340" i="61"/>
  <c r="Q340" i="61"/>
  <c r="P371" i="61"/>
  <c r="O374" i="61"/>
  <c r="Q374" i="61"/>
  <c r="W383" i="61"/>
  <c r="S369" i="61"/>
  <c r="T369" i="61"/>
  <c r="O361" i="61"/>
  <c r="Q361" i="61"/>
  <c r="P361" i="61"/>
  <c r="K346" i="61"/>
  <c r="M346" i="61"/>
  <c r="K357" i="61"/>
  <c r="M357" i="61"/>
  <c r="L357" i="61"/>
  <c r="W327" i="61"/>
  <c r="W326" i="61"/>
  <c r="S324" i="61"/>
  <c r="K322" i="61"/>
  <c r="M322" i="61"/>
  <c r="S306" i="61"/>
  <c r="AK270" i="61"/>
  <c r="AY270" i="61"/>
  <c r="AK386" i="61"/>
  <c r="AU364" i="61"/>
  <c r="BC362" i="61"/>
  <c r="BE362" i="61"/>
  <c r="AY340" i="61"/>
  <c r="AY337" i="61"/>
  <c r="AC318" i="61"/>
  <c r="AG273" i="61"/>
  <c r="AO277" i="61"/>
  <c r="BG275" i="61"/>
  <c r="AY354" i="61"/>
  <c r="W286" i="61"/>
  <c r="BC314" i="61"/>
  <c r="K291" i="61"/>
  <c r="M291" i="61"/>
  <c r="AU296" i="61"/>
  <c r="AC296" i="61"/>
  <c r="S291" i="61"/>
  <c r="BC286" i="61"/>
  <c r="O318" i="61"/>
  <c r="Q318" i="61"/>
  <c r="AU281" i="61"/>
  <c r="O291" i="61"/>
  <c r="Q291" i="61"/>
  <c r="BG295" i="61"/>
  <c r="P333" i="61"/>
  <c r="O333" i="61"/>
  <c r="Q333" i="61"/>
  <c r="K361" i="61"/>
  <c r="M361" i="61"/>
  <c r="L361" i="61"/>
  <c r="O372" i="61"/>
  <c r="Q372" i="61"/>
  <c r="O371" i="61"/>
  <c r="Q371" i="61"/>
  <c r="S371" i="61"/>
  <c r="S366" i="61"/>
  <c r="K366" i="61"/>
  <c r="M366" i="61"/>
  <c r="S346" i="61"/>
  <c r="U346" i="61"/>
  <c r="K373" i="61"/>
  <c r="M373" i="61"/>
  <c r="K336" i="61"/>
  <c r="M336" i="61"/>
  <c r="K330" i="61"/>
  <c r="M330" i="61"/>
  <c r="S381" i="61"/>
  <c r="W381" i="61"/>
  <c r="W380" i="61"/>
  <c r="K358" i="61"/>
  <c r="M358" i="61"/>
  <c r="S320" i="61"/>
  <c r="K320" i="61"/>
  <c r="M320" i="61"/>
  <c r="L321" i="61"/>
  <c r="T313" i="61"/>
  <c r="O379" i="61"/>
  <c r="Q379" i="61"/>
  <c r="O320" i="61"/>
  <c r="Q320" i="61"/>
  <c r="W306" i="61"/>
  <c r="AY365" i="61"/>
  <c r="AC363" i="61"/>
  <c r="BG340" i="61"/>
  <c r="BI340" i="61"/>
  <c r="AK333" i="61"/>
  <c r="AU330" i="61"/>
  <c r="AW330" i="61"/>
  <c r="AY329" i="61"/>
  <c r="BA329" i="61"/>
  <c r="AK316" i="61"/>
  <c r="AM316" i="61"/>
  <c r="K278" i="61"/>
  <c r="M278" i="61"/>
  <c r="O278" i="61"/>
  <c r="Q278" i="61"/>
  <c r="AG281" i="61"/>
  <c r="BC296" i="61"/>
  <c r="BC294" i="61"/>
  <c r="W294" i="61"/>
  <c r="Y294" i="61"/>
  <c r="S307" i="61"/>
  <c r="U307" i="61"/>
  <c r="AC380" i="61"/>
  <c r="AE380" i="61"/>
  <c r="AC371" i="61"/>
  <c r="BG364" i="61"/>
  <c r="BI364" i="61"/>
  <c r="AG295" i="61"/>
  <c r="AG291" i="61"/>
  <c r="AU295" i="61"/>
  <c r="AW295" i="61"/>
  <c r="BG293" i="61"/>
  <c r="S278" i="61"/>
  <c r="AK291" i="61"/>
  <c r="AO295" i="61"/>
  <c r="AO291" i="61"/>
  <c r="AU286" i="61"/>
  <c r="BC289" i="61"/>
  <c r="AC298" i="61"/>
  <c r="AK369" i="61"/>
  <c r="AG277" i="61"/>
  <c r="AO274" i="61"/>
  <c r="BC273" i="61"/>
  <c r="K352" i="61"/>
  <c r="M352" i="61"/>
  <c r="AY350" i="61"/>
  <c r="W386" i="61"/>
  <c r="O386" i="61"/>
  <c r="Q386" i="61"/>
  <c r="K386" i="61"/>
  <c r="M386" i="61"/>
  <c r="T363" i="61"/>
  <c r="S363" i="61"/>
  <c r="W358" i="61"/>
  <c r="X358" i="61"/>
  <c r="S339" i="61"/>
  <c r="T339" i="61"/>
  <c r="K376" i="61"/>
  <c r="M376" i="61"/>
  <c r="O376" i="61"/>
  <c r="Q376" i="61"/>
  <c r="T357" i="61"/>
  <c r="S357" i="61"/>
  <c r="U357" i="61"/>
  <c r="O382" i="61"/>
  <c r="Q382" i="61"/>
  <c r="W382" i="61"/>
  <c r="O364" i="61"/>
  <c r="Q364" i="61"/>
  <c r="P364" i="61"/>
  <c r="L385" i="61"/>
  <c r="K385" i="61"/>
  <c r="M385" i="61"/>
  <c r="K384" i="61"/>
  <c r="M384" i="61"/>
  <c r="W384" i="61"/>
  <c r="K375" i="61"/>
  <c r="M375" i="61"/>
  <c r="L375" i="61"/>
  <c r="X382" i="61"/>
  <c r="O387" i="61"/>
  <c r="Q387" i="61"/>
  <c r="O385" i="61"/>
  <c r="Q385" i="61"/>
  <c r="W376" i="61"/>
  <c r="Y376" i="61"/>
  <c r="W373" i="61"/>
  <c r="O363" i="61"/>
  <c r="Q363" i="61"/>
  <c r="O367" i="61"/>
  <c r="Q367" i="61"/>
  <c r="S356" i="61"/>
  <c r="K304" i="61"/>
  <c r="M304" i="61"/>
  <c r="L322" i="61"/>
  <c r="K381" i="61"/>
  <c r="M381" i="61"/>
  <c r="S378" i="61"/>
  <c r="K374" i="61"/>
  <c r="M374" i="61"/>
  <c r="W324" i="61"/>
  <c r="AO270" i="61"/>
  <c r="W308" i="61"/>
  <c r="O301" i="61"/>
  <c r="Q301" i="61"/>
  <c r="AU270" i="61"/>
  <c r="AK382" i="61"/>
  <c r="AM382" i="61"/>
  <c r="AK379" i="61"/>
  <c r="BC378" i="61"/>
  <c r="AY372" i="61"/>
  <c r="BA372" i="61"/>
  <c r="BC345" i="61"/>
  <c r="AY325" i="61"/>
  <c r="AK320" i="61"/>
  <c r="S274" i="61"/>
  <c r="AK274" i="61"/>
  <c r="AK271" i="61"/>
  <c r="AY271" i="61"/>
  <c r="AC352" i="61"/>
  <c r="AO350" i="61"/>
  <c r="AU354" i="61"/>
  <c r="BC282" i="61"/>
  <c r="W289" i="61"/>
  <c r="BG366" i="61"/>
  <c r="AC346" i="61"/>
  <c r="AY338" i="61"/>
  <c r="BA338" i="61"/>
  <c r="AC315" i="61"/>
  <c r="O274" i="61"/>
  <c r="Q274" i="61"/>
  <c r="AK279" i="61"/>
  <c r="AO281" i="61"/>
  <c r="AQ281" i="61"/>
  <c r="BG271" i="61"/>
  <c r="K354" i="61"/>
  <c r="M354" i="61"/>
  <c r="K350" i="61"/>
  <c r="M350" i="61"/>
  <c r="BC350" i="61"/>
  <c r="O283" i="61"/>
  <c r="Q283" i="61"/>
  <c r="S283" i="61"/>
  <c r="AK293" i="61"/>
  <c r="BC298" i="61"/>
  <c r="W287" i="61"/>
  <c r="W282" i="61"/>
  <c r="K274" i="61"/>
  <c r="M274" i="61"/>
  <c r="AO354" i="61"/>
  <c r="AG293" i="61"/>
  <c r="AG283" i="61"/>
  <c r="AU298" i="61"/>
  <c r="AU288" i="61"/>
  <c r="K295" i="61"/>
  <c r="M295" i="61"/>
  <c r="BG358" i="61"/>
  <c r="AK346" i="61"/>
  <c r="AM346" i="61"/>
  <c r="AK327" i="61"/>
  <c r="AC279" i="61"/>
  <c r="AY275" i="61"/>
  <c r="BI275" i="61"/>
  <c r="AK352" i="61"/>
  <c r="BG352" i="61"/>
  <c r="K283" i="61"/>
  <c r="M283" i="61"/>
  <c r="AO293" i="61"/>
  <c r="AO283" i="61"/>
  <c r="AU294" i="61"/>
  <c r="AY298" i="61"/>
  <c r="BA298" i="61"/>
  <c r="AY294" i="61"/>
  <c r="BC288" i="61"/>
  <c r="BG287" i="61"/>
  <c r="AC295" i="61"/>
  <c r="AM295" i="61"/>
  <c r="AC282" i="61"/>
  <c r="P356" i="61"/>
  <c r="O356" i="61"/>
  <c r="S330" i="61"/>
  <c r="T330" i="61"/>
  <c r="O378" i="61"/>
  <c r="Q378" i="61"/>
  <c r="P378" i="61"/>
  <c r="K369" i="61"/>
  <c r="M369" i="61"/>
  <c r="L369" i="61"/>
  <c r="W360" i="61"/>
  <c r="O360" i="61"/>
  <c r="Q360" i="61"/>
  <c r="S360" i="61"/>
  <c r="W270" i="61"/>
  <c r="O270" i="61"/>
  <c r="W370" i="61"/>
  <c r="S370" i="61"/>
  <c r="K370" i="61"/>
  <c r="M370" i="61"/>
  <c r="O370" i="61"/>
  <c r="Q370" i="61"/>
  <c r="P315" i="61"/>
  <c r="O315" i="61"/>
  <c r="Q315" i="61"/>
  <c r="W364" i="61"/>
  <c r="X364" i="61"/>
  <c r="K329" i="61"/>
  <c r="M329" i="61"/>
  <c r="O329" i="61"/>
  <c r="Q329" i="61"/>
  <c r="S329" i="61"/>
  <c r="W329" i="61"/>
  <c r="S387" i="61"/>
  <c r="K387" i="61"/>
  <c r="M387" i="61"/>
  <c r="K382" i="61"/>
  <c r="M382" i="61"/>
  <c r="S382" i="61"/>
  <c r="O380" i="61"/>
  <c r="Q380" i="61"/>
  <c r="W379" i="61"/>
  <c r="S375" i="61"/>
  <c r="U375" i="61"/>
  <c r="O375" i="61"/>
  <c r="Q375" i="61"/>
  <c r="W365" i="61"/>
  <c r="Y365" i="61"/>
  <c r="K365" i="61"/>
  <c r="M365" i="61"/>
  <c r="S365" i="61"/>
  <c r="W333" i="61"/>
  <c r="K333" i="61"/>
  <c r="M333" i="61"/>
  <c r="W328" i="61"/>
  <c r="S384" i="61"/>
  <c r="W362" i="61"/>
  <c r="Y362" i="61"/>
  <c r="K362" i="61"/>
  <c r="M362" i="61"/>
  <c r="S345" i="61"/>
  <c r="S328" i="61"/>
  <c r="BC370" i="61"/>
  <c r="BE370" i="61"/>
  <c r="BG370" i="61"/>
  <c r="K364" i="61"/>
  <c r="M364" i="61"/>
  <c r="W338" i="61"/>
  <c r="S338" i="61"/>
  <c r="U338" i="61"/>
  <c r="O338" i="61"/>
  <c r="Q338" i="61"/>
  <c r="O305" i="61"/>
  <c r="Q305" i="61"/>
  <c r="W387" i="61"/>
  <c r="O383" i="61"/>
  <c r="Q383" i="61"/>
  <c r="S383" i="61"/>
  <c r="K383" i="61"/>
  <c r="M383" i="61"/>
  <c r="W378" i="61"/>
  <c r="W368" i="61"/>
  <c r="O368" i="61"/>
  <c r="Q368" i="61"/>
  <c r="O358" i="61"/>
  <c r="Q358" i="61"/>
  <c r="W341" i="61"/>
  <c r="K341" i="61"/>
  <c r="M341" i="61"/>
  <c r="O336" i="61"/>
  <c r="Q336" i="61"/>
  <c r="O328" i="61"/>
  <c r="Q328" i="61"/>
  <c r="S326" i="61"/>
  <c r="W316" i="61"/>
  <c r="W314" i="61"/>
  <c r="Y314" i="61"/>
  <c r="W310" i="61"/>
  <c r="BG270" i="61"/>
  <c r="AK387" i="61"/>
  <c r="AM387" i="61"/>
  <c r="AO380" i="61"/>
  <c r="AQ380" i="61"/>
  <c r="AO370" i="61"/>
  <c r="AC369" i="61"/>
  <c r="BC367" i="61"/>
  <c r="BE367" i="61"/>
  <c r="AC364" i="61"/>
  <c r="AC361" i="61"/>
  <c r="AU359" i="61"/>
  <c r="AC341" i="61"/>
  <c r="AE341" i="61"/>
  <c r="AO336" i="61"/>
  <c r="AO330" i="61"/>
  <c r="AC329" i="61"/>
  <c r="AG327" i="61"/>
  <c r="AC287" i="61"/>
  <c r="AM287" i="61"/>
  <c r="AC285" i="61"/>
  <c r="W280" i="61"/>
  <c r="K280" i="61"/>
  <c r="M280" i="61"/>
  <c r="S280" i="61"/>
  <c r="S309" i="61"/>
  <c r="AC383" i="61"/>
  <c r="AC366" i="61"/>
  <c r="BC365" i="61"/>
  <c r="BE365" i="61"/>
  <c r="AC338" i="61"/>
  <c r="AY318" i="61"/>
  <c r="BA318" i="61"/>
  <c r="BC285" i="61"/>
  <c r="W297" i="61"/>
  <c r="O297" i="61"/>
  <c r="Q297" i="61"/>
  <c r="W312" i="61"/>
  <c r="AG384" i="61"/>
  <c r="AI384" i="61"/>
  <c r="AC381" i="61"/>
  <c r="AG376" i="61"/>
  <c r="AO374" i="61"/>
  <c r="AC373" i="61"/>
  <c r="AC368" i="61"/>
  <c r="AC365" i="61"/>
  <c r="BC363" i="61"/>
  <c r="BE363" i="61"/>
  <c r="AU346" i="61"/>
  <c r="AC340" i="61"/>
  <c r="AG328" i="61"/>
  <c r="W288" i="61"/>
  <c r="Y288" i="61"/>
  <c r="K288" i="61"/>
  <c r="M288" i="61"/>
  <c r="BG376" i="61"/>
  <c r="BG374" i="61"/>
  <c r="BC361" i="61"/>
  <c r="BC329" i="61"/>
  <c r="BG328" i="61"/>
  <c r="BI328" i="61"/>
  <c r="AY317" i="61"/>
  <c r="K296" i="61"/>
  <c r="M296" i="61"/>
  <c r="W296" i="61"/>
  <c r="Y296" i="61"/>
  <c r="AC321" i="61"/>
  <c r="AY319" i="61"/>
  <c r="BA319" i="61"/>
  <c r="AC271" i="61"/>
  <c r="AO273" i="61"/>
  <c r="AQ273" i="61"/>
  <c r="S352" i="61"/>
  <c r="AK350" i="61"/>
  <c r="AU350" i="61"/>
  <c r="O289" i="61"/>
  <c r="Q289" i="61"/>
  <c r="S295" i="61"/>
  <c r="AG285" i="61"/>
  <c r="AK297" i="61"/>
  <c r="AO285" i="61"/>
  <c r="AU290" i="61"/>
  <c r="AW290" i="61"/>
  <c r="AY295" i="61"/>
  <c r="BG285" i="61"/>
  <c r="W298" i="61"/>
  <c r="Y298" i="61"/>
  <c r="AC294" i="61"/>
  <c r="K275" i="61"/>
  <c r="M275" i="61"/>
  <c r="AC354" i="61"/>
  <c r="AU352" i="61"/>
  <c r="AY352" i="61"/>
  <c r="K297" i="61"/>
  <c r="M297" i="61"/>
  <c r="K289" i="61"/>
  <c r="M289" i="61"/>
  <c r="AG297" i="61"/>
  <c r="AG287" i="61"/>
  <c r="AK299" i="61"/>
  <c r="BC290" i="61"/>
  <c r="BG294" i="61"/>
  <c r="W290" i="61"/>
  <c r="W281" i="61"/>
  <c r="W276" i="61"/>
  <c r="W272" i="61"/>
  <c r="O275" i="61"/>
  <c r="Q275" i="61"/>
  <c r="S279" i="61"/>
  <c r="S271" i="61"/>
  <c r="AK278" i="61"/>
  <c r="AG354" i="61"/>
  <c r="AO352" i="61"/>
  <c r="BC352" i="61"/>
  <c r="BG354" i="61"/>
  <c r="BG350" i="61"/>
  <c r="K299" i="61"/>
  <c r="M299" i="61"/>
  <c r="S288" i="61"/>
  <c r="AG299" i="61"/>
  <c r="AK289" i="61"/>
  <c r="AO287" i="61"/>
  <c r="AU282" i="61"/>
  <c r="AY290" i="61"/>
  <c r="BA290" i="61"/>
  <c r="BG296" i="61"/>
  <c r="AC292" i="61"/>
  <c r="AC288" i="61"/>
  <c r="AE288" i="61"/>
  <c r="W278" i="61"/>
  <c r="W277" i="61"/>
  <c r="Y277" i="61"/>
  <c r="W274" i="61"/>
  <c r="W273" i="61"/>
  <c r="Y273" i="61"/>
  <c r="K279" i="61"/>
  <c r="M279" i="61"/>
  <c r="K271" i="61"/>
  <c r="O280" i="61"/>
  <c r="Q280" i="61"/>
  <c r="AC274" i="61"/>
  <c r="BC281" i="61"/>
  <c r="BE281" i="61"/>
  <c r="BG279" i="61"/>
  <c r="AU273" i="61"/>
  <c r="AC350" i="61"/>
  <c r="AK354" i="61"/>
  <c r="BC354" i="61"/>
  <c r="O299" i="61"/>
  <c r="Q299" i="61"/>
  <c r="O295" i="61"/>
  <c r="Q295" i="61"/>
  <c r="O287" i="61"/>
  <c r="Q287" i="61"/>
  <c r="S299" i="61"/>
  <c r="S296" i="61"/>
  <c r="S287" i="61"/>
  <c r="U287" i="61"/>
  <c r="AG289" i="61"/>
  <c r="AI289" i="61"/>
  <c r="AK285" i="61"/>
  <c r="AO297" i="61"/>
  <c r="AO289" i="61"/>
  <c r="BG297" i="61"/>
  <c r="BG289" i="61"/>
  <c r="BI289" i="61"/>
  <c r="AC293" i="61"/>
  <c r="AC284" i="61"/>
  <c r="P226" i="58"/>
  <c r="J634" i="35"/>
  <c r="R75" i="35"/>
  <c r="P92" i="58"/>
  <c r="Q75" i="35"/>
  <c r="AL73" i="55"/>
  <c r="AZ73" i="55"/>
  <c r="T73" i="55"/>
  <c r="X73" i="55"/>
  <c r="G75" i="35"/>
  <c r="L75" i="35"/>
  <c r="P75" i="35"/>
  <c r="H247" i="35"/>
  <c r="M247" i="35"/>
  <c r="R247" i="35"/>
  <c r="K333" i="35"/>
  <c r="P333" i="35"/>
  <c r="G421" i="35"/>
  <c r="G507" i="35"/>
  <c r="I593" i="35"/>
  <c r="K421" i="35"/>
  <c r="K507" i="35"/>
  <c r="K593" i="35"/>
  <c r="K678" i="35"/>
  <c r="P421" i="35"/>
  <c r="P507" i="35"/>
  <c r="P678" i="35"/>
  <c r="AH74" i="55"/>
  <c r="AP73" i="55"/>
  <c r="AD73" i="55"/>
  <c r="AL72" i="55"/>
  <c r="T72" i="55"/>
  <c r="AZ71" i="55"/>
  <c r="K75" i="35"/>
  <c r="I247" i="35"/>
  <c r="N247" i="35"/>
  <c r="S247" i="35"/>
  <c r="G333" i="35"/>
  <c r="L333" i="35"/>
  <c r="Q333" i="35"/>
  <c r="H421" i="35"/>
  <c r="I507" i="35"/>
  <c r="G678" i="35"/>
  <c r="L421" i="35"/>
  <c r="L507" i="35"/>
  <c r="L593" i="35"/>
  <c r="Q421" i="35"/>
  <c r="Q507" i="35"/>
  <c r="Q593" i="35"/>
  <c r="Q678" i="35"/>
  <c r="H75" i="35"/>
  <c r="M75" i="35"/>
  <c r="K247" i="35"/>
  <c r="P247" i="35"/>
  <c r="H333" i="35"/>
  <c r="R333" i="35"/>
  <c r="I421" i="35"/>
  <c r="G593" i="35"/>
  <c r="H678" i="35"/>
  <c r="M421" i="35"/>
  <c r="M507" i="35"/>
  <c r="M593" i="35"/>
  <c r="M678" i="35"/>
  <c r="R421" i="35"/>
  <c r="R507" i="35"/>
  <c r="R593" i="35"/>
  <c r="R678" i="35"/>
  <c r="BH72" i="55"/>
  <c r="AH72" i="55"/>
  <c r="I75" i="35"/>
  <c r="N75" i="35"/>
  <c r="G247" i="35"/>
  <c r="L247" i="35"/>
  <c r="Q247" i="35"/>
  <c r="I333" i="35"/>
  <c r="N333" i="35"/>
  <c r="S333" i="35"/>
  <c r="N421" i="35"/>
  <c r="N507" i="35"/>
  <c r="N593" i="35"/>
  <c r="N678" i="35"/>
  <c r="S421" i="35"/>
  <c r="S593" i="35"/>
  <c r="S678" i="35"/>
  <c r="BD73" i="55"/>
  <c r="AG71" i="55"/>
  <c r="AI11" i="58"/>
  <c r="O108" i="55"/>
  <c r="W90" i="55"/>
  <c r="AO71" i="55"/>
  <c r="BG72" i="55"/>
  <c r="J252" i="35"/>
  <c r="AC71" i="55"/>
  <c r="AK71" i="55"/>
  <c r="K71" i="55"/>
  <c r="T19" i="58"/>
  <c r="J596" i="35"/>
  <c r="G70" i="55" a="1"/>
  <c r="G70" i="55"/>
  <c r="BG139" i="55"/>
  <c r="BC133" i="55"/>
  <c r="BC129" i="55"/>
  <c r="BG117" i="55"/>
  <c r="BC115" i="55"/>
  <c r="T9" i="58"/>
  <c r="AO79" i="55"/>
  <c r="S142" i="55"/>
  <c r="S116" i="55"/>
  <c r="W92" i="55"/>
  <c r="AK139" i="55"/>
  <c r="AO133" i="55"/>
  <c r="AG125" i="55"/>
  <c r="AK107" i="55"/>
  <c r="AO101" i="55"/>
  <c r="AK99" i="55"/>
  <c r="AK95" i="55"/>
  <c r="K73" i="55"/>
  <c r="AI27" i="34"/>
  <c r="AI53" i="34"/>
  <c r="M42" i="34"/>
  <c r="H78" i="55" a="1"/>
  <c r="H78" i="55"/>
  <c r="O83" i="55"/>
  <c r="Q83" i="55"/>
  <c r="AI56" i="34"/>
  <c r="AI31" i="34"/>
  <c r="G74" i="55" a="1"/>
  <c r="G74" i="55"/>
  <c r="AI52" i="34"/>
  <c r="G73" i="55" a="1"/>
  <c r="G73" i="55"/>
  <c r="S79" i="55"/>
  <c r="AI30" i="34"/>
  <c r="AI33" i="34"/>
  <c r="AI55" i="34"/>
  <c r="M15" i="34"/>
  <c r="H71" i="55" a="1"/>
  <c r="H71" i="55"/>
  <c r="G72" i="55" a="1"/>
  <c r="G72" i="55"/>
  <c r="BC74" i="55"/>
  <c r="AU73" i="55"/>
  <c r="BC72" i="55"/>
  <c r="BC71" i="55"/>
  <c r="AI28" i="34"/>
  <c r="AI26" i="34"/>
  <c r="AI54" i="34"/>
  <c r="K84" i="55"/>
  <c r="M84" i="55"/>
  <c r="AK78" i="55"/>
  <c r="O71" i="55"/>
  <c r="O94" i="35"/>
  <c r="P44" i="58"/>
  <c r="AG35" i="58"/>
  <c r="T34" i="58"/>
  <c r="AV2" i="58"/>
  <c r="V3" i="58"/>
  <c r="O96" i="55"/>
  <c r="Q96" i="55"/>
  <c r="AG43" i="58"/>
  <c r="AY102" i="55"/>
  <c r="AY98" i="55"/>
  <c r="BC96" i="55"/>
  <c r="AY94" i="55"/>
  <c r="BG90" i="55"/>
  <c r="BI90" i="55"/>
  <c r="BG91" i="55"/>
  <c r="G89" i="55" a="1"/>
  <c r="G89" i="55"/>
  <c r="AI105" i="34"/>
  <c r="M111" i="34"/>
  <c r="H136" i="55" a="1"/>
  <c r="H136" i="55"/>
  <c r="G138" i="55" a="1"/>
  <c r="G138" i="55"/>
  <c r="G109" i="55" a="1"/>
  <c r="G109" i="55"/>
  <c r="W139" i="55"/>
  <c r="P40" i="58"/>
  <c r="T105" i="34"/>
  <c r="AJ105" i="34"/>
  <c r="AI71" i="34"/>
  <c r="AI113" i="34"/>
  <c r="AI86" i="34"/>
  <c r="G147" i="55" a="1"/>
  <c r="G147" i="55"/>
  <c r="G125" i="55" a="1"/>
  <c r="G125" i="55"/>
  <c r="G118" i="55" a="1"/>
  <c r="G118" i="55"/>
  <c r="G113" i="55" a="1"/>
  <c r="G113" i="55"/>
  <c r="G110" i="55" a="1"/>
  <c r="G110" i="55"/>
  <c r="G105" i="55" a="1"/>
  <c r="G105" i="55"/>
  <c r="AG46" i="58"/>
  <c r="O137" i="55"/>
  <c r="G132" i="55" a="1"/>
  <c r="G132" i="55"/>
  <c r="G121" i="55" a="1"/>
  <c r="G121" i="55"/>
  <c r="G114" i="55" a="1"/>
  <c r="G114" i="55"/>
  <c r="G101" i="55" a="1"/>
  <c r="G101" i="55"/>
  <c r="AI66" i="34"/>
  <c r="AI76" i="34"/>
  <c r="BG118" i="55"/>
  <c r="AV31" i="58"/>
  <c r="T69" i="34"/>
  <c r="AJ69" i="34"/>
  <c r="AI69" i="34"/>
  <c r="T75" i="34"/>
  <c r="AJ75" i="34"/>
  <c r="AI75" i="34"/>
  <c r="T79" i="34"/>
  <c r="AJ79" i="34"/>
  <c r="AI79" i="34"/>
  <c r="T83" i="34"/>
  <c r="AI83" i="34"/>
  <c r="T106" i="34"/>
  <c r="AJ106" i="34"/>
  <c r="AI106" i="34"/>
  <c r="T97" i="34"/>
  <c r="AJ97" i="34"/>
  <c r="AI97" i="34"/>
  <c r="T67" i="34"/>
  <c r="AJ67" i="34"/>
  <c r="AI67" i="34"/>
  <c r="AI118" i="34"/>
  <c r="T115" i="34"/>
  <c r="AJ115" i="34"/>
  <c r="AI115" i="34"/>
  <c r="T112" i="34"/>
  <c r="AJ112" i="34"/>
  <c r="AI112" i="34"/>
  <c r="T109" i="34"/>
  <c r="AJ109" i="34"/>
  <c r="AI109" i="34"/>
  <c r="T102" i="34"/>
  <c r="AJ102" i="34"/>
  <c r="AI102" i="34"/>
  <c r="T99" i="34"/>
  <c r="AJ99" i="34"/>
  <c r="AI99" i="34"/>
  <c r="T96" i="34"/>
  <c r="AJ96" i="34"/>
  <c r="AI96" i="34"/>
  <c r="AI92" i="34"/>
  <c r="T89" i="34"/>
  <c r="AJ89" i="34"/>
  <c r="AI89" i="34"/>
  <c r="T73" i="34"/>
  <c r="AJ73" i="34"/>
  <c r="AI73" i="34"/>
  <c r="T85" i="34"/>
  <c r="AJ85" i="34"/>
  <c r="AI85" i="34"/>
  <c r="T116" i="34"/>
  <c r="AJ116" i="34"/>
  <c r="AI116" i="34"/>
  <c r="T103" i="34"/>
  <c r="AJ103" i="34"/>
  <c r="AI103" i="34"/>
  <c r="T93" i="34"/>
  <c r="AJ93" i="34"/>
  <c r="AI93" i="34"/>
  <c r="T68" i="34"/>
  <c r="AJ68" i="34"/>
  <c r="AI68" i="34"/>
  <c r="T70" i="34"/>
  <c r="AJ70" i="34"/>
  <c r="AI70" i="34"/>
  <c r="T72" i="34"/>
  <c r="AJ72" i="34"/>
  <c r="AI72" i="34"/>
  <c r="T74" i="34"/>
  <c r="AJ74" i="34"/>
  <c r="AI74" i="34"/>
  <c r="T78" i="34"/>
  <c r="AI78" i="34"/>
  <c r="T80" i="34"/>
  <c r="AJ80" i="34"/>
  <c r="AI80" i="34"/>
  <c r="T82" i="34"/>
  <c r="AJ82" i="34"/>
  <c r="AI82" i="34"/>
  <c r="T84" i="34"/>
  <c r="AJ84" i="34"/>
  <c r="AI84" i="34"/>
  <c r="T121" i="34"/>
  <c r="AJ121" i="34"/>
  <c r="AI121" i="34"/>
  <c r="T114" i="34"/>
  <c r="AJ114" i="34"/>
  <c r="AI114" i="34"/>
  <c r="T111" i="34"/>
  <c r="AJ111" i="34"/>
  <c r="AI111" i="34"/>
  <c r="T108" i="34"/>
  <c r="AJ108" i="34"/>
  <c r="AI108" i="34"/>
  <c r="T98" i="34"/>
  <c r="AJ98" i="34"/>
  <c r="AI98" i="34"/>
  <c r="T95" i="34"/>
  <c r="AJ95" i="34"/>
  <c r="AI95" i="34"/>
  <c r="T91" i="34"/>
  <c r="AJ91" i="34"/>
  <c r="AI91" i="34"/>
  <c r="T88" i="34"/>
  <c r="AJ88" i="34"/>
  <c r="AI88" i="34"/>
  <c r="T65" i="34"/>
  <c r="AJ65" i="34"/>
  <c r="AI65" i="34"/>
  <c r="T77" i="34"/>
  <c r="AJ77" i="34"/>
  <c r="AI77" i="34"/>
  <c r="T81" i="34"/>
  <c r="AJ81" i="34"/>
  <c r="AI81" i="34"/>
  <c r="T122" i="34"/>
  <c r="AJ122" i="34"/>
  <c r="AI122" i="34"/>
  <c r="T119" i="34"/>
  <c r="AJ119" i="34"/>
  <c r="AI119" i="34"/>
  <c r="T100" i="34"/>
  <c r="AJ100" i="34"/>
  <c r="AI100" i="34"/>
  <c r="T120" i="34"/>
  <c r="AJ120" i="34"/>
  <c r="AI120" i="34"/>
  <c r="T117" i="34"/>
  <c r="AJ117" i="34"/>
  <c r="AI117" i="34"/>
  <c r="T110" i="34"/>
  <c r="AJ110" i="34"/>
  <c r="AI110" i="34"/>
  <c r="T107" i="34"/>
  <c r="AJ107" i="34"/>
  <c r="AI107" i="34"/>
  <c r="T104" i="34"/>
  <c r="AJ104" i="34"/>
  <c r="AI104" i="34"/>
  <c r="T101" i="34"/>
  <c r="AJ101" i="34"/>
  <c r="AI101" i="34"/>
  <c r="T94" i="34"/>
  <c r="AJ94" i="34"/>
  <c r="AI94" i="34"/>
  <c r="T90" i="34"/>
  <c r="AJ90" i="34"/>
  <c r="AI90" i="34"/>
  <c r="T87" i="34"/>
  <c r="AJ87" i="34"/>
  <c r="AI87" i="34"/>
  <c r="AY121" i="55"/>
  <c r="AY111" i="55"/>
  <c r="BG105" i="55"/>
  <c r="BC103" i="55"/>
  <c r="BG140" i="55"/>
  <c r="BC116" i="55"/>
  <c r="BC108" i="55"/>
  <c r="BG100" i="55"/>
  <c r="AV23" i="58"/>
  <c r="AG34" i="58"/>
  <c r="AC40" i="58"/>
  <c r="AG42" i="58"/>
  <c r="AT46" i="58"/>
  <c r="AG13" i="58"/>
  <c r="O260" i="35"/>
  <c r="AK140" i="55"/>
  <c r="AG136" i="55"/>
  <c r="AG132" i="55"/>
  <c r="AK118" i="55"/>
  <c r="AG104" i="55"/>
  <c r="AK96" i="55"/>
  <c r="AT30" i="58"/>
  <c r="AT22" i="58"/>
  <c r="AG38" i="58"/>
  <c r="AG17" i="58"/>
  <c r="AP19" i="58"/>
  <c r="AG6" i="58"/>
  <c r="AG22" i="58"/>
  <c r="S102" i="55"/>
  <c r="W103" i="55"/>
  <c r="G111" i="55" a="1"/>
  <c r="G111" i="55"/>
  <c r="AG11" i="58"/>
  <c r="M103" i="34"/>
  <c r="H128" i="55" a="1"/>
  <c r="H128" i="55"/>
  <c r="AO96" i="55"/>
  <c r="G135" i="55" a="1"/>
  <c r="G135" i="55"/>
  <c r="G104" i="55" a="1"/>
  <c r="G104" i="55"/>
  <c r="G100" i="55" a="1"/>
  <c r="G100" i="55"/>
  <c r="G96" i="55" a="1"/>
  <c r="G96" i="55"/>
  <c r="G92" i="55" a="1"/>
  <c r="G92" i="55"/>
  <c r="AU131" i="55"/>
  <c r="AP27" i="58"/>
  <c r="AV24" i="58"/>
  <c r="AU93" i="55"/>
  <c r="G142" i="55" a="1"/>
  <c r="G142" i="55"/>
  <c r="G141" i="55" a="1"/>
  <c r="G141" i="55"/>
  <c r="G131" i="55" a="1"/>
  <c r="G131" i="55"/>
  <c r="G124" i="55" a="1"/>
  <c r="G124" i="55"/>
  <c r="G106" i="55" a="1"/>
  <c r="G106" i="55"/>
  <c r="G102" i="55" a="1"/>
  <c r="G102" i="55"/>
  <c r="G98" i="55" a="1"/>
  <c r="G98" i="55"/>
  <c r="G97" i="55" a="1"/>
  <c r="G97" i="55"/>
  <c r="G94" i="55" a="1"/>
  <c r="G94" i="55"/>
  <c r="G93" i="55" a="1"/>
  <c r="G93" i="55"/>
  <c r="AK117" i="55"/>
  <c r="AU113" i="55"/>
  <c r="G137" i="55" a="1"/>
  <c r="G137" i="55"/>
  <c r="AG90" i="55"/>
  <c r="AY104" i="55"/>
  <c r="AT10" i="58"/>
  <c r="AG2" i="58"/>
  <c r="O432" i="35"/>
  <c r="AE35" i="58"/>
  <c r="T11" i="58"/>
  <c r="AE19" i="58"/>
  <c r="AK141" i="55"/>
  <c r="AO111" i="55"/>
  <c r="BA111" i="55"/>
  <c r="AO103" i="55"/>
  <c r="BC99" i="55"/>
  <c r="AO135" i="55"/>
  <c r="AG129" i="55"/>
  <c r="G145" i="55" a="1"/>
  <c r="G145" i="55"/>
  <c r="AY101" i="55"/>
  <c r="BI101" i="55"/>
  <c r="AG92" i="55"/>
  <c r="AG100" i="55"/>
  <c r="AU126" i="55"/>
  <c r="S107" i="55"/>
  <c r="BG142" i="55"/>
  <c r="BI142" i="55"/>
  <c r="BG132" i="55"/>
  <c r="AY130" i="55"/>
  <c r="BG128" i="55"/>
  <c r="AY126" i="55"/>
  <c r="BG120" i="55"/>
  <c r="BC118" i="55"/>
  <c r="AY112" i="55"/>
  <c r="AY108" i="55"/>
  <c r="BI108" i="55"/>
  <c r="BC92" i="55"/>
  <c r="BC121" i="55"/>
  <c r="AO98" i="55"/>
  <c r="AO106" i="55"/>
  <c r="AK137" i="55"/>
  <c r="AK123" i="55"/>
  <c r="AG109" i="55"/>
  <c r="BG111" i="55"/>
  <c r="G146" i="55" a="1"/>
  <c r="G146" i="55"/>
  <c r="W141" i="55"/>
  <c r="O127" i="55"/>
  <c r="O124" i="55"/>
  <c r="O121" i="55"/>
  <c r="Q121" i="55"/>
  <c r="W117" i="55"/>
  <c r="O104" i="55"/>
  <c r="Q104" i="55"/>
  <c r="S100" i="55"/>
  <c r="W97" i="55"/>
  <c r="S93" i="55"/>
  <c r="AG140" i="55"/>
  <c r="AO138" i="55"/>
  <c r="AK134" i="55"/>
  <c r="AK130" i="55"/>
  <c r="AK124" i="55"/>
  <c r="AK122" i="55"/>
  <c r="AK110" i="55"/>
  <c r="AK102" i="55"/>
  <c r="AG96" i="55"/>
  <c r="AQ96" i="55"/>
  <c r="AZ145" i="55"/>
  <c r="G144" i="55" a="1"/>
  <c r="G144" i="55"/>
  <c r="K94" i="55"/>
  <c r="M94" i="55"/>
  <c r="AG7" i="58"/>
  <c r="V24" i="58"/>
  <c r="T47" i="58"/>
  <c r="AI26" i="58"/>
  <c r="AV8" i="58"/>
  <c r="AI32" i="58"/>
  <c r="AE39" i="58"/>
  <c r="AR39" i="58"/>
  <c r="AT7" i="58"/>
  <c r="AT23" i="58"/>
  <c r="AC103" i="55"/>
  <c r="AO129" i="55"/>
  <c r="G143" i="55" a="1"/>
  <c r="G143" i="55"/>
  <c r="V8" i="58"/>
  <c r="AP39" i="58"/>
  <c r="P32" i="58"/>
  <c r="V42" i="58"/>
  <c r="AE32" i="58"/>
  <c r="AU106" i="55"/>
  <c r="AU96" i="55"/>
  <c r="AU94" i="55"/>
  <c r="AU90" i="55"/>
  <c r="T259" i="35"/>
  <c r="J340" i="35"/>
  <c r="T254" i="35"/>
  <c r="J256" i="35"/>
  <c r="AR8" i="58"/>
  <c r="V35" i="58"/>
  <c r="P19" i="58"/>
  <c r="AT24" i="58"/>
  <c r="V34" i="58"/>
  <c r="AI19" i="58"/>
  <c r="P43" i="58"/>
  <c r="P42" i="58"/>
  <c r="AC122" i="55"/>
  <c r="AI42" i="58"/>
  <c r="V26" i="58"/>
  <c r="V43" i="58"/>
  <c r="P34" i="58"/>
  <c r="P18" i="58"/>
  <c r="AR22" i="58"/>
  <c r="J689" i="35"/>
  <c r="O427" i="35"/>
  <c r="J81" i="35"/>
  <c r="T7" i="58"/>
  <c r="AE45" i="58"/>
  <c r="G139" i="55" a="1"/>
  <c r="G139" i="55"/>
  <c r="G133" i="55" a="1"/>
  <c r="G133" i="55"/>
  <c r="G129" i="55" a="1"/>
  <c r="G129" i="55"/>
  <c r="G126" i="55" a="1"/>
  <c r="G126" i="55"/>
  <c r="G123" i="55" a="1"/>
  <c r="G123" i="55"/>
  <c r="G122" i="55" a="1"/>
  <c r="G122" i="55"/>
  <c r="G119" i="55" a="1"/>
  <c r="G119" i="55"/>
  <c r="AC92" i="55"/>
  <c r="AO130" i="55"/>
  <c r="AY106" i="55"/>
  <c r="G140" i="55" a="1"/>
  <c r="G140" i="55"/>
  <c r="G134" i="55" a="1"/>
  <c r="G134" i="55"/>
  <c r="G130" i="55" a="1"/>
  <c r="G130" i="55"/>
  <c r="G127" i="55" a="1"/>
  <c r="G127" i="55"/>
  <c r="G120" i="55" a="1"/>
  <c r="G120" i="55"/>
  <c r="G117" i="55" a="1"/>
  <c r="G117" i="55"/>
  <c r="BG96" i="55"/>
  <c r="BC112" i="55"/>
  <c r="BC91" i="55"/>
  <c r="AY107" i="55"/>
  <c r="AC102" i="55"/>
  <c r="AK132" i="55"/>
  <c r="BG92" i="55"/>
  <c r="BC98" i="55"/>
  <c r="BG106" i="55"/>
  <c r="BG112" i="55"/>
  <c r="AU134" i="55"/>
  <c r="W140" i="55"/>
  <c r="O136" i="55"/>
  <c r="Q136" i="55"/>
  <c r="O132" i="55"/>
  <c r="S131" i="55"/>
  <c r="O120" i="55"/>
  <c r="S119" i="55"/>
  <c r="O110" i="55"/>
  <c r="AG113" i="55"/>
  <c r="AC91" i="55"/>
  <c r="AG160" i="55"/>
  <c r="AG156" i="55"/>
  <c r="AG152" i="55"/>
  <c r="AK146" i="55"/>
  <c r="AO152" i="55"/>
  <c r="AK114" i="55"/>
  <c r="AG112" i="55"/>
  <c r="AK100" i="55"/>
  <c r="AO92" i="55"/>
  <c r="AK90" i="55"/>
  <c r="AG150" i="55"/>
  <c r="AG146" i="55"/>
  <c r="AK160" i="55"/>
  <c r="AK156" i="55"/>
  <c r="AK152" i="55"/>
  <c r="AO150" i="55"/>
  <c r="AO146" i="55"/>
  <c r="G116" i="55" a="1"/>
  <c r="G116" i="55"/>
  <c r="AG40" i="58"/>
  <c r="O256" i="35"/>
  <c r="O83" i="35"/>
  <c r="T340" i="35"/>
  <c r="AE49" i="58"/>
  <c r="AR31" i="58"/>
  <c r="AC48" i="58"/>
  <c r="AG48" i="58"/>
  <c r="AI2" i="58"/>
  <c r="AP43" i="58"/>
  <c r="AG24" i="58"/>
  <c r="AE31" i="58"/>
  <c r="AR24" i="58"/>
  <c r="AT8" i="58"/>
  <c r="V10" i="58"/>
  <c r="T346" i="35"/>
  <c r="AG19" i="58"/>
  <c r="AG18" i="58"/>
  <c r="T345" i="35"/>
  <c r="T15" i="58"/>
  <c r="AC13" i="58"/>
  <c r="AE33" i="58"/>
  <c r="R25" i="58"/>
  <c r="T604" i="35"/>
  <c r="T689" i="35"/>
  <c r="J432" i="35"/>
  <c r="O344" i="35"/>
  <c r="T16" i="58"/>
  <c r="AR38" i="58"/>
  <c r="O86" i="35"/>
  <c r="T432" i="35"/>
  <c r="O604" i="35"/>
  <c r="O689" i="35"/>
  <c r="J513" i="35"/>
  <c r="AC32" i="58"/>
  <c r="P24" i="58"/>
  <c r="P36" i="58"/>
  <c r="T42" i="58"/>
  <c r="J339" i="35"/>
  <c r="V11" i="58"/>
  <c r="AG26" i="58"/>
  <c r="P7" i="58"/>
  <c r="P47" i="58"/>
  <c r="G108" i="55" a="1"/>
  <c r="G108" i="55"/>
  <c r="G112" i="55" a="1"/>
  <c r="G112" i="55"/>
  <c r="G107" i="55" a="1"/>
  <c r="G107" i="55"/>
  <c r="G103" i="55" a="1"/>
  <c r="G103" i="55"/>
  <c r="G95" i="55" a="1"/>
  <c r="G95" i="55"/>
  <c r="AU118" i="55"/>
  <c r="AO109" i="55"/>
  <c r="AO119" i="55"/>
  <c r="M65" i="34"/>
  <c r="H90" i="55" a="1"/>
  <c r="H90" i="55"/>
  <c r="BC105" i="55"/>
  <c r="AU117" i="55"/>
  <c r="BG129" i="55"/>
  <c r="BC94" i="55"/>
  <c r="BC100" i="55"/>
  <c r="BC104" i="55"/>
  <c r="AU108" i="55"/>
  <c r="BG116" i="55"/>
  <c r="AY120" i="55"/>
  <c r="AY132" i="55"/>
  <c r="O116" i="55"/>
  <c r="Q116" i="55"/>
  <c r="AO137" i="55"/>
  <c r="O111" i="55"/>
  <c r="O109" i="55"/>
  <c r="O106" i="55"/>
  <c r="Q106" i="55"/>
  <c r="W99" i="55"/>
  <c r="O95" i="55"/>
  <c r="O94" i="55"/>
  <c r="AK136" i="55"/>
  <c r="AK126" i="55"/>
  <c r="AW126" i="55"/>
  <c r="AK120" i="55"/>
  <c r="AO118" i="55"/>
  <c r="AK104" i="55"/>
  <c r="AK98" i="55"/>
  <c r="AG94" i="55"/>
  <c r="G99" i="55" a="1"/>
  <c r="G99" i="55"/>
  <c r="G91" i="55" a="1"/>
  <c r="G91" i="55"/>
  <c r="AU98" i="55"/>
  <c r="AG122" i="55"/>
  <c r="AY116" i="55"/>
  <c r="BC134" i="55"/>
  <c r="AO125" i="55"/>
  <c r="AO141" i="55"/>
  <c r="O100" i="55"/>
  <c r="W107" i="55"/>
  <c r="G115" i="55" a="1"/>
  <c r="G115" i="55"/>
  <c r="BC128" i="55"/>
  <c r="BG102" i="55"/>
  <c r="BG98" i="55"/>
  <c r="BG94" i="55"/>
  <c r="O99" i="55"/>
  <c r="K103" i="55"/>
  <c r="BC142" i="55"/>
  <c r="BG136" i="55"/>
  <c r="BC130" i="55"/>
  <c r="BC122" i="55"/>
  <c r="AZ149" i="55"/>
  <c r="AG120" i="55"/>
  <c r="AO94" i="55"/>
  <c r="AG98" i="55"/>
  <c r="AO100" i="55"/>
  <c r="AO104" i="55"/>
  <c r="AO110" i="55"/>
  <c r="AO134" i="55"/>
  <c r="S95" i="55"/>
  <c r="O102" i="55"/>
  <c r="AU115" i="55"/>
  <c r="AU135" i="55"/>
  <c r="BE135" i="55"/>
  <c r="AK92" i="55"/>
  <c r="AG102" i="55"/>
  <c r="AC134" i="55"/>
  <c r="AM134" i="55"/>
  <c r="AU92" i="55"/>
  <c r="AU100" i="55"/>
  <c r="K95" i="55"/>
  <c r="S111" i="55"/>
  <c r="AC97" i="55"/>
  <c r="AK133" i="55"/>
  <c r="AK131" i="55"/>
  <c r="AC127" i="55"/>
  <c r="AO123" i="55"/>
  <c r="AK121" i="55"/>
  <c r="AO117" i="55"/>
  <c r="AO115" i="55"/>
  <c r="AO113" i="55"/>
  <c r="AK111" i="55"/>
  <c r="AO105" i="55"/>
  <c r="AK101" i="55"/>
  <c r="AG97" i="55"/>
  <c r="AK91" i="55"/>
  <c r="BC137" i="55"/>
  <c r="AU133" i="55"/>
  <c r="BE133" i="55"/>
  <c r="BG131" i="55"/>
  <c r="AY127" i="55"/>
  <c r="BG125" i="55"/>
  <c r="BG123" i="55"/>
  <c r="AU119" i="55"/>
  <c r="AY109" i="55"/>
  <c r="AU156" i="55"/>
  <c r="AY91" i="55"/>
  <c r="BC95" i="55"/>
  <c r="AY99" i="55"/>
  <c r="BG103" i="55"/>
  <c r="AY105" i="55"/>
  <c r="BG109" i="55"/>
  <c r="BC111" i="55"/>
  <c r="AY115" i="55"/>
  <c r="BC117" i="55"/>
  <c r="AY119" i="55"/>
  <c r="BG121" i="55"/>
  <c r="AU123" i="55"/>
  <c r="BE123" i="55"/>
  <c r="BG127" i="55"/>
  <c r="AY129" i="55"/>
  <c r="BG133" i="55"/>
  <c r="BG135" i="55"/>
  <c r="AO112" i="55"/>
  <c r="BA112" i="55"/>
  <c r="AG130" i="55"/>
  <c r="AY92" i="55"/>
  <c r="AY96" i="55"/>
  <c r="AY100" i="55"/>
  <c r="BI100" i="55"/>
  <c r="K92" i="55"/>
  <c r="K96" i="55"/>
  <c r="S104" i="55"/>
  <c r="AC95" i="55"/>
  <c r="AO99" i="55"/>
  <c r="AG101" i="55"/>
  <c r="AK105" i="55"/>
  <c r="AK109" i="55"/>
  <c r="AG111" i="55"/>
  <c r="AQ111" i="55"/>
  <c r="AG115" i="55"/>
  <c r="AG121" i="55"/>
  <c r="AG123" i="55"/>
  <c r="AK127" i="55"/>
  <c r="AK129" i="55"/>
  <c r="AG133" i="55"/>
  <c r="AQ133" i="55"/>
  <c r="AG137" i="55"/>
  <c r="O134" i="55"/>
  <c r="O105" i="55"/>
  <c r="AP145" i="55"/>
  <c r="AP149" i="55"/>
  <c r="AV159" i="55"/>
  <c r="BC93" i="55"/>
  <c r="AY95" i="55"/>
  <c r="BI95" i="55"/>
  <c r="AU99" i="55"/>
  <c r="BE99" i="55"/>
  <c r="AY103" i="55"/>
  <c r="AU105" i="55"/>
  <c r="BC109" i="55"/>
  <c r="BG113" i="55"/>
  <c r="BG115" i="55"/>
  <c r="AY117" i="55"/>
  <c r="BI117" i="55"/>
  <c r="BG119" i="55"/>
  <c r="AY125" i="55"/>
  <c r="BC131" i="55"/>
  <c r="AY133" i="55"/>
  <c r="BI133" i="55"/>
  <c r="AY135" i="55"/>
  <c r="BI135" i="55"/>
  <c r="AY139" i="55"/>
  <c r="AC112" i="55"/>
  <c r="AC136" i="55"/>
  <c r="AM136" i="55"/>
  <c r="AY118" i="55"/>
  <c r="AU120" i="55"/>
  <c r="W93" i="55"/>
  <c r="W95" i="55"/>
  <c r="O97" i="55"/>
  <c r="S103" i="55"/>
  <c r="AE103" i="55"/>
  <c r="S108" i="55"/>
  <c r="O113" i="55"/>
  <c r="AO91" i="55"/>
  <c r="AG95" i="55"/>
  <c r="AG99" i="55"/>
  <c r="AQ99" i="55"/>
  <c r="AK103" i="55"/>
  <c r="AO107" i="55"/>
  <c r="AK113" i="55"/>
  <c r="AK115" i="55"/>
  <c r="AG119" i="55"/>
  <c r="AQ119" i="55"/>
  <c r="AO121" i="55"/>
  <c r="AC123" i="55"/>
  <c r="AO127" i="55"/>
  <c r="AO131" i="55"/>
  <c r="AG135" i="55"/>
  <c r="AC137" i="55"/>
  <c r="AM137" i="55"/>
  <c r="AO140" i="55"/>
  <c r="AO126" i="55"/>
  <c r="AG124" i="55"/>
  <c r="AK106" i="55"/>
  <c r="AO90" i="55"/>
  <c r="BA90" i="55"/>
  <c r="BC124" i="55"/>
  <c r="AZ153" i="55"/>
  <c r="AG147" i="55"/>
  <c r="AG143" i="55"/>
  <c r="AO159" i="55"/>
  <c r="AO147" i="55"/>
  <c r="AO143" i="55"/>
  <c r="AU157" i="55"/>
  <c r="AU149" i="55"/>
  <c r="AC150" i="55"/>
  <c r="AC146" i="55"/>
  <c r="S129" i="55"/>
  <c r="O128" i="55"/>
  <c r="O118" i="55"/>
  <c r="S114" i="55"/>
  <c r="O112" i="55"/>
  <c r="W101" i="55"/>
  <c r="AI101" i="55"/>
  <c r="O98" i="55"/>
  <c r="O91" i="55"/>
  <c r="AY93" i="55"/>
  <c r="BI93" i="55"/>
  <c r="AU95" i="55"/>
  <c r="BC101" i="55"/>
  <c r="AU103" i="55"/>
  <c r="BE103" i="55"/>
  <c r="BG107" i="55"/>
  <c r="AU109" i="55"/>
  <c r="AY113" i="55"/>
  <c r="AY131" i="55"/>
  <c r="AU139" i="55"/>
  <c r="AK94" i="55"/>
  <c r="AO120" i="55"/>
  <c r="AK138" i="55"/>
  <c r="S91" i="55"/>
  <c r="AE91" i="55"/>
  <c r="S97" i="55"/>
  <c r="K101" i="55"/>
  <c r="O103" i="55"/>
  <c r="S106" i="55"/>
  <c r="W111" i="55"/>
  <c r="O114" i="55"/>
  <c r="AG91" i="55"/>
  <c r="AO97" i="55"/>
  <c r="AG103" i="55"/>
  <c r="AG107" i="55"/>
  <c r="AQ107" i="55"/>
  <c r="AC115" i="55"/>
  <c r="AC135" i="55"/>
  <c r="AO139" i="55"/>
  <c r="AZ157" i="55"/>
  <c r="AP153" i="55"/>
  <c r="AG118" i="55"/>
  <c r="AQ118" i="55"/>
  <c r="AO122" i="55"/>
  <c r="AO124" i="55"/>
  <c r="AO132" i="55"/>
  <c r="AO136" i="55"/>
  <c r="AC138" i="55"/>
  <c r="S109" i="55"/>
  <c r="S112" i="55"/>
  <c r="AC125" i="55"/>
  <c r="AC121" i="55"/>
  <c r="AM121" i="55"/>
  <c r="AC119" i="55"/>
  <c r="AM119" i="55"/>
  <c r="AC117" i="55"/>
  <c r="AM117" i="55"/>
  <c r="AC113" i="55"/>
  <c r="AC111" i="55"/>
  <c r="AM111" i="55"/>
  <c r="AC109" i="55"/>
  <c r="BD112" i="55"/>
  <c r="AU112" i="55"/>
  <c r="BG114" i="55"/>
  <c r="AY114" i="55"/>
  <c r="O119" i="55"/>
  <c r="S133" i="55"/>
  <c r="K90" i="55"/>
  <c r="W105" i="55"/>
  <c r="K107" i="55"/>
  <c r="S110" i="55"/>
  <c r="S121" i="55"/>
  <c r="AE121" i="55"/>
  <c r="W127" i="55"/>
  <c r="W134" i="55"/>
  <c r="AO95" i="55"/>
  <c r="AC99" i="55"/>
  <c r="AM99" i="55"/>
  <c r="AC107" i="55"/>
  <c r="AG117" i="55"/>
  <c r="AK125" i="55"/>
  <c r="AG131" i="55"/>
  <c r="AQ131" i="55"/>
  <c r="AK135" i="55"/>
  <c r="AG139" i="55"/>
  <c r="AC120" i="55"/>
  <c r="AC104" i="55"/>
  <c r="AM104" i="55"/>
  <c r="AC98" i="55"/>
  <c r="AM98" i="55"/>
  <c r="AC96" i="55"/>
  <c r="O115" i="55"/>
  <c r="K129" i="55"/>
  <c r="W142" i="55"/>
  <c r="W131" i="55"/>
  <c r="S127" i="55"/>
  <c r="S148" i="55"/>
  <c r="P17" i="58"/>
  <c r="P29" i="58"/>
  <c r="AI45" i="34"/>
  <c r="AI50" i="34"/>
  <c r="R60" i="58"/>
  <c r="G81" i="55" a="1"/>
  <c r="G81" i="55"/>
  <c r="G82" i="55" a="1"/>
  <c r="G82" i="55"/>
  <c r="G83" i="55" a="1"/>
  <c r="G83" i="55"/>
  <c r="G84" i="55" a="1"/>
  <c r="G84" i="55"/>
  <c r="AI43" i="34"/>
  <c r="AI46" i="34"/>
  <c r="G79" i="55" a="1"/>
  <c r="G79" i="55"/>
  <c r="AI47" i="34"/>
  <c r="G80" i="55" a="1"/>
  <c r="G80" i="55"/>
  <c r="AI49" i="34"/>
  <c r="O511" i="35"/>
  <c r="R73" i="58"/>
  <c r="J681" i="35"/>
  <c r="J511" i="35"/>
  <c r="O596" i="35"/>
  <c r="T252" i="35"/>
  <c r="AK79" i="55"/>
  <c r="AK80" i="55"/>
  <c r="AL79" i="55"/>
  <c r="AC84" i="55"/>
  <c r="AO84" i="55"/>
  <c r="AK84" i="55"/>
  <c r="O81" i="55"/>
  <c r="Q81" i="55"/>
  <c r="AG84" i="55"/>
  <c r="O424" i="35"/>
  <c r="J510" i="35"/>
  <c r="T681" i="35"/>
  <c r="T596" i="35"/>
  <c r="AG82" i="58"/>
  <c r="J597" i="35"/>
  <c r="T682" i="35"/>
  <c r="J424" i="35"/>
  <c r="T597" i="35"/>
  <c r="O597" i="35"/>
  <c r="AI60" i="58"/>
  <c r="AP11" i="58"/>
  <c r="O682" i="35"/>
  <c r="O425" i="35"/>
  <c r="AI82" i="58"/>
  <c r="AK72" i="55"/>
  <c r="AC74" i="55"/>
  <c r="AC73" i="55"/>
  <c r="AC72" i="55"/>
  <c r="BG73" i="55"/>
  <c r="AU72" i="55"/>
  <c r="AI23" i="34"/>
  <c r="AI25" i="34"/>
  <c r="AI24" i="34"/>
  <c r="AG73" i="55"/>
  <c r="AQ73" i="55"/>
  <c r="T680" i="35"/>
  <c r="AI20" i="34"/>
  <c r="O73" i="55"/>
  <c r="AI19" i="34"/>
  <c r="O595" i="35"/>
  <c r="AI16" i="34"/>
  <c r="AK73" i="55"/>
  <c r="AY72" i="55"/>
  <c r="AY74" i="55"/>
  <c r="BI74" i="55"/>
  <c r="K74" i="55"/>
  <c r="M74" i="55"/>
  <c r="W73" i="55"/>
  <c r="AV72" i="55"/>
  <c r="AV73" i="55"/>
  <c r="W71" i="55"/>
  <c r="W74" i="55"/>
  <c r="AI74" i="55"/>
  <c r="S73" i="55"/>
  <c r="S71" i="55"/>
  <c r="S74" i="55"/>
  <c r="AI18" i="34"/>
  <c r="AU74" i="55"/>
  <c r="O335" i="35"/>
  <c r="T423" i="35"/>
  <c r="O76" i="35"/>
  <c r="M333" i="35"/>
  <c r="O423" i="35"/>
  <c r="O509" i="35"/>
  <c r="J423" i="35"/>
  <c r="AO118" i="62"/>
  <c r="BG197" i="62"/>
  <c r="BG189" i="62"/>
  <c r="BG181" i="62"/>
  <c r="BG170" i="62"/>
  <c r="AZ208" i="62"/>
  <c r="AU114" i="62"/>
  <c r="AO184" i="62"/>
  <c r="AO137" i="62"/>
  <c r="AG124" i="62"/>
  <c r="AU141" i="62"/>
  <c r="AU122" i="62"/>
  <c r="BC119" i="62"/>
  <c r="AU118" i="62"/>
  <c r="BC118" i="62"/>
  <c r="BD119" i="62"/>
  <c r="BC185" i="62"/>
  <c r="BG18" i="62"/>
  <c r="AU38" i="62"/>
  <c r="BE38" i="62"/>
  <c r="AY58" i="62"/>
  <c r="BI58" i="62"/>
  <c r="AY105" i="62"/>
  <c r="AY99" i="62"/>
  <c r="BC98" i="62"/>
  <c r="AY97" i="62"/>
  <c r="AY95" i="62"/>
  <c r="AY93" i="62"/>
  <c r="BC78" i="62"/>
  <c r="AU77" i="62"/>
  <c r="AU73" i="62"/>
  <c r="AU69" i="62"/>
  <c r="BC62" i="62"/>
  <c r="BE62" i="62"/>
  <c r="BC54" i="62"/>
  <c r="AU53" i="62"/>
  <c r="BC46" i="62"/>
  <c r="AU45" i="62"/>
  <c r="BC42" i="62"/>
  <c r="AU37" i="62"/>
  <c r="BC30" i="62"/>
  <c r="BC22" i="62"/>
  <c r="BC18" i="62"/>
  <c r="BD25" i="62"/>
  <c r="BH100" i="62"/>
  <c r="BG38" i="62"/>
  <c r="BI38" i="62"/>
  <c r="BC108" i="62"/>
  <c r="BC104" i="62"/>
  <c r="AU96" i="62"/>
  <c r="BG92" i="62"/>
  <c r="BG84" i="62"/>
  <c r="BG80" i="62"/>
  <c r="AY74" i="62"/>
  <c r="AY70" i="62"/>
  <c r="AY68" i="62"/>
  <c r="AY66" i="62"/>
  <c r="BG64" i="62"/>
  <c r="BG60" i="62"/>
  <c r="AY56" i="62"/>
  <c r="AY54" i="62"/>
  <c r="BG52" i="62"/>
  <c r="AY44" i="62"/>
  <c r="BI44" i="62"/>
  <c r="AY42" i="62"/>
  <c r="BI42" i="62"/>
  <c r="BG40" i="62"/>
  <c r="AY34" i="62"/>
  <c r="BI34" i="62"/>
  <c r="BC33" i="62"/>
  <c r="AY32" i="62"/>
  <c r="BI32" i="62"/>
  <c r="BC25" i="62"/>
  <c r="BG24" i="62"/>
  <c r="BG16" i="62"/>
  <c r="AY14" i="62"/>
  <c r="BI14" i="62"/>
  <c r="BC13" i="62"/>
  <c r="AY8" i="62"/>
  <c r="AO69" i="62"/>
  <c r="AI98" i="15"/>
  <c r="AK10" i="62"/>
  <c r="AK58" i="62"/>
  <c r="AW58" i="62"/>
  <c r="AG88" i="62"/>
  <c r="AG95" i="62"/>
  <c r="AG93" i="62"/>
  <c r="AG89" i="62"/>
  <c r="AG87" i="62"/>
  <c r="AG65" i="62"/>
  <c r="AG59" i="62"/>
  <c r="AG49" i="62"/>
  <c r="AG39" i="62"/>
  <c r="AG37" i="62"/>
  <c r="AG25" i="62"/>
  <c r="AQ25" i="62"/>
  <c r="AG23" i="62"/>
  <c r="AG19" i="62"/>
  <c r="AG17" i="62"/>
  <c r="AG15" i="62"/>
  <c r="AG5" i="62"/>
  <c r="AJ98" i="15"/>
  <c r="AG85" i="62"/>
  <c r="AI85" i="62"/>
  <c r="AL64" i="62"/>
  <c r="AC80" i="62"/>
  <c r="AK69" i="62"/>
  <c r="AH66" i="62"/>
  <c r="AH26" i="62"/>
  <c r="AD34" i="62"/>
  <c r="W32" i="62"/>
  <c r="AI99" i="15"/>
  <c r="AJ46" i="15"/>
  <c r="AJ63" i="15"/>
  <c r="AI83" i="15"/>
  <c r="AI27" i="15"/>
  <c r="AH30" i="15"/>
  <c r="AJ30" i="15"/>
  <c r="AJ48" i="15"/>
  <c r="AJ17" i="15"/>
  <c r="AJ41" i="15"/>
  <c r="AJ18" i="15"/>
  <c r="AJ58" i="15"/>
  <c r="AJ54" i="15"/>
  <c r="AI75" i="15"/>
  <c r="AJ73" i="15"/>
  <c r="AJ65" i="15"/>
  <c r="AJ68" i="15"/>
  <c r="AI93" i="15"/>
  <c r="AJ64" i="15"/>
  <c r="AJ84" i="15"/>
  <c r="BH74" i="62"/>
  <c r="BH14" i="62"/>
  <c r="BH42" i="62"/>
  <c r="BD27" i="62"/>
  <c r="BG36" i="62"/>
  <c r="BG56" i="62"/>
  <c r="BG104" i="62"/>
  <c r="BG72" i="62"/>
  <c r="AI56" i="15"/>
  <c r="AI41" i="15"/>
  <c r="AJ27" i="15"/>
  <c r="AJ21" i="15"/>
  <c r="AJ59" i="15"/>
  <c r="BH66" i="62"/>
  <c r="BH95" i="62"/>
  <c r="AY48" i="62"/>
  <c r="BG96" i="62"/>
  <c r="AY76" i="62"/>
  <c r="BI76" i="62"/>
  <c r="AJ40" i="15"/>
  <c r="AJ26" i="15"/>
  <c r="AI80" i="15"/>
  <c r="AJ86" i="15"/>
  <c r="BC101" i="62"/>
  <c r="AU100" i="62"/>
  <c r="AU92" i="62"/>
  <c r="BC85" i="62"/>
  <c r="AU84" i="62"/>
  <c r="AU76" i="62"/>
  <c r="BE76" i="62"/>
  <c r="AU56" i="62"/>
  <c r="AU48" i="62"/>
  <c r="BC29" i="62"/>
  <c r="AU24" i="62"/>
  <c r="BC21" i="62"/>
  <c r="AU20" i="62"/>
  <c r="AU16" i="62"/>
  <c r="BE16" i="62"/>
  <c r="AU12" i="62"/>
  <c r="BC5" i="62"/>
  <c r="AU4" i="62"/>
  <c r="BE4" i="62"/>
  <c r="AI24" i="15"/>
  <c r="AI29" i="15"/>
  <c r="AI58" i="15"/>
  <c r="AI62" i="15"/>
  <c r="AI57" i="15"/>
  <c r="AI37" i="15"/>
  <c r="AJ66" i="15"/>
  <c r="AI66" i="15"/>
  <c r="AJ43" i="15"/>
  <c r="AJ24" i="15"/>
  <c r="AJ77" i="15"/>
  <c r="AJ88" i="15"/>
  <c r="AJ91" i="15"/>
  <c r="AI48" i="15"/>
  <c r="AI95" i="15"/>
  <c r="AI81" i="15"/>
  <c r="AI92" i="15"/>
  <c r="AI60" i="15"/>
  <c r="AI53" i="15"/>
  <c r="AJ39" i="15"/>
  <c r="AI36" i="15"/>
  <c r="AA79" i="15"/>
  <c r="AJ79" i="15"/>
  <c r="AJ71" i="15"/>
  <c r="AI78" i="15"/>
  <c r="AJ82" i="15"/>
  <c r="AC104" i="62"/>
  <c r="AK97" i="62"/>
  <c r="AJ83" i="15"/>
  <c r="AI40" i="15"/>
  <c r="AI25" i="15"/>
  <c r="AI61" i="15"/>
  <c r="AI59" i="15"/>
  <c r="AI84" i="15"/>
  <c r="AI65" i="15"/>
  <c r="AI21" i="15"/>
  <c r="AJ44" i="15"/>
  <c r="AJ34" i="15"/>
  <c r="AJ28" i="15"/>
  <c r="AJ25" i="15"/>
  <c r="AJ22" i="15"/>
  <c r="AJ19" i="15"/>
  <c r="AJ57" i="15"/>
  <c r="AJ81" i="15"/>
  <c r="AJ69" i="15"/>
  <c r="AJ76" i="15"/>
  <c r="AJ80" i="15"/>
  <c r="AJ90" i="15"/>
  <c r="AJ94" i="15"/>
  <c r="AG108" i="62"/>
  <c r="AG106" i="62"/>
  <c r="AG102" i="62"/>
  <c r="AK94" i="62"/>
  <c r="AG90" i="62"/>
  <c r="AG86" i="62"/>
  <c r="AG82" i="62"/>
  <c r="AG80" i="62"/>
  <c r="AO74" i="62"/>
  <c r="AG68" i="62"/>
  <c r="AC65" i="62"/>
  <c r="S65" i="62"/>
  <c r="AE65" i="62"/>
  <c r="AG62" i="62"/>
  <c r="AQ62" i="62"/>
  <c r="AO34" i="62"/>
  <c r="AK22" i="62"/>
  <c r="AO6" i="62"/>
  <c r="AG4" i="62"/>
  <c r="AJ36" i="15"/>
  <c r="AJ38" i="15"/>
  <c r="T55" i="15"/>
  <c r="AJ55" i="15"/>
  <c r="AI55" i="15"/>
  <c r="S44" i="62"/>
  <c r="AD44" i="62"/>
  <c r="S40" i="62"/>
  <c r="AD40" i="62"/>
  <c r="AD32" i="62"/>
  <c r="S32" i="62"/>
  <c r="S26" i="62"/>
  <c r="AD26" i="62"/>
  <c r="AH16" i="62"/>
  <c r="W16" i="62"/>
  <c r="W14" i="62"/>
  <c r="AH14" i="62"/>
  <c r="W4" i="62"/>
  <c r="AH4" i="62"/>
  <c r="AI46" i="15"/>
  <c r="AI70" i="15"/>
  <c r="AD30" i="62"/>
  <c r="S24" i="62"/>
  <c r="S101" i="62"/>
  <c r="S99" i="62"/>
  <c r="S97" i="62"/>
  <c r="S95" i="62"/>
  <c r="S93" i="62"/>
  <c r="K93" i="62"/>
  <c r="U93" i="62"/>
  <c r="S89" i="62"/>
  <c r="S83" i="62"/>
  <c r="S81" i="62"/>
  <c r="AD81" i="62"/>
  <c r="S71" i="62"/>
  <c r="W69" i="62"/>
  <c r="W67" i="62"/>
  <c r="W65" i="62"/>
  <c r="W46" i="62"/>
  <c r="AH46" i="62"/>
  <c r="W41" i="62"/>
  <c r="W35" i="62"/>
  <c r="W33" i="62"/>
  <c r="W31" i="62"/>
  <c r="W29" i="62"/>
  <c r="AH29" i="62"/>
  <c r="T72" i="15"/>
  <c r="AJ72" i="15"/>
  <c r="AI72" i="15"/>
  <c r="S51" i="62"/>
  <c r="AD51" i="62"/>
  <c r="S47" i="62"/>
  <c r="AD47" i="62"/>
  <c r="S42" i="62"/>
  <c r="AD42" i="62"/>
  <c r="W12" i="62"/>
  <c r="AH12" i="62"/>
  <c r="AI22" i="15"/>
  <c r="AI34" i="15"/>
  <c r="AI91" i="15"/>
  <c r="T16" i="15"/>
  <c r="AJ16" i="15"/>
  <c r="AI16" i="15"/>
  <c r="AI33" i="15"/>
  <c r="AI42" i="15"/>
  <c r="AI77" i="15"/>
  <c r="AI54" i="15"/>
  <c r="T50" i="15"/>
  <c r="AJ50" i="15"/>
  <c r="AI50" i="15"/>
  <c r="T78" i="15"/>
  <c r="AJ78" i="15"/>
  <c r="T93" i="15"/>
  <c r="AJ93" i="15"/>
  <c r="AI96" i="15"/>
  <c r="T96" i="15"/>
  <c r="AJ96" i="15"/>
  <c r="AD20" i="62"/>
  <c r="AI39" i="15"/>
  <c r="AI76" i="15"/>
  <c r="AI17" i="15"/>
  <c r="AI68" i="15"/>
  <c r="AI43" i="15"/>
  <c r="AI85" i="15"/>
  <c r="AI94" i="15"/>
  <c r="T20" i="15"/>
  <c r="AJ20" i="15"/>
  <c r="AI20" i="15"/>
  <c r="T51" i="15"/>
  <c r="AJ51" i="15"/>
  <c r="AI51" i="15"/>
  <c r="T67" i="15"/>
  <c r="AJ67" i="15"/>
  <c r="AD49" i="62"/>
  <c r="W23" i="62"/>
  <c r="W21" i="62"/>
  <c r="W19" i="62"/>
  <c r="O5" i="62"/>
  <c r="S69" i="62"/>
  <c r="S67" i="62"/>
  <c r="W63" i="62"/>
  <c r="W61" i="62"/>
  <c r="S37" i="62"/>
  <c r="S27" i="62"/>
  <c r="S25" i="62"/>
  <c r="S23" i="62"/>
  <c r="S21" i="62"/>
  <c r="S19" i="62"/>
  <c r="W17" i="62"/>
  <c r="W13" i="62"/>
  <c r="K87" i="62"/>
  <c r="W77" i="62"/>
  <c r="S79" i="62"/>
  <c r="S77" i="62"/>
  <c r="W73" i="62"/>
  <c r="S59" i="62"/>
  <c r="S57" i="62"/>
  <c r="W55" i="62"/>
  <c r="W53" i="62"/>
  <c r="W49" i="62"/>
  <c r="S11" i="62"/>
  <c r="S7" i="62"/>
  <c r="M43" i="15"/>
  <c r="H24" i="62" a="1"/>
  <c r="H24" i="62"/>
  <c r="G24" i="62" a="1"/>
  <c r="G24" i="62"/>
  <c r="M58" i="15"/>
  <c r="H39" i="62" a="1"/>
  <c r="H39" i="62"/>
  <c r="G39" i="62" a="1"/>
  <c r="G39" i="62"/>
  <c r="G55" i="62" a="1"/>
  <c r="G55" i="62"/>
  <c r="S35" i="62"/>
  <c r="AD35" i="62"/>
  <c r="W15" i="62"/>
  <c r="AH15" i="62"/>
  <c r="G14" i="62" a="1"/>
  <c r="G14" i="62"/>
  <c r="G13" i="62" a="1"/>
  <c r="G13" i="62"/>
  <c r="G10" i="62" a="1"/>
  <c r="G10" i="62"/>
  <c r="M36" i="15"/>
  <c r="H17" i="62" a="1"/>
  <c r="H17" i="62"/>
  <c r="G17" i="62" a="1"/>
  <c r="G17" i="62"/>
  <c r="M77" i="15"/>
  <c r="H58" i="62" a="1"/>
  <c r="H58" i="62"/>
  <c r="G58" i="62" a="1"/>
  <c r="G58" i="62"/>
  <c r="M52" i="15"/>
  <c r="H33" i="62" a="1"/>
  <c r="H33" i="62"/>
  <c r="G33" i="62" a="1"/>
  <c r="G33" i="62"/>
  <c r="G79" i="62" a="1"/>
  <c r="G79" i="62"/>
  <c r="G78" i="62" a="1"/>
  <c r="G78" i="62"/>
  <c r="G35" i="62" a="1"/>
  <c r="G35" i="62"/>
  <c r="AO11" i="62"/>
  <c r="AY27" i="62"/>
  <c r="BI27" i="62"/>
  <c r="BH27" i="62"/>
  <c r="BG13" i="62"/>
  <c r="G49" i="62" a="1"/>
  <c r="G49" i="62"/>
  <c r="AO70" i="62"/>
  <c r="AO58" i="62"/>
  <c r="AO54" i="62"/>
  <c r="AO38" i="62"/>
  <c r="BA38" i="62"/>
  <c r="M39" i="15"/>
  <c r="H20" i="62" a="1"/>
  <c r="H20" i="62"/>
  <c r="G20" i="62" a="1"/>
  <c r="G20" i="62"/>
  <c r="M81" i="15"/>
  <c r="H62" i="62" a="1"/>
  <c r="H62" i="62"/>
  <c r="G62" i="62" a="1"/>
  <c r="G62" i="62"/>
  <c r="M48" i="15"/>
  <c r="H29" i="62" a="1"/>
  <c r="H29" i="62"/>
  <c r="G29" i="62" a="1"/>
  <c r="G29" i="62"/>
  <c r="M55" i="15"/>
  <c r="H36" i="62" a="1"/>
  <c r="H36" i="62"/>
  <c r="G36" i="62" a="1"/>
  <c r="G36" i="62"/>
  <c r="M59" i="15"/>
  <c r="H40" i="62" a="1"/>
  <c r="H40" i="62"/>
  <c r="G40" i="62" a="1"/>
  <c r="G40" i="62"/>
  <c r="M26" i="15"/>
  <c r="H7" i="62" a="1"/>
  <c r="H7" i="62"/>
  <c r="G7" i="62" a="1"/>
  <c r="G7" i="62"/>
  <c r="M45" i="15"/>
  <c r="H26" i="62" a="1"/>
  <c r="H26" i="62"/>
  <c r="G26" i="62" a="1"/>
  <c r="G26" i="62"/>
  <c r="M49" i="15"/>
  <c r="H30" i="62" a="1"/>
  <c r="H30" i="62"/>
  <c r="G30" i="62" a="1"/>
  <c r="G30" i="62"/>
  <c r="AD53" i="62"/>
  <c r="AH42" i="62"/>
  <c r="AD58" i="62"/>
  <c r="AD19" i="62"/>
  <c r="AD23" i="62"/>
  <c r="AH31" i="62"/>
  <c r="AD28" i="62"/>
  <c r="S39" i="62"/>
  <c r="AD39" i="62"/>
  <c r="AP96" i="62"/>
  <c r="AG96" i="62"/>
  <c r="AQ96" i="62"/>
  <c r="G3" i="62" a="1"/>
  <c r="G3" i="62"/>
  <c r="M20" i="15"/>
  <c r="H108" i="62" a="1"/>
  <c r="H108" i="62"/>
  <c r="M27" i="15"/>
  <c r="H8" i="62" a="1"/>
  <c r="H8" i="62"/>
  <c r="G8" i="62" a="1"/>
  <c r="G8" i="62"/>
  <c r="M42" i="15"/>
  <c r="H23" i="62" a="1"/>
  <c r="H23" i="62"/>
  <c r="G23" i="62" a="1"/>
  <c r="G23" i="62"/>
  <c r="M80" i="15"/>
  <c r="H61" i="62" a="1"/>
  <c r="H61" i="62"/>
  <c r="G61" i="62" a="1"/>
  <c r="G61" i="62"/>
  <c r="AH5" i="62"/>
  <c r="AD25" i="62"/>
  <c r="AH74" i="62"/>
  <c r="AD6" i="62"/>
  <c r="BD12" i="62"/>
  <c r="BD16" i="62"/>
  <c r="BD24" i="62"/>
  <c r="BD48" i="62"/>
  <c r="BD56" i="62"/>
  <c r="AG58" i="62"/>
  <c r="AU5" i="62"/>
  <c r="BC61" i="62"/>
  <c r="BG53" i="62"/>
  <c r="S8" i="62"/>
  <c r="G74" i="62" a="1"/>
  <c r="G74" i="62"/>
  <c r="G68" i="62" a="1"/>
  <c r="G68" i="62"/>
  <c r="G52" i="62" a="1"/>
  <c r="G52" i="62"/>
  <c r="G42" i="62" a="1"/>
  <c r="G42" i="62"/>
  <c r="T365" i="35"/>
  <c r="AK66" i="62"/>
  <c r="AW66" i="62"/>
  <c r="AC57" i="62"/>
  <c r="AE57" i="62"/>
  <c r="AK50" i="62"/>
  <c r="AU74" i="62"/>
  <c r="BC59" i="62"/>
  <c r="BC55" i="62"/>
  <c r="AU50" i="62"/>
  <c r="AO104" i="62"/>
  <c r="AO100" i="62"/>
  <c r="M28" i="15"/>
  <c r="H9" i="62" a="1"/>
  <c r="H9" i="62"/>
  <c r="M44" i="15"/>
  <c r="H25" i="62" a="1"/>
  <c r="H25" i="62"/>
  <c r="M60" i="15"/>
  <c r="H41" i="62" a="1"/>
  <c r="H41" i="62"/>
  <c r="M76" i="15"/>
  <c r="H57" i="62" a="1"/>
  <c r="H57" i="62"/>
  <c r="M92" i="15"/>
  <c r="H73" i="62" a="1"/>
  <c r="H73" i="62"/>
  <c r="AH87" i="62"/>
  <c r="W100" i="62"/>
  <c r="W91" i="62"/>
  <c r="G80" i="62" a="1"/>
  <c r="G80" i="62"/>
  <c r="G76" i="62" a="1"/>
  <c r="G76" i="62"/>
  <c r="G75" i="62" a="1"/>
  <c r="G75" i="62"/>
  <c r="G70" i="62" a="1"/>
  <c r="G70" i="62"/>
  <c r="G69" i="62" a="1"/>
  <c r="G69" i="62"/>
  <c r="G66" i="62" a="1"/>
  <c r="G66" i="62"/>
  <c r="G64" i="62" a="1"/>
  <c r="G64" i="62"/>
  <c r="G63" i="62" a="1"/>
  <c r="G63" i="62"/>
  <c r="G60" i="62" a="1"/>
  <c r="G60" i="62"/>
  <c r="G59" i="62" a="1"/>
  <c r="G59" i="62"/>
  <c r="AO51" i="62"/>
  <c r="AO43" i="62"/>
  <c r="G53" i="62" a="1"/>
  <c r="G53" i="62"/>
  <c r="G50" i="62" a="1"/>
  <c r="G50" i="62"/>
  <c r="G47" i="62" a="1"/>
  <c r="G47" i="62"/>
  <c r="G43" i="62" a="1"/>
  <c r="G43" i="62"/>
  <c r="G28" i="62" a="1"/>
  <c r="G28" i="62"/>
  <c r="G27" i="62" a="1"/>
  <c r="G27" i="62"/>
  <c r="G22" i="62" a="1"/>
  <c r="G22" i="62"/>
  <c r="G21" i="62" a="1"/>
  <c r="G21" i="62"/>
  <c r="G18" i="62" a="1"/>
  <c r="G18" i="62"/>
  <c r="G16" i="62" a="1"/>
  <c r="G16" i="62"/>
  <c r="G15" i="62" a="1"/>
  <c r="G15" i="62"/>
  <c r="G12" i="62" a="1"/>
  <c r="G12" i="62"/>
  <c r="G11" i="62" a="1"/>
  <c r="G11" i="62"/>
  <c r="G5" i="62" a="1"/>
  <c r="G5" i="62"/>
  <c r="AH69" i="62"/>
  <c r="AH77" i="62"/>
  <c r="AH78" i="62"/>
  <c r="AH94" i="62"/>
  <c r="AH98" i="62"/>
  <c r="AD22" i="62"/>
  <c r="AH95" i="62"/>
  <c r="AD7" i="62"/>
  <c r="AH55" i="62"/>
  <c r="AP108" i="62"/>
  <c r="AH84" i="62"/>
  <c r="AH88" i="62"/>
  <c r="AH92" i="62"/>
  <c r="AD36" i="62"/>
  <c r="AG94" i="62"/>
  <c r="AC108" i="62"/>
  <c r="AK101" i="62"/>
  <c r="AO97" i="62"/>
  <c r="AK93" i="62"/>
  <c r="AK90" i="62"/>
  <c r="AC72" i="62"/>
  <c r="AM72" i="62"/>
  <c r="AC68" i="62"/>
  <c r="AO61" i="62"/>
  <c r="G54" i="62" a="1"/>
  <c r="G54" i="62"/>
  <c r="G48" i="62" a="1"/>
  <c r="G48" i="62"/>
  <c r="G44" i="62" a="1"/>
  <c r="G44" i="62"/>
  <c r="G38" i="62" a="1"/>
  <c r="G38" i="62"/>
  <c r="G37" i="62" a="1"/>
  <c r="G37" i="62"/>
  <c r="G34" i="62" a="1"/>
  <c r="G34" i="62"/>
  <c r="G32" i="62" a="1"/>
  <c r="G32" i="62"/>
  <c r="G31" i="62" a="1"/>
  <c r="G31" i="62"/>
  <c r="G6" i="62" a="1"/>
  <c r="G6" i="62"/>
  <c r="AH65" i="62"/>
  <c r="AH82" i="62"/>
  <c r="AH90" i="62"/>
  <c r="AH67" i="62"/>
  <c r="AH80" i="62"/>
  <c r="AH56" i="62"/>
  <c r="AO67" i="62"/>
  <c r="BA67" i="62"/>
  <c r="AG21" i="62"/>
  <c r="AP21" i="62"/>
  <c r="BG109" i="62"/>
  <c r="BD64" i="62"/>
  <c r="AU64" i="62"/>
  <c r="AY47" i="62"/>
  <c r="BH47" i="62"/>
  <c r="BG25" i="62"/>
  <c r="AY25" i="62"/>
  <c r="AY19" i="62"/>
  <c r="BH19" i="62"/>
  <c r="AO107" i="62"/>
  <c r="AK35" i="62"/>
  <c r="AW35" i="62"/>
  <c r="AG35" i="62"/>
  <c r="AO19" i="62"/>
  <c r="AH17" i="62"/>
  <c r="AH45" i="62"/>
  <c r="AD79" i="62"/>
  <c r="AH23" i="62"/>
  <c r="AH35" i="62"/>
  <c r="AH28" i="62"/>
  <c r="W37" i="62"/>
  <c r="W105" i="62"/>
  <c r="AH105" i="62"/>
  <c r="W99" i="62"/>
  <c r="AH99" i="62"/>
  <c r="W89" i="62"/>
  <c r="AH89" i="62"/>
  <c r="W86" i="62"/>
  <c r="AH86" i="62"/>
  <c r="AG71" i="62"/>
  <c r="S91" i="62"/>
  <c r="AD91" i="62"/>
  <c r="S82" i="62"/>
  <c r="AD82" i="62"/>
  <c r="S63" i="62"/>
  <c r="AE63" i="62"/>
  <c r="AD63" i="62"/>
  <c r="W34" i="62"/>
  <c r="AH34" i="62"/>
  <c r="W18" i="62"/>
  <c r="AH18" i="62"/>
  <c r="W10" i="62"/>
  <c r="AH10" i="62"/>
  <c r="W9" i="62"/>
  <c r="AH9" i="62"/>
  <c r="W8" i="62"/>
  <c r="AH8" i="62"/>
  <c r="AO105" i="62"/>
  <c r="AO85" i="62"/>
  <c r="S85" i="62"/>
  <c r="AD85" i="62"/>
  <c r="AH33" i="62"/>
  <c r="AD90" i="62"/>
  <c r="AH6" i="62"/>
  <c r="AH22" i="62"/>
  <c r="BH75" i="62"/>
  <c r="BH67" i="62"/>
  <c r="BD84" i="62"/>
  <c r="W11" i="62"/>
  <c r="AC10" i="62"/>
  <c r="AG41" i="62"/>
  <c r="AO83" i="62"/>
  <c r="AO101" i="62"/>
  <c r="AC93" i="62"/>
  <c r="AM93" i="62"/>
  <c r="AY43" i="62"/>
  <c r="AY23" i="62"/>
  <c r="AY53" i="62"/>
  <c r="AY103" i="62"/>
  <c r="BC73" i="62"/>
  <c r="AY107" i="62"/>
  <c r="BG9" i="62"/>
  <c r="AC89" i="62"/>
  <c r="BC24" i="62"/>
  <c r="AU23" i="62"/>
  <c r="BE23" i="62"/>
  <c r="BG5" i="62"/>
  <c r="BI5" i="62"/>
  <c r="AU9" i="62"/>
  <c r="BE9" i="62"/>
  <c r="AY9" i="62"/>
  <c r="AK21" i="62"/>
  <c r="AO91" i="62"/>
  <c r="AC55" i="62"/>
  <c r="AO55" i="62"/>
  <c r="AO47" i="62"/>
  <c r="BA47" i="62"/>
  <c r="AO31" i="62"/>
  <c r="AG27" i="62"/>
  <c r="AO27" i="62"/>
  <c r="AO23" i="62"/>
  <c r="BA23" i="62"/>
  <c r="AG7" i="62"/>
  <c r="AK7" i="62"/>
  <c r="BG97" i="62"/>
  <c r="BI97" i="62"/>
  <c r="BG89" i="62"/>
  <c r="BG81" i="62"/>
  <c r="BG77" i="62"/>
  <c r="BG45" i="62"/>
  <c r="BC41" i="62"/>
  <c r="AY41" i="62"/>
  <c r="AP5" i="62"/>
  <c r="AP17" i="62"/>
  <c r="AP37" i="62"/>
  <c r="AP49" i="62"/>
  <c r="BH99" i="62"/>
  <c r="AV56" i="62"/>
  <c r="AG13" i="62"/>
  <c r="AQ13" i="62"/>
  <c r="AO15" i="62"/>
  <c r="BA15" i="62"/>
  <c r="AG33" i="62"/>
  <c r="AQ33" i="62"/>
  <c r="AO35" i="62"/>
  <c r="AC38" i="62"/>
  <c r="AC42" i="62"/>
  <c r="AK87" i="62"/>
  <c r="AG105" i="62"/>
  <c r="AU108" i="62"/>
  <c r="BG85" i="62"/>
  <c r="AY101" i="62"/>
  <c r="BI101" i="62"/>
  <c r="AY91" i="62"/>
  <c r="BI91" i="62"/>
  <c r="AU97" i="62"/>
  <c r="AP85" i="62"/>
  <c r="BD100" i="62"/>
  <c r="AO7" i="62"/>
  <c r="BA7" i="62"/>
  <c r="AK15" i="62"/>
  <c r="AO39" i="62"/>
  <c r="BA39" i="62"/>
  <c r="AC78" i="62"/>
  <c r="AG77" i="62"/>
  <c r="AG75" i="62"/>
  <c r="AC107" i="62"/>
  <c r="BG93" i="62"/>
  <c r="AY109" i="62"/>
  <c r="AU89" i="62"/>
  <c r="AC87" i="62"/>
  <c r="AG51" i="62"/>
  <c r="S84" i="62"/>
  <c r="AD84" i="62"/>
  <c r="AD61" i="62"/>
  <c r="S61" i="62"/>
  <c r="AV92" i="62"/>
  <c r="AK92" i="62"/>
  <c r="AC79" i="62"/>
  <c r="AO79" i="62"/>
  <c r="AP25" i="62"/>
  <c r="AL14" i="62"/>
  <c r="AV72" i="62"/>
  <c r="BD76" i="62"/>
  <c r="BD92" i="62"/>
  <c r="AG31" i="62"/>
  <c r="AK39" i="62"/>
  <c r="AK23" i="62"/>
  <c r="BC97" i="62"/>
  <c r="AO106" i="62"/>
  <c r="AU104" i="62"/>
  <c r="BE104" i="62"/>
  <c r="BC89" i="62"/>
  <c r="AY73" i="62"/>
  <c r="AY69" i="62"/>
  <c r="AY49" i="62"/>
  <c r="K62" i="62"/>
  <c r="W47" i="62"/>
  <c r="S5" i="62"/>
  <c r="AK109" i="62"/>
  <c r="AC52" i="62"/>
  <c r="AK49" i="62"/>
  <c r="AC49" i="62"/>
  <c r="AM49" i="62"/>
  <c r="AG46" i="62"/>
  <c r="AG42" i="62"/>
  <c r="AK41" i="62"/>
  <c r="AW41" i="62"/>
  <c r="AC40" i="62"/>
  <c r="AG38" i="62"/>
  <c r="AK37" i="62"/>
  <c r="AW37" i="62"/>
  <c r="AG36" i="62"/>
  <c r="AG34" i="62"/>
  <c r="AC32" i="62"/>
  <c r="AK29" i="62"/>
  <c r="AC28" i="62"/>
  <c r="AG22" i="62"/>
  <c r="AG20" i="62"/>
  <c r="AG14" i="62"/>
  <c r="AK13" i="62"/>
  <c r="AG12" i="62"/>
  <c r="AG8" i="62"/>
  <c r="AG6" i="62"/>
  <c r="AU109" i="62"/>
  <c r="AY106" i="62"/>
  <c r="AU105" i="62"/>
  <c r="AY96" i="62"/>
  <c r="BC94" i="62"/>
  <c r="AU93" i="62"/>
  <c r="K104" i="62"/>
  <c r="AH106" i="62"/>
  <c r="AD86" i="62"/>
  <c r="AD75" i="62"/>
  <c r="AD83" i="62"/>
  <c r="AD95" i="62"/>
  <c r="AD59" i="62"/>
  <c r="AH72" i="62"/>
  <c r="AH64" i="62"/>
  <c r="W40" i="62"/>
  <c r="W59" i="62"/>
  <c r="AH107" i="62"/>
  <c r="W107" i="62"/>
  <c r="S87" i="62"/>
  <c r="AE87" i="62"/>
  <c r="AD87" i="62"/>
  <c r="W83" i="62"/>
  <c r="AH83" i="62"/>
  <c r="W76" i="62"/>
  <c r="AH76" i="62"/>
  <c r="W75" i="62"/>
  <c r="AH75" i="62"/>
  <c r="W71" i="62"/>
  <c r="AI71" i="62"/>
  <c r="AH71" i="62"/>
  <c r="W58" i="62"/>
  <c r="AH58" i="62"/>
  <c r="W52" i="62"/>
  <c r="AH52" i="62"/>
  <c r="W51" i="62"/>
  <c r="AH51" i="62"/>
  <c r="W50" i="62"/>
  <c r="AH50" i="62"/>
  <c r="W48" i="62"/>
  <c r="AH48" i="62"/>
  <c r="W39" i="62"/>
  <c r="AH39" i="62"/>
  <c r="W27" i="62"/>
  <c r="AH27" i="62"/>
  <c r="W24" i="62"/>
  <c r="AH24" i="62"/>
  <c r="AK53" i="62"/>
  <c r="AM53" i="62"/>
  <c r="AO53" i="62"/>
  <c r="S60" i="62"/>
  <c r="W109" i="62"/>
  <c r="AH109" i="62"/>
  <c r="AY3" i="62"/>
  <c r="AC105" i="62"/>
  <c r="AC96" i="62"/>
  <c r="AC92" i="62"/>
  <c r="AC88" i="62"/>
  <c r="AK78" i="62"/>
  <c r="AC73" i="62"/>
  <c r="AM73" i="62"/>
  <c r="AC69" i="62"/>
  <c r="AK54" i="62"/>
  <c r="AC50" i="62"/>
  <c r="AE49" i="62"/>
  <c r="AU95" i="62"/>
  <c r="AU91" i="62"/>
  <c r="AU80" i="62"/>
  <c r="AU72" i="62"/>
  <c r="AU40" i="62"/>
  <c r="AK108" i="62"/>
  <c r="AW108" i="62"/>
  <c r="AC90" i="62"/>
  <c r="AC74" i="62"/>
  <c r="AO71" i="62"/>
  <c r="AC70" i="62"/>
  <c r="AK67" i="62"/>
  <c r="AC66" i="62"/>
  <c r="AC62" i="62"/>
  <c r="AK59" i="62"/>
  <c r="AC58" i="62"/>
  <c r="AC51" i="62"/>
  <c r="AC47" i="62"/>
  <c r="AC43" i="62"/>
  <c r="AC27" i="62"/>
  <c r="AK24" i="62"/>
  <c r="AK16" i="62"/>
  <c r="AC11" i="62"/>
  <c r="AK9" i="62"/>
  <c r="AC7" i="62"/>
  <c r="AM7" i="62"/>
  <c r="BC91" i="62"/>
  <c r="AU90" i="62"/>
  <c r="BG87" i="62"/>
  <c r="BC84" i="62"/>
  <c r="AU83" i="62"/>
  <c r="BC80" i="62"/>
  <c r="AU79" i="62"/>
  <c r="BE79" i="62"/>
  <c r="AU75" i="62"/>
  <c r="BE75" i="62"/>
  <c r="BC68" i="62"/>
  <c r="AU67" i="62"/>
  <c r="AU39" i="62"/>
  <c r="BE39" i="62"/>
  <c r="AY35" i="62"/>
  <c r="BC32" i="62"/>
  <c r="AY26" i="62"/>
  <c r="AY6" i="62"/>
  <c r="AY89" i="62"/>
  <c r="AY80" i="62"/>
  <c r="AY62" i="62"/>
  <c r="BI62" i="62"/>
  <c r="AY60" i="62"/>
  <c r="AY21" i="62"/>
  <c r="BI21" i="62"/>
  <c r="AY17" i="62"/>
  <c r="BC8" i="62"/>
  <c r="AO103" i="62"/>
  <c r="AD69" i="62"/>
  <c r="AP89" i="62"/>
  <c r="AP34" i="62"/>
  <c r="AP42" i="62"/>
  <c r="AL7" i="62"/>
  <c r="AL43" i="62"/>
  <c r="AL47" i="62"/>
  <c r="AL51" i="62"/>
  <c r="AH63" i="62"/>
  <c r="AD67" i="62"/>
  <c r="AV100" i="62"/>
  <c r="AD68" i="62"/>
  <c r="AV68" i="62"/>
  <c r="AV64" i="62"/>
  <c r="W60" i="62"/>
  <c r="AI60" i="62"/>
  <c r="AG28" i="62"/>
  <c r="AO32" i="62"/>
  <c r="AG52" i="62"/>
  <c r="AC82" i="62"/>
  <c r="AO87" i="62"/>
  <c r="AG83" i="62"/>
  <c r="AG101" i="62"/>
  <c r="AY83" i="62"/>
  <c r="BI83" i="62"/>
  <c r="AY94" i="62"/>
  <c r="AK55" i="62"/>
  <c r="AG97" i="62"/>
  <c r="AO93" i="62"/>
  <c r="AO89" i="62"/>
  <c r="AK77" i="62"/>
  <c r="AO77" i="62"/>
  <c r="AO65" i="62"/>
  <c r="BA65" i="62"/>
  <c r="AK61" i="62"/>
  <c r="AC61" i="62"/>
  <c r="AG57" i="62"/>
  <c r="AK57" i="62"/>
  <c r="AO57" i="62"/>
  <c r="AG55" i="62"/>
  <c r="AP93" i="62"/>
  <c r="AV29" i="62"/>
  <c r="AP38" i="62"/>
  <c r="AH62" i="62"/>
  <c r="AD66" i="62"/>
  <c r="AL66" i="62"/>
  <c r="W3" i="62"/>
  <c r="AD71" i="62"/>
  <c r="AO40" i="62"/>
  <c r="AO63" i="62"/>
  <c r="AC67" i="62"/>
  <c r="AM67" i="62"/>
  <c r="AG50" i="62"/>
  <c r="AQ50" i="62"/>
  <c r="AC54" i="62"/>
  <c r="AK76" i="62"/>
  <c r="AK75" i="62"/>
  <c r="AK103" i="62"/>
  <c r="AO95" i="62"/>
  <c r="BG106" i="62"/>
  <c r="AU106" i="62"/>
  <c r="AG63" i="62"/>
  <c r="AO8" i="62"/>
  <c r="BA8" i="62"/>
  <c r="AK91" i="62"/>
  <c r="AW91" i="62"/>
  <c r="AC91" i="62"/>
  <c r="AO44" i="62"/>
  <c r="AO24" i="62"/>
  <c r="BC102" i="62"/>
  <c r="AY102" i="62"/>
  <c r="BG90" i="62"/>
  <c r="BG71" i="62"/>
  <c r="AU71" i="62"/>
  <c r="BG63" i="62"/>
  <c r="BD54" i="62"/>
  <c r="AU54" i="62"/>
  <c r="BE54" i="62"/>
  <c r="AU47" i="62"/>
  <c r="BC47" i="62"/>
  <c r="AU28" i="62"/>
  <c r="BE28" i="62"/>
  <c r="AY28" i="62"/>
  <c r="AK79" i="62"/>
  <c r="AG79" i="62"/>
  <c r="AV21" i="62"/>
  <c r="AP46" i="62"/>
  <c r="AL58" i="62"/>
  <c r="AL27" i="62"/>
  <c r="AV84" i="62"/>
  <c r="AV88" i="62"/>
  <c r="AO59" i="62"/>
  <c r="BA59" i="62"/>
  <c r="AG44" i="62"/>
  <c r="AK52" i="62"/>
  <c r="AO75" i="62"/>
  <c r="BA75" i="62"/>
  <c r="AK83" i="62"/>
  <c r="AG91" i="62"/>
  <c r="AQ91" i="62"/>
  <c r="BC106" i="62"/>
  <c r="S29" i="62"/>
  <c r="AG109" i="62"/>
  <c r="AQ109" i="62"/>
  <c r="AK102" i="62"/>
  <c r="AG100" i="62"/>
  <c r="AC94" i="62"/>
  <c r="AM94" i="62"/>
  <c r="AG92" i="62"/>
  <c r="AK86" i="62"/>
  <c r="AK82" i="62"/>
  <c r="AC77" i="62"/>
  <c r="AK74" i="62"/>
  <c r="AW74" i="62"/>
  <c r="AK63" i="62"/>
  <c r="AK62" i="62"/>
  <c r="AC30" i="62"/>
  <c r="AK28" i="62"/>
  <c r="AC23" i="62"/>
  <c r="AC22" i="62"/>
  <c r="AC19" i="62"/>
  <c r="AY87" i="62"/>
  <c r="BG23" i="62"/>
  <c r="AU22" i="62"/>
  <c r="AU15" i="62"/>
  <c r="BE15" i="62"/>
  <c r="AU14" i="62"/>
  <c r="BE14" i="62"/>
  <c r="BC12" i="62"/>
  <c r="BG8" i="62"/>
  <c r="AY90" i="62"/>
  <c r="AU87" i="62"/>
  <c r="BE87" i="62"/>
  <c r="AY85" i="62"/>
  <c r="BI85" i="62"/>
  <c r="AY79" i="62"/>
  <c r="BI79" i="62"/>
  <c r="AY45" i="62"/>
  <c r="BI45" i="62"/>
  <c r="AK107" i="62"/>
  <c r="AK104" i="62"/>
  <c r="AW104" i="62"/>
  <c r="AK60" i="62"/>
  <c r="AC59" i="62"/>
  <c r="AK42" i="62"/>
  <c r="AC36" i="62"/>
  <c r="AK33" i="62"/>
  <c r="AK17" i="62"/>
  <c r="AC12" i="62"/>
  <c r="AG11" i="62"/>
  <c r="AC4" i="62"/>
  <c r="AU103" i="62"/>
  <c r="BC99" i="62"/>
  <c r="AU98" i="62"/>
  <c r="AU60" i="62"/>
  <c r="BC57" i="62"/>
  <c r="G105" i="62" a="1"/>
  <c r="G105" i="62"/>
  <c r="AC48" i="62"/>
  <c r="AG48" i="62"/>
  <c r="BC51" i="62"/>
  <c r="AY51" i="62"/>
  <c r="AO36" i="62"/>
  <c r="BA36" i="62"/>
  <c r="AC44" i="62"/>
  <c r="AY55" i="62"/>
  <c r="G106" i="62" a="1"/>
  <c r="G106" i="62"/>
  <c r="AO98" i="62"/>
  <c r="AO90" i="62"/>
  <c r="AO66" i="62"/>
  <c r="M21" i="15"/>
  <c r="G109" i="62" a="1"/>
  <c r="G109" i="62"/>
  <c r="AH13" i="62"/>
  <c r="W20" i="62"/>
  <c r="BG55" i="62"/>
  <c r="AK48" i="62"/>
  <c r="S88" i="62"/>
  <c r="AD88" i="62"/>
  <c r="W44" i="62"/>
  <c r="AH44" i="62"/>
  <c r="M16" i="15"/>
  <c r="H104" i="62" a="1"/>
  <c r="H104" i="62"/>
  <c r="G104" i="62" a="1"/>
  <c r="G104" i="62"/>
  <c r="M19" i="15"/>
  <c r="H107" i="62" a="1"/>
  <c r="H107" i="62"/>
  <c r="G107" i="62" a="1"/>
  <c r="G107" i="62"/>
  <c r="BD23" i="62"/>
  <c r="AY71" i="62"/>
  <c r="BI71" i="62"/>
  <c r="W68" i="62"/>
  <c r="AH68" i="62"/>
  <c r="AG9" i="62"/>
  <c r="AO9" i="62"/>
  <c r="BA9" i="62"/>
  <c r="AK71" i="62"/>
  <c r="AW71" i="62"/>
  <c r="BG108" i="62"/>
  <c r="BC100" i="62"/>
  <c r="BC93" i="62"/>
  <c r="BE93" i="62"/>
  <c r="AY86" i="62"/>
  <c r="BI86" i="62"/>
  <c r="BC86" i="62"/>
  <c r="BC82" i="62"/>
  <c r="BG74" i="62"/>
  <c r="BC74" i="62"/>
  <c r="BC71" i="62"/>
  <c r="AU70" i="62"/>
  <c r="BE70" i="62"/>
  <c r="BG19" i="62"/>
  <c r="AY11" i="62"/>
  <c r="BI11" i="62"/>
  <c r="AU11" i="62"/>
  <c r="BG107" i="62"/>
  <c r="AU88" i="62"/>
  <c r="BE88" i="62"/>
  <c r="BG88" i="62"/>
  <c r="AU81" i="62"/>
  <c r="BC81" i="62"/>
  <c r="AY77" i="62"/>
  <c r="BC77" i="62"/>
  <c r="BG73" i="62"/>
  <c r="BG41" i="62"/>
  <c r="BG37" i="62"/>
  <c r="AU33" i="62"/>
  <c r="AY33" i="62"/>
  <c r="BG99" i="62"/>
  <c r="AU107" i="62"/>
  <c r="AK51" i="62"/>
  <c r="S73" i="62"/>
  <c r="S15" i="62"/>
  <c r="AG103" i="62"/>
  <c r="AG67" i="62"/>
  <c r="AG29" i="62"/>
  <c r="AY108" i="62"/>
  <c r="BC96" i="62"/>
  <c r="BC92" i="62"/>
  <c r="AY50" i="62"/>
  <c r="BI50" i="62"/>
  <c r="BC45" i="62"/>
  <c r="AU44" i="62"/>
  <c r="BE44" i="62"/>
  <c r="AY40" i="62"/>
  <c r="BC37" i="62"/>
  <c r="AU36" i="62"/>
  <c r="BE36" i="62"/>
  <c r="AY16" i="62"/>
  <c r="K76" i="62"/>
  <c r="K48" i="62"/>
  <c r="K44" i="62"/>
  <c r="AC95" i="62"/>
  <c r="AK80" i="62"/>
  <c r="AG76" i="62"/>
  <c r="BC105" i="62"/>
  <c r="BC90" i="62"/>
  <c r="K24" i="62"/>
  <c r="O77" i="62"/>
  <c r="O30" i="62"/>
  <c r="AU51" i="62"/>
  <c r="BE51" i="62"/>
  <c r="K78" i="62"/>
  <c r="K46" i="62"/>
  <c r="AD77" i="62"/>
  <c r="AD74" i="62"/>
  <c r="AD55" i="62"/>
  <c r="AG107" i="62"/>
  <c r="AO86" i="62"/>
  <c r="AC86" i="62"/>
  <c r="AO78" i="62"/>
  <c r="AG53" i="62"/>
  <c r="AH102" i="62"/>
  <c r="AU102" i="62"/>
  <c r="BG102" i="62"/>
  <c r="AO88" i="62"/>
  <c r="AK6" i="62"/>
  <c r="AW6" i="62"/>
  <c r="AC6" i="62"/>
  <c r="BC109" i="62"/>
  <c r="AG61" i="62"/>
  <c r="BG67" i="62"/>
  <c r="AO49" i="62"/>
  <c r="AU8" i="62"/>
  <c r="BE8" i="62"/>
  <c r="K95" i="62"/>
  <c r="K91" i="62"/>
  <c r="O56" i="62"/>
  <c r="O44" i="62"/>
  <c r="O24" i="62"/>
  <c r="K83" i="62"/>
  <c r="K60" i="62"/>
  <c r="K36" i="62"/>
  <c r="AC85" i="62"/>
  <c r="AC84" i="62"/>
  <c r="AG73" i="62"/>
  <c r="AG69" i="62"/>
  <c r="AK65" i="62"/>
  <c r="AK4" i="62"/>
  <c r="AY104" i="62"/>
  <c r="O105" i="62"/>
  <c r="M93" i="62"/>
  <c r="K71" i="62"/>
  <c r="K67" i="62"/>
  <c r="K59" i="62"/>
  <c r="K51" i="62"/>
  <c r="K32" i="62"/>
  <c r="K9" i="62"/>
  <c r="AC56" i="62"/>
  <c r="AL56" i="62"/>
  <c r="S62" i="62"/>
  <c r="AD62" i="62"/>
  <c r="W25" i="62"/>
  <c r="AH25" i="62"/>
  <c r="AC99" i="62"/>
  <c r="AG99" i="62"/>
  <c r="AO99" i="62"/>
  <c r="AH108" i="62"/>
  <c r="AD96" i="62"/>
  <c r="AO29" i="62"/>
  <c r="BA29" i="62"/>
  <c r="BG105" i="62"/>
  <c r="BC103" i="62"/>
  <c r="AC81" i="62"/>
  <c r="AE81" i="62"/>
  <c r="AK81" i="62"/>
  <c r="AK12" i="62"/>
  <c r="BC52" i="62"/>
  <c r="AY52" i="62"/>
  <c r="K84" i="62"/>
  <c r="K81" i="62"/>
  <c r="AD99" i="62"/>
  <c r="AD100" i="62"/>
  <c r="AO20" i="62"/>
  <c r="BA20" i="62"/>
  <c r="O94" i="62"/>
  <c r="S94" i="62"/>
  <c r="S54" i="62"/>
  <c r="S50" i="62"/>
  <c r="AD98" i="62"/>
  <c r="AD92" i="62"/>
  <c r="AU34" i="62"/>
  <c r="BE34" i="62"/>
  <c r="AU21" i="62"/>
  <c r="K96" i="62"/>
  <c r="K92" i="62"/>
  <c r="K82" i="62"/>
  <c r="K52" i="62"/>
  <c r="K41" i="62"/>
  <c r="M41" i="62"/>
  <c r="O36" i="62"/>
  <c r="O14" i="62"/>
  <c r="W57" i="62"/>
  <c r="AI57" i="62"/>
  <c r="S41" i="62"/>
  <c r="W38" i="62"/>
  <c r="S33" i="62"/>
  <c r="W30" i="62"/>
  <c r="BC27" i="62"/>
  <c r="K90" i="62"/>
  <c r="K66" i="62"/>
  <c r="K28" i="62"/>
  <c r="K20" i="62"/>
  <c r="K16" i="62"/>
  <c r="O64" i="62"/>
  <c r="O48" i="62"/>
  <c r="O12" i="62"/>
  <c r="W79" i="62"/>
  <c r="AI79" i="62"/>
  <c r="W70" i="62"/>
  <c r="W43" i="62"/>
  <c r="S38" i="62"/>
  <c r="AE38" i="62"/>
  <c r="W36" i="62"/>
  <c r="S31" i="62"/>
  <c r="AY30" i="62"/>
  <c r="K100" i="62"/>
  <c r="K86" i="62"/>
  <c r="K75" i="62"/>
  <c r="K65" i="62"/>
  <c r="K49" i="62"/>
  <c r="M49" i="62"/>
  <c r="K38" i="62"/>
  <c r="K27" i="62"/>
  <c r="K8" i="62"/>
  <c r="O74" i="62"/>
  <c r="O39" i="62"/>
  <c r="O22" i="62"/>
  <c r="O16" i="62"/>
  <c r="W103" i="62"/>
  <c r="AH103" i="62"/>
  <c r="S76" i="62"/>
  <c r="AE76" i="62"/>
  <c r="AD76" i="62"/>
  <c r="W96" i="62"/>
  <c r="AH96" i="62"/>
  <c r="AC102" i="62"/>
  <c r="K97" i="62"/>
  <c r="K94" i="62"/>
  <c r="O37" i="62"/>
  <c r="BC107" i="62"/>
  <c r="AU61" i="62"/>
  <c r="BC40" i="62"/>
  <c r="AY22" i="62"/>
  <c r="BG15" i="62"/>
  <c r="K33" i="62"/>
  <c r="K19" i="62"/>
  <c r="K15" i="62"/>
  <c r="O93" i="62"/>
  <c r="O81" i="62"/>
  <c r="O78" i="62"/>
  <c r="O67" i="62"/>
  <c r="O59" i="62"/>
  <c r="O51" i="62"/>
  <c r="O46" i="62"/>
  <c r="O38" i="62"/>
  <c r="O18" i="62"/>
  <c r="AG32" i="62"/>
  <c r="BC56" i="62"/>
  <c r="BG48" i="62"/>
  <c r="AY31" i="62"/>
  <c r="BI31" i="62"/>
  <c r="K89" i="62"/>
  <c r="K73" i="62"/>
  <c r="K57" i="62"/>
  <c r="K53" i="62"/>
  <c r="U53" i="62"/>
  <c r="K43" i="62"/>
  <c r="K25" i="62"/>
  <c r="K7" i="62"/>
  <c r="O100" i="62"/>
  <c r="O68" i="62"/>
  <c r="O60" i="62"/>
  <c r="O52" i="62"/>
  <c r="O28" i="62"/>
  <c r="O21" i="62"/>
  <c r="O8" i="62"/>
  <c r="AK99" i="62"/>
  <c r="AW99" i="62"/>
  <c r="AC41" i="62"/>
  <c r="AE41" i="62"/>
  <c r="AK14" i="62"/>
  <c r="AK5" i="62"/>
  <c r="BC95" i="62"/>
  <c r="AU94" i="62"/>
  <c r="AU86" i="62"/>
  <c r="BG30" i="62"/>
  <c r="BG28" i="62"/>
  <c r="BC11" i="62"/>
  <c r="K108" i="62"/>
  <c r="K101" i="62"/>
  <c r="K85" i="62"/>
  <c r="M85" i="62"/>
  <c r="K69" i="62"/>
  <c r="K35" i="62"/>
  <c r="O84" i="62"/>
  <c r="O82" i="62"/>
  <c r="O63" i="62"/>
  <c r="O55" i="62"/>
  <c r="O47" i="62"/>
  <c r="O11" i="62"/>
  <c r="W104" i="62"/>
  <c r="AH104" i="62"/>
  <c r="AD56" i="62"/>
  <c r="S56" i="62"/>
  <c r="AD80" i="62"/>
  <c r="S80" i="62"/>
  <c r="S72" i="62"/>
  <c r="AE72" i="62"/>
  <c r="AD72" i="62"/>
  <c r="AD64" i="62"/>
  <c r="S64" i="62"/>
  <c r="AD48" i="62"/>
  <c r="S48" i="62"/>
  <c r="S78" i="62"/>
  <c r="AD78" i="62"/>
  <c r="S70" i="62"/>
  <c r="AE70" i="62"/>
  <c r="AD70" i="62"/>
  <c r="BC3" i="62"/>
  <c r="AK95" i="62"/>
  <c r="AW95" i="62"/>
  <c r="AC97" i="62"/>
  <c r="AE97" i="62"/>
  <c r="AO80" i="62"/>
  <c r="AK38" i="62"/>
  <c r="AC33" i="62"/>
  <c r="BG70" i="62"/>
  <c r="O3" i="62"/>
  <c r="K3" i="62"/>
  <c r="AK105" i="62"/>
  <c r="AK96" i="62"/>
  <c r="AK40" i="62"/>
  <c r="AC35" i="62"/>
  <c r="AK32" i="62"/>
  <c r="AW32" i="62"/>
  <c r="AK25" i="62"/>
  <c r="AW25" i="62"/>
  <c r="AC24" i="62"/>
  <c r="AC15" i="62"/>
  <c r="AO10" i="62"/>
  <c r="BC64" i="62"/>
  <c r="AU55" i="62"/>
  <c r="BC53" i="62"/>
  <c r="AC109" i="62"/>
  <c r="AC106" i="62"/>
  <c r="AO102" i="62"/>
  <c r="AC101" i="62"/>
  <c r="AK98" i="62"/>
  <c r="AO94" i="62"/>
  <c r="AG47" i="62"/>
  <c r="AK45" i="62"/>
  <c r="AO42" i="62"/>
  <c r="BA42" i="62"/>
  <c r="AG40" i="62"/>
  <c r="AC37" i="62"/>
  <c r="AM37" i="62"/>
  <c r="AK34" i="62"/>
  <c r="AW34" i="62"/>
  <c r="AO30" i="62"/>
  <c r="BA30" i="62"/>
  <c r="AC29" i="62"/>
  <c r="AK27" i="62"/>
  <c r="AK26" i="62"/>
  <c r="AW26" i="62"/>
  <c r="AY92" i="62"/>
  <c r="AC103" i="62"/>
  <c r="AC100" i="62"/>
  <c r="AK44" i="62"/>
  <c r="AC39" i="62"/>
  <c r="AK36" i="62"/>
  <c r="AC31" i="62"/>
  <c r="AC17" i="62"/>
  <c r="AG24" i="62"/>
  <c r="AQ24" i="62"/>
  <c r="AO22" i="62"/>
  <c r="AC21" i="62"/>
  <c r="AK19" i="62"/>
  <c r="AG16" i="62"/>
  <c r="AO14" i="62"/>
  <c r="AC13" i="62"/>
  <c r="AK11" i="62"/>
  <c r="AK8" i="62"/>
  <c r="AO4" i="62"/>
  <c r="BA4" i="62"/>
  <c r="AU101" i="62"/>
  <c r="AY98" i="62"/>
  <c r="BI98" i="62"/>
  <c r="BG94" i="62"/>
  <c r="AY88" i="62"/>
  <c r="AU85" i="62"/>
  <c r="AW85" i="62"/>
  <c r="AY82" i="62"/>
  <c r="BI82" i="62"/>
  <c r="BG78" i="62"/>
  <c r="AY72" i="62"/>
  <c r="AU68" i="62"/>
  <c r="BC66" i="62"/>
  <c r="BE66" i="62"/>
  <c r="AY63" i="62"/>
  <c r="BG61" i="62"/>
  <c r="BI61" i="62"/>
  <c r="BC58" i="62"/>
  <c r="AU57" i="62"/>
  <c r="AU52" i="62"/>
  <c r="BC50" i="62"/>
  <c r="BG49" i="62"/>
  <c r="BG47" i="62"/>
  <c r="BG35" i="62"/>
  <c r="AY24" i="62"/>
  <c r="AU18" i="62"/>
  <c r="BG6" i="62"/>
  <c r="S106" i="62"/>
  <c r="K77" i="62"/>
  <c r="K74" i="62"/>
  <c r="O89" i="62"/>
  <c r="Q89" i="62"/>
  <c r="O31" i="62"/>
  <c r="O13" i="62"/>
  <c r="AG10" i="62"/>
  <c r="AY84" i="62"/>
  <c r="BC67" i="62"/>
  <c r="BC60" i="62"/>
  <c r="AU59" i="62"/>
  <c r="BE59" i="62"/>
  <c r="AU46" i="62"/>
  <c r="AU42" i="62"/>
  <c r="BE42" i="62"/>
  <c r="AY37" i="62"/>
  <c r="BC17" i="62"/>
  <c r="BC6" i="62"/>
  <c r="O109" i="62"/>
  <c r="S103" i="62"/>
  <c r="AE103" i="62"/>
  <c r="O103" i="62"/>
  <c r="K79" i="62"/>
  <c r="K63" i="62"/>
  <c r="O4" i="62"/>
  <c r="K4" i="62"/>
  <c r="BC10" i="62"/>
  <c r="BC7" i="62"/>
  <c r="O107" i="62"/>
  <c r="K56" i="62"/>
  <c r="S108" i="62"/>
  <c r="O102" i="62"/>
  <c r="K68" i="62"/>
  <c r="K47" i="62"/>
  <c r="K37" i="62"/>
  <c r="K31" i="62"/>
  <c r="K21" i="62"/>
  <c r="K18" i="62"/>
  <c r="K5" i="62"/>
  <c r="O86" i="62"/>
  <c r="O69" i="62"/>
  <c r="O65" i="62"/>
  <c r="O61" i="62"/>
  <c r="O57" i="62"/>
  <c r="Q57" i="62"/>
  <c r="O53" i="62"/>
  <c r="O49" i="62"/>
  <c r="O43" i="62"/>
  <c r="O40" i="62"/>
  <c r="O35" i="62"/>
  <c r="O32" i="62"/>
  <c r="O19" i="62"/>
  <c r="O10" i="62"/>
  <c r="K30" i="62"/>
  <c r="K17" i="62"/>
  <c r="K11" i="62"/>
  <c r="O95" i="62"/>
  <c r="O70" i="62"/>
  <c r="O27" i="62"/>
  <c r="O20" i="62"/>
  <c r="AU29" i="62"/>
  <c r="AU19" i="62"/>
  <c r="BE19" i="62"/>
  <c r="AU7" i="62"/>
  <c r="K88" i="62"/>
  <c r="K80" i="62"/>
  <c r="K72" i="62"/>
  <c r="K64" i="62"/>
  <c r="K61" i="62"/>
  <c r="K55" i="62"/>
  <c r="K45" i="62"/>
  <c r="K39" i="62"/>
  <c r="K29" i="62"/>
  <c r="K23" i="62"/>
  <c r="K13" i="62"/>
  <c r="O90" i="62"/>
  <c r="O87" i="62"/>
  <c r="N447" i="35"/>
  <c r="O365" i="35"/>
  <c r="T537" i="35"/>
  <c r="AC215" i="62"/>
  <c r="AV215" i="62"/>
  <c r="AU215" i="62"/>
  <c r="J198" i="35"/>
  <c r="BC113" i="62"/>
  <c r="AO127" i="62"/>
  <c r="AG116" i="62"/>
  <c r="AQ116" i="62"/>
  <c r="BG128" i="62"/>
  <c r="BI128" i="62"/>
  <c r="AY126" i="62"/>
  <c r="AY125" i="62"/>
  <c r="BI125" i="62"/>
  <c r="AY123" i="62"/>
  <c r="AY121" i="62"/>
  <c r="AY119" i="62"/>
  <c r="AY117" i="62"/>
  <c r="BI117" i="62"/>
  <c r="AY115" i="62"/>
  <c r="BC114" i="62"/>
  <c r="AK124" i="62"/>
  <c r="BC122" i="62"/>
  <c r="AZ115" i="62"/>
  <c r="AU119" i="62"/>
  <c r="BG121" i="62"/>
  <c r="AY166" i="62"/>
  <c r="BI166" i="62"/>
  <c r="BC127" i="62"/>
  <c r="BC116" i="62"/>
  <c r="AO113" i="62"/>
  <c r="AO151" i="62"/>
  <c r="AY203" i="62"/>
  <c r="BG187" i="62"/>
  <c r="BG156" i="62"/>
  <c r="BG152" i="62"/>
  <c r="BG148" i="62"/>
  <c r="AO129" i="62"/>
  <c r="BC192" i="62"/>
  <c r="T115" i="62"/>
  <c r="P181" i="62"/>
  <c r="BG207" i="62"/>
  <c r="AY170" i="62"/>
  <c r="AY197" i="62"/>
  <c r="AY138" i="62"/>
  <c r="BI138" i="62"/>
  <c r="AO178" i="62"/>
  <c r="AO143" i="62"/>
  <c r="AY207" i="62"/>
  <c r="BG205" i="62"/>
  <c r="BG203" i="62"/>
  <c r="AY201" i="62"/>
  <c r="AY195" i="62"/>
  <c r="AU191" i="62"/>
  <c r="AY187" i="62"/>
  <c r="AY177" i="62"/>
  <c r="AY176" i="62"/>
  <c r="AY168" i="62"/>
  <c r="AY164" i="62"/>
  <c r="AY162" i="62"/>
  <c r="AY156" i="62"/>
  <c r="AY152" i="62"/>
  <c r="AY150" i="62"/>
  <c r="BI150" i="62"/>
  <c r="AY148" i="62"/>
  <c r="AY144" i="62"/>
  <c r="AY142" i="62"/>
  <c r="AY140" i="62"/>
  <c r="BG136" i="62"/>
  <c r="AY134" i="62"/>
  <c r="BI134" i="62"/>
  <c r="BG132" i="62"/>
  <c r="AY130" i="62"/>
  <c r="AG133" i="62"/>
  <c r="AG149" i="62"/>
  <c r="AY132" i="62"/>
  <c r="AY154" i="62"/>
  <c r="BG168" i="62"/>
  <c r="AZ142" i="62"/>
  <c r="AG141" i="62"/>
  <c r="BG144" i="62"/>
  <c r="AY136" i="62"/>
  <c r="BC153" i="62"/>
  <c r="AY174" i="62"/>
  <c r="AY191" i="62"/>
  <c r="AZ134" i="62"/>
  <c r="AZ177" i="62"/>
  <c r="AZ201" i="62"/>
  <c r="P166" i="62"/>
  <c r="P150" i="62"/>
  <c r="BG140" i="62"/>
  <c r="AY146" i="62"/>
  <c r="AU176" i="62"/>
  <c r="P130" i="62"/>
  <c r="BC209" i="62"/>
  <c r="BC170" i="62"/>
  <c r="AU188" i="62"/>
  <c r="AG208" i="62"/>
  <c r="AG190" i="62"/>
  <c r="AY209" i="62"/>
  <c r="BI209" i="62"/>
  <c r="AY189" i="62"/>
  <c r="AY181" i="62"/>
  <c r="BC210" i="62"/>
  <c r="AU209" i="62"/>
  <c r="BC206" i="62"/>
  <c r="BC198" i="62"/>
  <c r="BC190" i="62"/>
  <c r="AU189" i="62"/>
  <c r="AU185" i="62"/>
  <c r="BC178" i="62"/>
  <c r="BC167" i="62"/>
  <c r="AU146" i="62"/>
  <c r="BC139" i="62"/>
  <c r="AU138" i="62"/>
  <c r="AU130" i="62"/>
  <c r="AO182" i="62"/>
  <c r="BG211" i="62"/>
  <c r="BG199" i="62"/>
  <c r="BG176" i="62"/>
  <c r="BG164" i="62"/>
  <c r="AC162" i="62"/>
  <c r="AK147" i="62"/>
  <c r="AK131" i="62"/>
  <c r="BC211" i="62"/>
  <c r="BC207" i="62"/>
  <c r="BC203" i="62"/>
  <c r="BC199" i="62"/>
  <c r="BC187" i="62"/>
  <c r="AU186" i="62"/>
  <c r="BC168" i="62"/>
  <c r="AU163" i="62"/>
  <c r="AU143" i="62"/>
  <c r="BC140" i="62"/>
  <c r="AU135" i="62"/>
  <c r="AU131" i="62"/>
  <c r="AW131" i="62"/>
  <c r="BC125" i="62"/>
  <c r="AU124" i="62"/>
  <c r="AO155" i="62"/>
  <c r="AO147" i="62"/>
  <c r="AG139" i="62"/>
  <c r="AO131" i="62"/>
  <c r="AG127" i="62"/>
  <c r="AO120" i="62"/>
  <c r="AK182" i="62"/>
  <c r="AK178" i="62"/>
  <c r="AK175" i="62"/>
  <c r="AC174" i="62"/>
  <c r="AK167" i="62"/>
  <c r="AC129" i="62"/>
  <c r="AK123" i="62"/>
  <c r="AC122" i="62"/>
  <c r="AK119" i="62"/>
  <c r="AC118" i="62"/>
  <c r="AC128" i="62"/>
  <c r="AC125" i="62"/>
  <c r="S194" i="62"/>
  <c r="T209" i="62"/>
  <c r="P174" i="62"/>
  <c r="P142" i="62"/>
  <c r="L119" i="62"/>
  <c r="L115" i="62"/>
  <c r="K136" i="62"/>
  <c r="M136" i="62"/>
  <c r="K132" i="62"/>
  <c r="M132" i="62"/>
  <c r="O133" i="62"/>
  <c r="Q133" i="62"/>
  <c r="O129" i="62"/>
  <c r="K201" i="62"/>
  <c r="M201" i="62"/>
  <c r="K197" i="62"/>
  <c r="M197" i="62"/>
  <c r="K193" i="62"/>
  <c r="M193" i="62"/>
  <c r="K181" i="62"/>
  <c r="M181" i="62"/>
  <c r="K174" i="62"/>
  <c r="M174" i="62"/>
  <c r="K170" i="62"/>
  <c r="M170" i="62"/>
  <c r="K162" i="62"/>
  <c r="M162" i="62"/>
  <c r="K150" i="62"/>
  <c r="M150" i="62"/>
  <c r="K134" i="62"/>
  <c r="M134" i="62"/>
  <c r="K130" i="62"/>
  <c r="M130" i="62"/>
  <c r="S203" i="62"/>
  <c r="F454" i="35"/>
  <c r="F453" i="35"/>
  <c r="S199" i="62"/>
  <c r="T199" i="62"/>
  <c r="G187" i="62" a="1"/>
  <c r="G187" i="62"/>
  <c r="G148" i="62" a="1"/>
  <c r="G148" i="62"/>
  <c r="K22" i="35"/>
  <c r="K21" i="35"/>
  <c r="AG131" i="62"/>
  <c r="AO139" i="62"/>
  <c r="AG155" i="62"/>
  <c r="AG147" i="62"/>
  <c r="AY199" i="62"/>
  <c r="BC117" i="62"/>
  <c r="T155" i="62"/>
  <c r="BC124" i="62"/>
  <c r="BE124" i="62"/>
  <c r="G195" i="62" a="1"/>
  <c r="G195" i="62"/>
  <c r="G176" i="62" a="1"/>
  <c r="G176" i="62"/>
  <c r="G146" i="62" a="1"/>
  <c r="G146" i="62"/>
  <c r="G136" i="62" a="1"/>
  <c r="G136" i="62"/>
  <c r="P22" i="35"/>
  <c r="P21" i="35"/>
  <c r="K454" i="35"/>
  <c r="K453" i="35"/>
  <c r="G154" i="62" a="1"/>
  <c r="G154" i="62"/>
  <c r="G140" i="62" a="1"/>
  <c r="G140" i="62"/>
  <c r="F280" i="35"/>
  <c r="F279" i="35"/>
  <c r="AG114" i="62"/>
  <c r="AQ114" i="62"/>
  <c r="AG120" i="62"/>
  <c r="AG122" i="62"/>
  <c r="AG153" i="62"/>
  <c r="AY124" i="62"/>
  <c r="BI124" i="62"/>
  <c r="G174" i="62" a="1"/>
  <c r="G174" i="62"/>
  <c r="G166" i="62" a="1"/>
  <c r="G166" i="62"/>
  <c r="G156" i="62" a="1"/>
  <c r="G156" i="62"/>
  <c r="G142" i="62" a="1"/>
  <c r="G142" i="62"/>
  <c r="AK176" i="62"/>
  <c r="AK136" i="62"/>
  <c r="AK132" i="62"/>
  <c r="AC124" i="62"/>
  <c r="AU207" i="62"/>
  <c r="AU203" i="62"/>
  <c r="AU183" i="62"/>
  <c r="BC180" i="62"/>
  <c r="BC173" i="62"/>
  <c r="BC169" i="62"/>
  <c r="BC165" i="62"/>
  <c r="AU164" i="62"/>
  <c r="BC149" i="62"/>
  <c r="AU148" i="62"/>
  <c r="AU144" i="62"/>
  <c r="BC141" i="62"/>
  <c r="BC137" i="62"/>
  <c r="AU136" i="62"/>
  <c r="AU128" i="62"/>
  <c r="P108" i="35"/>
  <c r="P107" i="35"/>
  <c r="G201" i="62" a="1"/>
  <c r="G201" i="62"/>
  <c r="G193" i="62" a="1"/>
  <c r="G193" i="62"/>
  <c r="AO202" i="62"/>
  <c r="G210" i="62" a="1"/>
  <c r="G210" i="62"/>
  <c r="G206" i="62" a="1"/>
  <c r="G206" i="62"/>
  <c r="G197" i="62" a="1"/>
  <c r="G197" i="62"/>
  <c r="G185" i="62" a="1"/>
  <c r="G185" i="62"/>
  <c r="M125" i="15"/>
  <c r="H147" i="62" a="1"/>
  <c r="H147" i="62"/>
  <c r="M143" i="15"/>
  <c r="H165" i="62" a="1"/>
  <c r="H165" i="62"/>
  <c r="M171" i="15"/>
  <c r="H192" i="62" a="1"/>
  <c r="H192" i="62"/>
  <c r="G175" i="62" a="1"/>
  <c r="G175" i="62"/>
  <c r="G173" i="62" a="1"/>
  <c r="G173" i="62"/>
  <c r="G171" i="62" a="1"/>
  <c r="G171" i="62"/>
  <c r="G169" i="62" a="1"/>
  <c r="G169" i="62"/>
  <c r="G167" i="62" a="1"/>
  <c r="G167" i="62"/>
  <c r="G163" i="62" a="1"/>
  <c r="G163" i="62"/>
  <c r="G155" i="62" a="1"/>
  <c r="G155" i="62"/>
  <c r="G153" i="62" a="1"/>
  <c r="G153" i="62"/>
  <c r="G151" i="62" a="1"/>
  <c r="G151" i="62"/>
  <c r="G149" i="62" a="1"/>
  <c r="G149" i="62"/>
  <c r="G145" i="62" a="1"/>
  <c r="G145" i="62"/>
  <c r="G143" i="62" a="1"/>
  <c r="G143" i="62"/>
  <c r="G141" i="62" a="1"/>
  <c r="G141" i="62"/>
  <c r="G139" i="62" a="1"/>
  <c r="G139" i="62"/>
  <c r="G137" i="62" a="1"/>
  <c r="G137" i="62"/>
  <c r="G135" i="62" a="1"/>
  <c r="G135" i="62"/>
  <c r="G133" i="62" a="1"/>
  <c r="G133" i="62"/>
  <c r="G131" i="62" a="1"/>
  <c r="G131" i="62"/>
  <c r="AC209" i="62"/>
  <c r="AK205" i="62"/>
  <c r="AK197" i="62"/>
  <c r="AK189" i="62"/>
  <c r="AK185" i="62"/>
  <c r="AK177" i="62"/>
  <c r="AG126" i="62"/>
  <c r="AY175" i="62"/>
  <c r="G208" i="62" a="1"/>
  <c r="G208" i="62"/>
  <c r="G203" i="62" a="1"/>
  <c r="G203" i="62"/>
  <c r="G199" i="62" a="1"/>
  <c r="G199" i="62"/>
  <c r="G191" i="62" a="1"/>
  <c r="G191" i="62"/>
  <c r="M157" i="15"/>
  <c r="H178" i="62" a="1"/>
  <c r="H178" i="62"/>
  <c r="G211" i="62" a="1"/>
  <c r="G211" i="62"/>
  <c r="G209" i="62" a="1"/>
  <c r="G209" i="62"/>
  <c r="G207" i="62" a="1"/>
  <c r="G207" i="62"/>
  <c r="G205" i="62" a="1"/>
  <c r="G205" i="62"/>
  <c r="G202" i="62" a="1"/>
  <c r="G202" i="62"/>
  <c r="G200" i="62" a="1"/>
  <c r="G200" i="62"/>
  <c r="G198" i="62" a="1"/>
  <c r="G198" i="62"/>
  <c r="G196" i="62" a="1"/>
  <c r="G196" i="62"/>
  <c r="G194" i="62" a="1"/>
  <c r="G194" i="62"/>
  <c r="G190" i="62" a="1"/>
  <c r="G190" i="62"/>
  <c r="G188" i="62" a="1"/>
  <c r="G188" i="62"/>
  <c r="G186" i="62" a="1"/>
  <c r="G186" i="62"/>
  <c r="G184" i="62" a="1"/>
  <c r="G184" i="62"/>
  <c r="G182" i="62" a="1"/>
  <c r="G182" i="62"/>
  <c r="G180" i="62" a="1"/>
  <c r="G180" i="62"/>
  <c r="G172" i="62" a="1"/>
  <c r="G172" i="62"/>
  <c r="G170" i="62" a="1"/>
  <c r="G170" i="62"/>
  <c r="G152" i="62" a="1"/>
  <c r="G152" i="62"/>
  <c r="G150" i="62" a="1"/>
  <c r="G150" i="62"/>
  <c r="G144" i="62" a="1"/>
  <c r="G144" i="62"/>
  <c r="G138" i="62" a="1"/>
  <c r="G138" i="62"/>
  <c r="G134" i="62" a="1"/>
  <c r="G134" i="62"/>
  <c r="BC154" i="62"/>
  <c r="AU153" i="62"/>
  <c r="BC130" i="62"/>
  <c r="AU129" i="62"/>
  <c r="BG182" i="62"/>
  <c r="BG155" i="62"/>
  <c r="BG147" i="62"/>
  <c r="BG151" i="62"/>
  <c r="BG120" i="62"/>
  <c r="AU120" i="62"/>
  <c r="BE120" i="62"/>
  <c r="BC132" i="62"/>
  <c r="AU134" i="62"/>
  <c r="BC176" i="62"/>
  <c r="BD140" i="62"/>
  <c r="T171" i="62"/>
  <c r="P129" i="62"/>
  <c r="AC137" i="62"/>
  <c r="AD118" i="62"/>
  <c r="AU115" i="62"/>
  <c r="AU116" i="62"/>
  <c r="BC121" i="62"/>
  <c r="BG131" i="62"/>
  <c r="AU139" i="62"/>
  <c r="BC128" i="62"/>
  <c r="T131" i="62"/>
  <c r="T167" i="62"/>
  <c r="T175" i="62"/>
  <c r="T163" i="62"/>
  <c r="T151" i="62"/>
  <c r="T139" i="62"/>
  <c r="AC163" i="62"/>
  <c r="AE163" i="62"/>
  <c r="AY120" i="62"/>
  <c r="BG135" i="62"/>
  <c r="BG139" i="62"/>
  <c r="AU142" i="62"/>
  <c r="BC175" i="62"/>
  <c r="AV130" i="62"/>
  <c r="AV138" i="62"/>
  <c r="BG127" i="62"/>
  <c r="L132" i="62"/>
  <c r="T178" i="62"/>
  <c r="AG121" i="62"/>
  <c r="AO117" i="62"/>
  <c r="BG200" i="62"/>
  <c r="BG196" i="62"/>
  <c r="BG192" i="62"/>
  <c r="BG188" i="62"/>
  <c r="BG184" i="62"/>
  <c r="BG145" i="62"/>
  <c r="BG133" i="62"/>
  <c r="BC135" i="62"/>
  <c r="AU166" i="62"/>
  <c r="AU174" i="62"/>
  <c r="BD187" i="62"/>
  <c r="AO168" i="62"/>
  <c r="AK125" i="62"/>
  <c r="AU127" i="62"/>
  <c r="AU123" i="62"/>
  <c r="BC131" i="62"/>
  <c r="AU126" i="62"/>
  <c r="AY163" i="62"/>
  <c r="AU170" i="62"/>
  <c r="BG167" i="62"/>
  <c r="AU181" i="62"/>
  <c r="BC191" i="62"/>
  <c r="AU200" i="62"/>
  <c r="BD168" i="62"/>
  <c r="AV185" i="62"/>
  <c r="AV189" i="62"/>
  <c r="T135" i="62"/>
  <c r="T182" i="62"/>
  <c r="T186" i="62"/>
  <c r="L136" i="62"/>
  <c r="AC117" i="62"/>
  <c r="AO121" i="62"/>
  <c r="AG138" i="62"/>
  <c r="AK168" i="62"/>
  <c r="BC123" i="62"/>
  <c r="BE123" i="62"/>
  <c r="BC129" i="62"/>
  <c r="AU125" i="62"/>
  <c r="AW125" i="62"/>
  <c r="AU140" i="62"/>
  <c r="AU145" i="62"/>
  <c r="BC162" i="62"/>
  <c r="AU173" i="62"/>
  <c r="AV203" i="62"/>
  <c r="AV164" i="62"/>
  <c r="AO115" i="62"/>
  <c r="AY208" i="62"/>
  <c r="AY202" i="62"/>
  <c r="BG194" i="62"/>
  <c r="AY184" i="62"/>
  <c r="AY182" i="62"/>
  <c r="BG175" i="62"/>
  <c r="BG171" i="62"/>
  <c r="AY169" i="62"/>
  <c r="AY147" i="62"/>
  <c r="AY139" i="62"/>
  <c r="BA139" i="62"/>
  <c r="AY137" i="62"/>
  <c r="AG130" i="62"/>
  <c r="AY131" i="62"/>
  <c r="BC142" i="62"/>
  <c r="AU152" i="62"/>
  <c r="BC166" i="62"/>
  <c r="BG169" i="62"/>
  <c r="BC193" i="62"/>
  <c r="BC189" i="62"/>
  <c r="AV128" i="62"/>
  <c r="BG137" i="62"/>
  <c r="BC138" i="62"/>
  <c r="AU168" i="62"/>
  <c r="AY167" i="62"/>
  <c r="AY171" i="62"/>
  <c r="AY135" i="62"/>
  <c r="AL124" i="62"/>
  <c r="BG122" i="62"/>
  <c r="AK150" i="62"/>
  <c r="AC150" i="62"/>
  <c r="AO138" i="62"/>
  <c r="AO134" i="62"/>
  <c r="AO130" i="62"/>
  <c r="AO126" i="62"/>
  <c r="AO123" i="62"/>
  <c r="AK127" i="62"/>
  <c r="AL127" i="62"/>
  <c r="AC114" i="62"/>
  <c r="AL131" i="62"/>
  <c r="AK138" i="62"/>
  <c r="AK174" i="62"/>
  <c r="AO185" i="62"/>
  <c r="BC182" i="62"/>
  <c r="BG190" i="62"/>
  <c r="BG198" i="62"/>
  <c r="BG186" i="62"/>
  <c r="BD199" i="62"/>
  <c r="BC194" i="62"/>
  <c r="AU190" i="62"/>
  <c r="AD122" i="62"/>
  <c r="AD129" i="62"/>
  <c r="BD209" i="62"/>
  <c r="BH208" i="62"/>
  <c r="AC119" i="62"/>
  <c r="AK120" i="62"/>
  <c r="AC134" i="62"/>
  <c r="AK143" i="62"/>
  <c r="AU175" i="62"/>
  <c r="AW175" i="62"/>
  <c r="BC164" i="62"/>
  <c r="AU171" i="62"/>
  <c r="BG178" i="62"/>
  <c r="BC186" i="62"/>
  <c r="BC195" i="62"/>
  <c r="AU210" i="62"/>
  <c r="AU194" i="62"/>
  <c r="BG210" i="62"/>
  <c r="BD203" i="62"/>
  <c r="AL182" i="62"/>
  <c r="AU177" i="62"/>
  <c r="AC126" i="62"/>
  <c r="BC136" i="62"/>
  <c r="BC183" i="62"/>
  <c r="AU206" i="62"/>
  <c r="AY210" i="62"/>
  <c r="BI210" i="62"/>
  <c r="H113" i="62" a="1"/>
  <c r="H113" i="62"/>
  <c r="G129" i="62" a="1"/>
  <c r="G129" i="62"/>
  <c r="AC113" i="62"/>
  <c r="AC211" i="62"/>
  <c r="AO195" i="62"/>
  <c r="AK191" i="62"/>
  <c r="AG187" i="62"/>
  <c r="AO179" i="62"/>
  <c r="AO172" i="62"/>
  <c r="AG164" i="62"/>
  <c r="AK156" i="62"/>
  <c r="AO152" i="62"/>
  <c r="AK148" i="62"/>
  <c r="AK145" i="62"/>
  <c r="AC143" i="62"/>
  <c r="AK140" i="62"/>
  <c r="AC136" i="62"/>
  <c r="AO132" i="62"/>
  <c r="AK129" i="62"/>
  <c r="AO128" i="62"/>
  <c r="AG125" i="62"/>
  <c r="AK118" i="62"/>
  <c r="AG117" i="62"/>
  <c r="AC116" i="62"/>
  <c r="AY113" i="62"/>
  <c r="AU211" i="62"/>
  <c r="BC205" i="62"/>
  <c r="BC201" i="62"/>
  <c r="AY200" i="62"/>
  <c r="AU199" i="62"/>
  <c r="AY198" i="62"/>
  <c r="AU195" i="62"/>
  <c r="AY192" i="62"/>
  <c r="AY190" i="62"/>
  <c r="BC188" i="62"/>
  <c r="AU187" i="62"/>
  <c r="AY186" i="62"/>
  <c r="AU184" i="62"/>
  <c r="BC181" i="62"/>
  <c r="BC174" i="62"/>
  <c r="AY165" i="62"/>
  <c r="AY155" i="62"/>
  <c r="BC150" i="62"/>
  <c r="AY149" i="62"/>
  <c r="AY145" i="62"/>
  <c r="BA145" i="62"/>
  <c r="AY143" i="62"/>
  <c r="BC134" i="62"/>
  <c r="AY133" i="62"/>
  <c r="AY129" i="62"/>
  <c r="BC126" i="62"/>
  <c r="AY122" i="62"/>
  <c r="BG118" i="62"/>
  <c r="BC115" i="62"/>
  <c r="BG114" i="62"/>
  <c r="O202" i="62"/>
  <c r="Q202" i="62"/>
  <c r="O194" i="62"/>
  <c r="Q194" i="62"/>
  <c r="O190" i="62"/>
  <c r="Q190" i="62"/>
  <c r="O186" i="62"/>
  <c r="Q186" i="62"/>
  <c r="O178" i="62"/>
  <c r="Q178" i="62"/>
  <c r="O175" i="62"/>
  <c r="Q175" i="62"/>
  <c r="O167" i="62"/>
  <c r="Q167" i="62"/>
  <c r="O163" i="62"/>
  <c r="Q163" i="62"/>
  <c r="O155" i="62"/>
  <c r="Q155" i="62"/>
  <c r="O151" i="62"/>
  <c r="Q151" i="62"/>
  <c r="O147" i="62"/>
  <c r="Q147" i="62"/>
  <c r="O143" i="62"/>
  <c r="Q143" i="62"/>
  <c r="O139" i="62"/>
  <c r="Q139" i="62"/>
  <c r="AG132" i="62"/>
  <c r="AG136" i="62"/>
  <c r="AG142" i="62"/>
  <c r="AO156" i="62"/>
  <c r="AG154" i="62"/>
  <c r="AG177" i="62"/>
  <c r="AG211" i="62"/>
  <c r="AG123" i="62"/>
  <c r="AC152" i="62"/>
  <c r="AG203" i="62"/>
  <c r="AG193" i="62"/>
  <c r="AO181" i="62"/>
  <c r="AG179" i="62"/>
  <c r="AG172" i="62"/>
  <c r="AK166" i="62"/>
  <c r="AC166" i="62"/>
  <c r="AK142" i="62"/>
  <c r="AC142" i="62"/>
  <c r="AL139" i="62"/>
  <c r="AK139" i="62"/>
  <c r="AK128" i="62"/>
  <c r="AK153" i="62"/>
  <c r="AK137" i="62"/>
  <c r="BD211" i="62"/>
  <c r="AC127" i="62"/>
  <c r="AK135" i="62"/>
  <c r="AO125" i="62"/>
  <c r="AK126" i="62"/>
  <c r="AG128" i="62"/>
  <c r="AO136" i="62"/>
  <c r="AQ136" i="62"/>
  <c r="AK130" i="62"/>
  <c r="AG140" i="62"/>
  <c r="AK149" i="62"/>
  <c r="AG156" i="62"/>
  <c r="AK164" i="62"/>
  <c r="AK181" i="62"/>
  <c r="AK169" i="62"/>
  <c r="AC181" i="62"/>
  <c r="AU117" i="62"/>
  <c r="AY114" i="62"/>
  <c r="BA114" i="62"/>
  <c r="AY116" i="62"/>
  <c r="BA116" i="62"/>
  <c r="AY118" i="62"/>
  <c r="BA118" i="62"/>
  <c r="AY127" i="62"/>
  <c r="BA127" i="62"/>
  <c r="BG129" i="62"/>
  <c r="AU137" i="62"/>
  <c r="BG149" i="62"/>
  <c r="AY151" i="62"/>
  <c r="AU165" i="62"/>
  <c r="AU169" i="62"/>
  <c r="BG173" i="62"/>
  <c r="BC197" i="62"/>
  <c r="AU192" i="62"/>
  <c r="AV136" i="62"/>
  <c r="AV183" i="62"/>
  <c r="BD201" i="62"/>
  <c r="AZ155" i="62"/>
  <c r="AG115" i="62"/>
  <c r="AK152" i="62"/>
  <c r="AK134" i="62"/>
  <c r="BG180" i="62"/>
  <c r="AY180" i="62"/>
  <c r="BG153" i="62"/>
  <c r="K189" i="62"/>
  <c r="M189" i="62"/>
  <c r="L189" i="62"/>
  <c r="K185" i="62"/>
  <c r="M185" i="62"/>
  <c r="L185" i="62"/>
  <c r="K177" i="62"/>
  <c r="M177" i="62"/>
  <c r="L177" i="62"/>
  <c r="K166" i="62"/>
  <c r="M166" i="62"/>
  <c r="L166" i="62"/>
  <c r="AL188" i="62"/>
  <c r="AK188" i="62"/>
  <c r="AC147" i="62"/>
  <c r="AD147" i="62"/>
  <c r="AU113" i="62"/>
  <c r="BG113" i="62"/>
  <c r="BG208" i="62"/>
  <c r="AY196" i="62"/>
  <c r="AU196" i="62"/>
  <c r="AZ194" i="62"/>
  <c r="AY194" i="62"/>
  <c r="AD113" i="62"/>
  <c r="AO119" i="62"/>
  <c r="AK114" i="62"/>
  <c r="AK116" i="62"/>
  <c r="AC120" i="62"/>
  <c r="AO140" i="62"/>
  <c r="AK172" i="62"/>
  <c r="AC191" i="62"/>
  <c r="AC167" i="62"/>
  <c r="AE167" i="62"/>
  <c r="AU121" i="62"/>
  <c r="AU133" i="62"/>
  <c r="AU132" i="62"/>
  <c r="AY141" i="62"/>
  <c r="BG141" i="62"/>
  <c r="AU156" i="62"/>
  <c r="BC145" i="62"/>
  <c r="AU149" i="62"/>
  <c r="AY153" i="62"/>
  <c r="BC177" i="62"/>
  <c r="AY173" i="62"/>
  <c r="AU180" i="62"/>
  <c r="AZ198" i="62"/>
  <c r="BC184" i="62"/>
  <c r="AY188" i="62"/>
  <c r="BC133" i="62"/>
  <c r="BC146" i="62"/>
  <c r="AZ143" i="62"/>
  <c r="BG165" i="62"/>
  <c r="AC151" i="62"/>
  <c r="AH172" i="62"/>
  <c r="AK117" i="62"/>
  <c r="BC200" i="62"/>
  <c r="BC208" i="62"/>
  <c r="S198" i="62"/>
  <c r="T198" i="62"/>
  <c r="S190" i="62"/>
  <c r="T190" i="62"/>
  <c r="O171" i="62"/>
  <c r="Q171" i="62"/>
  <c r="P171" i="62"/>
  <c r="P190" i="62"/>
  <c r="AK202" i="62"/>
  <c r="AK198" i="62"/>
  <c r="AC194" i="62"/>
  <c r="AC186" i="62"/>
  <c r="AE186" i="62"/>
  <c r="K200" i="62"/>
  <c r="M200" i="62"/>
  <c r="K196" i="62"/>
  <c r="M196" i="62"/>
  <c r="K192" i="62"/>
  <c r="M192" i="62"/>
  <c r="K188" i="62"/>
  <c r="M188" i="62"/>
  <c r="K184" i="62"/>
  <c r="M184" i="62"/>
  <c r="K180" i="62"/>
  <c r="M180" i="62"/>
  <c r="K173" i="62"/>
  <c r="M173" i="62"/>
  <c r="K169" i="62"/>
  <c r="M169" i="62"/>
  <c r="K165" i="62"/>
  <c r="M165" i="62"/>
  <c r="K153" i="62"/>
  <c r="M153" i="62"/>
  <c r="K149" i="62"/>
  <c r="M149" i="62"/>
  <c r="K145" i="62"/>
  <c r="M145" i="62"/>
  <c r="K141" i="62"/>
  <c r="M141" i="62"/>
  <c r="K137" i="62"/>
  <c r="M137" i="62"/>
  <c r="K133" i="62"/>
  <c r="M133" i="62"/>
  <c r="K129" i="62"/>
  <c r="O135" i="62"/>
  <c r="Q135" i="62"/>
  <c r="O200" i="62"/>
  <c r="Q200" i="62"/>
  <c r="O196" i="62"/>
  <c r="Q196" i="62"/>
  <c r="O192" i="62"/>
  <c r="Q192" i="62"/>
  <c r="O188" i="62"/>
  <c r="Q188" i="62"/>
  <c r="O184" i="62"/>
  <c r="Q184" i="62"/>
  <c r="O180" i="62"/>
  <c r="Q180" i="62"/>
  <c r="O173" i="62"/>
  <c r="Q173" i="62"/>
  <c r="O169" i="62"/>
  <c r="Q169" i="62"/>
  <c r="O165" i="62"/>
  <c r="Q165" i="62"/>
  <c r="O153" i="62"/>
  <c r="Q153" i="62"/>
  <c r="O149" i="62"/>
  <c r="Q149" i="62"/>
  <c r="O145" i="62"/>
  <c r="Q145" i="62"/>
  <c r="O137" i="62"/>
  <c r="Q137" i="62"/>
  <c r="O131" i="62"/>
  <c r="Q131" i="62"/>
  <c r="S196" i="62"/>
  <c r="S192" i="62"/>
  <c r="S188" i="62"/>
  <c r="S184" i="62"/>
  <c r="S180" i="62"/>
  <c r="S173" i="62"/>
  <c r="S169" i="62"/>
  <c r="AG196" i="62"/>
  <c r="AG188" i="62"/>
  <c r="AG184" i="62"/>
  <c r="AO180" i="62"/>
  <c r="AG178" i="62"/>
  <c r="AK173" i="62"/>
  <c r="AC168" i="62"/>
  <c r="AK165" i="62"/>
  <c r="K202" i="62"/>
  <c r="M202" i="62"/>
  <c r="K198" i="62"/>
  <c r="M198" i="62"/>
  <c r="K194" i="62"/>
  <c r="M194" i="62"/>
  <c r="K182" i="62"/>
  <c r="M182" i="62"/>
  <c r="K178" i="62"/>
  <c r="M178" i="62"/>
  <c r="K175" i="62"/>
  <c r="M175" i="62"/>
  <c r="K167" i="62"/>
  <c r="M167" i="62"/>
  <c r="K155" i="62"/>
  <c r="M155" i="62"/>
  <c r="K151" i="62"/>
  <c r="M151" i="62"/>
  <c r="K139" i="62"/>
  <c r="M139" i="62"/>
  <c r="K131" i="62"/>
  <c r="M131" i="62"/>
  <c r="AC188" i="62"/>
  <c r="AC184" i="62"/>
  <c r="AG199" i="62"/>
  <c r="AH178" i="62"/>
  <c r="AG174" i="62"/>
  <c r="AH203" i="62"/>
  <c r="AL175" i="62"/>
  <c r="AK196" i="62"/>
  <c r="K114" i="62"/>
  <c r="M114" i="62"/>
  <c r="W211" i="62"/>
  <c r="W207" i="62"/>
  <c r="AO190" i="62"/>
  <c r="AG209" i="62"/>
  <c r="O141" i="62"/>
  <c r="Q141" i="62"/>
  <c r="P141" i="62"/>
  <c r="AG194" i="62"/>
  <c r="AC203" i="62"/>
  <c r="AK183" i="62"/>
  <c r="AC182" i="62"/>
  <c r="AK179" i="62"/>
  <c r="O119" i="62"/>
  <c r="Q119" i="62"/>
  <c r="W119" i="62"/>
  <c r="AJ121" i="23"/>
  <c r="AJ75" i="23"/>
  <c r="AJ20" i="24"/>
  <c r="AJ104" i="23"/>
  <c r="AJ113" i="23"/>
  <c r="AJ124" i="23"/>
  <c r="AJ55" i="24"/>
  <c r="AJ175" i="23"/>
  <c r="S3" i="55"/>
  <c r="AE3" i="55"/>
  <c r="O3" i="55"/>
  <c r="W3" i="55"/>
  <c r="Y3" i="55"/>
  <c r="AI3" i="55"/>
  <c r="AJ23" i="34"/>
  <c r="R174" i="35"/>
  <c r="N174" i="35"/>
  <c r="AA74" i="24"/>
  <c r="AJ74" i="24"/>
  <c r="AI74" i="24"/>
  <c r="M70" i="55"/>
  <c r="Q71" i="55"/>
  <c r="AL71" i="55"/>
  <c r="AP71" i="55"/>
  <c r="P71" i="55"/>
  <c r="L71" i="55"/>
  <c r="AV71" i="55"/>
  <c r="AD70" i="55"/>
  <c r="AP70" i="55"/>
  <c r="BD70" i="55"/>
  <c r="X78" i="55"/>
  <c r="BD78" i="55"/>
  <c r="P78" i="55"/>
  <c r="T78" i="55"/>
  <c r="AV78" i="55"/>
  <c r="AP78" i="55"/>
  <c r="AK83" i="55"/>
  <c r="AL83" i="55"/>
  <c r="AG80" i="55"/>
  <c r="AH80" i="55"/>
  <c r="AV89" i="55"/>
  <c r="L89" i="55"/>
  <c r="AL89" i="55"/>
  <c r="AD89" i="55"/>
  <c r="AG3" i="62"/>
  <c r="AK3" i="62"/>
  <c r="AC3" i="62"/>
  <c r="AO3" i="62"/>
  <c r="AI27" i="24"/>
  <c r="K174" i="35"/>
  <c r="M174" i="35"/>
  <c r="AI73" i="24"/>
  <c r="P89" i="55"/>
  <c r="AH78" i="55"/>
  <c r="AH84" i="55"/>
  <c r="AD71" i="55"/>
  <c r="BD71" i="55"/>
  <c r="AV74" i="55"/>
  <c r="AP74" i="55"/>
  <c r="P74" i="55"/>
  <c r="BH74" i="55"/>
  <c r="AD74" i="55"/>
  <c r="AH70" i="55"/>
  <c r="BH70" i="55"/>
  <c r="AZ78" i="55"/>
  <c r="AO85" i="55"/>
  <c r="AP85" i="55"/>
  <c r="AC85" i="55"/>
  <c r="AO81" i="55"/>
  <c r="AH89" i="55"/>
  <c r="AI51" i="24"/>
  <c r="AI113" i="23"/>
  <c r="AI117" i="23"/>
  <c r="AI115" i="23"/>
  <c r="AI58" i="23"/>
  <c r="AI45" i="23"/>
  <c r="AI40" i="24"/>
  <c r="T76" i="34"/>
  <c r="AJ76" i="34"/>
  <c r="AJ50" i="34"/>
  <c r="G174" i="35"/>
  <c r="Q174" i="35"/>
  <c r="N177" i="35"/>
  <c r="AI72" i="24"/>
  <c r="AI69" i="24"/>
  <c r="AY62" i="55"/>
  <c r="AU62" i="55"/>
  <c r="BE62" i="55"/>
  <c r="AP89" i="55"/>
  <c r="AZ74" i="55"/>
  <c r="T74" i="55"/>
  <c r="AH71" i="55"/>
  <c r="BH71" i="55"/>
  <c r="X71" i="55"/>
  <c r="AK85" i="55"/>
  <c r="S3" i="62"/>
  <c r="AD3" i="62"/>
  <c r="AU3" i="62"/>
  <c r="BD3" i="62"/>
  <c r="AI30" i="24"/>
  <c r="AI56" i="23"/>
  <c r="AI29" i="24"/>
  <c r="AI59" i="24"/>
  <c r="AI24" i="24"/>
  <c r="G209" i="61" a="1"/>
  <c r="G209" i="61"/>
  <c r="I174" i="35"/>
  <c r="P174" i="35"/>
  <c r="H177" i="35"/>
  <c r="S177" i="35"/>
  <c r="Q177" i="35"/>
  <c r="AA68" i="24"/>
  <c r="AJ68" i="24"/>
  <c r="AI68" i="24"/>
  <c r="K62" i="55"/>
  <c r="W62" i="55"/>
  <c r="S62" i="55"/>
  <c r="AG62" i="55"/>
  <c r="AQ62" i="55"/>
  <c r="AC62" i="55"/>
  <c r="AM62" i="55"/>
  <c r="X89" i="55"/>
  <c r="BH89" i="55"/>
  <c r="AD78" i="55"/>
  <c r="P70" i="55"/>
  <c r="AL78" i="55"/>
  <c r="L74" i="55"/>
  <c r="T71" i="55"/>
  <c r="AC78" i="55"/>
  <c r="J76" i="35"/>
  <c r="AC130" i="55"/>
  <c r="AM130" i="55"/>
  <c r="AC132" i="55"/>
  <c r="S117" i="55"/>
  <c r="AE117" i="55"/>
  <c r="W121" i="55"/>
  <c r="W125" i="55"/>
  <c r="AI125" i="55"/>
  <c r="W128" i="55"/>
  <c r="O131" i="55"/>
  <c r="S140" i="55"/>
  <c r="AZ70" i="55"/>
  <c r="L78" i="55"/>
  <c r="T89" i="55"/>
  <c r="AK89" i="55"/>
  <c r="AZ89" i="55"/>
  <c r="AC102" i="61"/>
  <c r="AE102" i="61"/>
  <c r="O101" i="61"/>
  <c r="Q101" i="61"/>
  <c r="AU100" i="61"/>
  <c r="BE100" i="61"/>
  <c r="BH209" i="62"/>
  <c r="L209" i="62"/>
  <c r="P209" i="62"/>
  <c r="BC201" i="61"/>
  <c r="AU201" i="61"/>
  <c r="AY201" i="61"/>
  <c r="K201" i="61"/>
  <c r="T201" i="61"/>
  <c r="O200" i="61"/>
  <c r="W200" i="61"/>
  <c r="AI200" i="61"/>
  <c r="K200" i="61"/>
  <c r="S200" i="61"/>
  <c r="AC199" i="61"/>
  <c r="AO199" i="61"/>
  <c r="BA199" i="61"/>
  <c r="AG199" i="61"/>
  <c r="AK199" i="61"/>
  <c r="AY186" i="61"/>
  <c r="BG186" i="61"/>
  <c r="AC186" i="61"/>
  <c r="AK186" i="61"/>
  <c r="AW186" i="61"/>
  <c r="AG186" i="61"/>
  <c r="AO186" i="61"/>
  <c r="BG185" i="61"/>
  <c r="BI185" i="61"/>
  <c r="AU185" i="61"/>
  <c r="BC185" i="61"/>
  <c r="BD184" i="61"/>
  <c r="AU184" i="61"/>
  <c r="BE184" i="61"/>
  <c r="O184" i="61"/>
  <c r="S184" i="61"/>
  <c r="K184" i="61"/>
  <c r="M184" i="61"/>
  <c r="W184" i="61"/>
  <c r="AI184" i="61"/>
  <c r="AY170" i="61"/>
  <c r="BG170" i="61"/>
  <c r="AK170" i="61"/>
  <c r="AW170" i="61"/>
  <c r="AC170" i="61"/>
  <c r="AO170" i="61"/>
  <c r="BA170" i="61"/>
  <c r="AG170" i="61"/>
  <c r="K169" i="61"/>
  <c r="U169" i="61"/>
  <c r="T169" i="61"/>
  <c r="BD168" i="61"/>
  <c r="AU168" i="61"/>
  <c r="S168" i="61"/>
  <c r="O168" i="61"/>
  <c r="K168" i="61"/>
  <c r="W168" i="61"/>
  <c r="AI168" i="61"/>
  <c r="AG167" i="61"/>
  <c r="AO167" i="61"/>
  <c r="BA167" i="61"/>
  <c r="AC167" i="61"/>
  <c r="AK167" i="61"/>
  <c r="AW167" i="61"/>
  <c r="AY154" i="61"/>
  <c r="BG154" i="61"/>
  <c r="AC154" i="61"/>
  <c r="AK154" i="61"/>
  <c r="AW154" i="61"/>
  <c r="AG154" i="61"/>
  <c r="AO154" i="61"/>
  <c r="AU153" i="61"/>
  <c r="AY153" i="61"/>
  <c r="BC153" i="61"/>
  <c r="BG153" i="61"/>
  <c r="K153" i="61"/>
  <c r="T153" i="61"/>
  <c r="BD152" i="61"/>
  <c r="AU152" i="61"/>
  <c r="O152" i="61"/>
  <c r="S152" i="61"/>
  <c r="K152" i="61"/>
  <c r="W152" i="61"/>
  <c r="AI152" i="61"/>
  <c r="AK151" i="61"/>
  <c r="AW151" i="61"/>
  <c r="AG151" i="61"/>
  <c r="AC151" i="61"/>
  <c r="AO151" i="61"/>
  <c r="BA151" i="61"/>
  <c r="AY138" i="61"/>
  <c r="BG138" i="61"/>
  <c r="AC138" i="61"/>
  <c r="AG138" i="61"/>
  <c r="AK138" i="61"/>
  <c r="AW138" i="61"/>
  <c r="AO138" i="61"/>
  <c r="AU137" i="61"/>
  <c r="BE137" i="61"/>
  <c r="AY137" i="61"/>
  <c r="BI137" i="61"/>
  <c r="K137" i="61"/>
  <c r="T137" i="61"/>
  <c r="BD136" i="61"/>
  <c r="AU136" i="61"/>
  <c r="S136" i="61"/>
  <c r="O136" i="61"/>
  <c r="K136" i="61"/>
  <c r="W136" i="61"/>
  <c r="AI136" i="61"/>
  <c r="AO135" i="61"/>
  <c r="BA135" i="61"/>
  <c r="AG135" i="61"/>
  <c r="AC122" i="61"/>
  <c r="AO122" i="61"/>
  <c r="BA122" i="61"/>
  <c r="AK122" i="61"/>
  <c r="AW122" i="61"/>
  <c r="AG122" i="61"/>
  <c r="AU121" i="61"/>
  <c r="AY121" i="61"/>
  <c r="BI121" i="61"/>
  <c r="BC121" i="61"/>
  <c r="K121" i="61"/>
  <c r="T121" i="61"/>
  <c r="BG116" i="61"/>
  <c r="AY116" i="61"/>
  <c r="AU116" i="61"/>
  <c r="AU110" i="61"/>
  <c r="BE110" i="61"/>
  <c r="AY110" i="61"/>
  <c r="BI110" i="61"/>
  <c r="S58" i="55"/>
  <c r="W58" i="55"/>
  <c r="K58" i="55"/>
  <c r="O58" i="55"/>
  <c r="BC57" i="55"/>
  <c r="AU57" i="55"/>
  <c r="BG57" i="55"/>
  <c r="AY57" i="55"/>
  <c r="AG57" i="55"/>
  <c r="AO57" i="55"/>
  <c r="BA57" i="55"/>
  <c r="AC57" i="55"/>
  <c r="AK57" i="55"/>
  <c r="S56" i="55"/>
  <c r="O56" i="55"/>
  <c r="W56" i="55"/>
  <c r="K56" i="55"/>
  <c r="AU55" i="55"/>
  <c r="AY55" i="55"/>
  <c r="BG55" i="55"/>
  <c r="BC55" i="55"/>
  <c r="AC55" i="55"/>
  <c r="AG55" i="55"/>
  <c r="AK55" i="55"/>
  <c r="AW55" i="55"/>
  <c r="AO55" i="55"/>
  <c r="S54" i="55"/>
  <c r="K54" i="55"/>
  <c r="W54" i="55"/>
  <c r="O54" i="55"/>
  <c r="AU53" i="55"/>
  <c r="BC53" i="55"/>
  <c r="AY53" i="55"/>
  <c r="BG53" i="55"/>
  <c r="AG53" i="55"/>
  <c r="AO53" i="55"/>
  <c r="AK53" i="55"/>
  <c r="AW53" i="55"/>
  <c r="AC53" i="55"/>
  <c r="S52" i="55"/>
  <c r="W52" i="55"/>
  <c r="O52" i="55"/>
  <c r="K52" i="55"/>
  <c r="BG51" i="55"/>
  <c r="S51" i="55"/>
  <c r="W51" i="55"/>
  <c r="K51" i="55"/>
  <c r="O51" i="55"/>
  <c r="AY50" i="55"/>
  <c r="BG50" i="55"/>
  <c r="AU50" i="55"/>
  <c r="BC50" i="55"/>
  <c r="AL50" i="55"/>
  <c r="AC50" i="55"/>
  <c r="AC49" i="55"/>
  <c r="AK49" i="55"/>
  <c r="AO49" i="55"/>
  <c r="AG49" i="55"/>
  <c r="K49" i="55"/>
  <c r="U49" i="55"/>
  <c r="T49" i="55"/>
  <c r="BC48" i="55"/>
  <c r="AY48" i="55"/>
  <c r="AU48" i="55"/>
  <c r="BG48" i="55"/>
  <c r="O48" i="55"/>
  <c r="Q48" i="55"/>
  <c r="W48" i="55"/>
  <c r="K48" i="55"/>
  <c r="S48" i="55"/>
  <c r="AU47" i="55"/>
  <c r="BC47" i="55"/>
  <c r="AY47" i="55"/>
  <c r="BG47" i="55"/>
  <c r="AK46" i="55"/>
  <c r="AV46" i="55"/>
  <c r="AY45" i="55"/>
  <c r="BG45" i="55"/>
  <c r="AU45" i="55"/>
  <c r="BC45" i="55"/>
  <c r="AC41" i="55"/>
  <c r="AL41" i="55"/>
  <c r="BC39" i="55"/>
  <c r="BG39" i="55"/>
  <c r="AY39" i="55"/>
  <c r="AU39" i="55"/>
  <c r="AP39" i="55"/>
  <c r="AG39" i="55"/>
  <c r="O39" i="55"/>
  <c r="W39" i="55"/>
  <c r="S39" i="55"/>
  <c r="K39" i="55"/>
  <c r="W36" i="55"/>
  <c r="AH36" i="55"/>
  <c r="S36" i="55"/>
  <c r="AO35" i="55"/>
  <c r="AG35" i="55"/>
  <c r="AC35" i="55"/>
  <c r="AK35" i="55"/>
  <c r="BG33" i="55"/>
  <c r="AU33" i="55"/>
  <c r="BC33" i="55"/>
  <c r="AY33" i="55"/>
  <c r="AG33" i="55"/>
  <c r="AP33" i="55"/>
  <c r="O32" i="55"/>
  <c r="Q32" i="55"/>
  <c r="X32" i="55"/>
  <c r="AO30" i="55"/>
  <c r="AK30" i="55"/>
  <c r="AW30" i="55"/>
  <c r="AG30" i="55"/>
  <c r="AC30" i="55"/>
  <c r="AO28" i="55"/>
  <c r="AG28" i="55"/>
  <c r="AC28" i="55"/>
  <c r="AK28" i="55"/>
  <c r="AW28" i="55"/>
  <c r="BH26" i="55"/>
  <c r="AY26" i="55"/>
  <c r="AK26" i="55"/>
  <c r="AO26" i="55"/>
  <c r="AG26" i="55"/>
  <c r="AC26" i="55"/>
  <c r="AP25" i="55"/>
  <c r="AG25" i="55"/>
  <c r="BC24" i="55"/>
  <c r="AU24" i="55"/>
  <c r="AY24" i="55"/>
  <c r="BG24" i="55"/>
  <c r="AC23" i="55"/>
  <c r="AG23" i="55"/>
  <c r="AO23" i="55"/>
  <c r="BA23" i="55"/>
  <c r="AK23" i="55"/>
  <c r="AW23" i="55"/>
  <c r="K20" i="55"/>
  <c r="S20" i="55"/>
  <c r="O20" i="55"/>
  <c r="W20" i="55"/>
  <c r="AY16" i="55"/>
  <c r="AU16" i="55"/>
  <c r="BG16" i="55"/>
  <c r="BC16" i="55"/>
  <c r="AK15" i="55"/>
  <c r="AW15" i="55"/>
  <c r="AO15" i="55"/>
  <c r="AC15" i="55"/>
  <c r="AG15" i="55"/>
  <c r="AY9" i="55"/>
  <c r="BG9" i="55"/>
  <c r="AU9" i="55"/>
  <c r="BC9" i="55"/>
  <c r="S9" i="55"/>
  <c r="K9" i="55"/>
  <c r="W9" i="55"/>
  <c r="AI9" i="55"/>
  <c r="O9" i="55"/>
  <c r="K8" i="55"/>
  <c r="W8" i="55"/>
  <c r="S8" i="55"/>
  <c r="O8" i="55"/>
  <c r="Y8" i="55"/>
  <c r="BG7" i="55"/>
  <c r="AU7" i="55"/>
  <c r="AY7" i="55"/>
  <c r="BC7" i="55"/>
  <c r="AG7" i="55"/>
  <c r="AP7" i="55"/>
  <c r="AJ30" i="34"/>
  <c r="P2" i="58"/>
  <c r="AH73" i="55"/>
  <c r="BH73" i="55"/>
  <c r="AU121" i="55"/>
  <c r="AU125" i="55"/>
  <c r="AU127" i="55"/>
  <c r="BE127" i="55"/>
  <c r="AU129" i="55"/>
  <c r="BE129" i="55"/>
  <c r="AO102" i="55"/>
  <c r="BA102" i="55"/>
  <c r="AC110" i="55"/>
  <c r="AM110" i="55"/>
  <c r="AG114" i="55"/>
  <c r="AQ114" i="55"/>
  <c r="AG134" i="55"/>
  <c r="AQ134" i="55"/>
  <c r="AG138" i="55"/>
  <c r="AU102" i="55"/>
  <c r="AU104" i="55"/>
  <c r="BC114" i="55"/>
  <c r="AU116" i="55"/>
  <c r="BE116" i="55"/>
  <c r="BC120" i="55"/>
  <c r="AY124" i="55"/>
  <c r="AU130" i="55"/>
  <c r="BE130" i="55"/>
  <c r="BC136" i="55"/>
  <c r="O93" i="55"/>
  <c r="S105" i="55"/>
  <c r="O107" i="55"/>
  <c r="K111" i="55"/>
  <c r="W113" i="55"/>
  <c r="AI113" i="55"/>
  <c r="S123" i="55"/>
  <c r="AE123" i="55"/>
  <c r="W133" i="55"/>
  <c r="AC93" i="55"/>
  <c r="AC101" i="55"/>
  <c r="AM101" i="55"/>
  <c r="AC105" i="55"/>
  <c r="X70" i="55"/>
  <c r="BH78" i="55"/>
  <c r="AC83" i="55"/>
  <c r="AG79" i="55"/>
  <c r="AC141" i="55"/>
  <c r="AM141" i="55"/>
  <c r="BD89" i="55"/>
  <c r="AU141" i="55"/>
  <c r="AU137" i="55"/>
  <c r="V14" i="58"/>
  <c r="J682" i="35"/>
  <c r="AU200" i="61"/>
  <c r="AU198" i="61"/>
  <c r="BE198" i="61"/>
  <c r="BG198" i="61"/>
  <c r="AG198" i="61"/>
  <c r="AO198" i="61"/>
  <c r="BA198" i="61"/>
  <c r="AC198" i="61"/>
  <c r="AK198" i="61"/>
  <c r="AU197" i="61"/>
  <c r="BE197" i="61"/>
  <c r="BG197" i="61"/>
  <c r="AY197" i="61"/>
  <c r="K197" i="61"/>
  <c r="T197" i="61"/>
  <c r="BD196" i="61"/>
  <c r="AU196" i="61"/>
  <c r="K196" i="61"/>
  <c r="S196" i="61"/>
  <c r="AE196" i="61"/>
  <c r="W196" i="61"/>
  <c r="AI196" i="61"/>
  <c r="O196" i="61"/>
  <c r="AC192" i="61"/>
  <c r="AM192" i="61"/>
  <c r="AL192" i="61"/>
  <c r="T186" i="61"/>
  <c r="K186" i="61"/>
  <c r="AU182" i="61"/>
  <c r="BC182" i="61"/>
  <c r="AO182" i="61"/>
  <c r="BA182" i="61"/>
  <c r="AK182" i="61"/>
  <c r="AC182" i="61"/>
  <c r="AG182" i="61"/>
  <c r="AU181" i="61"/>
  <c r="AY181" i="61"/>
  <c r="BC181" i="61"/>
  <c r="BG181" i="61"/>
  <c r="K181" i="61"/>
  <c r="T181" i="61"/>
  <c r="BD180" i="61"/>
  <c r="AU180" i="61"/>
  <c r="K180" i="61"/>
  <c r="W180" i="61"/>
  <c r="AI180" i="61"/>
  <c r="O180" i="61"/>
  <c r="S180" i="61"/>
  <c r="AE180" i="61"/>
  <c r="AU179" i="61"/>
  <c r="BE179" i="61"/>
  <c r="AK179" i="61"/>
  <c r="AO179" i="61"/>
  <c r="BA179" i="61"/>
  <c r="AC179" i="61"/>
  <c r="AG179" i="61"/>
  <c r="T170" i="61"/>
  <c r="K170" i="61"/>
  <c r="U170" i="61"/>
  <c r="AU166" i="61"/>
  <c r="BC166" i="61"/>
  <c r="AO166" i="61"/>
  <c r="BA166" i="61"/>
  <c r="AG166" i="61"/>
  <c r="AC166" i="61"/>
  <c r="AK166" i="61"/>
  <c r="K165" i="61"/>
  <c r="U165" i="61"/>
  <c r="T165" i="61"/>
  <c r="BD164" i="61"/>
  <c r="AU164" i="61"/>
  <c r="BE164" i="61"/>
  <c r="K164" i="61"/>
  <c r="W164" i="61"/>
  <c r="AI164" i="61"/>
  <c r="S164" i="61"/>
  <c r="AE164" i="61"/>
  <c r="O164" i="61"/>
  <c r="Q164" i="61"/>
  <c r="AU163" i="61"/>
  <c r="BE163" i="61"/>
  <c r="AC160" i="61"/>
  <c r="AM160" i="61"/>
  <c r="AL160" i="61"/>
  <c r="T154" i="61"/>
  <c r="K154" i="61"/>
  <c r="AU150" i="61"/>
  <c r="BC150" i="61"/>
  <c r="AG150" i="61"/>
  <c r="AO150" i="61"/>
  <c r="BA150" i="61"/>
  <c r="AC150" i="61"/>
  <c r="AK150" i="61"/>
  <c r="BG149" i="61"/>
  <c r="BI149" i="61"/>
  <c r="AU149" i="61"/>
  <c r="BC149" i="61"/>
  <c r="K149" i="61"/>
  <c r="T149" i="61"/>
  <c r="BD148" i="61"/>
  <c r="AU148" i="61"/>
  <c r="K148" i="61"/>
  <c r="W148" i="61"/>
  <c r="AI148" i="61"/>
  <c r="S148" i="61"/>
  <c r="AE148" i="61"/>
  <c r="O148" i="61"/>
  <c r="Q148" i="61"/>
  <c r="AC147" i="61"/>
  <c r="AK147" i="61"/>
  <c r="AW147" i="61"/>
  <c r="AC144" i="61"/>
  <c r="AM144" i="61"/>
  <c r="AL144" i="61"/>
  <c r="T138" i="61"/>
  <c r="K138" i="61"/>
  <c r="AU134" i="61"/>
  <c r="BE134" i="61"/>
  <c r="BG134" i="61"/>
  <c r="AO134" i="61"/>
  <c r="BA134" i="61"/>
  <c r="AG134" i="61"/>
  <c r="AC134" i="61"/>
  <c r="AK134" i="61"/>
  <c r="AY133" i="61"/>
  <c r="BG133" i="61"/>
  <c r="BD132" i="61"/>
  <c r="AU132" i="61"/>
  <c r="BE132" i="61"/>
  <c r="K132" i="61"/>
  <c r="W132" i="61"/>
  <c r="AI132" i="61"/>
  <c r="S132" i="61"/>
  <c r="AE132" i="61"/>
  <c r="O132" i="61"/>
  <c r="AC131" i="61"/>
  <c r="AM131" i="61"/>
  <c r="AO131" i="61"/>
  <c r="AC128" i="61"/>
  <c r="AM128" i="61"/>
  <c r="AL128" i="61"/>
  <c r="T122" i="61"/>
  <c r="K122" i="61"/>
  <c r="AU120" i="61"/>
  <c r="AY120" i="61"/>
  <c r="BG120" i="61"/>
  <c r="BC120" i="61"/>
  <c r="S116" i="61"/>
  <c r="AE116" i="61"/>
  <c r="K116" i="61"/>
  <c r="W116" i="61"/>
  <c r="AI116" i="61"/>
  <c r="O116" i="61"/>
  <c r="S114" i="61"/>
  <c r="K114" i="61"/>
  <c r="M114" i="61"/>
  <c r="K113" i="61"/>
  <c r="T113" i="61"/>
  <c r="AC111" i="61"/>
  <c r="AO111" i="61"/>
  <c r="BA111" i="61"/>
  <c r="AK111" i="61"/>
  <c r="AW111" i="61"/>
  <c r="AG111" i="61"/>
  <c r="AY58" i="55"/>
  <c r="BI58" i="55"/>
  <c r="BC58" i="55"/>
  <c r="BG58" i="55"/>
  <c r="AU58" i="55"/>
  <c r="BE58" i="55"/>
  <c r="AV50" i="55"/>
  <c r="AK50" i="55"/>
  <c r="AW50" i="55"/>
  <c r="W50" i="55"/>
  <c r="K50" i="55"/>
  <c r="M50" i="55"/>
  <c r="S50" i="55"/>
  <c r="AE50" i="55"/>
  <c r="O50" i="55"/>
  <c r="X49" i="55"/>
  <c r="O49" i="55"/>
  <c r="Y49" i="55"/>
  <c r="BC46" i="55"/>
  <c r="AU46" i="55"/>
  <c r="BG46" i="55"/>
  <c r="AY46" i="55"/>
  <c r="AP46" i="55"/>
  <c r="AG46" i="55"/>
  <c r="AQ46" i="55"/>
  <c r="K46" i="55"/>
  <c r="W46" i="55"/>
  <c r="S46" i="55"/>
  <c r="O46" i="55"/>
  <c r="O45" i="55"/>
  <c r="W45" i="55"/>
  <c r="K45" i="55"/>
  <c r="S45" i="55"/>
  <c r="BG44" i="55"/>
  <c r="AU44" i="55"/>
  <c r="BC44" i="55"/>
  <c r="AY44" i="55"/>
  <c r="AG44" i="55"/>
  <c r="AP44" i="55"/>
  <c r="BH43" i="55"/>
  <c r="AY43" i="55"/>
  <c r="BI43" i="55"/>
  <c r="K43" i="55"/>
  <c r="M43" i="55"/>
  <c r="S43" i="55"/>
  <c r="O43" i="55"/>
  <c r="W43" i="55"/>
  <c r="AG42" i="55"/>
  <c r="AO42" i="55"/>
  <c r="AC42" i="55"/>
  <c r="AK42" i="55"/>
  <c r="BC41" i="55"/>
  <c r="AU41" i="55"/>
  <c r="BG41" i="55"/>
  <c r="AY41" i="55"/>
  <c r="S41" i="55"/>
  <c r="K41" i="55"/>
  <c r="O41" i="55"/>
  <c r="W41" i="55"/>
  <c r="AY40" i="55"/>
  <c r="BC40" i="55"/>
  <c r="BG40" i="55"/>
  <c r="AU40" i="55"/>
  <c r="W40" i="55"/>
  <c r="AI40" i="55"/>
  <c r="O40" i="55"/>
  <c r="K40" i="55"/>
  <c r="S40" i="55"/>
  <c r="AZ39" i="55"/>
  <c r="AO39" i="55"/>
  <c r="BA39" i="55"/>
  <c r="AL39" i="55"/>
  <c r="AC39" i="55"/>
  <c r="AM39" i="55"/>
  <c r="AY38" i="55"/>
  <c r="BG38" i="55"/>
  <c r="BC38" i="55"/>
  <c r="AU38" i="55"/>
  <c r="AG38" i="55"/>
  <c r="AP38" i="55"/>
  <c r="BG37" i="55"/>
  <c r="AU37" i="55"/>
  <c r="BC37" i="55"/>
  <c r="AY37" i="55"/>
  <c r="K37" i="55"/>
  <c r="W37" i="55"/>
  <c r="S37" i="55"/>
  <c r="O37" i="55"/>
  <c r="S35" i="55"/>
  <c r="O35" i="55"/>
  <c r="W35" i="55"/>
  <c r="K35" i="55"/>
  <c r="BC34" i="55"/>
  <c r="AY34" i="55"/>
  <c r="AU34" i="55"/>
  <c r="BG34" i="55"/>
  <c r="AZ33" i="55"/>
  <c r="AO33" i="55"/>
  <c r="AC33" i="55"/>
  <c r="AL33" i="55"/>
  <c r="AG31" i="55"/>
  <c r="AO31" i="55"/>
  <c r="AK31" i="55"/>
  <c r="AW31" i="55"/>
  <c r="AC31" i="55"/>
  <c r="W29" i="55"/>
  <c r="S29" i="55"/>
  <c r="K29" i="55"/>
  <c r="M29" i="55"/>
  <c r="O29" i="55"/>
  <c r="BH28" i="55"/>
  <c r="AY28" i="55"/>
  <c r="BI28" i="55"/>
  <c r="AH28" i="55"/>
  <c r="W28" i="55"/>
  <c r="BD26" i="55"/>
  <c r="AU26" i="55"/>
  <c r="BE26" i="55"/>
  <c r="AH26" i="55"/>
  <c r="W26" i="55"/>
  <c r="X26" i="55"/>
  <c r="O26" i="55"/>
  <c r="BD25" i="55"/>
  <c r="AU25" i="55"/>
  <c r="BE25" i="55"/>
  <c r="AD25" i="55"/>
  <c r="S25" i="55"/>
  <c r="AK24" i="55"/>
  <c r="AW24" i="55"/>
  <c r="AO24" i="55"/>
  <c r="BA24" i="55"/>
  <c r="AG24" i="55"/>
  <c r="AC24" i="55"/>
  <c r="BD20" i="55"/>
  <c r="AU20" i="55"/>
  <c r="BE20" i="55"/>
  <c r="AP16" i="55"/>
  <c r="AG16" i="55"/>
  <c r="S16" i="55"/>
  <c r="AE16" i="55"/>
  <c r="O16" i="55"/>
  <c r="K16" i="55"/>
  <c r="W16" i="55"/>
  <c r="AI16" i="55"/>
  <c r="AK13" i="55"/>
  <c r="AW13" i="55"/>
  <c r="AO13" i="55"/>
  <c r="AC13" i="55"/>
  <c r="AG13" i="55"/>
  <c r="AG10" i="55"/>
  <c r="AO10" i="55"/>
  <c r="BA10" i="55"/>
  <c r="AK10" i="55"/>
  <c r="AW10" i="55"/>
  <c r="AC10" i="55"/>
  <c r="O10" i="55"/>
  <c r="Q10" i="55"/>
  <c r="S10" i="55"/>
  <c r="K10" i="55"/>
  <c r="W10" i="55"/>
  <c r="AZ6" i="55"/>
  <c r="AO6" i="55"/>
  <c r="BA6" i="55"/>
  <c r="BD207" i="62"/>
  <c r="AH207" i="62"/>
  <c r="P207" i="62"/>
  <c r="X207" i="62"/>
  <c r="AD211" i="62"/>
  <c r="L211" i="62"/>
  <c r="X211" i="62"/>
  <c r="AG109" i="61"/>
  <c r="AQ109" i="61"/>
  <c r="AK109" i="61"/>
  <c r="AW109" i="61"/>
  <c r="AY194" i="61"/>
  <c r="BI194" i="61"/>
  <c r="BC194" i="61"/>
  <c r="AC194" i="61"/>
  <c r="AK194" i="61"/>
  <c r="AW194" i="61"/>
  <c r="AG194" i="61"/>
  <c r="AO194" i="61"/>
  <c r="AU193" i="61"/>
  <c r="BE193" i="61"/>
  <c r="BG193" i="61"/>
  <c r="AY193" i="61"/>
  <c r="BD192" i="61"/>
  <c r="AU192" i="61"/>
  <c r="BE192" i="61"/>
  <c r="K192" i="61"/>
  <c r="S192" i="61"/>
  <c r="AE192" i="61"/>
  <c r="O192" i="61"/>
  <c r="W192" i="61"/>
  <c r="AI192" i="61"/>
  <c r="AY178" i="61"/>
  <c r="BG178" i="61"/>
  <c r="AC178" i="61"/>
  <c r="AK178" i="61"/>
  <c r="AW178" i="61"/>
  <c r="AO178" i="61"/>
  <c r="BA178" i="61"/>
  <c r="AG178" i="61"/>
  <c r="BC177" i="61"/>
  <c r="AU177" i="61"/>
  <c r="AY177" i="61"/>
  <c r="BI177" i="61"/>
  <c r="K177" i="61"/>
  <c r="T177" i="61"/>
  <c r="BD176" i="61"/>
  <c r="AU176" i="61"/>
  <c r="BE176" i="61"/>
  <c r="O176" i="61"/>
  <c r="S176" i="61"/>
  <c r="AE176" i="61"/>
  <c r="K176" i="61"/>
  <c r="W176" i="61"/>
  <c r="AI176" i="61"/>
  <c r="AC175" i="61"/>
  <c r="AO175" i="61"/>
  <c r="BA175" i="61"/>
  <c r="AG175" i="61"/>
  <c r="AK175" i="61"/>
  <c r="AW175" i="61"/>
  <c r="AU162" i="61"/>
  <c r="BE162" i="61"/>
  <c r="BG162" i="61"/>
  <c r="AC162" i="61"/>
  <c r="AO162" i="61"/>
  <c r="BA162" i="61"/>
  <c r="AG162" i="61"/>
  <c r="AK162" i="61"/>
  <c r="BC161" i="61"/>
  <c r="AU161" i="61"/>
  <c r="AY161" i="61"/>
  <c r="BD160" i="61"/>
  <c r="AU160" i="61"/>
  <c r="O160" i="61"/>
  <c r="W160" i="61"/>
  <c r="AI160" i="61"/>
  <c r="K160" i="61"/>
  <c r="S160" i="61"/>
  <c r="AY146" i="61"/>
  <c r="BG146" i="61"/>
  <c r="AC146" i="61"/>
  <c r="AO146" i="61"/>
  <c r="AG146" i="61"/>
  <c r="AK146" i="61"/>
  <c r="AW146" i="61"/>
  <c r="AU145" i="61"/>
  <c r="AY145" i="61"/>
  <c r="BI145" i="61"/>
  <c r="BD144" i="61"/>
  <c r="AU144" i="61"/>
  <c r="BE144" i="61"/>
  <c r="S144" i="61"/>
  <c r="O144" i="61"/>
  <c r="K144" i="61"/>
  <c r="W144" i="61"/>
  <c r="AI144" i="61"/>
  <c r="AG143" i="61"/>
  <c r="AO143" i="61"/>
  <c r="BA143" i="61"/>
  <c r="AC130" i="61"/>
  <c r="AO130" i="61"/>
  <c r="BA130" i="61"/>
  <c r="AK130" i="61"/>
  <c r="AW130" i="61"/>
  <c r="AG130" i="61"/>
  <c r="AU129" i="61"/>
  <c r="AY129" i="61"/>
  <c r="BI129" i="61"/>
  <c r="BC129" i="61"/>
  <c r="K129" i="61"/>
  <c r="T129" i="61"/>
  <c r="BD128" i="61"/>
  <c r="AU128" i="61"/>
  <c r="S128" i="61"/>
  <c r="O128" i="61"/>
  <c r="K128" i="61"/>
  <c r="W128" i="61"/>
  <c r="AI128" i="61"/>
  <c r="AG127" i="61"/>
  <c r="AQ127" i="61"/>
  <c r="AK127" i="61"/>
  <c r="AC120" i="61"/>
  <c r="AM120" i="61"/>
  <c r="AL120" i="61"/>
  <c r="S120" i="61"/>
  <c r="O120" i="61"/>
  <c r="K120" i="61"/>
  <c r="W120" i="61"/>
  <c r="AI120" i="61"/>
  <c r="AK119" i="61"/>
  <c r="AW119" i="61"/>
  <c r="AO119" i="61"/>
  <c r="BG113" i="61"/>
  <c r="AU113" i="61"/>
  <c r="AY113" i="61"/>
  <c r="BG112" i="61"/>
  <c r="AY112" i="61"/>
  <c r="AU56" i="55"/>
  <c r="BE56" i="55"/>
  <c r="BD56" i="55"/>
  <c r="AO56" i="55"/>
  <c r="BA56" i="55"/>
  <c r="AC56" i="55"/>
  <c r="AG56" i="55"/>
  <c r="AK56" i="55"/>
  <c r="AU54" i="55"/>
  <c r="BD54" i="55"/>
  <c r="AC54" i="55"/>
  <c r="AO54" i="55"/>
  <c r="BA54" i="55"/>
  <c r="AG54" i="55"/>
  <c r="AK54" i="55"/>
  <c r="BD52" i="55"/>
  <c r="AU52" i="55"/>
  <c r="BE52" i="55"/>
  <c r="AC52" i="55"/>
  <c r="AK52" i="55"/>
  <c r="AO52" i="55"/>
  <c r="BA52" i="55"/>
  <c r="AG52" i="55"/>
  <c r="AG48" i="55"/>
  <c r="AK48" i="55"/>
  <c r="AW48" i="55"/>
  <c r="AO48" i="55"/>
  <c r="AC48" i="55"/>
  <c r="K47" i="55"/>
  <c r="O47" i="55"/>
  <c r="Q47" i="55"/>
  <c r="S47" i="55"/>
  <c r="W47" i="55"/>
  <c r="AC46" i="55"/>
  <c r="AL46" i="55"/>
  <c r="AO45" i="55"/>
  <c r="BA45" i="55"/>
  <c r="AG45" i="55"/>
  <c r="AC45" i="55"/>
  <c r="AK45" i="55"/>
  <c r="AZ44" i="55"/>
  <c r="AO44" i="55"/>
  <c r="BA44" i="55"/>
  <c r="AC44" i="55"/>
  <c r="AM44" i="55"/>
  <c r="AL44" i="55"/>
  <c r="K44" i="55"/>
  <c r="M44" i="55"/>
  <c r="S44" i="55"/>
  <c r="W44" i="55"/>
  <c r="O44" i="55"/>
  <c r="Q44" i="55"/>
  <c r="AK43" i="55"/>
  <c r="AC43" i="55"/>
  <c r="AO43" i="55"/>
  <c r="BA43" i="55"/>
  <c r="AG43" i="55"/>
  <c r="AY42" i="55"/>
  <c r="BC42" i="55"/>
  <c r="BG42" i="55"/>
  <c r="AU42" i="55"/>
  <c r="AV41" i="55"/>
  <c r="AK41" i="55"/>
  <c r="AW41" i="55"/>
  <c r="AZ40" i="55"/>
  <c r="AO40" i="55"/>
  <c r="BA40" i="55"/>
  <c r="AL40" i="55"/>
  <c r="AC40" i="55"/>
  <c r="AC38" i="55"/>
  <c r="AL38" i="55"/>
  <c r="T36" i="55"/>
  <c r="K36" i="55"/>
  <c r="U36" i="55"/>
  <c r="BC35" i="55"/>
  <c r="BG35" i="55"/>
  <c r="AU35" i="55"/>
  <c r="AY35" i="55"/>
  <c r="K34" i="55"/>
  <c r="W34" i="55"/>
  <c r="S34" i="55"/>
  <c r="O34" i="55"/>
  <c r="W33" i="55"/>
  <c r="AI33" i="55"/>
  <c r="K33" i="55"/>
  <c r="S33" i="55"/>
  <c r="AE33" i="55"/>
  <c r="O33" i="55"/>
  <c r="BH32" i="55"/>
  <c r="AY32" i="55"/>
  <c r="BI32" i="55"/>
  <c r="AP32" i="55"/>
  <c r="AG32" i="55"/>
  <c r="AC29" i="55"/>
  <c r="AK29" i="55"/>
  <c r="AO29" i="55"/>
  <c r="AG29" i="55"/>
  <c r="T28" i="55"/>
  <c r="K28" i="55"/>
  <c r="U28" i="55"/>
  <c r="BD27" i="55"/>
  <c r="AU27" i="55"/>
  <c r="BE27" i="55"/>
  <c r="S27" i="55"/>
  <c r="W27" i="55"/>
  <c r="K27" i="55"/>
  <c r="M27" i="55"/>
  <c r="O27" i="55"/>
  <c r="AH24" i="55"/>
  <c r="W24" i="55"/>
  <c r="X24" i="55"/>
  <c r="O24" i="55"/>
  <c r="AY22" i="55"/>
  <c r="AK22" i="55"/>
  <c r="AW22" i="55"/>
  <c r="AC22" i="55"/>
  <c r="AO22" i="55"/>
  <c r="AG22" i="55"/>
  <c r="AZ21" i="55"/>
  <c r="AO21" i="55"/>
  <c r="AP20" i="55"/>
  <c r="AG20" i="55"/>
  <c r="AY19" i="55"/>
  <c r="BC19" i="55"/>
  <c r="AU19" i="55"/>
  <c r="BG19" i="55"/>
  <c r="AK17" i="55"/>
  <c r="AW17" i="55"/>
  <c r="AO17" i="55"/>
  <c r="AC17" i="55"/>
  <c r="AG17" i="55"/>
  <c r="BG14" i="55"/>
  <c r="AY14" i="55"/>
  <c r="BC14" i="55"/>
  <c r="AU14" i="55"/>
  <c r="K11" i="55"/>
  <c r="S11" i="55"/>
  <c r="AE11" i="55"/>
  <c r="W11" i="55"/>
  <c r="AI11" i="55"/>
  <c r="O11" i="55"/>
  <c r="AO8" i="55"/>
  <c r="BA8" i="55"/>
  <c r="AZ8" i="55"/>
  <c r="AC6" i="55"/>
  <c r="AM6" i="55"/>
  <c r="AL6" i="55"/>
  <c r="AK5" i="55"/>
  <c r="AW5" i="55"/>
  <c r="AV5" i="55"/>
  <c r="K124" i="55"/>
  <c r="W67" i="61"/>
  <c r="W51" i="61"/>
  <c r="W47" i="61"/>
  <c r="W43" i="61"/>
  <c r="AO89" i="61"/>
  <c r="AO73" i="61"/>
  <c r="AO69" i="61"/>
  <c r="AO65" i="61"/>
  <c r="AO61" i="61"/>
  <c r="AO53" i="61"/>
  <c r="BG87" i="61"/>
  <c r="BG83" i="61"/>
  <c r="BC72" i="61"/>
  <c r="BG67" i="61"/>
  <c r="BC64" i="61"/>
  <c r="BG51" i="61"/>
  <c r="BG47" i="61"/>
  <c r="AD208" i="62"/>
  <c r="P208" i="62"/>
  <c r="AP208" i="62"/>
  <c r="BG201" i="61"/>
  <c r="W109" i="61"/>
  <c r="S109" i="61"/>
  <c r="AE109" i="61"/>
  <c r="O109" i="61"/>
  <c r="AC200" i="61"/>
  <c r="AM200" i="61"/>
  <c r="AL200" i="61"/>
  <c r="AU199" i="61"/>
  <c r="BE199" i="61"/>
  <c r="BD199" i="61"/>
  <c r="T194" i="61"/>
  <c r="K194" i="61"/>
  <c r="AU190" i="61"/>
  <c r="BE190" i="61"/>
  <c r="BG190" i="61"/>
  <c r="AG190" i="61"/>
  <c r="AO190" i="61"/>
  <c r="BA190" i="61"/>
  <c r="AC190" i="61"/>
  <c r="AK190" i="61"/>
  <c r="K189" i="61"/>
  <c r="U189" i="61"/>
  <c r="T189" i="61"/>
  <c r="BD188" i="61"/>
  <c r="AU188" i="61"/>
  <c r="K188" i="61"/>
  <c r="O188" i="61"/>
  <c r="W188" i="61"/>
  <c r="AI188" i="61"/>
  <c r="S188" i="61"/>
  <c r="AE188" i="61"/>
  <c r="AU187" i="61"/>
  <c r="BE187" i="61"/>
  <c r="AO187" i="61"/>
  <c r="BA187" i="61"/>
  <c r="AK187" i="61"/>
  <c r="AC187" i="61"/>
  <c r="AG187" i="61"/>
  <c r="AC184" i="61"/>
  <c r="AM184" i="61"/>
  <c r="AL184" i="61"/>
  <c r="T178" i="61"/>
  <c r="K178" i="61"/>
  <c r="U178" i="61"/>
  <c r="AY174" i="61"/>
  <c r="BG174" i="61"/>
  <c r="AK174" i="61"/>
  <c r="AW174" i="61"/>
  <c r="AG174" i="61"/>
  <c r="AC174" i="61"/>
  <c r="AO174" i="61"/>
  <c r="K173" i="61"/>
  <c r="U173" i="61"/>
  <c r="T173" i="61"/>
  <c r="BD172" i="61"/>
  <c r="AU172" i="61"/>
  <c r="K172" i="61"/>
  <c r="M172" i="61"/>
  <c r="W172" i="61"/>
  <c r="AI172" i="61"/>
  <c r="S172" i="61"/>
  <c r="AE172" i="61"/>
  <c r="O172" i="61"/>
  <c r="Q172" i="61"/>
  <c r="AC168" i="61"/>
  <c r="AM168" i="61"/>
  <c r="AL168" i="61"/>
  <c r="AU158" i="61"/>
  <c r="BC158" i="61"/>
  <c r="AG158" i="61"/>
  <c r="AO158" i="61"/>
  <c r="BA158" i="61"/>
  <c r="AC158" i="61"/>
  <c r="AK158" i="61"/>
  <c r="AU157" i="61"/>
  <c r="AY157" i="61"/>
  <c r="BC157" i="61"/>
  <c r="BG157" i="61"/>
  <c r="BD156" i="61"/>
  <c r="AU156" i="61"/>
  <c r="K156" i="61"/>
  <c r="W156" i="61"/>
  <c r="AI156" i="61"/>
  <c r="S156" i="61"/>
  <c r="AE156" i="61"/>
  <c r="O156" i="61"/>
  <c r="AU155" i="61"/>
  <c r="BE155" i="61"/>
  <c r="AC152" i="61"/>
  <c r="AM152" i="61"/>
  <c r="AL152" i="61"/>
  <c r="T146" i="61"/>
  <c r="K146" i="61"/>
  <c r="AU142" i="61"/>
  <c r="BC142" i="61"/>
  <c r="AG142" i="61"/>
  <c r="AO142" i="61"/>
  <c r="BA142" i="61"/>
  <c r="AC142" i="61"/>
  <c r="AK142" i="61"/>
  <c r="BC141" i="61"/>
  <c r="BG141" i="61"/>
  <c r="BI141" i="61"/>
  <c r="K141" i="61"/>
  <c r="T141" i="61"/>
  <c r="BD140" i="61"/>
  <c r="AU140" i="61"/>
  <c r="BE140" i="61"/>
  <c r="K140" i="61"/>
  <c r="O140" i="61"/>
  <c r="Q140" i="61"/>
  <c r="S140" i="61"/>
  <c r="AE140" i="61"/>
  <c r="W140" i="61"/>
  <c r="AI140" i="61"/>
  <c r="AC139" i="61"/>
  <c r="AK139" i="61"/>
  <c r="AW139" i="61"/>
  <c r="AC136" i="61"/>
  <c r="AM136" i="61"/>
  <c r="AL136" i="61"/>
  <c r="T130" i="61"/>
  <c r="K130" i="61"/>
  <c r="AU126" i="61"/>
  <c r="BE126" i="61"/>
  <c r="AY126" i="61"/>
  <c r="BG126" i="61"/>
  <c r="AK126" i="61"/>
  <c r="AG126" i="61"/>
  <c r="AC126" i="61"/>
  <c r="AO126" i="61"/>
  <c r="BD124" i="61"/>
  <c r="AU124" i="61"/>
  <c r="BE124" i="61"/>
  <c r="K124" i="61"/>
  <c r="W124" i="61"/>
  <c r="AI124" i="61"/>
  <c r="S124" i="61"/>
  <c r="AE124" i="61"/>
  <c r="O124" i="61"/>
  <c r="AC123" i="61"/>
  <c r="AK123" i="61"/>
  <c r="AW123" i="61"/>
  <c r="AU118" i="61"/>
  <c r="AY118" i="61"/>
  <c r="BI118" i="61"/>
  <c r="BC118" i="61"/>
  <c r="AO118" i="61"/>
  <c r="AG118" i="61"/>
  <c r="AC118" i="61"/>
  <c r="AK118" i="61"/>
  <c r="BC117" i="61"/>
  <c r="BG117" i="61"/>
  <c r="BI117" i="61"/>
  <c r="K117" i="61"/>
  <c r="U117" i="61"/>
  <c r="T117" i="61"/>
  <c r="AC115" i="61"/>
  <c r="AM115" i="61"/>
  <c r="AO115" i="61"/>
  <c r="AY114" i="61"/>
  <c r="BI114" i="61"/>
  <c r="BC114" i="61"/>
  <c r="AC114" i="61"/>
  <c r="AK114" i="61"/>
  <c r="AW114" i="61"/>
  <c r="AG114" i="61"/>
  <c r="AO114" i="61"/>
  <c r="AC112" i="61"/>
  <c r="AM112" i="61"/>
  <c r="AL112" i="61"/>
  <c r="W112" i="61"/>
  <c r="AI112" i="61"/>
  <c r="O112" i="61"/>
  <c r="Q112" i="61"/>
  <c r="S112" i="61"/>
  <c r="AE112" i="61"/>
  <c r="K112" i="61"/>
  <c r="AO110" i="61"/>
  <c r="AK110" i="61"/>
  <c r="AC110" i="61"/>
  <c r="AG110" i="61"/>
  <c r="AG58" i="55"/>
  <c r="AK58" i="55"/>
  <c r="AC58" i="55"/>
  <c r="AO58" i="55"/>
  <c r="K57" i="55"/>
  <c r="O57" i="55"/>
  <c r="W57" i="55"/>
  <c r="AI57" i="55"/>
  <c r="S57" i="55"/>
  <c r="K55" i="55"/>
  <c r="S55" i="55"/>
  <c r="O55" i="55"/>
  <c r="W55" i="55"/>
  <c r="AI55" i="55"/>
  <c r="O53" i="55"/>
  <c r="W53" i="55"/>
  <c r="S53" i="55"/>
  <c r="K53" i="55"/>
  <c r="AU51" i="55"/>
  <c r="BE51" i="55"/>
  <c r="BD51" i="55"/>
  <c r="AO51" i="55"/>
  <c r="BA51" i="55"/>
  <c r="AC51" i="55"/>
  <c r="AK51" i="55"/>
  <c r="AW51" i="55"/>
  <c r="AG51" i="55"/>
  <c r="AU49" i="55"/>
  <c r="BC49" i="55"/>
  <c r="AY49" i="55"/>
  <c r="BG49" i="55"/>
  <c r="AG47" i="55"/>
  <c r="AK47" i="55"/>
  <c r="AW47" i="55"/>
  <c r="AO47" i="55"/>
  <c r="BA47" i="55"/>
  <c r="AC47" i="55"/>
  <c r="AU43" i="55"/>
  <c r="S42" i="55"/>
  <c r="W42" i="55"/>
  <c r="O42" i="55"/>
  <c r="K42" i="55"/>
  <c r="AP41" i="55"/>
  <c r="AG41" i="55"/>
  <c r="AV40" i="55"/>
  <c r="AK40" i="55"/>
  <c r="AW40" i="55"/>
  <c r="AO38" i="55"/>
  <c r="BA38" i="55"/>
  <c r="W38" i="55"/>
  <c r="O38" i="55"/>
  <c r="Q38" i="55"/>
  <c r="S38" i="55"/>
  <c r="K38" i="55"/>
  <c r="M38" i="55"/>
  <c r="AC37" i="55"/>
  <c r="AO37" i="55"/>
  <c r="AG37" i="55"/>
  <c r="AK37" i="55"/>
  <c r="AW37" i="55"/>
  <c r="BG36" i="55"/>
  <c r="BC36" i="55"/>
  <c r="AY36" i="55"/>
  <c r="AU36" i="55"/>
  <c r="AO36" i="55"/>
  <c r="AK36" i="55"/>
  <c r="AC36" i="55"/>
  <c r="AG36" i="55"/>
  <c r="X36" i="55"/>
  <c r="O36" i="55"/>
  <c r="Y36" i="55"/>
  <c r="AC34" i="55"/>
  <c r="AK34" i="55"/>
  <c r="AW34" i="55"/>
  <c r="AO34" i="55"/>
  <c r="BA34" i="55"/>
  <c r="AG34" i="55"/>
  <c r="AZ32" i="55"/>
  <c r="AO32" i="55"/>
  <c r="BA32" i="55"/>
  <c r="AH32" i="55"/>
  <c r="W32" i="55"/>
  <c r="BH31" i="55"/>
  <c r="AY31" i="55"/>
  <c r="BI31" i="55"/>
  <c r="W31" i="55"/>
  <c r="AI31" i="55"/>
  <c r="O31" i="55"/>
  <c r="S31" i="55"/>
  <c r="K31" i="55"/>
  <c r="O30" i="55"/>
  <c r="X30" i="55"/>
  <c r="BG29" i="55"/>
  <c r="BC29" i="55"/>
  <c r="AY29" i="55"/>
  <c r="AU29" i="55"/>
  <c r="AO27" i="55"/>
  <c r="BA27" i="55"/>
  <c r="AG27" i="55"/>
  <c r="AC27" i="55"/>
  <c r="AK27" i="55"/>
  <c r="O22" i="55"/>
  <c r="W22" i="55"/>
  <c r="S22" i="55"/>
  <c r="K22" i="55"/>
  <c r="BD21" i="55"/>
  <c r="AU21" i="55"/>
  <c r="BE21" i="55"/>
  <c r="AG19" i="55"/>
  <c r="AP19" i="55"/>
  <c r="K19" i="55"/>
  <c r="M19" i="55"/>
  <c r="W19" i="55"/>
  <c r="S19" i="55"/>
  <c r="O19" i="55"/>
  <c r="AL18" i="55"/>
  <c r="AC18" i="55"/>
  <c r="AM18" i="55"/>
  <c r="S18" i="55"/>
  <c r="O18" i="55"/>
  <c r="Q18" i="55"/>
  <c r="K18" i="55"/>
  <c r="W18" i="55"/>
  <c r="AI18" i="55"/>
  <c r="AP14" i="55"/>
  <c r="AG14" i="55"/>
  <c r="AQ14" i="55"/>
  <c r="S14" i="55"/>
  <c r="AE14" i="55"/>
  <c r="O14" i="55"/>
  <c r="W14" i="55"/>
  <c r="Y14" i="55"/>
  <c r="K14" i="55"/>
  <c r="AI14" i="55"/>
  <c r="BH12" i="55"/>
  <c r="AY12" i="55"/>
  <c r="BI12" i="55"/>
  <c r="W12" i="55"/>
  <c r="O12" i="55"/>
  <c r="K12" i="55"/>
  <c r="M12" i="55"/>
  <c r="S12" i="55"/>
  <c r="AE12" i="55"/>
  <c r="AZ11" i="55"/>
  <c r="AO11" i="55"/>
  <c r="BD8" i="55"/>
  <c r="AU8" i="55"/>
  <c r="BE8" i="55"/>
  <c r="AK7" i="55"/>
  <c r="AW7" i="55"/>
  <c r="AV7" i="55"/>
  <c r="AY15" i="61"/>
  <c r="AY7" i="61"/>
  <c r="BC18" i="55"/>
  <c r="AY18" i="55"/>
  <c r="AY17" i="55"/>
  <c r="BI17" i="55"/>
  <c r="AY15" i="55"/>
  <c r="BI15" i="55"/>
  <c r="AV8" i="55"/>
  <c r="L189" i="61"/>
  <c r="AV189" i="61"/>
  <c r="AH189" i="61"/>
  <c r="AP189" i="61"/>
  <c r="X189" i="61"/>
  <c r="P189" i="61"/>
  <c r="Q189" i="61"/>
  <c r="AZ163" i="61"/>
  <c r="L163" i="61"/>
  <c r="AV163" i="61"/>
  <c r="P163" i="61"/>
  <c r="AP163" i="61"/>
  <c r="AD163" i="61"/>
  <c r="X163" i="61"/>
  <c r="Q163" i="61"/>
  <c r="AZ148" i="61"/>
  <c r="P148" i="61"/>
  <c r="AV148" i="61"/>
  <c r="X148" i="61"/>
  <c r="L148" i="61"/>
  <c r="BH148" i="61"/>
  <c r="AD148" i="61"/>
  <c r="AP148" i="61"/>
  <c r="AD123" i="61"/>
  <c r="X123" i="61"/>
  <c r="AP123" i="61"/>
  <c r="AV123" i="61"/>
  <c r="M123" i="61"/>
  <c r="AZ123" i="61"/>
  <c r="P123" i="61"/>
  <c r="AH123" i="61"/>
  <c r="Q123" i="61"/>
  <c r="BH123" i="61"/>
  <c r="AD120" i="61"/>
  <c r="X120" i="61"/>
  <c r="AH120" i="61"/>
  <c r="P120" i="61"/>
  <c r="AZ120" i="61"/>
  <c r="L120" i="61"/>
  <c r="AP120" i="61"/>
  <c r="AY200" i="61"/>
  <c r="AG12" i="55"/>
  <c r="AQ12" i="55"/>
  <c r="AC9" i="55"/>
  <c r="K5" i="55"/>
  <c r="U5" i="55"/>
  <c r="BC4" i="55"/>
  <c r="T23" i="55"/>
  <c r="AH23" i="55"/>
  <c r="AV23" i="55"/>
  <c r="P19" i="55"/>
  <c r="AD19" i="55"/>
  <c r="AL19" i="55"/>
  <c r="T15" i="55"/>
  <c r="AV15" i="55"/>
  <c r="BD15" i="55"/>
  <c r="M11" i="55"/>
  <c r="P11" i="55"/>
  <c r="AD11" i="55"/>
  <c r="AL11" i="55"/>
  <c r="AP11" i="55"/>
  <c r="BH11" i="55"/>
  <c r="T7" i="55"/>
  <c r="AH7" i="55"/>
  <c r="BD7" i="55"/>
  <c r="BH7" i="55"/>
  <c r="L123" i="61"/>
  <c r="BH163" i="61"/>
  <c r="M148" i="61"/>
  <c r="AD189" i="61"/>
  <c r="AP192" i="61"/>
  <c r="AZ192" i="61"/>
  <c r="AH192" i="61"/>
  <c r="AD192" i="61"/>
  <c r="AV192" i="61"/>
  <c r="P192" i="61"/>
  <c r="L192" i="61"/>
  <c r="AZ169" i="61"/>
  <c r="X169" i="61"/>
  <c r="AD169" i="61"/>
  <c r="AH169" i="61"/>
  <c r="L169" i="61"/>
  <c r="BH169" i="61"/>
  <c r="AV169" i="61"/>
  <c r="P169" i="61"/>
  <c r="AP151" i="61"/>
  <c r="BH151" i="61"/>
  <c r="AZ151" i="61"/>
  <c r="Q151" i="61"/>
  <c r="AH151" i="61"/>
  <c r="M151" i="61"/>
  <c r="X151" i="61"/>
  <c r="AD151" i="61"/>
  <c r="P151" i="61"/>
  <c r="AD139" i="61"/>
  <c r="Q139" i="61"/>
  <c r="AP139" i="61"/>
  <c r="P139" i="61"/>
  <c r="BH139" i="61"/>
  <c r="AV139" i="61"/>
  <c r="L139" i="61"/>
  <c r="AZ139" i="61"/>
  <c r="M139" i="61"/>
  <c r="AV125" i="61"/>
  <c r="M125" i="61"/>
  <c r="L125" i="61"/>
  <c r="BH125" i="61"/>
  <c r="AD125" i="61"/>
  <c r="P125" i="61"/>
  <c r="AZ125" i="61"/>
  <c r="X125" i="61"/>
  <c r="AY13" i="55"/>
  <c r="BI13" i="55"/>
  <c r="AZ189" i="61"/>
  <c r="AD172" i="61"/>
  <c r="X172" i="61"/>
  <c r="AP172" i="61"/>
  <c r="BH172" i="61"/>
  <c r="P172" i="61"/>
  <c r="AZ172" i="61"/>
  <c r="AH172" i="61"/>
  <c r="AD142" i="61"/>
  <c r="L142" i="61"/>
  <c r="X142" i="61"/>
  <c r="AH142" i="61"/>
  <c r="M142" i="61"/>
  <c r="AP142" i="61"/>
  <c r="AV142" i="61"/>
  <c r="BH142" i="61"/>
  <c r="P142" i="61"/>
  <c r="AP128" i="61"/>
  <c r="AD128" i="61"/>
  <c r="M128" i="61"/>
  <c r="BH128" i="61"/>
  <c r="P128" i="61"/>
  <c r="AZ128" i="61"/>
  <c r="L128" i="61"/>
  <c r="X128" i="61"/>
  <c r="AV128" i="61"/>
  <c r="AP209" i="61"/>
  <c r="AL209" i="61"/>
  <c r="L209" i="61"/>
  <c r="AZ209" i="61"/>
  <c r="AV209" i="61"/>
  <c r="BH209" i="61"/>
  <c r="BG200" i="61"/>
  <c r="BG21" i="55"/>
  <c r="BG8" i="55"/>
  <c r="BI8" i="55"/>
  <c r="T17" i="55"/>
  <c r="T13" i="55"/>
  <c r="M486" i="35"/>
  <c r="M146" i="35"/>
  <c r="BI209" i="61"/>
  <c r="AH125" i="61"/>
  <c r="AH163" i="61"/>
  <c r="BH178" i="61"/>
  <c r="P178" i="61"/>
  <c r="AP178" i="61"/>
  <c r="AZ178" i="61"/>
  <c r="Q178" i="61"/>
  <c r="AH178" i="61"/>
  <c r="X178" i="61"/>
  <c r="AD178" i="61"/>
  <c r="AH145" i="61"/>
  <c r="M145" i="61"/>
  <c r="AD145" i="61"/>
  <c r="P145" i="61"/>
  <c r="AP145" i="61"/>
  <c r="AZ145" i="61"/>
  <c r="Q145" i="61"/>
  <c r="AV145" i="61"/>
  <c r="BH145" i="61"/>
  <c r="AV118" i="61"/>
  <c r="P118" i="61"/>
  <c r="X118" i="61"/>
  <c r="AP118" i="61"/>
  <c r="M118" i="61"/>
  <c r="AZ118" i="61"/>
  <c r="L118" i="61"/>
  <c r="BH118" i="61"/>
  <c r="AH118" i="61"/>
  <c r="Q118" i="61"/>
  <c r="AP211" i="61"/>
  <c r="P211" i="61"/>
  <c r="AV211" i="61"/>
  <c r="X211" i="61"/>
  <c r="AH211" i="61"/>
  <c r="AG219" i="61"/>
  <c r="AC219" i="61"/>
  <c r="AK219" i="61"/>
  <c r="AO219" i="61"/>
  <c r="AL20" i="55"/>
  <c r="T20" i="55"/>
  <c r="BD17" i="55"/>
  <c r="AV17" i="55"/>
  <c r="AL16" i="55"/>
  <c r="AD16" i="55"/>
  <c r="P16" i="55"/>
  <c r="BD13" i="55"/>
  <c r="AV13" i="55"/>
  <c r="BD12" i="55"/>
  <c r="AV12" i="55"/>
  <c r="AL12" i="55"/>
  <c r="AD12" i="55"/>
  <c r="P12" i="55"/>
  <c r="BH5" i="55"/>
  <c r="AP5" i="55"/>
  <c r="AH5" i="55"/>
  <c r="X5" i="55"/>
  <c r="AP4" i="55"/>
  <c r="AH4" i="55"/>
  <c r="X4" i="55"/>
  <c r="AP190" i="61"/>
  <c r="BH194" i="61"/>
  <c r="AP135" i="61"/>
  <c r="X160" i="61"/>
  <c r="AP220" i="61"/>
  <c r="AZ220" i="61"/>
  <c r="BD220" i="61"/>
  <c r="Q130" i="61"/>
  <c r="AZ130" i="61"/>
  <c r="Q146" i="61"/>
  <c r="P150" i="61"/>
  <c r="M158" i="61"/>
  <c r="AH158" i="61"/>
  <c r="L170" i="61"/>
  <c r="AV170" i="61"/>
  <c r="M182" i="61"/>
  <c r="L190" i="61"/>
  <c r="P194" i="61"/>
  <c r="P198" i="61"/>
  <c r="AD198" i="61"/>
  <c r="P155" i="61"/>
  <c r="Q167" i="61"/>
  <c r="AV167" i="61"/>
  <c r="P175" i="61"/>
  <c r="M191" i="61"/>
  <c r="AV191" i="61"/>
  <c r="AP184" i="61"/>
  <c r="BH201" i="61"/>
  <c r="AP147" i="61"/>
  <c r="P240" i="61"/>
  <c r="AL249" i="61"/>
  <c r="AP253" i="61"/>
  <c r="M217" i="61"/>
  <c r="L217" i="61"/>
  <c r="P127" i="61"/>
  <c r="AV127" i="61"/>
  <c r="L135" i="61"/>
  <c r="L147" i="61"/>
  <c r="AH147" i="61"/>
  <c r="BH181" i="61"/>
  <c r="AP152" i="61"/>
  <c r="T254" i="61"/>
  <c r="BD258" i="61"/>
  <c r="AZ262" i="61"/>
  <c r="AP222" i="61"/>
  <c r="P222" i="61"/>
  <c r="AH233" i="61"/>
  <c r="P132" i="61"/>
  <c r="AZ152" i="61"/>
  <c r="AH196" i="61"/>
  <c r="AP196" i="61"/>
  <c r="AP187" i="61"/>
  <c r="X193" i="61"/>
  <c r="BD219" i="61"/>
  <c r="AZ219" i="61"/>
  <c r="L121" i="61"/>
  <c r="X137" i="61"/>
  <c r="L157" i="61"/>
  <c r="Q165" i="61"/>
  <c r="M173" i="61"/>
  <c r="AH193" i="61"/>
  <c r="Q179" i="61"/>
  <c r="AZ199" i="61"/>
  <c r="Q199" i="61"/>
  <c r="AP199" i="61"/>
  <c r="X199" i="61"/>
  <c r="AZ186" i="61"/>
  <c r="Q186" i="61"/>
  <c r="L183" i="61"/>
  <c r="AH183" i="61"/>
  <c r="AP162" i="61"/>
  <c r="BH162" i="61"/>
  <c r="L162" i="61"/>
  <c r="AD153" i="61"/>
  <c r="Q153" i="61"/>
  <c r="BH153" i="61"/>
  <c r="X153" i="61"/>
  <c r="AV144" i="61"/>
  <c r="P144" i="61"/>
  <c r="BH138" i="61"/>
  <c r="AZ138" i="61"/>
  <c r="P138" i="61"/>
  <c r="AH133" i="61"/>
  <c r="X133" i="61"/>
  <c r="AH117" i="61"/>
  <c r="AV114" i="61"/>
  <c r="L114" i="61"/>
  <c r="AV111" i="61"/>
  <c r="X111" i="61"/>
  <c r="Q111" i="61"/>
  <c r="AZ208" i="61"/>
  <c r="AD234" i="61"/>
  <c r="X234" i="61"/>
  <c r="AP234" i="61"/>
  <c r="AZ263" i="61"/>
  <c r="P263" i="61"/>
  <c r="AP259" i="61"/>
  <c r="AZ255" i="61"/>
  <c r="X255" i="61"/>
  <c r="AZ251" i="61"/>
  <c r="L251" i="61"/>
  <c r="AL251" i="61"/>
  <c r="Q246" i="61"/>
  <c r="P246" i="61"/>
  <c r="L242" i="61"/>
  <c r="AZ273" i="61"/>
  <c r="BD277" i="61"/>
  <c r="X277" i="61"/>
  <c r="AD281" i="61"/>
  <c r="AL285" i="61"/>
  <c r="BD285" i="61"/>
  <c r="BD289" i="61"/>
  <c r="AL293" i="61"/>
  <c r="AZ297" i="61"/>
  <c r="AV297" i="61"/>
  <c r="BD301" i="61"/>
  <c r="BD305" i="61"/>
  <c r="L305" i="61"/>
  <c r="BD309" i="61"/>
  <c r="AP313" i="61"/>
  <c r="AV317" i="61"/>
  <c r="P317" i="61"/>
  <c r="AZ321" i="61"/>
  <c r="AV325" i="61"/>
  <c r="AP325" i="61"/>
  <c r="AL329" i="61"/>
  <c r="AZ337" i="61"/>
  <c r="T337" i="61"/>
  <c r="T341" i="61"/>
  <c r="AL350" i="61"/>
  <c r="AL354" i="61"/>
  <c r="AD358" i="61"/>
  <c r="L358" i="61"/>
  <c r="AV362" i="61"/>
  <c r="AL366" i="61"/>
  <c r="P366" i="61"/>
  <c r="P370" i="61"/>
  <c r="AD374" i="61"/>
  <c r="AH378" i="61"/>
  <c r="AZ378" i="61"/>
  <c r="L382" i="61"/>
  <c r="AZ386" i="61"/>
  <c r="AD278" i="61"/>
  <c r="T278" i="61"/>
  <c r="AH286" i="61"/>
  <c r="AP290" i="61"/>
  <c r="AL298" i="61"/>
  <c r="AL306" i="61"/>
  <c r="AZ310" i="61"/>
  <c r="AL318" i="61"/>
  <c r="AD318" i="61"/>
  <c r="BD322" i="61"/>
  <c r="BD330" i="61"/>
  <c r="AP330" i="61"/>
  <c r="BD345" i="61"/>
  <c r="AV351" i="61"/>
  <c r="P351" i="61"/>
  <c r="L359" i="61"/>
  <c r="AD367" i="61"/>
  <c r="L367" i="61"/>
  <c r="T375" i="61"/>
  <c r="AL379" i="61"/>
  <c r="AL387" i="61"/>
  <c r="AZ387" i="61"/>
  <c r="AZ282" i="61"/>
  <c r="X282" i="61"/>
  <c r="BD294" i="61"/>
  <c r="BD302" i="61"/>
  <c r="AL314" i="61"/>
  <c r="AV314" i="61"/>
  <c r="AV326" i="61"/>
  <c r="AV338" i="61"/>
  <c r="L355" i="61"/>
  <c r="AD363" i="61"/>
  <c r="BD363" i="61"/>
  <c r="AL371" i="61"/>
  <c r="AV383" i="61"/>
  <c r="AP384" i="61"/>
  <c r="X384" i="61"/>
  <c r="T384" i="61"/>
  <c r="AZ384" i="61"/>
  <c r="AP380" i="61"/>
  <c r="AD380" i="61"/>
  <c r="AZ380" i="61"/>
  <c r="AP376" i="61"/>
  <c r="BD376" i="61"/>
  <c r="AP372" i="61"/>
  <c r="BD372" i="61"/>
  <c r="AD372" i="61"/>
  <c r="AZ368" i="61"/>
  <c r="BH368" i="61"/>
  <c r="AV368" i="61"/>
  <c r="AP364" i="61"/>
  <c r="AZ364" i="61"/>
  <c r="AD364" i="61"/>
  <c r="BD360" i="61"/>
  <c r="AH360" i="61"/>
  <c r="AL360" i="61"/>
  <c r="BH356" i="61"/>
  <c r="X356" i="61"/>
  <c r="BD356" i="61"/>
  <c r="AH352" i="61"/>
  <c r="P352" i="61"/>
  <c r="AL352" i="61"/>
  <c r="AH346" i="61"/>
  <c r="L346" i="61"/>
  <c r="T346" i="61"/>
  <c r="AD339" i="61"/>
  <c r="AV339" i="61"/>
  <c r="BD339" i="61"/>
  <c r="L333" i="61"/>
  <c r="AP333" i="61"/>
  <c r="BH327" i="61"/>
  <c r="X327" i="61"/>
  <c r="AP327" i="61"/>
  <c r="BH323" i="61"/>
  <c r="P323" i="61"/>
  <c r="BD323" i="61"/>
  <c r="AL323" i="61"/>
  <c r="P319" i="61"/>
  <c r="AZ319" i="61"/>
  <c r="T319" i="61"/>
  <c r="X315" i="61"/>
  <c r="AP315" i="61"/>
  <c r="T315" i="61"/>
  <c r="T311" i="61"/>
  <c r="AH311" i="61"/>
  <c r="AL311" i="61"/>
  <c r="X307" i="61"/>
  <c r="AD307" i="61"/>
  <c r="X303" i="61"/>
  <c r="AD303" i="61"/>
  <c r="AP303" i="61"/>
  <c r="T299" i="61"/>
  <c r="AD299" i="61"/>
  <c r="AP299" i="61"/>
  <c r="P295" i="61"/>
  <c r="AL295" i="61"/>
  <c r="AD295" i="61"/>
  <c r="P291" i="61"/>
  <c r="AH291" i="61"/>
  <c r="AP287" i="61"/>
  <c r="X287" i="61"/>
  <c r="BD287" i="61"/>
  <c r="AH283" i="61"/>
  <c r="AZ283" i="61"/>
  <c r="X283" i="61"/>
  <c r="AD283" i="61"/>
  <c r="X279" i="61"/>
  <c r="BD279" i="61"/>
  <c r="AL279" i="61"/>
  <c r="AH275" i="61"/>
  <c r="BH271" i="61"/>
  <c r="AD271" i="61"/>
  <c r="AH271" i="61"/>
  <c r="AV271" i="61"/>
  <c r="T102" i="61"/>
  <c r="AL105" i="61"/>
  <c r="AP102" i="61"/>
  <c r="AL101" i="61"/>
  <c r="BH105" i="61"/>
  <c r="AZ103" i="61"/>
  <c r="BH101" i="61"/>
  <c r="AZ99" i="61"/>
  <c r="K216" i="61"/>
  <c r="O216" i="61"/>
  <c r="W216" i="61"/>
  <c r="AI216" i="61"/>
  <c r="S216" i="61"/>
  <c r="AZ196" i="61"/>
  <c r="P196" i="61"/>
  <c r="AZ194" i="61"/>
  <c r="Q194" i="61"/>
  <c r="AH191" i="61"/>
  <c r="Q191" i="61"/>
  <c r="X182" i="61"/>
  <c r="AP182" i="61"/>
  <c r="AZ182" i="61"/>
  <c r="L182" i="61"/>
  <c r="AZ179" i="61"/>
  <c r="M179" i="61"/>
  <c r="X179" i="61"/>
  <c r="AV176" i="61"/>
  <c r="L176" i="61"/>
  <c r="AH176" i="61"/>
  <c r="L173" i="61"/>
  <c r="AD173" i="61"/>
  <c r="P165" i="61"/>
  <c r="AP165" i="61"/>
  <c r="AD161" i="61"/>
  <c r="P161" i="61"/>
  <c r="BH161" i="61"/>
  <c r="X161" i="61"/>
  <c r="AZ158" i="61"/>
  <c r="AV158" i="61"/>
  <c r="Q158" i="61"/>
  <c r="AZ155" i="61"/>
  <c r="L155" i="61"/>
  <c r="AD150" i="61"/>
  <c r="L150" i="61"/>
  <c r="AV147" i="61"/>
  <c r="Q147" i="61"/>
  <c r="BH147" i="61"/>
  <c r="X143" i="61"/>
  <c r="AH143" i="61"/>
  <c r="Q143" i="61"/>
  <c r="AP143" i="61"/>
  <c r="AZ140" i="61"/>
  <c r="P140" i="61"/>
  <c r="BH140" i="61"/>
  <c r="AH137" i="61"/>
  <c r="Q137" i="61"/>
  <c r="AH135" i="61"/>
  <c r="P135" i="61"/>
  <c r="X130" i="61"/>
  <c r="AV130" i="61"/>
  <c r="P130" i="61"/>
  <c r="AZ127" i="61"/>
  <c r="L127" i="61"/>
  <c r="Q127" i="61"/>
  <c r="AD233" i="61"/>
  <c r="P233" i="61"/>
  <c r="M233" i="61"/>
  <c r="BD233" i="61"/>
  <c r="AP233" i="61"/>
  <c r="AD222" i="61"/>
  <c r="AW222" i="61"/>
  <c r="AL222" i="61"/>
  <c r="BH222" i="61"/>
  <c r="L220" i="61"/>
  <c r="AD220" i="61"/>
  <c r="P220" i="61"/>
  <c r="BH217" i="61"/>
  <c r="AP217" i="61"/>
  <c r="P217" i="61"/>
  <c r="BH266" i="61"/>
  <c r="P266" i="61"/>
  <c r="T258" i="61"/>
  <c r="BD254" i="61"/>
  <c r="BD250" i="61"/>
  <c r="T250" i="61"/>
  <c r="BD245" i="61"/>
  <c r="P245" i="61"/>
  <c r="P241" i="61"/>
  <c r="P387" i="61"/>
  <c r="BD387" i="61"/>
  <c r="T387" i="61"/>
  <c r="AP383" i="61"/>
  <c r="AZ383" i="61"/>
  <c r="AD383" i="61"/>
  <c r="BD383" i="61"/>
  <c r="X379" i="61"/>
  <c r="T379" i="61"/>
  <c r="AZ379" i="61"/>
  <c r="AP375" i="61"/>
  <c r="AL375" i="61"/>
  <c r="BH375" i="61"/>
  <c r="AV375" i="61"/>
  <c r="L371" i="61"/>
  <c r="AH371" i="61"/>
  <c r="X367" i="61"/>
  <c r="AP367" i="61"/>
  <c r="AV367" i="61"/>
  <c r="L363" i="61"/>
  <c r="AL363" i="61"/>
  <c r="AH359" i="61"/>
  <c r="AD359" i="61"/>
  <c r="AP355" i="61"/>
  <c r="X355" i="61"/>
  <c r="AH355" i="61"/>
  <c r="BD355" i="61"/>
  <c r="AP351" i="61"/>
  <c r="BD351" i="61"/>
  <c r="X351" i="61"/>
  <c r="BH345" i="61"/>
  <c r="L345" i="61"/>
  <c r="AD345" i="61"/>
  <c r="T338" i="61"/>
  <c r="AH338" i="61"/>
  <c r="BD338" i="61"/>
  <c r="X330" i="61"/>
  <c r="AV330" i="61"/>
  <c r="AD330" i="61"/>
  <c r="BI330" i="61"/>
  <c r="AH326" i="61"/>
  <c r="L326" i="61"/>
  <c r="BD326" i="61"/>
  <c r="T322" i="61"/>
  <c r="X322" i="61"/>
  <c r="AL322" i="61"/>
  <c r="AH318" i="61"/>
  <c r="L318" i="61"/>
  <c r="BD318" i="61"/>
  <c r="AH314" i="61"/>
  <c r="X314" i="61"/>
  <c r="AZ314" i="61"/>
  <c r="X310" i="61"/>
  <c r="BH310" i="61"/>
  <c r="AD310" i="61"/>
  <c r="AH306" i="61"/>
  <c r="P306" i="61"/>
  <c r="AP306" i="61"/>
  <c r="AV306" i="61"/>
  <c r="AH302" i="61"/>
  <c r="X302" i="61"/>
  <c r="AP302" i="61"/>
  <c r="AQ302" i="61"/>
  <c r="P298" i="61"/>
  <c r="AP298" i="61"/>
  <c r="X298" i="61"/>
  <c r="BH294" i="61"/>
  <c r="AP294" i="61"/>
  <c r="AD294" i="61"/>
  <c r="AL290" i="61"/>
  <c r="BD290" i="61"/>
  <c r="T286" i="61"/>
  <c r="BH286" i="61"/>
  <c r="AD286" i="61"/>
  <c r="X286" i="61"/>
  <c r="AD282" i="61"/>
  <c r="L282" i="61"/>
  <c r="P282" i="61"/>
  <c r="AP282" i="61"/>
  <c r="P278" i="61"/>
  <c r="AV278" i="61"/>
  <c r="BD278" i="61"/>
  <c r="AL274" i="61"/>
  <c r="T274" i="61"/>
  <c r="X274" i="61"/>
  <c r="X105" i="61"/>
  <c r="X101" i="61"/>
  <c r="AH105" i="61"/>
  <c r="AL102" i="61"/>
  <c r="AH101" i="61"/>
  <c r="BD105" i="61"/>
  <c r="BH102" i="61"/>
  <c r="BD101" i="61"/>
  <c r="W234" i="61"/>
  <c r="K234" i="61"/>
  <c r="O234" i="61"/>
  <c r="S234" i="61"/>
  <c r="AE234" i="61"/>
  <c r="AC218" i="61"/>
  <c r="AL218" i="61"/>
  <c r="X74" i="55"/>
  <c r="AZ201" i="61"/>
  <c r="AH201" i="61"/>
  <c r="L201" i="61"/>
  <c r="X201" i="61"/>
  <c r="X198" i="61"/>
  <c r="AZ198" i="61"/>
  <c r="Q198" i="61"/>
  <c r="Q193" i="61"/>
  <c r="P193" i="61"/>
  <c r="BH193" i="61"/>
  <c r="AP193" i="61"/>
  <c r="X190" i="61"/>
  <c r="AZ190" i="61"/>
  <c r="P190" i="61"/>
  <c r="AZ187" i="61"/>
  <c r="AD187" i="61"/>
  <c r="BH187" i="61"/>
  <c r="AZ184" i="61"/>
  <c r="AH184" i="61"/>
  <c r="AH181" i="61"/>
  <c r="L181" i="61"/>
  <c r="AD175" i="61"/>
  <c r="Q175" i="61"/>
  <c r="BH175" i="61"/>
  <c r="P170" i="61"/>
  <c r="M170" i="61"/>
  <c r="X170" i="61"/>
  <c r="AH167" i="61"/>
  <c r="M167" i="61"/>
  <c r="BH164" i="61"/>
  <c r="AH164" i="61"/>
  <c r="AZ160" i="61"/>
  <c r="AH160" i="61"/>
  <c r="P160" i="61"/>
  <c r="AH157" i="61"/>
  <c r="Q157" i="61"/>
  <c r="BH157" i="61"/>
  <c r="X157" i="61"/>
  <c r="AH152" i="61"/>
  <c r="P152" i="61"/>
  <c r="BH146" i="61"/>
  <c r="AP146" i="61"/>
  <c r="AZ146" i="61"/>
  <c r="P146" i="61"/>
  <c r="AZ132" i="61"/>
  <c r="AD132" i="61"/>
  <c r="M132" i="61"/>
  <c r="BH132" i="61"/>
  <c r="AZ129" i="61"/>
  <c r="P129" i="61"/>
  <c r="BH126" i="61"/>
  <c r="AP126" i="61"/>
  <c r="AV126" i="61"/>
  <c r="P126" i="61"/>
  <c r="AD121" i="61"/>
  <c r="Q121" i="61"/>
  <c r="AP121" i="61"/>
  <c r="BH121" i="61"/>
  <c r="AZ115" i="61"/>
  <c r="L115" i="61"/>
  <c r="AV112" i="61"/>
  <c r="M112" i="61"/>
  <c r="L112" i="61"/>
  <c r="X206" i="61"/>
  <c r="AD219" i="61"/>
  <c r="T219" i="61"/>
  <c r="AL265" i="61"/>
  <c r="AH257" i="61"/>
  <c r="AP257" i="61"/>
  <c r="BH253" i="61"/>
  <c r="AL253" i="61"/>
  <c r="L249" i="61"/>
  <c r="AZ244" i="61"/>
  <c r="P244" i="61"/>
  <c r="AZ278" i="61"/>
  <c r="L278" i="61"/>
  <c r="BD286" i="61"/>
  <c r="AZ286" i="61"/>
  <c r="AV290" i="61"/>
  <c r="L290" i="61"/>
  <c r="AD298" i="61"/>
  <c r="BD298" i="61"/>
  <c r="T298" i="61"/>
  <c r="T306" i="61"/>
  <c r="BH306" i="61"/>
  <c r="BD310" i="61"/>
  <c r="L310" i="61"/>
  <c r="BH318" i="61"/>
  <c r="AP318" i="61"/>
  <c r="AV322" i="61"/>
  <c r="BH322" i="61"/>
  <c r="P330" i="61"/>
  <c r="AV345" i="61"/>
  <c r="X345" i="61"/>
  <c r="AH345" i="61"/>
  <c r="L351" i="61"/>
  <c r="BH351" i="61"/>
  <c r="AL359" i="61"/>
  <c r="AP359" i="61"/>
  <c r="AZ367" i="61"/>
  <c r="P367" i="61"/>
  <c r="AH375" i="61"/>
  <c r="AV379" i="61"/>
  <c r="L379" i="61"/>
  <c r="AP387" i="61"/>
  <c r="X387" i="61"/>
  <c r="AZ274" i="61"/>
  <c r="P274" i="61"/>
  <c r="AH274" i="61"/>
  <c r="AH282" i="61"/>
  <c r="L294" i="61"/>
  <c r="AL294" i="61"/>
  <c r="AH294" i="61"/>
  <c r="AV302" i="61"/>
  <c r="P302" i="61"/>
  <c r="AP314" i="61"/>
  <c r="T314" i="61"/>
  <c r="AD326" i="61"/>
  <c r="X326" i="61"/>
  <c r="X338" i="61"/>
  <c r="AP338" i="61"/>
  <c r="L338" i="61"/>
  <c r="AV355" i="61"/>
  <c r="P355" i="61"/>
  <c r="BH355" i="61"/>
  <c r="AZ363" i="61"/>
  <c r="P363" i="61"/>
  <c r="BD371" i="61"/>
  <c r="X371" i="61"/>
  <c r="AP371" i="61"/>
  <c r="P383" i="61"/>
  <c r="L383" i="61"/>
  <c r="X386" i="61"/>
  <c r="AP386" i="61"/>
  <c r="AH386" i="61"/>
  <c r="AH382" i="61"/>
  <c r="AD382" i="61"/>
  <c r="X378" i="61"/>
  <c r="BH378" i="61"/>
  <c r="AV378" i="61"/>
  <c r="AZ374" i="61"/>
  <c r="X374" i="61"/>
  <c r="T374" i="61"/>
  <c r="AZ370" i="61"/>
  <c r="BD370" i="61"/>
  <c r="AV370" i="61"/>
  <c r="AH366" i="61"/>
  <c r="AP366" i="61"/>
  <c r="AD366" i="61"/>
  <c r="AH362" i="61"/>
  <c r="T362" i="61"/>
  <c r="AD362" i="61"/>
  <c r="AH358" i="61"/>
  <c r="P358" i="61"/>
  <c r="BD358" i="61"/>
  <c r="AV358" i="61"/>
  <c r="AH354" i="61"/>
  <c r="T354" i="61"/>
  <c r="AD354" i="61"/>
  <c r="AZ350" i="61"/>
  <c r="T350" i="61"/>
  <c r="AV350" i="61"/>
  <c r="AZ341" i="61"/>
  <c r="X341" i="61"/>
  <c r="AD341" i="61"/>
  <c r="BH337" i="61"/>
  <c r="X337" i="61"/>
  <c r="AL337" i="61"/>
  <c r="AH329" i="61"/>
  <c r="P329" i="61"/>
  <c r="AD329" i="61"/>
  <c r="BH325" i="61"/>
  <c r="T325" i="61"/>
  <c r="AZ325" i="61"/>
  <c r="AH321" i="61"/>
  <c r="P321" i="61"/>
  <c r="AP321" i="61"/>
  <c r="T317" i="61"/>
  <c r="BH317" i="61"/>
  <c r="BH313" i="61"/>
  <c r="L313" i="61"/>
  <c r="AL313" i="61"/>
  <c r="AP309" i="61"/>
  <c r="L309" i="61"/>
  <c r="AZ309" i="61"/>
  <c r="BH305" i="61"/>
  <c r="AD305" i="61"/>
  <c r="AH301" i="61"/>
  <c r="T301" i="61"/>
  <c r="AP301" i="61"/>
  <c r="AH297" i="61"/>
  <c r="P297" i="61"/>
  <c r="AP297" i="61"/>
  <c r="BH293" i="61"/>
  <c r="X293" i="61"/>
  <c r="AV293" i="61"/>
  <c r="AP289" i="61"/>
  <c r="AV289" i="61"/>
  <c r="AL289" i="61"/>
  <c r="AD285" i="61"/>
  <c r="BH285" i="61"/>
  <c r="T285" i="61"/>
  <c r="X281" i="61"/>
  <c r="L281" i="61"/>
  <c r="AZ281" i="61"/>
  <c r="AZ277" i="61"/>
  <c r="AP277" i="61"/>
  <c r="AV277" i="61"/>
  <c r="BH273" i="61"/>
  <c r="P273" i="61"/>
  <c r="T105" i="61"/>
  <c r="T101" i="61"/>
  <c r="AH102" i="61"/>
  <c r="AZ105" i="61"/>
  <c r="BD102" i="61"/>
  <c r="AZ101" i="61"/>
  <c r="K219" i="61"/>
  <c r="S219" i="61"/>
  <c r="W219" i="61"/>
  <c r="O219" i="61"/>
  <c r="X104" i="61"/>
  <c r="X102" i="61"/>
  <c r="AP105" i="61"/>
  <c r="AL104" i="61"/>
  <c r="AH103" i="61"/>
  <c r="AP101" i="61"/>
  <c r="AL100" i="61"/>
  <c r="BH104" i="61"/>
  <c r="BD103" i="61"/>
  <c r="AZ102" i="61"/>
  <c r="BH100" i="61"/>
  <c r="BD99" i="61"/>
  <c r="AD211" i="61"/>
  <c r="AZ211" i="61"/>
  <c r="BH210" i="61"/>
  <c r="S222" i="61"/>
  <c r="BG221" i="61"/>
  <c r="AY216" i="61"/>
  <c r="BG266" i="61"/>
  <c r="K270" i="61"/>
  <c r="S270" i="61"/>
  <c r="W336" i="61"/>
  <c r="Y336" i="61"/>
  <c r="W222" i="61"/>
  <c r="AO234" i="61"/>
  <c r="AO233" i="61"/>
  <c r="BA233" i="61"/>
  <c r="BC215" i="61"/>
  <c r="BG215" i="61"/>
  <c r="BG222" i="61"/>
  <c r="S385" i="61"/>
  <c r="K380" i="61"/>
  <c r="M380" i="61"/>
  <c r="K377" i="61"/>
  <c r="M377" i="61"/>
  <c r="W372" i="61"/>
  <c r="O369" i="61"/>
  <c r="Q369" i="61"/>
  <c r="S364" i="61"/>
  <c r="S361" i="61"/>
  <c r="W356" i="61"/>
  <c r="W346" i="61"/>
  <c r="Y346" i="61"/>
  <c r="S327" i="61"/>
  <c r="O323" i="61"/>
  <c r="Q323" i="61"/>
  <c r="S323" i="61"/>
  <c r="K317" i="61"/>
  <c r="M317" i="61"/>
  <c r="W317" i="61"/>
  <c r="Y317" i="61"/>
  <c r="S311" i="61"/>
  <c r="BG386" i="61"/>
  <c r="BI386" i="61"/>
  <c r="AU386" i="61"/>
  <c r="BG377" i="61"/>
  <c r="BI377" i="61"/>
  <c r="BC377" i="61"/>
  <c r="BE377" i="61"/>
  <c r="BC360" i="61"/>
  <c r="AU341" i="61"/>
  <c r="AW341" i="61"/>
  <c r="BC340" i="61"/>
  <c r="BE340" i="61"/>
  <c r="BG321" i="61"/>
  <c r="AD210" i="61"/>
  <c r="BD210" i="61"/>
  <c r="W233" i="61"/>
  <c r="AI233" i="61"/>
  <c r="S233" i="61"/>
  <c r="AY221" i="61"/>
  <c r="AU217" i="61"/>
  <c r="BG217" i="61"/>
  <c r="AH238" i="61"/>
  <c r="X266" i="61"/>
  <c r="T265" i="61"/>
  <c r="AH264" i="61"/>
  <c r="AD263" i="61"/>
  <c r="X262" i="61"/>
  <c r="T261" i="61"/>
  <c r="AH260" i="61"/>
  <c r="AV238" i="61"/>
  <c r="AP266" i="61"/>
  <c r="AP265" i="61"/>
  <c r="AL263" i="61"/>
  <c r="AV261" i="61"/>
  <c r="AL240" i="61"/>
  <c r="BD261" i="61"/>
  <c r="W359" i="61"/>
  <c r="S359" i="61"/>
  <c r="O359" i="61"/>
  <c r="Q359" i="61"/>
  <c r="BG383" i="61"/>
  <c r="BI383" i="61"/>
  <c r="BC383" i="61"/>
  <c r="BE383" i="61"/>
  <c r="BC375" i="61"/>
  <c r="BG375" i="61"/>
  <c r="BI375" i="61"/>
  <c r="AG372" i="61"/>
  <c r="AC372" i="61"/>
  <c r="AC356" i="61"/>
  <c r="AG356" i="61"/>
  <c r="BG327" i="61"/>
  <c r="BI327" i="61"/>
  <c r="T211" i="61"/>
  <c r="X210" i="61"/>
  <c r="X208" i="61"/>
  <c r="AZ210" i="61"/>
  <c r="BD209" i="61"/>
  <c r="AO222" i="61"/>
  <c r="AU221" i="61"/>
  <c r="BE221" i="61"/>
  <c r="AY219" i="61"/>
  <c r="S220" i="61"/>
  <c r="AE220" i="61"/>
  <c r="O217" i="61"/>
  <c r="S217" i="61"/>
  <c r="AK218" i="61"/>
  <c r="AW218" i="61"/>
  <c r="T238" i="61"/>
  <c r="T266" i="61"/>
  <c r="AH265" i="61"/>
  <c r="AD264" i="61"/>
  <c r="X263" i="61"/>
  <c r="T262" i="61"/>
  <c r="AH261" i="61"/>
  <c r="AD260" i="61"/>
  <c r="T239" i="61"/>
  <c r="AP261" i="61"/>
  <c r="AV260" i="61"/>
  <c r="AZ240" i="61"/>
  <c r="AZ239" i="61"/>
  <c r="AU265" i="61"/>
  <c r="BD260" i="61"/>
  <c r="BH240" i="61"/>
  <c r="O384" i="61"/>
  <c r="Q384" i="61"/>
  <c r="O381" i="61"/>
  <c r="Q381" i="61"/>
  <c r="S376" i="61"/>
  <c r="S373" i="61"/>
  <c r="U373" i="61"/>
  <c r="K360" i="61"/>
  <c r="M360" i="61"/>
  <c r="K345" i="61"/>
  <c r="M345" i="61"/>
  <c r="K339" i="61"/>
  <c r="M339" i="61"/>
  <c r="O339" i="61"/>
  <c r="Q339" i="61"/>
  <c r="W339" i="61"/>
  <c r="W319" i="61"/>
  <c r="BG381" i="61"/>
  <c r="BI381" i="61"/>
  <c r="BC381" i="61"/>
  <c r="BE381" i="61"/>
  <c r="BG373" i="61"/>
  <c r="BI373" i="61"/>
  <c r="BC364" i="61"/>
  <c r="AU357" i="61"/>
  <c r="AW357" i="61"/>
  <c r="AU337" i="61"/>
  <c r="BG325" i="61"/>
  <c r="BI325" i="61"/>
  <c r="O233" i="61"/>
  <c r="AC222" i="61"/>
  <c r="BG219" i="61"/>
  <c r="AU223" i="61"/>
  <c r="BG216" i="61"/>
  <c r="S386" i="61"/>
  <c r="BC217" i="61"/>
  <c r="AY223" i="61"/>
  <c r="W223" i="61"/>
  <c r="K221" i="61"/>
  <c r="AK223" i="61"/>
  <c r="AK220" i="61"/>
  <c r="AK217" i="61"/>
  <c r="AK216" i="61"/>
  <c r="K379" i="61"/>
  <c r="M379" i="61"/>
  <c r="W374" i="61"/>
  <c r="W366" i="61"/>
  <c r="K363" i="61"/>
  <c r="M363" i="61"/>
  <c r="S358" i="61"/>
  <c r="S340" i="61"/>
  <c r="K318" i="61"/>
  <c r="M318" i="61"/>
  <c r="S318" i="61"/>
  <c r="S313" i="61"/>
  <c r="O302" i="61"/>
  <c r="Q302" i="61"/>
  <c r="S302" i="61"/>
  <c r="BG379" i="61"/>
  <c r="BC379" i="61"/>
  <c r="AK360" i="61"/>
  <c r="AM360" i="61"/>
  <c r="AG360" i="61"/>
  <c r="AY333" i="61"/>
  <c r="BA333" i="61"/>
  <c r="BG323" i="61"/>
  <c r="BI323" i="61"/>
  <c r="AU315" i="61"/>
  <c r="AW315" i="61"/>
  <c r="BC315" i="61"/>
  <c r="AH210" i="61"/>
  <c r="T210" i="61"/>
  <c r="T208" i="61"/>
  <c r="AL211" i="61"/>
  <c r="AV210" i="61"/>
  <c r="AL208" i="61"/>
  <c r="BH211" i="61"/>
  <c r="AO223" i="61"/>
  <c r="AC223" i="61"/>
  <c r="AD238" i="61"/>
  <c r="AD266" i="61"/>
  <c r="X265" i="61"/>
  <c r="T264" i="61"/>
  <c r="AH263" i="61"/>
  <c r="AD262" i="61"/>
  <c r="X261" i="61"/>
  <c r="T260" i="61"/>
  <c r="AD239" i="61"/>
  <c r="AG238" i="61"/>
  <c r="AQ238" i="61"/>
  <c r="AV266" i="61"/>
  <c r="AZ265" i="61"/>
  <c r="AL264" i="61"/>
  <c r="AP263" i="61"/>
  <c r="AV262" i="61"/>
  <c r="AL260" i="61"/>
  <c r="AP240" i="61"/>
  <c r="BH265" i="61"/>
  <c r="BG263" i="61"/>
  <c r="BH261" i="61"/>
  <c r="BD239" i="61"/>
  <c r="G649" i="35"/>
  <c r="G648" i="35"/>
  <c r="G304" i="35"/>
  <c r="G303" i="35"/>
  <c r="G564" i="35"/>
  <c r="G218" i="35"/>
  <c r="G217" i="35"/>
  <c r="G478" i="35"/>
  <c r="G477" i="35"/>
  <c r="G132" i="35"/>
  <c r="G131" i="35"/>
  <c r="L392" i="35"/>
  <c r="L46" i="35"/>
  <c r="L649" i="35"/>
  <c r="L648" i="35"/>
  <c r="L304" i="35"/>
  <c r="L564" i="35"/>
  <c r="L218" i="35"/>
  <c r="Q478" i="35"/>
  <c r="Q132" i="35"/>
  <c r="Q392" i="35"/>
  <c r="Q46" i="35"/>
  <c r="Q649" i="35"/>
  <c r="Q304" i="35"/>
  <c r="O117" i="35"/>
  <c r="T117" i="35"/>
  <c r="O203" i="35"/>
  <c r="T203" i="35"/>
  <c r="T289" i="35"/>
  <c r="T463" i="35"/>
  <c r="T549" i="35"/>
  <c r="T634" i="35"/>
  <c r="X238" i="61"/>
  <c r="AH266" i="61"/>
  <c r="AD265" i="61"/>
  <c r="X264" i="61"/>
  <c r="T263" i="61"/>
  <c r="AH262" i="61"/>
  <c r="AD261" i="61"/>
  <c r="X260" i="61"/>
  <c r="T240" i="61"/>
  <c r="AZ266" i="61"/>
  <c r="AV265" i="61"/>
  <c r="AV263" i="61"/>
  <c r="AL261" i="61"/>
  <c r="AG260" i="61"/>
  <c r="AV240" i="61"/>
  <c r="AY266" i="61"/>
  <c r="BD263" i="61"/>
  <c r="BD240" i="61"/>
  <c r="AY239" i="61"/>
  <c r="G46" i="35"/>
  <c r="G45" i="35"/>
  <c r="Q218" i="35"/>
  <c r="L478" i="35"/>
  <c r="AO18" i="62"/>
  <c r="BA18" i="62"/>
  <c r="AK18" i="62"/>
  <c r="AG18" i="62"/>
  <c r="AU65" i="62"/>
  <c r="BC65" i="62"/>
  <c r="P216" i="58"/>
  <c r="P250" i="58"/>
  <c r="P260" i="58"/>
  <c r="P213" i="58"/>
  <c r="P184" i="58"/>
  <c r="H46" i="35"/>
  <c r="H45" i="35"/>
  <c r="M132" i="35"/>
  <c r="R218" i="35"/>
  <c r="H392" i="35"/>
  <c r="H391" i="35"/>
  <c r="M478" i="35"/>
  <c r="R564" i="35"/>
  <c r="AC18" i="62"/>
  <c r="AC8" i="62"/>
  <c r="AC34" i="62"/>
  <c r="AK106" i="62"/>
  <c r="AG98" i="62"/>
  <c r="AU17" i="62"/>
  <c r="BE17" i="62"/>
  <c r="BG10" i="62"/>
  <c r="AY57" i="62"/>
  <c r="BG65" i="62"/>
  <c r="BI65" i="62"/>
  <c r="AU49" i="62"/>
  <c r="AW49" i="62"/>
  <c r="AG81" i="62"/>
  <c r="AO26" i="62"/>
  <c r="AO108" i="62"/>
  <c r="AO48" i="62"/>
  <c r="BA48" i="62"/>
  <c r="AO28" i="62"/>
  <c r="AK20" i="62"/>
  <c r="AC20" i="62"/>
  <c r="AO12" i="62"/>
  <c r="AY78" i="62"/>
  <c r="AU78" i="62"/>
  <c r="BG51" i="62"/>
  <c r="AU43" i="62"/>
  <c r="BE43" i="62"/>
  <c r="BG43" i="62"/>
  <c r="BG12" i="62"/>
  <c r="AY12" i="62"/>
  <c r="I649" i="35"/>
  <c r="I564" i="35"/>
  <c r="I478" i="35"/>
  <c r="I392" i="35"/>
  <c r="I304" i="35"/>
  <c r="I218" i="35"/>
  <c r="I132" i="35"/>
  <c r="I46" i="35"/>
  <c r="N649" i="35"/>
  <c r="N564" i="35"/>
  <c r="N478" i="35"/>
  <c r="N392" i="35"/>
  <c r="N304" i="35"/>
  <c r="N218" i="35"/>
  <c r="N132" i="35"/>
  <c r="N46" i="35"/>
  <c r="S649" i="35"/>
  <c r="S564" i="35"/>
  <c r="S478" i="35"/>
  <c r="S392" i="35"/>
  <c r="S304" i="35"/>
  <c r="S218" i="35"/>
  <c r="S132" i="35"/>
  <c r="S46" i="35"/>
  <c r="P177" i="58"/>
  <c r="P174" i="58"/>
  <c r="P223" i="58"/>
  <c r="P275" i="58"/>
  <c r="P197" i="58"/>
  <c r="P265" i="58"/>
  <c r="H132" i="35"/>
  <c r="H131" i="35"/>
  <c r="M218" i="35"/>
  <c r="R304" i="35"/>
  <c r="H478" i="35"/>
  <c r="H477" i="35"/>
  <c r="M564" i="35"/>
  <c r="R649" i="35"/>
  <c r="AC26" i="62"/>
  <c r="AG45" i="62"/>
  <c r="AQ45" i="62"/>
  <c r="AO81" i="62"/>
  <c r="BA81" i="62"/>
  <c r="AC98" i="62"/>
  <c r="BG17" i="62"/>
  <c r="AY10" i="62"/>
  <c r="AU31" i="62"/>
  <c r="BE31" i="62"/>
  <c r="BG57" i="62"/>
  <c r="AU82" i="62"/>
  <c r="BE82" i="62"/>
  <c r="BC49" i="62"/>
  <c r="AG26" i="62"/>
  <c r="AK47" i="62"/>
  <c r="AG43" i="62"/>
  <c r="AK43" i="62"/>
  <c r="AW43" i="62"/>
  <c r="AG30" i="62"/>
  <c r="BG69" i="62"/>
  <c r="BC69" i="62"/>
  <c r="BG39" i="62"/>
  <c r="BG26" i="62"/>
  <c r="BC26" i="62"/>
  <c r="AY13" i="62"/>
  <c r="BI13" i="62"/>
  <c r="AU13" i="62"/>
  <c r="BE13" i="62"/>
  <c r="P270" i="58"/>
  <c r="P211" i="58"/>
  <c r="P182" i="58"/>
  <c r="T31" i="35"/>
  <c r="R46" i="35"/>
  <c r="H218" i="35"/>
  <c r="H217" i="35"/>
  <c r="M304" i="35"/>
  <c r="J646" i="35"/>
  <c r="T212" i="35"/>
  <c r="AG104" i="62"/>
  <c r="AO82" i="62"/>
  <c r="BA82" i="62"/>
  <c r="AC46" i="62"/>
  <c r="AK46" i="62"/>
  <c r="AO16" i="62"/>
  <c r="AC16" i="62"/>
  <c r="AU63" i="62"/>
  <c r="BC63" i="62"/>
  <c r="AH181" i="62"/>
  <c r="AH320" i="62"/>
  <c r="AI320" i="62"/>
  <c r="S311" i="62"/>
  <c r="AE311" i="62"/>
  <c r="AD311" i="62"/>
  <c r="S309" i="62"/>
  <c r="AD309" i="62"/>
  <c r="AH303" i="62"/>
  <c r="W303" i="62"/>
  <c r="AH301" i="62"/>
  <c r="W301" i="62"/>
  <c r="W297" i="62"/>
  <c r="AH297" i="62"/>
  <c r="AK307" i="62"/>
  <c r="AC307" i="62"/>
  <c r="AG307" i="62"/>
  <c r="AO307" i="62"/>
  <c r="AG303" i="62"/>
  <c r="AC303" i="62"/>
  <c r="AO303" i="62"/>
  <c r="BA303" i="62"/>
  <c r="AK303" i="62"/>
  <c r="AW303" i="62"/>
  <c r="AO299" i="62"/>
  <c r="AK299" i="62"/>
  <c r="AW299" i="62"/>
  <c r="AG299" i="62"/>
  <c r="AC299" i="62"/>
  <c r="BD318" i="62"/>
  <c r="BG314" i="62"/>
  <c r="AY314" i="62"/>
  <c r="AU314" i="62"/>
  <c r="BC314" i="62"/>
  <c r="BD308" i="62"/>
  <c r="AU308" i="62"/>
  <c r="BE308" i="62"/>
  <c r="BD301" i="62"/>
  <c r="AU301" i="62"/>
  <c r="AU298" i="62"/>
  <c r="BG298" i="62"/>
  <c r="AY298" i="62"/>
  <c r="BC298" i="62"/>
  <c r="AH317" i="62"/>
  <c r="W317" i="62"/>
  <c r="AI317" i="62"/>
  <c r="AH315" i="62"/>
  <c r="W315" i="62"/>
  <c r="AI315" i="62"/>
  <c r="W313" i="62"/>
  <c r="AH313" i="62"/>
  <c r="S307" i="62"/>
  <c r="AD307" i="62"/>
  <c r="AK306" i="62"/>
  <c r="AC306" i="62"/>
  <c r="AO306" i="62"/>
  <c r="BA306" i="62"/>
  <c r="AG306" i="62"/>
  <c r="AG302" i="62"/>
  <c r="AC302" i="62"/>
  <c r="AO302" i="62"/>
  <c r="AK302" i="62"/>
  <c r="AG298" i="62"/>
  <c r="AK298" i="62"/>
  <c r="AC298" i="62"/>
  <c r="AO298" i="62"/>
  <c r="BE320" i="62"/>
  <c r="BD320" i="62"/>
  <c r="BG317" i="62"/>
  <c r="AU317" i="62"/>
  <c r="BC317" i="62"/>
  <c r="AY317" i="62"/>
  <c r="BH315" i="62"/>
  <c r="AY315" i="62"/>
  <c r="BC313" i="62"/>
  <c r="AY313" i="62"/>
  <c r="AU313" i="62"/>
  <c r="BG313" i="62"/>
  <c r="BD310" i="62"/>
  <c r="AU310" i="62"/>
  <c r="BE310" i="62"/>
  <c r="AY305" i="62"/>
  <c r="BI305" i="62"/>
  <c r="BH305" i="62"/>
  <c r="BH300" i="62"/>
  <c r="AY300" i="62"/>
  <c r="BI300" i="62"/>
  <c r="AU297" i="62"/>
  <c r="BE297" i="62"/>
  <c r="BD297" i="62"/>
  <c r="AP207" i="62"/>
  <c r="AP197" i="62"/>
  <c r="AL194" i="62"/>
  <c r="AP193" i="62"/>
  <c r="AL190" i="62"/>
  <c r="AP189" i="62"/>
  <c r="AP150" i="62"/>
  <c r="AL147" i="62"/>
  <c r="AH144" i="62"/>
  <c r="S310" i="62"/>
  <c r="AD310" i="62"/>
  <c r="S308" i="62"/>
  <c r="AD308" i="62"/>
  <c r="AH304" i="62"/>
  <c r="W304" i="62"/>
  <c r="AH302" i="62"/>
  <c r="W302" i="62"/>
  <c r="AI302" i="62"/>
  <c r="W300" i="62"/>
  <c r="AH300" i="62"/>
  <c r="AH298" i="62"/>
  <c r="W298" i="62"/>
  <c r="AI298" i="62"/>
  <c r="AC296" i="62"/>
  <c r="AG296" i="62"/>
  <c r="AO296" i="62"/>
  <c r="AK296" i="62"/>
  <c r="AL322" i="62"/>
  <c r="AV320" i="62"/>
  <c r="AW320" i="62"/>
  <c r="AK309" i="62"/>
  <c r="AO309" i="62"/>
  <c r="AG309" i="62"/>
  <c r="AC309" i="62"/>
  <c r="AK305" i="62"/>
  <c r="AW305" i="62"/>
  <c r="AO305" i="62"/>
  <c r="BA305" i="62"/>
  <c r="AC305" i="62"/>
  <c r="AG305" i="62"/>
  <c r="AC301" i="62"/>
  <c r="AK301" i="62"/>
  <c r="AO301" i="62"/>
  <c r="AG301" i="62"/>
  <c r="AC297" i="62"/>
  <c r="AK297" i="62"/>
  <c r="AW297" i="62"/>
  <c r="AG297" i="62"/>
  <c r="AO297" i="62"/>
  <c r="BA297" i="62"/>
  <c r="BE322" i="62"/>
  <c r="BD322" i="62"/>
  <c r="AU312" i="62"/>
  <c r="BE312" i="62"/>
  <c r="BD312" i="62"/>
  <c r="BC309" i="62"/>
  <c r="BG309" i="62"/>
  <c r="AY309" i="62"/>
  <c r="AU309" i="62"/>
  <c r="BH307" i="62"/>
  <c r="AY307" i="62"/>
  <c r="BI307" i="62"/>
  <c r="AP153" i="62"/>
  <c r="AI322" i="62"/>
  <c r="AH322" i="62"/>
  <c r="AH316" i="62"/>
  <c r="W316" i="62"/>
  <c r="AI316" i="62"/>
  <c r="W314" i="62"/>
  <c r="AI314" i="62"/>
  <c r="AH314" i="62"/>
  <c r="W312" i="62"/>
  <c r="AI312" i="62"/>
  <c r="AH312" i="62"/>
  <c r="AD306" i="62"/>
  <c r="S306" i="62"/>
  <c r="AE306" i="62"/>
  <c r="W305" i="62"/>
  <c r="AH305" i="62"/>
  <c r="AV322" i="62"/>
  <c r="AK308" i="62"/>
  <c r="AC308" i="62"/>
  <c r="AG308" i="62"/>
  <c r="AO308" i="62"/>
  <c r="AK304" i="62"/>
  <c r="AG304" i="62"/>
  <c r="AO304" i="62"/>
  <c r="BA304" i="62"/>
  <c r="AC304" i="62"/>
  <c r="AK300" i="62"/>
  <c r="AG300" i="62"/>
  <c r="AC300" i="62"/>
  <c r="AO300" i="62"/>
  <c r="BA300" i="62"/>
  <c r="AU296" i="62"/>
  <c r="BC296" i="62"/>
  <c r="AY296" i="62"/>
  <c r="BG296" i="62"/>
  <c r="AU316" i="62"/>
  <c r="BD316" i="62"/>
  <c r="BC311" i="62"/>
  <c r="AU311" i="62"/>
  <c r="AY311" i="62"/>
  <c r="BG311" i="62"/>
  <c r="AY302" i="62"/>
  <c r="BC302" i="62"/>
  <c r="BG302" i="62"/>
  <c r="AU302" i="62"/>
  <c r="AV41" i="62"/>
  <c r="AC200" i="62"/>
  <c r="AH198" i="62"/>
  <c r="AL197" i="62"/>
  <c r="AL186" i="62"/>
  <c r="AP175" i="62"/>
  <c r="AH173" i="62"/>
  <c r="AL172" i="62"/>
  <c r="AP171" i="62"/>
  <c r="AL168" i="62"/>
  <c r="AH165" i="62"/>
  <c r="AP156" i="62"/>
  <c r="AH151" i="62"/>
  <c r="AL150" i="62"/>
  <c r="AD140" i="62"/>
  <c r="AH139" i="62"/>
  <c r="AD136" i="62"/>
  <c r="AP133" i="62"/>
  <c r="AD132" i="62"/>
  <c r="AL130" i="62"/>
  <c r="AH127" i="62"/>
  <c r="AD125" i="62"/>
  <c r="AH124" i="62"/>
  <c r="AH120" i="62"/>
  <c r="AD117" i="62"/>
  <c r="BH211" i="62"/>
  <c r="AZ200" i="62"/>
  <c r="AZ153" i="62"/>
  <c r="AZ149" i="62"/>
  <c r="AV146" i="62"/>
  <c r="AL299" i="62"/>
  <c r="AL319" i="62"/>
  <c r="T299" i="62"/>
  <c r="L303" i="62"/>
  <c r="AH299" i="62"/>
  <c r="AV299" i="62"/>
  <c r="BI303" i="62"/>
  <c r="AH319" i="62"/>
  <c r="X318" i="62"/>
  <c r="AI318" i="62"/>
  <c r="BH318" i="62"/>
  <c r="U318" i="62"/>
  <c r="AL310" i="62"/>
  <c r="P310" i="62"/>
  <c r="T310" i="62"/>
  <c r="AH310" i="62"/>
  <c r="S314" i="62"/>
  <c r="AE314" i="62"/>
  <c r="AD299" i="62"/>
  <c r="Q318" i="62"/>
  <c r="L318" i="62"/>
  <c r="W327" i="62"/>
  <c r="AI327" i="62"/>
  <c r="AK362" i="62"/>
  <c r="BG326" i="62"/>
  <c r="AY326" i="62"/>
  <c r="BC326" i="62"/>
  <c r="AZ348" i="62"/>
  <c r="AW366" i="62"/>
  <c r="AK385" i="62"/>
  <c r="AG385" i="62"/>
  <c r="AK377" i="62"/>
  <c r="AW377" i="62"/>
  <c r="AG377" i="62"/>
  <c r="AQ377" i="62"/>
  <c r="AG113" i="62"/>
  <c r="AV211" i="62"/>
  <c r="AZ210" i="62"/>
  <c r="AO210" i="62"/>
  <c r="AL209" i="62"/>
  <c r="AZ207" i="62"/>
  <c r="AL206" i="62"/>
  <c r="AO205" i="62"/>
  <c r="AP203" i="62"/>
  <c r="AH201" i="62"/>
  <c r="AL200" i="62"/>
  <c r="AD198" i="62"/>
  <c r="AP181" i="62"/>
  <c r="AL178" i="62"/>
  <c r="AD173" i="62"/>
  <c r="AL171" i="62"/>
  <c r="AH168" i="62"/>
  <c r="AL167" i="62"/>
  <c r="AD165" i="62"/>
  <c r="AP162" i="62"/>
  <c r="AL156" i="62"/>
  <c r="AD154" i="62"/>
  <c r="AP148" i="62"/>
  <c r="AL145" i="62"/>
  <c r="AD143" i="62"/>
  <c r="AL141" i="62"/>
  <c r="AH134" i="62"/>
  <c r="AD131" i="62"/>
  <c r="AL129" i="62"/>
  <c r="AP125" i="62"/>
  <c r="AD124" i="62"/>
  <c r="AL122" i="62"/>
  <c r="AP117" i="62"/>
  <c r="AV192" i="62"/>
  <c r="AZ179" i="62"/>
  <c r="AO335" i="62"/>
  <c r="AP198" i="62"/>
  <c r="AL191" i="62"/>
  <c r="AP190" i="62"/>
  <c r="AD189" i="62"/>
  <c r="AD186" i="62"/>
  <c r="AP173" i="62"/>
  <c r="AH167" i="62"/>
  <c r="AP165" i="62"/>
  <c r="AD164" i="62"/>
  <c r="AL162" i="62"/>
  <c r="AP154" i="62"/>
  <c r="AH152" i="62"/>
  <c r="AD150" i="62"/>
  <c r="AL140" i="62"/>
  <c r="W347" i="62"/>
  <c r="AI347" i="62"/>
  <c r="AZ339" i="62"/>
  <c r="AO339" i="62"/>
  <c r="AU326" i="62"/>
  <c r="BG367" i="62"/>
  <c r="AV352" i="62"/>
  <c r="AZ189" i="62"/>
  <c r="BH183" i="62"/>
  <c r="S357" i="62"/>
  <c r="AE357" i="62"/>
  <c r="W357" i="62"/>
  <c r="AI357" i="62"/>
  <c r="O332" i="62"/>
  <c r="AG326" i="62"/>
  <c r="AO360" i="62"/>
  <c r="BA360" i="62"/>
  <c r="AC360" i="62"/>
  <c r="AO337" i="62"/>
  <c r="BA337" i="62"/>
  <c r="AO362" i="62"/>
  <c r="BA362" i="62"/>
  <c r="BG359" i="62"/>
  <c r="BI359" i="62"/>
  <c r="BC343" i="62"/>
  <c r="AW355" i="62"/>
  <c r="AW365" i="62"/>
  <c r="S377" i="62"/>
  <c r="AE377" i="62"/>
  <c r="O377" i="62"/>
  <c r="AG373" i="62"/>
  <c r="AK373" i="62"/>
  <c r="AO373" i="62"/>
  <c r="AC373" i="62"/>
  <c r="AK387" i="62"/>
  <c r="AG387" i="62"/>
  <c r="AQ387" i="62"/>
  <c r="AK381" i="62"/>
  <c r="AW381" i="62"/>
  <c r="AG381" i="62"/>
  <c r="AQ381" i="62"/>
  <c r="AO345" i="62"/>
  <c r="BA345" i="62"/>
  <c r="BC351" i="62"/>
  <c r="BE351" i="62"/>
  <c r="BG349" i="62"/>
  <c r="AY332" i="62"/>
  <c r="BH358" i="62"/>
  <c r="S385" i="62"/>
  <c r="AE385" i="62"/>
  <c r="O385" i="62"/>
  <c r="AK389" i="62"/>
  <c r="AW389" i="62"/>
  <c r="AG389" i="62"/>
  <c r="AQ389" i="62"/>
  <c r="AY391" i="62"/>
  <c r="BI391" i="62"/>
  <c r="BH391" i="62"/>
  <c r="AV353" i="62"/>
  <c r="BH333" i="62"/>
  <c r="AW364" i="62"/>
  <c r="O373" i="62"/>
  <c r="W373" i="62"/>
  <c r="S373" i="62"/>
  <c r="AK391" i="62"/>
  <c r="AW391" i="62"/>
  <c r="AG391" i="62"/>
  <c r="AQ391" i="62"/>
  <c r="AK383" i="62"/>
  <c r="AG383" i="62"/>
  <c r="AQ383" i="62"/>
  <c r="AP348" i="62"/>
  <c r="AZ366" i="62"/>
  <c r="BA365" i="62"/>
  <c r="BD364" i="62"/>
  <c r="AZ364" i="62"/>
  <c r="BA355" i="62"/>
  <c r="BI352" i="62"/>
  <c r="BH348" i="62"/>
  <c r="BD344" i="62"/>
  <c r="AG379" i="62"/>
  <c r="AG375" i="62"/>
  <c r="AY373" i="62"/>
  <c r="BC384" i="62"/>
  <c r="AU384" i="62"/>
  <c r="BC383" i="62"/>
  <c r="BE383" i="62"/>
  <c r="BC376" i="62"/>
  <c r="AU376" i="62"/>
  <c r="BC375" i="62"/>
  <c r="BE375" i="62"/>
  <c r="BD348" i="62"/>
  <c r="AV350" i="62"/>
  <c r="BC385" i="62"/>
  <c r="BC377" i="62"/>
  <c r="BE377" i="62"/>
  <c r="AV395" i="62"/>
  <c r="AV345" i="62"/>
  <c r="AP334" i="62"/>
  <c r="AV330" i="62"/>
  <c r="BC388" i="62"/>
  <c r="BH387" i="62"/>
  <c r="BC387" i="62"/>
  <c r="BC380" i="62"/>
  <c r="BH379" i="62"/>
  <c r="BC379" i="62"/>
  <c r="BE379" i="62"/>
  <c r="AV357" i="62"/>
  <c r="BD333" i="62"/>
  <c r="AV361" i="62"/>
  <c r="AW375" i="62"/>
  <c r="BA390" i="62"/>
  <c r="BA384" i="62"/>
  <c r="BA376" i="62"/>
  <c r="BA374" i="62"/>
  <c r="BD396" i="62"/>
  <c r="AZ396" i="62"/>
  <c r="AZ158" i="55"/>
  <c r="AZ154" i="55"/>
  <c r="BD148" i="55"/>
  <c r="BH150" i="55"/>
  <c r="BH146" i="55"/>
  <c r="AG280" i="61"/>
  <c r="AO280" i="61"/>
  <c r="AK280" i="61"/>
  <c r="AC280" i="61"/>
  <c r="AE280" i="61"/>
  <c r="AO275" i="61"/>
  <c r="AG275" i="61"/>
  <c r="BG280" i="61"/>
  <c r="BC280" i="61"/>
  <c r="AU280" i="61"/>
  <c r="AY280" i="61"/>
  <c r="BA280" i="61"/>
  <c r="BG277" i="61"/>
  <c r="AY277" i="61"/>
  <c r="AY274" i="61"/>
  <c r="BG274" i="61"/>
  <c r="BC274" i="61"/>
  <c r="AU274" i="61"/>
  <c r="O351" i="61"/>
  <c r="Q351" i="61"/>
  <c r="S351" i="61"/>
  <c r="W351" i="61"/>
  <c r="K351" i="61"/>
  <c r="M351" i="61"/>
  <c r="BH421" i="62"/>
  <c r="AZ421" i="62"/>
  <c r="AV415" i="62"/>
  <c r="AZ413" i="62"/>
  <c r="AZ407" i="62"/>
  <c r="AZ403" i="62"/>
  <c r="AV401" i="62"/>
  <c r="BD400" i="62"/>
  <c r="AZ400" i="62"/>
  <c r="AZ399" i="62"/>
  <c r="T155" i="55"/>
  <c r="AD159" i="55"/>
  <c r="AD151" i="55"/>
  <c r="AK281" i="61"/>
  <c r="AC281" i="61"/>
  <c r="AG276" i="61"/>
  <c r="AO276" i="61"/>
  <c r="AK276" i="61"/>
  <c r="AC276" i="61"/>
  <c r="AE276" i="61"/>
  <c r="AO271" i="61"/>
  <c r="AG271" i="61"/>
  <c r="AY279" i="61"/>
  <c r="BC277" i="61"/>
  <c r="BE277" i="61"/>
  <c r="BG281" i="61"/>
  <c r="AY281" i="61"/>
  <c r="BA281" i="61"/>
  <c r="AY278" i="61"/>
  <c r="BG278" i="61"/>
  <c r="BC278" i="61"/>
  <c r="AU278" i="61"/>
  <c r="BC271" i="61"/>
  <c r="AU271" i="61"/>
  <c r="W354" i="61"/>
  <c r="O354" i="61"/>
  <c r="Q354" i="61"/>
  <c r="S354" i="61"/>
  <c r="W352" i="61"/>
  <c r="W349" i="61"/>
  <c r="K349" i="61"/>
  <c r="O349" i="61"/>
  <c r="S349" i="61"/>
  <c r="AO353" i="61"/>
  <c r="AG353" i="61"/>
  <c r="AC353" i="61"/>
  <c r="AK353" i="61"/>
  <c r="AO349" i="61"/>
  <c r="AG349" i="61"/>
  <c r="AC349" i="61"/>
  <c r="AK349" i="61"/>
  <c r="AY355" i="61"/>
  <c r="BC355" i="61"/>
  <c r="BG355" i="61"/>
  <c r="AU355" i="61"/>
  <c r="AY351" i="61"/>
  <c r="BC351" i="61"/>
  <c r="BG351" i="61"/>
  <c r="AU351" i="61"/>
  <c r="P413" i="62"/>
  <c r="P411" i="62"/>
  <c r="AZ422" i="62"/>
  <c r="AV419" i="62"/>
  <c r="BH413" i="62"/>
  <c r="AZ411" i="62"/>
  <c r="BH407" i="62"/>
  <c r="BH403" i="62"/>
  <c r="T205" i="61"/>
  <c r="AD207" i="61"/>
  <c r="AP207" i="61"/>
  <c r="AV206" i="61"/>
  <c r="AK275" i="61"/>
  <c r="AM275" i="61"/>
  <c r="AO278" i="61"/>
  <c r="AK277" i="61"/>
  <c r="AC277" i="61"/>
  <c r="AE277" i="61"/>
  <c r="AG272" i="61"/>
  <c r="AO272" i="61"/>
  <c r="AK272" i="61"/>
  <c r="AC272" i="61"/>
  <c r="BC275" i="61"/>
  <c r="AU275" i="61"/>
  <c r="BG272" i="61"/>
  <c r="BC272" i="61"/>
  <c r="AU272" i="61"/>
  <c r="AY272" i="61"/>
  <c r="BA272" i="61"/>
  <c r="O355" i="61"/>
  <c r="Q355" i="61"/>
  <c r="S355" i="61"/>
  <c r="W355" i="61"/>
  <c r="K355" i="61"/>
  <c r="M355" i="61"/>
  <c r="AH408" i="62"/>
  <c r="AH404" i="62"/>
  <c r="AH400" i="62"/>
  <c r="AH396" i="62"/>
  <c r="AV413" i="62"/>
  <c r="BH411" i="62"/>
  <c r="AZ408" i="62"/>
  <c r="AV407" i="62"/>
  <c r="BD404" i="62"/>
  <c r="AV403" i="62"/>
  <c r="AZ402" i="62"/>
  <c r="AZ401" i="62"/>
  <c r="AO279" i="61"/>
  <c r="AG279" i="61"/>
  <c r="AK273" i="61"/>
  <c r="AC273" i="61"/>
  <c r="AE273" i="61"/>
  <c r="BC279" i="61"/>
  <c r="AU279" i="61"/>
  <c r="BG276" i="61"/>
  <c r="BC276" i="61"/>
  <c r="AU276" i="61"/>
  <c r="AW276" i="61"/>
  <c r="AY276" i="61"/>
  <c r="BG273" i="61"/>
  <c r="AY273" i="61"/>
  <c r="T253" i="61"/>
  <c r="W353" i="61"/>
  <c r="K353" i="61"/>
  <c r="M353" i="61"/>
  <c r="O353" i="61"/>
  <c r="Q353" i="61"/>
  <c r="S353" i="61"/>
  <c r="W350" i="61"/>
  <c r="O350" i="61"/>
  <c r="Q350" i="61"/>
  <c r="S350" i="61"/>
  <c r="AG355" i="61"/>
  <c r="AC355" i="61"/>
  <c r="AE355" i="61"/>
  <c r="AK355" i="61"/>
  <c r="AO355" i="61"/>
  <c r="AG351" i="61"/>
  <c r="AC351" i="61"/>
  <c r="AK351" i="61"/>
  <c r="AO351" i="61"/>
  <c r="BG353" i="61"/>
  <c r="AU353" i="61"/>
  <c r="AW353" i="61"/>
  <c r="AY353" i="61"/>
  <c r="BA353" i="61"/>
  <c r="BC353" i="61"/>
  <c r="BG349" i="61"/>
  <c r="AU349" i="61"/>
  <c r="AY349" i="61"/>
  <c r="BC349" i="61"/>
  <c r="BD398" i="62"/>
  <c r="O160" i="55"/>
  <c r="X156" i="55"/>
  <c r="X144" i="55"/>
  <c r="AD147" i="55"/>
  <c r="AV151" i="55"/>
  <c r="X207" i="61"/>
  <c r="AH206" i="61"/>
  <c r="AL207" i="61"/>
  <c r="AP206" i="61"/>
  <c r="AZ206" i="61"/>
  <c r="AG278" i="61"/>
  <c r="AG274" i="61"/>
  <c r="T256" i="61"/>
  <c r="T252" i="61"/>
  <c r="T248" i="61"/>
  <c r="O352" i="61"/>
  <c r="Q352" i="61"/>
  <c r="X251" i="61"/>
  <c r="AD258" i="61"/>
  <c r="S254" i="61"/>
  <c r="AD250" i="61"/>
  <c r="AD245" i="61"/>
  <c r="AD241" i="61"/>
  <c r="AH259" i="61"/>
  <c r="AH254" i="61"/>
  <c r="AL243" i="61"/>
  <c r="AG352" i="61"/>
  <c r="AV258" i="61"/>
  <c r="AV254" i="61"/>
  <c r="AV250" i="61"/>
  <c r="AV245" i="61"/>
  <c r="AV241" i="61"/>
  <c r="BD256" i="61"/>
  <c r="BD252" i="61"/>
  <c r="BD243" i="61"/>
  <c r="BH242" i="61"/>
  <c r="AY288" i="61"/>
  <c r="BC283" i="61"/>
  <c r="BG283" i="61"/>
  <c r="AU283" i="61"/>
  <c r="AW283" i="61"/>
  <c r="AY283" i="61"/>
  <c r="T153" i="55"/>
  <c r="AH160" i="55"/>
  <c r="AH156" i="55"/>
  <c r="AH152" i="55"/>
  <c r="AH148" i="55"/>
  <c r="AV154" i="55"/>
  <c r="AZ144" i="55"/>
  <c r="AZ162" i="55"/>
  <c r="T207" i="61"/>
  <c r="AL206" i="61"/>
  <c r="BH205" i="61"/>
  <c r="T259" i="61"/>
  <c r="T255" i="61"/>
  <c r="T251" i="61"/>
  <c r="T246" i="61"/>
  <c r="T242" i="61"/>
  <c r="X258" i="61"/>
  <c r="O254" i="61"/>
  <c r="X250" i="61"/>
  <c r="AH252" i="61"/>
  <c r="AH248" i="61"/>
  <c r="AH245" i="61"/>
  <c r="AH243" i="61"/>
  <c r="AH241" i="61"/>
  <c r="AL258" i="61"/>
  <c r="AL254" i="61"/>
  <c r="AL250" i="61"/>
  <c r="AP258" i="61"/>
  <c r="AP254" i="61"/>
  <c r="AP250" i="61"/>
  <c r="AP245" i="61"/>
  <c r="AP241" i="61"/>
  <c r="BD251" i="61"/>
  <c r="BD246" i="61"/>
  <c r="BD242" i="61"/>
  <c r="BC292" i="61"/>
  <c r="AY292" i="61"/>
  <c r="BA292" i="61"/>
  <c r="BG292" i="61"/>
  <c r="AU292" i="61"/>
  <c r="AW292" i="61"/>
  <c r="W292" i="61"/>
  <c r="S292" i="61"/>
  <c r="W284" i="61"/>
  <c r="Y284" i="61"/>
  <c r="S284" i="61"/>
  <c r="U284" i="61"/>
  <c r="X158" i="55"/>
  <c r="X154" i="55"/>
  <c r="X146" i="55"/>
  <c r="AV149" i="55"/>
  <c r="AV145" i="55"/>
  <c r="AZ151" i="55"/>
  <c r="BD153" i="55"/>
  <c r="BD145" i="55"/>
  <c r="AD161" i="55"/>
  <c r="AZ207" i="61"/>
  <c r="BD205" i="61"/>
  <c r="K254" i="61"/>
  <c r="U254" i="61"/>
  <c r="T245" i="61"/>
  <c r="X253" i="61"/>
  <c r="AD256" i="61"/>
  <c r="AD252" i="61"/>
  <c r="AD248" i="61"/>
  <c r="AL245" i="61"/>
  <c r="AL241" i="61"/>
  <c r="AZ258" i="61"/>
  <c r="AZ254" i="61"/>
  <c r="AZ250" i="61"/>
  <c r="AZ245" i="61"/>
  <c r="AZ241" i="61"/>
  <c r="BC284" i="61"/>
  <c r="BG284" i="61"/>
  <c r="AY284" i="61"/>
  <c r="BA284" i="61"/>
  <c r="AU284" i="61"/>
  <c r="X256" i="61"/>
  <c r="X252" i="61"/>
  <c r="X248" i="61"/>
  <c r="AD246" i="61"/>
  <c r="AD242" i="61"/>
  <c r="AH256" i="61"/>
  <c r="AH253" i="61"/>
  <c r="AH251" i="61"/>
  <c r="AH242" i="61"/>
  <c r="AL256" i="61"/>
  <c r="AL248" i="61"/>
  <c r="AL244" i="61"/>
  <c r="AP256" i="61"/>
  <c r="AP243" i="61"/>
  <c r="AV259" i="61"/>
  <c r="AV255" i="61"/>
  <c r="AV251" i="61"/>
  <c r="AV246" i="61"/>
  <c r="BD257" i="61"/>
  <c r="BD253" i="61"/>
  <c r="BD249" i="61"/>
  <c r="BD244" i="61"/>
  <c r="BH256" i="61"/>
  <c r="BH252" i="61"/>
  <c r="BH248" i="61"/>
  <c r="BH243" i="61"/>
  <c r="BC299" i="61"/>
  <c r="BG299" i="61"/>
  <c r="AU299" i="61"/>
  <c r="AY299" i="61"/>
  <c r="BC291" i="61"/>
  <c r="AU291" i="61"/>
  <c r="AW291" i="61"/>
  <c r="AY291" i="61"/>
  <c r="BG291" i="61"/>
  <c r="K293" i="61"/>
  <c r="M293" i="61"/>
  <c r="W293" i="61"/>
  <c r="Y293" i="61"/>
  <c r="S293" i="61"/>
  <c r="K285" i="61"/>
  <c r="M285" i="61"/>
  <c r="S285" i="61"/>
  <c r="W285" i="61"/>
  <c r="Y285" i="61"/>
  <c r="BC287" i="61"/>
  <c r="BG286" i="61"/>
  <c r="AY286" i="61"/>
  <c r="W295" i="61"/>
  <c r="O310" i="62"/>
  <c r="Y310" i="62"/>
  <c r="K310" i="62"/>
  <c r="O99" i="62"/>
  <c r="K99" i="62"/>
  <c r="BG298" i="61"/>
  <c r="BG288" i="61"/>
  <c r="BI288" i="61"/>
  <c r="BG282" i="61"/>
  <c r="AY282" i="61"/>
  <c r="W291" i="61"/>
  <c r="Y291" i="61"/>
  <c r="K105" i="62"/>
  <c r="S105" i="62"/>
  <c r="O104" i="62"/>
  <c r="K311" i="62"/>
  <c r="O311" i="62"/>
  <c r="O306" i="62"/>
  <c r="K306" i="62"/>
  <c r="O296" i="62"/>
  <c r="K314" i="62"/>
  <c r="O314" i="62"/>
  <c r="BC295" i="61"/>
  <c r="AC297" i="61"/>
  <c r="AC289" i="61"/>
  <c r="K102" i="62"/>
  <c r="S107" i="62"/>
  <c r="K107" i="62"/>
  <c r="O106" i="62"/>
  <c r="S102" i="62"/>
  <c r="K296" i="62"/>
  <c r="K307" i="62"/>
  <c r="O307" i="62"/>
  <c r="O302" i="62"/>
  <c r="K302" i="62"/>
  <c r="O98" i="62"/>
  <c r="K98" i="62"/>
  <c r="AY296" i="61"/>
  <c r="BG290" i="61"/>
  <c r="W299" i="61"/>
  <c r="W283" i="61"/>
  <c r="AC299" i="61"/>
  <c r="AE299" i="61"/>
  <c r="AC291" i="61"/>
  <c r="AE291" i="61"/>
  <c r="AC283" i="61"/>
  <c r="K109" i="62"/>
  <c r="S109" i="62"/>
  <c r="O108" i="62"/>
  <c r="S104" i="62"/>
  <c r="AE104" i="62"/>
  <c r="AE320" i="62"/>
  <c r="O309" i="62"/>
  <c r="K303" i="62"/>
  <c r="O303" i="62"/>
  <c r="O298" i="62"/>
  <c r="K298" i="62"/>
  <c r="O316" i="62"/>
  <c r="K316" i="62"/>
  <c r="K103" i="62"/>
  <c r="M319" i="62"/>
  <c r="Q319" i="62"/>
  <c r="K309" i="62"/>
  <c r="K305" i="62"/>
  <c r="K301" i="62"/>
  <c r="K297" i="62"/>
  <c r="O299" i="62"/>
  <c r="K315" i="62"/>
  <c r="O101" i="62"/>
  <c r="O97" i="62"/>
  <c r="Y97" i="62"/>
  <c r="O96" i="62"/>
  <c r="O91" i="62"/>
  <c r="O88" i="62"/>
  <c r="O85" i="62"/>
  <c r="Y85" i="62"/>
  <c r="O75" i="62"/>
  <c r="O72" i="62"/>
  <c r="O26" i="62"/>
  <c r="K26" i="62"/>
  <c r="O92" i="62"/>
  <c r="O79" i="62"/>
  <c r="O76" i="62"/>
  <c r="O73" i="62"/>
  <c r="K317" i="62"/>
  <c r="K313" i="62"/>
  <c r="O83" i="62"/>
  <c r="O80" i="62"/>
  <c r="O66" i="62"/>
  <c r="O62" i="62"/>
  <c r="O58" i="62"/>
  <c r="K58" i="62"/>
  <c r="O54" i="62"/>
  <c r="K54" i="62"/>
  <c r="O50" i="62"/>
  <c r="K50" i="62"/>
  <c r="O71" i="62"/>
  <c r="O42" i="62"/>
  <c r="K42" i="62"/>
  <c r="O34" i="62"/>
  <c r="K34" i="62"/>
  <c r="O33" i="62"/>
  <c r="O45" i="62"/>
  <c r="O29" i="62"/>
  <c r="O23" i="62"/>
  <c r="O15" i="62"/>
  <c r="O7" i="62"/>
  <c r="Q7" i="62"/>
  <c r="L118" i="62"/>
  <c r="W279" i="61"/>
  <c r="W275" i="61"/>
  <c r="Y275" i="61"/>
  <c r="W271" i="61"/>
  <c r="O41" i="62"/>
  <c r="O25" i="62"/>
  <c r="O17" i="62"/>
  <c r="O9" i="62"/>
  <c r="P128" i="62"/>
  <c r="T117" i="62"/>
  <c r="S202" i="62"/>
  <c r="X128" i="62"/>
  <c r="K208" i="62"/>
  <c r="S200" i="62"/>
  <c r="X203" i="62"/>
  <c r="X210" i="62"/>
  <c r="AC205" i="61"/>
  <c r="BC207" i="61"/>
  <c r="W206" i="61"/>
  <c r="BG206" i="61"/>
  <c r="AK205" i="61"/>
  <c r="O209" i="61"/>
  <c r="Q209" i="61"/>
  <c r="X209" i="61"/>
  <c r="AG205" i="61"/>
  <c r="AP205" i="61"/>
  <c r="AY207" i="61"/>
  <c r="BH207" i="61"/>
  <c r="K209" i="61"/>
  <c r="T209" i="61"/>
  <c r="K210" i="61"/>
  <c r="M210" i="61"/>
  <c r="O210" i="61"/>
  <c r="W209" i="61"/>
  <c r="AH209" i="61"/>
  <c r="AH208" i="61"/>
  <c r="W208" i="61"/>
  <c r="S209" i="61"/>
  <c r="AD209" i="61"/>
  <c r="S208" i="61"/>
  <c r="AD208" i="61"/>
  <c r="K206" i="61"/>
  <c r="AK209" i="61"/>
  <c r="AW209" i="61"/>
  <c r="BG207" i="61"/>
  <c r="O208" i="61"/>
  <c r="AK210" i="61"/>
  <c r="AC210" i="61"/>
  <c r="BC210" i="61"/>
  <c r="AU210" i="61"/>
  <c r="AD206" i="61"/>
  <c r="S206" i="61"/>
  <c r="O205" i="61"/>
  <c r="K205" i="61"/>
  <c r="W205" i="61"/>
  <c r="S205" i="61"/>
  <c r="AK206" i="61"/>
  <c r="AO206" i="61"/>
  <c r="AG206" i="61"/>
  <c r="AC206" i="61"/>
  <c r="BD207" i="61"/>
  <c r="AU207" i="61"/>
  <c r="BA208" i="61"/>
  <c r="AK208" i="61"/>
  <c r="AC208" i="61"/>
  <c r="BC208" i="61"/>
  <c r="AU208" i="61"/>
  <c r="AG207" i="61"/>
  <c r="AC207" i="61"/>
  <c r="AO207" i="61"/>
  <c r="AK207" i="61"/>
  <c r="AU206" i="61"/>
  <c r="BE206" i="61"/>
  <c r="BD206" i="61"/>
  <c r="AY205" i="61"/>
  <c r="AU205" i="61"/>
  <c r="BG205" i="61"/>
  <c r="BC205" i="61"/>
  <c r="O211" i="61"/>
  <c r="S211" i="61"/>
  <c r="K211" i="61"/>
  <c r="W211" i="61"/>
  <c r="AG211" i="61"/>
  <c r="AO211" i="61"/>
  <c r="BA211" i="61"/>
  <c r="AC211" i="61"/>
  <c r="AK211" i="61"/>
  <c r="BG211" i="61"/>
  <c r="BC211" i="61"/>
  <c r="AU211" i="61"/>
  <c r="W207" i="61"/>
  <c r="S207" i="61"/>
  <c r="O207" i="61"/>
  <c r="K207" i="61"/>
  <c r="AO205" i="61"/>
  <c r="BH206" i="61"/>
  <c r="AY206" i="61"/>
  <c r="BI206" i="61"/>
  <c r="O206" i="61"/>
  <c r="W210" i="61"/>
  <c r="AI210" i="61"/>
  <c r="S210" i="61"/>
  <c r="AK215" i="62"/>
  <c r="AG215" i="62"/>
  <c r="AO215" i="62"/>
  <c r="W215" i="62"/>
  <c r="S215" i="62"/>
  <c r="O215" i="62"/>
  <c r="K215" i="62"/>
  <c r="O609" i="35"/>
  <c r="K608" i="35"/>
  <c r="O608" i="35"/>
  <c r="T263" i="35"/>
  <c r="AK116" i="55"/>
  <c r="AO116" i="55"/>
  <c r="AG116" i="55"/>
  <c r="AQ116" i="55"/>
  <c r="AC116" i="55"/>
  <c r="AL114" i="55"/>
  <c r="AC114" i="55"/>
  <c r="AL90" i="55"/>
  <c r="AC90" i="55"/>
  <c r="T2" i="58"/>
  <c r="T3" i="58"/>
  <c r="AT2" i="58"/>
  <c r="J83" i="35"/>
  <c r="O77" i="35"/>
  <c r="AG3" i="58"/>
  <c r="P16" i="58"/>
  <c r="AO78" i="55"/>
  <c r="AC81" i="55"/>
  <c r="BC70" i="55"/>
  <c r="K135" i="55"/>
  <c r="V39" i="58"/>
  <c r="AG15" i="58"/>
  <c r="AU78" i="55"/>
  <c r="AY89" i="55"/>
  <c r="P41" i="58"/>
  <c r="O599" i="35"/>
  <c r="S85" i="55"/>
  <c r="W80" i="55"/>
  <c r="AI9" i="58"/>
  <c r="AI17" i="58"/>
  <c r="BC125" i="55"/>
  <c r="AU71" i="55"/>
  <c r="O159" i="55"/>
  <c r="O151" i="55"/>
  <c r="O147" i="55"/>
  <c r="BC119" i="55"/>
  <c r="AU160" i="55"/>
  <c r="BC152" i="55"/>
  <c r="AO161" i="55"/>
  <c r="O95" i="35"/>
  <c r="BC78" i="55"/>
  <c r="S80" i="55"/>
  <c r="K80" i="55"/>
  <c r="M80" i="55"/>
  <c r="W85" i="55"/>
  <c r="K79" i="55"/>
  <c r="M79" i="55"/>
  <c r="S81" i="55"/>
  <c r="W84" i="55"/>
  <c r="S78" i="55"/>
  <c r="AK82" i="55"/>
  <c r="K85" i="55"/>
  <c r="M85" i="55"/>
  <c r="AK74" i="55"/>
  <c r="BG70" i="55"/>
  <c r="AY70" i="55"/>
  <c r="K72" i="55"/>
  <c r="M72" i="55"/>
  <c r="W72" i="55"/>
  <c r="AI72" i="55"/>
  <c r="S72" i="55"/>
  <c r="AE72" i="55"/>
  <c r="O70" i="55"/>
  <c r="S70" i="55"/>
  <c r="AG70" i="55"/>
  <c r="AO70" i="55"/>
  <c r="O74" i="55"/>
  <c r="Y74" i="55"/>
  <c r="BC73" i="55"/>
  <c r="BH123" i="55"/>
  <c r="AY123" i="55"/>
  <c r="BI123" i="55"/>
  <c r="AY137" i="55"/>
  <c r="AY141" i="55"/>
  <c r="BG89" i="55"/>
  <c r="AU114" i="55"/>
  <c r="AU128" i="55"/>
  <c r="BE128" i="55"/>
  <c r="AU132" i="55"/>
  <c r="AY140" i="55"/>
  <c r="BG126" i="55"/>
  <c r="AT21" i="58"/>
  <c r="AU124" i="55"/>
  <c r="BE124" i="55"/>
  <c r="AU140" i="55"/>
  <c r="AU122" i="55"/>
  <c r="AP45" i="58"/>
  <c r="AV55" i="58"/>
  <c r="T519" i="35"/>
  <c r="AU110" i="55"/>
  <c r="BG110" i="55"/>
  <c r="BC110" i="55"/>
  <c r="AY110" i="55"/>
  <c r="AV15" i="58"/>
  <c r="AV7" i="58"/>
  <c r="AV38" i="58"/>
  <c r="AV22" i="58"/>
  <c r="BD111" i="55"/>
  <c r="AU111" i="55"/>
  <c r="BE111" i="55"/>
  <c r="AY138" i="55"/>
  <c r="BC138" i="55"/>
  <c r="AU138" i="55"/>
  <c r="BG138" i="55"/>
  <c r="AY97" i="55"/>
  <c r="BG97" i="55"/>
  <c r="BC97" i="55"/>
  <c r="AU97" i="55"/>
  <c r="BG137" i="55"/>
  <c r="BC139" i="55"/>
  <c r="BC141" i="55"/>
  <c r="AU89" i="55"/>
  <c r="AY122" i="55"/>
  <c r="BI122" i="55"/>
  <c r="BG124" i="55"/>
  <c r="BC126" i="55"/>
  <c r="AY128" i="55"/>
  <c r="BI128" i="55"/>
  <c r="BG130" i="55"/>
  <c r="BC132" i="55"/>
  <c r="AY134" i="55"/>
  <c r="BI134" i="55"/>
  <c r="AU136" i="55"/>
  <c r="BE136" i="55"/>
  <c r="AU101" i="55"/>
  <c r="BC102" i="55"/>
  <c r="AU142" i="55"/>
  <c r="BE142" i="55"/>
  <c r="BC106" i="55"/>
  <c r="BC89" i="55"/>
  <c r="BC90" i="55"/>
  <c r="BC140" i="55"/>
  <c r="BG159" i="55"/>
  <c r="AL106" i="55"/>
  <c r="AC106" i="55"/>
  <c r="AM106" i="55"/>
  <c r="AP110" i="55"/>
  <c r="AG110" i="55"/>
  <c r="AQ110" i="55"/>
  <c r="AO108" i="55"/>
  <c r="AG108" i="55"/>
  <c r="AC108" i="55"/>
  <c r="AK108" i="55"/>
  <c r="AW108" i="55"/>
  <c r="AV112" i="55"/>
  <c r="AK112" i="55"/>
  <c r="AK143" i="55"/>
  <c r="AV143" i="55"/>
  <c r="AL126" i="55"/>
  <c r="AC126" i="55"/>
  <c r="AM126" i="55"/>
  <c r="AO156" i="55"/>
  <c r="AZ156" i="55"/>
  <c r="AC128" i="55"/>
  <c r="AG128" i="55"/>
  <c r="AO128" i="55"/>
  <c r="AK128" i="55"/>
  <c r="AW128" i="55"/>
  <c r="AV97" i="55"/>
  <c r="AK97" i="55"/>
  <c r="AG141" i="55"/>
  <c r="AQ141" i="55"/>
  <c r="O687" i="35"/>
  <c r="T513" i="35"/>
  <c r="AC139" i="55"/>
  <c r="AC89" i="55"/>
  <c r="AM89" i="55"/>
  <c r="AE10" i="58"/>
  <c r="AC129" i="55"/>
  <c r="AM129" i="55"/>
  <c r="AC131" i="55"/>
  <c r="AM131" i="55"/>
  <c r="AC133" i="55"/>
  <c r="AM133" i="55"/>
  <c r="O602" i="35"/>
  <c r="AC23" i="58"/>
  <c r="AC39" i="58"/>
  <c r="AC19" i="58"/>
  <c r="AC34" i="58"/>
  <c r="AC35" i="58"/>
  <c r="AC42" i="58"/>
  <c r="AC18" i="58"/>
  <c r="AC43" i="58"/>
  <c r="K89" i="55"/>
  <c r="T33" i="58"/>
  <c r="V37" i="58"/>
  <c r="J602" i="35"/>
  <c r="AI64" i="34"/>
  <c r="S118" i="55"/>
  <c r="K120" i="55"/>
  <c r="S125" i="55"/>
  <c r="AE125" i="55"/>
  <c r="O141" i="55"/>
  <c r="R29" i="58"/>
  <c r="W155" i="55"/>
  <c r="V45" i="58"/>
  <c r="AC47" i="58"/>
  <c r="R37" i="58"/>
  <c r="K150" i="55"/>
  <c r="W161" i="55"/>
  <c r="P11" i="58"/>
  <c r="K121" i="55"/>
  <c r="K125" i="55"/>
  <c r="W136" i="55"/>
  <c r="AI136" i="55"/>
  <c r="S141" i="55"/>
  <c r="W89" i="55"/>
  <c r="AR52" i="58"/>
  <c r="T87" i="35"/>
  <c r="AR19" i="58"/>
  <c r="AR18" i="58"/>
  <c r="AR35" i="58"/>
  <c r="AR27" i="58"/>
  <c r="AR43" i="58"/>
  <c r="AR26" i="58"/>
  <c r="AR34" i="58"/>
  <c r="AR42" i="58"/>
  <c r="T105" i="55"/>
  <c r="K105" i="55"/>
  <c r="T97" i="55"/>
  <c r="K97" i="55"/>
  <c r="O430" i="35"/>
  <c r="AG33" i="58"/>
  <c r="AT6" i="58"/>
  <c r="J87" i="35"/>
  <c r="AG21" i="58"/>
  <c r="AC31" i="58"/>
  <c r="AT17" i="58"/>
  <c r="T85" i="35"/>
  <c r="P4" i="58"/>
  <c r="S89" i="55"/>
  <c r="K132" i="55"/>
  <c r="W135" i="55"/>
  <c r="S130" i="55"/>
  <c r="O130" i="55"/>
  <c r="O126" i="55"/>
  <c r="S126" i="55"/>
  <c r="O101" i="55"/>
  <c r="S101" i="55"/>
  <c r="AE101" i="55"/>
  <c r="AG157" i="55"/>
  <c r="AQ157" i="55"/>
  <c r="AP157" i="55"/>
  <c r="AG29" i="58"/>
  <c r="AG41" i="58"/>
  <c r="AA64" i="34"/>
  <c r="AJ64" i="34"/>
  <c r="W109" i="55"/>
  <c r="AI109" i="55"/>
  <c r="K109" i="55"/>
  <c r="V49" i="58"/>
  <c r="V33" i="58"/>
  <c r="O139" i="55"/>
  <c r="K139" i="55"/>
  <c r="W138" i="55"/>
  <c r="AI138" i="55"/>
  <c r="S138" i="55"/>
  <c r="AE138" i="55"/>
  <c r="K123" i="55"/>
  <c r="W123" i="55"/>
  <c r="AI123" i="55"/>
  <c r="S122" i="55"/>
  <c r="AE122" i="55"/>
  <c r="O122" i="55"/>
  <c r="W119" i="55"/>
  <c r="AI119" i="55"/>
  <c r="K119" i="55"/>
  <c r="O117" i="55"/>
  <c r="K117" i="55"/>
  <c r="W115" i="55"/>
  <c r="AI115" i="55"/>
  <c r="K115" i="55"/>
  <c r="T113" i="55"/>
  <c r="K113" i="55"/>
  <c r="BH136" i="55"/>
  <c r="AY136" i="55"/>
  <c r="AK147" i="55"/>
  <c r="AV147" i="55"/>
  <c r="P15" i="58"/>
  <c r="S139" i="55"/>
  <c r="AP127" i="55"/>
  <c r="AG127" i="55"/>
  <c r="AP105" i="55"/>
  <c r="AG105" i="55"/>
  <c r="P46" i="58"/>
  <c r="AV33" i="58"/>
  <c r="AC151" i="55"/>
  <c r="AG126" i="55"/>
  <c r="AQ126" i="55"/>
  <c r="P22" i="58"/>
  <c r="W151" i="55"/>
  <c r="W160" i="55"/>
  <c r="AI160" i="55"/>
  <c r="AC118" i="55"/>
  <c r="AM118" i="55"/>
  <c r="P30" i="58"/>
  <c r="J353" i="35"/>
  <c r="K93" i="35"/>
  <c r="O93" i="35"/>
  <c r="O91" i="35"/>
  <c r="J92" i="35"/>
  <c r="O92" i="35"/>
  <c r="T94" i="35"/>
  <c r="J265" i="35"/>
  <c r="O349" i="35"/>
  <c r="K90" i="35"/>
  <c r="O90" i="35"/>
  <c r="J91" i="35"/>
  <c r="T349" i="35"/>
  <c r="J349" i="35"/>
  <c r="O340" i="35"/>
  <c r="O343" i="35"/>
  <c r="O342" i="35"/>
  <c r="J348" i="35"/>
  <c r="J257" i="35"/>
  <c r="V31" i="58"/>
  <c r="J80" i="35"/>
  <c r="J82" i="35"/>
  <c r="T91" i="35"/>
  <c r="J679" i="35"/>
  <c r="J254" i="35"/>
  <c r="O254" i="35"/>
  <c r="O508" i="35"/>
  <c r="T431" i="35"/>
  <c r="J517" i="35"/>
  <c r="T603" i="35"/>
  <c r="J688" i="35"/>
  <c r="AY100" i="61"/>
  <c r="K101" i="61"/>
  <c r="M101" i="61"/>
  <c r="AO102" i="61"/>
  <c r="AK104" i="61"/>
  <c r="AM104" i="61"/>
  <c r="AC105" i="61"/>
  <c r="BG99" i="61"/>
  <c r="BI99" i="61"/>
  <c r="K100" i="61"/>
  <c r="M100" i="61"/>
  <c r="AC101" i="61"/>
  <c r="AU98" i="61"/>
  <c r="AU101" i="61"/>
  <c r="AW101" i="61"/>
  <c r="S101" i="61"/>
  <c r="AG102" i="61"/>
  <c r="O99" i="61"/>
  <c r="Q99" i="61"/>
  <c r="K105" i="61"/>
  <c r="M105" i="61"/>
  <c r="K104" i="61"/>
  <c r="M104" i="61"/>
  <c r="AU99" i="61"/>
  <c r="AW99" i="61"/>
  <c r="BD64" i="61"/>
  <c r="BD72" i="61"/>
  <c r="AC88" i="61"/>
  <c r="AK53" i="61"/>
  <c r="AC52" i="61"/>
  <c r="AK49" i="61"/>
  <c r="AC48" i="61"/>
  <c r="AK45" i="61"/>
  <c r="AU94" i="61"/>
  <c r="AU86" i="61"/>
  <c r="BC83" i="61"/>
  <c r="BC47" i="61"/>
  <c r="AY13" i="61"/>
  <c r="BE391" i="62"/>
  <c r="AV391" i="62"/>
  <c r="BI389" i="62"/>
  <c r="BE389" i="62"/>
  <c r="AV389" i="62"/>
  <c r="AV387" i="62"/>
  <c r="BI385" i="62"/>
  <c r="AV385" i="62"/>
  <c r="AV383" i="62"/>
  <c r="BE381" i="62"/>
  <c r="AV381" i="62"/>
  <c r="AV379" i="62"/>
  <c r="AV377" i="62"/>
  <c r="BI375" i="62"/>
  <c r="AV375" i="62"/>
  <c r="X379" i="62"/>
  <c r="T387" i="62"/>
  <c r="L377" i="62"/>
  <c r="X381" i="62"/>
  <c r="T389" i="62"/>
  <c r="P377" i="62"/>
  <c r="U381" i="62"/>
  <c r="P389" i="62"/>
  <c r="L391" i="62"/>
  <c r="L381" i="62"/>
  <c r="X377" i="62"/>
  <c r="T391" i="62"/>
  <c r="P391" i="62"/>
  <c r="L387" i="62"/>
  <c r="P383" i="62"/>
  <c r="AD389" i="62"/>
  <c r="AD385" i="62"/>
  <c r="AD381" i="62"/>
  <c r="AD377" i="62"/>
  <c r="BA391" i="62"/>
  <c r="BA387" i="62"/>
  <c r="BA385" i="62"/>
  <c r="X387" i="62"/>
  <c r="Y391" i="62"/>
  <c r="L385" i="62"/>
  <c r="X389" i="62"/>
  <c r="T381" i="62"/>
  <c r="Q381" i="62"/>
  <c r="X391" i="62"/>
  <c r="AH391" i="62"/>
  <c r="AE391" i="62"/>
  <c r="AP389" i="62"/>
  <c r="AL389" i="62"/>
  <c r="AH387" i="62"/>
  <c r="AE387" i="62"/>
  <c r="AP385" i="62"/>
  <c r="AL385" i="62"/>
  <c r="AH383" i="62"/>
  <c r="AP381" i="62"/>
  <c r="AL381" i="62"/>
  <c r="AH379" i="62"/>
  <c r="AP377" i="62"/>
  <c r="AL377" i="62"/>
  <c r="AH375" i="62"/>
  <c r="AZ391" i="62"/>
  <c r="BD390" i="62"/>
  <c r="AZ389" i="62"/>
  <c r="BD388" i="62"/>
  <c r="AZ387" i="62"/>
  <c r="BD386" i="62"/>
  <c r="AZ385" i="62"/>
  <c r="BD384" i="62"/>
  <c r="AZ383" i="62"/>
  <c r="BD382" i="62"/>
  <c r="AZ381" i="62"/>
  <c r="BD380" i="62"/>
  <c r="AZ379" i="62"/>
  <c r="BD378" i="62"/>
  <c r="AZ377" i="62"/>
  <c r="BD376" i="62"/>
  <c r="AZ375" i="62"/>
  <c r="BD374" i="62"/>
  <c r="AV360" i="62"/>
  <c r="AZ360" i="62"/>
  <c r="BD360" i="62"/>
  <c r="BI360" i="62"/>
  <c r="AH360" i="62"/>
  <c r="T360" i="62"/>
  <c r="AW360" i="62"/>
  <c r="AI360" i="62"/>
  <c r="L360" i="62"/>
  <c r="P360" i="62"/>
  <c r="AV367" i="62"/>
  <c r="BH367" i="62"/>
  <c r="AP367" i="62"/>
  <c r="L367" i="62"/>
  <c r="P367" i="62"/>
  <c r="AQ367" i="62"/>
  <c r="AW367" i="62"/>
  <c r="AZ367" i="62"/>
  <c r="AL367" i="62"/>
  <c r="Q367" i="62"/>
  <c r="AM367" i="62"/>
  <c r="X367" i="62"/>
  <c r="AV359" i="62"/>
  <c r="AZ359" i="62"/>
  <c r="AL359" i="62"/>
  <c r="AP359" i="62"/>
  <c r="T359" i="62"/>
  <c r="BH359" i="62"/>
  <c r="AD359" i="62"/>
  <c r="AH359" i="62"/>
  <c r="L359" i="62"/>
  <c r="X359" i="62"/>
  <c r="BD367" i="62"/>
  <c r="BA358" i="62"/>
  <c r="AH358" i="62"/>
  <c r="T358" i="62"/>
  <c r="BI358" i="62"/>
  <c r="AI358" i="62"/>
  <c r="L358" i="62"/>
  <c r="P358" i="62"/>
  <c r="T362" i="62"/>
  <c r="Y362" i="62"/>
  <c r="M362" i="62"/>
  <c r="X362" i="62"/>
  <c r="AD362" i="62"/>
  <c r="BE367" i="62"/>
  <c r="X360" i="62"/>
  <c r="AD360" i="62"/>
  <c r="BA367" i="62"/>
  <c r="BD359" i="62"/>
  <c r="AZ368" i="62"/>
  <c r="AH368" i="62"/>
  <c r="AV368" i="62"/>
  <c r="AW368" i="62"/>
  <c r="AD368" i="62"/>
  <c r="AP368" i="62"/>
  <c r="AV356" i="62"/>
  <c r="AZ356" i="62"/>
  <c r="X356" i="62"/>
  <c r="BI356" i="62"/>
  <c r="AL356" i="62"/>
  <c r="L356" i="62"/>
  <c r="P356" i="62"/>
  <c r="T356" i="62"/>
  <c r="BA356" i="62"/>
  <c r="AD356" i="62"/>
  <c r="AP356" i="62"/>
  <c r="AQ356" i="62"/>
  <c r="AH334" i="62"/>
  <c r="P334" i="62"/>
  <c r="BH346" i="62"/>
  <c r="L346" i="62"/>
  <c r="AV346" i="62"/>
  <c r="AL346" i="62"/>
  <c r="T346" i="62"/>
  <c r="AE346" i="62"/>
  <c r="AH346" i="62"/>
  <c r="BD346" i="62"/>
  <c r="P346" i="62"/>
  <c r="AP346" i="62"/>
  <c r="AD346" i="62"/>
  <c r="Y346" i="62"/>
  <c r="AI331" i="62"/>
  <c r="P331" i="62"/>
  <c r="BI331" i="62"/>
  <c r="BH331" i="62"/>
  <c r="AW331" i="62"/>
  <c r="AZ331" i="62"/>
  <c r="AD331" i="62"/>
  <c r="AP331" i="62"/>
  <c r="T331" i="62"/>
  <c r="AV331" i="62"/>
  <c r="BD331" i="62"/>
  <c r="BE331" i="62"/>
  <c r="AW351" i="62"/>
  <c r="AZ351" i="62"/>
  <c r="AL351" i="62"/>
  <c r="AP351" i="62"/>
  <c r="L351" i="62"/>
  <c r="P351" i="62"/>
  <c r="T351" i="62"/>
  <c r="BI351" i="62"/>
  <c r="BA351" i="62"/>
  <c r="AD351" i="62"/>
  <c r="AH351" i="62"/>
  <c r="BD351" i="62"/>
  <c r="AI351" i="62"/>
  <c r="X351" i="62"/>
  <c r="BH356" i="62"/>
  <c r="AV351" i="62"/>
  <c r="AW349" i="62"/>
  <c r="AL349" i="62"/>
  <c r="L349" i="62"/>
  <c r="P349" i="62"/>
  <c r="T349" i="62"/>
  <c r="BH349" i="62"/>
  <c r="AD349" i="62"/>
  <c r="AP349" i="62"/>
  <c r="BD349" i="62"/>
  <c r="AV349" i="62"/>
  <c r="AZ349" i="62"/>
  <c r="AH349" i="62"/>
  <c r="AM349" i="62"/>
  <c r="BA334" i="62"/>
  <c r="L334" i="62"/>
  <c r="AD334" i="62"/>
  <c r="AV334" i="62"/>
  <c r="AL334" i="62"/>
  <c r="BD334" i="62"/>
  <c r="X334" i="62"/>
  <c r="T334" i="62"/>
  <c r="BH334" i="62"/>
  <c r="AH356" i="62"/>
  <c r="BD356" i="62"/>
  <c r="BH351" i="62"/>
  <c r="AV344" i="62"/>
  <c r="BH344" i="62"/>
  <c r="AL344" i="62"/>
  <c r="AP344" i="62"/>
  <c r="Y344" i="62"/>
  <c r="AD344" i="62"/>
  <c r="AH344" i="62"/>
  <c r="X344" i="62"/>
  <c r="AI344" i="62"/>
  <c r="P344" i="62"/>
  <c r="T344" i="62"/>
  <c r="BI344" i="62"/>
  <c r="AV329" i="62"/>
  <c r="BH329" i="62"/>
  <c r="BD329" i="62"/>
  <c r="P329" i="62"/>
  <c r="AW329" i="62"/>
  <c r="AZ329" i="62"/>
  <c r="AD329" i="62"/>
  <c r="AP329" i="62"/>
  <c r="AL329" i="62"/>
  <c r="T329" i="62"/>
  <c r="AH329" i="62"/>
  <c r="BH347" i="62"/>
  <c r="BI330" i="62"/>
  <c r="AV333" i="62"/>
  <c r="AZ333" i="62"/>
  <c r="AV101" i="62"/>
  <c r="AZ101" i="62"/>
  <c r="AD101" i="62"/>
  <c r="AL101" i="62"/>
  <c r="BE101" i="62"/>
  <c r="AH101" i="62"/>
  <c r="T101" i="62"/>
  <c r="BH101" i="62"/>
  <c r="AV97" i="62"/>
  <c r="AZ97" i="62"/>
  <c r="AD97" i="62"/>
  <c r="L97" i="62"/>
  <c r="X97" i="62"/>
  <c r="AH97" i="62"/>
  <c r="AL97" i="62"/>
  <c r="BD93" i="62"/>
  <c r="AD93" i="62"/>
  <c r="X93" i="62"/>
  <c r="AZ93" i="62"/>
  <c r="AH93" i="62"/>
  <c r="T93" i="62"/>
  <c r="BH93" i="62"/>
  <c r="AV89" i="62"/>
  <c r="AZ89" i="62"/>
  <c r="L89" i="62"/>
  <c r="AL89" i="62"/>
  <c r="AQ89" i="62"/>
  <c r="AD89" i="62"/>
  <c r="BH89" i="62"/>
  <c r="AV85" i="62"/>
  <c r="BH85" i="62"/>
  <c r="BA85" i="62"/>
  <c r="AH85" i="62"/>
  <c r="T85" i="62"/>
  <c r="AH81" i="62"/>
  <c r="AZ81" i="62"/>
  <c r="AP81" i="62"/>
  <c r="AV65" i="62"/>
  <c r="BH65" i="62"/>
  <c r="AP65" i="62"/>
  <c r="L65" i="62"/>
  <c r="AL65" i="62"/>
  <c r="AZ65" i="62"/>
  <c r="AD65" i="62"/>
  <c r="P65" i="62"/>
  <c r="T65" i="62"/>
  <c r="AV61" i="62"/>
  <c r="BH61" i="62"/>
  <c r="AP61" i="62"/>
  <c r="AH61" i="62"/>
  <c r="BD61" i="62"/>
  <c r="AZ61" i="62"/>
  <c r="X61" i="62"/>
  <c r="AL61" i="62"/>
  <c r="AV57" i="62"/>
  <c r="BH57" i="62"/>
  <c r="AP57" i="62"/>
  <c r="BD57" i="62"/>
  <c r="AZ57" i="62"/>
  <c r="AD57" i="62"/>
  <c r="X57" i="62"/>
  <c r="T57" i="62"/>
  <c r="AW53" i="62"/>
  <c r="AZ53" i="62"/>
  <c r="AH53" i="62"/>
  <c r="BH53" i="62"/>
  <c r="AP53" i="62"/>
  <c r="T53" i="62"/>
  <c r="BD49" i="62"/>
  <c r="AH49" i="62"/>
  <c r="P49" i="62"/>
  <c r="T49" i="62"/>
  <c r="U49" i="62"/>
  <c r="AZ49" i="62"/>
  <c r="AI49" i="62"/>
  <c r="AL49" i="62"/>
  <c r="BH45" i="62"/>
  <c r="P45" i="62"/>
  <c r="T45" i="62"/>
  <c r="AV45" i="62"/>
  <c r="AE45" i="62"/>
  <c r="AP45" i="62"/>
  <c r="L45" i="62"/>
  <c r="AL45" i="62"/>
  <c r="BE41" i="62"/>
  <c r="T41" i="62"/>
  <c r="P41" i="62"/>
  <c r="AD41" i="62"/>
  <c r="AZ41" i="62"/>
  <c r="BD41" i="62"/>
  <c r="AH41" i="62"/>
  <c r="BH41" i="62"/>
  <c r="P395" i="62"/>
  <c r="AZ395" i="62"/>
  <c r="BD421" i="62"/>
  <c r="AV418" i="62"/>
  <c r="BH418" i="62"/>
  <c r="AV414" i="62"/>
  <c r="BH414" i="62"/>
  <c r="BD410" i="62"/>
  <c r="AV410" i="62"/>
  <c r="BH410" i="62"/>
  <c r="BD406" i="62"/>
  <c r="AV406" i="62"/>
  <c r="BH406" i="62"/>
  <c r="BH395" i="62"/>
  <c r="AP395" i="62"/>
  <c r="BD419" i="62"/>
  <c r="AV417" i="62"/>
  <c r="BH417" i="62"/>
  <c r="BD415" i="62"/>
  <c r="AV422" i="62"/>
  <c r="BD412" i="62"/>
  <c r="AV412" i="62"/>
  <c r="BH412" i="62"/>
  <c r="BD408" i="62"/>
  <c r="AV408" i="62"/>
  <c r="BH408" i="62"/>
  <c r="AL395" i="62"/>
  <c r="AV421" i="62"/>
  <c r="AV420" i="62"/>
  <c r="BH420" i="62"/>
  <c r="AZ417" i="62"/>
  <c r="BD416" i="62"/>
  <c r="BH404" i="62"/>
  <c r="BH402" i="62"/>
  <c r="BH400" i="62"/>
  <c r="BH398" i="62"/>
  <c r="BH396" i="62"/>
  <c r="BD413" i="62"/>
  <c r="BD411" i="62"/>
  <c r="BD409" i="62"/>
  <c r="BD407" i="62"/>
  <c r="BD405" i="62"/>
  <c r="AV404" i="62"/>
  <c r="BD403" i="62"/>
  <c r="AV402" i="62"/>
  <c r="BD401" i="62"/>
  <c r="AV400" i="62"/>
  <c r="BD399" i="62"/>
  <c r="AV398" i="62"/>
  <c r="BD397" i="62"/>
  <c r="AV396" i="62"/>
  <c r="AR29" i="58"/>
  <c r="AR45" i="58"/>
  <c r="AR37" i="58"/>
  <c r="AR21" i="58"/>
  <c r="AR33" i="58"/>
  <c r="AR25" i="58"/>
  <c r="AR41" i="58"/>
  <c r="AR49" i="58"/>
  <c r="AV3" i="58"/>
  <c r="AV10" i="58"/>
  <c r="I678" i="35"/>
  <c r="J680" i="35"/>
  <c r="S507" i="35"/>
  <c r="T509" i="35"/>
  <c r="T13" i="58"/>
  <c r="T5" i="58"/>
  <c r="T21" i="58"/>
  <c r="T29" i="58"/>
  <c r="R49" i="58"/>
  <c r="R41" i="58"/>
  <c r="AE29" i="58"/>
  <c r="AE37" i="58"/>
  <c r="L516" i="35"/>
  <c r="O518" i="35"/>
  <c r="AR30" i="58"/>
  <c r="T516" i="35"/>
  <c r="AG49" i="58"/>
  <c r="AG37" i="58"/>
  <c r="O265" i="35"/>
  <c r="AV32" i="58"/>
  <c r="AV48" i="58"/>
  <c r="L253" i="35"/>
  <c r="O255" i="35"/>
  <c r="R39" i="58"/>
  <c r="O510" i="35"/>
  <c r="R47" i="58"/>
  <c r="I93" i="35"/>
  <c r="J95" i="35"/>
  <c r="AE8" i="58"/>
  <c r="AE16" i="58"/>
  <c r="G342" i="35"/>
  <c r="J344" i="35"/>
  <c r="G84" i="35"/>
  <c r="J86" i="35"/>
  <c r="O84" i="35"/>
  <c r="AE26" i="58"/>
  <c r="K351" i="35"/>
  <c r="O351" i="35"/>
  <c r="O353" i="35"/>
  <c r="O681" i="35"/>
  <c r="O348" i="35"/>
  <c r="J89" i="35"/>
  <c r="T353" i="35"/>
  <c r="J77" i="35"/>
  <c r="AC17" i="58"/>
  <c r="T687" i="35"/>
  <c r="AT25" i="58"/>
  <c r="AT33" i="58"/>
  <c r="AG31" i="58"/>
  <c r="AG23" i="58"/>
  <c r="T49" i="58"/>
  <c r="J687" i="35"/>
  <c r="P93" i="35"/>
  <c r="T93" i="35"/>
  <c r="T95" i="35"/>
  <c r="T692" i="35"/>
  <c r="T83" i="35"/>
  <c r="J426" i="35"/>
  <c r="O607" i="35"/>
  <c r="O690" i="35"/>
  <c r="J341" i="35"/>
  <c r="O692" i="35"/>
  <c r="J435" i="35"/>
  <c r="T435" i="35"/>
  <c r="T261" i="35"/>
  <c r="T521" i="35"/>
  <c r="O261" i="35"/>
  <c r="J261" i="35"/>
  <c r="J264" i="35"/>
  <c r="O23" i="35"/>
  <c r="J112" i="35"/>
  <c r="J458" i="35"/>
  <c r="T338" i="35"/>
  <c r="J544" i="35"/>
  <c r="J255" i="35"/>
  <c r="T438" i="35"/>
  <c r="T695" i="35"/>
  <c r="J90" i="35"/>
  <c r="J335" i="35"/>
  <c r="J284" i="35"/>
  <c r="J372" i="35"/>
  <c r="J26" i="35"/>
  <c r="J629" i="35"/>
  <c r="AP10" i="58"/>
  <c r="AP3" i="58"/>
  <c r="T41" i="58"/>
  <c r="AT39" i="58"/>
  <c r="J430" i="35"/>
  <c r="R31" i="58"/>
  <c r="AG47" i="58"/>
  <c r="T48" i="58"/>
  <c r="AT41" i="58"/>
  <c r="AE11" i="58"/>
  <c r="AT29" i="58"/>
  <c r="T42" i="34"/>
  <c r="AJ42" i="34"/>
  <c r="AI42" i="34"/>
  <c r="T92" i="34"/>
  <c r="AJ92" i="34"/>
  <c r="T18" i="58"/>
  <c r="T26" i="58"/>
  <c r="AR48" i="58"/>
  <c r="AR40" i="58"/>
  <c r="AT47" i="58"/>
  <c r="R23" i="58"/>
  <c r="AG39" i="58"/>
  <c r="T24" i="58"/>
  <c r="AT49" i="58"/>
  <c r="AE2" i="58"/>
  <c r="O81" i="35"/>
  <c r="AT37" i="58"/>
  <c r="AA78" i="34"/>
  <c r="AV43" i="58"/>
  <c r="AV34" i="58"/>
  <c r="AV26" i="58"/>
  <c r="AV42" i="58"/>
  <c r="AV19" i="58"/>
  <c r="AV35" i="58"/>
  <c r="AV18" i="58"/>
  <c r="AI40" i="58"/>
  <c r="AI48" i="58"/>
  <c r="AT15" i="58"/>
  <c r="AT31" i="58"/>
  <c r="T430" i="35"/>
  <c r="T32" i="58"/>
  <c r="T32" i="34"/>
  <c r="AJ32" i="34"/>
  <c r="AI32" i="34"/>
  <c r="AA83" i="34"/>
  <c r="T113" i="34"/>
  <c r="AJ113" i="34"/>
  <c r="AA14" i="34"/>
  <c r="AJ14" i="34"/>
  <c r="AI14" i="34"/>
  <c r="O434" i="35"/>
  <c r="AI43" i="58"/>
  <c r="AI18" i="58"/>
  <c r="AP35" i="58"/>
  <c r="AP42" i="58"/>
  <c r="AP26" i="58"/>
  <c r="AI7" i="58"/>
  <c r="AI15" i="58"/>
  <c r="T15" i="34"/>
  <c r="AJ15" i="34"/>
  <c r="AI15" i="34"/>
  <c r="T17" i="34"/>
  <c r="AJ17" i="34"/>
  <c r="AI17" i="34"/>
  <c r="T29" i="34"/>
  <c r="AJ29" i="34"/>
  <c r="AI29" i="34"/>
  <c r="T66" i="34"/>
  <c r="AJ66" i="34"/>
  <c r="T71" i="34"/>
  <c r="AJ71" i="34"/>
  <c r="T118" i="34"/>
  <c r="AJ118" i="34"/>
  <c r="T86" i="34"/>
  <c r="AJ86" i="34"/>
  <c r="AI51" i="34"/>
  <c r="AA51" i="34"/>
  <c r="AJ51" i="34"/>
  <c r="F251" i="35"/>
  <c r="F250" i="35"/>
  <c r="F79" i="35"/>
  <c r="F165" i="35"/>
  <c r="K337" i="35"/>
  <c r="K336" i="35"/>
  <c r="K165" i="35"/>
  <c r="Q251" i="35"/>
  <c r="T251" i="35"/>
  <c r="Q337" i="35"/>
  <c r="Q165" i="35"/>
  <c r="AE43" i="58"/>
  <c r="AE27" i="58"/>
  <c r="AP31" i="58"/>
  <c r="AP23" i="58"/>
  <c r="AJ21" i="34"/>
  <c r="AJ45" i="34"/>
  <c r="AJ48" i="34"/>
  <c r="O89" i="35"/>
  <c r="J260" i="35"/>
  <c r="T80" i="35"/>
  <c r="T82" i="35"/>
  <c r="Q81" i="35"/>
  <c r="T86" i="35"/>
  <c r="T92" i="35"/>
  <c r="J94" i="35"/>
  <c r="J162" i="35"/>
  <c r="O341" i="35"/>
  <c r="T343" i="35"/>
  <c r="G253" i="35"/>
  <c r="O89" i="55"/>
  <c r="Y89" i="55"/>
  <c r="O129" i="55"/>
  <c r="W129" i="55"/>
  <c r="AI129" i="55"/>
  <c r="AJ27" i="34"/>
  <c r="AI21" i="34"/>
  <c r="AJ31" i="34"/>
  <c r="AI44" i="34"/>
  <c r="AJ28" i="34"/>
  <c r="AJ47" i="34"/>
  <c r="T347" i="35"/>
  <c r="O606" i="35"/>
  <c r="O259" i="35"/>
  <c r="O520" i="35"/>
  <c r="F346" i="35"/>
  <c r="F691" i="35"/>
  <c r="H606" i="35"/>
  <c r="H605" i="35"/>
  <c r="T56" i="58"/>
  <c r="T90" i="35"/>
  <c r="P28" i="58"/>
  <c r="J171" i="35"/>
  <c r="T171" i="35"/>
  <c r="T255" i="35"/>
  <c r="AC70" i="55"/>
  <c r="K83" i="55"/>
  <c r="M83" i="55"/>
  <c r="AK81" i="55"/>
  <c r="AI22" i="34"/>
  <c r="AI48" i="34"/>
  <c r="AJ33" i="34"/>
  <c r="L165" i="35"/>
  <c r="H174" i="35"/>
  <c r="L251" i="35"/>
  <c r="L250" i="35"/>
  <c r="R337" i="35"/>
  <c r="R336" i="35"/>
  <c r="T434" i="35"/>
  <c r="G346" i="35"/>
  <c r="G345" i="35"/>
  <c r="G520" i="35"/>
  <c r="G519" i="35"/>
  <c r="F434" i="35"/>
  <c r="F433" i="35"/>
  <c r="M88" i="35"/>
  <c r="M87" i="35"/>
  <c r="H434" i="35"/>
  <c r="H433" i="35"/>
  <c r="T76" i="35"/>
  <c r="O168" i="35"/>
  <c r="P31" i="58"/>
  <c r="O249" i="35"/>
  <c r="J248" i="35"/>
  <c r="O80" i="55"/>
  <c r="Q80" i="55"/>
  <c r="S83" i="55"/>
  <c r="K78" i="55"/>
  <c r="M78" i="55"/>
  <c r="W137" i="55"/>
  <c r="AI137" i="55"/>
  <c r="S137" i="55"/>
  <c r="AE137" i="55"/>
  <c r="S135" i="55"/>
  <c r="O135" i="55"/>
  <c r="T131" i="55"/>
  <c r="K131" i="55"/>
  <c r="AG93" i="55"/>
  <c r="AK93" i="55"/>
  <c r="AW93" i="55"/>
  <c r="AY78" i="55"/>
  <c r="AG85" i="55"/>
  <c r="AG83" i="55"/>
  <c r="J613" i="35"/>
  <c r="V25" i="58"/>
  <c r="P49" i="58"/>
  <c r="AE5" i="58"/>
  <c r="AE13" i="58"/>
  <c r="AV49" i="58"/>
  <c r="AV25" i="58"/>
  <c r="O514" i="35"/>
  <c r="O600" i="35"/>
  <c r="J695" i="35"/>
  <c r="AO160" i="55"/>
  <c r="AZ160" i="55"/>
  <c r="F526" i="35"/>
  <c r="F525" i="35"/>
  <c r="G697" i="35"/>
  <c r="R30" i="58"/>
  <c r="P33" i="58"/>
  <c r="O598" i="35"/>
  <c r="BG81" i="55"/>
  <c r="K127" i="55"/>
  <c r="AC94" i="55"/>
  <c r="AM94" i="55"/>
  <c r="I439" i="35"/>
  <c r="S439" i="35"/>
  <c r="J422" i="35"/>
  <c r="J508" i="35"/>
  <c r="AY71" i="55"/>
  <c r="O155" i="55"/>
  <c r="O152" i="55"/>
  <c r="AK155" i="55"/>
  <c r="AG154" i="55"/>
  <c r="AC147" i="55"/>
  <c r="T683" i="35"/>
  <c r="J604" i="35"/>
  <c r="O438" i="35"/>
  <c r="O524" i="35"/>
  <c r="O610" i="35"/>
  <c r="K154" i="55"/>
  <c r="AG155" i="55"/>
  <c r="AG151" i="55"/>
  <c r="AK151" i="55"/>
  <c r="AO155" i="55"/>
  <c r="AC152" i="55"/>
  <c r="AM152" i="55"/>
  <c r="AU82" i="55"/>
  <c r="W147" i="55"/>
  <c r="AI147" i="55"/>
  <c r="AO151" i="55"/>
  <c r="BG143" i="55"/>
  <c r="J685" i="35"/>
  <c r="O431" i="35"/>
  <c r="J598" i="35"/>
  <c r="S156" i="55"/>
  <c r="AG158" i="55"/>
  <c r="AJ56" i="34"/>
  <c r="P53" i="58"/>
  <c r="AT48" i="58"/>
  <c r="AT40" i="58"/>
  <c r="AJ20" i="34"/>
  <c r="T82" i="58"/>
  <c r="AG16" i="58"/>
  <c r="AG8" i="58"/>
  <c r="T137" i="55"/>
  <c r="K137" i="55"/>
  <c r="AL140" i="55"/>
  <c r="AC140" i="55"/>
  <c r="AM140" i="55"/>
  <c r="AJ55" i="34"/>
  <c r="AJ22" i="34"/>
  <c r="AC11" i="58"/>
  <c r="AC2" i="58"/>
  <c r="AC10" i="58"/>
  <c r="AC142" i="55"/>
  <c r="AG142" i="55"/>
  <c r="AO142" i="55"/>
  <c r="BA142" i="55"/>
  <c r="AK142" i="55"/>
  <c r="AE48" i="58"/>
  <c r="AE24" i="58"/>
  <c r="T342" i="35"/>
  <c r="AP40" i="58"/>
  <c r="AP32" i="58"/>
  <c r="AP48" i="58"/>
  <c r="AP24" i="58"/>
  <c r="N165" i="35"/>
  <c r="K433" i="35"/>
  <c r="N87" i="35"/>
  <c r="F259" i="35"/>
  <c r="J347" i="35"/>
  <c r="Q79" i="35"/>
  <c r="Q78" i="35"/>
  <c r="K79" i="35"/>
  <c r="I251" i="35"/>
  <c r="I250" i="35"/>
  <c r="J692" i="35"/>
  <c r="T88" i="35"/>
  <c r="AC27" i="58"/>
  <c r="R2" i="58"/>
  <c r="R11" i="58"/>
  <c r="P3" i="58"/>
  <c r="AI34" i="58"/>
  <c r="AV27" i="58"/>
  <c r="AP18" i="58"/>
  <c r="AI3" i="58"/>
  <c r="O80" i="35"/>
  <c r="T265" i="35"/>
  <c r="T162" i="35"/>
  <c r="P39" i="58"/>
  <c r="AI8" i="58"/>
  <c r="J263" i="35"/>
  <c r="T344" i="35"/>
  <c r="K339" i="35"/>
  <c r="T341" i="35"/>
  <c r="P339" i="35"/>
  <c r="T348" i="35"/>
  <c r="O258" i="35"/>
  <c r="T258" i="35"/>
  <c r="AU70" i="55"/>
  <c r="O85" i="55"/>
  <c r="Q85" i="55"/>
  <c r="W70" i="55"/>
  <c r="W83" i="55"/>
  <c r="K82" i="55"/>
  <c r="AC79" i="55"/>
  <c r="AJ46" i="34"/>
  <c r="AJ16" i="34"/>
  <c r="AJ18" i="34"/>
  <c r="AJ26" i="34"/>
  <c r="AJ44" i="34"/>
  <c r="T89" i="35"/>
  <c r="F337" i="35"/>
  <c r="F336" i="35"/>
  <c r="O347" i="35"/>
  <c r="N337" i="35"/>
  <c r="N336" i="35"/>
  <c r="O521" i="35"/>
  <c r="O435" i="35"/>
  <c r="J521" i="35"/>
  <c r="O691" i="35"/>
  <c r="J88" i="35"/>
  <c r="T691" i="35"/>
  <c r="R10" i="58"/>
  <c r="T35" i="58"/>
  <c r="J85" i="35"/>
  <c r="O85" i="35"/>
  <c r="O162" i="35"/>
  <c r="J168" i="35"/>
  <c r="O171" i="35"/>
  <c r="T262" i="35"/>
  <c r="J262" i="35"/>
  <c r="J343" i="35"/>
  <c r="T249" i="35"/>
  <c r="O263" i="35"/>
  <c r="O264" i="35"/>
  <c r="T264" i="35"/>
  <c r="AW70" i="55"/>
  <c r="K81" i="55"/>
  <c r="M81" i="55"/>
  <c r="W81" i="55"/>
  <c r="W79" i="55"/>
  <c r="O79" i="55"/>
  <c r="Q79" i="55"/>
  <c r="AG78" i="55"/>
  <c r="AI78" i="55"/>
  <c r="K99" i="55"/>
  <c r="S99" i="55"/>
  <c r="AE99" i="55"/>
  <c r="T98" i="55"/>
  <c r="K98" i="55"/>
  <c r="K91" i="55"/>
  <c r="W91" i="55"/>
  <c r="AI91" i="55"/>
  <c r="AL124" i="55"/>
  <c r="AC124" i="55"/>
  <c r="AM124" i="55"/>
  <c r="BD107" i="55"/>
  <c r="AU107" i="55"/>
  <c r="BE107" i="55"/>
  <c r="AJ25" i="34"/>
  <c r="J607" i="35"/>
  <c r="T43" i="58"/>
  <c r="P35" i="58"/>
  <c r="O82" i="35"/>
  <c r="T168" i="35"/>
  <c r="P23" i="58"/>
  <c r="O262" i="35"/>
  <c r="T256" i="35"/>
  <c r="J334" i="35"/>
  <c r="J338" i="35"/>
  <c r="O338" i="35"/>
  <c r="J350" i="35"/>
  <c r="T350" i="35"/>
  <c r="T248" i="35"/>
  <c r="O252" i="35"/>
  <c r="P253" i="35"/>
  <c r="T257" i="35"/>
  <c r="S84" i="55"/>
  <c r="U84" i="55"/>
  <c r="AJ19" i="34"/>
  <c r="AJ24" i="34"/>
  <c r="AJ53" i="34"/>
  <c r="F605" i="35"/>
  <c r="Q433" i="35"/>
  <c r="AG60" i="58"/>
  <c r="T606" i="35"/>
  <c r="N251" i="35"/>
  <c r="N250" i="35"/>
  <c r="T607" i="35"/>
  <c r="AO80" i="55"/>
  <c r="AC80" i="55"/>
  <c r="K141" i="55"/>
  <c r="K133" i="55"/>
  <c r="K93" i="55"/>
  <c r="BD91" i="55"/>
  <c r="AU91" i="55"/>
  <c r="BE91" i="55"/>
  <c r="O334" i="35"/>
  <c r="T334" i="35"/>
  <c r="O350" i="35"/>
  <c r="J351" i="35"/>
  <c r="O248" i="35"/>
  <c r="J249" i="35"/>
  <c r="O257" i="35"/>
  <c r="J258" i="35"/>
  <c r="AC100" i="55"/>
  <c r="AO93" i="55"/>
  <c r="R13" i="58"/>
  <c r="R5" i="58"/>
  <c r="M694" i="35"/>
  <c r="M693" i="35"/>
  <c r="R694" i="35"/>
  <c r="R693" i="35"/>
  <c r="L611" i="35"/>
  <c r="M611" i="35"/>
  <c r="I526" i="35"/>
  <c r="I525" i="35"/>
  <c r="N612" i="35"/>
  <c r="T14" i="58"/>
  <c r="AP30" i="58"/>
  <c r="AP46" i="58"/>
  <c r="J515" i="35"/>
  <c r="T515" i="35"/>
  <c r="M523" i="35"/>
  <c r="M522" i="35"/>
  <c r="R523" i="35"/>
  <c r="R522" i="35"/>
  <c r="I612" i="35"/>
  <c r="J612" i="35"/>
  <c r="AC14" i="58"/>
  <c r="AC6" i="58"/>
  <c r="AI5" i="58"/>
  <c r="AI13" i="58"/>
  <c r="AV13" i="58"/>
  <c r="AV30" i="58"/>
  <c r="AV46" i="58"/>
  <c r="O515" i="35"/>
  <c r="L513" i="35"/>
  <c r="R9" i="58"/>
  <c r="AT13" i="58"/>
  <c r="P21" i="58"/>
  <c r="P45" i="58"/>
  <c r="O422" i="35"/>
  <c r="J428" i="35"/>
  <c r="T428" i="35"/>
  <c r="J514" i="35"/>
  <c r="O512" i="35"/>
  <c r="AP21" i="58"/>
  <c r="AP37" i="58"/>
  <c r="AP33" i="58"/>
  <c r="AP49" i="58"/>
  <c r="J524" i="35"/>
  <c r="BG84" i="55"/>
  <c r="AY84" i="55"/>
  <c r="T422" i="35"/>
  <c r="J594" i="35"/>
  <c r="O679" i="35"/>
  <c r="T508" i="35"/>
  <c r="T514" i="35"/>
  <c r="J600" i="35"/>
  <c r="T600" i="35"/>
  <c r="J601" i="35"/>
  <c r="O601" i="35"/>
  <c r="O686" i="35"/>
  <c r="J518" i="35"/>
  <c r="J610" i="35"/>
  <c r="T610" i="35"/>
  <c r="J603" i="35"/>
  <c r="O603" i="35"/>
  <c r="T335" i="35"/>
  <c r="T595" i="35"/>
  <c r="J683" i="35"/>
  <c r="O683" i="35"/>
  <c r="T426" i="35"/>
  <c r="T512" i="35"/>
  <c r="T598" i="35"/>
  <c r="O429" i="35"/>
  <c r="J438" i="35"/>
  <c r="O695" i="35"/>
  <c r="AY82" i="55"/>
  <c r="AC148" i="55"/>
  <c r="AO148" i="55"/>
  <c r="AC144" i="55"/>
  <c r="AO144" i="55"/>
  <c r="AK144" i="55"/>
  <c r="BG79" i="55"/>
  <c r="K160" i="55"/>
  <c r="K152" i="55"/>
  <c r="O143" i="55"/>
  <c r="AG144" i="55"/>
  <c r="AK148" i="55"/>
  <c r="AY155" i="55"/>
  <c r="AC143" i="55"/>
  <c r="S160" i="55"/>
  <c r="AK150" i="55"/>
  <c r="AU154" i="55"/>
  <c r="AU146" i="55"/>
  <c r="BG155" i="55"/>
  <c r="K156" i="55"/>
  <c r="O156" i="55"/>
  <c r="S152" i="55"/>
  <c r="AK154" i="55"/>
  <c r="AO158" i="55"/>
  <c r="AC160" i="55"/>
  <c r="AM160" i="55"/>
  <c r="AC156" i="55"/>
  <c r="AY73" i="55"/>
  <c r="BI73" i="55"/>
  <c r="AG159" i="55"/>
  <c r="AQ159" i="55"/>
  <c r="AG148" i="55"/>
  <c r="AK158" i="55"/>
  <c r="AO154" i="55"/>
  <c r="T602" i="35"/>
  <c r="AJ43" i="34"/>
  <c r="AJ49" i="34"/>
  <c r="AJ54" i="34"/>
  <c r="AC57" i="58"/>
  <c r="O345" i="35"/>
  <c r="V18" i="58"/>
  <c r="V19" i="58"/>
  <c r="V48" i="58"/>
  <c r="V40" i="58"/>
  <c r="AE47" i="58"/>
  <c r="AE23" i="58"/>
  <c r="AR47" i="58"/>
  <c r="AR23" i="58"/>
  <c r="V82" i="58"/>
  <c r="V73" i="58"/>
  <c r="T605" i="35"/>
  <c r="V15" i="58"/>
  <c r="V7" i="58"/>
  <c r="T39" i="58"/>
  <c r="T23" i="58"/>
  <c r="AJ52" i="34"/>
  <c r="T351" i="35"/>
  <c r="R16" i="58"/>
  <c r="R8" i="58"/>
  <c r="AC7" i="58"/>
  <c r="AC15" i="58"/>
  <c r="V23" i="58"/>
  <c r="V47" i="58"/>
  <c r="AI39" i="58"/>
  <c r="AI31" i="58"/>
  <c r="AI23" i="58"/>
  <c r="AI47" i="58"/>
  <c r="AV39" i="58"/>
  <c r="AV47" i="58"/>
  <c r="R82" i="58"/>
  <c r="AE82" i="58"/>
  <c r="AE73" i="58"/>
  <c r="AR7" i="58"/>
  <c r="AR15" i="58"/>
  <c r="G433" i="35"/>
  <c r="L605" i="35"/>
  <c r="O605" i="35"/>
  <c r="O346" i="35"/>
  <c r="G337" i="35"/>
  <c r="G336" i="35"/>
  <c r="AV73" i="58"/>
  <c r="R79" i="35"/>
  <c r="T520" i="35"/>
  <c r="AC26" i="58"/>
  <c r="T77" i="35"/>
  <c r="P26" i="58"/>
  <c r="AI27" i="58"/>
  <c r="AT11" i="58"/>
  <c r="AE18" i="58"/>
  <c r="AC3" i="58"/>
  <c r="AP47" i="58"/>
  <c r="P690" i="35"/>
  <c r="AV82" i="58"/>
  <c r="T260" i="35"/>
  <c r="AE34" i="58"/>
  <c r="R84" i="35"/>
  <c r="K519" i="35"/>
  <c r="O84" i="55"/>
  <c r="Q84" i="55"/>
  <c r="O78" i="55"/>
  <c r="Q78" i="55"/>
  <c r="AG81" i="55"/>
  <c r="AG89" i="55"/>
  <c r="AO89" i="55"/>
  <c r="O82" i="55"/>
  <c r="Q82" i="55"/>
  <c r="W82" i="55"/>
  <c r="AG82" i="55"/>
  <c r="AO82" i="55"/>
  <c r="AC82" i="55"/>
  <c r="K142" i="55"/>
  <c r="O142" i="55"/>
  <c r="K140" i="55"/>
  <c r="O140" i="55"/>
  <c r="K138" i="55"/>
  <c r="O138" i="55"/>
  <c r="K136" i="55"/>
  <c r="S136" i="55"/>
  <c r="AE136" i="55"/>
  <c r="K134" i="55"/>
  <c r="S134" i="55"/>
  <c r="AE134" i="55"/>
  <c r="W132" i="55"/>
  <c r="AI132" i="55"/>
  <c r="S132" i="55"/>
  <c r="AE132" i="55"/>
  <c r="K130" i="55"/>
  <c r="W130" i="55"/>
  <c r="S128" i="55"/>
  <c r="AE128" i="55"/>
  <c r="K128" i="55"/>
  <c r="K126" i="55"/>
  <c r="W126" i="55"/>
  <c r="AI126" i="55"/>
  <c r="W124" i="55"/>
  <c r="AI124" i="55"/>
  <c r="S124" i="55"/>
  <c r="K122" i="55"/>
  <c r="W122" i="55"/>
  <c r="AI122" i="55"/>
  <c r="W120" i="55"/>
  <c r="AI120" i="55"/>
  <c r="S120" i="55"/>
  <c r="K118" i="55"/>
  <c r="W118" i="55"/>
  <c r="K116" i="55"/>
  <c r="W116" i="55"/>
  <c r="K114" i="55"/>
  <c r="W114" i="55"/>
  <c r="K112" i="55"/>
  <c r="W112" i="55"/>
  <c r="AI112" i="55"/>
  <c r="K110" i="55"/>
  <c r="W110" i="55"/>
  <c r="K108" i="55"/>
  <c r="W108" i="55"/>
  <c r="K106" i="55"/>
  <c r="W106" i="55"/>
  <c r="K104" i="55"/>
  <c r="W104" i="55"/>
  <c r="AI104" i="55"/>
  <c r="K102" i="55"/>
  <c r="W102" i="55"/>
  <c r="K100" i="55"/>
  <c r="W100" i="55"/>
  <c r="AI100" i="55"/>
  <c r="W98" i="55"/>
  <c r="AI98" i="55"/>
  <c r="S98" i="55"/>
  <c r="W96" i="55"/>
  <c r="AI96" i="55"/>
  <c r="S96" i="55"/>
  <c r="AE96" i="55"/>
  <c r="W94" i="55"/>
  <c r="AI94" i="55"/>
  <c r="S94" i="55"/>
  <c r="S92" i="55"/>
  <c r="O92" i="55"/>
  <c r="S90" i="55"/>
  <c r="AE90" i="55"/>
  <c r="O90" i="55"/>
  <c r="P14" i="58"/>
  <c r="P6" i="58"/>
  <c r="T429" i="35"/>
  <c r="Q427" i="35"/>
  <c r="AV6" i="58"/>
  <c r="AV14" i="58"/>
  <c r="AI46" i="58"/>
  <c r="AI38" i="58"/>
  <c r="AI22" i="58"/>
  <c r="AI30" i="58"/>
  <c r="AI49" i="58"/>
  <c r="AI41" i="58"/>
  <c r="AI25" i="58"/>
  <c r="AI33" i="58"/>
  <c r="AV45" i="58"/>
  <c r="AV37" i="58"/>
  <c r="AV21" i="58"/>
  <c r="AV29" i="58"/>
  <c r="BG85" i="55"/>
  <c r="BC85" i="55"/>
  <c r="AY85" i="55"/>
  <c r="AU85" i="55"/>
  <c r="AW85" i="55"/>
  <c r="I694" i="35"/>
  <c r="I693" i="35"/>
  <c r="J693" i="35"/>
  <c r="I609" i="35"/>
  <c r="I608" i="35"/>
  <c r="I523" i="35"/>
  <c r="I522" i="35"/>
  <c r="I437" i="35"/>
  <c r="I436" i="35"/>
  <c r="AY79" i="55"/>
  <c r="BA79" i="55"/>
  <c r="AZ79" i="55"/>
  <c r="AV17" i="58"/>
  <c r="L678" i="35"/>
  <c r="O680" i="35"/>
  <c r="K439" i="35"/>
  <c r="AR17" i="58"/>
  <c r="AR9" i="58"/>
  <c r="G439" i="35"/>
  <c r="J441" i="35"/>
  <c r="K523" i="35"/>
  <c r="K694" i="35"/>
  <c r="P694" i="35"/>
  <c r="P437" i="35"/>
  <c r="P523" i="35"/>
  <c r="R6" i="58"/>
  <c r="AR14" i="58"/>
  <c r="AR6" i="58"/>
  <c r="AI45" i="58"/>
  <c r="AI37" i="58"/>
  <c r="AI21" i="58"/>
  <c r="O594" i="35"/>
  <c r="T594" i="35"/>
  <c r="T425" i="35"/>
  <c r="Q424" i="35"/>
  <c r="O685" i="35"/>
  <c r="J431" i="35"/>
  <c r="O426" i="35"/>
  <c r="I684" i="35"/>
  <c r="J686" i="35"/>
  <c r="AC29" i="58"/>
  <c r="AC21" i="58"/>
  <c r="AC37" i="58"/>
  <c r="T524" i="35"/>
  <c r="AY83" i="55"/>
  <c r="BA83" i="55"/>
  <c r="BC83" i="55"/>
  <c r="BG83" i="55"/>
  <c r="AU83" i="55"/>
  <c r="AY80" i="55"/>
  <c r="AU80" i="55"/>
  <c r="BC80" i="55"/>
  <c r="BG80" i="55"/>
  <c r="F437" i="35"/>
  <c r="F523" i="35"/>
  <c r="F609" i="35"/>
  <c r="N437" i="35"/>
  <c r="N523" i="35"/>
  <c r="N522" i="35"/>
  <c r="S694" i="35"/>
  <c r="S693" i="35"/>
  <c r="S437" i="35"/>
  <c r="S436" i="35"/>
  <c r="S609" i="35"/>
  <c r="H440" i="35"/>
  <c r="H439" i="35"/>
  <c r="L525" i="35"/>
  <c r="H697" i="35"/>
  <c r="H696" i="35"/>
  <c r="L439" i="35"/>
  <c r="H526" i="35"/>
  <c r="H525" i="35"/>
  <c r="M440" i="35"/>
  <c r="Q696" i="35"/>
  <c r="Q525" i="35"/>
  <c r="M697" i="35"/>
  <c r="M696" i="35"/>
  <c r="M526" i="35"/>
  <c r="O526" i="35"/>
  <c r="R440" i="35"/>
  <c r="S696" i="35"/>
  <c r="S525" i="35"/>
  <c r="R697" i="35"/>
  <c r="R526" i="35"/>
  <c r="J516" i="35"/>
  <c r="AC33" i="58"/>
  <c r="AC25" i="58"/>
  <c r="AC41" i="58"/>
  <c r="T685" i="35"/>
  <c r="O517" i="35"/>
  <c r="T517" i="35"/>
  <c r="H507" i="35"/>
  <c r="J509" i="35"/>
  <c r="J595" i="35"/>
  <c r="H593" i="35"/>
  <c r="J512" i="35"/>
  <c r="AI14" i="58"/>
  <c r="AI6" i="58"/>
  <c r="T601" i="35"/>
  <c r="T686" i="35"/>
  <c r="P684" i="35"/>
  <c r="T45" i="58"/>
  <c r="T37" i="58"/>
  <c r="V38" i="58"/>
  <c r="V30" i="58"/>
  <c r="V22" i="58"/>
  <c r="V46" i="58"/>
  <c r="T518" i="35"/>
  <c r="BC84" i="55"/>
  <c r="BG82" i="55"/>
  <c r="L696" i="35"/>
  <c r="R612" i="35"/>
  <c r="T612" i="35"/>
  <c r="P13" i="58"/>
  <c r="P5" i="58"/>
  <c r="T30" i="58"/>
  <c r="T22" i="58"/>
  <c r="T38" i="58"/>
  <c r="T46" i="58"/>
  <c r="AC30" i="58"/>
  <c r="AC22" i="58"/>
  <c r="AC38" i="58"/>
  <c r="T679" i="35"/>
  <c r="Q510" i="35"/>
  <c r="T511" i="35"/>
  <c r="O428" i="35"/>
  <c r="O688" i="35"/>
  <c r="T688" i="35"/>
  <c r="I427" i="35"/>
  <c r="J429" i="35"/>
  <c r="J527" i="35"/>
  <c r="AV81" i="55"/>
  <c r="AU81" i="55"/>
  <c r="BC82" i="55"/>
  <c r="N439" i="35"/>
  <c r="F440" i="35"/>
  <c r="I697" i="35"/>
  <c r="N697" i="35"/>
  <c r="N696" i="35"/>
  <c r="R46" i="58"/>
  <c r="P37" i="58"/>
  <c r="V41" i="58"/>
  <c r="AP22" i="58"/>
  <c r="AP25" i="58"/>
  <c r="AP6" i="58"/>
  <c r="AP13" i="58"/>
  <c r="J425" i="35"/>
  <c r="P593" i="35"/>
  <c r="G599" i="35"/>
  <c r="L684" i="35"/>
  <c r="P599" i="35"/>
  <c r="AU84" i="55"/>
  <c r="AW84" i="55"/>
  <c r="BC81" i="55"/>
  <c r="AY81" i="55"/>
  <c r="R22" i="58"/>
  <c r="AP5" i="58"/>
  <c r="BC79" i="55"/>
  <c r="AU79" i="55"/>
  <c r="AO74" i="55"/>
  <c r="S149" i="55"/>
  <c r="K149" i="55"/>
  <c r="W149" i="55"/>
  <c r="AI149" i="55"/>
  <c r="O149" i="55"/>
  <c r="W146" i="55"/>
  <c r="O146" i="55"/>
  <c r="S146" i="55"/>
  <c r="AE146" i="55"/>
  <c r="K146" i="55"/>
  <c r="W143" i="55"/>
  <c r="O72" i="55"/>
  <c r="Y72" i="55"/>
  <c r="W158" i="55"/>
  <c r="AI158" i="55"/>
  <c r="O158" i="55"/>
  <c r="S158" i="55"/>
  <c r="K158" i="55"/>
  <c r="S153" i="55"/>
  <c r="K153" i="55"/>
  <c r="W153" i="55"/>
  <c r="AI153" i="55"/>
  <c r="O153" i="55"/>
  <c r="AY158" i="55"/>
  <c r="BC158" i="55"/>
  <c r="BG158" i="55"/>
  <c r="AU158" i="55"/>
  <c r="BG162" i="55"/>
  <c r="AU162" i="55"/>
  <c r="AY162" i="55"/>
  <c r="BC162" i="55"/>
  <c r="W159" i="55"/>
  <c r="AI159" i="55"/>
  <c r="W156" i="55"/>
  <c r="AI156" i="55"/>
  <c r="K155" i="55"/>
  <c r="S155" i="55"/>
  <c r="K147" i="55"/>
  <c r="S147" i="55"/>
  <c r="AE147" i="55"/>
  <c r="O144" i="55"/>
  <c r="W144" i="55"/>
  <c r="AI144" i="55"/>
  <c r="K144" i="55"/>
  <c r="BC151" i="55"/>
  <c r="AU151" i="55"/>
  <c r="AY151" i="55"/>
  <c r="BG151" i="55"/>
  <c r="BG148" i="55"/>
  <c r="AU148" i="55"/>
  <c r="AY148" i="55"/>
  <c r="BC148" i="55"/>
  <c r="S144" i="55"/>
  <c r="AE144" i="55"/>
  <c r="S157" i="55"/>
  <c r="K157" i="55"/>
  <c r="W157" i="55"/>
  <c r="O157" i="55"/>
  <c r="W152" i="55"/>
  <c r="AI152" i="55"/>
  <c r="K151" i="55"/>
  <c r="S151" i="55"/>
  <c r="O148" i="55"/>
  <c r="W148" i="55"/>
  <c r="K148" i="55"/>
  <c r="S145" i="55"/>
  <c r="K145" i="55"/>
  <c r="W145" i="55"/>
  <c r="AI145" i="55"/>
  <c r="O145" i="55"/>
  <c r="BC161" i="55"/>
  <c r="AU161" i="55"/>
  <c r="BG161" i="55"/>
  <c r="AY161" i="55"/>
  <c r="K159" i="55"/>
  <c r="S159" i="55"/>
  <c r="W154" i="55"/>
  <c r="O154" i="55"/>
  <c r="S154" i="55"/>
  <c r="W150" i="55"/>
  <c r="AI150" i="55"/>
  <c r="O150" i="55"/>
  <c r="S150" i="55"/>
  <c r="K143" i="55"/>
  <c r="S143" i="55"/>
  <c r="AU145" i="55"/>
  <c r="BG145" i="55"/>
  <c r="AY145" i="55"/>
  <c r="BC145" i="55"/>
  <c r="BC159" i="55"/>
  <c r="AU159" i="55"/>
  <c r="BG156" i="55"/>
  <c r="AY156" i="55"/>
  <c r="BG153" i="55"/>
  <c r="AY153" i="55"/>
  <c r="BC153" i="55"/>
  <c r="AY150" i="55"/>
  <c r="BC150" i="55"/>
  <c r="BG150" i="55"/>
  <c r="BC143" i="55"/>
  <c r="AU143" i="55"/>
  <c r="S161" i="55"/>
  <c r="K161" i="55"/>
  <c r="AK161" i="55"/>
  <c r="AC161" i="55"/>
  <c r="AU150" i="55"/>
  <c r="BE150" i="55"/>
  <c r="AY159" i="55"/>
  <c r="BI159" i="55"/>
  <c r="AY143" i="55"/>
  <c r="BC156" i="55"/>
  <c r="BG160" i="55"/>
  <c r="AY160" i="55"/>
  <c r="BG157" i="55"/>
  <c r="AY157" i="55"/>
  <c r="BC157" i="55"/>
  <c r="AY154" i="55"/>
  <c r="BC154" i="55"/>
  <c r="BG154" i="55"/>
  <c r="BC147" i="55"/>
  <c r="AU147" i="55"/>
  <c r="BG144" i="55"/>
  <c r="AU144" i="55"/>
  <c r="AY144" i="55"/>
  <c r="O161" i="55"/>
  <c r="W162" i="55"/>
  <c r="K162" i="55"/>
  <c r="O162" i="55"/>
  <c r="AG161" i="55"/>
  <c r="AO162" i="55"/>
  <c r="AC162" i="55"/>
  <c r="AG162" i="55"/>
  <c r="AC158" i="55"/>
  <c r="AM158" i="55"/>
  <c r="AC157" i="55"/>
  <c r="AK157" i="55"/>
  <c r="AC159" i="55"/>
  <c r="AM159" i="55"/>
  <c r="AC154" i="55"/>
  <c r="AM154" i="55"/>
  <c r="AC153" i="55"/>
  <c r="AK153" i="55"/>
  <c r="AC149" i="55"/>
  <c r="AK149" i="55"/>
  <c r="AW149" i="55"/>
  <c r="AC145" i="55"/>
  <c r="AK145" i="55"/>
  <c r="AU153" i="55"/>
  <c r="BE153" i="55"/>
  <c r="AY147" i="55"/>
  <c r="BC160" i="55"/>
  <c r="BC144" i="55"/>
  <c r="BC155" i="55"/>
  <c r="AU155" i="55"/>
  <c r="BG152" i="55"/>
  <c r="AU152" i="55"/>
  <c r="AY152" i="55"/>
  <c r="BG149" i="55"/>
  <c r="AY149" i="55"/>
  <c r="BC149" i="55"/>
  <c r="BG147" i="55"/>
  <c r="AY146" i="55"/>
  <c r="BC146" i="55"/>
  <c r="BG146" i="55"/>
  <c r="S162" i="55"/>
  <c r="AK162" i="55"/>
  <c r="AC155" i="55"/>
  <c r="AG413" i="62"/>
  <c r="AU407" i="62"/>
  <c r="AU397" i="62"/>
  <c r="G414" i="62" a="1"/>
  <c r="G414" i="62"/>
  <c r="G412" i="62" a="1"/>
  <c r="G412" i="62"/>
  <c r="AG412" i="62"/>
  <c r="BG406" i="62"/>
  <c r="BI406" i="62"/>
  <c r="AG406" i="62"/>
  <c r="BG420" i="62"/>
  <c r="AC399" i="62"/>
  <c r="AK405" i="62"/>
  <c r="AU421" i="62"/>
  <c r="AU415" i="62"/>
  <c r="BG413" i="62"/>
  <c r="AU411" i="62"/>
  <c r="BG407" i="62"/>
  <c r="AU405" i="62"/>
  <c r="AU403" i="62"/>
  <c r="BG399" i="62"/>
  <c r="BG397" i="62"/>
  <c r="AU417" i="62"/>
  <c r="BE417" i="62"/>
  <c r="AY400" i="62"/>
  <c r="G400" i="62" a="1"/>
  <c r="G400" i="62"/>
  <c r="AO416" i="62"/>
  <c r="AO411" i="62"/>
  <c r="BC420" i="62"/>
  <c r="BC414" i="62"/>
  <c r="BC412" i="62"/>
  <c r="BC410" i="62"/>
  <c r="BC408" i="62"/>
  <c r="BC406" i="62"/>
  <c r="BC404" i="62"/>
  <c r="BC398" i="62"/>
  <c r="BG405" i="62"/>
  <c r="AU399" i="62"/>
  <c r="AU413" i="62"/>
  <c r="H400" i="62" a="1"/>
  <c r="H400" i="62"/>
  <c r="AO399" i="62"/>
  <c r="AQ399" i="62"/>
  <c r="AU409" i="62"/>
  <c r="AU401" i="62"/>
  <c r="AC412" i="62"/>
  <c r="BG411" i="62"/>
  <c r="BG409" i="62"/>
  <c r="AY404" i="62"/>
  <c r="BG403" i="62"/>
  <c r="AU396" i="62"/>
  <c r="G395" i="62" a="1"/>
  <c r="G395" i="62"/>
  <c r="AY420" i="62"/>
  <c r="AY402" i="62"/>
  <c r="AY398" i="62"/>
  <c r="AU416" i="62"/>
  <c r="AY415" i="62"/>
  <c r="AK413" i="62"/>
  <c r="AG405" i="62"/>
  <c r="AC405" i="62"/>
  <c r="BG414" i="62"/>
  <c r="AG402" i="62"/>
  <c r="H403" i="62" a="1"/>
  <c r="H403" i="62"/>
  <c r="G403" i="62" a="1"/>
  <c r="G403" i="62"/>
  <c r="AC420" i="62"/>
  <c r="AC417" i="62"/>
  <c r="AC415" i="62"/>
  <c r="AK412" i="62"/>
  <c r="AO415" i="62"/>
  <c r="AO413" i="62"/>
  <c r="AQ413" i="62"/>
  <c r="AO405" i="62"/>
  <c r="AQ405" i="62"/>
  <c r="AK406" i="62"/>
  <c r="AK402" i="62"/>
  <c r="AG417" i="62"/>
  <c r="AK416" i="62"/>
  <c r="AC411" i="62"/>
  <c r="AG411" i="62"/>
  <c r="AG415" i="62"/>
  <c r="AG416" i="62"/>
  <c r="S406" i="62"/>
  <c r="AC419" i="62"/>
  <c r="AC416" i="62"/>
  <c r="AG420" i="62"/>
  <c r="AG422" i="62"/>
  <c r="AO420" i="62"/>
  <c r="AC418" i="62"/>
  <c r="AK415" i="62"/>
  <c r="AM415" i="62"/>
  <c r="AC414" i="62"/>
  <c r="AK411" i="62"/>
  <c r="AC410" i="62"/>
  <c r="AK407" i="62"/>
  <c r="AK403" i="62"/>
  <c r="AK399" i="62"/>
  <c r="BG412" i="62"/>
  <c r="BG410" i="62"/>
  <c r="BI410" i="62"/>
  <c r="BG408" i="62"/>
  <c r="BG404" i="62"/>
  <c r="BI404" i="62"/>
  <c r="BG402" i="62"/>
  <c r="BI402" i="62"/>
  <c r="BG400" i="62"/>
  <c r="AK417" i="62"/>
  <c r="O406" i="62"/>
  <c r="Q406" i="62"/>
  <c r="AK420" i="62"/>
  <c r="AG419" i="62"/>
  <c r="AC402" i="62"/>
  <c r="AC406" i="62"/>
  <c r="BG396" i="62"/>
  <c r="K406" i="62"/>
  <c r="M406" i="62"/>
  <c r="AO419" i="62"/>
  <c r="AC400" i="62"/>
  <c r="AC396" i="62"/>
  <c r="AO402" i="62"/>
  <c r="AO406" i="62"/>
  <c r="BC396" i="62"/>
  <c r="AY396" i="62"/>
  <c r="AK398" i="62"/>
  <c r="AO398" i="62"/>
  <c r="AQ398" i="62"/>
  <c r="AC398" i="62"/>
  <c r="AK421" i="62"/>
  <c r="AO421" i="62"/>
  <c r="AG421" i="62"/>
  <c r="AU406" i="62"/>
  <c r="AY422" i="62"/>
  <c r="BC422" i="62"/>
  <c r="AU422" i="62"/>
  <c r="BG422" i="62"/>
  <c r="S403" i="62"/>
  <c r="K400" i="62"/>
  <c r="M400" i="62"/>
  <c r="AK400" i="62"/>
  <c r="O419" i="62"/>
  <c r="Q419" i="62"/>
  <c r="S415" i="62"/>
  <c r="K413" i="62"/>
  <c r="M413" i="62"/>
  <c r="W403" i="62"/>
  <c r="AC413" i="62"/>
  <c r="AO400" i="62"/>
  <c r="AU414" i="62"/>
  <c r="AU412" i="62"/>
  <c r="AW412" i="62"/>
  <c r="AU410" i="62"/>
  <c r="AU408" i="62"/>
  <c r="AU404" i="62"/>
  <c r="AU398" i="62"/>
  <c r="S413" i="62"/>
  <c r="O403" i="62"/>
  <c r="AK422" i="62"/>
  <c r="BG417" i="62"/>
  <c r="AU395" i="62"/>
  <c r="BC395" i="62"/>
  <c r="O400" i="62"/>
  <c r="Q400" i="62"/>
  <c r="AG395" i="62"/>
  <c r="AO395" i="62"/>
  <c r="H414" i="62" a="1"/>
  <c r="H414" i="62"/>
  <c r="S401" i="62"/>
  <c r="S400" i="62"/>
  <c r="AO401" i="62"/>
  <c r="AC401" i="62"/>
  <c r="AG401" i="62"/>
  <c r="AK401" i="62"/>
  <c r="K415" i="62"/>
  <c r="M415" i="62"/>
  <c r="S410" i="62"/>
  <c r="AK419" i="62"/>
  <c r="AO408" i="62"/>
  <c r="AO404" i="62"/>
  <c r="AK396" i="62"/>
  <c r="AU420" i="62"/>
  <c r="O415" i="62"/>
  <c r="Q415" i="62"/>
  <c r="AK395" i="62"/>
  <c r="AC408" i="62"/>
  <c r="AC404" i="62"/>
  <c r="AO396" i="62"/>
  <c r="BG395" i="62"/>
  <c r="AY418" i="62"/>
  <c r="AU418" i="62"/>
  <c r="AY417" i="62"/>
  <c r="AU402" i="62"/>
  <c r="AU400" i="62"/>
  <c r="K411" i="62"/>
  <c r="M411" i="62"/>
  <c r="K403" i="62"/>
  <c r="AC395" i="62"/>
  <c r="AK408" i="62"/>
  <c r="AK404" i="62"/>
  <c r="AM404" i="62"/>
  <c r="AY395" i="62"/>
  <c r="BG421" i="62"/>
  <c r="BG418" i="62"/>
  <c r="BI418" i="62"/>
  <c r="O414" i="62"/>
  <c r="Q414" i="62"/>
  <c r="K414" i="62"/>
  <c r="M414" i="62"/>
  <c r="W408" i="62"/>
  <c r="S408" i="62"/>
  <c r="K408" i="62"/>
  <c r="K404" i="62"/>
  <c r="M404" i="62"/>
  <c r="O404" i="62"/>
  <c r="Q404" i="62"/>
  <c r="S404" i="62"/>
  <c r="K398" i="62"/>
  <c r="M398" i="62"/>
  <c r="O398" i="62"/>
  <c r="Q398" i="62"/>
  <c r="S398" i="62"/>
  <c r="AC397" i="62"/>
  <c r="AG397" i="62"/>
  <c r="AK397" i="62"/>
  <c r="AO397" i="62"/>
  <c r="S399" i="62"/>
  <c r="K399" i="62"/>
  <c r="M399" i="62"/>
  <c r="O399" i="62"/>
  <c r="Q399" i="62"/>
  <c r="S396" i="62"/>
  <c r="O396" i="62"/>
  <c r="Q396" i="62"/>
  <c r="BC419" i="62"/>
  <c r="AY419" i="62"/>
  <c r="AU419" i="62"/>
  <c r="AW419" i="62"/>
  <c r="S409" i="62"/>
  <c r="O409" i="62"/>
  <c r="Q409" i="62"/>
  <c r="S402" i="62"/>
  <c r="K402" i="62"/>
  <c r="M402" i="62"/>
  <c r="O402" i="62"/>
  <c r="Q402" i="62"/>
  <c r="K397" i="62"/>
  <c r="M397" i="62"/>
  <c r="AK409" i="62"/>
  <c r="AO409" i="62"/>
  <c r="AC409" i="62"/>
  <c r="AE409" i="62"/>
  <c r="AG409" i="62"/>
  <c r="S416" i="62"/>
  <c r="O410" i="62"/>
  <c r="Q410" i="62"/>
  <c r="AO422" i="62"/>
  <c r="AG418" i="62"/>
  <c r="AO417" i="62"/>
  <c r="AG414" i="62"/>
  <c r="AO412" i="62"/>
  <c r="AG410" i="62"/>
  <c r="AO407" i="62"/>
  <c r="AO403" i="62"/>
  <c r="AY421" i="62"/>
  <c r="K419" i="62"/>
  <c r="M419" i="62"/>
  <c r="S405" i="62"/>
  <c r="AC421" i="62"/>
  <c r="S419" i="62"/>
  <c r="S411" i="62"/>
  <c r="S407" i="62"/>
  <c r="K395" i="62"/>
  <c r="S395" i="62"/>
  <c r="W395" i="62"/>
  <c r="O395" i="62"/>
  <c r="O422" i="62"/>
  <c r="Q422" i="62"/>
  <c r="S422" i="62"/>
  <c r="K422" i="62"/>
  <c r="M422" i="62"/>
  <c r="S412" i="62"/>
  <c r="O412" i="62"/>
  <c r="Q412" i="62"/>
  <c r="K412" i="62"/>
  <c r="M412" i="62"/>
  <c r="S417" i="62"/>
  <c r="O417" i="62"/>
  <c r="Q417" i="62"/>
  <c r="K417" i="62"/>
  <c r="M417" i="62"/>
  <c r="O420" i="62"/>
  <c r="Q420" i="62"/>
  <c r="S420" i="62"/>
  <c r="K420" i="62"/>
  <c r="M420" i="62"/>
  <c r="K421" i="62"/>
  <c r="M421" i="62"/>
  <c r="O421" i="62"/>
  <c r="Q421" i="62"/>
  <c r="S421" i="62"/>
  <c r="O418" i="62"/>
  <c r="Q418" i="62"/>
  <c r="S418" i="62"/>
  <c r="K418" i="62"/>
  <c r="M418" i="62"/>
  <c r="K401" i="62"/>
  <c r="M401" i="62"/>
  <c r="K405" i="62"/>
  <c r="M405" i="62"/>
  <c r="S414" i="62"/>
  <c r="K396" i="62"/>
  <c r="M396" i="62"/>
  <c r="O407" i="62"/>
  <c r="Q407" i="62"/>
  <c r="AO410" i="62"/>
  <c r="AO414" i="62"/>
  <c r="AO418" i="62"/>
  <c r="AG403" i="62"/>
  <c r="AG407" i="62"/>
  <c r="AC422" i="62"/>
  <c r="K410" i="62"/>
  <c r="M410" i="62"/>
  <c r="O401" i="62"/>
  <c r="Q401" i="62"/>
  <c r="W396" i="62"/>
  <c r="K407" i="62"/>
  <c r="M407" i="62"/>
  <c r="AK410" i="62"/>
  <c r="AK414" i="62"/>
  <c r="AK418" i="62"/>
  <c r="AC403" i="62"/>
  <c r="AC407" i="62"/>
  <c r="K409" i="62"/>
  <c r="M409" i="62"/>
  <c r="O408" i="62"/>
  <c r="S397" i="62"/>
  <c r="U397" i="62"/>
  <c r="K416" i="62"/>
  <c r="M416" i="62"/>
  <c r="O416" i="62"/>
  <c r="Q416" i="62"/>
  <c r="O405" i="62"/>
  <c r="Q405" i="62"/>
  <c r="O397" i="62"/>
  <c r="Q397" i="62"/>
  <c r="BC409" i="62"/>
  <c r="AY409" i="62"/>
  <c r="BC401" i="62"/>
  <c r="AY401" i="62"/>
  <c r="BC415" i="62"/>
  <c r="BC407" i="62"/>
  <c r="AY407" i="62"/>
  <c r="BC399" i="62"/>
  <c r="BE399" i="62"/>
  <c r="AY399" i="62"/>
  <c r="BG419" i="62"/>
  <c r="BC413" i="62"/>
  <c r="AY413" i="62"/>
  <c r="BC405" i="62"/>
  <c r="AY405" i="62"/>
  <c r="BC421" i="62"/>
  <c r="BG416" i="62"/>
  <c r="AY416" i="62"/>
  <c r="BC416" i="62"/>
  <c r="BG415" i="62"/>
  <c r="BC411" i="62"/>
  <c r="BE411" i="62"/>
  <c r="AY411" i="62"/>
  <c r="BC403" i="62"/>
  <c r="AY403" i="62"/>
  <c r="BC397" i="62"/>
  <c r="BE397" i="62"/>
  <c r="AY397" i="62"/>
  <c r="AU263" i="61"/>
  <c r="AG266" i="61"/>
  <c r="AC266" i="61"/>
  <c r="AY265" i="61"/>
  <c r="AY263" i="61"/>
  <c r="AY260" i="61"/>
  <c r="H249" i="61" a="1"/>
  <c r="H249" i="61"/>
  <c r="G249" i="61" a="1"/>
  <c r="G249" i="61"/>
  <c r="AU264" i="61"/>
  <c r="AG252" i="61"/>
  <c r="AD254" i="61"/>
  <c r="BH263" i="61"/>
  <c r="AK260" i="61"/>
  <c r="BG265" i="61"/>
  <c r="AC261" i="61"/>
  <c r="BC265" i="61"/>
  <c r="BG264" i="61"/>
  <c r="AP238" i="61"/>
  <c r="AP252" i="61"/>
  <c r="AK238" i="61"/>
  <c r="X246" i="61"/>
  <c r="AK252" i="61"/>
  <c r="AC252" i="61"/>
  <c r="AM252" i="61"/>
  <c r="AL252" i="61"/>
  <c r="S257" i="61"/>
  <c r="AD257" i="61"/>
  <c r="S249" i="61"/>
  <c r="AD249" i="61"/>
  <c r="K257" i="61"/>
  <c r="U257" i="61"/>
  <c r="T257" i="61"/>
  <c r="K249" i="61"/>
  <c r="U249" i="61"/>
  <c r="T249" i="61"/>
  <c r="K239" i="61"/>
  <c r="S239" i="61"/>
  <c r="BH239" i="61"/>
  <c r="AP260" i="61"/>
  <c r="AG261" i="61"/>
  <c r="AU260" i="61"/>
  <c r="AK266" i="61"/>
  <c r="AW266" i="61"/>
  <c r="AK261" i="61"/>
  <c r="BC260" i="61"/>
  <c r="K246" i="61"/>
  <c r="K242" i="61"/>
  <c r="S246" i="61"/>
  <c r="S242" i="61"/>
  <c r="O236" i="35"/>
  <c r="O257" i="61"/>
  <c r="X257" i="61"/>
  <c r="K253" i="61"/>
  <c r="M253" i="61"/>
  <c r="S244" i="61"/>
  <c r="AD244" i="61"/>
  <c r="O239" i="61"/>
  <c r="X239" i="61"/>
  <c r="BG262" i="61"/>
  <c r="BC262" i="61"/>
  <c r="K243" i="61"/>
  <c r="T243" i="61"/>
  <c r="X244" i="61"/>
  <c r="O244" i="61"/>
  <c r="W248" i="61"/>
  <c r="W243" i="61"/>
  <c r="AC263" i="61"/>
  <c r="AO263" i="61"/>
  <c r="BA263" i="61"/>
  <c r="AK263" i="61"/>
  <c r="AG263" i="61"/>
  <c r="AU261" i="61"/>
  <c r="BG261" i="61"/>
  <c r="AY261" i="61"/>
  <c r="O243" i="61"/>
  <c r="Y243" i="61"/>
  <c r="X243" i="61"/>
  <c r="AO262" i="61"/>
  <c r="BC261" i="61"/>
  <c r="O253" i="61"/>
  <c r="O250" i="61"/>
  <c r="O241" i="61"/>
  <c r="Q241" i="61"/>
  <c r="AC256" i="61"/>
  <c r="K245" i="61"/>
  <c r="M245" i="61"/>
  <c r="O258" i="61"/>
  <c r="Q258" i="61"/>
  <c r="O245" i="61"/>
  <c r="S245" i="61"/>
  <c r="K248" i="61"/>
  <c r="K241" i="61"/>
  <c r="M241" i="61"/>
  <c r="O248" i="61"/>
  <c r="S250" i="61"/>
  <c r="S248" i="61"/>
  <c r="AG256" i="61"/>
  <c r="AO248" i="61"/>
  <c r="K258" i="61"/>
  <c r="K250" i="61"/>
  <c r="M250" i="61"/>
  <c r="S258" i="61"/>
  <c r="S241" i="61"/>
  <c r="AK256" i="61"/>
  <c r="W239" i="61"/>
  <c r="AH239" i="61"/>
  <c r="AO264" i="61"/>
  <c r="AZ264" i="61"/>
  <c r="AG240" i="61"/>
  <c r="AO240" i="61"/>
  <c r="AC240" i="61"/>
  <c r="AK240" i="61"/>
  <c r="AY240" i="61"/>
  <c r="BC240" i="61"/>
  <c r="BG240" i="61"/>
  <c r="AU240" i="61"/>
  <c r="AV264" i="61"/>
  <c r="AK264" i="61"/>
  <c r="AK239" i="61"/>
  <c r="AW239" i="61"/>
  <c r="AV239" i="61"/>
  <c r="O249" i="61"/>
  <c r="Q249" i="61"/>
  <c r="X249" i="61"/>
  <c r="S243" i="61"/>
  <c r="AD243" i="61"/>
  <c r="AG264" i="61"/>
  <c r="AP264" i="61"/>
  <c r="AG262" i="61"/>
  <c r="AQ262" i="61"/>
  <c r="AP262" i="61"/>
  <c r="AO261" i="61"/>
  <c r="AZ261" i="61"/>
  <c r="AG239" i="61"/>
  <c r="AP239" i="61"/>
  <c r="BH262" i="61"/>
  <c r="AY262" i="61"/>
  <c r="BI262" i="61"/>
  <c r="K244" i="61"/>
  <c r="T244" i="61"/>
  <c r="AD253" i="61"/>
  <c r="S253" i="61"/>
  <c r="AG265" i="61"/>
  <c r="AO265" i="61"/>
  <c r="AC265" i="61"/>
  <c r="AC262" i="61"/>
  <c r="AL262" i="61"/>
  <c r="AL239" i="61"/>
  <c r="AC239" i="61"/>
  <c r="AU262" i="61"/>
  <c r="BD262" i="61"/>
  <c r="AU248" i="61"/>
  <c r="BD248" i="61"/>
  <c r="W245" i="61"/>
  <c r="W241" i="61"/>
  <c r="AC243" i="61"/>
  <c r="AG251" i="61"/>
  <c r="AG248" i="61"/>
  <c r="AK251" i="61"/>
  <c r="AK248" i="61"/>
  <c r="AW248" i="61"/>
  <c r="AO251" i="61"/>
  <c r="AK262" i="61"/>
  <c r="AW262" i="61"/>
  <c r="AO239" i="61"/>
  <c r="BA239" i="61"/>
  <c r="W246" i="61"/>
  <c r="W242" i="61"/>
  <c r="Y242" i="61"/>
  <c r="AG243" i="61"/>
  <c r="AK243" i="61"/>
  <c r="AC264" i="61"/>
  <c r="AC251" i="61"/>
  <c r="AC248" i="61"/>
  <c r="BC248" i="61"/>
  <c r="W257" i="61"/>
  <c r="W253" i="61"/>
  <c r="W249" i="61"/>
  <c r="AY248" i="61"/>
  <c r="BI248" i="61"/>
  <c r="K265" i="61"/>
  <c r="O265" i="61"/>
  <c r="S265" i="61"/>
  <c r="W265" i="61"/>
  <c r="K260" i="61"/>
  <c r="O260" i="61"/>
  <c r="Q260" i="61"/>
  <c r="S260" i="61"/>
  <c r="W260" i="61"/>
  <c r="O238" i="61"/>
  <c r="K238" i="61"/>
  <c r="M238" i="61"/>
  <c r="W238" i="61"/>
  <c r="S238" i="61"/>
  <c r="W266" i="61"/>
  <c r="O266" i="61"/>
  <c r="Q266" i="61"/>
  <c r="K266" i="61"/>
  <c r="M266" i="61"/>
  <c r="S266" i="61"/>
  <c r="W263" i="61"/>
  <c r="S263" i="61"/>
  <c r="K263" i="61"/>
  <c r="O263" i="61"/>
  <c r="W240" i="61"/>
  <c r="AH240" i="61"/>
  <c r="K264" i="61"/>
  <c r="M264" i="61"/>
  <c r="S264" i="61"/>
  <c r="W264" i="61"/>
  <c r="O264" i="61"/>
  <c r="Q264" i="61"/>
  <c r="K261" i="61"/>
  <c r="S261" i="61"/>
  <c r="W261" i="61"/>
  <c r="O261" i="61"/>
  <c r="Q261" i="61"/>
  <c r="S240" i="61"/>
  <c r="AD240" i="61"/>
  <c r="W262" i="61"/>
  <c r="K262" i="61"/>
  <c r="M262" i="61"/>
  <c r="O262" i="61"/>
  <c r="S262" i="61"/>
  <c r="O240" i="61"/>
  <c r="Y240" i="61"/>
  <c r="X240" i="61"/>
  <c r="K240" i="61"/>
  <c r="U240" i="61"/>
  <c r="AK265" i="61"/>
  <c r="BG239" i="61"/>
  <c r="W258" i="61"/>
  <c r="W254" i="61"/>
  <c r="W250" i="61"/>
  <c r="AO260" i="61"/>
  <c r="BG260" i="61"/>
  <c r="S259" i="61"/>
  <c r="O259" i="61"/>
  <c r="K259" i="61"/>
  <c r="W259" i="61"/>
  <c r="S255" i="61"/>
  <c r="O255" i="61"/>
  <c r="K255" i="61"/>
  <c r="W255" i="61"/>
  <c r="S251" i="61"/>
  <c r="O251" i="61"/>
  <c r="K251" i="61"/>
  <c r="W251" i="61"/>
  <c r="AI251" i="61"/>
  <c r="BC238" i="61"/>
  <c r="BG238" i="61"/>
  <c r="AU238" i="61"/>
  <c r="AY238" i="61"/>
  <c r="BA238" i="61"/>
  <c r="AY264" i="61"/>
  <c r="BC264" i="61"/>
  <c r="W256" i="61"/>
  <c r="S256" i="61"/>
  <c r="O256" i="61"/>
  <c r="K256" i="61"/>
  <c r="W252" i="61"/>
  <c r="S252" i="61"/>
  <c r="O252" i="61"/>
  <c r="K252" i="61"/>
  <c r="AO258" i="61"/>
  <c r="AK258" i="61"/>
  <c r="AG258" i="61"/>
  <c r="AC258" i="61"/>
  <c r="AM258" i="61"/>
  <c r="AO256" i="61"/>
  <c r="AO253" i="61"/>
  <c r="AK253" i="61"/>
  <c r="AG253" i="61"/>
  <c r="AQ253" i="61"/>
  <c r="AC253" i="61"/>
  <c r="AK246" i="61"/>
  <c r="AG246" i="61"/>
  <c r="AC246" i="61"/>
  <c r="AM246" i="61"/>
  <c r="AO246" i="61"/>
  <c r="BG246" i="61"/>
  <c r="BC246" i="61"/>
  <c r="AY246" i="61"/>
  <c r="BI246" i="61"/>
  <c r="AU246" i="61"/>
  <c r="BG243" i="61"/>
  <c r="BC243" i="61"/>
  <c r="AY243" i="61"/>
  <c r="BI243" i="61"/>
  <c r="AU243" i="61"/>
  <c r="BG241" i="61"/>
  <c r="BC241" i="61"/>
  <c r="AY241" i="61"/>
  <c r="AU241" i="61"/>
  <c r="AK259" i="61"/>
  <c r="AG259" i="61"/>
  <c r="AC259" i="61"/>
  <c r="AM259" i="61"/>
  <c r="AO259" i="61"/>
  <c r="AO250" i="61"/>
  <c r="AK250" i="61"/>
  <c r="AG250" i="61"/>
  <c r="AQ250" i="61"/>
  <c r="AC250" i="61"/>
  <c r="AO244" i="61"/>
  <c r="AK244" i="61"/>
  <c r="AG244" i="61"/>
  <c r="AQ244" i="61"/>
  <c r="AC244" i="61"/>
  <c r="AO241" i="61"/>
  <c r="AK241" i="61"/>
  <c r="AG241" i="61"/>
  <c r="AC241" i="61"/>
  <c r="BG258" i="61"/>
  <c r="BC258" i="61"/>
  <c r="AY258" i="61"/>
  <c r="BI258" i="61"/>
  <c r="AU258" i="61"/>
  <c r="BG256" i="61"/>
  <c r="BC256" i="61"/>
  <c r="AY256" i="61"/>
  <c r="BI256" i="61"/>
  <c r="AU256" i="61"/>
  <c r="BG254" i="61"/>
  <c r="BC254" i="61"/>
  <c r="AY254" i="61"/>
  <c r="BI254" i="61"/>
  <c r="AU254" i="61"/>
  <c r="BG252" i="61"/>
  <c r="BC252" i="61"/>
  <c r="AY252" i="61"/>
  <c r="BI252" i="61"/>
  <c r="AU252" i="61"/>
  <c r="BG250" i="61"/>
  <c r="BC250" i="61"/>
  <c r="AY250" i="61"/>
  <c r="BI250" i="61"/>
  <c r="AU250" i="61"/>
  <c r="AO257" i="61"/>
  <c r="AK257" i="61"/>
  <c r="AG257" i="61"/>
  <c r="AQ257" i="61"/>
  <c r="AC257" i="61"/>
  <c r="AO254" i="61"/>
  <c r="AK254" i="61"/>
  <c r="AG254" i="61"/>
  <c r="AQ254" i="61"/>
  <c r="AC254" i="61"/>
  <c r="AO252" i="61"/>
  <c r="AK242" i="61"/>
  <c r="AG242" i="61"/>
  <c r="AQ242" i="61"/>
  <c r="AC242" i="61"/>
  <c r="AO242" i="61"/>
  <c r="BC244" i="61"/>
  <c r="AY244" i="61"/>
  <c r="BI244" i="61"/>
  <c r="AU244" i="61"/>
  <c r="BG244" i="61"/>
  <c r="BG242" i="61"/>
  <c r="BC242" i="61"/>
  <c r="AY242" i="61"/>
  <c r="AU242" i="61"/>
  <c r="W244" i="61"/>
  <c r="AK255" i="61"/>
  <c r="AG255" i="61"/>
  <c r="AC255" i="61"/>
  <c r="AO255" i="61"/>
  <c r="AO249" i="61"/>
  <c r="BA249" i="61"/>
  <c r="AK249" i="61"/>
  <c r="AG249" i="61"/>
  <c r="AC249" i="61"/>
  <c r="AO245" i="61"/>
  <c r="AK245" i="61"/>
  <c r="AG245" i="61"/>
  <c r="AC245" i="61"/>
  <c r="AO243" i="61"/>
  <c r="BA243" i="61"/>
  <c r="BG259" i="61"/>
  <c r="BC259" i="61"/>
  <c r="AY259" i="61"/>
  <c r="AU259" i="61"/>
  <c r="BE259" i="61"/>
  <c r="BC257" i="61"/>
  <c r="AY257" i="61"/>
  <c r="AU257" i="61"/>
  <c r="BG257" i="61"/>
  <c r="BG255" i="61"/>
  <c r="BC255" i="61"/>
  <c r="AY255" i="61"/>
  <c r="AU255" i="61"/>
  <c r="BE255" i="61"/>
  <c r="BC253" i="61"/>
  <c r="AY253" i="61"/>
  <c r="AU253" i="61"/>
  <c r="BG253" i="61"/>
  <c r="BG251" i="61"/>
  <c r="BC251" i="61"/>
  <c r="AY251" i="61"/>
  <c r="AU251" i="61"/>
  <c r="BE251" i="61"/>
  <c r="BC249" i="61"/>
  <c r="AY249" i="61"/>
  <c r="AU249" i="61"/>
  <c r="BG249" i="61"/>
  <c r="BG245" i="61"/>
  <c r="BC245" i="61"/>
  <c r="AY245" i="61"/>
  <c r="AU245" i="61"/>
  <c r="BE245" i="61"/>
  <c r="P138" i="35"/>
  <c r="K224" i="35"/>
  <c r="W73" i="61"/>
  <c r="BG50" i="61"/>
  <c r="AU75" i="61"/>
  <c r="AU91" i="61"/>
  <c r="BG76" i="61"/>
  <c r="BG68" i="61"/>
  <c r="BG60" i="61"/>
  <c r="BG52" i="61"/>
  <c r="AC57" i="61"/>
  <c r="AC61" i="61"/>
  <c r="AC53" i="61"/>
  <c r="AY93" i="61"/>
  <c r="AC49" i="61"/>
  <c r="AU82" i="61"/>
  <c r="BC79" i="61"/>
  <c r="BC75" i="61"/>
  <c r="AU70" i="61"/>
  <c r="AU62" i="61"/>
  <c r="BC59" i="61"/>
  <c r="BC55" i="61"/>
  <c r="AU46" i="61"/>
  <c r="BC43" i="61"/>
  <c r="BE43" i="61"/>
  <c r="AU42" i="61"/>
  <c r="AU58" i="61"/>
  <c r="K64" i="61"/>
  <c r="M64" i="61"/>
  <c r="K56" i="61"/>
  <c r="M56" i="61"/>
  <c r="S55" i="61"/>
  <c r="K52" i="61"/>
  <c r="M52" i="61"/>
  <c r="S43" i="61"/>
  <c r="AK93" i="61"/>
  <c r="AC92" i="61"/>
  <c r="AC84" i="61"/>
  <c r="AK77" i="61"/>
  <c r="AK73" i="61"/>
  <c r="AC68" i="61"/>
  <c r="AK61" i="61"/>
  <c r="AC60" i="61"/>
  <c r="AC56" i="61"/>
  <c r="AU66" i="61"/>
  <c r="AG83" i="61"/>
  <c r="AO67" i="61"/>
  <c r="AG69" i="61"/>
  <c r="K53" i="61"/>
  <c r="M53" i="61"/>
  <c r="BG70" i="61"/>
  <c r="BC51" i="61"/>
  <c r="BD75" i="61"/>
  <c r="BD79" i="61"/>
  <c r="AY46" i="61"/>
  <c r="BG86" i="61"/>
  <c r="BC71" i="61"/>
  <c r="AY92" i="61"/>
  <c r="AG75" i="61"/>
  <c r="AK76" i="61"/>
  <c r="AY84" i="61"/>
  <c r="BG78" i="61"/>
  <c r="AU65" i="61"/>
  <c r="BG62" i="61"/>
  <c r="AY54" i="61"/>
  <c r="AY50" i="61"/>
  <c r="BG42" i="61"/>
  <c r="BD55" i="61"/>
  <c r="BD43" i="61"/>
  <c r="AY42" i="61"/>
  <c r="BG46" i="61"/>
  <c r="BI46" i="61"/>
  <c r="AU54" i="61"/>
  <c r="AU78" i="61"/>
  <c r="BG94" i="61"/>
  <c r="BD59" i="61"/>
  <c r="AL73" i="61"/>
  <c r="BD83" i="61"/>
  <c r="AU50" i="61"/>
  <c r="BG66" i="61"/>
  <c r="AO48" i="61"/>
  <c r="BC87" i="61"/>
  <c r="AG54" i="61"/>
  <c r="AO80" i="61"/>
  <c r="BG58" i="61"/>
  <c r="BG90" i="61"/>
  <c r="BG82" i="61"/>
  <c r="BG74" i="61"/>
  <c r="P398" i="35"/>
  <c r="K570" i="35"/>
  <c r="P570" i="35"/>
  <c r="K310" i="35"/>
  <c r="P52" i="35"/>
  <c r="K138" i="35"/>
  <c r="F655" i="35"/>
  <c r="F654" i="35"/>
  <c r="W60" i="61"/>
  <c r="W48" i="61"/>
  <c r="W44" i="61"/>
  <c r="AO88" i="61"/>
  <c r="AO72" i="61"/>
  <c r="AO64" i="61"/>
  <c r="AO56" i="61"/>
  <c r="AO44" i="61"/>
  <c r="AL77" i="61"/>
  <c r="AZ92" i="61"/>
  <c r="T43" i="61"/>
  <c r="AU90" i="61"/>
  <c r="AG44" i="61"/>
  <c r="AG52" i="61"/>
  <c r="AC64" i="61"/>
  <c r="W56" i="61"/>
  <c r="AL45" i="61"/>
  <c r="AL49" i="61"/>
  <c r="AC44" i="61"/>
  <c r="AO52" i="61"/>
  <c r="AC72" i="61"/>
  <c r="AK85" i="61"/>
  <c r="AG48" i="61"/>
  <c r="W52" i="61"/>
  <c r="AL93" i="61"/>
  <c r="AO60" i="61"/>
  <c r="AO68" i="61"/>
  <c r="AO76" i="61"/>
  <c r="AO84" i="61"/>
  <c r="AO92" i="61"/>
  <c r="AK57" i="61"/>
  <c r="AY43" i="61"/>
  <c r="L53" i="61"/>
  <c r="T55" i="61"/>
  <c r="AC76" i="61"/>
  <c r="W64" i="61"/>
  <c r="AK81" i="61"/>
  <c r="AL53" i="61"/>
  <c r="AL61" i="61"/>
  <c r="W65" i="61"/>
  <c r="S60" i="61"/>
  <c r="K45" i="61"/>
  <c r="M45" i="61"/>
  <c r="S44" i="61"/>
  <c r="AK92" i="61"/>
  <c r="AM92" i="61"/>
  <c r="AC91" i="61"/>
  <c r="AK80" i="61"/>
  <c r="AK68" i="61"/>
  <c r="AK64" i="61"/>
  <c r="AC59" i="61"/>
  <c r="AK56" i="61"/>
  <c r="AK52" i="61"/>
  <c r="AM52" i="61"/>
  <c r="AO51" i="61"/>
  <c r="AK48" i="61"/>
  <c r="AO47" i="61"/>
  <c r="AK44" i="61"/>
  <c r="AM44" i="61"/>
  <c r="AC43" i="61"/>
  <c r="BC90" i="61"/>
  <c r="AU85" i="61"/>
  <c r="AW85" i="61"/>
  <c r="BC78" i="61"/>
  <c r="BE78" i="61"/>
  <c r="BG77" i="61"/>
  <c r="AU73" i="61"/>
  <c r="BC70" i="61"/>
  <c r="BE70" i="61"/>
  <c r="BC66" i="61"/>
  <c r="BC62" i="61"/>
  <c r="BC58" i="61"/>
  <c r="BE58" i="61"/>
  <c r="AU57" i="61"/>
  <c r="BC54" i="61"/>
  <c r="BC50" i="61"/>
  <c r="BE50" i="61"/>
  <c r="AU49" i="61"/>
  <c r="BC46" i="61"/>
  <c r="BE46" i="61"/>
  <c r="AZ43" i="61"/>
  <c r="AK60" i="61"/>
  <c r="AK41" i="61"/>
  <c r="AL52" i="61"/>
  <c r="S48" i="61"/>
  <c r="AG45" i="61"/>
  <c r="AY51" i="61"/>
  <c r="AY75" i="61"/>
  <c r="AL44" i="61"/>
  <c r="AL68" i="61"/>
  <c r="BC42" i="61"/>
  <c r="BC82" i="61"/>
  <c r="AY83" i="61"/>
  <c r="AC54" i="61"/>
  <c r="BG49" i="61"/>
  <c r="O64" i="61"/>
  <c r="Q64" i="61"/>
  <c r="W87" i="61"/>
  <c r="O69" i="61"/>
  <c r="Q69" i="61"/>
  <c r="O59" i="61"/>
  <c r="Q59" i="61"/>
  <c r="O57" i="61"/>
  <c r="Q57" i="61"/>
  <c r="AG93" i="61"/>
  <c r="AG89" i="61"/>
  <c r="AG87" i="61"/>
  <c r="AG77" i="61"/>
  <c r="AG73" i="61"/>
  <c r="AG71" i="61"/>
  <c r="AG67" i="61"/>
  <c r="AI67" i="61"/>
  <c r="AG65" i="61"/>
  <c r="AG63" i="61"/>
  <c r="AI63" i="61"/>
  <c r="AG57" i="61"/>
  <c r="AG55" i="61"/>
  <c r="AG49" i="61"/>
  <c r="AY41" i="61"/>
  <c r="AY91" i="61"/>
  <c r="AY89" i="61"/>
  <c r="BA89" i="61"/>
  <c r="AY77" i="61"/>
  <c r="AY71" i="61"/>
  <c r="AY63" i="61"/>
  <c r="AY61" i="61"/>
  <c r="BA61" i="61"/>
  <c r="AY57" i="61"/>
  <c r="AY55" i="61"/>
  <c r="S50" i="61"/>
  <c r="K47" i="61"/>
  <c r="M47" i="61"/>
  <c r="W85" i="61"/>
  <c r="S61" i="61"/>
  <c r="S53" i="61"/>
  <c r="U53" i="61"/>
  <c r="W49" i="61"/>
  <c r="AO83" i="61"/>
  <c r="AO79" i="61"/>
  <c r="AO75" i="61"/>
  <c r="AO59" i="61"/>
  <c r="AK51" i="61"/>
  <c r="AK47" i="61"/>
  <c r="BG93" i="61"/>
  <c r="AU92" i="61"/>
  <c r="BG85" i="61"/>
  <c r="BG81" i="61"/>
  <c r="BG73" i="61"/>
  <c r="BG69" i="61"/>
  <c r="BG65" i="61"/>
  <c r="BG53" i="61"/>
  <c r="BG45" i="61"/>
  <c r="W83" i="61"/>
  <c r="AZ41" i="61"/>
  <c r="BD62" i="61"/>
  <c r="BD70" i="61"/>
  <c r="AL80" i="61"/>
  <c r="T44" i="61"/>
  <c r="AL64" i="61"/>
  <c r="AL56" i="61"/>
  <c r="P59" i="61"/>
  <c r="AH77" i="61"/>
  <c r="BD46" i="61"/>
  <c r="BD50" i="61"/>
  <c r="BD58" i="61"/>
  <c r="BD66" i="61"/>
  <c r="BD78" i="61"/>
  <c r="BC86" i="61"/>
  <c r="BE86" i="61"/>
  <c r="AK88" i="61"/>
  <c r="O47" i="61"/>
  <c r="Q47" i="61"/>
  <c r="AY53" i="61"/>
  <c r="BA53" i="61"/>
  <c r="BG61" i="61"/>
  <c r="AU69" i="61"/>
  <c r="BG89" i="61"/>
  <c r="AO43" i="61"/>
  <c r="AG51" i="61"/>
  <c r="AI51" i="61"/>
  <c r="AC55" i="61"/>
  <c r="AC75" i="61"/>
  <c r="AG91" i="61"/>
  <c r="AY79" i="61"/>
  <c r="BD54" i="61"/>
  <c r="T60" i="61"/>
  <c r="AL48" i="61"/>
  <c r="AH49" i="61"/>
  <c r="AH73" i="61"/>
  <c r="AH93" i="61"/>
  <c r="BD90" i="61"/>
  <c r="BC94" i="61"/>
  <c r="BE94" i="61"/>
  <c r="AK72" i="61"/>
  <c r="AM72" i="61"/>
  <c r="AY59" i="61"/>
  <c r="AY45" i="61"/>
  <c r="BC53" i="61"/>
  <c r="AY73" i="61"/>
  <c r="BA73" i="61"/>
  <c r="AU81" i="61"/>
  <c r="AU89" i="61"/>
  <c r="AC47" i="61"/>
  <c r="AG59" i="61"/>
  <c r="AI59" i="61"/>
  <c r="AL92" i="61"/>
  <c r="AH65" i="61"/>
  <c r="AZ71" i="61"/>
  <c r="AC86" i="61"/>
  <c r="AU55" i="61"/>
  <c r="F224" i="35"/>
  <c r="F223" i="35"/>
  <c r="P224" i="35"/>
  <c r="P310" i="35"/>
  <c r="K655" i="35"/>
  <c r="F52" i="35"/>
  <c r="F51" i="35"/>
  <c r="F398" i="35"/>
  <c r="F397" i="35"/>
  <c r="K52" i="35"/>
  <c r="F138" i="35"/>
  <c r="F137" i="35"/>
  <c r="F484" i="35"/>
  <c r="F483" i="35"/>
  <c r="N570" i="35"/>
  <c r="F310" i="35"/>
  <c r="F309" i="35"/>
  <c r="O484" i="35"/>
  <c r="L310" i="35"/>
  <c r="I52" i="35"/>
  <c r="S655" i="35"/>
  <c r="I570" i="35"/>
  <c r="N52" i="35"/>
  <c r="S57" i="61"/>
  <c r="AU84" i="61"/>
  <c r="AU53" i="61"/>
  <c r="AW53" i="61"/>
  <c r="S224" i="35"/>
  <c r="S570" i="35"/>
  <c r="N224" i="35"/>
  <c r="I224" i="35"/>
  <c r="I398" i="35"/>
  <c r="S52" i="35"/>
  <c r="S310" i="35"/>
  <c r="N138" i="35"/>
  <c r="N398" i="35"/>
  <c r="I138" i="35"/>
  <c r="I310" i="35"/>
  <c r="O41" i="61"/>
  <c r="Q41" i="61"/>
  <c r="O85" i="61"/>
  <c r="Q85" i="61"/>
  <c r="O81" i="61"/>
  <c r="Q81" i="61"/>
  <c r="O67" i="61"/>
  <c r="Q67" i="61"/>
  <c r="O61" i="61"/>
  <c r="Q61" i="61"/>
  <c r="S52" i="61"/>
  <c r="O49" i="61"/>
  <c r="Q49" i="61"/>
  <c r="AG41" i="61"/>
  <c r="AI41" i="61"/>
  <c r="AK84" i="61"/>
  <c r="AC83" i="61"/>
  <c r="AC79" i="61"/>
  <c r="AC71" i="61"/>
  <c r="AC67" i="61"/>
  <c r="AC63" i="61"/>
  <c r="AU45" i="61"/>
  <c r="AO101" i="61"/>
  <c r="BC99" i="61"/>
  <c r="S138" i="35"/>
  <c r="N655" i="35"/>
  <c r="I655" i="35"/>
  <c r="K72" i="61"/>
  <c r="M72" i="61"/>
  <c r="K68" i="61"/>
  <c r="M68" i="61"/>
  <c r="S66" i="61"/>
  <c r="K48" i="61"/>
  <c r="M48" i="61"/>
  <c r="K44" i="61"/>
  <c r="M44" i="61"/>
  <c r="BC63" i="61"/>
  <c r="AO12" i="61"/>
  <c r="BG31" i="61"/>
  <c r="AC51" i="61"/>
  <c r="AG47" i="61"/>
  <c r="AI47" i="61"/>
  <c r="AG43" i="61"/>
  <c r="AU93" i="61"/>
  <c r="AY85" i="61"/>
  <c r="AY81" i="61"/>
  <c r="AU77" i="61"/>
  <c r="AY69" i="61"/>
  <c r="BA69" i="61"/>
  <c r="AY65" i="61"/>
  <c r="BA65" i="61"/>
  <c r="AY49" i="61"/>
  <c r="AU105" i="61"/>
  <c r="AW105" i="61"/>
  <c r="AU103" i="61"/>
  <c r="BE103" i="61"/>
  <c r="BG27" i="61"/>
  <c r="BG15" i="61"/>
  <c r="BI15" i="61"/>
  <c r="BG7" i="61"/>
  <c r="BI7" i="61"/>
  <c r="W69" i="61"/>
  <c r="AU15" i="61"/>
  <c r="G224" i="35"/>
  <c r="G223" i="35"/>
  <c r="BG33" i="61"/>
  <c r="BG13" i="61"/>
  <c r="BI13" i="61"/>
  <c r="S59" i="61"/>
  <c r="S47" i="61"/>
  <c r="AO93" i="61"/>
  <c r="AK89" i="61"/>
  <c r="AC80" i="61"/>
  <c r="AO77" i="61"/>
  <c r="AK69" i="61"/>
  <c r="AK65" i="61"/>
  <c r="AU41" i="61"/>
  <c r="Q655" i="35"/>
  <c r="G398" i="35"/>
  <c r="L52" i="35"/>
  <c r="Q221" i="35"/>
  <c r="AH81" i="22"/>
  <c r="P67" i="61"/>
  <c r="O75" i="61"/>
  <c r="Q75" i="61"/>
  <c r="O71" i="61"/>
  <c r="Q71" i="61"/>
  <c r="W61" i="61"/>
  <c r="AY25" i="61"/>
  <c r="AY21" i="61"/>
  <c r="AY19" i="61"/>
  <c r="AY17" i="61"/>
  <c r="BG17" i="61"/>
  <c r="AY9" i="61"/>
  <c r="AY5" i="61"/>
  <c r="O87" i="61"/>
  <c r="Q87" i="61"/>
  <c r="O83" i="61"/>
  <c r="Q83" i="61"/>
  <c r="W75" i="61"/>
  <c r="Y75" i="61"/>
  <c r="O63" i="61"/>
  <c r="Q63" i="61"/>
  <c r="S63" i="61"/>
  <c r="O43" i="61"/>
  <c r="Q43" i="61"/>
  <c r="AZ19" i="61"/>
  <c r="K49" i="61"/>
  <c r="M49" i="61"/>
  <c r="BG23" i="61"/>
  <c r="BG19" i="61"/>
  <c r="BI19" i="61"/>
  <c r="BG11" i="61"/>
  <c r="K81" i="61"/>
  <c r="M81" i="61"/>
  <c r="W81" i="61"/>
  <c r="K65" i="61"/>
  <c r="M65" i="61"/>
  <c r="O65" i="61"/>
  <c r="Q65" i="61"/>
  <c r="S64" i="61"/>
  <c r="T64" i="61"/>
  <c r="W57" i="61"/>
  <c r="S56" i="61"/>
  <c r="T56" i="61"/>
  <c r="W53" i="61"/>
  <c r="O53" i="61"/>
  <c r="Q53" i="61"/>
  <c r="O45" i="61"/>
  <c r="Q45" i="61"/>
  <c r="W45" i="61"/>
  <c r="AO91" i="61"/>
  <c r="AO87" i="61"/>
  <c r="AC87" i="61"/>
  <c r="O55" i="61"/>
  <c r="Q55" i="61"/>
  <c r="O51" i="61"/>
  <c r="Q51" i="61"/>
  <c r="AO85" i="61"/>
  <c r="AO81" i="61"/>
  <c r="AG61" i="61"/>
  <c r="AO57" i="61"/>
  <c r="AG53" i="61"/>
  <c r="AO49" i="61"/>
  <c r="AO45" i="61"/>
  <c r="BG91" i="61"/>
  <c r="AY87" i="61"/>
  <c r="BA87" i="61"/>
  <c r="BG79" i="61"/>
  <c r="BG75" i="61"/>
  <c r="BG71" i="61"/>
  <c r="AY67" i="61"/>
  <c r="BG59" i="61"/>
  <c r="AY47" i="61"/>
  <c r="BG43" i="61"/>
  <c r="S51" i="61"/>
  <c r="AG85" i="61"/>
  <c r="AG81" i="61"/>
  <c r="AO63" i="61"/>
  <c r="AG79" i="61"/>
  <c r="W55" i="61"/>
  <c r="AO71" i="61"/>
  <c r="AO55" i="61"/>
  <c r="BG57" i="61"/>
  <c r="AV104" i="61"/>
  <c r="AU104" i="61"/>
  <c r="AV102" i="61"/>
  <c r="AU102" i="61"/>
  <c r="AW102" i="61"/>
  <c r="Q52" i="35"/>
  <c r="Q398" i="35"/>
  <c r="L138" i="35"/>
  <c r="L137" i="35"/>
  <c r="L398" i="35"/>
  <c r="G655" i="35"/>
  <c r="G570" i="35"/>
  <c r="Q138" i="35"/>
  <c r="Q570" i="35"/>
  <c r="L224" i="35"/>
  <c r="G52" i="35"/>
  <c r="G484" i="35"/>
  <c r="L570" i="35"/>
  <c r="S75" i="61"/>
  <c r="K73" i="61"/>
  <c r="M73" i="61"/>
  <c r="S71" i="61"/>
  <c r="K61" i="61"/>
  <c r="M61" i="61"/>
  <c r="K60" i="61"/>
  <c r="M60" i="61"/>
  <c r="K57" i="61"/>
  <c r="M57" i="61"/>
  <c r="Q224" i="35"/>
  <c r="Q223" i="35"/>
  <c r="G138" i="35"/>
  <c r="AU20" i="61"/>
  <c r="AU12" i="61"/>
  <c r="Q567" i="35"/>
  <c r="L49" i="35"/>
  <c r="L307" i="35"/>
  <c r="L652" i="35"/>
  <c r="W72" i="61"/>
  <c r="H41" i="61" a="1"/>
  <c r="H41" i="61"/>
  <c r="BC12" i="61"/>
  <c r="AH16" i="22"/>
  <c r="T75" i="61"/>
  <c r="W92" i="61"/>
  <c r="T83" i="61"/>
  <c r="S83" i="61"/>
  <c r="S80" i="61"/>
  <c r="K80" i="61"/>
  <c r="M80" i="61"/>
  <c r="S76" i="61"/>
  <c r="W76" i="61"/>
  <c r="BC7" i="61"/>
  <c r="AU6" i="61"/>
  <c r="O90" i="61"/>
  <c r="Q90" i="61"/>
  <c r="K75" i="61"/>
  <c r="M75" i="61"/>
  <c r="S73" i="61"/>
  <c r="K63" i="61"/>
  <c r="M63" i="61"/>
  <c r="W62" i="61"/>
  <c r="O60" i="61"/>
  <c r="Q60" i="61"/>
  <c r="K59" i="61"/>
  <c r="M59" i="61"/>
  <c r="O56" i="61"/>
  <c r="Q56" i="61"/>
  <c r="K55" i="61"/>
  <c r="M55" i="61"/>
  <c r="O52" i="61"/>
  <c r="Q52" i="61"/>
  <c r="O48" i="61"/>
  <c r="Q48" i="61"/>
  <c r="W46" i="61"/>
  <c r="O44" i="61"/>
  <c r="Q44" i="61"/>
  <c r="K43" i="61"/>
  <c r="M43" i="61"/>
  <c r="AC41" i="61"/>
  <c r="AG94" i="61"/>
  <c r="AG92" i="61"/>
  <c r="AK91" i="61"/>
  <c r="AG88" i="61"/>
  <c r="AC85" i="61"/>
  <c r="AG82" i="61"/>
  <c r="AG80" i="61"/>
  <c r="AG78" i="61"/>
  <c r="AG76" i="61"/>
  <c r="AG72" i="61"/>
  <c r="AC69" i="61"/>
  <c r="AG64" i="61"/>
  <c r="AC45" i="61"/>
  <c r="AK43" i="61"/>
  <c r="BC41" i="61"/>
  <c r="BE41" i="61"/>
  <c r="AY94" i="61"/>
  <c r="AY90" i="61"/>
  <c r="AY86" i="61"/>
  <c r="AU83" i="61"/>
  <c r="AY82" i="61"/>
  <c r="BC81" i="61"/>
  <c r="AU79" i="61"/>
  <c r="AY78" i="61"/>
  <c r="BC77" i="61"/>
  <c r="BC73" i="61"/>
  <c r="AU71" i="61"/>
  <c r="AY70" i="61"/>
  <c r="BC69" i="61"/>
  <c r="AU67" i="61"/>
  <c r="AY66" i="61"/>
  <c r="BC65" i="61"/>
  <c r="AU63" i="61"/>
  <c r="AY62" i="61"/>
  <c r="BC61" i="61"/>
  <c r="BC57" i="61"/>
  <c r="AU51" i="61"/>
  <c r="BC49" i="61"/>
  <c r="AU47" i="61"/>
  <c r="BC45" i="61"/>
  <c r="AY44" i="61"/>
  <c r="K98" i="61"/>
  <c r="AL91" i="61"/>
  <c r="L63" i="61"/>
  <c r="T73" i="61"/>
  <c r="P44" i="61"/>
  <c r="P52" i="61"/>
  <c r="AH76" i="61"/>
  <c r="AH80" i="61"/>
  <c r="L59" i="61"/>
  <c r="AC65" i="61"/>
  <c r="H398" i="35"/>
  <c r="H138" i="35"/>
  <c r="H484" i="35"/>
  <c r="H52" i="35"/>
  <c r="H310" i="35"/>
  <c r="H224" i="35"/>
  <c r="H655" i="35"/>
  <c r="M398" i="35"/>
  <c r="M52" i="35"/>
  <c r="M310" i="35"/>
  <c r="M224" i="35"/>
  <c r="M655" i="35"/>
  <c r="M570" i="35"/>
  <c r="M138" i="35"/>
  <c r="R310" i="35"/>
  <c r="R52" i="35"/>
  <c r="R655" i="35"/>
  <c r="R570" i="35"/>
  <c r="R224" i="35"/>
  <c r="R138" i="35"/>
  <c r="W90" i="61"/>
  <c r="K87" i="61"/>
  <c r="M87" i="61"/>
  <c r="L87" i="61"/>
  <c r="K86" i="61"/>
  <c r="M86" i="61"/>
  <c r="S86" i="61"/>
  <c r="K83" i="61"/>
  <c r="M83" i="61"/>
  <c r="L83" i="61"/>
  <c r="O82" i="61"/>
  <c r="Q82" i="61"/>
  <c r="K82" i="61"/>
  <c r="M82" i="61"/>
  <c r="S82" i="61"/>
  <c r="O78" i="61"/>
  <c r="Q78" i="61"/>
  <c r="K78" i="61"/>
  <c r="M78" i="61"/>
  <c r="O76" i="61"/>
  <c r="Q76" i="61"/>
  <c r="P76" i="61"/>
  <c r="O74" i="61"/>
  <c r="Q74" i="61"/>
  <c r="W74" i="61"/>
  <c r="K74" i="61"/>
  <c r="M74" i="61"/>
  <c r="O72" i="61"/>
  <c r="Q72" i="61"/>
  <c r="P72" i="61"/>
  <c r="K71" i="61"/>
  <c r="M71" i="61"/>
  <c r="L71" i="61"/>
  <c r="T69" i="61"/>
  <c r="S69" i="61"/>
  <c r="K66" i="61"/>
  <c r="M66" i="61"/>
  <c r="O66" i="61"/>
  <c r="Q66" i="61"/>
  <c r="S65" i="61"/>
  <c r="T65" i="61"/>
  <c r="K62" i="61"/>
  <c r="M62" i="61"/>
  <c r="O62" i="61"/>
  <c r="Q62" i="61"/>
  <c r="S62" i="61"/>
  <c r="S58" i="61"/>
  <c r="O58" i="61"/>
  <c r="Q58" i="61"/>
  <c r="W58" i="61"/>
  <c r="K54" i="61"/>
  <c r="M54" i="61"/>
  <c r="O54" i="61"/>
  <c r="Q54" i="61"/>
  <c r="S54" i="61"/>
  <c r="K51" i="61"/>
  <c r="M51" i="61"/>
  <c r="L51" i="61"/>
  <c r="K50" i="61"/>
  <c r="M50" i="61"/>
  <c r="O50" i="61"/>
  <c r="Q50" i="61"/>
  <c r="W50" i="61"/>
  <c r="S49" i="61"/>
  <c r="T49" i="61"/>
  <c r="K46" i="61"/>
  <c r="M46" i="61"/>
  <c r="O46" i="61"/>
  <c r="Q46" i="61"/>
  <c r="S46" i="61"/>
  <c r="S42" i="61"/>
  <c r="O42" i="61"/>
  <c r="Q42" i="61"/>
  <c r="AC93" i="61"/>
  <c r="AD93" i="61"/>
  <c r="AK90" i="61"/>
  <c r="AC90" i="61"/>
  <c r="AC89" i="61"/>
  <c r="AD89" i="61"/>
  <c r="AO86" i="61"/>
  <c r="AK86" i="61"/>
  <c r="AM86" i="61"/>
  <c r="AG86" i="61"/>
  <c r="AI86" i="61"/>
  <c r="AK83" i="61"/>
  <c r="AM83" i="61"/>
  <c r="AL83" i="61"/>
  <c r="AO82" i="61"/>
  <c r="AQ82" i="61"/>
  <c r="AC82" i="61"/>
  <c r="AK82" i="61"/>
  <c r="AK79" i="61"/>
  <c r="AM79" i="61"/>
  <c r="AL79" i="61"/>
  <c r="AC77" i="61"/>
  <c r="AD77" i="61"/>
  <c r="AK75" i="61"/>
  <c r="AL75" i="61"/>
  <c r="AK74" i="61"/>
  <c r="AG74" i="61"/>
  <c r="AK67" i="61"/>
  <c r="AL67" i="61"/>
  <c r="AG66" i="61"/>
  <c r="AK66" i="61"/>
  <c r="AK59" i="61"/>
  <c r="AL59" i="61"/>
  <c r="AK58" i="61"/>
  <c r="AG58" i="61"/>
  <c r="AC58" i="61"/>
  <c r="AE58" i="61"/>
  <c r="AG56" i="61"/>
  <c r="AH56" i="61"/>
  <c r="AL55" i="61"/>
  <c r="AK55" i="61"/>
  <c r="AK54" i="61"/>
  <c r="AO54" i="61"/>
  <c r="AC50" i="61"/>
  <c r="AO50" i="61"/>
  <c r="AG50" i="61"/>
  <c r="AK50" i="61"/>
  <c r="AK46" i="61"/>
  <c r="AO46" i="61"/>
  <c r="AK42" i="61"/>
  <c r="AO42" i="61"/>
  <c r="AG42" i="61"/>
  <c r="AC42" i="61"/>
  <c r="AE42" i="61"/>
  <c r="BC93" i="61"/>
  <c r="BE93" i="61"/>
  <c r="BD93" i="61"/>
  <c r="BG92" i="61"/>
  <c r="BC92" i="61"/>
  <c r="BC89" i="61"/>
  <c r="BD89" i="61"/>
  <c r="BG88" i="61"/>
  <c r="BC88" i="61"/>
  <c r="AU88" i="61"/>
  <c r="AW88" i="61"/>
  <c r="AY88" i="61"/>
  <c r="AU87" i="61"/>
  <c r="AV87" i="61"/>
  <c r="BC85" i="61"/>
  <c r="BD85" i="61"/>
  <c r="AH95" i="22"/>
  <c r="AD41" i="61"/>
  <c r="AP58" i="61"/>
  <c r="P60" i="61"/>
  <c r="AD45" i="61"/>
  <c r="AD85" i="61"/>
  <c r="L75" i="61"/>
  <c r="AZ90" i="61"/>
  <c r="AC46" i="61"/>
  <c r="AE46" i="61"/>
  <c r="AC66" i="61"/>
  <c r="AE66" i="61"/>
  <c r="AG90" i="61"/>
  <c r="W54" i="61"/>
  <c r="S78" i="61"/>
  <c r="S45" i="61"/>
  <c r="K41" i="61"/>
  <c r="M41" i="61"/>
  <c r="O92" i="61"/>
  <c r="Q92" i="61"/>
  <c r="BD41" i="61"/>
  <c r="P48" i="61"/>
  <c r="AG46" i="61"/>
  <c r="AC74" i="61"/>
  <c r="K42" i="61"/>
  <c r="M42" i="61"/>
  <c r="K58" i="61"/>
  <c r="M58" i="61"/>
  <c r="W78" i="61"/>
  <c r="R398" i="35"/>
  <c r="BG84" i="61"/>
  <c r="BC84" i="61"/>
  <c r="BG80" i="61"/>
  <c r="BC80" i="61"/>
  <c r="AY76" i="61"/>
  <c r="AU76" i="61"/>
  <c r="AY72" i="61"/>
  <c r="BA72" i="61"/>
  <c r="AU72" i="61"/>
  <c r="AY68" i="61"/>
  <c r="AU68" i="61"/>
  <c r="BG64" i="61"/>
  <c r="AU64" i="61"/>
  <c r="AY60" i="61"/>
  <c r="AU60" i="61"/>
  <c r="AU59" i="61"/>
  <c r="AV59" i="61"/>
  <c r="AY58" i="61"/>
  <c r="BA58" i="61"/>
  <c r="AZ58" i="61"/>
  <c r="AY56" i="61"/>
  <c r="AU56" i="61"/>
  <c r="AY52" i="61"/>
  <c r="AU52" i="61"/>
  <c r="S105" i="61"/>
  <c r="W105" i="61"/>
  <c r="AI105" i="61"/>
  <c r="AY104" i="61"/>
  <c r="BA104" i="61"/>
  <c r="BC104" i="61"/>
  <c r="AD103" i="61"/>
  <c r="AC103" i="61"/>
  <c r="K103" i="61"/>
  <c r="M103" i="61"/>
  <c r="S103" i="61"/>
  <c r="AY102" i="61"/>
  <c r="BG102" i="61"/>
  <c r="L102" i="61"/>
  <c r="K102" i="61"/>
  <c r="M102" i="61"/>
  <c r="AG100" i="61"/>
  <c r="AK100" i="61"/>
  <c r="AM100" i="61"/>
  <c r="AD99" i="61"/>
  <c r="AC99" i="61"/>
  <c r="K99" i="61"/>
  <c r="M99" i="61"/>
  <c r="S99" i="61"/>
  <c r="BD77" i="61"/>
  <c r="AZ66" i="61"/>
  <c r="AZ70" i="61"/>
  <c r="AV79" i="61"/>
  <c r="AV83" i="61"/>
  <c r="BC52" i="61"/>
  <c r="BE52" i="61"/>
  <c r="BC60" i="61"/>
  <c r="BC68" i="61"/>
  <c r="BC76" i="61"/>
  <c r="BD73" i="61"/>
  <c r="AZ82" i="61"/>
  <c r="AV63" i="61"/>
  <c r="BG56" i="61"/>
  <c r="AY64" i="61"/>
  <c r="BG72" i="61"/>
  <c r="BI72" i="61"/>
  <c r="AU80" i="61"/>
  <c r="T313" i="35"/>
  <c r="AO14" i="61"/>
  <c r="AO10" i="61"/>
  <c r="BG21" i="61"/>
  <c r="BC13" i="61"/>
  <c r="AY11" i="61"/>
  <c r="BG9" i="61"/>
  <c r="BI9" i="61"/>
  <c r="AY12" i="61"/>
  <c r="AO26" i="61"/>
  <c r="AO18" i="61"/>
  <c r="AO24" i="61"/>
  <c r="AG6" i="61"/>
  <c r="AO4" i="61"/>
  <c r="AY37" i="61"/>
  <c r="AY35" i="61"/>
  <c r="AH6" i="61"/>
  <c r="AZ37" i="61"/>
  <c r="BG35" i="61"/>
  <c r="AK12" i="61"/>
  <c r="BC31" i="61"/>
  <c r="AU30" i="61"/>
  <c r="AU22" i="61"/>
  <c r="BC15" i="61"/>
  <c r="AG3" i="61"/>
  <c r="AG4" i="61"/>
  <c r="AP8" i="61"/>
  <c r="AU31" i="61"/>
  <c r="BC28" i="61"/>
  <c r="AU23" i="61"/>
  <c r="BC20" i="61"/>
  <c r="AV31" i="61"/>
  <c r="AY28" i="61"/>
  <c r="AV23" i="61"/>
  <c r="AK10" i="61"/>
  <c r="BG37" i="61"/>
  <c r="AC6" i="61"/>
  <c r="AU9" i="61"/>
  <c r="AG24" i="61"/>
  <c r="AG8" i="61"/>
  <c r="O9" i="61"/>
  <c r="Q9" i="61"/>
  <c r="O31" i="61"/>
  <c r="Q31" i="61"/>
  <c r="AY31" i="61"/>
  <c r="AY27" i="61"/>
  <c r="AY23" i="61"/>
  <c r="BC22" i="61"/>
  <c r="AZ28" i="61"/>
  <c r="AK4" i="61"/>
  <c r="AY20" i="61"/>
  <c r="AV9" i="61"/>
  <c r="BC23" i="61"/>
  <c r="BD15" i="61"/>
  <c r="BC6" i="61"/>
  <c r="O29" i="61"/>
  <c r="Q29" i="61"/>
  <c r="O17" i="61"/>
  <c r="Q17" i="61"/>
  <c r="O5" i="61"/>
  <c r="Q5" i="61"/>
  <c r="O13" i="61"/>
  <c r="Q13" i="61"/>
  <c r="W5" i="61"/>
  <c r="W29" i="61"/>
  <c r="AK22" i="61"/>
  <c r="AG30" i="61"/>
  <c r="AG26" i="61"/>
  <c r="AG18" i="61"/>
  <c r="AG14" i="61"/>
  <c r="AD6" i="61"/>
  <c r="AK11" i="61"/>
  <c r="BH6" i="61"/>
  <c r="AL12" i="61"/>
  <c r="BH14" i="61"/>
  <c r="BD31" i="61"/>
  <c r="BD7" i="61"/>
  <c r="AZ12" i="61"/>
  <c r="Q307" i="35"/>
  <c r="Q652" i="35"/>
  <c r="L395" i="35"/>
  <c r="G481" i="35"/>
  <c r="G480" i="35"/>
  <c r="Q395" i="35"/>
  <c r="Q394" i="35"/>
  <c r="L135" i="35"/>
  <c r="L481" i="35"/>
  <c r="L480" i="35"/>
  <c r="Q135" i="35"/>
  <c r="Q481" i="35"/>
  <c r="L221" i="35"/>
  <c r="R307" i="35"/>
  <c r="G652" i="35"/>
  <c r="G651" i="35"/>
  <c r="G49" i="35"/>
  <c r="G48" i="35"/>
  <c r="G135" i="35"/>
  <c r="G134" i="35"/>
  <c r="G567" i="35"/>
  <c r="G566" i="35"/>
  <c r="G307" i="35"/>
  <c r="G306" i="35"/>
  <c r="G221" i="35"/>
  <c r="G220" i="35"/>
  <c r="R652" i="35"/>
  <c r="M307" i="35"/>
  <c r="H481" i="35"/>
  <c r="H480" i="35"/>
  <c r="S49" i="35"/>
  <c r="M652" i="35"/>
  <c r="N49" i="35"/>
  <c r="R49" i="35"/>
  <c r="R395" i="35"/>
  <c r="M49" i="35"/>
  <c r="M395" i="35"/>
  <c r="H49" i="35"/>
  <c r="H48" i="35"/>
  <c r="H221" i="35"/>
  <c r="H220" i="35"/>
  <c r="H567" i="35"/>
  <c r="H566" i="35"/>
  <c r="R135" i="35"/>
  <c r="R134" i="35"/>
  <c r="R481" i="35"/>
  <c r="R480" i="35"/>
  <c r="M135" i="35"/>
  <c r="M481" i="35"/>
  <c r="H135" i="35"/>
  <c r="H134" i="35"/>
  <c r="H307" i="35"/>
  <c r="H306" i="35"/>
  <c r="H652" i="35"/>
  <c r="H651" i="35"/>
  <c r="R221" i="35"/>
  <c r="M221" i="35"/>
  <c r="M220" i="35"/>
  <c r="I49" i="35"/>
  <c r="I48" i="35"/>
  <c r="I481" i="35"/>
  <c r="I480" i="35"/>
  <c r="I221" i="35"/>
  <c r="I220" i="35"/>
  <c r="S135" i="35"/>
  <c r="S481" i="35"/>
  <c r="N135" i="35"/>
  <c r="N481" i="35"/>
  <c r="I135" i="35"/>
  <c r="I134" i="35"/>
  <c r="I652" i="35"/>
  <c r="I651" i="35"/>
  <c r="S221" i="35"/>
  <c r="S220" i="35"/>
  <c r="S567" i="35"/>
  <c r="S566" i="35"/>
  <c r="N221" i="35"/>
  <c r="N567" i="35"/>
  <c r="I307" i="35"/>
  <c r="I306" i="35"/>
  <c r="S307" i="35"/>
  <c r="N307" i="35"/>
  <c r="N306" i="35"/>
  <c r="I395" i="35"/>
  <c r="I394" i="35"/>
  <c r="J482" i="35"/>
  <c r="BG20" i="61"/>
  <c r="BI20" i="61"/>
  <c r="BH20" i="61"/>
  <c r="L69" i="61"/>
  <c r="K69" i="61"/>
  <c r="M69" i="61"/>
  <c r="AG16" i="61"/>
  <c r="AC11" i="61"/>
  <c r="AY33" i="61"/>
  <c r="AY29" i="61"/>
  <c r="AK14" i="61"/>
  <c r="S87" i="61"/>
  <c r="T87" i="61"/>
  <c r="AL103" i="61"/>
  <c r="AK103" i="61"/>
  <c r="AC70" i="61"/>
  <c r="AO70" i="61"/>
  <c r="AG70" i="61"/>
  <c r="AK29" i="61"/>
  <c r="AO36" i="61"/>
  <c r="AO32" i="61"/>
  <c r="J141" i="35"/>
  <c r="AK24" i="61"/>
  <c r="AC14" i="61"/>
  <c r="W84" i="61"/>
  <c r="O84" i="61"/>
  <c r="Q84" i="61"/>
  <c r="S84" i="61"/>
  <c r="K84" i="61"/>
  <c r="M84" i="61"/>
  <c r="AD81" i="61"/>
  <c r="AC81" i="61"/>
  <c r="S74" i="61"/>
  <c r="T74" i="61"/>
  <c r="AH18" i="22"/>
  <c r="AI96" i="22"/>
  <c r="AI77" i="22"/>
  <c r="AK32" i="61"/>
  <c r="AC4" i="61"/>
  <c r="BC37" i="61"/>
  <c r="BC36" i="61"/>
  <c r="BC30" i="61"/>
  <c r="AU28" i="61"/>
  <c r="AU25" i="61"/>
  <c r="BC21" i="61"/>
  <c r="AU17" i="61"/>
  <c r="BC14" i="61"/>
  <c r="K76" i="61"/>
  <c r="M76" i="61"/>
  <c r="K135" i="35"/>
  <c r="J50" i="35"/>
  <c r="S27" i="61"/>
  <c r="AG36" i="61"/>
  <c r="AG32" i="61"/>
  <c r="AC29" i="61"/>
  <c r="T141" i="35"/>
  <c r="J136" i="35"/>
  <c r="S95" i="22"/>
  <c r="AI95" i="22"/>
  <c r="O27" i="61"/>
  <c r="Q27" i="61"/>
  <c r="O23" i="61"/>
  <c r="Q23" i="61"/>
  <c r="O19" i="61"/>
  <c r="Q19" i="61"/>
  <c r="O15" i="61"/>
  <c r="Q15" i="61"/>
  <c r="O11" i="61"/>
  <c r="Q11" i="61"/>
  <c r="O7" i="61"/>
  <c r="Q7" i="61"/>
  <c r="AC32" i="61"/>
  <c r="AO29" i="61"/>
  <c r="BC5" i="61"/>
  <c r="BC67" i="61"/>
  <c r="F481" i="35"/>
  <c r="AO20" i="61"/>
  <c r="AC9" i="61"/>
  <c r="AG9" i="61"/>
  <c r="AI9" i="61"/>
  <c r="S68" i="61"/>
  <c r="O68" i="61"/>
  <c r="Q68" i="61"/>
  <c r="AK63" i="61"/>
  <c r="AM63" i="61"/>
  <c r="AL63" i="61"/>
  <c r="AH84" i="22"/>
  <c r="AH19" i="22"/>
  <c r="AH15" i="22"/>
  <c r="AI42" i="22"/>
  <c r="AH44" i="22"/>
  <c r="AH69" i="22"/>
  <c r="P23" i="61"/>
  <c r="P7" i="61"/>
  <c r="P27" i="61"/>
  <c r="BG103" i="61"/>
  <c r="BI103" i="61"/>
  <c r="AO16" i="61"/>
  <c r="AO30" i="61"/>
  <c r="AQ30" i="61"/>
  <c r="X80" i="61"/>
  <c r="W80" i="61"/>
  <c r="AH73" i="22"/>
  <c r="AC94" i="61"/>
  <c r="AO94" i="61"/>
  <c r="AK94" i="61"/>
  <c r="AO90" i="61"/>
  <c r="AP90" i="61"/>
  <c r="AH17" i="22"/>
  <c r="AH76" i="22"/>
  <c r="AH87" i="22"/>
  <c r="AH42" i="22"/>
  <c r="P11" i="61"/>
  <c r="BD67" i="61"/>
  <c r="AK9" i="61"/>
  <c r="AY36" i="61"/>
  <c r="BG25" i="61"/>
  <c r="BC29" i="61"/>
  <c r="AC30" i="61"/>
  <c r="F49" i="35"/>
  <c r="F48" i="35"/>
  <c r="AU36" i="61"/>
  <c r="BG29" i="61"/>
  <c r="BC33" i="61"/>
  <c r="AU14" i="61"/>
  <c r="AG12" i="61"/>
  <c r="AG10" i="61"/>
  <c r="P221" i="35"/>
  <c r="K481" i="35"/>
  <c r="T55" i="35"/>
  <c r="T227" i="35"/>
  <c r="J308" i="35"/>
  <c r="J568" i="35"/>
  <c r="O313" i="35"/>
  <c r="T401" i="35"/>
  <c r="J487" i="35"/>
  <c r="T487" i="35"/>
  <c r="T573" i="35"/>
  <c r="AG22" i="61"/>
  <c r="AG20" i="61"/>
  <c r="AK8" i="61"/>
  <c r="P567" i="35"/>
  <c r="J396" i="35"/>
  <c r="W25" i="61"/>
  <c r="O25" i="61"/>
  <c r="Q25" i="61"/>
  <c r="O21" i="61"/>
  <c r="Q21" i="61"/>
  <c r="W21" i="61"/>
  <c r="AO28" i="61"/>
  <c r="AG28" i="61"/>
  <c r="AU61" i="61"/>
  <c r="AV61" i="61"/>
  <c r="AK98" i="61"/>
  <c r="AC98" i="61"/>
  <c r="AG98" i="61"/>
  <c r="AH97" i="22"/>
  <c r="AH83" i="22"/>
  <c r="AH86" i="22"/>
  <c r="AH20" i="22"/>
  <c r="BH22" i="61"/>
  <c r="X73" i="61"/>
  <c r="K21" i="61"/>
  <c r="M21" i="61"/>
  <c r="AO34" i="61"/>
  <c r="AG34" i="61"/>
  <c r="AH93" i="22"/>
  <c r="AI83" i="22"/>
  <c r="AH79" i="22"/>
  <c r="AH75" i="22"/>
  <c r="X86" i="61"/>
  <c r="AY101" i="61"/>
  <c r="L67" i="61"/>
  <c r="K67" i="61"/>
  <c r="M67" i="61"/>
  <c r="AC78" i="61"/>
  <c r="AO78" i="61"/>
  <c r="AK78" i="61"/>
  <c r="AK71" i="61"/>
  <c r="AL71" i="61"/>
  <c r="AU48" i="61"/>
  <c r="AY48" i="61"/>
  <c r="BC48" i="61"/>
  <c r="AH89" i="22"/>
  <c r="AH77" i="22"/>
  <c r="AH21" i="22"/>
  <c r="AD30" i="61"/>
  <c r="BG54" i="61"/>
  <c r="BI54" i="61"/>
  <c r="AO98" i="61"/>
  <c r="AP144" i="58"/>
  <c r="K18" i="61"/>
  <c r="M18" i="61"/>
  <c r="S18" i="61"/>
  <c r="K29" i="61"/>
  <c r="M29" i="61"/>
  <c r="AY80" i="61"/>
  <c r="AZ80" i="61"/>
  <c r="AU74" i="61"/>
  <c r="BC74" i="61"/>
  <c r="AY74" i="61"/>
  <c r="AU44" i="61"/>
  <c r="AW44" i="61"/>
  <c r="BG44" i="61"/>
  <c r="BC44" i="61"/>
  <c r="AC12" i="61"/>
  <c r="AU33" i="61"/>
  <c r="AO22" i="61"/>
  <c r="AQ22" i="61"/>
  <c r="AK26" i="61"/>
  <c r="AK20" i="61"/>
  <c r="AU29" i="61"/>
  <c r="BC27" i="61"/>
  <c r="BC17" i="61"/>
  <c r="AU11" i="61"/>
  <c r="K93" i="61"/>
  <c r="M93" i="61"/>
  <c r="O55" i="35"/>
  <c r="AC20" i="61"/>
  <c r="AC10" i="61"/>
  <c r="AU27" i="61"/>
  <c r="AU13" i="61"/>
  <c r="BC11" i="61"/>
  <c r="BE11" i="61"/>
  <c r="O141" i="35"/>
  <c r="J222" i="35"/>
  <c r="J653" i="35"/>
  <c r="W37" i="61"/>
  <c r="O37" i="61"/>
  <c r="Q37" i="61"/>
  <c r="T19" i="61"/>
  <c r="S19" i="61"/>
  <c r="AG11" i="61"/>
  <c r="AI11" i="61"/>
  <c r="AH11" i="61"/>
  <c r="BG30" i="61"/>
  <c r="BH30" i="61"/>
  <c r="S81" i="61"/>
  <c r="T81" i="61"/>
  <c r="W71" i="61"/>
  <c r="X71" i="61"/>
  <c r="O70" i="61"/>
  <c r="Q70" i="61"/>
  <c r="M70" i="61"/>
  <c r="S70" i="61"/>
  <c r="W70" i="61"/>
  <c r="W68" i="61"/>
  <c r="X68" i="61"/>
  <c r="X42" i="61"/>
  <c r="W42" i="61"/>
  <c r="AP74" i="61"/>
  <c r="AO74" i="61"/>
  <c r="AC73" i="61"/>
  <c r="AD73" i="61"/>
  <c r="AG62" i="61"/>
  <c r="AK62" i="61"/>
  <c r="AC62" i="61"/>
  <c r="AO62" i="61"/>
  <c r="AH60" i="61"/>
  <c r="AG60" i="61"/>
  <c r="S10" i="61"/>
  <c r="K10" i="61"/>
  <c r="M10" i="61"/>
  <c r="AD24" i="61"/>
  <c r="AC24" i="61"/>
  <c r="AU21" i="61"/>
  <c r="AV21" i="61"/>
  <c r="AU7" i="61"/>
  <c r="AV7" i="61"/>
  <c r="S88" i="61"/>
  <c r="K88" i="61"/>
  <c r="M88" i="61"/>
  <c r="W88" i="61"/>
  <c r="O88" i="61"/>
  <c r="Q88" i="61"/>
  <c r="P80" i="61"/>
  <c r="O80" i="61"/>
  <c r="Q80" i="61"/>
  <c r="L13" i="61"/>
  <c r="K13" i="61"/>
  <c r="M13" i="61"/>
  <c r="AC36" i="61"/>
  <c r="AD36" i="61"/>
  <c r="AC21" i="61"/>
  <c r="AK21" i="61"/>
  <c r="AY18" i="61"/>
  <c r="BC18" i="61"/>
  <c r="AU18" i="61"/>
  <c r="BG18" i="61"/>
  <c r="O79" i="61"/>
  <c r="Q79" i="61"/>
  <c r="W79" i="61"/>
  <c r="K79" i="61"/>
  <c r="M79" i="61"/>
  <c r="S79" i="61"/>
  <c r="S77" i="61"/>
  <c r="O77" i="61"/>
  <c r="Q77" i="61"/>
  <c r="K77" i="61"/>
  <c r="M77" i="61"/>
  <c r="W77" i="61"/>
  <c r="S72" i="61"/>
  <c r="T72" i="61"/>
  <c r="T67" i="61"/>
  <c r="S67" i="61"/>
  <c r="W66" i="61"/>
  <c r="X66" i="61"/>
  <c r="AK87" i="61"/>
  <c r="AL87" i="61"/>
  <c r="AH84" i="61"/>
  <c r="AG84" i="61"/>
  <c r="AH68" i="61"/>
  <c r="AG68" i="61"/>
  <c r="AP66" i="61"/>
  <c r="AO66" i="61"/>
  <c r="AK30" i="61"/>
  <c r="AL30" i="61"/>
  <c r="BD35" i="61"/>
  <c r="BC35" i="61"/>
  <c r="K85" i="61"/>
  <c r="M85" i="61"/>
  <c r="L85" i="61"/>
  <c r="X82" i="61"/>
  <c r="W82" i="61"/>
  <c r="O73" i="61"/>
  <c r="Q73" i="61"/>
  <c r="P73" i="61"/>
  <c r="BD91" i="61"/>
  <c r="BC91" i="61"/>
  <c r="AH96" i="22"/>
  <c r="AH72" i="22"/>
  <c r="K5" i="61"/>
  <c r="M5" i="61"/>
  <c r="S11" i="61"/>
  <c r="AG29" i="61"/>
  <c r="AY30" i="61"/>
  <c r="BA30" i="61"/>
  <c r="AY14" i="61"/>
  <c r="AI99" i="22"/>
  <c r="AI84" i="22"/>
  <c r="AI80" i="22"/>
  <c r="AI76" i="22"/>
  <c r="AK28" i="61"/>
  <c r="AC22" i="61"/>
  <c r="AG21" i="61"/>
  <c r="AO11" i="61"/>
  <c r="AC8" i="61"/>
  <c r="AI100" i="22"/>
  <c r="AI20" i="22"/>
  <c r="K37" i="61"/>
  <c r="M37" i="61"/>
  <c r="AI94" i="22"/>
  <c r="AI90" i="22"/>
  <c r="AI86" i="22"/>
  <c r="AC28" i="61"/>
  <c r="AO21" i="61"/>
  <c r="AU37" i="61"/>
  <c r="P135" i="35"/>
  <c r="P481" i="35"/>
  <c r="K49" i="35"/>
  <c r="K395" i="35"/>
  <c r="F395" i="35"/>
  <c r="F394" i="35"/>
  <c r="F221" i="35"/>
  <c r="P307" i="35"/>
  <c r="P652" i="35"/>
  <c r="K221" i="35"/>
  <c r="K567" i="35"/>
  <c r="F135" i="35"/>
  <c r="F652" i="35"/>
  <c r="F651" i="35"/>
  <c r="J227" i="35"/>
  <c r="O658" i="35"/>
  <c r="P49" i="35"/>
  <c r="K307" i="35"/>
  <c r="F307" i="35"/>
  <c r="F306" i="35"/>
  <c r="AI81" i="22"/>
  <c r="AI17" i="22"/>
  <c r="AI43" i="22"/>
  <c r="AI45" i="22"/>
  <c r="AI71" i="22"/>
  <c r="AC31" i="61"/>
  <c r="AK31" i="61"/>
  <c r="AO31" i="61"/>
  <c r="AG31" i="61"/>
  <c r="AI31" i="61"/>
  <c r="AC19" i="61"/>
  <c r="AO19" i="61"/>
  <c r="AG19" i="61"/>
  <c r="AI19" i="61"/>
  <c r="AK19" i="61"/>
  <c r="AC18" i="61"/>
  <c r="AD18" i="61"/>
  <c r="AC7" i="61"/>
  <c r="AO7" i="61"/>
  <c r="AK7" i="61"/>
  <c r="AG7" i="61"/>
  <c r="AI7" i="61"/>
  <c r="AU3" i="61"/>
  <c r="BC3" i="61"/>
  <c r="BG3" i="61"/>
  <c r="AU10" i="61"/>
  <c r="BC10" i="61"/>
  <c r="AY10" i="61"/>
  <c r="BG10" i="61"/>
  <c r="W91" i="61"/>
  <c r="O91" i="61"/>
  <c r="Q91" i="61"/>
  <c r="K91" i="61"/>
  <c r="M91" i="61"/>
  <c r="S91" i="61"/>
  <c r="S89" i="61"/>
  <c r="O89" i="61"/>
  <c r="Q89" i="61"/>
  <c r="K89" i="61"/>
  <c r="M89" i="61"/>
  <c r="W89" i="61"/>
  <c r="O86" i="61"/>
  <c r="P86" i="61"/>
  <c r="AH88" i="22"/>
  <c r="AH85" i="22"/>
  <c r="AH102" i="22"/>
  <c r="AH100" i="22"/>
  <c r="AH92" i="22"/>
  <c r="AI19" i="22"/>
  <c r="AI101" i="22"/>
  <c r="AI97" i="22"/>
  <c r="AI91" i="22"/>
  <c r="AI87" i="22"/>
  <c r="AI85" i="22"/>
  <c r="AI82" i="22"/>
  <c r="AH45" i="22"/>
  <c r="AH43" i="22"/>
  <c r="AH74" i="22"/>
  <c r="AH70" i="22"/>
  <c r="AI70" i="22"/>
  <c r="AV37" i="61"/>
  <c r="O33" i="61"/>
  <c r="Q33" i="61"/>
  <c r="W33" i="61"/>
  <c r="S26" i="61"/>
  <c r="K26" i="61"/>
  <c r="M26" i="61"/>
  <c r="AK34" i="61"/>
  <c r="AL34" i="61"/>
  <c r="AK33" i="61"/>
  <c r="AC33" i="61"/>
  <c r="AC23" i="61"/>
  <c r="AG23" i="61"/>
  <c r="AI23" i="61"/>
  <c r="AK23" i="61"/>
  <c r="AO23" i="61"/>
  <c r="AL16" i="61"/>
  <c r="AK16" i="61"/>
  <c r="AC15" i="61"/>
  <c r="AK15" i="61"/>
  <c r="AO15" i="61"/>
  <c r="AG15" i="61"/>
  <c r="AI15" i="61"/>
  <c r="BC34" i="61"/>
  <c r="AU34" i="61"/>
  <c r="BG34" i="61"/>
  <c r="AY34" i="61"/>
  <c r="BA34" i="61"/>
  <c r="BC24" i="61"/>
  <c r="AU24" i="61"/>
  <c r="BG24" i="61"/>
  <c r="AY24" i="61"/>
  <c r="BA24" i="61"/>
  <c r="BC4" i="61"/>
  <c r="AU4" i="61"/>
  <c r="BG4" i="61"/>
  <c r="AY4" i="61"/>
  <c r="S94" i="61"/>
  <c r="W94" i="61"/>
  <c r="O94" i="61"/>
  <c r="Q94" i="61"/>
  <c r="S93" i="61"/>
  <c r="T93" i="61"/>
  <c r="S92" i="61"/>
  <c r="T92" i="61"/>
  <c r="S90" i="61"/>
  <c r="T90" i="61"/>
  <c r="AH90" i="22"/>
  <c r="AH22" i="22"/>
  <c r="AH101" i="22"/>
  <c r="AH82" i="22"/>
  <c r="AI15" i="22"/>
  <c r="AI16" i="22"/>
  <c r="AI102" i="22"/>
  <c r="AI98" i="22"/>
  <c r="AI79" i="22"/>
  <c r="AI46" i="22"/>
  <c r="S75" i="22"/>
  <c r="AI75" i="22"/>
  <c r="AI73" i="22"/>
  <c r="AI69" i="22"/>
  <c r="AL24" i="61"/>
  <c r="AK25" i="61"/>
  <c r="AO25" i="61"/>
  <c r="AG25" i="61"/>
  <c r="AC25" i="61"/>
  <c r="AL18" i="61"/>
  <c r="AK18" i="61"/>
  <c r="AO5" i="61"/>
  <c r="AG5" i="61"/>
  <c r="AI5" i="61"/>
  <c r="AK5" i="61"/>
  <c r="AC5" i="61"/>
  <c r="BD19" i="61"/>
  <c r="BC19" i="61"/>
  <c r="AU5" i="61"/>
  <c r="AW5" i="61"/>
  <c r="AV5" i="61"/>
  <c r="O93" i="61"/>
  <c r="Q93" i="61"/>
  <c r="P93" i="61"/>
  <c r="AH98" i="22"/>
  <c r="AH78" i="22"/>
  <c r="AH99" i="22"/>
  <c r="AH80" i="22"/>
  <c r="AH94" i="22"/>
  <c r="AH91" i="22"/>
  <c r="AI18" i="22"/>
  <c r="AH46" i="22"/>
  <c r="AH71" i="22"/>
  <c r="AI72" i="22"/>
  <c r="AD28" i="61"/>
  <c r="W35" i="61"/>
  <c r="O35" i="61"/>
  <c r="Q35" i="61"/>
  <c r="S35" i="61"/>
  <c r="AC27" i="61"/>
  <c r="AK27" i="61"/>
  <c r="AO27" i="61"/>
  <c r="AG27" i="61"/>
  <c r="AI27" i="61"/>
  <c r="AD26" i="61"/>
  <c r="AC26" i="61"/>
  <c r="AC17" i="61"/>
  <c r="AO17" i="61"/>
  <c r="AK17" i="61"/>
  <c r="AM17" i="61"/>
  <c r="AG17" i="61"/>
  <c r="AI17" i="61"/>
  <c r="AU26" i="61"/>
  <c r="BG26" i="61"/>
  <c r="BC26" i="61"/>
  <c r="BE26" i="61"/>
  <c r="AY26" i="61"/>
  <c r="BA26" i="61"/>
  <c r="L92" i="61"/>
  <c r="K92" i="61"/>
  <c r="M92" i="61"/>
  <c r="L90" i="61"/>
  <c r="K90" i="61"/>
  <c r="M90" i="61"/>
  <c r="S85" i="61"/>
  <c r="T85" i="61"/>
  <c r="J55" i="35"/>
  <c r="O227" i="35"/>
  <c r="O401" i="35"/>
  <c r="J658" i="35"/>
  <c r="O487" i="35"/>
  <c r="J573" i="35"/>
  <c r="K34" i="61"/>
  <c r="M34" i="61"/>
  <c r="S34" i="61"/>
  <c r="O34" i="61"/>
  <c r="Q34" i="61"/>
  <c r="W34" i="61"/>
  <c r="S28" i="61"/>
  <c r="K28" i="61"/>
  <c r="M28" i="61"/>
  <c r="W28" i="61"/>
  <c r="O28" i="61"/>
  <c r="Q28" i="61"/>
  <c r="S14" i="61"/>
  <c r="W14" i="61"/>
  <c r="O14" i="61"/>
  <c r="Q14" i="61"/>
  <c r="K14" i="61"/>
  <c r="M14" i="61"/>
  <c r="L35" i="61"/>
  <c r="K35" i="61"/>
  <c r="M35" i="61"/>
  <c r="L31" i="61"/>
  <c r="K31" i="61"/>
  <c r="M31" i="61"/>
  <c r="K17" i="61"/>
  <c r="M17" i="61"/>
  <c r="L17" i="61"/>
  <c r="P3" i="61"/>
  <c r="S37" i="61"/>
  <c r="U37" i="61"/>
  <c r="T37" i="61"/>
  <c r="S23" i="61"/>
  <c r="T23" i="61"/>
  <c r="S9" i="61"/>
  <c r="T9" i="61"/>
  <c r="T5" i="61"/>
  <c r="S5" i="61"/>
  <c r="W26" i="61"/>
  <c r="X26" i="61"/>
  <c r="AG37" i="61"/>
  <c r="AK37" i="61"/>
  <c r="AC37" i="61"/>
  <c r="AE37" i="61"/>
  <c r="AO37" i="61"/>
  <c r="AC34" i="61"/>
  <c r="AE34" i="61"/>
  <c r="AD34" i="61"/>
  <c r="AH33" i="61"/>
  <c r="AG33" i="61"/>
  <c r="AC16" i="61"/>
  <c r="AD16" i="61"/>
  <c r="AZ3" i="61"/>
  <c r="AY3" i="61"/>
  <c r="BD25" i="61"/>
  <c r="BC25" i="61"/>
  <c r="BE25" i="61"/>
  <c r="BG12" i="61"/>
  <c r="BH12" i="61"/>
  <c r="BD9" i="61"/>
  <c r="BC9" i="61"/>
  <c r="BE9" i="61"/>
  <c r="AZ6" i="61"/>
  <c r="AY6" i="61"/>
  <c r="BA6" i="61"/>
  <c r="L94" i="61"/>
  <c r="K94" i="61"/>
  <c r="M94" i="61"/>
  <c r="AI78" i="22"/>
  <c r="AI21" i="22"/>
  <c r="K36" i="61"/>
  <c r="M36" i="61"/>
  <c r="O36" i="61"/>
  <c r="Q36" i="61"/>
  <c r="W36" i="61"/>
  <c r="S36" i="61"/>
  <c r="K24" i="61"/>
  <c r="M24" i="61"/>
  <c r="O24" i="61"/>
  <c r="Q24" i="61"/>
  <c r="W24" i="61"/>
  <c r="S24" i="61"/>
  <c r="K20" i="61"/>
  <c r="M20" i="61"/>
  <c r="O20" i="61"/>
  <c r="Q20" i="61"/>
  <c r="W20" i="61"/>
  <c r="S20" i="61"/>
  <c r="S6" i="61"/>
  <c r="K6" i="61"/>
  <c r="M6" i="61"/>
  <c r="O6" i="61"/>
  <c r="Q6" i="61"/>
  <c r="W6" i="61"/>
  <c r="K27" i="61"/>
  <c r="M27" i="61"/>
  <c r="L27" i="61"/>
  <c r="K23" i="61"/>
  <c r="M23" i="61"/>
  <c r="L23" i="61"/>
  <c r="K9" i="61"/>
  <c r="M9" i="61"/>
  <c r="L9" i="61"/>
  <c r="P26" i="61"/>
  <c r="O26" i="61"/>
  <c r="Q26" i="61"/>
  <c r="S33" i="61"/>
  <c r="T33" i="61"/>
  <c r="T29" i="61"/>
  <c r="S29" i="61"/>
  <c r="T15" i="61"/>
  <c r="S15" i="61"/>
  <c r="W18" i="61"/>
  <c r="X18" i="61"/>
  <c r="X4" i="61"/>
  <c r="AK3" i="61"/>
  <c r="AL3" i="61"/>
  <c r="AL6" i="61"/>
  <c r="AK6" i="61"/>
  <c r="BG28" i="61"/>
  <c r="BI28" i="61"/>
  <c r="BH28" i="61"/>
  <c r="BC16" i="61"/>
  <c r="AY16" i="61"/>
  <c r="BG16" i="61"/>
  <c r="AU16" i="61"/>
  <c r="AW16" i="61"/>
  <c r="S41" i="61"/>
  <c r="T41" i="61"/>
  <c r="AI92" i="22"/>
  <c r="AI88" i="22"/>
  <c r="AI22" i="22"/>
  <c r="AI44" i="22"/>
  <c r="K3" i="61"/>
  <c r="W3" i="61"/>
  <c r="O3" i="61"/>
  <c r="S3" i="61"/>
  <c r="S30" i="61"/>
  <c r="W30" i="61"/>
  <c r="O30" i="61"/>
  <c r="Q30" i="61"/>
  <c r="K30" i="61"/>
  <c r="M30" i="61"/>
  <c r="S16" i="61"/>
  <c r="K16" i="61"/>
  <c r="M16" i="61"/>
  <c r="W16" i="61"/>
  <c r="O16" i="61"/>
  <c r="Q16" i="61"/>
  <c r="S12" i="61"/>
  <c r="K12" i="61"/>
  <c r="M12" i="61"/>
  <c r="W12" i="61"/>
  <c r="O12" i="61"/>
  <c r="Q12" i="61"/>
  <c r="L33" i="61"/>
  <c r="K33" i="61"/>
  <c r="M33" i="61"/>
  <c r="L19" i="61"/>
  <c r="K19" i="61"/>
  <c r="M19" i="61"/>
  <c r="K15" i="61"/>
  <c r="M15" i="61"/>
  <c r="L15" i="61"/>
  <c r="O18" i="61"/>
  <c r="Q18" i="61"/>
  <c r="P18" i="61"/>
  <c r="T25" i="61"/>
  <c r="S25" i="61"/>
  <c r="S21" i="61"/>
  <c r="U21" i="61"/>
  <c r="T21" i="61"/>
  <c r="S7" i="61"/>
  <c r="T7" i="61"/>
  <c r="W10" i="61"/>
  <c r="X10" i="61"/>
  <c r="AK36" i="61"/>
  <c r="AL36" i="61"/>
  <c r="AO33" i="61"/>
  <c r="AQ33" i="61"/>
  <c r="AP33" i="61"/>
  <c r="AP9" i="61"/>
  <c r="AO9" i="61"/>
  <c r="AQ9" i="61"/>
  <c r="AY32" i="61"/>
  <c r="BA32" i="61"/>
  <c r="BC32" i="61"/>
  <c r="BG32" i="61"/>
  <c r="BI32" i="61"/>
  <c r="AU32" i="61"/>
  <c r="AU19" i="61"/>
  <c r="AV19" i="61"/>
  <c r="BC8" i="61"/>
  <c r="AU8" i="61"/>
  <c r="BG8" i="61"/>
  <c r="AY8" i="61"/>
  <c r="BA8" i="61"/>
  <c r="X93" i="61"/>
  <c r="W93" i="61"/>
  <c r="Y93" i="61"/>
  <c r="AI93" i="22"/>
  <c r="AI89" i="22"/>
  <c r="AI74" i="22"/>
  <c r="S32" i="61"/>
  <c r="K32" i="61"/>
  <c r="M32" i="61"/>
  <c r="W32" i="61"/>
  <c r="O32" i="61"/>
  <c r="Q32" i="61"/>
  <c r="S22" i="61"/>
  <c r="K22" i="61"/>
  <c r="M22" i="61"/>
  <c r="O22" i="61"/>
  <c r="Q22" i="61"/>
  <c r="W22" i="61"/>
  <c r="K8" i="61"/>
  <c r="M8" i="61"/>
  <c r="O8" i="61"/>
  <c r="Q8" i="61"/>
  <c r="W8" i="61"/>
  <c r="S8" i="61"/>
  <c r="K4" i="61"/>
  <c r="M4" i="61"/>
  <c r="O4" i="61"/>
  <c r="Q4" i="61"/>
  <c r="W4" i="61"/>
  <c r="S4" i="61"/>
  <c r="L25" i="61"/>
  <c r="K25" i="61"/>
  <c r="M25" i="61"/>
  <c r="K11" i="61"/>
  <c r="M11" i="61"/>
  <c r="L11" i="61"/>
  <c r="K7" i="61"/>
  <c r="M7" i="61"/>
  <c r="L7" i="61"/>
  <c r="O10" i="61"/>
  <c r="Q10" i="61"/>
  <c r="P10" i="61"/>
  <c r="T31" i="61"/>
  <c r="S31" i="61"/>
  <c r="T17" i="61"/>
  <c r="S17" i="61"/>
  <c r="T13" i="61"/>
  <c r="S13" i="61"/>
  <c r="AD3" i="61"/>
  <c r="AC3" i="61"/>
  <c r="AG35" i="61"/>
  <c r="AI35" i="61"/>
  <c r="AK35" i="61"/>
  <c r="AC35" i="61"/>
  <c r="AE35" i="61"/>
  <c r="AO35" i="61"/>
  <c r="AC13" i="61"/>
  <c r="AO13" i="61"/>
  <c r="AK13" i="61"/>
  <c r="AG13" i="61"/>
  <c r="AI13" i="61"/>
  <c r="AU35" i="61"/>
  <c r="AV35" i="61"/>
  <c r="AZ22" i="61"/>
  <c r="AY22" i="61"/>
  <c r="BA22" i="61"/>
  <c r="J313" i="35"/>
  <c r="J401" i="35"/>
  <c r="O573" i="35"/>
  <c r="T658" i="35"/>
  <c r="AC130" i="62"/>
  <c r="AD130" i="62"/>
  <c r="AO124" i="62"/>
  <c r="AQ124" i="62"/>
  <c r="AP124" i="62"/>
  <c r="O182" i="62"/>
  <c r="Q182" i="62"/>
  <c r="P182" i="62"/>
  <c r="AC201" i="62"/>
  <c r="AK201" i="62"/>
  <c r="AP164" i="62"/>
  <c r="AO164" i="62"/>
  <c r="BC179" i="62"/>
  <c r="AU179" i="62"/>
  <c r="BG179" i="62"/>
  <c r="O176" i="62"/>
  <c r="Q176" i="62"/>
  <c r="P176" i="62"/>
  <c r="AG210" i="62"/>
  <c r="AK210" i="62"/>
  <c r="AY211" i="62"/>
  <c r="O203" i="62"/>
  <c r="Q203" i="62"/>
  <c r="O199" i="62"/>
  <c r="Q199" i="62"/>
  <c r="O195" i="62"/>
  <c r="Q195" i="62"/>
  <c r="O191" i="62"/>
  <c r="Q191" i="62"/>
  <c r="O187" i="62"/>
  <c r="Q187" i="62"/>
  <c r="O183" i="62"/>
  <c r="Q183" i="62"/>
  <c r="S195" i="62"/>
  <c r="S187" i="62"/>
  <c r="S179" i="62"/>
  <c r="S172" i="62"/>
  <c r="AK186" i="62"/>
  <c r="AM186" i="62"/>
  <c r="AK180" i="62"/>
  <c r="AG186" i="62"/>
  <c r="AC196" i="62"/>
  <c r="AK200" i="62"/>
  <c r="AD182" i="62"/>
  <c r="AU182" i="62"/>
  <c r="AW182" i="62"/>
  <c r="K203" i="62"/>
  <c r="M203" i="62"/>
  <c r="K199" i="62"/>
  <c r="M199" i="62"/>
  <c r="K191" i="62"/>
  <c r="M191" i="62"/>
  <c r="K142" i="62"/>
  <c r="M142" i="62"/>
  <c r="K138" i="62"/>
  <c r="M138" i="62"/>
  <c r="O179" i="62"/>
  <c r="Q179" i="62"/>
  <c r="O138" i="62"/>
  <c r="Q138" i="62"/>
  <c r="O132" i="62"/>
  <c r="Q132" i="62"/>
  <c r="AH113" i="62"/>
  <c r="AG195" i="62"/>
  <c r="K119" i="62"/>
  <c r="M119" i="62"/>
  <c r="K115" i="62"/>
  <c r="K187" i="62"/>
  <c r="M187" i="62"/>
  <c r="K183" i="62"/>
  <c r="M183" i="62"/>
  <c r="K179" i="62"/>
  <c r="M179" i="62"/>
  <c r="K176" i="62"/>
  <c r="M176" i="62"/>
  <c r="K172" i="62"/>
  <c r="M172" i="62"/>
  <c r="K164" i="62"/>
  <c r="M164" i="62"/>
  <c r="K156" i="62"/>
  <c r="M156" i="62"/>
  <c r="K148" i="62"/>
  <c r="M148" i="62"/>
  <c r="K144" i="62"/>
  <c r="M144" i="62"/>
  <c r="O197" i="62"/>
  <c r="Q197" i="62"/>
  <c r="O189" i="62"/>
  <c r="Q189" i="62"/>
  <c r="O172" i="62"/>
  <c r="Q172" i="62"/>
  <c r="O164" i="62"/>
  <c r="Q164" i="62"/>
  <c r="O156" i="62"/>
  <c r="Q156" i="62"/>
  <c r="O152" i="62"/>
  <c r="Q152" i="62"/>
  <c r="O148" i="62"/>
  <c r="Q148" i="62"/>
  <c r="O134" i="62"/>
  <c r="Q134" i="62"/>
  <c r="S197" i="62"/>
  <c r="S181" i="62"/>
  <c r="U181" i="62"/>
  <c r="S150" i="62"/>
  <c r="S142" i="62"/>
  <c r="O109" i="35"/>
  <c r="T109" i="35"/>
  <c r="O195" i="35"/>
  <c r="T281" i="35"/>
  <c r="O369" i="35"/>
  <c r="T369" i="35"/>
  <c r="O455" i="35"/>
  <c r="T455" i="35"/>
  <c r="O541" i="35"/>
  <c r="T541" i="35"/>
  <c r="O626" i="35"/>
  <c r="AD123" i="62"/>
  <c r="AC123" i="62"/>
  <c r="AL121" i="62"/>
  <c r="AK121" i="62"/>
  <c r="AC115" i="62"/>
  <c r="AE115" i="62"/>
  <c r="AD115" i="62"/>
  <c r="AC192" i="62"/>
  <c r="AK192" i="62"/>
  <c r="AO144" i="62"/>
  <c r="AK144" i="62"/>
  <c r="AG144" i="62"/>
  <c r="AC144" i="62"/>
  <c r="AD171" i="62"/>
  <c r="AC171" i="62"/>
  <c r="AE171" i="62"/>
  <c r="AK155" i="62"/>
  <c r="AL155" i="62"/>
  <c r="AC121" i="62"/>
  <c r="AD121" i="62"/>
  <c r="AL115" i="62"/>
  <c r="AK115" i="62"/>
  <c r="BD196" i="62"/>
  <c r="BC196" i="62"/>
  <c r="AZ185" i="62"/>
  <c r="AY185" i="62"/>
  <c r="AH182" i="62"/>
  <c r="AG182" i="62"/>
  <c r="AD179" i="62"/>
  <c r="AC179" i="62"/>
  <c r="AU208" i="62"/>
  <c r="BD208" i="62"/>
  <c r="BG172" i="62"/>
  <c r="AU172" i="62"/>
  <c r="AY172" i="62"/>
  <c r="BC172" i="62"/>
  <c r="K168" i="62"/>
  <c r="M168" i="62"/>
  <c r="L168" i="62"/>
  <c r="O144" i="62"/>
  <c r="Q144" i="62"/>
  <c r="P144" i="62"/>
  <c r="AG180" i="62"/>
  <c r="AG150" i="62"/>
  <c r="AC148" i="62"/>
  <c r="AO133" i="62"/>
  <c r="AQ133" i="62"/>
  <c r="AU167" i="62"/>
  <c r="AW167" i="62"/>
  <c r="W143" i="62"/>
  <c r="AK133" i="62"/>
  <c r="AG148" i="62"/>
  <c r="AC189" i="62"/>
  <c r="AC133" i="62"/>
  <c r="L173" i="62"/>
  <c r="L184" i="62"/>
  <c r="P188" i="62"/>
  <c r="AH118" i="62"/>
  <c r="AG118" i="62"/>
  <c r="K163" i="62"/>
  <c r="M163" i="62"/>
  <c r="L163" i="62"/>
  <c r="O198" i="62"/>
  <c r="Q198" i="62"/>
  <c r="P198" i="62"/>
  <c r="S191" i="62"/>
  <c r="T191" i="62"/>
  <c r="S183" i="62"/>
  <c r="T183" i="62"/>
  <c r="S176" i="62"/>
  <c r="T176" i="62"/>
  <c r="T114" i="62"/>
  <c r="S114" i="62"/>
  <c r="K195" i="62"/>
  <c r="M195" i="62"/>
  <c r="L195" i="62"/>
  <c r="K135" i="62"/>
  <c r="L135" i="62"/>
  <c r="O168" i="62"/>
  <c r="Q168" i="62"/>
  <c r="P168" i="62"/>
  <c r="AC140" i="62"/>
  <c r="P152" i="62"/>
  <c r="L169" i="62"/>
  <c r="AH150" i="62"/>
  <c r="AO186" i="62"/>
  <c r="AP186" i="62"/>
  <c r="BH191" i="62"/>
  <c r="BG191" i="62"/>
  <c r="BI191" i="62"/>
  <c r="K190" i="62"/>
  <c r="M190" i="62"/>
  <c r="L190" i="62"/>
  <c r="AK141" i="62"/>
  <c r="AO148" i="62"/>
  <c r="L203" i="62"/>
  <c r="K186" i="62"/>
  <c r="L186" i="62"/>
  <c r="K171" i="62"/>
  <c r="L171" i="62"/>
  <c r="K152" i="62"/>
  <c r="M152" i="62"/>
  <c r="L152" i="62"/>
  <c r="W203" i="62"/>
  <c r="W201" i="62"/>
  <c r="W197" i="62"/>
  <c r="W193" i="62"/>
  <c r="W146" i="62"/>
  <c r="W202" i="62"/>
  <c r="K123" i="62"/>
  <c r="M123" i="62"/>
  <c r="S123" i="62"/>
  <c r="W139" i="62"/>
  <c r="S113" i="62"/>
  <c r="AG202" i="62"/>
  <c r="AO188" i="62"/>
  <c r="O123" i="62"/>
  <c r="Q123" i="62"/>
  <c r="S119" i="62"/>
  <c r="O206" i="62"/>
  <c r="O146" i="62"/>
  <c r="Q146" i="62"/>
  <c r="W140" i="62"/>
  <c r="Y140" i="62"/>
  <c r="AK184" i="62"/>
  <c r="K120" i="62"/>
  <c r="M120" i="62"/>
  <c r="O120" i="62"/>
  <c r="Q120" i="62"/>
  <c r="O114" i="62"/>
  <c r="Q114" i="62"/>
  <c r="W189" i="62"/>
  <c r="W185" i="62"/>
  <c r="S166" i="62"/>
  <c r="O113" i="62"/>
  <c r="K146" i="62"/>
  <c r="M146" i="62"/>
  <c r="S143" i="62"/>
  <c r="AO183" i="62"/>
  <c r="AG166" i="62"/>
  <c r="O116" i="62"/>
  <c r="Q116" i="62"/>
  <c r="S120" i="62"/>
  <c r="K143" i="62"/>
  <c r="M143" i="62"/>
  <c r="S146" i="62"/>
  <c r="W184" i="62"/>
  <c r="W173" i="62"/>
  <c r="W169" i="62"/>
  <c r="S147" i="62"/>
  <c r="AK113" i="62"/>
  <c r="AC210" i="62"/>
  <c r="AK208" i="62"/>
  <c r="AC208" i="62"/>
  <c r="AO199" i="62"/>
  <c r="AC178" i="62"/>
  <c r="AG175" i="62"/>
  <c r="AC170" i="62"/>
  <c r="AO166" i="62"/>
  <c r="AG162" i="62"/>
  <c r="AC154" i="62"/>
  <c r="AC153" i="62"/>
  <c r="AO196" i="62"/>
  <c r="AC155" i="62"/>
  <c r="AE155" i="62"/>
  <c r="AG137" i="62"/>
  <c r="AG129" i="62"/>
  <c r="S121" i="62"/>
  <c r="K126" i="62"/>
  <c r="M126" i="62"/>
  <c r="K121" i="62"/>
  <c r="M121" i="62"/>
  <c r="O115" i="62"/>
  <c r="Q115" i="62"/>
  <c r="W113" i="62"/>
  <c r="K207" i="62"/>
  <c r="O211" i="62"/>
  <c r="AO149" i="62"/>
  <c r="AC145" i="62"/>
  <c r="AG143" i="62"/>
  <c r="AO141" i="62"/>
  <c r="AQ141" i="62"/>
  <c r="AC139" i="62"/>
  <c r="AE139" i="62"/>
  <c r="AC135" i="62"/>
  <c r="AE135" i="62"/>
  <c r="AG119" i="62"/>
  <c r="AU205" i="62"/>
  <c r="AP540" i="58"/>
  <c r="AU198" i="62"/>
  <c r="AU197" i="62"/>
  <c r="BG185" i="62"/>
  <c r="BI185" i="62"/>
  <c r="AY178" i="62"/>
  <c r="BA178" i="62"/>
  <c r="AU162" i="62"/>
  <c r="BC156" i="62"/>
  <c r="AU154" i="62"/>
  <c r="BC152" i="62"/>
  <c r="BC148" i="62"/>
  <c r="BC144" i="62"/>
  <c r="S126" i="62"/>
  <c r="W121" i="62"/>
  <c r="K206" i="62"/>
  <c r="M206" i="62"/>
  <c r="O210" i="62"/>
  <c r="S162" i="62"/>
  <c r="U162" i="62"/>
  <c r="S154" i="62"/>
  <c r="K116" i="62"/>
  <c r="M116" i="62"/>
  <c r="K113" i="62"/>
  <c r="O126" i="62"/>
  <c r="Q126" i="62"/>
  <c r="S116" i="62"/>
  <c r="W114" i="62"/>
  <c r="K211" i="62"/>
  <c r="O207" i="62"/>
  <c r="K147" i="62"/>
  <c r="M147" i="62"/>
  <c r="K140" i="62"/>
  <c r="M140" i="62"/>
  <c r="O121" i="62"/>
  <c r="Q121" i="62"/>
  <c r="K210" i="62"/>
  <c r="O201" i="62"/>
  <c r="Q201" i="62"/>
  <c r="O185" i="62"/>
  <c r="Q185" i="62"/>
  <c r="O170" i="62"/>
  <c r="Q170" i="62"/>
  <c r="O154" i="62"/>
  <c r="Q154" i="62"/>
  <c r="S193" i="62"/>
  <c r="U193" i="62"/>
  <c r="S177" i="62"/>
  <c r="W198" i="62"/>
  <c r="W195" i="62"/>
  <c r="W190" i="62"/>
  <c r="W187" i="62"/>
  <c r="W182" i="62"/>
  <c r="W179" i="62"/>
  <c r="W172" i="62"/>
  <c r="S189" i="62"/>
  <c r="S174" i="62"/>
  <c r="S140" i="62"/>
  <c r="S132" i="62"/>
  <c r="W131" i="62"/>
  <c r="K154" i="62"/>
  <c r="M154" i="62"/>
  <c r="O193" i="62"/>
  <c r="Q193" i="62"/>
  <c r="O177" i="62"/>
  <c r="Q177" i="62"/>
  <c r="O162" i="62"/>
  <c r="Q162" i="62"/>
  <c r="S201" i="62"/>
  <c r="S185" i="62"/>
  <c r="S170" i="62"/>
  <c r="W199" i="62"/>
  <c r="W194" i="62"/>
  <c r="W191" i="62"/>
  <c r="W183" i="62"/>
  <c r="W176" i="62"/>
  <c r="K624" i="35"/>
  <c r="F194" i="35"/>
  <c r="F540" i="35"/>
  <c r="H194" i="35"/>
  <c r="H193" i="35"/>
  <c r="H280" i="35"/>
  <c r="H279" i="35"/>
  <c r="H625" i="35"/>
  <c r="H624" i="35"/>
  <c r="H454" i="35"/>
  <c r="H453" i="35"/>
  <c r="H368" i="35"/>
  <c r="H367" i="35"/>
  <c r="H108" i="35"/>
  <c r="H107" i="35"/>
  <c r="H22" i="35"/>
  <c r="H21" i="35"/>
  <c r="H540" i="35"/>
  <c r="H539" i="35"/>
  <c r="K194" i="35"/>
  <c r="K540" i="35"/>
  <c r="K280" i="35"/>
  <c r="M194" i="35"/>
  <c r="M193" i="35"/>
  <c r="M625" i="35"/>
  <c r="M624" i="35"/>
  <c r="M454" i="35"/>
  <c r="M453" i="35"/>
  <c r="M368" i="35"/>
  <c r="M367" i="35"/>
  <c r="M108" i="35"/>
  <c r="M107" i="35"/>
  <c r="M22" i="35"/>
  <c r="M21" i="35"/>
  <c r="M540" i="35"/>
  <c r="M539" i="35"/>
  <c r="M280" i="35"/>
  <c r="M279" i="35"/>
  <c r="P194" i="35"/>
  <c r="P280" i="35"/>
  <c r="P540" i="35"/>
  <c r="T23" i="35"/>
  <c r="T195" i="35"/>
  <c r="O281" i="35"/>
  <c r="T626" i="35"/>
  <c r="F22" i="35"/>
  <c r="K108" i="35"/>
  <c r="P368" i="35"/>
  <c r="F625" i="35"/>
  <c r="F108" i="35"/>
  <c r="K368" i="35"/>
  <c r="P454" i="35"/>
  <c r="I22" i="35"/>
  <c r="I21" i="35"/>
  <c r="N22" i="35"/>
  <c r="N21" i="35"/>
  <c r="S22" i="35"/>
  <c r="S21" i="35"/>
  <c r="I108" i="35"/>
  <c r="I107" i="35"/>
  <c r="N108" i="35"/>
  <c r="N107" i="35"/>
  <c r="S108" i="35"/>
  <c r="S107" i="35"/>
  <c r="I368" i="35"/>
  <c r="I367" i="35"/>
  <c r="N368" i="35"/>
  <c r="N367" i="35"/>
  <c r="S368" i="35"/>
  <c r="S367" i="35"/>
  <c r="I454" i="35"/>
  <c r="I453" i="35"/>
  <c r="N454" i="35"/>
  <c r="N453" i="35"/>
  <c r="S454" i="35"/>
  <c r="S453" i="35"/>
  <c r="I625" i="35"/>
  <c r="I624" i="35"/>
  <c r="N625" i="35"/>
  <c r="N624" i="35"/>
  <c r="S625" i="35"/>
  <c r="S624" i="35"/>
  <c r="G194" i="35"/>
  <c r="I194" i="35"/>
  <c r="I193" i="35"/>
  <c r="L194" i="35"/>
  <c r="L193" i="35"/>
  <c r="N194" i="35"/>
  <c r="N193" i="35"/>
  <c r="Q194" i="35"/>
  <c r="Q193" i="35"/>
  <c r="R540" i="35"/>
  <c r="R539" i="35"/>
  <c r="AT546" i="58"/>
  <c r="S194" i="35"/>
  <c r="S193" i="35"/>
  <c r="R22" i="35"/>
  <c r="R21" i="35"/>
  <c r="R108" i="35"/>
  <c r="R107" i="35"/>
  <c r="R368" i="35"/>
  <c r="R367" i="35"/>
  <c r="R454" i="35"/>
  <c r="R453" i="35"/>
  <c r="R625" i="35"/>
  <c r="R624" i="35"/>
  <c r="R280" i="35"/>
  <c r="R279" i="35"/>
  <c r="G22" i="35"/>
  <c r="L22" i="35"/>
  <c r="L21" i="35"/>
  <c r="Q22" i="35"/>
  <c r="Q21" i="35"/>
  <c r="G108" i="35"/>
  <c r="L108" i="35"/>
  <c r="L107" i="35"/>
  <c r="Q108" i="35"/>
  <c r="Q107" i="35"/>
  <c r="G368" i="35"/>
  <c r="L368" i="35"/>
  <c r="L367" i="35"/>
  <c r="Q368" i="35"/>
  <c r="Q367" i="35"/>
  <c r="G454" i="35"/>
  <c r="L454" i="35"/>
  <c r="Q454" i="35"/>
  <c r="Q453" i="35"/>
  <c r="G625" i="35"/>
  <c r="L625" i="35"/>
  <c r="L624" i="35"/>
  <c r="Q625" i="35"/>
  <c r="Q624" i="35"/>
  <c r="AK211" i="62"/>
  <c r="AO211" i="62"/>
  <c r="AO209" i="62"/>
  <c r="BA209" i="62"/>
  <c r="AK207" i="62"/>
  <c r="AC207" i="62"/>
  <c r="AO206" i="62"/>
  <c r="AC206" i="62"/>
  <c r="AK206" i="62"/>
  <c r="AK203" i="62"/>
  <c r="AD197" i="62"/>
  <c r="AC197" i="62"/>
  <c r="AK195" i="62"/>
  <c r="AL195" i="62"/>
  <c r="AO194" i="62"/>
  <c r="AQ194" i="62"/>
  <c r="AK194" i="62"/>
  <c r="AK193" i="62"/>
  <c r="AC193" i="62"/>
  <c r="AG192" i="62"/>
  <c r="AH192" i="62"/>
  <c r="AP187" i="62"/>
  <c r="AO187" i="62"/>
  <c r="AC176" i="62"/>
  <c r="AO176" i="62"/>
  <c r="AG176" i="62"/>
  <c r="AD172" i="62"/>
  <c r="AC172" i="62"/>
  <c r="AO169" i="62"/>
  <c r="AG169" i="62"/>
  <c r="AG146" i="62"/>
  <c r="AK146" i="62"/>
  <c r="AO142" i="62"/>
  <c r="AP142" i="62"/>
  <c r="AK122" i="62"/>
  <c r="AO122" i="62"/>
  <c r="AQ122" i="62"/>
  <c r="BG206" i="62"/>
  <c r="AY206" i="62"/>
  <c r="AR540" i="58"/>
  <c r="AU202" i="62"/>
  <c r="BC202" i="62"/>
  <c r="BG202" i="62"/>
  <c r="AV201" i="62"/>
  <c r="AU201" i="62"/>
  <c r="AW201" i="62"/>
  <c r="BG195" i="62"/>
  <c r="BG193" i="62"/>
  <c r="AY193" i="62"/>
  <c r="AU193" i="62"/>
  <c r="AO135" i="62"/>
  <c r="AG135" i="62"/>
  <c r="AC132" i="62"/>
  <c r="AG134" i="62"/>
  <c r="AC146" i="62"/>
  <c r="AG151" i="62"/>
  <c r="AG152" i="62"/>
  <c r="AG145" i="62"/>
  <c r="AG191" i="62"/>
  <c r="AC165" i="62"/>
  <c r="AC169" i="62"/>
  <c r="AC173" i="62"/>
  <c r="AE173" i="62"/>
  <c r="AO193" i="62"/>
  <c r="AG206" i="62"/>
  <c r="AO207" i="62"/>
  <c r="BA207" i="62"/>
  <c r="AL184" i="62"/>
  <c r="AP199" i="62"/>
  <c r="AG168" i="62"/>
  <c r="AC131" i="62"/>
  <c r="AE131" i="62"/>
  <c r="AO146" i="62"/>
  <c r="AO153" i="62"/>
  <c r="AK162" i="62"/>
  <c r="AM162" i="62"/>
  <c r="AK170" i="62"/>
  <c r="AO150" i="62"/>
  <c r="AO154" i="62"/>
  <c r="AQ154" i="62"/>
  <c r="AO162" i="62"/>
  <c r="AO170" i="62"/>
  <c r="AO174" i="62"/>
  <c r="AC183" i="62"/>
  <c r="AG183" i="62"/>
  <c r="AK163" i="62"/>
  <c r="AK171" i="62"/>
  <c r="AC202" i="62"/>
  <c r="AK209" i="62"/>
  <c r="AC198" i="62"/>
  <c r="AO203" i="62"/>
  <c r="AG207" i="62"/>
  <c r="AG170" i="62"/>
  <c r="AK154" i="62"/>
  <c r="BG183" i="62"/>
  <c r="AY183" i="62"/>
  <c r="BG163" i="62"/>
  <c r="BC163" i="62"/>
  <c r="AU155" i="62"/>
  <c r="BC155" i="62"/>
  <c r="AU151" i="62"/>
  <c r="BC151" i="62"/>
  <c r="AV150" i="62"/>
  <c r="AU150" i="62"/>
  <c r="AW150" i="62"/>
  <c r="AU147" i="62"/>
  <c r="AW147" i="62"/>
  <c r="BC147" i="62"/>
  <c r="BG143" i="62"/>
  <c r="BC143" i="62"/>
  <c r="BE143" i="62"/>
  <c r="AC205" i="62"/>
  <c r="AC540" i="58"/>
  <c r="AG205" i="62"/>
  <c r="AE540" i="58"/>
  <c r="AG197" i="62"/>
  <c r="AO197" i="62"/>
  <c r="AG185" i="62"/>
  <c r="AC185" i="62"/>
  <c r="AD180" i="62"/>
  <c r="AC180" i="62"/>
  <c r="AC177" i="62"/>
  <c r="AO177" i="62"/>
  <c r="AO171" i="62"/>
  <c r="AG171" i="62"/>
  <c r="AC164" i="62"/>
  <c r="AO163" i="62"/>
  <c r="AG163" i="62"/>
  <c r="AC156" i="62"/>
  <c r="BH185" i="62"/>
  <c r="AK199" i="62"/>
  <c r="AC199" i="62"/>
  <c r="AE199" i="62"/>
  <c r="AO198" i="62"/>
  <c r="AG198" i="62"/>
  <c r="AK190" i="62"/>
  <c r="AC190" i="62"/>
  <c r="AE190" i="62"/>
  <c r="AO189" i="62"/>
  <c r="AG189" i="62"/>
  <c r="AC187" i="62"/>
  <c r="AK187" i="62"/>
  <c r="AO173" i="62"/>
  <c r="AG173" i="62"/>
  <c r="AO165" i="62"/>
  <c r="AG165" i="62"/>
  <c r="AC149" i="62"/>
  <c r="AC141" i="62"/>
  <c r="AC138" i="62"/>
  <c r="AD138" i="62"/>
  <c r="AY179" i="62"/>
  <c r="AU178" i="62"/>
  <c r="AW178" i="62"/>
  <c r="AG201" i="62"/>
  <c r="AO201" i="62"/>
  <c r="AO200" i="62"/>
  <c r="AG200" i="62"/>
  <c r="AD195" i="62"/>
  <c r="AC195" i="62"/>
  <c r="AO192" i="62"/>
  <c r="AO191" i="62"/>
  <c r="AG181" i="62"/>
  <c r="AO175" i="62"/>
  <c r="AC175" i="62"/>
  <c r="AE175" i="62"/>
  <c r="AO167" i="62"/>
  <c r="AG167" i="62"/>
  <c r="AK151" i="62"/>
  <c r="AM151" i="62"/>
  <c r="S127" i="62"/>
  <c r="O127" i="62"/>
  <c r="Q127" i="62"/>
  <c r="K127" i="62"/>
  <c r="M127" i="62"/>
  <c r="W127" i="62"/>
  <c r="W125" i="62"/>
  <c r="S125" i="62"/>
  <c r="O125" i="62"/>
  <c r="Q125" i="62"/>
  <c r="K125" i="62"/>
  <c r="M125" i="62"/>
  <c r="W123" i="62"/>
  <c r="W117" i="62"/>
  <c r="S117" i="62"/>
  <c r="O117" i="62"/>
  <c r="Q117" i="62"/>
  <c r="K117" i="62"/>
  <c r="M117" i="62"/>
  <c r="W128" i="62"/>
  <c r="S128" i="62"/>
  <c r="O128" i="62"/>
  <c r="Q128" i="62"/>
  <c r="K128" i="62"/>
  <c r="M128" i="62"/>
  <c r="W126" i="62"/>
  <c r="S124" i="62"/>
  <c r="O124" i="62"/>
  <c r="Q124" i="62"/>
  <c r="K124" i="62"/>
  <c r="M124" i="62"/>
  <c r="W124" i="62"/>
  <c r="W122" i="62"/>
  <c r="S122" i="62"/>
  <c r="O122" i="62"/>
  <c r="Q122" i="62"/>
  <c r="K122" i="62"/>
  <c r="M122" i="62"/>
  <c r="S118" i="62"/>
  <c r="O118" i="62"/>
  <c r="Q118" i="62"/>
  <c r="K118" i="62"/>
  <c r="M118" i="62"/>
  <c r="W118" i="62"/>
  <c r="W208" i="62"/>
  <c r="AI208" i="62"/>
  <c r="S208" i="62"/>
  <c r="O208" i="62"/>
  <c r="W210" i="62"/>
  <c r="S209" i="62"/>
  <c r="W209" i="62"/>
  <c r="O209" i="62"/>
  <c r="W206" i="62"/>
  <c r="S205" i="62"/>
  <c r="W205" i="62"/>
  <c r="O205" i="62"/>
  <c r="W120" i="62"/>
  <c r="W116" i="62"/>
  <c r="W115" i="62"/>
  <c r="S210" i="62"/>
  <c r="S206" i="62"/>
  <c r="W177" i="62"/>
  <c r="W175" i="62"/>
  <c r="W170" i="62"/>
  <c r="W167" i="62"/>
  <c r="W164" i="62"/>
  <c r="S164" i="62"/>
  <c r="W162" i="62"/>
  <c r="W156" i="62"/>
  <c r="S156" i="62"/>
  <c r="W154" i="62"/>
  <c r="W151" i="62"/>
  <c r="W148" i="62"/>
  <c r="S148" i="62"/>
  <c r="W142" i="62"/>
  <c r="Y142" i="62"/>
  <c r="W141" i="62"/>
  <c r="S141" i="62"/>
  <c r="W133" i="62"/>
  <c r="Y133" i="62"/>
  <c r="S133" i="62"/>
  <c r="S130" i="62"/>
  <c r="W130" i="62"/>
  <c r="Y130" i="62"/>
  <c r="S211" i="62"/>
  <c r="S207" i="62"/>
  <c r="W196" i="62"/>
  <c r="W188" i="62"/>
  <c r="W180" i="62"/>
  <c r="W165" i="62"/>
  <c r="S165" i="62"/>
  <c r="W149" i="62"/>
  <c r="S149" i="62"/>
  <c r="U149" i="62"/>
  <c r="W145" i="62"/>
  <c r="S145" i="62"/>
  <c r="S138" i="62"/>
  <c r="W138" i="62"/>
  <c r="W136" i="62"/>
  <c r="Y136" i="62"/>
  <c r="S136" i="62"/>
  <c r="W186" i="62"/>
  <c r="W181" i="62"/>
  <c r="Y181" i="62"/>
  <c r="W178" i="62"/>
  <c r="W174" i="62"/>
  <c r="Y174" i="62"/>
  <c r="W171" i="62"/>
  <c r="W168" i="62"/>
  <c r="S168" i="62"/>
  <c r="W166" i="62"/>
  <c r="Y166" i="62"/>
  <c r="W163" i="62"/>
  <c r="W155" i="62"/>
  <c r="W152" i="62"/>
  <c r="S152" i="62"/>
  <c r="W150" i="62"/>
  <c r="Y150" i="62"/>
  <c r="W147" i="62"/>
  <c r="Y147" i="62"/>
  <c r="S134" i="62"/>
  <c r="U134" i="62"/>
  <c r="W134" i="62"/>
  <c r="W132" i="62"/>
  <c r="W129" i="62"/>
  <c r="S129" i="62"/>
  <c r="W200" i="62"/>
  <c r="W192" i="62"/>
  <c r="W153" i="62"/>
  <c r="S153" i="62"/>
  <c r="W144" i="62"/>
  <c r="S144" i="62"/>
  <c r="W137" i="62"/>
  <c r="S137" i="62"/>
  <c r="W135" i="62"/>
  <c r="T215" i="35"/>
  <c r="T475" i="35"/>
  <c r="O466" i="35"/>
  <c r="O475" i="35"/>
  <c r="N397" i="35"/>
  <c r="H173" i="35"/>
  <c r="I563" i="35"/>
  <c r="Q663" i="35"/>
  <c r="I146" i="35"/>
  <c r="G397" i="35"/>
  <c r="K60" i="35"/>
  <c r="H483" i="35"/>
  <c r="R60" i="35"/>
  <c r="I217" i="35"/>
  <c r="I663" i="35"/>
  <c r="I578" i="35"/>
  <c r="P85" i="58"/>
  <c r="I391" i="35"/>
  <c r="L134" i="35"/>
  <c r="AE138" i="58"/>
  <c r="K48" i="35"/>
  <c r="AC137" i="58"/>
  <c r="T122" i="35"/>
  <c r="AT161" i="58"/>
  <c r="AC161" i="58"/>
  <c r="P161" i="58"/>
  <c r="AE161" i="58"/>
  <c r="R161" i="58"/>
  <c r="AI161" i="58"/>
  <c r="V161" i="58"/>
  <c r="AR161" i="58"/>
  <c r="AG161" i="58"/>
  <c r="T161" i="58"/>
  <c r="AP161" i="58"/>
  <c r="AE368" i="61"/>
  <c r="AE290" i="61"/>
  <c r="U306" i="61"/>
  <c r="U298" i="61"/>
  <c r="U302" i="61"/>
  <c r="U308" i="61"/>
  <c r="U371" i="61"/>
  <c r="U340" i="61"/>
  <c r="U327" i="61"/>
  <c r="U292" i="61"/>
  <c r="AW279" i="61"/>
  <c r="AE272" i="61"/>
  <c r="AE281" i="61"/>
  <c r="U358" i="61"/>
  <c r="AW337" i="61"/>
  <c r="U385" i="61"/>
  <c r="BA294" i="61"/>
  <c r="BI358" i="61"/>
  <c r="BI366" i="61"/>
  <c r="AQ350" i="61"/>
  <c r="AQ282" i="61"/>
  <c r="AQ298" i="61"/>
  <c r="AE289" i="61"/>
  <c r="BA291" i="61"/>
  <c r="BA283" i="61"/>
  <c r="BA288" i="61"/>
  <c r="U386" i="61"/>
  <c r="BE360" i="61"/>
  <c r="U323" i="61"/>
  <c r="Y372" i="61"/>
  <c r="BA317" i="61"/>
  <c r="BI374" i="61"/>
  <c r="AQ330" i="61"/>
  <c r="AQ370" i="61"/>
  <c r="BA327" i="61"/>
  <c r="U290" i="61"/>
  <c r="U350" i="61"/>
  <c r="AI360" i="61"/>
  <c r="Y366" i="61"/>
  <c r="BE364" i="61"/>
  <c r="Y319" i="61"/>
  <c r="BI321" i="61"/>
  <c r="BE354" i="61"/>
  <c r="U352" i="61"/>
  <c r="AQ336" i="61"/>
  <c r="BI370" i="61"/>
  <c r="AW286" i="61"/>
  <c r="Y286" i="61"/>
  <c r="AE233" i="61"/>
  <c r="AI222" i="61"/>
  <c r="AQ266" i="61"/>
  <c r="AI276" i="61"/>
  <c r="Y295" i="61"/>
  <c r="AI280" i="61"/>
  <c r="AM274" i="61"/>
  <c r="AV161" i="58"/>
  <c r="Y306" i="61"/>
  <c r="U325" i="61"/>
  <c r="AW345" i="61"/>
  <c r="AM377" i="61"/>
  <c r="AM385" i="61"/>
  <c r="AE382" i="61"/>
  <c r="AW285" i="61"/>
  <c r="AE339" i="61"/>
  <c r="BI311" i="61"/>
  <c r="AI303" i="61"/>
  <c r="BE387" i="61"/>
  <c r="AQ362" i="61"/>
  <c r="BI338" i="61"/>
  <c r="AM384" i="61"/>
  <c r="AW317" i="61"/>
  <c r="AW301" i="61"/>
  <c r="AM376" i="61"/>
  <c r="AI341" i="61"/>
  <c r="AI144" i="58"/>
  <c r="P144" i="58"/>
  <c r="AI337" i="61"/>
  <c r="AQ311" i="61"/>
  <c r="AE217" i="61"/>
  <c r="AE216" i="61"/>
  <c r="R149" i="35"/>
  <c r="R495" i="35"/>
  <c r="Q149" i="35"/>
  <c r="M149" i="35"/>
  <c r="M409" i="35"/>
  <c r="L149" i="35"/>
  <c r="L495" i="35"/>
  <c r="H321" i="35"/>
  <c r="S321" i="35"/>
  <c r="I409" i="35"/>
  <c r="M581" i="35"/>
  <c r="L666" i="35"/>
  <c r="H63" i="35"/>
  <c r="N149" i="35"/>
  <c r="AG126" i="58"/>
  <c r="AT126" i="58"/>
  <c r="P149" i="58"/>
  <c r="P126" i="58"/>
  <c r="AC144" i="58"/>
  <c r="AM14" i="61"/>
  <c r="Y263" i="61"/>
  <c r="BA89" i="55"/>
  <c r="AE89" i="55"/>
  <c r="AC126" i="58"/>
  <c r="AI22" i="55"/>
  <c r="AE42" i="55"/>
  <c r="AE57" i="55"/>
  <c r="BA58" i="55"/>
  <c r="AM107" i="55"/>
  <c r="BA120" i="55"/>
  <c r="AW131" i="55"/>
  <c r="BE96" i="55"/>
  <c r="BA3" i="55"/>
  <c r="V144" i="58"/>
  <c r="AV144" i="58"/>
  <c r="BE352" i="62"/>
  <c r="AQ327" i="62"/>
  <c r="AE264" i="61"/>
  <c r="AI37" i="61"/>
  <c r="AQ11" i="61"/>
  <c r="AG144" i="58"/>
  <c r="AW104" i="61"/>
  <c r="BE99" i="61"/>
  <c r="AE94" i="55"/>
  <c r="AI114" i="55"/>
  <c r="AW142" i="55"/>
  <c r="AI126" i="58"/>
  <c r="V126" i="58"/>
  <c r="BA48" i="55"/>
  <c r="AT540" i="58"/>
  <c r="AV540" i="58"/>
  <c r="AI15" i="62"/>
  <c r="AM72" i="55"/>
  <c r="AE126" i="58"/>
  <c r="T126" i="58"/>
  <c r="BE209" i="61"/>
  <c r="R126" i="58"/>
  <c r="BE266" i="61"/>
  <c r="AQ124" i="61"/>
  <c r="Q98" i="61"/>
  <c r="T144" i="58"/>
  <c r="BA369" i="62"/>
  <c r="AV126" i="58"/>
  <c r="BI75" i="62"/>
  <c r="Y248" i="61"/>
  <c r="BA4" i="61"/>
  <c r="AE144" i="58"/>
  <c r="BA36" i="61"/>
  <c r="AM155" i="55"/>
  <c r="AI157" i="55"/>
  <c r="AR144" i="58"/>
  <c r="AI540" i="58"/>
  <c r="AW46" i="62"/>
  <c r="BA108" i="62"/>
  <c r="AR126" i="58"/>
  <c r="AP126" i="58"/>
  <c r="M165" i="61"/>
  <c r="M169" i="61"/>
  <c r="AW110" i="61"/>
  <c r="AG540" i="58"/>
  <c r="BE29" i="62"/>
  <c r="BE61" i="62"/>
  <c r="BI104" i="62"/>
  <c r="AW16" i="62"/>
  <c r="AI17" i="62"/>
  <c r="AQ98" i="55"/>
  <c r="AQ148" i="61"/>
  <c r="BI98" i="61"/>
  <c r="AT144" i="58"/>
  <c r="AI376" i="62"/>
  <c r="R492" i="35"/>
  <c r="H426" i="62" a="1"/>
  <c r="H426" i="62"/>
  <c r="T531" i="58"/>
  <c r="T530" i="58"/>
  <c r="BA102" i="61"/>
  <c r="BA105" i="61"/>
  <c r="AI100" i="61"/>
  <c r="AI102" i="61"/>
  <c r="Y98" i="61"/>
  <c r="AM103" i="61"/>
  <c r="U105" i="61"/>
  <c r="AQ101" i="61"/>
  <c r="BA100" i="61"/>
  <c r="AE99" i="61"/>
  <c r="M98" i="61"/>
  <c r="R144" i="58"/>
  <c r="T70" i="35"/>
  <c r="H229" i="35"/>
  <c r="J229" i="35"/>
  <c r="P143" i="35"/>
  <c r="S660" i="35"/>
  <c r="N315" i="35"/>
  <c r="I489" i="35"/>
  <c r="Q57" i="35"/>
  <c r="M57" i="35"/>
  <c r="K403" i="35"/>
  <c r="O150" i="35"/>
  <c r="AR64" i="58"/>
  <c r="AV64" i="58"/>
  <c r="AE64" i="58"/>
  <c r="AT64" i="58"/>
  <c r="R64" i="58"/>
  <c r="T64" i="58"/>
  <c r="M71" i="55"/>
  <c r="M143" i="55"/>
  <c r="M161" i="55"/>
  <c r="AC50" i="58"/>
  <c r="AG50" i="58"/>
  <c r="AE50" i="58"/>
  <c r="AI50" i="58"/>
  <c r="BE78" i="62"/>
  <c r="BA26" i="62"/>
  <c r="BI92" i="62"/>
  <c r="BI16" i="62"/>
  <c r="BE83" i="62"/>
  <c r="BI103" i="62"/>
  <c r="AI19" i="62"/>
  <c r="AW47" i="62"/>
  <c r="O105" i="35"/>
  <c r="L382" i="35"/>
  <c r="AE383" i="58"/>
  <c r="BI345" i="62"/>
  <c r="BE363" i="62"/>
  <c r="AI330" i="62"/>
  <c r="BE334" i="62"/>
  <c r="AQ326" i="62"/>
  <c r="R379" i="35"/>
  <c r="Q39" i="35"/>
  <c r="M125" i="35"/>
  <c r="AG502" i="58"/>
  <c r="M471" i="35"/>
  <c r="AG400" i="58"/>
  <c r="N125" i="35"/>
  <c r="T380" i="35"/>
  <c r="BA339" i="62"/>
  <c r="L471" i="35"/>
  <c r="H39" i="35"/>
  <c r="N557" i="35"/>
  <c r="AI465" i="58"/>
  <c r="BI328" i="62"/>
  <c r="AW339" i="62"/>
  <c r="BI62" i="55"/>
  <c r="S330" i="35"/>
  <c r="AV104" i="58"/>
  <c r="U252" i="61"/>
  <c r="U256" i="61"/>
  <c r="Y251" i="61"/>
  <c r="Y255" i="61"/>
  <c r="Y259" i="61"/>
  <c r="U242" i="61"/>
  <c r="BI263" i="61"/>
  <c r="BE263" i="61"/>
  <c r="BA245" i="61"/>
  <c r="AE262" i="61"/>
  <c r="AE261" i="61"/>
  <c r="AE266" i="61"/>
  <c r="U244" i="61"/>
  <c r="P531" i="58"/>
  <c r="W397" i="62"/>
  <c r="W398" i="62"/>
  <c r="W399" i="62"/>
  <c r="W400" i="62"/>
  <c r="W401" i="62"/>
  <c r="W402" i="62"/>
  <c r="W404" i="62"/>
  <c r="W405" i="62"/>
  <c r="W406" i="62"/>
  <c r="W407" i="62"/>
  <c r="AC531" i="58"/>
  <c r="AV531" i="58"/>
  <c r="AG531" i="58"/>
  <c r="AI531" i="58"/>
  <c r="AP531" i="58"/>
  <c r="R531" i="58"/>
  <c r="AR531" i="58"/>
  <c r="AE531" i="58"/>
  <c r="P530" i="58"/>
  <c r="AT531" i="58"/>
  <c r="Y318" i="62"/>
  <c r="AV266" i="58"/>
  <c r="AV256" i="58"/>
  <c r="AV247" i="58"/>
  <c r="AV237" i="58"/>
  <c r="AV227" i="58"/>
  <c r="AV217" i="58"/>
  <c r="AV207" i="58"/>
  <c r="AV188" i="58"/>
  <c r="AV178" i="58"/>
  <c r="AR228" i="58"/>
  <c r="AR179" i="58"/>
  <c r="AR208" i="58"/>
  <c r="AR218" i="58"/>
  <c r="AR189" i="58"/>
  <c r="AR266" i="58"/>
  <c r="AR237" i="58"/>
  <c r="AR207" i="58"/>
  <c r="AR256" i="58"/>
  <c r="AR217" i="58"/>
  <c r="AR178" i="58"/>
  <c r="AR247" i="58"/>
  <c r="AR227" i="58"/>
  <c r="AR188" i="58"/>
  <c r="AT228" i="58"/>
  <c r="AT218" i="58"/>
  <c r="AT208" i="58"/>
  <c r="AT189" i="58"/>
  <c r="AT179" i="58"/>
  <c r="AT266" i="58"/>
  <c r="AT256" i="58"/>
  <c r="AT247" i="58"/>
  <c r="AT237" i="58"/>
  <c r="AT227" i="58"/>
  <c r="AT217" i="58"/>
  <c r="AT207" i="58"/>
  <c r="AT188" i="58"/>
  <c r="AT178" i="58"/>
  <c r="AV228" i="58"/>
  <c r="AV218" i="58"/>
  <c r="AV208" i="58"/>
  <c r="AV189" i="58"/>
  <c r="AV179" i="58"/>
  <c r="AP266" i="58"/>
  <c r="AP256" i="58"/>
  <c r="AP247" i="58"/>
  <c r="AP237" i="58"/>
  <c r="AP227" i="58"/>
  <c r="AP217" i="58"/>
  <c r="AP207" i="58"/>
  <c r="AP188" i="58"/>
  <c r="AP178" i="58"/>
  <c r="AP228" i="58"/>
  <c r="AP218" i="58"/>
  <c r="AP208" i="58"/>
  <c r="AP189" i="58"/>
  <c r="AP179" i="58"/>
  <c r="AC266" i="58"/>
  <c r="AC256" i="58"/>
  <c r="AC247" i="58"/>
  <c r="AC237" i="58"/>
  <c r="AC227" i="58"/>
  <c r="AC217" i="58"/>
  <c r="AC207" i="58"/>
  <c r="AC188" i="58"/>
  <c r="AC178" i="58"/>
  <c r="AE218" i="58"/>
  <c r="AE228" i="58"/>
  <c r="AE189" i="58"/>
  <c r="AE179" i="58"/>
  <c r="AE208" i="58"/>
  <c r="AG266" i="58"/>
  <c r="AG256" i="58"/>
  <c r="AG247" i="58"/>
  <c r="AG237" i="58"/>
  <c r="AG227" i="58"/>
  <c r="AG217" i="58"/>
  <c r="AG207" i="58"/>
  <c r="AG188" i="58"/>
  <c r="AG178" i="58"/>
  <c r="AI228" i="58"/>
  <c r="AI218" i="58"/>
  <c r="AI208" i="58"/>
  <c r="AI189" i="58"/>
  <c r="AI179" i="58"/>
  <c r="AI266" i="58"/>
  <c r="AI256" i="58"/>
  <c r="AI247" i="58"/>
  <c r="AI237" i="58"/>
  <c r="AI227" i="58"/>
  <c r="AI217" i="58"/>
  <c r="AI207" i="58"/>
  <c r="AI188" i="58"/>
  <c r="AI178" i="58"/>
  <c r="AG228" i="58"/>
  <c r="AG218" i="58"/>
  <c r="AG208" i="58"/>
  <c r="AG189" i="58"/>
  <c r="AG179" i="58"/>
  <c r="AE266" i="58"/>
  <c r="AE256" i="58"/>
  <c r="AE227" i="58"/>
  <c r="AE217" i="58"/>
  <c r="AE178" i="58"/>
  <c r="AE247" i="58"/>
  <c r="AE237" i="58"/>
  <c r="AE207" i="58"/>
  <c r="AE188" i="58"/>
  <c r="AC228" i="58"/>
  <c r="AC218" i="58"/>
  <c r="AC208" i="58"/>
  <c r="AC189" i="58"/>
  <c r="AC179" i="58"/>
  <c r="BI211" i="62"/>
  <c r="AV539" i="58"/>
  <c r="AG539" i="58"/>
  <c r="AE539" i="58"/>
  <c r="AC539" i="58"/>
  <c r="AP539" i="58"/>
  <c r="AR539" i="58"/>
  <c r="AI539" i="58"/>
  <c r="AT539" i="58"/>
  <c r="P106" i="58"/>
  <c r="K241" i="35"/>
  <c r="R155" i="35"/>
  <c r="R501" i="35"/>
  <c r="R581" i="35"/>
  <c r="L131" i="35"/>
  <c r="P645" i="35"/>
  <c r="R645" i="35"/>
  <c r="R125" i="35"/>
  <c r="R471" i="35"/>
  <c r="S125" i="35"/>
  <c r="AV366" i="58"/>
  <c r="N471" i="35"/>
  <c r="AI368" i="58"/>
  <c r="R33" i="35"/>
  <c r="Q119" i="35"/>
  <c r="L465" i="35"/>
  <c r="H459" i="35"/>
  <c r="T243" i="58"/>
  <c r="R190" i="35"/>
  <c r="AT204" i="58"/>
  <c r="M134" i="35"/>
  <c r="AG138" i="58"/>
  <c r="R394" i="35"/>
  <c r="AT139" i="58"/>
  <c r="Q306" i="35"/>
  <c r="AR142" i="58"/>
  <c r="M217" i="35"/>
  <c r="I303" i="35"/>
  <c r="J303" i="35"/>
  <c r="M563" i="35"/>
  <c r="N134" i="35"/>
  <c r="M51" i="35"/>
  <c r="H309" i="35"/>
  <c r="T167" i="58"/>
  <c r="L651" i="35"/>
  <c r="AE143" i="58"/>
  <c r="N137" i="35"/>
  <c r="K654" i="35"/>
  <c r="AC168" i="58"/>
  <c r="L306" i="35"/>
  <c r="H639" i="35"/>
  <c r="J639" i="35"/>
  <c r="H232" i="35"/>
  <c r="P520" i="58"/>
  <c r="P368" i="58"/>
  <c r="T646" i="35"/>
  <c r="I131" i="35"/>
  <c r="J131" i="35"/>
  <c r="L477" i="35"/>
  <c r="Q45" i="35"/>
  <c r="N217" i="35"/>
  <c r="N563" i="35"/>
  <c r="I492" i="35"/>
  <c r="AW300" i="62"/>
  <c r="BA299" i="62"/>
  <c r="AE310" i="62"/>
  <c r="M548" i="35"/>
  <c r="L590" i="35"/>
  <c r="G504" i="35"/>
  <c r="K675" i="35"/>
  <c r="S590" i="35"/>
  <c r="H418" i="35"/>
  <c r="Q675" i="35"/>
  <c r="K418" i="35"/>
  <c r="S569" i="35"/>
  <c r="H137" i="35"/>
  <c r="Q137" i="35"/>
  <c r="P480" i="58"/>
  <c r="P344" i="58"/>
  <c r="P456" i="58"/>
  <c r="P408" i="58"/>
  <c r="P512" i="58"/>
  <c r="P416" i="58"/>
  <c r="M72" i="35"/>
  <c r="M63" i="35"/>
  <c r="L409" i="35"/>
  <c r="G666" i="35"/>
  <c r="H663" i="35"/>
  <c r="P57" i="35"/>
  <c r="K651" i="35"/>
  <c r="Q560" i="35"/>
  <c r="S560" i="35"/>
  <c r="T561" i="35"/>
  <c r="H36" i="35"/>
  <c r="J36" i="35"/>
  <c r="P352" i="58"/>
  <c r="P424" i="58"/>
  <c r="P376" i="58"/>
  <c r="P384" i="58"/>
  <c r="P496" i="58"/>
  <c r="P304" i="58"/>
  <c r="P328" i="58"/>
  <c r="T466" i="35"/>
  <c r="T460" i="35"/>
  <c r="M394" i="35"/>
  <c r="K566" i="35"/>
  <c r="N480" i="35"/>
  <c r="M48" i="35"/>
  <c r="R651" i="35"/>
  <c r="Q566" i="35"/>
  <c r="AE182" i="62"/>
  <c r="U201" i="62"/>
  <c r="U174" i="62"/>
  <c r="BE163" i="62"/>
  <c r="AQ153" i="62"/>
  <c r="U170" i="62"/>
  <c r="U132" i="62"/>
  <c r="U197" i="62"/>
  <c r="AE151" i="62"/>
  <c r="Y163" i="62"/>
  <c r="Y171" i="62"/>
  <c r="Y186" i="62"/>
  <c r="AE178" i="62"/>
  <c r="U130" i="62"/>
  <c r="Y194" i="62"/>
  <c r="L164" i="35"/>
  <c r="K480" i="35"/>
  <c r="I648" i="35"/>
  <c r="J648" i="35"/>
  <c r="G107" i="35"/>
  <c r="G367" i="35"/>
  <c r="I477" i="35"/>
  <c r="J477" i="35"/>
  <c r="P48" i="35"/>
  <c r="N48" i="35"/>
  <c r="M306" i="35"/>
  <c r="K134" i="35"/>
  <c r="M651" i="35"/>
  <c r="L220" i="35"/>
  <c r="M492" i="35"/>
  <c r="L406" i="35"/>
  <c r="H318" i="35"/>
  <c r="J73" i="35"/>
  <c r="P504" i="35"/>
  <c r="R675" i="35"/>
  <c r="I60" i="35"/>
  <c r="S60" i="35"/>
  <c r="P60" i="35"/>
  <c r="N232" i="35"/>
  <c r="Q318" i="35"/>
  <c r="L232" i="35"/>
  <c r="H223" i="35"/>
  <c r="Q397" i="35"/>
  <c r="N566" i="35"/>
  <c r="R48" i="35"/>
  <c r="P220" i="35"/>
  <c r="N220" i="35"/>
  <c r="L394" i="35"/>
  <c r="L48" i="35"/>
  <c r="M480" i="35"/>
  <c r="Q651" i="35"/>
  <c r="I45" i="35"/>
  <c r="J389" i="35"/>
  <c r="U389" i="35"/>
  <c r="H219" i="62" a="1"/>
  <c r="H219" i="62"/>
  <c r="H291" i="62" a="1"/>
  <c r="H291" i="62"/>
  <c r="S663" i="35"/>
  <c r="H60" i="35"/>
  <c r="I406" i="35"/>
  <c r="J406" i="35"/>
  <c r="P131" i="35"/>
  <c r="N394" i="35"/>
  <c r="O136" i="35"/>
  <c r="I235" i="35"/>
  <c r="M663" i="35"/>
  <c r="H545" i="35"/>
  <c r="AW209" i="62"/>
  <c r="AQ208" i="62"/>
  <c r="BI123" i="62"/>
  <c r="P395" i="58"/>
  <c r="M373" i="62"/>
  <c r="BA313" i="62"/>
  <c r="O34" i="35"/>
  <c r="AW318" i="62"/>
  <c r="P296" i="58"/>
  <c r="AE541" i="58"/>
  <c r="V541" i="58"/>
  <c r="U205" i="62"/>
  <c r="BI129" i="62"/>
  <c r="AV541" i="58"/>
  <c r="AG541" i="58"/>
  <c r="AP541" i="58"/>
  <c r="AT541" i="58"/>
  <c r="AC541" i="58"/>
  <c r="AI541" i="58"/>
  <c r="Q205" i="62"/>
  <c r="AR541" i="58"/>
  <c r="BI205" i="62"/>
  <c r="BI3" i="62"/>
  <c r="AI102" i="62"/>
  <c r="BA265" i="61"/>
  <c r="O667" i="35"/>
  <c r="T322" i="35"/>
  <c r="AW265" i="61"/>
  <c r="AI265" i="61"/>
  <c r="AQ265" i="61"/>
  <c r="Y245" i="61"/>
  <c r="BA262" i="61"/>
  <c r="BA215" i="61"/>
  <c r="AE205" i="61"/>
  <c r="AI205" i="61"/>
  <c r="Q208" i="61"/>
  <c r="Q205" i="61"/>
  <c r="V136" i="58"/>
  <c r="O653" i="35"/>
  <c r="P136" i="58"/>
  <c r="T136" i="58"/>
  <c r="R136" i="58"/>
  <c r="BA3" i="61"/>
  <c r="O502" i="35"/>
  <c r="T36" i="58"/>
  <c r="P91" i="58"/>
  <c r="P77" i="58"/>
  <c r="P71" i="58"/>
  <c r="P111" i="58"/>
  <c r="P94" i="58"/>
  <c r="O222" i="35"/>
  <c r="O568" i="35"/>
  <c r="O482" i="35"/>
  <c r="O50" i="35"/>
  <c r="O396" i="35"/>
  <c r="O308" i="35"/>
  <c r="N330" i="35"/>
  <c r="AI120" i="58"/>
  <c r="G330" i="35"/>
  <c r="H158" i="35"/>
  <c r="T100" i="58"/>
  <c r="T159" i="35"/>
  <c r="J502" i="35"/>
  <c r="H241" i="35"/>
  <c r="H155" i="35"/>
  <c r="T84" i="58"/>
  <c r="K501" i="35"/>
  <c r="AC86" i="58"/>
  <c r="P241" i="35"/>
  <c r="M587" i="35"/>
  <c r="G155" i="35"/>
  <c r="I155" i="35"/>
  <c r="V75" i="58"/>
  <c r="P86" i="58"/>
  <c r="S587" i="35"/>
  <c r="S672" i="35"/>
  <c r="AV80" i="58"/>
  <c r="G501" i="35"/>
  <c r="R77" i="58"/>
  <c r="I501" i="35"/>
  <c r="V86" i="58"/>
  <c r="I415" i="35"/>
  <c r="V85" i="58"/>
  <c r="T591" i="35"/>
  <c r="N155" i="35"/>
  <c r="G327" i="35"/>
  <c r="R70" i="58"/>
  <c r="L415" i="35"/>
  <c r="R321" i="35"/>
  <c r="Q321" i="35"/>
  <c r="M666" i="35"/>
  <c r="L581" i="35"/>
  <c r="J236" i="35"/>
  <c r="G575" i="35"/>
  <c r="K489" i="35"/>
  <c r="N489" i="35"/>
  <c r="R315" i="35"/>
  <c r="M575" i="35"/>
  <c r="S575" i="35"/>
  <c r="L315" i="35"/>
  <c r="L660" i="35"/>
  <c r="S315" i="35"/>
  <c r="R660" i="35"/>
  <c r="Q474" i="35"/>
  <c r="R474" i="35"/>
  <c r="S474" i="35"/>
  <c r="G300" i="35"/>
  <c r="I300" i="35"/>
  <c r="P499" i="58"/>
  <c r="Q471" i="35"/>
  <c r="AR336" i="58"/>
  <c r="S557" i="35"/>
  <c r="P285" i="58"/>
  <c r="L297" i="35"/>
  <c r="M39" i="35"/>
  <c r="AG357" i="58"/>
  <c r="N39" i="35"/>
  <c r="AI301" i="58"/>
  <c r="R119" i="35"/>
  <c r="AT422" i="58"/>
  <c r="Q551" i="35"/>
  <c r="G291" i="35"/>
  <c r="P280" i="58"/>
  <c r="P392" i="58"/>
  <c r="P440" i="58"/>
  <c r="R551" i="35"/>
  <c r="H33" i="35"/>
  <c r="H205" i="35"/>
  <c r="I465" i="35"/>
  <c r="P504" i="58"/>
  <c r="P464" i="58"/>
  <c r="P288" i="58"/>
  <c r="P432" i="58"/>
  <c r="P320" i="58"/>
  <c r="H379" i="35"/>
  <c r="K33" i="35"/>
  <c r="I33" i="35"/>
  <c r="K285" i="35"/>
  <c r="R113" i="35"/>
  <c r="AT211" i="58"/>
  <c r="R459" i="35"/>
  <c r="AT272" i="58"/>
  <c r="M199" i="35"/>
  <c r="H199" i="35"/>
  <c r="R199" i="35"/>
  <c r="AT263" i="58"/>
  <c r="P618" i="35"/>
  <c r="T618" i="35"/>
  <c r="H15" i="35"/>
  <c r="S533" i="35"/>
  <c r="T533" i="35"/>
  <c r="J661" i="35"/>
  <c r="O316" i="35"/>
  <c r="N276" i="35"/>
  <c r="P276" i="35"/>
  <c r="R276" i="35"/>
  <c r="R621" i="35"/>
  <c r="T621" i="35"/>
  <c r="M190" i="35"/>
  <c r="P18" i="35"/>
  <c r="P361" i="35"/>
  <c r="T361" i="35"/>
  <c r="G447" i="35"/>
  <c r="J447" i="35"/>
  <c r="P15" i="35"/>
  <c r="G15" i="35"/>
  <c r="O419" i="35"/>
  <c r="V141" i="58"/>
  <c r="R138" i="58"/>
  <c r="P165" i="58"/>
  <c r="P166" i="58"/>
  <c r="AR160" i="58"/>
  <c r="AT160" i="58"/>
  <c r="AG160" i="58"/>
  <c r="V142" i="58"/>
  <c r="V140" i="58"/>
  <c r="R137" i="58"/>
  <c r="AR139" i="58"/>
  <c r="P163" i="58"/>
  <c r="AV160" i="58"/>
  <c r="V160" i="58"/>
  <c r="P139" i="58"/>
  <c r="V137" i="58"/>
  <c r="T142" i="58"/>
  <c r="AT140" i="58"/>
  <c r="T137" i="58"/>
  <c r="T140" i="58"/>
  <c r="R142" i="58"/>
  <c r="R140" i="58"/>
  <c r="P167" i="58"/>
  <c r="AR137" i="58"/>
  <c r="T139" i="58"/>
  <c r="AI142" i="58"/>
  <c r="V138" i="58"/>
  <c r="T138" i="58"/>
  <c r="AT138" i="58"/>
  <c r="P164" i="58"/>
  <c r="P168" i="58"/>
  <c r="AI160" i="58"/>
  <c r="R160" i="58"/>
  <c r="AC160" i="58"/>
  <c r="AP139" i="58"/>
  <c r="R139" i="58"/>
  <c r="AE548" i="58"/>
  <c r="AR543" i="58"/>
  <c r="AE542" i="58"/>
  <c r="AT545" i="58"/>
  <c r="AV546" i="58"/>
  <c r="AE546" i="58"/>
  <c r="AI548" i="58"/>
  <c r="V545" i="58"/>
  <c r="AV543" i="58"/>
  <c r="AI542" i="58"/>
  <c r="AG547" i="58"/>
  <c r="AG544" i="58"/>
  <c r="T542" i="58"/>
  <c r="T548" i="58"/>
  <c r="AP543" i="58"/>
  <c r="P545" i="58"/>
  <c r="V206" i="58"/>
  <c r="AG200" i="58"/>
  <c r="AG205" i="58"/>
  <c r="T200" i="58"/>
  <c r="P544" i="58"/>
  <c r="AE205" i="58"/>
  <c r="R205" i="58"/>
  <c r="AV203" i="58"/>
  <c r="AP203" i="58"/>
  <c r="AC203" i="58"/>
  <c r="P205" i="58"/>
  <c r="P312" i="58"/>
  <c r="AR544" i="58"/>
  <c r="AE543" i="58"/>
  <c r="AT544" i="58"/>
  <c r="V546" i="58"/>
  <c r="V548" i="58"/>
  <c r="AV544" i="58"/>
  <c r="AI543" i="58"/>
  <c r="V542" i="58"/>
  <c r="AG545" i="58"/>
  <c r="T543" i="58"/>
  <c r="T547" i="58"/>
  <c r="AC548" i="58"/>
  <c r="AC545" i="58"/>
  <c r="AT201" i="58"/>
  <c r="AG202" i="58"/>
  <c r="T202" i="58"/>
  <c r="R547" i="58"/>
  <c r="AR205" i="58"/>
  <c r="AR206" i="58"/>
  <c r="AE203" i="58"/>
  <c r="AE206" i="58"/>
  <c r="P201" i="58"/>
  <c r="AR545" i="58"/>
  <c r="AE544" i="58"/>
  <c r="AT547" i="58"/>
  <c r="AT543" i="58"/>
  <c r="AR546" i="58"/>
  <c r="AV545" i="58"/>
  <c r="AI544" i="58"/>
  <c r="V543" i="58"/>
  <c r="AG542" i="58"/>
  <c r="AG548" i="58"/>
  <c r="T544" i="58"/>
  <c r="P547" i="58"/>
  <c r="AP542" i="58"/>
  <c r="AT202" i="58"/>
  <c r="AR236" i="58"/>
  <c r="AG255" i="58"/>
  <c r="AG206" i="58"/>
  <c r="AG203" i="58"/>
  <c r="T203" i="58"/>
  <c r="AE200" i="58"/>
  <c r="AV205" i="58"/>
  <c r="AV206" i="58"/>
  <c r="AP206" i="58"/>
  <c r="P383" i="58"/>
  <c r="P200" i="58"/>
  <c r="P203" i="58"/>
  <c r="AR548" i="58"/>
  <c r="AR542" i="58"/>
  <c r="AT548" i="58"/>
  <c r="AT542" i="58"/>
  <c r="AI546" i="58"/>
  <c r="AV548" i="58"/>
  <c r="AI545" i="58"/>
  <c r="V544" i="58"/>
  <c r="AV542" i="58"/>
  <c r="AG543" i="58"/>
  <c r="T545" i="58"/>
  <c r="AC542" i="58"/>
  <c r="T201" i="58"/>
  <c r="T205" i="58"/>
  <c r="AR201" i="58"/>
  <c r="AR203" i="58"/>
  <c r="AE201" i="58"/>
  <c r="AE202" i="58"/>
  <c r="AV200" i="58"/>
  <c r="AV202" i="58"/>
  <c r="AP202" i="58"/>
  <c r="AM284" i="61"/>
  <c r="AI322" i="61"/>
  <c r="L395" i="61"/>
  <c r="L394" i="61"/>
  <c r="P395" i="61"/>
  <c r="P394" i="61"/>
  <c r="T395" i="61"/>
  <c r="AD395" i="61"/>
  <c r="T394" i="61"/>
  <c r="X394" i="61"/>
  <c r="X395" i="61"/>
  <c r="AH395" i="61"/>
  <c r="AD394" i="61"/>
  <c r="AL395" i="61"/>
  <c r="AV395" i="61"/>
  <c r="BD395" i="61"/>
  <c r="AP395" i="61"/>
  <c r="K394" i="61"/>
  <c r="P128" i="58"/>
  <c r="W394" i="61"/>
  <c r="V128" i="58"/>
  <c r="W395" i="61"/>
  <c r="V150" i="58"/>
  <c r="Q282" i="61"/>
  <c r="Q395" i="61"/>
  <c r="O395" i="61"/>
  <c r="R150" i="58"/>
  <c r="O394" i="61"/>
  <c r="R128" i="58"/>
  <c r="S394" i="61"/>
  <c r="T128" i="58"/>
  <c r="K395" i="61"/>
  <c r="P150" i="58"/>
  <c r="S395" i="61"/>
  <c r="T150" i="58"/>
  <c r="BH395" i="61"/>
  <c r="AY395" i="61"/>
  <c r="AR127" i="58"/>
  <c r="AU395" i="61"/>
  <c r="AP127" i="58"/>
  <c r="BG395" i="61"/>
  <c r="AV127" i="58"/>
  <c r="BC395" i="61"/>
  <c r="AT127" i="58"/>
  <c r="AZ395" i="61"/>
  <c r="AC394" i="61"/>
  <c r="AC128" i="58"/>
  <c r="AO395" i="61"/>
  <c r="AG395" i="61"/>
  <c r="AC395" i="61"/>
  <c r="AK395" i="61"/>
  <c r="AI301" i="61"/>
  <c r="M349" i="61"/>
  <c r="AE282" i="61"/>
  <c r="AI282" i="61"/>
  <c r="Q271" i="61"/>
  <c r="M282" i="61"/>
  <c r="M395" i="61"/>
  <c r="AI527" i="58"/>
  <c r="AE527" i="58"/>
  <c r="AG527" i="58"/>
  <c r="AP527" i="58"/>
  <c r="V527" i="58"/>
  <c r="AC527" i="58"/>
  <c r="AT527" i="58"/>
  <c r="BI215" i="62"/>
  <c r="AR527" i="58"/>
  <c r="AT198" i="58"/>
  <c r="V198" i="58"/>
  <c r="BI408" i="62"/>
  <c r="AE198" i="58"/>
  <c r="R198" i="58"/>
  <c r="N158" i="35"/>
  <c r="AI92" i="58"/>
  <c r="H244" i="35"/>
  <c r="T331" i="35"/>
  <c r="T245" i="35"/>
  <c r="L330" i="35"/>
  <c r="AE104" i="58"/>
  <c r="J328" i="35"/>
  <c r="P80" i="58"/>
  <c r="J505" i="35"/>
  <c r="P110" i="58"/>
  <c r="P102" i="58"/>
  <c r="AK58" i="58"/>
  <c r="AX57" i="58"/>
  <c r="X52" i="58"/>
  <c r="AX55" i="58"/>
  <c r="AK57" i="58"/>
  <c r="AX52" i="58"/>
  <c r="P99" i="58"/>
  <c r="Q244" i="35"/>
  <c r="P98" i="58"/>
  <c r="P107" i="58"/>
  <c r="Q330" i="35"/>
  <c r="AR120" i="58"/>
  <c r="I72" i="35"/>
  <c r="P115" i="58"/>
  <c r="T54" i="58"/>
  <c r="R57" i="58"/>
  <c r="T53" i="58"/>
  <c r="AE53" i="58"/>
  <c r="T433" i="35"/>
  <c r="AG52" i="58"/>
  <c r="P54" i="58"/>
  <c r="AV53" i="58"/>
  <c r="AR44" i="58"/>
  <c r="AI28" i="58"/>
  <c r="T44" i="58"/>
  <c r="AC28" i="58"/>
  <c r="J342" i="35"/>
  <c r="U342" i="35"/>
  <c r="AE44" i="58"/>
  <c r="J253" i="35"/>
  <c r="AE12" i="58"/>
  <c r="T4" i="58"/>
  <c r="J427" i="35"/>
  <c r="T427" i="35"/>
  <c r="O253" i="35"/>
  <c r="AC4" i="58"/>
  <c r="R12" i="58"/>
  <c r="T253" i="35"/>
  <c r="T81" i="35"/>
  <c r="U81" i="35"/>
  <c r="AV12" i="58"/>
  <c r="AR60" i="58"/>
  <c r="P90" i="58"/>
  <c r="AC92" i="58"/>
  <c r="AT90" i="58"/>
  <c r="AP108" i="58"/>
  <c r="AC115" i="58"/>
  <c r="V108" i="58"/>
  <c r="T106" i="58"/>
  <c r="AP104" i="58"/>
  <c r="V112" i="58"/>
  <c r="AG108" i="58"/>
  <c r="P120" i="58"/>
  <c r="AP85" i="58"/>
  <c r="AV76" i="58"/>
  <c r="AV77" i="58"/>
  <c r="AR80" i="58"/>
  <c r="V109" i="58"/>
  <c r="T110" i="58"/>
  <c r="P113" i="58"/>
  <c r="P117" i="58"/>
  <c r="T86" i="58"/>
  <c r="AC80" i="58"/>
  <c r="AR59" i="58"/>
  <c r="AE80" i="58"/>
  <c r="AP97" i="58"/>
  <c r="S675" i="35"/>
  <c r="T105" i="58"/>
  <c r="AI59" i="58"/>
  <c r="T74" i="58"/>
  <c r="T85" i="58"/>
  <c r="AP81" i="58"/>
  <c r="AG72" i="58"/>
  <c r="AG85" i="58"/>
  <c r="V88" i="58"/>
  <c r="AT59" i="58"/>
  <c r="L675" i="35"/>
  <c r="AC102" i="58"/>
  <c r="S418" i="35"/>
  <c r="AI93" i="58"/>
  <c r="AT94" i="58"/>
  <c r="AG109" i="58"/>
  <c r="P72" i="58"/>
  <c r="T89" i="58"/>
  <c r="AV88" i="58"/>
  <c r="AG77" i="58"/>
  <c r="Q418" i="35"/>
  <c r="AE109" i="58"/>
  <c r="AV118" i="58"/>
  <c r="AI118" i="58"/>
  <c r="AG102" i="58"/>
  <c r="P89" i="58"/>
  <c r="P103" i="58"/>
  <c r="P118" i="58"/>
  <c r="AM292" i="61"/>
  <c r="BG17" i="23" a="1"/>
  <c r="BG17" i="23"/>
  <c r="R153" i="35"/>
  <c r="P119" i="58"/>
  <c r="P95" i="58"/>
  <c r="BE74" i="55"/>
  <c r="AW73" i="55"/>
  <c r="AW74" i="55"/>
  <c r="U70" i="55"/>
  <c r="AE73" i="55"/>
  <c r="BI72" i="55"/>
  <c r="BE72" i="55"/>
  <c r="BA74" i="55"/>
  <c r="AE74" i="55"/>
  <c r="BE70" i="55"/>
  <c r="AP64" i="58"/>
  <c r="AM70" i="55"/>
  <c r="AC64" i="58"/>
  <c r="BA70" i="55"/>
  <c r="AI64" i="58"/>
  <c r="AI70" i="55"/>
  <c r="V64" i="58"/>
  <c r="X64" i="58"/>
  <c r="AI53" i="55"/>
  <c r="AE55" i="55"/>
  <c r="AQ16" i="55"/>
  <c r="AE20" i="55"/>
  <c r="AI5" i="55"/>
  <c r="N241" i="35"/>
  <c r="AE19" i="55"/>
  <c r="AE22" i="55"/>
  <c r="AI38" i="55"/>
  <c r="AQ41" i="55"/>
  <c r="AI42" i="55"/>
  <c r="AM38" i="55"/>
  <c r="AI44" i="55"/>
  <c r="AE35" i="55"/>
  <c r="AE5" i="55"/>
  <c r="K415" i="35"/>
  <c r="L241" i="35"/>
  <c r="AM9" i="55"/>
  <c r="AQ25" i="55"/>
  <c r="AM25" i="55"/>
  <c r="N672" i="35"/>
  <c r="AI32" i="55"/>
  <c r="AE25" i="55"/>
  <c r="AI8" i="55"/>
  <c r="Y58" i="55"/>
  <c r="BE3" i="55"/>
  <c r="AM46" i="55"/>
  <c r="BA30" i="55"/>
  <c r="BI5" i="55"/>
  <c r="AE31" i="55"/>
  <c r="BE23" i="55"/>
  <c r="G244" i="35"/>
  <c r="BE92" i="55"/>
  <c r="BI132" i="55"/>
  <c r="AW106" i="55"/>
  <c r="BI120" i="55"/>
  <c r="BI96" i="55"/>
  <c r="BA104" i="55"/>
  <c r="AQ130" i="55"/>
  <c r="AI146" i="55"/>
  <c r="AW157" i="55"/>
  <c r="AE92" i="55"/>
  <c r="AM100" i="55"/>
  <c r="AM139" i="55"/>
  <c r="BI140" i="55"/>
  <c r="BA162" i="55"/>
  <c r="AI106" i="55"/>
  <c r="BA108" i="55"/>
  <c r="BI141" i="55"/>
  <c r="AW94" i="55"/>
  <c r="BI99" i="55"/>
  <c r="AQ162" i="55"/>
  <c r="BI144" i="55"/>
  <c r="AI140" i="55"/>
  <c r="BE148" i="55"/>
  <c r="AW162" i="55"/>
  <c r="AE150" i="55"/>
  <c r="AW154" i="55"/>
  <c r="AQ144" i="55"/>
  <c r="AE126" i="55"/>
  <c r="AI135" i="55"/>
  <c r="AI133" i="55"/>
  <c r="BE112" i="55"/>
  <c r="AI154" i="55"/>
  <c r="AI148" i="55"/>
  <c r="AI108" i="55"/>
  <c r="AI116" i="55"/>
  <c r="AM156" i="55"/>
  <c r="AE152" i="55"/>
  <c r="AM147" i="55"/>
  <c r="AM90" i="55"/>
  <c r="BE137" i="55"/>
  <c r="AM105" i="55"/>
  <c r="AM132" i="55"/>
  <c r="AM123" i="55"/>
  <c r="AW113" i="55"/>
  <c r="BI139" i="55"/>
  <c r="AM95" i="55"/>
  <c r="BI105" i="55"/>
  <c r="BI91" i="55"/>
  <c r="BE115" i="55"/>
  <c r="BE118" i="55"/>
  <c r="BA98" i="55"/>
  <c r="AE98" i="55"/>
  <c r="AI102" i="55"/>
  <c r="AQ105" i="55"/>
  <c r="BI136" i="55"/>
  <c r="AE130" i="55"/>
  <c r="BE101" i="55"/>
  <c r="AM114" i="55"/>
  <c r="BE121" i="55"/>
  <c r="AI121" i="55"/>
  <c r="AQ103" i="55"/>
  <c r="BE108" i="55"/>
  <c r="AW105" i="55"/>
  <c r="AW116" i="55"/>
  <c r="BI162" i="55"/>
  <c r="BA117" i="55"/>
  <c r="AM149" i="55"/>
  <c r="AE120" i="55"/>
  <c r="BA93" i="55"/>
  <c r="AQ127" i="55"/>
  <c r="BE122" i="55"/>
  <c r="BE114" i="55"/>
  <c r="BE104" i="55"/>
  <c r="AM96" i="55"/>
  <c r="BA132" i="55"/>
  <c r="AM146" i="55"/>
  <c r="BA94" i="55"/>
  <c r="BE152" i="55"/>
  <c r="BI150" i="55"/>
  <c r="AQ148" i="55"/>
  <c r="AW112" i="55"/>
  <c r="AW135" i="55"/>
  <c r="AM109" i="55"/>
  <c r="BI113" i="55"/>
  <c r="AQ135" i="55"/>
  <c r="BA121" i="55"/>
  <c r="BA107" i="55"/>
  <c r="BA91" i="55"/>
  <c r="BI118" i="55"/>
  <c r="AE104" i="55"/>
  <c r="BA105" i="55"/>
  <c r="BE98" i="55"/>
  <c r="BE113" i="55"/>
  <c r="AE151" i="55"/>
  <c r="AI110" i="55"/>
  <c r="AI118" i="55"/>
  <c r="AI130" i="55"/>
  <c r="AE135" i="55"/>
  <c r="AE141" i="55"/>
  <c r="BA116" i="55"/>
  <c r="AQ138" i="55"/>
  <c r="BA126" i="55"/>
  <c r="AQ101" i="55"/>
  <c r="BI104" i="55"/>
  <c r="AM120" i="55"/>
  <c r="BI92" i="55"/>
  <c r="M590" i="35"/>
  <c r="AG95" i="58"/>
  <c r="P590" i="35"/>
  <c r="AV95" i="58"/>
  <c r="I590" i="35"/>
  <c r="H590" i="35"/>
  <c r="N590" i="35"/>
  <c r="AI95" i="58"/>
  <c r="G590" i="35"/>
  <c r="BI298" i="61"/>
  <c r="BA274" i="61"/>
  <c r="BE345" i="61"/>
  <c r="AE274" i="61"/>
  <c r="Y387" i="61"/>
  <c r="Y283" i="61"/>
  <c r="BA277" i="61"/>
  <c r="U311" i="61"/>
  <c r="U361" i="61"/>
  <c r="AI328" i="61"/>
  <c r="U364" i="61"/>
  <c r="AI287" i="61"/>
  <c r="U295" i="61"/>
  <c r="Y364" i="61"/>
  <c r="G326" i="35"/>
  <c r="G240" i="35"/>
  <c r="G500" i="35"/>
  <c r="G154" i="35"/>
  <c r="G671" i="35"/>
  <c r="G414" i="35"/>
  <c r="G68" i="35"/>
  <c r="G586" i="35"/>
  <c r="P648" i="35"/>
  <c r="N651" i="35"/>
  <c r="I232" i="35"/>
  <c r="H146" i="35"/>
  <c r="J146" i="35"/>
  <c r="M566" i="35"/>
  <c r="O380" i="35"/>
  <c r="L566" i="35"/>
  <c r="H578" i="35"/>
  <c r="I318" i="35"/>
  <c r="O120" i="35"/>
  <c r="AV530" i="58"/>
  <c r="AP530" i="58"/>
  <c r="AE530" i="58"/>
  <c r="AQ408" i="62"/>
  <c r="AT530" i="58"/>
  <c r="W409" i="62"/>
  <c r="W410" i="62"/>
  <c r="W411" i="62"/>
  <c r="W412" i="62"/>
  <c r="W413" i="62"/>
  <c r="W414" i="62"/>
  <c r="W415" i="62"/>
  <c r="W416" i="62"/>
  <c r="W417" i="62"/>
  <c r="W418" i="62"/>
  <c r="W419" i="62"/>
  <c r="W420" i="62"/>
  <c r="W421" i="62"/>
  <c r="W422" i="62"/>
  <c r="W423" i="62"/>
  <c r="W424" i="62"/>
  <c r="W425" i="62"/>
  <c r="AC530" i="58"/>
  <c r="AM408" i="62"/>
  <c r="AR530" i="58"/>
  <c r="AI530" i="58"/>
  <c r="AO394" i="61"/>
  <c r="AI128" i="58"/>
  <c r="BC394" i="61"/>
  <c r="AT128" i="58"/>
  <c r="AK394" i="61"/>
  <c r="AG128" i="58"/>
  <c r="AG394" i="61"/>
  <c r="AE128" i="58"/>
  <c r="AQ320" i="61"/>
  <c r="AU394" i="61"/>
  <c r="AP128" i="58"/>
  <c r="AY394" i="61"/>
  <c r="AR128" i="58"/>
  <c r="BG394" i="61"/>
  <c r="AV128" i="58"/>
  <c r="AV394" i="61"/>
  <c r="AL394" i="61"/>
  <c r="BD394" i="61"/>
  <c r="AH394" i="61"/>
  <c r="AZ394" i="61"/>
  <c r="BH394" i="61"/>
  <c r="AP394" i="61"/>
  <c r="H301" i="61" a="1"/>
  <c r="H301" i="61"/>
  <c r="BE270" i="61"/>
  <c r="BE222" i="61"/>
  <c r="AW257" i="55"/>
  <c r="BE257" i="55"/>
  <c r="AZ257" i="55"/>
  <c r="BD257" i="55"/>
  <c r="BH257" i="55"/>
  <c r="M257" i="55"/>
  <c r="AQ257" i="55"/>
  <c r="AE257" i="55"/>
  <c r="BI257" i="55"/>
  <c r="X257" i="55"/>
  <c r="AV257" i="55"/>
  <c r="P257" i="55"/>
  <c r="U257" i="55"/>
  <c r="Y257" i="55"/>
  <c r="BA257" i="55"/>
  <c r="AD257" i="55"/>
  <c r="AP257" i="55"/>
  <c r="L257" i="55"/>
  <c r="AM257" i="55"/>
  <c r="AI257" i="55"/>
  <c r="AH257" i="55"/>
  <c r="AL257" i="55"/>
  <c r="T257" i="55"/>
  <c r="Q257" i="55"/>
  <c r="Q146" i="35"/>
  <c r="T579" i="35"/>
  <c r="S146" i="35"/>
  <c r="R663" i="35"/>
  <c r="P146" i="35"/>
  <c r="N60" i="35"/>
  <c r="L60" i="35"/>
  <c r="O410" i="35"/>
  <c r="BI412" i="62"/>
  <c r="S303" i="35"/>
  <c r="S648" i="35"/>
  <c r="R477" i="35"/>
  <c r="Q217" i="35"/>
  <c r="P303" i="35"/>
  <c r="R131" i="35"/>
  <c r="AG198" i="58"/>
  <c r="L563" i="35"/>
  <c r="O496" i="35"/>
  <c r="J410" i="35"/>
  <c r="AE3" i="61"/>
  <c r="AP136" i="58"/>
  <c r="AC136" i="58"/>
  <c r="AT136" i="58"/>
  <c r="AQ7" i="61"/>
  <c r="AV136" i="58"/>
  <c r="AG136" i="58"/>
  <c r="AR136" i="58"/>
  <c r="AE136" i="58"/>
  <c r="AI136" i="58"/>
  <c r="AE422" i="62"/>
  <c r="BA416" i="62"/>
  <c r="Y396" i="62"/>
  <c r="AQ404" i="62"/>
  <c r="AR198" i="58"/>
  <c r="BA407" i="62"/>
  <c r="AE407" i="62"/>
  <c r="AP198" i="58"/>
  <c r="AI198" i="58"/>
  <c r="AV198" i="58"/>
  <c r="AM414" i="62"/>
  <c r="O591" i="35"/>
  <c r="O505" i="35"/>
  <c r="O676" i="35"/>
  <c r="T73" i="35"/>
  <c r="T676" i="35"/>
  <c r="T419" i="35"/>
  <c r="T505" i="35"/>
  <c r="J419" i="35"/>
  <c r="J591" i="35"/>
  <c r="P109" i="58"/>
  <c r="J676" i="35"/>
  <c r="P93" i="58"/>
  <c r="J159" i="35"/>
  <c r="P101" i="58"/>
  <c r="P105" i="58"/>
  <c r="P97" i="58"/>
  <c r="P121" i="58"/>
  <c r="Q3" i="61"/>
  <c r="M3" i="61"/>
  <c r="S492" i="35"/>
  <c r="P447" i="35"/>
  <c r="T447" i="35"/>
  <c r="Q300" i="61"/>
  <c r="AM300" i="61"/>
  <c r="BA300" i="61"/>
  <c r="AQ300" i="61"/>
  <c r="M300" i="61"/>
  <c r="U62" i="55"/>
  <c r="O292" i="35"/>
  <c r="T19" i="35"/>
  <c r="T374" i="35"/>
  <c r="T502" i="35"/>
  <c r="T58" i="35"/>
  <c r="AI197" i="58"/>
  <c r="AR383" i="58"/>
  <c r="V96" i="58"/>
  <c r="T77" i="58"/>
  <c r="J259" i="35"/>
  <c r="U259" i="35"/>
  <c r="P56" i="58"/>
  <c r="K587" i="35"/>
  <c r="AC78" i="58"/>
  <c r="M672" i="35"/>
  <c r="R672" i="35"/>
  <c r="R291" i="35"/>
  <c r="L33" i="35"/>
  <c r="R18" i="35"/>
  <c r="P104" i="35"/>
  <c r="P666" i="35"/>
  <c r="H285" i="35"/>
  <c r="T196" i="58"/>
  <c r="R373" i="35"/>
  <c r="AT212" i="58"/>
  <c r="G30" i="35"/>
  <c r="R210" i="58"/>
  <c r="H119" i="35"/>
  <c r="L119" i="35"/>
  <c r="S471" i="35"/>
  <c r="P125" i="35"/>
  <c r="K57" i="35"/>
  <c r="G450" i="35"/>
  <c r="AE56" i="58"/>
  <c r="J150" i="35"/>
  <c r="G376" i="35"/>
  <c r="R465" i="35"/>
  <c r="H465" i="35"/>
  <c r="L208" i="35"/>
  <c r="O208" i="35"/>
  <c r="S208" i="35"/>
  <c r="S554" i="35"/>
  <c r="S101" i="35"/>
  <c r="Q60" i="35"/>
  <c r="L663" i="35"/>
  <c r="T451" i="35"/>
  <c r="T34" i="35"/>
  <c r="T120" i="35"/>
  <c r="J245" i="35"/>
  <c r="AE403" i="62"/>
  <c r="AC198" i="58"/>
  <c r="H279" i="62" a="1"/>
  <c r="H279" i="62"/>
  <c r="H262" i="62" a="1"/>
  <c r="H262" i="62"/>
  <c r="T301" i="35"/>
  <c r="AI103" i="61"/>
  <c r="S480" i="35"/>
  <c r="S134" i="35"/>
  <c r="P651" i="35"/>
  <c r="P480" i="35"/>
  <c r="S48" i="35"/>
  <c r="Q220" i="35"/>
  <c r="R306" i="35"/>
  <c r="F543" i="35"/>
  <c r="F542" i="35"/>
  <c r="F457" i="35"/>
  <c r="F456" i="35"/>
  <c r="P535" i="58"/>
  <c r="N543" i="35"/>
  <c r="N457" i="35"/>
  <c r="R543" i="35"/>
  <c r="R457" i="35"/>
  <c r="G543" i="35"/>
  <c r="G542" i="35"/>
  <c r="G457" i="35"/>
  <c r="G456" i="35"/>
  <c r="K543" i="35"/>
  <c r="K457" i="35"/>
  <c r="S543" i="35"/>
  <c r="S457" i="35"/>
  <c r="L543" i="35"/>
  <c r="L457" i="35"/>
  <c r="P543" i="35"/>
  <c r="P457" i="35"/>
  <c r="H543" i="35"/>
  <c r="H542" i="35"/>
  <c r="H457" i="35"/>
  <c r="H456" i="35"/>
  <c r="T535" i="58"/>
  <c r="Q543" i="35"/>
  <c r="Q457" i="35"/>
  <c r="I543" i="35"/>
  <c r="I542" i="35"/>
  <c r="I457" i="35"/>
  <c r="I456" i="35"/>
  <c r="M543" i="35"/>
  <c r="M457" i="35"/>
  <c r="O58" i="35"/>
  <c r="T404" i="35"/>
  <c r="T552" i="35"/>
  <c r="T156" i="35"/>
  <c r="O156" i="35"/>
  <c r="T64" i="35"/>
  <c r="P360" i="58"/>
  <c r="O301" i="35"/>
  <c r="T43" i="35"/>
  <c r="P412" i="58"/>
  <c r="T236" i="35"/>
  <c r="P488" i="58"/>
  <c r="P448" i="58"/>
  <c r="O43" i="35"/>
  <c r="O673" i="35"/>
  <c r="P59" i="58"/>
  <c r="P472" i="58"/>
  <c r="P81" i="58"/>
  <c r="P400" i="58"/>
  <c r="M60" i="35"/>
  <c r="O215" i="35"/>
  <c r="P112" i="58"/>
  <c r="P357" i="58"/>
  <c r="T114" i="35"/>
  <c r="L548" i="35"/>
  <c r="AE244" i="58"/>
  <c r="R146" i="35"/>
  <c r="N406" i="35"/>
  <c r="M318" i="35"/>
  <c r="T472" i="35"/>
  <c r="O126" i="35"/>
  <c r="T233" i="35"/>
  <c r="T667" i="35"/>
  <c r="O322" i="35"/>
  <c r="J496" i="35"/>
  <c r="O64" i="35"/>
  <c r="O159" i="35"/>
  <c r="O460" i="35"/>
  <c r="U460" i="35"/>
  <c r="O114" i="35"/>
  <c r="T416" i="35"/>
  <c r="P455" i="58"/>
  <c r="BE316" i="62"/>
  <c r="P238" i="58"/>
  <c r="BA308" i="62"/>
  <c r="BE301" i="62"/>
  <c r="AC116" i="58"/>
  <c r="AE187" i="58"/>
  <c r="J230" i="35"/>
  <c r="J579" i="35"/>
  <c r="L158" i="35"/>
  <c r="S158" i="35"/>
  <c r="M27" i="35"/>
  <c r="AG240" i="58"/>
  <c r="M373" i="35"/>
  <c r="AG251" i="58"/>
  <c r="L125" i="35"/>
  <c r="L300" i="35"/>
  <c r="M300" i="35"/>
  <c r="N300" i="35"/>
  <c r="P244" i="58"/>
  <c r="S273" i="35"/>
  <c r="P187" i="35"/>
  <c r="K361" i="35"/>
  <c r="K321" i="35"/>
  <c r="S581" i="35"/>
  <c r="N321" i="35"/>
  <c r="I321" i="35"/>
  <c r="Q232" i="35"/>
  <c r="J70" i="35"/>
  <c r="P471" i="58"/>
  <c r="P399" i="58"/>
  <c r="P287" i="58"/>
  <c r="P351" i="58"/>
  <c r="P487" i="58"/>
  <c r="P311" i="58"/>
  <c r="P447" i="58"/>
  <c r="P359" i="58"/>
  <c r="P319" i="58"/>
  <c r="P415" i="58"/>
  <c r="I69" i="35"/>
  <c r="G116" i="35"/>
  <c r="L639" i="35"/>
  <c r="O639" i="35"/>
  <c r="M642" i="35"/>
  <c r="AG283" i="58"/>
  <c r="K642" i="35"/>
  <c r="P149" i="35"/>
  <c r="K63" i="35"/>
  <c r="M495" i="35"/>
  <c r="S318" i="35"/>
  <c r="P503" i="58"/>
  <c r="P431" i="58"/>
  <c r="P295" i="58"/>
  <c r="P391" i="58"/>
  <c r="P519" i="58"/>
  <c r="P343" i="58"/>
  <c r="P479" i="58"/>
  <c r="P439" i="58"/>
  <c r="P495" i="58"/>
  <c r="P407" i="58"/>
  <c r="J667" i="35"/>
  <c r="J215" i="35"/>
  <c r="Q297" i="35"/>
  <c r="L642" i="35"/>
  <c r="L36" i="35"/>
  <c r="O36" i="35"/>
  <c r="R39" i="35"/>
  <c r="AT501" i="58"/>
  <c r="H297" i="35"/>
  <c r="T386" i="58"/>
  <c r="AP279" i="58"/>
  <c r="AP495" i="58"/>
  <c r="AP463" i="58"/>
  <c r="AP431" i="58"/>
  <c r="AP399" i="58"/>
  <c r="AP359" i="58"/>
  <c r="AP327" i="58"/>
  <c r="AP455" i="58"/>
  <c r="AP423" i="58"/>
  <c r="AP351" i="58"/>
  <c r="AP503" i="58"/>
  <c r="AP471" i="58"/>
  <c r="AP439" i="58"/>
  <c r="AP407" i="58"/>
  <c r="AP367" i="58"/>
  <c r="AP335" i="58"/>
  <c r="AP303" i="58"/>
  <c r="AP295" i="58"/>
  <c r="AP287" i="58"/>
  <c r="AP511" i="58"/>
  <c r="AP479" i="58"/>
  <c r="AP447" i="58"/>
  <c r="AP415" i="58"/>
  <c r="AP375" i="58"/>
  <c r="AP343" i="58"/>
  <c r="AP311" i="58"/>
  <c r="AP519" i="58"/>
  <c r="AP487" i="58"/>
  <c r="AP391" i="58"/>
  <c r="AP319" i="58"/>
  <c r="S39" i="35"/>
  <c r="AP383" i="58"/>
  <c r="AC383" i="58"/>
  <c r="P235" i="35"/>
  <c r="T235" i="35"/>
  <c r="R666" i="35"/>
  <c r="Q666" i="35"/>
  <c r="G495" i="35"/>
  <c r="S63" i="35"/>
  <c r="P474" i="58"/>
  <c r="O331" i="35"/>
  <c r="P367" i="58"/>
  <c r="P327" i="58"/>
  <c r="P463" i="58"/>
  <c r="P303" i="58"/>
  <c r="P423" i="58"/>
  <c r="P335" i="58"/>
  <c r="P375" i="58"/>
  <c r="P511" i="58"/>
  <c r="AG221" i="58"/>
  <c r="AR196" i="58"/>
  <c r="AR250" i="58"/>
  <c r="AR259" i="58"/>
  <c r="O549" i="35"/>
  <c r="O200" i="35"/>
  <c r="T200" i="35"/>
  <c r="J546" i="35"/>
  <c r="U546" i="35"/>
  <c r="O374" i="35"/>
  <c r="O28" i="35"/>
  <c r="U28" i="35"/>
  <c r="O286" i="35"/>
  <c r="U286" i="35"/>
  <c r="J242" i="35"/>
  <c r="O490" i="35"/>
  <c r="R45" i="35"/>
  <c r="S217" i="35"/>
  <c r="S563" i="35"/>
  <c r="Q131" i="35"/>
  <c r="N303" i="35"/>
  <c r="N648" i="35"/>
  <c r="Q477" i="35"/>
  <c r="P217" i="35"/>
  <c r="P563" i="35"/>
  <c r="K391" i="35"/>
  <c r="K663" i="35"/>
  <c r="T292" i="35"/>
  <c r="T558" i="35"/>
  <c r="T298" i="35"/>
  <c r="P492" i="35"/>
  <c r="N318" i="35"/>
  <c r="K578" i="35"/>
  <c r="R318" i="35"/>
  <c r="P273" i="35"/>
  <c r="O242" i="35"/>
  <c r="O643" i="35"/>
  <c r="O40" i="35"/>
  <c r="S149" i="35"/>
  <c r="I63" i="35"/>
  <c r="T496" i="35"/>
  <c r="J322" i="35"/>
  <c r="N409" i="35"/>
  <c r="T582" i="35"/>
  <c r="T410" i="35"/>
  <c r="L321" i="35"/>
  <c r="O582" i="35"/>
  <c r="J582" i="35"/>
  <c r="L318" i="35"/>
  <c r="T150" i="35"/>
  <c r="O73" i="35"/>
  <c r="R575" i="35"/>
  <c r="AE263" i="61"/>
  <c r="AQ240" i="61"/>
  <c r="U239" i="61"/>
  <c r="AW249" i="61"/>
  <c r="AQ255" i="61"/>
  <c r="BI242" i="61"/>
  <c r="BE244" i="61"/>
  <c r="AM242" i="61"/>
  <c r="AM254" i="61"/>
  <c r="AM257" i="61"/>
  <c r="BE250" i="61"/>
  <c r="BE252" i="61"/>
  <c r="BE254" i="61"/>
  <c r="BE256" i="61"/>
  <c r="BE258" i="61"/>
  <c r="AM244" i="61"/>
  <c r="AM250" i="61"/>
  <c r="BE243" i="61"/>
  <c r="BE246" i="61"/>
  <c r="AM253" i="61"/>
  <c r="AI252" i="61"/>
  <c r="AI256" i="61"/>
  <c r="BE238" i="61"/>
  <c r="U251" i="61"/>
  <c r="U255" i="61"/>
  <c r="U259" i="61"/>
  <c r="BA260" i="61"/>
  <c r="AI266" i="61"/>
  <c r="U260" i="61"/>
  <c r="U265" i="61"/>
  <c r="AM264" i="61"/>
  <c r="BE240" i="61"/>
  <c r="U258" i="61"/>
  <c r="AW261" i="61"/>
  <c r="AQ126" i="61"/>
  <c r="BI157" i="61"/>
  <c r="AQ174" i="61"/>
  <c r="Y120" i="61"/>
  <c r="Y128" i="61"/>
  <c r="BE129" i="61"/>
  <c r="AM111" i="61"/>
  <c r="BI181" i="61"/>
  <c r="AE252" i="61"/>
  <c r="AE256" i="61"/>
  <c r="AE160" i="61"/>
  <c r="BI264" i="61"/>
  <c r="AE251" i="61"/>
  <c r="AE265" i="61"/>
  <c r="AW264" i="61"/>
  <c r="BI138" i="61"/>
  <c r="AM167" i="61"/>
  <c r="BI170" i="61"/>
  <c r="BE185" i="61"/>
  <c r="AI368" i="61"/>
  <c r="BA209" i="61"/>
  <c r="AI197" i="61"/>
  <c r="AW189" i="61"/>
  <c r="AQ171" i="61"/>
  <c r="AI155" i="61"/>
  <c r="BI192" i="61"/>
  <c r="AM164" i="61"/>
  <c r="AM183" i="61"/>
  <c r="U118" i="61"/>
  <c r="AE129" i="61"/>
  <c r="AQ133" i="61"/>
  <c r="AW195" i="61"/>
  <c r="BI109" i="61"/>
  <c r="Y167" i="61"/>
  <c r="BI184" i="61"/>
  <c r="AM157" i="61"/>
  <c r="BE167" i="61"/>
  <c r="AQ113" i="61"/>
  <c r="AE125" i="61"/>
  <c r="BI130" i="61"/>
  <c r="AW118" i="61"/>
  <c r="AI109" i="61"/>
  <c r="AQ138" i="61"/>
  <c r="BE294" i="61"/>
  <c r="Y199" i="61"/>
  <c r="AM176" i="61"/>
  <c r="Y194" i="61"/>
  <c r="AM197" i="61"/>
  <c r="AI169" i="61"/>
  <c r="AE189" i="61"/>
  <c r="BI160" i="61"/>
  <c r="AM133" i="61"/>
  <c r="Y163" i="61"/>
  <c r="AE153" i="61"/>
  <c r="AI261" i="61"/>
  <c r="AI264" i="61"/>
  <c r="AI240" i="61"/>
  <c r="AI263" i="61"/>
  <c r="AW263" i="61"/>
  <c r="Y239" i="61"/>
  <c r="BA110" i="61"/>
  <c r="AQ114" i="61"/>
  <c r="AM118" i="61"/>
  <c r="AQ187" i="61"/>
  <c r="AQ190" i="61"/>
  <c r="BI146" i="61"/>
  <c r="BE161" i="61"/>
  <c r="BI178" i="61"/>
  <c r="U192" i="61"/>
  <c r="BE120" i="61"/>
  <c r="AM134" i="61"/>
  <c r="BE149" i="61"/>
  <c r="AW179" i="61"/>
  <c r="AW182" i="61"/>
  <c r="BI197" i="61"/>
  <c r="U184" i="61"/>
  <c r="BA186" i="61"/>
  <c r="BI199" i="61"/>
  <c r="AM201" i="61"/>
  <c r="BI182" i="61"/>
  <c r="U174" i="61"/>
  <c r="AE181" i="61"/>
  <c r="Y165" i="61"/>
  <c r="BA189" i="61"/>
  <c r="Y139" i="61"/>
  <c r="AE173" i="61"/>
  <c r="BI128" i="61"/>
  <c r="BI123" i="61"/>
  <c r="BE143" i="61"/>
  <c r="AQ184" i="61"/>
  <c r="BI148" i="61"/>
  <c r="BE171" i="61"/>
  <c r="Y186" i="61"/>
  <c r="BA188" i="61"/>
  <c r="BI132" i="61"/>
  <c r="AQ152" i="61"/>
  <c r="T493" i="35"/>
  <c r="O233" i="35"/>
  <c r="O407" i="35"/>
  <c r="T319" i="35"/>
  <c r="O493" i="35"/>
  <c r="AM222" i="61"/>
  <c r="BA234" i="61"/>
  <c r="AW216" i="61"/>
  <c r="AW217" i="61"/>
  <c r="AW220" i="61"/>
  <c r="AI234" i="61"/>
  <c r="AW219" i="61"/>
  <c r="N492" i="35"/>
  <c r="K406" i="35"/>
  <c r="M232" i="35"/>
  <c r="J493" i="35"/>
  <c r="J233" i="35"/>
  <c r="J319" i="35"/>
  <c r="J407" i="35"/>
  <c r="T407" i="35"/>
  <c r="O579" i="35"/>
  <c r="U211" i="61"/>
  <c r="Y207" i="61"/>
  <c r="O230" i="35"/>
  <c r="M229" i="35"/>
  <c r="M489" i="35"/>
  <c r="S489" i="35"/>
  <c r="I403" i="35"/>
  <c r="AE209" i="61"/>
  <c r="AQ209" i="61"/>
  <c r="Y211" i="61"/>
  <c r="BI205" i="61"/>
  <c r="T490" i="35"/>
  <c r="T230" i="35"/>
  <c r="T576" i="35"/>
  <c r="Q575" i="35"/>
  <c r="P489" i="35"/>
  <c r="BE205" i="61"/>
  <c r="BA207" i="61"/>
  <c r="BE207" i="61"/>
  <c r="BE210" i="61"/>
  <c r="BI208" i="61"/>
  <c r="P315" i="35"/>
  <c r="P229" i="35"/>
  <c r="R143" i="35"/>
  <c r="T144" i="35"/>
  <c r="AM211" i="61"/>
  <c r="AM206" i="61"/>
  <c r="AI209" i="61"/>
  <c r="L229" i="35"/>
  <c r="N229" i="35"/>
  <c r="AE210" i="61"/>
  <c r="AE207" i="61"/>
  <c r="AQ211" i="61"/>
  <c r="N660" i="35"/>
  <c r="O404" i="35"/>
  <c r="H57" i="35"/>
  <c r="H575" i="35"/>
  <c r="I57" i="35"/>
  <c r="J404" i="35"/>
  <c r="J144" i="35"/>
  <c r="J58" i="35"/>
  <c r="T316" i="35"/>
  <c r="J316" i="35"/>
  <c r="O576" i="35"/>
  <c r="T661" i="35"/>
  <c r="BE43" i="55"/>
  <c r="BA21" i="55"/>
  <c r="S155" i="35"/>
  <c r="Q155" i="35"/>
  <c r="Q501" i="35"/>
  <c r="BI18" i="55"/>
  <c r="BA11" i="55"/>
  <c r="AW27" i="55"/>
  <c r="BA37" i="55"/>
  <c r="AW58" i="55"/>
  <c r="AW45" i="55"/>
  <c r="BA33" i="55"/>
  <c r="BI26" i="55"/>
  <c r="BA55" i="55"/>
  <c r="AW57" i="55"/>
  <c r="P327" i="35"/>
  <c r="Q241" i="35"/>
  <c r="Q587" i="35"/>
  <c r="BI22" i="55"/>
  <c r="BE54" i="55"/>
  <c r="BI3" i="55"/>
  <c r="Q327" i="35"/>
  <c r="R241" i="35"/>
  <c r="T673" i="35"/>
  <c r="T328" i="35"/>
  <c r="T588" i="35"/>
  <c r="T242" i="35"/>
  <c r="AQ19" i="55"/>
  <c r="AQ20" i="55"/>
  <c r="AQ7" i="55"/>
  <c r="AM11" i="55"/>
  <c r="AM17" i="55"/>
  <c r="AM48" i="55"/>
  <c r="AI28" i="55"/>
  <c r="AQ15" i="55"/>
  <c r="AQ18" i="55"/>
  <c r="K327" i="35"/>
  <c r="L501" i="35"/>
  <c r="AE53" i="55"/>
  <c r="AM33" i="55"/>
  <c r="AI35" i="55"/>
  <c r="AE41" i="55"/>
  <c r="AI50" i="55"/>
  <c r="AE8" i="55"/>
  <c r="N501" i="35"/>
  <c r="N415" i="35"/>
  <c r="O588" i="35"/>
  <c r="O70" i="35"/>
  <c r="O416" i="35"/>
  <c r="Y26" i="55"/>
  <c r="I241" i="35"/>
  <c r="U14" i="55"/>
  <c r="Y30" i="55"/>
  <c r="U58" i="55"/>
  <c r="U15" i="55"/>
  <c r="U17" i="55"/>
  <c r="U4" i="55"/>
  <c r="G69" i="35"/>
  <c r="Y24" i="55"/>
  <c r="U26" i="55"/>
  <c r="Y5" i="55"/>
  <c r="Y6" i="55"/>
  <c r="BA26" i="55"/>
  <c r="U30" i="55"/>
  <c r="H57" i="55" a="1"/>
  <c r="H57" i="55"/>
  <c r="Y27" i="55"/>
  <c r="U6" i="55"/>
  <c r="Y34" i="55"/>
  <c r="AM20" i="55"/>
  <c r="AE21" i="55"/>
  <c r="BI48" i="55"/>
  <c r="O328" i="35"/>
  <c r="J588" i="35"/>
  <c r="J416" i="35"/>
  <c r="AM36" i="55"/>
  <c r="AQ37" i="55"/>
  <c r="AM58" i="55"/>
  <c r="AM27" i="55"/>
  <c r="Y53" i="55"/>
  <c r="U55" i="55"/>
  <c r="AQ55" i="55"/>
  <c r="U57" i="55"/>
  <c r="AQ58" i="55"/>
  <c r="U8" i="55"/>
  <c r="AI26" i="55"/>
  <c r="BI36" i="55"/>
  <c r="AE38" i="55"/>
  <c r="U42" i="55"/>
  <c r="BE49" i="55"/>
  <c r="Y55" i="55"/>
  <c r="AQ56" i="55"/>
  <c r="AQ42" i="55"/>
  <c r="AM47" i="55"/>
  <c r="AI24" i="55"/>
  <c r="BE40" i="55"/>
  <c r="U51" i="55"/>
  <c r="AM30" i="55"/>
  <c r="AW52" i="55"/>
  <c r="Y17" i="55"/>
  <c r="Y11" i="55"/>
  <c r="BE14" i="55"/>
  <c r="AQ17" i="55"/>
  <c r="AQ22" i="55"/>
  <c r="AM29" i="55"/>
  <c r="U34" i="55"/>
  <c r="AM45" i="55"/>
  <c r="AM52" i="55"/>
  <c r="BI16" i="55"/>
  <c r="Y16" i="55"/>
  <c r="Y37" i="55"/>
  <c r="AM54" i="55"/>
  <c r="U47" i="55"/>
  <c r="AQ48" i="55"/>
  <c r="AQ54" i="55"/>
  <c r="U37" i="55"/>
  <c r="U40" i="55"/>
  <c r="Y41" i="55"/>
  <c r="AM42" i="55"/>
  <c r="U20" i="55"/>
  <c r="AQ49" i="55"/>
  <c r="H327" i="35"/>
  <c r="S241" i="35"/>
  <c r="I587" i="35"/>
  <c r="V87" i="58"/>
  <c r="J673" i="35"/>
  <c r="N587" i="35"/>
  <c r="H587" i="35"/>
  <c r="P587" i="35"/>
  <c r="M327" i="35"/>
  <c r="Q415" i="35"/>
  <c r="R327" i="35"/>
  <c r="L327" i="35"/>
  <c r="J156" i="35"/>
  <c r="U16" i="55"/>
  <c r="AI19" i="55"/>
  <c r="AQ27" i="55"/>
  <c r="U31" i="55"/>
  <c r="AQ36" i="55"/>
  <c r="U53" i="55"/>
  <c r="BA22" i="55"/>
  <c r="AQ29" i="55"/>
  <c r="Y33" i="55"/>
  <c r="AM43" i="55"/>
  <c r="AE44" i="55"/>
  <c r="AQ45" i="55"/>
  <c r="AQ52" i="55"/>
  <c r="Y29" i="55"/>
  <c r="U35" i="55"/>
  <c r="BI37" i="55"/>
  <c r="Y40" i="55"/>
  <c r="U41" i="55"/>
  <c r="BE41" i="55"/>
  <c r="BI46" i="55"/>
  <c r="Y9" i="55"/>
  <c r="BI33" i="55"/>
  <c r="BE45" i="55"/>
  <c r="BE47" i="55"/>
  <c r="BI50" i="55"/>
  <c r="BA53" i="55"/>
  <c r="U54" i="55"/>
  <c r="BI55" i="55"/>
  <c r="BE57" i="55"/>
  <c r="U18" i="55"/>
  <c r="Y12" i="55"/>
  <c r="Y19" i="55"/>
  <c r="U22" i="55"/>
  <c r="Y31" i="55"/>
  <c r="AW36" i="55"/>
  <c r="Y42" i="55"/>
  <c r="AQ51" i="55"/>
  <c r="Y57" i="55"/>
  <c r="U11" i="55"/>
  <c r="U33" i="55"/>
  <c r="AW54" i="55"/>
  <c r="AI10" i="55"/>
  <c r="AM10" i="55"/>
  <c r="AQ13" i="55"/>
  <c r="Y35" i="55"/>
  <c r="BE37" i="55"/>
  <c r="BE38" i="55"/>
  <c r="BI41" i="55"/>
  <c r="BI44" i="55"/>
  <c r="Y46" i="55"/>
  <c r="Y50" i="55"/>
  <c r="U9" i="55"/>
  <c r="BE24" i="55"/>
  <c r="BE33" i="55"/>
  <c r="Y39" i="55"/>
  <c r="BI39" i="55"/>
  <c r="BI45" i="55"/>
  <c r="BI47" i="55"/>
  <c r="U48" i="55"/>
  <c r="U52" i="55"/>
  <c r="Y54" i="55"/>
  <c r="U56" i="55"/>
  <c r="BI57" i="55"/>
  <c r="U10" i="55"/>
  <c r="Y43" i="55"/>
  <c r="U45" i="55"/>
  <c r="AM23" i="55"/>
  <c r="AQ26" i="55"/>
  <c r="U39" i="55"/>
  <c r="Y52" i="55"/>
  <c r="AM57" i="55"/>
  <c r="Y28" i="55"/>
  <c r="U3" i="55"/>
  <c r="Q9" i="55"/>
  <c r="M4" i="55"/>
  <c r="M40" i="55"/>
  <c r="Q12" i="55"/>
  <c r="M14" i="55"/>
  <c r="Q54" i="55"/>
  <c r="M51" i="55"/>
  <c r="M37" i="55"/>
  <c r="M6" i="55"/>
  <c r="Q41" i="55"/>
  <c r="M53" i="55"/>
  <c r="Q57" i="55"/>
  <c r="M36" i="55"/>
  <c r="Q6" i="55"/>
  <c r="Q24" i="55"/>
  <c r="Y13" i="55"/>
  <c r="Q29" i="55"/>
  <c r="M41" i="55"/>
  <c r="M45" i="55"/>
  <c r="U38" i="55"/>
  <c r="AM51" i="55"/>
  <c r="BE44" i="55"/>
  <c r="U50" i="55"/>
  <c r="Y48" i="55"/>
  <c r="Y56" i="55"/>
  <c r="U25" i="55"/>
  <c r="Y23" i="55"/>
  <c r="Q5" i="55"/>
  <c r="Q49" i="55"/>
  <c r="M32" i="55"/>
  <c r="Q52" i="55"/>
  <c r="M28" i="55"/>
  <c r="Q50" i="55"/>
  <c r="M23" i="55"/>
  <c r="Q31" i="55"/>
  <c r="Q35" i="55"/>
  <c r="Q17" i="55"/>
  <c r="Q16" i="55"/>
  <c r="M48" i="55"/>
  <c r="Q30" i="55"/>
  <c r="M30" i="55"/>
  <c r="Q3" i="55"/>
  <c r="M5" i="55"/>
  <c r="M16" i="55"/>
  <c r="M9" i="55"/>
  <c r="Q53" i="55"/>
  <c r="U12" i="55"/>
  <c r="U19" i="55"/>
  <c r="Y22" i="55"/>
  <c r="AQ47" i="55"/>
  <c r="AM22" i="55"/>
  <c r="U27" i="55"/>
  <c r="BE35" i="55"/>
  <c r="BI42" i="55"/>
  <c r="U44" i="55"/>
  <c r="Y10" i="55"/>
  <c r="AQ10" i="55"/>
  <c r="U29" i="55"/>
  <c r="BE34" i="55"/>
  <c r="U43" i="55"/>
  <c r="Y45" i="55"/>
  <c r="U46" i="55"/>
  <c r="AM15" i="55"/>
  <c r="Y20" i="55"/>
  <c r="AM28" i="55"/>
  <c r="Y32" i="55"/>
  <c r="AM35" i="55"/>
  <c r="Y51" i="55"/>
  <c r="AQ53" i="55"/>
  <c r="AM55" i="55"/>
  <c r="AQ57" i="55"/>
  <c r="AQ3" i="55"/>
  <c r="U21" i="55"/>
  <c r="Y25" i="55"/>
  <c r="U7" i="55"/>
  <c r="M20" i="55"/>
  <c r="M7" i="55"/>
  <c r="Q11" i="55"/>
  <c r="M15" i="55"/>
  <c r="Q27" i="55"/>
  <c r="M31" i="55"/>
  <c r="M39" i="55"/>
  <c r="Q43" i="55"/>
  <c r="Q51" i="55"/>
  <c r="M55" i="55"/>
  <c r="M10" i="55"/>
  <c r="M26" i="55"/>
  <c r="M42" i="55"/>
  <c r="M18" i="55"/>
  <c r="M58" i="55"/>
  <c r="Q8" i="55"/>
  <c r="U24" i="55"/>
  <c r="M56" i="55"/>
  <c r="M52" i="55"/>
  <c r="Q33" i="55"/>
  <c r="M49" i="55"/>
  <c r="M24" i="55"/>
  <c r="M13" i="55"/>
  <c r="M57" i="55"/>
  <c r="Y18" i="55"/>
  <c r="BE29" i="55"/>
  <c r="Y38" i="55"/>
  <c r="BI19" i="55"/>
  <c r="BE42" i="55"/>
  <c r="Y44" i="55"/>
  <c r="Y47" i="55"/>
  <c r="AM56" i="55"/>
  <c r="BI34" i="55"/>
  <c r="BE7" i="55"/>
  <c r="BE16" i="55"/>
  <c r="Y21" i="55"/>
  <c r="BE31" i="55"/>
  <c r="BA5" i="55"/>
  <c r="AM21" i="55"/>
  <c r="Q21" i="55"/>
  <c r="M8" i="55"/>
  <c r="Q28" i="55"/>
  <c r="Q56" i="55"/>
  <c r="Q40" i="55"/>
  <c r="Q20" i="55"/>
  <c r="M22" i="55"/>
  <c r="Q26" i="55"/>
  <c r="M34" i="55"/>
  <c r="Q22" i="55"/>
  <c r="M54" i="55"/>
  <c r="M3" i="55"/>
  <c r="Q7" i="55"/>
  <c r="Q15" i="55"/>
  <c r="Q19" i="55"/>
  <c r="Q23" i="55"/>
  <c r="M35" i="55"/>
  <c r="Q39" i="55"/>
  <c r="M47" i="55"/>
  <c r="Q55" i="55"/>
  <c r="Q14" i="55"/>
  <c r="Q34" i="55"/>
  <c r="M46" i="55"/>
  <c r="Q36" i="55"/>
  <c r="Q46" i="55"/>
  <c r="M33" i="55"/>
  <c r="Q45" i="55"/>
  <c r="Q42" i="55"/>
  <c r="M17" i="55"/>
  <c r="Q37" i="55"/>
  <c r="Q58" i="55"/>
  <c r="AW29" i="55"/>
  <c r="BA31" i="55"/>
  <c r="AW42" i="55"/>
  <c r="BE46" i="55"/>
  <c r="BA15" i="55"/>
  <c r="BE48" i="55"/>
  <c r="BE50" i="55"/>
  <c r="AW20" i="55"/>
  <c r="BE10" i="55"/>
  <c r="BA14" i="55"/>
  <c r="BA9" i="55"/>
  <c r="BE30" i="55"/>
  <c r="AW39" i="55"/>
  <c r="BE5" i="55"/>
  <c r="BI51" i="55"/>
  <c r="BE15" i="55"/>
  <c r="BI29" i="55"/>
  <c r="BA36" i="55"/>
  <c r="BI49" i="55"/>
  <c r="BI9" i="55"/>
  <c r="BA28" i="55"/>
  <c r="BA35" i="55"/>
  <c r="BI53" i="55"/>
  <c r="AW8" i="55"/>
  <c r="BI21" i="55"/>
  <c r="AW33" i="55"/>
  <c r="BE32" i="55"/>
  <c r="BA7" i="55"/>
  <c r="AW16" i="55"/>
  <c r="BE18" i="55"/>
  <c r="BI54" i="55"/>
  <c r="AW21" i="55"/>
  <c r="BI11" i="55"/>
  <c r="BI4" i="55"/>
  <c r="AW4" i="55"/>
  <c r="BE28" i="55"/>
  <c r="AW18" i="55"/>
  <c r="BE36" i="55"/>
  <c r="BE19" i="55"/>
  <c r="BI35" i="55"/>
  <c r="AW56" i="55"/>
  <c r="BA13" i="55"/>
  <c r="BA42" i="55"/>
  <c r="AW35" i="55"/>
  <c r="AW46" i="55"/>
  <c r="BA49" i="55"/>
  <c r="AW9" i="55"/>
  <c r="BE13" i="55"/>
  <c r="BA41" i="55"/>
  <c r="AW38" i="55"/>
  <c r="BI52" i="55"/>
  <c r="BA16" i="55"/>
  <c r="BA50" i="55"/>
  <c r="AW3" i="55"/>
  <c r="BE22" i="55"/>
  <c r="BE4" i="55"/>
  <c r="AW25" i="55"/>
  <c r="BE17" i="55"/>
  <c r="AW19" i="55"/>
  <c r="BE11" i="55"/>
  <c r="BA18" i="55"/>
  <c r="BI14" i="55"/>
  <c r="BA17" i="55"/>
  <c r="BA29" i="55"/>
  <c r="AW43" i="55"/>
  <c r="BI38" i="55"/>
  <c r="BI40" i="55"/>
  <c r="BI7" i="55"/>
  <c r="BE9" i="55"/>
  <c r="BI24" i="55"/>
  <c r="AW26" i="55"/>
  <c r="BE39" i="55"/>
  <c r="AW49" i="55"/>
  <c r="BE53" i="55"/>
  <c r="BE55" i="55"/>
  <c r="AW44" i="55"/>
  <c r="BI56" i="55"/>
  <c r="AW14" i="55"/>
  <c r="BA46" i="55"/>
  <c r="BA12" i="55"/>
  <c r="AW32" i="55"/>
  <c r="AW6" i="55"/>
  <c r="BA19" i="55"/>
  <c r="BI25" i="55"/>
  <c r="AQ32" i="55"/>
  <c r="AM40" i="55"/>
  <c r="AI47" i="55"/>
  <c r="AE10" i="55"/>
  <c r="AM31" i="55"/>
  <c r="AE43" i="55"/>
  <c r="AI45" i="55"/>
  <c r="AI46" i="55"/>
  <c r="AI20" i="55"/>
  <c r="AE36" i="55"/>
  <c r="AE39" i="55"/>
  <c r="AE51" i="55"/>
  <c r="AI52" i="55"/>
  <c r="AI58" i="55"/>
  <c r="AI30" i="55"/>
  <c r="AM7" i="55"/>
  <c r="AE15" i="55"/>
  <c r="AM14" i="55"/>
  <c r="AE24" i="55"/>
  <c r="AI7" i="55"/>
  <c r="AM16" i="55"/>
  <c r="AQ6" i="55"/>
  <c r="AM34" i="55"/>
  <c r="AE34" i="55"/>
  <c r="AE47" i="55"/>
  <c r="AE37" i="55"/>
  <c r="AQ38" i="55"/>
  <c r="AQ44" i="55"/>
  <c r="AQ30" i="55"/>
  <c r="AI39" i="55"/>
  <c r="AE48" i="55"/>
  <c r="AE52" i="55"/>
  <c r="AE54" i="55"/>
  <c r="AE56" i="55"/>
  <c r="AE58" i="55"/>
  <c r="AM12" i="55"/>
  <c r="AQ21" i="55"/>
  <c r="AI49" i="55"/>
  <c r="AI21" i="55"/>
  <c r="AM3" i="55"/>
  <c r="AQ9" i="55"/>
  <c r="AE23" i="55"/>
  <c r="AE17" i="55"/>
  <c r="AI15" i="55"/>
  <c r="AE13" i="55"/>
  <c r="AQ34" i="55"/>
  <c r="AI27" i="55"/>
  <c r="AI34" i="55"/>
  <c r="AQ43" i="55"/>
  <c r="AM24" i="55"/>
  <c r="AE29" i="55"/>
  <c r="AI37" i="55"/>
  <c r="AE40" i="55"/>
  <c r="AI41" i="55"/>
  <c r="AI43" i="55"/>
  <c r="AE45" i="55"/>
  <c r="AQ23" i="55"/>
  <c r="AM26" i="55"/>
  <c r="AQ28" i="55"/>
  <c r="AQ35" i="55"/>
  <c r="AI36" i="55"/>
  <c r="AM41" i="55"/>
  <c r="AM49" i="55"/>
  <c r="AM53" i="55"/>
  <c r="AQ11" i="55"/>
  <c r="AE26" i="55"/>
  <c r="AQ40" i="55"/>
  <c r="AI23" i="55"/>
  <c r="AE49" i="55"/>
  <c r="AE30" i="55"/>
  <c r="AM32" i="55"/>
  <c r="AE6" i="55"/>
  <c r="AQ5" i="55"/>
  <c r="AQ8" i="55"/>
  <c r="AE32" i="55"/>
  <c r="AM5" i="55"/>
  <c r="AE4" i="55"/>
  <c r="AI12" i="55"/>
  <c r="AE18" i="55"/>
  <c r="AM37" i="55"/>
  <c r="AE27" i="55"/>
  <c r="AM13" i="55"/>
  <c r="AQ24" i="55"/>
  <c r="AI29" i="55"/>
  <c r="AQ31" i="55"/>
  <c r="AE46" i="55"/>
  <c r="AE9" i="55"/>
  <c r="AQ33" i="55"/>
  <c r="AQ39" i="55"/>
  <c r="AI48" i="55"/>
  <c r="AM50" i="55"/>
  <c r="AI51" i="55"/>
  <c r="AI54" i="55"/>
  <c r="AI56" i="55"/>
  <c r="AI25" i="55"/>
  <c r="AI13" i="55"/>
  <c r="AQ50" i="55"/>
  <c r="AM8" i="55"/>
  <c r="AE7" i="55"/>
  <c r="AE28" i="55"/>
  <c r="AI17" i="55"/>
  <c r="AQ4" i="55"/>
  <c r="T631" i="35"/>
  <c r="U631" i="35"/>
  <c r="AR224" i="58"/>
  <c r="AW306" i="62"/>
  <c r="AW307" i="62"/>
  <c r="BA301" i="62"/>
  <c r="BI315" i="62"/>
  <c r="R630" i="35"/>
  <c r="AT275" i="58"/>
  <c r="AW304" i="62"/>
  <c r="R285" i="35"/>
  <c r="M285" i="35"/>
  <c r="AI275" i="58"/>
  <c r="AI236" i="58"/>
  <c r="J549" i="35"/>
  <c r="AI187" i="58"/>
  <c r="R557" i="35"/>
  <c r="BI334" i="62"/>
  <c r="T126" i="35"/>
  <c r="T40" i="35"/>
  <c r="AW334" i="62"/>
  <c r="R205" i="35"/>
  <c r="Q557" i="35"/>
  <c r="Q291" i="35"/>
  <c r="R297" i="35"/>
  <c r="S642" i="35"/>
  <c r="AV411" i="58"/>
  <c r="BA329" i="62"/>
  <c r="BE350" i="62"/>
  <c r="BE364" i="62"/>
  <c r="Q379" i="35"/>
  <c r="S36" i="35"/>
  <c r="S382" i="35"/>
  <c r="L294" i="35"/>
  <c r="AM368" i="62"/>
  <c r="AQ351" i="62"/>
  <c r="L39" i="35"/>
  <c r="AI343" i="62"/>
  <c r="AM332" i="62"/>
  <c r="P418" i="58"/>
  <c r="P514" i="58"/>
  <c r="P306" i="58"/>
  <c r="BE333" i="62"/>
  <c r="AW354" i="62"/>
  <c r="AW352" i="62"/>
  <c r="AW362" i="62"/>
  <c r="AW358" i="62"/>
  <c r="AI356" i="62"/>
  <c r="H330" i="62" a="1"/>
  <c r="H330" i="62"/>
  <c r="H326" i="62" a="1"/>
  <c r="H326" i="62"/>
  <c r="BE330" i="62"/>
  <c r="AQ342" i="62"/>
  <c r="AM360" i="62"/>
  <c r="BE327" i="62"/>
  <c r="T643" i="35"/>
  <c r="O558" i="35"/>
  <c r="T386" i="35"/>
  <c r="Q42" i="35"/>
  <c r="Q388" i="35"/>
  <c r="R42" i="35"/>
  <c r="R388" i="35"/>
  <c r="S42" i="35"/>
  <c r="S388" i="35"/>
  <c r="AE376" i="62"/>
  <c r="AE380" i="62"/>
  <c r="AQ375" i="62"/>
  <c r="AQ379" i="62"/>
  <c r="AQ385" i="62"/>
  <c r="AE383" i="62"/>
  <c r="J561" i="35"/>
  <c r="U389" i="62"/>
  <c r="U375" i="62"/>
  <c r="AQ388" i="62"/>
  <c r="Y385" i="62"/>
  <c r="AW385" i="62"/>
  <c r="M525" i="35"/>
  <c r="AG68" i="58"/>
  <c r="J476" i="35"/>
  <c r="P490" i="58"/>
  <c r="P482" i="58"/>
  <c r="J64" i="35"/>
  <c r="J331" i="35"/>
  <c r="P96" i="58"/>
  <c r="M330" i="35"/>
  <c r="Q125" i="35"/>
  <c r="L551" i="35"/>
  <c r="M557" i="35"/>
  <c r="AG369" i="58"/>
  <c r="K560" i="35"/>
  <c r="L214" i="35"/>
  <c r="L560" i="35"/>
  <c r="M214" i="35"/>
  <c r="M560" i="35"/>
  <c r="N214" i="35"/>
  <c r="N560" i="35"/>
  <c r="Q403" i="35"/>
  <c r="G57" i="35"/>
  <c r="S403" i="35"/>
  <c r="N57" i="35"/>
  <c r="N403" i="35"/>
  <c r="K447" i="35"/>
  <c r="H581" i="35"/>
  <c r="N235" i="35"/>
  <c r="O235" i="35"/>
  <c r="J576" i="35"/>
  <c r="O319" i="35"/>
  <c r="S72" i="35"/>
  <c r="AV115" i="58"/>
  <c r="N72" i="35"/>
  <c r="Q211" i="35"/>
  <c r="L557" i="35"/>
  <c r="L291" i="35"/>
  <c r="M297" i="35"/>
  <c r="AG482" i="58"/>
  <c r="N297" i="35"/>
  <c r="AI370" i="58"/>
  <c r="S294" i="35"/>
  <c r="P314" i="58"/>
  <c r="P300" i="35"/>
  <c r="Q300" i="35"/>
  <c r="S300" i="35"/>
  <c r="J129" i="35"/>
  <c r="U129" i="35"/>
  <c r="Q143" i="35"/>
  <c r="P660" i="35"/>
  <c r="K143" i="35"/>
  <c r="H489" i="35"/>
  <c r="I575" i="35"/>
  <c r="N104" i="35"/>
  <c r="N450" i="35"/>
  <c r="R450" i="35"/>
  <c r="M104" i="35"/>
  <c r="K187" i="35"/>
  <c r="G581" i="35"/>
  <c r="Q578" i="35"/>
  <c r="P330" i="58"/>
  <c r="J490" i="35"/>
  <c r="P104" i="58"/>
  <c r="I244" i="35"/>
  <c r="Q642" i="35"/>
  <c r="Q33" i="35"/>
  <c r="L379" i="35"/>
  <c r="R385" i="35"/>
  <c r="S385" i="35"/>
  <c r="Q229" i="35"/>
  <c r="L575" i="35"/>
  <c r="G315" i="35"/>
  <c r="S229" i="35"/>
  <c r="N575" i="35"/>
  <c r="I315" i="35"/>
  <c r="I143" i="35"/>
  <c r="N190" i="35"/>
  <c r="R63" i="35"/>
  <c r="L63" i="35"/>
  <c r="S409" i="35"/>
  <c r="J475" i="35"/>
  <c r="U475" i="35"/>
  <c r="N578" i="35"/>
  <c r="O472" i="35"/>
  <c r="O298" i="35"/>
  <c r="Q648" i="35"/>
  <c r="BI70" i="55"/>
  <c r="AI73" i="55"/>
  <c r="R128" i="35"/>
  <c r="AH410" i="62"/>
  <c r="H425" i="62" a="1"/>
  <c r="H425" i="62"/>
  <c r="AH424" i="62"/>
  <c r="Y422" i="62"/>
  <c r="AI401" i="62"/>
  <c r="BI398" i="62"/>
  <c r="BE418" i="62"/>
  <c r="O133" i="35"/>
  <c r="L45" i="35"/>
  <c r="K45" i="35"/>
  <c r="AQ70" i="55"/>
  <c r="Y73" i="55"/>
  <c r="AW72" i="55"/>
  <c r="U73" i="55"/>
  <c r="AQ74" i="55"/>
  <c r="AE70" i="55"/>
  <c r="U72" i="55"/>
  <c r="U74" i="55"/>
  <c r="P61" i="58"/>
  <c r="BA72" i="55"/>
  <c r="Y70" i="55"/>
  <c r="AM73" i="55"/>
  <c r="M73" i="55"/>
  <c r="Q72" i="55"/>
  <c r="Q73" i="55"/>
  <c r="Q70" i="55"/>
  <c r="AM74" i="55"/>
  <c r="BE73" i="55"/>
  <c r="BA73" i="55"/>
  <c r="Q74" i="55"/>
  <c r="P537" i="58"/>
  <c r="K388" i="35"/>
  <c r="L388" i="35"/>
  <c r="M388" i="35"/>
  <c r="N388" i="35"/>
  <c r="K42" i="35"/>
  <c r="L42" i="35"/>
  <c r="N42" i="35"/>
  <c r="Q128" i="35"/>
  <c r="S128" i="35"/>
  <c r="J301" i="35"/>
  <c r="J43" i="35"/>
  <c r="H204" i="62" a="1"/>
  <c r="H204" i="62"/>
  <c r="J16" i="35"/>
  <c r="H109" i="62" a="1"/>
  <c r="H109" i="62"/>
  <c r="H105" i="62" a="1"/>
  <c r="H105" i="62"/>
  <c r="N569" i="35"/>
  <c r="K303" i="35"/>
  <c r="I297" i="35"/>
  <c r="K15" i="35"/>
  <c r="G533" i="35"/>
  <c r="J533" i="35"/>
  <c r="G187" i="35"/>
  <c r="O661" i="35"/>
  <c r="N621" i="35"/>
  <c r="K533" i="35"/>
  <c r="O533" i="35"/>
  <c r="N18" i="35"/>
  <c r="K18" i="35"/>
  <c r="H569" i="35"/>
  <c r="I125" i="35"/>
  <c r="V334" i="58"/>
  <c r="BE210" i="62"/>
  <c r="AW45" i="62"/>
  <c r="AW38" i="62"/>
  <c r="BE22" i="62"/>
  <c r="BA44" i="62"/>
  <c r="AQ210" i="62"/>
  <c r="AM8" i="62"/>
  <c r="BE98" i="62"/>
  <c r="BI60" i="62"/>
  <c r="AM16" i="62"/>
  <c r="BI72" i="62"/>
  <c r="BE33" i="62"/>
  <c r="Q63" i="35"/>
  <c r="H149" i="35"/>
  <c r="G63" i="35"/>
  <c r="N63" i="35"/>
  <c r="P495" i="35"/>
  <c r="H495" i="35"/>
  <c r="N495" i="35"/>
  <c r="I666" i="35"/>
  <c r="J277" i="35"/>
  <c r="P581" i="35"/>
  <c r="K149" i="35"/>
  <c r="G321" i="35"/>
  <c r="N666" i="35"/>
  <c r="I149" i="35"/>
  <c r="S578" i="35"/>
  <c r="P232" i="35"/>
  <c r="R406" i="35"/>
  <c r="L492" i="35"/>
  <c r="O212" i="35"/>
  <c r="O386" i="35"/>
  <c r="J34" i="35"/>
  <c r="J191" i="35"/>
  <c r="P374" i="58"/>
  <c r="P279" i="58"/>
  <c r="X8" i="58"/>
  <c r="AX46" i="58"/>
  <c r="AW106" i="62"/>
  <c r="BE206" i="62"/>
  <c r="BE21" i="62"/>
  <c r="BA66" i="62"/>
  <c r="BA95" i="62"/>
  <c r="BI80" i="62"/>
  <c r="AI58" i="62"/>
  <c r="BA27" i="62"/>
  <c r="AE350" i="62"/>
  <c r="AE359" i="62"/>
  <c r="AE335" i="62"/>
  <c r="BE339" i="62"/>
  <c r="BI346" i="62"/>
  <c r="AW341" i="62"/>
  <c r="BA5" i="62"/>
  <c r="AW18" i="62"/>
  <c r="AI59" i="62"/>
  <c r="BA105" i="62"/>
  <c r="BE20" i="62"/>
  <c r="BE48" i="62"/>
  <c r="BA366" i="62"/>
  <c r="AE355" i="62"/>
  <c r="BE369" i="62"/>
  <c r="BI338" i="62"/>
  <c r="BI382" i="62"/>
  <c r="AE386" i="62"/>
  <c r="U300" i="62"/>
  <c r="BI299" i="62"/>
  <c r="AQ338" i="62"/>
  <c r="BI40" i="62"/>
  <c r="AQ37" i="62"/>
  <c r="AW315" i="62"/>
  <c r="BA322" i="62"/>
  <c r="AE349" i="62"/>
  <c r="AE340" i="62"/>
  <c r="BE355" i="62"/>
  <c r="AM327" i="62"/>
  <c r="AQ359" i="62"/>
  <c r="BI4" i="62"/>
  <c r="AI369" i="62"/>
  <c r="AE347" i="62"/>
  <c r="BI333" i="62"/>
  <c r="AQ340" i="62"/>
  <c r="AW359" i="62"/>
  <c r="AM374" i="62"/>
  <c r="AM390" i="62"/>
  <c r="AW210" i="62"/>
  <c r="AW211" i="62"/>
  <c r="BI63" i="62"/>
  <c r="AW98" i="62"/>
  <c r="BA49" i="62"/>
  <c r="AM315" i="62"/>
  <c r="BA211" i="62"/>
  <c r="AM317" i="62"/>
  <c r="BE390" i="62"/>
  <c r="AQ382" i="62"/>
  <c r="AQ362" i="62"/>
  <c r="BI306" i="62"/>
  <c r="AE348" i="62"/>
  <c r="AE9" i="62"/>
  <c r="AM69" i="62"/>
  <c r="AE321" i="62"/>
  <c r="AW206" i="62"/>
  <c r="AW207" i="62"/>
  <c r="AI211" i="62"/>
  <c r="BA58" i="62"/>
  <c r="BA364" i="62"/>
  <c r="BE18" i="62"/>
  <c r="AQ11" i="62"/>
  <c r="BI96" i="62"/>
  <c r="BA97" i="62"/>
  <c r="AM314" i="62"/>
  <c r="AM319" i="62"/>
  <c r="AI345" i="62"/>
  <c r="AE352" i="62"/>
  <c r="AE211" i="62"/>
  <c r="AI209" i="62"/>
  <c r="BE208" i="62"/>
  <c r="BA210" i="62"/>
  <c r="BE353" i="62"/>
  <c r="AI379" i="62"/>
  <c r="AM389" i="62"/>
  <c r="AI210" i="62"/>
  <c r="BE365" i="62"/>
  <c r="BA361" i="62"/>
  <c r="BE326" i="62"/>
  <c r="AE208" i="62"/>
  <c r="BE303" i="62"/>
  <c r="AI336" i="62"/>
  <c r="BI380" i="62"/>
  <c r="M389" i="62"/>
  <c r="G214" i="35"/>
  <c r="G560" i="35"/>
  <c r="I214" i="35"/>
  <c r="I560" i="35"/>
  <c r="M371" i="35"/>
  <c r="I628" i="35"/>
  <c r="I627" i="35"/>
  <c r="M385" i="35"/>
  <c r="N385" i="35"/>
  <c r="J380" i="35"/>
  <c r="K211" i="35"/>
  <c r="L211" i="35"/>
  <c r="P473" i="58"/>
  <c r="J206" i="35"/>
  <c r="U206" i="35"/>
  <c r="I205" i="35"/>
  <c r="U356" i="62"/>
  <c r="J643" i="35"/>
  <c r="J292" i="35"/>
  <c r="P397" i="58"/>
  <c r="P333" i="58"/>
  <c r="P493" i="58"/>
  <c r="P461" i="58"/>
  <c r="P389" i="58"/>
  <c r="P437" i="58"/>
  <c r="P291" i="58"/>
  <c r="P501" i="58"/>
  <c r="M360" i="62"/>
  <c r="P369" i="58"/>
  <c r="P278" i="58"/>
  <c r="P429" i="58"/>
  <c r="P491" i="58"/>
  <c r="P477" i="58"/>
  <c r="P445" i="58"/>
  <c r="P365" i="58"/>
  <c r="P486" i="58"/>
  <c r="P317" i="58"/>
  <c r="P293" i="58"/>
  <c r="P373" i="58"/>
  <c r="P325" i="58"/>
  <c r="P341" i="58"/>
  <c r="G125" i="35"/>
  <c r="G642" i="35"/>
  <c r="H385" i="35"/>
  <c r="P502" i="58"/>
  <c r="J466" i="35"/>
  <c r="P347" i="58"/>
  <c r="Y329" i="62"/>
  <c r="P515" i="58"/>
  <c r="P405" i="58"/>
  <c r="P309" i="58"/>
  <c r="P349" i="58"/>
  <c r="P302" i="58"/>
  <c r="P381" i="58"/>
  <c r="P421" i="58"/>
  <c r="P413" i="58"/>
  <c r="P453" i="58"/>
  <c r="J120" i="35"/>
  <c r="P283" i="58"/>
  <c r="P507" i="58"/>
  <c r="P443" i="58"/>
  <c r="P517" i="58"/>
  <c r="P358" i="58"/>
  <c r="P485" i="58"/>
  <c r="P350" i="58"/>
  <c r="P406" i="58"/>
  <c r="P469" i="58"/>
  <c r="P454" i="58"/>
  <c r="P509" i="58"/>
  <c r="P277" i="58"/>
  <c r="P301" i="58"/>
  <c r="J212" i="35"/>
  <c r="G211" i="35"/>
  <c r="J211" i="35"/>
  <c r="Y367" i="62"/>
  <c r="I385" i="35"/>
  <c r="I291" i="35"/>
  <c r="Y334" i="62"/>
  <c r="U339" i="62"/>
  <c r="U346" i="62"/>
  <c r="U334" i="62"/>
  <c r="U327" i="62"/>
  <c r="G297" i="35"/>
  <c r="G465" i="35"/>
  <c r="P331" i="58"/>
  <c r="P403" i="58"/>
  <c r="P467" i="58"/>
  <c r="P419" i="58"/>
  <c r="P307" i="58"/>
  <c r="P523" i="58"/>
  <c r="P470" i="58"/>
  <c r="P382" i="58"/>
  <c r="P510" i="58"/>
  <c r="P366" i="58"/>
  <c r="P398" i="58"/>
  <c r="P422" i="58"/>
  <c r="P294" i="58"/>
  <c r="P475" i="58"/>
  <c r="P451" i="58"/>
  <c r="P396" i="58"/>
  <c r="P387" i="58"/>
  <c r="P355" i="58"/>
  <c r="P435" i="58"/>
  <c r="P459" i="58"/>
  <c r="P363" i="58"/>
  <c r="P462" i="58"/>
  <c r="P430" i="58"/>
  <c r="P414" i="58"/>
  <c r="P342" i="58"/>
  <c r="P390" i="58"/>
  <c r="P310" i="58"/>
  <c r="P518" i="58"/>
  <c r="J637" i="35"/>
  <c r="U637" i="35"/>
  <c r="P379" i="58"/>
  <c r="P334" i="58"/>
  <c r="P446" i="58"/>
  <c r="P315" i="58"/>
  <c r="P371" i="58"/>
  <c r="P427" i="58"/>
  <c r="P339" i="58"/>
  <c r="P483" i="58"/>
  <c r="P494" i="58"/>
  <c r="P326" i="58"/>
  <c r="P286" i="58"/>
  <c r="P438" i="58"/>
  <c r="P318" i="58"/>
  <c r="P478" i="58"/>
  <c r="P411" i="58"/>
  <c r="P299" i="58"/>
  <c r="P323" i="58"/>
  <c r="P420" i="58"/>
  <c r="P284" i="58"/>
  <c r="P281" i="58"/>
  <c r="P401" i="58"/>
  <c r="P298" i="58"/>
  <c r="P322" i="58"/>
  <c r="P450" i="58"/>
  <c r="P378" i="58"/>
  <c r="P394" i="58"/>
  <c r="P492" i="58"/>
  <c r="J552" i="35"/>
  <c r="P292" i="58"/>
  <c r="P377" i="58"/>
  <c r="P425" i="58"/>
  <c r="P505" i="58"/>
  <c r="P468" i="58"/>
  <c r="P460" i="58"/>
  <c r="P434" i="58"/>
  <c r="P362" i="58"/>
  <c r="P442" i="58"/>
  <c r="P402" i="58"/>
  <c r="J298" i="35"/>
  <c r="P506" i="58"/>
  <c r="P498" i="58"/>
  <c r="P466" i="58"/>
  <c r="P458" i="58"/>
  <c r="G385" i="35"/>
  <c r="I557" i="35"/>
  <c r="P497" i="58"/>
  <c r="M349" i="62"/>
  <c r="M346" i="62"/>
  <c r="P340" i="58"/>
  <c r="Y356" i="62"/>
  <c r="P290" i="58"/>
  <c r="P426" i="58"/>
  <c r="P346" i="58"/>
  <c r="P410" i="58"/>
  <c r="P370" i="58"/>
  <c r="P354" i="58"/>
  <c r="P282" i="58"/>
  <c r="I471" i="35"/>
  <c r="J472" i="35"/>
  <c r="U359" i="62"/>
  <c r="H471" i="35"/>
  <c r="U351" i="62"/>
  <c r="G379" i="35"/>
  <c r="G551" i="35"/>
  <c r="G557" i="35"/>
  <c r="P388" i="58"/>
  <c r="P361" i="58"/>
  <c r="P385" i="58"/>
  <c r="P321" i="58"/>
  <c r="P289" i="58"/>
  <c r="M334" i="62"/>
  <c r="P508" i="58"/>
  <c r="P380" i="58"/>
  <c r="P409" i="58"/>
  <c r="P436" i="58"/>
  <c r="P308" i="58"/>
  <c r="P521" i="58"/>
  <c r="P489" i="58"/>
  <c r="P513" i="58"/>
  <c r="P300" i="58"/>
  <c r="P297" i="58"/>
  <c r="J558" i="35"/>
  <c r="P305" i="58"/>
  <c r="P449" i="58"/>
  <c r="P428" i="58"/>
  <c r="P484" i="58"/>
  <c r="P356" i="58"/>
  <c r="P441" i="58"/>
  <c r="P313" i="58"/>
  <c r="P345" i="58"/>
  <c r="P476" i="58"/>
  <c r="P348" i="58"/>
  <c r="P433" i="58"/>
  <c r="P404" i="58"/>
  <c r="P276" i="58"/>
  <c r="P452" i="58"/>
  <c r="P324" i="58"/>
  <c r="P353" i="58"/>
  <c r="P417" i="58"/>
  <c r="P457" i="58"/>
  <c r="P444" i="58"/>
  <c r="P316" i="58"/>
  <c r="P393" i="58"/>
  <c r="P500" i="58"/>
  <c r="P372" i="58"/>
  <c r="P329" i="58"/>
  <c r="P465" i="58"/>
  <c r="P337" i="58"/>
  <c r="P364" i="58"/>
  <c r="P516" i="58"/>
  <c r="P481" i="58"/>
  <c r="P332" i="58"/>
  <c r="J126" i="35"/>
  <c r="J386" i="35"/>
  <c r="G119" i="35"/>
  <c r="I642" i="35"/>
  <c r="V411" i="58"/>
  <c r="Y337" i="62"/>
  <c r="G39" i="35"/>
  <c r="BA343" i="62"/>
  <c r="BE336" i="62"/>
  <c r="AW340" i="62"/>
  <c r="BI353" i="62"/>
  <c r="BI355" i="62"/>
  <c r="BE337" i="62"/>
  <c r="J40" i="35"/>
  <c r="R642" i="35"/>
  <c r="S297" i="35"/>
  <c r="N642" i="35"/>
  <c r="AI451" i="58"/>
  <c r="P386" i="58"/>
  <c r="I39" i="35"/>
  <c r="P522" i="58"/>
  <c r="P338" i="58"/>
  <c r="T619" i="35"/>
  <c r="O619" i="35"/>
  <c r="T188" i="35"/>
  <c r="G621" i="35"/>
  <c r="H618" i="35"/>
  <c r="O534" i="35"/>
  <c r="O188" i="35"/>
  <c r="T534" i="35"/>
  <c r="J534" i="35"/>
  <c r="J451" i="35"/>
  <c r="I190" i="35"/>
  <c r="U101" i="62"/>
  <c r="H361" i="35"/>
  <c r="J537" i="35"/>
  <c r="U537" i="35"/>
  <c r="J105" i="35"/>
  <c r="U105" i="35"/>
  <c r="T274" i="35"/>
  <c r="AQ69" i="62"/>
  <c r="AQ58" i="62"/>
  <c r="O191" i="35"/>
  <c r="AI96" i="62"/>
  <c r="AE105" i="62"/>
  <c r="O19" i="35"/>
  <c r="O277" i="35"/>
  <c r="AE64" i="62"/>
  <c r="AE80" i="62"/>
  <c r="AQ52" i="62"/>
  <c r="AQ41" i="62"/>
  <c r="AQ5" i="62"/>
  <c r="N364" i="35"/>
  <c r="AI70" i="62"/>
  <c r="AM84" i="62"/>
  <c r="AM89" i="62"/>
  <c r="AI39" i="62"/>
  <c r="I104" i="35"/>
  <c r="J274" i="35"/>
  <c r="O274" i="35"/>
  <c r="G273" i="35"/>
  <c r="T102" i="35"/>
  <c r="U102" i="35"/>
  <c r="I450" i="35"/>
  <c r="G101" i="35"/>
  <c r="H102" i="62" a="1"/>
  <c r="H102" i="62"/>
  <c r="AQ49" i="62"/>
  <c r="AE109" i="62"/>
  <c r="AW62" i="62"/>
  <c r="BE72" i="62"/>
  <c r="BA61" i="62"/>
  <c r="Y57" i="62"/>
  <c r="AW20" i="62"/>
  <c r="BE85" i="62"/>
  <c r="AW27" i="62"/>
  <c r="BI22" i="62"/>
  <c r="AW48" i="62"/>
  <c r="AM50" i="62"/>
  <c r="AE60" i="62"/>
  <c r="AI89" i="62"/>
  <c r="BA100" i="62"/>
  <c r="AE71" i="62"/>
  <c r="AW69" i="62"/>
  <c r="AQ17" i="62"/>
  <c r="BI68" i="62"/>
  <c r="AM210" i="62"/>
  <c r="O16" i="35"/>
  <c r="I536" i="35"/>
  <c r="Q97" i="62"/>
  <c r="J188" i="35"/>
  <c r="J19" i="35"/>
  <c r="AW105" i="62"/>
  <c r="AW14" i="62"/>
  <c r="AE88" i="62"/>
  <c r="AI38" i="62"/>
  <c r="O622" i="35"/>
  <c r="U622" i="35"/>
  <c r="T448" i="35"/>
  <c r="AQ34" i="62"/>
  <c r="AQ83" i="62"/>
  <c r="AQ51" i="62"/>
  <c r="AQ104" i="62"/>
  <c r="AQ47" i="62"/>
  <c r="AQ53" i="62"/>
  <c r="AQ68" i="62"/>
  <c r="AM101" i="62"/>
  <c r="AM15" i="62"/>
  <c r="AM21" i="62"/>
  <c r="AM85" i="62"/>
  <c r="AE25" i="62"/>
  <c r="K273" i="35"/>
  <c r="K101" i="35"/>
  <c r="AE5" i="62"/>
  <c r="K621" i="35"/>
  <c r="AM31" i="62"/>
  <c r="AQ76" i="62"/>
  <c r="AE93" i="62"/>
  <c r="AQ61" i="62"/>
  <c r="AE89" i="62"/>
  <c r="AM26" i="62"/>
  <c r="AM97" i="62"/>
  <c r="AI25" i="62"/>
  <c r="AM56" i="62"/>
  <c r="AQ67" i="62"/>
  <c r="AM88" i="62"/>
  <c r="AQ46" i="62"/>
  <c r="AM45" i="62"/>
  <c r="AE101" i="62"/>
  <c r="AM39" i="62"/>
  <c r="AM109" i="62"/>
  <c r="AE50" i="62"/>
  <c r="AQ73" i="62"/>
  <c r="AQ103" i="62"/>
  <c r="AI86" i="62"/>
  <c r="AQ21" i="62"/>
  <c r="U85" i="62"/>
  <c r="O362" i="35"/>
  <c r="J362" i="35"/>
  <c r="M101" i="62"/>
  <c r="O448" i="35"/>
  <c r="G361" i="35"/>
  <c r="J448" i="35"/>
  <c r="I364" i="35"/>
  <c r="T362" i="35"/>
  <c r="AQ107" i="62"/>
  <c r="AM103" i="62"/>
  <c r="T524" i="58"/>
  <c r="M53" i="62"/>
  <c r="AW36" i="62"/>
  <c r="BE52" i="62"/>
  <c r="AM33" i="62"/>
  <c r="BE86" i="62"/>
  <c r="BI109" i="62"/>
  <c r="BI9" i="62"/>
  <c r="AW145" i="55"/>
  <c r="AW153" i="55"/>
  <c r="BI156" i="55"/>
  <c r="T50" i="58"/>
  <c r="AM144" i="55"/>
  <c r="AK5" i="58"/>
  <c r="BA128" i="55"/>
  <c r="AM108" i="55"/>
  <c r="BE110" i="55"/>
  <c r="AM116" i="55"/>
  <c r="BA205" i="61"/>
  <c r="AI207" i="61"/>
  <c r="AQ308" i="62"/>
  <c r="AW322" i="62"/>
  <c r="BE309" i="62"/>
  <c r="AM309" i="62"/>
  <c r="BE314" i="62"/>
  <c r="BI10" i="62"/>
  <c r="BI266" i="61"/>
  <c r="U112" i="61"/>
  <c r="AQ118" i="61"/>
  <c r="AW142" i="61"/>
  <c r="AW190" i="61"/>
  <c r="AQ175" i="61"/>
  <c r="BE177" i="61"/>
  <c r="AW166" i="61"/>
  <c r="AE62" i="55"/>
  <c r="BE102" i="62"/>
  <c r="AI20" i="62"/>
  <c r="AM59" i="62"/>
  <c r="AM54" i="62"/>
  <c r="AQ57" i="62"/>
  <c r="AI75" i="62"/>
  <c r="AQ105" i="62"/>
  <c r="AI111" i="55"/>
  <c r="AE97" i="55"/>
  <c r="BE95" i="55"/>
  <c r="BI109" i="55"/>
  <c r="AW92" i="55"/>
  <c r="AM122" i="55"/>
  <c r="Y62" i="55"/>
  <c r="BE306" i="62"/>
  <c r="AI311" i="62"/>
  <c r="U361" i="62"/>
  <c r="AE363" i="62"/>
  <c r="BA352" i="62"/>
  <c r="AI339" i="62"/>
  <c r="BA350" i="62"/>
  <c r="AQ328" i="62"/>
  <c r="BA62" i="55"/>
  <c r="BI301" i="62"/>
  <c r="H248" i="61" a="1"/>
  <c r="H248" i="61"/>
  <c r="H247" i="61" a="1"/>
  <c r="H247" i="61"/>
  <c r="AI262" i="61"/>
  <c r="AW97" i="55"/>
  <c r="BI110" i="55"/>
  <c r="Y206" i="61"/>
  <c r="U207" i="61"/>
  <c r="AM305" i="62"/>
  <c r="AM299" i="62"/>
  <c r="AI62" i="55"/>
  <c r="Q62" i="55"/>
  <c r="H307" i="61" a="1"/>
  <c r="H307" i="61"/>
  <c r="AE206" i="62"/>
  <c r="AI206" i="62"/>
  <c r="AE124" i="55"/>
  <c r="AQ142" i="55"/>
  <c r="AQ155" i="55"/>
  <c r="AE139" i="55"/>
  <c r="AW207" i="61"/>
  <c r="AQ206" i="61"/>
  <c r="AW210" i="61"/>
  <c r="AW301" i="62"/>
  <c r="AM298" i="62"/>
  <c r="AE307" i="62"/>
  <c r="BE298" i="62"/>
  <c r="Q120" i="61"/>
  <c r="AM123" i="61"/>
  <c r="BI126" i="61"/>
  <c r="BE158" i="61"/>
  <c r="BI174" i="61"/>
  <c r="AQ194" i="61"/>
  <c r="BE150" i="61"/>
  <c r="AM186" i="61"/>
  <c r="AQ44" i="62"/>
  <c r="BA103" i="62"/>
  <c r="AE112" i="55"/>
  <c r="BI131" i="55"/>
  <c r="AQ123" i="55"/>
  <c r="AQ150" i="55"/>
  <c r="AW62" i="55"/>
  <c r="AE317" i="62"/>
  <c r="AE312" i="62"/>
  <c r="BE300" i="62"/>
  <c r="AE369" i="62"/>
  <c r="Y361" i="62"/>
  <c r="AI365" i="62"/>
  <c r="AI355" i="62"/>
  <c r="AM328" i="62"/>
  <c r="AI335" i="62"/>
  <c r="AQ357" i="62"/>
  <c r="AM376" i="62"/>
  <c r="H217" i="62" a="1"/>
  <c r="H217" i="62"/>
  <c r="H280" i="62" a="1"/>
  <c r="H280" i="62"/>
  <c r="H224" i="62" a="1"/>
  <c r="H224" i="62"/>
  <c r="BI115" i="55"/>
  <c r="BA125" i="55"/>
  <c r="AI99" i="55"/>
  <c r="AW90" i="55"/>
  <c r="BI106" i="55"/>
  <c r="AQ311" i="62"/>
  <c r="BI350" i="62"/>
  <c r="BE378" i="62"/>
  <c r="AQ369" i="62"/>
  <c r="AE330" i="62"/>
  <c r="M62" i="55"/>
  <c r="AQ152" i="55"/>
  <c r="BI151" i="55"/>
  <c r="AQ95" i="55"/>
  <c r="AM127" i="55"/>
  <c r="BE155" i="55"/>
  <c r="BI148" i="55"/>
  <c r="BE158" i="55"/>
  <c r="AM128" i="55"/>
  <c r="BI138" i="55"/>
  <c r="AI131" i="55"/>
  <c r="AQ139" i="55"/>
  <c r="AW109" i="55"/>
  <c r="AQ113" i="55"/>
  <c r="AE162" i="55"/>
  <c r="BE151" i="55"/>
  <c r="AQ128" i="55"/>
  <c r="AQ108" i="55"/>
  <c r="BI129" i="55"/>
  <c r="BI152" i="55"/>
  <c r="Y162" i="55"/>
  <c r="Q162" i="55"/>
  <c r="T51" i="58"/>
  <c r="BE145" i="55"/>
  <c r="Y150" i="55"/>
  <c r="Q150" i="55"/>
  <c r="AE157" i="55"/>
  <c r="Y144" i="55"/>
  <c r="Q144" i="55"/>
  <c r="U155" i="55"/>
  <c r="M155" i="55"/>
  <c r="AE158" i="55"/>
  <c r="V50" i="58"/>
  <c r="AE149" i="55"/>
  <c r="U100" i="55"/>
  <c r="M100" i="55"/>
  <c r="U104" i="55"/>
  <c r="M104" i="55"/>
  <c r="U108" i="55"/>
  <c r="M108" i="55"/>
  <c r="U112" i="55"/>
  <c r="M112" i="55"/>
  <c r="U116" i="55"/>
  <c r="M116" i="55"/>
  <c r="U136" i="55"/>
  <c r="M136" i="55"/>
  <c r="U140" i="55"/>
  <c r="M140" i="55"/>
  <c r="Y156" i="55"/>
  <c r="Q156" i="55"/>
  <c r="BE154" i="55"/>
  <c r="BI155" i="55"/>
  <c r="U152" i="55"/>
  <c r="M152" i="55"/>
  <c r="BA144" i="55"/>
  <c r="U93" i="55"/>
  <c r="M93" i="55"/>
  <c r="AM142" i="55"/>
  <c r="U137" i="55"/>
  <c r="M137" i="55"/>
  <c r="BA151" i="55"/>
  <c r="BA155" i="55"/>
  <c r="U154" i="55"/>
  <c r="M154" i="55"/>
  <c r="AW155" i="55"/>
  <c r="AQ93" i="55"/>
  <c r="AM151" i="55"/>
  <c r="U123" i="55"/>
  <c r="M123" i="55"/>
  <c r="Y139" i="55"/>
  <c r="Q139" i="55"/>
  <c r="U97" i="55"/>
  <c r="M97" i="55"/>
  <c r="V51" i="58"/>
  <c r="BE89" i="55"/>
  <c r="BE97" i="55"/>
  <c r="BI137" i="55"/>
  <c r="Y151" i="55"/>
  <c r="Q151" i="55"/>
  <c r="Y160" i="55"/>
  <c r="Q160" i="55"/>
  <c r="AE105" i="55"/>
  <c r="BI124" i="55"/>
  <c r="AI128" i="55"/>
  <c r="AQ117" i="55"/>
  <c r="AI134" i="55"/>
  <c r="U107" i="55"/>
  <c r="M107" i="55"/>
  <c r="Y119" i="55"/>
  <c r="Q119" i="55"/>
  <c r="AM115" i="55"/>
  <c r="AE115" i="55"/>
  <c r="AQ91" i="55"/>
  <c r="Y103" i="55"/>
  <c r="Q103" i="55"/>
  <c r="AW138" i="55"/>
  <c r="Y91" i="55"/>
  <c r="Q91" i="55"/>
  <c r="AE114" i="55"/>
  <c r="AQ147" i="55"/>
  <c r="BE120" i="55"/>
  <c r="BI125" i="55"/>
  <c r="AQ137" i="55"/>
  <c r="AW101" i="55"/>
  <c r="BA115" i="55"/>
  <c r="AE111" i="55"/>
  <c r="BA110" i="55"/>
  <c r="Y99" i="55"/>
  <c r="Q99" i="55"/>
  <c r="BA141" i="55"/>
  <c r="AQ122" i="55"/>
  <c r="AQ94" i="55"/>
  <c r="AW120" i="55"/>
  <c r="Y95" i="55"/>
  <c r="Q95" i="55"/>
  <c r="Y111" i="55"/>
  <c r="Q111" i="55"/>
  <c r="AW152" i="55"/>
  <c r="AQ112" i="55"/>
  <c r="AM162" i="55"/>
  <c r="U162" i="55"/>
  <c r="M162" i="55"/>
  <c r="BE144" i="55"/>
  <c r="BI157" i="55"/>
  <c r="BA157" i="55"/>
  <c r="AE159" i="55"/>
  <c r="U145" i="55"/>
  <c r="M145" i="55"/>
  <c r="Y148" i="55"/>
  <c r="Q148" i="55"/>
  <c r="Y157" i="55"/>
  <c r="Q157" i="55"/>
  <c r="BE162" i="55"/>
  <c r="U153" i="55"/>
  <c r="M153" i="55"/>
  <c r="Y158" i="55"/>
  <c r="Q158" i="55"/>
  <c r="U146" i="55"/>
  <c r="M146" i="55"/>
  <c r="Y149" i="55"/>
  <c r="Q149" i="55"/>
  <c r="Y90" i="55"/>
  <c r="Q90" i="55"/>
  <c r="Y138" i="55"/>
  <c r="Q138" i="55"/>
  <c r="Y142" i="55"/>
  <c r="Q142" i="55"/>
  <c r="AQ89" i="55"/>
  <c r="BA158" i="55"/>
  <c r="U156" i="55"/>
  <c r="M156" i="55"/>
  <c r="AW150" i="55"/>
  <c r="AW148" i="55"/>
  <c r="U160" i="55"/>
  <c r="M160" i="55"/>
  <c r="U133" i="55"/>
  <c r="M133" i="55"/>
  <c r="U91" i="55"/>
  <c r="M91" i="55"/>
  <c r="U99" i="55"/>
  <c r="M99" i="55"/>
  <c r="AW151" i="55"/>
  <c r="Y152" i="55"/>
  <c r="Q152" i="55"/>
  <c r="U127" i="55"/>
  <c r="M127" i="55"/>
  <c r="BA160" i="55"/>
  <c r="U131" i="55"/>
  <c r="M131" i="55"/>
  <c r="AI151" i="55"/>
  <c r="U113" i="55"/>
  <c r="M113" i="55"/>
  <c r="U117" i="55"/>
  <c r="M117" i="55"/>
  <c r="Y122" i="55"/>
  <c r="Q122" i="55"/>
  <c r="Y126" i="55"/>
  <c r="Q126" i="55"/>
  <c r="U132" i="55"/>
  <c r="M132" i="55"/>
  <c r="U125" i="55"/>
  <c r="M125" i="55"/>
  <c r="U150" i="55"/>
  <c r="M150" i="55"/>
  <c r="AI155" i="55"/>
  <c r="U120" i="55"/>
  <c r="M120" i="55"/>
  <c r="BA156" i="55"/>
  <c r="BE138" i="55"/>
  <c r="BE160" i="55"/>
  <c r="Y159" i="55"/>
  <c r="Q159" i="55"/>
  <c r="U124" i="55"/>
  <c r="M124" i="55"/>
  <c r="BE141" i="55"/>
  <c r="Y93" i="55"/>
  <c r="Q93" i="55"/>
  <c r="BE102" i="55"/>
  <c r="BE125" i="55"/>
  <c r="Q89" i="55"/>
  <c r="AI142" i="55"/>
  <c r="AI127" i="55"/>
  <c r="AI105" i="55"/>
  <c r="BI114" i="55"/>
  <c r="BA114" i="55"/>
  <c r="AE109" i="55"/>
  <c r="BA124" i="55"/>
  <c r="Y114" i="55"/>
  <c r="Q114" i="55"/>
  <c r="U101" i="55"/>
  <c r="M101" i="55"/>
  <c r="Y98" i="55"/>
  <c r="Q98" i="55"/>
  <c r="Y118" i="55"/>
  <c r="Q118" i="55"/>
  <c r="AM150" i="55"/>
  <c r="BA147" i="55"/>
  <c r="AQ124" i="55"/>
  <c r="Y97" i="55"/>
  <c r="Q97" i="55"/>
  <c r="AQ121" i="55"/>
  <c r="BE156" i="55"/>
  <c r="U95" i="55"/>
  <c r="M95" i="55"/>
  <c r="AQ102" i="55"/>
  <c r="Y102" i="55"/>
  <c r="Q102" i="55"/>
  <c r="AQ120" i="55"/>
  <c r="AW98" i="55"/>
  <c r="BA137" i="55"/>
  <c r="AW156" i="55"/>
  <c r="AW114" i="55"/>
  <c r="AQ156" i="55"/>
  <c r="Y110" i="55"/>
  <c r="Q110" i="55"/>
  <c r="Y132" i="55"/>
  <c r="Q132" i="55"/>
  <c r="AW132" i="55"/>
  <c r="BI149" i="55"/>
  <c r="BA149" i="55"/>
  <c r="AM145" i="55"/>
  <c r="AM153" i="55"/>
  <c r="AM157" i="55"/>
  <c r="AI162" i="55"/>
  <c r="BI145" i="55"/>
  <c r="BA145" i="55"/>
  <c r="AE154" i="55"/>
  <c r="U159" i="55"/>
  <c r="M159" i="55"/>
  <c r="AE145" i="55"/>
  <c r="U144" i="55"/>
  <c r="M144" i="55"/>
  <c r="U147" i="55"/>
  <c r="M147" i="55"/>
  <c r="BI158" i="55"/>
  <c r="AE153" i="55"/>
  <c r="U102" i="55"/>
  <c r="M102" i="55"/>
  <c r="U106" i="55"/>
  <c r="M106" i="55"/>
  <c r="U110" i="55"/>
  <c r="M110" i="55"/>
  <c r="U114" i="55"/>
  <c r="M114" i="55"/>
  <c r="U118" i="55"/>
  <c r="M118" i="55"/>
  <c r="U122" i="55"/>
  <c r="M122" i="55"/>
  <c r="U126" i="55"/>
  <c r="M126" i="55"/>
  <c r="U130" i="55"/>
  <c r="M130" i="55"/>
  <c r="U134" i="55"/>
  <c r="M134" i="55"/>
  <c r="U138" i="55"/>
  <c r="M138" i="55"/>
  <c r="U142" i="55"/>
  <c r="M142" i="55"/>
  <c r="BA154" i="55"/>
  <c r="AE160" i="55"/>
  <c r="BA148" i="55"/>
  <c r="U141" i="55"/>
  <c r="M141" i="55"/>
  <c r="U98" i="55"/>
  <c r="M98" i="55"/>
  <c r="AQ158" i="55"/>
  <c r="AQ151" i="55"/>
  <c r="Y155" i="55"/>
  <c r="Q155" i="55"/>
  <c r="Y129" i="55"/>
  <c r="Q129" i="55"/>
  <c r="AW147" i="55"/>
  <c r="Y117" i="55"/>
  <c r="Q117" i="55"/>
  <c r="Y130" i="55"/>
  <c r="Q130" i="55"/>
  <c r="U105" i="55"/>
  <c r="M105" i="55"/>
  <c r="AI89" i="55"/>
  <c r="U121" i="55"/>
  <c r="M121" i="55"/>
  <c r="AE118" i="55"/>
  <c r="BE140" i="55"/>
  <c r="BI89" i="55"/>
  <c r="U135" i="55"/>
  <c r="M135" i="55"/>
  <c r="AM93" i="55"/>
  <c r="U111" i="55"/>
  <c r="M111" i="55"/>
  <c r="AW89" i="55"/>
  <c r="AE140" i="55"/>
  <c r="AE148" i="55"/>
  <c r="U129" i="55"/>
  <c r="M129" i="55"/>
  <c r="U90" i="55"/>
  <c r="M90" i="55"/>
  <c r="AM138" i="55"/>
  <c r="BA122" i="55"/>
  <c r="BA139" i="55"/>
  <c r="BE109" i="55"/>
  <c r="Y128" i="55"/>
  <c r="Q128" i="55"/>
  <c r="BE149" i="55"/>
  <c r="BA159" i="55"/>
  <c r="BA131" i="55"/>
  <c r="AW103" i="55"/>
  <c r="Y113" i="55"/>
  <c r="Q113" i="55"/>
  <c r="AI95" i="55"/>
  <c r="BE105" i="55"/>
  <c r="Y105" i="55"/>
  <c r="Q105" i="55"/>
  <c r="AW129" i="55"/>
  <c r="AQ115" i="55"/>
  <c r="U96" i="55"/>
  <c r="M96" i="55"/>
  <c r="BI127" i="55"/>
  <c r="AW91" i="55"/>
  <c r="AW111" i="55"/>
  <c r="AW121" i="55"/>
  <c r="AW133" i="55"/>
  <c r="BE100" i="55"/>
  <c r="AE95" i="55"/>
  <c r="BA100" i="55"/>
  <c r="AI107" i="55"/>
  <c r="BI146" i="55"/>
  <c r="BI147" i="55"/>
  <c r="R51" i="58"/>
  <c r="Q161" i="55"/>
  <c r="BE147" i="55"/>
  <c r="BI154" i="55"/>
  <c r="BI160" i="55"/>
  <c r="BI153" i="55"/>
  <c r="BA153" i="55"/>
  <c r="BE159" i="55"/>
  <c r="AW159" i="55"/>
  <c r="Y154" i="55"/>
  <c r="Q154" i="55"/>
  <c r="Y145" i="55"/>
  <c r="Q145" i="55"/>
  <c r="U148" i="55"/>
  <c r="M148" i="55"/>
  <c r="U151" i="55"/>
  <c r="M151" i="55"/>
  <c r="U157" i="55"/>
  <c r="M157" i="55"/>
  <c r="AE155" i="55"/>
  <c r="Y153" i="55"/>
  <c r="Q153" i="55"/>
  <c r="U158" i="55"/>
  <c r="M158" i="55"/>
  <c r="Y146" i="55"/>
  <c r="Q146" i="55"/>
  <c r="U149" i="55"/>
  <c r="M149" i="55"/>
  <c r="Y92" i="55"/>
  <c r="Q92" i="55"/>
  <c r="U128" i="55"/>
  <c r="M128" i="55"/>
  <c r="Y140" i="55"/>
  <c r="Q140" i="55"/>
  <c r="AW158" i="55"/>
  <c r="BE146" i="55"/>
  <c r="R50" i="58"/>
  <c r="Q143" i="55"/>
  <c r="AW144" i="55"/>
  <c r="AM148" i="55"/>
  <c r="AE156" i="55"/>
  <c r="AQ154" i="55"/>
  <c r="Y135" i="55"/>
  <c r="Q135" i="55"/>
  <c r="U115" i="55"/>
  <c r="M115" i="55"/>
  <c r="U119" i="55"/>
  <c r="M119" i="55"/>
  <c r="U139" i="55"/>
  <c r="M139" i="55"/>
  <c r="U109" i="55"/>
  <c r="M109" i="55"/>
  <c r="Y101" i="55"/>
  <c r="Q101" i="55"/>
  <c r="Y141" i="55"/>
  <c r="Q141" i="55"/>
  <c r="U89" i="55"/>
  <c r="M89" i="55"/>
  <c r="BI97" i="55"/>
  <c r="BE132" i="55"/>
  <c r="Y147" i="55"/>
  <c r="Q147" i="55"/>
  <c r="Y107" i="55"/>
  <c r="Q107" i="55"/>
  <c r="Y131" i="55"/>
  <c r="Q131" i="55"/>
  <c r="AE127" i="55"/>
  <c r="Y115" i="55"/>
  <c r="Q115" i="55"/>
  <c r="AW125" i="55"/>
  <c r="BA95" i="55"/>
  <c r="AE110" i="55"/>
  <c r="AE133" i="55"/>
  <c r="AM113" i="55"/>
  <c r="AM125" i="55"/>
  <c r="BA136" i="55"/>
  <c r="AM135" i="55"/>
  <c r="BA97" i="55"/>
  <c r="AE106" i="55"/>
  <c r="BE139" i="55"/>
  <c r="Y112" i="55"/>
  <c r="Q112" i="55"/>
  <c r="AE129" i="55"/>
  <c r="BE157" i="55"/>
  <c r="BA140" i="55"/>
  <c r="BA127" i="55"/>
  <c r="AW115" i="55"/>
  <c r="AE108" i="55"/>
  <c r="AI93" i="55"/>
  <c r="AM112" i="55"/>
  <c r="BI103" i="55"/>
  <c r="Y134" i="55"/>
  <c r="Q134" i="55"/>
  <c r="AW127" i="55"/>
  <c r="BA99" i="55"/>
  <c r="U92" i="55"/>
  <c r="BI119" i="55"/>
  <c r="BE119" i="55"/>
  <c r="AQ97" i="55"/>
  <c r="BA113" i="55"/>
  <c r="BA123" i="55"/>
  <c r="AM97" i="55"/>
  <c r="BA134" i="55"/>
  <c r="U103" i="55"/>
  <c r="Y100" i="55"/>
  <c r="BI116" i="55"/>
  <c r="BA118" i="55"/>
  <c r="Y94" i="55"/>
  <c r="Y109" i="55"/>
  <c r="BE117" i="55"/>
  <c r="BA109" i="55"/>
  <c r="BA150" i="55"/>
  <c r="AQ146" i="55"/>
  <c r="AW100" i="55"/>
  <c r="AW146" i="55"/>
  <c r="AM91" i="55"/>
  <c r="Y120" i="55"/>
  <c r="BI107" i="55"/>
  <c r="AM92" i="55"/>
  <c r="BE90" i="55"/>
  <c r="AW122" i="55"/>
  <c r="BA138" i="55"/>
  <c r="AE100" i="55"/>
  <c r="Y124" i="55"/>
  <c r="BA106" i="55"/>
  <c r="BI126" i="55"/>
  <c r="AQ92" i="55"/>
  <c r="BA135" i="55"/>
  <c r="AW141" i="55"/>
  <c r="AQ90" i="55"/>
  <c r="AE102" i="55"/>
  <c r="AW96" i="55"/>
  <c r="AQ136" i="55"/>
  <c r="BI121" i="55"/>
  <c r="AI139" i="55"/>
  <c r="BI94" i="55"/>
  <c r="BA101" i="55"/>
  <c r="AW139" i="55"/>
  <c r="Q94" i="55"/>
  <c r="Q124" i="55"/>
  <c r="AE131" i="55"/>
  <c r="BE134" i="55"/>
  <c r="BE94" i="55"/>
  <c r="AW124" i="55"/>
  <c r="AQ140" i="55"/>
  <c r="Y104" i="55"/>
  <c r="Y127" i="55"/>
  <c r="AQ109" i="55"/>
  <c r="BI112" i="55"/>
  <c r="AE107" i="55"/>
  <c r="BE131" i="55"/>
  <c r="AQ104" i="55"/>
  <c r="AW140" i="55"/>
  <c r="Y96" i="55"/>
  <c r="AW107" i="55"/>
  <c r="AI92" i="55"/>
  <c r="AI90" i="55"/>
  <c r="Q109" i="55"/>
  <c r="Y125" i="55"/>
  <c r="Q120" i="55"/>
  <c r="BA129" i="55"/>
  <c r="U94" i="55"/>
  <c r="AW102" i="55"/>
  <c r="AW130" i="55"/>
  <c r="AE93" i="55"/>
  <c r="AI117" i="55"/>
  <c r="AI141" i="55"/>
  <c r="AW123" i="55"/>
  <c r="BI130" i="55"/>
  <c r="BE126" i="55"/>
  <c r="BA103" i="55"/>
  <c r="BE93" i="55"/>
  <c r="AW118" i="55"/>
  <c r="BI98" i="55"/>
  <c r="AW95" i="55"/>
  <c r="AQ125" i="55"/>
  <c r="AE116" i="55"/>
  <c r="Y108" i="55"/>
  <c r="Y123" i="55"/>
  <c r="AW119" i="55"/>
  <c r="M103" i="55"/>
  <c r="Q100" i="55"/>
  <c r="M92" i="55"/>
  <c r="AW104" i="55"/>
  <c r="AW136" i="55"/>
  <c r="Y106" i="55"/>
  <c r="Y116" i="55"/>
  <c r="BA119" i="55"/>
  <c r="BA146" i="55"/>
  <c r="AW160" i="55"/>
  <c r="BA92" i="55"/>
  <c r="BA152" i="55"/>
  <c r="AQ160" i="55"/>
  <c r="AE119" i="55"/>
  <c r="Y136" i="55"/>
  <c r="AM102" i="55"/>
  <c r="BA130" i="55"/>
  <c r="BE106" i="55"/>
  <c r="AM103" i="55"/>
  <c r="AW110" i="55"/>
  <c r="AW134" i="55"/>
  <c r="AI97" i="55"/>
  <c r="Y121" i="55"/>
  <c r="AW137" i="55"/>
  <c r="AQ100" i="55"/>
  <c r="AQ129" i="55"/>
  <c r="AW117" i="55"/>
  <c r="BA96" i="55"/>
  <c r="AI103" i="55"/>
  <c r="AQ132" i="55"/>
  <c r="BI111" i="55"/>
  <c r="Y137" i="55"/>
  <c r="BI102" i="55"/>
  <c r="AW99" i="55"/>
  <c r="BA133" i="55"/>
  <c r="AE142" i="55"/>
  <c r="Q137" i="55"/>
  <c r="Y133" i="55"/>
  <c r="AQ106" i="55"/>
  <c r="AE113" i="55"/>
  <c r="Q127" i="55"/>
  <c r="Q108" i="55"/>
  <c r="R61" i="58"/>
  <c r="V61" i="58"/>
  <c r="T61" i="58"/>
  <c r="U71" i="55"/>
  <c r="AI215" i="58"/>
  <c r="T136" i="35"/>
  <c r="T482" i="35"/>
  <c r="T50" i="35"/>
  <c r="K164" i="35"/>
  <c r="AC84" i="58"/>
  <c r="BE211" i="61"/>
  <c r="AQ207" i="61"/>
  <c r="AE206" i="61"/>
  <c r="AM210" i="61"/>
  <c r="AW205" i="61"/>
  <c r="AM205" i="61"/>
  <c r="AE114" i="61"/>
  <c r="P145" i="58"/>
  <c r="P122" i="58"/>
  <c r="AI177" i="61"/>
  <c r="AQ181" i="61"/>
  <c r="AM177" i="61"/>
  <c r="BA196" i="61"/>
  <c r="BI156" i="61"/>
  <c r="AE193" i="61"/>
  <c r="AM141" i="61"/>
  <c r="BI155" i="61"/>
  <c r="BA180" i="61"/>
  <c r="BA160" i="61"/>
  <c r="AW159" i="61"/>
  <c r="AW143" i="61"/>
  <c r="Q113" i="61"/>
  <c r="AE211" i="61"/>
  <c r="U206" i="61"/>
  <c r="U209" i="61"/>
  <c r="AQ205" i="61"/>
  <c r="AW215" i="61"/>
  <c r="AM233" i="61"/>
  <c r="AM209" i="61"/>
  <c r="BE338" i="61"/>
  <c r="AW367" i="61"/>
  <c r="AM325" i="61"/>
  <c r="BA206" i="61"/>
  <c r="U205" i="61"/>
  <c r="R122" i="58"/>
  <c r="R145" i="58"/>
  <c r="V145" i="58"/>
  <c r="V122" i="58"/>
  <c r="Y210" i="61"/>
  <c r="AI206" i="61"/>
  <c r="Q206" i="61"/>
  <c r="M211" i="61"/>
  <c r="BE153" i="61"/>
  <c r="AW199" i="61"/>
  <c r="BA217" i="61"/>
  <c r="BE234" i="61"/>
  <c r="BI210" i="61"/>
  <c r="AI189" i="61"/>
  <c r="AI161" i="61"/>
  <c r="AW191" i="61"/>
  <c r="AQ172" i="61"/>
  <c r="AW135" i="61"/>
  <c r="AM132" i="61"/>
  <c r="BI125" i="61"/>
  <c r="AQ286" i="61"/>
  <c r="M208" i="61"/>
  <c r="M206" i="61"/>
  <c r="AW211" i="61"/>
  <c r="AI211" i="61"/>
  <c r="AM207" i="61"/>
  <c r="AW206" i="61"/>
  <c r="Y205" i="61"/>
  <c r="T122" i="58"/>
  <c r="T145" i="58"/>
  <c r="U210" i="61"/>
  <c r="BI207" i="61"/>
  <c r="Y209" i="61"/>
  <c r="Q211" i="61"/>
  <c r="M209" i="61"/>
  <c r="AM126" i="61"/>
  <c r="AM174" i="61"/>
  <c r="U120" i="61"/>
  <c r="U128" i="61"/>
  <c r="BI120" i="61"/>
  <c r="Y148" i="61"/>
  <c r="BE182" i="61"/>
  <c r="BA154" i="61"/>
  <c r="AQ199" i="61"/>
  <c r="BI211" i="61"/>
  <c r="BA210" i="61"/>
  <c r="AM319" i="61"/>
  <c r="BE310" i="61"/>
  <c r="BA367" i="61"/>
  <c r="Q207" i="61"/>
  <c r="M207" i="61"/>
  <c r="AQ290" i="61"/>
  <c r="M205" i="61"/>
  <c r="Q210" i="61"/>
  <c r="AE240" i="61"/>
  <c r="BE262" i="61"/>
  <c r="BA261" i="61"/>
  <c r="AM240" i="61"/>
  <c r="AW245" i="61"/>
  <c r="BA259" i="61"/>
  <c r="BA246" i="61"/>
  <c r="BA256" i="61"/>
  <c r="BA258" i="61"/>
  <c r="Y238" i="61"/>
  <c r="R146" i="58"/>
  <c r="R123" i="58"/>
  <c r="AI257" i="61"/>
  <c r="AI246" i="61"/>
  <c r="AM243" i="61"/>
  <c r="BE248" i="61"/>
  <c r="AW240" i="61"/>
  <c r="AW256" i="61"/>
  <c r="AE250" i="61"/>
  <c r="AE245" i="61"/>
  <c r="AM256" i="61"/>
  <c r="BI261" i="61"/>
  <c r="AI248" i="61"/>
  <c r="U243" i="61"/>
  <c r="AE246" i="61"/>
  <c r="AW238" i="61"/>
  <c r="BI265" i="61"/>
  <c r="AE254" i="61"/>
  <c r="M249" i="61"/>
  <c r="Q259" i="61"/>
  <c r="AM260" i="61"/>
  <c r="M239" i="61"/>
  <c r="M251" i="61"/>
  <c r="M243" i="61"/>
  <c r="M258" i="61"/>
  <c r="AW255" i="61"/>
  <c r="AI250" i="61"/>
  <c r="AE238" i="61"/>
  <c r="T146" i="58"/>
  <c r="T123" i="58"/>
  <c r="AI260" i="61"/>
  <c r="V149" i="58"/>
  <c r="AW243" i="61"/>
  <c r="AW251" i="61"/>
  <c r="AI241" i="61"/>
  <c r="AQ239" i="61"/>
  <c r="AE243" i="61"/>
  <c r="BA264" i="61"/>
  <c r="AE241" i="61"/>
  <c r="BA248" i="61"/>
  <c r="Y241" i="61"/>
  <c r="Y244" i="61"/>
  <c r="Y257" i="61"/>
  <c r="AE249" i="61"/>
  <c r="AM261" i="61"/>
  <c r="AM266" i="61"/>
  <c r="Y254" i="61"/>
  <c r="BI239" i="61"/>
  <c r="Q255" i="61"/>
  <c r="AM238" i="61"/>
  <c r="BE239" i="61"/>
  <c r="Q251" i="61"/>
  <c r="Q248" i="61"/>
  <c r="M260" i="61"/>
  <c r="M240" i="61"/>
  <c r="Q257" i="61"/>
  <c r="BI245" i="61"/>
  <c r="BE249" i="61"/>
  <c r="BI251" i="61"/>
  <c r="BE253" i="61"/>
  <c r="BI255" i="61"/>
  <c r="BE257" i="61"/>
  <c r="BI259" i="61"/>
  <c r="AM245" i="61"/>
  <c r="AM249" i="61"/>
  <c r="BA255" i="61"/>
  <c r="AW242" i="61"/>
  <c r="AW254" i="61"/>
  <c r="AW257" i="61"/>
  <c r="AW244" i="61"/>
  <c r="AW250" i="61"/>
  <c r="AQ259" i="61"/>
  <c r="AQ246" i="61"/>
  <c r="AW253" i="61"/>
  <c r="AQ258" i="61"/>
  <c r="Y252" i="61"/>
  <c r="Y256" i="61"/>
  <c r="AE255" i="61"/>
  <c r="AE259" i="61"/>
  <c r="AI254" i="61"/>
  <c r="Y262" i="61"/>
  <c r="U261" i="61"/>
  <c r="U264" i="61"/>
  <c r="U263" i="61"/>
  <c r="U266" i="61"/>
  <c r="AI238" i="61"/>
  <c r="V146" i="58"/>
  <c r="V123" i="58"/>
  <c r="AE260" i="61"/>
  <c r="T149" i="58"/>
  <c r="AI249" i="61"/>
  <c r="AM248" i="61"/>
  <c r="AQ243" i="61"/>
  <c r="AQ248" i="61"/>
  <c r="AI245" i="61"/>
  <c r="AM262" i="61"/>
  <c r="AE253" i="61"/>
  <c r="BA240" i="61"/>
  <c r="AE258" i="61"/>
  <c r="AQ256" i="61"/>
  <c r="U241" i="61"/>
  <c r="Y258" i="61"/>
  <c r="Y250" i="61"/>
  <c r="BE261" i="61"/>
  <c r="AM263" i="61"/>
  <c r="AE244" i="61"/>
  <c r="U246" i="61"/>
  <c r="BE260" i="61"/>
  <c r="AE239" i="61"/>
  <c r="AW252" i="61"/>
  <c r="AQ252" i="61"/>
  <c r="BI260" i="61"/>
  <c r="AQ260" i="61"/>
  <c r="BE265" i="61"/>
  <c r="M254" i="61"/>
  <c r="M261" i="61"/>
  <c r="M259" i="61"/>
  <c r="Q254" i="61"/>
  <c r="Q262" i="61"/>
  <c r="Q245" i="61"/>
  <c r="M252" i="61"/>
  <c r="M246" i="61"/>
  <c r="M256" i="61"/>
  <c r="M263" i="61"/>
  <c r="Q244" i="61"/>
  <c r="M265" i="61"/>
  <c r="Q252" i="61"/>
  <c r="M255" i="61"/>
  <c r="Q238" i="61"/>
  <c r="Q240" i="61"/>
  <c r="Q263" i="61"/>
  <c r="BI249" i="61"/>
  <c r="BI253" i="61"/>
  <c r="BI257" i="61"/>
  <c r="AQ245" i="61"/>
  <c r="AQ249" i="61"/>
  <c r="AM255" i="61"/>
  <c r="BE242" i="61"/>
  <c r="BA242" i="61"/>
  <c r="BA252" i="61"/>
  <c r="BA254" i="61"/>
  <c r="BA257" i="61"/>
  <c r="BA244" i="61"/>
  <c r="BA250" i="61"/>
  <c r="AW259" i="61"/>
  <c r="AW246" i="61"/>
  <c r="BA253" i="61"/>
  <c r="AW258" i="61"/>
  <c r="BI238" i="61"/>
  <c r="AI255" i="61"/>
  <c r="AI259" i="61"/>
  <c r="AI258" i="61"/>
  <c r="U262" i="61"/>
  <c r="Y261" i="61"/>
  <c r="Y264" i="61"/>
  <c r="Y266" i="61"/>
  <c r="U238" i="61"/>
  <c r="Y260" i="61"/>
  <c r="R149" i="58"/>
  <c r="Y265" i="61"/>
  <c r="AI253" i="61"/>
  <c r="AM251" i="61"/>
  <c r="AI242" i="61"/>
  <c r="BA251" i="61"/>
  <c r="AQ251" i="61"/>
  <c r="AM239" i="61"/>
  <c r="AM265" i="61"/>
  <c r="AQ264" i="61"/>
  <c r="Y249" i="61"/>
  <c r="BI240" i="61"/>
  <c r="AI239" i="61"/>
  <c r="U250" i="61"/>
  <c r="AE248" i="61"/>
  <c r="U248" i="61"/>
  <c r="U245" i="61"/>
  <c r="Y253" i="61"/>
  <c r="AQ263" i="61"/>
  <c r="AI243" i="61"/>
  <c r="U253" i="61"/>
  <c r="AE242" i="61"/>
  <c r="AQ261" i="61"/>
  <c r="AE257" i="61"/>
  <c r="AW260" i="61"/>
  <c r="BE264" i="61"/>
  <c r="BA266" i="61"/>
  <c r="Q253" i="61"/>
  <c r="Q265" i="61"/>
  <c r="M242" i="61"/>
  <c r="M257" i="61"/>
  <c r="Y246" i="61"/>
  <c r="Q250" i="61"/>
  <c r="Q239" i="61"/>
  <c r="Q256" i="61"/>
  <c r="Q243" i="61"/>
  <c r="M244" i="61"/>
  <c r="M248" i="61"/>
  <c r="AE94" i="62"/>
  <c r="BE328" i="62"/>
  <c r="AQ386" i="62"/>
  <c r="AE209" i="62"/>
  <c r="BE205" i="62"/>
  <c r="BA45" i="62"/>
  <c r="AI53" i="62"/>
  <c r="Q385" i="62"/>
  <c r="AE107" i="62"/>
  <c r="BA16" i="62"/>
  <c r="AQ43" i="62"/>
  <c r="AI361" i="62"/>
  <c r="AE362" i="62"/>
  <c r="AM364" i="62"/>
  <c r="AM361" i="62"/>
  <c r="AM338" i="62"/>
  <c r="AI341" i="62"/>
  <c r="AM378" i="62"/>
  <c r="AE342" i="62"/>
  <c r="BI342" i="62"/>
  <c r="BE335" i="62"/>
  <c r="AI338" i="62"/>
  <c r="U338" i="62"/>
  <c r="AI84" i="62"/>
  <c r="BI59" i="62"/>
  <c r="BE362" i="62"/>
  <c r="AM329" i="62"/>
  <c r="BA353" i="62"/>
  <c r="Y335" i="62"/>
  <c r="BI366" i="62"/>
  <c r="BA46" i="62"/>
  <c r="BI29" i="62"/>
  <c r="AQ30" i="62"/>
  <c r="BA28" i="62"/>
  <c r="AE83" i="62"/>
  <c r="AW10" i="62"/>
  <c r="BI54" i="62"/>
  <c r="BI66" i="62"/>
  <c r="BI95" i="62"/>
  <c r="AI346" i="62"/>
  <c r="AM369" i="62"/>
  <c r="AM357" i="62"/>
  <c r="BE357" i="62"/>
  <c r="AI348" i="62"/>
  <c r="BA378" i="62"/>
  <c r="AI384" i="62"/>
  <c r="BI388" i="62"/>
  <c r="AM330" i="62"/>
  <c r="BI336" i="62"/>
  <c r="BI362" i="62"/>
  <c r="AI333" i="62"/>
  <c r="AE336" i="62"/>
  <c r="BI369" i="62"/>
  <c r="BE360" i="62"/>
  <c r="M300" i="62"/>
  <c r="M339" i="62"/>
  <c r="BI329" i="62"/>
  <c r="BI335" i="62"/>
  <c r="AE337" i="62"/>
  <c r="AE334" i="62"/>
  <c r="BI327" i="62"/>
  <c r="S197" i="35"/>
  <c r="K197" i="35"/>
  <c r="H216" i="62" a="1"/>
  <c r="H216" i="62"/>
  <c r="AQ207" i="62"/>
  <c r="AI305" i="62"/>
  <c r="BE209" i="62"/>
  <c r="BI207" i="62"/>
  <c r="U344" i="62"/>
  <c r="BE342" i="62"/>
  <c r="AW379" i="62"/>
  <c r="AW208" i="62"/>
  <c r="AI45" i="62"/>
  <c r="AE360" i="62"/>
  <c r="BI78" i="62"/>
  <c r="AE108" i="62"/>
  <c r="BE46" i="62"/>
  <c r="Y89" i="62"/>
  <c r="BE57" i="62"/>
  <c r="AW11" i="62"/>
  <c r="AM17" i="62"/>
  <c r="AM35" i="62"/>
  <c r="AW4" i="62"/>
  <c r="AQ100" i="62"/>
  <c r="AQ55" i="62"/>
  <c r="AM61" i="62"/>
  <c r="AW77" i="62"/>
  <c r="BA32" i="62"/>
  <c r="AW24" i="62"/>
  <c r="AI23" i="62"/>
  <c r="BA379" i="62"/>
  <c r="AQ317" i="62"/>
  <c r="BE305" i="62"/>
  <c r="AM311" i="62"/>
  <c r="AM316" i="62"/>
  <c r="AE210" i="62"/>
  <c r="AM377" i="62"/>
  <c r="AM385" i="62"/>
  <c r="BA298" i="62"/>
  <c r="BE211" i="62"/>
  <c r="BI37" i="62"/>
  <c r="BI24" i="62"/>
  <c r="BA14" i="62"/>
  <c r="BA22" i="62"/>
  <c r="AM29" i="62"/>
  <c r="AQ40" i="62"/>
  <c r="BA94" i="62"/>
  <c r="AW96" i="62"/>
  <c r="AW12" i="62"/>
  <c r="BA99" i="62"/>
  <c r="AW80" i="62"/>
  <c r="AW51" i="62"/>
  <c r="AI68" i="62"/>
  <c r="AI44" i="62"/>
  <c r="BI87" i="62"/>
  <c r="AW28" i="62"/>
  <c r="BA93" i="62"/>
  <c r="AQ38" i="62"/>
  <c r="BE108" i="62"/>
  <c r="AI37" i="62"/>
  <c r="BA340" i="62"/>
  <c r="AM362" i="62"/>
  <c r="BE384" i="62"/>
  <c r="BI326" i="62"/>
  <c r="AM302" i="62"/>
  <c r="AM303" i="62"/>
  <c r="AQ18" i="62"/>
  <c r="AW44" i="62"/>
  <c r="BI108" i="62"/>
  <c r="BI89" i="62"/>
  <c r="Y331" i="62"/>
  <c r="BE382" i="62"/>
  <c r="AW348" i="62"/>
  <c r="AM346" i="62"/>
  <c r="AW345" i="62"/>
  <c r="AW343" i="62"/>
  <c r="BI206" i="62"/>
  <c r="BI321" i="62"/>
  <c r="AQ301" i="62"/>
  <c r="AQ298" i="62"/>
  <c r="BI298" i="62"/>
  <c r="BA12" i="62"/>
  <c r="BE207" i="62"/>
  <c r="BE338" i="62"/>
  <c r="AQ312" i="62"/>
  <c r="BA357" i="62"/>
  <c r="BA333" i="62"/>
  <c r="U358" i="62"/>
  <c r="AQ364" i="62"/>
  <c r="BI376" i="62"/>
  <c r="Y381" i="62"/>
  <c r="AW390" i="62"/>
  <c r="BE374" i="62"/>
  <c r="AM208" i="62"/>
  <c r="AQ360" i="62"/>
  <c r="AM381" i="62"/>
  <c r="BI311" i="62"/>
  <c r="AW308" i="62"/>
  <c r="BA309" i="62"/>
  <c r="AI304" i="62"/>
  <c r="BA302" i="62"/>
  <c r="AQ307" i="62"/>
  <c r="AI297" i="62"/>
  <c r="U388" i="62"/>
  <c r="AM342" i="62"/>
  <c r="U329" i="62"/>
  <c r="AQ316" i="62"/>
  <c r="BA206" i="62"/>
  <c r="T198" i="58"/>
  <c r="U301" i="62"/>
  <c r="M301" i="62"/>
  <c r="U298" i="62"/>
  <c r="M298" i="62"/>
  <c r="Y309" i="62"/>
  <c r="Q309" i="62"/>
  <c r="U307" i="62"/>
  <c r="M307" i="62"/>
  <c r="T199" i="58"/>
  <c r="P199" i="58"/>
  <c r="M102" i="62"/>
  <c r="Y314" i="62"/>
  <c r="Q314" i="62"/>
  <c r="Y306" i="62"/>
  <c r="Q306" i="62"/>
  <c r="BA335" i="62"/>
  <c r="AQ335" i="62"/>
  <c r="BE302" i="62"/>
  <c r="AQ300" i="62"/>
  <c r="AQ304" i="62"/>
  <c r="AM308" i="62"/>
  <c r="BI309" i="62"/>
  <c r="AQ297" i="62"/>
  <c r="AQ309" i="62"/>
  <c r="AE308" i="62"/>
  <c r="BE317" i="62"/>
  <c r="AW302" i="62"/>
  <c r="AQ306" i="62"/>
  <c r="BI314" i="62"/>
  <c r="BA307" i="62"/>
  <c r="AI303" i="62"/>
  <c r="BI12" i="62"/>
  <c r="AI207" i="62"/>
  <c r="BI208" i="62"/>
  <c r="AM209" i="62"/>
  <c r="Y103" i="62"/>
  <c r="Q103" i="62"/>
  <c r="AQ29" i="62"/>
  <c r="BE81" i="62"/>
  <c r="AQ63" i="62"/>
  <c r="AW103" i="62"/>
  <c r="AW55" i="62"/>
  <c r="AI109" i="62"/>
  <c r="BE109" i="62"/>
  <c r="AQ36" i="62"/>
  <c r="AW23" i="62"/>
  <c r="BA79" i="62"/>
  <c r="AM78" i="62"/>
  <c r="AW7" i="62"/>
  <c r="AQ27" i="62"/>
  <c r="AI9" i="62"/>
  <c r="AE91" i="62"/>
  <c r="BA107" i="62"/>
  <c r="AW93" i="62"/>
  <c r="AM57" i="62"/>
  <c r="AI13" i="62"/>
  <c r="AI31" i="62"/>
  <c r="AW97" i="62"/>
  <c r="BI105" i="62"/>
  <c r="AI306" i="62"/>
  <c r="AW310" i="62"/>
  <c r="BA317" i="62"/>
  <c r="AW311" i="62"/>
  <c r="Y300" i="62"/>
  <c r="Q300" i="62"/>
  <c r="Y297" i="62"/>
  <c r="Q297" i="62"/>
  <c r="AI308" i="62"/>
  <c r="AW316" i="62"/>
  <c r="Y328" i="62"/>
  <c r="Q328" i="62"/>
  <c r="Y336" i="62"/>
  <c r="Q336" i="62"/>
  <c r="Y347" i="62"/>
  <c r="Q347" i="62"/>
  <c r="U347" i="62"/>
  <c r="M347" i="62"/>
  <c r="AQ337" i="62"/>
  <c r="U348" i="62"/>
  <c r="M348" i="62"/>
  <c r="Y352" i="62"/>
  <c r="Q352" i="62"/>
  <c r="BA341" i="62"/>
  <c r="Y349" i="62"/>
  <c r="AQ329" i="62"/>
  <c r="Y348" i="62"/>
  <c r="Q348" i="62"/>
  <c r="BE356" i="62"/>
  <c r="BE386" i="62"/>
  <c r="BI383" i="62"/>
  <c r="BE385" i="62"/>
  <c r="AW378" i="62"/>
  <c r="AM207" i="62"/>
  <c r="U210" i="62"/>
  <c r="M210" i="62"/>
  <c r="Y207" i="62"/>
  <c r="Q207" i="62"/>
  <c r="Y211" i="62"/>
  <c r="Q211" i="62"/>
  <c r="P267" i="58"/>
  <c r="P228" i="58"/>
  <c r="P208" i="58"/>
  <c r="P189" i="58"/>
  <c r="P257" i="58"/>
  <c r="P218" i="58"/>
  <c r="P179" i="58"/>
  <c r="M313" i="62"/>
  <c r="U315" i="62"/>
  <c r="M315" i="62"/>
  <c r="U305" i="62"/>
  <c r="M305" i="62"/>
  <c r="U103" i="62"/>
  <c r="M103" i="62"/>
  <c r="Y298" i="62"/>
  <c r="Q298" i="62"/>
  <c r="Y108" i="62"/>
  <c r="Q108" i="62"/>
  <c r="U302" i="62"/>
  <c r="M302" i="62"/>
  <c r="P266" i="58"/>
  <c r="P169" i="58"/>
  <c r="P256" i="58"/>
  <c r="P227" i="58"/>
  <c r="P207" i="58"/>
  <c r="P188" i="58"/>
  <c r="P247" i="58"/>
  <c r="P237" i="58"/>
  <c r="P217" i="58"/>
  <c r="P178" i="58"/>
  <c r="M296" i="62"/>
  <c r="Y106" i="62"/>
  <c r="Q106" i="62"/>
  <c r="U314" i="62"/>
  <c r="M314" i="62"/>
  <c r="Y311" i="62"/>
  <c r="Q311" i="62"/>
  <c r="U105" i="62"/>
  <c r="M105" i="62"/>
  <c r="U310" i="62"/>
  <c r="M310" i="62"/>
  <c r="AW383" i="62"/>
  <c r="AM383" i="62"/>
  <c r="AW387" i="62"/>
  <c r="AM387" i="62"/>
  <c r="Y332" i="62"/>
  <c r="Q332" i="62"/>
  <c r="Q310" i="62"/>
  <c r="AQ299" i="62"/>
  <c r="AI299" i="62"/>
  <c r="U209" i="62"/>
  <c r="BE129" i="62"/>
  <c r="Y107" i="62"/>
  <c r="Q107" i="62"/>
  <c r="AM106" i="62"/>
  <c r="AI103" i="62"/>
  <c r="V199" i="58"/>
  <c r="Y105" i="62"/>
  <c r="Q105" i="62"/>
  <c r="AW107" i="62"/>
  <c r="AW70" i="62"/>
  <c r="BI102" i="62"/>
  <c r="AM91" i="62"/>
  <c r="BE106" i="62"/>
  <c r="AM27" i="62"/>
  <c r="AW67" i="62"/>
  <c r="BE80" i="62"/>
  <c r="AM105" i="62"/>
  <c r="AW109" i="62"/>
  <c r="AM79" i="62"/>
  <c r="AM107" i="62"/>
  <c r="AI105" i="62"/>
  <c r="BA19" i="62"/>
  <c r="AQ106" i="62"/>
  <c r="AI106" i="62"/>
  <c r="AM104" i="62"/>
  <c r="AW312" i="62"/>
  <c r="AE316" i="62"/>
  <c r="AM312" i="62"/>
  <c r="BA311" i="62"/>
  <c r="Y304" i="62"/>
  <c r="Q304" i="62"/>
  <c r="Y301" i="62"/>
  <c r="Q301" i="62"/>
  <c r="BE307" i="62"/>
  <c r="BE304" i="62"/>
  <c r="BI308" i="62"/>
  <c r="Y350" i="62"/>
  <c r="Q350" i="62"/>
  <c r="Y354" i="62"/>
  <c r="Q354" i="62"/>
  <c r="U364" i="62"/>
  <c r="Y351" i="62"/>
  <c r="U355" i="62"/>
  <c r="M355" i="62"/>
  <c r="AW350" i="62"/>
  <c r="BI339" i="62"/>
  <c r="AQ339" i="62"/>
  <c r="AQ352" i="62"/>
  <c r="AI354" i="62"/>
  <c r="AW328" i="62"/>
  <c r="U357" i="62"/>
  <c r="M357" i="62"/>
  <c r="Y345" i="62"/>
  <c r="Q345" i="62"/>
  <c r="BE388" i="62"/>
  <c r="U387" i="62"/>
  <c r="M387" i="62"/>
  <c r="AW382" i="62"/>
  <c r="U378" i="62"/>
  <c r="M378" i="62"/>
  <c r="BE380" i="62"/>
  <c r="Y390" i="62"/>
  <c r="Q390" i="62"/>
  <c r="U386" i="62"/>
  <c r="M386" i="62"/>
  <c r="AE390" i="62"/>
  <c r="Y382" i="62"/>
  <c r="Q382" i="62"/>
  <c r="AW386" i="62"/>
  <c r="AI378" i="62"/>
  <c r="U211" i="62"/>
  <c r="M211" i="62"/>
  <c r="Y210" i="62"/>
  <c r="Q210" i="62"/>
  <c r="U207" i="62"/>
  <c r="M207" i="62"/>
  <c r="U317" i="62"/>
  <c r="M317" i="62"/>
  <c r="Y299" i="62"/>
  <c r="Q299" i="62"/>
  <c r="U309" i="62"/>
  <c r="M309" i="62"/>
  <c r="U316" i="62"/>
  <c r="M316" i="62"/>
  <c r="Y303" i="62"/>
  <c r="Q303" i="62"/>
  <c r="Y302" i="62"/>
  <c r="Q302" i="62"/>
  <c r="U107" i="62"/>
  <c r="M107" i="62"/>
  <c r="R256" i="58"/>
  <c r="R237" i="58"/>
  <c r="R217" i="58"/>
  <c r="R178" i="58"/>
  <c r="R247" i="58"/>
  <c r="R169" i="58"/>
  <c r="R266" i="58"/>
  <c r="R227" i="58"/>
  <c r="R207" i="58"/>
  <c r="R188" i="58"/>
  <c r="Q296" i="62"/>
  <c r="U311" i="62"/>
  <c r="M311" i="62"/>
  <c r="BE376" i="62"/>
  <c r="R530" i="58"/>
  <c r="Q373" i="62"/>
  <c r="BI332" i="62"/>
  <c r="BA332" i="62"/>
  <c r="Y377" i="62"/>
  <c r="Q377" i="62"/>
  <c r="BE311" i="62"/>
  <c r="AM304" i="62"/>
  <c r="AW321" i="62"/>
  <c r="AM297" i="62"/>
  <c r="AM301" i="62"/>
  <c r="AW309" i="62"/>
  <c r="AI300" i="62"/>
  <c r="BI317" i="62"/>
  <c r="AW298" i="62"/>
  <c r="AM306" i="62"/>
  <c r="AM307" i="62"/>
  <c r="AI301" i="62"/>
  <c r="BE63" i="62"/>
  <c r="AQ209" i="62"/>
  <c r="R199" i="58"/>
  <c r="Q102" i="62"/>
  <c r="Y109" i="62"/>
  <c r="Q109" i="62"/>
  <c r="AE106" i="62"/>
  <c r="U106" i="62"/>
  <c r="AW8" i="62"/>
  <c r="U108" i="62"/>
  <c r="M108" i="62"/>
  <c r="BE107" i="62"/>
  <c r="BE103" i="62"/>
  <c r="AW83" i="62"/>
  <c r="AI107" i="62"/>
  <c r="U104" i="62"/>
  <c r="M104" i="62"/>
  <c r="BE105" i="62"/>
  <c r="BA106" i="62"/>
  <c r="BI107" i="62"/>
  <c r="BA104" i="62"/>
  <c r="AQ108" i="62"/>
  <c r="AI108" i="62"/>
  <c r="R267" i="58"/>
  <c r="R228" i="58"/>
  <c r="R208" i="58"/>
  <c r="R189" i="58"/>
  <c r="R257" i="58"/>
  <c r="R238" i="58"/>
  <c r="R218" i="58"/>
  <c r="R179" i="58"/>
  <c r="Q313" i="62"/>
  <c r="U299" i="62"/>
  <c r="M299" i="62"/>
  <c r="U312" i="62"/>
  <c r="M312" i="62"/>
  <c r="AI309" i="62"/>
  <c r="BA315" i="62"/>
  <c r="V266" i="58"/>
  <c r="V227" i="58"/>
  <c r="V207" i="58"/>
  <c r="V188" i="58"/>
  <c r="V256" i="58"/>
  <c r="V237" i="58"/>
  <c r="V217" i="58"/>
  <c r="V178" i="58"/>
  <c r="V247" i="58"/>
  <c r="V169" i="58"/>
  <c r="Y308" i="62"/>
  <c r="Q308" i="62"/>
  <c r="Y305" i="62"/>
  <c r="Q305" i="62"/>
  <c r="BI354" i="62"/>
  <c r="BA354" i="62"/>
  <c r="Y342" i="62"/>
  <c r="Q342" i="62"/>
  <c r="Y341" i="62"/>
  <c r="Q341" i="62"/>
  <c r="U341" i="62"/>
  <c r="M341" i="62"/>
  <c r="U352" i="62"/>
  <c r="M352" i="62"/>
  <c r="BI368" i="62"/>
  <c r="AQ366" i="62"/>
  <c r="AM353" i="62"/>
  <c r="Y353" i="62"/>
  <c r="Q353" i="62"/>
  <c r="AW336" i="62"/>
  <c r="AQ363" i="62"/>
  <c r="U340" i="62"/>
  <c r="M340" i="62"/>
  <c r="Y340" i="62"/>
  <c r="Q340" i="62"/>
  <c r="U345" i="62"/>
  <c r="M345" i="62"/>
  <c r="AI350" i="62"/>
  <c r="AM326" i="62"/>
  <c r="U333" i="62"/>
  <c r="M333" i="62"/>
  <c r="U337" i="62"/>
  <c r="M337" i="62"/>
  <c r="BE373" i="62"/>
  <c r="AQ378" i="62"/>
  <c r="AI377" i="62"/>
  <c r="Y384" i="62"/>
  <c r="Q384" i="62"/>
  <c r="AM375" i="62"/>
  <c r="U385" i="62"/>
  <c r="M385" i="62"/>
  <c r="AE207" i="62"/>
  <c r="Y209" i="62"/>
  <c r="Q209" i="62"/>
  <c r="Y208" i="62"/>
  <c r="Q208" i="62"/>
  <c r="AQ206" i="62"/>
  <c r="AM206" i="62"/>
  <c r="Y206" i="62"/>
  <c r="Q206" i="62"/>
  <c r="U208" i="62"/>
  <c r="M208" i="62"/>
  <c r="U297" i="62"/>
  <c r="M297" i="62"/>
  <c r="Y316" i="62"/>
  <c r="Q316" i="62"/>
  <c r="U303" i="62"/>
  <c r="M303" i="62"/>
  <c r="U109" i="62"/>
  <c r="M109" i="62"/>
  <c r="Y307" i="62"/>
  <c r="Q307" i="62"/>
  <c r="U306" i="62"/>
  <c r="M306" i="62"/>
  <c r="Y104" i="62"/>
  <c r="Q104" i="62"/>
  <c r="BI302" i="62"/>
  <c r="AM300" i="62"/>
  <c r="AQ305" i="62"/>
  <c r="AQ302" i="62"/>
  <c r="V257" i="58"/>
  <c r="V238" i="58"/>
  <c r="V218" i="58"/>
  <c r="V179" i="58"/>
  <c r="V267" i="58"/>
  <c r="V228" i="58"/>
  <c r="V208" i="58"/>
  <c r="V189" i="58"/>
  <c r="AQ303" i="62"/>
  <c r="AE309" i="62"/>
  <c r="AQ211" i="62"/>
  <c r="AM211" i="62"/>
  <c r="AI104" i="62"/>
  <c r="BI28" i="62"/>
  <c r="AM62" i="62"/>
  <c r="BE95" i="62"/>
  <c r="AI48" i="62"/>
  <c r="BI106" i="62"/>
  <c r="AM40" i="62"/>
  <c r="AI47" i="62"/>
  <c r="AE84" i="62"/>
  <c r="AW90" i="62"/>
  <c r="AM108" i="62"/>
  <c r="U304" i="62"/>
  <c r="M304" i="62"/>
  <c r="AI310" i="62"/>
  <c r="AI307" i="62"/>
  <c r="AW314" i="62"/>
  <c r="AW317" i="62"/>
  <c r="AQ315" i="62"/>
  <c r="T257" i="58"/>
  <c r="T238" i="58"/>
  <c r="T218" i="58"/>
  <c r="T179" i="58"/>
  <c r="T267" i="58"/>
  <c r="T228" i="58"/>
  <c r="T208" i="58"/>
  <c r="T189" i="58"/>
  <c r="Y312" i="62"/>
  <c r="Q312" i="62"/>
  <c r="AE315" i="62"/>
  <c r="BI304" i="62"/>
  <c r="AW326" i="62"/>
  <c r="U363" i="62"/>
  <c r="Y364" i="62"/>
  <c r="U365" i="62"/>
  <c r="AQ345" i="62"/>
  <c r="U343" i="62"/>
  <c r="M343" i="62"/>
  <c r="Y369" i="62"/>
  <c r="Y355" i="62"/>
  <c r="Q355" i="62"/>
  <c r="AQ350" i="62"/>
  <c r="Y330" i="62"/>
  <c r="Q330" i="62"/>
  <c r="AW363" i="62"/>
  <c r="AM366" i="62"/>
  <c r="Y366" i="62"/>
  <c r="U353" i="62"/>
  <c r="M353" i="62"/>
  <c r="BI343" i="62"/>
  <c r="BA331" i="62"/>
  <c r="AM339" i="62"/>
  <c r="AM365" i="62"/>
  <c r="Y357" i="62"/>
  <c r="Q357" i="62"/>
  <c r="U350" i="62"/>
  <c r="M350" i="62"/>
  <c r="BA328" i="62"/>
  <c r="U354" i="62"/>
  <c r="M354" i="62"/>
  <c r="AE343" i="62"/>
  <c r="AI352" i="62"/>
  <c r="AI328" i="62"/>
  <c r="AE332" i="62"/>
  <c r="AI387" i="62"/>
  <c r="AM382" i="62"/>
  <c r="Y376" i="62"/>
  <c r="Q376" i="62"/>
  <c r="U384" i="62"/>
  <c r="M384" i="62"/>
  <c r="Y387" i="62"/>
  <c r="Q387" i="62"/>
  <c r="AI389" i="62"/>
  <c r="Y389" i="62"/>
  <c r="Q389" i="62"/>
  <c r="AI391" i="62"/>
  <c r="AE382" i="62"/>
  <c r="BI384" i="62"/>
  <c r="Y388" i="62"/>
  <c r="Q388" i="62"/>
  <c r="AM386" i="62"/>
  <c r="U379" i="62"/>
  <c r="M379" i="62"/>
  <c r="AW388" i="62"/>
  <c r="AI381" i="62"/>
  <c r="BI390" i="62"/>
  <c r="Y378" i="62"/>
  <c r="BI340" i="62"/>
  <c r="BE348" i="62"/>
  <c r="AQ330" i="62"/>
  <c r="Y333" i="62"/>
  <c r="AQ336" i="62"/>
  <c r="BA109" i="62"/>
  <c r="AI382" i="62"/>
  <c r="U342" i="62"/>
  <c r="BA208" i="62"/>
  <c r="U377" i="62"/>
  <c r="AW332" i="62"/>
  <c r="BA316" i="62"/>
  <c r="U335" i="62"/>
  <c r="BI357" i="62"/>
  <c r="AM341" i="62"/>
  <c r="AE339" i="62"/>
  <c r="AM310" i="62"/>
  <c r="AW335" i="62"/>
  <c r="AE333" i="62"/>
  <c r="BA338" i="62"/>
  <c r="Q337" i="62"/>
  <c r="AE297" i="62"/>
  <c r="AE305" i="62"/>
  <c r="Y379" i="62"/>
  <c r="AQ64" i="62"/>
  <c r="AI337" i="62"/>
  <c r="AW376" i="62"/>
  <c r="BE345" i="62"/>
  <c r="AM337" i="62"/>
  <c r="AM391" i="62"/>
  <c r="BE343" i="62"/>
  <c r="AQ331" i="62"/>
  <c r="BA327" i="62"/>
  <c r="AM350" i="62"/>
  <c r="AE304" i="62"/>
  <c r="Q6" i="62"/>
  <c r="AM380" i="62"/>
  <c r="M388" i="62"/>
  <c r="M342" i="62"/>
  <c r="BI349" i="62"/>
  <c r="BA348" i="62"/>
  <c r="AM336" i="62"/>
  <c r="U332" i="62"/>
  <c r="Q333" i="62"/>
  <c r="U308" i="62"/>
  <c r="U331" i="62"/>
  <c r="AQ347" i="62"/>
  <c r="AI340" i="62"/>
  <c r="Y338" i="62"/>
  <c r="AM340" i="62"/>
  <c r="Y339" i="62"/>
  <c r="AE299" i="62"/>
  <c r="AE326" i="62"/>
  <c r="AW330" i="62"/>
  <c r="AW338" i="62"/>
  <c r="U383" i="62"/>
  <c r="AW384" i="62"/>
  <c r="BE329" i="62"/>
  <c r="AW342" i="62"/>
  <c r="U380" i="62"/>
  <c r="BI347" i="62"/>
  <c r="AM384" i="62"/>
  <c r="AI374" i="62"/>
  <c r="AE298" i="62"/>
  <c r="AM388" i="62"/>
  <c r="AE389" i="62"/>
  <c r="Q378" i="62"/>
  <c r="BA382" i="62"/>
  <c r="U376" i="62"/>
  <c r="BE387" i="62"/>
  <c r="AQ374" i="62"/>
  <c r="AQ390" i="62"/>
  <c r="BI377" i="62"/>
  <c r="AI385" i="62"/>
  <c r="U382" i="62"/>
  <c r="AI388" i="62"/>
  <c r="BI379" i="62"/>
  <c r="AE378" i="62"/>
  <c r="BI381" i="62"/>
  <c r="AM379" i="62"/>
  <c r="U390" i="62"/>
  <c r="U373" i="62"/>
  <c r="AI383" i="62"/>
  <c r="BI386" i="62"/>
  <c r="AE381" i="62"/>
  <c r="BA386" i="62"/>
  <c r="Y386" i="62"/>
  <c r="AI375" i="62"/>
  <c r="AI332" i="62"/>
  <c r="BA330" i="62"/>
  <c r="AI342" i="62"/>
  <c r="AM344" i="62"/>
  <c r="AM348" i="62"/>
  <c r="Y315" i="62"/>
  <c r="BE344" i="62"/>
  <c r="BA344" i="62"/>
  <c r="U328" i="62"/>
  <c r="BA346" i="62"/>
  <c r="BE315" i="62"/>
  <c r="BE341" i="62"/>
  <c r="BI367" i="62"/>
  <c r="M390" i="62"/>
  <c r="U330" i="62"/>
  <c r="AW327" i="62"/>
  <c r="AM355" i="62"/>
  <c r="BA314" i="62"/>
  <c r="AE301" i="62"/>
  <c r="BA380" i="62"/>
  <c r="BA326" i="62"/>
  <c r="U374" i="62"/>
  <c r="Y327" i="62"/>
  <c r="AE327" i="62"/>
  <c r="AQ343" i="62"/>
  <c r="AW380" i="62"/>
  <c r="Q374" i="62"/>
  <c r="AE300" i="62"/>
  <c r="AI380" i="62"/>
  <c r="M376" i="62"/>
  <c r="Y326" i="62"/>
  <c r="Q326" i="62"/>
  <c r="AE328" i="62"/>
  <c r="AW337" i="62"/>
  <c r="Y317" i="62"/>
  <c r="BE332" i="62"/>
  <c r="AW333" i="62"/>
  <c r="AQ348" i="62"/>
  <c r="Y343" i="62"/>
  <c r="M328" i="62"/>
  <c r="Q315" i="62"/>
  <c r="AE375" i="62"/>
  <c r="AM351" i="62"/>
  <c r="AE345" i="62"/>
  <c r="AQ333" i="62"/>
  <c r="U336" i="62"/>
  <c r="AE338" i="62"/>
  <c r="AM354" i="62"/>
  <c r="BA310" i="62"/>
  <c r="AM331" i="62"/>
  <c r="BI297" i="62"/>
  <c r="AE303" i="62"/>
  <c r="M338" i="62"/>
  <c r="AW346" i="62"/>
  <c r="BE299" i="62"/>
  <c r="BA342" i="62"/>
  <c r="AE374" i="62"/>
  <c r="BE340" i="62"/>
  <c r="AM333" i="62"/>
  <c r="BI312" i="62"/>
  <c r="BI337" i="62"/>
  <c r="AQ353" i="62"/>
  <c r="AM334" i="62"/>
  <c r="AQ341" i="62"/>
  <c r="BA388" i="62"/>
  <c r="AI326" i="62"/>
  <c r="AW347" i="62"/>
  <c r="AE302" i="62"/>
  <c r="T256" i="58"/>
  <c r="T237" i="58"/>
  <c r="T217" i="58"/>
  <c r="T178" i="58"/>
  <c r="T247" i="58"/>
  <c r="T169" i="58"/>
  <c r="T266" i="58"/>
  <c r="T227" i="58"/>
  <c r="T207" i="58"/>
  <c r="T188" i="58"/>
  <c r="M374" i="62"/>
  <c r="Q380" i="62"/>
  <c r="Q379" i="62"/>
  <c r="M380" i="62"/>
  <c r="AI274" i="58"/>
  <c r="AI245" i="58"/>
  <c r="AI196" i="58"/>
  <c r="AI235" i="58"/>
  <c r="AI186" i="58"/>
  <c r="S483" i="35"/>
  <c r="P173" i="35"/>
  <c r="AI264" i="58"/>
  <c r="T192" i="35"/>
  <c r="AE204" i="58"/>
  <c r="N146" i="35"/>
  <c r="AK13" i="58"/>
  <c r="AC12" i="58"/>
  <c r="AI225" i="58"/>
  <c r="AI176" i="58"/>
  <c r="AI254" i="58"/>
  <c r="AX38" i="58"/>
  <c r="K146" i="35"/>
  <c r="S131" i="35"/>
  <c r="T540" i="58"/>
  <c r="AE195" i="62"/>
  <c r="AG546" i="58"/>
  <c r="V539" i="58"/>
  <c r="V540" i="58"/>
  <c r="T539" i="58"/>
  <c r="T546" i="58"/>
  <c r="R539" i="58"/>
  <c r="AQ66" i="61"/>
  <c r="BI44" i="61"/>
  <c r="AW74" i="61"/>
  <c r="U68" i="61"/>
  <c r="BA56" i="61"/>
  <c r="BE89" i="61"/>
  <c r="AW47" i="61"/>
  <c r="U56" i="61"/>
  <c r="AW93" i="61"/>
  <c r="Q85" i="62"/>
  <c r="Y17" i="62"/>
  <c r="Q17" i="62"/>
  <c r="Y15" i="62"/>
  <c r="Q15" i="62"/>
  <c r="Y33" i="62"/>
  <c r="Q33" i="62"/>
  <c r="Y42" i="62"/>
  <c r="Q42" i="62"/>
  <c r="U54" i="62"/>
  <c r="M54" i="62"/>
  <c r="Y62" i="62"/>
  <c r="Q62" i="62"/>
  <c r="Y79" i="62"/>
  <c r="Q79" i="62"/>
  <c r="Y72" i="62"/>
  <c r="Q72" i="62"/>
  <c r="Y91" i="62"/>
  <c r="Q91" i="62"/>
  <c r="U320" i="62"/>
  <c r="M320" i="62"/>
  <c r="Y321" i="62"/>
  <c r="Q321" i="62"/>
  <c r="BE321" i="62"/>
  <c r="AQ321" i="62"/>
  <c r="AI321" i="62"/>
  <c r="BI319" i="62"/>
  <c r="AM98" i="62"/>
  <c r="AE98" i="62"/>
  <c r="BI57" i="62"/>
  <c r="BE65" i="62"/>
  <c r="M192" i="61"/>
  <c r="M120" i="61"/>
  <c r="AM110" i="61"/>
  <c r="AE110" i="61"/>
  <c r="AM114" i="61"/>
  <c r="BA118" i="61"/>
  <c r="BA126" i="61"/>
  <c r="AM139" i="61"/>
  <c r="AE139" i="61"/>
  <c r="U140" i="61"/>
  <c r="M140" i="61"/>
  <c r="U141" i="61"/>
  <c r="M141" i="61"/>
  <c r="AM142" i="61"/>
  <c r="BE142" i="61"/>
  <c r="AW158" i="61"/>
  <c r="Y172" i="61"/>
  <c r="BE172" i="61"/>
  <c r="AW172" i="61"/>
  <c r="BA174" i="61"/>
  <c r="AW187" i="61"/>
  <c r="AM190" i="61"/>
  <c r="BE113" i="61"/>
  <c r="AW113" i="61"/>
  <c r="BE128" i="61"/>
  <c r="AW128" i="61"/>
  <c r="AQ143" i="61"/>
  <c r="AE144" i="61"/>
  <c r="BE145" i="61"/>
  <c r="AW145" i="61"/>
  <c r="AM146" i="61"/>
  <c r="U160" i="61"/>
  <c r="M160" i="61"/>
  <c r="AW162" i="61"/>
  <c r="AM178" i="61"/>
  <c r="Y192" i="61"/>
  <c r="Q192" i="61"/>
  <c r="BA194" i="61"/>
  <c r="U113" i="61"/>
  <c r="M113" i="61"/>
  <c r="U132" i="61"/>
  <c r="BI133" i="61"/>
  <c r="AM147" i="61"/>
  <c r="U148" i="61"/>
  <c r="U149" i="61"/>
  <c r="M149" i="61"/>
  <c r="AW150" i="61"/>
  <c r="AM166" i="61"/>
  <c r="BE166" i="61"/>
  <c r="AM179" i="61"/>
  <c r="BE180" i="61"/>
  <c r="AW180" i="61"/>
  <c r="AQ182" i="61"/>
  <c r="AQ198" i="61"/>
  <c r="BE116" i="61"/>
  <c r="AW116" i="61"/>
  <c r="U121" i="61"/>
  <c r="M121" i="61"/>
  <c r="AQ122" i="61"/>
  <c r="AQ135" i="61"/>
  <c r="Y136" i="61"/>
  <c r="Q136" i="61"/>
  <c r="BA138" i="61"/>
  <c r="AQ151" i="61"/>
  <c r="AE152" i="61"/>
  <c r="BI153" i="61"/>
  <c r="BE168" i="61"/>
  <c r="AW168" i="61"/>
  <c r="AQ170" i="61"/>
  <c r="AE184" i="61"/>
  <c r="AQ186" i="61"/>
  <c r="BI186" i="61"/>
  <c r="AM199" i="61"/>
  <c r="Y200" i="61"/>
  <c r="Q200" i="61"/>
  <c r="BE201" i="61"/>
  <c r="Y90" i="62"/>
  <c r="Q90" i="62"/>
  <c r="U39" i="62"/>
  <c r="M39" i="62"/>
  <c r="U64" i="62"/>
  <c r="M64" i="62"/>
  <c r="BE7" i="62"/>
  <c r="Y27" i="62"/>
  <c r="Q27" i="62"/>
  <c r="U17" i="62"/>
  <c r="M17" i="62"/>
  <c r="Y32" i="62"/>
  <c r="Q32" i="62"/>
  <c r="Y49" i="62"/>
  <c r="Q49" i="62"/>
  <c r="Y65" i="62"/>
  <c r="Q65" i="62"/>
  <c r="U18" i="62"/>
  <c r="M18" i="62"/>
  <c r="U47" i="62"/>
  <c r="M47" i="62"/>
  <c r="U56" i="62"/>
  <c r="M56" i="62"/>
  <c r="U4" i="62"/>
  <c r="M4" i="62"/>
  <c r="AQ10" i="62"/>
  <c r="U74" i="62"/>
  <c r="M74" i="62"/>
  <c r="BE68" i="62"/>
  <c r="AM13" i="62"/>
  <c r="AE13" i="62"/>
  <c r="AM100" i="62"/>
  <c r="AE100" i="62"/>
  <c r="BE55" i="62"/>
  <c r="AM24" i="62"/>
  <c r="AW40" i="62"/>
  <c r="R524" i="58"/>
  <c r="Q3" i="62"/>
  <c r="BA80" i="62"/>
  <c r="AE48" i="62"/>
  <c r="AE56" i="62"/>
  <c r="Y11" i="62"/>
  <c r="Q11" i="62"/>
  <c r="Y82" i="62"/>
  <c r="Q82" i="62"/>
  <c r="Y52" i="62"/>
  <c r="Q52" i="62"/>
  <c r="U7" i="62"/>
  <c r="M7" i="62"/>
  <c r="U57" i="62"/>
  <c r="M57" i="62"/>
  <c r="Y18" i="62"/>
  <c r="Q18" i="62"/>
  <c r="Y59" i="62"/>
  <c r="Q59" i="62"/>
  <c r="Y93" i="62"/>
  <c r="Q93" i="62"/>
  <c r="Y22" i="62"/>
  <c r="Q22" i="62"/>
  <c r="U27" i="62"/>
  <c r="M27" i="62"/>
  <c r="U75" i="62"/>
  <c r="M75" i="62"/>
  <c r="AE31" i="62"/>
  <c r="Y64" i="62"/>
  <c r="Q64" i="62"/>
  <c r="U66" i="62"/>
  <c r="M66" i="62"/>
  <c r="AE33" i="62"/>
  <c r="Y14" i="62"/>
  <c r="Q14" i="62"/>
  <c r="U82" i="62"/>
  <c r="M82" i="62"/>
  <c r="AE54" i="62"/>
  <c r="BI52" i="62"/>
  <c r="BA52" i="62"/>
  <c r="AM81" i="62"/>
  <c r="AM99" i="62"/>
  <c r="AE62" i="62"/>
  <c r="U32" i="62"/>
  <c r="M32" i="62"/>
  <c r="U71" i="62"/>
  <c r="M71" i="62"/>
  <c r="U83" i="62"/>
  <c r="M83" i="62"/>
  <c r="U91" i="62"/>
  <c r="M91" i="62"/>
  <c r="BA86" i="62"/>
  <c r="Y30" i="62"/>
  <c r="Q30" i="62"/>
  <c r="U44" i="62"/>
  <c r="M44" i="62"/>
  <c r="AE15" i="62"/>
  <c r="AQ9" i="62"/>
  <c r="BA90" i="62"/>
  <c r="AM44" i="62"/>
  <c r="AQ48" i="62"/>
  <c r="BE60" i="62"/>
  <c r="AM4" i="62"/>
  <c r="AE4" i="62"/>
  <c r="AW33" i="62"/>
  <c r="AW60" i="62"/>
  <c r="AM22" i="62"/>
  <c r="AE22" i="62"/>
  <c r="AM77" i="62"/>
  <c r="AE29" i="62"/>
  <c r="AW79" i="62"/>
  <c r="BE47" i="62"/>
  <c r="BE71" i="62"/>
  <c r="AW76" i="62"/>
  <c r="AM76" i="62"/>
  <c r="BA63" i="62"/>
  <c r="AW57" i="62"/>
  <c r="U206" i="62"/>
  <c r="R540" i="58"/>
  <c r="U87" i="61"/>
  <c r="Y25" i="62"/>
  <c r="Q25" i="62"/>
  <c r="Y23" i="62"/>
  <c r="Q23" i="62"/>
  <c r="U34" i="62"/>
  <c r="M34" i="62"/>
  <c r="Y71" i="62"/>
  <c r="Q71" i="62"/>
  <c r="Y54" i="62"/>
  <c r="Q54" i="62"/>
  <c r="Y66" i="62"/>
  <c r="Q66" i="62"/>
  <c r="Y92" i="62"/>
  <c r="Q92" i="62"/>
  <c r="Y75" i="62"/>
  <c r="Q75" i="62"/>
  <c r="Y96" i="62"/>
  <c r="Q96" i="62"/>
  <c r="Y320" i="62"/>
  <c r="Q320" i="62"/>
  <c r="AM322" i="62"/>
  <c r="AM46" i="62"/>
  <c r="AE46" i="62"/>
  <c r="AQ26" i="62"/>
  <c r="AI26" i="62"/>
  <c r="AQ81" i="62"/>
  <c r="AI81" i="62"/>
  <c r="AM34" i="62"/>
  <c r="AE34" i="62"/>
  <c r="M117" i="61"/>
  <c r="M178" i="61"/>
  <c r="BI200" i="61"/>
  <c r="Y112" i="61"/>
  <c r="BA114" i="61"/>
  <c r="U124" i="61"/>
  <c r="M124" i="61"/>
  <c r="U146" i="61"/>
  <c r="M146" i="61"/>
  <c r="U156" i="61"/>
  <c r="M156" i="61"/>
  <c r="AM158" i="61"/>
  <c r="AE158" i="61"/>
  <c r="Y188" i="61"/>
  <c r="Q188" i="61"/>
  <c r="U194" i="61"/>
  <c r="M194" i="61"/>
  <c r="BI112" i="61"/>
  <c r="BI161" i="61"/>
  <c r="BA161" i="61"/>
  <c r="AQ162" i="61"/>
  <c r="AM175" i="61"/>
  <c r="AE175" i="61"/>
  <c r="Y176" i="61"/>
  <c r="Q176" i="61"/>
  <c r="U177" i="61"/>
  <c r="M177" i="61"/>
  <c r="AQ178" i="61"/>
  <c r="BI193" i="61"/>
  <c r="U114" i="61"/>
  <c r="U116" i="61"/>
  <c r="M116" i="61"/>
  <c r="Y132" i="61"/>
  <c r="Q132" i="61"/>
  <c r="AW134" i="61"/>
  <c r="BE148" i="61"/>
  <c r="AW148" i="61"/>
  <c r="AM150" i="61"/>
  <c r="AE150" i="61"/>
  <c r="AQ166" i="61"/>
  <c r="Y180" i="61"/>
  <c r="Q180" i="61"/>
  <c r="AM182" i="61"/>
  <c r="U196" i="61"/>
  <c r="M196" i="61"/>
  <c r="U197" i="61"/>
  <c r="M197" i="61"/>
  <c r="AW198" i="61"/>
  <c r="BI116" i="61"/>
  <c r="AE136" i="61"/>
  <c r="U137" i="61"/>
  <c r="M137" i="61"/>
  <c r="Y152" i="61"/>
  <c r="Q152" i="61"/>
  <c r="U153" i="61"/>
  <c r="M153" i="61"/>
  <c r="AM154" i="61"/>
  <c r="AE154" i="61"/>
  <c r="U168" i="61"/>
  <c r="M168" i="61"/>
  <c r="Y184" i="61"/>
  <c r="Q184" i="61"/>
  <c r="AE200" i="61"/>
  <c r="U13" i="62"/>
  <c r="M13" i="62"/>
  <c r="U45" i="62"/>
  <c r="M45" i="62"/>
  <c r="U72" i="62"/>
  <c r="M72" i="62"/>
  <c r="Y70" i="62"/>
  <c r="Q70" i="62"/>
  <c r="U30" i="62"/>
  <c r="M30" i="62"/>
  <c r="Y35" i="62"/>
  <c r="Q35" i="62"/>
  <c r="Y53" i="62"/>
  <c r="Q53" i="62"/>
  <c r="Y69" i="62"/>
  <c r="Q69" i="62"/>
  <c r="U21" i="62"/>
  <c r="M21" i="62"/>
  <c r="U68" i="62"/>
  <c r="M68" i="62"/>
  <c r="Y4" i="62"/>
  <c r="Q4" i="62"/>
  <c r="Y13" i="62"/>
  <c r="Q13" i="62"/>
  <c r="U77" i="62"/>
  <c r="M77" i="62"/>
  <c r="BI88" i="62"/>
  <c r="Y47" i="62"/>
  <c r="Q47" i="62"/>
  <c r="Y84" i="62"/>
  <c r="Q84" i="62"/>
  <c r="AW5" i="62"/>
  <c r="AM5" i="62"/>
  <c r="Y8" i="62"/>
  <c r="Q8" i="62"/>
  <c r="Y60" i="62"/>
  <c r="Q60" i="62"/>
  <c r="U25" i="62"/>
  <c r="M25" i="62"/>
  <c r="U70" i="62"/>
  <c r="M70" i="62"/>
  <c r="Y38" i="62"/>
  <c r="Q38" i="62"/>
  <c r="Y67" i="62"/>
  <c r="Q67" i="62"/>
  <c r="U15" i="62"/>
  <c r="M15" i="62"/>
  <c r="Y37" i="62"/>
  <c r="Q37" i="62"/>
  <c r="Y39" i="62"/>
  <c r="Q39" i="62"/>
  <c r="U38" i="62"/>
  <c r="M38" i="62"/>
  <c r="U86" i="62"/>
  <c r="M86" i="62"/>
  <c r="AI36" i="62"/>
  <c r="U16" i="62"/>
  <c r="M16" i="62"/>
  <c r="U90" i="62"/>
  <c r="M90" i="62"/>
  <c r="Y36" i="62"/>
  <c r="Q36" i="62"/>
  <c r="U92" i="62"/>
  <c r="M92" i="62"/>
  <c r="U51" i="62"/>
  <c r="M51" i="62"/>
  <c r="AW65" i="62"/>
  <c r="Y24" i="62"/>
  <c r="Q24" i="62"/>
  <c r="U95" i="62"/>
  <c r="M95" i="62"/>
  <c r="BA88" i="62"/>
  <c r="U46" i="62"/>
  <c r="M46" i="62"/>
  <c r="Y77" i="62"/>
  <c r="Q77" i="62"/>
  <c r="U48" i="62"/>
  <c r="M48" i="62"/>
  <c r="AE73" i="62"/>
  <c r="BI33" i="62"/>
  <c r="BA33" i="62"/>
  <c r="BE11" i="62"/>
  <c r="BA98" i="62"/>
  <c r="AM48" i="62"/>
  <c r="AM36" i="62"/>
  <c r="AE36" i="62"/>
  <c r="AM23" i="62"/>
  <c r="AW63" i="62"/>
  <c r="AW82" i="62"/>
  <c r="AW52" i="62"/>
  <c r="BA24" i="62"/>
  <c r="BA40" i="62"/>
  <c r="BA77" i="62"/>
  <c r="AQ97" i="62"/>
  <c r="AI97" i="62"/>
  <c r="AQ101" i="62"/>
  <c r="AI101" i="62"/>
  <c r="BI17" i="62"/>
  <c r="BA17" i="62"/>
  <c r="AM47" i="62"/>
  <c r="BA71" i="62"/>
  <c r="BE40" i="62"/>
  <c r="AM92" i="62"/>
  <c r="AE92" i="62"/>
  <c r="AI27" i="62"/>
  <c r="AI51" i="62"/>
  <c r="AI83" i="62"/>
  <c r="AQ12" i="62"/>
  <c r="AQ22" i="62"/>
  <c r="AI22" i="62"/>
  <c r="BI73" i="62"/>
  <c r="AQ77" i="62"/>
  <c r="BA35" i="62"/>
  <c r="BA55" i="62"/>
  <c r="BI43" i="62"/>
  <c r="AI99" i="62"/>
  <c r="BI25" i="62"/>
  <c r="BA25" i="62"/>
  <c r="BE64" i="62"/>
  <c r="P162" i="58"/>
  <c r="P159" i="58"/>
  <c r="Y41" i="62"/>
  <c r="Q41" i="62"/>
  <c r="Y29" i="62"/>
  <c r="Q29" i="62"/>
  <c r="Y34" i="62"/>
  <c r="Q34" i="62"/>
  <c r="U50" i="62"/>
  <c r="M50" i="62"/>
  <c r="U58" i="62"/>
  <c r="M58" i="62"/>
  <c r="Y80" i="62"/>
  <c r="Q80" i="62"/>
  <c r="Y73" i="62"/>
  <c r="Q73" i="62"/>
  <c r="U26" i="62"/>
  <c r="M26" i="62"/>
  <c r="U98" i="62"/>
  <c r="M98" i="62"/>
  <c r="Y322" i="62"/>
  <c r="Q322" i="62"/>
  <c r="U99" i="62"/>
  <c r="M99" i="62"/>
  <c r="BA321" i="62"/>
  <c r="BE49" i="62"/>
  <c r="Y124" i="61"/>
  <c r="Q124" i="61"/>
  <c r="AQ142" i="61"/>
  <c r="AI142" i="61"/>
  <c r="Y156" i="61"/>
  <c r="Q156" i="61"/>
  <c r="BE156" i="61"/>
  <c r="AW156" i="61"/>
  <c r="U188" i="61"/>
  <c r="M188" i="61"/>
  <c r="BA119" i="61"/>
  <c r="AQ119" i="61"/>
  <c r="AW127" i="61"/>
  <c r="AM127" i="61"/>
  <c r="AM130" i="61"/>
  <c r="AE130" i="61"/>
  <c r="U144" i="61"/>
  <c r="M144" i="61"/>
  <c r="AQ146" i="61"/>
  <c r="AI146" i="61"/>
  <c r="Y160" i="61"/>
  <c r="Q160" i="61"/>
  <c r="U154" i="61"/>
  <c r="M154" i="61"/>
  <c r="U164" i="61"/>
  <c r="M164" i="61"/>
  <c r="U186" i="61"/>
  <c r="M186" i="61"/>
  <c r="Y196" i="61"/>
  <c r="Q196" i="61"/>
  <c r="BE196" i="61"/>
  <c r="AW196" i="61"/>
  <c r="AM198" i="61"/>
  <c r="AE198" i="61"/>
  <c r="BE136" i="61"/>
  <c r="AW136" i="61"/>
  <c r="BE152" i="61"/>
  <c r="AW152" i="61"/>
  <c r="Y168" i="61"/>
  <c r="Q168" i="61"/>
  <c r="AM170" i="61"/>
  <c r="AE170" i="61"/>
  <c r="U200" i="61"/>
  <c r="M200" i="61"/>
  <c r="U201" i="61"/>
  <c r="M201" i="61"/>
  <c r="U23" i="62"/>
  <c r="M23" i="62"/>
  <c r="U55" i="62"/>
  <c r="M55" i="62"/>
  <c r="U80" i="62"/>
  <c r="M80" i="62"/>
  <c r="Y95" i="62"/>
  <c r="Q95" i="62"/>
  <c r="Y10" i="62"/>
  <c r="Q10" i="62"/>
  <c r="Y40" i="62"/>
  <c r="Q40" i="62"/>
  <c r="Y86" i="62"/>
  <c r="Q86" i="62"/>
  <c r="U31" i="62"/>
  <c r="M31" i="62"/>
  <c r="U63" i="62"/>
  <c r="M63" i="62"/>
  <c r="Y31" i="62"/>
  <c r="Q31" i="62"/>
  <c r="AQ16" i="62"/>
  <c r="BA10" i="62"/>
  <c r="Y55" i="62"/>
  <c r="Q55" i="62"/>
  <c r="U35" i="62"/>
  <c r="M35" i="62"/>
  <c r="Y21" i="62"/>
  <c r="Q21" i="62"/>
  <c r="Y68" i="62"/>
  <c r="Q68" i="62"/>
  <c r="U43" i="62"/>
  <c r="M43" i="62"/>
  <c r="U73" i="62"/>
  <c r="M73" i="62"/>
  <c r="Y46" i="62"/>
  <c r="Q46" i="62"/>
  <c r="Y78" i="62"/>
  <c r="Q78" i="62"/>
  <c r="U19" i="62"/>
  <c r="M19" i="62"/>
  <c r="U94" i="62"/>
  <c r="M94" i="62"/>
  <c r="Y74" i="62"/>
  <c r="Q74" i="62"/>
  <c r="U100" i="62"/>
  <c r="M100" i="62"/>
  <c r="Y12" i="62"/>
  <c r="Q12" i="62"/>
  <c r="U20" i="62"/>
  <c r="M20" i="62"/>
  <c r="U41" i="62"/>
  <c r="U96" i="62"/>
  <c r="M96" i="62"/>
  <c r="Y94" i="62"/>
  <c r="Q94" i="62"/>
  <c r="U81" i="62"/>
  <c r="M81" i="62"/>
  <c r="U59" i="62"/>
  <c r="M59" i="62"/>
  <c r="U36" i="62"/>
  <c r="M36" i="62"/>
  <c r="Y44" i="62"/>
  <c r="Q44" i="62"/>
  <c r="BA78" i="62"/>
  <c r="U78" i="62"/>
  <c r="M78" i="62"/>
  <c r="U24" i="62"/>
  <c r="M24" i="62"/>
  <c r="U76" i="62"/>
  <c r="M76" i="62"/>
  <c r="BI51" i="62"/>
  <c r="AM12" i="62"/>
  <c r="AW42" i="62"/>
  <c r="AW86" i="62"/>
  <c r="BI35" i="62"/>
  <c r="AM51" i="62"/>
  <c r="AM66" i="62"/>
  <c r="AE66" i="62"/>
  <c r="AM74" i="62"/>
  <c r="AE74" i="62"/>
  <c r="AM96" i="62"/>
  <c r="AE96" i="62"/>
  <c r="AW13" i="62"/>
  <c r="AM28" i="62"/>
  <c r="AE28" i="62"/>
  <c r="AM52" i="62"/>
  <c r="AE52" i="62"/>
  <c r="U62" i="62"/>
  <c r="M62" i="62"/>
  <c r="AE61" i="62"/>
  <c r="AW87" i="62"/>
  <c r="AM55" i="62"/>
  <c r="AE55" i="62"/>
  <c r="AM10" i="62"/>
  <c r="AE10" i="62"/>
  <c r="AI18" i="62"/>
  <c r="AQ94" i="62"/>
  <c r="AI94" i="62"/>
  <c r="BA70" i="62"/>
  <c r="AQ70" i="62"/>
  <c r="AE7" i="62"/>
  <c r="AE78" i="61"/>
  <c r="BE82" i="61"/>
  <c r="Y9" i="62"/>
  <c r="Q9" i="62"/>
  <c r="Y45" i="62"/>
  <c r="Q45" i="62"/>
  <c r="U42" i="62"/>
  <c r="M42" i="62"/>
  <c r="Y50" i="62"/>
  <c r="Q50" i="62"/>
  <c r="Y58" i="62"/>
  <c r="Q58" i="62"/>
  <c r="Y83" i="62"/>
  <c r="Q83" i="62"/>
  <c r="Y76" i="62"/>
  <c r="Q76" i="62"/>
  <c r="Y26" i="62"/>
  <c r="Q26" i="62"/>
  <c r="Y88" i="62"/>
  <c r="Q88" i="62"/>
  <c r="Y101" i="62"/>
  <c r="Q101" i="62"/>
  <c r="Y98" i="62"/>
  <c r="Q98" i="62"/>
  <c r="Y99" i="62"/>
  <c r="Q99" i="62"/>
  <c r="U321" i="62"/>
  <c r="M321" i="62"/>
  <c r="AM321" i="62"/>
  <c r="BE319" i="62"/>
  <c r="AM20" i="62"/>
  <c r="AE20" i="62"/>
  <c r="AQ98" i="62"/>
  <c r="AI98" i="62"/>
  <c r="AM18" i="62"/>
  <c r="AE18" i="62"/>
  <c r="Q128" i="61"/>
  <c r="M189" i="61"/>
  <c r="AQ110" i="61"/>
  <c r="BA115" i="61"/>
  <c r="AQ115" i="61"/>
  <c r="BE118" i="61"/>
  <c r="AW126" i="61"/>
  <c r="U130" i="61"/>
  <c r="M130" i="61"/>
  <c r="Y140" i="61"/>
  <c r="BE157" i="61"/>
  <c r="AQ158" i="61"/>
  <c r="U172" i="61"/>
  <c r="AM187" i="61"/>
  <c r="AE187" i="61"/>
  <c r="BE188" i="61"/>
  <c r="AW188" i="61"/>
  <c r="Y109" i="61"/>
  <c r="Q109" i="61"/>
  <c r="BI113" i="61"/>
  <c r="AE120" i="61"/>
  <c r="AE128" i="61"/>
  <c r="U129" i="61"/>
  <c r="M129" i="61"/>
  <c r="AQ130" i="61"/>
  <c r="Y144" i="61"/>
  <c r="Q144" i="61"/>
  <c r="BA146" i="61"/>
  <c r="BE160" i="61"/>
  <c r="AW160" i="61"/>
  <c r="AM162" i="61"/>
  <c r="AE162" i="61"/>
  <c r="U176" i="61"/>
  <c r="M176" i="61"/>
  <c r="AM194" i="61"/>
  <c r="AE194" i="61"/>
  <c r="AQ111" i="61"/>
  <c r="Y116" i="61"/>
  <c r="Q116" i="61"/>
  <c r="U122" i="61"/>
  <c r="M122" i="61"/>
  <c r="BA131" i="61"/>
  <c r="AQ131" i="61"/>
  <c r="AQ134" i="61"/>
  <c r="AI134" i="61"/>
  <c r="U138" i="61"/>
  <c r="M138" i="61"/>
  <c r="AQ150" i="61"/>
  <c r="Y164" i="61"/>
  <c r="AQ179" i="61"/>
  <c r="U180" i="61"/>
  <c r="M180" i="61"/>
  <c r="U181" i="61"/>
  <c r="M181" i="61"/>
  <c r="BE181" i="61"/>
  <c r="BE200" i="61"/>
  <c r="AW200" i="61"/>
  <c r="BE121" i="61"/>
  <c r="AW121" i="61"/>
  <c r="AM122" i="61"/>
  <c r="U136" i="61"/>
  <c r="M136" i="61"/>
  <c r="AM138" i="61"/>
  <c r="AE138" i="61"/>
  <c r="AM151" i="61"/>
  <c r="U152" i="61"/>
  <c r="M152" i="61"/>
  <c r="AQ154" i="61"/>
  <c r="BI154" i="61"/>
  <c r="AQ167" i="61"/>
  <c r="AE168" i="61"/>
  <c r="BI201" i="61"/>
  <c r="BA201" i="61"/>
  <c r="R541" i="58"/>
  <c r="T541" i="58"/>
  <c r="Y87" i="62"/>
  <c r="Q87" i="62"/>
  <c r="U29" i="62"/>
  <c r="M29" i="62"/>
  <c r="U61" i="62"/>
  <c r="M61" i="62"/>
  <c r="U88" i="62"/>
  <c r="M88" i="62"/>
  <c r="Y20" i="62"/>
  <c r="Q20" i="62"/>
  <c r="U11" i="62"/>
  <c r="M11" i="62"/>
  <c r="Y19" i="62"/>
  <c r="Q19" i="62"/>
  <c r="Y43" i="62"/>
  <c r="Q43" i="62"/>
  <c r="Y61" i="62"/>
  <c r="Q61" i="62"/>
  <c r="U5" i="62"/>
  <c r="M5" i="62"/>
  <c r="U37" i="62"/>
  <c r="M37" i="62"/>
  <c r="U79" i="62"/>
  <c r="M79" i="62"/>
  <c r="BI84" i="62"/>
  <c r="BA84" i="62"/>
  <c r="AW19" i="62"/>
  <c r="P524" i="58"/>
  <c r="M3" i="62"/>
  <c r="AE78" i="62"/>
  <c r="Y63" i="62"/>
  <c r="Q63" i="62"/>
  <c r="U69" i="62"/>
  <c r="M69" i="62"/>
  <c r="BE94" i="62"/>
  <c r="AM41" i="62"/>
  <c r="Y28" i="62"/>
  <c r="Q28" i="62"/>
  <c r="Y100" i="62"/>
  <c r="Q100" i="62"/>
  <c r="U89" i="62"/>
  <c r="M89" i="62"/>
  <c r="AQ32" i="62"/>
  <c r="Y51" i="62"/>
  <c r="Q51" i="62"/>
  <c r="Y81" i="62"/>
  <c r="Q81" i="62"/>
  <c r="U33" i="62"/>
  <c r="M33" i="62"/>
  <c r="U97" i="62"/>
  <c r="M97" i="62"/>
  <c r="Y16" i="62"/>
  <c r="Q16" i="62"/>
  <c r="U8" i="62"/>
  <c r="M8" i="62"/>
  <c r="U65" i="62"/>
  <c r="M65" i="62"/>
  <c r="BI30" i="62"/>
  <c r="AI43" i="62"/>
  <c r="Y48" i="62"/>
  <c r="Q48" i="62"/>
  <c r="U28" i="62"/>
  <c r="M28" i="62"/>
  <c r="AI30" i="62"/>
  <c r="U52" i="62"/>
  <c r="M52" i="62"/>
  <c r="U84" i="62"/>
  <c r="M84" i="62"/>
  <c r="AW81" i="62"/>
  <c r="AQ99" i="62"/>
  <c r="U9" i="62"/>
  <c r="M9" i="62"/>
  <c r="U67" i="62"/>
  <c r="M67" i="62"/>
  <c r="U60" i="62"/>
  <c r="M60" i="62"/>
  <c r="Y56" i="62"/>
  <c r="Q56" i="62"/>
  <c r="AM6" i="62"/>
  <c r="AE6" i="62"/>
  <c r="AM86" i="62"/>
  <c r="AE86" i="62"/>
  <c r="AM95" i="62"/>
  <c r="BI77" i="62"/>
  <c r="BI55" i="62"/>
  <c r="AW17" i="62"/>
  <c r="BI90" i="62"/>
  <c r="AM19" i="62"/>
  <c r="AM30" i="62"/>
  <c r="AE30" i="62"/>
  <c r="AQ92" i="62"/>
  <c r="AI92" i="62"/>
  <c r="AQ79" i="62"/>
  <c r="AW75" i="62"/>
  <c r="V524" i="58"/>
  <c r="BA57" i="62"/>
  <c r="AW61" i="62"/>
  <c r="BA89" i="62"/>
  <c r="BI94" i="62"/>
  <c r="BA87" i="62"/>
  <c r="AQ28" i="62"/>
  <c r="AI28" i="62"/>
  <c r="BI6" i="62"/>
  <c r="AW9" i="62"/>
  <c r="AM58" i="62"/>
  <c r="AE58" i="62"/>
  <c r="AM90" i="62"/>
  <c r="AE90" i="62"/>
  <c r="AW78" i="62"/>
  <c r="AI24" i="62"/>
  <c r="AI50" i="62"/>
  <c r="AI52" i="62"/>
  <c r="AI76" i="62"/>
  <c r="AI40" i="62"/>
  <c r="AQ6" i="62"/>
  <c r="AI6" i="62"/>
  <c r="AQ14" i="62"/>
  <c r="AW29" i="62"/>
  <c r="AQ42" i="62"/>
  <c r="AI42" i="62"/>
  <c r="BI49" i="62"/>
  <c r="AW39" i="62"/>
  <c r="AM87" i="62"/>
  <c r="AM42" i="62"/>
  <c r="BI41" i="62"/>
  <c r="BA41" i="62"/>
  <c r="AQ7" i="62"/>
  <c r="AI7" i="62"/>
  <c r="BA31" i="62"/>
  <c r="BA91" i="62"/>
  <c r="BI53" i="62"/>
  <c r="BA101" i="62"/>
  <c r="AI11" i="62"/>
  <c r="AQ71" i="62"/>
  <c r="AM68" i="62"/>
  <c r="AE68" i="62"/>
  <c r="AM82" i="62"/>
  <c r="BI26" i="62"/>
  <c r="BE67" i="62"/>
  <c r="BE90" i="62"/>
  <c r="AM11" i="62"/>
  <c r="AM43" i="62"/>
  <c r="AE43" i="62"/>
  <c r="AW59" i="62"/>
  <c r="AM70" i="62"/>
  <c r="BE91" i="62"/>
  <c r="AW54" i="62"/>
  <c r="BA53" i="62"/>
  <c r="AQ8" i="62"/>
  <c r="AQ20" i="62"/>
  <c r="AM32" i="62"/>
  <c r="BI69" i="62"/>
  <c r="AQ31" i="62"/>
  <c r="AW92" i="62"/>
  <c r="BE89" i="62"/>
  <c r="AQ75" i="62"/>
  <c r="AW15" i="62"/>
  <c r="BE97" i="62"/>
  <c r="AM38" i="62"/>
  <c r="AW21" i="62"/>
  <c r="BI23" i="62"/>
  <c r="BA83" i="62"/>
  <c r="AE85" i="62"/>
  <c r="AI8" i="62"/>
  <c r="AI10" i="62"/>
  <c r="AI34" i="62"/>
  <c r="AE82" i="62"/>
  <c r="AQ35" i="62"/>
  <c r="BI19" i="62"/>
  <c r="BI47" i="62"/>
  <c r="AW101" i="62"/>
  <c r="BA51" i="62"/>
  <c r="AI100" i="62"/>
  <c r="BE74" i="62"/>
  <c r="BE5" i="62"/>
  <c r="BA54" i="62"/>
  <c r="AE35" i="62"/>
  <c r="AE59" i="62"/>
  <c r="AI77" i="62"/>
  <c r="AE19" i="62"/>
  <c r="AE27" i="62"/>
  <c r="AI35" i="62"/>
  <c r="AI65" i="62"/>
  <c r="AI4" i="62"/>
  <c r="AE44" i="62"/>
  <c r="BA34" i="62"/>
  <c r="BA74" i="62"/>
  <c r="AQ90" i="62"/>
  <c r="AI90" i="62"/>
  <c r="BE84" i="62"/>
  <c r="BI48" i="62"/>
  <c r="AM80" i="62"/>
  <c r="AP204" i="58"/>
  <c r="AQ19" i="62"/>
  <c r="AQ39" i="62"/>
  <c r="AQ87" i="62"/>
  <c r="AI87" i="62"/>
  <c r="AQ88" i="62"/>
  <c r="BA69" i="62"/>
  <c r="BI70" i="62"/>
  <c r="BE45" i="62"/>
  <c r="BA197" i="61"/>
  <c r="AI198" i="61"/>
  <c r="U109" i="61"/>
  <c r="M109" i="61"/>
  <c r="AQ177" i="61"/>
  <c r="BE194" i="61"/>
  <c r="AW193" i="61"/>
  <c r="AI183" i="61"/>
  <c r="Y183" i="61"/>
  <c r="Y201" i="61"/>
  <c r="Q201" i="61"/>
  <c r="AI178" i="61"/>
  <c r="AW161" i="61"/>
  <c r="Y182" i="61"/>
  <c r="Q182" i="61"/>
  <c r="BA181" i="61"/>
  <c r="AW165" i="61"/>
  <c r="AW163" i="61"/>
  <c r="Y169" i="61"/>
  <c r="Q169" i="61"/>
  <c r="U185" i="61"/>
  <c r="BE117" i="61"/>
  <c r="AW117" i="61"/>
  <c r="AM195" i="61"/>
  <c r="AE195" i="61"/>
  <c r="AI118" i="61"/>
  <c r="U126" i="61"/>
  <c r="M126" i="61"/>
  <c r="AE166" i="61"/>
  <c r="BA193" i="61"/>
  <c r="BA133" i="61"/>
  <c r="BA145" i="61"/>
  <c r="AW169" i="61"/>
  <c r="Y198" i="61"/>
  <c r="Y162" i="61"/>
  <c r="Q162" i="61"/>
  <c r="AM185" i="61"/>
  <c r="Y171" i="61"/>
  <c r="Q171" i="61"/>
  <c r="AI193" i="61"/>
  <c r="AW184" i="61"/>
  <c r="U142" i="61"/>
  <c r="AI138" i="61"/>
  <c r="BA157" i="61"/>
  <c r="AI110" i="61"/>
  <c r="AQ176" i="61"/>
  <c r="AE141" i="61"/>
  <c r="AE179" i="61"/>
  <c r="AI147" i="61"/>
  <c r="Y147" i="61"/>
  <c r="BA137" i="61"/>
  <c r="AQ137" i="61"/>
  <c r="AW129" i="61"/>
  <c r="AQ121" i="61"/>
  <c r="AI121" i="61"/>
  <c r="AE111" i="61"/>
  <c r="AE165" i="61"/>
  <c r="AM137" i="61"/>
  <c r="AE131" i="61"/>
  <c r="AI119" i="61"/>
  <c r="Y119" i="61"/>
  <c r="BA113" i="61"/>
  <c r="AE145" i="61"/>
  <c r="U119" i="61"/>
  <c r="M119" i="61"/>
  <c r="AW181" i="61"/>
  <c r="BA132" i="61"/>
  <c r="AQ132" i="61"/>
  <c r="BA112" i="61"/>
  <c r="AQ112" i="61"/>
  <c r="AE134" i="61"/>
  <c r="AW124" i="61"/>
  <c r="U150" i="61"/>
  <c r="M150" i="61"/>
  <c r="AQ145" i="61"/>
  <c r="BA155" i="61"/>
  <c r="Y174" i="61"/>
  <c r="Q174" i="61"/>
  <c r="Y157" i="61"/>
  <c r="Y197" i="61"/>
  <c r="Q197" i="61"/>
  <c r="AI127" i="61"/>
  <c r="AI171" i="61"/>
  <c r="BA148" i="61"/>
  <c r="AW171" i="61"/>
  <c r="AW149" i="61"/>
  <c r="AM119" i="61"/>
  <c r="BE114" i="61"/>
  <c r="BI166" i="61"/>
  <c r="M185" i="61"/>
  <c r="AQ157" i="61"/>
  <c r="M199" i="61"/>
  <c r="BE50" i="62"/>
  <c r="AW50" i="62"/>
  <c r="AE8" i="62"/>
  <c r="AI73" i="62"/>
  <c r="U87" i="62"/>
  <c r="M87" i="62"/>
  <c r="AE21" i="62"/>
  <c r="AE37" i="62"/>
  <c r="AE67" i="62"/>
  <c r="AI21" i="62"/>
  <c r="AE42" i="62"/>
  <c r="AE51" i="62"/>
  <c r="AI29" i="62"/>
  <c r="AI41" i="62"/>
  <c r="AI67" i="62"/>
  <c r="AE95" i="62"/>
  <c r="AE24" i="62"/>
  <c r="AQ4" i="62"/>
  <c r="AQ80" i="62"/>
  <c r="AI80" i="62"/>
  <c r="AW94" i="62"/>
  <c r="AQ23" i="62"/>
  <c r="BI8" i="62"/>
  <c r="BI74" i="62"/>
  <c r="BE96" i="62"/>
  <c r="BE69" i="62"/>
  <c r="BI93" i="62"/>
  <c r="BI99" i="62"/>
  <c r="AI376" i="61"/>
  <c r="AE338" i="61"/>
  <c r="AQ197" i="61"/>
  <c r="U198" i="61"/>
  <c r="M198" i="61"/>
  <c r="AW201" i="61"/>
  <c r="AE182" i="61"/>
  <c r="BI196" i="61"/>
  <c r="AQ189" i="61"/>
  <c r="Y189" i="61"/>
  <c r="AQ200" i="61"/>
  <c r="U133" i="61"/>
  <c r="M133" i="61"/>
  <c r="BA176" i="61"/>
  <c r="Y185" i="61"/>
  <c r="Q185" i="61"/>
  <c r="AW176" i="61"/>
  <c r="AQ183" i="61"/>
  <c r="BA163" i="61"/>
  <c r="AQ163" i="61"/>
  <c r="U187" i="61"/>
  <c r="M187" i="61"/>
  <c r="AW177" i="61"/>
  <c r="Y135" i="61"/>
  <c r="BI147" i="61"/>
  <c r="BA147" i="61"/>
  <c r="BA109" i="61"/>
  <c r="Y170" i="61"/>
  <c r="Q170" i="61"/>
  <c r="BE189" i="61"/>
  <c r="AE118" i="61"/>
  <c r="Y126" i="61"/>
  <c r="Q126" i="61"/>
  <c r="Y161" i="61"/>
  <c r="U166" i="61"/>
  <c r="M166" i="61"/>
  <c r="AM193" i="61"/>
  <c r="AW133" i="61"/>
  <c r="AM189" i="61"/>
  <c r="U167" i="61"/>
  <c r="U190" i="61"/>
  <c r="M190" i="61"/>
  <c r="BE147" i="61"/>
  <c r="BE195" i="61"/>
  <c r="AE190" i="61"/>
  <c r="Y195" i="61"/>
  <c r="Q195" i="61"/>
  <c r="U182" i="61"/>
  <c r="BA125" i="61"/>
  <c r="AQ125" i="61"/>
  <c r="Y187" i="61"/>
  <c r="Q187" i="61"/>
  <c r="AE174" i="61"/>
  <c r="AM153" i="61"/>
  <c r="AI174" i="61"/>
  <c r="AE177" i="61"/>
  <c r="BA172" i="61"/>
  <c r="AM169" i="61"/>
  <c r="AI187" i="61"/>
  <c r="AE133" i="61"/>
  <c r="AE151" i="61"/>
  <c r="AI186" i="61"/>
  <c r="AI194" i="61"/>
  <c r="AE115" i="61"/>
  <c r="AE169" i="61"/>
  <c r="BA153" i="61"/>
  <c r="AQ153" i="61"/>
  <c r="AE143" i="61"/>
  <c r="BE135" i="61"/>
  <c r="BA129" i="61"/>
  <c r="AQ129" i="61"/>
  <c r="AI123" i="61"/>
  <c r="Y123" i="61"/>
  <c r="AQ117" i="61"/>
  <c r="AE121" i="61"/>
  <c r="AQ54" i="62"/>
  <c r="M174" i="61"/>
  <c r="AI5" i="62"/>
  <c r="Q135" i="61"/>
  <c r="AI113" i="61"/>
  <c r="AI133" i="61"/>
  <c r="BE10" i="62"/>
  <c r="T204" i="58"/>
  <c r="AM63" i="62"/>
  <c r="AW68" i="62"/>
  <c r="AM75" i="62"/>
  <c r="AE75" i="62"/>
  <c r="AI55" i="62"/>
  <c r="AE77" i="62"/>
  <c r="AE23" i="62"/>
  <c r="AI61" i="62"/>
  <c r="AE69" i="62"/>
  <c r="AI69" i="62"/>
  <c r="AI14" i="62"/>
  <c r="AE26" i="62"/>
  <c r="AE40" i="62"/>
  <c r="BA6" i="62"/>
  <c r="AM65" i="62"/>
  <c r="AQ82" i="62"/>
  <c r="AI82" i="62"/>
  <c r="BE56" i="62"/>
  <c r="BE92" i="62"/>
  <c r="AQ85" i="62"/>
  <c r="AQ15" i="62"/>
  <c r="AQ59" i="62"/>
  <c r="AQ93" i="62"/>
  <c r="AI93" i="62"/>
  <c r="BE37" i="62"/>
  <c r="BE53" i="62"/>
  <c r="BE73" i="62"/>
  <c r="AV61" i="58"/>
  <c r="AM191" i="61"/>
  <c r="AE191" i="61"/>
  <c r="BA200" i="61"/>
  <c r="AI141" i="61"/>
  <c r="Y141" i="61"/>
  <c r="U175" i="61"/>
  <c r="M175" i="61"/>
  <c r="U157" i="61"/>
  <c r="M157" i="61"/>
  <c r="Y159" i="61"/>
  <c r="Q159" i="61"/>
  <c r="BA192" i="61"/>
  <c r="BA177" i="61"/>
  <c r="AI126" i="61"/>
  <c r="U161" i="61"/>
  <c r="M161" i="61"/>
  <c r="Y166" i="61"/>
  <c r="Q166" i="61"/>
  <c r="AM163" i="61"/>
  <c r="AE163" i="61"/>
  <c r="AI182" i="61"/>
  <c r="BA173" i="61"/>
  <c r="U159" i="61"/>
  <c r="M159" i="61"/>
  <c r="AE186" i="61"/>
  <c r="BA159" i="61"/>
  <c r="AQ159" i="61"/>
  <c r="AE199" i="61"/>
  <c r="BI168" i="61"/>
  <c r="AM159" i="61"/>
  <c r="AE159" i="61"/>
  <c r="AI181" i="61"/>
  <c r="BA168" i="61"/>
  <c r="BI169" i="61"/>
  <c r="BA169" i="61"/>
  <c r="U163" i="61"/>
  <c r="M163" i="61"/>
  <c r="AQ168" i="61"/>
  <c r="AI114" i="61"/>
  <c r="AI158" i="61"/>
  <c r="AI190" i="61"/>
  <c r="AI154" i="61"/>
  <c r="AW153" i="61"/>
  <c r="BI139" i="61"/>
  <c r="BA139" i="61"/>
  <c r="BE131" i="61"/>
  <c r="AW131" i="61"/>
  <c r="AI170" i="61"/>
  <c r="AI151" i="61"/>
  <c r="Y151" i="61"/>
  <c r="U135" i="61"/>
  <c r="M135" i="61"/>
  <c r="BA121" i="61"/>
  <c r="AI111" i="61"/>
  <c r="Y111" i="61"/>
  <c r="AI122" i="61"/>
  <c r="AE157" i="61"/>
  <c r="U111" i="61"/>
  <c r="M111" i="61"/>
  <c r="BE115" i="61"/>
  <c r="BA140" i="61"/>
  <c r="AQ140" i="61"/>
  <c r="AQ160" i="61"/>
  <c r="Y142" i="61"/>
  <c r="Q142" i="61"/>
  <c r="BA120" i="61"/>
  <c r="AQ120" i="61"/>
  <c r="U127" i="61"/>
  <c r="M127" i="61"/>
  <c r="Y158" i="61"/>
  <c r="AI135" i="61"/>
  <c r="Y122" i="61"/>
  <c r="Q122" i="61"/>
  <c r="AI185" i="61"/>
  <c r="Y145" i="61"/>
  <c r="Y177" i="61"/>
  <c r="Q177" i="61"/>
  <c r="Y138" i="61"/>
  <c r="Q138" i="61"/>
  <c r="AI143" i="61"/>
  <c r="AE142" i="61"/>
  <c r="BA164" i="61"/>
  <c r="AW115" i="61"/>
  <c r="AW137" i="61"/>
  <c r="AW120" i="61"/>
  <c r="BI134" i="61"/>
  <c r="BI198" i="61"/>
  <c r="T248" i="58"/>
  <c r="T219" i="58"/>
  <c r="T190" i="58"/>
  <c r="T258" i="58"/>
  <c r="T229" i="58"/>
  <c r="T268" i="58"/>
  <c r="T170" i="58"/>
  <c r="T209" i="58"/>
  <c r="T180" i="58"/>
  <c r="BA319" i="62"/>
  <c r="AM320" i="62"/>
  <c r="AI62" i="62"/>
  <c r="AI88" i="62"/>
  <c r="M162" i="61"/>
  <c r="AQ141" i="61"/>
  <c r="AM60" i="62"/>
  <c r="BE35" i="62"/>
  <c r="BE99" i="62"/>
  <c r="BA43" i="62"/>
  <c r="AI91" i="62"/>
  <c r="AE39" i="62"/>
  <c r="BA11" i="62"/>
  <c r="AE11" i="62"/>
  <c r="AE79" i="62"/>
  <c r="AI63" i="62"/>
  <c r="Y5" i="62"/>
  <c r="Q5" i="62"/>
  <c r="AI12" i="62"/>
  <c r="AE47" i="62"/>
  <c r="AI33" i="62"/>
  <c r="AI46" i="62"/>
  <c r="AE99" i="62"/>
  <c r="AI16" i="62"/>
  <c r="AE32" i="62"/>
  <c r="AW22" i="62"/>
  <c r="AQ86" i="62"/>
  <c r="BE12" i="62"/>
  <c r="BE24" i="62"/>
  <c r="BE100" i="62"/>
  <c r="AI32" i="62"/>
  <c r="AQ65" i="62"/>
  <c r="AQ95" i="62"/>
  <c r="AI95" i="62"/>
  <c r="BI56" i="62"/>
  <c r="BE77" i="62"/>
  <c r="BI297" i="61"/>
  <c r="Y278" i="61"/>
  <c r="BI354" i="61"/>
  <c r="AW352" i="61"/>
  <c r="AW346" i="61"/>
  <c r="AI327" i="61"/>
  <c r="AE298" i="61"/>
  <c r="U301" i="61"/>
  <c r="U193" i="61"/>
  <c r="M193" i="61"/>
  <c r="U195" i="61"/>
  <c r="M195" i="61"/>
  <c r="AM109" i="61"/>
  <c r="AW185" i="61"/>
  <c r="AQ193" i="61"/>
  <c r="AE201" i="61"/>
  <c r="AE167" i="61"/>
  <c r="AQ180" i="61"/>
  <c r="Y134" i="61"/>
  <c r="Q134" i="61"/>
  <c r="AM165" i="61"/>
  <c r="U143" i="61"/>
  <c r="M143" i="61"/>
  <c r="BA171" i="61"/>
  <c r="AE183" i="61"/>
  <c r="U155" i="61"/>
  <c r="M155" i="61"/>
  <c r="Y143" i="61"/>
  <c r="AW192" i="61"/>
  <c r="AE178" i="61"/>
  <c r="BI195" i="61"/>
  <c r="BA195" i="61"/>
  <c r="AI179" i="61"/>
  <c r="Y179" i="61"/>
  <c r="Y118" i="61"/>
  <c r="AE126" i="61"/>
  <c r="U131" i="61"/>
  <c r="M131" i="61"/>
  <c r="Y129" i="61"/>
  <c r="Q129" i="61"/>
  <c r="AI166" i="61"/>
  <c r="BE123" i="61"/>
  <c r="U171" i="61"/>
  <c r="BI191" i="61"/>
  <c r="AM161" i="61"/>
  <c r="BI162" i="61"/>
  <c r="AQ173" i="61"/>
  <c r="Y155" i="61"/>
  <c r="Q155" i="61"/>
  <c r="BI187" i="61"/>
  <c r="AM155" i="61"/>
  <c r="AE155" i="61"/>
  <c r="U183" i="61"/>
  <c r="M183" i="61"/>
  <c r="Y190" i="61"/>
  <c r="Q190" i="61"/>
  <c r="AQ188" i="61"/>
  <c r="AI175" i="61"/>
  <c r="AI165" i="61"/>
  <c r="BE175" i="61"/>
  <c r="AQ196" i="61"/>
  <c r="BI165" i="61"/>
  <c r="BA165" i="61"/>
  <c r="AW157" i="61"/>
  <c r="BI188" i="61"/>
  <c r="AI150" i="61"/>
  <c r="BI163" i="61"/>
  <c r="AQ164" i="61"/>
  <c r="U151" i="61"/>
  <c r="Y131" i="61"/>
  <c r="Q131" i="61"/>
  <c r="AE123" i="61"/>
  <c r="AE113" i="61"/>
  <c r="AI162" i="61"/>
  <c r="U147" i="61"/>
  <c r="M147" i="61"/>
  <c r="AI115" i="61"/>
  <c r="Y115" i="61"/>
  <c r="Q161" i="61"/>
  <c r="AW73" i="62"/>
  <c r="BA50" i="62"/>
  <c r="BI320" i="62"/>
  <c r="BA56" i="62"/>
  <c r="BA96" i="62"/>
  <c r="AI130" i="61"/>
  <c r="BE111" i="61"/>
  <c r="U123" i="61"/>
  <c r="AE147" i="61"/>
  <c r="AW173" i="61"/>
  <c r="Y150" i="61"/>
  <c r="Q150" i="61"/>
  <c r="U134" i="61"/>
  <c r="BA116" i="61"/>
  <c r="BA156" i="61"/>
  <c r="BA136" i="61"/>
  <c r="BA128" i="61"/>
  <c r="AQ116" i="61"/>
  <c r="AM129" i="61"/>
  <c r="AI149" i="61"/>
  <c r="Y154" i="61"/>
  <c r="Q154" i="61"/>
  <c r="U125" i="61"/>
  <c r="Y149" i="61"/>
  <c r="Y181" i="61"/>
  <c r="Y130" i="61"/>
  <c r="AI167" i="61"/>
  <c r="BA184" i="61"/>
  <c r="AW155" i="61"/>
  <c r="AW144" i="61"/>
  <c r="AQ191" i="61"/>
  <c r="AM124" i="61"/>
  <c r="BI150" i="61"/>
  <c r="BI318" i="62"/>
  <c r="AR215" i="58"/>
  <c r="P239" i="58"/>
  <c r="P219" i="58"/>
  <c r="P190" i="58"/>
  <c r="P268" i="58"/>
  <c r="P229" i="58"/>
  <c r="P258" i="58"/>
  <c r="P170" i="58"/>
  <c r="P248" i="58"/>
  <c r="P209" i="58"/>
  <c r="P180" i="58"/>
  <c r="AQ319" i="62"/>
  <c r="BA318" i="62"/>
  <c r="Q181" i="61"/>
  <c r="BI18" i="62"/>
  <c r="BI64" i="62"/>
  <c r="BA73" i="62"/>
  <c r="BA21" i="62"/>
  <c r="BE27" i="62"/>
  <c r="AM14" i="62"/>
  <c r="AM71" i="62"/>
  <c r="AW84" i="62"/>
  <c r="BA62" i="62"/>
  <c r="U12" i="62"/>
  <c r="M12" i="62"/>
  <c r="U10" i="62"/>
  <c r="M10" i="62"/>
  <c r="BA60" i="62"/>
  <c r="BE25" i="62"/>
  <c r="BA76" i="62"/>
  <c r="AQ74" i="62"/>
  <c r="AV254" i="58"/>
  <c r="AE322" i="62"/>
  <c r="R268" i="58"/>
  <c r="R170" i="58"/>
  <c r="R209" i="58"/>
  <c r="R180" i="58"/>
  <c r="R258" i="58"/>
  <c r="R229" i="58"/>
  <c r="R248" i="58"/>
  <c r="R219" i="58"/>
  <c r="R190" i="58"/>
  <c r="U322" i="62"/>
  <c r="M322" i="62"/>
  <c r="M134" i="61"/>
  <c r="BE30" i="62"/>
  <c r="BA37" i="62"/>
  <c r="AR204" i="58"/>
  <c r="AW31" i="62"/>
  <c r="AW56" i="62"/>
  <c r="AW64" i="62"/>
  <c r="AW88" i="62"/>
  <c r="H277" i="61" a="1"/>
  <c r="H277" i="61"/>
  <c r="H284" i="61" a="1"/>
  <c r="H284" i="61"/>
  <c r="H276" i="61" a="1"/>
  <c r="H276" i="61"/>
  <c r="H359" i="61" a="1"/>
  <c r="H359" i="61"/>
  <c r="BA64" i="62"/>
  <c r="AE149" i="61"/>
  <c r="BE159" i="61"/>
  <c r="U115" i="61"/>
  <c r="BE119" i="61"/>
  <c r="BE139" i="61"/>
  <c r="AW164" i="61"/>
  <c r="AW197" i="61"/>
  <c r="AM125" i="61"/>
  <c r="BA144" i="61"/>
  <c r="AQ144" i="61"/>
  <c r="BE127" i="61"/>
  <c r="AW132" i="61"/>
  <c r="AE122" i="61"/>
  <c r="Y110" i="61"/>
  <c r="Q110" i="61"/>
  <c r="BE141" i="61"/>
  <c r="Y114" i="61"/>
  <c r="Q114" i="61"/>
  <c r="Y178" i="61"/>
  <c r="Y173" i="61"/>
  <c r="Q173" i="61"/>
  <c r="AE146" i="61"/>
  <c r="AI199" i="61"/>
  <c r="BA152" i="61"/>
  <c r="AW183" i="61"/>
  <c r="AW140" i="61"/>
  <c r="AM135" i="61"/>
  <c r="AE135" i="61"/>
  <c r="AW112" i="61"/>
  <c r="BI190" i="61"/>
  <c r="V268" i="58"/>
  <c r="V170" i="58"/>
  <c r="V209" i="58"/>
  <c r="V180" i="58"/>
  <c r="V258" i="58"/>
  <c r="V229" i="58"/>
  <c r="V248" i="58"/>
  <c r="V219" i="58"/>
  <c r="V190" i="58"/>
  <c r="AQ322" i="62"/>
  <c r="AW319" i="62"/>
  <c r="M318" i="62"/>
  <c r="M115" i="61"/>
  <c r="Q117" i="61"/>
  <c r="M110" i="61"/>
  <c r="BE58" i="62"/>
  <c r="AE17" i="62"/>
  <c r="AQ320" i="62"/>
  <c r="BI15" i="62"/>
  <c r="BI67" i="62"/>
  <c r="BI81" i="62"/>
  <c r="AW72" i="62"/>
  <c r="AM83" i="62"/>
  <c r="AW100" i="62"/>
  <c r="BE26" i="62"/>
  <c r="BE32" i="62"/>
  <c r="AW30" i="62"/>
  <c r="AM64" i="62"/>
  <c r="AW89" i="62"/>
  <c r="AQ56" i="62"/>
  <c r="BA72" i="62"/>
  <c r="AM9" i="62"/>
  <c r="U6" i="62"/>
  <c r="M6" i="62"/>
  <c r="BA68" i="62"/>
  <c r="BI39" i="62"/>
  <c r="BA13" i="62"/>
  <c r="BE6" i="62"/>
  <c r="BI46" i="62"/>
  <c r="M22" i="62"/>
  <c r="H334" i="61" a="1"/>
  <c r="H334" i="61"/>
  <c r="H274" i="61" a="1"/>
  <c r="H274" i="61"/>
  <c r="BA123" i="61"/>
  <c r="H215" i="61" a="1"/>
  <c r="H215" i="61"/>
  <c r="H223" i="61" a="1"/>
  <c r="H223" i="61"/>
  <c r="AM25" i="62"/>
  <c r="AQ78" i="62"/>
  <c r="U40" i="62"/>
  <c r="M40" i="62"/>
  <c r="U14" i="62"/>
  <c r="M14" i="62"/>
  <c r="AQ60" i="62"/>
  <c r="BA92" i="62"/>
  <c r="AQ66" i="62"/>
  <c r="AE16" i="62"/>
  <c r="AE12" i="62"/>
  <c r="AQ72" i="62"/>
  <c r="BI36" i="62"/>
  <c r="BA71" i="55"/>
  <c r="AP61" i="58"/>
  <c r="AR61" i="58"/>
  <c r="AT61" i="58"/>
  <c r="AE61" i="58"/>
  <c r="AI61" i="58"/>
  <c r="AC61" i="58"/>
  <c r="AG61" i="58"/>
  <c r="AX41" i="58"/>
  <c r="AX29" i="58"/>
  <c r="AT111" i="58"/>
  <c r="AR181" i="58"/>
  <c r="R527" i="58"/>
  <c r="T527" i="58"/>
  <c r="AR230" i="58"/>
  <c r="AR269" i="58"/>
  <c r="P220" i="58"/>
  <c r="AE245" i="58"/>
  <c r="AI260" i="58"/>
  <c r="AE250" i="58"/>
  <c r="AE243" i="58"/>
  <c r="AI265" i="58"/>
  <c r="AI226" i="58"/>
  <c r="AI177" i="58"/>
  <c r="AI255" i="58"/>
  <c r="AI216" i="58"/>
  <c r="AI246" i="58"/>
  <c r="AE240" i="58"/>
  <c r="AT165" i="58"/>
  <c r="Y292" i="61"/>
  <c r="Y274" i="61"/>
  <c r="Y281" i="61"/>
  <c r="BA295" i="61"/>
  <c r="AE365" i="61"/>
  <c r="U309" i="61"/>
  <c r="Y310" i="61"/>
  <c r="Y279" i="61"/>
  <c r="AE294" i="61"/>
  <c r="AW298" i="61"/>
  <c r="BE312" i="61"/>
  <c r="AM337" i="61"/>
  <c r="BE321" i="61"/>
  <c r="AE283" i="61"/>
  <c r="Y299" i="61"/>
  <c r="BA299" i="61"/>
  <c r="AI272" i="61"/>
  <c r="AW274" i="61"/>
  <c r="BE379" i="61"/>
  <c r="U313" i="61"/>
  <c r="AW386" i="61"/>
  <c r="AI286" i="61"/>
  <c r="AE307" i="61"/>
  <c r="Y276" i="61"/>
  <c r="BE361" i="61"/>
  <c r="AQ374" i="61"/>
  <c r="Y378" i="61"/>
  <c r="AE286" i="61"/>
  <c r="AW288" i="61"/>
  <c r="BA345" i="61"/>
  <c r="AQ301" i="61"/>
  <c r="BE299" i="61"/>
  <c r="AI352" i="61"/>
  <c r="AI372" i="61"/>
  <c r="AI297" i="61"/>
  <c r="AI351" i="61"/>
  <c r="AM276" i="61"/>
  <c r="AM281" i="61"/>
  <c r="BI283" i="61"/>
  <c r="BE351" i="61"/>
  <c r="AQ297" i="61"/>
  <c r="BI290" i="61"/>
  <c r="Y289" i="61"/>
  <c r="BI350" i="61"/>
  <c r="AE381" i="61"/>
  <c r="BA339" i="61"/>
  <c r="AE304" i="61"/>
  <c r="U294" i="61"/>
  <c r="BI384" i="61"/>
  <c r="AI278" i="61"/>
  <c r="BA273" i="61"/>
  <c r="AW278" i="61"/>
  <c r="AI298" i="61"/>
  <c r="Y312" i="61"/>
  <c r="AW359" i="61"/>
  <c r="AE369" i="61"/>
  <c r="BA315" i="61"/>
  <c r="AW356" i="61"/>
  <c r="U286" i="61"/>
  <c r="BA307" i="61"/>
  <c r="AQ333" i="61"/>
  <c r="BE287" i="61"/>
  <c r="BI379" i="61"/>
  <c r="U376" i="61"/>
  <c r="BE375" i="61"/>
  <c r="U359" i="61"/>
  <c r="AW324" i="61"/>
  <c r="BA378" i="61"/>
  <c r="BA296" i="61"/>
  <c r="AE297" i="61"/>
  <c r="AW284" i="61"/>
  <c r="U354" i="61"/>
  <c r="AE372" i="61"/>
  <c r="AM278" i="61"/>
  <c r="Y272" i="61"/>
  <c r="BE329" i="61"/>
  <c r="BE285" i="61"/>
  <c r="Y316" i="61"/>
  <c r="AW294" i="61"/>
  <c r="BA313" i="61"/>
  <c r="BA369" i="61"/>
  <c r="BA385" i="61"/>
  <c r="AQ339" i="61"/>
  <c r="BE295" i="61"/>
  <c r="BA286" i="61"/>
  <c r="Y374" i="61"/>
  <c r="BE290" i="61"/>
  <c r="AE383" i="61"/>
  <c r="Y329" i="61"/>
  <c r="AM352" i="61"/>
  <c r="AM279" i="61"/>
  <c r="Y308" i="61"/>
  <c r="AW296" i="61"/>
  <c r="AW364" i="61"/>
  <c r="AE367" i="61"/>
  <c r="BI336" i="61"/>
  <c r="BE356" i="61"/>
  <c r="AW378" i="61"/>
  <c r="BE380" i="61"/>
  <c r="BA360" i="61"/>
  <c r="AW309" i="61"/>
  <c r="BA305" i="61"/>
  <c r="AM302" i="61"/>
  <c r="AQ323" i="61"/>
  <c r="AQ279" i="61"/>
  <c r="AM272" i="61"/>
  <c r="AM277" i="61"/>
  <c r="Y368" i="61"/>
  <c r="BI287" i="61"/>
  <c r="BE298" i="61"/>
  <c r="BE378" i="61"/>
  <c r="BE306" i="61"/>
  <c r="BA384" i="61"/>
  <c r="BA371" i="61"/>
  <c r="U319" i="61"/>
  <c r="BI322" i="61"/>
  <c r="AW336" i="61"/>
  <c r="BI360" i="61"/>
  <c r="AW376" i="61"/>
  <c r="BA377" i="61"/>
  <c r="BE293" i="61"/>
  <c r="U305" i="61"/>
  <c r="AQ364" i="61"/>
  <c r="BE307" i="61"/>
  <c r="BE369" i="61"/>
  <c r="BI301" i="61"/>
  <c r="BI305" i="61"/>
  <c r="BE373" i="61"/>
  <c r="BI291" i="61"/>
  <c r="AM351" i="61"/>
  <c r="AM355" i="61"/>
  <c r="AM273" i="61"/>
  <c r="AQ353" i="61"/>
  <c r="U296" i="61"/>
  <c r="U328" i="61"/>
  <c r="AQ293" i="61"/>
  <c r="AM333" i="61"/>
  <c r="BA337" i="61"/>
  <c r="Y322" i="61"/>
  <c r="BI300" i="61"/>
  <c r="AW314" i="61"/>
  <c r="BE324" i="61"/>
  <c r="BI356" i="61"/>
  <c r="BI378" i="61"/>
  <c r="AW338" i="61"/>
  <c r="AQ379" i="61"/>
  <c r="U321" i="61"/>
  <c r="BA324" i="61"/>
  <c r="BI307" i="61"/>
  <c r="BE317" i="61"/>
  <c r="BE323" i="61"/>
  <c r="BI359" i="61"/>
  <c r="AW303" i="61"/>
  <c r="BE333" i="61"/>
  <c r="U293" i="61"/>
  <c r="Y353" i="61"/>
  <c r="BA276" i="61"/>
  <c r="U355" i="61"/>
  <c r="Y351" i="61"/>
  <c r="U330" i="61"/>
  <c r="Y324" i="61"/>
  <c r="BA340" i="61"/>
  <c r="AW384" i="61"/>
  <c r="AW306" i="61"/>
  <c r="BI306" i="61"/>
  <c r="BA323" i="61"/>
  <c r="AW358" i="61"/>
  <c r="BI299" i="61"/>
  <c r="AI274" i="61"/>
  <c r="BI353" i="61"/>
  <c r="AI355" i="61"/>
  <c r="U353" i="61"/>
  <c r="BI351" i="61"/>
  <c r="BI355" i="61"/>
  <c r="BI294" i="61"/>
  <c r="AE366" i="61"/>
  <c r="AM327" i="61"/>
  <c r="AM320" i="61"/>
  <c r="Y373" i="61"/>
  <c r="U278" i="61"/>
  <c r="BE328" i="61"/>
  <c r="AQ309" i="61"/>
  <c r="AQ296" i="61"/>
  <c r="AI305" i="61"/>
  <c r="AQ275" i="61"/>
  <c r="BI285" i="61"/>
  <c r="AE329" i="61"/>
  <c r="U326" i="61"/>
  <c r="Y341" i="61"/>
  <c r="BA325" i="61"/>
  <c r="BI293" i="61"/>
  <c r="Y327" i="61"/>
  <c r="U303" i="61"/>
  <c r="U312" i="61"/>
  <c r="AQ377" i="61"/>
  <c r="AQ288" i="61"/>
  <c r="AW299" i="61"/>
  <c r="AE351" i="61"/>
  <c r="BE274" i="61"/>
  <c r="BI277" i="61"/>
  <c r="AM280" i="61"/>
  <c r="Y290" i="61"/>
  <c r="AE321" i="61"/>
  <c r="BI376" i="61"/>
  <c r="AE315" i="61"/>
  <c r="BE296" i="61"/>
  <c r="U324" i="61"/>
  <c r="BA375" i="61"/>
  <c r="AM339" i="61"/>
  <c r="AW374" i="61"/>
  <c r="BE376" i="61"/>
  <c r="AW300" i="61"/>
  <c r="AM307" i="61"/>
  <c r="AM323" i="61"/>
  <c r="BI319" i="61"/>
  <c r="BA359" i="61"/>
  <c r="BA301" i="61"/>
  <c r="BA303" i="61"/>
  <c r="AM330" i="61"/>
  <c r="AI313" i="61"/>
  <c r="AW321" i="61"/>
  <c r="M309" i="35"/>
  <c r="I397" i="35"/>
  <c r="S223" i="35"/>
  <c r="AG100" i="58"/>
  <c r="V104" i="58"/>
  <c r="S477" i="35"/>
  <c r="N477" i="35"/>
  <c r="M477" i="35"/>
  <c r="M131" i="35"/>
  <c r="S394" i="35"/>
  <c r="P477" i="35"/>
  <c r="K131" i="35"/>
  <c r="I483" i="35"/>
  <c r="Q51" i="35"/>
  <c r="P309" i="35"/>
  <c r="K223" i="35"/>
  <c r="AE270" i="58"/>
  <c r="V120" i="58"/>
  <c r="R303" i="35"/>
  <c r="Q391" i="35"/>
  <c r="L391" i="35"/>
  <c r="AR51" i="58"/>
  <c r="AE51" i="58"/>
  <c r="AC51" i="58"/>
  <c r="AM143" i="55"/>
  <c r="AP50" i="58"/>
  <c r="Y143" i="55"/>
  <c r="AQ143" i="55"/>
  <c r="AR50" i="58"/>
  <c r="AG51" i="58"/>
  <c r="AI161" i="55"/>
  <c r="AI51" i="58"/>
  <c r="BA161" i="55"/>
  <c r="AV51" i="58"/>
  <c r="BA143" i="55"/>
  <c r="AV50" i="58"/>
  <c r="AP51" i="58"/>
  <c r="AW143" i="55"/>
  <c r="AT50" i="58"/>
  <c r="AT51" i="58"/>
  <c r="X3" i="58"/>
  <c r="Y151" i="62"/>
  <c r="AM163" i="62"/>
  <c r="AX39" i="58"/>
  <c r="Y175" i="62"/>
  <c r="AE180" i="62"/>
  <c r="X37" i="58"/>
  <c r="AK47" i="58"/>
  <c r="X33" i="58"/>
  <c r="AK49" i="58"/>
  <c r="AX30" i="58"/>
  <c r="X10" i="58"/>
  <c r="AK40" i="58"/>
  <c r="AX37" i="58"/>
  <c r="X31" i="58"/>
  <c r="AK10" i="58"/>
  <c r="AK23" i="58"/>
  <c r="X49" i="58"/>
  <c r="X38" i="58"/>
  <c r="AK27" i="58"/>
  <c r="AX40" i="58"/>
  <c r="AK45" i="58"/>
  <c r="AX45" i="58"/>
  <c r="AK35" i="58"/>
  <c r="AK31" i="58"/>
  <c r="AX21" i="58"/>
  <c r="X14" i="58"/>
  <c r="AK39" i="58"/>
  <c r="AK29" i="58"/>
  <c r="X25" i="58"/>
  <c r="AK24" i="58"/>
  <c r="AI259" i="58"/>
  <c r="H401" i="62" a="1"/>
  <c r="H401" i="62"/>
  <c r="K648" i="35"/>
  <c r="N45" i="35"/>
  <c r="L303" i="35"/>
  <c r="M45" i="35"/>
  <c r="M391" i="35"/>
  <c r="K563" i="35"/>
  <c r="P45" i="35"/>
  <c r="AQ418" i="62"/>
  <c r="AQ400" i="62"/>
  <c r="AE197" i="58"/>
  <c r="AE176" i="58"/>
  <c r="AQ396" i="62"/>
  <c r="BI414" i="62"/>
  <c r="U400" i="62"/>
  <c r="AW398" i="62"/>
  <c r="AQ419" i="62"/>
  <c r="AE216" i="58"/>
  <c r="AE225" i="58"/>
  <c r="H290" i="62" a="1"/>
  <c r="H290" i="62"/>
  <c r="H218" i="62" a="1"/>
  <c r="H218" i="62"/>
  <c r="AK33" i="58"/>
  <c r="AX14" i="58"/>
  <c r="X6" i="58"/>
  <c r="AX47" i="58"/>
  <c r="X21" i="58"/>
  <c r="AX49" i="58"/>
  <c r="AX48" i="58"/>
  <c r="AK32" i="58"/>
  <c r="AX23" i="58"/>
  <c r="AK21" i="58"/>
  <c r="AK25" i="58"/>
  <c r="AX6" i="58"/>
  <c r="AK34" i="58"/>
  <c r="AX32" i="58"/>
  <c r="AX33" i="58"/>
  <c r="X29" i="58"/>
  <c r="AK2" i="58"/>
  <c r="AK37" i="58"/>
  <c r="AK41" i="58"/>
  <c r="X23" i="58"/>
  <c r="X39" i="58"/>
  <c r="AK3" i="58"/>
  <c r="AK18" i="58"/>
  <c r="X30" i="58"/>
  <c r="X22" i="58"/>
  <c r="X46" i="58"/>
  <c r="AX22" i="58"/>
  <c r="X41" i="58"/>
  <c r="AK42" i="58"/>
  <c r="AK19" i="58"/>
  <c r="AK26" i="58"/>
  <c r="X45" i="58"/>
  <c r="AX25" i="58"/>
  <c r="AK43" i="58"/>
  <c r="AK48" i="58"/>
  <c r="X11" i="58"/>
  <c r="X16" i="58"/>
  <c r="X47" i="58"/>
  <c r="AX24" i="58"/>
  <c r="AX31" i="58"/>
  <c r="AK11" i="58"/>
  <c r="Y137" i="62"/>
  <c r="AQ193" i="62"/>
  <c r="AI119" i="62"/>
  <c r="AM184" i="62"/>
  <c r="Y149" i="62"/>
  <c r="BA413" i="62"/>
  <c r="BA401" i="62"/>
  <c r="AW420" i="62"/>
  <c r="AQ406" i="62"/>
  <c r="BE403" i="62"/>
  <c r="BA405" i="62"/>
  <c r="BI419" i="62"/>
  <c r="BE407" i="62"/>
  <c r="AE401" i="62"/>
  <c r="BA399" i="62"/>
  <c r="U414" i="62"/>
  <c r="U422" i="62"/>
  <c r="BA421" i="62"/>
  <c r="AQ412" i="62"/>
  <c r="U404" i="62"/>
  <c r="AQ401" i="62"/>
  <c r="U413" i="62"/>
  <c r="BE396" i="62"/>
  <c r="AM399" i="62"/>
  <c r="AQ420" i="62"/>
  <c r="AG524" i="58"/>
  <c r="AQ410" i="62"/>
  <c r="AM417" i="62"/>
  <c r="AM412" i="62"/>
  <c r="AI201" i="62"/>
  <c r="BI416" i="62"/>
  <c r="AM400" i="62"/>
  <c r="U145" i="62"/>
  <c r="Y196" i="62"/>
  <c r="Y141" i="62"/>
  <c r="Y143" i="62"/>
  <c r="AM419" i="62"/>
  <c r="BI417" i="62"/>
  <c r="BA179" i="62"/>
  <c r="BI163" i="62"/>
  <c r="BI202" i="62"/>
  <c r="AQ142" i="62"/>
  <c r="Y179" i="62"/>
  <c r="Y195" i="62"/>
  <c r="BI421" i="62"/>
  <c r="AW402" i="62"/>
  <c r="AM420" i="62"/>
  <c r="AQ409" i="62"/>
  <c r="AQ397" i="62"/>
  <c r="AM401" i="62"/>
  <c r="BE406" i="62"/>
  <c r="BE414" i="62"/>
  <c r="BI403" i="62"/>
  <c r="BE410" i="62"/>
  <c r="AT524" i="58"/>
  <c r="BI407" i="62"/>
  <c r="BA205" i="62"/>
  <c r="AV524" i="58"/>
  <c r="Y135" i="62"/>
  <c r="U152" i="62"/>
  <c r="U165" i="62"/>
  <c r="Y162" i="62"/>
  <c r="AE177" i="62"/>
  <c r="AI185" i="62"/>
  <c r="AQ205" i="62"/>
  <c r="AI176" i="62"/>
  <c r="AQ149" i="62"/>
  <c r="U150" i="62"/>
  <c r="BI415" i="62"/>
  <c r="BE413" i="62"/>
  <c r="BE401" i="62"/>
  <c r="AM410" i="62"/>
  <c r="AQ417" i="62"/>
  <c r="BA419" i="62"/>
  <c r="AW400" i="62"/>
  <c r="AM396" i="62"/>
  <c r="AQ421" i="62"/>
  <c r="AQ402" i="62"/>
  <c r="AP524" i="58"/>
  <c r="M129" i="62"/>
  <c r="AW205" i="62"/>
  <c r="Q129" i="62"/>
  <c r="U3" i="62"/>
  <c r="AC524" i="58"/>
  <c r="AI3" i="62"/>
  <c r="AI524" i="58"/>
  <c r="BE361" i="62"/>
  <c r="AE205" i="62"/>
  <c r="Y205" i="62"/>
  <c r="Q113" i="62"/>
  <c r="BA102" i="62"/>
  <c r="AV199" i="58"/>
  <c r="Y3" i="62"/>
  <c r="AE524" i="58"/>
  <c r="AM102" i="62"/>
  <c r="AP199" i="58"/>
  <c r="AQ102" i="62"/>
  <c r="AR199" i="58"/>
  <c r="AI199" i="58"/>
  <c r="AM205" i="62"/>
  <c r="BA409" i="62"/>
  <c r="U411" i="62"/>
  <c r="AW405" i="62"/>
  <c r="AI205" i="62"/>
  <c r="AQ175" i="62"/>
  <c r="AI197" i="62"/>
  <c r="M113" i="62"/>
  <c r="BE144" i="62"/>
  <c r="BA397" i="62"/>
  <c r="BA411" i="62"/>
  <c r="BE405" i="62"/>
  <c r="BE415" i="62"/>
  <c r="AM418" i="62"/>
  <c r="AQ414" i="62"/>
  <c r="AQ422" i="62"/>
  <c r="AW406" i="62"/>
  <c r="AM411" i="62"/>
  <c r="BI397" i="62"/>
  <c r="AG199" i="58"/>
  <c r="AC199" i="58"/>
  <c r="AR524" i="58"/>
  <c r="Y102" i="62"/>
  <c r="AE199" i="58"/>
  <c r="AW102" i="62"/>
  <c r="AT199" i="58"/>
  <c r="U419" i="62"/>
  <c r="AE406" i="62"/>
  <c r="O305" i="35"/>
  <c r="O393" i="35"/>
  <c r="O479" i="35"/>
  <c r="U418" i="62"/>
  <c r="U409" i="62"/>
  <c r="U399" i="62"/>
  <c r="AE397" i="62"/>
  <c r="AE398" i="62"/>
  <c r="AE400" i="62"/>
  <c r="AE420" i="62"/>
  <c r="O47" i="35"/>
  <c r="U420" i="62"/>
  <c r="Q408" i="62"/>
  <c r="U408" i="62"/>
  <c r="AE413" i="62"/>
  <c r="AE419" i="62"/>
  <c r="U412" i="62"/>
  <c r="M395" i="62"/>
  <c r="AE421" i="62"/>
  <c r="U396" i="62"/>
  <c r="U398" i="62"/>
  <c r="Y408" i="62"/>
  <c r="AE404" i="62"/>
  <c r="AE402" i="62"/>
  <c r="AE414" i="62"/>
  <c r="AI422" i="62"/>
  <c r="U406" i="62"/>
  <c r="AE411" i="62"/>
  <c r="AE405" i="62"/>
  <c r="M303" i="35"/>
  <c r="AI408" i="62"/>
  <c r="O565" i="35"/>
  <c r="O650" i="35"/>
  <c r="U421" i="62"/>
  <c r="U417" i="62"/>
  <c r="U407" i="62"/>
  <c r="U405" i="62"/>
  <c r="U416" i="62"/>
  <c r="U402" i="62"/>
  <c r="AE408" i="62"/>
  <c r="U410" i="62"/>
  <c r="U401" i="62"/>
  <c r="AE415" i="62"/>
  <c r="AI396" i="62"/>
  <c r="Y395" i="62"/>
  <c r="M408" i="62"/>
  <c r="U415" i="62"/>
  <c r="AE396" i="62"/>
  <c r="AE410" i="62"/>
  <c r="AE418" i="62"/>
  <c r="AE416" i="62"/>
  <c r="AE417" i="62"/>
  <c r="AE412" i="62"/>
  <c r="AE399" i="62"/>
  <c r="L217" i="35"/>
  <c r="K477" i="35"/>
  <c r="O219" i="35"/>
  <c r="T219" i="35"/>
  <c r="T308" i="35"/>
  <c r="T653" i="35"/>
  <c r="T222" i="35"/>
  <c r="G21" i="35"/>
  <c r="Q480" i="35"/>
  <c r="R654" i="35"/>
  <c r="H397" i="35"/>
  <c r="S651" i="35"/>
  <c r="Q134" i="35"/>
  <c r="K51" i="35"/>
  <c r="S45" i="35"/>
  <c r="S391" i="35"/>
  <c r="T396" i="35"/>
  <c r="S306" i="35"/>
  <c r="R220" i="35"/>
  <c r="T568" i="35"/>
  <c r="Q569" i="35"/>
  <c r="AR166" i="58"/>
  <c r="I137" i="35"/>
  <c r="S51" i="35"/>
  <c r="I51" i="35"/>
  <c r="P137" i="35"/>
  <c r="R217" i="35"/>
  <c r="Q303" i="35"/>
  <c r="I173" i="35"/>
  <c r="R173" i="35"/>
  <c r="T61" i="35"/>
  <c r="Y22" i="61"/>
  <c r="BE3" i="61"/>
  <c r="AW35" i="61"/>
  <c r="AE13" i="61"/>
  <c r="U22" i="61"/>
  <c r="U32" i="61"/>
  <c r="AW8" i="61"/>
  <c r="AW32" i="61"/>
  <c r="Y30" i="61"/>
  <c r="Y3" i="61"/>
  <c r="BI12" i="61"/>
  <c r="AE26" i="61"/>
  <c r="Y35" i="61"/>
  <c r="AM5" i="61"/>
  <c r="AE18" i="61"/>
  <c r="AE19" i="61"/>
  <c r="AQ21" i="61"/>
  <c r="BA14" i="61"/>
  <c r="BA18" i="61"/>
  <c r="BE17" i="61"/>
  <c r="BE67" i="61"/>
  <c r="BE15" i="61"/>
  <c r="AI90" i="61"/>
  <c r="BE85" i="61"/>
  <c r="AI50" i="61"/>
  <c r="AM54" i="61"/>
  <c r="AI56" i="61"/>
  <c r="BE12" i="61"/>
  <c r="Y55" i="61"/>
  <c r="AI85" i="61"/>
  <c r="BI59" i="61"/>
  <c r="AQ49" i="61"/>
  <c r="AW49" i="61"/>
  <c r="U17" i="61"/>
  <c r="Y4" i="61"/>
  <c r="Y8" i="61"/>
  <c r="AM6" i="61"/>
  <c r="U34" i="61"/>
  <c r="AM15" i="61"/>
  <c r="BE10" i="61"/>
  <c r="U81" i="61"/>
  <c r="BA48" i="61"/>
  <c r="AQ28" i="61"/>
  <c r="Y25" i="61"/>
  <c r="H388" i="61" a="1"/>
  <c r="H388" i="61"/>
  <c r="H347" i="61" a="1"/>
  <c r="H347" i="61"/>
  <c r="AQ345" i="61"/>
  <c r="AQ346" i="61"/>
  <c r="AQ74" i="61"/>
  <c r="U18" i="61"/>
  <c r="Y21" i="61"/>
  <c r="BI29" i="61"/>
  <c r="Y29" i="61"/>
  <c r="BE23" i="61"/>
  <c r="U103" i="61"/>
  <c r="BI17" i="61"/>
  <c r="BE18" i="61"/>
  <c r="AW11" i="61"/>
  <c r="BE30" i="61"/>
  <c r="U5" i="61"/>
  <c r="AE27" i="61"/>
  <c r="BI34" i="61"/>
  <c r="AQ15" i="61"/>
  <c r="BA10" i="61"/>
  <c r="AM19" i="61"/>
  <c r="BI18" i="61"/>
  <c r="AI60" i="61"/>
  <c r="BE20" i="61"/>
  <c r="BE92" i="61"/>
  <c r="AM55" i="61"/>
  <c r="AM59" i="61"/>
  <c r="BE49" i="61"/>
  <c r="BE73" i="61"/>
  <c r="AQ87" i="61"/>
  <c r="AM36" i="61"/>
  <c r="BE91" i="61"/>
  <c r="AM9" i="61"/>
  <c r="AQ16" i="61"/>
  <c r="AM43" i="61"/>
  <c r="BI79" i="61"/>
  <c r="Y69" i="61"/>
  <c r="AQ35" i="61"/>
  <c r="U4" i="61"/>
  <c r="U8" i="61"/>
  <c r="BE8" i="61"/>
  <c r="Y28" i="61"/>
  <c r="BI4" i="61"/>
  <c r="BA16" i="61"/>
  <c r="AI25" i="61"/>
  <c r="AW4" i="61"/>
  <c r="AW24" i="61"/>
  <c r="AI29" i="61"/>
  <c r="AM30" i="61"/>
  <c r="AW29" i="61"/>
  <c r="AW61" i="61"/>
  <c r="BI25" i="61"/>
  <c r="AQ94" i="61"/>
  <c r="BA52" i="61"/>
  <c r="BA76" i="61"/>
  <c r="BI92" i="61"/>
  <c r="AE50" i="61"/>
  <c r="BA44" i="61"/>
  <c r="AI64" i="61"/>
  <c r="BI43" i="61"/>
  <c r="BI91" i="61"/>
  <c r="U12" i="61"/>
  <c r="BI24" i="61"/>
  <c r="U13" i="61"/>
  <c r="U31" i="61"/>
  <c r="AW19" i="61"/>
  <c r="U41" i="61"/>
  <c r="U29" i="61"/>
  <c r="AI33" i="61"/>
  <c r="AW26" i="61"/>
  <c r="AW10" i="61"/>
  <c r="AI21" i="61"/>
  <c r="Y82" i="61"/>
  <c r="Y42" i="61"/>
  <c r="BA80" i="61"/>
  <c r="AW48" i="61"/>
  <c r="BA101" i="61"/>
  <c r="BE6" i="61"/>
  <c r="BA12" i="61"/>
  <c r="BI21" i="61"/>
  <c r="AW64" i="61"/>
  <c r="BA88" i="61"/>
  <c r="AQ54" i="61"/>
  <c r="BE65" i="61"/>
  <c r="AQ71" i="61"/>
  <c r="AQ45" i="61"/>
  <c r="AE101" i="61"/>
  <c r="AM13" i="61"/>
  <c r="Y32" i="61"/>
  <c r="BE32" i="61"/>
  <c r="U3" i="61"/>
  <c r="U33" i="61"/>
  <c r="U6" i="61"/>
  <c r="U23" i="61"/>
  <c r="Y14" i="61"/>
  <c r="BI26" i="61"/>
  <c r="AQ17" i="61"/>
  <c r="AQ5" i="61"/>
  <c r="AW34" i="61"/>
  <c r="AQ23" i="61"/>
  <c r="AQ31" i="61"/>
  <c r="Y5" i="61"/>
  <c r="BE22" i="61"/>
  <c r="BE16" i="61"/>
  <c r="Y6" i="61"/>
  <c r="U14" i="61"/>
  <c r="AM18" i="61"/>
  <c r="AM31" i="61"/>
  <c r="AW14" i="61"/>
  <c r="BI102" i="61"/>
  <c r="U101" i="61"/>
  <c r="U7" i="61"/>
  <c r="U16" i="61"/>
  <c r="BI35" i="61"/>
  <c r="U30" i="61"/>
  <c r="BI16" i="61"/>
  <c r="U15" i="61"/>
  <c r="AE25" i="61"/>
  <c r="AE23" i="61"/>
  <c r="AE28" i="61"/>
  <c r="AE8" i="61"/>
  <c r="AE24" i="61"/>
  <c r="AI34" i="61"/>
  <c r="AI22" i="61"/>
  <c r="AI10" i="61"/>
  <c r="AE9" i="61"/>
  <c r="AE29" i="61"/>
  <c r="AI16" i="61"/>
  <c r="AI18" i="61"/>
  <c r="AI24" i="61"/>
  <c r="Y208" i="61"/>
  <c r="AE145" i="58"/>
  <c r="AE122" i="58"/>
  <c r="AI208" i="61"/>
  <c r="AI122" i="58"/>
  <c r="AI145" i="58"/>
  <c r="Y9" i="61"/>
  <c r="Y27" i="61"/>
  <c r="AV145" i="58"/>
  <c r="AE16" i="61"/>
  <c r="U35" i="61"/>
  <c r="AE33" i="61"/>
  <c r="AE7" i="61"/>
  <c r="AE21" i="61"/>
  <c r="Y37" i="61"/>
  <c r="AE10" i="61"/>
  <c r="AQ34" i="61"/>
  <c r="AI12" i="61"/>
  <c r="AI32" i="61"/>
  <c r="AE4" i="61"/>
  <c r="AI26" i="61"/>
  <c r="AI4" i="61"/>
  <c r="AE105" i="61"/>
  <c r="AP145" i="58"/>
  <c r="AP122" i="58"/>
  <c r="AE208" i="61"/>
  <c r="AG145" i="58"/>
  <c r="AG122" i="58"/>
  <c r="U208" i="61"/>
  <c r="AC122" i="58"/>
  <c r="AC145" i="58"/>
  <c r="AQ208" i="61"/>
  <c r="AR145" i="58"/>
  <c r="AR122" i="58"/>
  <c r="Y11" i="61"/>
  <c r="U98" i="61"/>
  <c r="Y100" i="61"/>
  <c r="Y104" i="61"/>
  <c r="Y13" i="61"/>
  <c r="Y99" i="61"/>
  <c r="Y19" i="61"/>
  <c r="AV122" i="58"/>
  <c r="AQ13" i="61"/>
  <c r="BI8" i="61"/>
  <c r="Y10" i="61"/>
  <c r="Y12" i="61"/>
  <c r="Y16" i="61"/>
  <c r="U20" i="61"/>
  <c r="U24" i="61"/>
  <c r="U36" i="61"/>
  <c r="U28" i="61"/>
  <c r="AE17" i="61"/>
  <c r="AE5" i="61"/>
  <c r="BE4" i="61"/>
  <c r="BE24" i="61"/>
  <c r="BE34" i="61"/>
  <c r="AE15" i="61"/>
  <c r="U26" i="61"/>
  <c r="U11" i="61"/>
  <c r="U19" i="61"/>
  <c r="AE20" i="61"/>
  <c r="AE12" i="61"/>
  <c r="AI28" i="61"/>
  <c r="AE32" i="61"/>
  <c r="AI36" i="61"/>
  <c r="AE14" i="61"/>
  <c r="AI30" i="61"/>
  <c r="AE6" i="61"/>
  <c r="AI3" i="61"/>
  <c r="AI6" i="61"/>
  <c r="AE103" i="61"/>
  <c r="AM56" i="61"/>
  <c r="AT145" i="58"/>
  <c r="AT122" i="58"/>
  <c r="AI104" i="61"/>
  <c r="Y101" i="61"/>
  <c r="Y17" i="61"/>
  <c r="Y103" i="61"/>
  <c r="Y7" i="61"/>
  <c r="U25" i="61"/>
  <c r="Y18" i="61"/>
  <c r="Y20" i="61"/>
  <c r="Y24" i="61"/>
  <c r="Y36" i="61"/>
  <c r="Y26" i="61"/>
  <c r="U9" i="61"/>
  <c r="Y34" i="61"/>
  <c r="AM27" i="61"/>
  <c r="Y33" i="61"/>
  <c r="AE31" i="61"/>
  <c r="AE22" i="61"/>
  <c r="AE36" i="61"/>
  <c r="U10" i="61"/>
  <c r="AI20" i="61"/>
  <c r="AE30" i="61"/>
  <c r="U27" i="61"/>
  <c r="AE11" i="61"/>
  <c r="AI14" i="61"/>
  <c r="AI8" i="61"/>
  <c r="BI37" i="61"/>
  <c r="U102" i="61"/>
  <c r="U100" i="61"/>
  <c r="Y23" i="61"/>
  <c r="Y15" i="61"/>
  <c r="U104" i="61"/>
  <c r="Y31" i="61"/>
  <c r="P125" i="58"/>
  <c r="R125" i="58"/>
  <c r="AW304" i="61"/>
  <c r="BI104" i="61"/>
  <c r="BI100" i="61"/>
  <c r="BE105" i="61"/>
  <c r="BE102" i="61"/>
  <c r="BE98" i="61"/>
  <c r="BI105" i="61"/>
  <c r="BI101" i="61"/>
  <c r="BE101" i="61"/>
  <c r="AW100" i="61"/>
  <c r="AW103" i="61"/>
  <c r="AQ102" i="61"/>
  <c r="AQ100" i="61"/>
  <c r="AM99" i="61"/>
  <c r="AM102" i="61"/>
  <c r="AW98" i="61"/>
  <c r="BA98" i="61"/>
  <c r="AM105" i="61"/>
  <c r="AM101" i="61"/>
  <c r="AQ104" i="61"/>
  <c r="BE14" i="61"/>
  <c r="BE13" i="61"/>
  <c r="BE7" i="61"/>
  <c r="BI23" i="61"/>
  <c r="BI14" i="61"/>
  <c r="BE35" i="61"/>
  <c r="BE28" i="61"/>
  <c r="BE31" i="61"/>
  <c r="BI27" i="61"/>
  <c r="BI22" i="61"/>
  <c r="BI10" i="61"/>
  <c r="BI3" i="61"/>
  <c r="BI30" i="61"/>
  <c r="BE33" i="61"/>
  <c r="BE21" i="61"/>
  <c r="BE36" i="61"/>
  <c r="BI11" i="61"/>
  <c r="BI31" i="61"/>
  <c r="BI36" i="61"/>
  <c r="BE19" i="61"/>
  <c r="BE27" i="61"/>
  <c r="BE29" i="61"/>
  <c r="BE5" i="61"/>
  <c r="BE37" i="61"/>
  <c r="BI33" i="61"/>
  <c r="BI5" i="61"/>
  <c r="BI6" i="61"/>
  <c r="AM25" i="61"/>
  <c r="AM16" i="61"/>
  <c r="AM7" i="61"/>
  <c r="AW21" i="61"/>
  <c r="AW13" i="61"/>
  <c r="AM26" i="61"/>
  <c r="AM24" i="61"/>
  <c r="AM29" i="61"/>
  <c r="AM22" i="61"/>
  <c r="AM4" i="61"/>
  <c r="BA27" i="61"/>
  <c r="AW31" i="61"/>
  <c r="AM12" i="61"/>
  <c r="BA35" i="61"/>
  <c r="AQ24" i="61"/>
  <c r="AQ10" i="61"/>
  <c r="AW20" i="61"/>
  <c r="BA9" i="61"/>
  <c r="BA21" i="61"/>
  <c r="BA15" i="61"/>
  <c r="AM3" i="61"/>
  <c r="AM37" i="61"/>
  <c r="AM34" i="61"/>
  <c r="AM28" i="61"/>
  <c r="AM21" i="61"/>
  <c r="AW27" i="61"/>
  <c r="AW25" i="61"/>
  <c r="BA31" i="61"/>
  <c r="AM10" i="61"/>
  <c r="AW22" i="61"/>
  <c r="BA37" i="61"/>
  <c r="AQ18" i="61"/>
  <c r="BA11" i="61"/>
  <c r="AQ14" i="61"/>
  <c r="AW6" i="61"/>
  <c r="BA25" i="61"/>
  <c r="AQ12" i="61"/>
  <c r="AW3" i="61"/>
  <c r="AW18" i="61"/>
  <c r="AW7" i="61"/>
  <c r="AW33" i="61"/>
  <c r="AW36" i="61"/>
  <c r="AQ20" i="61"/>
  <c r="AQ29" i="61"/>
  <c r="AW28" i="61"/>
  <c r="AQ32" i="61"/>
  <c r="BA29" i="61"/>
  <c r="AM11" i="61"/>
  <c r="AW9" i="61"/>
  <c r="AW23" i="61"/>
  <c r="AW30" i="61"/>
  <c r="AQ4" i="61"/>
  <c r="AQ26" i="61"/>
  <c r="BA17" i="61"/>
  <c r="BA13" i="61"/>
  <c r="AQ6" i="61"/>
  <c r="AQ3" i="61"/>
  <c r="AQ8" i="61"/>
  <c r="AM35" i="61"/>
  <c r="AQ37" i="61"/>
  <c r="AQ27" i="61"/>
  <c r="AQ25" i="61"/>
  <c r="AM23" i="61"/>
  <c r="AM33" i="61"/>
  <c r="AQ19" i="61"/>
  <c r="AW37" i="61"/>
  <c r="AM20" i="61"/>
  <c r="AM8" i="61"/>
  <c r="AW17" i="61"/>
  <c r="AM32" i="61"/>
  <c r="AQ36" i="61"/>
  <c r="BA33" i="61"/>
  <c r="BA20" i="61"/>
  <c r="BA23" i="61"/>
  <c r="BA28" i="61"/>
  <c r="AW12" i="61"/>
  <c r="BA5" i="61"/>
  <c r="BA19" i="61"/>
  <c r="AW15" i="61"/>
  <c r="BA7" i="61"/>
  <c r="BE416" i="62"/>
  <c r="BE419" i="62"/>
  <c r="BI396" i="62"/>
  <c r="BE398" i="62"/>
  <c r="BI413" i="62"/>
  <c r="BE409" i="62"/>
  <c r="BI422" i="62"/>
  <c r="BE404" i="62"/>
  <c r="BE412" i="62"/>
  <c r="BI420" i="62"/>
  <c r="BI401" i="62"/>
  <c r="BE400" i="62"/>
  <c r="BE402" i="62"/>
  <c r="BE421" i="62"/>
  <c r="BE422" i="62"/>
  <c r="BI400" i="62"/>
  <c r="BI411" i="62"/>
  <c r="BI405" i="62"/>
  <c r="BE408" i="62"/>
  <c r="BE420" i="62"/>
  <c r="BI399" i="62"/>
  <c r="AW418" i="62"/>
  <c r="AW422" i="62"/>
  <c r="AM403" i="62"/>
  <c r="AM402" i="62"/>
  <c r="AQ415" i="62"/>
  <c r="BA415" i="62"/>
  <c r="BA420" i="62"/>
  <c r="BA404" i="62"/>
  <c r="AW401" i="62"/>
  <c r="AW413" i="62"/>
  <c r="AQ416" i="62"/>
  <c r="AW417" i="62"/>
  <c r="AW415" i="62"/>
  <c r="AW407" i="62"/>
  <c r="BA408" i="62"/>
  <c r="BA412" i="62"/>
  <c r="T305" i="35"/>
  <c r="T650" i="35"/>
  <c r="AQ407" i="62"/>
  <c r="AM409" i="62"/>
  <c r="AM397" i="62"/>
  <c r="BA418" i="62"/>
  <c r="AM422" i="62"/>
  <c r="AW404" i="62"/>
  <c r="AW414" i="62"/>
  <c r="AM398" i="62"/>
  <c r="AM407" i="62"/>
  <c r="AM406" i="62"/>
  <c r="AW416" i="62"/>
  <c r="AW409" i="62"/>
  <c r="AW399" i="62"/>
  <c r="AW421" i="62"/>
  <c r="T47" i="35"/>
  <c r="T393" i="35"/>
  <c r="AW408" i="62"/>
  <c r="BA422" i="62"/>
  <c r="AM421" i="62"/>
  <c r="BA396" i="62"/>
  <c r="AM416" i="62"/>
  <c r="BA398" i="62"/>
  <c r="AW396" i="62"/>
  <c r="AW411" i="62"/>
  <c r="AM405" i="62"/>
  <c r="T133" i="35"/>
  <c r="T479" i="35"/>
  <c r="BA417" i="62"/>
  <c r="AW410" i="62"/>
  <c r="AM413" i="62"/>
  <c r="BA402" i="62"/>
  <c r="AQ411" i="62"/>
  <c r="BA400" i="62"/>
  <c r="AW397" i="62"/>
  <c r="BA406" i="62"/>
  <c r="BA410" i="62"/>
  <c r="BA414" i="62"/>
  <c r="T565" i="35"/>
  <c r="AE169" i="58"/>
  <c r="AE313" i="62"/>
  <c r="AG267" i="58"/>
  <c r="AG257" i="58"/>
  <c r="AG238" i="58"/>
  <c r="AI229" i="58"/>
  <c r="AI268" i="58"/>
  <c r="AI170" i="58"/>
  <c r="AI258" i="58"/>
  <c r="AI209" i="58"/>
  <c r="AI180" i="58"/>
  <c r="AI248" i="58"/>
  <c r="AI219" i="58"/>
  <c r="AI190" i="58"/>
  <c r="AE318" i="62"/>
  <c r="AG209" i="58"/>
  <c r="AG248" i="58"/>
  <c r="AG219" i="58"/>
  <c r="AG190" i="58"/>
  <c r="AG258" i="58"/>
  <c r="AG229" i="58"/>
  <c r="AG268" i="58"/>
  <c r="AG170" i="58"/>
  <c r="AG180" i="58"/>
  <c r="AC258" i="58"/>
  <c r="AC229" i="58"/>
  <c r="AC268" i="58"/>
  <c r="AC170" i="58"/>
  <c r="AC209" i="58"/>
  <c r="AC180" i="58"/>
  <c r="AC248" i="58"/>
  <c r="AC219" i="58"/>
  <c r="AC190" i="58"/>
  <c r="AE296" i="62"/>
  <c r="AG169" i="58"/>
  <c r="AC257" i="58"/>
  <c r="AC267" i="58"/>
  <c r="AC238" i="58"/>
  <c r="AC169" i="58"/>
  <c r="AI257" i="58"/>
  <c r="AI267" i="58"/>
  <c r="AI238" i="58"/>
  <c r="Y313" i="62"/>
  <c r="AE257" i="58"/>
  <c r="AE267" i="58"/>
  <c r="AE238" i="58"/>
  <c r="AI296" i="62"/>
  <c r="AI169" i="58"/>
  <c r="AE268" i="58"/>
  <c r="AE170" i="58"/>
  <c r="AE209" i="58"/>
  <c r="AE180" i="58"/>
  <c r="AE248" i="58"/>
  <c r="AE219" i="58"/>
  <c r="AE190" i="58"/>
  <c r="AE258" i="58"/>
  <c r="AE229" i="58"/>
  <c r="AV169" i="58"/>
  <c r="AM313" i="62"/>
  <c r="AP267" i="58"/>
  <c r="AP238" i="58"/>
  <c r="AP257" i="58"/>
  <c r="AM318" i="62"/>
  <c r="AP258" i="58"/>
  <c r="AP229" i="58"/>
  <c r="AP190" i="58"/>
  <c r="AP170" i="58"/>
  <c r="AP219" i="58"/>
  <c r="AP209" i="58"/>
  <c r="AP180" i="58"/>
  <c r="AP268" i="58"/>
  <c r="AP248" i="58"/>
  <c r="AR169" i="58"/>
  <c r="AQ313" i="62"/>
  <c r="AR267" i="58"/>
  <c r="AR238" i="58"/>
  <c r="AR257" i="58"/>
  <c r="AP169" i="58"/>
  <c r="AV257" i="58"/>
  <c r="AV238" i="58"/>
  <c r="AV267" i="58"/>
  <c r="AR268" i="58"/>
  <c r="AR258" i="58"/>
  <c r="AR248" i="58"/>
  <c r="AR229" i="58"/>
  <c r="AR219" i="58"/>
  <c r="AR190" i="58"/>
  <c r="AR209" i="58"/>
  <c r="AR180" i="58"/>
  <c r="AR170" i="58"/>
  <c r="AV248" i="58"/>
  <c r="AV219" i="58"/>
  <c r="AV190" i="58"/>
  <c r="AV258" i="58"/>
  <c r="AV268" i="58"/>
  <c r="AV170" i="58"/>
  <c r="AV209" i="58"/>
  <c r="AV229" i="58"/>
  <c r="AV180" i="58"/>
  <c r="AT169" i="58"/>
  <c r="AW313" i="62"/>
  <c r="AT267" i="58"/>
  <c r="AT238" i="58"/>
  <c r="AT257" i="58"/>
  <c r="AT209" i="58"/>
  <c r="AT180" i="58"/>
  <c r="AT268" i="58"/>
  <c r="AT170" i="58"/>
  <c r="AT258" i="58"/>
  <c r="AT229" i="58"/>
  <c r="AT248" i="58"/>
  <c r="AT219" i="58"/>
  <c r="AT190" i="58"/>
  <c r="AE215" i="62"/>
  <c r="BA215" i="62"/>
  <c r="AW215" i="62"/>
  <c r="BE215" i="62"/>
  <c r="N544" i="35"/>
  <c r="N629" i="35"/>
  <c r="N458" i="35"/>
  <c r="N372" i="35"/>
  <c r="N284" i="35"/>
  <c r="N198" i="35"/>
  <c r="N112" i="35"/>
  <c r="N26" i="35"/>
  <c r="R544" i="35"/>
  <c r="R629" i="35"/>
  <c r="R284" i="35"/>
  <c r="R112" i="35"/>
  <c r="R26" i="35"/>
  <c r="R24" i="35"/>
  <c r="R458" i="35"/>
  <c r="R372" i="35"/>
  <c r="R198" i="35"/>
  <c r="K544" i="35"/>
  <c r="K458" i="35"/>
  <c r="K372" i="35"/>
  <c r="K198" i="35"/>
  <c r="K112" i="35"/>
  <c r="K284" i="35"/>
  <c r="K26" i="35"/>
  <c r="K629" i="35"/>
  <c r="S544" i="35"/>
  <c r="S629" i="35"/>
  <c r="S458" i="35"/>
  <c r="S372" i="35"/>
  <c r="S284" i="35"/>
  <c r="S198" i="35"/>
  <c r="S112" i="35"/>
  <c r="S26" i="35"/>
  <c r="L544" i="35"/>
  <c r="L458" i="35"/>
  <c r="L372" i="35"/>
  <c r="L284" i="35"/>
  <c r="L198" i="35"/>
  <c r="L112" i="35"/>
  <c r="L26" i="35"/>
  <c r="L629" i="35"/>
  <c r="P544" i="35"/>
  <c r="P629" i="35"/>
  <c r="P458" i="35"/>
  <c r="P284" i="35"/>
  <c r="P198" i="35"/>
  <c r="P26" i="35"/>
  <c r="P372" i="35"/>
  <c r="P112" i="35"/>
  <c r="P110" i="35"/>
  <c r="Q544" i="35"/>
  <c r="Q629" i="35"/>
  <c r="Q458" i="35"/>
  <c r="Q372" i="35"/>
  <c r="Q284" i="35"/>
  <c r="Q198" i="35"/>
  <c r="Q112" i="35"/>
  <c r="Q26" i="35"/>
  <c r="M544" i="35"/>
  <c r="M458" i="35"/>
  <c r="M284" i="35"/>
  <c r="M112" i="35"/>
  <c r="M372" i="35"/>
  <c r="M198" i="35"/>
  <c r="M26" i="35"/>
  <c r="M629" i="35"/>
  <c r="AR149" i="58"/>
  <c r="AG149" i="58"/>
  <c r="Q223" i="61"/>
  <c r="AE149" i="58"/>
  <c r="AP149" i="58"/>
  <c r="AV149" i="58"/>
  <c r="AT149" i="58"/>
  <c r="AI149" i="58"/>
  <c r="AC149" i="58"/>
  <c r="Y355" i="61"/>
  <c r="U316" i="61"/>
  <c r="BE284" i="61"/>
  <c r="BE292" i="61"/>
  <c r="Y350" i="61"/>
  <c r="AI279" i="61"/>
  <c r="BE272" i="61"/>
  <c r="Y352" i="61"/>
  <c r="BI278" i="61"/>
  <c r="BE280" i="61"/>
  <c r="U318" i="61"/>
  <c r="AQ289" i="61"/>
  <c r="U288" i="61"/>
  <c r="AC125" i="58"/>
  <c r="AW350" i="61"/>
  <c r="Y333" i="61"/>
  <c r="U382" i="61"/>
  <c r="Y360" i="61"/>
  <c r="AQ283" i="61"/>
  <c r="AE346" i="61"/>
  <c r="AM379" i="61"/>
  <c r="U378" i="61"/>
  <c r="Y382" i="61"/>
  <c r="AQ291" i="61"/>
  <c r="BA365" i="61"/>
  <c r="Y340" i="61"/>
  <c r="BI320" i="61"/>
  <c r="BI345" i="61"/>
  <c r="BE372" i="61"/>
  <c r="AW370" i="61"/>
  <c r="BA364" i="61"/>
  <c r="AQ368" i="61"/>
  <c r="AQ386" i="61"/>
  <c r="BE311" i="61"/>
  <c r="BE339" i="61"/>
  <c r="BE303" i="61"/>
  <c r="Y338" i="61"/>
  <c r="U384" i="61"/>
  <c r="U329" i="61"/>
  <c r="AQ295" i="61"/>
  <c r="AM386" i="61"/>
  <c r="AE362" i="61"/>
  <c r="BE322" i="61"/>
  <c r="AM357" i="61"/>
  <c r="AW362" i="61"/>
  <c r="AM311" i="61"/>
  <c r="BA341" i="61"/>
  <c r="AQ338" i="61"/>
  <c r="AW313" i="61"/>
  <c r="U285" i="61"/>
  <c r="BE291" i="61"/>
  <c r="BI292" i="61"/>
  <c r="BE353" i="61"/>
  <c r="BE276" i="61"/>
  <c r="BE355" i="61"/>
  <c r="U351" i="61"/>
  <c r="BI274" i="61"/>
  <c r="Y339" i="61"/>
  <c r="AM285" i="61"/>
  <c r="Y379" i="61"/>
  <c r="U370" i="61"/>
  <c r="Y386" i="61"/>
  <c r="BE289" i="61"/>
  <c r="U291" i="61"/>
  <c r="BE314" i="61"/>
  <c r="Y357" i="61"/>
  <c r="U336" i="61"/>
  <c r="AE275" i="61"/>
  <c r="U314" i="61"/>
  <c r="BI302" i="61"/>
  <c r="BE318" i="61"/>
  <c r="BE320" i="61"/>
  <c r="BI324" i="61"/>
  <c r="BA326" i="61"/>
  <c r="BI362" i="61"/>
  <c r="BI382" i="61"/>
  <c r="BA356" i="61"/>
  <c r="AM317" i="61"/>
  <c r="BE297" i="61"/>
  <c r="BA321" i="61"/>
  <c r="BA373" i="61"/>
  <c r="AQ340" i="61"/>
  <c r="AQ358" i="61"/>
  <c r="AI361" i="61"/>
  <c r="AQ366" i="61"/>
  <c r="AW361" i="61"/>
  <c r="AQ284" i="61"/>
  <c r="AT125" i="58"/>
  <c r="BI352" i="61"/>
  <c r="BE350" i="61"/>
  <c r="BE282" i="61"/>
  <c r="AV125" i="58"/>
  <c r="BE384" i="61"/>
  <c r="BE330" i="61"/>
  <c r="BE368" i="61"/>
  <c r="BI314" i="61"/>
  <c r="BE326" i="61"/>
  <c r="BI337" i="61"/>
  <c r="BE327" i="61"/>
  <c r="BI341" i="61"/>
  <c r="BE359" i="61"/>
  <c r="BE309" i="61"/>
  <c r="BI303" i="61"/>
  <c r="BE300" i="61"/>
  <c r="BE308" i="61"/>
  <c r="BE279" i="61"/>
  <c r="BI272" i="61"/>
  <c r="BI280" i="61"/>
  <c r="BE315" i="61"/>
  <c r="BE352" i="61"/>
  <c r="BE288" i="61"/>
  <c r="BI312" i="61"/>
  <c r="BE336" i="61"/>
  <c r="BE358" i="61"/>
  <c r="BI372" i="61"/>
  <c r="BE382" i="61"/>
  <c r="BI368" i="61"/>
  <c r="BI309" i="61"/>
  <c r="BI339" i="61"/>
  <c r="BI346" i="61"/>
  <c r="BI367" i="61"/>
  <c r="BI365" i="61"/>
  <c r="BE371" i="61"/>
  <c r="BI387" i="61"/>
  <c r="BI313" i="61"/>
  <c r="BE346" i="61"/>
  <c r="BE302" i="61"/>
  <c r="S586" i="35"/>
  <c r="S414" i="35"/>
  <c r="S240" i="35"/>
  <c r="S68" i="35"/>
  <c r="S671" i="35"/>
  <c r="S500" i="35"/>
  <c r="S326" i="35"/>
  <c r="S154" i="35"/>
  <c r="BE273" i="61"/>
  <c r="BI295" i="61"/>
  <c r="BE286" i="61"/>
  <c r="BI316" i="61"/>
  <c r="BE366" i="61"/>
  <c r="BI333" i="61"/>
  <c r="BI315" i="61"/>
  <c r="BI329" i="61"/>
  <c r="BE357" i="61"/>
  <c r="BE385" i="61"/>
  <c r="BE337" i="61"/>
  <c r="BI357" i="61"/>
  <c r="BI385" i="61"/>
  <c r="BI369" i="61"/>
  <c r="BI304" i="61"/>
  <c r="P413" i="35"/>
  <c r="R671" i="35"/>
  <c r="R500" i="35"/>
  <c r="R326" i="35"/>
  <c r="R154" i="35"/>
  <c r="R586" i="35"/>
  <c r="R414" i="35"/>
  <c r="R240" i="35"/>
  <c r="R68" i="35"/>
  <c r="BI286" i="61"/>
  <c r="BI284" i="61"/>
  <c r="BI273" i="61"/>
  <c r="BI276" i="61"/>
  <c r="BE275" i="61"/>
  <c r="BE278" i="61"/>
  <c r="BI281" i="61"/>
  <c r="BE341" i="61"/>
  <c r="BI279" i="61"/>
  <c r="BI296" i="61"/>
  <c r="BE316" i="61"/>
  <c r="BE374" i="61"/>
  <c r="BI380" i="61"/>
  <c r="BI310" i="61"/>
  <c r="BE386" i="61"/>
  <c r="BI361" i="61"/>
  <c r="BI317" i="61"/>
  <c r="BI363" i="61"/>
  <c r="BI371" i="61"/>
  <c r="BE313" i="61"/>
  <c r="BI318" i="61"/>
  <c r="BE305" i="61"/>
  <c r="BE325" i="61"/>
  <c r="BA278" i="61"/>
  <c r="BA383" i="61"/>
  <c r="BA351" i="61"/>
  <c r="BA355" i="61"/>
  <c r="BA352" i="61"/>
  <c r="AW272" i="61"/>
  <c r="AR125" i="58"/>
  <c r="AW280" i="61"/>
  <c r="AM297" i="61"/>
  <c r="AG125" i="58"/>
  <c r="N67" i="35"/>
  <c r="Q671" i="35"/>
  <c r="Q586" i="35"/>
  <c r="Q500" i="35"/>
  <c r="Q414" i="35"/>
  <c r="Q326" i="35"/>
  <c r="Q240" i="35"/>
  <c r="Q154" i="35"/>
  <c r="Q68" i="35"/>
  <c r="AQ354" i="61"/>
  <c r="BA350" i="61"/>
  <c r="AW281" i="61"/>
  <c r="AW382" i="61"/>
  <c r="BA287" i="61"/>
  <c r="BA370" i="61"/>
  <c r="AW316" i="61"/>
  <c r="AM321" i="61"/>
  <c r="AW360" i="61"/>
  <c r="AM373" i="61"/>
  <c r="BA374" i="61"/>
  <c r="AM363" i="61"/>
  <c r="AW307" i="61"/>
  <c r="AM336" i="61"/>
  <c r="AW373" i="61"/>
  <c r="AQ384" i="61"/>
  <c r="AM306" i="61"/>
  <c r="AM314" i="61"/>
  <c r="AW339" i="61"/>
  <c r="AW383" i="61"/>
  <c r="AM358" i="61"/>
  <c r="AQ359" i="61"/>
  <c r="AQ387" i="61"/>
  <c r="AQ371" i="61"/>
  <c r="AM303" i="61"/>
  <c r="AW333" i="61"/>
  <c r="AQ303" i="61"/>
  <c r="AM286" i="61"/>
  <c r="AQ378" i="61"/>
  <c r="AW351" i="61"/>
  <c r="AW355" i="61"/>
  <c r="AM353" i="61"/>
  <c r="AW273" i="61"/>
  <c r="AQ287" i="61"/>
  <c r="AQ352" i="61"/>
  <c r="AM299" i="61"/>
  <c r="AM350" i="61"/>
  <c r="AM293" i="61"/>
  <c r="AW354" i="61"/>
  <c r="AP125" i="58"/>
  <c r="AM369" i="61"/>
  <c r="BA354" i="61"/>
  <c r="BA297" i="61"/>
  <c r="AW277" i="61"/>
  <c r="AM381" i="61"/>
  <c r="AW320" i="61"/>
  <c r="AM367" i="61"/>
  <c r="AM383" i="61"/>
  <c r="AW289" i="61"/>
  <c r="BA379" i="61"/>
  <c r="AM362" i="61"/>
  <c r="AM370" i="61"/>
  <c r="AW375" i="61"/>
  <c r="AM312" i="61"/>
  <c r="BA285" i="61"/>
  <c r="AW385" i="61"/>
  <c r="AM340" i="61"/>
  <c r="AM313" i="61"/>
  <c r="AQ321" i="61"/>
  <c r="AQ363" i="61"/>
  <c r="AQ325" i="61"/>
  <c r="AQ373" i="61"/>
  <c r="AM361" i="61"/>
  <c r="AM329" i="61"/>
  <c r="AW319" i="61"/>
  <c r="AQ327" i="61"/>
  <c r="AQ292" i="61"/>
  <c r="AM290" i="61"/>
  <c r="AQ307" i="61"/>
  <c r="BA279" i="61"/>
  <c r="AM289" i="61"/>
  <c r="M671" i="35"/>
  <c r="M586" i="35"/>
  <c r="M414" i="35"/>
  <c r="M240" i="35"/>
  <c r="M68" i="35"/>
  <c r="M500" i="35"/>
  <c r="M326" i="35"/>
  <c r="M154" i="35"/>
  <c r="M67" i="35"/>
  <c r="P671" i="35"/>
  <c r="P586" i="35"/>
  <c r="P500" i="35"/>
  <c r="P414" i="35"/>
  <c r="P326" i="35"/>
  <c r="P240" i="35"/>
  <c r="P154" i="35"/>
  <c r="P68" i="35"/>
  <c r="AM315" i="61"/>
  <c r="BA336" i="61"/>
  <c r="AM365" i="61"/>
  <c r="AQ372" i="61"/>
  <c r="AW293" i="61"/>
  <c r="BA289" i="61"/>
  <c r="AM338" i="61"/>
  <c r="AM345" i="61"/>
  <c r="AQ360" i="61"/>
  <c r="AM364" i="61"/>
  <c r="AW371" i="61"/>
  <c r="AW381" i="61"/>
  <c r="AW387" i="61"/>
  <c r="AW363" i="61"/>
  <c r="AW323" i="61"/>
  <c r="AW369" i="61"/>
  <c r="AW365" i="61"/>
  <c r="AM318" i="61"/>
  <c r="AW325" i="61"/>
  <c r="AM309" i="61"/>
  <c r="AM341" i="61"/>
  <c r="AQ369" i="61"/>
  <c r="AM378" i="61"/>
  <c r="AQ361" i="61"/>
  <c r="AQ385" i="61"/>
  <c r="AQ319" i="61"/>
  <c r="AW377" i="61"/>
  <c r="AQ328" i="61"/>
  <c r="AM294" i="61"/>
  <c r="AM296" i="61"/>
  <c r="L670" i="35"/>
  <c r="N500" i="35"/>
  <c r="N326" i="35"/>
  <c r="N154" i="35"/>
  <c r="N671" i="35"/>
  <c r="N586" i="35"/>
  <c r="N414" i="35"/>
  <c r="N240" i="35"/>
  <c r="N68" i="35"/>
  <c r="AM288" i="61"/>
  <c r="AQ351" i="61"/>
  <c r="AQ355" i="61"/>
  <c r="AW275" i="61"/>
  <c r="AQ272" i="61"/>
  <c r="AQ278" i="61"/>
  <c r="AI125" i="58"/>
  <c r="AQ276" i="61"/>
  <c r="AQ280" i="61"/>
  <c r="BA275" i="61"/>
  <c r="AM354" i="61"/>
  <c r="AQ285" i="61"/>
  <c r="AQ274" i="61"/>
  <c r="AM291" i="61"/>
  <c r="AQ277" i="61"/>
  <c r="BA380" i="61"/>
  <c r="BA330" i="61"/>
  <c r="AM371" i="61"/>
  <c r="AQ299" i="61"/>
  <c r="AW297" i="61"/>
  <c r="BA293" i="61"/>
  <c r="AM322" i="61"/>
  <c r="AM326" i="61"/>
  <c r="AM368" i="61"/>
  <c r="AM374" i="61"/>
  <c r="AM380" i="61"/>
  <c r="AQ382" i="61"/>
  <c r="AM308" i="61"/>
  <c r="AW311" i="61"/>
  <c r="AW327" i="61"/>
  <c r="AQ376" i="61"/>
  <c r="AM304" i="61"/>
  <c r="AM328" i="61"/>
  <c r="AW379" i="61"/>
  <c r="AM366" i="61"/>
  <c r="AW305" i="61"/>
  <c r="AM310" i="61"/>
  <c r="AW310" i="61"/>
  <c r="AQ329" i="61"/>
  <c r="AQ357" i="61"/>
  <c r="AQ381" i="61"/>
  <c r="AM372" i="61"/>
  <c r="AQ367" i="61"/>
  <c r="AW340" i="61"/>
  <c r="AW380" i="61"/>
  <c r="AM283" i="61"/>
  <c r="AW312" i="61"/>
  <c r="AM324" i="61"/>
  <c r="AM282" i="61"/>
  <c r="AM298" i="61"/>
  <c r="AE125" i="58"/>
  <c r="Y354" i="61"/>
  <c r="AI283" i="61"/>
  <c r="AE284" i="61"/>
  <c r="AE350" i="61"/>
  <c r="AE354" i="61"/>
  <c r="Y280" i="61"/>
  <c r="G585" i="35"/>
  <c r="I414" i="35"/>
  <c r="I68" i="35"/>
  <c r="I240" i="35"/>
  <c r="I500" i="35"/>
  <c r="I326" i="35"/>
  <c r="I671" i="35"/>
  <c r="I586" i="35"/>
  <c r="I154" i="35"/>
  <c r="AE295" i="61"/>
  <c r="AE279" i="61"/>
  <c r="AI293" i="61"/>
  <c r="Y287" i="61"/>
  <c r="AE352" i="61"/>
  <c r="U274" i="61"/>
  <c r="U363" i="61"/>
  <c r="AI291" i="61"/>
  <c r="Y381" i="61"/>
  <c r="AE324" i="61"/>
  <c r="U377" i="61"/>
  <c r="U317" i="61"/>
  <c r="Y302" i="61"/>
  <c r="AE314" i="61"/>
  <c r="Y315" i="61"/>
  <c r="U315" i="61"/>
  <c r="AE376" i="61"/>
  <c r="AE308" i="61"/>
  <c r="AE326" i="61"/>
  <c r="AE358" i="61"/>
  <c r="AE387" i="61"/>
  <c r="AI377" i="61"/>
  <c r="AE301" i="61"/>
  <c r="AE309" i="61"/>
  <c r="AE319" i="61"/>
  <c r="AE359" i="61"/>
  <c r="AI346" i="61"/>
  <c r="AI375" i="61"/>
  <c r="U304" i="61"/>
  <c r="AI306" i="61"/>
  <c r="AI314" i="61"/>
  <c r="AI326" i="61"/>
  <c r="AI307" i="61"/>
  <c r="AE302" i="61"/>
  <c r="AI365" i="61"/>
  <c r="AI284" i="61"/>
  <c r="AI300" i="61"/>
  <c r="AI320" i="61"/>
  <c r="AE293" i="61"/>
  <c r="AE292" i="61"/>
  <c r="U279" i="61"/>
  <c r="AI285" i="61"/>
  <c r="AE285" i="61"/>
  <c r="AE361" i="61"/>
  <c r="F239" i="35"/>
  <c r="F238" i="35"/>
  <c r="H326" i="35"/>
  <c r="H240" i="35"/>
  <c r="H154" i="35"/>
  <c r="H68" i="35"/>
  <c r="H586" i="35"/>
  <c r="H414" i="35"/>
  <c r="H671" i="35"/>
  <c r="H500" i="35"/>
  <c r="U365" i="61"/>
  <c r="U339" i="61"/>
  <c r="AI277" i="61"/>
  <c r="AI295" i="61"/>
  <c r="AI281" i="61"/>
  <c r="AE363" i="61"/>
  <c r="U320" i="61"/>
  <c r="U381" i="61"/>
  <c r="AE296" i="61"/>
  <c r="AI273" i="61"/>
  <c r="Y326" i="61"/>
  <c r="U369" i="61"/>
  <c r="U322" i="61"/>
  <c r="U341" i="61"/>
  <c r="U374" i="61"/>
  <c r="Y363" i="61"/>
  <c r="Y375" i="61"/>
  <c r="AE370" i="61"/>
  <c r="Y369" i="61"/>
  <c r="AE378" i="61"/>
  <c r="AE360" i="61"/>
  <c r="U333" i="61"/>
  <c r="U289" i="61"/>
  <c r="AE310" i="61"/>
  <c r="AI362" i="61"/>
  <c r="Y321" i="61"/>
  <c r="AI370" i="61"/>
  <c r="AI374" i="61"/>
  <c r="AI379" i="61"/>
  <c r="AI387" i="61"/>
  <c r="AE323" i="61"/>
  <c r="AE375" i="61"/>
  <c r="AI357" i="61"/>
  <c r="AE333" i="61"/>
  <c r="AI336" i="61"/>
  <c r="AI369" i="61"/>
  <c r="AI378" i="61"/>
  <c r="AI324" i="61"/>
  <c r="Y303" i="61"/>
  <c r="AI309" i="61"/>
  <c r="AI318" i="61"/>
  <c r="AI330" i="61"/>
  <c r="AI364" i="61"/>
  <c r="Y313" i="61"/>
  <c r="Y304" i="61"/>
  <c r="AI310" i="61"/>
  <c r="AI315" i="61"/>
  <c r="AE300" i="61"/>
  <c r="AI288" i="61"/>
  <c r="Y305" i="61"/>
  <c r="AI308" i="61"/>
  <c r="AE353" i="61"/>
  <c r="Y359" i="61"/>
  <c r="AI339" i="61"/>
  <c r="Y384" i="61"/>
  <c r="U299" i="61"/>
  <c r="M271" i="61"/>
  <c r="T125" i="58"/>
  <c r="AI354" i="61"/>
  <c r="AE340" i="61"/>
  <c r="Y297" i="61"/>
  <c r="U280" i="61"/>
  <c r="AE287" i="61"/>
  <c r="AE364" i="61"/>
  <c r="U383" i="61"/>
  <c r="U345" i="61"/>
  <c r="Y328" i="61"/>
  <c r="U360" i="61"/>
  <c r="AE318" i="61"/>
  <c r="Y383" i="61"/>
  <c r="Y371" i="61"/>
  <c r="Y385" i="61"/>
  <c r="Y301" i="61"/>
  <c r="U380" i="61"/>
  <c r="U372" i="61"/>
  <c r="Y323" i="61"/>
  <c r="AE386" i="61"/>
  <c r="AE328" i="61"/>
  <c r="AE320" i="61"/>
  <c r="Y320" i="61"/>
  <c r="U297" i="61"/>
  <c r="AE312" i="61"/>
  <c r="AE330" i="61"/>
  <c r="U362" i="61"/>
  <c r="Y367" i="61"/>
  <c r="U275" i="61"/>
  <c r="AE379" i="61"/>
  <c r="AI358" i="61"/>
  <c r="AI366" i="61"/>
  <c r="AI381" i="61"/>
  <c r="AI386" i="61"/>
  <c r="Y318" i="61"/>
  <c r="AE327" i="61"/>
  <c r="AE311" i="61"/>
  <c r="AE317" i="61"/>
  <c r="AE325" i="61"/>
  <c r="AE357" i="61"/>
  <c r="AI340" i="61"/>
  <c r="AI359" i="61"/>
  <c r="AI371" i="61"/>
  <c r="Y361" i="61"/>
  <c r="AI316" i="61"/>
  <c r="Y300" i="61"/>
  <c r="Y337" i="61"/>
  <c r="AI311" i="61"/>
  <c r="AI319" i="61"/>
  <c r="AI338" i="61"/>
  <c r="AI302" i="61"/>
  <c r="AI292" i="61"/>
  <c r="AI317" i="61"/>
  <c r="H153" i="35"/>
  <c r="H152" i="35"/>
  <c r="K671" i="35"/>
  <c r="K414" i="35"/>
  <c r="K326" i="35"/>
  <c r="K68" i="35"/>
  <c r="K586" i="35"/>
  <c r="K500" i="35"/>
  <c r="K240" i="35"/>
  <c r="K154" i="35"/>
  <c r="AI290" i="61"/>
  <c r="AI353" i="61"/>
  <c r="AI275" i="61"/>
  <c r="AI350" i="61"/>
  <c r="U379" i="61"/>
  <c r="AI299" i="61"/>
  <c r="AE373" i="61"/>
  <c r="I67" i="35"/>
  <c r="L671" i="35"/>
  <c r="L586" i="35"/>
  <c r="L500" i="35"/>
  <c r="L414" i="35"/>
  <c r="L326" i="35"/>
  <c r="L240" i="35"/>
  <c r="L154" i="35"/>
  <c r="L68" i="35"/>
  <c r="U387" i="61"/>
  <c r="Y370" i="61"/>
  <c r="U283" i="61"/>
  <c r="Y358" i="61"/>
  <c r="AE371" i="61"/>
  <c r="Y380" i="61"/>
  <c r="U366" i="61"/>
  <c r="AE278" i="61"/>
  <c r="U367" i="61"/>
  <c r="U368" i="61"/>
  <c r="Y345" i="61"/>
  <c r="AE322" i="61"/>
  <c r="AE336" i="61"/>
  <c r="AE384" i="61"/>
  <c r="AI382" i="61"/>
  <c r="AE306" i="61"/>
  <c r="AE316" i="61"/>
  <c r="AE345" i="61"/>
  <c r="AI367" i="61"/>
  <c r="V125" i="58"/>
  <c r="AE385" i="61"/>
  <c r="AI380" i="61"/>
  <c r="AI385" i="61"/>
  <c r="AE303" i="61"/>
  <c r="AE313" i="61"/>
  <c r="AE377" i="61"/>
  <c r="AI321" i="61"/>
  <c r="AI345" i="61"/>
  <c r="AI363" i="61"/>
  <c r="AI373" i="61"/>
  <c r="U300" i="61"/>
  <c r="AI329" i="61"/>
  <c r="AI312" i="61"/>
  <c r="AI323" i="61"/>
  <c r="AI383" i="61"/>
  <c r="AE305" i="61"/>
  <c r="AI304" i="61"/>
  <c r="AI333" i="61"/>
  <c r="AE337" i="61"/>
  <c r="Y325" i="61"/>
  <c r="AI296" i="61"/>
  <c r="AI294" i="61"/>
  <c r="BI349" i="61"/>
  <c r="AV147" i="58"/>
  <c r="AV124" i="58"/>
  <c r="AE349" i="61"/>
  <c r="AC124" i="58"/>
  <c r="AC147" i="58"/>
  <c r="Q349" i="61"/>
  <c r="R147" i="58"/>
  <c r="R124" i="58"/>
  <c r="BE271" i="61"/>
  <c r="AT148" i="58"/>
  <c r="Q356" i="61"/>
  <c r="AE123" i="58"/>
  <c r="AE146" i="58"/>
  <c r="Y282" i="61"/>
  <c r="M356" i="61"/>
  <c r="AC146" i="58"/>
  <c r="AC123" i="58"/>
  <c r="R148" i="58"/>
  <c r="BA349" i="61"/>
  <c r="AR147" i="58"/>
  <c r="AR124" i="58"/>
  <c r="AQ349" i="61"/>
  <c r="AI147" i="58"/>
  <c r="AI124" i="58"/>
  <c r="BA282" i="61"/>
  <c r="BE349" i="61"/>
  <c r="AT147" i="58"/>
  <c r="AT124" i="58"/>
  <c r="AI349" i="61"/>
  <c r="AE147" i="58"/>
  <c r="AE124" i="58"/>
  <c r="AE148" i="58"/>
  <c r="AW282" i="61"/>
  <c r="U271" i="61"/>
  <c r="T148" i="58"/>
  <c r="AE271" i="61"/>
  <c r="AC148" i="58"/>
  <c r="BI271" i="61"/>
  <c r="AV148" i="58"/>
  <c r="Y271" i="61"/>
  <c r="V148" i="58"/>
  <c r="Y349" i="61"/>
  <c r="V147" i="58"/>
  <c r="V124" i="58"/>
  <c r="AI148" i="58"/>
  <c r="AI356" i="61"/>
  <c r="AR146" i="58"/>
  <c r="AR123" i="58"/>
  <c r="BA271" i="61"/>
  <c r="AR148" i="58"/>
  <c r="AW349" i="61"/>
  <c r="AP124" i="58"/>
  <c r="AP147" i="58"/>
  <c r="AM349" i="61"/>
  <c r="AG124" i="58"/>
  <c r="AG147" i="58"/>
  <c r="U349" i="61"/>
  <c r="T124" i="58"/>
  <c r="T147" i="58"/>
  <c r="AP148" i="58"/>
  <c r="AE356" i="61"/>
  <c r="AP146" i="58"/>
  <c r="AP123" i="58"/>
  <c r="Y356" i="61"/>
  <c r="AI146" i="58"/>
  <c r="AI123" i="58"/>
  <c r="AM271" i="61"/>
  <c r="AG148" i="58"/>
  <c r="U356" i="61"/>
  <c r="AG146" i="58"/>
  <c r="AG123" i="58"/>
  <c r="AQ356" i="61"/>
  <c r="AV146" i="58"/>
  <c r="AV123" i="58"/>
  <c r="AM356" i="61"/>
  <c r="AT123" i="58"/>
  <c r="AT146" i="58"/>
  <c r="U282" i="61"/>
  <c r="O311" i="35"/>
  <c r="S176" i="35"/>
  <c r="P143" i="58"/>
  <c r="V143" i="58"/>
  <c r="O399" i="35"/>
  <c r="J225" i="35"/>
  <c r="T143" i="58"/>
  <c r="T664" i="35"/>
  <c r="AI71" i="55"/>
  <c r="BI71" i="55"/>
  <c r="BE71" i="55"/>
  <c r="AE71" i="55"/>
  <c r="AW71" i="55"/>
  <c r="Y71" i="55"/>
  <c r="AM71" i="55"/>
  <c r="AQ71" i="55"/>
  <c r="Y84" i="61"/>
  <c r="AQ57" i="61"/>
  <c r="AE364" i="62"/>
  <c r="AE365" i="62"/>
  <c r="U367" i="62"/>
  <c r="Y368" i="62"/>
  <c r="U362" i="62"/>
  <c r="BA363" i="62"/>
  <c r="AQ361" i="62"/>
  <c r="AW369" i="62"/>
  <c r="BE366" i="62"/>
  <c r="M358" i="62"/>
  <c r="U366" i="62"/>
  <c r="AE361" i="62"/>
  <c r="Y363" i="62"/>
  <c r="Y365" i="62"/>
  <c r="AI366" i="62"/>
  <c r="AI362" i="62"/>
  <c r="AM363" i="62"/>
  <c r="AQ365" i="62"/>
  <c r="U368" i="62"/>
  <c r="Y360" i="62"/>
  <c r="Y358" i="62"/>
  <c r="BI364" i="62"/>
  <c r="Q361" i="62"/>
  <c r="Q369" i="62"/>
  <c r="Q364" i="62"/>
  <c r="AM359" i="62"/>
  <c r="M364" i="62"/>
  <c r="M361" i="62"/>
  <c r="M365" i="62"/>
  <c r="U369" i="62"/>
  <c r="Q363" i="62"/>
  <c r="Q366" i="62"/>
  <c r="Q360" i="62"/>
  <c r="AE366" i="62"/>
  <c r="M366" i="62"/>
  <c r="Q358" i="62"/>
  <c r="Q368" i="62"/>
  <c r="M363" i="62"/>
  <c r="J541" i="35"/>
  <c r="U541" i="35"/>
  <c r="Q654" i="35"/>
  <c r="S137" i="35"/>
  <c r="N51" i="35"/>
  <c r="L309" i="35"/>
  <c r="K569" i="35"/>
  <c r="AV4" i="58"/>
  <c r="AI192" i="58"/>
  <c r="AE265" i="58"/>
  <c r="AE177" i="58"/>
  <c r="AE255" i="58"/>
  <c r="T20" i="58"/>
  <c r="T28" i="58"/>
  <c r="AE254" i="58"/>
  <c r="J61" i="35"/>
  <c r="P51" i="35"/>
  <c r="P397" i="35"/>
  <c r="AE246" i="58"/>
  <c r="AE274" i="58"/>
  <c r="AE235" i="58"/>
  <c r="AE236" i="58"/>
  <c r="J281" i="35"/>
  <c r="U281" i="35"/>
  <c r="M397" i="35"/>
  <c r="H51" i="35"/>
  <c r="K309" i="35"/>
  <c r="AE196" i="58"/>
  <c r="AE226" i="58"/>
  <c r="AE275" i="58"/>
  <c r="AE215" i="58"/>
  <c r="AE186" i="58"/>
  <c r="N176" i="35"/>
  <c r="Q176" i="35"/>
  <c r="AV216" i="58"/>
  <c r="AV255" i="58"/>
  <c r="N309" i="35"/>
  <c r="J20" i="35"/>
  <c r="T225" i="35"/>
  <c r="T571" i="35"/>
  <c r="T53" i="35"/>
  <c r="O656" i="35"/>
  <c r="O53" i="35"/>
  <c r="J53" i="35"/>
  <c r="J656" i="35"/>
  <c r="J169" i="35"/>
  <c r="O166" i="35"/>
  <c r="J175" i="35"/>
  <c r="L654" i="35"/>
  <c r="P223" i="35"/>
  <c r="P569" i="35"/>
  <c r="J399" i="35"/>
  <c r="O61" i="35"/>
  <c r="T147" i="35"/>
  <c r="R51" i="35"/>
  <c r="M654" i="35"/>
  <c r="G654" i="35"/>
  <c r="I654" i="35"/>
  <c r="N223" i="35"/>
  <c r="M223" i="35"/>
  <c r="L397" i="35"/>
  <c r="N654" i="35"/>
  <c r="T175" i="35"/>
  <c r="AV215" i="58"/>
  <c r="AG265" i="58"/>
  <c r="AE249" i="58"/>
  <c r="P259" i="58"/>
  <c r="I18" i="35"/>
  <c r="G624" i="35"/>
  <c r="R397" i="35"/>
  <c r="G51" i="35"/>
  <c r="I569" i="35"/>
  <c r="K137" i="35"/>
  <c r="AG177" i="58"/>
  <c r="AR255" i="58"/>
  <c r="G173" i="35"/>
  <c r="L51" i="35"/>
  <c r="S309" i="35"/>
  <c r="S654" i="35"/>
  <c r="AG226" i="58"/>
  <c r="AE210" i="58"/>
  <c r="AR235" i="58"/>
  <c r="AR265" i="58"/>
  <c r="H176" i="35"/>
  <c r="J204" i="35"/>
  <c r="AT4" i="58"/>
  <c r="AT12" i="58"/>
  <c r="AV192" i="58"/>
  <c r="AV243" i="58"/>
  <c r="AV275" i="58"/>
  <c r="T399" i="35"/>
  <c r="T139" i="35"/>
  <c r="O139" i="35"/>
  <c r="O483" i="35"/>
  <c r="J139" i="35"/>
  <c r="J623" i="35"/>
  <c r="AI4" i="58"/>
  <c r="AI12" i="58"/>
  <c r="V12" i="58"/>
  <c r="V4" i="58"/>
  <c r="AG36" i="58"/>
  <c r="AG28" i="58"/>
  <c r="AG44" i="58"/>
  <c r="AG20" i="58"/>
  <c r="O553" i="35"/>
  <c r="AC114" i="58"/>
  <c r="P191" i="58"/>
  <c r="P171" i="58"/>
  <c r="P269" i="58"/>
  <c r="T649" i="35"/>
  <c r="P210" i="58"/>
  <c r="P230" i="58"/>
  <c r="N173" i="35"/>
  <c r="H621" i="35"/>
  <c r="O623" i="35"/>
  <c r="T311" i="35"/>
  <c r="T656" i="35"/>
  <c r="O225" i="35"/>
  <c r="O571" i="35"/>
  <c r="J485" i="35"/>
  <c r="J571" i="35"/>
  <c r="J311" i="35"/>
  <c r="O175" i="35"/>
  <c r="AT81" i="58"/>
  <c r="T449" i="35"/>
  <c r="AC90" i="58"/>
  <c r="P240" i="58"/>
  <c r="P181" i="58"/>
  <c r="Q173" i="35"/>
  <c r="T169" i="35"/>
  <c r="T166" i="35"/>
  <c r="AR234" i="58"/>
  <c r="AI244" i="58"/>
  <c r="AR273" i="58"/>
  <c r="H318" i="62" a="1"/>
  <c r="H318" i="62"/>
  <c r="H297" i="62" a="1"/>
  <c r="H297" i="62"/>
  <c r="U377" i="35"/>
  <c r="AV195" i="58"/>
  <c r="AG211" i="58"/>
  <c r="AV244" i="58"/>
  <c r="AR211" i="58"/>
  <c r="AI273" i="58"/>
  <c r="AR260" i="58"/>
  <c r="AV221" i="58"/>
  <c r="AV246" i="58"/>
  <c r="AV197" i="58"/>
  <c r="AV245" i="58"/>
  <c r="AV196" i="58"/>
  <c r="AG187" i="58"/>
  <c r="AG236" i="58"/>
  <c r="AG275" i="58"/>
  <c r="AI181" i="58"/>
  <c r="AV186" i="58"/>
  <c r="AV274" i="58"/>
  <c r="AR225" i="58"/>
  <c r="AR274" i="58"/>
  <c r="AR254" i="58"/>
  <c r="AR187" i="58"/>
  <c r="AR216" i="58"/>
  <c r="AR226" i="58"/>
  <c r="T287" i="35"/>
  <c r="T378" i="35"/>
  <c r="AQ314" i="62"/>
  <c r="AV236" i="58"/>
  <c r="AV187" i="58"/>
  <c r="AV235" i="58"/>
  <c r="AG197" i="58"/>
  <c r="AG246" i="58"/>
  <c r="AI230" i="58"/>
  <c r="AR245" i="58"/>
  <c r="AR176" i="58"/>
  <c r="AR246" i="58"/>
  <c r="AR177" i="58"/>
  <c r="AR275" i="58"/>
  <c r="AV264" i="58"/>
  <c r="AI195" i="58"/>
  <c r="AV226" i="58"/>
  <c r="AV177" i="58"/>
  <c r="AV225" i="58"/>
  <c r="AG216" i="58"/>
  <c r="AI269" i="58"/>
  <c r="AR186" i="58"/>
  <c r="AR264" i="58"/>
  <c r="AR197" i="58"/>
  <c r="O287" i="35"/>
  <c r="AV176" i="58"/>
  <c r="AV175" i="58"/>
  <c r="AI175" i="58"/>
  <c r="O664" i="35"/>
  <c r="O147" i="35"/>
  <c r="J664" i="35"/>
  <c r="N663" i="35"/>
  <c r="R648" i="35"/>
  <c r="U646" i="35"/>
  <c r="U634" i="35"/>
  <c r="M569" i="35"/>
  <c r="G569" i="35"/>
  <c r="R166" i="58"/>
  <c r="L569" i="35"/>
  <c r="T165" i="58"/>
  <c r="AG165" i="58"/>
  <c r="T485" i="35"/>
  <c r="G483" i="35"/>
  <c r="AE165" i="58"/>
  <c r="AI165" i="58"/>
  <c r="O485" i="35"/>
  <c r="AG184" i="58"/>
  <c r="AI223" i="58"/>
  <c r="AR233" i="58"/>
  <c r="AR184" i="58"/>
  <c r="AV174" i="58"/>
  <c r="AR252" i="58"/>
  <c r="AV262" i="58"/>
  <c r="AE252" i="58"/>
  <c r="V117" i="58"/>
  <c r="I309" i="35"/>
  <c r="R309" i="35"/>
  <c r="I223" i="35"/>
  <c r="L223" i="35"/>
  <c r="G193" i="35"/>
  <c r="M173" i="35"/>
  <c r="T12" i="58"/>
  <c r="P167" i="35"/>
  <c r="J166" i="35"/>
  <c r="Q164" i="35"/>
  <c r="T164" i="35"/>
  <c r="N164" i="35"/>
  <c r="J147" i="35"/>
  <c r="L146" i="35"/>
  <c r="R137" i="35"/>
  <c r="G137" i="35"/>
  <c r="U93" i="61"/>
  <c r="AM87" i="61"/>
  <c r="AI62" i="61"/>
  <c r="AM71" i="61"/>
  <c r="AQ90" i="61"/>
  <c r="AW80" i="61"/>
  <c r="AW56" i="61"/>
  <c r="BE57" i="61"/>
  <c r="BA47" i="61"/>
  <c r="BI75" i="61"/>
  <c r="U64" i="61"/>
  <c r="H304" i="61" a="1"/>
  <c r="H304" i="61"/>
  <c r="H389" i="61" a="1"/>
  <c r="H389" i="61"/>
  <c r="H423" i="62" a="1"/>
  <c r="H423" i="62"/>
  <c r="H424" i="62" a="1"/>
  <c r="H424" i="62"/>
  <c r="Y66" i="61"/>
  <c r="U72" i="61"/>
  <c r="AE62" i="61"/>
  <c r="AE73" i="61"/>
  <c r="Y71" i="61"/>
  <c r="AQ78" i="61"/>
  <c r="BA64" i="61"/>
  <c r="AW52" i="61"/>
  <c r="AW60" i="61"/>
  <c r="AW68" i="61"/>
  <c r="AW76" i="61"/>
  <c r="BE84" i="61"/>
  <c r="U45" i="61"/>
  <c r="AM67" i="61"/>
  <c r="AM75" i="61"/>
  <c r="AQ86" i="61"/>
  <c r="AM90" i="61"/>
  <c r="U42" i="61"/>
  <c r="BE81" i="61"/>
  <c r="AI76" i="61"/>
  <c r="BI57" i="61"/>
  <c r="BA67" i="61"/>
  <c r="AI53" i="61"/>
  <c r="Y57" i="61"/>
  <c r="AQ93" i="61"/>
  <c r="AW77" i="61"/>
  <c r="AI43" i="61"/>
  <c r="AW45" i="61"/>
  <c r="AE55" i="61"/>
  <c r="AM88" i="61"/>
  <c r="AW92" i="61"/>
  <c r="AI87" i="61"/>
  <c r="BE42" i="61"/>
  <c r="BA51" i="61"/>
  <c r="AW73" i="61"/>
  <c r="BE90" i="61"/>
  <c r="AM48" i="61"/>
  <c r="AI44" i="61"/>
  <c r="BI42" i="61"/>
  <c r="AM61" i="61"/>
  <c r="BE75" i="61"/>
  <c r="AI20" i="58"/>
  <c r="BI221" i="61"/>
  <c r="AI219" i="61"/>
  <c r="U234" i="61"/>
  <c r="U218" i="61"/>
  <c r="U85" i="61"/>
  <c r="U67" i="61"/>
  <c r="U74" i="61"/>
  <c r="BA60" i="61"/>
  <c r="BA68" i="61"/>
  <c r="BI84" i="61"/>
  <c r="U49" i="61"/>
  <c r="U82" i="61"/>
  <c r="AW51" i="61"/>
  <c r="U73" i="61"/>
  <c r="AQ63" i="61"/>
  <c r="BI71" i="61"/>
  <c r="AQ91" i="61"/>
  <c r="Y61" i="61"/>
  <c r="AQ77" i="61"/>
  <c r="BA79" i="61"/>
  <c r="AM60" i="61"/>
  <c r="BE62" i="61"/>
  <c r="AM64" i="61"/>
  <c r="AE219" i="61"/>
  <c r="AR165" i="58"/>
  <c r="AR12" i="58"/>
  <c r="AR4" i="58"/>
  <c r="T690" i="35"/>
  <c r="AP58" i="58"/>
  <c r="AX58" i="58"/>
  <c r="J400" i="35"/>
  <c r="R164" i="58"/>
  <c r="T178" i="35"/>
  <c r="O178" i="35"/>
  <c r="J178" i="35"/>
  <c r="AE79" i="55"/>
  <c r="AE82" i="55"/>
  <c r="AW79" i="55"/>
  <c r="BA84" i="55"/>
  <c r="AW83" i="55"/>
  <c r="BA78" i="55"/>
  <c r="AW82" i="55"/>
  <c r="BA85" i="55"/>
  <c r="AQ80" i="55"/>
  <c r="BA81" i="55"/>
  <c r="Y81" i="55"/>
  <c r="Y83" i="55"/>
  <c r="AW78" i="55"/>
  <c r="AW80" i="55"/>
  <c r="BE82" i="55"/>
  <c r="AI85" i="55"/>
  <c r="AW81" i="55"/>
  <c r="BE83" i="55"/>
  <c r="BI85" i="55"/>
  <c r="BI82" i="55"/>
  <c r="BA80" i="55"/>
  <c r="AE80" i="55"/>
  <c r="AM81" i="55"/>
  <c r="U83" i="55"/>
  <c r="BE78" i="55"/>
  <c r="Y82" i="55"/>
  <c r="BE80" i="55"/>
  <c r="AI82" i="55"/>
  <c r="BI83" i="55"/>
  <c r="Y94" i="61"/>
  <c r="U88" i="61"/>
  <c r="AQ70" i="61"/>
  <c r="BE88" i="61"/>
  <c r="AQ50" i="61"/>
  <c r="AM219" i="61"/>
  <c r="AQ221" i="61"/>
  <c r="AI68" i="61"/>
  <c r="BI88" i="61"/>
  <c r="AM82" i="61"/>
  <c r="AI218" i="61"/>
  <c r="AI217" i="61"/>
  <c r="Y46" i="61"/>
  <c r="U79" i="61"/>
  <c r="U89" i="61"/>
  <c r="Y91" i="61"/>
  <c r="Y77" i="61"/>
  <c r="AM62" i="61"/>
  <c r="BE74" i="61"/>
  <c r="BE53" i="61"/>
  <c r="BI45" i="61"/>
  <c r="BI234" i="61"/>
  <c r="U91" i="61"/>
  <c r="AQ46" i="61"/>
  <c r="Y92" i="61"/>
  <c r="U51" i="61"/>
  <c r="AQ85" i="61"/>
  <c r="AM69" i="61"/>
  <c r="U57" i="61"/>
  <c r="BI69" i="61"/>
  <c r="BA220" i="61"/>
  <c r="AW233" i="61"/>
  <c r="BE219" i="61"/>
  <c r="AQ220" i="61"/>
  <c r="BA218" i="61"/>
  <c r="BE220" i="61"/>
  <c r="V193" i="58"/>
  <c r="V197" i="58"/>
  <c r="V272" i="58"/>
  <c r="H419" i="62" a="1"/>
  <c r="H419" i="62"/>
  <c r="H411" i="62" a="1"/>
  <c r="H411" i="62"/>
  <c r="H402" i="62" a="1"/>
  <c r="H402" i="62"/>
  <c r="H421" i="62" a="1"/>
  <c r="H421" i="62"/>
  <c r="H413" i="62" a="1"/>
  <c r="H413" i="62"/>
  <c r="H404" i="62" a="1"/>
  <c r="H404" i="62"/>
  <c r="H420" i="62" a="1"/>
  <c r="H420" i="62"/>
  <c r="H407" i="62" a="1"/>
  <c r="H407" i="62"/>
  <c r="AP165" i="58"/>
  <c r="U77" i="61"/>
  <c r="AM78" i="61"/>
  <c r="AM94" i="61"/>
  <c r="Y80" i="61"/>
  <c r="AI70" i="61"/>
  <c r="U54" i="61"/>
  <c r="AE65" i="61"/>
  <c r="AI72" i="61"/>
  <c r="Y62" i="61"/>
  <c r="U75" i="61"/>
  <c r="AQ81" i="61"/>
  <c r="AM89" i="61"/>
  <c r="AE71" i="61"/>
  <c r="AW84" i="61"/>
  <c r="BI65" i="61"/>
  <c r="BI85" i="61"/>
  <c r="AM51" i="61"/>
  <c r="Y85" i="61"/>
  <c r="AI65" i="61"/>
  <c r="BA75" i="61"/>
  <c r="AW57" i="61"/>
  <c r="AM80" i="61"/>
  <c r="AI52" i="61"/>
  <c r="AQ48" i="61"/>
  <c r="AM76" i="61"/>
  <c r="BE79" i="55"/>
  <c r="BI80" i="55"/>
  <c r="BI84" i="55"/>
  <c r="U219" i="61"/>
  <c r="AP84" i="58"/>
  <c r="H397" i="62" a="1"/>
  <c r="H397" i="62"/>
  <c r="H418" i="62" a="1"/>
  <c r="H418" i="62"/>
  <c r="H405" i="62" a="1"/>
  <c r="H405" i="62"/>
  <c r="BA90" i="61"/>
  <c r="AE86" i="61"/>
  <c r="BI49" i="61"/>
  <c r="AM41" i="61"/>
  <c r="AE59" i="61"/>
  <c r="Y60" i="61"/>
  <c r="AQ80" i="61"/>
  <c r="BE85" i="55"/>
  <c r="U85" i="55"/>
  <c r="H287" i="62" a="1"/>
  <c r="H287" i="62"/>
  <c r="H415" i="62" a="1"/>
  <c r="H415" i="62"/>
  <c r="H406" i="62" a="1"/>
  <c r="H406" i="62"/>
  <c r="H399" i="62" a="1"/>
  <c r="H399" i="62"/>
  <c r="H417" i="62" a="1"/>
  <c r="H417" i="62"/>
  <c r="H409" i="62" a="1"/>
  <c r="H409" i="62"/>
  <c r="H416" i="62" a="1"/>
  <c r="H416" i="62"/>
  <c r="BA43" i="61"/>
  <c r="BE81" i="55"/>
  <c r="AE215" i="61"/>
  <c r="BI233" i="61"/>
  <c r="AQ215" i="61"/>
  <c r="H410" i="62" a="1"/>
  <c r="H410" i="62"/>
  <c r="H398" i="62" a="1"/>
  <c r="H398" i="62"/>
  <c r="Y192" i="62"/>
  <c r="U141" i="62"/>
  <c r="AQ187" i="62"/>
  <c r="BE156" i="62"/>
  <c r="AW197" i="62"/>
  <c r="U133" i="62"/>
  <c r="BA172" i="62"/>
  <c r="BA184" i="62"/>
  <c r="U185" i="62"/>
  <c r="Y169" i="62"/>
  <c r="Y200" i="62"/>
  <c r="P234" i="58"/>
  <c r="U289" i="35"/>
  <c r="P195" i="58"/>
  <c r="P183" i="58"/>
  <c r="P271" i="58"/>
  <c r="AG233" i="58"/>
  <c r="AI243" i="58"/>
  <c r="AG260" i="58"/>
  <c r="AE194" i="58"/>
  <c r="AE211" i="58"/>
  <c r="P261" i="58"/>
  <c r="P232" i="58"/>
  <c r="G111" i="35"/>
  <c r="G110" i="35"/>
  <c r="AQ199" i="62"/>
  <c r="AM113" i="62"/>
  <c r="AM118" i="62"/>
  <c r="BE135" i="62"/>
  <c r="Y184" i="62"/>
  <c r="AE194" i="62"/>
  <c r="U202" i="62"/>
  <c r="BE186" i="62"/>
  <c r="BE191" i="62"/>
  <c r="L371" i="35"/>
  <c r="N197" i="35"/>
  <c r="K628" i="35"/>
  <c r="H111" i="35"/>
  <c r="H110" i="35"/>
  <c r="S25" i="35"/>
  <c r="K283" i="35"/>
  <c r="K25" i="35"/>
  <c r="H25" i="35"/>
  <c r="H24" i="35"/>
  <c r="H283" i="35"/>
  <c r="H282" i="35"/>
  <c r="H197" i="35"/>
  <c r="H196" i="35"/>
  <c r="K111" i="35"/>
  <c r="H628" i="35"/>
  <c r="H627" i="35"/>
  <c r="K371" i="35"/>
  <c r="S628" i="35"/>
  <c r="S283" i="35"/>
  <c r="S371" i="35"/>
  <c r="S111" i="35"/>
  <c r="N371" i="35"/>
  <c r="F371" i="35"/>
  <c r="F370" i="35"/>
  <c r="P534" i="58"/>
  <c r="N628" i="35"/>
  <c r="N283" i="35"/>
  <c r="F25" i="35"/>
  <c r="F24" i="35"/>
  <c r="P532" i="58"/>
  <c r="N111" i="35"/>
  <c r="F197" i="35"/>
  <c r="F196" i="35"/>
  <c r="F628" i="35"/>
  <c r="F627" i="35"/>
  <c r="N25" i="35"/>
  <c r="F111" i="35"/>
  <c r="F110" i="35"/>
  <c r="P533" i="58"/>
  <c r="L628" i="35"/>
  <c r="L283" i="35"/>
  <c r="L25" i="35"/>
  <c r="G628" i="35"/>
  <c r="G627" i="35"/>
  <c r="R538" i="58"/>
  <c r="R197" i="35"/>
  <c r="G371" i="35"/>
  <c r="G370" i="35"/>
  <c r="L111" i="35"/>
  <c r="R111" i="35"/>
  <c r="R283" i="35"/>
  <c r="G25" i="35"/>
  <c r="G24" i="35"/>
  <c r="R371" i="35"/>
  <c r="M111" i="35"/>
  <c r="P283" i="35"/>
  <c r="I111" i="35"/>
  <c r="I110" i="35"/>
  <c r="M197" i="35"/>
  <c r="M25" i="35"/>
  <c r="M628" i="35"/>
  <c r="I371" i="35"/>
  <c r="I370" i="35"/>
  <c r="V534" i="58"/>
  <c r="I283" i="35"/>
  <c r="I282" i="35"/>
  <c r="M283" i="35"/>
  <c r="I25" i="35"/>
  <c r="I24" i="35"/>
  <c r="P628" i="35"/>
  <c r="P197" i="35"/>
  <c r="I197" i="35"/>
  <c r="I196" i="35"/>
  <c r="Y198" i="62"/>
  <c r="AE202" i="62"/>
  <c r="BA202" i="62"/>
  <c r="AM194" i="62"/>
  <c r="BE146" i="62"/>
  <c r="Y138" i="62"/>
  <c r="U156" i="62"/>
  <c r="Y115" i="62"/>
  <c r="AE183" i="62"/>
  <c r="Y144" i="62"/>
  <c r="Y134" i="62"/>
  <c r="AM117" i="62"/>
  <c r="BE145" i="62"/>
  <c r="AQ125" i="62"/>
  <c r="AQ126" i="62"/>
  <c r="Y156" i="62"/>
  <c r="Y182" i="62"/>
  <c r="BE164" i="62"/>
  <c r="Y154" i="62"/>
  <c r="U164" i="62"/>
  <c r="AQ192" i="62"/>
  <c r="AE197" i="62"/>
  <c r="U192" i="62"/>
  <c r="Y120" i="62"/>
  <c r="AI173" i="62"/>
  <c r="Y168" i="62"/>
  <c r="BA183" i="62"/>
  <c r="AE176" i="62"/>
  <c r="BI165" i="62"/>
  <c r="AW149" i="62"/>
  <c r="Y183" i="62"/>
  <c r="U148" i="62"/>
  <c r="AI146" i="62"/>
  <c r="BA151" i="62"/>
  <c r="AW123" i="62"/>
  <c r="BE130" i="62"/>
  <c r="BI193" i="62"/>
  <c r="AQ186" i="62"/>
  <c r="AE203" i="62"/>
  <c r="BA143" i="62"/>
  <c r="BA155" i="62"/>
  <c r="BE131" i="62"/>
  <c r="Y155" i="62"/>
  <c r="Y180" i="62"/>
  <c r="Y164" i="62"/>
  <c r="Y177" i="62"/>
  <c r="AM203" i="62"/>
  <c r="Y139" i="62"/>
  <c r="Y197" i="62"/>
  <c r="AE192" i="62"/>
  <c r="AQ164" i="62"/>
  <c r="BE138" i="62"/>
  <c r="BI175" i="62"/>
  <c r="BE176" i="62"/>
  <c r="BI164" i="62"/>
  <c r="U138" i="62"/>
  <c r="AW155" i="62"/>
  <c r="Y199" i="62"/>
  <c r="U189" i="62"/>
  <c r="U177" i="62"/>
  <c r="AQ188" i="62"/>
  <c r="AM200" i="62"/>
  <c r="BA129" i="62"/>
  <c r="BE188" i="62"/>
  <c r="AM129" i="62"/>
  <c r="BA131" i="62"/>
  <c r="U144" i="62"/>
  <c r="U168" i="62"/>
  <c r="Y178" i="62"/>
  <c r="Y145" i="62"/>
  <c r="Y165" i="62"/>
  <c r="AQ200" i="62"/>
  <c r="AQ173" i="62"/>
  <c r="AQ189" i="62"/>
  <c r="AQ198" i="62"/>
  <c r="AI183" i="62"/>
  <c r="AQ162" i="62"/>
  <c r="AE172" i="62"/>
  <c r="Y202" i="62"/>
  <c r="BE196" i="62"/>
  <c r="BA113" i="62"/>
  <c r="BA137" i="62"/>
  <c r="AW124" i="62"/>
  <c r="U153" i="62"/>
  <c r="Y132" i="62"/>
  <c r="Y188" i="62"/>
  <c r="Y148" i="62"/>
  <c r="Y167" i="62"/>
  <c r="Y116" i="62"/>
  <c r="AE187" i="62"/>
  <c r="AQ177" i="62"/>
  <c r="AE185" i="62"/>
  <c r="BI143" i="62"/>
  <c r="AQ203" i="62"/>
  <c r="AM171" i="62"/>
  <c r="AQ174" i="62"/>
  <c r="AQ150" i="62"/>
  <c r="AI191" i="62"/>
  <c r="AE146" i="62"/>
  <c r="BI195" i="62"/>
  <c r="AI169" i="62"/>
  <c r="Y176" i="62"/>
  <c r="Y131" i="62"/>
  <c r="Y187" i="62"/>
  <c r="BE148" i="62"/>
  <c r="AI143" i="62"/>
  <c r="Y173" i="62"/>
  <c r="U166" i="62"/>
  <c r="U176" i="62"/>
  <c r="U191" i="62"/>
  <c r="AW172" i="62"/>
  <c r="AE179" i="62"/>
  <c r="BA185" i="62"/>
  <c r="AM144" i="62"/>
  <c r="U200" i="62"/>
  <c r="AQ190" i="62"/>
  <c r="BE133" i="62"/>
  <c r="BI113" i="62"/>
  <c r="BI180" i="62"/>
  <c r="AM128" i="62"/>
  <c r="AM142" i="62"/>
  <c r="AW177" i="62"/>
  <c r="AM174" i="62"/>
  <c r="BA147" i="62"/>
  <c r="BA182" i="62"/>
  <c r="AM125" i="62"/>
  <c r="BA120" i="62"/>
  <c r="BE128" i="62"/>
  <c r="AQ139" i="62"/>
  <c r="BI176" i="62"/>
  <c r="BI168" i="62"/>
  <c r="BE122" i="62"/>
  <c r="U137" i="62"/>
  <c r="Y153" i="62"/>
  <c r="U136" i="62"/>
  <c r="Y170" i="62"/>
  <c r="Y126" i="62"/>
  <c r="AI189" i="62"/>
  <c r="AM154" i="62"/>
  <c r="AE198" i="62"/>
  <c r="AM170" i="62"/>
  <c r="AE169" i="62"/>
  <c r="AW202" i="62"/>
  <c r="AM122" i="62"/>
  <c r="Y172" i="62"/>
  <c r="Y190" i="62"/>
  <c r="BE152" i="62"/>
  <c r="AW198" i="62"/>
  <c r="AQ196" i="62"/>
  <c r="Y203" i="62"/>
  <c r="U114" i="62"/>
  <c r="BI172" i="62"/>
  <c r="AQ144" i="62"/>
  <c r="U142" i="62"/>
  <c r="AE196" i="62"/>
  <c r="AW179" i="62"/>
  <c r="BE200" i="62"/>
  <c r="AM181" i="62"/>
  <c r="AM126" i="62"/>
  <c r="BE183" i="62"/>
  <c r="BE141" i="62"/>
  <c r="BI144" i="62"/>
  <c r="Y152" i="62"/>
  <c r="Y123" i="62"/>
  <c r="Y191" i="62"/>
  <c r="Y189" i="62"/>
  <c r="U119" i="62"/>
  <c r="AE184" i="62"/>
  <c r="AW132" i="62"/>
  <c r="AM137" i="62"/>
  <c r="BE174" i="62"/>
  <c r="BE136" i="62"/>
  <c r="AW168" i="62"/>
  <c r="BE189" i="62"/>
  <c r="BE114" i="62"/>
  <c r="AQ130" i="62"/>
  <c r="BI169" i="62"/>
  <c r="AM192" i="62"/>
  <c r="Y114" i="62"/>
  <c r="AI198" i="62"/>
  <c r="AM152" i="62"/>
  <c r="BI149" i="62"/>
  <c r="AQ201" i="62"/>
  <c r="AM187" i="62"/>
  <c r="BE155" i="62"/>
  <c r="BE115" i="62"/>
  <c r="BI171" i="62"/>
  <c r="AE188" i="62"/>
  <c r="U169" i="62"/>
  <c r="U184" i="62"/>
  <c r="BE177" i="62"/>
  <c r="AW156" i="62"/>
  <c r="AW137" i="62"/>
  <c r="BE126" i="62"/>
  <c r="AQ128" i="62"/>
  <c r="BI186" i="62"/>
  <c r="U118" i="62"/>
  <c r="Y122" i="62"/>
  <c r="U124" i="62"/>
  <c r="U128" i="62"/>
  <c r="U117" i="62"/>
  <c r="AQ135" i="62"/>
  <c r="AM193" i="62"/>
  <c r="BI141" i="62"/>
  <c r="BI184" i="62"/>
  <c r="BI200" i="62"/>
  <c r="AW134" i="62"/>
  <c r="BI151" i="62"/>
  <c r="BI152" i="62"/>
  <c r="Y118" i="62"/>
  <c r="Y124" i="62"/>
  <c r="Y128" i="62"/>
  <c r="Y117" i="62"/>
  <c r="U125" i="62"/>
  <c r="AI134" i="62"/>
  <c r="AW193" i="62"/>
  <c r="AQ169" i="62"/>
  <c r="AQ176" i="62"/>
  <c r="U116" i="62"/>
  <c r="U154" i="62"/>
  <c r="Y121" i="62"/>
  <c r="Y113" i="62"/>
  <c r="AQ166" i="62"/>
  <c r="U143" i="62"/>
  <c r="AI202" i="62"/>
  <c r="Y146" i="62"/>
  <c r="AM201" i="62"/>
  <c r="AW196" i="62"/>
  <c r="BE194" i="62"/>
  <c r="AM127" i="62"/>
  <c r="AW139" i="62"/>
  <c r="BI199" i="62"/>
  <c r="AE156" i="62"/>
  <c r="AQ197" i="62"/>
  <c r="AW151" i="62"/>
  <c r="BI173" i="62"/>
  <c r="AW117" i="62"/>
  <c r="AM166" i="62"/>
  <c r="BI192" i="62"/>
  <c r="AI181" i="62"/>
  <c r="AE138" i="62"/>
  <c r="AQ171" i="62"/>
  <c r="U122" i="62"/>
  <c r="Y127" i="62"/>
  <c r="AE149" i="62"/>
  <c r="AE164" i="62"/>
  <c r="BE147" i="62"/>
  <c r="BE151" i="62"/>
  <c r="AQ146" i="62"/>
  <c r="AI151" i="62"/>
  <c r="AI135" i="62"/>
  <c r="AE193" i="62"/>
  <c r="AI129" i="62"/>
  <c r="AE153" i="62"/>
  <c r="AI162" i="62"/>
  <c r="AQ183" i="62"/>
  <c r="M171" i="62"/>
  <c r="U171" i="62"/>
  <c r="AQ148" i="62"/>
  <c r="AI150" i="62"/>
  <c r="AE121" i="62"/>
  <c r="AI144" i="62"/>
  <c r="AM180" i="62"/>
  <c r="U187" i="62"/>
  <c r="AI84" i="61"/>
  <c r="Y79" i="61"/>
  <c r="AQ62" i="61"/>
  <c r="Y70" i="61"/>
  <c r="BE48" i="61"/>
  <c r="AE81" i="61"/>
  <c r="AM70" i="61"/>
  <c r="BE68" i="61"/>
  <c r="AW72" i="61"/>
  <c r="BE80" i="61"/>
  <c r="AE74" i="61"/>
  <c r="Y54" i="61"/>
  <c r="AQ42" i="61"/>
  <c r="AM50" i="61"/>
  <c r="AM58" i="61"/>
  <c r="AI66" i="61"/>
  <c r="AM74" i="61"/>
  <c r="AE77" i="61"/>
  <c r="AE82" i="61"/>
  <c r="AE89" i="61"/>
  <c r="AE93" i="61"/>
  <c r="Y50" i="61"/>
  <c r="Y58" i="61"/>
  <c r="U86" i="61"/>
  <c r="Y90" i="61"/>
  <c r="BE45" i="61"/>
  <c r="BA70" i="61"/>
  <c r="BA78" i="61"/>
  <c r="AW83" i="61"/>
  <c r="AE69" i="61"/>
  <c r="AI80" i="61"/>
  <c r="AM91" i="61"/>
  <c r="Y76" i="61"/>
  <c r="U83" i="61"/>
  <c r="AI81" i="61"/>
  <c r="AI61" i="61"/>
  <c r="Y45" i="61"/>
  <c r="AW41" i="61"/>
  <c r="AE80" i="61"/>
  <c r="U59" i="61"/>
  <c r="BA85" i="61"/>
  <c r="AE51" i="61"/>
  <c r="AE67" i="61"/>
  <c r="AM84" i="61"/>
  <c r="AW89" i="61"/>
  <c r="BA45" i="61"/>
  <c r="AI91" i="61"/>
  <c r="AQ43" i="61"/>
  <c r="BI53" i="61"/>
  <c r="BI81" i="61"/>
  <c r="AM47" i="61"/>
  <c r="AQ79" i="61"/>
  <c r="U61" i="61"/>
  <c r="BA55" i="61"/>
  <c r="BA71" i="61"/>
  <c r="BA41" i="61"/>
  <c r="BI41" i="61"/>
  <c r="AI73" i="61"/>
  <c r="AI93" i="61"/>
  <c r="Y87" i="61"/>
  <c r="BA83" i="61"/>
  <c r="U48" i="61"/>
  <c r="BE54" i="61"/>
  <c r="BE66" i="61"/>
  <c r="AM68" i="61"/>
  <c r="U44" i="61"/>
  <c r="AE76" i="61"/>
  <c r="AM57" i="61"/>
  <c r="AQ68" i="61"/>
  <c r="AI48" i="61"/>
  <c r="AE44" i="61"/>
  <c r="AE64" i="61"/>
  <c r="AQ56" i="61"/>
  <c r="Y44" i="61"/>
  <c r="BI90" i="61"/>
  <c r="BE87" i="61"/>
  <c r="AW78" i="61"/>
  <c r="BA54" i="61"/>
  <c r="BA84" i="61"/>
  <c r="BE71" i="61"/>
  <c r="AI69" i="61"/>
  <c r="AE56" i="61"/>
  <c r="AM73" i="61"/>
  <c r="AM93" i="61"/>
  <c r="AW62" i="61"/>
  <c r="AW82" i="61"/>
  <c r="AE61" i="61"/>
  <c r="BI68" i="61"/>
  <c r="BI50" i="61"/>
  <c r="BE84" i="55"/>
  <c r="Y79" i="55"/>
  <c r="M82" i="55"/>
  <c r="U82" i="55"/>
  <c r="BI81" i="55"/>
  <c r="AW86" i="61"/>
  <c r="AM49" i="61"/>
  <c r="U81" i="55"/>
  <c r="U80" i="55"/>
  <c r="Y80" i="55"/>
  <c r="AE81" i="55"/>
  <c r="U163" i="62"/>
  <c r="Y217" i="61"/>
  <c r="Q217" i="61"/>
  <c r="AE222" i="61"/>
  <c r="Y216" i="61"/>
  <c r="Q216" i="61"/>
  <c r="M234" i="61"/>
  <c r="BI67" i="61"/>
  <c r="AQ53" i="61"/>
  <c r="AQ73" i="61"/>
  <c r="Y51" i="61"/>
  <c r="AE83" i="55"/>
  <c r="AE78" i="55"/>
  <c r="AM85" i="55"/>
  <c r="AI80" i="55"/>
  <c r="AM78" i="55"/>
  <c r="AI171" i="62"/>
  <c r="AI170" i="62"/>
  <c r="AQ170" i="62"/>
  <c r="BE202" i="62"/>
  <c r="AM146" i="62"/>
  <c r="AM195" i="62"/>
  <c r="AI137" i="62"/>
  <c r="AE154" i="62"/>
  <c r="U120" i="62"/>
  <c r="U123" i="62"/>
  <c r="Y201" i="62"/>
  <c r="AM141" i="62"/>
  <c r="AE189" i="62"/>
  <c r="AM115" i="62"/>
  <c r="AE123" i="62"/>
  <c r="AI195" i="62"/>
  <c r="U195" i="62"/>
  <c r="BI179" i="62"/>
  <c r="AE130" i="62"/>
  <c r="U92" i="61"/>
  <c r="U70" i="61"/>
  <c r="BE60" i="61"/>
  <c r="AW59" i="61"/>
  <c r="BI64" i="61"/>
  <c r="BI80" i="61"/>
  <c r="Y78" i="61"/>
  <c r="AI46" i="61"/>
  <c r="AM42" i="61"/>
  <c r="AE90" i="61"/>
  <c r="Y74" i="61"/>
  <c r="BE61" i="61"/>
  <c r="BA66" i="61"/>
  <c r="AW71" i="61"/>
  <c r="AW79" i="61"/>
  <c r="BA86" i="61"/>
  <c r="AI82" i="61"/>
  <c r="AI92" i="61"/>
  <c r="U76" i="61"/>
  <c r="AE87" i="61"/>
  <c r="AM65" i="61"/>
  <c r="AW55" i="61"/>
  <c r="AW81" i="61"/>
  <c r="BA59" i="61"/>
  <c r="AE75" i="61"/>
  <c r="BI89" i="61"/>
  <c r="AQ83" i="61"/>
  <c r="BA57" i="61"/>
  <c r="BA77" i="61"/>
  <c r="AI49" i="61"/>
  <c r="AI77" i="61"/>
  <c r="AQ47" i="61"/>
  <c r="AQ92" i="61"/>
  <c r="AQ60" i="61"/>
  <c r="AM85" i="61"/>
  <c r="AQ64" i="61"/>
  <c r="Y48" i="61"/>
  <c r="BI58" i="61"/>
  <c r="AW54" i="61"/>
  <c r="BI62" i="61"/>
  <c r="BI86" i="61"/>
  <c r="BE51" i="61"/>
  <c r="AQ67" i="61"/>
  <c r="AE60" i="61"/>
  <c r="AM77" i="61"/>
  <c r="U43" i="61"/>
  <c r="AW46" i="61"/>
  <c r="AW70" i="61"/>
  <c r="AE49" i="61"/>
  <c r="AE57" i="61"/>
  <c r="BI76" i="61"/>
  <c r="Y73" i="61"/>
  <c r="AQ82" i="55"/>
  <c r="BA82" i="55"/>
  <c r="AI83" i="55"/>
  <c r="AW94" i="61"/>
  <c r="AE52" i="61"/>
  <c r="AM82" i="55"/>
  <c r="AQ78" i="55"/>
  <c r="AE200" i="62"/>
  <c r="Y233" i="61"/>
  <c r="Q233" i="61"/>
  <c r="BI216" i="61"/>
  <c r="AM218" i="61"/>
  <c r="U216" i="61"/>
  <c r="M216" i="61"/>
  <c r="BI47" i="61"/>
  <c r="BE72" i="61"/>
  <c r="AQ61" i="61"/>
  <c r="AQ89" i="61"/>
  <c r="Y67" i="61"/>
  <c r="BI78" i="55"/>
  <c r="H209" i="61" a="1"/>
  <c r="H209" i="61"/>
  <c r="H205" i="61" a="1"/>
  <c r="H205" i="61"/>
  <c r="AQ85" i="55"/>
  <c r="AI165" i="62"/>
  <c r="AI163" i="62"/>
  <c r="AI168" i="62"/>
  <c r="AI145" i="62"/>
  <c r="AQ145" i="62"/>
  <c r="AE170" i="62"/>
  <c r="U147" i="62"/>
  <c r="Y185" i="62"/>
  <c r="M186" i="62"/>
  <c r="U186" i="62"/>
  <c r="AI118" i="62"/>
  <c r="AI148" i="62"/>
  <c r="AI180" i="62"/>
  <c r="AM155" i="62"/>
  <c r="U172" i="62"/>
  <c r="U94" i="61"/>
  <c r="Q86" i="61"/>
  <c r="Y86" i="61"/>
  <c r="BA74" i="61"/>
  <c r="U58" i="61"/>
  <c r="U69" i="61"/>
  <c r="BA62" i="61"/>
  <c r="AW67" i="61"/>
  <c r="AE45" i="61"/>
  <c r="AE85" i="61"/>
  <c r="AI94" i="61"/>
  <c r="AI79" i="61"/>
  <c r="U66" i="61"/>
  <c r="AE79" i="61"/>
  <c r="AW69" i="61"/>
  <c r="Y83" i="61"/>
  <c r="AQ59" i="61"/>
  <c r="Y49" i="61"/>
  <c r="AI55" i="61"/>
  <c r="AE91" i="61"/>
  <c r="U60" i="61"/>
  <c r="AM81" i="61"/>
  <c r="AQ84" i="61"/>
  <c r="AE72" i="61"/>
  <c r="AQ72" i="61"/>
  <c r="BI74" i="61"/>
  <c r="BI66" i="61"/>
  <c r="AW65" i="61"/>
  <c r="AI75" i="61"/>
  <c r="BA46" i="61"/>
  <c r="BI70" i="61"/>
  <c r="AI83" i="61"/>
  <c r="AE84" i="61"/>
  <c r="AW58" i="61"/>
  <c r="BE55" i="61"/>
  <c r="BA93" i="61"/>
  <c r="BI52" i="61"/>
  <c r="AW91" i="61"/>
  <c r="BE47" i="61"/>
  <c r="AM45" i="61"/>
  <c r="AM53" i="61"/>
  <c r="U78" i="55"/>
  <c r="Y85" i="55"/>
  <c r="P123" i="58"/>
  <c r="AM189" i="62"/>
  <c r="BI219" i="61"/>
  <c r="BA222" i="61"/>
  <c r="AQ222" i="61"/>
  <c r="BE217" i="61"/>
  <c r="Y219" i="61"/>
  <c r="Q219" i="61"/>
  <c r="M219" i="61"/>
  <c r="U233" i="61"/>
  <c r="AQ219" i="61"/>
  <c r="BI51" i="61"/>
  <c r="BI83" i="61"/>
  <c r="AQ65" i="61"/>
  <c r="Y43" i="61"/>
  <c r="AQ81" i="55"/>
  <c r="AI167" i="62"/>
  <c r="Y125" i="62"/>
  <c r="U127" i="62"/>
  <c r="AQ167" i="62"/>
  <c r="AQ191" i="62"/>
  <c r="AI200" i="62"/>
  <c r="AE141" i="62"/>
  <c r="AQ165" i="62"/>
  <c r="AM190" i="62"/>
  <c r="AM199" i="62"/>
  <c r="AQ163" i="62"/>
  <c r="BI183" i="62"/>
  <c r="AE165" i="62"/>
  <c r="AI152" i="62"/>
  <c r="AE132" i="62"/>
  <c r="BA193" i="62"/>
  <c r="AI192" i="62"/>
  <c r="U140" i="62"/>
  <c r="U126" i="62"/>
  <c r="AW154" i="62"/>
  <c r="AW162" i="62"/>
  <c r="AE145" i="62"/>
  <c r="U121" i="62"/>
  <c r="AI175" i="62"/>
  <c r="U146" i="62"/>
  <c r="AI166" i="62"/>
  <c r="U113" i="62"/>
  <c r="Y193" i="62"/>
  <c r="AE140" i="62"/>
  <c r="M135" i="62"/>
  <c r="U135" i="62"/>
  <c r="U183" i="62"/>
  <c r="AE133" i="62"/>
  <c r="AM133" i="62"/>
  <c r="AE148" i="62"/>
  <c r="BE172" i="62"/>
  <c r="AI182" i="62"/>
  <c r="AE144" i="62"/>
  <c r="AM121" i="62"/>
  <c r="M115" i="62"/>
  <c r="U115" i="62"/>
  <c r="AI186" i="62"/>
  <c r="U179" i="62"/>
  <c r="BE179" i="62"/>
  <c r="AE201" i="62"/>
  <c r="U90" i="61"/>
  <c r="Y89" i="61"/>
  <c r="Y88" i="61"/>
  <c r="Y68" i="61"/>
  <c r="BE44" i="61"/>
  <c r="AE94" i="61"/>
  <c r="U84" i="61"/>
  <c r="AE70" i="61"/>
  <c r="BI56" i="61"/>
  <c r="BE76" i="61"/>
  <c r="U78" i="61"/>
  <c r="AW87" i="61"/>
  <c r="AI42" i="61"/>
  <c r="AM46" i="61"/>
  <c r="AI58" i="61"/>
  <c r="AQ58" i="61"/>
  <c r="AM66" i="61"/>
  <c r="AI74" i="61"/>
  <c r="U46" i="61"/>
  <c r="U62" i="61"/>
  <c r="U65" i="61"/>
  <c r="AW63" i="61"/>
  <c r="BE69" i="61"/>
  <c r="BE77" i="61"/>
  <c r="BA82" i="61"/>
  <c r="BA94" i="61"/>
  <c r="AI78" i="61"/>
  <c r="AI88" i="61"/>
  <c r="AE41" i="61"/>
  <c r="U80" i="61"/>
  <c r="Y72" i="61"/>
  <c r="U71" i="61"/>
  <c r="AQ55" i="61"/>
  <c r="Y53" i="61"/>
  <c r="Y81" i="61"/>
  <c r="U63" i="61"/>
  <c r="U47" i="61"/>
  <c r="BA49" i="61"/>
  <c r="BA81" i="61"/>
  <c r="BE63" i="61"/>
  <c r="AE63" i="61"/>
  <c r="AE83" i="61"/>
  <c r="U52" i="61"/>
  <c r="AE47" i="61"/>
  <c r="BI61" i="61"/>
  <c r="BI73" i="61"/>
  <c r="BI93" i="61"/>
  <c r="AQ75" i="61"/>
  <c r="U50" i="61"/>
  <c r="BA63" i="61"/>
  <c r="BA91" i="61"/>
  <c r="AI57" i="61"/>
  <c r="AI71" i="61"/>
  <c r="AI89" i="61"/>
  <c r="AE54" i="61"/>
  <c r="AI45" i="61"/>
  <c r="BI77" i="61"/>
  <c r="AE43" i="61"/>
  <c r="AQ51" i="61"/>
  <c r="Y65" i="61"/>
  <c r="Y64" i="61"/>
  <c r="AQ76" i="61"/>
  <c r="Y52" i="61"/>
  <c r="AQ52" i="61"/>
  <c r="Y56" i="61"/>
  <c r="AW90" i="61"/>
  <c r="AQ44" i="61"/>
  <c r="AQ88" i="61"/>
  <c r="BI82" i="61"/>
  <c r="AI54" i="61"/>
  <c r="AW50" i="61"/>
  <c r="BI94" i="61"/>
  <c r="BA42" i="61"/>
  <c r="BA50" i="61"/>
  <c r="BI78" i="61"/>
  <c r="BA92" i="61"/>
  <c r="AW66" i="61"/>
  <c r="AE68" i="61"/>
  <c r="AE92" i="61"/>
  <c r="U55" i="61"/>
  <c r="AW42" i="61"/>
  <c r="BE59" i="61"/>
  <c r="BE79" i="61"/>
  <c r="AE53" i="61"/>
  <c r="BI60" i="61"/>
  <c r="AW75" i="61"/>
  <c r="AI81" i="55"/>
  <c r="BI79" i="55"/>
  <c r="BE83" i="61"/>
  <c r="AE48" i="61"/>
  <c r="AE88" i="61"/>
  <c r="Y84" i="55"/>
  <c r="AI113" i="62"/>
  <c r="U221" i="61"/>
  <c r="M221" i="61"/>
  <c r="Y234" i="61"/>
  <c r="Q234" i="61"/>
  <c r="AQ233" i="61"/>
  <c r="BA219" i="61"/>
  <c r="BE64" i="61"/>
  <c r="BI87" i="61"/>
  <c r="AQ69" i="61"/>
  <c r="Y47" i="61"/>
  <c r="AI79" i="55"/>
  <c r="AE85" i="55"/>
  <c r="Y78" i="55"/>
  <c r="AT28" i="58"/>
  <c r="AT36" i="58"/>
  <c r="AT44" i="58"/>
  <c r="AT20" i="58"/>
  <c r="AM179" i="62"/>
  <c r="AI199" i="62"/>
  <c r="AE168" i="62"/>
  <c r="AI184" i="62"/>
  <c r="U173" i="62"/>
  <c r="U188" i="62"/>
  <c r="AM198" i="62"/>
  <c r="U198" i="62"/>
  <c r="BE184" i="62"/>
  <c r="BA173" i="62"/>
  <c r="BA141" i="62"/>
  <c r="AQ140" i="62"/>
  <c r="AM114" i="62"/>
  <c r="AM188" i="62"/>
  <c r="BI153" i="62"/>
  <c r="AM134" i="62"/>
  <c r="BE197" i="62"/>
  <c r="AM149" i="62"/>
  <c r="AI128" i="62"/>
  <c r="AE127" i="62"/>
  <c r="AM153" i="62"/>
  <c r="AE142" i="62"/>
  <c r="AI172" i="62"/>
  <c r="AI203" i="62"/>
  <c r="AI177" i="62"/>
  <c r="AI136" i="62"/>
  <c r="BI114" i="62"/>
  <c r="BE134" i="62"/>
  <c r="BE150" i="62"/>
  <c r="BA186" i="62"/>
  <c r="BA192" i="62"/>
  <c r="BA200" i="62"/>
  <c r="AI125" i="62"/>
  <c r="AE136" i="62"/>
  <c r="AM148" i="62"/>
  <c r="AI187" i="62"/>
  <c r="AE113" i="62"/>
  <c r="AW194" i="62"/>
  <c r="BI178" i="62"/>
  <c r="AM143" i="62"/>
  <c r="BE182" i="62"/>
  <c r="AQ123" i="62"/>
  <c r="AQ138" i="62"/>
  <c r="AI130" i="62"/>
  <c r="BA169" i="62"/>
  <c r="AQ115" i="62"/>
  <c r="AW173" i="62"/>
  <c r="AW140" i="62"/>
  <c r="AM168" i="62"/>
  <c r="BA163" i="62"/>
  <c r="AW127" i="62"/>
  <c r="AW174" i="62"/>
  <c r="BI145" i="62"/>
  <c r="BI196" i="62"/>
  <c r="BE175" i="62"/>
  <c r="AW116" i="62"/>
  <c r="BI120" i="62"/>
  <c r="BI182" i="62"/>
  <c r="AW153" i="62"/>
  <c r="BA175" i="62"/>
  <c r="AW136" i="62"/>
  <c r="AW148" i="62"/>
  <c r="BE173" i="62"/>
  <c r="AM176" i="62"/>
  <c r="AI122" i="62"/>
  <c r="BA199" i="62"/>
  <c r="AI131" i="62"/>
  <c r="U194" i="62"/>
  <c r="AE118" i="62"/>
  <c r="AE129" i="62"/>
  <c r="AM178" i="62"/>
  <c r="AQ131" i="62"/>
  <c r="AW135" i="62"/>
  <c r="AW163" i="62"/>
  <c r="BE199" i="62"/>
  <c r="AM131" i="62"/>
  <c r="AW130" i="62"/>
  <c r="AW185" i="62"/>
  <c r="AW176" i="62"/>
  <c r="BA191" i="62"/>
  <c r="AI133" i="62"/>
  <c r="BI136" i="62"/>
  <c r="BA148" i="62"/>
  <c r="BA176" i="62"/>
  <c r="BA195" i="62"/>
  <c r="BA197" i="62"/>
  <c r="BI148" i="62"/>
  <c r="BI187" i="62"/>
  <c r="BE116" i="62"/>
  <c r="BI121" i="62"/>
  <c r="AM124" i="62"/>
  <c r="BA119" i="62"/>
  <c r="BA126" i="62"/>
  <c r="BE113" i="62"/>
  <c r="BE185" i="62"/>
  <c r="BE119" i="62"/>
  <c r="AQ137" i="62"/>
  <c r="BI197" i="62"/>
  <c r="BI215" i="61"/>
  <c r="U220" i="61"/>
  <c r="M220" i="61"/>
  <c r="Y215" i="61"/>
  <c r="Q215" i="61"/>
  <c r="BE216" i="61"/>
  <c r="Y222" i="61"/>
  <c r="BI218" i="61"/>
  <c r="AQ218" i="61"/>
  <c r="AM221" i="61"/>
  <c r="AE221" i="61"/>
  <c r="AQ217" i="61"/>
  <c r="BI55" i="61"/>
  <c r="Y41" i="61"/>
  <c r="AQ41" i="61"/>
  <c r="U139" i="62"/>
  <c r="U155" i="62"/>
  <c r="U175" i="62"/>
  <c r="BI119" i="62"/>
  <c r="P371" i="35"/>
  <c r="P25" i="35"/>
  <c r="G309" i="35"/>
  <c r="P654" i="35"/>
  <c r="AQ83" i="55"/>
  <c r="AI194" i="62"/>
  <c r="AM173" i="62"/>
  <c r="AI188" i="62"/>
  <c r="AM202" i="62"/>
  <c r="AE191" i="62"/>
  <c r="AQ119" i="62"/>
  <c r="AW113" i="62"/>
  <c r="AI140" i="62"/>
  <c r="AI179" i="62"/>
  <c r="AE152" i="62"/>
  <c r="AI154" i="62"/>
  <c r="AI132" i="62"/>
  <c r="AW187" i="62"/>
  <c r="AW195" i="62"/>
  <c r="BE201" i="62"/>
  <c r="AE116" i="62"/>
  <c r="AM140" i="62"/>
  <c r="AQ152" i="62"/>
  <c r="AI164" i="62"/>
  <c r="AM191" i="62"/>
  <c r="AW171" i="62"/>
  <c r="AE134" i="62"/>
  <c r="AQ185" i="62"/>
  <c r="AE114" i="62"/>
  <c r="AE150" i="62"/>
  <c r="BA135" i="62"/>
  <c r="BE193" i="62"/>
  <c r="AW152" i="62"/>
  <c r="BI194" i="62"/>
  <c r="BE162" i="62"/>
  <c r="AI138" i="62"/>
  <c r="AW181" i="62"/>
  <c r="AW126" i="62"/>
  <c r="AW166" i="62"/>
  <c r="BI127" i="62"/>
  <c r="AW142" i="62"/>
  <c r="AW115" i="62"/>
  <c r="BE154" i="62"/>
  <c r="AI126" i="62"/>
  <c r="AM197" i="62"/>
  <c r="BE137" i="62"/>
  <c r="BE149" i="62"/>
  <c r="AW164" i="62"/>
  <c r="BE180" i="62"/>
  <c r="AE124" i="62"/>
  <c r="AI120" i="62"/>
  <c r="AI147" i="62"/>
  <c r="U199" i="62"/>
  <c r="AE125" i="62"/>
  <c r="AM119" i="62"/>
  <c r="AM167" i="62"/>
  <c r="AM182" i="62"/>
  <c r="AI139" i="62"/>
  <c r="BE140" i="62"/>
  <c r="BE168" i="62"/>
  <c r="BE203" i="62"/>
  <c r="AM147" i="62"/>
  <c r="AW138" i="62"/>
  <c r="AW189" i="62"/>
  <c r="AI190" i="62"/>
  <c r="BE170" i="62"/>
  <c r="BA146" i="62"/>
  <c r="BA174" i="62"/>
  <c r="AI141" i="62"/>
  <c r="BA154" i="62"/>
  <c r="BA130" i="62"/>
  <c r="BA140" i="62"/>
  <c r="BA150" i="62"/>
  <c r="BA162" i="62"/>
  <c r="BA177" i="62"/>
  <c r="BA201" i="62"/>
  <c r="AQ143" i="62"/>
  <c r="BA170" i="62"/>
  <c r="BE192" i="62"/>
  <c r="BA203" i="62"/>
  <c r="BE127" i="62"/>
  <c r="AW119" i="62"/>
  <c r="BA121" i="62"/>
  <c r="AW122" i="62"/>
  <c r="AQ184" i="62"/>
  <c r="BI170" i="62"/>
  <c r="AQ118" i="62"/>
  <c r="AM84" i="55"/>
  <c r="AM80" i="55"/>
  <c r="U79" i="55"/>
  <c r="BA216" i="61"/>
  <c r="U215" i="61"/>
  <c r="M215" i="61"/>
  <c r="U222" i="61"/>
  <c r="AQ223" i="61"/>
  <c r="AE223" i="61"/>
  <c r="AI221" i="61"/>
  <c r="BE215" i="61"/>
  <c r="BE218" i="61"/>
  <c r="AI220" i="61"/>
  <c r="BA221" i="61"/>
  <c r="BI63" i="61"/>
  <c r="AW43" i="61"/>
  <c r="U178" i="62"/>
  <c r="BI126" i="62"/>
  <c r="R628" i="35"/>
  <c r="G283" i="35"/>
  <c r="G282" i="35"/>
  <c r="G197" i="35"/>
  <c r="G196" i="35"/>
  <c r="L197" i="35"/>
  <c r="K397" i="35"/>
  <c r="AM83" i="55"/>
  <c r="Y119" i="62"/>
  <c r="AM183" i="62"/>
  <c r="AI174" i="62"/>
  <c r="AI178" i="62"/>
  <c r="AI196" i="62"/>
  <c r="U180" i="62"/>
  <c r="U196" i="62"/>
  <c r="U190" i="62"/>
  <c r="AW180" i="62"/>
  <c r="BA153" i="62"/>
  <c r="AW133" i="62"/>
  <c r="AM172" i="62"/>
  <c r="AE120" i="62"/>
  <c r="BA196" i="62"/>
  <c r="BA180" i="62"/>
  <c r="AI115" i="62"/>
  <c r="AW169" i="62"/>
  <c r="AE181" i="62"/>
  <c r="AM164" i="62"/>
  <c r="AM130" i="62"/>
  <c r="AM139" i="62"/>
  <c r="AE166" i="62"/>
  <c r="AQ181" i="62"/>
  <c r="AI123" i="62"/>
  <c r="AQ156" i="62"/>
  <c r="BI118" i="62"/>
  <c r="BE181" i="62"/>
  <c r="BA198" i="62"/>
  <c r="AI117" i="62"/>
  <c r="AE143" i="62"/>
  <c r="AM156" i="62"/>
  <c r="AQ172" i="62"/>
  <c r="AQ195" i="62"/>
  <c r="BE195" i="62"/>
  <c r="AM120" i="62"/>
  <c r="AW190" i="62"/>
  <c r="BI198" i="62"/>
  <c r="AM150" i="62"/>
  <c r="BA171" i="62"/>
  <c r="BI137" i="62"/>
  <c r="BE142" i="62"/>
  <c r="AW145" i="62"/>
  <c r="AQ121" i="62"/>
  <c r="BI167" i="62"/>
  <c r="AQ168" i="62"/>
  <c r="BI188" i="62"/>
  <c r="AQ117" i="62"/>
  <c r="BI139" i="62"/>
  <c r="BI131" i="62"/>
  <c r="BE132" i="62"/>
  <c r="BI147" i="62"/>
  <c r="AW129" i="62"/>
  <c r="AM177" i="62"/>
  <c r="BE165" i="62"/>
  <c r="AW183" i="62"/>
  <c r="AM132" i="62"/>
  <c r="BA124" i="62"/>
  <c r="AI114" i="62"/>
  <c r="AI155" i="62"/>
  <c r="AE128" i="62"/>
  <c r="AE122" i="62"/>
  <c r="AE174" i="62"/>
  <c r="AQ120" i="62"/>
  <c r="AQ147" i="62"/>
  <c r="BE125" i="62"/>
  <c r="AW143" i="62"/>
  <c r="AW186" i="62"/>
  <c r="AE162" i="62"/>
  <c r="BE139" i="62"/>
  <c r="BE167" i="62"/>
  <c r="BE190" i="62"/>
  <c r="BA181" i="62"/>
  <c r="BI140" i="62"/>
  <c r="BE153" i="62"/>
  <c r="BA132" i="62"/>
  <c r="BI132" i="62"/>
  <c r="BA142" i="62"/>
  <c r="BA152" i="62"/>
  <c r="BA164" i="62"/>
  <c r="BA187" i="62"/>
  <c r="BI203" i="62"/>
  <c r="AQ178" i="62"/>
  <c r="AQ129" i="62"/>
  <c r="BI156" i="62"/>
  <c r="AQ151" i="62"/>
  <c r="BA115" i="62"/>
  <c r="BA123" i="62"/>
  <c r="AI116" i="62"/>
  <c r="BE118" i="62"/>
  <c r="AW141" i="62"/>
  <c r="AW114" i="62"/>
  <c r="BI181" i="62"/>
  <c r="AQ84" i="55"/>
  <c r="AM79" i="55"/>
  <c r="AQ79" i="55"/>
  <c r="Y218" i="61"/>
  <c r="AM217" i="61"/>
  <c r="AM220" i="61"/>
  <c r="BI220" i="61"/>
  <c r="AI215" i="61"/>
  <c r="AM234" i="61"/>
  <c r="AM216" i="61"/>
  <c r="BI222" i="61"/>
  <c r="Y221" i="61"/>
  <c r="Q221" i="61"/>
  <c r="AM215" i="61"/>
  <c r="AQ216" i="61"/>
  <c r="BI217" i="61"/>
  <c r="Y59" i="61"/>
  <c r="BI48" i="61"/>
  <c r="U131" i="62"/>
  <c r="U167" i="62"/>
  <c r="U182" i="62"/>
  <c r="BI201" i="62"/>
  <c r="BI130" i="62"/>
  <c r="M218" i="61"/>
  <c r="BI174" i="62"/>
  <c r="P146" i="58"/>
  <c r="BI154" i="62"/>
  <c r="Q283" i="35"/>
  <c r="Q371" i="35"/>
  <c r="Q25" i="35"/>
  <c r="Q197" i="35"/>
  <c r="Q628" i="35"/>
  <c r="Q111" i="35"/>
  <c r="BI177" i="62"/>
  <c r="Q309" i="35"/>
  <c r="AM196" i="62"/>
  <c r="AM165" i="62"/>
  <c r="AQ180" i="62"/>
  <c r="BA188" i="62"/>
  <c r="AW121" i="62"/>
  <c r="AM116" i="62"/>
  <c r="BA194" i="62"/>
  <c r="AE147" i="62"/>
  <c r="AW192" i="62"/>
  <c r="AW165" i="62"/>
  <c r="AM169" i="62"/>
  <c r="AI156" i="62"/>
  <c r="AM135" i="62"/>
  <c r="AI193" i="62"/>
  <c r="AI142" i="62"/>
  <c r="BA122" i="62"/>
  <c r="BA133" i="62"/>
  <c r="BA149" i="62"/>
  <c r="BA165" i="62"/>
  <c r="AW184" i="62"/>
  <c r="BA190" i="62"/>
  <c r="AW199" i="62"/>
  <c r="AQ132" i="62"/>
  <c r="AM145" i="62"/>
  <c r="AQ179" i="62"/>
  <c r="AE126" i="62"/>
  <c r="AE119" i="62"/>
  <c r="BI190" i="62"/>
  <c r="AM138" i="62"/>
  <c r="AQ134" i="62"/>
  <c r="BI122" i="62"/>
  <c r="BA167" i="62"/>
  <c r="BE166" i="62"/>
  <c r="AE117" i="62"/>
  <c r="AW200" i="62"/>
  <c r="AW170" i="62"/>
  <c r="BI133" i="62"/>
  <c r="AI121" i="62"/>
  <c r="BI135" i="62"/>
  <c r="BE121" i="62"/>
  <c r="AE137" i="62"/>
  <c r="AW120" i="62"/>
  <c r="BI155" i="62"/>
  <c r="AM185" i="62"/>
  <c r="AQ202" i="62"/>
  <c r="AW128" i="62"/>
  <c r="AW144" i="62"/>
  <c r="BE169" i="62"/>
  <c r="AW203" i="62"/>
  <c r="AM136" i="62"/>
  <c r="AI153" i="62"/>
  <c r="BE117" i="62"/>
  <c r="U203" i="62"/>
  <c r="AM123" i="62"/>
  <c r="AM175" i="62"/>
  <c r="AI127" i="62"/>
  <c r="AQ155" i="62"/>
  <c r="BE187" i="62"/>
  <c r="AQ182" i="62"/>
  <c r="AW146" i="62"/>
  <c r="BE178" i="62"/>
  <c r="BE198" i="62"/>
  <c r="BA189" i="62"/>
  <c r="AW188" i="62"/>
  <c r="BA136" i="62"/>
  <c r="AI149" i="62"/>
  <c r="BA134" i="62"/>
  <c r="BA144" i="62"/>
  <c r="BA156" i="62"/>
  <c r="BA168" i="62"/>
  <c r="AW191" i="62"/>
  <c r="BA138" i="62"/>
  <c r="AQ113" i="62"/>
  <c r="BA166" i="62"/>
  <c r="BA117" i="62"/>
  <c r="BA125" i="62"/>
  <c r="AQ127" i="62"/>
  <c r="AW118" i="62"/>
  <c r="AI124" i="62"/>
  <c r="BI189" i="62"/>
  <c r="AI84" i="55"/>
  <c r="AE84" i="55"/>
  <c r="AQ234" i="61"/>
  <c r="BE233" i="61"/>
  <c r="AW234" i="61"/>
  <c r="U217" i="61"/>
  <c r="U223" i="61"/>
  <c r="AW221" i="61"/>
  <c r="Y223" i="61"/>
  <c r="AE218" i="61"/>
  <c r="Y220" i="61"/>
  <c r="AG84" i="58"/>
  <c r="BE56" i="61"/>
  <c r="Y63" i="61"/>
  <c r="U151" i="62"/>
  <c r="BI142" i="62"/>
  <c r="BE171" i="62"/>
  <c r="BI146" i="62"/>
  <c r="BA128" i="62"/>
  <c r="BI115" i="62"/>
  <c r="BI116" i="62"/>
  <c r="BI162" i="62"/>
  <c r="M223" i="61"/>
  <c r="M176" i="35"/>
  <c r="T182" i="58"/>
  <c r="V253" i="58"/>
  <c r="O75" i="35"/>
  <c r="O333" i="35"/>
  <c r="AV253" i="58"/>
  <c r="AV214" i="58"/>
  <c r="AI253" i="58"/>
  <c r="AI214" i="58"/>
  <c r="AV273" i="58"/>
  <c r="AR214" i="58"/>
  <c r="AR195" i="58"/>
  <c r="T260" i="58"/>
  <c r="V232" i="58"/>
  <c r="T173" i="58"/>
  <c r="V255" i="58"/>
  <c r="V233" i="58"/>
  <c r="AV234" i="58"/>
  <c r="AV185" i="58"/>
  <c r="AI234" i="58"/>
  <c r="AI185" i="58"/>
  <c r="AR253" i="58"/>
  <c r="AR244" i="58"/>
  <c r="T191" i="58"/>
  <c r="AV263" i="58"/>
  <c r="AV224" i="58"/>
  <c r="AI263" i="58"/>
  <c r="AI224" i="58"/>
  <c r="T269" i="58"/>
  <c r="AR185" i="58"/>
  <c r="AR175" i="58"/>
  <c r="AR263" i="58"/>
  <c r="O562" i="35"/>
  <c r="T421" i="35"/>
  <c r="J75" i="35"/>
  <c r="AC89" i="58"/>
  <c r="AG117" i="58"/>
  <c r="U335" i="35"/>
  <c r="V100" i="58"/>
  <c r="AI101" i="58"/>
  <c r="V116" i="58"/>
  <c r="U252" i="35"/>
  <c r="U76" i="35"/>
  <c r="V92" i="58"/>
  <c r="AP76" i="58"/>
  <c r="AG213" i="58"/>
  <c r="AG250" i="58"/>
  <c r="AG192" i="58"/>
  <c r="AR213" i="58"/>
  <c r="AR262" i="58"/>
  <c r="AE213" i="58"/>
  <c r="AE272" i="58"/>
  <c r="AR221" i="58"/>
  <c r="AR270" i="58"/>
  <c r="AE231" i="58"/>
  <c r="AV194" i="58"/>
  <c r="AI174" i="58"/>
  <c r="AI262" i="58"/>
  <c r="AV241" i="58"/>
  <c r="AI221" i="58"/>
  <c r="V212" i="58"/>
  <c r="T232" i="58"/>
  <c r="T251" i="58"/>
  <c r="V174" i="58"/>
  <c r="J461" i="35"/>
  <c r="V246" i="58"/>
  <c r="V216" i="58"/>
  <c r="P263" i="58"/>
  <c r="P224" i="58"/>
  <c r="P185" i="58"/>
  <c r="P212" i="58"/>
  <c r="P222" i="58"/>
  <c r="AG252" i="58"/>
  <c r="AG194" i="58"/>
  <c r="AG241" i="58"/>
  <c r="AG172" i="58"/>
  <c r="AR223" i="58"/>
  <c r="AR272" i="58"/>
  <c r="AE233" i="58"/>
  <c r="AR172" i="58"/>
  <c r="AR231" i="58"/>
  <c r="AE182" i="58"/>
  <c r="AE241" i="58"/>
  <c r="AV223" i="58"/>
  <c r="AI194" i="58"/>
  <c r="AV172" i="58"/>
  <c r="AV260" i="58"/>
  <c r="AI241" i="58"/>
  <c r="V242" i="58"/>
  <c r="V261" i="58"/>
  <c r="J378" i="35"/>
  <c r="J375" i="35"/>
  <c r="V177" i="58"/>
  <c r="P273" i="58"/>
  <c r="V223" i="58"/>
  <c r="P253" i="58"/>
  <c r="P173" i="58"/>
  <c r="P175" i="58"/>
  <c r="P214" i="58"/>
  <c r="AG243" i="58"/>
  <c r="AR174" i="58"/>
  <c r="AE184" i="58"/>
  <c r="AR182" i="58"/>
  <c r="AE192" i="58"/>
  <c r="AI172" i="58"/>
  <c r="T212" i="58"/>
  <c r="V194" i="58"/>
  <c r="U31" i="35"/>
  <c r="P251" i="58"/>
  <c r="J525" i="35"/>
  <c r="T75" i="35"/>
  <c r="T68" i="58"/>
  <c r="T526" i="35"/>
  <c r="R525" i="35"/>
  <c r="T440" i="35"/>
  <c r="R439" i="35"/>
  <c r="AT67" i="58"/>
  <c r="T165" i="35"/>
  <c r="J697" i="35"/>
  <c r="G696" i="35"/>
  <c r="P193" i="58"/>
  <c r="P242" i="58"/>
  <c r="J440" i="35"/>
  <c r="F439" i="35"/>
  <c r="J439" i="35"/>
  <c r="T697" i="35"/>
  <c r="R696" i="35"/>
  <c r="O440" i="35"/>
  <c r="M439" i="35"/>
  <c r="AG67" i="58"/>
  <c r="O697" i="35"/>
  <c r="O421" i="35"/>
  <c r="T247" i="35"/>
  <c r="O612" i="35"/>
  <c r="U612" i="35"/>
  <c r="N611" i="35"/>
  <c r="P225" i="58"/>
  <c r="P186" i="58"/>
  <c r="P274" i="58"/>
  <c r="P215" i="58"/>
  <c r="P176" i="58"/>
  <c r="P235" i="58"/>
  <c r="P254" i="58"/>
  <c r="P264" i="58"/>
  <c r="P196" i="58"/>
  <c r="P245" i="58"/>
  <c r="AT75" i="58"/>
  <c r="AT84" i="58"/>
  <c r="AT101" i="58"/>
  <c r="AT109" i="58"/>
  <c r="AV250" i="58"/>
  <c r="AV211" i="58"/>
  <c r="AV270" i="58"/>
  <c r="AV231" i="58"/>
  <c r="AV182" i="58"/>
  <c r="AV252" i="58"/>
  <c r="AV213" i="58"/>
  <c r="AV272" i="58"/>
  <c r="AV233" i="58"/>
  <c r="AV184" i="58"/>
  <c r="AR241" i="58"/>
  <c r="AR192" i="58"/>
  <c r="AR243" i="58"/>
  <c r="AR194" i="58"/>
  <c r="AG270" i="58"/>
  <c r="AG182" i="58"/>
  <c r="AG231" i="58"/>
  <c r="AG272" i="58"/>
  <c r="AG174" i="58"/>
  <c r="AG223" i="58"/>
  <c r="AG262" i="58"/>
  <c r="V222" i="58"/>
  <c r="V183" i="58"/>
  <c r="V173" i="58"/>
  <c r="V251" i="58"/>
  <c r="V271" i="58"/>
  <c r="V224" i="58"/>
  <c r="V214" i="58"/>
  <c r="H630" i="35"/>
  <c r="J632" i="35"/>
  <c r="H548" i="35"/>
  <c r="J550" i="35"/>
  <c r="T183" i="58"/>
  <c r="T222" i="58"/>
  <c r="T193" i="58"/>
  <c r="T242" i="58"/>
  <c r="T271" i="58"/>
  <c r="T261" i="58"/>
  <c r="AI270" i="58"/>
  <c r="AI231" i="58"/>
  <c r="AI182" i="58"/>
  <c r="AI250" i="58"/>
  <c r="AI211" i="58"/>
  <c r="AI272" i="58"/>
  <c r="AI233" i="58"/>
  <c r="AI184" i="58"/>
  <c r="AI252" i="58"/>
  <c r="AI213" i="58"/>
  <c r="V226" i="58"/>
  <c r="V187" i="58"/>
  <c r="V265" i="58"/>
  <c r="V236" i="58"/>
  <c r="V184" i="58"/>
  <c r="V243" i="58"/>
  <c r="V213" i="58"/>
  <c r="P113" i="35"/>
  <c r="T115" i="35"/>
  <c r="P459" i="35"/>
  <c r="T461" i="35"/>
  <c r="AE260" i="58"/>
  <c r="AE221" i="58"/>
  <c r="AE172" i="58"/>
  <c r="AE262" i="58"/>
  <c r="AE223" i="58"/>
  <c r="AE174" i="58"/>
  <c r="J373" i="35"/>
  <c r="G545" i="35"/>
  <c r="J547" i="35"/>
  <c r="G633" i="35"/>
  <c r="J635" i="35"/>
  <c r="G462" i="35"/>
  <c r="J464" i="35"/>
  <c r="AI342" i="58"/>
  <c r="O122" i="35"/>
  <c r="T127" i="35"/>
  <c r="V28" i="58"/>
  <c r="V36" i="58"/>
  <c r="J27" i="35"/>
  <c r="T210" i="58"/>
  <c r="J170" i="35"/>
  <c r="AV70" i="58"/>
  <c r="J421" i="35"/>
  <c r="U509" i="35"/>
  <c r="T107" i="58"/>
  <c r="AP113" i="58"/>
  <c r="V249" i="58"/>
  <c r="V185" i="58"/>
  <c r="T270" i="58"/>
  <c r="J32" i="35"/>
  <c r="O247" i="35"/>
  <c r="O593" i="35"/>
  <c r="J333" i="35"/>
  <c r="T333" i="35"/>
  <c r="J247" i="35"/>
  <c r="O507" i="35"/>
  <c r="AT181" i="58"/>
  <c r="T35" i="35"/>
  <c r="T387" i="35"/>
  <c r="T27" i="35"/>
  <c r="AV240" i="58"/>
  <c r="AV191" i="58"/>
  <c r="AV269" i="58"/>
  <c r="AV230" i="58"/>
  <c r="AV181" i="58"/>
  <c r="AV249" i="58"/>
  <c r="AV259" i="58"/>
  <c r="AV220" i="58"/>
  <c r="AV171" i="58"/>
  <c r="AV210" i="58"/>
  <c r="AT259" i="58"/>
  <c r="AT240" i="58"/>
  <c r="AT220" i="58"/>
  <c r="AT191" i="58"/>
  <c r="AT171" i="58"/>
  <c r="AR191" i="58"/>
  <c r="AR240" i="58"/>
  <c r="AE171" i="58"/>
  <c r="AE220" i="58"/>
  <c r="AE259" i="58"/>
  <c r="AI191" i="58"/>
  <c r="AI240" i="58"/>
  <c r="T249" i="58"/>
  <c r="T259" i="58"/>
  <c r="T181" i="58"/>
  <c r="J118" i="35"/>
  <c r="V195" i="58"/>
  <c r="V273" i="58"/>
  <c r="AT269" i="58"/>
  <c r="T250" i="58"/>
  <c r="T211" i="58"/>
  <c r="T507" i="35"/>
  <c r="AC91" i="58"/>
  <c r="V210" i="58"/>
  <c r="V244" i="58"/>
  <c r="O74" i="35"/>
  <c r="AI366" i="58"/>
  <c r="AR210" i="58"/>
  <c r="AR249" i="58"/>
  <c r="AE181" i="58"/>
  <c r="AE230" i="58"/>
  <c r="AE269" i="58"/>
  <c r="AI210" i="58"/>
  <c r="AI249" i="58"/>
  <c r="T171" i="58"/>
  <c r="T240" i="58"/>
  <c r="T29" i="35"/>
  <c r="V234" i="58"/>
  <c r="J115" i="35"/>
  <c r="T231" i="58"/>
  <c r="T172" i="58"/>
  <c r="T221" i="58"/>
  <c r="T375" i="35"/>
  <c r="O378" i="35"/>
  <c r="T381" i="35"/>
  <c r="J202" i="35"/>
  <c r="P33" i="35"/>
  <c r="V263" i="58"/>
  <c r="U23" i="35"/>
  <c r="AT249" i="58"/>
  <c r="AT230" i="58"/>
  <c r="AT210" i="58"/>
  <c r="AR171" i="58"/>
  <c r="AR220" i="58"/>
  <c r="AE191" i="58"/>
  <c r="AI171" i="58"/>
  <c r="AI220" i="58"/>
  <c r="T220" i="58"/>
  <c r="T230" i="58"/>
  <c r="AI81" i="58"/>
  <c r="V175" i="58"/>
  <c r="J113" i="35"/>
  <c r="T241" i="58"/>
  <c r="T192" i="58"/>
  <c r="AC107" i="58"/>
  <c r="J417" i="35"/>
  <c r="V70" i="58"/>
  <c r="J29" i="35"/>
  <c r="J506" i="35"/>
  <c r="V275" i="58"/>
  <c r="AI398" i="58"/>
  <c r="T213" i="35"/>
  <c r="T559" i="35"/>
  <c r="AI417" i="58"/>
  <c r="AI497" i="58"/>
  <c r="AI412" i="58"/>
  <c r="AI508" i="58"/>
  <c r="AI324" i="58"/>
  <c r="AI292" i="58"/>
  <c r="AI454" i="58"/>
  <c r="AI430" i="58"/>
  <c r="P211" i="35"/>
  <c r="P557" i="35"/>
  <c r="AI510" i="58"/>
  <c r="AI318" i="58"/>
  <c r="AI486" i="58"/>
  <c r="AI286" i="58"/>
  <c r="AI302" i="58"/>
  <c r="AI326" i="58"/>
  <c r="G471" i="35"/>
  <c r="J473" i="35"/>
  <c r="AI478" i="58"/>
  <c r="AI446" i="58"/>
  <c r="AI374" i="58"/>
  <c r="AI406" i="58"/>
  <c r="AI518" i="58"/>
  <c r="AI334" i="58"/>
  <c r="AI310" i="58"/>
  <c r="AI513" i="58"/>
  <c r="AI345" i="58"/>
  <c r="AI502" i="58"/>
  <c r="AI470" i="58"/>
  <c r="AI438" i="58"/>
  <c r="AI382" i="58"/>
  <c r="AI414" i="58"/>
  <c r="AI358" i="58"/>
  <c r="AI494" i="58"/>
  <c r="AI462" i="58"/>
  <c r="AI390" i="58"/>
  <c r="AI422" i="58"/>
  <c r="AI350" i="58"/>
  <c r="O644" i="35"/>
  <c r="AI278" i="58"/>
  <c r="AG342" i="58"/>
  <c r="AG438" i="58"/>
  <c r="AG278" i="58"/>
  <c r="J122" i="35"/>
  <c r="U122" i="35"/>
  <c r="J207" i="35"/>
  <c r="G205" i="35"/>
  <c r="AG510" i="58"/>
  <c r="J213" i="35"/>
  <c r="AI500" i="58"/>
  <c r="AI372" i="58"/>
  <c r="AI492" i="58"/>
  <c r="AI364" i="58"/>
  <c r="AG486" i="58"/>
  <c r="J121" i="35"/>
  <c r="AG382" i="58"/>
  <c r="J299" i="35"/>
  <c r="AI401" i="58"/>
  <c r="AI321" i="58"/>
  <c r="AI305" i="58"/>
  <c r="AI281" i="58"/>
  <c r="AI294" i="58"/>
  <c r="J649" i="35"/>
  <c r="O392" i="35"/>
  <c r="O649" i="35"/>
  <c r="J391" i="35"/>
  <c r="O564" i="35"/>
  <c r="J218" i="35"/>
  <c r="J46" i="35"/>
  <c r="O390" i="35"/>
  <c r="J474" i="35"/>
  <c r="J128" i="35"/>
  <c r="J468" i="35"/>
  <c r="O468" i="35"/>
  <c r="J208" i="35"/>
  <c r="O554" i="35"/>
  <c r="J382" i="35"/>
  <c r="J554" i="35"/>
  <c r="J294" i="35"/>
  <c r="O382" i="35"/>
  <c r="AV261" i="58"/>
  <c r="AV222" i="58"/>
  <c r="AV173" i="58"/>
  <c r="AV251" i="58"/>
  <c r="AV212" i="58"/>
  <c r="AV242" i="58"/>
  <c r="AV193" i="58"/>
  <c r="AV271" i="58"/>
  <c r="AV232" i="58"/>
  <c r="AV183" i="58"/>
  <c r="V264" i="58"/>
  <c r="V225" i="58"/>
  <c r="V274" i="58"/>
  <c r="V196" i="58"/>
  <c r="V254" i="58"/>
  <c r="V215" i="58"/>
  <c r="V186" i="58"/>
  <c r="V245" i="58"/>
  <c r="V235" i="58"/>
  <c r="V176" i="58"/>
  <c r="O201" i="35"/>
  <c r="K199" i="35"/>
  <c r="K545" i="35"/>
  <c r="O545" i="35"/>
  <c r="O547" i="35"/>
  <c r="O118" i="35"/>
  <c r="K116" i="35"/>
  <c r="O116" i="35"/>
  <c r="K462" i="35"/>
  <c r="O462" i="35"/>
  <c r="O464" i="35"/>
  <c r="P288" i="35"/>
  <c r="T290" i="35"/>
  <c r="P633" i="35"/>
  <c r="T633" i="35"/>
  <c r="T635" i="35"/>
  <c r="AE264" i="58"/>
  <c r="G285" i="35"/>
  <c r="J287" i="35"/>
  <c r="V252" i="58"/>
  <c r="V262" i="58"/>
  <c r="K630" i="35"/>
  <c r="O632" i="35"/>
  <c r="K202" i="35"/>
  <c r="O202" i="35"/>
  <c r="O204" i="35"/>
  <c r="K548" i="35"/>
  <c r="O550" i="35"/>
  <c r="P30" i="35"/>
  <c r="T32" i="35"/>
  <c r="AE261" i="58"/>
  <c r="AE222" i="58"/>
  <c r="AE173" i="58"/>
  <c r="AE271" i="58"/>
  <c r="AE232" i="58"/>
  <c r="AE183" i="58"/>
  <c r="AE242" i="58"/>
  <c r="AE193" i="58"/>
  <c r="AE251" i="58"/>
  <c r="AE212" i="58"/>
  <c r="V220" i="58"/>
  <c r="V191" i="58"/>
  <c r="V181" i="58"/>
  <c r="V171" i="58"/>
  <c r="V240" i="58"/>
  <c r="V259" i="58"/>
  <c r="V269" i="58"/>
  <c r="V230" i="58"/>
  <c r="K27" i="35"/>
  <c r="O29" i="35"/>
  <c r="O375" i="35"/>
  <c r="K373" i="35"/>
  <c r="O290" i="35"/>
  <c r="K288" i="35"/>
  <c r="K633" i="35"/>
  <c r="O633" i="35"/>
  <c r="O635" i="35"/>
  <c r="AI271" i="58"/>
  <c r="AI232" i="58"/>
  <c r="AI183" i="58"/>
  <c r="AI242" i="58"/>
  <c r="AI193" i="58"/>
  <c r="AI251" i="58"/>
  <c r="AI212" i="58"/>
  <c r="AI261" i="58"/>
  <c r="AI222" i="58"/>
  <c r="AI173" i="58"/>
  <c r="T201" i="35"/>
  <c r="P199" i="35"/>
  <c r="P545" i="35"/>
  <c r="T545" i="35"/>
  <c r="T547" i="35"/>
  <c r="P116" i="35"/>
  <c r="T118" i="35"/>
  <c r="T464" i="35"/>
  <c r="P462" i="35"/>
  <c r="J201" i="35"/>
  <c r="G199" i="35"/>
  <c r="J290" i="35"/>
  <c r="G288" i="35"/>
  <c r="J288" i="35"/>
  <c r="O115" i="35"/>
  <c r="K113" i="35"/>
  <c r="K459" i="35"/>
  <c r="O461" i="35"/>
  <c r="O32" i="35"/>
  <c r="K30" i="35"/>
  <c r="O30" i="35"/>
  <c r="AV265" i="58"/>
  <c r="P630" i="35"/>
  <c r="T632" i="35"/>
  <c r="T204" i="35"/>
  <c r="P202" i="35"/>
  <c r="T202" i="35"/>
  <c r="T550" i="35"/>
  <c r="P548" i="35"/>
  <c r="T548" i="35"/>
  <c r="J564" i="35"/>
  <c r="T478" i="35"/>
  <c r="N391" i="35"/>
  <c r="O132" i="35"/>
  <c r="G563" i="35"/>
  <c r="T564" i="35"/>
  <c r="O218" i="35"/>
  <c r="J478" i="35"/>
  <c r="O478" i="35"/>
  <c r="R563" i="35"/>
  <c r="N131" i="35"/>
  <c r="O304" i="35"/>
  <c r="K217" i="35"/>
  <c r="O46" i="35"/>
  <c r="AT119" i="58"/>
  <c r="AI94" i="58"/>
  <c r="AG92" i="58"/>
  <c r="T592" i="35"/>
  <c r="AC108" i="58"/>
  <c r="AG116" i="58"/>
  <c r="O160" i="35"/>
  <c r="AP121" i="58"/>
  <c r="AC100" i="58"/>
  <c r="AC99" i="58"/>
  <c r="T74" i="35"/>
  <c r="O506" i="35"/>
  <c r="AP116" i="58"/>
  <c r="AP100" i="58"/>
  <c r="AC98" i="58"/>
  <c r="AC106" i="58"/>
  <c r="AP92" i="58"/>
  <c r="T97" i="58"/>
  <c r="T90" i="58"/>
  <c r="AG121" i="58"/>
  <c r="AG105" i="58"/>
  <c r="T246" i="35"/>
  <c r="R99" i="58"/>
  <c r="R115" i="58"/>
  <c r="R91" i="58"/>
  <c r="AI105" i="58"/>
  <c r="AI121" i="58"/>
  <c r="AI97" i="58"/>
  <c r="AI113" i="58"/>
  <c r="T677" i="35"/>
  <c r="L72" i="35"/>
  <c r="O677" i="35"/>
  <c r="J332" i="35"/>
  <c r="AC118" i="58"/>
  <c r="P244" i="35"/>
  <c r="Q72" i="35"/>
  <c r="AI109" i="58"/>
  <c r="AI117" i="58"/>
  <c r="AT102" i="58"/>
  <c r="AT110" i="58"/>
  <c r="AT118" i="58"/>
  <c r="AT92" i="58"/>
  <c r="AT108" i="58"/>
  <c r="AT116" i="58"/>
  <c r="AT100" i="58"/>
  <c r="T118" i="58"/>
  <c r="T94" i="58"/>
  <c r="T102" i="58"/>
  <c r="AT107" i="58"/>
  <c r="AT114" i="58"/>
  <c r="AT99" i="58"/>
  <c r="AT106" i="58"/>
  <c r="AT98" i="58"/>
  <c r="AT115" i="58"/>
  <c r="J246" i="35"/>
  <c r="AC110" i="58"/>
  <c r="AT91" i="58"/>
  <c r="AI102" i="58"/>
  <c r="AI110" i="58"/>
  <c r="AT103" i="58"/>
  <c r="AG101" i="58"/>
  <c r="AG93" i="58"/>
  <c r="AG113" i="58"/>
  <c r="AG97" i="58"/>
  <c r="T113" i="58"/>
  <c r="T121" i="58"/>
  <c r="V113" i="58"/>
  <c r="V121" i="58"/>
  <c r="V105" i="58"/>
  <c r="V97" i="58"/>
  <c r="AT93" i="58"/>
  <c r="AT117" i="58"/>
  <c r="T96" i="58"/>
  <c r="T120" i="58"/>
  <c r="T112" i="58"/>
  <c r="T104" i="58"/>
  <c r="J592" i="35"/>
  <c r="J677" i="35"/>
  <c r="G675" i="35"/>
  <c r="V110" i="58"/>
  <c r="V94" i="58"/>
  <c r="V102" i="58"/>
  <c r="V118" i="58"/>
  <c r="V93" i="58"/>
  <c r="V101" i="58"/>
  <c r="AG110" i="58"/>
  <c r="AG118" i="58"/>
  <c r="AG94" i="58"/>
  <c r="AV68" i="58"/>
  <c r="T674" i="35"/>
  <c r="AR89" i="58"/>
  <c r="AV85" i="58"/>
  <c r="AV86" i="58"/>
  <c r="AR71" i="58"/>
  <c r="AV79" i="58"/>
  <c r="AP75" i="58"/>
  <c r="AT66" i="58"/>
  <c r="T329" i="35"/>
  <c r="AP66" i="58"/>
  <c r="J674" i="35"/>
  <c r="AI65" i="58"/>
  <c r="AP72" i="58"/>
  <c r="AG74" i="58"/>
  <c r="AT85" i="58"/>
  <c r="AT76" i="58"/>
  <c r="AG86" i="58"/>
  <c r="J243" i="35"/>
  <c r="J157" i="35"/>
  <c r="J71" i="35"/>
  <c r="V79" i="58"/>
  <c r="AE89" i="58"/>
  <c r="AT72" i="58"/>
  <c r="T71" i="58"/>
  <c r="AG81" i="58"/>
  <c r="J329" i="35"/>
  <c r="O417" i="35"/>
  <c r="G672" i="35"/>
  <c r="AG76" i="58"/>
  <c r="T80" i="58"/>
  <c r="AP74" i="58"/>
  <c r="O674" i="35"/>
  <c r="AG65" i="58"/>
  <c r="AP83" i="58"/>
  <c r="AG59" i="58"/>
  <c r="AG83" i="58"/>
  <c r="T83" i="58"/>
  <c r="T65" i="58"/>
  <c r="AP59" i="58"/>
  <c r="T157" i="35"/>
  <c r="T503" i="35"/>
  <c r="V80" i="58"/>
  <c r="V89" i="58"/>
  <c r="T417" i="35"/>
  <c r="AI72" i="58"/>
  <c r="J503" i="35"/>
  <c r="O503" i="35"/>
  <c r="AR81" i="58"/>
  <c r="T69" i="35"/>
  <c r="AI74" i="58"/>
  <c r="T71" i="35"/>
  <c r="O329" i="35"/>
  <c r="AI83" i="58"/>
  <c r="AR72" i="58"/>
  <c r="AC72" i="58"/>
  <c r="AC59" i="58"/>
  <c r="AC81" i="58"/>
  <c r="T243" i="35"/>
  <c r="T589" i="35"/>
  <c r="P501" i="35"/>
  <c r="T488" i="35"/>
  <c r="T659" i="35"/>
  <c r="O56" i="35"/>
  <c r="T657" i="35"/>
  <c r="T312" i="35"/>
  <c r="AE163" i="58"/>
  <c r="O400" i="35"/>
  <c r="O314" i="35"/>
  <c r="O402" i="35"/>
  <c r="J402" i="35"/>
  <c r="AI164" i="58"/>
  <c r="O226" i="35"/>
  <c r="M325" i="35"/>
  <c r="J497" i="35"/>
  <c r="AE270" i="61"/>
  <c r="P148" i="58"/>
  <c r="J323" i="35"/>
  <c r="J668" i="35"/>
  <c r="AI270" i="61"/>
  <c r="J65" i="35"/>
  <c r="T668" i="35"/>
  <c r="J151" i="35"/>
  <c r="O668" i="35"/>
  <c r="O323" i="35"/>
  <c r="M413" i="35"/>
  <c r="M153" i="35"/>
  <c r="M670" i="35"/>
  <c r="M239" i="35"/>
  <c r="N325" i="35"/>
  <c r="F413" i="35"/>
  <c r="F412" i="35"/>
  <c r="P154" i="58"/>
  <c r="O234" i="35"/>
  <c r="O62" i="35"/>
  <c r="J583" i="35"/>
  <c r="T237" i="35"/>
  <c r="T151" i="35"/>
  <c r="T59" i="35"/>
  <c r="G325" i="35"/>
  <c r="G67" i="35"/>
  <c r="G499" i="35"/>
  <c r="M585" i="35"/>
  <c r="M499" i="35"/>
  <c r="G670" i="35"/>
  <c r="T580" i="35"/>
  <c r="O665" i="35"/>
  <c r="J148" i="35"/>
  <c r="T148" i="35"/>
  <c r="J231" i="35"/>
  <c r="J145" i="35"/>
  <c r="H325" i="35"/>
  <c r="J59" i="35"/>
  <c r="H67" i="35"/>
  <c r="H585" i="35"/>
  <c r="H413" i="35"/>
  <c r="H239" i="35"/>
  <c r="H670" i="35"/>
  <c r="H499" i="35"/>
  <c r="I585" i="35"/>
  <c r="I499" i="35"/>
  <c r="I325" i="35"/>
  <c r="I153" i="35"/>
  <c r="J577" i="35"/>
  <c r="I239" i="35"/>
  <c r="I413" i="35"/>
  <c r="Q153" i="35"/>
  <c r="Q239" i="35"/>
  <c r="Q499" i="35"/>
  <c r="Q585" i="35"/>
  <c r="I670" i="35"/>
  <c r="Q670" i="35"/>
  <c r="L499" i="35"/>
  <c r="Q413" i="35"/>
  <c r="F585" i="35"/>
  <c r="F584" i="35"/>
  <c r="F325" i="35"/>
  <c r="F324" i="35"/>
  <c r="P157" i="58"/>
  <c r="F499" i="35"/>
  <c r="F498" i="35"/>
  <c r="P155" i="58"/>
  <c r="F153" i="35"/>
  <c r="F152" i="35"/>
  <c r="P153" i="58"/>
  <c r="F670" i="35"/>
  <c r="F669" i="35"/>
  <c r="P158" i="58"/>
  <c r="N239" i="35"/>
  <c r="N413" i="35"/>
  <c r="N670" i="35"/>
  <c r="N153" i="35"/>
  <c r="Q67" i="35"/>
  <c r="L153" i="35"/>
  <c r="Q325" i="35"/>
  <c r="N585" i="35"/>
  <c r="N499" i="35"/>
  <c r="K499" i="35"/>
  <c r="K325" i="35"/>
  <c r="K585" i="35"/>
  <c r="K413" i="35"/>
  <c r="K239" i="35"/>
  <c r="K67" i="35"/>
  <c r="K670" i="35"/>
  <c r="K153" i="35"/>
  <c r="S499" i="35"/>
  <c r="S67" i="35"/>
  <c r="S153" i="35"/>
  <c r="S239" i="35"/>
  <c r="S585" i="35"/>
  <c r="S413" i="35"/>
  <c r="S670" i="35"/>
  <c r="S325" i="35"/>
  <c r="G239" i="35"/>
  <c r="G413" i="35"/>
  <c r="G153" i="35"/>
  <c r="F67" i="35"/>
  <c r="F66" i="35"/>
  <c r="P152" i="58"/>
  <c r="P499" i="35"/>
  <c r="P325" i="35"/>
  <c r="P585" i="35"/>
  <c r="P67" i="35"/>
  <c r="P153" i="35"/>
  <c r="P670" i="35"/>
  <c r="P239" i="35"/>
  <c r="L585" i="35"/>
  <c r="L325" i="35"/>
  <c r="L413" i="35"/>
  <c r="L239" i="35"/>
  <c r="L67" i="35"/>
  <c r="BA270" i="61"/>
  <c r="AM270" i="61"/>
  <c r="AQ270" i="61"/>
  <c r="AW270" i="61"/>
  <c r="BI270" i="61"/>
  <c r="Y270" i="61"/>
  <c r="Q270" i="61"/>
  <c r="J526" i="35"/>
  <c r="U524" i="35"/>
  <c r="U463" i="35"/>
  <c r="J251" i="35"/>
  <c r="AR73" i="58"/>
  <c r="T132" i="35"/>
  <c r="J304" i="35"/>
  <c r="O312" i="35"/>
  <c r="T218" i="35"/>
  <c r="J226" i="35"/>
  <c r="J217" i="35"/>
  <c r="T678" i="35"/>
  <c r="R24" i="58"/>
  <c r="X24" i="58"/>
  <c r="J250" i="35"/>
  <c r="U423" i="35"/>
  <c r="U682" i="35"/>
  <c r="U94" i="35"/>
  <c r="R44" i="58"/>
  <c r="R36" i="58"/>
  <c r="U687" i="35"/>
  <c r="J167" i="35"/>
  <c r="U260" i="35"/>
  <c r="J172" i="35"/>
  <c r="U340" i="35"/>
  <c r="R4" i="58"/>
  <c r="U681" i="35"/>
  <c r="U168" i="35"/>
  <c r="AJ83" i="34"/>
  <c r="AJ78" i="34"/>
  <c r="U604" i="35"/>
  <c r="AC20" i="58"/>
  <c r="U515" i="35"/>
  <c r="U428" i="35"/>
  <c r="U344" i="35"/>
  <c r="R32" i="58"/>
  <c r="X32" i="58"/>
  <c r="U689" i="35"/>
  <c r="J605" i="35"/>
  <c r="U605" i="35"/>
  <c r="U256" i="35"/>
  <c r="U607" i="35"/>
  <c r="U343" i="35"/>
  <c r="J434" i="35"/>
  <c r="U434" i="35"/>
  <c r="U432" i="35"/>
  <c r="AR54" i="58"/>
  <c r="AX54" i="58"/>
  <c r="AC36" i="58"/>
  <c r="U82" i="35"/>
  <c r="U255" i="35"/>
  <c r="AR28" i="58"/>
  <c r="AR36" i="58"/>
  <c r="AC44" i="58"/>
  <c r="T174" i="35"/>
  <c r="U435" i="35"/>
  <c r="X2" i="58"/>
  <c r="U83" i="35"/>
  <c r="U89" i="35"/>
  <c r="U257" i="35"/>
  <c r="U600" i="35"/>
  <c r="U514" i="35"/>
  <c r="AR11" i="58"/>
  <c r="AX11" i="58"/>
  <c r="U512" i="35"/>
  <c r="AR65" i="58"/>
  <c r="U596" i="35"/>
  <c r="U597" i="35"/>
  <c r="AR83" i="58"/>
  <c r="U511" i="35"/>
  <c r="U422" i="35"/>
  <c r="T161" i="35"/>
  <c r="U595" i="35"/>
  <c r="T163" i="35"/>
  <c r="U77" i="35"/>
  <c r="U508" i="35"/>
  <c r="T452" i="35"/>
  <c r="J449" i="35"/>
  <c r="T189" i="35"/>
  <c r="O103" i="35"/>
  <c r="O449" i="35"/>
  <c r="J620" i="35"/>
  <c r="J103" i="35"/>
  <c r="T17" i="35"/>
  <c r="U365" i="35"/>
  <c r="O618" i="35"/>
  <c r="J189" i="35"/>
  <c r="O189" i="35"/>
  <c r="J452" i="35"/>
  <c r="Q15" i="35"/>
  <c r="O620" i="35"/>
  <c r="O17" i="35"/>
  <c r="O452" i="35"/>
  <c r="O20" i="35"/>
  <c r="T620" i="35"/>
  <c r="J535" i="35"/>
  <c r="T623" i="35"/>
  <c r="S104" i="35"/>
  <c r="T106" i="35"/>
  <c r="T363" i="35"/>
  <c r="G18" i="35"/>
  <c r="T278" i="35"/>
  <c r="O535" i="35"/>
  <c r="O363" i="35"/>
  <c r="G104" i="35"/>
  <c r="J106" i="35"/>
  <c r="T535" i="35"/>
  <c r="J363" i="35"/>
  <c r="J17" i="35"/>
  <c r="Q364" i="35"/>
  <c r="T366" i="35"/>
  <c r="Q18" i="35"/>
  <c r="T20" i="35"/>
  <c r="S536" i="35"/>
  <c r="T538" i="35"/>
  <c r="G190" i="35"/>
  <c r="J192" i="35"/>
  <c r="I276" i="35"/>
  <c r="J278" i="35"/>
  <c r="J280" i="35"/>
  <c r="H129" i="62" a="1"/>
  <c r="H129" i="62"/>
  <c r="T181" i="35"/>
  <c r="T177" i="35"/>
  <c r="T179" i="35"/>
  <c r="O179" i="35"/>
  <c r="J179" i="35"/>
  <c r="AV430" i="58"/>
  <c r="AV326" i="58"/>
  <c r="AE102" i="62"/>
  <c r="AQ271" i="61"/>
  <c r="BA296" i="62"/>
  <c r="K471" i="35"/>
  <c r="O473" i="35"/>
  <c r="P119" i="35"/>
  <c r="T121" i="35"/>
  <c r="H273" i="35"/>
  <c r="O275" i="35"/>
  <c r="T302" i="35"/>
  <c r="R300" i="35"/>
  <c r="H560" i="35"/>
  <c r="J562" i="35"/>
  <c r="AM223" i="61"/>
  <c r="G235" i="35"/>
  <c r="J237" i="35"/>
  <c r="P663" i="35"/>
  <c r="T665" i="35"/>
  <c r="K495" i="35"/>
  <c r="O497" i="35"/>
  <c r="O580" i="35"/>
  <c r="J228" i="35"/>
  <c r="J574" i="35"/>
  <c r="BA395" i="62"/>
  <c r="Y403" i="62"/>
  <c r="J392" i="35"/>
  <c r="T392" i="35"/>
  <c r="J132" i="35"/>
  <c r="U680" i="35"/>
  <c r="AE4" i="58"/>
  <c r="J174" i="35"/>
  <c r="U171" i="35"/>
  <c r="AE15" i="58"/>
  <c r="AK15" i="58"/>
  <c r="AV462" i="58"/>
  <c r="AV350" i="58"/>
  <c r="T115" i="58"/>
  <c r="T98" i="58"/>
  <c r="O494" i="35"/>
  <c r="O317" i="35"/>
  <c r="O59" i="35"/>
  <c r="J317" i="35"/>
  <c r="T275" i="35"/>
  <c r="T234" i="35"/>
  <c r="T62" i="35"/>
  <c r="O491" i="35"/>
  <c r="AE36" i="58"/>
  <c r="AP112" i="58"/>
  <c r="R107" i="58"/>
  <c r="BI409" i="62"/>
  <c r="J275" i="35"/>
  <c r="T638" i="35"/>
  <c r="O35" i="35"/>
  <c r="J177" i="35"/>
  <c r="O172" i="35"/>
  <c r="G364" i="35"/>
  <c r="J366" i="35"/>
  <c r="Y7" i="62"/>
  <c r="U319" i="62"/>
  <c r="AW271" i="61"/>
  <c r="AW403" i="62"/>
  <c r="BI373" i="62"/>
  <c r="AE373" i="62"/>
  <c r="BA373" i="62"/>
  <c r="AQ296" i="62"/>
  <c r="P474" i="35"/>
  <c r="T476" i="35"/>
  <c r="K214" i="35"/>
  <c r="O216" i="35"/>
  <c r="P388" i="35"/>
  <c r="T390" i="35"/>
  <c r="P297" i="35"/>
  <c r="T299" i="35"/>
  <c r="P471" i="35"/>
  <c r="T473" i="35"/>
  <c r="K39" i="35"/>
  <c r="O41" i="35"/>
  <c r="N474" i="35"/>
  <c r="O474" i="35"/>
  <c r="O476" i="35"/>
  <c r="T130" i="35"/>
  <c r="P128" i="35"/>
  <c r="T636" i="35"/>
  <c r="K119" i="35"/>
  <c r="O121" i="35"/>
  <c r="U117" i="35"/>
  <c r="M645" i="35"/>
  <c r="O645" i="35"/>
  <c r="O647" i="35"/>
  <c r="H557" i="35"/>
  <c r="J559" i="35"/>
  <c r="BA223" i="61"/>
  <c r="AW223" i="61"/>
  <c r="AI223" i="61"/>
  <c r="BI223" i="61"/>
  <c r="G486" i="35"/>
  <c r="J486" i="35"/>
  <c r="J488" i="35"/>
  <c r="Q492" i="35"/>
  <c r="T494" i="35"/>
  <c r="G489" i="35"/>
  <c r="J491" i="35"/>
  <c r="J665" i="35"/>
  <c r="G663" i="35"/>
  <c r="Q581" i="35"/>
  <c r="T583" i="35"/>
  <c r="T411" i="35"/>
  <c r="R409" i="35"/>
  <c r="P318" i="35"/>
  <c r="T320" i="35"/>
  <c r="K660" i="35"/>
  <c r="O662" i="35"/>
  <c r="L403" i="35"/>
  <c r="O405" i="35"/>
  <c r="P400" i="35"/>
  <c r="T400" i="35"/>
  <c r="T402" i="35"/>
  <c r="P54" i="35"/>
  <c r="T56" i="35"/>
  <c r="P575" i="35"/>
  <c r="T577" i="35"/>
  <c r="H54" i="35"/>
  <c r="J56" i="35"/>
  <c r="AV94" i="58"/>
  <c r="AV110" i="58"/>
  <c r="AV102" i="58"/>
  <c r="AP105" i="58"/>
  <c r="AR20" i="58"/>
  <c r="AE3" i="62"/>
  <c r="AE102" i="58"/>
  <c r="AE94" i="58"/>
  <c r="AE110" i="58"/>
  <c r="AE118" i="58"/>
  <c r="M241" i="35"/>
  <c r="O243" i="35"/>
  <c r="Q158" i="35"/>
  <c r="T160" i="35"/>
  <c r="V20" i="58"/>
  <c r="V44" i="58"/>
  <c r="AQ3" i="62"/>
  <c r="AI403" i="62"/>
  <c r="Q403" i="62"/>
  <c r="K536" i="35"/>
  <c r="O536" i="35"/>
  <c r="O538" i="35"/>
  <c r="AE319" i="62"/>
  <c r="BE283" i="61"/>
  <c r="BI313" i="62"/>
  <c r="K300" i="35"/>
  <c r="O302" i="35"/>
  <c r="P39" i="35"/>
  <c r="T41" i="35"/>
  <c r="K465" i="35"/>
  <c r="O467" i="35"/>
  <c r="M270" i="61"/>
  <c r="K140" i="35"/>
  <c r="O140" i="35"/>
  <c r="O142" i="35"/>
  <c r="M572" i="35"/>
  <c r="O572" i="35"/>
  <c r="O574" i="35"/>
  <c r="AC119" i="58"/>
  <c r="AC103" i="58"/>
  <c r="AC111" i="58"/>
  <c r="L155" i="35"/>
  <c r="O157" i="35"/>
  <c r="G161" i="35"/>
  <c r="J163" i="35"/>
  <c r="AV20" i="58"/>
  <c r="AV44" i="58"/>
  <c r="AV28" i="58"/>
  <c r="AV36" i="58"/>
  <c r="AW3" i="62"/>
  <c r="O592" i="35"/>
  <c r="O151" i="35"/>
  <c r="U395" i="62"/>
  <c r="AE395" i="62"/>
  <c r="Y414" i="62"/>
  <c r="X414" i="62"/>
  <c r="T46" i="35"/>
  <c r="T304" i="35"/>
  <c r="Y412" i="62"/>
  <c r="X412" i="62"/>
  <c r="U518" i="35"/>
  <c r="U431" i="35"/>
  <c r="AP65" i="58"/>
  <c r="U602" i="35"/>
  <c r="O165" i="35"/>
  <c r="AE7" i="58"/>
  <c r="AK7" i="58"/>
  <c r="U692" i="35"/>
  <c r="U86" i="35"/>
  <c r="AV382" i="58"/>
  <c r="AV83" i="58"/>
  <c r="T67" i="58"/>
  <c r="T99" i="58"/>
  <c r="T91" i="58"/>
  <c r="T76" i="58"/>
  <c r="O408" i="35"/>
  <c r="T145" i="35"/>
  <c r="T231" i="35"/>
  <c r="O237" i="35"/>
  <c r="O213" i="35"/>
  <c r="J467" i="35"/>
  <c r="T317" i="35"/>
  <c r="BI395" i="62"/>
  <c r="J130" i="35"/>
  <c r="O177" i="35"/>
  <c r="K104" i="35"/>
  <c r="O106" i="35"/>
  <c r="K364" i="35"/>
  <c r="O366" i="35"/>
  <c r="U313" i="62"/>
  <c r="Y296" i="62"/>
  <c r="AI373" i="62"/>
  <c r="AW373" i="62"/>
  <c r="BI296" i="62"/>
  <c r="AM296" i="62"/>
  <c r="AI313" i="62"/>
  <c r="G636" i="35"/>
  <c r="J638" i="35"/>
  <c r="O130" i="35"/>
  <c r="K128" i="35"/>
  <c r="K557" i="35"/>
  <c r="O559" i="35"/>
  <c r="J41" i="35"/>
  <c r="P465" i="35"/>
  <c r="T467" i="35"/>
  <c r="P205" i="35"/>
  <c r="T207" i="35"/>
  <c r="K205" i="35"/>
  <c r="O207" i="35"/>
  <c r="U203" i="35"/>
  <c r="M42" i="35"/>
  <c r="O44" i="35"/>
  <c r="H645" i="35"/>
  <c r="J645" i="35"/>
  <c r="J647" i="35"/>
  <c r="J644" i="35"/>
  <c r="H642" i="35"/>
  <c r="H125" i="35"/>
  <c r="J127" i="35"/>
  <c r="H42" i="35"/>
  <c r="J44" i="35"/>
  <c r="AI393" i="58"/>
  <c r="J387" i="35"/>
  <c r="AE160" i="58"/>
  <c r="O54" i="35"/>
  <c r="T405" i="35"/>
  <c r="R403" i="35"/>
  <c r="L657" i="35"/>
  <c r="O659" i="35"/>
  <c r="G657" i="35"/>
  <c r="J659" i="35"/>
  <c r="G403" i="35"/>
  <c r="J405" i="35"/>
  <c r="K581" i="35"/>
  <c r="O583" i="35"/>
  <c r="K409" i="35"/>
  <c r="O411" i="35"/>
  <c r="P321" i="35"/>
  <c r="T323" i="35"/>
  <c r="O231" i="35"/>
  <c r="K229" i="35"/>
  <c r="H492" i="35"/>
  <c r="J494" i="35"/>
  <c r="AT112" i="58"/>
  <c r="AT104" i="58"/>
  <c r="AT96" i="58"/>
  <c r="AT120" i="58"/>
  <c r="AC94" i="58"/>
  <c r="O504" i="35"/>
  <c r="AI44" i="58"/>
  <c r="AI36" i="58"/>
  <c r="P170" i="35"/>
  <c r="T172" i="35"/>
  <c r="L161" i="35"/>
  <c r="O161" i="35"/>
  <c r="O163" i="35"/>
  <c r="L587" i="35"/>
  <c r="O589" i="35"/>
  <c r="K173" i="35"/>
  <c r="O174" i="35"/>
  <c r="BA3" i="62"/>
  <c r="J420" i="35"/>
  <c r="G418" i="35"/>
  <c r="BA403" i="62"/>
  <c r="Q395" i="62"/>
  <c r="AQ395" i="62"/>
  <c r="K276" i="35"/>
  <c r="O278" i="35"/>
  <c r="K190" i="35"/>
  <c r="O192" i="35"/>
  <c r="U102" i="62"/>
  <c r="AW395" i="62"/>
  <c r="AM373" i="62"/>
  <c r="Y319" i="62"/>
  <c r="BE296" i="62"/>
  <c r="G33" i="35"/>
  <c r="J35" i="35"/>
  <c r="BE318" i="62"/>
  <c r="P560" i="35"/>
  <c r="T562" i="35"/>
  <c r="P42" i="35"/>
  <c r="T44" i="35"/>
  <c r="K297" i="35"/>
  <c r="O299" i="35"/>
  <c r="P551" i="35"/>
  <c r="T553" i="35"/>
  <c r="K291" i="35"/>
  <c r="O293" i="35"/>
  <c r="H388" i="35"/>
  <c r="J390" i="35"/>
  <c r="I379" i="35"/>
  <c r="J381" i="35"/>
  <c r="BE223" i="61"/>
  <c r="G60" i="35"/>
  <c r="J62" i="35"/>
  <c r="P226" i="35"/>
  <c r="T226" i="35"/>
  <c r="T228" i="35"/>
  <c r="G409" i="35"/>
  <c r="J409" i="35"/>
  <c r="J411" i="35"/>
  <c r="K318" i="35"/>
  <c r="O320" i="35"/>
  <c r="K486" i="35"/>
  <c r="O488" i="35"/>
  <c r="AP117" i="58"/>
  <c r="AP109" i="58"/>
  <c r="AE101" i="58"/>
  <c r="AE117" i="58"/>
  <c r="AE93" i="58"/>
  <c r="L69" i="35"/>
  <c r="O71" i="35"/>
  <c r="O170" i="35"/>
  <c r="AE28" i="58"/>
  <c r="AE20" i="58"/>
  <c r="AP120" i="58"/>
  <c r="R114" i="58"/>
  <c r="R90" i="58"/>
  <c r="R106" i="58"/>
  <c r="J314" i="35"/>
  <c r="O228" i="35"/>
  <c r="T314" i="35"/>
  <c r="J312" i="35"/>
  <c r="J572" i="35"/>
  <c r="O65" i="35"/>
  <c r="AQ403" i="62"/>
  <c r="P198" i="58"/>
  <c r="M403" i="62"/>
  <c r="BE395" i="62"/>
  <c r="U403" i="62"/>
  <c r="Y400" i="62"/>
  <c r="X400" i="62"/>
  <c r="U601" i="35"/>
  <c r="AG75" i="58"/>
  <c r="AV470" i="58"/>
  <c r="AV454" i="58"/>
  <c r="T114" i="58"/>
  <c r="J408" i="35"/>
  <c r="O145" i="35"/>
  <c r="J74" i="35"/>
  <c r="J580" i="35"/>
  <c r="O148" i="35"/>
  <c r="J320" i="35"/>
  <c r="M578" i="35"/>
  <c r="AP93" i="58"/>
  <c r="T65" i="35"/>
  <c r="O420" i="35"/>
  <c r="AP101" i="58"/>
  <c r="J234" i="35"/>
  <c r="T420" i="35"/>
  <c r="O169" i="35"/>
  <c r="AP96" i="58"/>
  <c r="R98" i="58"/>
  <c r="AM395" i="62"/>
  <c r="O387" i="35"/>
  <c r="G536" i="35"/>
  <c r="J538" i="35"/>
  <c r="U296" i="62"/>
  <c r="AI271" i="61"/>
  <c r="Y373" i="62"/>
  <c r="AQ373" i="62"/>
  <c r="AI395" i="62"/>
  <c r="AW296" i="62"/>
  <c r="BE313" i="62"/>
  <c r="J553" i="35"/>
  <c r="H551" i="35"/>
  <c r="T647" i="35"/>
  <c r="P642" i="35"/>
  <c r="T644" i="35"/>
  <c r="K125" i="35"/>
  <c r="O127" i="35"/>
  <c r="P214" i="35"/>
  <c r="T214" i="35"/>
  <c r="T216" i="35"/>
  <c r="P291" i="35"/>
  <c r="T293" i="35"/>
  <c r="K636" i="35"/>
  <c r="O638" i="35"/>
  <c r="K379" i="35"/>
  <c r="O381" i="35"/>
  <c r="H101" i="35"/>
  <c r="T103" i="35"/>
  <c r="J293" i="35"/>
  <c r="H300" i="35"/>
  <c r="J302" i="35"/>
  <c r="H214" i="35"/>
  <c r="J216" i="35"/>
  <c r="U270" i="61"/>
  <c r="BI282" i="61"/>
  <c r="T142" i="35"/>
  <c r="Q140" i="35"/>
  <c r="T140" i="35"/>
  <c r="J142" i="35"/>
  <c r="G140" i="35"/>
  <c r="J140" i="35"/>
  <c r="Q660" i="35"/>
  <c r="T662" i="35"/>
  <c r="J662" i="35"/>
  <c r="G660" i="35"/>
  <c r="Q495" i="35"/>
  <c r="T497" i="35"/>
  <c r="P406" i="35"/>
  <c r="T408" i="35"/>
  <c r="R489" i="35"/>
  <c r="T491" i="35"/>
  <c r="K575" i="35"/>
  <c r="O577" i="35"/>
  <c r="R572" i="35"/>
  <c r="T572" i="35"/>
  <c r="T574" i="35"/>
  <c r="K330" i="35"/>
  <c r="O332" i="35"/>
  <c r="R28" i="58"/>
  <c r="R20" i="58"/>
  <c r="BE3" i="62"/>
  <c r="T332" i="35"/>
  <c r="G587" i="35"/>
  <c r="J589" i="35"/>
  <c r="L244" i="35"/>
  <c r="AE95" i="58"/>
  <c r="O246" i="35"/>
  <c r="G158" i="35"/>
  <c r="J160" i="35"/>
  <c r="AM3" i="62"/>
  <c r="Q504" i="35"/>
  <c r="T506" i="35"/>
  <c r="AM208" i="61"/>
  <c r="AW208" i="61"/>
  <c r="BE208" i="61"/>
  <c r="X525" i="58"/>
  <c r="BN525" i="58"/>
  <c r="U215" i="62"/>
  <c r="X526" i="58"/>
  <c r="BN526" i="58"/>
  <c r="Y215" i="62"/>
  <c r="AQ215" i="62"/>
  <c r="P527" i="58"/>
  <c r="M215" i="62"/>
  <c r="AI215" i="62"/>
  <c r="X528" i="58"/>
  <c r="BN528" i="58"/>
  <c r="Q215" i="62"/>
  <c r="AM215" i="62"/>
  <c r="U265" i="35"/>
  <c r="U92" i="35"/>
  <c r="U95" i="35"/>
  <c r="U348" i="35"/>
  <c r="AV67" i="58"/>
  <c r="U91" i="35"/>
  <c r="J93" i="35"/>
  <c r="U93" i="35"/>
  <c r="U254" i="35"/>
  <c r="U349" i="35"/>
  <c r="U262" i="35"/>
  <c r="U264" i="35"/>
  <c r="U248" i="35"/>
  <c r="U353" i="35"/>
  <c r="J694" i="35"/>
  <c r="AG12" i="58"/>
  <c r="O167" i="35"/>
  <c r="AG4" i="58"/>
  <c r="AP89" i="58"/>
  <c r="AP80" i="58"/>
  <c r="R85" i="58"/>
  <c r="R76" i="58"/>
  <c r="V211" i="58"/>
  <c r="V221" i="58"/>
  <c r="V250" i="58"/>
  <c r="V260" i="58"/>
  <c r="V192" i="58"/>
  <c r="V241" i="58"/>
  <c r="V172" i="58"/>
  <c r="V182" i="58"/>
  <c r="V270" i="58"/>
  <c r="V231" i="58"/>
  <c r="T190" i="35"/>
  <c r="R42" i="58"/>
  <c r="X42" i="58"/>
  <c r="R35" i="58"/>
  <c r="X35" i="58"/>
  <c r="R26" i="58"/>
  <c r="X26" i="58"/>
  <c r="R34" i="58"/>
  <c r="X34" i="58"/>
  <c r="R18" i="58"/>
  <c r="X18" i="58"/>
  <c r="R19" i="58"/>
  <c r="X19" i="58"/>
  <c r="J84" i="35"/>
  <c r="R43" i="58"/>
  <c r="X43" i="58"/>
  <c r="R27" i="58"/>
  <c r="X27" i="58"/>
  <c r="AP99" i="58"/>
  <c r="AP90" i="58"/>
  <c r="AP106" i="58"/>
  <c r="AP115" i="58"/>
  <c r="AP91" i="58"/>
  <c r="AP98" i="58"/>
  <c r="AP114" i="58"/>
  <c r="AP107" i="58"/>
  <c r="R40" i="58"/>
  <c r="X40" i="58"/>
  <c r="R48" i="58"/>
  <c r="X48" i="58"/>
  <c r="AR271" i="58"/>
  <c r="AR261" i="58"/>
  <c r="AR251" i="58"/>
  <c r="AR242" i="58"/>
  <c r="AR232" i="58"/>
  <c r="AR222" i="58"/>
  <c r="AR212" i="58"/>
  <c r="AR193" i="58"/>
  <c r="AR183" i="58"/>
  <c r="AR173" i="58"/>
  <c r="T81" i="58"/>
  <c r="T59" i="58"/>
  <c r="T72" i="58"/>
  <c r="AE30" i="58"/>
  <c r="AK30" i="58"/>
  <c r="AE22" i="58"/>
  <c r="AK22" i="58"/>
  <c r="O516" i="35"/>
  <c r="U516" i="35"/>
  <c r="AE38" i="58"/>
  <c r="AK38" i="58"/>
  <c r="AE46" i="58"/>
  <c r="AK46" i="58"/>
  <c r="J678" i="35"/>
  <c r="U610" i="35"/>
  <c r="AP271" i="58"/>
  <c r="AP261" i="58"/>
  <c r="AP251" i="58"/>
  <c r="AP242" i="58"/>
  <c r="AP232" i="58"/>
  <c r="AP222" i="58"/>
  <c r="AP212" i="58"/>
  <c r="AP193" i="58"/>
  <c r="AP183" i="58"/>
  <c r="AP173" i="58"/>
  <c r="T376" i="35"/>
  <c r="O376" i="35"/>
  <c r="U90" i="35"/>
  <c r="U80" i="35"/>
  <c r="O441" i="35"/>
  <c r="T698" i="35"/>
  <c r="AV72" i="58"/>
  <c r="AV81" i="58"/>
  <c r="AV59" i="58"/>
  <c r="AV74" i="58"/>
  <c r="AV65" i="58"/>
  <c r="U598" i="35"/>
  <c r="U261" i="35"/>
  <c r="R611" i="35"/>
  <c r="T613" i="35"/>
  <c r="O527" i="35"/>
  <c r="U195" i="35"/>
  <c r="U455" i="35"/>
  <c r="U109" i="35"/>
  <c r="U426" i="35"/>
  <c r="U351" i="35"/>
  <c r="U350" i="35"/>
  <c r="U521" i="35"/>
  <c r="U695" i="35"/>
  <c r="R55" i="58"/>
  <c r="X55" i="58"/>
  <c r="J519" i="35"/>
  <c r="U425" i="35"/>
  <c r="I611" i="35"/>
  <c r="J611" i="35"/>
  <c r="J520" i="35"/>
  <c r="U520" i="35"/>
  <c r="Q250" i="35"/>
  <c r="U249" i="35"/>
  <c r="U85" i="35"/>
  <c r="U341" i="35"/>
  <c r="K611" i="35"/>
  <c r="O613" i="35"/>
  <c r="J691" i="35"/>
  <c r="U691" i="35"/>
  <c r="F690" i="35"/>
  <c r="AR10" i="58"/>
  <c r="AX10" i="58"/>
  <c r="AR2" i="58"/>
  <c r="AX2" i="58"/>
  <c r="AR3" i="58"/>
  <c r="AX3" i="58"/>
  <c r="P78" i="58"/>
  <c r="P87" i="58"/>
  <c r="F78" i="35"/>
  <c r="J79" i="35"/>
  <c r="U429" i="35"/>
  <c r="U688" i="35"/>
  <c r="J507" i="35"/>
  <c r="U594" i="35"/>
  <c r="J698" i="35"/>
  <c r="I696" i="35"/>
  <c r="F345" i="35"/>
  <c r="J346" i="35"/>
  <c r="U346" i="35"/>
  <c r="J606" i="35"/>
  <c r="U606" i="35"/>
  <c r="O88" i="35"/>
  <c r="U88" i="35"/>
  <c r="U679" i="35"/>
  <c r="O250" i="35"/>
  <c r="U438" i="35"/>
  <c r="U258" i="35"/>
  <c r="U162" i="35"/>
  <c r="Q336" i="35"/>
  <c r="T337" i="35"/>
  <c r="F164" i="35"/>
  <c r="J165" i="35"/>
  <c r="U430" i="35"/>
  <c r="U683" i="35"/>
  <c r="U603" i="35"/>
  <c r="AE14" i="58"/>
  <c r="AK14" i="58"/>
  <c r="AE6" i="58"/>
  <c r="AK6" i="58"/>
  <c r="O513" i="35"/>
  <c r="U513" i="35"/>
  <c r="T527" i="35"/>
  <c r="P525" i="35"/>
  <c r="U334" i="35"/>
  <c r="AI70" i="58"/>
  <c r="AI79" i="58"/>
  <c r="AI88" i="58"/>
  <c r="AR74" i="58"/>
  <c r="AR82" i="58"/>
  <c r="AC54" i="58"/>
  <c r="AK54" i="58"/>
  <c r="O433" i="35"/>
  <c r="P439" i="35"/>
  <c r="T441" i="35"/>
  <c r="AC8" i="58"/>
  <c r="AK8" i="58"/>
  <c r="O339" i="35"/>
  <c r="AC16" i="58"/>
  <c r="AK16" i="58"/>
  <c r="U347" i="35"/>
  <c r="U338" i="35"/>
  <c r="O337" i="35"/>
  <c r="O251" i="35"/>
  <c r="U517" i="35"/>
  <c r="U685" i="35"/>
  <c r="O698" i="35"/>
  <c r="K696" i="35"/>
  <c r="O696" i="35"/>
  <c r="AP16" i="58"/>
  <c r="AX16" i="58"/>
  <c r="AP8" i="58"/>
  <c r="AX8" i="58"/>
  <c r="T339" i="35"/>
  <c r="U263" i="35"/>
  <c r="K78" i="35"/>
  <c r="O79" i="35"/>
  <c r="AI52" i="58"/>
  <c r="O87" i="35"/>
  <c r="U87" i="35"/>
  <c r="O336" i="35"/>
  <c r="BI143" i="55"/>
  <c r="AM161" i="55"/>
  <c r="BE143" i="55"/>
  <c r="AE143" i="55"/>
  <c r="BE161" i="55"/>
  <c r="T593" i="35"/>
  <c r="T510" i="35"/>
  <c r="U510" i="35"/>
  <c r="AP9" i="58"/>
  <c r="AX9" i="58"/>
  <c r="AP17" i="58"/>
  <c r="AX17" i="58"/>
  <c r="T684" i="35"/>
  <c r="J437" i="35"/>
  <c r="F436" i="35"/>
  <c r="T424" i="35"/>
  <c r="U424" i="35"/>
  <c r="P436" i="35"/>
  <c r="T437" i="35"/>
  <c r="AE71" i="58"/>
  <c r="O678" i="35"/>
  <c r="AT19" i="58"/>
  <c r="AX19" i="58"/>
  <c r="AT42" i="58"/>
  <c r="AX42" i="58"/>
  <c r="AT35" i="58"/>
  <c r="AX35" i="58"/>
  <c r="AT26" i="58"/>
  <c r="AX26" i="58"/>
  <c r="AT18" i="58"/>
  <c r="AX18" i="58"/>
  <c r="AT43" i="58"/>
  <c r="AX43" i="58"/>
  <c r="T84" i="35"/>
  <c r="AT27" i="58"/>
  <c r="AX27" i="58"/>
  <c r="AT34" i="58"/>
  <c r="AX34" i="58"/>
  <c r="P88" i="58"/>
  <c r="J336" i="35"/>
  <c r="P70" i="58"/>
  <c r="P79" i="58"/>
  <c r="R78" i="35"/>
  <c r="T79" i="35"/>
  <c r="R54" i="58"/>
  <c r="J433" i="35"/>
  <c r="J337" i="35"/>
  <c r="AQ161" i="55"/>
  <c r="Y161" i="55"/>
  <c r="AW161" i="55"/>
  <c r="P50" i="58"/>
  <c r="U143" i="55"/>
  <c r="AI143" i="55"/>
  <c r="AP15" i="58"/>
  <c r="AX15" i="58"/>
  <c r="AP7" i="58"/>
  <c r="AX7" i="58"/>
  <c r="T599" i="35"/>
  <c r="S608" i="35"/>
  <c r="T609" i="35"/>
  <c r="N436" i="35"/>
  <c r="O436" i="35"/>
  <c r="O437" i="35"/>
  <c r="P693" i="35"/>
  <c r="T694" i="35"/>
  <c r="R67" i="58"/>
  <c r="J593" i="35"/>
  <c r="P51" i="58"/>
  <c r="U161" i="55"/>
  <c r="BI161" i="55"/>
  <c r="AE9" i="58"/>
  <c r="AK9" i="58"/>
  <c r="AE17" i="58"/>
  <c r="AK17" i="58"/>
  <c r="O684" i="35"/>
  <c r="F608" i="35"/>
  <c r="J609" i="35"/>
  <c r="U686" i="35"/>
  <c r="O694" i="35"/>
  <c r="K693" i="35"/>
  <c r="AR13" i="58"/>
  <c r="AX13" i="58"/>
  <c r="AR5" i="58"/>
  <c r="AX5" i="58"/>
  <c r="AE161" i="55"/>
  <c r="J599" i="35"/>
  <c r="R7" i="58"/>
  <c r="X7" i="58"/>
  <c r="R15" i="58"/>
  <c r="X15" i="58"/>
  <c r="V5" i="58"/>
  <c r="X5" i="58"/>
  <c r="V13" i="58"/>
  <c r="X13" i="58"/>
  <c r="J523" i="35"/>
  <c r="F522" i="35"/>
  <c r="V9" i="58"/>
  <c r="X9" i="58"/>
  <c r="V17" i="58"/>
  <c r="X17" i="58"/>
  <c r="J684" i="35"/>
  <c r="T523" i="35"/>
  <c r="P522" i="35"/>
  <c r="O523" i="35"/>
  <c r="K522" i="35"/>
  <c r="O519" i="35"/>
  <c r="AC55" i="58"/>
  <c r="AK55" i="58"/>
  <c r="AQ241" i="61"/>
  <c r="BI241" i="61"/>
  <c r="AI244" i="61"/>
  <c r="AW241" i="61"/>
  <c r="P147" i="58"/>
  <c r="BA241" i="61"/>
  <c r="P124" i="58"/>
  <c r="AM241" i="61"/>
  <c r="BE241" i="61"/>
  <c r="J138" i="35"/>
  <c r="O310" i="35"/>
  <c r="O570" i="35"/>
  <c r="J224" i="35"/>
  <c r="O224" i="35"/>
  <c r="T310" i="35"/>
  <c r="O52" i="35"/>
  <c r="J570" i="35"/>
  <c r="J484" i="35"/>
  <c r="U484" i="35"/>
  <c r="T655" i="35"/>
  <c r="T398" i="35"/>
  <c r="J310" i="35"/>
  <c r="J398" i="35"/>
  <c r="O652" i="35"/>
  <c r="T138" i="35"/>
  <c r="O655" i="35"/>
  <c r="J52" i="35"/>
  <c r="O398" i="35"/>
  <c r="R223" i="35"/>
  <c r="T224" i="35"/>
  <c r="H654" i="35"/>
  <c r="J655" i="35"/>
  <c r="T52" i="35"/>
  <c r="U99" i="61"/>
  <c r="Y105" i="61"/>
  <c r="R569" i="35"/>
  <c r="T570" i="35"/>
  <c r="M137" i="35"/>
  <c r="O138" i="35"/>
  <c r="BE104" i="61"/>
  <c r="J567" i="35"/>
  <c r="O49" i="35"/>
  <c r="T141" i="58"/>
  <c r="J566" i="35"/>
  <c r="J307" i="35"/>
  <c r="J49" i="35"/>
  <c r="O135" i="35"/>
  <c r="O567" i="35"/>
  <c r="T395" i="35"/>
  <c r="T221" i="35"/>
  <c r="T567" i="35"/>
  <c r="U141" i="35"/>
  <c r="J395" i="35"/>
  <c r="T49" i="35"/>
  <c r="U313" i="35"/>
  <c r="O481" i="35"/>
  <c r="P566" i="35"/>
  <c r="F480" i="35"/>
  <c r="J481" i="35"/>
  <c r="U658" i="35"/>
  <c r="U487" i="35"/>
  <c r="U55" i="35"/>
  <c r="T481" i="35"/>
  <c r="J652" i="35"/>
  <c r="U227" i="35"/>
  <c r="AI98" i="61"/>
  <c r="AE98" i="61"/>
  <c r="T652" i="35"/>
  <c r="AQ98" i="61"/>
  <c r="AM98" i="61"/>
  <c r="K220" i="35"/>
  <c r="O221" i="35"/>
  <c r="P137" i="58"/>
  <c r="J48" i="35"/>
  <c r="F220" i="35"/>
  <c r="J221" i="35"/>
  <c r="AV164" i="58"/>
  <c r="T486" i="35"/>
  <c r="P142" i="58"/>
  <c r="J306" i="35"/>
  <c r="J135" i="35"/>
  <c r="F134" i="35"/>
  <c r="P306" i="35"/>
  <c r="T307" i="35"/>
  <c r="P134" i="35"/>
  <c r="T135" i="35"/>
  <c r="K306" i="35"/>
  <c r="O307" i="35"/>
  <c r="K394" i="35"/>
  <c r="O395" i="35"/>
  <c r="R143" i="58"/>
  <c r="J651" i="35"/>
  <c r="U573" i="35"/>
  <c r="U401" i="35"/>
  <c r="AV141" i="58"/>
  <c r="R141" i="58"/>
  <c r="AE140" i="58"/>
  <c r="V139" i="58"/>
  <c r="J394" i="35"/>
  <c r="P540" i="58"/>
  <c r="P541" i="58"/>
  <c r="U369" i="35"/>
  <c r="L453" i="35"/>
  <c r="O454" i="35"/>
  <c r="K367" i="35"/>
  <c r="O368" i="35"/>
  <c r="K279" i="35"/>
  <c r="O280" i="35"/>
  <c r="F193" i="35"/>
  <c r="J194" i="35"/>
  <c r="O21" i="35"/>
  <c r="G453" i="35"/>
  <c r="J454" i="35"/>
  <c r="F107" i="35"/>
  <c r="J108" i="35"/>
  <c r="P367" i="35"/>
  <c r="T368" i="35"/>
  <c r="U626" i="35"/>
  <c r="T540" i="35"/>
  <c r="P539" i="35"/>
  <c r="T539" i="35"/>
  <c r="K539" i="35"/>
  <c r="O539" i="35"/>
  <c r="O540" i="35"/>
  <c r="O625" i="35"/>
  <c r="T108" i="35"/>
  <c r="J368" i="35"/>
  <c r="K107" i="35"/>
  <c r="O108" i="35"/>
  <c r="J279" i="35"/>
  <c r="T280" i="35"/>
  <c r="P279" i="35"/>
  <c r="K193" i="35"/>
  <c r="O194" i="35"/>
  <c r="O624" i="35"/>
  <c r="T107" i="35"/>
  <c r="T22" i="35"/>
  <c r="F624" i="35"/>
  <c r="J625" i="35"/>
  <c r="P453" i="35"/>
  <c r="T454" i="35"/>
  <c r="T625" i="35"/>
  <c r="F21" i="35"/>
  <c r="J22" i="35"/>
  <c r="T624" i="35"/>
  <c r="P193" i="35"/>
  <c r="T194" i="35"/>
  <c r="J540" i="35"/>
  <c r="F539" i="35"/>
  <c r="J539" i="35"/>
  <c r="O22" i="35"/>
  <c r="T21" i="35"/>
  <c r="U129" i="62"/>
  <c r="Y129" i="62"/>
  <c r="P539" i="58"/>
  <c r="AE376" i="58"/>
  <c r="AR406" i="58"/>
  <c r="AE368" i="58"/>
  <c r="U120" i="35"/>
  <c r="AE384" i="58"/>
  <c r="AG368" i="58"/>
  <c r="AG424" i="58"/>
  <c r="AG520" i="58"/>
  <c r="AI312" i="58"/>
  <c r="AE328" i="58"/>
  <c r="AG432" i="58"/>
  <c r="AE280" i="58"/>
  <c r="AT512" i="58"/>
  <c r="J578" i="35"/>
  <c r="AE352" i="58"/>
  <c r="G669" i="35"/>
  <c r="R135" i="58"/>
  <c r="AP95" i="58"/>
  <c r="U490" i="35"/>
  <c r="AI448" i="58"/>
  <c r="AE424" i="58"/>
  <c r="AE464" i="58"/>
  <c r="AE472" i="58"/>
  <c r="AE480" i="58"/>
  <c r="AG392" i="58"/>
  <c r="AG464" i="58"/>
  <c r="AG352" i="58"/>
  <c r="AI304" i="58"/>
  <c r="AE456" i="58"/>
  <c r="AE496" i="58"/>
  <c r="AE504" i="58"/>
  <c r="AE512" i="58"/>
  <c r="AG416" i="58"/>
  <c r="AG288" i="58"/>
  <c r="AG384" i="58"/>
  <c r="T213" i="58"/>
  <c r="AI512" i="58"/>
  <c r="AE296" i="58"/>
  <c r="AE336" i="58"/>
  <c r="AE344" i="58"/>
  <c r="AG504" i="58"/>
  <c r="AG320" i="58"/>
  <c r="AG496" i="58"/>
  <c r="AG456" i="58"/>
  <c r="AG312" i="58"/>
  <c r="U466" i="35"/>
  <c r="AV120" i="58"/>
  <c r="AV112" i="58"/>
  <c r="AV96" i="58"/>
  <c r="AV422" i="58"/>
  <c r="AV486" i="58"/>
  <c r="AV438" i="58"/>
  <c r="AV478" i="58"/>
  <c r="AV302" i="58"/>
  <c r="AV518" i="58"/>
  <c r="AG350" i="58"/>
  <c r="AG358" i="58"/>
  <c r="AG462" i="58"/>
  <c r="AG478" i="58"/>
  <c r="AG454" i="58"/>
  <c r="AG366" i="58"/>
  <c r="AG374" i="58"/>
  <c r="AG446" i="58"/>
  <c r="AV390" i="58"/>
  <c r="AV502" i="58"/>
  <c r="AV286" i="58"/>
  <c r="AV446" i="58"/>
  <c r="AV318" i="58"/>
  <c r="AV406" i="58"/>
  <c r="AV494" i="58"/>
  <c r="AV398" i="58"/>
  <c r="AV310" i="58"/>
  <c r="AG422" i="58"/>
  <c r="AG334" i="58"/>
  <c r="AG390" i="58"/>
  <c r="AG302" i="58"/>
  <c r="AG294" i="58"/>
  <c r="AG286" i="58"/>
  <c r="AG326" i="58"/>
  <c r="AG406" i="58"/>
  <c r="AV278" i="58"/>
  <c r="AV342" i="58"/>
  <c r="AV510" i="58"/>
  <c r="AV358" i="58"/>
  <c r="AV414" i="58"/>
  <c r="AV294" i="58"/>
  <c r="AV334" i="58"/>
  <c r="AV374" i="58"/>
  <c r="AG494" i="58"/>
  <c r="AG518" i="58"/>
  <c r="AG318" i="58"/>
  <c r="AG310" i="58"/>
  <c r="AG414" i="58"/>
  <c r="AG398" i="58"/>
  <c r="AG470" i="58"/>
  <c r="AG430" i="58"/>
  <c r="AE448" i="58"/>
  <c r="AR95" i="58"/>
  <c r="AT95" i="58"/>
  <c r="J45" i="35"/>
  <c r="V532" i="58"/>
  <c r="R585" i="35"/>
  <c r="AC150" i="58"/>
  <c r="AT150" i="58"/>
  <c r="AP150" i="58"/>
  <c r="AR150" i="58"/>
  <c r="R325" i="35"/>
  <c r="R324" i="35"/>
  <c r="AT157" i="58"/>
  <c r="R239" i="35"/>
  <c r="R67" i="35"/>
  <c r="R66" i="35"/>
  <c r="AT152" i="58"/>
  <c r="AE360" i="58"/>
  <c r="AE488" i="58"/>
  <c r="AE400" i="58"/>
  <c r="AE520" i="58"/>
  <c r="AE408" i="58"/>
  <c r="AE288" i="58"/>
  <c r="AE416" i="58"/>
  <c r="AG336" i="58"/>
  <c r="AG448" i="58"/>
  <c r="AG344" i="58"/>
  <c r="AG488" i="58"/>
  <c r="AG296" i="58"/>
  <c r="AG408" i="58"/>
  <c r="AG480" i="58"/>
  <c r="AG304" i="58"/>
  <c r="AG512" i="58"/>
  <c r="AE392" i="58"/>
  <c r="AE304" i="58"/>
  <c r="AE432" i="58"/>
  <c r="AE312" i="58"/>
  <c r="AE440" i="58"/>
  <c r="AE320" i="58"/>
  <c r="AG360" i="58"/>
  <c r="AG472" i="58"/>
  <c r="AG280" i="58"/>
  <c r="AG376" i="58"/>
  <c r="AG328" i="58"/>
  <c r="AG440" i="58"/>
  <c r="T272" i="58"/>
  <c r="T194" i="58"/>
  <c r="P156" i="58"/>
  <c r="O149" i="35"/>
  <c r="J143" i="35"/>
  <c r="O315" i="35"/>
  <c r="P129" i="58"/>
  <c r="T153" i="58"/>
  <c r="T57" i="35"/>
  <c r="T645" i="35"/>
  <c r="U645" i="35"/>
  <c r="AI384" i="58"/>
  <c r="AI504" i="58"/>
  <c r="AI496" i="58"/>
  <c r="AI409" i="58"/>
  <c r="AI361" i="58"/>
  <c r="AI449" i="58"/>
  <c r="AI457" i="58"/>
  <c r="AI396" i="58"/>
  <c r="AI276" i="58"/>
  <c r="AI404" i="58"/>
  <c r="AI377" i="58"/>
  <c r="AI297" i="58"/>
  <c r="AI356" i="58"/>
  <c r="AI316" i="58"/>
  <c r="AI516" i="58"/>
  <c r="AI476" i="58"/>
  <c r="AI289" i="58"/>
  <c r="AI489" i="58"/>
  <c r="AI320" i="58"/>
  <c r="AI440" i="58"/>
  <c r="AI432" i="58"/>
  <c r="O471" i="35"/>
  <c r="AI313" i="58"/>
  <c r="AI369" i="58"/>
  <c r="AI353" i="58"/>
  <c r="AI425" i="58"/>
  <c r="AI300" i="58"/>
  <c r="AI428" i="58"/>
  <c r="AI308" i="58"/>
  <c r="AI436" i="58"/>
  <c r="AI329" i="58"/>
  <c r="AI520" i="58"/>
  <c r="AI388" i="58"/>
  <c r="AI420" i="58"/>
  <c r="AI380" i="58"/>
  <c r="AI284" i="58"/>
  <c r="AI505" i="58"/>
  <c r="AI385" i="58"/>
  <c r="AI376" i="58"/>
  <c r="AI441" i="58"/>
  <c r="AI337" i="58"/>
  <c r="AI481" i="58"/>
  <c r="AI433" i="58"/>
  <c r="AI332" i="58"/>
  <c r="AI460" i="58"/>
  <c r="AI340" i="58"/>
  <c r="AI468" i="58"/>
  <c r="AI473" i="58"/>
  <c r="AI452" i="58"/>
  <c r="AI484" i="58"/>
  <c r="AI444" i="58"/>
  <c r="AI348" i="58"/>
  <c r="AI521" i="58"/>
  <c r="AR477" i="58"/>
  <c r="T252" i="58"/>
  <c r="T174" i="58"/>
  <c r="T184" i="58"/>
  <c r="T223" i="58"/>
  <c r="J459" i="35"/>
  <c r="T262" i="58"/>
  <c r="T233" i="58"/>
  <c r="V533" i="58"/>
  <c r="AX64" i="58"/>
  <c r="AE150" i="58"/>
  <c r="AE127" i="58"/>
  <c r="AI127" i="58"/>
  <c r="AI150" i="58"/>
  <c r="AV150" i="58"/>
  <c r="AG150" i="58"/>
  <c r="AG127" i="58"/>
  <c r="V165" i="58"/>
  <c r="AT68" i="58"/>
  <c r="AT77" i="58"/>
  <c r="AT86" i="58"/>
  <c r="AI480" i="58"/>
  <c r="AI352" i="58"/>
  <c r="AI408" i="58"/>
  <c r="AI280" i="58"/>
  <c r="AI400" i="58"/>
  <c r="AI488" i="58"/>
  <c r="AI456" i="58"/>
  <c r="AI392" i="58"/>
  <c r="AI360" i="58"/>
  <c r="AI328" i="58"/>
  <c r="AI416" i="58"/>
  <c r="AI288" i="58"/>
  <c r="AI472" i="58"/>
  <c r="AI344" i="58"/>
  <c r="AI464" i="58"/>
  <c r="AI336" i="58"/>
  <c r="AI424" i="58"/>
  <c r="AI296" i="58"/>
  <c r="AG162" i="58"/>
  <c r="AG159" i="58"/>
  <c r="O418" i="35"/>
  <c r="AT478" i="58"/>
  <c r="AC109" i="58"/>
  <c r="AK109" i="58"/>
  <c r="J232" i="35"/>
  <c r="AI163" i="58"/>
  <c r="AI138" i="58"/>
  <c r="AG224" i="58"/>
  <c r="AE142" i="58"/>
  <c r="U591" i="35"/>
  <c r="U552" i="35"/>
  <c r="U667" i="35"/>
  <c r="U380" i="35"/>
  <c r="U374" i="35"/>
  <c r="U277" i="35"/>
  <c r="R249" i="58"/>
  <c r="X249" i="58"/>
  <c r="R543" i="58"/>
  <c r="R110" i="58"/>
  <c r="X110" i="58"/>
  <c r="AR113" i="58"/>
  <c r="AG114" i="58"/>
  <c r="AG107" i="58"/>
  <c r="U561" i="35"/>
  <c r="U292" i="35"/>
  <c r="U451" i="35"/>
  <c r="AG222" i="58"/>
  <c r="T117" i="58"/>
  <c r="T101" i="58"/>
  <c r="T93" i="58"/>
  <c r="U502" i="35"/>
  <c r="T109" i="58"/>
  <c r="AE103" i="58"/>
  <c r="U236" i="35"/>
  <c r="U150" i="35"/>
  <c r="J666" i="35"/>
  <c r="T163" i="58"/>
  <c r="AR164" i="58"/>
  <c r="T373" i="35"/>
  <c r="AT192" i="58"/>
  <c r="AT195" i="58"/>
  <c r="AT273" i="58"/>
  <c r="AT231" i="58"/>
  <c r="J545" i="35"/>
  <c r="U545" i="35"/>
  <c r="AT253" i="58"/>
  <c r="AT183" i="58"/>
  <c r="AX183" i="58"/>
  <c r="AT193" i="58"/>
  <c r="AX193" i="58"/>
  <c r="AT224" i="58"/>
  <c r="R94" i="58"/>
  <c r="X94" i="58"/>
  <c r="R118" i="58"/>
  <c r="X118" i="58"/>
  <c r="AR121" i="58"/>
  <c r="AG91" i="58"/>
  <c r="AG106" i="58"/>
  <c r="R102" i="58"/>
  <c r="X102" i="58"/>
  <c r="AI112" i="58"/>
  <c r="AR105" i="58"/>
  <c r="AG115" i="58"/>
  <c r="AG99" i="58"/>
  <c r="J504" i="35"/>
  <c r="AR97" i="58"/>
  <c r="AG98" i="58"/>
  <c r="AG90" i="58"/>
  <c r="AR414" i="58"/>
  <c r="AC105" i="58"/>
  <c r="AC101" i="58"/>
  <c r="AK101" i="58"/>
  <c r="AC97" i="58"/>
  <c r="AC113" i="58"/>
  <c r="AR348" i="58"/>
  <c r="AC93" i="58"/>
  <c r="AK93" i="58"/>
  <c r="AT456" i="58"/>
  <c r="AT221" i="58"/>
  <c r="AT250" i="58"/>
  <c r="AT234" i="58"/>
  <c r="AT214" i="58"/>
  <c r="AT175" i="58"/>
  <c r="AT172" i="58"/>
  <c r="AT270" i="58"/>
  <c r="AT241" i="58"/>
  <c r="AT182" i="58"/>
  <c r="AT185" i="58"/>
  <c r="AT244" i="58"/>
  <c r="AT260" i="58"/>
  <c r="T225" i="58"/>
  <c r="T274" i="58"/>
  <c r="T254" i="58"/>
  <c r="AG183" i="58"/>
  <c r="J116" i="35"/>
  <c r="T264" i="58"/>
  <c r="T186" i="58"/>
  <c r="AG193" i="58"/>
  <c r="T176" i="58"/>
  <c r="T245" i="58"/>
  <c r="AG242" i="58"/>
  <c r="T215" i="58"/>
  <c r="T235" i="58"/>
  <c r="AG173" i="58"/>
  <c r="T166" i="58"/>
  <c r="O480" i="35"/>
  <c r="AC143" i="58"/>
  <c r="AC140" i="58"/>
  <c r="U136" i="35"/>
  <c r="AG140" i="58"/>
  <c r="T429" i="58"/>
  <c r="AT312" i="58"/>
  <c r="AT280" i="58"/>
  <c r="AG214" i="58"/>
  <c r="R211" i="58"/>
  <c r="X211" i="58"/>
  <c r="R221" i="58"/>
  <c r="X221" i="58"/>
  <c r="T381" i="58"/>
  <c r="T397" i="58"/>
  <c r="T485" i="58"/>
  <c r="O232" i="35"/>
  <c r="AV103" i="58"/>
  <c r="AV111" i="58"/>
  <c r="AV119" i="58"/>
  <c r="AC121" i="58"/>
  <c r="AC117" i="58"/>
  <c r="AK117" i="58"/>
  <c r="U331" i="35"/>
  <c r="O651" i="35"/>
  <c r="AI137" i="58"/>
  <c r="AT143" i="58"/>
  <c r="AG139" i="58"/>
  <c r="AI141" i="58"/>
  <c r="AG143" i="58"/>
  <c r="AE139" i="58"/>
  <c r="AT381" i="58"/>
  <c r="AT397" i="58"/>
  <c r="V326" i="58"/>
  <c r="AI325" i="58"/>
  <c r="T501" i="58"/>
  <c r="T357" i="58"/>
  <c r="T325" i="58"/>
  <c r="T445" i="58"/>
  <c r="T517" i="58"/>
  <c r="T421" i="58"/>
  <c r="T365" i="58"/>
  <c r="T469" i="58"/>
  <c r="T341" i="58"/>
  <c r="T309" i="58"/>
  <c r="T413" i="58"/>
  <c r="U34" i="35"/>
  <c r="AG273" i="58"/>
  <c r="AG263" i="58"/>
  <c r="AG195" i="58"/>
  <c r="AG234" i="58"/>
  <c r="AG175" i="58"/>
  <c r="AG185" i="58"/>
  <c r="AG253" i="58"/>
  <c r="AG244" i="58"/>
  <c r="U16" i="35"/>
  <c r="J235" i="35"/>
  <c r="U235" i="35"/>
  <c r="T60" i="35"/>
  <c r="T560" i="35"/>
  <c r="AV394" i="58"/>
  <c r="AT328" i="58"/>
  <c r="AT504" i="58"/>
  <c r="AT304" i="58"/>
  <c r="AT376" i="58"/>
  <c r="AT288" i="58"/>
  <c r="AT464" i="58"/>
  <c r="AT440" i="58"/>
  <c r="AT480" i="58"/>
  <c r="U579" i="35"/>
  <c r="T566" i="35"/>
  <c r="U298" i="35"/>
  <c r="U126" i="35"/>
  <c r="S456" i="35"/>
  <c r="N456" i="35"/>
  <c r="AP110" i="58"/>
  <c r="AP137" i="58"/>
  <c r="AG137" i="58"/>
  <c r="S24" i="35"/>
  <c r="AV532" i="58"/>
  <c r="AV106" i="58"/>
  <c r="AP102" i="58"/>
  <c r="AP118" i="58"/>
  <c r="AV140" i="58"/>
  <c r="AR143" i="58"/>
  <c r="U50" i="35"/>
  <c r="AC138" i="58"/>
  <c r="U653" i="35"/>
  <c r="U482" i="35"/>
  <c r="AI139" i="58"/>
  <c r="AI140" i="58"/>
  <c r="AR437" i="58"/>
  <c r="R261" i="58"/>
  <c r="X261" i="58"/>
  <c r="J376" i="35"/>
  <c r="U376" i="35"/>
  <c r="R173" i="58"/>
  <c r="X173" i="58"/>
  <c r="AT255" i="58"/>
  <c r="AT197" i="58"/>
  <c r="AG220" i="58"/>
  <c r="AT233" i="58"/>
  <c r="AT223" i="58"/>
  <c r="AT236" i="58"/>
  <c r="AT265" i="58"/>
  <c r="AR317" i="58"/>
  <c r="AT334" i="58"/>
  <c r="AR445" i="58"/>
  <c r="AT342" i="58"/>
  <c r="AT302" i="58"/>
  <c r="AR309" i="58"/>
  <c r="AE386" i="58"/>
  <c r="AV501" i="58"/>
  <c r="AG404" i="58"/>
  <c r="V538" i="58"/>
  <c r="V84" i="58"/>
  <c r="J318" i="35"/>
  <c r="AT509" i="58"/>
  <c r="AT301" i="58"/>
  <c r="AR278" i="58"/>
  <c r="AR518" i="58"/>
  <c r="AV333" i="58"/>
  <c r="AR510" i="58"/>
  <c r="AR334" i="58"/>
  <c r="AR350" i="58"/>
  <c r="V331" i="58"/>
  <c r="AT389" i="58"/>
  <c r="AT405" i="58"/>
  <c r="AV339" i="58"/>
  <c r="AT517" i="58"/>
  <c r="AT293" i="58"/>
  <c r="V451" i="58"/>
  <c r="AR310" i="58"/>
  <c r="AR494" i="58"/>
  <c r="AR502" i="58"/>
  <c r="V66" i="58"/>
  <c r="R68" i="58"/>
  <c r="AC77" i="58"/>
  <c r="AI75" i="58"/>
  <c r="G412" i="35"/>
  <c r="R154" i="58"/>
  <c r="O60" i="35"/>
  <c r="AT163" i="58"/>
  <c r="AR476" i="58"/>
  <c r="AT392" i="58"/>
  <c r="AT384" i="58"/>
  <c r="AT496" i="58"/>
  <c r="AT320" i="58"/>
  <c r="V341" i="58"/>
  <c r="V448" i="58"/>
  <c r="AR473" i="58"/>
  <c r="AT444" i="58"/>
  <c r="AE185" i="58"/>
  <c r="AT222" i="58"/>
  <c r="AX222" i="58"/>
  <c r="AT173" i="58"/>
  <c r="AX173" i="58"/>
  <c r="AT251" i="58"/>
  <c r="AX251" i="58"/>
  <c r="AP205" i="58"/>
  <c r="T66" i="58"/>
  <c r="G324" i="35"/>
  <c r="R157" i="58"/>
  <c r="U222" i="35"/>
  <c r="U396" i="35"/>
  <c r="AT378" i="58"/>
  <c r="AG516" i="58"/>
  <c r="AR357" i="58"/>
  <c r="AR485" i="58"/>
  <c r="AR285" i="58"/>
  <c r="AR452" i="58"/>
  <c r="AR365" i="58"/>
  <c r="AR493" i="58"/>
  <c r="AR277" i="58"/>
  <c r="AR340" i="58"/>
  <c r="AR373" i="58"/>
  <c r="AR501" i="58"/>
  <c r="AR324" i="58"/>
  <c r="AR381" i="58"/>
  <c r="AR509" i="58"/>
  <c r="AR308" i="58"/>
  <c r="AR500" i="58"/>
  <c r="AR396" i="58"/>
  <c r="AR421" i="58"/>
  <c r="AR429" i="58"/>
  <c r="R212" i="58"/>
  <c r="X212" i="58"/>
  <c r="R230" i="58"/>
  <c r="X230" i="58"/>
  <c r="J367" i="35"/>
  <c r="T450" i="35"/>
  <c r="AI205" i="58"/>
  <c r="AG204" i="58"/>
  <c r="AK52" i="58"/>
  <c r="BN52" i="58"/>
  <c r="AI100" i="58"/>
  <c r="G238" i="35"/>
  <c r="O489" i="35"/>
  <c r="X139" i="58"/>
  <c r="AT137" i="58"/>
  <c r="U308" i="35"/>
  <c r="X142" i="58"/>
  <c r="AE137" i="58"/>
  <c r="T514" i="58"/>
  <c r="AV340" i="58"/>
  <c r="AT358" i="58"/>
  <c r="AT366" i="58"/>
  <c r="AT382" i="58"/>
  <c r="AT390" i="58"/>
  <c r="AE490" i="58"/>
  <c r="AT298" i="58"/>
  <c r="R222" i="58"/>
  <c r="X222" i="58"/>
  <c r="R193" i="58"/>
  <c r="X193" i="58"/>
  <c r="R260" i="58"/>
  <c r="X260" i="58"/>
  <c r="R241" i="58"/>
  <c r="X241" i="58"/>
  <c r="R250" i="58"/>
  <c r="X250" i="58"/>
  <c r="R192" i="58"/>
  <c r="X192" i="58"/>
  <c r="R242" i="58"/>
  <c r="X242" i="58"/>
  <c r="R271" i="58"/>
  <c r="X271" i="58"/>
  <c r="R270" i="58"/>
  <c r="X270" i="58"/>
  <c r="R251" i="58"/>
  <c r="R232" i="58"/>
  <c r="X232" i="58"/>
  <c r="R183" i="58"/>
  <c r="X183" i="58"/>
  <c r="R182" i="58"/>
  <c r="X182" i="58"/>
  <c r="R231" i="58"/>
  <c r="X231" i="58"/>
  <c r="R172" i="58"/>
  <c r="X172" i="58"/>
  <c r="AT252" i="58"/>
  <c r="AT243" i="58"/>
  <c r="AT184" i="58"/>
  <c r="AT174" i="58"/>
  <c r="AT262" i="58"/>
  <c r="AT213" i="58"/>
  <c r="AT194" i="58"/>
  <c r="R544" i="58"/>
  <c r="X544" i="58"/>
  <c r="T276" i="35"/>
  <c r="AE112" i="58"/>
  <c r="AI108" i="58"/>
  <c r="J501" i="35"/>
  <c r="R88" i="58"/>
  <c r="V68" i="58"/>
  <c r="O48" i="35"/>
  <c r="AE141" i="58"/>
  <c r="AG142" i="58"/>
  <c r="X137" i="58"/>
  <c r="T48" i="35"/>
  <c r="V535" i="58"/>
  <c r="J300" i="35"/>
  <c r="AV419" i="58"/>
  <c r="AV483" i="58"/>
  <c r="AV320" i="58"/>
  <c r="AV515" i="58"/>
  <c r="AV443" i="58"/>
  <c r="V537" i="58"/>
  <c r="AV355" i="58"/>
  <c r="AV435" i="58"/>
  <c r="AV402" i="58"/>
  <c r="AV499" i="58"/>
  <c r="AV283" i="58"/>
  <c r="AG395" i="58"/>
  <c r="AV352" i="58"/>
  <c r="AG339" i="58"/>
  <c r="AV291" i="58"/>
  <c r="AV371" i="58"/>
  <c r="AV467" i="58"/>
  <c r="AV514" i="58"/>
  <c r="AV466" i="58"/>
  <c r="AV315" i="58"/>
  <c r="AV491" i="58"/>
  <c r="AV520" i="58"/>
  <c r="AG299" i="58"/>
  <c r="AG467" i="58"/>
  <c r="AV307" i="58"/>
  <c r="AV403" i="58"/>
  <c r="AV432" i="58"/>
  <c r="AG297" i="58"/>
  <c r="AG364" i="58"/>
  <c r="V384" i="58"/>
  <c r="AT426" i="58"/>
  <c r="AI517" i="58"/>
  <c r="AI290" i="58"/>
  <c r="AE442" i="58"/>
  <c r="AG513" i="58"/>
  <c r="AI373" i="58"/>
  <c r="AI453" i="58"/>
  <c r="AI378" i="58"/>
  <c r="AG284" i="58"/>
  <c r="AT410" i="58"/>
  <c r="AT484" i="58"/>
  <c r="AG489" i="58"/>
  <c r="AG409" i="58"/>
  <c r="AI501" i="58"/>
  <c r="AI413" i="58"/>
  <c r="AI277" i="58"/>
  <c r="AT462" i="58"/>
  <c r="AT350" i="58"/>
  <c r="AT286" i="58"/>
  <c r="AT502" i="58"/>
  <c r="AT438" i="58"/>
  <c r="AT414" i="58"/>
  <c r="AT326" i="58"/>
  <c r="AT494" i="58"/>
  <c r="O33" i="35"/>
  <c r="AT398" i="58"/>
  <c r="AT310" i="58"/>
  <c r="AT294" i="58"/>
  <c r="AT470" i="58"/>
  <c r="AT278" i="58"/>
  <c r="AT518" i="58"/>
  <c r="AT318" i="58"/>
  <c r="AT446" i="58"/>
  <c r="T496" i="58"/>
  <c r="J119" i="35"/>
  <c r="AT454" i="58"/>
  <c r="AT430" i="58"/>
  <c r="AT374" i="58"/>
  <c r="AT486" i="58"/>
  <c r="AT406" i="58"/>
  <c r="AT510" i="58"/>
  <c r="AT232" i="58"/>
  <c r="AX232" i="58"/>
  <c r="AT261" i="58"/>
  <c r="AX261" i="58"/>
  <c r="AT242" i="58"/>
  <c r="AX242" i="58"/>
  <c r="AG232" i="58"/>
  <c r="AG212" i="58"/>
  <c r="AG261" i="58"/>
  <c r="AT271" i="58"/>
  <c r="AX271" i="58"/>
  <c r="AG271" i="58"/>
  <c r="O450" i="35"/>
  <c r="R535" i="58"/>
  <c r="T389" i="58"/>
  <c r="T373" i="58"/>
  <c r="AT520" i="58"/>
  <c r="AR325" i="58"/>
  <c r="AR389" i="58"/>
  <c r="AR453" i="58"/>
  <c r="T477" i="58"/>
  <c r="T461" i="58"/>
  <c r="AT344" i="58"/>
  <c r="AT408" i="58"/>
  <c r="AT472" i="58"/>
  <c r="AT402" i="58"/>
  <c r="T317" i="58"/>
  <c r="T301" i="58"/>
  <c r="AR333" i="58"/>
  <c r="AR397" i="58"/>
  <c r="AR461" i="58"/>
  <c r="T277" i="58"/>
  <c r="T293" i="58"/>
  <c r="T285" i="58"/>
  <c r="AT448" i="58"/>
  <c r="AT482" i="58"/>
  <c r="AR293" i="58"/>
  <c r="T405" i="58"/>
  <c r="AE318" i="58"/>
  <c r="T509" i="58"/>
  <c r="T493" i="58"/>
  <c r="AT362" i="58"/>
  <c r="AR341" i="58"/>
  <c r="AR405" i="58"/>
  <c r="AR469" i="58"/>
  <c r="T454" i="58"/>
  <c r="AR301" i="58"/>
  <c r="T349" i="58"/>
  <c r="T333" i="58"/>
  <c r="AR517" i="58"/>
  <c r="AT296" i="58"/>
  <c r="AT360" i="58"/>
  <c r="AT424" i="58"/>
  <c r="AT488" i="58"/>
  <c r="T453" i="58"/>
  <c r="T437" i="58"/>
  <c r="AR349" i="58"/>
  <c r="AR413" i="58"/>
  <c r="AT404" i="58"/>
  <c r="AV437" i="58"/>
  <c r="AV497" i="58"/>
  <c r="AR376" i="58"/>
  <c r="AG445" i="58"/>
  <c r="AG429" i="58"/>
  <c r="AG485" i="58"/>
  <c r="T490" i="58"/>
  <c r="AR464" i="58"/>
  <c r="AG293" i="58"/>
  <c r="AG309" i="58"/>
  <c r="T354" i="58"/>
  <c r="T282" i="58"/>
  <c r="AG394" i="58"/>
  <c r="AR344" i="58"/>
  <c r="T418" i="58"/>
  <c r="T506" i="58"/>
  <c r="AG381" i="58"/>
  <c r="T402" i="58"/>
  <c r="T442" i="58"/>
  <c r="AG333" i="58"/>
  <c r="T338" i="58"/>
  <c r="T298" i="58"/>
  <c r="AG421" i="58"/>
  <c r="AR512" i="58"/>
  <c r="AR480" i="58"/>
  <c r="AR280" i="58"/>
  <c r="T474" i="58"/>
  <c r="T125" i="35"/>
  <c r="AG509" i="58"/>
  <c r="AG349" i="58"/>
  <c r="AG437" i="58"/>
  <c r="T434" i="58"/>
  <c r="AG277" i="58"/>
  <c r="AR328" i="58"/>
  <c r="AR296" i="58"/>
  <c r="AR520" i="58"/>
  <c r="AR416" i="58"/>
  <c r="AR360" i="58"/>
  <c r="T306" i="58"/>
  <c r="T522" i="58"/>
  <c r="T498" i="58"/>
  <c r="T458" i="58"/>
  <c r="AG477" i="58"/>
  <c r="AG317" i="58"/>
  <c r="AG405" i="58"/>
  <c r="AG461" i="58"/>
  <c r="T322" i="58"/>
  <c r="AG285" i="58"/>
  <c r="AR368" i="58"/>
  <c r="AR432" i="58"/>
  <c r="AR320" i="58"/>
  <c r="AR312" i="58"/>
  <c r="U568" i="35"/>
  <c r="O566" i="35"/>
  <c r="O134" i="35"/>
  <c r="AG141" i="58"/>
  <c r="M66" i="35"/>
  <c r="AG152" i="58"/>
  <c r="V76" i="58"/>
  <c r="X76" i="58"/>
  <c r="AE120" i="58"/>
  <c r="AR104" i="58"/>
  <c r="AX104" i="58"/>
  <c r="AI116" i="58"/>
  <c r="AE96" i="58"/>
  <c r="AI104" i="58"/>
  <c r="AI96" i="58"/>
  <c r="AP94" i="58"/>
  <c r="AT121" i="58"/>
  <c r="T108" i="58"/>
  <c r="AT113" i="58"/>
  <c r="AT105" i="58"/>
  <c r="AT97" i="58"/>
  <c r="G498" i="35"/>
  <c r="R155" i="58"/>
  <c r="G66" i="35"/>
  <c r="R152" i="58"/>
  <c r="J321" i="35"/>
  <c r="T321" i="35"/>
  <c r="V379" i="58"/>
  <c r="AR492" i="58"/>
  <c r="AR364" i="58"/>
  <c r="AE358" i="58"/>
  <c r="V491" i="58"/>
  <c r="AR420" i="58"/>
  <c r="AR292" i="58"/>
  <c r="AI299" i="58"/>
  <c r="V315" i="58"/>
  <c r="AR289" i="58"/>
  <c r="AR444" i="58"/>
  <c r="AR316" i="58"/>
  <c r="AV397" i="58"/>
  <c r="AT413" i="58"/>
  <c r="AT277" i="58"/>
  <c r="AT421" i="58"/>
  <c r="AT285" i="58"/>
  <c r="AT429" i="58"/>
  <c r="AT309" i="58"/>
  <c r="AT437" i="58"/>
  <c r="AI405" i="58"/>
  <c r="AI317" i="58"/>
  <c r="AI445" i="58"/>
  <c r="AI357" i="58"/>
  <c r="AI485" i="58"/>
  <c r="AV481" i="58"/>
  <c r="AR326" i="58"/>
  <c r="AV284" i="58"/>
  <c r="AR276" i="58"/>
  <c r="AR436" i="58"/>
  <c r="AR430" i="58"/>
  <c r="AR454" i="58"/>
  <c r="AI403" i="58"/>
  <c r="AR422" i="58"/>
  <c r="AR478" i="58"/>
  <c r="AR382" i="58"/>
  <c r="AR438" i="58"/>
  <c r="AR294" i="58"/>
  <c r="AI333" i="58"/>
  <c r="AI493" i="58"/>
  <c r="AR460" i="58"/>
  <c r="AV373" i="58"/>
  <c r="V323" i="58"/>
  <c r="AR516" i="58"/>
  <c r="AR388" i="58"/>
  <c r="AI363" i="58"/>
  <c r="AR412" i="58"/>
  <c r="AR284" i="58"/>
  <c r="AV461" i="58"/>
  <c r="AT317" i="58"/>
  <c r="AT445" i="58"/>
  <c r="AT325" i="58"/>
  <c r="AT453" i="58"/>
  <c r="AT333" i="58"/>
  <c r="AT461" i="58"/>
  <c r="AT341" i="58"/>
  <c r="AT469" i="58"/>
  <c r="AI509" i="58"/>
  <c r="AI309" i="58"/>
  <c r="AI437" i="58"/>
  <c r="AI285" i="58"/>
  <c r="AI349" i="58"/>
  <c r="AI477" i="58"/>
  <c r="AI389" i="58"/>
  <c r="AI293" i="58"/>
  <c r="AV345" i="58"/>
  <c r="AR358" i="58"/>
  <c r="AI371" i="58"/>
  <c r="AV300" i="58"/>
  <c r="AR404" i="58"/>
  <c r="AR372" i="58"/>
  <c r="AR398" i="58"/>
  <c r="AR486" i="58"/>
  <c r="AR390" i="58"/>
  <c r="AR446" i="58"/>
  <c r="AR374" i="58"/>
  <c r="AI429" i="58"/>
  <c r="AI461" i="58"/>
  <c r="AI397" i="58"/>
  <c r="AI365" i="58"/>
  <c r="U558" i="35"/>
  <c r="AV460" i="58"/>
  <c r="V403" i="58"/>
  <c r="AR305" i="58"/>
  <c r="AR332" i="58"/>
  <c r="AR433" i="58"/>
  <c r="AR428" i="58"/>
  <c r="AR300" i="58"/>
  <c r="AR313" i="58"/>
  <c r="AR484" i="58"/>
  <c r="AR356" i="58"/>
  <c r="AI427" i="58"/>
  <c r="AR508" i="58"/>
  <c r="AR380" i="58"/>
  <c r="AT349" i="58"/>
  <c r="AT477" i="58"/>
  <c r="AT357" i="58"/>
  <c r="AT485" i="58"/>
  <c r="AT365" i="58"/>
  <c r="AT493" i="58"/>
  <c r="AT373" i="58"/>
  <c r="AI341" i="58"/>
  <c r="AI469" i="58"/>
  <c r="AI381" i="58"/>
  <c r="AI421" i="58"/>
  <c r="AI355" i="58"/>
  <c r="AR318" i="58"/>
  <c r="AR468" i="58"/>
  <c r="AR366" i="58"/>
  <c r="AR462" i="58"/>
  <c r="AR342" i="58"/>
  <c r="AR302" i="58"/>
  <c r="AR470" i="58"/>
  <c r="AR286" i="58"/>
  <c r="Q282" i="35"/>
  <c r="AP200" i="58"/>
  <c r="J155" i="35"/>
  <c r="U410" i="35"/>
  <c r="X136" i="58"/>
  <c r="M282" i="35"/>
  <c r="R282" i="35"/>
  <c r="AV385" i="58"/>
  <c r="AE474" i="58"/>
  <c r="AT205" i="58"/>
  <c r="AV71" i="58"/>
  <c r="R75" i="58"/>
  <c r="T75" i="58"/>
  <c r="R84" i="58"/>
  <c r="AV372" i="58"/>
  <c r="AV332" i="58"/>
  <c r="AV484" i="58"/>
  <c r="AV500" i="58"/>
  <c r="AV356" i="58"/>
  <c r="AV468" i="58"/>
  <c r="AV412" i="58"/>
  <c r="AV428" i="58"/>
  <c r="O294" i="35"/>
  <c r="AV297" i="58"/>
  <c r="AE298" i="58"/>
  <c r="AE346" i="58"/>
  <c r="AV316" i="58"/>
  <c r="AV489" i="58"/>
  <c r="AV281" i="58"/>
  <c r="AV516" i="58"/>
  <c r="AV452" i="58"/>
  <c r="AV324" i="58"/>
  <c r="AV444" i="58"/>
  <c r="AT177" i="58"/>
  <c r="AT216" i="58"/>
  <c r="AT187" i="58"/>
  <c r="AT246" i="58"/>
  <c r="AT226" i="58"/>
  <c r="U114" i="35"/>
  <c r="AX548" i="58"/>
  <c r="R508" i="58"/>
  <c r="V404" i="58"/>
  <c r="AI450" i="58"/>
  <c r="AG305" i="58"/>
  <c r="AV337" i="58"/>
  <c r="AV509" i="58"/>
  <c r="AV522" i="58"/>
  <c r="AG459" i="58"/>
  <c r="AE506" i="58"/>
  <c r="R486" i="58"/>
  <c r="T379" i="35"/>
  <c r="V466" i="58"/>
  <c r="P538" i="58"/>
  <c r="X547" i="58"/>
  <c r="J618" i="35"/>
  <c r="U618" i="35"/>
  <c r="O187" i="35"/>
  <c r="T187" i="35"/>
  <c r="J15" i="35"/>
  <c r="O101" i="35"/>
  <c r="T15" i="35"/>
  <c r="O15" i="35"/>
  <c r="O447" i="35"/>
  <c r="U447" i="35"/>
  <c r="O361" i="35"/>
  <c r="T101" i="35"/>
  <c r="AT206" i="58"/>
  <c r="AX206" i="58"/>
  <c r="AC127" i="58"/>
  <c r="V127" i="58"/>
  <c r="T127" i="58"/>
  <c r="R127" i="58"/>
  <c r="P127" i="58"/>
  <c r="J660" i="35"/>
  <c r="O143" i="35"/>
  <c r="O57" i="35"/>
  <c r="T92" i="58"/>
  <c r="T116" i="58"/>
  <c r="R79" i="58"/>
  <c r="AP78" i="58"/>
  <c r="AV108" i="58"/>
  <c r="R120" i="58"/>
  <c r="X120" i="58"/>
  <c r="AT70" i="58"/>
  <c r="R65" i="58"/>
  <c r="AI89" i="58"/>
  <c r="AE121" i="58"/>
  <c r="R86" i="58"/>
  <c r="X86" i="58"/>
  <c r="T415" i="35"/>
  <c r="J327" i="35"/>
  <c r="AC88" i="58"/>
  <c r="AR68" i="58"/>
  <c r="R103" i="58"/>
  <c r="T590" i="35"/>
  <c r="AC67" i="58"/>
  <c r="AR117" i="58"/>
  <c r="O672" i="35"/>
  <c r="AI111" i="58"/>
  <c r="AV109" i="58"/>
  <c r="T675" i="35"/>
  <c r="AV89" i="58"/>
  <c r="AE76" i="58"/>
  <c r="J415" i="35"/>
  <c r="V78" i="58"/>
  <c r="AT78" i="58"/>
  <c r="AV84" i="58"/>
  <c r="V77" i="58"/>
  <c r="X77" i="58"/>
  <c r="R96" i="58"/>
  <c r="X96" i="58"/>
  <c r="R104" i="58"/>
  <c r="X104" i="58"/>
  <c r="J330" i="35"/>
  <c r="R112" i="58"/>
  <c r="X112" i="58"/>
  <c r="J244" i="35"/>
  <c r="AE85" i="58"/>
  <c r="T69" i="58"/>
  <c r="AE67" i="58"/>
  <c r="V67" i="58"/>
  <c r="O581" i="35"/>
  <c r="O666" i="35"/>
  <c r="T474" i="35"/>
  <c r="U474" i="35"/>
  <c r="AR297" i="58"/>
  <c r="AR457" i="58"/>
  <c r="AR521" i="58"/>
  <c r="AR481" i="58"/>
  <c r="AR353" i="58"/>
  <c r="AR505" i="58"/>
  <c r="AR377" i="58"/>
  <c r="AR497" i="58"/>
  <c r="AR425" i="58"/>
  <c r="AR393" i="58"/>
  <c r="AR449" i="58"/>
  <c r="AR321" i="58"/>
  <c r="AT450" i="58"/>
  <c r="AT370" i="58"/>
  <c r="AT490" i="58"/>
  <c r="AT314" i="58"/>
  <c r="AT498" i="58"/>
  <c r="AT442" i="58"/>
  <c r="AT322" i="58"/>
  <c r="AT418" i="58"/>
  <c r="AT330" i="58"/>
  <c r="AT386" i="58"/>
  <c r="AT306" i="58"/>
  <c r="AT522" i="58"/>
  <c r="AE395" i="58"/>
  <c r="AE339" i="58"/>
  <c r="AV328" i="58"/>
  <c r="AV424" i="58"/>
  <c r="AV496" i="58"/>
  <c r="AV480" i="58"/>
  <c r="AV376" i="58"/>
  <c r="AV448" i="58"/>
  <c r="AV408" i="58"/>
  <c r="AV504" i="58"/>
  <c r="AV336" i="58"/>
  <c r="AV296" i="58"/>
  <c r="AV280" i="58"/>
  <c r="AV488" i="58"/>
  <c r="AV416" i="58"/>
  <c r="AV440" i="58"/>
  <c r="AV384" i="58"/>
  <c r="AV472" i="58"/>
  <c r="AG371" i="58"/>
  <c r="AR337" i="58"/>
  <c r="AG340" i="58"/>
  <c r="AG425" i="58"/>
  <c r="AT506" i="58"/>
  <c r="AG492" i="58"/>
  <c r="AG417" i="58"/>
  <c r="AR385" i="58"/>
  <c r="AI282" i="58"/>
  <c r="AE482" i="58"/>
  <c r="AG435" i="58"/>
  <c r="AG491" i="58"/>
  <c r="AR401" i="58"/>
  <c r="AG436" i="58"/>
  <c r="AG276" i="58"/>
  <c r="AG521" i="58"/>
  <c r="AG361" i="58"/>
  <c r="AG411" i="58"/>
  <c r="AR281" i="58"/>
  <c r="AR441" i="58"/>
  <c r="AG428" i="58"/>
  <c r="AG289" i="58"/>
  <c r="AT434" i="58"/>
  <c r="AG387" i="58"/>
  <c r="AT394" i="58"/>
  <c r="AG507" i="58"/>
  <c r="AR513" i="58"/>
  <c r="AG292" i="58"/>
  <c r="AG441" i="58"/>
  <c r="AT458" i="58"/>
  <c r="AT282" i="58"/>
  <c r="AI322" i="58"/>
  <c r="AG499" i="58"/>
  <c r="V306" i="58"/>
  <c r="AE354" i="58"/>
  <c r="AV344" i="58"/>
  <c r="AV312" i="58"/>
  <c r="AE522" i="58"/>
  <c r="AE394" i="58"/>
  <c r="AE434" i="58"/>
  <c r="AI418" i="58"/>
  <c r="AI394" i="58"/>
  <c r="AI514" i="58"/>
  <c r="AE435" i="58"/>
  <c r="AI402" i="58"/>
  <c r="AG348" i="58"/>
  <c r="AG433" i="58"/>
  <c r="V381" i="58"/>
  <c r="V437" i="58"/>
  <c r="AV475" i="58"/>
  <c r="AV379" i="58"/>
  <c r="AV451" i="58"/>
  <c r="AV387" i="58"/>
  <c r="AV323" i="58"/>
  <c r="AV347" i="58"/>
  <c r="AT321" i="58"/>
  <c r="AT348" i="58"/>
  <c r="R306" i="58"/>
  <c r="AG517" i="58"/>
  <c r="AG453" i="58"/>
  <c r="AG365" i="58"/>
  <c r="AG493" i="58"/>
  <c r="AG301" i="58"/>
  <c r="AG341" i="58"/>
  <c r="AG469" i="58"/>
  <c r="AG413" i="58"/>
  <c r="AG389" i="58"/>
  <c r="AG325" i="58"/>
  <c r="AG397" i="58"/>
  <c r="AG373" i="58"/>
  <c r="AG501" i="58"/>
  <c r="AR488" i="58"/>
  <c r="AR504" i="58"/>
  <c r="AR288" i="58"/>
  <c r="AR472" i="58"/>
  <c r="AR384" i="58"/>
  <c r="AR304" i="58"/>
  <c r="AR400" i="58"/>
  <c r="AR424" i="58"/>
  <c r="AR456" i="58"/>
  <c r="AR440" i="58"/>
  <c r="AR352" i="58"/>
  <c r="AR408" i="58"/>
  <c r="AR448" i="58"/>
  <c r="AR392" i="58"/>
  <c r="AR496" i="58"/>
  <c r="AE410" i="58"/>
  <c r="AE498" i="58"/>
  <c r="AE370" i="58"/>
  <c r="AE458" i="58"/>
  <c r="AE330" i="58"/>
  <c r="AE450" i="58"/>
  <c r="AE322" i="58"/>
  <c r="AE314" i="58"/>
  <c r="AE290" i="58"/>
  <c r="AE466" i="58"/>
  <c r="AE338" i="58"/>
  <c r="AE426" i="58"/>
  <c r="AE282" i="58"/>
  <c r="AE418" i="58"/>
  <c r="AV512" i="58"/>
  <c r="AT514" i="58"/>
  <c r="AE306" i="58"/>
  <c r="AI306" i="58"/>
  <c r="AE378" i="58"/>
  <c r="AV304" i="58"/>
  <c r="T557" i="35"/>
  <c r="AV464" i="58"/>
  <c r="AR489" i="58"/>
  <c r="AG316" i="58"/>
  <c r="AV400" i="58"/>
  <c r="AI362" i="58"/>
  <c r="AI490" i="58"/>
  <c r="AI346" i="58"/>
  <c r="AI474" i="58"/>
  <c r="AI434" i="58"/>
  <c r="AI330" i="58"/>
  <c r="AI442" i="58"/>
  <c r="AI338" i="58"/>
  <c r="AI298" i="58"/>
  <c r="AI386" i="58"/>
  <c r="AI522" i="58"/>
  <c r="AI458" i="58"/>
  <c r="AI354" i="58"/>
  <c r="AI482" i="58"/>
  <c r="AI466" i="58"/>
  <c r="AI314" i="58"/>
  <c r="AG401" i="58"/>
  <c r="AG508" i="58"/>
  <c r="AG476" i="58"/>
  <c r="AG500" i="58"/>
  <c r="AG345" i="58"/>
  <c r="AG473" i="58"/>
  <c r="AG324" i="58"/>
  <c r="AG452" i="58"/>
  <c r="AG321" i="58"/>
  <c r="AG449" i="58"/>
  <c r="AG396" i="58"/>
  <c r="AG329" i="58"/>
  <c r="AG457" i="58"/>
  <c r="AG372" i="58"/>
  <c r="AG465" i="58"/>
  <c r="AG497" i="58"/>
  <c r="AG380" i="58"/>
  <c r="AG412" i="58"/>
  <c r="AG377" i="58"/>
  <c r="AG505" i="58"/>
  <c r="AG356" i="58"/>
  <c r="AG484" i="58"/>
  <c r="AG353" i="58"/>
  <c r="AG481" i="58"/>
  <c r="AG300" i="58"/>
  <c r="AT284" i="58"/>
  <c r="AT396" i="58"/>
  <c r="AT457" i="58"/>
  <c r="AT276" i="58"/>
  <c r="AG363" i="58"/>
  <c r="AG427" i="58"/>
  <c r="AG451" i="58"/>
  <c r="AG323" i="58"/>
  <c r="AG483" i="58"/>
  <c r="AG443" i="58"/>
  <c r="AG315" i="58"/>
  <c r="AG419" i="58"/>
  <c r="AG291" i="58"/>
  <c r="AR465" i="58"/>
  <c r="AG347" i="58"/>
  <c r="AR345" i="58"/>
  <c r="AG332" i="58"/>
  <c r="AG475" i="58"/>
  <c r="AG420" i="58"/>
  <c r="AG313" i="58"/>
  <c r="AG307" i="58"/>
  <c r="R292" i="58"/>
  <c r="AT356" i="58"/>
  <c r="AG403" i="58"/>
  <c r="AT338" i="58"/>
  <c r="AG523" i="58"/>
  <c r="AR369" i="58"/>
  <c r="AG468" i="58"/>
  <c r="AG308" i="58"/>
  <c r="AG393" i="58"/>
  <c r="AT474" i="58"/>
  <c r="AT290" i="58"/>
  <c r="AG379" i="58"/>
  <c r="AG515" i="58"/>
  <c r="AR409" i="58"/>
  <c r="AG460" i="58"/>
  <c r="AG385" i="58"/>
  <c r="AT466" i="58"/>
  <c r="AG355" i="58"/>
  <c r="AR417" i="58"/>
  <c r="AG388" i="58"/>
  <c r="AG281" i="58"/>
  <c r="AT354" i="58"/>
  <c r="AG331" i="58"/>
  <c r="AE514" i="58"/>
  <c r="AV288" i="58"/>
  <c r="AT346" i="58"/>
  <c r="AE362" i="58"/>
  <c r="AR329" i="58"/>
  <c r="AE402" i="58"/>
  <c r="AI506" i="58"/>
  <c r="AI498" i="58"/>
  <c r="AI410" i="58"/>
  <c r="AE451" i="58"/>
  <c r="AI426" i="58"/>
  <c r="AV360" i="58"/>
  <c r="AV368" i="58"/>
  <c r="AV456" i="58"/>
  <c r="AR361" i="58"/>
  <c r="AG444" i="58"/>
  <c r="AG337" i="58"/>
  <c r="AV392" i="58"/>
  <c r="T211" i="35"/>
  <c r="AV354" i="58"/>
  <c r="AV418" i="58"/>
  <c r="AV482" i="58"/>
  <c r="AV282" i="58"/>
  <c r="AV506" i="58"/>
  <c r="AV474" i="58"/>
  <c r="AV306" i="58"/>
  <c r="AV370" i="58"/>
  <c r="AV434" i="58"/>
  <c r="AV498" i="58"/>
  <c r="AV322" i="58"/>
  <c r="AV338" i="58"/>
  <c r="AV386" i="58"/>
  <c r="AV450" i="58"/>
  <c r="AV314" i="58"/>
  <c r="R418" i="58"/>
  <c r="R322" i="58"/>
  <c r="AT500" i="58"/>
  <c r="AT372" i="58"/>
  <c r="AT393" i="58"/>
  <c r="AT492" i="58"/>
  <c r="AT364" i="58"/>
  <c r="AT452" i="58"/>
  <c r="AT324" i="58"/>
  <c r="AT316" i="58"/>
  <c r="AT412" i="58"/>
  <c r="AT281" i="58"/>
  <c r="R330" i="58"/>
  <c r="AT305" i="58"/>
  <c r="AT468" i="58"/>
  <c r="AT340" i="58"/>
  <c r="AT460" i="58"/>
  <c r="AT332" i="58"/>
  <c r="AT385" i="58"/>
  <c r="AT420" i="58"/>
  <c r="AT292" i="58"/>
  <c r="AT508" i="58"/>
  <c r="AT476" i="58"/>
  <c r="AT473" i="58"/>
  <c r="AT436" i="58"/>
  <c r="AT308" i="58"/>
  <c r="AT428" i="58"/>
  <c r="AT300" i="58"/>
  <c r="AT516" i="58"/>
  <c r="AT388" i="58"/>
  <c r="AT380" i="58"/>
  <c r="O548" i="35"/>
  <c r="R269" i="58"/>
  <c r="X269" i="58"/>
  <c r="AE175" i="58"/>
  <c r="AE234" i="58"/>
  <c r="AE195" i="58"/>
  <c r="J30" i="35"/>
  <c r="R240" i="58"/>
  <c r="X240" i="58"/>
  <c r="R171" i="58"/>
  <c r="X171" i="58"/>
  <c r="AE253" i="58"/>
  <c r="AE263" i="58"/>
  <c r="AE214" i="58"/>
  <c r="AE224" i="58"/>
  <c r="R181" i="58"/>
  <c r="X181" i="58"/>
  <c r="R191" i="58"/>
  <c r="X191" i="58"/>
  <c r="AE273" i="58"/>
  <c r="R220" i="58"/>
  <c r="X220" i="58"/>
  <c r="R259" i="58"/>
  <c r="X259" i="58"/>
  <c r="AX542" i="58"/>
  <c r="AK548" i="58"/>
  <c r="AK542" i="58"/>
  <c r="AX543" i="58"/>
  <c r="R532" i="58"/>
  <c r="X54" i="58"/>
  <c r="BN54" i="58"/>
  <c r="G152" i="35"/>
  <c r="G584" i="35"/>
  <c r="T315" i="35"/>
  <c r="AK160" i="58"/>
  <c r="AV409" i="58"/>
  <c r="AV325" i="58"/>
  <c r="AV389" i="58"/>
  <c r="AV453" i="58"/>
  <c r="AV277" i="58"/>
  <c r="AV301" i="58"/>
  <c r="AV349" i="58"/>
  <c r="AV413" i="58"/>
  <c r="AV477" i="58"/>
  <c r="AV417" i="58"/>
  <c r="AV329" i="58"/>
  <c r="AV321" i="58"/>
  <c r="AV361" i="58"/>
  <c r="AV401" i="58"/>
  <c r="AV285" i="58"/>
  <c r="T208" i="35"/>
  <c r="U208" i="35"/>
  <c r="AV469" i="58"/>
  <c r="AV293" i="58"/>
  <c r="AV365" i="58"/>
  <c r="AV429" i="58"/>
  <c r="AV493" i="58"/>
  <c r="T36" i="35"/>
  <c r="U36" i="35"/>
  <c r="AV353" i="58"/>
  <c r="AV425" i="58"/>
  <c r="AV305" i="58"/>
  <c r="AV441" i="58"/>
  <c r="AV341" i="58"/>
  <c r="AV405" i="58"/>
  <c r="AV309" i="58"/>
  <c r="AV517" i="58"/>
  <c r="AV357" i="58"/>
  <c r="AV421" i="58"/>
  <c r="AV485" i="58"/>
  <c r="AV317" i="58"/>
  <c r="AV381" i="58"/>
  <c r="AV445" i="58"/>
  <c r="AV521" i="58"/>
  <c r="AV289" i="58"/>
  <c r="AV449" i="58"/>
  <c r="AV457" i="58"/>
  <c r="AV473" i="58"/>
  <c r="U549" i="35"/>
  <c r="Q542" i="35"/>
  <c r="P542" i="35"/>
  <c r="S542" i="35"/>
  <c r="T143" i="35"/>
  <c r="U245" i="35"/>
  <c r="U419" i="35"/>
  <c r="AR167" i="58"/>
  <c r="AT167" i="58"/>
  <c r="AT159" i="58"/>
  <c r="AR138" i="58"/>
  <c r="AT168" i="58"/>
  <c r="AG167" i="58"/>
  <c r="AV137" i="58"/>
  <c r="O220" i="35"/>
  <c r="AC164" i="58"/>
  <c r="R167" i="58"/>
  <c r="V167" i="58"/>
  <c r="V168" i="58"/>
  <c r="AI167" i="58"/>
  <c r="AC167" i="58"/>
  <c r="AE167" i="58"/>
  <c r="V159" i="58"/>
  <c r="AV143" i="58"/>
  <c r="AR140" i="58"/>
  <c r="AP167" i="58"/>
  <c r="AP140" i="58"/>
  <c r="AV167" i="58"/>
  <c r="T159" i="58"/>
  <c r="AP159" i="58"/>
  <c r="AI159" i="58"/>
  <c r="AV159" i="58"/>
  <c r="AR159" i="58"/>
  <c r="AV139" i="58"/>
  <c r="AX139" i="58"/>
  <c r="AV166" i="58"/>
  <c r="AT142" i="58"/>
  <c r="AP143" i="58"/>
  <c r="M394" i="61"/>
  <c r="AI143" i="58"/>
  <c r="T160" i="58"/>
  <c r="X160" i="58"/>
  <c r="M160" i="58"/>
  <c r="N160" i="58"/>
  <c r="J223" i="35"/>
  <c r="AE159" i="58"/>
  <c r="AT164" i="58"/>
  <c r="AG164" i="58"/>
  <c r="AV163" i="58"/>
  <c r="V163" i="58"/>
  <c r="AV142" i="58"/>
  <c r="AC159" i="58"/>
  <c r="T164" i="58"/>
  <c r="V164" i="58"/>
  <c r="AV165" i="58"/>
  <c r="AX165" i="58"/>
  <c r="AR141" i="58"/>
  <c r="AV138" i="58"/>
  <c r="Q394" i="61"/>
  <c r="AP545" i="58"/>
  <c r="AX545" i="58"/>
  <c r="AC201" i="58"/>
  <c r="J462" i="35"/>
  <c r="R546" i="58"/>
  <c r="V200" i="58"/>
  <c r="AC206" i="58"/>
  <c r="AI202" i="58"/>
  <c r="AG487" i="58"/>
  <c r="AC200" i="58"/>
  <c r="AI201" i="58"/>
  <c r="AP201" i="58"/>
  <c r="P542" i="58"/>
  <c r="AP544" i="58"/>
  <c r="AX544" i="58"/>
  <c r="R545" i="58"/>
  <c r="X545" i="58"/>
  <c r="AC544" i="58"/>
  <c r="AK544" i="58"/>
  <c r="AC205" i="58"/>
  <c r="AC285" i="58"/>
  <c r="AR200" i="58"/>
  <c r="AV201" i="58"/>
  <c r="AX201" i="58"/>
  <c r="AC196" i="58"/>
  <c r="T459" i="35"/>
  <c r="J548" i="35"/>
  <c r="R542" i="58"/>
  <c r="V203" i="58"/>
  <c r="R206" i="58"/>
  <c r="AI339" i="58"/>
  <c r="V499" i="58"/>
  <c r="R383" i="58"/>
  <c r="T519" i="58"/>
  <c r="AI200" i="58"/>
  <c r="AI204" i="58"/>
  <c r="AR307" i="58"/>
  <c r="AG201" i="58"/>
  <c r="AG442" i="58"/>
  <c r="AR450" i="58"/>
  <c r="AG230" i="58"/>
  <c r="AT200" i="58"/>
  <c r="P548" i="58"/>
  <c r="AC543" i="58"/>
  <c r="AK543" i="58"/>
  <c r="T443" i="58"/>
  <c r="AC202" i="58"/>
  <c r="R202" i="58"/>
  <c r="R201" i="58"/>
  <c r="V201" i="58"/>
  <c r="J465" i="35"/>
  <c r="V383" i="58"/>
  <c r="V454" i="58"/>
  <c r="AT383" i="58"/>
  <c r="AT203" i="58"/>
  <c r="AX203" i="58"/>
  <c r="AT336" i="58"/>
  <c r="R203" i="58"/>
  <c r="P543" i="58"/>
  <c r="AE545" i="58"/>
  <c r="AK545" i="58"/>
  <c r="O636" i="35"/>
  <c r="AP310" i="58"/>
  <c r="V205" i="58"/>
  <c r="X205" i="58"/>
  <c r="AV204" i="58"/>
  <c r="AX204" i="58"/>
  <c r="AR202" i="58"/>
  <c r="AX202" i="58"/>
  <c r="O373" i="35"/>
  <c r="AP274" i="58"/>
  <c r="T33" i="35"/>
  <c r="T206" i="58"/>
  <c r="R548" i="58"/>
  <c r="V202" i="58"/>
  <c r="AT315" i="58"/>
  <c r="V464" i="58"/>
  <c r="R490" i="58"/>
  <c r="AI463" i="58"/>
  <c r="AI206" i="58"/>
  <c r="AI203" i="58"/>
  <c r="AK203" i="58"/>
  <c r="T113" i="35"/>
  <c r="R119" i="58"/>
  <c r="J154" i="35"/>
  <c r="R499" i="35"/>
  <c r="R498" i="35"/>
  <c r="AT155" i="58"/>
  <c r="R670" i="35"/>
  <c r="T670" i="35"/>
  <c r="R413" i="35"/>
  <c r="T413" i="35"/>
  <c r="U394" i="61"/>
  <c r="Y395" i="61"/>
  <c r="U395" i="61"/>
  <c r="BI395" i="61"/>
  <c r="Y394" i="61"/>
  <c r="BE395" i="61"/>
  <c r="AW395" i="61"/>
  <c r="AQ395" i="61"/>
  <c r="BA395" i="61"/>
  <c r="AM395" i="61"/>
  <c r="AE394" i="61"/>
  <c r="AE395" i="61"/>
  <c r="AI395" i="61"/>
  <c r="J240" i="35"/>
  <c r="O563" i="35"/>
  <c r="AR151" i="58"/>
  <c r="AC151" i="58"/>
  <c r="AP151" i="58"/>
  <c r="P151" i="58"/>
  <c r="T151" i="58"/>
  <c r="AV151" i="58"/>
  <c r="AE151" i="58"/>
  <c r="R151" i="58"/>
  <c r="P131" i="58"/>
  <c r="M542" i="35"/>
  <c r="N542" i="35"/>
  <c r="L542" i="35"/>
  <c r="K542" i="35"/>
  <c r="R542" i="35"/>
  <c r="AR112" i="58"/>
  <c r="AV117" i="58"/>
  <c r="T330" i="35"/>
  <c r="AR96" i="58"/>
  <c r="AX96" i="58"/>
  <c r="AI119" i="58"/>
  <c r="AR85" i="58"/>
  <c r="AX85" i="58"/>
  <c r="AC66" i="58"/>
  <c r="AV113" i="58"/>
  <c r="AV100" i="58"/>
  <c r="AV121" i="58"/>
  <c r="AV97" i="58"/>
  <c r="AR101" i="58"/>
  <c r="U253" i="35"/>
  <c r="V98" i="58"/>
  <c r="X98" i="58"/>
  <c r="M98" i="58"/>
  <c r="N98" i="58"/>
  <c r="AR111" i="58"/>
  <c r="V115" i="58"/>
  <c r="X115" i="58"/>
  <c r="AI78" i="58"/>
  <c r="AR93" i="58"/>
  <c r="AR109" i="58"/>
  <c r="AT69" i="58"/>
  <c r="AT87" i="58"/>
  <c r="U181" i="35"/>
  <c r="AP53" i="58"/>
  <c r="AE105" i="58"/>
  <c r="O675" i="35"/>
  <c r="AG71" i="58"/>
  <c r="R59" i="58"/>
  <c r="O590" i="35"/>
  <c r="U505" i="35"/>
  <c r="AV101" i="58"/>
  <c r="AG119" i="58"/>
  <c r="AI103" i="58"/>
  <c r="AV93" i="58"/>
  <c r="AG111" i="58"/>
  <c r="AG103" i="58"/>
  <c r="U427" i="35"/>
  <c r="AI71" i="58"/>
  <c r="AG80" i="58"/>
  <c r="AG89" i="58"/>
  <c r="AR103" i="58"/>
  <c r="T418" i="35"/>
  <c r="V107" i="58"/>
  <c r="X107" i="58"/>
  <c r="V90" i="58"/>
  <c r="X90" i="58"/>
  <c r="M90" i="58"/>
  <c r="N90" i="58"/>
  <c r="V91" i="58"/>
  <c r="X91" i="58"/>
  <c r="V114" i="58"/>
  <c r="X114" i="58"/>
  <c r="V99" i="58"/>
  <c r="X99" i="58"/>
  <c r="AR119" i="58"/>
  <c r="J72" i="35"/>
  <c r="V106" i="58"/>
  <c r="X106" i="58"/>
  <c r="O587" i="35"/>
  <c r="T79" i="58"/>
  <c r="AE97" i="58"/>
  <c r="AE113" i="58"/>
  <c r="AR53" i="58"/>
  <c r="R53" i="58"/>
  <c r="AI53" i="58"/>
  <c r="AT53" i="58"/>
  <c r="T167" i="35"/>
  <c r="AG120" i="58"/>
  <c r="AE100" i="58"/>
  <c r="AI115" i="58"/>
  <c r="AV107" i="58"/>
  <c r="AV116" i="58"/>
  <c r="AE79" i="58"/>
  <c r="AT89" i="58"/>
  <c r="T111" i="58"/>
  <c r="AV105" i="58"/>
  <c r="J672" i="35"/>
  <c r="AV66" i="58"/>
  <c r="AT88" i="58"/>
  <c r="R74" i="58"/>
  <c r="AI85" i="58"/>
  <c r="AE77" i="58"/>
  <c r="AI80" i="58"/>
  <c r="AR76" i="58"/>
  <c r="AX76" i="58"/>
  <c r="AI87" i="58"/>
  <c r="T88" i="58"/>
  <c r="AI77" i="58"/>
  <c r="AC70" i="58"/>
  <c r="AR86" i="58"/>
  <c r="R95" i="58"/>
  <c r="AC85" i="58"/>
  <c r="AE75" i="58"/>
  <c r="AG69" i="58"/>
  <c r="J241" i="35"/>
  <c r="AV75" i="58"/>
  <c r="T119" i="58"/>
  <c r="U156" i="35"/>
  <c r="AG70" i="58"/>
  <c r="AP88" i="58"/>
  <c r="V74" i="58"/>
  <c r="R152" i="35"/>
  <c r="AT153" i="58"/>
  <c r="T326" i="35"/>
  <c r="V95" i="58"/>
  <c r="U416" i="35"/>
  <c r="AK64" i="58"/>
  <c r="AR77" i="58"/>
  <c r="AC79" i="58"/>
  <c r="AC76" i="58"/>
  <c r="AI68" i="58"/>
  <c r="AR67" i="58"/>
  <c r="AC87" i="58"/>
  <c r="AI86" i="58"/>
  <c r="T672" i="35"/>
  <c r="AT71" i="58"/>
  <c r="AT80" i="58"/>
  <c r="AX80" i="58"/>
  <c r="T103" i="58"/>
  <c r="J590" i="35"/>
  <c r="AC69" i="58"/>
  <c r="R111" i="58"/>
  <c r="T95" i="58"/>
  <c r="U58" i="35"/>
  <c r="AX136" i="58"/>
  <c r="U73" i="35"/>
  <c r="AI69" i="58"/>
  <c r="U70" i="35"/>
  <c r="T70" i="58"/>
  <c r="X70" i="58"/>
  <c r="J57" i="35"/>
  <c r="U576" i="35"/>
  <c r="T578" i="35"/>
  <c r="T273" i="35"/>
  <c r="O318" i="35"/>
  <c r="J60" i="35"/>
  <c r="J663" i="35"/>
  <c r="J492" i="35"/>
  <c r="O492" i="35"/>
  <c r="AT151" i="58"/>
  <c r="AI151" i="58"/>
  <c r="V151" i="58"/>
  <c r="AG151" i="58"/>
  <c r="J495" i="35"/>
  <c r="J63" i="35"/>
  <c r="J581" i="35"/>
  <c r="U407" i="35"/>
  <c r="AW394" i="61"/>
  <c r="BI394" i="61"/>
  <c r="AQ394" i="61"/>
  <c r="BE394" i="61"/>
  <c r="AM394" i="61"/>
  <c r="AI394" i="61"/>
  <c r="BA394" i="61"/>
  <c r="Q412" i="35"/>
  <c r="AR154" i="58"/>
  <c r="O525" i="35"/>
  <c r="O406" i="35"/>
  <c r="T146" i="35"/>
  <c r="U64" i="35"/>
  <c r="T149" i="35"/>
  <c r="U322" i="35"/>
  <c r="U496" i="35"/>
  <c r="O648" i="35"/>
  <c r="Y401" i="62"/>
  <c r="U676" i="35"/>
  <c r="AK136" i="58"/>
  <c r="AG104" i="58"/>
  <c r="AV90" i="58"/>
  <c r="AV99" i="58"/>
  <c r="AV92" i="58"/>
  <c r="AV91" i="58"/>
  <c r="AV98" i="58"/>
  <c r="AV114" i="58"/>
  <c r="U159" i="35"/>
  <c r="U133" i="35"/>
  <c r="N24" i="35"/>
  <c r="T241" i="35"/>
  <c r="U582" i="35"/>
  <c r="J315" i="35"/>
  <c r="AT505" i="58"/>
  <c r="U328" i="35"/>
  <c r="AE467" i="58"/>
  <c r="O63" i="35"/>
  <c r="AV426" i="58"/>
  <c r="AE357" i="58"/>
  <c r="AV313" i="58"/>
  <c r="V461" i="58"/>
  <c r="V352" i="58"/>
  <c r="AT433" i="58"/>
  <c r="AT329" i="58"/>
  <c r="AT368" i="58"/>
  <c r="AT483" i="58"/>
  <c r="AT513" i="58"/>
  <c r="AT352" i="58"/>
  <c r="AV346" i="58"/>
  <c r="AE387" i="58"/>
  <c r="AE307" i="58"/>
  <c r="AT400" i="58"/>
  <c r="AV276" i="58"/>
  <c r="AV404" i="58"/>
  <c r="AV388" i="58"/>
  <c r="AV348" i="58"/>
  <c r="AV476" i="58"/>
  <c r="AV364" i="58"/>
  <c r="AV508" i="58"/>
  <c r="AV369" i="58"/>
  <c r="AV393" i="58"/>
  <c r="AV377" i="58"/>
  <c r="AV513" i="58"/>
  <c r="AT441" i="58"/>
  <c r="AV442" i="58"/>
  <c r="AG259" i="58"/>
  <c r="AG269" i="58"/>
  <c r="AT532" i="58"/>
  <c r="AE486" i="58"/>
  <c r="AT369" i="58"/>
  <c r="AT521" i="58"/>
  <c r="AT432" i="58"/>
  <c r="AT449" i="58"/>
  <c r="AT416" i="58"/>
  <c r="AE419" i="58"/>
  <c r="AV292" i="58"/>
  <c r="AV308" i="58"/>
  <c r="AV436" i="58"/>
  <c r="AV492" i="58"/>
  <c r="AV380" i="58"/>
  <c r="AV420" i="58"/>
  <c r="AV396" i="58"/>
  <c r="AV433" i="58"/>
  <c r="AV505" i="58"/>
  <c r="AV465" i="58"/>
  <c r="AG191" i="58"/>
  <c r="AC162" i="58"/>
  <c r="AG210" i="58"/>
  <c r="U661" i="35"/>
  <c r="J137" i="35"/>
  <c r="AG249" i="58"/>
  <c r="AE413" i="58"/>
  <c r="T666" i="35"/>
  <c r="V111" i="58"/>
  <c r="V103" i="58"/>
  <c r="V119" i="58"/>
  <c r="AE92" i="58"/>
  <c r="AK92" i="58"/>
  <c r="N412" i="35"/>
  <c r="AI154" i="58"/>
  <c r="H584" i="35"/>
  <c r="O279" i="35"/>
  <c r="AC547" i="58"/>
  <c r="AK547" i="58"/>
  <c r="T279" i="35"/>
  <c r="AP547" i="58"/>
  <c r="AX547" i="58"/>
  <c r="O214" i="35"/>
  <c r="U301" i="35"/>
  <c r="O300" i="35"/>
  <c r="K669" i="35"/>
  <c r="AC135" i="58"/>
  <c r="K584" i="35"/>
  <c r="P238" i="35"/>
  <c r="P584" i="35"/>
  <c r="S152" i="35"/>
  <c r="AV153" i="58"/>
  <c r="T480" i="35"/>
  <c r="T220" i="35"/>
  <c r="H669" i="35"/>
  <c r="T158" i="58"/>
  <c r="S66" i="35"/>
  <c r="AV129" i="58"/>
  <c r="Q238" i="35"/>
  <c r="I324" i="35"/>
  <c r="V157" i="58"/>
  <c r="M412" i="35"/>
  <c r="AG154" i="58"/>
  <c r="AT279" i="58"/>
  <c r="U242" i="35"/>
  <c r="U472" i="35"/>
  <c r="U215" i="35"/>
  <c r="AR514" i="58"/>
  <c r="AT403" i="58"/>
  <c r="Q66" i="35"/>
  <c r="AR152" i="58"/>
  <c r="V59" i="58"/>
  <c r="V470" i="58"/>
  <c r="AE462" i="58"/>
  <c r="V486" i="58"/>
  <c r="T63" i="35"/>
  <c r="U43" i="35"/>
  <c r="AE414" i="58"/>
  <c r="V53" i="58"/>
  <c r="AI106" i="58"/>
  <c r="AR442" i="58"/>
  <c r="V310" i="58"/>
  <c r="T414" i="35"/>
  <c r="U404" i="35"/>
  <c r="AE302" i="58"/>
  <c r="P66" i="35"/>
  <c r="AP152" i="58"/>
  <c r="N498" i="35"/>
  <c r="AI155" i="58"/>
  <c r="V398" i="58"/>
  <c r="AE518" i="58"/>
  <c r="T297" i="35"/>
  <c r="V406" i="58"/>
  <c r="U230" i="35"/>
  <c r="AR290" i="58"/>
  <c r="V278" i="58"/>
  <c r="AE406" i="58"/>
  <c r="U144" i="35"/>
  <c r="U233" i="35"/>
  <c r="AE166" i="58"/>
  <c r="T51" i="35"/>
  <c r="R428" i="58"/>
  <c r="T375" i="58"/>
  <c r="AT327" i="58"/>
  <c r="T511" i="58"/>
  <c r="O642" i="35"/>
  <c r="T232" i="35"/>
  <c r="O321" i="35"/>
  <c r="AT463" i="58"/>
  <c r="AE379" i="58"/>
  <c r="AE417" i="58"/>
  <c r="AV423" i="58"/>
  <c r="T327" i="35"/>
  <c r="T229" i="35"/>
  <c r="AV351" i="58"/>
  <c r="AG519" i="58"/>
  <c r="AT79" i="58"/>
  <c r="R72" i="58"/>
  <c r="V65" i="58"/>
  <c r="O415" i="35"/>
  <c r="T78" i="58"/>
  <c r="R332" i="58"/>
  <c r="R284" i="58"/>
  <c r="V382" i="58"/>
  <c r="AE485" i="58"/>
  <c r="V358" i="58"/>
  <c r="AG458" i="58"/>
  <c r="AE366" i="58"/>
  <c r="V294" i="58"/>
  <c r="AE373" i="58"/>
  <c r="V430" i="58"/>
  <c r="V446" i="58"/>
  <c r="V390" i="58"/>
  <c r="V318" i="58"/>
  <c r="V393" i="58"/>
  <c r="R372" i="58"/>
  <c r="AG314" i="58"/>
  <c r="AE355" i="58"/>
  <c r="AE299" i="58"/>
  <c r="AE331" i="58"/>
  <c r="AE363" i="58"/>
  <c r="AE411" i="58"/>
  <c r="AE283" i="58"/>
  <c r="AE443" i="58"/>
  <c r="AE315" i="58"/>
  <c r="AE438" i="58"/>
  <c r="AI91" i="58"/>
  <c r="AI114" i="58"/>
  <c r="AI107" i="58"/>
  <c r="AG506" i="58"/>
  <c r="AI166" i="58"/>
  <c r="AT141" i="58"/>
  <c r="AV279" i="58"/>
  <c r="AI399" i="58"/>
  <c r="AV391" i="58"/>
  <c r="AV519" i="58"/>
  <c r="T415" i="58"/>
  <c r="AG295" i="58"/>
  <c r="AG423" i="58"/>
  <c r="AT359" i="58"/>
  <c r="AT495" i="58"/>
  <c r="AE478" i="58"/>
  <c r="AV162" i="58"/>
  <c r="AR386" i="58"/>
  <c r="AE494" i="58"/>
  <c r="AE310" i="58"/>
  <c r="AR459" i="58"/>
  <c r="AE369" i="58"/>
  <c r="O501" i="35"/>
  <c r="AE454" i="58"/>
  <c r="AV78" i="58"/>
  <c r="AI76" i="58"/>
  <c r="AE68" i="58"/>
  <c r="O72" i="35"/>
  <c r="R396" i="58"/>
  <c r="V422" i="58"/>
  <c r="AE397" i="58"/>
  <c r="AG290" i="58"/>
  <c r="V518" i="58"/>
  <c r="AE501" i="58"/>
  <c r="V302" i="58"/>
  <c r="V350" i="58"/>
  <c r="V478" i="58"/>
  <c r="V494" i="58"/>
  <c r="AE317" i="58"/>
  <c r="R340" i="58"/>
  <c r="AR322" i="58"/>
  <c r="AE499" i="58"/>
  <c r="AE491" i="58"/>
  <c r="AE291" i="58"/>
  <c r="AE323" i="58"/>
  <c r="AE371" i="58"/>
  <c r="AE515" i="58"/>
  <c r="AE403" i="58"/>
  <c r="V420" i="58"/>
  <c r="AE286" i="58"/>
  <c r="AI90" i="58"/>
  <c r="AI99" i="58"/>
  <c r="T87" i="58"/>
  <c r="AE380" i="58"/>
  <c r="T155" i="35"/>
  <c r="AV287" i="58"/>
  <c r="T311" i="58"/>
  <c r="T447" i="58"/>
  <c r="AG319" i="58"/>
  <c r="AG455" i="58"/>
  <c r="AT399" i="58"/>
  <c r="AV511" i="58"/>
  <c r="AV487" i="58"/>
  <c r="AG391" i="58"/>
  <c r="AC75" i="58"/>
  <c r="J69" i="35"/>
  <c r="AG298" i="58"/>
  <c r="AE294" i="58"/>
  <c r="T432" i="58"/>
  <c r="AE398" i="58"/>
  <c r="T288" i="58"/>
  <c r="AE390" i="58"/>
  <c r="V484" i="58"/>
  <c r="X50" i="58"/>
  <c r="AR78" i="58"/>
  <c r="T495" i="35"/>
  <c r="J214" i="35"/>
  <c r="O125" i="35"/>
  <c r="AE342" i="58"/>
  <c r="AE446" i="58"/>
  <c r="AE326" i="58"/>
  <c r="AE422" i="58"/>
  <c r="T575" i="35"/>
  <c r="AE334" i="58"/>
  <c r="R81" i="58"/>
  <c r="AE86" i="58"/>
  <c r="AV87" i="58"/>
  <c r="V342" i="58"/>
  <c r="AG498" i="58"/>
  <c r="V366" i="58"/>
  <c r="AG410" i="58"/>
  <c r="V510" i="58"/>
  <c r="V462" i="58"/>
  <c r="V438" i="58"/>
  <c r="V502" i="58"/>
  <c r="V286" i="58"/>
  <c r="V374" i="58"/>
  <c r="AE349" i="58"/>
  <c r="V414" i="58"/>
  <c r="AE507" i="58"/>
  <c r="AE427" i="58"/>
  <c r="AE459" i="58"/>
  <c r="AE483" i="58"/>
  <c r="AE475" i="58"/>
  <c r="AE347" i="58"/>
  <c r="AE523" i="58"/>
  <c r="AI98" i="58"/>
  <c r="R83" i="58"/>
  <c r="O663" i="35"/>
  <c r="R278" i="58"/>
  <c r="AV319" i="58"/>
  <c r="AV455" i="58"/>
  <c r="T343" i="58"/>
  <c r="T479" i="58"/>
  <c r="AG351" i="58"/>
  <c r="AT295" i="58"/>
  <c r="AT431" i="58"/>
  <c r="V279" i="58"/>
  <c r="V519" i="58"/>
  <c r="V511" i="58"/>
  <c r="V503" i="58"/>
  <c r="V495" i="58"/>
  <c r="V487" i="58"/>
  <c r="V479" i="58"/>
  <c r="V471" i="58"/>
  <c r="V463" i="58"/>
  <c r="V455" i="58"/>
  <c r="V447" i="58"/>
  <c r="V439" i="58"/>
  <c r="V431" i="58"/>
  <c r="V423" i="58"/>
  <c r="V415" i="58"/>
  <c r="V407" i="58"/>
  <c r="V399" i="58"/>
  <c r="V391" i="58"/>
  <c r="V375" i="58"/>
  <c r="V367" i="58"/>
  <c r="V359" i="58"/>
  <c r="V351" i="58"/>
  <c r="V343" i="58"/>
  <c r="V335" i="58"/>
  <c r="V327" i="58"/>
  <c r="V319" i="58"/>
  <c r="V311" i="58"/>
  <c r="V303" i="58"/>
  <c r="V295" i="58"/>
  <c r="V287" i="58"/>
  <c r="T130" i="58"/>
  <c r="AI295" i="58"/>
  <c r="AI431" i="58"/>
  <c r="AE519" i="58"/>
  <c r="AE511" i="58"/>
  <c r="AE503" i="58"/>
  <c r="AE495" i="58"/>
  <c r="AE487" i="58"/>
  <c r="AE479" i="58"/>
  <c r="AE471" i="58"/>
  <c r="AE463" i="58"/>
  <c r="AE455" i="58"/>
  <c r="AE447" i="58"/>
  <c r="AE439" i="58"/>
  <c r="AE431" i="58"/>
  <c r="AE423" i="58"/>
  <c r="AE415" i="58"/>
  <c r="AE407" i="58"/>
  <c r="AE399" i="58"/>
  <c r="AE391" i="58"/>
  <c r="AE375" i="58"/>
  <c r="AE367" i="58"/>
  <c r="AE359" i="58"/>
  <c r="AE351" i="58"/>
  <c r="AE343" i="58"/>
  <c r="AE335" i="58"/>
  <c r="AE327" i="58"/>
  <c r="AE319" i="58"/>
  <c r="AE311" i="58"/>
  <c r="AE303" i="58"/>
  <c r="AE295" i="58"/>
  <c r="AE287" i="58"/>
  <c r="T294" i="35"/>
  <c r="AV362" i="58"/>
  <c r="AV410" i="58"/>
  <c r="AV458" i="58"/>
  <c r="AV330" i="58"/>
  <c r="AV490" i="58"/>
  <c r="AV290" i="58"/>
  <c r="AV378" i="58"/>
  <c r="AV298" i="58"/>
  <c r="AG96" i="58"/>
  <c r="AG112" i="58"/>
  <c r="AR519" i="58"/>
  <c r="AR511" i="58"/>
  <c r="AR503" i="58"/>
  <c r="AR495" i="58"/>
  <c r="AR487" i="58"/>
  <c r="AR479" i="58"/>
  <c r="AR471" i="58"/>
  <c r="AR463" i="58"/>
  <c r="AR455" i="58"/>
  <c r="AR447" i="58"/>
  <c r="AR439" i="58"/>
  <c r="AR431" i="58"/>
  <c r="AR423" i="58"/>
  <c r="AR415" i="58"/>
  <c r="AR407" i="58"/>
  <c r="AR399" i="58"/>
  <c r="AR391" i="58"/>
  <c r="AR375" i="58"/>
  <c r="AR367" i="58"/>
  <c r="AR359" i="58"/>
  <c r="AR351" i="58"/>
  <c r="AR343" i="58"/>
  <c r="AR335" i="58"/>
  <c r="AR327" i="58"/>
  <c r="AR319" i="58"/>
  <c r="AR311" i="58"/>
  <c r="AR303" i="58"/>
  <c r="AR295" i="58"/>
  <c r="AR287" i="58"/>
  <c r="AR279" i="58"/>
  <c r="AV459" i="58"/>
  <c r="AV395" i="58"/>
  <c r="AV331" i="58"/>
  <c r="AV507" i="58"/>
  <c r="AV523" i="58"/>
  <c r="AV427" i="58"/>
  <c r="AV363" i="58"/>
  <c r="AV299" i="58"/>
  <c r="AT377" i="58"/>
  <c r="AT409" i="58"/>
  <c r="AT497" i="58"/>
  <c r="AT289" i="58"/>
  <c r="AT417" i="58"/>
  <c r="AT361" i="58"/>
  <c r="AT489" i="58"/>
  <c r="AT401" i="58"/>
  <c r="AT313" i="58"/>
  <c r="AT345" i="58"/>
  <c r="AT353" i="58"/>
  <c r="AT481" i="58"/>
  <c r="AT297" i="58"/>
  <c r="AT425" i="58"/>
  <c r="AT337" i="58"/>
  <c r="AT465" i="58"/>
  <c r="AG88" i="58"/>
  <c r="AG79" i="58"/>
  <c r="U319" i="35"/>
  <c r="AI327" i="58"/>
  <c r="V72" i="58"/>
  <c r="V83" i="58"/>
  <c r="V81" i="58"/>
  <c r="AE374" i="58"/>
  <c r="AE510" i="58"/>
  <c r="AE278" i="58"/>
  <c r="AE470" i="58"/>
  <c r="AE382" i="58"/>
  <c r="AE502" i="58"/>
  <c r="AE430" i="58"/>
  <c r="AE350" i="58"/>
  <c r="AE108" i="58"/>
  <c r="O158" i="35"/>
  <c r="AE116" i="58"/>
  <c r="AC519" i="58"/>
  <c r="AC487" i="58"/>
  <c r="AC455" i="58"/>
  <c r="AC423" i="58"/>
  <c r="AC391" i="58"/>
  <c r="AC351" i="58"/>
  <c r="AC319" i="58"/>
  <c r="AC511" i="58"/>
  <c r="AC479" i="58"/>
  <c r="AC447" i="58"/>
  <c r="AC375" i="58"/>
  <c r="AC311" i="58"/>
  <c r="AC495" i="58"/>
  <c r="AC463" i="58"/>
  <c r="AC431" i="58"/>
  <c r="AC399" i="58"/>
  <c r="AC359" i="58"/>
  <c r="AC327" i="58"/>
  <c r="AC295" i="58"/>
  <c r="AC287" i="58"/>
  <c r="AC503" i="58"/>
  <c r="AC471" i="58"/>
  <c r="AC439" i="58"/>
  <c r="AC407" i="58"/>
  <c r="AC367" i="58"/>
  <c r="AC335" i="58"/>
  <c r="AC303" i="58"/>
  <c r="AC415" i="58"/>
  <c r="AC343" i="58"/>
  <c r="AE90" i="58"/>
  <c r="V453" i="58"/>
  <c r="V317" i="58"/>
  <c r="V397" i="58"/>
  <c r="V325" i="58"/>
  <c r="AT355" i="58"/>
  <c r="AT443" i="58"/>
  <c r="AT363" i="58"/>
  <c r="V328" i="58"/>
  <c r="V376" i="58"/>
  <c r="V416" i="58"/>
  <c r="V288" i="58"/>
  <c r="V400" i="58"/>
  <c r="V408" i="58"/>
  <c r="R402" i="58"/>
  <c r="R506" i="58"/>
  <c r="R410" i="58"/>
  <c r="R282" i="58"/>
  <c r="R378" i="58"/>
  <c r="R370" i="58"/>
  <c r="U643" i="35"/>
  <c r="AI279" i="58"/>
  <c r="AI383" i="58"/>
  <c r="AI519" i="58"/>
  <c r="AI487" i="58"/>
  <c r="AI455" i="58"/>
  <c r="AI423" i="58"/>
  <c r="AI391" i="58"/>
  <c r="AI351" i="58"/>
  <c r="AI319" i="58"/>
  <c r="AI287" i="58"/>
  <c r="AI511" i="58"/>
  <c r="AI479" i="58"/>
  <c r="AI447" i="58"/>
  <c r="AI415" i="58"/>
  <c r="AI375" i="58"/>
  <c r="AI343" i="58"/>
  <c r="AI311" i="58"/>
  <c r="AI503" i="58"/>
  <c r="AI471" i="58"/>
  <c r="AI439" i="58"/>
  <c r="AI407" i="58"/>
  <c r="AI367" i="58"/>
  <c r="AI335" i="58"/>
  <c r="AI303" i="58"/>
  <c r="AI359" i="58"/>
  <c r="AI495" i="58"/>
  <c r="T426" i="58"/>
  <c r="T378" i="58"/>
  <c r="T330" i="58"/>
  <c r="T370" i="58"/>
  <c r="T346" i="58"/>
  <c r="T450" i="58"/>
  <c r="T482" i="58"/>
  <c r="T466" i="58"/>
  <c r="T362" i="58"/>
  <c r="T410" i="58"/>
  <c r="T290" i="58"/>
  <c r="T394" i="58"/>
  <c r="T314" i="58"/>
  <c r="AR378" i="58"/>
  <c r="AR314" i="58"/>
  <c r="AR506" i="58"/>
  <c r="AP162" i="58"/>
  <c r="T563" i="35"/>
  <c r="AG279" i="58"/>
  <c r="AG383" i="58"/>
  <c r="AV295" i="58"/>
  <c r="AV327" i="58"/>
  <c r="AV359" i="58"/>
  <c r="AV399" i="58"/>
  <c r="AV431" i="58"/>
  <c r="AV463" i="58"/>
  <c r="AV495" i="58"/>
  <c r="T287" i="58"/>
  <c r="T319" i="58"/>
  <c r="T351" i="58"/>
  <c r="T391" i="58"/>
  <c r="T423" i="58"/>
  <c r="T455" i="58"/>
  <c r="T487" i="58"/>
  <c r="AG287" i="58"/>
  <c r="AG327" i="58"/>
  <c r="AG359" i="58"/>
  <c r="AG399" i="58"/>
  <c r="AG431" i="58"/>
  <c r="AG463" i="58"/>
  <c r="AG495" i="58"/>
  <c r="AT303" i="58"/>
  <c r="AT335" i="58"/>
  <c r="AT367" i="58"/>
  <c r="AT407" i="58"/>
  <c r="AT439" i="58"/>
  <c r="AT471" i="58"/>
  <c r="AT503" i="58"/>
  <c r="T279" i="58"/>
  <c r="T383" i="58"/>
  <c r="T385" i="35"/>
  <c r="AV383" i="58"/>
  <c r="J575" i="35"/>
  <c r="AR306" i="58"/>
  <c r="AV303" i="58"/>
  <c r="AV335" i="58"/>
  <c r="AV367" i="58"/>
  <c r="AV407" i="58"/>
  <c r="AV439" i="58"/>
  <c r="AV471" i="58"/>
  <c r="AV503" i="58"/>
  <c r="T303" i="58"/>
  <c r="T327" i="58"/>
  <c r="T359" i="58"/>
  <c r="T399" i="58"/>
  <c r="T431" i="58"/>
  <c r="T463" i="58"/>
  <c r="T495" i="58"/>
  <c r="AG303" i="58"/>
  <c r="AG335" i="58"/>
  <c r="AG367" i="58"/>
  <c r="AG407" i="58"/>
  <c r="AG439" i="58"/>
  <c r="AG471" i="58"/>
  <c r="AG503" i="58"/>
  <c r="AG171" i="58"/>
  <c r="AG181" i="58"/>
  <c r="AT311" i="58"/>
  <c r="AT343" i="58"/>
  <c r="AT375" i="58"/>
  <c r="AT415" i="58"/>
  <c r="AT447" i="58"/>
  <c r="AT479" i="58"/>
  <c r="AT511" i="58"/>
  <c r="L669" i="35"/>
  <c r="AE158" i="58"/>
  <c r="R519" i="58"/>
  <c r="R511" i="58"/>
  <c r="R503" i="58"/>
  <c r="R495" i="58"/>
  <c r="R487" i="58"/>
  <c r="R479" i="58"/>
  <c r="R471" i="58"/>
  <c r="R463" i="58"/>
  <c r="R455" i="58"/>
  <c r="R447" i="58"/>
  <c r="R439" i="58"/>
  <c r="R431" i="58"/>
  <c r="R423" i="58"/>
  <c r="R415" i="58"/>
  <c r="R407" i="58"/>
  <c r="R399" i="58"/>
  <c r="R391" i="58"/>
  <c r="R375" i="58"/>
  <c r="R367" i="58"/>
  <c r="R359" i="58"/>
  <c r="R351" i="58"/>
  <c r="R343" i="58"/>
  <c r="R335" i="58"/>
  <c r="R327" i="58"/>
  <c r="R319" i="58"/>
  <c r="R311" i="58"/>
  <c r="R303" i="58"/>
  <c r="R295" i="58"/>
  <c r="R287" i="58"/>
  <c r="AV311" i="58"/>
  <c r="AV343" i="58"/>
  <c r="AV375" i="58"/>
  <c r="AV415" i="58"/>
  <c r="AV447" i="58"/>
  <c r="AV479" i="58"/>
  <c r="T295" i="58"/>
  <c r="T335" i="58"/>
  <c r="T367" i="58"/>
  <c r="T407" i="58"/>
  <c r="T439" i="58"/>
  <c r="T471" i="58"/>
  <c r="T503" i="58"/>
  <c r="AG311" i="58"/>
  <c r="AG343" i="58"/>
  <c r="AG375" i="58"/>
  <c r="AG415" i="58"/>
  <c r="AG447" i="58"/>
  <c r="AG479" i="58"/>
  <c r="AG511" i="58"/>
  <c r="AT287" i="58"/>
  <c r="AT319" i="58"/>
  <c r="AT351" i="58"/>
  <c r="AT391" i="58"/>
  <c r="AT423" i="58"/>
  <c r="AT455" i="58"/>
  <c r="AT487" i="58"/>
  <c r="AT519" i="58"/>
  <c r="O285" i="35"/>
  <c r="AG176" i="58"/>
  <c r="AG274" i="58"/>
  <c r="AG264" i="58"/>
  <c r="AG254" i="58"/>
  <c r="AG245" i="58"/>
  <c r="AG235" i="58"/>
  <c r="AG225" i="58"/>
  <c r="AG196" i="58"/>
  <c r="AG215" i="58"/>
  <c r="AG186" i="58"/>
  <c r="U200" i="35"/>
  <c r="AT254" i="58"/>
  <c r="AT225" i="58"/>
  <c r="BN10" i="58"/>
  <c r="BN11" i="58"/>
  <c r="Q456" i="35"/>
  <c r="P456" i="35"/>
  <c r="AP535" i="58"/>
  <c r="M24" i="35"/>
  <c r="Q110" i="35"/>
  <c r="R370" i="35"/>
  <c r="T533" i="58"/>
  <c r="P370" i="35"/>
  <c r="L24" i="35"/>
  <c r="N110" i="35"/>
  <c r="S110" i="35"/>
  <c r="AV533" i="58"/>
  <c r="K370" i="35"/>
  <c r="AC534" i="58"/>
  <c r="K24" i="35"/>
  <c r="L370" i="35"/>
  <c r="M627" i="35"/>
  <c r="P282" i="35"/>
  <c r="AP537" i="58"/>
  <c r="R196" i="35"/>
  <c r="L282" i="35"/>
  <c r="N370" i="35"/>
  <c r="S370" i="35"/>
  <c r="R110" i="35"/>
  <c r="L627" i="35"/>
  <c r="K627" i="35"/>
  <c r="BN35" i="58"/>
  <c r="T131" i="35"/>
  <c r="T217" i="35"/>
  <c r="O388" i="35"/>
  <c r="R436" i="58"/>
  <c r="V322" i="58"/>
  <c r="U673" i="35"/>
  <c r="BN55" i="58"/>
  <c r="J361" i="35"/>
  <c r="AE428" i="58"/>
  <c r="U386" i="35"/>
  <c r="U493" i="35"/>
  <c r="BN13" i="58"/>
  <c r="BN43" i="58"/>
  <c r="BN42" i="58"/>
  <c r="BN3" i="58"/>
  <c r="BN31" i="58"/>
  <c r="BN34" i="58"/>
  <c r="BN2" i="58"/>
  <c r="BN26" i="58"/>
  <c r="O403" i="35"/>
  <c r="U316" i="35"/>
  <c r="O575" i="35"/>
  <c r="U588" i="35"/>
  <c r="AP79" i="58"/>
  <c r="AP70" i="58"/>
  <c r="AP87" i="58"/>
  <c r="O327" i="35"/>
  <c r="T587" i="35"/>
  <c r="AE88" i="58"/>
  <c r="AE70" i="58"/>
  <c r="AP69" i="58"/>
  <c r="BN23" i="58"/>
  <c r="P536" i="58"/>
  <c r="BN25" i="58"/>
  <c r="BN7" i="58"/>
  <c r="BN27" i="58"/>
  <c r="BN8" i="58"/>
  <c r="BN5" i="58"/>
  <c r="BN49" i="58"/>
  <c r="BN18" i="58"/>
  <c r="BN19" i="58"/>
  <c r="BN17" i="58"/>
  <c r="BN16" i="58"/>
  <c r="BN33" i="58"/>
  <c r="BN47" i="58"/>
  <c r="BN45" i="58"/>
  <c r="BN30" i="58"/>
  <c r="BN29" i="58"/>
  <c r="BN38" i="58"/>
  <c r="BN9" i="58"/>
  <c r="BN24" i="58"/>
  <c r="BN32" i="58"/>
  <c r="BN48" i="58"/>
  <c r="BN21" i="58"/>
  <c r="BN37" i="58"/>
  <c r="BN41" i="58"/>
  <c r="BN46" i="58"/>
  <c r="BN14" i="58"/>
  <c r="BN40" i="58"/>
  <c r="BN15" i="58"/>
  <c r="BN22" i="58"/>
  <c r="BN6" i="58"/>
  <c r="BN39" i="58"/>
  <c r="T285" i="35"/>
  <c r="AT176" i="58"/>
  <c r="AT215" i="58"/>
  <c r="AT245" i="58"/>
  <c r="AT264" i="58"/>
  <c r="AT235" i="58"/>
  <c r="AT186" i="58"/>
  <c r="AT274" i="58"/>
  <c r="AT196" i="58"/>
  <c r="AR338" i="58"/>
  <c r="AR402" i="58"/>
  <c r="AR466" i="58"/>
  <c r="AR515" i="58"/>
  <c r="AR330" i="58"/>
  <c r="AR394" i="58"/>
  <c r="AR458" i="58"/>
  <c r="AR298" i="58"/>
  <c r="AR354" i="58"/>
  <c r="AR418" i="58"/>
  <c r="AR482" i="58"/>
  <c r="AR331" i="58"/>
  <c r="AR346" i="58"/>
  <c r="AR410" i="58"/>
  <c r="AR474" i="58"/>
  <c r="AR371" i="58"/>
  <c r="AR387" i="58"/>
  <c r="AR370" i="58"/>
  <c r="AR434" i="58"/>
  <c r="AR498" i="58"/>
  <c r="AR395" i="58"/>
  <c r="AR282" i="58"/>
  <c r="AR523" i="58"/>
  <c r="AR362" i="58"/>
  <c r="AR426" i="58"/>
  <c r="AR490" i="58"/>
  <c r="AR522" i="58"/>
  <c r="AR291" i="58"/>
  <c r="U40" i="35"/>
  <c r="AI499" i="58"/>
  <c r="AR283" i="58"/>
  <c r="AR347" i="58"/>
  <c r="AR411" i="58"/>
  <c r="AR475" i="58"/>
  <c r="AI315" i="58"/>
  <c r="AI379" i="58"/>
  <c r="AI443" i="58"/>
  <c r="AE497" i="58"/>
  <c r="AI507" i="58"/>
  <c r="AE377" i="58"/>
  <c r="AE481" i="58"/>
  <c r="AG466" i="58"/>
  <c r="AE389" i="58"/>
  <c r="AG322" i="58"/>
  <c r="AG426" i="58"/>
  <c r="AE429" i="58"/>
  <c r="AG346" i="58"/>
  <c r="AG282" i="58"/>
  <c r="AG370" i="58"/>
  <c r="AE372" i="58"/>
  <c r="AG450" i="58"/>
  <c r="AE405" i="58"/>
  <c r="AE293" i="58"/>
  <c r="AE509" i="58"/>
  <c r="AE285" i="58"/>
  <c r="AI419" i="58"/>
  <c r="AI435" i="58"/>
  <c r="AR323" i="58"/>
  <c r="AG386" i="58"/>
  <c r="AI523" i="58"/>
  <c r="AE393" i="58"/>
  <c r="AI491" i="58"/>
  <c r="AR427" i="58"/>
  <c r="AI459" i="58"/>
  <c r="AE505" i="58"/>
  <c r="AR499" i="58"/>
  <c r="AE289" i="58"/>
  <c r="AG434" i="58"/>
  <c r="AE421" i="58"/>
  <c r="AG378" i="58"/>
  <c r="AG522" i="58"/>
  <c r="AE333" i="58"/>
  <c r="AE461" i="58"/>
  <c r="AG418" i="58"/>
  <c r="AE301" i="58"/>
  <c r="AG306" i="58"/>
  <c r="AE309" i="58"/>
  <c r="AE437" i="58"/>
  <c r="AE517" i="58"/>
  <c r="AE516" i="58"/>
  <c r="AE445" i="58"/>
  <c r="AE477" i="58"/>
  <c r="AG354" i="58"/>
  <c r="AG474" i="58"/>
  <c r="AR419" i="58"/>
  <c r="AI323" i="58"/>
  <c r="AR339" i="58"/>
  <c r="AE468" i="58"/>
  <c r="AI467" i="58"/>
  <c r="AE300" i="58"/>
  <c r="AE277" i="58"/>
  <c r="AI515" i="58"/>
  <c r="AR299" i="58"/>
  <c r="AR363" i="58"/>
  <c r="AR507" i="58"/>
  <c r="AI331" i="58"/>
  <c r="AI395" i="58"/>
  <c r="O297" i="35"/>
  <c r="AG330" i="58"/>
  <c r="AR315" i="58"/>
  <c r="AR379" i="58"/>
  <c r="AR443" i="58"/>
  <c r="AI283" i="58"/>
  <c r="AI347" i="58"/>
  <c r="AI411" i="58"/>
  <c r="AI475" i="58"/>
  <c r="AR483" i="58"/>
  <c r="AG362" i="58"/>
  <c r="AE388" i="58"/>
  <c r="AE325" i="58"/>
  <c r="AE453" i="58"/>
  <c r="AG402" i="58"/>
  <c r="AE321" i="58"/>
  <c r="AG490" i="58"/>
  <c r="AE365" i="58"/>
  <c r="AE493" i="58"/>
  <c r="AG338" i="58"/>
  <c r="AG514" i="58"/>
  <c r="AE341" i="58"/>
  <c r="AE469" i="58"/>
  <c r="O551" i="35"/>
  <c r="AE381" i="58"/>
  <c r="AR403" i="58"/>
  <c r="AI291" i="58"/>
  <c r="AI307" i="58"/>
  <c r="AR451" i="58"/>
  <c r="AR355" i="58"/>
  <c r="AR467" i="58"/>
  <c r="AI387" i="58"/>
  <c r="AI483" i="58"/>
  <c r="AR491" i="58"/>
  <c r="AR435" i="58"/>
  <c r="AE385" i="58"/>
  <c r="O211" i="35"/>
  <c r="T400" i="58"/>
  <c r="AE425" i="58"/>
  <c r="V353" i="58"/>
  <c r="V276" i="58"/>
  <c r="AE401" i="58"/>
  <c r="V313" i="58"/>
  <c r="V452" i="58"/>
  <c r="AE281" i="58"/>
  <c r="AE409" i="58"/>
  <c r="AE297" i="58"/>
  <c r="R420" i="58"/>
  <c r="R484" i="58"/>
  <c r="R388" i="58"/>
  <c r="R492" i="58"/>
  <c r="R500" i="58"/>
  <c r="T480" i="58"/>
  <c r="AE353" i="58"/>
  <c r="AE508" i="58"/>
  <c r="AE356" i="58"/>
  <c r="AE500" i="58"/>
  <c r="AE348" i="58"/>
  <c r="AE476" i="58"/>
  <c r="AE340" i="58"/>
  <c r="R353" i="58"/>
  <c r="V290" i="58"/>
  <c r="AE460" i="58"/>
  <c r="J297" i="35"/>
  <c r="R476" i="58"/>
  <c r="R380" i="58"/>
  <c r="R308" i="58"/>
  <c r="V364" i="58"/>
  <c r="AE396" i="58"/>
  <c r="AE364" i="58"/>
  <c r="V385" i="58"/>
  <c r="AE329" i="58"/>
  <c r="V337" i="58"/>
  <c r="AE433" i="58"/>
  <c r="AE313" i="58"/>
  <c r="R404" i="58"/>
  <c r="R444" i="58"/>
  <c r="R460" i="58"/>
  <c r="R452" i="58"/>
  <c r="AE513" i="58"/>
  <c r="AE521" i="58"/>
  <c r="V394" i="58"/>
  <c r="AE452" i="58"/>
  <c r="AE324" i="58"/>
  <c r="AE444" i="58"/>
  <c r="AE316" i="58"/>
  <c r="AE436" i="58"/>
  <c r="AE308" i="58"/>
  <c r="V522" i="58"/>
  <c r="AE492" i="58"/>
  <c r="R364" i="58"/>
  <c r="R348" i="58"/>
  <c r="R412" i="58"/>
  <c r="AE332" i="58"/>
  <c r="AE449" i="58"/>
  <c r="AE279" i="58"/>
  <c r="V348" i="58"/>
  <c r="AE457" i="58"/>
  <c r="V500" i="58"/>
  <c r="AE305" i="58"/>
  <c r="V297" i="58"/>
  <c r="AE441" i="58"/>
  <c r="V369" i="58"/>
  <c r="V316" i="58"/>
  <c r="AE361" i="58"/>
  <c r="AE489" i="58"/>
  <c r="T352" i="58"/>
  <c r="AE337" i="58"/>
  <c r="AE465" i="58"/>
  <c r="T512" i="58"/>
  <c r="AE345" i="58"/>
  <c r="AE473" i="58"/>
  <c r="R300" i="58"/>
  <c r="R324" i="58"/>
  <c r="R276" i="58"/>
  <c r="R316" i="58"/>
  <c r="R356" i="58"/>
  <c r="AE420" i="58"/>
  <c r="AE292" i="58"/>
  <c r="V338" i="58"/>
  <c r="AE412" i="58"/>
  <c r="AE284" i="58"/>
  <c r="V498" i="58"/>
  <c r="AE404" i="58"/>
  <c r="AE276" i="58"/>
  <c r="AE484" i="58"/>
  <c r="R468" i="58"/>
  <c r="R516" i="58"/>
  <c r="O560" i="35"/>
  <c r="T300" i="35"/>
  <c r="T648" i="35"/>
  <c r="O176" i="35"/>
  <c r="AC166" i="58"/>
  <c r="M370" i="35"/>
  <c r="AT162" i="58"/>
  <c r="U175" i="35"/>
  <c r="N584" i="35"/>
  <c r="L498" i="35"/>
  <c r="AE155" i="58"/>
  <c r="P412" i="35"/>
  <c r="AP154" i="58"/>
  <c r="S412" i="35"/>
  <c r="AV154" i="58"/>
  <c r="S498" i="35"/>
  <c r="AV155" i="58"/>
  <c r="L152" i="35"/>
  <c r="AE153" i="58"/>
  <c r="M669" i="35"/>
  <c r="AG158" i="58"/>
  <c r="I238" i="35"/>
  <c r="K324" i="35"/>
  <c r="AC157" i="58"/>
  <c r="H238" i="35"/>
  <c r="K238" i="35"/>
  <c r="I584" i="35"/>
  <c r="H412" i="35"/>
  <c r="T154" i="58"/>
  <c r="T536" i="58"/>
  <c r="T45" i="35"/>
  <c r="X425" i="62"/>
  <c r="V536" i="58"/>
  <c r="R533" i="58"/>
  <c r="X198" i="58"/>
  <c r="O273" i="35"/>
  <c r="R537" i="58"/>
  <c r="J39" i="35"/>
  <c r="R446" i="58"/>
  <c r="J149" i="35"/>
  <c r="T537" i="58"/>
  <c r="T538" i="58"/>
  <c r="R534" i="58"/>
  <c r="J187" i="35"/>
  <c r="R536" i="58"/>
  <c r="J560" i="35"/>
  <c r="J388" i="35"/>
  <c r="T534" i="58"/>
  <c r="T42" i="35"/>
  <c r="O128" i="35"/>
  <c r="J42" i="35"/>
  <c r="T532" i="58"/>
  <c r="O42" i="35"/>
  <c r="T128" i="35"/>
  <c r="AP533" i="58"/>
  <c r="T388" i="35"/>
  <c r="X123" i="58"/>
  <c r="U274" i="35"/>
  <c r="O18" i="35"/>
  <c r="J450" i="35"/>
  <c r="U619" i="35"/>
  <c r="U191" i="35"/>
  <c r="U225" i="35"/>
  <c r="X149" i="58"/>
  <c r="T394" i="35"/>
  <c r="AT411" i="58"/>
  <c r="AT283" i="58"/>
  <c r="R373" i="58"/>
  <c r="AT371" i="58"/>
  <c r="V312" i="58"/>
  <c r="V472" i="58"/>
  <c r="V456" i="58"/>
  <c r="V304" i="58"/>
  <c r="AT459" i="58"/>
  <c r="AT331" i="58"/>
  <c r="AT523" i="58"/>
  <c r="V445" i="58"/>
  <c r="V469" i="58"/>
  <c r="V357" i="58"/>
  <c r="V493" i="58"/>
  <c r="V421" i="58"/>
  <c r="V517" i="58"/>
  <c r="V333" i="58"/>
  <c r="V365" i="58"/>
  <c r="L412" i="35"/>
  <c r="AE154" i="58"/>
  <c r="P669" i="35"/>
  <c r="AP158" i="58"/>
  <c r="P324" i="35"/>
  <c r="AP157" i="58"/>
  <c r="Q324" i="35"/>
  <c r="AR157" i="58"/>
  <c r="Q669" i="35"/>
  <c r="AR158" i="58"/>
  <c r="I498" i="35"/>
  <c r="V155" i="58"/>
  <c r="M498" i="35"/>
  <c r="AG155" i="58"/>
  <c r="R238" i="35"/>
  <c r="AI168" i="58"/>
  <c r="R386" i="58"/>
  <c r="R442" i="58"/>
  <c r="V520" i="58"/>
  <c r="V392" i="58"/>
  <c r="V480" i="58"/>
  <c r="R286" i="58"/>
  <c r="R430" i="58"/>
  <c r="R394" i="58"/>
  <c r="R514" i="58"/>
  <c r="R466" i="58"/>
  <c r="R290" i="58"/>
  <c r="AT451" i="58"/>
  <c r="AT291" i="58"/>
  <c r="AT387" i="58"/>
  <c r="L196" i="35"/>
  <c r="N282" i="35"/>
  <c r="AI66" i="58"/>
  <c r="J569" i="35"/>
  <c r="O164" i="35"/>
  <c r="AI84" i="58"/>
  <c r="AT379" i="58"/>
  <c r="AT507" i="58"/>
  <c r="AT467" i="58"/>
  <c r="AT339" i="58"/>
  <c r="V432" i="58"/>
  <c r="V496" i="58"/>
  <c r="V504" i="58"/>
  <c r="V440" i="58"/>
  <c r="AT427" i="58"/>
  <c r="AT299" i="58"/>
  <c r="AT491" i="58"/>
  <c r="V509" i="58"/>
  <c r="V501" i="58"/>
  <c r="V413" i="58"/>
  <c r="V485" i="58"/>
  <c r="V349" i="58"/>
  <c r="V477" i="58"/>
  <c r="V309" i="58"/>
  <c r="V373" i="58"/>
  <c r="O385" i="35"/>
  <c r="M584" i="35"/>
  <c r="AR168" i="58"/>
  <c r="R298" i="58"/>
  <c r="R426" i="58"/>
  <c r="V344" i="58"/>
  <c r="V336" i="58"/>
  <c r="V512" i="58"/>
  <c r="R470" i="58"/>
  <c r="R302" i="58"/>
  <c r="R522" i="58"/>
  <c r="R498" i="58"/>
  <c r="R450" i="58"/>
  <c r="R482" i="58"/>
  <c r="R434" i="58"/>
  <c r="R362" i="58"/>
  <c r="AT515" i="58"/>
  <c r="AT419" i="58"/>
  <c r="R314" i="58"/>
  <c r="AT323" i="58"/>
  <c r="U479" i="35"/>
  <c r="V458" i="58"/>
  <c r="X51" i="58"/>
  <c r="V285" i="58"/>
  <c r="AT347" i="58"/>
  <c r="AT475" i="58"/>
  <c r="AT435" i="58"/>
  <c r="AT307" i="58"/>
  <c r="AT499" i="58"/>
  <c r="V360" i="58"/>
  <c r="V368" i="58"/>
  <c r="V488" i="58"/>
  <c r="V296" i="58"/>
  <c r="AT395" i="58"/>
  <c r="V405" i="58"/>
  <c r="V277" i="58"/>
  <c r="V429" i="58"/>
  <c r="V293" i="58"/>
  <c r="V301" i="58"/>
  <c r="V389" i="58"/>
  <c r="X4" i="58"/>
  <c r="L66" i="35"/>
  <c r="AE152" i="58"/>
  <c r="S324" i="35"/>
  <c r="AV157" i="58"/>
  <c r="S238" i="35"/>
  <c r="K152" i="35"/>
  <c r="AC153" i="58"/>
  <c r="I152" i="35"/>
  <c r="V153" i="58"/>
  <c r="N324" i="35"/>
  <c r="AI157" i="58"/>
  <c r="R474" i="58"/>
  <c r="R346" i="58"/>
  <c r="V280" i="58"/>
  <c r="V320" i="58"/>
  <c r="V424" i="58"/>
  <c r="R398" i="58"/>
  <c r="R338" i="58"/>
  <c r="R354" i="58"/>
  <c r="R458" i="58"/>
  <c r="O621" i="35"/>
  <c r="P196" i="35"/>
  <c r="S282" i="35"/>
  <c r="AV537" i="58"/>
  <c r="K110" i="35"/>
  <c r="AC533" i="58"/>
  <c r="U485" i="35"/>
  <c r="T477" i="35"/>
  <c r="X146" i="58"/>
  <c r="J397" i="35"/>
  <c r="V162" i="58"/>
  <c r="J309" i="35"/>
  <c r="U212" i="35"/>
  <c r="O45" i="35"/>
  <c r="O131" i="35"/>
  <c r="O303" i="35"/>
  <c r="V204" i="58"/>
  <c r="U188" i="35"/>
  <c r="U534" i="35"/>
  <c r="AC279" i="58"/>
  <c r="R279" i="58"/>
  <c r="V387" i="58"/>
  <c r="J291" i="35"/>
  <c r="V363" i="58"/>
  <c r="V371" i="58"/>
  <c r="V443" i="58"/>
  <c r="V307" i="58"/>
  <c r="V386" i="58"/>
  <c r="V362" i="58"/>
  <c r="V483" i="58"/>
  <c r="V282" i="58"/>
  <c r="V418" i="58"/>
  <c r="V402" i="58"/>
  <c r="V450" i="58"/>
  <c r="V434" i="58"/>
  <c r="V482" i="58"/>
  <c r="V395" i="58"/>
  <c r="V435" i="58"/>
  <c r="V475" i="58"/>
  <c r="V355" i="58"/>
  <c r="V515" i="58"/>
  <c r="V378" i="58"/>
  <c r="V354" i="58"/>
  <c r="V523" i="58"/>
  <c r="V514" i="58"/>
  <c r="V298" i="58"/>
  <c r="V314" i="58"/>
  <c r="V330" i="58"/>
  <c r="V427" i="58"/>
  <c r="V490" i="58"/>
  <c r="V474" i="58"/>
  <c r="V507" i="58"/>
  <c r="V419" i="58"/>
  <c r="V347" i="58"/>
  <c r="V339" i="58"/>
  <c r="V299" i="58"/>
  <c r="V459" i="58"/>
  <c r="V291" i="58"/>
  <c r="V283" i="58"/>
  <c r="V370" i="58"/>
  <c r="V346" i="58"/>
  <c r="V467" i="58"/>
  <c r="V506" i="58"/>
  <c r="V410" i="58"/>
  <c r="V426" i="58"/>
  <c r="V442" i="58"/>
  <c r="R510" i="58"/>
  <c r="J385" i="35"/>
  <c r="R422" i="58"/>
  <c r="R334" i="58"/>
  <c r="R318" i="58"/>
  <c r="R438" i="58"/>
  <c r="R366" i="58"/>
  <c r="R454" i="58"/>
  <c r="R406" i="58"/>
  <c r="R382" i="58"/>
  <c r="R462" i="58"/>
  <c r="R358" i="58"/>
  <c r="R494" i="58"/>
  <c r="R294" i="58"/>
  <c r="R310" i="58"/>
  <c r="R414" i="58"/>
  <c r="R518" i="58"/>
  <c r="R456" i="58"/>
  <c r="R342" i="58"/>
  <c r="R350" i="58"/>
  <c r="R478" i="58"/>
  <c r="R374" i="58"/>
  <c r="R326" i="58"/>
  <c r="R390" i="58"/>
  <c r="R502" i="58"/>
  <c r="V505" i="58"/>
  <c r="V489" i="58"/>
  <c r="T376" i="58"/>
  <c r="T344" i="58"/>
  <c r="V324" i="58"/>
  <c r="V292" i="58"/>
  <c r="V473" i="58"/>
  <c r="V457" i="58"/>
  <c r="T488" i="58"/>
  <c r="T448" i="58"/>
  <c r="V284" i="58"/>
  <c r="V492" i="58"/>
  <c r="J557" i="35"/>
  <c r="V449" i="58"/>
  <c r="V433" i="58"/>
  <c r="T424" i="58"/>
  <c r="T392" i="58"/>
  <c r="V476" i="58"/>
  <c r="V444" i="58"/>
  <c r="T336" i="58"/>
  <c r="T440" i="58"/>
  <c r="V417" i="58"/>
  <c r="V409" i="58"/>
  <c r="V388" i="58"/>
  <c r="V396" i="58"/>
  <c r="V377" i="58"/>
  <c r="V361" i="58"/>
  <c r="T416" i="58"/>
  <c r="V356" i="58"/>
  <c r="V332" i="58"/>
  <c r="V345" i="58"/>
  <c r="V329" i="58"/>
  <c r="T384" i="58"/>
  <c r="T320" i="58"/>
  <c r="V516" i="58"/>
  <c r="V321" i="58"/>
  <c r="V305" i="58"/>
  <c r="T280" i="58"/>
  <c r="T504" i="58"/>
  <c r="V468" i="58"/>
  <c r="V436" i="58"/>
  <c r="T296" i="58"/>
  <c r="V401" i="58"/>
  <c r="V521" i="58"/>
  <c r="T472" i="58"/>
  <c r="V380" i="58"/>
  <c r="T368" i="58"/>
  <c r="V497" i="58"/>
  <c r="T304" i="58"/>
  <c r="T312" i="58"/>
  <c r="V340" i="58"/>
  <c r="V308" i="58"/>
  <c r="V481" i="58"/>
  <c r="V465" i="58"/>
  <c r="T520" i="58"/>
  <c r="T464" i="58"/>
  <c r="V300" i="58"/>
  <c r="V508" i="58"/>
  <c r="V441" i="58"/>
  <c r="V425" i="58"/>
  <c r="T408" i="58"/>
  <c r="T360" i="58"/>
  <c r="V460" i="58"/>
  <c r="V428" i="58"/>
  <c r="V513" i="58"/>
  <c r="T456" i="58"/>
  <c r="V281" i="58"/>
  <c r="V289" i="58"/>
  <c r="V372" i="58"/>
  <c r="V412" i="58"/>
  <c r="T328" i="58"/>
  <c r="U19" i="35"/>
  <c r="U362" i="35"/>
  <c r="X539" i="58"/>
  <c r="X541" i="58"/>
  <c r="U192" i="35"/>
  <c r="U448" i="35"/>
  <c r="AX59" i="58"/>
  <c r="X61" i="58"/>
  <c r="T397" i="35"/>
  <c r="T137" i="35"/>
  <c r="U305" i="35"/>
  <c r="T303" i="35"/>
  <c r="X145" i="58"/>
  <c r="X122" i="58"/>
  <c r="U75" i="35"/>
  <c r="S196" i="35"/>
  <c r="K196" i="35"/>
  <c r="AK527" i="58"/>
  <c r="X239" i="58"/>
  <c r="AX217" i="58"/>
  <c r="AX207" i="58"/>
  <c r="AK179" i="58"/>
  <c r="X178" i="58"/>
  <c r="X188" i="58"/>
  <c r="X169" i="58"/>
  <c r="M169" i="58"/>
  <c r="N169" i="58"/>
  <c r="X218" i="58"/>
  <c r="X208" i="58"/>
  <c r="AX189" i="58"/>
  <c r="AK247" i="58"/>
  <c r="AK256" i="58"/>
  <c r="AX237" i="58"/>
  <c r="AX227" i="58"/>
  <c r="AK208" i="58"/>
  <c r="X217" i="58"/>
  <c r="X207" i="58"/>
  <c r="X266" i="58"/>
  <c r="X238" i="58"/>
  <c r="X228" i="58"/>
  <c r="AX218" i="58"/>
  <c r="AK188" i="58"/>
  <c r="AK178" i="58"/>
  <c r="AK266" i="58"/>
  <c r="AX266" i="58"/>
  <c r="AX247" i="58"/>
  <c r="AX256" i="58"/>
  <c r="AK189" i="58"/>
  <c r="AK228" i="58"/>
  <c r="X237" i="58"/>
  <c r="X227" i="58"/>
  <c r="X257" i="58"/>
  <c r="X267" i="58"/>
  <c r="AX179" i="58"/>
  <c r="AK217" i="58"/>
  <c r="AK207" i="58"/>
  <c r="X199" i="58"/>
  <c r="M199" i="58"/>
  <c r="AX188" i="58"/>
  <c r="AX178" i="58"/>
  <c r="AK218" i="58"/>
  <c r="X247" i="58"/>
  <c r="X256" i="58"/>
  <c r="X179" i="58"/>
  <c r="X189" i="58"/>
  <c r="AX208" i="58"/>
  <c r="AX228" i="58"/>
  <c r="AK237" i="58"/>
  <c r="AK227" i="58"/>
  <c r="AC546" i="58"/>
  <c r="AK546" i="58"/>
  <c r="J483" i="35"/>
  <c r="T176" i="35"/>
  <c r="AP163" i="58"/>
  <c r="X540" i="58"/>
  <c r="T309" i="35"/>
  <c r="X527" i="58"/>
  <c r="J173" i="35"/>
  <c r="T483" i="35"/>
  <c r="AK198" i="58"/>
  <c r="AR162" i="58"/>
  <c r="T173" i="35"/>
  <c r="R288" i="58"/>
  <c r="T651" i="35"/>
  <c r="AI162" i="58"/>
  <c r="AC204" i="58"/>
  <c r="O146" i="35"/>
  <c r="P546" i="58"/>
  <c r="R162" i="58"/>
  <c r="R159" i="58"/>
  <c r="X180" i="58"/>
  <c r="X258" i="58"/>
  <c r="X219" i="58"/>
  <c r="X524" i="58"/>
  <c r="R200" i="58"/>
  <c r="X209" i="58"/>
  <c r="X229" i="58"/>
  <c r="AP546" i="58"/>
  <c r="AX546" i="58"/>
  <c r="X248" i="58"/>
  <c r="X268" i="58"/>
  <c r="J190" i="35"/>
  <c r="R204" i="58"/>
  <c r="X170" i="58"/>
  <c r="X190" i="58"/>
  <c r="X128" i="58"/>
  <c r="M128" i="58"/>
  <c r="N128" i="58"/>
  <c r="X148" i="58"/>
  <c r="AX61" i="58"/>
  <c r="AK61" i="58"/>
  <c r="X36" i="58"/>
  <c r="X20" i="58"/>
  <c r="U571" i="35"/>
  <c r="U311" i="35"/>
  <c r="T391" i="35"/>
  <c r="O477" i="35"/>
  <c r="P152" i="35"/>
  <c r="AP153" i="58"/>
  <c r="S584" i="35"/>
  <c r="K498" i="35"/>
  <c r="AC155" i="58"/>
  <c r="I669" i="35"/>
  <c r="V158" i="58"/>
  <c r="Q152" i="35"/>
  <c r="AR153" i="58"/>
  <c r="M238" i="35"/>
  <c r="L584" i="35"/>
  <c r="K412" i="35"/>
  <c r="AC154" i="58"/>
  <c r="N669" i="35"/>
  <c r="AI158" i="58"/>
  <c r="R584" i="35"/>
  <c r="M152" i="35"/>
  <c r="AG153" i="58"/>
  <c r="I66" i="35"/>
  <c r="V152" i="58"/>
  <c r="L238" i="35"/>
  <c r="S669" i="35"/>
  <c r="AV158" i="58"/>
  <c r="Q498" i="35"/>
  <c r="AR155" i="58"/>
  <c r="H324" i="35"/>
  <c r="T157" i="58"/>
  <c r="T240" i="35"/>
  <c r="AX81" i="58"/>
  <c r="AG168" i="58"/>
  <c r="R456" i="35"/>
  <c r="M196" i="35"/>
  <c r="K456" i="35"/>
  <c r="AC535" i="58"/>
  <c r="O51" i="35"/>
  <c r="U20" i="35"/>
  <c r="AG53" i="58"/>
  <c r="H498" i="35"/>
  <c r="T155" i="58"/>
  <c r="H66" i="35"/>
  <c r="T152" i="58"/>
  <c r="AR75" i="58"/>
  <c r="L324" i="35"/>
  <c r="AE157" i="58"/>
  <c r="N152" i="35"/>
  <c r="AI153" i="58"/>
  <c r="M324" i="35"/>
  <c r="AG157" i="58"/>
  <c r="AR84" i="58"/>
  <c r="J414" i="35"/>
  <c r="T68" i="35"/>
  <c r="AR66" i="58"/>
  <c r="N238" i="35"/>
  <c r="T654" i="35"/>
  <c r="X124" i="58"/>
  <c r="X85" i="58"/>
  <c r="M85" i="58"/>
  <c r="U169" i="35"/>
  <c r="AK36" i="58"/>
  <c r="Q584" i="35"/>
  <c r="I412" i="35"/>
  <c r="V154" i="58"/>
  <c r="AP168" i="58"/>
  <c r="X12" i="58"/>
  <c r="T154" i="35"/>
  <c r="AK50" i="58"/>
  <c r="AX50" i="58"/>
  <c r="AK51" i="58"/>
  <c r="AX51" i="58"/>
  <c r="O569" i="35"/>
  <c r="AV168" i="58"/>
  <c r="U656" i="35"/>
  <c r="AX541" i="58"/>
  <c r="AK148" i="58"/>
  <c r="AK126" i="58"/>
  <c r="AK524" i="58"/>
  <c r="AX147" i="58"/>
  <c r="AK125" i="58"/>
  <c r="AX72" i="58"/>
  <c r="X28" i="58"/>
  <c r="AK44" i="58"/>
  <c r="AX123" i="58"/>
  <c r="AK123" i="58"/>
  <c r="AK124" i="58"/>
  <c r="AX122" i="58"/>
  <c r="X126" i="58"/>
  <c r="M126" i="58"/>
  <c r="N126" i="58"/>
  <c r="AK541" i="58"/>
  <c r="AK199" i="58"/>
  <c r="AX199" i="58"/>
  <c r="AK539" i="58"/>
  <c r="X147" i="58"/>
  <c r="AX146" i="58"/>
  <c r="AK146" i="58"/>
  <c r="AX148" i="58"/>
  <c r="AK128" i="58"/>
  <c r="AX124" i="58"/>
  <c r="AX145" i="58"/>
  <c r="AK145" i="58"/>
  <c r="AX524" i="58"/>
  <c r="X150" i="58"/>
  <c r="M150" i="58"/>
  <c r="AK147" i="58"/>
  <c r="AX128" i="58"/>
  <c r="AX125" i="58"/>
  <c r="AK149" i="58"/>
  <c r="AX149" i="58"/>
  <c r="AX527" i="58"/>
  <c r="X125" i="58"/>
  <c r="M125" i="58"/>
  <c r="AK122" i="58"/>
  <c r="AX126" i="58"/>
  <c r="AK540" i="58"/>
  <c r="AX539" i="58"/>
  <c r="AX540" i="58"/>
  <c r="R496" i="58"/>
  <c r="U47" i="35"/>
  <c r="J471" i="35"/>
  <c r="U565" i="35"/>
  <c r="U219" i="35"/>
  <c r="U650" i="35"/>
  <c r="AX190" i="58"/>
  <c r="AK238" i="58"/>
  <c r="AX531" i="58"/>
  <c r="AX229" i="58"/>
  <c r="AX258" i="58"/>
  <c r="AX267" i="58"/>
  <c r="AX180" i="58"/>
  <c r="AX268" i="58"/>
  <c r="AX248" i="58"/>
  <c r="AX239" i="58"/>
  <c r="AK239" i="58"/>
  <c r="AK190" i="58"/>
  <c r="AK209" i="58"/>
  <c r="AK229" i="58"/>
  <c r="AX257" i="58"/>
  <c r="AX169" i="58"/>
  <c r="AK257" i="58"/>
  <c r="AK219" i="58"/>
  <c r="AK258" i="58"/>
  <c r="AX209" i="58"/>
  <c r="AK248" i="58"/>
  <c r="AK170" i="58"/>
  <c r="AX170" i="58"/>
  <c r="AX219" i="58"/>
  <c r="AX238" i="58"/>
  <c r="AK169" i="58"/>
  <c r="AK267" i="58"/>
  <c r="AK180" i="58"/>
  <c r="AK268" i="58"/>
  <c r="AX530" i="58"/>
  <c r="AX198" i="58"/>
  <c r="AX120" i="58"/>
  <c r="AK110" i="58"/>
  <c r="AK102" i="58"/>
  <c r="AK28" i="58"/>
  <c r="X44" i="58"/>
  <c r="AK118" i="58"/>
  <c r="AX212" i="58"/>
  <c r="AK94" i="58"/>
  <c r="AK20" i="58"/>
  <c r="X251" i="58"/>
  <c r="AK12" i="58"/>
  <c r="X143" i="58"/>
  <c r="X210" i="58"/>
  <c r="AK4" i="58"/>
  <c r="O217" i="35"/>
  <c r="U393" i="35"/>
  <c r="AI412" i="62"/>
  <c r="AI414" i="62"/>
  <c r="AI400" i="62"/>
  <c r="T500" i="35"/>
  <c r="U61" i="35"/>
  <c r="T671" i="35"/>
  <c r="J671" i="35"/>
  <c r="J586" i="35"/>
  <c r="Q627" i="35"/>
  <c r="P24" i="35"/>
  <c r="AP532" i="58"/>
  <c r="M456" i="35"/>
  <c r="L110" i="35"/>
  <c r="N627" i="35"/>
  <c r="Q196" i="35"/>
  <c r="K282" i="35"/>
  <c r="L456" i="35"/>
  <c r="R627" i="35"/>
  <c r="P627" i="35"/>
  <c r="AP538" i="58"/>
  <c r="S627" i="35"/>
  <c r="N196" i="35"/>
  <c r="Q24" i="35"/>
  <c r="Q370" i="35"/>
  <c r="T284" i="35"/>
  <c r="T372" i="35"/>
  <c r="T198" i="35"/>
  <c r="T544" i="35"/>
  <c r="O26" i="35"/>
  <c r="O372" i="35"/>
  <c r="T112" i="35"/>
  <c r="O284" i="35"/>
  <c r="O458" i="35"/>
  <c r="T458" i="35"/>
  <c r="O112" i="35"/>
  <c r="O544" i="35"/>
  <c r="T26" i="35"/>
  <c r="T629" i="35"/>
  <c r="O629" i="35"/>
  <c r="O198" i="35"/>
  <c r="J500" i="35"/>
  <c r="J68" i="35"/>
  <c r="T586" i="35"/>
  <c r="J326" i="35"/>
  <c r="O154" i="35"/>
  <c r="O500" i="35"/>
  <c r="N66" i="35"/>
  <c r="AI152" i="58"/>
  <c r="O240" i="35"/>
  <c r="O326" i="35"/>
  <c r="O414" i="35"/>
  <c r="O586" i="35"/>
  <c r="O671" i="35"/>
  <c r="O68" i="35"/>
  <c r="U166" i="35"/>
  <c r="R337" i="58"/>
  <c r="T525" i="35"/>
  <c r="U53" i="35"/>
  <c r="AG166" i="58"/>
  <c r="J51" i="35"/>
  <c r="O309" i="35"/>
  <c r="X56" i="58"/>
  <c r="AE162" i="58"/>
  <c r="J176" i="35"/>
  <c r="O223" i="35"/>
  <c r="T569" i="35"/>
  <c r="U165" i="35"/>
  <c r="AE107" i="58"/>
  <c r="R513" i="58"/>
  <c r="U178" i="35"/>
  <c r="U147" i="35"/>
  <c r="U251" i="35"/>
  <c r="R433" i="58"/>
  <c r="U333" i="35"/>
  <c r="T162" i="58"/>
  <c r="U139" i="35"/>
  <c r="V166" i="58"/>
  <c r="O397" i="35"/>
  <c r="U399" i="35"/>
  <c r="O654" i="35"/>
  <c r="R312" i="58"/>
  <c r="R384" i="58"/>
  <c r="AE164" i="58"/>
  <c r="R360" i="58"/>
  <c r="R328" i="58"/>
  <c r="J621" i="35"/>
  <c r="U623" i="35"/>
  <c r="R520" i="58"/>
  <c r="U218" i="35"/>
  <c r="U664" i="35"/>
  <c r="U461" i="35"/>
  <c r="U287" i="35"/>
  <c r="U378" i="35"/>
  <c r="U507" i="35"/>
  <c r="AC251" i="58"/>
  <c r="AK251" i="58"/>
  <c r="AP186" i="58"/>
  <c r="AP254" i="58"/>
  <c r="AP12" i="58"/>
  <c r="AX12" i="58"/>
  <c r="AP4" i="58"/>
  <c r="AX4" i="58"/>
  <c r="U132" i="35"/>
  <c r="X424" i="62"/>
  <c r="X423" i="62"/>
  <c r="U247" i="35"/>
  <c r="U368" i="35"/>
  <c r="R445" i="58"/>
  <c r="U400" i="35"/>
  <c r="U440" i="35"/>
  <c r="J690" i="35"/>
  <c r="U690" i="35"/>
  <c r="P58" i="58"/>
  <c r="X58" i="58"/>
  <c r="BN58" i="58"/>
  <c r="T696" i="35"/>
  <c r="T439" i="35"/>
  <c r="AG66" i="58"/>
  <c r="U526" i="35"/>
  <c r="X410" i="62"/>
  <c r="X417" i="62"/>
  <c r="X406" i="62"/>
  <c r="X405" i="62"/>
  <c r="X397" i="62"/>
  <c r="X420" i="62"/>
  <c r="X413" i="62"/>
  <c r="X402" i="62"/>
  <c r="X419" i="62"/>
  <c r="X416" i="62"/>
  <c r="X409" i="62"/>
  <c r="X399" i="62"/>
  <c r="X415" i="62"/>
  <c r="U17" i="35"/>
  <c r="X398" i="62"/>
  <c r="X418" i="62"/>
  <c r="X407" i="62"/>
  <c r="X404" i="62"/>
  <c r="X411" i="62"/>
  <c r="X421" i="62"/>
  <c r="AC215" i="58"/>
  <c r="U375" i="35"/>
  <c r="O111" i="35"/>
  <c r="J628" i="35"/>
  <c r="M110" i="35"/>
  <c r="O371" i="35"/>
  <c r="O197" i="35"/>
  <c r="J25" i="35"/>
  <c r="O25" i="35"/>
  <c r="T283" i="35"/>
  <c r="T111" i="35"/>
  <c r="O628" i="35"/>
  <c r="T628" i="35"/>
  <c r="O283" i="35"/>
  <c r="T457" i="35"/>
  <c r="J111" i="35"/>
  <c r="J282" i="35"/>
  <c r="O543" i="35"/>
  <c r="J371" i="35"/>
  <c r="O457" i="35"/>
  <c r="J283" i="35"/>
  <c r="T371" i="35"/>
  <c r="T25" i="35"/>
  <c r="J543" i="35"/>
  <c r="J457" i="35"/>
  <c r="J542" i="35"/>
  <c r="T197" i="35"/>
  <c r="T543" i="35"/>
  <c r="J197" i="35"/>
  <c r="U697" i="35"/>
  <c r="U674" i="35"/>
  <c r="U204" i="35"/>
  <c r="U421" i="35"/>
  <c r="U449" i="35"/>
  <c r="O391" i="35"/>
  <c r="T486" i="58"/>
  <c r="U160" i="35"/>
  <c r="U118" i="35"/>
  <c r="U635" i="35"/>
  <c r="T398" i="58"/>
  <c r="U201" i="35"/>
  <c r="AC293" i="58"/>
  <c r="AC176" i="58"/>
  <c r="U290" i="35"/>
  <c r="U464" i="35"/>
  <c r="R243" i="58"/>
  <c r="X243" i="58"/>
  <c r="AC245" i="58"/>
  <c r="R263" i="58"/>
  <c r="R233" i="58"/>
  <c r="X233" i="58"/>
  <c r="U29" i="35"/>
  <c r="AC225" i="58"/>
  <c r="U163" i="35"/>
  <c r="AC254" i="58"/>
  <c r="O439" i="35"/>
  <c r="U157" i="35"/>
  <c r="AC212" i="58"/>
  <c r="U213" i="35"/>
  <c r="J18" i="35"/>
  <c r="U417" i="35"/>
  <c r="U216" i="35"/>
  <c r="AC173" i="58"/>
  <c r="R464" i="58"/>
  <c r="U243" i="35"/>
  <c r="T185" i="58"/>
  <c r="T244" i="58"/>
  <c r="T195" i="58"/>
  <c r="T214" i="58"/>
  <c r="R177" i="58"/>
  <c r="R255" i="58"/>
  <c r="R187" i="58"/>
  <c r="R246" i="58"/>
  <c r="R275" i="58"/>
  <c r="R265" i="58"/>
  <c r="R197" i="58"/>
  <c r="R216" i="58"/>
  <c r="R226" i="58"/>
  <c r="R236" i="58"/>
  <c r="J633" i="35"/>
  <c r="U633" i="35"/>
  <c r="T253" i="58"/>
  <c r="T273" i="58"/>
  <c r="AC222" i="58"/>
  <c r="T510" i="58"/>
  <c r="R488" i="58"/>
  <c r="R408" i="58"/>
  <c r="R336" i="58"/>
  <c r="R440" i="58"/>
  <c r="AE111" i="58"/>
  <c r="AC183" i="58"/>
  <c r="AC232" i="58"/>
  <c r="AC271" i="58"/>
  <c r="T422" i="58"/>
  <c r="T342" i="58"/>
  <c r="R320" i="58"/>
  <c r="R344" i="58"/>
  <c r="R368" i="58"/>
  <c r="R376" i="58"/>
  <c r="R448" i="58"/>
  <c r="R352" i="58"/>
  <c r="R304" i="58"/>
  <c r="R432" i="58"/>
  <c r="U103" i="35"/>
  <c r="T387" i="58"/>
  <c r="U632" i="35"/>
  <c r="T234" i="58"/>
  <c r="T224" i="58"/>
  <c r="T175" i="58"/>
  <c r="R174" i="58"/>
  <c r="X174" i="58"/>
  <c r="R252" i="58"/>
  <c r="R184" i="58"/>
  <c r="X184" i="58"/>
  <c r="R262" i="58"/>
  <c r="X262" i="58"/>
  <c r="R213" i="58"/>
  <c r="X213" i="58"/>
  <c r="R272" i="58"/>
  <c r="R194" i="58"/>
  <c r="R223" i="58"/>
  <c r="T177" i="58"/>
  <c r="J630" i="35"/>
  <c r="T187" i="58"/>
  <c r="T236" i="58"/>
  <c r="T216" i="58"/>
  <c r="T275" i="58"/>
  <c r="T255" i="58"/>
  <c r="T246" i="58"/>
  <c r="T226" i="58"/>
  <c r="T265" i="58"/>
  <c r="T197" i="58"/>
  <c r="AE119" i="58"/>
  <c r="AC261" i="58"/>
  <c r="T406" i="58"/>
  <c r="R392" i="58"/>
  <c r="R504" i="58"/>
  <c r="R512" i="58"/>
  <c r="U506" i="35"/>
  <c r="AC193" i="58"/>
  <c r="AC242" i="58"/>
  <c r="T334" i="58"/>
  <c r="R480" i="58"/>
  <c r="R416" i="58"/>
  <c r="R472" i="58"/>
  <c r="R400" i="58"/>
  <c r="R280" i="58"/>
  <c r="R296" i="58"/>
  <c r="R424" i="58"/>
  <c r="T263" i="58"/>
  <c r="U363" i="35"/>
  <c r="AR69" i="58"/>
  <c r="U433" i="35"/>
  <c r="AE106" i="58"/>
  <c r="AE91" i="58"/>
  <c r="R517" i="58"/>
  <c r="T451" i="58"/>
  <c r="T291" i="58"/>
  <c r="AP235" i="58"/>
  <c r="AP215" i="58"/>
  <c r="U32" i="35"/>
  <c r="U115" i="35"/>
  <c r="AE114" i="58"/>
  <c r="AE98" i="58"/>
  <c r="R333" i="58"/>
  <c r="T459" i="58"/>
  <c r="T515" i="58"/>
  <c r="U74" i="35"/>
  <c r="AE99" i="58"/>
  <c r="AE115" i="58"/>
  <c r="R397" i="58"/>
  <c r="T395" i="58"/>
  <c r="AP176" i="58"/>
  <c r="U392" i="35"/>
  <c r="U304" i="35"/>
  <c r="U649" i="35"/>
  <c r="T414" i="58"/>
  <c r="T494" i="58"/>
  <c r="T350" i="58"/>
  <c r="T318" i="58"/>
  <c r="T310" i="58"/>
  <c r="T430" i="58"/>
  <c r="T286" i="58"/>
  <c r="AC301" i="58"/>
  <c r="R281" i="58"/>
  <c r="R297" i="58"/>
  <c r="T502" i="58"/>
  <c r="T446" i="58"/>
  <c r="T294" i="58"/>
  <c r="T366" i="58"/>
  <c r="T390" i="58"/>
  <c r="T518" i="58"/>
  <c r="T302" i="58"/>
  <c r="R457" i="58"/>
  <c r="R369" i="58"/>
  <c r="T374" i="58"/>
  <c r="T278" i="58"/>
  <c r="T438" i="58"/>
  <c r="T326" i="58"/>
  <c r="T382" i="58"/>
  <c r="T478" i="58"/>
  <c r="R313" i="58"/>
  <c r="U41" i="35"/>
  <c r="U121" i="35"/>
  <c r="R377" i="58"/>
  <c r="R521" i="58"/>
  <c r="R481" i="58"/>
  <c r="R329" i="58"/>
  <c r="R385" i="58"/>
  <c r="R505" i="58"/>
  <c r="R305" i="58"/>
  <c r="R361" i="58"/>
  <c r="R393" i="58"/>
  <c r="R321" i="58"/>
  <c r="R497" i="58"/>
  <c r="R489" i="58"/>
  <c r="R441" i="58"/>
  <c r="R425" i="58"/>
  <c r="R465" i="58"/>
  <c r="R289" i="58"/>
  <c r="R449" i="58"/>
  <c r="R473" i="58"/>
  <c r="R401" i="58"/>
  <c r="R345" i="58"/>
  <c r="R417" i="58"/>
  <c r="R409" i="58"/>
  <c r="J205" i="35"/>
  <c r="U302" i="35"/>
  <c r="U390" i="35"/>
  <c r="U478" i="35"/>
  <c r="J563" i="35"/>
  <c r="U564" i="35"/>
  <c r="U473" i="35"/>
  <c r="R501" i="58"/>
  <c r="R325" i="58"/>
  <c r="T483" i="58"/>
  <c r="T427" i="58"/>
  <c r="T331" i="58"/>
  <c r="T339" i="58"/>
  <c r="R381" i="58"/>
  <c r="T435" i="58"/>
  <c r="R477" i="58"/>
  <c r="R453" i="58"/>
  <c r="R413" i="58"/>
  <c r="R389" i="58"/>
  <c r="T411" i="58"/>
  <c r="T419" i="58"/>
  <c r="T307" i="58"/>
  <c r="T363" i="58"/>
  <c r="T347" i="58"/>
  <c r="T499" i="58"/>
  <c r="U553" i="35"/>
  <c r="R437" i="58"/>
  <c r="R461" i="58"/>
  <c r="R309" i="58"/>
  <c r="T379" i="58"/>
  <c r="T323" i="58"/>
  <c r="T299" i="58"/>
  <c r="T371" i="58"/>
  <c r="T507" i="58"/>
  <c r="T475" i="58"/>
  <c r="U387" i="35"/>
  <c r="U35" i="35"/>
  <c r="U550" i="35"/>
  <c r="T462" i="35"/>
  <c r="AP184" i="58"/>
  <c r="AP213" i="58"/>
  <c r="AP233" i="58"/>
  <c r="AP252" i="58"/>
  <c r="AP272" i="58"/>
  <c r="AX272" i="58"/>
  <c r="AP174" i="58"/>
  <c r="AP194" i="58"/>
  <c r="AP223" i="58"/>
  <c r="AP243" i="58"/>
  <c r="AP262" i="58"/>
  <c r="O288" i="35"/>
  <c r="AC274" i="58"/>
  <c r="AC186" i="58"/>
  <c r="AC235" i="58"/>
  <c r="AC264" i="58"/>
  <c r="T630" i="35"/>
  <c r="AP246" i="58"/>
  <c r="AP197" i="58"/>
  <c r="AP275" i="58"/>
  <c r="AX275" i="58"/>
  <c r="AP236" i="58"/>
  <c r="AP187" i="58"/>
  <c r="AP265" i="58"/>
  <c r="AP226" i="58"/>
  <c r="AP177" i="58"/>
  <c r="AP255" i="58"/>
  <c r="AP216" i="58"/>
  <c r="AC269" i="58"/>
  <c r="AC181" i="58"/>
  <c r="AC210" i="58"/>
  <c r="AC230" i="58"/>
  <c r="AC249" i="58"/>
  <c r="AC171" i="58"/>
  <c r="AC191" i="58"/>
  <c r="AC220" i="58"/>
  <c r="AC240" i="58"/>
  <c r="AK240" i="58"/>
  <c r="AC259" i="58"/>
  <c r="O27" i="35"/>
  <c r="U27" i="35"/>
  <c r="T30" i="35"/>
  <c r="AP269" i="58"/>
  <c r="AX269" i="58"/>
  <c r="AP181" i="58"/>
  <c r="AX181" i="58"/>
  <c r="AP210" i="58"/>
  <c r="AX210" i="58"/>
  <c r="AP230" i="58"/>
  <c r="AX230" i="58"/>
  <c r="AP249" i="58"/>
  <c r="AX249" i="58"/>
  <c r="AP171" i="58"/>
  <c r="AX171" i="58"/>
  <c r="AP191" i="58"/>
  <c r="AX191" i="58"/>
  <c r="AP220" i="58"/>
  <c r="AX220" i="58"/>
  <c r="AP240" i="58"/>
  <c r="AX240" i="58"/>
  <c r="AP259" i="58"/>
  <c r="AX259" i="58"/>
  <c r="U202" i="35"/>
  <c r="R264" i="58"/>
  <c r="R254" i="58"/>
  <c r="R176" i="58"/>
  <c r="J285" i="35"/>
  <c r="R225" i="58"/>
  <c r="R235" i="58"/>
  <c r="R274" i="58"/>
  <c r="R215" i="58"/>
  <c r="R245" i="58"/>
  <c r="R196" i="58"/>
  <c r="X196" i="58"/>
  <c r="R186" i="58"/>
  <c r="U547" i="35"/>
  <c r="O459" i="35"/>
  <c r="AC184" i="58"/>
  <c r="AK184" i="58"/>
  <c r="AC213" i="58"/>
  <c r="AK213" i="58"/>
  <c r="AC233" i="58"/>
  <c r="AK233" i="58"/>
  <c r="AC252" i="58"/>
  <c r="AK252" i="58"/>
  <c r="AC272" i="58"/>
  <c r="AK272" i="58"/>
  <c r="AC174" i="58"/>
  <c r="AK174" i="58"/>
  <c r="AC194" i="58"/>
  <c r="AK194" i="58"/>
  <c r="AC223" i="58"/>
  <c r="AK223" i="58"/>
  <c r="AC243" i="58"/>
  <c r="AK243" i="58"/>
  <c r="AC262" i="58"/>
  <c r="AK262" i="58"/>
  <c r="R253" i="58"/>
  <c r="R214" i="58"/>
  <c r="R244" i="58"/>
  <c r="J199" i="35"/>
  <c r="R224" i="58"/>
  <c r="R273" i="58"/>
  <c r="R185" i="58"/>
  <c r="R175" i="58"/>
  <c r="R234" i="58"/>
  <c r="R195" i="58"/>
  <c r="T199" i="35"/>
  <c r="AP263" i="58"/>
  <c r="AX263" i="58"/>
  <c r="AP224" i="58"/>
  <c r="AP175" i="58"/>
  <c r="AP253" i="58"/>
  <c r="AP214" i="58"/>
  <c r="AP244" i="58"/>
  <c r="AP195" i="58"/>
  <c r="AP273" i="58"/>
  <c r="AP234" i="58"/>
  <c r="AP185" i="58"/>
  <c r="T288" i="35"/>
  <c r="AP196" i="58"/>
  <c r="AP264" i="58"/>
  <c r="AP245" i="58"/>
  <c r="AP225" i="58"/>
  <c r="AC172" i="58"/>
  <c r="AK172" i="58"/>
  <c r="AC192" i="58"/>
  <c r="AK192" i="58"/>
  <c r="AC221" i="58"/>
  <c r="AK221" i="58"/>
  <c r="AC241" i="58"/>
  <c r="AK241" i="58"/>
  <c r="AC260" i="58"/>
  <c r="AK260" i="58"/>
  <c r="AC270" i="58"/>
  <c r="AK270" i="58"/>
  <c r="O113" i="35"/>
  <c r="AC182" i="58"/>
  <c r="AK182" i="58"/>
  <c r="AC211" i="58"/>
  <c r="AK211" i="58"/>
  <c r="AC231" i="58"/>
  <c r="AK231" i="58"/>
  <c r="AC250" i="58"/>
  <c r="AK250" i="58"/>
  <c r="AP270" i="58"/>
  <c r="AP172" i="58"/>
  <c r="AP192" i="58"/>
  <c r="AP221" i="58"/>
  <c r="AP241" i="58"/>
  <c r="AP260" i="58"/>
  <c r="T116" i="35"/>
  <c r="AP182" i="58"/>
  <c r="AP211" i="58"/>
  <c r="AX211" i="58"/>
  <c r="AP231" i="58"/>
  <c r="AP250" i="58"/>
  <c r="O630" i="35"/>
  <c r="AC255" i="58"/>
  <c r="AK255" i="58"/>
  <c r="AC216" i="58"/>
  <c r="AK216" i="58"/>
  <c r="AC246" i="58"/>
  <c r="AK246" i="58"/>
  <c r="AC197" i="58"/>
  <c r="AK197" i="58"/>
  <c r="AC275" i="58"/>
  <c r="AK275" i="58"/>
  <c r="AC236" i="58"/>
  <c r="AK236" i="58"/>
  <c r="AC187" i="58"/>
  <c r="AK187" i="58"/>
  <c r="AC265" i="58"/>
  <c r="AK265" i="58"/>
  <c r="AC226" i="58"/>
  <c r="AK226" i="58"/>
  <c r="AC177" i="58"/>
  <c r="AK177" i="58"/>
  <c r="O199" i="35"/>
  <c r="AC273" i="58"/>
  <c r="AC234" i="58"/>
  <c r="AC185" i="58"/>
  <c r="AC263" i="58"/>
  <c r="AC224" i="58"/>
  <c r="AC175" i="58"/>
  <c r="AC253" i="58"/>
  <c r="AC214" i="58"/>
  <c r="AC244" i="58"/>
  <c r="AC195" i="58"/>
  <c r="U46" i="35"/>
  <c r="U246" i="35"/>
  <c r="U677" i="35"/>
  <c r="U592" i="35"/>
  <c r="AP111" i="58"/>
  <c r="AP103" i="58"/>
  <c r="T244" i="35"/>
  <c r="AP119" i="58"/>
  <c r="R121" i="58"/>
  <c r="X121" i="58"/>
  <c r="R105" i="58"/>
  <c r="X105" i="58"/>
  <c r="R97" i="58"/>
  <c r="X97" i="58"/>
  <c r="R113" i="58"/>
  <c r="X113" i="58"/>
  <c r="J675" i="35"/>
  <c r="AR114" i="58"/>
  <c r="AR115" i="58"/>
  <c r="AX115" i="58"/>
  <c r="AR98" i="58"/>
  <c r="AR99" i="58"/>
  <c r="AR90" i="58"/>
  <c r="AR91" i="58"/>
  <c r="AR106" i="58"/>
  <c r="AR107" i="58"/>
  <c r="T72" i="35"/>
  <c r="U329" i="35"/>
  <c r="U71" i="35"/>
  <c r="R80" i="58"/>
  <c r="X80" i="58"/>
  <c r="R89" i="58"/>
  <c r="R71" i="58"/>
  <c r="U589" i="35"/>
  <c r="U503" i="35"/>
  <c r="T501" i="35"/>
  <c r="AP77" i="58"/>
  <c r="AP86" i="58"/>
  <c r="AE78" i="58"/>
  <c r="U452" i="35"/>
  <c r="AE87" i="58"/>
  <c r="AE69" i="58"/>
  <c r="U293" i="35"/>
  <c r="U56" i="35"/>
  <c r="U228" i="35"/>
  <c r="U312" i="35"/>
  <c r="U488" i="35"/>
  <c r="U572" i="35"/>
  <c r="U314" i="35"/>
  <c r="U226" i="35"/>
  <c r="U402" i="35"/>
  <c r="R165" i="58"/>
  <c r="J657" i="35"/>
  <c r="U65" i="35"/>
  <c r="U668" i="35"/>
  <c r="U151" i="35"/>
  <c r="U583" i="35"/>
  <c r="P132" i="58"/>
  <c r="O153" i="35"/>
  <c r="U323" i="35"/>
  <c r="O585" i="35"/>
  <c r="U665" i="35"/>
  <c r="J499" i="35"/>
  <c r="T239" i="35"/>
  <c r="U580" i="35"/>
  <c r="U62" i="35"/>
  <c r="J670" i="35"/>
  <c r="U234" i="35"/>
  <c r="O499" i="35"/>
  <c r="J239" i="35"/>
  <c r="U577" i="35"/>
  <c r="O670" i="35"/>
  <c r="T585" i="35"/>
  <c r="O325" i="35"/>
  <c r="J413" i="35"/>
  <c r="U59" i="35"/>
  <c r="O413" i="35"/>
  <c r="U148" i="35"/>
  <c r="P134" i="58"/>
  <c r="J325" i="35"/>
  <c r="U145" i="35"/>
  <c r="P135" i="58"/>
  <c r="J585" i="35"/>
  <c r="J67" i="35"/>
  <c r="J153" i="35"/>
  <c r="P133" i="58"/>
  <c r="T153" i="35"/>
  <c r="O239" i="35"/>
  <c r="P498" i="35"/>
  <c r="AP155" i="58"/>
  <c r="K66" i="35"/>
  <c r="AC152" i="58"/>
  <c r="O67" i="35"/>
  <c r="P130" i="58"/>
  <c r="U659" i="35"/>
  <c r="U142" i="35"/>
  <c r="U476" i="35"/>
  <c r="U189" i="35"/>
  <c r="U620" i="35"/>
  <c r="U405" i="35"/>
  <c r="U207" i="35"/>
  <c r="U332" i="35"/>
  <c r="U644" i="35"/>
  <c r="U130" i="35"/>
  <c r="U559" i="35"/>
  <c r="U127" i="35"/>
  <c r="U497" i="35"/>
  <c r="U237" i="35"/>
  <c r="U84" i="35"/>
  <c r="U172" i="35"/>
  <c r="U678" i="35"/>
  <c r="U533" i="35"/>
  <c r="U535" i="35"/>
  <c r="U538" i="35"/>
  <c r="U366" i="35"/>
  <c r="T18" i="35"/>
  <c r="U278" i="35"/>
  <c r="U106" i="35"/>
  <c r="T364" i="35"/>
  <c r="J104" i="35"/>
  <c r="T104" i="35"/>
  <c r="J276" i="35"/>
  <c r="T536" i="35"/>
  <c r="U108" i="35"/>
  <c r="U179" i="35"/>
  <c r="U177" i="35"/>
  <c r="U337" i="35"/>
  <c r="T315" i="58"/>
  <c r="T467" i="58"/>
  <c r="T403" i="58"/>
  <c r="T283" i="58"/>
  <c r="T491" i="58"/>
  <c r="T355" i="58"/>
  <c r="O578" i="35"/>
  <c r="AC165" i="58"/>
  <c r="AK165" i="58"/>
  <c r="O486" i="35"/>
  <c r="U486" i="35"/>
  <c r="U411" i="35"/>
  <c r="U381" i="35"/>
  <c r="U299" i="35"/>
  <c r="AP20" i="58"/>
  <c r="AX20" i="58"/>
  <c r="AP36" i="58"/>
  <c r="AX36" i="58"/>
  <c r="AP44" i="58"/>
  <c r="AX44" i="58"/>
  <c r="AP28" i="58"/>
  <c r="AX28" i="58"/>
  <c r="T403" i="35"/>
  <c r="U647" i="35"/>
  <c r="R283" i="58"/>
  <c r="R515" i="58"/>
  <c r="R507" i="58"/>
  <c r="R363" i="58"/>
  <c r="R307" i="58"/>
  <c r="R299" i="58"/>
  <c r="R499" i="58"/>
  <c r="R467" i="58"/>
  <c r="R379" i="58"/>
  <c r="R419" i="58"/>
  <c r="R291" i="58"/>
  <c r="R331" i="58"/>
  <c r="R523" i="58"/>
  <c r="R387" i="58"/>
  <c r="R347" i="58"/>
  <c r="R443" i="58"/>
  <c r="R411" i="58"/>
  <c r="R339" i="58"/>
  <c r="R403" i="58"/>
  <c r="R323" i="58"/>
  <c r="R435" i="58"/>
  <c r="R315" i="58"/>
  <c r="R483" i="58"/>
  <c r="R355" i="58"/>
  <c r="R459" i="58"/>
  <c r="J636" i="35"/>
  <c r="R395" i="58"/>
  <c r="R427" i="58"/>
  <c r="R451" i="58"/>
  <c r="R371" i="58"/>
  <c r="R491" i="58"/>
  <c r="R475" i="58"/>
  <c r="O104" i="35"/>
  <c r="U467" i="35"/>
  <c r="O465" i="35"/>
  <c r="AC288" i="58"/>
  <c r="AC320" i="58"/>
  <c r="AC336" i="58"/>
  <c r="AC368" i="58"/>
  <c r="AK368" i="58"/>
  <c r="AC400" i="58"/>
  <c r="AC432" i="58"/>
  <c r="AC464" i="58"/>
  <c r="AC496" i="58"/>
  <c r="AC296" i="58"/>
  <c r="AC312" i="58"/>
  <c r="AK312" i="58"/>
  <c r="AC328" i="58"/>
  <c r="AC344" i="58"/>
  <c r="AC360" i="58"/>
  <c r="AC376" i="58"/>
  <c r="AC392" i="58"/>
  <c r="AC408" i="58"/>
  <c r="AC424" i="58"/>
  <c r="AC440" i="58"/>
  <c r="AC456" i="58"/>
  <c r="AC472" i="58"/>
  <c r="AC488" i="58"/>
  <c r="AC504" i="58"/>
  <c r="AC304" i="58"/>
  <c r="AK304" i="58"/>
  <c r="AC352" i="58"/>
  <c r="AC384" i="58"/>
  <c r="AC416" i="58"/>
  <c r="AC448" i="58"/>
  <c r="AK448" i="58"/>
  <c r="AC480" i="58"/>
  <c r="AC512" i="58"/>
  <c r="AK512" i="58"/>
  <c r="AC520" i="58"/>
  <c r="AC280" i="58"/>
  <c r="J54" i="35"/>
  <c r="AP160" i="58"/>
  <c r="AX160" i="58"/>
  <c r="T54" i="35"/>
  <c r="T318" i="35"/>
  <c r="T581" i="35"/>
  <c r="T663" i="35"/>
  <c r="U562" i="35"/>
  <c r="T250" i="35"/>
  <c r="U250" i="35"/>
  <c r="O244" i="35"/>
  <c r="T406" i="35"/>
  <c r="U662" i="35"/>
  <c r="U140" i="35"/>
  <c r="O379" i="35"/>
  <c r="T291" i="35"/>
  <c r="AP314" i="58"/>
  <c r="AP322" i="58"/>
  <c r="AP306" i="58"/>
  <c r="AP346" i="58"/>
  <c r="AP378" i="58"/>
  <c r="AP410" i="58"/>
  <c r="AP498" i="58"/>
  <c r="AP466" i="58"/>
  <c r="AP434" i="58"/>
  <c r="AP282" i="58"/>
  <c r="AP402" i="58"/>
  <c r="AP474" i="58"/>
  <c r="AP338" i="58"/>
  <c r="AP330" i="58"/>
  <c r="AP354" i="58"/>
  <c r="AP386" i="58"/>
  <c r="AP522" i="58"/>
  <c r="AP490" i="58"/>
  <c r="AP458" i="58"/>
  <c r="AP426" i="58"/>
  <c r="AP370" i="58"/>
  <c r="AP506" i="58"/>
  <c r="AP442" i="58"/>
  <c r="AP298" i="58"/>
  <c r="AP290" i="58"/>
  <c r="AP362" i="58"/>
  <c r="AP394" i="58"/>
  <c r="AP514" i="58"/>
  <c r="AP482" i="58"/>
  <c r="AP450" i="58"/>
  <c r="AP418" i="58"/>
  <c r="U320" i="35"/>
  <c r="O69" i="35"/>
  <c r="AE74" i="58"/>
  <c r="AE59" i="58"/>
  <c r="AK59" i="58"/>
  <c r="AE83" i="58"/>
  <c r="AE81" i="58"/>
  <c r="AK81" i="58"/>
  <c r="AE65" i="58"/>
  <c r="AE72" i="58"/>
  <c r="AK72" i="58"/>
  <c r="J379" i="35"/>
  <c r="AC322" i="58"/>
  <c r="AC306" i="58"/>
  <c r="AC346" i="58"/>
  <c r="AC378" i="58"/>
  <c r="AC410" i="58"/>
  <c r="AC498" i="58"/>
  <c r="AC466" i="58"/>
  <c r="AC434" i="58"/>
  <c r="AC298" i="58"/>
  <c r="AC330" i="58"/>
  <c r="AC506" i="58"/>
  <c r="AC442" i="58"/>
  <c r="AC282" i="58"/>
  <c r="AC338" i="58"/>
  <c r="AC290" i="58"/>
  <c r="AC314" i="58"/>
  <c r="AC354" i="58"/>
  <c r="AC386" i="58"/>
  <c r="AC522" i="58"/>
  <c r="AC490" i="58"/>
  <c r="AC458" i="58"/>
  <c r="AC426" i="58"/>
  <c r="AC370" i="58"/>
  <c r="AC402" i="58"/>
  <c r="AC474" i="58"/>
  <c r="AC418" i="58"/>
  <c r="AC362" i="58"/>
  <c r="AC394" i="58"/>
  <c r="AC514" i="58"/>
  <c r="AC482" i="58"/>
  <c r="AC450" i="58"/>
  <c r="O291" i="35"/>
  <c r="O276" i="35"/>
  <c r="R117" i="58"/>
  <c r="R93" i="58"/>
  <c r="J418" i="35"/>
  <c r="R109" i="58"/>
  <c r="R101" i="58"/>
  <c r="O229" i="35"/>
  <c r="T470" i="58"/>
  <c r="T358" i="58"/>
  <c r="J125" i="35"/>
  <c r="T205" i="35"/>
  <c r="AP505" i="58"/>
  <c r="AP473" i="58"/>
  <c r="AP441" i="58"/>
  <c r="AP409" i="58"/>
  <c r="AP377" i="58"/>
  <c r="AP345" i="58"/>
  <c r="AP313" i="58"/>
  <c r="AP281" i="58"/>
  <c r="AP385" i="58"/>
  <c r="AP321" i="58"/>
  <c r="AP497" i="58"/>
  <c r="AP465" i="58"/>
  <c r="AP433" i="58"/>
  <c r="AP401" i="58"/>
  <c r="AP369" i="58"/>
  <c r="AP337" i="58"/>
  <c r="AP305" i="58"/>
  <c r="AP513" i="58"/>
  <c r="AP481" i="58"/>
  <c r="AP449" i="58"/>
  <c r="AP353" i="58"/>
  <c r="AP521" i="58"/>
  <c r="AP489" i="58"/>
  <c r="AP457" i="58"/>
  <c r="AP425" i="58"/>
  <c r="AP393" i="58"/>
  <c r="AP361" i="58"/>
  <c r="AP329" i="58"/>
  <c r="AP297" i="58"/>
  <c r="AP417" i="58"/>
  <c r="AP289" i="58"/>
  <c r="AP164" i="58"/>
  <c r="AE66" i="58"/>
  <c r="AE84" i="58"/>
  <c r="O155" i="35"/>
  <c r="AG78" i="58"/>
  <c r="O241" i="35"/>
  <c r="AG87" i="58"/>
  <c r="T170" i="35"/>
  <c r="T409" i="35"/>
  <c r="AP280" i="58"/>
  <c r="T471" i="35"/>
  <c r="J364" i="35"/>
  <c r="U491" i="35"/>
  <c r="U494" i="35"/>
  <c r="AC163" i="58"/>
  <c r="J273" i="35"/>
  <c r="T462" i="58"/>
  <c r="AC112" i="58"/>
  <c r="AC120" i="58"/>
  <c r="O330" i="35"/>
  <c r="AC104" i="58"/>
  <c r="AC96" i="58"/>
  <c r="AP307" i="58"/>
  <c r="AP339" i="58"/>
  <c r="AP371" i="58"/>
  <c r="AP403" i="58"/>
  <c r="AP435" i="58"/>
  <c r="AP467" i="58"/>
  <c r="AP523" i="58"/>
  <c r="AP491" i="58"/>
  <c r="AP363" i="58"/>
  <c r="AP459" i="58"/>
  <c r="AP499" i="58"/>
  <c r="AP283" i="58"/>
  <c r="AP315" i="58"/>
  <c r="AP347" i="58"/>
  <c r="AP379" i="58"/>
  <c r="AP411" i="58"/>
  <c r="AP443" i="58"/>
  <c r="AP515" i="58"/>
  <c r="AP483" i="58"/>
  <c r="AP475" i="58"/>
  <c r="AP299" i="58"/>
  <c r="AP395" i="58"/>
  <c r="T642" i="35"/>
  <c r="AP291" i="58"/>
  <c r="AP323" i="58"/>
  <c r="AP355" i="58"/>
  <c r="AP387" i="58"/>
  <c r="AP419" i="58"/>
  <c r="AP451" i="58"/>
  <c r="AP507" i="58"/>
  <c r="AP331" i="58"/>
  <c r="AP427" i="58"/>
  <c r="J536" i="35"/>
  <c r="R493" i="58"/>
  <c r="R421" i="58"/>
  <c r="R429" i="58"/>
  <c r="R357" i="58"/>
  <c r="R365" i="58"/>
  <c r="R317" i="58"/>
  <c r="R277" i="58"/>
  <c r="R485" i="58"/>
  <c r="R293" i="58"/>
  <c r="R469" i="58"/>
  <c r="R349" i="58"/>
  <c r="R405" i="58"/>
  <c r="J33" i="35"/>
  <c r="R509" i="58"/>
  <c r="R341" i="58"/>
  <c r="R301" i="58"/>
  <c r="R285" i="58"/>
  <c r="U420" i="35"/>
  <c r="AC53" i="58"/>
  <c r="O173" i="35"/>
  <c r="AK56" i="58"/>
  <c r="U44" i="35"/>
  <c r="T523" i="58"/>
  <c r="J642" i="35"/>
  <c r="O557" i="35"/>
  <c r="AC516" i="58"/>
  <c r="AC484" i="58"/>
  <c r="AC452" i="58"/>
  <c r="AC420" i="58"/>
  <c r="AC388" i="58"/>
  <c r="AC356" i="58"/>
  <c r="AC324" i="58"/>
  <c r="AC292" i="58"/>
  <c r="AC396" i="58"/>
  <c r="AC332" i="58"/>
  <c r="AC508" i="58"/>
  <c r="AC476" i="58"/>
  <c r="AC444" i="58"/>
  <c r="AC412" i="58"/>
  <c r="AC380" i="58"/>
  <c r="AC348" i="58"/>
  <c r="AC316" i="58"/>
  <c r="AC284" i="58"/>
  <c r="AC492" i="58"/>
  <c r="AC460" i="58"/>
  <c r="AC364" i="58"/>
  <c r="AC500" i="58"/>
  <c r="AC468" i="58"/>
  <c r="AC436" i="58"/>
  <c r="AC404" i="58"/>
  <c r="AC372" i="58"/>
  <c r="AC340" i="58"/>
  <c r="AC308" i="58"/>
  <c r="AC276" i="58"/>
  <c r="AC428" i="58"/>
  <c r="AC300" i="58"/>
  <c r="O364" i="35"/>
  <c r="AR163" i="58"/>
  <c r="AP285" i="58"/>
  <c r="AP509" i="58"/>
  <c r="AP477" i="58"/>
  <c r="AP445" i="58"/>
  <c r="AP413" i="58"/>
  <c r="AP381" i="58"/>
  <c r="AP349" i="58"/>
  <c r="AP317" i="58"/>
  <c r="AP301" i="58"/>
  <c r="AP517" i="58"/>
  <c r="AP453" i="58"/>
  <c r="AP389" i="58"/>
  <c r="AP325" i="58"/>
  <c r="T39" i="35"/>
  <c r="AP277" i="58"/>
  <c r="AP501" i="58"/>
  <c r="AP469" i="58"/>
  <c r="AP437" i="58"/>
  <c r="AP405" i="58"/>
  <c r="AP373" i="58"/>
  <c r="AP341" i="58"/>
  <c r="AP309" i="58"/>
  <c r="AP485" i="58"/>
  <c r="AP421" i="58"/>
  <c r="AP357" i="58"/>
  <c r="AP293" i="58"/>
  <c r="AP493" i="58"/>
  <c r="AP461" i="58"/>
  <c r="AP429" i="58"/>
  <c r="AP397" i="58"/>
  <c r="AP365" i="58"/>
  <c r="AP333" i="58"/>
  <c r="O660" i="35"/>
  <c r="O119" i="35"/>
  <c r="AC278" i="58"/>
  <c r="AC366" i="58"/>
  <c r="AC358" i="58"/>
  <c r="AC518" i="58"/>
  <c r="AC398" i="58"/>
  <c r="AC430" i="58"/>
  <c r="AC462" i="58"/>
  <c r="AC294" i="58"/>
  <c r="AC454" i="58"/>
  <c r="AC478" i="58"/>
  <c r="AC350" i="58"/>
  <c r="AC334" i="58"/>
  <c r="AC286" i="58"/>
  <c r="AC374" i="58"/>
  <c r="AC406" i="58"/>
  <c r="AC438" i="58"/>
  <c r="AC470" i="58"/>
  <c r="AC318" i="58"/>
  <c r="AC302" i="58"/>
  <c r="AC390" i="58"/>
  <c r="AC422" i="58"/>
  <c r="AC502" i="58"/>
  <c r="AC342" i="58"/>
  <c r="AC310" i="58"/>
  <c r="AC326" i="58"/>
  <c r="AC494" i="58"/>
  <c r="AC382" i="58"/>
  <c r="AC414" i="58"/>
  <c r="AC446" i="58"/>
  <c r="AC486" i="58"/>
  <c r="AC510" i="58"/>
  <c r="AC501" i="58"/>
  <c r="AC469" i="58"/>
  <c r="AC437" i="58"/>
  <c r="AC405" i="58"/>
  <c r="AC373" i="58"/>
  <c r="AC341" i="58"/>
  <c r="AC309" i="58"/>
  <c r="AC477" i="58"/>
  <c r="AC413" i="58"/>
  <c r="AC349" i="58"/>
  <c r="AC493" i="58"/>
  <c r="AC461" i="58"/>
  <c r="AC429" i="58"/>
  <c r="AC397" i="58"/>
  <c r="AC365" i="58"/>
  <c r="AC333" i="58"/>
  <c r="AC509" i="58"/>
  <c r="AC445" i="58"/>
  <c r="AC381" i="58"/>
  <c r="AC317" i="58"/>
  <c r="AC517" i="58"/>
  <c r="AC485" i="58"/>
  <c r="AC453" i="58"/>
  <c r="AC421" i="58"/>
  <c r="AC389" i="58"/>
  <c r="AC357" i="58"/>
  <c r="AC325" i="58"/>
  <c r="AC277" i="58"/>
  <c r="O39" i="35"/>
  <c r="U275" i="35"/>
  <c r="U317" i="35"/>
  <c r="U174" i="35"/>
  <c r="R163" i="58"/>
  <c r="O495" i="35"/>
  <c r="AP166" i="58"/>
  <c r="R168" i="58"/>
  <c r="AR94" i="58"/>
  <c r="AR118" i="58"/>
  <c r="AR102" i="58"/>
  <c r="AR110" i="58"/>
  <c r="T504" i="35"/>
  <c r="R108" i="58"/>
  <c r="R100" i="58"/>
  <c r="X100" i="58"/>
  <c r="R92" i="58"/>
  <c r="R116" i="58"/>
  <c r="J158" i="35"/>
  <c r="R78" i="58"/>
  <c r="R69" i="58"/>
  <c r="R87" i="58"/>
  <c r="J587" i="35"/>
  <c r="T489" i="35"/>
  <c r="T660" i="35"/>
  <c r="J101" i="35"/>
  <c r="AC467" i="58"/>
  <c r="AC435" i="58"/>
  <c r="AC403" i="58"/>
  <c r="AC371" i="58"/>
  <c r="AC339" i="58"/>
  <c r="AC307" i="58"/>
  <c r="AC507" i="58"/>
  <c r="AC443" i="58"/>
  <c r="AC379" i="58"/>
  <c r="AC283" i="58"/>
  <c r="AC515" i="58"/>
  <c r="AC483" i="58"/>
  <c r="AC459" i="58"/>
  <c r="AC427" i="58"/>
  <c r="AC395" i="58"/>
  <c r="AC363" i="58"/>
  <c r="AC331" i="58"/>
  <c r="AC299" i="58"/>
  <c r="AC499" i="58"/>
  <c r="AC347" i="58"/>
  <c r="AC451" i="58"/>
  <c r="AC419" i="58"/>
  <c r="AC387" i="58"/>
  <c r="AC355" i="58"/>
  <c r="AC323" i="58"/>
  <c r="AC291" i="58"/>
  <c r="AC523" i="58"/>
  <c r="AC491" i="58"/>
  <c r="AC475" i="58"/>
  <c r="AC411" i="58"/>
  <c r="AC315" i="58"/>
  <c r="J551" i="35"/>
  <c r="T289" i="58"/>
  <c r="T281" i="58"/>
  <c r="T441" i="58"/>
  <c r="T497" i="58"/>
  <c r="T481" i="58"/>
  <c r="T465" i="58"/>
  <c r="T417" i="58"/>
  <c r="T388" i="58"/>
  <c r="T420" i="58"/>
  <c r="T380" i="58"/>
  <c r="T404" i="58"/>
  <c r="T364" i="58"/>
  <c r="T396" i="58"/>
  <c r="T348" i="58"/>
  <c r="T372" i="58"/>
  <c r="T313" i="58"/>
  <c r="T425" i="58"/>
  <c r="T489" i="58"/>
  <c r="T468" i="58"/>
  <c r="T476" i="58"/>
  <c r="T460" i="58"/>
  <c r="T428" i="58"/>
  <c r="T436" i="58"/>
  <c r="T433" i="58"/>
  <c r="T353" i="58"/>
  <c r="T401" i="58"/>
  <c r="T457" i="58"/>
  <c r="T369" i="58"/>
  <c r="T393" i="58"/>
  <c r="T337" i="58"/>
  <c r="T329" i="58"/>
  <c r="T332" i="58"/>
  <c r="T356" i="58"/>
  <c r="T308" i="58"/>
  <c r="T340" i="58"/>
  <c r="T292" i="58"/>
  <c r="T324" i="58"/>
  <c r="T276" i="58"/>
  <c r="T316" i="58"/>
  <c r="T345" i="58"/>
  <c r="T305" i="58"/>
  <c r="T444" i="58"/>
  <c r="T452" i="58"/>
  <c r="T505" i="58"/>
  <c r="T513" i="58"/>
  <c r="T473" i="58"/>
  <c r="T449" i="58"/>
  <c r="T409" i="58"/>
  <c r="T321" i="58"/>
  <c r="T377" i="58"/>
  <c r="T521" i="58"/>
  <c r="T516" i="58"/>
  <c r="T300" i="58"/>
  <c r="T500" i="58"/>
  <c r="T284" i="58"/>
  <c r="T492" i="58"/>
  <c r="T508" i="58"/>
  <c r="T484" i="58"/>
  <c r="T385" i="58"/>
  <c r="T361" i="58"/>
  <c r="T297" i="58"/>
  <c r="T412" i="58"/>
  <c r="U408" i="35"/>
  <c r="AP500" i="58"/>
  <c r="AP468" i="58"/>
  <c r="AP436" i="58"/>
  <c r="AP404" i="58"/>
  <c r="AP372" i="58"/>
  <c r="AP340" i="58"/>
  <c r="AP308" i="58"/>
  <c r="AP276" i="58"/>
  <c r="AP444" i="58"/>
  <c r="AP348" i="58"/>
  <c r="AP284" i="58"/>
  <c r="T551" i="35"/>
  <c r="AP492" i="58"/>
  <c r="AP460" i="58"/>
  <c r="AP428" i="58"/>
  <c r="AP396" i="58"/>
  <c r="AP364" i="58"/>
  <c r="AP332" i="58"/>
  <c r="AP300" i="58"/>
  <c r="AP508" i="58"/>
  <c r="AP380" i="58"/>
  <c r="AP516" i="58"/>
  <c r="AP484" i="58"/>
  <c r="AP452" i="58"/>
  <c r="AP420" i="58"/>
  <c r="AP388" i="58"/>
  <c r="AP356" i="58"/>
  <c r="AP324" i="58"/>
  <c r="AP292" i="58"/>
  <c r="AP476" i="58"/>
  <c r="AP412" i="58"/>
  <c r="AP316" i="58"/>
  <c r="O190" i="35"/>
  <c r="O409" i="35"/>
  <c r="J403" i="35"/>
  <c r="AE168" i="58"/>
  <c r="O657" i="35"/>
  <c r="O205" i="35"/>
  <c r="AC513" i="58"/>
  <c r="AC481" i="58"/>
  <c r="AC449" i="58"/>
  <c r="AC417" i="58"/>
  <c r="AC385" i="58"/>
  <c r="AC353" i="58"/>
  <c r="AC321" i="58"/>
  <c r="AC289" i="58"/>
  <c r="AC361" i="58"/>
  <c r="AC297" i="58"/>
  <c r="AC505" i="58"/>
  <c r="AC473" i="58"/>
  <c r="AC441" i="58"/>
  <c r="AC409" i="58"/>
  <c r="AC377" i="58"/>
  <c r="AC345" i="58"/>
  <c r="AC313" i="58"/>
  <c r="AC281" i="58"/>
  <c r="AC425" i="58"/>
  <c r="AC497" i="58"/>
  <c r="AC465" i="58"/>
  <c r="AC433" i="58"/>
  <c r="AC401" i="58"/>
  <c r="AC369" i="58"/>
  <c r="AC337" i="58"/>
  <c r="AC305" i="58"/>
  <c r="AC521" i="58"/>
  <c r="AC489" i="58"/>
  <c r="AC457" i="58"/>
  <c r="AC393" i="58"/>
  <c r="AC329" i="58"/>
  <c r="T465" i="35"/>
  <c r="AP288" i="58"/>
  <c r="AP304" i="58"/>
  <c r="AP320" i="58"/>
  <c r="AP336" i="58"/>
  <c r="AP352" i="58"/>
  <c r="AP368" i="58"/>
  <c r="AP384" i="58"/>
  <c r="AP400" i="58"/>
  <c r="AP416" i="58"/>
  <c r="AP432" i="58"/>
  <c r="AP448" i="58"/>
  <c r="AP464" i="58"/>
  <c r="AP480" i="58"/>
  <c r="AP496" i="58"/>
  <c r="AP512" i="58"/>
  <c r="AP520" i="58"/>
  <c r="AP296" i="58"/>
  <c r="AP312" i="58"/>
  <c r="AP328" i="58"/>
  <c r="AP344" i="58"/>
  <c r="AP360" i="58"/>
  <c r="AP376" i="58"/>
  <c r="AP392" i="58"/>
  <c r="AP408" i="58"/>
  <c r="AP424" i="58"/>
  <c r="AP440" i="58"/>
  <c r="AP456" i="58"/>
  <c r="AP472" i="58"/>
  <c r="AP488" i="58"/>
  <c r="AP504" i="58"/>
  <c r="U638" i="35"/>
  <c r="U231" i="35"/>
  <c r="R66" i="58"/>
  <c r="J161" i="35"/>
  <c r="AR108" i="58"/>
  <c r="AR92" i="58"/>
  <c r="AR116" i="58"/>
  <c r="AR100" i="58"/>
  <c r="T158" i="35"/>
  <c r="J489" i="35"/>
  <c r="T492" i="35"/>
  <c r="U574" i="35"/>
  <c r="AP286" i="58"/>
  <c r="T119" i="35"/>
  <c r="AP318" i="58"/>
  <c r="AP334" i="58"/>
  <c r="AP510" i="58"/>
  <c r="AP374" i="58"/>
  <c r="AP406" i="58"/>
  <c r="AP438" i="58"/>
  <c r="AP470" i="58"/>
  <c r="AP366" i="58"/>
  <c r="AP398" i="58"/>
  <c r="AP462" i="58"/>
  <c r="AP326" i="58"/>
  <c r="AP302" i="58"/>
  <c r="AP518" i="58"/>
  <c r="AP342" i="58"/>
  <c r="AP382" i="58"/>
  <c r="AP414" i="58"/>
  <c r="AP446" i="58"/>
  <c r="AP486" i="58"/>
  <c r="AP278" i="58"/>
  <c r="AP358" i="58"/>
  <c r="AP494" i="58"/>
  <c r="AP430" i="58"/>
  <c r="AP294" i="58"/>
  <c r="AP350" i="58"/>
  <c r="AP478" i="58"/>
  <c r="AP390" i="58"/>
  <c r="AP422" i="58"/>
  <c r="AP454" i="58"/>
  <c r="AP502" i="58"/>
  <c r="U79" i="35"/>
  <c r="U609" i="35"/>
  <c r="U527" i="35"/>
  <c r="U441" i="35"/>
  <c r="U613" i="35"/>
  <c r="O611" i="35"/>
  <c r="U698" i="35"/>
  <c r="T611" i="35"/>
  <c r="AR87" i="58"/>
  <c r="U599" i="35"/>
  <c r="U593" i="35"/>
  <c r="U539" i="35"/>
  <c r="J196" i="35"/>
  <c r="J456" i="35"/>
  <c r="J627" i="35"/>
  <c r="J370" i="35"/>
  <c r="J110" i="35"/>
  <c r="J24" i="35"/>
  <c r="J345" i="35"/>
  <c r="U345" i="35"/>
  <c r="P57" i="58"/>
  <c r="X57" i="58"/>
  <c r="BN57" i="58"/>
  <c r="AR70" i="58"/>
  <c r="AR79" i="58"/>
  <c r="AR88" i="58"/>
  <c r="T336" i="35"/>
  <c r="U336" i="35"/>
  <c r="J696" i="35"/>
  <c r="V71" i="58"/>
  <c r="U694" i="35"/>
  <c r="V69" i="58"/>
  <c r="P60" i="58"/>
  <c r="X60" i="58"/>
  <c r="P83" i="58"/>
  <c r="P82" i="58"/>
  <c r="X82" i="58"/>
  <c r="P74" i="58"/>
  <c r="P65" i="58"/>
  <c r="J78" i="35"/>
  <c r="P73" i="58"/>
  <c r="U519" i="35"/>
  <c r="U684" i="35"/>
  <c r="U523" i="35"/>
  <c r="P75" i="58"/>
  <c r="P66" i="58"/>
  <c r="J164" i="35"/>
  <c r="P84" i="58"/>
  <c r="U339" i="35"/>
  <c r="O78" i="35"/>
  <c r="AC82" i="58"/>
  <c r="AK82" i="58"/>
  <c r="AC73" i="58"/>
  <c r="AK73" i="58"/>
  <c r="AC74" i="58"/>
  <c r="AC65" i="58"/>
  <c r="AC60" i="58"/>
  <c r="AK60" i="58"/>
  <c r="AC83" i="58"/>
  <c r="O522" i="35"/>
  <c r="AC68" i="58"/>
  <c r="AT73" i="58"/>
  <c r="AX73" i="58"/>
  <c r="T78" i="35"/>
  <c r="AT83" i="58"/>
  <c r="AX83" i="58"/>
  <c r="AT74" i="58"/>
  <c r="AX74" i="58"/>
  <c r="AT60" i="58"/>
  <c r="AX60" i="58"/>
  <c r="AT65" i="58"/>
  <c r="AX65" i="58"/>
  <c r="AT82" i="58"/>
  <c r="AX82" i="58"/>
  <c r="T436" i="35"/>
  <c r="AP67" i="58"/>
  <c r="P67" i="58"/>
  <c r="J436" i="35"/>
  <c r="AP68" i="58"/>
  <c r="T522" i="35"/>
  <c r="T693" i="35"/>
  <c r="AP71" i="58"/>
  <c r="U437" i="35"/>
  <c r="AI67" i="58"/>
  <c r="J522" i="35"/>
  <c r="P68" i="58"/>
  <c r="O693" i="35"/>
  <c r="AC71" i="58"/>
  <c r="P69" i="58"/>
  <c r="J608" i="35"/>
  <c r="T608" i="35"/>
  <c r="AV69" i="58"/>
  <c r="U138" i="35"/>
  <c r="U310" i="35"/>
  <c r="U224" i="35"/>
  <c r="U570" i="35"/>
  <c r="U398" i="35"/>
  <c r="U52" i="35"/>
  <c r="J654" i="35"/>
  <c r="T168" i="58"/>
  <c r="U655" i="35"/>
  <c r="AG163" i="58"/>
  <c r="O137" i="35"/>
  <c r="T223" i="35"/>
  <c r="AT166" i="58"/>
  <c r="U567" i="35"/>
  <c r="U481" i="35"/>
  <c r="U49" i="35"/>
  <c r="AC141" i="58"/>
  <c r="U395" i="35"/>
  <c r="AP141" i="58"/>
  <c r="U307" i="35"/>
  <c r="U221" i="35"/>
  <c r="U135" i="35"/>
  <c r="P140" i="58"/>
  <c r="X140" i="58"/>
  <c r="J480" i="35"/>
  <c r="U652" i="35"/>
  <c r="AP142" i="58"/>
  <c r="T306" i="35"/>
  <c r="AP138" i="58"/>
  <c r="T134" i="35"/>
  <c r="AC142" i="58"/>
  <c r="O306" i="35"/>
  <c r="P138" i="58"/>
  <c r="X138" i="58"/>
  <c r="J134" i="35"/>
  <c r="J220" i="35"/>
  <c r="P141" i="58"/>
  <c r="X141" i="58"/>
  <c r="O394" i="35"/>
  <c r="AC139" i="58"/>
  <c r="U280" i="35"/>
  <c r="U22" i="35"/>
  <c r="J21" i="35"/>
  <c r="U21" i="35"/>
  <c r="T193" i="35"/>
  <c r="U625" i="35"/>
  <c r="O193" i="35"/>
  <c r="U454" i="35"/>
  <c r="U194" i="35"/>
  <c r="U540" i="35"/>
  <c r="J624" i="35"/>
  <c r="U624" i="35"/>
  <c r="O107" i="35"/>
  <c r="T367" i="35"/>
  <c r="J453" i="35"/>
  <c r="J193" i="35"/>
  <c r="O367" i="35"/>
  <c r="T453" i="35"/>
  <c r="J107" i="35"/>
  <c r="O453" i="35"/>
  <c r="U373" i="35"/>
  <c r="T325" i="35"/>
  <c r="AK328" i="58"/>
  <c r="AX112" i="58"/>
  <c r="T67" i="35"/>
  <c r="R158" i="58"/>
  <c r="AK288" i="58"/>
  <c r="X272" i="58"/>
  <c r="BN272" i="58"/>
  <c r="X252" i="58"/>
  <c r="AK376" i="58"/>
  <c r="AK320" i="58"/>
  <c r="X194" i="58"/>
  <c r="AK496" i="58"/>
  <c r="AX214" i="58"/>
  <c r="R132" i="58"/>
  <c r="AX150" i="58"/>
  <c r="AK504" i="58"/>
  <c r="AC156" i="58"/>
  <c r="AI156" i="58"/>
  <c r="AK352" i="58"/>
  <c r="AK344" i="58"/>
  <c r="AK432" i="58"/>
  <c r="AK384" i="58"/>
  <c r="AK488" i="58"/>
  <c r="AK296" i="58"/>
  <c r="AE156" i="58"/>
  <c r="R156" i="58"/>
  <c r="AG156" i="58"/>
  <c r="AV156" i="58"/>
  <c r="T156" i="58"/>
  <c r="AR156" i="58"/>
  <c r="AP156" i="58"/>
  <c r="V156" i="58"/>
  <c r="X109" i="58"/>
  <c r="T499" i="35"/>
  <c r="U499" i="35"/>
  <c r="AC158" i="58"/>
  <c r="AV152" i="58"/>
  <c r="AK424" i="58"/>
  <c r="AK360" i="58"/>
  <c r="AK400" i="58"/>
  <c r="AT156" i="58"/>
  <c r="R130" i="58"/>
  <c r="R153" i="58"/>
  <c r="BN64" i="58"/>
  <c r="AK480" i="58"/>
  <c r="AK472" i="58"/>
  <c r="AK520" i="58"/>
  <c r="AK440" i="58"/>
  <c r="X223" i="58"/>
  <c r="X535" i="58"/>
  <c r="AK113" i="58"/>
  <c r="AK408" i="58"/>
  <c r="AK456" i="58"/>
  <c r="AK464" i="58"/>
  <c r="AK416" i="58"/>
  <c r="AK280" i="58"/>
  <c r="AK392" i="58"/>
  <c r="AK336" i="58"/>
  <c r="X117" i="58"/>
  <c r="AX108" i="58"/>
  <c r="AK105" i="58"/>
  <c r="AX110" i="58"/>
  <c r="BN110" i="58"/>
  <c r="AX106" i="58"/>
  <c r="AK150" i="58"/>
  <c r="BN150" i="58"/>
  <c r="V531" i="58"/>
  <c r="X531" i="58"/>
  <c r="X108" i="58"/>
  <c r="AX118" i="58"/>
  <c r="BN118" i="58"/>
  <c r="U544" i="35"/>
  <c r="AK121" i="58"/>
  <c r="AV535" i="58"/>
  <c r="AK138" i="58"/>
  <c r="AK143" i="58"/>
  <c r="AX358" i="58"/>
  <c r="X93" i="58"/>
  <c r="AR537" i="58"/>
  <c r="U566" i="35"/>
  <c r="AX350" i="58"/>
  <c r="AX414" i="58"/>
  <c r="U116" i="35"/>
  <c r="AX195" i="58"/>
  <c r="X225" i="58"/>
  <c r="AX273" i="58"/>
  <c r="AK222" i="58"/>
  <c r="BN222" i="58"/>
  <c r="AX182" i="58"/>
  <c r="BN182" i="58"/>
  <c r="AX221" i="58"/>
  <c r="BN221" i="58"/>
  <c r="AX224" i="58"/>
  <c r="AX255" i="58"/>
  <c r="AX184" i="58"/>
  <c r="BN184" i="58"/>
  <c r="X543" i="58"/>
  <c r="BN543" i="58"/>
  <c r="R134" i="58"/>
  <c r="U504" i="35"/>
  <c r="X101" i="58"/>
  <c r="AX231" i="58"/>
  <c r="BN231" i="58"/>
  <c r="X245" i="58"/>
  <c r="X264" i="58"/>
  <c r="AK220" i="58"/>
  <c r="BN220" i="58"/>
  <c r="AX265" i="58"/>
  <c r="X254" i="58"/>
  <c r="AX270" i="58"/>
  <c r="BN270" i="58"/>
  <c r="AX244" i="58"/>
  <c r="AX192" i="58"/>
  <c r="BN192" i="58"/>
  <c r="AX234" i="58"/>
  <c r="X186" i="58"/>
  <c r="AK242" i="58"/>
  <c r="BN242" i="58"/>
  <c r="AK271" i="58"/>
  <c r="BN271" i="58"/>
  <c r="U57" i="35"/>
  <c r="AX121" i="58"/>
  <c r="U30" i="35"/>
  <c r="AX197" i="58"/>
  <c r="AX174" i="58"/>
  <c r="BN174" i="58"/>
  <c r="U651" i="35"/>
  <c r="U232" i="35"/>
  <c r="U581" i="35"/>
  <c r="X166" i="58"/>
  <c r="X542" i="58"/>
  <c r="BN542" i="58"/>
  <c r="AX250" i="58"/>
  <c r="BN250" i="58"/>
  <c r="X274" i="58"/>
  <c r="X176" i="58"/>
  <c r="AX185" i="58"/>
  <c r="AK185" i="58"/>
  <c r="AX172" i="58"/>
  <c r="BN172" i="58"/>
  <c r="AX253" i="58"/>
  <c r="X235" i="58"/>
  <c r="AK173" i="58"/>
  <c r="BN173" i="58"/>
  <c r="AK100" i="58"/>
  <c r="AK97" i="58"/>
  <c r="AX105" i="58"/>
  <c r="U648" i="35"/>
  <c r="AG537" i="58"/>
  <c r="AX102" i="58"/>
  <c r="BN102" i="58"/>
  <c r="AK140" i="58"/>
  <c r="AK318" i="58"/>
  <c r="AX501" i="58"/>
  <c r="AV536" i="58"/>
  <c r="AK205" i="58"/>
  <c r="AX223" i="58"/>
  <c r="AX226" i="58"/>
  <c r="AX194" i="58"/>
  <c r="AX175" i="58"/>
  <c r="AX260" i="58"/>
  <c r="BN260" i="58"/>
  <c r="AX241" i="58"/>
  <c r="BN241" i="58"/>
  <c r="AK183" i="58"/>
  <c r="BN183" i="58"/>
  <c r="AX320" i="58"/>
  <c r="AX444" i="58"/>
  <c r="AX430" i="58"/>
  <c r="AX342" i="58"/>
  <c r="AX478" i="58"/>
  <c r="AX494" i="58"/>
  <c r="AX446" i="58"/>
  <c r="AX213" i="58"/>
  <c r="BN213" i="58"/>
  <c r="AK244" i="58"/>
  <c r="X215" i="58"/>
  <c r="AX243" i="58"/>
  <c r="BN243" i="58"/>
  <c r="AX233" i="58"/>
  <c r="BN233" i="58"/>
  <c r="AK193" i="58"/>
  <c r="BN193" i="58"/>
  <c r="AK232" i="58"/>
  <c r="BN232" i="58"/>
  <c r="U149" i="35"/>
  <c r="AX137" i="58"/>
  <c r="U294" i="35"/>
  <c r="AK108" i="58"/>
  <c r="AX486" i="58"/>
  <c r="AX438" i="58"/>
  <c r="AX334" i="58"/>
  <c r="U33" i="35"/>
  <c r="AX502" i="58"/>
  <c r="AX437" i="58"/>
  <c r="AX374" i="58"/>
  <c r="AX302" i="58"/>
  <c r="X341" i="58"/>
  <c r="AX278" i="58"/>
  <c r="AK273" i="58"/>
  <c r="AX236" i="58"/>
  <c r="X75" i="58"/>
  <c r="U60" i="35"/>
  <c r="AK141" i="58"/>
  <c r="AK137" i="58"/>
  <c r="U48" i="35"/>
  <c r="X538" i="58"/>
  <c r="X116" i="58"/>
  <c r="AX94" i="58"/>
  <c r="BN94" i="58"/>
  <c r="AK139" i="58"/>
  <c r="BN139" i="58"/>
  <c r="AI535" i="58"/>
  <c r="AK202" i="58"/>
  <c r="AX205" i="58"/>
  <c r="AX89" i="58"/>
  <c r="AK89" i="58"/>
  <c r="AX454" i="58"/>
  <c r="AX366" i="58"/>
  <c r="AX510" i="58"/>
  <c r="AX461" i="58"/>
  <c r="AX406" i="58"/>
  <c r="AX318" i="58"/>
  <c r="AK310" i="58"/>
  <c r="AK390" i="58"/>
  <c r="AK334" i="58"/>
  <c r="AK294" i="58"/>
  <c r="AX397" i="58"/>
  <c r="X548" i="58"/>
  <c r="BN548" i="58"/>
  <c r="U321" i="35"/>
  <c r="U146" i="35"/>
  <c r="X200" i="58"/>
  <c r="R133" i="58"/>
  <c r="U663" i="35"/>
  <c r="U636" i="35"/>
  <c r="AX262" i="58"/>
  <c r="BN262" i="58"/>
  <c r="U113" i="35"/>
  <c r="AK263" i="58"/>
  <c r="AX177" i="58"/>
  <c r="U450" i="35"/>
  <c r="U300" i="35"/>
  <c r="U315" i="35"/>
  <c r="AG129" i="58"/>
  <c r="R131" i="58"/>
  <c r="R129" i="58"/>
  <c r="X88" i="58"/>
  <c r="M88" i="58"/>
  <c r="U330" i="35"/>
  <c r="AK116" i="58"/>
  <c r="AX143" i="58"/>
  <c r="U143" i="35"/>
  <c r="AX138" i="58"/>
  <c r="AX140" i="58"/>
  <c r="AX408" i="58"/>
  <c r="U101" i="35"/>
  <c r="X68" i="58"/>
  <c r="U220" i="35"/>
  <c r="AK142" i="58"/>
  <c r="AX142" i="58"/>
  <c r="AX141" i="58"/>
  <c r="AX376" i="58"/>
  <c r="AX312" i="58"/>
  <c r="AX368" i="58"/>
  <c r="AK433" i="58"/>
  <c r="AK326" i="58"/>
  <c r="AX365" i="58"/>
  <c r="AX521" i="58"/>
  <c r="AX450" i="58"/>
  <c r="X437" i="58"/>
  <c r="AX412" i="58"/>
  <c r="AX246" i="58"/>
  <c r="AX252" i="58"/>
  <c r="AK253" i="58"/>
  <c r="AK261" i="58"/>
  <c r="BN261" i="58"/>
  <c r="AK212" i="58"/>
  <c r="BN212" i="58"/>
  <c r="AK234" i="58"/>
  <c r="AX187" i="58"/>
  <c r="X206" i="58"/>
  <c r="M206" i="58"/>
  <c r="AK200" i="58"/>
  <c r="AX200" i="58"/>
  <c r="AK201" i="58"/>
  <c r="AK206" i="58"/>
  <c r="BN206" i="58"/>
  <c r="U361" i="35"/>
  <c r="X79" i="58"/>
  <c r="M79" i="58"/>
  <c r="N79" i="58"/>
  <c r="U415" i="35"/>
  <c r="AX159" i="58"/>
  <c r="AX310" i="58"/>
  <c r="AX382" i="58"/>
  <c r="AX326" i="58"/>
  <c r="AX428" i="58"/>
  <c r="AX284" i="58"/>
  <c r="AK358" i="58"/>
  <c r="AX341" i="58"/>
  <c r="AX421" i="58"/>
  <c r="AX445" i="58"/>
  <c r="AX518" i="58"/>
  <c r="AX398" i="58"/>
  <c r="AX500" i="58"/>
  <c r="AX349" i="58"/>
  <c r="X381" i="58"/>
  <c r="X202" i="58"/>
  <c r="AX422" i="58"/>
  <c r="AX294" i="58"/>
  <c r="AX286" i="58"/>
  <c r="AX520" i="58"/>
  <c r="AX484" i="58"/>
  <c r="X454" i="58"/>
  <c r="AX390" i="58"/>
  <c r="AX462" i="58"/>
  <c r="AX333" i="58"/>
  <c r="AX373" i="58"/>
  <c r="AX505" i="58"/>
  <c r="AX328" i="58"/>
  <c r="AX512" i="58"/>
  <c r="AX384" i="58"/>
  <c r="AX516" i="58"/>
  <c r="AX460" i="58"/>
  <c r="AX389" i="58"/>
  <c r="AX280" i="58"/>
  <c r="AX305" i="58"/>
  <c r="AX385" i="58"/>
  <c r="AK298" i="58"/>
  <c r="AK410" i="58"/>
  <c r="AX493" i="58"/>
  <c r="AX277" i="58"/>
  <c r="AX477" i="58"/>
  <c r="AX449" i="58"/>
  <c r="AX485" i="58"/>
  <c r="AX309" i="58"/>
  <c r="AX381" i="58"/>
  <c r="AX509" i="58"/>
  <c r="U557" i="35"/>
  <c r="X293" i="58"/>
  <c r="AK290" i="58"/>
  <c r="U211" i="35"/>
  <c r="AX504" i="58"/>
  <c r="AX440" i="58"/>
  <c r="AX496" i="58"/>
  <c r="AX432" i="58"/>
  <c r="AX304" i="58"/>
  <c r="AX292" i="58"/>
  <c r="AX420" i="58"/>
  <c r="AX380" i="58"/>
  <c r="AX364" i="58"/>
  <c r="AX492" i="58"/>
  <c r="AX372" i="58"/>
  <c r="AK446" i="58"/>
  <c r="AK278" i="58"/>
  <c r="AX405" i="58"/>
  <c r="AX453" i="58"/>
  <c r="AX483" i="58"/>
  <c r="AX457" i="58"/>
  <c r="X418" i="58"/>
  <c r="AX488" i="58"/>
  <c r="AX480" i="58"/>
  <c r="X306" i="58"/>
  <c r="AX470" i="58"/>
  <c r="AX472" i="58"/>
  <c r="AX344" i="58"/>
  <c r="AX464" i="58"/>
  <c r="AK417" i="58"/>
  <c r="AX356" i="58"/>
  <c r="AK382" i="58"/>
  <c r="AX357" i="58"/>
  <c r="AX469" i="58"/>
  <c r="AX285" i="58"/>
  <c r="X490" i="58"/>
  <c r="X159" i="58"/>
  <c r="X167" i="58"/>
  <c r="U137" i="35"/>
  <c r="AX97" i="58"/>
  <c r="AX113" i="58"/>
  <c r="AX109" i="58"/>
  <c r="X92" i="58"/>
  <c r="X84" i="58"/>
  <c r="AX84" i="58"/>
  <c r="U666" i="35"/>
  <c r="AX360" i="58"/>
  <c r="AX416" i="58"/>
  <c r="AK313" i="58"/>
  <c r="AX316" i="58"/>
  <c r="AX404" i="58"/>
  <c r="AK403" i="58"/>
  <c r="AK460" i="58"/>
  <c r="AK292" i="58"/>
  <c r="AX429" i="58"/>
  <c r="AX413" i="58"/>
  <c r="AK498" i="58"/>
  <c r="U15" i="35"/>
  <c r="AT537" i="58"/>
  <c r="T542" i="35"/>
  <c r="X532" i="58"/>
  <c r="AK127" i="58"/>
  <c r="X127" i="58"/>
  <c r="M127" i="58"/>
  <c r="N127" i="58"/>
  <c r="AX127" i="58"/>
  <c r="X546" i="58"/>
  <c r="BN546" i="58"/>
  <c r="U187" i="35"/>
  <c r="R412" i="35"/>
  <c r="AT154" i="58"/>
  <c r="AK418" i="58"/>
  <c r="X322" i="58"/>
  <c r="AX383" i="58"/>
  <c r="AK254" i="58"/>
  <c r="AX254" i="58"/>
  <c r="AK204" i="58"/>
  <c r="U214" i="35"/>
  <c r="AK489" i="58"/>
  <c r="AX308" i="58"/>
  <c r="AK277" i="58"/>
  <c r="AX393" i="58"/>
  <c r="AK482" i="58"/>
  <c r="AK330" i="58"/>
  <c r="AX506" i="58"/>
  <c r="AX322" i="58"/>
  <c r="X402" i="58"/>
  <c r="X466" i="58"/>
  <c r="AK401" i="58"/>
  <c r="AX476" i="58"/>
  <c r="AX332" i="58"/>
  <c r="AX468" i="58"/>
  <c r="AK339" i="58"/>
  <c r="AK453" i="58"/>
  <c r="AK365" i="58"/>
  <c r="AK486" i="58"/>
  <c r="AK284" i="58"/>
  <c r="AX425" i="58"/>
  <c r="AX434" i="58"/>
  <c r="X461" i="58"/>
  <c r="AK457" i="58"/>
  <c r="AX324" i="58"/>
  <c r="AX276" i="58"/>
  <c r="AX361" i="58"/>
  <c r="AK450" i="58"/>
  <c r="AK506" i="58"/>
  <c r="X278" i="58"/>
  <c r="AX176" i="58"/>
  <c r="AK175" i="58"/>
  <c r="AK230" i="58"/>
  <c r="BN230" i="58"/>
  <c r="AX216" i="58"/>
  <c r="AK245" i="58"/>
  <c r="AK176" i="58"/>
  <c r="AP536" i="58"/>
  <c r="X203" i="58"/>
  <c r="BN203" i="58"/>
  <c r="AX424" i="58"/>
  <c r="AX296" i="58"/>
  <c r="AX352" i="58"/>
  <c r="AX288" i="58"/>
  <c r="AK361" i="58"/>
  <c r="AX452" i="58"/>
  <c r="AK507" i="58"/>
  <c r="AK413" i="58"/>
  <c r="AX293" i="58"/>
  <c r="AX517" i="58"/>
  <c r="AK436" i="58"/>
  <c r="AK348" i="58"/>
  <c r="AK476" i="58"/>
  <c r="X365" i="58"/>
  <c r="AX329" i="58"/>
  <c r="AX281" i="58"/>
  <c r="AK458" i="58"/>
  <c r="AX482" i="58"/>
  <c r="AX522" i="58"/>
  <c r="AX400" i="58"/>
  <c r="AX300" i="58"/>
  <c r="AK427" i="58"/>
  <c r="AK477" i="58"/>
  <c r="AK406" i="58"/>
  <c r="AX325" i="58"/>
  <c r="AX301" i="58"/>
  <c r="AK492" i="58"/>
  <c r="AX289" i="58"/>
  <c r="AX481" i="58"/>
  <c r="AX441" i="58"/>
  <c r="AK394" i="58"/>
  <c r="AK442" i="58"/>
  <c r="AX514" i="58"/>
  <c r="X453" i="58"/>
  <c r="AX456" i="58"/>
  <c r="AX392" i="58"/>
  <c r="AX448" i="58"/>
  <c r="AK521" i="58"/>
  <c r="AX348" i="58"/>
  <c r="AX340" i="58"/>
  <c r="AK451" i="58"/>
  <c r="AK502" i="58"/>
  <c r="AK366" i="58"/>
  <c r="AX317" i="58"/>
  <c r="AK372" i="58"/>
  <c r="AK500" i="58"/>
  <c r="AK412" i="58"/>
  <c r="AX475" i="58"/>
  <c r="AX321" i="58"/>
  <c r="AX473" i="58"/>
  <c r="AK285" i="58"/>
  <c r="U548" i="35"/>
  <c r="AK195" i="58"/>
  <c r="U459" i="35"/>
  <c r="AK210" i="58"/>
  <c r="BN210" i="58"/>
  <c r="AI532" i="58"/>
  <c r="X310" i="58"/>
  <c r="U385" i="35"/>
  <c r="X290" i="58"/>
  <c r="AX359" i="58"/>
  <c r="AX463" i="58"/>
  <c r="AR534" i="58"/>
  <c r="AR536" i="58"/>
  <c r="AG534" i="58"/>
  <c r="AV534" i="58"/>
  <c r="AG532" i="58"/>
  <c r="AT538" i="58"/>
  <c r="AI538" i="58"/>
  <c r="AR538" i="58"/>
  <c r="AC538" i="58"/>
  <c r="AI534" i="58"/>
  <c r="AG533" i="58"/>
  <c r="AT535" i="58"/>
  <c r="AE537" i="58"/>
  <c r="AE534" i="58"/>
  <c r="AI533" i="58"/>
  <c r="AR535" i="58"/>
  <c r="AV538" i="58"/>
  <c r="AG535" i="58"/>
  <c r="AI537" i="58"/>
  <c r="AT533" i="58"/>
  <c r="AT536" i="58"/>
  <c r="AE532" i="58"/>
  <c r="AR533" i="58"/>
  <c r="X201" i="58"/>
  <c r="R669" i="35"/>
  <c r="AT158" i="58"/>
  <c r="AK167" i="58"/>
  <c r="X164" i="58"/>
  <c r="AX68" i="58"/>
  <c r="U590" i="35"/>
  <c r="AX117" i="58"/>
  <c r="BN188" i="58"/>
  <c r="AK164" i="58"/>
  <c r="AK67" i="58"/>
  <c r="AX103" i="58"/>
  <c r="X67" i="58"/>
  <c r="U492" i="35"/>
  <c r="U578" i="35"/>
  <c r="U318" i="35"/>
  <c r="U406" i="35"/>
  <c r="AX164" i="58"/>
  <c r="AK159" i="58"/>
  <c r="AX431" i="58"/>
  <c r="AK224" i="58"/>
  <c r="AK214" i="58"/>
  <c r="AK259" i="58"/>
  <c r="BN259" i="58"/>
  <c r="U462" i="35"/>
  <c r="AX274" i="58"/>
  <c r="AK249" i="58"/>
  <c r="BN249" i="58"/>
  <c r="AK196" i="58"/>
  <c r="U273" i="35"/>
  <c r="AX167" i="58"/>
  <c r="X163" i="58"/>
  <c r="AX163" i="58"/>
  <c r="AX487" i="58"/>
  <c r="AE536" i="58"/>
  <c r="U63" i="35"/>
  <c r="AK377" i="58"/>
  <c r="AK379" i="58"/>
  <c r="AK469" i="58"/>
  <c r="AK470" i="58"/>
  <c r="AX353" i="58"/>
  <c r="AK306" i="58"/>
  <c r="U285" i="35"/>
  <c r="AK191" i="58"/>
  <c r="BN191" i="58"/>
  <c r="X302" i="58"/>
  <c r="X414" i="58"/>
  <c r="X333" i="58"/>
  <c r="AX519" i="58"/>
  <c r="AX391" i="58"/>
  <c r="AK375" i="58"/>
  <c r="X351" i="58"/>
  <c r="X487" i="58"/>
  <c r="AX336" i="58"/>
  <c r="AK333" i="58"/>
  <c r="AK405" i="58"/>
  <c r="AK302" i="58"/>
  <c r="X357" i="58"/>
  <c r="AX497" i="58"/>
  <c r="AK402" i="58"/>
  <c r="AK434" i="58"/>
  <c r="X397" i="58"/>
  <c r="AK425" i="58"/>
  <c r="AK449" i="58"/>
  <c r="AX388" i="58"/>
  <c r="AK331" i="58"/>
  <c r="AK494" i="58"/>
  <c r="AX291" i="58"/>
  <c r="X370" i="58"/>
  <c r="AK319" i="58"/>
  <c r="AK103" i="58"/>
  <c r="AT130" i="58"/>
  <c r="AX151" i="58"/>
  <c r="X151" i="58"/>
  <c r="AE132" i="58"/>
  <c r="AI131" i="58"/>
  <c r="AG134" i="58"/>
  <c r="AE135" i="58"/>
  <c r="V134" i="58"/>
  <c r="T132" i="58"/>
  <c r="AE134" i="58"/>
  <c r="AE129" i="58"/>
  <c r="O542" i="35"/>
  <c r="AC536" i="58"/>
  <c r="AI536" i="58"/>
  <c r="AE535" i="58"/>
  <c r="AE533" i="58"/>
  <c r="AP534" i="58"/>
  <c r="AG538" i="58"/>
  <c r="AR532" i="58"/>
  <c r="AX532" i="58"/>
  <c r="AG536" i="58"/>
  <c r="AE538" i="58"/>
  <c r="AT534" i="58"/>
  <c r="V530" i="58"/>
  <c r="X530" i="58"/>
  <c r="AX101" i="58"/>
  <c r="AX119" i="58"/>
  <c r="AK111" i="58"/>
  <c r="AX116" i="58"/>
  <c r="AK115" i="58"/>
  <c r="BN115" i="58"/>
  <c r="AX93" i="58"/>
  <c r="U675" i="35"/>
  <c r="AX100" i="58"/>
  <c r="AX111" i="58"/>
  <c r="AK120" i="58"/>
  <c r="BN120" i="58"/>
  <c r="AK71" i="58"/>
  <c r="AX107" i="58"/>
  <c r="U501" i="35"/>
  <c r="U672" i="35"/>
  <c r="X53" i="58"/>
  <c r="X74" i="58"/>
  <c r="AX75" i="58"/>
  <c r="AX77" i="58"/>
  <c r="X59" i="58"/>
  <c r="BN59" i="58"/>
  <c r="U170" i="35"/>
  <c r="U167" i="35"/>
  <c r="U161" i="35"/>
  <c r="U418" i="35"/>
  <c r="AX99" i="58"/>
  <c r="AK119" i="58"/>
  <c r="AK75" i="58"/>
  <c r="AX86" i="58"/>
  <c r="AK80" i="58"/>
  <c r="BN80" i="58"/>
  <c r="AK107" i="58"/>
  <c r="AX88" i="58"/>
  <c r="AK85" i="58"/>
  <c r="BN85" i="58"/>
  <c r="AC130" i="58"/>
  <c r="AE130" i="58"/>
  <c r="AR130" i="58"/>
  <c r="AP130" i="58"/>
  <c r="AX66" i="58"/>
  <c r="AK77" i="58"/>
  <c r="X119" i="58"/>
  <c r="X95" i="58"/>
  <c r="AX53" i="58"/>
  <c r="AX91" i="58"/>
  <c r="AK104" i="58"/>
  <c r="BN104" i="58"/>
  <c r="AK70" i="58"/>
  <c r="AR131" i="58"/>
  <c r="AG135" i="58"/>
  <c r="X87" i="58"/>
  <c r="AK86" i="58"/>
  <c r="AK106" i="58"/>
  <c r="AX114" i="58"/>
  <c r="AK95" i="58"/>
  <c r="AK114" i="58"/>
  <c r="AX67" i="58"/>
  <c r="AK76" i="58"/>
  <c r="BN76" i="58"/>
  <c r="AK79" i="58"/>
  <c r="AX90" i="58"/>
  <c r="AK99" i="58"/>
  <c r="AX98" i="58"/>
  <c r="AX71" i="58"/>
  <c r="X111" i="58"/>
  <c r="AX78" i="58"/>
  <c r="AX95" i="58"/>
  <c r="AK69" i="58"/>
  <c r="X103" i="58"/>
  <c r="X72" i="58"/>
  <c r="BN72" i="58"/>
  <c r="X81" i="58"/>
  <c r="BN81" i="58"/>
  <c r="AK337" i="58"/>
  <c r="AK385" i="58"/>
  <c r="AK513" i="58"/>
  <c r="X468" i="58"/>
  <c r="X420" i="58"/>
  <c r="AK467" i="58"/>
  <c r="AK309" i="58"/>
  <c r="X478" i="58"/>
  <c r="U327" i="35"/>
  <c r="AK88" i="58"/>
  <c r="X477" i="58"/>
  <c r="X501" i="58"/>
  <c r="AX295" i="58"/>
  <c r="AX287" i="58"/>
  <c r="AX335" i="58"/>
  <c r="AX515" i="58"/>
  <c r="AX347" i="58"/>
  <c r="AK340" i="58"/>
  <c r="AK324" i="58"/>
  <c r="X286" i="58"/>
  <c r="AX455" i="58"/>
  <c r="X349" i="58"/>
  <c r="X429" i="58"/>
  <c r="AX354" i="58"/>
  <c r="AX306" i="58"/>
  <c r="AX303" i="58"/>
  <c r="X282" i="58"/>
  <c r="AX407" i="58"/>
  <c r="AK303" i="58"/>
  <c r="AV130" i="58"/>
  <c r="AE131" i="58"/>
  <c r="T131" i="58"/>
  <c r="AT132" i="58"/>
  <c r="V132" i="58"/>
  <c r="AT129" i="58"/>
  <c r="AV135" i="58"/>
  <c r="AR135" i="58"/>
  <c r="AP129" i="58"/>
  <c r="AK151" i="58"/>
  <c r="V133" i="58"/>
  <c r="J584" i="35"/>
  <c r="T133" i="58"/>
  <c r="U525" i="35"/>
  <c r="AX92" i="58"/>
  <c r="AK369" i="58"/>
  <c r="AK473" i="58"/>
  <c r="AK363" i="58"/>
  <c r="AK443" i="58"/>
  <c r="AK357" i="58"/>
  <c r="AK485" i="58"/>
  <c r="AK445" i="58"/>
  <c r="AK349" i="58"/>
  <c r="AK422" i="58"/>
  <c r="AK286" i="58"/>
  <c r="AK398" i="58"/>
  <c r="AK356" i="58"/>
  <c r="AX419" i="58"/>
  <c r="AX411" i="58"/>
  <c r="AX403" i="58"/>
  <c r="AK96" i="58"/>
  <c r="BN96" i="58"/>
  <c r="AX369" i="58"/>
  <c r="AX313" i="58"/>
  <c r="AK314" i="58"/>
  <c r="AX362" i="58"/>
  <c r="AX490" i="58"/>
  <c r="AX330" i="58"/>
  <c r="AK293" i="58"/>
  <c r="X161" i="58"/>
  <c r="X279" i="58"/>
  <c r="X522" i="58"/>
  <c r="X495" i="58"/>
  <c r="AX79" i="58"/>
  <c r="AK329" i="58"/>
  <c r="AK505" i="58"/>
  <c r="AK321" i="58"/>
  <c r="AX508" i="58"/>
  <c r="AX396" i="58"/>
  <c r="X284" i="58"/>
  <c r="X452" i="58"/>
  <c r="X316" i="58"/>
  <c r="X404" i="58"/>
  <c r="AK315" i="58"/>
  <c r="AK523" i="58"/>
  <c r="AK387" i="58"/>
  <c r="AK395" i="58"/>
  <c r="AK501" i="58"/>
  <c r="AK414" i="58"/>
  <c r="AK404" i="58"/>
  <c r="AK388" i="58"/>
  <c r="AX379" i="58"/>
  <c r="AX417" i="58"/>
  <c r="AX513" i="58"/>
  <c r="AK370" i="58"/>
  <c r="U69" i="35"/>
  <c r="AX338" i="58"/>
  <c r="AX314" i="58"/>
  <c r="AK269" i="58"/>
  <c r="BN269" i="58"/>
  <c r="X389" i="58"/>
  <c r="X330" i="58"/>
  <c r="X482" i="58"/>
  <c r="AK311" i="58"/>
  <c r="AK393" i="58"/>
  <c r="AK305" i="58"/>
  <c r="AK481" i="58"/>
  <c r="AX436" i="58"/>
  <c r="AK411" i="58"/>
  <c r="AK307" i="58"/>
  <c r="AK435" i="58"/>
  <c r="X78" i="58"/>
  <c r="AK421" i="58"/>
  <c r="AK461" i="58"/>
  <c r="AK510" i="58"/>
  <c r="AK462" i="58"/>
  <c r="AK308" i="58"/>
  <c r="X285" i="58"/>
  <c r="AX395" i="58"/>
  <c r="AX459" i="58"/>
  <c r="U241" i="35"/>
  <c r="AX297" i="58"/>
  <c r="AX433" i="58"/>
  <c r="AX377" i="58"/>
  <c r="X358" i="58"/>
  <c r="AK426" i="58"/>
  <c r="AK338" i="58"/>
  <c r="AX426" i="58"/>
  <c r="AX386" i="58"/>
  <c r="AX346" i="58"/>
  <c r="AG530" i="58"/>
  <c r="AK530" i="58"/>
  <c r="AK531" i="58"/>
  <c r="U495" i="35"/>
  <c r="X83" i="58"/>
  <c r="T135" i="58"/>
  <c r="AG131" i="58"/>
  <c r="AP131" i="58"/>
  <c r="AP135" i="58"/>
  <c r="Y425" i="62"/>
  <c r="AI425" i="62"/>
  <c r="AK98" i="58"/>
  <c r="AK90" i="58"/>
  <c r="AK112" i="58"/>
  <c r="U131" i="35"/>
  <c r="AX439" i="58"/>
  <c r="X338" i="58"/>
  <c r="AX471" i="58"/>
  <c r="AX503" i="58"/>
  <c r="AX367" i="58"/>
  <c r="X65" i="58"/>
  <c r="U72" i="35"/>
  <c r="AK68" i="58"/>
  <c r="X431" i="58"/>
  <c r="X474" i="58"/>
  <c r="AK144" i="58"/>
  <c r="AP134" i="58"/>
  <c r="AC133" i="58"/>
  <c r="AI132" i="58"/>
  <c r="AV131" i="58"/>
  <c r="BN209" i="58"/>
  <c r="U279" i="35"/>
  <c r="AP133" i="58"/>
  <c r="AR129" i="58"/>
  <c r="T66" i="35"/>
  <c r="AG133" i="58"/>
  <c r="O584" i="35"/>
  <c r="U480" i="35"/>
  <c r="J324" i="35"/>
  <c r="U217" i="35"/>
  <c r="U477" i="35"/>
  <c r="U128" i="35"/>
  <c r="X303" i="58"/>
  <c r="AK471" i="58"/>
  <c r="AK495" i="58"/>
  <c r="AX423" i="58"/>
  <c r="AK287" i="58"/>
  <c r="AK423" i="58"/>
  <c r="AX279" i="58"/>
  <c r="U309" i="35"/>
  <c r="AK479" i="58"/>
  <c r="AK415" i="58"/>
  <c r="X519" i="58"/>
  <c r="AX319" i="58"/>
  <c r="AK399" i="58"/>
  <c r="AX351" i="58"/>
  <c r="BN36" i="58"/>
  <c r="AK518" i="58"/>
  <c r="AK316" i="58"/>
  <c r="U155" i="35"/>
  <c r="U229" i="35"/>
  <c r="AX442" i="58"/>
  <c r="AK353" i="58"/>
  <c r="AK397" i="58"/>
  <c r="AK484" i="58"/>
  <c r="AK371" i="58"/>
  <c r="AK317" i="58"/>
  <c r="AK350" i="58"/>
  <c r="AX355" i="58"/>
  <c r="AX339" i="58"/>
  <c r="AX410" i="58"/>
  <c r="T134" i="58"/>
  <c r="AK91" i="58"/>
  <c r="AX162" i="58"/>
  <c r="AK511" i="58"/>
  <c r="AX415" i="58"/>
  <c r="X319" i="58"/>
  <c r="X391" i="58"/>
  <c r="AK409" i="58"/>
  <c r="AK332" i="58"/>
  <c r="AX298" i="58"/>
  <c r="AK171" i="58"/>
  <c r="BN171" i="58"/>
  <c r="X334" i="58"/>
  <c r="AX479" i="58"/>
  <c r="X340" i="58"/>
  <c r="AK499" i="58"/>
  <c r="AK515" i="58"/>
  <c r="AK478" i="58"/>
  <c r="AK380" i="58"/>
  <c r="AX307" i="58"/>
  <c r="AX495" i="58"/>
  <c r="AK441" i="58"/>
  <c r="AK459" i="58"/>
  <c r="U654" i="35"/>
  <c r="AK299" i="58"/>
  <c r="AK454" i="58"/>
  <c r="AK428" i="58"/>
  <c r="X277" i="58"/>
  <c r="AX337" i="58"/>
  <c r="AK274" i="58"/>
  <c r="X400" i="58"/>
  <c r="U560" i="35"/>
  <c r="AK447" i="58"/>
  <c r="AX343" i="58"/>
  <c r="U164" i="35"/>
  <c r="AK341" i="58"/>
  <c r="AK465" i="58"/>
  <c r="AK373" i="58"/>
  <c r="AK283" i="58"/>
  <c r="U394" i="35"/>
  <c r="X353" i="58"/>
  <c r="AK323" i="58"/>
  <c r="AK438" i="58"/>
  <c r="AX489" i="58"/>
  <c r="AK378" i="58"/>
  <c r="V131" i="58"/>
  <c r="X446" i="58"/>
  <c r="AK355" i="58"/>
  <c r="AK342" i="58"/>
  <c r="AK420" i="58"/>
  <c r="AX507" i="58"/>
  <c r="U125" i="35"/>
  <c r="AK522" i="58"/>
  <c r="AK346" i="58"/>
  <c r="AX282" i="58"/>
  <c r="X413" i="58"/>
  <c r="X438" i="58"/>
  <c r="X486" i="58"/>
  <c r="AK166" i="58"/>
  <c r="X288" i="58"/>
  <c r="X506" i="58"/>
  <c r="AK463" i="58"/>
  <c r="AK351" i="58"/>
  <c r="AX235" i="58"/>
  <c r="AK235" i="58"/>
  <c r="AK186" i="58"/>
  <c r="U483" i="35"/>
  <c r="X434" i="58"/>
  <c r="U297" i="35"/>
  <c r="X327" i="58"/>
  <c r="AX327" i="58"/>
  <c r="AX399" i="58"/>
  <c r="AK295" i="58"/>
  <c r="AK359" i="58"/>
  <c r="AK431" i="58"/>
  <c r="U575" i="35"/>
  <c r="U240" i="35"/>
  <c r="BN539" i="58"/>
  <c r="AK279" i="58"/>
  <c r="AK439" i="58"/>
  <c r="AK343" i="58"/>
  <c r="AK335" i="58"/>
  <c r="AX311" i="58"/>
  <c r="AX375" i="58"/>
  <c r="AX447" i="58"/>
  <c r="AX511" i="58"/>
  <c r="AX70" i="58"/>
  <c r="AK281" i="58"/>
  <c r="AK297" i="58"/>
  <c r="AK168" i="58"/>
  <c r="X484" i="58"/>
  <c r="X500" i="58"/>
  <c r="X444" i="58"/>
  <c r="X276" i="58"/>
  <c r="X308" i="58"/>
  <c r="X428" i="58"/>
  <c r="X348" i="58"/>
  <c r="AK291" i="58"/>
  <c r="AK419" i="58"/>
  <c r="U587" i="35"/>
  <c r="AK325" i="58"/>
  <c r="AK381" i="58"/>
  <c r="AK493" i="58"/>
  <c r="AK437" i="58"/>
  <c r="AK374" i="58"/>
  <c r="AK430" i="58"/>
  <c r="AK300" i="58"/>
  <c r="AK468" i="58"/>
  <c r="AK508" i="58"/>
  <c r="AK452" i="58"/>
  <c r="U173" i="35"/>
  <c r="AX299" i="58"/>
  <c r="AX443" i="58"/>
  <c r="AX315" i="58"/>
  <c r="AX363" i="58"/>
  <c r="AK84" i="58"/>
  <c r="AX401" i="58"/>
  <c r="AX345" i="58"/>
  <c r="AK362" i="58"/>
  <c r="AK466" i="58"/>
  <c r="AX290" i="58"/>
  <c r="AX370" i="58"/>
  <c r="AX378" i="58"/>
  <c r="AV134" i="58"/>
  <c r="AK181" i="58"/>
  <c r="BN181" i="58"/>
  <c r="X309" i="58"/>
  <c r="X325" i="58"/>
  <c r="U563" i="35"/>
  <c r="X410" i="58"/>
  <c r="O669" i="35"/>
  <c r="U223" i="35"/>
  <c r="AK497" i="58"/>
  <c r="X492" i="58"/>
  <c r="AK491" i="58"/>
  <c r="AK347" i="58"/>
  <c r="AK509" i="58"/>
  <c r="AK429" i="58"/>
  <c r="AK276" i="58"/>
  <c r="AK444" i="58"/>
  <c r="AK396" i="58"/>
  <c r="AK516" i="58"/>
  <c r="X509" i="58"/>
  <c r="X317" i="58"/>
  <c r="AX331" i="58"/>
  <c r="AX387" i="58"/>
  <c r="AX499" i="58"/>
  <c r="X462" i="58"/>
  <c r="AX465" i="58"/>
  <c r="AX409" i="58"/>
  <c r="X470" i="58"/>
  <c r="AK474" i="58"/>
  <c r="AK282" i="58"/>
  <c r="AK322" i="58"/>
  <c r="AX418" i="58"/>
  <c r="AX394" i="58"/>
  <c r="AX402" i="58"/>
  <c r="AX498" i="58"/>
  <c r="AG132" i="58"/>
  <c r="X398" i="58"/>
  <c r="AI133" i="58"/>
  <c r="X378" i="58"/>
  <c r="X498" i="58"/>
  <c r="AK264" i="58"/>
  <c r="AK225" i="58"/>
  <c r="AX225" i="58"/>
  <c r="AX215" i="58"/>
  <c r="AK215" i="58"/>
  <c r="AX186" i="58"/>
  <c r="AX264" i="58"/>
  <c r="AX196" i="58"/>
  <c r="BN12" i="58"/>
  <c r="O24" i="35"/>
  <c r="BN160" i="58"/>
  <c r="BN148" i="58"/>
  <c r="AC532" i="58"/>
  <c r="T110" i="35"/>
  <c r="O282" i="35"/>
  <c r="BN211" i="58"/>
  <c r="U388" i="35"/>
  <c r="BN208" i="58"/>
  <c r="BN240" i="58"/>
  <c r="BN219" i="58"/>
  <c r="U176" i="35"/>
  <c r="AX87" i="58"/>
  <c r="BN51" i="58"/>
  <c r="BN266" i="58"/>
  <c r="BN218" i="58"/>
  <c r="O370" i="35"/>
  <c r="T282" i="35"/>
  <c r="BN28" i="58"/>
  <c r="BN126" i="58"/>
  <c r="BN146" i="58"/>
  <c r="BN20" i="58"/>
  <c r="BN44" i="58"/>
  <c r="BN82" i="58"/>
  <c r="BN4" i="58"/>
  <c r="BN238" i="58"/>
  <c r="BN258" i="58"/>
  <c r="BN190" i="58"/>
  <c r="BN540" i="58"/>
  <c r="BN123" i="58"/>
  <c r="BN228" i="58"/>
  <c r="BN179" i="58"/>
  <c r="BN227" i="58"/>
  <c r="BN189" i="58"/>
  <c r="BN217" i="58"/>
  <c r="BN60" i="58"/>
  <c r="BN544" i="58"/>
  <c r="BN198" i="58"/>
  <c r="BN170" i="58"/>
  <c r="BN169" i="58"/>
  <c r="BN248" i="58"/>
  <c r="BN527" i="58"/>
  <c r="BN128" i="58"/>
  <c r="BN547" i="58"/>
  <c r="BN545" i="58"/>
  <c r="BN257" i="58"/>
  <c r="BN268" i="58"/>
  <c r="BN267" i="58"/>
  <c r="BN149" i="58"/>
  <c r="BN524" i="58"/>
  <c r="BN124" i="58"/>
  <c r="BN199" i="58"/>
  <c r="BN122" i="58"/>
  <c r="BN50" i="58"/>
  <c r="BN61" i="58"/>
  <c r="BN178" i="58"/>
  <c r="BN256" i="58"/>
  <c r="BN207" i="58"/>
  <c r="BN180" i="58"/>
  <c r="BN147" i="58"/>
  <c r="BN247" i="58"/>
  <c r="BN251" i="58"/>
  <c r="BN239" i="58"/>
  <c r="BN229" i="58"/>
  <c r="BN125" i="58"/>
  <c r="BN145" i="58"/>
  <c r="BN541" i="58"/>
  <c r="BN237" i="58"/>
  <c r="X460" i="58"/>
  <c r="AK475" i="58"/>
  <c r="AX427" i="58"/>
  <c r="AX283" i="58"/>
  <c r="AX491" i="58"/>
  <c r="AK386" i="58"/>
  <c r="X335" i="58"/>
  <c r="AX474" i="58"/>
  <c r="AX466" i="58"/>
  <c r="AK503" i="58"/>
  <c r="AK327" i="58"/>
  <c r="X430" i="58"/>
  <c r="X352" i="58"/>
  <c r="AK345" i="58"/>
  <c r="AK289" i="58"/>
  <c r="X516" i="58"/>
  <c r="X364" i="58"/>
  <c r="X388" i="58"/>
  <c r="AK483" i="58"/>
  <c r="AK389" i="58"/>
  <c r="AK517" i="58"/>
  <c r="AK364" i="58"/>
  <c r="X421" i="58"/>
  <c r="AX523" i="58"/>
  <c r="AX371" i="58"/>
  <c r="AK514" i="58"/>
  <c r="AK354" i="58"/>
  <c r="AX458" i="58"/>
  <c r="AK407" i="58"/>
  <c r="AK487" i="58"/>
  <c r="X443" i="58"/>
  <c r="X294" i="58"/>
  <c r="AK490" i="58"/>
  <c r="AK391" i="58"/>
  <c r="AK301" i="58"/>
  <c r="AX245" i="58"/>
  <c r="AK519" i="58"/>
  <c r="X415" i="58"/>
  <c r="X295" i="58"/>
  <c r="X311" i="58"/>
  <c r="AK455" i="58"/>
  <c r="X423" i="58"/>
  <c r="X439" i="58"/>
  <c r="X511" i="58"/>
  <c r="AK367" i="58"/>
  <c r="X314" i="58"/>
  <c r="X458" i="58"/>
  <c r="X394" i="58"/>
  <c r="X450" i="58"/>
  <c r="U45" i="35"/>
  <c r="J152" i="35"/>
  <c r="AC134" i="58"/>
  <c r="V130" i="58"/>
  <c r="AR132" i="58"/>
  <c r="AG130" i="58"/>
  <c r="AV132" i="58"/>
  <c r="T498" i="35"/>
  <c r="T238" i="35"/>
  <c r="O324" i="35"/>
  <c r="AT134" i="58"/>
  <c r="AR134" i="58"/>
  <c r="T152" i="35"/>
  <c r="J669" i="35"/>
  <c r="AT133" i="58"/>
  <c r="O412" i="35"/>
  <c r="AC131" i="58"/>
  <c r="T324" i="35"/>
  <c r="AI130" i="58"/>
  <c r="O498" i="35"/>
  <c r="J498" i="35"/>
  <c r="V135" i="58"/>
  <c r="AI134" i="58"/>
  <c r="J238" i="35"/>
  <c r="AE133" i="58"/>
  <c r="O238" i="35"/>
  <c r="J412" i="35"/>
  <c r="T129" i="58"/>
  <c r="U303" i="35"/>
  <c r="X408" i="58"/>
  <c r="AC537" i="58"/>
  <c r="X362" i="58"/>
  <c r="U42" i="35"/>
  <c r="X386" i="58"/>
  <c r="X426" i="58"/>
  <c r="X514" i="58"/>
  <c r="AK383" i="58"/>
  <c r="X390" i="58"/>
  <c r="X350" i="58"/>
  <c r="X376" i="58"/>
  <c r="U190" i="35"/>
  <c r="X534" i="58"/>
  <c r="X204" i="58"/>
  <c r="X445" i="58"/>
  <c r="X447" i="58"/>
  <c r="AX467" i="58"/>
  <c r="X366" i="58"/>
  <c r="X512" i="58"/>
  <c r="X493" i="58"/>
  <c r="X480" i="58"/>
  <c r="X496" i="58"/>
  <c r="X469" i="58"/>
  <c r="X360" i="58"/>
  <c r="X280" i="58"/>
  <c r="X342" i="58"/>
  <c r="X494" i="58"/>
  <c r="X476" i="58"/>
  <c r="X485" i="58"/>
  <c r="X412" i="58"/>
  <c r="X405" i="58"/>
  <c r="X422" i="58"/>
  <c r="X448" i="58"/>
  <c r="AX451" i="58"/>
  <c r="AX435" i="58"/>
  <c r="X380" i="58"/>
  <c r="X373" i="58"/>
  <c r="AX323" i="58"/>
  <c r="X312" i="58"/>
  <c r="X326" i="58"/>
  <c r="X320" i="58"/>
  <c r="X332" i="58"/>
  <c r="X354" i="58"/>
  <c r="X292" i="58"/>
  <c r="X301" i="58"/>
  <c r="X296" i="58"/>
  <c r="X298" i="58"/>
  <c r="X518" i="58"/>
  <c r="X517" i="58"/>
  <c r="X508" i="58"/>
  <c r="X162" i="58"/>
  <c r="AI135" i="58"/>
  <c r="AV133" i="58"/>
  <c r="X382" i="58"/>
  <c r="X318" i="58"/>
  <c r="X424" i="58"/>
  <c r="X344" i="58"/>
  <c r="X464" i="58"/>
  <c r="U621" i="35"/>
  <c r="U414" i="35"/>
  <c r="X442" i="58"/>
  <c r="X502" i="58"/>
  <c r="X416" i="58"/>
  <c r="X336" i="58"/>
  <c r="U51" i="35"/>
  <c r="X346" i="58"/>
  <c r="O152" i="35"/>
  <c r="X406" i="58"/>
  <c r="X432" i="58"/>
  <c r="U154" i="35"/>
  <c r="U397" i="35"/>
  <c r="AK162" i="58"/>
  <c r="X463" i="58"/>
  <c r="X471" i="58"/>
  <c r="X287" i="58"/>
  <c r="X455" i="58"/>
  <c r="X343" i="58"/>
  <c r="X456" i="58"/>
  <c r="X435" i="58"/>
  <c r="X328" i="58"/>
  <c r="U569" i="35"/>
  <c r="X537" i="58"/>
  <c r="U112" i="35"/>
  <c r="T196" i="35"/>
  <c r="T456" i="35"/>
  <c r="T370" i="35"/>
  <c r="X383" i="58"/>
  <c r="X436" i="58"/>
  <c r="X396" i="58"/>
  <c r="X356" i="58"/>
  <c r="X374" i="58"/>
  <c r="X372" i="58"/>
  <c r="X324" i="58"/>
  <c r="X300" i="58"/>
  <c r="X503" i="58"/>
  <c r="X504" i="58"/>
  <c r="X510" i="58"/>
  <c r="X407" i="58"/>
  <c r="X359" i="58"/>
  <c r="X367" i="58"/>
  <c r="X375" i="58"/>
  <c r="X399" i="58"/>
  <c r="X479" i="58"/>
  <c r="X304" i="58"/>
  <c r="X368" i="58"/>
  <c r="X488" i="58"/>
  <c r="X520" i="58"/>
  <c r="X472" i="58"/>
  <c r="X440" i="58"/>
  <c r="X392" i="58"/>
  <c r="X384" i="58"/>
  <c r="AX144" i="58"/>
  <c r="AX56" i="58"/>
  <c r="BN56" i="58"/>
  <c r="O110" i="35"/>
  <c r="O196" i="35"/>
  <c r="U372" i="35"/>
  <c r="X234" i="58"/>
  <c r="U391" i="35"/>
  <c r="X144" i="58"/>
  <c r="AX168" i="58"/>
  <c r="AK78" i="58"/>
  <c r="AX69" i="58"/>
  <c r="O456" i="35"/>
  <c r="J66" i="35"/>
  <c r="T584" i="35"/>
  <c r="AC132" i="58"/>
  <c r="V129" i="58"/>
  <c r="AK53" i="58"/>
  <c r="U18" i="35"/>
  <c r="AR133" i="58"/>
  <c r="X491" i="58"/>
  <c r="X66" i="58"/>
  <c r="X533" i="58"/>
  <c r="AK87" i="58"/>
  <c r="X195" i="58"/>
  <c r="X475" i="58"/>
  <c r="X427" i="58"/>
  <c r="X323" i="58"/>
  <c r="X363" i="58"/>
  <c r="X355" i="58"/>
  <c r="X467" i="58"/>
  <c r="AK163" i="58"/>
  <c r="AX161" i="58"/>
  <c r="AX166" i="58"/>
  <c r="X69" i="58"/>
  <c r="AK161" i="58"/>
  <c r="X331" i="58"/>
  <c r="U471" i="35"/>
  <c r="X515" i="58"/>
  <c r="X244" i="58"/>
  <c r="X315" i="58"/>
  <c r="X459" i="58"/>
  <c r="X379" i="58"/>
  <c r="X307" i="58"/>
  <c r="X185" i="58"/>
  <c r="X273" i="58"/>
  <c r="X483" i="58"/>
  <c r="X507" i="58"/>
  <c r="X536" i="58"/>
  <c r="X451" i="58"/>
  <c r="X214" i="58"/>
  <c r="X395" i="58"/>
  <c r="X291" i="58"/>
  <c r="X499" i="58"/>
  <c r="X253" i="58"/>
  <c r="X371" i="58"/>
  <c r="X339" i="58"/>
  <c r="X387" i="58"/>
  <c r="X419" i="58"/>
  <c r="X175" i="58"/>
  <c r="X403" i="58"/>
  <c r="X347" i="58"/>
  <c r="X224" i="58"/>
  <c r="X299" i="58"/>
  <c r="X275" i="58"/>
  <c r="BN275" i="58"/>
  <c r="X411" i="58"/>
  <c r="AK65" i="58"/>
  <c r="AK74" i="58"/>
  <c r="X523" i="58"/>
  <c r="X283" i="58"/>
  <c r="X71" i="58"/>
  <c r="X417" i="58"/>
  <c r="X449" i="58"/>
  <c r="X441" i="58"/>
  <c r="X393" i="58"/>
  <c r="X385" i="58"/>
  <c r="X377" i="58"/>
  <c r="X313" i="58"/>
  <c r="X457" i="58"/>
  <c r="X297" i="58"/>
  <c r="X216" i="58"/>
  <c r="X246" i="58"/>
  <c r="X73" i="58"/>
  <c r="M73" i="58"/>
  <c r="X165" i="58"/>
  <c r="M165" i="58"/>
  <c r="N165" i="58"/>
  <c r="X89" i="58"/>
  <c r="M89" i="58"/>
  <c r="X345" i="58"/>
  <c r="X289" i="58"/>
  <c r="X489" i="58"/>
  <c r="X361" i="58"/>
  <c r="X329" i="58"/>
  <c r="X281" i="58"/>
  <c r="X197" i="58"/>
  <c r="M197" i="58"/>
  <c r="X187" i="58"/>
  <c r="X433" i="58"/>
  <c r="X337" i="58"/>
  <c r="AK83" i="58"/>
  <c r="X401" i="58"/>
  <c r="X465" i="58"/>
  <c r="X497" i="58"/>
  <c r="X305" i="58"/>
  <c r="X481" i="58"/>
  <c r="X236" i="58"/>
  <c r="X265" i="58"/>
  <c r="X255" i="58"/>
  <c r="AK66" i="58"/>
  <c r="X168" i="58"/>
  <c r="X409" i="58"/>
  <c r="X473" i="58"/>
  <c r="X425" i="58"/>
  <c r="X321" i="58"/>
  <c r="X505" i="58"/>
  <c r="X521" i="58"/>
  <c r="X369" i="58"/>
  <c r="X226" i="58"/>
  <c r="X177" i="58"/>
  <c r="X263" i="58"/>
  <c r="X513" i="58"/>
  <c r="O627" i="35"/>
  <c r="T627" i="35"/>
  <c r="T24" i="35"/>
  <c r="Y411" i="62"/>
  <c r="AI411" i="62"/>
  <c r="Y407" i="62"/>
  <c r="AI407" i="62"/>
  <c r="Y398" i="62"/>
  <c r="AI398" i="62"/>
  <c r="Y416" i="62"/>
  <c r="AI416" i="62"/>
  <c r="Y413" i="62"/>
  <c r="AI413" i="62"/>
  <c r="Y397" i="62"/>
  <c r="AI397" i="62"/>
  <c r="Y406" i="62"/>
  <c r="AI406" i="62"/>
  <c r="Y410" i="62"/>
  <c r="AI410" i="62"/>
  <c r="Y424" i="62"/>
  <c r="AI424" i="62"/>
  <c r="Y404" i="62"/>
  <c r="AI404" i="62"/>
  <c r="Y418" i="62"/>
  <c r="AI418" i="62"/>
  <c r="Y415" i="62"/>
  <c r="AI415" i="62"/>
  <c r="Y409" i="62"/>
  <c r="AI409" i="62"/>
  <c r="Y419" i="62"/>
  <c r="AI419" i="62"/>
  <c r="Y421" i="62"/>
  <c r="AI421" i="62"/>
  <c r="Y399" i="62"/>
  <c r="AI399" i="62"/>
  <c r="Y402" i="62"/>
  <c r="AI402" i="62"/>
  <c r="Y420" i="62"/>
  <c r="AI420" i="62"/>
  <c r="Y405" i="62"/>
  <c r="AI405" i="62"/>
  <c r="Y417" i="62"/>
  <c r="AI417" i="62"/>
  <c r="Y423" i="62"/>
  <c r="AI423" i="62"/>
  <c r="U671" i="35"/>
  <c r="U586" i="35"/>
  <c r="U284" i="35"/>
  <c r="U458" i="35"/>
  <c r="U629" i="35"/>
  <c r="U26" i="35"/>
  <c r="U198" i="35"/>
  <c r="U68" i="35"/>
  <c r="U500" i="35"/>
  <c r="U326" i="35"/>
  <c r="AI129" i="58"/>
  <c r="U696" i="35"/>
  <c r="U439" i="35"/>
  <c r="U371" i="35"/>
  <c r="U25" i="35"/>
  <c r="U628" i="35"/>
  <c r="U197" i="35"/>
  <c r="U543" i="35"/>
  <c r="U283" i="35"/>
  <c r="U111" i="35"/>
  <c r="U457" i="35"/>
  <c r="U244" i="35"/>
  <c r="U291" i="35"/>
  <c r="U630" i="35"/>
  <c r="U205" i="35"/>
  <c r="U465" i="35"/>
  <c r="U39" i="35"/>
  <c r="U288" i="35"/>
  <c r="U199" i="35"/>
  <c r="U276" i="35"/>
  <c r="U379" i="35"/>
  <c r="U657" i="35"/>
  <c r="U409" i="35"/>
  <c r="U239" i="35"/>
  <c r="U670" i="35"/>
  <c r="U403" i="35"/>
  <c r="U413" i="35"/>
  <c r="U585" i="35"/>
  <c r="U153" i="35"/>
  <c r="U325" i="35"/>
  <c r="U67" i="35"/>
  <c r="AP132" i="58"/>
  <c r="O66" i="35"/>
  <c r="AC129" i="58"/>
  <c r="U119" i="35"/>
  <c r="U54" i="35"/>
  <c r="U536" i="35"/>
  <c r="U104" i="35"/>
  <c r="U107" i="35"/>
  <c r="U158" i="35"/>
  <c r="U642" i="35"/>
  <c r="U364" i="35"/>
  <c r="U551" i="35"/>
  <c r="U489" i="35"/>
  <c r="U660" i="35"/>
  <c r="U611" i="35"/>
  <c r="U78" i="35"/>
  <c r="U367" i="35"/>
  <c r="U522" i="35"/>
  <c r="U693" i="35"/>
  <c r="U608" i="35"/>
  <c r="U436" i="35"/>
  <c r="U306" i="35"/>
  <c r="U134" i="35"/>
  <c r="U453" i="35"/>
  <c r="U193" i="35"/>
  <c r="BN112" i="58"/>
  <c r="BN252" i="58"/>
  <c r="BN194" i="58"/>
  <c r="BN109" i="58"/>
  <c r="X130" i="58"/>
  <c r="BN223" i="58"/>
  <c r="BN117" i="58"/>
  <c r="BN106" i="58"/>
  <c r="BN113" i="58"/>
  <c r="BN101" i="58"/>
  <c r="BN100" i="58"/>
  <c r="BN108" i="58"/>
  <c r="BN105" i="58"/>
  <c r="BN138" i="58"/>
  <c r="U542" i="35"/>
  <c r="AX538" i="58"/>
  <c r="BN265" i="58"/>
  <c r="BN121" i="58"/>
  <c r="BN93" i="58"/>
  <c r="BN143" i="58"/>
  <c r="AX537" i="58"/>
  <c r="BN255" i="58"/>
  <c r="BN264" i="58"/>
  <c r="BN226" i="58"/>
  <c r="BN273" i="58"/>
  <c r="BN205" i="58"/>
  <c r="BN320" i="58"/>
  <c r="BN97" i="58"/>
  <c r="BN140" i="58"/>
  <c r="BN185" i="58"/>
  <c r="BN92" i="58"/>
  <c r="BN141" i="58"/>
  <c r="BN246" i="58"/>
  <c r="BN187" i="58"/>
  <c r="BN263" i="58"/>
  <c r="BN288" i="58"/>
  <c r="BN116" i="58"/>
  <c r="BN244" i="58"/>
  <c r="BN236" i="58"/>
  <c r="BN137" i="58"/>
  <c r="BN159" i="58"/>
  <c r="BN437" i="58"/>
  <c r="BN413" i="58"/>
  <c r="BN344" i="58"/>
  <c r="BN480" i="58"/>
  <c r="BN520" i="58"/>
  <c r="BN318" i="58"/>
  <c r="BN312" i="58"/>
  <c r="BN512" i="58"/>
  <c r="BN376" i="58"/>
  <c r="BN202" i="58"/>
  <c r="BN177" i="58"/>
  <c r="BN142" i="58"/>
  <c r="BN201" i="58"/>
  <c r="BN368" i="58"/>
  <c r="BN432" i="58"/>
  <c r="BN280" i="58"/>
  <c r="BN334" i="58"/>
  <c r="BN304" i="58"/>
  <c r="BN504" i="58"/>
  <c r="BN341" i="58"/>
  <c r="BN277" i="58"/>
  <c r="BN253" i="58"/>
  <c r="BN200" i="58"/>
  <c r="BN440" i="58"/>
  <c r="BN390" i="58"/>
  <c r="BN408" i="58"/>
  <c r="BN310" i="58"/>
  <c r="BN234" i="58"/>
  <c r="X153" i="58"/>
  <c r="BN384" i="58"/>
  <c r="BN326" i="58"/>
  <c r="BN358" i="58"/>
  <c r="BN501" i="58"/>
  <c r="BN84" i="58"/>
  <c r="BN472" i="58"/>
  <c r="BN328" i="58"/>
  <c r="BN292" i="58"/>
  <c r="BN360" i="58"/>
  <c r="BN418" i="58"/>
  <c r="BN454" i="58"/>
  <c r="BN381" i="58"/>
  <c r="BN482" i="58"/>
  <c r="BN488" i="58"/>
  <c r="BN294" i="58"/>
  <c r="BN278" i="58"/>
  <c r="BN286" i="58"/>
  <c r="BN446" i="58"/>
  <c r="BN416" i="58"/>
  <c r="BN460" i="58"/>
  <c r="BN285" i="58"/>
  <c r="BN349" i="58"/>
  <c r="BN464" i="58"/>
  <c r="BN382" i="58"/>
  <c r="BN496" i="58"/>
  <c r="AX154" i="58"/>
  <c r="BN486" i="58"/>
  <c r="BN461" i="58"/>
  <c r="BN254" i="58"/>
  <c r="BN506" i="58"/>
  <c r="BN448" i="58"/>
  <c r="BN127" i="58"/>
  <c r="BN167" i="58"/>
  <c r="BN176" i="58"/>
  <c r="BN477" i="58"/>
  <c r="BN453" i="58"/>
  <c r="BN456" i="58"/>
  <c r="BN412" i="58"/>
  <c r="BN366" i="58"/>
  <c r="BN204" i="58"/>
  <c r="BN216" i="58"/>
  <c r="BN492" i="58"/>
  <c r="BN348" i="58"/>
  <c r="U196" i="35"/>
  <c r="BN457" i="58"/>
  <c r="BN450" i="58"/>
  <c r="BN470" i="58"/>
  <c r="BN410" i="58"/>
  <c r="BN361" i="58"/>
  <c r="BN195" i="58"/>
  <c r="BN365" i="58"/>
  <c r="AT135" i="58"/>
  <c r="AX135" i="58"/>
  <c r="AT131" i="58"/>
  <c r="AX131" i="58"/>
  <c r="T412" i="35"/>
  <c r="U412" i="35"/>
  <c r="T669" i="35"/>
  <c r="U669" i="35"/>
  <c r="AX536" i="58"/>
  <c r="BN502" i="58"/>
  <c r="BN284" i="58"/>
  <c r="BN521" i="58"/>
  <c r="BN500" i="58"/>
  <c r="BN352" i="58"/>
  <c r="BN322" i="58"/>
  <c r="AX535" i="58"/>
  <c r="BN196" i="58"/>
  <c r="BN392" i="58"/>
  <c r="BN293" i="58"/>
  <c r="BN406" i="58"/>
  <c r="BN424" i="58"/>
  <c r="BN476" i="58"/>
  <c r="BN290" i="58"/>
  <c r="BN400" i="58"/>
  <c r="BN175" i="58"/>
  <c r="BN245" i="58"/>
  <c r="BN214" i="58"/>
  <c r="AK533" i="58"/>
  <c r="BN372" i="58"/>
  <c r="BN296" i="58"/>
  <c r="AK532" i="58"/>
  <c r="BN532" i="58"/>
  <c r="AK535" i="58"/>
  <c r="AX533" i="58"/>
  <c r="AK534" i="58"/>
  <c r="AK537" i="58"/>
  <c r="BN68" i="58"/>
  <c r="BN164" i="58"/>
  <c r="BN397" i="58"/>
  <c r="BN336" i="58"/>
  <c r="BN163" i="58"/>
  <c r="BN333" i="58"/>
  <c r="BN449" i="58"/>
  <c r="BN405" i="58"/>
  <c r="BN469" i="58"/>
  <c r="BN402" i="58"/>
  <c r="BN487" i="58"/>
  <c r="BN357" i="58"/>
  <c r="BN414" i="58"/>
  <c r="BN306" i="58"/>
  <c r="BN494" i="58"/>
  <c r="BN425" i="58"/>
  <c r="BN224" i="58"/>
  <c r="BN274" i="58"/>
  <c r="BN67" i="58"/>
  <c r="AK538" i="58"/>
  <c r="BN302" i="58"/>
  <c r="BN434" i="58"/>
  <c r="BN103" i="58"/>
  <c r="AK155" i="58"/>
  <c r="BN151" i="58"/>
  <c r="AX130" i="58"/>
  <c r="X132" i="58"/>
  <c r="X158" i="58"/>
  <c r="AK135" i="58"/>
  <c r="AK158" i="58"/>
  <c r="X154" i="58"/>
  <c r="X152" i="58"/>
  <c r="AX157" i="58"/>
  <c r="AX152" i="58"/>
  <c r="X134" i="58"/>
  <c r="AX534" i="58"/>
  <c r="AK536" i="58"/>
  <c r="BN505" i="58"/>
  <c r="BN522" i="58"/>
  <c r="BN375" i="58"/>
  <c r="AX129" i="58"/>
  <c r="BN329" i="58"/>
  <c r="BN429" i="58"/>
  <c r="BN369" i="58"/>
  <c r="BN370" i="58"/>
  <c r="BN420" i="58"/>
  <c r="BN119" i="58"/>
  <c r="BN99" i="58"/>
  <c r="BN111" i="58"/>
  <c r="BN74" i="58"/>
  <c r="BN75" i="58"/>
  <c r="BN88" i="58"/>
  <c r="BN107" i="58"/>
  <c r="BN77" i="58"/>
  <c r="BN86" i="58"/>
  <c r="BN70" i="58"/>
  <c r="BN53" i="58"/>
  <c r="BN91" i="58"/>
  <c r="BN324" i="58"/>
  <c r="BN377" i="58"/>
  <c r="BN436" i="58"/>
  <c r="BN422" i="58"/>
  <c r="BN388" i="58"/>
  <c r="BN490" i="58"/>
  <c r="BN309" i="58"/>
  <c r="BN462" i="58"/>
  <c r="BN353" i="58"/>
  <c r="BN510" i="58"/>
  <c r="BN463" i="58"/>
  <c r="BN499" i="58"/>
  <c r="BN321" i="58"/>
  <c r="BN281" i="58"/>
  <c r="BN393" i="58"/>
  <c r="BN471" i="58"/>
  <c r="BN332" i="58"/>
  <c r="BN342" i="58"/>
  <c r="BN468" i="58"/>
  <c r="BN473" i="58"/>
  <c r="BN313" i="58"/>
  <c r="BN411" i="58"/>
  <c r="BN379" i="58"/>
  <c r="BN389" i="58"/>
  <c r="BN308" i="58"/>
  <c r="BN452" i="58"/>
  <c r="BN311" i="58"/>
  <c r="BN83" i="58"/>
  <c r="BN114" i="58"/>
  <c r="BN95" i="58"/>
  <c r="BN79" i="58"/>
  <c r="BN90" i="58"/>
  <c r="BN78" i="58"/>
  <c r="BN71" i="58"/>
  <c r="BN98" i="58"/>
  <c r="BN421" i="58"/>
  <c r="BN485" i="58"/>
  <c r="BN404" i="58"/>
  <c r="BN350" i="58"/>
  <c r="BN478" i="58"/>
  <c r="BN431" i="58"/>
  <c r="BN338" i="58"/>
  <c r="BN433" i="58"/>
  <c r="BN395" i="58"/>
  <c r="BN513" i="58"/>
  <c r="BN356" i="58"/>
  <c r="BN316" i="58"/>
  <c r="BN303" i="58"/>
  <c r="BN481" i="58"/>
  <c r="BN385" i="58"/>
  <c r="BN516" i="58"/>
  <c r="BN340" i="58"/>
  <c r="BN330" i="58"/>
  <c r="X131" i="58"/>
  <c r="X133" i="58"/>
  <c r="M133" i="58"/>
  <c r="N133" i="58"/>
  <c r="AK131" i="58"/>
  <c r="BN515" i="58"/>
  <c r="BN426" i="58"/>
  <c r="BN417" i="58"/>
  <c r="BN459" i="58"/>
  <c r="BN287" i="58"/>
  <c r="BN314" i="58"/>
  <c r="BN398" i="58"/>
  <c r="BN317" i="58"/>
  <c r="BN495" i="58"/>
  <c r="BN305" i="58"/>
  <c r="BN403" i="58"/>
  <c r="BN445" i="58"/>
  <c r="AX158" i="58"/>
  <c r="AK154" i="58"/>
  <c r="BN444" i="58"/>
  <c r="BN442" i="58"/>
  <c r="AX155" i="58"/>
  <c r="X135" i="58"/>
  <c r="X156" i="58"/>
  <c r="BN65" i="58"/>
  <c r="BN351" i="58"/>
  <c r="BN479" i="58"/>
  <c r="BN415" i="58"/>
  <c r="BN507" i="58"/>
  <c r="BN378" i="58"/>
  <c r="BN337" i="58"/>
  <c r="BN335" i="58"/>
  <c r="BN519" i="58"/>
  <c r="BN428" i="58"/>
  <c r="BN438" i="58"/>
  <c r="BN319" i="58"/>
  <c r="U584" i="35"/>
  <c r="AK153" i="58"/>
  <c r="X155" i="58"/>
  <c r="M155" i="58"/>
  <c r="N155" i="58"/>
  <c r="BN489" i="58"/>
  <c r="BN441" i="58"/>
  <c r="BN339" i="58"/>
  <c r="BN331" i="58"/>
  <c r="BN166" i="58"/>
  <c r="BN355" i="58"/>
  <c r="BN359" i="58"/>
  <c r="BN518" i="58"/>
  <c r="BN423" i="58"/>
  <c r="BN391" i="58"/>
  <c r="BN235" i="58"/>
  <c r="BN307" i="58"/>
  <c r="BN509" i="58"/>
  <c r="BN497" i="58"/>
  <c r="BN465" i="58"/>
  <c r="BN396" i="58"/>
  <c r="BN343" i="58"/>
  <c r="BN511" i="58"/>
  <c r="BN430" i="58"/>
  <c r="BN279" i="58"/>
  <c r="AK157" i="58"/>
  <c r="X157" i="58"/>
  <c r="BN136" i="58"/>
  <c r="AX156" i="58"/>
  <c r="U370" i="35"/>
  <c r="BN282" i="58"/>
  <c r="AK133" i="58"/>
  <c r="AX132" i="58"/>
  <c r="AK132" i="58"/>
  <c r="BN299" i="58"/>
  <c r="BN373" i="58"/>
  <c r="BN439" i="58"/>
  <c r="U110" i="35"/>
  <c r="BN380" i="58"/>
  <c r="BN466" i="58"/>
  <c r="BN346" i="58"/>
  <c r="BN508" i="58"/>
  <c r="U498" i="35"/>
  <c r="BN484" i="58"/>
  <c r="BN399" i="58"/>
  <c r="BN298" i="58"/>
  <c r="BN498" i="58"/>
  <c r="BN186" i="58"/>
  <c r="BN419" i="58"/>
  <c r="BN493" i="58"/>
  <c r="BN327" i="58"/>
  <c r="BN409" i="58"/>
  <c r="BN387" i="58"/>
  <c r="BN363" i="58"/>
  <c r="BN300" i="58"/>
  <c r="BN325" i="58"/>
  <c r="BN362" i="58"/>
  <c r="BN401" i="58"/>
  <c r="BN394" i="58"/>
  <c r="BN474" i="58"/>
  <c r="BN374" i="58"/>
  <c r="BN447" i="58"/>
  <c r="BN295" i="58"/>
  <c r="BN443" i="58"/>
  <c r="BN297" i="58"/>
  <c r="BN225" i="58"/>
  <c r="BN276" i="58"/>
  <c r="U24" i="35"/>
  <c r="BN215" i="58"/>
  <c r="BN347" i="58"/>
  <c r="BN291" i="58"/>
  <c r="BN315" i="58"/>
  <c r="BN87" i="58"/>
  <c r="U282" i="35"/>
  <c r="BN531" i="58"/>
  <c r="U66" i="35"/>
  <c r="U238" i="35"/>
  <c r="BN530" i="58"/>
  <c r="AX153" i="58"/>
  <c r="AX134" i="58"/>
  <c r="AK130" i="58"/>
  <c r="AK134" i="58"/>
  <c r="BN514" i="58"/>
  <c r="BN364" i="58"/>
  <c r="BN66" i="58"/>
  <c r="BN383" i="58"/>
  <c r="BN386" i="58"/>
  <c r="BN162" i="58"/>
  <c r="BN367" i="58"/>
  <c r="BN455" i="58"/>
  <c r="BN407" i="58"/>
  <c r="BN517" i="58"/>
  <c r="BN301" i="58"/>
  <c r="BN354" i="58"/>
  <c r="BN483" i="58"/>
  <c r="BN289" i="58"/>
  <c r="BN345" i="58"/>
  <c r="BN503" i="58"/>
  <c r="BN475" i="58"/>
  <c r="BN161" i="58"/>
  <c r="BN144" i="58"/>
  <c r="BN323" i="58"/>
  <c r="BN451" i="58"/>
  <c r="BN371" i="58"/>
  <c r="BN491" i="58"/>
  <c r="BN197" i="58"/>
  <c r="BN165" i="58"/>
  <c r="BN69" i="58"/>
  <c r="BN467" i="58"/>
  <c r="BN458" i="58"/>
  <c r="BN523" i="58"/>
  <c r="BN283" i="58"/>
  <c r="BN427" i="58"/>
  <c r="BN73" i="58"/>
  <c r="BN168" i="58"/>
  <c r="BN435" i="58"/>
  <c r="BN89" i="58"/>
  <c r="U324" i="35"/>
  <c r="U152" i="35"/>
  <c r="AX133" i="58"/>
  <c r="AK156" i="58"/>
  <c r="X129" i="58"/>
  <c r="U456" i="35"/>
  <c r="AK129" i="58"/>
  <c r="AK152" i="58"/>
  <c r="U627" i="35"/>
  <c r="BN538" i="58"/>
  <c r="BN537" i="58"/>
  <c r="BN535" i="58"/>
  <c r="BN536" i="58"/>
  <c r="BN533" i="58"/>
  <c r="BN534" i="58"/>
  <c r="BN154" i="58"/>
  <c r="BN130" i="58"/>
  <c r="BN158" i="58"/>
  <c r="BN152" i="58"/>
  <c r="BN131" i="58"/>
  <c r="BN135" i="58"/>
  <c r="BN155" i="58"/>
  <c r="BN153" i="58"/>
  <c r="BN157" i="58"/>
  <c r="BN156" i="58"/>
  <c r="BN133" i="58"/>
  <c r="BN132" i="58"/>
  <c r="BN134" i="58"/>
  <c r="BN129" i="58"/>
  <c r="AX529" i="58"/>
  <c r="BN529" i="58"/>
  <c r="R36" i="7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<sst xmlns="http://schemas.openxmlformats.org/spreadsheetml/2006/main" count="57244" uniqueCount="7654">
  <si>
    <t>COUNTRY:</t>
  </si>
  <si>
    <t>GRANT NUMBER:</t>
  </si>
  <si>
    <t>COMPONENT:</t>
  </si>
  <si>
    <t xml:space="preserve">PR: </t>
  </si>
  <si>
    <t>Please include all listed documents as attachments</t>
  </si>
  <si>
    <t>2) Diagnostic test algorithms for the relevant Disease</t>
  </si>
  <si>
    <t>3) National Quantification Report (including lab) based on which quantities in the Health Product Management Tool (HPMT) derive</t>
  </si>
  <si>
    <t>4) Entities involved in forecasting/national forecasting committee - latest meeting minutes</t>
  </si>
  <si>
    <t>7) Financial Contributions for health products (all sources of funding available to meet the targets) and the financial gap analysis for health products for the three-year grant period.</t>
  </si>
  <si>
    <t>9) Buffer stock and rationale for inclusion in the calculations</t>
  </si>
  <si>
    <t xml:space="preserve">10) Calculation worksheets with assumptions used and the formula </t>
  </si>
  <si>
    <t>In Case of reprogramming / reallocation / use of savings, the following are mandatory:</t>
  </si>
  <si>
    <t xml:space="preserve">v.       For procurements already executed during the grant period and until the submission, update retrospectively quantities already procured and actual final costs (projected at the grant signing vs. actuals at the time of the submission of the new request) </t>
  </si>
  <si>
    <t>Mozambique</t>
  </si>
  <si>
    <t>LANGUAGE:</t>
  </si>
  <si>
    <t>English</t>
  </si>
  <si>
    <t>LAST UPDATE (DD/MM/YYYY)</t>
  </si>
  <si>
    <t xml:space="preserve">CURRENCY: </t>
  </si>
  <si>
    <t>USD</t>
  </si>
  <si>
    <t>Malaria</t>
  </si>
  <si>
    <t>PR CONTACT:</t>
  </si>
  <si>
    <t xml:space="preserve">Full name: </t>
  </si>
  <si>
    <t xml:space="preserve">Position: </t>
  </si>
  <si>
    <t xml:space="preserve">Email: </t>
  </si>
  <si>
    <t>PROCUREMENT ENTITY:</t>
  </si>
  <si>
    <t>Year 1</t>
  </si>
  <si>
    <t>Year 2</t>
  </si>
  <si>
    <t>Year 3</t>
  </si>
  <si>
    <t>Year 4</t>
  </si>
  <si>
    <t>Q1 Start Date</t>
  </si>
  <si>
    <t>Q13 Start Date</t>
  </si>
  <si>
    <t>TYPE OF PAYMENT</t>
  </si>
  <si>
    <t>Q13 End Date</t>
  </si>
  <si>
    <t>Q14 Start Date</t>
  </si>
  <si>
    <t>M</t>
  </si>
  <si>
    <t xml:space="preserve">Antimalaria medicines </t>
  </si>
  <si>
    <t>At delivery</t>
  </si>
  <si>
    <t>Q14 End Date</t>
  </si>
  <si>
    <t>H, C, T</t>
  </si>
  <si>
    <t>Antiretroviral medicines</t>
  </si>
  <si>
    <t>Q15 Start Date</t>
  </si>
  <si>
    <t>Anti-tuberculosis medicines</t>
  </si>
  <si>
    <t>Q15 End Date</t>
  </si>
  <si>
    <t xml:space="preserve">H, C </t>
  </si>
  <si>
    <t>Opioid substitute medicines</t>
  </si>
  <si>
    <t>Q16 Start Date</t>
  </si>
  <si>
    <t>Q16 End Date</t>
  </si>
  <si>
    <t>H, C</t>
  </si>
  <si>
    <t>Condoms and lubricants</t>
  </si>
  <si>
    <t>Payment Currency</t>
  </si>
  <si>
    <t>HIV Rapid Diagnostic Test</t>
  </si>
  <si>
    <t>Malaria Rapid Diagnostic Test</t>
  </si>
  <si>
    <t>Other</t>
  </si>
  <si>
    <t>EUR</t>
  </si>
  <si>
    <t>H, C, T, M</t>
  </si>
  <si>
    <t>VMMC kits</t>
  </si>
  <si>
    <t>LLINs</t>
  </si>
  <si>
    <t>Insecticides</t>
  </si>
  <si>
    <t>T, C</t>
  </si>
  <si>
    <t>Other laboratory reagents</t>
  </si>
  <si>
    <t>Other consumables</t>
  </si>
  <si>
    <t>Health equipment</t>
  </si>
  <si>
    <t>Other health equipment</t>
  </si>
  <si>
    <t>Maintenance and service costs for health equipment</t>
  </si>
  <si>
    <t>Go to HIV-Pharmaceuticals</t>
  </si>
  <si>
    <t>Go to HIV-Equipment</t>
  </si>
  <si>
    <t>Go to HIV-Other HPs</t>
  </si>
  <si>
    <t xml:space="preserve">DATA - PATIENTS ON ANTIRETROVIRAL TREATMENT </t>
  </si>
  <si>
    <t>Grant starting</t>
  </si>
  <si>
    <t>Target - End of Y1</t>
  </si>
  <si>
    <t>Target - End of Y2</t>
  </si>
  <si>
    <t>Target - End of Y3</t>
  </si>
  <si>
    <t xml:space="preserve">Data source </t>
  </si>
  <si>
    <t xml:space="preserve">Total number of patients on ART  </t>
  </si>
  <si>
    <t xml:space="preserve">Total number of adults on ART </t>
  </si>
  <si>
    <t xml:space="preserve">Total number of adults on 1st line ART </t>
  </si>
  <si>
    <t xml:space="preserve">Total number of adults on 2nd line ART </t>
  </si>
  <si>
    <t xml:space="preserve">Total number of adults on 3rd line ART </t>
  </si>
  <si>
    <t xml:space="preserve">Total number of pediatrics on ART </t>
  </si>
  <si>
    <t xml:space="preserve">Total number of pediatrics on 1st line ART </t>
  </si>
  <si>
    <t xml:space="preserve">Total number of pediatrics on 2nd line ART </t>
  </si>
  <si>
    <t>DATA - LABORATORY</t>
  </si>
  <si>
    <t xml:space="preserve">Viral Load and EID available equipments in the country </t>
  </si>
  <si>
    <t xml:space="preserve">Brand </t>
  </si>
  <si>
    <t>Model</t>
  </si>
  <si>
    <t xml:space="preserve">Total number of equipment in country </t>
  </si>
  <si>
    <t>Number of equipment rented</t>
  </si>
  <si>
    <t>Number of equipment purchased</t>
  </si>
  <si>
    <t>DATA - PRE EXPOSURE PROPHYLAXIS</t>
  </si>
  <si>
    <t xml:space="preserve">Is the Global Fund supporting PrEP for : </t>
  </si>
  <si>
    <t>MSM</t>
  </si>
  <si>
    <t>Yes</t>
  </si>
  <si>
    <t>Sex workers and their clients</t>
  </si>
  <si>
    <t xml:space="preserve">Transgenders </t>
  </si>
  <si>
    <t>No</t>
  </si>
  <si>
    <t>PPL</t>
  </si>
  <si>
    <t>Adolescents and youth</t>
  </si>
  <si>
    <t>Expected number of Viral Load tests to perform per year, per sample type and per type of equipment</t>
  </si>
  <si>
    <t>Sample type</t>
  </si>
  <si>
    <t>Target total number for Y1</t>
  </si>
  <si>
    <t>Target total number for Y2</t>
  </si>
  <si>
    <t>Target total number for Y3</t>
  </si>
  <si>
    <t>% tests to be processed as part of rental contract</t>
  </si>
  <si>
    <t>% to be supported by the grant</t>
  </si>
  <si>
    <t>Expected number of EID tests to perform per year, per sample type and per type of equipment</t>
  </si>
  <si>
    <t>Product</t>
  </si>
  <si>
    <t>Atazanavir/Ritonavir+Lamivudine/Zidovudine</t>
  </si>
  <si>
    <t>Abacavir</t>
  </si>
  <si>
    <t>Emtricitabine/Tenofovir+Nevirapine</t>
  </si>
  <si>
    <t>Lamivudine/Tenofovir+Atazanavir+Ritonavir</t>
  </si>
  <si>
    <t>Abacavir/Lamivudine</t>
  </si>
  <si>
    <t>Abacavir/Lamivudine/Zidovudine</t>
  </si>
  <si>
    <t>Atazanavir</t>
  </si>
  <si>
    <t>Atazanavir/Ritonavir</t>
  </si>
  <si>
    <t>Darunavir</t>
  </si>
  <si>
    <t>Dolutegravir</t>
  </si>
  <si>
    <t>Efavirenz</t>
  </si>
  <si>
    <t>Lamivudine/Zidovudine+Efavirenz</t>
  </si>
  <si>
    <t>Efavirenz/Emtricitabine/Tenofovir</t>
  </si>
  <si>
    <t>Efavirenz/Lamivudine/Tenofovir</t>
  </si>
  <si>
    <t>Emtricitabine</t>
  </si>
  <si>
    <t>Emtricitabine/Tenofovir</t>
  </si>
  <si>
    <t>Etravirine</t>
  </si>
  <si>
    <t>Fosamprenavir</t>
  </si>
  <si>
    <t>Lamivudine</t>
  </si>
  <si>
    <t>Lamivudine/Tenofovir</t>
  </si>
  <si>
    <t>Lamivudine/Zidovudine</t>
  </si>
  <si>
    <t>Lopinavir/Ritonavir</t>
  </si>
  <si>
    <t>Nevirapine</t>
  </si>
  <si>
    <t>Raltegravir</t>
  </si>
  <si>
    <t>Ritonavir</t>
  </si>
  <si>
    <t>Tenofovir</t>
  </si>
  <si>
    <t>Zidovudine</t>
  </si>
  <si>
    <t>Buprenorphine-opioid substitute</t>
  </si>
  <si>
    <t>Methadone-opioid substitute</t>
  </si>
  <si>
    <t>Other ARV</t>
  </si>
  <si>
    <t>10mg/ml - Oral solution - Bottle of 170 ml</t>
  </si>
  <si>
    <t>200mg - Capsule - Bottle of 30</t>
  </si>
  <si>
    <t>50mg/ml - Oral suspension - Bottle of 225 ml</t>
  </si>
  <si>
    <t>700mg - Tablet - Bottle of 60</t>
  </si>
  <si>
    <t>2 mg - Box or bottle of 28 tab</t>
  </si>
  <si>
    <t>8mg - Box or bottle of 28 tab</t>
  </si>
  <si>
    <t>10mg - Blister - 100</t>
  </si>
  <si>
    <t>25mg - Blister - 100</t>
  </si>
  <si>
    <t>5mg - Blister - 100</t>
  </si>
  <si>
    <t>Back to HIV-Key Info</t>
  </si>
  <si>
    <t xml:space="preserve">HIV - Pharmaceuticals - Section 1 </t>
  </si>
  <si>
    <t>Go to OIs/STIs other medicines</t>
  </si>
  <si>
    <t>Opioid substitutes medicines</t>
  </si>
  <si>
    <t>Product INN</t>
  </si>
  <si>
    <t>Specification (dosage, form, packaging, pack size)</t>
  </si>
  <si>
    <t>Unit of measure</t>
  </si>
  <si>
    <t>Total grant period</t>
  </si>
  <si>
    <t>Finance</t>
  </si>
  <si>
    <t>Y1 Unit cost (payment currency)</t>
  </si>
  <si>
    <t>Y1 Q1 quantity</t>
  </si>
  <si>
    <t>Y1 Q2 quantity</t>
  </si>
  <si>
    <t>Y1 Q3 quantity</t>
  </si>
  <si>
    <t>Y1 Q4 quantity</t>
  </si>
  <si>
    <t>Y1 Total quantity</t>
  </si>
  <si>
    <t>Y1 Total cost</t>
  </si>
  <si>
    <t>Y2 Unit cost</t>
  </si>
  <si>
    <t>Y2 Q1 quantity</t>
  </si>
  <si>
    <t>Y2 Q2 quantity</t>
  </si>
  <si>
    <t>Y2 Q3 quantity</t>
  </si>
  <si>
    <t>Y2 Q4 quantity</t>
  </si>
  <si>
    <t>Y2 Total quantity</t>
  </si>
  <si>
    <t>Y2 Total cost</t>
  </si>
  <si>
    <t>Y3 Unit cost</t>
  </si>
  <si>
    <t>Y3 Q1 quantity</t>
  </si>
  <si>
    <t>Y3 Q2 quantity</t>
  </si>
  <si>
    <t>Y3 Q3 quantity</t>
  </si>
  <si>
    <t>Y3 Q4 quantity</t>
  </si>
  <si>
    <t>Y3 Total quantity</t>
  </si>
  <si>
    <t>Y3 Total cost</t>
  </si>
  <si>
    <t>Total quantity</t>
  </si>
  <si>
    <t xml:space="preserve">Total cost </t>
  </si>
  <si>
    <t>Cost input</t>
  </si>
  <si>
    <t xml:space="preserve">HIV - Pharmaceuticals - Section 2 </t>
  </si>
  <si>
    <t>Opportunistic infections and STI medicines</t>
  </si>
  <si>
    <t>Back to ARVs</t>
  </si>
  <si>
    <t>Other medicines</t>
  </si>
  <si>
    <t>Y1 Q1 cost</t>
  </si>
  <si>
    <t>Y1 Q3 cost</t>
  </si>
  <si>
    <t>Y1 Q4 cost</t>
  </si>
  <si>
    <t>Y2 Q1 cost</t>
  </si>
  <si>
    <t>Y2 Q2 cost</t>
  </si>
  <si>
    <t>Y2 Q3 cost</t>
  </si>
  <si>
    <t>Y2 Q4 cost</t>
  </si>
  <si>
    <t>Y3 Q1 cost</t>
  </si>
  <si>
    <t>Y3 Q2 cost</t>
  </si>
  <si>
    <t>Y3 Q3 cost</t>
  </si>
  <si>
    <t>Y3 Q4 cost</t>
  </si>
  <si>
    <t>Back to HIV-Pharma</t>
  </si>
  <si>
    <t xml:space="preserve">HIV - Equipment - Section 1 </t>
  </si>
  <si>
    <t>Type of equipment</t>
  </si>
  <si>
    <t>Type of product</t>
  </si>
  <si>
    <t>Specification (denomination, technical feature)</t>
  </si>
  <si>
    <t>Y1 Unit cost</t>
  </si>
  <si>
    <t>Viral load and/or EID analyzer</t>
  </si>
  <si>
    <t>Spare parts</t>
  </si>
  <si>
    <t>Equipment</t>
  </si>
  <si>
    <t>Freezer</t>
  </si>
  <si>
    <t>Sections</t>
  </si>
  <si>
    <t>Female condom</t>
  </si>
  <si>
    <t>Rapid Diagnostic Test - HIV</t>
  </si>
  <si>
    <t>HIV Viral Load test</t>
  </si>
  <si>
    <t>Lubricant</t>
  </si>
  <si>
    <t>Male condom</t>
  </si>
  <si>
    <t>Rapid Diagnostic Test - Syphilis</t>
  </si>
  <si>
    <t>Rapid Diagnostic Test - Cryptococcus</t>
  </si>
  <si>
    <t>Rapid Diagnostic Test - HBV</t>
  </si>
  <si>
    <t>Rapid Diagnostic Test - HCV</t>
  </si>
  <si>
    <t>HIV Early Infant Diagnosis</t>
  </si>
  <si>
    <t>Specifications</t>
  </si>
  <si>
    <t>Automated blood culture system, system for incubating and processing blood cultures</t>
  </si>
  <si>
    <t>Biological Safety Cabinet</t>
  </si>
  <si>
    <t>Centrifuges</t>
  </si>
  <si>
    <t>Warranty, maintenance and service</t>
  </si>
  <si>
    <t>Chemistry analyzer</t>
  </si>
  <si>
    <t>DNA extraction, amplification, isolation, purification, detection and sequencing analyzers</t>
  </si>
  <si>
    <t>Flow cytometry analyzer (CD4)</t>
  </si>
  <si>
    <t>Hematology analyzer</t>
  </si>
  <si>
    <t>Microbiology analyzers</t>
  </si>
  <si>
    <t>Refrigerator</t>
  </si>
  <si>
    <t>Spectrofluorimeters or fluorimeters</t>
  </si>
  <si>
    <t>GeneXpert</t>
  </si>
  <si>
    <t xml:space="preserve">HIV - Other health products - Section 1 </t>
  </si>
  <si>
    <t xml:space="preserve">Condoms </t>
  </si>
  <si>
    <t>Go to RDTs (Section 2)</t>
  </si>
  <si>
    <t>Go to VL/EID (Section 3)</t>
  </si>
  <si>
    <t>Go to lab reagents 
(Section 4)</t>
  </si>
  <si>
    <t>Lubricants</t>
  </si>
  <si>
    <t>Specifications (Size, feature, pack size)</t>
  </si>
  <si>
    <t>Group/population</t>
  </si>
  <si>
    <t xml:space="preserve">% of total male condoms </t>
  </si>
  <si>
    <t>% of total female condoms</t>
  </si>
  <si>
    <t>% of total lubricant</t>
  </si>
  <si>
    <t>PMTCT</t>
  </si>
  <si>
    <t>HIV - Other health products - Section 2</t>
  </si>
  <si>
    <t xml:space="preserve">Rapid Diagnosic Tests (HIV, Syphilis, Hep B, Hep C, </t>
  </si>
  <si>
    <t>Go to condoms (Section 1)</t>
  </si>
  <si>
    <t>Cryptococcus)</t>
  </si>
  <si>
    <t>Specification (type, brand/name, w or w/o accessories, # of tests per pack)</t>
  </si>
  <si>
    <t>Unif of measure</t>
  </si>
  <si>
    <t>% of total HIV tests</t>
  </si>
  <si>
    <t>HIV - Other health products - Section 3</t>
  </si>
  <si>
    <t xml:space="preserve">Laboratory reagents </t>
  </si>
  <si>
    <t>(Viral Load and EID)</t>
  </si>
  <si>
    <t>Specifications (Manufacturer, type of bundle, contract option, # of tests per pack)</t>
  </si>
  <si>
    <t>Total cost</t>
  </si>
  <si>
    <t xml:space="preserve">Specifications (Denomination, technical features, pack size) </t>
  </si>
  <si>
    <t>Go to TB-Pharma</t>
  </si>
  <si>
    <t>Go to TB-Other HPs &amp; Equipment</t>
  </si>
  <si>
    <t xml:space="preserve">DATA - EXPECTED NUMBER OF CASES TO BE TREATED </t>
  </si>
  <si>
    <t xml:space="preserve">Total number of expected sensitive TB cases </t>
  </si>
  <si>
    <t xml:space="preserve">Total number of expected ADULTS sensitive TB cases </t>
  </si>
  <si>
    <t xml:space="preserve">Number of expected ADULTS sensitive TB new cases </t>
  </si>
  <si>
    <t>Number of expected ADULTS sensitive TB retreatment</t>
  </si>
  <si>
    <t xml:space="preserve">Total number of expected PEDIATRICS sensitive TB cases </t>
  </si>
  <si>
    <t xml:space="preserve">Number of expected PEDIATRICS sensitive TB new cases </t>
  </si>
  <si>
    <t>Number of expected PEDIATRICS sensitive TB retreatment</t>
  </si>
  <si>
    <t xml:space="preserve">Total number of expected MDR TB new cases </t>
  </si>
  <si>
    <t xml:space="preserve">Total number of expected XDR TB new cases </t>
  </si>
  <si>
    <t xml:space="preserve">Is the country transitioning to injection free treatment regimen? </t>
  </si>
  <si>
    <t xml:space="preserve">If yes, please specify when </t>
  </si>
  <si>
    <t>DATA - TB PREVENTATIVE THERAPTY (TPT)</t>
  </si>
  <si>
    <t>Adults</t>
  </si>
  <si>
    <t>Children</t>
  </si>
  <si>
    <t>Techologies and equipments available in the country and expected number of tests per year</t>
  </si>
  <si>
    <t xml:space="preserve">Techologies/equipments </t>
  </si>
  <si>
    <t>Available 
(yes/no)</t>
  </si>
  <si>
    <t>Number of laboratories or facilities equiped</t>
  </si>
  <si>
    <t>Total number of machines in country</t>
  </si>
  <si>
    <t>Expected number of tests to be performed/year</t>
  </si>
  <si>
    <t xml:space="preserve">Bacilloscopy - LED microscopy </t>
  </si>
  <si>
    <t xml:space="preserve">Bacilloscopy - Light microscopy </t>
  </si>
  <si>
    <t>&gt;110</t>
  </si>
  <si>
    <t>Culture - Solid Culture</t>
  </si>
  <si>
    <t>N/A</t>
  </si>
  <si>
    <t>Culture - Liquid/BACTEC™ MGIT™</t>
  </si>
  <si>
    <t>DST 1st line - Liquid Media</t>
  </si>
  <si>
    <t>DST 1st line - Solid Media</t>
  </si>
  <si>
    <t>DST 1st line - LPA/Hain</t>
  </si>
  <si>
    <t>DST 2nd line - Solid Media</t>
  </si>
  <si>
    <t>DST 2nd line - LPA/Hain</t>
  </si>
  <si>
    <t>Xray - Conventional</t>
  </si>
  <si>
    <t>Xray - Digital</t>
  </si>
  <si>
    <t>Xray - Mobile</t>
  </si>
  <si>
    <t>Back to TB key info</t>
  </si>
  <si>
    <t xml:space="preserve">TB - Pharmaceuticals - Section 1 </t>
  </si>
  <si>
    <t xml:space="preserve">Anti-tuberculosis medicines </t>
  </si>
  <si>
    <t>Go to other medicines</t>
  </si>
  <si>
    <t>Sensitive TB</t>
  </si>
  <si>
    <t>TB Cat I+III Patient Kit A</t>
  </si>
  <si>
    <t>Isoniazid/Pyrazinamide/Rifampicin</t>
  </si>
  <si>
    <t>Isoniazid/Rifampicin</t>
  </si>
  <si>
    <t>Isoniazid</t>
  </si>
  <si>
    <t>TB - Pharmaceuticals - Section 2</t>
  </si>
  <si>
    <t>Resistant TB</t>
  </si>
  <si>
    <t>Bedaquiline</t>
  </si>
  <si>
    <t>Amikacin</t>
  </si>
  <si>
    <t>500mg/2ml solution for injection - 1 vial</t>
  </si>
  <si>
    <t>Linezolide</t>
  </si>
  <si>
    <t>Pyrazinamide</t>
  </si>
  <si>
    <t>TB - Pharmaceuticals - Section 3</t>
  </si>
  <si>
    <t>TB Prevention</t>
  </si>
  <si>
    <t>Back to anti TB medicines</t>
  </si>
  <si>
    <t>Y1 Q2 cost</t>
  </si>
  <si>
    <t>Cost category</t>
  </si>
  <si>
    <t xml:space="preserve">TB - Non Pharmaceuticals and equipment - Section 1 </t>
  </si>
  <si>
    <t>Microscopy - Equipment &amp; reagents</t>
  </si>
  <si>
    <t>Go GeneXpert (Section 2)</t>
  </si>
  <si>
    <t>Go Culture/DST (Section 3)</t>
  </si>
  <si>
    <t>Go to LPA (Section 4)</t>
  </si>
  <si>
    <t>(Light and LED)</t>
  </si>
  <si>
    <t>TB-Other HPs &amp; Equipment-section 1</t>
  </si>
  <si>
    <t>Microscope-Maintenance and services</t>
  </si>
  <si>
    <t xml:space="preserve">TB - Non Pharmaceuticals and equipment - Section 2 </t>
  </si>
  <si>
    <t>Go to microscopy (Section 1)</t>
  </si>
  <si>
    <t>TB - Non Pharmaceuticals and equipment - Section 3</t>
  </si>
  <si>
    <t>TB - Non Pharmaceuticals and equipment - Section 4</t>
  </si>
  <si>
    <t>Molecular diagnosis/LPA-Equipment</t>
  </si>
  <si>
    <t>Molecular diagnosis/LPA-Equipment spare parts and accessories</t>
  </si>
  <si>
    <t>Equipment-BACTEC MGIT system maintenance and services</t>
  </si>
  <si>
    <t>Molecular diagnosis/LPA-Equipment maintenance and services</t>
  </si>
  <si>
    <t>Calibration and check kit</t>
  </si>
  <si>
    <t>Laboratory equipment-Spare parts and accessories</t>
  </si>
  <si>
    <t>Laboratory equipment-Other equipment</t>
  </si>
  <si>
    <t>Laboratory equipment-Other maintenance and services</t>
  </si>
  <si>
    <t>MTB/MPT64 identification-Rapid test</t>
  </si>
  <si>
    <t>Liquid culture and DST-Reagents kits</t>
  </si>
  <si>
    <t>Go to Malaria-Pharma</t>
  </si>
  <si>
    <t>Go to Malaria Other HPs &amp; Equipment</t>
  </si>
  <si>
    <t>DATA - EXPECTED NUMBER OF CASES TO BE TREATED (CASE MANAGEMENT)</t>
  </si>
  <si>
    <r>
      <t>% of</t>
    </r>
    <r>
      <rPr>
        <b/>
        <i/>
        <sz val="11"/>
        <color rgb="FFEAAD00"/>
        <rFont val="Calibri"/>
        <family val="2"/>
        <scheme val="minor"/>
      </rPr>
      <t xml:space="preserve"> P.f.</t>
    </r>
  </si>
  <si>
    <r>
      <t xml:space="preserve">% of </t>
    </r>
    <r>
      <rPr>
        <b/>
        <i/>
        <sz val="11"/>
        <color rgb="FFEAAD00"/>
        <rFont val="Calibri"/>
        <family val="2"/>
        <scheme val="minor"/>
      </rPr>
      <t>P.v.</t>
    </r>
  </si>
  <si>
    <r>
      <t xml:space="preserve">% of </t>
    </r>
    <r>
      <rPr>
        <b/>
        <i/>
        <sz val="11"/>
        <color rgb="FFEAAD00"/>
        <rFont val="Calibri"/>
        <family val="2"/>
        <scheme val="minor"/>
      </rPr>
      <t>P.m.</t>
    </r>
  </si>
  <si>
    <t>% of mixed infection</t>
  </si>
  <si>
    <t xml:space="preserve">Total number of malaria cases to be treated  </t>
  </si>
  <si>
    <t xml:space="preserve">Total number of ADULTS malaria cases to be treated  </t>
  </si>
  <si>
    <t>Number of adults UNCOMPLICATED malaria cases to be treated</t>
  </si>
  <si>
    <t>Number of adults SEVERE malaria cases to be treated</t>
  </si>
  <si>
    <t xml:space="preserve">Total number of PEDIATRICS malaria cases to be treated  </t>
  </si>
  <si>
    <t>Number of pediatrics UNCOMPLICATED malaria cases to be treated</t>
  </si>
  <si>
    <t>Number of pediatrics &lt; 15kg uncomplicated malaria cases to be treated</t>
  </si>
  <si>
    <t>Number of pediatrics 15kg-25kg uncomplicated malaria cases to be treated</t>
  </si>
  <si>
    <t>Number of pediatrics 25kg-35kg uncomplicated malaria cases to be treated</t>
  </si>
  <si>
    <t>Number of pediatrics SEVERE malaria cases to be treated</t>
  </si>
  <si>
    <t>Percentage of UNCOMPLICATED malaria cases to be treated in the community</t>
  </si>
  <si>
    <t>Percentage of UNCOMPLICATED malaria cases to be treated in health facilities</t>
  </si>
  <si>
    <t>Percentage of UNCOMPLICATED malaria cases to be treated in private sector</t>
  </si>
  <si>
    <t>DATA - SPECIFIC PREVENTION INTERVENTIONS (SPI)</t>
  </si>
  <si>
    <t>Total number of cases to receive chemoprevention</t>
  </si>
  <si>
    <t>Percentage of cases to receive chemoprevention (pregnancy)</t>
  </si>
  <si>
    <t>Percentage of cases to receive chemoprevention (infancy)</t>
  </si>
  <si>
    <t>Percentage of cases to receive chemoprevention (seasonal malaria chemoprevention)</t>
  </si>
  <si>
    <t>Percentage of cases to receive chemoprevention (mass drug administration)</t>
  </si>
  <si>
    <t>DATA - LABORATORY (CASE MANAGEMENT)</t>
  </si>
  <si>
    <t>Expected number of tests to be performed per method per year</t>
  </si>
  <si>
    <t>Method</t>
  </si>
  <si>
    <t>Number of lab or facilities requiring to be equiped</t>
  </si>
  <si>
    <t>Number of lab or facilities equiped</t>
  </si>
  <si>
    <t>Number of machines available</t>
  </si>
  <si>
    <t>Expected number of tests to be performed/method/year</t>
  </si>
  <si>
    <t xml:space="preserve">Microscopy </t>
  </si>
  <si>
    <t xml:space="preserve">Rapid Diagnostic Test </t>
  </si>
  <si>
    <t>% of RDTs to be used in health facility</t>
  </si>
  <si>
    <t>% of RDTs to be used in community</t>
  </si>
  <si>
    <t>% of RDTs to be used in private sector</t>
  </si>
  <si>
    <t>DATA - VECTOR CONTROL</t>
  </si>
  <si>
    <t xml:space="preserve">Is the country using LLINs as vector control measure ? </t>
  </si>
  <si>
    <t xml:space="preserve">If yes, how are the LLINs distributed?  </t>
  </si>
  <si>
    <t>ANC clinics</t>
  </si>
  <si>
    <t>EPI facilities</t>
  </si>
  <si>
    <t>Continuously in community</t>
  </si>
  <si>
    <t>Continuously in schools</t>
  </si>
  <si>
    <t>Mass campaign (universal)</t>
  </si>
  <si>
    <t>Mass campaign (targeted)</t>
  </si>
  <si>
    <t>Total number of LLINs to be distributed per year (mass campaign)</t>
  </si>
  <si>
    <t>Total number of LLINs to be distributed per year (routine distribution)</t>
  </si>
  <si>
    <t xml:space="preserve">Is the country using IRS as vector control measure ? </t>
  </si>
  <si>
    <t>Number of structures to be sprayed each year</t>
  </si>
  <si>
    <t>Back to Malaria key info</t>
  </si>
  <si>
    <t xml:space="preserve">Malaria - Pharmaceuticals - Section 1 </t>
  </si>
  <si>
    <t>For treatment</t>
  </si>
  <si>
    <t>Artemether/Lumefantrine</t>
  </si>
  <si>
    <t>All 4 lines (pack sizes) of Artemether/Lumefrantine should sum per quarter as a total US$ value. This value should be multiplied by the percentages found in Malaria-Key Info Line 52 based on the "modules and interventions" selected in the detailed budget. The quarter in which it should be reflected in the DB depends on the payment modality set in the SETUP tab.</t>
  </si>
  <si>
    <t>Primaquine</t>
  </si>
  <si>
    <t>This line (Primaquine) should sum per quarter as a total US$ value. This value should be multiplied by the percentages found in Malaria-Key Info Line 53 based on the "modules and interventions" selected in the detailed budget. The quarter in which it should be reflected in the DB depends on the payment modality set in the SETUP tab.</t>
  </si>
  <si>
    <t>Sulfadoxine/Pyrimethamine</t>
  </si>
  <si>
    <t>This line (Sulphadoxine/Pyramethamine) should sum per quarter as a total US$ value. This value should be multiplied by the percentages found in Malaria-Key Info Line 64 based on the "modules and interventions" selected in the detailed budget. The quarter in which it should be reflected in the DB depends on the payment modality set in the SETUP tab.</t>
  </si>
  <si>
    <t>Artesunate/amodiaquine</t>
  </si>
  <si>
    <t>This line (Artesunate Amodiaquine) should sum per quarter as a total US$ value. This value should be multiplied by the percentages found in Malaria-Key Info Line 55 based on the "modules and interventions" selected in the detailed budget. The quarter in which it should be reflected in the DB depends on the payment modality set in the SETUP tab.</t>
  </si>
  <si>
    <t>Artesunate</t>
  </si>
  <si>
    <t>Both Artesunate items should sum per quarter as a total US$ value. This value should be multiplied by the percentages found in Malaria-Key Info Line 56 based on the "modules and interventions" selected in the detailed budget. The quarter in which it should be reflected in the DB depends on the payment modality set in the SETUP tab.</t>
  </si>
  <si>
    <t xml:space="preserve">Malaria - Pharmaceuticals - Section 2 </t>
  </si>
  <si>
    <t>Back to antimalaria</t>
  </si>
  <si>
    <t>For prevention</t>
  </si>
  <si>
    <t xml:space="preserve">Product (english) &amp; Specifications </t>
  </si>
  <si>
    <t>Amodiaquine+Sulfadoxine/Pyrimethamine</t>
  </si>
  <si>
    <t>Artesunate/Mefloquine</t>
  </si>
  <si>
    <t>Artesunate/Pyronaridine</t>
  </si>
  <si>
    <t>Artesunate+Sulfadoxine/Pyrimethamine</t>
  </si>
  <si>
    <t>Chloroquine</t>
  </si>
  <si>
    <t>Mefloquine</t>
  </si>
  <si>
    <t>Piperaquine/Dihydroartemisinin</t>
  </si>
  <si>
    <t>Proguanil</t>
  </si>
  <si>
    <t>Quinine</t>
  </si>
  <si>
    <t>7.5mg (as base) (equivalent to 13.2mg Primaquine Phosphate) 10 tablet 10 blister</t>
  </si>
  <si>
    <t>7.5mg (as base) (equivalent to 13.2mg Primaquine Phosphate) 10 tablet 100 blister</t>
  </si>
  <si>
    <t>100mg tablet 100</t>
  </si>
  <si>
    <t>300mg 100</t>
  </si>
  <si>
    <t>300mg 1000</t>
  </si>
  <si>
    <t xml:space="preserve">[enter specifications manually] </t>
  </si>
  <si>
    <t>IRS-Insecticides</t>
  </si>
  <si>
    <t>Malaria Rapid Diagnostic Test Kit - Pf/PAN - 25 tests</t>
  </si>
  <si>
    <t>Malaria Rapid Diagnostic Test Kit - Pf/Pv - 25 tests</t>
  </si>
  <si>
    <t>Amoxicillin/Clavulanic acid</t>
  </si>
  <si>
    <t>500mg/2ml solution for injection - 10 vial</t>
  </si>
  <si>
    <t>Clarithromycin</t>
  </si>
  <si>
    <t>Clofazimine</t>
  </si>
  <si>
    <t>Cycloserine</t>
  </si>
  <si>
    <t>Delamanid</t>
  </si>
  <si>
    <t>Ethambutol</t>
  </si>
  <si>
    <t>Ethambutol/Isoniazid/Pyrazinamide/Rifampicin</t>
  </si>
  <si>
    <t>Ethambutol/Isoniazid/Rifampicin</t>
  </si>
  <si>
    <t>Ethionamide</t>
  </si>
  <si>
    <t>125mg/31.25mg/5ml powder for oral solution 100ml</t>
  </si>
  <si>
    <t>Imipenem/Cilastatin</t>
  </si>
  <si>
    <t>Kanamycin</t>
  </si>
  <si>
    <t>Levofloxacin</t>
  </si>
  <si>
    <t>250mg/62.5mg/5ml powder for oral solution 100ml</t>
  </si>
  <si>
    <t>Meropenem</t>
  </si>
  <si>
    <t>Moxifloxacin</t>
  </si>
  <si>
    <t>Para-AminoSalicylate Sodium</t>
  </si>
  <si>
    <t>Prothionamide</t>
  </si>
  <si>
    <t>Rifabutin</t>
  </si>
  <si>
    <t>Rifampicin</t>
  </si>
  <si>
    <t>Streptomycin</t>
  </si>
  <si>
    <t>TB Cat I+III Patient Kit C</t>
  </si>
  <si>
    <t>1g powder for solution for injection - 1 vial</t>
  </si>
  <si>
    <t>Water for injection</t>
  </si>
  <si>
    <t>250/250mg powder for solution for infusion 20ml - 10 vial</t>
  </si>
  <si>
    <t>500/500mg powder for solution for infusion 20ml - 10 vial</t>
  </si>
  <si>
    <t>50/150/75mg 10 tablet dispersible 10 blister</t>
  </si>
  <si>
    <t>50/150/75mg 28 tablet dispersible 3 blister</t>
  </si>
  <si>
    <t>1g powder for solution for injection - 10 vial</t>
  </si>
  <si>
    <t>4g granule 30</t>
  </si>
  <si>
    <t>5.52g (equiv 4g PAS) powder for oral solution - 25 sachet</t>
  </si>
  <si>
    <t>60% w/w 9.2g - 30 sachet</t>
  </si>
  <si>
    <t>20mg/ml granules for oral suspension 100ml</t>
  </si>
  <si>
    <t>20mg/ml granules for oral suspension 120ml</t>
  </si>
  <si>
    <t>1g powder for solution for injection - 50 vial</t>
  </si>
  <si>
    <t>250mg 50 capsule 1 blister</t>
  </si>
  <si>
    <t>5ml - 100 ampoule</t>
  </si>
  <si>
    <t>5ml - 1 ampoule</t>
  </si>
  <si>
    <t>5ml - 20 vial</t>
  </si>
  <si>
    <t>5ml - 50 vial</t>
  </si>
  <si>
    <t>Type of Payment</t>
  </si>
  <si>
    <t>Cost Input</t>
  </si>
  <si>
    <t>Product INN / Type of Product</t>
  </si>
  <si>
    <t>UOM</t>
  </si>
  <si>
    <t>Y1 Unit Cost
(Currency)</t>
  </si>
  <si>
    <t>Y1 Q1 Quantity</t>
  </si>
  <si>
    <t>Y1 Q1 Cost</t>
  </si>
  <si>
    <t>Y1 Q1 Quantity Outflow</t>
  </si>
  <si>
    <t>Y1 Q1 Cost Outflow</t>
  </si>
  <si>
    <t>Y1 Q2 Quantity</t>
  </si>
  <si>
    <t>Y1 Q2 Cost</t>
  </si>
  <si>
    <t>Y1 Q2 Quantity Outflow</t>
  </si>
  <si>
    <t>Y1 Q2 Cost Outflow</t>
  </si>
  <si>
    <t>Y1 Q3 Quantity</t>
  </si>
  <si>
    <t>Y1 Q3 Cost</t>
  </si>
  <si>
    <t>Y1 Q3 Quantity Outflow</t>
  </si>
  <si>
    <t>Y1 Q3 Cost Outflow</t>
  </si>
  <si>
    <t>Y1 Q4 Quantity</t>
  </si>
  <si>
    <t>Y1 Q4 Cost</t>
  </si>
  <si>
    <t>Y1 Q4 Quantity Outflow</t>
  </si>
  <si>
    <t>Y1 Q4 Cost Outflow</t>
  </si>
  <si>
    <t>Y2 Unit Cost
(Currency)</t>
  </si>
  <si>
    <t>Y2 Q1 Quantity</t>
  </si>
  <si>
    <t>Y2Q1 Cost</t>
  </si>
  <si>
    <t>Y2 Q1 Quantity Outflow</t>
  </si>
  <si>
    <t>Y2 Q1 Cost Outflow</t>
  </si>
  <si>
    <t>Y2 Q2 Quantity</t>
  </si>
  <si>
    <t>Y2 Q2 Cost</t>
  </si>
  <si>
    <t>Y2 Q2 Quantity Outflow</t>
  </si>
  <si>
    <t>Y2 Q2 Cost Outflow</t>
  </si>
  <si>
    <t>Y2 Q3 Quantity</t>
  </si>
  <si>
    <t>Y2 Q3 Cost</t>
  </si>
  <si>
    <t>Y2 Q3 Quantity Outflow</t>
  </si>
  <si>
    <t>Y2 Q3 Cost Outflow</t>
  </si>
  <si>
    <t>Y2 Q4 Quantity</t>
  </si>
  <si>
    <t>Y2 Q4 Cost</t>
  </si>
  <si>
    <t>Y2 Q4 Quantity Outflow</t>
  </si>
  <si>
    <t>Y2 Q4 Cost Outflow</t>
  </si>
  <si>
    <t>Y3 Unit Cost
(Currency)</t>
  </si>
  <si>
    <t>Y3 Q1 Quantity</t>
  </si>
  <si>
    <t>Y3 Q1 Cost</t>
  </si>
  <si>
    <t>Y3 Q1 Quantity Outflow</t>
  </si>
  <si>
    <t>Y3 Q1 Cost Outflow</t>
  </si>
  <si>
    <t>Y3 Q2 Quantity</t>
  </si>
  <si>
    <t>Y3 Q2 Cost</t>
  </si>
  <si>
    <t>Y3 Q2 Quantity Outflow</t>
  </si>
  <si>
    <t>Y3 Q2 Cost Outflow</t>
  </si>
  <si>
    <t>Y3 Q3 Quantity</t>
  </si>
  <si>
    <t>Y3 Q3 Cost</t>
  </si>
  <si>
    <t>Y3 Q3 Quantity Outflow</t>
  </si>
  <si>
    <t>Y3 Q3 Cost Outflow</t>
  </si>
  <si>
    <t>Y3 Q4 Quantity</t>
  </si>
  <si>
    <t>Y3 Q4 Cost</t>
  </si>
  <si>
    <t>Y3 Q4 Quantity Outflow</t>
  </si>
  <si>
    <t>Y3 Q4 Cost Outflow</t>
  </si>
  <si>
    <t>Y4 Q1 Quantity Outflow</t>
  </si>
  <si>
    <t>Y4  Q1 Cost Outflow</t>
  </si>
  <si>
    <t>Y4  Q2 Quantity Outflow</t>
  </si>
  <si>
    <t>Y4  Q2 Cost Outflow</t>
  </si>
  <si>
    <t>Y4 Q3 Quantity Outflow</t>
  </si>
  <si>
    <t>Y4 Q3 Cost Outflow</t>
  </si>
  <si>
    <t>Y4 Q4 Quantity Outflow</t>
  </si>
  <si>
    <t>Y4 Q4 Cost Outflow</t>
  </si>
  <si>
    <t>Malaria-Pharmaceuticals-Section 1</t>
  </si>
  <si>
    <t>Back to Malaria-Pharma</t>
  </si>
  <si>
    <t xml:space="preserve">Malaria - Non Pharmaceuticals and equipment - Section 1 </t>
  </si>
  <si>
    <t>Go to RDTs 
(Section 2)</t>
  </si>
  <si>
    <t>Go to Vector C
(Section 3)</t>
  </si>
  <si>
    <t xml:space="preserve">Malaria - Non Pharmaceuticals and equipment - Section 2 </t>
  </si>
  <si>
    <t>Rapid Diagnosic Tests</t>
  </si>
  <si>
    <t>Go to microscopy 
(Section 1)</t>
  </si>
  <si>
    <t xml:space="preserve">Specifications (Antigen(s) to detect, options/accesories, pack size) </t>
  </si>
  <si>
    <t>This line mRDT should sum per quarter as a total US$ value. This value should be multiplied by the percentages found in Malaria-Key Info Line 54 based on the "modules and interventions" selected in the detailed budget. The quarter in which it should be reflected in the DB depends on the payment modality set in the SETUP tab.</t>
  </si>
  <si>
    <t>Malaria - Non Pharmaceuticals and equipment - Section 3</t>
  </si>
  <si>
    <t xml:space="preserve">Vector control </t>
  </si>
  <si>
    <t>(LLINs, IRS, insecticides)</t>
  </si>
  <si>
    <t xml:space="preserve">Specifications (Denomination, technical features, pack size if applicable) </t>
  </si>
  <si>
    <t>Malaria - Non Pharmaceuticals and equipment - Section 4</t>
  </si>
  <si>
    <t>Consumables</t>
  </si>
  <si>
    <t>Laboratory equipment</t>
  </si>
  <si>
    <t>Health product management costs and investments - Costs associated to procurement</t>
  </si>
  <si>
    <t xml:space="preserve">Go to in country SC management (section 2) </t>
  </si>
  <si>
    <t>Procurement agent and handling fees (7.1)</t>
  </si>
  <si>
    <t>Type of health product</t>
  </si>
  <si>
    <t>Estimated PSA fee</t>
  </si>
  <si>
    <t>Y1 Q1 
cost</t>
  </si>
  <si>
    <t>Y1 Q2 
cost</t>
  </si>
  <si>
    <t>Y1 Q3 
cost</t>
  </si>
  <si>
    <t>Y1 Q4 
cost</t>
  </si>
  <si>
    <t>Y1 total 
cost</t>
  </si>
  <si>
    <t>Y2 Q1 
cost</t>
  </si>
  <si>
    <t>Y2 Q2 
cost</t>
  </si>
  <si>
    <t>Y2 Q3 
cost</t>
  </si>
  <si>
    <t>Y2 Q4 
cost</t>
  </si>
  <si>
    <t>Y2 total 
cost</t>
  </si>
  <si>
    <t>Y3 Q1 
cost</t>
  </si>
  <si>
    <t>Y3 Q2 
cost</t>
  </si>
  <si>
    <t>Y3 Q3 
cost</t>
  </si>
  <si>
    <t>Y3 Q4 
cost</t>
  </si>
  <si>
    <t>Y3 total 
cost</t>
  </si>
  <si>
    <t>Column1</t>
  </si>
  <si>
    <t xml:space="preserve">HIV - Pharmaceuticals </t>
  </si>
  <si>
    <t>ARVs</t>
  </si>
  <si>
    <t xml:space="preserve">OIs, STIs &amp; other medicines </t>
  </si>
  <si>
    <t xml:space="preserve">Opioid substitute medecines </t>
  </si>
  <si>
    <t xml:space="preserve">HIV - Equipment </t>
  </si>
  <si>
    <t>HIV - Other HPs</t>
  </si>
  <si>
    <t>RDTs for HIV</t>
  </si>
  <si>
    <t>RDTs for STIs, OIs &amp; hepatitis</t>
  </si>
  <si>
    <t>Reagents for VL &amp; EID</t>
  </si>
  <si>
    <t xml:space="preserve">TB - Pharmaceuticals </t>
  </si>
  <si>
    <t>Sensitive TB medicines</t>
  </si>
  <si>
    <t>MDR/XDR TB medicines</t>
  </si>
  <si>
    <t>TB - Other HPs &amp; Equipment</t>
  </si>
  <si>
    <t>GeneXpert - Equipment &amp; cartridges</t>
  </si>
  <si>
    <t>Consumables &amp; other equipment</t>
  </si>
  <si>
    <t xml:space="preserve">Malaria - Pharmaceuticals </t>
  </si>
  <si>
    <t>Antimalaria medicines - treatment</t>
  </si>
  <si>
    <t>Sum all antimalarials per quarter in Section 1 of Malaria-Pharmaceuticals. The total US$ value must be multiplied by the % in column E on this page to provide the relevant PSM costs per product category. The % are defaulted by the Secretariat but the PR should be able to adjust it. All other information and automatic calculations should be locked. The "quantity"/estimate column for this worksheet is not required; only US$ values.</t>
  </si>
  <si>
    <t>Antimalaria medicines -  prevention</t>
  </si>
  <si>
    <t>Malaria - Other HPs &amp; Equipment</t>
  </si>
  <si>
    <t>RDTs</t>
  </si>
  <si>
    <t>LLINs (mass campaign)</t>
  </si>
  <si>
    <t>LLINs (routine distribution)</t>
  </si>
  <si>
    <t>IRS equipment &amp; insecticides</t>
  </si>
  <si>
    <t>Other equipment for malaria</t>
  </si>
  <si>
    <t>Freight and insurance costs for health products (7.2)</t>
  </si>
  <si>
    <t>Estimated Freight and insurance % fee</t>
  </si>
  <si>
    <t>Estimated QA/QC % fee</t>
  </si>
  <si>
    <t>PSM Customs Clearance (7.6)</t>
  </si>
  <si>
    <t>Estimated PSM Customs Clearance fee</t>
  </si>
  <si>
    <t>Health product management costs and investments - Costs associated to in-country supply chain management</t>
  </si>
  <si>
    <t>Go to PSM costs 
(section 1)</t>
  </si>
  <si>
    <t>Cost description (e.g: service provider,…)</t>
  </si>
  <si>
    <t>Grant period</t>
  </si>
  <si>
    <t>Y1 total cost</t>
  </si>
  <si>
    <t>Y2 total cost</t>
  </si>
  <si>
    <t>Y3 total cost</t>
  </si>
  <si>
    <t>A % column should be added for this caluclation and the calculation should be automated. Sum all pharmaceuticals per quarter. The total US$ value must be multiplied by the % in column E on this page to provide the relevant PSM costs per product category. The % are defaulted by the Secretariat but the PR should be able to adjust it. All other information and automatic calculations should be locked. The "quantity"/estimate column for this worksheet is not required; only US$ values.</t>
  </si>
  <si>
    <t>In country QA and QC costs (7.5)</t>
  </si>
  <si>
    <t>HIV - Pharmaceuticals</t>
  </si>
  <si>
    <t>TB - Pharmaceuticals</t>
  </si>
  <si>
    <t>Malaria - Pharmaceuticals</t>
  </si>
  <si>
    <t>Other health products (excluding LLINs)</t>
  </si>
  <si>
    <t xml:space="preserve">LLINs </t>
  </si>
  <si>
    <t>Other procurement and supply management costs (7.7)</t>
  </si>
  <si>
    <t xml:space="preserve">Investment in RSSH for health products management systems </t>
  </si>
  <si>
    <t>Intervention of RSSH for HPM systems</t>
  </si>
  <si>
    <t>Concise description (e.g TA for the development of a supply chain master plan, TA to assess distribution system, refurbishment of regional warehouse…)</t>
  </si>
  <si>
    <t>Policy, strategy, governance</t>
  </si>
  <si>
    <t>Fiduciary agent fees</t>
  </si>
  <si>
    <t>Investment in RSSH for laboratory systems</t>
  </si>
  <si>
    <t>Intervention of RSSH for laboratory systems</t>
  </si>
  <si>
    <t>Concise description (e.g. TA to develop lab national strategic plan, refurbishment of the lab to improve biosafety…)</t>
  </si>
  <si>
    <t xml:space="preserve">National laboratory governance and management structures </t>
  </si>
  <si>
    <t>Laboratory infrastructure maintenance cost</t>
  </si>
  <si>
    <t>Module</t>
  </si>
  <si>
    <t>Intervention en</t>
  </si>
  <si>
    <t>Implementer</t>
  </si>
  <si>
    <t>Geography/Location</t>
  </si>
  <si>
    <t>Currency</t>
  </si>
  <si>
    <t>Unit of Measure</t>
  </si>
  <si>
    <t>Y1 Unit Cost (Payment Currency)</t>
  </si>
  <si>
    <t>Y1 Unit Cost (Grant Currency)</t>
  </si>
  <si>
    <t>Q1 Quantity</t>
  </si>
  <si>
    <t>Q2 Quantity</t>
  </si>
  <si>
    <t>Q3 Quantity</t>
  </si>
  <si>
    <t>Q4 Quantity</t>
  </si>
  <si>
    <t>Y1 Total Quantity</t>
  </si>
  <si>
    <t>Y1 Total Cash Outflow</t>
  </si>
  <si>
    <t>Y2 Unit Cost (Payment Currency)</t>
  </si>
  <si>
    <t>Y2 Unit Cost (Grant Currency)</t>
  </si>
  <si>
    <t>Q5 Quantity</t>
  </si>
  <si>
    <t>Q6 Quantity</t>
  </si>
  <si>
    <t>Q7 Quantity</t>
  </si>
  <si>
    <t>Q8 Quantity</t>
  </si>
  <si>
    <t>Y2 Total Quantity</t>
  </si>
  <si>
    <t>Y2 Total Cash Outflow</t>
  </si>
  <si>
    <t>Y3 Unit Cost (Payment Currency)</t>
  </si>
  <si>
    <t>Y3 Unit Cost (Grant Currency)</t>
  </si>
  <si>
    <t>Q9 Quantity</t>
  </si>
  <si>
    <t>Q10 Quantity</t>
  </si>
  <si>
    <t>Q11 Quantity</t>
  </si>
  <si>
    <t>Q12 Quantity</t>
  </si>
  <si>
    <t>Y3 Total Quantity</t>
  </si>
  <si>
    <t>Y3 Total Cash Outflow</t>
  </si>
  <si>
    <t>Y4 Unit Cost (Payment Currency)</t>
  </si>
  <si>
    <t>Y4 Unit Cost (Grant Currency)</t>
  </si>
  <si>
    <t>Y4 Total Quantity</t>
  </si>
  <si>
    <t>Y4 Total Cash Outflow</t>
  </si>
  <si>
    <t>Assumptions to Support Unit Cost</t>
  </si>
  <si>
    <t>Justification/Comments</t>
  </si>
  <si>
    <t>Vector Control</t>
  </si>
  <si>
    <t>Long-lasting insecticidal nets (LLIN) - Mass campaign- Universal</t>
  </si>
  <si>
    <t>5.1 Insecticide-treated Nets (LLINs/ITNs)</t>
  </si>
  <si>
    <t>Malaria - RDT LLIN IRS ETC - Section 3, Type of Product = LLINs (mass campaign), take the total budget per quarter and multiply by Malaria-Key Info G55, from SETUP G34 determine the payment modality and apply the figure in H34 to establish in which quarter in the DB the budget should be reflected</t>
  </si>
  <si>
    <t>PSM costs</t>
  </si>
  <si>
    <t>7.1 Procurement agent and handling fees</t>
  </si>
  <si>
    <t>HPM costs &amp; RSSH - Section 1, Procurement agent and handling fees (7.1), Type of Health Product = Malaria LLINs (mass campaign), take the total budget per quarter and multiply by Malaria-Key Info G55, from SETUP G34 determine the payment modality and apply the figure in H34 to establish in which quarter in the DB the budget should be reflected</t>
  </si>
  <si>
    <t>7.2 Freight and insurance costs (Health products)</t>
  </si>
  <si>
    <t>HPM costs &amp; RSSH - Section 1, Freight and insurance costs for health products (7.2), Type of Health Product = Malaria LLINs (mass campaign), take the total budget per quarter and multiply by Malaria-Key Info G55, from SETUP G34 determine the payment modality and apply the figure in H34 to establish in which quarter in the DB the budget should be reflected</t>
  </si>
  <si>
    <t>7.3 Warehouse and Storage Costs</t>
  </si>
  <si>
    <t>HPM costs &amp; RSSH - Section 2, LLINs warehouse and storage costs (7.3), Type of Health Product = Malaria LLINs (mass campaign), take the total budget per quarter and multiply by Malaria-Key Info G55, from SETUP G34 determine the payment modality and apply the figure in H34 to establish in which quarter in the DB the budget should be reflected</t>
  </si>
  <si>
    <t>7.4 in-country distribution costs</t>
  </si>
  <si>
    <t>HPM costs &amp; RSSH - Section 2, LLINs in country distribution costs (7.4), Type of Health Product = Malaria LLINs (mass campaign), take the total budget per quarter and multiply by Malaria-Key Info G55, from SETUP G34 determine the payment modality and apply the figure in H34 to establish in which quarter in the DB the budget should be reflected</t>
  </si>
  <si>
    <t>7.5 Quality assurance and quality control costs (QA/QC)</t>
  </si>
  <si>
    <t>HPM costs &amp; RSSH - Section 1, Quality assurance and quality control costs (QA/QC) (7.5), Type of Health Product = Malaria LLINs (mass campaign), take the total budget per quarter and multiply by Malaria-Key Info G55, from SETUP G34 determine the payment modality and apply the figure in H34 to establish in which quarter in the DB the budget should be reflected</t>
  </si>
  <si>
    <t>7.6 PSM Customs Clearance</t>
  </si>
  <si>
    <t>HPM costs &amp; RSSH - Section 1, PSM Customs Clearance (7.6), Type of Health Product = Malaria LLINs (mass campaign), take the total budget per quarter and multiply by Malaria-Key Info G55, from SETUP G34 determine the payment modality and apply the figure in H34 to establish in which quarter in the DB the budget should be reflected</t>
  </si>
  <si>
    <t>7.7 Other PSM costs</t>
  </si>
  <si>
    <t>HPM costs &amp; RSSH - Section 2, Other procurement and supply management costs (7.7), Type of Health Product = Malaria LLINs (mass campaign), take the total budget per quarter and multiply by Malaria-Key Info G55, from SETUP G34 determine the payment modality and apply the figure in H34 to establish in which quarter in the DB the budget should be reflected</t>
  </si>
  <si>
    <t>Long-lasting insecticidal nets (LLIN) - Mass campaign- Targeted</t>
  </si>
  <si>
    <t>Malaria - RDT LLIN IRS ETC - Section 3, Type of Product = LLINs (mass campaign), take the total budget per quarter and multiply by Malaria-Key Info G56, from SETUP G34 determine the payment modality and apply the figure in H34 to establish in which quarter in the DB the budget should be reflected</t>
  </si>
  <si>
    <t>HPM costs &amp; RSSH - Section 1, Procurement agent and handling fees (7.1),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</si>
  <si>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1, Freight and insurance costs for health products (7.2),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</si>
  <si>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2, LLINs warehouse and storage costs (7.3),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</si>
  <si>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2, LLINs in country distribution costs (7.4),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</si>
  <si>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1, Quality assurance and quality control costs (QA/QC) (7.5),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</si>
  <si>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1, PSM Customs Clearance (7.6), Type of Health Product = Malaria LLINs (mass campaign), take the total budget per quarter and multiply by Malaria-Key Info G56, from SETUP G34 determine the payment modality and apply the figure in H34 to establish in which quarter in the DB the budget should be reflected</t>
  </si>
  <si>
    <t>HPM costs &amp; RSSH - Section 2, Other procurement and supply management costs (7.7), Type of Health Product = Malaria LLINs (mass campaign), take the total budget per quarter and multiply by Malaria-Key Info G56, from SETUP G34 determine the payment modality and apply the figure in H34 to establish in which quarter in the DB the budget should be reflected</t>
  </si>
  <si>
    <t>Long-lasting insecticidal nets (LLIN) - Continuous distribution - ANC</t>
  </si>
  <si>
    <t>Malaria - RDT LLIN IRS ETC - Section 3, Type of Product = LLINs (routine distribution), take the total budget per quarter and multiply by % in Malaria-Key Info G51, from SETUP G34 determine the payment modality and apply the figure in H34 to establish in which quarter in the DB the budget should be reflected</t>
  </si>
  <si>
    <t>HPM costs &amp; RSSH - Section 1, Procurement agent and handling fees (7.1),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</si>
  <si>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1, Freight and insurance costs for health products (7.2),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</si>
  <si>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2, LLINs warehouse and storage costs (7.3),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</si>
  <si>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2, LLINs in country distribution costs (7.4),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</si>
  <si>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1, Quality assurance and quality control costs (QA/QC) (7.5),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</si>
  <si>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1, PSM Customs Clearance (7.6),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</si>
  <si>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Long-lasting insecticidal nets (LLIN) - Continuous distribution - EPI</t>
  </si>
  <si>
    <t>Malaria - RDT LLIN IRS ETC - Section 3, Type of Product = LLINs (routine distribution), take the total budget per quarter and multiply by % in Malaria-Key Info G52, from SETUP G34 determine the payment modality and apply the figure in H34 to establish in which quarter in the DB the budget should be reflected</t>
  </si>
  <si>
    <t>HPM costs &amp; RSSH - Section 1, Procurement agent and handling fees (7.1),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</si>
  <si>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1, Freight and insurance costs for health products (7.2),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</si>
  <si>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2, LLINs warehouse and storage costs (7.3),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</si>
  <si>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2, LLINs in country distribution costs (7.4),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</si>
  <si>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1, Quality assurance and quality control costs (QA/QC) (7.5),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</si>
  <si>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1, PSM Customs Clearance (7.6),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</si>
  <si>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Long-lasting insecticidal nets (LLIN) - Continuous distribution - School-based</t>
  </si>
  <si>
    <t>Malaria - RDT LLIN IRS ETC - Section 3, Type of Product = LLINs (routine distribution), take the total budget per quarter and multiply by % in Malaria-Key Info G53, from SETUP G34 determine the payment modality and apply the figure in H34 to establish in which quarter in the DB the budget should be reflected</t>
  </si>
  <si>
    <t>HPM costs &amp; RSSH - Section 1, Procurement agent and handling fees (7.1),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</si>
  <si>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1, Freight and insurance costs for health products (7.2),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</si>
  <si>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2 LLINs warehouse and storage costs (7.3),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</si>
  <si>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2, LLINs in country distribution costs (7.4),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</si>
  <si>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1, Quality assurance and quality control costs (QA/QC) (7.5),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</si>
  <si>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1, PSM Customs Clearance (7.6),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</si>
  <si>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Long-lasting insecticidal nets (LLIN) - Continuous distribution - Community-based</t>
  </si>
  <si>
    <t>Malaria - RDT LLIN IRS ETC - Section 3, Type of Product = LLINs (routine distribution), take the total budget per quarter and multiply by % in Malaria-Key Info G54, from SETUP G34 determine the payment modality and apply the figure in H34 to establish in which quarter in the DB the budget should be reflected</t>
  </si>
  <si>
    <t>HPM costs &amp; RSSH - Section 1, Procurement agent and handling fees (7.1),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</si>
  <si>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1, Freight and insurance costs for health products (7.2),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</si>
  <si>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2 LLINs warehouse and storage costs (7.3),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</si>
  <si>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2, LLINs in country distribution costs (7.4),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</si>
  <si>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1, Quality assurance and quality control costs (QA/QC) (7.5),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</si>
  <si>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1, PSM Customs Clearance (7.6),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</si>
  <si>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Indoor residual spraying (IRS)</t>
  </si>
  <si>
    <t>Procurement of IRS insecticides</t>
  </si>
  <si>
    <t>5.5 Insecticides</t>
  </si>
  <si>
    <t>6.6 Other health equipment</t>
  </si>
  <si>
    <t>HPM costs &amp; RSSH - Section 1, Procurement agent and handling fees (7.1), Type of Health Product = Malaria IRS equipment &amp; insecticides, take the total budget per quarter, from SETUP G35 determine the payment modality and apply the figure in H35 to establish in which quarter in the DB the budget should be reflected</t>
  </si>
  <si>
    <t>HPM costs &amp; RSSH - Section 1, Freight and insurance costs for health products (7.2), Type of Health Product = Malaria IRS equipment &amp; insecticides, take the total budget per quarter, from SETUP G35 determine the payment modality and apply the figure in H35 to establish in which quarter in the DB the budget should be reflectedo establish in which quarter in the DB the budget should be reflected</t>
  </si>
  <si>
    <t>HPM costs &amp; RSSH - Section 2, Warehouse and storage costs (excluding LLINs warehouse and storage costs) (7.3), Type of Health Product = Malaria IRS equipment &amp; insecticides, take the total budget per quarter, from SETUP G35 determine the payment modality and apply the figure in H35 to establish in which quarter in the DB the budget should be reflected</t>
  </si>
  <si>
    <t>HPM costs &amp; RSSH - Section 2, In country distribution costs (excluding LLINs distribution costs) (7.4), Type of Health Product = Malaria IRS equipment &amp; insecticides, take the total budget per quarter, from SETUP G35 determine the payment modality and apply the figure in H35 to establish in which quarter in the DB the budget should be reflected</t>
  </si>
  <si>
    <t>HPM costs &amp; RSSH - Section 1, Quality assurance and quality control costs (QA/QC) (7.5), Type of Health Product = Malaria IRS equipment &amp; insecticides, take the total budget per quarter, from SETUP G35 determine the payment modality and apply the figure in H35 to establish in which quarter in the DB the budget should be reflected</t>
  </si>
  <si>
    <t>HPM costs &amp; RSSH - Section 1, PSM Customs Clearance (7.6), Type of Health Product = Malaria IRS equipment &amp; insecticides, take the total budget per quarter, from SETUP G35 determine the payment modality and apply the figure in H35 to establish in which quarter in the DB the budget should be reflected</t>
  </si>
  <si>
    <t>6.5 Maintenance and service costs for health equipment</t>
  </si>
  <si>
    <t>Procurement of laboratory reagents</t>
  </si>
  <si>
    <t>5.6 Laboratory reagents</t>
  </si>
  <si>
    <t>Procurement of consumables</t>
  </si>
  <si>
    <t>5.8 Other consumables</t>
  </si>
  <si>
    <t>Case management</t>
  </si>
  <si>
    <t>Facility-based treatment</t>
  </si>
  <si>
    <t>4.3 Antimalarial medicines</t>
  </si>
  <si>
    <t>Malaria - Pharmaceuticals - Section 1, take the total budget per quarter and multiply by % located in Malaria-Key Info F23, from SETUP G17 determine the payment modality and apply the figure in H17 to establish in which quarter in the DB the budget should be reflected</t>
  </si>
  <si>
    <t>Procurement of RDTs to diagnose malaria</t>
  </si>
  <si>
    <t>5.4 Rapid Diagnostic Test</t>
  </si>
  <si>
    <t xml:space="preserve">Malaria-RDT LLIN IRS ETC - Section 2, take the total budget per quarter and multiple by % in Malaria-Key Info G46 , from SETUP G25 determine the payment modality and apply the figure in H25 </t>
  </si>
  <si>
    <t xml:space="preserve">Malaria-RDT LLIN IRS ETC - Section 1, take the total budget per quarter for cost-input "6.3 Microscopes", from SETUP G49 determine the payment modality and apply the figure in H49 to establish in which quarter in the DB the budget should be reflected </t>
  </si>
  <si>
    <t>Integrated community case management (ICCM)</t>
  </si>
  <si>
    <t>Malaria - Pharmaceuticals - Section 1, take the total budget per quarter and multiply by % located in Malaria-Key Info F24, from SETUP G17 determine the payment modality and apply the figure in H17 to establish in which quarter in the DB the budget should be reflected</t>
  </si>
  <si>
    <t xml:space="preserve">Malaria-RDT LLIN IRS ETC - Section 2, take the total budget per quarter and multiple by % in Malaria-Key Info J46 , from SETUP G25 determine the payment modality and apply the figure in H25 </t>
  </si>
  <si>
    <t xml:space="preserve">Private sector case management </t>
  </si>
  <si>
    <t>Malaria - Pharmaceuticals - Section 1, take the total budget per quarter and multiply by % located in Malaria-Key Info F25, from SETUP G17 determine the payment modality and apply the figure in H17 to establish in which quarter in the DB the budget should be reflected</t>
  </si>
  <si>
    <t xml:space="preserve">Malaria-RDT LLIN IRS ETC - Section 2, take the total budget per quarter and multiple by % in Malaria-Key Info N46 , from SETUP G25 determine the payment modality and apply the figure in H25 </t>
  </si>
  <si>
    <t>Specific prevention interventions (SPI)</t>
  </si>
  <si>
    <t>Intermittent preventive treatment (IPT) - In pregnancy</t>
  </si>
  <si>
    <t>Malaria - Pharmaceuticals - Section 2, take the total budget per quarter and multiply by % located in Malaria-Key Info F32, from SETUP G17 determine the payment modality and apply the figure in H17 to establish in which quarter in the DB the budget should be reflected</t>
  </si>
  <si>
    <t>HPM costs &amp; RSSH - Section 1, Procurement agent and handling fees (7.1),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</si>
  <si>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</si>
  <si>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2, Warehouse and storage costs (excluding LLINs warehouse and storage costs) (7.3),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</si>
  <si>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2, In country distribution costs (excluding LLINs distribution costs) (7.4),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</si>
  <si>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1, Quality assurance and quality control costs (QA/QC) (7.5),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</si>
  <si>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1, PSM Customs Clearance (7.6),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</si>
  <si>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Intermittent preventive treatment (IPT) - In infancy</t>
  </si>
  <si>
    <t>Malaria - Pharmaceuticals - Section 2, take the total budget per quarter and multiply by % located in Malaria-Key Info F33, from SETUP G17 determine the payment modality and apply the figure in H17 to establish in which quarter in the DB the budget should be reflected</t>
  </si>
  <si>
    <t>HPM costs &amp; RSSH - Section 1, Procurement agent and handling fees (7.1),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</si>
  <si>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</si>
  <si>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2, Warehouse and storage costs (excluding LLINs warehouse and storage costs) (7.3),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</si>
  <si>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2, In country distribution costs (excluding LLINs distribution costs) (7.4),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</si>
  <si>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1, Quality assurance and quality control costs (QA/QC) (7.5),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</si>
  <si>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1, PSM Customs Clearance (7.6),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</si>
  <si>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Seasonal malaria chemoprevention</t>
  </si>
  <si>
    <t>Malaria - Pharmaceuticals - Section 2, take the total budget per quarter and multiply by % located in Malaria-Key Info F34, from SETUP G17 determine the payment modality and apply the figure in H17 to establish in which quarter in the DB the budget should be reflected</t>
  </si>
  <si>
    <t>HPM costs &amp; RSSH - Section 1, Procurement agent and handling fees (7.1),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</si>
  <si>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</si>
  <si>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2, Warehouse and storage costs (excluding LLINs warehouse and storage costs) (7.3),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</si>
  <si>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2, In country distribution costs (excluding LLINs distribution costs) (7.4),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</si>
  <si>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1, Quality assurance and quality control costs (QA/QC) (7.5),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</si>
  <si>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1, PSM Customs Clearance (7.6),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</si>
  <si>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Mass drug administration</t>
  </si>
  <si>
    <t>Malaria - Pharmaceuticals - Section 2, take the total budget per quarter and multiply by % located in Malaria-Key Info F35, from SETUP G17 determine the payment modality and apply the figure in H17 to establish in which quarter in the DB the budget should be reflected</t>
  </si>
  <si>
    <t>HPM costs &amp; RSSH - Section 1, Procurement agent and handling fees (7.1),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</si>
  <si>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</si>
  <si>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2, Warehouse and storage costs (excluding LLINs warehouse and storage costs) (7.3),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</si>
  <si>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2, In country distribution costs (excluding LLINs distribution costs) (7.4),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</si>
  <si>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1, Quality assurance and quality control costs (QA/QC) (7.5),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</si>
  <si>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HPM costs &amp; RSSH - Section 1, PSM Customs Clearance (7.6),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</si>
  <si>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TB care and prevention</t>
  </si>
  <si>
    <t>Case detection and diagnosis</t>
  </si>
  <si>
    <t>Treatment</t>
  </si>
  <si>
    <t>Treatment of drug-sensitive TB</t>
  </si>
  <si>
    <t>4.2 Anti-tuberculosis medicines</t>
  </si>
  <si>
    <t>TB - Pharmaceuticals - Section 1, take the total budget per quarter, from SETUP G16 determine the payment modality and apply the figure in H16 to establish in which quarter in the DB the budget should be reflected</t>
  </si>
  <si>
    <t>4.7 Other medicines</t>
  </si>
  <si>
    <t>Prevention</t>
  </si>
  <si>
    <t>5.7 Syringes and needles</t>
  </si>
  <si>
    <t>6.4 TB Molecular Test equipment</t>
  </si>
  <si>
    <t>4.1 Antiretroviral medicines</t>
  </si>
  <si>
    <t>4.5 Opportunistic infections and STI medicines</t>
  </si>
  <si>
    <t>MDR-TB</t>
  </si>
  <si>
    <t>Case detection and diagnosis: MDR-TB</t>
  </si>
  <si>
    <t>Treatment: MDR-TB</t>
  </si>
  <si>
    <t>Treatment of drug-resistant TB</t>
  </si>
  <si>
    <t>Condom and lubricant programing</t>
  </si>
  <si>
    <t>Procurement of condoms &amp; lubricants</t>
  </si>
  <si>
    <t>5.2 Condoms - Male</t>
  </si>
  <si>
    <t>4.4 Opioid substitutes medicines</t>
  </si>
  <si>
    <t>5.3 Condoms - Female</t>
  </si>
  <si>
    <t>Needle and syringe programs</t>
  </si>
  <si>
    <t>Opioid substitution therapy and other medically assisted drug dependence treatment</t>
  </si>
  <si>
    <t>National condom program management and stewardship</t>
  </si>
  <si>
    <t>Prong 1: Primary prevention of HIV infection among women of childbearing age</t>
  </si>
  <si>
    <t>Prong 3: Preventing vertical HIV transmission</t>
  </si>
  <si>
    <t>6.2 HIV Viral Load analyser/accessories</t>
  </si>
  <si>
    <t>Differentiated HIV Testing Services</t>
  </si>
  <si>
    <t>Facility-based testing</t>
  </si>
  <si>
    <t xml:space="preserve">Community-based testing </t>
  </si>
  <si>
    <t>Self-testing</t>
  </si>
  <si>
    <t>Treatment, care and support</t>
  </si>
  <si>
    <t>Differentiated ART service delivery and HIV care</t>
  </si>
  <si>
    <t>6.1 CD4 analyser/accessories</t>
  </si>
  <si>
    <t>Prevention and management of co-infections and co-morbidities</t>
  </si>
  <si>
    <t>Technical assistance &amp; consultancy fees</t>
  </si>
  <si>
    <t>Other external professional services</t>
  </si>
  <si>
    <t>Furniture</t>
  </si>
  <si>
    <t>Renovation, construction &amp; refurbishment</t>
  </si>
  <si>
    <t>Other non-health equipment for laboratory strengthening</t>
  </si>
  <si>
    <t>Other infrastructure costs</t>
  </si>
  <si>
    <t>Component</t>
  </si>
  <si>
    <t>Malaria-Pharmaceuticals</t>
  </si>
  <si>
    <t>TB</t>
  </si>
  <si>
    <t>HIV/TB</t>
  </si>
  <si>
    <t>HIV</t>
  </si>
  <si>
    <t>HIV-Pharmaceuticals-Section 1</t>
  </si>
  <si>
    <t>Opportunistic infections and STI medicines (lumpsum budget)</t>
  </si>
  <si>
    <t>Other medicines (lumpsum budget)</t>
  </si>
  <si>
    <t>Condoms</t>
  </si>
  <si>
    <t>HBV - Generic Rapid Diagnostic Test Kit - 1 test</t>
  </si>
  <si>
    <t>HCV - Generic Rapid Diagnostic Test Kit - 1 test</t>
  </si>
  <si>
    <t>HIV 1 - Generic Rapid Diagnostic Test Kit - 1 test</t>
  </si>
  <si>
    <t>HIV 1/2 - Generic Rapid Diagnostic Test Kit - 1 test</t>
  </si>
  <si>
    <t>HIV 1+2 - Determine Chase Buffer - 2.5ml vial - 100 tests</t>
  </si>
  <si>
    <t>HIV 1+2 - Generic Rapid Diagnostic Test Kit - 1 test</t>
  </si>
  <si>
    <t>HIV 1+2 - INSTI HIV Antibody Test Kit - 48 tests</t>
  </si>
  <si>
    <t>HIV/Syphilis - Generic RDT - 1 test</t>
  </si>
  <si>
    <t>HIV Self Testing - Generic Rapid Diagnostic Test Kit - 1 test</t>
  </si>
  <si>
    <t>Syphilis - Generic Rapid Diagnostic Test Kit - 1 test</t>
  </si>
  <si>
    <t>Cepheid</t>
  </si>
  <si>
    <t>bioMerieux</t>
  </si>
  <si>
    <t>Hologic</t>
  </si>
  <si>
    <t>Qiagen</t>
  </si>
  <si>
    <t>Therapeutic food products</t>
  </si>
  <si>
    <t>1000x65x250 Conical LLIN</t>
  </si>
  <si>
    <t>1050x65x220 Conical LLIN</t>
  </si>
  <si>
    <t>1250x65x250 Conical LLIN</t>
  </si>
  <si>
    <t>180x160x150 Rectangular LLIN</t>
  </si>
  <si>
    <t>180x160x170 Rectangular LLIN</t>
  </si>
  <si>
    <t>180x160x180 Rectangular LLIN</t>
  </si>
  <si>
    <t>180x160x200 Rectangular LLIN</t>
  </si>
  <si>
    <t>180x190x150 Rectangular LLIN</t>
  </si>
  <si>
    <t>180x190x160 Rectangular LLIN</t>
  </si>
  <si>
    <t>190x180x170 Rectangular LLIN</t>
  </si>
  <si>
    <t>190x180x180 Rectangular LLIN</t>
  </si>
  <si>
    <t>195x160x200 Rectangular LLIN</t>
  </si>
  <si>
    <t>200x140x150 Rectangular LLIN</t>
  </si>
  <si>
    <t>210x190x180 Rectangular LLIN</t>
  </si>
  <si>
    <t>240x65x120 Rectangular LLIN + 140x240 Hammock</t>
  </si>
  <si>
    <t>BACTEC MGIT 960 SIRE kit - 40 tests</t>
  </si>
  <si>
    <t>BACTEC MGIT 960 Supplement Kit - 100 tests (PANTA and OADC combined)</t>
  </si>
  <si>
    <t>BACTEC MGIT PZA Kit - 50 tests</t>
  </si>
  <si>
    <t>BACTEC MGIT Tubes 7ml - 100 tubes</t>
  </si>
  <si>
    <t xml:space="preserve"> </t>
  </si>
  <si>
    <t>Pack</t>
  </si>
  <si>
    <t>Each</t>
  </si>
  <si>
    <t>Bundle</t>
  </si>
  <si>
    <t>Unit</t>
  </si>
  <si>
    <t>Kit</t>
  </si>
  <si>
    <t xml:space="preserve">RSSH: Health products management systems </t>
  </si>
  <si>
    <t>RSSH: Laboratory systems</t>
  </si>
  <si>
    <t>HPMTypeOfProd</t>
  </si>
  <si>
    <t>HPMTypeOfInvest</t>
  </si>
  <si>
    <t>HPMTypeOfLab</t>
  </si>
  <si>
    <t>Storage and distribution capacity</t>
  </si>
  <si>
    <t>Infrastructure and equipment management systems</t>
  </si>
  <si>
    <t xml:space="preserve">Procurement capacity </t>
  </si>
  <si>
    <t>Quality management systems and accreditation</t>
  </si>
  <si>
    <t>IT for lab system (computers, IT equipment, software, applications)</t>
  </si>
  <si>
    <t>Avoidance, reduction and management of health care waste</t>
  </si>
  <si>
    <t>Information systems and integrated specimen transport networks</t>
  </si>
  <si>
    <t>IT (computers, IT equipment, software, applications)</t>
  </si>
  <si>
    <t xml:space="preserve">Regulatory/quality assurance support </t>
  </si>
  <si>
    <t>Laboratory supply chain systems</t>
  </si>
  <si>
    <t>Other non-health equipment for HPM system strengthening</t>
  </si>
  <si>
    <t>Warehouse maintenance cost</t>
  </si>
  <si>
    <t>Vehicles (e.g. for laboratory network and sample transportation)</t>
  </si>
  <si>
    <t xml:space="preserve">Vehicles (e.g for health product transportation) </t>
  </si>
  <si>
    <t>VERSION:</t>
  </si>
  <si>
    <t>Type of health product:</t>
  </si>
  <si>
    <t xml:space="preserve">VL/EID brand </t>
  </si>
  <si>
    <t>VL/EID systems</t>
  </si>
  <si>
    <t>Sample Type VL/EID</t>
  </si>
  <si>
    <t xml:space="preserve">TB techologies/equipments </t>
  </si>
  <si>
    <t>Yes/No</t>
  </si>
  <si>
    <t>Lump sum pharma</t>
  </si>
  <si>
    <t>UnitMeasure</t>
  </si>
  <si>
    <t>UnitMeasure2</t>
  </si>
  <si>
    <t>UnitMeasure3</t>
  </si>
  <si>
    <t>Afghanistan</t>
  </si>
  <si>
    <t>PPM</t>
  </si>
  <si>
    <t>HIV or HIV/TB</t>
  </si>
  <si>
    <t xml:space="preserve">Abbott </t>
  </si>
  <si>
    <t>Abbott m2000rt</t>
  </si>
  <si>
    <t>DBS</t>
  </si>
  <si>
    <t>Albania</t>
  </si>
  <si>
    <t xml:space="preserve">French </t>
  </si>
  <si>
    <t>TB or HIV/TB</t>
  </si>
  <si>
    <t>Abbott m2000sp</t>
  </si>
  <si>
    <t>Plasma</t>
  </si>
  <si>
    <t>Algeria</t>
  </si>
  <si>
    <t>Spanish</t>
  </si>
  <si>
    <t>Abbott m24sp</t>
  </si>
  <si>
    <t>Whole blood</t>
  </si>
  <si>
    <t>Angola</t>
  </si>
  <si>
    <t>Russian</t>
  </si>
  <si>
    <t>DRW</t>
  </si>
  <si>
    <t xml:space="preserve">NucliSENS® easyMAG® </t>
  </si>
  <si>
    <t>Argentina</t>
  </si>
  <si>
    <t>NucliSENS® EasyQ®</t>
  </si>
  <si>
    <t>Armenia</t>
  </si>
  <si>
    <t>HIV or TB or Malaria or HIV/TB</t>
  </si>
  <si>
    <t xml:space="preserve">NucliSENS® miniMAG® </t>
  </si>
  <si>
    <t>Azerbaijan</t>
  </si>
  <si>
    <t>Upfront</t>
  </si>
  <si>
    <t xml:space="preserve">Roche </t>
  </si>
  <si>
    <t xml:space="preserve">Xpert </t>
  </si>
  <si>
    <t>Bangladesh</t>
  </si>
  <si>
    <t>Samba I system</t>
  </si>
  <si>
    <t>Belarus</t>
  </si>
  <si>
    <t>Samba II system</t>
  </si>
  <si>
    <t>Belize</t>
  </si>
  <si>
    <t>Aptima® HIV-1 Quant Dx Assay on the Panther® System</t>
  </si>
  <si>
    <t>Benin</t>
  </si>
  <si>
    <t>artus™</t>
  </si>
  <si>
    <t>Bhutan</t>
  </si>
  <si>
    <t xml:space="preserve">CD4 reagents </t>
  </si>
  <si>
    <t>Cobas® 4800 System</t>
  </si>
  <si>
    <t>Bolivia (Plurinational State)</t>
  </si>
  <si>
    <t>HIV Viral load and EID reagents</t>
  </si>
  <si>
    <t>Cobas® 6800/8800 System</t>
  </si>
  <si>
    <t>Bosnia and Herzegovina</t>
  </si>
  <si>
    <t xml:space="preserve">TB culture and DST reagents </t>
  </si>
  <si>
    <t>Cobas® AmpliPrep Instrument</t>
  </si>
  <si>
    <t>Botswana</t>
  </si>
  <si>
    <t>GeneXpert cartridges</t>
  </si>
  <si>
    <t>Cobas® Liat® System</t>
  </si>
  <si>
    <t>Brazil</t>
  </si>
  <si>
    <t>Cobas® TaqMan® 48 Analyzer</t>
  </si>
  <si>
    <t>Bulgaria</t>
  </si>
  <si>
    <t>Syringes and needles</t>
  </si>
  <si>
    <t>Cobas® TaqMan® 96 Analyzer</t>
  </si>
  <si>
    <t>Burkina Faso</t>
  </si>
  <si>
    <t>Burundi</t>
  </si>
  <si>
    <t>CD4 analyser/accessories</t>
  </si>
  <si>
    <t>Cambodia</t>
  </si>
  <si>
    <t>HIV Viral Load analyser/accessories</t>
  </si>
  <si>
    <t>Cameroon</t>
  </si>
  <si>
    <t>Microscopes</t>
  </si>
  <si>
    <t>TB or Malaria or HIV/TB</t>
  </si>
  <si>
    <t>Cape Verde</t>
  </si>
  <si>
    <t>GeneXpert machines</t>
  </si>
  <si>
    <t>Central African Republic</t>
  </si>
  <si>
    <t>Other TB Test equipment</t>
  </si>
  <si>
    <t>Chad</t>
  </si>
  <si>
    <t>Chile</t>
  </si>
  <si>
    <t>China</t>
  </si>
  <si>
    <t>Colombia</t>
  </si>
  <si>
    <t>Comoros</t>
  </si>
  <si>
    <t>Congo</t>
  </si>
  <si>
    <t>Congo (Democratic Republic)</t>
  </si>
  <si>
    <t>Costa Rica</t>
  </si>
  <si>
    <t>Côte d'Ivoire</t>
  </si>
  <si>
    <t>Croatia</t>
  </si>
  <si>
    <t>Cuba</t>
  </si>
  <si>
    <t>Djibouti</t>
  </si>
  <si>
    <t>Dominican Republic</t>
  </si>
  <si>
    <t>Ecuador</t>
  </si>
  <si>
    <t>Egypt</t>
  </si>
  <si>
    <t>El Salvador</t>
  </si>
  <si>
    <t>Equatorial Guinea</t>
  </si>
  <si>
    <t>Eritrea</t>
  </si>
  <si>
    <t>Estonia</t>
  </si>
  <si>
    <t>Ethiopia</t>
  </si>
  <si>
    <t>Fiji</t>
  </si>
  <si>
    <t>Gabon</t>
  </si>
  <si>
    <t>Gambia</t>
  </si>
  <si>
    <t>Georgia</t>
  </si>
  <si>
    <t>Ghana</t>
  </si>
  <si>
    <t>Guatemala</t>
  </si>
  <si>
    <t>Guinea</t>
  </si>
  <si>
    <t>Guinea-Bissau</t>
  </si>
  <si>
    <t>Guyana</t>
  </si>
  <si>
    <t>Haiti</t>
  </si>
  <si>
    <t>Honduras</t>
  </si>
  <si>
    <t>India</t>
  </si>
  <si>
    <t>Indonesia</t>
  </si>
  <si>
    <t>Iran (Islamic Republic)</t>
  </si>
  <si>
    <t>Iraq</t>
  </si>
  <si>
    <t>Jamaica</t>
  </si>
  <si>
    <t>Jordan</t>
  </si>
  <si>
    <t>Kazakhstan</t>
  </si>
  <si>
    <t>Kenya</t>
  </si>
  <si>
    <t>Korea (Democratic Peoples Republic)</t>
  </si>
  <si>
    <t>Kosovo</t>
  </si>
  <si>
    <t>Kyrgyzstan</t>
  </si>
  <si>
    <t>Lao (Peoples Democratic Republic)</t>
  </si>
  <si>
    <t>Lesotho</t>
  </si>
  <si>
    <t>Liberia</t>
  </si>
  <si>
    <t>Lutheran World Federation</t>
  </si>
  <si>
    <t>Macedonia (Former Yugoslav Republic)</t>
  </si>
  <si>
    <t>Madagascar</t>
  </si>
  <si>
    <t>Malawi</t>
  </si>
  <si>
    <t>Malaysia</t>
  </si>
  <si>
    <t>Maldives</t>
  </si>
  <si>
    <t>Mali</t>
  </si>
  <si>
    <t>Mauritania</t>
  </si>
  <si>
    <t>Mauritius</t>
  </si>
  <si>
    <t>Mexico</t>
  </si>
  <si>
    <t>Moldova</t>
  </si>
  <si>
    <t>Mongolia</t>
  </si>
  <si>
    <t>Montenegro</t>
  </si>
  <si>
    <t>Morocco</t>
  </si>
  <si>
    <t>Multicountry Africa (HIVOS)</t>
  </si>
  <si>
    <t>Multicountry Africa (ARASA-ENDA)</t>
  </si>
  <si>
    <t>Multicountry Africa (KANCO)</t>
  </si>
  <si>
    <t>Multicountry Africa (African Network for the Care of Children Affected by HIV/AIDS (ANECCA))</t>
  </si>
  <si>
    <t>Multicountry Africa (Abidjan-Lagos Corridor Organization  (OCAL))</t>
  </si>
  <si>
    <t>Multicountry Africa (Intergovernmental Authority on Development (IGAD))</t>
  </si>
  <si>
    <t>Multicountry Africa (E8 Secretariat - SADC)</t>
  </si>
  <si>
    <t>Multicountry Africa ( SARCM)</t>
  </si>
  <si>
    <t>Multicountry Africa (East, Central and Southern Africa Health Community (ECSA-HC))</t>
  </si>
  <si>
    <t>Multicountry East Asia and Pacific (Asia Pacific Network of People Living with HIV (APN+))</t>
  </si>
  <si>
    <t>Multicountry Eastern Europe - Central Asia (The East Europe &amp; Central Asia Union of PLHIV (ECUO))</t>
  </si>
  <si>
    <t>Multicountry Eastern Europe - Central Asia (PAS - The Center for Health Policies and Studies )</t>
  </si>
  <si>
    <t>Multicountry Americas (PANCAP)</t>
  </si>
  <si>
    <t>Multicountry Americas (Comunidad Internacional de Mujeres Viviendo con VIH sida (ICW))</t>
  </si>
  <si>
    <t>Multicountry Americas (REDLACTRANS)</t>
  </si>
  <si>
    <t>Multicountry Middle East - North Africa  (Regional/Arab Network against AIDS (Ranaa))</t>
  </si>
  <si>
    <t>Multicountry Africa (RMCC)</t>
  </si>
  <si>
    <t>Multicountry Africa (SADC)</t>
  </si>
  <si>
    <t>Multicountry Africa (West Africa Corridor Program)</t>
  </si>
  <si>
    <t>Multicountry Americas (Andean)</t>
  </si>
  <si>
    <t>Multicountry Americas (CARICOM / PANCAP)</t>
  </si>
  <si>
    <t>Multicountry Americas (COPRECOS)</t>
  </si>
  <si>
    <t>Multicountry Americas (CRN+)</t>
  </si>
  <si>
    <t>Multicountry Americas (Meso)</t>
  </si>
  <si>
    <t>Multicountry Americas (OECS)</t>
  </si>
  <si>
    <t>Multicountry Americas (REDCA+)</t>
  </si>
  <si>
    <t>Multicountry Americas (REDTRASEX)</t>
  </si>
  <si>
    <t>Multicountry East Asia and Pacific (APN+)</t>
  </si>
  <si>
    <t>Multicountry East Asia and Pacific (ISEAN-HIVOS)</t>
  </si>
  <si>
    <t>Multicountry East Asia and Pacific (RAI)</t>
  </si>
  <si>
    <t>Multicountry Eastern Europe - Central Asia (EHRN)</t>
  </si>
  <si>
    <t>Multicountry Middle East - North Africa (MENAHRA)</t>
  </si>
  <si>
    <t>Multicountry South Asia</t>
  </si>
  <si>
    <t>Multicountry Western Pacific</t>
  </si>
  <si>
    <t>Myanmar</t>
  </si>
  <si>
    <t>Namibia</t>
  </si>
  <si>
    <t>Nepal</t>
  </si>
  <si>
    <t>Nicaragua</t>
  </si>
  <si>
    <t>Niger</t>
  </si>
  <si>
    <t>Nigeria</t>
  </si>
  <si>
    <t>Pakistan</t>
  </si>
  <si>
    <t>Palestine</t>
  </si>
  <si>
    <t>Panama</t>
  </si>
  <si>
    <t>Papua New Guinea</t>
  </si>
  <si>
    <t>Paraguay</t>
  </si>
  <si>
    <t>Peru</t>
  </si>
  <si>
    <t>Philippines</t>
  </si>
  <si>
    <t>Romania</t>
  </si>
  <si>
    <t>Russian Federation</t>
  </si>
  <si>
    <t>Rwanda</t>
  </si>
  <si>
    <t>Sao Tome and Principe</t>
  </si>
  <si>
    <t>Senegal</t>
  </si>
  <si>
    <t>Serbia</t>
  </si>
  <si>
    <t>Sierra Leone</t>
  </si>
  <si>
    <t>Solomon Islands</t>
  </si>
  <si>
    <t>Somalia</t>
  </si>
  <si>
    <t>South Africa</t>
  </si>
  <si>
    <t>South Sudan</t>
  </si>
  <si>
    <t>Sri Lanka</t>
  </si>
  <si>
    <t>Sudan</t>
  </si>
  <si>
    <t>Suriname</t>
  </si>
  <si>
    <t>Swaziland</t>
  </si>
  <si>
    <t>Switzerland</t>
  </si>
  <si>
    <t>Syrian Arab Republic</t>
  </si>
  <si>
    <t>Tajikistan</t>
  </si>
  <si>
    <t>Tanzania (United Republic)</t>
  </si>
  <si>
    <t>Thailand</t>
  </si>
  <si>
    <t>Timor-Leste</t>
  </si>
  <si>
    <t>Togo</t>
  </si>
  <si>
    <t>Tunisia</t>
  </si>
  <si>
    <t>Turkey</t>
  </si>
  <si>
    <t>Turkmenistan</t>
  </si>
  <si>
    <t>Uganda</t>
  </si>
  <si>
    <t>Ukraine</t>
  </si>
  <si>
    <t>Uruguay</t>
  </si>
  <si>
    <t>Uzbekistan</t>
  </si>
  <si>
    <t>Viet Nam</t>
  </si>
  <si>
    <t>Yemen</t>
  </si>
  <si>
    <t>Zambia</t>
  </si>
  <si>
    <t>Zanzibar</t>
  </si>
  <si>
    <t>Zimbabwe</t>
  </si>
  <si>
    <t>Artemether</t>
  </si>
  <si>
    <t>80mg/ml Solution for Injection - 1 vial</t>
  </si>
  <si>
    <t>Other antimalaria medicine</t>
  </si>
  <si>
    <t>150mg+500/25mg 3+1 tablet co-blistered 25 blister</t>
  </si>
  <si>
    <t>153mg+500/25mg 3+1 tablet dispersible co-blistered 50 blister</t>
  </si>
  <si>
    <t>75mg+250/12.5mg 3+1 tablet co-blistered 25 blister</t>
  </si>
  <si>
    <t>775mg+250/12.5mg 3+1 tablet co-blistered 50 blister</t>
  </si>
  <si>
    <t>76.5mg+250/12.5mg 3+1 tablet dispersible co-blistered 50 blister</t>
  </si>
  <si>
    <t>20/120mg 12 tablet dispersible 30 blister</t>
  </si>
  <si>
    <t>20/120mg 24 tablet 30 blister</t>
  </si>
  <si>
    <t>20/120mg 6 tablet dispersible 30 blister</t>
  </si>
  <si>
    <t>40/240mg 12 tablet 30 blister</t>
  </si>
  <si>
    <t>40/240mg 6 tablet 30 blister</t>
  </si>
  <si>
    <t>60/360mg 6 tablet 30 blister</t>
  </si>
  <si>
    <t>80/480mg 6 tablet 30 blister</t>
  </si>
  <si>
    <t>20/120mg 12 tablet 30 blister</t>
  </si>
  <si>
    <t>20/120mg 18 tablet 30 blister</t>
  </si>
  <si>
    <t>20/120mg 6 tablet 30 blister</t>
  </si>
  <si>
    <t>100mg 2 suppository</t>
  </si>
  <si>
    <t>120mg powder for solution for injection - 1 vial</t>
  </si>
  <si>
    <t>30mg powder for solution for injection - 1 vial</t>
  </si>
  <si>
    <t>60mg powder for solution for injection - 1 vial</t>
  </si>
  <si>
    <t>100/270mg 3 tablet 25 blister</t>
  </si>
  <si>
    <t>100/270mg 6 tablet 25 blister</t>
  </si>
  <si>
    <t>25/67.5mg 3 tablet 25 blister</t>
  </si>
  <si>
    <t>50/135mg 3 tablet 25 blister</t>
  </si>
  <si>
    <t>100/200mg 3 tablet</t>
  </si>
  <si>
    <t>100/200mg 6 tablet</t>
  </si>
  <si>
    <t>25/50mg 3 tablet</t>
  </si>
  <si>
    <t>25/50mg 6 tablet</t>
  </si>
  <si>
    <t>20/60mg granule for oral suspension 90</t>
  </si>
  <si>
    <t>60/180mg tablet 9 tablet 10 blister</t>
  </si>
  <si>
    <t>100mg+500/25mg 6+3 tablet co-blistered 25 blister</t>
  </si>
  <si>
    <t>50mg+500/25mg 6+2 tablet co-blistered 25 blister</t>
  </si>
  <si>
    <t>250mg as phosphate/sulfate (155mg as base) 10 tablet 10 blister</t>
  </si>
  <si>
    <t>250mg as phosphate/sulfate (155mg as base) 100 tablet</t>
  </si>
  <si>
    <t>250mg as phosphate/sulfate (155mg as base) 100 tablet 10 blister</t>
  </si>
  <si>
    <t>250mg as phosphate/sulfate (155mg as base) 1000 tablet</t>
  </si>
  <si>
    <t>250mg as phosphate/sulfate (155mg as base) 20 tablet</t>
  </si>
  <si>
    <t>250mg as phosphate/sulfate (155mg as base) 500 tablet</t>
  </si>
  <si>
    <t>80mg/5ml as phosphate/sulfate (50mg/5ml as base) 150ml</t>
  </si>
  <si>
    <t>250mg 8 tablet</t>
  </si>
  <si>
    <t>[enter specifications manually]</t>
  </si>
  <si>
    <t>160/20mg 3 tablet</t>
  </si>
  <si>
    <t>320/40mg 12 tablet</t>
  </si>
  <si>
    <t>320/40mg 3 tablet</t>
  </si>
  <si>
    <t>320/40mg 6 tablet</t>
  </si>
  <si>
    <t>320/40mg 9 tablet</t>
  </si>
  <si>
    <t>15mg (as base) (equivalent to 26.4mg Primaquine Phosphate) tablet 100</t>
  </si>
  <si>
    <t>7.5mg (as base) (equivalent to 13.2mg Primaquine Phosphate) tablet 100</t>
  </si>
  <si>
    <t>7.5mg (as base) (equivalent to 13.2mg Primaquine Phosphate) tablet 1000</t>
  </si>
  <si>
    <t>300mg/ml Amp 10 * 2ml</t>
  </si>
  <si>
    <t>300mg/ml Amp 100 * 2ml</t>
  </si>
  <si>
    <t>Section 1 - ListMalariaMed (Drop down product INN)</t>
  </si>
  <si>
    <t>Section 1 - Product (english)</t>
  </si>
  <si>
    <t xml:space="preserve">Section 1 - Specifications </t>
  </si>
  <si>
    <t>Section 1 - Cost input</t>
  </si>
  <si>
    <t>Section 2 - Product (english)</t>
  </si>
  <si>
    <t xml:space="preserve">Section 2 - Specifications </t>
  </si>
  <si>
    <t>Section 2 - Cost input</t>
  </si>
  <si>
    <t>500/25mg 3 tablet 10 blister</t>
  </si>
  <si>
    <t>500/25mg 3 tablet 100 blister</t>
  </si>
  <si>
    <t>500/25mg tablet 100</t>
  </si>
  <si>
    <t>500/25mg tablet 1000</t>
  </si>
  <si>
    <t>Section 2 - ListMalariaMed (Drop down product INN)</t>
  </si>
  <si>
    <t xml:space="preserve">Section 1 - Product (english) &amp; Specifications </t>
  </si>
  <si>
    <t>Microscopy: Malaria smear microscopy reagents</t>
  </si>
  <si>
    <t>Microscope: Equipment</t>
  </si>
  <si>
    <t>Microscope: other</t>
  </si>
  <si>
    <t>Microscope: Spare parts and accessories</t>
  </si>
  <si>
    <t>LED Microscope</t>
  </si>
  <si>
    <t>Light Microscope</t>
  </si>
  <si>
    <t>Rapid Diagnostic Test - Malaria</t>
  </si>
  <si>
    <t>Malaria Antigen P.f , HRP2/pLDH, Kit, 25 Tests</t>
  </si>
  <si>
    <t>Malaria Antigen P.f / P.v, HRP2, pLDH, Kit, 10 Tests</t>
  </si>
  <si>
    <t>Malaria Rapid Diagnostic Test Kit - PAN - 25 tests</t>
  </si>
  <si>
    <t>Malaria Rapid Diagnostic Test Kit - Pf only - 25 tests</t>
  </si>
  <si>
    <t>Malaria Rapid Diagnostic Test Kit - Pf/VOM - 25 tests</t>
  </si>
  <si>
    <t>Section 3 - ListMalariaMed (Drop down product INN)</t>
  </si>
  <si>
    <t>Section 3 - Product (english)</t>
  </si>
  <si>
    <t xml:space="preserve">Section 3 - Specifications </t>
  </si>
  <si>
    <t>180x160x150 Rectangular PBO LLIN</t>
  </si>
  <si>
    <t>180x160x170 Rectangular PBO LLIN</t>
  </si>
  <si>
    <t>180x160x180 Rectangular PBO LLIN</t>
  </si>
  <si>
    <t>180x160x200 Rectangular PBO LLIN</t>
  </si>
  <si>
    <t>180x190x150 Rectangular PBO LLIN</t>
  </si>
  <si>
    <t>180x190x160 Rectangular PBO LLIN</t>
  </si>
  <si>
    <t>190x180x170 Rectangular PBO LLIN</t>
  </si>
  <si>
    <t>190x180x180 Rectangular PBO LLIN</t>
  </si>
  <si>
    <t>195x160x200 Rectangular PBO LLIN</t>
  </si>
  <si>
    <t>200x140x150 Rectangular PBO LLIN</t>
  </si>
  <si>
    <t>210x190x180 Rectangular PBO LLIN</t>
  </si>
  <si>
    <t>Insecticides for purposes other than IRS</t>
  </si>
  <si>
    <t>Equipment-IRS</t>
  </si>
  <si>
    <t>Vector control equipment for purposes other than IRS</t>
  </si>
  <si>
    <t>Alpha-cypermethrin WG-SB</t>
  </si>
  <si>
    <t>Alpha-cypermethrin WP, SC</t>
  </si>
  <si>
    <t>Bendiocarb WP, WP-SB</t>
  </si>
  <si>
    <t>Bifenthrin WP</t>
  </si>
  <si>
    <t>Cyfluthrin WP</t>
  </si>
  <si>
    <t>DDT WP</t>
  </si>
  <si>
    <t>Deltamethrin SC-PE</t>
  </si>
  <si>
    <t>Deltamethrin WP, WG, WG-SB</t>
  </si>
  <si>
    <t>Etofenprox WP</t>
  </si>
  <si>
    <t>Fenitrothion WP</t>
  </si>
  <si>
    <t>Lambda-cyhalothrin WP, CS</t>
  </si>
  <si>
    <t>Malathion WP</t>
  </si>
  <si>
    <t>Other insecticide</t>
  </si>
  <si>
    <t>Pirimiphos-methyl CS</t>
  </si>
  <si>
    <t>Pirimiphos-methyl WP</t>
  </si>
  <si>
    <t>Propoxur WP</t>
  </si>
  <si>
    <t>Section 5 - Cost input</t>
  </si>
  <si>
    <t>Autoclave for laboratory</t>
  </si>
  <si>
    <t>Autoclave for laboratory: Spare parts and accessories</t>
  </si>
  <si>
    <t>Autoclave for waste management</t>
  </si>
  <si>
    <t>Autoclave for waste management: Spare parts and accessories</t>
  </si>
  <si>
    <t>Consumables: Blood collection</t>
  </si>
  <si>
    <t>Consumables: DBS collection</t>
  </si>
  <si>
    <t>Consumables: Infection prevention and control</t>
  </si>
  <si>
    <t>Consumables: Laboratory Other</t>
  </si>
  <si>
    <t>Consumables: Other</t>
  </si>
  <si>
    <t>Consumables: Other (non-laboratory)</t>
  </si>
  <si>
    <t>Consumables: Waste management supplies</t>
  </si>
  <si>
    <t>Equipment-Other</t>
  </si>
  <si>
    <t>Hematology or biochemistry reagents: Coulter</t>
  </si>
  <si>
    <t>Hematology or biochemistry reagents: ELITechGroup</t>
  </si>
  <si>
    <t>Hematology or biochemistry reagents: Roche - Cobas c111</t>
  </si>
  <si>
    <t>Hematology or biochemistry reagents: Sysmex</t>
  </si>
  <si>
    <t>Laboratory Equipment-Incubator</t>
  </si>
  <si>
    <t>Laboratory reagents: Other</t>
  </si>
  <si>
    <t>Microscopy: Malaria consumables</t>
  </si>
  <si>
    <t>Waste management supplies: Reagents</t>
  </si>
  <si>
    <t>Hematology or biochemistry analyzers</t>
  </si>
  <si>
    <t>Hematology or biochemistry reagents: Roche - Cobas c/Integra</t>
  </si>
  <si>
    <t>Section 1 - Category (Drop down)</t>
  </si>
  <si>
    <t>Category</t>
  </si>
  <si>
    <t>Section 2 - Category (Drop down)</t>
  </si>
  <si>
    <t>Antimalaria medicines - prevention</t>
  </si>
  <si>
    <t>Section 1 - Category</t>
  </si>
  <si>
    <t>Section 2 - Category</t>
  </si>
  <si>
    <t>RDTs for Malaria</t>
  </si>
  <si>
    <t>Section 3 - Category</t>
  </si>
  <si>
    <t>Other chemicals &amp; reagents</t>
  </si>
  <si>
    <t>LLINs (mass campaigns)</t>
  </si>
  <si>
    <t>LLINs (routine distributions)</t>
  </si>
  <si>
    <t>Hematology or biochemistry reagents: : Roche - Cobas c/Integra</t>
  </si>
  <si>
    <t>Laboratory reagents</t>
  </si>
  <si>
    <t>Equipment: other</t>
  </si>
  <si>
    <t>HPMT Cost Groupings</t>
  </si>
  <si>
    <t>HPMT Cost Categories</t>
  </si>
  <si>
    <t>HPM Costs</t>
  </si>
  <si>
    <t>HIV-Pharmaceuticals</t>
  </si>
  <si>
    <t>TB-Pharmaceuticals</t>
  </si>
  <si>
    <t>TB Non-Pharmaceuticals</t>
  </si>
  <si>
    <t>Malaria Non-Pharmaceuticals</t>
  </si>
  <si>
    <t>Procurement Entity</t>
  </si>
  <si>
    <t>non-PPM</t>
  </si>
  <si>
    <t>GDF</t>
  </si>
  <si>
    <t>UN-agency</t>
  </si>
  <si>
    <t>Section 1 - ListTBMed (Drop down product INN)</t>
  </si>
  <si>
    <t>Other anti-TB medicine</t>
  </si>
  <si>
    <t>50/75mg 28 tablet dispersible 3 blister</t>
  </si>
  <si>
    <t>100mg 10 tablet 10 blister</t>
  </si>
  <si>
    <t>100mg 28 tablet 24 blister</t>
  </si>
  <si>
    <t>400mg 10 tablet 10 blister</t>
  </si>
  <si>
    <t>400mg 28 tablet 24 blister</t>
  </si>
  <si>
    <t>275/75/400/150mg 10 tablet 10 blister</t>
  </si>
  <si>
    <t>275/75/400/150mg 28 tablet 24 blister</t>
  </si>
  <si>
    <t>275/75/150mg 10 tablet 10 blister</t>
  </si>
  <si>
    <t>275/75/150mg 28 tablet 24 blister</t>
  </si>
  <si>
    <t>50/75mg tablet dispersible 100</t>
  </si>
  <si>
    <t>150mg tablet dispersible 100</t>
  </si>
  <si>
    <t>500mg 28 tablet 24 blister</t>
  </si>
  <si>
    <t>150mg capsule 100</t>
  </si>
  <si>
    <t>150mg 10 capsule 10 blister</t>
  </si>
  <si>
    <t>300mg 10 capsule 10 blister</t>
  </si>
  <si>
    <t>450mg 10 capsule 10 blister</t>
  </si>
  <si>
    <t>600mg 10 capsule 10 blister</t>
  </si>
  <si>
    <t>4-FDC 6x28tabs(R150/H75/Z400/E275)+2-FDC 12x28tabs (R150/H75) - Kit</t>
  </si>
  <si>
    <t>Section 1 - Product specifications</t>
  </si>
  <si>
    <t>Section 2 - ListTBMed (Drop down product INN)</t>
  </si>
  <si>
    <t>Section 2 - Product specifications</t>
  </si>
  <si>
    <t>Pretomanid</t>
  </si>
  <si>
    <t>Rifapentine</t>
  </si>
  <si>
    <t>100mg 10 tablet dispersible 10 blister</t>
  </si>
  <si>
    <t>200 mg tablets 26</t>
  </si>
  <si>
    <t>150mg tablet 24</t>
  </si>
  <si>
    <t>250/125mg 10 tablet 1 blister</t>
  </si>
  <si>
    <t>500/125mg 10 tablet 1 blister</t>
  </si>
  <si>
    <t>875/125mg 10 tablet 1 blister</t>
  </si>
  <si>
    <t>100mg tablet 188</t>
  </si>
  <si>
    <t>100mg tablet 24</t>
  </si>
  <si>
    <t>250mg 10 tablet 1 blister</t>
  </si>
  <si>
    <t>500mg 10 tablet 1 blister</t>
  </si>
  <si>
    <t>50mg tablet 100</t>
  </si>
  <si>
    <t>250mg 10 capsule 10 blister</t>
  </si>
  <si>
    <t>50mg 8 tablet 6 blister</t>
  </si>
  <si>
    <t>125mg 10 tablet 10 blister</t>
  </si>
  <si>
    <t>250mg 10 tablet 10 blister</t>
  </si>
  <si>
    <t>1g/4ml solution for injection - 10 amp</t>
  </si>
  <si>
    <t>500mg powder for solution for injection - 50 vial</t>
  </si>
  <si>
    <t>500mg/2ml solution for injection - 10 amp</t>
  </si>
  <si>
    <t>500mg 10 tablet 10 blister</t>
  </si>
  <si>
    <t>750mg 10 tablet 10 blister</t>
  </si>
  <si>
    <t>600mg 10 tablet 10 blister</t>
  </si>
  <si>
    <t>600mg tablet 20</t>
  </si>
  <si>
    <t>60% w/w granule delayed release 100g</t>
  </si>
  <si>
    <t>250mg 100 tablet 1 blister</t>
  </si>
  <si>
    <t>300mg 10 tablet 10 blister</t>
  </si>
  <si>
    <t>300mg 28 tablet 24 blister</t>
  </si>
  <si>
    <t>50mg 10 tablet 10 blister</t>
  </si>
  <si>
    <t>Section 3 - ListTBMed (Drop down product INN)</t>
  </si>
  <si>
    <t>Section 3 - Product specifications</t>
  </si>
  <si>
    <t>300 mg/25 mg/800 mg/160 tablets 30</t>
  </si>
  <si>
    <t>Isoniazid/Pyridoxine hydrochl/Sulfamethoxazole/Trimethoprim</t>
  </si>
  <si>
    <t>Section 4 - Category</t>
  </si>
  <si>
    <t>Section 4 - ListTBMed (Drop down product INN)</t>
  </si>
  <si>
    <t>Section 4 - Product (english)</t>
  </si>
  <si>
    <t>Section 4 - Product specifications</t>
  </si>
  <si>
    <t>OIs, STIs &amp; other medicines</t>
  </si>
  <si>
    <t>Aciclovir</t>
  </si>
  <si>
    <t>Amitriptyline (as hydrochloride) </t>
  </si>
  <si>
    <t>Amoxicillin</t>
  </si>
  <si>
    <t>Amphotericin b liposome</t>
  </si>
  <si>
    <t>50mg for injection - 1 vial</t>
  </si>
  <si>
    <t>Azithromycin</t>
  </si>
  <si>
    <t>Bleomycin</t>
  </si>
  <si>
    <t>Bleomycin 15 USP units - 15,0000 IU powder for injection - 1 vial</t>
  </si>
  <si>
    <t>Chlorphenamine maleate</t>
  </si>
  <si>
    <t>Clindamycin</t>
  </si>
  <si>
    <t>Clotrimzole</t>
  </si>
  <si>
    <t>Co-trimoxazole</t>
  </si>
  <si>
    <t>100/20mg tablet 1000</t>
  </si>
  <si>
    <t>200/40mg per 5ml oral solution 100ml</t>
  </si>
  <si>
    <t>400/80mg tablet 1000</t>
  </si>
  <si>
    <t>480mg/5ml injection - 10 ampoule</t>
  </si>
  <si>
    <t>800/160mg tablet 1000</t>
  </si>
  <si>
    <t>800/160mg tablet 500</t>
  </si>
  <si>
    <t>Codeine (as phosphate)</t>
  </si>
  <si>
    <t>Daclatasvir</t>
  </si>
  <si>
    <t>Dapsone</t>
  </si>
  <si>
    <t>Diclofenac (as sodium) </t>
  </si>
  <si>
    <t> 75mg/3ml injection - 100 ampoules</t>
  </si>
  <si>
    <t> 50mg tablet coated enteric 1000</t>
  </si>
  <si>
    <t>Doxorubicin (as hydrochloride) </t>
  </si>
  <si>
    <t> 10mg powder for solution for injection - 1 vial</t>
  </si>
  <si>
    <t> 50mg powder for solution for injection - 1 vial</t>
  </si>
  <si>
    <t>Doxycycline (as hyclate) </t>
  </si>
  <si>
    <t> 100mg tablet 500</t>
  </si>
  <si>
    <t>Entecavir </t>
  </si>
  <si>
    <t> 0.5mg tablet 30</t>
  </si>
  <si>
    <t> 0.5mg tablet scored 90</t>
  </si>
  <si>
    <t> 1mg tablet 30</t>
  </si>
  <si>
    <t>1mg tablet scored 90</t>
  </si>
  <si>
    <t>Erythromycin</t>
  </si>
  <si>
    <t> 250mg/5ml powder for oral solution 140ml - 20 bottles</t>
  </si>
  <si>
    <t>Erythromycin (as stearate) </t>
  </si>
  <si>
    <t> 250mg tablet 1000</t>
  </si>
  <si>
    <t> 500mg tablet 100</t>
  </si>
  <si>
    <t> 500mg tablet 500</t>
  </si>
  <si>
    <t>Fluconazole</t>
  </si>
  <si>
    <t>200mg capsule 100</t>
  </si>
  <si>
    <t>2mg/ml infusion 100ml - 10 bags</t>
  </si>
  <si>
    <t>50mg capsule 100</t>
  </si>
  <si>
    <t>50mg/5ml powder for oral solution 35ml</t>
  </si>
  <si>
    <t>Flucytosine</t>
  </si>
  <si>
    <t>Flucytosine 500mg tablet 100</t>
  </si>
  <si>
    <t>Flucytosine injection</t>
  </si>
  <si>
    <t>10mg/ml 5 bottles 250ml</t>
  </si>
  <si>
    <t>Ganciclovir</t>
  </si>
  <si>
    <t> 500mg powder for solution for injection - 1 vial</t>
  </si>
  <si>
    <t>Ibuprofen</t>
  </si>
  <si>
    <t>Lactulose (as liquid)</t>
  </si>
  <si>
    <t>Nystatin</t>
  </si>
  <si>
    <t>Pantoprazole</t>
  </si>
  <si>
    <t>Pegylated liposomal doxorubicin</t>
  </si>
  <si>
    <t>Podophyllotoxin</t>
  </si>
  <si>
    <t> 0.5% oral solution 3.5ml</t>
  </si>
  <si>
    <t>Pvp iodine</t>
  </si>
  <si>
    <t> 10% solution 200ml</t>
  </si>
  <si>
    <t> 10% solution gynaecological 500ml</t>
  </si>
  <si>
    <t>Pyrimethamine</t>
  </si>
  <si>
    <t> 25mg 30 tablet</t>
  </si>
  <si>
    <t> 50mg 20 tablet</t>
  </si>
  <si>
    <t> 200mg 42 tablet 1 blister</t>
  </si>
  <si>
    <t> 4mg tablet 1000</t>
  </si>
  <si>
    <t>Sodium dichloroisocyanurate</t>
  </si>
  <si>
    <t> 1.67g tablet 200</t>
  </si>
  <si>
    <t> 400mg tablet 28</t>
  </si>
  <si>
    <t> 400mg/90mg tablet 28</t>
  </si>
  <si>
    <t>Sofosbuvir/Velpatasvir </t>
  </si>
  <si>
    <t> 400mg/100mg tablet 28</t>
  </si>
  <si>
    <t>Sofosbuvir+Daclatasvir</t>
  </si>
  <si>
    <t> 400+60mg tablet co-blistered 28 blister</t>
  </si>
  <si>
    <t> 500mg 56 tablet</t>
  </si>
  <si>
    <t>Therapeutic milk F100 powder</t>
  </si>
  <si>
    <t> 102.5g - 120 sachets</t>
  </si>
  <si>
    <t> 114g - 90 sachets</t>
  </si>
  <si>
    <t>Valganciclovir</t>
  </si>
  <si>
    <t>450mg tablet 60</t>
  </si>
  <si>
    <t>Vincristine (as sulfate)</t>
  </si>
  <si>
    <t> 1mg/ml injection - 1 vial</t>
  </si>
  <si>
    <t>Vitamin B-6 (pyridoxine as hydrochloride)</t>
  </si>
  <si>
    <t> 25mg tablet 100</t>
  </si>
  <si>
    <t>10ml - 20 ampoules</t>
  </si>
  <si>
    <t>5% cream 2g - 1 tube</t>
  </si>
  <si>
    <t>250mg/5ml oral solution 100ml - 40 bottles</t>
  </si>
  <si>
    <t>500mg capsule 1000</t>
  </si>
  <si>
    <t>500mg tablet 1000</t>
  </si>
  <si>
    <t>Ampicillin</t>
  </si>
  <si>
    <t>500mg powder for injection - 50 vial</t>
  </si>
  <si>
    <t>200mg/5ml oral solution 15ml</t>
  </si>
  <si>
    <t>250mg 6 tablet</t>
  </si>
  <si>
    <t>500mg 3 tablet</t>
  </si>
  <si>
    <t>Benzathine penicillin</t>
  </si>
  <si>
    <t>2.4 MIU powder for solution for injection - 50 vials</t>
  </si>
  <si>
    <t>Ceftriaxone</t>
  </si>
  <si>
    <t>1g powder for injection - 10 vials</t>
  </si>
  <si>
    <t>Chloramphenicol</t>
  </si>
  <si>
    <t>250mg capsule 1000</t>
  </si>
  <si>
    <t>10mg/ml solution for injection 1ml - 5 ampoule</t>
  </si>
  <si>
    <t>Ciprofloxacin</t>
  </si>
  <si>
    <t>500mg tablet 100</t>
  </si>
  <si>
    <t>600mg/4ml injection - 1 ampoule</t>
  </si>
  <si>
    <t>500mg 1 tablet vaginal</t>
  </si>
  <si>
    <t>1% cream 30g tube - 10 tubes</t>
  </si>
  <si>
    <t>30mg tablet 100</t>
  </si>
  <si>
    <t>30mg tablet 28</t>
  </si>
  <si>
    <t>60mg tablet 28</t>
  </si>
  <si>
    <t>100mg 28 tablet</t>
  </si>
  <si>
    <t>Gentamicin</t>
  </si>
  <si>
    <t>80mg/2ml injection - 100 ampoules</t>
  </si>
  <si>
    <t>100mg/5ml oral solution 100ml</t>
  </si>
  <si>
    <t>200mg film coated tablet 1000</t>
  </si>
  <si>
    <t>Itraconazole</t>
  </si>
  <si>
    <t>100mg 15 capsule</t>
  </si>
  <si>
    <t>667mg/ml 200ml</t>
  </si>
  <si>
    <t>Metronidazole</t>
  </si>
  <si>
    <t>200mg tablet 1000</t>
  </si>
  <si>
    <t>250mg tablet 1000</t>
  </si>
  <si>
    <t>5mg/ml oral solution 100ml - 20 bottles</t>
  </si>
  <si>
    <t>100,000 IU 14 tablet</t>
  </si>
  <si>
    <t>100,000 IU/ml oral solution 30ml</t>
  </si>
  <si>
    <t>Oral rehydration salt</t>
  </si>
  <si>
    <t>20.5g/l - 100 sachets</t>
  </si>
  <si>
    <t>20mg 28 tablet</t>
  </si>
  <si>
    <t>Paracetamol</t>
  </si>
  <si>
    <t>120mg/5ml oral solution 60ml - 140 bottles</t>
  </si>
  <si>
    <t>2mg/ml 20mg 1 vial</t>
  </si>
  <si>
    <t>Phenoxymethylpenicillin</t>
  </si>
  <si>
    <t>Ribavirin</t>
  </si>
  <si>
    <t>Salbutamol</t>
  </si>
  <si>
    <t>Sofosbuvir</t>
  </si>
  <si>
    <t>Sulfadiazine</t>
  </si>
  <si>
    <t>Microscopy: TB smear microscopy reagent kits</t>
  </si>
  <si>
    <t>Microscopy: TB smear microscopy reagents</t>
  </si>
  <si>
    <t>Diagnostic reagents and consumables kit - LED/AURAMINE MICROSCOPY</t>
  </si>
  <si>
    <t>Diagnostic reagents and consumables kit - ZN/LIGHT MICROSCOPY</t>
  </si>
  <si>
    <t>GeneXpert: Equipment</t>
  </si>
  <si>
    <t>GeneXpert IV-4 modules with desktop computer and barcode reader</t>
  </si>
  <si>
    <t>GeneXpert IV-4 modules with with laptop computer and barcode reader</t>
  </si>
  <si>
    <t>GeneXpert 1-module Edge with tablet, barcode reader and auxiliary batteries</t>
  </si>
  <si>
    <t>GeneXpert IV-2 modules with desktop computer and barcode reader</t>
  </si>
  <si>
    <t>GeneXpert XVI-16 modules with desktop computer and barcode reader</t>
  </si>
  <si>
    <t>GeneXpert: other</t>
  </si>
  <si>
    <t>GeneXpert: Spare parts and accessories</t>
  </si>
  <si>
    <t>Liquid culture and DST-Other reagents (not consumables)</t>
  </si>
  <si>
    <t>Solid culture and DST: Other reagents (no consumables)</t>
  </si>
  <si>
    <t>Laboratory Equipment-BACTEC MGIT 960 system</t>
  </si>
  <si>
    <t>Laboratory Equipment-BACTEC MGIT other system</t>
  </si>
  <si>
    <t>BACTEC MGIT PZA Tubes - 25 tubes</t>
  </si>
  <si>
    <t>Liquid culture and DST: Media, Reagents, Antibiotics</t>
  </si>
  <si>
    <t>Solid culture and DST: Media, Reagents, Antibiotics</t>
  </si>
  <si>
    <t>TB Molecular diagnosis/LPA-Chemicals</t>
  </si>
  <si>
    <t>TB Molecular diagnosis/LPA-Other reagents</t>
  </si>
  <si>
    <t>TB Molecular diagnosis/LPA-Reagents kits</t>
  </si>
  <si>
    <t>Molecular diagnosis: LPA-Chemicals</t>
  </si>
  <si>
    <t>Molecular diagnosis: LPA-Other reagents (no consumables)</t>
  </si>
  <si>
    <t>Molecular diagnosis: LPA-Reagents kits</t>
  </si>
  <si>
    <t>GenoType MTBDRsl 2.0 (with Genolyse) 96 tests</t>
  </si>
  <si>
    <t>GenoType MTBDRsl 2.0 (without Genolyse) 96 tests</t>
  </si>
  <si>
    <t>GenoType Mycobacterium CM Version 2 (without GenoLyse) 96 tests</t>
  </si>
  <si>
    <t>GenoType Mycobacterium AS (without GenoLyse) 96 tests</t>
  </si>
  <si>
    <t>GenoType MTBC 96 tests</t>
  </si>
  <si>
    <t>GenoLyse, Version 1.0 96 tests</t>
  </si>
  <si>
    <t>Genoscan reader (GS-001) + PC + Screen + software</t>
  </si>
  <si>
    <t>GT blot - 48</t>
  </si>
  <si>
    <t>GTQ-Cycler 96</t>
  </si>
  <si>
    <t>Consumables: Sample collection and media transport</t>
  </si>
  <si>
    <t>Consumables: TB specimen processing</t>
  </si>
  <si>
    <t>GeneXpert: Consumables</t>
  </si>
  <si>
    <t>Microscopy: TB consumables</t>
  </si>
  <si>
    <t>MTB/MPT64 identification-Other reagents</t>
  </si>
  <si>
    <t>MTB/MPT64 identification-Rapid test - 30 tests</t>
  </si>
  <si>
    <t>TB specimen processing: Reagents</t>
  </si>
  <si>
    <t>ECG</t>
  </si>
  <si>
    <t>X-ray: Equipment</t>
  </si>
  <si>
    <t>Darkroom Automatic X-ray Film processor</t>
  </si>
  <si>
    <t>Daylight Automatic X-ray Film Processor</t>
  </si>
  <si>
    <t>Mobile basic diagnostic x-ray system, analogue</t>
  </si>
  <si>
    <t>Mobile basic diagnostic x-ray system, digital</t>
  </si>
  <si>
    <t>Mobile flouroscopic x-ray system, analogue</t>
  </si>
  <si>
    <t>Mobile flouroscopic x-ray system, digital</t>
  </si>
  <si>
    <t>Radiographic film view box, non-powered</t>
  </si>
  <si>
    <t>X-ray: Equipment-Other</t>
  </si>
  <si>
    <t>Determine TB LAM Ag Test, 100 test/kit</t>
  </si>
  <si>
    <t>HIV 1+2 - OraQuick ADVANCE HIV Rapid Antibody Kit - 25 Tests</t>
  </si>
  <si>
    <t>HIV 1+2 - OraQuick HIV Self Test - 50 Tests</t>
  </si>
  <si>
    <t>HIV 1/2 - Determine HIV Combo Kit 100 tests</t>
  </si>
  <si>
    <t>DPP HIV 1/2 Assay - 20 tests</t>
  </si>
  <si>
    <t>HIV 1/2 - SD Bioline 3.0 Kit - 25 tests</t>
  </si>
  <si>
    <t>HIV 1/2 – MultiSure HIV Rapid Test – 20 tests</t>
  </si>
  <si>
    <t>HIV 1/2-O - First Response HIV 1-2.0 v.3.0 Cards Kit - 25 tests</t>
  </si>
  <si>
    <t>HIV 1/2-O - First Response HIV 1-2.0 v.3.0 Cards Kit - 30 tests</t>
  </si>
  <si>
    <t>HIV 1/2-O - First Response HIV 1-2.0 v.3.0 Cards Kit - 100 tests</t>
  </si>
  <si>
    <t>HIV 1/2: Geenius HIV Confirmatory Assay - 20 tests</t>
  </si>
  <si>
    <t>HIV 1/2/O – ABON Tri-Line HIV Rapid Test Kit - 40 tests</t>
  </si>
  <si>
    <t>HIV 1+2 - SD Bioline Ag/Ab Combo Kit - 30 tests</t>
  </si>
  <si>
    <t>HIV 1+2 - Determine Complete HIV Kit - 100 tests</t>
  </si>
  <si>
    <t>HIV 1+2 - Determine HIV Kit - 100 tests</t>
  </si>
  <si>
    <t>HIV 1+2 - Determine HIV Kit - 20 tests</t>
  </si>
  <si>
    <t>HIV 1+2 - OraQuick HIV Rapid Antibody Kit - 100 Tests</t>
  </si>
  <si>
    <t>HIV 1+2 - OraQuick HIV Self Test - 250 Tests</t>
  </si>
  <si>
    <t>HIV 1+2 - Stat-Pak Dipstick Assay Kit - 30 tests</t>
  </si>
  <si>
    <t>HIV 1+2 - Stat-Pak HIV Kit - 20 tests</t>
  </si>
  <si>
    <t>HIV 1+2 - Uni-gold HIV Kit - 100 tests</t>
  </si>
  <si>
    <t>HIV 1+2 - Uni-gold HIV Kit - 20 tests</t>
  </si>
  <si>
    <t>HIV 1+2 - Vikia HIV Device Kit - 25 tests</t>
  </si>
  <si>
    <t>HIV 1+2 Colloidal Gold - 50 tests</t>
  </si>
  <si>
    <t>HIV/Syphilis - SD Bioline Duo complete kit - 25 tests</t>
  </si>
  <si>
    <t>Y1Q1</t>
  </si>
  <si>
    <t>Y1Q2</t>
  </si>
  <si>
    <t>Y1Q3</t>
  </si>
  <si>
    <t>Y1Q4</t>
  </si>
  <si>
    <t>Y2Q1</t>
  </si>
  <si>
    <t>Y2Q2</t>
  </si>
  <si>
    <t>Y3Q3</t>
  </si>
  <si>
    <t>Y2Q3</t>
  </si>
  <si>
    <t>Y2Q4</t>
  </si>
  <si>
    <t>Y3Q1</t>
  </si>
  <si>
    <t>Y3Q2</t>
  </si>
  <si>
    <t>Y3Q4</t>
  </si>
  <si>
    <t>Procurement Costs</t>
  </si>
  <si>
    <t>TB medicines</t>
  </si>
  <si>
    <t xml:space="preserve">Section 2 - Product (english) &amp; Specifications </t>
  </si>
  <si>
    <t>Malaria-Pharmaceuticals - Section 1</t>
  </si>
  <si>
    <t>Malaria-Pharmaceuticals - Section 2</t>
  </si>
  <si>
    <t>Category of Products</t>
  </si>
  <si>
    <t>Malaria-Pharmaceuticals-Section 2</t>
  </si>
  <si>
    <t>Malaria-RDT LLIN IRS ETC - Section 1</t>
  </si>
  <si>
    <t>Malaria-RDT LLIN IRS ETC - Section 2</t>
  </si>
  <si>
    <t>Malaria-RDT LLIN IRS ETC - Section 3</t>
  </si>
  <si>
    <t>Malaria-RDT LLIN IRS ETC - Section 4</t>
  </si>
  <si>
    <t>Malaria Microscopy - Equipment &amp; reagents</t>
  </si>
  <si>
    <t>Malaria Laboratory equipment</t>
  </si>
  <si>
    <t>Malaria Other health equipment</t>
  </si>
  <si>
    <t>Malaria Other chemicals &amp; reagents</t>
  </si>
  <si>
    <t>Malaria consumables</t>
  </si>
  <si>
    <t>Maintenance and service costs for Malaria health equipment</t>
  </si>
  <si>
    <t>Microscope: Other</t>
  </si>
  <si>
    <t>Section 4 - ListMalariaMed (Drop down product INN)</t>
  </si>
  <si>
    <t xml:space="preserve">Section 4 - Specifications </t>
  </si>
  <si>
    <t>Malaria Consumables</t>
  </si>
  <si>
    <t>Malaria Laboratory reagents</t>
  </si>
  <si>
    <t>Estimated fees</t>
  </si>
  <si>
    <t>Section 3 - Malaria Other chemicals &amp; reagents</t>
  </si>
  <si>
    <t>Section 3 - Malaria Other health equipment</t>
  </si>
  <si>
    <t>Section 4 - Malaria Other chemicals &amp; reagents</t>
  </si>
  <si>
    <t>Section 4 - Equipment-Other</t>
  </si>
  <si>
    <t>Warehouse and storage costs (7.3)</t>
  </si>
  <si>
    <t>In country distribution costs (7.4)</t>
  </si>
  <si>
    <t>-</t>
  </si>
  <si>
    <t>HPM costs &amp; RSSH - Section 2, Other procurement and supply management costs (7.7), Type of Health Product = Malaria LLINs (routine distribution), take the total budget per quarter and multiply by Malaria-Key Info G51, from SETUP G34 determine the payment modality and apply the figure in H34 to establish in which quarter in the DB the budget should be reflected</t>
  </si>
  <si>
    <t>HPM costs &amp; RSSH - Section 2, Other procurement and supply management costs (7.7), Type of Health Product = Malaria LLINs (routine distribution), take the total budget per quarter and multiply by Malaria-Key Info G52, from SETUP G34 determine the payment modality and apply the figure in H34 to establish in which quarter in the DB the budget should be reflected</t>
  </si>
  <si>
    <t>HPM costs &amp; RSSH - Section 2, Other procurement and supply management costs (7.7), Type of Health Product = Malaria LLINs (routine distribution), take the total budget per quarter and multiply by Malaria-Key Info G53, from SETUP G34 determine the payment modality and apply the figure in H34 to establish in which quarter in the DB the budget should be reflected</t>
  </si>
  <si>
    <t>HPM costs &amp; RSSH - Section 2, Other procurement and supply management costs (7.7), Type of Health Product = Malaria LLINs (routine distribution), take the total budget per quarter and multiply by Malaria-Key Info G54, from SETUP G34 determine the payment modality and apply the figure in H34 to establish in which quarter in the DB the budget should be reflected</t>
  </si>
  <si>
    <t>HPM costs &amp; RSSH - Section 2, Other procurement and supply management costs (7.7), Type of Health Product = Malaria IRS equipment &amp; insecticides, take the total budget per quarter, from SETUP G35 determine the payment modality and apply the figure in H35 to establish in which quarter in the DB the budget should be reflectedn H34 to establish in which quarter in the DB the budget should be reflected</t>
  </si>
  <si>
    <t>HPM costs &amp; RSSH - Section 2, Other procurement and supply management costs (7.7),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</si>
  <si>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</si>
  <si>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</si>
  <si>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t>
  </si>
  <si>
    <t xml:space="preserve">Malaria-RDT LLIN IRS ETC - Section 4, take the total budget per quarter for cost-input "6.5 Maintenance and service costs for health equipment", from SETUP G52 determine the payment modality and apply the figure in H52 to establish in which quarter in the DB the budget should be reflected </t>
  </si>
  <si>
    <t xml:space="preserve">Malaria-RDT LLIN IRS ETC - Section 4, take the total budget per quarter for cost-input "5.8 Other consumables", from SETUP G49 determine the payment modality and apply the figure in H49 to establish in which quarter in the DB the budget should be reflected </t>
  </si>
  <si>
    <t>Other chemicals &amp; reagents for Section4</t>
  </si>
  <si>
    <t>Other health equipment for Section4</t>
  </si>
  <si>
    <t>4-FDC 6x28tabs(R150/H75/Z400/E275)+2-FDC 18x28tabs(R150/H150) - Kit</t>
  </si>
  <si>
    <t>Other MDR/XDR TB medicine</t>
  </si>
  <si>
    <t>Terizidone</t>
  </si>
  <si>
    <t>Sofosbuvir/ Ledipasvir</t>
  </si>
  <si>
    <t>25mg tablet coated 1000</t>
  </si>
  <si>
    <t>TB Microscopy - Equipment &amp; reagents</t>
  </si>
  <si>
    <t>20mg/ml oral solution 240ml</t>
  </si>
  <si>
    <t>300mg tablet 60</t>
  </si>
  <si>
    <t>60mg tablet dispersible 60</t>
  </si>
  <si>
    <t>120/60mg tablet dispersible 30</t>
  </si>
  <si>
    <t>120/60mg tablet dispersible 60</t>
  </si>
  <si>
    <t>60/30mg tablet dispersible 60</t>
  </si>
  <si>
    <t>600/300mg tablet 30</t>
  </si>
  <si>
    <t>300/150/300mg tablet 60</t>
  </si>
  <si>
    <t>60/30/60mg tablet 60</t>
  </si>
  <si>
    <t>100mg capsule 60</t>
  </si>
  <si>
    <t>150mg capsule 30</t>
  </si>
  <si>
    <t>150mg capsule 60</t>
  </si>
  <si>
    <t>200mg capsule 60</t>
  </si>
  <si>
    <t>300mg capsule 30</t>
  </si>
  <si>
    <t>300/100mg tablet 30</t>
  </si>
  <si>
    <t>300/100+150/300mg tablet co-blistered 30+60</t>
  </si>
  <si>
    <t>150mg tablet 240</t>
  </si>
  <si>
    <t>400mg tablet 60</t>
  </si>
  <si>
    <t>600mg tablet 60</t>
  </si>
  <si>
    <t>75mg tablet 480</t>
  </si>
  <si>
    <t>800mg tablet 30</t>
  </si>
  <si>
    <t>Darunavir/Ritonavir</t>
  </si>
  <si>
    <t>400/50mg tablet 60</t>
  </si>
  <si>
    <t>800/100mg tablet 30</t>
  </si>
  <si>
    <t>50mg tablet 30</t>
  </si>
  <si>
    <t>Dolutegravir/Lamivudine/Tenofovir</t>
  </si>
  <si>
    <t>50/300/300mg tablet 180</t>
  </si>
  <si>
    <t>50/300/300mg tablet 30</t>
  </si>
  <si>
    <t>50/300/300mg tablet 30  no carton</t>
  </si>
  <si>
    <t>50/300/300mg tablet 90 - no carton</t>
  </si>
  <si>
    <t>200mg capsule 30</t>
  </si>
  <si>
    <t>200mg capsule 90</t>
  </si>
  <si>
    <t>200mg tablet 30</t>
  </si>
  <si>
    <t>200mg tablet 90</t>
  </si>
  <si>
    <t>200mg tablet double scored 90</t>
  </si>
  <si>
    <t>200mg tablet scored 90</t>
  </si>
  <si>
    <t>200mg tablet single scored 90</t>
  </si>
  <si>
    <t>30mg/ml Oral solution 180ml</t>
  </si>
  <si>
    <t>50mg capsule 30</t>
  </si>
  <si>
    <t>600mg tablet 30</t>
  </si>
  <si>
    <t>600/200/300mg tablet 30</t>
  </si>
  <si>
    <t>600/200mg/300mg tablet 180</t>
  </si>
  <si>
    <t>600/200mg/300mg tablet 30  no carton</t>
  </si>
  <si>
    <t>600/200mg/300mg tablet 90</t>
  </si>
  <si>
    <t>400/300/300mg tablet 180</t>
  </si>
  <si>
    <t>400/300/300mg tablet 30</t>
  </si>
  <si>
    <t>400/300/300mg tablet 30  no carton</t>
  </si>
  <si>
    <t>400/300/300mg tablet 90</t>
  </si>
  <si>
    <t>600/300/300mg tablet 100</t>
  </si>
  <si>
    <t>600/300/300mg tablet 100  no carton</t>
  </si>
  <si>
    <t>600/300/300mg tablet 180</t>
  </si>
  <si>
    <t>600/300/300mg tablet 30</t>
  </si>
  <si>
    <t>600/300/300mg tablet 30  no carton</t>
  </si>
  <si>
    <t>600/300/300mg tablet 90</t>
  </si>
  <si>
    <t>600/300/300mg tablet 90  no carton</t>
  </si>
  <si>
    <t>200/300mg tablet 30</t>
  </si>
  <si>
    <t>200/300mg+200mg tablet co-blister 30+60</t>
  </si>
  <si>
    <t>100mg tablet 120</t>
  </si>
  <si>
    <t>25mg tablet 120</t>
  </si>
  <si>
    <t>200mg tablet 60</t>
  </si>
  <si>
    <t>10mg/ml oral solution 100ml</t>
  </si>
  <si>
    <t>10mg/ml oral solution 240ml</t>
  </si>
  <si>
    <t>150mg tablet 60</t>
  </si>
  <si>
    <t>300/300mg tablet 30</t>
  </si>
  <si>
    <t>75/75mg tablet 30</t>
  </si>
  <si>
    <t>300/300+300+100mg tablet co-blistered 60</t>
  </si>
  <si>
    <t>150/300mg tablet 60</t>
  </si>
  <si>
    <t>30/60mg tablet dispersible 60</t>
  </si>
  <si>
    <t>150/300+600mg 60+30 tablet co-blistered 90</t>
  </si>
  <si>
    <t>100/25mg tablet 120</t>
  </si>
  <si>
    <t>100/25mg tablet 60</t>
  </si>
  <si>
    <t>200/50mg tablet 120</t>
  </si>
  <si>
    <t>40/10mg capsule 120</t>
  </si>
  <si>
    <t>40/10mg oral granules  120 sachets</t>
  </si>
  <si>
    <t>80/20mg/ml oral solution 160ml</t>
  </si>
  <si>
    <t>80/20mg/ml oral solution 60ml*5</t>
  </si>
  <si>
    <t>10mg/ml oral suspension 100ml</t>
  </si>
  <si>
    <t>Nevirapine 10mg/ml oral suspension 240ml</t>
  </si>
  <si>
    <t>100mg tablet chewable 60</t>
  </si>
  <si>
    <t>25mg tablet chewable 60</t>
  </si>
  <si>
    <t>100mg powder for oral solution  1 sachet</t>
  </si>
  <si>
    <t>100mg tablet 30</t>
  </si>
  <si>
    <t>100mg tablet 60</t>
  </si>
  <si>
    <t>25mg tablet 30</t>
  </si>
  <si>
    <t>25mg tablet 60</t>
  </si>
  <si>
    <t>50mg tablet 60</t>
  </si>
  <si>
    <t>80mg/ml oral solution 90ml</t>
  </si>
  <si>
    <t>300mg tablet 30</t>
  </si>
  <si>
    <t>40mg/g granules  60g</t>
  </si>
  <si>
    <t>100mg capsule 100</t>
  </si>
  <si>
    <t>10mg/ml injection for infusion 20ml  5 ampoules</t>
  </si>
  <si>
    <t>50mg/5ml Oral solution 100ml</t>
  </si>
  <si>
    <t>50mg/5ml Oral solution 240ml</t>
  </si>
  <si>
    <t>10mg/ml oral concentrate 1 Liter</t>
  </si>
  <si>
    <t>5mg/ml oral concentrate 1 Liter</t>
  </si>
  <si>
    <t>Other-opioid substitute</t>
  </si>
  <si>
    <t>Product Category</t>
  </si>
  <si>
    <t>35 g – sterile jelly - 1 tube</t>
  </si>
  <si>
    <t>82 g – sterile jelly - 1 tube</t>
  </si>
  <si>
    <t>4 ml - water based - 1000 sachets</t>
  </si>
  <si>
    <t>4.3 ml - water based - 1000 sachets</t>
  </si>
  <si>
    <t>5 ml - water based - 1000 sachets</t>
  </si>
  <si>
    <t>49 mm - dotted - pack of 144</t>
  </si>
  <si>
    <t>49 mm - plain - pack of 144</t>
  </si>
  <si>
    <t>49 mm - ribbed - pack of 144</t>
  </si>
  <si>
    <t>49 mm - with color - pack of 144</t>
  </si>
  <si>
    <t>49 mm - with flavor/scent - pack of 144</t>
  </si>
  <si>
    <t>52 mm - contoured - pack of 144</t>
  </si>
  <si>
    <t>52 mm - dotted - contoured - pack of 144</t>
  </si>
  <si>
    <t>52 mm - ribbed - contoured - pack of 144</t>
  </si>
  <si>
    <t>53 mm - dotted - pack of 144</t>
  </si>
  <si>
    <t>53 mm - plain - pack of 144</t>
  </si>
  <si>
    <t>53 mm - ribbed - pack of 144</t>
  </si>
  <si>
    <t>53 mm - thick - pack of 144</t>
  </si>
  <si>
    <t>53 mm - thin - pack of 144</t>
  </si>
  <si>
    <t>53 mm - with color - pack of 144</t>
  </si>
  <si>
    <t>53 mm - with color - with flavor/scent - pack of 144</t>
  </si>
  <si>
    <t>53 mm - with flavor/scent - pack of 144</t>
  </si>
  <si>
    <t>latex - ring</t>
  </si>
  <si>
    <t>latex - sponge</t>
  </si>
  <si>
    <t>nitrile - ring</t>
  </si>
  <si>
    <t>polyurethane</t>
  </si>
  <si>
    <t>Section 1 - Product (english) &amp; Product specifications</t>
  </si>
  <si>
    <t>Section 2 - Product (english) &amp; Product specifications</t>
  </si>
  <si>
    <t>GeneXpert Cartridge 10</t>
  </si>
  <si>
    <t>SD BIOLINE HBsAg WB – 30 tests</t>
  </si>
  <si>
    <t>Cryptococcus Antigen Latex lateral flow assay, 50 test/kit</t>
  </si>
  <si>
    <t>Cryptococcus - Latex Agglutination Antigen Detection System - 120 Tests</t>
  </si>
  <si>
    <t>Section 3 - Product (english) &amp; Product specifications</t>
  </si>
  <si>
    <t>Abbott Early Infant Diagnosis Test Kit and Consumable Bundle - 96 tests</t>
  </si>
  <si>
    <t>Alere Early Infant Diagnosis Test Kit - 10 tests</t>
  </si>
  <si>
    <t>Alere Early Infant Diagnosis Test Kit - 50 tests</t>
  </si>
  <si>
    <t>Cepheid Early Infant Diagnosis Test Kit - 10 tests</t>
  </si>
  <si>
    <t>DRW Samba I Early Infant Diagnosis Test Kit - 12 tests</t>
  </si>
  <si>
    <t>DRW Samba II Early Infant Diagnosis Test Kit - 12 tests</t>
  </si>
  <si>
    <t>Roche Early Infant Diagnosis Test Kit and Consumable Bundle - 48 tests</t>
  </si>
  <si>
    <t>Abbott Viral Load Test Kit and Consumable Bundle - Plasma - 96 tests</t>
  </si>
  <si>
    <t>Biocentric Viral Load Test Kit and Consumable Bundle - 440 tests</t>
  </si>
  <si>
    <t>bioMerieux Viral Load Test Kit and Consumable Bundle - 48 tests</t>
  </si>
  <si>
    <t>Cepheid Viral Load Test Kit - 10 tests</t>
  </si>
  <si>
    <t>DRW Samba I Viral Load Test Kit - 12 tests</t>
  </si>
  <si>
    <t>DRW Samba II Viral Load Test Kit - 12 tests</t>
  </si>
  <si>
    <t>Hologic Viral Load Test Kit - 100 tests</t>
  </si>
  <si>
    <t>Qiagen Viral Load Test Kit and Consumable Bundle - 24 tests</t>
  </si>
  <si>
    <t>Qiagen Viral Load Test Kit and Consumable Bundle - 72 tests</t>
  </si>
  <si>
    <t>Roche Viral Load Test Kit and Consumable Bundle - 48 tests</t>
  </si>
  <si>
    <t>HIV Laboratory reagents</t>
  </si>
  <si>
    <t>TB-Pharmaceuticals - Section 1</t>
  </si>
  <si>
    <t>TB-Pharmaceuticals-Section 1</t>
  </si>
  <si>
    <t>TB-Pharmaceuticals - Section 2</t>
  </si>
  <si>
    <t>TB-Pharmaceuticals-Section 2</t>
  </si>
  <si>
    <t>TB-Pharmaceuticals-Section 3</t>
  </si>
  <si>
    <t>TB-Pharmaceuticals - Section 3</t>
  </si>
  <si>
    <t>HIV-Pharmaceuticals - Section 1</t>
  </si>
  <si>
    <t>TB-Pharmaceuticals - Section 4</t>
  </si>
  <si>
    <t>TB-Pharmaceuticals-Section 4</t>
  </si>
  <si>
    <t> 2mg/ml 50mg 1 vial</t>
  </si>
  <si>
    <t> 25mg tablet coated 1000</t>
  </si>
  <si>
    <t>In percentage</t>
  </si>
  <si>
    <t>RDTs for TB</t>
  </si>
  <si>
    <t>GeneXpert - Equipment &amp; cartridges for TB program</t>
  </si>
  <si>
    <t>Rapid Diagnostic Test - TB</t>
  </si>
  <si>
    <t>GeneXpert Cartridge 50</t>
  </si>
  <si>
    <t>GeneXpert ULTRA Cartridge 10</t>
  </si>
  <si>
    <t>GeneXpert ULTRA Cartridge 50</t>
  </si>
  <si>
    <t>Culture/DST/LPA - Equipment &amp; reagents</t>
  </si>
  <si>
    <t>RDTS for HIV testing in TB program</t>
  </si>
  <si>
    <t>Consumables for TB program</t>
  </si>
  <si>
    <t>Laboratory equipment for TB program</t>
  </si>
  <si>
    <t>Other health equipment for TB program</t>
  </si>
  <si>
    <t>Other chemicals &amp; reagents_TB program</t>
  </si>
  <si>
    <t>Other Laboratory reagents_TB program</t>
  </si>
  <si>
    <t>TB medicines for IPT</t>
  </si>
  <si>
    <t>Malaria - RDT LLIN IRS ETC - Section 3, Cost Input = "5.5 Insecticides", take the total budget per quarter, from SETUP G35 determine the payment modality and apply the figure in H35 to establish in which quarter in the DB the budget should be reflected</t>
  </si>
  <si>
    <t>Malaria - RDT LLIN IRS ETC - Section 3, Cost Input = "6.6 Other health equipment ", take the total budget per quarter, from SETUP G50 determine the payment modality and apply the figure in H50 to establish in which quarter in the DB the budget should be reflected</t>
  </si>
  <si>
    <t xml:space="preserve">Malaria-RDT LLIN IRS ETC - Section 4, take the total budget per quarter for Cost Input = "6.6 Other health equipment ", from SETUP G49 determine the payment modality and apply the figure in H49 to establish in which quarter in the DB the budget should be reflected </t>
  </si>
  <si>
    <t>HPM costs &amp; RSSH - Section 1, Procurement agent and handling fees (7.1),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</si>
  <si>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</si>
  <si>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2 Warehouse and storage costs (7.3),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</si>
  <si>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2, In country distribution costs  (7.4),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</si>
  <si>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1, Quality assurance and quality control costs (QA/QC) (7.5) AND Section 2, In-country QA/QC costs (7.5),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</si>
  <si>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1, PSM Customs Clearance (7.6),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</si>
  <si>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t>
  </si>
  <si>
    <t>HPM costs &amp; RSSH - Section 1, Procurement agent and handling fees (7.1),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</si>
  <si>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</si>
  <si>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2 Warehouse and storage costs (7.3),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</si>
  <si>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2, In country distribution costs  (7.4),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</si>
  <si>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1, Quality assurance and quality control costs (QA/QC) (7.5) AND Section 2, In-country QA/QC costs (7.5),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</si>
  <si>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1, PSM Customs Clearance (7.6),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</si>
  <si>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t>
  </si>
  <si>
    <t>HPM costs &amp; RSSH - Section 1, Procurement agent and handling fees (7.1), Type of Health Product = Malaria Antimalaria medicines -  treatment, take the total budget per quarter and multiply by % located in Malaria-Key Info F25, ADD Type of Health Product = Malaria RDTs take the total budget per quarter and multiply by % located in Malaria-Key InfoN46, from SETUP G17 determine the payment modality and apply the figure in H17 to establish in which quarter in the DB the budget should be reflected</t>
  </si>
  <si>
    <t>HPM costs &amp; RSSH - Section 1, Freight and insurance costs for health products (7.2),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</si>
  <si>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2 Warehouse and storage costs (7.3),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</si>
  <si>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2, In country distribution costs  (7.4),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</si>
  <si>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1, PSM Customs Clearance (7.6),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</si>
  <si>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2, Other procurement and supply management costs (7.7),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</si>
  <si>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HPM costs &amp; RSSH - Section 1, Quality assurance and quality control costs (QA/QC) (7.5) AND Section 2, In-country QA/QC costs (7.5),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t>
  </si>
  <si>
    <t>75/150mg 10 tablet 10 blister</t>
  </si>
  <si>
    <t>75/150mg 28 tablet 24 blister</t>
  </si>
  <si>
    <t>Rapid Diagnostic Tests, including GeneXpert</t>
  </si>
  <si>
    <t>Culture and DST</t>
  </si>
  <si>
    <t>Equipment &amp; reagents, including Line Probe Assay</t>
  </si>
  <si>
    <t>Laboratory equipment-Incubator</t>
  </si>
  <si>
    <t>OI, STIs &amp; Other medicines</t>
  </si>
  <si>
    <t>HIV Equipment</t>
  </si>
  <si>
    <t>RDTs for STIs, OIs, &amp; hepatitis</t>
  </si>
  <si>
    <t>Reagents &amp; Consumables</t>
  </si>
  <si>
    <t>TB- Other HPs &amp; equipment - Section 4, COST INPUT = 5.8 Consumables, take the total budget per quarter AND multiply by the % in TB-Key Info cell L14, from SETUP F40 determine the payment modality and apply the figure in G40 to establish in which quarter in the DB the budget should be reflected</t>
  </si>
  <si>
    <t>TB- Other HPs &amp; equipment - Section 2 and Section 3, COST INPUT = 6.4 TB Molecular Test equipment, take the total budget per quarter AND multiply by the % in TB-Key Info cell L14, from SETUP F34 determine the payment modality and apply the figure in G34 to establish in which quarter in the DB the budget should be reflected</t>
  </si>
  <si>
    <t>TB- Other HPs &amp; equipment - 4, COST INPUT = 6.5 Maintenance and service costs for health equipment, take the total budget per quarter AND multiply by the % in TB-Key Info cell L14, from SETUP F42 determine the payment modality and apply the figure in G42 to establish in which quarter in the DB the budget should be reflected</t>
  </si>
  <si>
    <t>HPM costs &amp; RSSH - Section 1, Procurement agent and handling fees (7.1),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</si>
  <si>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1, Freight and insurance costs (Health products) (7.2),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</si>
  <si>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2, Warehouse and storage costs (7.3),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</si>
  <si>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2, In country distribution costs  (7.4),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</si>
  <si>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1, Quality assurance and quality control costs (QA/QC) (7.5) AND Section 2, In-country QA/QC costs (7.5),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</si>
  <si>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1, PSM Customs Clearance (7.6),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</si>
  <si>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2, Other procurement and supply management costs (7.7), ADD together Type of Health Product = "Microscopy - Equipment &amp; reagents" PLUS "RDTs for TB" PLUS "Culture/DST/LPA - Equipment &amp; reagents" PLUS "Consumables &amp; other equipment", take the total budget per quarter and multiply by % located in TB-Key Info L14</t>
  </si>
  <si>
    <t>HPM costs &amp; RSSH - Section 1, Procurement agent and handling fees (7.1), ADD together Type of Health Product = "TB medicines" PLUS "TB medicines for IPT" , take the total budget per quarter</t>
  </si>
  <si>
    <t>HPM costs &amp; RSSH - Section 1, Freight and insurance costs (Health products) (7.2), ADD together Type of Health Product = "TB medicines" PLUS "TB medicines for IPT" , take the total budget per quarter</t>
  </si>
  <si>
    <t>HPM costs &amp; RSSH - Section 2, Warehouse and storage costs (7.3), ADD together Type of Health Product = "TB medicines" PLUS "TB medicines for IPT" , take the total budget per quarter</t>
  </si>
  <si>
    <t>HPM costs &amp; RSSH - Section 2, In country distribution costs  (7.4), ADD together Type of Health Product = "TB medicines" PLUS "TB medicines for IPT" , take the total budget per quarter</t>
  </si>
  <si>
    <t>HPM costs &amp; RSSH - Section 1, Quality assurance and quality control costs (QA/QC) (7.5) AND Section 2, In-country QA/QC costs (7.5), ADD together Type of Health Product = "TB medicines" PLUS "TB medicines for IPT" , take the total budget per quarter</t>
  </si>
  <si>
    <t>HPM costs &amp; RSSH - Section 1, PSM Customs Clearance (7.6), ADD together Type of Health Product = "TB medicines" PLUS "TB medicines for IPT" , take the total budget per quarter</t>
  </si>
  <si>
    <t>HPM costs &amp; RSSH - Section 2, Other procurement and supply management costs (7.7), ADD together Type of Health Product = "TB medicines" PLUS "TB medicines for IPT" , take the total budget per quarter</t>
  </si>
  <si>
    <t>TB - Pharmaceuticals - Section 3, take the total budget per quarter, from SETUP F31 determine the payment modality and apply the figure in G31 to establish in which quarter in the DB the budget should be reflected</t>
  </si>
  <si>
    <t>TB- Other HPs &amp; equipment - Section 1, 2, 3, and 4, COST INPUT = 5.4 Rapid Diagnostic Test, take the total budget per quarter AND multiply by the % in TB-Key Info cell L15, from SETUP F34 determine the payment modality and apply the figure in G34to establish in which quarter in the DB the budget should be reflected</t>
  </si>
  <si>
    <t>TB- Other HPs &amp; equipment - Section 4, COST INPUT = 5.8 Consumables, take the total budget per quarter AND multiply by the % in TB-Key Info cell L15, from SETUP F40 determine the payment modality and apply the figure in G40 to establish in which quarter in the DB the budget should be reflected</t>
  </si>
  <si>
    <t>TB- Other HPs &amp; equipment - Section 2 and Section 3, COST INPUT = 6.4 TB Molecular Test equipment, take the total budget per quarter AND multiply by the % in TB-Key Info cell L15, from SETUP F34 determine the payment modality and apply the figure in G34 to establish in which quarter in the DB the budget should be reflected</t>
  </si>
  <si>
    <t>TB- Other HPs &amp; equipment - 4, COST INPUT = 6.5 Maintenance and service costs for health equipment, take the total budget per quarter AND multiply by the % in TB-Key Info cell L15, from SETUP F42 determine the payment modality and apply the figure in G42 to establish in which quarter in the DB the budget should be reflected</t>
  </si>
  <si>
    <t>HPM costs &amp; RSSH - Section 1, Procurement agent and handling fees (7.1),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</si>
  <si>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1, Freight and insurance costs (Health products) (7.2),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</si>
  <si>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2, Warehouse and storage costs (7.3),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</si>
  <si>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2, In country distribution costs  (7.4),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</si>
  <si>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1, Quality assurance and quality control costs (QA/QC) (7.5) AND Section 2, In-country QA/QC costs (7.5),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</si>
  <si>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1, PSM Customs Clearance (7.6), ADD together Type of Health Product = "Microscopy - Equipment &amp; reagents" PLUS "RDTs for TB" PLUS "Culture/DST/LPA - Equipment &amp; reagents" PLUS "Consumables &amp; other equipment", take the total budget per quarter and multiply by % located in TB-Key Info L15</t>
  </si>
  <si>
    <t>HPM costs &amp; RSSH - Section 2, Other procurement and supply management costs (7.7), ADD together Type of Health Product = "Microscopy - Equipment &amp; reagents" PLUS "RDTs for TB" PLUS "Culture/DST/LPA - Equipment &amp; reagents" PLUS "Consumables &amp; other equipment", take the total budget per quarter and multiply by % located in TB-Key Info L15</t>
  </si>
  <si>
    <t>TB - Pharmaceuticals - Section 2, take the total budget per quarter, from SETUP F30 determine the payment modality and apply the figure in G30 to establish in which quarter in the DB the budget should be reflected</t>
  </si>
  <si>
    <t>TB - Pharmaceuticals - Section 4, take the total budget per quarter, from SETUP F32 determine the payment modality and apply the figure in G32 to establish in which quarter in the DB the budget should be reflected</t>
  </si>
  <si>
    <t>TB- Other HPs &amp; equipment - Section 4, Type of Product = "Syringes and needles", take the total budget per quarter, from SETUP F40 determine the payment modality and apply the figure in G40 to establish in which quarter in the DB the budget should be reflected</t>
  </si>
  <si>
    <t>HPM costs &amp; RSSH - Section 1, Procurement agent and handling fees (7.1), ADD together Type of Health Product = "MDR/XDR TB medicines" PLUS "OIs, STIs &amp; other medicines for TB program", take the total budget per quarter</t>
  </si>
  <si>
    <t>HPM costs &amp; RSSH - Section 1, Freight and insurance costs (Health products) (7.2), ADD together Type of Health Product = "MDR/XDR TB medicines" PLUS "OIs, STIs &amp; other medicines for TB program", take the total budget per quarter</t>
  </si>
  <si>
    <t>HPM costs &amp; RSSH - Section 2, Warehouse and storage costs (7.3), ADD together Type of Health Product = "MDR/XDR TB medicines" PLUS "OIs, STIs &amp; other medicines for TB program", take the total budget per quarter</t>
  </si>
  <si>
    <t>HPM costs &amp; RSSH - Section 2, In country distribution costs  (7.4), ADD together Type of Health Product = "MDR/XDR TB medicines" PLUS "OIs, STIs &amp; other medicines for TB program", take the total budget per quarter</t>
  </si>
  <si>
    <t>HPM costs &amp; RSSH - Section 1, Quality assurance and quality control costs (QA/QC) (7.5) AND Section 2, In-country QA/QC costs (7.5), ADD together Type of Health Product = "MDR/XDR TB medicines" PLUS "OIs, STIs &amp; other medicines for TB program", take the total budget per quarter</t>
  </si>
  <si>
    <t>HPM costs &amp; RSSH - Section 1, PSM Customs Clearance (7.6), ADD together Type of Health Product = "MDR/XDR TB medicines" PLUS "OIs, STIs &amp; other medicines for TB program", take the total budget per quarter</t>
  </si>
  <si>
    <t>HPM costs &amp; RSSH - Section 2, Other procurement and supply management costs (7.7), ADD together Type of Health Product = "MDR/XDR TB medicines" PLUS "OIs, STIs &amp; other medicines for TB program", take the total budget per quarter</t>
  </si>
  <si>
    <t>TB-Other HPs &amp; Equipment - Section 1</t>
  </si>
  <si>
    <t>TB-Other HPs &amp; Equipment - Section 2</t>
  </si>
  <si>
    <t>TB-Other HPs &amp; Equipment - Section 3</t>
  </si>
  <si>
    <t>TB-Other HPs &amp; Equipment - Section 4</t>
  </si>
  <si>
    <t>TOTAL EXPECTED NUMBER OF TB CASES</t>
  </si>
  <si>
    <t xml:space="preserve">PERCENTAGE of expected sensitive TB cases </t>
  </si>
  <si>
    <t xml:space="preserve">PERCENTAGE of expected M/XDR TB cases </t>
  </si>
  <si>
    <t>TB- Other HPs &amp; equipment - Section 1, 2, 3, and 4, COST INPUT = 5.4 Rapid Diagnostic Test, take the total budget per quarter AND multiply by the % in TB-Key Info cell L14, from SETUP F34 determine the payment modality and apply the figure in G34 to establish in which quarter in the DB the budget should be reflected</t>
  </si>
  <si>
    <t>TB- Other HPs &amp; equipment - Section 3, and 4, COST INPUT = 6.6 Other health equipment, take the total budget per quarter AND multiply by the % in TB-Key Info cell L14, from SETUP F37 determine the payment modality and apply the figure in G37 to establish in which quarter in the DB the budget should be reflected</t>
  </si>
  <si>
    <t>TB- Other HPs &amp; equipment - Section 3, and 4, COST INPUT = 6.6 Other health equipment, take the total budget per quarter AND multiply by the % in TB-Key Info cell L15, from SETUP F37 determine the payment modality and apply the figure in G37 to establish in which quarter in the DB the budget should be reflected</t>
  </si>
  <si>
    <t>TB- Other HPs &amp; equipment - Section 1, 2, 3, and 4, COST INPUT = 5.6 Laboratory reagents, take the total budget per quarter AND multiply by the % in TB-Key Info cell L14, from SETUP F37 determine the payment modality and apply the figure in G37 to establish in which quarter in the DB the budget should be reflected</t>
  </si>
  <si>
    <t>TB- Other HPs &amp; equipment - Section 1, 2, 3, and 4, COST INPUT = 5.6 Laboratory reagents, take the total budget per quarter AND multiply by the % in TB-Key Info cell L15, from SETUP F37 determine the payment modality and apply the figure in G37 to establish in which quarter in the DB the budget should be reflected</t>
  </si>
  <si>
    <t>TB- Other HPs &amp; equipment - Section 1, for COST INPUT = 6.3 Microscopes  take the total budget per quarter AND multiply by the % in TB-Key Info cell L14, from SETUP F33 determine the payment modality and apply the figure in G33 to establish in which quarter in the DB the budget should be reflected</t>
  </si>
  <si>
    <t>TB- Other HPs &amp; equipment - Section 1, for COST INPUT = 6.3 Microscopes take the total budget per quarter AND multiply by the % in TB-Key Info cell L15, from SETUP F33 determine the payment modality and apply the figure in G33 to establish in which quarter in the DB the budget should be reflected</t>
  </si>
  <si>
    <t>Amitriptyline (as hydrochloride)</t>
  </si>
  <si>
    <t>Diclofenac (as sodium)</t>
  </si>
  <si>
    <t>Doxorubicin (as hydrochloride)</t>
  </si>
  <si>
    <t>Doxycycline (as hyclate)</t>
  </si>
  <si>
    <t>Erythromycin (as stearate)</t>
  </si>
  <si>
    <t>Sofosbuvir/Velpatasvir</t>
  </si>
  <si>
    <t>Laboratory equipment for HIV program</t>
  </si>
  <si>
    <t>GeneXpert - Equipment &amp; cartridges for HIV program</t>
  </si>
  <si>
    <t>Maintenance and service costs for health equipment_HIV program</t>
  </si>
  <si>
    <t>Other health equipment for HIV program</t>
  </si>
  <si>
    <t>Flow cytometry analyzer (CD4) for Malaria</t>
  </si>
  <si>
    <t>Viral load and/or EID analyzer for Malaria</t>
  </si>
  <si>
    <t>Flow cytometry analyzer (CD4) for TB</t>
  </si>
  <si>
    <t>Viral load and/or EID analyzer for TB</t>
  </si>
  <si>
    <t>RDTs for TB for HIV program</t>
  </si>
  <si>
    <t>Section 4 - Product (english) &amp; Product specifications</t>
  </si>
  <si>
    <t>Consumables for HIV program</t>
  </si>
  <si>
    <t>Other chemicals &amp; reagents_HIV program</t>
  </si>
  <si>
    <t>Other Laboratory reagents_HIV program</t>
  </si>
  <si>
    <t>Syringes and needles for HARM REDUCTION</t>
  </si>
  <si>
    <t>Reagents, consumables, and other health products</t>
  </si>
  <si>
    <t>HIV-Equipment Section1</t>
  </si>
  <si>
    <t>HIV-Equipment</t>
  </si>
  <si>
    <t>HIV-Other HPs</t>
  </si>
  <si>
    <t>BD - FACS Consumables</t>
  </si>
  <si>
    <t>Alere - PIMA Consumables</t>
  </si>
  <si>
    <t>Sysmex - Partec Cyflow Consumables</t>
  </si>
  <si>
    <t>Sysmex - Partec Cyflow</t>
  </si>
  <si>
    <t>CD4 easy count kit dry - 100 tests</t>
  </si>
  <si>
    <t>CD4 easy count kit - 100 tests</t>
  </si>
  <si>
    <t>CD4% easy count kit dry - 100 tests</t>
  </si>
  <si>
    <t>CD4% easy count kit - 100 tests</t>
  </si>
  <si>
    <t>Alere - PIMA</t>
  </si>
  <si>
    <t>CD4 cartridge kit - 100 tests</t>
  </si>
  <si>
    <t>BD - FACSCount</t>
  </si>
  <si>
    <t>CD4 reagent kit - 50 tests</t>
  </si>
  <si>
    <t>CD4/CD8/CD3 reagent kit - 50 tests</t>
  </si>
  <si>
    <t>BD - Multitest</t>
  </si>
  <si>
    <t>CD3/CD8/CD45/CD4 - 50 tests</t>
  </si>
  <si>
    <t>BD - Multicheck</t>
  </si>
  <si>
    <t>CD4 control (blood) low - 2.5ml - 1 vial</t>
  </si>
  <si>
    <t>BD - FACS</t>
  </si>
  <si>
    <t>CD3/CD4/CD45 reagent tritest - 50 tests</t>
  </si>
  <si>
    <t>BD - FACS Other reagents</t>
  </si>
  <si>
    <t>Alere - PIMA Other reagents</t>
  </si>
  <si>
    <t>Sysmex - Partec Cyflow Other reagents</t>
  </si>
  <si>
    <t>HIV-Other HPs Section 1, take the total budget per quarter for Type of Product = "Male condom" OR COST INPUT 5.2 CONDOMS -  MALE and multiply it by the % in HIV-Other HPs Section 1 D45), from the SETUP page determine the TYPE OF PAYMENT (F21) and quarter in which payment is made (G21)</t>
  </si>
  <si>
    <t>HIV-Other HPs Section 1, take the total budget per quarter for Type of Product = "Lubricant" OR COST INPUT 5.8 CONDOMS -  OTHER CONSUMABLES and multiply it by the % in HIV-Other HPs Section 1 F45),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</si>
  <si>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</si>
  <si>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</si>
  <si>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</si>
  <si>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</si>
  <si>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</si>
  <si>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D45,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</si>
  <si>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D45, from the SETUP page determine the TYPE OF PAYMENT (F21) and quarter in which payment is made (G21)</t>
  </si>
  <si>
    <t>HIV-Other HPs Section 1, take the total budget per quarter for Type of Product = "Male condom" OR COST INPUT 5.2 CONDOMS -  MALE and multiply it by the % in HIV-Other HPs Section 1 D47),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</si>
  <si>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E47), from the SETUP page determine the TYPE OF PAYMENT (F21) and quarter in which payment is made (G21)</t>
  </si>
  <si>
    <t>HIV-Other HPs Section 1, take the total budget per quarter for Type of Product = "Lubricant" OR COST INPUT 5.8 OTHER CONSUMABLES and multiply it by the % in HIV-Other HPs Section 1 F47),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</si>
  <si>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</si>
  <si>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</si>
  <si>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</si>
  <si>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</si>
  <si>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</si>
  <si>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D47,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</si>
  <si>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D47, from the SETUP page determine the TYPE OF PAYMENT (F21) and quarter in which payment is made (G21)</t>
  </si>
  <si>
    <t>HIV-Other HPs Section 1, take the total budget per quarter for Type of Product = "Male condom" OR COST INPUT 5.2 CONDOMS -  MALE and multiply it by the % in HIV-Other HPs Section 1 D46),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</si>
  <si>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E46), from the SETUP page determine the TYPE OF PAYMENT (F21) and quarter in which payment is made (G21)</t>
  </si>
  <si>
    <t>HIV-Other HPs Section 1, take the total budget per quarter for Type of Product = "Lubricant" OR COST INPUT 5.8 OTHER CONSUMABLES and multiply it by the % in HIV-Other HPs Section 1 F46),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</si>
  <si>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</si>
  <si>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</si>
  <si>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</si>
  <si>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</si>
  <si>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</si>
  <si>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D46,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</si>
  <si>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D46, from the SETUP page determine the TYPE OF PAYMENT (F21) and quarter in which payment is made (G21)</t>
  </si>
  <si>
    <t>HIV-Other HPs Section 4 - Take the total budget per quarter for COST INPUT = "5.7 Syringes and needles", from the SETUP page determine the TYPE OF PAYMENT (F22) and quarter in which payment is made (G22)</t>
  </si>
  <si>
    <t>HIV-Pharmaceuticals Section 1 - Take the total budget per quarter for COST INPUT = "4.4 Opioid substitutes medicines", from the SETUP page determine the TYPE OF PAYMENT (F17) and quarter in which payment is made (G17)</t>
  </si>
  <si>
    <t>HIV-Other HPs Section 1, take the total budget per quarter for Type of Product = "Male condom" OR COST INPUT 5.2 CONDOMS -  MALE and multiply it by the % in HIV-Other HPs Section 1 D48),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</si>
  <si>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E48), from the SETUP page determine the TYPE OF PAYMENT (F21) and quarter in which payment is made (G21)</t>
  </si>
  <si>
    <t>HIV-Other HPs Section 1, take the total budget per quarter for Type of Product = "Lubricant" OR COST INPUT 5.8 OTHER CONSUMABLES and multiply it by the % in HIV-Other HPs Section 1 F48),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</si>
  <si>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</si>
  <si>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</si>
  <si>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</si>
  <si>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</si>
  <si>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</si>
  <si>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D48,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</si>
  <si>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D48, from the SETUP page determine the TYPE OF PAYMENT (F21) and quarter in which payment is made (G21)</t>
  </si>
  <si>
    <t>HIV-Other HPs Section 1, take the total budget per quarter for Type of Product = "Male condom" OR COST INPUT 5.2 CONDOMS -  MALE and multiply it by the % in HIV-Other HPs Section 1 D49),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</si>
  <si>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E49), from the SETUP page determine the TYPE OF PAYMENT (F21) and quarter in which payment is made (G21)</t>
  </si>
  <si>
    <t>HIV-Other HPs Section 1, take the total budget per quarter for Type of Product = "Lubricant" OR COST INPUT 5.8 OTHER CONSUMABLES and multiply it by the % in HIV-Other HPs Section 1 F49),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</si>
  <si>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</si>
  <si>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</si>
  <si>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</si>
  <si>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</si>
  <si>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</si>
  <si>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D49,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</si>
  <si>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D49, from the SETUP page determine the TYPE OF PAYMENT (F21) and quarter in which payment is made (G21)</t>
  </si>
  <si>
    <t>HIV-Other HPs Section 1, take the total budget per quarter for Type of Product = "Male condom" OR COST INPUT 5.2 CONDOMS -  MALE and multiply it by the % in HIV-Other HPs Section 1 D51),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</si>
  <si>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E51), from the SETUP page determine the TYPE OF PAYMENT (F21) and quarter in which payment is made (G21)</t>
  </si>
  <si>
    <t>HIV-Other HPs Section 1, take the total budget per quarter for Type of Product = "Lubricant" OR COST INPUT 5.8 OTHER CONSUMABLES and multiply it by the % in HIV-Other HPs Section 1 F51),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</si>
  <si>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</si>
  <si>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</si>
  <si>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</si>
  <si>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</si>
  <si>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</si>
  <si>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D51,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</si>
  <si>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D51, from the SETUP page determine the TYPE OF PAYMENT (F21) and quarter in which payment is made (G21)</t>
  </si>
  <si>
    <t>HIV-Other HPs Section 1, take the total budget per quarter for Type of Product = "Male condom" OR COST INPUT 5.2 CONDOMS -  MALE and multiply it by the % in HIV-Other HPs Section 1 D50),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</si>
  <si>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E50), from the SETUP page determine the TYPE OF PAYMENT (F21) and quarter in which payment is made (G21)</t>
  </si>
  <si>
    <t>HIV-Other HPs Section 1, take the total budget per quarter for Type of Product = "Lubricant" OR COST INPUT 5.8 OTHER CONSUMABLES and multiply it by the % in HIV-Other HPs Section 1 F50),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</si>
  <si>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</si>
  <si>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</si>
  <si>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</si>
  <si>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</si>
  <si>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</si>
  <si>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D50,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</si>
  <si>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D50, from the SETUP page determine the TYPE OF PAYMENT (F21) and quarter in which payment is made (G21)</t>
  </si>
  <si>
    <t>HIV-Other HPs Section 1, take the total budget per quarter for Type of Product = "Male condom" OR COST INPUT 5.2 CONDOMS -  MALE and multiply it by the % in HIV-Other HPs Section 1 D52), from the SETUP page determine the TYPE OF PAYMENT (F21) and quarter in which payment is made (G21)</t>
  </si>
  <si>
    <t>HIV-Other HPs Section 1, take the total budget per quarter for Type of Product = "Lubricant" OR COST INPUT 5.8 OTHER CONSUMABLES and multiply it by the % in HIV-Other HPs Section 1 F52),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</si>
  <si>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</si>
  <si>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</si>
  <si>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</si>
  <si>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</si>
  <si>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</si>
  <si>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D52,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</si>
  <si>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D52, from the SETUP page determine the TYPE OF PAYMENT (F21) and quarter in which payment is made (G21)</t>
  </si>
  <si>
    <t>HIV-Other HPs Section 1, take the total budget per quarter for Type of Product = "Male condom" OR COST INPUT 5.2 CONDOMS -  MALE and multiply it by the % in HIV-Other HPs Section 1 D44),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</si>
  <si>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E44), from the SETUP page determine the TYPE OF PAYMENT (F21) and quarter in which payment is made (G21)</t>
  </si>
  <si>
    <t>HIV-Other HPs Section 1, take the total budget per quarter for Type of Product = "Lubricant" OR COST INPUT 5.8 OTHER CONSUMABLES and multiply it by the % in HIV-Other HPs Section 1 F44),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</si>
  <si>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</si>
  <si>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</si>
  <si>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</si>
  <si>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</si>
  <si>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</si>
  <si>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D44,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</si>
  <si>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D44, from the SETUP page determine the TYPE OF PAYMENT (F21) and quarter in which payment is made (G21)</t>
  </si>
  <si>
    <t>HIV-Other HPs Section 1, take the total budget per quarter for Type of Product = "Male condom" OR COST INPUT 5.2 CONDOMS -  MALE and multiply it by the % in HIV-Other HPs Section 1 D53), from the SETUP page determine the TYPE OF PAYMENT (F21) and quarter in which payment is made (G21)</t>
  </si>
  <si>
    <t>HIV-Other HPs Section 1, take the total budget per quarter for Type of Product = "Female condom" OR COST INPUT 5.3 CONDOMS - FEMALE and multiply it by the % in HIV-Other HPs Section 1 E53), from the SETUP page determine the TYPE OF PAYMENT (F21) and quarter in which payment is made (G21)</t>
  </si>
  <si>
    <t>HIV-Other HPs Section 1, take the total budget per quarter for Type of Product = "Lubricant" OR COST INPUT 5.8 OTHER CONSUMABLES and multiply it by the % in HIV-Other HPs Section 1 F53), from the SETUP page determine the TYPE OF PAYMENT (F21) and quarter in which payment is made (G21)</t>
  </si>
  <si>
    <t>HPM costs &amp; RSSH - Section 1, Procurement agent and handling fees (7.1),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</si>
  <si>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1, Freight and insurance costs (Health products) (7.2),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</si>
  <si>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2, Warehouse and storage costs (7.3),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</si>
  <si>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2, In country distribution costs  (7.4),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</si>
  <si>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1, Quality assurance and quality control costs (QA/QC) (7.5) AND Section 2, In-country QA/QC costs (7.5),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</si>
  <si>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1, PSM Customs Clearance (7.6), ADD together Type of Health Product = "Condoms" PLUS "Lubricants", take the total budget per quarter and multiply it by the % in HIV-Other HPs Section 1 D53, from the SETUP page determine the TYPE OF PAYMENT (F21) and quarter in which payment is made (G21)</t>
  </si>
  <si>
    <t>HPM costs &amp; RSSH - Section 2, Other procurement and supply management costs (7.7), ADD together Type of Health Product = "Condoms" PLUS "Lubricants", take the total budget per quarter and multiply it by the % in HIV-Other HPs Section 1 D53, from the SETUP page determine the TYPE OF PAYMENT (F21) and quarter in which payment is made (G21)</t>
  </si>
  <si>
    <t>HIV-Other HPs Section 2,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</si>
  <si>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</si>
  <si>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</si>
  <si>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</si>
  <si>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</si>
  <si>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</si>
  <si>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</si>
  <si>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D100), ADD ((take the total budget per quarter for Category = "RDTs for STIs, OIs &amp; hepatitis" PLUS Category = "RDTs for TB for HIV program") and multiply it by the % in HIV-Other HPs Section 2 E100); MULTIPLY the result by the % in HIV-Other HPs Section 2 F100;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</si>
  <si>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</si>
  <si>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</si>
  <si>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</si>
  <si>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</si>
  <si>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</si>
  <si>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</si>
  <si>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</si>
  <si>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F91;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</si>
  <si>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</si>
  <si>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</si>
  <si>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</si>
  <si>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</si>
  <si>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</si>
  <si>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</si>
  <si>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</si>
  <si>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G91;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</si>
  <si>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</si>
  <si>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</si>
  <si>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</si>
  <si>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</si>
  <si>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</si>
  <si>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</si>
  <si>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</si>
  <si>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D91), ADD ((take the total budget per quarter for Category = "RDTs for STIs, OIs &amp; hepatitis" PLUS Category = "RDTs for TB for HIV program") and multiply it by the % in HIV-Other HPs Section 2 E91); MULTIPLY the result by the % in HIV-Other HPs Section 2 H91;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</si>
  <si>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</si>
  <si>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</si>
  <si>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</si>
  <si>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</si>
  <si>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</si>
  <si>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</si>
  <si>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</si>
  <si>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F93;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</si>
  <si>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</si>
  <si>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</si>
  <si>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</si>
  <si>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</si>
  <si>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</si>
  <si>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</si>
  <si>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</si>
  <si>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G93;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</si>
  <si>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</si>
  <si>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</si>
  <si>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</si>
  <si>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</si>
  <si>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</si>
  <si>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</si>
  <si>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</si>
  <si>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D93), ADD ((take the total budget per quarter for Category = "RDTs for STIs, OIs &amp; hepatitis" PLUS Category = "RDTs for TB for HIV program") and multiply it by the % in HIV-Other HPs Section 2 E93); MULTIPLY the result by the % in HIV-Other HPs Section 2 H93;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</si>
  <si>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</si>
  <si>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</si>
  <si>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</si>
  <si>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</si>
  <si>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</si>
  <si>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</si>
  <si>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</si>
  <si>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F92;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</si>
  <si>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</si>
  <si>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</si>
  <si>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</si>
  <si>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</si>
  <si>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</si>
  <si>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</si>
  <si>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</si>
  <si>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G92;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</si>
  <si>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</si>
  <si>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</si>
  <si>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</si>
  <si>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</si>
  <si>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</si>
  <si>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</si>
  <si>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</si>
  <si>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H92;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</si>
  <si>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</si>
  <si>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</si>
  <si>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</si>
  <si>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</si>
  <si>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</si>
  <si>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</si>
  <si>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</si>
  <si>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F94;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</si>
  <si>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</si>
  <si>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</si>
  <si>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</si>
  <si>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</si>
  <si>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</si>
  <si>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</si>
  <si>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</si>
  <si>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G94;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</si>
  <si>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</si>
  <si>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</si>
  <si>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</si>
  <si>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</si>
  <si>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</si>
  <si>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</si>
  <si>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</si>
  <si>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D94), ADD ((take the total budget per quarter for Category = "RDTs for STIs, OIs &amp; hepatitis" PLUS Category = "RDTs for TB for HIV program") and multiply it by the % in HIV-Other HPs Section 2 E94); MULTIPLY the result by the % in HIV-Other HPs Section 2 H94;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</si>
  <si>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</si>
  <si>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</si>
  <si>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</si>
  <si>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</si>
  <si>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</si>
  <si>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</si>
  <si>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</si>
  <si>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F95;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</si>
  <si>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</si>
  <si>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</si>
  <si>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</si>
  <si>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</si>
  <si>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</si>
  <si>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</si>
  <si>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</si>
  <si>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G95;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</si>
  <si>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</si>
  <si>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</si>
  <si>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</si>
  <si>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</si>
  <si>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</si>
  <si>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</si>
  <si>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</si>
  <si>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D95), ADD ((take the total budget per quarter for Category = "RDTs for STIs, OIs &amp; hepatitis" PLUS Category = "RDTs for TB for HIV program") and multiply it by the % in HIV-Other HPs Section 2 E95); MULTIPLY the result by the % in HIV-Other HPs Section 2 H95;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</si>
  <si>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</si>
  <si>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</si>
  <si>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</si>
  <si>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</si>
  <si>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</si>
  <si>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</si>
  <si>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</si>
  <si>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F97;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</si>
  <si>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</si>
  <si>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</si>
  <si>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</si>
  <si>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</si>
  <si>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</si>
  <si>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</si>
  <si>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</si>
  <si>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G97;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</si>
  <si>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</si>
  <si>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</si>
  <si>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</si>
  <si>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</si>
  <si>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</si>
  <si>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</si>
  <si>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</si>
  <si>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D97), ADD ((take the total budget per quarter for Category = "RDTs for STIs, OIs &amp; hepatitis" PLUS Category = "RDTs for TB for HIV program") and multiply it by the % in HIV-Other HPs Section 2 E97); MULTIPLY the result by the % in HIV-Other HPs Section 2 H97;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</si>
  <si>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</si>
  <si>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</si>
  <si>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</si>
  <si>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</si>
  <si>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</si>
  <si>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</si>
  <si>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</si>
  <si>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F96;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</si>
  <si>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</si>
  <si>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</si>
  <si>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</si>
  <si>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</si>
  <si>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</si>
  <si>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</si>
  <si>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</si>
  <si>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G96;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</si>
  <si>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</si>
  <si>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</si>
  <si>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</si>
  <si>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</si>
  <si>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</si>
  <si>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</si>
  <si>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</si>
  <si>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D96), ADD ((take the total budget per quarter for Category = "RDTs for STIs, OIs &amp; hepatitis" PLUS Category = "RDTs for TB for HIV program") and multiply it by the % in HIV-Other HPs Section 2 E96); MULTIPLY the result by the % in HIV-Other HPs Section 2 H96;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</si>
  <si>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</si>
  <si>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</si>
  <si>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F98;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</si>
  <si>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</si>
  <si>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</si>
  <si>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</si>
  <si>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</si>
  <si>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F98;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</si>
  <si>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</si>
  <si>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</si>
  <si>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G98;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</si>
  <si>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</si>
  <si>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</si>
  <si>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</si>
  <si>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</si>
  <si>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G98;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</si>
  <si>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</si>
  <si>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</si>
  <si>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D92), ADD ((take the total budget per quarter for Category = "RDTs for STIs, OIs &amp; hepatitis" PLUS Category = "RDTs for TB for HIV program") and multiply it by the % in HIV-Other HPs Section 2 E92); MULTIPLY the result by the % in HIV-Other HPs Section 2 H98;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</si>
  <si>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</si>
  <si>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</si>
  <si>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</si>
  <si>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</si>
  <si>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D98), ADD ((take the total budget per quarter for Category = "RDTs for STIs, OIs &amp; hepatitis" PLUS Category = "RDTs for TB for HIV program") and multiply it by the % in HIV-Other HPs Section 2 E98); MULTIPLY the result by the % in HIV-Other HPs Section 2 H98;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</si>
  <si>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</si>
  <si>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</si>
  <si>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</si>
  <si>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</si>
  <si>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</si>
  <si>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</si>
  <si>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</si>
  <si>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F99;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</si>
  <si>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</si>
  <si>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</si>
  <si>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</si>
  <si>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</si>
  <si>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</si>
  <si>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</si>
  <si>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</si>
  <si>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G99;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</si>
  <si>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</si>
  <si>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</si>
  <si>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</si>
  <si>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</si>
  <si>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</si>
  <si>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</si>
  <si>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</si>
  <si>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D99), ADD ((take the total budget per quarter for Category = "RDTs for STIs, OIs &amp; hepatitis" PLUS Category = "RDTs for TB for HIV program") and multiply it by the % in HIV-Other HPs Section 2 E99); MULTIPLY the result by the % in HIV-Other HPs Section 2 H99;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</si>
  <si>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</si>
  <si>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</si>
  <si>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</si>
  <si>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</si>
  <si>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</si>
  <si>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</si>
  <si>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</si>
  <si>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F90;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</si>
  <si>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</si>
  <si>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</si>
  <si>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</si>
  <si>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</si>
  <si>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</si>
  <si>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</si>
  <si>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</si>
  <si>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G90; from SETUP F23 determine the payment modality and apply the figure in G23 to establish in which quarter in the DB the budget should be reflected</t>
  </si>
  <si>
    <t>HIV-Other HPs Section 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</si>
  <si>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1, Procurement agent and handling fees (7.1),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</si>
  <si>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1, Freight and insurance costs (Health products) (7.2),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</si>
  <si>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2, Warehouse and storage costs (7.3),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</si>
  <si>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2, In country distribution costs  (7.4),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</si>
  <si>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1, Quality assurance and quality control costs (QA/QC) (7.5) AND Section 2, In-country QA/QC costs (7.5),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</si>
  <si>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1, PSM Customs Clearance (7.6),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</si>
  <si>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HPM costs &amp; RSSH - Section 2, Other procurement and supply management costs (7.7), (take the total budget per quarter for Category = "RDTs for HIV" and multiply it by the % in HIV-Other HPs Section 2 D90), ADD ((take the total budget per quarter for Category = "RDTs for STIs, OIs &amp; hepatitis" PLUS Category = "RDTs for TB for HIV program") and multiply it by the % in HIV-Other HPs Section 2 E90); MULTIPLY the result by the % in HIV-Other HPs Section 2 H90; from SETUP F23 determine the payment modality and apply the figure in G23 to establish in which quarter in the DB the budget should be reflected</t>
  </si>
  <si>
    <t>HIV-Pharmaceuticals Section 1 - Take the total budget per quarter for COST INPUT = "4.1 Antiretroviral medicines", from the SETUP page determine the TYPE OF PAYMENT (F16) and quarter in which payment is made (G16)</t>
  </si>
  <si>
    <t>HIV-Equipment - Take the total budget per quarter for COST INPUT = "6.1 CD4 analyser/accessories", from the SETUP page determine the TYPE OF PAYMENT (F19) and quarter in which payment is made (G19)</t>
  </si>
  <si>
    <t>HIV-Equipment - Take the total budget per quarter for COST INPUT = "6.2 HIV Viral Load analyser/accessories", from the SETUP page determine the TYPE OF PAYMENT (F19) and quarter in which payment is made (G19)</t>
  </si>
  <si>
    <t>HIV-Equipment - Take the total budget per quarter for COST INPUT = "6.4 TB Molecular test equipment", from the SETUP page determine the TYPE OF PAYMENT (F19) and quarter in which payment is made (G19)</t>
  </si>
  <si>
    <t>HIV-Equipment - Take the total budget per quarter for COST INPUT = "6.5 Maintenance and service costs for health equipment", from the SETUP page determine the TYPE OF PAYMENT (F28) and quarter in which payment is made (G28)</t>
  </si>
  <si>
    <t>HIV-Equipment - Take the total budget per quarter for COST INPUT = "6.6 Other health equipment", from the SETUP page determine the TYPE OF PAYMENT (F19) and quarter in which payment is made (G19)</t>
  </si>
  <si>
    <t>HIV-Other HPs - Section 3 AND Section 4, Take the total budget per quarter for COST INPUT = "5.6 Laboratory reagents", from the SETUP page determine the TYPE OF PAYMENT (F25) and quarter in which payment is made (G25)</t>
  </si>
  <si>
    <t>HIV-Other HPs - Section 4, Take the total budget per quarter for COST INPUT = "5.8 Other consumables", from the SETUP page determine the TYPE OF PAYMENT (F27) and quarter in which payment is made (G27)</t>
  </si>
  <si>
    <t>HPM costs &amp; RSSH - Section 1, Procurement agent and handling fees (7.1), ADD together Type of Health Product = "ARVs" PLUS "HIV Equipment" PLUS "Reagents &amp; Consumables", take the total budget per quarter</t>
  </si>
  <si>
    <t>HPM costs &amp; RSSH - Section 1, Freight and insurance costs (Health products) (7.2), ADD together Type of Health Product = "ARVs" PLUS "HIV Equipment" PLUS "Reagents &amp; Consumables", take the total budget per quarter</t>
  </si>
  <si>
    <t>HPM costs &amp; RSSH - Section 2, Warehouse and storage costs (7.3), ADD together Type of Health Product = "ARVs" PLUS "HIV Equipment" PLUS "Reagents &amp; Consumables", take the total budget per quarter</t>
  </si>
  <si>
    <t>HPM costs &amp; RSSH - Section 2, In country distribution costs  (7.4), ADD together Type of Health Product = "ARVs" PLUS "HIV Equipment" PLUS "Reagents &amp; Consumables", take the total budget per quarter</t>
  </si>
  <si>
    <t>HPM costs &amp; RSSH - Section 1, Quality assurance and quality control costs (QA/QC) (7.5) AND Section 2, In-country QA/QC costs (7.5), ADD together Type of Health Product = "ARVs" PLUS "HIV Equipment" PLUS "Reagents &amp; Consumables", take the total budget per quarter</t>
  </si>
  <si>
    <t>HPM costs &amp; RSSH - Section 1, PSM Customs Clearance (7.6), ADD together Type of Health Product = "ARVs" PLUS "HIV Equipment" PLUS "Reagents &amp; Consumables", take the total budget per quarter</t>
  </si>
  <si>
    <t>HPM costs &amp; RSSH - Section 2, Other procurement and supply management costs (7.7), ADD together Type of Health Product = "ARVs" PLUS "HIV Equipment" PLUS "Reagents &amp; Consumables", take the total budget per quarter</t>
  </si>
  <si>
    <t>HIV-Pharmaceuticals - Section 2, Take the total budget per quarter for COST INPUT = "4.5 Opportunistic infections and STI medicines", from the SETUP page determine the TYPE OF PAYMENT (F18) and quarter in which payment is made (G18)</t>
  </si>
  <si>
    <t>HIV-Pharmaceuticals - Section 2, Take the total budget per quarter for COST INPUT = "4.2 Anti-tuberculosis medicines", from the SETUP page determine the TYPE OF PAYMENT (F18) and quarter in which payment is made (G18)</t>
  </si>
  <si>
    <t>HIV-Pharmaceuticals - Section 2, Take the total budget per quarter for COST INPUT = "4.7 Other medicines", from the SETUP page determine the TYPE OF PAYMENT (F18) and quarter in which payment is made (G18)</t>
  </si>
  <si>
    <t>TB medicines for HIV program</t>
  </si>
  <si>
    <t>Prevention - Non-specified population groups</t>
  </si>
  <si>
    <t>Prevention - Men who have sex with men</t>
  </si>
  <si>
    <t>Prevention - Transgender people</t>
  </si>
  <si>
    <t>Prevention - Sex workers and their clients</t>
  </si>
  <si>
    <t>Prevention - People who inject drugs and their partners</t>
  </si>
  <si>
    <t>Prevention - People in prisons and other closed settings</t>
  </si>
  <si>
    <t>Prevention - Adolescent girls and young women in high prevalence settings</t>
  </si>
  <si>
    <t>Prevention - Other vulnerable populations</t>
  </si>
  <si>
    <t>Prevention - Men in high prevalence settings</t>
  </si>
  <si>
    <t>% of total non-HIV tests</t>
  </si>
  <si>
    <t>% facility-based</t>
  </si>
  <si>
    <t>% community-based</t>
  </si>
  <si>
    <t>% self-testing</t>
  </si>
  <si>
    <t>Prevention: Partners of people living with HIV</t>
  </si>
  <si>
    <t>D-&gt;E</t>
  </si>
  <si>
    <t>E-&gt;F</t>
  </si>
  <si>
    <t>F-&gt;G</t>
  </si>
  <si>
    <t>G-&gt;H</t>
  </si>
  <si>
    <t>H-&gt;I</t>
  </si>
  <si>
    <t>HIV-Pharmaceuticals - Section 2</t>
  </si>
  <si>
    <t>HIV-Pharmaceuticals-Section 2</t>
  </si>
  <si>
    <t>HIV-Equipment - Section 1</t>
  </si>
  <si>
    <t>HIV-Other HPs - Section 1</t>
  </si>
  <si>
    <t>HIV-Other HPs - Section 2</t>
  </si>
  <si>
    <t>HIV-Other HPs - Section 3</t>
  </si>
  <si>
    <t>HIV-Other HPs - Section 4</t>
  </si>
  <si>
    <t>Equipment and cartridges</t>
  </si>
  <si>
    <t>Other-reagents, consumables, equipment</t>
  </si>
  <si>
    <t>and Warranty, maintenance and service</t>
  </si>
  <si>
    <t>and Other equipment</t>
  </si>
  <si>
    <t>Consumables, reagents,</t>
  </si>
  <si>
    <t>HPM costs &amp; RSSH - Section 1, Procurement agent and handling fees (7.1) take the total budget per quarter for TYPE OF PRODUCT = Opioid substitutes medicines;  from the SETUP page determine the TYPE OF PAYMENT (F17) and quarter in which payment is made (G17)</t>
  </si>
  <si>
    <t>HPM costs &amp; RSSH - Section 1, Freight and insurance costs (Health products) (7.2), take the total budget per quarter for TYPE OF PRODUCT = Opioid substitutes medicines;  from the SETUP page determine the TYPE OF PAYMENT (F17) and quarter in which payment is made (G17)</t>
  </si>
  <si>
    <t>HPM costs &amp; RSSH - Section 2, Warehouse and storage costs (7.3), take the total budget per quarter for TYPE OF PRODUCT = Opioid substitutes medicines;  from the SETUP page determine the TYPE OF PAYMENT (F17) and quarter in which payment is made (G17)</t>
  </si>
  <si>
    <t>HPM costs &amp; RSSH - Section 2, In country distribution costs  (7.4), take the total budget per quarter for TYPE OF PRODUCT = Opioid substitutes medicines;  from the SETUP page determine the TYPE OF PAYMENT (F17) and quarter in which payment is made (G17)</t>
  </si>
  <si>
    <t>HPM costs &amp; RSSH - Section 1, Quality assurance and quality control costs (QA/QC) (7.5) AND Section 2, In-country QA/QC costs (7.5), take the total budget per quarter for TYPE OF PRODUCT = Opioid substitutes medicines;  from the SETUP page determine the TYPE OF PAYMENT (F17) and quarter in which payment is made (G17)</t>
  </si>
  <si>
    <t>HPM costs &amp; RSSH - Section 1, PSM Customs Clearance (7.6), take the total budget per quarter for TYPE OF PRODUCT = Opioid substitutes medicines;  from the SETUP page determine the TYPE OF PAYMENT (F17) and quarter in which payment is made (G17)</t>
  </si>
  <si>
    <t>HPM costs &amp; RSSH - Section 2, Other procurement and supply management costs (7.7), take the total budget per quarter for TYPE OF PRODUCT = Opioid substitutes medicines;  from the SETUP page determine the TYPE OF PAYMENT (F17) and quarter in which payment is made (G17)</t>
  </si>
  <si>
    <t>HPM costs &amp; RSSH - Section 1, Procurement agent and handling fees (7.1), take the total budget per quarter for TYPE OF PRODUCT "OIs, STIs &amp; other medicines "</t>
  </si>
  <si>
    <t>HPM costs &amp; RSSH - Section 1, Freight and insurance costs (Health products) (7.2), take the total budget per quarter for TYPE OF PRODUCT "OIs, STIs &amp; other medicines "</t>
  </si>
  <si>
    <t>HPM costs &amp; RSSH - Section 2, Warehouse and storage costs (7.3), take the total budget per quarter for TYPE OF PRODUCT "OIs, STIs &amp; other medicines "</t>
  </si>
  <si>
    <t>HPM costs &amp; RSSH - Section 2, In country distribution costs  (7.4), take the total budget per quarter for TYPE OF PRODUCT "OIs, STIs &amp; other medicines "</t>
  </si>
  <si>
    <t>HPM costs &amp; RSSH - Section 1, Quality assurance and quality control costs (QA/QC) (7.5) AND Section 2, In-country QA/QC costs (7.5), take the total budget per quarter for TYPE OF PRODUCT "OIs, STIs &amp; other medicines "</t>
  </si>
  <si>
    <t>HPM costs &amp; RSSH - Section 2, Other procurement and supply management costs (7.7), take the total budget per quarter for TYPE OF PRODUCT "OIs, STIs &amp; other medicines "</t>
  </si>
  <si>
    <t>Procurement of other health equipment</t>
  </si>
  <si>
    <t xml:space="preserve">Malaria-RDT LLIN IRS ETC - Section 4, take the total budget per quarter for Cost Input = "5.6 Laboratory reagents", from SETUP G52 determine the payment modality and apply the figure in H49 to establish in which quarter in the DB the budget should be reflected </t>
  </si>
  <si>
    <t xml:space="preserve">Ampicillin </t>
  </si>
  <si>
    <t xml:space="preserve">Benzathine penicillin </t>
  </si>
  <si>
    <t xml:space="preserve">Ceftriaxone </t>
  </si>
  <si>
    <t xml:space="preserve">Chloramphenicol </t>
  </si>
  <si>
    <t xml:space="preserve">Ciprofloxacin </t>
  </si>
  <si>
    <t xml:space="preserve">Gentamicin </t>
  </si>
  <si>
    <t xml:space="preserve">Itraconazole </t>
  </si>
  <si>
    <t xml:space="preserve">Metronidazole </t>
  </si>
  <si>
    <t xml:space="preserve">Oral rehydration salt </t>
  </si>
  <si>
    <t xml:space="preserve">Paracetamol </t>
  </si>
  <si>
    <t xml:space="preserve">Phenoxymethylpenicillin </t>
  </si>
  <si>
    <t xml:space="preserve">Ribavirin </t>
  </si>
  <si>
    <t xml:space="preserve">Salbutamol </t>
  </si>
  <si>
    <t xml:space="preserve">Sofosbuvir </t>
  </si>
  <si>
    <t xml:space="preserve">Sofosbuvir/ Ledipasvir </t>
  </si>
  <si>
    <t xml:space="preserve">Sulfadiazine </t>
  </si>
  <si>
    <t>75mg/3ml injection - 100 ampoules</t>
  </si>
  <si>
    <t>50mg tablet coated enteric 1000</t>
  </si>
  <si>
    <t>10mg powder for solution for injection - 1 vial</t>
  </si>
  <si>
    <t>50mg powder for solution for injection - 1 vial</t>
  </si>
  <si>
    <t>100mg tablet 500</t>
  </si>
  <si>
    <t>0.5mg tablet 30</t>
  </si>
  <si>
    <t>0.5mg tablet scored 90</t>
  </si>
  <si>
    <t>1mg tablet 30</t>
  </si>
  <si>
    <t>250mg/5ml powder for oral solution 140ml - 20 bottles</t>
  </si>
  <si>
    <t>500mg tablet 500</t>
  </si>
  <si>
    <t>500mg powder for solution for injection - 1 vial</t>
  </si>
  <si>
    <t>0.5% oral solution 3.5ml</t>
  </si>
  <si>
    <t>10% solution 200ml</t>
  </si>
  <si>
    <t>10% solution gynaecological 500ml</t>
  </si>
  <si>
    <t>25mg 30 tablet</t>
  </si>
  <si>
    <t>50mg 20 tablet</t>
  </si>
  <si>
    <t>200mg 42 tablet 1 blister</t>
  </si>
  <si>
    <t>4mg tablet 1000</t>
  </si>
  <si>
    <t>1.67g tablet 200</t>
  </si>
  <si>
    <t>400mg tablet 28</t>
  </si>
  <si>
    <t>400mg/90mg tablet 28</t>
  </si>
  <si>
    <t>400mg/100mg tablet 28</t>
  </si>
  <si>
    <t>400+60mg tablet co-blistered 28 blister</t>
  </si>
  <si>
    <t>500mg 56 tablet</t>
  </si>
  <si>
    <t>102.5g - 120 sachets</t>
  </si>
  <si>
    <t>114g - 90 sachets</t>
  </si>
  <si>
    <t>1mg/ml injection - 1 vial</t>
  </si>
  <si>
    <t>25mg tablet 100</t>
  </si>
  <si>
    <t>Waste management for Malaria</t>
  </si>
  <si>
    <t>Entecavir</t>
  </si>
  <si>
    <t>Reagents</t>
  </si>
  <si>
    <t>6.3 Microscope: Equipment</t>
  </si>
  <si>
    <t>Exclusion for 6.5</t>
  </si>
  <si>
    <t>Chemistry Analyzer</t>
  </si>
  <si>
    <t>6.5 exclusion</t>
  </si>
  <si>
    <t>Excluding 6.5</t>
  </si>
  <si>
    <t>Waste management for TB</t>
  </si>
  <si>
    <t>Waste management for HIV</t>
  </si>
  <si>
    <t xml:space="preserve">Go to In-Country SC Management (Section 2) </t>
  </si>
  <si>
    <t>The Ministry of Health and Child Care of the Republic of Zimbabwe</t>
  </si>
  <si>
    <t>ZWE-T-MOHCC</t>
  </si>
  <si>
    <t>ZWE-M-MOHCC</t>
  </si>
  <si>
    <t>United Nations Development Programme</t>
  </si>
  <si>
    <t>ZWE-H-UNDP</t>
  </si>
  <si>
    <t>ZWE-H-MOH</t>
  </si>
  <si>
    <t>ZWE-509-G10-H</t>
  </si>
  <si>
    <t>ZWE-509-G09-M</t>
  </si>
  <si>
    <t>ZWE-509-G08-T</t>
  </si>
  <si>
    <t>ZWE-506-G06-M</t>
  </si>
  <si>
    <t>ZWE-506-G05-T</t>
  </si>
  <si>
    <t>ZWE-506-G04-H</t>
  </si>
  <si>
    <t>ZWE-506-G03-H</t>
  </si>
  <si>
    <t>ZWE-102-G07-H</t>
  </si>
  <si>
    <t>ZWE-102-G02-M-00</t>
  </si>
  <si>
    <t>ZWE-102-G01-H-00</t>
  </si>
  <si>
    <t>Ministry of Health of the Republic of Zambia</t>
  </si>
  <si>
    <t>ZMB-M-MOH</t>
  </si>
  <si>
    <t>Churches Health Association of Zambia</t>
  </si>
  <si>
    <t>ZMB-M-CHAZ</t>
  </si>
  <si>
    <t>ZMB-H-CHAZ</t>
  </si>
  <si>
    <t>Multi</t>
  </si>
  <si>
    <t>ZMB-C-MOH</t>
  </si>
  <si>
    <t>ZMB-C-CHAZ</t>
  </si>
  <si>
    <t>ZMB-811-G28-H</t>
  </si>
  <si>
    <t>ZMB-809-G23-H</t>
  </si>
  <si>
    <t>ZMB-809-G22-H</t>
  </si>
  <si>
    <t>ZMB-809-G21-H</t>
  </si>
  <si>
    <t>ZMB-708-G20-T</t>
  </si>
  <si>
    <t>ZMB-708-G19-M</t>
  </si>
  <si>
    <t>ZMB-708-G18-T</t>
  </si>
  <si>
    <t>ZMB-708-G17-M</t>
  </si>
  <si>
    <t>ZMB-708-G16-T</t>
  </si>
  <si>
    <t>ZMB-411-G25-M</t>
  </si>
  <si>
    <t>ZMB-405-G24-H</t>
  </si>
  <si>
    <t>ZMB-405-G14-M</t>
  </si>
  <si>
    <t>ZMB-405-G13-M</t>
  </si>
  <si>
    <t>ZMB-405-G12-H</t>
  </si>
  <si>
    <t>ZMB-405-G11-H</t>
  </si>
  <si>
    <t>ZMB-405-G10-H</t>
  </si>
  <si>
    <t>ZMB-405-G09-H</t>
  </si>
  <si>
    <t>ZMB-102-G15-T-00</t>
  </si>
  <si>
    <t>ZMB-102-G08-H-00</t>
  </si>
  <si>
    <t>ZMB-102-G07-H-00</t>
  </si>
  <si>
    <t>ZMB-102-G06-T-00</t>
  </si>
  <si>
    <t>ZMB-102-G05-M-00</t>
  </si>
  <si>
    <t>ZMB-102-G04-H-00</t>
  </si>
  <si>
    <t>ZMB-102-G03-T-00</t>
  </si>
  <si>
    <t>ZMB-102-G02-M-00</t>
  </si>
  <si>
    <t>ZMB-102-G01-H-00</t>
  </si>
  <si>
    <t>ZMB-011-G30-H</t>
  </si>
  <si>
    <t>ZMB-011-G29-H</t>
  </si>
  <si>
    <t>ZIM-M-UNDP</t>
  </si>
  <si>
    <t>RSSH</t>
  </si>
  <si>
    <t>ZIM-809-G14-S</t>
  </si>
  <si>
    <t>ZIM-809-G13-M</t>
  </si>
  <si>
    <t>ZIM-809-G12-T</t>
  </si>
  <si>
    <t>ZIM-809-G11-H</t>
  </si>
  <si>
    <t>ZIM-011-G15-M</t>
  </si>
  <si>
    <t>Ministry of Health and Population of the Democratic Republic of Congo</t>
  </si>
  <si>
    <t>ZAR-S-MOH</t>
  </si>
  <si>
    <t>ZAR-M-MOH</t>
  </si>
  <si>
    <t>Caritas  Congo ASBL</t>
  </si>
  <si>
    <t>ZAR-911-G14-T</t>
  </si>
  <si>
    <t>ZAR-911-G13-T</t>
  </si>
  <si>
    <t>ZAR-810-G09-M</t>
  </si>
  <si>
    <t>ZAR-809-G10-H</t>
  </si>
  <si>
    <t>ZAR-708-G06-H</t>
  </si>
  <si>
    <t>ZAR-506-G04-T</t>
  </si>
  <si>
    <t>ZAR-304-G03-M</t>
  </si>
  <si>
    <t>ZAR-304-G02-H</t>
  </si>
  <si>
    <t>ZAR-202-G01-T-00</t>
  </si>
  <si>
    <t>ZAN-T-MOHSW</t>
  </si>
  <si>
    <t>ZAN-809-G07-M</t>
  </si>
  <si>
    <t>ZAN-607-G05-H</t>
  </si>
  <si>
    <t>ZAM-H-UNDP</t>
  </si>
  <si>
    <t>ZAM-711-G27-M</t>
  </si>
  <si>
    <t>ZAM-711-G26-T</t>
  </si>
  <si>
    <t>Western Cape Government: Health</t>
  </si>
  <si>
    <t>ZAF-C-WCDOH</t>
  </si>
  <si>
    <t>Soul City Institute for Health and Development Communication</t>
  </si>
  <si>
    <t>ZAF-C-SCI</t>
  </si>
  <si>
    <t>Right to Care</t>
  </si>
  <si>
    <t>ZAF-C-RTC</t>
  </si>
  <si>
    <t>National Department of Health of the Republic of South Africa</t>
  </si>
  <si>
    <t>ZAF-C-NDOH</t>
  </si>
  <si>
    <t>Networking HIV, AIDS Community of South Africa NPC</t>
  </si>
  <si>
    <t>ZAF-C-NACOSA</t>
  </si>
  <si>
    <t>KwaZulu Natal Provincial Treasury</t>
  </si>
  <si>
    <t>ZAF-C-KZN</t>
  </si>
  <si>
    <t>Kheth'Impilo AIDS Free Living</t>
  </si>
  <si>
    <t>ZAF-C-KHETH</t>
  </si>
  <si>
    <t>Beyond Zero NPC</t>
  </si>
  <si>
    <t>ZAF-C-BZ</t>
  </si>
  <si>
    <t>AIDS Foundation South Africa</t>
  </si>
  <si>
    <t>ZAF-C-AFSA</t>
  </si>
  <si>
    <t>ZAF-910-G08-H</t>
  </si>
  <si>
    <t>ZAF-910-G07-H</t>
  </si>
  <si>
    <t>ZAF-607-G06-H</t>
  </si>
  <si>
    <t>ZAF-102-G03-C-00</t>
  </si>
  <si>
    <t>ZAF-102-G02-C-00</t>
  </si>
  <si>
    <t>National AIDS Program</t>
  </si>
  <si>
    <t>YEM-T12-G08-H</t>
  </si>
  <si>
    <t>National Malaria Control Programme of the Ministry of Health and Population of the Republic of Yemen</t>
  </si>
  <si>
    <t>YEM-M-NMCP</t>
  </si>
  <si>
    <t>The National Tuberculosis Control Program</t>
  </si>
  <si>
    <t>YEM-911-G07-T</t>
  </si>
  <si>
    <t>YEM-708-G06-M</t>
  </si>
  <si>
    <t>YEM-405-G04-T</t>
  </si>
  <si>
    <t>YEM-307-G05-H</t>
  </si>
  <si>
    <t>YEM-305-G03-H</t>
  </si>
  <si>
    <t>YEM-305-G02-H</t>
  </si>
  <si>
    <t>YEM-202-G01-M-00</t>
  </si>
  <si>
    <t>Ministry of Health/National Lung Hospital of the Socialist Republic of Viet Nam</t>
  </si>
  <si>
    <t>VTN-910-G08-T</t>
  </si>
  <si>
    <t>National Institute of Malariology, Parasitology and Entomology of the Ministry of Health of the Socialist Republic of Viet Nam</t>
  </si>
  <si>
    <t>VTN-708-G06-M</t>
  </si>
  <si>
    <t>Department of Planning and Finance, Ministry of Health, Socialist Republic of Vietnam</t>
  </si>
  <si>
    <t>VTN-011-G10-S</t>
  </si>
  <si>
    <t>Viet Nam National Lung Hospital</t>
  </si>
  <si>
    <t>VNM-T-NTP</t>
  </si>
  <si>
    <t>VNM-M-NIMPE</t>
  </si>
  <si>
    <t>Viet Nam Union of Science and Technology Associations</t>
  </si>
  <si>
    <t>VNM-H-VUSTA</t>
  </si>
  <si>
    <t>Viet Nam Authority of HIV/AIDS Control</t>
  </si>
  <si>
    <t>VNM-H-VAAC</t>
  </si>
  <si>
    <t>VNM-809-G07-H</t>
  </si>
  <si>
    <t>VNM-607-G05-T</t>
  </si>
  <si>
    <t>VNM-607-G04-H</t>
  </si>
  <si>
    <t>VNM-304-G03-M</t>
  </si>
  <si>
    <t>VNM-102-G02-T-00</t>
  </si>
  <si>
    <t>VNM-102-G01-H-00</t>
  </si>
  <si>
    <t>Republican Specialized Scientific-Practical Medical Center of Phthisiology and Pulmonology</t>
  </si>
  <si>
    <t>UZB-T-RSSPMCPhP</t>
  </si>
  <si>
    <t>Republican DOTS Center of the Republic of Uzbekistan</t>
  </si>
  <si>
    <t>UZB-T-RDC</t>
  </si>
  <si>
    <t>Republican Center of State Sanitary-Epidemiological Surveillance of the Republic of Uzbekistan</t>
  </si>
  <si>
    <t>UZB-M-RCSSES</t>
  </si>
  <si>
    <t>UZB-H-UNDP</t>
  </si>
  <si>
    <t>Republican Center to Fight AIDS</t>
  </si>
  <si>
    <t>UZB-H-RAC</t>
  </si>
  <si>
    <t>UZB-809-G05-T</t>
  </si>
  <si>
    <t>UZB-809-G04-M</t>
  </si>
  <si>
    <t>UZB-405-G03-T</t>
  </si>
  <si>
    <t>UZB-405-G02-M</t>
  </si>
  <si>
    <t>UZB-311-G06-H</t>
  </si>
  <si>
    <t>UZB-304-G01-H</t>
  </si>
  <si>
    <t>URY-011-G02-H</t>
  </si>
  <si>
    <t>URY-011-G01-H</t>
  </si>
  <si>
    <t>United Nations Children's Fund</t>
  </si>
  <si>
    <t>UKR-H-UNICEF</t>
  </si>
  <si>
    <t>State Institution "Public Health Center of the Ministry of Health of Ukraine"</t>
  </si>
  <si>
    <t>UKR-C-PHC</t>
  </si>
  <si>
    <t>Charitable Organization "All-Ukrainian Network of People Living with HIV/AIDS"</t>
  </si>
  <si>
    <t>UKR-C-AUN</t>
  </si>
  <si>
    <t>International Charitable Foundation “Alliance for Public Health”</t>
  </si>
  <si>
    <t>UKR-C-AUA</t>
  </si>
  <si>
    <t>UKR-913-G11-T</t>
  </si>
  <si>
    <t>UKR-911-G07-T</t>
  </si>
  <si>
    <t>UKR-607-G06-H</t>
  </si>
  <si>
    <t>UKR-607-G05-H</t>
  </si>
  <si>
    <t>UKR-102-G04-H-00</t>
  </si>
  <si>
    <t>UKR-102-G03-H-00</t>
  </si>
  <si>
    <t>UKR-102-G02-H-00</t>
  </si>
  <si>
    <t>UKR-102-G01-H-00</t>
  </si>
  <si>
    <t>UKR-102-A04-H-00</t>
  </si>
  <si>
    <t>UKR-011-G10-H</t>
  </si>
  <si>
    <t>UKR-011-G09-H</t>
  </si>
  <si>
    <t>UKR-011-G08-H</t>
  </si>
  <si>
    <t>Ministry of Finance, Planning and Economic Development of the Republic of Uganda</t>
  </si>
  <si>
    <t>UGD-708-G08-M</t>
  </si>
  <si>
    <t>UGD-708-G07-H</t>
  </si>
  <si>
    <t>UGD-405-G05-M</t>
  </si>
  <si>
    <t>UGD-011-G12-M</t>
  </si>
  <si>
    <t>UGD-011-G11-M</t>
  </si>
  <si>
    <t>UGD-011-G10-S</t>
  </si>
  <si>
    <t>UGA-T-MoFPED</t>
  </si>
  <si>
    <t>The AIDS Support Organisation (Uganda) Limited</t>
  </si>
  <si>
    <t>UGA-S-TASO</t>
  </si>
  <si>
    <t>UGA-S-MoFPED</t>
  </si>
  <si>
    <t>UGA-M-TASO</t>
  </si>
  <si>
    <t>UGA-M-MoFPED</t>
  </si>
  <si>
    <t>UGA-H-MoFPED</t>
  </si>
  <si>
    <t>UGA-C-TASO</t>
  </si>
  <si>
    <t>UGA-708-G13-H</t>
  </si>
  <si>
    <t>UGA-607-G06-T</t>
  </si>
  <si>
    <t>UGA-304-G04-H</t>
  </si>
  <si>
    <t>UGA-202-G03-T-00</t>
  </si>
  <si>
    <t>UGA-202-G02-M-00</t>
  </si>
  <si>
    <t>UGA-102-G01-H-00</t>
  </si>
  <si>
    <t>UGA-011-G09-S</t>
  </si>
  <si>
    <t>Ministry of Finance and Planning of the United Republic of Tanzania</t>
  </si>
  <si>
    <t>TZA-T-MOF</t>
  </si>
  <si>
    <t>TZA-S-MOFP</t>
  </si>
  <si>
    <t>TZA-M-MOFP</t>
  </si>
  <si>
    <t>TZA-H-MOF</t>
  </si>
  <si>
    <t>Save the Children Federation, Inc.</t>
  </si>
  <si>
    <t>TZA-C-STC</t>
  </si>
  <si>
    <t>Amref Health Africa, Tanzania</t>
  </si>
  <si>
    <t>TZA-C-Amref</t>
  </si>
  <si>
    <t>TZA-809-G12-H</t>
  </si>
  <si>
    <t>TZA-708-G10-M</t>
  </si>
  <si>
    <t>TZA-405-G08-M</t>
  </si>
  <si>
    <t>TZA-405-G07-H</t>
  </si>
  <si>
    <t>TZA-304-G03-C</t>
  </si>
  <si>
    <t>TZA-102-G02-H-00</t>
  </si>
  <si>
    <t>TUR-405-G01-H</t>
  </si>
  <si>
    <t>Office National de la Famille et de la Population de la République de Tunisie</t>
  </si>
  <si>
    <t>TUN-H-ONFP</t>
  </si>
  <si>
    <t>Société Tunisienne des Maladies Respiratoires et d’Allergologie</t>
  </si>
  <si>
    <t>TUN-810-G03-T</t>
  </si>
  <si>
    <t>Basic Health Care Directorate</t>
  </si>
  <si>
    <t>TUN-810-G02-T</t>
  </si>
  <si>
    <t>TUN-607-G01-H</t>
  </si>
  <si>
    <t>TNZ-911-G14-S</t>
  </si>
  <si>
    <t>TNZ-809-G13-H</t>
  </si>
  <si>
    <t>TNZ-809-G11-M</t>
  </si>
  <si>
    <t>TNZ-607-G09-T</t>
  </si>
  <si>
    <t>Population Services International</t>
  </si>
  <si>
    <t>TNZ-405-G06-H</t>
  </si>
  <si>
    <t>TNZ-405-G05-H</t>
  </si>
  <si>
    <t>TNZ-405-G04-H</t>
  </si>
  <si>
    <t>TNZ-102-G01-M-00</t>
  </si>
  <si>
    <t>Ministry of Health of the Democratic Republic of Timor-Leste</t>
  </si>
  <si>
    <t>TLS-T-MOH</t>
  </si>
  <si>
    <t>TLS-M-MOH</t>
  </si>
  <si>
    <t>TLS-H-MOH</t>
  </si>
  <si>
    <t>TLS-709-G05-M</t>
  </si>
  <si>
    <t>TLS-506-G03-H</t>
  </si>
  <si>
    <t>TLS-304-G02-T</t>
  </si>
  <si>
    <t>TLS-202-G01-M-00</t>
  </si>
  <si>
    <t>TKM-T-UNDP</t>
  </si>
  <si>
    <t>TKM-910-G01-T</t>
  </si>
  <si>
    <t>Republican Center of Tuberculosis Control - Tajikistan</t>
  </si>
  <si>
    <t>TJK-T-RCTC</t>
  </si>
  <si>
    <t>Project HOPE  - the People to People Health Foundation</t>
  </si>
  <si>
    <t>TJK-T-HOPE</t>
  </si>
  <si>
    <t>TJK-H-UNDP</t>
  </si>
  <si>
    <t>TJK-607-G06-T</t>
  </si>
  <si>
    <t>TJK-607-G05-H</t>
  </si>
  <si>
    <t>TJK-506-G04-M</t>
  </si>
  <si>
    <t>TJK-404-G03-H</t>
  </si>
  <si>
    <t>TJK-102-G01-H-00</t>
  </si>
  <si>
    <t>THA-T-DDC</t>
  </si>
  <si>
    <t>Department of Disease Control, Ministry of Public Health of the Royal Government of Thailand</t>
  </si>
  <si>
    <t>THA-M-DDC</t>
  </si>
  <si>
    <t>THA-H-RTF</t>
  </si>
  <si>
    <t>THA-H-PSI</t>
  </si>
  <si>
    <t>THA-H-DDC</t>
  </si>
  <si>
    <t>THA-H-ACC</t>
  </si>
  <si>
    <t>Raks Thai Foundation</t>
  </si>
  <si>
    <t>THA-C-RTF</t>
  </si>
  <si>
    <t>THA-C-DDC</t>
  </si>
  <si>
    <t>THA-809-G13-T</t>
  </si>
  <si>
    <t>THA-809-G12-H</t>
  </si>
  <si>
    <t>THA-809-G11-H</t>
  </si>
  <si>
    <t>THA-809-G10-H</t>
  </si>
  <si>
    <t>THA-708-G09-M</t>
  </si>
  <si>
    <t>THA-607-G08-T</t>
  </si>
  <si>
    <t>THA-607-G07-T</t>
  </si>
  <si>
    <t>THA-304-G06-H</t>
  </si>
  <si>
    <t>THA-202-G05-M-00</t>
  </si>
  <si>
    <t>THA-202-G04-H-00</t>
  </si>
  <si>
    <t>THA-202-G03-H-00</t>
  </si>
  <si>
    <t>THA-102-G02-T-00</t>
  </si>
  <si>
    <t>THA-102-G01-H-00</t>
  </si>
  <si>
    <t>Primature de la République Togolaise</t>
  </si>
  <si>
    <t>TGO-T-PMT</t>
  </si>
  <si>
    <t>The Ministry of Health of the Togolese Republic</t>
  </si>
  <si>
    <t>TGO-T12-G12-T</t>
  </si>
  <si>
    <t>TGO-M-PMT</t>
  </si>
  <si>
    <t>TGO-H-PMT</t>
  </si>
  <si>
    <t>TGO-910-G11-M</t>
  </si>
  <si>
    <t>Plan International, Inc.</t>
  </si>
  <si>
    <t>TGO-910-G10-M</t>
  </si>
  <si>
    <t>TGO-809-G09-H</t>
  </si>
  <si>
    <t>TGO-809-G08-H</t>
  </si>
  <si>
    <t>TGO-607-G07-T</t>
  </si>
  <si>
    <t>TGO-607-G06-M</t>
  </si>
  <si>
    <t>TGO-405-G05-M</t>
  </si>
  <si>
    <t>TGO-405-G04-H</t>
  </si>
  <si>
    <t>TGO-304-G03-T</t>
  </si>
  <si>
    <t>TGO-304-G02-M</t>
  </si>
  <si>
    <t>TGO-202-G01-H-00</t>
  </si>
  <si>
    <t>Ministry of Public Health Chad</t>
  </si>
  <si>
    <t>TCD-T-MOH</t>
  </si>
  <si>
    <t>Fonds de soutien aux activités en matière de population et de lutte contre le Sida de la République du Tchad</t>
  </si>
  <si>
    <t>TCD-T-FOSAP</t>
  </si>
  <si>
    <t>TCD-T13-G09-M</t>
  </si>
  <si>
    <t>TCD-M-UNDP</t>
  </si>
  <si>
    <t>TCD-H-MOH</t>
  </si>
  <si>
    <t>TCD-H-FOSAP</t>
  </si>
  <si>
    <t>TCD-910-G08-M</t>
  </si>
  <si>
    <t>TCD-810-G07-T</t>
  </si>
  <si>
    <t>TCD-810-G06-H</t>
  </si>
  <si>
    <t>TCD-810-G05-H</t>
  </si>
  <si>
    <t>TCD-810-G04-H</t>
  </si>
  <si>
    <t>TCD-708-G03-M</t>
  </si>
  <si>
    <t>TCD-304-G02-H</t>
  </si>
  <si>
    <t>TCD-202-G01-T-00</t>
  </si>
  <si>
    <t>TAJ-809-G09-T</t>
  </si>
  <si>
    <t>TAJ-809-G08-M</t>
  </si>
  <si>
    <t>TAJ-809-G07-H</t>
  </si>
  <si>
    <t>TAJ-304-G02-T</t>
  </si>
  <si>
    <t>SYR-607-G01-T</t>
  </si>
  <si>
    <t>SYR-011-G02-H</t>
  </si>
  <si>
    <t>National Emergency Response Council on HIV and AIDS</t>
  </si>
  <si>
    <t>Eswatini</t>
  </si>
  <si>
    <t>SWZ-T-NERCHA</t>
  </si>
  <si>
    <t>SWZ-M-NERCHA</t>
  </si>
  <si>
    <t>SWZ-H-NERCHA</t>
  </si>
  <si>
    <t>Coordinating Assembly of Non Governmental Organisation</t>
  </si>
  <si>
    <t>SWZ-H-CANGO</t>
  </si>
  <si>
    <t>SWZ-C-NERCHA</t>
  </si>
  <si>
    <t>SWZ-C-CANGO</t>
  </si>
  <si>
    <t>SWZ-809-G08-S</t>
  </si>
  <si>
    <t>SWZ-809-G07-T</t>
  </si>
  <si>
    <t>SWZ-809-G06-M</t>
  </si>
  <si>
    <t>SWZ-708-G05-H</t>
  </si>
  <si>
    <t>SWZ-405-G04-H</t>
  </si>
  <si>
    <t>SWZ-304-G03-T</t>
  </si>
  <si>
    <t>SWZ-202-G02-M-00</t>
  </si>
  <si>
    <t>SWZ-202-G01-H-00</t>
  </si>
  <si>
    <t>Ministry of Health of the Republic of Suriname</t>
  </si>
  <si>
    <t>SUR-M-MoH</t>
  </si>
  <si>
    <t>SUR-C-MOH</t>
  </si>
  <si>
    <t>SUR-910-G05-T</t>
  </si>
  <si>
    <t>SUR-708-G04-M</t>
  </si>
  <si>
    <t>SUR-506-G03-H</t>
  </si>
  <si>
    <t>SUR-404-G02-M</t>
  </si>
  <si>
    <t>SUR-305-G01-H</t>
  </si>
  <si>
    <t>SUD-T-UNDP</t>
  </si>
  <si>
    <t>SUD-708-G10-M</t>
  </si>
  <si>
    <t>SUD-011-G16-M</t>
  </si>
  <si>
    <t>SUD-011-G15-H</t>
  </si>
  <si>
    <t>STP-Z-UNDP</t>
  </si>
  <si>
    <t>STP-T-UNDP</t>
  </si>
  <si>
    <t>STP-M-UNDP</t>
  </si>
  <si>
    <t>STP-H-UNDP</t>
  </si>
  <si>
    <t>STP-809-G04-T</t>
  </si>
  <si>
    <t>STP-708-G03-M</t>
  </si>
  <si>
    <t>STP-506-G02-H</t>
  </si>
  <si>
    <t>STP-405-G01-M</t>
  </si>
  <si>
    <t>STP-011-G05-H</t>
  </si>
  <si>
    <t>SSD-T-UNDP</t>
  </si>
  <si>
    <t>SSD-M-PSI</t>
  </si>
  <si>
    <t>SSD-H-UNDP</t>
  </si>
  <si>
    <t>SSD-910-G13-S</t>
  </si>
  <si>
    <t>SSD-708-G11-T</t>
  </si>
  <si>
    <t>SSD-708-G09-M</t>
  </si>
  <si>
    <t>SSD-506-G06-T</t>
  </si>
  <si>
    <t>SSD-405-G05-H</t>
  </si>
  <si>
    <t>SSD-202-G02-T-00</t>
  </si>
  <si>
    <t>SSD-202-G01-M-00</t>
  </si>
  <si>
    <t>SRL-S11-G13-H</t>
  </si>
  <si>
    <t>SRL-913-G16-H</t>
  </si>
  <si>
    <t>Ministry of Health, Nutrition &amp; Indigenous Medicine of the Democratic Socialist Republic of Sri Lanka</t>
  </si>
  <si>
    <t>SRL-911-G15-S</t>
  </si>
  <si>
    <t>SRL-809-G12-M</t>
  </si>
  <si>
    <t>SRL-809-G10-M</t>
  </si>
  <si>
    <t>SRL-607-G08-T</t>
  </si>
  <si>
    <t>SRL-607-G07-T</t>
  </si>
  <si>
    <t>SRL-102-G04-T-00</t>
  </si>
  <si>
    <t>SRL-102-G02-M-00</t>
  </si>
  <si>
    <t>Ministry of Health of Republic of Serbia</t>
  </si>
  <si>
    <t>SRB-H-MOH</t>
  </si>
  <si>
    <t>SRB-607-G03-H</t>
  </si>
  <si>
    <t>SRB-304-G02-T</t>
  </si>
  <si>
    <t>SRB-102-G01-H-00</t>
  </si>
  <si>
    <t>World Vision International</t>
  </si>
  <si>
    <t>SOM-T-WV</t>
  </si>
  <si>
    <t>SOM-M-UNICEF</t>
  </si>
  <si>
    <t>SOM-H-UNICEF</t>
  </si>
  <si>
    <t>SOM-809-G06-H</t>
  </si>
  <si>
    <t>SOM-708-G05-T</t>
  </si>
  <si>
    <t>SOM-607-G04-M</t>
  </si>
  <si>
    <t>SOM-405-G03-H</t>
  </si>
  <si>
    <t>SOM-304-G02-T</t>
  </si>
  <si>
    <t>SOM-202-G01-M-00</t>
  </si>
  <si>
    <t>SOM-012-G07-M</t>
  </si>
  <si>
    <t>Ministry of Health and Social Action of the Republic of Senegal</t>
  </si>
  <si>
    <t>SNG-T-PNT</t>
  </si>
  <si>
    <t>SNG-T-PLAN</t>
  </si>
  <si>
    <t>SNG-M-PNLP</t>
  </si>
  <si>
    <t>IntraHealth International, Inc.</t>
  </si>
  <si>
    <t>SNG-M-IH</t>
  </si>
  <si>
    <t>Ministry of Health, Prevention and Public Hygiene of the Republic of Senegal - AIDS Division</t>
  </si>
  <si>
    <t>SNG-H-DLSI</t>
  </si>
  <si>
    <t>Ministry of Health of the Republic of El Salvador</t>
  </si>
  <si>
    <t>SLV-T-MOH</t>
  </si>
  <si>
    <t>SLV-M-MOH</t>
  </si>
  <si>
    <t>SLV-H-UNDP</t>
  </si>
  <si>
    <t>SLV-H-PLAN</t>
  </si>
  <si>
    <t>SLV-H-MOH</t>
  </si>
  <si>
    <t>SLV-910-G08-T</t>
  </si>
  <si>
    <t>SLV-910-G07-T</t>
  </si>
  <si>
    <t>SLV-708-G06-H</t>
  </si>
  <si>
    <t>SLV-708-G05-H</t>
  </si>
  <si>
    <t>SLV-202-G04-T-00</t>
  </si>
  <si>
    <t>SLV-202-G03-H-00</t>
  </si>
  <si>
    <t>SLV-202-G02-T-00</t>
  </si>
  <si>
    <t>SLV-202-G01-H-00</t>
  </si>
  <si>
    <t>Ministry of Health and Sanitation of Sierra Leone</t>
  </si>
  <si>
    <t>SLE-Z-MOHS</t>
  </si>
  <si>
    <t>SLE-M-MOHS</t>
  </si>
  <si>
    <t>Catholic Relief Services - United States Conference of Catholic Bishops</t>
  </si>
  <si>
    <t>SLE-M-CRS</t>
  </si>
  <si>
    <t>National HIV/AIDS Secretariat</t>
  </si>
  <si>
    <t>SLE-H-NAS</t>
  </si>
  <si>
    <t>SLE-708-G06-T</t>
  </si>
  <si>
    <t>SLE-708-G05-M</t>
  </si>
  <si>
    <t>SLE-607-G04-H</t>
  </si>
  <si>
    <t>SLE-405-G03-M</t>
  </si>
  <si>
    <t>SLE-405-G02-H</t>
  </si>
  <si>
    <t>SLE-202-G01-T-00</t>
  </si>
  <si>
    <t>Solomon Islands Ministry of Health and Medical Services</t>
  </si>
  <si>
    <t>SLB-T-MHMS</t>
  </si>
  <si>
    <t>SLB-M-MHMS</t>
  </si>
  <si>
    <t>SLB-C-MOH</t>
  </si>
  <si>
    <t>SLB-810-G01-T</t>
  </si>
  <si>
    <t>SER-910-G07-T</t>
  </si>
  <si>
    <t>SER-910-G06-T</t>
  </si>
  <si>
    <t>SER-809-G05-H</t>
  </si>
  <si>
    <t>SER-809-G04-H</t>
  </si>
  <si>
    <t>SEN-Z-MOH</t>
  </si>
  <si>
    <t>SEN-S-MOH</t>
  </si>
  <si>
    <t>SEN-M-PNLP</t>
  </si>
  <si>
    <t>SEN-M-IntraH</t>
  </si>
  <si>
    <t>Conseil National de Lutte contre le SIDA de la République du Sénégal</t>
  </si>
  <si>
    <t>SEN-H-CNLS</t>
  </si>
  <si>
    <t>Alliance Nationale Contre le Sida - Sénégal</t>
  </si>
  <si>
    <t>SEN-H-ANCS</t>
  </si>
  <si>
    <t>SEN-708-G08-T</t>
  </si>
  <si>
    <t>SEN-708-G07-M</t>
  </si>
  <si>
    <t>SEN-607-G06-H</t>
  </si>
  <si>
    <t>SEN-607-G05-H</t>
  </si>
  <si>
    <t>SEN-405-G03-M</t>
  </si>
  <si>
    <t>SEN-102-G04-H-00</t>
  </si>
  <si>
    <t>SEN-102-G02-M-00</t>
  </si>
  <si>
    <t>SEN-102-G01-H-00</t>
  </si>
  <si>
    <t>SDN-T-UNDP</t>
  </si>
  <si>
    <t>Federal Ministry of Health of the Republic of Sudan</t>
  </si>
  <si>
    <t>SDN-S-FMOH</t>
  </si>
  <si>
    <t>SDN-M-UNDP</t>
  </si>
  <si>
    <t>SDN-M-MOH</t>
  </si>
  <si>
    <t>SDN-H-UNDP</t>
  </si>
  <si>
    <t>SDN-809-G12-T</t>
  </si>
  <si>
    <t>SDN-506-G08-H</t>
  </si>
  <si>
    <t>SDN-506-G07-T</t>
  </si>
  <si>
    <t>SDN-305-G04-H</t>
  </si>
  <si>
    <t>SDN-202-G03-M-00</t>
  </si>
  <si>
    <t>SAF-H-SCI</t>
  </si>
  <si>
    <t>SAF-H-RTC</t>
  </si>
  <si>
    <t>National Religious Association for Social Development</t>
  </si>
  <si>
    <t>SAF-H-NRASD</t>
  </si>
  <si>
    <t>SAF-H-NDOH</t>
  </si>
  <si>
    <t>SAF-H-NACOSA</t>
  </si>
  <si>
    <t>SAF-910-G09-H</t>
  </si>
  <si>
    <t>SAF-304-G04-H</t>
  </si>
  <si>
    <t>SAF-202-G05-C-00</t>
  </si>
  <si>
    <t>SAF-102-G01-C-00</t>
  </si>
  <si>
    <t>Ministry of Health of the Republic of Rwanda</t>
  </si>
  <si>
    <t>RWN-M-MoH</t>
  </si>
  <si>
    <t>United Nations High Commisioner for Refugees</t>
  </si>
  <si>
    <t>RWA-Z-UNHCR</t>
  </si>
  <si>
    <t>RWA-T-MOH</t>
  </si>
  <si>
    <t>RWA-M-MOH</t>
  </si>
  <si>
    <t>RWA-H-MOH</t>
  </si>
  <si>
    <t>RWA-809-G10-M</t>
  </si>
  <si>
    <t>RWA-708-G09-H</t>
  </si>
  <si>
    <t>RWA-607-G08-H</t>
  </si>
  <si>
    <t>RWA-606-G07-T</t>
  </si>
  <si>
    <t>RWA-506-G06-M</t>
  </si>
  <si>
    <t>RWA-505-G05-S</t>
  </si>
  <si>
    <t>RWA-404-G04-T</t>
  </si>
  <si>
    <t>RWA-304-G03-M</t>
  </si>
  <si>
    <t>RWA-304-G02-H</t>
  </si>
  <si>
    <t>RWA-102-G01-C-00</t>
  </si>
  <si>
    <t>Open Health Institute</t>
  </si>
  <si>
    <t>RUS-H-OHI</t>
  </si>
  <si>
    <t>RUS-506-G05-H</t>
  </si>
  <si>
    <t>RUS-405-G04-T</t>
  </si>
  <si>
    <t>RUS-405-G03-H</t>
  </si>
  <si>
    <t>RUS-304-G02-T</t>
  </si>
  <si>
    <t>RUS-304-G01-H</t>
  </si>
  <si>
    <t>Romanian Angel Appeal Foundation</t>
  </si>
  <si>
    <t>ROU-T-RAA</t>
  </si>
  <si>
    <t>Ministry of Health of Romania</t>
  </si>
  <si>
    <t>ROU-T-MOH</t>
  </si>
  <si>
    <t>ROU-607-G03-H</t>
  </si>
  <si>
    <t>ROU-202-G02-T-00</t>
  </si>
  <si>
    <t>ROU-202-G01-H-00</t>
  </si>
  <si>
    <t>ROM-607-G04-T</t>
  </si>
  <si>
    <t>Oceania</t>
  </si>
  <si>
    <t>QUA-M-UNDP</t>
  </si>
  <si>
    <t>QUA-C-UNDP</t>
  </si>
  <si>
    <t>QUA-506-G04-M</t>
  </si>
  <si>
    <t>QUA-202-G03-T-00</t>
  </si>
  <si>
    <t>QUA-202-G02-M-00</t>
  </si>
  <si>
    <t>QUA-202-G01-H-00</t>
  </si>
  <si>
    <t>International Organization for Migration</t>
  </si>
  <si>
    <t>Western Asia</t>
  </si>
  <si>
    <t>QSF-Z-IOM</t>
  </si>
  <si>
    <t>QSF-T-IOM</t>
  </si>
  <si>
    <t>United Nations Office for Project Services</t>
  </si>
  <si>
    <t>South-Eastern Asia</t>
  </si>
  <si>
    <t>QSE-M-UNOPS</t>
  </si>
  <si>
    <t>Australian Federation Of Aids Organisations, Inc.</t>
  </si>
  <si>
    <t>QSE-H-AFAO</t>
  </si>
  <si>
    <t>Southern Asia</t>
  </si>
  <si>
    <t>QSD-H-SCF</t>
  </si>
  <si>
    <t>QSD-910-G01-H</t>
  </si>
  <si>
    <t>World</t>
  </si>
  <si>
    <t>QSA-H-SCF</t>
  </si>
  <si>
    <t>India HIV/AIDS Alliance</t>
  </si>
  <si>
    <t>Asia</t>
  </si>
  <si>
    <t>QSA-H-IHAA</t>
  </si>
  <si>
    <t>QSA-H-APN</t>
  </si>
  <si>
    <t>South America</t>
  </si>
  <si>
    <t>QRD-305-G01-M</t>
  </si>
  <si>
    <t>Secretaría de la Integración Social Centroamericana</t>
  </si>
  <si>
    <t>Central America</t>
  </si>
  <si>
    <t>QRC-H-SISCA</t>
  </si>
  <si>
    <t>QRC-708-G01-H</t>
  </si>
  <si>
    <t>Organisation of Eastern Caribbean States</t>
  </si>
  <si>
    <t>Caribbean</t>
  </si>
  <si>
    <t>QRB-C-OECS</t>
  </si>
  <si>
    <t>QRB-305-G01-H</t>
  </si>
  <si>
    <t>Partners In Health</t>
  </si>
  <si>
    <t>Americas</t>
  </si>
  <si>
    <t>QRA-T-PIH</t>
  </si>
  <si>
    <t>Organismo Andino de Salud - Convenio Hipólito Unanue</t>
  </si>
  <si>
    <t>QRA-T-ORAS</t>
  </si>
  <si>
    <t>Inter American Bank</t>
  </si>
  <si>
    <t>QRA-M-IDB</t>
  </si>
  <si>
    <t>QRA-H-UNDP</t>
  </si>
  <si>
    <t>QRA-H-IOM</t>
  </si>
  <si>
    <t>Humanist Institute for Co-operation with Developing Countries</t>
  </si>
  <si>
    <t>QRA-H-HIVOS2</t>
  </si>
  <si>
    <t>QRA-H-HIVOS</t>
  </si>
  <si>
    <t>Caribbean Vulnerable Communities Coalition</t>
  </si>
  <si>
    <t>QRA-H-CVC</t>
  </si>
  <si>
    <t>Caribbean Community Secretariat</t>
  </si>
  <si>
    <t>QRA-H-CARICOM</t>
  </si>
  <si>
    <t>QRA-911-G01-H</t>
  </si>
  <si>
    <t>QRA-405-G01-H-INSP</t>
  </si>
  <si>
    <t>QRA-405-G01-H-CRN</t>
  </si>
  <si>
    <t>QRA-304-G01-H</t>
  </si>
  <si>
    <t>International Treatment Preparedness Coalition</t>
  </si>
  <si>
    <t>Western Africa</t>
  </si>
  <si>
    <t>QPF-H-ITPC</t>
  </si>
  <si>
    <t>Handicap International Federation</t>
  </si>
  <si>
    <t>QPF-H-HandINT</t>
  </si>
  <si>
    <t>Abidjan-Lagos Corridor Organization</t>
  </si>
  <si>
    <t>QPF-H-ALCO</t>
  </si>
  <si>
    <t>QPF-C-ANCS</t>
  </si>
  <si>
    <t>Kenya AIDS NGOs Consortium</t>
  </si>
  <si>
    <t>Eastern Africa</t>
  </si>
  <si>
    <t>QPB-H-KANCO</t>
  </si>
  <si>
    <t>Wits Health Consortium (Pty) Ltd</t>
  </si>
  <si>
    <t>Africa</t>
  </si>
  <si>
    <t>QPA-T-WHC</t>
  </si>
  <si>
    <t>Intergovernmental Authority on Development</t>
  </si>
  <si>
    <t>QPA-T-IGAD</t>
  </si>
  <si>
    <t>East, Central and Southern Africa Health Community</t>
  </si>
  <si>
    <t>QPA-T-ECSA</t>
  </si>
  <si>
    <t>Lubombo Spatial Development Initiative 2 NPC</t>
  </si>
  <si>
    <t>QPA-M-LSDI</t>
  </si>
  <si>
    <t>Non-Profit Association "Southern Africa Malaria Elimination Eight Initiative Sectretariat"</t>
  </si>
  <si>
    <t>QPA-M-E8S</t>
  </si>
  <si>
    <t>QPA-H-UNDP</t>
  </si>
  <si>
    <t>Southern African Development Community Secretariat</t>
  </si>
  <si>
    <t>QPA-H-SADC</t>
  </si>
  <si>
    <t>QPA-H-HIVOS</t>
  </si>
  <si>
    <t>African Network for the Care of Children Affected by HIV/AIDS</t>
  </si>
  <si>
    <t>QPA-H-ANECCA</t>
  </si>
  <si>
    <t>QPA-C-IGAD</t>
  </si>
  <si>
    <t>QPA-506-G02-M</t>
  </si>
  <si>
    <t>Ministry of Health of the Revolutionary Government of Zanzibar</t>
  </si>
  <si>
    <t>QNB-M-MoH</t>
  </si>
  <si>
    <t>QNB-C-MOH</t>
  </si>
  <si>
    <t>QNB-607-G06-H</t>
  </si>
  <si>
    <t>QNB-404-G04-M</t>
  </si>
  <si>
    <t>QNB-304-G03-T</t>
  </si>
  <si>
    <t>QNB-202-G02-H-00</t>
  </si>
  <si>
    <t>QNB-102-G01-M-00</t>
  </si>
  <si>
    <t>Community Development Fund</t>
  </si>
  <si>
    <t>QNA-T-CDF</t>
  </si>
  <si>
    <t>QNA-H-CDF</t>
  </si>
  <si>
    <t>QNA-911-G03-T</t>
  </si>
  <si>
    <t>QNA-708-G02-H</t>
  </si>
  <si>
    <t>QNA-405-G01-T</t>
  </si>
  <si>
    <t>QMZ-T-UNOPS</t>
  </si>
  <si>
    <t>QMZ-T-UNDP</t>
  </si>
  <si>
    <t>Programme National contre la Tuberculose de la République du Bénin</t>
  </si>
  <si>
    <t>QMZ-T-PNT</t>
  </si>
  <si>
    <t>Center for Health Policies and Studies</t>
  </si>
  <si>
    <t>QMZ-T-PAS</t>
  </si>
  <si>
    <t>Frontline AIDS</t>
  </si>
  <si>
    <t>QMZ-H-FA</t>
  </si>
  <si>
    <t>ICO East Europe and Central Asia Union of People Living with HIV</t>
  </si>
  <si>
    <t>QMZ-H-ECUO</t>
  </si>
  <si>
    <t>Eurasian Coalition on Male Health</t>
  </si>
  <si>
    <t>QMZ-H-ECOM</t>
  </si>
  <si>
    <t>QMZ-H-AUA</t>
  </si>
  <si>
    <t>QMZ-H-AFAO</t>
  </si>
  <si>
    <t>QMZ-C-APH</t>
  </si>
  <si>
    <t>Southern Europe</t>
  </si>
  <si>
    <t>QMZ-102-G01-H-00</t>
  </si>
  <si>
    <t>Eurasian Harm Reduction Network</t>
  </si>
  <si>
    <t>QMT-H-EHRN</t>
  </si>
  <si>
    <t>QMJ-507-G05-M</t>
  </si>
  <si>
    <t>QMG-M-PSI</t>
  </si>
  <si>
    <t>PSE-809-G02-T</t>
  </si>
  <si>
    <t>PSE-708-G01-H</t>
  </si>
  <si>
    <t>Alter Vida - Centro de Estudios y Formación para el Ecodesarrollo</t>
  </si>
  <si>
    <t>PRY-T-AV</t>
  </si>
  <si>
    <t>PRY-M-OIM</t>
  </si>
  <si>
    <t>Centro de Información y Recursos para el Desarrollo</t>
  </si>
  <si>
    <t>PRY-H-CIRD</t>
  </si>
  <si>
    <t>PRY-910-G06-S</t>
  </si>
  <si>
    <t>PRY-809-G04-H</t>
  </si>
  <si>
    <t>PRY-708-G03-T</t>
  </si>
  <si>
    <t>PRY-607-G02-H</t>
  </si>
  <si>
    <t>PRY-304-G01-T</t>
  </si>
  <si>
    <t>PRK-Z-UNICEF</t>
  </si>
  <si>
    <t>PRK-T-UNICEF</t>
  </si>
  <si>
    <t>PRK-M-UNICEF</t>
  </si>
  <si>
    <t>PRK-810-G02-T</t>
  </si>
  <si>
    <t>PRK-810-G01-M</t>
  </si>
  <si>
    <t>World Vision (PNG) Trust</t>
  </si>
  <si>
    <t>PNG-T-WVI</t>
  </si>
  <si>
    <t>The Rotary Club of Port Moresby Inc.</t>
  </si>
  <si>
    <t>PNG-M-RAM</t>
  </si>
  <si>
    <t>PNG-M-PSI</t>
  </si>
  <si>
    <t>Oil Search Foundation</t>
  </si>
  <si>
    <t>PNG-H-OSHF</t>
  </si>
  <si>
    <t>PNG-C-WV</t>
  </si>
  <si>
    <t>PNG-812-G08-M</t>
  </si>
  <si>
    <t>PNG-809-G06-M</t>
  </si>
  <si>
    <t>PNG-809-G05-M</t>
  </si>
  <si>
    <t>PNG-809-G04-M</t>
  </si>
  <si>
    <t>PNG-612-G07-T</t>
  </si>
  <si>
    <t>PNG-607-G03-T</t>
  </si>
  <si>
    <t>PNG-405-G02-H</t>
  </si>
  <si>
    <t>PNG-304-G01-M</t>
  </si>
  <si>
    <t>PNG-012-G09-H</t>
  </si>
  <si>
    <t>PKS-M-SC</t>
  </si>
  <si>
    <t>PKS-809-G10-T</t>
  </si>
  <si>
    <t>Philippine Business for Social Progress</t>
  </si>
  <si>
    <t>PHL-T-PBSP</t>
  </si>
  <si>
    <t>Pilipinas Shell Foundation, Inc.</t>
  </si>
  <si>
    <t>PHL-M-PSFI</t>
  </si>
  <si>
    <t>PHL-H-SC</t>
  </si>
  <si>
    <t>Department of Health, Republic of the Philippines</t>
  </si>
  <si>
    <t>PHL-607-G08-H</t>
  </si>
  <si>
    <t>PHL-607-G07-M</t>
  </si>
  <si>
    <t>PHL-509-G10-H</t>
  </si>
  <si>
    <t>PHL-506-G06-T</t>
  </si>
  <si>
    <t>PHL-506-G05-M</t>
  </si>
  <si>
    <t>PHL-506-G04-H</t>
  </si>
  <si>
    <t>PHL-304-G03-H</t>
  </si>
  <si>
    <t>PHL-210-G11-T</t>
  </si>
  <si>
    <t>PHL-202-G09-M</t>
  </si>
  <si>
    <t>PHL-202-G02-T-00</t>
  </si>
  <si>
    <t>PHL-202-G01-M-00</t>
  </si>
  <si>
    <t>Socios en Salud sucursal Peru</t>
  </si>
  <si>
    <t>PER-T-SES</t>
  </si>
  <si>
    <t>Pathfinder International</t>
  </si>
  <si>
    <t>PER-H-PATH</t>
  </si>
  <si>
    <t>Ministry of Health (PARSALUD II, Unidad Ejecutora 123) of the Republic of Peru</t>
  </si>
  <si>
    <t>PER-H-PARSALU</t>
  </si>
  <si>
    <t>Care Peru</t>
  </si>
  <si>
    <t>PER-H-CARE</t>
  </si>
  <si>
    <t>PER-809-G07-T</t>
  </si>
  <si>
    <t>PER-809-G06-T</t>
  </si>
  <si>
    <t>PER-607-G05-H</t>
  </si>
  <si>
    <t>PER-506-G04-T</t>
  </si>
  <si>
    <t>PER-506-G03-H</t>
  </si>
  <si>
    <t>PER-202-G02-T-00</t>
  </si>
  <si>
    <t>PER-202-G01-H-00</t>
  </si>
  <si>
    <t>PER-011-G08-H</t>
  </si>
  <si>
    <t>Cicatelli Associates Inc.</t>
  </si>
  <si>
    <t>PAN-H-CAI</t>
  </si>
  <si>
    <t>PAN-C-UNDP</t>
  </si>
  <si>
    <t>PAN-102-G01-T-00</t>
  </si>
  <si>
    <t>The Indus Hospital</t>
  </si>
  <si>
    <t>PAK-T-TIH</t>
  </si>
  <si>
    <t>National TB Control Programme Pakistan</t>
  </si>
  <si>
    <t>PAK-T-NTP</t>
  </si>
  <si>
    <t>Mercy Corps</t>
  </si>
  <si>
    <t>PAK-T-MC</t>
  </si>
  <si>
    <t>Ministry of National Health Services, Regulations and Coordination of Pakistan</t>
  </si>
  <si>
    <t>PAK-S-HPSIU</t>
  </si>
  <si>
    <t>PAK-M-TIH</t>
  </si>
  <si>
    <t>PAK-M-DOMC</t>
  </si>
  <si>
    <t>Nai Zindagi</t>
  </si>
  <si>
    <t>PAK-H-NZT</t>
  </si>
  <si>
    <t>PAK-H-NACP</t>
  </si>
  <si>
    <t>PAK-911-G14-H</t>
  </si>
  <si>
    <t>PAK-911-G13-H</t>
  </si>
  <si>
    <t>PAK-910-G12-T</t>
  </si>
  <si>
    <t>PAK-910-G11-T</t>
  </si>
  <si>
    <t>PAK-809-G09-T</t>
  </si>
  <si>
    <t>PAK-708-G08-M</t>
  </si>
  <si>
    <t>PAK-607-G07-T</t>
  </si>
  <si>
    <t>PAK-607-G06-T</t>
  </si>
  <si>
    <t>PAK-304-G05-T</t>
  </si>
  <si>
    <t>PAK-304-G04-M</t>
  </si>
  <si>
    <t>PAK-202-G03-T-00</t>
  </si>
  <si>
    <t>PAK-202-G02-M-00</t>
  </si>
  <si>
    <t>PAK-202-G01-H-00</t>
  </si>
  <si>
    <t>NPL-T-SCF</t>
  </si>
  <si>
    <t>NPL-M-SCF</t>
  </si>
  <si>
    <t>NPL-H-SCF</t>
  </si>
  <si>
    <t>NPL-711-G13-H</t>
  </si>
  <si>
    <t>NPL-708-G10-H</t>
  </si>
  <si>
    <t>NPL-708-G09-H</t>
  </si>
  <si>
    <t>NPL-708-G08-T</t>
  </si>
  <si>
    <t>NPL-708-G07-M</t>
  </si>
  <si>
    <t>NPL-708-G06-M</t>
  </si>
  <si>
    <t>NPL-405-G03-T</t>
  </si>
  <si>
    <t>NPL-202-G05-H-00</t>
  </si>
  <si>
    <t>NPL-202-G04-M-00</t>
  </si>
  <si>
    <t>NPL-202-G02-M-00</t>
  </si>
  <si>
    <t>NPL-202-G01-H-00</t>
  </si>
  <si>
    <t>Ministry of Health and Social Services of Namibia</t>
  </si>
  <si>
    <t>NMB-T-MoHSS</t>
  </si>
  <si>
    <t>NMB-607-G06-M</t>
  </si>
  <si>
    <t>NMB-506-G04-T</t>
  </si>
  <si>
    <t>Namibia Network of AIDS Service Organizations</t>
  </si>
  <si>
    <t>NMB-202-G07-H</t>
  </si>
  <si>
    <t>NMB-202-G03-M-00</t>
  </si>
  <si>
    <t>NMB-202-G01-H-00</t>
  </si>
  <si>
    <t>World Vision International para Nicaragua</t>
  </si>
  <si>
    <t>NIC-T-WVI</t>
  </si>
  <si>
    <t>Instituto Nicaragüense de Seguridad Social</t>
  </si>
  <si>
    <t>NIC-T-INSS</t>
  </si>
  <si>
    <t>Federación Red NICASALUD</t>
  </si>
  <si>
    <t>NIC-M-REDNICA</t>
  </si>
  <si>
    <t>NIC-H-WVI</t>
  </si>
  <si>
    <t>NIC-H-INSS</t>
  </si>
  <si>
    <t>NIC-910-G07-M</t>
  </si>
  <si>
    <t>NIC-809-G06-H</t>
  </si>
  <si>
    <t>NIC-708-G04-M</t>
  </si>
  <si>
    <t>NIC-202-G05-T-00</t>
  </si>
  <si>
    <t>NIC-202-G03-H-00</t>
  </si>
  <si>
    <t>NIC-202-G02-T-00</t>
  </si>
  <si>
    <t>NIC-202-G01-M-00</t>
  </si>
  <si>
    <t>Coordination Intersectorielle de Lutte contre les IST/VIH/SIDA de la République du Niger</t>
  </si>
  <si>
    <t>NGR-708-G08-H</t>
  </si>
  <si>
    <t>NGR-708-G07-M</t>
  </si>
  <si>
    <t>NGR-506-G05-T</t>
  </si>
  <si>
    <t>NGR-506-G04-M</t>
  </si>
  <si>
    <t>The International Federation of Red Cross and Red Crescent Societies</t>
  </si>
  <si>
    <t>NGR-013-G09-T</t>
  </si>
  <si>
    <t>National Tuberculosis &amp; Leprosy Control Programme</t>
  </si>
  <si>
    <t>NGA-T-NTBLCP</t>
  </si>
  <si>
    <t>Institute of Human Virology Nigeria</t>
  </si>
  <si>
    <t>NGA-T-IHVN</t>
  </si>
  <si>
    <t>Association For Reproductive And Family Health</t>
  </si>
  <si>
    <t>NGA-T-ARFH</t>
  </si>
  <si>
    <t>Management Sciences for Health</t>
  </si>
  <si>
    <t>NGA-S-MSH</t>
  </si>
  <si>
    <t>Society For Family Health</t>
  </si>
  <si>
    <t>NGA-M-SFH</t>
  </si>
  <si>
    <t>National Malaria Elimination Programme of the Federal Ministry of Health of the Federal Republic of Nigeria</t>
  </si>
  <si>
    <t>NGA-M-NMEP</t>
  </si>
  <si>
    <t>NGA-M-CRS</t>
  </si>
  <si>
    <t>NGA-H-SFHNG</t>
  </si>
  <si>
    <t>NGA-H-PPF</t>
  </si>
  <si>
    <t>National Agency for the Control of AIDS</t>
  </si>
  <si>
    <t>NGA-H-NACA</t>
  </si>
  <si>
    <t>Lagos State Ministry of Health</t>
  </si>
  <si>
    <t>NGA-H-LSMOH</t>
  </si>
  <si>
    <t>Family Health International (FHI360)</t>
  </si>
  <si>
    <t>NGA-H-FHI360</t>
  </si>
  <si>
    <t>NGA-H-CiSHAN</t>
  </si>
  <si>
    <t>NGA-H-ARFH</t>
  </si>
  <si>
    <t>NGA-C-LSMOH</t>
  </si>
  <si>
    <t>NGA-809-G14-M</t>
  </si>
  <si>
    <t>NGA-809-G13-M</t>
  </si>
  <si>
    <t>NGA-809-G12-S</t>
  </si>
  <si>
    <t>NGA-809-G11-M</t>
  </si>
  <si>
    <t>NGA-509-G15-T</t>
  </si>
  <si>
    <t>NGA-506-G09-H</t>
  </si>
  <si>
    <t>NGA-506-G08-H</t>
  </si>
  <si>
    <t>NGA-506-G07-H</t>
  </si>
  <si>
    <t>NGA-506-G06-T</t>
  </si>
  <si>
    <t>NGA-407-G10-M</t>
  </si>
  <si>
    <t>NGA-404-G05-M</t>
  </si>
  <si>
    <t>NGA-202-G04-M-00</t>
  </si>
  <si>
    <t>NGA-102-G03-H-00</t>
  </si>
  <si>
    <t>NGA-102-G02-H-00</t>
  </si>
  <si>
    <t>NGA-102-G01-H-00</t>
  </si>
  <si>
    <t>NER-T-SCF</t>
  </si>
  <si>
    <t>Ministry of Public Health Of Niger</t>
  </si>
  <si>
    <t>NER-T-MSP</t>
  </si>
  <si>
    <t>NER-S-SCF</t>
  </si>
  <si>
    <t>NER-M-CRS</t>
  </si>
  <si>
    <t>NER-H-CNCTRN</t>
  </si>
  <si>
    <t>NER-405-G03-M</t>
  </si>
  <si>
    <t>NER-306-G06-M</t>
  </si>
  <si>
    <t>NER-304-G02-M</t>
  </si>
  <si>
    <t>NER-304-G01-H</t>
  </si>
  <si>
    <t>The Ministry of Health and Population of Nepal</t>
  </si>
  <si>
    <t>NEP-T-NTC</t>
  </si>
  <si>
    <t>NEP-M-PSI</t>
  </si>
  <si>
    <t>NEP-M-EDCD</t>
  </si>
  <si>
    <t>NEP-H-NCASC</t>
  </si>
  <si>
    <t>NEP-708-G11-H</t>
  </si>
  <si>
    <t>NAM-M-MOH</t>
  </si>
  <si>
    <t>NAM-C-NANASO</t>
  </si>
  <si>
    <t>NAM-C-MOH</t>
  </si>
  <si>
    <t>NAM-202-G02-T-00</t>
  </si>
  <si>
    <t>Malaysian AIDS Council</t>
  </si>
  <si>
    <t>MYS-H-MAC</t>
  </si>
  <si>
    <t>MWP-708-G07-T</t>
  </si>
  <si>
    <t>MWP-708-G06-H</t>
  </si>
  <si>
    <t>World Vision Malawi</t>
  </si>
  <si>
    <t>MWI-M-WVM</t>
  </si>
  <si>
    <t>Ministry of Health of the Republic of Malawi</t>
  </si>
  <si>
    <t>MWI-M-MOH</t>
  </si>
  <si>
    <t>MWI-C-MOH</t>
  </si>
  <si>
    <t>ActionAid International Malawi</t>
  </si>
  <si>
    <t>MWI-C-AA</t>
  </si>
  <si>
    <t>MWI-708-G07-H</t>
  </si>
  <si>
    <t>MWI-506-G04-S</t>
  </si>
  <si>
    <t>MWI-506-G03-H</t>
  </si>
  <si>
    <t>MWI-202-G02-M-00</t>
  </si>
  <si>
    <t>MWI-102-G01-H-00</t>
  </si>
  <si>
    <t>Prévention Information Lutte contre le Sida</t>
  </si>
  <si>
    <t>MUS-H-PILS</t>
  </si>
  <si>
    <t>Ministry of Health and Quality of Life (implementing through the National AIDS Secretariat) of the Republic of Mauritius</t>
  </si>
  <si>
    <t>MUS-H-NAS</t>
  </si>
  <si>
    <t>MUS-812-G03-H</t>
  </si>
  <si>
    <t>MUS-809-G02-H</t>
  </si>
  <si>
    <t>MUS-809-G01-H</t>
  </si>
  <si>
    <t>MSA-910-G02-H</t>
  </si>
  <si>
    <t>Secrétariat Exécutif National de Lutte contre le SIDA de la République Islamique de Mauritanie</t>
  </si>
  <si>
    <t>MRT-Z-SENLS</t>
  </si>
  <si>
    <t>MRT-T-SENLS</t>
  </si>
  <si>
    <t>MRT-M-SENLS</t>
  </si>
  <si>
    <t>MRT-H-SENLS</t>
  </si>
  <si>
    <t>MRT-607-G05-T</t>
  </si>
  <si>
    <t>MRT-607-G04-M</t>
  </si>
  <si>
    <t>MRT-506-G03-H</t>
  </si>
  <si>
    <t>MRT-202-G02-M-00</t>
  </si>
  <si>
    <t>MRT-202-G01-T-00</t>
  </si>
  <si>
    <t>Ministry of Health of Mozambique</t>
  </si>
  <si>
    <t>MOZ-T-MOH</t>
  </si>
  <si>
    <t>World Vision Mozambique</t>
  </si>
  <si>
    <t>MOZ-M-WV</t>
  </si>
  <si>
    <t>MOZ-M-MOH</t>
  </si>
  <si>
    <t>MOZ-H-MOH</t>
  </si>
  <si>
    <t>Fundação para o Desenvolvimento da Comunidade</t>
  </si>
  <si>
    <t>MOZ-H-FDC</t>
  </si>
  <si>
    <t>MOZ-C-MOH</t>
  </si>
  <si>
    <t>MOZ-C-FDC</t>
  </si>
  <si>
    <t>Centro de Colaboração em Saúde</t>
  </si>
  <si>
    <t>MOZ-C-CCS</t>
  </si>
  <si>
    <t>MOZ-911-G12-M</t>
  </si>
  <si>
    <t>MOZ-911-G11-M</t>
  </si>
  <si>
    <t>MOZ-911-G10-H</t>
  </si>
  <si>
    <t>MOZ-911-G09-H</t>
  </si>
  <si>
    <t>MOZ-809-G08-S</t>
  </si>
  <si>
    <t>MOZ-708-G07-T</t>
  </si>
  <si>
    <t>MOZ-607-G06-M</t>
  </si>
  <si>
    <t>MOZ-607-G05-H</t>
  </si>
  <si>
    <t>MOZ-202-G04-T-00</t>
  </si>
  <si>
    <t>MOZ-202-G03-M-00</t>
  </si>
  <si>
    <t>MOZ-202-G02-H-00</t>
  </si>
  <si>
    <t>MOZ-202-G01-H-00</t>
  </si>
  <si>
    <t>Ministry of Health of the Kingdom of Morocco</t>
  </si>
  <si>
    <t>MOR-011-G05-T</t>
  </si>
  <si>
    <t>MOR-011-G04-H</t>
  </si>
  <si>
    <t>MON-S-MOH</t>
  </si>
  <si>
    <t>MOL-T-PAS</t>
  </si>
  <si>
    <t>MOL-H-PAS</t>
  </si>
  <si>
    <t>MNT-910-G03-H</t>
  </si>
  <si>
    <t>Ministry of Health of Mongolia</t>
  </si>
  <si>
    <t>MNG-T-MOH</t>
  </si>
  <si>
    <t>MNG-H-MOH-X</t>
  </si>
  <si>
    <t>MNG-H-MOH</t>
  </si>
  <si>
    <t>MNG-910-G06-S</t>
  </si>
  <si>
    <t>MNG-708-G05-H</t>
  </si>
  <si>
    <t>MNG-506-G04-H</t>
  </si>
  <si>
    <t>MNG-405-G03-T</t>
  </si>
  <si>
    <t>MNG-202-G02-H-00</t>
  </si>
  <si>
    <t>MNG-102-G01-T-00</t>
  </si>
  <si>
    <t>Ministry of Health of Montenegro</t>
  </si>
  <si>
    <t>MNE-H-MoH</t>
  </si>
  <si>
    <t>MNE-607-G02-T</t>
  </si>
  <si>
    <t>MNE-506-G01-H</t>
  </si>
  <si>
    <t>MMR-T-UNOPS</t>
  </si>
  <si>
    <t>MMR-T-SCF</t>
  </si>
  <si>
    <t>MMR-M-UNOPS</t>
  </si>
  <si>
    <t>MMR-M-SCF</t>
  </si>
  <si>
    <t>MMR-H-UNOPS</t>
  </si>
  <si>
    <t>MMR-H-SCF</t>
  </si>
  <si>
    <t>MMR-305-G03-M</t>
  </si>
  <si>
    <t>MMR-305-G02-H</t>
  </si>
  <si>
    <t>MMR-202-G01-T-00</t>
  </si>
  <si>
    <t>Middle East and North Africa Harm Reduction Association</t>
  </si>
  <si>
    <t>MMM-011-G01-H</t>
  </si>
  <si>
    <t>The Registered Trustees of the National AIDS Commission Trust of the Republic of Malawi</t>
  </si>
  <si>
    <t>MLW-H-NAC</t>
  </si>
  <si>
    <t>MLW-911-G08-M</t>
  </si>
  <si>
    <t>MLW-708-G06-T</t>
  </si>
  <si>
    <t>MLW-708-G05-M</t>
  </si>
  <si>
    <t>MLI-T-CRS</t>
  </si>
  <si>
    <t>MLI-M-PSI</t>
  </si>
  <si>
    <t>MLI-H-UNDP</t>
  </si>
  <si>
    <t>MLI-H-PLAN</t>
  </si>
  <si>
    <t>National High Council for the Fight against AIDS in the Republic of Mali</t>
  </si>
  <si>
    <t>MLI-H-HCNLS</t>
  </si>
  <si>
    <t>MLI-102-G01-M-00</t>
  </si>
  <si>
    <t>The Ministry of Health of the Former Yugoslav Republic of Macedonia</t>
  </si>
  <si>
    <t>North Macedonia</t>
  </si>
  <si>
    <t>MKD-H-MOH</t>
  </si>
  <si>
    <t>MKD-708-G03-H</t>
  </si>
  <si>
    <t>MKD-506-G02-T</t>
  </si>
  <si>
    <t>MKD-304-G01-H</t>
  </si>
  <si>
    <t>MKD-011-G04-T</t>
  </si>
  <si>
    <t>MEX-910-G01-H</t>
  </si>
  <si>
    <t>MEI-011-G01-H</t>
  </si>
  <si>
    <t>Asia Pacific Network of People Living with HIV/AIDS</t>
  </si>
  <si>
    <t>MEA-011-G01-H</t>
  </si>
  <si>
    <t>MDV-607-G01-H</t>
  </si>
  <si>
    <t>Office National de Nutrition</t>
  </si>
  <si>
    <t>MDG-T-ONN</t>
  </si>
  <si>
    <t>MDG-M-PSI</t>
  </si>
  <si>
    <t>Ministry of Public Health of the Republic of Madagascar</t>
  </si>
  <si>
    <t>MDG-M-MOH</t>
  </si>
  <si>
    <t>Sécrétariat Exécutif du Comité National de Lutte Contre le VIH/SIDA de la République de Madagascar</t>
  </si>
  <si>
    <t>MDG-H-SECNLS</t>
  </si>
  <si>
    <t>MDG-H-PSI</t>
  </si>
  <si>
    <t>Pact Madagascar</t>
  </si>
  <si>
    <t>MDG-910-G19-M</t>
  </si>
  <si>
    <t>MDG-910-G18-M</t>
  </si>
  <si>
    <t>MDG-910-G17-M</t>
  </si>
  <si>
    <t>MDG-910-G16-M</t>
  </si>
  <si>
    <t>MDG-910-G15-M</t>
  </si>
  <si>
    <t>MDG-810-G14-T</t>
  </si>
  <si>
    <t>MDG-810-G13-T</t>
  </si>
  <si>
    <t>MDG-809-G12-H</t>
  </si>
  <si>
    <t>MDG-809-G11-H</t>
  </si>
  <si>
    <t>MDG-708-G10-M</t>
  </si>
  <si>
    <t>Unité de Gestion des Projets d'Appui au Secteur Santé de la République de Madagascar</t>
  </si>
  <si>
    <t>MDG-708-G09-M</t>
  </si>
  <si>
    <t>MDG-405-G07-M</t>
  </si>
  <si>
    <t>MDG-405-G06-M</t>
  </si>
  <si>
    <t>MDG-404-G08-T</t>
  </si>
  <si>
    <t>MDG-304-G05-M</t>
  </si>
  <si>
    <t>MDG-304-G04-H</t>
  </si>
  <si>
    <t>MDG-202-G03-H-00</t>
  </si>
  <si>
    <t>MDG-202-G02-H-00</t>
  </si>
  <si>
    <t>MDG-102-G01-M-00</t>
  </si>
  <si>
    <t>Public Institution - Coordination, Implementation and Monitoring Unit of the Health  System Projects</t>
  </si>
  <si>
    <t>MDA-T-PCIMU</t>
  </si>
  <si>
    <t>MDA-T-PAS</t>
  </si>
  <si>
    <t>MDA-H-PCIMU</t>
  </si>
  <si>
    <t>MDA-H-PAS</t>
  </si>
  <si>
    <t>MDA-C-PCIMU</t>
  </si>
  <si>
    <t>MDA-809-G05-T</t>
  </si>
  <si>
    <t>MDA-809-G04-T</t>
  </si>
  <si>
    <t>MDA-607-G03-H</t>
  </si>
  <si>
    <t>MDA-607-G02-T</t>
  </si>
  <si>
    <t>MDA-102-G01-C-00</t>
  </si>
  <si>
    <t>MCRAI-M-UNOPS</t>
  </si>
  <si>
    <t>MAW-607-G01-H</t>
  </si>
  <si>
    <t>MAT-011-G01-H</t>
  </si>
  <si>
    <t>MAS-911-G01-H</t>
  </si>
  <si>
    <t>MAR-T-MOH</t>
  </si>
  <si>
    <t>MAR-S-MOH</t>
  </si>
  <si>
    <t>MAR-H-MOH</t>
  </si>
  <si>
    <t>MAR-607-G03-T</t>
  </si>
  <si>
    <t>MAR-607-G02-H</t>
  </si>
  <si>
    <t>MAR-102-G01-H-00</t>
  </si>
  <si>
    <t>MAL-813-G11-H</t>
  </si>
  <si>
    <t>MAL-812-G09-H</t>
  </si>
  <si>
    <t>MAL-809-G08-H</t>
  </si>
  <si>
    <t>MAL-809-G07-H</t>
  </si>
  <si>
    <t>The Ministry of Health of the Republic of Mali</t>
  </si>
  <si>
    <t>MAL-708-G06-T</t>
  </si>
  <si>
    <t>Groupe Pivot Santé Population</t>
  </si>
  <si>
    <t>MAL-607-G05-M</t>
  </si>
  <si>
    <t>MAL-607-G04-M</t>
  </si>
  <si>
    <t>MAL-405-G03-T</t>
  </si>
  <si>
    <t>MAL-405-G02-H</t>
  </si>
  <si>
    <t>MAL-013-G10-T</t>
  </si>
  <si>
    <t>MAF-202-G01-M-00</t>
  </si>
  <si>
    <t>MAC-910-G02-H</t>
  </si>
  <si>
    <t>Pact Lesotho</t>
  </si>
  <si>
    <t>LSO-H-PACT</t>
  </si>
  <si>
    <t>Ministry of Finance of the Kingdom of Lesotho</t>
  </si>
  <si>
    <t>LSO-H-MoFDP</t>
  </si>
  <si>
    <t>LSO-C-PACT</t>
  </si>
  <si>
    <t>LSO-C-MOF</t>
  </si>
  <si>
    <t>LSO-910-G09-H</t>
  </si>
  <si>
    <t>LSO-813-G09-H</t>
  </si>
  <si>
    <t>LSO-810-G08-T</t>
  </si>
  <si>
    <t>LSO-809-G07-H</t>
  </si>
  <si>
    <t>LSO-809-G06-H</t>
  </si>
  <si>
    <t>LSO-708-G05-H</t>
  </si>
  <si>
    <t>LSO-607-G04-T</t>
  </si>
  <si>
    <t>LSO-506-G03-H</t>
  </si>
  <si>
    <t>LSO-202-G02-T-00</t>
  </si>
  <si>
    <t>LSO-202-G01-H-00</t>
  </si>
  <si>
    <t>LKA-T-MOH</t>
  </si>
  <si>
    <t>LKA-M-MOH</t>
  </si>
  <si>
    <t>LKA-H-MOH</t>
  </si>
  <si>
    <t>The Family Planning Association of Sri Lanka</t>
  </si>
  <si>
    <t>LKA-H-FPA</t>
  </si>
  <si>
    <t>LKA-911-G14-H</t>
  </si>
  <si>
    <t>LKA-809-G11-M</t>
  </si>
  <si>
    <t>LKA-607-G09-H</t>
  </si>
  <si>
    <t>LKA-405-G06-M</t>
  </si>
  <si>
    <t>LKA-405-G05-M</t>
  </si>
  <si>
    <t>LKA-102-G03-T-00</t>
  </si>
  <si>
    <t>LKA-102-G01-M-00</t>
  </si>
  <si>
    <t>Ministry of Health and Social Welfare of the Republic of Liberia</t>
  </si>
  <si>
    <t>LBR-T-MOH</t>
  </si>
  <si>
    <t>LBR-M-PII</t>
  </si>
  <si>
    <t>LBR-M-MOH</t>
  </si>
  <si>
    <t>LBR-H-PSI</t>
  </si>
  <si>
    <t>LBR-C-MOH</t>
  </si>
  <si>
    <t>LBR-810-G07-H</t>
  </si>
  <si>
    <t>LBR-708-G06-T</t>
  </si>
  <si>
    <t>LBR-708-G05-M</t>
  </si>
  <si>
    <t>LBR-607-G04-H</t>
  </si>
  <si>
    <t>LBR-304-G03-M</t>
  </si>
  <si>
    <t>LBR-202-G02-T-00</t>
  </si>
  <si>
    <t>LBR-202-G01-H-00</t>
  </si>
  <si>
    <t>Ministry of Health of the Lao People's Democratic Republic</t>
  </si>
  <si>
    <t>LAO-T-GFMOH</t>
  </si>
  <si>
    <t>LAO-S-GFMOH</t>
  </si>
  <si>
    <t>LAO-M-GFMOH</t>
  </si>
  <si>
    <t>LAO-H-GFMOH</t>
  </si>
  <si>
    <t>LAO-809-G11-H</t>
  </si>
  <si>
    <t>LAO-708-G10-T</t>
  </si>
  <si>
    <t>LAO-708-G09-M</t>
  </si>
  <si>
    <t>LAO-607-G08-H</t>
  </si>
  <si>
    <t>LAO-607-G07-M</t>
  </si>
  <si>
    <t>LAO-405-G06-T</t>
  </si>
  <si>
    <t>LAO-405-G05-M</t>
  </si>
  <si>
    <t>LAO-405-G04-H</t>
  </si>
  <si>
    <t>LAO-202-G03-T-00</t>
  </si>
  <si>
    <t>LAO-102-G02-M-00</t>
  </si>
  <si>
    <t>LAO-102-G01-H-00</t>
  </si>
  <si>
    <t>KOS-911-G05-T</t>
  </si>
  <si>
    <t>KOS-711-G04-H</t>
  </si>
  <si>
    <t>National Center for Tuberculosis and Leprosy Control</t>
  </si>
  <si>
    <t>KHM-T-CENAT</t>
  </si>
  <si>
    <t>Ministry of Health of the Kingdom of Cambodia</t>
  </si>
  <si>
    <t>KHM-S-PRMOH</t>
  </si>
  <si>
    <t>KHM-M-UNOPS</t>
  </si>
  <si>
    <t>National Center for HIV/AIDS, Dermatology and STI</t>
  </si>
  <si>
    <t>KHM-H-NCHADS</t>
  </si>
  <si>
    <t>Cambodia Ministry of Economy and Finance</t>
  </si>
  <si>
    <t>KHM-C-MEF</t>
  </si>
  <si>
    <t>KHM-708-G11-H</t>
  </si>
  <si>
    <t>KHM-607-G10-M</t>
  </si>
  <si>
    <t>KHM-506-G09-T</t>
  </si>
  <si>
    <t>KHM-506-G08-S</t>
  </si>
  <si>
    <t>KHM-506-G07-H</t>
  </si>
  <si>
    <t>KHM-405-G06-M</t>
  </si>
  <si>
    <t>KHM-405-G05-H</t>
  </si>
  <si>
    <t>KHM-202-G13-M</t>
  </si>
  <si>
    <t>KHM-202-G04-T-00</t>
  </si>
  <si>
    <t>KHM-202-G03-M-00</t>
  </si>
  <si>
    <t>KHM-202-G02-H-00</t>
  </si>
  <si>
    <t>KHM-102-G01-H-00</t>
  </si>
  <si>
    <t>KGZ-S10-G08-T</t>
  </si>
  <si>
    <t>KGZ-H-UNDP</t>
  </si>
  <si>
    <t>KGZ-C-UNDP</t>
  </si>
  <si>
    <t>KGZ-910-G07-T</t>
  </si>
  <si>
    <t>KGZ-811-G09-M</t>
  </si>
  <si>
    <t>KGZ-809-G06-M</t>
  </si>
  <si>
    <t>KGZ-708-G05-H</t>
  </si>
  <si>
    <t>KGZ-607-G04-T</t>
  </si>
  <si>
    <t>KGZ-506-G03-M</t>
  </si>
  <si>
    <t>KGZ-202-G02-T-00</t>
  </si>
  <si>
    <t>KGZ-202-G01-H-00</t>
  </si>
  <si>
    <t>National Treasury of the Republic of Kenya</t>
  </si>
  <si>
    <t>KEN-T-TNT</t>
  </si>
  <si>
    <t>Amref Health Africa in Kenya</t>
  </si>
  <si>
    <t>KEN-T-AMREF</t>
  </si>
  <si>
    <t>KEN-M-TNT</t>
  </si>
  <si>
    <t>KEN-M-AMREF</t>
  </si>
  <si>
    <t>KEN-H-TNT</t>
  </si>
  <si>
    <t>Kenya Red Cross Society</t>
  </si>
  <si>
    <t>KEN-H-KRCS</t>
  </si>
  <si>
    <t>KEN-708-G10-H</t>
  </si>
  <si>
    <t>KEN-708-G09-H</t>
  </si>
  <si>
    <t>KEN-607-G08-T</t>
  </si>
  <si>
    <t>KEN-506-G07-T</t>
  </si>
  <si>
    <t>KEN-405-G06-M</t>
  </si>
  <si>
    <t>KEN-202-G05-M-00</t>
  </si>
  <si>
    <t>KEN-202-G04-T-00</t>
  </si>
  <si>
    <t>KEN-202-G03-H-00</t>
  </si>
  <si>
    <t>KEN-102-G02-H-00</t>
  </si>
  <si>
    <t>KEN-102-G01-H-00</t>
  </si>
  <si>
    <t>KEN-011-G14-M</t>
  </si>
  <si>
    <t>KEN-011-G13-M</t>
  </si>
  <si>
    <t>National Center of Tuberculosis Problems of the Ministry of Healthcare and Social Development of the Republic of Kazakhstan</t>
  </si>
  <si>
    <t>KAZ-T-NCTP</t>
  </si>
  <si>
    <t>KAZ-T-HOPE</t>
  </si>
  <si>
    <t>Kazakh scientific center of dermatology and infectious diseases of the Ministry of Health of the Republic of Kazakhstan</t>
  </si>
  <si>
    <t>KAZ-H-RAC</t>
  </si>
  <si>
    <t>KAZ-809-G04-T</t>
  </si>
  <si>
    <t>KAZ-708-G03-H</t>
  </si>
  <si>
    <t>KAZ-607-G02-T</t>
  </si>
  <si>
    <t>KAZ-202-G01-H-00</t>
  </si>
  <si>
    <t>JOR-607-G03-H</t>
  </si>
  <si>
    <t>JOR-506-G02-T</t>
  </si>
  <si>
    <t>JOR-202-G01-H-00</t>
  </si>
  <si>
    <t>JOR-011-G04-T</t>
  </si>
  <si>
    <t>Ministry of Health of Jamaica</t>
  </si>
  <si>
    <t>JAM-H-MOH</t>
  </si>
  <si>
    <t>JAM-708-G02-H</t>
  </si>
  <si>
    <t>JAM-304-G01-H</t>
  </si>
  <si>
    <t>IRQ-T-UNDP</t>
  </si>
  <si>
    <t>Swiss Tropical and Public Health Institute</t>
  </si>
  <si>
    <t>IRQ-T-IOM</t>
  </si>
  <si>
    <t>IRQ-607-G01-T</t>
  </si>
  <si>
    <t>IRN-M-UNDP</t>
  </si>
  <si>
    <t>IRN-H-UNDP</t>
  </si>
  <si>
    <t>IRN-810-G04-H</t>
  </si>
  <si>
    <t>IRN-708-G03-T</t>
  </si>
  <si>
    <t>IRN-708-G02-M</t>
  </si>
  <si>
    <t>IRN-202-G01-H-00</t>
  </si>
  <si>
    <t>International Union Against Tuberculosis and Lung Disease</t>
  </si>
  <si>
    <t>IND-T-IUATLD</t>
  </si>
  <si>
    <t>International Bank for Reconstruction and Development</t>
  </si>
  <si>
    <t>IND-T-IBRD</t>
  </si>
  <si>
    <t>FOUNDATION FOR INNOVATIVE NEW DIAGNOSTICS INDIA</t>
  </si>
  <si>
    <t>IND-T-FIND</t>
  </si>
  <si>
    <t>Department of Economic Affairs, Ministry of Finance of India</t>
  </si>
  <si>
    <t>IND-T-CTD</t>
  </si>
  <si>
    <t>Centre for Health Research and Innovation</t>
  </si>
  <si>
    <t>IND-T-CHRI</t>
  </si>
  <si>
    <t>IND-M-NVBDCP</t>
  </si>
  <si>
    <t>Solidarity and Action Against The HIV Infection in India</t>
  </si>
  <si>
    <t>IND-H-SAATHII</t>
  </si>
  <si>
    <t>Plan International (India Chapter)</t>
  </si>
  <si>
    <t>IND-H-PLAN</t>
  </si>
  <si>
    <t>Nahdlatul Ulama</t>
  </si>
  <si>
    <t>IND-H-NU</t>
  </si>
  <si>
    <t>IND-H-NACO</t>
  </si>
  <si>
    <t>Indonesia Planned Parenthood Association</t>
  </si>
  <si>
    <t>IND-H-IPPA</t>
  </si>
  <si>
    <t>IND-H-IHAA</t>
  </si>
  <si>
    <t>William J Clinton Foundation</t>
  </si>
  <si>
    <t>IND-C-WJCF</t>
  </si>
  <si>
    <t>Faculty of Public Health, University of Indonesia</t>
  </si>
  <si>
    <t>IND-809-G12-T</t>
  </si>
  <si>
    <t>IDN-T-NU</t>
  </si>
  <si>
    <t>Directorate General of Disease Prevention and Control, Ministry of Health of The Republic of Indonesia</t>
  </si>
  <si>
    <t>IDN-T-MOH</t>
  </si>
  <si>
    <t>Central Board of ‘Aisyiyah</t>
  </si>
  <si>
    <t>IDN-T-AISYIYA</t>
  </si>
  <si>
    <t>IDN-S-MOH</t>
  </si>
  <si>
    <t>Persatuan Karya Dharma Kesehatan Indonesia (also known as “PERDHAKI”, Association of Voluntary Health Services of Indonesia)</t>
  </si>
  <si>
    <t>IDN-M-PERDHAK</t>
  </si>
  <si>
    <t>IDN-M-MOH</t>
  </si>
  <si>
    <t>Yayasan Spiritia</t>
  </si>
  <si>
    <t>IDN-H-SPIRITI</t>
  </si>
  <si>
    <t>National AIDS Commission of Indonesia</t>
  </si>
  <si>
    <t>IDN-H-NAC</t>
  </si>
  <si>
    <t>IDN-H-MOH</t>
  </si>
  <si>
    <t>Indonesia AIDS Coalition</t>
  </si>
  <si>
    <t>IDN-H-IAC</t>
  </si>
  <si>
    <t>IDN-910-G15-H</t>
  </si>
  <si>
    <t>IDN-809-G14-M</t>
  </si>
  <si>
    <t>IDN-809-G13-M</t>
  </si>
  <si>
    <t>IDN-809-G11-T</t>
  </si>
  <si>
    <t>IDN-809-G10-T</t>
  </si>
  <si>
    <t>IDN-809-G09-H</t>
  </si>
  <si>
    <t>IDN-809-G08-H</t>
  </si>
  <si>
    <t>IDN-809-G07-H</t>
  </si>
  <si>
    <t>IDN-607-G06-M</t>
  </si>
  <si>
    <t>IDN-506-G05-T</t>
  </si>
  <si>
    <t>IDN-405-G04-H</t>
  </si>
  <si>
    <t>IDN-102-G03-H-00</t>
  </si>
  <si>
    <t>IDN-102-G02-M-00</t>
  </si>
  <si>
    <t>IDN-102-G01-T-00</t>
  </si>
  <si>
    <t>World Vision India</t>
  </si>
  <si>
    <t>IDA-T-WVI</t>
  </si>
  <si>
    <t>Caritas India</t>
  </si>
  <si>
    <t>IDA-M-CARITAS</t>
  </si>
  <si>
    <t>IDA-911-G23-M</t>
  </si>
  <si>
    <t>IDA-910-G24-H</t>
  </si>
  <si>
    <t>IDA-910-G22-M</t>
  </si>
  <si>
    <t>Emmanuel Hospital Association</t>
  </si>
  <si>
    <t>IDA-910-G21-H</t>
  </si>
  <si>
    <t>IDA-910-G20-H</t>
  </si>
  <si>
    <t>IDA-910-G18-T</t>
  </si>
  <si>
    <t>IDA-910-G17-T</t>
  </si>
  <si>
    <t>IDA-910-G16-T</t>
  </si>
  <si>
    <t>Tata Institute of Social Sciences</t>
  </si>
  <si>
    <t>IDA-708-G15-H</t>
  </si>
  <si>
    <t>Indian Nursing Council</t>
  </si>
  <si>
    <t>IDA-708-G14-H</t>
  </si>
  <si>
    <t>IDA-708-G13-H</t>
  </si>
  <si>
    <t>IDA-607-G12-H</t>
  </si>
  <si>
    <t>IDA-607-G11-H</t>
  </si>
  <si>
    <t>IDA-607-G10-H</t>
  </si>
  <si>
    <t>IDA-607-G09-T</t>
  </si>
  <si>
    <t>IDA-405-G08-T</t>
  </si>
  <si>
    <t>IDA-405-G07-M</t>
  </si>
  <si>
    <t>IDA-405-G06-H</t>
  </si>
  <si>
    <t>IDA-405-G05-H</t>
  </si>
  <si>
    <t>IDA-304-G04-C</t>
  </si>
  <si>
    <t>IL&amp;FS Education &amp; Technology Services Ltd.</t>
  </si>
  <si>
    <t>IDA-202-G19-H</t>
  </si>
  <si>
    <t>IDA-202-G03-T-00</t>
  </si>
  <si>
    <t>IDA-202-G02-H-00</t>
  </si>
  <si>
    <t>IDA-102-G01-T-00</t>
  </si>
  <si>
    <t>HTI-M-PSI</t>
  </si>
  <si>
    <t>HTI-C-PSI</t>
  </si>
  <si>
    <t>HTI-911-G08-T</t>
  </si>
  <si>
    <t>HTI-811-G07-M</t>
  </si>
  <si>
    <t>HTI-708-G06-H</t>
  </si>
  <si>
    <t>HTI-506-G05-H</t>
  </si>
  <si>
    <t>HTI-304-G04-T</t>
  </si>
  <si>
    <t>HTI-304-G03-M</t>
  </si>
  <si>
    <t>HTI-102-G09-H</t>
  </si>
  <si>
    <t>HTI-102-G02-H-00</t>
  </si>
  <si>
    <t>HTI-102-G01-H-00</t>
  </si>
  <si>
    <t>HRV-202-G01-H-00</t>
  </si>
  <si>
    <t>Ministry of Health of the Republic of Honduras</t>
  </si>
  <si>
    <t>HND-T-UAFCE</t>
  </si>
  <si>
    <t>Cooperative Housing Foundation</t>
  </si>
  <si>
    <t>HND-T</t>
  </si>
  <si>
    <t>HND-M-CHF</t>
  </si>
  <si>
    <t>HND-H-CHF</t>
  </si>
  <si>
    <t>HND-C-CHF</t>
  </si>
  <si>
    <t>HND-102-G05-M-00</t>
  </si>
  <si>
    <t>HND-102-G04-H-00</t>
  </si>
  <si>
    <t>HND-102-G03-M-00</t>
  </si>
  <si>
    <t>HND-102-G02-T-00</t>
  </si>
  <si>
    <t>HND-102-G01-H-00</t>
  </si>
  <si>
    <t>Ministry of Health of the Republic of Guyana</t>
  </si>
  <si>
    <t>GYA-810-G06-T</t>
  </si>
  <si>
    <t>GYA-304-G01-H</t>
  </si>
  <si>
    <t>GUY-T-MOH</t>
  </si>
  <si>
    <t>GUY-M-MOH</t>
  </si>
  <si>
    <t>GUY-H-MOH</t>
  </si>
  <si>
    <t>GUY-809-G05-S</t>
  </si>
  <si>
    <t>GUY-708-G04-M</t>
  </si>
  <si>
    <t>GUY-405-G03-T</t>
  </si>
  <si>
    <t>GUY-304-G02-M</t>
  </si>
  <si>
    <t>Ministry of Health and Social Assistance of the Republic of Guatemala</t>
  </si>
  <si>
    <t>GUA-311-G06-H</t>
  </si>
  <si>
    <t>GUA-311-G05-H</t>
  </si>
  <si>
    <t>GTM-T-MSPAS</t>
  </si>
  <si>
    <t>GTM-M-MSPAS</t>
  </si>
  <si>
    <t>Instituto de Nutrición de Centro América y Panamá (INCAP)</t>
  </si>
  <si>
    <t>GTM-H-INCAP</t>
  </si>
  <si>
    <t>GTM-H-HIVOS</t>
  </si>
  <si>
    <t>GTM-610-G04-T</t>
  </si>
  <si>
    <t>GTM-607-G03-T</t>
  </si>
  <si>
    <t>GTM-405-G02-M</t>
  </si>
  <si>
    <t>GTM-304-G01-H</t>
  </si>
  <si>
    <t>GNQ-506-G02-M</t>
  </si>
  <si>
    <t>GNQ-405-G01-H</t>
  </si>
  <si>
    <t>Ministry of Health of the Republic of Guinea-Bissau</t>
  </si>
  <si>
    <t>GNB-T-MINSAP</t>
  </si>
  <si>
    <t>GNB-M-UNDP</t>
  </si>
  <si>
    <t>GNB-M-MOH</t>
  </si>
  <si>
    <t>National Secretariat to Fight AIDS of Guinea-Bissau</t>
  </si>
  <si>
    <t>GNB-H-SNLS</t>
  </si>
  <si>
    <t>GNB-C-MOH</t>
  </si>
  <si>
    <t>GNB-913-G13-T</t>
  </si>
  <si>
    <t>GNB-910-G11-T</t>
  </si>
  <si>
    <t>GNB-809-G09-S</t>
  </si>
  <si>
    <t>GNB-708-G05-H</t>
  </si>
  <si>
    <t>GNB-607-G04-M</t>
  </si>
  <si>
    <t>GNB-409-G08-M</t>
  </si>
  <si>
    <t>GNB-409-G07-H</t>
  </si>
  <si>
    <t>GNB-404-G03-M</t>
  </si>
  <si>
    <t>GNB-404-G02-H</t>
  </si>
  <si>
    <t>GNB-309-G06-T</t>
  </si>
  <si>
    <t>GNB-304-G01-T</t>
  </si>
  <si>
    <t>Ministry of Health and Social Welfare of the Republic of Gambia</t>
  </si>
  <si>
    <t>GMB-T-NLTP</t>
  </si>
  <si>
    <t>Medical Research Council (UK)</t>
  </si>
  <si>
    <t>GMB-T-MRC</t>
  </si>
  <si>
    <t>GMB-M-MOH</t>
  </si>
  <si>
    <t>GMB-M-CRS</t>
  </si>
  <si>
    <t>The National AIDS Secretariat of the Republic of The Gambia</t>
  </si>
  <si>
    <t>GMB-H-NAS</t>
  </si>
  <si>
    <t>ActionAid International The Gambia</t>
  </si>
  <si>
    <t>GMB-H-ActionAid</t>
  </si>
  <si>
    <t>GMB-C-NAS</t>
  </si>
  <si>
    <t>GMB-C-AAITG</t>
  </si>
  <si>
    <t>GMB-809-G06-H</t>
  </si>
  <si>
    <t>GMB-809-G05-H</t>
  </si>
  <si>
    <t>GMB-607-G04-M</t>
  </si>
  <si>
    <t>GMB-506-G03-T</t>
  </si>
  <si>
    <t>GMB-304-G02-M</t>
  </si>
  <si>
    <t>GMB-304-G01-H</t>
  </si>
  <si>
    <t>GIN-T-PSI</t>
  </si>
  <si>
    <t>GIN-T-PLAN</t>
  </si>
  <si>
    <t>The Ministry of Public Health of the Republic of Guinea</t>
  </si>
  <si>
    <t>GIN-T-MSHP</t>
  </si>
  <si>
    <t>GIN-S-MOH</t>
  </si>
  <si>
    <t>GIN-M-PNLP</t>
  </si>
  <si>
    <t>GIN-M-CRS</t>
  </si>
  <si>
    <t>GIN-H-PSI</t>
  </si>
  <si>
    <t>GIN-H-MOH</t>
  </si>
  <si>
    <t>German Corporation for International Cooperation (GIZ) GmbH</t>
  </si>
  <si>
    <t>GIN-H-GIZ</t>
  </si>
  <si>
    <t>Secrétariat Exécutif du Comité National de Lutte contre le Sida de la République de Guinée</t>
  </si>
  <si>
    <t>GIN-H-CNLS</t>
  </si>
  <si>
    <t>GIN-C-PLAN</t>
  </si>
  <si>
    <t>GIN-607-G05-M</t>
  </si>
  <si>
    <t>GIN-607-G04-H</t>
  </si>
  <si>
    <t>GIN-506-G03-T</t>
  </si>
  <si>
    <t>GIN-202-G02-M-00</t>
  </si>
  <si>
    <t>GIN-202-G01-H-00</t>
  </si>
  <si>
    <t>GHN-809-G12-H</t>
  </si>
  <si>
    <t>GHN-809-G11-H</t>
  </si>
  <si>
    <t>GHN-809-G10-H</t>
  </si>
  <si>
    <t>GHN-809-G09-H</t>
  </si>
  <si>
    <t>GHN-506-G06-H</t>
  </si>
  <si>
    <t>GHN-506-G05-T</t>
  </si>
  <si>
    <t>Ministry of Health of the Republic of Ghana</t>
  </si>
  <si>
    <t>GHA-T-MOH</t>
  </si>
  <si>
    <t>GHA-M-MOH</t>
  </si>
  <si>
    <t>AngloGold Ashanti (Ghana) Malaria Control Limited</t>
  </si>
  <si>
    <t>GHA-M-AGAMal</t>
  </si>
  <si>
    <t>West African Program to Combat AIDS and STI</t>
  </si>
  <si>
    <t>GHA-H-WAPCAS</t>
  </si>
  <si>
    <t>Planned Parenthood Association of Ghana</t>
  </si>
  <si>
    <t>GHA-H-PPAG</t>
  </si>
  <si>
    <t>GHA-H-MOH</t>
  </si>
  <si>
    <t>Ghana AIDS Commission</t>
  </si>
  <si>
    <t>GHA-H-GAC</t>
  </si>
  <si>
    <t>Adventist Development and Relief Agency of Ghana</t>
  </si>
  <si>
    <t>GHA-H-ADRA</t>
  </si>
  <si>
    <t>GHA-C-MOH</t>
  </si>
  <si>
    <t>GHA-809-G08-M</t>
  </si>
  <si>
    <t>GHA-809-G07-M</t>
  </si>
  <si>
    <t>GHA-405-G04-M</t>
  </si>
  <si>
    <t>GHA-202-G03-M-00</t>
  </si>
  <si>
    <t>GHA-102-G02-T-00</t>
  </si>
  <si>
    <t>GHA-102-G01-H-00</t>
  </si>
  <si>
    <t>National Center For Disease Control and Public Health</t>
  </si>
  <si>
    <t>GEO-T-NCDC</t>
  </si>
  <si>
    <t>GEO-T-GPIC</t>
  </si>
  <si>
    <t>GEO-S10-G07-H</t>
  </si>
  <si>
    <t>GEO-H-NCDC</t>
  </si>
  <si>
    <t>GEO-H-GPIC</t>
  </si>
  <si>
    <t>GEO-611-G10-T</t>
  </si>
  <si>
    <t>GEO-611-G09-M</t>
  </si>
  <si>
    <t>GEO-607-G06-H</t>
  </si>
  <si>
    <t>GEO-607-G05-T</t>
  </si>
  <si>
    <t>GEO-607-G04-M</t>
  </si>
  <si>
    <t>GEO-411-G11-T</t>
  </si>
  <si>
    <t>GEO-405-G03-T</t>
  </si>
  <si>
    <t>GEO-304-G02-M</t>
  </si>
  <si>
    <t>GEO-202-G01-H-00</t>
  </si>
  <si>
    <t>Ministry of Health, Social Welfare and National Solidarity of the Gabonese Republic</t>
  </si>
  <si>
    <t>GAB-T-MSPS</t>
  </si>
  <si>
    <t>Centre de Recherches Médicales de Lambaréné</t>
  </si>
  <si>
    <t>GAB-T-CERMEL</t>
  </si>
  <si>
    <t>GAB-809-G05-H</t>
  </si>
  <si>
    <t>GAB-509-G04-M</t>
  </si>
  <si>
    <t>GAB-506-G03-M</t>
  </si>
  <si>
    <t>GAB-404-G02-M</t>
  </si>
  <si>
    <t>GAB-304-G01-H</t>
  </si>
  <si>
    <t>Programme National de Lutte contre le SIDA de la République du Bénin</t>
  </si>
  <si>
    <t>FR9-BEN-H_PC</t>
  </si>
  <si>
    <t>FR99-SLB-M_PC</t>
  </si>
  <si>
    <t>FR97-SLE-M</t>
  </si>
  <si>
    <t>FR95-SLE-H_PC</t>
  </si>
  <si>
    <t>FR94-SEN-M_PC</t>
  </si>
  <si>
    <t>Alliance Nationale des Communautés pour la Santé - Sénégal</t>
  </si>
  <si>
    <t>FR93-SEN-H_PC</t>
  </si>
  <si>
    <t>FR92-PHL-M_PC</t>
  </si>
  <si>
    <t>FR91-PER-T</t>
  </si>
  <si>
    <t>FR90-PER-H</t>
  </si>
  <si>
    <t>Republican Scientific and Practical Center for Medical Technologies, Informatization, Administration and Management of Health</t>
  </si>
  <si>
    <t>FR8-BLR-T</t>
  </si>
  <si>
    <t>FR89-PRY-H_PC</t>
  </si>
  <si>
    <t>FR883-COG-C</t>
  </si>
  <si>
    <t>FR882-COG-C</t>
  </si>
  <si>
    <t>FR880-CIV-M</t>
  </si>
  <si>
    <t>FR87-PAK-M_PC</t>
  </si>
  <si>
    <t>Venezuela</t>
  </si>
  <si>
    <t>FR879-VEN-M</t>
  </si>
  <si>
    <t>FR878-VEN-M</t>
  </si>
  <si>
    <t>FR877-TLS-M</t>
  </si>
  <si>
    <t>FR876-TLS-T</t>
  </si>
  <si>
    <t>FR875-TLS-H</t>
  </si>
  <si>
    <t>FR872-CIV-H</t>
  </si>
  <si>
    <t>FR871-MCWP-M</t>
  </si>
  <si>
    <t>FR870-MCWP-C</t>
  </si>
  <si>
    <t>FR86-NER-M_PC</t>
  </si>
  <si>
    <t>FR868-SOM-M</t>
  </si>
  <si>
    <t>FR867-SLE-Z</t>
  </si>
  <si>
    <t>FR862-GNB-C</t>
  </si>
  <si>
    <t>FR861-MNG-C</t>
  </si>
  <si>
    <t>FR860-SLB-M</t>
  </si>
  <si>
    <t>FR85-NER-H_PC</t>
  </si>
  <si>
    <t>FR859-PNG-M</t>
  </si>
  <si>
    <t>FR858-PNG-C</t>
  </si>
  <si>
    <t>FR857-AFG-T</t>
  </si>
  <si>
    <t>FR853-UKR-C</t>
  </si>
  <si>
    <t>FR851-GIN-M</t>
  </si>
  <si>
    <t>FR84-NIC-M</t>
  </si>
  <si>
    <t>FR849-GIN-C</t>
  </si>
  <si>
    <t>FR848-AZE-C</t>
  </si>
  <si>
    <t>FR847-MDA-C</t>
  </si>
  <si>
    <t>FR845-SOM-H</t>
  </si>
  <si>
    <t>FR844-SWZ-M</t>
  </si>
  <si>
    <t>FR843-KGZ-C</t>
  </si>
  <si>
    <t>FR842-SDN-H</t>
  </si>
  <si>
    <t>FR841-ERI-M</t>
  </si>
  <si>
    <t>FR840-ERI-H</t>
  </si>
  <si>
    <t>FR83-NIC-T</t>
  </si>
  <si>
    <t>FR836-TZA-M</t>
  </si>
  <si>
    <t>FR835-TZA-M</t>
  </si>
  <si>
    <t>FR834-TZA-C</t>
  </si>
  <si>
    <t>FR82-NIC-H_PC</t>
  </si>
  <si>
    <t>FR827-CMR-M</t>
  </si>
  <si>
    <t>FR826-CMR-C</t>
  </si>
  <si>
    <t>FR821-ZWE-Z</t>
  </si>
  <si>
    <t>FR81-MOZ-M_PC</t>
  </si>
  <si>
    <t>FR818-MOZ-M</t>
  </si>
  <si>
    <t>FR815-BFA-M</t>
  </si>
  <si>
    <t>FR812-CAF-C</t>
  </si>
  <si>
    <t>FR80-MNG-H_PC</t>
  </si>
  <si>
    <t>FR7-BLR-H</t>
  </si>
  <si>
    <t>FR79-MDA-T_PC</t>
  </si>
  <si>
    <t>FR78-MDA-H_PC</t>
  </si>
  <si>
    <t>FR782-CAF-M</t>
  </si>
  <si>
    <t>FR781-SSD-M</t>
  </si>
  <si>
    <t>FR780-MLI-Z</t>
  </si>
  <si>
    <t>FR776-KHM-C</t>
  </si>
  <si>
    <t>FR774-ERI-T</t>
  </si>
  <si>
    <t>FR770-VNM-T</t>
  </si>
  <si>
    <t>FR769-VNM-H</t>
  </si>
  <si>
    <t>FR764-SSD-T</t>
  </si>
  <si>
    <t>FR763-SSD-H</t>
  </si>
  <si>
    <t>FR761-SDN-T</t>
  </si>
  <si>
    <t>FR760-SDN-M</t>
  </si>
  <si>
    <t>FR75-MDG-M-01</t>
  </si>
  <si>
    <t>FR756-KAZ-H</t>
  </si>
  <si>
    <t>FR753-MCWP-M</t>
  </si>
  <si>
    <t>FR751-GNB-M</t>
  </si>
  <si>
    <t>FR750-GNB-Z</t>
  </si>
  <si>
    <t>FR74-MDG-T_PC</t>
  </si>
  <si>
    <t>FR749-THA-C</t>
  </si>
  <si>
    <t>FR748-GHA-M</t>
  </si>
  <si>
    <t>FR747-CIV-T</t>
  </si>
  <si>
    <t>FR746-GHA-C</t>
  </si>
  <si>
    <t>FR744-GHA-C</t>
  </si>
  <si>
    <t>FR73-MDG-H_PC</t>
  </si>
  <si>
    <t>FR739-BDI-C</t>
  </si>
  <si>
    <t>FR738-BDI-M</t>
  </si>
  <si>
    <t>FR737-NER-M</t>
  </si>
  <si>
    <t>FR736-NER-H</t>
  </si>
  <si>
    <t>FR735-COG-M</t>
  </si>
  <si>
    <t>FR734-NGA-Z</t>
  </si>
  <si>
    <t>FR733-NGA-C</t>
  </si>
  <si>
    <t>FR731-NGA-M</t>
  </si>
  <si>
    <t>FR72-LBR-M_PC</t>
  </si>
  <si>
    <t>FR728-NGA-Z</t>
  </si>
  <si>
    <t>FR726-NGA-Z</t>
  </si>
  <si>
    <t>FR725-MDG-H</t>
  </si>
  <si>
    <t>FR723-SOM-T</t>
  </si>
  <si>
    <t>FR722-SOM-Z</t>
  </si>
  <si>
    <t>FR717-MDG-M</t>
  </si>
  <si>
    <t>FR716-ZWE-M</t>
  </si>
  <si>
    <t>FR715-ZWE-Z</t>
  </si>
  <si>
    <t>FR714-ZWE-T</t>
  </si>
  <si>
    <t>FR713-ZWE-H</t>
  </si>
  <si>
    <t>FR711-IDN-M</t>
  </si>
  <si>
    <t>FR710-BGD-H</t>
  </si>
  <si>
    <t>FR709-BGD-M</t>
  </si>
  <si>
    <t>FR708-COD-Z</t>
  </si>
  <si>
    <t>FR707-COD-Z</t>
  </si>
  <si>
    <t>FR705-BGD-T</t>
  </si>
  <si>
    <t>FR704-IDN-T</t>
  </si>
  <si>
    <t>FR701-AFG-Z</t>
  </si>
  <si>
    <t>FR700-IDN-H</t>
  </si>
  <si>
    <t>FR699-AFG-H</t>
  </si>
  <si>
    <t>FR698-AFG-M</t>
  </si>
  <si>
    <t>FR697-MDG-T</t>
  </si>
  <si>
    <t>FR696-GNB-M</t>
  </si>
  <si>
    <t>FR695-TGO-M</t>
  </si>
  <si>
    <t>FR694-NGA-M</t>
  </si>
  <si>
    <t>FR693-TCD-M</t>
  </si>
  <si>
    <t>FR692-BEN-M</t>
  </si>
  <si>
    <t>FR691-MDG-H</t>
  </si>
  <si>
    <t>FR690-MWI-M</t>
  </si>
  <si>
    <t>FR689-MWI-C</t>
  </si>
  <si>
    <t>FR688-PHL-T</t>
  </si>
  <si>
    <t>FR687-PHL-M</t>
  </si>
  <si>
    <t>FR686-PHL-H</t>
  </si>
  <si>
    <t>FR685-HND-M</t>
  </si>
  <si>
    <t>FR682-SOM-Z</t>
  </si>
  <si>
    <t>FR681-HTI-Z</t>
  </si>
  <si>
    <t>FR680-UGA-C</t>
  </si>
  <si>
    <t>FR67-QNA-T</t>
  </si>
  <si>
    <t>FR679-UGA-M</t>
  </si>
  <si>
    <t>FR678-MCRAI-M</t>
  </si>
  <si>
    <t>FR677-MMR-C</t>
  </si>
  <si>
    <t>FR676-THA-T</t>
  </si>
  <si>
    <t>FR675-BLR-T</t>
  </si>
  <si>
    <t>FR672-MNG-T</t>
  </si>
  <si>
    <t>FR671-LAO-C</t>
  </si>
  <si>
    <t>FR66-JAM-H</t>
  </si>
  <si>
    <t>FR668-RWA-Z</t>
  </si>
  <si>
    <t>FR667-PAK-M</t>
  </si>
  <si>
    <t>FR666-RWA-M</t>
  </si>
  <si>
    <t>FR665-NGA-T</t>
  </si>
  <si>
    <t>FR664-MDG-M</t>
  </si>
  <si>
    <t>FR663-COM-M</t>
  </si>
  <si>
    <t>FR662-LBR-C</t>
  </si>
  <si>
    <t>FR661-TJK-Z</t>
  </si>
  <si>
    <t>FR660-NPL-T</t>
  </si>
  <si>
    <t>FR65-IRN-H_PC</t>
  </si>
  <si>
    <t>FR659-NPL-M</t>
  </si>
  <si>
    <t>FR658-NPL-H</t>
  </si>
  <si>
    <t>FR657-PNG-C</t>
  </si>
  <si>
    <t>FR656-PNG-H</t>
  </si>
  <si>
    <t>FR655-NAM-M</t>
  </si>
  <si>
    <t>FR654-PHL-H</t>
  </si>
  <si>
    <t>FR652-ARM-T</t>
  </si>
  <si>
    <t>FR651-LSO-H</t>
  </si>
  <si>
    <t>FR650-BLR-H</t>
  </si>
  <si>
    <t>FR64-IDN-M_PC</t>
  </si>
  <si>
    <t>FR649-SWZ-C</t>
  </si>
  <si>
    <t>FR648-PRY-H</t>
  </si>
  <si>
    <t>FR647-ZMB-T</t>
  </si>
  <si>
    <t>FR645-GTM-H</t>
  </si>
  <si>
    <t>FR643-JAM-H</t>
  </si>
  <si>
    <t>FR642-GUY-Z</t>
  </si>
  <si>
    <t>FR641-UGA-T</t>
  </si>
  <si>
    <t>FR640-GTM-H</t>
  </si>
  <si>
    <t>FR63-HND-M_PC</t>
  </si>
  <si>
    <t>FR639-CUB-H</t>
  </si>
  <si>
    <t>FR638-BLR-H</t>
  </si>
  <si>
    <t>FR637-MOZ-H</t>
  </si>
  <si>
    <t>FR636-GHA-M</t>
  </si>
  <si>
    <t>FR635-RWA-M</t>
  </si>
  <si>
    <t>FR634-BDI-M</t>
  </si>
  <si>
    <t>FR633-UZB-T</t>
  </si>
  <si>
    <t>FR632-TKM-T</t>
  </si>
  <si>
    <t>FR631-MNG-T</t>
  </si>
  <si>
    <t>FR630-CAF-M</t>
  </si>
  <si>
    <t>FR62-HND-T</t>
  </si>
  <si>
    <t>FR629-KGZ-T</t>
  </si>
  <si>
    <t>FR628-TJK-Z</t>
  </si>
  <si>
    <t>FR627-BLR-C</t>
  </si>
  <si>
    <t>FR626-AZE-H</t>
  </si>
  <si>
    <t>FR625-SSD-T</t>
  </si>
  <si>
    <t>FR624-COG-M</t>
  </si>
  <si>
    <t>FR623-PAK-H</t>
  </si>
  <si>
    <t>FR620-VNM-T</t>
  </si>
  <si>
    <t>FR61-HND-H</t>
  </si>
  <si>
    <t>FR619-UZB-T</t>
  </si>
  <si>
    <t>FR618-TKM-T</t>
  </si>
  <si>
    <t>FR617-ROU-T</t>
  </si>
  <si>
    <t>FR616-NAM-T</t>
  </si>
  <si>
    <t>FR615-KGZ-T</t>
  </si>
  <si>
    <t>FR614-KEN-T</t>
  </si>
  <si>
    <t>FR613-ETH-T</t>
  </si>
  <si>
    <t>FR612-AZE-T</t>
  </si>
  <si>
    <t>FR611-UKR-T</t>
  </si>
  <si>
    <t>FR610-UGA-T</t>
  </si>
  <si>
    <t>FR60-HTI-M_PC</t>
  </si>
  <si>
    <t>FR609-TJK-T</t>
  </si>
  <si>
    <t>FR608-PHL-T</t>
  </si>
  <si>
    <t>FR607-MDA-T</t>
  </si>
  <si>
    <t>FR606-COG-T</t>
  </si>
  <si>
    <t>FR605-BLR-T</t>
  </si>
  <si>
    <t>FR602-LKA-S</t>
  </si>
  <si>
    <t>UNICEF Ethiopia</t>
  </si>
  <si>
    <t>FR599-ETH-M</t>
  </si>
  <si>
    <t>FR598-PRK-Z</t>
  </si>
  <si>
    <t>FR592-MRT-Z</t>
  </si>
  <si>
    <t>FR576-GUY-M</t>
  </si>
  <si>
    <t>FR56-GUY-T</t>
  </si>
  <si>
    <t>FR567-MCALEP-H</t>
  </si>
  <si>
    <t>FR562-MCLACPCC-H</t>
  </si>
  <si>
    <t>Partners in Health</t>
  </si>
  <si>
    <t>FR560-MCPIH-T</t>
  </si>
  <si>
    <t>FR55-GUY-H_PC</t>
  </si>
  <si>
    <t>FR54-GNB-M_PC</t>
  </si>
  <si>
    <t>FR543-MCSEAAFAO-H</t>
  </si>
  <si>
    <t>FR542-TCD-Z</t>
  </si>
  <si>
    <t>FR535-NGA-C</t>
  </si>
  <si>
    <t>FR534-EGY-C</t>
  </si>
  <si>
    <t>FR533-MCNTPSRL-T</t>
  </si>
  <si>
    <t>FR531-MCASIAUNDP-T</t>
  </si>
  <si>
    <t>FR530-MCASIAUNOPS-T</t>
  </si>
  <si>
    <t>FR529-MCEECAAPH-H</t>
  </si>
  <si>
    <t>International HIV/AIDS Alliance</t>
  </si>
  <si>
    <t>FR528-MCMENAIHAA-H</t>
  </si>
  <si>
    <t>FR526-MCIGAD-T</t>
  </si>
  <si>
    <t>FR524-MCPAS-T</t>
  </si>
  <si>
    <t>FR523-BLR-C</t>
  </si>
  <si>
    <t>Ministry of Health of the Republic of Armenia</t>
  </si>
  <si>
    <t>FR522-ARM-C</t>
  </si>
  <si>
    <t>FR521-MCCVC/COIN-H</t>
  </si>
  <si>
    <t>FR51-GIN-M_PC</t>
  </si>
  <si>
    <t>FR515-MCMOSASWA-M</t>
  </si>
  <si>
    <t>FR50-GIN-H</t>
  </si>
  <si>
    <t>FR505-ARM-H</t>
  </si>
  <si>
    <t>FR500-MCE8-M</t>
  </si>
  <si>
    <t>FR497-MCECSA-HC-T</t>
  </si>
  <si>
    <t>FR492-NGA-H</t>
  </si>
  <si>
    <t>FR491-NGA-T</t>
  </si>
  <si>
    <t>Ministry of Public Health of Niger</t>
  </si>
  <si>
    <t>FR484-NER-Z</t>
  </si>
  <si>
    <t>FR47-GEO-T</t>
  </si>
  <si>
    <t>FR46-GEO-H</t>
  </si>
  <si>
    <t>FR468-GAB-T</t>
  </si>
  <si>
    <t>FR465-ARM-T</t>
  </si>
  <si>
    <t>FR461-MCMER-Z</t>
  </si>
  <si>
    <t>FR45-GMB-M_PC</t>
  </si>
  <si>
    <t>FR453-KAZ-T</t>
  </si>
  <si>
    <t>Ministry of Health of the Republic of Albania</t>
  </si>
  <si>
    <t>FR452-ALB-C</t>
  </si>
  <si>
    <t>FR451-PRY-T</t>
  </si>
  <si>
    <t>FR441-MDG-M</t>
  </si>
  <si>
    <t>FR42-GAB-T-01</t>
  </si>
  <si>
    <t>FR429-ALB-C</t>
  </si>
  <si>
    <t>FR428-MLI-M</t>
  </si>
  <si>
    <t>FR427-ZAF-C</t>
  </si>
  <si>
    <t>FR421-LKA-T</t>
  </si>
  <si>
    <t>FR420-LKA-M</t>
  </si>
  <si>
    <t>Ministry of Health of the State of Eritrea</t>
  </si>
  <si>
    <t>FR41-ERI-M_PC</t>
  </si>
  <si>
    <t>FR419-LKA-H</t>
  </si>
  <si>
    <t>FR417-GTM-T</t>
  </si>
  <si>
    <t>FR416-GTM-M</t>
  </si>
  <si>
    <t>FR415-SUR-C</t>
  </si>
  <si>
    <t>FR414-MCC-C</t>
  </si>
  <si>
    <t>African Comprehensive HIV/AIDS Partnerships</t>
  </si>
  <si>
    <t>FR413-BWA-C</t>
  </si>
  <si>
    <t>Ministry of Public Health of the Republic of Ecuador</t>
  </si>
  <si>
    <t>FR40-ECU-H</t>
  </si>
  <si>
    <t>FR400-ERI-T</t>
  </si>
  <si>
    <t>Instituto Dermatológico y Cirugía de Piel ‘Dr. Huberto Bogaert Díaz’</t>
  </si>
  <si>
    <t>FR39-DOM-H</t>
  </si>
  <si>
    <t>Ministry of Health of the Royal Government of Bhutan</t>
  </si>
  <si>
    <t>FR399-BTN-T</t>
  </si>
  <si>
    <t>FR398-BTN-M</t>
  </si>
  <si>
    <t>FR397-BTN-H</t>
  </si>
  <si>
    <t>Ministry of Health, Population and Hospital Reform of the People's Democratic Republic of Algeria</t>
  </si>
  <si>
    <t>FR393-DZA-H</t>
  </si>
  <si>
    <t>FR392-MNE-H</t>
  </si>
  <si>
    <t>FR391-TUN-H</t>
  </si>
  <si>
    <t>FR390-SRB-H</t>
  </si>
  <si>
    <t>Ministry of Health and Public Hygiene of the Republic of Côte d'Ivoire</t>
  </si>
  <si>
    <t>FR38-CIV-M_PC</t>
  </si>
  <si>
    <t>FR383-SSD-H</t>
  </si>
  <si>
    <t>FR382-SSD-M</t>
  </si>
  <si>
    <t>FR381-AGO-S</t>
  </si>
  <si>
    <t>FR37-CIV-T_PC</t>
  </si>
  <si>
    <t>FR376-PAN-C</t>
  </si>
  <si>
    <t>FR375-BLZ-C</t>
  </si>
  <si>
    <t>FR36-COD-M_PC</t>
  </si>
  <si>
    <t>FR367-SSD-T</t>
  </si>
  <si>
    <t>FR366-SSD-M</t>
  </si>
  <si>
    <t>Ministry of Health, Solidarity and Gender Promotion of the Union of the Comoros</t>
  </si>
  <si>
    <t>FR35-COM-M</t>
  </si>
  <si>
    <t>FR359-MCWHC-T</t>
  </si>
  <si>
    <t>Inter-American Development Bank</t>
  </si>
  <si>
    <t>FR358-MCEMMIE-M</t>
  </si>
  <si>
    <t>FR355-MYS-H</t>
  </si>
  <si>
    <t>FR353-NER-T</t>
  </si>
  <si>
    <t>FR352-BEN-S</t>
  </si>
  <si>
    <t>Conseil National de Lutte contre le VIH/SIDA, la Tuberculose, le Paludisme, les Hépatites, les Infections sexuellement transmissibles et les Epidémies</t>
  </si>
  <si>
    <t>FR351-MRT-S</t>
  </si>
  <si>
    <t>FR350-MRT-T</t>
  </si>
  <si>
    <t>Programme National de Lutte contre la Tuberculose et la Lepre</t>
  </si>
  <si>
    <t>FR34-COM-T</t>
  </si>
  <si>
    <t>FR349-MRT-M</t>
  </si>
  <si>
    <t>FR346-MRT-H</t>
  </si>
  <si>
    <t>FR340-SLB-C</t>
  </si>
  <si>
    <t>FR33-COM-H</t>
  </si>
  <si>
    <t>FR339-SLB-H</t>
  </si>
  <si>
    <t>FR338-BTN-Z</t>
  </si>
  <si>
    <t>FR336-NPL-H</t>
  </si>
  <si>
    <t>FR335-NPL-M</t>
  </si>
  <si>
    <t>FR334-NPL-T</t>
  </si>
  <si>
    <t>FR333-KEN-C</t>
  </si>
  <si>
    <t>Fondo Financiero de Proyectos de Desarrollo</t>
  </si>
  <si>
    <t>FR32-COL-H</t>
  </si>
  <si>
    <t>FR326-SLV-T</t>
  </si>
  <si>
    <t>FR325-SLV-H</t>
  </si>
  <si>
    <t>FR320-ROU-T</t>
  </si>
  <si>
    <t>FR31-TCD-M</t>
  </si>
  <si>
    <t>FR319-CRI-H</t>
  </si>
  <si>
    <t>FR318-CRI-H</t>
  </si>
  <si>
    <t>Ministry of Health of the Republic of Azerbaijan</t>
  </si>
  <si>
    <t>FR317-AZE-T</t>
  </si>
  <si>
    <t>FR316-AZE-H</t>
  </si>
  <si>
    <t>HIV/AIDS Prevention and Control Office</t>
  </si>
  <si>
    <t>FR313-ETH-C</t>
  </si>
  <si>
    <t>World Vision International (CAR Branch office)</t>
  </si>
  <si>
    <t>FR30-CAF-M_PC</t>
  </si>
  <si>
    <t>FR301-MMR-C</t>
  </si>
  <si>
    <t>FR2-AFG-M_PC</t>
  </si>
  <si>
    <t>FR297-PRK-T</t>
  </si>
  <si>
    <t>FR293-NPL-Z</t>
  </si>
  <si>
    <t>La Croix-Rouge française</t>
  </si>
  <si>
    <t>FR289-COG-C</t>
  </si>
  <si>
    <t>FR288-SEN-Z</t>
  </si>
  <si>
    <t>FR286-ERI-T</t>
  </si>
  <si>
    <t>FR285-ERI-H</t>
  </si>
  <si>
    <t>FR284-SDN-Z</t>
  </si>
  <si>
    <t>FR283-TGO-C</t>
  </si>
  <si>
    <t>FR282-MCWP-C</t>
  </si>
  <si>
    <t>FR281-MLI-C</t>
  </si>
  <si>
    <t>FR280-LSO-C</t>
  </si>
  <si>
    <t>FR279-KGZ-C</t>
  </si>
  <si>
    <t>FR278-HTI-C</t>
  </si>
  <si>
    <t>FR277-GNB-C</t>
  </si>
  <si>
    <t>Coordination Committee of the Fight against AIDS of Cabo Verde</t>
  </si>
  <si>
    <t>Cabo Verde</t>
  </si>
  <si>
    <t>FR276-CPV-Z</t>
  </si>
  <si>
    <t>FR275-SSD-T</t>
  </si>
  <si>
    <t>FR274-SSD-M</t>
  </si>
  <si>
    <t>FR273-SSD-H</t>
  </si>
  <si>
    <t>FR272-AGO-S</t>
  </si>
  <si>
    <t>Ministry of Public Health of the Republic of Cameroon</t>
  </si>
  <si>
    <t>FR26-CMR-M_PC</t>
  </si>
  <si>
    <t>Federal Ministry of Health of the Federal Democratic Republic of Ethiopia</t>
  </si>
  <si>
    <t>FR268-ETH-S</t>
  </si>
  <si>
    <t>FR267-SEN-Z</t>
  </si>
  <si>
    <t>FR266-PRK-M</t>
  </si>
  <si>
    <t>FR265-QNA-H</t>
  </si>
  <si>
    <t>FR264-DJI-C</t>
  </si>
  <si>
    <t>FR263-PNG-M</t>
  </si>
  <si>
    <t>FR261-DJI-M</t>
  </si>
  <si>
    <t>FR260-GIN-T</t>
  </si>
  <si>
    <t>FR25-BDI-M</t>
  </si>
  <si>
    <t>FR258-AGO-C</t>
  </si>
  <si>
    <t>FR257-ZMB-Z</t>
  </si>
  <si>
    <t>FR256-MAR-T</t>
  </si>
  <si>
    <t>FR254-ZMB-Z</t>
  </si>
  <si>
    <t>FR253-ZMB-C</t>
  </si>
  <si>
    <t>FR252-ZMB-H</t>
  </si>
  <si>
    <t>FR24-BDI-T</t>
  </si>
  <si>
    <t>FR249-LKA-S</t>
  </si>
  <si>
    <t>FR246-AGO-C</t>
  </si>
  <si>
    <t>FR245-NGA-C</t>
  </si>
  <si>
    <t>FR23-BDI-H_PC</t>
  </si>
  <si>
    <t>FR235-MAR-H</t>
  </si>
  <si>
    <t>FR234-MAR-C</t>
  </si>
  <si>
    <t>Ministry of Health of the Republic of Botswana</t>
  </si>
  <si>
    <t>FR232-BWA-M</t>
  </si>
  <si>
    <t>FR231-AGO-H</t>
  </si>
  <si>
    <t>FR230-SWZ-C</t>
  </si>
  <si>
    <t>Programme d'Appui au Développment Sanitaire du Burkina Faso</t>
  </si>
  <si>
    <t>FR22-BFA-M_PC</t>
  </si>
  <si>
    <t>FR229-NAM-C</t>
  </si>
  <si>
    <t>FR228-LKA-H</t>
  </si>
  <si>
    <t>FR227-LKA-M</t>
  </si>
  <si>
    <t>FR225-LKA-M</t>
  </si>
  <si>
    <t>FR224-NAM-M</t>
  </si>
  <si>
    <t>FR223-MUS-H</t>
  </si>
  <si>
    <t>FR222-GHA-C</t>
  </si>
  <si>
    <t>FR221-GHA-S</t>
  </si>
  <si>
    <t>FR220-TZA-Z</t>
  </si>
  <si>
    <t>FR21-BFA-T_PC</t>
  </si>
  <si>
    <t>FR219-TZA-C</t>
  </si>
  <si>
    <t>FR218-GHA-M</t>
  </si>
  <si>
    <t>FR217-MOZ-C</t>
  </si>
  <si>
    <t>Cameroon National Association for Family Welfare</t>
  </si>
  <si>
    <t>FR215-CMR-C</t>
  </si>
  <si>
    <t>Catholic Relief Services, United States Conference of Catholic Bishops</t>
  </si>
  <si>
    <t>FR214-COG-M</t>
  </si>
  <si>
    <t>FR213-COG-T</t>
  </si>
  <si>
    <t>FR212-COG-H</t>
  </si>
  <si>
    <t>FR211-AGO-M</t>
  </si>
  <si>
    <t>Secrétariat Permanent du Conseil National de Lutte contre le Sida et les IST du Burkina Faso</t>
  </si>
  <si>
    <t>FR20-BFA-H_PC</t>
  </si>
  <si>
    <t>FR208-KEN-T</t>
  </si>
  <si>
    <t>FR206-KEN-M</t>
  </si>
  <si>
    <t>FR205-KEN-H</t>
  </si>
  <si>
    <t>FR204-GMB-C</t>
  </si>
  <si>
    <t>FR203-PAK-H</t>
  </si>
  <si>
    <t>FR202-PAK-T</t>
  </si>
  <si>
    <t>FR200-THA-C</t>
  </si>
  <si>
    <t>FR1-AFG-H_PC</t>
  </si>
  <si>
    <t>FR198-TKM-T</t>
  </si>
  <si>
    <t>FR197-QNB-M</t>
  </si>
  <si>
    <t>FR196-MCRAI-M</t>
  </si>
  <si>
    <t>Philippine Business for Social Progress, Inc.</t>
  </si>
  <si>
    <t>FR194-PHL-T</t>
  </si>
  <si>
    <t>FR193-QNB-C</t>
  </si>
  <si>
    <t>FR192-PHL-H</t>
  </si>
  <si>
    <t>FR191-LBR-C</t>
  </si>
  <si>
    <t>FR189-LBR-H</t>
  </si>
  <si>
    <t>FR188-UGA-C</t>
  </si>
  <si>
    <t>FR187-IND-T</t>
  </si>
  <si>
    <t>FR186-IND-M</t>
  </si>
  <si>
    <t>FR185-IND-H</t>
  </si>
  <si>
    <t>FR184-CIV-H</t>
  </si>
  <si>
    <t>FR183-MNG-T</t>
  </si>
  <si>
    <t>FR182-TJK-T</t>
  </si>
  <si>
    <t>FR17-BOL-M</t>
  </si>
  <si>
    <t>FR16-BOL-T</t>
  </si>
  <si>
    <t>FR15-BOL-H</t>
  </si>
  <si>
    <t>FR123-MCWP-M_PC</t>
  </si>
  <si>
    <t>Programme National de Lutte contre le Paludisme de la République du Bénin</t>
  </si>
  <si>
    <t>FR11-BEN-M_PC</t>
  </si>
  <si>
    <t>FR115-UZB-T_PC</t>
  </si>
  <si>
    <t>FR114-UZB-H_PC</t>
  </si>
  <si>
    <t>FR111-TGO-M_PC</t>
  </si>
  <si>
    <t>FR10-BEN-T_PC</t>
  </si>
  <si>
    <t>FR108-TLS-M_PC</t>
  </si>
  <si>
    <t>FR107-TLS-T_PC</t>
  </si>
  <si>
    <t>FR106-SWZ-M_PC</t>
  </si>
  <si>
    <t>FR105-SUR-M_PC</t>
  </si>
  <si>
    <t>FR100-ZWE-M</t>
  </si>
  <si>
    <t>FR100-ZWE-C</t>
  </si>
  <si>
    <t>FR100-VNM-T</t>
  </si>
  <si>
    <t>FR100-VNM-M</t>
  </si>
  <si>
    <t>FR100-VNM-H</t>
  </si>
  <si>
    <t>FR100-UKR-C</t>
  </si>
  <si>
    <t>FR100-UGA-S</t>
  </si>
  <si>
    <t>FR100-UGA-M</t>
  </si>
  <si>
    <t>FR100-TLS-H</t>
  </si>
  <si>
    <t>FR100-TJK-H</t>
  </si>
  <si>
    <t>FR100-TCD-Z</t>
  </si>
  <si>
    <t>FR100-TCD-S</t>
  </si>
  <si>
    <t>FR100-TCD-H</t>
  </si>
  <si>
    <t>FR100-TCD-C</t>
  </si>
  <si>
    <t>FR100-STP-Z</t>
  </si>
  <si>
    <t>World Vision Somalia</t>
  </si>
  <si>
    <t>FR100-SOM-T</t>
  </si>
  <si>
    <t>FR100-SOM-M_PC</t>
  </si>
  <si>
    <t>FR100-SOM-H</t>
  </si>
  <si>
    <t>FR100-RWA-T</t>
  </si>
  <si>
    <t>FR100-RWA-M-02</t>
  </si>
  <si>
    <t>FR100-RWA-M</t>
  </si>
  <si>
    <t>FR100-PNG-C</t>
  </si>
  <si>
    <t>FR100-NGA-M</t>
  </si>
  <si>
    <t>FR100-MWI-M</t>
  </si>
  <si>
    <t>FR100-MWI-C</t>
  </si>
  <si>
    <t>FR100-MCRAI-M</t>
  </si>
  <si>
    <t>FR100-LAO-T</t>
  </si>
  <si>
    <t>FR100-LAO-H</t>
  </si>
  <si>
    <t>FR100-KHM-T</t>
  </si>
  <si>
    <t>FR100-KHM-H</t>
  </si>
  <si>
    <t>FR100-KAZ-H</t>
  </si>
  <si>
    <t>FR100-IDN-Z</t>
  </si>
  <si>
    <t>FR100-GTM-H</t>
  </si>
  <si>
    <t>FR100-ETH-T</t>
  </si>
  <si>
    <t>FR100-ETH-M</t>
  </si>
  <si>
    <t>FR100-ETH-H</t>
  </si>
  <si>
    <t>Ministry of Public Health and Social Assistance of the Dominican Republic</t>
  </si>
  <si>
    <t>FR100-DOM-T</t>
  </si>
  <si>
    <t>FR100-CUB-H</t>
  </si>
  <si>
    <t>FR100-COD-C</t>
  </si>
  <si>
    <t>FR100-CMR-T</t>
  </si>
  <si>
    <t>FR100-CMR-H</t>
  </si>
  <si>
    <t>FR100-CAF-C</t>
  </si>
  <si>
    <t>Economic Relations Division, Ministry of Finance of the People's Republic of Bangladesh</t>
  </si>
  <si>
    <t>FR100-BGD-T</t>
  </si>
  <si>
    <t>FR100-BGD-M</t>
  </si>
  <si>
    <t>FR100-BGD-H</t>
  </si>
  <si>
    <t>FR100-AFG-Z</t>
  </si>
  <si>
    <t>FR100-AFG-T</t>
  </si>
  <si>
    <t>Ministry of Health and Medical Services of the Republic of Fiji</t>
  </si>
  <si>
    <t>FJI-T-MHMS</t>
  </si>
  <si>
    <t>ETH-T-FMOH</t>
  </si>
  <si>
    <t>ETH-S-FMOH</t>
  </si>
  <si>
    <t>ETH-M-UNICEF</t>
  </si>
  <si>
    <t>ETH-M-FMOH</t>
  </si>
  <si>
    <t>ETH-H-HAPCO</t>
  </si>
  <si>
    <t>ETH-911-G11-S</t>
  </si>
  <si>
    <t>ETH-809-G10-M</t>
  </si>
  <si>
    <t>ETH-708-G09-H</t>
  </si>
  <si>
    <t>ETH-708-G08-H</t>
  </si>
  <si>
    <t>ETH-708-G07-H</t>
  </si>
  <si>
    <t>ETH-607-G06-T</t>
  </si>
  <si>
    <t>ETH-506-G05-M</t>
  </si>
  <si>
    <t>ETH-405-G04-H</t>
  </si>
  <si>
    <t>ETH-202-G03-H-00</t>
  </si>
  <si>
    <t>ETH-202-G02-M-00</t>
  </si>
  <si>
    <t>ETH-102-G01-T-00</t>
  </si>
  <si>
    <t>EST-202-G01-H-00</t>
  </si>
  <si>
    <t>ERI-T-MOH</t>
  </si>
  <si>
    <t>ERI-M-MOH</t>
  </si>
  <si>
    <t>ERI-H-MOH</t>
  </si>
  <si>
    <t>ERI-910-G07-M</t>
  </si>
  <si>
    <t>ERI-809-G06-H</t>
  </si>
  <si>
    <t>ERI-607-G05-M</t>
  </si>
  <si>
    <t>ERI-607-G04-T</t>
  </si>
  <si>
    <t>ERI-506-G03-H</t>
  </si>
  <si>
    <t>ERI-304-G02-H</t>
  </si>
  <si>
    <t>ERI-202-G01-M-00</t>
  </si>
  <si>
    <t>EGY-C-UNDP</t>
  </si>
  <si>
    <t>The Ministry of Health and Population of Egypt</t>
  </si>
  <si>
    <t>EGY-608-G03-H</t>
  </si>
  <si>
    <t>EGY-607-G02-T</t>
  </si>
  <si>
    <t>EGY-202-G01-T-00</t>
  </si>
  <si>
    <t>ECU-H-MOH</t>
  </si>
  <si>
    <t>ECU-H-MCDS</t>
  </si>
  <si>
    <t>Corporación Kimirina</t>
  </si>
  <si>
    <t>ECU-H-KIMI</t>
  </si>
  <si>
    <t>CARE International</t>
  </si>
  <si>
    <t>ECU-H-CARE</t>
  </si>
  <si>
    <t>ECU-910-G09-T</t>
  </si>
  <si>
    <t>ECU-910-G08-T</t>
  </si>
  <si>
    <t>ECU-910-G07-H</t>
  </si>
  <si>
    <t>ECU-910-G06-H</t>
  </si>
  <si>
    <t>ECU-809-G05-M</t>
  </si>
  <si>
    <t>Technical Management Unit of the Ministry of Public Health of the Republic of Ecuador</t>
  </si>
  <si>
    <t>ECU-809-G04-M</t>
  </si>
  <si>
    <t>ECU-405-G02-T</t>
  </si>
  <si>
    <t>ECU-202-G03-H-00</t>
  </si>
  <si>
    <t>ECU-202-G01-H-00</t>
  </si>
  <si>
    <t>DZA-H-MOH</t>
  </si>
  <si>
    <t>DZA-304-G01-H</t>
  </si>
  <si>
    <t>DOM-T-MSPAS</t>
  </si>
  <si>
    <t>DOM-H-IDCP</t>
  </si>
  <si>
    <t>Consejo Nacional para el VIH y el SIDA</t>
  </si>
  <si>
    <t>DOM-H-CONAVIH</t>
  </si>
  <si>
    <t>DOM-809-G06-M</t>
  </si>
  <si>
    <t>DOM-809-G05-M</t>
  </si>
  <si>
    <t>DOM-708-G08-T</t>
  </si>
  <si>
    <t>DOM-708-G03-T</t>
  </si>
  <si>
    <t>DOM-304-G02-T</t>
  </si>
  <si>
    <t>DOM-202-G04-H-00</t>
  </si>
  <si>
    <t>DMR-309-G07-T</t>
  </si>
  <si>
    <t>DMR-202-G01-H-00</t>
  </si>
  <si>
    <t>DJI-M-UNDP</t>
  </si>
  <si>
    <t>DJI-C-UNDP</t>
  </si>
  <si>
    <t>DJB-613-G05-H</t>
  </si>
  <si>
    <t>DJB-607-G04-H</t>
  </si>
  <si>
    <t>DJB-607-G03-T</t>
  </si>
  <si>
    <t>DJB-607-G02-M</t>
  </si>
  <si>
    <t>DJB-404-G01-H</t>
  </si>
  <si>
    <t>DJB-013-G06-T</t>
  </si>
  <si>
    <t>CUB-H-UNDP</t>
  </si>
  <si>
    <t>CUB-708-G03-T</t>
  </si>
  <si>
    <t>CUB-607-G02-H</t>
  </si>
  <si>
    <t>CUB-202-G01-H-00</t>
  </si>
  <si>
    <t>CRI-H-HIVOS</t>
  </si>
  <si>
    <t>CRI-202-G02-H-00</t>
  </si>
  <si>
    <t>CRI-202-G01-H-00</t>
  </si>
  <si>
    <t>CPV-Z-CCSSIDA</t>
  </si>
  <si>
    <t>CPV-M-CCSSIDA</t>
  </si>
  <si>
    <t>CPV-C-CCSSIDA</t>
  </si>
  <si>
    <t>Cape Verde Non Governmental Organisations Platform</t>
  </si>
  <si>
    <t>CPV-810-G02-H</t>
  </si>
  <si>
    <t>CPV-810-G01-H</t>
  </si>
  <si>
    <t>CPV-011-G03-M</t>
  </si>
  <si>
    <t>COM-T-PNLT</t>
  </si>
  <si>
    <t>Association Comorienne pour le Bien-Être de la Famille</t>
  </si>
  <si>
    <t>COM-T-ASCOBEF</t>
  </si>
  <si>
    <t>COM-M-PNLP</t>
  </si>
  <si>
    <t>COM-H-DNLS</t>
  </si>
  <si>
    <t>COM-910-G04-H</t>
  </si>
  <si>
    <t>COM-810-G03-M</t>
  </si>
  <si>
    <t>COM-304-G02-H</t>
  </si>
  <si>
    <t>COM-202-G01-M-00</t>
  </si>
  <si>
    <t>COL-H-ENTerritorio</t>
  </si>
  <si>
    <t>Sociedad Nacional de la Cruz Roja Colombiana</t>
  </si>
  <si>
    <t>COL-H-CRC</t>
  </si>
  <si>
    <t>COL-911-G04-H</t>
  </si>
  <si>
    <t>COL-809-G03-M</t>
  </si>
  <si>
    <t>COL-809-G02-M</t>
  </si>
  <si>
    <t>COL-202-G01-H-00</t>
  </si>
  <si>
    <t>COL-011-G06-T</t>
  </si>
  <si>
    <t>COL-011-G05-T</t>
  </si>
  <si>
    <t>Ministry of Health and Population of the Government of the Republic of Congo</t>
  </si>
  <si>
    <t>COG-T-MSP</t>
  </si>
  <si>
    <t>COG-M-CRS</t>
  </si>
  <si>
    <t>Secrétariat Exécutif Permanent du Conseil National de Lutte contre le SIDA de la République du Congo</t>
  </si>
  <si>
    <t>COG-H-SEPCNLS</t>
  </si>
  <si>
    <t>COG-H-CRF</t>
  </si>
  <si>
    <t>COG-C-CRF</t>
  </si>
  <si>
    <t>COG-911-G06-H</t>
  </si>
  <si>
    <t>COG-911-G05-H</t>
  </si>
  <si>
    <t>COG-810-G04-M</t>
  </si>
  <si>
    <t>COG-810-G03-M</t>
  </si>
  <si>
    <t>COG-810-G02-T</t>
  </si>
  <si>
    <t>COG-506-G01-H</t>
  </si>
  <si>
    <t>COD-T-MOH</t>
  </si>
  <si>
    <t>COD-T-CARITAS</t>
  </si>
  <si>
    <t>SANRU Asbl</t>
  </si>
  <si>
    <t>COD-M-SANRU</t>
  </si>
  <si>
    <t>COD-M-PSI-X</t>
  </si>
  <si>
    <t>COD-M-PSI</t>
  </si>
  <si>
    <t>COD-M-MOH</t>
  </si>
  <si>
    <t>COD-H-SANRU</t>
  </si>
  <si>
    <t>COD-H-MOH</t>
  </si>
  <si>
    <t>Stichting Cordaid</t>
  </si>
  <si>
    <t>COD-H-CORDAID</t>
  </si>
  <si>
    <t>COD-C-CORDAID</t>
  </si>
  <si>
    <t>COD-810-G12-H</t>
  </si>
  <si>
    <t>COD-810-G11-H</t>
  </si>
  <si>
    <t>COD-810-G08-M</t>
  </si>
  <si>
    <t>COD-809-G07-M</t>
  </si>
  <si>
    <t>COD-607-G05-T</t>
  </si>
  <si>
    <t>CMR-T-MOH</t>
  </si>
  <si>
    <t>CMR-M-MOH</t>
  </si>
  <si>
    <t>CMR-H-MOH</t>
  </si>
  <si>
    <t>CMR-H-CMF</t>
  </si>
  <si>
    <t>CMR-910-G09-T</t>
  </si>
  <si>
    <t>CMR-910-G08-M</t>
  </si>
  <si>
    <t>CMR-910-G07-M</t>
  </si>
  <si>
    <t>CMR-506-G06-M</t>
  </si>
  <si>
    <t>CMR-506-G05-H</t>
  </si>
  <si>
    <t>CMR-404-G04-H</t>
  </si>
  <si>
    <t>CMR-304-G03-T</t>
  </si>
  <si>
    <t>CMR-304-G02-M</t>
  </si>
  <si>
    <t>CMR-304-G01-H</t>
  </si>
  <si>
    <t>CMR-011-G11-H</t>
  </si>
  <si>
    <t>CMR-011-G10-H</t>
  </si>
  <si>
    <t>CIV-T-MOH</t>
  </si>
  <si>
    <t>Alliance Nationale Contre Le Sida en Cote D'Ivoire</t>
  </si>
  <si>
    <t>CIV-T-ACI</t>
  </si>
  <si>
    <t>Caritas Côte d'Ivoire</t>
  </si>
  <si>
    <t>CIV-S10-G11-T</t>
  </si>
  <si>
    <t>CIV-M-SCI</t>
  </si>
  <si>
    <t>CIV-M-MOH</t>
  </si>
  <si>
    <t>CIV-H-MOH</t>
  </si>
  <si>
    <t>CIV-H-ACI</t>
  </si>
  <si>
    <t>CIV-910-G13-H</t>
  </si>
  <si>
    <t>Programme National de Lutte contre le SIDA de la République de Côte d'Ivoire</t>
  </si>
  <si>
    <t>CIV-910-G12-H</t>
  </si>
  <si>
    <t>Programme National de Lutte contre le Paludisme</t>
  </si>
  <si>
    <t>CIV-809-G09-M</t>
  </si>
  <si>
    <t>CIV-809-G08-M</t>
  </si>
  <si>
    <t>CIV-607-G07-T</t>
  </si>
  <si>
    <t>CIV-607-G06-M</t>
  </si>
  <si>
    <t>CIV-506-G04-H</t>
  </si>
  <si>
    <t>CIV-304-G03-T</t>
  </si>
  <si>
    <t>CIV-304-G02-H</t>
  </si>
  <si>
    <t>CIV-202-G05-H</t>
  </si>
  <si>
    <t>CIV-202-G01-H-00</t>
  </si>
  <si>
    <t>CHN-S10-G14-T</t>
  </si>
  <si>
    <t>CHN-S10-G13-M</t>
  </si>
  <si>
    <t>CHN-809-G12-T</t>
  </si>
  <si>
    <t>CHN-708-G11-T</t>
  </si>
  <si>
    <t>CHN-607-G10-H</t>
  </si>
  <si>
    <t>CHN-607-G09-M</t>
  </si>
  <si>
    <t>CHN-506-G08-T</t>
  </si>
  <si>
    <t>CHN-506-G07-M</t>
  </si>
  <si>
    <t>CHN-506-G06-H</t>
  </si>
  <si>
    <t>CHN-405-G05-H</t>
  </si>
  <si>
    <t>CHN-405-G04-T</t>
  </si>
  <si>
    <t>CHN-304-G03-H</t>
  </si>
  <si>
    <t>CHN-102-G02-M-00</t>
  </si>
  <si>
    <t>CHN-102-G01-T-00</t>
  </si>
  <si>
    <t>CHN-011-G15-M</t>
  </si>
  <si>
    <t>CHL-102-G01-H-00</t>
  </si>
  <si>
    <t>CAM-M-CNM</t>
  </si>
  <si>
    <t>CAM-708-G12-T</t>
  </si>
  <si>
    <t>CAF-M-WVI</t>
  </si>
  <si>
    <t>CAF-M-IFRC</t>
  </si>
  <si>
    <t>CAF-C-IFRC</t>
  </si>
  <si>
    <t>CAF-C-CRF</t>
  </si>
  <si>
    <t>The Ministry of Public Heath, Population and the Fight Against HIV/AIDS of the Central African Republic</t>
  </si>
  <si>
    <t>CAF-911-G09-T</t>
  </si>
  <si>
    <t>CAF-813-G10-M</t>
  </si>
  <si>
    <t>CAF-810-G08-M</t>
  </si>
  <si>
    <t>CAF-708-G05-H</t>
  </si>
  <si>
    <t>CAF-409-G07-T</t>
  </si>
  <si>
    <t>CAF-409-G06-H</t>
  </si>
  <si>
    <t>CAF-405-G04-M</t>
  </si>
  <si>
    <t>CAF-404-G03-T</t>
  </si>
  <si>
    <t>CAF-404-G02-H</t>
  </si>
  <si>
    <t>CAF-202-G01-H-00</t>
  </si>
  <si>
    <t>BWA-M-BMOH</t>
  </si>
  <si>
    <t>BWA-C-BMoH</t>
  </si>
  <si>
    <t>BWA-C-ACHAP</t>
  </si>
  <si>
    <t>BWA-202-G01-H-00</t>
  </si>
  <si>
    <t>BUR-M-PLAN</t>
  </si>
  <si>
    <t>Initiative Privée et Communautaire contre le VIH/SIDA au Burkina Faso</t>
  </si>
  <si>
    <t>BUR-H-IPC</t>
  </si>
  <si>
    <t>BUR-810-G11-T</t>
  </si>
  <si>
    <t>BUR-810-G10-T</t>
  </si>
  <si>
    <t>BUR-809-G08-M</t>
  </si>
  <si>
    <t>BUR-708-G07-M</t>
  </si>
  <si>
    <t>BUR-607-G06-H</t>
  </si>
  <si>
    <t>BUR-407-G05-T</t>
  </si>
  <si>
    <t>Ministry of Health of the Republic of Bulgaria</t>
  </si>
  <si>
    <t>BUL-809-G03-T</t>
  </si>
  <si>
    <t>BUL-202-G01-H-00</t>
  </si>
  <si>
    <t>BTN-T-MOH</t>
  </si>
  <si>
    <t>BTN-M-MOH</t>
  </si>
  <si>
    <t>BTN-H-MOH</t>
  </si>
  <si>
    <t>BTN-708-G05-M</t>
  </si>
  <si>
    <t>BTN-607-G04-T</t>
  </si>
  <si>
    <t>BTN-607-G03-H</t>
  </si>
  <si>
    <t>BTN-405-G02-T</t>
  </si>
  <si>
    <t>BTN-405-G01-M</t>
  </si>
  <si>
    <t>CED-Caritas</t>
  </si>
  <si>
    <t>BRN-910-G10-M</t>
  </si>
  <si>
    <t>Secrétariat Exécutif Permanent du Conseil National de Lutte contre le SIDA</t>
  </si>
  <si>
    <t>BRN-813-G11-H</t>
  </si>
  <si>
    <t>Réseau Burundais des Personnes Vivant avec le VIH/SIDA</t>
  </si>
  <si>
    <t>BRN-809-G08-H</t>
  </si>
  <si>
    <t>BRN-809-G07-H</t>
  </si>
  <si>
    <t>National Integrated Programme Against Leprosy and Tuberculosis</t>
  </si>
  <si>
    <t>BRN-708-G06-T</t>
  </si>
  <si>
    <t>BRN-506-G04-H</t>
  </si>
  <si>
    <t>BRA-809-G04-M</t>
  </si>
  <si>
    <t>BRA-809-G03-M</t>
  </si>
  <si>
    <t>BRA-506-G02-T</t>
  </si>
  <si>
    <t>BRA-506-G01-T</t>
  </si>
  <si>
    <t>BOT-506-G02-T</t>
  </si>
  <si>
    <t>BOL-T-UNDP</t>
  </si>
  <si>
    <t>BOL-T-PROSALU</t>
  </si>
  <si>
    <t>BOL-M-UNDP</t>
  </si>
  <si>
    <t>BOL-H-HIVOS</t>
  </si>
  <si>
    <t>Asociación Protección a la Salud</t>
  </si>
  <si>
    <t>BOL-913-G11-T</t>
  </si>
  <si>
    <t>BOL-910-G10-T</t>
  </si>
  <si>
    <t>BOL-910-G09-H</t>
  </si>
  <si>
    <t>BOL-809-G08-M</t>
  </si>
  <si>
    <t>BOL-307-G07-H</t>
  </si>
  <si>
    <t>BOL-306-G06-T</t>
  </si>
  <si>
    <t>BOL-306-G05-M</t>
  </si>
  <si>
    <t>BOL-306-G04-H</t>
  </si>
  <si>
    <t>BOL-304-G03-T</t>
  </si>
  <si>
    <t>BOL-304-G02-M</t>
  </si>
  <si>
    <t>BOL-304-G01-H</t>
  </si>
  <si>
    <t>BLZ-C-UNDP</t>
  </si>
  <si>
    <t>BLZ-304-G01-H</t>
  </si>
  <si>
    <t>BLR-T-RSPCMT</t>
  </si>
  <si>
    <t>BLR-S10-G04-T</t>
  </si>
  <si>
    <t>BLR-H-UNDP</t>
  </si>
  <si>
    <t>BLR-H-RSPCMT</t>
  </si>
  <si>
    <t>BLR-C-RSPCMT</t>
  </si>
  <si>
    <t>BLR-809-G03-H</t>
  </si>
  <si>
    <t>BLR-607-G02-T</t>
  </si>
  <si>
    <t>BLR-304-G01-H</t>
  </si>
  <si>
    <t>BIH-T-UNDP</t>
  </si>
  <si>
    <t>BIH-910-G03-H</t>
  </si>
  <si>
    <t>BIH-607-G02-T</t>
  </si>
  <si>
    <t>BIH-506-G01-H</t>
  </si>
  <si>
    <t>BGR-T-MoH</t>
  </si>
  <si>
    <t>BGR-607-G02-T</t>
  </si>
  <si>
    <t>BGD-T-NTP</t>
  </si>
  <si>
    <t>BRAC</t>
  </si>
  <si>
    <t>BGD-T-BRAC</t>
  </si>
  <si>
    <t>BGD-M-NMCP</t>
  </si>
  <si>
    <t>BGD-M-BRAC</t>
  </si>
  <si>
    <t>BGD-H-SC</t>
  </si>
  <si>
    <t>BGD-H-NASP</t>
  </si>
  <si>
    <t>International Centre for Diarrhoeal Disease Research of the People's Republic of Bangladesh</t>
  </si>
  <si>
    <t>BGD-H-ICDDRB</t>
  </si>
  <si>
    <t>BGD-809-G10-T</t>
  </si>
  <si>
    <t>BGD-809-G09-T</t>
  </si>
  <si>
    <t>BGD-607-G08-H</t>
  </si>
  <si>
    <t>BGD-607-G07-M</t>
  </si>
  <si>
    <t>BGD-607-G06-M</t>
  </si>
  <si>
    <t>BGD-506-G05-T</t>
  </si>
  <si>
    <t>BGD-506-G04-T</t>
  </si>
  <si>
    <t>BGD-304-G03-T</t>
  </si>
  <si>
    <t>BGD-304-G02-T</t>
  </si>
  <si>
    <t>BGD-202-G11-H-00</t>
  </si>
  <si>
    <t>BGD-202-G01-H-00</t>
  </si>
  <si>
    <t>BFA-T-PADS</t>
  </si>
  <si>
    <t>BFA-S-PADS</t>
  </si>
  <si>
    <t>BFA-M-PADS</t>
  </si>
  <si>
    <t>BFA-H-SPCNLS</t>
  </si>
  <si>
    <t>BFA-C-IPC</t>
  </si>
  <si>
    <t>BFA-809-G09-M</t>
  </si>
  <si>
    <t>BFA-404-G03-T</t>
  </si>
  <si>
    <t>BFA-202-G04-H-00</t>
  </si>
  <si>
    <t>BFA-202-G02-H-00</t>
  </si>
  <si>
    <t>BFA-202-G01-M-00</t>
  </si>
  <si>
    <t>BEN-T-PNT</t>
  </si>
  <si>
    <t>Health System Performance Program</t>
  </si>
  <si>
    <t>BEN-S-PRPSS</t>
  </si>
  <si>
    <t>BEN-S-CNLS-TP</t>
  </si>
  <si>
    <t>BEN-M-PNLP</t>
  </si>
  <si>
    <t>BEN-H-SEIBsa</t>
  </si>
  <si>
    <t>BEN-H-PSLS</t>
  </si>
  <si>
    <t>BEN-H-PlanBen</t>
  </si>
  <si>
    <t>BEN-708-G07-M</t>
  </si>
  <si>
    <t>BEN-607-G06-T</t>
  </si>
  <si>
    <t>BEN-506-G05-H</t>
  </si>
  <si>
    <t>Africare</t>
  </si>
  <si>
    <t>BEN-304-G04-M</t>
  </si>
  <si>
    <t>BEN-202-G03-H-00</t>
  </si>
  <si>
    <t>BEN-202-G02-T-00</t>
  </si>
  <si>
    <t>BEN-102-G01-M-00</t>
  </si>
  <si>
    <t>BEL-910-G02-H</t>
  </si>
  <si>
    <t>Ministry of Public Health and Fight against AIDS of the Republic of Burundi</t>
  </si>
  <si>
    <t>BDI-Z-MOH</t>
  </si>
  <si>
    <t>Red Cross Burundi</t>
  </si>
  <si>
    <t>BDI-Z-CRB</t>
  </si>
  <si>
    <t>BDI-T-PNILT</t>
  </si>
  <si>
    <t>BDI-M-UNDP</t>
  </si>
  <si>
    <t>BDI-M-SEPCNLS</t>
  </si>
  <si>
    <t>BDI-M-PNILP</t>
  </si>
  <si>
    <t>BDI-M-CARITAS</t>
  </si>
  <si>
    <t>BDI-H-PNLS</t>
  </si>
  <si>
    <t>BDI-C-UNDP</t>
  </si>
  <si>
    <t>BDI-C-CRB</t>
  </si>
  <si>
    <t>BDI-910-G09-M</t>
  </si>
  <si>
    <t>BDI-405-G03-T</t>
  </si>
  <si>
    <t>BDI-202-G05-M-00</t>
  </si>
  <si>
    <t>BDI-202-G02-M-00</t>
  </si>
  <si>
    <t>BDI-102-G01-H-00</t>
  </si>
  <si>
    <t>BAN-202-G13-H-00</t>
  </si>
  <si>
    <t>BAN-202-G12-H-00</t>
  </si>
  <si>
    <t>AZE-T-MOH</t>
  </si>
  <si>
    <t>AZE-H-MOH</t>
  </si>
  <si>
    <t>Main Medical Department of the Ministry of Justice of the Republic of Azerbaijan</t>
  </si>
  <si>
    <t>AZE-910-G06-T</t>
  </si>
  <si>
    <t>AZE-910-G05-H</t>
  </si>
  <si>
    <t>AZE-708-G04-M</t>
  </si>
  <si>
    <t>AZE-708-G03-T</t>
  </si>
  <si>
    <t>AZE-506-G02-T</t>
  </si>
  <si>
    <t>AZE-405-G01-H</t>
  </si>
  <si>
    <t>ARM-T-MOH</t>
  </si>
  <si>
    <t>ARM-H-MOH</t>
  </si>
  <si>
    <t>Mission East</t>
  </si>
  <si>
    <t>ARM-H-MEA</t>
  </si>
  <si>
    <t>ARM-C-MOH</t>
  </si>
  <si>
    <t>ARM-809-G04-S</t>
  </si>
  <si>
    <t>ARM-809-G03-T</t>
  </si>
  <si>
    <t>ARM-506-G02-T</t>
  </si>
  <si>
    <t>ARM-202-G06-H-00</t>
  </si>
  <si>
    <t>ARM-202-G05-H-00</t>
  </si>
  <si>
    <t>ARM-202-G01-H-00</t>
  </si>
  <si>
    <t>ARG-102-G02-H-00</t>
  </si>
  <si>
    <t>ARG-102-G01-H-00</t>
  </si>
  <si>
    <t>ARG-011-G03-H</t>
  </si>
  <si>
    <t>ALB-C-MOH</t>
  </si>
  <si>
    <t>ALB-506-G02-T</t>
  </si>
  <si>
    <t>ALB-506-G01-H</t>
  </si>
  <si>
    <t>Ministry of Health of the Republic of Angola</t>
  </si>
  <si>
    <t>AGO-T-MOH</t>
  </si>
  <si>
    <t>AGO-M-WVI</t>
  </si>
  <si>
    <t>AGO-M-MOH</t>
  </si>
  <si>
    <t>AGO-H-UNDP</t>
  </si>
  <si>
    <t>AGO-911-G05-T</t>
  </si>
  <si>
    <t>AGO-708-G04-M</t>
  </si>
  <si>
    <t>AGO-405-G03-H</t>
  </si>
  <si>
    <t>AGO-405-G02-T</t>
  </si>
  <si>
    <t>AGO-305-G01-M</t>
  </si>
  <si>
    <t>AFG-T-UNDP</t>
  </si>
  <si>
    <t>Ministry of Public Health of the Islamic Republic of Afghanistan</t>
  </si>
  <si>
    <t>AFG-T-MOPH</t>
  </si>
  <si>
    <t>AFG-S-UNDP</t>
  </si>
  <si>
    <t>AFG-S-MOPH</t>
  </si>
  <si>
    <t>AFG-M-UNDP</t>
  </si>
  <si>
    <t>AFG-H-UNDP</t>
  </si>
  <si>
    <t>AFG-812-G14-M</t>
  </si>
  <si>
    <t>AFG-809-G10-M</t>
  </si>
  <si>
    <t>AFG-809-G09-M</t>
  </si>
  <si>
    <t>AFG-809-G08-M</t>
  </si>
  <si>
    <t>AFG-809-G07-T</t>
  </si>
  <si>
    <t>AFG-708-G05-H</t>
  </si>
  <si>
    <t>AFG-708-G04-H</t>
  </si>
  <si>
    <t>AFG-509-G06-M</t>
  </si>
  <si>
    <t>AFG-506-G03-M</t>
  </si>
  <si>
    <t>AFG-405-G02-T</t>
  </si>
  <si>
    <t>AFG-202-G01-I-00</t>
  </si>
  <si>
    <t>AFG-012-G13-T</t>
  </si>
  <si>
    <t>AFG-011-G12-T</t>
  </si>
  <si>
    <t>COUNTRY_</t>
  </si>
  <si>
    <t>Prinicipal Recipient</t>
  </si>
  <si>
    <t>Geography name</t>
  </si>
  <si>
    <t>Grant Name</t>
  </si>
  <si>
    <t>XXXXX</t>
  </si>
  <si>
    <t>Grand Total</t>
  </si>
  <si>
    <t>Afghanistan_EUR</t>
  </si>
  <si>
    <t>Afghanistan_USD</t>
  </si>
  <si>
    <t>Africa_EUR</t>
  </si>
  <si>
    <t>Africa_USD</t>
  </si>
  <si>
    <t>Albania_USD</t>
  </si>
  <si>
    <t>Algeria_USD</t>
  </si>
  <si>
    <t>Americas_USD</t>
  </si>
  <si>
    <t>Angola_USD</t>
  </si>
  <si>
    <t>Argentina_USD</t>
  </si>
  <si>
    <t>Armenia_EUR</t>
  </si>
  <si>
    <t>Armenia_USD</t>
  </si>
  <si>
    <t>Asia_USD</t>
  </si>
  <si>
    <t>Azerbaijan_EUR</t>
  </si>
  <si>
    <t>Azerbaijan_USD</t>
  </si>
  <si>
    <t>Bangladesh_USD</t>
  </si>
  <si>
    <t>Belarus_EUR</t>
  </si>
  <si>
    <t>Belarus_USD</t>
  </si>
  <si>
    <t>Belize_USD</t>
  </si>
  <si>
    <t>Benin_EUR</t>
  </si>
  <si>
    <t>Benin_USD</t>
  </si>
  <si>
    <t>Bhutan_USD</t>
  </si>
  <si>
    <t>Botswana_USD</t>
  </si>
  <si>
    <t>Brazil_EUR</t>
  </si>
  <si>
    <t>Brazil_USD</t>
  </si>
  <si>
    <t>Bulgaria_EUR</t>
  </si>
  <si>
    <t>Bulgaria_USD</t>
  </si>
  <si>
    <t>Burundi_USD</t>
  </si>
  <si>
    <t>Cambodia_USD</t>
  </si>
  <si>
    <t>Cameroon_EUR</t>
  </si>
  <si>
    <t>Cameroon_USD</t>
  </si>
  <si>
    <t>Caribbean_USD</t>
  </si>
  <si>
    <t>Chad_EUR</t>
  </si>
  <si>
    <t>Chad_USD</t>
  </si>
  <si>
    <t>Chile_USD</t>
  </si>
  <si>
    <t>China_EUR</t>
  </si>
  <si>
    <t>China_USD</t>
  </si>
  <si>
    <t>Colombia_EUR</t>
  </si>
  <si>
    <t>Colombia_USD</t>
  </si>
  <si>
    <t>Comoros_EUR</t>
  </si>
  <si>
    <t>Comoros_USD</t>
  </si>
  <si>
    <t>Congo_EUR</t>
  </si>
  <si>
    <t>Congo_USD</t>
  </si>
  <si>
    <t>Croatia_USD</t>
  </si>
  <si>
    <t>Cuba_USD</t>
  </si>
  <si>
    <t>Djibouti_EUR</t>
  </si>
  <si>
    <t>Djibouti_USD</t>
  </si>
  <si>
    <t>Ecuador_USD</t>
  </si>
  <si>
    <t>Egypt_USD</t>
  </si>
  <si>
    <t>Eritrea_USD</t>
  </si>
  <si>
    <t>Estonia_USD</t>
  </si>
  <si>
    <t>Eswatini_USD</t>
  </si>
  <si>
    <t>Ethiopia_USD</t>
  </si>
  <si>
    <t>Fiji_USD</t>
  </si>
  <si>
    <t>Gabon_EUR</t>
  </si>
  <si>
    <t>Gabon_USD</t>
  </si>
  <si>
    <t>Gambia_EUR</t>
  </si>
  <si>
    <t>Gambia_USD</t>
  </si>
  <si>
    <t>Georgia_EUR</t>
  </si>
  <si>
    <t>Georgia_USD</t>
  </si>
  <si>
    <t>Ghana_USD</t>
  </si>
  <si>
    <t>Guatemala_USD</t>
  </si>
  <si>
    <t>Guinea_EUR</t>
  </si>
  <si>
    <t>Guinea_USD</t>
  </si>
  <si>
    <t>Guyana_USD</t>
  </si>
  <si>
    <t>Haiti_USD</t>
  </si>
  <si>
    <t>Honduras_USD</t>
  </si>
  <si>
    <t>India_USD</t>
  </si>
  <si>
    <t>Indonesia_USD</t>
  </si>
  <si>
    <t>Iraq_USD</t>
  </si>
  <si>
    <t>Jamaica_USD</t>
  </si>
  <si>
    <t>Jordan_USD</t>
  </si>
  <si>
    <t>Kazakhstan_USD</t>
  </si>
  <si>
    <t>Kenya_USD</t>
  </si>
  <si>
    <t>Kosovo_EUR</t>
  </si>
  <si>
    <t>Kosovo_USD</t>
  </si>
  <si>
    <t>Kyrgyzstan_USD</t>
  </si>
  <si>
    <t>Lesotho_USD</t>
  </si>
  <si>
    <t>Liberia_USD</t>
  </si>
  <si>
    <t>Madagascar_USD</t>
  </si>
  <si>
    <t>Malawi_USD</t>
  </si>
  <si>
    <t>Malaysia_USD</t>
  </si>
  <si>
    <t>Maldives_USD</t>
  </si>
  <si>
    <t>Mali_EUR</t>
  </si>
  <si>
    <t>Mali_USD</t>
  </si>
  <si>
    <t>Mauritania_USD</t>
  </si>
  <si>
    <t>Mauritius_EUR</t>
  </si>
  <si>
    <t>Mauritius_USD</t>
  </si>
  <si>
    <t>Mexico_USD</t>
  </si>
  <si>
    <t>Moldova_EUR</t>
  </si>
  <si>
    <t>Moldova_USD</t>
  </si>
  <si>
    <t>Mongolia_USD</t>
  </si>
  <si>
    <t>Montenegro_EUR</t>
  </si>
  <si>
    <t>Morocco_EUR</t>
  </si>
  <si>
    <t>Morocco_USD</t>
  </si>
  <si>
    <t>Mozambique_USD</t>
  </si>
  <si>
    <t>Myanmar_USD</t>
  </si>
  <si>
    <t>Namibia_USD</t>
  </si>
  <si>
    <t>Nepal_USD</t>
  </si>
  <si>
    <t>Nicaragua_USD</t>
  </si>
  <si>
    <t>Niger_EUR</t>
  </si>
  <si>
    <t>Niger_USD</t>
  </si>
  <si>
    <t>Nigeria_USD</t>
  </si>
  <si>
    <t>Oceania_USD</t>
  </si>
  <si>
    <t>Pakistan_USD</t>
  </si>
  <si>
    <t>Palestine_USD</t>
  </si>
  <si>
    <t>Panama_USD</t>
  </si>
  <si>
    <t>Paraguay_EUR</t>
  </si>
  <si>
    <t>Paraguay_USD</t>
  </si>
  <si>
    <t>Peru_EUR</t>
  </si>
  <si>
    <t>Peru_USD</t>
  </si>
  <si>
    <t>Philippines_EUR</t>
  </si>
  <si>
    <t>Philippines_USD</t>
  </si>
  <si>
    <t>Romania_EUR</t>
  </si>
  <si>
    <t>Romania_USD</t>
  </si>
  <si>
    <t>Rwanda_USD</t>
  </si>
  <si>
    <t>Senegal_EUR</t>
  </si>
  <si>
    <t>Senegal_USD</t>
  </si>
  <si>
    <t>Serbia_EUR</t>
  </si>
  <si>
    <t>Serbia_USD</t>
  </si>
  <si>
    <t>Somalia_USD</t>
  </si>
  <si>
    <t>Sudan_USD</t>
  </si>
  <si>
    <t>Suriname_USD</t>
  </si>
  <si>
    <t>Tajikistan_USD</t>
  </si>
  <si>
    <t>Thailand_USD</t>
  </si>
  <si>
    <t>Togo_EUR</t>
  </si>
  <si>
    <t>Togo_USD</t>
  </si>
  <si>
    <t>Tunisia_USD</t>
  </si>
  <si>
    <t>Turkey_USD</t>
  </si>
  <si>
    <t>Turkmenistan_USD</t>
  </si>
  <si>
    <t>Uganda_USD</t>
  </si>
  <si>
    <t>Ukraine_USD</t>
  </si>
  <si>
    <t>Uruguay_USD</t>
  </si>
  <si>
    <t>Uzbekistan_USD</t>
  </si>
  <si>
    <t>World_EUR</t>
  </si>
  <si>
    <t>World_USD</t>
  </si>
  <si>
    <t>Yemen_USD</t>
  </si>
  <si>
    <t>Zambia_USD</t>
  </si>
  <si>
    <t>Zanzibar_EUR</t>
  </si>
  <si>
    <t>Zanzibar_USD</t>
  </si>
  <si>
    <t>Zimbabwe_USD</t>
  </si>
  <si>
    <t>Bosnia_and_Herzegovina_EUR</t>
  </si>
  <si>
    <t>Bosnia_and_Herzegovina_USD</t>
  </si>
  <si>
    <t>Burkina_Faso_EUR</t>
  </si>
  <si>
    <t>Burkina_Faso_USD</t>
  </si>
  <si>
    <t>Cabo_Verde_EUR</t>
  </si>
  <si>
    <t>Cabo_Verde_USD</t>
  </si>
  <si>
    <t>Central_African_Republic_EUR</t>
  </si>
  <si>
    <t>Central_African_Republic_USD</t>
  </si>
  <si>
    <t>Central_America_USD</t>
  </si>
  <si>
    <t>Costa_Rica_USD</t>
  </si>
  <si>
    <t>Dominican_Republic_USD</t>
  </si>
  <si>
    <t>Eastern_Africa_USD</t>
  </si>
  <si>
    <t>El_Salvador_USD</t>
  </si>
  <si>
    <t>Equatorial_Guinea_USD</t>
  </si>
  <si>
    <t>North_Macedonia_EUR</t>
  </si>
  <si>
    <t>North_Macedonia_USD</t>
  </si>
  <si>
    <t>Papua_New_Guinea_USD</t>
  </si>
  <si>
    <t>Russian_Federation_EUR</t>
  </si>
  <si>
    <t>Russian_Federation_USD</t>
  </si>
  <si>
    <t>Sao_Tome_and_Principe_USD</t>
  </si>
  <si>
    <t>Sierra_Leone_USD</t>
  </si>
  <si>
    <t>Solomon_Islands_USD</t>
  </si>
  <si>
    <t>South_Africa_USD</t>
  </si>
  <si>
    <t>South_America_USD</t>
  </si>
  <si>
    <t>South_Sudan_USD</t>
  </si>
  <si>
    <t>Southern_Asia_USD</t>
  </si>
  <si>
    <t>Southern_Europe_USD</t>
  </si>
  <si>
    <t>Sri_Lanka_USD</t>
  </si>
  <si>
    <t>Syrian_Arab_Republic_USD</t>
  </si>
  <si>
    <t>Viet_Nam_USD</t>
  </si>
  <si>
    <t>Western_Africa_EUR</t>
  </si>
  <si>
    <t>Western_Africa_USD</t>
  </si>
  <si>
    <t>Western_Asia_USD</t>
  </si>
  <si>
    <t>Bolivia__Plurinational_State__USD</t>
  </si>
  <si>
    <t>Congo__Democratic_Republic__USD</t>
  </si>
  <si>
    <t>Iran__Islamic_Republic__USD</t>
  </si>
  <si>
    <t>Korea__Democratic_Peoples_Republic__USD</t>
  </si>
  <si>
    <t>Lao__Peoples_Democratic_Republic__USD</t>
  </si>
  <si>
    <t>Guinea_Bissau_EUR</t>
  </si>
  <si>
    <t>Guinea_Bissau_USD</t>
  </si>
  <si>
    <t>South_Eastern_Asia_USD</t>
  </si>
  <si>
    <t>Timor_Leste_USD</t>
  </si>
  <si>
    <t>C_te_d_Ivoire_EUR</t>
  </si>
  <si>
    <t>C_te_d_Ivoire_USD</t>
  </si>
  <si>
    <t>NR</t>
  </si>
  <si>
    <t>_______</t>
  </si>
  <si>
    <t>_</t>
  </si>
  <si>
    <t>Afghanistan_HIV__</t>
  </si>
  <si>
    <t>Afghanistan_HIV_Ministry_of_Public_Health_of_the_Islamic_Republic_of_Afghanistan_USD</t>
  </si>
  <si>
    <t>Afghanistan_HIV_United_Nations_Development_Programme_USD</t>
  </si>
  <si>
    <t>Afghanistan_HIV_USD</t>
  </si>
  <si>
    <t>Afghanistan_Malaria__</t>
  </si>
  <si>
    <t>Afghanistan_Malaria_United_Nations_Development_Programme_USD</t>
  </si>
  <si>
    <t>Afghanistan_Malaria_USD</t>
  </si>
  <si>
    <t>Afghanistan_Multi__</t>
  </si>
  <si>
    <t>Afghanistan_Multi_United_Nations_Development_Programme_</t>
  </si>
  <si>
    <t>Afghanistan_RSSH_Ministry_of_Public_Health_of_the_Islamic_Republic_of_Afghanistan_USD</t>
  </si>
  <si>
    <t>Afghanistan_RSSH_United_Nations_Development_Programme_USD</t>
  </si>
  <si>
    <t>Afghanistan_RSSH_USD</t>
  </si>
  <si>
    <t>Afghanistan_TB__</t>
  </si>
  <si>
    <t>Afghanistan_TB_Ministry_of_Public_Health_of_the_Islamic_Republic_of_Afghanistan_USD</t>
  </si>
  <si>
    <t>Afghanistan_TB_United_Nations_Development_Programme_USD</t>
  </si>
  <si>
    <t>Afghanistan_TB_USD</t>
  </si>
  <si>
    <t>Africa_HIV_African_Network_for_the_Care_of_Children_Affected_by_HIV_AIDS_USD</t>
  </si>
  <si>
    <t>Africa_HIV_Humanist_Institute_for_Co_operation_with_Developing_Countries_USD</t>
  </si>
  <si>
    <t>Africa_HIV_Southern_African_Development_Community_Secretariat_USD</t>
  </si>
  <si>
    <t>Africa_HIV_United_Nations_Development_Programme_USD</t>
  </si>
  <si>
    <t>Africa_HIV_USD</t>
  </si>
  <si>
    <t>Africa_Malaria_Non_Profit_Association__Southern_Africa_Malaria_Elimination_Eight_Initiative_Sectretariat__USD</t>
  </si>
  <si>
    <t>Africa_Malaria_USD</t>
  </si>
  <si>
    <t>Africa_Multi_Intergovernmental_Authority_on_Development_USD</t>
  </si>
  <si>
    <t>Africa_Multi_USD</t>
  </si>
  <si>
    <t>Africa_TB_East__Central_and_Southern_Africa_Health_Community_USD</t>
  </si>
  <si>
    <t>Africa_TB_EUR</t>
  </si>
  <si>
    <t>Africa_TB_USD</t>
  </si>
  <si>
    <t>Africa_TB_Wits_Health_Consortium__Pty__Ltd_USD</t>
  </si>
  <si>
    <t>Albania_Multi_Ministry_of_Health_of_the_Republic_of_Albania_USD</t>
  </si>
  <si>
    <t>Albania_Multi_USD</t>
  </si>
  <si>
    <t>Algeria_HIV_USD</t>
  </si>
  <si>
    <t>Americas_HIV_Caribbean_Community_Secretariat_USD</t>
  </si>
  <si>
    <t>Americas_HIV_Caribbean_Vulnerable_Communities_Coalition_USD</t>
  </si>
  <si>
    <t>Americas_HIV_Humanist_Institute_for_Co_operation_with_Developing_Countries_USD</t>
  </si>
  <si>
    <t>Americas_HIV_International_Organization_for_Migration_USD</t>
  </si>
  <si>
    <t>Americas_HIV_United_Nations_Development_Programme_USD</t>
  </si>
  <si>
    <t>Americas_HIV_USD</t>
  </si>
  <si>
    <t>Americas_Malaria_Inter_American_Bank_USD</t>
  </si>
  <si>
    <t>Americas_Malaria_Population_Services_International_USD</t>
  </si>
  <si>
    <t>Americas_Malaria_USD</t>
  </si>
  <si>
    <t>Americas_TB_Partners_In_Health_USD</t>
  </si>
  <si>
    <t>Americas_TB_USD</t>
  </si>
  <si>
    <t>Angola_HIV__</t>
  </si>
  <si>
    <t>Angola_HIV_United_Nations_Development_Programme_USD</t>
  </si>
  <si>
    <t>Angola_HIV_USD</t>
  </si>
  <si>
    <t>Angola_Malaria_Ministry_of_Health_of_the_Republic_of_Angola_USD</t>
  </si>
  <si>
    <t>Angola_Malaria_USD</t>
  </si>
  <si>
    <t>Angola_Malaria_World_Vision_International_USD</t>
  </si>
  <si>
    <t>Angola_Multi__</t>
  </si>
  <si>
    <t>Angola_RSSH__</t>
  </si>
  <si>
    <t>Angola_TB_Ministry_of_Health_of_the_Republic_of_Angola_USD</t>
  </si>
  <si>
    <t>Angola_TB_USD</t>
  </si>
  <si>
    <t>Armenia_HIV_EUR</t>
  </si>
  <si>
    <t>Armenia_HIV_Ministry_of_Health_of_the_Republic_of_Armenia_EUR</t>
  </si>
  <si>
    <t>Armenia_HIV_Ministry_of_Health_of_the_Republic_of_Armenia_USD</t>
  </si>
  <si>
    <t>Armenia_HIV_Mission_East_USD</t>
  </si>
  <si>
    <t>Armenia_HIV_USD</t>
  </si>
  <si>
    <t>Armenia_Multi_Ministry_of_Health_of_the_Republic_of_Armenia_USD</t>
  </si>
  <si>
    <t>Armenia_Multi_USD</t>
  </si>
  <si>
    <t>Armenia_TB__</t>
  </si>
  <si>
    <t>Armenia_TB_Ministry_of_Health_of_the_Republic_of_Armenia_USD</t>
  </si>
  <si>
    <t>Armenia_TB_USD</t>
  </si>
  <si>
    <t>Asia_HIV_India_HIV_AIDS_Alliance_USD</t>
  </si>
  <si>
    <t>Asia_HIV_USD</t>
  </si>
  <si>
    <t>Azerbaijan_HIV__</t>
  </si>
  <si>
    <t>Azerbaijan_HIV_EUR</t>
  </si>
  <si>
    <t>Azerbaijan_HIV_Ministry_of_Health_of_the_Republic_of_Azerbaijan_EUR</t>
  </si>
  <si>
    <t>Azerbaijan_HIV_Ministry_of_Health_of_the_Republic_of_Azerbaijan_USD</t>
  </si>
  <si>
    <t>Azerbaijan_HIV_USD</t>
  </si>
  <si>
    <t>Azerbaijan_Multi__</t>
  </si>
  <si>
    <t>Azerbaijan_TB__</t>
  </si>
  <si>
    <t>Azerbaijan_TB_EUR</t>
  </si>
  <si>
    <t>Azerbaijan_TB_Main_Medical_Department_of_the_Ministry_of_Justice_of_the_Republic_of_Azerbaijan_EUR</t>
  </si>
  <si>
    <t>Azerbaijan_TB_Ministry_of_Health_of_the_Republic_of_Azerbaijan_EUR</t>
  </si>
  <si>
    <t>Azerbaijan_TB_Ministry_of_Health_of_the_Republic_of_Azerbaijan_USD</t>
  </si>
  <si>
    <t>Azerbaijan_TB_USD</t>
  </si>
  <si>
    <t>Bangladesh_HIV__</t>
  </si>
  <si>
    <t>Bangladesh_HIV_Economic_Relations_Division__Ministry_of_Finance_of_the_People_s_Republic_of_Bangladesh_USD</t>
  </si>
  <si>
    <t>Bangladesh_HIV_International_Centre_for_Diarrhoeal_Disease_Research_of_the_People_s_Republic_of_Bangladesh_USD</t>
  </si>
  <si>
    <t>Bangladesh_HIV_USD</t>
  </si>
  <si>
    <t>Bangladesh_Malaria__</t>
  </si>
  <si>
    <t>Bangladesh_Malaria_BRAC_USD</t>
  </si>
  <si>
    <t>Bangladesh_Malaria_Economic_Relations_Division__Ministry_of_Finance_of_the_People_s_Republic_of_Bangladesh_USD</t>
  </si>
  <si>
    <t>Bangladesh_Malaria_USD</t>
  </si>
  <si>
    <t>Bangladesh_TB__</t>
  </si>
  <si>
    <t>Bangladesh_TB_BRAC_USD</t>
  </si>
  <si>
    <t>Bangladesh_TB_Economic_Relations_Division__Ministry_of_Finance_of_the_People_s_Republic_of_Bangladesh_USD</t>
  </si>
  <si>
    <t>Bangladesh_TB_USD</t>
  </si>
  <si>
    <t>Belarus_HIV__</t>
  </si>
  <si>
    <t>Belarus_HIV_Republican_Scientific_and_Practical_Center_for_Medical_Technologies__Informatization__Administration_and_Management_of_Health_USD</t>
  </si>
  <si>
    <t>Belarus_HIV_United_Nations_Development_Programme_USD</t>
  </si>
  <si>
    <t>Belarus_HIV_USD</t>
  </si>
  <si>
    <t>Belarus_Multi__</t>
  </si>
  <si>
    <t>Belarus_Multi_Republican_Scientific_and_Practical_Center_for_Medical_Technologies__Informatization__Administration_and_Management_of_Health_USD</t>
  </si>
  <si>
    <t>Belarus_Multi_USD</t>
  </si>
  <si>
    <t>Belarus_TB__</t>
  </si>
  <si>
    <t>Belarus_TB_Republican_Scientific_and_Practical_Center_for_Medical_Technologies__Informatization__Administration_and_Management_of_Health_USD</t>
  </si>
  <si>
    <t>Belarus_TB_United_Nations_Development_Programme_USD</t>
  </si>
  <si>
    <t>Belarus_TB_USD</t>
  </si>
  <si>
    <t>Belize_HIV_United_Nations_Development_Programme_USD</t>
  </si>
  <si>
    <t>Belize_HIV_USD</t>
  </si>
  <si>
    <t>Belize_Multi_United_Nations_Development_Programme_USD</t>
  </si>
  <si>
    <t>Belize_Multi_USD</t>
  </si>
  <si>
    <t>Benin_HIV_EUR</t>
  </si>
  <si>
    <t>Benin_Malaria__</t>
  </si>
  <si>
    <t>Benin_Malaria_Africare_USD</t>
  </si>
  <si>
    <t>Benin_Malaria_Catholic_Relief_Services___United_States_Conference_of_Catholic_Bishops_EUR</t>
  </si>
  <si>
    <t>Benin_Malaria_EUR</t>
  </si>
  <si>
    <t>Benin_Malaria_USD</t>
  </si>
  <si>
    <t>Benin_RSSH__</t>
  </si>
  <si>
    <t>Benin_RSSH_EUR</t>
  </si>
  <si>
    <t>Benin_RSSH_Health_System_Performance_Program_EUR</t>
  </si>
  <si>
    <t>Benin_TB_EUR</t>
  </si>
  <si>
    <t>Bhutan_HIV_Ministry_of_Health_of_the_Royal_Government_of_Bhutan_USD</t>
  </si>
  <si>
    <t>Bhutan_HIV_USD</t>
  </si>
  <si>
    <t>Bhutan_Malaria_Ministry_of_Health_of_the_Royal_Government_of_Bhutan_USD</t>
  </si>
  <si>
    <t>Bhutan_Malaria_USD</t>
  </si>
  <si>
    <t>Bhutan_Multi__</t>
  </si>
  <si>
    <t>Bhutan_TB_Ministry_of_Health_of_the_Royal_Government_of_Bhutan_USD</t>
  </si>
  <si>
    <t>Bhutan_TB_USD</t>
  </si>
  <si>
    <t>Bolivia__Plurinational_State__HIV_Humanist_Institute_for_Co_operation_with_Developing_Countries_USD</t>
  </si>
  <si>
    <t>Bolivia__Plurinational_State__HIV_USD</t>
  </si>
  <si>
    <t>Bolivia__Plurinational_State__Malaria_United_Nations_Development_Programme_USD</t>
  </si>
  <si>
    <t>Bolivia__Plurinational_State__Malaria_USD</t>
  </si>
  <si>
    <t>Bolivia__Plurinational_State__TB_United_Nations_Development_Programme_USD</t>
  </si>
  <si>
    <t>Bolivia__Plurinational_State__TB_USD</t>
  </si>
  <si>
    <t>Bosnia_and_Herzegovina_HIV_EUR</t>
  </si>
  <si>
    <t>Bosnia_and_Herzegovina_HIV_United_Nations_Development_Programme_EUR</t>
  </si>
  <si>
    <t>Bosnia_and_Herzegovina_TB_United_Nations_Development_Programme_USD</t>
  </si>
  <si>
    <t>Bosnia_and_Herzegovina_TB_USD</t>
  </si>
  <si>
    <t>Botswana_Malaria_Ministry_of_Health_of_the_Republic_of_Botswana_USD</t>
  </si>
  <si>
    <t>Botswana_Malaria_USD</t>
  </si>
  <si>
    <t>Botswana_Multi_African_Comprehensive_HIV_AIDS_Partnerships_USD</t>
  </si>
  <si>
    <t>Botswana_Multi_Ministry_of_Health_of_the_Republic_of_Botswana_USD</t>
  </si>
  <si>
    <t>Botswana_Multi_USD</t>
  </si>
  <si>
    <t>Bulgaria_HIV_Ministry_of_Health_of_the_Republic_of_Bulgaria_USD</t>
  </si>
  <si>
    <t>Bulgaria_HIV_USD</t>
  </si>
  <si>
    <t>Bulgaria_TB_EUR</t>
  </si>
  <si>
    <t>Bulgaria_TB_Ministry_of_Health_of_the_Republic_of_Bulgaria_EUR</t>
  </si>
  <si>
    <t>Burkina_Faso_HIV_EUR</t>
  </si>
  <si>
    <t>Burkina_Faso_Malaria__</t>
  </si>
  <si>
    <t>Burkina_Faso_Malaria_EUR</t>
  </si>
  <si>
    <t>Burkina_Faso_Multi_EUR</t>
  </si>
  <si>
    <t>Burkina_Faso_RSSH_EUR</t>
  </si>
  <si>
    <t>Burkina_Faso_TB_EUR</t>
  </si>
  <si>
    <t>Burundi_HIV_Ministry_of_Public_Health_and_Fight_against_AIDS_of_the_Republic_of_Burundi_USD</t>
  </si>
  <si>
    <t>Burundi_HIV_USD</t>
  </si>
  <si>
    <t>Burundi_Malaria__</t>
  </si>
  <si>
    <t>Burundi_Malaria_CED_Caritas_USD</t>
  </si>
  <si>
    <t>Burundi_Malaria_Ministry_of_Public_Health_and_Fight_against_AIDS_of_the_Republic_of_Burundi_USD</t>
  </si>
  <si>
    <t>Burundi_Malaria_United_Nations_Development_Programme_USD</t>
  </si>
  <si>
    <t>Burundi_Malaria_USD</t>
  </si>
  <si>
    <t>Burundi_Multi__</t>
  </si>
  <si>
    <t>Burundi_Multi_Red_Cross_Burundi_USD</t>
  </si>
  <si>
    <t>Burundi_Multi_United_Nations_Development_Programme_USD</t>
  </si>
  <si>
    <t>Burundi_Multi_USD</t>
  </si>
  <si>
    <t>Burundi_TB_Ministry_of_Public_Health_and_Fight_against_AIDS_of_the_Republic_of_Burundi_USD</t>
  </si>
  <si>
    <t>Burundi_TB_National_Integrated_Programme_Against_Leprosy_and_Tuberculosis_USD</t>
  </si>
  <si>
    <t>Burundi_TB_USD</t>
  </si>
  <si>
    <t>C_te_d_Ivoire_HIV__</t>
  </si>
  <si>
    <t>C_te_d_Ivoire_HIV_Alliance_Nationale_Contre_Le_Sida_en_Cote_D_Ivoire_EUR</t>
  </si>
  <si>
    <t>C_te_d_Ivoire_HIV_EUR</t>
  </si>
  <si>
    <t>C_te_d_Ivoire_Malaria__</t>
  </si>
  <si>
    <t>C_te_d_Ivoire_Malaria_CARE_International_EUR</t>
  </si>
  <si>
    <t>C_te_d_Ivoire_Malaria_EUR</t>
  </si>
  <si>
    <t>C_te_d_Ivoire_Malaria_Ministry_of_Health_and_Public_Hygiene_of_the_Republic_of_C_te_d_Ivoire_EUR</t>
  </si>
  <si>
    <t>C_te_d_Ivoire_Malaria_Programme_National_de_Lutte_contre_le_Paludisme_EUR</t>
  </si>
  <si>
    <t>C_te_d_Ivoire_TB__</t>
  </si>
  <si>
    <t>C_te_d_Ivoire_TB_Alliance_Nationale_Contre_Le_Sida_en_Cote_D_Ivoire_EUR</t>
  </si>
  <si>
    <t>C_te_d_Ivoire_TB_Caritas_C_te_d_Ivoire_EUR</t>
  </si>
  <si>
    <t>C_te_d_Ivoire_TB_EUR</t>
  </si>
  <si>
    <t>C_te_d_Ivoire_TB_Ministry_of_Health_and_Public_Hygiene_of_the_Republic_of_C_te_d_Ivoire_EUR</t>
  </si>
  <si>
    <t>Cabo_Verde_HIV_Cape_Verde_Non_Governmental_Organisations_Platform_USD</t>
  </si>
  <si>
    <t>Cabo_Verde_HIV_Coordination_Committee_of_the_Fight_against_AIDS_of_Cabo_Verde_USD</t>
  </si>
  <si>
    <t>Cabo_Verde_HIV_USD</t>
  </si>
  <si>
    <t>Cabo_Verde_Malaria_Coordination_Committee_of_the_Fight_against_AIDS_of_Cabo_Verde_EUR</t>
  </si>
  <si>
    <t>Cabo_Verde_Malaria_EUR</t>
  </si>
  <si>
    <t>Cabo_Verde_Multi_Coordination_Committee_of_the_Fight_against_AIDS_of_Cabo_Verde_EUR</t>
  </si>
  <si>
    <t>Cabo_Verde_Multi_EUR</t>
  </si>
  <si>
    <t>Cambodia_HIV_National_Center_for_HIV_AIDS__Dermatology_and_STI_USD</t>
  </si>
  <si>
    <t>Cambodia_HIV_USD</t>
  </si>
  <si>
    <t>Cambodia_Malaria_United_Nations_Office_for_Project_Services_USD</t>
  </si>
  <si>
    <t>Cambodia_Malaria_USD</t>
  </si>
  <si>
    <t>Cambodia_Multi__</t>
  </si>
  <si>
    <t>Cambodia_RSSH_Ministry_of_Health_of_the_Kingdom_of_Cambodia_USD</t>
  </si>
  <si>
    <t>Cambodia_RSSH_USD</t>
  </si>
  <si>
    <t>Cambodia_TB__</t>
  </si>
  <si>
    <t>Cambodia_TB_National_Center_for_Tuberculosis_and_Leprosy_Control_USD</t>
  </si>
  <si>
    <t>Cambodia_TB_USD</t>
  </si>
  <si>
    <t>Cameroon_HIV__</t>
  </si>
  <si>
    <t>Cameroon_HIV_Cameroon_National_Association_for_Family_Welfare_EUR</t>
  </si>
  <si>
    <t>Cameroon_HIV_EUR</t>
  </si>
  <si>
    <t>Cameroon_HIV_Ministry_of_Public_Health_of_the_Republic_of_Cameroon_EUR</t>
  </si>
  <si>
    <t>Cameroon_Malaria__</t>
  </si>
  <si>
    <t>Cameroon_Malaria_EUR</t>
  </si>
  <si>
    <t>Cameroon_Malaria_Ministry_of_Public_Health_of_the_Republic_of_Cameroon_EUR</t>
  </si>
  <si>
    <t>Cameroon_Multi__</t>
  </si>
  <si>
    <t>Cameroon_TB__</t>
  </si>
  <si>
    <t>Cameroon_TB_EUR</t>
  </si>
  <si>
    <t>Cameroon_TB_Ministry_of_Public_Health_of_the_Republic_of_Cameroon_EUR</t>
  </si>
  <si>
    <t>Caribbean_Multi_Organisation_of_Eastern_Caribbean_States_USD</t>
  </si>
  <si>
    <t>Caribbean_Multi_USD</t>
  </si>
  <si>
    <t>Central_African_Republic_Malaria__</t>
  </si>
  <si>
    <t>Central_African_Republic_Malaria_EUR</t>
  </si>
  <si>
    <t>Central_African_Republic_Malaria_The_International_Federation_of_Red_Cross_and_Red_Crescent_Societies_EUR</t>
  </si>
  <si>
    <t>Central_African_Republic_Malaria_World_Vision_International__CAR_Branch_office__EUR</t>
  </si>
  <si>
    <t>Central_African_Republic_Multi__</t>
  </si>
  <si>
    <t>Central_African_Republic_Multi_EUR</t>
  </si>
  <si>
    <t>Central_African_Republic_Multi_The_International_Federation_of_Red_Cross_and_Red_Crescent_Societies_EUR</t>
  </si>
  <si>
    <t>Central_African_Republic_TB_EUR</t>
  </si>
  <si>
    <t>Central_African_Republic_TB_The_Ministry_of_Public_Heath__Population_and_the_Fight_Against_HIV_AIDS_of_the_Central_African_Republic_EUR</t>
  </si>
  <si>
    <t>Central_America_HIV_USD</t>
  </si>
  <si>
    <t>Chad_HIV__</t>
  </si>
  <si>
    <t>Chad_HIV_EUR</t>
  </si>
  <si>
    <t>Chad_HIV_Ministry_of_Public_Health_Chad_EUR</t>
  </si>
  <si>
    <t>Chad_Malaria__</t>
  </si>
  <si>
    <t>Chad_Malaria_EUR</t>
  </si>
  <si>
    <t>Chad_Malaria_United_Nations_Development_Programme_EUR</t>
  </si>
  <si>
    <t>Chad_Multi__</t>
  </si>
  <si>
    <t>Chad_RSSH__</t>
  </si>
  <si>
    <t>Chad_TB_EUR</t>
  </si>
  <si>
    <t>Chad_TB_Ministry_of_Public_Health_Chad_EUR</t>
  </si>
  <si>
    <t>Colombia_HIV_Cooperative_Housing_Foundation_EUR</t>
  </si>
  <si>
    <t>Colombia_HIV_EUR</t>
  </si>
  <si>
    <t>Colombia_HIV_Fondo_Financiero_de_Proyectos_de_Desarrollo_USD</t>
  </si>
  <si>
    <t>Colombia_HIV_Sociedad_Nacional_de_la_Cruz_Roja_Colombiana_USD</t>
  </si>
  <si>
    <t>Colombia_HIV_USD</t>
  </si>
  <si>
    <t>Colombia_TB_Fondo_Financiero_de_Proyectos_de_Desarrollo_USD</t>
  </si>
  <si>
    <t>Colombia_TB_International_Organization_for_Migration_USD</t>
  </si>
  <si>
    <t>Colombia_TB_USD</t>
  </si>
  <si>
    <t>Comoros_HIV_EUR</t>
  </si>
  <si>
    <t>Comoros_HIV_Ministry_of_Health__Solidarity_and_Gender_Promotion_of_the_Union_of_the_Comoros_EUR</t>
  </si>
  <si>
    <t>Comoros_Malaria__</t>
  </si>
  <si>
    <t>Comoros_Malaria_Association_Comorienne_pour_le_Bien_Être_de_la_Famille_EUR</t>
  </si>
  <si>
    <t>Comoros_Malaria_EUR</t>
  </si>
  <si>
    <t>Comoros_Malaria_Ministry_of_Health__Solidarity_and_Gender_Promotion_of_the_Union_of_the_Comoros_EUR</t>
  </si>
  <si>
    <t>Comoros_TB_Association_Comorienne_pour_le_Bien_Être_de_la_Famille_EUR</t>
  </si>
  <si>
    <t>Comoros_TB_EUR</t>
  </si>
  <si>
    <t>Comoros_TB_Programme_National_de_Lutte_contre_la_Tuberculose_et_la_Lepre_EUR</t>
  </si>
  <si>
    <t>Congo__Democratic_Republic__HIV_Ministry_of_Health_and_Population_of_the_Democratic_Republic_of_Congo_USD</t>
  </si>
  <si>
    <t>Congo__Democratic_Republic__HIV_SANRU_Asbl_USD</t>
  </si>
  <si>
    <t>Congo__Democratic_Republic__HIV_Stichting_Cordaid_USD</t>
  </si>
  <si>
    <t>Congo__Democratic_Republic__HIV_USD</t>
  </si>
  <si>
    <t>Congo__Democratic_Republic__Malaria_Ministry_of_Health_and_Population_of_the_Democratic_Republic_of_Congo_USD</t>
  </si>
  <si>
    <t>Congo__Democratic_Republic__Malaria_Population_Services_International_USD</t>
  </si>
  <si>
    <t>Congo__Democratic_Republic__Malaria_SANRU_Asbl_USD</t>
  </si>
  <si>
    <t>Congo__Democratic_Republic__Malaria_USD</t>
  </si>
  <si>
    <t>Congo__Democratic_Republic__Multi__</t>
  </si>
  <si>
    <t>Congo__Democratic_Republic__RSSH_Ministry_of_Health_and_Population_of_the_Democratic_Republic_of_Congo_USD</t>
  </si>
  <si>
    <t>Congo__Democratic_Republic__RSSH_USD</t>
  </si>
  <si>
    <t>Congo__Democratic_Republic__TB_Caritas__Congo_ASBL_USD</t>
  </si>
  <si>
    <t>Congo__Democratic_Republic__TB_Ministry_of_Health_and_Population_of_the_Democratic_Republic_of_Congo_USD</t>
  </si>
  <si>
    <t>Congo__Democratic_Republic__TB_USD</t>
  </si>
  <si>
    <t>Congo_HIV__</t>
  </si>
  <si>
    <t>Congo_HIV_EUR</t>
  </si>
  <si>
    <t>Congo_Malaria__</t>
  </si>
  <si>
    <t>Congo_Multi__</t>
  </si>
  <si>
    <t>Congo_Multi_EUR</t>
  </si>
  <si>
    <t>Congo_TB__</t>
  </si>
  <si>
    <t>Congo_TB_EUR</t>
  </si>
  <si>
    <t>Congo_TB_Ministry_of_Health_and_Population_of_the_Government_of_the_Republic_of_Congo_EUR</t>
  </si>
  <si>
    <t>Costa_Rica_HIV__</t>
  </si>
  <si>
    <t>Costa_Rica_HIV_Humanist_Institute_for_Co_operation_with_Developing_Countries_USD</t>
  </si>
  <si>
    <t>Costa_Rica_HIV_USD</t>
  </si>
  <si>
    <t>Cuba_HIV__</t>
  </si>
  <si>
    <t>Cuba_HIV_United_Nations_Development_Programme_USD</t>
  </si>
  <si>
    <t>Cuba_HIV_USD</t>
  </si>
  <si>
    <t>Djibouti_HIV_United_Nations_Development_Programme_USD</t>
  </si>
  <si>
    <t>Djibouti_HIV_USD</t>
  </si>
  <si>
    <t>Djibouti_Malaria__</t>
  </si>
  <si>
    <t>Djibouti_Malaria_United_Nations_Development_Programme_USD</t>
  </si>
  <si>
    <t>Djibouti_Malaria_USD</t>
  </si>
  <si>
    <t>Djibouti_Multi__</t>
  </si>
  <si>
    <t>Djibouti_Multi_United_Nations_Development_Programme_USD</t>
  </si>
  <si>
    <t>Djibouti_Multi_USD</t>
  </si>
  <si>
    <t>Djibouti_TB_EUR</t>
  </si>
  <si>
    <t>Djibouti_TB_United_Nations_Development_Programme_EUR</t>
  </si>
  <si>
    <t>Dominican_Republic_HIV_Consejo_Nacional_para_el_VIH_y_el_SIDA_USD</t>
  </si>
  <si>
    <t>Dominican_Republic_HIV_USD</t>
  </si>
  <si>
    <t>Dominican_Republic_TB_Ministry_of_Public_Health_and_Social_Assistance_of_the_Dominican_Republic_USD</t>
  </si>
  <si>
    <t>Dominican_Republic_TB_USD</t>
  </si>
  <si>
    <t>Eastern_Africa_HIV_Kenya_AIDS_NGOs_Consortium_USD</t>
  </si>
  <si>
    <t>Eastern_Africa_HIV_USD</t>
  </si>
  <si>
    <t>Eastern_Africa_TB_Intergovernmental_Authority_on_Development_USD</t>
  </si>
  <si>
    <t>Eastern_Africa_TB_USD</t>
  </si>
  <si>
    <t>Ecuador_HIV_CARE_International_USD</t>
  </si>
  <si>
    <t>Ecuador_HIV_Ministry_of_Public_Health_of_the_Republic_of_Ecuador_USD</t>
  </si>
  <si>
    <t>Ecuador_HIV_USD</t>
  </si>
  <si>
    <t>Ecuador_Malaria_Technical_Management_Unit_of_the_Ministry_of_Public_Health_of_the_Republic_of_Ecuador_USD</t>
  </si>
  <si>
    <t>Ecuador_Malaria_USD</t>
  </si>
  <si>
    <t>Ecuador_TB_CARE_International_USD</t>
  </si>
  <si>
    <t>Ecuador_TB_Ministry_of_Public_Health_of_the_Republic_of_Ecuador_USD</t>
  </si>
  <si>
    <t>Ecuador_TB_USD</t>
  </si>
  <si>
    <t>Egypt_HIV_The_Ministry_of_Health_and_Population_of_Egypt_USD</t>
  </si>
  <si>
    <t>Egypt_HIV_USD</t>
  </si>
  <si>
    <t>Egypt_Multi_United_Nations_Development_Programme_USD</t>
  </si>
  <si>
    <t>Egypt_Multi_USD</t>
  </si>
  <si>
    <t>Egypt_TB_The_Ministry_of_Health_and_Population_of_Egypt_USD</t>
  </si>
  <si>
    <t>Egypt_TB_USD</t>
  </si>
  <si>
    <t>El_Salvador_HIV_Ministry_of_Health_of_the_Republic_of_El_Salvador_USD</t>
  </si>
  <si>
    <t>El_Salvador_HIV_USD</t>
  </si>
  <si>
    <t>El_Salvador_Malaria_Ministry_of_Health_of_the_Republic_of_El_Salvador_USD</t>
  </si>
  <si>
    <t>El_Salvador_Malaria_USD</t>
  </si>
  <si>
    <t>El_Salvador_TB_Ministry_of_Health_of_the_Republic_of_El_Salvador_USD</t>
  </si>
  <si>
    <t>El_Salvador_TB_USD</t>
  </si>
  <si>
    <t>Eritrea_HIV__</t>
  </si>
  <si>
    <t>Eritrea_HIV_Ministry_of_Health_of_the_State_of_Eritrea_USD</t>
  </si>
  <si>
    <t>Eritrea_HIV_USD</t>
  </si>
  <si>
    <t>Eritrea_Malaria__</t>
  </si>
  <si>
    <t>Eritrea_Malaria_Ministry_of_Health_of_the_State_of_Eritrea_USD</t>
  </si>
  <si>
    <t>Eritrea_Malaria_USD</t>
  </si>
  <si>
    <t>Eritrea_TB__</t>
  </si>
  <si>
    <t>Eritrea_TB_Ministry_of_Health_of_the_State_of_Eritrea_USD</t>
  </si>
  <si>
    <t>Eritrea_TB_USD</t>
  </si>
  <si>
    <t>Eswatini_HIV_Coordinating_Assembly_of_Non_Governmental_Organisation_USD</t>
  </si>
  <si>
    <t>Eswatini_HIV_National_Emergency_Response_Council_on_HIV_and_AIDS_USD</t>
  </si>
  <si>
    <t>Eswatini_HIV_USD</t>
  </si>
  <si>
    <t>Eswatini_Malaria__</t>
  </si>
  <si>
    <t>Eswatini_Malaria_National_Emergency_Response_Council_on_HIV_and_AIDS_USD</t>
  </si>
  <si>
    <t>Eswatini_Malaria_USD</t>
  </si>
  <si>
    <t>Eswatini_Multi__</t>
  </si>
  <si>
    <t>Eswatini_TB_National_Emergency_Response_Council_on_HIV_and_AIDS_USD</t>
  </si>
  <si>
    <t>Eswatini_TB_USD</t>
  </si>
  <si>
    <t>Ethiopia_HIV__</t>
  </si>
  <si>
    <t>Ethiopia_HIV_HIV_AIDS_Prevention_and_Control_Office_USD</t>
  </si>
  <si>
    <t>Ethiopia_HIV_USD</t>
  </si>
  <si>
    <t>Ethiopia_Malaria_Federal_Ministry_of_Health_of_the_Federal_Democratic_Republic_of_Ethiopia_USD</t>
  </si>
  <si>
    <t>Ethiopia_Malaria_UNICEF_Ethiopia_USD</t>
  </si>
  <si>
    <t>Ethiopia_Malaria_USD</t>
  </si>
  <si>
    <t>Ethiopia_RSSH_Federal_Ministry_of_Health_of_the_Federal_Democratic_Republic_of_Ethiopia_USD</t>
  </si>
  <si>
    <t>Ethiopia_RSSH_USD</t>
  </si>
  <si>
    <t>Ethiopia_TB__</t>
  </si>
  <si>
    <t>Ethiopia_TB_Federal_Ministry_of_Health_of_the_Federal_Democratic_Republic_of_Ethiopia_USD</t>
  </si>
  <si>
    <t>Ethiopia_TB_USD</t>
  </si>
  <si>
    <t>Fiji_TB_Ministry_of_Health_and_Medical_Services_of_the_Republic_of_Fiji_USD</t>
  </si>
  <si>
    <t>Fiji_TB_USD</t>
  </si>
  <si>
    <t>Gabon_TB_EUR</t>
  </si>
  <si>
    <t>Gabon_TB_Ministry_of_Health__Social_Welfare_and_National_Solidarity_of_the_Gabonese_Republic_EUR</t>
  </si>
  <si>
    <t>Gambia_HIV_ActionAid_International_The_Gambia_EUR</t>
  </si>
  <si>
    <t>Gambia_HIV_ActionAid_International_The_Gambia_USD</t>
  </si>
  <si>
    <t>Gambia_HIV_EUR</t>
  </si>
  <si>
    <t>Gambia_HIV_The_National_AIDS_Secretariat_of_the_Republic_of_The_Gambia_EUR</t>
  </si>
  <si>
    <t>Gambia_HIV_The_National_AIDS_Secretariat_of_the_Republic_of_The_Gambia_USD</t>
  </si>
  <si>
    <t>Gambia_HIV_USD</t>
  </si>
  <si>
    <t>Gambia_Malaria_Catholic_Relief_Services___United_States_Conference_of_Catholic_Bishops_USD</t>
  </si>
  <si>
    <t>Gambia_Malaria_Ministry_of_Health_and_Social_Welfare_of_the_Republic_of_Gambia_USD</t>
  </si>
  <si>
    <t>Gambia_Malaria_USD</t>
  </si>
  <si>
    <t>Gambia_Multi_ActionAid_International_The_Gambia_USD</t>
  </si>
  <si>
    <t>Gambia_Multi_The_National_AIDS_Secretariat_of_the_Republic_of_The_Gambia_USD</t>
  </si>
  <si>
    <t>Gambia_Multi_USD</t>
  </si>
  <si>
    <t>Gambia_TB_Medical_Research_Council__UK__USD</t>
  </si>
  <si>
    <t>Gambia_TB_Ministry_of_Health_and_Social_Welfare_of_the_Republic_of_Gambia_USD</t>
  </si>
  <si>
    <t>Gambia_TB_USD</t>
  </si>
  <si>
    <t>Georgia_HIV_National_Center_For_Disease_Control_and_Public_Health_USD</t>
  </si>
  <si>
    <t>Georgia_HIV_USD</t>
  </si>
  <si>
    <t>Georgia_TB_National_Center_For_Disease_Control_and_Public_Health_USD</t>
  </si>
  <si>
    <t>Georgia_TB_USD</t>
  </si>
  <si>
    <t>Ghana_HIV_Adventist_Development_and_Relief_Agency_of_Ghana_USD</t>
  </si>
  <si>
    <t>Ghana_HIV_Ghana_AIDS_Commission_USD</t>
  </si>
  <si>
    <t>Ghana_HIV_Ministry_of_Health_of_the_Republic_of_Ghana_USD</t>
  </si>
  <si>
    <t>Ghana_HIV_Planned_Parenthood_Association_of_Ghana_USD</t>
  </si>
  <si>
    <t>Ghana_HIV_USD</t>
  </si>
  <si>
    <t>Ghana_Malaria__</t>
  </si>
  <si>
    <t>Ghana_Malaria_AngloGold_Ashanti__Ghana__Malaria_Control_Limited_USD</t>
  </si>
  <si>
    <t>Ghana_Malaria_Ministry_of_Health_of_the_Republic_of_Ghana_USD</t>
  </si>
  <si>
    <t>Ghana_Malaria_USD</t>
  </si>
  <si>
    <t>Ghana_Multi__</t>
  </si>
  <si>
    <t>Ghana_RSSH__</t>
  </si>
  <si>
    <t>Ghana_TB_Ministry_of_Health_of_the_Republic_of_Ghana_USD</t>
  </si>
  <si>
    <t>Ghana_TB_USD</t>
  </si>
  <si>
    <t>Guatemala_HIV__</t>
  </si>
  <si>
    <t>Guatemala_HIV_Humanist_Institute_for_Co_operation_with_Developing_Countries_USD</t>
  </si>
  <si>
    <t>Guatemala_HIV_Ministry_of_Health_and_Social_Assistance_of_the_Republic_of_Guatemala_USD</t>
  </si>
  <si>
    <t>Guatemala_HIV_USD</t>
  </si>
  <si>
    <t>Guatemala_Malaria__</t>
  </si>
  <si>
    <t>Guatemala_Malaria_Ministry_of_Health_and_Social_Assistance_of_the_Republic_of_Guatemala_USD</t>
  </si>
  <si>
    <t>Guatemala_Malaria_USD</t>
  </si>
  <si>
    <t>Guatemala_TB_Ministry_of_Health_and_Social_Assistance_of_the_Republic_of_Guatemala_USD</t>
  </si>
  <si>
    <t>Guatemala_TB_USD</t>
  </si>
  <si>
    <t>Guinea_Bissau_HIV_EUR</t>
  </si>
  <si>
    <t>Guinea_Bissau_HIV_National_Secretariat_to_Fight_AIDS_of_Guinea_Bissau_EUR</t>
  </si>
  <si>
    <t>Guinea_Bissau_HIV_National_Secretariat_to_Fight_AIDS_of_Guinea_Bissau_USD</t>
  </si>
  <si>
    <t>Guinea_Bissau_HIV_USD</t>
  </si>
  <si>
    <t>Guinea_Bissau_Malaria__</t>
  </si>
  <si>
    <t>Guinea_Bissau_Malaria_EUR</t>
  </si>
  <si>
    <t>Guinea_Bissau_Malaria_United_Nations_Development_Programme_EUR</t>
  </si>
  <si>
    <t>Guinea_Bissau_Multi__</t>
  </si>
  <si>
    <t>Guinea_Bissau_Multi_EUR</t>
  </si>
  <si>
    <t>Guinea_Bissau_Multi_Ministry_of_Health_of_the_Republic_of_Guinea_Bissau_EUR</t>
  </si>
  <si>
    <t>Guinea_Bissau_TB_EUR</t>
  </si>
  <si>
    <t>Guinea_Bissau_TB_Ministry_of_Health_of_the_Republic_of_Guinea_Bissau_EUR</t>
  </si>
  <si>
    <t>Guinea_Bissau_TB_United_Nations_Development_Programme_EUR</t>
  </si>
  <si>
    <t>Guinea_HIV_German_Corporation_for_International_Cooperation__GIZ__GmbH_USD</t>
  </si>
  <si>
    <t>Guinea_HIV_Population_Services_International_USD</t>
  </si>
  <si>
    <t>Guinea_HIV_The_Ministry_of_Public_Health_of_the_Republic_of_Guinea_USD</t>
  </si>
  <si>
    <t>Guinea_HIV_USD</t>
  </si>
  <si>
    <t>Guinea_Malaria__</t>
  </si>
  <si>
    <t>Guinea_Malaria_Catholic_Relief_Services___United_States_Conference_of_Catholic_Bishops_USD</t>
  </si>
  <si>
    <t>Guinea_Malaria_USD</t>
  </si>
  <si>
    <t>Guinea_Multi__</t>
  </si>
  <si>
    <t>Guinea_Multi_USD</t>
  </si>
  <si>
    <t>Guinea_TB_Population_Services_International_USD</t>
  </si>
  <si>
    <t>Guinea_TB_The_Ministry_of_Public_Health_of_the_Republic_of_Guinea_USD</t>
  </si>
  <si>
    <t>Guinea_TB_USD</t>
  </si>
  <si>
    <t>Guyana_HIV_Ministry_of_Health_of_the_Republic_of_Guyana_USD</t>
  </si>
  <si>
    <t>Guyana_HIV_USD</t>
  </si>
  <si>
    <t>Guyana_Malaria_Ministry_of_Health_of_the_Republic_of_Guyana_USD</t>
  </si>
  <si>
    <t>Guyana_Malaria_USD</t>
  </si>
  <si>
    <t>Guyana_Multi__</t>
  </si>
  <si>
    <t>Guyana_TB_Ministry_of_Health_of_the_Republic_of_Guyana_USD</t>
  </si>
  <si>
    <t>Guyana_TB_USD</t>
  </si>
  <si>
    <t>Haiti_HIV_United_Nations_Development_Programme_USD</t>
  </si>
  <si>
    <t>Haiti_HIV_USD</t>
  </si>
  <si>
    <t>Haiti_Malaria_Population_Services_International_USD</t>
  </si>
  <si>
    <t>Haiti_Malaria_USD</t>
  </si>
  <si>
    <t>Haiti_Multi__</t>
  </si>
  <si>
    <t>Haiti_Multi_Population_Services_International_USD</t>
  </si>
  <si>
    <t>Haiti_Multi_USD</t>
  </si>
  <si>
    <t>Haiti_TB_United_Nations_Development_Programme_USD</t>
  </si>
  <si>
    <t>Haiti_TB_USD</t>
  </si>
  <si>
    <t>Honduras_HIV_Cooperative_Housing_Foundation_USD</t>
  </si>
  <si>
    <t>Honduras_HIV_USD</t>
  </si>
  <si>
    <t>Honduras_Malaria__</t>
  </si>
  <si>
    <t>Honduras_Malaria_Cooperative_Housing_Foundation_USD</t>
  </si>
  <si>
    <t>Honduras_Malaria_USD</t>
  </si>
  <si>
    <t>Honduras_Multi_Cooperative_Housing_Foundation_USD</t>
  </si>
  <si>
    <t>Honduras_Multi_USD</t>
  </si>
  <si>
    <t>Honduras_TB_Cooperative_Housing_Foundation_USD</t>
  </si>
  <si>
    <t>Honduras_TB_Ministry_of_Health_of_the_Republic_of_Honduras_USD</t>
  </si>
  <si>
    <t>Honduras_TB_USD</t>
  </si>
  <si>
    <t>India_HIV_Department_of_Economic_Affairs__Ministry_of_Finance_of_India_USD</t>
  </si>
  <si>
    <t>India_HIV_Emmanuel_Hospital_Association_USD</t>
  </si>
  <si>
    <t>India_HIV_IL_FS_Education___Technology_Services_Ltd__USD</t>
  </si>
  <si>
    <t>India_HIV_India_HIV_AIDS_Alliance_USD</t>
  </si>
  <si>
    <t>India_HIV_Indian_Nursing_Council_USD</t>
  </si>
  <si>
    <t>India_HIV_Plan_International__India_Chapter__USD</t>
  </si>
  <si>
    <t>India_HIV_Solidarity_and_Action_Against_The_HIV_Infection_in_India_USD</t>
  </si>
  <si>
    <t>India_HIV_Tata_Institute_of_Social_Sciences_USD</t>
  </si>
  <si>
    <t>India_HIV_USD</t>
  </si>
  <si>
    <t>India_Malaria_Caritas_India_USD</t>
  </si>
  <si>
    <t>India_Malaria_Department_of_Economic_Affairs__Ministry_of_Finance_of_India_USD</t>
  </si>
  <si>
    <t>India_Malaria_USD</t>
  </si>
  <si>
    <t>India_TB_Department_of_Economic_Affairs__Ministry_of_Finance_of_India_USD</t>
  </si>
  <si>
    <t>India_TB_International_Union_Against_Tuberculosis_and_Lung_Disease_USD</t>
  </si>
  <si>
    <t>India_TB_USD</t>
  </si>
  <si>
    <t>India_TB_World_Vision_India_USD</t>
  </si>
  <si>
    <t>Indonesia_HIV__</t>
  </si>
  <si>
    <t>Indonesia_HIV_Directorate_General_of_Disease_Prevention_and_Control__Ministry_of_Health_of_The_Republic_of_Indonesia_USD</t>
  </si>
  <si>
    <t>Indonesia_HIV_Indonesia_Planned_Parenthood_Association_USD</t>
  </si>
  <si>
    <t>Indonesia_HIV_Nahdlatul_Ulama_USD</t>
  </si>
  <si>
    <t>Indonesia_HIV_National_AIDS_Commission_of_Indonesia_USD</t>
  </si>
  <si>
    <t>Indonesia_HIV_USD</t>
  </si>
  <si>
    <t>Indonesia_HIV_Yayasan_Spiritia_USD</t>
  </si>
  <si>
    <t>Indonesia_Malaria__</t>
  </si>
  <si>
    <t>Indonesia_Malaria_Directorate_General_of_Disease_Prevention_and_Control__Ministry_of_Health_of_The_Republic_of_Indonesia_USD</t>
  </si>
  <si>
    <t>Indonesia_Malaria_USD</t>
  </si>
  <si>
    <t>Indonesia_RSSH_Directorate_General_of_Disease_Prevention_and_Control__Ministry_of_Health_of_The_Republic_of_Indonesia_USD</t>
  </si>
  <si>
    <t>Indonesia_RSSH_USD</t>
  </si>
  <si>
    <t>Indonesia_TB__</t>
  </si>
  <si>
    <t>Indonesia_TB_Central_Board_of_‘Aisyiyah_USD</t>
  </si>
  <si>
    <t>Indonesia_TB_Directorate_General_of_Disease_Prevention_and_Control__Ministry_of_Health_of_The_Republic_of_Indonesia_USD</t>
  </si>
  <si>
    <t>Indonesia_TB_Faculty_of_Public_Health__University_of_Indonesia_USD</t>
  </si>
  <si>
    <t>Indonesia_TB_USD</t>
  </si>
  <si>
    <t>Iran__Islamic_Republic__HIV_United_Nations_Development_Programme_USD</t>
  </si>
  <si>
    <t>Iran__Islamic_Republic__HIV_USD</t>
  </si>
  <si>
    <t>Iran__Islamic_Republic__Malaria_United_Nations_Development_Programme_USD</t>
  </si>
  <si>
    <t>Iran__Islamic_Republic__Malaria_USD</t>
  </si>
  <si>
    <t>Iraq_TB_Swiss_Tropical_and_Public_Health_Institute_USD</t>
  </si>
  <si>
    <t>Iraq_TB_United_Nations_Development_Programme_USD</t>
  </si>
  <si>
    <t>Iraq_TB_USD</t>
  </si>
  <si>
    <t>Jamaica_HIV__</t>
  </si>
  <si>
    <t>Jamaica_HIV_Ministry_of_Health_of_Jamaica_USD</t>
  </si>
  <si>
    <t>Jamaica_HIV_USD</t>
  </si>
  <si>
    <t>Kazakhstan_HIV__</t>
  </si>
  <si>
    <t>Kazakhstan_HIV_Kazakh_scientific_center_of_dermatology_and_infectious_diseases_of_the_Ministry_of_Health_of_the_Republic_of_Kazakhstan_USD</t>
  </si>
  <si>
    <t>Kazakhstan_HIV_USD</t>
  </si>
  <si>
    <t>Kazakhstan_TB_National_Center_of_Tuberculosis_Problems_of_the_Ministry_of_Healthcare_and_Social_Development_of_the_Republic_of_Kazakhstan_USD</t>
  </si>
  <si>
    <t>Kazakhstan_TB_Project_HOPE____the_People_to_People_Health_Foundation_USD</t>
  </si>
  <si>
    <t>Kazakhstan_TB_USD</t>
  </si>
  <si>
    <t>Kenya_HIV__</t>
  </si>
  <si>
    <t>Kenya_HIV_Kenya_Red_Cross_Society_USD</t>
  </si>
  <si>
    <t>Kenya_HIV_National_Treasury_of_the_Republic_of_Kenya_USD</t>
  </si>
  <si>
    <t>Kenya_HIV_USD</t>
  </si>
  <si>
    <t>Kenya_Malaria_Amref_Health_Africa_in_Kenya_USD</t>
  </si>
  <si>
    <t>Kenya_Malaria_National_Treasury_of_the_Republic_of_Kenya_USD</t>
  </si>
  <si>
    <t>Kenya_Malaria_USD</t>
  </si>
  <si>
    <t>Kenya_TB__</t>
  </si>
  <si>
    <t>Kenya_TB_Amref_Health_Africa_in_Kenya_USD</t>
  </si>
  <si>
    <t>Kenya_TB_National_Treasury_of_the_Republic_of_Kenya_USD</t>
  </si>
  <si>
    <t>Kenya_TB_USD</t>
  </si>
  <si>
    <t>Korea__Democratic_Peoples_Republic__Malaria_United_Nations_Children_s_Fund_USD</t>
  </si>
  <si>
    <t>Korea__Democratic_Peoples_Republic__Malaria_USD</t>
  </si>
  <si>
    <t>Korea__Democratic_Peoples_Republic__Multi_United_Nations_Children_s_Fund_USD</t>
  </si>
  <si>
    <t>Korea__Democratic_Peoples_Republic__Multi_USD</t>
  </si>
  <si>
    <t>Korea__Democratic_Peoples_Republic__TB_United_Nations_Children_s_Fund_USD</t>
  </si>
  <si>
    <t>Korea__Democratic_Peoples_Republic__TB_USD</t>
  </si>
  <si>
    <t>Kosovo_HIV_Community_Development_Fund_EUR</t>
  </si>
  <si>
    <t>Kosovo_HIV_EUR</t>
  </si>
  <si>
    <t>Kosovo_TB_Community_Development_Fund_EUR</t>
  </si>
  <si>
    <t>Kosovo_TB_EUR</t>
  </si>
  <si>
    <t>Kyrgyzstan_HIV_United_Nations_Development_Programme_USD</t>
  </si>
  <si>
    <t>Kyrgyzstan_HIV_USD</t>
  </si>
  <si>
    <t>Kyrgyzstan_Malaria_United_Nations_Development_Programme_USD</t>
  </si>
  <si>
    <t>Kyrgyzstan_Malaria_USD</t>
  </si>
  <si>
    <t>Kyrgyzstan_Multi__</t>
  </si>
  <si>
    <t>Kyrgyzstan_Multi_United_Nations_Development_Programme_USD</t>
  </si>
  <si>
    <t>Kyrgyzstan_Multi_USD</t>
  </si>
  <si>
    <t>Kyrgyzstan_TB__</t>
  </si>
  <si>
    <t>Kyrgyzstan_TB_Project_HOPE____the_People_to_People_Health_Foundation_USD</t>
  </si>
  <si>
    <t>Kyrgyzstan_TB_United_Nations_Development_Programme_USD</t>
  </si>
  <si>
    <t>Kyrgyzstan_TB_USD</t>
  </si>
  <si>
    <t>Lao__Peoples_Democratic_Republic__HIV_Ministry_of_Health_of_the_Lao_People_s_Democratic_Republic_USD</t>
  </si>
  <si>
    <t>Lao__Peoples_Democratic_Republic__HIV_USD</t>
  </si>
  <si>
    <t>Lao__Peoples_Democratic_Republic__Malaria_Ministry_of_Health_of_the_Lao_People_s_Democratic_Republic_USD</t>
  </si>
  <si>
    <t>Lao__Peoples_Democratic_Republic__Malaria_USD</t>
  </si>
  <si>
    <t>Lao__Peoples_Democratic_Republic__Multi__</t>
  </si>
  <si>
    <t>Lao__Peoples_Democratic_Republic__RSSH_Ministry_of_Health_of_the_Lao_People_s_Democratic_Republic_USD</t>
  </si>
  <si>
    <t>Lao__Peoples_Democratic_Republic__RSSH_USD</t>
  </si>
  <si>
    <t>Lao__Peoples_Democratic_Republic__TB_Ministry_of_Health_of_the_Lao_People_s_Democratic_Republic_USD</t>
  </si>
  <si>
    <t>Lao__Peoples_Democratic_Republic__TB_USD</t>
  </si>
  <si>
    <t>Lesotho_HIV__</t>
  </si>
  <si>
    <t>Lesotho_HIV_Ministry_of_Finance_of_the_Kingdom_of_Lesotho_USD</t>
  </si>
  <si>
    <t>Lesotho_HIV_Pact_Lesotho_USD</t>
  </si>
  <si>
    <t>Lesotho_HIV_USD</t>
  </si>
  <si>
    <t>Lesotho_Multi_Ministry_of_Finance_of_the_Kingdom_of_Lesotho_USD</t>
  </si>
  <si>
    <t>Lesotho_Multi_Pact_Lesotho_USD</t>
  </si>
  <si>
    <t>Lesotho_Multi_USD</t>
  </si>
  <si>
    <t>Lesotho_TB_Ministry_of_Finance_of_the_Kingdom_of_Lesotho_USD</t>
  </si>
  <si>
    <t>Lesotho_TB_USD</t>
  </si>
  <si>
    <t>Liberia_HIV____</t>
  </si>
  <si>
    <t>Liberia_HIV___USD</t>
  </si>
  <si>
    <t>Liberia_HIV_Ministry_of_Health_and_Social_Welfare_of_the_Republic_of_Liberia_USD</t>
  </si>
  <si>
    <t>Liberia_HIV_Population_Services_International_USD</t>
  </si>
  <si>
    <t>Liberia_HIV_USD</t>
  </si>
  <si>
    <t>Liberia_Malaria__</t>
  </si>
  <si>
    <t>Liberia_Malaria___USD</t>
  </si>
  <si>
    <t>Liberia_Malaria_Ministry_of_Health_and_Social_Welfare_of_the_Republic_of_Liberia_USD</t>
  </si>
  <si>
    <t>Liberia_Malaria_Plan_International__Inc___</t>
  </si>
  <si>
    <t>Liberia_Malaria_Plan_International__Inc__USD</t>
  </si>
  <si>
    <t>Liberia_Malaria_USD</t>
  </si>
  <si>
    <t>Liberia_Multi__</t>
  </si>
  <si>
    <t>Liberia_Multi____</t>
  </si>
  <si>
    <t>Liberia_Multi_Ministry_of_Health_and_Social_Welfare_of_the_Republic_of_Liberia_USD</t>
  </si>
  <si>
    <t>Liberia_Multi_Population_Services_International__</t>
  </si>
  <si>
    <t>Liberia_Multi_USD</t>
  </si>
  <si>
    <t>Liberia_TB___USD</t>
  </si>
  <si>
    <t>Liberia_TB_Ministry_of_Health_and_Social_Welfare_of_the_Republic_of_Liberia_USD</t>
  </si>
  <si>
    <t>Liberia_TB_USD</t>
  </si>
  <si>
    <t>Madagascar_HIV__</t>
  </si>
  <si>
    <t>Madagascar_HIV____</t>
  </si>
  <si>
    <t>Madagascar_HIV___USD</t>
  </si>
  <si>
    <t>Madagascar_HIV_Population_Services_International_USD</t>
  </si>
  <si>
    <t>Madagascar_HIV_USD</t>
  </si>
  <si>
    <t>Madagascar_Malaria__</t>
  </si>
  <si>
    <t>Madagascar_Malaria____</t>
  </si>
  <si>
    <t>Madagascar_Malaria___USD</t>
  </si>
  <si>
    <t>Madagascar_Malaria_Ministry_of_Public_Health_of_the_Republic_of_Madagascar_USD</t>
  </si>
  <si>
    <t>Madagascar_Malaria_Pact_Madagascar_USD</t>
  </si>
  <si>
    <t>Madagascar_Malaria_Population_Services_International__</t>
  </si>
  <si>
    <t>Madagascar_Malaria_Population_Services_International_USD</t>
  </si>
  <si>
    <t>Madagascar_Malaria_USD</t>
  </si>
  <si>
    <t>Madagascar_TB__</t>
  </si>
  <si>
    <t>Madagascar_TB____</t>
  </si>
  <si>
    <t>Madagascar_TB___USD</t>
  </si>
  <si>
    <t>Madagascar_TB_Office_National_de_Nutrition__</t>
  </si>
  <si>
    <t>Madagascar_TB_Office_National_de_Nutrition_USD</t>
  </si>
  <si>
    <t>Madagascar_TB_Pact_Madagascar_USD</t>
  </si>
  <si>
    <t>Madagascar_TB_USD</t>
  </si>
  <si>
    <t>Malawi_HIV___USD</t>
  </si>
  <si>
    <t>Malawi_HIV_The_Registered_Trustees_of_the_National_AIDS_Commission_Trust_of_the_Republic_of_Malawi_USD</t>
  </si>
  <si>
    <t>Malawi_HIV_USD</t>
  </si>
  <si>
    <t>Malawi_Malaria__</t>
  </si>
  <si>
    <t>Malawi_Malaria____</t>
  </si>
  <si>
    <t>Malawi_Malaria___USD</t>
  </si>
  <si>
    <t>Malawi_Malaria_Ministry_of_Health_of_the_Republic_of_Malawi_USD</t>
  </si>
  <si>
    <t>Malawi_Malaria_USD</t>
  </si>
  <si>
    <t>Malawi_Malaria_World_Vision_Malawi__</t>
  </si>
  <si>
    <t>Malawi_Malaria_World_Vision_Malawi_USD</t>
  </si>
  <si>
    <t>Malawi_Multi__</t>
  </si>
  <si>
    <t>Malawi_Multi____</t>
  </si>
  <si>
    <t>Malawi_Multi_ActionAid_International_Malawi__</t>
  </si>
  <si>
    <t>Malawi_Multi_ActionAid_International_Malawi_USD</t>
  </si>
  <si>
    <t>Malawi_Multi_Ministry_of_Health_of_the_Republic_of_Malawi_USD</t>
  </si>
  <si>
    <t>Malawi_Multi_USD</t>
  </si>
  <si>
    <t>Malawi_RSSH___USD</t>
  </si>
  <si>
    <t>Malawi_TB_Ministry_of_Health_of_the_Republic_of_Malawi_USD</t>
  </si>
  <si>
    <t>Malawi_TB_USD</t>
  </si>
  <si>
    <t>Malaysia_HIV__</t>
  </si>
  <si>
    <t>Malaysia_HIV____</t>
  </si>
  <si>
    <t>Malaysia_HIV_Malaysian_AIDS_Council__</t>
  </si>
  <si>
    <t>Malaysia_HIV_Malaysian_AIDS_Council_USD</t>
  </si>
  <si>
    <t>Malaysia_HIV_USD</t>
  </si>
  <si>
    <t>Maldives_HIV___USD</t>
  </si>
  <si>
    <t>Mali_HIV___EUR</t>
  </si>
  <si>
    <t>Mali_HIV_EUR</t>
  </si>
  <si>
    <t>Mali_HIV_National_High_Council_for_the_Fight_against_AIDS_in_the_Republic_of_Mali_EUR</t>
  </si>
  <si>
    <t>Mali_HIV_National_High_Council_for_the_Fight_against_AIDS_in_the_Republic_of_Mali_USD</t>
  </si>
  <si>
    <t>Mali_HIV_Plan_International__Inc__EUR</t>
  </si>
  <si>
    <t>Mali_HIV_United_Nations_Development_Programme_EUR</t>
  </si>
  <si>
    <t>Mali_HIV_USD</t>
  </si>
  <si>
    <t>Mali_Malaria__</t>
  </si>
  <si>
    <t>Mali_Malaria___USD</t>
  </si>
  <si>
    <t>Mali_Malaria_EUR</t>
  </si>
  <si>
    <t>Mali_Malaria_Population_Services_International__</t>
  </si>
  <si>
    <t>Mali_Malaria_Population_Services_International_EUR</t>
  </si>
  <si>
    <t>Mali_Malaria_USD</t>
  </si>
  <si>
    <t>Mali_Multi__</t>
  </si>
  <si>
    <t>Mali_Multi____</t>
  </si>
  <si>
    <t>Mali_Multi_Plan_International__Inc___</t>
  </si>
  <si>
    <t>Mali_TB___USD</t>
  </si>
  <si>
    <t>Mali_TB_Catholic_Relief_Services___United_States_Conference_of_Catholic_Bishops_EUR</t>
  </si>
  <si>
    <t>Mali_TB_EUR</t>
  </si>
  <si>
    <t>Mali_TB_The_Ministry_of_Health_of_the_Republic_of_Mali_EUR</t>
  </si>
  <si>
    <t>Mauritania_HIV__</t>
  </si>
  <si>
    <t>Mauritania_HIV_USD</t>
  </si>
  <si>
    <t>Mauritania_Malaria__</t>
  </si>
  <si>
    <t>Mauritania_Malaria_United_Nations_Development_Programme_USD</t>
  </si>
  <si>
    <t>Mauritania_Malaria_USD</t>
  </si>
  <si>
    <t>Mauritania_Multi__</t>
  </si>
  <si>
    <t>Mauritania_Multi_USD</t>
  </si>
  <si>
    <t>Mauritania_RSSH____</t>
  </si>
  <si>
    <t>Mauritania_TB__</t>
  </si>
  <si>
    <t>Mauritania_TB_United_Nations_Development_Programme_USD</t>
  </si>
  <si>
    <t>Mauritania_TB_USD</t>
  </si>
  <si>
    <t>Mauritius_HIV__</t>
  </si>
  <si>
    <t>Mauritius_HIV___EUR</t>
  </si>
  <si>
    <t>Mauritius_HIV_EUR</t>
  </si>
  <si>
    <t>Mauritius_HIV_Ministry_of_Health_and_Quality_of_Life__implementing_through_the_National_AIDS_Secretariat__of_the_Republic_of_Mauritius_EUR</t>
  </si>
  <si>
    <t>Mauritius_HIV_Ministry_of_Health_and_Quality_of_Life__implementing_through_the_National_AIDS_Secretariat__of_the_Republic_of_Mauritius_USD</t>
  </si>
  <si>
    <t>Mauritius_HIV_USD</t>
  </si>
  <si>
    <t>Mexico_HIV___USD</t>
  </si>
  <si>
    <t>Moldova_HIV__</t>
  </si>
  <si>
    <t>Moldova_HIV___EUR</t>
  </si>
  <si>
    <t>Moldova_HIV___USD</t>
  </si>
  <si>
    <t>Moldova_HIV_Center_for_Health_Policies_and_Studies__</t>
  </si>
  <si>
    <t>Moldova_HIV_Center_for_Health_Policies_and_Studies_EUR</t>
  </si>
  <si>
    <t>Moldova_HIV_EUR</t>
  </si>
  <si>
    <t>Moldova_HIV_Public_Institution___Coordination__Implementation_and_Monitoring_Unit_of_the_Health__System_Projects_USD</t>
  </si>
  <si>
    <t>Moldova_HIV_USD</t>
  </si>
  <si>
    <t>Moldova_Multi____</t>
  </si>
  <si>
    <t>Moldova_Multi___USD</t>
  </si>
  <si>
    <t>Moldova_Multi_EUR</t>
  </si>
  <si>
    <t>Moldova_Multi_Public_Institution___Coordination__Implementation_and_Monitoring_Unit_of_the_Health__System_Projects_EUR</t>
  </si>
  <si>
    <t>Moldova_TB__</t>
  </si>
  <si>
    <t>Moldova_TB____</t>
  </si>
  <si>
    <t>Moldova_TB___EUR</t>
  </si>
  <si>
    <t>Moldova_TB___USD</t>
  </si>
  <si>
    <t>Moldova_TB_Center_for_Health_Policies_and_Studies__</t>
  </si>
  <si>
    <t>Moldova_TB_Center_for_Health_Policies_and_Studies_EUR</t>
  </si>
  <si>
    <t>Moldova_TB_EUR</t>
  </si>
  <si>
    <t>Moldova_TB_Public_Institution___Coordination__Implementation_and_Monitoring_Unit_of_the_Health__System_Projects_EUR</t>
  </si>
  <si>
    <t>Mongolia_HIV__</t>
  </si>
  <si>
    <t>Mongolia_HIV___USD</t>
  </si>
  <si>
    <t>Mongolia_HIV_Ministry_of_Health_of_Mongolia__</t>
  </si>
  <si>
    <t>Mongolia_HIV_Ministry_of_Health_of_Mongolia_USD</t>
  </si>
  <si>
    <t>Mongolia_HIV_USD</t>
  </si>
  <si>
    <t>Mongolia_Multi____</t>
  </si>
  <si>
    <t>Mongolia_RSSH___USD</t>
  </si>
  <si>
    <t>Mongolia_TB__</t>
  </si>
  <si>
    <t>Mongolia_TB____</t>
  </si>
  <si>
    <t>Mongolia_TB___USD</t>
  </si>
  <si>
    <t>Mongolia_TB_Ministry_of_Health_of_Mongolia__</t>
  </si>
  <si>
    <t>Mongolia_TB_Ministry_of_Health_of_Mongolia_USD</t>
  </si>
  <si>
    <t>Mongolia_TB_USD</t>
  </si>
  <si>
    <t>Montenegro_HIV__</t>
  </si>
  <si>
    <t>Montenegro_HIV___EUR</t>
  </si>
  <si>
    <t>Montenegro_HIV_EUR</t>
  </si>
  <si>
    <t>Montenegro_HIV_Ministry_of_Health_of_Montenegro__</t>
  </si>
  <si>
    <t>Montenegro_HIV_Ministry_of_Health_of_Montenegro_EUR</t>
  </si>
  <si>
    <t>Montenegro_HIV_United_Nations_Development_Programme_EUR</t>
  </si>
  <si>
    <t>Montenegro_TB___EUR</t>
  </si>
  <si>
    <t>Morocco_HIV__</t>
  </si>
  <si>
    <t>Morocco_HIV___USD</t>
  </si>
  <si>
    <t>Morocco_HIV_Ministry_of_Health_of_the_Kingdom_of_Morocco__</t>
  </si>
  <si>
    <t>Morocco_HIV_Ministry_of_Health_of_the_Kingdom_of_Morocco_USD</t>
  </si>
  <si>
    <t>Morocco_HIV_USD</t>
  </si>
  <si>
    <t>Morocco_Multi____</t>
  </si>
  <si>
    <t>Morocco_RSSH_EUR</t>
  </si>
  <si>
    <t>Morocco_RSSH_Ministry_of_Health_of_the_Kingdom_of_Morocco_EUR</t>
  </si>
  <si>
    <t>Morocco_TB__</t>
  </si>
  <si>
    <t>Morocco_TB___USD</t>
  </si>
  <si>
    <t>Morocco_TB_Ministry_of_Health_of_the_Kingdom_of_Morocco__</t>
  </si>
  <si>
    <t>Morocco_TB_Ministry_of_Health_of_the_Kingdom_of_Morocco_USD</t>
  </si>
  <si>
    <t>Morocco_TB_USD</t>
  </si>
  <si>
    <t>Mozambique_HIV____</t>
  </si>
  <si>
    <t>Mozambique_HIV___USD</t>
  </si>
  <si>
    <t>Mozambique_HIV_Ministry_of_Health_of_Mozambique_USD</t>
  </si>
  <si>
    <t>Mozambique_HIV_USD</t>
  </si>
  <si>
    <t>Mozambique_Malaria__</t>
  </si>
  <si>
    <t>Mozambique_Malaria____</t>
  </si>
  <si>
    <t>Mozambique_Malaria___USD</t>
  </si>
  <si>
    <t>Mozambique_Malaria_Ministry_of_Health_of_Mozambique__</t>
  </si>
  <si>
    <t>Mozambique_Malaria_Ministry_of_Health_of_Mozambique_USD</t>
  </si>
  <si>
    <t>Mozambique_Malaria_USD</t>
  </si>
  <si>
    <t>Mozambique_Malaria_World_Vision_Mozambique_USD</t>
  </si>
  <si>
    <t>Mozambique_Multi__</t>
  </si>
  <si>
    <t>Mozambique_Multi_Ministry_of_Health_of_Mozambique__</t>
  </si>
  <si>
    <t>Mozambique_Multi_USD</t>
  </si>
  <si>
    <t>Mozambique_RSSH_Ministry_of_Health_of_Mozambique_USD</t>
  </si>
  <si>
    <t>Mozambique_RSSH_USD</t>
  </si>
  <si>
    <t>Mozambique_TB___USD</t>
  </si>
  <si>
    <t>Mozambique_TB_Ministry_of_Health_of_Mozambique_USD</t>
  </si>
  <si>
    <t>Mozambique_TB_USD</t>
  </si>
  <si>
    <t>Myanmar_HIV___USD</t>
  </si>
  <si>
    <t>Myanmar_HIV_Save_the_Children_Federation__Inc__USD</t>
  </si>
  <si>
    <t>Myanmar_HIV_United_Nations_Office_for_Project_Services_USD</t>
  </si>
  <si>
    <t>Myanmar_HIV_USD</t>
  </si>
  <si>
    <t>Myanmar_Malaria___USD</t>
  </si>
  <si>
    <t>Myanmar_Malaria_Save_the_Children_Federation__Inc__USD</t>
  </si>
  <si>
    <t>Myanmar_Malaria_United_Nations_Office_for_Project_Services_USD</t>
  </si>
  <si>
    <t>Myanmar_Malaria_USD</t>
  </si>
  <si>
    <t>Myanmar_Multi__</t>
  </si>
  <si>
    <t>Myanmar_Multi____</t>
  </si>
  <si>
    <t>Myanmar_Multi_United_Nations_Office_for_Project_Services__</t>
  </si>
  <si>
    <t>Myanmar_TB___USD</t>
  </si>
  <si>
    <t>Myanmar_TB_Save_the_Children_Federation__Inc__USD</t>
  </si>
  <si>
    <t>Myanmar_TB_United_Nations_Office_for_Project_Services_USD</t>
  </si>
  <si>
    <t>Myanmar_TB_USD</t>
  </si>
  <si>
    <t>Namibia_HIV_Ministry_of_Health_and_Social_Services_of_Namibia_USD</t>
  </si>
  <si>
    <t>Namibia_HIV_Namibia_Network_of_AIDS_Service_Organizations_USD</t>
  </si>
  <si>
    <t>Namibia_HIV_USD</t>
  </si>
  <si>
    <t>Namibia_Malaria__</t>
  </si>
  <si>
    <t>Namibia_Malaria____</t>
  </si>
  <si>
    <t>Namibia_Malaria___USD</t>
  </si>
  <si>
    <t>Namibia_Malaria_Ministry_of_Health_and_Social_Services_of_Namibia__</t>
  </si>
  <si>
    <t>Namibia_Malaria_Ministry_of_Health_and_Social_Services_of_Namibia_USD</t>
  </si>
  <si>
    <t>Namibia_Malaria_USD</t>
  </si>
  <si>
    <t>Namibia_Multi__</t>
  </si>
  <si>
    <t>Namibia_Multi_Ministry_of_Health_and_Social_Services_of_Namibia__</t>
  </si>
  <si>
    <t>Namibia_Multi_Namibia_Network_of_AIDS_Service_Organizations__</t>
  </si>
  <si>
    <t>Namibia_Multi_Namibia_Network_of_AIDS_Service_Organizations_USD</t>
  </si>
  <si>
    <t>Namibia_Multi_USD</t>
  </si>
  <si>
    <t>Namibia_TB____</t>
  </si>
  <si>
    <t>Namibia_TB___USD</t>
  </si>
  <si>
    <t>Namibia_TB_Ministry_of_Health_and_Social_Services_of_Namibia_USD</t>
  </si>
  <si>
    <t>Namibia_TB_USD</t>
  </si>
  <si>
    <t>Nepal_HIV__</t>
  </si>
  <si>
    <t>Nepal_HIV____</t>
  </si>
  <si>
    <t>Nepal_HIV___USD</t>
  </si>
  <si>
    <t>Nepal_HIV_Save_the_Children_Federation__Inc___</t>
  </si>
  <si>
    <t>Nepal_HIV_Save_the_Children_Federation__Inc__USD</t>
  </si>
  <si>
    <t>Nepal_HIV_The_Ministry_of_Health_and_Population_of_Nepal_USD</t>
  </si>
  <si>
    <t>Nepal_HIV_USD</t>
  </si>
  <si>
    <t>Nepal_Malaria__</t>
  </si>
  <si>
    <t>Nepal_Malaria____</t>
  </si>
  <si>
    <t>Nepal_Malaria___USD</t>
  </si>
  <si>
    <t>Nepal_Malaria_Population_Services_International_USD</t>
  </si>
  <si>
    <t>Nepal_Malaria_Save_the_Children_Federation__Inc___</t>
  </si>
  <si>
    <t>Nepal_Malaria_Save_the_Children_Federation__Inc__USD</t>
  </si>
  <si>
    <t>Nepal_Malaria_The_Ministry_of_Health_and_Population_of_Nepal_USD</t>
  </si>
  <si>
    <t>Nepal_Malaria_USD</t>
  </si>
  <si>
    <t>Nepal_Multi____</t>
  </si>
  <si>
    <t>Nepal_TB__</t>
  </si>
  <si>
    <t>Nepal_TB____</t>
  </si>
  <si>
    <t>Nepal_TB___USD</t>
  </si>
  <si>
    <t>Nepal_TB_Save_the_Children_Federation__Inc___</t>
  </si>
  <si>
    <t>Nepal_TB_Save_the_Children_Federation__Inc__USD</t>
  </si>
  <si>
    <t>Nepal_TB_The_Ministry_of_Health_and_Population_of_Nepal_USD</t>
  </si>
  <si>
    <t>Nepal_TB_USD</t>
  </si>
  <si>
    <t>Nicaragua_HIV__</t>
  </si>
  <si>
    <t>Nicaragua_HIV___USD</t>
  </si>
  <si>
    <t>Nicaragua_HIV_USD</t>
  </si>
  <si>
    <t>Nicaragua_HIV_World_Vision_International_para_Nicaragua__</t>
  </si>
  <si>
    <t>Nicaragua_HIV_World_Vision_International_para_Nicaragua_USD</t>
  </si>
  <si>
    <t>Nicaragua_Malaria__</t>
  </si>
  <si>
    <t>Nicaragua_Malaria___USD</t>
  </si>
  <si>
    <t>Nicaragua_Malaria_USD</t>
  </si>
  <si>
    <t>Nicaragua_TB__</t>
  </si>
  <si>
    <t>Nicaragua_TB___USD</t>
  </si>
  <si>
    <t>Nicaragua_TB_USD</t>
  </si>
  <si>
    <t>Nicaragua_TB_World_Vision_International_para_Nicaragua_USD</t>
  </si>
  <si>
    <t>Niger_HIV__</t>
  </si>
  <si>
    <t>Niger_HIV____</t>
  </si>
  <si>
    <t>Niger_HIV___USD</t>
  </si>
  <si>
    <t>Niger_HIV_EUR</t>
  </si>
  <si>
    <t>Niger_Malaria__</t>
  </si>
  <si>
    <t>Niger_Malaria____</t>
  </si>
  <si>
    <t>Niger_Malaria___USD</t>
  </si>
  <si>
    <t>Niger_Malaria_Catholic_Relief_Services___United_States_Conference_of_Catholic_Bishops__</t>
  </si>
  <si>
    <t>Niger_Malaria_Catholic_Relief_Services___United_States_Conference_of_Catholic_Bishops_EUR</t>
  </si>
  <si>
    <t>Niger_Malaria_EUR</t>
  </si>
  <si>
    <t>Niger_Malaria_United_Nations_Development_Programme_USD</t>
  </si>
  <si>
    <t>Niger_Malaria_USD</t>
  </si>
  <si>
    <t>Niger_Multi__</t>
  </si>
  <si>
    <t>Niger_Multi_Ministry_of_Public_Health_of_Niger__</t>
  </si>
  <si>
    <t>Niger_RSSH___EUR</t>
  </si>
  <si>
    <t>Niger_TB____</t>
  </si>
  <si>
    <t>Niger_TB_EUR</t>
  </si>
  <si>
    <t>Niger_TB_Ministry_of_Public_Health_Of_Niger_EUR</t>
  </si>
  <si>
    <t>Niger_TB_Save_the_Children_Federation__Inc__EUR</t>
  </si>
  <si>
    <t>Niger_TB_The_International_Federation_of_Red_Cross_and_Red_Crescent_Societies_EUR</t>
  </si>
  <si>
    <t>Niger_TB_United_Nations_Development_Programme_EUR</t>
  </si>
  <si>
    <t>Nigeria_HIV__</t>
  </si>
  <si>
    <t>Nigeria_HIV___USD</t>
  </si>
  <si>
    <t>Nigeria_HIV_Association_For_Reproductive_And_Family_Health_USD</t>
  </si>
  <si>
    <t>Nigeria_HIV_Lagos_State_Ministry_of_Health__</t>
  </si>
  <si>
    <t>Nigeria_HIV_Lagos_State_Ministry_of_Health_USD</t>
  </si>
  <si>
    <t>Nigeria_HIV_National_Agency_for_the_Control_of_AIDS_USD</t>
  </si>
  <si>
    <t>Nigeria_HIV_Society_For_Family_Health_USD</t>
  </si>
  <si>
    <t>Nigeria_HIV_USD</t>
  </si>
  <si>
    <t>Nigeria_Malaria__</t>
  </si>
  <si>
    <t>Nigeria_Malaria____</t>
  </si>
  <si>
    <t>Nigeria_Malaria___USD</t>
  </si>
  <si>
    <t>Nigeria_Malaria_Catholic_Relief_Services___United_States_Conference_of_Catholic_Bishops_USD</t>
  </si>
  <si>
    <t>Nigeria_Malaria_National_Malaria_Elimination_Programme_of_the_Federal_Ministry_of_Health_of_the_Federal_Republic_of_Nigeria__</t>
  </si>
  <si>
    <t>Nigeria_Malaria_National_Malaria_Elimination_Programme_of_the_Federal_Ministry_of_Health_of_the_Federal_Republic_of_Nigeria_USD</t>
  </si>
  <si>
    <t>Nigeria_Malaria_Society_For_Family_Health_USD</t>
  </si>
  <si>
    <t>Nigeria_Malaria_USD</t>
  </si>
  <si>
    <t>Nigeria_Multi__</t>
  </si>
  <si>
    <t>Nigeria_Multi____</t>
  </si>
  <si>
    <t>Nigeria_Multi_Lagos_State_Ministry_of_Health__</t>
  </si>
  <si>
    <t>Nigeria_Multi_Lagos_State_Ministry_of_Health_USD</t>
  </si>
  <si>
    <t>Nigeria_Multi_USD</t>
  </si>
  <si>
    <t>Nigeria_RSSH___USD</t>
  </si>
  <si>
    <t>Nigeria_RSSH_Management_Sciences_for_Health_USD</t>
  </si>
  <si>
    <t>Nigeria_RSSH_USD</t>
  </si>
  <si>
    <t>Nigeria_TB__</t>
  </si>
  <si>
    <t>Nigeria_TB____</t>
  </si>
  <si>
    <t>Nigeria_TB___USD</t>
  </si>
  <si>
    <t>Nigeria_TB_Association_For_Reproductive_And_Family_Health_USD</t>
  </si>
  <si>
    <t>Nigeria_TB_Institute_of_Human_Virology_Nigeria_USD</t>
  </si>
  <si>
    <t>Nigeria_TB_Management_Sciences_for_Health__</t>
  </si>
  <si>
    <t>Nigeria_TB_National_Tuberculosis___Leprosy_Control_Programme_USD</t>
  </si>
  <si>
    <t>Nigeria_TB_USD</t>
  </si>
  <si>
    <t>North_Macedonia_HIV___EUR</t>
  </si>
  <si>
    <t>North_Macedonia_HIV___USD</t>
  </si>
  <si>
    <t>North_Macedonia_HIV_EUR</t>
  </si>
  <si>
    <t>North_Macedonia_HIV_The_Ministry_of_Health_of_the_Former_Yugoslav_Republic_of_Macedonia_EUR</t>
  </si>
  <si>
    <t>North_Macedonia_TB___USD</t>
  </si>
  <si>
    <t>North_Macedonia_TB_EUR</t>
  </si>
  <si>
    <t>North_Macedonia_TB_The_Ministry_of_Health_of_the_Former_Yugoslav_Republic_of_Macedonia_EUR</t>
  </si>
  <si>
    <t>Oceania_HIV___USD</t>
  </si>
  <si>
    <t>Oceania_Malaria__</t>
  </si>
  <si>
    <t>Oceania_Malaria___USD</t>
  </si>
  <si>
    <t>Oceania_Malaria_United_Nations_Development_Programme__</t>
  </si>
  <si>
    <t>Oceania_Malaria_United_Nations_Development_Programme_USD</t>
  </si>
  <si>
    <t>Oceania_Malaria_USD</t>
  </si>
  <si>
    <t>Oceania_Multi__</t>
  </si>
  <si>
    <t>Oceania_Multi_United_Nations_Development_Programme__</t>
  </si>
  <si>
    <t>Oceania_Multi_United_Nations_Development_Programme_USD</t>
  </si>
  <si>
    <t>Oceania_Multi_USD</t>
  </si>
  <si>
    <t>Oceania_TB___USD</t>
  </si>
  <si>
    <t>Pakistan_HIV__</t>
  </si>
  <si>
    <t>Pakistan_HIV____</t>
  </si>
  <si>
    <t>Pakistan_HIV___USD</t>
  </si>
  <si>
    <t>Pakistan_HIV_Ministry_of_National_Health_Services__Regulations_and_Coordination_of_Pakistan_USD</t>
  </si>
  <si>
    <t>Pakistan_HIV_Nai_Zindagi__</t>
  </si>
  <si>
    <t>Pakistan_HIV_Nai_Zindagi_USD</t>
  </si>
  <si>
    <t>Pakistan_HIV_USD</t>
  </si>
  <si>
    <t>Pakistan_Malaria__</t>
  </si>
  <si>
    <t>Pakistan_Malaria____</t>
  </si>
  <si>
    <t>Pakistan_Malaria___USD</t>
  </si>
  <si>
    <t>Pakistan_Malaria_Ministry_of_National_Health_Services__Regulations_and_Coordination_of_Pakistan__</t>
  </si>
  <si>
    <t>Pakistan_Malaria_Ministry_of_National_Health_Services__Regulations_and_Coordination_of_Pakistan_USD</t>
  </si>
  <si>
    <t>Pakistan_Malaria_The_Indus_Hospital_USD</t>
  </si>
  <si>
    <t>Pakistan_Malaria_USD</t>
  </si>
  <si>
    <t>Pakistan_RSSH_Ministry_of_National_Health_Services__Regulations_and_Coordination_of_Pakistan_USD</t>
  </si>
  <si>
    <t>Pakistan_RSSH_USD</t>
  </si>
  <si>
    <t>Pakistan_TB__</t>
  </si>
  <si>
    <t>Pakistan_TB___USD</t>
  </si>
  <si>
    <t>Pakistan_TB_Mercy_Corps__</t>
  </si>
  <si>
    <t>Pakistan_TB_Mercy_Corps_USD</t>
  </si>
  <si>
    <t>Pakistan_TB_National_TB_Control_Programme_Pakistan_USD</t>
  </si>
  <si>
    <t>Pakistan_TB_The_Indus_Hospital_USD</t>
  </si>
  <si>
    <t>Pakistan_TB_USD</t>
  </si>
  <si>
    <t>Palestine_HIV_United_Nations_Development_Programme_USD</t>
  </si>
  <si>
    <t>Palestine_HIV_USD</t>
  </si>
  <si>
    <t>Palestine_TB_United_Nations_Development_Programme_USD</t>
  </si>
  <si>
    <t>Palestine_TB_USD</t>
  </si>
  <si>
    <t>Panama_HIV_Cicatelli_Associates_Inc__USD</t>
  </si>
  <si>
    <t>Panama_HIV_USD</t>
  </si>
  <si>
    <t>Panama_Multi__</t>
  </si>
  <si>
    <t>Panama_Multi_United_Nations_Development_Programme__</t>
  </si>
  <si>
    <t>Panama_Multi_United_Nations_Development_Programme_USD</t>
  </si>
  <si>
    <t>Panama_Multi_USD</t>
  </si>
  <si>
    <t>Panama_TB___USD</t>
  </si>
  <si>
    <t>Papua_New_Guinea_HIV____</t>
  </si>
  <si>
    <t>Papua_New_Guinea_HIV___USD</t>
  </si>
  <si>
    <t>Papua_New_Guinea_HIV_Oil_Search_Foundation_USD</t>
  </si>
  <si>
    <t>Papua_New_Guinea_HIV_USD</t>
  </si>
  <si>
    <t>Papua_New_Guinea_Malaria__</t>
  </si>
  <si>
    <t>Papua_New_Guinea_Malaria____</t>
  </si>
  <si>
    <t>Papua_New_Guinea_Malaria___USD</t>
  </si>
  <si>
    <t>Papua_New_Guinea_Malaria_Population_Services_International_USD</t>
  </si>
  <si>
    <t>Papua_New_Guinea_Malaria_The_Rotary_Club_of_Port_Moresby_Inc___</t>
  </si>
  <si>
    <t>Papua_New_Guinea_Malaria_The_Rotary_Club_of_Port_Moresby_Inc__USD</t>
  </si>
  <si>
    <t>Papua_New_Guinea_Malaria_USD</t>
  </si>
  <si>
    <t>Papua_New_Guinea_Multi__</t>
  </si>
  <si>
    <t>Papua_New_Guinea_Multi____</t>
  </si>
  <si>
    <t>Papua_New_Guinea_Multi_Oil_Search_Foundation__</t>
  </si>
  <si>
    <t>Papua_New_Guinea_Multi_World_Vision__PNG__Trust__</t>
  </si>
  <si>
    <t>Papua_New_Guinea_TB___USD</t>
  </si>
  <si>
    <t>Papua_New_Guinea_TB_USD</t>
  </si>
  <si>
    <t>Papua_New_Guinea_TB_World_Vision__PNG__Trust_USD</t>
  </si>
  <si>
    <t>Paraguay_HIV__</t>
  </si>
  <si>
    <t>Paraguay_HIV____</t>
  </si>
  <si>
    <t>Paraguay_HIV___USD</t>
  </si>
  <si>
    <t>Paraguay_HIV_EUR</t>
  </si>
  <si>
    <t>Paraguay_HIV_USD</t>
  </si>
  <si>
    <t>Paraguay_Malaria_International_Organization_for_Migration_USD</t>
  </si>
  <si>
    <t>Paraguay_Malaria_USD</t>
  </si>
  <si>
    <t>Paraguay_RSSH_USD</t>
  </si>
  <si>
    <t>Paraguay_TB__</t>
  </si>
  <si>
    <t>Paraguay_TB___USD</t>
  </si>
  <si>
    <t>Paraguay_TB_USD</t>
  </si>
  <si>
    <t>Peru_HIV__</t>
  </si>
  <si>
    <t>Peru_HIV___USD</t>
  </si>
  <si>
    <t>Peru_HIV_Care_Peru__</t>
  </si>
  <si>
    <t>Peru_HIV_Care_Peru_USD</t>
  </si>
  <si>
    <t>Peru_HIV_Pathfinder_International_USD</t>
  </si>
  <si>
    <t>Peru_HIV_USD</t>
  </si>
  <si>
    <t>Peru_TB__</t>
  </si>
  <si>
    <t>Peru_TB___EUR</t>
  </si>
  <si>
    <t>Peru_TB___USD</t>
  </si>
  <si>
    <t>Peru_TB_EUR</t>
  </si>
  <si>
    <t>Peru_TB_Socios_en_Salud_sucursal_Peru__</t>
  </si>
  <si>
    <t>Peru_TB_Socios_en_Salud_sucursal_Peru_USD</t>
  </si>
  <si>
    <t>Peru_TB_USD</t>
  </si>
  <si>
    <t>Philippines_HIV__</t>
  </si>
  <si>
    <t>Philippines_HIV____</t>
  </si>
  <si>
    <t>Philippines_HIV___USD</t>
  </si>
  <si>
    <t>Philippines_HIV_Department_of_Health__Republic_of_the_Philippines_USD</t>
  </si>
  <si>
    <t>Philippines_HIV_Save_the_Children_Federation__Inc___</t>
  </si>
  <si>
    <t>Philippines_HIV_Save_the_Children_Federation__Inc__USD</t>
  </si>
  <si>
    <t>Philippines_HIV_USD</t>
  </si>
  <si>
    <t>Philippines_Malaria__</t>
  </si>
  <si>
    <t>Philippines_Malaria____</t>
  </si>
  <si>
    <t>Philippines_Malaria___USD</t>
  </si>
  <si>
    <t>Philippines_Malaria_Pilipinas_Shell_Foundation__Inc___</t>
  </si>
  <si>
    <t>Philippines_Malaria_Pilipinas_Shell_Foundation__Inc__USD</t>
  </si>
  <si>
    <t>Philippines_Malaria_USD</t>
  </si>
  <si>
    <t>Philippines_TB__</t>
  </si>
  <si>
    <t>Philippines_TB____</t>
  </si>
  <si>
    <t>Philippines_TB___EUR</t>
  </si>
  <si>
    <t>Philippines_TB___USD</t>
  </si>
  <si>
    <t>Philippines_TB_Philippine_Business_for_Social_Progress__Inc___</t>
  </si>
  <si>
    <t>Philippines_TB_Philippine_Business_for_Social_Progress_USD</t>
  </si>
  <si>
    <t>Philippines_TB_USD</t>
  </si>
  <si>
    <t>Romania_HIV___EUR</t>
  </si>
  <si>
    <t>Romania_HIV___USD</t>
  </si>
  <si>
    <t>Romania_TB__</t>
  </si>
  <si>
    <t>Romania_TB____</t>
  </si>
  <si>
    <t>Romania_TB___USD</t>
  </si>
  <si>
    <t>Romania_TB_EUR</t>
  </si>
  <si>
    <t>Romania_TB_Ministry_of_Health_of_Romania_EUR</t>
  </si>
  <si>
    <t>Romania_TB_Romanian_Angel_Appeal_Foundation__</t>
  </si>
  <si>
    <t>Romania_TB_Romanian_Angel_Appeal_Foundation_EUR</t>
  </si>
  <si>
    <t>Russian_Federation_HIV___EUR</t>
  </si>
  <si>
    <t>Russian_Federation_HIV___USD</t>
  </si>
  <si>
    <t>Russian_Federation_HIV_Open_Health_Institute_USD</t>
  </si>
  <si>
    <t>Russian_Federation_HIV_USD</t>
  </si>
  <si>
    <t>Russian_Federation_TB___USD</t>
  </si>
  <si>
    <t>Rwanda_HIV___USD</t>
  </si>
  <si>
    <t>Rwanda_HIV_Ministry_of_Health_of_the_Republic_of_Rwanda_USD</t>
  </si>
  <si>
    <t>Rwanda_HIV_USD</t>
  </si>
  <si>
    <t>Rwanda_Malaria__</t>
  </si>
  <si>
    <t>Rwanda_Malaria____</t>
  </si>
  <si>
    <t>Rwanda_Malaria___USD</t>
  </si>
  <si>
    <t>Rwanda_Malaria_Ministry_of_Health_of_the_Republic_of_Rwanda__</t>
  </si>
  <si>
    <t>Rwanda_Malaria_Ministry_of_Health_of_the_Republic_of_Rwanda_USD</t>
  </si>
  <si>
    <t>Rwanda_Malaria_USD</t>
  </si>
  <si>
    <t>Rwanda_Multi____</t>
  </si>
  <si>
    <t>Rwanda_Multi___USD</t>
  </si>
  <si>
    <t>Rwanda_Multi_United_Nations_High_Commisioner_for_Refugees_USD</t>
  </si>
  <si>
    <t>Rwanda_Multi_USD</t>
  </si>
  <si>
    <t>Rwanda_RSSH___USD</t>
  </si>
  <si>
    <t>Rwanda_TB____</t>
  </si>
  <si>
    <t>Rwanda_TB___USD</t>
  </si>
  <si>
    <t>Rwanda_TB_Ministry_of_Health_of_the_Republic_of_Rwanda_USD</t>
  </si>
  <si>
    <t>Rwanda_TB_USD</t>
  </si>
  <si>
    <t>Sao_Tome_and_Principe_HIV___USD</t>
  </si>
  <si>
    <t>Sao_Tome_and_Principe_HIV_United_Nations_Development_Programme_USD</t>
  </si>
  <si>
    <t>Sao_Tome_and_Principe_HIV_USD</t>
  </si>
  <si>
    <t>Sao_Tome_and_Principe_Malaria___USD</t>
  </si>
  <si>
    <t>Sao_Tome_and_Principe_Malaria_United_Nations_Development_Programme_USD</t>
  </si>
  <si>
    <t>Sao_Tome_and_Principe_Malaria_USD</t>
  </si>
  <si>
    <t>Sao_Tome_and_Principe_Multi__</t>
  </si>
  <si>
    <t>Sao_Tome_and_Principe_Multi_United_Nations_Development_Programme__</t>
  </si>
  <si>
    <t>Sao_Tome_and_Principe_TB_United_Nations_Development_Programme_USD</t>
  </si>
  <si>
    <t>Sao_Tome_and_Principe_TB_USD</t>
  </si>
  <si>
    <t>Senegal_HIV__</t>
  </si>
  <si>
    <t>Senegal_HIV___EUR</t>
  </si>
  <si>
    <t>Senegal_HIV___USD</t>
  </si>
  <si>
    <t>Senegal_HIV_EUR</t>
  </si>
  <si>
    <t>Senegal_HIV_Ministry_of_Health__Prevention_and_Public_Hygiene_of_the_Republic_of_Senegal___AIDS_Division_EUR</t>
  </si>
  <si>
    <t>Senegal_Malaria__</t>
  </si>
  <si>
    <t>Senegal_Malaria___EUR</t>
  </si>
  <si>
    <t>Senegal_Malaria___USD</t>
  </si>
  <si>
    <t>Senegal_Malaria_EUR</t>
  </si>
  <si>
    <t>Senegal_Malaria_IntraHealth_International__Inc__EUR</t>
  </si>
  <si>
    <t>Senegal_Malaria_Ministry_of_Health_and_Social_Action_of_the_Republic_of_Senegal__</t>
  </si>
  <si>
    <t>Senegal_Malaria_Ministry_of_Health_and_Social_Action_of_the_Republic_of_Senegal_EUR</t>
  </si>
  <si>
    <t>Senegal_Multi__</t>
  </si>
  <si>
    <t>Senegal_Multi____</t>
  </si>
  <si>
    <t>Senegal_Multi_EUR</t>
  </si>
  <si>
    <t>Senegal_Multi_Ministry_of_Health_and_Social_Action_of_the_Republic_of_Senegal__</t>
  </si>
  <si>
    <t>Senegal_Multi_Ministry_of_Health_and_Social_Action_of_the_Republic_of_Senegal_EUR</t>
  </si>
  <si>
    <t>Senegal_RSSH_EUR</t>
  </si>
  <si>
    <t>Senegal_RSSH_Ministry_of_Health_and_Social_Action_of_the_Republic_of_Senegal_EUR</t>
  </si>
  <si>
    <t>Senegal_TB___EUR</t>
  </si>
  <si>
    <t>Senegal_TB_EUR</t>
  </si>
  <si>
    <t>Senegal_TB_Ministry_of_Health_and_Social_Action_of_the_Republic_of_Senegal_EUR</t>
  </si>
  <si>
    <t>Senegal_TB_Plan_International__Inc__EUR</t>
  </si>
  <si>
    <t>Serbia_HIV__</t>
  </si>
  <si>
    <t>Serbia_HIV___EUR</t>
  </si>
  <si>
    <t>Serbia_HIV___USD</t>
  </si>
  <si>
    <t>Serbia_HIV_EUR</t>
  </si>
  <si>
    <t>Serbia_HIV_Ministry_of_Health_of_Republic_of_Serbia__</t>
  </si>
  <si>
    <t>Serbia_HIV_Ministry_of_Health_of_Republic_of_Serbia_EUR</t>
  </si>
  <si>
    <t>Serbia_TB___USD</t>
  </si>
  <si>
    <t>Sierra_Leone_HIV__</t>
  </si>
  <si>
    <t>Sierra_Leone_HIV___USD</t>
  </si>
  <si>
    <t>Sierra_Leone_HIV_National_HIV_AIDS_Secretariat__</t>
  </si>
  <si>
    <t>Sierra_Leone_HIV_National_HIV_AIDS_Secretariat_USD</t>
  </si>
  <si>
    <t>Sierra_Leone_HIV_USD</t>
  </si>
  <si>
    <t>Sierra_Leone_Malaria__</t>
  </si>
  <si>
    <t>Sierra_Leone_Malaria___USD</t>
  </si>
  <si>
    <t>Sierra_Leone_Malaria_Catholic_Relief_Services___United_States_Conference_of_Catholic_Bishops__</t>
  </si>
  <si>
    <t>Sierra_Leone_Malaria_Catholic_Relief_Services___United_States_Conference_of_Catholic_Bishops_USD</t>
  </si>
  <si>
    <t>Sierra_Leone_Malaria_Ministry_of_Health_and_Sanitation_of_Sierra_Leone_USD</t>
  </si>
  <si>
    <t>Sierra_Leone_Malaria_USD</t>
  </si>
  <si>
    <t>Sierra_Leone_Multi____</t>
  </si>
  <si>
    <t>Sierra_Leone_Multi_Ministry_of_Health_and_Sanitation_of_Sierra_Leone_USD</t>
  </si>
  <si>
    <t>Sierra_Leone_Multi_USD</t>
  </si>
  <si>
    <t>Sierra_Leone_TB___USD</t>
  </si>
  <si>
    <t>Sierra_Leone_TB_Ministry_of_Health_and_Sanitation_of_Sierra_Leone_USD</t>
  </si>
  <si>
    <t>Sierra_Leone_TB_USD</t>
  </si>
  <si>
    <t>Solomon_Islands_HIV____</t>
  </si>
  <si>
    <t>Solomon_Islands_Malaria__</t>
  </si>
  <si>
    <t>Solomon_Islands_Malaria____</t>
  </si>
  <si>
    <t>Solomon_Islands_Malaria_Solomon_Islands_Ministry_of_Health_and_Medical_Services__</t>
  </si>
  <si>
    <t>Solomon_Islands_Malaria_Solomon_Islands_Ministry_of_Health_and_Medical_Services_USD</t>
  </si>
  <si>
    <t>Solomon_Islands_Malaria_USD</t>
  </si>
  <si>
    <t>Solomon_Islands_Multi__</t>
  </si>
  <si>
    <t>Solomon_Islands_Multi_Solomon_Islands_Ministry_of_Health_and_Medical_Services__</t>
  </si>
  <si>
    <t>Solomon_Islands_Multi_Solomon_Islands_Ministry_of_Health_and_Medical_Services_USD</t>
  </si>
  <si>
    <t>Solomon_Islands_Multi_USD</t>
  </si>
  <si>
    <t>Solomon_Islands_TB___USD</t>
  </si>
  <si>
    <t>Solomon_Islands_TB_Solomon_Islands_Ministry_of_Health_and_Medical_Services_USD</t>
  </si>
  <si>
    <t>Solomon_Islands_TB_USD</t>
  </si>
  <si>
    <t>Somalia_HIV__</t>
  </si>
  <si>
    <t>Somalia_HIV____</t>
  </si>
  <si>
    <t>Somalia_HIV___USD</t>
  </si>
  <si>
    <t>Somalia_HIV_United_Nations_Children_s_Fund__</t>
  </si>
  <si>
    <t>Somalia_HIV_United_Nations_Children_s_Fund_USD</t>
  </si>
  <si>
    <t>Somalia_HIV_USD</t>
  </si>
  <si>
    <t>Somalia_Malaria__</t>
  </si>
  <si>
    <t>Somalia_Malaria____</t>
  </si>
  <si>
    <t>Somalia_Malaria___USD</t>
  </si>
  <si>
    <t>Somalia_Malaria_United_Nations_Children_s_Fund__</t>
  </si>
  <si>
    <t>Somalia_Malaria_United_Nations_Children_s_Fund_USD</t>
  </si>
  <si>
    <t>Somalia_Malaria_USD</t>
  </si>
  <si>
    <t>Somalia_Multi____</t>
  </si>
  <si>
    <t>Somalia_TB__</t>
  </si>
  <si>
    <t>Somalia_TB____</t>
  </si>
  <si>
    <t>Somalia_TB___USD</t>
  </si>
  <si>
    <t>Somalia_TB_USD</t>
  </si>
  <si>
    <t>Somalia_TB_World_Vision_International_USD</t>
  </si>
  <si>
    <t>Somalia_TB_World_Vision_Somalia__</t>
  </si>
  <si>
    <t>South_Africa_HIV___USD</t>
  </si>
  <si>
    <t>South_Africa_HIV_National_Department_of_Health_of_the_Republic_of_South_Africa_USD</t>
  </si>
  <si>
    <t>South_Africa_HIV_National_Religious_Association_for_Social_Development_USD</t>
  </si>
  <si>
    <t>South_Africa_HIV_Networking_HIV__AIDS_Community_of_South_Africa_NPC_USD</t>
  </si>
  <si>
    <t>South_Africa_HIV_Right_to_Care_USD</t>
  </si>
  <si>
    <t>South_Africa_HIV_Soul_City_Institute_for_Health_and_Development_Communication_USD</t>
  </si>
  <si>
    <t>South_Africa_HIV_USD</t>
  </si>
  <si>
    <t>South_Africa_HIV_Western_Cape_Government__Health_USD</t>
  </si>
  <si>
    <t>South_Africa_Multi__</t>
  </si>
  <si>
    <t>South_Africa_Multi___USD</t>
  </si>
  <si>
    <t>South_Africa_Multi_AIDS_Foundation_South_Africa__</t>
  </si>
  <si>
    <t>South_Africa_Multi_AIDS_Foundation_South_Africa_USD</t>
  </si>
  <si>
    <t>South_Africa_Multi_Beyond_Zero_NPC_USD</t>
  </si>
  <si>
    <t>South_Africa_Multi_Kheth_Impilo_AIDS_Free_Living_USD</t>
  </si>
  <si>
    <t>South_Africa_Multi_KwaZulu_Natal_Provincial_Treasury_USD</t>
  </si>
  <si>
    <t>South_Africa_Multi_National_Department_of_Health_of_the_Republic_of_South_Africa_USD</t>
  </si>
  <si>
    <t>South_Africa_Multi_Networking_HIV__AIDS_Community_of_South_Africa_NPC_USD</t>
  </si>
  <si>
    <t>South_Africa_Multi_Right_to_Care_USD</t>
  </si>
  <si>
    <t>South_Africa_Multi_Soul_City_Institute_for_Health_and_Development_Communication_USD</t>
  </si>
  <si>
    <t>South_Africa_Multi_USD</t>
  </si>
  <si>
    <t>South_Africa_Multi_Western_Cape_Government__Health_USD</t>
  </si>
  <si>
    <t>South_America_Malaria___USD</t>
  </si>
  <si>
    <t>South_Eastern_Asia_HIV_Australian_Federation_Of_Aids_Organisations__Inc__USD</t>
  </si>
  <si>
    <t>South_Eastern_Asia_HIV_Humanist_Institute_for_Co_operation_with_Developing_Countries_USD</t>
  </si>
  <si>
    <t>South_Eastern_Asia_HIV_USD</t>
  </si>
  <si>
    <t>South_Eastern_Asia_Malaria__</t>
  </si>
  <si>
    <t>South_Eastern_Asia_Malaria_United_Nations_Office_for_Project_Services__</t>
  </si>
  <si>
    <t>South_Eastern_Asia_Malaria_United_Nations_Office_for_Project_Services_USD</t>
  </si>
  <si>
    <t>South_Eastern_Asia_Malaria_USD</t>
  </si>
  <si>
    <t>South_Eastern_Asia_TB_United_Nations_Office_for_Project_Services_USD</t>
  </si>
  <si>
    <t>South_Eastern_Asia_TB_USD</t>
  </si>
  <si>
    <t>South_Sudan_HIV__</t>
  </si>
  <si>
    <t>South_Sudan_HIV____</t>
  </si>
  <si>
    <t>South_Sudan_HIV_United_Nations_Development_Programme__</t>
  </si>
  <si>
    <t>South_Sudan_HIV_United_Nations_Development_Programme_USD</t>
  </si>
  <si>
    <t>South_Sudan_HIV_USD</t>
  </si>
  <si>
    <t>South_Sudan_Malaria__</t>
  </si>
  <si>
    <t>South_Sudan_Malaria____</t>
  </si>
  <si>
    <t>South_Sudan_Malaria___USD</t>
  </si>
  <si>
    <t>South_Sudan_Malaria_Population_Services_International__</t>
  </si>
  <si>
    <t>South_Sudan_Malaria_Population_Services_International_USD</t>
  </si>
  <si>
    <t>South_Sudan_Malaria_USD</t>
  </si>
  <si>
    <t>South_Sudan_RSSH_United_Nations_Development_Programme_USD</t>
  </si>
  <si>
    <t>South_Sudan_RSSH_USD</t>
  </si>
  <si>
    <t>South_Sudan_TB__</t>
  </si>
  <si>
    <t>South_Sudan_TB____</t>
  </si>
  <si>
    <t>South_Sudan_TB___USD</t>
  </si>
  <si>
    <t>South_Sudan_TB_United_Nations_Development_Programme__</t>
  </si>
  <si>
    <t>South_Sudan_TB_United_Nations_Development_Programme_USD</t>
  </si>
  <si>
    <t>South_Sudan_TB_USD</t>
  </si>
  <si>
    <t>Southern_Asia_HIV___USD</t>
  </si>
  <si>
    <t>Southern_Asia_HIV_Save_the_Children_Federation__Inc__USD</t>
  </si>
  <si>
    <t>Southern_Asia_HIV_United_Nations_Development_Programme_USD</t>
  </si>
  <si>
    <t>Southern_Asia_HIV_USD</t>
  </si>
  <si>
    <t>Southern_Asia_TB_United_Nations_Development_Programme_USD</t>
  </si>
  <si>
    <t>Southern_Asia_TB_USD</t>
  </si>
  <si>
    <t>Southern_Europe_HIV___USD</t>
  </si>
  <si>
    <t>Sri_Lanka_HIV__</t>
  </si>
  <si>
    <t>Sri_Lanka_HIV____</t>
  </si>
  <si>
    <t>Sri_Lanka_HIV___USD</t>
  </si>
  <si>
    <t>Sri_Lanka_HIV_Ministry_of_Health__Nutrition___Indigenous_Medicine_of_the_Democratic_Socialist_Republic_of_Sri_Lanka_USD</t>
  </si>
  <si>
    <t>Sri_Lanka_HIV_The_Family_Planning_Association_of_Sri_Lanka__</t>
  </si>
  <si>
    <t>Sri_Lanka_HIV_The_Family_Planning_Association_of_Sri_Lanka_USD</t>
  </si>
  <si>
    <t>Sri_Lanka_HIV_USD</t>
  </si>
  <si>
    <t>Sri_Lanka_Malaria__</t>
  </si>
  <si>
    <t>Sri_Lanka_Malaria____</t>
  </si>
  <si>
    <t>Sri_Lanka_Malaria___USD</t>
  </si>
  <si>
    <t>Sri_Lanka_Malaria_Ministry_of_Health__Nutrition___Indigenous_Medicine_of_the_Democratic_Socialist_Republic_of_Sri_Lanka__</t>
  </si>
  <si>
    <t>Sri_Lanka_Malaria_Ministry_of_Health__Nutrition___Indigenous_Medicine_of_the_Democratic_Socialist_Republic_of_Sri_Lanka_USD</t>
  </si>
  <si>
    <t>Sri_Lanka_Malaria_USD</t>
  </si>
  <si>
    <t>Sri_Lanka_RSSH____</t>
  </si>
  <si>
    <t>Sri_Lanka_RSSH_Ministry_of_Health__Nutrition___Indigenous_Medicine_of_the_Democratic_Socialist_Republic_of_Sri_Lanka_USD</t>
  </si>
  <si>
    <t>Sri_Lanka_RSSH_USD</t>
  </si>
  <si>
    <t>Sri_Lanka_TB__</t>
  </si>
  <si>
    <t>Sri_Lanka_TB___USD</t>
  </si>
  <si>
    <t>Sri_Lanka_TB_Ministry_of_Health__Nutrition___Indigenous_Medicine_of_the_Democratic_Socialist_Republic_of_Sri_Lanka__</t>
  </si>
  <si>
    <t>Sri_Lanka_TB_Ministry_of_Health__Nutrition___Indigenous_Medicine_of_the_Democratic_Socialist_Republic_of_Sri_Lanka_USD</t>
  </si>
  <si>
    <t>Sri_Lanka_TB_USD</t>
  </si>
  <si>
    <t>Sudan_HIV____</t>
  </si>
  <si>
    <t>Sudan_HIV___USD</t>
  </si>
  <si>
    <t>Sudan_HIV_United_Nations_Development_Programme_USD</t>
  </si>
  <si>
    <t>Sudan_HIV_USD</t>
  </si>
  <si>
    <t>Sudan_Malaria____</t>
  </si>
  <si>
    <t>Sudan_Malaria___USD</t>
  </si>
  <si>
    <t>Sudan_Malaria_Federal_Ministry_of_Health_of_the_Republic_of_Sudan_USD</t>
  </si>
  <si>
    <t>Sudan_Malaria_United_Nations_Development_Programme_USD</t>
  </si>
  <si>
    <t>Sudan_Malaria_USD</t>
  </si>
  <si>
    <t>Sudan_Multi__</t>
  </si>
  <si>
    <t>Sudan_Multi_Federal_Ministry_of_Health_of_the_Republic_of_Sudan__</t>
  </si>
  <si>
    <t>Sudan_RSSH_Federal_Ministry_of_Health_of_the_Republic_of_Sudan_USD</t>
  </si>
  <si>
    <t>Sudan_RSSH_USD</t>
  </si>
  <si>
    <t>Sudan_TB____</t>
  </si>
  <si>
    <t>Sudan_TB___USD</t>
  </si>
  <si>
    <t>Sudan_TB_United_Nations_Development_Programme_USD</t>
  </si>
  <si>
    <t>Sudan_TB_USD</t>
  </si>
  <si>
    <t>Suriname_HIV___USD</t>
  </si>
  <si>
    <t>Suriname_Malaria__</t>
  </si>
  <si>
    <t>Suriname_Malaria___USD</t>
  </si>
  <si>
    <t>Suriname_Malaria_Ministry_of_Health_of_the_Republic_of_Suriname__</t>
  </si>
  <si>
    <t>Suriname_Malaria_Ministry_of_Health_of_the_Republic_of_Suriname_USD</t>
  </si>
  <si>
    <t>Suriname_Malaria_USD</t>
  </si>
  <si>
    <t>Suriname_Multi__</t>
  </si>
  <si>
    <t>Suriname_Multi_Ministry_of_Health_of_the_Republic_of_Suriname__</t>
  </si>
  <si>
    <t>Suriname_Multi_Ministry_of_Health_of_the_Republic_of_Suriname_USD</t>
  </si>
  <si>
    <t>Suriname_Multi_USD</t>
  </si>
  <si>
    <t>Suriname_TB___USD</t>
  </si>
  <si>
    <t>Syrian_Arab_Republic_HIV_United_Nations_Development_Programme_USD</t>
  </si>
  <si>
    <t>Syrian_Arab_Republic_HIV_USD</t>
  </si>
  <si>
    <t>Syrian_Arab_Republic_TB_United_Nations_Development_Programme_USD</t>
  </si>
  <si>
    <t>Syrian_Arab_Republic_TB_USD</t>
  </si>
  <si>
    <t>Tajikistan_HIV__</t>
  </si>
  <si>
    <t>Tajikistan_HIV___USD</t>
  </si>
  <si>
    <t>Tajikistan_HIV_United_Nations_Development_Programme__</t>
  </si>
  <si>
    <t>Tajikistan_HIV_United_Nations_Development_Programme_USD</t>
  </si>
  <si>
    <t>Tajikistan_HIV_USD</t>
  </si>
  <si>
    <t>Tajikistan_Malaria___USD</t>
  </si>
  <si>
    <t>Tajikistan_Malaria_United_Nations_Development_Programme_USD</t>
  </si>
  <si>
    <t>Tajikistan_Malaria_USD</t>
  </si>
  <si>
    <t>Tajikistan_Multi____</t>
  </si>
  <si>
    <t>Tajikistan_TB__</t>
  </si>
  <si>
    <t>Tajikistan_TB____</t>
  </si>
  <si>
    <t>Tajikistan_TB___USD</t>
  </si>
  <si>
    <t>Tajikistan_TB_Project_HOPE____the_People_to_People_Health_Foundation_USD</t>
  </si>
  <si>
    <t>Tajikistan_TB_Republican_Center_of_Tuberculosis_Control___Tajikistan__</t>
  </si>
  <si>
    <t>Tajikistan_TB_Republican_Center_of_Tuberculosis_Control___Tajikistan_USD</t>
  </si>
  <si>
    <t>Tajikistan_TB_United_Nations_Development_Programme_USD</t>
  </si>
  <si>
    <t>Tajikistan_TB_USD</t>
  </si>
  <si>
    <t>Thailand_HIV___USD</t>
  </si>
  <si>
    <t>Thailand_HIV_Department_of_Disease_Control__Ministry_of_Public_Health_of_the_Royal_Government_of_Thailand_USD</t>
  </si>
  <si>
    <t>Thailand_HIV_USD</t>
  </si>
  <si>
    <t>Thailand_Malaria___USD</t>
  </si>
  <si>
    <t>Thailand_Malaria_Department_of_Disease_Control__Ministry_of_Public_Health_of_the_Royal_Government_of_Thailand_USD</t>
  </si>
  <si>
    <t>Thailand_Malaria_USD</t>
  </si>
  <si>
    <t>Thailand_Multi__</t>
  </si>
  <si>
    <t>Thailand_Multi____</t>
  </si>
  <si>
    <t>Thailand_Multi_Department_of_Disease_Control__Ministry_of_Public_Health_of_the_Royal_Government_of_Thailand__</t>
  </si>
  <si>
    <t>Thailand_Multi_Department_of_Disease_Control__Ministry_of_Public_Health_of_the_Royal_Government_of_Thailand_USD</t>
  </si>
  <si>
    <t>Thailand_Multi_Raks_Thai_Foundation_USD</t>
  </si>
  <si>
    <t>Thailand_Multi_USD</t>
  </si>
  <si>
    <t>Thailand_TB____</t>
  </si>
  <si>
    <t>Thailand_TB___USD</t>
  </si>
  <si>
    <t>Timor_Leste_HIV__</t>
  </si>
  <si>
    <t>Timor_Leste_HIV____</t>
  </si>
  <si>
    <t>Timor_Leste_HIV___USD</t>
  </si>
  <si>
    <t>Timor_Leste_HIV_Ministry_of_Health_of_the_Democratic_Republic_of_Timor_Leste__</t>
  </si>
  <si>
    <t>Timor_Leste_HIV_Ministry_of_Health_of_the_Democratic_Republic_of_Timor_Leste_USD</t>
  </si>
  <si>
    <t>Timor_Leste_HIV_USD</t>
  </si>
  <si>
    <t>Timor_Leste_Malaria__</t>
  </si>
  <si>
    <t>Timor_Leste_Malaria____</t>
  </si>
  <si>
    <t>Timor_Leste_Malaria___USD</t>
  </si>
  <si>
    <t>Timor_Leste_Malaria_Ministry_of_Health_of_the_Democratic_Republic_of_Timor_Leste__</t>
  </si>
  <si>
    <t>Timor_Leste_Malaria_Ministry_of_Health_of_the_Democratic_Republic_of_Timor_Leste_USD</t>
  </si>
  <si>
    <t>Timor_Leste_Malaria_USD</t>
  </si>
  <si>
    <t>Timor_Leste_TB____</t>
  </si>
  <si>
    <t>Timor_Leste_TB___USD</t>
  </si>
  <si>
    <t>Timor_Leste_TB_Ministry_of_Health_of_the_Democratic_Republic_of_Timor_Leste_USD</t>
  </si>
  <si>
    <t>Timor_Leste_TB_USD</t>
  </si>
  <si>
    <t>Togo_HIV___EUR</t>
  </si>
  <si>
    <t>Togo_HIV___USD</t>
  </si>
  <si>
    <t>Togo_HIV_EUR</t>
  </si>
  <si>
    <t>Togo_HIV_Population_Services_International_EUR</t>
  </si>
  <si>
    <t>Togo_Malaria__</t>
  </si>
  <si>
    <t>Togo_Malaria____</t>
  </si>
  <si>
    <t>Togo_Malaria___EUR</t>
  </si>
  <si>
    <t>Togo_Malaria___USD</t>
  </si>
  <si>
    <t>Togo_Malaria_EUR</t>
  </si>
  <si>
    <t>Togo_Malaria_Plan_International__Inc__EUR</t>
  </si>
  <si>
    <t>Togo_Malaria_The_Ministry_of_Health_of_the_Togolese_Republic_EUR</t>
  </si>
  <si>
    <t>Togo_Multi__</t>
  </si>
  <si>
    <t>Togo_TB___EUR</t>
  </si>
  <si>
    <t>Togo_TB___USD</t>
  </si>
  <si>
    <t>Togo_TB_EUR</t>
  </si>
  <si>
    <t>Togo_TB_The_Ministry_of_Health_of_the_Togolese_Republic_EUR</t>
  </si>
  <si>
    <t>Tunisia_HIV__</t>
  </si>
  <si>
    <t>Tunisia_HIV_USD</t>
  </si>
  <si>
    <t>Tunisia_TB_Basic_Health_Care_Directorate_USD</t>
  </si>
  <si>
    <t>Tunisia_TB_USD</t>
  </si>
  <si>
    <t>Turkey_HIV___USD</t>
  </si>
  <si>
    <t>Turkmenistan_TB__</t>
  </si>
  <si>
    <t>Turkmenistan_TB____</t>
  </si>
  <si>
    <t>Turkmenistan_TB_United_Nations_Development_Programme__</t>
  </si>
  <si>
    <t>Turkmenistan_TB_United_Nations_Development_Programme_USD</t>
  </si>
  <si>
    <t>Turkmenistan_TB_USD</t>
  </si>
  <si>
    <t>Uganda_HIV___USD</t>
  </si>
  <si>
    <t>Uganda_HIV_Ministry_of_Finance__Planning_and_Economic_Development_of_the_Republic_of_Uganda_USD</t>
  </si>
  <si>
    <t>Uganda_HIV_USD</t>
  </si>
  <si>
    <t>Uganda_Malaria__</t>
  </si>
  <si>
    <t>Uganda_Malaria____</t>
  </si>
  <si>
    <t>Uganda_Malaria___USD</t>
  </si>
  <si>
    <t>Uganda_Malaria_Ministry_of_Finance__Planning_and_Economic_Development_of_the_Republic_of_Uganda_USD</t>
  </si>
  <si>
    <t>Uganda_Malaria_The_AIDS_Support_Organisation__Uganda__Limited__</t>
  </si>
  <si>
    <t>Uganda_Malaria_The_AIDS_Support_Organisation__Uganda__Limited_USD</t>
  </si>
  <si>
    <t>Uganda_Malaria_USD</t>
  </si>
  <si>
    <t>Uganda_Multi__</t>
  </si>
  <si>
    <t>Uganda_Multi____</t>
  </si>
  <si>
    <t>Uganda_Multi_The_AIDS_Support_Organisation__Uganda__Limited__</t>
  </si>
  <si>
    <t>Uganda_Multi_The_AIDS_Support_Organisation__Uganda__Limited_USD</t>
  </si>
  <si>
    <t>Uganda_Multi_USD</t>
  </si>
  <si>
    <t>Uganda_RSSH____</t>
  </si>
  <si>
    <t>Uganda_RSSH___USD</t>
  </si>
  <si>
    <t>Uganda_RSSH_Ministry_of_Finance__Planning_and_Economic_Development_of_the_Republic_of_Uganda_USD</t>
  </si>
  <si>
    <t>Uganda_RSSH_The_AIDS_Support_Organisation__Uganda__Limited_USD</t>
  </si>
  <si>
    <t>Uganda_RSSH_USD</t>
  </si>
  <si>
    <t>Uganda_TB____</t>
  </si>
  <si>
    <t>Uganda_TB___USD</t>
  </si>
  <si>
    <t>Uganda_TB_Ministry_of_Finance__Planning_and_Economic_Development_of_the_Republic_of_Uganda_USD</t>
  </si>
  <si>
    <t>Uganda_TB_USD</t>
  </si>
  <si>
    <t>Ukraine_HIV___USD</t>
  </si>
  <si>
    <t>Ukraine_HIV_Charitable_Organization__All_Ukrainian_Network_of_People_Living_with_HIV_AIDS__USD</t>
  </si>
  <si>
    <t>Ukraine_HIV_State_Institution__Public_Health_Center_of_the_Ministry_of_Health_of_Ukraine__USD</t>
  </si>
  <si>
    <t>Ukraine_HIV_United_Nations_Children_s_Fund_USD</t>
  </si>
  <si>
    <t>Ukraine_HIV_USD</t>
  </si>
  <si>
    <t>Ukraine_Multi__</t>
  </si>
  <si>
    <t>Ukraine_Multi____</t>
  </si>
  <si>
    <t>Ukraine_Multi_Charitable_Organization__All_Ukrainian_Network_of_People_Living_with_HIV_AIDS___</t>
  </si>
  <si>
    <t>Ukraine_Multi_Charitable_Organization__All_Ukrainian_Network_of_People_Living_with_HIV_AIDS__USD</t>
  </si>
  <si>
    <t>Ukraine_Multi_State_Institution__Public_Health_Center_of_the_Ministry_of_Health_of_Ukraine__USD</t>
  </si>
  <si>
    <t>Ukraine_Multi_USD</t>
  </si>
  <si>
    <t>Ukraine_TB____</t>
  </si>
  <si>
    <t>Ukraine_TB___USD</t>
  </si>
  <si>
    <t>Ukraine_TB_State_Institution__Public_Health_Center_of_the_Ministry_of_Health_of_Ukraine__USD</t>
  </si>
  <si>
    <t>Ukraine_TB_USD</t>
  </si>
  <si>
    <t>Uruguay_HIV___USD</t>
  </si>
  <si>
    <t>Uzbekistan_HIV__</t>
  </si>
  <si>
    <t>Uzbekistan_HIV___USD</t>
  </si>
  <si>
    <t>Uzbekistan_HIV_Republican_Center_to_Fight_AIDS__</t>
  </si>
  <si>
    <t>Uzbekistan_HIV_Republican_Center_to_Fight_AIDS_USD</t>
  </si>
  <si>
    <t>Uzbekistan_HIV_United_Nations_Development_Programme_USD</t>
  </si>
  <si>
    <t>Uzbekistan_HIV_USD</t>
  </si>
  <si>
    <t>Uzbekistan_Malaria___USD</t>
  </si>
  <si>
    <t>Uzbekistan_Malaria_Republican_Center_of_State_Sanitary_Epidemiological_Surveillance_of_the_Republic_of_Uzbekistan_USD</t>
  </si>
  <si>
    <t>Uzbekistan_Malaria_USD</t>
  </si>
  <si>
    <t>Uzbekistan_TB__</t>
  </si>
  <si>
    <t>Uzbekistan_TB____</t>
  </si>
  <si>
    <t>Uzbekistan_TB___USD</t>
  </si>
  <si>
    <t>Uzbekistan_TB_Republican_DOTS_Center_of_the_Republic_of_Uzbekistan_USD</t>
  </si>
  <si>
    <t>Uzbekistan_TB_Republican_Specialized_Scientific_Practical_Medical_Center_of_Phthisiology_and_Pulmonology__</t>
  </si>
  <si>
    <t>Uzbekistan_TB_Republican_Specialized_Scientific_Practical_Medical_Center_of_Phthisiology_and_Pulmonology_USD</t>
  </si>
  <si>
    <t>Uzbekistan_TB_USD</t>
  </si>
  <si>
    <t>Venezuela_Malaria____</t>
  </si>
  <si>
    <t>Viet_Nam_HIV__</t>
  </si>
  <si>
    <t>Viet_Nam_HIV____</t>
  </si>
  <si>
    <t>Viet_Nam_HIV___USD</t>
  </si>
  <si>
    <t>Viet_Nam_HIV_USD</t>
  </si>
  <si>
    <t>Viet_Nam_HIV_Viet_Nam_Authority_of_HIV_AIDS_Control_USD</t>
  </si>
  <si>
    <t>Viet_Nam_HIV_Viet_Nam_Union_of_Science_and_Technology_Associations__</t>
  </si>
  <si>
    <t>Viet_Nam_HIV_Viet_Nam_Union_of_Science_and_Technology_Associations_USD</t>
  </si>
  <si>
    <t>Viet_Nam_Malaria____</t>
  </si>
  <si>
    <t>Viet_Nam_Malaria___USD</t>
  </si>
  <si>
    <t>Viet_Nam_Malaria_National_Institute_of_Malariology__Parasitology_and_Entomology_of_the_Ministry_of_Health_of_the_Socialist_Republic_of_Viet_Nam_USD</t>
  </si>
  <si>
    <t>Viet_Nam_Malaria_USD</t>
  </si>
  <si>
    <t>Viet_Nam_RSSH_Department_of_Planning_and_Finance__Ministry_of_Health__Socialist_Republic_of_Vietnam_USD</t>
  </si>
  <si>
    <t>Viet_Nam_RSSH_USD</t>
  </si>
  <si>
    <t>Viet_Nam_TB__</t>
  </si>
  <si>
    <t>Viet_Nam_TB____</t>
  </si>
  <si>
    <t>Viet_Nam_TB___USD</t>
  </si>
  <si>
    <t>Viet_Nam_TB_Ministry_of_Health_National_Lung_Hospital_of_the_Socialist_Republic_of_Viet_Nam_USD</t>
  </si>
  <si>
    <t>Viet_Nam_TB_USD</t>
  </si>
  <si>
    <t>Viet_Nam_TB_Viet_Nam_National_Lung_Hospital__</t>
  </si>
  <si>
    <t>Viet_Nam_TB_Viet_Nam_National_Lung_Hospital_USD</t>
  </si>
  <si>
    <t>Western_Africa_HIV___USD</t>
  </si>
  <si>
    <t>Western_Africa_HIV_Abidjan_Lagos_Corridor_Organization_EUR</t>
  </si>
  <si>
    <t>Western_Africa_HIV_EUR</t>
  </si>
  <si>
    <t>Western_Africa_HIV_Handicap_International_Federation_EUR</t>
  </si>
  <si>
    <t>Western_Africa_HIV_International_Treatment_Preparedness_Coalition_EUR</t>
  </si>
  <si>
    <t>Western_Africa_Multi_EUR</t>
  </si>
  <si>
    <t>Western_Asia_Multi_International_Organization_for_Migration_USD</t>
  </si>
  <si>
    <t>Western_Asia_Multi_USD</t>
  </si>
  <si>
    <t>Western_Asia_TB_International_Organization_for_Migration_USD</t>
  </si>
  <si>
    <t>Western_Asia_TB_USD</t>
  </si>
  <si>
    <t>World_HIV___USD</t>
  </si>
  <si>
    <t>World_HIV_Asia_Pacific_Network_of_People_Living_with_HIV_AIDS_USD</t>
  </si>
  <si>
    <t>World_HIV_Australian_Federation_Of_Aids_Organisations__Inc__USD</t>
  </si>
  <si>
    <t>World_HIV_EUR</t>
  </si>
  <si>
    <t>World_HIV_Eurasian_Coalition_on_Male_Health_EUR</t>
  </si>
  <si>
    <t>World_HIV_Eurasian_Harm_Reduction_Network_EUR</t>
  </si>
  <si>
    <t>World_HIV_Frontline_AIDS_USD</t>
  </si>
  <si>
    <t>World_HIV_ICO_East_Europe_and_Central_Asia_Union_of_People_Living_with_HIV_EUR</t>
  </si>
  <si>
    <t>World_HIV_Middle_East_and_North_Africa_Harm_Reduction_Association_USD</t>
  </si>
  <si>
    <t>World_HIV_Save_the_Children_Federation__Inc__USD</t>
  </si>
  <si>
    <t>World_HIV_USD</t>
  </si>
  <si>
    <t>World_Multi_USD</t>
  </si>
  <si>
    <t>World_TB_Center_for_Health_Policies_and_Studies_USD</t>
  </si>
  <si>
    <t>World_TB_USD</t>
  </si>
  <si>
    <t>Yemen_HIV___USD</t>
  </si>
  <si>
    <t>Yemen_HIV_National_AIDS_Program_USD</t>
  </si>
  <si>
    <t>Yemen_HIV_USD</t>
  </si>
  <si>
    <t>Yemen_Malaria___USD</t>
  </si>
  <si>
    <t>Yemen_Malaria_National_Malaria_Control_Programme_of_the_Ministry_of_Health_and_Population_of_the_Republic_of_Yemen_USD</t>
  </si>
  <si>
    <t>Yemen_Malaria_USD</t>
  </si>
  <si>
    <t>Yemen_TB___USD</t>
  </si>
  <si>
    <t>Yemen_TB_The_National_Tuberculosis_Control_Program_USD</t>
  </si>
  <si>
    <t>Yemen_TB_USD</t>
  </si>
  <si>
    <t>Zambia_HIV____</t>
  </si>
  <si>
    <t>Zambia_HIV___USD</t>
  </si>
  <si>
    <t>Zambia_HIV_United_Nations_Development_Programme_USD</t>
  </si>
  <si>
    <t>Zambia_HIV_USD</t>
  </si>
  <si>
    <t>Zambia_Malaria___USD</t>
  </si>
  <si>
    <t>Zambia_Malaria_Churches_Health_Association_of_Zambia_USD</t>
  </si>
  <si>
    <t>Zambia_Malaria_Ministry_of_Health_of_the_Republic_of_Zambia_USD</t>
  </si>
  <si>
    <t>Zambia_Malaria_United_Nations_Development_Programme_USD</t>
  </si>
  <si>
    <t>Zambia_Malaria_USD</t>
  </si>
  <si>
    <t>Zambia_Multi__</t>
  </si>
  <si>
    <t>Zambia_Multi____</t>
  </si>
  <si>
    <t>Zambia_Multi_Churches_Health_Association_of_Zambia__</t>
  </si>
  <si>
    <t>Zambia_Multi_Churches_Health_Association_of_Zambia_USD</t>
  </si>
  <si>
    <t>Zambia_Multi_Ministry_of_Health_of_the_Republic_of_Zambia_USD</t>
  </si>
  <si>
    <t>Zambia_Multi_USD</t>
  </si>
  <si>
    <t>Zambia_TB____</t>
  </si>
  <si>
    <t>Zambia_TB___USD</t>
  </si>
  <si>
    <t>Zambia_TB_United_Nations_Development_Programme_USD</t>
  </si>
  <si>
    <t>Zambia_TB_USD</t>
  </si>
  <si>
    <t>Zanzibar_HIV___USD</t>
  </si>
  <si>
    <t>Zanzibar_Malaria__</t>
  </si>
  <si>
    <t>Zanzibar_Malaria___EUR</t>
  </si>
  <si>
    <t>Zanzibar_Malaria___USD</t>
  </si>
  <si>
    <t>Zanzibar_Malaria_Ministry_of_Health_of_the_Revolutionary_Government_of_Zanzibar__</t>
  </si>
  <si>
    <t>Zanzibar_Malaria_Ministry_of_Health_of_the_Revolutionary_Government_of_Zanzibar_USD</t>
  </si>
  <si>
    <t>Zanzibar_Malaria_USD</t>
  </si>
  <si>
    <t>Zanzibar_Multi__</t>
  </si>
  <si>
    <t>Zanzibar_Multi_Ministry_of_Health_of_the_Revolutionary_Government_of_Zanzibar__</t>
  </si>
  <si>
    <t>Zanzibar_Multi_Ministry_of_Health_of_the_Revolutionary_Government_of_Zanzibar_USD</t>
  </si>
  <si>
    <t>Zanzibar_Multi_USD</t>
  </si>
  <si>
    <t>Zanzibar_TB___USD</t>
  </si>
  <si>
    <t>Zimbabwe_HIV__</t>
  </si>
  <si>
    <t>Zimbabwe_HIV____</t>
  </si>
  <si>
    <t>Zimbabwe_HIV___USD</t>
  </si>
  <si>
    <t>Zimbabwe_HIV_The_Ministry_of_Health_and_Child_Care_of_the_Republic_of_Zimbabwe__</t>
  </si>
  <si>
    <t>Zimbabwe_HIV_United_Nations_Development_Programme_USD</t>
  </si>
  <si>
    <t>Zimbabwe_HIV_USD</t>
  </si>
  <si>
    <t>Zimbabwe_Malaria__</t>
  </si>
  <si>
    <t>Zimbabwe_Malaria____</t>
  </si>
  <si>
    <t>Zimbabwe_Malaria___USD</t>
  </si>
  <si>
    <t>Zimbabwe_Malaria_The_Ministry_of_Health_and_Child_Care_of_the_Republic_of_Zimbabwe__</t>
  </si>
  <si>
    <t>Zimbabwe_Malaria_The_Ministry_of_Health_and_Child_Care_of_the_Republic_of_Zimbabwe_USD</t>
  </si>
  <si>
    <t>Zimbabwe_Malaria_United_Nations_Development_Programme_USD</t>
  </si>
  <si>
    <t>Zimbabwe_Malaria_USD</t>
  </si>
  <si>
    <t>Zimbabwe_Multi__</t>
  </si>
  <si>
    <t>Zimbabwe_Multi____</t>
  </si>
  <si>
    <t>Zimbabwe_Multi_The_Ministry_of_Health_and_Child_Care_of_the_Republic_of_Zimbabwe__</t>
  </si>
  <si>
    <t>Zimbabwe_RSSH_United_Nations_Development_Programme_USD</t>
  </si>
  <si>
    <t>Zimbabwe_RSSH_USD</t>
  </si>
  <si>
    <t>Zimbabwe_TB____</t>
  </si>
  <si>
    <t>Zimbabwe_TB___USD</t>
  </si>
  <si>
    <t>Zimbabwe_TB_The_Ministry_of_Health_and_Child_Care_of_the_Republic_of_Zimbabwe_USD</t>
  </si>
  <si>
    <t>Zimbabwe_TB_United_Nations_Development_Programme_USD</t>
  </si>
  <si>
    <t>Zimbabwe_TB_USD</t>
  </si>
  <si>
    <t>Indonesia_Malaria_Persatuan_Karya_Dharma_Kesehatan_Indonesia__also_known_as__PERDHAKI___Association_of_Voluntary_Health_Services_of_Indonesia__USD</t>
  </si>
  <si>
    <t>Ukraine_HIV_International_Charitable_Foundation__Alliance_for_Public_Health__USD</t>
  </si>
  <si>
    <t>Ukraine_Multi_International_Charitable_Foundation__Alliance_for_Public_Health__USD</t>
  </si>
  <si>
    <t>World_HIV_International_Charitable_Foundation__Alliance_for_Public_Health__USD</t>
  </si>
  <si>
    <t>World_Multi_International_Charitable_Foundation__Alliance_for_Public_Health__USD</t>
  </si>
  <si>
    <t>Afghanistan_HIV__USD</t>
  </si>
  <si>
    <t>Afghanistan_Malaria__EUR</t>
  </si>
  <si>
    <t>Afghanistan_Malaria__USD</t>
  </si>
  <si>
    <t>Afghanistan_RSSH__USD</t>
  </si>
  <si>
    <t>Afghanistan_TB__EUR</t>
  </si>
  <si>
    <t>Afghanistan_TB__USD</t>
  </si>
  <si>
    <t>Africa_Malaria__USD</t>
  </si>
  <si>
    <t>Albania_HIV__USD</t>
  </si>
  <si>
    <t>Albania_Multi_Ministry_of_Health_of_the_Republic_of_Albania_</t>
  </si>
  <si>
    <t>Albania_TB__USD</t>
  </si>
  <si>
    <t>Algeria_HIV__USD</t>
  </si>
  <si>
    <t>Americas_HIV__USD</t>
  </si>
  <si>
    <t>Angola_Malaria__USD</t>
  </si>
  <si>
    <t>Angola_Malaria_World_Vision_International_</t>
  </si>
  <si>
    <t>Angola_Multi_United_Nations_Development_Programme_</t>
  </si>
  <si>
    <t>Angola_RSSH_United_Nations_Development_Programme_</t>
  </si>
  <si>
    <t>Angola_TB__USD</t>
  </si>
  <si>
    <t>Argentina_HIV__USD</t>
  </si>
  <si>
    <t>Armenia_HIV__EUR</t>
  </si>
  <si>
    <t>Armenia_HIV__USD</t>
  </si>
  <si>
    <t>Armenia_HIV_Ministry_of_Health_of_the_Republic_of_Armenia_</t>
  </si>
  <si>
    <t>Armenia_Multi_Ministry_of_Health_of_the_Republic_of_Armenia_</t>
  </si>
  <si>
    <t>Armenia_RSSH__EUR</t>
  </si>
  <si>
    <t>Armenia_TB__EUR</t>
  </si>
  <si>
    <t>Armenia_TB__USD</t>
  </si>
  <si>
    <t>Armenia_TB_Ministry_of_Health_of_the_Republic_of_Armenia_</t>
  </si>
  <si>
    <t>Azerbaijan_HIV__USD</t>
  </si>
  <si>
    <t>Azerbaijan_HIV_Ministry_of_Health_of_the_Republic_of_Azerbaijan_</t>
  </si>
  <si>
    <t>Azerbaijan_Malaria__EUR</t>
  </si>
  <si>
    <t>Azerbaijan_TB__EUR</t>
  </si>
  <si>
    <t>Azerbaijan_TB_Ministry_of_Health_of_the_Republic_of_Azerbaijan_</t>
  </si>
  <si>
    <t>Bangladesh_HIV__USD</t>
  </si>
  <si>
    <t>Bangladesh_Malaria__USD</t>
  </si>
  <si>
    <t>Bangladesh_TB__USD</t>
  </si>
  <si>
    <t>Belarus_HIV__EUR</t>
  </si>
  <si>
    <t>Belarus_HIV__USD</t>
  </si>
  <si>
    <t>Belarus_TB__USD</t>
  </si>
  <si>
    <t>Belize_HIV__USD</t>
  </si>
  <si>
    <t>Belize_Multi_United_Nations_Development_Programme_</t>
  </si>
  <si>
    <t>Benin_HIV__EUR</t>
  </si>
  <si>
    <t>Benin_HIV__USD</t>
  </si>
  <si>
    <t>Benin_Malaria__USD</t>
  </si>
  <si>
    <t>Benin_TB__EUR</t>
  </si>
  <si>
    <t>Benin_TB__USD</t>
  </si>
  <si>
    <t>Bhutan_HIV__USD</t>
  </si>
  <si>
    <t>Bhutan_HIV_Ministry_of_Health_of_the_Royal_Government_of_Bhutan_</t>
  </si>
  <si>
    <t>Bhutan_Malaria__USD</t>
  </si>
  <si>
    <t>Bhutan_Malaria_Ministry_of_Health_of_the_Royal_Government_of_Bhutan_</t>
  </si>
  <si>
    <t>Bhutan_TB__USD</t>
  </si>
  <si>
    <t>Bhutan_TB_Ministry_of_Health_of_the_Royal_Government_of_Bhutan_</t>
  </si>
  <si>
    <t>Bosnia_and_Herzegovina_HIV__USD</t>
  </si>
  <si>
    <t>Bosnia_and_Herzegovina_TB__USD</t>
  </si>
  <si>
    <t>Botswana_HIV__USD</t>
  </si>
  <si>
    <t>Botswana_Malaria_Ministry_of_Health_of_the_Republic_of_Botswana_</t>
  </si>
  <si>
    <t>Botswana_Multi_African_Comprehensive_HIV_AIDS_Partnerships_</t>
  </si>
  <si>
    <t>Botswana_TB__USD</t>
  </si>
  <si>
    <t>Brazil_Malaria__EUR</t>
  </si>
  <si>
    <t>Brazil_TB__USD</t>
  </si>
  <si>
    <t>Bulgaria_TB__EUR</t>
  </si>
  <si>
    <t>Burkina_Faso_HIV__EUR</t>
  </si>
  <si>
    <t>Burkina_Faso_HIV__USD</t>
  </si>
  <si>
    <t>Burkina_Faso_Malaria__EUR</t>
  </si>
  <si>
    <t>Burkina_Faso_Malaria__USD</t>
  </si>
  <si>
    <t>Burkina_Faso_TB__EUR</t>
  </si>
  <si>
    <t>Burkina_Faso_TB__USD</t>
  </si>
  <si>
    <t>Burundi_HIV__USD</t>
  </si>
  <si>
    <t>Burundi_HIV_United_Nations_Development_Programme_</t>
  </si>
  <si>
    <t>Burundi_Malaria__USD</t>
  </si>
  <si>
    <t>Burundi_Multi_Ministry_of_Public_Health_and_Fight_against_AIDS_of_the_Republic_of_Burundi_</t>
  </si>
  <si>
    <t>Burundi_Multi_Red_Cross_Burundi_</t>
  </si>
  <si>
    <t>Burundi_TB__USD</t>
  </si>
  <si>
    <t>Cabo_Verde_Multi_Coordination_Committee_of_the_Fight_against_AIDS_of_Cabo_Verde_</t>
  </si>
  <si>
    <t>Cambodia_HIV__USD</t>
  </si>
  <si>
    <t>Cambodia_HIV_Federal_Ministry_of_Health_of_the_Republic_of_Sudan_</t>
  </si>
  <si>
    <t>Cambodia_Malaria__USD</t>
  </si>
  <si>
    <t>Cambodia_Multi_Cambodia_Ministry_of_Economy_and_Finance_</t>
  </si>
  <si>
    <t>Cambodia_RSSH__USD</t>
  </si>
  <si>
    <t>Cambodia_TB__USD</t>
  </si>
  <si>
    <t>Cameroon_HIV__EUR</t>
  </si>
  <si>
    <t>Cameroon_HIV__USD</t>
  </si>
  <si>
    <t>Cameroon_Malaria__EUR</t>
  </si>
  <si>
    <t>Cameroon_Malaria__USD</t>
  </si>
  <si>
    <t>Cameroon_Malaria_Ministry_of_Public_Health_of_the_Republic_of_Cameroon_</t>
  </si>
  <si>
    <t>Cameroon_Multi_Cameroon_National_Association_for_Family_Welfare_</t>
  </si>
  <si>
    <t>Cameroon_TB__USD</t>
  </si>
  <si>
    <t>Caribbean_HIV__USD</t>
  </si>
  <si>
    <t>Central_African_Republic_HIV__USD</t>
  </si>
  <si>
    <t>Central_African_Republic_Malaria__EUR</t>
  </si>
  <si>
    <t>Central_African_Republic_Malaria__USD</t>
  </si>
  <si>
    <t>Central_African_Republic_TB__USD</t>
  </si>
  <si>
    <t>Central_America_HIV__USD</t>
  </si>
  <si>
    <t>Chad_HIV__EUR</t>
  </si>
  <si>
    <t>Chad_HIV__USD</t>
  </si>
  <si>
    <t>Chad_Malaria__EUR</t>
  </si>
  <si>
    <t>Chad_Malaria__USD</t>
  </si>
  <si>
    <t>Chad_Malaria_United_Nations_Development_Programme_</t>
  </si>
  <si>
    <t>Chad_Multi_Ministry_of_Public_Health_Chad_</t>
  </si>
  <si>
    <t>Chad_Multi_Swiss_Tropical_and_Public_Health_Institute_</t>
  </si>
  <si>
    <t>Chad_TB__USD</t>
  </si>
  <si>
    <t>Chile_HIV__USD</t>
  </si>
  <si>
    <t>China_HIV__USD</t>
  </si>
  <si>
    <t>China_Malaria__USD</t>
  </si>
  <si>
    <t>China_TB__EUR</t>
  </si>
  <si>
    <t>China_TB__USD</t>
  </si>
  <si>
    <t>Colombia_HIV__USD</t>
  </si>
  <si>
    <t>Colombia_Malaria__EUR</t>
  </si>
  <si>
    <t>Comoros_HIV__USD</t>
  </si>
  <si>
    <t>Comoros_Malaria__USD</t>
  </si>
  <si>
    <t>Comoros_TB_Programme_National_de_Lutte_contre_la_Tuberculose_et_la_Lepre_</t>
  </si>
  <si>
    <t>Congo_HIV__USD</t>
  </si>
  <si>
    <t>Congo_Malaria__EUR</t>
  </si>
  <si>
    <t>Costa_Rica_HIV__USD</t>
  </si>
  <si>
    <t>Costa_Rica_HIV_Humanist_Institute_for_Co_operation_with_Developing_Countries_</t>
  </si>
  <si>
    <t>Croatia_HIV__USD</t>
  </si>
  <si>
    <t>Cuba_HIV__USD</t>
  </si>
  <si>
    <t>Cuba_HIV_United_Nations_Development_Programme_</t>
  </si>
  <si>
    <t>Cuba_TB__USD</t>
  </si>
  <si>
    <t>Djibouti_HIV__USD</t>
  </si>
  <si>
    <t>Djibouti_Malaria__USD</t>
  </si>
  <si>
    <t>Djibouti_Malaria_United_Nations_Development_Programme_</t>
  </si>
  <si>
    <t>Djibouti_Multi_United_Nations_Development_Programme_</t>
  </si>
  <si>
    <t>Djibouti_TB__USD</t>
  </si>
  <si>
    <t>Dominican_Republic_HIV__USD</t>
  </si>
  <si>
    <t>Dominican_Republic_Malaria__USD</t>
  </si>
  <si>
    <t>Dominican_Republic_TB__USD</t>
  </si>
  <si>
    <t>Dominican_Republic_TB_Ministry_of_Public_Health_and_Social_Assistance_of_the_Dominican_Republic_</t>
  </si>
  <si>
    <t>Ecuador_HIV__USD</t>
  </si>
  <si>
    <t>Ecuador_HIV_Ministry_of_Public_Health_of_the_Republic_of_Ecuador_</t>
  </si>
  <si>
    <t>Ecuador_TB__USD</t>
  </si>
  <si>
    <t>Egypt_Multi_United_Nations_Development_Programme_</t>
  </si>
  <si>
    <t>Egypt_TB__USD</t>
  </si>
  <si>
    <t>El_Salvador_HIV__USD</t>
  </si>
  <si>
    <t>El_Salvador_HIV_Ministry_of_Health_of_the_Republic_of_El_Salvador_</t>
  </si>
  <si>
    <t>El_Salvador_TB__USD</t>
  </si>
  <si>
    <t>El_Salvador_TB_Ministry_of_Health_of_the_Republic_of_El_Salvador_</t>
  </si>
  <si>
    <t>Equatorial_Guinea_HIV__USD</t>
  </si>
  <si>
    <t>Equatorial_Guinea_Malaria__USD</t>
  </si>
  <si>
    <t>Eritrea_HIV__USD</t>
  </si>
  <si>
    <t>Eritrea_HIV_Ministry_of_Health_of_the_State_of_Eritrea_</t>
  </si>
  <si>
    <t>Eritrea_Malaria__USD</t>
  </si>
  <si>
    <t>Eritrea_Malaria_Ministry_of_Health_of_the_State_of_Eritrea_</t>
  </si>
  <si>
    <t>Eritrea_TB__USD</t>
  </si>
  <si>
    <t>Eritrea_TB_Ministry_of_Health_of_the_State_of_Eritrea_</t>
  </si>
  <si>
    <t>Estonia_HIV__USD</t>
  </si>
  <si>
    <t>Eswatini_HIV__USD</t>
  </si>
  <si>
    <t>Eswatini_Malaria__USD</t>
  </si>
  <si>
    <t>Eswatini_Malaria_National_Emergency_Response_Council_on_HIV_and_AIDS_</t>
  </si>
  <si>
    <t>Eswatini_Multi_Coordinating_Assembly_of_Non_Governmental_Organisation_</t>
  </si>
  <si>
    <t>Eswatini_Multi_National_Emergency_Response_Council_on_HIV_and_AIDS_</t>
  </si>
  <si>
    <t>Eswatini_RSSH__USD</t>
  </si>
  <si>
    <t>Eswatini_TB__USD</t>
  </si>
  <si>
    <t>Ethiopia_HIV__USD</t>
  </si>
  <si>
    <t>Ethiopia_Malaria__USD</t>
  </si>
  <si>
    <t>Ethiopia_Malaria_Federal_Ministry_of_Health_of_the_Federal_Democratic_Republic_of_Ethiopia_</t>
  </si>
  <si>
    <t>Ethiopia_Multi_HIV_AIDS_Prevention_and_Control_Office_</t>
  </si>
  <si>
    <t>Ethiopia_RSSH_Federal_Ministry_of_Health_of_the_Federal_Democratic_Republic_of_Ethiopia_</t>
  </si>
  <si>
    <t>Ethiopia_TB__USD</t>
  </si>
  <si>
    <t>Gabon_HIV__EUR</t>
  </si>
  <si>
    <t>Gabon_HIV__USD</t>
  </si>
  <si>
    <t>Gabon_Malaria__EUR</t>
  </si>
  <si>
    <t>Gabon_Malaria__USD</t>
  </si>
  <si>
    <t>Gambia_HIV__USD</t>
  </si>
  <si>
    <t>Gambia_Malaria__USD</t>
  </si>
  <si>
    <t>Gambia_Malaria_Ministry_of_Health_and_Social_Welfare_of_the_Republic_of_Gambia_</t>
  </si>
  <si>
    <t>Gambia_Multi_ActionAid_International_The_Gambia_</t>
  </si>
  <si>
    <t>Gambia_TB__USD</t>
  </si>
  <si>
    <t>Georgia_HIV__EUR</t>
  </si>
  <si>
    <t>Georgia_HIV__USD</t>
  </si>
  <si>
    <t>Georgia_HIV_National_Center_For_Disease_Control_and_Public_Health_</t>
  </si>
  <si>
    <t>Georgia_Malaria__USD</t>
  </si>
  <si>
    <t>Georgia_TB__EUR</t>
  </si>
  <si>
    <t>Georgia_TB__USD</t>
  </si>
  <si>
    <t>Georgia_TB_National_Center_For_Disease_Control_and_Public_Health_</t>
  </si>
  <si>
    <t>Ghana_HIV__USD</t>
  </si>
  <si>
    <t>Ghana_HIV_West_African_Program_to_Combat_AIDS_and_STI_</t>
  </si>
  <si>
    <t>Ghana_Malaria__USD</t>
  </si>
  <si>
    <t>Ghana_Multi_Ministry_of_Health_of_the_Republic_of_Ghana_</t>
  </si>
  <si>
    <t>Ghana_Multi_West_African_Program_to_Combat_AIDS_and_STI_</t>
  </si>
  <si>
    <t>Ghana_TB__USD</t>
  </si>
  <si>
    <t>Guatemala_HIV__USD</t>
  </si>
  <si>
    <t>Guatemala_Malaria__USD</t>
  </si>
  <si>
    <t>Guatemala_Malaria_Ministry_of_Health_and_Social_Assistance_of_the_Republic_of_Guatemala_</t>
  </si>
  <si>
    <t>Guatemala_TB__USD</t>
  </si>
  <si>
    <t>Guatemala_TB_Ministry_of_Health_and_Social_Assistance_of_the_Republic_of_Guatemala_</t>
  </si>
  <si>
    <t>Guinea_HIV__USD</t>
  </si>
  <si>
    <t>Guinea_HIV_The_Ministry_of_Public_Health_of_the_Republic_of_Guinea_</t>
  </si>
  <si>
    <t>Guinea_Malaria__USD</t>
  </si>
  <si>
    <t>Guinea_RSSH__USD</t>
  </si>
  <si>
    <t>Guinea_TB__EUR</t>
  </si>
  <si>
    <t>Guinea_Bissau_HIV__USD</t>
  </si>
  <si>
    <t>Guinea_Bissau_Malaria__EUR</t>
  </si>
  <si>
    <t>Guinea_Bissau_Malaria__USD</t>
  </si>
  <si>
    <t>Guinea_Bissau_Malaria_United_Nations_Development_Programme_</t>
  </si>
  <si>
    <t>Guinea_Bissau_Multi_Ministry_of_Health_of_the_Republic_of_Guinea_Bissau_</t>
  </si>
  <si>
    <t>Guinea_Bissau_RSSH__EUR</t>
  </si>
  <si>
    <t>Guinea_Bissau_TB__EUR</t>
  </si>
  <si>
    <t>Guinea_Bissau_TB__USD</t>
  </si>
  <si>
    <t>Guyana_HIV_Ministry_of_Health_of_the_Republic_of_Guyana_</t>
  </si>
  <si>
    <t>Guyana_Malaria__USD</t>
  </si>
  <si>
    <t>Guyana_Malaria_Ministry_of_Health_of_the_Republic_of_Guyana_</t>
  </si>
  <si>
    <t>Guyana_RSSH__USD</t>
  </si>
  <si>
    <t>Guyana_TB__USD</t>
  </si>
  <si>
    <t>Guyana_TB_Ministry_of_Health_of_the_Republic_of_Guyana_</t>
  </si>
  <si>
    <t>Haiti_HIV__USD</t>
  </si>
  <si>
    <t>Haiti_Malaria__USD</t>
  </si>
  <si>
    <t>Haiti_Malaria_Population_Services_International_</t>
  </si>
  <si>
    <t>Haiti_Multi_Population_Services_International_</t>
  </si>
  <si>
    <t>Haiti_TB__USD</t>
  </si>
  <si>
    <t>Honduras_HIV__USD</t>
  </si>
  <si>
    <t>Honduras_HIV_Cooperative_Housing_Foundation_</t>
  </si>
  <si>
    <t>Honduras_Malaria__USD</t>
  </si>
  <si>
    <t>Honduras_Malaria_Cooperative_Housing_Foundation_</t>
  </si>
  <si>
    <t>Honduras_TB__USD</t>
  </si>
  <si>
    <t>Honduras_TB_Ministry_of_Health_of_the_Republic_of_Honduras_</t>
  </si>
  <si>
    <t>India_HIV__USD</t>
  </si>
  <si>
    <t>India_Malaria__USD</t>
  </si>
  <si>
    <t>India_Multi__USD</t>
  </si>
  <si>
    <t>India_Multi_William_J_Clinton_Foundation_</t>
  </si>
  <si>
    <t>India_TB__USD</t>
  </si>
  <si>
    <t>India_TB_Centre_for_Health_Research_and_Innovation_</t>
  </si>
  <si>
    <t>India_TB_FOUNDATION_FOR_INNOVATIVE_NEW_DIAGNOSTICS_INDIA_</t>
  </si>
  <si>
    <t>India_TB_International_Bank_for_Reconstruction_and_Development_</t>
  </si>
  <si>
    <t>Indonesia_HIV__USD</t>
  </si>
  <si>
    <t>Indonesia_HIV_Indonesia_AIDS_Coalition_</t>
  </si>
  <si>
    <t>Indonesia_Malaria__USD</t>
  </si>
  <si>
    <t>Indonesia_Multi_Nahdlatul_Ulama_</t>
  </si>
  <si>
    <t>Indonesia_TB__USD</t>
  </si>
  <si>
    <t>Indonesia_TB_Nahdlatul_Ulama_</t>
  </si>
  <si>
    <t>Iraq_TB__USD</t>
  </si>
  <si>
    <t>Jamaica_HIV__USD</t>
  </si>
  <si>
    <t>Jamaica_HIV_Ministry_of_Health_of_Jamaica_</t>
  </si>
  <si>
    <t>Jordan_HIV__USD</t>
  </si>
  <si>
    <t>Jordan_TB__USD</t>
  </si>
  <si>
    <t>Kazakhstan_HIV__USD</t>
  </si>
  <si>
    <t>Kazakhstan_HIV_Kazakh_scientific_center_of_dermatology_and_infectious_diseases_of_the_Ministry_of_Health_of_the_Republic_of_Kazakhstan_</t>
  </si>
  <si>
    <t>Kazakhstan_TB__USD</t>
  </si>
  <si>
    <t>Kazakhstan_TB_National_Center_of_Tuberculosis_Problems_of_the_Ministry_of_Healthcare_and_Social_Development_of_the_Republic_of_Kazakhstan_</t>
  </si>
  <si>
    <t>Kenya_HIV__USD</t>
  </si>
  <si>
    <t>Kenya_Malaria__USD</t>
  </si>
  <si>
    <t>Kenya_Malaria_Amref_Health_Africa_in_Kenya_</t>
  </si>
  <si>
    <t>Kenya_Multi_Amref_Health_Africa_in_Kenya_</t>
  </si>
  <si>
    <t>Kenya_TB__USD</t>
  </si>
  <si>
    <t>Kosovo_HIV__EUR</t>
  </si>
  <si>
    <t>Kosovo_HIV_Community_Development_Fund_</t>
  </si>
  <si>
    <t>Kosovo_TB__EUR</t>
  </si>
  <si>
    <t>Kosovo_TB__USD</t>
  </si>
  <si>
    <t>Kosovo_TB_Community_Development_Fund_</t>
  </si>
  <si>
    <t>Kyrgyzstan_HIV__USD</t>
  </si>
  <si>
    <t>Kyrgyzstan_Malaria__USD</t>
  </si>
  <si>
    <t>Kyrgyzstan_Multi_United_Nations_Development_Programme_</t>
  </si>
  <si>
    <t>Kyrgyzstan_TB__USD</t>
  </si>
  <si>
    <t>Lesotho_HIV__USD</t>
  </si>
  <si>
    <t>Lesotho_Multi_Pact_Lesotho_</t>
  </si>
  <si>
    <t>Lesotho_TB__USD</t>
  </si>
  <si>
    <t>Africa_Malaria_Lubombo_Spatial_Development_Initiative___NPC_USD</t>
  </si>
  <si>
    <t>Africa_TB_Programme_National_contre_la_Tuberculose_de_la_R_publique_du_B_nin_EUR</t>
  </si>
  <si>
    <t>Algeria_HIV_Ministry_of_Health__Population_and_Hospital_Reform_of_the_People_s_Democratic_Republic_of_Algeria_USD</t>
  </si>
  <si>
    <t>Americas_TB_Organismo_Andino_de_Salud___Convenio_Hip_lito_Unanue_USD</t>
  </si>
  <si>
    <t>Bangladesh_HIV_Save_the_Children_Federation__Inc__USD</t>
  </si>
  <si>
    <t>Benin_HIV_Plan_International__Inc__EUR</t>
  </si>
  <si>
    <t>Benin_HIV_Programme_National_de_Lutte_contre_le_SIDA_de_la_R_publique_du_B_nin_EUR</t>
  </si>
  <si>
    <t>Benin_Malaria_Programme_National_de_Lutte_contre_le_Paludisme_de_la_R_publique_du_B_nin_EUR</t>
  </si>
  <si>
    <t>Benin_RSSH_Conseil_National_de_Lutte_contre_le_VIH_SIDA__la_Tuberculose__le_Paludisme__les_H_patites__les_Infections_sexuellement_transmissibles_et_les_Epid_mies_EUR</t>
  </si>
  <si>
    <t>Benin_TB_Programme_National_contre_la_Tuberculose_de_la_R_publique_du_B_nin_EUR</t>
  </si>
  <si>
    <t>Bolivia__Plurinational_State__TB_Asociaci_n_Protecci_n_a_la_Salud_USD</t>
  </si>
  <si>
    <t>Burkina_Faso_HIV_Initiative_Priv_e_et_Communautaire_contre_le_VIH_SIDA_au_Burkina_Faso_EUR</t>
  </si>
  <si>
    <t>Burkina_Faso_HIV_Secr_tariat_Permanent_du_Conseil_National_de_Lutte_contre_le_Sida_et_les_IST_du_Burkina_Faso_EUR</t>
  </si>
  <si>
    <t>Burkina_Faso_Malaria_Plan_International__Inc__EUR</t>
  </si>
  <si>
    <t>Burkina_Faso_Malaria_Programme_d_Appui_au_D_veloppment_Sanitaire_du_Burkina_Faso_EUR</t>
  </si>
  <si>
    <t>Burkina_Faso_Multi_Initiative_Priv_e_et_Communautaire_contre_le_VIH_SIDA_au_Burkina_Faso_EUR</t>
  </si>
  <si>
    <t>Burkina_Faso_RSSH_Programme_d_Appui_au_D_veloppment_Sanitaire_du_Burkina_Faso_EUR</t>
  </si>
  <si>
    <t>Burkina_Faso_TB_Programme_d_Appui_au_D_veloppment_Sanitaire_du_Burkina_Faso_EUR</t>
  </si>
  <si>
    <t>Burkina_Faso_TB_Secr_tariat_Permanent_du_Conseil_National_de_Lutte_contre_le_Sida_et_les_IST_du_Burkina_Faso_EUR</t>
  </si>
  <si>
    <t>Burundi_HIV_R_seau_Burundais_des_Personnes_Vivant_avec_le_VIH_SIDA_USD</t>
  </si>
  <si>
    <t>Burundi_HIV_Secr_tariat_Ex_cutif_Permanent_du_Conseil_National_de_Lutte_contre_le_SIDA_USD</t>
  </si>
  <si>
    <t>Burundi_Malaria_Secr_tariat_Ex_cutif_Permanent_du_Conseil_National_de_Lutte_contre_le_SIDA_USD</t>
  </si>
  <si>
    <t>Cameroon_Malaria_Plan_International__Inc__EUR</t>
  </si>
  <si>
    <t>Central_America_HIV_Secretar_a_de_la_Integraci_n_Social_Centroamericana_USD</t>
  </si>
  <si>
    <t>Chad_HIV_Fonds_de_soutien_aux_activit_s_en_mati_re_de_population_et_de_lutte_contre_le_Sida_de_la_R_publique_du_Tchad_EUR</t>
  </si>
  <si>
    <t>Chad_Malaria_Fonds_de_soutien_aux_activit_s_en_mati_re_de_population_et_de_lutte_contre_le_Sida_de_la_R_publique_du_Tchad_EUR</t>
  </si>
  <si>
    <t>Chad_TB_Fonds_de_soutien_aux_activit_s_en_mati_re_de_population_et_de_lutte_contre_le_Sida_de_la_R_publique_du_Tchad_EUR</t>
  </si>
  <si>
    <t>Congo_HIV_La_Croix_Rouge_fran_aise_EUR</t>
  </si>
  <si>
    <t>Congo_HIV_Secr_tariat_Ex_cutif_Permanent_du_Conseil_National_de_Lutte_contre_le_SIDA_de_la_R_publique_du_Congo_EUR</t>
  </si>
  <si>
    <t>Congo_Multi_La_Croix_Rouge_fran_aise_EUR</t>
  </si>
  <si>
    <t>C_te_d_Ivoire_HIV_Programme_National_de_Lutte_contre_le_SIDA_de_la_R_publique_de_C_te_d_Ivoire_EUR</t>
  </si>
  <si>
    <t>C_te_d_Ivoire_Malaria_Save_the_Children_Federation__Inc__EUR</t>
  </si>
  <si>
    <t>Dominican_Republic_HIV_Instituto_Dermatol_gico_y_Cirug_a_de_Piel_‘Dr__Huberto_Bogaert_D_az’_USD</t>
  </si>
  <si>
    <t>Ecuador_HIV_Corporaci_n_Kimirina_USD</t>
  </si>
  <si>
    <t>Ecuador_Malaria_Corporaci_n_Kimirina_USD</t>
  </si>
  <si>
    <t>El_Salvador_HIV_Plan_International__Inc__USD</t>
  </si>
  <si>
    <t>Gabon_TB_Centre_de_Recherches_M_dicales_de_Lambar_n__EUR</t>
  </si>
  <si>
    <t>Guinea_HIV_Secr_tariat_Ex_cutif_du_Comit__National_de_Lutte_contre_le_Sida_de_la_R_publique_de_Guin_e_USD</t>
  </si>
  <si>
    <t>Guinea_Multi_Plan_International__Inc__USD</t>
  </si>
  <si>
    <t>Guinea_TB_Plan_International__Inc__USD</t>
  </si>
  <si>
    <t>Madagascar_HIV_S_cr_tariat_Ex_cutif_du_Comit__National_de_Lutte_Contre_le_VIH_SIDA_de_la_R_publique_de_Madagascar__</t>
  </si>
  <si>
    <t>Madagascar_HIV_S_cr_tariat_Ex_cutif_du_Comit__National_de_Lutte_Contre_le_VIH_SIDA_de_la_R_publique_de_Madagascar_USD</t>
  </si>
  <si>
    <t>Madagascar_Malaria_Unit__de_Gestion_des_Projets_d_Appui_au_Secteur_Sant__de_la_R_publique_de_Madagascar_USD</t>
  </si>
  <si>
    <t>Mali_Malaria_Groupe_Pivot_Sant__Population_USD</t>
  </si>
  <si>
    <t>Mauritania_HIV_Secr_tariat_Ex_cutif_National_de_Lutte_contre_le_SIDA_de_la_R_publique_Islamique_de_Mauritanie__</t>
  </si>
  <si>
    <t>Mauritania_HIV_Secr_tariat_Ex_cutif_National_de_Lutte_contre_le_SIDA_de_la_R_publique_Islamique_de_Mauritanie_USD</t>
  </si>
  <si>
    <t>Mauritania_Malaria_Secr_tariat_Ex_cutif_National_de_Lutte_contre_le_SIDA_de_la_R_publique_Islamique_de_Mauritanie__</t>
  </si>
  <si>
    <t>Mauritania_Malaria_Secr_tariat_Ex_cutif_National_de_Lutte_contre_le_SIDA_de_la_R_publique_Islamique_de_Mauritanie_USD</t>
  </si>
  <si>
    <t>Mauritania_Multi_Secr_tariat_Ex_cutif_National_de_Lutte_contre_le_SIDA_de_la_R_publique_Islamique_de_Mauritanie__</t>
  </si>
  <si>
    <t>Mauritania_Multi_Secr_tariat_Ex_cutif_National_de_Lutte_contre_le_SIDA_de_la_R_publique_Islamique_de_Mauritanie_USD</t>
  </si>
  <si>
    <t>Mauritania_TB_Secr_tariat_Ex_cutif_National_de_Lutte_contre_le_SIDA_de_la_R_publique_Islamique_de_Mauritanie__</t>
  </si>
  <si>
    <t>Mauritania_TB_Secr_tariat_Ex_cutif_National_de_Lutte_contre_le_SIDA_de_la_R_publique_Islamique_de_Mauritanie_USD</t>
  </si>
  <si>
    <t>Mauritius_HIV_Pr_vention_Information_Lutte_contre_le_Sida__</t>
  </si>
  <si>
    <t>Mauritius_HIV_Pr_vention_Information_Lutte_contre_le_Sida_EUR</t>
  </si>
  <si>
    <t>Mauritius_HIV_Pr_vention_Information_Lutte_contre_le_Sida_USD</t>
  </si>
  <si>
    <t>Mozambique_HIV_Funda__o_para_o_Desenvolvimento_da_Comunidade_USD</t>
  </si>
  <si>
    <t>Mozambique_Multi_Centro_de_Colabora__o_em_Sa_de__</t>
  </si>
  <si>
    <t>Mozambique_Multi_Funda__o_para_o_Desenvolvimento_da_Comunidade__</t>
  </si>
  <si>
    <t>Mozambique_Multi_Funda__o_para_o_Desenvolvimento_da_Comunidade_USD</t>
  </si>
  <si>
    <t>Nicaragua_HIV_Instituto_Nicarag_ense_de_Seguridad_Social_USD</t>
  </si>
  <si>
    <t>Nicaragua_Malaria_Federaci_n_Red_NICASALUD__</t>
  </si>
  <si>
    <t>Nicaragua_Malaria_Federaci_n_Red_NICASALUD_USD</t>
  </si>
  <si>
    <t>Nicaragua_TB_Instituto_Nicarag_ense_de_Seguridad_Social__</t>
  </si>
  <si>
    <t>Nicaragua_TB_Instituto_Nicarag_ense_de_Seguridad_Social_USD</t>
  </si>
  <si>
    <t>Niger_HIV_Coordination_Intersectorielle_de_Lutte_contre_les_IST_VIH_SIDA_de_la_R_publique_du_Niger__</t>
  </si>
  <si>
    <t>Niger_HIV_Coordination_Intersectorielle_de_Lutte_contre_les_IST_VIH_SIDA_de_la_R_publique_du_Niger_EUR</t>
  </si>
  <si>
    <t>Nigeria_HIV_Family_Health_International__FHI_____USD</t>
  </si>
  <si>
    <t>Nigeria_Multi_Family_Health_International__FHI______</t>
  </si>
  <si>
    <t>Paraguay_HIV_Centro_de_Informaci_n_y_Recursos_para_el_Desarrollo__</t>
  </si>
  <si>
    <t>Paraguay_HIV_Centro_de_Informaci_n_y_Recursos_para_el_Desarrollo_EUR</t>
  </si>
  <si>
    <t>Paraguay_HIV_Centro_de_Informaci_n_y_Recursos_para_el_Desarrollo_USD</t>
  </si>
  <si>
    <t>Paraguay_RSSH_Centro_de_Informaci_n_y_Recursos_para_el_Desarrollo_USD</t>
  </si>
  <si>
    <t>Paraguay_TB_Alter_Vida___Centro_de_Estudios_y_Formaci_n_para_el_Ecodesarrollo__</t>
  </si>
  <si>
    <t>Paraguay_TB_Alter_Vida___Centro_de_Estudios_y_Formaci_n_para_el_Ecodesarrollo_USD</t>
  </si>
  <si>
    <t>Peru_HIV_Ministry_of_Health__PARSALUD_II__Unidad_Ejecutora______of_the_Republic_of_Peru_USD</t>
  </si>
  <si>
    <t>Peru_TB_Ministry_of_Health__PARSALUD_II__Unidad_Ejecutora______of_the_Republic_of_Peru_EUR</t>
  </si>
  <si>
    <t>Senegal_HIV_Alliance_Nationale_Contre_le_Sida___S_n_gal_EUR</t>
  </si>
  <si>
    <t>Senegal_HIV_Alliance_Nationale_des_Communaut_s_pour_la_Sant____S_n_gal__</t>
  </si>
  <si>
    <t>Senegal_HIV_Conseil_National_de_Lutte_contre_le_SIDA_de_la_R_publique_du_S_n_gal_EUR</t>
  </si>
  <si>
    <t>Togo_HIV_Primature_de_la_R_publique_Togolaise_EUR</t>
  </si>
  <si>
    <t>Togo_Malaria_Primature_de_la_R_publique_Togolaise__</t>
  </si>
  <si>
    <t>Togo_Malaria_Primature_de_la_R_publique_Togolaise_EUR</t>
  </si>
  <si>
    <t>Togo_Multi_Primature_de_la_R_publique_Togolaise__</t>
  </si>
  <si>
    <t>Togo_TB_Primature_de_la_R_publique_Togolaise_EUR</t>
  </si>
  <si>
    <t>Tunisia_HIV_Office_National_de_la_Famille_et_de_la_Population_de_la_R_publique_de_Tunisie__</t>
  </si>
  <si>
    <t>Tunisia_HIV_Office_National_de_la_Famille_et_de_la_Population_de_la_R_publique_de_Tunisie_USD</t>
  </si>
  <si>
    <t>Tunisia_TB_Soci_t__Tunisienne_des_Maladies_Respiratoires_et_d’Allergologie_USD</t>
  </si>
  <si>
    <t>Western_Africa_Multi_Alliance_Nationale_Contre_le_Sida___S_n_gal_EUR</t>
  </si>
  <si>
    <t>Algeria_HIV_Ministry_of_Health__Population_and_Hospital_Reform_of_the_People_s_Democratic_Republic_of_Algeria_</t>
  </si>
  <si>
    <t>Bangladesh_HIV_Economic_Relations_Division__Ministry_of_Finance_of_the_People_s_Republic_of_Bangladesh_</t>
  </si>
  <si>
    <t>Bangladesh_Malaria_Economic_Relations_Division__Ministry_of_Finance_of_the_People_s_Republic_of_Bangladesh_</t>
  </si>
  <si>
    <t>Bangladesh_TB_Economic_Relations_Division__Ministry_of_Finance_of_the_People_s_Republic_of_Bangladesh_</t>
  </si>
  <si>
    <t>Belarus_HIV_Republican_Scientific_and_Practical_Center_for_Medical_Technologies__Informatization__Administration_and_Management_of_Health_</t>
  </si>
  <si>
    <t>Belarus_Multi_Republican_Scientific_and_Practical_Center_for_Medical_Technologies__Informatization__Administration_and_Management_of_Health_</t>
  </si>
  <si>
    <t>Belarus_TB_Republican_Scientific_and_Practical_Center_for_Medical_Technologies__Informatization__Administration_and_Management_of_Health_</t>
  </si>
  <si>
    <t>Benin_HIV_Programme_National_de_Lutte_contre_le_SIDA_de_la_R_publique_du_B_nin_</t>
  </si>
  <si>
    <t>Benin_Malaria_Programme_National_de_Lutte_contre_le_Paludisme_de_la_R_publique_du_B_nin_</t>
  </si>
  <si>
    <t>Benin_RSSH_Conseil_National_de_Lutte_contre_le_VIH_SIDA__la_Tuberculose__le_Paludisme__les_H_patites__les_Infections_sexuellement_transmissibles_et_les_Epid_mies_</t>
  </si>
  <si>
    <t>Benin_TB_Programme_National_contre_la_Tuberculose_de_la_R_publique_du_B_nin_</t>
  </si>
  <si>
    <t>Bolivia__Plurinational_State__HIV__USD</t>
  </si>
  <si>
    <t>Bolivia__Plurinational_State__HIV_Humanist_Institute_for_Co_operation_with_Developing_Countries_</t>
  </si>
  <si>
    <t>Bolivia__Plurinational_State__Malaria__USD</t>
  </si>
  <si>
    <t>Bolivia__Plurinational_State__Malaria_United_Nations_Development_Programme_</t>
  </si>
  <si>
    <t>Bolivia__Plurinational_State__TB__USD</t>
  </si>
  <si>
    <t>Bolivia__Plurinational_State__TB_United_Nations_Development_Programme_</t>
  </si>
  <si>
    <t>Burkina_Faso_HIV_Secr_tariat_Permanent_du_Conseil_National_de_Lutte_contre_le_Sida_et_les_IST_du_Burkina_Faso_</t>
  </si>
  <si>
    <t>Burkina_Faso_Malaria_Programme_d_Appui_au_D_veloppment_Sanitaire_du_Burkina_Faso_</t>
  </si>
  <si>
    <t>Burkina_Faso_TB_Programme_d_Appui_au_D_veloppment_Sanitaire_du_Burkina_Faso_</t>
  </si>
  <si>
    <t>Burundi___United_Nations_Development_Programme_</t>
  </si>
  <si>
    <t>Central_African_Republic_Malaria_World_Vision_International__CAR_Branch_office__</t>
  </si>
  <si>
    <t>Central_African_Republic_Multi_La_Croix_Rouge_fran_aise_</t>
  </si>
  <si>
    <t>Colombia___Fondo_Financiero_de_Proyectos_de_Desarrollo_</t>
  </si>
  <si>
    <t>Comoros_HIV_Ministry_of_Health__Solidarity_and_Gender_Promotion_of_the_Union_of_the_Comoros_</t>
  </si>
  <si>
    <t>Comoros_Malaria_Ministry_of_Health__Solidarity_and_Gender_Promotion_of_the_Union_of_the_Comoros_</t>
  </si>
  <si>
    <t>Congo_Malaria_Catholic_Relief_Services__United_States_Conference_of_Catholic_Bishops_</t>
  </si>
  <si>
    <t>Congo_Multi_La_Croix_Rouge_fran_aise_</t>
  </si>
  <si>
    <t>Congo__Democratic_Republic__HIV__USD</t>
  </si>
  <si>
    <t>Congo__Democratic_Republic__Malaria__USD</t>
  </si>
  <si>
    <t>Congo__Democratic_Republic__Malaria_Ministry_of_Health_and_Population_of_the_Democratic_Republic_of_Congo_</t>
  </si>
  <si>
    <t>Congo__Democratic_Republic__Multi_Ministry_of_Health_and_Population_of_the_Democratic_Republic_of_Congo_</t>
  </si>
  <si>
    <t>Congo__Democratic_Republic__Multi_Stichting_Cordaid_</t>
  </si>
  <si>
    <t>Congo__Democratic_Republic__TB__USD</t>
  </si>
  <si>
    <t>C_te_d_Ivoire_HIV__EUR</t>
  </si>
  <si>
    <t>C_te_d_Ivoire_HIV__USD</t>
  </si>
  <si>
    <t>C_te_d_Ivoire_HIV_Ministry_of_Health_and_Public_Hygiene_of_the_Republic_of_C_te_d_Ivoire_</t>
  </si>
  <si>
    <t>C_te_d_Ivoire_Malaria__EUR</t>
  </si>
  <si>
    <t>C_te_d_Ivoire_Malaria_Ministry_of_Health_and_Public_Hygiene_of_the_Republic_of_C_te_d_Ivoire_</t>
  </si>
  <si>
    <t>C_te_d_Ivoire_TB__EUR</t>
  </si>
  <si>
    <t>C_te_d_Ivoire_TB__USD</t>
  </si>
  <si>
    <t>C_te_d_Ivoire_TB_Ministry_of_Health_and_Public_Hygiene_of_the_Republic_of_C_te_d_Ivoire_</t>
  </si>
  <si>
    <t>Dominican_Republic_HIV_Instituto_Dermatol_gico_y_Cirug_a_de_Piel_‘Dr__Huberto_Bogaert_D_az’_</t>
  </si>
  <si>
    <t>Ethiopia___UNICEF_Ethiopia_</t>
  </si>
  <si>
    <t>Gabon___Centre_de_Recherches_M_dicales_de_Lambar_n__</t>
  </si>
  <si>
    <t>Gabon_TB_Centre_de_Recherches_M_dicales_de_Lambar_n__</t>
  </si>
  <si>
    <t>Ghana_Malaria_AngloGold_Ashanti__Ghana__Malaria_Control_Limited_</t>
  </si>
  <si>
    <t>Guatemala_HIV_Instituto_de_Nutrici_n_de_Centro_Am_rica_y_Panam___INCAP__</t>
  </si>
  <si>
    <t>Guinea_Malaria_Catholic_Relief_Services___United_States_Conference_of_Catholic_Bishops_</t>
  </si>
  <si>
    <t>Guinea_TB_Plan_International__Inc__</t>
  </si>
  <si>
    <t>India_HIV_Plan_International__India_Chapter__</t>
  </si>
  <si>
    <t>India_Malaria_Department_of_Economic_Affairs__Ministry_of_Finance_of_India_</t>
  </si>
  <si>
    <t>India_TB_Department_of_Economic_Affairs__Ministry_of_Finance_of_India_</t>
  </si>
  <si>
    <t>Indonesia_Malaria_Directorate_General_of_Disease_Prevention_and_Control__Ministry_of_Health_of_The_Republic_of_Indonesia_</t>
  </si>
  <si>
    <t>Iran__Islamic_Republic__HIV__USD</t>
  </si>
  <si>
    <t>Iran__Islamic_Republic__HIV_United_Nations_Development_Programme_</t>
  </si>
  <si>
    <t>Iran__Islamic_Republic__Malaria__USD</t>
  </si>
  <si>
    <t>Iran__Islamic_Republic__TB__USD</t>
  </si>
  <si>
    <t>Korea__Democratic_Peoples_Republic__Malaria__USD</t>
  </si>
  <si>
    <t>Korea__Democratic_Peoples_Republic__Malaria_United_Nations_Children_s_Fund_</t>
  </si>
  <si>
    <t>Korea__Democratic_Peoples_Republic__Multi_United_Nations_Children_s_Fund_</t>
  </si>
  <si>
    <t>Korea__Democratic_Peoples_Republic__TB__USD</t>
  </si>
  <si>
    <t>Korea__Democratic_Peoples_Republic__TB_United_Nations_Children_s_Fund_</t>
  </si>
  <si>
    <t>Lao__Peoples_Democratic_Republic__HIV__USD</t>
  </si>
  <si>
    <t>Lao__Peoples_Democratic_Republic__HIV_Ministry_of_Health_of_the_Lao_People_s_Democratic_Republic_</t>
  </si>
  <si>
    <t>Lao__Peoples_Democratic_Republic__Malaria__USD</t>
  </si>
  <si>
    <t>Lao__Peoples_Democratic_Republic__TB__USD</t>
  </si>
  <si>
    <t>Lao__Peoples_Democratic_Republic__TB_Ministry_of_Health_of_the_Lao_People_s_Democratic_Republic_</t>
  </si>
  <si>
    <t>Afghanistan_Multi_</t>
  </si>
  <si>
    <t>Albania_Multi_</t>
  </si>
  <si>
    <t>Algeria_HIV_</t>
  </si>
  <si>
    <t>Angola_Malaria_</t>
  </si>
  <si>
    <t>Angola_Multi_</t>
  </si>
  <si>
    <t>Angola_RSSH_</t>
  </si>
  <si>
    <t>Armenia_HIV_</t>
  </si>
  <si>
    <t>Armenia_Multi_</t>
  </si>
  <si>
    <t>Armenia_TB_</t>
  </si>
  <si>
    <t>Azerbaijan_HIV_</t>
  </si>
  <si>
    <t>Azerbaijan_TB_</t>
  </si>
  <si>
    <t>Bangladesh_HIV_</t>
  </si>
  <si>
    <t>Bangladesh_Malaria_</t>
  </si>
  <si>
    <t>Bangladesh_TB_</t>
  </si>
  <si>
    <t>Belarus_HIV_</t>
  </si>
  <si>
    <t>Belarus_Multi_</t>
  </si>
  <si>
    <t>Belarus_TB_</t>
  </si>
  <si>
    <t>Belize_Multi_</t>
  </si>
  <si>
    <t>Benin_HIV_</t>
  </si>
  <si>
    <t>Benin_Malaria_</t>
  </si>
  <si>
    <t>Benin_RSSH_</t>
  </si>
  <si>
    <t>Benin_TB_</t>
  </si>
  <si>
    <t>Bhutan_HIV_</t>
  </si>
  <si>
    <t>Bhutan_Malaria_</t>
  </si>
  <si>
    <t>Bhutan_TB_</t>
  </si>
  <si>
    <t>Bolivia__Plurinational_State__HIV_</t>
  </si>
  <si>
    <t>Bolivia__Plurinational_State__Malaria_</t>
  </si>
  <si>
    <t>Bolivia__Plurinational_State__TB_</t>
  </si>
  <si>
    <t>Botswana_Malaria_</t>
  </si>
  <si>
    <t>Botswana_Multi_</t>
  </si>
  <si>
    <t>Burkina_Faso_HIV_</t>
  </si>
  <si>
    <t>Burkina_Faso_Malaria_</t>
  </si>
  <si>
    <t>Burkina_Faso_TB_</t>
  </si>
  <si>
    <t>Burundi___</t>
  </si>
  <si>
    <t>Burundi_HIV_</t>
  </si>
  <si>
    <t>Burundi_Multi_</t>
  </si>
  <si>
    <t>Cabo_Verde_Multi_</t>
  </si>
  <si>
    <t>Cambodia_HIV_</t>
  </si>
  <si>
    <t>Cambodia_Multi_</t>
  </si>
  <si>
    <t>Cameroon_Malaria_</t>
  </si>
  <si>
    <t>Cameroon_Multi_</t>
  </si>
  <si>
    <t>Central_African_Republic_Malaria_</t>
  </si>
  <si>
    <t>Central_African_Republic_Multi_</t>
  </si>
  <si>
    <t>Chad_Malaria_</t>
  </si>
  <si>
    <t>Chad_Multi_</t>
  </si>
  <si>
    <t>Colombia___</t>
  </si>
  <si>
    <t>Comoros_HIV_</t>
  </si>
  <si>
    <t>Comoros_Malaria_</t>
  </si>
  <si>
    <t>Comoros_TB_</t>
  </si>
  <si>
    <t>Congo_Malaria_</t>
  </si>
  <si>
    <t>Congo_Multi_</t>
  </si>
  <si>
    <t>Congo__Democratic_Republic__Malaria_</t>
  </si>
  <si>
    <t>Congo__Democratic_Republic__Multi_</t>
  </si>
  <si>
    <t>Costa_Rica_HIV_</t>
  </si>
  <si>
    <t>C_te_d_Ivoire_HIV_</t>
  </si>
  <si>
    <t>C_te_d_Ivoire_Malaria_</t>
  </si>
  <si>
    <t>C_te_d_Ivoire_TB_</t>
  </si>
  <si>
    <t>Cuba_HIV_</t>
  </si>
  <si>
    <t>Djibouti_Malaria_</t>
  </si>
  <si>
    <t>Djibouti_Multi_</t>
  </si>
  <si>
    <t>Dominican_Republic_HIV_</t>
  </si>
  <si>
    <t>Dominican_Republic_TB_</t>
  </si>
  <si>
    <t>Ecuador_HIV_</t>
  </si>
  <si>
    <t>Egypt_Multi_</t>
  </si>
  <si>
    <t>El_Salvador_HIV_</t>
  </si>
  <si>
    <t>El_Salvador_TB_</t>
  </si>
  <si>
    <t>Eritrea_HIV_</t>
  </si>
  <si>
    <t>Eritrea_Malaria_</t>
  </si>
  <si>
    <t>Eritrea_TB_</t>
  </si>
  <si>
    <t>Eswatini_Malaria_</t>
  </si>
  <si>
    <t>Eswatini_Multi_</t>
  </si>
  <si>
    <t>Ethiopia___</t>
  </si>
  <si>
    <t>Ethiopia_Malaria_</t>
  </si>
  <si>
    <t>Ethiopia_Multi_</t>
  </si>
  <si>
    <t>Ethiopia_RSSH_</t>
  </si>
  <si>
    <t>Gabon___</t>
  </si>
  <si>
    <t>Gabon_TB_</t>
  </si>
  <si>
    <t>Gambia_Malaria_</t>
  </si>
  <si>
    <t>Gambia_Multi_</t>
  </si>
  <si>
    <t>Georgia_HIV_</t>
  </si>
  <si>
    <t>Georgia_TB_</t>
  </si>
  <si>
    <t>Ghana_HIV_</t>
  </si>
  <si>
    <t>Ghana_Malaria_</t>
  </si>
  <si>
    <t>Ghana_Multi_</t>
  </si>
  <si>
    <t>Guatemala_HIV_</t>
  </si>
  <si>
    <t>Guatemala_Malaria_</t>
  </si>
  <si>
    <t>Guatemala_TB_</t>
  </si>
  <si>
    <t>Guinea_HIV_</t>
  </si>
  <si>
    <t>Guinea_Malaria_</t>
  </si>
  <si>
    <t>Guinea_TB_</t>
  </si>
  <si>
    <t>Guinea_Bissau_Malaria_</t>
  </si>
  <si>
    <t>Guinea_Bissau_Multi_</t>
  </si>
  <si>
    <t>Guyana_HIV_</t>
  </si>
  <si>
    <t>Guyana_Malaria_</t>
  </si>
  <si>
    <t>Guyana_TB_</t>
  </si>
  <si>
    <t>Haiti_Malaria_</t>
  </si>
  <si>
    <t>Haiti_Multi_</t>
  </si>
  <si>
    <t>Honduras_HIV_</t>
  </si>
  <si>
    <t>Honduras_Malaria_</t>
  </si>
  <si>
    <t>Honduras_TB_</t>
  </si>
  <si>
    <t>India_HIV_</t>
  </si>
  <si>
    <t>India_Malaria_</t>
  </si>
  <si>
    <t>India_Multi_</t>
  </si>
  <si>
    <t>India_TB_</t>
  </si>
  <si>
    <t>Indonesia_HIV_</t>
  </si>
  <si>
    <t>Indonesia_Malaria_</t>
  </si>
  <si>
    <t>Indonesia_Multi_</t>
  </si>
  <si>
    <t>Indonesia_TB_</t>
  </si>
  <si>
    <t>Iran__Islamic_Republic__HIV_</t>
  </si>
  <si>
    <t>Jamaica_HIV_</t>
  </si>
  <si>
    <t>Kazakhstan_HIV_</t>
  </si>
  <si>
    <t>Kazakhstan_TB_</t>
  </si>
  <si>
    <t>Kenya_Malaria_</t>
  </si>
  <si>
    <t>Kenya_Multi_</t>
  </si>
  <si>
    <t>Korea__Democratic_Peoples_Republic__Malaria_</t>
  </si>
  <si>
    <t>Korea__Democratic_Peoples_Republic__Multi_</t>
  </si>
  <si>
    <t>Korea__Democratic_Peoples_Republic__TB_</t>
  </si>
  <si>
    <t>Kosovo_HIV_</t>
  </si>
  <si>
    <t>Kosovo_TB_</t>
  </si>
  <si>
    <t>Kyrgyzstan_Multi_</t>
  </si>
  <si>
    <t>Lao__Peoples_Democratic_Republic__HIV_</t>
  </si>
  <si>
    <t>Lao__Peoples_Democratic_Republic__TB_</t>
  </si>
  <si>
    <t>Lesotho_Multi_</t>
  </si>
  <si>
    <t>_HIV_Australian_Federation_Of_Aids_Organisations__Inc___</t>
  </si>
  <si>
    <t>_HIV_Caribbean_Community_Secretariat__</t>
  </si>
  <si>
    <t>_HIV_Humanist_Institute_for_Co_operation_with_Developing_Countries__</t>
  </si>
  <si>
    <t>_HIV_International_Charitable_Foundation__Alliance_for_Public_Health___</t>
  </si>
  <si>
    <t>_Malaria____</t>
  </si>
  <si>
    <t>_Malaria_Inter_American_Development_Bank__</t>
  </si>
  <si>
    <t>_Malaria_Lubombo_Spatial_Development_Initiative___NPC__</t>
  </si>
  <si>
    <t>_Malaria_Non_Profit_Association__Southern_Africa_Malaria_Elimination_Eight_Initiative_Sectretariat___</t>
  </si>
  <si>
    <t>_Malaria_United_Nations_Office_for_Project_Services__</t>
  </si>
  <si>
    <t>_Multi____</t>
  </si>
  <si>
    <t>_Multi_International_Organization_for_Migration__</t>
  </si>
  <si>
    <t>_Multi_Organisation_of_Eastern_Caribbean_States__</t>
  </si>
  <si>
    <t>_TB_Center_for_Health_Policies_and_Studies__</t>
  </si>
  <si>
    <t>_TB_East__Central_and_Southern_Africa_Health_Community__</t>
  </si>
  <si>
    <t>_TB_Intergovernmental_Authority_on_Development__</t>
  </si>
  <si>
    <t>_TB_Programme_National_contre_la_Tuberculose_de_la_R_publique_du_B_nin__</t>
  </si>
  <si>
    <t>_TB_United_Nations_Development_Programme__</t>
  </si>
  <si>
    <t>_TB_United_Nations_Office_for_Project_Services__</t>
  </si>
  <si>
    <t>_TB_Wits_Health_Consortium__Pty__Ltd__</t>
  </si>
  <si>
    <t>__Caribbean_Vulnerable_Communities_Coalition__</t>
  </si>
  <si>
    <t>__International_HIV_AIDS_Alliance__</t>
  </si>
  <si>
    <t>__Partners_in_Health__</t>
  </si>
  <si>
    <t>_HIV__</t>
  </si>
  <si>
    <t>_Malaria__</t>
  </si>
  <si>
    <t>_Multi__</t>
  </si>
  <si>
    <t>_TB__</t>
  </si>
  <si>
    <t>___</t>
  </si>
  <si>
    <t>Cost Input Product INN / Type of Product</t>
  </si>
  <si>
    <t>4.3 Amodiaquine+Sulfadoxine/Pyrimethamine</t>
  </si>
  <si>
    <t>4.3 Artemether</t>
  </si>
  <si>
    <t>4.3 Artemether/Lumefantrine</t>
  </si>
  <si>
    <t>4.3 Artesunate</t>
  </si>
  <si>
    <t>4.3 Artesunate/amodiaquine</t>
  </si>
  <si>
    <t>4.3 Artesunate/Mefloquine</t>
  </si>
  <si>
    <t>4.3 Artesunate/Pyronaridine</t>
  </si>
  <si>
    <t>4.3 Artesunate+Sulfadoxine/Pyrimethamine</t>
  </si>
  <si>
    <t>4.3 Chloroquine</t>
  </si>
  <si>
    <t>4.3 Mefloquine</t>
  </si>
  <si>
    <t>4.3 Other antimalaria medicine</t>
  </si>
  <si>
    <t>4.3 Piperaquine/Dihydroartemisinin</t>
  </si>
  <si>
    <t>4.3 Primaquine</t>
  </si>
  <si>
    <t>4.3 Proguanil</t>
  </si>
  <si>
    <t>4.3 Quinine</t>
  </si>
  <si>
    <t>4.3 Sulfadoxine/Pyrimethamine</t>
  </si>
  <si>
    <t>5.6 Microscopy: Malaria smear microscopy reagents</t>
  </si>
  <si>
    <t>6.3 Microscope: other</t>
  </si>
  <si>
    <t>6.3 Microscope: Spare parts and accessories</t>
  </si>
  <si>
    <t>5.4 Rapid Diagnostic Test - Malaria</t>
  </si>
  <si>
    <t>5.1 LLINs (mass campaign)</t>
  </si>
  <si>
    <t>5.1 LLINs (routine distribution)</t>
  </si>
  <si>
    <t>5.5 Insecticides for purposes other than IRS</t>
  </si>
  <si>
    <t>5.5 IRS-Insecticides</t>
  </si>
  <si>
    <t>6.6 Equipment-IRS</t>
  </si>
  <si>
    <t>6.6 Vector control equipment for purposes other than IRS</t>
  </si>
  <si>
    <t>5.6 Hematology or biochemistry reagents: : Roche - Cobas c/Integra</t>
  </si>
  <si>
    <t>5.6 Hematology or biochemistry reagents: Coulter</t>
  </si>
  <si>
    <t>5.6 Hematology or biochemistry reagents: ELITechGroup</t>
  </si>
  <si>
    <t>5.6 Hematology or biochemistry reagents: Roche - Cobas c111</t>
  </si>
  <si>
    <t>5.6 Hematology or biochemistry reagents: Sysmex</t>
  </si>
  <si>
    <t>5.6 Laboratory reagents: Other</t>
  </si>
  <si>
    <t>5.8 Consumables: Waste management supplies</t>
  </si>
  <si>
    <t>5.8 Consumables: Blood collection</t>
  </si>
  <si>
    <t>5.8 Consumables: DBS collection</t>
  </si>
  <si>
    <t>5.8 Consumables: Infection prevention and control</t>
  </si>
  <si>
    <t>5.8 Consumables: Laboratory Other</t>
  </si>
  <si>
    <t>5.8 Consumables: Other</t>
  </si>
  <si>
    <t>5.8 Consumables: Other (non-laboratory)</t>
  </si>
  <si>
    <t>5.8 Microscopy: Malaria consumables</t>
  </si>
  <si>
    <t>6.5 Equipment: other</t>
  </si>
  <si>
    <t>6.6 Equipment: other</t>
  </si>
  <si>
    <t>6.6 Hematology or biochemistry analyzers</t>
  </si>
  <si>
    <t>6.5 Hematology or biochemistry analyzers</t>
  </si>
  <si>
    <t>6.5 Autoclave for laboratory</t>
  </si>
  <si>
    <t>6.6 Autoclave for laboratory</t>
  </si>
  <si>
    <t>6.5 Autoclave for laboratory: Spare parts and accessories</t>
  </si>
  <si>
    <t>6.6 Autoclave for laboratory: Spare parts and accessories</t>
  </si>
  <si>
    <t>6.5 Laboratory Equipment-Incubator</t>
  </si>
  <si>
    <t>6.6 Laboratory Equipment-Incubator</t>
  </si>
  <si>
    <t>6.5 Laboratory equipment-Other equipment</t>
  </si>
  <si>
    <t>6.6 Laboratory equipment-Other equipment</t>
  </si>
  <si>
    <t>6.6 Laboratory equipment-Spare parts and accessories</t>
  </si>
  <si>
    <t>6.6 Waste management supplies: Reagents</t>
  </si>
  <si>
    <t>6.6 Viral load and/or EID analyzer for Malaria</t>
  </si>
  <si>
    <t>6.5 Viral load and/or EID analyzer for Malaria</t>
  </si>
  <si>
    <t>6.5 Autoclave for waste management</t>
  </si>
  <si>
    <t>6.6 Autoclave for waste management</t>
  </si>
  <si>
    <t>6.5 Autoclave for waste management: Spare parts and accessories</t>
  </si>
  <si>
    <t>6.6 Autoclave for waste management: Spare parts and accessories</t>
  </si>
  <si>
    <t>6.6 Equipment-Other</t>
  </si>
  <si>
    <t>Z</t>
  </si>
  <si>
    <t>HIV - Other health products - Section 4</t>
  </si>
  <si>
    <t>TB - Pharmaceuticals - Section 4</t>
  </si>
  <si>
    <t>% test to be processed on purchased equipment</t>
  </si>
  <si>
    <t>Comments</t>
  </si>
  <si>
    <t>Comment</t>
  </si>
  <si>
    <t>Procurement of condoms &amp; lubricants for Men who have sex with men</t>
  </si>
  <si>
    <t>PSM costs for Men who have sex with men</t>
  </si>
  <si>
    <t>Procurement of condoms &amp; lubricants for Sex workers and their clients</t>
  </si>
  <si>
    <t>PSM costs for Sex workers and their clients</t>
  </si>
  <si>
    <t>Procurement of condoms &amp; lubricants for Transgender people</t>
  </si>
  <si>
    <t>PSM costs for Transgender people</t>
  </si>
  <si>
    <t>NSP for People who inject drugs and their partners</t>
  </si>
  <si>
    <t>PSM costs for People who inject drugs and their partners</t>
  </si>
  <si>
    <t>OST for People who inject drugs and their partners</t>
  </si>
  <si>
    <t>Procurement of condoms &amp; lubricants for People who inject drugs and their partners</t>
  </si>
  <si>
    <t>Procurement of condoms &amp; lubricants for People in prisons and other closed settings</t>
  </si>
  <si>
    <t>PSM costs for People in prisons and other closed settings</t>
  </si>
  <si>
    <t>Procurement of condoms &amp; lubricants for Other vulnerable populations</t>
  </si>
  <si>
    <t>PSM costs for Other vulnerable populations</t>
  </si>
  <si>
    <t>Procurement of condoms &amp; lubricants for Adolescent girls and young women in high prevalence settings</t>
  </si>
  <si>
    <t>PSM costs for Adolescent girls and young women in high prevalence settings</t>
  </si>
  <si>
    <t>Procurement of condoms &amp; lubricants for Men in high prevalence settings</t>
  </si>
  <si>
    <t>PSM costs for Men in high prevalence settings</t>
  </si>
  <si>
    <t>Procurement of condoms &amp; lubricants for Non-specified population groups</t>
  </si>
  <si>
    <t>PSM costs for Non-specified population groups</t>
  </si>
  <si>
    <t xml:space="preserve">PSM costs for People who inject drugs and their partners </t>
  </si>
  <si>
    <t>PSM costs for Partners of people living with HIV</t>
  </si>
  <si>
    <t xml:space="preserve">3-year average split between sensitive and M/XDR-TB cases </t>
  </si>
  <si>
    <t>Other reagents</t>
  </si>
  <si>
    <t>Activity Decsription</t>
  </si>
  <si>
    <t>S.No</t>
  </si>
  <si>
    <t>Go to RSSH for lab systems
(section 2)</t>
  </si>
  <si>
    <t>Go to RSSH for HPM systems
(section 1)</t>
  </si>
  <si>
    <t xml:space="preserve">Go to Consumables
(Section 4) </t>
  </si>
  <si>
    <t>Go to GeneXpert (Section 2)</t>
  </si>
  <si>
    <t>Go to Culture/DST (Section 3)</t>
  </si>
  <si>
    <t>Y1-4 Total  Quantity</t>
  </si>
  <si>
    <t>Y1-4 Total Cash Outflow</t>
  </si>
  <si>
    <t>1. Column A: Select the Product Category from the drop-down menu
2. Column E: Select the Product name (INN) from the drop-down menu
3. Column I: Select the Specification from the drop-down menu; for Specifications which state "enter specifications manually", please use the "Comments" column AL to provide this information
4. Columns N, U, AB: Insert the unit cost per product (the price should be in the grant currency (USD or EUR)
5. Columns O, P, Q, R, V, W, X, Y, AC, AD, AE, AF: Insert the quantity per product that will be procured in the relevant quarter in which the order will be confirmed/placed with manufacturers
6. Column AL is optional and should be used if you have any relevant comments to communicate to the Country Team/LFA</t>
  </si>
  <si>
    <t>1. Column A: Select the Product Category from the drop-down menu
2. Column C: Select the Type of Equipment from the drop-down menu
3. Column D: Select the Specification from the drop-down menu - the drop-down menu includes the equipment, spare parts, and items related to warranty, maintenance and service; for Specifications which state "enter specifications manually", please use the "Comments" column AE to provide this information
4. Columns G, N, U: Insert the unit cost per product (the price should be in the grant currency (USD or EUR)
5. Columns H, I,J, K, O, P, Q, R, V, W, X, Y: Insert the quantity per product that will be procured in the relevant quarter in which the order will be confirmed/placed with manufacturers
6. Column AE is optional and should be used if you have any relevant comments to communicate to the Country Team/LFA</t>
  </si>
  <si>
    <t>1. Column A: Select the Product Category from the drop-down menu
2. Column E: Select the Type of Product from the drop-down menu
3. Column I: Select the Specification from the drop-down menu; for Specifications which state "enter specifications manually", please use the "Comments" column AL to provide this information
4. Columns N, U, AB: Insert the unit cost per product (the price should be in the grant currency (USD or EUR)
5. Columns O, P, Q, R, V, W, X, Y, AC, AD, AE, AF: Insert the quantity per product that will be procured in the relevant quarter in which the order will be confirmed/placed with manufacturers
6. Column AL is optional and should be used if you have any relevant comments to communicate to the Country Team/LFA</t>
  </si>
  <si>
    <t>1. Column A: Select the Product Category from the drop-down menu
2. Column D: Select the Type of Product from the drop-down menu
3. Column G: Select the Specification from the drop-down menu; for Specifications which state "enter specifications manually", please use the "Comments" column AK to provide this information
4. Columns M, T, AA: Insert the unit cost per product (the price should be in the grant currency (USD or EUR)
5. Columns N, O, P, Q, U, V, W, X, AB, AC, AD, AE: Insert the quantity per product that will be procured in the relevant quarter in which the order will be confirmed/placed with manufacturers
6. Column AK is optional and should be used if you have any relevant comments to communicate to the Country Team/LFA</t>
  </si>
  <si>
    <t>1. ROW 19, COLUMNS G, I, AND J: Fill the "Number of expected ADULTS sensitive TB new cases" that will be supported through grant resources.
2. ROW 20, COLUMNS G, I, AND J: Fill the "Number of expected ADULTS sensitive TB retreatment" that will be supported through grant resources.
3. ROW 22, COLUMNS G, I, AND J: Fill the "Total number of expected PEDIATRICS sensitive TB cases " that will be supported through grant resources.
4. ROW 23, COLUMNS G, I, AND J: Fill the "Number of expected PEDIATRICS sensitive TB retreatment" that will be supported through grant resources.
5. ROW 24, COLUMNS G, I, AND J: Fill the "Total number of expected MDR TB new cases" that will be supported through grant resources.
6. ROW 25, COLUMNS G, I, AND J: Fill the "Total number of expected XDR TB new cases" that will be supported through grant resources.</t>
  </si>
  <si>
    <t>1. Column A: Select the Product Category from the drop-down menu
2. Column D: Select the Product name (INN) from the drop-down menu
3. Column G: Select the Specification from the drop-down menu; for Specifications which state "enter specifications manually", please use the "Comments" column AK to provide this information
4. Columns M, T, AA: Insert the unit cost per product (the price should be in the grant currency (USD or EUR)
5. Columns N, O, P, Q, U, V, W, X, AB, AC, AD, AE: Insert the quantity per product that will be procured in the relevant quarter in which the order will be confirmed/placed with manufacturers
6. Column AK is optional and should be used if you have any relevant comments to communicate to the Country Team/LFA</t>
  </si>
  <si>
    <r>
      <t xml:space="preserve">1. COLUMN G: What percentage of the mRDTs - procured using grant resources - will be used to test suspected cases at the </t>
    </r>
    <r>
      <rPr>
        <b/>
        <i/>
        <sz val="11"/>
        <rFont val="Calibri"/>
        <family val="2"/>
        <scheme val="minor"/>
      </rPr>
      <t>health facility</t>
    </r>
    <r>
      <rPr>
        <i/>
        <sz val="11"/>
        <rFont val="Calibri"/>
        <family val="2"/>
        <scheme val="minor"/>
      </rPr>
      <t xml:space="preserve">? Indicate the percentage (%) in G50. Please reflect zero (0), if relevant.
2. COLUMN J: What percentage of the mRDTs - procured using grant resources - will be used to test suspected cases in the </t>
    </r>
    <r>
      <rPr>
        <b/>
        <i/>
        <sz val="11"/>
        <rFont val="Calibri"/>
        <family val="2"/>
        <scheme val="minor"/>
      </rPr>
      <t>community</t>
    </r>
    <r>
      <rPr>
        <i/>
        <sz val="11"/>
        <rFont val="Calibri"/>
        <family val="2"/>
        <scheme val="minor"/>
      </rPr>
      <t xml:space="preserve">? Indicate the percentage (%) in J50. Please reflect zero (0), if relevant.
3. COLUMN N: What percentage of the mRDTs - procured using grant resources - will be used to test suspected cases in the </t>
    </r>
    <r>
      <rPr>
        <b/>
        <i/>
        <sz val="11"/>
        <rFont val="Calibri"/>
        <family val="2"/>
        <scheme val="minor"/>
      </rPr>
      <t>private sector</t>
    </r>
    <r>
      <rPr>
        <i/>
        <sz val="11"/>
        <rFont val="Calibri"/>
        <family val="2"/>
        <scheme val="minor"/>
      </rPr>
      <t xml:space="preserve"> / at a private healthcare provider? Indicate the percentage (%) in N50. Please reflect zero (0), if relevant.
The sum of G50, J50, and N50 should equal 100%.</t>
    </r>
  </si>
  <si>
    <r>
      <rPr>
        <u/>
        <sz val="11"/>
        <rFont val="Calibri (Body)"/>
      </rPr>
      <t>Row 55, please indicate (Y/N) whether the country is using LLINs as a vector control measure.</t>
    </r>
    <r>
      <rPr>
        <b/>
        <sz val="11"/>
        <rFont val="Calibri (Body)"/>
      </rPr>
      <t xml:space="preserve">
ROWS 56-59 refer to the routine distribution of LLINs</t>
    </r>
    <r>
      <rPr>
        <i/>
        <sz val="11"/>
        <rFont val="Calibri (Body)"/>
      </rPr>
      <t xml:space="preserve">
1. COLUMN F, ROWS 56-59: Please indicate (Y/N) whether LLINs are being routinely distributed through the 4 interventions described.
2. COLUMN G, ROWS 56-59: Indicate the percentage (%) of LLINs - procured with grant resources FOR ROUTINE DISTRIBUTION - being distributed through these 4 interventions.
The sum of G56, G57, G58, and G59 should equal 100%.
</t>
    </r>
    <r>
      <rPr>
        <b/>
        <sz val="11"/>
        <rFont val="Calibri (Body)"/>
      </rPr>
      <t xml:space="preserve">ROWS 60 &amp; 61 refer to the distribution of LLINs via mass campaigns
</t>
    </r>
    <r>
      <rPr>
        <i/>
        <sz val="11"/>
        <rFont val="Calibri (Body)"/>
      </rPr>
      <t>1. COLUMN F, ROWS 60 &amp; 61: Please indicate (Y/N) whether LLINs are being distributed through universal and/or target mass distribution campaigns.
2. COLUMN G, ROWS 60 &amp; 61: Indicate the percentage (%) of LLINs - procured with grant resources FOR MASS DISTRIBUTION - being distributed through universal and/or target mass distribution campaigns.
The sum of G60 and G61 should equal 100%.</t>
    </r>
  </si>
  <si>
    <t>COLUMN E reflects indicative percentages (%) per product category for each of the seven (7) PSM/HPM Cost Inputs. Review the percentages and adjust them, if necessary. If the grant does not pay for these costs, indicate zero (0).</t>
  </si>
  <si>
    <t>Routine Distribution</t>
  </si>
  <si>
    <t>Mass Campaign</t>
  </si>
  <si>
    <t>HPM costs &amp; RSSH - Section 1, PSM Customs Clearance (7.6), take the total budget per quarter for TYPE OF PRODUCT "OIs, STIs &amp; other medicines "</t>
  </si>
  <si>
    <t>Row Labels</t>
  </si>
  <si>
    <t>Sum of Y1 Total Cash Outflow</t>
  </si>
  <si>
    <t>Sum of Y2 Total Cash Outflow</t>
  </si>
  <si>
    <t>Sum of Y3 Total Cash Outflow</t>
  </si>
  <si>
    <t>Sum of Y1-4 Total Cash Outflow</t>
  </si>
  <si>
    <t>Sum of Y1 Q1 
cost</t>
  </si>
  <si>
    <t>Sum of Y1 Q2 
cost</t>
  </si>
  <si>
    <t>Sum of Y1 Q3 
cost</t>
  </si>
  <si>
    <t>Sum of Y1 Q4 
cost</t>
  </si>
  <si>
    <t>Sum of Y2 Q1 
cost</t>
  </si>
  <si>
    <t>Sum of Y2 Q2 
cost</t>
  </si>
  <si>
    <t>Sum of Y2 Q3 
cost</t>
  </si>
  <si>
    <t>Sum of Y2 Q4 
cost</t>
  </si>
  <si>
    <t>Sum of Y3 Q1 
cost</t>
  </si>
  <si>
    <t>Sum of Y3 Q2 
cost</t>
  </si>
  <si>
    <t>Sum of Y3 Q3 
cost</t>
  </si>
  <si>
    <t>Sum of Y3 Q4 
cost</t>
  </si>
  <si>
    <t>PSM Costs</t>
  </si>
  <si>
    <t>Procurement of Antiretroviral medicines</t>
  </si>
  <si>
    <t>(All)</t>
  </si>
  <si>
    <t>Key Population</t>
  </si>
  <si>
    <t>Men who have sex with men</t>
  </si>
  <si>
    <t>Transgender people</t>
  </si>
  <si>
    <t>People who inject drugs and their partners</t>
  </si>
  <si>
    <t>People in prisons and other closed settings</t>
  </si>
  <si>
    <t>Other vulnerable populations</t>
  </si>
  <si>
    <t>Adolescent girls and young women in high prevalence settings</t>
  </si>
  <si>
    <t>Men in high prevalence settings</t>
  </si>
  <si>
    <t>Non-specified population groups</t>
  </si>
  <si>
    <t>Partners of people living with HIV</t>
  </si>
  <si>
    <t>Procurement of LLINs (or ITNs) for mass campaigns</t>
  </si>
  <si>
    <t>Procurement of LLINs (or ITNs) for continuous distribution</t>
  </si>
  <si>
    <t>Procurement of IRS equipment, spare parts and accessories</t>
  </si>
  <si>
    <t>Procurement of antimalaria medicines for treatment</t>
  </si>
  <si>
    <t>Procurement of microscope equipment, spare parts and accessories</t>
  </si>
  <si>
    <t>Procurement of antimalaria medicines for prevention</t>
  </si>
  <si>
    <t>Procurement of RDTs to diagnose TB</t>
  </si>
  <si>
    <t>Procurement of TB Molecular Test equipment</t>
  </si>
  <si>
    <t>Maintenance and service contracts</t>
  </si>
  <si>
    <t>Procurement of anti-TB medicines for prevention</t>
  </si>
  <si>
    <t>Management of side-effects</t>
  </si>
  <si>
    <t>Procurement of RDTs to diagnose HIV, co-infections, and co-morbidities</t>
  </si>
  <si>
    <t>Procurement of RDTs to diagnose HIV, co-infections, and co-morbidities for Men who have sex with men</t>
  </si>
  <si>
    <t>Procurement of RDTs to diagnose HIV, co-infections, and co-morbidities for Sex workers and their clients</t>
  </si>
  <si>
    <t>Procurement of RDTs to diagnose HIV, co-infections, and co-morbidities for Transgender people</t>
  </si>
  <si>
    <t xml:space="preserve">Procurement of RDTs to diagnose HIV, co-infections, and co-morbidities for People who inject drugs and their partners </t>
  </si>
  <si>
    <t>Procurement of RDTs to diagnose HIV, co-infections, and co-morbidities for People in prisons and other closed settings</t>
  </si>
  <si>
    <t>Procurement of RDTs to diagnose HIV, co-infections, and co-morbidities for Other vulnerable populations</t>
  </si>
  <si>
    <t>Procurement of RDTs to diagnose HIV, co-infections, and co-morbidities for Adolescent girls and young women in high prevalence settings</t>
  </si>
  <si>
    <t>Procurement of RDTs to diagnose HIV, co-infections, and co-morbidities for Men in high prevalence settings</t>
  </si>
  <si>
    <t>Procurement of RDTs to diagnose HIV, co-infections, and co-morbidities for Partners of people living with HIV</t>
  </si>
  <si>
    <t>Procurement of RDTs to diagnose HIV, co-infections, and co-morbidities for Non-specified population groups</t>
  </si>
  <si>
    <t>Procurement of CD4 machines and accessories</t>
  </si>
  <si>
    <t>Procurement of VL machines and accessories</t>
  </si>
  <si>
    <t>Procurement of OI and STI medicines</t>
  </si>
  <si>
    <t>Procurement of other medicines</t>
  </si>
  <si>
    <t>Type</t>
  </si>
  <si>
    <t>Product Specification</t>
  </si>
  <si>
    <t>Worksheet</t>
  </si>
  <si>
    <t>Section</t>
  </si>
  <si>
    <t>Data Validation Preperation List: Product</t>
  </si>
  <si>
    <t>Data Validation Preperation List: Specs</t>
  </si>
  <si>
    <t>Concatenate</t>
  </si>
  <si>
    <t>Item Code</t>
  </si>
  <si>
    <t>Pharma</t>
  </si>
  <si>
    <t>TB Medicines for HIV program</t>
  </si>
  <si>
    <t>Abacavir 20mg/ml oral solution 240ml</t>
  </si>
  <si>
    <t>Abacavir 300mg tablet 60</t>
  </si>
  <si>
    <t>Abacavir 60mg tablet dispersible 60</t>
  </si>
  <si>
    <t>Abacavir/Lamivudine 120/60mg tablet dispersible 30</t>
  </si>
  <si>
    <t>Abacavir/Lamivudine 120/60mg tablet dispersible 60</t>
  </si>
  <si>
    <t>Abacavir/Lamivudine 60/30mg tablet dispersible 60</t>
  </si>
  <si>
    <t>Abacavir/Lamivudine 600/300mg tablet 30</t>
  </si>
  <si>
    <t>Abacavir/Lamivudine/Zidovudine 300/150/300mg tablet 60</t>
  </si>
  <si>
    <t>Abacavir/Lamivudine/Zidovudine 60/30/60mg tablet 60</t>
  </si>
  <si>
    <t>Atazanavir 100mg capsule 60</t>
  </si>
  <si>
    <t>Atazanavir 150mg capsule 30</t>
  </si>
  <si>
    <t>Atazanavir 150mg capsule 60</t>
  </si>
  <si>
    <t>Atazanavir 200mg capsule 60</t>
  </si>
  <si>
    <t>Atazanavir 300mg capsule 30</t>
  </si>
  <si>
    <t>Atazanavir/Ritonavir 300/100mg tablet 30</t>
  </si>
  <si>
    <t>Atazanavir/Ritonavir+Lamivudine/Zidovudine 300/100+150/300mg tablet co-blistered 30+60</t>
  </si>
  <si>
    <t>Darunavir 150mg tablet 240</t>
  </si>
  <si>
    <t>Darunavir 400mg tablet 60</t>
  </si>
  <si>
    <t>Darunavir 600mg tablet 60</t>
  </si>
  <si>
    <t>Darunavir 75mg tablet 480</t>
  </si>
  <si>
    <t>Darunavir 800mg tablet 30</t>
  </si>
  <si>
    <t>Darunavir/Ritonavir 400/50mg tablet 60</t>
  </si>
  <si>
    <t>Darunavir/Ritonavir 800/100mg tablet 30</t>
  </si>
  <si>
    <t>Dolutegravir 50mg tablet 30</t>
  </si>
  <si>
    <t>Dolutegravir/Lamivudine/Tenofovir 50/300/300mg tablet 180</t>
  </si>
  <si>
    <t>Dolutegravir/Lamivudine/Tenofovir 50/300/300mg tablet 30</t>
  </si>
  <si>
    <t>Dolutegravir/Lamivudine/Tenofovir 50/300/300mg tablet 30  no carton</t>
  </si>
  <si>
    <t>Dolutegravir/Lamivudine/Tenofovir 50/300/300mg tablet 90 - no carton</t>
  </si>
  <si>
    <t>Efavirenz 200mg capsule 30</t>
  </si>
  <si>
    <t>Efavirenz 200mg capsule 90</t>
  </si>
  <si>
    <t>Efavirenz 200mg tablet 30</t>
  </si>
  <si>
    <t>Efavirenz 200mg tablet 90</t>
  </si>
  <si>
    <t>Efavirenz 200mg tablet double scored 90</t>
  </si>
  <si>
    <t>Efavirenz 200mg tablet scored 90</t>
  </si>
  <si>
    <t>Efavirenz 200mg tablet single scored 90</t>
  </si>
  <si>
    <t>Efavirenz 30mg/ml Oral solution 180ml</t>
  </si>
  <si>
    <t>Efavirenz 50mg capsule 30</t>
  </si>
  <si>
    <t>Efavirenz 50mg tablet 30</t>
  </si>
  <si>
    <t>Efavirenz 600mg tablet 30</t>
  </si>
  <si>
    <t>Efavirenz/Emtricitabine/Tenofovir 600/200/300mg tablet 30</t>
  </si>
  <si>
    <t>Efavirenz/Emtricitabine/Tenofovir 600/200mg/300mg tablet 180</t>
  </si>
  <si>
    <t>Efavirenz/Emtricitabine/Tenofovir 600/200mg/300mg tablet 30  no carton</t>
  </si>
  <si>
    <t>Efavirenz/Emtricitabine/Tenofovir 600/200mg/300mg tablet 90</t>
  </si>
  <si>
    <t>Efavirenz/Lamivudine/Tenofovir 400/300/300mg tablet 180</t>
  </si>
  <si>
    <t>Efavirenz/Lamivudine/Tenofovir 400/300/300mg tablet 30</t>
  </si>
  <si>
    <t>Efavirenz/Lamivudine/Tenofovir 400/300/300mg tablet 30  no carton</t>
  </si>
  <si>
    <t>Efavirenz/Lamivudine/Tenofovir 400/300/300mg tablet 90</t>
  </si>
  <si>
    <t>Efavirenz/Lamivudine/Tenofovir 600/300/300mg tablet 100</t>
  </si>
  <si>
    <t>Efavirenz/Lamivudine/Tenofovir 600/300/300mg tablet 100  no carton</t>
  </si>
  <si>
    <t>Efavirenz/Lamivudine/Tenofovir 600/300/300mg tablet 180</t>
  </si>
  <si>
    <t>Efavirenz/Lamivudine/Tenofovir 600/300/300mg tablet 30</t>
  </si>
  <si>
    <t>Efavirenz/Lamivudine/Tenofovir 600/300/300mg tablet 30  no carton</t>
  </si>
  <si>
    <t>Efavirenz/Lamivudine/Tenofovir 600/300/300mg tablet 90</t>
  </si>
  <si>
    <t>Efavirenz/Lamivudine/Tenofovir 600/300/300mg tablet 90  no carton</t>
  </si>
  <si>
    <t>Emtricitabine 10mg/ml - Oral solution - Bottle of 170 ml</t>
  </si>
  <si>
    <t>Emtricitabine 200mg - Capsule - Bottle of 30</t>
  </si>
  <si>
    <t>Emtricitabine/Tenofovir 200/300mg tablet 30</t>
  </si>
  <si>
    <t>Emtricitabine/Tenofovir+Nevirapine 200/300mg+200mg tablet co-blister 30+60</t>
  </si>
  <si>
    <t>Etravirine 100mg tablet 120</t>
  </si>
  <si>
    <t>Etravirine 25mg tablet 120</t>
  </si>
  <si>
    <t>Etravirine 200mg tablet 60</t>
  </si>
  <si>
    <t>Fosamprenavir 50mg/ml - Oral suspension - Bottle of 225 ml</t>
  </si>
  <si>
    <t>Fosamprenavir 700mg - Tablet - Bottle of 60</t>
  </si>
  <si>
    <t>Lamivudine 10mg/ml oral solution 100ml</t>
  </si>
  <si>
    <t>Lamivudine 10mg/ml oral solution 240ml</t>
  </si>
  <si>
    <t>Lamivudine 150mg tablet 60</t>
  </si>
  <si>
    <t>Lamivudine/Tenofovir 300/300mg tablet 30</t>
  </si>
  <si>
    <t>Lamivudine/Tenofovir 75/75mg tablet 30</t>
  </si>
  <si>
    <t>Lamivudine/Tenofovir+Atazanavir+Ritonavir 300/300+300+100mg tablet co-blistered 60</t>
  </si>
  <si>
    <t>Lamivudine/Zidovudine 150/300mg tablet 60</t>
  </si>
  <si>
    <t>Lamivudine/Zidovudine 30/60mg tablet dispersible 60</t>
  </si>
  <si>
    <t>Lamivudine/Zidovudine+Efavirenz 150/300+600mg 60+30 tablet co-blistered 90</t>
  </si>
  <si>
    <t>Lopinavir/Ritonavir 100/25mg tablet 120</t>
  </si>
  <si>
    <t>Lopinavir/Ritonavir 100/25mg tablet 60</t>
  </si>
  <si>
    <t>Lopinavir/Ritonavir 200/50mg tablet 120</t>
  </si>
  <si>
    <t>Lopinavir/Ritonavir 40/10mg capsule 120</t>
  </si>
  <si>
    <t>Lopinavir/Ritonavir 40/10mg oral granules  120 sachets</t>
  </si>
  <si>
    <t>Lopinavir/Ritonavir 80/20mg/ml oral solution 160ml</t>
  </si>
  <si>
    <t>Lopinavir/Ritonavir 80/20mg/ml oral solution 60ml*5</t>
  </si>
  <si>
    <t>Nevirapine 10mg/ml oral suspension 100ml</t>
  </si>
  <si>
    <t>Nevirapine 10mg/ml oral suspension 240ml Nevirapine 10mg/ml oral suspension 240ml</t>
  </si>
  <si>
    <t>Raltegravir 100mg tablet chewable 60</t>
  </si>
  <si>
    <t>Raltegravir 25mg tablet chewable 60</t>
  </si>
  <si>
    <t>Raltegravir 400mg tablet 60</t>
  </si>
  <si>
    <t>Ritonavir 100mg powder for oral solution  1 sachet</t>
  </si>
  <si>
    <t>Ritonavir 100mg tablet 30</t>
  </si>
  <si>
    <t>Ritonavir 100mg tablet 60</t>
  </si>
  <si>
    <t>Ritonavir 25mg tablet 30</t>
  </si>
  <si>
    <t>Ritonavir 25mg tablet 60</t>
  </si>
  <si>
    <t>Ritonavir 50mg tablet 60</t>
  </si>
  <si>
    <t>Ritonavir 80mg/ml oral solution 90ml</t>
  </si>
  <si>
    <t>Tenofovir 300mg tablet 30</t>
  </si>
  <si>
    <t>Tenofovir 40mg/g granules  60g</t>
  </si>
  <si>
    <t>Zidovudine 100mg capsule 100</t>
  </si>
  <si>
    <t>Zidovudine 10mg/ml injection for infusion 20ml  5 ampoules</t>
  </si>
  <si>
    <t>Zidovudine 300mg tablet 60</t>
  </si>
  <si>
    <t>Zidovudine 50mg/5ml Oral solution 100ml</t>
  </si>
  <si>
    <t>Zidovudine 50mg/5ml Oral solution 240ml</t>
  </si>
  <si>
    <t>Buprenorphine-opioid substitute 2 mg - Box or bottle of 28 tab</t>
  </si>
  <si>
    <t>Buprenorphine-opioid substitute 8mg - Box or bottle of 28 tab</t>
  </si>
  <si>
    <t>Methadone-opioid substitute 10mg - Blister - 100</t>
  </si>
  <si>
    <t>Methadone-opioid substitute 25mg - Blister - 100</t>
  </si>
  <si>
    <t>Methadone-opioid substitute 5mg - Blister - 100</t>
  </si>
  <si>
    <t>Methadone-opioid substitute 10mg/ml oral concentrate 1 Liter</t>
  </si>
  <si>
    <t>Methadone-opioid substitute 5mg/ml oral concentrate 1 Liter</t>
  </si>
  <si>
    <t>Other-opioid substitute [enter specifications manually]</t>
  </si>
  <si>
    <t>TB- Pharmaceuticals</t>
  </si>
  <si>
    <t>Amphotericin b liposome 50mg for injection - 1 vial</t>
  </si>
  <si>
    <t>Co-trimoxazole 100/20mg tablet 1000</t>
  </si>
  <si>
    <t>Co-trimoxazole 200/40mg per 5ml oral solution 100ml</t>
  </si>
  <si>
    <t>Co-trimoxazole 400/80mg tablet 1000</t>
  </si>
  <si>
    <t>Co-trimoxazole 480mg/5ml injection - 10 ampoule</t>
  </si>
  <si>
    <t>Co-trimoxazole 800/160mg tablet 1000</t>
  </si>
  <si>
    <t>Co-trimoxazole 800/160mg tablet 500</t>
  </si>
  <si>
    <t>Fluconazole 200mg capsule 100</t>
  </si>
  <si>
    <t>Fluconazole 2mg/ml infusion 100ml - 10 bags</t>
  </si>
  <si>
    <t>Fluconazole 50mg capsule 100</t>
  </si>
  <si>
    <t>Fluconazole 50mg/5ml powder for oral solution 35ml</t>
  </si>
  <si>
    <t>Flucytosine Flucytosine 500mg tablet 100</t>
  </si>
  <si>
    <t>Flucytosine injection 10mg/ml 5 bottles 250ml</t>
  </si>
  <si>
    <t>Other medicines [enter specifications manually]</t>
  </si>
  <si>
    <t>Pegylated liposomal doxorubicin 2mg/ml 20mg 1 vial</t>
  </si>
  <si>
    <t>Pegylated liposomal doxorubicin  2mg/ml 50mg 1 vial</t>
  </si>
  <si>
    <t>Valganciclovir 450mg tablet 60</t>
  </si>
  <si>
    <t>Aciclovir 5% cream 2g - 1 tube</t>
  </si>
  <si>
    <t>Amitriptyline (as hydrochloride)  25mg tablet coated 1000</t>
  </si>
  <si>
    <t>Amoxicillin 250mg/5ml oral solution 100ml - 40 bottles</t>
  </si>
  <si>
    <t>Amoxicillin 500mg capsule 1000</t>
  </si>
  <si>
    <t>Amoxicillin 500mg tablet 1000</t>
  </si>
  <si>
    <t>Ampicillin 500mg powder for injection - 50 vial</t>
  </si>
  <si>
    <t>Azithromycin 200mg/5ml oral solution 15ml</t>
  </si>
  <si>
    <t>Azithromycin 250mg 6 tablet</t>
  </si>
  <si>
    <t>Azithromycin 500mg 3 tablet</t>
  </si>
  <si>
    <t>Benzathine penicillin 2.4 MIU powder for solution for injection - 50 vials</t>
  </si>
  <si>
    <t>Bleomycin Bleomycin 15 USP units - 15,0000 IU powder for injection - 1 vial</t>
  </si>
  <si>
    <t>Ceftriaxone 1g powder for injection - 10 vials</t>
  </si>
  <si>
    <t>Chloramphenicol 250mg capsule 1000</t>
  </si>
  <si>
    <t>Chlorphenamine maleate 10mg/ml solution for injection 1ml - 5 ampoule</t>
  </si>
  <si>
    <t>Ciprofloxacin 500mg tablet 100</t>
  </si>
  <si>
    <t>Clindamycin 150mg capsule 100</t>
  </si>
  <si>
    <t>Clindamycin 600mg/4ml injection - 1 ampoule</t>
  </si>
  <si>
    <t>Clotrimzole 500mg 1 tablet vaginal</t>
  </si>
  <si>
    <t>Clotrimzole 1% cream 30g tube - 10 tubes</t>
  </si>
  <si>
    <t>Codeine (as phosphate) 30mg tablet 100</t>
  </si>
  <si>
    <t>Daclatasvir 30mg tablet 28</t>
  </si>
  <si>
    <t>Daclatasvir 60mg tablet 28</t>
  </si>
  <si>
    <t>Dapsone 100mg 28 tablet</t>
  </si>
  <si>
    <t>Diclofenac (as sodium)  75mg/3ml injection - 100 ampoules</t>
  </si>
  <si>
    <t>Diclofenac (as sodium)  50mg tablet coated enteric 1000</t>
  </si>
  <si>
    <t>Doxorubicin (as hydrochloride)  10mg powder for solution for injection - 1 vial</t>
  </si>
  <si>
    <t>Doxorubicin (as hydrochloride)  50mg powder for solution for injection - 1 vial</t>
  </si>
  <si>
    <t>Doxycycline (as hyclate)  100mg tablet 500</t>
  </si>
  <si>
    <t>Entecavir   0.5mg tablet 30</t>
  </si>
  <si>
    <t>Entecavir   0.5mg tablet scored 90</t>
  </si>
  <si>
    <t>Entecavir   1mg tablet 30</t>
  </si>
  <si>
    <t>Entecavir  1mg tablet scored 90</t>
  </si>
  <si>
    <t>Erythromycin  250mg/5ml powder for oral solution 140ml - 20 bottles</t>
  </si>
  <si>
    <t>Erythromycin (as stearate)  250mg tablet 1000</t>
  </si>
  <si>
    <t>Erythromycin (as stearate)  500mg tablet 100</t>
  </si>
  <si>
    <t>Erythromycin (as stearate)  500mg tablet 500</t>
  </si>
  <si>
    <t>Ganciclovir  500mg powder for solution for injection - 1 vial</t>
  </si>
  <si>
    <t>Gentamicin 80mg/2ml injection - 100 ampoules</t>
  </si>
  <si>
    <t>Ibuprofen 100mg/5ml oral solution 100ml</t>
  </si>
  <si>
    <t>Ibuprofen 200mg film coated tablet 1000</t>
  </si>
  <si>
    <t>Itraconazole 100mg 15 capsule</t>
  </si>
  <si>
    <t>Lactulose (as liquid) 667mg/ml 200ml</t>
  </si>
  <si>
    <t>Metronidazole 200mg tablet 1000</t>
  </si>
  <si>
    <t>Metronidazole 250mg tablet 1000</t>
  </si>
  <si>
    <t>Metronidazole 5mg/ml oral solution 100ml - 20 bottles</t>
  </si>
  <si>
    <t>Nystatin 100,000 IU 14 tablet</t>
  </si>
  <si>
    <t>Nystatin 100,000 IU/ml oral solution 30ml</t>
  </si>
  <si>
    <t>Oral rehydration salt 20.5g/l - 100 sachets</t>
  </si>
  <si>
    <t>Pantoprazole 20mg 28 tablet</t>
  </si>
  <si>
    <t>Paracetamol 120mg/5ml oral solution 60ml - 140 bottles</t>
  </si>
  <si>
    <t>Paracetamol 500mg tablet 1000</t>
  </si>
  <si>
    <t>Phenoxymethylpenicillin  500mg tablet 500</t>
  </si>
  <si>
    <t>Podophyllotoxin  0.5% oral solution 3.5ml</t>
  </si>
  <si>
    <t>Pvp iodine  10% solution 200ml</t>
  </si>
  <si>
    <t>Pvp iodine  10% solution gynaecological 500ml</t>
  </si>
  <si>
    <t>Pyrimethamine  25mg 30 tablet</t>
  </si>
  <si>
    <t>Pyrimethamine  50mg 20 tablet</t>
  </si>
  <si>
    <t>Ribavirin  200mg 42 tablet 1 blister</t>
  </si>
  <si>
    <t>Salbutamol  4mg tablet 1000</t>
  </si>
  <si>
    <t>Sodium dichloroisocyanurate  1.67g tablet 200</t>
  </si>
  <si>
    <t>Sofosbuvir  400mg tablet 28</t>
  </si>
  <si>
    <t>Sofosbuvir/ Ledipasvir  400mg/90mg tablet 28</t>
  </si>
  <si>
    <t>Sofosbuvir/Velpatasvir  400mg/100mg tablet 28</t>
  </si>
  <si>
    <t>Sofosbuvir+Daclatasvir  400+60mg tablet co-blistered 28 blister</t>
  </si>
  <si>
    <t>Sulfadiazine  500mg 56 tablet</t>
  </si>
  <si>
    <t>Therapeutic food products [enter specifications manually]</t>
  </si>
  <si>
    <t>Therapeutic milk F100 powder  102.5g - 120 sachets</t>
  </si>
  <si>
    <t>Therapeutic milk F100 powder  114g - 90 sachets</t>
  </si>
  <si>
    <t>Vincristine (as sulfate)  1mg/ml injection - 1 vial</t>
  </si>
  <si>
    <t>Vitamin B-6 (pyridoxine as hydrochloride)  25mg tablet 100</t>
  </si>
  <si>
    <t>Water for injection 10ml - 20 ampoules</t>
  </si>
  <si>
    <t>Water for injection 5ml - 1 ampoule</t>
  </si>
  <si>
    <t>Water for injection 5ml - 20 vial</t>
  </si>
  <si>
    <t>Water for injection 5ml - 50 vial</t>
  </si>
  <si>
    <t>Water for injection 5ml - 100 ampoule</t>
  </si>
  <si>
    <t>TB Medicines for IPT</t>
  </si>
  <si>
    <t>Isoniazid/Pyridoxine hydrochl/Sulfamethoxazole/Trimethoprim 300 mg/25 mg/800 mg/160 tablets 30</t>
  </si>
  <si>
    <t>Isoniazid 100mg 10 tablet 10 blister</t>
  </si>
  <si>
    <t>Isoniazid 100mg 28 tablet 24 blister</t>
  </si>
  <si>
    <t>Isoniazid 300mg 10 tablet 10 blister</t>
  </si>
  <si>
    <t>Isoniazid 300mg 28 tablet 24 blister</t>
  </si>
  <si>
    <t>Isoniazid 50mg 10 tablet 10 blister</t>
  </si>
  <si>
    <t>Rifapentine 150mg tablet 24</t>
  </si>
  <si>
    <t>Ethambutol/Isoniazid/Pyrazinamide/Rifampicin 275/75/400/150mg 10 tablet 10 blister</t>
  </si>
  <si>
    <t>Ethambutol/Isoniazid/Pyrazinamide/Rifampicin 275/75/400/150mg 28 tablet 24 blister</t>
  </si>
  <si>
    <t>Ethambutol/Isoniazid/Rifampicin 275/75/150mg 10 tablet 10 blister</t>
  </si>
  <si>
    <t>Ethambutol/Isoniazid/Rifampicin 275/75/150mg 28 tablet 24 blister</t>
  </si>
  <si>
    <t>Isoniazid/Pyrazinamide/Rifampicin 50/150/75mg 10 tablet dispersible 10 blister</t>
  </si>
  <si>
    <t>Isoniazid/Pyrazinamide/Rifampicin 50/150/75mg 28 tablet dispersible 3 blister</t>
  </si>
  <si>
    <t>Isoniazid/Rifampicin 75/150mg 10 tablet 10 blister</t>
  </si>
  <si>
    <t>Isoniazid/Rifampicin 75/150mg 28 tablet 24 blister</t>
  </si>
  <si>
    <t>Isoniazid/Rifampicin 50/75mg 28 tablet dispersible 3 blister</t>
  </si>
  <si>
    <t>Isoniazid/Rifampicin 50/75mg tablet dispersible 100</t>
  </si>
  <si>
    <t>Rifabutin 150mg capsule 100</t>
  </si>
  <si>
    <t>Rifampicin 150mg 10 capsule 10 blister</t>
  </si>
  <si>
    <t>Rifampicin 20mg/ml granules for oral suspension 100ml</t>
  </si>
  <si>
    <t>Rifampicin 20mg/ml granules for oral suspension 120ml</t>
  </si>
  <si>
    <t>Rifampicin 300mg 10 capsule 10 blister</t>
  </si>
  <si>
    <t>Rifampicin 450mg 10 capsule 10 blister</t>
  </si>
  <si>
    <t>Rifampicin 600mg 10 capsule 10 blister</t>
  </si>
  <si>
    <t>TB Cat I+III Patient Kit A 4-FDC 6x28tabs(R150/H75/Z400/E275)+2-FDC 12x28tabs (R150/H75) - Kit</t>
  </si>
  <si>
    <t>TB Cat I+III Patient Kit C 4-FDC 6x28tabs(R150/H75/Z400/E275)+2-FDC 18x28tabs(R150/H150) - Kit</t>
  </si>
  <si>
    <t>Ethambutol 100mg 10 tablet 10 blister</t>
  </si>
  <si>
    <t>Ethambutol 100mg 28 tablet 24 blister</t>
  </si>
  <si>
    <t>Ethambutol 400mg 10 tablet 10 blister</t>
  </si>
  <si>
    <t>Ethambutol 400mg 28 tablet 24 blister</t>
  </si>
  <si>
    <t>Pyrazinamide 150mg tablet dispersible 100</t>
  </si>
  <si>
    <t>Pyrazinamide 400mg 10 tablet 10 blister</t>
  </si>
  <si>
    <t>Pyrazinamide 400mg 28 tablet 24 blister</t>
  </si>
  <si>
    <t>Pyrazinamide 500mg 28 tablet 24 blister</t>
  </si>
  <si>
    <t>Other anti-TB medicine [enter specifications manually]</t>
  </si>
  <si>
    <t>MDR/XDR TB Medicines</t>
  </si>
  <si>
    <t>Other MDR/XDR TB medicine [enter specifications manually]</t>
  </si>
  <si>
    <t>Amikacin 500mg/2ml solution for injection - 1 vial</t>
  </si>
  <si>
    <t>Amikacin 500mg/2ml solution for injection - 10 vial</t>
  </si>
  <si>
    <t>Amoxicillin/Clavulanic acid 125mg/31.25mg/5ml powder for oral solution 100ml</t>
  </si>
  <si>
    <t>Amoxicillin/Clavulanic acid 250/125mg 10 tablet 1 blister</t>
  </si>
  <si>
    <t>Amoxicillin/Clavulanic acid 250mg/62.5mg/5ml powder for oral solution 100ml</t>
  </si>
  <si>
    <t>Amoxicillin/Clavulanic acid 500/125mg 10 tablet 1 blister</t>
  </si>
  <si>
    <t>Amoxicillin/Clavulanic acid 875/125mg 10 tablet 1 blister</t>
  </si>
  <si>
    <t>Bedaquiline 100mg tablet 188</t>
  </si>
  <si>
    <t>Bedaquiline 100mg tablet 24</t>
  </si>
  <si>
    <t>Clarithromycin 250mg 10 tablet 1 blister</t>
  </si>
  <si>
    <t>Clarithromycin 500mg 10 tablet 1 blister</t>
  </si>
  <si>
    <t>Clofazimine 100mg tablet 100</t>
  </si>
  <si>
    <t>Clofazimine 50mg tablet 100</t>
  </si>
  <si>
    <t>Cycloserine 250mg 10 capsule 10 blister</t>
  </si>
  <si>
    <t>Delamanid 50mg 8 tablet 6 blister</t>
  </si>
  <si>
    <t>Ethionamide 125mg 10 tablet 10 blister</t>
  </si>
  <si>
    <t>Ethionamide 250mg 10 tablet 10 blister</t>
  </si>
  <si>
    <t>Imipenem/Cilastatin 250/250mg powder for solution for infusion 20ml - 10 vial</t>
  </si>
  <si>
    <t>Imipenem/Cilastatin 500/500mg powder for solution for infusion 20ml - 10 vial</t>
  </si>
  <si>
    <t>Kanamycin 1g powder for solution for injection - 50 vial</t>
  </si>
  <si>
    <t>Kanamycin 1g/4ml solution for injection - 10 amp</t>
  </si>
  <si>
    <t>Kanamycin 500mg powder for solution for injection - 50 vial</t>
  </si>
  <si>
    <t>Kanamycin 500mg/2ml solution for injection - 10 amp</t>
  </si>
  <si>
    <t>Levofloxacin 100mg 10 tablet dispersible 10 blister</t>
  </si>
  <si>
    <t>Levofloxacin 250mg 10 tablet 10 blister</t>
  </si>
  <si>
    <t>Levofloxacin 500mg 10 tablet 10 blister</t>
  </si>
  <si>
    <t>Levofloxacin 750mg 10 tablet 10 blister</t>
  </si>
  <si>
    <t>Linezolide 600mg 10 tablet 10 blister</t>
  </si>
  <si>
    <t>Linezolide 600mg tablet 20</t>
  </si>
  <si>
    <t>Meropenem 1g powder for solution for injection - 10 vial</t>
  </si>
  <si>
    <t>Moxifloxacin 100mg 10 tablet dispersible 10 blister</t>
  </si>
  <si>
    <t>Moxifloxacin 400mg 10 tablet 10 blister</t>
  </si>
  <si>
    <t>Para-AminoSalicylate Sodium 4g granule 30</t>
  </si>
  <si>
    <t>Para-AminoSalicylate Sodium 5.52g (equiv 4g PAS) powder for oral solution - 25 sachet</t>
  </si>
  <si>
    <t>Para-AminoSalicylate Sodium 60% w/w 9.2g - 30 sachet</t>
  </si>
  <si>
    <t>Para-AminoSalicylate Sodium 60% w/w granule delayed release 100g</t>
  </si>
  <si>
    <t>Pretomanid 200 mg tablets 26</t>
  </si>
  <si>
    <t>Prothionamide 250mg 100 tablet 1 blister</t>
  </si>
  <si>
    <t>Streptomycin 1g powder for solution for injection - 1 vial</t>
  </si>
  <si>
    <t>Terizidone 250mg 50 capsule 1 blister</t>
  </si>
  <si>
    <t>Anti-Malaria Medicnes Treatment</t>
  </si>
  <si>
    <t>Amodiaquine+Sulfadoxine/Pyrimethamine 150mg+500/25mg 3+1 tablet co-blistered 25 blister</t>
  </si>
  <si>
    <t>Amodiaquine+Sulfadoxine/Pyrimethamine 153mg+500/25mg 3+1 tablet dispersible co-blistered 50 blister</t>
  </si>
  <si>
    <t>Amodiaquine+Sulfadoxine/Pyrimethamine 75mg+250/12.5mg 3+1 tablet co-blistered 25 blister</t>
  </si>
  <si>
    <t>Amodiaquine+Sulfadoxine/Pyrimethamine 775mg+250/12.5mg 3+1 tablet co-blistered 50 blister</t>
  </si>
  <si>
    <t>Amodiaquine+Sulfadoxine/Pyrimethamine 76.5mg+250/12.5mg 3+1 tablet dispersible co-blistered 50 blister</t>
  </si>
  <si>
    <t>Artemether 80mg/ml Solution for Injection - 1 vial</t>
  </si>
  <si>
    <t>Artemether/Lumefantrine 20/120mg 12 tablet dispersible 30 blister</t>
  </si>
  <si>
    <t>Artemether/Lumefantrine 20/120mg 24 tablet 30 blister</t>
  </si>
  <si>
    <t>Artemether/Lumefantrine 20/120mg 6 tablet dispersible 30 blister</t>
  </si>
  <si>
    <t>Artemether/Lumefantrine 40/240mg 12 tablet 30 blister</t>
  </si>
  <si>
    <t>Artemether/Lumefantrine 40/240mg 6 tablet 30 blister</t>
  </si>
  <si>
    <t>Artemether/Lumefantrine 60/360mg 6 tablet 30 blister</t>
  </si>
  <si>
    <t>Artemether/Lumefantrine 80/480mg 6 tablet 30 blister</t>
  </si>
  <si>
    <t>Artemether/Lumefantrine 20/120mg 12 tablet 30 blister</t>
  </si>
  <si>
    <t>Artemether/Lumefantrine 20/120mg 18 tablet 30 blister</t>
  </si>
  <si>
    <t>Artemether/Lumefantrine 20/120mg 6 tablet 30 blister</t>
  </si>
  <si>
    <t>Artesunate 100mg 2 suppository</t>
  </si>
  <si>
    <t>Artesunate 120mg powder for solution for injection - 1 vial</t>
  </si>
  <si>
    <t>Artesunate 30mg powder for solution for injection - 1 vial</t>
  </si>
  <si>
    <t>Artesunate 60mg powder for solution for injection - 1 vial</t>
  </si>
  <si>
    <t>Artesunate/amodiaquine 100/270mg 3 tablet 25 blister</t>
  </si>
  <si>
    <t>Artesunate/amodiaquine 100/270mg 6 tablet 25 blister</t>
  </si>
  <si>
    <t>Artesunate/amodiaquine 25/67.5mg 3 tablet 25 blister</t>
  </si>
  <si>
    <t>Artesunate/amodiaquine 50/135mg 3 tablet 25 blister</t>
  </si>
  <si>
    <t>Artesunate/Mefloquine 100/200mg 3 tablet</t>
  </si>
  <si>
    <t>Artesunate/Mefloquine 100/200mg 6 tablet</t>
  </si>
  <si>
    <t>Artesunate/Mefloquine 25/50mg 3 tablet</t>
  </si>
  <si>
    <t>Artesunate/Mefloquine 25/50mg 6 tablet</t>
  </si>
  <si>
    <t>Artesunate/Pyronaridine 20/60mg granule for oral suspension 90</t>
  </si>
  <si>
    <t>Artesunate/Pyronaridine 60/180mg tablet 9 tablet 10 blister</t>
  </si>
  <si>
    <t>Artesunate+Sulfadoxine/Pyrimethamine 100mg+500/25mg 6+3 tablet co-blistered 25 blister</t>
  </si>
  <si>
    <t>Artesunate+Sulfadoxine/Pyrimethamine 50mg+500/25mg 6+2 tablet co-blistered 25 blister</t>
  </si>
  <si>
    <t>Chloroquine 250mg as phosphate/sulfate (155mg as base) 10 tablet 10 blister</t>
  </si>
  <si>
    <t>Chloroquine 250mg as phosphate/sulfate (155mg as base) 100 tablet</t>
  </si>
  <si>
    <t>Chloroquine 250mg as phosphate/sulfate (155mg as base) 100 tablet 10 blister</t>
  </si>
  <si>
    <t>Chloroquine 250mg as phosphate/sulfate (155mg as base) 1000 tablet</t>
  </si>
  <si>
    <t>Chloroquine 250mg as phosphate/sulfate (155mg as base) 20 tablet</t>
  </si>
  <si>
    <t>Chloroquine 250mg as phosphate/sulfate (155mg as base) 500 tablet</t>
  </si>
  <si>
    <t>Chloroquine 80mg/5ml as phosphate/sulfate (50mg/5ml as base) 150ml</t>
  </si>
  <si>
    <t>Mefloquine 250mg 8 tablet</t>
  </si>
  <si>
    <t>Other antimalaria medicine [enter specifications manually]</t>
  </si>
  <si>
    <t>Piperaquine/Dihydroartemisinin 160/20mg 3 tablet</t>
  </si>
  <si>
    <t>Piperaquine/Dihydroartemisinin 320/40mg 12 tablet</t>
  </si>
  <si>
    <t>Piperaquine/Dihydroartemisinin 320/40mg 3 tablet</t>
  </si>
  <si>
    <t>Piperaquine/Dihydroartemisinin 320/40mg 6 tablet</t>
  </si>
  <si>
    <t>Piperaquine/Dihydroartemisinin 320/40mg 9 tablet</t>
  </si>
  <si>
    <t>Primaquine 15mg (as base) (equivalent to 26.4mg Primaquine Phosphate) tablet 100</t>
  </si>
  <si>
    <t>Primaquine 7.5mg (as base) (equivalent to 13.2mg Primaquine Phosphate) 10 tablet 10 blister</t>
  </si>
  <si>
    <t>Primaquine 7.5mg (as base) (equivalent to 13.2mg Primaquine Phosphate) 10 tablet 100 blister</t>
  </si>
  <si>
    <t>Primaquine 7.5mg (as base) (equivalent to 13.2mg Primaquine Phosphate) tablet 100</t>
  </si>
  <si>
    <t>Primaquine 7.5mg (as base) (equivalent to 13.2mg Primaquine Phosphate) tablet 1000</t>
  </si>
  <si>
    <t>Proguanil 100mg tablet 100</t>
  </si>
  <si>
    <t>Quinine 300mg 100</t>
  </si>
  <si>
    <t>Quinine 300mg 1000</t>
  </si>
  <si>
    <t>Quinine 300mg/ml Amp 10 * 2ml</t>
  </si>
  <si>
    <t>Quinine 300mg/ml Amp 100 * 2ml</t>
  </si>
  <si>
    <t>Anti-Malaria Medicines prevention</t>
  </si>
  <si>
    <t>Sulfadoxine/Pyrimethamine 500/25mg 3 tablet 10 blister</t>
  </si>
  <si>
    <t>Sulfadoxine/Pyrimethamine 500/25mg 3 tablet 100 blister</t>
  </si>
  <si>
    <t>Sulfadoxine/Pyrimethamine 500/25mg tablet 100</t>
  </si>
  <si>
    <t>Sulfadoxine/Pyrimethamine 500/25mg tablet 1000</t>
  </si>
  <si>
    <t>HIV- Other HPS</t>
  </si>
  <si>
    <t>Condoms &amp; Lubes</t>
  </si>
  <si>
    <t>Male condom 49 mm - dotted - pack of 144</t>
  </si>
  <si>
    <t>Male condom 49 mm - plain - pack of 144</t>
  </si>
  <si>
    <t>Male condom 49 mm - ribbed - pack of 144</t>
  </si>
  <si>
    <t>Male condom 49 mm - with color - pack of 144</t>
  </si>
  <si>
    <t>Male condom 49 mm - with flavor/scent - pack of 144</t>
  </si>
  <si>
    <t>Male condom 52 mm - contoured - pack of 144</t>
  </si>
  <si>
    <t>Male condom 52 mm - dotted - contoured - pack of 144</t>
  </si>
  <si>
    <t>Male condom 52 mm - ribbed - contoured - pack of 144</t>
  </si>
  <si>
    <t>Male condom 53 mm - dotted - pack of 144</t>
  </si>
  <si>
    <t>Male condom 53 mm - plain - pack of 144</t>
  </si>
  <si>
    <t>Male condom 53 mm - ribbed - pack of 144</t>
  </si>
  <si>
    <t>Male condom 53 mm - thick - pack of 144</t>
  </si>
  <si>
    <t>Male condom 53 mm - thin - pack of 144</t>
  </si>
  <si>
    <t>Male condom 53 mm - with color - pack of 144</t>
  </si>
  <si>
    <t>Male condom 53 mm - with color - with flavor/scent - pack of 144</t>
  </si>
  <si>
    <t>Male condom 53 mm - with flavor/scent - pack of 144</t>
  </si>
  <si>
    <t>Male condom [enter specifications manually]</t>
  </si>
  <si>
    <t>Female condom latex - ring</t>
  </si>
  <si>
    <t>Female condom latex - sponge</t>
  </si>
  <si>
    <t>Female condom nitrile - ring</t>
  </si>
  <si>
    <t>Female condom polyurethane</t>
  </si>
  <si>
    <t>Female condom [enter specifications manually]</t>
  </si>
  <si>
    <t>Lubes</t>
  </si>
  <si>
    <t>Lubricant 35 g – sterile jelly - 1 tube</t>
  </si>
  <si>
    <t>Lubricant 82 g – sterile jelly - 1 tube</t>
  </si>
  <si>
    <t>Lubricant 4 ml - water based - 1000 sachets</t>
  </si>
  <si>
    <t>Lubricant 4.3 ml - water based - 1000 sachets</t>
  </si>
  <si>
    <t>Lubricant 5 ml - water based - 1000 sachets</t>
  </si>
  <si>
    <t>RDTS for HIV</t>
  </si>
  <si>
    <t>Rapid Diagnostic Test - HIV HIV 1 - Generic Rapid Diagnostic Test Kit - 1 test</t>
  </si>
  <si>
    <t>Rapid Diagnostic Test - HIV HIV 1/2 - Determine HIV Combo Kit 100 tests</t>
  </si>
  <si>
    <t>Rapid Diagnostic Test - HIV DPP HIV 1/2 Assay - 20 tests</t>
  </si>
  <si>
    <t>Rapid Diagnostic Test - HIV HIV 1/2 - Generic Rapid Diagnostic Test Kit - 1 test</t>
  </si>
  <si>
    <t>Rapid Diagnostic Test - HIV HIV 1/2 - SD Bioline 3.0 Kit - 25 tests</t>
  </si>
  <si>
    <t>Rapid Diagnostic Test - HIV HIV 1/2 – MultiSure HIV Rapid Test – 20 tests</t>
  </si>
  <si>
    <t>Rapid Diagnostic Test - HIV HIV 1/2-O - First Response HIV 1-2.0 v.3.0 Cards Kit - 25 tests</t>
  </si>
  <si>
    <t>Rapid Diagnostic Test - HIV HIV 1/2-O - First Response HIV 1-2.0 v.3.0 Cards Kit - 30 tests</t>
  </si>
  <si>
    <t>Rapid Diagnostic Test - HIV HIV 1/2-O - First Response HIV 1-2.0 v.3.0 Cards Kit - 100 tests</t>
  </si>
  <si>
    <t>Rapid Diagnostic Test - HIV HIV 1/2: Geenius HIV Confirmatory Assay - 20 tests</t>
  </si>
  <si>
    <t>Rapid Diagnostic Test - HIV HIV 1/2/O – ABON Tri-Line HIV Rapid Test Kit - 40 tests</t>
  </si>
  <si>
    <t>Rapid Diagnostic Test - HIV HIV 1+2 - SD Bioline Ag/Ab Combo Kit - 30 tests</t>
  </si>
  <si>
    <t>Rapid Diagnostic Test - HIV HIV 1+2 - Determine Chase Buffer - 2.5ml vial - 100 tests</t>
  </si>
  <si>
    <t>Rapid Diagnostic Test - HIV HIV 1+2 - Determine Complete HIV Kit - 100 tests</t>
  </si>
  <si>
    <t>Rapid Diagnostic Test - HIV HIV 1+2 - Determine HIV Kit - 100 tests</t>
  </si>
  <si>
    <t>Rapid Diagnostic Test - HIV HIV 1+2 - Determine HIV Kit - 20 tests</t>
  </si>
  <si>
    <t>Rapid Diagnostic Test - HIV HIV 1+2 - Generic Rapid Diagnostic Test Kit - 1 test</t>
  </si>
  <si>
    <t>Rapid Diagnostic Test - HIV HIV 1+2 - INSTI HIV Antibody Test Kit - 48 tests</t>
  </si>
  <si>
    <t>Rapid Diagnostic Test - HIV HIV 1+2 - OraQuick ADVANCE HIV Rapid Antibody Kit - 25 Tests</t>
  </si>
  <si>
    <t>Rapid Diagnostic Test - HIV HIV 1+2 - OraQuick HIV Rapid Antibody Kit - 100 Tests</t>
  </si>
  <si>
    <t>Rapid Diagnostic Test - HIV HIV 1+2 - OraQuick HIV Self Test - 250 Tests</t>
  </si>
  <si>
    <t>Rapid Diagnostic Test - HIV HIV 1+2 - OraQuick HIV Self Test - 50 Tests</t>
  </si>
  <si>
    <t>Rapid Diagnostic Test - HIV HIV 1+2 - Stat-Pak Dipstick Assay Kit - 30 tests</t>
  </si>
  <si>
    <t>Rapid Diagnostic Test - HIV HIV 1+2 - Stat-Pak HIV Kit - 20 tests</t>
  </si>
  <si>
    <t>Rapid Diagnostic Test - HIV HIV 1+2 - Uni-gold HIV Kit - 100 tests</t>
  </si>
  <si>
    <t>Rapid Diagnostic Test - HIV HIV 1+2 - Uni-gold HIV Kit - 20 tests</t>
  </si>
  <si>
    <t>Rapid Diagnostic Test - HIV HIV 1+2 - Vikia HIV Device Kit - 25 tests</t>
  </si>
  <si>
    <t>Rapid Diagnostic Test - HIV HIV 1+2 Colloidal Gold - 50 tests</t>
  </si>
  <si>
    <t>Rapid Diagnostic Test - HIV HIV Self Testing - Generic Rapid Diagnostic Test Kit - 1 test</t>
  </si>
  <si>
    <t>Rapid Diagnostic Test - HIV HIV/Syphilis - Generic RDT - 1 test</t>
  </si>
  <si>
    <t>Rapid Diagnostic Test - HIV HIV/Syphilis - SD Bioline Duo complete kit - 25 tests</t>
  </si>
  <si>
    <t>Rapid Diagnostic Test - HIV [enter specifications manually]</t>
  </si>
  <si>
    <t>Rapid Diagnostic Test - Cryptococcus Cryptococcus - Latex Agglutination Antigen Detection System - 120 Tests</t>
  </si>
  <si>
    <t>Rapid Diagnostic Test - Cryptococcus Cryptococcus Antigen Latex lateral flow assay, 50 test/kit</t>
  </si>
  <si>
    <t>Rapid Diagnostic Test - HBV HBV - Generic Rapid Diagnostic Test Kit - 1 test</t>
  </si>
  <si>
    <t>Rapid Diagnostic Test - HBV SD BIOLINE HBsAg WB – 30 tests</t>
  </si>
  <si>
    <t>Rapid Diagnostic Test - HCV HCV - Generic Rapid Diagnostic Test Kit - 1 test</t>
  </si>
  <si>
    <t>Rapid Diagnostic Test - HCV GeneXpert Cartridge 10</t>
  </si>
  <si>
    <t>Rapid Diagnostic Test - Syphilis Syphilis - Generic Rapid Diagnostic Test Kit - 1 test</t>
  </si>
  <si>
    <t>Rapid Diagnostic Test - TB Determine TB LAM Ag Test, 100 test/kit</t>
  </si>
  <si>
    <t>GeneXpert - Equipment &amp; cartridges GeneXpert Cartridge 10</t>
  </si>
  <si>
    <t>GeneXpert - Equipment &amp; cartridges GeneXpert Cartridge 50</t>
  </si>
  <si>
    <t>GeneXpert - Equipment &amp; cartridges GeneXpert ULTRA Cartridge 10</t>
  </si>
  <si>
    <t>GeneXpert - Equipment &amp; cartridges GeneXpert ULTRA Cartridge 50</t>
  </si>
  <si>
    <t>Lab reagents</t>
  </si>
  <si>
    <t>HIV Lab reagents</t>
  </si>
  <si>
    <t>HIV Early Infant Diagnosis Abbott Early Infant Diagnosis Test Kit and Consumable Bundle - 96 tests</t>
  </si>
  <si>
    <t>HIV Early Infant Diagnosis Alere Early Infant Diagnosis Test Kit - 10 tests</t>
  </si>
  <si>
    <t>HIV Early Infant Diagnosis Alere Early Infant Diagnosis Test Kit - 50 tests</t>
  </si>
  <si>
    <t>HIV Early Infant Diagnosis Cepheid Early Infant Diagnosis Test Kit - 10 tests</t>
  </si>
  <si>
    <t>HIV Early Infant Diagnosis DRW Samba I Early Infant Diagnosis Test Kit - 12 tests</t>
  </si>
  <si>
    <t>HIV Early Infant Diagnosis DRW Samba II Early Infant Diagnosis Test Kit - 12 tests</t>
  </si>
  <si>
    <t>HIV Early Infant Diagnosis [enter specifications manually]</t>
  </si>
  <si>
    <t>HIV Early Infant Diagnosis Roche Early Infant Diagnosis Test Kit and Consumable Bundle - 48 tests</t>
  </si>
  <si>
    <t>HIV Viral Load test Abbott Viral Load Test Kit and Consumable Bundle - Plasma - 96 tests</t>
  </si>
  <si>
    <t>HIV Viral Load test Biocentric Viral Load Test Kit and Consumable Bundle - 440 tests</t>
  </si>
  <si>
    <t>HIV Viral Load test bioMerieux Viral Load Test Kit and Consumable Bundle - 48 tests</t>
  </si>
  <si>
    <t>HIV Viral Load test Cepheid Viral Load Test Kit - 10 tests</t>
  </si>
  <si>
    <t>HIV Viral Load test DRW Samba I Viral Load Test Kit - 12 tests</t>
  </si>
  <si>
    <t>HIV Viral Load test DRW Samba II Viral Load Test Kit - 12 tests</t>
  </si>
  <si>
    <t>HIV Viral Load test Hologic Viral Load Test Kit - 100 tests</t>
  </si>
  <si>
    <t>HIV Viral Load test [enter specifications manually]</t>
  </si>
  <si>
    <t>HIV Viral Load test Qiagen Viral Load Test Kit and Consumable Bundle - 24 tests</t>
  </si>
  <si>
    <t>HIV Viral Load test Qiagen Viral Load Test Kit and Consumable Bundle - 72 tests</t>
  </si>
  <si>
    <t>HIV Viral Load test Roche Viral Load Test Kit and Consumable Bundle - 48 tests</t>
  </si>
  <si>
    <t>Microscopy Equipment &amp; reagents</t>
  </si>
  <si>
    <t>Microscopy: TB smear microscopy reagent kits Diagnostic reagents and consumables kit - LED/AURAMINE MICROSCOPY</t>
  </si>
  <si>
    <t>Microscopy: TB smear microscopy reagent kits Diagnostic reagents and consumables kit - ZN/LIGHT MICROSCOPY</t>
  </si>
  <si>
    <t>Microscopy: TB smear microscopy reagents [enter specifications manually]</t>
  </si>
  <si>
    <t>Microscope: Equipment LED Microscope</t>
  </si>
  <si>
    <t>Microscope: Equipment Light Microscope</t>
  </si>
  <si>
    <t>Microscope: other [enter specifications manually]</t>
  </si>
  <si>
    <t>Microscope: Spare parts and accessories [enter specifications manually]</t>
  </si>
  <si>
    <t>RDTs- TB</t>
  </si>
  <si>
    <t>Rapid Diagnostic Test - TB [enter specifications manually]</t>
  </si>
  <si>
    <t>MTB/MPT64 identification-Other reagents [enter specifications manually]</t>
  </si>
  <si>
    <t>MTB/MPT64 identification-Rapid test MTB/MPT64 identification-Rapid test - 30 tests</t>
  </si>
  <si>
    <t>GeneXpert - Equipment &amp; Cartridges for HIV program</t>
  </si>
  <si>
    <t>GeneXpert: Equipment GeneXpert IV-4 modules with desktop computer and barcode reader</t>
  </si>
  <si>
    <t>GeneXpert: Equipment GeneXpert IV-4 modules with with laptop computer and barcode reader</t>
  </si>
  <si>
    <t>GeneXpert: Equipment GeneXpert 1-module Edge with tablet, barcode reader and auxiliary batteries</t>
  </si>
  <si>
    <t>GeneXpert: Equipment GeneXpert IV-2 modules with desktop computer and barcode reader</t>
  </si>
  <si>
    <t>GeneXpert: Equipment GeneXpert XVI-16 modules with desktop computer and barcode reader</t>
  </si>
  <si>
    <t>GeneXpert: other [enter specifications manually]</t>
  </si>
  <si>
    <t>GeneXpert: Spare parts and accessories [enter specifications manually]</t>
  </si>
  <si>
    <t>Malaria Microscopy</t>
  </si>
  <si>
    <t>Microscopy: Malaria smear microscopy reagents [enter specifications manually]</t>
  </si>
  <si>
    <t>Microscope: Other Light Microscope</t>
  </si>
  <si>
    <t>RDT Malaria</t>
  </si>
  <si>
    <t>Rapid Diagnostic Test - Malaria Malaria Antigen P.f , HRP2/pLDH, Kit, 25 Tests</t>
  </si>
  <si>
    <t>Rapid Diagnostic Test - Malaria Malaria Antigen P.f / P.v, HRP2, pLDH, Kit, 10 Tests</t>
  </si>
  <si>
    <t>Rapid Diagnostic Test - Malaria Malaria Rapid Diagnostic Test Kit - PAN - 25 tests</t>
  </si>
  <si>
    <t>Rapid Diagnostic Test - Malaria Malaria Rapid Diagnostic Test Kit - Pf/Pv - 25 tests</t>
  </si>
  <si>
    <t>Rapid Diagnostic Test - Malaria Malaria Rapid Diagnostic Test Kit - Pf only - 25 tests</t>
  </si>
  <si>
    <t>Rapid Diagnostic Test - Malaria Malaria Rapid Diagnostic Test Kit - Pf/PAN - 25 tests</t>
  </si>
  <si>
    <t>Rapid Diagnostic Test - Malaria Malaria Rapid Diagnostic Test Kit - Pf/VOM - 25 tests</t>
  </si>
  <si>
    <t xml:space="preserve">Rapid Diagnostic Test - Malaria [enter specifications manually] </t>
  </si>
  <si>
    <t>LLIN</t>
  </si>
  <si>
    <t>LLIN (Mass Campaign)</t>
  </si>
  <si>
    <t>LLIN (Routine Distribution)</t>
  </si>
  <si>
    <t>LLINs [enter specifications manually]</t>
  </si>
  <si>
    <t>IRS</t>
  </si>
  <si>
    <t>Insecticides for purposes other than IRS [enter specifications manually]</t>
  </si>
  <si>
    <t>IRS-Insecticides Alpha-cypermethrin WG-SB</t>
  </si>
  <si>
    <t>IRS-Insecticides Alpha-cypermethrin WP, SC</t>
  </si>
  <si>
    <t>IRS-Insecticides Bendiocarb WP, WP-SB</t>
  </si>
  <si>
    <t>IRS-Insecticides Bifenthrin WP</t>
  </si>
  <si>
    <t>IRS-Insecticides Cyfluthrin WP</t>
  </si>
  <si>
    <t>IRS-Insecticides DDT WP</t>
  </si>
  <si>
    <t>IRS-Insecticides Deltamethrin SC-PE</t>
  </si>
  <si>
    <t>IRS-Insecticides Deltamethrin WP, WG, WG-SB</t>
  </si>
  <si>
    <t>IRS-Insecticides Etofenprox WP</t>
  </si>
  <si>
    <t>IRS-Insecticides Fenitrothion WP</t>
  </si>
  <si>
    <t>IRS-Insecticides Lambda-cyhalothrin WP, CS</t>
  </si>
  <si>
    <t>IRS-Insecticides Malathion WP</t>
  </si>
  <si>
    <t>IRS-Insecticides Other insecticide</t>
  </si>
  <si>
    <t>IRS-Insecticides Pirimiphos-methyl CS</t>
  </si>
  <si>
    <t>IRS-Insecticides Pirimiphos-methyl WP</t>
  </si>
  <si>
    <t>IRS-Insecticides Propoxur WP</t>
  </si>
  <si>
    <t>IRS-Insecticides [enter specifications manually]</t>
  </si>
  <si>
    <t>Equipment-IRS [enter specifications manually]</t>
  </si>
  <si>
    <t>Vector control equipment for purposes other than IRS [enter specifications manually]</t>
  </si>
  <si>
    <t>Lab Equipment</t>
  </si>
  <si>
    <t>HIV- Equipment</t>
  </si>
  <si>
    <t>Lab Equipment for HIV program</t>
  </si>
  <si>
    <t>Lab Equipment for TB program</t>
  </si>
  <si>
    <t>Malaria-RDT LLIN IRS Etc</t>
  </si>
  <si>
    <t>Lab Equipment for Malaria Program</t>
  </si>
  <si>
    <t>Automated blood culture system, system for incubating and processing blood cultures Equipment</t>
  </si>
  <si>
    <t>Automated blood culture system, system for incubating and processing blood cultures Spare parts</t>
  </si>
  <si>
    <t>Automated blood culture system, system for incubating and processing blood cultures Warranty, maintenance and service</t>
  </si>
  <si>
    <t>Biological Safety Cabinet Equipment</t>
  </si>
  <si>
    <t>Biological Safety Cabinet Spare parts</t>
  </si>
  <si>
    <t>Biological Safety Cabinet Warranty, maintenance and service</t>
  </si>
  <si>
    <t>Centrifuges Equipment</t>
  </si>
  <si>
    <t>Centrifuges Spare parts</t>
  </si>
  <si>
    <t>Centrifuges Warranty, maintenance and service</t>
  </si>
  <si>
    <t>Chemistry analyzer Warranty, maintenance and service</t>
  </si>
  <si>
    <t>DNA extraction, amplification, isolation, purification, detection and sequencing analyzers Equipment</t>
  </si>
  <si>
    <t>DNA extraction, amplification, isolation, purification, detection and sequencing analyzers Spare parts</t>
  </si>
  <si>
    <t>DNA extraction, amplification, isolation, purification, detection and sequencing analyzers Warranty, maintenance and service</t>
  </si>
  <si>
    <t>Equipment: other Equipment</t>
  </si>
  <si>
    <t>Equipment: other Spare parts</t>
  </si>
  <si>
    <t>Flow cytometry analyzer (CD4) Warranty, maintenance and service</t>
  </si>
  <si>
    <t>Flow cytometry analyzer (CD4) Equipment</t>
  </si>
  <si>
    <t>Flow cytometry analyzer (CD4) Spare parts</t>
  </si>
  <si>
    <t>Freezer Equipment</t>
  </si>
  <si>
    <t>Freezer Spare parts</t>
  </si>
  <si>
    <t>Freezer Warranty, maintenance and service</t>
  </si>
  <si>
    <t>Hematology analyzer Warranty, maintenance and service</t>
  </si>
  <si>
    <t>Hematology or biochemistry analyzers Equipment</t>
  </si>
  <si>
    <t>Hematology or biochemistry analyzers Spare parts</t>
  </si>
  <si>
    <t>Microbiology analyzers Equipment</t>
  </si>
  <si>
    <t>Microbiology analyzers Spare parts</t>
  </si>
  <si>
    <t>Microbiology analyzers Warranty, maintenance and service</t>
  </si>
  <si>
    <t>Refrigerator Equipment</t>
  </si>
  <si>
    <t>Refrigerator Spare parts</t>
  </si>
  <si>
    <t>Refrigerator Warranty, maintenance and service</t>
  </si>
  <si>
    <t>Spectrofluorimeters or fluorimeters Equipment</t>
  </si>
  <si>
    <t>Spectrofluorimeters or fluorimeters Spare parts</t>
  </si>
  <si>
    <t>Spectrofluorimeters or fluorimeters Warranty, maintenance and service</t>
  </si>
  <si>
    <t>Viral load and/or EID analyzer Warranty, maintenance and service</t>
  </si>
  <si>
    <t>Viral load and/or EID analyzer Equipment</t>
  </si>
  <si>
    <t>Viral load and/or EID analyzer Spare parts</t>
  </si>
  <si>
    <t>Autoclave for laboratory [enter specifications manually]</t>
  </si>
  <si>
    <t>Autoclave for laboratory: Spare parts and accessories [enter specifications manually]</t>
  </si>
  <si>
    <t>Equipment-BACTEC MGIT system maintenance and services [enter specifications manually]</t>
  </si>
  <si>
    <t>Laboratory Equipment-Incubator [enter specifications manually]</t>
  </si>
  <si>
    <t>Laboratory equipment-Other equipment [enter specifications manually]</t>
  </si>
  <si>
    <t>Laboratory equipment-Spare parts and accessories [enter specifications manually]</t>
  </si>
  <si>
    <t>Enter Product Name</t>
  </si>
  <si>
    <t>Choose Specification</t>
  </si>
  <si>
    <t>Enter few characters and pick from dropdown</t>
  </si>
  <si>
    <t>Look Up in Following</t>
  </si>
  <si>
    <t>Go to Antimalaria medicines for Prevention</t>
  </si>
  <si>
    <r>
      <t xml:space="preserve">1. ROW 24: What percentage of the antimalarial treatments - procured using grant resources - will be used to treat cases at the </t>
    </r>
    <r>
      <rPr>
        <b/>
        <i/>
        <sz val="11"/>
        <rFont val="Calibri"/>
        <family val="2"/>
        <scheme val="minor"/>
      </rPr>
      <t>health facility</t>
    </r>
    <r>
      <rPr>
        <i/>
        <sz val="11"/>
        <rFont val="Calibri"/>
        <family val="2"/>
        <scheme val="minor"/>
      </rPr>
      <t xml:space="preserve">? Indicate the percentage (%) in F24. Please type zero (0), if relevant.
2. ROW 25: What percentage of the antimalarial treatments - procured using grant resources - will be used to treat cases in the </t>
    </r>
    <r>
      <rPr>
        <b/>
        <i/>
        <sz val="11"/>
        <rFont val="Calibri"/>
        <family val="2"/>
        <scheme val="minor"/>
      </rPr>
      <t>community</t>
    </r>
    <r>
      <rPr>
        <i/>
        <sz val="11"/>
        <rFont val="Calibri"/>
        <family val="2"/>
        <scheme val="minor"/>
      </rPr>
      <t xml:space="preserve">? Indicate the percentage (%) in F25. Please type zero (0), if relevant.
3. ROW 26: What percentage of the antimalarial treatments - procured using grant resources - will be used to treat cases in the </t>
    </r>
    <r>
      <rPr>
        <b/>
        <i/>
        <sz val="11"/>
        <rFont val="Calibri"/>
        <family val="2"/>
        <scheme val="minor"/>
      </rPr>
      <t>private sector</t>
    </r>
    <r>
      <rPr>
        <i/>
        <sz val="11"/>
        <rFont val="Calibri"/>
        <family val="2"/>
        <scheme val="minor"/>
      </rPr>
      <t xml:space="preserve"> / at a private healthcare provider? Indicate the percentage (%) in F26. Please type zero (0), if relevant.
The sum of F24, F25, and F26 should equal 100%.</t>
    </r>
  </si>
  <si>
    <r>
      <t xml:space="preserve">1. ROW 35: What percentage of the antimalarial medicines being used for prevention, and procured using grant resources, will be used for </t>
    </r>
    <r>
      <rPr>
        <b/>
        <i/>
        <sz val="11"/>
        <rFont val="Calibri"/>
        <family val="2"/>
        <scheme val="minor"/>
      </rPr>
      <t>chemoprevention in pregnancy</t>
    </r>
    <r>
      <rPr>
        <i/>
        <sz val="11"/>
        <rFont val="Calibri"/>
        <family val="2"/>
        <scheme val="minor"/>
      </rPr>
      <t xml:space="preserve">? Indicate the percentage (%) in F35. Please type zero (0), if relevant.
2. ROW 36: What percentage of the antimalarial medicines being used for prevention, and procured using grant resources, will be used for </t>
    </r>
    <r>
      <rPr>
        <b/>
        <i/>
        <sz val="11"/>
        <rFont val="Calibri"/>
        <family val="2"/>
        <scheme val="minor"/>
      </rPr>
      <t>chemoprevention in infancy/children</t>
    </r>
    <r>
      <rPr>
        <i/>
        <sz val="11"/>
        <rFont val="Calibri"/>
        <family val="2"/>
        <scheme val="minor"/>
      </rPr>
      <t xml:space="preserve">? Indicate the percentage (%) in F36. Please type zero (0), if relevant.
3. ROW 37: What percentage of the antimalarial medicines being used for prevention, and procured using grant resources, will be used for </t>
    </r>
    <r>
      <rPr>
        <b/>
        <i/>
        <sz val="11"/>
        <rFont val="Calibri"/>
        <family val="2"/>
        <scheme val="minor"/>
      </rPr>
      <t>seasonal malaria chemoprevention</t>
    </r>
    <r>
      <rPr>
        <i/>
        <sz val="11"/>
        <rFont val="Calibri"/>
        <family val="2"/>
        <scheme val="minor"/>
      </rPr>
      <t xml:space="preserve">? Indicate the percentage (%) in F37. Please type zero (0), if relevant.
4. ROW 38: What percentage of the antimalarial medicines being used for prevention, and procured using grant resources, will be used for chemoprevention through </t>
    </r>
    <r>
      <rPr>
        <b/>
        <i/>
        <sz val="11"/>
        <rFont val="Calibri"/>
        <family val="2"/>
        <scheme val="minor"/>
      </rPr>
      <t>mass drug administration</t>
    </r>
    <r>
      <rPr>
        <i/>
        <sz val="11"/>
        <rFont val="Calibri"/>
        <family val="2"/>
        <scheme val="minor"/>
      </rPr>
      <t>? Indicate the percentage (%) in F38. Please type zero (0), if relevant.
The sum of F35, F36, F37 and F38 should equal 100%.</t>
    </r>
  </si>
  <si>
    <t>Tanzania</t>
  </si>
  <si>
    <t>Tanzania__Multi___USD</t>
  </si>
  <si>
    <t>Tanzania__Multi_Amref_Health_Africa__Tanzania__</t>
  </si>
  <si>
    <t>Tanzania__Multi_Ministry_of_Finance_and_Planning_of_the_United_Republic_of_Tanzania__</t>
  </si>
  <si>
    <t>Tanzania__Multi_Save_the_Children_Federation__Inc__USD</t>
  </si>
  <si>
    <t>Tanzania__RSSH_Ministry_of_Finance_and_Planning_of_the_United_Republic_of_Tanzania__</t>
  </si>
  <si>
    <t>Tanzania__RSSH_Ministry_of_Finance_and_Planning_of_the_United_Republic_of_Tanzania_USD</t>
  </si>
  <si>
    <t>Tanzania_HIV_USD</t>
  </si>
  <si>
    <t>Tanzania_Malaria_USD</t>
  </si>
  <si>
    <t>Tanzania_Multi_</t>
  </si>
  <si>
    <t>Tanzania_Multi_USD</t>
  </si>
  <si>
    <t>Tanzania_RSSH_</t>
  </si>
  <si>
    <t>Tanzania_RSSH_USD</t>
  </si>
  <si>
    <t>Tanzania_TB_USD</t>
  </si>
  <si>
    <t>Tanzania_USD</t>
  </si>
  <si>
    <t>Tanzania_HIV_Ministry_of_Finance_and_Planning_of_the_United_Republic_of_Tanzania_USD</t>
  </si>
  <si>
    <t>Tanzania_HIV_Population_Services_International_USD</t>
  </si>
  <si>
    <t>Tanzania_Malaria____</t>
  </si>
  <si>
    <t>Tanzania_Malaria_Ministry_of_Finance_and_Planning_of_the_United_Republic_of_Tanzania_USD</t>
  </si>
  <si>
    <t>Tanzania_Multi____</t>
  </si>
  <si>
    <t>Tanzania_TB_Ministry_of_Finance_and_Planning_of_the_United_Republic_of_Tanzania_USD</t>
  </si>
  <si>
    <t>VERSION  of HPM template</t>
  </si>
  <si>
    <t>Q1 Cash Flows</t>
  </si>
  <si>
    <t>Q2 Cash Flows</t>
  </si>
  <si>
    <t>Q3 Cash Flow</t>
  </si>
  <si>
    <t>Q4 Cash Flow</t>
  </si>
  <si>
    <t>Blank</t>
  </si>
  <si>
    <t>Q5 Cash Flow</t>
  </si>
  <si>
    <t>Q6 Cash Flow</t>
  </si>
  <si>
    <t>Q7 Cash Flow</t>
  </si>
  <si>
    <t>Q8 Cash Flow</t>
  </si>
  <si>
    <t>Blank2</t>
  </si>
  <si>
    <t>Q9 Cash Flow</t>
  </si>
  <si>
    <t>Q10 Cash Flow</t>
  </si>
  <si>
    <t>Q11 Cash Flow</t>
  </si>
  <si>
    <t>Q12 Cash Flow</t>
  </si>
  <si>
    <t>Blank 3</t>
  </si>
  <si>
    <t>Q14 Quantity</t>
  </si>
  <si>
    <t>Q13 Quantity</t>
  </si>
  <si>
    <t>Q13 Cash Flow</t>
  </si>
  <si>
    <t>Q14 Cash Flow</t>
  </si>
  <si>
    <t>Q15 Quantity</t>
  </si>
  <si>
    <t>Q15 Cash Flow</t>
  </si>
  <si>
    <t>Q16 Quantity</t>
  </si>
  <si>
    <t>Q16 Cash Flow</t>
  </si>
  <si>
    <t>Blank 4</t>
  </si>
  <si>
    <t>Payment Modality</t>
  </si>
  <si>
    <t>Source of Funds</t>
  </si>
  <si>
    <t>National target</t>
  </si>
  <si>
    <t>Number supported under the grant</t>
  </si>
  <si>
    <t>1. COLUMN E: What percentage (%) of the total number of male condoms that are being procured under the grant, will be distributed to each Key Population Group? Please include the % in the relevant column/row combination and reflect zero (0) for all other. The sum of the column should be 100%. If cells are highlighted in red, means that sum of all percentages exceeds or is below 100%.
2. COLUMN F: What percentage (%) of the total number of female condoms that are being procured under the grant, will be distributed to each Key Population Group? Please include the % in the relevant column/row combination and reflect zero (0) for all other. The sum of the column should be 100%. If cells are highlighted in red, means that sum of all percentages exceeds or is below 100%.
3. COLUMN G: What percentage (%) of the total number of lubricants that are being procured under the grant, will be distributed to each Key Population Group? Please include the % in the relevant column/row combination and reflect zero (0) for all other. The sum of the column should be 100%. If cells are highlighted in red, means that sum of all percentages exceeds or is below 100%.</t>
  </si>
  <si>
    <t>1. COLUMN E: What percentage (%) of the total number of HIV tests being procured under the grant, will be used in each Key Population Group? Please include the % in the relevant column/row combination and reflect zero (0) for all other. The sum of the column should be 100%. If cells are highlighted in red, means that sum of all percentages exceeds or is below 100%.
2. COLUMN F: What percentage (%) of the total number of other tests (e.g. HCV, Syphillis, TB)  being procured under the grant, will be used in each Key Population Group? Please include the % in the relevant column/row combination and reflect zero (0) for all other. The sum of the column should be 100%. If cells are highlighted in red, means that sum of all percentages exceeds or is below 100%.
3. COLUMNS G, H, AND I: Consider where HIV tests and other tests will be administerd to clients; of the total number of tests that will be procured, what percentage (%) of these will be administered at the health facility, compared with thosed administered within the community, and compared with those administered in a private health facility. Please include the % in the relevant column/row combination and reflect zero (0) for all other. The sum of each column cannot exceed 100% AND the sum of each row (for these 3 columns) should be 100% if any HIV or Non-HIV tests are planned. If cells are highlighted in red, means that sum of all percentages exceeds or is below 100%.</t>
  </si>
  <si>
    <t>Delivery Lead Time (in quarters) (Min=1 &amp; Max=4)</t>
  </si>
  <si>
    <t>Version</t>
  </si>
  <si>
    <t>PR Submission Date- Filled By PR</t>
  </si>
  <si>
    <t>HPM Approval Date- Filled by HPM</t>
  </si>
  <si>
    <t>Implementation Period Start Date (MM/DD/YYYY):</t>
  </si>
  <si>
    <t>Implementation Period End Date (MM/DD/YYYY):</t>
  </si>
  <si>
    <t>Please Fill Grant Number in box below, if NA in List</t>
  </si>
  <si>
    <t>Please Fill PR Name in Box below, if NA in List</t>
  </si>
  <si>
    <t>Please indicate PR Version in table below</t>
  </si>
  <si>
    <t>Search For A Product in HPM Template</t>
  </si>
  <si>
    <t xml:space="preserve">Tool may take few seconds to complete the search of the catalogue and populate drop downs- please be patient!
</t>
  </si>
  <si>
    <t xml:space="preserve"> [enter specifications manually] </t>
  </si>
  <si>
    <t>Liquid culture and DST: Media,Reagents,Antibiotics</t>
  </si>
  <si>
    <t xml:space="preserve"> BACTEC MGIT PZA Tubes -  25 tubes</t>
  </si>
  <si>
    <t xml:space="preserve"> BACTEC MGIT Tubes 7ml - 100 tubes</t>
  </si>
  <si>
    <t xml:space="preserve"> BACTEC MGIT 960 SIRE kit - 40 tests</t>
  </si>
  <si>
    <t xml:space="preserve"> BACTEC MGIT 960 Supplement Kit - 100 tests (PANTA and OADC combined)</t>
  </si>
  <si>
    <t xml:space="preserve"> BACTEC MGIT PZA Kit - 50 tests</t>
  </si>
  <si>
    <t>Solid culture and DST: Media,Reagents,Antibiotics</t>
  </si>
  <si>
    <t xml:space="preserve"> [enter specifications manually]</t>
  </si>
  <si>
    <t xml:space="preserve"> [enter specifications manually]  </t>
  </si>
  <si>
    <t>Med Equipment</t>
  </si>
  <si>
    <t>1) National treatment guidelines for the relevant Disease and / or protocols of care at time of submission If the protocols are under revision, please provide a transition plan (e.g. change of regimens, introduction of new paediatric formulations, shortened regimens for MDR, roll-out plan and timeliness, supply chain preparation for the transition)</t>
  </si>
  <si>
    <t>5) Program capacity and scale up plans/targets for the three-year grant period</t>
  </si>
  <si>
    <t xml:space="preserve">6) Investments into health equipment (e.g. GeneXpert): national strategy and information on use across programs, long-term sustainability strategy for routine maintenance, repairs and services, and reagent procurement </t>
  </si>
  <si>
    <t>8)Copy of the national supply plan which reflects the negotiated schedule of Global Fund contributions to national stock requirements for the three-year grant period</t>
  </si>
  <si>
    <t xml:space="preserve">11) Sources and justification of unit costs for health products: The PR must provide all relevant information used to estimate the unit cost, such as a copy of the most recent Global Fund reference price list for core items (available on the Global Fund website), the GDF catalogue for TB program health products, the UNICEF catalogue, PQR, MSH “International Drug Price Indicator Guide”, etc. </t>
  </si>
  <si>
    <t>12) PSM / HPM costs estimation (Please separate operational costs from infrastructure / PSM system strengthening funds): The PR must provide all relevant information to support the individual percentages assigned to each product category (e.g. ARVs) and each cost input (e.g. freight and insurance 7.2). This can include the procurement agent fee structure, third-party logistics fees structure, past invoices, etc.</t>
  </si>
  <si>
    <t>13) Any assessment reports of the supply chain and/or the laboratory network, which were conducted in the last two years, irrespective of the funding source for the assessment. 
This refers to assessments of the entire system or any part/section of it. It can be focused in one category of health products or the full range of essential health products and laboratory.</t>
  </si>
  <si>
    <t xml:space="preserve">National Strategic Plan for managing health products
This includes any strategic document that is available and valid (e.g. National Medicines Policy, National Supply Chain Strategy, Strategy of Medicines Regulatory Agency, Medicines Financing Strategy (as part of the Health Financing Strategy), Laboratory Services Strategy and relevant costed implementation plans).
It should be noted that any funding request for systems strengthening should be based on a defined national strategy/vision and have an implementation plan. In the absence of a strategy document and/or an implementation plan, a request for funding to develop these documents is also possible. </t>
  </si>
  <si>
    <t>Note:
For the following worksheets, quantities per item/health product that are needed in Y1 should reflect the quarterly schedule of the Global Fund funded procurements, indicating the quarter when the orders need to be placed.
For Y2 &amp; Y3, if the details are not available, procurement quantities can be tentatively entered as a single annual order, in first quarter of that year, with the expectation that a more specific procurement schedule will be progressively incorporated as part of the annual review of demand forecast, particularly for High impact and core portfolios.</t>
  </si>
  <si>
    <t>i.     Updated financial gap for health products funding;</t>
  </si>
  <si>
    <t>ii.    Updated program targets to justify additional request for health products;</t>
  </si>
  <si>
    <t>iii.    Supporting evidence of all assumptions used to update the request for funding additional health products;</t>
  </si>
  <si>
    <t>iv.      Updated unit costs; and</t>
  </si>
  <si>
    <t xml:space="preserve">Important note:
a.	Health product estimated quantities may include buffer stock amounts within limits of national inventory management policies and according to the Global Fund budgeting, financial and grant-closure guidelines.
b.	Program activities of a Global Fund grant are implemented and completed according to an agreed timeframe called a “grant implementation period” which is usually up to three years. The grant year in the implementation period may follow a calendar year or the country’s financial year. Q1 of the HPM Template must refer to Q1 of the implementation period as agreed in the Performance Framework and Detailed Budget.  
c.	The quarterly quantities entered in the HPM Template should reflect the PR’s desired timing of placing the order with the assumption that purchase orders shall be confirmed in a timely manner taking into account the procurement methods and estimated lead-times.      </t>
  </si>
  <si>
    <t>Section 1 provides information - taken from the Grant's Detailed Budget - on interventions that will be supprted by the grant to strengthen the systems being used to manage health products.
1. COLUMN A-D: Choose the intervention from the drop-down menu
2. COLUMN E-H: Provide a description of the intervention - what is being funded, why, and what will be the outcome/impact of these activities.
3. COLUMNS J TO Y: Take the total budget for this "MODULE" + "INTERVENTION" from the Grant's Detailed Budget and indicate the budget per quarter. The figures should include all cost inputs associated with this "MODULE" + "INTERVENTION" and not only those linked to Cost Inputs 4 (Medicines/Pharmaceuticals), 5 (Other health products), 6 (Health Equipment), and 7 (HPM costs).</t>
  </si>
  <si>
    <t>Section 2 provides information - taken from the Grant's Detailed Budget - on interventions that will be supprted by the grant to strengthen the systems being used to provide laboratory/diagnostic services.
1. COLUMN A: Choose the intervention from the drop-down menu
2. COLUMN E: Provide a description of the intervention - what is being funded, why, and what will be the outcome/impact of these activities.
3. COLUMNS J TO Y: Take the total budget for this "MODULE" + "INTERVENTION" from the Grant's Detailed Budget and indicate the budget per quarter. The figures should include all cost inputs associated with this "MODULE" + "INTERVENTION" and not only those linked to Cost Inputs 4 (Medicines/Pharmaceuticals), 5 (Other health products), 6 (Health Equipment), and 7 (HPM costs).</t>
  </si>
  <si>
    <t>Activity Decsription Less Key Pops</t>
  </si>
  <si>
    <t>Sum of Q1 Cash Flows</t>
  </si>
  <si>
    <t>Sum of Q2 Cash Flows</t>
  </si>
  <si>
    <t>Sum of Q3 Cash Flow</t>
  </si>
  <si>
    <t>Sum of Q4 Cash Flow</t>
  </si>
  <si>
    <t>Sum of Q5 Cash Flow</t>
  </si>
  <si>
    <t>Sum of Q6 Cash Flow</t>
  </si>
  <si>
    <t>Sum of Q7 Cash Flow</t>
  </si>
  <si>
    <t>Sum of Q8 Cash Flow</t>
  </si>
  <si>
    <t>Sum of Q9 Cash Flow</t>
  </si>
  <si>
    <t>Sum of Q10 Cash Flow</t>
  </si>
  <si>
    <t>Sum of Q11 Cash Flow</t>
  </si>
  <si>
    <t>Sum of Q12 Cash Flow</t>
  </si>
  <si>
    <t>Health Product Management Template - HIV - Key information</t>
  </si>
  <si>
    <t xml:space="preserve">Health Product Management Template - HIV - List of equipments </t>
  </si>
  <si>
    <t>Health Product Management Template - HIV - List of other health products</t>
  </si>
  <si>
    <t>Health Product Management Template - Malaria - List of pharmaceuticals</t>
  </si>
  <si>
    <t>Health Product Management Template - TB - List of equipment and other health products</t>
  </si>
  <si>
    <t>Health Product Management Template - Malaria - List of equipment and other health products</t>
  </si>
  <si>
    <t>Pre-shipment quality assurance and quality control costs (QA/QC) (7.5)</t>
  </si>
  <si>
    <t>Health Product Management Template - HIV - List of pharmaceuticals</t>
  </si>
  <si>
    <t>Health Product Management Template - TB - Key information</t>
  </si>
  <si>
    <t>Health Product Management Template - TB - List of pharmaceuticals</t>
  </si>
  <si>
    <t>Health Product Management Template - Malaria - Key information</t>
  </si>
  <si>
    <t>Health Product Management Template - RSSH Health product management costs and investments</t>
  </si>
  <si>
    <t>HIV- Pharmaceuticals</t>
  </si>
  <si>
    <t>Malaria- Pharmaceuticals</t>
  </si>
  <si>
    <t>TB-Equipment &amp; Other HPs</t>
  </si>
  <si>
    <t>Malaria-Equipment &amp; Other HPS</t>
  </si>
  <si>
    <t>ARV And Opioid Susbtitutes medicines</t>
  </si>
  <si>
    <t>Other ARV And Opioid Susbtitutes medicines</t>
  </si>
  <si>
    <t>Other ARV And Opioid Susbtitutes medicines [enter specifications manually]</t>
  </si>
  <si>
    <r>
      <rPr>
        <b/>
        <sz val="11"/>
        <color rgb="FFFF0000"/>
        <rFont val="Calibri (Body)"/>
      </rPr>
      <t>CONDOMS</t>
    </r>
    <r>
      <rPr>
        <b/>
        <sz val="11"/>
        <rFont val="Calibri"/>
        <family val="2"/>
        <scheme val="minor"/>
      </rPr>
      <t xml:space="preserve"> -this information will guide the auto-population of the Detailed Budget worksheet – If you have data for these %, please use the data. If you do not have data, please provide an estimate.</t>
    </r>
  </si>
  <si>
    <r>
      <rPr>
        <b/>
        <sz val="16"/>
        <color rgb="FFFF0000"/>
        <rFont val="Calibri"/>
        <family val="2"/>
        <scheme val="minor"/>
      </rPr>
      <t>RDTs</t>
    </r>
    <r>
      <rPr>
        <b/>
        <sz val="12"/>
        <color rgb="FFFF0000"/>
        <rFont val="Calibri"/>
        <family val="2"/>
        <scheme val="minor"/>
      </rPr>
      <t xml:space="preserve"> </t>
    </r>
    <r>
      <rPr>
        <b/>
        <sz val="12"/>
        <rFont val="Calibri (Body)"/>
      </rPr>
      <t>-</t>
    </r>
    <r>
      <rPr>
        <b/>
        <sz val="10"/>
        <rFont val="Calibri (Body)"/>
      </rPr>
      <t xml:space="preserve"> this information will guide the auto-population of the Detailed Budget worksheet – If you have data for these %, please use the data. If you do not have data, please provide an estimate.</t>
    </r>
  </si>
  <si>
    <t>* This search tool can be used to look for worksheet(s) and section where a particular product is available in drop down.
* Please note this search feature works with Excel Version 2001 and beyond only.
* You can also use the search feature online by clicking on the icon.</t>
  </si>
  <si>
    <t>Health Product Management Tool - HIV - Mandatory supporting documents</t>
  </si>
  <si>
    <t xml:space="preserve">Health Product Management Template - HIV - Setup </t>
  </si>
  <si>
    <t xml:space="preserve">Health Product Management Template- HIV - Search Products </t>
  </si>
  <si>
    <t>Health Product Management Template - HIV - Health product management costs and investments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</si>
</sst>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numFmt numFmtId="165" formatCode="[&lt;=9999999]###\-####;\(###\)\ ###\-####"/>
    <numFmt numFmtId="166" formatCode="_(* #,##0_);_(* \(#,##0\);_(* &quot;-&quot;??_);_(@_)"/>
    <numFmt numFmtId="167" formatCode=";;;"/>
    <numFmt numFmtId="168" formatCode="_(* #,##0.0_);_(* \(#,##0.0\);_(* &quot;-&quot;??_);_(@_)"/>
    <numFmt numFmtId="169" formatCode="[$-409]mmmm\-yy;@"/>
    <numFmt numFmtId="170" formatCode="m/d/yyyy;@"/>
  </numFmts>
  <fonts count="102">
    <font>
      <sz val="11"/>
      <color theme="1"/>
      <name val="Calibri"/>
      <family val="2"/>
      <scheme val="minor"/>
    </font>
    <font>
      <b/>
      <sz val="11"/>
      <color theme="3"/>
      <name val="Calibri"/>
      <family val="2"/>
      <scheme val="minor"/>
    </font>
    <font>
      <b/>
      <sz val="11"/>
      <color theme="4" tint="-0.249977111117893"/>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8"/>
      <color theme="4" tint="-0.249977111117893"/>
      <name val="Calibri"/>
      <family val="2"/>
      <scheme val="minor"/>
    </font>
    <font>
      <b/>
      <sz val="12"/>
      <color theme="1"/>
      <name val="Calibri"/>
      <family val="2"/>
      <scheme val="minor"/>
    </font>
    <font>
      <sz val="10"/>
      <color theme="1"/>
      <name val="Calibri"/>
      <family val="2"/>
      <scheme val="minor"/>
    </font>
    <font>
      <sz val="11"/>
      <color theme="4" tint="-0.249977111117893"/>
      <name val="Calibri"/>
      <family val="2"/>
      <scheme val="minor"/>
    </font>
    <font>
      <sz val="14"/>
      <color theme="0"/>
      <name val="Calibri"/>
      <family val="2"/>
      <scheme val="minor"/>
    </font>
    <font>
      <b/>
      <sz val="18"/>
      <color theme="5" tint="-0.249977111117893"/>
      <name val="Calibri"/>
      <family val="2"/>
      <scheme val="minor"/>
    </font>
    <font>
      <b/>
      <sz val="18"/>
      <color theme="9"/>
      <name val="Calibri"/>
      <family val="2"/>
      <scheme val="minor"/>
    </font>
    <font>
      <b/>
      <sz val="11"/>
      <color theme="9"/>
      <name val="Calibri"/>
      <family val="2"/>
      <scheme val="minor"/>
    </font>
    <font>
      <sz val="11"/>
      <color theme="9"/>
      <name val="Calibri"/>
      <family val="2"/>
      <scheme val="minor"/>
    </font>
    <font>
      <sz val="10"/>
      <name val="Calibri"/>
      <family val="2"/>
      <scheme val="minor"/>
    </font>
    <font>
      <strike/>
      <sz val="10"/>
      <name val="Calibri"/>
      <family val="2"/>
      <scheme val="minor"/>
    </font>
    <font>
      <b/>
      <sz val="10"/>
      <name val="Calibri"/>
      <family val="2"/>
      <scheme val="minor"/>
    </font>
    <font>
      <b/>
      <u/>
      <sz val="11"/>
      <color theme="9"/>
      <name val="Calibri"/>
      <family val="2"/>
      <scheme val="minor"/>
    </font>
    <font>
      <sz val="11"/>
      <color theme="5" tint="-0.249977111117893"/>
      <name val="Calibri"/>
      <family val="2"/>
      <scheme val="minor"/>
    </font>
    <font>
      <b/>
      <sz val="11"/>
      <color theme="5" tint="-0.249977111117893"/>
      <name val="Calibri"/>
      <family val="2"/>
      <scheme val="minor"/>
    </font>
    <font>
      <b/>
      <u/>
      <sz val="11"/>
      <color theme="5" tint="-0.249977111117893"/>
      <name val="Calibri"/>
      <family val="2"/>
      <scheme val="minor"/>
    </font>
    <font>
      <i/>
      <sz val="11"/>
      <color theme="9"/>
      <name val="Calibri"/>
      <family val="2"/>
      <scheme val="minor"/>
    </font>
    <font>
      <b/>
      <sz val="18"/>
      <color rgb="FFEAAD00"/>
      <name val="Calibri"/>
      <family val="2"/>
      <scheme val="minor"/>
    </font>
    <font>
      <sz val="11"/>
      <color rgb="FFEAAD00"/>
      <name val="Calibri"/>
      <family val="2"/>
      <scheme val="minor"/>
    </font>
    <font>
      <b/>
      <sz val="11"/>
      <color rgb="FFEAAD00"/>
      <name val="Calibri"/>
      <family val="2"/>
      <scheme val="minor"/>
    </font>
    <font>
      <b/>
      <sz val="12"/>
      <color theme="0"/>
      <name val="Calibri"/>
      <family val="2"/>
      <scheme val="minor"/>
    </font>
    <font>
      <sz val="10"/>
      <color theme="9"/>
      <name val="Calibri"/>
      <family val="2"/>
      <scheme val="minor"/>
    </font>
    <font>
      <b/>
      <sz val="10"/>
      <color theme="9"/>
      <name val="Calibri"/>
      <family val="2"/>
      <scheme val="minor"/>
    </font>
    <font>
      <sz val="11"/>
      <name val="Calibri"/>
      <family val="2"/>
      <scheme val="minor"/>
    </font>
    <font>
      <sz val="10"/>
      <color theme="5" tint="-0.499984740745262"/>
      <name val="Calibri"/>
      <family val="2"/>
      <scheme val="minor"/>
    </font>
    <font>
      <b/>
      <sz val="26"/>
      <color theme="0"/>
      <name val="Calibri"/>
      <family val="2"/>
      <scheme val="minor"/>
    </font>
    <font>
      <b/>
      <sz val="10"/>
      <color theme="5" tint="-0.249977111117893"/>
      <name val="Calibri"/>
      <family val="2"/>
      <scheme val="minor"/>
    </font>
    <font>
      <b/>
      <i/>
      <sz val="11"/>
      <color rgb="FFEAAD00"/>
      <name val="Calibri"/>
      <family val="2"/>
      <scheme val="minor"/>
    </font>
    <font>
      <b/>
      <u/>
      <sz val="11"/>
      <color rgb="FFEAAD00"/>
      <name val="Calibri"/>
      <family val="2"/>
      <scheme val="minor"/>
    </font>
    <font>
      <b/>
      <sz val="10"/>
      <color rgb="FFEAAD00"/>
      <name val="Calibri"/>
      <family val="2"/>
      <scheme val="minor"/>
    </font>
    <font>
      <u/>
      <sz val="11"/>
      <color theme="10"/>
      <name val="Calibri"/>
      <family val="2"/>
      <scheme val="minor"/>
    </font>
    <font>
      <b/>
      <sz val="18"/>
      <color theme="0" tint="-0.34998626667073579"/>
      <name val="Calibri"/>
      <family val="2"/>
      <scheme val="minor"/>
    </font>
    <font>
      <sz val="11"/>
      <color theme="0" tint="-0.34998626667073579"/>
      <name val="Calibri"/>
      <family val="2"/>
      <scheme val="minor"/>
    </font>
    <font>
      <b/>
      <sz val="11"/>
      <color theme="0" tint="-0.34998626667073579"/>
      <name val="Calibri"/>
      <family val="2"/>
      <scheme val="minor"/>
    </font>
    <font>
      <b/>
      <sz val="10"/>
      <color theme="0" tint="-0.34998626667073579"/>
      <name val="Calibri"/>
      <family val="2"/>
      <scheme val="minor"/>
    </font>
    <font>
      <sz val="11"/>
      <color theme="1"/>
      <name val="Arial"/>
      <family val="2"/>
    </font>
    <font>
      <sz val="10"/>
      <name val="Arial"/>
      <family val="2"/>
    </font>
    <font>
      <i/>
      <sz val="12"/>
      <name val="Calibri"/>
      <family val="2"/>
      <scheme val="minor"/>
    </font>
    <font>
      <i/>
      <sz val="11"/>
      <name val="Calibri"/>
      <family val="2"/>
      <scheme val="minor"/>
    </font>
    <font>
      <sz val="11"/>
      <color rgb="FFFF0000"/>
      <name val="Calibri"/>
      <family val="2"/>
      <scheme val="minor"/>
    </font>
    <font>
      <sz val="11"/>
      <color indexed="8"/>
      <name val="Calibri"/>
      <family val="2"/>
      <scheme val="minor"/>
    </font>
    <font>
      <b/>
      <sz val="11"/>
      <name val="Calibri"/>
      <family val="2"/>
      <scheme val="minor"/>
    </font>
    <font>
      <b/>
      <sz val="10"/>
      <color rgb="FF339933"/>
      <name val="Calibri"/>
      <family val="2"/>
      <scheme val="minor"/>
    </font>
    <font>
      <sz val="11"/>
      <color rgb="FF339933"/>
      <name val="Calibri"/>
      <family val="2"/>
      <scheme val="minor"/>
    </font>
    <font>
      <sz val="11"/>
      <color rgb="FFE6AF00"/>
      <name val="Calibri"/>
      <family val="2"/>
      <scheme val="minor"/>
    </font>
    <font>
      <b/>
      <sz val="10"/>
      <color rgb="FFE6AF00"/>
      <name val="Calibri"/>
      <family val="2"/>
      <scheme val="minor"/>
    </font>
    <font>
      <b/>
      <sz val="10"/>
      <color rgb="FF00B050"/>
      <name val="Calibri"/>
      <family val="2"/>
      <scheme val="minor"/>
    </font>
    <font>
      <b/>
      <sz val="11"/>
      <color theme="7"/>
      <name val="Calibri"/>
      <family val="2"/>
      <scheme val="minor"/>
    </font>
    <font>
      <sz val="11"/>
      <color theme="7"/>
      <name val="Calibri"/>
      <family val="2"/>
      <scheme val="minor"/>
    </font>
    <font>
      <b/>
      <sz val="10"/>
      <color theme="1"/>
      <name val="Calibri"/>
      <family val="2"/>
      <scheme val="minor"/>
    </font>
    <font>
      <b/>
      <sz val="11"/>
      <color rgb="FFFF0000"/>
      <name val="Calibri"/>
      <family val="2"/>
      <scheme val="minor"/>
    </font>
    <font>
      <b/>
      <i/>
      <sz val="10"/>
      <color rgb="FFFF0000"/>
      <name val="Calibri"/>
      <family val="2"/>
      <scheme val="minor"/>
    </font>
    <font>
      <b/>
      <sz val="10"/>
      <color rgb="FFFF0000"/>
      <name val="Calibri"/>
      <family val="2"/>
      <scheme val="minor"/>
    </font>
    <font>
      <b/>
      <i/>
      <sz val="11"/>
      <name val="Calibri"/>
      <family val="2"/>
      <scheme val="minor"/>
    </font>
    <font>
      <b/>
      <i/>
      <sz val="10"/>
      <color theme="4"/>
      <name val="Calibri"/>
      <family val="2"/>
      <scheme val="minor"/>
    </font>
    <font>
      <b/>
      <sz val="11"/>
      <color rgb="FF0000FF"/>
      <name val="Calibri"/>
      <family val="2"/>
      <scheme val="minor"/>
    </font>
    <font>
      <sz val="11"/>
      <color rgb="FF0000FF"/>
      <name val="Calibri"/>
      <family val="2"/>
      <scheme val="minor"/>
    </font>
    <font>
      <b/>
      <i/>
      <sz val="11"/>
      <color rgb="FFFF0000"/>
      <name val="Calibri"/>
      <family val="2"/>
      <scheme val="minor"/>
    </font>
    <font>
      <sz val="15"/>
      <color rgb="FFFF0000"/>
      <name val="Arial"/>
      <family val="2"/>
    </font>
    <font>
      <b/>
      <sz val="10"/>
      <color theme="0"/>
      <name val="Calibri"/>
      <family val="2"/>
      <scheme val="minor"/>
    </font>
    <font>
      <sz val="10"/>
      <color rgb="FFFF0000"/>
      <name val="Calibri"/>
      <family val="2"/>
      <scheme val="minor"/>
    </font>
    <font>
      <sz val="10"/>
      <color theme="0"/>
      <name val="Calibri"/>
      <family val="2"/>
      <scheme val="minor"/>
    </font>
    <font>
      <b/>
      <sz val="10"/>
      <color rgb="FF000000"/>
      <name val="Calibri"/>
      <family val="2"/>
      <scheme val="minor"/>
    </font>
    <font>
      <b/>
      <u/>
      <sz val="10"/>
      <color theme="0" tint="-0.34998626667073579"/>
      <name val="Calibri"/>
      <family val="2"/>
      <scheme val="minor"/>
    </font>
    <font>
      <b/>
      <i/>
      <sz val="10"/>
      <color theme="0" tint="-0.34998626667073579"/>
      <name val="Calibri"/>
      <family val="2"/>
      <scheme val="minor"/>
    </font>
    <font>
      <b/>
      <sz val="12"/>
      <name val="Calibri"/>
      <family val="2"/>
      <scheme val="minor"/>
    </font>
    <font>
      <b/>
      <sz val="10"/>
      <color rgb="FF0000FF"/>
      <name val="Calibri"/>
      <family val="2"/>
      <scheme val="minor"/>
    </font>
    <font>
      <sz val="10"/>
      <color theme="0" tint="-0.34998626667073579"/>
      <name val="Calibri"/>
      <family val="2"/>
      <scheme val="minor"/>
    </font>
    <font>
      <b/>
      <u/>
      <sz val="10"/>
      <name val="Calibri"/>
      <family val="2"/>
      <scheme val="minor"/>
    </font>
    <font>
      <b/>
      <i/>
      <u/>
      <sz val="10"/>
      <name val="Calibri"/>
      <family val="2"/>
      <scheme val="minor"/>
    </font>
    <font>
      <b/>
      <i/>
      <u/>
      <sz val="11"/>
      <name val="Calibri"/>
      <family val="2"/>
      <scheme val="minor"/>
    </font>
    <font>
      <b/>
      <sz val="11"/>
      <color rgb="FFC00000"/>
      <name val="Calibri"/>
      <family val="2"/>
      <scheme val="minor"/>
    </font>
    <font>
      <b/>
      <sz val="11"/>
      <color rgb="FFFF0000"/>
      <name val="Calibri (Body)"/>
    </font>
    <font>
      <b/>
      <sz val="11"/>
      <name val="Calibri (Body)"/>
    </font>
    <font>
      <i/>
      <sz val="11"/>
      <name val="Calibri (Body)"/>
    </font>
    <font>
      <u/>
      <sz val="11"/>
      <name val="Calibri (Body)"/>
    </font>
    <font>
      <b/>
      <i/>
      <sz val="11"/>
      <color theme="1"/>
      <name val="Calibri"/>
      <family val="2"/>
      <scheme val="minor"/>
    </font>
    <font>
      <sz val="8"/>
      <color theme="0"/>
      <name val="Calibri"/>
      <family val="2"/>
      <scheme val="minor"/>
    </font>
    <font>
      <sz val="20"/>
      <color theme="1"/>
      <name val="Calibri"/>
      <family val="2"/>
      <scheme val="minor"/>
    </font>
    <font>
      <u/>
      <sz val="20"/>
      <color theme="1"/>
      <name val="Calibri"/>
      <family val="2"/>
      <scheme val="minor"/>
    </font>
    <font>
      <sz val="13"/>
      <color theme="1"/>
      <name val="Calibri"/>
      <family val="2"/>
      <scheme val="minor"/>
    </font>
    <font>
      <b/>
      <u/>
      <sz val="11"/>
      <color theme="10"/>
      <name val="Calibri"/>
      <family val="2"/>
      <scheme val="minor"/>
    </font>
    <font>
      <sz val="16"/>
      <color theme="0"/>
      <name val="Calibri"/>
      <family val="2"/>
      <scheme val="minor"/>
    </font>
    <font>
      <b/>
      <sz val="11"/>
      <color rgb="FFFFC000"/>
      <name val="Calibri"/>
      <family val="2"/>
      <scheme val="minor"/>
    </font>
    <font>
      <b/>
      <i/>
      <sz val="10"/>
      <color theme="1"/>
      <name val="Calibri"/>
      <family val="2"/>
      <scheme val="minor"/>
    </font>
    <font>
      <sz val="16"/>
      <color rgb="FFFF0000"/>
      <name val="Calibri"/>
      <family val="2"/>
      <scheme val="minor"/>
    </font>
    <font>
      <strike/>
      <sz val="11"/>
      <color theme="1"/>
      <name val="Calibri"/>
      <family val="2"/>
      <scheme val="minor"/>
    </font>
    <font>
      <b/>
      <sz val="20"/>
      <color theme="4" tint="-0.249977111117893"/>
      <name val="Calibri"/>
      <family val="2"/>
      <scheme val="minor"/>
    </font>
    <font>
      <sz val="12"/>
      <color theme="4" tint="-0.249977111117893"/>
      <name val="Calibri"/>
      <family val="2"/>
      <scheme val="minor"/>
    </font>
    <font>
      <b/>
      <sz val="12"/>
      <color theme="4" tint="-0.249977111117893"/>
      <name val="Calibri"/>
      <family val="2"/>
      <scheme val="minor"/>
    </font>
    <font>
      <b/>
      <sz val="12"/>
      <color rgb="FFFF0000"/>
      <name val="Calibri"/>
      <family val="2"/>
      <scheme val="minor"/>
    </font>
    <font>
      <b/>
      <sz val="12"/>
      <name val="Calibri (Body)"/>
    </font>
    <font>
      <b/>
      <sz val="16"/>
      <color rgb="FFFF0000"/>
      <name val="Calibri"/>
      <family val="2"/>
      <scheme val="minor"/>
    </font>
    <font>
      <b/>
      <sz val="10"/>
      <name val="Calibri (Body)"/>
    </font>
  </fonts>
  <fills count="46">
    <fill>
      <patternFill patternType="none"/>
    </fill>
    <fill>
      <patternFill patternType="gray125"/>
    </fill>
    <fill>
      <patternFill patternType="solid">
        <fgColor theme="0" tint="-4.9989318521683403E-2"/>
        <bgColor indexed="64"/>
      </patternFill>
    </fill>
    <fill>
      <patternFill patternType="solid">
        <fgColor theme="4" tint="-0.249977111117893"/>
        <bgColor indexed="64"/>
      </patternFill>
    </fill>
    <fill>
      <patternFill patternType="solid">
        <fgColor theme="0"/>
        <bgColor indexed="64"/>
      </patternFill>
    </fill>
    <fill>
      <patternFill patternType="solid">
        <fgColor theme="9"/>
        <bgColor indexed="64"/>
      </patternFill>
    </fill>
    <fill>
      <patternFill patternType="solid">
        <fgColor theme="5" tint="-0.249977111117893"/>
        <bgColor indexed="64"/>
      </patternFill>
    </fill>
    <fill>
      <patternFill patternType="solid">
        <fgColor rgb="FFEAAD0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rgb="FF92D050"/>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rgb="FFFF0000"/>
        <bgColor indexed="64"/>
      </patternFill>
    </fill>
    <fill>
      <patternFill patternType="solid">
        <fgColor theme="9" tint="0.79998168889431442"/>
        <bgColor auto="1"/>
      </patternFill>
    </fill>
    <fill>
      <patternFill patternType="solid">
        <fgColor indexed="65"/>
        <bgColor auto="1"/>
      </patternFill>
    </fill>
    <fill>
      <patternFill patternType="solid">
        <fgColor theme="7" tint="0.39997558519241921"/>
        <bgColor indexed="64"/>
      </patternFill>
    </fill>
    <fill>
      <patternFill patternType="solid">
        <fgColor rgb="FFFFC000"/>
        <bgColor indexed="64"/>
      </patternFill>
    </fill>
    <fill>
      <patternFill patternType="solid">
        <fgColor theme="7" tint="0.79998168889431442"/>
        <bgColor theme="7" tint="0.79998168889431442"/>
      </patternFill>
    </fill>
    <fill>
      <patternFill patternType="solid">
        <fgColor theme="5" tint="0.79998168889431442"/>
        <bgColor theme="5" tint="0.79998168889431442"/>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C65911"/>
        <bgColor indexed="64"/>
      </patternFill>
    </fill>
    <fill>
      <patternFill patternType="solid">
        <fgColor theme="2"/>
        <bgColor indexed="64"/>
      </patternFill>
    </fill>
    <fill>
      <patternFill patternType="solid">
        <fgColor theme="9" tint="0.79998168889431442"/>
        <bgColor theme="9" tint="0.79998168889431442"/>
      </patternFill>
    </fill>
    <fill>
      <patternFill patternType="solid">
        <fgColor rgb="FFFFFFFF"/>
        <bgColor rgb="FF000000"/>
      </patternFill>
    </fill>
    <fill>
      <patternFill patternType="solid">
        <fgColor theme="5" tint="0.79998168889431442"/>
        <bgColor theme="0" tint="-0.24994659260841701"/>
      </patternFill>
    </fill>
    <fill>
      <patternFill patternType="solid">
        <fgColor theme="0"/>
        <bgColor theme="0" tint="-0.24994659260841701"/>
      </patternFill>
    </fill>
    <fill>
      <patternFill patternType="solid">
        <fgColor theme="7" tint="0.79998168889431442"/>
        <bgColor theme="0" tint="-0.24994659260841701"/>
      </patternFill>
    </fill>
    <fill>
      <patternFill patternType="solid">
        <fgColor indexed="65"/>
        <bgColor theme="0" tint="-0.24994659260841701"/>
      </patternFill>
    </fill>
    <fill>
      <patternFill patternType="solid">
        <fgColor theme="0"/>
        <bgColor theme="5" tint="0.79998168889431442"/>
      </patternFill>
    </fill>
    <fill>
      <patternFill patternType="solid">
        <fgColor rgb="FFFFD966"/>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00FF00"/>
        <bgColor indexed="64"/>
      </patternFill>
    </fill>
    <fill>
      <patternFill patternType="solid">
        <fgColor theme="4" tint="0.59999389629810485"/>
        <bgColor indexed="64"/>
      </patternFill>
    </fill>
    <fill>
      <patternFill patternType="solid">
        <fgColor rgb="FFE6AF00"/>
        <bgColor indexed="64"/>
      </patternFill>
    </fill>
    <fill>
      <patternFill patternType="solid">
        <fgColor theme="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8" tint="-0.249977111117893"/>
        <bgColor indexed="64"/>
      </patternFill>
    </fill>
  </fills>
  <borders count="599">
    <border>
      <left/>
      <right/>
      <top/>
      <bottom/>
      <diagonal/>
    </border>
    <border>
      <left/>
      <right/>
      <top/>
      <bottom style="medium">
        <color theme="4" tint="0.39997558519241921"/>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theme="4" tint="-0.24994659260841701"/>
      </left>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right style="medium">
        <color theme="4" tint="-0.24994659260841701"/>
      </right>
      <top style="medium">
        <color theme="4" tint="-0.24994659260841701"/>
      </top>
      <bottom style="medium">
        <color theme="4" tint="-0.24994659260841701"/>
      </bottom>
      <diagonal/>
    </border>
    <border>
      <left style="thin">
        <color theme="0"/>
      </left>
      <right style="thin">
        <color theme="0"/>
      </right>
      <top style="thin">
        <color theme="0"/>
      </top>
      <bottom style="thin">
        <color theme="0"/>
      </bottom>
      <diagonal/>
    </border>
    <border>
      <left/>
      <right/>
      <top style="medium">
        <color theme="4" tint="-0.24994659260841701"/>
      </top>
      <bottom/>
      <diagonal/>
    </border>
    <border>
      <left/>
      <right style="medium">
        <color theme="4" tint="-0.24994659260841701"/>
      </right>
      <top style="medium">
        <color theme="4" tint="-0.24994659260841701"/>
      </top>
      <bottom/>
      <diagonal/>
    </border>
    <border>
      <left style="thin">
        <color theme="0"/>
      </left>
      <right style="thin">
        <color theme="0"/>
      </right>
      <top/>
      <bottom style="thin">
        <color theme="0"/>
      </bottom>
      <diagonal/>
    </border>
    <border>
      <left style="thin">
        <color theme="0"/>
      </left>
      <right style="thin">
        <color theme="0"/>
      </right>
      <top/>
      <bottom/>
      <diagonal/>
    </border>
    <border>
      <left style="medium">
        <color theme="4" tint="-0.24994659260841701"/>
      </left>
      <right style="thin">
        <color theme="0"/>
      </right>
      <top style="medium">
        <color theme="4" tint="-0.24994659260841701"/>
      </top>
      <bottom style="thin">
        <color theme="0"/>
      </bottom>
      <diagonal/>
    </border>
    <border>
      <left/>
      <right/>
      <top style="medium">
        <color theme="4" tint="-0.24994659260841701"/>
      </top>
      <bottom style="thick">
        <color theme="0"/>
      </bottom>
      <diagonal/>
    </border>
    <border>
      <left style="thin">
        <color theme="0"/>
      </left>
      <right style="thin">
        <color theme="0"/>
      </right>
      <top style="medium">
        <color theme="4" tint="-0.24994659260841701"/>
      </top>
      <bottom style="thin">
        <color theme="0"/>
      </bottom>
      <diagonal/>
    </border>
    <border>
      <left style="medium">
        <color theme="4" tint="-0.24994659260841701"/>
      </left>
      <right style="thin">
        <color theme="0"/>
      </right>
      <top style="thin">
        <color theme="0"/>
      </top>
      <bottom style="thin">
        <color theme="0"/>
      </bottom>
      <diagonal/>
    </border>
    <border>
      <left/>
      <right style="medium">
        <color theme="4" tint="-0.24994659260841701"/>
      </right>
      <top/>
      <bottom/>
      <diagonal/>
    </border>
    <border>
      <left style="medium">
        <color theme="4" tint="-0.24994659260841701"/>
      </left>
      <right style="thin">
        <color theme="0"/>
      </right>
      <top style="thin">
        <color theme="0"/>
      </top>
      <bottom style="medium">
        <color theme="4" tint="-0.24994659260841701"/>
      </bottom>
      <diagonal/>
    </border>
    <border>
      <left/>
      <right/>
      <top style="thick">
        <color theme="0"/>
      </top>
      <bottom style="medium">
        <color theme="4" tint="-0.24994659260841701"/>
      </bottom>
      <diagonal/>
    </border>
    <border>
      <left/>
      <right/>
      <top/>
      <bottom style="medium">
        <color theme="4" tint="-0.24994659260841701"/>
      </bottom>
      <diagonal/>
    </border>
    <border>
      <left style="medium">
        <color rgb="FF339933"/>
      </left>
      <right/>
      <top style="medium">
        <color rgb="FF339933"/>
      </top>
      <bottom style="medium">
        <color rgb="FF339933"/>
      </bottom>
      <diagonal/>
    </border>
    <border>
      <left/>
      <right/>
      <top style="medium">
        <color rgb="FF339933"/>
      </top>
      <bottom style="medium">
        <color rgb="FF339933"/>
      </bottom>
      <diagonal/>
    </border>
    <border>
      <left/>
      <right style="medium">
        <color rgb="FF339933"/>
      </right>
      <top style="medium">
        <color rgb="FF339933"/>
      </top>
      <bottom style="medium">
        <color rgb="FF339933"/>
      </bottom>
      <diagonal/>
    </border>
    <border>
      <left style="medium">
        <color rgb="FF339933"/>
      </left>
      <right style="thin">
        <color theme="0"/>
      </right>
      <top style="medium">
        <color rgb="FF339933"/>
      </top>
      <bottom style="thin">
        <color theme="0"/>
      </bottom>
      <diagonal/>
    </border>
    <border>
      <left/>
      <right/>
      <top style="medium">
        <color rgb="FF339933"/>
      </top>
      <bottom style="thick">
        <color theme="0"/>
      </bottom>
      <diagonal/>
    </border>
    <border>
      <left/>
      <right/>
      <top style="medium">
        <color rgb="FF339933"/>
      </top>
      <bottom/>
      <diagonal/>
    </border>
    <border>
      <left style="thin">
        <color theme="0"/>
      </left>
      <right style="thin">
        <color theme="0"/>
      </right>
      <top style="medium">
        <color rgb="FF339933"/>
      </top>
      <bottom style="thin">
        <color theme="0"/>
      </bottom>
      <diagonal/>
    </border>
    <border>
      <left/>
      <right style="medium">
        <color rgb="FF339933"/>
      </right>
      <top style="medium">
        <color rgb="FF339933"/>
      </top>
      <bottom/>
      <diagonal/>
    </border>
    <border>
      <left style="medium">
        <color rgb="FF339933"/>
      </left>
      <right style="thin">
        <color theme="0"/>
      </right>
      <top style="thin">
        <color theme="0"/>
      </top>
      <bottom style="thin">
        <color theme="0"/>
      </bottom>
      <diagonal/>
    </border>
    <border>
      <left/>
      <right style="medium">
        <color rgb="FF339933"/>
      </right>
      <top/>
      <bottom/>
      <diagonal/>
    </border>
    <border>
      <left style="medium">
        <color rgb="FF339933"/>
      </left>
      <right style="thin">
        <color theme="0"/>
      </right>
      <top style="thin">
        <color theme="0"/>
      </top>
      <bottom style="medium">
        <color rgb="FF339933"/>
      </bottom>
      <diagonal/>
    </border>
    <border>
      <left/>
      <right/>
      <top style="thick">
        <color theme="0"/>
      </top>
      <bottom style="medium">
        <color rgb="FF339933"/>
      </bottom>
      <diagonal/>
    </border>
    <border>
      <left/>
      <right/>
      <top/>
      <bottom style="medium">
        <color rgb="FF339933"/>
      </bottom>
      <diagonal/>
    </border>
    <border>
      <left style="thin">
        <color theme="0"/>
      </left>
      <right style="thin">
        <color theme="0"/>
      </right>
      <top style="thin">
        <color theme="0"/>
      </top>
      <bottom style="medium">
        <color rgb="FF339933"/>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right/>
      <top/>
      <bottom style="medium">
        <color theme="0"/>
      </bottom>
      <diagonal/>
    </border>
    <border>
      <left style="medium">
        <color theme="0"/>
      </left>
      <right style="medium">
        <color theme="0"/>
      </right>
      <top style="medium">
        <color rgb="FF339933"/>
      </top>
      <bottom/>
      <diagonal/>
    </border>
    <border>
      <left style="thin">
        <color theme="0"/>
      </left>
      <right/>
      <top/>
      <bottom/>
      <diagonal/>
    </border>
    <border>
      <left/>
      <right/>
      <top style="thin">
        <color theme="0"/>
      </top>
      <bottom/>
      <diagonal/>
    </border>
    <border>
      <left style="medium">
        <color theme="0"/>
      </left>
      <right style="medium">
        <color theme="0"/>
      </right>
      <top/>
      <bottom/>
      <diagonal/>
    </border>
    <border>
      <left style="medium">
        <color theme="5" tint="-0.24994659260841701"/>
      </left>
      <right/>
      <top style="medium">
        <color theme="5" tint="-0.24994659260841701"/>
      </top>
      <bottom style="medium">
        <color theme="5" tint="-0.24994659260841701"/>
      </bottom>
      <diagonal/>
    </border>
    <border>
      <left/>
      <right/>
      <top style="medium">
        <color theme="5" tint="-0.24994659260841701"/>
      </top>
      <bottom style="medium">
        <color theme="5" tint="-0.24994659260841701"/>
      </bottom>
      <diagonal/>
    </border>
    <border>
      <left/>
      <right style="medium">
        <color theme="5" tint="-0.24994659260841701"/>
      </right>
      <top style="medium">
        <color theme="5" tint="-0.24994659260841701"/>
      </top>
      <bottom style="medium">
        <color theme="5" tint="-0.24994659260841701"/>
      </bottom>
      <diagonal/>
    </border>
    <border>
      <left style="medium">
        <color theme="5" tint="-0.24994659260841701"/>
      </left>
      <right style="thin">
        <color theme="0"/>
      </right>
      <top style="medium">
        <color theme="5" tint="-0.24994659260841701"/>
      </top>
      <bottom style="thin">
        <color theme="0"/>
      </bottom>
      <diagonal/>
    </border>
    <border>
      <left/>
      <right/>
      <top style="medium">
        <color theme="5" tint="-0.24994659260841701"/>
      </top>
      <bottom style="thick">
        <color theme="0"/>
      </bottom>
      <diagonal/>
    </border>
    <border>
      <left/>
      <right/>
      <top style="medium">
        <color theme="5" tint="-0.24994659260841701"/>
      </top>
      <bottom/>
      <diagonal/>
    </border>
    <border>
      <left style="thin">
        <color theme="0"/>
      </left>
      <right style="thin">
        <color theme="0"/>
      </right>
      <top style="medium">
        <color theme="5" tint="-0.24994659260841701"/>
      </top>
      <bottom style="thin">
        <color theme="0"/>
      </bottom>
      <diagonal/>
    </border>
    <border>
      <left/>
      <right style="medium">
        <color theme="5" tint="-0.24994659260841701"/>
      </right>
      <top style="medium">
        <color theme="5" tint="-0.24994659260841701"/>
      </top>
      <bottom/>
      <diagonal/>
    </border>
    <border>
      <left style="medium">
        <color theme="5" tint="-0.24994659260841701"/>
      </left>
      <right style="thin">
        <color theme="0"/>
      </right>
      <top style="thin">
        <color theme="0"/>
      </top>
      <bottom style="thin">
        <color theme="0"/>
      </bottom>
      <diagonal/>
    </border>
    <border>
      <left/>
      <right style="medium">
        <color theme="5" tint="-0.24994659260841701"/>
      </right>
      <top/>
      <bottom/>
      <diagonal/>
    </border>
    <border>
      <left style="medium">
        <color theme="5" tint="-0.24994659260841701"/>
      </left>
      <right style="thin">
        <color theme="0"/>
      </right>
      <top style="thin">
        <color theme="0"/>
      </top>
      <bottom style="medium">
        <color theme="5" tint="-0.24994659260841701"/>
      </bottom>
      <diagonal/>
    </border>
    <border>
      <left/>
      <right/>
      <top style="thick">
        <color theme="0"/>
      </top>
      <bottom style="medium">
        <color theme="5" tint="-0.24994659260841701"/>
      </bottom>
      <diagonal/>
    </border>
    <border>
      <left/>
      <right/>
      <top/>
      <bottom style="medium">
        <color theme="5" tint="-0.24994659260841701"/>
      </bottom>
      <diagonal/>
    </border>
    <border>
      <left style="thin">
        <color theme="0"/>
      </left>
      <right style="thin">
        <color theme="0"/>
      </right>
      <top style="thin">
        <color theme="0"/>
      </top>
      <bottom style="medium">
        <color theme="5" tint="-0.24994659260841701"/>
      </bottom>
      <diagonal/>
    </border>
    <border>
      <left/>
      <right/>
      <top style="medium">
        <color theme="0"/>
      </top>
      <bottom style="medium">
        <color theme="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left>
      <right/>
      <top style="thin">
        <color theme="0"/>
      </top>
      <bottom/>
      <diagonal/>
    </border>
    <border>
      <left style="thin">
        <color theme="5" tint="-0.24994659260841701"/>
      </left>
      <right/>
      <top style="thin">
        <color theme="5" tint="-0.24994659260841701"/>
      </top>
      <bottom style="thin">
        <color theme="5" tint="-0.24994659260841701"/>
      </bottom>
      <diagonal/>
    </border>
    <border>
      <left style="medium">
        <color rgb="FFEAAD00"/>
      </left>
      <right style="thin">
        <color theme="0"/>
      </right>
      <top style="medium">
        <color rgb="FFEAAD00"/>
      </top>
      <bottom style="thin">
        <color theme="0"/>
      </bottom>
      <diagonal/>
    </border>
    <border>
      <left/>
      <right/>
      <top style="medium">
        <color rgb="FFEAAD00"/>
      </top>
      <bottom style="thick">
        <color theme="0"/>
      </bottom>
      <diagonal/>
    </border>
    <border>
      <left/>
      <right/>
      <top style="medium">
        <color rgb="FFEAAD00"/>
      </top>
      <bottom/>
      <diagonal/>
    </border>
    <border>
      <left style="thin">
        <color theme="0"/>
      </left>
      <right style="thin">
        <color theme="0"/>
      </right>
      <top style="medium">
        <color rgb="FFEAAD00"/>
      </top>
      <bottom style="thin">
        <color theme="0"/>
      </bottom>
      <diagonal/>
    </border>
    <border>
      <left/>
      <right style="medium">
        <color rgb="FFEAAD00"/>
      </right>
      <top style="medium">
        <color rgb="FFEAAD00"/>
      </top>
      <bottom/>
      <diagonal/>
    </border>
    <border>
      <left style="medium">
        <color rgb="FFEAAD00"/>
      </left>
      <right style="thin">
        <color theme="0"/>
      </right>
      <top style="thin">
        <color theme="0"/>
      </top>
      <bottom style="thin">
        <color theme="0"/>
      </bottom>
      <diagonal/>
    </border>
    <border>
      <left/>
      <right style="medium">
        <color rgb="FFEAAD00"/>
      </right>
      <top/>
      <bottom/>
      <diagonal/>
    </border>
    <border>
      <left style="medium">
        <color rgb="FFEAAD00"/>
      </left>
      <right style="thin">
        <color theme="0"/>
      </right>
      <top style="thin">
        <color theme="0"/>
      </top>
      <bottom style="medium">
        <color rgb="FFEAAD00"/>
      </bottom>
      <diagonal/>
    </border>
    <border>
      <left/>
      <right/>
      <top style="thick">
        <color theme="0"/>
      </top>
      <bottom style="medium">
        <color rgb="FFEAAD00"/>
      </bottom>
      <diagonal/>
    </border>
    <border>
      <left/>
      <right/>
      <top/>
      <bottom style="medium">
        <color rgb="FFEAAD00"/>
      </bottom>
      <diagonal/>
    </border>
    <border>
      <left style="thin">
        <color theme="0"/>
      </left>
      <right style="thin">
        <color theme="0"/>
      </right>
      <top style="thin">
        <color theme="0"/>
      </top>
      <bottom style="medium">
        <color rgb="FFEAAD00"/>
      </bottom>
      <diagonal/>
    </border>
    <border>
      <left style="medium">
        <color rgb="FFEAAD00"/>
      </left>
      <right/>
      <top style="medium">
        <color rgb="FFEAAD00"/>
      </top>
      <bottom style="medium">
        <color rgb="FFEAAD00"/>
      </bottom>
      <diagonal/>
    </border>
    <border>
      <left/>
      <right/>
      <top style="medium">
        <color rgb="FFEAAD00"/>
      </top>
      <bottom style="medium">
        <color rgb="FFEAAD00"/>
      </bottom>
      <diagonal/>
    </border>
    <border>
      <left/>
      <right style="medium">
        <color rgb="FFEAAD00"/>
      </right>
      <top style="medium">
        <color rgb="FFEAAD00"/>
      </top>
      <bottom style="medium">
        <color rgb="FFEAAD00"/>
      </bottom>
      <diagonal/>
    </border>
    <border>
      <left/>
      <right/>
      <top style="medium">
        <color theme="0"/>
      </top>
      <bottom style="thin">
        <color theme="5" tint="-0.24994659260841701"/>
      </bottom>
      <diagonal/>
    </border>
    <border>
      <left style="medium">
        <color theme="9"/>
      </left>
      <right style="medium">
        <color theme="9"/>
      </right>
      <top/>
      <bottom/>
      <diagonal/>
    </border>
    <border>
      <left style="medium">
        <color theme="9"/>
      </left>
      <right/>
      <top/>
      <bottom/>
      <diagonal/>
    </border>
    <border>
      <left/>
      <right style="medium">
        <color theme="9"/>
      </right>
      <top/>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theme="9"/>
      </left>
      <right style="medium">
        <color theme="9"/>
      </right>
      <top style="medium">
        <color theme="9"/>
      </top>
      <bottom/>
      <diagonal/>
    </border>
    <border>
      <left style="medium">
        <color theme="9"/>
      </left>
      <right style="medium">
        <color theme="9"/>
      </right>
      <top/>
      <bottom style="medium">
        <color theme="9"/>
      </bottom>
      <diagonal/>
    </border>
    <border>
      <left style="medium">
        <color theme="9"/>
      </left>
      <right style="medium">
        <color theme="0"/>
      </right>
      <top style="medium">
        <color theme="0"/>
      </top>
      <bottom style="medium">
        <color theme="0"/>
      </bottom>
      <diagonal/>
    </border>
    <border>
      <left/>
      <right/>
      <top/>
      <bottom style="thin">
        <color theme="0"/>
      </bottom>
      <diagonal/>
    </border>
    <border>
      <left/>
      <right style="thin">
        <color theme="0"/>
      </right>
      <top/>
      <bottom/>
      <diagonal/>
    </border>
    <border>
      <left/>
      <right style="thin">
        <color theme="0"/>
      </right>
      <top/>
      <bottom style="thin">
        <color theme="0"/>
      </bottom>
      <diagonal/>
    </border>
    <border>
      <left style="medium">
        <color theme="0"/>
      </left>
      <right style="medium">
        <color theme="0"/>
      </right>
      <top/>
      <bottom style="medium">
        <color theme="9"/>
      </bottom>
      <diagonal/>
    </border>
    <border>
      <left style="medium">
        <color theme="5" tint="-0.24994659260841701"/>
      </left>
      <right/>
      <top style="medium">
        <color theme="5" tint="-0.24994659260841701"/>
      </top>
      <bottom/>
      <diagonal/>
    </border>
    <border>
      <left style="medium">
        <color theme="5" tint="-0.24994659260841701"/>
      </left>
      <right/>
      <top/>
      <bottom style="medium">
        <color theme="5" tint="-0.24994659260841701"/>
      </bottom>
      <diagonal/>
    </border>
    <border>
      <left/>
      <right style="medium">
        <color theme="5" tint="-0.24994659260841701"/>
      </right>
      <top/>
      <bottom style="medium">
        <color theme="5" tint="-0.24994659260841701"/>
      </bottom>
      <diagonal/>
    </border>
    <border>
      <left style="medium">
        <color theme="5" tint="-0.24994659260841701"/>
      </left>
      <right/>
      <top/>
      <bottom/>
      <diagonal/>
    </border>
    <border>
      <left style="thin">
        <color theme="0"/>
      </left>
      <right/>
      <top style="thin">
        <color theme="0"/>
      </top>
      <bottom/>
      <diagonal/>
    </border>
    <border>
      <left style="thin">
        <color theme="0"/>
      </left>
      <right/>
      <top/>
      <bottom style="thin">
        <color theme="0"/>
      </bottom>
      <diagonal/>
    </border>
    <border>
      <left/>
      <right style="medium">
        <color theme="0"/>
      </right>
      <top/>
      <bottom style="medium">
        <color theme="0"/>
      </bottom>
      <diagonal/>
    </border>
    <border>
      <left/>
      <right style="medium">
        <color theme="0"/>
      </right>
      <top/>
      <bottom/>
      <diagonal/>
    </border>
    <border>
      <left/>
      <right style="medium">
        <color rgb="FFEAAD00"/>
      </right>
      <top/>
      <bottom style="medium">
        <color rgb="FFEAAD00"/>
      </bottom>
      <diagonal/>
    </border>
    <border>
      <left style="medium">
        <color rgb="FFEAAD00"/>
      </left>
      <right/>
      <top/>
      <bottom/>
      <diagonal/>
    </border>
    <border>
      <left style="medium">
        <color rgb="FFEAAD00"/>
      </left>
      <right/>
      <top style="medium">
        <color rgb="FFEAAD00"/>
      </top>
      <bottom/>
      <diagonal/>
    </border>
    <border>
      <left style="medium">
        <color rgb="FFEAAD00"/>
      </left>
      <right/>
      <top/>
      <bottom style="medium">
        <color rgb="FFEAAD00"/>
      </bottom>
      <diagonal/>
    </border>
    <border>
      <left/>
      <right style="thin">
        <color theme="0"/>
      </right>
      <top style="thin">
        <color theme="0"/>
      </top>
      <bottom style="thin">
        <color theme="0"/>
      </bottom>
      <diagonal/>
    </border>
    <border>
      <left/>
      <right style="thin">
        <color theme="0"/>
      </right>
      <top style="thin">
        <color theme="0"/>
      </top>
      <bottom/>
      <diagonal/>
    </border>
    <border>
      <left/>
      <right/>
      <top style="thin">
        <color theme="0"/>
      </top>
      <bottom style="thin">
        <color theme="0"/>
      </bottom>
      <diagonal/>
    </border>
    <border>
      <left style="mediumDashed">
        <color theme="9"/>
      </left>
      <right style="mediumDashed">
        <color theme="9"/>
      </right>
      <top style="mediumDashed">
        <color theme="9"/>
      </top>
      <bottom/>
      <diagonal/>
    </border>
    <border>
      <left style="mediumDashed">
        <color theme="9"/>
      </left>
      <right style="mediumDashed">
        <color theme="9"/>
      </right>
      <top/>
      <bottom style="mediumDashed">
        <color theme="9"/>
      </bottom>
      <diagonal/>
    </border>
    <border>
      <left style="medium">
        <color theme="9"/>
      </left>
      <right/>
      <top style="medium">
        <color theme="0"/>
      </top>
      <bottom style="medium">
        <color theme="0"/>
      </bottom>
      <diagonal/>
    </border>
    <border>
      <left style="mediumDashed">
        <color theme="5" tint="-0.24994659260841701"/>
      </left>
      <right style="mediumDashed">
        <color theme="5" tint="-0.24994659260841701"/>
      </right>
      <top style="mediumDashed">
        <color theme="5" tint="-0.24994659260841701"/>
      </top>
      <bottom/>
      <diagonal/>
    </border>
    <border>
      <left style="mediumDashed">
        <color theme="5" tint="-0.24994659260841701"/>
      </left>
      <right style="mediumDashed">
        <color theme="5" tint="-0.24994659260841701"/>
      </right>
      <top/>
      <bottom style="mediumDashed">
        <color theme="5" tint="-0.24994659260841701"/>
      </bottom>
      <diagonal/>
    </border>
    <border>
      <left style="mediumDashed">
        <color rgb="FFEAAD00"/>
      </left>
      <right style="mediumDashed">
        <color rgb="FFEAAD00"/>
      </right>
      <top style="mediumDashed">
        <color rgb="FFEAAD00"/>
      </top>
      <bottom/>
      <diagonal/>
    </border>
    <border>
      <left style="mediumDashed">
        <color rgb="FFEAAD00"/>
      </left>
      <right style="mediumDashed">
        <color rgb="FFEAAD00"/>
      </right>
      <top/>
      <bottom style="mediumDashed">
        <color rgb="FFEAAD00"/>
      </bottom>
      <diagonal/>
    </border>
    <border>
      <left style="mediumDashed">
        <color theme="9"/>
      </left>
      <right/>
      <top style="mediumDashed">
        <color theme="9"/>
      </top>
      <bottom/>
      <diagonal/>
    </border>
    <border>
      <left/>
      <right style="mediumDashed">
        <color theme="9"/>
      </right>
      <top style="mediumDashed">
        <color theme="9"/>
      </top>
      <bottom/>
      <diagonal/>
    </border>
    <border>
      <left style="mediumDashed">
        <color theme="9"/>
      </left>
      <right/>
      <top/>
      <bottom style="mediumDashed">
        <color theme="9"/>
      </bottom>
      <diagonal/>
    </border>
    <border>
      <left/>
      <right style="mediumDashed">
        <color theme="9"/>
      </right>
      <top/>
      <bottom style="mediumDashed">
        <color theme="9"/>
      </bottom>
      <diagonal/>
    </border>
    <border>
      <left/>
      <right/>
      <top style="thin">
        <color theme="5" tint="-0.24994659260841701"/>
      </top>
      <bottom/>
      <diagonal/>
    </border>
    <border>
      <left style="thin">
        <color theme="5" tint="-0.24994659260841701"/>
      </left>
      <right/>
      <top style="thin">
        <color theme="5" tint="-0.24994659260841701"/>
      </top>
      <bottom/>
      <diagonal/>
    </border>
    <border>
      <left/>
      <right/>
      <top style="thin">
        <color theme="5" tint="-0.24994659260841701"/>
      </top>
      <bottom style="medium">
        <color theme="0"/>
      </bottom>
      <diagonal/>
    </border>
    <border>
      <left style="thin">
        <color theme="5" tint="-0.24994659260841701"/>
      </left>
      <right/>
      <top/>
      <bottom style="thin">
        <color theme="5" tint="-0.24994659260841701"/>
      </bottom>
      <diagonal/>
    </border>
    <border>
      <left/>
      <right/>
      <top/>
      <bottom style="thin">
        <color theme="5" tint="-0.24994659260841701"/>
      </bottom>
      <diagonal/>
    </border>
    <border>
      <left/>
      <right style="thin">
        <color theme="0"/>
      </right>
      <top style="medium">
        <color theme="5" tint="-0.24994659260841701"/>
      </top>
      <bottom/>
      <diagonal/>
    </border>
    <border>
      <left style="thin">
        <color theme="0"/>
      </left>
      <right style="thin">
        <color theme="0"/>
      </right>
      <top style="medium">
        <color theme="5" tint="-0.24994659260841701"/>
      </top>
      <bottom/>
      <diagonal/>
    </border>
    <border>
      <left style="thin">
        <color theme="0"/>
      </left>
      <right/>
      <top style="medium">
        <color theme="5" tint="-0.24994659260841701"/>
      </top>
      <bottom/>
      <diagonal/>
    </border>
    <border>
      <left style="medium">
        <color theme="0"/>
      </left>
      <right style="medium">
        <color theme="0"/>
      </right>
      <top style="thin">
        <color theme="0"/>
      </top>
      <bottom style="medium">
        <color theme="0"/>
      </bottom>
      <diagonal/>
    </border>
    <border>
      <left style="medium">
        <color theme="0"/>
      </left>
      <right style="medium">
        <color theme="0"/>
      </right>
      <top style="medium">
        <color theme="0"/>
      </top>
      <bottom style="medium">
        <color theme="5" tint="-0.24994659260841701"/>
      </bottom>
      <diagonal/>
    </border>
    <border>
      <left style="mediumDashed">
        <color theme="9"/>
      </left>
      <right style="mediumDashed">
        <color theme="0"/>
      </right>
      <top style="mediumDashed">
        <color theme="0"/>
      </top>
      <bottom/>
      <diagonal/>
    </border>
    <border>
      <left style="mediumDashed">
        <color theme="9"/>
      </left>
      <right style="mediumDashed">
        <color theme="0"/>
      </right>
      <top/>
      <bottom style="mediumDashed">
        <color theme="0"/>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0"/>
      </right>
      <top style="medium">
        <color theme="0" tint="-0.34998626667073579"/>
      </top>
      <bottom style="thin">
        <color theme="0"/>
      </bottom>
      <diagonal/>
    </border>
    <border>
      <left/>
      <right/>
      <top style="medium">
        <color theme="0" tint="-0.34998626667073579"/>
      </top>
      <bottom style="thick">
        <color theme="0"/>
      </bottom>
      <diagonal/>
    </border>
    <border>
      <left/>
      <right/>
      <top style="medium">
        <color theme="0" tint="-0.34998626667073579"/>
      </top>
      <bottom/>
      <diagonal/>
    </border>
    <border>
      <left style="thin">
        <color theme="0"/>
      </left>
      <right style="thin">
        <color theme="0"/>
      </right>
      <top style="medium">
        <color theme="0" tint="-0.34998626667073579"/>
      </top>
      <bottom style="thin">
        <color theme="0"/>
      </bottom>
      <diagonal/>
    </border>
    <border>
      <left/>
      <right style="medium">
        <color theme="0" tint="-0.34998626667073579"/>
      </right>
      <top style="medium">
        <color theme="0" tint="-0.34998626667073579"/>
      </top>
      <bottom/>
      <diagonal/>
    </border>
    <border>
      <left style="medium">
        <color theme="0" tint="-0.34998626667073579"/>
      </left>
      <right style="thin">
        <color theme="0"/>
      </right>
      <top style="thin">
        <color theme="0"/>
      </top>
      <bottom style="thin">
        <color theme="0"/>
      </bottom>
      <diagonal/>
    </border>
    <border>
      <left/>
      <right style="medium">
        <color theme="0" tint="-0.34998626667073579"/>
      </right>
      <top/>
      <bottom/>
      <diagonal/>
    </border>
    <border>
      <left style="medium">
        <color theme="0" tint="-0.34998626667073579"/>
      </left>
      <right style="thin">
        <color theme="0"/>
      </right>
      <top style="thin">
        <color theme="0"/>
      </top>
      <bottom style="medium">
        <color theme="0" tint="-0.34998626667073579"/>
      </bottom>
      <diagonal/>
    </border>
    <border>
      <left/>
      <right/>
      <top style="thick">
        <color theme="0"/>
      </top>
      <bottom style="medium">
        <color theme="0" tint="-0.34998626667073579"/>
      </bottom>
      <diagonal/>
    </border>
    <border>
      <left/>
      <right/>
      <top/>
      <bottom style="medium">
        <color theme="0" tint="-0.34998626667073579"/>
      </bottom>
      <diagonal/>
    </border>
    <border>
      <left style="mediumDashed">
        <color theme="0" tint="-0.34998626667073579"/>
      </left>
      <right style="mediumDashed">
        <color theme="0" tint="-0.34998626667073579"/>
      </right>
      <top style="mediumDashed">
        <color theme="0" tint="-0.34998626667073579"/>
      </top>
      <bottom/>
      <diagonal/>
    </border>
    <border>
      <left style="mediumDashed">
        <color theme="0" tint="-0.34998626667073579"/>
      </left>
      <right style="mediumDashed">
        <color theme="0" tint="-0.34998626667073579"/>
      </right>
      <top/>
      <bottom style="mediumDashed">
        <color theme="0" tint="-0.34998626667073579"/>
      </bottom>
      <diagonal/>
    </border>
    <border>
      <left style="medium">
        <color theme="0" tint="-0.34998626667073579"/>
      </left>
      <right/>
      <top style="medium">
        <color theme="0" tint="-0.34998626667073579"/>
      </top>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right style="medium">
        <color theme="0" tint="-0.34998626667073579"/>
      </right>
      <top/>
      <bottom style="medium">
        <color theme="0" tint="-0.34998626667073579"/>
      </bottom>
      <diagonal/>
    </border>
    <border>
      <left style="thin">
        <color theme="0"/>
      </left>
      <right/>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diagonal/>
    </border>
    <border>
      <left style="medium">
        <color theme="0" tint="-0.34998626667073579"/>
      </left>
      <right style="medium">
        <color theme="0" tint="-0.34998626667073579"/>
      </right>
      <top/>
      <bottom style="medium">
        <color theme="0" tint="-0.34998626667073579"/>
      </bottom>
      <diagonal/>
    </border>
    <border>
      <left style="medium">
        <color theme="0"/>
      </left>
      <right style="medium">
        <color theme="0"/>
      </right>
      <top style="medium">
        <color theme="0" tint="-0.34998626667073579"/>
      </top>
      <bottom/>
      <diagonal/>
    </border>
    <border>
      <left style="medium">
        <color theme="0"/>
      </left>
      <right style="medium">
        <color theme="0"/>
      </right>
      <top style="medium">
        <color theme="0" tint="-0.34998626667073579"/>
      </top>
      <bottom style="medium">
        <color theme="0" tint="-0.34998626667073579"/>
      </bottom>
      <diagonal/>
    </border>
    <border>
      <left style="thin">
        <color theme="0"/>
      </left>
      <right/>
      <top style="medium">
        <color theme="0" tint="-0.34998626667073579"/>
      </top>
      <bottom/>
      <diagonal/>
    </border>
    <border>
      <left style="thin">
        <color theme="0"/>
      </left>
      <right/>
      <top style="medium">
        <color theme="0"/>
      </top>
      <bottom/>
      <diagonal/>
    </border>
    <border>
      <left/>
      <right style="mediumDashed">
        <color theme="0"/>
      </right>
      <top style="mediumDashed">
        <color theme="5" tint="-0.24994659260841701"/>
      </top>
      <bottom style="thin">
        <color theme="0"/>
      </bottom>
      <diagonal/>
    </border>
    <border>
      <left style="mediumDashed">
        <color theme="5" tint="-0.24994659260841701"/>
      </left>
      <right/>
      <top style="mediumDashed">
        <color theme="5" tint="-0.24994659260841701"/>
      </top>
      <bottom/>
      <diagonal/>
    </border>
    <border>
      <left/>
      <right style="mediumDashed">
        <color theme="5" tint="-0.24994659260841701"/>
      </right>
      <top style="mediumDashed">
        <color theme="5" tint="-0.24994659260841701"/>
      </top>
      <bottom/>
      <diagonal/>
    </border>
    <border>
      <left style="mediumDashed">
        <color theme="5" tint="-0.24994659260841701"/>
      </left>
      <right/>
      <top/>
      <bottom style="mediumDashed">
        <color theme="5" tint="-0.24994659260841701"/>
      </bottom>
      <diagonal/>
    </border>
    <border>
      <left/>
      <right style="mediumDashed">
        <color theme="5" tint="-0.24994659260841701"/>
      </right>
      <top/>
      <bottom style="mediumDashed">
        <color theme="5" tint="-0.24994659260841701"/>
      </bottom>
      <diagonal/>
    </border>
    <border>
      <left style="mediumDashed">
        <color theme="0"/>
      </left>
      <right style="mediumDashed">
        <color theme="0"/>
      </right>
      <top style="mediumDashed">
        <color theme="5" tint="-0.24994659260841701"/>
      </top>
      <bottom style="thin">
        <color theme="0"/>
      </bottom>
      <diagonal/>
    </border>
    <border>
      <left/>
      <right style="mediumDashed">
        <color rgb="FFEAAD00"/>
      </right>
      <top style="mediumDashed">
        <color rgb="FFEAAD00"/>
      </top>
      <bottom/>
      <diagonal/>
    </border>
    <border>
      <left/>
      <right style="mediumDashed">
        <color rgb="FFEAAD00"/>
      </right>
      <top/>
      <bottom style="mediumDashed">
        <color rgb="FFEAAD00"/>
      </bottom>
      <diagonal/>
    </border>
    <border>
      <left style="thin">
        <color theme="0"/>
      </left>
      <right/>
      <top style="medium">
        <color rgb="FFEAAD00"/>
      </top>
      <bottom/>
      <diagonal/>
    </border>
    <border>
      <left/>
      <right style="medium">
        <color rgb="FFEAAD00"/>
      </right>
      <top/>
      <bottom style="thin">
        <color theme="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theme="4" tint="-0.24994659260841701"/>
      </right>
      <top/>
      <bottom style="medium">
        <color theme="4" tint="-0.24994659260841701"/>
      </bottom>
      <diagonal/>
    </border>
    <border>
      <left style="thin">
        <color theme="0"/>
      </left>
      <right/>
      <top style="thin">
        <color theme="0"/>
      </top>
      <bottom style="medium">
        <color theme="4" tint="-0.24994659260841701"/>
      </bottom>
      <diagonal/>
    </border>
    <border>
      <left/>
      <right/>
      <top style="medium">
        <color theme="0"/>
      </top>
      <bottom style="thick">
        <color theme="0"/>
      </bottom>
      <diagonal/>
    </border>
    <border>
      <left/>
      <right style="medium">
        <color theme="4" tint="-0.24994659260841701"/>
      </right>
      <top style="medium">
        <color theme="0"/>
      </top>
      <bottom/>
      <diagonal/>
    </border>
    <border>
      <left style="thin">
        <color theme="0"/>
      </left>
      <right/>
      <top style="medium">
        <color theme="0"/>
      </top>
      <bottom style="thick">
        <color theme="0"/>
      </bottom>
      <diagonal/>
    </border>
    <border>
      <left/>
      <right style="medium">
        <color theme="9"/>
      </right>
      <top style="medium">
        <color theme="0"/>
      </top>
      <bottom/>
      <diagonal/>
    </border>
    <border>
      <left style="thin">
        <color theme="0"/>
      </left>
      <right/>
      <top style="thick">
        <color theme="0"/>
      </top>
      <bottom style="medium">
        <color theme="9"/>
      </bottom>
      <diagonal/>
    </border>
    <border>
      <left/>
      <right style="medium">
        <color theme="5" tint="-0.24994659260841701"/>
      </right>
      <top style="medium">
        <color theme="0"/>
      </top>
      <bottom/>
      <diagonal/>
    </border>
    <border>
      <left style="thin">
        <color theme="0"/>
      </left>
      <right/>
      <top style="thick">
        <color theme="0"/>
      </top>
      <bottom style="medium">
        <color theme="5" tint="-0.24994659260841701"/>
      </bottom>
      <diagonal/>
    </border>
    <border>
      <left/>
      <right style="medium">
        <color rgb="FFEAAD00"/>
      </right>
      <top style="medium">
        <color theme="0"/>
      </top>
      <bottom/>
      <diagonal/>
    </border>
    <border>
      <left style="thin">
        <color theme="0"/>
      </left>
      <right/>
      <top/>
      <bottom style="medium">
        <color rgb="FFEAAD00"/>
      </bottom>
      <diagonal/>
    </border>
    <border>
      <left style="thin">
        <color theme="0"/>
      </left>
      <right/>
      <top style="thick">
        <color theme="0"/>
      </top>
      <bottom style="medium">
        <color rgb="FFEAAD00"/>
      </bottom>
      <diagonal/>
    </border>
    <border>
      <left/>
      <right style="medium">
        <color theme="0" tint="-0.34998626667073579"/>
      </right>
      <top style="medium">
        <color theme="0"/>
      </top>
      <bottom/>
      <diagonal/>
    </border>
    <border>
      <left/>
      <right style="medium">
        <color rgb="FF339933"/>
      </right>
      <top style="medium">
        <color theme="0"/>
      </top>
      <bottom/>
      <diagonal/>
    </border>
    <border>
      <left style="thin">
        <color theme="0"/>
      </left>
      <right/>
      <top style="thick">
        <color theme="0"/>
      </top>
      <bottom style="medium">
        <color rgb="FF339933"/>
      </bottom>
      <diagonal/>
    </border>
    <border>
      <left/>
      <right style="medium">
        <color rgb="FF339933"/>
      </right>
      <top/>
      <bottom style="medium">
        <color rgb="FF339933"/>
      </bottom>
      <diagonal/>
    </border>
    <border>
      <left style="thin">
        <color theme="0"/>
      </left>
      <right style="thin">
        <color theme="0"/>
      </right>
      <top style="medium">
        <color rgb="FFEAAD00"/>
      </top>
      <bottom style="medium">
        <color rgb="FFEAAD00"/>
      </bottom>
      <diagonal/>
    </border>
    <border>
      <left style="mediumDashed">
        <color rgb="FF339933"/>
      </left>
      <right style="thin">
        <color theme="0"/>
      </right>
      <top style="thin">
        <color theme="0"/>
      </top>
      <bottom style="thin">
        <color theme="0"/>
      </bottom>
      <diagonal/>
    </border>
    <border>
      <left/>
      <right style="medium">
        <color rgb="FF339933"/>
      </right>
      <top/>
      <bottom style="medium">
        <color theme="0"/>
      </bottom>
      <diagonal/>
    </border>
    <border>
      <left style="mediumDashed">
        <color rgb="FF339933"/>
      </left>
      <right style="thin">
        <color theme="0"/>
      </right>
      <top style="thin">
        <color theme="0"/>
      </top>
      <bottom style="medium">
        <color rgb="FF339933"/>
      </bottom>
      <diagonal/>
    </border>
    <border>
      <left style="thin">
        <color theme="0"/>
      </left>
      <right style="thin">
        <color theme="0"/>
      </right>
      <top style="medium">
        <color rgb="FF339933"/>
      </top>
      <bottom style="medium">
        <color rgb="FF339933"/>
      </bottom>
      <diagonal/>
    </border>
    <border>
      <left style="mediumDashed">
        <color rgb="FF339933"/>
      </left>
      <right style="thin">
        <color theme="0"/>
      </right>
      <top/>
      <bottom style="thin">
        <color theme="0"/>
      </bottom>
      <diagonal/>
    </border>
    <border>
      <left style="thin">
        <color rgb="FF339933"/>
      </left>
      <right style="medium">
        <color theme="9"/>
      </right>
      <top/>
      <bottom style="medium">
        <color theme="9"/>
      </bottom>
      <diagonal/>
    </border>
    <border>
      <left style="medium">
        <color rgb="FF339933"/>
      </left>
      <right/>
      <top/>
      <bottom style="medium">
        <color rgb="FF339933"/>
      </bottom>
      <diagonal/>
    </border>
    <border>
      <left style="medium">
        <color rgb="FF339933"/>
      </left>
      <right/>
      <top style="medium">
        <color rgb="FF339933"/>
      </top>
      <bottom/>
      <diagonal/>
    </border>
    <border>
      <left style="medium">
        <color rgb="FF339933"/>
      </left>
      <right/>
      <top/>
      <bottom style="medium">
        <color theme="9"/>
      </bottom>
      <diagonal/>
    </border>
    <border>
      <left/>
      <right style="medium">
        <color rgb="FF339933"/>
      </right>
      <top/>
      <bottom style="medium">
        <color theme="9"/>
      </bottom>
      <diagonal/>
    </border>
    <border>
      <left style="medium">
        <color rgb="FF339933"/>
      </left>
      <right/>
      <top style="medium">
        <color theme="9"/>
      </top>
      <bottom/>
      <diagonal/>
    </border>
    <border>
      <left style="medium">
        <color rgb="FF339933"/>
      </left>
      <right/>
      <top/>
      <bottom/>
      <diagonal/>
    </border>
    <border>
      <left/>
      <right style="medium">
        <color theme="9"/>
      </right>
      <top/>
      <bottom style="medium">
        <color rgb="FF339933"/>
      </bottom>
      <diagonal/>
    </border>
    <border>
      <left/>
      <right style="medium">
        <color theme="9"/>
      </right>
      <top/>
      <bottom style="medium">
        <color rgb="FF92D050"/>
      </bottom>
      <diagonal/>
    </border>
    <border>
      <left/>
      <right/>
      <top/>
      <bottom style="medium">
        <color rgb="FF92D050"/>
      </bottom>
      <diagonal/>
    </border>
    <border>
      <left style="medium">
        <color rgb="FF92D050"/>
      </left>
      <right/>
      <top style="medium">
        <color rgb="FF92D050"/>
      </top>
      <bottom/>
      <diagonal/>
    </border>
    <border>
      <left/>
      <right/>
      <top style="medium">
        <color rgb="FF92D050"/>
      </top>
      <bottom/>
      <diagonal/>
    </border>
    <border>
      <left/>
      <right style="medium">
        <color rgb="FF339933"/>
      </right>
      <top style="medium">
        <color rgb="FF92D050"/>
      </top>
      <bottom/>
      <diagonal/>
    </border>
    <border>
      <left style="medium">
        <color rgb="FF339933"/>
      </left>
      <right/>
      <top style="medium">
        <color rgb="FF92D050"/>
      </top>
      <bottom/>
      <diagonal/>
    </border>
    <border>
      <left/>
      <right style="medium">
        <color theme="9"/>
      </right>
      <top style="medium">
        <color rgb="FF92D050"/>
      </top>
      <bottom/>
      <diagonal/>
    </border>
    <border>
      <left style="medium">
        <color theme="9"/>
      </left>
      <right/>
      <top style="medium">
        <color rgb="FF92D050"/>
      </top>
      <bottom/>
      <diagonal/>
    </border>
    <border>
      <left style="medium">
        <color theme="9"/>
      </left>
      <right style="medium">
        <color rgb="FF92D050"/>
      </right>
      <top style="medium">
        <color rgb="FF92D050"/>
      </top>
      <bottom/>
      <diagonal/>
    </border>
    <border>
      <left style="medium">
        <color rgb="FF92D050"/>
      </left>
      <right/>
      <top/>
      <bottom style="medium">
        <color theme="9"/>
      </bottom>
      <diagonal/>
    </border>
    <border>
      <left style="medium">
        <color theme="9"/>
      </left>
      <right style="medium">
        <color rgb="FF92D050"/>
      </right>
      <top/>
      <bottom style="medium">
        <color theme="9"/>
      </bottom>
      <diagonal/>
    </border>
    <border>
      <left style="medium">
        <color rgb="FF92D050"/>
      </left>
      <right/>
      <top/>
      <bottom/>
      <diagonal/>
    </border>
    <border>
      <left style="medium">
        <color theme="9"/>
      </left>
      <right style="medium">
        <color rgb="FF92D050"/>
      </right>
      <top/>
      <bottom/>
      <diagonal/>
    </border>
    <border>
      <left style="medium">
        <color rgb="FF92D050"/>
      </left>
      <right/>
      <top/>
      <bottom style="medium">
        <color rgb="FF92D050"/>
      </bottom>
      <diagonal/>
    </border>
    <border>
      <left style="medium">
        <color theme="9"/>
      </left>
      <right/>
      <top/>
      <bottom style="medium">
        <color rgb="FF92D050"/>
      </bottom>
      <diagonal/>
    </border>
    <border>
      <left style="medium">
        <color theme="9"/>
      </left>
      <right style="medium">
        <color rgb="FF92D050"/>
      </right>
      <top/>
      <bottom style="medium">
        <color rgb="FF92D050"/>
      </bottom>
      <diagonal/>
    </border>
    <border>
      <left/>
      <right style="medium">
        <color rgb="FF339933"/>
      </right>
      <top style="medium">
        <color theme="9"/>
      </top>
      <bottom/>
      <diagonal/>
    </border>
    <border>
      <left style="medium">
        <color theme="9"/>
      </left>
      <right style="medium">
        <color theme="9"/>
      </right>
      <top style="medium">
        <color theme="9"/>
      </top>
      <bottom style="medium">
        <color theme="9"/>
      </bottom>
      <diagonal/>
    </border>
    <border>
      <left style="medium">
        <color theme="9"/>
      </left>
      <right/>
      <top style="medium">
        <color theme="9"/>
      </top>
      <bottom style="medium">
        <color theme="9"/>
      </bottom>
      <diagonal/>
    </border>
    <border>
      <left/>
      <right/>
      <top style="medium">
        <color theme="9"/>
      </top>
      <bottom style="medium">
        <color theme="9"/>
      </bottom>
      <diagonal/>
    </border>
    <border>
      <left/>
      <right style="medium">
        <color theme="9"/>
      </right>
      <top style="medium">
        <color theme="9"/>
      </top>
      <bottom style="medium">
        <color theme="9"/>
      </bottom>
      <diagonal/>
    </border>
    <border>
      <left style="medium">
        <color theme="9"/>
      </left>
      <right style="medium">
        <color theme="9"/>
      </right>
      <top style="thin">
        <color theme="0"/>
      </top>
      <bottom/>
      <diagonal/>
    </border>
    <border>
      <left style="medium">
        <color theme="9"/>
      </left>
      <right style="medium">
        <color theme="9"/>
      </right>
      <top/>
      <bottom style="thin">
        <color theme="0"/>
      </bottom>
      <diagonal/>
    </border>
    <border>
      <left style="medium">
        <color theme="9"/>
      </left>
      <right/>
      <top style="thin">
        <color theme="0"/>
      </top>
      <bottom/>
      <diagonal/>
    </border>
    <border>
      <left style="medium">
        <color theme="9"/>
      </left>
      <right/>
      <top/>
      <bottom style="thin">
        <color theme="0"/>
      </bottom>
      <diagonal/>
    </border>
    <border>
      <left style="medium">
        <color theme="9"/>
      </left>
      <right style="thin">
        <color theme="0"/>
      </right>
      <top style="medium">
        <color theme="9"/>
      </top>
      <bottom style="thin">
        <color theme="0"/>
      </bottom>
      <diagonal/>
    </border>
    <border>
      <left/>
      <right/>
      <top style="medium">
        <color theme="9"/>
      </top>
      <bottom style="thick">
        <color theme="0"/>
      </bottom>
      <diagonal/>
    </border>
    <border>
      <left style="medium">
        <color theme="9"/>
      </left>
      <right style="thin">
        <color theme="0"/>
      </right>
      <top style="thin">
        <color theme="0"/>
      </top>
      <bottom style="thin">
        <color theme="0"/>
      </bottom>
      <diagonal/>
    </border>
    <border>
      <left/>
      <right style="medium">
        <color theme="9"/>
      </right>
      <top/>
      <bottom style="medium">
        <color theme="0"/>
      </bottom>
      <diagonal/>
    </border>
    <border>
      <left style="medium">
        <color theme="9"/>
      </left>
      <right style="thin">
        <color theme="0"/>
      </right>
      <top style="thin">
        <color theme="0"/>
      </top>
      <bottom style="medium">
        <color theme="9"/>
      </bottom>
      <diagonal/>
    </border>
    <border>
      <left/>
      <right/>
      <top style="thick">
        <color theme="0"/>
      </top>
      <bottom style="medium">
        <color theme="9"/>
      </bottom>
      <diagonal/>
    </border>
    <border>
      <left style="medium">
        <color theme="5" tint="-0.249977111117893"/>
      </left>
      <right/>
      <top style="medium">
        <color theme="5" tint="-0.249977111117893"/>
      </top>
      <bottom/>
      <diagonal/>
    </border>
    <border>
      <left/>
      <right/>
      <top style="medium">
        <color theme="5" tint="-0.249977111117893"/>
      </top>
      <bottom/>
      <diagonal/>
    </border>
    <border>
      <left/>
      <right style="medium">
        <color theme="5" tint="-0.24994659260841701"/>
      </right>
      <top style="medium">
        <color theme="5" tint="-0.249977111117893"/>
      </top>
      <bottom/>
      <diagonal/>
    </border>
    <border>
      <left style="medium">
        <color theme="5" tint="-0.24994659260841701"/>
      </left>
      <right/>
      <top style="medium">
        <color theme="5" tint="-0.249977111117893"/>
      </top>
      <bottom/>
      <diagonal/>
    </border>
    <border>
      <left/>
      <right style="medium">
        <color theme="5" tint="-0.249977111117893"/>
      </right>
      <top style="medium">
        <color theme="5" tint="-0.249977111117893"/>
      </top>
      <bottom/>
      <diagonal/>
    </border>
    <border>
      <left style="medium">
        <color theme="5" tint="-0.249977111117893"/>
      </left>
      <right/>
      <top/>
      <bottom style="medium">
        <color theme="5" tint="-0.24994659260841701"/>
      </bottom>
      <diagonal/>
    </border>
    <border>
      <left style="medium">
        <color theme="5" tint="-0.249977111117893"/>
      </left>
      <right/>
      <top/>
      <bottom/>
      <diagonal/>
    </border>
    <border>
      <left/>
      <right style="medium">
        <color theme="5" tint="-0.249977111117893"/>
      </right>
      <top/>
      <bottom/>
      <diagonal/>
    </border>
    <border>
      <left style="medium">
        <color theme="5" tint="-0.249977111117893"/>
      </left>
      <right/>
      <top/>
      <bottom style="medium">
        <color theme="5" tint="-0.249977111117893"/>
      </bottom>
      <diagonal/>
    </border>
    <border>
      <left/>
      <right/>
      <top/>
      <bottom style="medium">
        <color theme="5" tint="-0.249977111117893"/>
      </bottom>
      <diagonal/>
    </border>
    <border>
      <left/>
      <right style="medium">
        <color theme="5" tint="-0.24994659260841701"/>
      </right>
      <top/>
      <bottom style="medium">
        <color theme="5" tint="-0.249977111117893"/>
      </bottom>
      <diagonal/>
    </border>
    <border>
      <left style="medium">
        <color theme="5" tint="-0.24994659260841701"/>
      </left>
      <right/>
      <top/>
      <bottom style="medium">
        <color theme="5" tint="-0.249977111117893"/>
      </bottom>
      <diagonal/>
    </border>
    <border>
      <left/>
      <right style="medium">
        <color theme="5" tint="-0.249977111117893"/>
      </right>
      <top/>
      <bottom style="medium">
        <color theme="5" tint="-0.249977111117893"/>
      </bottom>
      <diagonal/>
    </border>
    <border>
      <left style="medium">
        <color theme="5" tint="-0.249977111117893"/>
      </left>
      <right/>
      <top style="medium">
        <color theme="5" tint="-0.249977111117893"/>
      </top>
      <bottom style="medium">
        <color theme="5" tint="-0.249977111117893"/>
      </bottom>
      <diagonal/>
    </border>
    <border>
      <left/>
      <right/>
      <top style="medium">
        <color theme="5" tint="-0.249977111117893"/>
      </top>
      <bottom style="medium">
        <color theme="5" tint="-0.249977111117893"/>
      </bottom>
      <diagonal/>
    </border>
    <border>
      <left/>
      <right style="medium">
        <color theme="5" tint="-0.249977111117893"/>
      </right>
      <top style="medium">
        <color theme="5" tint="-0.249977111117893"/>
      </top>
      <bottom style="medium">
        <color theme="5" tint="-0.249977111117893"/>
      </bottom>
      <diagonal/>
    </border>
    <border>
      <left style="thin">
        <color indexed="64"/>
      </left>
      <right style="thin">
        <color indexed="64"/>
      </right>
      <top style="thin">
        <color indexed="64"/>
      </top>
      <bottom/>
      <diagonal/>
    </border>
    <border>
      <left style="medium">
        <color theme="5" tint="-0.249977111117893"/>
      </left>
      <right style="thin">
        <color indexed="64"/>
      </right>
      <top style="medium">
        <color theme="5" tint="-0.249977111117893"/>
      </top>
      <bottom style="thin">
        <color indexed="64"/>
      </bottom>
      <diagonal/>
    </border>
    <border>
      <left style="thin">
        <color indexed="64"/>
      </left>
      <right style="thin">
        <color indexed="64"/>
      </right>
      <top style="medium">
        <color theme="5" tint="-0.249977111117893"/>
      </top>
      <bottom style="thin">
        <color indexed="64"/>
      </bottom>
      <diagonal/>
    </border>
    <border>
      <left style="medium">
        <color theme="5" tint="-0.249977111117893"/>
      </left>
      <right style="thin">
        <color indexed="64"/>
      </right>
      <top style="thin">
        <color indexed="64"/>
      </top>
      <bottom style="medium">
        <color theme="5" tint="-0.249977111117893"/>
      </bottom>
      <diagonal/>
    </border>
    <border>
      <left style="thin">
        <color indexed="64"/>
      </left>
      <right style="thin">
        <color indexed="64"/>
      </right>
      <top style="thin">
        <color indexed="64"/>
      </top>
      <bottom style="medium">
        <color theme="5" tint="-0.249977111117893"/>
      </bottom>
      <diagonal/>
    </border>
    <border>
      <left style="medium">
        <color theme="5" tint="-0.24994659260841701"/>
      </left>
      <right style="medium">
        <color theme="5" tint="-0.249977111117893"/>
      </right>
      <top style="medium">
        <color theme="5" tint="-0.249977111117893"/>
      </top>
      <bottom/>
      <diagonal/>
    </border>
    <border>
      <left style="medium">
        <color rgb="FFE6AF00"/>
      </left>
      <right style="medium">
        <color rgb="FFE6AF00"/>
      </right>
      <top style="medium">
        <color rgb="FFE6AF00"/>
      </top>
      <bottom style="medium">
        <color rgb="FFE6AF00"/>
      </bottom>
      <diagonal/>
    </border>
    <border>
      <left style="medium">
        <color rgb="FFE6AF00"/>
      </left>
      <right/>
      <top style="medium">
        <color rgb="FFE6AF00"/>
      </top>
      <bottom style="medium">
        <color rgb="FFE6AF00"/>
      </bottom>
      <diagonal/>
    </border>
    <border>
      <left/>
      <right/>
      <top style="medium">
        <color rgb="FFE6AF00"/>
      </top>
      <bottom style="medium">
        <color rgb="FFE6AF00"/>
      </bottom>
      <diagonal/>
    </border>
    <border>
      <left/>
      <right style="medium">
        <color rgb="FFE6AF00"/>
      </right>
      <top style="medium">
        <color rgb="FFE6AF00"/>
      </top>
      <bottom style="medium">
        <color rgb="FFE6AF00"/>
      </bottom>
      <diagonal/>
    </border>
    <border>
      <left/>
      <right style="medium">
        <color rgb="FFE6AF00"/>
      </right>
      <top style="medium">
        <color rgb="FFEAAD00"/>
      </top>
      <bottom/>
      <diagonal/>
    </border>
    <border>
      <left style="medium">
        <color rgb="FFE6AF00"/>
      </left>
      <right style="medium">
        <color rgb="FFE6AF00"/>
      </right>
      <top style="medium">
        <color rgb="FFE6AF00"/>
      </top>
      <bottom/>
      <diagonal/>
    </border>
    <border>
      <left style="medium">
        <color rgb="FFE6AF00"/>
      </left>
      <right style="medium">
        <color rgb="FFE6AF00"/>
      </right>
      <top/>
      <bottom style="medium">
        <color rgb="FFE6AF00"/>
      </bottom>
      <diagonal/>
    </border>
    <border>
      <left style="medium">
        <color rgb="FFE6AF00"/>
      </left>
      <right/>
      <top style="medium">
        <color rgb="FFE6AF00"/>
      </top>
      <bottom/>
      <diagonal/>
    </border>
    <border>
      <left/>
      <right/>
      <top style="medium">
        <color rgb="FFE6AF00"/>
      </top>
      <bottom/>
      <diagonal/>
    </border>
    <border>
      <left/>
      <right style="medium">
        <color rgb="FFE6AF00"/>
      </right>
      <top style="medium">
        <color rgb="FFE6AF00"/>
      </top>
      <bottom/>
      <diagonal/>
    </border>
    <border>
      <left style="medium">
        <color rgb="FFE6AF00"/>
      </left>
      <right/>
      <top/>
      <bottom style="medium">
        <color rgb="FFE6AF00"/>
      </bottom>
      <diagonal/>
    </border>
    <border>
      <left/>
      <right/>
      <top/>
      <bottom style="medium">
        <color rgb="FFE6AF00"/>
      </bottom>
      <diagonal/>
    </border>
    <border>
      <left/>
      <right style="medium">
        <color rgb="FFE6AF00"/>
      </right>
      <top/>
      <bottom style="medium">
        <color rgb="FFE6AF00"/>
      </bottom>
      <diagonal/>
    </border>
    <border>
      <left style="medium">
        <color rgb="FFE6AF00"/>
      </left>
      <right/>
      <top/>
      <bottom/>
      <diagonal/>
    </border>
    <border>
      <left/>
      <right style="medium">
        <color rgb="FFE6AF00"/>
      </right>
      <top/>
      <bottom/>
      <diagonal/>
    </border>
    <border>
      <left style="medium">
        <color rgb="FFE6AF00"/>
      </left>
      <right style="medium">
        <color rgb="FFE6AF00"/>
      </right>
      <top/>
      <bottom/>
      <diagonal/>
    </border>
    <border>
      <left/>
      <right style="medium">
        <color rgb="FFEAAD00"/>
      </right>
      <top style="medium">
        <color rgb="FFE6AF00"/>
      </top>
      <bottom/>
      <diagonal/>
    </border>
    <border>
      <left style="medium">
        <color rgb="FFEAAD00"/>
      </left>
      <right/>
      <top style="medium">
        <color rgb="FFE6AF00"/>
      </top>
      <bottom/>
      <diagonal/>
    </border>
    <border>
      <left/>
      <right style="medium">
        <color rgb="FFEAAD00"/>
      </right>
      <top/>
      <bottom style="medium">
        <color rgb="FFE6AF00"/>
      </bottom>
      <diagonal/>
    </border>
    <border>
      <left style="medium">
        <color rgb="FFEAAD00"/>
      </left>
      <right/>
      <top/>
      <bottom style="medium">
        <color rgb="FFE6AF00"/>
      </bottom>
      <diagonal/>
    </border>
    <border>
      <left style="medium">
        <color theme="9" tint="-0.249977111117893"/>
      </left>
      <right/>
      <top style="medium">
        <color theme="9" tint="-0.249977111117893"/>
      </top>
      <bottom/>
      <diagonal/>
    </border>
    <border>
      <left/>
      <right/>
      <top style="medium">
        <color theme="9" tint="-0.249977111117893"/>
      </top>
      <bottom/>
      <diagonal/>
    </border>
    <border>
      <left style="medium">
        <color theme="9" tint="-0.249977111117893"/>
      </left>
      <right/>
      <top/>
      <bottom/>
      <diagonal/>
    </border>
    <border>
      <left/>
      <right style="medium">
        <color theme="9" tint="-0.249977111117893"/>
      </right>
      <top/>
      <bottom/>
      <diagonal/>
    </border>
    <border>
      <left style="medium">
        <color theme="9" tint="-0.249977111117893"/>
      </left>
      <right/>
      <top/>
      <bottom style="medium">
        <color theme="9" tint="-0.249977111117893"/>
      </bottom>
      <diagonal/>
    </border>
    <border>
      <left/>
      <right/>
      <top/>
      <bottom style="medium">
        <color theme="9" tint="-0.249977111117893"/>
      </bottom>
      <diagonal/>
    </border>
    <border>
      <left style="medium">
        <color rgb="FFE6AF00"/>
      </left>
      <right/>
      <top style="medium">
        <color rgb="FFEAAD00"/>
      </top>
      <bottom/>
      <diagonal/>
    </border>
    <border>
      <left style="thin">
        <color theme="0"/>
      </left>
      <right/>
      <top/>
      <bottom style="medium">
        <color theme="0"/>
      </bottom>
      <diagonal/>
    </border>
    <border>
      <left style="thin">
        <color theme="0"/>
      </left>
      <right/>
      <top/>
      <bottom style="medium">
        <color theme="5" tint="-0.24994659260841701"/>
      </bottom>
      <diagonal/>
    </border>
    <border>
      <left style="thin">
        <color indexed="64"/>
      </left>
      <right/>
      <top style="medium">
        <color theme="5" tint="-0.249977111117893"/>
      </top>
      <bottom style="thin">
        <color indexed="64"/>
      </bottom>
      <diagonal/>
    </border>
    <border>
      <left style="thin">
        <color indexed="64"/>
      </left>
      <right/>
      <top style="thin">
        <color indexed="64"/>
      </top>
      <bottom style="medium">
        <color theme="5" tint="-0.249977111117893"/>
      </bottom>
      <diagonal/>
    </border>
    <border>
      <left style="thin">
        <color indexed="64"/>
      </left>
      <right style="thin">
        <color indexed="64"/>
      </right>
      <top/>
      <bottom/>
      <diagonal/>
    </border>
    <border>
      <left/>
      <right/>
      <top/>
      <bottom style="medium">
        <color rgb="FFC00000"/>
      </bottom>
      <diagonal/>
    </border>
    <border>
      <left style="thin">
        <color theme="0"/>
      </left>
      <right/>
      <top/>
      <bottom style="thick">
        <color theme="0"/>
      </bottom>
      <diagonal/>
    </border>
    <border>
      <left/>
      <right style="thin">
        <color indexed="64"/>
      </right>
      <top style="medium">
        <color theme="5" tint="-0.249977111117893"/>
      </top>
      <bottom style="thin">
        <color indexed="64"/>
      </bottom>
      <diagonal/>
    </border>
    <border>
      <left/>
      <right style="thin">
        <color indexed="64"/>
      </right>
      <top style="thin">
        <color indexed="64"/>
      </top>
      <bottom style="medium">
        <color theme="5" tint="-0.249977111117893"/>
      </bottom>
      <diagonal/>
    </border>
    <border>
      <left/>
      <right/>
      <top style="medium">
        <color theme="5" tint="-0.24994659260841701"/>
      </top>
      <bottom style="medium">
        <color theme="0"/>
      </bottom>
      <diagonal/>
    </border>
    <border>
      <left/>
      <right style="medium">
        <color theme="5" tint="-0.24994659260841701"/>
      </right>
      <top style="medium">
        <color theme="5" tint="-0.24994659260841701"/>
      </top>
      <bottom style="medium">
        <color theme="0"/>
      </bottom>
      <diagonal/>
    </border>
    <border>
      <left/>
      <right/>
      <top style="medium">
        <color theme="0"/>
      </top>
      <bottom style="medium">
        <color theme="5" tint="-0.24994659260841701"/>
      </bottom>
      <diagonal/>
    </border>
    <border>
      <left/>
      <right style="medium">
        <color theme="5" tint="-0.24994659260841701"/>
      </right>
      <top style="medium">
        <color theme="0"/>
      </top>
      <bottom style="medium">
        <color theme="5" tint="-0.24994659260841701"/>
      </bottom>
      <diagonal/>
    </border>
    <border>
      <left style="medium">
        <color theme="0"/>
      </left>
      <right style="medium">
        <color theme="0"/>
      </right>
      <top/>
      <bottom style="medium">
        <color theme="0" tint="-0.34998626667073579"/>
      </bottom>
      <diagonal/>
    </border>
    <border>
      <left style="mediumDashed">
        <color theme="0"/>
      </left>
      <right style="mediumDashed">
        <color theme="0"/>
      </right>
      <top style="mediumDashed">
        <color rgb="FF0070C0"/>
      </top>
      <bottom/>
      <diagonal/>
    </border>
    <border>
      <left style="mediumDashed">
        <color theme="0"/>
      </left>
      <right style="mediumDashed">
        <color theme="0"/>
      </right>
      <top style="thin">
        <color theme="0"/>
      </top>
      <bottom style="thin">
        <color theme="0"/>
      </bottom>
      <diagonal/>
    </border>
    <border>
      <left/>
      <right/>
      <top style="medium">
        <color theme="9"/>
      </top>
      <bottom style="medium">
        <color theme="0"/>
      </bottom>
      <diagonal/>
    </border>
    <border>
      <left/>
      <right style="medium">
        <color theme="9"/>
      </right>
      <top style="medium">
        <color theme="9"/>
      </top>
      <bottom style="medium">
        <color theme="0"/>
      </bottom>
      <diagonal/>
    </border>
    <border>
      <left/>
      <right/>
      <top style="medium">
        <color theme="0"/>
      </top>
      <bottom style="medium">
        <color theme="9"/>
      </bottom>
      <diagonal/>
    </border>
    <border>
      <left/>
      <right style="medium">
        <color theme="9"/>
      </right>
      <top style="medium">
        <color theme="0"/>
      </top>
      <bottom style="medium">
        <color theme="9"/>
      </bottom>
      <diagonal/>
    </border>
    <border>
      <left/>
      <right/>
      <top style="medium">
        <color rgb="FFEAAD00"/>
      </top>
      <bottom style="medium">
        <color theme="0"/>
      </bottom>
      <diagonal/>
    </border>
    <border>
      <left/>
      <right style="medium">
        <color rgb="FFEAAD00"/>
      </right>
      <top style="medium">
        <color rgb="FFEAAD00"/>
      </top>
      <bottom style="medium">
        <color theme="0"/>
      </bottom>
      <diagonal/>
    </border>
    <border>
      <left/>
      <right/>
      <top style="medium">
        <color theme="0"/>
      </top>
      <bottom style="medium">
        <color rgb="FFEAAD00"/>
      </bottom>
      <diagonal/>
    </border>
    <border>
      <left/>
      <right style="medium">
        <color rgb="FFEAAD00"/>
      </right>
      <top style="medium">
        <color theme="0"/>
      </top>
      <bottom style="medium">
        <color rgb="FFEAAD00"/>
      </bottom>
      <diagonal/>
    </border>
    <border>
      <left style="mediumDashed">
        <color theme="0" tint="-0.34998626667073579"/>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thin">
        <color theme="9"/>
      </top>
      <bottom/>
      <diagonal/>
    </border>
    <border>
      <left style="medium">
        <color theme="9"/>
      </left>
      <right/>
      <top style="thin">
        <color theme="9"/>
      </top>
      <bottom/>
      <diagonal/>
    </border>
    <border>
      <left style="medium">
        <color theme="9"/>
      </left>
      <right style="medium">
        <color theme="9"/>
      </right>
      <top style="thin">
        <color theme="9"/>
      </top>
      <bottom/>
      <diagonal/>
    </border>
    <border>
      <left style="thin">
        <color theme="0"/>
      </left>
      <right style="thin">
        <color theme="0"/>
      </right>
      <top style="medium">
        <color theme="5" tint="-0.24994659260841701"/>
      </top>
      <bottom style="medium">
        <color theme="5"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style="medium">
        <color theme="5" tint="-0.24994659260841701"/>
      </left>
      <right/>
      <top style="thin">
        <color theme="5" tint="-0.24994659260841701"/>
      </top>
      <bottom/>
      <diagonal/>
    </border>
    <border>
      <left style="medium">
        <color theme="5" tint="-0.24994659260841701"/>
      </left>
      <right style="medium">
        <color theme="5" tint="-0.24994659260841701"/>
      </right>
      <top style="medium">
        <color theme="5" tint="-0.249977111117893"/>
      </top>
      <bottom/>
      <diagonal/>
    </border>
    <border>
      <left style="medium">
        <color theme="5" tint="-0.24994659260841701"/>
      </left>
      <right style="medium">
        <color theme="5" tint="-0.24994659260841701"/>
      </right>
      <top/>
      <bottom style="medium">
        <color theme="5" tint="-0.24994659260841701"/>
      </bottom>
      <diagonal/>
    </border>
    <border>
      <left style="medium">
        <color theme="5" tint="-0.24994659260841701"/>
      </left>
      <right style="medium">
        <color theme="5" tint="-0.24994659260841701"/>
      </right>
      <top style="thin">
        <color theme="5" tint="-0.24994659260841701"/>
      </top>
      <bottom/>
      <diagonal/>
    </border>
    <border>
      <left style="medium">
        <color theme="5" tint="-0.24994659260841701"/>
      </left>
      <right style="medium">
        <color theme="5" tint="-0.24994659260841701"/>
      </right>
      <top style="medium">
        <color theme="5" tint="-0.24994659260841701"/>
      </top>
      <bottom/>
      <diagonal/>
    </border>
    <border>
      <left style="medium">
        <color theme="5" tint="-0.24994659260841701"/>
      </left>
      <right style="medium">
        <color theme="5" tint="-0.24994659260841701"/>
      </right>
      <top/>
      <bottom/>
      <diagonal/>
    </border>
    <border>
      <left style="medium">
        <color theme="5" tint="-0.24994659260841701"/>
      </left>
      <right style="medium">
        <color theme="5" tint="-0.24994659260841701"/>
      </right>
      <top/>
      <bottom style="medium">
        <color theme="5" tint="-0.249977111117893"/>
      </bottom>
      <diagonal/>
    </border>
    <border>
      <left style="thin">
        <color indexed="64"/>
      </left>
      <right style="medium">
        <color theme="5" tint="-0.249977111117893"/>
      </right>
      <top style="medium">
        <color theme="5" tint="-0.249977111117893"/>
      </top>
      <bottom style="thin">
        <color indexed="64"/>
      </bottom>
      <diagonal/>
    </border>
    <border>
      <left style="thin">
        <color indexed="64"/>
      </left>
      <right style="medium">
        <color theme="5" tint="-0.249977111117893"/>
      </right>
      <top style="thin">
        <color indexed="64"/>
      </top>
      <bottom style="medium">
        <color theme="5" tint="-0.249977111117893"/>
      </bottom>
      <diagonal/>
    </border>
    <border>
      <left style="thin">
        <color theme="0"/>
      </left>
      <right/>
      <top/>
      <bottom style="medium">
        <color rgb="FFC00000"/>
      </bottom>
      <diagonal/>
    </border>
    <border>
      <left/>
      <right style="thin">
        <color theme="0"/>
      </right>
      <top/>
      <bottom style="medium">
        <color rgb="FFC00000"/>
      </bottom>
      <diagonal/>
    </border>
    <border>
      <left style="thin">
        <color theme="7"/>
      </left>
      <right style="thin">
        <color theme="7"/>
      </right>
      <top style="thin">
        <color theme="7"/>
      </top>
      <bottom style="thin">
        <color theme="7"/>
      </bottom>
      <diagonal/>
    </border>
    <border>
      <left style="thin">
        <color theme="7"/>
      </left>
      <right style="thin">
        <color theme="7"/>
      </right>
      <top style="thin">
        <color theme="7"/>
      </top>
      <bottom/>
      <diagonal/>
    </border>
    <border>
      <left/>
      <right style="thin">
        <color theme="0" tint="-0.34998626667073579"/>
      </right>
      <top/>
      <bottom style="medium">
        <color theme="0" tint="-0.34998626667073579"/>
      </bottom>
      <diagonal/>
    </border>
    <border>
      <left style="medium">
        <color theme="0" tint="-0.34998626667073579"/>
      </left>
      <right/>
      <top style="thin">
        <color theme="0" tint="-0.34998626667073579"/>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style="thin">
        <color rgb="FFC65911"/>
      </left>
      <right style="thin">
        <color rgb="FFC65911"/>
      </right>
      <top style="thin">
        <color rgb="FFC65911"/>
      </top>
      <bottom style="thin">
        <color rgb="FFC65911"/>
      </bottom>
      <diagonal/>
    </border>
    <border>
      <left style="thin">
        <color theme="9"/>
      </left>
      <right style="thin">
        <color theme="9"/>
      </right>
      <top style="thin">
        <color theme="9"/>
      </top>
      <bottom style="thin">
        <color theme="9"/>
      </bottom>
      <diagonal/>
    </border>
    <border>
      <left/>
      <right style="thin">
        <color theme="0" tint="-0.34998626667073579"/>
      </right>
      <top style="medium">
        <color theme="0" tint="-0.34998626667073579"/>
      </top>
      <bottom/>
      <diagonal/>
    </border>
    <border>
      <left/>
      <right/>
      <top style="thin">
        <color theme="0"/>
      </top>
      <bottom style="medium">
        <color theme="5" tint="-0.249977111117893"/>
      </bottom>
      <diagonal/>
    </border>
    <border>
      <left/>
      <right style="thin">
        <color theme="0"/>
      </right>
      <top style="thin">
        <color theme="0"/>
      </top>
      <bottom style="medium">
        <color theme="5" tint="-0.249977111117893"/>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rgb="FFEAAD00"/>
      </top>
      <bottom/>
      <diagonal/>
    </border>
    <border>
      <left style="medium">
        <color rgb="FFEAAD00"/>
      </left>
      <right/>
      <top style="thin">
        <color rgb="FFEAAD00"/>
      </top>
      <bottom style="medium">
        <color rgb="FFEAAD00"/>
      </bottom>
      <diagonal/>
    </border>
    <border>
      <left/>
      <right style="medium">
        <color rgb="FFEAAD00"/>
      </right>
      <top style="thin">
        <color rgb="FFEAAD00"/>
      </top>
      <bottom/>
      <diagonal/>
    </border>
    <border>
      <left style="medium">
        <color rgb="FFCC0000"/>
      </left>
      <right/>
      <top style="medium">
        <color rgb="FFCC0000"/>
      </top>
      <bottom/>
      <diagonal/>
    </border>
    <border>
      <left/>
      <right/>
      <top style="medium">
        <color rgb="FFCC0000"/>
      </top>
      <bottom/>
      <diagonal/>
    </border>
    <border>
      <left/>
      <right style="medium">
        <color rgb="FFCC0000"/>
      </right>
      <top style="medium">
        <color rgb="FFCC0000"/>
      </top>
      <bottom/>
      <diagonal/>
    </border>
    <border>
      <left style="medium">
        <color rgb="FFCC0000"/>
      </left>
      <right/>
      <top/>
      <bottom/>
      <diagonal/>
    </border>
    <border>
      <left/>
      <right style="medium">
        <color rgb="FFCC0000"/>
      </right>
      <top/>
      <bottom/>
      <diagonal/>
    </border>
    <border>
      <left style="medium">
        <color rgb="FFCC0000"/>
      </left>
      <right/>
      <top/>
      <bottom style="medium">
        <color rgb="FFCC0000"/>
      </bottom>
      <diagonal/>
    </border>
    <border>
      <left/>
      <right/>
      <top/>
      <bottom style="medium">
        <color rgb="FFCC0000"/>
      </bottom>
      <diagonal/>
    </border>
    <border>
      <left/>
      <right style="medium">
        <color rgb="FFCC0000"/>
      </right>
      <top/>
      <bottom style="medium">
        <color rgb="FFCC0000"/>
      </bottom>
      <diagonal/>
    </border>
    <border>
      <left style="medium">
        <color theme="7" tint="-0.24994659260841701"/>
      </left>
      <right/>
      <top style="medium">
        <color theme="7" tint="-0.24994659260841701"/>
      </top>
      <bottom/>
      <diagonal/>
    </border>
    <border>
      <left/>
      <right/>
      <top style="medium">
        <color theme="7" tint="-0.24994659260841701"/>
      </top>
      <bottom/>
      <diagonal/>
    </border>
    <border>
      <left/>
      <right style="medium">
        <color theme="7" tint="-0.24994659260841701"/>
      </right>
      <top style="medium">
        <color theme="7" tint="-0.24994659260841701"/>
      </top>
      <bottom/>
      <diagonal/>
    </border>
    <border>
      <left style="medium">
        <color theme="7" tint="-0.24994659260841701"/>
      </left>
      <right/>
      <top/>
      <bottom/>
      <diagonal/>
    </border>
    <border>
      <left/>
      <right style="medium">
        <color theme="7" tint="-0.24994659260841701"/>
      </right>
      <top/>
      <bottom/>
      <diagonal/>
    </border>
    <border>
      <left style="medium">
        <color theme="7" tint="-0.24994659260841701"/>
      </left>
      <right/>
      <top/>
      <bottom style="medium">
        <color theme="7" tint="-0.24994659260841701"/>
      </bottom>
      <diagonal/>
    </border>
    <border>
      <left/>
      <right/>
      <top/>
      <bottom style="medium">
        <color theme="7" tint="-0.24994659260841701"/>
      </bottom>
      <diagonal/>
    </border>
    <border>
      <left/>
      <right style="medium">
        <color theme="7" tint="-0.24994659260841701"/>
      </right>
      <top/>
      <bottom style="medium">
        <color theme="7" tint="-0.24994659260841701"/>
      </bottom>
      <diagonal/>
    </border>
    <border>
      <left style="medium">
        <color rgb="FFEAAD00"/>
      </left>
      <right style="thin">
        <color rgb="FFEAAD00"/>
      </right>
      <top/>
      <bottom style="thin">
        <color rgb="FFEAAD00"/>
      </bottom>
      <diagonal/>
    </border>
    <border>
      <left style="thin">
        <color rgb="FFEAAD00"/>
      </left>
      <right style="thin">
        <color rgb="FFEAAD00"/>
      </right>
      <top/>
      <bottom style="thin">
        <color rgb="FFEAAD00"/>
      </bottom>
      <diagonal/>
    </border>
    <border>
      <left style="medium">
        <color rgb="FFEAAD00"/>
      </left>
      <right style="thin">
        <color rgb="FFEAAD00"/>
      </right>
      <top style="thin">
        <color rgb="FFEAAD00"/>
      </top>
      <bottom/>
      <diagonal/>
    </border>
    <border>
      <left style="thin">
        <color rgb="FFEAAD00"/>
      </left>
      <right style="thin">
        <color rgb="FFEAAD00"/>
      </right>
      <top style="thin">
        <color rgb="FFEAAD00"/>
      </top>
      <bottom/>
      <diagonal/>
    </border>
    <border>
      <left style="medium">
        <color rgb="FFEAAD00"/>
      </left>
      <right style="thin">
        <color rgb="FFEAAD00"/>
      </right>
      <top/>
      <bottom/>
      <diagonal/>
    </border>
    <border>
      <left style="thin">
        <color rgb="FFEAAD00"/>
      </left>
      <right style="thin">
        <color rgb="FFEAAD00"/>
      </right>
      <top/>
      <bottom/>
      <diagonal/>
    </border>
    <border>
      <left style="thin">
        <color rgb="FFEAAD00"/>
      </left>
      <right/>
      <top/>
      <bottom/>
      <diagonal/>
    </border>
    <border>
      <left style="thin">
        <color rgb="FFEAAD00"/>
      </left>
      <right/>
      <top style="thin">
        <color rgb="FFEAAD00"/>
      </top>
      <bottom/>
      <diagonal/>
    </border>
    <border>
      <left style="thin">
        <color rgb="FFEAAD00"/>
      </left>
      <right/>
      <top/>
      <bottom style="thin">
        <color rgb="FFEAAD00"/>
      </bottom>
      <diagonal/>
    </border>
    <border>
      <left/>
      <right/>
      <top/>
      <bottom style="thin">
        <color rgb="FFEAAD00"/>
      </bottom>
      <diagonal/>
    </border>
    <border>
      <left/>
      <right style="thin">
        <color rgb="FFEAAD00"/>
      </right>
      <top/>
      <bottom style="thin">
        <color rgb="FFEAAD00"/>
      </bottom>
      <diagonal/>
    </border>
    <border>
      <left/>
      <right style="medium">
        <color rgb="FFEAAD00"/>
      </right>
      <top/>
      <bottom style="thin">
        <color rgb="FFEAAD00"/>
      </bottom>
      <diagonal/>
    </border>
    <border>
      <left/>
      <right style="thin">
        <color rgb="FFEAAD00"/>
      </right>
      <top style="thin">
        <color rgb="FFEAAD00"/>
      </top>
      <bottom style="thin">
        <color rgb="FFEAAD00"/>
      </bottom>
      <diagonal/>
    </border>
    <border>
      <left/>
      <right/>
      <top style="thin">
        <color rgb="FFEAAD00"/>
      </top>
      <bottom style="thin">
        <color rgb="FFEAAD00"/>
      </bottom>
      <diagonal/>
    </border>
    <border>
      <left style="medium">
        <color rgb="FFEAAD00"/>
      </left>
      <right/>
      <top style="thin">
        <color rgb="FFEAAD00"/>
      </top>
      <bottom style="thin">
        <color rgb="FFEAAD00"/>
      </bottom>
      <diagonal/>
    </border>
    <border>
      <left style="medium">
        <color rgb="FFEAAD00"/>
      </left>
      <right/>
      <top/>
      <bottom style="thin">
        <color rgb="FFEAAD00"/>
      </bottom>
      <diagonal/>
    </border>
    <border>
      <left style="medium">
        <color theme="5" tint="-0.249977111117893"/>
      </left>
      <right style="medium">
        <color theme="5" tint="-0.249977111117893"/>
      </right>
      <top style="medium">
        <color theme="5" tint="-0.249977111117893"/>
      </top>
      <bottom/>
      <diagonal/>
    </border>
    <border>
      <left style="medium">
        <color theme="5" tint="-0.249977111117893"/>
      </left>
      <right style="medium">
        <color theme="5" tint="-0.249977111117893"/>
      </right>
      <top/>
      <bottom style="medium">
        <color theme="5" tint="-0.249977111117893"/>
      </bottom>
      <diagonal/>
    </border>
    <border>
      <left style="medium">
        <color theme="5" tint="-0.24994659260841701"/>
      </left>
      <right style="medium">
        <color theme="5" tint="-0.249977111117893"/>
      </right>
      <top/>
      <bottom style="medium">
        <color theme="5" tint="-0.249977111117893"/>
      </bottom>
      <diagonal/>
    </border>
    <border>
      <left style="medium">
        <color rgb="FFEAAD00"/>
      </left>
      <right style="medium">
        <color rgb="FFEAAD00"/>
      </right>
      <top style="medium">
        <color rgb="FFEAAD00"/>
      </top>
      <bottom/>
      <diagonal/>
    </border>
    <border>
      <left style="medium">
        <color rgb="FFEAAD00"/>
      </left>
      <right style="medium">
        <color rgb="FFEAAD00"/>
      </right>
      <top/>
      <bottom style="medium">
        <color rgb="FFE6AF00"/>
      </bottom>
      <diagonal/>
    </border>
    <border>
      <left style="medium">
        <color theme="0" tint="-0.34998626667073579"/>
      </left>
      <right/>
      <top/>
      <bottom style="thin">
        <color indexed="64"/>
      </bottom>
      <diagonal/>
    </border>
    <border>
      <left style="thin">
        <color theme="0" tint="-0.34998626667073579"/>
      </left>
      <right style="medium">
        <color theme="0" tint="-0.34998626667073579"/>
      </right>
      <top/>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medium">
        <color theme="2" tint="-0.499984740745262"/>
      </right>
      <top style="medium">
        <color theme="0" tint="-0.34998626667073579"/>
      </top>
      <bottom/>
      <diagonal/>
    </border>
    <border>
      <left style="medium">
        <color theme="2" tint="-0.499984740745262"/>
      </left>
      <right style="thin">
        <color theme="0"/>
      </right>
      <top style="thin">
        <color theme="0"/>
      </top>
      <bottom style="thin">
        <color theme="0"/>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right/>
      <top/>
      <bottom style="medium">
        <color theme="2" tint="-0.249977111117893"/>
      </bottom>
      <diagonal/>
    </border>
    <border>
      <left style="medium">
        <color theme="0" tint="-0.34998626667073579"/>
      </left>
      <right/>
      <top/>
      <bottom style="medium">
        <color theme="2" tint="-0.249977111117893"/>
      </bottom>
      <diagonal/>
    </border>
    <border>
      <left style="thin">
        <color theme="0" tint="-0.34998626667073579"/>
      </left>
      <right style="thin">
        <color theme="0" tint="-0.34998626667073579"/>
      </right>
      <top style="thin">
        <color theme="0" tint="-0.34998626667073579"/>
      </top>
      <bottom style="medium">
        <color theme="2" tint="-0.249977111117893"/>
      </bottom>
      <diagonal/>
    </border>
    <border>
      <left style="thin">
        <color theme="0" tint="-0.34998626667073579"/>
      </left>
      <right style="thin">
        <color theme="0" tint="-0.34998626667073579"/>
      </right>
      <top/>
      <bottom style="thin">
        <color theme="0" tint="-0.34998626667073579"/>
      </bottom>
      <diagonal/>
    </border>
    <border>
      <left style="medium">
        <color theme="0" tint="-0.34998626667073579"/>
      </left>
      <right style="thin">
        <color theme="0" tint="-0.34998626667073579"/>
      </right>
      <top/>
      <bottom style="thin">
        <color theme="0" tint="-0.34998626667073579"/>
      </bottom>
      <diagonal/>
    </border>
    <border>
      <left style="thin">
        <color theme="0" tint="-0.34998626667073579"/>
      </left>
      <right style="medium">
        <color theme="0" tint="-0.34998626667073579"/>
      </right>
      <top/>
      <bottom style="medium">
        <color theme="2" tint="-0.249977111117893"/>
      </bottom>
      <diagonal/>
    </border>
    <border>
      <left/>
      <right/>
      <top style="medium">
        <color theme="2" tint="-0.249977111117893"/>
      </top>
      <bottom/>
      <diagonal/>
    </border>
    <border>
      <left/>
      <right style="medium">
        <color theme="0" tint="-0.34998626667073579"/>
      </right>
      <top/>
      <bottom style="medium">
        <color theme="2" tint="-0.249977111117893"/>
      </bottom>
      <diagonal/>
    </border>
    <border>
      <left style="medium">
        <color theme="9"/>
      </left>
      <right/>
      <top style="medium">
        <color theme="5" tint="-0.249977111117893"/>
      </top>
      <bottom style="medium">
        <color theme="5" tint="-0.249977111117893"/>
      </bottom>
      <diagonal/>
    </border>
    <border>
      <left/>
      <right style="medium">
        <color theme="9"/>
      </right>
      <top style="medium">
        <color theme="5" tint="-0.249977111117893"/>
      </top>
      <bottom style="medium">
        <color theme="5" tint="-0.249977111117893"/>
      </bottom>
      <diagonal/>
    </border>
    <border>
      <left style="medium">
        <color theme="5" tint="-0.24994659260841701"/>
      </left>
      <right/>
      <top style="medium">
        <color theme="5" tint="-0.249977111117893"/>
      </top>
      <bottom style="medium">
        <color theme="5" tint="-0.249977111117893"/>
      </bottom>
      <diagonal/>
    </border>
    <border>
      <left style="medium">
        <color theme="5" tint="-0.249977111117893"/>
      </left>
      <right/>
      <top style="medium">
        <color theme="5" tint="-0.24994659260841701"/>
      </top>
      <bottom style="thin">
        <color theme="5" tint="-0.24994659260841701"/>
      </bottom>
      <diagonal/>
    </border>
    <border>
      <left/>
      <right/>
      <top style="medium">
        <color theme="5" tint="-0.24994659260841701"/>
      </top>
      <bottom style="thin">
        <color theme="5" tint="-0.24994659260841701"/>
      </bottom>
      <diagonal/>
    </border>
    <border>
      <left/>
      <right style="medium">
        <color theme="5" tint="-0.24994659260841701"/>
      </right>
      <top style="medium">
        <color theme="5" tint="-0.24994659260841701"/>
      </top>
      <bottom style="thin">
        <color theme="5" tint="-0.24994659260841701"/>
      </bottom>
      <diagonal/>
    </border>
    <border>
      <left/>
      <right style="medium">
        <color theme="5" tint="-0.249977111117893"/>
      </right>
      <top/>
      <bottom style="medium">
        <color theme="5" tint="-0.24994659260841701"/>
      </bottom>
      <diagonal/>
    </border>
    <border>
      <left style="medium">
        <color theme="0"/>
      </left>
      <right/>
      <top style="medium">
        <color rgb="FFEAAD00"/>
      </top>
      <bottom/>
      <diagonal/>
    </border>
    <border>
      <left/>
      <right style="thin">
        <color theme="0"/>
      </right>
      <top style="medium">
        <color rgb="FFEAAD00"/>
      </top>
      <bottom/>
      <diagonal/>
    </border>
    <border>
      <left style="medium">
        <color theme="0"/>
      </left>
      <right/>
      <top style="medium">
        <color theme="0" tint="-0.34998626667073579"/>
      </top>
      <bottom style="thin">
        <color theme="0"/>
      </bottom>
      <diagonal/>
    </border>
    <border>
      <left/>
      <right/>
      <top style="medium">
        <color theme="0" tint="-0.34998626667073579"/>
      </top>
      <bottom style="thin">
        <color theme="0"/>
      </bottom>
      <diagonal/>
    </border>
    <border>
      <left/>
      <right style="medium">
        <color theme="0"/>
      </right>
      <top style="medium">
        <color theme="0" tint="-0.34998626667073579"/>
      </top>
      <bottom style="thin">
        <color theme="0"/>
      </bottom>
      <diagonal/>
    </border>
    <border>
      <left style="thin">
        <color rgb="FFEAAD00"/>
      </left>
      <right/>
      <top/>
      <bottom style="double">
        <color theme="5" tint="-0.249977111117893"/>
      </bottom>
      <diagonal/>
    </border>
    <border>
      <left/>
      <right/>
      <top/>
      <bottom style="double">
        <color theme="5" tint="-0.249977111117893"/>
      </bottom>
      <diagonal/>
    </border>
    <border>
      <left/>
      <right style="medium">
        <color rgb="FFEAAD00"/>
      </right>
      <top/>
      <bottom style="double">
        <color theme="5" tint="-0.249977111117893"/>
      </bottom>
      <diagonal/>
    </border>
    <border>
      <left/>
      <right style="thin">
        <color rgb="FFEAAD00"/>
      </right>
      <top/>
      <bottom style="double">
        <color theme="5" tint="-0.249977111117893"/>
      </bottom>
      <diagonal/>
    </border>
    <border>
      <left style="thin">
        <color rgb="FFEAAD00"/>
      </left>
      <right style="thin">
        <color rgb="FFEAAD00"/>
      </right>
      <top/>
      <bottom style="double">
        <color theme="5" tint="-0.249977111117893"/>
      </bottom>
      <diagonal/>
    </border>
    <border>
      <left style="thin">
        <color rgb="FFEAAD00"/>
      </left>
      <right style="thin">
        <color rgb="FFEAAD00"/>
      </right>
      <top style="double">
        <color theme="5" tint="-0.249977111117893"/>
      </top>
      <bottom/>
      <diagonal/>
    </border>
    <border>
      <left/>
      <right style="double">
        <color theme="9" tint="-0.249977111117893"/>
      </right>
      <top style="medium">
        <color theme="9"/>
      </top>
      <bottom style="medium">
        <color theme="9"/>
      </bottom>
      <diagonal/>
    </border>
    <border>
      <left/>
      <right style="double">
        <color theme="9" tint="-0.249977111117893"/>
      </right>
      <top/>
      <bottom/>
      <diagonal/>
    </border>
    <border>
      <left/>
      <right style="double">
        <color theme="9" tint="-0.249977111117893"/>
      </right>
      <top/>
      <bottom style="medium">
        <color theme="9"/>
      </bottom>
      <diagonal/>
    </border>
    <border>
      <left/>
      <right style="medium">
        <color indexed="64"/>
      </right>
      <top/>
      <bottom/>
      <diagonal/>
    </border>
    <border>
      <left/>
      <right style="medium">
        <color theme="9" tint="-0.249977111117893"/>
      </right>
      <top/>
      <bottom style="medium">
        <color theme="9" tint="-0.249977111117893"/>
      </bottom>
      <diagonal/>
    </border>
    <border>
      <left/>
      <right/>
      <top/>
      <bottom style="medium">
        <color indexed="64"/>
      </bottom>
      <diagonal/>
    </border>
    <border>
      <left/>
      <right style="medium">
        <color theme="9" tint="-0.249977111117893"/>
      </right>
      <top style="medium">
        <color theme="9" tint="-0.249977111117893"/>
      </top>
      <bottom/>
      <diagonal/>
    </border>
    <border>
      <left style="medium">
        <color theme="9"/>
      </left>
      <right/>
      <top/>
      <bottom style="medium">
        <color theme="9" tint="-0.249977111117893"/>
      </bottom>
      <diagonal/>
    </border>
    <border>
      <left/>
      <right style="medium">
        <color theme="9"/>
      </right>
      <top/>
      <bottom style="medium">
        <color theme="9" tint="-0.249977111117893"/>
      </bottom>
      <diagonal/>
    </border>
    <border>
      <left style="medium">
        <color theme="9"/>
      </left>
      <right/>
      <top/>
      <bottom style="medium">
        <color rgb="FF339933"/>
      </bottom>
      <diagonal/>
    </border>
    <border>
      <left style="medium">
        <color theme="9"/>
      </left>
      <right style="thin">
        <color theme="0"/>
      </right>
      <top/>
      <bottom style="thin">
        <color theme="0"/>
      </bottom>
      <diagonal/>
    </border>
    <border>
      <left style="medium">
        <color theme="9"/>
      </left>
      <right style="thin">
        <color theme="0"/>
      </right>
      <top style="thin">
        <color theme="0"/>
      </top>
      <bottom/>
      <diagonal/>
    </border>
    <border>
      <left style="medium">
        <color theme="9"/>
      </left>
      <right/>
      <top style="medium">
        <color rgb="FF339933"/>
      </top>
      <bottom/>
      <diagonal/>
    </border>
    <border>
      <left/>
      <right style="medium">
        <color theme="9"/>
      </right>
      <top style="medium">
        <color rgb="FF339933"/>
      </top>
      <bottom/>
      <diagonal/>
    </border>
    <border>
      <left style="thin">
        <color theme="0" tint="-0.34998626667073579"/>
      </left>
      <right style="medium">
        <color theme="0" tint="-0.34998626667073579"/>
      </right>
      <top/>
      <bottom style="medium">
        <color theme="0" tint="-0.34998626667073579"/>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rgb="FF7030A0"/>
      </bottom>
      <diagonal/>
    </border>
    <border>
      <left/>
      <right style="thin">
        <color rgb="FF7030A0"/>
      </right>
      <top style="medium">
        <color indexed="64"/>
      </top>
      <bottom style="thin">
        <color rgb="FF7030A0"/>
      </bottom>
      <diagonal/>
    </border>
    <border>
      <left/>
      <right/>
      <top style="medium">
        <color indexed="64"/>
      </top>
      <bottom style="thin">
        <color rgb="FF7030A0"/>
      </bottom>
      <diagonal/>
    </border>
    <border>
      <left/>
      <right style="medium">
        <color rgb="FFFFCE33"/>
      </right>
      <top/>
      <bottom/>
      <diagonal/>
    </border>
    <border>
      <left/>
      <right style="medium">
        <color rgb="FFFFCE33"/>
      </right>
      <top style="medium">
        <color theme="7" tint="-0.24994659260841701"/>
      </top>
      <bottom/>
      <diagonal/>
    </border>
    <border>
      <left/>
      <right style="medium">
        <color rgb="FFFFCE33"/>
      </right>
      <top/>
      <bottom style="medium">
        <color theme="7" tint="-0.24994659260841701"/>
      </bottom>
      <diagonal/>
    </border>
    <border>
      <left/>
      <right style="medium">
        <color rgb="FFFFCE33"/>
      </right>
      <top style="medium">
        <color rgb="FFEAAD00"/>
      </top>
      <bottom/>
      <diagonal/>
    </border>
    <border>
      <left/>
      <right/>
      <top style="medium">
        <color rgb="FFFFCE33"/>
      </top>
      <bottom/>
      <diagonal/>
    </border>
    <border>
      <left/>
      <right style="medium">
        <color rgb="FFFFCE33"/>
      </right>
      <top style="medium">
        <color rgb="FFFFCE33"/>
      </top>
      <bottom/>
      <diagonal/>
    </border>
    <border>
      <left/>
      <right/>
      <top style="thin">
        <color rgb="FFEAAD00"/>
      </top>
      <bottom style="medium">
        <color rgb="FFEAAD00"/>
      </bottom>
      <diagonal/>
    </border>
    <border>
      <left/>
      <right/>
      <top style="medium">
        <color rgb="FFEAAD00"/>
      </top>
      <bottom style="thin">
        <color rgb="FFEAAD00"/>
      </bottom>
      <diagonal/>
    </border>
    <border>
      <left/>
      <right style="medium">
        <color rgb="FFEAAD00"/>
      </right>
      <top style="medium">
        <color rgb="FFEAAD00"/>
      </top>
      <bottom style="thin">
        <color rgb="FFEAAD00"/>
      </bottom>
      <diagonal/>
    </border>
    <border>
      <left/>
      <right/>
      <top style="thin">
        <color indexed="64"/>
      </top>
      <bottom style="thin">
        <color theme="5" tint="0.39997558519241921"/>
      </bottom>
      <diagonal/>
    </border>
    <border>
      <left style="thin">
        <color theme="5" tint="-0.249977111117893"/>
      </left>
      <right style="thin">
        <color theme="5" tint="-0.249977111117893"/>
      </right>
      <top/>
      <bottom style="thin">
        <color theme="5" tint="-0.249977111117893"/>
      </bottom>
      <diagonal/>
    </border>
    <border>
      <left style="thin">
        <color theme="5" tint="0.39997558519241921"/>
      </left>
      <right style="thin">
        <color theme="5" tint="0.39997558519241921"/>
      </right>
      <top style="thin">
        <color theme="5" tint="0.39997558519241921"/>
      </top>
      <bottom style="thin">
        <color theme="5" tint="0.3999755851924192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rgb="FFFF0000"/>
      </right>
      <top style="medium">
        <color indexed="64"/>
      </top>
      <bottom style="medium">
        <color indexed="64"/>
      </bottom>
      <diagonal/>
    </border>
    <border>
      <left style="medium">
        <color rgb="FFFF0000"/>
      </left>
      <right style="medium">
        <color indexed="64"/>
      </right>
      <top style="medium">
        <color indexed="64"/>
      </top>
      <bottom style="medium">
        <color indexed="64"/>
      </bottom>
      <diagonal/>
    </border>
    <border>
      <left style="mediumDashed">
        <color theme="0"/>
      </left>
      <right style="thin">
        <color theme="0"/>
      </right>
      <top/>
      <bottom style="thin">
        <color theme="0"/>
      </bottom>
      <diagonal/>
    </border>
    <border>
      <left/>
      <right style="mediumDashed">
        <color theme="9"/>
      </right>
      <top/>
      <bottom/>
      <diagonal/>
    </border>
    <border>
      <left/>
      <right style="mediumDashed">
        <color theme="5" tint="-0.24994659260841701"/>
      </right>
      <top/>
      <bottom/>
      <diagonal/>
    </border>
    <border>
      <left/>
      <right style="mediumDashed">
        <color theme="0"/>
      </right>
      <top/>
      <bottom style="thin">
        <color theme="0"/>
      </bottom>
      <diagonal/>
    </border>
    <border>
      <left style="mediumDashed">
        <color theme="0"/>
      </left>
      <right/>
      <top style="mediumDashed">
        <color theme="0"/>
      </top>
      <bottom/>
      <diagonal/>
    </border>
    <border>
      <left/>
      <right/>
      <top style="mediumDashed">
        <color rgb="FFEAAD00"/>
      </top>
      <bottom/>
      <diagonal/>
    </border>
    <border>
      <left/>
      <right style="mediumDashed">
        <color rgb="FFEAAD00"/>
      </right>
      <top/>
      <bottom/>
      <diagonal/>
    </border>
    <border>
      <left style="medium">
        <color rgb="FFEAAD00"/>
      </left>
      <right/>
      <top style="medium">
        <color theme="0"/>
      </top>
      <bottom style="medium">
        <color theme="0"/>
      </bottom>
      <diagonal/>
    </border>
    <border>
      <left style="medium">
        <color rgb="FFEAAD00"/>
      </left>
      <right/>
      <top style="thin">
        <color theme="0"/>
      </top>
      <bottom style="thin">
        <color theme="0"/>
      </bottom>
      <diagonal/>
    </border>
    <border>
      <left/>
      <right style="thin">
        <color theme="0"/>
      </right>
      <top style="medium">
        <color theme="0"/>
      </top>
      <bottom style="medium">
        <color theme="0"/>
      </bottom>
      <diagonal/>
    </border>
    <border>
      <left/>
      <right/>
      <top style="mediumDashed">
        <color theme="0" tint="-0.34998626667073579"/>
      </top>
      <bottom/>
      <diagonal/>
    </border>
    <border>
      <left style="medium">
        <color theme="0" tint="-0.34998626667073579"/>
      </left>
      <right/>
      <top style="medium">
        <color theme="0"/>
      </top>
      <bottom style="medium">
        <color theme="0"/>
      </bottom>
      <diagonal/>
    </border>
    <border>
      <left/>
      <right/>
      <top style="thin">
        <color indexed="64"/>
      </top>
      <bottom style="thin">
        <color indexed="64"/>
      </bottom>
      <diagonal/>
    </border>
    <border>
      <left/>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theme="6" tint="0.39997558519241921"/>
      </right>
      <top style="medium">
        <color theme="0" tint="-0.34998626667073579"/>
      </top>
      <bottom/>
      <diagonal/>
    </border>
    <border>
      <left/>
      <right style="medium">
        <color theme="6" tint="0.39997558519241921"/>
      </right>
      <top style="thin">
        <color theme="6"/>
      </top>
      <bottom/>
      <diagonal/>
    </border>
    <border>
      <left/>
      <right style="medium">
        <color theme="6" tint="0.39997558519241921"/>
      </right>
      <top/>
      <bottom/>
      <diagonal/>
    </border>
    <border>
      <left/>
      <right style="medium">
        <color theme="6" tint="0.39997558519241921"/>
      </right>
      <top/>
      <bottom style="medium">
        <color theme="6" tint="0.39997558519241921"/>
      </bottom>
      <diagonal/>
    </border>
    <border>
      <left/>
      <right style="medium">
        <color theme="6" tint="0.39997558519241921"/>
      </right>
      <top style="medium">
        <color theme="6" tint="0.39997558519241921"/>
      </top>
      <bottom style="thin">
        <color theme="0" tint="-0.34998626667073579"/>
      </bottom>
      <diagonal/>
    </border>
    <border>
      <left/>
      <right style="medium">
        <color theme="6" tint="0.39997558519241921"/>
      </right>
      <top style="thin">
        <color theme="0" tint="-0.34998626667073579"/>
      </top>
      <bottom/>
      <diagonal/>
    </border>
    <border>
      <left style="medium">
        <color theme="6" tint="0.39997558519241921"/>
      </left>
      <right style="medium">
        <color theme="6" tint="0.39997558519241921"/>
      </right>
      <top/>
      <bottom/>
      <diagonal/>
    </border>
    <border>
      <left style="medium">
        <color theme="6" tint="0.39997558519241921"/>
      </left>
      <right style="medium">
        <color theme="6" tint="0.39997558519241921"/>
      </right>
      <top/>
      <bottom style="medium">
        <color theme="6" tint="0.39997558519241921"/>
      </bottom>
      <diagonal/>
    </border>
    <border>
      <left/>
      <right style="medium">
        <color theme="6" tint="0.39997558519241921"/>
      </right>
      <top/>
      <bottom style="thin">
        <color theme="6"/>
      </bottom>
      <diagonal/>
    </border>
    <border>
      <left style="medium">
        <color theme="0" tint="-0.34998626667073579"/>
      </left>
      <right style="medium">
        <color theme="6"/>
      </right>
      <top/>
      <bottom/>
      <diagonal/>
    </border>
    <border>
      <left style="medium">
        <color theme="0" tint="-0.34998626667073579"/>
      </left>
      <right style="medium">
        <color theme="6"/>
      </right>
      <top style="medium">
        <color theme="0" tint="-0.34998626667073579"/>
      </top>
      <bottom style="medium">
        <color theme="0" tint="-0.34998626667073579"/>
      </bottom>
      <diagonal/>
    </border>
    <border>
      <left style="medium">
        <color theme="0" tint="-0.34998626667073579"/>
      </left>
      <right style="medium">
        <color theme="6"/>
      </right>
      <top style="medium">
        <color theme="0" tint="-0.34998626667073579"/>
      </top>
      <bottom/>
      <diagonal/>
    </border>
    <border>
      <left style="medium">
        <color theme="0" tint="-0.34998626667073579"/>
      </left>
      <right style="medium">
        <color theme="6"/>
      </right>
      <top/>
      <bottom style="medium">
        <color theme="0" tint="-0.34998626667073579"/>
      </bottom>
      <diagonal/>
    </border>
    <border>
      <left style="medium">
        <color theme="6"/>
      </left>
      <right style="medium">
        <color theme="6"/>
      </right>
      <top style="medium">
        <color theme="6"/>
      </top>
      <bottom style="medium">
        <color theme="6"/>
      </bottom>
      <diagonal/>
    </border>
    <border>
      <left/>
      <right style="medium">
        <color theme="6" tint="0.39997558519241921"/>
      </right>
      <top style="medium">
        <color theme="6" tint="0.39997558519241921"/>
      </top>
      <bottom/>
      <diagonal/>
    </border>
    <border>
      <left style="medium">
        <color theme="6"/>
      </left>
      <right style="medium">
        <color theme="6"/>
      </right>
      <top style="medium">
        <color theme="6"/>
      </top>
      <bottom/>
      <diagonal/>
    </border>
    <border>
      <left style="medium">
        <color theme="6"/>
      </left>
      <right style="medium">
        <color theme="6"/>
      </right>
      <top/>
      <bottom style="medium">
        <color theme="6"/>
      </bottom>
      <diagonal/>
    </border>
    <border>
      <left style="medium">
        <color theme="6"/>
      </left>
      <right style="medium">
        <color theme="0" tint="-0.34998626667073579"/>
      </right>
      <top/>
      <bottom style="medium">
        <color theme="0" tint="-0.34998626667073579"/>
      </bottom>
      <diagonal/>
    </border>
    <border>
      <left style="medium">
        <color theme="6"/>
      </left>
      <right style="medium">
        <color theme="6"/>
      </right>
      <top/>
      <bottom style="medium">
        <color theme="6" tint="0.39997558519241921"/>
      </bottom>
      <diagonal/>
    </border>
    <border>
      <left style="medium">
        <color theme="6"/>
      </left>
      <right style="medium">
        <color theme="6"/>
      </right>
      <top/>
      <bottom/>
      <diagonal/>
    </border>
    <border>
      <left style="medium">
        <color theme="6"/>
      </left>
      <right/>
      <top style="medium">
        <color theme="0" tint="-0.34998626667073579"/>
      </top>
      <bottom/>
      <diagonal/>
    </border>
    <border>
      <left style="medium">
        <color theme="6"/>
      </left>
      <right/>
      <top/>
      <bottom/>
      <diagonal/>
    </border>
    <border>
      <left style="medium">
        <color theme="6"/>
      </left>
      <right/>
      <top style="medium">
        <color theme="6"/>
      </top>
      <bottom style="medium">
        <color theme="6"/>
      </bottom>
      <diagonal/>
    </border>
    <border>
      <left/>
      <right/>
      <top style="medium">
        <color theme="6"/>
      </top>
      <bottom/>
      <diagonal/>
    </border>
    <border>
      <left/>
      <right style="medium">
        <color theme="6"/>
      </right>
      <top style="medium">
        <color theme="6"/>
      </top>
      <bottom style="thin">
        <color theme="0"/>
      </bottom>
      <diagonal/>
    </border>
    <border>
      <left/>
      <right style="medium">
        <color theme="6"/>
      </right>
      <top style="thin">
        <color theme="0"/>
      </top>
      <bottom style="thin">
        <color theme="0"/>
      </bottom>
      <diagonal/>
    </border>
    <border>
      <left style="medium">
        <color theme="6"/>
      </left>
      <right style="medium">
        <color theme="0" tint="-0.34998626667073579"/>
      </right>
      <top/>
      <bottom/>
      <diagonal/>
    </border>
    <border>
      <left style="thin">
        <color indexed="64"/>
      </left>
      <right style="medium">
        <color theme="6"/>
      </right>
      <top style="thin">
        <color theme="0"/>
      </top>
      <bottom style="thin">
        <color theme="0"/>
      </bottom>
      <diagonal/>
    </border>
    <border>
      <left style="medium">
        <color theme="6"/>
      </left>
      <right style="medium">
        <color theme="0" tint="-0.34998626667073579"/>
      </right>
      <top/>
      <bottom style="medium">
        <color theme="6"/>
      </bottom>
      <diagonal/>
    </border>
    <border>
      <left/>
      <right/>
      <top/>
      <bottom style="medium">
        <color theme="6"/>
      </bottom>
      <diagonal/>
    </border>
    <border>
      <left/>
      <right style="medium">
        <color theme="6"/>
      </right>
      <top style="thin">
        <color theme="0"/>
      </top>
      <bottom style="medium">
        <color theme="6"/>
      </bottom>
      <diagonal/>
    </border>
    <border>
      <left style="medium">
        <color theme="6"/>
      </left>
      <right/>
      <top/>
      <bottom style="medium">
        <color theme="0" tint="-0.34998626667073579"/>
      </bottom>
      <diagonal/>
    </border>
    <border>
      <left style="medium">
        <color theme="0" tint="-0.34998626667073579"/>
      </left>
      <right/>
      <top style="medium">
        <color theme="0" tint="-0.34998626667073579"/>
      </top>
      <bottom style="medium">
        <color theme="6"/>
      </bottom>
      <diagonal/>
    </border>
    <border>
      <left/>
      <right style="medium">
        <color theme="6"/>
      </right>
      <top style="medium">
        <color theme="6"/>
      </top>
      <bottom style="medium">
        <color theme="6"/>
      </bottom>
      <diagonal/>
    </border>
    <border>
      <left style="medium">
        <color theme="0" tint="-0.34998626667073579"/>
      </left>
      <right style="medium">
        <color theme="6"/>
      </right>
      <top style="medium">
        <color theme="0" tint="-0.34998626667073579"/>
      </top>
      <bottom style="medium">
        <color theme="6"/>
      </bottom>
      <diagonal/>
    </border>
    <border>
      <left style="medium">
        <color theme="0" tint="-0.34998626667073579"/>
      </left>
      <right style="medium">
        <color theme="6"/>
      </right>
      <top style="medium">
        <color theme="6"/>
      </top>
      <bottom style="medium">
        <color theme="0" tint="-0.34998626667073579"/>
      </bottom>
      <diagonal/>
    </border>
    <border>
      <left/>
      <right style="medium">
        <color theme="6"/>
      </right>
      <top style="medium">
        <color theme="0" tint="-0.34998626667073579"/>
      </top>
      <bottom/>
      <diagonal/>
    </border>
    <border>
      <left/>
      <right style="medium">
        <color theme="6"/>
      </right>
      <top/>
      <bottom style="medium">
        <color theme="0" tint="-0.34998626667073579"/>
      </bottom>
      <diagonal/>
    </border>
    <border>
      <left/>
      <right style="medium">
        <color theme="6"/>
      </right>
      <top style="medium">
        <color theme="0" tint="-0.34998626667073579"/>
      </top>
      <bottom style="medium">
        <color theme="0" tint="-0.34998626667073579"/>
      </bottom>
      <diagonal/>
    </border>
    <border>
      <left style="medium">
        <color theme="6"/>
      </left>
      <right/>
      <top/>
      <bottom style="thin">
        <color indexed="64"/>
      </bottom>
      <diagonal/>
    </border>
    <border>
      <left style="medium">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medium">
        <color theme="0" tint="-0.34998626667073579"/>
      </bottom>
      <diagonal/>
    </border>
    <border>
      <left style="medium">
        <color theme="0" tint="-0.249977111117893"/>
      </left>
      <right style="medium">
        <color theme="0" tint="-0.249977111117893"/>
      </right>
      <top style="medium">
        <color theme="0" tint="-0.249977111117893"/>
      </top>
      <bottom style="thin">
        <color theme="0" tint="-0.34998626667073579"/>
      </bottom>
      <diagonal/>
    </border>
    <border>
      <left style="medium">
        <color theme="0" tint="-0.249977111117893"/>
      </left>
      <right style="medium">
        <color theme="0" tint="-0.249977111117893"/>
      </right>
      <top style="thin">
        <color theme="0" tint="-0.34998626667073579"/>
      </top>
      <bottom style="medium">
        <color theme="0" tint="-0.249977111117893"/>
      </bottom>
      <diagonal/>
    </border>
    <border>
      <left style="medium">
        <color theme="0" tint="-0.249977111117893"/>
      </left>
      <right style="thin">
        <color theme="0" tint="-0.34998626667073579"/>
      </right>
      <top style="medium">
        <color theme="0" tint="-0.249977111117893"/>
      </top>
      <bottom style="thin">
        <color theme="0" tint="-0.34998626667073579"/>
      </bottom>
      <diagonal/>
    </border>
    <border>
      <left style="thin">
        <color theme="0" tint="-0.34998626667073579"/>
      </left>
      <right style="medium">
        <color theme="0" tint="-0.249977111117893"/>
      </right>
      <top style="medium">
        <color theme="0" tint="-0.249977111117893"/>
      </top>
      <bottom style="thin">
        <color theme="0" tint="-0.34998626667073579"/>
      </bottom>
      <diagonal/>
    </border>
    <border>
      <left style="medium">
        <color theme="0" tint="-0.249977111117893"/>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249977111117893"/>
      </right>
      <top style="thin">
        <color theme="0" tint="-0.34998626667073579"/>
      </top>
      <bottom style="thin">
        <color theme="0" tint="-0.34998626667073579"/>
      </bottom>
      <diagonal/>
    </border>
    <border>
      <left style="medium">
        <color theme="0" tint="-0.249977111117893"/>
      </left>
      <right style="thin">
        <color theme="0" tint="-0.34998626667073579"/>
      </right>
      <top style="thin">
        <color theme="0" tint="-0.34998626667073579"/>
      </top>
      <bottom style="medium">
        <color theme="0" tint="-0.249977111117893"/>
      </bottom>
      <diagonal/>
    </border>
    <border>
      <left style="thin">
        <color theme="0" tint="-0.34998626667073579"/>
      </left>
      <right style="medium">
        <color theme="0" tint="-0.249977111117893"/>
      </right>
      <top style="thin">
        <color theme="0" tint="-0.34998626667073579"/>
      </top>
      <bottom style="medium">
        <color theme="0" tint="-0.249977111117893"/>
      </bottom>
      <diagonal/>
    </border>
    <border>
      <left/>
      <right/>
      <top style="medium">
        <color theme="0" tint="-0.249977111117893"/>
      </top>
      <bottom/>
      <diagonal/>
    </border>
    <border>
      <left style="medium">
        <color theme="0" tint="-0.249977111117893"/>
      </left>
      <right style="medium">
        <color theme="0" tint="-0.249977111117893"/>
      </right>
      <top style="thin">
        <color theme="0" tint="-0.34998626667073579"/>
      </top>
      <bottom/>
      <diagonal/>
    </border>
    <border>
      <left/>
      <right style="thin">
        <color theme="0" tint="-0.34998626667073579"/>
      </right>
      <top style="thin">
        <color theme="0" tint="-0.34998626667073579"/>
      </top>
      <bottom style="medium">
        <color theme="0" tint="-0.249977111117893"/>
      </bottom>
      <diagonal/>
    </border>
    <border>
      <left style="thin">
        <color theme="0" tint="-0.34998626667073579"/>
      </left>
      <right style="thin">
        <color theme="0" tint="-0.34998626667073579"/>
      </right>
      <top style="thin">
        <color theme="0" tint="-0.34998626667073579"/>
      </top>
      <bottom style="medium">
        <color theme="0" tint="-0.249977111117893"/>
      </bottom>
      <diagonal/>
    </border>
    <border>
      <left style="medium">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medium">
        <color theme="2" tint="-0.249977111117893"/>
      </bottom>
      <diagonal/>
    </border>
    <border>
      <left style="medium">
        <color theme="0" tint="-0.249977111117893"/>
      </left>
      <right style="thin">
        <color theme="0" tint="-0.34998626667073579"/>
      </right>
      <top/>
      <bottom style="thin">
        <color theme="0" tint="-0.34998626667073579"/>
      </bottom>
      <diagonal/>
    </border>
    <border>
      <left style="thin">
        <color theme="0" tint="-0.34998626667073579"/>
      </left>
      <right style="medium">
        <color theme="0" tint="-0.249977111117893"/>
      </right>
      <top/>
      <bottom style="thin">
        <color theme="0" tint="-0.34998626667073579"/>
      </bottom>
      <diagonal/>
    </border>
    <border>
      <left style="medium">
        <color theme="0" tint="-0.249977111117893"/>
      </left>
      <right/>
      <top style="thin">
        <color theme="0" tint="-0.34998626667073579"/>
      </top>
      <bottom/>
      <diagonal/>
    </border>
    <border>
      <left/>
      <right style="medium">
        <color theme="0" tint="-0.249977111117893"/>
      </right>
      <top style="thin">
        <color theme="0" tint="-0.34998626667073579"/>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2" tint="-0.249977111117893"/>
      </bottom>
      <diagonal/>
    </border>
    <border>
      <left style="medium">
        <color theme="0" tint="-0.249977111117893"/>
      </left>
      <right/>
      <top/>
      <bottom style="thin">
        <color theme="0" tint="-0.34998626667073579"/>
      </bottom>
      <diagonal/>
    </border>
    <border>
      <left style="medium">
        <color theme="0" tint="-0.249977111117893"/>
      </left>
      <right/>
      <top style="thin">
        <color theme="0" tint="-0.34998626667073579"/>
      </top>
      <bottom style="medium">
        <color theme="0" tint="-0.249977111117893"/>
      </bottom>
      <diagonal/>
    </border>
    <border>
      <left/>
      <right style="medium">
        <color theme="0" tint="-0.34998626667073579"/>
      </right>
      <top style="thin">
        <color theme="0" tint="-0.34998626667073579"/>
      </top>
      <bottom style="medium">
        <color theme="0" tint="-0.34998626667073579"/>
      </bottom>
      <diagonal/>
    </border>
    <border>
      <left style="thin">
        <color theme="0" tint="-0.34998626667073579"/>
      </left>
      <right style="medium">
        <color theme="0" tint="-0.249977111117893"/>
      </right>
      <top style="thin">
        <color theme="0" tint="-0.34998626667073579"/>
      </top>
      <bottom style="medium">
        <color theme="2" tint="-0.249977111117893"/>
      </bottom>
      <diagonal/>
    </border>
    <border>
      <left/>
      <right style="thin">
        <color theme="0" tint="-0.34998626667073579"/>
      </right>
      <top style="medium">
        <color theme="0" tint="-0.249977111117893"/>
      </top>
      <bottom style="thin">
        <color theme="0" tint="-0.34998626667073579"/>
      </bottom>
      <diagonal/>
    </border>
    <border>
      <left/>
      <right style="medium">
        <color theme="0" tint="-0.249977111117893"/>
      </right>
      <top/>
      <bottom style="medium">
        <color theme="2" tint="-0.249977111117893"/>
      </bottom>
      <diagonal/>
    </border>
    <border>
      <left/>
      <right style="medium">
        <color theme="0" tint="-0.249977111117893"/>
      </right>
      <top/>
      <bottom style="thin">
        <color theme="0" tint="-0.34998626667073579"/>
      </bottom>
      <diagonal/>
    </border>
    <border>
      <left/>
      <right style="medium">
        <color theme="0" tint="-0.249977111117893"/>
      </right>
      <top style="thin">
        <color theme="0" tint="-0.34998626667073579"/>
      </top>
      <bottom style="medium">
        <color theme="0" tint="-0.249977111117893"/>
      </bottom>
      <diagonal/>
    </border>
    <border>
      <left style="medium">
        <color theme="0" tint="-0.249977111117893"/>
      </left>
      <right/>
      <top style="medium">
        <color theme="2" tint="-0.249977111117893"/>
      </top>
      <bottom style="thin">
        <color theme="0" tint="-0.34998626667073579"/>
      </bottom>
      <diagonal/>
    </border>
    <border>
      <left/>
      <right/>
      <top style="medium">
        <color theme="0" tint="-0.249977111117893"/>
      </top>
      <bottom style="thin">
        <color theme="0"/>
      </bottom>
      <diagonal/>
    </border>
    <border>
      <left/>
      <right style="medium">
        <color theme="0" tint="-0.34998626667073579"/>
      </right>
      <top style="thin">
        <color theme="0" tint="-0.34998626667073579"/>
      </top>
      <bottom/>
      <diagonal/>
    </border>
    <border>
      <left/>
      <right style="medium">
        <color theme="0" tint="-0.34998626667073579"/>
      </right>
      <top/>
      <bottom style="thin">
        <color theme="0" tint="-0.34998626667073579"/>
      </bottom>
      <diagonal/>
    </border>
    <border>
      <left style="medium">
        <color theme="0" tint="-0.249977111117893"/>
      </left>
      <right style="thin">
        <color theme="0" tint="-0.34998626667073579"/>
      </right>
      <top style="thin">
        <color theme="0" tint="-0.34998626667073579"/>
      </top>
      <bottom style="medium">
        <color theme="2" tint="-0.249977111117893"/>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style="thin">
        <color auto="1"/>
      </right>
      <top style="hair">
        <color auto="1"/>
      </top>
      <bottom/>
      <diagonal/>
    </border>
    <border>
      <left style="thin">
        <color auto="1"/>
      </left>
      <right style="thin">
        <color auto="1"/>
      </right>
      <top/>
      <bottom style="hair">
        <color auto="1"/>
      </bottom>
      <diagonal/>
    </border>
  </borders>
  <cellStyleXfs count="12">
    <xf numFmtId="0" fontId="0" fillId="0" borderId="0"/>
    <xf numFmtId="0" fontId="1" fillId="0" borderId="1" applyNumberFormat="0" applyFill="0" applyAlignment="0" applyProtection="0"/>
    <xf numFmtId="9" fontId="3" fillId="0" borderId="0" applyFont="0" applyFill="0" applyBorder="0" applyAlignment="0" applyProtection="0"/>
    <xf numFmtId="0" fontId="7" fillId="0" borderId="0"/>
    <xf numFmtId="43" fontId="3" fillId="0" borderId="0" applyFont="0" applyFill="0" applyBorder="0" applyAlignment="0" applyProtection="0"/>
    <xf numFmtId="43" fontId="3" fillId="0" borderId="0" applyFont="0" applyFill="0" applyBorder="0" applyAlignment="0" applyProtection="0"/>
    <xf numFmtId="0" fontId="38" fillId="0" borderId="0" applyNumberFormat="0" applyFill="0" applyBorder="0" applyAlignment="0" applyProtection="0"/>
    <xf numFmtId="0" fontId="43" fillId="0" borderId="0"/>
    <xf numFmtId="0" fontId="44" fillId="0" borderId="0"/>
    <xf numFmtId="0" fontId="44" fillId="0" borderId="0"/>
    <xf numFmtId="0" fontId="48" fillId="0" borderId="0"/>
    <xf numFmtId="0" fontId="10" fillId="0" borderId="0"/>
  </cellStyleXfs>
  <cellXfs count="3111">
    <xf numFmtId="0" fontId="0" fillId="0" borderId="0" xfId="0"/>
    <xf numFmtId="0" fontId="9" fillId="0" borderId="0" xfId="3" applyFont="1"/>
    <xf numFmtId="0" fontId="7" fillId="0" borderId="0" xfId="3"/>
    <xf numFmtId="0" fontId="5" fillId="0" borderId="0" xfId="0" applyFont="1"/>
    <xf numFmtId="0" fontId="0" fillId="0" borderId="0" xfId="0" applyFill="1"/>
    <xf numFmtId="0" fontId="5" fillId="0" borderId="0" xfId="0" applyFont="1" applyFill="1" applyBorder="1"/>
    <xf numFmtId="0" fontId="19" fillId="4" borderId="0" xfId="0" applyFont="1" applyFill="1" applyBorder="1"/>
    <xf numFmtId="0" fontId="17" fillId="4" borderId="0" xfId="0" applyFont="1" applyFill="1" applyBorder="1"/>
    <xf numFmtId="0" fontId="18" fillId="4" borderId="0" xfId="0" applyFont="1" applyFill="1" applyBorder="1"/>
    <xf numFmtId="0" fontId="31" fillId="4" borderId="0" xfId="0" applyFont="1" applyFill="1" applyBorder="1"/>
    <xf numFmtId="0" fontId="32" fillId="4" borderId="0" xfId="0" applyFont="1" applyFill="1" applyBorder="1"/>
    <xf numFmtId="0" fontId="0" fillId="0" borderId="0" xfId="0" applyAlignment="1">
      <alignment horizontal="right"/>
    </xf>
    <xf numFmtId="0" fontId="0" fillId="0" borderId="0" xfId="0" applyFill="1" applyBorder="1"/>
    <xf numFmtId="0" fontId="10" fillId="0" borderId="0" xfId="0" applyFont="1"/>
    <xf numFmtId="0" fontId="17" fillId="4" borderId="177" xfId="0" applyFont="1" applyFill="1" applyBorder="1"/>
    <xf numFmtId="0" fontId="19" fillId="9" borderId="177" xfId="0" applyFont="1" applyFill="1" applyBorder="1"/>
    <xf numFmtId="0" fontId="19" fillId="17" borderId="177" xfId="0" applyFont="1" applyFill="1" applyBorder="1"/>
    <xf numFmtId="0" fontId="10" fillId="0" borderId="177" xfId="0" applyFont="1" applyFill="1" applyBorder="1"/>
    <xf numFmtId="0" fontId="0" fillId="0" borderId="177" xfId="0" applyFill="1" applyBorder="1"/>
    <xf numFmtId="0" fontId="17" fillId="0" borderId="0" xfId="0" applyFont="1" applyFill="1" applyBorder="1" applyAlignment="1">
      <alignment wrapText="1"/>
    </xf>
    <xf numFmtId="0" fontId="17" fillId="0" borderId="177" xfId="0" applyFont="1" applyFill="1" applyBorder="1" applyAlignment="1">
      <alignment wrapText="1"/>
    </xf>
    <xf numFmtId="0" fontId="0" fillId="4" borderId="0" xfId="0" applyFill="1" applyAlignment="1">
      <alignment vertical="center"/>
    </xf>
    <xf numFmtId="0" fontId="0" fillId="4" borderId="0" xfId="0" applyFill="1" applyAlignment="1">
      <alignment horizontal="center" vertical="center"/>
    </xf>
    <xf numFmtId="0" fontId="5" fillId="4" borderId="177" xfId="0" applyFont="1" applyFill="1" applyBorder="1" applyAlignment="1">
      <alignment horizontal="center" vertical="center" wrapText="1"/>
    </xf>
    <xf numFmtId="0" fontId="5" fillId="4" borderId="177" xfId="0" applyFont="1" applyFill="1" applyBorder="1" applyAlignment="1">
      <alignment horizontal="center" vertical="center"/>
    </xf>
    <xf numFmtId="0" fontId="0" fillId="4" borderId="177" xfId="0" applyFill="1" applyBorder="1" applyAlignment="1">
      <alignment horizontal="center" vertical="center"/>
    </xf>
    <xf numFmtId="0" fontId="0" fillId="4" borderId="177" xfId="0" applyFill="1" applyBorder="1" applyAlignment="1">
      <alignment vertical="center"/>
    </xf>
    <xf numFmtId="0" fontId="0" fillId="4" borderId="0" xfId="0" applyFill="1" applyBorder="1" applyAlignment="1">
      <alignment vertical="center"/>
    </xf>
    <xf numFmtId="0" fontId="0" fillId="4" borderId="0" xfId="0" applyFill="1" applyBorder="1" applyAlignment="1">
      <alignment horizontal="center" vertical="center"/>
    </xf>
    <xf numFmtId="0" fontId="0" fillId="4" borderId="177" xfId="0" applyFill="1" applyBorder="1" applyAlignment="1">
      <alignment horizontal="left" vertical="center"/>
    </xf>
    <xf numFmtId="0" fontId="0" fillId="4" borderId="0" xfId="0" applyFill="1" applyAlignment="1">
      <alignment horizontal="left" vertical="center"/>
    </xf>
    <xf numFmtId="0" fontId="0" fillId="4" borderId="256" xfId="0" applyFill="1" applyBorder="1" applyAlignment="1">
      <alignment horizontal="center" vertical="center"/>
    </xf>
    <xf numFmtId="0" fontId="0" fillId="4" borderId="256" xfId="0" applyFill="1" applyBorder="1" applyAlignment="1">
      <alignment horizontal="left" vertical="center"/>
    </xf>
    <xf numFmtId="166" fontId="16" fillId="8" borderId="0" xfId="5" applyNumberFormat="1" applyFont="1" applyFill="1" applyBorder="1" applyAlignment="1" applyProtection="1">
      <alignment horizontal="right" vertical="center"/>
    </xf>
    <xf numFmtId="166" fontId="16" fillId="0" borderId="0" xfId="5" applyNumberFormat="1" applyFont="1" applyBorder="1" applyAlignment="1" applyProtection="1">
      <alignment horizontal="right" vertical="center"/>
    </xf>
    <xf numFmtId="166" fontId="31" fillId="8" borderId="0" xfId="5" applyNumberFormat="1" applyFont="1" applyFill="1" applyBorder="1" applyAlignment="1" applyProtection="1">
      <alignment vertical="center"/>
      <protection locked="0"/>
    </xf>
    <xf numFmtId="166" fontId="31" fillId="0" borderId="0" xfId="5" applyNumberFormat="1" applyFont="1" applyBorder="1" applyAlignment="1" applyProtection="1">
      <alignment vertical="center"/>
      <protection locked="0"/>
    </xf>
    <xf numFmtId="166" fontId="31" fillId="0" borderId="93" xfId="5" applyNumberFormat="1" applyFont="1" applyBorder="1" applyAlignment="1" applyProtection="1">
      <alignment vertical="center"/>
      <protection locked="0"/>
    </xf>
    <xf numFmtId="166" fontId="16" fillId="8" borderId="0" xfId="5" applyNumberFormat="1" applyFont="1" applyFill="1" applyBorder="1" applyAlignment="1" applyProtection="1">
      <alignment vertical="center"/>
    </xf>
    <xf numFmtId="166" fontId="16" fillId="0" borderId="0" xfId="5" applyNumberFormat="1" applyFont="1" applyBorder="1" applyAlignment="1" applyProtection="1">
      <alignment vertical="center"/>
    </xf>
    <xf numFmtId="166" fontId="16" fillId="0" borderId="93" xfId="5" applyNumberFormat="1" applyFont="1" applyBorder="1" applyAlignment="1" applyProtection="1">
      <alignment vertical="center"/>
    </xf>
    <xf numFmtId="166" fontId="31" fillId="8" borderId="90" xfId="5" applyNumberFormat="1" applyFont="1" applyFill="1" applyBorder="1" applyAlignment="1" applyProtection="1">
      <alignment vertical="center"/>
      <protection locked="0"/>
    </xf>
    <xf numFmtId="0" fontId="16" fillId="8" borderId="86" xfId="0" applyFont="1" applyFill="1" applyBorder="1" applyAlignment="1" applyProtection="1">
      <alignment horizontal="right" vertical="center"/>
    </xf>
    <xf numFmtId="0" fontId="16" fillId="0" borderId="86" xfId="0" applyFont="1" applyBorder="1" applyAlignment="1" applyProtection="1">
      <alignment horizontal="right" vertical="center"/>
    </xf>
    <xf numFmtId="166" fontId="16" fillId="0" borderId="210" xfId="5" applyNumberFormat="1" applyFont="1" applyBorder="1" applyAlignment="1" applyProtection="1">
      <alignment vertical="center"/>
    </xf>
    <xf numFmtId="166" fontId="16" fillId="8" borderId="90" xfId="5" applyNumberFormat="1" applyFont="1" applyFill="1" applyBorder="1" applyAlignment="1" applyProtection="1">
      <alignment vertical="center"/>
    </xf>
    <xf numFmtId="0" fontId="16" fillId="0" borderId="96" xfId="0" applyFont="1" applyBorder="1" applyAlignment="1" applyProtection="1">
      <alignment horizontal="right" vertical="center"/>
    </xf>
    <xf numFmtId="0" fontId="31" fillId="0" borderId="0" xfId="0" applyFont="1" applyFill="1" applyBorder="1" applyAlignment="1" applyProtection="1">
      <alignment horizontal="right" vertical="center"/>
      <protection locked="0"/>
    </xf>
    <xf numFmtId="0" fontId="31" fillId="0" borderId="273" xfId="0" applyFont="1" applyFill="1" applyBorder="1" applyAlignment="1" applyProtection="1">
      <alignment horizontal="right" vertical="center"/>
      <protection locked="0"/>
    </xf>
    <xf numFmtId="166" fontId="26" fillId="0" borderId="270" xfId="5" applyNumberFormat="1" applyFont="1" applyFill="1" applyBorder="1" applyAlignment="1" applyProtection="1">
      <alignment horizontal="right" vertical="center"/>
    </xf>
    <xf numFmtId="166" fontId="26" fillId="0" borderId="278" xfId="5" applyNumberFormat="1" applyFont="1" applyFill="1" applyBorder="1" applyAlignment="1" applyProtection="1">
      <alignment horizontal="right" vertical="center"/>
    </xf>
    <xf numFmtId="166" fontId="26" fillId="0" borderId="0" xfId="5" applyNumberFormat="1" applyFont="1" applyFill="1" applyBorder="1" applyAlignment="1" applyProtection="1">
      <alignment horizontal="right" vertical="center"/>
    </xf>
    <xf numFmtId="166" fontId="26" fillId="0" borderId="77" xfId="5" applyNumberFormat="1" applyFont="1" applyFill="1" applyBorder="1" applyAlignment="1" applyProtection="1">
      <alignment horizontal="right" vertical="center"/>
    </xf>
    <xf numFmtId="166" fontId="26" fillId="0" borderId="273" xfId="5" applyNumberFormat="1" applyFont="1" applyFill="1" applyBorder="1" applyAlignment="1" applyProtection="1">
      <alignment horizontal="right" vertical="center"/>
    </xf>
    <xf numFmtId="166" fontId="26" fillId="0" borderId="280" xfId="5" applyNumberFormat="1" applyFont="1" applyFill="1" applyBorder="1" applyAlignment="1" applyProtection="1">
      <alignment horizontal="right" vertical="center"/>
    </xf>
    <xf numFmtId="166" fontId="26" fillId="0" borderId="271" xfId="5" applyNumberFormat="1" applyFont="1" applyFill="1" applyBorder="1" applyAlignment="1" applyProtection="1">
      <alignment horizontal="right" vertical="center"/>
    </xf>
    <xf numFmtId="166" fontId="26" fillId="0" borderId="276" xfId="5" applyNumberFormat="1" applyFont="1" applyFill="1" applyBorder="1" applyAlignment="1" applyProtection="1">
      <alignment horizontal="right" vertical="center"/>
    </xf>
    <xf numFmtId="166" fontId="26" fillId="0" borderId="274" xfId="5" applyNumberFormat="1" applyFont="1" applyFill="1" applyBorder="1" applyAlignment="1" applyProtection="1">
      <alignment horizontal="right" vertical="center"/>
    </xf>
    <xf numFmtId="166" fontId="26" fillId="0" borderId="270" xfId="5" applyNumberFormat="1" applyFont="1" applyFill="1" applyBorder="1" applyAlignment="1" applyProtection="1">
      <alignment vertical="center"/>
    </xf>
    <xf numFmtId="166" fontId="26" fillId="0" borderId="0" xfId="5" applyNumberFormat="1" applyFont="1" applyFill="1" applyBorder="1" applyAlignment="1" applyProtection="1">
      <alignment vertical="center"/>
    </xf>
    <xf numFmtId="166" fontId="26" fillId="0" borderId="273" xfId="5" applyNumberFormat="1" applyFont="1" applyFill="1" applyBorder="1" applyAlignment="1" applyProtection="1">
      <alignment vertical="center"/>
    </xf>
    <xf numFmtId="166" fontId="26" fillId="0" borderId="279" xfId="5" applyNumberFormat="1" applyFont="1" applyFill="1" applyBorder="1" applyAlignment="1" applyProtection="1">
      <alignment vertical="center"/>
    </xf>
    <xf numFmtId="166" fontId="26" fillId="0" borderId="111" xfId="5" applyNumberFormat="1" applyFont="1" applyFill="1" applyBorder="1" applyAlignment="1" applyProtection="1">
      <alignment vertical="center"/>
    </xf>
    <xf numFmtId="166" fontId="26" fillId="0" borderId="281" xfId="5" applyNumberFormat="1" applyFont="1" applyFill="1" applyBorder="1" applyAlignment="1" applyProtection="1">
      <alignment vertical="center"/>
    </xf>
    <xf numFmtId="166" fontId="26" fillId="0" borderId="80" xfId="5" applyNumberFormat="1" applyFont="1" applyFill="1" applyBorder="1" applyAlignment="1" applyProtection="1">
      <alignment vertical="center"/>
    </xf>
    <xf numFmtId="166" fontId="26" fillId="0" borderId="111" xfId="5" applyNumberFormat="1" applyFont="1" applyFill="1" applyBorder="1" applyAlignment="1" applyProtection="1">
      <alignment horizontal="right" vertical="center"/>
    </xf>
    <xf numFmtId="166" fontId="26" fillId="0" borderId="113" xfId="5" applyNumberFormat="1" applyFont="1" applyFill="1" applyBorder="1" applyAlignment="1" applyProtection="1">
      <alignment horizontal="right" vertical="center"/>
    </xf>
    <xf numFmtId="0" fontId="31" fillId="0" borderId="0" xfId="0" applyFont="1" applyFill="1" applyBorder="1" applyProtection="1">
      <protection locked="0"/>
    </xf>
    <xf numFmtId="0" fontId="31" fillId="8" borderId="0" xfId="0" applyFont="1" applyFill="1" applyBorder="1" applyProtection="1">
      <protection locked="0"/>
    </xf>
    <xf numFmtId="0" fontId="31" fillId="8" borderId="87" xfId="0" applyFont="1" applyFill="1" applyBorder="1" applyProtection="1">
      <protection locked="0"/>
    </xf>
    <xf numFmtId="0" fontId="42" fillId="0" borderId="0" xfId="0" applyFont="1" applyAlignment="1" applyProtection="1">
      <alignment horizontal="center" vertical="center"/>
      <protection locked="0"/>
    </xf>
    <xf numFmtId="0" fontId="0" fillId="0" borderId="8" xfId="0" applyBorder="1" applyProtection="1"/>
    <xf numFmtId="0" fontId="4" fillId="4" borderId="8" xfId="0" applyFont="1" applyFill="1" applyBorder="1" applyAlignment="1" applyProtection="1">
      <alignment horizontal="center" vertical="center"/>
    </xf>
    <xf numFmtId="1" fontId="4" fillId="4" borderId="8" xfId="0" applyNumberFormat="1" applyFont="1" applyFill="1" applyBorder="1" applyAlignment="1" applyProtection="1">
      <alignment horizontal="center" vertical="center"/>
    </xf>
    <xf numFmtId="0" fontId="4" fillId="4" borderId="8" xfId="0" applyFont="1" applyFill="1" applyBorder="1" applyAlignment="1" applyProtection="1">
      <alignment horizontal="center"/>
    </xf>
    <xf numFmtId="15" fontId="6" fillId="4" borderId="8" xfId="0" applyNumberFormat="1" applyFont="1" applyFill="1" applyBorder="1" applyAlignment="1" applyProtection="1">
      <alignment horizontal="center"/>
    </xf>
    <xf numFmtId="0" fontId="23" fillId="0" borderId="12" xfId="0" applyFont="1" applyFill="1" applyBorder="1" applyProtection="1"/>
    <xf numFmtId="0" fontId="20" fillId="0" borderId="12" xfId="0" applyFont="1" applyFill="1" applyBorder="1" applyProtection="1"/>
    <xf numFmtId="0" fontId="0" fillId="0" borderId="0" xfId="0" applyProtection="1"/>
    <xf numFmtId="0" fontId="0" fillId="0" borderId="12" xfId="0" applyBorder="1" applyProtection="1"/>
    <xf numFmtId="0" fontId="0" fillId="0" borderId="48" xfId="0" applyBorder="1" applyProtection="1"/>
    <xf numFmtId="0" fontId="0" fillId="0" borderId="8" xfId="0" applyFill="1" applyBorder="1" applyProtection="1"/>
    <xf numFmtId="0" fontId="0" fillId="0" borderId="116" xfId="0" applyBorder="1" applyProtection="1"/>
    <xf numFmtId="0" fontId="16" fillId="0" borderId="12" xfId="0" applyFont="1" applyBorder="1" applyProtection="1"/>
    <xf numFmtId="0" fontId="16" fillId="0" borderId="24" xfId="0" applyFont="1" applyFill="1" applyBorder="1" applyProtection="1"/>
    <xf numFmtId="0" fontId="16" fillId="0" borderId="27" xfId="0" applyFont="1" applyBorder="1" applyProtection="1"/>
    <xf numFmtId="0" fontId="16" fillId="0" borderId="29" xfId="0" applyFont="1" applyFill="1" applyBorder="1" applyProtection="1"/>
    <xf numFmtId="0" fontId="16" fillId="0" borderId="8" xfId="0" applyFont="1" applyBorder="1" applyProtection="1"/>
    <xf numFmtId="0" fontId="16" fillId="0" borderId="8" xfId="0" applyFont="1" applyFill="1" applyBorder="1" applyProtection="1"/>
    <xf numFmtId="0" fontId="16" fillId="0" borderId="31" xfId="0" applyFont="1" applyFill="1" applyBorder="1" applyProtection="1"/>
    <xf numFmtId="0" fontId="16" fillId="0" borderId="34" xfId="0" applyFont="1" applyFill="1" applyBorder="1" applyProtection="1"/>
    <xf numFmtId="0" fontId="0" fillId="0" borderId="11" xfId="0" applyBorder="1" applyProtection="1"/>
    <xf numFmtId="0" fontId="0" fillId="4" borderId="0" xfId="0" applyFill="1" applyProtection="1"/>
    <xf numFmtId="0" fontId="4" fillId="4" borderId="107" xfId="0" applyFont="1" applyFill="1" applyBorder="1" applyAlignment="1" applyProtection="1">
      <alignment vertical="center"/>
    </xf>
    <xf numFmtId="0" fontId="4" fillId="4" borderId="98" xfId="0" applyFont="1" applyFill="1" applyBorder="1" applyAlignment="1" applyProtection="1">
      <alignment vertical="center"/>
    </xf>
    <xf numFmtId="0" fontId="4" fillId="4" borderId="100" xfId="0" applyFont="1" applyFill="1" applyBorder="1" applyAlignment="1" applyProtection="1">
      <alignment vertical="center"/>
    </xf>
    <xf numFmtId="0" fontId="0" fillId="0" borderId="116" xfId="0" applyBorder="1" applyAlignment="1" applyProtection="1">
      <alignment horizontal="center" vertical="center" wrapText="1"/>
    </xf>
    <xf numFmtId="0" fontId="4" fillId="5" borderId="106" xfId="0" applyFont="1" applyFill="1" applyBorder="1" applyAlignment="1" applyProtection="1">
      <alignment vertical="center"/>
    </xf>
    <xf numFmtId="0" fontId="4" fillId="5" borderId="50" xfId="0" applyFont="1" applyFill="1" applyBorder="1" applyAlignment="1" applyProtection="1">
      <alignment vertical="center"/>
    </xf>
    <xf numFmtId="0" fontId="4" fillId="5" borderId="115" xfId="0" applyFont="1" applyFill="1" applyBorder="1" applyAlignment="1" applyProtection="1">
      <alignment vertical="center"/>
    </xf>
    <xf numFmtId="0" fontId="20" fillId="0" borderId="8" xfId="0" applyFont="1" applyBorder="1" applyProtection="1"/>
    <xf numFmtId="0" fontId="0" fillId="0" borderId="119" xfId="0" applyBorder="1" applyAlignment="1" applyProtection="1">
      <alignment vertical="center"/>
    </xf>
    <xf numFmtId="0" fontId="0" fillId="0" borderId="39" xfId="0" applyBorder="1" applyAlignment="1" applyProtection="1">
      <alignment vertical="center"/>
    </xf>
    <xf numFmtId="0" fontId="0" fillId="0" borderId="40" xfId="0" applyBorder="1" applyAlignment="1" applyProtection="1">
      <alignment vertical="center"/>
    </xf>
    <xf numFmtId="0" fontId="0" fillId="0" borderId="41" xfId="0" applyBorder="1" applyAlignment="1" applyProtection="1">
      <alignment vertical="center"/>
    </xf>
    <xf numFmtId="0" fontId="0" fillId="4" borderId="0" xfId="0" applyFill="1" applyAlignment="1" applyProtection="1">
      <alignment vertical="center"/>
    </xf>
    <xf numFmtId="0" fontId="16" fillId="0" borderId="12" xfId="0" applyFont="1" applyBorder="1" applyAlignment="1" applyProtection="1">
      <alignment vertical="center"/>
    </xf>
    <xf numFmtId="0" fontId="16" fillId="0" borderId="49" xfId="0" applyFont="1" applyBorder="1" applyAlignment="1" applyProtection="1">
      <alignment vertical="center"/>
    </xf>
    <xf numFmtId="0" fontId="16" fillId="0" borderId="24" xfId="0" applyFont="1" applyFill="1" applyBorder="1" applyAlignment="1" applyProtection="1">
      <alignment vertical="center"/>
    </xf>
    <xf numFmtId="0" fontId="16" fillId="0" borderId="27" xfId="0" applyFont="1" applyBorder="1" applyAlignment="1" applyProtection="1">
      <alignment vertical="center"/>
    </xf>
    <xf numFmtId="0" fontId="0" fillId="0" borderId="97" xfId="0" applyBorder="1" applyAlignment="1" applyProtection="1">
      <alignment vertical="center"/>
    </xf>
    <xf numFmtId="0" fontId="0" fillId="0" borderId="108" xfId="0" applyBorder="1" applyAlignment="1" applyProtection="1">
      <alignment vertical="center"/>
    </xf>
    <xf numFmtId="0" fontId="0" fillId="0" borderId="37" xfId="0" applyBorder="1" applyAlignment="1" applyProtection="1">
      <alignment vertical="center"/>
    </xf>
    <xf numFmtId="0" fontId="0" fillId="4" borderId="41" xfId="0" applyFill="1" applyBorder="1" applyAlignment="1" applyProtection="1">
      <alignment vertical="center"/>
    </xf>
    <xf numFmtId="0" fontId="16" fillId="0" borderId="29" xfId="0" applyFont="1" applyFill="1" applyBorder="1" applyAlignment="1" applyProtection="1">
      <alignment vertical="center"/>
    </xf>
    <xf numFmtId="0" fontId="16" fillId="0" borderId="8" xfId="0" applyFont="1" applyBorder="1" applyAlignment="1" applyProtection="1">
      <alignment vertical="center"/>
    </xf>
    <xf numFmtId="0" fontId="16" fillId="0" borderId="8" xfId="0" applyFont="1" applyFill="1" applyBorder="1" applyAlignment="1" applyProtection="1">
      <alignment vertical="center"/>
    </xf>
    <xf numFmtId="0" fontId="16" fillId="0" borderId="31" xfId="0" applyFont="1" applyFill="1" applyBorder="1" applyAlignment="1" applyProtection="1">
      <alignment vertical="center"/>
    </xf>
    <xf numFmtId="0" fontId="16" fillId="0" borderId="34" xfId="0" applyFont="1" applyFill="1" applyBorder="1" applyAlignment="1" applyProtection="1">
      <alignment vertical="center"/>
    </xf>
    <xf numFmtId="0" fontId="0" fillId="0" borderId="51" xfId="0" applyBorder="1" applyAlignment="1" applyProtection="1">
      <alignment vertical="center"/>
    </xf>
    <xf numFmtId="0" fontId="0" fillId="0" borderId="46" xfId="0" applyBorder="1" applyAlignment="1" applyProtection="1">
      <alignment vertical="center"/>
    </xf>
    <xf numFmtId="0" fontId="0" fillId="0" borderId="8" xfId="0" applyBorder="1" applyAlignment="1" applyProtection="1">
      <alignment vertical="center"/>
    </xf>
    <xf numFmtId="0" fontId="0" fillId="0" borderId="43" xfId="0" applyBorder="1" applyAlignment="1" applyProtection="1">
      <alignment vertical="center"/>
    </xf>
    <xf numFmtId="0" fontId="0" fillId="4" borderId="44" xfId="0" applyFill="1" applyBorder="1" applyAlignment="1" applyProtection="1">
      <alignment vertical="center"/>
    </xf>
    <xf numFmtId="0" fontId="0" fillId="0" borderId="11" xfId="0" applyBorder="1" applyAlignment="1" applyProtection="1">
      <alignment vertical="center"/>
    </xf>
    <xf numFmtId="0" fontId="0" fillId="4" borderId="8" xfId="0" applyFill="1" applyBorder="1" applyAlignment="1" applyProtection="1">
      <alignment vertical="center"/>
    </xf>
    <xf numFmtId="0" fontId="31" fillId="0" borderId="51" xfId="0" applyFont="1" applyFill="1" applyBorder="1" applyAlignment="1" applyProtection="1">
      <alignment horizontal="left" vertical="center"/>
    </xf>
    <xf numFmtId="0" fontId="28" fillId="0" borderId="51" xfId="0" applyFont="1" applyFill="1" applyBorder="1" applyAlignment="1" applyProtection="1">
      <alignment horizontal="center" vertical="center"/>
    </xf>
    <xf numFmtId="0" fontId="4" fillId="0" borderId="51" xfId="0" applyFont="1" applyFill="1" applyBorder="1" applyAlignment="1" applyProtection="1">
      <alignment horizontal="left" vertical="center"/>
    </xf>
    <xf numFmtId="0" fontId="0" fillId="0" borderId="51" xfId="0" applyFill="1" applyBorder="1" applyAlignment="1" applyProtection="1">
      <alignment vertical="center"/>
    </xf>
    <xf numFmtId="0" fontId="0" fillId="0" borderId="0" xfId="0" applyFill="1" applyAlignment="1" applyProtection="1">
      <alignment vertical="center"/>
    </xf>
    <xf numFmtId="0" fontId="0" fillId="0" borderId="101" xfId="0" applyFill="1" applyBorder="1" applyAlignment="1" applyProtection="1">
      <alignment vertical="center"/>
    </xf>
    <xf numFmtId="0" fontId="0" fillId="4" borderId="46" xfId="0" applyFill="1" applyBorder="1" applyAlignment="1" applyProtection="1">
      <alignment vertical="center"/>
    </xf>
    <xf numFmtId="0" fontId="4" fillId="5" borderId="0" xfId="0" applyFont="1" applyFill="1" applyBorder="1" applyAlignment="1" applyProtection="1">
      <alignment vertical="center"/>
    </xf>
    <xf numFmtId="0" fontId="30" fillId="0" borderId="96" xfId="0" applyFont="1" applyBorder="1" applyAlignment="1" applyProtection="1">
      <alignment horizontal="center" vertical="center"/>
    </xf>
    <xf numFmtId="0" fontId="16" fillId="0" borderId="234" xfId="0" applyFont="1" applyFill="1" applyBorder="1" applyAlignment="1" applyProtection="1">
      <alignment vertical="center"/>
    </xf>
    <xf numFmtId="0" fontId="0" fillId="0" borderId="114" xfId="0" applyBorder="1" applyAlignment="1" applyProtection="1">
      <alignment vertical="center"/>
    </xf>
    <xf numFmtId="0" fontId="16" fillId="0" borderId="236" xfId="0" applyFont="1" applyFill="1" applyBorder="1" applyAlignment="1" applyProtection="1">
      <alignment vertical="center"/>
    </xf>
    <xf numFmtId="0" fontId="16" fillId="0" borderId="238" xfId="0" applyFont="1" applyFill="1" applyBorder="1" applyAlignment="1" applyProtection="1">
      <alignment vertical="center"/>
    </xf>
    <xf numFmtId="0" fontId="0" fillId="0" borderId="8" xfId="0" applyFill="1" applyBorder="1" applyAlignment="1" applyProtection="1">
      <alignment vertical="center"/>
    </xf>
    <xf numFmtId="0" fontId="0" fillId="0" borderId="36" xfId="0" applyBorder="1" applyAlignment="1" applyProtection="1">
      <alignment vertical="center"/>
    </xf>
    <xf numFmtId="0" fontId="6" fillId="0" borderId="36" xfId="0" applyFont="1" applyBorder="1" applyAlignment="1" applyProtection="1">
      <alignment vertical="center"/>
    </xf>
    <xf numFmtId="0" fontId="30" fillId="0" borderId="94" xfId="0" applyFont="1" applyBorder="1" applyAlignment="1" applyProtection="1">
      <alignment horizontal="center" vertical="center"/>
    </xf>
    <xf numFmtId="0" fontId="0" fillId="0" borderId="116" xfId="0" applyBorder="1" applyAlignment="1" applyProtection="1">
      <alignment vertical="center"/>
    </xf>
    <xf numFmtId="0" fontId="0" fillId="0" borderId="35" xfId="0" applyBorder="1" applyAlignment="1" applyProtection="1">
      <alignment vertical="center"/>
    </xf>
    <xf numFmtId="0" fontId="16" fillId="0" borderId="199" xfId="0" applyFont="1" applyBorder="1" applyAlignment="1" applyProtection="1">
      <alignment vertical="center"/>
    </xf>
    <xf numFmtId="0" fontId="16" fillId="0" borderId="200" xfId="0" applyFont="1" applyFill="1" applyBorder="1" applyAlignment="1" applyProtection="1">
      <alignment vertical="center"/>
    </xf>
    <xf numFmtId="0" fontId="16" fillId="0" borderId="11" xfId="0" applyFont="1" applyBorder="1" applyAlignment="1" applyProtection="1">
      <alignment vertical="center"/>
    </xf>
    <xf numFmtId="0" fontId="16" fillId="0" borderId="196" xfId="0" applyFont="1" applyFill="1" applyBorder="1" applyAlignment="1" applyProtection="1">
      <alignment vertical="center"/>
    </xf>
    <xf numFmtId="0" fontId="16" fillId="0" borderId="198" xfId="0" applyFont="1" applyFill="1" applyBorder="1" applyAlignment="1" applyProtection="1">
      <alignment vertical="center"/>
    </xf>
    <xf numFmtId="0" fontId="46" fillId="0" borderId="37" xfId="0" applyFont="1" applyFill="1" applyBorder="1" applyAlignment="1" applyProtection="1">
      <alignment vertical="center"/>
    </xf>
    <xf numFmtId="0" fontId="46" fillId="0" borderId="38" xfId="0" applyFont="1" applyFill="1" applyBorder="1" applyAlignment="1" applyProtection="1">
      <alignment vertical="center"/>
    </xf>
    <xf numFmtId="0" fontId="46" fillId="0" borderId="8" xfId="0" applyFont="1" applyFill="1" applyBorder="1" applyAlignment="1" applyProtection="1">
      <alignment vertical="center"/>
    </xf>
    <xf numFmtId="0" fontId="46" fillId="4" borderId="0" xfId="0" applyFont="1" applyFill="1" applyAlignment="1" applyProtection="1">
      <alignment vertical="center"/>
    </xf>
    <xf numFmtId="0" fontId="46" fillId="0" borderId="43" xfId="0" applyFont="1" applyFill="1" applyBorder="1" applyAlignment="1" applyProtection="1">
      <alignment vertical="center"/>
    </xf>
    <xf numFmtId="0" fontId="45" fillId="0" borderId="43" xfId="0" applyFont="1" applyFill="1" applyBorder="1" applyAlignment="1" applyProtection="1">
      <alignment horizontal="center" vertical="center"/>
    </xf>
    <xf numFmtId="0" fontId="46" fillId="0" borderId="43" xfId="0" applyFont="1" applyFill="1" applyBorder="1" applyAlignment="1" applyProtection="1">
      <alignment horizontal="left" vertical="center"/>
    </xf>
    <xf numFmtId="0" fontId="46" fillId="0" borderId="44" xfId="0" applyFont="1" applyFill="1" applyBorder="1" applyAlignment="1" applyProtection="1">
      <alignment vertical="center"/>
    </xf>
    <xf numFmtId="0" fontId="30" fillId="0" borderId="202" xfId="0" applyFont="1" applyBorder="1" applyAlignment="1" applyProtection="1">
      <alignment horizontal="center" vertical="center" wrapText="1"/>
    </xf>
    <xf numFmtId="0" fontId="30" fillId="0" borderId="96" xfId="0" applyFont="1" applyBorder="1" applyAlignment="1" applyProtection="1">
      <alignment horizontal="center" vertical="center" wrapText="1"/>
    </xf>
    <xf numFmtId="0" fontId="0" fillId="0" borderId="35" xfId="0" applyFill="1" applyBorder="1" applyAlignment="1" applyProtection="1">
      <alignment vertical="center"/>
    </xf>
    <xf numFmtId="0" fontId="28" fillId="0" borderId="36" xfId="0" applyFont="1" applyFill="1" applyBorder="1" applyAlignment="1" applyProtection="1">
      <alignment horizontal="center" vertical="center"/>
    </xf>
    <xf numFmtId="0" fontId="4" fillId="0" borderId="36" xfId="0" applyFont="1" applyFill="1" applyBorder="1" applyAlignment="1" applyProtection="1">
      <alignment horizontal="left" vertical="center"/>
    </xf>
    <xf numFmtId="0" fontId="0" fillId="0" borderId="36" xfId="0" applyFill="1" applyBorder="1" applyAlignment="1" applyProtection="1">
      <alignment vertical="center"/>
    </xf>
    <xf numFmtId="0" fontId="0" fillId="0" borderId="106" xfId="0" applyFill="1" applyBorder="1" applyAlignment="1" applyProtection="1">
      <alignment vertical="center"/>
    </xf>
    <xf numFmtId="0" fontId="15" fillId="0" borderId="11" xfId="0" applyFont="1" applyBorder="1" applyAlignment="1" applyProtection="1">
      <alignment horizontal="left" vertical="center"/>
    </xf>
    <xf numFmtId="0" fontId="0" fillId="4" borderId="36" xfId="0" applyFill="1" applyBorder="1" applyAlignment="1" applyProtection="1">
      <alignment vertical="center"/>
    </xf>
    <xf numFmtId="0" fontId="30" fillId="0" borderId="217" xfId="0" applyFont="1" applyBorder="1" applyAlignment="1" applyProtection="1">
      <alignment horizontal="center" vertical="center"/>
    </xf>
    <xf numFmtId="0" fontId="30" fillId="0" borderId="219" xfId="0" applyFont="1" applyBorder="1" applyAlignment="1" applyProtection="1">
      <alignment horizontal="center" vertical="center" wrapText="1"/>
    </xf>
    <xf numFmtId="0" fontId="0" fillId="0" borderId="106" xfId="0" applyBorder="1" applyAlignment="1" applyProtection="1">
      <alignment vertical="center"/>
    </xf>
    <xf numFmtId="0" fontId="29" fillId="0" borderId="11" xfId="0" applyFont="1" applyBorder="1" applyAlignment="1" applyProtection="1">
      <alignment horizontal="center" vertical="center"/>
    </xf>
    <xf numFmtId="0" fontId="0" fillId="0" borderId="0" xfId="0" applyAlignment="1" applyProtection="1">
      <alignment vertical="center"/>
    </xf>
    <xf numFmtId="0" fontId="0" fillId="0" borderId="0" xfId="0" applyBorder="1" applyAlignment="1" applyProtection="1">
      <alignment vertical="center"/>
    </xf>
    <xf numFmtId="166" fontId="30" fillId="0" borderId="93" xfId="5" applyNumberFormat="1" applyFont="1" applyBorder="1" applyAlignment="1" applyProtection="1">
      <alignment horizontal="center" vertical="center" wrapText="1"/>
    </xf>
    <xf numFmtId="0" fontId="21" fillId="0" borderId="12" xfId="0" applyFont="1" applyBorder="1" applyProtection="1"/>
    <xf numFmtId="0" fontId="21" fillId="0" borderId="55" xfId="0" applyFont="1" applyFill="1" applyBorder="1" applyProtection="1"/>
    <xf numFmtId="0" fontId="21" fillId="0" borderId="58" xfId="0" applyFont="1" applyBorder="1" applyProtection="1"/>
    <xf numFmtId="0" fontId="0" fillId="0" borderId="172" xfId="0" applyBorder="1" applyProtection="1"/>
    <xf numFmtId="0" fontId="0" fillId="0" borderId="167" xfId="0" applyBorder="1" applyProtection="1"/>
    <xf numFmtId="0" fontId="21" fillId="0" borderId="60" xfId="0" applyFont="1" applyFill="1" applyBorder="1" applyProtection="1"/>
    <xf numFmtId="0" fontId="21" fillId="0" borderId="8" xfId="0" applyFont="1" applyBorder="1" applyProtection="1"/>
    <xf numFmtId="0" fontId="21" fillId="0" borderId="8" xfId="0" applyFont="1" applyFill="1" applyBorder="1" applyProtection="1"/>
    <xf numFmtId="0" fontId="21" fillId="0" borderId="62" xfId="0" applyFont="1" applyFill="1" applyBorder="1" applyProtection="1"/>
    <xf numFmtId="0" fontId="21" fillId="0" borderId="65" xfId="0" applyFont="1" applyFill="1" applyBorder="1" applyProtection="1"/>
    <xf numFmtId="0" fontId="0" fillId="0" borderId="36" xfId="0" applyBorder="1" applyProtection="1"/>
    <xf numFmtId="0" fontId="0" fillId="0" borderId="114" xfId="0" applyBorder="1" applyProtection="1"/>
    <xf numFmtId="0" fontId="0" fillId="0" borderId="12" xfId="0" applyFill="1" applyBorder="1" applyProtection="1"/>
    <xf numFmtId="0" fontId="0" fillId="0" borderId="100" xfId="0" applyBorder="1" applyProtection="1"/>
    <xf numFmtId="0" fontId="21" fillId="0" borderId="35" xfId="0" applyFont="1" applyFill="1" applyBorder="1" applyAlignment="1" applyProtection="1">
      <alignment horizontal="center" vertical="center"/>
    </xf>
    <xf numFmtId="0" fontId="21" fillId="0" borderId="114" xfId="0" applyFont="1" applyBorder="1" applyAlignment="1" applyProtection="1">
      <alignment horizontal="center" vertical="center"/>
    </xf>
    <xf numFmtId="0" fontId="0" fillId="0" borderId="35" xfId="0" applyFill="1" applyBorder="1" applyProtection="1"/>
    <xf numFmtId="0" fontId="38" fillId="4" borderId="0" xfId="6" applyFill="1" applyBorder="1" applyAlignment="1" applyProtection="1">
      <alignment horizontal="center" vertical="center" wrapText="1"/>
    </xf>
    <xf numFmtId="0" fontId="0" fillId="0" borderId="114" xfId="0" applyFill="1" applyBorder="1" applyAlignment="1" applyProtection="1">
      <alignment vertical="center"/>
    </xf>
    <xf numFmtId="0" fontId="0" fillId="0" borderId="40" xfId="0" applyBorder="1" applyAlignment="1" applyProtection="1">
      <alignment horizontal="right" vertical="center"/>
    </xf>
    <xf numFmtId="0" fontId="0" fillId="0" borderId="41" xfId="0" applyBorder="1" applyAlignment="1" applyProtection="1">
      <alignment horizontal="right" vertical="center"/>
    </xf>
    <xf numFmtId="0" fontId="0" fillId="0" borderId="42" xfId="0" applyBorder="1" applyAlignment="1" applyProtection="1">
      <alignment vertical="center"/>
    </xf>
    <xf numFmtId="0" fontId="0" fillId="0" borderId="43" xfId="0" applyBorder="1" applyAlignment="1" applyProtection="1">
      <alignment horizontal="right" vertical="center"/>
    </xf>
    <xf numFmtId="0" fontId="0" fillId="0" borderId="44" xfId="0" applyBorder="1" applyAlignment="1" applyProtection="1">
      <alignment horizontal="right" vertical="center"/>
    </xf>
    <xf numFmtId="0" fontId="0" fillId="0" borderId="8" xfId="0" applyBorder="1" applyAlignment="1" applyProtection="1">
      <alignment horizontal="right" vertical="center"/>
    </xf>
    <xf numFmtId="0" fontId="0" fillId="0" borderId="35" xfId="0" applyBorder="1" applyAlignment="1" applyProtection="1">
      <alignment horizontal="right" vertical="center"/>
    </xf>
    <xf numFmtId="0" fontId="0" fillId="0" borderId="0" xfId="0" applyFill="1" applyAlignment="1" applyProtection="1">
      <alignment horizontal="right" vertical="center"/>
    </xf>
    <xf numFmtId="0" fontId="0" fillId="0" borderId="51" xfId="0" applyFill="1" applyBorder="1" applyAlignment="1" applyProtection="1">
      <alignment horizontal="right" vertical="center"/>
    </xf>
    <xf numFmtId="0" fontId="0" fillId="0" borderId="46" xfId="0" applyFill="1" applyBorder="1" applyAlignment="1" applyProtection="1">
      <alignment horizontal="right" vertical="center"/>
    </xf>
    <xf numFmtId="0" fontId="0" fillId="0" borderId="12" xfId="0" applyBorder="1" applyAlignment="1" applyProtection="1">
      <alignment vertical="center"/>
    </xf>
    <xf numFmtId="0" fontId="0" fillId="0" borderId="11" xfId="0" applyBorder="1" applyAlignment="1" applyProtection="1">
      <alignment horizontal="right" vertical="center"/>
    </xf>
    <xf numFmtId="0" fontId="0" fillId="0" borderId="36" xfId="0" applyBorder="1" applyAlignment="1" applyProtection="1">
      <alignment horizontal="right" vertical="center"/>
    </xf>
    <xf numFmtId="0" fontId="4" fillId="6" borderId="298" xfId="0" applyFont="1" applyFill="1" applyBorder="1" applyAlignment="1" applyProtection="1">
      <alignment vertical="center"/>
    </xf>
    <xf numFmtId="0" fontId="4" fillId="6" borderId="299" xfId="0" applyFont="1" applyFill="1" applyBorder="1" applyAlignment="1" applyProtection="1">
      <alignment vertical="center"/>
    </xf>
    <xf numFmtId="0" fontId="4" fillId="6" borderId="64" xfId="0" applyFont="1" applyFill="1" applyBorder="1" applyAlignment="1" applyProtection="1">
      <alignment vertical="center"/>
    </xf>
    <xf numFmtId="0" fontId="4" fillId="6" borderId="104" xfId="0" applyFont="1" applyFill="1" applyBorder="1" applyAlignment="1" applyProtection="1">
      <alignment vertical="center"/>
    </xf>
    <xf numFmtId="0" fontId="0" fillId="0" borderId="66" xfId="0" applyBorder="1" applyAlignment="1" applyProtection="1">
      <alignment horizontal="right" vertical="center"/>
    </xf>
    <xf numFmtId="0" fontId="0" fillId="0" borderId="39" xfId="0" applyBorder="1" applyAlignment="1" applyProtection="1">
      <alignment horizontal="right" vertical="center"/>
    </xf>
    <xf numFmtId="0" fontId="21" fillId="0" borderId="12" xfId="0" applyFont="1" applyBorder="1" applyAlignment="1" applyProtection="1">
      <alignment vertical="center"/>
    </xf>
    <xf numFmtId="0" fontId="21" fillId="0" borderId="55" xfId="0" applyFont="1" applyFill="1" applyBorder="1" applyAlignment="1" applyProtection="1">
      <alignment vertical="center"/>
    </xf>
    <xf numFmtId="0" fontId="21" fillId="0" borderId="58" xfId="0" applyFont="1" applyBorder="1" applyAlignment="1" applyProtection="1">
      <alignment vertical="center"/>
    </xf>
    <xf numFmtId="0" fontId="0" fillId="0" borderId="108" xfId="0" applyBorder="1" applyAlignment="1" applyProtection="1">
      <alignment horizontal="center" vertical="center"/>
    </xf>
    <xf numFmtId="0" fontId="0" fillId="0" borderId="37" xfId="0" applyBorder="1" applyAlignment="1" applyProtection="1">
      <alignment horizontal="center" vertical="center"/>
    </xf>
    <xf numFmtId="0" fontId="21" fillId="0" borderId="60" xfId="0" applyFont="1" applyFill="1" applyBorder="1" applyAlignment="1" applyProtection="1">
      <alignment vertical="center"/>
    </xf>
    <xf numFmtId="0" fontId="21" fillId="0" borderId="8" xfId="0" applyFont="1" applyBorder="1" applyAlignment="1" applyProtection="1">
      <alignment vertical="center"/>
    </xf>
    <xf numFmtId="0" fontId="0" fillId="0" borderId="39" xfId="0" applyBorder="1" applyAlignment="1" applyProtection="1">
      <alignment horizontal="center" vertical="center"/>
    </xf>
    <xf numFmtId="0" fontId="0" fillId="0" borderId="40" xfId="0" applyBorder="1" applyAlignment="1" applyProtection="1">
      <alignment horizontal="center" vertical="center"/>
    </xf>
    <xf numFmtId="0" fontId="21" fillId="0" borderId="8" xfId="0" applyFont="1" applyFill="1" applyBorder="1" applyAlignment="1" applyProtection="1">
      <alignment vertical="center"/>
    </xf>
    <xf numFmtId="0" fontId="21" fillId="0" borderId="62" xfId="0" applyFont="1" applyFill="1" applyBorder="1" applyAlignment="1" applyProtection="1">
      <alignment vertical="center"/>
    </xf>
    <xf numFmtId="0" fontId="21" fillId="0" borderId="65" xfId="0" applyFont="1" applyFill="1" applyBorder="1" applyAlignment="1" applyProtection="1">
      <alignment vertical="center"/>
    </xf>
    <xf numFmtId="0" fontId="21" fillId="12" borderId="0" xfId="0" applyFont="1" applyFill="1" applyBorder="1" applyAlignment="1" applyProtection="1">
      <alignment horizontal="left" vertical="center"/>
    </xf>
    <xf numFmtId="0" fontId="21" fillId="0" borderId="0" xfId="0" applyFont="1" applyFill="1" applyBorder="1" applyAlignment="1" applyProtection="1">
      <alignment horizontal="left" vertical="center"/>
    </xf>
    <xf numFmtId="0" fontId="21" fillId="4" borderId="0" xfId="0" applyFont="1" applyFill="1" applyBorder="1" applyAlignment="1" applyProtection="1">
      <alignment horizontal="left" vertical="center"/>
    </xf>
    <xf numFmtId="0" fontId="21" fillId="0" borderId="249" xfId="0" applyFont="1" applyFill="1" applyBorder="1" applyAlignment="1" applyProtection="1">
      <alignment horizontal="left" vertical="center"/>
    </xf>
    <xf numFmtId="0" fontId="21" fillId="0" borderId="250" xfId="0" applyFont="1" applyFill="1" applyBorder="1" applyAlignment="1" applyProtection="1">
      <alignment horizontal="left" vertical="center"/>
    </xf>
    <xf numFmtId="0" fontId="0" fillId="0" borderId="98" xfId="0" applyBorder="1" applyAlignment="1" applyProtection="1">
      <alignment vertical="center"/>
    </xf>
    <xf numFmtId="0" fontId="0" fillId="0" borderId="50" xfId="0" applyBorder="1" applyAlignment="1" applyProtection="1">
      <alignment vertical="center"/>
    </xf>
    <xf numFmtId="0" fontId="0" fillId="0" borderId="133" xfId="0" applyBorder="1" applyAlignment="1" applyProtection="1">
      <alignment vertical="center"/>
    </xf>
    <xf numFmtId="0" fontId="0" fillId="0" borderId="134" xfId="0" applyBorder="1" applyAlignment="1" applyProtection="1">
      <alignment vertical="center"/>
    </xf>
    <xf numFmtId="0" fontId="0" fillId="0" borderId="135" xfId="0" applyBorder="1" applyAlignment="1" applyProtection="1">
      <alignment vertical="center"/>
    </xf>
    <xf numFmtId="0" fontId="0" fillId="4" borderId="11" xfId="0" applyFill="1" applyBorder="1" applyAlignment="1" applyProtection="1">
      <alignment vertical="center"/>
    </xf>
    <xf numFmtId="0" fontId="6" fillId="0" borderId="36" xfId="0" applyFont="1" applyFill="1" applyBorder="1" applyAlignment="1" applyProtection="1">
      <alignment vertical="center"/>
    </xf>
    <xf numFmtId="0" fontId="21" fillId="12" borderId="249" xfId="0" applyFont="1" applyFill="1" applyBorder="1" applyAlignment="1" applyProtection="1">
      <alignment horizontal="left" vertical="center"/>
    </xf>
    <xf numFmtId="0" fontId="29" fillId="0" borderId="12" xfId="0" applyFont="1" applyBorder="1" applyAlignment="1" applyProtection="1">
      <alignment horizontal="center" vertical="center"/>
    </xf>
    <xf numFmtId="0" fontId="16" fillId="0" borderId="12" xfId="0" applyFont="1" applyFill="1" applyBorder="1" applyAlignment="1" applyProtection="1">
      <alignment vertical="center"/>
    </xf>
    <xf numFmtId="0" fontId="0" fillId="0" borderId="100" xfId="0" applyBorder="1" applyAlignment="1" applyProtection="1">
      <alignment vertical="center"/>
    </xf>
    <xf numFmtId="0" fontId="0" fillId="0" borderId="115" xfId="0" applyBorder="1" applyAlignment="1" applyProtection="1">
      <alignment vertical="center"/>
    </xf>
    <xf numFmtId="0" fontId="4" fillId="6" borderId="130" xfId="0" applyFont="1" applyFill="1" applyBorder="1" applyAlignment="1" applyProtection="1">
      <alignment vertical="center"/>
    </xf>
    <xf numFmtId="0" fontId="4" fillId="6" borderId="85" xfId="0" applyFont="1" applyFill="1" applyBorder="1" applyAlignment="1" applyProtection="1">
      <alignment vertical="center"/>
    </xf>
    <xf numFmtId="0" fontId="0" fillId="0" borderId="137" xfId="0" applyBorder="1" applyAlignment="1" applyProtection="1">
      <alignment vertical="center"/>
    </xf>
    <xf numFmtId="0" fontId="17" fillId="0" borderId="12" xfId="0" applyFont="1" applyFill="1" applyBorder="1" applyAlignment="1" applyProtection="1">
      <alignment horizontal="right" vertical="center"/>
    </xf>
    <xf numFmtId="0" fontId="17" fillId="0" borderId="12" xfId="0" applyFont="1" applyBorder="1" applyAlignment="1" applyProtection="1">
      <alignment horizontal="right" vertical="center"/>
    </xf>
    <xf numFmtId="0" fontId="31" fillId="0" borderId="12" xfId="0" applyFont="1" applyBorder="1" applyAlignment="1" applyProtection="1">
      <alignment horizontal="right" vertical="center"/>
    </xf>
    <xf numFmtId="0" fontId="31" fillId="0" borderId="12" xfId="0" applyFont="1" applyBorder="1" applyAlignment="1" applyProtection="1">
      <alignment vertical="center"/>
    </xf>
    <xf numFmtId="166" fontId="16" fillId="0" borderId="12" xfId="5" applyNumberFormat="1" applyFont="1" applyBorder="1" applyAlignment="1" applyProtection="1">
      <alignment vertical="center"/>
    </xf>
    <xf numFmtId="0" fontId="31" fillId="4" borderId="0" xfId="0" applyFont="1" applyFill="1" applyAlignment="1" applyProtection="1">
      <alignment vertical="center"/>
    </xf>
    <xf numFmtId="0" fontId="51" fillId="8" borderId="0" xfId="0" applyFont="1" applyFill="1" applyBorder="1" applyAlignment="1" applyProtection="1">
      <alignment vertical="center"/>
    </xf>
    <xf numFmtId="0" fontId="51" fillId="0" borderId="0" xfId="0" applyFont="1" applyFill="1" applyBorder="1" applyAlignment="1" applyProtection="1">
      <alignment vertical="center"/>
    </xf>
    <xf numFmtId="0" fontId="51" fillId="8" borderId="33" xfId="0" applyFont="1" applyFill="1" applyBorder="1" applyAlignment="1" applyProtection="1">
      <alignment vertical="center"/>
    </xf>
    <xf numFmtId="0" fontId="51" fillId="8" borderId="208" xfId="0" applyFont="1" applyFill="1" applyBorder="1" applyAlignment="1" applyProtection="1">
      <alignment vertical="center"/>
    </xf>
    <xf numFmtId="0" fontId="16" fillId="8" borderId="221" xfId="0" applyFont="1" applyFill="1" applyBorder="1" applyAlignment="1" applyProtection="1">
      <alignment horizontal="right" vertical="center"/>
    </xf>
    <xf numFmtId="0" fontId="16" fillId="0" borderId="221" xfId="0" applyFont="1" applyBorder="1" applyAlignment="1" applyProtection="1">
      <alignment horizontal="right" vertical="center"/>
    </xf>
    <xf numFmtId="0" fontId="16" fillId="0" borderId="221" xfId="0" applyNumberFormat="1" applyFont="1" applyBorder="1" applyAlignment="1" applyProtection="1">
      <alignment horizontal="right" vertical="center"/>
    </xf>
    <xf numFmtId="0" fontId="16" fillId="0" borderId="224" xfId="0" applyFont="1" applyBorder="1" applyAlignment="1" applyProtection="1">
      <alignment horizontal="right" vertical="center"/>
    </xf>
    <xf numFmtId="0" fontId="16" fillId="8" borderId="0" xfId="0" applyFont="1" applyFill="1" applyBorder="1" applyAlignment="1" applyProtection="1">
      <alignment vertical="center"/>
    </xf>
    <xf numFmtId="0" fontId="16" fillId="8" borderId="30" xfId="0" applyFont="1" applyFill="1" applyBorder="1" applyAlignment="1" applyProtection="1">
      <alignment vertical="center"/>
    </xf>
    <xf numFmtId="0" fontId="16" fillId="0" borderId="0" xfId="0" applyFont="1" applyFill="1" applyBorder="1" applyAlignment="1" applyProtection="1">
      <alignment vertical="center"/>
    </xf>
    <xf numFmtId="0" fontId="16" fillId="4" borderId="30" xfId="0" applyFont="1" applyFill="1" applyBorder="1" applyAlignment="1" applyProtection="1">
      <alignment vertical="center"/>
    </xf>
    <xf numFmtId="0" fontId="16" fillId="4" borderId="210" xfId="0" applyFont="1" applyFill="1" applyBorder="1" applyAlignment="1" applyProtection="1">
      <alignment vertical="center"/>
    </xf>
    <xf numFmtId="0" fontId="16" fillId="0" borderId="210" xfId="0" applyFont="1" applyFill="1" applyBorder="1" applyAlignment="1" applyProtection="1">
      <alignment vertical="center"/>
    </xf>
    <xf numFmtId="0" fontId="16" fillId="8" borderId="0"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30" xfId="0" applyFont="1" applyFill="1" applyBorder="1" applyAlignment="1" applyProtection="1">
      <alignment vertical="center"/>
    </xf>
    <xf numFmtId="0" fontId="16" fillId="19" borderId="90" xfId="0" applyFont="1" applyFill="1" applyBorder="1" applyAlignment="1" applyProtection="1">
      <alignment horizontal="left" vertical="center"/>
    </xf>
    <xf numFmtId="0" fontId="16" fillId="20" borderId="0" xfId="0" applyFont="1" applyFill="1" applyBorder="1" applyAlignment="1" applyProtection="1">
      <alignment horizontal="left" vertical="center"/>
    </xf>
    <xf numFmtId="0" fontId="16" fillId="8" borderId="93" xfId="0" applyFont="1" applyFill="1" applyBorder="1" applyAlignment="1" applyProtection="1">
      <alignment horizontal="left" vertical="center"/>
    </xf>
    <xf numFmtId="0" fontId="16" fillId="8" borderId="94" xfId="0" applyFont="1" applyFill="1" applyBorder="1" applyAlignment="1" applyProtection="1">
      <alignment horizontal="left" vertical="center"/>
    </xf>
    <xf numFmtId="0" fontId="21" fillId="0" borderId="49" xfId="0" applyFont="1" applyBorder="1" applyProtection="1"/>
    <xf numFmtId="0" fontId="0" fillId="0" borderId="49" xfId="0" applyBorder="1" applyProtection="1"/>
    <xf numFmtId="0" fontId="26" fillId="0" borderId="71" xfId="0" applyFont="1" applyFill="1" applyBorder="1" applyProtection="1"/>
    <xf numFmtId="0" fontId="26" fillId="0" borderId="74" xfId="0" applyFont="1" applyBorder="1" applyProtection="1"/>
    <xf numFmtId="0" fontId="26" fillId="0" borderId="76" xfId="0" applyFont="1" applyFill="1" applyBorder="1" applyProtection="1"/>
    <xf numFmtId="0" fontId="26" fillId="0" borderId="8" xfId="0" applyFont="1" applyBorder="1" applyProtection="1"/>
    <xf numFmtId="0" fontId="26" fillId="0" borderId="8" xfId="0" applyFont="1" applyFill="1" applyBorder="1" applyProtection="1"/>
    <xf numFmtId="0" fontId="26" fillId="0" borderId="78" xfId="0" applyFont="1" applyFill="1" applyBorder="1" applyProtection="1"/>
    <xf numFmtId="0" fontId="26" fillId="0" borderId="81" xfId="0" applyFont="1" applyFill="1" applyBorder="1" applyProtection="1"/>
    <xf numFmtId="0" fontId="0" fillId="0" borderId="51" xfId="0" applyBorder="1" applyProtection="1"/>
    <xf numFmtId="0" fontId="0" fillId="0" borderId="46" xfId="0" applyBorder="1" applyProtection="1"/>
    <xf numFmtId="0" fontId="0" fillId="0" borderId="11" xfId="0" applyFill="1" applyBorder="1" applyProtection="1"/>
    <xf numFmtId="0" fontId="0" fillId="0" borderId="107" xfId="0" applyFill="1" applyBorder="1" applyProtection="1"/>
    <xf numFmtId="0" fontId="0" fillId="0" borderId="66" xfId="0" applyBorder="1" applyAlignment="1" applyProtection="1">
      <alignment vertical="center"/>
    </xf>
    <xf numFmtId="0" fontId="21" fillId="0" borderId="195" xfId="0" applyFont="1" applyBorder="1" applyAlignment="1" applyProtection="1">
      <alignment vertical="center"/>
    </xf>
    <xf numFmtId="0" fontId="26" fillId="0" borderId="71" xfId="0" applyFont="1" applyFill="1" applyBorder="1" applyAlignment="1" applyProtection="1">
      <alignment vertical="center"/>
    </xf>
    <xf numFmtId="0" fontId="26" fillId="0" borderId="74" xfId="0" applyFont="1" applyBorder="1" applyAlignment="1" applyProtection="1">
      <alignment vertical="center"/>
    </xf>
    <xf numFmtId="0" fontId="0" fillId="4" borderId="40" xfId="0" applyFill="1" applyBorder="1" applyAlignment="1" applyProtection="1">
      <alignment vertical="center"/>
    </xf>
    <xf numFmtId="0" fontId="0" fillId="4" borderId="41" xfId="0" applyFill="1" applyBorder="1" applyAlignment="1" applyProtection="1">
      <alignment horizontal="right" vertical="center"/>
    </xf>
    <xf numFmtId="0" fontId="26" fillId="0" borderId="76" xfId="0" applyFont="1" applyFill="1" applyBorder="1" applyAlignment="1" applyProtection="1">
      <alignment vertical="center"/>
    </xf>
    <xf numFmtId="0" fontId="26" fillId="0" borderId="8" xfId="0" applyFont="1" applyBorder="1" applyAlignment="1" applyProtection="1">
      <alignment vertical="center"/>
    </xf>
    <xf numFmtId="0" fontId="26" fillId="0" borderId="8" xfId="0" applyFont="1" applyFill="1" applyBorder="1" applyAlignment="1" applyProtection="1">
      <alignment vertical="center"/>
    </xf>
    <xf numFmtId="0" fontId="26" fillId="0" borderId="78" xfId="0" applyFont="1" applyFill="1" applyBorder="1" applyAlignment="1" applyProtection="1">
      <alignment vertical="center"/>
    </xf>
    <xf numFmtId="0" fontId="26" fillId="0" borderId="81" xfId="0" applyFont="1" applyFill="1" applyBorder="1" applyAlignment="1" applyProtection="1">
      <alignment vertical="center"/>
    </xf>
    <xf numFmtId="0" fontId="0" fillId="4" borderId="43" xfId="0" applyFill="1" applyBorder="1" applyAlignment="1" applyProtection="1">
      <alignment vertical="center"/>
    </xf>
    <xf numFmtId="0" fontId="0" fillId="4" borderId="44" xfId="0" applyFill="1" applyBorder="1" applyAlignment="1" applyProtection="1">
      <alignment horizontal="right" vertical="center"/>
    </xf>
    <xf numFmtId="0" fontId="0" fillId="4" borderId="35" xfId="0" applyFill="1" applyBorder="1" applyAlignment="1" applyProtection="1">
      <alignment horizontal="right" vertical="center"/>
    </xf>
    <xf numFmtId="0" fontId="0" fillId="4" borderId="51" xfId="0" applyFill="1" applyBorder="1" applyAlignment="1" applyProtection="1">
      <alignment vertical="center"/>
    </xf>
    <xf numFmtId="0" fontId="0" fillId="4" borderId="46" xfId="0" applyFill="1" applyBorder="1" applyAlignment="1" applyProtection="1">
      <alignment horizontal="right" vertical="center"/>
    </xf>
    <xf numFmtId="0" fontId="37" fillId="0" borderId="75" xfId="0" applyFont="1" applyFill="1" applyBorder="1" applyAlignment="1" applyProtection="1">
      <alignment horizontal="center" vertical="center"/>
    </xf>
    <xf numFmtId="0" fontId="37" fillId="0" borderId="77" xfId="0" applyFont="1" applyBorder="1" applyAlignment="1" applyProtection="1">
      <alignment horizontal="center" vertical="center" wrapText="1"/>
    </xf>
    <xf numFmtId="0" fontId="37" fillId="0" borderId="111" xfId="0" applyFont="1" applyBorder="1" applyAlignment="1" applyProtection="1">
      <alignment horizontal="center" vertical="center" wrapText="1"/>
    </xf>
    <xf numFmtId="0" fontId="26" fillId="11" borderId="270" xfId="0" applyFont="1" applyFill="1" applyBorder="1" applyAlignment="1" applyProtection="1">
      <alignment horizontal="left" vertical="center"/>
    </xf>
    <xf numFmtId="0" fontId="26" fillId="0" borderId="0" xfId="0" applyFont="1" applyBorder="1" applyAlignment="1" applyProtection="1">
      <alignment horizontal="left" vertical="center"/>
    </xf>
    <xf numFmtId="0" fontId="26" fillId="4" borderId="0" xfId="0" applyFont="1" applyFill="1" applyBorder="1" applyAlignment="1" applyProtection="1">
      <alignment horizontal="left" vertical="center"/>
    </xf>
    <xf numFmtId="0" fontId="26" fillId="11" borderId="0" xfId="0" applyFont="1" applyFill="1" applyBorder="1" applyAlignment="1" applyProtection="1">
      <alignment horizontal="left" vertical="center"/>
    </xf>
    <xf numFmtId="0" fontId="26" fillId="0" borderId="273" xfId="0" applyFont="1" applyBorder="1" applyAlignment="1" applyProtection="1">
      <alignment horizontal="left" vertical="center"/>
    </xf>
    <xf numFmtId="0" fontId="26" fillId="0" borderId="271" xfId="0" applyFont="1" applyFill="1" applyBorder="1" applyAlignment="1" applyProtection="1">
      <alignment horizontal="right" vertical="center"/>
    </xf>
    <xf numFmtId="0" fontId="26" fillId="0" borderId="276" xfId="0" applyFont="1" applyFill="1" applyBorder="1" applyAlignment="1" applyProtection="1">
      <alignment horizontal="right" vertical="center"/>
    </xf>
    <xf numFmtId="0" fontId="26" fillId="0" borderId="274" xfId="0" applyFont="1" applyFill="1" applyBorder="1" applyAlignment="1" applyProtection="1">
      <alignment horizontal="right" vertical="center"/>
    </xf>
    <xf numFmtId="0" fontId="31" fillId="2" borderId="40" xfId="0" applyFont="1" applyFill="1" applyBorder="1" applyAlignment="1" applyProtection="1">
      <alignment vertical="center"/>
      <protection locked="0"/>
    </xf>
    <xf numFmtId="0" fontId="52" fillId="11" borderId="270" xfId="0" applyFont="1" applyFill="1" applyBorder="1" applyAlignment="1" applyProtection="1">
      <alignment horizontal="left" vertical="center"/>
    </xf>
    <xf numFmtId="0" fontId="52" fillId="0" borderId="0" xfId="0" applyFont="1" applyFill="1" applyBorder="1" applyAlignment="1" applyProtection="1">
      <alignment horizontal="left" vertical="center"/>
    </xf>
    <xf numFmtId="0" fontId="52" fillId="11" borderId="0" xfId="0" applyFont="1" applyFill="1" applyBorder="1" applyAlignment="1" applyProtection="1">
      <alignment horizontal="left" vertical="center"/>
    </xf>
    <xf numFmtId="0" fontId="52" fillId="4" borderId="0" xfId="0" applyFont="1" applyFill="1" applyBorder="1" applyAlignment="1" applyProtection="1">
      <alignment horizontal="left" vertical="center"/>
    </xf>
    <xf numFmtId="0" fontId="52" fillId="0" borderId="273" xfId="0" applyFont="1" applyFill="1" applyBorder="1" applyAlignment="1" applyProtection="1">
      <alignment horizontal="left" vertical="center"/>
    </xf>
    <xf numFmtId="0" fontId="26" fillId="0" borderId="276" xfId="0" applyNumberFormat="1" applyFont="1" applyFill="1" applyBorder="1" applyAlignment="1" applyProtection="1">
      <alignment horizontal="right" vertical="center"/>
    </xf>
    <xf numFmtId="0" fontId="37" fillId="0" borderId="77" xfId="0" applyFont="1" applyFill="1" applyBorder="1" applyAlignment="1" applyProtection="1">
      <alignment horizontal="center" vertical="center" wrapText="1"/>
    </xf>
    <xf numFmtId="0" fontId="52" fillId="11" borderId="276" xfId="0" applyFont="1" applyFill="1" applyBorder="1" applyAlignment="1" applyProtection="1">
      <alignment horizontal="left" vertical="center"/>
    </xf>
    <xf numFmtId="0" fontId="52" fillId="0" borderId="0" xfId="0" applyFont="1" applyBorder="1" applyAlignment="1" applyProtection="1">
      <alignment horizontal="left" vertical="center"/>
    </xf>
    <xf numFmtId="0" fontId="52" fillId="0" borderId="276" xfId="0" applyFont="1" applyBorder="1" applyAlignment="1" applyProtection="1">
      <alignment horizontal="left" vertical="center"/>
    </xf>
    <xf numFmtId="0" fontId="52" fillId="4" borderId="276" xfId="0" applyFont="1" applyFill="1" applyBorder="1" applyAlignment="1" applyProtection="1">
      <alignment horizontal="left" vertical="center"/>
    </xf>
    <xf numFmtId="0" fontId="52" fillId="11" borderId="273" xfId="0" applyFont="1" applyFill="1" applyBorder="1" applyAlignment="1" applyProtection="1">
      <alignment horizontal="left" vertical="center"/>
    </xf>
    <xf numFmtId="0" fontId="52" fillId="11" borderId="274" xfId="0" applyFont="1" applyFill="1" applyBorder="1" applyAlignment="1" applyProtection="1">
      <alignment horizontal="left" vertical="center"/>
    </xf>
    <xf numFmtId="0" fontId="53" fillId="0" borderId="75" xfId="0" applyFont="1" applyBorder="1" applyAlignment="1" applyProtection="1">
      <alignment horizontal="center" vertical="center"/>
    </xf>
    <xf numFmtId="0" fontId="53" fillId="0" borderId="77" xfId="0" applyFont="1" applyFill="1" applyBorder="1" applyAlignment="1" applyProtection="1">
      <alignment horizontal="center" vertical="center" wrapText="1"/>
    </xf>
    <xf numFmtId="0" fontId="52" fillId="0" borderId="267" xfId="0" applyFont="1" applyFill="1" applyBorder="1" applyAlignment="1" applyProtection="1">
      <alignment horizontal="right" vertical="center"/>
    </xf>
    <xf numFmtId="0" fontId="52" fillId="0" borderId="277" xfId="0" applyFont="1" applyFill="1" applyBorder="1" applyAlignment="1" applyProtection="1">
      <alignment horizontal="right" vertical="center"/>
    </xf>
    <xf numFmtId="0" fontId="52" fillId="0" borderId="277" xfId="0" applyNumberFormat="1" applyFont="1" applyFill="1" applyBorder="1" applyAlignment="1" applyProtection="1">
      <alignment horizontal="right" vertical="center"/>
    </xf>
    <xf numFmtId="0" fontId="52" fillId="0" borderId="268" xfId="0" applyFont="1" applyFill="1" applyBorder="1" applyAlignment="1" applyProtection="1">
      <alignment horizontal="right" vertical="center"/>
    </xf>
    <xf numFmtId="0" fontId="37" fillId="0" borderId="274" xfId="0" applyFont="1" applyFill="1" applyBorder="1" applyAlignment="1" applyProtection="1">
      <alignment horizontal="center" vertical="center" wrapText="1"/>
    </xf>
    <xf numFmtId="0" fontId="53" fillId="0" borderId="274" xfId="0" applyFont="1" applyFill="1" applyBorder="1" applyAlignment="1" applyProtection="1">
      <alignment horizontal="center" vertical="center" wrapText="1"/>
    </xf>
    <xf numFmtId="0" fontId="52" fillId="0" borderId="276" xfId="0" applyFont="1" applyFill="1" applyBorder="1" applyAlignment="1" applyProtection="1">
      <alignment horizontal="right" vertical="center"/>
    </xf>
    <xf numFmtId="0" fontId="52" fillId="0" borderId="276" xfId="0" applyNumberFormat="1" applyFont="1" applyFill="1" applyBorder="1" applyAlignment="1" applyProtection="1">
      <alignment horizontal="right" vertical="center"/>
    </xf>
    <xf numFmtId="0" fontId="52" fillId="0" borderId="274" xfId="0" applyNumberFormat="1" applyFont="1" applyFill="1" applyBorder="1" applyAlignment="1" applyProtection="1">
      <alignment horizontal="right" vertical="center"/>
    </xf>
    <xf numFmtId="0" fontId="17" fillId="0" borderId="12" xfId="0" applyFont="1" applyFill="1" applyBorder="1" applyAlignment="1" applyProtection="1">
      <alignment vertical="center"/>
    </xf>
    <xf numFmtId="0" fontId="31" fillId="0" borderId="12" xfId="0" applyFont="1" applyFill="1" applyBorder="1" applyAlignment="1" applyProtection="1">
      <alignment horizontal="right" vertical="center"/>
    </xf>
    <xf numFmtId="0" fontId="0" fillId="0" borderId="12" xfId="0" applyFill="1" applyBorder="1" applyAlignment="1" applyProtection="1">
      <alignment vertical="center"/>
    </xf>
    <xf numFmtId="0" fontId="0" fillId="4" borderId="114" xfId="0" applyFill="1" applyBorder="1" applyAlignment="1" applyProtection="1">
      <alignment vertical="center"/>
    </xf>
    <xf numFmtId="0" fontId="37" fillId="0" borderId="262" xfId="0" applyFont="1" applyBorder="1" applyAlignment="1" applyProtection="1">
      <alignment horizontal="center" vertical="center"/>
    </xf>
    <xf numFmtId="166" fontId="37" fillId="0" borderId="273" xfId="5" applyNumberFormat="1" applyFont="1" applyFill="1" applyBorder="1" applyAlignment="1" applyProtection="1">
      <alignment horizontal="center" vertical="center" wrapText="1"/>
    </xf>
    <xf numFmtId="166" fontId="37" fillId="0" borderId="281" xfId="5" applyNumberFormat="1" applyFont="1" applyFill="1" applyBorder="1" applyAlignment="1" applyProtection="1">
      <alignment horizontal="center" vertical="center" wrapText="1"/>
    </xf>
    <xf numFmtId="0" fontId="21" fillId="0" borderId="276" xfId="0" applyFont="1" applyFill="1" applyBorder="1" applyAlignment="1" applyProtection="1">
      <alignment horizontal="right" vertical="center"/>
    </xf>
    <xf numFmtId="0" fontId="21" fillId="0" borderId="274" xfId="0" applyFont="1" applyFill="1" applyBorder="1" applyAlignment="1" applyProtection="1">
      <alignment horizontal="right" vertical="center"/>
    </xf>
    <xf numFmtId="0" fontId="15" fillId="4" borderId="0" xfId="0" applyFont="1" applyFill="1" applyAlignment="1" applyProtection="1">
      <alignment vertical="center"/>
    </xf>
    <xf numFmtId="0" fontId="16" fillId="4" borderId="285" xfId="0" applyFont="1" applyFill="1" applyBorder="1" applyAlignment="1" applyProtection="1">
      <alignment horizontal="left" vertical="center"/>
    </xf>
    <xf numFmtId="0" fontId="16" fillId="8" borderId="285" xfId="0" applyFont="1" applyFill="1" applyBorder="1" applyAlignment="1" applyProtection="1">
      <alignment horizontal="left" vertical="center"/>
    </xf>
    <xf numFmtId="0" fontId="42" fillId="0" borderId="157" xfId="0" applyFont="1" applyBorder="1" applyAlignment="1" applyProtection="1">
      <alignment horizontal="center" vertical="center" wrapText="1"/>
    </xf>
    <xf numFmtId="0" fontId="42" fillId="0" borderId="152" xfId="0" applyFont="1" applyFill="1" applyBorder="1" applyAlignment="1" applyProtection="1">
      <alignment horizontal="center" vertical="center" wrapText="1"/>
    </xf>
    <xf numFmtId="0" fontId="0" fillId="0" borderId="35" xfId="0" applyBorder="1" applyProtection="1"/>
    <xf numFmtId="0" fontId="0" fillId="0" borderId="106" xfId="0" applyBorder="1" applyProtection="1"/>
    <xf numFmtId="0" fontId="40" fillId="0" borderId="143" xfId="0" applyFont="1" applyFill="1" applyBorder="1" applyProtection="1"/>
    <xf numFmtId="0" fontId="40" fillId="0" borderId="148" xfId="0" applyFont="1" applyFill="1" applyBorder="1" applyProtection="1"/>
    <xf numFmtId="0" fontId="40" fillId="0" borderId="35" xfId="0" applyFont="1" applyBorder="1" applyAlignment="1" applyProtection="1"/>
    <xf numFmtId="0" fontId="40" fillId="0" borderId="150" xfId="0" applyFont="1" applyFill="1" applyBorder="1" applyProtection="1"/>
    <xf numFmtId="0" fontId="40" fillId="0" borderId="159" xfId="0" applyFont="1" applyBorder="1" applyAlignment="1" applyProtection="1"/>
    <xf numFmtId="0" fontId="29" fillId="8" borderId="0" xfId="0" applyFont="1" applyFill="1" applyBorder="1" applyAlignment="1" applyProtection="1">
      <alignment vertical="center"/>
    </xf>
    <xf numFmtId="0" fontId="29" fillId="4" borderId="0" xfId="0" applyFont="1" applyFill="1" applyBorder="1" applyAlignment="1" applyProtection="1">
      <alignment vertical="center"/>
    </xf>
    <xf numFmtId="0" fontId="29" fillId="8" borderId="93" xfId="0" applyFont="1" applyFill="1" applyBorder="1" applyAlignment="1" applyProtection="1">
      <alignment vertical="center"/>
    </xf>
    <xf numFmtId="0" fontId="42" fillId="0" borderId="8" xfId="0" applyFont="1" applyBorder="1" applyAlignment="1" applyProtection="1">
      <alignment horizontal="center" vertical="center"/>
      <protection locked="0"/>
    </xf>
    <xf numFmtId="0" fontId="42" fillId="0" borderId="114" xfId="0" applyFont="1" applyBorder="1" applyAlignment="1" applyProtection="1">
      <alignment horizontal="center" vertical="center"/>
      <protection locked="0"/>
    </xf>
    <xf numFmtId="0" fontId="11" fillId="0" borderId="12" xfId="0" applyFont="1" applyBorder="1" applyProtection="1"/>
    <xf numFmtId="0" fontId="11" fillId="0" borderId="13" xfId="0" applyFont="1" applyFill="1" applyBorder="1" applyProtection="1"/>
    <xf numFmtId="0" fontId="11" fillId="0" borderId="15" xfId="0" applyFont="1" applyBorder="1" applyProtection="1"/>
    <xf numFmtId="0" fontId="11" fillId="0" borderId="16" xfId="0" applyFont="1" applyFill="1" applyBorder="1" applyProtection="1"/>
    <xf numFmtId="0" fontId="11" fillId="0" borderId="8" xfId="0" applyFont="1" applyBorder="1" applyProtection="1"/>
    <xf numFmtId="0" fontId="11" fillId="0" borderId="35" xfId="0" applyFont="1" applyFill="1" applyBorder="1" applyProtection="1"/>
    <xf numFmtId="0" fontId="11" fillId="0" borderId="18" xfId="0" applyFont="1" applyFill="1" applyBorder="1" applyProtection="1"/>
    <xf numFmtId="0" fontId="11" fillId="0" borderId="180" xfId="0" applyFont="1" applyFill="1" applyBorder="1" applyProtection="1"/>
    <xf numFmtId="0" fontId="11" fillId="0" borderId="11" xfId="0" applyFont="1" applyBorder="1" applyProtection="1"/>
    <xf numFmtId="0" fontId="0" fillId="0" borderId="303" xfId="0" applyBorder="1" applyProtection="1"/>
    <xf numFmtId="0" fontId="0" fillId="0" borderId="304" xfId="0" applyBorder="1" applyProtection="1"/>
    <xf numFmtId="0" fontId="4" fillId="5" borderId="305" xfId="0" applyFont="1" applyFill="1" applyBorder="1" applyAlignment="1" applyProtection="1">
      <alignment vertical="center"/>
    </xf>
    <xf numFmtId="0" fontId="4" fillId="5" borderId="306" xfId="0" applyFont="1" applyFill="1" applyBorder="1" applyAlignment="1" applyProtection="1">
      <alignment vertical="center"/>
    </xf>
    <xf numFmtId="0" fontId="4" fillId="5" borderId="93" xfId="0" applyFont="1" applyFill="1" applyBorder="1" applyAlignment="1" applyProtection="1">
      <alignment vertical="center"/>
    </xf>
    <xf numFmtId="0" fontId="4" fillId="5" borderId="94" xfId="0" applyFont="1" applyFill="1" applyBorder="1" applyAlignment="1" applyProtection="1">
      <alignment vertical="center"/>
    </xf>
    <xf numFmtId="0" fontId="4" fillId="6" borderId="300" xfId="0" applyFont="1" applyFill="1" applyBorder="1" applyAlignment="1" applyProtection="1">
      <alignment vertical="center"/>
    </xf>
    <xf numFmtId="0" fontId="4" fillId="6" borderId="301" xfId="0" applyFont="1" applyFill="1" applyBorder="1" applyAlignment="1" applyProtection="1">
      <alignment vertical="center"/>
    </xf>
    <xf numFmtId="0" fontId="4" fillId="7" borderId="309" xfId="0" applyFont="1" applyFill="1" applyBorder="1" applyAlignment="1" applyProtection="1">
      <alignment vertical="center"/>
    </xf>
    <xf numFmtId="0" fontId="4" fillId="7" borderId="310" xfId="0" applyFont="1" applyFill="1" applyBorder="1" applyAlignment="1" applyProtection="1">
      <alignment vertical="center"/>
    </xf>
    <xf numFmtId="0" fontId="4" fillId="7" borderId="311" xfId="0" applyFont="1" applyFill="1" applyBorder="1" applyAlignment="1" applyProtection="1">
      <alignment vertical="center"/>
    </xf>
    <xf numFmtId="0" fontId="4" fillId="7" borderId="312" xfId="0" applyFont="1" applyFill="1" applyBorder="1" applyAlignment="1" applyProtection="1">
      <alignment vertical="center"/>
    </xf>
    <xf numFmtId="0" fontId="52" fillId="23" borderId="270" xfId="0" applyFont="1" applyFill="1" applyBorder="1" applyAlignment="1" applyProtection="1">
      <alignment vertical="center"/>
    </xf>
    <xf numFmtId="0" fontId="52" fillId="0" borderId="0" xfId="0" applyFont="1" applyBorder="1" applyAlignment="1" applyProtection="1">
      <alignment vertical="center"/>
    </xf>
    <xf numFmtId="0" fontId="52" fillId="23" borderId="0" xfId="0" applyFont="1" applyFill="1" applyBorder="1" applyAlignment="1" applyProtection="1">
      <alignment vertical="center"/>
    </xf>
    <xf numFmtId="0" fontId="52" fillId="23" borderId="80" xfId="0" applyFont="1" applyFill="1" applyBorder="1" applyAlignment="1" applyProtection="1">
      <alignment vertical="center"/>
    </xf>
    <xf numFmtId="0" fontId="31" fillId="0" borderId="11" xfId="0" applyFont="1" applyBorder="1" applyAlignment="1" applyProtection="1">
      <alignment vertical="center"/>
    </xf>
    <xf numFmtId="0" fontId="21" fillId="0" borderId="320" xfId="0" applyFont="1" applyBorder="1" applyAlignment="1" applyProtection="1">
      <alignment vertical="center"/>
    </xf>
    <xf numFmtId="0" fontId="38" fillId="25" borderId="0" xfId="6" applyFill="1" applyBorder="1" applyAlignment="1" applyProtection="1">
      <alignment horizontal="center" vertical="center" wrapText="1"/>
    </xf>
    <xf numFmtId="0" fontId="26" fillId="4" borderId="273" xfId="0" applyFont="1" applyFill="1" applyBorder="1" applyAlignment="1" applyProtection="1">
      <alignment horizontal="left" vertical="center"/>
    </xf>
    <xf numFmtId="0" fontId="6" fillId="4" borderId="114" xfId="0" applyFont="1" applyFill="1" applyBorder="1" applyProtection="1"/>
    <xf numFmtId="0" fontId="21" fillId="4" borderId="108" xfId="0" applyFont="1" applyFill="1" applyBorder="1" applyAlignment="1" applyProtection="1">
      <alignment horizontal="left" vertical="center"/>
    </xf>
    <xf numFmtId="0" fontId="21" fillId="4" borderId="249" xfId="0" applyFont="1" applyFill="1" applyBorder="1" applyAlignment="1" applyProtection="1">
      <alignment horizontal="left" vertical="center"/>
    </xf>
    <xf numFmtId="0" fontId="21" fillId="4" borderId="252" xfId="0" applyFont="1" applyFill="1" applyBorder="1" applyAlignment="1" applyProtection="1">
      <alignment horizontal="left" vertical="center"/>
    </xf>
    <xf numFmtId="0" fontId="5" fillId="4" borderId="256" xfId="0" applyFont="1" applyFill="1" applyBorder="1" applyAlignment="1">
      <alignment horizontal="center" vertical="center"/>
    </xf>
    <xf numFmtId="0" fontId="17" fillId="4" borderId="0" xfId="0" applyFont="1" applyFill="1" applyBorder="1" applyAlignment="1">
      <alignment horizontal="center"/>
    </xf>
    <xf numFmtId="0" fontId="17" fillId="4" borderId="0" xfId="0" applyFont="1" applyFill="1" applyBorder="1" applyAlignment="1">
      <alignment horizontal="center" vertical="center"/>
    </xf>
    <xf numFmtId="0" fontId="0" fillId="0" borderId="0" xfId="0" applyAlignment="1">
      <alignment horizontal="center" vertical="center"/>
    </xf>
    <xf numFmtId="0" fontId="11" fillId="0" borderId="8" xfId="0" applyFont="1" applyBorder="1" applyAlignment="1" applyProtection="1">
      <alignment horizontal="left" wrapText="1"/>
    </xf>
    <xf numFmtId="0" fontId="11" fillId="0" borderId="8" xfId="0" applyFont="1" applyBorder="1" applyAlignment="1" applyProtection="1">
      <alignment horizontal="left"/>
    </xf>
    <xf numFmtId="0" fontId="0" fillId="0" borderId="107" xfId="0" applyBorder="1" applyAlignment="1" applyProtection="1">
      <alignment vertical="center"/>
    </xf>
    <xf numFmtId="0" fontId="0" fillId="0" borderId="46" xfId="0" applyFill="1" applyBorder="1" applyAlignment="1" applyProtection="1">
      <alignment vertical="center"/>
    </xf>
    <xf numFmtId="0" fontId="0" fillId="0" borderId="355" xfId="0" applyFill="1" applyBorder="1" applyAlignment="1" applyProtection="1">
      <alignment vertical="center"/>
    </xf>
    <xf numFmtId="0" fontId="17" fillId="21" borderId="0" xfId="0" applyFont="1" applyFill="1" applyBorder="1"/>
    <xf numFmtId="0" fontId="0" fillId="21" borderId="0" xfId="0" applyFill="1"/>
    <xf numFmtId="0" fontId="59" fillId="0" borderId="0" xfId="0" applyFont="1"/>
    <xf numFmtId="0" fontId="10" fillId="36" borderId="0" xfId="0" applyFont="1" applyFill="1"/>
    <xf numFmtId="0" fontId="30" fillId="4" borderId="8" xfId="0" applyFont="1" applyFill="1" applyBorder="1" applyAlignment="1" applyProtection="1">
      <alignment horizontal="center" vertical="center" wrapText="1"/>
    </xf>
    <xf numFmtId="0" fontId="30" fillId="4" borderId="0" xfId="0" applyFont="1" applyFill="1" applyAlignment="1" applyProtection="1">
      <alignment horizontal="center" vertical="center" wrapText="1"/>
    </xf>
    <xf numFmtId="0" fontId="31" fillId="4" borderId="114" xfId="0" applyFont="1" applyFill="1" applyBorder="1" applyAlignment="1" applyProtection="1">
      <alignment vertical="center"/>
    </xf>
    <xf numFmtId="0" fontId="31" fillId="4" borderId="8" xfId="0" applyFont="1" applyFill="1" applyBorder="1" applyAlignment="1" applyProtection="1">
      <alignment vertical="center"/>
    </xf>
    <xf numFmtId="0" fontId="15" fillId="4" borderId="0" xfId="0" applyFont="1" applyFill="1" applyAlignment="1" applyProtection="1">
      <alignment vertical="center" wrapText="1"/>
    </xf>
    <xf numFmtId="0" fontId="15" fillId="4" borderId="8" xfId="0" applyFont="1" applyFill="1" applyBorder="1" applyAlignment="1" applyProtection="1">
      <alignment vertical="center" wrapText="1"/>
    </xf>
    <xf numFmtId="0" fontId="19" fillId="4" borderId="0" xfId="0" applyFont="1" applyFill="1" applyAlignment="1" applyProtection="1">
      <alignment horizontal="center" vertical="center"/>
    </xf>
    <xf numFmtId="0" fontId="19" fillId="4" borderId="8" xfId="0" applyFont="1" applyFill="1" applyBorder="1" applyAlignment="1" applyProtection="1">
      <alignment horizontal="center" vertical="center"/>
    </xf>
    <xf numFmtId="0" fontId="0" fillId="4" borderId="0" xfId="0" applyFill="1" applyBorder="1" applyProtection="1"/>
    <xf numFmtId="0" fontId="0" fillId="0" borderId="35" xfId="0" applyFont="1" applyFill="1" applyBorder="1" applyProtection="1"/>
    <xf numFmtId="0" fontId="0" fillId="4" borderId="0" xfId="0" applyFont="1" applyFill="1" applyBorder="1" applyProtection="1"/>
    <xf numFmtId="164" fontId="2" fillId="2" borderId="0" xfId="1" applyNumberFormat="1" applyFont="1" applyFill="1" applyBorder="1" applyAlignment="1" applyProtection="1">
      <alignment vertical="center"/>
    </xf>
    <xf numFmtId="0" fontId="0" fillId="0" borderId="114" xfId="0" applyBorder="1" applyAlignment="1" applyProtection="1"/>
    <xf numFmtId="0" fontId="0" fillId="4" borderId="0" xfId="0" applyFill="1" applyAlignment="1" applyProtection="1"/>
    <xf numFmtId="0" fontId="0" fillId="0" borderId="8" xfId="0" applyBorder="1" applyAlignment="1" applyProtection="1">
      <alignment horizontal="center" vertical="center" wrapText="1"/>
    </xf>
    <xf numFmtId="0" fontId="0" fillId="4" borderId="0" xfId="0" applyFill="1" applyAlignment="1" applyProtection="1">
      <alignment horizontal="center" vertical="center" wrapText="1"/>
    </xf>
    <xf numFmtId="0" fontId="0" fillId="0" borderId="8" xfId="0" applyBorder="1" applyAlignment="1" applyProtection="1"/>
    <xf numFmtId="0" fontId="31" fillId="4" borderId="0" xfId="0" applyFont="1" applyFill="1" applyProtection="1"/>
    <xf numFmtId="0" fontId="0" fillId="4" borderId="0" xfId="0" applyFill="1" applyBorder="1" applyAlignment="1" applyProtection="1">
      <alignment vertical="center"/>
    </xf>
    <xf numFmtId="0" fontId="15" fillId="4" borderId="0" xfId="0" applyFont="1" applyFill="1" applyBorder="1" applyAlignment="1" applyProtection="1">
      <alignment vertical="center"/>
    </xf>
    <xf numFmtId="0" fontId="30" fillId="0" borderId="318" xfId="0" applyFont="1" applyBorder="1" applyAlignment="1" applyProtection="1">
      <alignment horizontal="center" vertical="center" wrapText="1"/>
    </xf>
    <xf numFmtId="0" fontId="30" fillId="0" borderId="317" xfId="0" applyFont="1" applyBorder="1" applyAlignment="1" applyProtection="1">
      <alignment horizontal="center" vertical="center" wrapText="1"/>
    </xf>
    <xf numFmtId="0" fontId="30" fillId="0" borderId="319" xfId="0" applyFont="1" applyBorder="1" applyAlignment="1" applyProtection="1">
      <alignment horizontal="center" vertical="center" wrapText="1"/>
    </xf>
    <xf numFmtId="0" fontId="30" fillId="4" borderId="0" xfId="0" applyFont="1" applyFill="1" applyBorder="1" applyAlignment="1" applyProtection="1">
      <alignment horizontal="center" vertical="center" wrapText="1"/>
    </xf>
    <xf numFmtId="0" fontId="15" fillId="4" borderId="352" xfId="0" applyFont="1" applyFill="1" applyBorder="1" applyAlignment="1" applyProtection="1">
      <alignment vertical="center"/>
    </xf>
    <xf numFmtId="166" fontId="16" fillId="8" borderId="90" xfId="5" applyNumberFormat="1" applyFont="1" applyFill="1" applyBorder="1" applyAlignment="1" applyProtection="1">
      <alignment horizontal="right" vertical="center"/>
    </xf>
    <xf numFmtId="166" fontId="16" fillId="8" borderId="90" xfId="5" applyNumberFormat="1" applyFont="1" applyFill="1" applyBorder="1" applyAlignment="1" applyProtection="1">
      <alignment horizontal="left" vertical="center"/>
    </xf>
    <xf numFmtId="166" fontId="16" fillId="8" borderId="89" xfId="5" applyNumberFormat="1" applyFont="1" applyFill="1" applyBorder="1" applyAlignment="1" applyProtection="1">
      <alignment horizontal="left" vertical="center"/>
    </xf>
    <xf numFmtId="0" fontId="0" fillId="4" borderId="352" xfId="0" applyFill="1" applyBorder="1" applyAlignment="1" applyProtection="1">
      <alignment vertical="center"/>
    </xf>
    <xf numFmtId="166" fontId="16" fillId="0" borderId="0" xfId="5" applyNumberFormat="1" applyFont="1" applyAlignment="1" applyProtection="1">
      <alignment horizontal="left" vertical="center"/>
    </xf>
    <xf numFmtId="166" fontId="16" fillId="0" borderId="0" xfId="5" applyNumberFormat="1" applyFont="1" applyBorder="1" applyAlignment="1" applyProtection="1">
      <alignment horizontal="left" vertical="center"/>
    </xf>
    <xf numFmtId="166" fontId="16" fillId="0" borderId="87" xfId="5" applyNumberFormat="1" applyFont="1" applyBorder="1" applyAlignment="1" applyProtection="1">
      <alignment horizontal="left" vertical="center"/>
    </xf>
    <xf numFmtId="0" fontId="16" fillId="0" borderId="86" xfId="0" applyFont="1" applyBorder="1" applyAlignment="1" applyProtection="1">
      <alignment horizontal="center" vertical="center"/>
    </xf>
    <xf numFmtId="166" fontId="16" fillId="8" borderId="0" xfId="5" applyNumberFormat="1" applyFont="1" applyFill="1" applyAlignment="1" applyProtection="1">
      <alignment horizontal="left" vertical="center"/>
    </xf>
    <xf numFmtId="166" fontId="16" fillId="8" borderId="0" xfId="5" applyNumberFormat="1" applyFont="1" applyFill="1" applyBorder="1" applyAlignment="1" applyProtection="1">
      <alignment horizontal="left" vertical="center"/>
    </xf>
    <xf numFmtId="166" fontId="16" fillId="8" borderId="87" xfId="5" applyNumberFormat="1" applyFont="1" applyFill="1" applyBorder="1" applyAlignment="1" applyProtection="1">
      <alignment horizontal="left" vertical="center"/>
    </xf>
    <xf numFmtId="0" fontId="16" fillId="8" borderId="86" xfId="0" applyFont="1" applyFill="1" applyBorder="1" applyAlignment="1" applyProtection="1">
      <alignment horizontal="center" vertical="center"/>
    </xf>
    <xf numFmtId="166" fontId="16" fillId="29" borderId="0" xfId="5" applyNumberFormat="1" applyFont="1" applyFill="1" applyBorder="1" applyAlignment="1" applyProtection="1">
      <alignment horizontal="right" vertical="center"/>
    </xf>
    <xf numFmtId="166" fontId="16" fillId="29" borderId="0" xfId="5" applyNumberFormat="1" applyFont="1" applyFill="1" applyAlignment="1" applyProtection="1">
      <alignment horizontal="left" vertical="center"/>
    </xf>
    <xf numFmtId="166" fontId="16" fillId="29" borderId="0" xfId="5" applyNumberFormat="1" applyFont="1" applyFill="1" applyBorder="1" applyAlignment="1" applyProtection="1">
      <alignment horizontal="left" vertical="center"/>
    </xf>
    <xf numFmtId="166" fontId="16" fillId="29" borderId="87" xfId="5" applyNumberFormat="1" applyFont="1" applyFill="1" applyBorder="1" applyAlignment="1" applyProtection="1">
      <alignment horizontal="left" vertical="center"/>
    </xf>
    <xf numFmtId="0" fontId="16" fillId="29" borderId="86" xfId="0" applyNumberFormat="1" applyFont="1" applyFill="1" applyBorder="1" applyAlignment="1" applyProtection="1">
      <alignment horizontal="center" vertical="center"/>
    </xf>
    <xf numFmtId="0" fontId="16" fillId="0" borderId="86" xfId="0" applyNumberFormat="1" applyFont="1" applyBorder="1" applyAlignment="1" applyProtection="1">
      <alignment horizontal="center" vertical="center"/>
    </xf>
    <xf numFmtId="166" fontId="16" fillId="0" borderId="93" xfId="5" applyNumberFormat="1" applyFont="1" applyBorder="1" applyAlignment="1" applyProtection="1">
      <alignment horizontal="right" vertical="center"/>
    </xf>
    <xf numFmtId="166" fontId="16" fillId="0" borderId="93" xfId="5" applyNumberFormat="1" applyFont="1" applyBorder="1" applyAlignment="1" applyProtection="1">
      <alignment horizontal="left" vertical="center"/>
    </xf>
    <xf numFmtId="166" fontId="16" fillId="0" borderId="92" xfId="5" applyNumberFormat="1" applyFont="1" applyBorder="1" applyAlignment="1" applyProtection="1">
      <alignment horizontal="left" vertical="center"/>
    </xf>
    <xf numFmtId="0" fontId="16" fillId="0" borderId="96" xfId="0" applyFont="1" applyBorder="1" applyAlignment="1" applyProtection="1">
      <alignment horizontal="center" vertical="center"/>
    </xf>
    <xf numFmtId="0" fontId="0" fillId="4" borderId="12" xfId="0" applyFill="1" applyBorder="1" applyAlignment="1" applyProtection="1">
      <alignment vertical="center"/>
    </xf>
    <xf numFmtId="0" fontId="16" fillId="29" borderId="86" xfId="0" applyNumberFormat="1" applyFont="1" applyFill="1" applyBorder="1" applyAlignment="1" applyProtection="1">
      <alignment horizontal="right" vertical="center"/>
    </xf>
    <xf numFmtId="0" fontId="16" fillId="0" borderId="86" xfId="0" applyNumberFormat="1" applyFont="1" applyBorder="1" applyAlignment="1" applyProtection="1">
      <alignment horizontal="right" vertical="center"/>
    </xf>
    <xf numFmtId="166" fontId="31" fillId="8" borderId="90" xfId="5" applyNumberFormat="1" applyFont="1" applyFill="1" applyBorder="1" applyAlignment="1" applyProtection="1">
      <alignment horizontal="left" vertical="center"/>
      <protection locked="0"/>
    </xf>
    <xf numFmtId="166" fontId="31" fillId="0" borderId="0" xfId="5" applyNumberFormat="1" applyFont="1" applyBorder="1" applyAlignment="1" applyProtection="1">
      <alignment horizontal="left" vertical="center"/>
      <protection locked="0"/>
    </xf>
    <xf numFmtId="166" fontId="31" fillId="8" borderId="0" xfId="5" applyNumberFormat="1" applyFont="1" applyFill="1" applyBorder="1" applyAlignment="1" applyProtection="1">
      <alignment horizontal="left" vertical="center"/>
      <protection locked="0"/>
    </xf>
    <xf numFmtId="166" fontId="31" fillId="29" borderId="0" xfId="5" applyNumberFormat="1" applyFont="1" applyFill="1" applyBorder="1" applyAlignment="1" applyProtection="1">
      <alignment horizontal="left" vertical="center"/>
      <protection locked="0"/>
    </xf>
    <xf numFmtId="166" fontId="31" fillId="0" borderId="93" xfId="5" applyNumberFormat="1" applyFont="1" applyBorder="1" applyAlignment="1" applyProtection="1">
      <alignment horizontal="left" vertical="center"/>
      <protection locked="0"/>
    </xf>
    <xf numFmtId="166" fontId="31" fillId="0" borderId="0" xfId="5" applyNumberFormat="1" applyFont="1" applyAlignment="1" applyProtection="1">
      <alignment horizontal="left" vertical="center"/>
      <protection locked="0"/>
    </xf>
    <xf numFmtId="166" fontId="31" fillId="8" borderId="0" xfId="5" applyNumberFormat="1" applyFont="1" applyFill="1" applyAlignment="1" applyProtection="1">
      <alignment horizontal="left" vertical="center"/>
      <protection locked="0"/>
    </xf>
    <xf numFmtId="166" fontId="31" fillId="29" borderId="0" xfId="5" applyNumberFormat="1" applyFont="1" applyFill="1" applyAlignment="1" applyProtection="1">
      <alignment horizontal="left" vertical="center"/>
      <protection locked="0"/>
    </xf>
    <xf numFmtId="0" fontId="0" fillId="4" borderId="0" xfId="0" applyFont="1" applyFill="1" applyAlignment="1" applyProtection="1">
      <alignment vertical="center"/>
    </xf>
    <xf numFmtId="0" fontId="16" fillId="4" borderId="0" xfId="0" applyFont="1" applyFill="1" applyAlignment="1" applyProtection="1">
      <alignment vertical="center"/>
    </xf>
    <xf numFmtId="0" fontId="30" fillId="4" borderId="0" xfId="0" applyFont="1" applyFill="1" applyAlignment="1" applyProtection="1">
      <alignment horizontal="center" vertical="center"/>
    </xf>
    <xf numFmtId="0" fontId="10" fillId="4" borderId="0" xfId="0" applyFont="1" applyFill="1" applyAlignment="1" applyProtection="1">
      <alignment horizontal="center" vertical="center"/>
    </xf>
    <xf numFmtId="9" fontId="0" fillId="0" borderId="11" xfId="2" applyFont="1" applyBorder="1" applyAlignment="1" applyProtection="1">
      <alignment vertical="center"/>
    </xf>
    <xf numFmtId="0" fontId="31" fillId="4" borderId="115" xfId="0" applyFont="1" applyFill="1" applyBorder="1" applyAlignment="1" applyProtection="1">
      <alignment vertical="center"/>
    </xf>
    <xf numFmtId="167" fontId="0" fillId="0" borderId="114" xfId="0" applyNumberFormat="1" applyBorder="1" applyAlignment="1" applyProtection="1">
      <alignment vertical="center"/>
    </xf>
    <xf numFmtId="0" fontId="0" fillId="0" borderId="0" xfId="0" applyFill="1" applyBorder="1" applyProtection="1"/>
    <xf numFmtId="0" fontId="0" fillId="0" borderId="0" xfId="0" applyAlignment="1" applyProtection="1"/>
    <xf numFmtId="0" fontId="21" fillId="0" borderId="0" xfId="0" applyFont="1" applyAlignment="1" applyProtection="1">
      <alignment horizontal="center" vertical="center"/>
    </xf>
    <xf numFmtId="0" fontId="34" fillId="0" borderId="335" xfId="0" applyFont="1" applyBorder="1" applyAlignment="1" applyProtection="1">
      <alignment horizontal="center" vertical="center" wrapText="1"/>
    </xf>
    <xf numFmtId="0" fontId="34" fillId="0" borderId="128" xfId="0" applyFont="1" applyBorder="1" applyAlignment="1" applyProtection="1">
      <alignment horizontal="center" vertical="center" wrapText="1"/>
    </xf>
    <xf numFmtId="0" fontId="34" fillId="0" borderId="338" xfId="0" applyFont="1" applyBorder="1" applyAlignment="1" applyProtection="1">
      <alignment horizontal="center" vertical="center" wrapText="1"/>
    </xf>
    <xf numFmtId="0" fontId="22" fillId="4" borderId="350" xfId="0" applyFont="1" applyFill="1" applyBorder="1" applyAlignment="1" applyProtection="1">
      <alignment vertical="center"/>
    </xf>
    <xf numFmtId="166" fontId="21" fillId="24" borderId="57" xfId="5" applyNumberFormat="1" applyFont="1" applyFill="1" applyBorder="1" applyAlignment="1" applyProtection="1">
      <alignment horizontal="right" vertical="center"/>
    </xf>
    <xf numFmtId="166" fontId="21" fillId="24" borderId="102" xfId="5" applyNumberFormat="1" applyFont="1" applyFill="1" applyBorder="1" applyAlignment="1" applyProtection="1">
      <alignment horizontal="left" vertical="center"/>
    </xf>
    <xf numFmtId="0" fontId="0" fillId="4" borderId="70" xfId="0" applyFill="1" applyBorder="1" applyAlignment="1" applyProtection="1">
      <alignment vertical="center"/>
    </xf>
    <xf numFmtId="0" fontId="0" fillId="4" borderId="350" xfId="0" applyFill="1" applyBorder="1" applyAlignment="1" applyProtection="1">
      <alignment vertical="center"/>
    </xf>
    <xf numFmtId="166" fontId="21" fillId="0" borderId="0" xfId="5" applyNumberFormat="1" applyFont="1" applyBorder="1" applyAlignment="1" applyProtection="1">
      <alignment horizontal="right" vertical="center"/>
    </xf>
    <xf numFmtId="166" fontId="21" fillId="0" borderId="105" xfId="5" applyNumberFormat="1" applyFont="1" applyBorder="1" applyAlignment="1" applyProtection="1">
      <alignment horizontal="left" vertical="center"/>
    </xf>
    <xf numFmtId="0" fontId="21" fillId="0" borderId="340" xfId="0" applyFont="1" applyBorder="1" applyAlignment="1" applyProtection="1">
      <alignment horizontal="right" vertical="center"/>
    </xf>
    <xf numFmtId="166" fontId="21" fillId="24" borderId="0" xfId="5" applyNumberFormat="1" applyFont="1" applyFill="1" applyBorder="1" applyAlignment="1" applyProtection="1">
      <alignment horizontal="right" vertical="center"/>
    </xf>
    <xf numFmtId="166" fontId="21" fillId="24" borderId="105" xfId="5" applyNumberFormat="1" applyFont="1" applyFill="1" applyBorder="1" applyAlignment="1" applyProtection="1">
      <alignment horizontal="left" vertical="center"/>
    </xf>
    <xf numFmtId="0" fontId="21" fillId="24" borderId="340" xfId="0" applyFont="1" applyFill="1" applyBorder="1" applyAlignment="1" applyProtection="1">
      <alignment horizontal="right" vertical="center"/>
    </xf>
    <xf numFmtId="0" fontId="21" fillId="24" borderId="340" xfId="0" applyNumberFormat="1" applyFont="1" applyFill="1" applyBorder="1" applyAlignment="1" applyProtection="1">
      <alignment horizontal="right" vertical="center"/>
    </xf>
    <xf numFmtId="0" fontId="21" fillId="0" borderId="340" xfId="0" applyNumberFormat="1" applyFont="1" applyBorder="1" applyAlignment="1" applyProtection="1">
      <alignment horizontal="right" vertical="center"/>
    </xf>
    <xf numFmtId="166" fontId="21" fillId="0" borderId="0" xfId="5" applyNumberFormat="1" applyFont="1" applyFill="1" applyBorder="1" applyAlignment="1" applyProtection="1">
      <alignment horizontal="right" vertical="center"/>
    </xf>
    <xf numFmtId="166" fontId="21" fillId="0" borderId="105" xfId="5" applyNumberFormat="1" applyFont="1" applyFill="1" applyBorder="1" applyAlignment="1" applyProtection="1">
      <alignment horizontal="left" vertical="center"/>
    </xf>
    <xf numFmtId="0" fontId="21" fillId="0" borderId="340" xfId="0" applyNumberFormat="1" applyFont="1" applyFill="1" applyBorder="1" applyAlignment="1" applyProtection="1">
      <alignment horizontal="right" vertical="center"/>
    </xf>
    <xf numFmtId="166" fontId="21" fillId="0" borderId="249" xfId="5" applyNumberFormat="1" applyFont="1" applyFill="1" applyBorder="1" applyAlignment="1" applyProtection="1">
      <alignment horizontal="right" vertical="center"/>
    </xf>
    <xf numFmtId="166" fontId="21" fillId="0" borderId="251" xfId="5" applyNumberFormat="1" applyFont="1" applyFill="1" applyBorder="1" applyAlignment="1" applyProtection="1">
      <alignment horizontal="left" vertical="center"/>
    </xf>
    <xf numFmtId="0" fontId="21" fillId="0" borderId="341" xfId="0" applyNumberFormat="1" applyFont="1" applyFill="1" applyBorder="1" applyAlignment="1" applyProtection="1">
      <alignment horizontal="right" vertical="center"/>
    </xf>
    <xf numFmtId="0" fontId="31" fillId="4" borderId="0" xfId="0" applyFont="1" applyFill="1" applyBorder="1" applyAlignment="1" applyProtection="1">
      <alignment horizontal="right" vertical="center"/>
    </xf>
    <xf numFmtId="166" fontId="21" fillId="4" borderId="0" xfId="5" applyNumberFormat="1" applyFont="1" applyFill="1" applyBorder="1" applyAlignment="1" applyProtection="1">
      <alignment horizontal="right" vertical="center"/>
    </xf>
    <xf numFmtId="166" fontId="21" fillId="4" borderId="108" xfId="5" applyNumberFormat="1" applyFont="1" applyFill="1" applyBorder="1" applyAlignment="1" applyProtection="1">
      <alignment horizontal="right" vertical="center"/>
    </xf>
    <xf numFmtId="166" fontId="16" fillId="4" borderId="0" xfId="5" applyNumberFormat="1" applyFont="1" applyFill="1" applyBorder="1" applyAlignment="1" applyProtection="1">
      <alignment horizontal="left" vertical="center"/>
    </xf>
    <xf numFmtId="166" fontId="16" fillId="4" borderId="108" xfId="5" applyNumberFormat="1" applyFont="1" applyFill="1" applyBorder="1" applyAlignment="1" applyProtection="1">
      <alignment horizontal="left" vertical="center"/>
    </xf>
    <xf numFmtId="166" fontId="21" fillId="4" borderId="0" xfId="5" applyNumberFormat="1" applyFont="1" applyFill="1" applyBorder="1" applyAlignment="1" applyProtection="1">
      <alignment horizontal="left" vertical="center"/>
    </xf>
    <xf numFmtId="166" fontId="21" fillId="4" borderId="108" xfId="5" applyNumberFormat="1" applyFont="1" applyFill="1" applyBorder="1" applyAlignment="1" applyProtection="1">
      <alignment horizontal="left" vertical="center"/>
    </xf>
    <xf numFmtId="0" fontId="21" fillId="4" borderId="0" xfId="0" applyNumberFormat="1" applyFont="1" applyFill="1" applyBorder="1" applyAlignment="1" applyProtection="1">
      <alignment horizontal="right" vertical="center"/>
    </xf>
    <xf numFmtId="0" fontId="0" fillId="4" borderId="249" xfId="0" applyFill="1" applyBorder="1" applyAlignment="1" applyProtection="1">
      <alignment vertical="center"/>
    </xf>
    <xf numFmtId="0" fontId="34" fillId="0" borderId="336" xfId="0" applyFont="1" applyFill="1" applyBorder="1" applyAlignment="1" applyProtection="1">
      <alignment horizontal="center" vertical="center"/>
    </xf>
    <xf numFmtId="0" fontId="34" fillId="0" borderId="243" xfId="0" applyFont="1" applyFill="1" applyBorder="1" applyAlignment="1" applyProtection="1">
      <alignment horizontal="center" vertical="center" wrapText="1"/>
    </xf>
    <xf numFmtId="0" fontId="34" fillId="0" borderId="241" xfId="0" applyFont="1" applyFill="1" applyBorder="1" applyAlignment="1" applyProtection="1">
      <alignment horizontal="center" vertical="center" wrapText="1"/>
    </xf>
    <xf numFmtId="0" fontId="34" fillId="0" borderId="105"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wrapText="1"/>
    </xf>
    <xf numFmtId="0" fontId="34" fillId="0" borderId="340" xfId="0" applyFont="1" applyFill="1" applyBorder="1" applyAlignment="1" applyProtection="1">
      <alignment horizontal="center" vertical="center" wrapText="1"/>
    </xf>
    <xf numFmtId="0" fontId="21" fillId="0" borderId="340" xfId="0" applyFont="1" applyFill="1" applyBorder="1" applyAlignment="1" applyProtection="1">
      <alignment horizontal="right" vertical="center"/>
    </xf>
    <xf numFmtId="166" fontId="21" fillId="12" borderId="0" xfId="5" applyNumberFormat="1" applyFont="1" applyFill="1" applyBorder="1" applyAlignment="1" applyProtection="1">
      <alignment horizontal="right" vertical="center"/>
    </xf>
    <xf numFmtId="166" fontId="21" fillId="12" borderId="105" xfId="5" applyNumberFormat="1" applyFont="1" applyFill="1" applyBorder="1" applyAlignment="1" applyProtection="1">
      <alignment horizontal="left" vertical="center"/>
    </xf>
    <xf numFmtId="0" fontId="21" fillId="12" borderId="340" xfId="0" applyFont="1" applyFill="1" applyBorder="1" applyAlignment="1" applyProtection="1">
      <alignment horizontal="right" vertical="center"/>
    </xf>
    <xf numFmtId="0" fontId="21" fillId="12" borderId="340" xfId="0" applyNumberFormat="1" applyFont="1" applyFill="1" applyBorder="1" applyAlignment="1" applyProtection="1">
      <alignment horizontal="right" vertical="center"/>
    </xf>
    <xf numFmtId="0" fontId="17" fillId="4" borderId="0" xfId="0" applyFont="1" applyFill="1" applyBorder="1" applyAlignment="1" applyProtection="1">
      <alignment horizontal="left" vertical="center"/>
    </xf>
    <xf numFmtId="0" fontId="21" fillId="35" borderId="50" xfId="0" applyFont="1" applyFill="1" applyBorder="1" applyAlignment="1" applyProtection="1">
      <alignment vertical="center"/>
    </xf>
    <xf numFmtId="0" fontId="21" fillId="35" borderId="44" xfId="0" applyFont="1" applyFill="1" applyBorder="1" applyAlignment="1" applyProtection="1">
      <alignment vertical="center"/>
    </xf>
    <xf numFmtId="0" fontId="21" fillId="35" borderId="44" xfId="0" applyFont="1" applyFill="1" applyBorder="1" applyAlignment="1" applyProtection="1">
      <alignment horizontal="right" vertical="center"/>
    </xf>
    <xf numFmtId="0" fontId="21" fillId="4" borderId="45" xfId="0" applyFont="1" applyFill="1" applyBorder="1" applyAlignment="1" applyProtection="1">
      <alignment vertical="center"/>
    </xf>
    <xf numFmtId="0" fontId="21" fillId="4" borderId="44" xfId="0" applyFont="1" applyFill="1" applyBorder="1" applyAlignment="1" applyProtection="1">
      <alignment vertical="center"/>
    </xf>
    <xf numFmtId="0" fontId="21" fillId="4" borderId="44" xfId="0" applyFont="1" applyFill="1" applyBorder="1" applyAlignment="1" applyProtection="1">
      <alignment horizontal="right" vertical="center"/>
    </xf>
    <xf numFmtId="0" fontId="21" fillId="35" borderId="106" xfId="0" applyFont="1" applyFill="1" applyBorder="1" applyAlignment="1" applyProtection="1">
      <alignment vertical="center"/>
    </xf>
    <xf numFmtId="0" fontId="21" fillId="35" borderId="106" xfId="0" applyFont="1" applyFill="1" applyBorder="1" applyAlignment="1" applyProtection="1">
      <alignment horizontal="right" vertical="center"/>
    </xf>
    <xf numFmtId="0" fontId="21" fillId="4" borderId="354" xfId="0" applyFont="1" applyFill="1" applyBorder="1" applyAlignment="1" applyProtection="1">
      <alignment vertical="center"/>
    </xf>
    <xf numFmtId="0" fontId="21" fillId="0" borderId="69" xfId="0" applyFont="1" applyBorder="1" applyAlignment="1" applyProtection="1">
      <alignment vertical="center"/>
    </xf>
    <xf numFmtId="0" fontId="21" fillId="0" borderId="69" xfId="0" applyFont="1" applyBorder="1" applyAlignment="1" applyProtection="1">
      <alignment horizontal="right" vertical="center"/>
    </xf>
    <xf numFmtId="0" fontId="34" fillId="24" borderId="336" xfId="0" applyFont="1" applyFill="1" applyBorder="1" applyAlignment="1" applyProtection="1">
      <alignment horizontal="center" vertical="center"/>
    </xf>
    <xf numFmtId="0" fontId="34" fillId="0" borderId="243" xfId="0" applyFont="1" applyBorder="1" applyAlignment="1" applyProtection="1">
      <alignment horizontal="center" vertical="center" wrapText="1"/>
    </xf>
    <xf numFmtId="0" fontId="34" fillId="0" borderId="241" xfId="0" applyFont="1" applyBorder="1" applyAlignment="1" applyProtection="1">
      <alignment horizontal="center" vertical="center" wrapText="1"/>
    </xf>
    <xf numFmtId="0" fontId="34" fillId="0" borderId="105" xfId="0" applyFont="1" applyBorder="1" applyAlignment="1" applyProtection="1">
      <alignment horizontal="center" vertical="center" wrapText="1"/>
    </xf>
    <xf numFmtId="0" fontId="34" fillId="0" borderId="0" xfId="0" applyFont="1" applyBorder="1" applyAlignment="1" applyProtection="1">
      <alignment horizontal="center" vertical="center" wrapText="1"/>
    </xf>
    <xf numFmtId="0" fontId="34" fillId="0" borderId="340" xfId="0" applyFont="1" applyBorder="1" applyAlignment="1" applyProtection="1">
      <alignment horizontal="center" vertical="center" wrapText="1"/>
    </xf>
    <xf numFmtId="0" fontId="0" fillId="0" borderId="107" xfId="0" applyBorder="1" applyAlignment="1" applyProtection="1">
      <alignment horizontal="right" vertical="center"/>
    </xf>
    <xf numFmtId="0" fontId="0" fillId="0" borderId="106" xfId="0" applyBorder="1" applyAlignment="1" applyProtection="1">
      <alignment horizontal="right" vertical="center"/>
    </xf>
    <xf numFmtId="0" fontId="0" fillId="4" borderId="0" xfId="0" applyFill="1" applyAlignment="1" applyProtection="1">
      <alignment horizontal="right" vertical="center"/>
    </xf>
    <xf numFmtId="166" fontId="21" fillId="35" borderId="64" xfId="5" applyNumberFormat="1" applyFont="1" applyFill="1" applyBorder="1" applyAlignment="1" applyProtection="1">
      <alignment horizontal="right" vertical="center"/>
    </xf>
    <xf numFmtId="166" fontId="21" fillId="35" borderId="64" xfId="5" applyNumberFormat="1" applyFont="1" applyFill="1" applyBorder="1" applyAlignment="1" applyProtection="1">
      <alignment horizontal="left" vertical="center"/>
    </xf>
    <xf numFmtId="0" fontId="21" fillId="35" borderId="337" xfId="0" applyNumberFormat="1" applyFont="1" applyFill="1" applyBorder="1" applyAlignment="1" applyProtection="1">
      <alignment horizontal="right" vertical="center"/>
    </xf>
    <xf numFmtId="0" fontId="30" fillId="0" borderId="92" xfId="0" applyFont="1" applyBorder="1" applyAlignment="1" applyProtection="1">
      <alignment horizontal="center" vertical="center"/>
    </xf>
    <xf numFmtId="0" fontId="30" fillId="0" borderId="93" xfId="0" applyFont="1" applyBorder="1" applyAlignment="1" applyProtection="1">
      <alignment horizontal="center" vertical="center"/>
    </xf>
    <xf numFmtId="0" fontId="30" fillId="0" borderId="95" xfId="0" applyFont="1" applyBorder="1" applyAlignment="1" applyProtection="1">
      <alignment horizontal="center" vertical="center"/>
    </xf>
    <xf numFmtId="0" fontId="30" fillId="0" borderId="93" xfId="0" applyFont="1" applyBorder="1" applyAlignment="1" applyProtection="1">
      <alignment horizontal="center" vertical="center" wrapText="1"/>
    </xf>
    <xf numFmtId="0" fontId="17" fillId="0" borderId="0" xfId="0" applyFont="1" applyFill="1" applyBorder="1" applyAlignment="1" applyProtection="1">
      <alignment horizontal="left" vertical="center"/>
    </xf>
    <xf numFmtId="0" fontId="34" fillId="0" borderId="59" xfId="0" applyFont="1" applyBorder="1" applyAlignment="1" applyProtection="1">
      <alignment horizontal="center" vertical="center"/>
    </xf>
    <xf numFmtId="0" fontId="34" fillId="0" borderId="244" xfId="0" applyFont="1" applyBorder="1" applyAlignment="1" applyProtection="1">
      <alignment horizontal="center" vertical="center"/>
    </xf>
    <xf numFmtId="0" fontId="19" fillId="9" borderId="358" xfId="0" applyFont="1" applyFill="1" applyBorder="1"/>
    <xf numFmtId="0" fontId="10" fillId="0" borderId="359" xfId="0" applyFont="1" applyBorder="1"/>
    <xf numFmtId="0" fontId="10" fillId="0" borderId="360" xfId="0" applyFont="1" applyBorder="1"/>
    <xf numFmtId="166" fontId="0" fillId="4" borderId="352" xfId="5" applyNumberFormat="1" applyFont="1" applyFill="1" applyBorder="1" applyAlignment="1" applyProtection="1">
      <alignment vertical="center"/>
    </xf>
    <xf numFmtId="166" fontId="0" fillId="4" borderId="352" xfId="0" applyNumberFormat="1" applyFill="1" applyBorder="1" applyAlignment="1" applyProtection="1">
      <alignment vertical="center"/>
    </xf>
    <xf numFmtId="0" fontId="58" fillId="4" borderId="0" xfId="0" applyFont="1" applyFill="1" applyAlignment="1" applyProtection="1">
      <alignment vertical="center"/>
    </xf>
    <xf numFmtId="166" fontId="58" fillId="4" borderId="0" xfId="5" applyNumberFormat="1" applyFont="1" applyFill="1" applyAlignment="1" applyProtection="1">
      <alignment vertical="center"/>
    </xf>
    <xf numFmtId="166" fontId="31" fillId="4" borderId="0" xfId="5" applyNumberFormat="1" applyFont="1" applyFill="1" applyAlignment="1" applyProtection="1">
      <alignment vertical="center"/>
    </xf>
    <xf numFmtId="166" fontId="19" fillId="4" borderId="0" xfId="5" applyNumberFormat="1" applyFont="1" applyFill="1" applyAlignment="1" applyProtection="1">
      <alignment horizontal="center" vertical="center"/>
    </xf>
    <xf numFmtId="166" fontId="60" fillId="4" borderId="0" xfId="5" applyNumberFormat="1" applyFont="1" applyFill="1" applyAlignment="1" applyProtection="1">
      <alignment horizontal="center" vertical="center"/>
    </xf>
    <xf numFmtId="0" fontId="10" fillId="38" borderId="359" xfId="0" applyFont="1" applyFill="1" applyBorder="1"/>
    <xf numFmtId="0" fontId="10" fillId="38" borderId="0" xfId="0" applyFont="1" applyFill="1"/>
    <xf numFmtId="166" fontId="31" fillId="4" borderId="0" xfId="0" applyNumberFormat="1" applyFont="1" applyFill="1" applyAlignment="1" applyProtection="1">
      <alignment vertical="center"/>
    </xf>
    <xf numFmtId="166" fontId="61" fillId="4" borderId="0" xfId="0" applyNumberFormat="1" applyFont="1" applyFill="1" applyAlignment="1" applyProtection="1">
      <alignment vertical="center"/>
    </xf>
    <xf numFmtId="0" fontId="10" fillId="39" borderId="0" xfId="0" applyFont="1" applyFill="1"/>
    <xf numFmtId="0" fontId="0" fillId="4" borderId="0" xfId="0" applyFill="1" applyAlignment="1" applyProtection="1">
      <alignment vertical="center" wrapText="1"/>
    </xf>
    <xf numFmtId="166" fontId="0" fillId="4" borderId="177" xfId="5" applyNumberFormat="1" applyFont="1" applyFill="1" applyBorder="1" applyAlignment="1">
      <alignment horizontal="left" vertical="center"/>
    </xf>
    <xf numFmtId="166" fontId="0" fillId="4" borderId="0" xfId="5" applyNumberFormat="1" applyFont="1" applyFill="1" applyBorder="1" applyAlignment="1">
      <alignment vertical="center"/>
    </xf>
    <xf numFmtId="166" fontId="21" fillId="24" borderId="57" xfId="5" applyNumberFormat="1" applyFont="1" applyFill="1" applyBorder="1" applyAlignment="1" applyProtection="1">
      <alignment vertical="center"/>
    </xf>
    <xf numFmtId="166" fontId="21" fillId="24" borderId="102" xfId="5" applyNumberFormat="1" applyFont="1" applyFill="1" applyBorder="1" applyAlignment="1" applyProtection="1">
      <alignment vertical="center"/>
    </xf>
    <xf numFmtId="0" fontId="31" fillId="4" borderId="350" xfId="0" applyFont="1" applyFill="1" applyBorder="1" applyAlignment="1" applyProtection="1">
      <alignment vertical="center"/>
    </xf>
    <xf numFmtId="166" fontId="49" fillId="4" borderId="350" xfId="5" applyNumberFormat="1" applyFont="1" applyFill="1" applyBorder="1" applyAlignment="1" applyProtection="1">
      <alignment vertical="center"/>
    </xf>
    <xf numFmtId="166" fontId="49" fillId="30" borderId="351" xfId="5" applyNumberFormat="1" applyFont="1" applyFill="1" applyBorder="1" applyAlignment="1" applyProtection="1">
      <alignment vertical="center"/>
    </xf>
    <xf numFmtId="166" fontId="21" fillId="0" borderId="0" xfId="5" applyNumberFormat="1" applyFont="1" applyBorder="1" applyAlignment="1" applyProtection="1">
      <alignment vertical="center"/>
    </xf>
    <xf numFmtId="166" fontId="21" fillId="0" borderId="105" xfId="5" applyNumberFormat="1" applyFont="1" applyBorder="1" applyAlignment="1" applyProtection="1">
      <alignment vertical="center"/>
    </xf>
    <xf numFmtId="166" fontId="21" fillId="24" borderId="0" xfId="5" applyNumberFormat="1" applyFont="1" applyFill="1" applyBorder="1" applyAlignment="1" applyProtection="1">
      <alignment vertical="center"/>
    </xf>
    <xf numFmtId="166" fontId="21" fillId="24" borderId="105" xfId="5" applyNumberFormat="1" applyFont="1" applyFill="1" applyBorder="1" applyAlignment="1" applyProtection="1">
      <alignment vertical="center"/>
    </xf>
    <xf numFmtId="166" fontId="49" fillId="4" borderId="0" xfId="5" applyNumberFormat="1" applyFont="1" applyFill="1" applyAlignment="1" applyProtection="1">
      <alignment vertical="center"/>
    </xf>
    <xf numFmtId="166" fontId="21" fillId="0" borderId="64" xfId="5" applyNumberFormat="1" applyFont="1" applyBorder="1" applyAlignment="1" applyProtection="1">
      <alignment vertical="center"/>
    </xf>
    <xf numFmtId="166" fontId="21" fillId="0" borderId="103" xfId="5" applyNumberFormat="1" applyFont="1" applyBorder="1" applyAlignment="1" applyProtection="1">
      <alignment vertical="center"/>
    </xf>
    <xf numFmtId="0" fontId="21" fillId="0" borderId="337" xfId="0" applyFont="1" applyBorder="1" applyAlignment="1" applyProtection="1">
      <alignment horizontal="right" vertical="center"/>
    </xf>
    <xf numFmtId="166" fontId="21" fillId="24" borderId="241" xfId="5" applyNumberFormat="1" applyFont="1" applyFill="1" applyBorder="1" applyAlignment="1" applyProtection="1">
      <alignment vertical="center"/>
    </xf>
    <xf numFmtId="166" fontId="21" fillId="24" borderId="243" xfId="5" applyNumberFormat="1" applyFont="1" applyFill="1" applyBorder="1" applyAlignment="1" applyProtection="1">
      <alignment horizontal="right" vertical="center"/>
    </xf>
    <xf numFmtId="166" fontId="21" fillId="0" borderId="105" xfId="5" applyNumberFormat="1" applyFont="1" applyBorder="1" applyAlignment="1" applyProtection="1">
      <alignment horizontal="right" vertical="center"/>
    </xf>
    <xf numFmtId="166" fontId="21" fillId="24" borderId="105" xfId="5" applyNumberFormat="1" applyFont="1" applyFill="1" applyBorder="1" applyAlignment="1" applyProtection="1">
      <alignment horizontal="right" vertical="center"/>
    </xf>
    <xf numFmtId="0" fontId="21" fillId="24" borderId="340" xfId="0" applyNumberFormat="1" applyFont="1" applyFill="1" applyBorder="1" applyAlignment="1" applyProtection="1">
      <alignment horizontal="center" vertical="center"/>
    </xf>
    <xf numFmtId="0" fontId="21" fillId="0" borderId="340" xfId="0" applyNumberFormat="1" applyFont="1" applyBorder="1" applyAlignment="1" applyProtection="1">
      <alignment horizontal="center" vertical="center"/>
    </xf>
    <xf numFmtId="166" fontId="21" fillId="24" borderId="64" xfId="5" applyNumberFormat="1" applyFont="1" applyFill="1" applyBorder="1" applyAlignment="1" applyProtection="1">
      <alignment vertical="center"/>
    </xf>
    <xf numFmtId="166" fontId="21" fillId="24" borderId="103" xfId="5" applyNumberFormat="1" applyFont="1" applyFill="1" applyBorder="1" applyAlignment="1" applyProtection="1">
      <alignment horizontal="right" vertical="center"/>
    </xf>
    <xf numFmtId="0" fontId="21" fillId="24" borderId="337" xfId="0" applyFont="1" applyFill="1" applyBorder="1" applyAlignment="1" applyProtection="1">
      <alignment horizontal="center" vertical="center"/>
    </xf>
    <xf numFmtId="166" fontId="21" fillId="24" borderId="243" xfId="5" applyNumberFormat="1" applyFont="1" applyFill="1" applyBorder="1" applyAlignment="1" applyProtection="1">
      <alignment vertical="center"/>
    </xf>
    <xf numFmtId="166" fontId="21" fillId="24" borderId="241" xfId="5" applyNumberFormat="1" applyFont="1" applyFill="1" applyBorder="1" applyAlignment="1" applyProtection="1">
      <alignment horizontal="center" vertical="center"/>
    </xf>
    <xf numFmtId="166" fontId="21" fillId="24" borderId="243" xfId="5" applyNumberFormat="1" applyFont="1" applyFill="1" applyBorder="1" applyAlignment="1" applyProtection="1">
      <alignment horizontal="center" vertical="center"/>
    </xf>
    <xf numFmtId="166" fontId="21" fillId="0" borderId="0" xfId="5" applyNumberFormat="1" applyFont="1" applyBorder="1" applyAlignment="1" applyProtection="1">
      <alignment horizontal="center" vertical="center"/>
    </xf>
    <xf numFmtId="166" fontId="21" fillId="0" borderId="105" xfId="5" applyNumberFormat="1" applyFont="1" applyBorder="1" applyAlignment="1" applyProtection="1">
      <alignment horizontal="center" vertical="center"/>
    </xf>
    <xf numFmtId="166" fontId="21" fillId="24" borderId="0" xfId="5" applyNumberFormat="1" applyFont="1" applyFill="1" applyBorder="1" applyAlignment="1" applyProtection="1">
      <alignment horizontal="center" vertical="center"/>
    </xf>
    <xf numFmtId="166" fontId="21" fillId="24" borderId="105" xfId="5" applyNumberFormat="1" applyFont="1" applyFill="1" applyBorder="1" applyAlignment="1" applyProtection="1">
      <alignment horizontal="center" vertical="center"/>
    </xf>
    <xf numFmtId="0" fontId="37" fillId="0" borderId="75" xfId="0" applyFont="1" applyBorder="1" applyAlignment="1" applyProtection="1">
      <alignment horizontal="center" vertical="center"/>
    </xf>
    <xf numFmtId="0" fontId="37" fillId="0" borderId="0" xfId="0" applyFont="1" applyBorder="1" applyAlignment="1" applyProtection="1">
      <alignment horizontal="center" vertical="center" wrapText="1"/>
    </xf>
    <xf numFmtId="0" fontId="53" fillId="0" borderId="271" xfId="0" applyFont="1" applyBorder="1" applyAlignment="1" applyProtection="1">
      <alignment horizontal="center" vertical="center"/>
    </xf>
    <xf numFmtId="0" fontId="42" fillId="0" borderId="152" xfId="0" applyFont="1" applyBorder="1" applyAlignment="1" applyProtection="1">
      <alignment horizontal="center" vertical="center" wrapText="1"/>
    </xf>
    <xf numFmtId="0" fontId="42" fillId="0" borderId="158" xfId="0" applyFont="1" applyBorder="1" applyAlignment="1" applyProtection="1">
      <alignment horizontal="center" vertical="center" wrapText="1"/>
    </xf>
    <xf numFmtId="167" fontId="0" fillId="4" borderId="0" xfId="0" applyNumberFormat="1" applyFill="1" applyProtection="1"/>
    <xf numFmtId="0" fontId="0" fillId="0" borderId="115" xfId="0" applyBorder="1" applyProtection="1"/>
    <xf numFmtId="0" fontId="55" fillId="4" borderId="347" xfId="0" applyFont="1" applyFill="1" applyBorder="1" applyAlignment="1" applyProtection="1">
      <alignment vertical="center"/>
    </xf>
    <xf numFmtId="0" fontId="0" fillId="4" borderId="346" xfId="0" applyFill="1" applyBorder="1" applyAlignment="1" applyProtection="1">
      <alignment vertical="center"/>
    </xf>
    <xf numFmtId="0" fontId="0" fillId="4" borderId="12" xfId="0" applyFill="1" applyBorder="1" applyAlignment="1" applyProtection="1">
      <alignment horizontal="right" vertical="center"/>
    </xf>
    <xf numFmtId="0" fontId="0" fillId="4" borderId="100" xfId="0" applyFill="1" applyBorder="1" applyAlignment="1" applyProtection="1">
      <alignment vertical="center"/>
    </xf>
    <xf numFmtId="0" fontId="0" fillId="4" borderId="8" xfId="0" applyFill="1" applyBorder="1" applyAlignment="1" applyProtection="1">
      <alignment horizontal="right" vertical="center"/>
    </xf>
    <xf numFmtId="0" fontId="31" fillId="37" borderId="346" xfId="0" applyFont="1" applyFill="1" applyBorder="1" applyAlignment="1" applyProtection="1">
      <alignment vertical="center"/>
    </xf>
    <xf numFmtId="166" fontId="31" fillId="37" borderId="346" xfId="5" applyNumberFormat="1" applyFont="1" applyFill="1" applyBorder="1" applyAlignment="1" applyProtection="1">
      <alignment vertical="center"/>
    </xf>
    <xf numFmtId="0" fontId="31" fillId="4" borderId="346" xfId="0" applyFont="1" applyFill="1" applyBorder="1" applyAlignment="1" applyProtection="1">
      <alignment vertical="center"/>
    </xf>
    <xf numFmtId="166" fontId="31" fillId="4" borderId="346" xfId="5" applyNumberFormat="1" applyFont="1" applyFill="1" applyBorder="1" applyAlignment="1" applyProtection="1">
      <alignment vertical="center"/>
    </xf>
    <xf numFmtId="0" fontId="5" fillId="0" borderId="0" xfId="0" applyFont="1" applyProtection="1"/>
    <xf numFmtId="0" fontId="6" fillId="4" borderId="0" xfId="0" applyFont="1" applyFill="1" applyAlignment="1" applyProtection="1">
      <alignment vertical="center"/>
    </xf>
    <xf numFmtId="0" fontId="17" fillId="10" borderId="0" xfId="0" applyFont="1" applyFill="1" applyBorder="1"/>
    <xf numFmtId="0" fontId="17" fillId="10" borderId="0" xfId="0" applyFont="1" applyFill="1" applyBorder="1" applyAlignment="1">
      <alignment horizontal="center" vertical="center"/>
    </xf>
    <xf numFmtId="0" fontId="17" fillId="22" borderId="0" xfId="0" applyFont="1" applyFill="1" applyBorder="1"/>
    <xf numFmtId="0" fontId="62" fillId="4" borderId="0" xfId="0" applyFont="1" applyFill="1" applyBorder="1"/>
    <xf numFmtId="0" fontId="63" fillId="4" borderId="177" xfId="0" applyFont="1" applyFill="1" applyBorder="1" applyAlignment="1">
      <alignment horizontal="center" vertical="center" wrapText="1"/>
    </xf>
    <xf numFmtId="0" fontId="64" fillId="4" borderId="177" xfId="0" applyFont="1" applyFill="1" applyBorder="1" applyAlignment="1">
      <alignment horizontal="center" vertical="center"/>
    </xf>
    <xf numFmtId="0" fontId="64" fillId="4" borderId="0" xfId="0" applyFont="1" applyFill="1" applyAlignment="1">
      <alignment horizontal="center" vertical="center"/>
    </xf>
    <xf numFmtId="166" fontId="64" fillId="18" borderId="0" xfId="5" applyNumberFormat="1" applyFont="1" applyFill="1" applyAlignment="1">
      <alignment vertical="center"/>
    </xf>
    <xf numFmtId="166" fontId="63" fillId="4" borderId="177" xfId="5" applyNumberFormat="1" applyFont="1" applyFill="1" applyBorder="1" applyAlignment="1">
      <alignment horizontal="center" vertical="center" wrapText="1"/>
    </xf>
    <xf numFmtId="166" fontId="63" fillId="15" borderId="177" xfId="5" applyNumberFormat="1" applyFont="1" applyFill="1" applyBorder="1" applyAlignment="1">
      <alignment horizontal="center" vertical="center" wrapText="1"/>
    </xf>
    <xf numFmtId="166" fontId="63" fillId="4" borderId="0" xfId="5" applyNumberFormat="1" applyFont="1" applyFill="1" applyAlignment="1">
      <alignment horizontal="center" vertical="center"/>
    </xf>
    <xf numFmtId="166" fontId="64" fillId="4" borderId="177" xfId="5" applyNumberFormat="1" applyFont="1" applyFill="1" applyBorder="1" applyAlignment="1">
      <alignment vertical="center"/>
    </xf>
    <xf numFmtId="166" fontId="64" fillId="4" borderId="177" xfId="5" applyNumberFormat="1" applyFont="1" applyFill="1" applyBorder="1" applyAlignment="1">
      <alignment horizontal="center" vertical="center"/>
    </xf>
    <xf numFmtId="166" fontId="64" fillId="4" borderId="0" xfId="5" applyNumberFormat="1" applyFont="1" applyFill="1" applyBorder="1" applyAlignment="1">
      <alignment horizontal="center" vertical="center"/>
    </xf>
    <xf numFmtId="166" fontId="64" fillId="18" borderId="0" xfId="5" applyNumberFormat="1" applyFont="1" applyFill="1" applyBorder="1" applyAlignment="1">
      <alignment horizontal="center" vertical="center"/>
    </xf>
    <xf numFmtId="166" fontId="64" fillId="4" borderId="293" xfId="5" applyNumberFormat="1" applyFont="1" applyFill="1" applyBorder="1" applyAlignment="1">
      <alignment horizontal="center" vertical="center"/>
    </xf>
    <xf numFmtId="166" fontId="64" fillId="4" borderId="293" xfId="5" applyNumberFormat="1" applyFont="1" applyFill="1" applyBorder="1" applyAlignment="1">
      <alignment vertical="center"/>
    </xf>
    <xf numFmtId="166" fontId="64" fillId="4" borderId="0" xfId="5" applyNumberFormat="1" applyFont="1" applyFill="1" applyAlignment="1">
      <alignment vertical="center"/>
    </xf>
    <xf numFmtId="166" fontId="63" fillId="4" borderId="256" xfId="5" applyNumberFormat="1" applyFont="1" applyFill="1" applyBorder="1" applyAlignment="1">
      <alignment horizontal="center" vertical="center"/>
    </xf>
    <xf numFmtId="166" fontId="64" fillId="4" borderId="0" xfId="5" applyNumberFormat="1" applyFont="1" applyFill="1" applyBorder="1" applyAlignment="1">
      <alignment vertical="center"/>
    </xf>
    <xf numFmtId="0" fontId="64" fillId="18" borderId="0" xfId="0" applyFont="1" applyFill="1" applyAlignment="1" applyProtection="1">
      <alignment vertical="center"/>
    </xf>
    <xf numFmtId="166" fontId="64" fillId="18" borderId="0" xfId="5" applyNumberFormat="1" applyFont="1" applyFill="1" applyAlignment="1" applyProtection="1">
      <alignment vertical="center"/>
    </xf>
    <xf numFmtId="0" fontId="6" fillId="18" borderId="0" xfId="0" applyFont="1" applyFill="1" applyAlignment="1" applyProtection="1">
      <alignment vertical="center"/>
    </xf>
    <xf numFmtId="0" fontId="5" fillId="4" borderId="177" xfId="0" applyFont="1" applyFill="1" applyBorder="1" applyAlignment="1" applyProtection="1">
      <alignment horizontal="center" vertical="center" wrapText="1"/>
    </xf>
    <xf numFmtId="0" fontId="63" fillId="4" borderId="177" xfId="0" applyFont="1" applyFill="1" applyBorder="1" applyAlignment="1" applyProtection="1">
      <alignment horizontal="center" vertical="center" wrapText="1"/>
    </xf>
    <xf numFmtId="0" fontId="5" fillId="4" borderId="177" xfId="0" applyFont="1" applyFill="1" applyBorder="1" applyAlignment="1" applyProtection="1">
      <alignment horizontal="center" vertical="center"/>
    </xf>
    <xf numFmtId="0" fontId="63" fillId="4" borderId="177" xfId="0" applyFont="1" applyFill="1" applyBorder="1" applyAlignment="1" applyProtection="1">
      <alignment horizontal="center" vertical="center"/>
    </xf>
    <xf numFmtId="166" fontId="63" fillId="4" borderId="177" xfId="5" applyNumberFormat="1" applyFont="1" applyFill="1" applyBorder="1" applyAlignment="1" applyProtection="1">
      <alignment horizontal="center" vertical="center" wrapText="1"/>
    </xf>
    <xf numFmtId="166" fontId="63" fillId="15" borderId="177" xfId="5" applyNumberFormat="1" applyFont="1" applyFill="1" applyBorder="1" applyAlignment="1" applyProtection="1">
      <alignment horizontal="center" vertical="center" wrapText="1"/>
    </xf>
    <xf numFmtId="166" fontId="63" fillId="4" borderId="0" xfId="5" applyNumberFormat="1" applyFont="1" applyFill="1" applyAlignment="1" applyProtection="1">
      <alignment horizontal="center" vertical="center"/>
    </xf>
    <xf numFmtId="0" fontId="5" fillId="4" borderId="0" xfId="0" applyFont="1" applyFill="1" applyAlignment="1" applyProtection="1">
      <alignment horizontal="center" vertical="center"/>
    </xf>
    <xf numFmtId="0" fontId="5" fillId="15" borderId="177" xfId="0" applyFont="1" applyFill="1" applyBorder="1" applyAlignment="1" applyProtection="1">
      <alignment horizontal="center" vertical="center" wrapText="1"/>
    </xf>
    <xf numFmtId="0" fontId="0" fillId="4" borderId="0" xfId="0" applyFill="1" applyAlignment="1" applyProtection="1">
      <alignment horizontal="center" vertical="center"/>
    </xf>
    <xf numFmtId="0" fontId="0" fillId="4" borderId="256" xfId="0" applyFill="1" applyBorder="1" applyAlignment="1" applyProtection="1">
      <alignment horizontal="left" vertical="center"/>
    </xf>
    <xf numFmtId="0" fontId="64" fillId="4" borderId="177" xfId="0" applyFont="1" applyFill="1" applyBorder="1" applyAlignment="1" applyProtection="1">
      <alignment horizontal="center" vertical="center"/>
    </xf>
    <xf numFmtId="0" fontId="0" fillId="4" borderId="256" xfId="0" applyFill="1" applyBorder="1" applyAlignment="1" applyProtection="1">
      <alignment horizontal="center" vertical="center"/>
    </xf>
    <xf numFmtId="0" fontId="64" fillId="4" borderId="177" xfId="0" applyFont="1" applyFill="1" applyBorder="1" applyAlignment="1" applyProtection="1">
      <alignment vertical="center"/>
    </xf>
    <xf numFmtId="166" fontId="64" fillId="4" borderId="177" xfId="5" applyNumberFormat="1" applyFont="1" applyFill="1" applyBorder="1" applyAlignment="1" applyProtection="1">
      <alignment vertical="center"/>
    </xf>
    <xf numFmtId="166" fontId="64" fillId="4" borderId="177" xfId="5" applyNumberFormat="1" applyFont="1" applyFill="1" applyBorder="1" applyAlignment="1" applyProtection="1">
      <alignment horizontal="center" vertical="center"/>
    </xf>
    <xf numFmtId="166" fontId="64" fillId="4" borderId="0" xfId="5" applyNumberFormat="1" applyFont="1" applyFill="1" applyBorder="1" applyAlignment="1" applyProtection="1">
      <alignment horizontal="center" vertical="center"/>
    </xf>
    <xf numFmtId="0" fontId="0" fillId="4" borderId="177" xfId="0" applyFill="1" applyBorder="1" applyAlignment="1" applyProtection="1">
      <alignment horizontal="center" vertical="center"/>
    </xf>
    <xf numFmtId="0" fontId="0" fillId="4" borderId="177" xfId="0" applyFill="1" applyBorder="1" applyAlignment="1" applyProtection="1">
      <alignment horizontal="left" vertical="center"/>
    </xf>
    <xf numFmtId="0" fontId="64" fillId="18" borderId="0" xfId="0" applyFont="1" applyFill="1" applyBorder="1" applyAlignment="1" applyProtection="1">
      <alignment horizontal="center" vertical="center"/>
    </xf>
    <xf numFmtId="166" fontId="64" fillId="18" borderId="0" xfId="5" applyNumberFormat="1" applyFont="1" applyFill="1" applyBorder="1" applyAlignment="1" applyProtection="1">
      <alignment horizontal="center" vertical="center"/>
    </xf>
    <xf numFmtId="0" fontId="0" fillId="4" borderId="0" xfId="0" applyFill="1" applyBorder="1" applyAlignment="1" applyProtection="1">
      <alignment horizontal="center" vertical="center"/>
    </xf>
    <xf numFmtId="0" fontId="5" fillId="4" borderId="256" xfId="0" applyFont="1" applyFill="1" applyBorder="1" applyAlignment="1" applyProtection="1">
      <alignment horizontal="center" vertical="center"/>
    </xf>
    <xf numFmtId="0" fontId="63" fillId="4" borderId="256" xfId="0" applyFont="1" applyFill="1" applyBorder="1" applyAlignment="1" applyProtection="1">
      <alignment horizontal="center" vertical="center"/>
    </xf>
    <xf numFmtId="166" fontId="64" fillId="4" borderId="293" xfId="5" applyNumberFormat="1" applyFont="1" applyFill="1" applyBorder="1" applyAlignment="1" applyProtection="1">
      <alignment horizontal="center" vertical="center"/>
    </xf>
    <xf numFmtId="0" fontId="0" fillId="4" borderId="293" xfId="0" applyFill="1" applyBorder="1" applyAlignment="1" applyProtection="1">
      <alignment vertical="center"/>
    </xf>
    <xf numFmtId="0" fontId="0" fillId="4" borderId="177" xfId="0" applyFill="1" applyBorder="1" applyAlignment="1" applyProtection="1">
      <alignment vertical="center"/>
    </xf>
    <xf numFmtId="166" fontId="64" fillId="4" borderId="293" xfId="5" applyNumberFormat="1" applyFont="1" applyFill="1" applyBorder="1" applyAlignment="1" applyProtection="1">
      <alignment vertical="center"/>
    </xf>
    <xf numFmtId="0" fontId="0" fillId="4" borderId="0" xfId="0" applyFill="1" applyAlignment="1" applyProtection="1">
      <alignment horizontal="left" vertical="center"/>
    </xf>
    <xf numFmtId="0" fontId="64" fillId="4" borderId="0" xfId="0" applyFont="1" applyFill="1" applyAlignment="1" applyProtection="1">
      <alignment horizontal="center" vertical="center"/>
    </xf>
    <xf numFmtId="0" fontId="64" fillId="4" borderId="0" xfId="0" applyFont="1" applyFill="1" applyBorder="1" applyAlignment="1" applyProtection="1">
      <alignment vertical="center"/>
    </xf>
    <xf numFmtId="166" fontId="64" fillId="4" borderId="0" xfId="5" applyNumberFormat="1" applyFont="1" applyFill="1" applyAlignment="1" applyProtection="1">
      <alignment vertical="center"/>
    </xf>
    <xf numFmtId="0" fontId="6" fillId="18" borderId="0" xfId="0" applyFont="1" applyFill="1" applyBorder="1" applyAlignment="1" applyProtection="1">
      <alignment horizontal="center" vertical="center"/>
    </xf>
    <xf numFmtId="166" fontId="63" fillId="4" borderId="256" xfId="5" applyNumberFormat="1" applyFont="1" applyFill="1" applyBorder="1" applyAlignment="1" applyProtection="1">
      <alignment horizontal="center" vertical="center"/>
    </xf>
    <xf numFmtId="0" fontId="64" fillId="4" borderId="0" xfId="0" applyFont="1" applyFill="1" applyAlignment="1" applyProtection="1">
      <alignment vertical="center"/>
    </xf>
    <xf numFmtId="166" fontId="63" fillId="4" borderId="177" xfId="5" applyNumberFormat="1" applyFont="1" applyFill="1" applyBorder="1" applyAlignment="1">
      <alignment horizontal="center" vertical="center"/>
    </xf>
    <xf numFmtId="166" fontId="64" fillId="4" borderId="0" xfId="5" applyNumberFormat="1" applyFont="1" applyFill="1" applyAlignment="1">
      <alignment horizontal="center" vertical="center"/>
    </xf>
    <xf numFmtId="0" fontId="31" fillId="0" borderId="0" xfId="0" applyFont="1" applyProtection="1"/>
    <xf numFmtId="0" fontId="31" fillId="0" borderId="0" xfId="0" applyFont="1" applyBorder="1" applyProtection="1"/>
    <xf numFmtId="166" fontId="0" fillId="4" borderId="0" xfId="5" applyNumberFormat="1" applyFont="1" applyFill="1" applyAlignment="1" applyProtection="1">
      <alignment vertical="center"/>
    </xf>
    <xf numFmtId="0" fontId="65" fillId="4" borderId="0" xfId="0" applyFont="1" applyFill="1" applyAlignment="1" applyProtection="1">
      <alignment vertical="center"/>
    </xf>
    <xf numFmtId="166" fontId="65" fillId="4" borderId="0" xfId="5" applyNumberFormat="1" applyFont="1" applyFill="1" applyAlignment="1" applyProtection="1">
      <alignment vertical="center"/>
    </xf>
    <xf numFmtId="0" fontId="66" fillId="0" borderId="0" xfId="0" applyFont="1"/>
    <xf numFmtId="0" fontId="0" fillId="4" borderId="293" xfId="0" applyFill="1" applyBorder="1" applyAlignment="1">
      <alignment vertical="center"/>
    </xf>
    <xf numFmtId="0" fontId="10" fillId="0" borderId="0" xfId="7" applyFont="1" applyBorder="1" applyAlignment="1" applyProtection="1">
      <alignment vertical="center"/>
      <protection locked="0"/>
    </xf>
    <xf numFmtId="0" fontId="10" fillId="0" borderId="0" xfId="7" applyFont="1" applyBorder="1" applyAlignment="1" applyProtection="1">
      <alignment horizontal="left" vertical="center"/>
      <protection locked="0"/>
    </xf>
    <xf numFmtId="0" fontId="10" fillId="0" borderId="0" xfId="7" applyFont="1" applyBorder="1" applyAlignment="1"/>
    <xf numFmtId="0" fontId="10" fillId="0" borderId="0" xfId="7" applyFont="1" applyBorder="1" applyAlignment="1">
      <alignment vertical="center"/>
    </xf>
    <xf numFmtId="0" fontId="10" fillId="0" borderId="0" xfId="7" applyFont="1" applyBorder="1" applyAlignment="1">
      <alignment horizontal="center" vertical="center"/>
    </xf>
    <xf numFmtId="43" fontId="10" fillId="0" borderId="0" xfId="7" applyNumberFormat="1" applyFont="1" applyBorder="1" applyAlignment="1" applyProtection="1">
      <alignment horizontal="center" vertical="center"/>
      <protection locked="0"/>
    </xf>
    <xf numFmtId="0" fontId="10" fillId="0" borderId="0" xfId="7" applyFont="1" applyBorder="1" applyAlignment="1" applyProtection="1">
      <alignment horizontal="center" vertical="center"/>
      <protection locked="0"/>
    </xf>
    <xf numFmtId="43" fontId="10" fillId="0" borderId="0" xfId="5" applyFont="1" applyBorder="1" applyAlignment="1" applyProtection="1">
      <alignment horizontal="center" vertical="center"/>
      <protection locked="0"/>
    </xf>
    <xf numFmtId="43" fontId="10" fillId="0" borderId="0" xfId="5" applyFont="1" applyBorder="1" applyAlignment="1">
      <alignment horizontal="center" vertical="center"/>
    </xf>
    <xf numFmtId="0" fontId="10" fillId="0" borderId="357" xfId="0" applyFont="1" applyBorder="1" applyAlignment="1">
      <alignment horizontal="left"/>
    </xf>
    <xf numFmtId="1" fontId="17" fillId="25" borderId="357" xfId="0" applyNumberFormat="1" applyFont="1" applyFill="1" applyBorder="1" applyAlignment="1" applyProtection="1">
      <alignment horizontal="left" vertical="center"/>
      <protection locked="0"/>
    </xf>
    <xf numFmtId="1" fontId="17" fillId="25" borderId="357" xfId="0" applyNumberFormat="1" applyFont="1" applyFill="1" applyBorder="1" applyAlignment="1" applyProtection="1">
      <alignment horizontal="center" vertical="center"/>
    </xf>
    <xf numFmtId="1" fontId="68" fillId="25" borderId="357" xfId="0" applyNumberFormat="1" applyFont="1" applyFill="1" applyBorder="1" applyAlignment="1" applyProtection="1">
      <alignment horizontal="center" vertical="center"/>
    </xf>
    <xf numFmtId="43" fontId="10" fillId="25" borderId="357" xfId="5" applyNumberFormat="1" applyFont="1" applyFill="1" applyBorder="1" applyAlignment="1" applyProtection="1">
      <alignment horizontal="center" vertical="center"/>
      <protection locked="0"/>
    </xf>
    <xf numFmtId="43" fontId="17" fillId="25" borderId="357" xfId="5" applyFont="1" applyFill="1" applyBorder="1" applyAlignment="1" applyProtection="1">
      <alignment horizontal="center" vertical="center"/>
    </xf>
    <xf numFmtId="2" fontId="17" fillId="25" borderId="357" xfId="5" applyNumberFormat="1" applyFont="1" applyFill="1" applyBorder="1" applyAlignment="1" applyProtection="1">
      <alignment horizontal="center" vertical="center"/>
      <protection locked="0"/>
    </xf>
    <xf numFmtId="43" fontId="17" fillId="25" borderId="357" xfId="5" applyFont="1" applyFill="1" applyBorder="1" applyAlignment="1" applyProtection="1">
      <alignment horizontal="center" vertical="center"/>
      <protection locked="0"/>
    </xf>
    <xf numFmtId="43" fontId="10" fillId="25" borderId="357" xfId="5" applyFont="1" applyFill="1" applyBorder="1" applyAlignment="1" applyProtection="1">
      <alignment horizontal="center" vertical="center"/>
      <protection locked="0"/>
    </xf>
    <xf numFmtId="43" fontId="68" fillId="25" borderId="357" xfId="5" applyFont="1" applyFill="1" applyBorder="1" applyAlignment="1" applyProtection="1">
      <alignment horizontal="center" vertical="center"/>
    </xf>
    <xf numFmtId="0" fontId="5" fillId="28" borderId="0" xfId="0" applyFont="1" applyFill="1" applyBorder="1" applyAlignment="1" applyProtection="1">
      <alignment horizontal="center" vertical="center"/>
    </xf>
    <xf numFmtId="0" fontId="0" fillId="0" borderId="0" xfId="0" applyBorder="1" applyProtection="1"/>
    <xf numFmtId="0" fontId="0" fillId="4" borderId="0" xfId="0" applyFont="1" applyFill="1" applyBorder="1" applyProtection="1">
      <protection locked="0"/>
    </xf>
    <xf numFmtId="15" fontId="6" fillId="4" borderId="114" xfId="0" applyNumberFormat="1" applyFont="1" applyFill="1" applyBorder="1" applyAlignment="1" applyProtection="1">
      <alignment horizontal="center"/>
    </xf>
    <xf numFmtId="0" fontId="0" fillId="4" borderId="114" xfId="0" applyFont="1" applyFill="1" applyBorder="1" applyProtection="1"/>
    <xf numFmtId="0" fontId="4" fillId="4" borderId="0" xfId="0" applyFont="1" applyFill="1" applyBorder="1" applyAlignment="1" applyProtection="1">
      <alignment horizontal="center"/>
    </xf>
    <xf numFmtId="0" fontId="42" fillId="8" borderId="0" xfId="0" applyFont="1" applyFill="1" applyBorder="1" applyAlignment="1" applyProtection="1">
      <alignment horizontal="left" vertical="center"/>
    </xf>
    <xf numFmtId="0" fontId="6" fillId="4" borderId="0" xfId="0" applyFont="1" applyFill="1" applyBorder="1" applyProtection="1"/>
    <xf numFmtId="0" fontId="42" fillId="8" borderId="0" xfId="0" applyFont="1" applyFill="1" applyBorder="1" applyProtection="1"/>
    <xf numFmtId="0" fontId="42" fillId="8" borderId="0" xfId="0" applyFont="1" applyFill="1" applyBorder="1" applyAlignment="1" applyProtection="1">
      <alignment horizontal="left"/>
    </xf>
    <xf numFmtId="0" fontId="42" fillId="11" borderId="0" xfId="0" applyFont="1" applyFill="1" applyBorder="1" applyAlignment="1" applyProtection="1">
      <alignment horizontal="left"/>
    </xf>
    <xf numFmtId="0" fontId="42" fillId="11" borderId="0" xfId="0" applyFont="1" applyFill="1" applyBorder="1" applyProtection="1"/>
    <xf numFmtId="0" fontId="42" fillId="12" borderId="0" xfId="0" applyFont="1" applyFill="1" applyBorder="1" applyAlignment="1" applyProtection="1">
      <alignment horizontal="left"/>
    </xf>
    <xf numFmtId="0" fontId="0" fillId="12" borderId="0" xfId="0" applyFill="1" applyBorder="1" applyAlignment="1" applyProtection="1">
      <alignment horizontal="center" vertical="center"/>
    </xf>
    <xf numFmtId="0" fontId="0" fillId="4" borderId="0" xfId="0" applyFont="1" applyFill="1" applyBorder="1" applyAlignment="1" applyProtection="1">
      <alignment horizontal="center"/>
      <protection locked="0"/>
    </xf>
    <xf numFmtId="0" fontId="0" fillId="0" borderId="0" xfId="0" applyFont="1" applyBorder="1" applyProtection="1">
      <protection locked="0"/>
    </xf>
    <xf numFmtId="0" fontId="45" fillId="0" borderId="37" xfId="0" applyFont="1" applyFill="1" applyBorder="1" applyAlignment="1" applyProtection="1">
      <alignment horizontal="left" vertical="center"/>
      <protection locked="0"/>
    </xf>
    <xf numFmtId="166" fontId="0" fillId="4" borderId="0" xfId="5" applyNumberFormat="1" applyFont="1" applyFill="1" applyBorder="1" applyAlignment="1">
      <alignment vertical="center" wrapText="1"/>
    </xf>
    <xf numFmtId="166" fontId="63" fillId="4" borderId="0" xfId="5" applyNumberFormat="1" applyFont="1" applyFill="1" applyAlignment="1">
      <alignment horizontal="center" vertical="center" wrapText="1"/>
    </xf>
    <xf numFmtId="0" fontId="0" fillId="4" borderId="0" xfId="0" applyFill="1" applyAlignment="1">
      <alignment horizontal="center" vertical="center" wrapText="1"/>
    </xf>
    <xf numFmtId="166" fontId="63" fillId="4" borderId="0" xfId="5" applyNumberFormat="1" applyFont="1" applyFill="1" applyAlignment="1" applyProtection="1">
      <alignment horizontal="center" vertical="center" wrapText="1"/>
    </xf>
    <xf numFmtId="0" fontId="5" fillId="4" borderId="0" xfId="0" applyFont="1" applyFill="1" applyAlignment="1" applyProtection="1">
      <alignment horizontal="center" vertical="center" wrapText="1"/>
    </xf>
    <xf numFmtId="0" fontId="63" fillId="4" borderId="177" xfId="0" applyFont="1" applyFill="1" applyBorder="1" applyAlignment="1">
      <alignment horizontal="center" vertical="center"/>
    </xf>
    <xf numFmtId="166" fontId="63" fillId="15" borderId="177" xfId="5" applyNumberFormat="1" applyFont="1" applyFill="1" applyBorder="1" applyAlignment="1">
      <alignment horizontal="center" vertical="center"/>
    </xf>
    <xf numFmtId="0" fontId="63" fillId="4" borderId="256" xfId="0" applyFont="1" applyFill="1" applyBorder="1" applyAlignment="1">
      <alignment horizontal="center" vertical="center"/>
    </xf>
    <xf numFmtId="166" fontId="63" fillId="15" borderId="256" xfId="5" applyNumberFormat="1" applyFont="1" applyFill="1" applyBorder="1" applyAlignment="1">
      <alignment horizontal="center" vertical="center"/>
    </xf>
    <xf numFmtId="166" fontId="63" fillId="4" borderId="177" xfId="5" applyNumberFormat="1" applyFont="1" applyFill="1" applyBorder="1" applyAlignment="1" applyProtection="1">
      <alignment horizontal="center" vertical="center"/>
    </xf>
    <xf numFmtId="166" fontId="63" fillId="15" borderId="177" xfId="5" applyNumberFormat="1" applyFont="1" applyFill="1" applyBorder="1" applyAlignment="1" applyProtection="1">
      <alignment horizontal="center" vertical="center"/>
    </xf>
    <xf numFmtId="0" fontId="5" fillId="15" borderId="177" xfId="0" applyFont="1" applyFill="1" applyBorder="1" applyAlignment="1" applyProtection="1">
      <alignment horizontal="center" vertical="center"/>
    </xf>
    <xf numFmtId="166" fontId="63" fillId="15" borderId="256" xfId="5" applyNumberFormat="1" applyFont="1" applyFill="1" applyBorder="1" applyAlignment="1" applyProtection="1">
      <alignment horizontal="center" vertical="center"/>
    </xf>
    <xf numFmtId="0" fontId="5" fillId="15" borderId="256" xfId="0" applyFont="1" applyFill="1" applyBorder="1" applyAlignment="1" applyProtection="1">
      <alignment horizontal="center" vertical="center"/>
    </xf>
    <xf numFmtId="0" fontId="0" fillId="0" borderId="66" xfId="0" applyFont="1" applyBorder="1" applyProtection="1"/>
    <xf numFmtId="0" fontId="0" fillId="0" borderId="8" xfId="0" applyFont="1" applyBorder="1" applyProtection="1">
      <protection locked="0"/>
    </xf>
    <xf numFmtId="0" fontId="0" fillId="0" borderId="8" xfId="0" applyFont="1" applyBorder="1" applyAlignment="1" applyProtection="1">
      <alignment horizontal="right"/>
      <protection locked="0"/>
    </xf>
    <xf numFmtId="0" fontId="0" fillId="0" borderId="0" xfId="0" applyFont="1" applyProtection="1">
      <protection locked="0"/>
    </xf>
    <xf numFmtId="0" fontId="0" fillId="0" borderId="164" xfId="0" applyFont="1" applyBorder="1" applyProtection="1"/>
    <xf numFmtId="0" fontId="0" fillId="0" borderId="163" xfId="0" applyFont="1" applyBorder="1" applyProtection="1"/>
    <xf numFmtId="0" fontId="0" fillId="0" borderId="146" xfId="0" applyFont="1" applyBorder="1" applyProtection="1"/>
    <xf numFmtId="0" fontId="0" fillId="0" borderId="39" xfId="0" applyFont="1" applyBorder="1" applyProtection="1"/>
    <xf numFmtId="0" fontId="0" fillId="0" borderId="37" xfId="0" applyFont="1" applyBorder="1" applyProtection="1"/>
    <xf numFmtId="0" fontId="0" fillId="0" borderId="41" xfId="0" applyFont="1" applyBorder="1" applyProtection="1">
      <protection locked="0"/>
    </xf>
    <xf numFmtId="0" fontId="0" fillId="0" borderId="8" xfId="0" applyFont="1" applyBorder="1" applyProtection="1"/>
    <xf numFmtId="0" fontId="0" fillId="0" borderId="40" xfId="0" applyFont="1" applyBorder="1" applyProtection="1"/>
    <xf numFmtId="0" fontId="0" fillId="0" borderId="51" xfId="0" applyFont="1" applyBorder="1" applyProtection="1">
      <protection locked="0"/>
    </xf>
    <xf numFmtId="0" fontId="0" fillId="0" borderId="46" xfId="0" applyFont="1" applyBorder="1" applyProtection="1">
      <protection locked="0"/>
    </xf>
    <xf numFmtId="0" fontId="0" fillId="0" borderId="109" xfId="0" applyFont="1" applyBorder="1" applyProtection="1"/>
    <xf numFmtId="0" fontId="0" fillId="0" borderId="43" xfId="0" applyFont="1" applyBorder="1" applyProtection="1"/>
    <xf numFmtId="0" fontId="0" fillId="0" borderId="44" xfId="0" applyFont="1" applyBorder="1" applyProtection="1"/>
    <xf numFmtId="0" fontId="0" fillId="0" borderId="36" xfId="0" applyFont="1" applyBorder="1" applyProtection="1"/>
    <xf numFmtId="0" fontId="0" fillId="0" borderId="12" xfId="0" applyFont="1" applyBorder="1" applyProtection="1"/>
    <xf numFmtId="0" fontId="0" fillId="0" borderId="99" xfId="0" applyFont="1" applyBorder="1" applyProtection="1"/>
    <xf numFmtId="0" fontId="0" fillId="0" borderId="0" xfId="0" applyFont="1" applyAlignment="1" applyProtection="1">
      <alignment horizontal="right"/>
      <protection locked="0"/>
    </xf>
    <xf numFmtId="0" fontId="71" fillId="0" borderId="0" xfId="0" applyFont="1" applyProtection="1"/>
    <xf numFmtId="0" fontId="42" fillId="0" borderId="8" xfId="0" applyFont="1" applyBorder="1" applyAlignment="1" applyProtection="1">
      <alignment vertical="center"/>
      <protection locked="0"/>
    </xf>
    <xf numFmtId="0" fontId="42" fillId="0" borderId="8" xfId="0" applyFont="1" applyBorder="1" applyAlignment="1" applyProtection="1">
      <alignment horizontal="right" vertical="center"/>
      <protection locked="0"/>
    </xf>
    <xf numFmtId="0" fontId="42" fillId="0" borderId="0" xfId="0" applyFont="1" applyAlignment="1" applyProtection="1">
      <alignment vertical="center"/>
      <protection locked="0"/>
    </xf>
    <xf numFmtId="0" fontId="57" fillId="0" borderId="8" xfId="0" applyFont="1" applyBorder="1" applyProtection="1">
      <protection locked="0"/>
    </xf>
    <xf numFmtId="0" fontId="57" fillId="0" borderId="0" xfId="0" applyFont="1" applyProtection="1">
      <protection locked="0"/>
    </xf>
    <xf numFmtId="0" fontId="57" fillId="0" borderId="8" xfId="0" applyFont="1" applyBorder="1" applyAlignment="1" applyProtection="1">
      <alignment horizontal="right"/>
      <protection locked="0"/>
    </xf>
    <xf numFmtId="0" fontId="57" fillId="0" borderId="0" xfId="0" applyFont="1" applyProtection="1"/>
    <xf numFmtId="0" fontId="57" fillId="0" borderId="12" xfId="0" applyFont="1" applyBorder="1" applyProtection="1"/>
    <xf numFmtId="0" fontId="57" fillId="0" borderId="114" xfId="0" applyFont="1" applyBorder="1" applyProtection="1">
      <protection locked="0"/>
    </xf>
    <xf numFmtId="166" fontId="42" fillId="4" borderId="0" xfId="5" applyNumberFormat="1" applyFont="1" applyFill="1" applyBorder="1" applyProtection="1"/>
    <xf numFmtId="166" fontId="42" fillId="4" borderId="0" xfId="5" applyNumberFormat="1" applyFont="1" applyFill="1" applyProtection="1"/>
    <xf numFmtId="0" fontId="42" fillId="4" borderId="0" xfId="0" applyFont="1" applyFill="1" applyBorder="1" applyProtection="1"/>
    <xf numFmtId="0" fontId="42" fillId="0" borderId="0" xfId="0" applyFont="1" applyProtection="1"/>
    <xf numFmtId="0" fontId="42" fillId="0" borderId="12" xfId="0" applyFont="1" applyBorder="1" applyProtection="1"/>
    <xf numFmtId="0" fontId="57" fillId="0" borderId="8" xfId="0" applyFont="1" applyBorder="1" applyAlignment="1" applyProtection="1">
      <alignment vertical="center"/>
    </xf>
    <xf numFmtId="0" fontId="57" fillId="0" borderId="8" xfId="0" applyFont="1" applyBorder="1" applyProtection="1"/>
    <xf numFmtId="0" fontId="57" fillId="0" borderId="35" xfId="0" applyFont="1" applyBorder="1" applyProtection="1"/>
    <xf numFmtId="0" fontId="57" fillId="0" borderId="11" xfId="0" applyFont="1" applyBorder="1" applyProtection="1"/>
    <xf numFmtId="0" fontId="57" fillId="0" borderId="107" xfId="0" applyFont="1" applyBorder="1" applyProtection="1"/>
    <xf numFmtId="0" fontId="57" fillId="0" borderId="36" xfId="0" applyFont="1" applyBorder="1" applyProtection="1"/>
    <xf numFmtId="0" fontId="57" fillId="0" borderId="114" xfId="0" applyFont="1" applyBorder="1" applyProtection="1"/>
    <xf numFmtId="0" fontId="42" fillId="0" borderId="302" xfId="0" applyFont="1" applyBorder="1" applyAlignment="1" applyProtection="1"/>
    <xf numFmtId="0" fontId="57" fillId="0" borderId="302" xfId="0" applyFont="1" applyBorder="1" applyProtection="1"/>
    <xf numFmtId="0" fontId="72" fillId="0" borderId="302" xfId="0" applyFont="1" applyBorder="1" applyAlignment="1" applyProtection="1"/>
    <xf numFmtId="0" fontId="57" fillId="0" borderId="51" xfId="0" applyFont="1" applyBorder="1" applyProtection="1"/>
    <xf numFmtId="0" fontId="57" fillId="0" borderId="46" xfId="0" applyFont="1" applyBorder="1" applyProtection="1">
      <protection locked="0"/>
    </xf>
    <xf numFmtId="166" fontId="19" fillId="0" borderId="156" xfId="5" applyNumberFormat="1" applyFont="1" applyBorder="1" applyProtection="1">
      <protection locked="0"/>
    </xf>
    <xf numFmtId="166" fontId="19" fillId="0" borderId="0" xfId="5" applyNumberFormat="1" applyFont="1" applyBorder="1" applyProtection="1">
      <protection locked="0"/>
    </xf>
    <xf numFmtId="166" fontId="42" fillId="0" borderId="149" xfId="5" applyNumberFormat="1" applyFont="1" applyBorder="1" applyProtection="1"/>
    <xf numFmtId="166" fontId="42" fillId="0" borderId="0" xfId="5" applyNumberFormat="1" applyFont="1" applyBorder="1" applyProtection="1"/>
    <xf numFmtId="166" fontId="42" fillId="0" borderId="0" xfId="5" applyNumberFormat="1" applyFont="1" applyProtection="1"/>
    <xf numFmtId="166" fontId="19" fillId="0" borderId="0" xfId="5" applyNumberFormat="1" applyFont="1" applyProtection="1">
      <protection locked="0"/>
    </xf>
    <xf numFmtId="0" fontId="16" fillId="0" borderId="228" xfId="0" applyFont="1" applyBorder="1" applyAlignment="1" applyProtection="1">
      <alignment horizontal="center" vertical="center" wrapText="1"/>
    </xf>
    <xf numFmtId="0" fontId="16" fillId="0" borderId="229" xfId="0" applyFont="1" applyBorder="1" applyAlignment="1" applyProtection="1">
      <alignment horizontal="center" vertical="center" wrapText="1"/>
    </xf>
    <xf numFmtId="0" fontId="20" fillId="0" borderId="36" xfId="0" applyFont="1" applyFill="1" applyBorder="1" applyProtection="1"/>
    <xf numFmtId="0" fontId="15" fillId="0" borderId="90" xfId="0" applyFont="1" applyFill="1" applyBorder="1" applyAlignment="1" applyProtection="1">
      <alignment horizontal="center" vertical="center" wrapText="1"/>
    </xf>
    <xf numFmtId="0" fontId="15" fillId="0" borderId="93" xfId="0" applyFont="1" applyFill="1" applyBorder="1" applyAlignment="1" applyProtection="1">
      <alignment horizontal="center" vertical="center"/>
    </xf>
    <xf numFmtId="0" fontId="31" fillId="0" borderId="87" xfId="0" applyFont="1" applyFill="1" applyBorder="1" applyProtection="1">
      <protection locked="0"/>
    </xf>
    <xf numFmtId="0" fontId="31" fillId="8" borderId="92" xfId="0" applyFont="1" applyFill="1" applyBorder="1" applyProtection="1">
      <protection locked="0"/>
    </xf>
    <xf numFmtId="0" fontId="31" fillId="8" borderId="93" xfId="0" applyFont="1" applyFill="1" applyBorder="1" applyProtection="1">
      <protection locked="0"/>
    </xf>
    <xf numFmtId="0" fontId="0" fillId="0" borderId="35" xfId="0" applyFill="1" applyBorder="1" applyAlignment="1" applyProtection="1">
      <alignment horizontal="center" vertical="center" wrapText="1"/>
    </xf>
    <xf numFmtId="0" fontId="20" fillId="0" borderId="11" xfId="0" applyFont="1" applyFill="1" applyBorder="1" applyProtection="1"/>
    <xf numFmtId="0" fontId="15" fillId="0" borderId="227" xfId="0" applyFont="1" applyFill="1" applyBorder="1" applyAlignment="1" applyProtection="1">
      <alignment horizontal="center" vertical="center" wrapText="1"/>
    </xf>
    <xf numFmtId="0" fontId="15" fillId="0" borderId="228" xfId="0" applyFont="1" applyFill="1" applyBorder="1" applyAlignment="1" applyProtection="1">
      <alignment horizontal="center" vertical="center" wrapText="1"/>
    </xf>
    <xf numFmtId="0" fontId="31" fillId="8" borderId="89" xfId="0" applyFont="1" applyFill="1" applyBorder="1" applyProtection="1">
      <protection locked="0"/>
    </xf>
    <xf numFmtId="0" fontId="16" fillId="0" borderId="92" xfId="0" applyFont="1" applyFill="1" applyBorder="1" applyAlignment="1" applyProtection="1">
      <alignment horizontal="center"/>
    </xf>
    <xf numFmtId="0" fontId="16" fillId="0" borderId="93" xfId="0" applyFont="1" applyFill="1" applyBorder="1" applyAlignment="1" applyProtection="1">
      <alignment horizontal="center"/>
    </xf>
    <xf numFmtId="17" fontId="15" fillId="0" borderId="93" xfId="0" applyNumberFormat="1" applyFont="1" applyFill="1" applyBorder="1" applyAlignment="1" applyProtection="1">
      <alignment horizontal="center" vertical="center"/>
    </xf>
    <xf numFmtId="0" fontId="22" fillId="0" borderId="370" xfId="0" applyFont="1" applyFill="1" applyBorder="1" applyAlignment="1" applyProtection="1">
      <alignment horizontal="center" vertical="center"/>
    </xf>
    <xf numFmtId="0" fontId="31" fillId="38" borderId="0" xfId="0" applyFont="1" applyFill="1" applyBorder="1" applyProtection="1">
      <protection locked="0"/>
    </xf>
    <xf numFmtId="0" fontId="31" fillId="38" borderId="370" xfId="0" applyFont="1" applyFill="1" applyBorder="1" applyProtection="1">
      <protection locked="0"/>
    </xf>
    <xf numFmtId="0" fontId="15" fillId="0" borderId="0" xfId="0" applyFont="1" applyFill="1" applyBorder="1" applyAlignment="1" applyProtection="1">
      <alignment horizontal="center" vertical="center"/>
    </xf>
    <xf numFmtId="0" fontId="31" fillId="0" borderId="0" xfId="0" applyFont="1" applyFill="1" applyBorder="1" applyProtection="1"/>
    <xf numFmtId="0" fontId="15" fillId="0" borderId="365" xfId="0" applyFont="1" applyFill="1" applyBorder="1" applyAlignment="1" applyProtection="1">
      <alignment horizontal="center" vertical="center"/>
    </xf>
    <xf numFmtId="0" fontId="16" fillId="0" borderId="369" xfId="0" applyFont="1" applyFill="1" applyBorder="1" applyAlignment="1" applyProtection="1">
      <alignment horizontal="center"/>
    </xf>
    <xf numFmtId="0" fontId="16" fillId="0" borderId="370" xfId="0" applyFont="1" applyFill="1" applyBorder="1" applyAlignment="1" applyProtection="1">
      <alignment horizontal="center"/>
    </xf>
    <xf numFmtId="0" fontId="15" fillId="0" borderId="370" xfId="0" applyFont="1" applyFill="1" applyBorder="1" applyAlignment="1" applyProtection="1">
      <alignment horizontal="center" vertical="center"/>
    </xf>
    <xf numFmtId="0" fontId="22" fillId="0" borderId="0" xfId="0" applyFont="1" applyFill="1" applyBorder="1" applyAlignment="1" applyProtection="1">
      <alignment horizontal="center"/>
    </xf>
    <xf numFmtId="0" fontId="0" fillId="0" borderId="114" xfId="0" applyFill="1" applyBorder="1" applyAlignment="1" applyProtection="1"/>
    <xf numFmtId="0" fontId="0" fillId="0" borderId="0" xfId="0" applyFill="1" applyAlignment="1" applyProtection="1"/>
    <xf numFmtId="0" fontId="0" fillId="0" borderId="0" xfId="0" applyFill="1" applyProtection="1"/>
    <xf numFmtId="0" fontId="21" fillId="0" borderId="0" xfId="0" applyFont="1" applyFill="1" applyBorder="1" applyAlignment="1" applyProtection="1">
      <alignment horizontal="center" vertical="center"/>
    </xf>
    <xf numFmtId="10" fontId="31" fillId="0" borderId="0" xfId="2" applyNumberFormat="1" applyFont="1" applyFill="1" applyBorder="1" applyAlignment="1" applyProtection="1">
      <alignment horizontal="center" vertical="center"/>
      <protection locked="0"/>
    </xf>
    <xf numFmtId="0" fontId="36" fillId="0" borderId="0" xfId="0" applyFont="1" applyFill="1" applyBorder="1" applyProtection="1"/>
    <xf numFmtId="0" fontId="21" fillId="0" borderId="0" xfId="0" applyFont="1" applyBorder="1" applyAlignment="1" applyProtection="1">
      <alignment horizontal="center" vertical="center"/>
    </xf>
    <xf numFmtId="0" fontId="4" fillId="7" borderId="0" xfId="0" applyFont="1" applyFill="1" applyBorder="1" applyAlignment="1" applyProtection="1">
      <alignment vertical="center"/>
    </xf>
    <xf numFmtId="17" fontId="27" fillId="0" borderId="0" xfId="0" applyNumberFormat="1" applyFont="1" applyFill="1" applyBorder="1" applyAlignment="1" applyProtection="1">
      <alignment horizontal="center" vertical="center"/>
    </xf>
    <xf numFmtId="0" fontId="15" fillId="0" borderId="373" xfId="0" applyFont="1" applyFill="1" applyBorder="1" applyAlignment="1" applyProtection="1">
      <alignment horizontal="center" vertical="center"/>
    </xf>
    <xf numFmtId="0" fontId="16" fillId="0" borderId="377" xfId="0" applyFont="1" applyFill="1" applyBorder="1" applyAlignment="1" applyProtection="1">
      <alignment horizontal="center"/>
    </xf>
    <xf numFmtId="0" fontId="16" fillId="0" borderId="378" xfId="0" applyFont="1" applyFill="1" applyBorder="1" applyAlignment="1" applyProtection="1">
      <alignment horizontal="center"/>
    </xf>
    <xf numFmtId="0" fontId="15" fillId="0" borderId="378" xfId="0" applyFont="1" applyFill="1" applyBorder="1" applyAlignment="1" applyProtection="1">
      <alignment horizontal="center" vertical="center"/>
    </xf>
    <xf numFmtId="17" fontId="27" fillId="0" borderId="378" xfId="0" applyNumberFormat="1" applyFont="1" applyFill="1" applyBorder="1" applyAlignment="1" applyProtection="1">
      <alignment horizontal="center" vertical="center"/>
    </xf>
    <xf numFmtId="0" fontId="27" fillId="0" borderId="378" xfId="0" applyFont="1" applyFill="1" applyBorder="1" applyAlignment="1" applyProtection="1">
      <alignment horizontal="center" vertical="center"/>
    </xf>
    <xf numFmtId="0" fontId="27" fillId="0" borderId="379" xfId="0" applyFont="1" applyFill="1" applyBorder="1" applyAlignment="1" applyProtection="1">
      <alignment horizontal="center" vertical="center"/>
    </xf>
    <xf numFmtId="0" fontId="0" fillId="0" borderId="0" xfId="0" applyFill="1" applyBorder="1" applyAlignment="1" applyProtection="1">
      <alignment wrapText="1"/>
    </xf>
    <xf numFmtId="0" fontId="0" fillId="0" borderId="0" xfId="0" applyBorder="1" applyAlignment="1" applyProtection="1">
      <alignment wrapText="1"/>
    </xf>
    <xf numFmtId="0" fontId="27" fillId="0" borderId="0" xfId="0" applyFont="1" applyFill="1" applyBorder="1" applyAlignment="1" applyProtection="1">
      <alignment horizontal="left" vertical="center" wrapText="1" indent="3"/>
    </xf>
    <xf numFmtId="0" fontId="31" fillId="0" borderId="0" xfId="0" applyFont="1" applyFill="1" applyBorder="1" applyAlignment="1" applyProtection="1"/>
    <xf numFmtId="0" fontId="27" fillId="0" borderId="111" xfId="0" applyFont="1" applyFill="1" applyBorder="1" applyAlignment="1" applyProtection="1">
      <alignment horizontal="left" vertical="center" wrapText="1" indent="3"/>
    </xf>
    <xf numFmtId="0" fontId="31" fillId="0" borderId="77" xfId="0" applyFont="1" applyFill="1" applyBorder="1" applyAlignment="1" applyProtection="1"/>
    <xf numFmtId="17" fontId="27" fillId="0" borderId="386" xfId="0" applyNumberFormat="1" applyFont="1" applyFill="1" applyBorder="1" applyAlignment="1" applyProtection="1">
      <alignment horizontal="center" vertical="center"/>
    </xf>
    <xf numFmtId="166" fontId="31" fillId="8" borderId="0" xfId="5" applyNumberFormat="1" applyFont="1" applyFill="1" applyBorder="1" applyProtection="1">
      <protection locked="0"/>
    </xf>
    <xf numFmtId="166" fontId="31" fillId="0" borderId="0" xfId="5" applyNumberFormat="1" applyFont="1" applyFill="1" applyBorder="1" applyProtection="1">
      <protection locked="0"/>
    </xf>
    <xf numFmtId="166" fontId="31" fillId="0" borderId="93" xfId="5" applyNumberFormat="1" applyFont="1" applyFill="1" applyBorder="1" applyProtection="1">
      <protection locked="0"/>
    </xf>
    <xf numFmtId="164" fontId="2" fillId="2" borderId="0" xfId="1" applyNumberFormat="1" applyFont="1" applyFill="1" applyBorder="1" applyAlignment="1" applyProtection="1">
      <alignment horizontal="center" vertical="center"/>
    </xf>
    <xf numFmtId="0" fontId="0" fillId="0" borderId="0" xfId="0" pivotButton="1"/>
    <xf numFmtId="164" fontId="2" fillId="2" borderId="0" xfId="1" applyNumberFormat="1" applyFont="1" applyFill="1" applyBorder="1" applyAlignment="1" applyProtection="1">
      <alignment horizontal="right" vertical="center" indent="1"/>
    </xf>
    <xf numFmtId="15" fontId="31" fillId="4" borderId="8" xfId="0" applyNumberFormat="1" applyFont="1" applyFill="1" applyBorder="1" applyAlignment="1" applyProtection="1">
      <alignment horizontal="center"/>
    </xf>
    <xf numFmtId="0" fontId="0" fillId="0" borderId="116" xfId="0" applyFill="1" applyBorder="1" applyProtection="1"/>
    <xf numFmtId="0" fontId="0" fillId="0" borderId="116" xfId="0" applyFont="1" applyFill="1" applyBorder="1" applyProtection="1"/>
    <xf numFmtId="0" fontId="42" fillId="0" borderId="155" xfId="0" applyFont="1" applyBorder="1" applyAlignment="1" applyProtection="1">
      <alignment horizontal="center" vertical="center"/>
    </xf>
    <xf numFmtId="0" fontId="64" fillId="0" borderId="0" xfId="0" applyFont="1"/>
    <xf numFmtId="0" fontId="42" fillId="0" borderId="155" xfId="0" applyFont="1" applyBorder="1" applyAlignment="1" applyProtection="1">
      <alignment horizontal="center" vertical="center" wrapText="1"/>
    </xf>
    <xf numFmtId="166" fontId="67" fillId="0" borderId="156" xfId="5" applyNumberFormat="1" applyFont="1" applyBorder="1" applyAlignment="1" applyProtection="1">
      <alignment horizontal="left" vertical="center"/>
    </xf>
    <xf numFmtId="0" fontId="67" fillId="0" borderId="0" xfId="0" applyFont="1" applyBorder="1" applyAlignment="1" applyProtection="1">
      <alignment horizontal="left" vertical="center"/>
    </xf>
    <xf numFmtId="0" fontId="42" fillId="0" borderId="160" xfId="0" applyFont="1" applyBorder="1" applyAlignment="1" applyProtection="1">
      <alignment horizontal="center" vertical="center" wrapText="1"/>
    </xf>
    <xf numFmtId="0" fontId="70" fillId="26" borderId="0" xfId="0" applyFont="1" applyFill="1" applyBorder="1" applyAlignment="1" applyProtection="1">
      <alignment horizontal="left" vertical="center"/>
    </xf>
    <xf numFmtId="0" fontId="70" fillId="4" borderId="0" xfId="0" applyFont="1" applyFill="1" applyBorder="1" applyAlignment="1" applyProtection="1">
      <alignment horizontal="left" vertical="center"/>
    </xf>
    <xf numFmtId="0" fontId="0" fillId="0" borderId="8" xfId="0" applyFont="1" applyBorder="1" applyAlignment="1" applyProtection="1">
      <alignment horizontal="right"/>
    </xf>
    <xf numFmtId="0" fontId="0" fillId="0" borderId="0" xfId="0" applyFont="1" applyProtection="1"/>
    <xf numFmtId="0" fontId="0" fillId="0" borderId="41" xfId="0" applyFont="1" applyBorder="1" applyProtection="1"/>
    <xf numFmtId="0" fontId="10" fillId="0" borderId="114" xfId="0" applyFont="1" applyBorder="1" applyAlignment="1" applyProtection="1">
      <alignment vertical="center"/>
    </xf>
    <xf numFmtId="0" fontId="31" fillId="0" borderId="51" xfId="0" applyFont="1" applyFill="1" applyBorder="1" applyAlignment="1" applyProtection="1">
      <alignment horizontal="center" vertical="center"/>
    </xf>
    <xf numFmtId="0" fontId="28" fillId="0" borderId="51" xfId="0" applyFont="1" applyFill="1" applyBorder="1" applyAlignment="1" applyProtection="1">
      <alignment horizontal="left" vertical="center"/>
    </xf>
    <xf numFmtId="0" fontId="0" fillId="0" borderId="51" xfId="0" applyFont="1" applyFill="1" applyBorder="1" applyAlignment="1" applyProtection="1"/>
    <xf numFmtId="0" fontId="0" fillId="0" borderId="51" xfId="0" applyFont="1" applyFill="1" applyBorder="1" applyProtection="1"/>
    <xf numFmtId="0" fontId="0" fillId="0" borderId="0" xfId="0" applyFont="1" applyFill="1" applyProtection="1"/>
    <xf numFmtId="0" fontId="57" fillId="0" borderId="0" xfId="0" applyFont="1" applyFill="1" applyBorder="1" applyProtection="1"/>
    <xf numFmtId="0" fontId="42" fillId="0" borderId="0" xfId="0" applyFont="1" applyFill="1" applyBorder="1" applyAlignment="1" applyProtection="1">
      <alignment wrapText="1"/>
    </xf>
    <xf numFmtId="0" fontId="42" fillId="0" borderId="0" xfId="0" applyFont="1" applyFill="1" applyBorder="1" applyAlignment="1" applyProtection="1">
      <alignment horizontal="left" vertical="center"/>
    </xf>
    <xf numFmtId="0" fontId="67" fillId="0" borderId="0" xfId="0" applyFont="1" applyFill="1" applyBorder="1" applyAlignment="1" applyProtection="1">
      <alignment horizontal="left" vertical="center"/>
    </xf>
    <xf numFmtId="10" fontId="72" fillId="0" borderId="0" xfId="2" applyNumberFormat="1" applyFont="1" applyFill="1" applyBorder="1" applyAlignment="1" applyProtection="1">
      <alignment horizontal="right" vertical="center"/>
    </xf>
    <xf numFmtId="0" fontId="57" fillId="0" borderId="0" xfId="0" applyFont="1" applyFill="1" applyBorder="1" applyAlignment="1" applyProtection="1"/>
    <xf numFmtId="0" fontId="19" fillId="0" borderId="0" xfId="0" applyFont="1" applyFill="1" applyBorder="1" applyAlignment="1" applyProtection="1">
      <alignment horizontal="center" vertical="center"/>
    </xf>
    <xf numFmtId="0" fontId="57" fillId="0" borderId="98" xfId="0" applyFont="1" applyBorder="1" applyProtection="1"/>
    <xf numFmtId="0" fontId="57" fillId="0" borderId="8" xfId="0" applyFont="1" applyBorder="1" applyAlignment="1" applyProtection="1">
      <alignment horizontal="right"/>
    </xf>
    <xf numFmtId="0" fontId="42" fillId="0" borderId="114" xfId="0" applyFont="1" applyBorder="1" applyProtection="1"/>
    <xf numFmtId="0" fontId="42" fillId="0" borderId="8" xfId="0" applyFont="1" applyBorder="1" applyProtection="1"/>
    <xf numFmtId="0" fontId="42" fillId="0" borderId="8" xfId="0" applyFont="1" applyBorder="1" applyAlignment="1" applyProtection="1">
      <alignment horizontal="right"/>
    </xf>
    <xf numFmtId="0" fontId="42" fillId="0" borderId="114" xfId="0" applyFont="1" applyBorder="1" applyAlignment="1" applyProtection="1">
      <alignment horizontal="center" vertical="center"/>
    </xf>
    <xf numFmtId="0" fontId="42" fillId="0" borderId="8" xfId="0" applyFont="1" applyBorder="1" applyAlignment="1" applyProtection="1">
      <alignment horizontal="center" vertical="center"/>
    </xf>
    <xf numFmtId="0" fontId="42" fillId="0" borderId="0" xfId="0" applyFont="1" applyAlignment="1" applyProtection="1">
      <alignment horizontal="center" vertical="center"/>
    </xf>
    <xf numFmtId="0" fontId="19" fillId="4" borderId="0" xfId="0" applyFont="1" applyFill="1" applyBorder="1" applyAlignment="1" applyProtection="1">
      <alignment horizontal="center" vertical="center"/>
    </xf>
    <xf numFmtId="0" fontId="19" fillId="4" borderId="0" xfId="0" applyFont="1" applyFill="1" applyBorder="1" applyAlignment="1" applyProtection="1">
      <alignment horizontal="left" vertical="center"/>
    </xf>
    <xf numFmtId="0" fontId="19" fillId="4" borderId="0" xfId="0" applyFont="1" applyFill="1" applyBorder="1" applyAlignment="1" applyProtection="1">
      <alignment horizontal="center"/>
    </xf>
    <xf numFmtId="166" fontId="19" fillId="4" borderId="0" xfId="5" applyNumberFormat="1" applyFont="1" applyFill="1" applyBorder="1" applyProtection="1"/>
    <xf numFmtId="0" fontId="57" fillId="4" borderId="114" xfId="0" applyFont="1" applyFill="1" applyBorder="1" applyProtection="1"/>
    <xf numFmtId="0" fontId="57" fillId="4" borderId="8" xfId="0" applyFont="1" applyFill="1" applyBorder="1" applyProtection="1"/>
    <xf numFmtId="0" fontId="57" fillId="4" borderId="8" xfId="0" applyFont="1" applyFill="1" applyBorder="1" applyAlignment="1" applyProtection="1">
      <alignment horizontal="right"/>
    </xf>
    <xf numFmtId="0" fontId="57" fillId="4" borderId="0" xfId="0" applyFont="1" applyFill="1" applyProtection="1"/>
    <xf numFmtId="0" fontId="57" fillId="0" borderId="49" xfId="0" applyFont="1" applyBorder="1" applyProtection="1"/>
    <xf numFmtId="0" fontId="0" fillId="0" borderId="0" xfId="0" applyFont="1" applyAlignment="1" applyProtection="1">
      <alignment horizontal="right"/>
    </xf>
    <xf numFmtId="10" fontId="31" fillId="12" borderId="0" xfId="2" applyNumberFormat="1" applyFont="1" applyFill="1" applyBorder="1" applyProtection="1">
      <protection locked="0"/>
    </xf>
    <xf numFmtId="10" fontId="31" fillId="0" borderId="0" xfId="2" applyNumberFormat="1" applyFont="1" applyFill="1" applyBorder="1" applyProtection="1">
      <protection locked="0"/>
    </xf>
    <xf numFmtId="166" fontId="31" fillId="12" borderId="0" xfId="5" applyNumberFormat="1" applyFont="1" applyFill="1" applyBorder="1" applyProtection="1">
      <protection locked="0"/>
    </xf>
    <xf numFmtId="166" fontId="26" fillId="0" borderId="0" xfId="5" applyNumberFormat="1" applyFont="1" applyFill="1" applyBorder="1" applyAlignment="1" applyProtection="1"/>
    <xf numFmtId="166" fontId="31" fillId="38" borderId="0" xfId="5" applyNumberFormat="1" applyFont="1" applyFill="1" applyBorder="1" applyAlignment="1" applyProtection="1">
      <alignment horizontal="center" vertical="center"/>
      <protection locked="0"/>
    </xf>
    <xf numFmtId="166" fontId="31" fillId="0" borderId="368" xfId="5" applyNumberFormat="1" applyFont="1" applyFill="1" applyBorder="1" applyProtection="1">
      <protection locked="0"/>
    </xf>
    <xf numFmtId="166" fontId="31" fillId="38" borderId="0" xfId="5" applyNumberFormat="1" applyFont="1" applyFill="1" applyBorder="1" applyProtection="1">
      <protection locked="0"/>
    </xf>
    <xf numFmtId="166" fontId="31" fillId="38" borderId="368" xfId="5" applyNumberFormat="1" applyFont="1" applyFill="1" applyBorder="1" applyProtection="1">
      <protection locked="0"/>
    </xf>
    <xf numFmtId="10" fontId="31" fillId="38" borderId="0" xfId="2" applyNumberFormat="1" applyFont="1" applyFill="1" applyBorder="1" applyAlignment="1" applyProtection="1">
      <alignment horizontal="center" vertical="center"/>
      <protection locked="0"/>
    </xf>
    <xf numFmtId="166" fontId="31" fillId="0" borderId="370" xfId="5" applyNumberFormat="1" applyFont="1" applyFill="1" applyBorder="1" applyProtection="1">
      <protection locked="0"/>
    </xf>
    <xf numFmtId="166" fontId="31" fillId="38" borderId="368" xfId="5" applyNumberFormat="1" applyFont="1" applyFill="1" applyBorder="1" applyAlignment="1" applyProtection="1">
      <protection locked="0"/>
    </xf>
    <xf numFmtId="166" fontId="21" fillId="0" borderId="0" xfId="5" applyNumberFormat="1" applyFont="1" applyFill="1" applyBorder="1" applyAlignment="1" applyProtection="1">
      <alignment horizontal="center"/>
    </xf>
    <xf numFmtId="166" fontId="31" fillId="0" borderId="368" xfId="5" applyNumberFormat="1" applyFont="1" applyFill="1" applyBorder="1" applyAlignment="1" applyProtection="1">
      <protection locked="0"/>
    </xf>
    <xf numFmtId="166" fontId="21" fillId="38" borderId="0" xfId="5" applyNumberFormat="1" applyFont="1" applyFill="1" applyBorder="1" applyAlignment="1" applyProtection="1">
      <alignment horizontal="center"/>
    </xf>
    <xf numFmtId="166" fontId="21" fillId="0" borderId="0" xfId="5" applyNumberFormat="1" applyFont="1" applyFill="1" applyBorder="1" applyAlignment="1" applyProtection="1">
      <alignment horizontal="center"/>
      <protection locked="0"/>
    </xf>
    <xf numFmtId="166" fontId="31" fillId="38" borderId="370" xfId="5" applyNumberFormat="1" applyFont="1" applyFill="1" applyBorder="1" applyProtection="1">
      <protection locked="0"/>
    </xf>
    <xf numFmtId="166" fontId="31" fillId="38" borderId="371" xfId="5" applyNumberFormat="1" applyFont="1" applyFill="1" applyBorder="1" applyAlignment="1" applyProtection="1">
      <protection locked="0"/>
    </xf>
    <xf numFmtId="166" fontId="31" fillId="8" borderId="0" xfId="5" applyNumberFormat="1" applyFont="1" applyFill="1" applyBorder="1" applyAlignment="1" applyProtection="1">
      <alignment horizontal="left" indent="4"/>
      <protection locked="0"/>
    </xf>
    <xf numFmtId="166" fontId="31" fillId="0" borderId="0" xfId="5" applyNumberFormat="1" applyFont="1" applyFill="1" applyBorder="1" applyAlignment="1" applyProtection="1">
      <alignment horizontal="left" indent="4"/>
      <protection locked="0"/>
    </xf>
    <xf numFmtId="166" fontId="31" fillId="0" borderId="93" xfId="5" applyNumberFormat="1" applyFont="1" applyFill="1" applyBorder="1" applyAlignment="1" applyProtection="1">
      <alignment horizontal="left" indent="4"/>
      <protection locked="0"/>
    </xf>
    <xf numFmtId="166" fontId="31" fillId="8" borderId="90" xfId="5" applyNumberFormat="1" applyFont="1" applyFill="1" applyBorder="1" applyProtection="1">
      <protection locked="0"/>
    </xf>
    <xf numFmtId="166" fontId="31" fillId="8" borderId="93" xfId="5" applyNumberFormat="1" applyFont="1" applyFill="1" applyBorder="1" applyProtection="1">
      <protection locked="0"/>
    </xf>
    <xf numFmtId="10" fontId="31" fillId="8" borderId="0" xfId="2" applyNumberFormat="1" applyFont="1" applyFill="1" applyBorder="1" applyProtection="1">
      <protection locked="0"/>
    </xf>
    <xf numFmtId="10" fontId="31" fillId="8" borderId="88" xfId="2" applyNumberFormat="1" applyFont="1" applyFill="1" applyBorder="1" applyAlignment="1" applyProtection="1">
      <protection locked="0"/>
    </xf>
    <xf numFmtId="10" fontId="31" fillId="0" borderId="88" xfId="2" applyNumberFormat="1" applyFont="1" applyFill="1" applyBorder="1" applyAlignment="1" applyProtection="1">
      <protection locked="0"/>
    </xf>
    <xf numFmtId="10" fontId="31" fillId="8" borderId="93" xfId="2" applyNumberFormat="1" applyFont="1" applyFill="1" applyBorder="1" applyProtection="1">
      <protection locked="0"/>
    </xf>
    <xf numFmtId="10" fontId="31" fillId="8" borderId="94" xfId="2" applyNumberFormat="1" applyFont="1" applyFill="1" applyBorder="1" applyAlignment="1" applyProtection="1">
      <protection locked="0"/>
    </xf>
    <xf numFmtId="10" fontId="31" fillId="0" borderId="0" xfId="2" applyNumberFormat="1" applyFont="1" applyBorder="1" applyAlignment="1" applyProtection="1">
      <alignment horizontal="center" vertical="center"/>
      <protection locked="0"/>
    </xf>
    <xf numFmtId="10" fontId="31" fillId="0" borderId="88" xfId="2" applyNumberFormat="1" applyFont="1" applyBorder="1" applyAlignment="1" applyProtection="1">
      <alignment horizontal="center" vertical="center"/>
      <protection locked="0"/>
    </xf>
    <xf numFmtId="10" fontId="31" fillId="0" borderId="93" xfId="2" applyNumberFormat="1" applyFont="1" applyBorder="1" applyAlignment="1" applyProtection="1">
      <alignment horizontal="center" vertical="center"/>
      <protection locked="0"/>
    </xf>
    <xf numFmtId="10" fontId="31" fillId="0" borderId="94" xfId="2" applyNumberFormat="1" applyFont="1" applyBorder="1" applyAlignment="1" applyProtection="1">
      <alignment horizontal="center" vertical="center"/>
      <protection locked="0"/>
    </xf>
    <xf numFmtId="10" fontId="21" fillId="0" borderId="12" xfId="2" applyNumberFormat="1" applyFont="1" applyBorder="1" applyProtection="1"/>
    <xf numFmtId="10" fontId="28" fillId="0" borderId="51" xfId="2" applyNumberFormat="1" applyFont="1" applyFill="1" applyBorder="1" applyAlignment="1" applyProtection="1">
      <alignment horizontal="left" vertical="center"/>
    </xf>
    <xf numFmtId="10" fontId="57" fillId="0" borderId="11" xfId="2" applyNumberFormat="1" applyFont="1" applyBorder="1" applyProtection="1"/>
    <xf numFmtId="10" fontId="19" fillId="4" borderId="0" xfId="2" applyNumberFormat="1" applyFont="1" applyFill="1" applyBorder="1" applyAlignment="1" applyProtection="1">
      <alignment horizontal="center"/>
    </xf>
    <xf numFmtId="10" fontId="42" fillId="0" borderId="12" xfId="2" applyNumberFormat="1" applyFont="1" applyBorder="1" applyProtection="1"/>
    <xf numFmtId="10" fontId="57" fillId="0" borderId="12" xfId="2" applyNumberFormat="1" applyFont="1" applyBorder="1" applyProtection="1"/>
    <xf numFmtId="10" fontId="0" fillId="0" borderId="0" xfId="2" applyNumberFormat="1" applyFont="1" applyProtection="1"/>
    <xf numFmtId="168" fontId="10" fillId="0" borderId="156" xfId="5" applyNumberFormat="1" applyFont="1" applyBorder="1" applyAlignment="1" applyProtection="1">
      <alignment horizontal="right" vertical="center"/>
    </xf>
    <xf numFmtId="168" fontId="10" fillId="0" borderId="157" xfId="5" applyNumberFormat="1" applyFont="1" applyBorder="1" applyAlignment="1" applyProtection="1">
      <alignment horizontal="right" vertical="center"/>
    </xf>
    <xf numFmtId="168" fontId="10" fillId="0" borderId="0" xfId="5" applyNumberFormat="1" applyFont="1" applyFill="1" applyBorder="1" applyProtection="1"/>
    <xf numFmtId="166" fontId="69" fillId="0" borderId="0" xfId="5" applyNumberFormat="1" applyFont="1" applyFill="1" applyBorder="1" applyAlignment="1" applyProtection="1">
      <alignment horizontal="left" vertical="center"/>
    </xf>
    <xf numFmtId="166" fontId="10" fillId="0" borderId="0" xfId="5" applyNumberFormat="1" applyFont="1" applyFill="1" applyBorder="1" applyAlignment="1" applyProtection="1"/>
    <xf numFmtId="166" fontId="10" fillId="0" borderId="0" xfId="5" applyNumberFormat="1" applyFont="1" applyFill="1" applyBorder="1" applyProtection="1"/>
    <xf numFmtId="168" fontId="0" fillId="0" borderId="8" xfId="0" applyNumberFormat="1" applyFont="1" applyBorder="1" applyProtection="1"/>
    <xf numFmtId="168" fontId="0" fillId="0" borderId="51" xfId="0" applyNumberFormat="1" applyFont="1" applyFill="1" applyBorder="1" applyProtection="1"/>
    <xf numFmtId="168" fontId="57" fillId="0" borderId="0" xfId="0" applyNumberFormat="1" applyFont="1" applyFill="1" applyBorder="1" applyProtection="1"/>
    <xf numFmtId="168" fontId="57" fillId="0" borderId="161" xfId="0" applyNumberFormat="1" applyFont="1" applyFill="1" applyBorder="1" applyAlignment="1" applyProtection="1">
      <alignment horizontal="right" vertical="center"/>
    </xf>
    <xf numFmtId="168" fontId="57" fillId="0" borderId="162" xfId="0" applyNumberFormat="1" applyFont="1" applyFill="1" applyBorder="1" applyAlignment="1" applyProtection="1">
      <alignment horizontal="right" vertical="center"/>
    </xf>
    <xf numFmtId="168" fontId="42" fillId="0" borderId="162" xfId="0" applyNumberFormat="1" applyFont="1" applyBorder="1" applyAlignment="1" applyProtection="1">
      <alignment horizontal="right" vertical="center"/>
    </xf>
    <xf numFmtId="168" fontId="57" fillId="0" borderId="8" xfId="0" applyNumberFormat="1" applyFont="1" applyBorder="1" applyProtection="1"/>
    <xf numFmtId="168" fontId="57" fillId="0" borderId="11" xfId="0" applyNumberFormat="1" applyFont="1" applyBorder="1" applyProtection="1"/>
    <xf numFmtId="168" fontId="57" fillId="0" borderId="12" xfId="0" applyNumberFormat="1" applyFont="1" applyBorder="1" applyProtection="1"/>
    <xf numFmtId="168" fontId="42" fillId="0" borderId="161" xfId="0" applyNumberFormat="1" applyFont="1" applyBorder="1" applyProtection="1"/>
    <xf numFmtId="168" fontId="42" fillId="26" borderId="162" xfId="0" applyNumberFormat="1" applyFont="1" applyFill="1" applyBorder="1" applyProtection="1"/>
    <xf numFmtId="168" fontId="42" fillId="4" borderId="0" xfId="5" applyNumberFormat="1" applyFont="1" applyFill="1" applyBorder="1" applyProtection="1"/>
    <xf numFmtId="168" fontId="0" fillId="0" borderId="0" xfId="0" applyNumberFormat="1" applyFont="1" applyProtection="1"/>
    <xf numFmtId="166" fontId="21" fillId="12" borderId="57" xfId="5" applyNumberFormat="1" applyFont="1" applyFill="1" applyBorder="1" applyAlignment="1" applyProtection="1">
      <alignment horizontal="right" vertical="center"/>
    </xf>
    <xf numFmtId="166" fontId="21" fillId="12" borderId="102" xfId="5" applyNumberFormat="1" applyFont="1" applyFill="1" applyBorder="1" applyAlignment="1" applyProtection="1">
      <alignment horizontal="left" vertical="center"/>
    </xf>
    <xf numFmtId="0" fontId="37" fillId="0" borderId="264" xfId="0" applyFont="1" applyBorder="1" applyAlignment="1" applyProtection="1">
      <alignment horizontal="center" vertical="center" wrapText="1"/>
    </xf>
    <xf numFmtId="0" fontId="37" fillId="0" borderId="265" xfId="0" applyFont="1" applyBorder="1" applyAlignment="1" applyProtection="1">
      <alignment horizontal="center" vertical="center" wrapText="1"/>
    </xf>
    <xf numFmtId="0" fontId="31" fillId="11" borderId="0" xfId="0" applyFont="1" applyFill="1" applyBorder="1" applyAlignment="1" applyProtection="1">
      <alignment horizontal="right" vertical="center"/>
      <protection locked="0"/>
    </xf>
    <xf numFmtId="166" fontId="26" fillId="11" borderId="0" xfId="5" applyNumberFormat="1" applyFont="1" applyFill="1" applyBorder="1" applyAlignment="1" applyProtection="1">
      <alignment horizontal="right" vertical="center"/>
    </xf>
    <xf numFmtId="166" fontId="26" fillId="11" borderId="77" xfId="5" applyNumberFormat="1" applyFont="1" applyFill="1" applyBorder="1" applyAlignment="1" applyProtection="1">
      <alignment horizontal="right" vertical="center"/>
    </xf>
    <xf numFmtId="166" fontId="26" fillId="11" borderId="276" xfId="5" applyNumberFormat="1" applyFont="1" applyFill="1" applyBorder="1" applyAlignment="1" applyProtection="1">
      <alignment horizontal="right" vertical="center"/>
    </xf>
    <xf numFmtId="0" fontId="26" fillId="11" borderId="276" xfId="0" applyFont="1" applyFill="1" applyBorder="1" applyAlignment="1" applyProtection="1">
      <alignment horizontal="right" vertical="center"/>
    </xf>
    <xf numFmtId="166" fontId="26" fillId="11" borderId="271" xfId="5" applyNumberFormat="1" applyFont="1" applyFill="1" applyBorder="1" applyAlignment="1" applyProtection="1">
      <alignment horizontal="right" vertical="center"/>
    </xf>
    <xf numFmtId="0" fontId="4" fillId="4" borderId="0" xfId="0" applyFont="1" applyFill="1" applyAlignment="1" applyProtection="1">
      <alignment vertical="center"/>
    </xf>
    <xf numFmtId="0" fontId="67" fillId="4" borderId="0" xfId="0" applyFont="1" applyFill="1" applyAlignment="1" applyProtection="1">
      <alignment horizontal="center" vertical="center" wrapText="1"/>
    </xf>
    <xf numFmtId="0" fontId="26" fillId="11" borderId="273" xfId="0" applyFont="1" applyFill="1" applyBorder="1" applyAlignment="1" applyProtection="1">
      <alignment horizontal="left" vertical="center"/>
    </xf>
    <xf numFmtId="0" fontId="26" fillId="11" borderId="280" xfId="0" applyFont="1" applyFill="1" applyBorder="1" applyAlignment="1" applyProtection="1">
      <alignment horizontal="left" vertical="center"/>
    </xf>
    <xf numFmtId="0" fontId="31" fillId="8" borderId="95" xfId="0" applyFont="1" applyFill="1" applyBorder="1" applyAlignment="1" applyProtection="1">
      <alignment horizontal="center" vertical="center"/>
      <protection locked="0"/>
    </xf>
    <xf numFmtId="0" fontId="31" fillId="8" borderId="86" xfId="0" applyFont="1" applyFill="1" applyBorder="1" applyAlignment="1" applyProtection="1">
      <alignment horizontal="center" vertical="center"/>
      <protection locked="0"/>
    </xf>
    <xf numFmtId="0" fontId="6" fillId="0" borderId="0" xfId="0" applyFont="1"/>
    <xf numFmtId="43" fontId="0" fillId="4" borderId="0" xfId="5" applyFont="1" applyFill="1" applyAlignment="1" applyProtection="1">
      <alignment vertical="center"/>
    </xf>
    <xf numFmtId="43" fontId="30" fillId="0" borderId="317" xfId="5" applyFont="1" applyBorder="1" applyAlignment="1" applyProtection="1">
      <alignment horizontal="center" vertical="center" wrapText="1"/>
    </xf>
    <xf numFmtId="43" fontId="16" fillId="8" borderId="90" xfId="5" applyFont="1" applyFill="1" applyBorder="1" applyAlignment="1" applyProtection="1">
      <alignment horizontal="left" vertical="center"/>
    </xf>
    <xf numFmtId="43" fontId="16" fillId="0" borderId="0" xfId="5" applyFont="1" applyBorder="1" applyAlignment="1" applyProtection="1">
      <alignment horizontal="left" vertical="center"/>
    </xf>
    <xf numFmtId="43" fontId="16" fillId="8" borderId="0" xfId="5" applyFont="1" applyFill="1" applyBorder="1" applyAlignment="1" applyProtection="1">
      <alignment horizontal="left" vertical="center"/>
    </xf>
    <xf numFmtId="43" fontId="16" fillId="29" borderId="0" xfId="5" applyFont="1" applyFill="1" applyBorder="1" applyAlignment="1" applyProtection="1">
      <alignment horizontal="left" vertical="center"/>
    </xf>
    <xf numFmtId="43" fontId="16" fillId="0" borderId="93" xfId="5" applyFont="1" applyBorder="1" applyAlignment="1" applyProtection="1">
      <alignment horizontal="left" vertical="center"/>
    </xf>
    <xf numFmtId="43" fontId="0" fillId="0" borderId="40" xfId="5" applyFont="1" applyBorder="1" applyAlignment="1" applyProtection="1">
      <alignment vertical="center"/>
    </xf>
    <xf numFmtId="43" fontId="0" fillId="0" borderId="43" xfId="5" applyFont="1" applyBorder="1" applyAlignment="1" applyProtection="1">
      <alignment vertical="center"/>
    </xf>
    <xf numFmtId="43" fontId="0" fillId="0" borderId="8" xfId="5" applyFont="1" applyBorder="1" applyAlignment="1" applyProtection="1">
      <alignment vertical="center"/>
    </xf>
    <xf numFmtId="43" fontId="0" fillId="0" borderId="51" xfId="5" applyFont="1" applyFill="1" applyBorder="1" applyAlignment="1" applyProtection="1">
      <alignment vertical="center"/>
    </xf>
    <xf numFmtId="43" fontId="30" fillId="0" borderId="318" xfId="5" applyFont="1" applyBorder="1" applyAlignment="1" applyProtection="1">
      <alignment horizontal="center" vertical="center" wrapText="1"/>
    </xf>
    <xf numFmtId="43" fontId="31" fillId="8" borderId="89" xfId="5" applyFont="1" applyFill="1" applyBorder="1" applyAlignment="1" applyProtection="1">
      <alignment horizontal="left" vertical="center"/>
      <protection locked="0"/>
    </xf>
    <xf numFmtId="43" fontId="16" fillId="0" borderId="0" xfId="5" applyFont="1" applyAlignment="1" applyProtection="1">
      <alignment horizontal="left" vertical="center"/>
    </xf>
    <xf numFmtId="43" fontId="31" fillId="0" borderId="87" xfId="5" applyFont="1" applyBorder="1" applyAlignment="1" applyProtection="1">
      <alignment horizontal="left" vertical="center"/>
      <protection locked="0"/>
    </xf>
    <xf numFmtId="43" fontId="16" fillId="8" borderId="0" xfId="5" applyFont="1" applyFill="1" applyAlignment="1" applyProtection="1">
      <alignment horizontal="left" vertical="center"/>
    </xf>
    <xf numFmtId="43" fontId="31" fillId="8" borderId="87" xfId="5" applyFont="1" applyFill="1" applyBorder="1" applyAlignment="1" applyProtection="1">
      <alignment horizontal="left" vertical="center"/>
      <protection locked="0"/>
    </xf>
    <xf numFmtId="43" fontId="16" fillId="29" borderId="0" xfId="5" applyFont="1" applyFill="1" applyAlignment="1" applyProtection="1">
      <alignment horizontal="left" vertical="center"/>
    </xf>
    <xf numFmtId="43" fontId="31" fillId="29" borderId="87" xfId="5" applyFont="1" applyFill="1" applyBorder="1" applyAlignment="1" applyProtection="1">
      <alignment horizontal="left" vertical="center"/>
      <protection locked="0"/>
    </xf>
    <xf numFmtId="43" fontId="31" fillId="0" borderId="92" xfId="5" applyFont="1" applyBorder="1" applyAlignment="1" applyProtection="1">
      <alignment horizontal="left" vertical="center"/>
      <protection locked="0"/>
    </xf>
    <xf numFmtId="43" fontId="0" fillId="0" borderId="12" xfId="5" applyFont="1" applyBorder="1" applyAlignment="1" applyProtection="1">
      <alignment vertical="center"/>
    </xf>
    <xf numFmtId="43" fontId="0" fillId="0" borderId="101" xfId="5" applyFont="1" applyFill="1" applyBorder="1" applyAlignment="1" applyProtection="1">
      <alignment vertical="center"/>
    </xf>
    <xf numFmtId="43" fontId="16" fillId="8" borderId="90" xfId="5" applyFont="1" applyFill="1" applyBorder="1" applyAlignment="1" applyProtection="1">
      <alignment horizontal="right" vertical="center"/>
    </xf>
    <xf numFmtId="43" fontId="16" fillId="0" borderId="0" xfId="5" applyFont="1" applyBorder="1" applyAlignment="1" applyProtection="1">
      <alignment horizontal="right" vertical="center"/>
    </xf>
    <xf numFmtId="43" fontId="16" fillId="8" borderId="0" xfId="5" applyFont="1" applyFill="1" applyBorder="1" applyAlignment="1" applyProtection="1">
      <alignment horizontal="right" vertical="center"/>
    </xf>
    <xf numFmtId="43" fontId="16" fillId="29" borderId="0" xfId="5" applyFont="1" applyFill="1" applyBorder="1" applyAlignment="1" applyProtection="1">
      <alignment horizontal="right" vertical="center"/>
    </xf>
    <xf numFmtId="43" fontId="16" fillId="0" borderId="93" xfId="5" applyFont="1" applyBorder="1" applyAlignment="1" applyProtection="1">
      <alignment horizontal="right" vertical="center"/>
    </xf>
    <xf numFmtId="43" fontId="0" fillId="0" borderId="37" xfId="5" applyFont="1" applyBorder="1" applyAlignment="1" applyProtection="1">
      <alignment vertical="center"/>
    </xf>
    <xf numFmtId="0" fontId="30" fillId="0" borderId="226" xfId="0" applyNumberFormat="1" applyFont="1" applyBorder="1" applyAlignment="1" applyProtection="1">
      <alignment horizontal="center" vertical="center"/>
    </xf>
    <xf numFmtId="0" fontId="15" fillId="4" borderId="0" xfId="0" applyNumberFormat="1" applyFont="1" applyFill="1" applyAlignment="1" applyProtection="1">
      <alignment vertical="center"/>
    </xf>
    <xf numFmtId="0" fontId="15" fillId="4" borderId="0" xfId="0" applyNumberFormat="1" applyFont="1" applyFill="1" applyBorder="1" applyAlignment="1" applyProtection="1">
      <alignment vertical="center"/>
    </xf>
    <xf numFmtId="0" fontId="30" fillId="0" borderId="226" xfId="5" applyNumberFormat="1" applyFont="1" applyBorder="1" applyAlignment="1" applyProtection="1">
      <alignment horizontal="center" vertical="center"/>
    </xf>
    <xf numFmtId="0" fontId="0" fillId="4" borderId="0" xfId="0" applyNumberFormat="1" applyFill="1" applyAlignment="1" applyProtection="1">
      <alignment vertical="center"/>
    </xf>
    <xf numFmtId="43" fontId="31" fillId="8" borderId="0" xfId="5" applyNumberFormat="1" applyFont="1" applyFill="1" applyBorder="1" applyAlignment="1" applyProtection="1">
      <alignment vertical="center"/>
      <protection locked="0"/>
    </xf>
    <xf numFmtId="43" fontId="31" fillId="0" borderId="0" xfId="5" applyNumberFormat="1" applyFont="1" applyBorder="1" applyAlignment="1" applyProtection="1">
      <alignment vertical="center"/>
      <protection locked="0"/>
    </xf>
    <xf numFmtId="43" fontId="31" fillId="0" borderId="93" xfId="5" applyNumberFormat="1" applyFont="1" applyBorder="1" applyAlignment="1" applyProtection="1">
      <alignment vertical="center"/>
      <protection locked="0"/>
    </xf>
    <xf numFmtId="43" fontId="16" fillId="8" borderId="88" xfId="5" applyNumberFormat="1" applyFont="1" applyFill="1" applyBorder="1" applyAlignment="1" applyProtection="1">
      <alignment vertical="center"/>
    </xf>
    <xf numFmtId="43" fontId="16" fillId="0" borderId="88" xfId="5" applyNumberFormat="1" applyFont="1" applyBorder="1" applyAlignment="1" applyProtection="1">
      <alignment vertical="center"/>
    </xf>
    <xf numFmtId="43" fontId="16" fillId="0" borderId="94" xfId="5" applyNumberFormat="1" applyFont="1" applyBorder="1" applyAlignment="1" applyProtection="1">
      <alignment vertical="center"/>
    </xf>
    <xf numFmtId="43" fontId="31" fillId="0" borderId="87" xfId="5" applyNumberFormat="1" applyFont="1" applyBorder="1" applyAlignment="1" applyProtection="1">
      <alignment vertical="center"/>
      <protection locked="0"/>
    </xf>
    <xf numFmtId="43" fontId="31" fillId="0" borderId="92" xfId="5" applyNumberFormat="1" applyFont="1" applyBorder="1" applyAlignment="1" applyProtection="1">
      <alignment vertical="center"/>
      <protection locked="0"/>
    </xf>
    <xf numFmtId="43" fontId="30" fillId="0" borderId="93" xfId="5" applyFont="1" applyBorder="1" applyAlignment="1" applyProtection="1">
      <alignment horizontal="center" vertical="center" wrapText="1"/>
    </xf>
    <xf numFmtId="43" fontId="31" fillId="8" borderId="0" xfId="5" applyFont="1" applyFill="1" applyBorder="1" applyAlignment="1" applyProtection="1">
      <alignment vertical="center"/>
      <protection locked="0"/>
    </xf>
    <xf numFmtId="43" fontId="31" fillId="0" borderId="0" xfId="5" applyFont="1" applyBorder="1" applyAlignment="1" applyProtection="1">
      <alignment vertical="center"/>
      <protection locked="0"/>
    </xf>
    <xf numFmtId="43" fontId="30" fillId="0" borderId="94" xfId="5" applyFont="1" applyBorder="1" applyAlignment="1" applyProtection="1">
      <alignment horizontal="center" vertical="center" wrapText="1"/>
    </xf>
    <xf numFmtId="43" fontId="16" fillId="8" borderId="88" xfId="5" applyFont="1" applyFill="1" applyBorder="1" applyAlignment="1" applyProtection="1">
      <alignment vertical="center"/>
    </xf>
    <xf numFmtId="43" fontId="16" fillId="0" borderId="88" xfId="5" applyFont="1" applyBorder="1" applyAlignment="1" applyProtection="1">
      <alignment vertical="center"/>
    </xf>
    <xf numFmtId="43" fontId="30" fillId="0" borderId="92" xfId="5" applyFont="1" applyBorder="1" applyAlignment="1" applyProtection="1">
      <alignment horizontal="center" vertical="center" wrapText="1"/>
    </xf>
    <xf numFmtId="43" fontId="30" fillId="0" borderId="201" xfId="5" applyFont="1" applyBorder="1" applyAlignment="1" applyProtection="1">
      <alignment horizontal="center" vertical="center" wrapText="1"/>
    </xf>
    <xf numFmtId="43" fontId="31" fillId="8" borderId="87" xfId="5" applyFont="1" applyFill="1" applyBorder="1" applyAlignment="1" applyProtection="1">
      <alignment vertical="center"/>
      <protection locked="0"/>
    </xf>
    <xf numFmtId="43" fontId="31" fillId="0" borderId="87" xfId="5" applyFont="1" applyBorder="1" applyAlignment="1" applyProtection="1">
      <alignment vertical="center"/>
      <protection locked="0"/>
    </xf>
    <xf numFmtId="43" fontId="16" fillId="8" borderId="0" xfId="5" applyFont="1" applyFill="1" applyBorder="1" applyAlignment="1" applyProtection="1">
      <alignment vertical="center"/>
    </xf>
    <xf numFmtId="43" fontId="16" fillId="0" borderId="0" xfId="5" applyFont="1" applyBorder="1" applyAlignment="1" applyProtection="1">
      <alignment vertical="center"/>
    </xf>
    <xf numFmtId="43" fontId="16" fillId="8" borderId="88" xfId="5" applyFont="1" applyFill="1" applyBorder="1" applyAlignment="1" applyProtection="1">
      <alignment horizontal="right" vertical="center"/>
    </xf>
    <xf numFmtId="43" fontId="16" fillId="0" borderId="88" xfId="5" applyFont="1" applyBorder="1" applyAlignment="1" applyProtection="1">
      <alignment horizontal="right" vertical="center"/>
    </xf>
    <xf numFmtId="43" fontId="16" fillId="0" borderId="209" xfId="5" applyFont="1" applyBorder="1" applyAlignment="1" applyProtection="1">
      <alignment vertical="center"/>
    </xf>
    <xf numFmtId="43" fontId="31" fillId="0" borderId="210" xfId="5" applyFont="1" applyBorder="1" applyAlignment="1" applyProtection="1">
      <alignment vertical="center"/>
      <protection locked="0"/>
    </xf>
    <xf numFmtId="43" fontId="16" fillId="0" borderId="210" xfId="5" applyFont="1" applyBorder="1" applyAlignment="1" applyProtection="1">
      <alignment vertical="center"/>
    </xf>
    <xf numFmtId="43" fontId="31" fillId="0" borderId="223" xfId="5" applyFont="1" applyBorder="1" applyAlignment="1" applyProtection="1">
      <alignment vertical="center"/>
      <protection locked="0"/>
    </xf>
    <xf numFmtId="43" fontId="31" fillId="0" borderId="93" xfId="5" applyFont="1" applyBorder="1" applyAlignment="1" applyProtection="1">
      <alignment vertical="center"/>
      <protection locked="0"/>
    </xf>
    <xf numFmtId="43" fontId="16" fillId="0" borderId="94" xfId="5" applyFont="1" applyBorder="1" applyAlignment="1" applyProtection="1">
      <alignment vertical="center"/>
    </xf>
    <xf numFmtId="43" fontId="31" fillId="24" borderId="102" xfId="5" applyFont="1" applyFill="1" applyBorder="1" applyAlignment="1" applyProtection="1">
      <alignment horizontal="right" vertical="center"/>
      <protection locked="0"/>
    </xf>
    <xf numFmtId="43" fontId="31" fillId="0" borderId="105" xfId="5" applyFont="1" applyBorder="1" applyAlignment="1" applyProtection="1">
      <alignment horizontal="right" vertical="center"/>
      <protection locked="0"/>
    </xf>
    <xf numFmtId="43" fontId="31" fillId="24" borderId="105" xfId="5" applyFont="1" applyFill="1" applyBorder="1" applyAlignment="1" applyProtection="1">
      <alignment horizontal="right" vertical="center"/>
      <protection locked="0"/>
    </xf>
    <xf numFmtId="43" fontId="31" fillId="0" borderId="105" xfId="5" applyFont="1" applyFill="1" applyBorder="1" applyAlignment="1" applyProtection="1">
      <alignment horizontal="right" vertical="center"/>
      <protection locked="0"/>
    </xf>
    <xf numFmtId="43" fontId="31" fillId="0" borderId="251" xfId="5" applyFont="1" applyFill="1" applyBorder="1" applyAlignment="1" applyProtection="1">
      <alignment horizontal="right" vertical="center"/>
      <protection locked="0"/>
    </xf>
    <xf numFmtId="43" fontId="21" fillId="24" borderId="57" xfId="5" applyFont="1" applyFill="1" applyBorder="1" applyAlignment="1" applyProtection="1">
      <alignment horizontal="right" vertical="center"/>
    </xf>
    <xf numFmtId="43" fontId="21" fillId="0" borderId="0" xfId="5" applyFont="1" applyBorder="1" applyAlignment="1" applyProtection="1">
      <alignment horizontal="right" vertical="center"/>
    </xf>
    <xf numFmtId="43" fontId="21" fillId="24" borderId="0" xfId="5" applyFont="1" applyFill="1" applyBorder="1" applyAlignment="1" applyProtection="1">
      <alignment horizontal="right" vertical="center"/>
    </xf>
    <xf numFmtId="43" fontId="21" fillId="0" borderId="0" xfId="5" applyFont="1" applyFill="1" applyBorder="1" applyAlignment="1" applyProtection="1">
      <alignment horizontal="right" vertical="center"/>
    </xf>
    <xf numFmtId="43" fontId="21" fillId="0" borderId="249" xfId="5" applyFont="1" applyFill="1" applyBorder="1" applyAlignment="1" applyProtection="1">
      <alignment horizontal="right" vertical="center"/>
    </xf>
    <xf numFmtId="43" fontId="21" fillId="24" borderId="57" xfId="5" applyFont="1" applyFill="1" applyBorder="1" applyAlignment="1" applyProtection="1">
      <alignment horizontal="left" vertical="center"/>
    </xf>
    <xf numFmtId="43" fontId="21" fillId="0" borderId="0" xfId="5" applyFont="1" applyBorder="1" applyAlignment="1" applyProtection="1">
      <alignment horizontal="left" vertical="center"/>
    </xf>
    <xf numFmtId="43" fontId="21" fillId="24" borderId="0" xfId="5" applyFont="1" applyFill="1" applyBorder="1" applyAlignment="1" applyProtection="1">
      <alignment horizontal="left" vertical="center"/>
    </xf>
    <xf numFmtId="43" fontId="21" fillId="0" borderId="104" xfId="5" applyFont="1" applyBorder="1" applyAlignment="1" applyProtection="1">
      <alignment horizontal="left" vertical="center"/>
    </xf>
    <xf numFmtId="43" fontId="21" fillId="0" borderId="0" xfId="5" applyFont="1" applyFill="1" applyBorder="1" applyAlignment="1" applyProtection="1">
      <alignment horizontal="left" vertical="center"/>
    </xf>
    <xf numFmtId="43" fontId="21" fillId="0" borderId="249" xfId="5" applyFont="1" applyFill="1" applyBorder="1" applyAlignment="1" applyProtection="1">
      <alignment horizontal="left" vertical="center"/>
    </xf>
    <xf numFmtId="166" fontId="31" fillId="24" borderId="57" xfId="5" applyNumberFormat="1" applyFont="1" applyFill="1" applyBorder="1" applyAlignment="1" applyProtection="1">
      <alignment horizontal="right" vertical="center"/>
      <protection locked="0"/>
    </xf>
    <xf numFmtId="166" fontId="31" fillId="0" borderId="0" xfId="5" applyNumberFormat="1" applyFont="1" applyBorder="1" applyAlignment="1" applyProtection="1">
      <alignment horizontal="right" vertical="center"/>
      <protection locked="0"/>
    </xf>
    <xf numFmtId="166" fontId="31" fillId="24" borderId="0" xfId="5" applyNumberFormat="1" applyFont="1" applyFill="1" applyBorder="1" applyAlignment="1" applyProtection="1">
      <alignment horizontal="right" vertical="center"/>
      <protection locked="0"/>
    </xf>
    <xf numFmtId="166" fontId="31" fillId="0" borderId="0" xfId="5" applyNumberFormat="1" applyFont="1" applyFill="1" applyBorder="1" applyAlignment="1" applyProtection="1">
      <alignment horizontal="right" vertical="center"/>
      <protection locked="0"/>
    </xf>
    <xf numFmtId="166" fontId="31" fillId="0" borderId="249" xfId="5" applyNumberFormat="1" applyFont="1" applyFill="1" applyBorder="1" applyAlignment="1" applyProtection="1">
      <alignment horizontal="right" vertical="center"/>
      <protection locked="0"/>
    </xf>
    <xf numFmtId="43" fontId="31" fillId="12" borderId="102" xfId="5" applyFont="1" applyFill="1" applyBorder="1" applyAlignment="1" applyProtection="1">
      <alignment horizontal="right" vertical="center"/>
      <protection locked="0"/>
    </xf>
    <xf numFmtId="43" fontId="31" fillId="12" borderId="105" xfId="5" applyFont="1" applyFill="1" applyBorder="1" applyAlignment="1" applyProtection="1">
      <alignment horizontal="right" vertical="center"/>
      <protection locked="0"/>
    </xf>
    <xf numFmtId="43" fontId="21" fillId="12" borderId="57" xfId="5" applyFont="1" applyFill="1" applyBorder="1" applyAlignment="1" applyProtection="1">
      <alignment horizontal="right" vertical="center"/>
    </xf>
    <xf numFmtId="43" fontId="21" fillId="12" borderId="0" xfId="5" applyFont="1" applyFill="1" applyBorder="1" applyAlignment="1" applyProtection="1">
      <alignment horizontal="right" vertical="center"/>
    </xf>
    <xf numFmtId="43" fontId="21" fillId="12" borderId="57" xfId="5" applyFont="1" applyFill="1" applyBorder="1" applyAlignment="1" applyProtection="1">
      <alignment horizontal="left" vertical="center"/>
    </xf>
    <xf numFmtId="43" fontId="21" fillId="12" borderId="0" xfId="5" applyFont="1" applyFill="1" applyBorder="1" applyAlignment="1" applyProtection="1">
      <alignment horizontal="left" vertical="center"/>
    </xf>
    <xf numFmtId="166" fontId="31" fillId="12" borderId="57" xfId="5" applyNumberFormat="1" applyFont="1" applyFill="1" applyBorder="1" applyAlignment="1" applyProtection="1">
      <alignment horizontal="right" vertical="center"/>
      <protection locked="0"/>
    </xf>
    <xf numFmtId="166" fontId="31" fillId="12" borderId="0" xfId="5" applyNumberFormat="1" applyFont="1" applyFill="1" applyBorder="1" applyAlignment="1" applyProtection="1">
      <alignment horizontal="right" vertical="center"/>
      <protection locked="0"/>
    </xf>
    <xf numFmtId="43" fontId="31" fillId="35" borderId="64" xfId="5" applyFont="1" applyFill="1" applyBorder="1" applyAlignment="1" applyProtection="1">
      <alignment horizontal="right" vertical="center"/>
      <protection locked="0"/>
    </xf>
    <xf numFmtId="43" fontId="21" fillId="35" borderId="104" xfId="5" applyFont="1" applyFill="1" applyBorder="1" applyAlignment="1" applyProtection="1">
      <alignment horizontal="right" vertical="center"/>
    </xf>
    <xf numFmtId="43" fontId="16" fillId="35" borderId="104" xfId="5" applyFont="1" applyFill="1" applyBorder="1" applyAlignment="1" applyProtection="1">
      <alignment horizontal="left" vertical="center"/>
    </xf>
    <xf numFmtId="43" fontId="21" fillId="35" borderId="104" xfId="5" applyFont="1" applyFill="1" applyBorder="1" applyAlignment="1" applyProtection="1">
      <alignment horizontal="left" vertical="center"/>
    </xf>
    <xf numFmtId="43" fontId="21" fillId="35" borderId="64" xfId="5" applyFont="1" applyFill="1" applyBorder="1" applyAlignment="1" applyProtection="1">
      <alignment horizontal="left" vertical="center"/>
    </xf>
    <xf numFmtId="166" fontId="31" fillId="35" borderId="64" xfId="5" applyNumberFormat="1" applyFont="1" applyFill="1" applyBorder="1" applyAlignment="1" applyProtection="1">
      <alignment horizontal="right" vertical="center"/>
      <protection locked="0"/>
    </xf>
    <xf numFmtId="43" fontId="21" fillId="24" borderId="102" xfId="5" applyFont="1" applyFill="1" applyBorder="1" applyAlignment="1" applyProtection="1">
      <alignment horizontal="left" vertical="center"/>
    </xf>
    <xf numFmtId="43" fontId="21" fillId="0" borderId="105" xfId="5" applyFont="1" applyFill="1" applyBorder="1" applyAlignment="1" applyProtection="1">
      <alignment horizontal="left" vertical="center"/>
    </xf>
    <xf numFmtId="43" fontId="21" fillId="12" borderId="105" xfId="5" applyFont="1" applyFill="1" applyBorder="1" applyAlignment="1" applyProtection="1">
      <alignment horizontal="left" vertical="center"/>
    </xf>
    <xf numFmtId="43" fontId="21" fillId="0" borderId="251" xfId="5" applyFont="1" applyFill="1" applyBorder="1" applyAlignment="1" applyProtection="1">
      <alignment horizontal="left" vertical="center"/>
    </xf>
    <xf numFmtId="43" fontId="34" fillId="0" borderId="128" xfId="5" applyFont="1" applyBorder="1" applyAlignment="1" applyProtection="1">
      <alignment horizontal="center" vertical="center" wrapText="1"/>
    </xf>
    <xf numFmtId="43" fontId="21" fillId="24" borderId="57" xfId="5" applyFont="1" applyFill="1" applyBorder="1" applyAlignment="1" applyProtection="1">
      <alignment vertical="center"/>
    </xf>
    <xf numFmtId="43" fontId="21" fillId="0" borderId="0" xfId="5" applyFont="1" applyBorder="1" applyAlignment="1" applyProtection="1">
      <alignment vertical="center"/>
    </xf>
    <xf numFmtId="43" fontId="21" fillId="24" borderId="0" xfId="5" applyFont="1" applyFill="1" applyBorder="1" applyAlignment="1" applyProtection="1">
      <alignment vertical="center"/>
    </xf>
    <xf numFmtId="43" fontId="21" fillId="0" borderId="64" xfId="5" applyFont="1" applyBorder="1" applyAlignment="1" applyProtection="1">
      <alignment vertical="center"/>
    </xf>
    <xf numFmtId="43" fontId="21" fillId="24" borderId="241" xfId="5" applyFont="1" applyFill="1" applyBorder="1" applyAlignment="1" applyProtection="1">
      <alignment horizontal="right" vertical="center"/>
    </xf>
    <xf numFmtId="43" fontId="21" fillId="24" borderId="64" xfId="5" applyFont="1" applyFill="1" applyBorder="1" applyAlignment="1" applyProtection="1">
      <alignment horizontal="right" vertical="center"/>
    </xf>
    <xf numFmtId="43" fontId="21" fillId="24" borderId="241" xfId="5" applyFont="1" applyFill="1" applyBorder="1" applyAlignment="1" applyProtection="1">
      <alignment vertical="center"/>
    </xf>
    <xf numFmtId="43" fontId="21" fillId="24" borderId="241" xfId="5" applyFont="1" applyFill="1" applyBorder="1" applyAlignment="1" applyProtection="1">
      <alignment horizontal="center" vertical="center"/>
    </xf>
    <xf numFmtId="43" fontId="21" fillId="0" borderId="0" xfId="5" applyFont="1" applyBorder="1" applyAlignment="1" applyProtection="1">
      <alignment horizontal="center" vertical="center"/>
    </xf>
    <xf numFmtId="43" fontId="21" fillId="24" borderId="0" xfId="5" applyFont="1" applyFill="1" applyBorder="1" applyAlignment="1" applyProtection="1">
      <alignment horizontal="center" vertical="center"/>
    </xf>
    <xf numFmtId="43" fontId="31" fillId="4" borderId="0" xfId="5" applyFont="1" applyFill="1" applyAlignment="1" applyProtection="1">
      <alignment vertical="center"/>
    </xf>
    <xf numFmtId="43" fontId="0" fillId="4" borderId="8" xfId="5" applyFont="1" applyFill="1" applyBorder="1" applyAlignment="1" applyProtection="1">
      <alignment vertical="center"/>
    </xf>
    <xf numFmtId="43" fontId="0" fillId="4" borderId="11" xfId="5" applyFont="1" applyFill="1" applyBorder="1" applyAlignment="1" applyProtection="1">
      <alignment vertical="center"/>
    </xf>
    <xf numFmtId="43" fontId="0" fillId="4" borderId="36" xfId="5" applyFont="1" applyFill="1" applyBorder="1" applyAlignment="1" applyProtection="1">
      <alignment vertical="center"/>
    </xf>
    <xf numFmtId="43" fontId="0" fillId="0" borderId="11" xfId="5" applyFont="1" applyBorder="1" applyAlignment="1" applyProtection="1">
      <alignment vertical="center"/>
    </xf>
    <xf numFmtId="43" fontId="0" fillId="0" borderId="8" xfId="5" applyFont="1" applyFill="1" applyBorder="1" applyAlignment="1" applyProtection="1">
      <alignment vertical="center"/>
    </xf>
    <xf numFmtId="43" fontId="21" fillId="24" borderId="64" xfId="5" applyFont="1" applyFill="1" applyBorder="1" applyAlignment="1" applyProtection="1">
      <alignment vertical="center"/>
    </xf>
    <xf numFmtId="43" fontId="0" fillId="0" borderId="100" xfId="5" applyFont="1" applyBorder="1" applyAlignment="1" applyProtection="1">
      <alignment vertical="center"/>
    </xf>
    <xf numFmtId="43" fontId="0" fillId="0" borderId="114" xfId="5" applyFont="1" applyBorder="1" applyAlignment="1" applyProtection="1">
      <alignment vertical="center"/>
    </xf>
    <xf numFmtId="43" fontId="0" fillId="0" borderId="115" xfId="5" applyFont="1" applyBorder="1" applyAlignment="1" applyProtection="1">
      <alignment vertical="center"/>
    </xf>
    <xf numFmtId="43" fontId="31" fillId="0" borderId="100" xfId="5" applyFont="1" applyBorder="1" applyAlignment="1" applyProtection="1">
      <alignment vertical="center"/>
    </xf>
    <xf numFmtId="43" fontId="0" fillId="0" borderId="11" xfId="5" applyFont="1" applyFill="1" applyBorder="1" applyAlignment="1" applyProtection="1">
      <alignment vertical="center"/>
    </xf>
    <xf numFmtId="43" fontId="0" fillId="0" borderId="36" xfId="5" applyFont="1" applyFill="1" applyBorder="1" applyAlignment="1" applyProtection="1">
      <alignment vertical="center"/>
    </xf>
    <xf numFmtId="43" fontId="34" fillId="0" borderId="335" xfId="5" applyFont="1" applyBorder="1" applyAlignment="1" applyProtection="1">
      <alignment horizontal="center" vertical="center" wrapText="1"/>
    </xf>
    <xf numFmtId="43" fontId="31" fillId="24" borderId="102" xfId="5" applyFont="1" applyFill="1" applyBorder="1" applyAlignment="1" applyProtection="1">
      <alignment vertical="center"/>
      <protection locked="0"/>
    </xf>
    <xf numFmtId="43" fontId="31" fillId="0" borderId="105" xfId="5" applyFont="1" applyBorder="1" applyAlignment="1" applyProtection="1">
      <alignment vertical="center"/>
      <protection locked="0"/>
    </xf>
    <xf numFmtId="43" fontId="31" fillId="24" borderId="105" xfId="5" applyFont="1" applyFill="1" applyBorder="1" applyAlignment="1" applyProtection="1">
      <alignment vertical="center"/>
      <protection locked="0"/>
    </xf>
    <xf numFmtId="43" fontId="31" fillId="0" borderId="103" xfId="5" applyFont="1" applyBorder="1" applyAlignment="1" applyProtection="1">
      <alignment vertical="center"/>
      <protection locked="0"/>
    </xf>
    <xf numFmtId="43" fontId="31" fillId="24" borderId="243" xfId="5" applyFont="1" applyFill="1" applyBorder="1" applyAlignment="1" applyProtection="1">
      <alignment vertical="center"/>
      <protection locked="0"/>
    </xf>
    <xf numFmtId="43" fontId="31" fillId="24" borderId="103" xfId="5" applyFont="1" applyFill="1" applyBorder="1" applyAlignment="1" applyProtection="1">
      <alignment vertical="center"/>
      <protection locked="0"/>
    </xf>
    <xf numFmtId="43" fontId="16" fillId="0" borderId="12" xfId="5" applyFont="1" applyBorder="1" applyAlignment="1" applyProtection="1">
      <alignment vertical="center"/>
    </xf>
    <xf numFmtId="43" fontId="0" fillId="0" borderId="136" xfId="5" applyFont="1" applyBorder="1" applyAlignment="1" applyProtection="1">
      <alignment vertical="center"/>
    </xf>
    <xf numFmtId="43" fontId="17" fillId="24" borderId="243" xfId="5" applyFont="1" applyFill="1" applyBorder="1" applyAlignment="1" applyProtection="1">
      <alignment horizontal="center" vertical="center"/>
      <protection locked="0"/>
    </xf>
    <xf numFmtId="43" fontId="17" fillId="0" borderId="105" xfId="5" applyFont="1" applyBorder="1" applyAlignment="1" applyProtection="1">
      <alignment horizontal="center" vertical="center"/>
      <protection locked="0"/>
    </xf>
    <xf numFmtId="43" fontId="17" fillId="24" borderId="105" xfId="5" applyFont="1" applyFill="1" applyBorder="1" applyAlignment="1" applyProtection="1">
      <alignment horizontal="center" vertical="center"/>
      <protection locked="0"/>
    </xf>
    <xf numFmtId="43" fontId="31" fillId="0" borderId="12" xfId="5" applyFont="1" applyBorder="1" applyAlignment="1" applyProtection="1">
      <alignment vertical="center"/>
    </xf>
    <xf numFmtId="43" fontId="0" fillId="0" borderId="50" xfId="5" applyFont="1" applyBorder="1" applyAlignment="1" applyProtection="1">
      <alignment vertical="center"/>
    </xf>
    <xf numFmtId="166" fontId="0" fillId="0" borderId="8" xfId="5" applyNumberFormat="1" applyFont="1" applyBorder="1" applyAlignment="1" applyProtection="1">
      <alignment vertical="center"/>
    </xf>
    <xf numFmtId="166" fontId="0" fillId="0" borderId="11" xfId="5" applyNumberFormat="1" applyFont="1" applyFill="1" applyBorder="1" applyAlignment="1" applyProtection="1">
      <alignment vertical="center"/>
    </xf>
    <xf numFmtId="166" fontId="0" fillId="0" borderId="36" xfId="5" applyNumberFormat="1" applyFont="1" applyFill="1" applyBorder="1" applyAlignment="1" applyProtection="1">
      <alignment vertical="center"/>
    </xf>
    <xf numFmtId="166" fontId="34" fillId="0" borderId="128" xfId="5" applyNumberFormat="1" applyFont="1" applyBorder="1" applyAlignment="1" applyProtection="1">
      <alignment horizontal="center" vertical="center" wrapText="1"/>
    </xf>
    <xf numFmtId="166" fontId="31" fillId="24" borderId="57" xfId="5" applyNumberFormat="1" applyFont="1" applyFill="1" applyBorder="1" applyAlignment="1" applyProtection="1">
      <alignment vertical="center"/>
      <protection locked="0"/>
    </xf>
    <xf numFmtId="166" fontId="31" fillId="24" borderId="0" xfId="5" applyNumberFormat="1" applyFont="1" applyFill="1" applyBorder="1" applyAlignment="1" applyProtection="1">
      <alignment vertical="center"/>
      <protection locked="0"/>
    </xf>
    <xf numFmtId="166" fontId="31" fillId="0" borderId="64" xfId="5" applyNumberFormat="1" applyFont="1" applyBorder="1" applyAlignment="1" applyProtection="1">
      <alignment vertical="center"/>
      <protection locked="0"/>
    </xf>
    <xf numFmtId="166" fontId="0" fillId="0" borderId="11" xfId="5" applyNumberFormat="1" applyFont="1" applyBorder="1" applyAlignment="1" applyProtection="1">
      <alignment vertical="center"/>
    </xf>
    <xf numFmtId="166" fontId="31" fillId="24" borderId="241" xfId="5" applyNumberFormat="1" applyFont="1" applyFill="1" applyBorder="1" applyAlignment="1" applyProtection="1">
      <alignment vertical="center"/>
      <protection locked="0"/>
    </xf>
    <xf numFmtId="166" fontId="31" fillId="24" borderId="64" xfId="5" applyNumberFormat="1" applyFont="1" applyFill="1" applyBorder="1" applyAlignment="1" applyProtection="1">
      <alignment vertical="center"/>
      <protection locked="0"/>
    </xf>
    <xf numFmtId="166" fontId="0" fillId="0" borderId="12" xfId="5" applyNumberFormat="1" applyFont="1" applyBorder="1" applyAlignment="1" applyProtection="1">
      <alignment vertical="center"/>
    </xf>
    <xf numFmtId="166" fontId="0" fillId="0" borderId="136" xfId="5" applyNumberFormat="1" applyFont="1" applyBorder="1" applyAlignment="1" applyProtection="1">
      <alignment vertical="center"/>
    </xf>
    <xf numFmtId="166" fontId="0" fillId="0" borderId="43" xfId="5" applyNumberFormat="1" applyFont="1" applyBorder="1" applyAlignment="1" applyProtection="1">
      <alignment vertical="center"/>
    </xf>
    <xf numFmtId="166" fontId="17" fillId="24" borderId="241" xfId="5" applyNumberFormat="1" applyFont="1" applyFill="1" applyBorder="1" applyAlignment="1" applyProtection="1">
      <alignment horizontal="center" vertical="center"/>
      <protection locked="0"/>
    </xf>
    <xf numFmtId="166" fontId="17" fillId="0" borderId="0" xfId="5" applyNumberFormat="1" applyFont="1" applyBorder="1" applyAlignment="1" applyProtection="1">
      <alignment horizontal="center" vertical="center"/>
      <protection locked="0"/>
    </xf>
    <xf numFmtId="166" fontId="17" fillId="24" borderId="0" xfId="5" applyNumberFormat="1" applyFont="1" applyFill="1" applyBorder="1" applyAlignment="1" applyProtection="1">
      <alignment horizontal="center" vertical="center"/>
      <protection locked="0"/>
    </xf>
    <xf numFmtId="166" fontId="31" fillId="0" borderId="12" xfId="5" applyNumberFormat="1" applyFont="1" applyBorder="1" applyAlignment="1" applyProtection="1">
      <alignment vertical="center"/>
    </xf>
    <xf numFmtId="166" fontId="0" fillId="0" borderId="107" xfId="5" applyNumberFormat="1" applyFont="1" applyBorder="1" applyAlignment="1" applyProtection="1">
      <alignment vertical="center"/>
    </xf>
    <xf numFmtId="166" fontId="31" fillId="0" borderId="12" xfId="5" applyNumberFormat="1" applyFont="1" applyBorder="1" applyAlignment="1" applyProtection="1">
      <alignment horizontal="right" vertical="center"/>
    </xf>
    <xf numFmtId="166" fontId="34" fillId="0" borderId="335" xfId="5" applyNumberFormat="1" applyFont="1" applyBorder="1" applyAlignment="1" applyProtection="1">
      <alignment horizontal="center" vertical="center" wrapText="1"/>
    </xf>
    <xf numFmtId="43" fontId="0" fillId="0" borderId="0" xfId="5" applyFont="1" applyAlignment="1" applyProtection="1">
      <alignment vertical="center"/>
    </xf>
    <xf numFmtId="43" fontId="0" fillId="0" borderId="12" xfId="5" applyFont="1" applyFill="1" applyBorder="1" applyAlignment="1" applyProtection="1">
      <alignment vertical="center"/>
    </xf>
    <xf numFmtId="43" fontId="37" fillId="0" borderId="269" xfId="5" applyFont="1" applyFill="1" applyBorder="1" applyAlignment="1" applyProtection="1">
      <alignment horizontal="center" vertical="center" wrapText="1"/>
    </xf>
    <xf numFmtId="43" fontId="31" fillId="0" borderId="269" xfId="5" applyFont="1" applyFill="1" applyBorder="1" applyAlignment="1" applyProtection="1">
      <alignment vertical="center"/>
      <protection locked="0"/>
    </xf>
    <xf numFmtId="43" fontId="31" fillId="0" borderId="275" xfId="5" applyFont="1" applyFill="1" applyBorder="1" applyAlignment="1" applyProtection="1">
      <alignment vertical="center"/>
      <protection locked="0"/>
    </xf>
    <xf numFmtId="43" fontId="31" fillId="0" borderId="272" xfId="5" applyFont="1" applyFill="1" applyBorder="1" applyAlignment="1" applyProtection="1">
      <alignment vertical="center"/>
      <protection locked="0"/>
    </xf>
    <xf numFmtId="43" fontId="37" fillId="0" borderId="0" xfId="5" applyFont="1" applyFill="1" applyBorder="1" applyAlignment="1" applyProtection="1">
      <alignment horizontal="center" vertical="center" wrapText="1"/>
    </xf>
    <xf numFmtId="43" fontId="0" fillId="0" borderId="36" xfId="5" applyFont="1" applyBorder="1" applyAlignment="1" applyProtection="1">
      <alignment vertical="center"/>
    </xf>
    <xf numFmtId="43" fontId="37" fillId="0" borderId="273" xfId="5" applyFont="1" applyBorder="1" applyAlignment="1" applyProtection="1">
      <alignment horizontal="center" vertical="center" wrapText="1"/>
    </xf>
    <xf numFmtId="43" fontId="31" fillId="0" borderId="0" xfId="5" applyFont="1" applyFill="1" applyBorder="1" applyAlignment="1" applyProtection="1">
      <alignment vertical="center"/>
      <protection locked="0"/>
    </xf>
    <xf numFmtId="43" fontId="31" fillId="0" borderId="273" xfId="5" applyFont="1" applyFill="1" applyBorder="1" applyAlignment="1" applyProtection="1">
      <alignment vertical="center"/>
      <protection locked="0"/>
    </xf>
    <xf numFmtId="43" fontId="37" fillId="0" borderId="273" xfId="5" applyFont="1" applyFill="1" applyBorder="1" applyAlignment="1" applyProtection="1">
      <alignment horizontal="center" vertical="center" wrapText="1"/>
    </xf>
    <xf numFmtId="43" fontId="31" fillId="0" borderId="270" xfId="5" applyFont="1" applyFill="1" applyBorder="1" applyAlignment="1" applyProtection="1">
      <alignment vertical="center"/>
      <protection locked="0"/>
    </xf>
    <xf numFmtId="43" fontId="37" fillId="0" borderId="271" xfId="5" applyFont="1" applyFill="1" applyBorder="1" applyAlignment="1" applyProtection="1">
      <alignment horizontal="center" vertical="center" wrapText="1"/>
    </xf>
    <xf numFmtId="43" fontId="26" fillId="0" borderId="271" xfId="5" applyFont="1" applyFill="1" applyBorder="1" applyAlignment="1" applyProtection="1">
      <alignment vertical="center"/>
    </xf>
    <xf numFmtId="43" fontId="26" fillId="0" borderId="276" xfId="5" applyFont="1" applyFill="1" applyBorder="1" applyAlignment="1" applyProtection="1">
      <alignment vertical="center"/>
    </xf>
    <xf numFmtId="43" fontId="26" fillId="0" borderId="274" xfId="5" applyFont="1" applyFill="1" applyBorder="1" applyAlignment="1" applyProtection="1">
      <alignment vertical="center"/>
    </xf>
    <xf numFmtId="43" fontId="37" fillId="0" borderId="274" xfId="5" applyFont="1" applyFill="1" applyBorder="1" applyAlignment="1" applyProtection="1">
      <alignment horizontal="center" vertical="center" wrapText="1"/>
    </xf>
    <xf numFmtId="43" fontId="31" fillId="0" borderId="269" xfId="5" applyFont="1" applyBorder="1" applyAlignment="1" applyProtection="1">
      <alignment vertical="center"/>
      <protection locked="0"/>
    </xf>
    <xf numFmtId="43" fontId="31" fillId="0" borderId="275" xfId="5" applyFont="1" applyBorder="1" applyAlignment="1" applyProtection="1">
      <alignment vertical="center"/>
      <protection locked="0"/>
    </xf>
    <xf numFmtId="43" fontId="37" fillId="0" borderId="113" xfId="5" applyFont="1" applyFill="1" applyBorder="1" applyAlignment="1" applyProtection="1">
      <alignment horizontal="center" vertical="center" wrapText="1"/>
    </xf>
    <xf numFmtId="43" fontId="31" fillId="0" borderId="80" xfId="5" applyFont="1" applyFill="1" applyBorder="1" applyAlignment="1" applyProtection="1">
      <alignment vertical="center"/>
      <protection locked="0"/>
    </xf>
    <xf numFmtId="43" fontId="31" fillId="0" borderId="0" xfId="5" applyFont="1" applyAlignment="1" applyProtection="1">
      <alignment vertical="center"/>
      <protection locked="0"/>
    </xf>
    <xf numFmtId="43" fontId="37" fillId="0" borderId="77" xfId="5" applyFont="1" applyFill="1" applyBorder="1" applyAlignment="1" applyProtection="1">
      <alignment horizontal="center" vertical="center" wrapText="1"/>
    </xf>
    <xf numFmtId="43" fontId="26" fillId="0" borderId="278" xfId="5" applyFont="1" applyFill="1" applyBorder="1" applyAlignment="1" applyProtection="1">
      <alignment vertical="center"/>
    </xf>
    <xf numFmtId="43" fontId="26" fillId="0" borderId="77" xfId="5" applyFont="1" applyFill="1" applyBorder="1" applyAlignment="1" applyProtection="1">
      <alignment vertical="center"/>
    </xf>
    <xf numFmtId="43" fontId="26" fillId="0" borderId="280" xfId="5" applyFont="1" applyFill="1" applyBorder="1" applyAlignment="1" applyProtection="1">
      <alignment vertical="center"/>
    </xf>
    <xf numFmtId="43" fontId="37" fillId="0" borderId="110" xfId="5" applyFont="1" applyFill="1" applyBorder="1" applyAlignment="1" applyProtection="1">
      <alignment horizontal="center" vertical="center" wrapText="1"/>
    </xf>
    <xf numFmtId="43" fontId="37" fillId="0" borderId="80" xfId="5" applyFont="1" applyFill="1" applyBorder="1" applyAlignment="1" applyProtection="1">
      <alignment horizontal="center" vertical="center" wrapText="1"/>
    </xf>
    <xf numFmtId="43" fontId="26" fillId="0" borderId="110" xfId="5" applyFont="1" applyFill="1" applyBorder="1" applyAlignment="1" applyProtection="1">
      <alignment vertical="center"/>
    </xf>
    <xf numFmtId="43" fontId="37" fillId="0" borderId="280" xfId="5" applyFont="1" applyFill="1" applyBorder="1" applyAlignment="1" applyProtection="1">
      <alignment horizontal="center" vertical="center" wrapText="1"/>
    </xf>
    <xf numFmtId="43" fontId="37" fillId="0" borderId="281" xfId="5" applyFont="1" applyFill="1" applyBorder="1" applyAlignment="1" applyProtection="1">
      <alignment horizontal="center" vertical="center" wrapText="1"/>
    </xf>
    <xf numFmtId="43" fontId="31" fillId="0" borderId="111" xfId="5" applyFont="1" applyFill="1" applyBorder="1" applyAlignment="1" applyProtection="1">
      <alignment vertical="center"/>
      <protection locked="0"/>
    </xf>
    <xf numFmtId="43" fontId="31" fillId="0" borderId="281" xfId="5" applyFont="1" applyFill="1" applyBorder="1" applyAlignment="1" applyProtection="1">
      <alignment vertical="center"/>
      <protection locked="0"/>
    </xf>
    <xf numFmtId="43" fontId="26" fillId="0" borderId="270" xfId="5" applyFont="1" applyFill="1" applyBorder="1" applyAlignment="1" applyProtection="1">
      <alignment vertical="center"/>
    </xf>
    <xf numFmtId="43" fontId="26" fillId="0" borderId="0" xfId="5" applyFont="1" applyFill="1" applyBorder="1" applyAlignment="1" applyProtection="1">
      <alignment vertical="center"/>
    </xf>
    <xf numFmtId="43" fontId="26" fillId="0" borderId="273" xfId="5" applyFont="1" applyFill="1" applyBorder="1" applyAlignment="1" applyProtection="1">
      <alignment vertical="center"/>
    </xf>
    <xf numFmtId="43" fontId="0" fillId="0" borderId="106" xfId="5" applyFont="1" applyFill="1" applyBorder="1" applyAlignment="1" applyProtection="1">
      <alignment vertical="center"/>
    </xf>
    <xf numFmtId="43" fontId="0" fillId="4" borderId="98" xfId="5" applyFont="1" applyFill="1" applyBorder="1" applyAlignment="1" applyProtection="1">
      <alignment vertical="center"/>
    </xf>
    <xf numFmtId="43" fontId="0" fillId="4" borderId="114" xfId="5" applyFont="1" applyFill="1" applyBorder="1" applyAlignment="1" applyProtection="1">
      <alignment vertical="center"/>
    </xf>
    <xf numFmtId="43" fontId="0" fillId="4" borderId="50" xfId="5" applyFont="1" applyFill="1" applyBorder="1" applyAlignment="1" applyProtection="1">
      <alignment vertical="center"/>
    </xf>
    <xf numFmtId="43" fontId="26" fillId="0" borderId="0" xfId="5" applyFont="1" applyFill="1" applyBorder="1" applyAlignment="1" applyProtection="1">
      <alignment horizontal="right" vertical="center"/>
    </xf>
    <xf numFmtId="43" fontId="26" fillId="0" borderId="80" xfId="5" applyFont="1" applyFill="1" applyBorder="1" applyAlignment="1" applyProtection="1">
      <alignment horizontal="right" vertical="center"/>
    </xf>
    <xf numFmtId="166" fontId="0" fillId="0" borderId="8" xfId="5" applyNumberFormat="1" applyFont="1" applyFill="1" applyBorder="1" applyAlignment="1" applyProtection="1">
      <alignment vertical="center"/>
    </xf>
    <xf numFmtId="166" fontId="37" fillId="0" borderId="111" xfId="5" applyNumberFormat="1" applyFont="1" applyFill="1" applyBorder="1" applyAlignment="1" applyProtection="1">
      <alignment horizontal="center" vertical="center" wrapText="1"/>
    </xf>
    <xf numFmtId="166" fontId="37" fillId="0" borderId="113" xfId="5" applyNumberFormat="1" applyFont="1" applyFill="1" applyBorder="1" applyAlignment="1" applyProtection="1">
      <alignment horizontal="center" vertical="center" wrapText="1"/>
    </xf>
    <xf numFmtId="166" fontId="0" fillId="0" borderId="116" xfId="5" applyNumberFormat="1" applyFont="1" applyBorder="1" applyAlignment="1" applyProtection="1">
      <alignment vertical="center"/>
    </xf>
    <xf numFmtId="166" fontId="0" fillId="0" borderId="36" xfId="5" applyNumberFormat="1" applyFont="1" applyBorder="1" applyAlignment="1" applyProtection="1">
      <alignment vertical="center"/>
    </xf>
    <xf numFmtId="166" fontId="0" fillId="4" borderId="11" xfId="5" applyNumberFormat="1" applyFont="1" applyFill="1" applyBorder="1" applyAlignment="1" applyProtection="1">
      <alignment vertical="center"/>
    </xf>
    <xf numFmtId="166" fontId="0" fillId="4" borderId="8" xfId="5" applyNumberFormat="1" applyFont="1" applyFill="1" applyBorder="1" applyAlignment="1" applyProtection="1">
      <alignment vertical="center"/>
    </xf>
    <xf numFmtId="166" fontId="0" fillId="4" borderId="36" xfId="5" applyNumberFormat="1" applyFont="1" applyFill="1" applyBorder="1" applyAlignment="1" applyProtection="1">
      <alignment vertical="center"/>
    </xf>
    <xf numFmtId="166" fontId="0" fillId="0" borderId="12" xfId="5" applyNumberFormat="1" applyFont="1" applyFill="1" applyBorder="1" applyAlignment="1" applyProtection="1">
      <alignment vertical="center"/>
    </xf>
    <xf numFmtId="166" fontId="37" fillId="0" borderId="0" xfId="5" applyNumberFormat="1" applyFont="1" applyFill="1" applyBorder="1" applyAlignment="1" applyProtection="1">
      <alignment horizontal="center" vertical="center" wrapText="1"/>
    </xf>
    <xf numFmtId="166" fontId="31" fillId="0" borderId="270" xfId="5" applyNumberFormat="1" applyFont="1" applyFill="1" applyBorder="1" applyAlignment="1" applyProtection="1">
      <alignment vertical="center"/>
      <protection locked="0"/>
    </xf>
    <xf numFmtId="166" fontId="31" fillId="0" borderId="0" xfId="5" applyNumberFormat="1" applyFont="1" applyFill="1" applyBorder="1" applyAlignment="1" applyProtection="1">
      <alignment vertical="center"/>
      <protection locked="0"/>
    </xf>
    <xf numFmtId="166" fontId="31" fillId="0" borderId="273" xfId="5" applyNumberFormat="1" applyFont="1" applyFill="1" applyBorder="1" applyAlignment="1" applyProtection="1">
      <alignment vertical="center"/>
      <protection locked="0"/>
    </xf>
    <xf numFmtId="166" fontId="37" fillId="0" borderId="80" xfId="5" applyNumberFormat="1" applyFont="1" applyFill="1" applyBorder="1" applyAlignment="1" applyProtection="1">
      <alignment horizontal="center" vertical="center" wrapText="1"/>
    </xf>
    <xf numFmtId="166" fontId="31" fillId="0" borderId="80" xfId="5" applyNumberFormat="1" applyFont="1" applyFill="1" applyBorder="1" applyAlignment="1" applyProtection="1">
      <alignment vertical="center"/>
      <protection locked="0"/>
    </xf>
    <xf numFmtId="166" fontId="0" fillId="0" borderId="114" xfId="5" applyNumberFormat="1" applyFont="1" applyBorder="1" applyAlignment="1" applyProtection="1">
      <alignment vertical="center"/>
    </xf>
    <xf numFmtId="166" fontId="37" fillId="0" borderId="270" xfId="5" applyNumberFormat="1" applyFont="1" applyFill="1" applyBorder="1" applyAlignment="1" applyProtection="1">
      <alignment horizontal="center" vertical="center" wrapText="1"/>
    </xf>
    <xf numFmtId="43" fontId="10" fillId="0" borderId="0" xfId="5" applyFont="1" applyBorder="1" applyAlignment="1" applyProtection="1">
      <alignment horizontal="left" vertical="center"/>
    </xf>
    <xf numFmtId="43" fontId="10" fillId="0" borderId="0" xfId="5" applyFont="1" applyBorder="1" applyProtection="1"/>
    <xf numFmtId="43" fontId="10" fillId="0" borderId="156" xfId="5" applyFont="1" applyBorder="1" applyProtection="1"/>
    <xf numFmtId="43" fontId="10" fillId="0" borderId="0" xfId="5" applyFont="1" applyBorder="1" applyAlignment="1" applyProtection="1">
      <alignment horizontal="center" vertical="center"/>
    </xf>
    <xf numFmtId="43" fontId="10" fillId="0" borderId="156" xfId="5" applyFont="1" applyBorder="1" applyAlignment="1" applyProtection="1">
      <alignment horizontal="left" vertical="center"/>
    </xf>
    <xf numFmtId="43" fontId="10" fillId="0" borderId="152" xfId="5" applyFont="1" applyBorder="1" applyAlignment="1" applyProtection="1">
      <alignment horizontal="left" vertical="center"/>
    </xf>
    <xf numFmtId="43" fontId="10" fillId="0" borderId="152" xfId="5" applyFont="1" applyBorder="1" applyAlignment="1" applyProtection="1"/>
    <xf numFmtId="43" fontId="10" fillId="0" borderId="152" xfId="5" applyFont="1" applyBorder="1" applyProtection="1"/>
    <xf numFmtId="43" fontId="57" fillId="0" borderId="158" xfId="5" applyFont="1" applyFill="1" applyBorder="1" applyProtection="1"/>
    <xf numFmtId="43" fontId="10" fillId="0" borderId="157" xfId="5" applyFont="1" applyBorder="1" applyProtection="1"/>
    <xf numFmtId="43" fontId="10" fillId="0" borderId="152" xfId="5" applyFont="1" applyBorder="1" applyAlignment="1" applyProtection="1">
      <alignment horizontal="center" vertical="center"/>
    </xf>
    <xf numFmtId="43" fontId="10" fillId="0" borderId="157" xfId="5" applyFont="1" applyBorder="1" applyAlignment="1" applyProtection="1">
      <alignment horizontal="left" vertical="center"/>
    </xf>
    <xf numFmtId="43" fontId="10" fillId="0" borderId="0" xfId="5" applyFont="1" applyFill="1" applyBorder="1" applyAlignment="1" applyProtection="1">
      <alignment horizontal="left" vertical="center"/>
    </xf>
    <xf numFmtId="43" fontId="10" fillId="0" borderId="149" xfId="5" applyFont="1" applyFill="1" applyBorder="1" applyAlignment="1" applyProtection="1">
      <alignment horizontal="left" vertical="center"/>
    </xf>
    <xf numFmtId="43" fontId="10" fillId="0" borderId="149" xfId="5" applyFont="1" applyFill="1" applyBorder="1" applyAlignment="1" applyProtection="1">
      <alignment horizontal="center" vertical="center"/>
    </xf>
    <xf numFmtId="43" fontId="10" fillId="0" borderId="0" xfId="5" applyFont="1" applyFill="1" applyBorder="1" applyAlignment="1" applyProtection="1">
      <alignment horizontal="left"/>
    </xf>
    <xf numFmtId="43" fontId="10" fillId="0" borderId="149" xfId="5" applyFont="1" applyFill="1" applyBorder="1" applyProtection="1"/>
    <xf numFmtId="43" fontId="10" fillId="0" borderId="0" xfId="5" applyFont="1" applyFill="1" applyBorder="1" applyProtection="1"/>
    <xf numFmtId="43" fontId="10" fillId="0" borderId="0" xfId="5" applyFont="1" applyFill="1" applyBorder="1" applyAlignment="1" applyProtection="1"/>
    <xf numFmtId="43" fontId="57" fillId="0" borderId="0" xfId="5" applyFont="1" applyFill="1" applyBorder="1" applyAlignment="1" applyProtection="1">
      <alignment horizontal="left" vertical="center"/>
    </xf>
    <xf numFmtId="43" fontId="57" fillId="0" borderId="149" xfId="5" applyFont="1" applyFill="1" applyBorder="1" applyProtection="1"/>
    <xf numFmtId="43" fontId="57" fillId="0" borderId="149" xfId="5" applyFont="1" applyFill="1" applyBorder="1" applyAlignment="1" applyProtection="1">
      <alignment horizontal="center" vertical="center"/>
    </xf>
    <xf numFmtId="43" fontId="57" fillId="0" borderId="149" xfId="5" applyFont="1" applyFill="1" applyBorder="1" applyAlignment="1" applyProtection="1">
      <alignment horizontal="left" vertical="center"/>
    </xf>
    <xf numFmtId="43" fontId="57" fillId="0" borderId="152" xfId="5" applyFont="1" applyFill="1" applyBorder="1" applyAlignment="1" applyProtection="1">
      <alignment horizontal="left" vertical="center"/>
    </xf>
    <xf numFmtId="43" fontId="57" fillId="0" borderId="152" xfId="5" applyFont="1" applyFill="1" applyBorder="1" applyAlignment="1" applyProtection="1"/>
    <xf numFmtId="43" fontId="57" fillId="0" borderId="152" xfId="5" applyFont="1" applyFill="1" applyBorder="1" applyProtection="1"/>
    <xf numFmtId="43" fontId="57" fillId="0" borderId="158" xfId="5" applyFont="1" applyFill="1" applyBorder="1" applyAlignment="1" applyProtection="1">
      <alignment horizontal="center" vertical="center"/>
    </xf>
    <xf numFmtId="43" fontId="57" fillId="0" borderId="158" xfId="5" applyFont="1" applyFill="1" applyBorder="1" applyAlignment="1" applyProtection="1">
      <alignment horizontal="left" vertical="center"/>
    </xf>
    <xf numFmtId="43" fontId="10" fillId="0" borderId="0" xfId="5" applyFont="1" applyFill="1" applyBorder="1" applyAlignment="1" applyProtection="1">
      <alignment horizontal="center" vertical="center"/>
    </xf>
    <xf numFmtId="43" fontId="10" fillId="0" borderId="0" xfId="5" applyFont="1" applyFill="1" applyBorder="1" applyAlignment="1" applyProtection="1">
      <alignment horizontal="center"/>
    </xf>
    <xf numFmtId="43" fontId="42" fillId="0" borderId="152" xfId="5" applyFont="1" applyBorder="1" applyAlignment="1" applyProtection="1">
      <alignment horizontal="left" vertical="center"/>
    </xf>
    <xf numFmtId="43" fontId="10" fillId="0" borderId="161" xfId="5" applyFont="1" applyFill="1" applyBorder="1" applyAlignment="1" applyProtection="1">
      <alignment horizontal="left" vertical="center"/>
    </xf>
    <xf numFmtId="43" fontId="57" fillId="0" borderId="161" xfId="5" applyFont="1" applyFill="1" applyBorder="1" applyAlignment="1" applyProtection="1">
      <alignment horizontal="left" vertical="center"/>
    </xf>
    <xf numFmtId="43" fontId="57" fillId="0" borderId="162" xfId="5" applyFont="1" applyFill="1" applyBorder="1" applyAlignment="1" applyProtection="1">
      <alignment horizontal="left" vertical="center"/>
    </xf>
    <xf numFmtId="43" fontId="19" fillId="0" borderId="156" xfId="5" applyFont="1" applyBorder="1" applyProtection="1"/>
    <xf numFmtId="43" fontId="19" fillId="0" borderId="0" xfId="5" applyFont="1" applyBorder="1" applyProtection="1"/>
    <xf numFmtId="43" fontId="42" fillId="0" borderId="0" xfId="5" applyFont="1" applyBorder="1" applyProtection="1"/>
    <xf numFmtId="43" fontId="42" fillId="0" borderId="156" xfId="5" applyFont="1" applyBorder="1" applyProtection="1"/>
    <xf numFmtId="43" fontId="19" fillId="26" borderId="157" xfId="5" applyFont="1" applyFill="1" applyBorder="1" applyProtection="1"/>
    <xf numFmtId="43" fontId="19" fillId="26" borderId="152" xfId="5" applyFont="1" applyFill="1" applyBorder="1" applyProtection="1"/>
    <xf numFmtId="43" fontId="42" fillId="26" borderId="152" xfId="5" applyFont="1" applyFill="1" applyBorder="1" applyProtection="1"/>
    <xf numFmtId="43" fontId="42" fillId="26" borderId="157" xfId="5" applyFont="1" applyFill="1" applyBorder="1" applyProtection="1"/>
    <xf numFmtId="0" fontId="34" fillId="0" borderId="241" xfId="0" applyFont="1" applyBorder="1" applyAlignment="1" applyProtection="1">
      <alignment horizontal="center" vertical="center"/>
    </xf>
    <xf numFmtId="0" fontId="34" fillId="0" borderId="243" xfId="0" applyFont="1" applyBorder="1" applyAlignment="1" applyProtection="1">
      <alignment horizontal="center" vertical="center"/>
    </xf>
    <xf numFmtId="0" fontId="0" fillId="10" borderId="0" xfId="0" applyFill="1"/>
    <xf numFmtId="0" fontId="31" fillId="0" borderId="86" xfId="0" applyFont="1" applyBorder="1" applyAlignment="1" applyProtection="1">
      <alignment horizontal="center" vertical="center"/>
      <protection locked="0"/>
    </xf>
    <xf numFmtId="0" fontId="31" fillId="29" borderId="86" xfId="0" applyNumberFormat="1" applyFont="1" applyFill="1" applyBorder="1" applyAlignment="1" applyProtection="1">
      <alignment horizontal="center" vertical="center"/>
      <protection locked="0"/>
    </xf>
    <xf numFmtId="0" fontId="31" fillId="0" borderId="86" xfId="0" applyNumberFormat="1" applyFont="1" applyBorder="1" applyAlignment="1" applyProtection="1">
      <alignment horizontal="center" vertical="center"/>
      <protection locked="0"/>
    </xf>
    <xf numFmtId="0" fontId="31" fillId="0" borderId="96" xfId="0" applyFont="1" applyBorder="1" applyAlignment="1" applyProtection="1">
      <alignment horizontal="center" vertical="center"/>
      <protection locked="0"/>
    </xf>
    <xf numFmtId="0" fontId="31" fillId="8" borderId="95" xfId="0" applyFont="1" applyFill="1" applyBorder="1" applyAlignment="1" applyProtection="1">
      <alignment horizontal="right" vertical="center"/>
      <protection locked="0"/>
    </xf>
    <xf numFmtId="0" fontId="31" fillId="0" borderId="86" xfId="0" applyFont="1" applyBorder="1" applyAlignment="1" applyProtection="1">
      <alignment horizontal="right" vertical="center"/>
      <protection locked="0"/>
    </xf>
    <xf numFmtId="0" fontId="31" fillId="8" borderId="86" xfId="0" applyFont="1" applyFill="1" applyBorder="1" applyAlignment="1" applyProtection="1">
      <alignment horizontal="right" vertical="center"/>
      <protection locked="0"/>
    </xf>
    <xf numFmtId="0" fontId="31" fillId="29" borderId="86" xfId="0" applyNumberFormat="1" applyFont="1" applyFill="1" applyBorder="1" applyAlignment="1" applyProtection="1">
      <alignment horizontal="right" vertical="center"/>
      <protection locked="0"/>
    </xf>
    <xf numFmtId="0" fontId="31" fillId="0" borderId="86" xfId="0" applyNumberFormat="1" applyFont="1" applyBorder="1" applyAlignment="1" applyProtection="1">
      <alignment horizontal="right" vertical="center"/>
      <protection locked="0"/>
    </xf>
    <xf numFmtId="0" fontId="31" fillId="0" borderId="96" xfId="0" applyFont="1" applyBorder="1" applyAlignment="1" applyProtection="1">
      <alignment horizontal="right" vertical="center"/>
      <protection locked="0"/>
    </xf>
    <xf numFmtId="0" fontId="31" fillId="8" borderId="96" xfId="0" applyFont="1" applyFill="1" applyBorder="1" applyAlignment="1" applyProtection="1">
      <alignment horizontal="center" vertical="center"/>
      <protection locked="0"/>
    </xf>
    <xf numFmtId="0" fontId="31" fillId="8" borderId="96" xfId="0" applyFont="1" applyFill="1" applyBorder="1" applyAlignment="1" applyProtection="1">
      <alignment horizontal="right" vertical="center"/>
      <protection locked="0"/>
    </xf>
    <xf numFmtId="0" fontId="16" fillId="8" borderId="87" xfId="0" applyFont="1" applyFill="1" applyBorder="1" applyAlignment="1" applyProtection="1">
      <alignment horizontal="right" vertical="center"/>
    </xf>
    <xf numFmtId="0" fontId="16" fillId="0" borderId="87" xfId="0" applyFont="1" applyBorder="1" applyAlignment="1" applyProtection="1">
      <alignment horizontal="right" vertical="center"/>
    </xf>
    <xf numFmtId="0" fontId="16" fillId="0" borderId="92" xfId="0" applyFont="1" applyBorder="1" applyAlignment="1" applyProtection="1">
      <alignment horizontal="right" vertical="center"/>
    </xf>
    <xf numFmtId="0" fontId="31" fillId="24" borderId="340" xfId="0" applyFont="1" applyFill="1" applyBorder="1" applyAlignment="1" applyProtection="1">
      <alignment horizontal="right" vertical="center"/>
      <protection locked="0"/>
    </xf>
    <xf numFmtId="0" fontId="31" fillId="0" borderId="340" xfId="0" applyFont="1" applyBorder="1" applyAlignment="1" applyProtection="1">
      <alignment horizontal="right" vertical="center"/>
      <protection locked="0"/>
    </xf>
    <xf numFmtId="0" fontId="31" fillId="24" borderId="340" xfId="0" applyNumberFormat="1" applyFont="1" applyFill="1" applyBorder="1" applyAlignment="1" applyProtection="1">
      <alignment horizontal="right" vertical="center"/>
      <protection locked="0"/>
    </xf>
    <xf numFmtId="0" fontId="31" fillId="0" borderId="340" xfId="0" applyNumberFormat="1" applyFont="1" applyBorder="1" applyAlignment="1" applyProtection="1">
      <alignment horizontal="right" vertical="center"/>
      <protection locked="0"/>
    </xf>
    <xf numFmtId="0" fontId="31" fillId="0" borderId="340" xfId="0" applyNumberFormat="1" applyFont="1" applyFill="1" applyBorder="1" applyAlignment="1" applyProtection="1">
      <alignment horizontal="right" vertical="center"/>
      <protection locked="0"/>
    </xf>
    <xf numFmtId="0" fontId="31" fillId="0" borderId="341" xfId="0" applyNumberFormat="1" applyFont="1" applyFill="1" applyBorder="1" applyAlignment="1" applyProtection="1">
      <alignment horizontal="right" vertical="center"/>
      <protection locked="0"/>
    </xf>
    <xf numFmtId="0" fontId="31" fillId="0" borderId="340" xfId="0" applyFont="1" applyFill="1" applyBorder="1" applyAlignment="1" applyProtection="1">
      <alignment horizontal="right" vertical="center"/>
    </xf>
    <xf numFmtId="0" fontId="31" fillId="12" borderId="340" xfId="0" applyFont="1" applyFill="1" applyBorder="1" applyAlignment="1" applyProtection="1">
      <alignment horizontal="right" vertical="center"/>
    </xf>
    <xf numFmtId="0" fontId="31" fillId="12" borderId="340" xfId="0" applyNumberFormat="1" applyFont="1" applyFill="1" applyBorder="1" applyAlignment="1" applyProtection="1">
      <alignment horizontal="right" vertical="center"/>
    </xf>
    <xf numFmtId="0" fontId="31" fillId="0" borderId="341" xfId="0" applyNumberFormat="1" applyFont="1" applyFill="1" applyBorder="1" applyAlignment="1" applyProtection="1">
      <alignment horizontal="right" vertical="center"/>
    </xf>
    <xf numFmtId="0" fontId="31" fillId="0" borderId="340" xfId="0" applyFont="1" applyBorder="1" applyAlignment="1" applyProtection="1">
      <alignment horizontal="right" vertical="center"/>
    </xf>
    <xf numFmtId="0" fontId="31" fillId="24" borderId="340" xfId="0" applyFont="1" applyFill="1" applyBorder="1" applyAlignment="1" applyProtection="1">
      <alignment horizontal="right" vertical="center"/>
    </xf>
    <xf numFmtId="0" fontId="31" fillId="24" borderId="340" xfId="0" applyNumberFormat="1" applyFont="1" applyFill="1" applyBorder="1" applyAlignment="1" applyProtection="1">
      <alignment horizontal="right" vertical="center"/>
    </xf>
    <xf numFmtId="0" fontId="31" fillId="0" borderId="340" xfId="0" applyNumberFormat="1" applyFont="1" applyBorder="1" applyAlignment="1" applyProtection="1">
      <alignment horizontal="right" vertical="center"/>
    </xf>
    <xf numFmtId="0" fontId="31" fillId="35" borderId="337" xfId="0" applyNumberFormat="1" applyFont="1" applyFill="1" applyBorder="1" applyAlignment="1" applyProtection="1">
      <alignment horizontal="right" vertical="center"/>
    </xf>
    <xf numFmtId="0" fontId="31" fillId="24" borderId="340" xfId="0" applyFont="1" applyFill="1" applyBorder="1" applyAlignment="1" applyProtection="1">
      <alignment horizontal="left" vertical="center"/>
      <protection locked="0"/>
    </xf>
    <xf numFmtId="0" fontId="31" fillId="0" borderId="340" xfId="0" applyFont="1" applyBorder="1" applyAlignment="1" applyProtection="1">
      <alignment horizontal="left" vertical="center"/>
      <protection locked="0"/>
    </xf>
    <xf numFmtId="0" fontId="31" fillId="0" borderId="337" xfId="0" applyFont="1" applyBorder="1" applyAlignment="1" applyProtection="1">
      <alignment horizontal="left" vertical="center"/>
      <protection locked="0"/>
    </xf>
    <xf numFmtId="0" fontId="31" fillId="24" borderId="340" xfId="0" applyNumberFormat="1" applyFont="1" applyFill="1" applyBorder="1" applyAlignment="1" applyProtection="1">
      <alignment horizontal="left" vertical="center"/>
      <protection locked="0"/>
    </xf>
    <xf numFmtId="0" fontId="31" fillId="0" borderId="340" xfId="0" applyNumberFormat="1" applyFont="1" applyBorder="1" applyAlignment="1" applyProtection="1">
      <alignment horizontal="left" vertical="center"/>
      <protection locked="0"/>
    </xf>
    <xf numFmtId="0" fontId="31" fillId="24" borderId="337" xfId="0" applyFont="1" applyFill="1" applyBorder="1" applyAlignment="1" applyProtection="1">
      <alignment horizontal="left" vertical="center"/>
      <protection locked="0"/>
    </xf>
    <xf numFmtId="0" fontId="31" fillId="24" borderId="336" xfId="0" applyFont="1" applyFill="1" applyBorder="1" applyAlignment="1" applyProtection="1">
      <alignment horizontal="left" vertical="center"/>
      <protection locked="0"/>
    </xf>
    <xf numFmtId="0" fontId="31" fillId="4" borderId="0" xfId="0" applyFont="1" applyFill="1" applyAlignment="1" applyProtection="1">
      <alignment horizontal="left" vertical="center"/>
    </xf>
    <xf numFmtId="0" fontId="31" fillId="0" borderId="276" xfId="0" applyFont="1" applyFill="1" applyBorder="1" applyAlignment="1" applyProtection="1">
      <alignment horizontal="right" vertical="center"/>
      <protection locked="0"/>
    </xf>
    <xf numFmtId="0" fontId="31" fillId="11" borderId="276" xfId="0" applyFont="1" applyFill="1" applyBorder="1" applyAlignment="1" applyProtection="1">
      <alignment horizontal="left" vertical="center"/>
    </xf>
    <xf numFmtId="0" fontId="31" fillId="0" borderId="276" xfId="0" applyFont="1" applyFill="1" applyBorder="1" applyAlignment="1" applyProtection="1">
      <alignment horizontal="left" vertical="center"/>
    </xf>
    <xf numFmtId="0" fontId="31" fillId="0" borderId="276" xfId="0" applyNumberFormat="1" applyFont="1" applyFill="1" applyBorder="1" applyAlignment="1" applyProtection="1">
      <alignment horizontal="left" vertical="center"/>
      <protection locked="0"/>
    </xf>
    <xf numFmtId="0" fontId="31" fillId="11" borderId="268" xfId="0" applyFont="1" applyFill="1" applyBorder="1" applyAlignment="1" applyProtection="1">
      <alignment horizontal="left" vertical="center"/>
      <protection locked="0"/>
    </xf>
    <xf numFmtId="0" fontId="31" fillId="11" borderId="276" xfId="0" applyFont="1" applyFill="1" applyBorder="1" applyAlignment="1" applyProtection="1">
      <alignment horizontal="left" vertical="center"/>
      <protection locked="0"/>
    </xf>
    <xf numFmtId="0" fontId="31" fillId="0" borderId="276" xfId="0" applyFont="1" applyFill="1" applyBorder="1" applyAlignment="1" applyProtection="1">
      <alignment horizontal="left" vertical="center"/>
      <protection locked="0"/>
    </xf>
    <xf numFmtId="0" fontId="31" fillId="0" borderId="274" xfId="0" applyFont="1" applyFill="1" applyBorder="1" applyAlignment="1" applyProtection="1">
      <alignment horizontal="left" vertical="center"/>
      <protection locked="0"/>
    </xf>
    <xf numFmtId="0" fontId="31" fillId="11" borderId="268" xfId="0" applyFont="1" applyFill="1" applyBorder="1" applyAlignment="1" applyProtection="1">
      <alignment horizontal="left" vertical="center"/>
    </xf>
    <xf numFmtId="0" fontId="31" fillId="0" borderId="274" xfId="0" applyFont="1" applyFill="1" applyBorder="1" applyAlignment="1" applyProtection="1">
      <alignment horizontal="left" vertical="center"/>
    </xf>
    <xf numFmtId="0" fontId="10" fillId="42" borderId="0" xfId="0" applyFont="1" applyFill="1" applyBorder="1" applyAlignment="1">
      <alignment horizontal="left"/>
    </xf>
    <xf numFmtId="0" fontId="15" fillId="0" borderId="93" xfId="0" applyFont="1" applyFill="1" applyBorder="1" applyAlignment="1" applyProtection="1">
      <alignment horizontal="center" vertical="center"/>
    </xf>
    <xf numFmtId="0" fontId="42" fillId="0" borderId="145" xfId="0" applyFont="1" applyBorder="1" applyAlignment="1" applyProtection="1">
      <alignment horizontal="center" vertical="center" wrapText="1"/>
    </xf>
    <xf numFmtId="0" fontId="42" fillId="0" borderId="147" xfId="0" applyFont="1" applyBorder="1" applyAlignment="1" applyProtection="1">
      <alignment horizontal="center" vertical="center" wrapText="1"/>
    </xf>
    <xf numFmtId="0" fontId="31" fillId="12" borderId="386" xfId="0" applyFont="1" applyFill="1" applyBorder="1" applyAlignment="1" applyProtection="1">
      <alignment horizontal="center" vertical="center"/>
    </xf>
    <xf numFmtId="0" fontId="31" fillId="0" borderId="386" xfId="0" applyFont="1" applyFill="1" applyBorder="1" applyAlignment="1" applyProtection="1">
      <alignment horizontal="center" vertical="center"/>
    </xf>
    <xf numFmtId="0" fontId="31" fillId="12" borderId="388" xfId="0" applyFont="1" applyFill="1" applyBorder="1" applyAlignment="1" applyProtection="1">
      <alignment horizontal="center" vertical="center"/>
    </xf>
    <xf numFmtId="0" fontId="10" fillId="10" borderId="0" xfId="0" applyFont="1" applyFill="1"/>
    <xf numFmtId="166" fontId="31" fillId="0" borderId="210" xfId="5" applyNumberFormat="1" applyFont="1" applyBorder="1" applyAlignment="1" applyProtection="1">
      <alignment vertical="center"/>
      <protection locked="0"/>
    </xf>
    <xf numFmtId="43" fontId="10" fillId="0" borderId="156" xfId="5" applyFont="1" applyFill="1" applyBorder="1" applyAlignment="1" applyProtection="1">
      <alignment horizontal="left" vertical="center"/>
    </xf>
    <xf numFmtId="43" fontId="10" fillId="0" borderId="156" xfId="5" applyFont="1" applyFill="1" applyBorder="1" applyAlignment="1" applyProtection="1">
      <alignment horizontal="center" vertical="center"/>
    </xf>
    <xf numFmtId="43" fontId="10" fillId="0" borderId="157" xfId="5" applyFont="1" applyFill="1" applyBorder="1" applyAlignment="1" applyProtection="1">
      <alignment horizontal="left" vertical="center"/>
    </xf>
    <xf numFmtId="43" fontId="10" fillId="0" borderId="152" xfId="5" applyFont="1" applyFill="1" applyBorder="1" applyAlignment="1" applyProtection="1">
      <alignment horizontal="left" vertical="center"/>
    </xf>
    <xf numFmtId="43" fontId="10" fillId="0" borderId="158" xfId="5" applyFont="1" applyFill="1" applyBorder="1" applyProtection="1"/>
    <xf numFmtId="43" fontId="10" fillId="0" borderId="158" xfId="5" applyFont="1" applyFill="1" applyBorder="1" applyAlignment="1" applyProtection="1">
      <alignment horizontal="center" vertical="center"/>
    </xf>
    <xf numFmtId="43" fontId="10" fillId="0" borderId="158" xfId="5" applyFont="1" applyFill="1" applyBorder="1" applyAlignment="1" applyProtection="1">
      <alignment horizontal="left" vertical="center"/>
    </xf>
    <xf numFmtId="43" fontId="10" fillId="0" borderId="162" xfId="5" applyFont="1" applyFill="1" applyBorder="1" applyAlignment="1" applyProtection="1">
      <alignment horizontal="left" vertical="center"/>
    </xf>
    <xf numFmtId="0" fontId="37" fillId="0" borderId="328" xfId="0" applyFont="1" applyFill="1" applyBorder="1" applyAlignment="1" applyProtection="1">
      <alignment vertical="center" wrapText="1"/>
    </xf>
    <xf numFmtId="0" fontId="37" fillId="0" borderId="321" xfId="0" applyFont="1" applyFill="1" applyBorder="1" applyAlignment="1" applyProtection="1">
      <alignment vertical="center" wrapText="1"/>
    </xf>
    <xf numFmtId="0" fontId="0" fillId="22" borderId="0" xfId="0" applyFill="1"/>
    <xf numFmtId="166" fontId="64" fillId="38" borderId="0" xfId="5" applyNumberFormat="1" applyFont="1" applyFill="1" applyBorder="1" applyAlignment="1" applyProtection="1">
      <alignment horizontal="center" vertical="center"/>
    </xf>
    <xf numFmtId="10" fontId="64" fillId="0" borderId="0" xfId="2" applyNumberFormat="1" applyFont="1" applyFill="1" applyBorder="1" applyAlignment="1" applyProtection="1">
      <alignment horizontal="center" vertical="center"/>
    </xf>
    <xf numFmtId="166" fontId="64" fillId="0" borderId="0" xfId="5" applyNumberFormat="1" applyFont="1" applyFill="1" applyBorder="1" applyProtection="1"/>
    <xf numFmtId="166" fontId="64" fillId="38" borderId="0" xfId="5" applyNumberFormat="1" applyFont="1" applyFill="1" applyBorder="1" applyProtection="1"/>
    <xf numFmtId="10" fontId="64" fillId="38" borderId="0" xfId="2" applyNumberFormat="1" applyFont="1" applyFill="1" applyBorder="1" applyAlignment="1" applyProtection="1">
      <alignment horizontal="center" vertical="center"/>
    </xf>
    <xf numFmtId="43" fontId="74" fillId="0" borderId="0" xfId="5" applyFont="1" applyBorder="1" applyAlignment="1" applyProtection="1">
      <alignment horizontal="center" vertical="center"/>
      <protection locked="0"/>
    </xf>
    <xf numFmtId="43" fontId="17" fillId="0" borderId="156" xfId="5" applyFont="1" applyBorder="1" applyProtection="1"/>
    <xf numFmtId="43" fontId="17" fillId="0" borderId="0" xfId="5" applyFont="1" applyBorder="1" applyProtection="1"/>
    <xf numFmtId="43" fontId="75" fillId="0" borderId="0" xfId="5" applyFont="1" applyBorder="1" applyProtection="1"/>
    <xf numFmtId="43" fontId="75" fillId="0" borderId="156" xfId="5" applyFont="1" applyBorder="1" applyProtection="1"/>
    <xf numFmtId="0" fontId="0" fillId="0" borderId="114" xfId="0" applyFont="1" applyBorder="1" applyProtection="1">
      <protection locked="0"/>
    </xf>
    <xf numFmtId="0" fontId="0" fillId="0" borderId="38" xfId="0" applyFont="1" applyBorder="1" applyProtection="1">
      <protection locked="0"/>
    </xf>
    <xf numFmtId="43" fontId="0" fillId="0" borderId="0" xfId="5" applyFont="1" applyBorder="1" applyAlignment="1" applyProtection="1">
      <alignment vertical="center"/>
    </xf>
    <xf numFmtId="166" fontId="64" fillId="8" borderId="0" xfId="5" applyNumberFormat="1" applyFont="1" applyFill="1" applyBorder="1" applyAlignment="1" applyProtection="1">
      <alignment horizontal="left"/>
    </xf>
    <xf numFmtId="166" fontId="64" fillId="0" borderId="0" xfId="5" applyNumberFormat="1" applyFont="1" applyFill="1" applyBorder="1" applyAlignment="1" applyProtection="1">
      <alignment horizontal="left" indent="2"/>
    </xf>
    <xf numFmtId="0" fontId="57" fillId="0" borderId="0" xfId="0" applyFont="1" applyFill="1" applyBorder="1" applyAlignment="1" applyProtection="1">
      <alignment vertical="center"/>
    </xf>
    <xf numFmtId="43" fontId="10" fillId="0" borderId="155" xfId="5" applyFont="1" applyFill="1" applyBorder="1" applyAlignment="1" applyProtection="1">
      <alignment horizontal="left" vertical="center"/>
    </xf>
    <xf numFmtId="43" fontId="10" fillId="0" borderId="145" xfId="5" applyFont="1" applyFill="1" applyBorder="1" applyAlignment="1" applyProtection="1"/>
    <xf numFmtId="43" fontId="10" fillId="0" borderId="145" xfId="5" applyFont="1" applyFill="1" applyBorder="1" applyProtection="1"/>
    <xf numFmtId="43" fontId="10" fillId="0" borderId="147" xfId="5" applyFont="1" applyFill="1" applyBorder="1" applyProtection="1"/>
    <xf numFmtId="43" fontId="10" fillId="0" borderId="147" xfId="5" applyFont="1" applyFill="1" applyBorder="1" applyAlignment="1" applyProtection="1">
      <alignment horizontal="center" vertical="center"/>
    </xf>
    <xf numFmtId="43" fontId="10" fillId="0" borderId="145" xfId="5" applyFont="1" applyFill="1" applyBorder="1" applyAlignment="1" applyProtection="1">
      <alignment horizontal="left" vertical="center"/>
    </xf>
    <xf numFmtId="43" fontId="10" fillId="0" borderId="147" xfId="5" applyFont="1" applyFill="1" applyBorder="1" applyAlignment="1" applyProtection="1">
      <alignment horizontal="left" vertical="center"/>
    </xf>
    <xf numFmtId="43" fontId="10" fillId="0" borderId="155" xfId="5" applyFont="1" applyFill="1" applyBorder="1" applyAlignment="1" applyProtection="1">
      <alignment vertical="center"/>
    </xf>
    <xf numFmtId="43" fontId="10" fillId="0" borderId="145" xfId="5" applyFont="1" applyFill="1" applyBorder="1" applyAlignment="1" applyProtection="1">
      <alignment vertical="center"/>
    </xf>
    <xf numFmtId="43" fontId="10" fillId="0" borderId="145" xfId="5" applyFont="1" applyFill="1" applyBorder="1" applyAlignment="1" applyProtection="1">
      <alignment horizontal="center" vertical="center"/>
    </xf>
    <xf numFmtId="43" fontId="10" fillId="0" borderId="0" xfId="5" applyFont="1" applyFill="1" applyBorder="1" applyAlignment="1" applyProtection="1">
      <alignment vertical="center"/>
    </xf>
    <xf numFmtId="43" fontId="10" fillId="0" borderId="156" xfId="5" applyFont="1" applyFill="1" applyBorder="1" applyAlignment="1" applyProtection="1">
      <alignment vertical="center"/>
    </xf>
    <xf numFmtId="43" fontId="10" fillId="0" borderId="152" xfId="5" applyFont="1" applyFill="1" applyBorder="1" applyAlignment="1" applyProtection="1">
      <alignment vertical="center"/>
    </xf>
    <xf numFmtId="43" fontId="10" fillId="0" borderId="157" xfId="5" applyFont="1" applyFill="1" applyBorder="1" applyAlignment="1" applyProtection="1">
      <alignment vertical="center"/>
    </xf>
    <xf numFmtId="43" fontId="10" fillId="0" borderId="152" xfId="5" applyFont="1" applyFill="1" applyBorder="1" applyAlignment="1" applyProtection="1">
      <alignment horizontal="center" vertical="center"/>
    </xf>
    <xf numFmtId="43" fontId="10" fillId="0" borderId="160" xfId="5" applyFont="1" applyFill="1" applyBorder="1" applyAlignment="1" applyProtection="1">
      <alignment horizontal="left" vertical="center"/>
    </xf>
    <xf numFmtId="43" fontId="19" fillId="26" borderId="401" xfId="5" applyFont="1" applyFill="1" applyBorder="1" applyProtection="1"/>
    <xf numFmtId="43" fontId="19" fillId="26" borderId="178" xfId="5" applyFont="1" applyFill="1" applyBorder="1" applyProtection="1"/>
    <xf numFmtId="43" fontId="42" fillId="26" borderId="178" xfId="5" applyFont="1" applyFill="1" applyBorder="1" applyProtection="1"/>
    <xf numFmtId="10" fontId="72" fillId="0" borderId="403" xfId="2" applyNumberFormat="1" applyFont="1" applyFill="1" applyBorder="1" applyAlignment="1" applyProtection="1">
      <alignment vertical="center"/>
      <protection locked="0"/>
    </xf>
    <xf numFmtId="10" fontId="72" fillId="0" borderId="332" xfId="2" applyNumberFormat="1" applyFont="1" applyFill="1" applyBorder="1" applyAlignment="1" applyProtection="1">
      <alignment vertical="center"/>
      <protection locked="0"/>
    </xf>
    <xf numFmtId="43" fontId="10" fillId="0" borderId="155" xfId="5" applyFont="1" applyFill="1" applyBorder="1" applyProtection="1"/>
    <xf numFmtId="43" fontId="10" fillId="0" borderId="156" xfId="5" applyFont="1" applyFill="1" applyBorder="1" applyProtection="1"/>
    <xf numFmtId="43" fontId="10" fillId="0" borderId="157" xfId="5" applyFont="1" applyFill="1" applyBorder="1" applyProtection="1"/>
    <xf numFmtId="43" fontId="10" fillId="0" borderId="152" xfId="5" applyFont="1" applyFill="1" applyBorder="1" applyProtection="1"/>
    <xf numFmtId="43" fontId="10" fillId="0" borderId="401" xfId="5" applyFont="1" applyFill="1" applyBorder="1" applyProtection="1"/>
    <xf numFmtId="43" fontId="10" fillId="0" borderId="178" xfId="5" applyFont="1" applyFill="1" applyBorder="1" applyProtection="1"/>
    <xf numFmtId="0" fontId="0" fillId="0" borderId="0" xfId="0" applyFont="1" applyFill="1" applyBorder="1" applyAlignment="1">
      <alignment horizontal="left"/>
    </xf>
    <xf numFmtId="0" fontId="0" fillId="0" borderId="0" xfId="0" applyFont="1" applyFill="1" applyBorder="1" applyAlignment="1">
      <alignment horizontal="center"/>
    </xf>
    <xf numFmtId="0" fontId="42" fillId="0" borderId="404" xfId="0" applyFont="1" applyBorder="1" applyAlignment="1" applyProtection="1">
      <alignment horizontal="center" vertical="center"/>
    </xf>
    <xf numFmtId="0" fontId="42" fillId="0" borderId="405" xfId="0" applyFont="1" applyBorder="1" applyAlignment="1" applyProtection="1">
      <alignment vertical="center"/>
      <protection locked="0"/>
    </xf>
    <xf numFmtId="43" fontId="10" fillId="0" borderId="409" xfId="5" applyFont="1" applyFill="1" applyBorder="1" applyAlignment="1" applyProtection="1">
      <alignment horizontal="left" vertical="center"/>
    </xf>
    <xf numFmtId="43" fontId="10" fillId="0" borderId="408" xfId="5" applyFont="1" applyFill="1" applyBorder="1" applyAlignment="1" applyProtection="1">
      <alignment vertical="center"/>
    </xf>
    <xf numFmtId="0" fontId="37" fillId="0" borderId="326" xfId="0" applyFont="1" applyFill="1" applyBorder="1" applyAlignment="1" applyProtection="1">
      <alignment vertical="center" wrapText="1"/>
    </xf>
    <xf numFmtId="0" fontId="37" fillId="0" borderId="322" xfId="0" applyFont="1" applyFill="1" applyBorder="1" applyAlignment="1" applyProtection="1">
      <alignment vertical="center" wrapText="1"/>
    </xf>
    <xf numFmtId="0" fontId="19" fillId="4" borderId="414" xfId="0" applyFont="1" applyFill="1" applyBorder="1" applyAlignment="1" applyProtection="1">
      <alignment horizontal="center" vertical="center"/>
    </xf>
    <xf numFmtId="0" fontId="19" fillId="4" borderId="414" xfId="0" applyFont="1" applyFill="1" applyBorder="1" applyAlignment="1" applyProtection="1">
      <alignment horizontal="left" vertical="center"/>
    </xf>
    <xf numFmtId="0" fontId="19" fillId="4" borderId="414" xfId="0" applyFont="1" applyFill="1" applyBorder="1" applyAlignment="1" applyProtection="1">
      <alignment horizontal="center"/>
    </xf>
    <xf numFmtId="43" fontId="10" fillId="0" borderId="409" xfId="5" applyFont="1" applyFill="1" applyBorder="1" applyProtection="1"/>
    <xf numFmtId="43" fontId="10" fillId="0" borderId="408" xfId="5" applyFont="1" applyFill="1" applyBorder="1" applyProtection="1"/>
    <xf numFmtId="43" fontId="10" fillId="0" borderId="415" xfId="5" applyFont="1" applyFill="1" applyBorder="1" applyProtection="1"/>
    <xf numFmtId="43" fontId="19" fillId="26" borderId="156" xfId="5" applyFont="1" applyFill="1" applyBorder="1" applyProtection="1"/>
    <xf numFmtId="43" fontId="19" fillId="26" borderId="0" xfId="5" applyFont="1" applyFill="1" applyBorder="1" applyProtection="1"/>
    <xf numFmtId="43" fontId="42" fillId="26" borderId="0" xfId="5" applyFont="1" applyFill="1" applyBorder="1" applyProtection="1"/>
    <xf numFmtId="43" fontId="42" fillId="26" borderId="156" xfId="5" applyFont="1" applyFill="1" applyBorder="1" applyProtection="1"/>
    <xf numFmtId="168" fontId="42" fillId="26" borderId="161" xfId="0" applyNumberFormat="1" applyFont="1" applyFill="1" applyBorder="1" applyProtection="1"/>
    <xf numFmtId="166" fontId="19" fillId="4" borderId="414" xfId="5" applyNumberFormat="1" applyFont="1" applyFill="1" applyBorder="1" applyProtection="1"/>
    <xf numFmtId="166" fontId="42" fillId="4" borderId="414" xfId="5" applyNumberFormat="1" applyFont="1" applyFill="1" applyBorder="1" applyProtection="1"/>
    <xf numFmtId="168" fontId="42" fillId="4" borderId="414" xfId="5" applyNumberFormat="1" applyFont="1" applyFill="1" applyBorder="1" applyProtection="1"/>
    <xf numFmtId="0" fontId="57" fillId="4" borderId="115" xfId="0" applyFont="1" applyFill="1" applyBorder="1" applyProtection="1"/>
    <xf numFmtId="0" fontId="57" fillId="4" borderId="36" xfId="0" applyFont="1" applyFill="1" applyBorder="1" applyProtection="1"/>
    <xf numFmtId="0" fontId="57" fillId="4" borderId="36" xfId="0" applyFont="1" applyFill="1" applyBorder="1" applyAlignment="1" applyProtection="1">
      <alignment horizontal="right"/>
    </xf>
    <xf numFmtId="10" fontId="19" fillId="4" borderId="0" xfId="2" applyNumberFormat="1" applyFont="1" applyFill="1" applyBorder="1" applyAlignment="1" applyProtection="1">
      <alignment horizontal="center" vertical="center"/>
    </xf>
    <xf numFmtId="166" fontId="19" fillId="4" borderId="0" xfId="5" applyNumberFormat="1" applyFont="1" applyFill="1" applyBorder="1" applyAlignment="1" applyProtection="1">
      <alignment vertical="center"/>
    </xf>
    <xf numFmtId="166" fontId="42" fillId="4" borderId="0" xfId="5" applyNumberFormat="1" applyFont="1" applyFill="1" applyBorder="1" applyAlignment="1" applyProtection="1">
      <alignment vertical="center"/>
    </xf>
    <xf numFmtId="168" fontId="42" fillId="4" borderId="0" xfId="5" applyNumberFormat="1" applyFont="1" applyFill="1" applyBorder="1" applyAlignment="1" applyProtection="1">
      <alignment vertical="center"/>
    </xf>
    <xf numFmtId="166" fontId="42" fillId="4" borderId="0" xfId="5" applyNumberFormat="1" applyFont="1" applyFill="1" applyAlignment="1" applyProtection="1">
      <alignment vertical="center"/>
    </xf>
    <xf numFmtId="0" fontId="42" fillId="4" borderId="0" xfId="0" applyFont="1" applyFill="1" applyBorder="1" applyAlignment="1" applyProtection="1">
      <alignment vertical="center"/>
    </xf>
    <xf numFmtId="0" fontId="57" fillId="4" borderId="114" xfId="0" applyFont="1" applyFill="1" applyBorder="1" applyAlignment="1" applyProtection="1">
      <alignment vertical="center"/>
    </xf>
    <xf numFmtId="0" fontId="57" fillId="4" borderId="8" xfId="0" applyFont="1" applyFill="1" applyBorder="1" applyAlignment="1" applyProtection="1">
      <alignment vertical="center"/>
    </xf>
    <xf numFmtId="0" fontId="57" fillId="4" borderId="8" xfId="0" applyFont="1" applyFill="1" applyBorder="1" applyAlignment="1" applyProtection="1">
      <alignment horizontal="right" vertical="center"/>
    </xf>
    <xf numFmtId="0" fontId="57" fillId="4" borderId="0" xfId="0" applyFont="1" applyFill="1" applyAlignment="1" applyProtection="1">
      <alignment vertical="center"/>
    </xf>
    <xf numFmtId="0" fontId="60" fillId="4" borderId="0" xfId="0" applyFont="1" applyFill="1" applyBorder="1" applyAlignment="1" applyProtection="1">
      <alignment horizontal="center" vertical="center"/>
    </xf>
    <xf numFmtId="0" fontId="60" fillId="4" borderId="0" xfId="0" applyFont="1" applyFill="1" applyBorder="1" applyAlignment="1" applyProtection="1">
      <alignment horizontal="left" vertical="center"/>
    </xf>
    <xf numFmtId="10" fontId="60" fillId="4" borderId="0" xfId="2" applyNumberFormat="1" applyFont="1" applyFill="1" applyBorder="1" applyAlignment="1" applyProtection="1">
      <alignment horizontal="center" vertical="center"/>
    </xf>
    <xf numFmtId="166" fontId="60" fillId="4" borderId="0" xfId="5" applyNumberFormat="1" applyFont="1" applyFill="1" applyBorder="1" applyAlignment="1" applyProtection="1">
      <alignment vertical="center"/>
    </xf>
    <xf numFmtId="168" fontId="60" fillId="4" borderId="0" xfId="5" applyNumberFormat="1" applyFont="1" applyFill="1" applyBorder="1" applyAlignment="1" applyProtection="1">
      <alignment vertical="center"/>
    </xf>
    <xf numFmtId="0" fontId="60" fillId="4" borderId="0" xfId="0" applyFont="1" applyFill="1" applyBorder="1" applyAlignment="1" applyProtection="1">
      <alignment vertical="center"/>
    </xf>
    <xf numFmtId="0" fontId="60" fillId="4" borderId="8" xfId="0" applyFont="1" applyFill="1" applyBorder="1" applyAlignment="1" applyProtection="1">
      <alignment vertical="center"/>
    </xf>
    <xf numFmtId="0" fontId="60" fillId="4" borderId="8" xfId="0" applyFont="1" applyFill="1" applyBorder="1" applyAlignment="1" applyProtection="1">
      <alignment horizontal="right" vertical="center"/>
    </xf>
    <xf numFmtId="0" fontId="60" fillId="4" borderId="0" xfId="0" applyFont="1" applyFill="1" applyAlignment="1" applyProtection="1">
      <alignment vertical="center"/>
    </xf>
    <xf numFmtId="0" fontId="76" fillId="0" borderId="0" xfId="0" applyFont="1" applyAlignment="1" applyProtection="1">
      <alignment vertical="center"/>
    </xf>
    <xf numFmtId="0" fontId="76" fillId="0" borderId="0" xfId="0" applyFont="1" applyFill="1" applyAlignment="1" applyProtection="1">
      <alignment vertical="center"/>
    </xf>
    <xf numFmtId="168" fontId="19" fillId="4" borderId="0" xfId="5" applyNumberFormat="1" applyFont="1" applyFill="1" applyBorder="1" applyAlignment="1" applyProtection="1">
      <alignment vertical="center"/>
    </xf>
    <xf numFmtId="166" fontId="19" fillId="4" borderId="0" xfId="5" applyNumberFormat="1" applyFont="1" applyFill="1" applyAlignment="1" applyProtection="1">
      <alignment vertical="center"/>
    </xf>
    <xf numFmtId="0" fontId="19" fillId="4" borderId="0" xfId="0" applyFont="1" applyFill="1" applyBorder="1" applyAlignment="1" applyProtection="1">
      <alignment vertical="center"/>
    </xf>
    <xf numFmtId="0" fontId="19" fillId="4" borderId="8" xfId="0" applyFont="1" applyFill="1" applyBorder="1" applyAlignment="1" applyProtection="1">
      <alignment vertical="center"/>
    </xf>
    <xf numFmtId="0" fontId="19" fillId="4" borderId="8" xfId="0" applyFont="1" applyFill="1" applyBorder="1" applyAlignment="1" applyProtection="1">
      <alignment horizontal="right" vertical="center"/>
    </xf>
    <xf numFmtId="0" fontId="19" fillId="4" borderId="0" xfId="0" applyFont="1" applyFill="1" applyAlignment="1" applyProtection="1">
      <alignment vertical="center"/>
    </xf>
    <xf numFmtId="0" fontId="76" fillId="0" borderId="0" xfId="0" applyFont="1" applyAlignment="1" applyProtection="1">
      <alignment horizontal="center" vertical="center"/>
    </xf>
    <xf numFmtId="0" fontId="19" fillId="0" borderId="0" xfId="0" applyFont="1" applyAlignment="1" applyProtection="1">
      <alignment horizontal="center" vertical="center"/>
    </xf>
    <xf numFmtId="10" fontId="19" fillId="0" borderId="0" xfId="2" applyNumberFormat="1" applyFont="1" applyAlignment="1" applyProtection="1">
      <alignment horizontal="center" vertical="center"/>
    </xf>
    <xf numFmtId="0" fontId="19" fillId="0" borderId="12" xfId="0" applyFont="1" applyBorder="1" applyAlignment="1" applyProtection="1">
      <alignment horizontal="center" vertical="center"/>
    </xf>
    <xf numFmtId="168" fontId="19" fillId="0" borderId="12" xfId="0" applyNumberFormat="1" applyFont="1" applyBorder="1" applyAlignment="1" applyProtection="1">
      <alignment horizontal="center" vertical="center"/>
    </xf>
    <xf numFmtId="0" fontId="19" fillId="0" borderId="8" xfId="0" applyFont="1" applyBorder="1" applyAlignment="1" applyProtection="1">
      <alignment horizontal="center" vertical="center"/>
    </xf>
    <xf numFmtId="0" fontId="19" fillId="0" borderId="0" xfId="0" applyFont="1" applyFill="1" applyBorder="1" applyAlignment="1" applyProtection="1">
      <alignment horizontal="left" vertical="center"/>
    </xf>
    <xf numFmtId="0" fontId="19" fillId="0" borderId="0" xfId="0" applyFont="1" applyFill="1" applyBorder="1" applyAlignment="1" applyProtection="1">
      <alignment vertical="center"/>
    </xf>
    <xf numFmtId="168" fontId="19" fillId="0" borderId="0" xfId="0" applyNumberFormat="1" applyFont="1" applyFill="1" applyBorder="1" applyAlignment="1" applyProtection="1">
      <alignment vertical="center"/>
    </xf>
    <xf numFmtId="0" fontId="73" fillId="0" borderId="0" xfId="0" applyFont="1" applyFill="1" applyBorder="1" applyAlignment="1" applyProtection="1">
      <alignment horizontal="left" vertical="center"/>
    </xf>
    <xf numFmtId="0" fontId="31" fillId="0" borderId="0" xfId="0" applyFont="1" applyFill="1" applyBorder="1" applyAlignment="1" applyProtection="1">
      <alignment vertical="center"/>
    </xf>
    <xf numFmtId="168" fontId="31" fillId="0" borderId="0" xfId="0" applyNumberFormat="1" applyFont="1" applyFill="1" applyBorder="1" applyAlignment="1" applyProtection="1">
      <alignment vertical="center"/>
    </xf>
    <xf numFmtId="167" fontId="0" fillId="0" borderId="0" xfId="0" applyNumberFormat="1" applyProtection="1"/>
    <xf numFmtId="1" fontId="19" fillId="11" borderId="356" xfId="0" applyNumberFormat="1" applyFont="1" applyFill="1" applyBorder="1" applyAlignment="1" applyProtection="1">
      <alignment horizontal="center" vertical="center" wrapText="1"/>
    </xf>
    <xf numFmtId="43" fontId="57" fillId="11" borderId="356" xfId="5" applyNumberFormat="1" applyFont="1" applyFill="1" applyBorder="1" applyAlignment="1" applyProtection="1">
      <alignment horizontal="center" vertical="center" wrapText="1"/>
      <protection locked="0"/>
    </xf>
    <xf numFmtId="43" fontId="19" fillId="11" borderId="356" xfId="5" applyFont="1" applyFill="1" applyBorder="1" applyAlignment="1" applyProtection="1">
      <alignment horizontal="center" vertical="center" wrapText="1"/>
    </xf>
    <xf numFmtId="43" fontId="19" fillId="11" borderId="356" xfId="5" applyFont="1" applyFill="1" applyBorder="1" applyAlignment="1" applyProtection="1">
      <alignment horizontal="center" vertical="center" wrapText="1"/>
      <protection locked="0"/>
    </xf>
    <xf numFmtId="43" fontId="74" fillId="11" borderId="356" xfId="5" applyFont="1" applyFill="1" applyBorder="1" applyAlignment="1" applyProtection="1">
      <alignment horizontal="center" vertical="center" wrapText="1"/>
      <protection locked="0"/>
    </xf>
    <xf numFmtId="43" fontId="57" fillId="11" borderId="356" xfId="5" applyFont="1" applyFill="1" applyBorder="1" applyAlignment="1" applyProtection="1">
      <alignment horizontal="center" vertical="center" wrapText="1"/>
      <protection locked="0"/>
    </xf>
    <xf numFmtId="43" fontId="19" fillId="16" borderId="356" xfId="5" applyFont="1" applyFill="1" applyBorder="1" applyAlignment="1" applyProtection="1">
      <alignment horizontal="center" vertical="center" wrapText="1"/>
      <protection locked="0"/>
    </xf>
    <xf numFmtId="0" fontId="10" fillId="42" borderId="0" xfId="0" applyFont="1" applyFill="1" applyBorder="1" applyAlignment="1" applyProtection="1">
      <alignment horizontal="left"/>
      <protection locked="0"/>
    </xf>
    <xf numFmtId="43" fontId="31" fillId="0" borderId="279" xfId="5" applyFont="1" applyFill="1" applyBorder="1" applyAlignment="1" applyProtection="1">
      <alignment horizontal="right" vertical="center"/>
      <protection locked="0"/>
    </xf>
    <xf numFmtId="43" fontId="31" fillId="0" borderId="111" xfId="5" applyFont="1" applyFill="1" applyBorder="1" applyAlignment="1" applyProtection="1">
      <alignment horizontal="right" vertical="center"/>
      <protection locked="0"/>
    </xf>
    <xf numFmtId="43" fontId="31" fillId="0" borderId="281" xfId="5" applyFont="1" applyFill="1" applyBorder="1" applyAlignment="1" applyProtection="1">
      <alignment horizontal="right" vertical="center"/>
      <protection locked="0"/>
    </xf>
    <xf numFmtId="166" fontId="31" fillId="0" borderId="270" xfId="5" applyNumberFormat="1" applyFont="1" applyFill="1" applyBorder="1" applyAlignment="1" applyProtection="1">
      <alignment horizontal="right" vertical="center"/>
      <protection locked="0"/>
    </xf>
    <xf numFmtId="166" fontId="31" fillId="0" borderId="273" xfId="5" applyNumberFormat="1" applyFont="1" applyFill="1" applyBorder="1" applyAlignment="1" applyProtection="1">
      <alignment horizontal="right" vertical="center"/>
      <protection locked="0"/>
    </xf>
    <xf numFmtId="43" fontId="16" fillId="8" borderId="91" xfId="5" applyFont="1" applyFill="1" applyBorder="1" applyAlignment="1" applyProtection="1">
      <alignment vertical="center"/>
    </xf>
    <xf numFmtId="0" fontId="0" fillId="10" borderId="177" xfId="0" applyFill="1" applyBorder="1" applyAlignment="1" applyProtection="1">
      <alignment horizontal="left" vertical="center"/>
    </xf>
    <xf numFmtId="0" fontId="64" fillId="10" borderId="177" xfId="0" applyFont="1" applyFill="1" applyBorder="1" applyAlignment="1" applyProtection="1">
      <alignment horizontal="center" vertical="center"/>
    </xf>
    <xf numFmtId="0" fontId="0" fillId="10" borderId="177" xfId="0" applyFill="1" applyBorder="1" applyAlignment="1" applyProtection="1">
      <alignment horizontal="center" vertical="center"/>
    </xf>
    <xf numFmtId="1" fontId="68" fillId="10" borderId="357" xfId="0" applyNumberFormat="1" applyFont="1" applyFill="1" applyBorder="1" applyAlignment="1" applyProtection="1">
      <alignment horizontal="center" vertical="center"/>
    </xf>
    <xf numFmtId="43" fontId="68" fillId="10" borderId="357" xfId="5" applyFont="1" applyFill="1" applyBorder="1" applyAlignment="1" applyProtection="1">
      <alignment horizontal="center" vertical="center"/>
    </xf>
    <xf numFmtId="0" fontId="31" fillId="12" borderId="428" xfId="0" applyFont="1" applyFill="1" applyBorder="1" applyAlignment="1" applyProtection="1">
      <alignment horizontal="center" vertical="center"/>
    </xf>
    <xf numFmtId="0" fontId="16" fillId="0" borderId="434" xfId="0" applyFont="1" applyBorder="1" applyAlignment="1" applyProtection="1">
      <alignment horizontal="center" vertical="center" wrapText="1"/>
    </xf>
    <xf numFmtId="10" fontId="31" fillId="0" borderId="435" xfId="2" applyNumberFormat="1" applyFont="1" applyBorder="1" applyAlignment="1" applyProtection="1">
      <alignment horizontal="center" vertical="center"/>
      <protection locked="0"/>
    </xf>
    <xf numFmtId="10" fontId="31" fillId="0" borderId="436" xfId="2" applyNumberFormat="1" applyFont="1" applyBorder="1" applyAlignment="1" applyProtection="1">
      <alignment horizontal="center" vertical="center"/>
      <protection locked="0"/>
    </xf>
    <xf numFmtId="43" fontId="19" fillId="16" borderId="356" xfId="5" applyFont="1" applyFill="1" applyBorder="1" applyAlignment="1" applyProtection="1">
      <alignment horizontal="left" vertical="center" wrapText="1"/>
      <protection locked="0"/>
    </xf>
    <xf numFmtId="43" fontId="17" fillId="25" borderId="357" xfId="5" applyFont="1" applyFill="1" applyBorder="1" applyAlignment="1" applyProtection="1">
      <alignment horizontal="left" vertical="center"/>
      <protection locked="0"/>
    </xf>
    <xf numFmtId="43" fontId="10" fillId="0" borderId="0" xfId="5" applyFont="1" applyBorder="1" applyAlignment="1" applyProtection="1">
      <alignment horizontal="left" vertical="center"/>
      <protection locked="0"/>
    </xf>
    <xf numFmtId="43" fontId="10" fillId="25" borderId="357" xfId="5" applyFont="1" applyFill="1" applyBorder="1" applyAlignment="1" applyProtection="1">
      <alignment horizontal="left" vertical="center"/>
      <protection locked="0"/>
    </xf>
    <xf numFmtId="43" fontId="68" fillId="25" borderId="357" xfId="5" applyFont="1" applyFill="1" applyBorder="1" applyAlignment="1" applyProtection="1">
      <alignment horizontal="left" vertical="center"/>
    </xf>
    <xf numFmtId="43" fontId="31" fillId="11" borderId="111" xfId="5" applyFont="1" applyFill="1" applyBorder="1" applyAlignment="1" applyProtection="1">
      <alignment horizontal="right" vertical="center"/>
      <protection locked="0"/>
    </xf>
    <xf numFmtId="1" fontId="17" fillId="0" borderId="357" xfId="0" applyNumberFormat="1" applyFont="1" applyFill="1" applyBorder="1" applyAlignment="1" applyProtection="1">
      <alignment horizontal="center" vertical="center"/>
    </xf>
    <xf numFmtId="1" fontId="17" fillId="0" borderId="357" xfId="0" applyNumberFormat="1" applyFont="1" applyFill="1" applyBorder="1" applyAlignment="1" applyProtection="1">
      <alignment horizontal="left" vertical="center"/>
      <protection locked="0"/>
    </xf>
    <xf numFmtId="1" fontId="68" fillId="0" borderId="357" xfId="0" applyNumberFormat="1" applyFont="1" applyFill="1" applyBorder="1" applyAlignment="1" applyProtection="1">
      <alignment horizontal="center" vertical="center"/>
    </xf>
    <xf numFmtId="43" fontId="10" fillId="0" borderId="357" xfId="5" applyNumberFormat="1" applyFont="1" applyFill="1" applyBorder="1" applyAlignment="1" applyProtection="1">
      <alignment horizontal="center" vertical="center"/>
      <protection locked="0"/>
    </xf>
    <xf numFmtId="43" fontId="17" fillId="0" borderId="357" xfId="5" applyFont="1" applyFill="1" applyBorder="1" applyAlignment="1" applyProtection="1">
      <alignment horizontal="center" vertical="center"/>
    </xf>
    <xf numFmtId="2" fontId="17" fillId="0" borderId="357" xfId="5" applyNumberFormat="1" applyFont="1" applyFill="1" applyBorder="1" applyAlignment="1" applyProtection="1">
      <alignment horizontal="center" vertical="center"/>
      <protection locked="0"/>
    </xf>
    <xf numFmtId="43" fontId="17" fillId="0" borderId="357" xfId="5" applyFont="1" applyFill="1" applyBorder="1" applyAlignment="1" applyProtection="1">
      <alignment horizontal="center" vertical="center"/>
      <protection locked="0"/>
    </xf>
    <xf numFmtId="43" fontId="10" fillId="0" borderId="357" xfId="5" applyFont="1" applyFill="1" applyBorder="1" applyAlignment="1" applyProtection="1">
      <alignment horizontal="center" vertical="center"/>
      <protection locked="0"/>
    </xf>
    <xf numFmtId="43" fontId="68" fillId="0" borderId="357" xfId="5" applyFont="1" applyFill="1" applyBorder="1" applyAlignment="1" applyProtection="1">
      <alignment horizontal="center" vertical="center"/>
    </xf>
    <xf numFmtId="0" fontId="10" fillId="0" borderId="0" xfId="7" applyFont="1" applyFill="1" applyBorder="1" applyAlignment="1" applyProtection="1">
      <alignment vertical="center"/>
      <protection locked="0"/>
    </xf>
    <xf numFmtId="0" fontId="0" fillId="0" borderId="0" xfId="0" applyAlignment="1">
      <alignment horizontal="left"/>
    </xf>
    <xf numFmtId="0" fontId="0" fillId="4" borderId="0" xfId="0" applyFont="1" applyFill="1" applyAlignment="1">
      <alignment horizontal="left" vertical="center"/>
    </xf>
    <xf numFmtId="0" fontId="0" fillId="4" borderId="0" xfId="0" applyFont="1" applyFill="1" applyAlignment="1">
      <alignment horizontal="center" vertical="center"/>
    </xf>
    <xf numFmtId="0" fontId="0" fillId="4" borderId="0" xfId="0" applyFont="1" applyFill="1" applyAlignment="1">
      <alignment vertical="center"/>
    </xf>
    <xf numFmtId="166" fontId="0" fillId="4" borderId="0" xfId="5" applyNumberFormat="1" applyFont="1" applyFill="1" applyAlignment="1">
      <alignment vertical="center"/>
    </xf>
    <xf numFmtId="0" fontId="0" fillId="0" borderId="177" xfId="0" applyFill="1" applyBorder="1" applyAlignment="1">
      <alignment horizontal="center" vertical="center"/>
    </xf>
    <xf numFmtId="0" fontId="0" fillId="0" borderId="177" xfId="0" applyFill="1" applyBorder="1" applyAlignment="1">
      <alignment horizontal="left" vertical="center"/>
    </xf>
    <xf numFmtId="0" fontId="64" fillId="0" borderId="177" xfId="0" applyFont="1" applyFill="1" applyBorder="1" applyAlignment="1">
      <alignment horizontal="center" vertical="center"/>
    </xf>
    <xf numFmtId="168" fontId="0" fillId="4" borderId="0" xfId="5" applyNumberFormat="1" applyFont="1" applyFill="1" applyAlignment="1">
      <alignment vertical="center"/>
    </xf>
    <xf numFmtId="166" fontId="31" fillId="12" borderId="0" xfId="5" applyNumberFormat="1" applyFont="1" applyFill="1" applyBorder="1" applyProtection="1"/>
    <xf numFmtId="166" fontId="31" fillId="0" borderId="0" xfId="5" applyNumberFormat="1" applyFont="1" applyFill="1" applyBorder="1" applyProtection="1"/>
    <xf numFmtId="166" fontId="31" fillId="38" borderId="0" xfId="5" applyNumberFormat="1" applyFont="1" applyFill="1" applyBorder="1" applyProtection="1"/>
    <xf numFmtId="166" fontId="31" fillId="38" borderId="0" xfId="5" applyNumberFormat="1" applyFont="1" applyFill="1" applyBorder="1" applyAlignment="1" applyProtection="1">
      <alignment horizontal="center" vertical="center"/>
    </xf>
    <xf numFmtId="164" fontId="2" fillId="2" borderId="439" xfId="1" applyNumberFormat="1" applyFont="1" applyFill="1" applyBorder="1" applyAlignment="1" applyProtection="1">
      <alignment vertical="center"/>
    </xf>
    <xf numFmtId="0" fontId="4" fillId="4" borderId="115" xfId="0" applyFont="1" applyFill="1" applyBorder="1" applyAlignment="1" applyProtection="1">
      <alignment horizontal="center" vertical="center"/>
    </xf>
    <xf numFmtId="0" fontId="4" fillId="4" borderId="100" xfId="0" applyFont="1" applyFill="1" applyBorder="1" applyAlignment="1" applyProtection="1">
      <alignment horizontal="center"/>
    </xf>
    <xf numFmtId="0" fontId="6" fillId="4" borderId="115" xfId="0" applyFont="1" applyFill="1" applyBorder="1" applyProtection="1"/>
    <xf numFmtId="0" fontId="6" fillId="4" borderId="100" xfId="0" applyFont="1" applyFill="1" applyBorder="1" applyProtection="1"/>
    <xf numFmtId="0" fontId="21" fillId="12" borderId="0" xfId="0" applyFont="1" applyFill="1" applyAlignment="1">
      <alignment horizontal="left" vertical="center"/>
    </xf>
    <xf numFmtId="0" fontId="21" fillId="24" borderId="339" xfId="0" applyFont="1" applyFill="1" applyBorder="1" applyAlignment="1">
      <alignment horizontal="right" vertical="center"/>
    </xf>
    <xf numFmtId="0" fontId="0" fillId="4" borderId="70" xfId="0" applyFill="1" applyBorder="1" applyAlignment="1">
      <alignment vertical="center"/>
    </xf>
    <xf numFmtId="0" fontId="0" fillId="4" borderId="350" xfId="0" applyFill="1" applyBorder="1" applyAlignment="1">
      <alignment vertical="center"/>
    </xf>
    <xf numFmtId="0" fontId="21" fillId="12" borderId="339" xfId="0" applyFont="1" applyFill="1" applyBorder="1" applyAlignment="1">
      <alignment horizontal="right" vertical="center"/>
    </xf>
    <xf numFmtId="0" fontId="31" fillId="12" borderId="339" xfId="0" applyFont="1" applyFill="1" applyBorder="1" applyAlignment="1">
      <alignment horizontal="right" vertical="center"/>
    </xf>
    <xf numFmtId="0" fontId="31" fillId="24" borderId="339" xfId="0" applyFont="1" applyFill="1" applyBorder="1" applyAlignment="1">
      <alignment horizontal="right" vertical="center"/>
    </xf>
    <xf numFmtId="0" fontId="31" fillId="4" borderId="0" xfId="0" applyFont="1" applyFill="1" applyAlignment="1">
      <alignment vertical="center"/>
    </xf>
    <xf numFmtId="0" fontId="31" fillId="4" borderId="350" xfId="0" applyFont="1" applyFill="1" applyBorder="1" applyAlignment="1">
      <alignment vertical="center"/>
    </xf>
    <xf numFmtId="0" fontId="21" fillId="12" borderId="241" xfId="0" applyFont="1" applyFill="1" applyBorder="1" applyAlignment="1">
      <alignment horizontal="left" vertical="center"/>
    </xf>
    <xf numFmtId="0" fontId="21" fillId="24" borderId="336" xfId="0" applyFont="1" applyFill="1" applyBorder="1" applyAlignment="1">
      <alignment horizontal="center" vertical="center"/>
    </xf>
    <xf numFmtId="0" fontId="30" fillId="4" borderId="0" xfId="0" applyFont="1" applyFill="1" applyAlignment="1">
      <alignment horizontal="center" vertical="center" wrapText="1"/>
    </xf>
    <xf numFmtId="0" fontId="21" fillId="0" borderId="0" xfId="0" applyFont="1" applyAlignment="1">
      <alignment horizontal="left" vertical="center"/>
    </xf>
    <xf numFmtId="0" fontId="21" fillId="0" borderId="340" xfId="0" applyFont="1" applyBorder="1" applyAlignment="1">
      <alignment horizontal="center" vertical="center"/>
    </xf>
    <xf numFmtId="0" fontId="21" fillId="24" borderId="340" xfId="0" applyFont="1" applyFill="1" applyBorder="1" applyAlignment="1">
      <alignment horizontal="center" vertical="center"/>
    </xf>
    <xf numFmtId="0" fontId="21" fillId="24" borderId="336" xfId="0" applyFont="1" applyFill="1" applyBorder="1" applyAlignment="1">
      <alignment horizontal="right" vertical="center"/>
    </xf>
    <xf numFmtId="0" fontId="19" fillId="4" borderId="0" xfId="0" applyFont="1" applyFill="1" applyAlignment="1">
      <alignment horizontal="center" vertical="center"/>
    </xf>
    <xf numFmtId="0" fontId="15" fillId="4" borderId="0" xfId="0" applyFont="1" applyFill="1" applyAlignment="1">
      <alignment vertical="center" wrapText="1"/>
    </xf>
    <xf numFmtId="0" fontId="21" fillId="0" borderId="340" xfId="0" applyFont="1" applyBorder="1" applyAlignment="1">
      <alignment horizontal="right" vertical="center"/>
    </xf>
    <xf numFmtId="0" fontId="21" fillId="24" borderId="340" xfId="0" applyFont="1" applyFill="1" applyBorder="1" applyAlignment="1">
      <alignment horizontal="right" vertical="center"/>
    </xf>
    <xf numFmtId="0" fontId="21" fillId="4" borderId="0" xfId="0" applyFont="1" applyFill="1" applyAlignment="1">
      <alignment horizontal="left" vertical="center"/>
    </xf>
    <xf numFmtId="0" fontId="21" fillId="24" borderId="336" xfId="0" applyFont="1" applyFill="1" applyBorder="1" applyAlignment="1">
      <alignment horizontal="right" vertical="center" wrapText="1"/>
    </xf>
    <xf numFmtId="0" fontId="31" fillId="24" borderId="336" xfId="0" applyFont="1" applyFill="1" applyBorder="1" applyAlignment="1" applyProtection="1">
      <alignment horizontal="left" vertical="center" wrapText="1"/>
      <protection locked="0"/>
    </xf>
    <xf numFmtId="0" fontId="15" fillId="4" borderId="0" xfId="0" applyFont="1" applyFill="1" applyAlignment="1">
      <alignment vertical="center"/>
    </xf>
    <xf numFmtId="0" fontId="16" fillId="8" borderId="283" xfId="0" applyFont="1" applyFill="1" applyBorder="1" applyAlignment="1">
      <alignment horizontal="left" vertical="center"/>
    </xf>
    <xf numFmtId="0" fontId="16" fillId="8" borderId="95" xfId="0" applyFont="1" applyFill="1" applyBorder="1" applyAlignment="1">
      <alignment horizontal="center" vertical="center"/>
    </xf>
    <xf numFmtId="0" fontId="0" fillId="4" borderId="352" xfId="0" applyFill="1" applyBorder="1" applyAlignment="1">
      <alignment vertical="center"/>
    </xf>
    <xf numFmtId="0" fontId="16" fillId="4" borderId="285" xfId="0" applyFont="1" applyFill="1" applyBorder="1" applyAlignment="1">
      <alignment horizontal="left" vertical="center"/>
    </xf>
    <xf numFmtId="0" fontId="16" fillId="0" borderId="86" xfId="0" applyFont="1" applyBorder="1" applyAlignment="1">
      <alignment horizontal="center" vertical="center"/>
    </xf>
    <xf numFmtId="0" fontId="16" fillId="8" borderId="95" xfId="0" applyFont="1" applyFill="1" applyBorder="1" applyAlignment="1">
      <alignment horizontal="right" vertical="center"/>
    </xf>
    <xf numFmtId="0" fontId="16" fillId="0" borderId="86" xfId="0" applyFont="1" applyBorder="1" applyAlignment="1">
      <alignment horizontal="right" vertical="center"/>
    </xf>
    <xf numFmtId="0" fontId="16" fillId="8" borderId="285" xfId="0" applyFont="1" applyFill="1" applyBorder="1" applyAlignment="1">
      <alignment horizontal="left" vertical="center"/>
    </xf>
    <xf numFmtId="0" fontId="16" fillId="8" borderId="86" xfId="0" applyFont="1" applyFill="1" applyBorder="1" applyAlignment="1">
      <alignment horizontal="right" vertical="center"/>
    </xf>
    <xf numFmtId="0" fontId="0" fillId="0" borderId="177" xfId="0" applyFill="1" applyBorder="1" applyAlignment="1" applyProtection="1">
      <alignment horizontal="left" vertical="center"/>
    </xf>
    <xf numFmtId="0" fontId="64" fillId="0" borderId="177" xfId="0" applyFont="1" applyFill="1" applyBorder="1" applyAlignment="1" applyProtection="1">
      <alignment horizontal="center" vertical="center"/>
    </xf>
    <xf numFmtId="0" fontId="0" fillId="0" borderId="177" xfId="0" applyFill="1" applyBorder="1" applyAlignment="1" applyProtection="1">
      <alignment horizontal="center" vertical="center"/>
    </xf>
    <xf numFmtId="0" fontId="30" fillId="0" borderId="93" xfId="0" applyFont="1" applyBorder="1" applyAlignment="1" applyProtection="1">
      <alignment horizontal="center" vertical="center" wrapText="1"/>
    </xf>
    <xf numFmtId="43" fontId="74" fillId="25" borderId="357" xfId="5" applyFont="1" applyFill="1" applyBorder="1" applyAlignment="1" applyProtection="1">
      <alignment horizontal="center" vertical="center"/>
    </xf>
    <xf numFmtId="43" fontId="69" fillId="25" borderId="357" xfId="5" applyFont="1" applyFill="1" applyBorder="1" applyAlignment="1" applyProtection="1">
      <alignment horizontal="center" vertical="center"/>
    </xf>
    <xf numFmtId="43" fontId="10" fillId="25" borderId="357" xfId="5" applyFont="1" applyFill="1" applyBorder="1" applyAlignment="1" applyProtection="1">
      <alignment horizontal="center" vertical="center"/>
    </xf>
    <xf numFmtId="43" fontId="17" fillId="25" borderId="357" xfId="5" applyFont="1" applyFill="1" applyBorder="1" applyAlignment="1" applyProtection="1">
      <alignment horizontal="left" vertical="center"/>
    </xf>
    <xf numFmtId="43" fontId="69" fillId="25" borderId="357" xfId="5" applyFont="1" applyFill="1" applyBorder="1" applyAlignment="1" applyProtection="1">
      <alignment horizontal="left" vertical="center"/>
    </xf>
    <xf numFmtId="43" fontId="10" fillId="25" borderId="357" xfId="5" applyFont="1" applyFill="1" applyBorder="1" applyAlignment="1" applyProtection="1">
      <alignment horizontal="left" vertical="center"/>
    </xf>
    <xf numFmtId="43" fontId="17" fillId="25" borderId="357" xfId="5" applyFont="1" applyFill="1" applyBorder="1" applyAlignment="1" applyProtection="1">
      <alignment horizontal="left" vertical="center" wrapText="1"/>
    </xf>
    <xf numFmtId="43" fontId="74" fillId="0" borderId="357" xfId="5" applyFont="1" applyFill="1" applyBorder="1" applyAlignment="1" applyProtection="1">
      <alignment horizontal="center" vertical="center"/>
    </xf>
    <xf numFmtId="43" fontId="69" fillId="0" borderId="357" xfId="5" applyFont="1" applyFill="1" applyBorder="1" applyAlignment="1" applyProtection="1">
      <alignment horizontal="center" vertical="center"/>
    </xf>
    <xf numFmtId="43" fontId="10" fillId="0" borderId="357" xfId="5" applyFont="1" applyFill="1" applyBorder="1" applyAlignment="1" applyProtection="1">
      <alignment horizontal="center" vertical="center"/>
    </xf>
    <xf numFmtId="43" fontId="17" fillId="25" borderId="357" xfId="5" applyFont="1" applyFill="1" applyBorder="1" applyAlignment="1" applyProtection="1">
      <alignment horizontal="center" vertical="center" wrapText="1"/>
    </xf>
    <xf numFmtId="0" fontId="16" fillId="8" borderId="282" xfId="0" applyFont="1" applyFill="1" applyBorder="1" applyAlignment="1">
      <alignment horizontal="left" vertical="center"/>
    </xf>
    <xf numFmtId="0" fontId="16" fillId="0" borderId="284" xfId="0" applyFont="1" applyBorder="1" applyAlignment="1">
      <alignment horizontal="left" vertical="center"/>
    </xf>
    <xf numFmtId="0" fontId="16" fillId="8" borderId="284" xfId="0" applyFont="1" applyFill="1" applyBorder="1" applyAlignment="1" applyProtection="1">
      <alignment horizontal="left" vertical="center"/>
    </xf>
    <xf numFmtId="0" fontId="16" fillId="0" borderId="284" xfId="0" applyFont="1" applyFill="1" applyBorder="1" applyAlignment="1" applyProtection="1">
      <alignment horizontal="left" vertical="center"/>
    </xf>
    <xf numFmtId="0" fontId="16" fillId="0" borderId="286" xfId="0" applyFont="1" applyFill="1" applyBorder="1" applyAlignment="1" applyProtection="1">
      <alignment horizontal="left" vertical="center"/>
    </xf>
    <xf numFmtId="0" fontId="16" fillId="0" borderId="442" xfId="0" applyFont="1" applyFill="1" applyBorder="1" applyAlignment="1" applyProtection="1">
      <alignment horizontal="left" vertical="center"/>
    </xf>
    <xf numFmtId="0" fontId="16" fillId="8" borderId="284" xfId="0" applyFont="1" applyFill="1" applyBorder="1" applyAlignment="1">
      <alignment horizontal="left" vertical="center"/>
    </xf>
    <xf numFmtId="0" fontId="17" fillId="8" borderId="91" xfId="0" applyFont="1" applyFill="1" applyBorder="1" applyAlignment="1" applyProtection="1">
      <alignment vertical="center"/>
      <protection locked="0"/>
    </xf>
    <xf numFmtId="0" fontId="17" fillId="0" borderId="88" xfId="0" applyFont="1" applyBorder="1" applyAlignment="1" applyProtection="1">
      <alignment vertical="center"/>
      <protection locked="0"/>
    </xf>
    <xf numFmtId="0" fontId="17" fillId="8" borderId="88" xfId="0" applyFont="1" applyFill="1" applyBorder="1" applyAlignment="1" applyProtection="1">
      <alignment vertical="center"/>
      <protection locked="0"/>
    </xf>
    <xf numFmtId="0" fontId="17" fillId="0" borderId="88" xfId="0" applyFont="1" applyFill="1" applyBorder="1" applyAlignment="1" applyProtection="1">
      <alignment vertical="center"/>
      <protection locked="0"/>
    </xf>
    <xf numFmtId="0" fontId="17" fillId="8" borderId="94" xfId="0" applyFont="1" applyFill="1" applyBorder="1" applyAlignment="1" applyProtection="1">
      <alignment vertical="center"/>
      <protection locked="0"/>
    </xf>
    <xf numFmtId="0" fontId="17" fillId="8" borderId="95" xfId="0" applyFont="1" applyFill="1" applyBorder="1" applyAlignment="1" applyProtection="1">
      <alignment horizontal="left" vertical="center"/>
      <protection locked="0"/>
    </xf>
    <xf numFmtId="0" fontId="17" fillId="0" borderId="86" xfId="0" applyFont="1" applyBorder="1" applyAlignment="1" applyProtection="1">
      <alignment horizontal="left" vertical="center"/>
      <protection locked="0"/>
    </xf>
    <xf numFmtId="0" fontId="17" fillId="8" borderId="86" xfId="0" applyFont="1" applyFill="1" applyBorder="1" applyAlignment="1" applyProtection="1">
      <alignment horizontal="left" vertical="center"/>
      <protection locked="0"/>
    </xf>
    <xf numFmtId="0" fontId="17" fillId="0" borderId="86" xfId="0" applyFont="1" applyFill="1" applyBorder="1" applyAlignment="1" applyProtection="1">
      <alignment horizontal="left" vertical="center"/>
      <protection locked="0"/>
    </xf>
    <xf numFmtId="0" fontId="17" fillId="8" borderId="96" xfId="0" applyFont="1" applyFill="1" applyBorder="1" applyAlignment="1" applyProtection="1">
      <alignment horizontal="left" vertical="center"/>
      <protection locked="0"/>
    </xf>
    <xf numFmtId="0" fontId="0" fillId="0" borderId="115" xfId="0" applyFill="1" applyBorder="1" applyAlignment="1" applyProtection="1">
      <alignment vertical="center"/>
    </xf>
    <xf numFmtId="0" fontId="51" fillId="8" borderId="88" xfId="0" applyFont="1" applyFill="1" applyBorder="1" applyAlignment="1" applyProtection="1">
      <alignment vertical="center"/>
    </xf>
    <xf numFmtId="0" fontId="51" fillId="0" borderId="88" xfId="0" applyFont="1" applyBorder="1" applyAlignment="1" applyProtection="1">
      <alignment vertical="center"/>
    </xf>
    <xf numFmtId="0" fontId="51" fillId="4" borderId="88" xfId="0" applyFont="1" applyFill="1" applyBorder="1" applyAlignment="1" applyProtection="1">
      <alignment vertical="center"/>
    </xf>
    <xf numFmtId="0" fontId="0" fillId="0" borderId="444" xfId="0" applyBorder="1" applyAlignment="1" applyProtection="1">
      <alignment vertical="center"/>
    </xf>
    <xf numFmtId="0" fontId="0" fillId="0" borderId="445" xfId="0" applyBorder="1" applyAlignment="1" applyProtection="1">
      <alignment vertical="center"/>
    </xf>
    <xf numFmtId="0" fontId="16" fillId="8" borderId="88" xfId="0" applyFont="1" applyFill="1" applyBorder="1" applyAlignment="1" applyProtection="1">
      <alignment vertical="center"/>
    </xf>
    <xf numFmtId="0" fontId="16" fillId="0" borderId="88" xfId="0" applyFont="1" applyFill="1" applyBorder="1" applyAlignment="1" applyProtection="1">
      <alignment vertical="center"/>
    </xf>
    <xf numFmtId="0" fontId="16" fillId="4" borderId="88" xfId="0" applyFont="1" applyFill="1" applyBorder="1" applyAlignment="1" applyProtection="1">
      <alignment vertical="center"/>
    </xf>
    <xf numFmtId="0" fontId="16" fillId="0" borderId="93" xfId="0" applyFont="1" applyFill="1" applyBorder="1" applyAlignment="1" applyProtection="1">
      <alignment horizontal="left" vertical="center"/>
    </xf>
    <xf numFmtId="0" fontId="16" fillId="0" borderId="94" xfId="0" applyFont="1" applyFill="1" applyBorder="1" applyAlignment="1" applyProtection="1">
      <alignment horizontal="left" vertical="center"/>
    </xf>
    <xf numFmtId="1" fontId="17" fillId="10" borderId="357" xfId="0" applyNumberFormat="1" applyFont="1" applyFill="1" applyBorder="1" applyAlignment="1" applyProtection="1">
      <alignment horizontal="center" vertical="center"/>
    </xf>
    <xf numFmtId="43" fontId="10" fillId="10" borderId="357" xfId="5" applyNumberFormat="1" applyFont="1" applyFill="1" applyBorder="1" applyAlignment="1" applyProtection="1">
      <alignment horizontal="center" vertical="center"/>
      <protection locked="0"/>
    </xf>
    <xf numFmtId="43" fontId="17" fillId="10" borderId="357" xfId="5" applyFont="1" applyFill="1" applyBorder="1" applyAlignment="1" applyProtection="1">
      <alignment horizontal="center" vertical="center"/>
    </xf>
    <xf numFmtId="2" fontId="17" fillId="10" borderId="357" xfId="5" applyNumberFormat="1" applyFont="1" applyFill="1" applyBorder="1" applyAlignment="1" applyProtection="1">
      <alignment horizontal="center" vertical="center"/>
      <protection locked="0"/>
    </xf>
    <xf numFmtId="43" fontId="74" fillId="10" borderId="357" xfId="5" applyFont="1" applyFill="1" applyBorder="1" applyAlignment="1" applyProtection="1">
      <alignment horizontal="center" vertical="center"/>
    </xf>
    <xf numFmtId="43" fontId="69" fillId="10" borderId="357" xfId="5" applyFont="1" applyFill="1" applyBorder="1" applyAlignment="1" applyProtection="1">
      <alignment horizontal="center" vertical="center"/>
    </xf>
    <xf numFmtId="43" fontId="10" fillId="10" borderId="357" xfId="5" applyFont="1" applyFill="1" applyBorder="1" applyAlignment="1" applyProtection="1">
      <alignment horizontal="center" vertical="center"/>
    </xf>
    <xf numFmtId="43" fontId="17" fillId="10" borderId="357" xfId="5" applyFont="1" applyFill="1" applyBorder="1" applyAlignment="1" applyProtection="1">
      <alignment horizontal="center" vertical="center"/>
      <protection locked="0"/>
    </xf>
    <xf numFmtId="10" fontId="31" fillId="0" borderId="0" xfId="2" applyNumberFormat="1" applyFont="1" applyFill="1" applyBorder="1" applyAlignment="1" applyProtection="1">
      <alignment horizontal="center" vertical="center"/>
    </xf>
    <xf numFmtId="10" fontId="31" fillId="0" borderId="0" xfId="2" applyNumberFormat="1" applyFont="1" applyBorder="1" applyAlignment="1" applyProtection="1">
      <alignment horizontal="center" vertical="center"/>
    </xf>
    <xf numFmtId="10" fontId="0" fillId="4" borderId="0" xfId="0" applyNumberFormat="1" applyFill="1" applyProtection="1"/>
    <xf numFmtId="43" fontId="17" fillId="42" borderId="357" xfId="5" applyFont="1" applyFill="1" applyBorder="1" applyAlignment="1" applyProtection="1">
      <alignment horizontal="left" vertical="center"/>
      <protection locked="0"/>
    </xf>
    <xf numFmtId="0" fontId="10" fillId="42" borderId="0" xfId="0" applyFont="1" applyFill="1" applyBorder="1" applyAlignment="1" applyProtection="1">
      <alignment horizontal="left"/>
    </xf>
    <xf numFmtId="43" fontId="74" fillId="4" borderId="357" xfId="5" applyFont="1" applyFill="1" applyBorder="1" applyAlignment="1" applyProtection="1">
      <alignment horizontal="center" vertical="center"/>
    </xf>
    <xf numFmtId="0" fontId="17" fillId="0" borderId="177" xfId="0" applyFont="1" applyFill="1" applyBorder="1" applyAlignment="1">
      <alignment horizontal="center" vertical="center"/>
    </xf>
    <xf numFmtId="0" fontId="10" fillId="0" borderId="177" xfId="0" applyFont="1" applyBorder="1" applyAlignment="1">
      <alignment horizontal="left"/>
    </xf>
    <xf numFmtId="0" fontId="10" fillId="0" borderId="177" xfId="0" applyFont="1" applyFill="1" applyBorder="1" applyAlignment="1">
      <alignment horizontal="left" vertical="center"/>
    </xf>
    <xf numFmtId="0" fontId="10" fillId="0" borderId="177" xfId="0" applyFont="1" applyFill="1" applyBorder="1" applyAlignment="1">
      <alignment horizontal="left"/>
    </xf>
    <xf numFmtId="1" fontId="19" fillId="43" borderId="356" xfId="0" applyNumberFormat="1" applyFont="1" applyFill="1" applyBorder="1" applyAlignment="1" applyProtection="1">
      <alignment horizontal="center" vertical="center" wrapText="1"/>
    </xf>
    <xf numFmtId="43" fontId="74" fillId="11" borderId="356" xfId="5" applyFont="1" applyFill="1" applyBorder="1" applyAlignment="1" applyProtection="1">
      <alignment horizontal="center" vertical="center" wrapText="1"/>
    </xf>
    <xf numFmtId="43" fontId="67" fillId="11" borderId="356" xfId="5" applyFont="1" applyFill="1" applyBorder="1" applyAlignment="1" applyProtection="1">
      <alignment horizontal="center" vertical="center" wrapText="1"/>
    </xf>
    <xf numFmtId="43" fontId="57" fillId="11" borderId="356" xfId="5" applyFont="1" applyFill="1" applyBorder="1" applyAlignment="1" applyProtection="1">
      <alignment horizontal="center" vertical="center" wrapText="1"/>
    </xf>
    <xf numFmtId="0" fontId="0" fillId="0" borderId="0" xfId="0" applyAlignment="1">
      <alignment horizontal="left" indent="1"/>
    </xf>
    <xf numFmtId="0" fontId="0" fillId="0" borderId="0" xfId="0" applyAlignment="1">
      <alignment horizontal="left" indent="2"/>
    </xf>
    <xf numFmtId="4" fontId="0" fillId="0" borderId="0" xfId="0" applyNumberFormat="1"/>
    <xf numFmtId="0" fontId="0" fillId="0" borderId="0" xfId="0" applyAlignment="1">
      <alignment horizontal="left" indent="3"/>
    </xf>
    <xf numFmtId="0" fontId="0" fillId="0" borderId="0" xfId="0" applyAlignment="1" applyProtection="1">
      <alignment vertical="center" wrapText="1"/>
    </xf>
    <xf numFmtId="0" fontId="6" fillId="0" borderId="0" xfId="0" applyFont="1" applyAlignment="1" applyProtection="1">
      <alignment vertical="center"/>
    </xf>
    <xf numFmtId="0" fontId="85" fillId="0" borderId="0" xfId="0" applyFont="1" applyAlignment="1" applyProtection="1">
      <alignment vertical="center"/>
      <protection locked="0"/>
    </xf>
    <xf numFmtId="0" fontId="85" fillId="0" borderId="0" xfId="0" applyFont="1" applyAlignment="1" applyProtection="1">
      <alignment vertical="center" wrapText="1"/>
      <protection locked="0"/>
    </xf>
    <xf numFmtId="10" fontId="72" fillId="0" borderId="448" xfId="2" applyNumberFormat="1" applyFont="1" applyFill="1" applyBorder="1" applyAlignment="1" applyProtection="1">
      <alignment horizontal="right" vertical="center"/>
      <protection locked="0"/>
    </xf>
    <xf numFmtId="10" fontId="72" fillId="0" borderId="411" xfId="2" applyNumberFormat="1" applyFont="1" applyFill="1" applyBorder="1" applyAlignment="1" applyProtection="1">
      <alignment horizontal="right" vertical="center"/>
      <protection locked="0"/>
    </xf>
    <xf numFmtId="0" fontId="17" fillId="4" borderId="177" xfId="0" applyFont="1" applyFill="1" applyBorder="1" applyAlignment="1">
      <alignment horizontal="center" vertical="center"/>
    </xf>
    <xf numFmtId="0" fontId="10" fillId="4" borderId="177" xfId="0" applyFont="1" applyFill="1" applyBorder="1" applyAlignment="1">
      <alignment horizontal="left"/>
    </xf>
    <xf numFmtId="0" fontId="10" fillId="4" borderId="177" xfId="0" applyFont="1" applyFill="1" applyBorder="1" applyAlignment="1">
      <alignment horizontal="left" vertical="center"/>
    </xf>
    <xf numFmtId="0" fontId="10" fillId="4" borderId="357" xfId="0" applyFont="1" applyFill="1" applyBorder="1" applyAlignment="1">
      <alignment horizontal="left"/>
    </xf>
    <xf numFmtId="1" fontId="17" fillId="4" borderId="357" xfId="0" applyNumberFormat="1" applyFont="1" applyFill="1" applyBorder="1" applyAlignment="1" applyProtection="1">
      <alignment horizontal="left" vertical="center"/>
      <protection locked="0"/>
    </xf>
    <xf numFmtId="43" fontId="17" fillId="4" borderId="357" xfId="5" applyFont="1" applyFill="1" applyBorder="1" applyAlignment="1" applyProtection="1">
      <alignment horizontal="center" vertical="center"/>
    </xf>
    <xf numFmtId="43" fontId="10" fillId="4" borderId="357" xfId="5" applyFont="1" applyFill="1" applyBorder="1" applyAlignment="1" applyProtection="1">
      <alignment horizontal="center" vertical="center"/>
      <protection locked="0"/>
    </xf>
    <xf numFmtId="43" fontId="17" fillId="4" borderId="357" xfId="5" applyFont="1" applyFill="1" applyBorder="1" applyAlignment="1" applyProtection="1">
      <alignment horizontal="center" vertical="center"/>
      <protection locked="0"/>
    </xf>
    <xf numFmtId="43" fontId="17" fillId="4" borderId="357" xfId="5" applyFont="1" applyFill="1" applyBorder="1" applyAlignment="1" applyProtection="1">
      <alignment horizontal="left" vertical="center"/>
    </xf>
    <xf numFmtId="0" fontId="10" fillId="4" borderId="0" xfId="7" applyFont="1" applyFill="1" applyBorder="1" applyAlignment="1" applyProtection="1">
      <alignment vertical="center"/>
      <protection locked="0"/>
    </xf>
    <xf numFmtId="0" fontId="0" fillId="0" borderId="449" xfId="0" applyBorder="1" applyAlignment="1">
      <alignment horizontal="center"/>
    </xf>
    <xf numFmtId="0" fontId="0" fillId="0" borderId="450" xfId="0" applyBorder="1"/>
    <xf numFmtId="0" fontId="0" fillId="0" borderId="451" xfId="0" applyBorder="1" applyAlignment="1">
      <alignment horizontal="center"/>
    </xf>
    <xf numFmtId="0" fontId="0" fillId="40" borderId="452" xfId="0" applyFill="1" applyBorder="1"/>
    <xf numFmtId="0" fontId="0" fillId="40" borderId="453" xfId="0" applyFill="1" applyBorder="1" applyAlignment="1">
      <alignment horizontal="center"/>
    </xf>
    <xf numFmtId="0" fontId="0" fillId="40" borderId="452" xfId="0" applyFill="1" applyBorder="1" applyAlignment="1">
      <alignment horizontal="left"/>
    </xf>
    <xf numFmtId="0" fontId="0" fillId="38" borderId="452" xfId="0" applyFill="1" applyBorder="1"/>
    <xf numFmtId="0" fontId="0" fillId="38" borderId="452" xfId="0" applyFill="1" applyBorder="1" applyAlignment="1">
      <alignment horizontal="center"/>
    </xf>
    <xf numFmtId="0" fontId="0" fillId="44" borderId="454" xfId="0" applyFill="1" applyBorder="1"/>
    <xf numFmtId="0" fontId="0" fillId="44" borderId="452" xfId="0" applyFill="1" applyBorder="1" applyAlignment="1">
      <alignment horizontal="center"/>
    </xf>
    <xf numFmtId="0" fontId="0" fillId="44" borderId="452" xfId="0" applyFill="1" applyBorder="1"/>
    <xf numFmtId="0" fontId="6" fillId="45" borderId="0" xfId="0" applyFont="1" applyFill="1"/>
    <xf numFmtId="0" fontId="0" fillId="0" borderId="455" xfId="0" applyBorder="1" applyAlignment="1">
      <alignment horizontal="center"/>
    </xf>
    <xf numFmtId="0" fontId="0" fillId="0" borderId="177" xfId="0" applyBorder="1"/>
    <xf numFmtId="0" fontId="0" fillId="0" borderId="456" xfId="0" applyBorder="1" applyAlignment="1">
      <alignment horizontal="center"/>
    </xf>
    <xf numFmtId="0" fontId="0" fillId="40" borderId="450" xfId="0" applyFill="1" applyBorder="1"/>
    <xf numFmtId="0" fontId="0" fillId="40" borderId="450" xfId="0" applyFill="1" applyBorder="1" applyAlignment="1">
      <alignment horizontal="center"/>
    </xf>
    <xf numFmtId="0" fontId="0" fillId="40" borderId="450" xfId="0" applyFill="1" applyBorder="1" applyAlignment="1">
      <alignment horizontal="left"/>
    </xf>
    <xf numFmtId="0" fontId="0" fillId="38" borderId="450" xfId="0" applyFill="1" applyBorder="1"/>
    <xf numFmtId="0" fontId="0" fillId="38" borderId="450" xfId="0" applyFill="1" applyBorder="1" applyAlignment="1">
      <alignment horizontal="center"/>
    </xf>
    <xf numFmtId="0" fontId="0" fillId="40" borderId="177" xfId="0" applyFill="1" applyBorder="1"/>
    <xf numFmtId="0" fontId="0" fillId="40" borderId="177" xfId="0" applyFill="1" applyBorder="1" applyAlignment="1">
      <alignment horizontal="center"/>
    </xf>
    <xf numFmtId="0" fontId="0" fillId="40" borderId="177" xfId="0" applyFill="1" applyBorder="1" applyAlignment="1">
      <alignment horizontal="left"/>
    </xf>
    <xf numFmtId="0" fontId="0" fillId="38" borderId="177" xfId="0" applyFill="1" applyBorder="1"/>
    <xf numFmtId="0" fontId="0" fillId="38" borderId="177" xfId="0" applyFill="1" applyBorder="1" applyAlignment="1">
      <alignment horizontal="center"/>
    </xf>
    <xf numFmtId="0" fontId="0" fillId="44" borderId="177" xfId="0" applyFill="1" applyBorder="1"/>
    <xf numFmtId="0" fontId="0" fillId="44" borderId="177" xfId="0" applyFill="1" applyBorder="1" applyAlignment="1">
      <alignment horizontal="center"/>
    </xf>
    <xf numFmtId="0" fontId="0" fillId="0" borderId="256" xfId="0" applyBorder="1"/>
    <xf numFmtId="0" fontId="0" fillId="0" borderId="457" xfId="0" applyBorder="1" applyAlignment="1">
      <alignment horizontal="center"/>
    </xf>
    <xf numFmtId="0" fontId="0" fillId="0" borderId="0" xfId="0" applyAlignment="1">
      <alignment horizontal="center"/>
    </xf>
    <xf numFmtId="0" fontId="0" fillId="0" borderId="458" xfId="0" applyBorder="1"/>
    <xf numFmtId="0" fontId="0" fillId="0" borderId="459" xfId="0" applyBorder="1" applyAlignment="1">
      <alignment horizontal="center"/>
    </xf>
    <xf numFmtId="0" fontId="0" fillId="0" borderId="460" xfId="0" applyBorder="1" applyAlignment="1">
      <alignment horizontal="center"/>
    </xf>
    <xf numFmtId="0" fontId="0" fillId="0" borderId="437" xfId="0" applyBorder="1"/>
    <xf numFmtId="0" fontId="0" fillId="0" borderId="0" xfId="0" applyBorder="1"/>
    <xf numFmtId="0" fontId="0" fillId="0" borderId="0" xfId="0" applyBorder="1" applyAlignment="1">
      <alignment horizontal="center"/>
    </xf>
    <xf numFmtId="0" fontId="0" fillId="0" borderId="437" xfId="0" applyBorder="1" applyAlignment="1">
      <alignment horizontal="center"/>
    </xf>
    <xf numFmtId="0" fontId="0" fillId="0" borderId="461" xfId="0" applyBorder="1" applyAlignment="1">
      <alignment horizontal="center"/>
    </xf>
    <xf numFmtId="0" fontId="0" fillId="0" borderId="439" xfId="0" applyBorder="1"/>
    <xf numFmtId="0" fontId="0" fillId="0" borderId="462" xfId="0" applyBorder="1" applyAlignment="1">
      <alignment horizontal="center"/>
    </xf>
    <xf numFmtId="0" fontId="86" fillId="0" borderId="460" xfId="0" applyFont="1" applyFill="1" applyBorder="1" applyAlignment="1">
      <alignment horizontal="left" vertical="center"/>
    </xf>
    <xf numFmtId="0" fontId="86" fillId="0" borderId="0" xfId="0" applyFont="1" applyFill="1" applyBorder="1" applyAlignment="1">
      <alignment horizontal="left" vertical="center"/>
    </xf>
    <xf numFmtId="0" fontId="88" fillId="0" borderId="437" xfId="0" applyFont="1" applyBorder="1" applyAlignment="1">
      <alignment vertical="center"/>
    </xf>
    <xf numFmtId="0" fontId="88" fillId="0" borderId="0" xfId="0" applyFont="1" applyAlignment="1">
      <alignment vertical="center"/>
    </xf>
    <xf numFmtId="0" fontId="4" fillId="3" borderId="177" xfId="0" applyFont="1" applyFill="1" applyBorder="1" applyAlignment="1">
      <alignment horizontal="center"/>
    </xf>
    <xf numFmtId="0" fontId="10" fillId="0" borderId="0" xfId="0" applyFont="1" applyBorder="1" applyAlignment="1">
      <alignment horizontal="left" vertical="center" wrapText="1"/>
    </xf>
    <xf numFmtId="0" fontId="0" fillId="0" borderId="439" xfId="0" applyBorder="1" applyAlignment="1">
      <alignment horizontal="center"/>
    </xf>
    <xf numFmtId="0" fontId="67" fillId="3" borderId="460" xfId="0" applyFont="1" applyFill="1" applyBorder="1" applyAlignment="1">
      <alignment horizontal="left" vertical="center" wrapText="1"/>
    </xf>
    <xf numFmtId="0" fontId="4" fillId="3" borderId="460" xfId="0" applyFont="1" applyFill="1" applyBorder="1" applyAlignment="1">
      <alignment horizontal="center"/>
    </xf>
    <xf numFmtId="0" fontId="4" fillId="3" borderId="177" xfId="0" applyFont="1" applyFill="1" applyBorder="1" applyAlignment="1" applyProtection="1">
      <alignment horizontal="left"/>
    </xf>
    <xf numFmtId="0" fontId="4" fillId="3" borderId="177" xfId="0" applyFont="1" applyFill="1" applyBorder="1" applyAlignment="1" applyProtection="1">
      <alignment horizontal="center"/>
    </xf>
    <xf numFmtId="0" fontId="4" fillId="3" borderId="256" xfId="0" applyFont="1" applyFill="1" applyBorder="1"/>
    <xf numFmtId="0" fontId="4" fillId="3" borderId="256" xfId="0" applyFont="1" applyFill="1" applyBorder="1" applyAlignment="1">
      <alignment horizontal="center"/>
    </xf>
    <xf numFmtId="0" fontId="88" fillId="4" borderId="455" xfId="0" applyFont="1" applyFill="1" applyBorder="1" applyAlignment="1">
      <alignment horizontal="center" vertical="center"/>
    </xf>
    <xf numFmtId="0" fontId="88" fillId="21" borderId="177" xfId="0" applyFont="1" applyFill="1" applyBorder="1" applyAlignment="1" applyProtection="1">
      <alignment vertical="center"/>
      <protection locked="0"/>
    </xf>
    <xf numFmtId="0" fontId="88" fillId="4" borderId="0" xfId="0" applyFont="1" applyFill="1" applyBorder="1" applyAlignment="1" applyProtection="1">
      <alignment horizontal="left"/>
    </xf>
    <xf numFmtId="0" fontId="88" fillId="4" borderId="0" xfId="0" applyFont="1" applyFill="1" applyBorder="1" applyAlignment="1" applyProtection="1">
      <alignment horizontal="center"/>
    </xf>
    <xf numFmtId="0" fontId="88" fillId="21" borderId="455" xfId="0" applyFont="1" applyFill="1" applyBorder="1" applyAlignment="1" applyProtection="1">
      <alignment horizontal="left" vertical="center"/>
      <protection locked="0"/>
    </xf>
    <xf numFmtId="0" fontId="31" fillId="0" borderId="0" xfId="0" applyFont="1" applyFill="1" applyBorder="1" applyAlignment="1" applyProtection="1">
      <alignment horizontal="center"/>
      <protection locked="0"/>
    </xf>
    <xf numFmtId="0" fontId="15" fillId="0" borderId="0" xfId="0" applyFont="1" applyFill="1" applyBorder="1" applyAlignment="1" applyProtection="1">
      <alignment horizontal="center" vertical="center"/>
    </xf>
    <xf numFmtId="0" fontId="0" fillId="0" borderId="99" xfId="0" applyBorder="1" applyProtection="1"/>
    <xf numFmtId="0" fontId="0" fillId="0" borderId="466" xfId="0" applyBorder="1" applyProtection="1"/>
    <xf numFmtId="10" fontId="31" fillId="12" borderId="378" xfId="2" applyNumberFormat="1" applyFont="1" applyFill="1" applyBorder="1" applyProtection="1">
      <protection locked="0"/>
    </xf>
    <xf numFmtId="0" fontId="31" fillId="12" borderId="0" xfId="0" applyFont="1" applyFill="1" applyBorder="1" applyAlignment="1" applyProtection="1">
      <alignment horizontal="center"/>
      <protection locked="0"/>
    </xf>
    <xf numFmtId="0" fontId="31" fillId="12" borderId="376" xfId="0" applyFont="1" applyFill="1" applyBorder="1" applyAlignment="1" applyProtection="1">
      <alignment horizontal="center"/>
      <protection locked="0"/>
    </xf>
    <xf numFmtId="0" fontId="31" fillId="0" borderId="376" xfId="0" applyFont="1" applyFill="1" applyBorder="1" applyAlignment="1" applyProtection="1">
      <alignment horizontal="center"/>
      <protection locked="0"/>
    </xf>
    <xf numFmtId="0" fontId="31" fillId="12" borderId="378" xfId="0" applyFont="1" applyFill="1" applyBorder="1" applyAlignment="1" applyProtection="1">
      <alignment horizontal="center"/>
      <protection locked="0"/>
    </xf>
    <xf numFmtId="0" fontId="31" fillId="12" borderId="379" xfId="0" applyFont="1" applyFill="1" applyBorder="1" applyAlignment="1" applyProtection="1">
      <alignment horizontal="center"/>
      <protection locked="0"/>
    </xf>
    <xf numFmtId="166" fontId="31" fillId="12" borderId="177" xfId="5" applyNumberFormat="1" applyFont="1" applyFill="1" applyBorder="1" applyProtection="1">
      <protection locked="0"/>
    </xf>
    <xf numFmtId="166" fontId="31" fillId="12" borderId="455" xfId="5" applyNumberFormat="1" applyFont="1" applyFill="1" applyBorder="1" applyProtection="1">
      <protection locked="0"/>
    </xf>
    <xf numFmtId="10" fontId="31" fillId="0" borderId="177" xfId="2" applyNumberFormat="1" applyFont="1" applyFill="1" applyBorder="1" applyAlignment="1" applyProtection="1">
      <alignment vertical="center" wrapText="1"/>
      <protection locked="0"/>
    </xf>
    <xf numFmtId="166" fontId="31" fillId="12" borderId="177" xfId="5" applyNumberFormat="1" applyFont="1" applyFill="1" applyBorder="1" applyAlignment="1" applyProtection="1">
      <protection locked="0"/>
    </xf>
    <xf numFmtId="0" fontId="49" fillId="0" borderId="476" xfId="0" applyFont="1" applyFill="1" applyBorder="1" applyAlignment="1" applyProtection="1">
      <alignment horizontal="left" vertical="center"/>
    </xf>
    <xf numFmtId="0" fontId="31" fillId="0" borderId="475" xfId="0" applyFont="1" applyFill="1" applyBorder="1" applyAlignment="1" applyProtection="1"/>
    <xf numFmtId="0" fontId="26" fillId="12" borderId="177" xfId="0" applyFont="1" applyFill="1" applyBorder="1" applyAlignment="1" applyProtection="1">
      <alignment horizontal="center"/>
      <protection locked="0"/>
    </xf>
    <xf numFmtId="10" fontId="92" fillId="10" borderId="325" xfId="2" applyNumberFormat="1" applyFont="1" applyFill="1" applyBorder="1" applyAlignment="1" applyProtection="1">
      <alignment horizontal="right" vertical="center"/>
      <protection locked="0"/>
    </xf>
    <xf numFmtId="10" fontId="92" fillId="10" borderId="329" xfId="2" applyNumberFormat="1" applyFont="1" applyFill="1" applyBorder="1" applyAlignment="1" applyProtection="1">
      <alignment horizontal="right" vertical="center"/>
      <protection locked="0"/>
    </xf>
    <xf numFmtId="10" fontId="92" fillId="10" borderId="332" xfId="2" applyNumberFormat="1" applyFont="1" applyFill="1" applyBorder="1" applyAlignment="1" applyProtection="1">
      <alignment horizontal="right" vertical="center"/>
      <protection locked="0"/>
    </xf>
    <xf numFmtId="10" fontId="92" fillId="10" borderId="321" xfId="2" applyNumberFormat="1" applyFont="1" applyFill="1" applyBorder="1" applyAlignment="1" applyProtection="1">
      <alignment horizontal="right" vertical="center"/>
      <protection locked="0"/>
    </xf>
    <xf numFmtId="10" fontId="92" fillId="10" borderId="327" xfId="2" applyNumberFormat="1" applyFont="1" applyFill="1" applyBorder="1" applyAlignment="1" applyProtection="1">
      <alignment horizontal="right" vertical="center"/>
      <protection locked="0"/>
    </xf>
    <xf numFmtId="10" fontId="92" fillId="10" borderId="402" xfId="2" applyNumberFormat="1" applyFont="1" applyFill="1" applyBorder="1" applyAlignment="1" applyProtection="1">
      <alignment horizontal="right" vertical="center"/>
      <protection locked="0"/>
    </xf>
    <xf numFmtId="43" fontId="67" fillId="11" borderId="356" xfId="5" applyFont="1" applyFill="1" applyBorder="1" applyAlignment="1" applyProtection="1">
      <alignment horizontal="center" vertical="center" wrapText="1"/>
      <protection locked="0"/>
    </xf>
    <xf numFmtId="0" fontId="22" fillId="0" borderId="370" xfId="0" applyFont="1" applyFill="1" applyBorder="1" applyAlignment="1" applyProtection="1">
      <alignment horizontal="center" vertical="center" wrapText="1"/>
    </xf>
    <xf numFmtId="0" fontId="22" fillId="0" borderId="371" xfId="0" applyFont="1" applyFill="1" applyBorder="1" applyAlignment="1" applyProtection="1">
      <alignment horizontal="center" vertical="center" wrapText="1"/>
    </xf>
    <xf numFmtId="17" fontId="27" fillId="0" borderId="0" xfId="0" applyNumberFormat="1" applyFont="1" applyFill="1" applyBorder="1" applyAlignment="1" applyProtection="1">
      <alignment horizontal="center" vertical="center" wrapText="1"/>
    </xf>
    <xf numFmtId="17" fontId="27" fillId="0" borderId="77" xfId="0" applyNumberFormat="1" applyFont="1" applyFill="1" applyBorder="1" applyAlignment="1" applyProtection="1">
      <alignment horizontal="center" vertical="center" wrapText="1"/>
    </xf>
    <xf numFmtId="17" fontId="27" fillId="0" borderId="466" xfId="0" applyNumberFormat="1" applyFont="1" applyFill="1" applyBorder="1" applyAlignment="1" applyProtection="1">
      <alignment horizontal="center" vertical="center" wrapText="1"/>
    </xf>
    <xf numFmtId="17" fontId="27" fillId="0" borderId="378" xfId="0" applyNumberFormat="1" applyFont="1" applyFill="1" applyBorder="1" applyAlignment="1" applyProtection="1">
      <alignment horizontal="center" vertical="center" wrapText="1"/>
    </xf>
    <xf numFmtId="17" fontId="15" fillId="0" borderId="93" xfId="0" applyNumberFormat="1" applyFont="1" applyFill="1" applyBorder="1" applyAlignment="1" applyProtection="1">
      <alignment horizontal="center" vertical="center" wrapText="1"/>
    </xf>
    <xf numFmtId="0" fontId="58" fillId="4" borderId="0" xfId="0" applyFont="1" applyFill="1" applyBorder="1" applyAlignment="1" applyProtection="1">
      <alignment horizontal="center"/>
    </xf>
    <xf numFmtId="0" fontId="47" fillId="0" borderId="0" xfId="0" applyFont="1" applyBorder="1" applyProtection="1"/>
    <xf numFmtId="0" fontId="47" fillId="4" borderId="0" xfId="0" applyFont="1" applyFill="1" applyBorder="1" applyProtection="1"/>
    <xf numFmtId="0" fontId="31" fillId="0" borderId="8" xfId="0" applyFont="1" applyBorder="1" applyProtection="1"/>
    <xf numFmtId="0" fontId="49" fillId="4" borderId="8" xfId="0" applyFont="1" applyFill="1" applyBorder="1" applyAlignment="1" applyProtection="1">
      <alignment horizontal="center" vertical="center"/>
    </xf>
    <xf numFmtId="0" fontId="6" fillId="4" borderId="0" xfId="0" applyFont="1" applyFill="1" applyProtection="1"/>
    <xf numFmtId="0" fontId="6" fillId="0" borderId="0" xfId="0" applyFont="1" applyProtection="1"/>
    <xf numFmtId="0" fontId="6" fillId="0" borderId="37" xfId="0" applyFont="1" applyBorder="1" applyProtection="1"/>
    <xf numFmtId="0" fontId="6" fillId="0" borderId="40" xfId="0" applyFont="1" applyBorder="1" applyProtection="1"/>
    <xf numFmtId="0" fontId="6" fillId="0" borderId="43" xfId="0" applyFont="1" applyBorder="1" applyProtection="1"/>
    <xf numFmtId="0" fontId="6" fillId="0" borderId="8" xfId="0" applyFont="1" applyBorder="1" applyProtection="1"/>
    <xf numFmtId="0" fontId="6" fillId="0" borderId="0" xfId="0" applyFont="1" applyFill="1" applyBorder="1" applyProtection="1"/>
    <xf numFmtId="0" fontId="31" fillId="0" borderId="11" xfId="0" applyFont="1" applyBorder="1" applyProtection="1"/>
    <xf numFmtId="0" fontId="31" fillId="0" borderId="114" xfId="0" applyFont="1" applyBorder="1" applyProtection="1"/>
    <xf numFmtId="0" fontId="0" fillId="0" borderId="107" xfId="0" applyBorder="1" applyProtection="1"/>
    <xf numFmtId="0" fontId="0" fillId="0" borderId="39" xfId="0" applyBorder="1" applyProtection="1"/>
    <xf numFmtId="0" fontId="31" fillId="0" borderId="39" xfId="0" applyFont="1" applyBorder="1" applyProtection="1"/>
    <xf numFmtId="0" fontId="31" fillId="0" borderId="42" xfId="0" applyFont="1" applyBorder="1" applyProtection="1"/>
    <xf numFmtId="170" fontId="49" fillId="0" borderId="478" xfId="0" applyNumberFormat="1" applyFont="1" applyFill="1" applyBorder="1" applyAlignment="1" applyProtection="1">
      <alignment horizontal="center"/>
      <protection locked="0"/>
    </xf>
    <xf numFmtId="0" fontId="49" fillId="0" borderId="68" xfId="0" applyFont="1" applyFill="1" applyBorder="1" applyAlignment="1" applyProtection="1">
      <alignment horizontal="center"/>
      <protection locked="0"/>
    </xf>
    <xf numFmtId="170" fontId="49" fillId="0" borderId="67" xfId="0" applyNumberFormat="1" applyFont="1" applyFill="1" applyBorder="1" applyAlignment="1" applyProtection="1">
      <alignment horizontal="center"/>
      <protection locked="0"/>
    </xf>
    <xf numFmtId="0" fontId="49" fillId="0" borderId="462" xfId="0" applyFont="1" applyFill="1" applyBorder="1" applyAlignment="1" applyProtection="1">
      <alignment horizontal="center" vertical="center"/>
    </xf>
    <xf numFmtId="0" fontId="49" fillId="0" borderId="360" xfId="0" applyFont="1" applyFill="1" applyBorder="1" applyAlignment="1" applyProtection="1">
      <alignment horizontal="center" vertical="center" wrapText="1"/>
    </xf>
    <xf numFmtId="0" fontId="49" fillId="0" borderId="461" xfId="0" applyFont="1" applyFill="1" applyBorder="1" applyAlignment="1" applyProtection="1">
      <alignment horizontal="center" vertical="center" wrapText="1"/>
    </xf>
    <xf numFmtId="0" fontId="49" fillId="0" borderId="459" xfId="0" applyFont="1" applyFill="1" applyBorder="1" applyAlignment="1" applyProtection="1">
      <alignment horizontal="center"/>
      <protection locked="0"/>
    </xf>
    <xf numFmtId="170" fontId="49" fillId="0" borderId="479" xfId="0" applyNumberFormat="1" applyFont="1" applyFill="1" applyBorder="1" applyAlignment="1" applyProtection="1">
      <alignment horizontal="center"/>
      <protection locked="0"/>
    </xf>
    <xf numFmtId="170" fontId="49" fillId="0" borderId="480" xfId="0" applyNumberFormat="1" applyFont="1" applyFill="1" applyBorder="1" applyAlignment="1" applyProtection="1">
      <alignment horizontal="center"/>
      <protection locked="0"/>
    </xf>
    <xf numFmtId="0" fontId="10" fillId="0" borderId="177" xfId="0" applyFont="1" applyBorder="1" applyAlignment="1">
      <alignment horizontal="left" vertical="center"/>
    </xf>
    <xf numFmtId="0" fontId="10" fillId="0" borderId="357" xfId="0" applyFont="1" applyBorder="1" applyAlignment="1">
      <alignment horizontal="left" vertical="center"/>
    </xf>
    <xf numFmtId="0" fontId="0" fillId="0" borderId="0" xfId="0" applyNumberFormat="1"/>
    <xf numFmtId="0" fontId="0" fillId="0" borderId="0" xfId="0" pivotButton="1" applyAlignment="1">
      <alignment vertical="center"/>
    </xf>
    <xf numFmtId="0" fontId="0" fillId="0" borderId="0" xfId="0" applyAlignment="1">
      <alignment vertical="center"/>
    </xf>
    <xf numFmtId="0" fontId="0" fillId="0" borderId="0" xfId="0" applyAlignment="1">
      <alignment horizontal="center" vertical="center" wrapText="1"/>
    </xf>
    <xf numFmtId="0" fontId="94" fillId="44" borderId="450" xfId="0" applyFont="1" applyFill="1" applyBorder="1"/>
    <xf numFmtId="0" fontId="94" fillId="44" borderId="450" xfId="0" applyFont="1" applyFill="1" applyBorder="1" applyAlignment="1">
      <alignment horizontal="center"/>
    </xf>
    <xf numFmtId="0" fontId="94" fillId="44" borderId="177" xfId="0" applyFont="1" applyFill="1" applyBorder="1"/>
    <xf numFmtId="0" fontId="94" fillId="44" borderId="177" xfId="0" applyFont="1" applyFill="1" applyBorder="1" applyAlignment="1">
      <alignment horizontal="center"/>
    </xf>
    <xf numFmtId="0" fontId="31" fillId="0" borderId="177" xfId="0" applyFont="1" applyBorder="1"/>
    <xf numFmtId="0" fontId="31" fillId="0" borderId="256" xfId="0" applyFont="1" applyBorder="1"/>
    <xf numFmtId="0" fontId="31" fillId="0" borderId="456" xfId="0" applyFont="1" applyBorder="1" applyAlignment="1">
      <alignment horizontal="center"/>
    </xf>
    <xf numFmtId="0" fontId="31" fillId="0" borderId="457" xfId="0" applyFont="1" applyBorder="1" applyAlignment="1">
      <alignment horizontal="center"/>
    </xf>
    <xf numFmtId="0" fontId="0" fillId="0" borderId="0" xfId="0" applyBorder="1" applyAlignment="1" applyProtection="1">
      <alignment horizontal="center"/>
    </xf>
    <xf numFmtId="0" fontId="0" fillId="0" borderId="0" xfId="0" applyAlignment="1" applyProtection="1">
      <alignment wrapText="1"/>
    </xf>
    <xf numFmtId="0" fontId="6" fillId="3" borderId="458" xfId="0" applyFont="1" applyFill="1" applyBorder="1" applyAlignment="1" applyProtection="1">
      <alignment horizontal="left" vertical="center"/>
    </xf>
    <xf numFmtId="167" fontId="47" fillId="0" borderId="12" xfId="0" applyNumberFormat="1" applyFont="1" applyBorder="1" applyProtection="1"/>
    <xf numFmtId="0" fontId="49" fillId="40" borderId="358" xfId="0" applyFont="1" applyFill="1" applyBorder="1" applyAlignment="1" applyProtection="1">
      <alignment vertical="center" wrapText="1"/>
      <protection locked="0"/>
    </xf>
    <xf numFmtId="170" fontId="2" fillId="2" borderId="489" xfId="1" applyNumberFormat="1" applyFont="1" applyFill="1" applyBorder="1" applyAlignment="1" applyProtection="1">
      <alignment horizontal="center" vertical="center"/>
      <protection locked="0"/>
    </xf>
    <xf numFmtId="170" fontId="2" fillId="2" borderId="490" xfId="1" applyNumberFormat="1" applyFont="1" applyFill="1" applyBorder="1" applyAlignment="1" applyProtection="1">
      <alignment horizontal="center" vertical="center"/>
      <protection locked="0"/>
    </xf>
    <xf numFmtId="0" fontId="58" fillId="0" borderId="0" xfId="0" applyFont="1" applyAlignment="1">
      <alignment horizontal="left"/>
    </xf>
    <xf numFmtId="0" fontId="0" fillId="0" borderId="493" xfId="0" applyBorder="1" applyProtection="1"/>
    <xf numFmtId="0" fontId="46" fillId="0" borderId="108" xfId="0" applyFont="1" applyFill="1" applyBorder="1" applyAlignment="1" applyProtection="1">
      <alignment vertical="center"/>
    </xf>
    <xf numFmtId="0" fontId="0" fillId="0" borderId="496" xfId="0" applyBorder="1" applyProtection="1"/>
    <xf numFmtId="0" fontId="0" fillId="0" borderId="497" xfId="0" applyBorder="1" applyProtection="1"/>
    <xf numFmtId="0" fontId="0" fillId="0" borderId="500" xfId="0" applyBorder="1" applyAlignment="1" applyProtection="1">
      <alignment vertical="center"/>
    </xf>
    <xf numFmtId="0" fontId="0" fillId="0" borderId="501" xfId="0" applyBorder="1" applyAlignment="1" applyProtection="1">
      <alignment vertical="center"/>
    </xf>
    <xf numFmtId="0" fontId="0" fillId="0" borderId="502" xfId="0" applyFont="1" applyBorder="1" applyProtection="1"/>
    <xf numFmtId="0" fontId="0" fillId="0" borderId="504" xfId="0" applyFont="1" applyBorder="1" applyProtection="1"/>
    <xf numFmtId="0" fontId="38" fillId="0" borderId="439" xfId="6" applyBorder="1" applyAlignment="1" applyProtection="1">
      <alignment vertical="center" wrapText="1"/>
    </xf>
    <xf numFmtId="0" fontId="5" fillId="28" borderId="479" xfId="0" applyFont="1" applyFill="1" applyBorder="1" applyAlignment="1" applyProtection="1">
      <alignment horizontal="center" vertical="center"/>
    </xf>
    <xf numFmtId="0" fontId="0" fillId="8" borderId="0" xfId="0" applyFill="1" applyBorder="1" applyProtection="1"/>
    <xf numFmtId="0" fontId="0" fillId="0" borderId="0" xfId="0" applyBorder="1" applyAlignment="1" applyProtection="1">
      <alignment horizontal="left" vertical="center"/>
    </xf>
    <xf numFmtId="0" fontId="0" fillId="8" borderId="0" xfId="0" applyFill="1" applyBorder="1" applyAlignment="1" applyProtection="1">
      <alignment vertical="center"/>
    </xf>
    <xf numFmtId="0" fontId="0" fillId="11" borderId="0" xfId="0" applyFill="1" applyBorder="1" applyProtection="1"/>
    <xf numFmtId="0" fontId="0" fillId="12" borderId="0" xfId="0" applyFill="1" applyBorder="1" applyProtection="1"/>
    <xf numFmtId="15" fontId="31" fillId="4" borderId="177" xfId="0" applyNumberFormat="1" applyFont="1" applyFill="1" applyBorder="1" applyAlignment="1" applyProtection="1">
      <alignment horizontal="center"/>
      <protection locked="0"/>
    </xf>
    <xf numFmtId="0" fontId="31" fillId="4" borderId="177" xfId="0" applyFont="1" applyFill="1" applyBorder="1" applyAlignment="1" applyProtection="1">
      <alignment horizontal="left" vertical="center"/>
      <protection locked="0"/>
    </xf>
    <xf numFmtId="0" fontId="0" fillId="8" borderId="506" xfId="0" applyFill="1" applyBorder="1" applyProtection="1"/>
    <xf numFmtId="0" fontId="0" fillId="8" borderId="178" xfId="0" applyFill="1" applyBorder="1" applyProtection="1"/>
    <xf numFmtId="0" fontId="0" fillId="0" borderId="505" xfId="0" applyBorder="1" applyAlignment="1" applyProtection="1">
      <alignment horizontal="left" vertical="center"/>
    </xf>
    <xf numFmtId="0" fontId="0" fillId="8" borderId="178" xfId="0" applyFill="1" applyBorder="1" applyAlignment="1" applyProtection="1">
      <alignment horizontal="left" vertical="center"/>
    </xf>
    <xf numFmtId="0" fontId="0" fillId="0" borderId="506" xfId="0" applyBorder="1" applyAlignment="1" applyProtection="1">
      <alignment horizontal="left" vertical="center"/>
    </xf>
    <xf numFmtId="0" fontId="0" fillId="11" borderId="178" xfId="0" applyFill="1" applyBorder="1" applyProtection="1"/>
    <xf numFmtId="0" fontId="0" fillId="0" borderId="506" xfId="0" applyBorder="1" applyProtection="1"/>
    <xf numFmtId="0" fontId="0" fillId="0" borderId="178" xfId="0" applyBorder="1" applyAlignment="1" applyProtection="1">
      <alignment horizontal="left" vertical="center"/>
    </xf>
    <xf numFmtId="0" fontId="0" fillId="12" borderId="506" xfId="0" applyFill="1" applyBorder="1" applyProtection="1"/>
    <xf numFmtId="0" fontId="0" fillId="0" borderId="178" xfId="0" applyBorder="1" applyProtection="1"/>
    <xf numFmtId="0" fontId="0" fillId="8" borderId="458" xfId="0" applyFill="1" applyBorder="1" applyProtection="1"/>
    <xf numFmtId="0" fontId="0" fillId="8" borderId="508" xfId="0" applyFill="1" applyBorder="1" applyAlignment="1" applyProtection="1">
      <alignment horizontal="center" vertical="center" wrapText="1"/>
    </xf>
    <xf numFmtId="0" fontId="0" fillId="8" borderId="460" xfId="0" applyFill="1" applyBorder="1" applyAlignment="1" applyProtection="1">
      <alignment horizontal="center" vertical="center" wrapText="1"/>
    </xf>
    <xf numFmtId="0" fontId="0" fillId="11" borderId="460" xfId="0" applyFill="1" applyBorder="1" applyAlignment="1" applyProtection="1">
      <alignment horizontal="center" vertical="center" wrapText="1"/>
    </xf>
    <xf numFmtId="0" fontId="0" fillId="11" borderId="507" xfId="0" applyFill="1" applyBorder="1" applyAlignment="1" applyProtection="1">
      <alignment horizontal="center" vertical="center" wrapText="1"/>
    </xf>
    <xf numFmtId="0" fontId="0" fillId="12" borderId="439" xfId="0" applyFill="1" applyBorder="1" applyProtection="1"/>
    <xf numFmtId="15" fontId="31" fillId="4" borderId="293" xfId="0" applyNumberFormat="1" applyFont="1" applyFill="1" applyBorder="1" applyAlignment="1" applyProtection="1">
      <alignment horizontal="center"/>
      <protection locked="0"/>
    </xf>
    <xf numFmtId="15" fontId="31" fillId="8" borderId="450" xfId="0" applyNumberFormat="1" applyFont="1" applyFill="1" applyBorder="1" applyAlignment="1" applyProtection="1">
      <alignment horizontal="center"/>
      <protection locked="0"/>
    </xf>
    <xf numFmtId="0" fontId="31" fillId="8" borderId="256" xfId="0" applyFont="1" applyFill="1" applyBorder="1" applyAlignment="1" applyProtection="1">
      <alignment horizontal="center"/>
      <protection locked="0"/>
    </xf>
    <xf numFmtId="0" fontId="31" fillId="4" borderId="293" xfId="0" applyFont="1" applyFill="1" applyBorder="1" applyAlignment="1" applyProtection="1">
      <alignment horizontal="center" vertical="center" wrapText="1"/>
      <protection locked="0"/>
    </xf>
    <xf numFmtId="0" fontId="31" fillId="8" borderId="293" xfId="0" applyFont="1" applyFill="1" applyBorder="1" applyAlignment="1" applyProtection="1">
      <alignment horizontal="center" vertical="center" wrapText="1"/>
      <protection locked="0"/>
    </xf>
    <xf numFmtId="0" fontId="31" fillId="8" borderId="450" xfId="0" applyFont="1" applyFill="1" applyBorder="1" applyAlignment="1" applyProtection="1">
      <alignment horizontal="center" vertical="center" wrapText="1"/>
      <protection locked="0"/>
    </xf>
    <xf numFmtId="0" fontId="31" fillId="4" borderId="256" xfId="0" applyFont="1" applyFill="1" applyBorder="1" applyAlignment="1" applyProtection="1">
      <alignment horizontal="center" vertical="center" wrapText="1"/>
      <protection locked="0"/>
    </xf>
    <xf numFmtId="0" fontId="31" fillId="11" borderId="450" xfId="0" applyFont="1" applyFill="1" applyBorder="1" applyAlignment="1" applyProtection="1">
      <alignment horizontal="center"/>
      <protection locked="0"/>
    </xf>
    <xf numFmtId="0" fontId="31" fillId="4" borderId="256" xfId="0" applyFont="1" applyFill="1" applyBorder="1" applyAlignment="1" applyProtection="1">
      <alignment horizontal="center"/>
      <protection locked="0"/>
    </xf>
    <xf numFmtId="0" fontId="31" fillId="11" borderId="293" xfId="0" applyFont="1" applyFill="1" applyBorder="1" applyAlignment="1" applyProtection="1">
      <alignment horizontal="center"/>
      <protection locked="0"/>
    </xf>
    <xf numFmtId="0" fontId="31" fillId="12" borderId="256" xfId="0" applyFont="1" applyFill="1" applyBorder="1" applyAlignment="1" applyProtection="1">
      <alignment horizontal="center"/>
      <protection locked="0"/>
    </xf>
    <xf numFmtId="0" fontId="31" fillId="4" borderId="450" xfId="0" applyFont="1" applyFill="1" applyBorder="1" applyAlignment="1" applyProtection="1">
      <alignment horizontal="center"/>
      <protection locked="0"/>
    </xf>
    <xf numFmtId="0" fontId="31" fillId="4" borderId="293" xfId="0" applyFont="1" applyFill="1" applyBorder="1" applyAlignment="1" applyProtection="1">
      <alignment horizontal="center"/>
      <protection locked="0"/>
    </xf>
    <xf numFmtId="0" fontId="31" fillId="12" borderId="293" xfId="0" applyFont="1" applyFill="1" applyBorder="1" applyAlignment="1" applyProtection="1">
      <alignment horizontal="center"/>
      <protection locked="0"/>
    </xf>
    <xf numFmtId="0" fontId="31" fillId="8" borderId="256" xfId="0" applyFont="1" applyFill="1" applyBorder="1" applyAlignment="1" applyProtection="1">
      <alignment horizontal="left" vertical="center"/>
      <protection locked="0"/>
    </xf>
    <xf numFmtId="0" fontId="31" fillId="4" borderId="293" xfId="0" applyFont="1" applyFill="1" applyBorder="1" applyAlignment="1" applyProtection="1">
      <alignment horizontal="left" vertical="center"/>
      <protection locked="0"/>
    </xf>
    <xf numFmtId="0" fontId="31" fillId="8" borderId="450" xfId="0" applyFont="1" applyFill="1" applyBorder="1" applyAlignment="1" applyProtection="1">
      <alignment horizontal="left" vertical="center"/>
      <protection locked="0"/>
    </xf>
    <xf numFmtId="0" fontId="31" fillId="8" borderId="293" xfId="0" applyFont="1" applyFill="1" applyBorder="1" applyAlignment="1" applyProtection="1">
      <alignment horizontal="left" vertical="center"/>
      <protection locked="0"/>
    </xf>
    <xf numFmtId="0" fontId="31" fillId="4" borderId="256" xfId="0" applyFont="1" applyFill="1" applyBorder="1" applyAlignment="1" applyProtection="1">
      <alignment horizontal="left" vertical="center"/>
      <protection locked="0"/>
    </xf>
    <xf numFmtId="0" fontId="31" fillId="11" borderId="450" xfId="0" applyFont="1" applyFill="1" applyBorder="1" applyAlignment="1" applyProtection="1">
      <alignment horizontal="left" vertical="center"/>
      <protection locked="0"/>
    </xf>
    <xf numFmtId="0" fontId="31" fillId="11" borderId="293" xfId="0" applyFont="1" applyFill="1" applyBorder="1" applyAlignment="1" applyProtection="1">
      <alignment horizontal="left" vertical="center"/>
      <protection locked="0"/>
    </xf>
    <xf numFmtId="0" fontId="31" fillId="12" borderId="256" xfId="0" applyFont="1" applyFill="1" applyBorder="1" applyAlignment="1" applyProtection="1">
      <alignment horizontal="left" vertical="center"/>
      <protection locked="0"/>
    </xf>
    <xf numFmtId="0" fontId="31" fillId="4" borderId="450" xfId="0" applyFont="1" applyFill="1" applyBorder="1" applyAlignment="1" applyProtection="1">
      <alignment horizontal="left" vertical="center"/>
      <protection locked="0"/>
    </xf>
    <xf numFmtId="0" fontId="31" fillId="12" borderId="293" xfId="0" applyFont="1" applyFill="1" applyBorder="1" applyAlignment="1" applyProtection="1">
      <alignment horizontal="left" vertical="center"/>
      <protection locked="0"/>
    </xf>
    <xf numFmtId="0" fontId="5" fillId="28" borderId="479" xfId="0" applyFont="1" applyFill="1" applyBorder="1" applyAlignment="1" applyProtection="1">
      <alignment horizontal="center" vertical="center" wrapText="1"/>
    </xf>
    <xf numFmtId="0" fontId="5" fillId="28" borderId="459" xfId="0" applyFont="1" applyFill="1" applyBorder="1" applyAlignment="1" applyProtection="1">
      <alignment horizontal="center" vertical="center"/>
    </xf>
    <xf numFmtId="15" fontId="31" fillId="8" borderId="510" xfId="0" applyNumberFormat="1" applyFont="1" applyFill="1" applyBorder="1" applyAlignment="1" applyProtection="1">
      <alignment horizontal="center"/>
      <protection locked="0"/>
    </xf>
    <xf numFmtId="0" fontId="31" fillId="8" borderId="510" xfId="0" applyFont="1" applyFill="1" applyBorder="1" applyAlignment="1" applyProtection="1">
      <alignment horizontal="left" vertical="center"/>
      <protection locked="0"/>
    </xf>
    <xf numFmtId="0" fontId="31" fillId="8" borderId="511" xfId="0" applyFont="1" applyFill="1" applyBorder="1" applyAlignment="1" applyProtection="1">
      <alignment horizontal="center" vertical="center"/>
      <protection locked="0"/>
    </xf>
    <xf numFmtId="0" fontId="31" fillId="4" borderId="512" xfId="0" applyFont="1" applyFill="1" applyBorder="1" applyAlignment="1" applyProtection="1">
      <alignment horizontal="center" vertical="center"/>
      <protection locked="0"/>
    </xf>
    <xf numFmtId="0" fontId="31" fillId="8" borderId="513" xfId="0" applyFont="1" applyFill="1" applyBorder="1" applyAlignment="1" applyProtection="1">
      <alignment horizontal="center" vertical="center"/>
      <protection locked="0"/>
    </xf>
    <xf numFmtId="0" fontId="31" fillId="4" borderId="482" xfId="0" applyFont="1" applyFill="1" applyBorder="1" applyAlignment="1" applyProtection="1">
      <alignment horizontal="center" vertical="center"/>
      <protection locked="0"/>
    </xf>
    <xf numFmtId="0" fontId="31" fillId="8" borderId="512" xfId="0" applyFont="1" applyFill="1" applyBorder="1" applyAlignment="1" applyProtection="1">
      <alignment horizontal="center" vertical="center"/>
      <protection locked="0"/>
    </xf>
    <xf numFmtId="0" fontId="31" fillId="8" borderId="514" xfId="0" applyFont="1" applyFill="1" applyBorder="1" applyAlignment="1" applyProtection="1">
      <alignment horizontal="center" vertical="center"/>
      <protection locked="0"/>
    </xf>
    <xf numFmtId="0" fontId="31" fillId="4" borderId="514" xfId="0" applyFont="1" applyFill="1" applyBorder="1" applyAlignment="1" applyProtection="1">
      <alignment horizontal="center" vertical="center"/>
      <protection locked="0"/>
    </xf>
    <xf numFmtId="0" fontId="31" fillId="11" borderId="513" xfId="0" applyFont="1" applyFill="1" applyBorder="1" applyAlignment="1" applyProtection="1">
      <alignment horizontal="center" vertical="center"/>
      <protection locked="0"/>
    </xf>
    <xf numFmtId="0" fontId="31" fillId="11" borderId="512" xfId="0" applyFont="1" applyFill="1" applyBorder="1" applyAlignment="1" applyProtection="1">
      <alignment horizontal="center" vertical="center"/>
      <protection locked="0"/>
    </xf>
    <xf numFmtId="0" fontId="31" fillId="12" borderId="514" xfId="0" applyFont="1" applyFill="1" applyBorder="1" applyAlignment="1" applyProtection="1">
      <alignment horizontal="center" vertical="center"/>
      <protection locked="0"/>
    </xf>
    <xf numFmtId="0" fontId="31" fillId="4" borderId="513" xfId="0" applyFont="1" applyFill="1" applyBorder="1" applyAlignment="1" applyProtection="1">
      <alignment horizontal="center" vertical="center"/>
      <protection locked="0"/>
    </xf>
    <xf numFmtId="0" fontId="31" fillId="12" borderId="512" xfId="0" applyFont="1" applyFill="1" applyBorder="1" applyAlignment="1" applyProtection="1">
      <alignment horizontal="center" vertical="center"/>
      <protection locked="0"/>
    </xf>
    <xf numFmtId="0" fontId="31" fillId="12" borderId="515" xfId="0" applyFont="1" applyFill="1" applyBorder="1" applyAlignment="1" applyProtection="1">
      <alignment horizontal="center"/>
      <protection locked="0"/>
    </xf>
    <xf numFmtId="0" fontId="31" fillId="12" borderId="515" xfId="0" applyFont="1" applyFill="1" applyBorder="1" applyAlignment="1" applyProtection="1">
      <alignment horizontal="left" vertical="center"/>
      <protection locked="0"/>
    </xf>
    <xf numFmtId="0" fontId="31" fillId="12" borderId="516" xfId="0" applyFont="1" applyFill="1" applyBorder="1" applyAlignment="1" applyProtection="1">
      <alignment horizontal="center" vertical="center"/>
      <protection locked="0"/>
    </xf>
    <xf numFmtId="0" fontId="96" fillId="0" borderId="8" xfId="0" applyFont="1" applyBorder="1" applyAlignment="1" applyProtection="1">
      <alignment vertical="center"/>
    </xf>
    <xf numFmtId="0" fontId="96" fillId="0" borderId="8" xfId="0" applyFont="1" applyBorder="1" applyAlignment="1" applyProtection="1">
      <alignment vertical="center" wrapText="1"/>
    </xf>
    <xf numFmtId="0" fontId="96" fillId="0" borderId="8" xfId="0" applyFont="1" applyBorder="1" applyProtection="1"/>
    <xf numFmtId="0" fontId="96" fillId="0" borderId="8" xfId="0" applyFont="1" applyBorder="1" applyAlignment="1" applyProtection="1">
      <alignment horizontal="left"/>
    </xf>
    <xf numFmtId="0" fontId="96" fillId="0" borderId="8" xfId="0" applyFont="1" applyBorder="1" applyAlignment="1" applyProtection="1"/>
    <xf numFmtId="0" fontId="7" fillId="4" borderId="0" xfId="0" applyFont="1" applyFill="1" applyProtection="1"/>
    <xf numFmtId="168" fontId="42" fillId="0" borderId="155" xfId="0" applyNumberFormat="1" applyFont="1" applyBorder="1" applyAlignment="1" applyProtection="1">
      <alignment horizontal="center" vertical="center" wrapText="1"/>
    </xf>
    <xf numFmtId="168" fontId="10" fillId="0" borderId="155" xfId="5" applyNumberFormat="1" applyFont="1" applyFill="1" applyBorder="1" applyAlignment="1" applyProtection="1">
      <alignment horizontal="right" vertical="center"/>
    </xf>
    <xf numFmtId="168" fontId="10" fillId="0" borderId="156" xfId="5" applyNumberFormat="1" applyFont="1" applyFill="1" applyBorder="1" applyAlignment="1" applyProtection="1">
      <alignment horizontal="right" vertical="center"/>
    </xf>
    <xf numFmtId="168" fontId="10" fillId="0" borderId="157" xfId="5" applyNumberFormat="1" applyFont="1" applyFill="1" applyBorder="1" applyAlignment="1" applyProtection="1">
      <alignment horizontal="right" vertical="center"/>
    </xf>
    <xf numFmtId="0" fontId="42" fillId="0" borderId="517" xfId="0" applyFont="1" applyBorder="1" applyAlignment="1" applyProtection="1">
      <alignment horizontal="left" vertical="center" wrapText="1"/>
    </xf>
    <xf numFmtId="0" fontId="67" fillId="26" borderId="518" xfId="0" applyFont="1" applyFill="1" applyBorder="1" applyAlignment="1" applyProtection="1">
      <alignment horizontal="left" vertical="center"/>
    </xf>
    <xf numFmtId="0" fontId="67" fillId="0" borderId="519" xfId="0" applyFont="1" applyBorder="1" applyAlignment="1" applyProtection="1">
      <alignment horizontal="left" vertical="center"/>
    </xf>
    <xf numFmtId="0" fontId="67" fillId="26" borderId="519" xfId="0" applyFont="1" applyFill="1" applyBorder="1" applyAlignment="1" applyProtection="1">
      <alignment horizontal="left" vertical="center"/>
    </xf>
    <xf numFmtId="0" fontId="67" fillId="0" borderId="520" xfId="0" applyFont="1" applyBorder="1" applyAlignment="1" applyProtection="1">
      <alignment horizontal="left" vertical="center"/>
    </xf>
    <xf numFmtId="0" fontId="42" fillId="0" borderId="521" xfId="0" applyFont="1" applyBorder="1" applyAlignment="1" applyProtection="1"/>
    <xf numFmtId="0" fontId="42" fillId="0" borderId="522" xfId="0" applyFont="1" applyFill="1" applyBorder="1" applyAlignment="1" applyProtection="1">
      <alignment vertical="center"/>
    </xf>
    <xf numFmtId="168" fontId="10" fillId="0" borderId="401" xfId="5" applyNumberFormat="1" applyFont="1" applyFill="1" applyBorder="1" applyProtection="1"/>
    <xf numFmtId="0" fontId="57" fillId="4" borderId="100" xfId="0" applyFont="1" applyFill="1" applyBorder="1" applyProtection="1"/>
    <xf numFmtId="0" fontId="57" fillId="4" borderId="11" xfId="0" applyFont="1" applyFill="1" applyBorder="1" applyProtection="1"/>
    <xf numFmtId="0" fontId="57" fillId="4" borderId="11" xfId="0" applyFont="1" applyFill="1" applyBorder="1" applyAlignment="1" applyProtection="1">
      <alignment horizontal="right"/>
    </xf>
    <xf numFmtId="0" fontId="57" fillId="4" borderId="0" xfId="0" applyFont="1" applyFill="1" applyBorder="1" applyProtection="1"/>
    <xf numFmtId="0" fontId="57" fillId="4" borderId="0" xfId="0" applyFont="1" applyFill="1" applyBorder="1" applyAlignment="1" applyProtection="1">
      <alignment horizontal="right"/>
    </xf>
    <xf numFmtId="168" fontId="42" fillId="26" borderId="156" xfId="0" applyNumberFormat="1" applyFont="1" applyFill="1" applyBorder="1" applyProtection="1"/>
    <xf numFmtId="168" fontId="42" fillId="26" borderId="524" xfId="0" applyNumberFormat="1" applyFont="1" applyFill="1" applyBorder="1" applyProtection="1"/>
    <xf numFmtId="168" fontId="42" fillId="0" borderId="523" xfId="0" applyNumberFormat="1" applyFont="1" applyBorder="1" applyProtection="1"/>
    <xf numFmtId="43" fontId="10" fillId="0" borderId="526" xfId="5" applyFont="1" applyFill="1" applyBorder="1" applyAlignment="1" applyProtection="1">
      <alignment horizontal="left" vertical="center"/>
    </xf>
    <xf numFmtId="0" fontId="42" fillId="0" borderId="156" xfId="0" applyFont="1" applyBorder="1" applyAlignment="1" applyProtection="1">
      <alignment horizontal="center" vertical="center" wrapText="1"/>
    </xf>
    <xf numFmtId="168" fontId="42" fillId="0" borderId="156" xfId="0" applyNumberFormat="1" applyFont="1" applyBorder="1" applyAlignment="1" applyProtection="1">
      <alignment horizontal="center" vertical="center" wrapText="1"/>
    </xf>
    <xf numFmtId="0" fontId="42" fillId="0" borderId="527" xfId="0" applyFont="1" applyBorder="1" applyAlignment="1" applyProtection="1">
      <alignment horizontal="center" vertical="center" wrapText="1"/>
    </xf>
    <xf numFmtId="168" fontId="42" fillId="0" borderId="530" xfId="0" applyNumberFormat="1" applyFont="1" applyBorder="1" applyAlignment="1" applyProtection="1">
      <alignment horizontal="center" vertical="center" wrapText="1"/>
    </xf>
    <xf numFmtId="168" fontId="42" fillId="0" borderId="539" xfId="0" applyNumberFormat="1" applyFont="1" applyBorder="1" applyAlignment="1" applyProtection="1">
      <alignment horizontal="center" vertical="center" wrapText="1"/>
    </xf>
    <xf numFmtId="0" fontId="10" fillId="0" borderId="517" xfId="5" applyNumberFormat="1" applyFont="1" applyFill="1" applyBorder="1" applyAlignment="1" applyProtection="1">
      <alignment horizontal="right" vertical="center"/>
    </xf>
    <xf numFmtId="0" fontId="10" fillId="0" borderId="519" xfId="5" applyNumberFormat="1" applyFont="1" applyFill="1" applyBorder="1" applyAlignment="1" applyProtection="1">
      <alignment horizontal="right" vertical="center"/>
    </xf>
    <xf numFmtId="0" fontId="10" fillId="0" borderId="520" xfId="5" applyNumberFormat="1" applyFont="1" applyFill="1" applyBorder="1" applyAlignment="1" applyProtection="1">
      <alignment horizontal="right" vertical="center"/>
    </xf>
    <xf numFmtId="0" fontId="10" fillId="0" borderId="532" xfId="5" applyNumberFormat="1" applyFont="1" applyFill="1" applyBorder="1" applyAlignment="1" applyProtection="1">
      <alignment horizontal="right" vertical="center"/>
    </xf>
    <xf numFmtId="0" fontId="10" fillId="0" borderId="536" xfId="5" applyNumberFormat="1" applyFont="1" applyFill="1" applyBorder="1" applyAlignment="1" applyProtection="1">
      <alignment horizontal="right" vertical="center"/>
    </xf>
    <xf numFmtId="0" fontId="10" fillId="0" borderId="533" xfId="5" applyNumberFormat="1" applyFont="1" applyFill="1" applyBorder="1" applyAlignment="1" applyProtection="1">
      <alignment horizontal="right" vertical="center"/>
    </xf>
    <xf numFmtId="168" fontId="10" fillId="0" borderId="155" xfId="5" applyNumberFormat="1" applyFont="1" applyFill="1" applyBorder="1" applyProtection="1"/>
    <xf numFmtId="168" fontId="10" fillId="0" borderId="156" xfId="5" applyNumberFormat="1" applyFont="1" applyFill="1" applyBorder="1" applyProtection="1"/>
    <xf numFmtId="168" fontId="10" fillId="0" borderId="157" xfId="5" applyNumberFormat="1" applyFont="1" applyFill="1" applyBorder="1" applyProtection="1"/>
    <xf numFmtId="0" fontId="57" fillId="0" borderId="100" xfId="0" applyFont="1" applyBorder="1" applyProtection="1"/>
    <xf numFmtId="168" fontId="10" fillId="0" borderId="532" xfId="5" applyNumberFormat="1" applyFont="1" applyFill="1" applyBorder="1" applyProtection="1"/>
    <xf numFmtId="168" fontId="10" fillId="0" borderId="536" xfId="5" applyNumberFormat="1" applyFont="1" applyFill="1" applyBorder="1" applyProtection="1"/>
    <xf numFmtId="168" fontId="10" fillId="0" borderId="533" xfId="5" applyNumberFormat="1" applyFont="1" applyFill="1" applyBorder="1" applyProtection="1"/>
    <xf numFmtId="168" fontId="42" fillId="0" borderId="156" xfId="0" applyNumberFormat="1" applyFont="1" applyBorder="1" applyProtection="1"/>
    <xf numFmtId="0" fontId="19" fillId="4" borderId="115" xfId="0" applyFont="1" applyFill="1" applyBorder="1" applyAlignment="1" applyProtection="1">
      <alignment vertical="center"/>
    </xf>
    <xf numFmtId="0" fontId="42" fillId="4" borderId="540" xfId="0" applyFont="1" applyFill="1" applyBorder="1" applyProtection="1"/>
    <xf numFmtId="0" fontId="57" fillId="4" borderId="541" xfId="0" applyFont="1" applyFill="1" applyBorder="1" applyProtection="1"/>
    <xf numFmtId="0" fontId="57" fillId="4" borderId="542" xfId="0" applyFont="1" applyFill="1" applyBorder="1" applyProtection="1"/>
    <xf numFmtId="168" fontId="10" fillId="0" borderId="543" xfId="5" applyNumberFormat="1" applyFont="1" applyFill="1" applyBorder="1" applyProtection="1"/>
    <xf numFmtId="0" fontId="57" fillId="4" borderId="544" xfId="0" applyFont="1" applyFill="1" applyBorder="1" applyProtection="1"/>
    <xf numFmtId="168" fontId="10" fillId="0" borderId="534" xfId="5" applyNumberFormat="1" applyFont="1" applyFill="1" applyBorder="1" applyProtection="1"/>
    <xf numFmtId="166" fontId="42" fillId="4" borderId="538" xfId="5" applyNumberFormat="1" applyFont="1" applyFill="1" applyBorder="1" applyProtection="1"/>
    <xf numFmtId="0" fontId="60" fillId="4" borderId="542" xfId="0" applyFont="1" applyFill="1" applyBorder="1" applyAlignment="1" applyProtection="1">
      <alignment vertical="center"/>
    </xf>
    <xf numFmtId="168" fontId="10" fillId="0" borderId="545" xfId="5" applyNumberFormat="1" applyFont="1" applyFill="1" applyBorder="1" applyProtection="1"/>
    <xf numFmtId="0" fontId="42" fillId="4" borderId="546" xfId="0" applyFont="1" applyFill="1" applyBorder="1" applyProtection="1"/>
    <xf numFmtId="0" fontId="57" fillId="4" borderId="547" xfId="0" applyFont="1" applyFill="1" applyBorder="1" applyProtection="1"/>
    <xf numFmtId="168" fontId="10" fillId="0" borderId="0" xfId="5" applyNumberFormat="1" applyFont="1" applyFill="1" applyBorder="1" applyAlignment="1" applyProtection="1">
      <alignment horizontal="right" vertical="center"/>
    </xf>
    <xf numFmtId="168" fontId="57" fillId="0" borderId="156" xfId="0" applyNumberFormat="1" applyFont="1" applyFill="1" applyBorder="1" applyAlignment="1" applyProtection="1">
      <alignment horizontal="right" vertical="center"/>
    </xf>
    <xf numFmtId="168" fontId="57" fillId="0" borderId="157" xfId="0" applyNumberFormat="1" applyFont="1" applyFill="1" applyBorder="1" applyAlignment="1" applyProtection="1">
      <alignment horizontal="right" vertical="center"/>
    </xf>
    <xf numFmtId="0" fontId="10" fillId="0" borderId="535" xfId="5" applyNumberFormat="1" applyFont="1" applyFill="1" applyBorder="1" applyAlignment="1" applyProtection="1">
      <alignment horizontal="right" vertical="center"/>
    </xf>
    <xf numFmtId="0" fontId="57" fillId="0" borderId="536" xfId="0" applyFont="1" applyFill="1" applyBorder="1" applyProtection="1"/>
    <xf numFmtId="0" fontId="57" fillId="0" borderId="533" xfId="0" applyFont="1" applyFill="1" applyBorder="1" applyProtection="1"/>
    <xf numFmtId="168" fontId="42" fillId="0" borderId="532" xfId="0" applyNumberFormat="1" applyFont="1" applyBorder="1" applyAlignment="1" applyProtection="1">
      <alignment horizontal="center" vertical="center"/>
    </xf>
    <xf numFmtId="168" fontId="42" fillId="0" borderId="533" xfId="0" applyNumberFormat="1" applyFont="1" applyBorder="1" applyAlignment="1" applyProtection="1">
      <alignment horizontal="center" vertical="center" wrapText="1"/>
    </xf>
    <xf numFmtId="0" fontId="42" fillId="0" borderId="549" xfId="0" applyFont="1" applyBorder="1" applyAlignment="1" applyProtection="1">
      <alignment horizontal="center" vertical="center"/>
    </xf>
    <xf numFmtId="168" fontId="42" fillId="0" borderId="530" xfId="0" applyNumberFormat="1" applyFont="1" applyBorder="1" applyAlignment="1" applyProtection="1">
      <alignment horizontal="center" vertical="center"/>
    </xf>
    <xf numFmtId="0" fontId="42" fillId="0" borderId="529" xfId="0" applyFont="1" applyBorder="1" applyAlignment="1" applyProtection="1">
      <alignment horizontal="center" vertical="center" wrapText="1"/>
    </xf>
    <xf numFmtId="168" fontId="42" fillId="0" borderId="0" xfId="0" applyNumberFormat="1" applyFont="1" applyBorder="1" applyAlignment="1" applyProtection="1">
      <alignment horizontal="center" vertical="center" wrapText="1"/>
    </xf>
    <xf numFmtId="0" fontId="42" fillId="0" borderId="530" xfId="0" applyFont="1" applyBorder="1" applyAlignment="1" applyProtection="1">
      <alignment horizontal="center" vertical="center"/>
    </xf>
    <xf numFmtId="168" fontId="42" fillId="0" borderId="550" xfId="0" applyNumberFormat="1" applyFont="1" applyBorder="1" applyAlignment="1" applyProtection="1">
      <alignment horizontal="center" vertical="center"/>
    </xf>
    <xf numFmtId="0" fontId="42" fillId="0" borderId="539" xfId="0" applyFont="1" applyBorder="1" applyAlignment="1" applyProtection="1">
      <alignment horizontal="center" vertical="center" wrapText="1"/>
    </xf>
    <xf numFmtId="168" fontId="42" fillId="0" borderId="551" xfId="0" applyNumberFormat="1" applyFont="1" applyBorder="1" applyAlignment="1" applyProtection="1">
      <alignment horizontal="center" vertical="center"/>
    </xf>
    <xf numFmtId="0" fontId="42" fillId="0" borderId="552" xfId="0" applyFont="1" applyBorder="1" applyAlignment="1" applyProtection="1">
      <alignment horizontal="center" vertical="center" wrapText="1"/>
    </xf>
    <xf numFmtId="166" fontId="60" fillId="4" borderId="546" xfId="5" applyNumberFormat="1" applyFont="1" applyFill="1" applyBorder="1" applyAlignment="1" applyProtection="1">
      <alignment vertical="center"/>
    </xf>
    <xf numFmtId="0" fontId="42" fillId="0" borderId="555" xfId="0" applyFont="1" applyBorder="1" applyAlignment="1" applyProtection="1">
      <alignment horizontal="center" vertical="center" wrapText="1"/>
    </xf>
    <xf numFmtId="43" fontId="10" fillId="0" borderId="556" xfId="5" applyFont="1" applyFill="1" applyBorder="1" applyProtection="1"/>
    <xf numFmtId="43" fontId="19" fillId="16" borderId="356" xfId="5" applyFont="1" applyFill="1" applyBorder="1" applyAlignment="1" applyProtection="1">
      <alignment horizontal="left" vertical="center" wrapText="1"/>
    </xf>
    <xf numFmtId="0" fontId="57" fillId="0" borderId="0" xfId="7" applyFont="1" applyBorder="1" applyAlignment="1" applyProtection="1">
      <alignment vertical="center" wrapText="1"/>
    </xf>
    <xf numFmtId="0" fontId="10" fillId="0" borderId="0" xfId="7" applyFont="1" applyBorder="1" applyAlignment="1" applyProtection="1">
      <alignment vertical="center"/>
    </xf>
    <xf numFmtId="43" fontId="17" fillId="42" borderId="357" xfId="5" applyFont="1" applyFill="1" applyBorder="1" applyAlignment="1" applyProtection="1">
      <alignment horizontal="left" vertical="center"/>
    </xf>
    <xf numFmtId="43" fontId="17" fillId="42" borderId="0" xfId="5" applyFont="1" applyFill="1" applyBorder="1" applyAlignment="1" applyProtection="1">
      <alignment horizontal="left" vertical="center"/>
    </xf>
    <xf numFmtId="0" fontId="10" fillId="42" borderId="0" xfId="7" applyFont="1" applyFill="1" applyBorder="1" applyAlignment="1" applyProtection="1">
      <alignment vertical="center"/>
    </xf>
    <xf numFmtId="0" fontId="37" fillId="0" borderId="557" xfId="0" applyFont="1" applyFill="1" applyBorder="1" applyAlignment="1" applyProtection="1">
      <alignment vertical="center" wrapText="1"/>
    </xf>
    <xf numFmtId="0" fontId="37" fillId="0" borderId="560" xfId="0" applyFont="1" applyFill="1" applyBorder="1" applyAlignment="1" applyProtection="1">
      <alignment vertical="center" wrapText="1"/>
    </xf>
    <xf numFmtId="0" fontId="37" fillId="0" borderId="561" xfId="0" applyFont="1" applyFill="1" applyBorder="1" applyAlignment="1" applyProtection="1">
      <alignment vertical="center" wrapText="1"/>
    </xf>
    <xf numFmtId="0" fontId="37" fillId="0" borderId="349" xfId="0" applyFont="1" applyFill="1" applyBorder="1" applyAlignment="1" applyProtection="1">
      <alignment vertical="center" wrapText="1"/>
    </xf>
    <xf numFmtId="0" fontId="37" fillId="0" borderId="569" xfId="0" applyFont="1" applyFill="1" applyBorder="1" applyAlignment="1" applyProtection="1">
      <alignment vertical="center" wrapText="1"/>
    </xf>
    <xf numFmtId="0" fontId="34" fillId="0" borderId="568" xfId="0" applyFont="1" applyFill="1" applyBorder="1" applyAlignment="1" applyProtection="1">
      <alignment horizontal="center" vertical="center"/>
    </xf>
    <xf numFmtId="0" fontId="37" fillId="0" borderId="572" xfId="0" applyFont="1" applyFill="1" applyBorder="1" applyAlignment="1" applyProtection="1">
      <alignment vertical="center" wrapText="1"/>
    </xf>
    <xf numFmtId="0" fontId="37" fillId="0" borderId="582" xfId="0" applyFont="1" applyFill="1" applyBorder="1" applyAlignment="1" applyProtection="1">
      <alignment vertical="center" wrapText="1"/>
    </xf>
    <xf numFmtId="0" fontId="37" fillId="0" borderId="583" xfId="0" applyFont="1" applyFill="1" applyBorder="1" applyAlignment="1" applyProtection="1">
      <alignment vertical="center" wrapText="1"/>
    </xf>
    <xf numFmtId="10" fontId="92" fillId="10" borderId="334" xfId="2" applyNumberFormat="1" applyFont="1" applyFill="1" applyBorder="1" applyAlignment="1" applyProtection="1">
      <alignment horizontal="right" vertical="center"/>
      <protection locked="0"/>
    </xf>
    <xf numFmtId="10" fontId="92" fillId="10" borderId="584" xfId="2" applyNumberFormat="1" applyFont="1" applyFill="1" applyBorder="1" applyAlignment="1" applyProtection="1">
      <alignment horizontal="right" vertical="center"/>
      <protection locked="0"/>
    </xf>
    <xf numFmtId="10" fontId="72" fillId="0" borderId="573" xfId="2" applyNumberFormat="1" applyFont="1" applyFill="1" applyBorder="1" applyAlignment="1" applyProtection="1">
      <alignment horizontal="right" vertical="center"/>
      <protection locked="0"/>
    </xf>
    <xf numFmtId="10" fontId="72" fillId="0" borderId="158" xfId="2" applyNumberFormat="1" applyFont="1" applyFill="1" applyBorder="1" applyAlignment="1" applyProtection="1">
      <alignment horizontal="right" vertical="center"/>
      <protection locked="0"/>
    </xf>
    <xf numFmtId="0" fontId="37" fillId="0" borderId="575" xfId="0" applyFont="1" applyFill="1" applyBorder="1" applyAlignment="1" applyProtection="1">
      <alignment vertical="center" wrapText="1"/>
    </xf>
    <xf numFmtId="0" fontId="37" fillId="0" borderId="566" xfId="0" applyFont="1" applyFill="1" applyBorder="1" applyAlignment="1" applyProtection="1">
      <alignment vertical="center" wrapText="1"/>
    </xf>
    <xf numFmtId="0" fontId="37" fillId="0" borderId="588" xfId="0" applyFont="1" applyFill="1" applyBorder="1" applyAlignment="1" applyProtection="1">
      <alignment vertical="center" wrapText="1"/>
    </xf>
    <xf numFmtId="0" fontId="37" fillId="0" borderId="589" xfId="0" applyFont="1" applyFill="1" applyBorder="1" applyAlignment="1" applyProtection="1">
      <alignment vertical="center" wrapText="1"/>
    </xf>
    <xf numFmtId="10" fontId="72" fillId="10" borderId="573" xfId="2" applyNumberFormat="1" applyFont="1" applyFill="1" applyBorder="1" applyAlignment="1" applyProtection="1">
      <alignment horizontal="right" vertical="center"/>
      <protection locked="0"/>
    </xf>
    <xf numFmtId="10" fontId="72" fillId="10" borderId="158" xfId="2" applyNumberFormat="1" applyFont="1" applyFill="1" applyBorder="1" applyAlignment="1" applyProtection="1">
      <alignment horizontal="right" vertical="center"/>
      <protection locked="0"/>
    </xf>
    <xf numFmtId="0" fontId="37" fillId="0" borderId="590" xfId="0" applyFont="1" applyFill="1" applyBorder="1" applyAlignment="1" applyProtection="1">
      <alignment vertical="center" wrapText="1"/>
    </xf>
    <xf numFmtId="0" fontId="34" fillId="0" borderId="591" xfId="0" applyFont="1" applyFill="1" applyBorder="1" applyAlignment="1" applyProtection="1">
      <alignment horizontal="center" vertical="center"/>
    </xf>
    <xf numFmtId="0" fontId="19" fillId="4" borderId="568" xfId="0" applyFont="1" applyFill="1" applyBorder="1" applyAlignment="1" applyProtection="1">
      <alignment horizontal="center" vertical="center"/>
    </xf>
    <xf numFmtId="0" fontId="19" fillId="4" borderId="568" xfId="0" applyFont="1" applyFill="1" applyBorder="1" applyAlignment="1" applyProtection="1">
      <alignment horizontal="left" vertical="center"/>
    </xf>
    <xf numFmtId="10" fontId="92" fillId="10" borderId="558" xfId="2" applyNumberFormat="1" applyFont="1" applyFill="1" applyBorder="1" applyAlignment="1" applyProtection="1">
      <alignment horizontal="right" vertical="center"/>
      <protection locked="0"/>
    </xf>
    <xf numFmtId="10" fontId="92" fillId="10" borderId="149" xfId="2" applyNumberFormat="1" applyFont="1" applyFill="1" applyBorder="1" applyAlignment="1" applyProtection="1">
      <alignment horizontal="right" vertical="center"/>
      <protection locked="0"/>
    </xf>
    <xf numFmtId="10" fontId="92" fillId="10" borderId="592" xfId="2" applyNumberFormat="1" applyFont="1" applyFill="1" applyBorder="1" applyAlignment="1" applyProtection="1">
      <alignment horizontal="right" vertical="center"/>
      <protection locked="0"/>
    </xf>
    <xf numFmtId="10" fontId="72" fillId="0" borderId="593" xfId="2" applyNumberFormat="1" applyFont="1" applyFill="1" applyBorder="1" applyAlignment="1" applyProtection="1">
      <alignment vertical="center"/>
      <protection locked="0"/>
    </xf>
    <xf numFmtId="10" fontId="72" fillId="0" borderId="584" xfId="2" applyNumberFormat="1" applyFont="1" applyFill="1" applyBorder="1" applyAlignment="1" applyProtection="1">
      <alignment vertical="center"/>
      <protection locked="0"/>
    </xf>
    <xf numFmtId="0" fontId="37" fillId="0" borderId="576" xfId="0" applyFont="1" applyFill="1" applyBorder="1" applyAlignment="1" applyProtection="1">
      <alignment vertical="center" wrapText="1"/>
    </xf>
    <xf numFmtId="0" fontId="37" fillId="0" borderId="567" xfId="0" applyFont="1" applyFill="1" applyBorder="1" applyAlignment="1" applyProtection="1">
      <alignment vertical="center" wrapText="1"/>
    </xf>
    <xf numFmtId="43" fontId="19" fillId="16" borderId="595" xfId="5" applyFont="1" applyFill="1" applyBorder="1" applyAlignment="1" applyProtection="1">
      <alignment horizontal="left" vertical="center" wrapText="1"/>
    </xf>
    <xf numFmtId="43" fontId="17" fillId="25" borderId="596" xfId="5" applyFont="1" applyFill="1" applyBorder="1" applyAlignment="1" applyProtection="1">
      <alignment horizontal="left" vertical="center"/>
    </xf>
    <xf numFmtId="1" fontId="17" fillId="25" borderId="597" xfId="0" applyNumberFormat="1" applyFont="1" applyFill="1" applyBorder="1" applyAlignment="1" applyProtection="1">
      <alignment horizontal="left" vertical="center"/>
      <protection locked="0"/>
    </xf>
    <xf numFmtId="1" fontId="17" fillId="25" borderId="598" xfId="0" applyNumberFormat="1" applyFont="1" applyFill="1" applyBorder="1" applyAlignment="1" applyProtection="1">
      <alignment horizontal="left" vertical="center"/>
      <protection locked="0"/>
    </xf>
    <xf numFmtId="1" fontId="17" fillId="25" borderId="293" xfId="0" applyNumberFormat="1" applyFont="1" applyFill="1" applyBorder="1" applyAlignment="1" applyProtection="1">
      <alignment horizontal="left" vertical="center"/>
      <protection locked="0"/>
    </xf>
    <xf numFmtId="1" fontId="67" fillId="4" borderId="0" xfId="0" applyNumberFormat="1" applyFont="1" applyFill="1" applyBorder="1" applyAlignment="1" applyProtection="1">
      <alignment horizontal="center" vertical="center" wrapText="1"/>
    </xf>
    <xf numFmtId="1" fontId="69" fillId="4" borderId="0" xfId="0" applyNumberFormat="1" applyFont="1" applyFill="1" applyBorder="1" applyAlignment="1" applyProtection="1">
      <alignment horizontal="left" vertical="center"/>
    </xf>
    <xf numFmtId="0" fontId="7" fillId="37" borderId="478" xfId="0" applyFont="1" applyFill="1" applyBorder="1" applyAlignment="1" applyProtection="1">
      <alignment horizontal="left" vertical="center" wrapText="1"/>
    </xf>
    <xf numFmtId="0" fontId="96" fillId="0" borderId="8" xfId="0" applyFont="1" applyBorder="1" applyAlignment="1" applyProtection="1">
      <alignment horizontal="left" vertical="center" wrapText="1"/>
    </xf>
    <xf numFmtId="0" fontId="97" fillId="0" borderId="8" xfId="0" applyFont="1" applyBorder="1" applyAlignment="1" applyProtection="1">
      <alignment horizontal="left" indent="1"/>
    </xf>
    <xf numFmtId="0" fontId="11" fillId="0" borderId="8" xfId="0" applyFont="1" applyBorder="1" applyAlignment="1" applyProtection="1">
      <alignment horizontal="left" vertical="center" wrapText="1" indent="3"/>
    </xf>
    <xf numFmtId="0" fontId="96" fillId="0" borderId="106" xfId="0" applyFont="1" applyBorder="1" applyAlignment="1" applyProtection="1">
      <alignment horizontal="left" wrapText="1"/>
    </xf>
    <xf numFmtId="0" fontId="96" fillId="0" borderId="50" xfId="0" applyFont="1" applyBorder="1" applyAlignment="1" applyProtection="1">
      <alignment horizontal="left" wrapText="1"/>
    </xf>
    <xf numFmtId="0" fontId="96" fillId="0" borderId="115" xfId="0" applyFont="1" applyBorder="1" applyAlignment="1" applyProtection="1">
      <alignment horizontal="left" wrapText="1"/>
    </xf>
    <xf numFmtId="0" fontId="96" fillId="0" borderId="8" xfId="0" applyFont="1" applyBorder="1" applyAlignment="1" applyProtection="1">
      <alignment horizontal="left" vertical="center"/>
    </xf>
    <xf numFmtId="0" fontId="89" fillId="0" borderId="0" xfId="6" applyFont="1" applyFill="1" applyAlignment="1">
      <alignment horizontal="center" wrapText="1"/>
    </xf>
    <xf numFmtId="164" fontId="2" fillId="2" borderId="2" xfId="1" applyNumberFormat="1" applyFont="1" applyFill="1" applyBorder="1" applyAlignment="1" applyProtection="1">
      <alignment horizontal="left" vertical="center"/>
    </xf>
    <xf numFmtId="164" fontId="2" fillId="2" borderId="19" xfId="1" applyNumberFormat="1" applyFont="1" applyFill="1" applyBorder="1" applyAlignment="1" applyProtection="1">
      <alignment horizontal="left" vertical="center"/>
    </xf>
    <xf numFmtId="0" fontId="11" fillId="2" borderId="0" xfId="0" applyFont="1" applyFill="1" applyBorder="1" applyAlignment="1" applyProtection="1">
      <alignment horizontal="left" vertical="center" wrapText="1" indent="1"/>
    </xf>
    <xf numFmtId="0" fontId="11" fillId="2" borderId="20" xfId="0" applyFont="1" applyFill="1" applyBorder="1" applyAlignment="1" applyProtection="1">
      <alignment horizontal="left" vertical="center" wrapText="1" indent="1"/>
    </xf>
    <xf numFmtId="164" fontId="2" fillId="2" borderId="9" xfId="1" applyNumberFormat="1" applyFont="1" applyFill="1" applyBorder="1" applyAlignment="1" applyProtection="1">
      <alignment horizontal="center" vertical="center"/>
    </xf>
    <xf numFmtId="164" fontId="2" fillId="2" borderId="0" xfId="1" applyNumberFormat="1" applyFont="1" applyFill="1" applyBorder="1" applyAlignment="1" applyProtection="1">
      <alignment horizontal="center" vertical="center"/>
    </xf>
    <xf numFmtId="0" fontId="11" fillId="2" borderId="9" xfId="0" applyFont="1" applyFill="1" applyBorder="1" applyAlignment="1" applyProtection="1">
      <alignment horizontal="left" vertical="center" wrapText="1"/>
    </xf>
    <xf numFmtId="0" fontId="11" fillId="2" borderId="10" xfId="0"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0" fontId="11" fillId="2" borderId="17" xfId="0" applyFont="1" applyFill="1" applyBorder="1" applyAlignment="1" applyProtection="1">
      <alignment horizontal="left" vertical="center" wrapText="1"/>
    </xf>
    <xf numFmtId="0" fontId="8" fillId="0" borderId="5" xfId="0" applyFont="1" applyBorder="1" applyAlignment="1" applyProtection="1">
      <alignment horizontal="center" vertical="center"/>
    </xf>
    <xf numFmtId="0" fontId="8" fillId="0" borderId="6" xfId="0" applyFont="1" applyBorder="1" applyAlignment="1" applyProtection="1">
      <alignment horizontal="center" vertical="center"/>
    </xf>
    <xf numFmtId="0" fontId="8" fillId="0" borderId="7" xfId="0" applyFont="1" applyBorder="1" applyAlignment="1" applyProtection="1">
      <alignment horizontal="center" vertical="center"/>
    </xf>
    <xf numFmtId="164" fontId="2" fillId="2" borderId="14" xfId="1" applyNumberFormat="1" applyFont="1" applyFill="1" applyBorder="1" applyAlignment="1" applyProtection="1">
      <alignment horizontal="left" vertical="center"/>
    </xf>
    <xf numFmtId="164" fontId="2" fillId="2" borderId="3" xfId="1" applyNumberFormat="1" applyFont="1" applyFill="1" applyBorder="1" applyAlignment="1" applyProtection="1">
      <alignment horizontal="left" vertical="center"/>
    </xf>
    <xf numFmtId="0" fontId="11" fillId="2" borderId="9" xfId="0" applyFont="1" applyFill="1" applyBorder="1" applyAlignment="1" applyProtection="1">
      <alignment horizontal="left" vertical="center" wrapText="1" indent="1"/>
    </xf>
    <xf numFmtId="0" fontId="11" fillId="2" borderId="2" xfId="0" applyFont="1" applyFill="1" applyBorder="1" applyAlignment="1" applyProtection="1">
      <alignment horizontal="left" vertical="center" wrapText="1" indent="1"/>
    </xf>
    <xf numFmtId="164" fontId="2" fillId="2" borderId="181" xfId="1" applyNumberFormat="1" applyFont="1" applyFill="1" applyBorder="1" applyAlignment="1" applyProtection="1">
      <alignment vertical="center"/>
    </xf>
    <xf numFmtId="164" fontId="2" fillId="2" borderId="19" xfId="1" applyNumberFormat="1" applyFont="1" applyFill="1" applyBorder="1" applyAlignment="1" applyProtection="1">
      <alignment vertical="center"/>
    </xf>
    <xf numFmtId="0" fontId="11" fillId="2" borderId="45" xfId="0" applyFont="1" applyFill="1" applyBorder="1" applyAlignment="1" applyProtection="1">
      <alignment horizontal="left" vertical="center" wrapText="1"/>
    </xf>
    <xf numFmtId="0" fontId="11" fillId="2" borderId="182" xfId="0" applyFont="1" applyFill="1" applyBorder="1" applyAlignment="1" applyProtection="1">
      <alignment horizontal="left" vertical="center" wrapText="1"/>
    </xf>
    <xf numFmtId="0" fontId="11" fillId="2" borderId="20" xfId="0" applyFont="1" applyFill="1" applyBorder="1" applyAlignment="1" applyProtection="1">
      <alignment horizontal="left" vertical="center" wrapText="1"/>
    </xf>
    <xf numFmtId="0" fontId="11" fillId="2" borderId="179" xfId="0" applyFont="1" applyFill="1" applyBorder="1" applyAlignment="1" applyProtection="1">
      <alignment horizontal="left" vertical="center" wrapText="1"/>
    </xf>
    <xf numFmtId="0" fontId="2" fillId="0" borderId="8" xfId="0" applyFont="1" applyBorder="1" applyAlignment="1" applyProtection="1">
      <alignment horizontal="left" indent="1"/>
    </xf>
    <xf numFmtId="0" fontId="95" fillId="0" borderId="478" xfId="0" applyFont="1" applyBorder="1" applyAlignment="1" applyProtection="1">
      <alignment horizontal="center" vertical="center"/>
    </xf>
    <xf numFmtId="164" fontId="2" fillId="13" borderId="486" xfId="1" applyNumberFormat="1" applyFont="1" applyFill="1" applyBorder="1" applyAlignment="1" applyProtection="1">
      <alignment horizontal="center" vertical="center"/>
      <protection locked="0"/>
    </xf>
    <xf numFmtId="164" fontId="2" fillId="13" borderId="488" xfId="1" applyNumberFormat="1" applyFont="1" applyFill="1" applyBorder="1" applyAlignment="1" applyProtection="1">
      <alignment horizontal="center" vertical="center"/>
      <protection locked="0"/>
    </xf>
    <xf numFmtId="164" fontId="2" fillId="2" borderId="0" xfId="1" applyNumberFormat="1" applyFont="1" applyFill="1" applyBorder="1" applyAlignment="1" applyProtection="1">
      <alignment horizontal="right" vertical="center" indent="1"/>
    </xf>
    <xf numFmtId="164" fontId="2" fillId="13" borderId="481" xfId="1" applyNumberFormat="1" applyFont="1" applyFill="1" applyBorder="1" applyAlignment="1" applyProtection="1">
      <alignment horizontal="center" vertical="center"/>
      <protection locked="0"/>
    </xf>
    <xf numFmtId="164" fontId="2" fillId="13" borderId="482" xfId="1" applyNumberFormat="1" applyFont="1" applyFill="1" applyBorder="1" applyAlignment="1" applyProtection="1">
      <alignment horizontal="center" vertical="center"/>
      <protection locked="0"/>
    </xf>
    <xf numFmtId="164" fontId="2" fillId="13" borderId="483" xfId="1" applyNumberFormat="1" applyFont="1" applyFill="1" applyBorder="1" applyAlignment="1" applyProtection="1">
      <alignment horizontal="center" vertical="center"/>
      <protection locked="0"/>
    </xf>
    <xf numFmtId="164" fontId="2" fillId="13" borderId="485" xfId="1" applyNumberFormat="1" applyFont="1" applyFill="1" applyBorder="1" applyAlignment="1" applyProtection="1">
      <alignment horizontal="center" vertical="center"/>
      <protection locked="0"/>
    </xf>
    <xf numFmtId="0" fontId="90" fillId="3" borderId="458" xfId="0" applyFont="1" applyFill="1" applyBorder="1" applyAlignment="1" applyProtection="1">
      <alignment horizontal="center" vertical="center"/>
    </xf>
    <xf numFmtId="0" fontId="90" fillId="3" borderId="459" xfId="0" applyFont="1" applyFill="1" applyBorder="1" applyAlignment="1" applyProtection="1">
      <alignment horizontal="center" vertical="center"/>
    </xf>
    <xf numFmtId="14" fontId="90" fillId="3" borderId="439" xfId="0" applyNumberFormat="1" applyFont="1" applyFill="1" applyBorder="1" applyAlignment="1" applyProtection="1">
      <alignment horizontal="center" vertical="center"/>
    </xf>
    <xf numFmtId="14" fontId="90" fillId="3" borderId="462" xfId="0" applyNumberFormat="1" applyFont="1" applyFill="1" applyBorder="1" applyAlignment="1" applyProtection="1">
      <alignment horizontal="center" vertical="center"/>
    </xf>
    <xf numFmtId="0" fontId="73" fillId="40" borderId="453" xfId="0" applyFont="1" applyFill="1" applyBorder="1" applyAlignment="1" applyProtection="1">
      <alignment horizontal="left" vertical="center" wrapText="1" indent="1"/>
      <protection locked="0"/>
    </xf>
    <xf numFmtId="0" fontId="73" fillId="40" borderId="452" xfId="0" applyFont="1" applyFill="1" applyBorder="1" applyAlignment="1" applyProtection="1">
      <alignment horizontal="left" vertical="center" wrapText="1" indent="1"/>
      <protection locked="0"/>
    </xf>
    <xf numFmtId="0" fontId="73" fillId="40" borderId="454" xfId="0" applyFont="1" applyFill="1" applyBorder="1" applyAlignment="1" applyProtection="1">
      <alignment horizontal="left" vertical="center" wrapText="1" indent="1"/>
      <protection locked="0"/>
    </xf>
    <xf numFmtId="0" fontId="49" fillId="2" borderId="453" xfId="0" applyFont="1" applyFill="1" applyBorder="1" applyAlignment="1" applyProtection="1">
      <alignment horizontal="left" vertical="center" wrapText="1" indent="1"/>
    </xf>
    <xf numFmtId="0" fontId="49" fillId="2" borderId="452" xfId="0" applyFont="1" applyFill="1" applyBorder="1" applyAlignment="1" applyProtection="1">
      <alignment horizontal="left" vertical="center" wrapText="1" indent="1"/>
    </xf>
    <xf numFmtId="0" fontId="49" fillId="2" borderId="454" xfId="0" applyFont="1" applyFill="1" applyBorder="1" applyAlignment="1" applyProtection="1">
      <alignment horizontal="left" vertical="center" wrapText="1" indent="1"/>
    </xf>
    <xf numFmtId="0" fontId="73" fillId="40" borderId="453" xfId="0" applyFont="1" applyFill="1" applyBorder="1" applyAlignment="1" applyProtection="1">
      <alignment horizontal="left" vertical="center" wrapText="1" indent="1"/>
    </xf>
    <xf numFmtId="0" fontId="73" fillId="40" borderId="452" xfId="0" applyFont="1" applyFill="1" applyBorder="1" applyAlignment="1" applyProtection="1">
      <alignment horizontal="left" vertical="center" wrapText="1" indent="1"/>
    </xf>
    <xf numFmtId="0" fontId="73" fillId="40" borderId="454" xfId="0" applyFont="1" applyFill="1" applyBorder="1" applyAlignment="1" applyProtection="1">
      <alignment horizontal="left" vertical="center" wrapText="1" indent="1"/>
    </xf>
    <xf numFmtId="0" fontId="47" fillId="0" borderId="0" xfId="0" applyFont="1" applyBorder="1" applyAlignment="1" applyProtection="1">
      <alignment horizontal="center"/>
    </xf>
    <xf numFmtId="0" fontId="47" fillId="0" borderId="99" xfId="0" applyFont="1" applyBorder="1" applyAlignment="1" applyProtection="1">
      <alignment horizontal="center"/>
    </xf>
    <xf numFmtId="0" fontId="12" fillId="3" borderId="480" xfId="0" applyFont="1" applyFill="1" applyBorder="1" applyAlignment="1" applyProtection="1">
      <alignment horizontal="left" vertical="center"/>
    </xf>
    <xf numFmtId="0" fontId="12" fillId="3" borderId="458" xfId="0" applyFont="1" applyFill="1" applyBorder="1" applyAlignment="1" applyProtection="1">
      <alignment horizontal="left" vertical="center"/>
    </xf>
    <xf numFmtId="0" fontId="12" fillId="3" borderId="461" xfId="0" applyFont="1" applyFill="1" applyBorder="1" applyAlignment="1" applyProtection="1">
      <alignment horizontal="left" vertical="center"/>
    </xf>
    <xf numFmtId="0" fontId="12" fillId="3" borderId="439" xfId="0" applyFont="1" applyFill="1" applyBorder="1" applyAlignment="1" applyProtection="1">
      <alignment horizontal="left" vertical="center"/>
    </xf>
    <xf numFmtId="0" fontId="73" fillId="40" borderId="486" xfId="0" applyFont="1" applyFill="1" applyBorder="1" applyAlignment="1" applyProtection="1">
      <alignment horizontal="left" vertical="center" wrapText="1" indent="1"/>
      <protection locked="0"/>
    </xf>
    <xf numFmtId="0" fontId="73" fillId="40" borderId="487" xfId="0" applyFont="1" applyFill="1" applyBorder="1" applyAlignment="1" applyProtection="1">
      <alignment horizontal="left" vertical="center" wrapText="1" indent="1"/>
      <protection locked="0"/>
    </xf>
    <xf numFmtId="0" fontId="73" fillId="40" borderId="488" xfId="0" applyFont="1" applyFill="1" applyBorder="1" applyAlignment="1" applyProtection="1">
      <alignment horizontal="left" vertical="center" wrapText="1" indent="1"/>
      <protection locked="0"/>
    </xf>
    <xf numFmtId="0" fontId="73" fillId="40" borderId="483" xfId="0" applyFont="1" applyFill="1" applyBorder="1" applyAlignment="1" applyProtection="1">
      <alignment horizontal="left" vertical="center" wrapText="1" indent="1"/>
      <protection locked="0"/>
    </xf>
    <xf numFmtId="0" fontId="73" fillId="40" borderId="484" xfId="0" applyFont="1" applyFill="1" applyBorder="1" applyAlignment="1" applyProtection="1">
      <alignment horizontal="left" vertical="center" wrapText="1" indent="1"/>
      <protection locked="0"/>
    </xf>
    <xf numFmtId="0" fontId="73" fillId="40" borderId="485" xfId="0" applyFont="1" applyFill="1" applyBorder="1" applyAlignment="1" applyProtection="1">
      <alignment horizontal="left" vertical="center" wrapText="1" indent="1"/>
      <protection locked="0"/>
    </xf>
    <xf numFmtId="165" fontId="73" fillId="40" borderId="453" xfId="0" applyNumberFormat="1" applyFont="1" applyFill="1" applyBorder="1" applyAlignment="1" applyProtection="1">
      <alignment horizontal="left" vertical="center" indent="1"/>
      <protection locked="0"/>
    </xf>
    <xf numFmtId="165" fontId="73" fillId="40" borderId="452" xfId="0" applyNumberFormat="1" applyFont="1" applyFill="1" applyBorder="1" applyAlignment="1" applyProtection="1">
      <alignment horizontal="left" vertical="center" indent="1"/>
      <protection locked="0"/>
    </xf>
    <xf numFmtId="165" fontId="73" fillId="40" borderId="454" xfId="0" applyNumberFormat="1" applyFont="1" applyFill="1" applyBorder="1" applyAlignment="1" applyProtection="1">
      <alignment horizontal="left" vertical="center" indent="1"/>
      <protection locked="0"/>
    </xf>
    <xf numFmtId="0" fontId="47" fillId="13" borderId="480" xfId="0" applyFont="1" applyFill="1" applyBorder="1" applyAlignment="1" applyProtection="1">
      <alignment horizontal="center" wrapText="1"/>
      <protection locked="0"/>
    </xf>
    <xf numFmtId="0" fontId="47" fillId="13" borderId="459" xfId="0" applyFont="1" applyFill="1" applyBorder="1" applyAlignment="1" applyProtection="1">
      <alignment horizontal="center" wrapText="1"/>
      <protection locked="0"/>
    </xf>
    <xf numFmtId="0" fontId="47" fillId="13" borderId="461" xfId="0" applyFont="1" applyFill="1" applyBorder="1" applyAlignment="1" applyProtection="1">
      <alignment horizontal="center" wrapText="1"/>
      <protection locked="0"/>
    </xf>
    <xf numFmtId="0" fontId="47" fillId="13" borderId="462" xfId="0" applyFont="1" applyFill="1" applyBorder="1" applyAlignment="1" applyProtection="1">
      <alignment horizontal="center" wrapText="1"/>
      <protection locked="0"/>
    </xf>
    <xf numFmtId="0" fontId="0" fillId="8" borderId="480" xfId="0" applyFill="1" applyBorder="1" applyAlignment="1" applyProtection="1">
      <alignment horizontal="center" vertical="center" wrapText="1"/>
    </xf>
    <xf numFmtId="0" fontId="0" fillId="8" borderId="460" xfId="0" applyFill="1" applyBorder="1" applyAlignment="1" applyProtection="1">
      <alignment horizontal="center" vertical="center" wrapText="1"/>
    </xf>
    <xf numFmtId="0" fontId="0" fillId="8" borderId="507" xfId="0" applyFill="1" applyBorder="1" applyAlignment="1" applyProtection="1">
      <alignment horizontal="center" vertical="center" wrapText="1"/>
    </xf>
    <xf numFmtId="0" fontId="0" fillId="12" borderId="509" xfId="0" applyFill="1" applyBorder="1" applyAlignment="1" applyProtection="1">
      <alignment horizontal="center" vertical="center" wrapText="1"/>
    </xf>
    <xf numFmtId="0" fontId="0" fillId="12" borderId="460" xfId="0" applyFill="1" applyBorder="1" applyAlignment="1" applyProtection="1">
      <alignment horizontal="center" vertical="center" wrapText="1"/>
    </xf>
    <xf numFmtId="0" fontId="0" fillId="12" borderId="461" xfId="0" applyFill="1" applyBorder="1" applyAlignment="1" applyProtection="1">
      <alignment horizontal="center" vertical="center" wrapText="1"/>
    </xf>
    <xf numFmtId="0" fontId="0" fillId="8" borderId="509" xfId="0" applyFill="1" applyBorder="1" applyAlignment="1" applyProtection="1">
      <alignment horizontal="center" vertical="center" wrapText="1"/>
    </xf>
    <xf numFmtId="0" fontId="0" fillId="13" borderId="491" xfId="0" applyFill="1" applyBorder="1" applyAlignment="1" applyProtection="1">
      <alignment horizontal="center"/>
      <protection locked="0"/>
    </xf>
    <xf numFmtId="0" fontId="0" fillId="13" borderId="492" xfId="0" applyFill="1" applyBorder="1" applyAlignment="1" applyProtection="1">
      <alignment horizontal="center"/>
      <protection locked="0"/>
    </xf>
    <xf numFmtId="0" fontId="47" fillId="0" borderId="49" xfId="0" applyFont="1" applyBorder="1" applyAlignment="1" applyProtection="1">
      <alignment horizontal="center"/>
    </xf>
    <xf numFmtId="164" fontId="2" fillId="2" borderId="0" xfId="1" applyNumberFormat="1" applyFont="1" applyFill="1" applyBorder="1" applyAlignment="1" applyProtection="1">
      <alignment horizontal="left" vertical="center"/>
    </xf>
    <xf numFmtId="0" fontId="0" fillId="12" borderId="507" xfId="0" applyFill="1" applyBorder="1" applyAlignment="1" applyProtection="1">
      <alignment horizontal="center" vertical="center" wrapText="1"/>
    </xf>
    <xf numFmtId="0" fontId="0" fillId="11" borderId="509" xfId="0" applyFill="1" applyBorder="1" applyAlignment="1" applyProtection="1">
      <alignment horizontal="center" vertical="center" wrapText="1"/>
    </xf>
    <xf numFmtId="0" fontId="0" fillId="11" borderId="460" xfId="0" applyFill="1" applyBorder="1" applyAlignment="1" applyProtection="1">
      <alignment horizontal="center" vertical="center" wrapText="1"/>
    </xf>
    <xf numFmtId="0" fontId="0" fillId="11" borderId="507" xfId="0" applyFill="1" applyBorder="1" applyAlignment="1" applyProtection="1">
      <alignment horizontal="center" vertical="center" wrapText="1"/>
    </xf>
    <xf numFmtId="0" fontId="31" fillId="4" borderId="293" xfId="0" applyFont="1" applyFill="1" applyBorder="1" applyAlignment="1" applyProtection="1">
      <alignment horizontal="center"/>
      <protection locked="0"/>
    </xf>
    <xf numFmtId="0" fontId="31" fillId="4" borderId="450" xfId="0" applyFont="1" applyFill="1" applyBorder="1" applyAlignment="1" applyProtection="1">
      <alignment horizontal="center"/>
      <protection locked="0"/>
    </xf>
    <xf numFmtId="0" fontId="87" fillId="3" borderId="463" xfId="0" applyFont="1" applyFill="1" applyBorder="1" applyAlignment="1">
      <alignment horizontal="left" vertical="center"/>
    </xf>
    <xf numFmtId="0" fontId="87" fillId="3" borderId="465" xfId="0" applyFont="1" applyFill="1" applyBorder="1" applyAlignment="1">
      <alignment horizontal="left" vertical="center"/>
    </xf>
    <xf numFmtId="0" fontId="87" fillId="3" borderId="464" xfId="0" applyFont="1" applyFill="1" applyBorder="1" applyAlignment="1">
      <alignment horizontal="left" vertical="center"/>
    </xf>
    <xf numFmtId="0" fontId="31" fillId="0" borderId="439" xfId="0" applyFont="1" applyBorder="1" applyAlignment="1">
      <alignment horizontal="left" vertical="center" wrapText="1"/>
    </xf>
    <xf numFmtId="0" fontId="93" fillId="0" borderId="0" xfId="0" applyFont="1" applyBorder="1" applyAlignment="1">
      <alignment horizontal="left" vertical="top" wrapText="1"/>
    </xf>
    <xf numFmtId="0" fontId="86" fillId="0" borderId="478" xfId="0" applyFont="1" applyBorder="1" applyAlignment="1">
      <alignment horizontal="center" vertical="center"/>
    </xf>
    <xf numFmtId="0" fontId="15" fillId="0" borderId="87"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88" xfId="0" applyFont="1" applyBorder="1" applyAlignment="1" applyProtection="1">
      <alignment horizontal="left" vertical="center"/>
    </xf>
    <xf numFmtId="0" fontId="15" fillId="8" borderId="87" xfId="0" applyFont="1" applyFill="1" applyBorder="1" applyAlignment="1" applyProtection="1">
      <alignment horizontal="left" vertical="center" wrapText="1"/>
    </xf>
    <xf numFmtId="0" fontId="15" fillId="8" borderId="0" xfId="0" applyFont="1" applyFill="1" applyBorder="1" applyAlignment="1" applyProtection="1">
      <alignment horizontal="left" vertical="center" wrapText="1"/>
    </xf>
    <xf numFmtId="0" fontId="15" fillId="8" borderId="88" xfId="0" applyFont="1" applyFill="1" applyBorder="1" applyAlignment="1" applyProtection="1">
      <alignment horizontal="left" vertical="center" wrapText="1"/>
    </xf>
    <xf numFmtId="0" fontId="15" fillId="4" borderId="92" xfId="0" applyFont="1" applyFill="1" applyBorder="1" applyAlignment="1" applyProtection="1">
      <alignment horizontal="left" vertical="center"/>
    </xf>
    <xf numFmtId="0" fontId="15" fillId="4" borderId="93" xfId="0" applyFont="1" applyFill="1" applyBorder="1" applyAlignment="1" applyProtection="1">
      <alignment horizontal="left" vertical="center"/>
    </xf>
    <xf numFmtId="0" fontId="15" fillId="4" borderId="94" xfId="0" applyFont="1" applyFill="1" applyBorder="1" applyAlignment="1" applyProtection="1">
      <alignment horizontal="left" vertical="center"/>
    </xf>
    <xf numFmtId="0" fontId="15" fillId="0" borderId="227" xfId="0" applyFont="1" applyBorder="1" applyAlignment="1" applyProtection="1">
      <alignment horizontal="center" vertical="center" wrapText="1"/>
    </xf>
    <xf numFmtId="0" fontId="15" fillId="0" borderId="228" xfId="0" applyFont="1" applyBorder="1" applyAlignment="1" applyProtection="1">
      <alignment horizontal="center" vertical="center" wrapText="1"/>
    </xf>
    <xf numFmtId="0" fontId="15" fillId="0" borderId="229" xfId="0" applyFont="1" applyBorder="1" applyAlignment="1" applyProtection="1">
      <alignment horizontal="center" vertical="center" wrapText="1"/>
    </xf>
    <xf numFmtId="0" fontId="15" fillId="8" borderId="87" xfId="0" applyFont="1" applyFill="1" applyBorder="1" applyAlignment="1" applyProtection="1">
      <alignment horizontal="left" vertical="center"/>
    </xf>
    <xf numFmtId="0" fontId="15" fillId="8" borderId="0" xfId="0" applyFont="1" applyFill="1" applyBorder="1" applyAlignment="1" applyProtection="1">
      <alignment horizontal="left" vertical="center"/>
    </xf>
    <xf numFmtId="0" fontId="15" fillId="8" borderId="88" xfId="0" applyFont="1" applyFill="1" applyBorder="1" applyAlignment="1" applyProtection="1">
      <alignment horizontal="left" vertical="center"/>
    </xf>
    <xf numFmtId="0" fontId="15" fillId="8" borderId="92" xfId="0" applyFont="1" applyFill="1" applyBorder="1" applyAlignment="1" applyProtection="1">
      <alignment horizontal="left" vertical="center"/>
    </xf>
    <xf numFmtId="0" fontId="15" fillId="8" borderId="93" xfId="0" applyFont="1" applyFill="1" applyBorder="1" applyAlignment="1" applyProtection="1">
      <alignment horizontal="left" vertical="center"/>
    </xf>
    <xf numFmtId="0" fontId="15" fillId="8" borderId="94" xfId="0" applyFont="1" applyFill="1" applyBorder="1" applyAlignment="1" applyProtection="1">
      <alignment horizontal="left" vertical="center"/>
    </xf>
    <xf numFmtId="166" fontId="31" fillId="8" borderId="0" xfId="5" applyNumberFormat="1" applyFont="1" applyFill="1" applyBorder="1" applyAlignment="1" applyProtection="1">
      <alignment horizontal="center"/>
      <protection locked="0"/>
    </xf>
    <xf numFmtId="166" fontId="31" fillId="8" borderId="88" xfId="5" applyNumberFormat="1" applyFont="1" applyFill="1" applyBorder="1" applyAlignment="1" applyProtection="1">
      <alignment horizontal="center"/>
      <protection locked="0"/>
    </xf>
    <xf numFmtId="0" fontId="15" fillId="2" borderId="41" xfId="0" applyFont="1" applyFill="1" applyBorder="1" applyAlignment="1" applyProtection="1">
      <alignment horizontal="left"/>
    </xf>
    <xf numFmtId="0" fontId="15" fillId="2" borderId="39" xfId="0" applyFont="1" applyFill="1" applyBorder="1" applyAlignment="1" applyProtection="1">
      <alignment horizontal="left"/>
    </xf>
    <xf numFmtId="0" fontId="15" fillId="0" borderId="89" xfId="0" applyFont="1" applyFill="1" applyBorder="1" applyAlignment="1" applyProtection="1">
      <alignment horizontal="center" vertical="center" wrapText="1"/>
    </xf>
    <xf numFmtId="0" fontId="15" fillId="0" borderId="92" xfId="0" applyFont="1" applyFill="1" applyBorder="1" applyAlignment="1" applyProtection="1">
      <alignment horizontal="center" vertical="center" wrapText="1"/>
    </xf>
    <xf numFmtId="0" fontId="15" fillId="0" borderId="90" xfId="0" applyFont="1" applyFill="1" applyBorder="1" applyAlignment="1" applyProtection="1">
      <alignment horizontal="center" vertical="center"/>
    </xf>
    <xf numFmtId="0" fontId="15" fillId="0" borderId="93" xfId="0" applyFont="1" applyFill="1" applyBorder="1" applyAlignment="1" applyProtection="1">
      <alignment horizontal="center" vertical="center"/>
    </xf>
    <xf numFmtId="0" fontId="15" fillId="0" borderId="90" xfId="0" applyFont="1" applyFill="1" applyBorder="1" applyAlignment="1" applyProtection="1">
      <alignment horizontal="center" vertical="center" wrapText="1"/>
    </xf>
    <xf numFmtId="0" fontId="15" fillId="0" borderId="93" xfId="0" applyFont="1" applyFill="1" applyBorder="1" applyAlignment="1" applyProtection="1">
      <alignment horizontal="center" vertical="center" wrapText="1"/>
    </xf>
    <xf numFmtId="0" fontId="24" fillId="0" borderId="90" xfId="0" applyFont="1" applyFill="1" applyBorder="1" applyAlignment="1" applyProtection="1">
      <alignment horizontal="center" vertical="center" wrapText="1"/>
    </xf>
    <xf numFmtId="0" fontId="24" fillId="0" borderId="93" xfId="0" applyFont="1" applyFill="1" applyBorder="1" applyAlignment="1" applyProtection="1">
      <alignment horizontal="center" vertical="center" wrapText="1"/>
    </xf>
    <xf numFmtId="0" fontId="24" fillId="0" borderId="91" xfId="0" applyFont="1" applyFill="1" applyBorder="1" applyAlignment="1" applyProtection="1">
      <alignment horizontal="center" vertical="center" wrapText="1"/>
    </xf>
    <xf numFmtId="0" fontId="24" fillId="0" borderId="94" xfId="0" applyFont="1" applyFill="1" applyBorder="1" applyAlignment="1" applyProtection="1">
      <alignment horizontal="center" vertical="center" wrapText="1"/>
    </xf>
    <xf numFmtId="0" fontId="31" fillId="8" borderId="0" xfId="0" applyFont="1" applyFill="1" applyBorder="1" applyAlignment="1" applyProtection="1">
      <alignment horizontal="center"/>
      <protection locked="0"/>
    </xf>
    <xf numFmtId="0" fontId="31" fillId="8" borderId="88" xfId="0" applyFont="1" applyFill="1" applyBorder="1" applyAlignment="1" applyProtection="1">
      <alignment horizontal="center"/>
      <protection locked="0"/>
    </xf>
    <xf numFmtId="0" fontId="31" fillId="0" borderId="0" xfId="0" applyFont="1" applyFill="1" applyBorder="1" applyAlignment="1" applyProtection="1">
      <alignment horizontal="center"/>
      <protection locked="0"/>
    </xf>
    <xf numFmtId="0" fontId="31" fillId="0" borderId="88" xfId="0" applyFont="1" applyFill="1" applyBorder="1" applyAlignment="1" applyProtection="1">
      <alignment horizontal="center"/>
      <protection locked="0"/>
    </xf>
    <xf numFmtId="0" fontId="31" fillId="8" borderId="93" xfId="0" applyFont="1" applyFill="1" applyBorder="1" applyAlignment="1" applyProtection="1">
      <alignment horizontal="center"/>
      <protection locked="0"/>
    </xf>
    <xf numFmtId="0" fontId="31" fillId="8" borderId="94" xfId="0" applyFont="1" applyFill="1" applyBorder="1" applyAlignment="1" applyProtection="1">
      <alignment horizontal="center"/>
      <protection locked="0"/>
    </xf>
    <xf numFmtId="0" fontId="38" fillId="0" borderId="117" xfId="6" applyBorder="1" applyAlignment="1" applyProtection="1">
      <alignment horizontal="center" vertical="center" wrapText="1"/>
      <protection locked="0"/>
    </xf>
    <xf numFmtId="0" fontId="38" fillId="0" borderId="118" xfId="6" applyBorder="1" applyAlignment="1" applyProtection="1">
      <alignment horizontal="center" vertical="center" wrapText="1"/>
      <protection locked="0"/>
    </xf>
    <xf numFmtId="17" fontId="15" fillId="0" borderId="0"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38" fillId="0" borderId="0" xfId="6" applyBorder="1" applyAlignment="1" applyProtection="1">
      <alignment horizontal="center" vertical="center" wrapText="1"/>
    </xf>
    <xf numFmtId="0" fontId="14" fillId="0" borderId="21" xfId="0" applyFont="1" applyBorder="1" applyAlignment="1" applyProtection="1">
      <alignment horizontal="center" vertical="center"/>
    </xf>
    <xf numFmtId="0" fontId="14" fillId="0" borderId="22" xfId="0" applyFont="1" applyBorder="1" applyAlignment="1" applyProtection="1">
      <alignment horizontal="center" vertical="center"/>
    </xf>
    <xf numFmtId="0" fontId="14" fillId="0" borderId="23" xfId="0" applyFont="1" applyBorder="1" applyAlignment="1" applyProtection="1">
      <alignment horizontal="center" vertical="center"/>
    </xf>
    <xf numFmtId="0" fontId="16" fillId="0" borderId="89" xfId="0" applyFont="1" applyFill="1" applyBorder="1" applyAlignment="1" applyProtection="1">
      <alignment horizontal="center"/>
    </xf>
    <xf numFmtId="0" fontId="16" fillId="0" borderId="90" xfId="0" applyFont="1" applyFill="1" applyBorder="1" applyAlignment="1" applyProtection="1">
      <alignment horizontal="center"/>
    </xf>
    <xf numFmtId="0" fontId="16" fillId="0" borderId="87" xfId="0" applyFont="1" applyFill="1" applyBorder="1" applyAlignment="1" applyProtection="1">
      <alignment horizontal="center"/>
    </xf>
    <xf numFmtId="0" fontId="16" fillId="0" borderId="0" xfId="0" applyFont="1" applyFill="1" applyBorder="1" applyAlignment="1" applyProtection="1">
      <alignment horizontal="center"/>
    </xf>
    <xf numFmtId="164" fontId="15" fillId="2" borderId="26" xfId="1" applyNumberFormat="1" applyFont="1" applyFill="1" applyBorder="1" applyAlignment="1" applyProtection="1">
      <alignment horizontal="left" vertical="center"/>
    </xf>
    <xf numFmtId="164" fontId="15" fillId="2" borderId="0" xfId="1" applyNumberFormat="1" applyFont="1" applyFill="1" applyBorder="1" applyAlignment="1" applyProtection="1">
      <alignment horizontal="left" vertical="center"/>
    </xf>
    <xf numFmtId="0" fontId="16" fillId="2" borderId="26" xfId="0" applyFont="1" applyFill="1" applyBorder="1" applyAlignment="1" applyProtection="1">
      <alignment horizontal="left" vertical="center" wrapText="1"/>
    </xf>
    <xf numFmtId="0" fontId="16" fillId="2" borderId="28" xfId="0"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16" fillId="2" borderId="30" xfId="0" applyFont="1" applyFill="1" applyBorder="1" applyAlignment="1" applyProtection="1">
      <alignment horizontal="left" vertical="center" wrapText="1"/>
    </xf>
    <xf numFmtId="164" fontId="15" fillId="2" borderId="2" xfId="1" applyNumberFormat="1" applyFont="1" applyFill="1" applyBorder="1" applyAlignment="1" applyProtection="1">
      <alignment horizontal="left" vertical="center"/>
    </xf>
    <xf numFmtId="164" fontId="15" fillId="2" borderId="32" xfId="1" applyNumberFormat="1" applyFont="1" applyFill="1" applyBorder="1" applyAlignment="1" applyProtection="1">
      <alignment horizontal="left" vertical="center"/>
    </xf>
    <xf numFmtId="0" fontId="16" fillId="2" borderId="0" xfId="0" applyFont="1" applyFill="1" applyBorder="1" applyAlignment="1" applyProtection="1">
      <alignment horizontal="left" vertical="center" wrapText="1" indent="1"/>
    </xf>
    <xf numFmtId="0" fontId="16" fillId="2" borderId="33" xfId="0" applyFont="1" applyFill="1" applyBorder="1" applyAlignment="1" applyProtection="1">
      <alignment horizontal="left" vertical="center" wrapText="1" indent="1"/>
    </xf>
    <xf numFmtId="164" fontId="15" fillId="2" borderId="25" xfId="1" applyNumberFormat="1" applyFont="1" applyFill="1" applyBorder="1" applyAlignment="1" applyProtection="1">
      <alignment horizontal="left" vertical="center"/>
    </xf>
    <xf numFmtId="164" fontId="15" fillId="2" borderId="3" xfId="1" applyNumberFormat="1" applyFont="1" applyFill="1" applyBorder="1" applyAlignment="1" applyProtection="1">
      <alignment horizontal="left" vertical="center"/>
    </xf>
    <xf numFmtId="0" fontId="16" fillId="2" borderId="26" xfId="0" applyFont="1" applyFill="1" applyBorder="1" applyAlignment="1" applyProtection="1">
      <alignment horizontal="left" vertical="center" wrapText="1" indent="1"/>
    </xf>
    <xf numFmtId="0" fontId="16" fillId="2" borderId="2" xfId="0" applyFont="1" applyFill="1" applyBorder="1" applyAlignment="1" applyProtection="1">
      <alignment horizontal="left" vertical="center" wrapText="1" indent="1"/>
    </xf>
    <xf numFmtId="0" fontId="4" fillId="5" borderId="49" xfId="0" applyFont="1" applyFill="1" applyBorder="1" applyAlignment="1" applyProtection="1">
      <alignment horizontal="left" vertical="center"/>
    </xf>
    <xf numFmtId="0" fontId="4" fillId="5" borderId="0" xfId="0" applyFont="1" applyFill="1" applyBorder="1" applyAlignment="1" applyProtection="1">
      <alignment horizontal="left" vertical="center"/>
    </xf>
    <xf numFmtId="0" fontId="15" fillId="0" borderId="91" xfId="0" applyFont="1" applyFill="1" applyBorder="1" applyAlignment="1" applyProtection="1">
      <alignment horizontal="center" vertical="center"/>
    </xf>
    <xf numFmtId="0" fontId="15" fillId="0" borderId="88" xfId="0" applyFont="1" applyFill="1" applyBorder="1" applyAlignment="1" applyProtection="1">
      <alignment horizontal="center" vertical="center"/>
    </xf>
    <xf numFmtId="0" fontId="15" fillId="0" borderId="94" xfId="0" applyFont="1" applyFill="1" applyBorder="1" applyAlignment="1" applyProtection="1">
      <alignment horizontal="center" vertical="center"/>
    </xf>
    <xf numFmtId="164" fontId="15" fillId="2" borderId="183" xfId="1" applyNumberFormat="1" applyFont="1" applyFill="1" applyBorder="1" applyAlignment="1" applyProtection="1">
      <alignment vertical="center"/>
    </xf>
    <xf numFmtId="164" fontId="15" fillId="2" borderId="185" xfId="1" applyNumberFormat="1" applyFont="1" applyFill="1" applyBorder="1" applyAlignment="1" applyProtection="1">
      <alignment vertical="center"/>
    </xf>
    <xf numFmtId="0" fontId="16" fillId="2" borderId="45" xfId="0" applyFont="1" applyFill="1" applyBorder="1" applyAlignment="1" applyProtection="1">
      <alignment horizontal="left" vertical="center" wrapText="1"/>
    </xf>
    <xf numFmtId="0" fontId="16" fillId="2" borderId="184" xfId="0" applyFont="1" applyFill="1" applyBorder="1" applyAlignment="1" applyProtection="1">
      <alignment horizontal="left" vertical="center" wrapText="1"/>
    </xf>
    <xf numFmtId="0" fontId="16" fillId="2" borderId="93" xfId="0" applyFont="1" applyFill="1" applyBorder="1" applyAlignment="1" applyProtection="1">
      <alignment horizontal="left" vertical="center" wrapText="1"/>
    </xf>
    <xf numFmtId="0" fontId="16" fillId="2" borderId="94" xfId="0" applyFont="1" applyFill="1" applyBorder="1" applyAlignment="1" applyProtection="1">
      <alignment horizontal="left" vertical="center" wrapText="1"/>
    </xf>
    <xf numFmtId="0" fontId="98" fillId="8" borderId="0" xfId="0" applyFont="1" applyFill="1" applyAlignment="1" applyProtection="1">
      <alignment horizontal="left" vertical="center"/>
    </xf>
    <xf numFmtId="0" fontId="45" fillId="0" borderId="46"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15" fillId="0" borderId="228" xfId="0" applyFont="1" applyFill="1" applyBorder="1" applyAlignment="1" applyProtection="1">
      <alignment horizontal="center" vertical="center" wrapText="1"/>
    </xf>
    <xf numFmtId="0" fontId="31" fillId="8" borderId="90" xfId="0" applyFont="1" applyFill="1" applyBorder="1" applyAlignment="1" applyProtection="1">
      <alignment horizontal="center"/>
      <protection locked="0"/>
    </xf>
    <xf numFmtId="0" fontId="4" fillId="5" borderId="0" xfId="0" applyFont="1" applyFill="1" applyAlignment="1" applyProtection="1">
      <alignment horizontal="left" vertical="center"/>
    </xf>
    <xf numFmtId="0" fontId="15" fillId="0" borderId="228" xfId="0" applyFont="1" applyFill="1" applyBorder="1" applyAlignment="1" applyProtection="1">
      <alignment horizontal="center" vertical="center"/>
    </xf>
    <xf numFmtId="0" fontId="15" fillId="0" borderId="229" xfId="0" applyFont="1" applyFill="1" applyBorder="1" applyAlignment="1" applyProtection="1">
      <alignment horizontal="center" vertical="center"/>
    </xf>
    <xf numFmtId="0" fontId="31" fillId="8" borderId="91" xfId="0" applyFont="1" applyFill="1" applyBorder="1" applyAlignment="1" applyProtection="1">
      <alignment horizontal="center"/>
      <protection locked="0"/>
    </xf>
    <xf numFmtId="0" fontId="15" fillId="8" borderId="87" xfId="0" applyFont="1" applyFill="1" applyBorder="1" applyAlignment="1" applyProtection="1">
      <alignment horizontal="left"/>
    </xf>
    <xf numFmtId="0" fontId="15" fillId="8" borderId="0" xfId="0" applyFont="1" applyFill="1" applyBorder="1" applyAlignment="1" applyProtection="1">
      <alignment horizontal="left"/>
    </xf>
    <xf numFmtId="0" fontId="15" fillId="0" borderId="87" xfId="0" applyFont="1" applyFill="1" applyBorder="1" applyAlignment="1" applyProtection="1">
      <alignment horizontal="left" indent="2"/>
    </xf>
    <xf numFmtId="0" fontId="15" fillId="0" borderId="0" xfId="0" applyFont="1" applyFill="1" applyBorder="1" applyAlignment="1" applyProtection="1">
      <alignment horizontal="left" indent="2"/>
    </xf>
    <xf numFmtId="166" fontId="31" fillId="0" borderId="0" xfId="5" applyNumberFormat="1" applyFont="1" applyFill="1" applyBorder="1" applyAlignment="1" applyProtection="1">
      <alignment horizontal="center"/>
      <protection locked="0"/>
    </xf>
    <xf numFmtId="166" fontId="31" fillId="0" borderId="88" xfId="5" applyNumberFormat="1" applyFont="1" applyFill="1" applyBorder="1" applyAlignment="1" applyProtection="1">
      <alignment horizontal="center"/>
      <protection locked="0"/>
    </xf>
    <xf numFmtId="0" fontId="49" fillId="8" borderId="0" xfId="0" applyFont="1" applyFill="1" applyAlignment="1" applyProtection="1">
      <alignment horizontal="left" vertical="center" wrapText="1"/>
    </xf>
    <xf numFmtId="0" fontId="15" fillId="8" borderId="87" xfId="0" applyFont="1" applyFill="1" applyBorder="1" applyAlignment="1" applyProtection="1">
      <alignment horizontal="left" indent="4"/>
    </xf>
    <xf numFmtId="0" fontId="15" fillId="8" borderId="0" xfId="0" applyFont="1" applyFill="1" applyBorder="1" applyAlignment="1" applyProtection="1">
      <alignment horizontal="left" indent="4"/>
    </xf>
    <xf numFmtId="0" fontId="15" fillId="0" borderId="92" xfId="0" applyFont="1" applyFill="1" applyBorder="1" applyAlignment="1" applyProtection="1">
      <alignment horizontal="left" indent="4"/>
    </xf>
    <xf numFmtId="0" fontId="15" fillId="0" borderId="93" xfId="0" applyFont="1" applyFill="1" applyBorder="1" applyAlignment="1" applyProtection="1">
      <alignment horizontal="left" indent="4"/>
    </xf>
    <xf numFmtId="0" fontId="15" fillId="0" borderId="87" xfId="0" applyFont="1" applyFill="1" applyBorder="1" applyAlignment="1" applyProtection="1">
      <alignment horizontal="left" indent="4"/>
    </xf>
    <xf numFmtId="0" fontId="15" fillId="0" borderId="0" xfId="0" applyFont="1" applyFill="1" applyBorder="1" applyAlignment="1" applyProtection="1">
      <alignment horizontal="left" indent="4"/>
    </xf>
    <xf numFmtId="166" fontId="31" fillId="0" borderId="93" xfId="5" applyNumberFormat="1" applyFont="1" applyFill="1" applyBorder="1" applyAlignment="1" applyProtection="1">
      <alignment horizontal="center"/>
      <protection locked="0"/>
    </xf>
    <xf numFmtId="166" fontId="31" fillId="0" borderId="94" xfId="5" applyNumberFormat="1" applyFont="1" applyFill="1" applyBorder="1" applyAlignment="1" applyProtection="1">
      <alignment horizontal="center"/>
      <protection locked="0"/>
    </xf>
    <xf numFmtId="0" fontId="15" fillId="4" borderId="352" xfId="0" applyFont="1" applyFill="1" applyBorder="1" applyAlignment="1" applyProtection="1">
      <alignment horizontal="center" vertical="center"/>
    </xf>
    <xf numFmtId="0" fontId="16" fillId="4" borderId="352" xfId="0" applyNumberFormat="1" applyFont="1" applyFill="1" applyBorder="1" applyAlignment="1" applyProtection="1">
      <alignment horizontal="center" vertical="center"/>
    </xf>
    <xf numFmtId="0" fontId="17" fillId="8" borderId="284" xfId="0" applyFont="1" applyFill="1" applyBorder="1" applyAlignment="1" applyProtection="1">
      <alignment horizontal="left" vertical="center"/>
      <protection locked="0"/>
    </xf>
    <xf numFmtId="0" fontId="17" fillId="8" borderId="0" xfId="0" applyFont="1" applyFill="1" applyBorder="1" applyAlignment="1" applyProtection="1">
      <alignment horizontal="left" vertical="center"/>
      <protection locked="0"/>
    </xf>
    <xf numFmtId="0" fontId="17" fillId="8" borderId="285" xfId="0" applyFont="1" applyFill="1" applyBorder="1" applyAlignment="1" applyProtection="1">
      <alignment horizontal="left" vertical="center"/>
      <protection locked="0"/>
    </xf>
    <xf numFmtId="0" fontId="17" fillId="0" borderId="284" xfId="0" applyFont="1" applyFill="1" applyBorder="1" applyAlignment="1" applyProtection="1">
      <alignment horizontal="left" vertical="center"/>
      <protection locked="0"/>
    </xf>
    <xf numFmtId="0" fontId="17" fillId="0" borderId="0" xfId="0" applyFont="1" applyFill="1" applyBorder="1" applyAlignment="1" applyProtection="1">
      <alignment horizontal="left" vertical="center"/>
      <protection locked="0"/>
    </xf>
    <xf numFmtId="0" fontId="17" fillId="0" borderId="285" xfId="0" applyFont="1" applyFill="1" applyBorder="1" applyAlignment="1" applyProtection="1">
      <alignment horizontal="left" vertical="center"/>
      <protection locked="0"/>
    </xf>
    <xf numFmtId="0" fontId="17" fillId="0" borderId="286" xfId="0" applyFont="1" applyFill="1" applyBorder="1" applyAlignment="1" applyProtection="1">
      <alignment horizontal="left" vertical="center"/>
      <protection locked="0"/>
    </xf>
    <xf numFmtId="0" fontId="17" fillId="0" borderId="287" xfId="0" applyFont="1" applyFill="1" applyBorder="1" applyAlignment="1" applyProtection="1">
      <alignment horizontal="left" vertical="center"/>
      <protection locked="0"/>
    </xf>
    <xf numFmtId="0" fontId="17" fillId="0" borderId="438" xfId="0" applyFont="1" applyFill="1" applyBorder="1" applyAlignment="1" applyProtection="1">
      <alignment horizontal="left" vertical="center"/>
      <protection locked="0"/>
    </xf>
    <xf numFmtId="0" fontId="30" fillId="0" borderId="227" xfId="0" applyNumberFormat="1" applyFont="1" applyBorder="1" applyAlignment="1" applyProtection="1">
      <alignment horizontal="center" vertical="center"/>
    </xf>
    <xf numFmtId="0" fontId="30" fillId="0" borderId="229" xfId="5" applyNumberFormat="1" applyFont="1" applyBorder="1" applyAlignment="1" applyProtection="1">
      <alignment horizontal="center" vertical="center"/>
    </xf>
    <xf numFmtId="0" fontId="30" fillId="0" borderId="89" xfId="0" applyFont="1" applyBorder="1" applyAlignment="1" applyProtection="1">
      <alignment horizontal="center" vertical="center"/>
    </xf>
    <xf numFmtId="0" fontId="30" fillId="0" borderId="441" xfId="0" applyFont="1" applyBorder="1" applyAlignment="1" applyProtection="1">
      <alignment horizontal="center" vertical="center"/>
    </xf>
    <xf numFmtId="0" fontId="30" fillId="0" borderId="90" xfId="0" applyFont="1" applyBorder="1" applyAlignment="1" applyProtection="1">
      <alignment horizontal="center" vertical="center"/>
    </xf>
    <xf numFmtId="0" fontId="30" fillId="0" borderId="87" xfId="0" applyFont="1" applyBorder="1" applyAlignment="1" applyProtection="1">
      <alignment horizontal="center" vertical="center"/>
    </xf>
    <xf numFmtId="0" fontId="30" fillId="0" borderId="0" xfId="0" applyFont="1" applyBorder="1" applyAlignment="1" applyProtection="1">
      <alignment horizontal="center" vertical="center"/>
    </xf>
    <xf numFmtId="0" fontId="17" fillId="8" borderId="282" xfId="0" applyFont="1" applyFill="1" applyBorder="1" applyAlignment="1" applyProtection="1">
      <alignment horizontal="left" vertical="center"/>
      <protection locked="0"/>
    </xf>
    <xf numFmtId="0" fontId="17" fillId="8" borderId="283" xfId="0" applyFont="1" applyFill="1" applyBorder="1" applyAlignment="1" applyProtection="1">
      <alignment horizontal="left" vertical="center"/>
      <protection locked="0"/>
    </xf>
    <xf numFmtId="0" fontId="17" fillId="8" borderId="440" xfId="0" applyFont="1" applyFill="1" applyBorder="1" applyAlignment="1" applyProtection="1">
      <alignment horizontal="left" vertical="center"/>
      <protection locked="0"/>
    </xf>
    <xf numFmtId="0" fontId="17" fillId="0" borderId="284" xfId="0" applyFont="1" applyBorder="1" applyAlignment="1" applyProtection="1">
      <alignment horizontal="left" vertical="center"/>
      <protection locked="0"/>
    </xf>
    <xf numFmtId="0" fontId="17" fillId="0" borderId="0" xfId="0" applyFont="1" applyAlignment="1" applyProtection="1">
      <alignment horizontal="left" vertical="center"/>
      <protection locked="0"/>
    </xf>
    <xf numFmtId="0" fontId="17" fillId="0" borderId="0" xfId="0" applyFont="1" applyBorder="1" applyAlignment="1" applyProtection="1">
      <alignment horizontal="left" vertical="center"/>
      <protection locked="0"/>
    </xf>
    <xf numFmtId="0" fontId="17" fillId="0" borderId="285" xfId="0" applyFont="1" applyBorder="1" applyAlignment="1" applyProtection="1">
      <alignment horizontal="left" vertical="center"/>
      <protection locked="0"/>
    </xf>
    <xf numFmtId="0" fontId="15" fillId="0" borderId="227" xfId="5" applyNumberFormat="1" applyFont="1" applyBorder="1" applyAlignment="1" applyProtection="1">
      <alignment horizontal="center" vertical="center"/>
    </xf>
    <xf numFmtId="0" fontId="15" fillId="0" borderId="228" xfId="0" applyNumberFormat="1" applyFont="1" applyBorder="1" applyAlignment="1" applyProtection="1">
      <alignment horizontal="center" vertical="center"/>
    </xf>
    <xf numFmtId="0" fontId="15" fillId="0" borderId="229" xfId="5" applyNumberFormat="1" applyFont="1" applyBorder="1" applyAlignment="1" applyProtection="1">
      <alignment horizontal="center" vertical="center"/>
    </xf>
    <xf numFmtId="0" fontId="15" fillId="0" borderId="228" xfId="5" applyNumberFormat="1" applyFont="1" applyBorder="1" applyAlignment="1" applyProtection="1">
      <alignment horizontal="center" vertical="center"/>
    </xf>
    <xf numFmtId="0" fontId="30" fillId="0" borderId="91" xfId="0" applyFont="1" applyBorder="1" applyAlignment="1" applyProtection="1">
      <alignment horizontal="center" vertical="center" wrapText="1"/>
    </xf>
    <xf numFmtId="0" fontId="30" fillId="0" borderId="442" xfId="0" applyFont="1" applyBorder="1" applyAlignment="1" applyProtection="1">
      <alignment horizontal="center" vertical="center" wrapText="1"/>
    </xf>
    <xf numFmtId="0" fontId="33" fillId="5" borderId="89" xfId="0" applyFont="1" applyFill="1" applyBorder="1" applyAlignment="1" applyProtection="1">
      <alignment horizontal="center" vertical="center"/>
    </xf>
    <xf numFmtId="0" fontId="33" fillId="5" borderId="92" xfId="0" applyFont="1" applyFill="1" applyBorder="1" applyAlignment="1" applyProtection="1">
      <alignment horizontal="center" vertical="center"/>
    </xf>
    <xf numFmtId="0" fontId="28" fillId="5" borderId="90" xfId="0" applyFont="1" applyFill="1" applyBorder="1" applyAlignment="1" applyProtection="1">
      <alignment horizontal="center" vertical="center"/>
    </xf>
    <xf numFmtId="0" fontId="28" fillId="5" borderId="93" xfId="0" applyFont="1" applyFill="1" applyBorder="1" applyAlignment="1" applyProtection="1">
      <alignment horizontal="center" vertical="center"/>
    </xf>
    <xf numFmtId="0" fontId="38" fillId="0" borderId="125" xfId="6" applyBorder="1" applyAlignment="1" applyProtection="1">
      <alignment horizontal="center" vertical="center" wrapText="1"/>
      <protection locked="0"/>
    </xf>
    <xf numFmtId="0" fontId="38" fillId="0" borderId="127" xfId="6" applyBorder="1" applyAlignment="1" applyProtection="1">
      <alignment horizontal="center" vertical="center" wrapText="1"/>
      <protection locked="0"/>
    </xf>
    <xf numFmtId="0" fontId="4" fillId="5" borderId="307" xfId="0" applyFont="1" applyFill="1" applyBorder="1" applyAlignment="1" applyProtection="1">
      <alignment horizontal="left" vertical="center"/>
    </xf>
    <xf numFmtId="0" fontId="4" fillId="5" borderId="308" xfId="0" applyFont="1" applyFill="1" applyBorder="1" applyAlignment="1" applyProtection="1">
      <alignment horizontal="left" vertical="center"/>
    </xf>
    <xf numFmtId="0" fontId="38" fillId="0" borderId="494" xfId="6" applyBorder="1" applyAlignment="1" applyProtection="1">
      <alignment horizontal="center" vertical="center" wrapText="1"/>
      <protection locked="0"/>
    </xf>
    <xf numFmtId="43" fontId="38" fillId="0" borderId="117" xfId="5" applyFont="1" applyBorder="1" applyAlignment="1" applyProtection="1">
      <alignment horizontal="center" vertical="center" wrapText="1"/>
      <protection locked="0"/>
    </xf>
    <xf numFmtId="43" fontId="38" fillId="0" borderId="118" xfId="5" applyFont="1" applyBorder="1" applyAlignment="1" applyProtection="1">
      <alignment horizontal="center" vertical="center" wrapText="1"/>
      <protection locked="0"/>
    </xf>
    <xf numFmtId="0" fontId="45" fillId="0" borderId="99" xfId="0" applyFont="1" applyFill="1" applyBorder="1" applyAlignment="1" applyProtection="1">
      <alignment horizontal="left" vertical="center" wrapText="1"/>
      <protection locked="0"/>
    </xf>
    <xf numFmtId="0" fontId="38" fillId="0" borderId="125" xfId="6" applyBorder="1" applyAlignment="1" applyProtection="1">
      <alignment horizontal="center" vertical="center"/>
      <protection locked="0"/>
    </xf>
    <xf numFmtId="0" fontId="38" fillId="0" borderId="127" xfId="6" applyBorder="1" applyAlignment="1" applyProtection="1">
      <alignment horizontal="center" vertical="center"/>
      <protection locked="0"/>
    </xf>
    <xf numFmtId="0" fontId="0" fillId="0" borderId="116" xfId="0" applyBorder="1" applyAlignment="1" applyProtection="1">
      <alignment horizontal="right" vertical="center"/>
    </xf>
    <xf numFmtId="0" fontId="0" fillId="0" borderId="114" xfId="0" applyBorder="1" applyAlignment="1" applyProtection="1">
      <alignment horizontal="right" vertical="center"/>
    </xf>
    <xf numFmtId="0" fontId="16" fillId="2" borderId="2" xfId="0" applyFont="1" applyFill="1" applyBorder="1" applyAlignment="1" applyProtection="1">
      <alignment horizontal="left" vertical="center" wrapText="1"/>
    </xf>
    <xf numFmtId="164" fontId="15" fillId="2" borderId="26" xfId="1" applyNumberFormat="1" applyFont="1" applyFill="1" applyBorder="1" applyAlignment="1" applyProtection="1">
      <alignment horizontal="center" vertical="center"/>
    </xf>
    <xf numFmtId="164" fontId="15" fillId="2" borderId="0" xfId="1" applyNumberFormat="1" applyFont="1" applyFill="1" applyBorder="1" applyAlignment="1" applyProtection="1">
      <alignment horizontal="center" vertical="center"/>
    </xf>
    <xf numFmtId="0" fontId="16" fillId="2" borderId="33" xfId="0" applyFont="1" applyFill="1" applyBorder="1" applyAlignment="1" applyProtection="1">
      <alignment horizontal="left" vertical="center" wrapText="1"/>
    </xf>
    <xf numFmtId="0" fontId="4" fillId="5" borderId="305" xfId="0" applyFont="1" applyFill="1" applyBorder="1" applyAlignment="1" applyProtection="1">
      <alignment horizontal="left" vertical="center"/>
    </xf>
    <xf numFmtId="0" fontId="4" fillId="5" borderId="306" xfId="0" applyFont="1" applyFill="1" applyBorder="1" applyAlignment="1" applyProtection="1">
      <alignment horizontal="left" vertical="center"/>
    </xf>
    <xf numFmtId="0" fontId="30" fillId="0" borderId="90" xfId="0" applyFont="1" applyBorder="1" applyAlignment="1" applyProtection="1">
      <alignment horizontal="center" vertical="center" wrapText="1"/>
    </xf>
    <xf numFmtId="0" fontId="30" fillId="0" borderId="0" xfId="0" applyFont="1" applyBorder="1" applyAlignment="1" applyProtection="1">
      <alignment horizontal="center" vertical="center" wrapText="1"/>
    </xf>
    <xf numFmtId="0" fontId="30" fillId="0" borderId="95" xfId="0" applyNumberFormat="1" applyFont="1" applyBorder="1" applyAlignment="1" applyProtection="1">
      <alignment horizontal="center" vertical="center" wrapText="1"/>
    </xf>
    <xf numFmtId="0" fontId="30" fillId="0" borderId="96" xfId="0" applyNumberFormat="1" applyFont="1" applyBorder="1" applyAlignment="1" applyProtection="1">
      <alignment horizontal="center" vertical="center" wrapText="1"/>
    </xf>
    <xf numFmtId="0" fontId="30" fillId="0" borderId="95" xfId="5" applyNumberFormat="1" applyFont="1" applyBorder="1" applyAlignment="1" applyProtection="1">
      <alignment horizontal="center" vertical="center"/>
    </xf>
    <xf numFmtId="0" fontId="30" fillId="0" borderId="96" xfId="5" applyNumberFormat="1" applyFont="1" applyBorder="1" applyAlignment="1" applyProtection="1">
      <alignment horizontal="center" vertical="center"/>
    </xf>
    <xf numFmtId="0" fontId="16" fillId="2" borderId="4" xfId="0" applyFont="1" applyFill="1" applyBorder="1" applyAlignment="1" applyProtection="1">
      <alignment horizontal="center" vertical="center" wrapText="1"/>
    </xf>
    <xf numFmtId="0" fontId="16" fillId="2" borderId="93" xfId="0" applyFont="1" applyFill="1" applyBorder="1" applyAlignment="1" applyProtection="1">
      <alignment horizontal="center" vertical="center" wrapText="1"/>
    </xf>
    <xf numFmtId="164" fontId="15" fillId="2" borderId="90" xfId="1" applyNumberFormat="1" applyFont="1" applyFill="1" applyBorder="1" applyAlignment="1" applyProtection="1">
      <alignment horizontal="center" vertical="center"/>
    </xf>
    <xf numFmtId="0" fontId="16" fillId="4" borderId="352" xfId="0" applyFont="1" applyFill="1" applyBorder="1" applyAlignment="1" applyProtection="1">
      <alignment horizontal="center" vertical="center"/>
    </xf>
    <xf numFmtId="0" fontId="30" fillId="0" borderId="91" xfId="0" applyFont="1" applyBorder="1" applyAlignment="1" applyProtection="1">
      <alignment horizontal="center" vertical="center"/>
    </xf>
    <xf numFmtId="0" fontId="30" fillId="0" borderId="95" xfId="0" applyFont="1" applyBorder="1" applyAlignment="1" applyProtection="1">
      <alignment horizontal="center" vertical="center"/>
    </xf>
    <xf numFmtId="0" fontId="30" fillId="0" borderId="96" xfId="0" applyFont="1" applyBorder="1" applyAlignment="1" applyProtection="1">
      <alignment horizontal="center" vertical="center"/>
    </xf>
    <xf numFmtId="0" fontId="17" fillId="8" borderId="87" xfId="0" applyFont="1" applyFill="1" applyBorder="1" applyAlignment="1" applyProtection="1">
      <alignment horizontal="left" vertical="center"/>
      <protection locked="0"/>
    </xf>
    <xf numFmtId="0" fontId="17" fillId="0" borderId="87" xfId="0" applyFont="1" applyFill="1" applyBorder="1" applyAlignment="1" applyProtection="1">
      <alignment horizontal="left" vertical="center"/>
      <protection locked="0"/>
    </xf>
    <xf numFmtId="0" fontId="17" fillId="8" borderId="92" xfId="0" applyFont="1" applyFill="1" applyBorder="1" applyAlignment="1" applyProtection="1">
      <alignment horizontal="left" vertical="center"/>
      <protection locked="0"/>
    </xf>
    <xf numFmtId="0" fontId="17" fillId="8" borderId="93" xfId="0" applyFont="1" applyFill="1" applyBorder="1" applyAlignment="1" applyProtection="1">
      <alignment horizontal="left" vertical="center"/>
      <protection locked="0"/>
    </xf>
    <xf numFmtId="0" fontId="14" fillId="0" borderId="227" xfId="0" applyFont="1" applyBorder="1" applyAlignment="1" applyProtection="1">
      <alignment horizontal="center" vertical="center"/>
    </xf>
    <xf numFmtId="0" fontId="14" fillId="0" borderId="228" xfId="0" applyFont="1" applyBorder="1" applyAlignment="1" applyProtection="1">
      <alignment horizontal="center" vertical="center"/>
    </xf>
    <xf numFmtId="0" fontId="14" fillId="0" borderId="229" xfId="0" applyFont="1" applyBorder="1" applyAlignment="1" applyProtection="1">
      <alignment horizontal="center" vertical="center"/>
    </xf>
    <xf numFmtId="164" fontId="15" fillId="2" borderId="235" xfId="1" applyNumberFormat="1" applyFont="1" applyFill="1" applyBorder="1" applyAlignment="1" applyProtection="1">
      <alignment horizontal="left" vertical="center"/>
    </xf>
    <xf numFmtId="0" fontId="30" fillId="0" borderId="94" xfId="0" applyFont="1" applyBorder="1" applyAlignment="1" applyProtection="1">
      <alignment horizontal="center" vertical="center" wrapText="1"/>
    </xf>
    <xf numFmtId="0" fontId="33" fillId="5" borderId="230" xfId="0" applyFont="1" applyFill="1" applyBorder="1" applyAlignment="1" applyProtection="1">
      <alignment horizontal="center" vertical="center"/>
    </xf>
    <xf numFmtId="0" fontId="33" fillId="5" borderId="231" xfId="0" applyFont="1" applyFill="1" applyBorder="1" applyAlignment="1" applyProtection="1">
      <alignment horizontal="center" vertical="center"/>
    </xf>
    <xf numFmtId="0" fontId="30" fillId="0" borderId="93" xfId="0" applyFont="1" applyBorder="1" applyAlignment="1" applyProtection="1">
      <alignment horizontal="center" vertical="center"/>
    </xf>
    <xf numFmtId="164" fontId="15" fillId="2" borderId="239" xfId="1" applyNumberFormat="1" applyFont="1" applyFill="1" applyBorder="1" applyAlignment="1" applyProtection="1">
      <alignment horizontal="left" vertical="center"/>
    </xf>
    <xf numFmtId="0" fontId="30" fillId="0" borderId="92" xfId="0" applyFont="1" applyBorder="1" applyAlignment="1" applyProtection="1">
      <alignment horizontal="center" vertical="center"/>
    </xf>
    <xf numFmtId="0" fontId="16" fillId="2" borderId="90" xfId="0" applyFont="1" applyFill="1" applyBorder="1" applyAlignment="1" applyProtection="1">
      <alignment horizontal="left" vertical="center"/>
    </xf>
    <xf numFmtId="0" fontId="16" fillId="2" borderId="91" xfId="0" applyFont="1" applyFill="1" applyBorder="1" applyAlignment="1" applyProtection="1">
      <alignment horizontal="left" vertical="center"/>
    </xf>
    <xf numFmtId="0" fontId="16" fillId="2" borderId="47" xfId="0" applyFont="1" applyFill="1" applyBorder="1" applyAlignment="1" applyProtection="1">
      <alignment horizontal="left" vertical="center"/>
    </xf>
    <xf numFmtId="0" fontId="16" fillId="2" borderId="237" xfId="0" applyFont="1" applyFill="1" applyBorder="1" applyAlignment="1" applyProtection="1">
      <alignment horizontal="left" vertical="center"/>
    </xf>
    <xf numFmtId="0" fontId="16" fillId="2" borderId="45" xfId="0" applyFont="1" applyFill="1" applyBorder="1" applyAlignment="1" applyProtection="1">
      <alignment horizontal="left" vertical="center"/>
    </xf>
    <xf numFmtId="0" fontId="16" fillId="2" borderId="184" xfId="0" applyFont="1" applyFill="1" applyBorder="1" applyAlignment="1" applyProtection="1">
      <alignment horizontal="left" vertical="center"/>
    </xf>
    <xf numFmtId="0" fontId="16" fillId="2" borderId="93" xfId="0" applyFont="1" applyFill="1" applyBorder="1" applyAlignment="1" applyProtection="1">
      <alignment horizontal="left" vertical="center"/>
    </xf>
    <xf numFmtId="0" fontId="16" fillId="2" borderId="94" xfId="0" applyFont="1" applyFill="1" applyBorder="1" applyAlignment="1" applyProtection="1">
      <alignment horizontal="left" vertical="center"/>
    </xf>
    <xf numFmtId="0" fontId="28" fillId="5" borderId="232" xfId="0" applyFont="1" applyFill="1" applyBorder="1" applyAlignment="1" applyProtection="1">
      <alignment horizontal="left" vertical="center"/>
    </xf>
    <xf numFmtId="0" fontId="28" fillId="5" borderId="50" xfId="0" applyFont="1" applyFill="1" applyBorder="1" applyAlignment="1" applyProtection="1">
      <alignment horizontal="left" vertical="center"/>
    </xf>
    <xf numFmtId="0" fontId="28" fillId="5" borderId="115" xfId="0" applyFont="1" applyFill="1" applyBorder="1" applyAlignment="1" applyProtection="1">
      <alignment horizontal="left" vertical="center"/>
    </xf>
    <xf numFmtId="0" fontId="28" fillId="5" borderId="233" xfId="0" applyFont="1" applyFill="1" applyBorder="1" applyAlignment="1" applyProtection="1">
      <alignment horizontal="left" vertical="center"/>
    </xf>
    <xf numFmtId="0" fontId="28" fillId="5" borderId="98" xfId="0" applyFont="1" applyFill="1" applyBorder="1" applyAlignment="1" applyProtection="1">
      <alignment horizontal="left" vertical="center"/>
    </xf>
    <xf numFmtId="0" fontId="28" fillId="5" borderId="100" xfId="0" applyFont="1" applyFill="1" applyBorder="1" applyAlignment="1" applyProtection="1">
      <alignment horizontal="left" vertical="center"/>
    </xf>
    <xf numFmtId="0" fontId="30" fillId="0" borderId="225" xfId="0" applyFont="1" applyBorder="1" applyAlignment="1" applyProtection="1">
      <alignment horizontal="center" vertical="center"/>
    </xf>
    <xf numFmtId="0" fontId="30" fillId="0" borderId="205" xfId="0" applyFont="1" applyBorder="1" applyAlignment="1" applyProtection="1">
      <alignment horizontal="center" vertical="center"/>
    </xf>
    <xf numFmtId="0" fontId="16" fillId="2" borderId="90" xfId="0" applyFont="1" applyFill="1" applyBorder="1" applyAlignment="1" applyProtection="1">
      <alignment horizontal="center" vertical="center" wrapText="1"/>
    </xf>
    <xf numFmtId="0" fontId="16" fillId="2" borderId="2" xfId="0" applyFont="1" applyFill="1" applyBorder="1" applyAlignment="1" applyProtection="1">
      <alignment horizontal="center" vertical="center" wrapText="1"/>
    </xf>
    <xf numFmtId="0" fontId="17" fillId="0" borderId="92" xfId="0" applyFont="1" applyFill="1" applyBorder="1" applyAlignment="1" applyProtection="1">
      <alignment horizontal="left" vertical="center"/>
      <protection locked="0"/>
    </xf>
    <xf numFmtId="0" fontId="17" fillId="0" borderId="93" xfId="0" applyFont="1" applyFill="1" applyBorder="1" applyAlignment="1" applyProtection="1">
      <alignment horizontal="left" vertical="center"/>
      <protection locked="0"/>
    </xf>
    <xf numFmtId="0" fontId="17" fillId="0" borderId="94" xfId="0" applyFont="1" applyFill="1" applyBorder="1" applyAlignment="1" applyProtection="1">
      <alignment horizontal="left" vertical="center"/>
      <protection locked="0"/>
    </xf>
    <xf numFmtId="0" fontId="17" fillId="8" borderId="207" xfId="0" applyFont="1" applyFill="1" applyBorder="1" applyAlignment="1" applyProtection="1">
      <alignment horizontal="left" vertical="center"/>
      <protection locked="0"/>
    </xf>
    <xf numFmtId="0" fontId="15" fillId="0" borderId="90" xfId="0" applyFont="1" applyBorder="1" applyAlignment="1" applyProtection="1">
      <alignment horizontal="center" vertical="center"/>
    </xf>
    <xf numFmtId="0" fontId="15" fillId="0" borderId="91" xfId="0" applyFont="1" applyBorder="1" applyAlignment="1" applyProtection="1">
      <alignment horizontal="center" vertical="center"/>
    </xf>
    <xf numFmtId="0" fontId="15" fillId="0" borderId="89" xfId="0" applyFont="1" applyBorder="1" applyAlignment="1" applyProtection="1">
      <alignment horizontal="center" vertical="center"/>
    </xf>
    <xf numFmtId="0" fontId="17" fillId="8" borderId="88" xfId="0" applyFont="1" applyFill="1" applyBorder="1" applyAlignment="1" applyProtection="1">
      <alignment horizontal="left" vertical="center"/>
      <protection locked="0"/>
    </xf>
    <xf numFmtId="0" fontId="17" fillId="8" borderId="207" xfId="0" applyFont="1" applyFill="1" applyBorder="1" applyAlignment="1" applyProtection="1">
      <alignment vertical="center"/>
      <protection locked="0"/>
    </xf>
    <xf numFmtId="0" fontId="17" fillId="8" borderId="0" xfId="0" applyFont="1" applyFill="1" applyBorder="1" applyAlignment="1" applyProtection="1">
      <alignment vertical="center"/>
      <protection locked="0"/>
    </xf>
    <xf numFmtId="0" fontId="17" fillId="0" borderId="204" xfId="0" applyFont="1" applyBorder="1" applyAlignment="1" applyProtection="1">
      <alignment horizontal="left" vertical="center"/>
      <protection locked="0"/>
    </xf>
    <xf numFmtId="0" fontId="17" fillId="0" borderId="93" xfId="0" applyFont="1" applyBorder="1" applyAlignment="1" applyProtection="1">
      <alignment horizontal="left" vertical="center"/>
      <protection locked="0"/>
    </xf>
    <xf numFmtId="0" fontId="17" fillId="0" borderId="207" xfId="0" applyFont="1" applyBorder="1" applyAlignment="1" applyProtection="1">
      <alignment horizontal="left" vertical="center"/>
      <protection locked="0"/>
    </xf>
    <xf numFmtId="0" fontId="17" fillId="0" borderId="88" xfId="0" applyFont="1" applyFill="1" applyBorder="1" applyAlignment="1" applyProtection="1">
      <alignment horizontal="left" vertical="center"/>
      <protection locked="0"/>
    </xf>
    <xf numFmtId="0" fontId="38" fillId="0" borderId="124" xfId="6" applyBorder="1" applyAlignment="1" applyProtection="1">
      <alignment horizontal="center" vertical="center" wrapText="1"/>
      <protection locked="0"/>
    </xf>
    <xf numFmtId="0" fontId="38" fillId="0" borderId="126" xfId="6" applyBorder="1" applyAlignment="1" applyProtection="1">
      <alignment horizontal="center" vertical="center" wrapText="1"/>
      <protection locked="0"/>
    </xf>
    <xf numFmtId="0" fontId="17" fillId="8" borderId="87" xfId="0" applyFont="1" applyFill="1" applyBorder="1" applyAlignment="1" applyProtection="1">
      <alignment vertical="center"/>
      <protection locked="0"/>
    </xf>
    <xf numFmtId="0" fontId="17" fillId="8" borderId="88" xfId="0" applyFont="1" applyFill="1" applyBorder="1" applyAlignment="1" applyProtection="1">
      <alignment vertical="center"/>
      <protection locked="0"/>
    </xf>
    <xf numFmtId="0" fontId="17" fillId="8" borderId="92" xfId="0" applyFont="1" applyFill="1" applyBorder="1" applyAlignment="1" applyProtection="1">
      <alignment vertical="center"/>
      <protection locked="0"/>
    </xf>
    <xf numFmtId="0" fontId="17" fillId="8" borderId="93" xfId="0" applyFont="1" applyFill="1" applyBorder="1" applyAlignment="1" applyProtection="1">
      <alignment vertical="center"/>
      <protection locked="0"/>
    </xf>
    <xf numFmtId="0" fontId="17" fillId="8" borderId="94" xfId="0" applyFont="1" applyFill="1" applyBorder="1" applyAlignment="1" applyProtection="1">
      <alignment vertical="center"/>
      <protection locked="0"/>
    </xf>
    <xf numFmtId="0" fontId="17" fillId="0" borderId="87" xfId="0" applyFont="1" applyFill="1" applyBorder="1" applyAlignment="1" applyProtection="1">
      <alignment vertical="center"/>
      <protection locked="0"/>
    </xf>
    <xf numFmtId="0" fontId="17" fillId="0" borderId="0" xfId="0" applyFont="1" applyFill="1" applyBorder="1" applyAlignment="1" applyProtection="1">
      <alignment vertical="center"/>
      <protection locked="0"/>
    </xf>
    <xf numFmtId="0" fontId="17" fillId="8" borderId="443" xfId="0" applyFont="1" applyFill="1" applyBorder="1" applyAlignment="1" applyProtection="1">
      <alignment vertical="center"/>
      <protection locked="0"/>
    </xf>
    <xf numFmtId="0" fontId="17" fillId="8" borderId="33" xfId="0" applyFont="1" applyFill="1" applyBorder="1" applyAlignment="1" applyProtection="1">
      <alignment vertical="center"/>
      <protection locked="0"/>
    </xf>
    <xf numFmtId="0" fontId="17" fillId="0" borderId="207" xfId="0" applyFont="1" applyFill="1" applyBorder="1" applyAlignment="1" applyProtection="1">
      <alignment vertical="center"/>
      <protection locked="0"/>
    </xf>
    <xf numFmtId="0" fontId="15" fillId="0" borderId="225" xfId="0" applyFont="1" applyBorder="1" applyAlignment="1" applyProtection="1">
      <alignment horizontal="center" vertical="center"/>
    </xf>
    <xf numFmtId="0" fontId="17" fillId="8" borderId="89" xfId="0" applyFont="1" applyFill="1" applyBorder="1" applyAlignment="1" applyProtection="1">
      <alignment horizontal="left" vertical="center"/>
      <protection locked="0"/>
    </xf>
    <xf numFmtId="0" fontId="17" fillId="8" borderId="90" xfId="0" applyFont="1" applyFill="1" applyBorder="1" applyAlignment="1" applyProtection="1">
      <alignment horizontal="left" vertical="center"/>
      <protection locked="0"/>
    </xf>
    <xf numFmtId="0" fontId="17" fillId="8" borderId="91" xfId="0" applyFont="1" applyFill="1" applyBorder="1" applyAlignment="1" applyProtection="1">
      <alignment horizontal="left" vertical="center"/>
      <protection locked="0"/>
    </xf>
    <xf numFmtId="0" fontId="30" fillId="0" borderId="26" xfId="0" applyFont="1" applyBorder="1" applyAlignment="1" applyProtection="1">
      <alignment horizontal="center" vertical="center"/>
    </xf>
    <xf numFmtId="0" fontId="17" fillId="8" borderId="206" xfId="0" applyFont="1" applyFill="1" applyBorder="1" applyAlignment="1" applyProtection="1">
      <alignment horizontal="left" vertical="center"/>
      <protection locked="0"/>
    </xf>
    <xf numFmtId="0" fontId="30" fillId="0" borderId="26" xfId="0" applyFont="1" applyBorder="1" applyAlignment="1" applyProtection="1">
      <alignment horizontal="center" vertical="center" wrapText="1"/>
    </xf>
    <xf numFmtId="0" fontId="30" fillId="0" borderId="447" xfId="0" applyFont="1" applyBorder="1" applyAlignment="1" applyProtection="1">
      <alignment horizontal="center" vertical="center" wrapText="1"/>
    </xf>
    <xf numFmtId="0" fontId="30" fillId="0" borderId="93" xfId="0" applyFont="1" applyBorder="1" applyAlignment="1" applyProtection="1">
      <alignment horizontal="center" vertical="center" wrapText="1"/>
    </xf>
    <xf numFmtId="0" fontId="50" fillId="0" borderId="91" xfId="0" applyFont="1" applyBorder="1" applyAlignment="1" applyProtection="1">
      <alignment horizontal="center" vertical="center"/>
    </xf>
    <xf numFmtId="0" fontId="50" fillId="0" borderId="94" xfId="0" applyFont="1" applyBorder="1" applyAlignment="1" applyProtection="1">
      <alignment horizontal="center" vertical="center"/>
    </xf>
    <xf numFmtId="0" fontId="17" fillId="0" borderId="88" xfId="0" applyFont="1" applyFill="1" applyBorder="1" applyAlignment="1" applyProtection="1">
      <alignment vertical="center"/>
      <protection locked="0"/>
    </xf>
    <xf numFmtId="0" fontId="30" fillId="0" borderId="446" xfId="0" applyFont="1" applyBorder="1" applyAlignment="1" applyProtection="1">
      <alignment horizontal="center" vertical="center"/>
    </xf>
    <xf numFmtId="0" fontId="17" fillId="0" borderId="87" xfId="0" applyFont="1" applyBorder="1" applyAlignment="1" applyProtection="1">
      <alignment horizontal="left" vertical="center"/>
      <protection locked="0"/>
    </xf>
    <xf numFmtId="0" fontId="30" fillId="0" borderId="203" xfId="0" applyFont="1" applyBorder="1" applyAlignment="1" applyProtection="1">
      <alignment horizontal="center" vertical="center"/>
    </xf>
    <xf numFmtId="0" fontId="30" fillId="0" borderId="447" xfId="0" applyFont="1" applyBorder="1" applyAlignment="1" applyProtection="1">
      <alignment horizontal="center" vertical="center"/>
    </xf>
    <xf numFmtId="0" fontId="30" fillId="0" borderId="204" xfId="0" applyFont="1" applyBorder="1" applyAlignment="1" applyProtection="1">
      <alignment horizontal="center" vertical="center"/>
    </xf>
    <xf numFmtId="0" fontId="30" fillId="0" borderId="94" xfId="0" applyFont="1" applyBorder="1" applyAlignment="1" applyProtection="1">
      <alignment horizontal="center" vertical="center"/>
    </xf>
    <xf numFmtId="0" fontId="38" fillId="0" borderId="138" xfId="6" applyFont="1" applyBorder="1" applyAlignment="1" applyProtection="1">
      <alignment horizontal="center" vertical="center" wrapText="1"/>
    </xf>
    <xf numFmtId="0" fontId="38" fillId="0" borderId="139" xfId="6" applyFont="1" applyBorder="1" applyAlignment="1" applyProtection="1">
      <alignment horizontal="center" vertical="center" wrapText="1"/>
    </xf>
    <xf numFmtId="0" fontId="17" fillId="20" borderId="87" xfId="0" applyFont="1" applyFill="1" applyBorder="1" applyAlignment="1" applyProtection="1">
      <alignment horizontal="left" vertical="center"/>
      <protection locked="0"/>
    </xf>
    <xf numFmtId="0" fontId="17" fillId="20" borderId="0" xfId="0" applyFont="1" applyFill="1" applyBorder="1" applyAlignment="1" applyProtection="1">
      <alignment horizontal="left" vertical="center"/>
      <protection locked="0"/>
    </xf>
    <xf numFmtId="0" fontId="17" fillId="20" borderId="88" xfId="0" applyFont="1" applyFill="1" applyBorder="1" applyAlignment="1" applyProtection="1">
      <alignment horizontal="left" vertical="center"/>
      <protection locked="0"/>
    </xf>
    <xf numFmtId="0" fontId="17" fillId="19" borderId="87" xfId="0" applyFont="1" applyFill="1" applyBorder="1" applyAlignment="1" applyProtection="1">
      <alignment horizontal="left" vertical="center"/>
      <protection locked="0"/>
    </xf>
    <xf numFmtId="0" fontId="17" fillId="19" borderId="0" xfId="0" applyFont="1" applyFill="1" applyBorder="1" applyAlignment="1" applyProtection="1">
      <alignment horizontal="left" vertical="center"/>
      <protection locked="0"/>
    </xf>
    <xf numFmtId="0" fontId="17" fillId="19" borderId="88" xfId="0" applyFont="1" applyFill="1" applyBorder="1" applyAlignment="1" applyProtection="1">
      <alignment horizontal="left" vertical="center"/>
      <protection locked="0"/>
    </xf>
    <xf numFmtId="0" fontId="17" fillId="0" borderId="87" xfId="0" applyFont="1" applyBorder="1" applyAlignment="1" applyProtection="1">
      <alignment vertical="center"/>
      <protection locked="0"/>
    </xf>
    <xf numFmtId="0" fontId="17" fillId="0" borderId="0" xfId="0" applyFont="1" applyBorder="1" applyAlignment="1" applyProtection="1">
      <alignment vertical="center"/>
      <protection locked="0"/>
    </xf>
    <xf numFmtId="0" fontId="17" fillId="0" borderId="88" xfId="0" applyFont="1" applyBorder="1" applyAlignment="1" applyProtection="1">
      <alignment vertical="center"/>
      <protection locked="0"/>
    </xf>
    <xf numFmtId="0" fontId="17" fillId="19" borderId="92" xfId="0" applyFont="1" applyFill="1" applyBorder="1" applyAlignment="1" applyProtection="1">
      <alignment horizontal="left" vertical="center"/>
      <protection locked="0"/>
    </xf>
    <xf numFmtId="0" fontId="17" fillId="19" borderId="93" xfId="0" applyFont="1" applyFill="1" applyBorder="1" applyAlignment="1" applyProtection="1">
      <alignment horizontal="left" vertical="center"/>
      <protection locked="0"/>
    </xf>
    <xf numFmtId="0" fontId="17" fillId="19" borderId="94" xfId="0" applyFont="1" applyFill="1" applyBorder="1" applyAlignment="1" applyProtection="1">
      <alignment horizontal="left" vertical="center"/>
      <protection locked="0"/>
    </xf>
    <xf numFmtId="0" fontId="33" fillId="5" borderId="0" xfId="0" applyFont="1" applyFill="1" applyAlignment="1" applyProtection="1">
      <alignment horizontal="center" vertical="center"/>
    </xf>
    <xf numFmtId="0" fontId="28" fillId="5" borderId="0" xfId="0" applyFont="1" applyFill="1" applyAlignment="1" applyProtection="1">
      <alignment horizontal="center" vertical="center"/>
    </xf>
    <xf numFmtId="0" fontId="17" fillId="19" borderId="89" xfId="0" applyFont="1" applyFill="1" applyBorder="1" applyAlignment="1" applyProtection="1">
      <alignment horizontal="left" vertical="center"/>
      <protection locked="0"/>
    </xf>
    <xf numFmtId="0" fontId="17" fillId="19" borderId="90" xfId="0" applyFont="1" applyFill="1" applyBorder="1" applyAlignment="1" applyProtection="1">
      <alignment horizontal="left" vertical="center"/>
      <protection locked="0"/>
    </xf>
    <xf numFmtId="0" fontId="17" fillId="19" borderId="91" xfId="0" applyFont="1" applyFill="1" applyBorder="1" applyAlignment="1" applyProtection="1">
      <alignment horizontal="left" vertical="center"/>
      <protection locked="0"/>
    </xf>
    <xf numFmtId="0" fontId="17" fillId="8" borderId="0" xfId="0" applyFont="1" applyFill="1" applyAlignment="1" applyProtection="1">
      <alignment horizontal="left" vertical="center"/>
      <protection locked="0"/>
    </xf>
    <xf numFmtId="0" fontId="17" fillId="0" borderId="92" xfId="0" applyFont="1" applyBorder="1" applyAlignment="1" applyProtection="1">
      <alignment vertical="center"/>
      <protection locked="0"/>
    </xf>
    <xf numFmtId="0" fontId="17" fillId="0" borderId="93" xfId="0" applyFont="1" applyBorder="1" applyAlignment="1" applyProtection="1">
      <alignment vertical="center"/>
      <protection locked="0"/>
    </xf>
    <xf numFmtId="0" fontId="17" fillId="0" borderId="94" xfId="0" applyFont="1" applyBorder="1" applyAlignment="1" applyProtection="1">
      <alignment vertical="center"/>
      <protection locked="0"/>
    </xf>
    <xf numFmtId="0" fontId="17" fillId="0" borderId="220" xfId="0" applyFont="1" applyFill="1" applyBorder="1" applyAlignment="1" applyProtection="1">
      <alignment vertical="center"/>
      <protection locked="0"/>
    </xf>
    <xf numFmtId="0" fontId="17" fillId="8" borderId="220" xfId="0" applyFont="1" applyFill="1" applyBorder="1" applyAlignment="1" applyProtection="1">
      <alignment vertical="center"/>
      <protection locked="0"/>
    </xf>
    <xf numFmtId="0" fontId="17" fillId="0" borderId="222" xfId="0" applyFont="1" applyFill="1" applyBorder="1" applyAlignment="1" applyProtection="1">
      <alignment vertical="center"/>
      <protection locked="0"/>
    </xf>
    <xf numFmtId="0" fontId="17" fillId="0" borderId="210" xfId="0" applyFont="1" applyFill="1" applyBorder="1" applyAlignment="1" applyProtection="1">
      <alignment vertical="center"/>
      <protection locked="0"/>
    </xf>
    <xf numFmtId="0" fontId="28" fillId="5" borderId="0" xfId="0" applyFont="1" applyFill="1" applyBorder="1" applyAlignment="1" applyProtection="1">
      <alignment horizontal="center" vertical="center"/>
    </xf>
    <xf numFmtId="0" fontId="33" fillId="5" borderId="87" xfId="0" applyFont="1" applyFill="1" applyBorder="1" applyAlignment="1" applyProtection="1">
      <alignment horizontal="center" vertical="center"/>
    </xf>
    <xf numFmtId="0" fontId="17" fillId="8" borderId="206" xfId="0" applyFont="1" applyFill="1" applyBorder="1" applyAlignment="1" applyProtection="1">
      <alignment vertical="center"/>
      <protection locked="0"/>
    </xf>
    <xf numFmtId="0" fontId="17" fillId="8" borderId="90" xfId="0" applyFont="1" applyFill="1" applyBorder="1" applyAlignment="1" applyProtection="1">
      <alignment vertical="center"/>
      <protection locked="0"/>
    </xf>
    <xf numFmtId="0" fontId="17" fillId="0" borderId="207" xfId="0" applyFont="1" applyBorder="1" applyAlignment="1" applyProtection="1">
      <alignment vertical="center"/>
      <protection locked="0"/>
    </xf>
    <xf numFmtId="164" fontId="15" fillId="2" borderId="193" xfId="1" applyNumberFormat="1" applyFont="1" applyFill="1" applyBorder="1" applyAlignment="1" applyProtection="1">
      <alignment vertical="center"/>
    </xf>
    <xf numFmtId="0" fontId="17" fillId="8" borderId="89" xfId="0" applyFont="1" applyFill="1" applyBorder="1" applyAlignment="1" applyProtection="1">
      <alignment vertical="center"/>
      <protection locked="0"/>
    </xf>
    <xf numFmtId="0" fontId="17" fillId="8" borderId="91" xfId="0" applyFont="1" applyFill="1" applyBorder="1" applyAlignment="1" applyProtection="1">
      <alignment vertical="center"/>
      <protection locked="0"/>
    </xf>
    <xf numFmtId="0" fontId="16" fillId="2" borderId="47" xfId="0" applyFont="1" applyFill="1" applyBorder="1" applyAlignment="1" applyProtection="1">
      <alignment horizontal="left" vertical="center" wrapText="1"/>
    </xf>
    <xf numFmtId="0" fontId="16" fillId="2" borderId="197" xfId="0" applyFont="1" applyFill="1" applyBorder="1" applyAlignment="1" applyProtection="1">
      <alignment horizontal="left" vertical="center" wrapText="1"/>
    </xf>
    <xf numFmtId="0" fontId="16" fillId="2" borderId="192" xfId="0" applyFont="1" applyFill="1" applyBorder="1" applyAlignment="1" applyProtection="1">
      <alignment horizontal="left" vertical="center" wrapText="1"/>
    </xf>
    <xf numFmtId="0" fontId="16" fillId="2" borderId="194" xfId="0" applyFont="1" applyFill="1" applyBorder="1" applyAlignment="1" applyProtection="1">
      <alignment horizontal="left" vertical="center" wrapText="1"/>
    </xf>
    <xf numFmtId="0" fontId="17" fillId="8" borderId="202" xfId="0" applyFont="1" applyFill="1" applyBorder="1" applyAlignment="1" applyProtection="1">
      <alignment vertical="center"/>
      <protection locked="0"/>
    </xf>
    <xf numFmtId="0" fontId="50" fillId="0" borderId="90" xfId="0" applyFont="1" applyBorder="1" applyAlignment="1" applyProtection="1">
      <alignment horizontal="center" vertical="center"/>
    </xf>
    <xf numFmtId="0" fontId="50" fillId="0" borderId="93" xfId="0" applyFont="1" applyBorder="1" applyAlignment="1" applyProtection="1">
      <alignment horizontal="center" vertical="center"/>
    </xf>
    <xf numFmtId="0" fontId="17" fillId="0" borderId="88" xfId="0" applyFont="1" applyBorder="1" applyAlignment="1" applyProtection="1">
      <alignment horizontal="left" vertical="center"/>
      <protection locked="0"/>
    </xf>
    <xf numFmtId="0" fontId="30" fillId="0" borderId="216" xfId="0" applyFont="1" applyBorder="1" applyAlignment="1" applyProtection="1">
      <alignment horizontal="center" vertical="center"/>
    </xf>
    <xf numFmtId="0" fontId="30" fillId="0" borderId="215" xfId="0" applyFont="1" applyBorder="1" applyAlignment="1" applyProtection="1">
      <alignment horizontal="center" vertical="center"/>
    </xf>
    <xf numFmtId="0" fontId="30" fillId="0" borderId="212" xfId="0" applyFont="1" applyBorder="1" applyAlignment="1" applyProtection="1">
      <alignment horizontal="center" vertical="center"/>
    </xf>
    <xf numFmtId="0" fontId="30" fillId="0" borderId="89" xfId="0" applyFont="1" applyBorder="1" applyAlignment="1" applyProtection="1">
      <alignment horizontal="center" vertical="center" wrapText="1"/>
    </xf>
    <xf numFmtId="0" fontId="30" fillId="0" borderId="92" xfId="0" applyFont="1" applyBorder="1" applyAlignment="1" applyProtection="1">
      <alignment horizontal="center" vertical="center" wrapText="1"/>
    </xf>
    <xf numFmtId="0" fontId="15" fillId="0" borderId="214" xfId="0" applyFont="1" applyBorder="1" applyAlignment="1" applyProtection="1">
      <alignment horizontal="center" vertical="center"/>
    </xf>
    <xf numFmtId="0" fontId="15" fillId="0" borderId="212" xfId="0" applyFont="1" applyBorder="1" applyAlignment="1" applyProtection="1">
      <alignment horizontal="center" vertical="center"/>
    </xf>
    <xf numFmtId="0" fontId="30" fillId="0" borderId="213" xfId="0" applyFont="1" applyBorder="1" applyAlignment="1" applyProtection="1">
      <alignment horizontal="center" vertical="center"/>
    </xf>
    <xf numFmtId="0" fontId="15" fillId="0" borderId="206" xfId="0" applyFont="1" applyBorder="1" applyAlignment="1" applyProtection="1">
      <alignment horizontal="center" vertical="center"/>
    </xf>
    <xf numFmtId="0" fontId="30" fillId="0" borderId="211" xfId="0" applyFont="1" applyBorder="1" applyAlignment="1" applyProtection="1">
      <alignment horizontal="center" vertical="center"/>
    </xf>
    <xf numFmtId="0" fontId="30" fillId="0" borderId="218" xfId="0" applyFont="1" applyBorder="1" applyAlignment="1" applyProtection="1">
      <alignment horizontal="center" vertical="center"/>
    </xf>
    <xf numFmtId="0" fontId="17" fillId="8" borderId="0" xfId="0" applyFont="1" applyFill="1" applyAlignment="1" applyProtection="1">
      <alignment vertical="center"/>
      <protection locked="0"/>
    </xf>
    <xf numFmtId="0" fontId="17" fillId="0" borderId="92" xfId="0" applyFont="1" applyBorder="1" applyAlignment="1" applyProtection="1">
      <alignment horizontal="left" vertical="center"/>
      <protection locked="0"/>
    </xf>
    <xf numFmtId="0" fontId="31" fillId="8" borderId="89" xfId="0" applyFont="1" applyFill="1" applyBorder="1" applyAlignment="1" applyProtection="1">
      <alignment horizontal="center" vertical="center"/>
      <protection locked="0"/>
    </xf>
    <xf numFmtId="0" fontId="31" fillId="8" borderId="91" xfId="0" applyFont="1" applyFill="1" applyBorder="1" applyAlignment="1" applyProtection="1">
      <alignment horizontal="center" vertical="center"/>
      <protection locked="0"/>
    </xf>
    <xf numFmtId="0" fontId="31" fillId="4" borderId="87" xfId="0" applyFont="1" applyFill="1" applyBorder="1" applyAlignment="1" applyProtection="1">
      <alignment horizontal="center" vertical="center"/>
      <protection locked="0"/>
    </xf>
    <xf numFmtId="0" fontId="31" fillId="4" borderId="88" xfId="0" applyFont="1" applyFill="1" applyBorder="1" applyAlignment="1" applyProtection="1">
      <alignment horizontal="center" vertical="center"/>
      <protection locked="0"/>
    </xf>
    <xf numFmtId="0" fontId="31" fillId="8" borderId="87" xfId="0" applyFont="1" applyFill="1" applyBorder="1" applyAlignment="1" applyProtection="1">
      <alignment horizontal="center" vertical="center"/>
      <protection locked="0"/>
    </xf>
    <xf numFmtId="0" fontId="31" fillId="8" borderId="88" xfId="0" applyFont="1" applyFill="1" applyBorder="1" applyAlignment="1" applyProtection="1">
      <alignment horizontal="center" vertical="center"/>
      <protection locked="0"/>
    </xf>
    <xf numFmtId="0" fontId="31" fillId="4" borderId="92" xfId="0" applyFont="1" applyFill="1" applyBorder="1" applyAlignment="1" applyProtection="1">
      <alignment horizontal="center" vertical="center"/>
      <protection locked="0"/>
    </xf>
    <xf numFmtId="0" fontId="31" fillId="4" borderId="94" xfId="0" applyFont="1" applyFill="1" applyBorder="1" applyAlignment="1" applyProtection="1">
      <alignment horizontal="center" vertical="center"/>
      <protection locked="0"/>
    </xf>
    <xf numFmtId="0" fontId="31" fillId="8" borderId="92" xfId="0" applyFont="1" applyFill="1" applyBorder="1" applyAlignment="1" applyProtection="1">
      <alignment horizontal="center" vertical="center"/>
      <protection locked="0"/>
    </xf>
    <xf numFmtId="0" fontId="31" fillId="8" borderId="94" xfId="0" applyFont="1" applyFill="1" applyBorder="1" applyAlignment="1" applyProtection="1">
      <alignment horizontal="center" vertical="center"/>
      <protection locked="0"/>
    </xf>
    <xf numFmtId="0" fontId="45" fillId="0" borderId="38" xfId="0" applyFont="1" applyFill="1" applyBorder="1" applyAlignment="1" applyProtection="1">
      <alignment horizontal="left" vertical="center" wrapText="1"/>
      <protection locked="0"/>
    </xf>
    <xf numFmtId="0" fontId="45" fillId="0" borderId="47" xfId="0" applyFont="1" applyFill="1" applyBorder="1" applyAlignment="1" applyProtection="1">
      <alignment horizontal="left" vertical="center" wrapText="1"/>
      <protection locked="0"/>
    </xf>
    <xf numFmtId="0" fontId="45" fillId="0" borderId="87" xfId="0" applyFont="1" applyFill="1" applyBorder="1" applyAlignment="1" applyProtection="1">
      <alignment horizontal="left" vertical="center" wrapText="1"/>
      <protection locked="0"/>
    </xf>
    <xf numFmtId="0" fontId="6" fillId="18" borderId="0" xfId="0" applyFont="1" applyFill="1" applyBorder="1" applyAlignment="1" applyProtection="1">
      <alignment horizontal="center" vertical="center"/>
    </xf>
    <xf numFmtId="0" fontId="6" fillId="18" borderId="178" xfId="0" applyFont="1" applyFill="1" applyBorder="1" applyAlignment="1" applyProtection="1">
      <alignment horizontal="center" vertical="center"/>
    </xf>
    <xf numFmtId="166" fontId="31" fillId="0" borderId="370" xfId="5" applyNumberFormat="1" applyFont="1" applyFill="1" applyBorder="1" applyAlignment="1" applyProtection="1">
      <alignment horizontal="center"/>
    </xf>
    <xf numFmtId="166" fontId="31" fillId="0" borderId="371" xfId="5" applyNumberFormat="1" applyFont="1" applyFill="1" applyBorder="1" applyAlignment="1" applyProtection="1">
      <alignment horizontal="center"/>
    </xf>
    <xf numFmtId="0" fontId="22" fillId="0" borderId="0" xfId="0" applyFont="1" applyFill="1" applyBorder="1" applyAlignment="1" applyProtection="1">
      <alignment horizontal="left" indent="4"/>
    </xf>
    <xf numFmtId="0" fontId="31" fillId="0" borderId="0" xfId="0" applyFont="1" applyFill="1" applyBorder="1" applyAlignment="1" applyProtection="1">
      <alignment horizontal="center"/>
    </xf>
    <xf numFmtId="0" fontId="22" fillId="0" borderId="367" xfId="0" applyFont="1" applyFill="1" applyBorder="1" applyAlignment="1" applyProtection="1">
      <alignment horizontal="left" indent="2"/>
    </xf>
    <xf numFmtId="0" fontId="22" fillId="0" borderId="0" xfId="0" applyFont="1" applyFill="1" applyBorder="1" applyAlignment="1" applyProtection="1">
      <alignment horizontal="left" indent="2"/>
    </xf>
    <xf numFmtId="0" fontId="22" fillId="38" borderId="367" xfId="0" applyFont="1" applyFill="1" applyBorder="1" applyAlignment="1" applyProtection="1">
      <alignment horizontal="left" indent="4"/>
    </xf>
    <xf numFmtId="0" fontId="22" fillId="38" borderId="0" xfId="0" applyFont="1" applyFill="1" applyBorder="1" applyAlignment="1" applyProtection="1">
      <alignment horizontal="left" indent="4"/>
    </xf>
    <xf numFmtId="0" fontId="22" fillId="0" borderId="367" xfId="0" applyFont="1" applyFill="1" applyBorder="1" applyAlignment="1" applyProtection="1">
      <alignment horizontal="left" indent="4"/>
    </xf>
    <xf numFmtId="0" fontId="22" fillId="38" borderId="367" xfId="0" applyFont="1" applyFill="1" applyBorder="1" applyAlignment="1" applyProtection="1">
      <alignment horizontal="left"/>
    </xf>
    <xf numFmtId="0" fontId="22" fillId="38" borderId="0" xfId="0" applyFont="1" applyFill="1" applyBorder="1" applyAlignment="1" applyProtection="1">
      <alignment horizontal="left"/>
    </xf>
    <xf numFmtId="0" fontId="22" fillId="0" borderId="367" xfId="0" applyFont="1" applyFill="1" applyBorder="1" applyAlignment="1" applyProtection="1">
      <alignment horizontal="left"/>
    </xf>
    <xf numFmtId="0" fontId="22" fillId="0" borderId="0" xfId="0" applyFont="1" applyFill="1" applyBorder="1" applyAlignment="1" applyProtection="1">
      <alignment horizontal="left"/>
    </xf>
    <xf numFmtId="166" fontId="31" fillId="0" borderId="0" xfId="5" applyNumberFormat="1" applyFont="1" applyFill="1" applyBorder="1" applyAlignment="1" applyProtection="1">
      <alignment horizontal="center"/>
    </xf>
    <xf numFmtId="166" fontId="31" fillId="0" borderId="368" xfId="5" applyNumberFormat="1" applyFont="1" applyFill="1" applyBorder="1" applyAlignment="1" applyProtection="1">
      <alignment horizontal="center"/>
    </xf>
    <xf numFmtId="166" fontId="31" fillId="38" borderId="0" xfId="5" applyNumberFormat="1" applyFont="1" applyFill="1" applyBorder="1" applyAlignment="1" applyProtection="1">
      <alignment horizontal="center"/>
    </xf>
    <xf numFmtId="166" fontId="31" fillId="38" borderId="368" xfId="5" applyNumberFormat="1" applyFont="1" applyFill="1" applyBorder="1" applyAlignment="1" applyProtection="1">
      <alignment horizontal="center"/>
    </xf>
    <xf numFmtId="0" fontId="22" fillId="38" borderId="367" xfId="0" applyFont="1" applyFill="1" applyBorder="1" applyAlignment="1" applyProtection="1">
      <alignment horizontal="left" indent="2"/>
    </xf>
    <xf numFmtId="0" fontId="22" fillId="38" borderId="0" xfId="0" applyFont="1" applyFill="1" applyBorder="1" applyAlignment="1" applyProtection="1">
      <alignment horizontal="left" indent="2"/>
    </xf>
    <xf numFmtId="0" fontId="4" fillId="6" borderId="49" xfId="0" applyFont="1" applyFill="1" applyBorder="1" applyAlignment="1" applyProtection="1">
      <alignment horizontal="left" vertical="center"/>
    </xf>
    <xf numFmtId="0" fontId="4" fillId="6" borderId="0" xfId="0" applyFont="1" applyFill="1" applyBorder="1" applyAlignment="1" applyProtection="1">
      <alignment horizontal="left" vertical="center"/>
    </xf>
    <xf numFmtId="0" fontId="22" fillId="0" borderId="365" xfId="0" applyFont="1" applyFill="1" applyBorder="1" applyAlignment="1" applyProtection="1">
      <alignment horizontal="center" vertical="center" wrapText="1"/>
    </xf>
    <xf numFmtId="0" fontId="22" fillId="0" borderId="366"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22" fillId="0" borderId="368" xfId="0" applyFont="1" applyFill="1" applyBorder="1" applyAlignment="1" applyProtection="1">
      <alignment horizontal="center" vertical="center" wrapText="1"/>
    </xf>
    <xf numFmtId="0" fontId="22" fillId="0" borderId="370" xfId="0" applyFont="1" applyFill="1" applyBorder="1" applyAlignment="1" applyProtection="1">
      <alignment horizontal="center" vertical="center" wrapText="1"/>
    </xf>
    <xf numFmtId="0" fontId="22" fillId="0" borderId="371" xfId="0" applyFont="1" applyFill="1" applyBorder="1" applyAlignment="1" applyProtection="1">
      <alignment horizontal="center" vertical="center" wrapText="1"/>
    </xf>
    <xf numFmtId="166" fontId="31" fillId="38" borderId="365" xfId="5" applyNumberFormat="1" applyFont="1" applyFill="1" applyBorder="1" applyAlignment="1" applyProtection="1">
      <alignment horizontal="center" vertical="center"/>
    </xf>
    <xf numFmtId="166" fontId="31" fillId="38" borderId="366" xfId="5" applyNumberFormat="1" applyFont="1" applyFill="1" applyBorder="1" applyAlignment="1" applyProtection="1">
      <alignment horizontal="center" vertical="center"/>
    </xf>
    <xf numFmtId="10" fontId="64" fillId="0" borderId="0" xfId="2" applyNumberFormat="1" applyFont="1" applyFill="1" applyBorder="1" applyAlignment="1" applyProtection="1">
      <alignment horizontal="center" vertical="center"/>
    </xf>
    <xf numFmtId="10" fontId="64" fillId="0" borderId="368" xfId="2" applyNumberFormat="1" applyFont="1" applyFill="1" applyBorder="1" applyAlignment="1" applyProtection="1">
      <alignment horizontal="center" vertical="center"/>
    </xf>
    <xf numFmtId="10" fontId="64" fillId="38" borderId="0" xfId="2" applyNumberFormat="1" applyFont="1" applyFill="1" applyBorder="1" applyAlignment="1" applyProtection="1">
      <alignment horizontal="center" vertical="center"/>
    </xf>
    <xf numFmtId="10" fontId="64" fillId="38" borderId="368" xfId="2" applyNumberFormat="1" applyFont="1" applyFill="1" applyBorder="1" applyAlignment="1" applyProtection="1">
      <alignment horizontal="center" vertical="center"/>
    </xf>
    <xf numFmtId="166" fontId="31" fillId="0" borderId="368" xfId="5" applyNumberFormat="1" applyFont="1" applyFill="1" applyBorder="1" applyAlignment="1" applyProtection="1">
      <alignment horizontal="center"/>
      <protection locked="0"/>
    </xf>
    <xf numFmtId="166" fontId="31" fillId="38" borderId="0" xfId="5" applyNumberFormat="1" applyFont="1" applyFill="1" applyBorder="1" applyAlignment="1" applyProtection="1">
      <alignment horizontal="center"/>
      <protection locked="0"/>
    </xf>
    <xf numFmtId="166" fontId="31" fillId="38" borderId="368" xfId="5" applyNumberFormat="1" applyFont="1" applyFill="1" applyBorder="1" applyAlignment="1" applyProtection="1">
      <alignment horizontal="center"/>
      <protection locked="0"/>
    </xf>
    <xf numFmtId="0" fontId="22" fillId="38" borderId="370" xfId="0" applyFont="1" applyFill="1" applyBorder="1" applyAlignment="1" applyProtection="1">
      <alignment horizontal="center"/>
    </xf>
    <xf numFmtId="0" fontId="16" fillId="0" borderId="364" xfId="0" applyFont="1" applyFill="1" applyBorder="1" applyAlignment="1" applyProtection="1">
      <alignment horizontal="center"/>
    </xf>
    <xf numFmtId="0" fontId="16" fillId="0" borderId="365" xfId="0" applyFont="1" applyFill="1" applyBorder="1" applyAlignment="1" applyProtection="1">
      <alignment horizontal="center"/>
    </xf>
    <xf numFmtId="0" fontId="16" fillId="0" borderId="367" xfId="0" applyFont="1" applyFill="1" applyBorder="1" applyAlignment="1" applyProtection="1">
      <alignment horizontal="center"/>
    </xf>
    <xf numFmtId="0" fontId="22" fillId="0" borderId="365"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369" xfId="0" applyFont="1" applyFill="1" applyBorder="1" applyAlignment="1" applyProtection="1">
      <alignment horizontal="left"/>
    </xf>
    <xf numFmtId="0" fontId="22" fillId="0" borderId="370" xfId="0" applyFont="1" applyFill="1" applyBorder="1" applyAlignment="1" applyProtection="1">
      <alignment horizontal="left"/>
    </xf>
    <xf numFmtId="0" fontId="22" fillId="38" borderId="369" xfId="0" applyFont="1" applyFill="1" applyBorder="1" applyAlignment="1" applyProtection="1">
      <alignment horizontal="left"/>
    </xf>
    <xf numFmtId="0" fontId="22" fillId="38" borderId="370" xfId="0" applyFont="1" applyFill="1" applyBorder="1" applyAlignment="1" applyProtection="1">
      <alignment horizontal="left"/>
    </xf>
    <xf numFmtId="0" fontId="22" fillId="38" borderId="370" xfId="0" applyFont="1" applyFill="1" applyBorder="1" applyAlignment="1" applyProtection="1">
      <alignment horizontal="center"/>
      <protection locked="0"/>
    </xf>
    <xf numFmtId="0" fontId="4" fillId="6" borderId="106" xfId="0" applyFont="1" applyFill="1" applyBorder="1" applyAlignment="1" applyProtection="1">
      <alignment horizontal="left" vertical="center"/>
    </xf>
    <xf numFmtId="0" fontId="4" fillId="6" borderId="50" xfId="0" applyFont="1" applyFill="1" applyBorder="1" applyAlignment="1" applyProtection="1">
      <alignment horizontal="left" vertical="center"/>
    </xf>
    <xf numFmtId="0" fontId="4" fillId="6" borderId="115" xfId="0" applyFont="1" applyFill="1" applyBorder="1" applyAlignment="1" applyProtection="1">
      <alignment horizontal="left" vertical="center"/>
    </xf>
    <xf numFmtId="0" fontId="4" fillId="6" borderId="107" xfId="0" applyFont="1" applyFill="1" applyBorder="1" applyAlignment="1" applyProtection="1">
      <alignment horizontal="left" vertical="center"/>
    </xf>
    <xf numFmtId="0" fontId="4" fillId="6" borderId="98" xfId="0" applyFont="1" applyFill="1" applyBorder="1" applyAlignment="1" applyProtection="1">
      <alignment horizontal="left" vertical="center"/>
    </xf>
    <xf numFmtId="0" fontId="4" fillId="6" borderId="100" xfId="0" applyFont="1" applyFill="1" applyBorder="1" applyAlignment="1" applyProtection="1">
      <alignment horizontal="left" vertical="center"/>
    </xf>
    <xf numFmtId="0" fontId="22" fillId="38" borderId="369" xfId="0" applyFont="1" applyFill="1" applyBorder="1" applyAlignment="1" applyProtection="1">
      <alignment horizontal="center"/>
    </xf>
    <xf numFmtId="164" fontId="22" fillId="2" borderId="183" xfId="1" applyNumberFormat="1" applyFont="1" applyFill="1" applyBorder="1" applyAlignment="1" applyProtection="1">
      <alignment vertical="center"/>
    </xf>
    <xf numFmtId="164" fontId="22" fillId="2" borderId="187" xfId="1" applyNumberFormat="1" applyFont="1" applyFill="1" applyBorder="1" applyAlignment="1" applyProtection="1">
      <alignment vertical="center"/>
    </xf>
    <xf numFmtId="0" fontId="21" fillId="2" borderId="45" xfId="0" applyFont="1" applyFill="1" applyBorder="1" applyAlignment="1" applyProtection="1">
      <alignment horizontal="left" vertical="center" wrapText="1"/>
    </xf>
    <xf numFmtId="0" fontId="21" fillId="2" borderId="186" xfId="0" applyFont="1" applyFill="1" applyBorder="1" applyAlignment="1" applyProtection="1">
      <alignment horizontal="left" vertical="center" wrapText="1"/>
    </xf>
    <xf numFmtId="0" fontId="21" fillId="2" borderId="64" xfId="0" applyFont="1" applyFill="1" applyBorder="1" applyAlignment="1" applyProtection="1">
      <alignment horizontal="left" vertical="center" wrapText="1"/>
    </xf>
    <xf numFmtId="0" fontId="21" fillId="2" borderId="104" xfId="0" applyFont="1" applyFill="1" applyBorder="1" applyAlignment="1" applyProtection="1">
      <alignment horizontal="left" vertical="center" wrapText="1"/>
    </xf>
    <xf numFmtId="0" fontId="0" fillId="4" borderId="0" xfId="0" applyFont="1" applyFill="1" applyAlignment="1" applyProtection="1">
      <alignment horizontal="left" vertical="center" wrapText="1"/>
    </xf>
    <xf numFmtId="0" fontId="13" fillId="0" borderId="52" xfId="0" applyFont="1" applyBorder="1" applyAlignment="1" applyProtection="1">
      <alignment horizontal="center" vertical="center"/>
    </xf>
    <xf numFmtId="0" fontId="13" fillId="0" borderId="53" xfId="0" applyFont="1" applyBorder="1" applyAlignment="1" applyProtection="1">
      <alignment horizontal="center" vertical="center"/>
    </xf>
    <xf numFmtId="0" fontId="13" fillId="0" borderId="54" xfId="0" applyFont="1" applyBorder="1" applyAlignment="1" applyProtection="1">
      <alignment horizontal="center" vertical="center"/>
    </xf>
    <xf numFmtId="164" fontId="22" fillId="2" borderId="56" xfId="1" applyNumberFormat="1" applyFont="1" applyFill="1" applyBorder="1" applyAlignment="1" applyProtection="1">
      <alignment horizontal="left" vertical="center"/>
    </xf>
    <xf numFmtId="164" fontId="22" fillId="2" borderId="3" xfId="1" applyNumberFormat="1" applyFont="1" applyFill="1" applyBorder="1" applyAlignment="1" applyProtection="1">
      <alignment horizontal="left" vertical="center"/>
    </xf>
    <xf numFmtId="0" fontId="21" fillId="2" borderId="57" xfId="0" applyFont="1" applyFill="1" applyBorder="1" applyAlignment="1" applyProtection="1">
      <alignment horizontal="left" vertical="center" wrapText="1" indent="1"/>
    </xf>
    <xf numFmtId="0" fontId="21" fillId="2" borderId="2" xfId="0" applyFont="1" applyFill="1" applyBorder="1" applyAlignment="1" applyProtection="1">
      <alignment horizontal="left" vertical="center" wrapText="1" indent="1"/>
    </xf>
    <xf numFmtId="164" fontId="22" fillId="2" borderId="57" xfId="1" applyNumberFormat="1" applyFont="1" applyFill="1" applyBorder="1" applyAlignment="1" applyProtection="1">
      <alignment horizontal="left" vertical="center"/>
    </xf>
    <xf numFmtId="164" fontId="22" fillId="2" borderId="0" xfId="1" applyNumberFormat="1" applyFont="1" applyFill="1" applyBorder="1" applyAlignment="1" applyProtection="1">
      <alignment horizontal="left" vertical="center"/>
    </xf>
    <xf numFmtId="0" fontId="21" fillId="2" borderId="57" xfId="0" applyFont="1" applyFill="1" applyBorder="1" applyAlignment="1" applyProtection="1">
      <alignment horizontal="left" vertical="center" wrapText="1"/>
    </xf>
    <xf numFmtId="0" fontId="21" fillId="2" borderId="59" xfId="0"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0" fontId="21" fillId="2" borderId="61" xfId="0" applyFont="1" applyFill="1" applyBorder="1" applyAlignment="1" applyProtection="1">
      <alignment horizontal="left" vertical="center" wrapText="1"/>
    </xf>
    <xf numFmtId="0" fontId="38" fillId="0" borderId="120" xfId="6" applyBorder="1" applyAlignment="1" applyProtection="1">
      <alignment horizontal="center" vertical="center" wrapText="1"/>
      <protection locked="0"/>
    </xf>
    <xf numFmtId="0" fontId="38" fillId="0" borderId="121" xfId="6" applyBorder="1" applyAlignment="1" applyProtection="1">
      <alignment horizontal="center" vertical="center" wrapText="1"/>
      <protection locked="0"/>
    </xf>
    <xf numFmtId="0" fontId="22" fillId="0" borderId="364" xfId="0" applyFont="1" applyFill="1" applyBorder="1" applyAlignment="1" applyProtection="1">
      <alignment horizontal="center" vertical="center"/>
    </xf>
    <xf numFmtId="0" fontId="22" fillId="0" borderId="367" xfId="0" applyFont="1" applyFill="1" applyBorder="1" applyAlignment="1" applyProtection="1">
      <alignment horizontal="center" vertical="center"/>
    </xf>
    <xf numFmtId="0" fontId="22" fillId="0" borderId="369" xfId="0" applyFont="1" applyFill="1" applyBorder="1" applyAlignment="1" applyProtection="1">
      <alignment horizontal="center" vertical="center"/>
    </xf>
    <xf numFmtId="0" fontId="22" fillId="0" borderId="370" xfId="0" applyFont="1" applyFill="1" applyBorder="1" applyAlignment="1" applyProtection="1">
      <alignment horizontal="center" vertical="center"/>
    </xf>
    <xf numFmtId="0" fontId="22" fillId="0" borderId="368" xfId="0" applyFont="1" applyFill="1" applyBorder="1" applyAlignment="1" applyProtection="1">
      <alignment horizontal="center" vertical="center"/>
    </xf>
    <xf numFmtId="0" fontId="22" fillId="0" borderId="366" xfId="0" applyFont="1" applyFill="1" applyBorder="1" applyAlignment="1" applyProtection="1">
      <alignment horizontal="center" vertical="center"/>
    </xf>
    <xf numFmtId="169" fontId="22" fillId="38" borderId="370" xfId="0" applyNumberFormat="1" applyFont="1" applyFill="1" applyBorder="1" applyAlignment="1" applyProtection="1">
      <alignment horizontal="center"/>
      <protection locked="0"/>
    </xf>
    <xf numFmtId="169" fontId="22" fillId="38" borderId="371" xfId="0" applyNumberFormat="1" applyFont="1" applyFill="1" applyBorder="1" applyAlignment="1" applyProtection="1">
      <alignment horizontal="center"/>
      <protection locked="0"/>
    </xf>
    <xf numFmtId="0" fontId="38" fillId="0" borderId="169" xfId="6" applyBorder="1" applyAlignment="1" applyProtection="1">
      <alignment horizontal="center" vertical="center" wrapText="1"/>
      <protection locked="0"/>
    </xf>
    <xf numFmtId="0" fontId="38" fillId="0" borderId="495" xfId="6" applyBorder="1" applyAlignment="1" applyProtection="1">
      <alignment horizontal="center" vertical="center" wrapText="1"/>
      <protection locked="0"/>
    </xf>
    <xf numFmtId="164" fontId="22" fillId="2" borderId="2" xfId="1" applyNumberFormat="1" applyFont="1" applyFill="1" applyBorder="1" applyAlignment="1" applyProtection="1">
      <alignment horizontal="left" vertical="center"/>
    </xf>
    <xf numFmtId="164" fontId="22" fillId="2" borderId="63" xfId="1" applyNumberFormat="1" applyFont="1" applyFill="1" applyBorder="1" applyAlignment="1" applyProtection="1">
      <alignment horizontal="left" vertical="center"/>
    </xf>
    <xf numFmtId="0" fontId="21" fillId="2" borderId="0" xfId="0" applyFont="1" applyFill="1" applyBorder="1" applyAlignment="1" applyProtection="1">
      <alignment horizontal="left" vertical="center" wrapText="1" indent="1"/>
    </xf>
    <xf numFmtId="0" fontId="21" fillId="2" borderId="64" xfId="0" applyFont="1" applyFill="1" applyBorder="1" applyAlignment="1" applyProtection="1">
      <alignment horizontal="left" vertical="center" wrapText="1" indent="1"/>
    </xf>
    <xf numFmtId="0" fontId="17" fillId="12" borderId="246" xfId="0" applyFont="1" applyFill="1" applyBorder="1" applyAlignment="1" applyProtection="1">
      <alignment horizontal="left" vertical="center"/>
      <protection locked="0"/>
    </xf>
    <xf numFmtId="0" fontId="17" fillId="12" borderId="0" xfId="0" applyFont="1" applyFill="1" applyBorder="1" applyAlignment="1" applyProtection="1">
      <alignment horizontal="left" vertical="center"/>
      <protection locked="0"/>
    </xf>
    <xf numFmtId="0" fontId="17" fillId="12" borderId="247" xfId="0" applyFont="1" applyFill="1" applyBorder="1" applyAlignment="1" applyProtection="1">
      <alignment horizontal="left" vertical="center"/>
      <protection locked="0"/>
    </xf>
    <xf numFmtId="0" fontId="17" fillId="0" borderId="248" xfId="0" applyFont="1" applyFill="1" applyBorder="1" applyAlignment="1" applyProtection="1">
      <alignment horizontal="left" vertical="center"/>
      <protection locked="0"/>
    </xf>
    <xf numFmtId="0" fontId="17" fillId="0" borderId="249" xfId="0" applyFont="1" applyFill="1" applyBorder="1" applyAlignment="1" applyProtection="1">
      <alignment horizontal="left" vertical="center"/>
      <protection locked="0"/>
    </xf>
    <xf numFmtId="0" fontId="17" fillId="0" borderId="252" xfId="0" applyFont="1" applyFill="1" applyBorder="1" applyAlignment="1" applyProtection="1">
      <alignment horizontal="left" vertical="center"/>
      <protection locked="0"/>
    </xf>
    <xf numFmtId="0" fontId="17" fillId="0" borderId="246" xfId="0" applyFont="1" applyFill="1" applyBorder="1" applyAlignment="1" applyProtection="1">
      <alignment horizontal="left" vertical="center"/>
      <protection locked="0"/>
    </xf>
    <xf numFmtId="0" fontId="17" fillId="0" borderId="247" xfId="0" applyFont="1" applyFill="1" applyBorder="1" applyAlignment="1" applyProtection="1">
      <alignment horizontal="left" vertical="center"/>
      <protection locked="0"/>
    </xf>
    <xf numFmtId="0" fontId="34" fillId="25" borderId="244" xfId="0" applyFont="1" applyFill="1" applyBorder="1" applyAlignment="1" applyProtection="1">
      <alignment horizontal="center" vertical="center"/>
    </xf>
    <xf numFmtId="0" fontId="34" fillId="25" borderId="252" xfId="0" applyFont="1" applyFill="1" applyBorder="1" applyAlignment="1" applyProtection="1">
      <alignment horizontal="center" vertical="center"/>
    </xf>
    <xf numFmtId="0" fontId="17" fillId="12" borderId="0" xfId="0" applyFont="1" applyFill="1" applyAlignment="1" applyProtection="1">
      <alignment horizontal="left" vertical="center"/>
      <protection locked="0"/>
    </xf>
    <xf numFmtId="0" fontId="34" fillId="25" borderId="241" xfId="0" applyFont="1" applyFill="1" applyBorder="1" applyAlignment="1" applyProtection="1">
      <alignment horizontal="center" vertical="center"/>
    </xf>
    <xf numFmtId="0" fontId="34" fillId="25" borderId="249" xfId="0" applyFont="1" applyFill="1" applyBorder="1" applyAlignment="1" applyProtection="1">
      <alignment horizontal="center" vertical="center"/>
    </xf>
    <xf numFmtId="0" fontId="33" fillId="6" borderId="102" xfId="0" applyFont="1" applyFill="1" applyBorder="1" applyAlignment="1" applyProtection="1">
      <alignment horizontal="center" vertical="center"/>
    </xf>
    <xf numFmtId="0" fontId="33" fillId="6" borderId="103" xfId="0" applyFont="1" applyFill="1" applyBorder="1" applyAlignment="1" applyProtection="1">
      <alignment horizontal="center" vertical="center"/>
    </xf>
    <xf numFmtId="0" fontId="28" fillId="6" borderId="57" xfId="0" applyFont="1" applyFill="1" applyBorder="1" applyAlignment="1" applyProtection="1">
      <alignment horizontal="center" vertical="center"/>
    </xf>
    <xf numFmtId="0" fontId="28" fillId="6" borderId="64" xfId="0" applyFont="1" applyFill="1" applyBorder="1" applyAlignment="1" applyProtection="1">
      <alignment horizontal="center" vertical="center"/>
    </xf>
    <xf numFmtId="0" fontId="34" fillId="25" borderId="257" xfId="0" applyFont="1" applyFill="1" applyBorder="1" applyAlignment="1" applyProtection="1">
      <alignment horizontal="center" vertical="center"/>
    </xf>
    <xf numFmtId="0" fontId="34" fillId="25" borderId="258" xfId="0" applyFont="1" applyFill="1" applyBorder="1" applyAlignment="1" applyProtection="1">
      <alignment horizontal="center" vertical="center"/>
    </xf>
    <xf numFmtId="0" fontId="34" fillId="25" borderId="291" xfId="0" applyFont="1" applyFill="1" applyBorder="1" applyAlignment="1" applyProtection="1">
      <alignment horizontal="center" vertical="center"/>
    </xf>
    <xf numFmtId="0" fontId="34" fillId="25" borderId="259" xfId="0" applyFont="1" applyFill="1" applyBorder="1" applyAlignment="1" applyProtection="1">
      <alignment horizontal="center" vertical="center"/>
    </xf>
    <xf numFmtId="0" fontId="34" fillId="25" borderId="260" xfId="0" applyFont="1" applyFill="1" applyBorder="1" applyAlignment="1" applyProtection="1">
      <alignment horizontal="center" vertical="center"/>
    </xf>
    <xf numFmtId="0" fontId="34" fillId="25" borderId="292" xfId="0" applyFont="1" applyFill="1" applyBorder="1" applyAlignment="1" applyProtection="1">
      <alignment horizontal="center" vertical="center"/>
    </xf>
    <xf numFmtId="0" fontId="17" fillId="0" borderId="0" xfId="0" applyFont="1" applyFill="1" applyBorder="1" applyAlignment="1" applyProtection="1">
      <alignment horizontal="left" vertical="center"/>
    </xf>
    <xf numFmtId="0" fontId="17" fillId="0" borderId="64" xfId="0" applyFont="1" applyFill="1" applyBorder="1" applyAlignment="1" applyProtection="1">
      <alignment horizontal="left" vertical="center"/>
    </xf>
    <xf numFmtId="0" fontId="22" fillId="4" borderId="350" xfId="0" applyFont="1" applyFill="1" applyBorder="1" applyAlignment="1" applyProtection="1">
      <alignment horizontal="center" vertical="center"/>
    </xf>
    <xf numFmtId="0" fontId="21" fillId="4" borderId="350" xfId="0" applyFont="1" applyFill="1" applyBorder="1" applyAlignment="1" applyProtection="1">
      <alignment horizontal="center" vertical="center"/>
    </xf>
    <xf numFmtId="0" fontId="79" fillId="0" borderId="253" xfId="5" applyNumberFormat="1" applyFont="1" applyBorder="1" applyAlignment="1" applyProtection="1">
      <alignment horizontal="center" vertical="center"/>
    </xf>
    <xf numFmtId="0" fontId="79" fillId="0" borderId="254" xfId="0" applyNumberFormat="1" applyFont="1" applyBorder="1" applyAlignment="1" applyProtection="1">
      <alignment horizontal="center" vertical="center"/>
    </xf>
    <xf numFmtId="0" fontId="79" fillId="0" borderId="254" xfId="5" applyNumberFormat="1" applyFont="1" applyBorder="1" applyAlignment="1" applyProtection="1">
      <alignment horizontal="center" vertical="center"/>
    </xf>
    <xf numFmtId="0" fontId="34" fillId="4" borderId="244" xfId="0" applyFont="1" applyFill="1" applyBorder="1" applyAlignment="1" applyProtection="1">
      <alignment horizontal="center" vertical="center"/>
    </xf>
    <xf numFmtId="0" fontId="34" fillId="4" borderId="252" xfId="0" applyFont="1" applyFill="1" applyBorder="1" applyAlignment="1" applyProtection="1">
      <alignment horizontal="center" vertical="center"/>
    </xf>
    <xf numFmtId="0" fontId="79" fillId="0" borderId="416" xfId="5" applyNumberFormat="1" applyFont="1" applyBorder="1" applyAlignment="1" applyProtection="1">
      <alignment horizontal="center" vertical="center"/>
    </xf>
    <xf numFmtId="0" fontId="79" fillId="0" borderId="417" xfId="5" applyNumberFormat="1" applyFont="1" applyBorder="1" applyAlignment="1" applyProtection="1">
      <alignment horizontal="center" vertical="center"/>
    </xf>
    <xf numFmtId="0" fontId="79" fillId="0" borderId="255" xfId="5" applyNumberFormat="1" applyFont="1" applyBorder="1" applyAlignment="1" applyProtection="1">
      <alignment horizontal="center" vertical="center"/>
    </xf>
    <xf numFmtId="0" fontId="34" fillId="0" borderId="241" xfId="0" applyFont="1" applyBorder="1" applyAlignment="1" applyProtection="1">
      <alignment horizontal="center" vertical="center"/>
    </xf>
    <xf numFmtId="0" fontId="34" fillId="0" borderId="242" xfId="0" applyFont="1" applyBorder="1" applyAlignment="1" applyProtection="1">
      <alignment horizontal="center" vertical="center"/>
    </xf>
    <xf numFmtId="0" fontId="34" fillId="0" borderId="396" xfId="0" applyFont="1" applyBorder="1" applyAlignment="1" applyProtection="1">
      <alignment horizontal="center" vertical="center"/>
    </xf>
    <xf numFmtId="0" fontId="34" fillId="0" borderId="397" xfId="0" applyFont="1" applyBorder="1" applyAlignment="1" applyProtection="1">
      <alignment horizontal="center" vertical="center"/>
    </xf>
    <xf numFmtId="0" fontId="0" fillId="0" borderId="344" xfId="0" applyBorder="1" applyAlignment="1" applyProtection="1">
      <alignment horizontal="right" vertical="center"/>
    </xf>
    <xf numFmtId="0" fontId="0" fillId="0" borderId="294" xfId="0" applyBorder="1" applyAlignment="1" applyProtection="1">
      <alignment horizontal="right" vertical="center"/>
    </xf>
    <xf numFmtId="0" fontId="0" fillId="0" borderId="345" xfId="0" applyBorder="1" applyAlignment="1" applyProtection="1">
      <alignment horizontal="right" vertical="center"/>
    </xf>
    <xf numFmtId="0" fontId="38" fillId="0" borderId="169" xfId="6" applyBorder="1" applyAlignment="1" applyProtection="1">
      <alignment horizontal="center" vertical="center" wrapText="1"/>
    </xf>
    <xf numFmtId="0" fontId="38" fillId="0" borderId="171" xfId="6" applyBorder="1" applyAlignment="1" applyProtection="1">
      <alignment horizontal="center" vertical="center" wrapText="1"/>
    </xf>
    <xf numFmtId="0" fontId="34" fillId="25" borderId="342" xfId="0" applyFont="1" applyFill="1" applyBorder="1" applyAlignment="1" applyProtection="1">
      <alignment horizontal="center" vertical="center"/>
    </xf>
    <xf numFmtId="0" fontId="34" fillId="25" borderId="343" xfId="0" applyFont="1" applyFill="1" applyBorder="1" applyAlignment="1" applyProtection="1">
      <alignment horizontal="center" vertical="center"/>
    </xf>
    <xf numFmtId="0" fontId="38" fillId="0" borderId="171" xfId="6" applyBorder="1" applyAlignment="1" applyProtection="1">
      <alignment horizontal="center" vertical="center" wrapText="1"/>
      <protection locked="0"/>
    </xf>
    <xf numFmtId="0" fontId="34" fillId="25" borderId="240" xfId="0" applyFont="1" applyFill="1" applyBorder="1" applyAlignment="1" applyProtection="1">
      <alignment horizontal="center" vertical="center"/>
    </xf>
    <xf numFmtId="0" fontId="34" fillId="25" borderId="248" xfId="0" applyFont="1" applyFill="1" applyBorder="1" applyAlignment="1" applyProtection="1">
      <alignment horizontal="center" vertical="center"/>
    </xf>
    <xf numFmtId="0" fontId="17" fillId="12" borderId="240" xfId="0" applyFont="1" applyFill="1" applyBorder="1" applyAlignment="1" applyProtection="1">
      <alignment horizontal="left" vertical="center"/>
      <protection locked="0"/>
    </xf>
    <xf numFmtId="0" fontId="17" fillId="12" borderId="241" xfId="0" applyFont="1" applyFill="1" applyBorder="1" applyAlignment="1" applyProtection="1">
      <alignment horizontal="left" vertical="center"/>
      <protection locked="0"/>
    </xf>
    <xf numFmtId="0" fontId="4" fillId="6" borderId="298" xfId="0" applyFont="1" applyFill="1" applyBorder="1" applyAlignment="1" applyProtection="1">
      <alignment horizontal="left" vertical="center"/>
    </xf>
    <xf numFmtId="0" fontId="4" fillId="6" borderId="299" xfId="0" applyFont="1" applyFill="1" applyBorder="1" applyAlignment="1" applyProtection="1">
      <alignment horizontal="left" vertical="center"/>
    </xf>
    <xf numFmtId="0" fontId="4" fillId="6" borderId="300" xfId="0" applyFont="1" applyFill="1" applyBorder="1" applyAlignment="1" applyProtection="1">
      <alignment horizontal="left" vertical="center"/>
    </xf>
    <xf numFmtId="0" fontId="4" fillId="6" borderId="301" xfId="0" applyFont="1" applyFill="1" applyBorder="1" applyAlignment="1" applyProtection="1">
      <alignment horizontal="left" vertical="center"/>
    </xf>
    <xf numFmtId="0" fontId="34" fillId="0" borderId="249" xfId="0" applyFont="1" applyBorder="1" applyAlignment="1" applyProtection="1">
      <alignment horizontal="center" vertical="center"/>
    </xf>
    <xf numFmtId="0" fontId="22" fillId="0" borderId="253" xfId="0" applyFont="1" applyFill="1" applyBorder="1" applyAlignment="1" applyProtection="1">
      <alignment horizontal="center" vertical="center"/>
    </xf>
    <xf numFmtId="0" fontId="22" fillId="0" borderId="254" xfId="0" applyFont="1" applyFill="1" applyBorder="1" applyAlignment="1" applyProtection="1">
      <alignment horizontal="center" vertical="center"/>
    </xf>
    <xf numFmtId="0" fontId="22" fillId="0" borderId="255" xfId="0" applyFont="1" applyFill="1" applyBorder="1" applyAlignment="1" applyProtection="1">
      <alignment horizontal="center" vertical="center"/>
    </xf>
    <xf numFmtId="0" fontId="38" fillId="0" borderId="168" xfId="6" applyBorder="1" applyAlignment="1" applyProtection="1">
      <alignment horizontal="center" vertical="center" wrapText="1"/>
      <protection locked="0"/>
    </xf>
    <xf numFmtId="0" fontId="38" fillId="0" borderId="170" xfId="6" applyBorder="1" applyAlignment="1" applyProtection="1">
      <alignment horizontal="center" vertical="center" wrapText="1"/>
      <protection locked="0"/>
    </xf>
    <xf numFmtId="164" fontId="22" fillId="2" borderId="135" xfId="1" applyNumberFormat="1" applyFont="1" applyFill="1" applyBorder="1" applyAlignment="1" applyProtection="1">
      <alignment horizontal="left" vertical="center"/>
    </xf>
    <xf numFmtId="164" fontId="22" fillId="2" borderId="289" xfId="1" applyNumberFormat="1" applyFont="1" applyFill="1" applyBorder="1" applyAlignment="1" applyProtection="1">
      <alignment horizontal="left" vertical="center"/>
    </xf>
    <xf numFmtId="164" fontId="22" fillId="2" borderId="166" xfId="1" applyNumberFormat="1" applyFont="1" applyFill="1" applyBorder="1" applyAlignment="1" applyProtection="1">
      <alignment horizontal="left" vertical="center"/>
    </xf>
    <xf numFmtId="164" fontId="22" fillId="2" borderId="290" xfId="1" applyNumberFormat="1" applyFont="1" applyFill="1" applyBorder="1" applyAlignment="1" applyProtection="1">
      <alignment horizontal="left" vertical="center"/>
    </xf>
    <xf numFmtId="0" fontId="34" fillId="0" borderId="257" xfId="0" applyFont="1" applyBorder="1" applyAlignment="1" applyProtection="1">
      <alignment horizontal="center" vertical="center"/>
    </xf>
    <xf numFmtId="0" fontId="34" fillId="0" borderId="258" xfId="0" applyFont="1" applyBorder="1" applyAlignment="1" applyProtection="1">
      <alignment horizontal="center" vertical="center"/>
    </xf>
    <xf numFmtId="0" fontId="34" fillId="0" borderId="291" xfId="0" applyFont="1" applyBorder="1" applyAlignment="1" applyProtection="1">
      <alignment horizontal="center" vertical="center"/>
    </xf>
    <xf numFmtId="0" fontId="34" fillId="0" borderId="259" xfId="0" applyFont="1" applyBorder="1" applyAlignment="1" applyProtection="1">
      <alignment horizontal="center" vertical="center"/>
    </xf>
    <xf numFmtId="0" fontId="34" fillId="0" borderId="260" xfId="0" applyFont="1" applyBorder="1" applyAlignment="1" applyProtection="1">
      <alignment horizontal="center" vertical="center"/>
    </xf>
    <xf numFmtId="0" fontId="34" fillId="0" borderId="292" xfId="0" applyFont="1" applyBorder="1" applyAlignment="1" applyProtection="1">
      <alignment horizontal="center" vertical="center"/>
    </xf>
    <xf numFmtId="0" fontId="21" fillId="2" borderId="2" xfId="0" applyFont="1" applyFill="1" applyBorder="1" applyAlignment="1" applyProtection="1">
      <alignment horizontal="left" vertical="center" wrapText="1"/>
    </xf>
    <xf numFmtId="0" fontId="34" fillId="0" borderId="342" xfId="0" applyFont="1" applyBorder="1" applyAlignment="1" applyProtection="1">
      <alignment horizontal="center" vertical="center"/>
    </xf>
    <xf numFmtId="0" fontId="34" fillId="0" borderId="343" xfId="0" applyFont="1" applyBorder="1" applyAlignment="1" applyProtection="1">
      <alignment horizontal="center" vertical="center"/>
    </xf>
    <xf numFmtId="0" fontId="34" fillId="0" borderId="296" xfId="0" applyFont="1" applyBorder="1" applyAlignment="1" applyProtection="1">
      <alignment horizontal="center" vertical="center"/>
    </xf>
    <xf numFmtId="0" fontId="34" fillId="0" borderId="297" xfId="0" applyFont="1" applyBorder="1" applyAlignment="1" applyProtection="1">
      <alignment horizontal="center" vertical="center"/>
    </xf>
    <xf numFmtId="0" fontId="4" fillId="27" borderId="298" xfId="0" applyFont="1" applyFill="1" applyBorder="1" applyAlignment="1" applyProtection="1">
      <alignment horizontal="left" vertical="center"/>
    </xf>
    <xf numFmtId="0" fontId="4" fillId="27" borderId="299" xfId="0" applyFont="1" applyFill="1" applyBorder="1" applyAlignment="1" applyProtection="1">
      <alignment horizontal="left" vertical="center"/>
    </xf>
    <xf numFmtId="0" fontId="4" fillId="27" borderId="300" xfId="0" applyFont="1" applyFill="1" applyBorder="1" applyAlignment="1" applyProtection="1">
      <alignment horizontal="left" vertical="center"/>
    </xf>
    <xf numFmtId="0" fontId="4" fillId="27" borderId="301" xfId="0" applyFont="1" applyFill="1" applyBorder="1" applyAlignment="1" applyProtection="1">
      <alignment horizontal="left" vertical="center"/>
    </xf>
    <xf numFmtId="0" fontId="28" fillId="27" borderId="57" xfId="0" applyFont="1" applyFill="1" applyBorder="1" applyAlignment="1" applyProtection="1">
      <alignment horizontal="center" vertical="center"/>
    </xf>
    <xf numFmtId="0" fontId="28" fillId="27" borderId="64" xfId="0" applyFont="1" applyFill="1" applyBorder="1" applyAlignment="1" applyProtection="1">
      <alignment horizontal="center" vertical="center"/>
    </xf>
    <xf numFmtId="0" fontId="33" fillId="27" borderId="102" xfId="0" applyFont="1" applyFill="1" applyBorder="1" applyAlignment="1" applyProtection="1">
      <alignment horizontal="center" vertical="center"/>
    </xf>
    <xf numFmtId="0" fontId="33" fillId="27" borderId="103" xfId="0" applyFont="1" applyFill="1" applyBorder="1" applyAlignment="1" applyProtection="1">
      <alignment horizontal="center" vertical="center"/>
    </xf>
    <xf numFmtId="0" fontId="22" fillId="24" borderId="253" xfId="0" applyFont="1" applyFill="1" applyBorder="1" applyAlignment="1" applyProtection="1">
      <alignment horizontal="center" vertical="center"/>
    </xf>
    <xf numFmtId="0" fontId="22" fillId="24" borderId="254" xfId="0" applyFont="1" applyFill="1" applyBorder="1" applyAlignment="1" applyProtection="1">
      <alignment horizontal="center" vertical="center"/>
    </xf>
    <xf numFmtId="0" fontId="22" fillId="24" borderId="255" xfId="0" applyFont="1" applyFill="1" applyBorder="1" applyAlignment="1" applyProtection="1">
      <alignment horizontal="center" vertical="center"/>
    </xf>
    <xf numFmtId="0" fontId="34" fillId="0" borderId="240" xfId="0" applyFont="1" applyFill="1" applyBorder="1" applyAlignment="1" applyProtection="1">
      <alignment horizontal="center" vertical="center"/>
    </xf>
    <xf numFmtId="0" fontId="34" fillId="0" borderId="242" xfId="0" applyFont="1" applyFill="1" applyBorder="1" applyAlignment="1" applyProtection="1">
      <alignment horizontal="center" vertical="center"/>
    </xf>
    <xf numFmtId="0" fontId="34" fillId="24" borderId="240" xfId="0" applyFont="1" applyFill="1" applyBorder="1" applyAlignment="1" applyProtection="1">
      <alignment horizontal="center" vertical="center"/>
    </xf>
    <xf numFmtId="0" fontId="34" fillId="24" borderId="242" xfId="0" applyFont="1" applyFill="1" applyBorder="1" applyAlignment="1" applyProtection="1">
      <alignment horizontal="center" vertical="center"/>
    </xf>
    <xf numFmtId="0" fontId="22" fillId="0" borderId="419" xfId="0" applyFont="1" applyBorder="1" applyAlignment="1" applyProtection="1">
      <alignment horizontal="center" vertical="center"/>
    </xf>
    <xf numFmtId="0" fontId="22" fillId="0" borderId="420" xfId="0" applyFont="1" applyBorder="1" applyAlignment="1" applyProtection="1">
      <alignment horizontal="center" vertical="center"/>
    </xf>
    <xf numFmtId="0" fontId="22" fillId="0" borderId="421" xfId="0" applyFont="1" applyBorder="1" applyAlignment="1" applyProtection="1">
      <alignment horizontal="center" vertical="center"/>
    </xf>
    <xf numFmtId="0" fontId="22" fillId="0" borderId="52" xfId="0" applyFont="1" applyBorder="1" applyAlignment="1" applyProtection="1">
      <alignment horizontal="center" vertical="center"/>
    </xf>
    <xf numFmtId="0" fontId="22" fillId="0" borderId="53" xfId="0" applyFont="1" applyBorder="1" applyAlignment="1" applyProtection="1">
      <alignment horizontal="center" vertical="center"/>
    </xf>
    <xf numFmtId="0" fontId="22" fillId="0" borderId="54" xfId="0" applyFont="1" applyBorder="1" applyAlignment="1" applyProtection="1">
      <alignment horizontal="center" vertical="center"/>
    </xf>
    <xf numFmtId="0" fontId="22" fillId="0" borderId="418" xfId="0" applyFont="1" applyBorder="1" applyAlignment="1" applyProtection="1">
      <alignment horizontal="center" vertical="center"/>
    </xf>
    <xf numFmtId="0" fontId="22" fillId="0" borderId="254" xfId="0" applyFont="1" applyBorder="1" applyAlignment="1" applyProtection="1">
      <alignment horizontal="center" vertical="center"/>
    </xf>
    <xf numFmtId="0" fontId="22" fillId="0" borderId="255" xfId="0" applyFont="1" applyBorder="1" applyAlignment="1" applyProtection="1">
      <alignment horizontal="center" vertical="center"/>
    </xf>
    <xf numFmtId="0" fontId="34" fillId="0" borderId="261" xfId="0" applyFont="1" applyBorder="1" applyAlignment="1" applyProtection="1">
      <alignment horizontal="center" vertical="center"/>
    </xf>
    <xf numFmtId="0" fontId="34" fillId="0" borderId="398" xfId="0" applyFont="1" applyBorder="1" applyAlignment="1" applyProtection="1">
      <alignment horizontal="center" vertical="center"/>
    </xf>
    <xf numFmtId="0" fontId="22" fillId="0" borderId="253" xfId="0" applyFont="1" applyBorder="1" applyAlignment="1" applyProtection="1">
      <alignment horizontal="center" vertical="center"/>
    </xf>
    <xf numFmtId="0" fontId="34" fillId="0" borderId="243" xfId="0" applyFont="1" applyBorder="1" applyAlignment="1" applyProtection="1">
      <alignment horizontal="center" vertical="center"/>
    </xf>
    <xf numFmtId="0" fontId="34" fillId="0" borderId="104" xfId="0" applyFont="1" applyBorder="1" applyAlignment="1" applyProtection="1">
      <alignment horizontal="center" vertical="center"/>
    </xf>
    <xf numFmtId="0" fontId="34" fillId="0" borderId="57" xfId="0" applyFont="1" applyBorder="1" applyAlignment="1" applyProtection="1">
      <alignment horizontal="center" vertical="center"/>
    </xf>
    <xf numFmtId="0" fontId="34" fillId="0" borderId="59" xfId="0" applyFont="1" applyBorder="1" applyAlignment="1" applyProtection="1">
      <alignment horizontal="center" vertical="center"/>
    </xf>
    <xf numFmtId="0" fontId="17" fillId="31" borderId="246" xfId="0" applyFont="1" applyFill="1" applyBorder="1" applyAlignment="1" applyProtection="1">
      <alignment horizontal="left" vertical="center"/>
      <protection locked="0"/>
    </xf>
    <xf numFmtId="0" fontId="17" fillId="31" borderId="0" xfId="0" applyFont="1" applyFill="1" applyAlignment="1" applyProtection="1">
      <alignment horizontal="left" vertical="center"/>
      <protection locked="0"/>
    </xf>
    <xf numFmtId="0" fontId="17" fillId="31" borderId="247" xfId="0" applyFont="1" applyFill="1" applyBorder="1" applyAlignment="1" applyProtection="1">
      <alignment horizontal="left" vertical="center"/>
      <protection locked="0"/>
    </xf>
    <xf numFmtId="0" fontId="17" fillId="0" borderId="246" xfId="0" applyFont="1" applyBorder="1" applyAlignment="1" applyProtection="1">
      <alignment horizontal="left" vertical="center"/>
      <protection locked="0"/>
    </xf>
    <xf numFmtId="0" fontId="17" fillId="0" borderId="247" xfId="0" applyFont="1" applyBorder="1" applyAlignment="1" applyProtection="1">
      <alignment horizontal="left" vertical="center"/>
      <protection locked="0"/>
    </xf>
    <xf numFmtId="0" fontId="17" fillId="32" borderId="246" xfId="0" applyFont="1" applyFill="1" applyBorder="1" applyAlignment="1" applyProtection="1">
      <alignment horizontal="left" vertical="center"/>
      <protection locked="0"/>
    </xf>
    <xf numFmtId="0" fontId="17" fillId="32" borderId="0" xfId="0" applyFont="1" applyFill="1" applyBorder="1" applyAlignment="1" applyProtection="1">
      <alignment horizontal="left" vertical="center"/>
      <protection locked="0"/>
    </xf>
    <xf numFmtId="0" fontId="17" fillId="32" borderId="247" xfId="0" applyFont="1" applyFill="1" applyBorder="1" applyAlignment="1" applyProtection="1">
      <alignment horizontal="left" vertical="center"/>
      <protection locked="0"/>
    </xf>
    <xf numFmtId="0" fontId="17" fillId="32" borderId="0" xfId="0" applyFont="1" applyFill="1" applyAlignment="1" applyProtection="1">
      <alignment horizontal="left" vertical="center"/>
      <protection locked="0"/>
    </xf>
    <xf numFmtId="0" fontId="17" fillId="31" borderId="248" xfId="0" applyFont="1" applyFill="1" applyBorder="1" applyAlignment="1" applyProtection="1">
      <alignment horizontal="left" vertical="center"/>
      <protection locked="0"/>
    </xf>
    <xf numFmtId="0" fontId="17" fillId="31" borderId="249" xfId="0" applyFont="1" applyFill="1" applyBorder="1" applyAlignment="1" applyProtection="1">
      <alignment horizontal="left" vertical="center"/>
      <protection locked="0"/>
    </xf>
    <xf numFmtId="0" fontId="17" fillId="31" borderId="252" xfId="0" applyFont="1" applyFill="1" applyBorder="1" applyAlignment="1" applyProtection="1">
      <alignment horizontal="left" vertical="center"/>
      <protection locked="0"/>
    </xf>
    <xf numFmtId="0" fontId="17" fillId="31" borderId="0" xfId="0" applyFont="1" applyFill="1" applyBorder="1" applyAlignment="1" applyProtection="1">
      <alignment horizontal="left" vertical="center"/>
      <protection locked="0"/>
    </xf>
    <xf numFmtId="43" fontId="38" fillId="0" borderId="120" xfId="5" applyFont="1" applyBorder="1" applyAlignment="1" applyProtection="1">
      <alignment horizontal="center" vertical="center" wrapText="1"/>
    </xf>
    <xf numFmtId="43" fontId="38" fillId="0" borderId="121" xfId="5" applyFont="1" applyBorder="1" applyAlignment="1" applyProtection="1">
      <alignment horizontal="center" vertical="center" wrapText="1"/>
    </xf>
    <xf numFmtId="166" fontId="38" fillId="0" borderId="120" xfId="5" applyNumberFormat="1" applyFont="1" applyBorder="1" applyAlignment="1" applyProtection="1">
      <alignment horizontal="center" vertical="center" wrapText="1"/>
    </xf>
    <xf numFmtId="166" fontId="38" fillId="0" borderId="121" xfId="5" applyNumberFormat="1" applyFont="1" applyBorder="1" applyAlignment="1" applyProtection="1">
      <alignment horizontal="center" vertical="center" wrapText="1"/>
    </xf>
    <xf numFmtId="0" fontId="34" fillId="0" borderId="64" xfId="0" applyFont="1" applyBorder="1" applyAlignment="1" applyProtection="1">
      <alignment horizontal="center" vertical="center"/>
    </xf>
    <xf numFmtId="0" fontId="38" fillId="0" borderId="495" xfId="6" applyBorder="1" applyAlignment="1" applyProtection="1">
      <alignment horizontal="center" vertical="center" wrapText="1"/>
    </xf>
    <xf numFmtId="0" fontId="34" fillId="0" borderId="240" xfId="0" applyFont="1" applyBorder="1" applyAlignment="1" applyProtection="1">
      <alignment horizontal="center" vertical="center"/>
    </xf>
    <xf numFmtId="0" fontId="34" fillId="0" borderId="244" xfId="0" applyFont="1" applyBorder="1" applyAlignment="1" applyProtection="1">
      <alignment horizontal="center" vertical="center"/>
    </xf>
    <xf numFmtId="0" fontId="34" fillId="0" borderId="245" xfId="0" applyFont="1" applyBorder="1" applyAlignment="1" applyProtection="1">
      <alignment horizontal="center" vertical="center"/>
    </xf>
    <xf numFmtId="0" fontId="34" fillId="0" borderId="422" xfId="0" applyFont="1" applyBorder="1" applyAlignment="1" applyProtection="1">
      <alignment horizontal="center" vertical="center"/>
    </xf>
    <xf numFmtId="0" fontId="17" fillId="12" borderId="244" xfId="0" applyFont="1" applyFill="1" applyBorder="1" applyAlignment="1" applyProtection="1">
      <alignment horizontal="left" vertical="center"/>
      <protection locked="0"/>
    </xf>
    <xf numFmtId="0" fontId="17" fillId="31" borderId="240" xfId="0" applyFont="1" applyFill="1" applyBorder="1" applyAlignment="1" applyProtection="1">
      <alignment horizontal="left" vertical="center"/>
      <protection locked="0"/>
    </xf>
    <xf numFmtId="0" fontId="17" fillId="31" borderId="241" xfId="0" applyFont="1" applyFill="1" applyBorder="1" applyAlignment="1" applyProtection="1">
      <alignment horizontal="left" vertical="center"/>
      <protection locked="0"/>
    </xf>
    <xf numFmtId="0" fontId="17" fillId="31" borderId="244" xfId="0" applyFont="1" applyFill="1" applyBorder="1" applyAlignment="1" applyProtection="1">
      <alignment horizontal="left" vertical="center"/>
      <protection locked="0"/>
    </xf>
    <xf numFmtId="0" fontId="34" fillId="0" borderId="248" xfId="0" applyFont="1" applyBorder="1" applyAlignment="1" applyProtection="1">
      <alignment horizontal="center" vertical="center"/>
    </xf>
    <xf numFmtId="0" fontId="34" fillId="0" borderId="252" xfId="0" applyFont="1" applyBorder="1" applyAlignment="1" applyProtection="1">
      <alignment horizontal="center" vertical="center"/>
    </xf>
    <xf numFmtId="0" fontId="33" fillId="6" borderId="129" xfId="0" applyFont="1" applyFill="1" applyBorder="1" applyAlignment="1" applyProtection="1">
      <alignment horizontal="center" vertical="center"/>
    </xf>
    <xf numFmtId="0" fontId="33" fillId="6" borderId="131" xfId="0" applyFont="1" applyFill="1" applyBorder="1" applyAlignment="1" applyProtection="1">
      <alignment horizontal="center" vertical="center"/>
    </xf>
    <xf numFmtId="0" fontId="17" fillId="0" borderId="248" xfId="0" applyFont="1" applyBorder="1" applyAlignment="1" applyProtection="1">
      <alignment horizontal="left" vertical="center"/>
      <protection locked="0"/>
    </xf>
    <xf numFmtId="0" fontId="17" fillId="0" borderId="249" xfId="0" applyFont="1" applyBorder="1" applyAlignment="1" applyProtection="1">
      <alignment horizontal="left" vertical="center"/>
      <protection locked="0"/>
    </xf>
    <xf numFmtId="0" fontId="17" fillId="0" borderId="252" xfId="0" applyFont="1" applyBorder="1" applyAlignment="1" applyProtection="1">
      <alignment horizontal="left" vertical="center"/>
      <protection locked="0"/>
    </xf>
    <xf numFmtId="0" fontId="17" fillId="32" borderId="248" xfId="0" applyFont="1" applyFill="1" applyBorder="1" applyAlignment="1" applyProtection="1">
      <alignment horizontal="left" vertical="center"/>
      <protection locked="0"/>
    </xf>
    <xf numFmtId="0" fontId="17" fillId="32" borderId="249" xfId="0" applyFont="1" applyFill="1" applyBorder="1" applyAlignment="1" applyProtection="1">
      <alignment horizontal="left" vertical="center"/>
      <protection locked="0"/>
    </xf>
    <xf numFmtId="0" fontId="17" fillId="32" borderId="252" xfId="0" applyFont="1" applyFill="1" applyBorder="1" applyAlignment="1" applyProtection="1">
      <alignment horizontal="left" vertical="center"/>
      <protection locked="0"/>
    </xf>
    <xf numFmtId="0" fontId="34" fillId="0" borderId="61" xfId="0" applyFont="1" applyBorder="1" applyAlignment="1" applyProtection="1">
      <alignment horizontal="center" vertical="center"/>
    </xf>
    <xf numFmtId="0" fontId="34" fillId="0" borderId="0" xfId="0" applyFont="1" applyBorder="1" applyAlignment="1" applyProtection="1">
      <alignment horizontal="center" vertical="center"/>
    </xf>
    <xf numFmtId="0" fontId="34" fillId="0" borderId="102" xfId="0" applyFont="1" applyBorder="1" applyAlignment="1" applyProtection="1">
      <alignment horizontal="center" vertical="center"/>
    </xf>
    <xf numFmtId="0" fontId="34" fillId="0" borderId="105" xfId="0" applyFont="1" applyBorder="1" applyAlignment="1" applyProtection="1">
      <alignment horizontal="center" vertical="center"/>
    </xf>
    <xf numFmtId="0" fontId="34" fillId="0" borderId="246" xfId="0" applyFont="1" applyBorder="1" applyAlignment="1" applyProtection="1">
      <alignment horizontal="center" vertical="center"/>
    </xf>
    <xf numFmtId="0" fontId="34" fillId="0" borderId="247" xfId="0" applyFont="1" applyBorder="1" applyAlignment="1" applyProtection="1">
      <alignment horizontal="center" vertical="center"/>
    </xf>
    <xf numFmtId="0" fontId="17" fillId="12" borderId="248" xfId="0" applyFont="1" applyFill="1" applyBorder="1" applyAlignment="1" applyProtection="1">
      <alignment horizontal="left" vertical="center"/>
      <protection locked="0"/>
    </xf>
    <xf numFmtId="0" fontId="17" fillId="12" borderId="249" xfId="0" applyFont="1" applyFill="1" applyBorder="1" applyAlignment="1" applyProtection="1">
      <alignment horizontal="left" vertical="center"/>
      <protection locked="0"/>
    </xf>
    <xf numFmtId="0" fontId="17" fillId="12" borderId="252" xfId="0" applyFont="1" applyFill="1" applyBorder="1" applyAlignment="1" applyProtection="1">
      <alignment horizontal="left" vertical="center"/>
      <protection locked="0"/>
    </xf>
    <xf numFmtId="0" fontId="4" fillId="6" borderId="47" xfId="0" applyFont="1" applyFill="1" applyBorder="1" applyAlignment="1" applyProtection="1">
      <alignment horizontal="left" vertical="center"/>
    </xf>
    <xf numFmtId="0" fontId="4" fillId="6" borderId="45" xfId="0" applyFont="1" applyFill="1" applyBorder="1" applyAlignment="1" applyProtection="1">
      <alignment horizontal="left" vertical="center"/>
    </xf>
    <xf numFmtId="0" fontId="28" fillId="6" borderId="128" xfId="0" applyFont="1" applyFill="1" applyBorder="1" applyAlignment="1" applyProtection="1">
      <alignment horizontal="center" vertical="center"/>
    </xf>
    <xf numFmtId="0" fontId="28" fillId="6" borderId="132" xfId="0" applyFont="1" applyFill="1" applyBorder="1" applyAlignment="1" applyProtection="1">
      <alignment horizontal="center" vertical="center"/>
    </xf>
    <xf numFmtId="0" fontId="33" fillId="6" borderId="0" xfId="0" applyFont="1" applyFill="1" applyBorder="1" applyAlignment="1" applyProtection="1">
      <alignment horizontal="center" vertical="center"/>
    </xf>
    <xf numFmtId="0" fontId="33" fillId="6" borderId="64" xfId="0" applyFont="1" applyFill="1" applyBorder="1" applyAlignment="1" applyProtection="1">
      <alignment horizontal="center" vertical="center"/>
    </xf>
    <xf numFmtId="0" fontId="28" fillId="6" borderId="0" xfId="0" applyFont="1" applyFill="1" applyAlignment="1" applyProtection="1">
      <alignment horizontal="center" vertical="center"/>
    </xf>
    <xf numFmtId="0" fontId="6" fillId="18" borderId="0" xfId="0" applyFont="1" applyFill="1" applyBorder="1" applyAlignment="1">
      <alignment horizontal="center" vertical="center"/>
    </xf>
    <xf numFmtId="0" fontId="6" fillId="18" borderId="178" xfId="0" applyFont="1" applyFill="1" applyBorder="1" applyAlignment="1">
      <alignment horizontal="center" vertical="center"/>
    </xf>
    <xf numFmtId="0" fontId="27" fillId="12" borderId="428" xfId="0" applyFont="1" applyFill="1" applyBorder="1" applyAlignment="1" applyProtection="1">
      <alignment horizontal="left" vertical="center"/>
      <protection locked="0"/>
    </xf>
    <xf numFmtId="0" fontId="27" fillId="12" borderId="431" xfId="0" applyFont="1" applyFill="1" applyBorder="1" applyAlignment="1" applyProtection="1">
      <alignment horizontal="left" vertical="center"/>
      <protection locked="0"/>
    </xf>
    <xf numFmtId="0" fontId="82" fillId="0" borderId="46" xfId="0" applyFont="1" applyFill="1" applyBorder="1" applyAlignment="1" applyProtection="1">
      <alignment horizontal="left" vertical="center" wrapText="1"/>
      <protection locked="0"/>
    </xf>
    <xf numFmtId="0" fontId="82" fillId="0" borderId="0" xfId="0" applyFont="1" applyFill="1" applyBorder="1" applyAlignment="1" applyProtection="1">
      <alignment horizontal="left" vertical="center" wrapText="1"/>
      <protection locked="0"/>
    </xf>
    <xf numFmtId="0" fontId="82" fillId="0" borderId="99" xfId="0" applyFont="1" applyFill="1" applyBorder="1" applyAlignment="1" applyProtection="1">
      <alignment horizontal="left" vertical="center" wrapText="1"/>
      <protection locked="0"/>
    </xf>
    <xf numFmtId="0" fontId="27" fillId="0" borderId="382" xfId="0" applyFont="1" applyFill="1" applyBorder="1" applyAlignment="1" applyProtection="1">
      <alignment horizontal="center" vertical="center" wrapText="1"/>
    </xf>
    <xf numFmtId="0" fontId="27" fillId="0" borderId="384" xfId="0" applyFont="1" applyFill="1" applyBorder="1" applyAlignment="1" applyProtection="1">
      <alignment horizontal="center" vertical="center" wrapText="1"/>
    </xf>
    <xf numFmtId="0" fontId="27" fillId="0" borderId="380" xfId="0" applyFont="1" applyFill="1" applyBorder="1" applyAlignment="1" applyProtection="1">
      <alignment horizontal="center" vertical="center" wrapText="1"/>
    </xf>
    <xf numFmtId="0" fontId="27" fillId="0" borderId="383" xfId="0" applyFont="1" applyFill="1" applyBorder="1" applyAlignment="1" applyProtection="1">
      <alignment horizontal="left" vertical="center" wrapText="1"/>
    </xf>
    <xf numFmtId="0" fontId="27" fillId="0" borderId="385" xfId="0" applyFont="1" applyFill="1" applyBorder="1" applyAlignment="1" applyProtection="1">
      <alignment horizontal="left" vertical="center" wrapText="1"/>
    </xf>
    <xf numFmtId="0" fontId="27" fillId="0" borderId="432" xfId="0" applyFont="1" applyFill="1" applyBorder="1" applyAlignment="1" applyProtection="1">
      <alignment horizontal="left" vertical="center" wrapText="1"/>
    </xf>
    <xf numFmtId="0" fontId="27" fillId="0" borderId="433" xfId="0" applyFont="1" applyFill="1" applyBorder="1" applyAlignment="1" applyProtection="1">
      <alignment horizontal="left" vertical="center" wrapText="1"/>
    </xf>
    <xf numFmtId="0" fontId="27" fillId="0" borderId="381" xfId="0" applyFont="1" applyFill="1" applyBorder="1" applyAlignment="1" applyProtection="1">
      <alignment horizontal="left" vertical="center" wrapText="1"/>
    </xf>
    <xf numFmtId="0" fontId="27" fillId="0" borderId="0" xfId="0" applyFont="1" applyFill="1" applyBorder="1" applyAlignment="1" applyProtection="1">
      <alignment horizontal="center" vertical="center"/>
    </xf>
    <xf numFmtId="0" fontId="27" fillId="0" borderId="376" xfId="0" applyFont="1" applyFill="1" applyBorder="1" applyAlignment="1" applyProtection="1">
      <alignment horizontal="center" vertical="center"/>
    </xf>
    <xf numFmtId="0" fontId="27" fillId="0" borderId="177" xfId="0" applyFont="1" applyFill="1" applyBorder="1" applyAlignment="1" applyProtection="1">
      <alignment horizontal="center" vertical="center" wrapText="1"/>
    </xf>
    <xf numFmtId="0" fontId="27" fillId="0" borderId="373" xfId="0" applyFont="1" applyFill="1" applyBorder="1" applyAlignment="1" applyProtection="1">
      <alignment horizontal="center" vertical="center"/>
    </xf>
    <xf numFmtId="0" fontId="27" fillId="0" borderId="374" xfId="0" applyFont="1" applyFill="1" applyBorder="1" applyAlignment="1" applyProtection="1">
      <alignment horizontal="center" vertical="center"/>
    </xf>
    <xf numFmtId="0" fontId="27" fillId="0" borderId="372" xfId="0" applyFont="1" applyFill="1" applyBorder="1" applyAlignment="1" applyProtection="1">
      <alignment horizontal="center" vertical="center"/>
    </xf>
    <xf numFmtId="0" fontId="27" fillId="0" borderId="375" xfId="0" applyFont="1" applyFill="1" applyBorder="1" applyAlignment="1" applyProtection="1">
      <alignment horizontal="center" vertical="center"/>
    </xf>
    <xf numFmtId="0" fontId="27" fillId="0" borderId="373" xfId="0"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wrapText="1"/>
    </xf>
    <xf numFmtId="17" fontId="27" fillId="0" borderId="0" xfId="0" applyNumberFormat="1" applyFont="1" applyFill="1" applyBorder="1" applyAlignment="1" applyProtection="1">
      <alignment horizontal="center" vertical="center" wrapText="1"/>
    </xf>
    <xf numFmtId="17" fontId="27" fillId="0" borderId="376" xfId="0" applyNumberFormat="1" applyFont="1" applyFill="1" applyBorder="1" applyAlignment="1" applyProtection="1">
      <alignment horizontal="center" vertical="center" wrapText="1"/>
    </xf>
    <xf numFmtId="17" fontId="27" fillId="0" borderId="0" xfId="0" applyNumberFormat="1" applyFont="1" applyFill="1" applyBorder="1" applyAlignment="1" applyProtection="1">
      <alignment horizontal="center" vertical="center"/>
    </xf>
    <xf numFmtId="0" fontId="27" fillId="0" borderId="375" xfId="0" applyFont="1" applyFill="1" applyBorder="1" applyAlignment="1" applyProtection="1">
      <alignment horizontal="left" vertical="center"/>
    </xf>
    <xf numFmtId="0" fontId="27" fillId="0" borderId="0" xfId="0" applyFont="1" applyFill="1" applyBorder="1" applyAlignment="1" applyProtection="1">
      <alignment horizontal="left" vertical="center"/>
    </xf>
    <xf numFmtId="0" fontId="27" fillId="0" borderId="377" xfId="0" applyFont="1" applyFill="1" applyBorder="1" applyAlignment="1" applyProtection="1">
      <alignment horizontal="left" vertical="center"/>
    </xf>
    <xf numFmtId="0" fontId="27" fillId="0" borderId="378" xfId="0" applyFont="1" applyFill="1" applyBorder="1" applyAlignment="1" applyProtection="1">
      <alignment horizontal="left" vertical="center"/>
    </xf>
    <xf numFmtId="0" fontId="27" fillId="12" borderId="177" xfId="0" applyFont="1" applyFill="1" applyBorder="1" applyAlignment="1" applyProtection="1">
      <alignment horizontal="left"/>
    </xf>
    <xf numFmtId="0" fontId="91" fillId="12" borderId="473" xfId="0" applyFont="1" applyFill="1" applyBorder="1" applyAlignment="1" applyProtection="1">
      <alignment horizontal="center" vertical="center"/>
    </xf>
    <xf numFmtId="0" fontId="91" fillId="12" borderId="474" xfId="0" applyFont="1" applyFill="1" applyBorder="1" applyAlignment="1" applyProtection="1">
      <alignment horizontal="center" vertical="center"/>
    </xf>
    <xf numFmtId="0" fontId="31" fillId="12" borderId="0" xfId="0" applyFont="1" applyFill="1" applyBorder="1" applyAlignment="1" applyProtection="1">
      <alignment horizontal="center"/>
      <protection locked="0"/>
    </xf>
    <xf numFmtId="0" fontId="31" fillId="12" borderId="376" xfId="0" applyFont="1" applyFill="1" applyBorder="1" applyAlignment="1" applyProtection="1">
      <alignment horizontal="center"/>
      <protection locked="0"/>
    </xf>
    <xf numFmtId="0" fontId="31" fillId="0" borderId="376" xfId="0" applyFont="1" applyFill="1" applyBorder="1" applyAlignment="1" applyProtection="1">
      <alignment horizontal="center"/>
      <protection locked="0"/>
    </xf>
    <xf numFmtId="0" fontId="27" fillId="0" borderId="375" xfId="0" applyFont="1" applyFill="1" applyBorder="1" applyAlignment="1" applyProtection="1">
      <alignment horizontal="left" indent="6"/>
    </xf>
    <xf numFmtId="0" fontId="27" fillId="0" borderId="0" xfId="0" applyFont="1" applyFill="1" applyBorder="1" applyAlignment="1" applyProtection="1">
      <alignment horizontal="left" indent="6"/>
    </xf>
    <xf numFmtId="0" fontId="27" fillId="12" borderId="375" xfId="0" applyFont="1" applyFill="1" applyBorder="1" applyAlignment="1" applyProtection="1">
      <alignment horizontal="left" indent="6"/>
    </xf>
    <xf numFmtId="0" fontId="27" fillId="12" borderId="0" xfId="0" applyFont="1" applyFill="1" applyBorder="1" applyAlignment="1" applyProtection="1">
      <alignment horizontal="left" indent="6"/>
    </xf>
    <xf numFmtId="0" fontId="4" fillId="7" borderId="0" xfId="0" applyFont="1" applyFill="1" applyBorder="1" applyAlignment="1" applyProtection="1">
      <alignment horizontal="left" vertical="center"/>
    </xf>
    <xf numFmtId="0" fontId="27" fillId="12" borderId="377" xfId="0" applyFont="1" applyFill="1" applyBorder="1" applyAlignment="1" applyProtection="1">
      <alignment horizontal="left"/>
    </xf>
    <xf numFmtId="0" fontId="27" fillId="12" borderId="378" xfId="0" applyFont="1" applyFill="1" applyBorder="1" applyAlignment="1" applyProtection="1">
      <alignment horizontal="left"/>
    </xf>
    <xf numFmtId="0" fontId="27" fillId="12" borderId="375" xfId="0" applyFont="1" applyFill="1" applyBorder="1" applyAlignment="1" applyProtection="1">
      <alignment horizontal="left"/>
    </xf>
    <xf numFmtId="0" fontId="27" fillId="12" borderId="0" xfId="0" applyFont="1" applyFill="1" applyBorder="1" applyAlignment="1" applyProtection="1">
      <alignment horizontal="left"/>
    </xf>
    <xf numFmtId="0" fontId="27" fillId="0" borderId="375" xfId="0" applyFont="1" applyFill="1" applyBorder="1" applyAlignment="1" applyProtection="1">
      <alignment horizontal="left"/>
    </xf>
    <xf numFmtId="0" fontId="27" fillId="0" borderId="0" xfId="0" applyFont="1" applyFill="1" applyBorder="1" applyAlignment="1" applyProtection="1">
      <alignment horizontal="left"/>
    </xf>
    <xf numFmtId="10" fontId="31" fillId="0" borderId="375" xfId="2" applyNumberFormat="1" applyFont="1" applyFill="1" applyBorder="1" applyAlignment="1" applyProtection="1">
      <alignment horizontal="center"/>
      <protection locked="0"/>
    </xf>
    <xf numFmtId="10" fontId="31" fillId="0" borderId="0" xfId="2" applyNumberFormat="1" applyFont="1" applyFill="1" applyBorder="1" applyAlignment="1" applyProtection="1">
      <alignment horizontal="center"/>
      <protection locked="0"/>
    </xf>
    <xf numFmtId="10" fontId="31" fillId="0" borderId="466" xfId="2" applyNumberFormat="1" applyFont="1" applyFill="1" applyBorder="1" applyAlignment="1" applyProtection="1">
      <alignment horizontal="center"/>
      <protection locked="0"/>
    </xf>
    <xf numFmtId="10" fontId="31" fillId="12" borderId="375" xfId="2" applyNumberFormat="1" applyFont="1" applyFill="1" applyBorder="1" applyAlignment="1" applyProtection="1">
      <alignment horizontal="center"/>
      <protection locked="0"/>
    </xf>
    <xf numFmtId="10" fontId="31" fillId="12" borderId="0" xfId="2" applyNumberFormat="1" applyFont="1" applyFill="1" applyBorder="1" applyAlignment="1" applyProtection="1">
      <alignment horizontal="center"/>
      <protection locked="0"/>
    </xf>
    <xf numFmtId="10" fontId="31" fillId="12" borderId="466" xfId="2" applyNumberFormat="1" applyFont="1" applyFill="1" applyBorder="1" applyAlignment="1" applyProtection="1">
      <alignment horizontal="center"/>
      <protection locked="0"/>
    </xf>
    <xf numFmtId="10" fontId="31" fillId="12" borderId="377" xfId="2" applyNumberFormat="1" applyFont="1" applyFill="1" applyBorder="1" applyAlignment="1" applyProtection="1">
      <alignment horizontal="center"/>
      <protection locked="0"/>
    </xf>
    <xf numFmtId="10" fontId="31" fillId="12" borderId="378" xfId="2" applyNumberFormat="1" applyFont="1" applyFill="1" applyBorder="1" applyAlignment="1" applyProtection="1">
      <alignment horizontal="center"/>
      <protection locked="0"/>
    </xf>
    <xf numFmtId="10" fontId="31" fillId="12" borderId="468" xfId="2" applyNumberFormat="1" applyFont="1" applyFill="1" applyBorder="1" applyAlignment="1" applyProtection="1">
      <alignment horizontal="center"/>
      <protection locked="0"/>
    </xf>
    <xf numFmtId="0" fontId="46" fillId="0" borderId="423" xfId="0" applyFont="1" applyFill="1" applyBorder="1" applyAlignment="1" applyProtection="1">
      <alignment horizontal="left" vertical="center" wrapText="1"/>
      <protection locked="0"/>
    </xf>
    <xf numFmtId="0" fontId="46" fillId="0" borderId="73" xfId="0" applyFont="1" applyFill="1" applyBorder="1" applyAlignment="1" applyProtection="1">
      <alignment horizontal="left" vertical="center" wrapText="1"/>
      <protection locked="0"/>
    </xf>
    <xf numFmtId="0" fontId="46" fillId="0" borderId="424" xfId="0" applyFont="1" applyFill="1" applyBorder="1" applyAlignment="1" applyProtection="1">
      <alignment horizontal="left" vertical="center" wrapText="1"/>
      <protection locked="0"/>
    </xf>
    <xf numFmtId="0" fontId="27" fillId="0" borderId="467" xfId="0" applyFont="1" applyFill="1" applyBorder="1" applyAlignment="1" applyProtection="1">
      <alignment horizontal="center" vertical="center"/>
    </xf>
    <xf numFmtId="0" fontId="27" fillId="0" borderId="375" xfId="0" applyFont="1" applyFill="1" applyBorder="1" applyAlignment="1" applyProtection="1">
      <alignment horizontal="left" indent="4"/>
    </xf>
    <xf numFmtId="0" fontId="27" fillId="0" borderId="0" xfId="0" applyFont="1" applyFill="1" applyBorder="1" applyAlignment="1" applyProtection="1">
      <alignment horizontal="left" indent="4"/>
    </xf>
    <xf numFmtId="0" fontId="27" fillId="0" borderId="466" xfId="0" applyFont="1" applyFill="1" applyBorder="1" applyAlignment="1" applyProtection="1">
      <alignment horizontal="center" vertical="center"/>
    </xf>
    <xf numFmtId="0" fontId="38" fillId="0" borderId="122" xfId="6" applyFont="1" applyBorder="1" applyAlignment="1" applyProtection="1">
      <alignment horizontal="center" vertical="center" wrapText="1"/>
      <protection locked="0"/>
    </xf>
    <xf numFmtId="0" fontId="38" fillId="0" borderId="123" xfId="6" applyFont="1" applyBorder="1" applyAlignment="1" applyProtection="1">
      <alignment horizontal="center" vertical="center" wrapText="1"/>
      <protection locked="0"/>
    </xf>
    <xf numFmtId="0" fontId="27" fillId="0" borderId="378" xfId="0" applyFont="1" applyFill="1" applyBorder="1" applyAlignment="1" applyProtection="1">
      <alignment horizontal="center" vertical="center" wrapText="1"/>
    </xf>
    <xf numFmtId="0" fontId="25" fillId="0" borderId="82" xfId="0" applyFont="1" applyBorder="1" applyAlignment="1" applyProtection="1">
      <alignment horizontal="center" vertical="center"/>
    </xf>
    <xf numFmtId="0" fontId="25" fillId="0" borderId="83" xfId="0" applyFont="1" applyBorder="1" applyAlignment="1" applyProtection="1">
      <alignment horizontal="center" vertical="center"/>
    </xf>
    <xf numFmtId="0" fontId="25" fillId="0" borderId="84" xfId="0" applyFont="1" applyBorder="1" applyAlignment="1" applyProtection="1">
      <alignment horizontal="center" vertical="center"/>
    </xf>
    <xf numFmtId="0" fontId="26" fillId="2" borderId="73" xfId="0" applyFont="1" applyFill="1" applyBorder="1" applyAlignment="1" applyProtection="1">
      <alignment horizontal="left" vertical="center" wrapText="1"/>
    </xf>
    <xf numFmtId="0" fontId="26" fillId="2" borderId="75" xfId="0" applyFont="1" applyFill="1" applyBorder="1" applyAlignment="1" applyProtection="1">
      <alignment horizontal="left" vertical="center" wrapText="1"/>
    </xf>
    <xf numFmtId="0" fontId="26" fillId="2" borderId="98" xfId="0" applyFont="1" applyFill="1" applyBorder="1" applyAlignment="1" applyProtection="1">
      <alignment horizontal="left" vertical="center" wrapText="1"/>
    </xf>
    <xf numFmtId="0" fontId="26" fillId="2" borderId="176" xfId="0" applyFont="1" applyFill="1" applyBorder="1" applyAlignment="1" applyProtection="1">
      <alignment horizontal="left" vertical="center" wrapText="1"/>
    </xf>
    <xf numFmtId="164" fontId="27" fillId="2" borderId="175" xfId="1" applyNumberFormat="1" applyFont="1" applyFill="1" applyBorder="1" applyAlignment="1" applyProtection="1">
      <alignment horizontal="left" vertical="center"/>
    </xf>
    <xf numFmtId="164" fontId="27" fillId="2" borderId="73" xfId="1" applyNumberFormat="1" applyFont="1" applyFill="1" applyBorder="1" applyAlignment="1" applyProtection="1">
      <alignment horizontal="left" vertical="center"/>
    </xf>
    <xf numFmtId="164" fontId="27" fillId="2" borderId="107" xfId="1" applyNumberFormat="1" applyFont="1" applyFill="1" applyBorder="1" applyAlignment="1" applyProtection="1">
      <alignment horizontal="left" vertical="center"/>
    </xf>
    <xf numFmtId="164" fontId="27" fillId="2" borderId="98" xfId="1" applyNumberFormat="1" applyFont="1" applyFill="1" applyBorder="1" applyAlignment="1" applyProtection="1">
      <alignment horizontal="left" vertical="center"/>
    </xf>
    <xf numFmtId="0" fontId="38" fillId="0" borderId="122" xfId="6" applyBorder="1" applyAlignment="1" applyProtection="1">
      <alignment horizontal="center" vertical="center" wrapText="1"/>
      <protection locked="0"/>
    </xf>
    <xf numFmtId="0" fontId="38" fillId="0" borderId="123" xfId="6" applyBorder="1" applyAlignment="1" applyProtection="1">
      <alignment horizontal="center" vertical="center" wrapText="1"/>
      <protection locked="0"/>
    </xf>
    <xf numFmtId="0" fontId="38" fillId="0" borderId="498" xfId="6" applyBorder="1" applyAlignment="1" applyProtection="1">
      <alignment horizontal="center" vertical="center" wrapText="1"/>
      <protection locked="0"/>
    </xf>
    <xf numFmtId="0" fontId="38" fillId="0" borderId="173" xfId="6" applyBorder="1" applyAlignment="1" applyProtection="1">
      <alignment horizontal="center" vertical="center" wrapText="1"/>
      <protection locked="0"/>
    </xf>
    <xf numFmtId="0" fontId="38" fillId="0" borderId="0" xfId="6" applyBorder="1" applyAlignment="1" applyProtection="1">
      <alignment horizontal="center" vertical="center" wrapText="1"/>
      <protection locked="0"/>
    </xf>
    <xf numFmtId="0" fontId="38" fillId="0" borderId="499" xfId="6" applyBorder="1" applyAlignment="1" applyProtection="1">
      <alignment horizontal="center" vertical="center" wrapText="1"/>
      <protection locked="0"/>
    </xf>
    <xf numFmtId="164" fontId="27" fillId="2" borderId="2" xfId="1" applyNumberFormat="1" applyFont="1" applyFill="1" applyBorder="1" applyAlignment="1" applyProtection="1">
      <alignment horizontal="left" vertical="center"/>
    </xf>
    <xf numFmtId="164" fontId="27" fillId="2" borderId="79" xfId="1" applyNumberFormat="1" applyFont="1" applyFill="1" applyBorder="1" applyAlignment="1" applyProtection="1">
      <alignment horizontal="left" vertical="center"/>
    </xf>
    <xf numFmtId="0" fontId="26" fillId="2" borderId="0" xfId="0" applyFont="1" applyFill="1" applyBorder="1" applyAlignment="1" applyProtection="1">
      <alignment horizontal="left" vertical="center" wrapText="1" indent="1"/>
    </xf>
    <xf numFmtId="0" fontId="26" fillId="2" borderId="80" xfId="0" applyFont="1" applyFill="1" applyBorder="1" applyAlignment="1" applyProtection="1">
      <alignment horizontal="left" vertical="center" wrapText="1" indent="1"/>
    </xf>
    <xf numFmtId="164" fontId="27" fillId="2" borderId="72" xfId="1" applyNumberFormat="1" applyFont="1" applyFill="1" applyBorder="1" applyAlignment="1" applyProtection="1">
      <alignment horizontal="left" vertical="center"/>
    </xf>
    <xf numFmtId="164" fontId="27" fillId="2" borderId="3" xfId="1" applyNumberFormat="1" applyFont="1" applyFill="1" applyBorder="1" applyAlignment="1" applyProtection="1">
      <alignment horizontal="left" vertical="center"/>
    </xf>
    <xf numFmtId="0" fontId="26" fillId="2" borderId="45" xfId="0" applyFont="1" applyFill="1" applyBorder="1" applyAlignment="1" applyProtection="1">
      <alignment horizontal="left" vertical="center" wrapText="1"/>
    </xf>
    <xf numFmtId="0" fontId="26" fillId="2" borderId="188" xfId="0" applyFont="1" applyFill="1" applyBorder="1" applyAlignment="1" applyProtection="1">
      <alignment horizontal="left" vertical="center" wrapText="1"/>
    </xf>
    <xf numFmtId="0" fontId="26" fillId="2" borderId="80" xfId="0" applyFont="1" applyFill="1" applyBorder="1" applyAlignment="1" applyProtection="1">
      <alignment horizontal="left" vertical="center" wrapText="1"/>
    </xf>
    <xf numFmtId="0" fontId="26" fillId="2" borderId="110" xfId="0" applyFont="1" applyFill="1" applyBorder="1" applyAlignment="1" applyProtection="1">
      <alignment horizontal="left" vertical="center" wrapText="1"/>
    </xf>
    <xf numFmtId="164" fontId="27" fillId="2" borderId="49" xfId="1" applyNumberFormat="1" applyFont="1" applyFill="1" applyBorder="1" applyAlignment="1" applyProtection="1">
      <alignment horizontal="left" vertical="center"/>
    </xf>
    <xf numFmtId="164" fontId="27" fillId="2" borderId="0" xfId="1" applyNumberFormat="1" applyFont="1" applyFill="1" applyBorder="1" applyAlignment="1" applyProtection="1">
      <alignment horizontal="left" vertical="center"/>
    </xf>
    <xf numFmtId="164" fontId="27" fillId="2" borderId="189" xfId="1" applyNumberFormat="1" applyFont="1" applyFill="1" applyBorder="1" applyAlignment="1" applyProtection="1">
      <alignment horizontal="left" vertical="center"/>
    </xf>
    <xf numFmtId="164" fontId="27" fillId="2" borderId="80" xfId="1" applyNumberFormat="1" applyFont="1" applyFill="1" applyBorder="1" applyAlignment="1" applyProtection="1">
      <alignment horizontal="left" vertical="center"/>
    </xf>
    <xf numFmtId="0" fontId="26" fillId="2" borderId="73" xfId="0" applyFont="1" applyFill="1" applyBorder="1" applyAlignment="1" applyProtection="1">
      <alignment horizontal="left" vertical="center" wrapText="1" indent="1"/>
    </xf>
    <xf numFmtId="0" fontId="26" fillId="2" borderId="2" xfId="0" applyFont="1" applyFill="1" applyBorder="1" applyAlignment="1" applyProtection="1">
      <alignment horizontal="left" vertical="center" wrapText="1" indent="1"/>
    </xf>
    <xf numFmtId="0" fontId="16" fillId="0" borderId="372" xfId="0" applyFont="1" applyFill="1" applyBorder="1" applyAlignment="1" applyProtection="1">
      <alignment horizontal="center"/>
    </xf>
    <xf numFmtId="0" fontId="16" fillId="0" borderId="373" xfId="0" applyFont="1" applyFill="1" applyBorder="1" applyAlignment="1" applyProtection="1">
      <alignment horizontal="center"/>
    </xf>
    <xf numFmtId="0" fontId="16" fillId="0" borderId="375" xfId="0" applyFont="1" applyFill="1" applyBorder="1" applyAlignment="1" applyProtection="1">
      <alignment horizontal="center"/>
    </xf>
    <xf numFmtId="0" fontId="27" fillId="0" borderId="375" xfId="0" applyFont="1" applyFill="1" applyBorder="1" applyAlignment="1" applyProtection="1">
      <alignment horizontal="left" indent="2"/>
    </xf>
    <xf numFmtId="0" fontId="27" fillId="0" borderId="0" xfId="0" applyFont="1" applyFill="1" applyBorder="1" applyAlignment="1" applyProtection="1">
      <alignment horizontal="left" indent="2"/>
    </xf>
    <xf numFmtId="0" fontId="27" fillId="12" borderId="375" xfId="0" applyFont="1" applyFill="1" applyBorder="1" applyAlignment="1" applyProtection="1">
      <alignment horizontal="left" indent="4"/>
    </xf>
    <xf numFmtId="0" fontId="27" fillId="12" borderId="0" xfId="0" applyFont="1" applyFill="1" applyBorder="1" applyAlignment="1" applyProtection="1">
      <alignment horizontal="left" indent="4"/>
    </xf>
    <xf numFmtId="0" fontId="27" fillId="12" borderId="375" xfId="0" applyFont="1" applyFill="1" applyBorder="1" applyAlignment="1" applyProtection="1">
      <alignment horizontal="left" indent="2"/>
    </xf>
    <xf numFmtId="0" fontId="27" fillId="12" borderId="0" xfId="0" applyFont="1" applyFill="1" applyBorder="1" applyAlignment="1" applyProtection="1">
      <alignment horizontal="left" indent="2"/>
    </xf>
    <xf numFmtId="10" fontId="31" fillId="12" borderId="372" xfId="2" applyNumberFormat="1" applyFont="1" applyFill="1" applyBorder="1" applyAlignment="1" applyProtection="1">
      <alignment horizontal="center"/>
      <protection locked="0"/>
    </xf>
    <xf numFmtId="10" fontId="31" fillId="12" borderId="373" xfId="2" applyNumberFormat="1" applyFont="1" applyFill="1" applyBorder="1" applyAlignment="1" applyProtection="1">
      <alignment horizontal="center"/>
      <protection locked="0"/>
    </xf>
    <xf numFmtId="10" fontId="31" fillId="12" borderId="374" xfId="2" applyNumberFormat="1" applyFont="1" applyFill="1" applyBorder="1" applyAlignment="1" applyProtection="1">
      <alignment horizontal="center"/>
      <protection locked="0"/>
    </xf>
    <xf numFmtId="10" fontId="31" fillId="0" borderId="376" xfId="2" applyNumberFormat="1" applyFont="1" applyFill="1" applyBorder="1" applyAlignment="1" applyProtection="1">
      <alignment horizontal="center"/>
      <protection locked="0"/>
    </xf>
    <xf numFmtId="0" fontId="4" fillId="7" borderId="470" xfId="0" applyFont="1" applyFill="1" applyBorder="1" applyAlignment="1" applyProtection="1">
      <alignment horizontal="left" vertical="center"/>
    </xf>
    <xf numFmtId="0" fontId="4" fillId="7" borderId="471" xfId="0" applyFont="1" applyFill="1" applyBorder="1" applyAlignment="1" applyProtection="1">
      <alignment horizontal="left" vertical="center"/>
    </xf>
    <xf numFmtId="0" fontId="4" fillId="7" borderId="378" xfId="0" applyFont="1" applyFill="1" applyBorder="1" applyAlignment="1" applyProtection="1">
      <alignment horizontal="left" vertical="center"/>
    </xf>
    <xf numFmtId="0" fontId="4" fillId="7" borderId="468" xfId="0" applyFont="1" applyFill="1" applyBorder="1" applyAlignment="1" applyProtection="1">
      <alignment horizontal="left" vertical="center"/>
    </xf>
    <xf numFmtId="10" fontId="31" fillId="12" borderId="379" xfId="2" applyNumberFormat="1" applyFont="1" applyFill="1" applyBorder="1" applyAlignment="1" applyProtection="1">
      <alignment horizontal="center"/>
      <protection locked="0"/>
    </xf>
    <xf numFmtId="0" fontId="46" fillId="0" borderId="469" xfId="0" applyFont="1" applyFill="1" applyBorder="1" applyAlignment="1" applyProtection="1">
      <alignment horizontal="left" vertical="center" wrapText="1"/>
      <protection locked="0"/>
    </xf>
    <xf numFmtId="0" fontId="27" fillId="0" borderId="395" xfId="0" applyFont="1" applyFill="1" applyBorder="1" applyAlignment="1" applyProtection="1">
      <alignment horizontal="left" vertical="center" wrapText="1" indent="3"/>
    </xf>
    <xf numFmtId="0" fontId="27" fillId="0" borderId="390" xfId="0" applyFont="1" applyFill="1" applyBorder="1" applyAlignment="1" applyProtection="1">
      <alignment horizontal="left" vertical="center" wrapText="1" indent="3"/>
    </xf>
    <xf numFmtId="0" fontId="27" fillId="0" borderId="394" xfId="0" applyFont="1" applyFill="1" applyBorder="1" applyAlignment="1" applyProtection="1">
      <alignment horizontal="left" vertical="center" wrapText="1" indent="3"/>
    </xf>
    <xf numFmtId="0" fontId="27" fillId="0" borderId="392" xfId="0" applyFont="1" applyFill="1" applyBorder="1" applyAlignment="1" applyProtection="1">
      <alignment horizontal="left" vertical="center" wrapText="1" indent="3"/>
    </xf>
    <xf numFmtId="0" fontId="27" fillId="0" borderId="362" xfId="0" applyFont="1" applyFill="1" applyBorder="1" applyAlignment="1" applyProtection="1">
      <alignment horizontal="left" vertical="center" wrapText="1" indent="3"/>
    </xf>
    <xf numFmtId="0" fontId="27" fillId="0" borderId="472" xfId="0" applyFont="1" applyFill="1" applyBorder="1" applyAlignment="1" applyProtection="1">
      <alignment horizontal="left" vertical="center" wrapText="1" indent="3"/>
    </xf>
    <xf numFmtId="0" fontId="27" fillId="0" borderId="387" xfId="0" applyFont="1" applyFill="1" applyBorder="1" applyAlignment="1" applyProtection="1">
      <alignment horizontal="center" vertical="center"/>
    </xf>
    <xf numFmtId="0" fontId="27" fillId="0" borderId="361" xfId="0" applyFont="1" applyFill="1" applyBorder="1" applyAlignment="1" applyProtection="1">
      <alignment horizontal="center" vertical="center"/>
    </xf>
    <xf numFmtId="0" fontId="27" fillId="0" borderId="363" xfId="0" applyFont="1" applyFill="1" applyBorder="1" applyAlignment="1" applyProtection="1">
      <alignment horizontal="center" vertical="center"/>
    </xf>
    <xf numFmtId="0" fontId="27" fillId="0" borderId="386" xfId="0" applyFont="1" applyFill="1" applyBorder="1" applyAlignment="1" applyProtection="1">
      <alignment horizontal="center" vertical="center"/>
    </xf>
    <xf numFmtId="0" fontId="27" fillId="0" borderId="77" xfId="0" applyFont="1" applyFill="1" applyBorder="1" applyAlignment="1" applyProtection="1">
      <alignment horizontal="center" vertical="center"/>
    </xf>
    <xf numFmtId="166" fontId="31" fillId="12" borderId="177" xfId="5" applyNumberFormat="1" applyFont="1" applyFill="1" applyBorder="1" applyAlignment="1" applyProtection="1">
      <alignment horizontal="center"/>
      <protection locked="0"/>
    </xf>
    <xf numFmtId="166" fontId="31" fillId="0" borderId="376" xfId="5" applyNumberFormat="1" applyFont="1" applyFill="1" applyBorder="1" applyAlignment="1" applyProtection="1">
      <alignment horizontal="center"/>
      <protection locked="0"/>
    </xf>
    <xf numFmtId="0" fontId="27" fillId="0" borderId="393" xfId="0" applyFont="1" applyFill="1" applyBorder="1" applyAlignment="1" applyProtection="1">
      <alignment horizontal="left" vertical="center" wrapText="1" indent="3"/>
    </xf>
    <xf numFmtId="10" fontId="31" fillId="0" borderId="177" xfId="2" applyNumberFormat="1" applyFont="1" applyFill="1" applyBorder="1" applyAlignment="1" applyProtection="1">
      <alignment vertical="center" wrapText="1"/>
      <protection locked="0"/>
    </xf>
    <xf numFmtId="0" fontId="26" fillId="0" borderId="177" xfId="0" applyFont="1" applyFill="1" applyBorder="1" applyAlignment="1" applyProtection="1">
      <alignment horizontal="center" vertical="center"/>
      <protection locked="0"/>
    </xf>
    <xf numFmtId="0" fontId="49" fillId="12" borderId="477" xfId="0" applyFont="1" applyFill="1" applyBorder="1" applyAlignment="1" applyProtection="1">
      <alignment horizontal="center" vertical="center"/>
      <protection locked="0"/>
    </xf>
    <xf numFmtId="0" fontId="27" fillId="0" borderId="383" xfId="0" applyFont="1" applyFill="1" applyBorder="1" applyAlignment="1" applyProtection="1">
      <alignment horizontal="left" vertical="center"/>
      <protection locked="0"/>
    </xf>
    <xf numFmtId="0" fontId="27" fillId="0" borderId="385" xfId="0" applyFont="1" applyFill="1" applyBorder="1" applyAlignment="1" applyProtection="1">
      <alignment horizontal="left" vertical="center"/>
      <protection locked="0"/>
    </xf>
    <xf numFmtId="0" fontId="27" fillId="12" borderId="385" xfId="0" applyFont="1" applyFill="1" applyBorder="1" applyAlignment="1" applyProtection="1">
      <alignment horizontal="left" vertical="center"/>
      <protection locked="0"/>
    </xf>
    <xf numFmtId="0" fontId="27" fillId="12" borderId="381" xfId="0" applyFont="1" applyFill="1" applyBorder="1" applyAlignment="1" applyProtection="1">
      <alignment horizontal="left" vertical="center"/>
      <protection locked="0"/>
    </xf>
    <xf numFmtId="0" fontId="27" fillId="0" borderId="394" xfId="0" applyFont="1" applyFill="1" applyBorder="1" applyAlignment="1" applyProtection="1">
      <alignment horizontal="left" vertical="center"/>
    </xf>
    <xf numFmtId="0" fontId="27" fillId="0" borderId="393" xfId="0" applyFont="1" applyFill="1" applyBorder="1" applyAlignment="1" applyProtection="1">
      <alignment horizontal="left" vertical="center"/>
    </xf>
    <xf numFmtId="0" fontId="27" fillId="0" borderId="361" xfId="0" applyFont="1" applyFill="1" applyBorder="1" applyAlignment="1" applyProtection="1">
      <alignment horizontal="left" vertical="center"/>
    </xf>
    <xf numFmtId="0" fontId="4" fillId="0" borderId="0" xfId="0" applyFont="1" applyFill="1" applyBorder="1" applyAlignment="1" applyProtection="1">
      <alignment horizontal="center" vertical="center"/>
    </xf>
    <xf numFmtId="0" fontId="4" fillId="0" borderId="77" xfId="0" applyFont="1" applyFill="1" applyBorder="1" applyAlignment="1" applyProtection="1">
      <alignment horizontal="center" vertical="center"/>
    </xf>
    <xf numFmtId="0" fontId="27" fillId="12" borderId="112" xfId="0" applyFont="1" applyFill="1" applyBorder="1" applyAlignment="1" applyProtection="1">
      <alignment horizontal="left" vertical="center"/>
    </xf>
    <xf numFmtId="0" fontId="27" fillId="12" borderId="73" xfId="0" applyFont="1" applyFill="1" applyBorder="1" applyAlignment="1" applyProtection="1">
      <alignment horizontal="left" vertical="center"/>
    </xf>
    <xf numFmtId="10" fontId="3" fillId="0" borderId="387" xfId="2" applyNumberFormat="1" applyFont="1" applyFill="1" applyBorder="1" applyAlignment="1" applyProtection="1">
      <alignment horizontal="center" vertical="center"/>
      <protection locked="0"/>
    </xf>
    <xf numFmtId="10" fontId="3" fillId="0" borderId="361" xfId="2" applyNumberFormat="1" applyFont="1" applyFill="1" applyBorder="1" applyAlignment="1" applyProtection="1">
      <alignment horizontal="center" vertical="center"/>
      <protection locked="0"/>
    </xf>
    <xf numFmtId="10" fontId="3" fillId="0" borderId="363" xfId="2" applyNumberFormat="1" applyFont="1" applyFill="1" applyBorder="1" applyAlignment="1" applyProtection="1">
      <alignment horizontal="center" vertical="center"/>
      <protection locked="0"/>
    </xf>
    <xf numFmtId="10" fontId="3" fillId="12" borderId="386" xfId="2" applyNumberFormat="1" applyFont="1" applyFill="1" applyBorder="1" applyAlignment="1" applyProtection="1">
      <alignment horizontal="center" vertical="center"/>
      <protection locked="0"/>
    </xf>
    <xf numFmtId="10" fontId="3" fillId="12" borderId="0" xfId="2" applyNumberFormat="1" applyFont="1" applyFill="1" applyBorder="1" applyAlignment="1" applyProtection="1">
      <alignment horizontal="center" vertical="center"/>
      <protection locked="0"/>
    </xf>
    <xf numFmtId="10" fontId="3" fillId="12" borderId="77" xfId="2" applyNumberFormat="1" applyFont="1" applyFill="1" applyBorder="1" applyAlignment="1" applyProtection="1">
      <alignment horizontal="center" vertical="center"/>
      <protection locked="0"/>
    </xf>
    <xf numFmtId="10" fontId="3" fillId="0" borderId="386" xfId="2" applyNumberFormat="1" applyFont="1" applyFill="1" applyBorder="1" applyAlignment="1" applyProtection="1">
      <alignment horizontal="center" vertical="center"/>
      <protection locked="0"/>
    </xf>
    <xf numFmtId="10" fontId="3" fillId="0" borderId="0" xfId="2" applyNumberFormat="1" applyFont="1" applyFill="1" applyBorder="1" applyAlignment="1" applyProtection="1">
      <alignment horizontal="center" vertical="center"/>
      <protection locked="0"/>
    </xf>
    <xf numFmtId="10" fontId="3" fillId="0" borderId="77" xfId="2" applyNumberFormat="1" applyFont="1" applyFill="1" applyBorder="1" applyAlignment="1" applyProtection="1">
      <alignment horizontal="center" vertical="center"/>
      <protection locked="0"/>
    </xf>
    <xf numFmtId="10" fontId="3" fillId="12" borderId="428" xfId="2" applyNumberFormat="1" applyFont="1" applyFill="1" applyBorder="1" applyAlignment="1" applyProtection="1">
      <alignment horizontal="center" vertical="center"/>
      <protection locked="0"/>
    </xf>
    <xf numFmtId="10" fontId="3" fillId="12" borderId="429" xfId="2" applyNumberFormat="1" applyFont="1" applyFill="1" applyBorder="1" applyAlignment="1" applyProtection="1">
      <alignment horizontal="center" vertical="center"/>
      <protection locked="0"/>
    </xf>
    <xf numFmtId="10" fontId="3" fillId="12" borderId="430" xfId="2" applyNumberFormat="1" applyFont="1" applyFill="1" applyBorder="1" applyAlignment="1" applyProtection="1">
      <alignment horizontal="center" vertical="center"/>
      <protection locked="0"/>
    </xf>
    <xf numFmtId="10" fontId="3" fillId="12" borderId="388" xfId="2" applyNumberFormat="1" applyFont="1" applyFill="1" applyBorder="1" applyAlignment="1" applyProtection="1">
      <alignment horizontal="center" vertical="center"/>
      <protection locked="0"/>
    </xf>
    <xf numFmtId="10" fontId="3" fillId="12" borderId="389" xfId="2" applyNumberFormat="1" applyFont="1" applyFill="1" applyBorder="1" applyAlignment="1" applyProtection="1">
      <alignment horizontal="center" vertical="center"/>
      <protection locked="0"/>
    </xf>
    <xf numFmtId="10" fontId="3" fillId="12" borderId="391" xfId="2" applyNumberFormat="1" applyFont="1" applyFill="1" applyBorder="1" applyAlignment="1" applyProtection="1">
      <alignment horizontal="center" vertical="center"/>
      <protection locked="0"/>
    </xf>
    <xf numFmtId="0" fontId="17" fillId="11" borderId="269" xfId="0" applyFont="1" applyFill="1" applyBorder="1" applyAlignment="1" applyProtection="1">
      <alignment horizontal="left" vertical="top"/>
      <protection locked="0"/>
    </xf>
    <xf numFmtId="0" fontId="17" fillId="11" borderId="270" xfId="0" applyFont="1"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276" xfId="0" applyFill="1" applyBorder="1" applyAlignment="1" applyProtection="1">
      <alignment horizontal="left" vertical="top"/>
      <protection locked="0"/>
    </xf>
    <xf numFmtId="0" fontId="0" fillId="11" borderId="0" xfId="0" applyFill="1" applyAlignment="1" applyProtection="1">
      <alignment horizontal="left" vertical="top"/>
      <protection locked="0"/>
    </xf>
    <xf numFmtId="0" fontId="0" fillId="11" borderId="276" xfId="0" applyFill="1" applyBorder="1" applyAlignment="1" applyProtection="1">
      <alignment horizontal="left" vertical="top"/>
      <protection locked="0"/>
    </xf>
    <xf numFmtId="0" fontId="0" fillId="4" borderId="273" xfId="0" applyFill="1" applyBorder="1" applyAlignment="1" applyProtection="1">
      <alignment horizontal="left" vertical="top"/>
      <protection locked="0"/>
    </xf>
    <xf numFmtId="0" fontId="0" fillId="4" borderId="274" xfId="0" applyFill="1" applyBorder="1" applyAlignment="1" applyProtection="1">
      <alignment horizontal="left" vertical="top"/>
      <protection locked="0"/>
    </xf>
    <xf numFmtId="0" fontId="37" fillId="0" borderId="73" xfId="0" applyFont="1" applyBorder="1" applyAlignment="1" applyProtection="1">
      <alignment horizontal="center" vertical="center"/>
    </xf>
    <xf numFmtId="0" fontId="37" fillId="0" borderId="75" xfId="0" applyFont="1" applyBorder="1" applyAlignment="1" applyProtection="1">
      <alignment horizontal="center" vertical="center"/>
    </xf>
    <xf numFmtId="0" fontId="37" fillId="0" borderId="270" xfId="0" applyFont="1" applyBorder="1" applyAlignment="1" applyProtection="1">
      <alignment horizontal="center" vertical="center"/>
    </xf>
    <xf numFmtId="0" fontId="37" fillId="0" borderId="0" xfId="0" applyFont="1" applyBorder="1" applyAlignment="1" applyProtection="1">
      <alignment horizontal="center" vertical="center"/>
    </xf>
    <xf numFmtId="0" fontId="37" fillId="0" borderId="269" xfId="0" applyFont="1" applyBorder="1" applyAlignment="1" applyProtection="1">
      <alignment horizontal="center" vertical="center"/>
    </xf>
    <xf numFmtId="0" fontId="37" fillId="0" borderId="271" xfId="0" applyFont="1" applyBorder="1" applyAlignment="1" applyProtection="1">
      <alignment horizontal="center" vertical="center"/>
    </xf>
    <xf numFmtId="0" fontId="37" fillId="0" borderId="275" xfId="0" applyFont="1" applyBorder="1" applyAlignment="1" applyProtection="1">
      <alignment horizontal="center" vertical="center"/>
    </xf>
    <xf numFmtId="0" fontId="37" fillId="0" borderId="276" xfId="0" applyFont="1" applyBorder="1" applyAlignment="1" applyProtection="1">
      <alignment horizontal="center" vertical="center"/>
    </xf>
    <xf numFmtId="0" fontId="37" fillId="0" borderId="272" xfId="0" applyFont="1" applyBorder="1" applyAlignment="1" applyProtection="1">
      <alignment horizontal="center" vertical="center"/>
    </xf>
    <xf numFmtId="0" fontId="37" fillId="0" borderId="273" xfId="0" applyFont="1" applyBorder="1" applyAlignment="1" applyProtection="1">
      <alignment horizontal="center" vertical="center"/>
    </xf>
    <xf numFmtId="0" fontId="37" fillId="0" borderId="274" xfId="0" applyFont="1" applyBorder="1" applyAlignment="1" applyProtection="1">
      <alignment horizontal="center" vertical="center"/>
    </xf>
    <xf numFmtId="0" fontId="37" fillId="4" borderId="271" xfId="0" applyFont="1" applyFill="1" applyBorder="1" applyAlignment="1" applyProtection="1">
      <alignment horizontal="center" vertical="center"/>
    </xf>
    <xf numFmtId="0" fontId="37" fillId="4" borderId="276" xfId="0" applyFont="1" applyFill="1" applyBorder="1" applyAlignment="1" applyProtection="1">
      <alignment horizontal="center" vertical="center"/>
    </xf>
    <xf numFmtId="0" fontId="27" fillId="0" borderId="263" xfId="0" applyFont="1" applyBorder="1" applyAlignment="1" applyProtection="1">
      <alignment horizontal="center" vertical="center"/>
    </xf>
    <xf numFmtId="0" fontId="27" fillId="0" borderId="264" xfId="0" applyFont="1" applyBorder="1" applyAlignment="1" applyProtection="1">
      <alignment horizontal="center" vertical="center"/>
    </xf>
    <xf numFmtId="0" fontId="27" fillId="0" borderId="265" xfId="0" applyFont="1" applyBorder="1" applyAlignment="1" applyProtection="1">
      <alignment horizontal="center" vertical="center"/>
    </xf>
    <xf numFmtId="0" fontId="17" fillId="11" borderId="275" xfId="0" applyFont="1" applyFill="1" applyBorder="1" applyAlignment="1" applyProtection="1">
      <alignment horizontal="left" vertical="center"/>
      <protection locked="0"/>
    </xf>
    <xf numFmtId="0" fontId="17" fillId="11" borderId="0" xfId="0" applyFont="1" applyFill="1" applyBorder="1" applyAlignment="1" applyProtection="1">
      <alignment horizontal="left" vertical="center"/>
      <protection locked="0"/>
    </xf>
    <xf numFmtId="0" fontId="17" fillId="11" borderId="276" xfId="0" applyFont="1" applyFill="1" applyBorder="1" applyAlignment="1" applyProtection="1">
      <alignment horizontal="left" vertical="center"/>
      <protection locked="0"/>
    </xf>
    <xf numFmtId="0" fontId="17" fillId="0" borderId="275" xfId="0" applyFont="1" applyFill="1" applyBorder="1" applyAlignment="1" applyProtection="1">
      <alignment horizontal="left" vertical="center"/>
      <protection locked="0"/>
    </xf>
    <xf numFmtId="0" fontId="17" fillId="0" borderId="276" xfId="0" applyFont="1" applyFill="1" applyBorder="1" applyAlignment="1" applyProtection="1">
      <alignment horizontal="left" vertical="center"/>
      <protection locked="0"/>
    </xf>
    <xf numFmtId="0" fontId="33" fillId="7" borderId="112" xfId="0" applyFont="1" applyFill="1" applyBorder="1" applyAlignment="1" applyProtection="1">
      <alignment horizontal="center" vertical="center"/>
    </xf>
    <xf numFmtId="0" fontId="33" fillId="7" borderId="113" xfId="0" applyFont="1" applyFill="1" applyBorder="1" applyAlignment="1" applyProtection="1">
      <alignment horizontal="center" vertical="center"/>
    </xf>
    <xf numFmtId="0" fontId="28" fillId="7" borderId="73" xfId="0" applyFont="1" applyFill="1" applyBorder="1" applyAlignment="1" applyProtection="1">
      <alignment horizontal="center" vertical="center"/>
    </xf>
    <xf numFmtId="0" fontId="28" fillId="7" borderId="80" xfId="0" applyFont="1" applyFill="1" applyBorder="1" applyAlignment="1" applyProtection="1">
      <alignment horizontal="center" vertical="center"/>
    </xf>
    <xf numFmtId="0" fontId="4" fillId="7" borderId="309" xfId="0" applyFont="1" applyFill="1" applyBorder="1" applyAlignment="1" applyProtection="1">
      <alignment horizontal="left" vertical="center"/>
    </xf>
    <xf numFmtId="0" fontId="4" fillId="7" borderId="310" xfId="0" applyFont="1" applyFill="1" applyBorder="1" applyAlignment="1" applyProtection="1">
      <alignment horizontal="left" vertical="center"/>
    </xf>
    <xf numFmtId="0" fontId="4" fillId="41" borderId="311" xfId="0" applyFont="1" applyFill="1" applyBorder="1" applyAlignment="1" applyProtection="1">
      <alignment horizontal="left" vertical="center"/>
    </xf>
    <xf numFmtId="0" fontId="4" fillId="41" borderId="312" xfId="0" applyFont="1" applyFill="1" applyBorder="1" applyAlignment="1" applyProtection="1">
      <alignment horizontal="left" vertical="center"/>
    </xf>
    <xf numFmtId="0" fontId="38" fillId="0" borderId="174" xfId="6" applyBorder="1" applyAlignment="1" applyProtection="1">
      <alignment horizontal="center" vertical="center" wrapText="1"/>
      <protection locked="0"/>
    </xf>
    <xf numFmtId="164" fontId="27" fillId="2" borderId="183" xfId="1" applyNumberFormat="1" applyFont="1" applyFill="1" applyBorder="1" applyAlignment="1" applyProtection="1">
      <alignment vertical="center"/>
    </xf>
    <xf numFmtId="164" fontId="27" fillId="2" borderId="190" xfId="1" applyNumberFormat="1" applyFont="1" applyFill="1" applyBorder="1" applyAlignment="1" applyProtection="1">
      <alignment vertical="center"/>
    </xf>
    <xf numFmtId="164" fontId="27" fillId="2" borderId="73" xfId="1" applyNumberFormat="1" applyFont="1" applyFill="1" applyBorder="1" applyAlignment="1" applyProtection="1">
      <alignment horizontal="center" vertical="center"/>
    </xf>
    <xf numFmtId="164" fontId="27" fillId="2" borderId="0" xfId="1" applyNumberFormat="1" applyFont="1" applyFill="1" applyBorder="1" applyAlignment="1" applyProtection="1">
      <alignment horizontal="center" vertical="center"/>
    </xf>
    <xf numFmtId="0" fontId="26" fillId="2" borderId="0" xfId="0" applyFont="1" applyFill="1" applyBorder="1" applyAlignment="1" applyProtection="1">
      <alignment horizontal="left" vertical="center" wrapText="1"/>
    </xf>
    <xf numFmtId="0" fontId="26" fillId="2" borderId="77" xfId="0" applyFont="1" applyFill="1" applyBorder="1" applyAlignment="1" applyProtection="1">
      <alignment horizontal="left" vertical="center" wrapText="1"/>
    </xf>
    <xf numFmtId="0" fontId="26" fillId="2" borderId="2" xfId="0" applyFont="1" applyFill="1" applyBorder="1" applyAlignment="1" applyProtection="1">
      <alignment horizontal="left" vertical="center" wrapText="1"/>
    </xf>
    <xf numFmtId="0" fontId="17" fillId="11" borderId="269" xfId="0" applyFont="1" applyFill="1" applyBorder="1" applyAlignment="1" applyProtection="1">
      <alignment horizontal="left" vertical="center"/>
      <protection locked="0"/>
    </xf>
    <xf numFmtId="0" fontId="17" fillId="11" borderId="270" xfId="0" applyFont="1" applyFill="1" applyBorder="1" applyAlignment="1" applyProtection="1">
      <alignment horizontal="left" vertical="center"/>
      <protection locked="0"/>
    </xf>
    <xf numFmtId="0" fontId="17" fillId="11" borderId="271" xfId="0" applyFont="1" applyFill="1" applyBorder="1" applyAlignment="1" applyProtection="1">
      <alignment horizontal="left" vertical="center"/>
      <protection locked="0"/>
    </xf>
    <xf numFmtId="0" fontId="4" fillId="41" borderId="309" xfId="0" applyFont="1" applyFill="1" applyBorder="1" applyAlignment="1" applyProtection="1">
      <alignment horizontal="left" vertical="center"/>
    </xf>
    <xf numFmtId="0" fontId="4" fillId="41" borderId="310" xfId="0" applyFont="1" applyFill="1" applyBorder="1" applyAlignment="1" applyProtection="1">
      <alignment horizontal="left" vertical="center"/>
    </xf>
    <xf numFmtId="0" fontId="17" fillId="11" borderId="272" xfId="0" applyFont="1" applyFill="1" applyBorder="1" applyAlignment="1" applyProtection="1">
      <alignment horizontal="left" vertical="center"/>
      <protection locked="0"/>
    </xf>
    <xf numFmtId="0" fontId="17" fillId="11" borderId="273" xfId="0" applyFont="1" applyFill="1" applyBorder="1" applyAlignment="1" applyProtection="1">
      <alignment horizontal="left" vertical="center"/>
      <protection locked="0"/>
    </xf>
    <xf numFmtId="0" fontId="17" fillId="11" borderId="274" xfId="0" applyFont="1" applyFill="1" applyBorder="1" applyAlignment="1" applyProtection="1">
      <alignment horizontal="left" vertical="center"/>
      <protection locked="0"/>
    </xf>
    <xf numFmtId="0" fontId="27" fillId="0" borderId="269" xfId="0" applyFont="1" applyBorder="1" applyAlignment="1" applyProtection="1">
      <alignment horizontal="center" vertical="center"/>
    </xf>
    <xf numFmtId="0" fontId="27" fillId="0" borderId="270" xfId="0" applyFont="1" applyBorder="1" applyAlignment="1" applyProtection="1">
      <alignment horizontal="center" vertical="center"/>
    </xf>
    <xf numFmtId="0" fontId="27" fillId="0" borderId="271" xfId="0" applyFont="1" applyBorder="1" applyAlignment="1" applyProtection="1">
      <alignment horizontal="center" vertical="center"/>
    </xf>
    <xf numFmtId="0" fontId="17" fillId="11" borderId="275" xfId="0" applyFont="1" applyFill="1" applyBorder="1" applyAlignment="1" applyProtection="1">
      <alignment horizontal="left" vertical="top"/>
      <protection locked="0"/>
    </xf>
    <xf numFmtId="0" fontId="17" fillId="11" borderId="0" xfId="0" applyFont="1" applyFill="1" applyBorder="1" applyAlignment="1" applyProtection="1">
      <alignment horizontal="left" vertical="top"/>
      <protection locked="0"/>
    </xf>
    <xf numFmtId="0" fontId="17" fillId="11" borderId="272" xfId="0" applyFont="1" applyFill="1" applyBorder="1" applyAlignment="1" applyProtection="1">
      <alignment horizontal="left" vertical="top"/>
      <protection locked="0"/>
    </xf>
    <xf numFmtId="0" fontId="17" fillId="11" borderId="273" xfId="0" applyFont="1" applyFill="1" applyBorder="1" applyAlignment="1" applyProtection="1">
      <alignment horizontal="left" vertical="top"/>
      <protection locked="0"/>
    </xf>
    <xf numFmtId="0" fontId="37" fillId="4" borderId="274" xfId="0" applyFont="1" applyFill="1" applyBorder="1" applyAlignment="1" applyProtection="1">
      <alignment horizontal="center" vertical="center"/>
    </xf>
    <xf numFmtId="0" fontId="17" fillId="0" borderId="272" xfId="0" applyFont="1" applyFill="1" applyBorder="1" applyAlignment="1" applyProtection="1">
      <alignment horizontal="left" vertical="center"/>
      <protection locked="0"/>
    </xf>
    <xf numFmtId="0" fontId="17" fillId="0" borderId="273" xfId="0" applyFont="1" applyFill="1" applyBorder="1" applyAlignment="1" applyProtection="1">
      <alignment horizontal="left" vertical="center"/>
      <protection locked="0"/>
    </xf>
    <xf numFmtId="0" fontId="17" fillId="0" borderId="274" xfId="0" applyFont="1" applyFill="1" applyBorder="1" applyAlignment="1" applyProtection="1">
      <alignment horizontal="left" vertical="center"/>
      <protection locked="0"/>
    </xf>
    <xf numFmtId="0" fontId="37" fillId="0" borderId="399" xfId="0" applyFont="1" applyFill="1" applyBorder="1" applyAlignment="1" applyProtection="1">
      <alignment horizontal="center" vertical="center"/>
    </xf>
    <xf numFmtId="0" fontId="37" fillId="0" borderId="400" xfId="0" applyFont="1" applyFill="1" applyBorder="1" applyAlignment="1" applyProtection="1">
      <alignment horizontal="center" vertical="center"/>
    </xf>
    <xf numFmtId="0" fontId="56" fillId="4" borderId="346" xfId="0" applyFont="1" applyFill="1" applyBorder="1" applyAlignment="1" applyProtection="1">
      <alignment horizontal="center" vertical="center"/>
    </xf>
    <xf numFmtId="0" fontId="55" fillId="4" borderId="346" xfId="0" applyFont="1" applyFill="1" applyBorder="1" applyAlignment="1" applyProtection="1">
      <alignment horizontal="center" vertical="center"/>
    </xf>
    <xf numFmtId="0" fontId="17" fillId="4" borderId="275" xfId="0" applyFont="1" applyFill="1" applyBorder="1" applyAlignment="1" applyProtection="1">
      <alignment horizontal="left" vertical="center"/>
      <protection locked="0"/>
    </xf>
    <xf numFmtId="0" fontId="17" fillId="4" borderId="0" xfId="0" applyFont="1" applyFill="1" applyBorder="1" applyAlignment="1" applyProtection="1">
      <alignment horizontal="left" vertical="center"/>
      <protection locked="0"/>
    </xf>
    <xf numFmtId="0" fontId="17" fillId="4" borderId="276" xfId="0" applyFont="1" applyFill="1" applyBorder="1" applyAlignment="1" applyProtection="1">
      <alignment horizontal="left" vertical="center"/>
      <protection locked="0"/>
    </xf>
    <xf numFmtId="0" fontId="0" fillId="11" borderId="273" xfId="0" applyFill="1" applyBorder="1" applyAlignment="1" applyProtection="1">
      <alignment horizontal="left" vertical="top"/>
      <protection locked="0"/>
    </xf>
    <xf numFmtId="0" fontId="0" fillId="11" borderId="274" xfId="0" applyFill="1" applyBorder="1" applyAlignment="1" applyProtection="1">
      <alignment horizontal="left" vertical="top"/>
      <protection locked="0"/>
    </xf>
    <xf numFmtId="0" fontId="17" fillId="4" borderId="275" xfId="0" applyFont="1" applyFill="1" applyBorder="1" applyAlignment="1" applyProtection="1">
      <alignment vertical="center"/>
      <protection locked="0"/>
    </xf>
    <xf numFmtId="0" fontId="17" fillId="4" borderId="0" xfId="0" applyFont="1" applyFill="1" applyBorder="1" applyAlignment="1" applyProtection="1">
      <alignment vertical="center"/>
      <protection locked="0"/>
    </xf>
    <xf numFmtId="0" fontId="17" fillId="4" borderId="276" xfId="0" applyFont="1" applyFill="1" applyBorder="1" applyAlignment="1" applyProtection="1">
      <alignment vertical="center"/>
      <protection locked="0"/>
    </xf>
    <xf numFmtId="0" fontId="38" fillId="0" borderId="123" xfId="6" applyBorder="1" applyAlignment="1" applyProtection="1">
      <alignment horizontal="center" vertical="center"/>
      <protection locked="0"/>
    </xf>
    <xf numFmtId="0" fontId="38" fillId="0" borderId="174" xfId="6" applyBorder="1" applyAlignment="1" applyProtection="1">
      <alignment horizontal="center" vertical="center"/>
      <protection locked="0"/>
    </xf>
    <xf numFmtId="0" fontId="4" fillId="7" borderId="311" xfId="0" applyFont="1" applyFill="1" applyBorder="1" applyAlignment="1" applyProtection="1">
      <alignment horizontal="left" vertical="center"/>
    </xf>
    <xf numFmtId="0" fontId="4" fillId="7" borderId="312" xfId="0" applyFont="1" applyFill="1" applyBorder="1" applyAlignment="1" applyProtection="1">
      <alignment horizontal="left" vertical="center"/>
    </xf>
    <xf numFmtId="0" fontId="53" fillId="0" borderId="270" xfId="0" applyFont="1" applyBorder="1" applyAlignment="1" applyProtection="1">
      <alignment horizontal="center" vertical="center"/>
    </xf>
    <xf numFmtId="0" fontId="53" fillId="0" borderId="273" xfId="0" applyFont="1" applyBorder="1" applyAlignment="1" applyProtection="1">
      <alignment horizontal="center" vertical="center"/>
    </xf>
    <xf numFmtId="0" fontId="17" fillId="0" borderId="275" xfId="0" applyFont="1" applyBorder="1" applyAlignment="1" applyProtection="1">
      <alignment horizontal="left" vertical="center"/>
      <protection locked="0"/>
    </xf>
    <xf numFmtId="0" fontId="17" fillId="0" borderId="276" xfId="0" applyFont="1" applyBorder="1" applyAlignment="1" applyProtection="1">
      <alignment horizontal="left" vertical="center"/>
      <protection locked="0"/>
    </xf>
    <xf numFmtId="0" fontId="17" fillId="32" borderId="275" xfId="0" applyFont="1" applyFill="1" applyBorder="1" applyAlignment="1" applyProtection="1">
      <alignment horizontal="center" vertical="center"/>
      <protection locked="0"/>
    </xf>
    <xf numFmtId="0" fontId="17" fillId="32" borderId="0" xfId="0" applyFont="1" applyFill="1" applyBorder="1" applyAlignment="1" applyProtection="1">
      <alignment horizontal="center" vertical="center"/>
      <protection locked="0"/>
    </xf>
    <xf numFmtId="0" fontId="17" fillId="32" borderId="276" xfId="0" applyFont="1" applyFill="1" applyBorder="1" applyAlignment="1" applyProtection="1">
      <alignment horizontal="center" vertical="center"/>
      <protection locked="0"/>
    </xf>
    <xf numFmtId="0" fontId="17" fillId="33" borderId="275" xfId="0" applyFont="1" applyFill="1" applyBorder="1" applyAlignment="1" applyProtection="1">
      <alignment horizontal="center" vertical="center"/>
      <protection locked="0"/>
    </xf>
    <xf numFmtId="0" fontId="17" fillId="33" borderId="0" xfId="0" applyFont="1" applyFill="1" applyBorder="1" applyAlignment="1" applyProtection="1">
      <alignment horizontal="center" vertical="center"/>
      <protection locked="0"/>
    </xf>
    <xf numFmtId="0" fontId="17" fillId="33" borderId="276" xfId="0" applyFont="1" applyFill="1" applyBorder="1" applyAlignment="1" applyProtection="1">
      <alignment horizontal="center" vertical="center"/>
      <protection locked="0"/>
    </xf>
    <xf numFmtId="0" fontId="17" fillId="11" borderId="272" xfId="0" applyFont="1" applyFill="1" applyBorder="1" applyAlignment="1" applyProtection="1">
      <alignment vertical="center"/>
      <protection locked="0"/>
    </xf>
    <xf numFmtId="0" fontId="17" fillId="11" borderId="273" xfId="0" applyFont="1" applyFill="1" applyBorder="1" applyAlignment="1" applyProtection="1">
      <alignment vertical="center"/>
      <protection locked="0"/>
    </xf>
    <xf numFmtId="0" fontId="17" fillId="11" borderId="274" xfId="0" applyFont="1" applyFill="1" applyBorder="1" applyAlignment="1" applyProtection="1">
      <alignment vertical="center"/>
      <protection locked="0"/>
    </xf>
    <xf numFmtId="0" fontId="17" fillId="11" borderId="275" xfId="0" applyFont="1" applyFill="1" applyBorder="1" applyAlignment="1" applyProtection="1">
      <alignment vertical="center"/>
      <protection locked="0"/>
    </xf>
    <xf numFmtId="0" fontId="17" fillId="11" borderId="0" xfId="0" applyFont="1" applyFill="1" applyBorder="1" applyAlignment="1" applyProtection="1">
      <alignment vertical="center"/>
      <protection locked="0"/>
    </xf>
    <xf numFmtId="0" fontId="17" fillId="11" borderId="276" xfId="0" applyFont="1" applyFill="1" applyBorder="1" applyAlignment="1" applyProtection="1">
      <alignment vertical="center"/>
      <protection locked="0"/>
    </xf>
    <xf numFmtId="0" fontId="17" fillId="33" borderId="272" xfId="0" applyFont="1" applyFill="1" applyBorder="1" applyAlignment="1" applyProtection="1">
      <alignment horizontal="center" vertical="center"/>
      <protection locked="0"/>
    </xf>
    <xf numFmtId="0" fontId="17" fillId="33" borderId="273" xfId="0" applyFont="1" applyFill="1" applyBorder="1" applyAlignment="1" applyProtection="1">
      <alignment horizontal="center" vertical="center"/>
      <protection locked="0"/>
    </xf>
    <xf numFmtId="0" fontId="17" fillId="33" borderId="274" xfId="0" applyFont="1" applyFill="1" applyBorder="1" applyAlignment="1" applyProtection="1">
      <alignment horizontal="center" vertical="center"/>
      <protection locked="0"/>
    </xf>
    <xf numFmtId="0" fontId="37" fillId="0" borderId="263" xfId="0" applyFont="1" applyBorder="1" applyAlignment="1" applyProtection="1">
      <alignment horizontal="center" vertical="center"/>
    </xf>
    <xf numFmtId="0" fontId="37" fillId="0" borderId="265" xfId="0" applyFont="1" applyBorder="1" applyAlignment="1" applyProtection="1">
      <alignment horizontal="center" vertical="center"/>
    </xf>
    <xf numFmtId="0" fontId="17" fillId="11" borderId="269" xfId="0" applyFont="1" applyFill="1" applyBorder="1" applyAlignment="1" applyProtection="1">
      <alignment vertical="center"/>
      <protection locked="0"/>
    </xf>
    <xf numFmtId="0" fontId="17" fillId="11" borderId="270" xfId="0" applyFont="1" applyFill="1" applyBorder="1" applyAlignment="1" applyProtection="1">
      <alignment vertical="center"/>
      <protection locked="0"/>
    </xf>
    <xf numFmtId="0" fontId="17" fillId="11" borderId="271" xfId="0" applyFont="1" applyFill="1" applyBorder="1" applyAlignment="1" applyProtection="1">
      <alignment vertical="center"/>
      <protection locked="0"/>
    </xf>
    <xf numFmtId="0" fontId="17" fillId="33" borderId="269" xfId="0" applyFont="1" applyFill="1" applyBorder="1" applyAlignment="1" applyProtection="1">
      <alignment horizontal="center" vertical="center"/>
      <protection locked="0"/>
    </xf>
    <xf numFmtId="0" fontId="17" fillId="33" borderId="270" xfId="0" applyFont="1" applyFill="1" applyBorder="1" applyAlignment="1" applyProtection="1">
      <alignment horizontal="center" vertical="center"/>
      <protection locked="0"/>
    </xf>
    <xf numFmtId="0" fontId="17" fillId="33" borderId="271" xfId="0" applyFont="1" applyFill="1" applyBorder="1" applyAlignment="1" applyProtection="1">
      <alignment horizontal="center" vertical="center"/>
      <protection locked="0"/>
    </xf>
    <xf numFmtId="0" fontId="53" fillId="0" borderId="271" xfId="0" applyFont="1" applyBorder="1" applyAlignment="1" applyProtection="1">
      <alignment horizontal="center" vertical="center"/>
    </xf>
    <xf numFmtId="0" fontId="53" fillId="0" borderId="274" xfId="0" applyFont="1" applyBorder="1" applyAlignment="1" applyProtection="1">
      <alignment horizontal="center" vertical="center"/>
    </xf>
    <xf numFmtId="0" fontId="37" fillId="0" borderId="279" xfId="0" applyFont="1" applyBorder="1" applyAlignment="1" applyProtection="1">
      <alignment horizontal="center" vertical="center"/>
    </xf>
    <xf numFmtId="0" fontId="37" fillId="0" borderId="278" xfId="0" applyFont="1" applyBorder="1" applyAlignment="1" applyProtection="1">
      <alignment horizontal="center" vertical="center"/>
    </xf>
    <xf numFmtId="0" fontId="37" fillId="0" borderId="270" xfId="0" applyFont="1" applyBorder="1" applyAlignment="1" applyProtection="1">
      <alignment horizontal="center" vertical="center" wrapText="1"/>
    </xf>
    <xf numFmtId="0" fontId="37" fillId="0" borderId="271" xfId="0" applyFont="1" applyBorder="1" applyAlignment="1" applyProtection="1">
      <alignment horizontal="center" vertical="center" wrapText="1"/>
    </xf>
    <xf numFmtId="0" fontId="37" fillId="0" borderId="273" xfId="0" applyFont="1" applyBorder="1" applyAlignment="1" applyProtection="1">
      <alignment horizontal="center" vertical="center" wrapText="1"/>
    </xf>
    <xf numFmtId="0" fontId="37" fillId="0" borderId="274" xfId="0" applyFont="1" applyBorder="1" applyAlignment="1" applyProtection="1">
      <alignment horizontal="center" vertical="center" wrapText="1"/>
    </xf>
    <xf numFmtId="0" fontId="27" fillId="0" borderId="278" xfId="0" applyFont="1" applyBorder="1" applyAlignment="1" applyProtection="1">
      <alignment horizontal="center" vertical="center"/>
    </xf>
    <xf numFmtId="0" fontId="27" fillId="0" borderId="279" xfId="0" applyFont="1" applyBorder="1" applyAlignment="1" applyProtection="1">
      <alignment horizontal="center" vertical="center"/>
    </xf>
    <xf numFmtId="0" fontId="17" fillId="33" borderId="269" xfId="0" applyFont="1" applyFill="1" applyBorder="1" applyAlignment="1" applyProtection="1">
      <alignment horizontal="left" vertical="center"/>
      <protection locked="0"/>
    </xf>
    <xf numFmtId="0" fontId="17" fillId="33" borderId="270" xfId="0" applyFont="1" applyFill="1" applyBorder="1" applyAlignment="1" applyProtection="1">
      <alignment horizontal="left" vertical="center"/>
      <protection locked="0"/>
    </xf>
    <xf numFmtId="0" fontId="17" fillId="33" borderId="271" xfId="0" applyFont="1" applyFill="1" applyBorder="1" applyAlignment="1" applyProtection="1">
      <alignment horizontal="left" vertical="center"/>
      <protection locked="0"/>
    </xf>
    <xf numFmtId="0" fontId="17" fillId="34" borderId="275" xfId="0" applyFont="1" applyFill="1" applyBorder="1" applyAlignment="1" applyProtection="1">
      <alignment horizontal="left" vertical="center"/>
      <protection locked="0"/>
    </xf>
    <xf numFmtId="0" fontId="17" fillId="34" borderId="0" xfId="0" applyFont="1" applyFill="1" applyBorder="1" applyAlignment="1" applyProtection="1">
      <alignment horizontal="left" vertical="center"/>
      <protection locked="0"/>
    </xf>
    <xf numFmtId="0" fontId="17" fillId="34" borderId="276" xfId="0" applyFont="1" applyFill="1" applyBorder="1" applyAlignment="1" applyProtection="1">
      <alignment horizontal="left" vertical="center"/>
      <protection locked="0"/>
    </xf>
    <xf numFmtId="0" fontId="17" fillId="33" borderId="272" xfId="0" applyFont="1" applyFill="1" applyBorder="1" applyAlignment="1" applyProtection="1">
      <alignment horizontal="left" vertical="center"/>
      <protection locked="0"/>
    </xf>
    <xf numFmtId="0" fontId="17" fillId="33" borderId="273" xfId="0" applyFont="1" applyFill="1" applyBorder="1" applyAlignment="1" applyProtection="1">
      <alignment horizontal="left" vertical="center"/>
      <protection locked="0"/>
    </xf>
    <xf numFmtId="0" fontId="17" fillId="33" borderId="274" xfId="0" applyFont="1" applyFill="1" applyBorder="1" applyAlignment="1" applyProtection="1">
      <alignment horizontal="left" vertical="center"/>
      <protection locked="0"/>
    </xf>
    <xf numFmtId="0" fontId="17" fillId="33" borderId="275" xfId="0" applyFont="1" applyFill="1" applyBorder="1" applyAlignment="1" applyProtection="1">
      <alignment horizontal="left" vertical="center"/>
      <protection locked="0"/>
    </xf>
    <xf numFmtId="0" fontId="17" fillId="33" borderId="0" xfId="0" applyFont="1" applyFill="1" applyBorder="1" applyAlignment="1" applyProtection="1">
      <alignment horizontal="left" vertical="center"/>
      <protection locked="0"/>
    </xf>
    <xf numFmtId="0" fontId="17" fillId="33" borderId="276" xfId="0" applyFont="1" applyFill="1" applyBorder="1" applyAlignment="1" applyProtection="1">
      <alignment horizontal="left" vertical="center"/>
      <protection locked="0"/>
    </xf>
    <xf numFmtId="0" fontId="17" fillId="0" borderId="272" xfId="0" applyFont="1" applyFill="1" applyBorder="1" applyAlignment="1" applyProtection="1">
      <alignment horizontal="center" vertical="center"/>
      <protection locked="0"/>
    </xf>
    <xf numFmtId="0" fontId="17" fillId="0" borderId="273" xfId="0" applyFont="1" applyFill="1" applyBorder="1" applyAlignment="1" applyProtection="1">
      <alignment horizontal="center" vertical="center"/>
      <protection locked="0"/>
    </xf>
    <xf numFmtId="0" fontId="37" fillId="0" borderId="288" xfId="0" applyFont="1" applyBorder="1" applyAlignment="1" applyProtection="1">
      <alignment horizontal="center" vertical="center" wrapText="1"/>
    </xf>
    <xf numFmtId="0" fontId="37" fillId="0" borderId="73" xfId="0" applyFont="1" applyBorder="1" applyAlignment="1" applyProtection="1">
      <alignment horizontal="center" vertical="center" wrapText="1"/>
    </xf>
    <xf numFmtId="0" fontId="37" fillId="0" borderId="266" xfId="0" applyFont="1" applyBorder="1" applyAlignment="1" applyProtection="1">
      <alignment horizontal="center" vertical="center" wrapText="1"/>
    </xf>
    <xf numFmtId="0" fontId="37" fillId="0" borderId="272" xfId="0" applyFont="1" applyBorder="1" applyAlignment="1" applyProtection="1">
      <alignment horizontal="center" vertical="center" wrapText="1"/>
    </xf>
    <xf numFmtId="0" fontId="53" fillId="0" borderId="73" xfId="0" applyFont="1" applyBorder="1" applyAlignment="1" applyProtection="1">
      <alignment horizontal="center" vertical="center"/>
    </xf>
    <xf numFmtId="0" fontId="53" fillId="0" borderId="0" xfId="0" applyFont="1" applyBorder="1" applyAlignment="1" applyProtection="1">
      <alignment horizontal="center" vertical="center"/>
    </xf>
    <xf numFmtId="0" fontId="27" fillId="0" borderId="288" xfId="0" applyFont="1" applyBorder="1" applyAlignment="1" applyProtection="1">
      <alignment horizontal="center" vertical="center"/>
    </xf>
    <xf numFmtId="0" fontId="27" fillId="0" borderId="73" xfId="0" applyFont="1" applyBorder="1" applyAlignment="1" applyProtection="1">
      <alignment horizontal="center" vertical="center"/>
    </xf>
    <xf numFmtId="0" fontId="27" fillId="0" borderId="266" xfId="0" applyFont="1" applyBorder="1" applyAlignment="1" applyProtection="1">
      <alignment horizontal="center" vertical="center"/>
    </xf>
    <xf numFmtId="0" fontId="17" fillId="34" borderId="272" xfId="0" applyFont="1" applyFill="1" applyBorder="1" applyAlignment="1" applyProtection="1">
      <alignment horizontal="center" vertical="center"/>
      <protection locked="0"/>
    </xf>
    <xf numFmtId="0" fontId="17" fillId="34" borderId="273" xfId="0" applyFont="1" applyFill="1" applyBorder="1" applyAlignment="1" applyProtection="1">
      <alignment horizontal="center" vertical="center"/>
      <protection locked="0"/>
    </xf>
    <xf numFmtId="0" fontId="17" fillId="34" borderId="274" xfId="0" applyFont="1" applyFill="1" applyBorder="1" applyAlignment="1" applyProtection="1">
      <alignment horizontal="center" vertical="center"/>
      <protection locked="0"/>
    </xf>
    <xf numFmtId="0" fontId="37" fillId="0" borderId="112" xfId="0" applyFont="1" applyBorder="1" applyAlignment="1" applyProtection="1">
      <alignment horizontal="center" vertical="center"/>
    </xf>
    <xf numFmtId="0" fontId="37" fillId="0" borderId="266" xfId="0" applyFont="1" applyBorder="1" applyAlignment="1" applyProtection="1">
      <alignment horizontal="center" vertical="center"/>
    </xf>
    <xf numFmtId="0" fontId="37" fillId="0" borderId="111" xfId="0" applyFont="1" applyBorder="1" applyAlignment="1" applyProtection="1">
      <alignment horizontal="center" vertical="center"/>
    </xf>
    <xf numFmtId="0" fontId="37" fillId="0" borderId="275" xfId="0" applyFont="1" applyBorder="1" applyAlignment="1" applyProtection="1">
      <alignment horizontal="center" vertical="center" wrapText="1"/>
    </xf>
    <xf numFmtId="0" fontId="37" fillId="0" borderId="0" xfId="0" applyFont="1" applyBorder="1" applyAlignment="1" applyProtection="1">
      <alignment horizontal="center" vertical="center" wrapText="1"/>
    </xf>
    <xf numFmtId="0" fontId="37" fillId="0" borderId="276" xfId="0" applyFont="1" applyBorder="1" applyAlignment="1" applyProtection="1">
      <alignment horizontal="center" vertical="center" wrapText="1"/>
    </xf>
    <xf numFmtId="166" fontId="38" fillId="0" borderId="122" xfId="5" applyNumberFormat="1" applyFont="1" applyBorder="1" applyAlignment="1" applyProtection="1">
      <alignment horizontal="center" vertical="center" wrapText="1"/>
      <protection locked="0"/>
    </xf>
    <xf numFmtId="166" fontId="38" fillId="0" borderId="123" xfId="5" applyNumberFormat="1" applyFont="1" applyBorder="1" applyAlignment="1" applyProtection="1">
      <alignment horizontal="center" vertical="center" wrapText="1"/>
      <protection locked="0"/>
    </xf>
    <xf numFmtId="0" fontId="25" fillId="4" borderId="82" xfId="0" applyFont="1" applyFill="1" applyBorder="1" applyAlignment="1" applyProtection="1">
      <alignment horizontal="center" vertical="center"/>
    </xf>
    <xf numFmtId="0" fontId="25" fillId="4" borderId="83" xfId="0" applyFont="1" applyFill="1" applyBorder="1" applyAlignment="1" applyProtection="1">
      <alignment horizontal="center" vertical="center"/>
    </xf>
    <xf numFmtId="0" fontId="25" fillId="4" borderId="84" xfId="0" applyFont="1" applyFill="1" applyBorder="1" applyAlignment="1" applyProtection="1">
      <alignment horizontal="center" vertical="center"/>
    </xf>
    <xf numFmtId="0" fontId="31" fillId="11" borderId="269" xfId="0" applyFont="1" applyFill="1" applyBorder="1" applyAlignment="1" applyProtection="1">
      <alignment horizontal="left" vertical="top"/>
      <protection locked="0"/>
    </xf>
    <xf numFmtId="0" fontId="31" fillId="11" borderId="270" xfId="0" applyFont="1" applyFill="1" applyBorder="1" applyAlignment="1" applyProtection="1">
      <alignment horizontal="left" vertical="top"/>
      <protection locked="0"/>
    </xf>
    <xf numFmtId="0" fontId="37" fillId="0" borderId="399" xfId="0" applyFont="1" applyBorder="1" applyAlignment="1" applyProtection="1">
      <alignment horizontal="center" vertical="center" wrapText="1"/>
    </xf>
    <xf numFmtId="0" fontId="37" fillId="0" borderId="400" xfId="0" applyFont="1" applyBorder="1" applyAlignment="1" applyProtection="1">
      <alignment horizontal="center" vertical="center" wrapText="1"/>
    </xf>
    <xf numFmtId="10" fontId="92" fillId="10" borderId="592" xfId="2" applyNumberFormat="1" applyFont="1" applyFill="1" applyBorder="1" applyAlignment="1" applyProtection="1">
      <alignment horizontal="right" vertical="center"/>
      <protection locked="0"/>
    </xf>
    <xf numFmtId="10" fontId="92" fillId="10" borderId="149" xfId="2" applyNumberFormat="1" applyFont="1" applyFill="1" applyBorder="1" applyAlignment="1" applyProtection="1">
      <alignment horizontal="right" vertical="center"/>
      <protection locked="0"/>
    </xf>
    <xf numFmtId="10" fontId="92" fillId="10" borderId="593" xfId="2" applyNumberFormat="1" applyFont="1" applyFill="1" applyBorder="1" applyAlignment="1" applyProtection="1">
      <alignment horizontal="right" vertical="center"/>
      <protection locked="0"/>
    </xf>
    <xf numFmtId="0" fontId="42" fillId="10" borderId="558" xfId="0" applyFont="1" applyFill="1" applyBorder="1" applyAlignment="1" applyProtection="1">
      <alignment horizontal="left" vertical="center"/>
    </xf>
    <xf numFmtId="0" fontId="42" fillId="10" borderId="565" xfId="0" applyFont="1" applyFill="1" applyBorder="1" applyAlignment="1" applyProtection="1">
      <alignment horizontal="left" vertical="center"/>
    </xf>
    <xf numFmtId="0" fontId="42" fillId="0" borderId="558" xfId="0" applyFont="1" applyBorder="1" applyAlignment="1" applyProtection="1">
      <alignment horizontal="left" vertical="center"/>
    </xf>
    <xf numFmtId="0" fontId="42" fillId="0" borderId="565" xfId="0" applyFont="1" applyBorder="1" applyAlignment="1" applyProtection="1">
      <alignment horizontal="left" vertical="center"/>
    </xf>
    <xf numFmtId="0" fontId="54" fillId="0" borderId="328" xfId="0" applyFont="1" applyFill="1" applyBorder="1" applyAlignment="1" applyProtection="1">
      <alignment horizontal="center" vertical="center"/>
    </xf>
    <xf numFmtId="0" fontId="54" fillId="0" borderId="321" xfId="0" applyFont="1" applyFill="1" applyBorder="1" applyAlignment="1" applyProtection="1">
      <alignment horizontal="center" vertical="center"/>
    </xf>
    <xf numFmtId="0" fontId="54" fillId="0" borderId="326" xfId="0" applyFont="1" applyFill="1" applyBorder="1" applyAlignment="1" applyProtection="1">
      <alignment horizontal="center" vertical="center"/>
    </xf>
    <xf numFmtId="0" fontId="54" fillId="0" borderId="322" xfId="0" applyFont="1" applyFill="1" applyBorder="1" applyAlignment="1" applyProtection="1">
      <alignment horizontal="center" vertical="center"/>
    </xf>
    <xf numFmtId="0" fontId="54" fillId="0" borderId="562" xfId="0" applyFont="1" applyFill="1" applyBorder="1" applyAlignment="1" applyProtection="1">
      <alignment horizontal="center" vertical="center"/>
    </xf>
    <xf numFmtId="0" fontId="54" fillId="0" borderId="563" xfId="0" applyFont="1" applyFill="1" applyBorder="1" applyAlignment="1" applyProtection="1">
      <alignment horizontal="center" vertical="center"/>
    </xf>
    <xf numFmtId="0" fontId="54" fillId="0" borderId="564" xfId="0" applyFont="1" applyFill="1" applyBorder="1" applyAlignment="1" applyProtection="1">
      <alignment horizontal="center" vertical="center"/>
    </xf>
    <xf numFmtId="0" fontId="54" fillId="0" borderId="565" xfId="0" applyFont="1" applyFill="1" applyBorder="1" applyAlignment="1" applyProtection="1">
      <alignment horizontal="center" vertical="center"/>
    </xf>
    <xf numFmtId="0" fontId="54" fillId="0" borderId="566" xfId="0" applyFont="1" applyFill="1" applyBorder="1" applyAlignment="1" applyProtection="1">
      <alignment horizontal="center" vertical="center"/>
    </xf>
    <xf numFmtId="0" fontId="54" fillId="0" borderId="567" xfId="0" applyFont="1" applyFill="1" applyBorder="1" applyAlignment="1" applyProtection="1">
      <alignment horizontal="center" vertical="center"/>
    </xf>
    <xf numFmtId="0" fontId="34" fillId="0" borderId="575" xfId="0" applyFont="1" applyFill="1" applyBorder="1" applyAlignment="1" applyProtection="1">
      <alignment horizontal="center" vertical="center"/>
    </xf>
    <xf numFmtId="0" fontId="34" fillId="0" borderId="576" xfId="0" applyFont="1" applyFill="1" applyBorder="1" applyAlignment="1" applyProtection="1">
      <alignment horizontal="center" vertical="center"/>
    </xf>
    <xf numFmtId="0" fontId="34" fillId="0" borderId="564" xfId="0" applyFont="1" applyFill="1" applyBorder="1" applyAlignment="1" applyProtection="1">
      <alignment horizontal="center" vertical="center"/>
    </xf>
    <xf numFmtId="0" fontId="34" fillId="0" borderId="565" xfId="0" applyFont="1" applyFill="1" applyBorder="1" applyAlignment="1" applyProtection="1">
      <alignment horizontal="center" vertical="center"/>
    </xf>
    <xf numFmtId="0" fontId="42" fillId="0" borderId="558" xfId="0" applyFont="1" applyFill="1" applyBorder="1" applyAlignment="1" applyProtection="1">
      <alignment horizontal="left" vertical="center"/>
    </xf>
    <xf numFmtId="0" fontId="42" fillId="0" borderId="565" xfId="0" applyFont="1" applyFill="1" applyBorder="1" applyAlignment="1" applyProtection="1">
      <alignment horizontal="left" vertical="center"/>
    </xf>
    <xf numFmtId="0" fontId="37" fillId="0" borderId="564" xfId="0" applyFont="1" applyFill="1" applyBorder="1" applyAlignment="1" applyProtection="1">
      <alignment horizontal="center" vertical="center"/>
    </xf>
    <xf numFmtId="0" fontId="37" fillId="0" borderId="565" xfId="0" applyFont="1" applyFill="1" applyBorder="1" applyAlignment="1" applyProtection="1">
      <alignment horizontal="center" vertical="center"/>
    </xf>
    <xf numFmtId="0" fontId="42" fillId="0" borderId="321" xfId="0" applyFont="1" applyFill="1" applyBorder="1" applyAlignment="1" applyProtection="1">
      <alignment horizontal="left" vertical="center"/>
    </xf>
    <xf numFmtId="0" fontId="42" fillId="10" borderId="321" xfId="0" applyFont="1" applyFill="1" applyBorder="1" applyAlignment="1" applyProtection="1">
      <alignment horizontal="left" vertical="center"/>
    </xf>
    <xf numFmtId="0" fontId="54" fillId="0" borderId="323" xfId="0" applyFont="1" applyFill="1" applyBorder="1" applyAlignment="1" applyProtection="1">
      <alignment horizontal="center" vertical="center" wrapText="1"/>
    </xf>
    <xf numFmtId="0" fontId="54" fillId="0" borderId="324" xfId="0" applyFont="1" applyFill="1" applyBorder="1" applyAlignment="1" applyProtection="1">
      <alignment horizontal="center" vertical="center" wrapText="1"/>
    </xf>
    <xf numFmtId="0" fontId="54" fillId="0" borderId="328" xfId="0" applyFont="1" applyFill="1" applyBorder="1" applyAlignment="1" applyProtection="1">
      <alignment horizontal="center" vertical="center" wrapText="1"/>
    </xf>
    <xf numFmtId="0" fontId="54" fillId="0" borderId="321" xfId="0" applyFont="1" applyFill="1" applyBorder="1" applyAlignment="1" applyProtection="1">
      <alignment horizontal="center" vertical="center" wrapText="1"/>
    </xf>
    <xf numFmtId="0" fontId="34" fillId="0" borderId="412" xfId="0" applyFont="1" applyFill="1" applyBorder="1" applyAlignment="1" applyProtection="1">
      <alignment horizontal="center" vertical="center"/>
    </xf>
    <xf numFmtId="0" fontId="34" fillId="0" borderId="411" xfId="0" applyFont="1" applyFill="1" applyBorder="1" applyAlignment="1" applyProtection="1">
      <alignment horizontal="center" vertical="center"/>
    </xf>
    <xf numFmtId="0" fontId="34" fillId="0" borderId="328" xfId="0" applyFont="1" applyFill="1" applyBorder="1" applyAlignment="1" applyProtection="1">
      <alignment horizontal="center" vertical="center"/>
    </xf>
    <xf numFmtId="0" fontId="34" fillId="0" borderId="321" xfId="0" applyFont="1" applyFill="1" applyBorder="1" applyAlignment="1" applyProtection="1">
      <alignment horizontal="center" vertical="center"/>
    </xf>
    <xf numFmtId="0" fontId="37" fillId="0" borderId="328" xfId="0" applyFont="1" applyFill="1" applyBorder="1" applyAlignment="1" applyProtection="1">
      <alignment horizontal="center" vertical="center"/>
    </xf>
    <xf numFmtId="0" fontId="37" fillId="0" borderId="321" xfId="0" applyFont="1" applyFill="1" applyBorder="1" applyAlignment="1" applyProtection="1">
      <alignment horizontal="center" vertical="center"/>
    </xf>
    <xf numFmtId="0" fontId="42" fillId="0" borderId="321" xfId="0" applyFont="1" applyFill="1" applyBorder="1" applyAlignment="1" applyProtection="1">
      <alignment horizontal="left"/>
    </xf>
    <xf numFmtId="0" fontId="33" fillId="14" borderId="106" xfId="0" applyFont="1" applyFill="1" applyBorder="1" applyAlignment="1" applyProtection="1">
      <alignment horizontal="center" vertical="center"/>
    </xf>
    <xf numFmtId="0" fontId="33" fillId="14" borderId="107" xfId="0" applyFont="1" applyFill="1" applyBorder="1" applyAlignment="1" applyProtection="1">
      <alignment horizontal="center" vertical="center"/>
    </xf>
    <xf numFmtId="0" fontId="37" fillId="0" borderId="577" xfId="0" applyFont="1" applyFill="1" applyBorder="1" applyAlignment="1" applyProtection="1">
      <alignment horizontal="center" vertical="center" wrapText="1"/>
    </xf>
    <xf numFmtId="0" fontId="37" fillId="0" borderId="578" xfId="0" applyFont="1" applyFill="1" applyBorder="1" applyAlignment="1" applyProtection="1">
      <alignment horizontal="center" vertical="center" wrapText="1"/>
    </xf>
    <xf numFmtId="0" fontId="37" fillId="0" borderId="579" xfId="0" applyFont="1" applyFill="1" applyBorder="1" applyAlignment="1" applyProtection="1">
      <alignment horizontal="center" vertical="center" wrapText="1"/>
    </xf>
    <xf numFmtId="0" fontId="37" fillId="0" borderId="580" xfId="0" applyFont="1" applyFill="1" applyBorder="1" applyAlignment="1" applyProtection="1">
      <alignment horizontal="center" vertical="center" wrapText="1"/>
    </xf>
    <xf numFmtId="0" fontId="37" fillId="0" borderId="587" xfId="0" applyFont="1" applyFill="1" applyBorder="1" applyAlignment="1" applyProtection="1">
      <alignment horizontal="center" vertical="center" wrapText="1"/>
    </xf>
    <xf numFmtId="0" fontId="37" fillId="0" borderId="581" xfId="0" applyFont="1" applyFill="1" applyBorder="1" applyAlignment="1" applyProtection="1">
      <alignment horizontal="center" vertical="center" wrapText="1"/>
    </xf>
    <xf numFmtId="0" fontId="37" fillId="0" borderId="349" xfId="0" applyFont="1" applyFill="1" applyBorder="1" applyAlignment="1" applyProtection="1">
      <alignment horizontal="center" vertical="center" wrapText="1"/>
    </xf>
    <xf numFmtId="0" fontId="37" fillId="0" borderId="406" xfId="0" applyFont="1" applyFill="1" applyBorder="1" applyAlignment="1" applyProtection="1">
      <alignment horizontal="center" vertical="center" wrapText="1"/>
    </xf>
    <xf numFmtId="0" fontId="37" fillId="0" borderId="156" xfId="0" applyFont="1" applyFill="1" applyBorder="1" applyAlignment="1" applyProtection="1">
      <alignment horizontal="center" vertical="center" wrapText="1"/>
    </xf>
    <xf numFmtId="0" fontId="37" fillId="0" borderId="407" xfId="0" applyFont="1" applyFill="1" applyBorder="1" applyAlignment="1" applyProtection="1">
      <alignment horizontal="center" vertical="center" wrapText="1"/>
    </xf>
    <xf numFmtId="0" fontId="37" fillId="0" borderId="409" xfId="0" applyFont="1" applyFill="1" applyBorder="1" applyAlignment="1" applyProtection="1">
      <alignment horizontal="center" vertical="center" wrapText="1"/>
    </xf>
    <xf numFmtId="0" fontId="77" fillId="0" borderId="152" xfId="0" applyFont="1" applyFill="1" applyBorder="1" applyAlignment="1" applyProtection="1">
      <alignment horizontal="left" vertical="center"/>
    </xf>
    <xf numFmtId="10" fontId="57" fillId="10" borderId="325" xfId="2" applyNumberFormat="1" applyFont="1" applyFill="1" applyBorder="1" applyAlignment="1" applyProtection="1">
      <alignment horizontal="center" vertical="center" wrapText="1"/>
    </xf>
    <xf numFmtId="10" fontId="57" fillId="10" borderId="329" xfId="2" applyNumberFormat="1" applyFont="1" applyFill="1" applyBorder="1" applyAlignment="1" applyProtection="1">
      <alignment horizontal="center" vertical="center" wrapText="1"/>
    </xf>
    <xf numFmtId="10" fontId="57" fillId="10" borderId="332" xfId="2" applyNumberFormat="1" applyFont="1" applyFill="1" applyBorder="1" applyAlignment="1" applyProtection="1">
      <alignment horizontal="center" vertical="center" wrapText="1"/>
    </xf>
    <xf numFmtId="0" fontId="42" fillId="0" borderId="321" xfId="0" applyNumberFormat="1" applyFont="1" applyFill="1" applyBorder="1" applyAlignment="1" applyProtection="1">
      <alignment horizontal="left" vertical="center"/>
    </xf>
    <xf numFmtId="0" fontId="42" fillId="0" borderId="155" xfId="0" applyFont="1" applyBorder="1" applyAlignment="1" applyProtection="1">
      <alignment horizontal="center" vertical="center"/>
    </xf>
    <xf numFmtId="0" fontId="42" fillId="0" borderId="145" xfId="0" applyFont="1" applyBorder="1" applyAlignment="1" applyProtection="1">
      <alignment horizontal="center" vertical="center"/>
    </xf>
    <xf numFmtId="0" fontId="42" fillId="0" borderId="147" xfId="0" applyFont="1" applyBorder="1" applyAlignment="1" applyProtection="1">
      <alignment horizontal="center" vertical="center"/>
    </xf>
    <xf numFmtId="0" fontId="42" fillId="0" borderId="157" xfId="0" applyFont="1" applyBorder="1" applyAlignment="1" applyProtection="1">
      <alignment horizontal="center" vertical="center"/>
    </xf>
    <xf numFmtId="0" fontId="42" fillId="0" borderId="152" xfId="0" applyFont="1" applyBorder="1" applyAlignment="1" applyProtection="1">
      <alignment horizontal="center" vertical="center"/>
    </xf>
    <xf numFmtId="0" fontId="42" fillId="0" borderId="158" xfId="0" applyFont="1" applyBorder="1" applyAlignment="1" applyProtection="1">
      <alignment horizontal="center" vertical="center"/>
    </xf>
    <xf numFmtId="0" fontId="42" fillId="0" borderId="553" xfId="0" applyFont="1" applyBorder="1" applyAlignment="1" applyProtection="1">
      <alignment horizontal="center" vertical="center"/>
    </xf>
    <xf numFmtId="0" fontId="42" fillId="0" borderId="554" xfId="0" applyFont="1" applyBorder="1" applyAlignment="1" applyProtection="1">
      <alignment horizontal="center" vertical="center"/>
    </xf>
    <xf numFmtId="0" fontId="42" fillId="0" borderId="145" xfId="0" applyFont="1" applyFill="1" applyBorder="1" applyAlignment="1" applyProtection="1">
      <alignment horizontal="center" vertical="center"/>
    </xf>
    <xf numFmtId="0" fontId="42" fillId="0" borderId="147" xfId="0" applyFont="1" applyFill="1" applyBorder="1" applyAlignment="1" applyProtection="1">
      <alignment horizontal="center" vertical="center"/>
    </xf>
    <xf numFmtId="0" fontId="42" fillId="0" borderId="152" xfId="0" applyFont="1" applyFill="1" applyBorder="1" applyAlignment="1" applyProtection="1">
      <alignment horizontal="center" vertical="center"/>
    </xf>
    <xf numFmtId="0" fontId="42" fillId="0" borderId="158" xfId="0" applyFont="1" applyFill="1" applyBorder="1" applyAlignment="1" applyProtection="1">
      <alignment horizontal="center" vertical="center"/>
    </xf>
    <xf numFmtId="0" fontId="42" fillId="0" borderId="353" xfId="0" applyFont="1" applyBorder="1" applyAlignment="1" applyProtection="1">
      <alignment horizontal="center" vertical="center"/>
    </xf>
    <xf numFmtId="0" fontId="42" fillId="0" borderId="348" xfId="0" applyFont="1" applyBorder="1" applyAlignment="1" applyProtection="1">
      <alignment horizontal="center" vertical="center"/>
    </xf>
    <xf numFmtId="0" fontId="42" fillId="0" borderId="155" xfId="0" applyFont="1" applyFill="1" applyBorder="1" applyAlignment="1" applyProtection="1">
      <alignment horizontal="center" vertical="center"/>
    </xf>
    <xf numFmtId="0" fontId="42" fillId="0" borderId="353" xfId="0" applyFont="1" applyFill="1" applyBorder="1" applyAlignment="1" applyProtection="1">
      <alignment horizontal="center" vertical="center"/>
    </xf>
    <xf numFmtId="0" fontId="42" fillId="0" borderId="157" xfId="0" applyFont="1" applyFill="1" applyBorder="1" applyAlignment="1" applyProtection="1">
      <alignment horizontal="center" vertical="center"/>
    </xf>
    <xf numFmtId="0" fontId="42" fillId="0" borderId="348" xfId="0" applyFont="1" applyFill="1" applyBorder="1" applyAlignment="1" applyProtection="1">
      <alignment horizontal="center" vertical="center"/>
    </xf>
    <xf numFmtId="0" fontId="42" fillId="10" borderId="570" xfId="0" applyFont="1" applyFill="1" applyBorder="1" applyAlignment="1" applyProtection="1">
      <alignment horizontal="left" vertical="center"/>
    </xf>
    <xf numFmtId="0" fontId="42" fillId="10" borderId="567" xfId="0" applyFont="1" applyFill="1" applyBorder="1" applyAlignment="1" applyProtection="1">
      <alignment horizontal="left" vertical="center"/>
    </xf>
    <xf numFmtId="0" fontId="42" fillId="0" borderId="323" xfId="0" applyFont="1" applyFill="1" applyBorder="1" applyAlignment="1" applyProtection="1">
      <alignment horizontal="center" vertical="center" wrapText="1"/>
    </xf>
    <xf numFmtId="0" fontId="42" fillId="0" borderId="324" xfId="0" applyFont="1" applyFill="1" applyBorder="1" applyAlignment="1" applyProtection="1">
      <alignment horizontal="center" vertical="center" wrapText="1"/>
    </xf>
    <xf numFmtId="0" fontId="42" fillId="0" borderId="328" xfId="0" applyFont="1" applyFill="1" applyBorder="1" applyAlignment="1" applyProtection="1">
      <alignment horizontal="center" vertical="center" wrapText="1"/>
    </xf>
    <xf numFmtId="0" fontId="42" fillId="0" borderId="321" xfId="0" applyFont="1" applyFill="1" applyBorder="1" applyAlignment="1" applyProtection="1">
      <alignment horizontal="center" vertical="center" wrapText="1"/>
    </xf>
    <xf numFmtId="0" fontId="42" fillId="0" borderId="330" xfId="0" applyFont="1" applyFill="1" applyBorder="1" applyAlignment="1" applyProtection="1">
      <alignment horizontal="center" vertical="center" wrapText="1"/>
    </xf>
    <xf numFmtId="0" fontId="42" fillId="0" borderId="331" xfId="0" applyFont="1" applyFill="1" applyBorder="1" applyAlignment="1" applyProtection="1">
      <alignment horizontal="center" vertical="center" wrapText="1"/>
    </xf>
    <xf numFmtId="0" fontId="42" fillId="0" borderId="321" xfId="0" applyFont="1" applyBorder="1" applyAlignment="1" applyProtection="1">
      <alignment horizontal="left" vertical="center"/>
    </xf>
    <xf numFmtId="0" fontId="42" fillId="10" borderId="322" xfId="0" applyFont="1" applyFill="1" applyBorder="1" applyAlignment="1" applyProtection="1">
      <alignment horizontal="left" vertical="center"/>
    </xf>
    <xf numFmtId="0" fontId="42" fillId="0" borderId="586" xfId="0" applyFont="1" applyFill="1" applyBorder="1" applyAlignment="1" applyProtection="1">
      <alignment horizontal="left" vertical="center"/>
    </xf>
    <xf numFmtId="0" fontId="42" fillId="0" borderId="563" xfId="0" applyFont="1" applyFill="1" applyBorder="1" applyAlignment="1" applyProtection="1">
      <alignment horizontal="left" vertical="center"/>
    </xf>
    <xf numFmtId="0" fontId="42" fillId="0" borderId="324" xfId="0" applyFont="1" applyFill="1" applyBorder="1" applyAlignment="1" applyProtection="1">
      <alignment horizontal="left" vertical="center"/>
    </xf>
    <xf numFmtId="0" fontId="42" fillId="0" borderId="558" xfId="0" applyFont="1" applyFill="1" applyBorder="1" applyAlignment="1" applyProtection="1">
      <alignment horizontal="left"/>
    </xf>
    <xf numFmtId="0" fontId="42" fillId="0" borderId="565" xfId="0" applyFont="1" applyFill="1" applyBorder="1" applyAlignment="1" applyProtection="1">
      <alignment horizontal="left"/>
    </xf>
    <xf numFmtId="0" fontId="42" fillId="0" borderId="574" xfId="0" applyFont="1" applyFill="1" applyBorder="1" applyAlignment="1" applyProtection="1">
      <alignment horizontal="left" vertical="center"/>
    </xf>
    <xf numFmtId="0" fontId="42" fillId="0" borderId="585" xfId="0" applyFont="1" applyFill="1" applyBorder="1" applyAlignment="1" applyProtection="1">
      <alignment horizontal="left" vertical="center"/>
    </xf>
    <xf numFmtId="0" fontId="42" fillId="10" borderId="573" xfId="0" applyFont="1" applyFill="1" applyBorder="1" applyAlignment="1" applyProtection="1">
      <alignment horizontal="left" vertical="center"/>
    </xf>
    <xf numFmtId="0" fontId="42" fillId="10" borderId="576" xfId="0" applyFont="1" applyFill="1" applyBorder="1" applyAlignment="1" applyProtection="1">
      <alignment horizontal="left" vertical="center"/>
    </xf>
    <xf numFmtId="0" fontId="28" fillId="14" borderId="50" xfId="0" applyFont="1" applyFill="1" applyBorder="1" applyAlignment="1" applyProtection="1">
      <alignment horizontal="center" vertical="center"/>
    </xf>
    <xf numFmtId="0" fontId="28" fillId="14" borderId="98" xfId="0" applyFont="1" applyFill="1" applyBorder="1" applyAlignment="1" applyProtection="1">
      <alignment horizontal="center" vertical="center"/>
    </xf>
    <xf numFmtId="0" fontId="42" fillId="10" borderId="406" xfId="0" applyFont="1" applyFill="1" applyBorder="1" applyAlignment="1" applyProtection="1">
      <alignment horizontal="left" vertical="center"/>
    </xf>
    <xf numFmtId="0" fontId="42" fillId="10" borderId="331" xfId="0" applyFont="1" applyFill="1" applyBorder="1" applyAlignment="1" applyProtection="1">
      <alignment horizontal="left" vertical="center"/>
    </xf>
    <xf numFmtId="0" fontId="42" fillId="0" borderId="410" xfId="0" applyFont="1" applyFill="1" applyBorder="1" applyAlignment="1" applyProtection="1">
      <alignment horizontal="left" vertical="center"/>
    </xf>
    <xf numFmtId="0" fontId="42" fillId="10" borderId="411" xfId="0" applyFont="1" applyFill="1" applyBorder="1" applyAlignment="1" applyProtection="1">
      <alignment horizontal="left" vertical="center"/>
    </xf>
    <xf numFmtId="0" fontId="37" fillId="0" borderId="564" xfId="0" applyFont="1" applyFill="1" applyBorder="1" applyAlignment="1" applyProtection="1">
      <alignment horizontal="center" vertical="center" wrapText="1"/>
    </xf>
    <xf numFmtId="0" fontId="37" fillId="0" borderId="565" xfId="0" applyFont="1" applyFill="1" applyBorder="1" applyAlignment="1" applyProtection="1">
      <alignment horizontal="center" vertical="center" wrapText="1"/>
    </xf>
    <xf numFmtId="0" fontId="37" fillId="0" borderId="594" xfId="0" applyFont="1" applyFill="1" applyBorder="1" applyAlignment="1" applyProtection="1">
      <alignment horizontal="center" vertical="center" wrapText="1"/>
    </xf>
    <xf numFmtId="0" fontId="37" fillId="0" borderId="585" xfId="0" applyFont="1" applyFill="1" applyBorder="1" applyAlignment="1" applyProtection="1">
      <alignment horizontal="center" vertical="center" wrapText="1"/>
    </xf>
    <xf numFmtId="0" fontId="37" fillId="0" borderId="328" xfId="0" applyFont="1" applyFill="1" applyBorder="1" applyAlignment="1" applyProtection="1">
      <alignment horizontal="center" vertical="center" wrapText="1"/>
    </xf>
    <xf numFmtId="0" fontId="37" fillId="0" borderId="321" xfId="0" applyFont="1" applyFill="1" applyBorder="1" applyAlignment="1" applyProtection="1">
      <alignment horizontal="center" vertical="center" wrapText="1"/>
    </xf>
    <xf numFmtId="10" fontId="92" fillId="10" borderId="415" xfId="2" applyNumberFormat="1" applyFont="1" applyFill="1" applyBorder="1" applyAlignment="1" applyProtection="1">
      <alignment horizontal="right" vertical="center"/>
      <protection locked="0"/>
    </xf>
    <xf numFmtId="10" fontId="57" fillId="10" borderId="145" xfId="2" applyNumberFormat="1" applyFont="1" applyFill="1" applyBorder="1" applyAlignment="1" applyProtection="1">
      <alignment horizontal="center" vertical="center"/>
    </xf>
    <xf numFmtId="10" fontId="57" fillId="10" borderId="152" xfId="2" applyNumberFormat="1" applyFont="1" applyFill="1" applyBorder="1" applyAlignment="1" applyProtection="1">
      <alignment horizontal="center" vertical="center"/>
    </xf>
    <xf numFmtId="10" fontId="92" fillId="10" borderId="327" xfId="2" applyNumberFormat="1" applyFont="1" applyFill="1" applyBorder="1" applyAlignment="1" applyProtection="1">
      <alignment horizontal="right" vertical="center"/>
      <protection locked="0"/>
    </xf>
    <xf numFmtId="10" fontId="92" fillId="10" borderId="402" xfId="2" applyNumberFormat="1" applyFont="1" applyFill="1" applyBorder="1" applyAlignment="1" applyProtection="1">
      <alignment horizontal="right" vertical="center"/>
      <protection locked="0"/>
    </xf>
    <xf numFmtId="10" fontId="92" fillId="10" borderId="403" xfId="2" applyNumberFormat="1" applyFont="1" applyFill="1" applyBorder="1" applyAlignment="1" applyProtection="1">
      <alignment horizontal="right" vertical="center"/>
      <protection locked="0"/>
    </xf>
    <xf numFmtId="10" fontId="92" fillId="10" borderId="413" xfId="2" applyNumberFormat="1" applyFont="1" applyFill="1" applyBorder="1" applyAlignment="1" applyProtection="1">
      <alignment horizontal="right" vertical="center"/>
      <protection locked="0"/>
    </xf>
    <xf numFmtId="0" fontId="38" fillId="0" borderId="153" xfId="6" applyBorder="1" applyAlignment="1" applyProtection="1">
      <alignment horizontal="center" vertical="center" wrapText="1"/>
      <protection locked="0"/>
    </xf>
    <xf numFmtId="0" fontId="38" fillId="0" borderId="153" xfId="6" applyBorder="1" applyAlignment="1" applyProtection="1">
      <alignment horizontal="center" vertical="center"/>
      <protection locked="0"/>
    </xf>
    <xf numFmtId="0" fontId="38" fillId="0" borderId="154" xfId="6" applyBorder="1" applyAlignment="1" applyProtection="1">
      <alignment horizontal="center" vertical="center"/>
      <protection locked="0"/>
    </xf>
    <xf numFmtId="0" fontId="78" fillId="0" borderId="152" xfId="0" applyFont="1" applyFill="1" applyBorder="1" applyAlignment="1" applyProtection="1">
      <alignment horizontal="left" vertical="center"/>
    </xf>
    <xf numFmtId="0" fontId="42" fillId="10" borderId="571" xfId="0" applyFont="1" applyFill="1" applyBorder="1" applyAlignment="1" applyProtection="1">
      <alignment horizontal="left" vertical="center"/>
    </xf>
    <xf numFmtId="0" fontId="42" fillId="0" borderId="573" xfId="0" applyFont="1" applyFill="1" applyBorder="1" applyAlignment="1" applyProtection="1">
      <alignment horizontal="left" vertical="center"/>
    </xf>
    <xf numFmtId="0" fontId="42" fillId="0" borderId="411" xfId="0" applyFont="1" applyFill="1" applyBorder="1" applyAlignment="1" applyProtection="1">
      <alignment horizontal="left" vertical="center"/>
    </xf>
    <xf numFmtId="0" fontId="42" fillId="0" borderId="333" xfId="0" applyFont="1" applyFill="1" applyBorder="1" applyAlignment="1" applyProtection="1">
      <alignment horizontal="center" vertical="center"/>
    </xf>
    <xf numFmtId="0" fontId="42" fillId="0" borderId="334" xfId="0" applyFont="1" applyFill="1" applyBorder="1" applyAlignment="1" applyProtection="1">
      <alignment horizontal="center" vertical="center"/>
    </xf>
    <xf numFmtId="10" fontId="57" fillId="10" borderId="147" xfId="2" applyNumberFormat="1" applyFont="1" applyFill="1" applyBorder="1" applyAlignment="1" applyProtection="1">
      <alignment horizontal="center" vertical="center"/>
    </xf>
    <xf numFmtId="10" fontId="57" fillId="10" borderId="158" xfId="2" applyNumberFormat="1" applyFont="1" applyFill="1" applyBorder="1" applyAlignment="1" applyProtection="1">
      <alignment horizontal="center" vertical="center"/>
    </xf>
    <xf numFmtId="0" fontId="40" fillId="2" borderId="45" xfId="0" applyFont="1" applyFill="1" applyBorder="1" applyAlignment="1" applyProtection="1">
      <alignment horizontal="left" vertical="center" wrapText="1"/>
    </xf>
    <xf numFmtId="0" fontId="40" fillId="2" borderId="191" xfId="0" applyFont="1" applyFill="1" applyBorder="1" applyAlignment="1" applyProtection="1">
      <alignment horizontal="left" vertical="center" wrapText="1"/>
    </xf>
    <xf numFmtId="0" fontId="40" fillId="2" borderId="152" xfId="0" applyFont="1" applyFill="1" applyBorder="1" applyAlignment="1" applyProtection="1">
      <alignment horizontal="left" vertical="center" wrapText="1"/>
    </xf>
    <xf numFmtId="0" fontId="40" fillId="2" borderId="158" xfId="0" applyFont="1" applyFill="1" applyBorder="1" applyAlignment="1" applyProtection="1">
      <alignment horizontal="left" vertical="center" wrapText="1"/>
    </xf>
    <xf numFmtId="164" fontId="41" fillId="2" borderId="4" xfId="1" applyNumberFormat="1" applyFont="1" applyFill="1" applyBorder="1" applyAlignment="1" applyProtection="1">
      <alignment horizontal="left" vertical="center"/>
    </xf>
    <xf numFmtId="164" fontId="41" fillId="2" borderId="152" xfId="1" applyNumberFormat="1" applyFont="1" applyFill="1" applyBorder="1" applyAlignment="1" applyProtection="1">
      <alignment horizontal="left" vertical="center"/>
    </xf>
    <xf numFmtId="0" fontId="39" fillId="0" borderId="140" xfId="0" applyFont="1" applyBorder="1" applyAlignment="1" applyProtection="1">
      <alignment horizontal="center" vertical="center"/>
    </xf>
    <xf numFmtId="0" fontId="39" fillId="0" borderId="141" xfId="0" applyFont="1" applyBorder="1" applyAlignment="1" applyProtection="1">
      <alignment horizontal="center" vertical="center"/>
    </xf>
    <xf numFmtId="0" fontId="39" fillId="0" borderId="142" xfId="0" applyFont="1" applyBorder="1" applyAlignment="1" applyProtection="1">
      <alignment horizontal="center" vertical="center"/>
    </xf>
    <xf numFmtId="0" fontId="38" fillId="0" borderId="154" xfId="6" applyBorder="1" applyAlignment="1" applyProtection="1">
      <alignment horizontal="center" vertical="center" wrapText="1"/>
      <protection locked="0"/>
    </xf>
    <xf numFmtId="0" fontId="40" fillId="2" borderId="145" xfId="0" applyFont="1" applyFill="1" applyBorder="1" applyAlignment="1" applyProtection="1">
      <alignment horizontal="left" vertical="center" wrapText="1"/>
    </xf>
    <xf numFmtId="0" fontId="40" fillId="2" borderId="147" xfId="0" applyFont="1" applyFill="1" applyBorder="1" applyAlignment="1" applyProtection="1">
      <alignment horizontal="left" vertical="center" wrapText="1"/>
    </xf>
    <xf numFmtId="0" fontId="40" fillId="2" borderId="0" xfId="0" applyFont="1" applyFill="1" applyBorder="1" applyAlignment="1" applyProtection="1">
      <alignment horizontal="left" vertical="center" wrapText="1"/>
    </xf>
    <xf numFmtId="0" fontId="40" fillId="2" borderId="149" xfId="0" applyFont="1" applyFill="1" applyBorder="1" applyAlignment="1" applyProtection="1">
      <alignment horizontal="left" vertical="center" wrapText="1"/>
    </xf>
    <xf numFmtId="164" fontId="41" fillId="2" borderId="2" xfId="1" applyNumberFormat="1" applyFont="1" applyFill="1" applyBorder="1" applyAlignment="1" applyProtection="1">
      <alignment horizontal="left" vertical="center"/>
    </xf>
    <xf numFmtId="164" fontId="41" fillId="2" borderId="151" xfId="1" applyNumberFormat="1" applyFont="1" applyFill="1" applyBorder="1" applyAlignment="1" applyProtection="1">
      <alignment horizontal="left" vertical="center"/>
    </xf>
    <xf numFmtId="0" fontId="40" fillId="2" borderId="0" xfId="0" applyFont="1" applyFill="1" applyBorder="1" applyAlignment="1" applyProtection="1">
      <alignment horizontal="left" vertical="center" wrapText="1" indent="1"/>
    </xf>
    <xf numFmtId="0" fontId="40" fillId="2" borderId="152" xfId="0" applyFont="1" applyFill="1" applyBorder="1" applyAlignment="1" applyProtection="1">
      <alignment horizontal="left" vertical="center" wrapText="1" indent="1"/>
    </xf>
    <xf numFmtId="0" fontId="38" fillId="0" borderId="503" xfId="6" applyBorder="1" applyAlignment="1" applyProtection="1">
      <alignment horizontal="center" vertical="center" wrapText="1"/>
      <protection locked="0"/>
    </xf>
    <xf numFmtId="164" fontId="41" fillId="2" borderId="144" xfId="1" applyNumberFormat="1" applyFont="1" applyFill="1" applyBorder="1" applyAlignment="1" applyProtection="1">
      <alignment horizontal="left" vertical="center"/>
    </xf>
    <xf numFmtId="164" fontId="41" fillId="2" borderId="3" xfId="1" applyNumberFormat="1" applyFont="1" applyFill="1" applyBorder="1" applyAlignment="1" applyProtection="1">
      <alignment horizontal="left" vertical="center"/>
    </xf>
    <xf numFmtId="0" fontId="40" fillId="2" borderId="145" xfId="0" applyFont="1" applyFill="1" applyBorder="1" applyAlignment="1" applyProtection="1">
      <alignment horizontal="left" vertical="center" wrapText="1" indent="1"/>
    </xf>
    <xf numFmtId="0" fontId="40" fillId="2" borderId="2" xfId="0" applyFont="1" applyFill="1" applyBorder="1" applyAlignment="1" applyProtection="1">
      <alignment horizontal="left" vertical="center" wrapText="1" indent="1"/>
    </xf>
    <xf numFmtId="164" fontId="41" fillId="2" borderId="165" xfId="1" applyNumberFormat="1" applyFont="1" applyFill="1" applyBorder="1" applyAlignment="1" applyProtection="1">
      <alignment horizontal="left" vertical="center"/>
    </xf>
    <xf numFmtId="164" fontId="41" fillId="2" borderId="145" xfId="1" applyNumberFormat="1" applyFont="1" applyFill="1" applyBorder="1" applyAlignment="1" applyProtection="1">
      <alignment horizontal="left" vertical="center"/>
    </xf>
    <xf numFmtId="164" fontId="41" fillId="2" borderId="295" xfId="1" applyNumberFormat="1" applyFont="1" applyFill="1" applyBorder="1" applyAlignment="1" applyProtection="1">
      <alignment horizontal="left" vertical="center"/>
    </xf>
    <xf numFmtId="0" fontId="84" fillId="10" borderId="425" xfId="0" applyFont="1" applyFill="1" applyBorder="1" applyAlignment="1" applyProtection="1">
      <alignment horizontal="left" vertical="center" wrapText="1"/>
    </xf>
    <xf numFmtId="0" fontId="84" fillId="10" borderId="426" xfId="0" applyFont="1" applyFill="1" applyBorder="1" applyAlignment="1" applyProtection="1">
      <alignment horizontal="left" vertical="center" wrapText="1"/>
    </xf>
    <xf numFmtId="0" fontId="84" fillId="10" borderId="427" xfId="0" applyFont="1" applyFill="1" applyBorder="1" applyAlignment="1" applyProtection="1">
      <alignment horizontal="left" vertical="center" wrapText="1"/>
    </xf>
    <xf numFmtId="0" fontId="42" fillId="10" borderId="559" xfId="0" applyFont="1" applyFill="1" applyBorder="1" applyAlignment="1" applyProtection="1">
      <alignment horizontal="left" vertical="center"/>
    </xf>
    <xf numFmtId="0" fontId="38" fillId="0" borderId="313" xfId="6" applyBorder="1" applyAlignment="1" applyProtection="1">
      <alignment horizontal="center" vertical="center" wrapText="1"/>
      <protection locked="0"/>
    </xf>
    <xf numFmtId="0" fontId="38" fillId="0" borderId="314" xfId="6" applyBorder="1" applyAlignment="1" applyProtection="1">
      <alignment horizontal="center" vertical="center"/>
      <protection locked="0"/>
    </xf>
    <xf numFmtId="0" fontId="38" fillId="0" borderId="315" xfId="6" applyBorder="1" applyAlignment="1" applyProtection="1">
      <alignment horizontal="center" vertical="center"/>
      <protection locked="0"/>
    </xf>
    <xf numFmtId="0" fontId="38" fillId="0" borderId="316" xfId="6" applyBorder="1" applyAlignment="1" applyProtection="1">
      <alignment horizontal="center" vertical="center"/>
      <protection locked="0"/>
    </xf>
    <xf numFmtId="0" fontId="42" fillId="0" borderId="570" xfId="0" applyFont="1" applyFill="1" applyBorder="1" applyAlignment="1" applyProtection="1">
      <alignment horizontal="left"/>
    </xf>
    <xf numFmtId="0" fontId="42" fillId="0" borderId="571" xfId="0" applyFont="1" applyFill="1" applyBorder="1" applyAlignment="1" applyProtection="1">
      <alignment horizontal="left"/>
    </xf>
    <xf numFmtId="0" fontId="42" fillId="0" borderId="532" xfId="0" applyFont="1" applyBorder="1" applyAlignment="1" applyProtection="1">
      <alignment horizontal="center" vertical="center"/>
    </xf>
    <xf numFmtId="0" fontId="42" fillId="0" borderId="533" xfId="0" applyFont="1" applyBorder="1" applyAlignment="1" applyProtection="1">
      <alignment horizontal="center" vertical="center"/>
    </xf>
    <xf numFmtId="168" fontId="42" fillId="0" borderId="540" xfId="0" applyNumberFormat="1" applyFont="1" applyBorder="1" applyAlignment="1" applyProtection="1">
      <alignment horizontal="center" vertical="center"/>
    </xf>
    <xf numFmtId="168" fontId="42" fillId="0" borderId="546" xfId="0" applyNumberFormat="1" applyFont="1" applyBorder="1" applyAlignment="1" applyProtection="1">
      <alignment horizontal="center" vertical="center"/>
    </xf>
    <xf numFmtId="0" fontId="42" fillId="0" borderId="528" xfId="0" applyFont="1" applyBorder="1" applyAlignment="1" applyProtection="1">
      <alignment horizontal="center" vertical="center"/>
    </xf>
    <xf numFmtId="0" fontId="42" fillId="0" borderId="529" xfId="0" applyFont="1" applyBorder="1" applyAlignment="1" applyProtection="1">
      <alignment horizontal="center" vertical="center"/>
    </xf>
    <xf numFmtId="168" fontId="42" fillId="0" borderId="537" xfId="0" applyNumberFormat="1" applyFont="1" applyBorder="1" applyAlignment="1" applyProtection="1">
      <alignment horizontal="center" vertical="center"/>
    </xf>
    <xf numFmtId="168" fontId="42" fillId="0" borderId="548" xfId="0" applyNumberFormat="1" applyFont="1" applyBorder="1" applyAlignment="1" applyProtection="1">
      <alignment horizontal="center" vertical="center"/>
    </xf>
    <xf numFmtId="0" fontId="42" fillId="0" borderId="536" xfId="0" applyFont="1" applyBorder="1" applyAlignment="1" applyProtection="1">
      <alignment horizontal="center" vertical="center"/>
    </xf>
    <xf numFmtId="0" fontId="42" fillId="0" borderId="531" xfId="0" applyFont="1" applyBorder="1" applyAlignment="1" applyProtection="1">
      <alignment horizontal="center" vertical="center"/>
    </xf>
    <xf numFmtId="0" fontId="42" fillId="0" borderId="519" xfId="0" applyFont="1" applyBorder="1" applyAlignment="1" applyProtection="1">
      <alignment horizontal="center" vertical="center"/>
    </xf>
    <xf numFmtId="0" fontId="42" fillId="0" borderId="525" xfId="0" applyFont="1" applyBorder="1" applyAlignment="1" applyProtection="1">
      <alignment horizontal="center" vertical="center"/>
    </xf>
    <xf numFmtId="168" fontId="42" fillId="0" borderId="538" xfId="0" applyNumberFormat="1" applyFont="1" applyBorder="1" applyAlignment="1" applyProtection="1">
      <alignment horizontal="center" vertical="center"/>
    </xf>
    <xf numFmtId="168" fontId="42" fillId="0" borderId="145" xfId="0" applyNumberFormat="1" applyFont="1" applyBorder="1" applyAlignment="1" applyProtection="1">
      <alignment horizontal="center" vertical="center"/>
    </xf>
    <xf numFmtId="168" fontId="42" fillId="0" borderId="152" xfId="0" applyNumberFormat="1" applyFont="1" applyBorder="1" applyAlignment="1" applyProtection="1">
      <alignment horizontal="center" vertical="center"/>
    </xf>
    <xf numFmtId="0" fontId="42" fillId="13" borderId="157" xfId="0" applyFont="1" applyFill="1" applyBorder="1" applyAlignment="1" applyProtection="1">
      <alignment horizontal="left"/>
      <protection locked="0"/>
    </xf>
    <xf numFmtId="0" fontId="42" fillId="13" borderId="152" xfId="0" applyFont="1" applyFill="1" applyBorder="1" applyAlignment="1" applyProtection="1">
      <alignment horizontal="left"/>
      <protection locked="0"/>
    </xf>
    <xf numFmtId="0" fontId="42" fillId="13" borderId="158" xfId="0" applyFont="1" applyFill="1" applyBorder="1" applyAlignment="1" applyProtection="1">
      <alignment horizontal="left"/>
      <protection locked="0"/>
    </xf>
    <xf numFmtId="0" fontId="19" fillId="13" borderId="152" xfId="0" applyFont="1" applyFill="1" applyBorder="1" applyAlignment="1" applyProtection="1">
      <alignment horizontal="center" wrapText="1"/>
      <protection locked="0"/>
    </xf>
    <xf numFmtId="0" fontId="19" fillId="13" borderId="158" xfId="0" applyFont="1" applyFill="1" applyBorder="1" applyAlignment="1" applyProtection="1">
      <alignment horizontal="center" wrapText="1"/>
      <protection locked="0"/>
    </xf>
    <xf numFmtId="0" fontId="42" fillId="4" borderId="156" xfId="0" applyFont="1" applyFill="1" applyBorder="1" applyAlignment="1" applyProtection="1">
      <alignment horizontal="left"/>
      <protection locked="0"/>
    </xf>
    <xf numFmtId="0" fontId="42" fillId="4" borderId="0" xfId="0" applyFont="1" applyFill="1" applyBorder="1" applyAlignment="1" applyProtection="1">
      <alignment horizontal="left"/>
      <protection locked="0"/>
    </xf>
    <xf numFmtId="0" fontId="42" fillId="4" borderId="149" xfId="0" applyFont="1" applyFill="1" applyBorder="1" applyAlignment="1" applyProtection="1">
      <alignment horizontal="left"/>
      <protection locked="0"/>
    </xf>
    <xf numFmtId="0" fontId="19" fillId="0" borderId="0" xfId="0" applyFont="1" applyFill="1" applyBorder="1" applyAlignment="1" applyProtection="1">
      <alignment horizontal="center" wrapText="1"/>
      <protection locked="0"/>
    </xf>
    <xf numFmtId="0" fontId="19" fillId="0" borderId="149" xfId="0" applyFont="1" applyFill="1" applyBorder="1" applyAlignment="1" applyProtection="1">
      <alignment horizontal="center" wrapText="1"/>
      <protection locked="0"/>
    </xf>
    <xf numFmtId="0" fontId="42" fillId="13" borderId="156" xfId="0" applyFont="1" applyFill="1" applyBorder="1" applyAlignment="1" applyProtection="1">
      <alignment horizontal="left"/>
      <protection locked="0"/>
    </xf>
    <xf numFmtId="0" fontId="42" fillId="13" borderId="0" xfId="0" applyFont="1" applyFill="1" applyBorder="1" applyAlignment="1" applyProtection="1">
      <alignment horizontal="left"/>
      <protection locked="0"/>
    </xf>
    <xf numFmtId="0" fontId="42" fillId="13" borderId="149" xfId="0" applyFont="1" applyFill="1" applyBorder="1" applyAlignment="1" applyProtection="1">
      <alignment horizontal="left"/>
      <protection locked="0"/>
    </xf>
    <xf numFmtId="0" fontId="19" fillId="13" borderId="0" xfId="0" applyFont="1" applyFill="1" applyBorder="1" applyAlignment="1" applyProtection="1">
      <alignment horizontal="center" wrapText="1"/>
      <protection locked="0"/>
    </xf>
    <xf numFmtId="0" fontId="19" fillId="13" borderId="149" xfId="0" applyFont="1" applyFill="1" applyBorder="1" applyAlignment="1" applyProtection="1">
      <alignment horizontal="center" wrapText="1"/>
      <protection locked="0"/>
    </xf>
    <xf numFmtId="0" fontId="42" fillId="0" borderId="155" xfId="0" applyFont="1" applyBorder="1" applyAlignment="1" applyProtection="1">
      <alignment horizontal="center" vertical="center"/>
      <protection locked="0"/>
    </xf>
    <xf numFmtId="0" fontId="42" fillId="0" borderId="145" xfId="0" applyFont="1" applyBorder="1" applyAlignment="1" applyProtection="1">
      <alignment horizontal="center" vertical="center"/>
      <protection locked="0"/>
    </xf>
    <xf numFmtId="0" fontId="42" fillId="0" borderId="147" xfId="0" applyFont="1" applyBorder="1" applyAlignment="1" applyProtection="1">
      <alignment horizontal="center" vertical="center"/>
      <protection locked="0"/>
    </xf>
    <xf numFmtId="0" fontId="42" fillId="0" borderId="157" xfId="0" applyFont="1" applyBorder="1" applyAlignment="1" applyProtection="1">
      <alignment horizontal="center" vertical="center"/>
      <protection locked="0"/>
    </xf>
    <xf numFmtId="0" fontId="42" fillId="0" borderId="152" xfId="0" applyFont="1" applyBorder="1" applyAlignment="1" applyProtection="1">
      <alignment horizontal="center" vertical="center"/>
      <protection locked="0"/>
    </xf>
    <xf numFmtId="0" fontId="42" fillId="0" borderId="158" xfId="0" applyFont="1" applyBorder="1" applyAlignment="1" applyProtection="1">
      <alignment horizontal="center" vertical="center"/>
      <protection locked="0"/>
    </xf>
    <xf numFmtId="0" fontId="42" fillId="0" borderId="145" xfId="0" applyFont="1" applyBorder="1" applyAlignment="1" applyProtection="1">
      <alignment horizontal="center" vertical="center" wrapText="1"/>
    </xf>
    <xf numFmtId="0" fontId="42" fillId="0" borderId="147" xfId="0" applyFont="1" applyBorder="1" applyAlignment="1" applyProtection="1">
      <alignment horizontal="center" vertical="center" wrapText="1"/>
    </xf>
    <xf numFmtId="0" fontId="42" fillId="0" borderId="152" xfId="0" applyFont="1" applyBorder="1" applyAlignment="1" applyProtection="1">
      <alignment horizontal="center" vertical="center" wrapText="1"/>
    </xf>
    <xf numFmtId="0" fontId="42" fillId="0" borderId="158" xfId="0" applyFont="1" applyBorder="1" applyAlignment="1" applyProtection="1">
      <alignment horizontal="center" vertical="center" wrapText="1"/>
    </xf>
    <xf numFmtId="0" fontId="42" fillId="0" borderId="156" xfId="0" applyFont="1" applyFill="1" applyBorder="1" applyAlignment="1" applyProtection="1">
      <alignment horizontal="left"/>
      <protection locked="0"/>
    </xf>
    <xf numFmtId="0" fontId="42" fillId="0" borderId="0" xfId="0" applyFont="1" applyFill="1" applyBorder="1" applyAlignment="1" applyProtection="1">
      <alignment horizontal="left"/>
      <protection locked="0"/>
    </xf>
    <xf numFmtId="0" fontId="42" fillId="0" borderId="149" xfId="0" applyFont="1" applyFill="1" applyBorder="1" applyAlignment="1" applyProtection="1">
      <alignment horizontal="left"/>
      <protection locked="0"/>
    </xf>
    <xf numFmtId="0" fontId="28" fillId="14" borderId="145" xfId="0" applyFont="1" applyFill="1" applyBorder="1" applyAlignment="1" applyProtection="1">
      <alignment horizontal="left" vertical="center"/>
    </xf>
    <xf numFmtId="0" fontId="28" fillId="14" borderId="147" xfId="0" applyFont="1" applyFill="1" applyBorder="1" applyAlignment="1" applyProtection="1">
      <alignment horizontal="left" vertical="center"/>
    </xf>
    <xf numFmtId="0" fontId="28" fillId="14" borderId="152" xfId="0" applyFont="1" applyFill="1" applyBorder="1" applyAlignment="1" applyProtection="1">
      <alignment horizontal="left" vertical="center"/>
    </xf>
    <xf numFmtId="0" fontId="28" fillId="14" borderId="158" xfId="0" applyFont="1" applyFill="1" applyBorder="1" applyAlignment="1" applyProtection="1">
      <alignment horizontal="left" vertical="center"/>
    </xf>
    <xf numFmtId="0" fontId="33" fillId="14" borderId="155" xfId="0" applyFont="1" applyFill="1" applyBorder="1" applyAlignment="1" applyProtection="1">
      <alignment horizontal="center" vertical="center"/>
    </xf>
    <xf numFmtId="0" fontId="33" fillId="14" borderId="157" xfId="0" applyFont="1" applyFill="1" applyBorder="1" applyAlignment="1" applyProtection="1">
      <alignment horizontal="center" vertical="center"/>
    </xf>
    <xf numFmtId="0" fontId="38" fillId="0" borderId="153" xfId="6" applyBorder="1" applyAlignment="1" applyProtection="1">
      <alignment horizontal="center" vertical="center" wrapText="1"/>
    </xf>
    <xf numFmtId="0" fontId="38" fillId="0" borderId="154" xfId="6" applyBorder="1" applyAlignment="1" applyProtection="1">
      <alignment horizontal="center" vertical="center" wrapText="1"/>
    </xf>
    <xf numFmtId="0" fontId="38" fillId="0" borderId="313" xfId="6" applyBorder="1" applyAlignment="1" applyProtection="1">
      <alignment horizontal="center" vertical="center" wrapText="1"/>
    </xf>
    <xf numFmtId="0" fontId="38" fillId="0" borderId="314" xfId="6" applyBorder="1" applyAlignment="1" applyProtection="1">
      <alignment horizontal="center" vertical="center"/>
    </xf>
    <xf numFmtId="0" fontId="38" fillId="0" borderId="315" xfId="6" applyBorder="1" applyAlignment="1" applyProtection="1">
      <alignment horizontal="center" vertical="center"/>
    </xf>
    <xf numFmtId="0" fontId="38" fillId="0" borderId="316" xfId="6" applyBorder="1" applyAlignment="1" applyProtection="1">
      <alignment horizontal="center" vertical="center"/>
    </xf>
    <xf numFmtId="0" fontId="10" fillId="0" borderId="106" xfId="0" applyFont="1" applyBorder="1" applyAlignment="1" applyProtection="1">
      <alignment horizontal="left" vertical="center" wrapText="1"/>
    </xf>
    <xf numFmtId="0" fontId="10" fillId="0" borderId="50" xfId="0" applyFont="1" applyBorder="1" applyAlignment="1" applyProtection="1">
      <alignment horizontal="left" vertical="center" wrapText="1"/>
    </xf>
    <xf numFmtId="0" fontId="10" fillId="0" borderId="115" xfId="0" applyFont="1" applyBorder="1" applyAlignment="1" applyProtection="1">
      <alignment horizontal="left" vertical="center" wrapText="1"/>
    </xf>
    <xf numFmtId="0" fontId="28" fillId="14" borderId="50" xfId="0" applyFont="1" applyFill="1" applyBorder="1" applyAlignment="1" applyProtection="1">
      <alignment horizontal="left" vertical="center"/>
    </xf>
    <xf numFmtId="0" fontId="28" fillId="14" borderId="115" xfId="0" applyFont="1" applyFill="1" applyBorder="1" applyAlignment="1" applyProtection="1">
      <alignment horizontal="left" vertical="center"/>
    </xf>
    <xf numFmtId="0" fontId="28" fillId="14" borderId="98" xfId="0" applyFont="1" applyFill="1" applyBorder="1" applyAlignment="1" applyProtection="1">
      <alignment horizontal="left" vertical="center"/>
    </xf>
    <xf numFmtId="0" fontId="28" fillId="14" borderId="100" xfId="0" applyFont="1" applyFill="1" applyBorder="1" applyAlignment="1" applyProtection="1">
      <alignment horizontal="left" vertical="center"/>
    </xf>
    <xf numFmtId="0" fontId="38" fillId="0" borderId="503" xfId="6" applyBorder="1" applyAlignment="1" applyProtection="1">
      <alignment horizontal="center" vertical="center" wrapText="1"/>
    </xf>
    <xf numFmtId="0" fontId="38" fillId="0" borderId="153" xfId="6" applyBorder="1" applyAlignment="1" applyProtection="1">
      <alignment horizontal="center" vertical="center"/>
    </xf>
    <xf numFmtId="0" fontId="38" fillId="0" borderId="154" xfId="6" applyBorder="1" applyAlignment="1" applyProtection="1">
      <alignment horizontal="center" vertical="center"/>
    </xf>
    <xf numFmtId="0" fontId="5" fillId="0" borderId="0" xfId="0" applyFont="1" applyAlignment="1">
      <alignment horizontal="left"/>
    </xf>
  </cellXfs>
  <cellStyles count="12">
    <cellStyle name="Comma" xfId="5" builtinId="3"/>
    <cellStyle name="Comma 2 10" xfId="4" xr:uid="{00000000-0005-0000-0000-000001000000}"/>
    <cellStyle name="Heading 3" xfId="1" builtinId="18"/>
    <cellStyle name="Hyperlink" xfId="6" builtinId="8"/>
    <cellStyle name="Normal" xfId="0" builtinId="0"/>
    <cellStyle name="Normal 2" xfId="3" xr:uid="{00000000-0005-0000-0000-000005000000}"/>
    <cellStyle name="Normal 2 2" xfId="8" xr:uid="{00000000-0005-0000-0000-000006000000}"/>
    <cellStyle name="Normal 2 6" xfId="9" xr:uid="{00000000-0005-0000-0000-000007000000}"/>
    <cellStyle name="Normal 3" xfId="10" xr:uid="{00000000-0005-0000-0000-000008000000}"/>
    <cellStyle name="Normal 4" xfId="7" xr:uid="{00000000-0005-0000-0000-000009000000}"/>
    <cellStyle name="Normal 5" xfId="11" xr:uid="{F4768233-C66D-46AA-A391-CD3954B4FFC9}"/>
    <cellStyle name="Percent" xfId="2" builtinId="5"/>
  </cellStyles>
  <dxfs count="547">
    <dxf>
      <alignment horizontal="center"/>
    </dxf>
    <dxf>
      <alignment wrapText="1"/>
    </dxf>
    <dxf>
      <alignment vertical="center"/>
    </dxf>
    <dxf>
      <alignment vertical="center"/>
    </dxf>
    <dxf>
      <alignment vertical="center"/>
    </dxf>
    <dxf>
      <alignment vertical="center"/>
    </dxf>
    <dxf>
      <numFmt numFmtId="4" formatCode="#,##0.00"/>
    </dxf>
    <dxf>
      <numFmt numFmtId="4" formatCode="#,##0.00"/>
    </dxf>
    <dxf>
      <numFmt numFmtId="4" formatCode="#,##0.00"/>
    </dxf>
    <dxf>
      <fill>
        <patternFill patternType="mediumGray"/>
      </fill>
    </dxf>
    <dxf>
      <fill>
        <patternFill>
          <bgColor theme="5"/>
        </patternFill>
      </fill>
    </dxf>
    <dxf>
      <font>
        <color rgb="FFFF0000"/>
      </font>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ont>
        <color rgb="FFFF0000"/>
      </font>
    </dxf>
    <dxf>
      <fill>
        <patternFill patternType="solid">
          <fgColor rgb="FFF2F2F2"/>
          <bgColor rgb="FF000000"/>
        </patternFill>
      </fill>
    </dxf>
    <dxf>
      <font>
        <b/>
        <i val="0"/>
        <strike val="0"/>
        <condense val="0"/>
        <extend val="0"/>
        <outline val="0"/>
        <shadow val="0"/>
        <u val="none"/>
        <vertAlign val="baseline"/>
        <sz val="10"/>
        <color theme="0" tint="-0.34998626667073579"/>
        <name val="Calibri"/>
        <scheme val="minor"/>
      </font>
      <numFmt numFmtId="166" formatCode="_(* #,##0_);_(* \(#,##0\);_(* &quot;-&quot;??_);_(@_)"/>
      <border outline="0">
        <right style="medium">
          <color theme="0" tint="-0.34998626667073579"/>
        </right>
      </border>
      <protection locked="1" hidden="0"/>
    </dxf>
    <dxf>
      <font>
        <b/>
        <strike val="0"/>
        <outline val="0"/>
        <shadow val="0"/>
        <u val="none"/>
        <vertAlign val="baseline"/>
        <sz val="10"/>
        <color theme="0" tint="-0.34998626667073579"/>
        <name val="Calibri"/>
        <scheme val="minor"/>
      </font>
      <numFmt numFmtId="166" formatCode="_(* #,##0_);_(* \(#,##0\);_(* &quot;-&quot;??_);_(@_)"/>
      <border diagonalUp="0" diagonalDown="0" outline="0">
        <left/>
        <right style="medium">
          <color theme="0" tint="-0.34998626667073579"/>
        </right>
        <top/>
        <bottom/>
      </border>
      <protection locked="1" hidden="0"/>
    </dxf>
    <dxf>
      <font>
        <b/>
        <strike val="0"/>
        <outline val="0"/>
        <shadow val="0"/>
        <u val="none"/>
        <vertAlign val="baseline"/>
        <sz val="10"/>
        <name val="Calibri"/>
        <scheme val="minor"/>
      </font>
      <numFmt numFmtId="166" formatCode="_(* #,##0_);_(* \(#,##0\);_(* &quot;-&quot;??_);_(@_)"/>
      <protection locked="0" hidden="0"/>
    </dxf>
    <dxf>
      <font>
        <b/>
        <strike val="0"/>
        <outline val="0"/>
        <shadow val="0"/>
        <u val="none"/>
        <vertAlign val="baseline"/>
        <sz val="10"/>
        <name val="Calibri"/>
        <scheme val="minor"/>
      </font>
      <numFmt numFmtId="166" formatCode="_(* #,##0_);_(* \(#,##0\);_(* &quot;-&quot;??_);_(@_)"/>
      <protection locked="0" hidden="0"/>
    </dxf>
    <dxf>
      <font>
        <b/>
        <strike val="0"/>
        <outline val="0"/>
        <shadow val="0"/>
        <u val="none"/>
        <vertAlign val="baseline"/>
        <sz val="10"/>
        <name val="Calibri"/>
        <scheme val="minor"/>
      </font>
      <numFmt numFmtId="166" formatCode="_(* #,##0_);_(* \(#,##0\);_(* &quot;-&quot;??_);_(@_)"/>
      <protection locked="0" hidden="0"/>
    </dxf>
    <dxf>
      <font>
        <b/>
        <strike val="0"/>
        <outline val="0"/>
        <shadow val="0"/>
        <u val="none"/>
        <vertAlign val="baseline"/>
        <sz val="10"/>
        <name val="Calibri"/>
        <scheme val="minor"/>
      </font>
      <numFmt numFmtId="166" formatCode="_(* #,##0_);_(* \(#,##0\);_(* &quot;-&quot;??_);_(@_)"/>
      <border diagonalUp="0" diagonalDown="0" outline="0">
        <left style="medium">
          <color theme="0" tint="-0.34998626667073579"/>
        </left>
        <right/>
        <top/>
        <bottom/>
      </border>
      <protection locked="0" hidden="0"/>
    </dxf>
    <dxf>
      <font>
        <b/>
        <strike val="0"/>
        <outline val="0"/>
        <shadow val="0"/>
        <u val="none"/>
        <vertAlign val="baseline"/>
        <sz val="10"/>
        <color theme="0" tint="-0.34998626667073579"/>
        <name val="Calibri"/>
        <scheme val="minor"/>
      </font>
      <numFmt numFmtId="166" formatCode="_(* #,##0_);_(* \(#,##0\);_(* &quot;-&quot;??_);_(@_)"/>
      <protection locked="1"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theme="0" tint="-0.34998626667073579"/>
        <name val="Calibri"/>
        <scheme val="minor"/>
      </font>
      <numFmt numFmtId="166" formatCode="_(* #,##0_);_(* \(#,##0\);_(* &quot;-&quot;??_);_(@_)"/>
      <border diagonalUp="0" diagonalDown="0" outline="0">
        <left/>
        <right style="medium">
          <color theme="0" tint="-0.34998626667073579"/>
        </right>
        <top/>
        <bottom/>
      </border>
      <protection locked="1"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border diagonalUp="0" diagonalDown="0" outline="0">
        <left style="medium">
          <color theme="0" tint="-0.34998626667073579"/>
        </left>
        <right/>
        <top/>
        <bottom/>
      </border>
      <protection locked="0" hidden="0"/>
    </dxf>
    <dxf>
      <border diagonalUp="0" diagonalDown="0">
        <left style="medium">
          <color theme="0" tint="-0.34998626667073579"/>
        </left>
        <right style="medium">
          <color theme="0" tint="-0.34998626667073579"/>
        </right>
        <top style="thin">
          <color theme="0" tint="-0.34998626667073579"/>
        </top>
        <bottom style="medium">
          <color theme="0" tint="-0.34998626667073579"/>
        </bottom>
      </border>
    </dxf>
    <dxf>
      <font>
        <b/>
        <strike val="0"/>
        <outline val="0"/>
        <shadow val="0"/>
        <u val="none"/>
        <vertAlign val="baseline"/>
        <sz val="10"/>
        <name val="Calibri"/>
        <scheme val="minor"/>
      </font>
      <protection locked="0" hidden="0"/>
    </dxf>
    <dxf>
      <border>
        <bottom style="medium">
          <color theme="0" tint="-0.34998626667073579"/>
        </bottom>
      </border>
    </dxf>
    <dxf>
      <font>
        <b/>
        <i val="0"/>
        <strike val="0"/>
        <condense val="0"/>
        <extend val="0"/>
        <outline val="0"/>
        <shadow val="0"/>
        <u val="none"/>
        <vertAlign val="baseline"/>
        <sz val="10"/>
        <color theme="0" tint="-0.34998626667073579"/>
        <name val="Calibri"/>
        <scheme val="minor"/>
      </font>
      <alignment horizontal="center" vertical="center" textRotation="0" wrapText="1"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theme="0" tint="-0.34998626667073579"/>
        <name val="Calibri"/>
        <scheme val="minor"/>
      </font>
      <numFmt numFmtId="166" formatCode="_(* #,##0_);_(* \(#,##0\);_(* &quot;-&quot;??_);_(@_)"/>
      <border outline="0">
        <right style="medium">
          <color theme="0" tint="-0.34998626667073579"/>
        </right>
      </border>
      <protection locked="1" hidden="0"/>
    </dxf>
    <dxf>
      <font>
        <b/>
        <strike val="0"/>
        <outline val="0"/>
        <shadow val="0"/>
        <u val="none"/>
        <vertAlign val="baseline"/>
        <sz val="10"/>
        <color theme="0" tint="-0.34998626667073579"/>
        <name val="Calibri"/>
        <scheme val="minor"/>
      </font>
      <numFmt numFmtId="166" formatCode="_(* #,##0_);_(* \(#,##0\);_(* &quot;-&quot;??_);_(@_)"/>
      <border diagonalUp="0" diagonalDown="0" outline="0">
        <left/>
        <right style="medium">
          <color theme="0" tint="-0.34998626667073579"/>
        </right>
        <top/>
        <bottom/>
      </border>
      <protection locked="1"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border diagonalUp="0" diagonalDown="0" outline="0">
        <left style="medium">
          <color theme="0" tint="-0.34998626667073579"/>
        </left>
        <right/>
        <top/>
        <bottom/>
      </border>
      <protection locked="0" hidden="0"/>
    </dxf>
    <dxf>
      <font>
        <b/>
        <strike val="0"/>
        <outline val="0"/>
        <shadow val="0"/>
        <u val="none"/>
        <vertAlign val="baseline"/>
        <sz val="10"/>
        <color theme="0" tint="-0.34998626667073579"/>
        <name val="Calibri"/>
        <scheme val="minor"/>
      </font>
      <numFmt numFmtId="166" formatCode="_(* #,##0_);_(* \(#,##0\);_(* &quot;-&quot;??_);_(@_)"/>
      <protection locked="1"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theme="0" tint="-0.34998626667073579"/>
        <name val="Calibri"/>
        <scheme val="minor"/>
      </font>
      <numFmt numFmtId="166" formatCode="_(* #,##0_);_(* \(#,##0\);_(* &quot;-&quot;??_);_(@_)"/>
      <protection locked="1"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protection locked="0" hidden="0"/>
    </dxf>
    <dxf>
      <font>
        <b/>
        <strike val="0"/>
        <outline val="0"/>
        <shadow val="0"/>
        <u val="none"/>
        <vertAlign val="baseline"/>
        <sz val="10"/>
        <color auto="1"/>
        <name val="Calibri"/>
        <scheme val="minor"/>
      </font>
      <numFmt numFmtId="166" formatCode="_(* #,##0_);_(* \(#,##0\);_(* &quot;-&quot;??_);_(@_)"/>
      <border diagonalUp="0" diagonalDown="0">
        <left style="medium">
          <color theme="0" tint="-0.34998626667073579"/>
        </left>
        <right/>
        <top/>
        <bottom/>
      </border>
      <protection locked="0" hidden="0"/>
    </dxf>
    <dxf>
      <border diagonalUp="0" diagonalDown="0">
        <left style="medium">
          <color theme="0" tint="-0.34998626667073579"/>
        </left>
        <right style="medium">
          <color theme="0" tint="-0.34998626667073579"/>
        </right>
        <top style="thin">
          <color theme="0" tint="-0.34998626667073579"/>
        </top>
        <bottom style="medium">
          <color theme="0" tint="-0.34998626667073579"/>
        </bottom>
      </border>
    </dxf>
    <dxf>
      <font>
        <b/>
        <strike val="0"/>
        <outline val="0"/>
        <shadow val="0"/>
        <vertAlign val="baseline"/>
        <sz val="10"/>
        <name val="Calibri"/>
        <scheme val="minor"/>
      </font>
      <protection locked="0" hidden="0"/>
    </dxf>
    <dxf>
      <border>
        <bottom style="medium">
          <color theme="0" tint="-0.34998626667073579"/>
        </bottom>
      </border>
    </dxf>
    <dxf>
      <font>
        <b/>
        <i val="0"/>
        <strike val="0"/>
        <condense val="0"/>
        <extend val="0"/>
        <outline val="0"/>
        <shadow val="0"/>
        <u val="none"/>
        <vertAlign val="baseline"/>
        <sz val="10"/>
        <color theme="0" tint="-0.34998626667073579"/>
        <name val="Calibri"/>
        <scheme val="minor"/>
      </font>
      <alignment horizontal="center" vertical="center" textRotation="0" wrapText="1" indent="0" justifyLastLine="0" shrinkToFit="0" readingOrder="0"/>
      <border diagonalUp="0" diagonalDown="0" outline="0">
        <left/>
        <right/>
        <top/>
        <bottom/>
      </border>
      <protection locked="1"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outline val="0"/>
        <shadow val="0"/>
        <u val="none"/>
        <vertAlign val="baseline"/>
        <sz val="11"/>
        <color theme="5" tint="-0.249977111117893"/>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left style="medium">
          <color theme="9"/>
        </left>
        <right/>
        <top/>
        <bottom/>
      </border>
      <protection locked="1" hidden="0"/>
    </dxf>
    <dxf>
      <font>
        <strike val="0"/>
        <outline val="0"/>
        <shadow val="0"/>
        <u val="none"/>
        <vertAlign val="baseline"/>
        <sz val="11"/>
        <color rgb="FFEAAD00"/>
        <name val="Calibri"/>
        <scheme val="minor"/>
      </font>
      <fill>
        <patternFill patternType="none">
          <fgColor indexed="64"/>
          <bgColor auto="1"/>
        </patternFill>
      </fill>
      <alignment vertical="center" textRotation="0" indent="0" justifyLastLine="0" shrinkToFit="0" readingOrder="0"/>
      <border diagonalUp="0" diagonalDown="0">
        <left/>
        <right style="medium">
          <color rgb="FFEAAD00"/>
        </right>
        <top/>
        <bottom/>
      </border>
      <protection locked="1"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vertical="center" textRotation="0" indent="0" justifyLastLine="0" shrinkToFit="0" readingOrder="0"/>
      <border diagonalUp="0" diagonalDown="0" outline="0">
        <left style="medium">
          <color rgb="FFEAAD00"/>
        </left>
        <right/>
        <top/>
        <bottom/>
      </border>
      <protection locked="1" hidden="0"/>
    </dxf>
    <dxf>
      <font>
        <strike val="0"/>
        <outline val="0"/>
        <shadow val="0"/>
        <u val="none"/>
        <vertAlign val="baseline"/>
        <sz val="11"/>
        <color rgb="FFEAAD00"/>
        <name val="Calibri"/>
        <scheme val="minor"/>
      </font>
      <fill>
        <patternFill patternType="none">
          <fgColor indexed="64"/>
          <bgColor auto="1"/>
        </patternFill>
      </fill>
      <alignment vertical="center" textRotation="0" indent="0" justifyLastLine="0" shrinkToFit="0" readingOrder="0"/>
      <border diagonalUp="0" diagonalDown="0">
        <left/>
        <right style="medium">
          <color rgb="FFEAAD00"/>
        </right>
        <top/>
        <bottom/>
      </border>
      <protection locked="1"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vertical="center" textRotation="0" indent="0" justifyLastLine="0" shrinkToFit="0" readingOrder="0"/>
      <protection locked="1"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fill>
        <patternFill patternType="none">
          <fgColor indexed="64"/>
          <bgColor auto="1"/>
        </patternFill>
      </fill>
      <alignment vertical="center" textRotation="0" indent="0" justifyLastLine="0" shrinkToFit="0" readingOrder="0"/>
      <border diagonalUp="0" diagonalDown="0">
        <left style="medium">
          <color rgb="FFEAAD00"/>
        </left>
        <right/>
        <top/>
        <bottom/>
      </border>
      <protection locked="0" hidden="0"/>
    </dxf>
    <dxf>
      <font>
        <strike val="0"/>
        <outline val="0"/>
        <shadow val="0"/>
        <u val="none"/>
        <vertAlign val="baseline"/>
        <sz val="11"/>
        <color rgb="FFEAAD00"/>
        <name val="Calibri"/>
        <scheme val="minor"/>
      </font>
      <fill>
        <patternFill patternType="none">
          <fgColor indexed="64"/>
          <bgColor auto="1"/>
        </patternFill>
      </fill>
      <alignment vertical="center" textRotation="0" indent="0" justifyLastLine="0" shrinkToFit="0" readingOrder="0"/>
      <border diagonalUp="0" diagonalDown="0">
        <left/>
        <right style="medium">
          <color rgb="FFEAAD00"/>
        </right>
        <top/>
        <bottom/>
      </border>
      <protection locked="1"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vertical="center" textRotation="0" indent="0" justifyLastLine="0" shrinkToFit="0" readingOrder="0"/>
      <protection locked="1"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fill>
        <patternFill patternType="none">
          <fgColor indexed="64"/>
          <bgColor auto="1"/>
        </patternFill>
      </fill>
      <alignment vertical="center" textRotation="0" indent="0" justifyLastLine="0" shrinkToFit="0" readingOrder="0"/>
      <border diagonalUp="0" diagonalDown="0">
        <left style="medium">
          <color rgb="FFEAAD00"/>
        </left>
        <right/>
        <top/>
        <bottom/>
      </border>
      <protection locked="0" hidden="0"/>
    </dxf>
    <dxf>
      <font>
        <strike val="0"/>
        <outline val="0"/>
        <shadow val="0"/>
        <u val="none"/>
        <vertAlign val="baseline"/>
        <sz val="11"/>
        <color rgb="FFEAAD00"/>
        <name val="Calibri"/>
        <scheme val="minor"/>
      </font>
      <fill>
        <patternFill patternType="none">
          <fgColor indexed="64"/>
          <bgColor auto="1"/>
        </patternFill>
      </fill>
      <alignment vertical="center" textRotation="0" indent="0" justifyLastLine="0" shrinkToFit="0" readingOrder="0"/>
      <border diagonalUp="0" diagonalDown="0">
        <left/>
        <right/>
        <top style="medium">
          <color auto="1"/>
        </top>
        <bottom style="medium">
          <color auto="1"/>
        </bottom>
      </border>
      <protection locked="1"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vertical="center" textRotation="0" indent="0" justifyLastLine="0" shrinkToFit="0" readingOrder="0"/>
      <border diagonalUp="0" diagonalDown="0" outline="0">
        <left/>
        <right/>
        <top style="medium">
          <color auto="1"/>
        </top>
        <bottom style="medium">
          <color auto="1"/>
        </bottom>
      </border>
      <protection locked="1"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border diagonalUp="0" diagonalDown="0" outline="0">
        <left/>
        <right/>
        <top style="medium">
          <color auto="1"/>
        </top>
        <bottom style="medium">
          <color auto="1"/>
        </bottom>
      </border>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border diagonalUp="0" diagonalDown="0" outline="0">
        <left/>
        <right/>
        <top style="medium">
          <color auto="1"/>
        </top>
        <bottom style="medium">
          <color auto="1"/>
        </bottom>
      </border>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border diagonalUp="0" diagonalDown="0" outline="0">
        <left/>
        <right/>
        <top style="medium">
          <color auto="1"/>
        </top>
        <bottom style="medium">
          <color auto="1"/>
        </bottom>
      </border>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border diagonalUp="0" diagonalDown="0" outline="0">
        <left/>
        <right/>
        <top style="medium">
          <color auto="1"/>
        </top>
        <bottom style="medium">
          <color auto="1"/>
        </bottom>
      </border>
      <protection locked="0" hidden="0"/>
    </dxf>
    <dxf>
      <font>
        <strike val="0"/>
        <outline val="0"/>
        <shadow val="0"/>
        <u val="none"/>
        <vertAlign val="baseline"/>
        <color auto="1"/>
        <name val="Calibri"/>
        <scheme val="minor"/>
      </font>
      <fill>
        <patternFill patternType="none">
          <fgColor indexed="64"/>
          <bgColor auto="1"/>
        </patternFill>
      </fill>
      <alignment vertical="center" textRotation="0" indent="0" justifyLastLine="0" shrinkToFit="0" readingOrder="0"/>
      <border diagonalUp="0" diagonalDown="0">
        <left/>
        <right/>
        <top style="medium">
          <color auto="1"/>
        </top>
        <bottom style="medium">
          <color auto="1"/>
        </bottom>
      </border>
      <protection locked="0" hidden="0"/>
    </dxf>
    <dxf>
      <border diagonalUp="0" diagonalDown="0">
        <left style="medium">
          <color rgb="FFEAAD00"/>
        </left>
        <right style="medium">
          <color rgb="FFEAAD00"/>
        </right>
        <top style="thin">
          <color rgb="FFEAAD00"/>
        </top>
        <bottom style="medium">
          <color rgb="FFEAAD00"/>
        </bottom>
      </border>
    </dxf>
    <dxf>
      <font>
        <strike val="0"/>
        <outline val="0"/>
        <shadow val="0"/>
        <u val="none"/>
        <vertAlign val="baseline"/>
        <color auto="1"/>
        <name val="Calibri"/>
        <scheme val="none"/>
      </font>
      <fill>
        <patternFill patternType="none">
          <fgColor rgb="FF000000"/>
          <bgColor auto="1"/>
        </patternFill>
      </fill>
      <alignment vertical="center" textRotation="0" indent="0" justifyLastLine="0" shrinkToFit="0" readingOrder="0"/>
      <protection locked="1" hidden="0"/>
    </dxf>
    <dxf>
      <border>
        <bottom style="medium">
          <color rgb="FFE6AF00"/>
        </bottom>
      </border>
    </dxf>
    <dxf>
      <font>
        <strike val="0"/>
        <outline val="0"/>
        <shadow val="0"/>
        <u val="none"/>
        <vertAlign val="baseline"/>
        <color rgb="FFEAAD00"/>
        <name val="Calibri"/>
        <scheme val="minor"/>
      </font>
      <fill>
        <patternFill patternType="none">
          <fgColor indexed="64"/>
          <bgColor auto="1"/>
        </patternFill>
      </fill>
      <alignment vertical="center" textRotation="0" wrapText="1" indent="0" justifyLastLine="0" shrinkToFit="0" readingOrder="0"/>
      <border diagonalUp="0" diagonalDown="0">
        <left/>
        <right/>
        <top/>
        <bottom/>
      </border>
      <protection locked="1" hidden="0"/>
    </dxf>
    <dxf>
      <font>
        <strike val="0"/>
        <outline val="0"/>
        <shadow val="0"/>
        <u val="none"/>
        <vertAlign val="baseline"/>
        <sz val="11"/>
        <color rgb="FFE6AF00"/>
        <name val="Calibri"/>
        <scheme val="minor"/>
      </font>
      <numFmt numFmtId="166" formatCode="_(* #,##0_);_(* \(#,##0\);_(* &quot;-&quot;??_);_(@_)"/>
      <fill>
        <patternFill patternType="none">
          <fgColor indexed="64"/>
          <bgColor auto="1"/>
        </patternFill>
      </fill>
      <alignment horizontal="right" vertical="center" textRotation="0" wrapText="0" indent="0" justifyLastLine="0" shrinkToFit="0" readingOrder="0"/>
      <border diagonalUp="0" diagonalDown="0">
        <left/>
        <right style="medium">
          <color rgb="FFE6AF00"/>
        </right>
        <top/>
        <bottom/>
      </border>
      <protection locked="1" hidden="0"/>
    </dxf>
    <dxf>
      <font>
        <strike val="0"/>
        <outline val="0"/>
        <shadow val="0"/>
        <u val="none"/>
        <vertAlign val="baseline"/>
        <sz val="11"/>
        <color rgb="FFEAAD00"/>
        <name val="Calibri"/>
        <scheme val="minor"/>
      </font>
      <fill>
        <patternFill patternType="none">
          <fgColor indexed="64"/>
          <bgColor auto="1"/>
        </patternFill>
      </fill>
      <alignment horizontal="right" vertical="center" textRotation="0" wrapText="0" indent="0" justifyLastLine="0" shrinkToFit="0" readingOrder="0"/>
      <border diagonalUp="0" diagonalDown="0">
        <left/>
        <right style="medium">
          <color rgb="FFE6AF00"/>
        </right>
        <top/>
        <bottom/>
      </border>
      <protection locked="1"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horizontal="right" vertical="center" textRotation="0" wrapText="0" indent="0" justifyLastLine="0" shrinkToFit="0" readingOrder="0"/>
      <protection locked="1" hidden="0"/>
    </dxf>
    <dxf>
      <font>
        <strike val="0"/>
        <outline val="0"/>
        <shadow val="0"/>
        <u val="none"/>
        <vertAlign val="baseline"/>
        <sz val="11"/>
        <color rgb="FFEAAD00"/>
        <name val="Calibri"/>
        <scheme val="minor"/>
      </font>
      <fill>
        <patternFill patternType="none">
          <fgColor indexed="64"/>
          <bgColor auto="1"/>
        </patternFill>
      </fill>
      <alignment vertical="center" textRotation="0" indent="0" justifyLastLine="0" shrinkToFit="0" readingOrder="0"/>
      <protection locked="1"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vertical="center" textRotation="0" indent="0" justifyLastLine="0" shrinkToFit="0" readingOrder="0"/>
      <protection locked="1"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sz val="11"/>
        <color rgb="FFEAAD00"/>
        <name val="Calibri"/>
        <scheme val="minor"/>
      </font>
      <fill>
        <patternFill patternType="none">
          <fgColor indexed="64"/>
          <bgColor auto="1"/>
        </patternFill>
      </fill>
      <alignment vertical="center" textRotation="0" indent="0" justifyLastLine="0" shrinkToFit="0" readingOrder="0"/>
      <protection locked="1"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vertical="center" textRotation="0" indent="0" justifyLastLine="0" shrinkToFit="0" readingOrder="0"/>
      <protection locked="1"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fill>
        <patternFill patternType="none">
          <fgColor indexed="64"/>
          <bgColor auto="1"/>
        </patternFill>
      </fill>
      <alignment vertical="center" textRotation="0" indent="0" justifyLastLine="0" shrinkToFit="0" readingOrder="0"/>
      <border diagonalUp="0" diagonalDown="0">
        <left style="medium">
          <color rgb="FFEAAD00"/>
        </left>
        <right/>
        <top/>
        <bottom/>
      </border>
      <protection locked="0" hidden="0"/>
    </dxf>
    <dxf>
      <font>
        <strike val="0"/>
        <outline val="0"/>
        <shadow val="0"/>
        <u val="none"/>
        <vertAlign val="baseline"/>
        <sz val="11"/>
        <color rgb="FFEAAD00"/>
        <name val="Calibri"/>
        <scheme val="minor"/>
      </font>
      <fill>
        <patternFill patternType="none">
          <fgColor indexed="64"/>
          <bgColor auto="1"/>
        </patternFill>
      </fill>
      <alignment vertical="center" textRotation="0" indent="0" justifyLastLine="0" shrinkToFit="0" readingOrder="0"/>
      <border diagonalUp="0" diagonalDown="0">
        <left/>
        <right style="medium">
          <color rgb="FFE6AF00"/>
        </right>
        <top/>
        <bottom/>
      </border>
      <protection locked="1"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vertical="center" textRotation="0" indent="0" justifyLastLine="0" shrinkToFit="0" readingOrder="0"/>
      <protection locked="1"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fill>
        <patternFill patternType="none">
          <fgColor indexed="64"/>
          <bgColor auto="1"/>
        </patternFill>
      </fill>
      <alignment vertical="center" textRotation="0" indent="0" justifyLastLine="0" shrinkToFit="0" readingOrder="0"/>
      <border diagonalUp="0" diagonalDown="0">
        <left style="medium">
          <color rgb="FFE6AF00"/>
        </left>
        <right/>
        <top/>
        <bottom/>
      </border>
      <protection locked="0" hidden="0"/>
    </dxf>
    <dxf>
      <border diagonalUp="0" diagonalDown="0">
        <left style="medium">
          <color rgb="FFEAAD00"/>
        </left>
        <right style="medium">
          <color rgb="FFEAAD00"/>
        </right>
        <top style="thin">
          <color rgb="FFEAAD00"/>
        </top>
        <bottom style="medium">
          <color rgb="FFEAAD00"/>
        </bottom>
      </border>
    </dxf>
    <dxf>
      <font>
        <strike val="0"/>
        <outline val="0"/>
        <shadow val="0"/>
        <u val="none"/>
        <vertAlign val="baseline"/>
        <color auto="1"/>
        <name val="Calibri"/>
        <scheme val="none"/>
      </font>
      <fill>
        <patternFill patternType="none">
          <fgColor rgb="FF000000"/>
          <bgColor auto="1"/>
        </patternFill>
      </fill>
      <alignment vertical="center" textRotation="0" indent="0" justifyLastLine="0" shrinkToFit="0" readingOrder="0"/>
      <protection locked="1" hidden="0"/>
    </dxf>
    <dxf>
      <border>
        <bottom style="medium">
          <color rgb="FFEAAD00"/>
        </bottom>
      </border>
    </dxf>
    <dxf>
      <font>
        <strike val="0"/>
        <outline val="0"/>
        <shadow val="0"/>
        <u val="none"/>
        <vertAlign val="baseline"/>
        <color rgb="FFEAAD00"/>
        <name val="Calibri"/>
        <scheme val="minor"/>
      </font>
      <fill>
        <patternFill patternType="none">
          <fgColor indexed="64"/>
          <bgColor auto="1"/>
        </patternFill>
      </fill>
      <alignment horizontal="center" vertical="center" textRotation="0" wrapText="1" indent="0" justifyLastLine="0" shrinkToFit="0" readingOrder="0"/>
      <border diagonalUp="0" diagonalDown="0">
        <left/>
        <right/>
        <top/>
        <bottom/>
      </border>
      <protection locked="1" hidden="0"/>
    </dxf>
    <dxf>
      <font>
        <strike val="0"/>
        <outline val="0"/>
        <shadow val="0"/>
        <u val="none"/>
        <vertAlign val="baseline"/>
        <color rgb="FFE6AF00"/>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left style="medium">
          <color theme="9"/>
        </left>
        <right/>
        <top/>
        <bottom/>
      </border>
      <protection locked="1" hidden="0"/>
    </dxf>
    <dxf>
      <font>
        <strike val="0"/>
        <outline val="0"/>
        <shadow val="0"/>
        <u val="none"/>
        <vertAlign val="baseline"/>
        <sz val="11"/>
        <color rgb="FFEAAD00"/>
        <name val="Calibri"/>
        <scheme val="minor"/>
      </font>
      <fill>
        <patternFill patternType="none">
          <fgColor indexed="64"/>
          <bgColor auto="1"/>
        </patternFill>
      </fill>
      <alignment vertical="center" textRotation="0" indent="0" justifyLastLine="0" shrinkToFit="0" readingOrder="0"/>
      <protection locked="1"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vertical="center" textRotation="0" indent="0" justifyLastLine="0" shrinkToFit="0" readingOrder="0"/>
      <border diagonalUp="0" diagonalDown="0" outline="0">
        <left style="medium">
          <color rgb="FFEAAD00"/>
        </left>
        <right/>
        <top/>
        <bottom/>
      </border>
      <protection locked="1" hidden="0"/>
    </dxf>
    <dxf>
      <font>
        <strike val="0"/>
        <outline val="0"/>
        <shadow val="0"/>
        <u val="none"/>
        <vertAlign val="baseline"/>
        <sz val="11"/>
        <color rgb="FFEAAD00"/>
        <name val="Calibri"/>
        <scheme val="minor"/>
      </font>
      <fill>
        <patternFill patternType="none">
          <fgColor indexed="64"/>
          <bgColor auto="1"/>
        </patternFill>
      </fill>
      <alignment vertical="center" textRotation="0" indent="0" justifyLastLine="0" shrinkToFit="0" readingOrder="0"/>
      <protection locked="1"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vertical="center" textRotation="0" indent="0" justifyLastLine="0" shrinkToFit="0" readingOrder="0"/>
      <protection locked="1"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sz val="11"/>
        <color rgb="FFEAAD00"/>
        <name val="Calibri"/>
        <scheme val="minor"/>
      </font>
      <fill>
        <patternFill patternType="none">
          <fgColor indexed="64"/>
          <bgColor auto="1"/>
        </patternFill>
      </fill>
      <alignment vertical="center" textRotation="0" indent="0" justifyLastLine="0" shrinkToFit="0" readingOrder="0"/>
      <protection locked="1"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vertical="center" textRotation="0" indent="0" justifyLastLine="0" shrinkToFit="0" readingOrder="0"/>
      <protection locked="1"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fill>
        <patternFill patternType="none">
          <fgColor indexed="64"/>
          <bgColor auto="1"/>
        </patternFill>
      </fill>
      <alignment vertical="center" textRotation="0" indent="0" justifyLastLine="0" shrinkToFit="0" readingOrder="0"/>
      <border diagonalUp="0" diagonalDown="0" outline="0">
        <left style="medium">
          <color rgb="FFEAAD00"/>
        </left>
        <right/>
        <top/>
        <bottom/>
      </border>
      <protection locked="0" hidden="0"/>
    </dxf>
    <dxf>
      <font>
        <strike val="0"/>
        <outline val="0"/>
        <shadow val="0"/>
        <u val="none"/>
        <vertAlign val="baseline"/>
        <sz val="11"/>
        <color rgb="FFEAAD00"/>
        <name val="Calibri"/>
        <scheme val="minor"/>
      </font>
      <fill>
        <patternFill patternType="none">
          <fgColor indexed="64"/>
          <bgColor auto="1"/>
        </patternFill>
      </fill>
      <alignment vertical="center" textRotation="0" indent="0" justifyLastLine="0" shrinkToFit="0" readingOrder="0"/>
      <protection locked="1"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vertical="center" textRotation="0" indent="0" justifyLastLine="0" shrinkToFit="0" readingOrder="0"/>
      <protection locked="1"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fill>
        <patternFill patternType="none">
          <fgColor indexed="64"/>
          <bgColor auto="1"/>
        </patternFill>
      </fill>
      <alignment vertical="center" textRotation="0" indent="0" justifyLastLine="0" shrinkToFit="0" readingOrder="0"/>
      <protection locked="0" hidden="0"/>
    </dxf>
    <dxf>
      <border diagonalUp="0" diagonalDown="0">
        <left style="medium">
          <color rgb="FFEAAD00"/>
        </left>
        <right style="medium">
          <color rgb="FFEAAD00"/>
        </right>
        <top style="thin">
          <color rgb="FFEAAD00"/>
        </top>
        <bottom style="medium">
          <color rgb="FFEAAD00"/>
        </bottom>
      </border>
    </dxf>
    <dxf>
      <font>
        <strike val="0"/>
        <outline val="0"/>
        <shadow val="0"/>
        <u val="none"/>
        <vertAlign val="baseline"/>
        <color auto="1"/>
        <name val="Calibri"/>
        <scheme val="none"/>
      </font>
      <alignment vertical="center" textRotation="0" indent="0" justifyLastLine="0" shrinkToFit="0" readingOrder="0"/>
      <protection locked="1" hidden="0"/>
    </dxf>
    <dxf>
      <border>
        <bottom style="medium">
          <color rgb="FFE6AF00"/>
        </bottom>
      </border>
    </dxf>
    <dxf>
      <font>
        <strike val="0"/>
        <outline val="0"/>
        <shadow val="0"/>
        <u val="none"/>
        <vertAlign val="baseline"/>
        <color rgb="FFEAAD00"/>
        <name val="Calibri"/>
        <scheme val="minor"/>
      </font>
      <alignment vertical="center" textRotation="0" wrapText="1" indent="0" justifyLastLine="0" shrinkToFit="0" readingOrder="0"/>
      <border diagonalUp="0" diagonalDown="0">
        <left/>
        <right/>
        <top/>
        <bottom/>
      </border>
      <protection locked="1" hidden="0"/>
    </dxf>
    <dxf>
      <font>
        <strike val="0"/>
        <outline val="0"/>
        <shadow val="0"/>
        <u val="none"/>
        <vertAlign val="baseline"/>
        <sz val="11"/>
        <color rgb="FFEAAD00"/>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left style="medium">
          <color theme="9"/>
        </left>
        <right/>
        <top/>
        <bottom/>
      </border>
      <protection locked="1" hidden="0"/>
    </dxf>
    <dxf>
      <font>
        <strike val="0"/>
        <outline val="0"/>
        <shadow val="0"/>
        <u val="none"/>
        <vertAlign val="baseline"/>
        <sz val="11"/>
        <color rgb="FFEAAD00"/>
        <name val="Calibri"/>
        <scheme val="minor"/>
      </font>
      <fill>
        <patternFill patternType="none">
          <fgColor indexed="64"/>
          <bgColor auto="1"/>
        </patternFill>
      </fill>
      <alignment vertical="center" textRotation="0" indent="0" justifyLastLine="0" shrinkToFit="0" readingOrder="0"/>
      <protection locked="1"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vertical="center" textRotation="0" indent="0" justifyLastLine="0" shrinkToFit="0" readingOrder="0"/>
      <border diagonalUp="0" diagonalDown="0" outline="0">
        <left style="medium">
          <color rgb="FFEAAD00"/>
        </left>
        <right/>
        <top/>
        <bottom/>
      </border>
      <protection locked="1" hidden="0"/>
    </dxf>
    <dxf>
      <font>
        <strike val="0"/>
        <outline val="0"/>
        <shadow val="0"/>
        <u val="none"/>
        <vertAlign val="baseline"/>
        <sz val="11"/>
        <color rgb="FFEAAD00"/>
        <name val="Calibri"/>
        <scheme val="minor"/>
      </font>
      <fill>
        <patternFill patternType="none">
          <fgColor indexed="64"/>
          <bgColor auto="1"/>
        </patternFill>
      </fill>
      <alignment vertical="center" textRotation="0" indent="0" justifyLastLine="0" shrinkToFit="0" readingOrder="0"/>
      <protection locked="1"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vertical="center" textRotation="0" indent="0" justifyLastLine="0" shrinkToFit="0" readingOrder="0"/>
      <protection locked="1"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fill>
        <patternFill patternType="none">
          <fgColor indexed="64"/>
          <bgColor auto="1"/>
        </patternFill>
      </fill>
      <alignment vertical="center" textRotation="0" indent="0" justifyLastLine="0" shrinkToFit="0" readingOrder="0"/>
      <border diagonalUp="0" diagonalDown="0" outline="0">
        <left style="medium">
          <color theme="9"/>
        </left>
        <right/>
        <top/>
        <bottom/>
      </border>
      <protection locked="0" hidden="0"/>
    </dxf>
    <dxf>
      <font>
        <strike val="0"/>
        <outline val="0"/>
        <shadow val="0"/>
        <u val="none"/>
        <vertAlign val="baseline"/>
        <sz val="11"/>
        <color rgb="FFEAAD00"/>
        <name val="Calibri"/>
        <scheme val="minor"/>
      </font>
      <fill>
        <patternFill patternType="none">
          <fgColor indexed="64"/>
          <bgColor auto="1"/>
        </patternFill>
      </fill>
      <alignment vertical="center" textRotation="0" indent="0" justifyLastLine="0" shrinkToFit="0" readingOrder="0"/>
      <border diagonalUp="0" diagonalDown="0">
        <left/>
        <right style="medium">
          <color rgb="FFEAAD00"/>
        </right>
        <top/>
        <bottom/>
      </border>
      <protection locked="1"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vertical="center" textRotation="0" indent="0" justifyLastLine="0" shrinkToFit="0" readingOrder="0"/>
      <protection locked="1"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b val="0"/>
        <i val="0"/>
        <strike val="0"/>
        <condense val="0"/>
        <extend val="0"/>
        <outline val="0"/>
        <shadow val="0"/>
        <u val="none"/>
        <vertAlign val="baseline"/>
        <sz val="11"/>
        <color auto="1"/>
        <name val="Calibri"/>
        <scheme val="minor"/>
      </font>
      <numFmt numFmtId="166" formatCode="_(* #,##0_);_(* \(#,##0\);_(* &quot;-&quot;??_);_(@_)"/>
      <fill>
        <patternFill patternType="none">
          <fgColor indexed="64"/>
          <bgColor indexed="65"/>
        </patternFill>
      </fill>
      <alignment vertical="center" textRotation="0" indent="0" justifyLastLine="0" shrinkToFit="0" readingOrder="0"/>
      <protection locked="0" hidden="0"/>
    </dxf>
    <dxf>
      <font>
        <strike val="0"/>
        <outline val="0"/>
        <shadow val="0"/>
        <u val="none"/>
        <vertAlign val="baseline"/>
        <color auto="1"/>
        <name val="Calibri"/>
        <scheme val="minor"/>
      </font>
      <fill>
        <patternFill patternType="none">
          <fgColor indexed="64"/>
          <bgColor auto="1"/>
        </patternFill>
      </fill>
      <alignment vertical="center" textRotation="0" indent="0" justifyLastLine="0" shrinkToFit="0" readingOrder="0"/>
      <border diagonalUp="0" diagonalDown="0" outline="0">
        <left style="medium">
          <color rgb="FFEAAD00"/>
        </left>
        <right/>
        <top/>
        <bottom/>
      </border>
      <protection locked="0" hidden="0"/>
    </dxf>
    <dxf>
      <font>
        <strike val="0"/>
        <outline val="0"/>
        <shadow val="0"/>
        <u val="none"/>
        <vertAlign val="baseline"/>
        <sz val="11"/>
        <color rgb="FFEAAD00"/>
        <name val="Calibri"/>
        <scheme val="minor"/>
      </font>
      <fill>
        <patternFill patternType="none">
          <fgColor indexed="64"/>
          <bgColor auto="1"/>
        </patternFill>
      </fill>
      <alignment vertical="center" textRotation="0" indent="0" justifyLastLine="0" shrinkToFit="0" readingOrder="0"/>
      <border diagonalUp="0" diagonalDown="0">
        <left/>
        <right style="medium">
          <color rgb="FFE6AF00"/>
        </right>
        <top/>
        <bottom/>
      </border>
      <protection locked="1"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vertical="center" textRotation="0" indent="0" justifyLastLine="0" shrinkToFit="0" readingOrder="0"/>
      <protection locked="1"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vertical="center" textRotation="0" indent="0" justifyLastLine="0" shrinkToFit="0" readingOrder="0"/>
      <protection locked="0" hidden="0"/>
    </dxf>
    <dxf>
      <font>
        <strike val="0"/>
        <outline val="0"/>
        <shadow val="0"/>
        <u val="none"/>
        <vertAlign val="baseline"/>
        <color auto="1"/>
        <name val="Calibri"/>
        <scheme val="minor"/>
      </font>
      <fill>
        <patternFill patternType="none">
          <fgColor indexed="64"/>
          <bgColor auto="1"/>
        </patternFill>
      </fill>
      <alignment vertical="center" textRotation="0" indent="0" justifyLastLine="0" shrinkToFit="0" readingOrder="0"/>
      <border diagonalUp="0" diagonalDown="0" outline="0">
        <left style="medium">
          <color rgb="FFE6AF00"/>
        </left>
        <right/>
      </border>
      <protection locked="0" hidden="0"/>
    </dxf>
    <dxf>
      <border diagonalUp="0" diagonalDown="0">
        <left style="medium">
          <color rgb="FFEAAD00"/>
        </left>
        <right style="medium">
          <color rgb="FFEAAD00"/>
        </right>
        <top style="thin">
          <color rgb="FFEAAD00"/>
        </top>
        <bottom style="medium">
          <color rgb="FFEAAD00"/>
        </bottom>
      </border>
    </dxf>
    <dxf>
      <font>
        <strike val="0"/>
        <outline val="0"/>
        <shadow val="0"/>
        <u val="none"/>
        <vertAlign val="baseline"/>
        <color auto="1"/>
        <name val="Calibri"/>
        <scheme val="none"/>
      </font>
      <fill>
        <patternFill patternType="none">
          <fgColor rgb="FF000000"/>
          <bgColor auto="1"/>
        </patternFill>
      </fill>
      <alignment vertical="center" textRotation="0" indent="0" justifyLastLine="0" shrinkToFit="0" readingOrder="0"/>
      <protection locked="1" hidden="0"/>
    </dxf>
    <dxf>
      <border>
        <bottom style="medium">
          <color rgb="FFEAAD00"/>
        </bottom>
      </border>
    </dxf>
    <dxf>
      <font>
        <strike val="0"/>
        <outline val="0"/>
        <shadow val="0"/>
        <u val="none"/>
        <vertAlign val="baseline"/>
        <color rgb="FFEAAD00"/>
        <name val="Calibri"/>
        <scheme val="minor"/>
      </font>
      <fill>
        <patternFill patternType="none">
          <fgColor indexed="64"/>
          <bgColor auto="1"/>
        </patternFill>
      </fill>
      <alignment horizontal="center" vertical="center" textRotation="0" wrapText="1" indent="0" justifyLastLine="0" shrinkToFit="0" readingOrder="0"/>
      <border diagonalUp="0" diagonalDown="0">
        <left/>
        <right/>
        <top/>
        <bottom/>
      </border>
      <protection locked="1" hidden="0"/>
    </dxf>
    <dxf>
      <font>
        <strike val="0"/>
        <outline val="0"/>
        <shadow val="0"/>
        <u val="none"/>
        <vertAlign val="baseline"/>
        <sz val="11"/>
        <color rgb="FFEAAD00"/>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left style="medium">
          <color theme="9"/>
        </left>
        <right/>
        <top/>
        <bottom/>
      </border>
      <protection locked="1"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horizontal="right" vertical="center" textRotation="0" wrapText="0" indent="0" justifyLastLine="0" shrinkToFit="0" readingOrder="0"/>
      <border diagonalUp="0" diagonalDown="0">
        <left/>
        <right style="medium">
          <color rgb="FFEAAD00"/>
        </right>
        <top/>
        <bottom/>
      </border>
      <protection locked="1"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horizontal="right" vertical="center" textRotation="0" wrapText="0" indent="0" justifyLastLine="0" shrinkToFit="0" readingOrder="0"/>
      <border diagonalUp="0" diagonalDown="0">
        <left style="medium">
          <color rgb="FFEAAD00"/>
        </left>
        <right/>
        <top/>
        <bottom/>
      </border>
      <protection locked="1"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horizontal="right" vertical="center" textRotation="0" wrapText="0" indent="0" justifyLastLine="0" shrinkToFit="0" readingOrder="0"/>
      <border diagonalUp="0" diagonalDown="0">
        <left/>
        <right style="medium">
          <color rgb="FFEAAD00"/>
        </right>
        <top/>
        <bottom/>
      </border>
      <protection locked="1"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horizontal="right" vertical="center" textRotation="0" wrapText="0" indent="0" justifyLastLine="0" shrinkToFit="0" readingOrder="0"/>
      <protection locked="1" hidden="0"/>
    </dxf>
    <dxf>
      <font>
        <strike val="0"/>
        <outline val="0"/>
        <shadow val="0"/>
        <u val="none"/>
        <vertAlign val="baseline"/>
        <color auto="1"/>
        <name val="Calibri"/>
        <scheme val="minor"/>
      </font>
      <numFmt numFmtId="166" formatCode="_(* #,##0_);_(* \(#,##0\);_(* &quot;-&quot;??_);_(@_)"/>
      <fill>
        <patternFill patternType="none">
          <fgColor indexed="64"/>
          <bgColor indexed="65"/>
        </patternFill>
      </fill>
      <alignment horizontal="right" vertical="center" textRotation="0" wrapText="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indexed="65"/>
        </patternFill>
      </fill>
      <alignment horizontal="right" vertical="center" textRotation="0" wrapText="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indexed="65"/>
        </patternFill>
      </fill>
      <alignment horizontal="right" vertical="center" textRotation="0" wrapText="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indexed="65"/>
        </patternFill>
      </fill>
      <alignment horizontal="right" vertical="center" textRotation="0" wrapText="0" indent="0" justifyLastLine="0" shrinkToFit="0" readingOrder="0"/>
      <protection locked="0" hidden="0"/>
    </dxf>
    <dxf>
      <font>
        <strike val="0"/>
        <outline val="0"/>
        <shadow val="0"/>
        <u val="none"/>
        <vertAlign val="baseline"/>
        <color auto="1"/>
        <name val="Calibri"/>
        <scheme val="minor"/>
      </font>
      <fill>
        <patternFill patternType="none">
          <fgColor indexed="64"/>
          <bgColor indexed="65"/>
        </patternFill>
      </fill>
      <alignment horizontal="right" vertical="center" textRotation="0" wrapText="0" indent="0" justifyLastLine="0" shrinkToFit="0" readingOrder="0"/>
      <border diagonalUp="0" diagonalDown="0">
        <left style="medium">
          <color rgb="FFEAAD00"/>
        </left>
        <right/>
        <top/>
        <bottom/>
        <vertical/>
        <horizontal/>
      </border>
      <protection locked="0"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horizontal="right" vertical="center" textRotation="0" wrapText="0" indent="0" justifyLastLine="0" shrinkToFit="0" readingOrder="0"/>
      <protection locked="1"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horizontal="right" vertical="center" textRotation="0" wrapText="0" indent="0" justifyLastLine="0" shrinkToFit="0" readingOrder="0"/>
      <protection locked="1" hidden="0"/>
    </dxf>
    <dxf>
      <font>
        <strike val="0"/>
        <outline val="0"/>
        <shadow val="0"/>
        <u val="none"/>
        <vertAlign val="baseline"/>
        <color auto="1"/>
        <name val="Calibri"/>
        <scheme val="minor"/>
      </font>
      <numFmt numFmtId="166" formatCode="_(* #,##0_);_(* \(#,##0\);_(* &quot;-&quot;??_);_(@_)"/>
      <fill>
        <patternFill patternType="none">
          <fgColor indexed="64"/>
          <bgColor indexed="65"/>
        </patternFill>
      </fill>
      <alignment horizontal="right" vertical="center" textRotation="0" wrapText="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indexed="65"/>
        </patternFill>
      </fill>
      <alignment horizontal="right" vertical="center" textRotation="0" wrapText="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indexed="65"/>
        </patternFill>
      </fill>
      <alignment horizontal="right" vertical="center" textRotation="0" wrapText="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indexed="65"/>
        </patternFill>
      </fill>
      <alignment horizontal="right" vertical="center" textRotation="0" wrapText="0" indent="0" justifyLastLine="0" shrinkToFit="0" readingOrder="0"/>
      <protection locked="0" hidden="0"/>
    </dxf>
    <dxf>
      <font>
        <strike val="0"/>
        <outline val="0"/>
        <shadow val="0"/>
        <u val="none"/>
        <vertAlign val="baseline"/>
        <color auto="1"/>
        <name val="Calibri"/>
        <scheme val="minor"/>
      </font>
      <fill>
        <patternFill patternType="none">
          <fgColor indexed="64"/>
          <bgColor indexed="65"/>
        </patternFill>
      </fill>
      <alignment horizontal="right" vertical="center" textRotation="0" wrapText="0" indent="0" justifyLastLine="0" shrinkToFit="0" readingOrder="0"/>
      <border diagonalUp="0" diagonalDown="0">
        <left style="medium">
          <color rgb="FFEAAD00"/>
        </left>
        <right/>
        <top/>
        <bottom/>
        <vertical/>
        <horizontal/>
      </border>
      <protection locked="0"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horizontal="right" vertical="center" textRotation="0" wrapText="0" indent="0" justifyLastLine="0" shrinkToFit="0" readingOrder="0"/>
      <border diagonalUp="0" diagonalDown="0">
        <left/>
        <right style="medium">
          <color rgb="FFEAAD00"/>
        </right>
        <top/>
        <bottom/>
      </border>
      <protection locked="1" hidden="0"/>
    </dxf>
    <dxf>
      <font>
        <strike val="0"/>
        <outline val="0"/>
        <shadow val="0"/>
        <u val="none"/>
        <vertAlign val="baseline"/>
        <sz val="11"/>
        <color rgb="FFEAAD00"/>
        <name val="Calibri"/>
        <scheme val="minor"/>
      </font>
      <numFmt numFmtId="166" formatCode="_(* #,##0_);_(* \(#,##0\);_(* &quot;-&quot;??_);_(@_)"/>
      <fill>
        <patternFill patternType="none">
          <fgColor indexed="64"/>
          <bgColor auto="1"/>
        </patternFill>
      </fill>
      <alignment horizontal="right" vertical="center" textRotation="0" wrapText="0" indent="0" justifyLastLine="0" shrinkToFit="0" readingOrder="0"/>
      <protection locked="1"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horizontal="right" vertical="center" textRotation="0" wrapText="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horizontal="right" vertical="center" textRotation="0" wrapText="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horizontal="right" vertical="center" textRotation="0" wrapText="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none">
          <fgColor indexed="64"/>
          <bgColor auto="1"/>
        </patternFill>
      </fill>
      <alignment horizontal="right" vertical="center" textRotation="0" wrapText="0" indent="0" justifyLastLine="0" shrinkToFit="0" readingOrder="0"/>
      <protection locked="0" hidden="0"/>
    </dxf>
    <dxf>
      <font>
        <strike val="0"/>
        <outline val="0"/>
        <shadow val="0"/>
        <u val="none"/>
        <vertAlign val="baseline"/>
        <color auto="1"/>
        <name val="Calibri"/>
        <scheme val="minor"/>
      </font>
      <fill>
        <patternFill patternType="none">
          <fgColor indexed="64"/>
          <bgColor auto="1"/>
        </patternFill>
      </fill>
      <alignment horizontal="right" vertical="center" textRotation="0" wrapText="0" indent="0" justifyLastLine="0" shrinkToFit="0" readingOrder="0"/>
      <border diagonalUp="0" diagonalDown="0" outline="0">
        <left style="medium">
          <color rgb="FFEAAD00"/>
        </left>
        <right/>
        <top/>
        <bottom/>
      </border>
      <protection locked="0" hidden="0"/>
    </dxf>
    <dxf>
      <border diagonalUp="0" diagonalDown="0">
        <left style="medium">
          <color rgb="FFEAAD00"/>
        </left>
        <right style="medium">
          <color rgb="FFEAAD00"/>
        </right>
        <top style="thin">
          <color rgb="FFEAAD00"/>
        </top>
        <bottom style="medium">
          <color rgb="FFEAAD00"/>
        </bottom>
      </border>
    </dxf>
    <dxf>
      <font>
        <strike val="0"/>
        <outline val="0"/>
        <shadow val="0"/>
        <u val="none"/>
        <vertAlign val="baseline"/>
        <color auto="1"/>
        <name val="Calibri"/>
        <scheme val="none"/>
      </font>
      <fill>
        <patternFill patternType="none">
          <fgColor rgb="FF000000"/>
          <bgColor auto="1"/>
        </patternFill>
      </fill>
      <alignment horizontal="left" vertical="center" textRotation="0" wrapText="0" indent="0" justifyLastLine="0" shrinkToFit="0" readingOrder="0"/>
      <protection locked="1" hidden="0"/>
    </dxf>
    <dxf>
      <border>
        <bottom style="medium">
          <color rgb="FFEAAD00"/>
        </bottom>
      </border>
    </dxf>
    <dxf>
      <font>
        <strike val="0"/>
        <outline val="0"/>
        <shadow val="0"/>
        <u val="none"/>
        <vertAlign val="baseline"/>
        <color rgb="FFEAAD00"/>
        <name val="Calibri"/>
        <scheme val="minor"/>
      </font>
      <alignment horizontal="center" vertical="center" textRotation="0" wrapText="1" indent="0" justifyLastLine="0" shrinkToFit="0" readingOrder="0"/>
      <border diagonalUp="0" diagonalDown="0">
        <left/>
        <right/>
        <top/>
        <bottom/>
      </border>
      <protection locked="1" hidden="0"/>
    </dxf>
    <dxf>
      <fill>
        <patternFill>
          <bgColor rgb="FFFF0000"/>
        </patternFill>
      </fill>
    </dxf>
    <dxf>
      <fill>
        <patternFill>
          <bgColor theme="7" tint="0.79998168889431442"/>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0000"/>
        </patternFill>
      </fill>
    </dxf>
    <dxf>
      <fill>
        <patternFill>
          <bgColor theme="7" tint="0.79998168889431442"/>
        </patternFill>
      </fill>
    </dxf>
    <dxf>
      <fill>
        <patternFill>
          <bgColor rgb="FFFF0000"/>
        </patternFill>
      </fill>
    </dxf>
    <dxf>
      <fill>
        <patternFill>
          <bgColor theme="0"/>
        </patternFill>
      </fill>
    </dxf>
    <dxf>
      <fill>
        <patternFill>
          <bgColor rgb="FFFF0000"/>
        </patternFill>
      </fill>
    </dxf>
    <dxf>
      <fill>
        <patternFill>
          <bgColor theme="7" tint="0.79998168889431442"/>
        </patternFill>
      </fill>
    </dxf>
    <dxf>
      <fill>
        <patternFill>
          <bgColor rgb="FFFF0000"/>
        </patternFill>
      </fill>
    </dxf>
    <dxf>
      <fill>
        <patternFill>
          <bgColor theme="0"/>
        </patternFill>
      </fill>
    </dxf>
    <dxf>
      <fill>
        <patternFill>
          <bgColor rgb="FFFF0000"/>
        </patternFill>
      </fill>
    </dxf>
    <dxf>
      <fill>
        <patternFill>
          <bgColor theme="7" tint="0.79998168889431442"/>
        </patternFill>
      </fill>
    </dxf>
    <dxf>
      <fill>
        <patternFill>
          <bgColor rgb="FFFF0000"/>
        </patternFill>
      </fill>
    </dxf>
    <dxf>
      <fill>
        <patternFill>
          <bgColor theme="0"/>
        </patternFill>
      </fill>
    </dxf>
    <dxf>
      <fill>
        <patternFill>
          <bgColor rgb="FFFF0000"/>
        </patternFill>
      </fill>
    </dxf>
    <dxf>
      <fill>
        <patternFill>
          <bgColor theme="7" tint="0.79998168889431442"/>
        </patternFill>
      </fill>
    </dxf>
    <dxf>
      <fill>
        <patternFill>
          <bgColor rgb="FFFF0000"/>
        </patternFill>
      </fill>
    </dxf>
    <dxf>
      <fill>
        <patternFill>
          <bgColor theme="0"/>
        </patternFill>
      </fill>
    </dxf>
    <dxf>
      <fill>
        <patternFill>
          <bgColor rgb="FFFF0000"/>
        </patternFill>
      </fill>
    </dxf>
    <dxf>
      <fill>
        <patternFill>
          <bgColor theme="7" tint="0.79998168889431442"/>
        </patternFill>
      </fill>
    </dxf>
    <dxf>
      <fill>
        <patternFill>
          <bgColor rgb="FFFF0000"/>
        </patternFill>
      </fill>
    </dxf>
    <dxf>
      <fill>
        <patternFill>
          <bgColor rgb="FFFF0000"/>
        </patternFill>
      </fill>
    </dxf>
    <dxf>
      <fill>
        <patternFill>
          <bgColor rgb="FFFF0000"/>
        </patternFill>
      </fill>
      <border>
        <left style="thin">
          <color auto="1"/>
        </left>
        <right style="thin">
          <color auto="1"/>
        </right>
        <top style="thin">
          <color auto="1"/>
        </top>
        <bottom style="thin">
          <color auto="1"/>
        </bottom>
        <vertical/>
        <horizontal/>
      </border>
    </dxf>
    <dxf>
      <fill>
        <patternFill>
          <bgColor theme="5" tint="-0.24994659260841701"/>
        </patternFill>
      </fill>
      <border>
        <left style="thin">
          <color auto="1"/>
        </left>
        <right style="thin">
          <color auto="1"/>
        </right>
        <top style="thin">
          <color auto="1"/>
        </top>
        <bottom style="thin">
          <color auto="1"/>
        </bottom>
      </border>
    </dxf>
    <dxf>
      <fill>
        <patternFill>
          <bgColor theme="5" tint="-0.24994659260841701"/>
        </patternFill>
      </fill>
      <border>
        <left style="thin">
          <color auto="1"/>
        </left>
        <right style="thin">
          <color auto="1"/>
        </right>
        <top style="thin">
          <color auto="1"/>
        </top>
        <bottom style="thin">
          <color auto="1"/>
        </bottom>
      </border>
    </dxf>
    <dxf>
      <fill>
        <patternFill>
          <bgColor rgb="FFFFC000"/>
        </patternFill>
      </fill>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C000"/>
        </patternFill>
      </fill>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theme="4" tint="0.79998168889431442"/>
        </patternFill>
      </fill>
      <border>
        <left style="thin">
          <color rgb="FFFF0000"/>
        </left>
        <right style="thin">
          <color rgb="FFFF0000"/>
        </right>
        <top style="thin">
          <color rgb="FFFF0000"/>
        </top>
        <bottom style="thin">
          <color rgb="FFFF0000"/>
        </bottom>
      </border>
    </dxf>
    <dxf>
      <fill>
        <patternFill>
          <bgColor rgb="FFFF0000"/>
        </patternFill>
      </fill>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border>
    </dxf>
    <dxf>
      <font>
        <strike val="0"/>
        <outline val="0"/>
        <shadow val="0"/>
        <u val="none"/>
        <vertAlign val="baseline"/>
        <sz val="11"/>
        <color theme="9"/>
        <name val="Calibri"/>
        <scheme val="minor"/>
      </font>
      <numFmt numFmtId="0" formatCode="General"/>
      <alignment horizontal="right" vertical="center" textRotation="0" wrapText="0" indent="0" justifyLastLine="0" shrinkToFit="0" readingOrder="0"/>
      <protection locked="1" hidden="0"/>
    </dxf>
    <dxf>
      <font>
        <strike val="0"/>
        <outline val="0"/>
        <shadow val="0"/>
        <u val="none"/>
        <vertAlign val="baseline"/>
        <sz val="11"/>
        <color theme="9"/>
        <name val="Calibri"/>
        <scheme val="minor"/>
      </font>
      <alignment horizontal="right" vertical="center" textRotation="0" wrapText="0" indent="0" justifyLastLine="0" shrinkToFit="0" readingOrder="0"/>
      <protection locked="1" hidden="0"/>
    </dxf>
    <dxf>
      <font>
        <strike val="0"/>
        <outline val="0"/>
        <shadow val="0"/>
        <u val="none"/>
        <vertAlign val="baseline"/>
        <sz val="11"/>
        <color theme="9"/>
        <name val="Calibri"/>
        <scheme val="minor"/>
      </font>
      <numFmt numFmtId="166" formatCode="_(* #,##0_);_(* \(#,##0\);_(* &quot;-&quot;??_);_(@_)"/>
      <alignment horizontal="right" vertical="center" textRotation="0" wrapText="0" indent="0" justifyLastLine="0" shrinkToFit="0" readingOrder="0"/>
      <protection locked="1" hidden="0"/>
    </dxf>
    <dxf>
      <font>
        <strike val="0"/>
        <outline val="0"/>
        <shadow val="0"/>
        <u val="none"/>
        <vertAlign val="baseline"/>
        <sz val="11"/>
        <color theme="9"/>
        <name val="Calibri"/>
        <scheme val="minor"/>
      </font>
      <alignment vertical="center" textRotation="0" indent="0" justifyLastLine="0" shrinkToFit="0" readingOrder="0"/>
      <protection locked="1" hidden="0"/>
    </dxf>
    <dxf>
      <font>
        <strike val="0"/>
        <outline val="0"/>
        <shadow val="0"/>
        <u val="none"/>
        <vertAlign val="baseline"/>
        <sz val="11"/>
        <color theme="9"/>
        <name val="Calibri"/>
        <scheme val="minor"/>
      </font>
      <numFmt numFmtId="166" formatCode="_(* #,##0_);_(* \(#,##0\);_(* &quot;-&quot;??_);_(@_)"/>
      <alignment vertical="center" textRotation="0" indent="0" justifyLastLine="0" shrinkToFit="0" readingOrder="0"/>
      <protection locked="1" hidden="0"/>
    </dxf>
    <dxf>
      <font>
        <strike val="0"/>
        <outline val="0"/>
        <shadow val="0"/>
        <u val="none"/>
        <vertAlign val="baseline"/>
        <sz val="11"/>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1"/>
        <color auto="1"/>
        <name val="Calibri"/>
        <scheme val="minor"/>
      </font>
      <alignment vertical="center" textRotation="0" indent="0" justifyLastLine="0" shrinkToFit="0" readingOrder="0"/>
      <protection locked="0" hidden="0"/>
    </dxf>
    <dxf>
      <font>
        <strike val="0"/>
        <outline val="0"/>
        <shadow val="0"/>
        <u val="none"/>
        <vertAlign val="baseline"/>
        <sz val="11"/>
        <color theme="9"/>
        <name val="Calibri"/>
        <scheme val="minor"/>
      </font>
      <alignment vertical="center" textRotation="0" indent="0" justifyLastLine="0" shrinkToFit="0" readingOrder="0"/>
      <protection locked="1" hidden="0"/>
    </dxf>
    <dxf>
      <font>
        <strike val="0"/>
        <outline val="0"/>
        <shadow val="0"/>
        <u val="none"/>
        <vertAlign val="baseline"/>
        <sz val="11"/>
        <color theme="9"/>
        <name val="Calibri"/>
        <scheme val="minor"/>
      </font>
      <numFmt numFmtId="166" formatCode="_(* #,##0_);_(* \(#,##0\);_(* &quot;-&quot;??_);_(@_)"/>
      <alignment horizontal="general" vertical="center" textRotation="0" wrapText="0" indent="0" justifyLastLine="0" shrinkToFit="0" readingOrder="0"/>
      <protection locked="1" hidden="0"/>
    </dxf>
    <dxf>
      <font>
        <strike val="0"/>
        <outline val="0"/>
        <shadow val="0"/>
        <u val="none"/>
        <vertAlign val="baseline"/>
        <sz val="11"/>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sz val="11"/>
        <color auto="1"/>
        <name val="Calibri"/>
        <scheme val="minor"/>
      </font>
      <alignment vertical="center" textRotation="0" indent="0" justifyLastLine="0" shrinkToFit="0" readingOrder="0"/>
      <protection locked="0" hidden="0"/>
    </dxf>
    <dxf>
      <font>
        <strike val="0"/>
        <outline val="0"/>
        <shadow val="0"/>
        <u val="none"/>
        <vertAlign val="baseline"/>
        <sz val="11"/>
        <color theme="9"/>
        <name val="Calibri"/>
        <scheme val="minor"/>
      </font>
      <alignment vertical="center" textRotation="0" indent="0" justifyLastLine="0" shrinkToFit="0" readingOrder="0"/>
      <protection locked="1" hidden="0"/>
    </dxf>
    <dxf>
      <font>
        <strike val="0"/>
        <outline val="0"/>
        <shadow val="0"/>
        <u val="none"/>
        <vertAlign val="baseline"/>
        <sz val="11"/>
        <color theme="9"/>
        <name val="Calibri"/>
        <scheme val="minor"/>
      </font>
      <numFmt numFmtId="166" formatCode="_(* #,##0_);_(* \(#,##0\);_(* &quot;-&quot;??_);_(@_)"/>
      <alignment horizontal="general" vertical="center" textRotation="0" wrapText="0" indent="0" justifyLastLine="0" shrinkToFit="0" readingOrder="0"/>
      <protection locked="1" hidden="0"/>
    </dxf>
    <dxf>
      <font>
        <strike val="0"/>
        <outline val="0"/>
        <shadow val="0"/>
        <u val="none"/>
        <vertAlign val="baseline"/>
        <sz val="11"/>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sz val="11"/>
        <color auto="1"/>
        <name val="Calibri"/>
        <scheme val="minor"/>
      </font>
      <alignment vertical="center" textRotation="0" indent="0" justifyLastLine="0" shrinkToFit="0" readingOrder="0"/>
      <protection locked="0" hidden="0"/>
    </dxf>
    <dxf>
      <border outline="0">
        <left style="medium">
          <color rgb="FF70AD47"/>
        </left>
        <right style="medium">
          <color rgb="FF70AD47"/>
        </right>
        <bottom style="medium">
          <color rgb="FF70AD47"/>
        </bottom>
      </border>
    </dxf>
    <dxf>
      <font>
        <strike val="0"/>
        <outline val="0"/>
        <shadow val="0"/>
        <u val="none"/>
        <vertAlign val="baseline"/>
        <color auto="1"/>
        <name val="Calibri"/>
        <scheme val="minor"/>
      </font>
      <alignment vertical="center" textRotation="0" indent="0" justifyLastLine="0" shrinkToFit="0" readingOrder="0"/>
      <protection locked="1" hidden="0"/>
    </dxf>
    <dxf>
      <border outline="0">
        <bottom style="medium">
          <color rgb="FF70AD47"/>
        </bottom>
      </border>
    </dxf>
    <dxf>
      <font>
        <strike val="0"/>
        <outline val="0"/>
        <shadow val="0"/>
        <u val="none"/>
        <vertAlign val="baseline"/>
        <color theme="9"/>
        <name val="Calibri"/>
        <scheme val="minor"/>
      </font>
      <alignment horizontal="center" vertical="center" textRotation="0" wrapText="1" indent="0" justifyLastLine="0" shrinkToFit="0" readingOrder="0"/>
      <protection locked="1" hidden="0"/>
    </dxf>
    <dxf>
      <font>
        <strike val="0"/>
        <outline val="0"/>
        <shadow val="0"/>
        <u val="none"/>
        <vertAlign val="baseline"/>
        <sz val="11"/>
        <color theme="9"/>
        <name val="Calibri"/>
        <scheme val="minor"/>
      </font>
      <numFmt numFmtId="0" formatCode="General"/>
      <alignment horizontal="right" vertical="center" textRotation="0" wrapText="0" indent="0" justifyLastLine="0" shrinkToFit="0" readingOrder="0"/>
      <protection locked="1" hidden="0"/>
    </dxf>
    <dxf>
      <font>
        <strike val="0"/>
        <outline val="0"/>
        <shadow val="0"/>
        <u val="none"/>
        <vertAlign val="baseline"/>
        <color theme="9"/>
        <name val="Calibri"/>
        <scheme val="minor"/>
      </font>
      <alignment vertical="center" textRotation="0" indent="0" justifyLastLine="0" shrinkToFit="0" readingOrder="0"/>
      <protection locked="1" hidden="0"/>
    </dxf>
    <dxf>
      <font>
        <strike val="0"/>
        <outline val="0"/>
        <shadow val="0"/>
        <u val="none"/>
        <vertAlign val="baseline"/>
        <color theme="9"/>
        <name val="Calibri"/>
        <scheme val="minor"/>
      </font>
      <numFmt numFmtId="166" formatCode="_(* #,##0_);_(* \(#,##0\);_(* &quot;-&quot;??_);_(@_)"/>
      <alignment vertical="center" textRotation="0" indent="0" justifyLastLine="0" shrinkToFit="0" readingOrder="0"/>
      <protection locked="1" hidden="0"/>
    </dxf>
    <dxf>
      <font>
        <strike val="0"/>
        <outline val="0"/>
        <shadow val="0"/>
        <u val="none"/>
        <vertAlign val="baseline"/>
        <color theme="9"/>
        <name val="Calibri"/>
        <scheme val="minor"/>
      </font>
      <alignment vertical="center" textRotation="0" indent="0" justifyLastLine="0" shrinkToFit="0" readingOrder="0"/>
      <protection locked="1" hidden="0"/>
    </dxf>
    <dxf>
      <font>
        <strike val="0"/>
        <outline val="0"/>
        <shadow val="0"/>
        <u val="none"/>
        <vertAlign val="baseline"/>
        <color theme="9"/>
        <name val="Calibri"/>
        <scheme val="minor"/>
      </font>
      <numFmt numFmtId="166" formatCode="_(* #,##0_);_(* \(#,##0\);_(* &quot;-&quot;??_);_(@_)"/>
      <alignment horizontal="general" vertical="center" textRotation="0" wrapText="0" indent="0" justifyLastLine="0" shrinkToFit="0" readingOrder="0"/>
      <protection locked="1" hidden="0"/>
    </dxf>
    <dxf>
      <font>
        <strike val="0"/>
        <outline val="0"/>
        <shadow val="0"/>
        <u val="none"/>
        <vertAlign val="baseline"/>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color auto="1"/>
        <name val="Calibri"/>
        <scheme val="minor"/>
      </font>
      <alignment vertical="center" textRotation="0" indent="0" justifyLastLine="0" shrinkToFit="0" readingOrder="0"/>
      <protection locked="0" hidden="0"/>
    </dxf>
    <dxf>
      <font>
        <strike val="0"/>
        <outline val="0"/>
        <shadow val="0"/>
        <u val="none"/>
        <vertAlign val="baseline"/>
        <color theme="9"/>
        <name val="Calibri"/>
        <scheme val="minor"/>
      </font>
      <alignment vertical="center" textRotation="0" indent="0" justifyLastLine="0" shrinkToFit="0" readingOrder="0"/>
      <border diagonalUp="0" diagonalDown="0">
        <left/>
        <right style="medium">
          <color theme="9"/>
        </right>
        <top style="medium">
          <color auto="1"/>
        </top>
        <bottom style="medium">
          <color auto="1"/>
        </bottom>
        <vertical/>
        <horizontal style="medium">
          <color auto="1"/>
        </horizontal>
      </border>
      <protection locked="1" hidden="0"/>
    </dxf>
    <dxf>
      <font>
        <strike val="0"/>
        <outline val="0"/>
        <shadow val="0"/>
        <u val="none"/>
        <vertAlign val="baseline"/>
        <color theme="9"/>
        <name val="Calibri"/>
        <scheme val="minor"/>
      </font>
      <numFmt numFmtId="166" formatCode="_(* #,##0_);_(* \(#,##0\);_(* &quot;-&quot;??_);_(@_)"/>
      <alignment horizontal="general" vertical="center" textRotation="0" wrapText="0" indent="0" justifyLastLine="0" shrinkToFit="0" readingOrder="0"/>
      <protection locked="1" hidden="0"/>
    </dxf>
    <dxf>
      <font>
        <strike val="0"/>
        <outline val="0"/>
        <shadow val="0"/>
        <u val="none"/>
        <vertAlign val="baseline"/>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color auto="1"/>
        <name val="Calibri"/>
        <scheme val="minor"/>
      </font>
      <alignment vertical="center" textRotation="0" indent="0" justifyLastLine="0" shrinkToFit="0" readingOrder="0"/>
      <protection locked="0" hidden="0"/>
    </dxf>
    <dxf>
      <font>
        <strike val="0"/>
        <outline val="0"/>
        <shadow val="0"/>
        <u val="none"/>
        <vertAlign val="baseline"/>
        <sz val="11"/>
        <color theme="9"/>
        <name val="Calibri"/>
        <scheme val="minor"/>
      </font>
      <alignment vertical="center" textRotation="0" indent="0" justifyLastLine="0" shrinkToFit="0" readingOrder="0"/>
      <protection locked="1" hidden="0"/>
    </dxf>
    <dxf>
      <font>
        <strike val="0"/>
        <outline val="0"/>
        <shadow val="0"/>
        <u val="none"/>
        <vertAlign val="baseline"/>
        <sz val="11"/>
        <color theme="9"/>
        <name val="Calibri"/>
        <scheme val="minor"/>
      </font>
      <numFmt numFmtId="166" formatCode="_(* #,##0_);_(* \(#,##0\);_(* &quot;-&quot;??_);_(@_)"/>
      <alignment vertical="center" textRotation="0" indent="0" justifyLastLine="0" shrinkToFit="0" readingOrder="0"/>
      <protection locked="1" hidden="0"/>
    </dxf>
    <dxf>
      <font>
        <strike val="0"/>
        <outline val="0"/>
        <shadow val="0"/>
        <u val="none"/>
        <vertAlign val="baseline"/>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color auto="1"/>
        <name val="Calibri"/>
        <scheme val="minor"/>
      </font>
      <alignment vertical="center" textRotation="0" indent="0" justifyLastLine="0" shrinkToFit="0" readingOrder="0"/>
      <protection locked="0" hidden="0"/>
    </dxf>
    <dxf>
      <border outline="0">
        <left style="medium">
          <color rgb="FF70AD47"/>
        </left>
        <right style="medium">
          <color rgb="FF70AD47"/>
        </right>
        <bottom style="medium">
          <color rgb="FF70AD47"/>
        </bottom>
      </border>
    </dxf>
    <dxf>
      <font>
        <strike val="0"/>
        <outline val="0"/>
        <shadow val="0"/>
        <u val="none"/>
        <vertAlign val="baseline"/>
        <color auto="1"/>
        <name val="Calibri"/>
        <scheme val="minor"/>
      </font>
      <alignment vertical="center" textRotation="0" indent="0" justifyLastLine="0" shrinkToFit="0" readingOrder="0"/>
      <protection locked="1" hidden="0"/>
    </dxf>
    <dxf>
      <border outline="0">
        <bottom style="medium">
          <color rgb="FF70AD47"/>
        </bottom>
      </border>
    </dxf>
    <dxf>
      <font>
        <strike val="0"/>
        <outline val="0"/>
        <shadow val="0"/>
        <u val="none"/>
        <vertAlign val="baseline"/>
        <color theme="9"/>
        <name val="Calibri"/>
        <scheme val="minor"/>
      </font>
      <alignment vertical="center" textRotation="0" wrapText="1" indent="0" justifyLastLine="0" shrinkToFit="0" readingOrder="0"/>
      <protection locked="1" hidden="0"/>
    </dxf>
    <dxf>
      <font>
        <strike val="0"/>
        <outline val="0"/>
        <shadow val="0"/>
        <u val="none"/>
        <vertAlign val="baseline"/>
        <color theme="9"/>
        <name val="Calibri"/>
        <scheme val="minor"/>
      </font>
      <numFmt numFmtId="0" formatCode="General"/>
      <alignment horizontal="right" vertical="center" textRotation="0" wrapText="0" indent="0" justifyLastLine="0" shrinkToFit="0" readingOrder="0"/>
      <protection locked="1" hidden="0"/>
    </dxf>
    <dxf>
      <font>
        <strike val="0"/>
        <outline val="0"/>
        <shadow val="0"/>
        <u val="none"/>
        <vertAlign val="baseline"/>
        <sz val="11"/>
        <color theme="9"/>
        <name val="Calibri"/>
        <scheme val="minor"/>
      </font>
      <alignment vertical="center" textRotation="0" indent="0" justifyLastLine="0" shrinkToFit="0" readingOrder="0"/>
      <border>
        <right style="medium">
          <color theme="9"/>
        </right>
      </border>
      <protection locked="1" hidden="0"/>
    </dxf>
    <dxf>
      <font>
        <strike val="0"/>
        <outline val="0"/>
        <shadow val="0"/>
        <u val="none"/>
        <vertAlign val="baseline"/>
        <sz val="11"/>
        <color theme="9"/>
        <name val="Calibri"/>
        <scheme val="minor"/>
      </font>
      <numFmt numFmtId="166" formatCode="_(* #,##0_);_(* \(#,##0\);_(* &quot;-&quot;??_);_(@_)"/>
      <alignment vertical="center" textRotation="0" indent="0" justifyLastLine="0" shrinkToFit="0" readingOrder="0"/>
      <protection locked="1" hidden="0"/>
    </dxf>
    <dxf>
      <font>
        <strike val="0"/>
        <outline val="0"/>
        <shadow val="0"/>
        <u val="none"/>
        <vertAlign val="baseline"/>
        <sz val="11"/>
        <color theme="9"/>
        <name val="Calibri"/>
        <scheme val="minor"/>
      </font>
      <alignment vertical="center" textRotation="0" indent="0" justifyLastLine="0" shrinkToFit="0" readingOrder="0"/>
      <protection locked="1" hidden="0"/>
    </dxf>
    <dxf>
      <font>
        <strike val="0"/>
        <outline val="0"/>
        <shadow val="0"/>
        <u val="none"/>
        <vertAlign val="baseline"/>
        <sz val="11"/>
        <color theme="9"/>
        <name val="Calibri"/>
        <scheme val="minor"/>
      </font>
      <numFmt numFmtId="166" formatCode="_(* #,##0_);_(* \(#,##0\);_(* &quot;-&quot;??_);_(@_)"/>
      <alignment horizontal="general" vertical="center" textRotation="0" wrapText="0" indent="0" justifyLastLine="0" shrinkToFit="0" readingOrder="0"/>
      <protection locked="1" hidden="0"/>
    </dxf>
    <dxf>
      <font>
        <strike val="0"/>
        <outline val="0"/>
        <shadow val="0"/>
        <u val="none"/>
        <vertAlign val="baseline"/>
        <sz val="11"/>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sz val="11"/>
        <color auto="1"/>
        <name val="Calibri"/>
        <scheme val="minor"/>
      </font>
      <alignment vertical="center" textRotation="0" indent="0" justifyLastLine="0" shrinkToFit="0" readingOrder="0"/>
      <protection locked="0" hidden="0"/>
    </dxf>
    <dxf>
      <font>
        <strike val="0"/>
        <outline val="0"/>
        <shadow val="0"/>
        <u val="none"/>
        <vertAlign val="baseline"/>
        <sz val="11"/>
        <color theme="9"/>
        <name val="Calibri"/>
        <scheme val="minor"/>
      </font>
      <alignment vertical="center" textRotation="0" indent="0" justifyLastLine="0" shrinkToFit="0" readingOrder="0"/>
      <protection locked="1" hidden="0"/>
    </dxf>
    <dxf>
      <font>
        <strike val="0"/>
        <outline val="0"/>
        <shadow val="0"/>
        <u val="none"/>
        <vertAlign val="baseline"/>
        <sz val="11"/>
        <color theme="9"/>
        <name val="Calibri"/>
        <scheme val="minor"/>
      </font>
      <numFmt numFmtId="166" formatCode="_(* #,##0_);_(* \(#,##0\);_(* &quot;-&quot;??_);_(@_)"/>
      <alignment horizontal="general" vertical="center" textRotation="0" wrapText="0" indent="0" justifyLastLine="0" shrinkToFit="0" readingOrder="0"/>
      <protection locked="1" hidden="0"/>
    </dxf>
    <dxf>
      <font>
        <strike val="0"/>
        <outline val="0"/>
        <shadow val="0"/>
        <u val="none"/>
        <vertAlign val="baseline"/>
        <sz val="11"/>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horizontal="general" vertical="center" textRotation="0" wrapText="0" indent="0" justifyLastLine="0" shrinkToFit="0" readingOrder="0"/>
      <protection locked="0" hidden="0"/>
    </dxf>
    <dxf>
      <font>
        <strike val="0"/>
        <outline val="0"/>
        <shadow val="0"/>
        <u val="none"/>
        <vertAlign val="baseline"/>
        <sz val="11"/>
        <color auto="1"/>
        <name val="Calibri"/>
        <scheme val="minor"/>
      </font>
      <alignment vertical="center" textRotation="0" indent="0" justifyLastLine="0" shrinkToFit="0" readingOrder="0"/>
      <protection locked="0" hidden="0"/>
    </dxf>
    <dxf>
      <font>
        <strike val="0"/>
        <outline val="0"/>
        <shadow val="0"/>
        <u val="none"/>
        <vertAlign val="baseline"/>
        <sz val="11"/>
        <color theme="9"/>
        <name val="Calibri"/>
        <scheme val="minor"/>
      </font>
      <alignment vertical="center" textRotation="0" indent="0" justifyLastLine="0" shrinkToFit="0" readingOrder="0"/>
      <protection locked="1" hidden="0"/>
    </dxf>
    <dxf>
      <font>
        <strike val="0"/>
        <outline val="0"/>
        <shadow val="0"/>
        <u val="none"/>
        <vertAlign val="baseline"/>
        <sz val="11"/>
        <color theme="9"/>
        <name val="Calibri"/>
        <scheme val="minor"/>
      </font>
      <numFmt numFmtId="166" formatCode="_(* #,##0_);_(* \(#,##0\);_(* &quot;-&quot;??_);_(@_)"/>
      <alignment vertical="center" textRotation="0" indent="0" justifyLastLine="0" shrinkToFit="0" readingOrder="0"/>
      <protection locked="1" hidden="0"/>
    </dxf>
    <dxf>
      <font>
        <strike val="0"/>
        <outline val="0"/>
        <shadow val="0"/>
        <u val="none"/>
        <vertAlign val="baseline"/>
        <sz val="11"/>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1"/>
        <color auto="1"/>
        <name val="Calibri"/>
        <scheme val="minor"/>
      </font>
      <alignment vertical="center" textRotation="0" indent="0" justifyLastLine="0" shrinkToFit="0" readingOrder="0"/>
      <protection locked="0" hidden="0"/>
    </dxf>
    <dxf>
      <border outline="0">
        <left style="medium">
          <color rgb="FF70AD47"/>
        </left>
        <right style="medium">
          <color rgb="FF70AD47"/>
        </right>
        <bottom style="medium">
          <color rgb="FF70AD47"/>
        </bottom>
      </border>
    </dxf>
    <dxf>
      <font>
        <strike val="0"/>
        <outline val="0"/>
        <shadow val="0"/>
        <u val="none"/>
        <vertAlign val="baseline"/>
        <color auto="1"/>
        <name val="Calibri"/>
        <scheme val="minor"/>
      </font>
      <alignment vertical="center" textRotation="0" indent="0" justifyLastLine="0" shrinkToFit="0" readingOrder="0"/>
      <protection locked="1" hidden="0"/>
    </dxf>
    <dxf>
      <border outline="0">
        <bottom style="medium">
          <color rgb="FF70AD47"/>
        </bottom>
      </border>
    </dxf>
    <dxf>
      <font>
        <strike val="0"/>
        <outline val="0"/>
        <shadow val="0"/>
        <u val="none"/>
        <vertAlign val="baseline"/>
        <color theme="9"/>
        <name val="Calibri"/>
        <scheme val="minor"/>
      </font>
      <alignment vertical="center" textRotation="0" wrapText="1" indent="0" justifyLastLine="0" shrinkToFit="0" readingOrder="0"/>
      <protection locked="1" hidden="0"/>
    </dxf>
    <dxf>
      <font>
        <strike val="0"/>
        <outline val="0"/>
        <shadow val="0"/>
        <u val="none"/>
        <vertAlign val="baseline"/>
        <sz val="11"/>
        <color theme="9"/>
        <name val="Calibri"/>
        <scheme val="minor"/>
      </font>
      <numFmt numFmtId="0" formatCode="General"/>
      <alignment horizontal="right" vertical="center" textRotation="0" wrapText="0" indent="0" justifyLastLine="0" shrinkToFit="0" readingOrder="0"/>
      <border diagonalUp="0" diagonalDown="0">
        <left style="medium">
          <color theme="9"/>
        </left>
        <right style="medium">
          <color theme="9"/>
        </right>
        <top/>
        <bottom/>
      </border>
      <protection locked="1" hidden="0"/>
    </dxf>
    <dxf>
      <font>
        <strike val="0"/>
        <outline val="0"/>
        <shadow val="0"/>
        <u val="none"/>
        <vertAlign val="baseline"/>
        <sz val="11"/>
        <color theme="9"/>
        <name val="Calibri"/>
        <scheme val="minor"/>
      </font>
      <alignment vertical="center" textRotation="0" indent="0" justifyLastLine="0" shrinkToFit="0" readingOrder="0"/>
      <protection locked="1" hidden="0"/>
    </dxf>
    <dxf>
      <font>
        <strike val="0"/>
        <outline val="0"/>
        <shadow val="0"/>
        <u val="none"/>
        <vertAlign val="baseline"/>
        <sz val="11"/>
        <color theme="9"/>
        <name val="Calibri"/>
        <scheme val="minor"/>
      </font>
      <numFmt numFmtId="166" formatCode="_(* #,##0_);_(* \(#,##0\);_(* &quot;-&quot;??_);_(@_)"/>
      <alignment vertical="center" textRotation="0" indent="0" justifyLastLine="0" shrinkToFit="0" readingOrder="0"/>
      <protection locked="1" hidden="0"/>
    </dxf>
    <dxf>
      <font>
        <strike val="0"/>
        <outline val="0"/>
        <shadow val="0"/>
        <u val="none"/>
        <vertAlign val="baseline"/>
        <sz val="11"/>
        <color theme="9"/>
        <name val="Calibri"/>
        <scheme val="minor"/>
      </font>
      <fill>
        <patternFill patternType="solid">
          <fgColor indexed="64"/>
          <bgColor theme="9" tint="0.79998168889431442"/>
        </patternFill>
      </fill>
      <alignment vertical="center" textRotation="0" indent="0" justifyLastLine="0" shrinkToFit="0" readingOrder="0"/>
      <border diagonalUp="0" diagonalDown="0">
        <left/>
        <right style="medium">
          <color theme="9"/>
        </right>
        <top/>
        <bottom/>
      </border>
      <protection locked="1" hidden="0"/>
    </dxf>
    <dxf>
      <font>
        <strike val="0"/>
        <outline val="0"/>
        <shadow val="0"/>
        <u val="none"/>
        <vertAlign val="baseline"/>
        <sz val="11"/>
        <color theme="9"/>
        <name val="Calibri"/>
        <scheme val="minor"/>
      </font>
      <numFmt numFmtId="166" formatCode="_(* #,##0_);_(* \(#,##0\);_(* &quot;-&quot;??_);_(@_)"/>
      <fill>
        <patternFill patternType="solid">
          <fgColor indexed="64"/>
          <bgColor theme="9" tint="0.79998168889431442"/>
        </patternFill>
      </fill>
      <alignment vertical="center" textRotation="0" indent="0" justifyLastLine="0" shrinkToFit="0" readingOrder="0"/>
      <protection locked="1" hidden="0"/>
    </dxf>
    <dxf>
      <font>
        <strike val="0"/>
        <outline val="0"/>
        <shadow val="0"/>
        <u val="none"/>
        <vertAlign val="baseline"/>
        <color auto="1"/>
        <name val="Calibri"/>
        <scheme val="minor"/>
      </font>
      <numFmt numFmtId="166" formatCode="_(* #,##0_);_(* \(#,##0\);_(* &quot;-&quot;??_);_(@_)"/>
      <fill>
        <patternFill patternType="solid">
          <fgColor indexed="64"/>
          <bgColor theme="9" tint="0.79998168889431442"/>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solid">
          <fgColor indexed="64"/>
          <bgColor theme="9" tint="0.79998168889431442"/>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solid">
          <fgColor indexed="64"/>
          <bgColor theme="9" tint="0.79998168889431442"/>
        </patternFill>
      </fill>
      <alignment vertical="center" textRotation="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solid">
          <fgColor indexed="64"/>
          <bgColor theme="9" tint="0.79998168889431442"/>
        </patternFill>
      </fill>
      <alignment vertical="center" textRotation="0" indent="0" justifyLastLine="0" shrinkToFit="0" readingOrder="0"/>
      <protection locked="0" hidden="0"/>
    </dxf>
    <dxf>
      <font>
        <strike val="0"/>
        <outline val="0"/>
        <shadow val="0"/>
        <u val="none"/>
        <vertAlign val="baseline"/>
        <color auto="1"/>
        <name val="Calibri"/>
        <scheme val="minor"/>
      </font>
      <fill>
        <patternFill patternType="solid">
          <fgColor indexed="64"/>
          <bgColor theme="9" tint="0.79998168889431442"/>
        </patternFill>
      </fill>
      <alignment vertical="center" textRotation="0" indent="0" justifyLastLine="0" shrinkToFit="0" readingOrder="0"/>
      <protection locked="0" hidden="0"/>
    </dxf>
    <dxf>
      <font>
        <strike val="0"/>
        <outline val="0"/>
        <shadow val="0"/>
        <u val="none"/>
        <vertAlign val="baseline"/>
        <color theme="9"/>
        <name val="Calibri"/>
        <scheme val="minor"/>
      </font>
      <fill>
        <patternFill patternType="solid">
          <fgColor indexed="64"/>
          <bgColor theme="9" tint="0.79998168889431442"/>
        </patternFill>
      </fill>
      <alignment vertical="center" textRotation="0" indent="0" justifyLastLine="0" shrinkToFit="0" readingOrder="0"/>
      <protection locked="1" hidden="0"/>
    </dxf>
    <dxf>
      <font>
        <strike val="0"/>
        <outline val="0"/>
        <shadow val="0"/>
        <u val="none"/>
        <vertAlign val="baseline"/>
        <color theme="9"/>
        <name val="Calibri"/>
        <scheme val="minor"/>
      </font>
      <numFmt numFmtId="166" formatCode="_(* #,##0_);_(* \(#,##0\);_(* &quot;-&quot;??_);_(@_)"/>
      <fill>
        <patternFill patternType="solid">
          <fgColor indexed="64"/>
          <bgColor theme="9" tint="0.79998168889431442"/>
        </patternFill>
      </fill>
      <alignment vertical="center" textRotation="0" indent="0" justifyLastLine="0" shrinkToFit="0" readingOrder="0"/>
      <protection locked="1" hidden="0"/>
    </dxf>
    <dxf>
      <font>
        <strike val="0"/>
        <outline val="0"/>
        <shadow val="0"/>
        <u val="none"/>
        <vertAlign val="baseline"/>
        <color auto="1"/>
        <name val="Calibri"/>
        <scheme val="minor"/>
      </font>
      <numFmt numFmtId="166" formatCode="_(* #,##0_);_(* \(#,##0\);_(* &quot;-&quot;??_);_(@_)"/>
      <fill>
        <patternFill patternType="solid">
          <fgColor indexed="64"/>
          <bgColor theme="9" tint="0.79998168889431442"/>
        </patternFill>
      </fill>
      <alignment horizontal="general" vertical="center" textRotation="0" wrapText="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solid">
          <fgColor indexed="64"/>
          <bgColor theme="9" tint="0.79998168889431442"/>
        </patternFill>
      </fill>
      <alignment horizontal="general" vertical="center" textRotation="0" wrapText="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solid">
          <fgColor indexed="64"/>
          <bgColor theme="9" tint="0.79998168889431442"/>
        </patternFill>
      </fill>
      <alignment horizontal="general" vertical="center" textRotation="0" wrapText="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solid">
          <fgColor indexed="64"/>
          <bgColor theme="9" tint="0.79998168889431442"/>
        </patternFill>
      </fill>
      <alignment horizontal="general" vertical="center" textRotation="0" wrapText="0" indent="0" justifyLastLine="0" shrinkToFit="0" readingOrder="0"/>
      <protection locked="0" hidden="0"/>
    </dxf>
    <dxf>
      <font>
        <strike val="0"/>
        <outline val="0"/>
        <shadow val="0"/>
        <u val="none"/>
        <vertAlign val="baseline"/>
        <color auto="1"/>
        <name val="Calibri"/>
        <scheme val="minor"/>
      </font>
      <fill>
        <patternFill patternType="solid">
          <fgColor indexed="64"/>
          <bgColor theme="9" tint="0.79998168889431442"/>
        </patternFill>
      </fill>
      <alignment vertical="center" textRotation="0" indent="0" justifyLastLine="0" shrinkToFit="0" readingOrder="0"/>
      <protection locked="0" hidden="0"/>
    </dxf>
    <dxf>
      <font>
        <strike val="0"/>
        <outline val="0"/>
        <shadow val="0"/>
        <u val="none"/>
        <vertAlign val="baseline"/>
        <sz val="11"/>
        <color theme="9"/>
        <name val="Calibri"/>
        <scheme val="minor"/>
      </font>
      <alignment vertical="center" textRotation="0" indent="0" justifyLastLine="0" shrinkToFit="0" readingOrder="0"/>
      <protection locked="1" hidden="0"/>
    </dxf>
    <dxf>
      <font>
        <strike val="0"/>
        <outline val="0"/>
        <shadow val="0"/>
        <u val="none"/>
        <vertAlign val="baseline"/>
        <sz val="11"/>
        <color theme="9"/>
        <name val="Calibri"/>
        <scheme val="minor"/>
      </font>
      <numFmt numFmtId="166" formatCode="_(* #,##0_);_(* \(#,##0\);_(* &quot;-&quot;??_);_(@_)"/>
      <alignment vertical="center" textRotation="0" indent="0" justifyLastLine="0" shrinkToFit="0" readingOrder="0"/>
      <protection locked="1" hidden="0"/>
    </dxf>
    <dxf>
      <font>
        <strike val="0"/>
        <outline val="0"/>
        <shadow val="0"/>
        <u val="none"/>
        <vertAlign val="baseline"/>
        <color auto="1"/>
        <name val="Calibri"/>
        <scheme val="minor"/>
      </font>
      <numFmt numFmtId="166" formatCode="_(* #,##0_);_(* \(#,##0\);_(* &quot;-&quot;??_);_(@_)"/>
      <fill>
        <patternFill patternType="solid">
          <fgColor indexed="64"/>
          <bgColor theme="9" tint="0.79998168889431442"/>
        </patternFill>
      </fill>
      <alignment horizontal="general" vertical="center" textRotation="0" wrapText="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solid">
          <fgColor indexed="64"/>
          <bgColor theme="9" tint="0.79998168889431442"/>
        </patternFill>
      </fill>
      <alignment horizontal="general" vertical="center" textRotation="0" wrapText="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solid">
          <fgColor indexed="64"/>
          <bgColor theme="9" tint="0.79998168889431442"/>
        </patternFill>
      </fill>
      <alignment horizontal="general" vertical="center" textRotation="0" wrapText="0" indent="0" justifyLastLine="0" shrinkToFit="0" readingOrder="0"/>
      <protection locked="0" hidden="0"/>
    </dxf>
    <dxf>
      <font>
        <strike val="0"/>
        <outline val="0"/>
        <shadow val="0"/>
        <u val="none"/>
        <vertAlign val="baseline"/>
        <color auto="1"/>
        <name val="Calibri"/>
        <scheme val="minor"/>
      </font>
      <numFmt numFmtId="166" formatCode="_(* #,##0_);_(* \(#,##0\);_(* &quot;-&quot;??_);_(@_)"/>
      <fill>
        <patternFill patternType="solid">
          <fgColor indexed="64"/>
          <bgColor theme="9" tint="0.79998168889431442"/>
        </patternFill>
      </fill>
      <alignment horizontal="general" vertical="center" textRotation="0" wrapText="0" indent="0" justifyLastLine="0" shrinkToFit="0" readingOrder="0"/>
      <protection locked="0" hidden="0"/>
    </dxf>
    <dxf>
      <font>
        <strike val="0"/>
        <outline val="0"/>
        <shadow val="0"/>
        <u val="none"/>
        <vertAlign val="baseline"/>
        <color auto="1"/>
        <name val="Calibri"/>
        <scheme val="minor"/>
      </font>
      <alignment vertical="center" textRotation="0" indent="0" justifyLastLine="0" shrinkToFit="0" readingOrder="0"/>
      <protection locked="0" hidden="0"/>
    </dxf>
    <dxf>
      <border outline="0">
        <left style="medium">
          <color rgb="FF70AD47"/>
        </left>
        <right style="medium">
          <color rgb="FF70AD47"/>
        </right>
        <bottom style="medium">
          <color rgb="FF70AD47"/>
        </bottom>
      </border>
    </dxf>
    <dxf>
      <font>
        <strike val="0"/>
        <outline val="0"/>
        <shadow val="0"/>
        <u val="none"/>
        <vertAlign val="baseline"/>
        <color auto="1"/>
        <name val="Calibri"/>
        <scheme val="minor"/>
      </font>
      <alignment vertical="center" textRotation="0" indent="0" justifyLastLine="0" shrinkToFit="0" readingOrder="0"/>
      <protection locked="1" hidden="0"/>
    </dxf>
    <dxf>
      <border outline="0">
        <bottom style="medium">
          <color rgb="FF70AD47"/>
        </bottom>
      </border>
    </dxf>
    <dxf>
      <font>
        <strike val="0"/>
        <outline val="0"/>
        <shadow val="0"/>
        <u val="none"/>
        <vertAlign val="baseline"/>
        <color theme="9"/>
        <name val="Calibri"/>
        <scheme val="minor"/>
      </font>
      <alignment horizontal="center" vertical="center" textRotation="0" wrapText="1" indent="0" justifyLastLine="0" shrinkToFit="0" readingOrder="0"/>
      <protection locked="1" hidden="0"/>
    </dxf>
    <dxf>
      <font>
        <strike val="0"/>
        <outline val="0"/>
        <shadow val="0"/>
        <u val="none"/>
        <vertAlign val="baseline"/>
        <color theme="9"/>
        <name val="Calibri"/>
        <scheme val="minor"/>
      </font>
      <numFmt numFmtId="0" formatCode="General"/>
      <alignment vertical="center" textRotation="0" indent="0" justifyLastLine="0" shrinkToFit="0" readingOrder="0"/>
      <border outline="0">
        <left style="medium">
          <color theme="9"/>
        </left>
      </border>
      <protection locked="1" hidden="0"/>
    </dxf>
    <dxf>
      <font>
        <strike val="0"/>
        <outline val="0"/>
        <shadow val="0"/>
        <u val="none"/>
        <vertAlign val="baseline"/>
        <color theme="9"/>
        <name val="Calibri"/>
        <scheme val="minor"/>
      </font>
      <numFmt numFmtId="35" formatCode="_(* #,##0.00_);_(* \(#,##0.00\);_(* &quot;-&quot;??_);_(@_)"/>
      <alignment vertical="center" textRotation="0" indent="0" justifyLastLine="0" shrinkToFit="0" readingOrder="0"/>
      <protection locked="1" hidden="0"/>
    </dxf>
    <dxf>
      <font>
        <strike val="0"/>
        <outline val="0"/>
        <shadow val="0"/>
        <u val="none"/>
        <vertAlign val="baseline"/>
        <color theme="9"/>
        <name val="Calibri"/>
        <scheme val="minor"/>
      </font>
      <numFmt numFmtId="166" formatCode="_(* #,##0_);_(* \(#,##0\);_(* &quot;-&quot;??_);_(@_)"/>
      <alignment vertical="center" textRotation="0" indent="0" justifyLastLine="0" shrinkToFit="0" readingOrder="0"/>
      <border outline="0">
        <left style="medium">
          <color theme="9"/>
        </left>
        <right/>
      </border>
      <protection locked="1" hidden="0"/>
    </dxf>
    <dxf>
      <font>
        <strike val="0"/>
        <outline val="0"/>
        <shadow val="0"/>
        <u val="none"/>
        <vertAlign val="baseline"/>
        <color theme="9"/>
        <name val="Calibri"/>
        <scheme val="minor"/>
      </font>
      <numFmt numFmtId="35" formatCode="_(* #,##0.00_);_(* \(#,##0.00\);_(* &quot;-&quot;??_);_(@_)"/>
      <alignment vertical="center" textRotation="0" indent="0" justifyLastLine="0" shrinkToFit="0" readingOrder="0"/>
      <protection locked="1" hidden="0"/>
    </dxf>
    <dxf>
      <font>
        <strike val="0"/>
        <outline val="0"/>
        <shadow val="0"/>
        <u val="none"/>
        <vertAlign val="baseline"/>
        <color theme="9"/>
        <name val="Calibri"/>
        <scheme val="minor"/>
      </font>
      <numFmt numFmtId="166" formatCode="_(* #,##0_);_(* \(#,##0\);_(* &quot;-&quot;??_);_(@_)"/>
      <alignment vertical="center" textRotation="0" indent="0" justifyLastLine="0" shrinkToFit="0" readingOrder="0"/>
      <protection locked="1" hidden="0"/>
    </dxf>
    <dxf>
      <font>
        <strike val="0"/>
        <outline val="0"/>
        <shadow val="0"/>
        <u val="none"/>
        <vertAlign val="baseline"/>
        <sz val="11"/>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1"/>
        <color auto="1"/>
        <name val="Calibri"/>
        <scheme val="minor"/>
      </font>
      <numFmt numFmtId="35" formatCode="_(* #,##0.00_);_(* \(#,##0.00\);_(* &quot;-&quot;??_);_(@_)"/>
      <alignment vertical="center" textRotation="0" indent="0" justifyLastLine="0" shrinkToFit="0" readingOrder="0"/>
      <protection locked="0" hidden="0"/>
    </dxf>
    <dxf>
      <font>
        <strike val="0"/>
        <outline val="0"/>
        <shadow val="0"/>
        <u val="none"/>
        <vertAlign val="baseline"/>
        <color theme="9"/>
        <name val="Calibri"/>
        <scheme val="minor"/>
      </font>
      <numFmt numFmtId="35" formatCode="_(* #,##0.00_);_(* \(#,##0.00\);_(* &quot;-&quot;??_);_(@_)"/>
      <alignment horizontal="general" vertical="center" textRotation="0" wrapText="0" indent="0" justifyLastLine="0" shrinkToFit="0" readingOrder="0"/>
      <border diagonalUp="0" diagonalDown="0" outline="0">
        <left/>
        <right style="medium">
          <color theme="9"/>
        </right>
        <top/>
        <bottom/>
      </border>
      <protection locked="1" hidden="0"/>
    </dxf>
    <dxf>
      <font>
        <strike val="0"/>
        <outline val="0"/>
        <shadow val="0"/>
        <u val="none"/>
        <vertAlign val="baseline"/>
        <color theme="9"/>
        <name val="Calibri"/>
        <scheme val="minor"/>
      </font>
      <numFmt numFmtId="166" formatCode="_(* #,##0_);_(* \(#,##0\);_(* &quot;-&quot;??_);_(@_)"/>
      <alignment vertical="center" textRotation="0" indent="0" justifyLastLine="0" shrinkToFit="0" readingOrder="0"/>
      <protection locked="1" hidden="0"/>
    </dxf>
    <dxf>
      <font>
        <strike val="0"/>
        <outline val="0"/>
        <shadow val="0"/>
        <u val="none"/>
        <vertAlign val="baseline"/>
        <sz val="11"/>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1"/>
        <color auto="1"/>
        <name val="Calibri"/>
        <scheme val="minor"/>
      </font>
      <numFmt numFmtId="35" formatCode="_(* #,##0.00_);_(* \(#,##0.00\);_(* &quot;-&quot;??_);_(@_)"/>
      <alignment vertical="center" textRotation="0" indent="0" justifyLastLine="0" shrinkToFit="0" readingOrder="0"/>
      <protection locked="0" hidden="0"/>
    </dxf>
    <dxf>
      <font>
        <strike val="0"/>
        <outline val="0"/>
        <shadow val="0"/>
        <u val="none"/>
        <vertAlign val="baseline"/>
        <color theme="9"/>
        <name val="Calibri"/>
        <scheme val="minor"/>
      </font>
      <numFmt numFmtId="35" formatCode="_(* #,##0.00_);_(* \(#,##0.00\);_(* &quot;-&quot;??_);_(@_)"/>
      <alignment vertical="center" textRotation="0" indent="0" justifyLastLine="0" shrinkToFit="0" readingOrder="0"/>
      <protection locked="1" hidden="0"/>
    </dxf>
    <dxf>
      <font>
        <strike val="0"/>
        <outline val="0"/>
        <shadow val="0"/>
        <u val="none"/>
        <vertAlign val="baseline"/>
        <color theme="9"/>
        <name val="Calibri"/>
        <scheme val="minor"/>
      </font>
      <numFmt numFmtId="166" formatCode="_(* #,##0_);_(* \(#,##0\);_(* &quot;-&quot;??_);_(@_)"/>
      <alignment vertical="center" textRotation="0" indent="0" justifyLastLine="0" shrinkToFit="0" readingOrder="0"/>
      <protection locked="1" hidden="0"/>
    </dxf>
    <dxf>
      <font>
        <strike val="0"/>
        <outline val="0"/>
        <shadow val="0"/>
        <u val="none"/>
        <vertAlign val="baseline"/>
        <sz val="11"/>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1"/>
        <color auto="1"/>
        <name val="Calibri"/>
        <scheme val="minor"/>
      </font>
      <numFmt numFmtId="166" formatCode="_(* #,##0_);_(* \(#,##0\);_(* &quot;-&quot;??_);_(@_)"/>
      <alignment vertical="center" textRotation="0" indent="0" justifyLastLine="0" shrinkToFit="0" readingOrder="0"/>
      <protection locked="0" hidden="0"/>
    </dxf>
    <dxf>
      <font>
        <strike val="0"/>
        <outline val="0"/>
        <shadow val="0"/>
        <u val="none"/>
        <vertAlign val="baseline"/>
        <sz val="11"/>
        <color auto="1"/>
        <name val="Calibri"/>
        <scheme val="minor"/>
      </font>
      <numFmt numFmtId="35" formatCode="_(* #,##0.00_);_(* \(#,##0.00\);_(* &quot;-&quot;??_);_(@_)"/>
      <alignment vertical="center" textRotation="0" indent="0" justifyLastLine="0" shrinkToFit="0" readingOrder="0"/>
      <protection locked="0" hidden="0"/>
    </dxf>
    <dxf>
      <border outline="0">
        <left style="medium">
          <color rgb="FF70AD47"/>
        </left>
        <right style="medium">
          <color rgb="FF70AD47"/>
        </right>
        <bottom style="medium">
          <color rgb="FF70AD47"/>
        </bottom>
      </border>
    </dxf>
    <dxf>
      <font>
        <strike val="0"/>
        <outline val="0"/>
        <shadow val="0"/>
        <u val="none"/>
        <vertAlign val="baseline"/>
        <color rgb="FF70AD47"/>
        <name val="Calibri"/>
        <scheme val="none"/>
      </font>
      <alignment vertical="center" textRotation="0" indent="0" justifyLastLine="0" shrinkToFit="0" readingOrder="0"/>
      <protection locked="1" hidden="0"/>
    </dxf>
    <dxf>
      <border outline="0">
        <bottom style="medium">
          <color rgb="FF70AD47"/>
        </bottom>
      </border>
    </dxf>
    <dxf>
      <font>
        <strike val="0"/>
        <outline val="0"/>
        <shadow val="0"/>
        <u val="none"/>
        <vertAlign val="baseline"/>
        <color theme="9"/>
        <name val="Calibri"/>
        <scheme val="minor"/>
      </font>
      <alignment vertical="center" textRotation="0" indent="0" justifyLastLine="0" shrinkToFit="0" readingOrder="0"/>
      <protection locked="1"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border diagonalUp="0" diagonalDown="0">
        <left/>
        <right style="double">
          <color theme="9" tint="-0.249977111117893"/>
        </right>
        <top/>
        <bottom/>
        <vertical/>
        <horizontal/>
      </border>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border diagonalUp="0" diagonalDown="0">
        <left style="medium">
          <color theme="9"/>
        </left>
        <right style="medium">
          <color theme="9"/>
        </right>
        <top style="medium">
          <color theme="9"/>
        </top>
        <bottom style="medium">
          <color theme="9"/>
        </bottom>
      </border>
    </dxf>
    <dxf>
      <font>
        <strike val="0"/>
        <outline val="0"/>
        <shadow val="0"/>
        <u val="none"/>
        <vertAlign val="baseline"/>
        <sz val="11"/>
        <color auto="1"/>
        <name val="Calibri"/>
        <scheme val="minor"/>
      </font>
      <alignment horizontal="center" vertical="center" textRotation="0" wrapText="0" indent="0" justifyLastLine="0" shrinkToFit="0" readingOrder="0"/>
      <protection locked="0" hidden="0"/>
    </dxf>
    <dxf>
      <border>
        <bottom style="medium">
          <color theme="9"/>
        </bottom>
      </border>
    </dxf>
    <dxf>
      <font>
        <strike val="0"/>
        <outline val="0"/>
        <shadow val="0"/>
        <u val="none"/>
        <vertAlign val="baseline"/>
        <sz val="11"/>
        <color theme="9"/>
        <name val="Calibri"/>
        <scheme val="minor"/>
      </font>
      <alignment horizontal="center" vertical="center" textRotation="0" wrapText="1" indent="0" justifyLastLine="0" shrinkToFit="0" readingOrder="0"/>
      <border diagonalUp="0" diagonalDown="0">
        <left/>
        <right/>
        <top/>
        <bottom/>
        <vertical/>
        <horizontal/>
      </border>
      <protection locked="1"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border diagonalUp="0" diagonalDown="0">
        <left/>
        <right style="medium">
          <color theme="9"/>
        </right>
        <top/>
        <bottom/>
        <vertical/>
        <horizontal/>
      </border>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font>
        <strike val="0"/>
        <outline val="0"/>
        <shadow val="0"/>
        <u val="none"/>
        <vertAlign val="baseline"/>
        <sz val="11"/>
        <color auto="1"/>
        <name val="Calibri"/>
        <scheme val="minor"/>
      </font>
      <numFmt numFmtId="14" formatCode="0.00%"/>
      <alignment horizontal="center" vertical="center" textRotation="0" wrapText="0" indent="0" justifyLastLine="0" shrinkToFit="0" readingOrder="0"/>
      <protection locked="0" hidden="0"/>
    </dxf>
    <dxf>
      <border>
        <bottom style="medium">
          <color theme="9"/>
        </bottom>
      </border>
    </dxf>
    <dxf>
      <font>
        <strike val="0"/>
        <outline val="0"/>
        <shadow val="0"/>
        <u val="none"/>
        <vertAlign val="baseline"/>
        <sz val="11"/>
        <color theme="9"/>
        <name val="Calibri"/>
        <scheme val="minor"/>
      </font>
      <alignment horizontal="center" vertical="center" textRotation="0" wrapText="1" indent="0" justifyLastLine="0" shrinkToFit="0" readingOrder="0"/>
      <border diagonalUp="0" diagonalDown="0">
        <left/>
        <right/>
        <top/>
        <bottom/>
        <vertical/>
        <horizontal/>
      </border>
      <protection locked="1" hidden="0"/>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ill>
        <patternFill>
          <bgColor rgb="FFFF0000"/>
        </patternFill>
      </fill>
      <border>
        <left style="thin">
          <color rgb="FFFF0000"/>
        </left>
        <right style="thin">
          <color rgb="FFFF0000"/>
        </right>
        <top style="thin">
          <color rgb="FFFF0000"/>
        </top>
        <bottom style="thin">
          <color rgb="FFFF0000"/>
        </bottom>
        <vertical/>
        <horizontal/>
      </border>
    </dxf>
    <dxf>
      <font>
        <color auto="1"/>
      </font>
      <fill>
        <patternFill>
          <bgColor rgb="FFFF0000"/>
        </patternFill>
      </fill>
      <border>
        <left style="thin">
          <color auto="1"/>
        </left>
        <right style="thin">
          <color auto="1"/>
        </right>
        <top style="thin">
          <color auto="1"/>
        </top>
        <bottom style="thin">
          <color auto="1"/>
        </bottom>
      </border>
    </dxf>
    <dxf>
      <font>
        <color auto="1"/>
      </font>
      <fill>
        <patternFill>
          <bgColor rgb="FFFF0000"/>
        </patternFill>
      </fill>
      <border>
        <left style="thin">
          <color auto="1"/>
        </left>
        <right style="thin">
          <color auto="1"/>
        </right>
        <top style="thin">
          <color auto="1"/>
        </top>
        <bottom style="thin">
          <color auto="1"/>
        </bottom>
      </border>
    </dxf>
    <dxf>
      <font>
        <color auto="1"/>
      </font>
      <fill>
        <patternFill>
          <bgColor rgb="FFFF0000"/>
        </patternFill>
      </fill>
      <border>
        <left style="thin">
          <color auto="1"/>
        </left>
        <right style="thin">
          <color auto="1"/>
        </right>
        <top style="thin">
          <color auto="1"/>
        </top>
        <bottom style="thin">
          <color auto="1"/>
        </bottom>
      </border>
    </dxf>
    <dxf>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color theme="0"/>
      </font>
    </dxf>
    <dxf>
      <font>
        <b/>
        <i val="0"/>
        <strike val="0"/>
        <condense val="0"/>
        <extend val="0"/>
        <outline val="0"/>
        <shadow val="0"/>
        <u val="none"/>
        <vertAlign val="baseline"/>
        <sz val="11"/>
        <color auto="1"/>
        <name val="Calibri"/>
        <family val="2"/>
        <scheme val="minor"/>
      </font>
      <numFmt numFmtId="170" formatCode="m/d/yyyy;@"/>
      <fill>
        <patternFill patternType="none">
          <fgColor indexed="64"/>
          <bgColor indexed="65"/>
        </patternFill>
      </fill>
      <alignment horizontal="center" vertical="bottom" textRotation="0" wrapText="0" indent="0" justifyLastLine="0" shrinkToFit="0" readingOrder="0"/>
      <border diagonalUp="0" diagonalDown="0">
        <left style="medium">
          <color indexed="64"/>
        </left>
        <right/>
        <top style="medium">
          <color indexed="64"/>
        </top>
        <bottom style="medium">
          <color indexed="64"/>
        </bottom>
        <vertical/>
        <horizontal/>
      </border>
      <protection locked="0" hidden="0"/>
    </dxf>
    <dxf>
      <font>
        <b/>
        <i val="0"/>
        <strike val="0"/>
        <condense val="0"/>
        <extend val="0"/>
        <outline val="0"/>
        <shadow val="0"/>
        <u val="none"/>
        <vertAlign val="baseline"/>
        <sz val="11"/>
        <color auto="1"/>
        <name val="Calibri"/>
        <family val="2"/>
        <scheme val="minor"/>
      </font>
      <numFmt numFmtId="170" formatCode="m/d/yyyy;@"/>
      <fill>
        <patternFill patternType="none">
          <fgColor indexed="64"/>
          <bgColor indexed="65"/>
        </patternFill>
      </fill>
      <alignment horizontal="center" vertical="bottom"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protection locked="0" hidden="0"/>
    </dxf>
    <dxf>
      <font>
        <b/>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border diagonalUp="0" diagonalDown="0">
        <left/>
        <right style="medium">
          <color indexed="64"/>
        </right>
        <top style="medium">
          <color indexed="64"/>
        </top>
        <bottom style="medium">
          <color indexed="64"/>
        </bottom>
        <vertical/>
        <horizontal/>
      </border>
      <protection locked="0" hidden="0"/>
    </dxf>
    <dxf>
      <border outline="0">
        <top style="medium">
          <color indexed="64"/>
        </top>
      </border>
    </dxf>
    <dxf>
      <border outline="0">
        <left style="medium">
          <color indexed="64"/>
        </left>
        <right style="medium">
          <color indexed="64"/>
        </right>
        <top style="medium">
          <color indexed="64"/>
        </top>
        <bottom style="medium">
          <color indexed="64"/>
        </bottom>
      </border>
    </dxf>
    <dxf>
      <border outline="0">
        <bottom style="medium">
          <color indexed="64"/>
        </bottom>
      </border>
    </dxf>
    <dxf>
      <border>
        <left style="thin">
          <color rgb="FFFF0000"/>
        </left>
        <right style="thin">
          <color rgb="FFFF0000"/>
        </right>
        <top style="thin">
          <color rgb="FFFF0000"/>
        </top>
        <bottom style="thin">
          <color rgb="FFFF0000"/>
        </bottom>
      </border>
    </dxf>
    <dxf>
      <fill>
        <patternFill>
          <bgColor rgb="FFFFC000"/>
        </patternFill>
      </fill>
    </dxf>
    <dxf>
      <fill>
        <patternFill>
          <bgColor rgb="FFFFC000"/>
        </patternFill>
      </fill>
    </dxf>
    <dxf>
      <fill>
        <patternFill>
          <bgColor rgb="FFFF0000"/>
        </patternFill>
      </fill>
      <border>
        <left style="thin">
          <color rgb="FFFF0000"/>
        </left>
        <right style="thin">
          <color rgb="FFFF0000"/>
        </right>
        <top style="thin">
          <color rgb="FFFF0000"/>
        </top>
        <bottom style="thin">
          <color rgb="FFFF0000"/>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border>
        <left/>
        <right/>
        <top/>
        <bottom/>
      </border>
    </dxf>
    <dxf>
      <font>
        <color rgb="FFFF0000"/>
      </font>
    </dxf>
    <dxf>
      <font>
        <color rgb="FFFF0000"/>
      </font>
      <border>
        <left/>
        <right/>
        <top/>
        <bottom/>
        <vertical/>
        <horizontal/>
      </border>
    </dxf>
  </dxfs>
  <tableStyles count="0" defaultTableStyle="TableStyleLight4" defaultPivotStyle="PivotStyleLight16"/>
  <colors>
    <mruColors>
      <color rgb="FF339933"/>
      <color rgb="FFFFCE33"/>
      <color rgb="FFE6AF00"/>
      <color rgb="FF663300"/>
      <color rgb="FF0000FF"/>
      <color rgb="FFCC0000"/>
      <color rgb="FFEAAD00"/>
      <color rgb="FF00FF00"/>
      <color rgb="FFFFD966"/>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pivotCacheDefinition" Target="pivotCache/pivotCacheDefinition2.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ctrlProps/ctrlProp1.xml><?xml version="1.0" encoding="utf-8"?>
<formControlPr xmlns="http://schemas.microsoft.com/office/spreadsheetml/2009/9/main" objectType="CheckBox" fmlaLink="$N$22" lockText="1" noThreeD="1"/>
</file>

<file path=xl/ctrlProps/ctrlProp10.xml><?xml version="1.0" encoding="utf-8"?>
<formControlPr xmlns="http://schemas.microsoft.com/office/spreadsheetml/2009/9/main" objectType="CheckBox" fmlaLink="$N$9" lockText="1" noThreeD="1"/>
</file>

<file path=xl/ctrlProps/ctrlProp11.xml><?xml version="1.0" encoding="utf-8"?>
<formControlPr xmlns="http://schemas.microsoft.com/office/spreadsheetml/2009/9/main" objectType="CheckBox" fmlaLink="$N$10" lockText="1" noThreeD="1"/>
</file>

<file path=xl/ctrlProps/ctrlProp12.xml><?xml version="1.0" encoding="utf-8"?>
<formControlPr xmlns="http://schemas.microsoft.com/office/spreadsheetml/2009/9/main" objectType="CheckBox" fmlaLink="$N$11" lockText="1" noThreeD="1"/>
</file>

<file path=xl/ctrlProps/ctrlProp13.xml><?xml version="1.0" encoding="utf-8"?>
<formControlPr xmlns="http://schemas.microsoft.com/office/spreadsheetml/2009/9/main" objectType="CheckBox" fmlaLink="$N$12" lockText="1" noThreeD="1"/>
</file>

<file path=xl/ctrlProps/ctrlProp14.xml><?xml version="1.0" encoding="utf-8"?>
<formControlPr xmlns="http://schemas.microsoft.com/office/spreadsheetml/2009/9/main" objectType="CheckBox" fmlaLink="$N$13" lockText="1" noThreeD="1"/>
</file>

<file path=xl/ctrlProps/ctrlProp2.xml><?xml version="1.0" encoding="utf-8"?>
<formControlPr xmlns="http://schemas.microsoft.com/office/spreadsheetml/2009/9/main" objectType="CheckBox" fmlaLink="$N$20" lockText="1" noThreeD="1"/>
</file>

<file path=xl/ctrlProps/ctrlProp3.xml><?xml version="1.0" encoding="utf-8"?>
<formControlPr xmlns="http://schemas.microsoft.com/office/spreadsheetml/2009/9/main" objectType="CheckBox" fmlaLink="$N$19" lockText="1" noThreeD="1"/>
</file>

<file path=xl/ctrlProps/ctrlProp4.xml><?xml version="1.0" encoding="utf-8"?>
<formControlPr xmlns="http://schemas.microsoft.com/office/spreadsheetml/2009/9/main" objectType="CheckBox" fmlaLink="$N$17" lockText="1" noThreeD="1"/>
</file>

<file path=xl/ctrlProps/ctrlProp5.xml><?xml version="1.0" encoding="utf-8"?>
<formControlPr xmlns="http://schemas.microsoft.com/office/spreadsheetml/2009/9/main" objectType="CheckBox" fmlaLink="$N$18" lockText="1" noThreeD="1"/>
</file>

<file path=xl/ctrlProps/ctrlProp6.xml><?xml version="1.0" encoding="utf-8"?>
<formControlPr xmlns="http://schemas.microsoft.com/office/spreadsheetml/2009/9/main" objectType="CheckBox" fmlaLink="$N$21" lockText="1" noThreeD="1"/>
</file>

<file path=xl/ctrlProps/ctrlProp7.xml><?xml version="1.0" encoding="utf-8"?>
<formControlPr xmlns="http://schemas.microsoft.com/office/spreadsheetml/2009/9/main" objectType="CheckBox" fmlaLink="$N$14" lockText="1" noThreeD="1"/>
</file>

<file path=xl/ctrlProps/ctrlProp8.xml><?xml version="1.0" encoding="utf-8"?>
<formControlPr xmlns="http://schemas.microsoft.com/office/spreadsheetml/2009/9/main" objectType="CheckBox" fmlaLink="$N$15" lockText="1" noThreeD="1"/>
</file>

<file path=xl/ctrlProps/ctrlProp9.xml><?xml version="1.0" encoding="utf-8"?>
<formControlPr xmlns="http://schemas.microsoft.com/office/spreadsheetml/2009/9/main" objectType="CheckBox" fmlaLink="$N$16"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5.png"/><Relationship Id="rId1" Type="http://schemas.openxmlformats.org/officeDocument/2006/relationships/image" Target="../media/image2.png"/><Relationship Id="rId6" Type="http://schemas.openxmlformats.org/officeDocument/2006/relationships/image" Target="../media/image25.jpeg"/><Relationship Id="rId5" Type="http://schemas.openxmlformats.org/officeDocument/2006/relationships/image" Target="../media/image24.png"/><Relationship Id="rId4"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5.png"/><Relationship Id="rId1" Type="http://schemas.openxmlformats.org/officeDocument/2006/relationships/image" Target="../media/image2.png"/><Relationship Id="rId6" Type="http://schemas.openxmlformats.org/officeDocument/2006/relationships/image" Target="../media/image26.png"/><Relationship Id="rId5" Type="http://schemas.openxmlformats.org/officeDocument/2006/relationships/image" Target="../media/image14.png"/><Relationship Id="rId4" Type="http://schemas.microsoft.com/office/2007/relationships/hdphoto" Target="../media/hdphoto2.wdp"/></Relationships>
</file>

<file path=xl/drawings/_rels/drawing12.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5.png"/><Relationship Id="rId1" Type="http://schemas.openxmlformats.org/officeDocument/2006/relationships/image" Target="../media/image2.png"/><Relationship Id="rId5" Type="http://schemas.microsoft.com/office/2007/relationships/hdphoto" Target="../media/hdphoto1.wdp"/><Relationship Id="rId4"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5.png"/><Relationship Id="rId1" Type="http://schemas.openxmlformats.org/officeDocument/2006/relationships/image" Target="../media/image2.png"/><Relationship Id="rId5" Type="http://schemas.openxmlformats.org/officeDocument/2006/relationships/image" Target="../media/image26.png"/><Relationship Id="rId4"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hyperlink" Target="https://1drv.ms/x/s!AiCK-aEK5CofhtQcGENhTeIYhdykYw?e=j30LEn" TargetMode="External"/><Relationship Id="rId2" Type="http://schemas.openxmlformats.org/officeDocument/2006/relationships/image" Target="../media/image10.svg"/><Relationship Id="rId1" Type="http://schemas.openxmlformats.org/officeDocument/2006/relationships/image" Target="../media/image9.png"/><Relationship Id="rId5" Type="http://schemas.openxmlformats.org/officeDocument/2006/relationships/image" Target="../media/image12.sv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2.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2.png"/><Relationship Id="rId5" Type="http://schemas.microsoft.com/office/2007/relationships/hdphoto" Target="../media/hdphoto1.wdp"/><Relationship Id="rId4" Type="http://schemas.openxmlformats.org/officeDocument/2006/relationships/image" Target="../media/image16.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5.png"/><Relationship Id="rId5" Type="http://schemas.openxmlformats.org/officeDocument/2006/relationships/image" Target="../media/image2.png"/><Relationship Id="rId4"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5.png"/><Relationship Id="rId1" Type="http://schemas.openxmlformats.org/officeDocument/2006/relationships/image" Target="../media/image2.png"/><Relationship Id="rId5" Type="http://schemas.openxmlformats.org/officeDocument/2006/relationships/image" Target="../media/image14.png"/><Relationship Id="rId4" Type="http://schemas.microsoft.com/office/2007/relationships/hdphoto" Target="../media/hdphoto2.wdp"/></Relationships>
</file>

<file path=xl/drawings/_rels/drawing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5.png"/><Relationship Id="rId1" Type="http://schemas.openxmlformats.org/officeDocument/2006/relationships/image" Target="../media/image2.png"/><Relationship Id="rId5" Type="http://schemas.microsoft.com/office/2007/relationships/hdphoto" Target="../media/hdphoto1.wdp"/><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165100</xdr:colOff>
          <xdr:row>21</xdr:row>
          <xdr:rowOff>419100</xdr:rowOff>
        </xdr:from>
        <xdr:to>
          <xdr:col>0</xdr:col>
          <xdr:colOff>355600</xdr:colOff>
          <xdr:row>21</xdr:row>
          <xdr:rowOff>698500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19</xdr:row>
          <xdr:rowOff>222250</xdr:rowOff>
        </xdr:from>
        <xdr:to>
          <xdr:col>0</xdr:col>
          <xdr:colOff>361950</xdr:colOff>
          <xdr:row>19</xdr:row>
          <xdr:rowOff>508000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000-000007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18</xdr:row>
          <xdr:rowOff>228600</xdr:rowOff>
        </xdr:from>
        <xdr:to>
          <xdr:col>0</xdr:col>
          <xdr:colOff>361950</xdr:colOff>
          <xdr:row>18</xdr:row>
          <xdr:rowOff>533400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000-000008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16</xdr:row>
          <xdr:rowOff>31750</xdr:rowOff>
        </xdr:from>
        <xdr:to>
          <xdr:col>0</xdr:col>
          <xdr:colOff>361950</xdr:colOff>
          <xdr:row>16</xdr:row>
          <xdr:rowOff>336550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000-000009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17</xdr:row>
          <xdr:rowOff>50800</xdr:rowOff>
        </xdr:from>
        <xdr:to>
          <xdr:col>0</xdr:col>
          <xdr:colOff>342900</xdr:colOff>
          <xdr:row>17</xdr:row>
          <xdr:rowOff>355600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000-00000A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165100</xdr:colOff>
          <xdr:row>20</xdr:row>
          <xdr:rowOff>127000</xdr:rowOff>
        </xdr:from>
        <xdr:to>
          <xdr:col>0</xdr:col>
          <xdr:colOff>374650</xdr:colOff>
          <xdr:row>20</xdr:row>
          <xdr:rowOff>419100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000-00000B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13</xdr:row>
          <xdr:rowOff>165100</xdr:rowOff>
        </xdr:from>
        <xdr:to>
          <xdr:col>0</xdr:col>
          <xdr:colOff>361950</xdr:colOff>
          <xdr:row>13</xdr:row>
          <xdr:rowOff>469900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000-00000C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14</xdr:row>
          <xdr:rowOff>31750</xdr:rowOff>
        </xdr:from>
        <xdr:to>
          <xdr:col>0</xdr:col>
          <xdr:colOff>342900</xdr:colOff>
          <xdr:row>14</xdr:row>
          <xdr:rowOff>336550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000-00000D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15</xdr:row>
          <xdr:rowOff>31750</xdr:rowOff>
        </xdr:from>
        <xdr:to>
          <xdr:col>0</xdr:col>
          <xdr:colOff>342900</xdr:colOff>
          <xdr:row>15</xdr:row>
          <xdr:rowOff>336550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000-00000E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133350</xdr:colOff>
          <xdr:row>8</xdr:row>
          <xdr:rowOff>165100</xdr:rowOff>
        </xdr:from>
        <xdr:to>
          <xdr:col>0</xdr:col>
          <xdr:colOff>342900</xdr:colOff>
          <xdr:row>8</xdr:row>
          <xdr:rowOff>469900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000-00000F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133350</xdr:colOff>
          <xdr:row>9</xdr:row>
          <xdr:rowOff>31750</xdr:rowOff>
        </xdr:from>
        <xdr:to>
          <xdr:col>0</xdr:col>
          <xdr:colOff>342900</xdr:colOff>
          <xdr:row>9</xdr:row>
          <xdr:rowOff>336550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000-000010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10</xdr:row>
          <xdr:rowOff>50800</xdr:rowOff>
        </xdr:from>
        <xdr:to>
          <xdr:col>0</xdr:col>
          <xdr:colOff>342900</xdr:colOff>
          <xdr:row>10</xdr:row>
          <xdr:rowOff>355600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000-000011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11</xdr:row>
          <xdr:rowOff>69850</xdr:rowOff>
        </xdr:from>
        <xdr:to>
          <xdr:col>0</xdr:col>
          <xdr:colOff>361950</xdr:colOff>
          <xdr:row>11</xdr:row>
          <xdr:rowOff>355600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000-000012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152400</xdr:colOff>
          <xdr:row>12</xdr:row>
          <xdr:rowOff>127000</xdr:rowOff>
        </xdr:from>
        <xdr:to>
          <xdr:col>0</xdr:col>
          <xdr:colOff>361950</xdr:colOff>
          <xdr:row>13</xdr:row>
          <xdr:rowOff>31750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000-0000133C0000}"/>
                </a:ext>
              </a:extLst>
            </xdr:cNvPr>
            <xdr:cNvSpPr/>
          </xdr:nvSpPr>
          <xdr:spPr bwMode="auto">
            <a:xfrm>
              <a:off x="0" y="0"/>
              <a:ext cx="0" cy="0"/>
            </a:xfrm>
            <a:prstGeom prst="rect">
              <a:avLst/>
            </a:prstGeom>
            <a:noFill/>
            <a:ln w="9525">
              <a:solidFill>
                <a:srgbClr val="FF0000" mc:Ignorable="a14" a14:legacySpreadsheetColorIndex="10"/>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xdr:twoCellAnchor editAs="oneCell">
    <xdr:from>
      <xdr:col>10</xdr:col>
      <xdr:colOff>190504</xdr:colOff>
      <xdr:row>0</xdr:row>
      <xdr:rowOff>100853</xdr:rowOff>
    </xdr:from>
    <xdr:to>
      <xdr:col>14</xdr:col>
      <xdr:colOff>260829</xdr:colOff>
      <xdr:row>6</xdr:row>
      <xdr:rowOff>30480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7357" y="100853"/>
          <a:ext cx="3331237" cy="4114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10788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duotone>
            <a:schemeClr val="accent2">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a:off x="171450" y="936625"/>
          <a:ext cx="313810" cy="311150"/>
        </a:xfrm>
        <a:prstGeom prst="rect">
          <a:avLst/>
        </a:prstGeom>
      </xdr:spPr>
    </xdr:pic>
    <xdr:clientData/>
  </xdr:oneCellAnchor>
  <xdr:twoCellAnchor editAs="oneCell">
    <xdr:from>
      <xdr:col>0</xdr:col>
      <xdr:colOff>554072</xdr:colOff>
      <xdr:row>7</xdr:row>
      <xdr:rowOff>31128</xdr:rowOff>
    </xdr:from>
    <xdr:to>
      <xdr:col>1</xdr:col>
      <xdr:colOff>254849</xdr:colOff>
      <xdr:row>8</xdr:row>
      <xdr:rowOff>112525</xdr:rowOff>
    </xdr:to>
    <xdr:pic>
      <xdr:nvPicPr>
        <xdr:cNvPr id="5" name="Picture 4" descr="Image result for microscope icon">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rcRect/>
        <a:stretch>
          <a:fillRect/>
        </a:stretch>
      </xdr:blipFill>
      <xdr:spPr bwMode="auto">
        <a:xfrm>
          <a:off x="554072" y="1506569"/>
          <a:ext cx="307700" cy="311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578393</xdr:colOff>
      <xdr:row>84</xdr:row>
      <xdr:rowOff>69579</xdr:rowOff>
    </xdr:from>
    <xdr:to>
      <xdr:col>1</xdr:col>
      <xdr:colOff>245720</xdr:colOff>
      <xdr:row>85</xdr:row>
      <xdr:rowOff>151244</xdr:rowOff>
    </xdr:to>
    <xdr:pic>
      <xdr:nvPicPr>
        <xdr:cNvPr id="6" name="Picture 5" descr="Image result for ICON TUBE LAB">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4" cstate="print">
          <a:lum bright="70000" contrast="-70000"/>
          <a:extLst>
            <a:ext uri="{28A0092B-C50C-407E-A947-70E740481C1C}">
              <a14:useLocalDpi xmlns:a14="http://schemas.microsoft.com/office/drawing/2010/main" val="0"/>
            </a:ext>
          </a:extLst>
        </a:blip>
        <a:srcRect/>
        <a:stretch>
          <a:fillRect/>
        </a:stretch>
      </xdr:blipFill>
      <xdr:spPr bwMode="auto">
        <a:xfrm rot="3090004">
          <a:off x="578393" y="12712429"/>
          <a:ext cx="272165" cy="272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25400</xdr:colOff>
      <xdr:row>131</xdr:row>
      <xdr:rowOff>44450</xdr:rowOff>
    </xdr:from>
    <xdr:to>
      <xdr:col>1</xdr:col>
      <xdr:colOff>312737</xdr:colOff>
      <xdr:row>132</xdr:row>
      <xdr:rowOff>141287</xdr:rowOff>
    </xdr:to>
    <xdr:pic>
      <xdr:nvPicPr>
        <xdr:cNvPr id="7" name="Picture 6" descr="Image result for ICON dna">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5" cstate="print">
          <a:lum bright="70000" contrast="-70000"/>
          <a:extLst>
            <a:ext uri="{28A0092B-C50C-407E-A947-70E740481C1C}">
              <a14:useLocalDpi xmlns:a14="http://schemas.microsoft.com/office/drawing/2010/main" val="0"/>
            </a:ext>
          </a:extLst>
        </a:blip>
        <a:srcRect/>
        <a:stretch>
          <a:fillRect/>
        </a:stretch>
      </xdr:blipFill>
      <xdr:spPr bwMode="auto">
        <a:xfrm>
          <a:off x="635000" y="15074900"/>
          <a:ext cx="292100" cy="29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31750</xdr:colOff>
      <xdr:row>62</xdr:row>
      <xdr:rowOff>69850</xdr:rowOff>
    </xdr:from>
    <xdr:to>
      <xdr:col>1</xdr:col>
      <xdr:colOff>293687</xdr:colOff>
      <xdr:row>63</xdr:row>
      <xdr:rowOff>55437</xdr:rowOff>
    </xdr:to>
    <xdr:pic>
      <xdr:nvPicPr>
        <xdr:cNvPr id="8" name="Picture 7" descr="Image result for ICON machine">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lum bright="70000" contrast="-70000"/>
          <a:extLst>
            <a:ext uri="{28A0092B-C50C-407E-A947-70E740481C1C}">
              <a14:useLocalDpi xmlns:a14="http://schemas.microsoft.com/office/drawing/2010/main" val="0"/>
            </a:ext>
          </a:extLst>
        </a:blip>
        <a:srcRect/>
        <a:stretch>
          <a:fillRect/>
        </a:stretch>
      </xdr:blipFill>
      <xdr:spPr bwMode="auto">
        <a:xfrm>
          <a:off x="641350" y="5448300"/>
          <a:ext cx="260350" cy="254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duotone>
            <a:schemeClr val="accent4">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146051</xdr:colOff>
      <xdr:row>8</xdr:row>
      <xdr:rowOff>38100</xdr:rowOff>
    </xdr:from>
    <xdr:to>
      <xdr:col>0</xdr:col>
      <xdr:colOff>516119</xdr:colOff>
      <xdr:row>10</xdr:row>
      <xdr:rowOff>30542</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a:duotone>
            <a:schemeClr val="accent4">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Lst>
        </a:blip>
        <a:stretch>
          <a:fillRect/>
        </a:stretch>
      </xdr:blipFill>
      <xdr:spPr>
        <a:xfrm>
          <a:off x="146051" y="1498600"/>
          <a:ext cx="365306" cy="371174"/>
        </a:xfrm>
        <a:prstGeom prst="rect">
          <a:avLst/>
        </a:prstGeom>
      </xdr:spPr>
    </xdr:pic>
    <xdr:clientData/>
  </xdr:twoCellAnchor>
  <xdr:twoCellAnchor editAs="oneCell">
    <xdr:from>
      <xdr:col>0</xdr:col>
      <xdr:colOff>146051</xdr:colOff>
      <xdr:row>40</xdr:row>
      <xdr:rowOff>38100</xdr:rowOff>
    </xdr:from>
    <xdr:to>
      <xdr:col>0</xdr:col>
      <xdr:colOff>457200</xdr:colOff>
      <xdr:row>41</xdr:row>
      <xdr:rowOff>143046</xdr:rowOff>
    </xdr:to>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5">
          <a:duotone>
            <a:schemeClr val="accent4">
              <a:shade val="45000"/>
              <a:satMod val="135000"/>
            </a:schemeClr>
            <a:prstClr val="white"/>
          </a:duotone>
        </a:blip>
        <a:stretch>
          <a:fillRect/>
        </a:stretch>
      </xdr:blipFill>
      <xdr:spPr>
        <a:xfrm>
          <a:off x="146051" y="4318000"/>
          <a:ext cx="311149" cy="285921"/>
        </a:xfrm>
        <a:prstGeom prst="rect">
          <a:avLst/>
        </a:prstGeom>
      </xdr:spPr>
    </xdr:pic>
    <xdr:clientData/>
  </xdr:twoCellAnchor>
  <xdr:twoCellAnchor editAs="oneCell">
    <xdr:from>
      <xdr:col>0</xdr:col>
      <xdr:colOff>152400</xdr:colOff>
      <xdr:row>52</xdr:row>
      <xdr:rowOff>21915</xdr:rowOff>
    </xdr:from>
    <xdr:to>
      <xdr:col>0</xdr:col>
      <xdr:colOff>504824</xdr:colOff>
      <xdr:row>53</xdr:row>
      <xdr:rowOff>192485</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schemeClr val="accent4">
              <a:shade val="45000"/>
              <a:satMod val="135000"/>
            </a:schemeClr>
            <a:prstClr val="white"/>
          </a:duotone>
        </a:blip>
        <a:stretch>
          <a:fillRect/>
        </a:stretch>
      </xdr:blipFill>
      <xdr:spPr>
        <a:xfrm>
          <a:off x="152400" y="6003615"/>
          <a:ext cx="349249" cy="345648"/>
        </a:xfrm>
        <a:prstGeom prst="rect">
          <a:avLst/>
        </a:prstGeom>
      </xdr:spPr>
    </xdr:pic>
    <xdr:clientData/>
  </xdr:twoCellAnchor>
  <xdr:twoCellAnchor editAs="oneCell">
    <xdr:from>
      <xdr:col>0</xdr:col>
      <xdr:colOff>146051</xdr:colOff>
      <xdr:row>28</xdr:row>
      <xdr:rowOff>38100</xdr:rowOff>
    </xdr:from>
    <xdr:to>
      <xdr:col>0</xdr:col>
      <xdr:colOff>516119</xdr:colOff>
      <xdr:row>30</xdr:row>
      <xdr:rowOff>30543</xdr:rowOff>
    </xdr:to>
    <xdr:pic>
      <xdr:nvPicPr>
        <xdr:cNvPr id="8" name="Picture 3">
          <a:extLst>
            <a:ext uri="{FF2B5EF4-FFF2-40B4-BE49-F238E27FC236}">
              <a16:creationId xmlns:a16="http://schemas.microsoft.com/office/drawing/2014/main" id="{00000000-0008-0000-1100-000008000000}"/>
            </a:ext>
            <a:ext uri="{147F2762-F138-4A5C-976F-8EAC2B608ADB}">
              <a16:predDERef xmlns:a16="http://schemas.microsoft.com/office/drawing/2014/main" pred="{00000000-0008-0000-1200-000007000000}"/>
            </a:ext>
          </a:extLst>
        </xdr:cNvPr>
        <xdr:cNvPicPr>
          <a:picLocks noChangeAspect="1"/>
        </xdr:cNvPicPr>
      </xdr:nvPicPr>
      <xdr:blipFill>
        <a:blip xmlns:r="http://schemas.openxmlformats.org/officeDocument/2006/relationships" r:embed="rId3">
          <a:duotone>
            <a:schemeClr val="accent4">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Lst>
        </a:blip>
        <a:stretch>
          <a:fillRect/>
        </a:stretch>
      </xdr:blipFill>
      <xdr:spPr>
        <a:xfrm>
          <a:off x="146051" y="1543050"/>
          <a:ext cx="365306" cy="38387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duotone>
            <a:schemeClr val="accent4">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546100</xdr:colOff>
      <xdr:row>61</xdr:row>
      <xdr:rowOff>0</xdr:rowOff>
    </xdr:from>
    <xdr:to>
      <xdr:col>1</xdr:col>
      <xdr:colOff>239712</xdr:colOff>
      <xdr:row>63</xdr:row>
      <xdr:rowOff>28045</xdr:rowOff>
    </xdr:to>
    <xdr:pic>
      <xdr:nvPicPr>
        <xdr:cNvPr id="5" name="Picture 4" descr="Image result for icon drug">
          <a:extLst>
            <a:ext uri="{FF2B5EF4-FFF2-40B4-BE49-F238E27FC236}">
              <a16:creationId xmlns:a16="http://schemas.microsoft.com/office/drawing/2014/main" id="{00000000-0008-0000-1200-000005000000}"/>
            </a:ext>
          </a:extLst>
        </xdr:cNvPr>
        <xdr:cNvPicPr>
          <a:picLocks noChangeAspect="1" noChangeArrowheads="1"/>
        </xdr:cNvPicPr>
      </xdr:nvPicPr>
      <xdr:blipFill rotWithShape="1">
        <a:blip xmlns:r="http://schemas.openxmlformats.org/officeDocument/2006/relationships" r:embed="rId3" cstate="print">
          <a:lum bright="70000" contrast="-70000"/>
          <a:extLst>
            <a:ext uri="{28A0092B-C50C-407E-A947-70E740481C1C}">
              <a14:useLocalDpi xmlns:a14="http://schemas.microsoft.com/office/drawing/2010/main" val="0"/>
            </a:ext>
          </a:extLst>
        </a:blip>
        <a:srcRect l="28306" r="29795"/>
        <a:stretch/>
      </xdr:blipFill>
      <xdr:spPr bwMode="auto">
        <a:xfrm>
          <a:off x="546100" y="11982450"/>
          <a:ext cx="298450" cy="397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530225</xdr:colOff>
      <xdr:row>7</xdr:row>
      <xdr:rowOff>15875</xdr:rowOff>
    </xdr:from>
    <xdr:to>
      <xdr:col>1</xdr:col>
      <xdr:colOff>258762</xdr:colOff>
      <xdr:row>8</xdr:row>
      <xdr:rowOff>68262</xdr:rowOff>
    </xdr:to>
    <xdr:pic>
      <xdr:nvPicPr>
        <xdr:cNvPr id="6" name="Picture 5" descr="Image result for icon drug bottle">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530225" y="1492250"/>
          <a:ext cx="342900"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3</xdr:row>
      <xdr:rowOff>179387</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duotone>
            <a:schemeClr val="accent4">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duotone>
            <a:schemeClr val="accent4">
              <a:shade val="45000"/>
              <a:satMod val="135000"/>
            </a:schemeClr>
            <a:prstClr val="white"/>
          </a:duotone>
        </a:blip>
        <a:stretch>
          <a:fillRect/>
        </a:stretch>
      </xdr:blipFill>
      <xdr:spPr>
        <a:xfrm>
          <a:off x="171450" y="977900"/>
          <a:ext cx="313810" cy="311150"/>
        </a:xfrm>
        <a:prstGeom prst="rect">
          <a:avLst/>
        </a:prstGeom>
      </xdr:spPr>
    </xdr:pic>
    <xdr:clientData/>
  </xdr:oneCellAnchor>
  <xdr:twoCellAnchor editAs="oneCell">
    <xdr:from>
      <xdr:col>0</xdr:col>
      <xdr:colOff>487397</xdr:colOff>
      <xdr:row>7</xdr:row>
      <xdr:rowOff>31128</xdr:rowOff>
    </xdr:from>
    <xdr:to>
      <xdr:col>1</xdr:col>
      <xdr:colOff>181824</xdr:colOff>
      <xdr:row>8</xdr:row>
      <xdr:rowOff>154174</xdr:rowOff>
    </xdr:to>
    <xdr:pic>
      <xdr:nvPicPr>
        <xdr:cNvPr id="4" name="Picture 3" descr="Image result for microscope icon">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3" cstate="print">
          <a:lum bright="70000" contrast="-70000"/>
          <a:extLst>
            <a:ext uri="{28A0092B-C50C-407E-A947-70E740481C1C}">
              <a14:useLocalDpi xmlns:a14="http://schemas.microsoft.com/office/drawing/2010/main" val="0"/>
            </a:ext>
          </a:extLst>
        </a:blip>
        <a:srcRect/>
        <a:stretch>
          <a:fillRect/>
        </a:stretch>
      </xdr:blipFill>
      <xdr:spPr bwMode="auto">
        <a:xfrm>
          <a:off x="487397" y="1545603"/>
          <a:ext cx="288152" cy="308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422275</xdr:colOff>
      <xdr:row>35</xdr:row>
      <xdr:rowOff>25400</xdr:rowOff>
    </xdr:from>
    <xdr:to>
      <xdr:col>1</xdr:col>
      <xdr:colOff>144189</xdr:colOff>
      <xdr:row>36</xdr:row>
      <xdr:rowOff>171783</xdr:rowOff>
    </xdr:to>
    <xdr:pic>
      <xdr:nvPicPr>
        <xdr:cNvPr id="5" name="Picture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lum bright="70000" contrast="-70000"/>
        </a:blip>
        <a:stretch>
          <a:fillRect/>
        </a:stretch>
      </xdr:blipFill>
      <xdr:spPr>
        <a:xfrm>
          <a:off x="422275" y="7073900"/>
          <a:ext cx="309289" cy="336883"/>
        </a:xfrm>
        <a:prstGeom prst="rect">
          <a:avLst/>
        </a:prstGeom>
      </xdr:spPr>
    </xdr:pic>
    <xdr:clientData/>
  </xdr:twoCellAnchor>
  <xdr:twoCellAnchor editAs="oneCell">
    <xdr:from>
      <xdr:col>0</xdr:col>
      <xdr:colOff>422275</xdr:colOff>
      <xdr:row>57</xdr:row>
      <xdr:rowOff>28575</xdr:rowOff>
    </xdr:from>
    <xdr:to>
      <xdr:col>1</xdr:col>
      <xdr:colOff>169861</xdr:colOff>
      <xdr:row>58</xdr:row>
      <xdr:rowOff>143695</xdr:rowOff>
    </xdr:to>
    <xdr:pic>
      <xdr:nvPicPr>
        <xdr:cNvPr id="6" name="Picture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lum bright="70000" contrast="-70000"/>
        </a:blip>
        <a:stretch>
          <a:fillRect/>
        </a:stretch>
      </xdr:blipFill>
      <xdr:spPr>
        <a:xfrm>
          <a:off x="422275" y="11468100"/>
          <a:ext cx="330199" cy="35245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10788</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duotone>
            <a:schemeClr val="accent3">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duotone>
            <a:schemeClr val="accent3">
              <a:shade val="45000"/>
              <a:satMod val="135000"/>
            </a:schemeClr>
            <a:prstClr val="white"/>
          </a:duotone>
        </a:blip>
        <a:stretch>
          <a:fillRect/>
        </a:stretch>
      </xdr:blipFill>
      <xdr:spPr>
        <a:xfrm>
          <a:off x="171450" y="946150"/>
          <a:ext cx="313810" cy="31115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duotone>
            <a:schemeClr val="accent3">
              <a:shade val="45000"/>
              <a:satMod val="135000"/>
            </a:schemeClr>
            <a:prstClr val="white"/>
          </a:duotone>
        </a:blip>
        <a:stretch>
          <a:fillRect/>
        </a:stretch>
      </xdr:blipFill>
      <xdr:spPr>
        <a:xfrm>
          <a:off x="152400" y="511175"/>
          <a:ext cx="304800" cy="387026"/>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duotone>
            <a:schemeClr val="accent3">
              <a:shade val="45000"/>
              <a:satMod val="135000"/>
            </a:schemeClr>
            <a:prstClr val="white"/>
          </a:duotone>
        </a:blip>
        <a:stretch>
          <a:fillRect/>
        </a:stretch>
      </xdr:blipFill>
      <xdr:spPr>
        <a:xfrm>
          <a:off x="171450" y="958850"/>
          <a:ext cx="313810" cy="3111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654050</xdr:colOff>
      <xdr:row>1</xdr:row>
      <xdr:rowOff>171450</xdr:rowOff>
    </xdr:from>
    <xdr:to>
      <xdr:col>2</xdr:col>
      <xdr:colOff>963612</xdr:colOff>
      <xdr:row>2</xdr:row>
      <xdr:rowOff>238569</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a:duotone>
            <a:schemeClr val="accent1">
              <a:shade val="45000"/>
              <a:satMod val="135000"/>
            </a:schemeClr>
            <a:prstClr val="white"/>
          </a:duotone>
        </a:blip>
        <a:stretch>
          <a:fillRect/>
        </a:stretch>
      </xdr:blipFill>
      <xdr:spPr>
        <a:xfrm>
          <a:off x="4184650" y="488950"/>
          <a:ext cx="307975" cy="367976"/>
        </a:xfrm>
        <a:prstGeom prst="rect">
          <a:avLst/>
        </a:prstGeom>
      </xdr:spPr>
    </xdr:pic>
    <xdr:clientData/>
  </xdr:twoCellAnchor>
  <xdr:twoCellAnchor editAs="oneCell">
    <xdr:from>
      <xdr:col>2</xdr:col>
      <xdr:colOff>654050</xdr:colOff>
      <xdr:row>3</xdr:row>
      <xdr:rowOff>50800</xdr:rowOff>
    </xdr:from>
    <xdr:to>
      <xdr:col>2</xdr:col>
      <xdr:colOff>983397</xdr:colOff>
      <xdr:row>3</xdr:row>
      <xdr:rowOff>360054</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duotone>
            <a:schemeClr val="accent1">
              <a:shade val="45000"/>
              <a:satMod val="135000"/>
            </a:schemeClr>
            <a:prstClr val="white"/>
          </a:duotone>
        </a:blip>
        <a:stretch>
          <a:fillRect/>
        </a:stretch>
      </xdr:blipFill>
      <xdr:spPr>
        <a:xfrm>
          <a:off x="4184650" y="1003300"/>
          <a:ext cx="327760" cy="304492"/>
        </a:xfrm>
        <a:prstGeom prst="rect">
          <a:avLst/>
        </a:prstGeom>
      </xdr:spPr>
    </xdr:pic>
    <xdr:clientData/>
  </xdr:twoCellAnchor>
  <xdr:twoCellAnchor editAs="oneCell">
    <xdr:from>
      <xdr:col>2</xdr:col>
      <xdr:colOff>683080</xdr:colOff>
      <xdr:row>4</xdr:row>
      <xdr:rowOff>52613</xdr:rowOff>
    </xdr:from>
    <xdr:to>
      <xdr:col>2</xdr:col>
      <xdr:colOff>998992</xdr:colOff>
      <xdr:row>4</xdr:row>
      <xdr:rowOff>363763</xdr:rowOff>
    </xdr:to>
    <xdr:pic>
      <xdr:nvPicPr>
        <xdr:cNvPr id="12" name="Picture 11" descr="Related image">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4213680" y="1436913"/>
          <a:ext cx="314325" cy="31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704850</xdr:colOff>
      <xdr:row>5</xdr:row>
      <xdr:rowOff>63500</xdr:rowOff>
    </xdr:from>
    <xdr:ext cx="313810" cy="311150"/>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4">
          <a:duotone>
            <a:schemeClr val="accent1">
              <a:shade val="45000"/>
              <a:satMod val="135000"/>
            </a:schemeClr>
            <a:prstClr val="white"/>
          </a:duotone>
        </a:blip>
        <a:stretch>
          <a:fillRect/>
        </a:stretch>
      </xdr:blipFill>
      <xdr:spPr>
        <a:xfrm>
          <a:off x="4235450" y="1879600"/>
          <a:ext cx="313810" cy="311150"/>
        </a:xfrm>
        <a:prstGeom prst="rect">
          <a:avLst/>
        </a:prstGeom>
      </xdr:spPr>
    </xdr:pic>
    <xdr:clientData/>
  </xdr:oneCellAnchor>
  <xdr:oneCellAnchor>
    <xdr:from>
      <xdr:col>2</xdr:col>
      <xdr:colOff>704850</xdr:colOff>
      <xdr:row>6</xdr:row>
      <xdr:rowOff>19050</xdr:rowOff>
    </xdr:from>
    <xdr:ext cx="225144" cy="317858"/>
    <xdr:sp macro="" textlink="">
      <xdr:nvSpPr>
        <xdr:cNvPr id="18" name="Person icon" descr="&quot;&quot;" title="Person icon">
          <a:extLst>
            <a:ext uri="{FF2B5EF4-FFF2-40B4-BE49-F238E27FC236}">
              <a16:creationId xmlns:a16="http://schemas.microsoft.com/office/drawing/2014/main" id="{00000000-0008-0000-0100-000012000000}"/>
            </a:ext>
          </a:extLst>
        </xdr:cNvPr>
        <xdr:cNvSpPr>
          <a:spLocks noChangeAspect="1"/>
        </xdr:cNvSpPr>
      </xdr:nvSpPr>
      <xdr:spPr bwMode="auto">
        <a:xfrm>
          <a:off x="4235450" y="2266950"/>
          <a:ext cx="225144" cy="317858"/>
        </a:xfrm>
        <a:custGeom>
          <a:avLst/>
          <a:gdLst>
            <a:gd name="T0" fmla="*/ 209 w 376"/>
            <a:gd name="T1" fmla="*/ 3 h 523"/>
            <a:gd name="T2" fmla="*/ 248 w 376"/>
            <a:gd name="T3" fmla="*/ 21 h 523"/>
            <a:gd name="T4" fmla="*/ 274 w 376"/>
            <a:gd name="T5" fmla="*/ 55 h 523"/>
            <a:gd name="T6" fmla="*/ 285 w 376"/>
            <a:gd name="T7" fmla="*/ 97 h 523"/>
            <a:gd name="T8" fmla="*/ 295 w 376"/>
            <a:gd name="T9" fmla="*/ 122 h 523"/>
            <a:gd name="T10" fmla="*/ 305 w 376"/>
            <a:gd name="T11" fmla="*/ 139 h 523"/>
            <a:gd name="T12" fmla="*/ 302 w 376"/>
            <a:gd name="T13" fmla="*/ 161 h 523"/>
            <a:gd name="T14" fmla="*/ 285 w 376"/>
            <a:gd name="T15" fmla="*/ 172 h 523"/>
            <a:gd name="T16" fmla="*/ 282 w 376"/>
            <a:gd name="T17" fmla="*/ 198 h 523"/>
            <a:gd name="T18" fmla="*/ 260 w 376"/>
            <a:gd name="T19" fmla="*/ 239 h 523"/>
            <a:gd name="T20" fmla="*/ 223 w 376"/>
            <a:gd name="T21" fmla="*/ 265 h 523"/>
            <a:gd name="T22" fmla="*/ 240 w 376"/>
            <a:gd name="T23" fmla="*/ 267 h 523"/>
            <a:gd name="T24" fmla="*/ 246 w 376"/>
            <a:gd name="T25" fmla="*/ 268 h 523"/>
            <a:gd name="T26" fmla="*/ 341 w 376"/>
            <a:gd name="T27" fmla="*/ 292 h 523"/>
            <a:gd name="T28" fmla="*/ 366 w 376"/>
            <a:gd name="T29" fmla="*/ 316 h 523"/>
            <a:gd name="T30" fmla="*/ 376 w 376"/>
            <a:gd name="T31" fmla="*/ 351 h 523"/>
            <a:gd name="T32" fmla="*/ 374 w 376"/>
            <a:gd name="T33" fmla="*/ 509 h 523"/>
            <a:gd name="T34" fmla="*/ 362 w 376"/>
            <a:gd name="T35" fmla="*/ 521 h 523"/>
            <a:gd name="T36" fmla="*/ 23 w 376"/>
            <a:gd name="T37" fmla="*/ 523 h 523"/>
            <a:gd name="T38" fmla="*/ 6 w 376"/>
            <a:gd name="T39" fmla="*/ 516 h 523"/>
            <a:gd name="T40" fmla="*/ 0 w 376"/>
            <a:gd name="T41" fmla="*/ 500 h 523"/>
            <a:gd name="T42" fmla="*/ 2 w 376"/>
            <a:gd name="T43" fmla="*/ 332 h 523"/>
            <a:gd name="T44" fmla="*/ 20 w 376"/>
            <a:gd name="T45" fmla="*/ 302 h 523"/>
            <a:gd name="T46" fmla="*/ 52 w 376"/>
            <a:gd name="T47" fmla="*/ 285 h 523"/>
            <a:gd name="T48" fmla="*/ 132 w 376"/>
            <a:gd name="T49" fmla="*/ 268 h 523"/>
            <a:gd name="T50" fmla="*/ 152 w 376"/>
            <a:gd name="T51" fmla="*/ 265 h 523"/>
            <a:gd name="T52" fmla="*/ 115 w 376"/>
            <a:gd name="T53" fmla="*/ 240 h 523"/>
            <a:gd name="T54" fmla="*/ 93 w 376"/>
            <a:gd name="T55" fmla="*/ 198 h 523"/>
            <a:gd name="T56" fmla="*/ 90 w 376"/>
            <a:gd name="T57" fmla="*/ 172 h 523"/>
            <a:gd name="T58" fmla="*/ 73 w 376"/>
            <a:gd name="T59" fmla="*/ 161 h 523"/>
            <a:gd name="T60" fmla="*/ 70 w 376"/>
            <a:gd name="T61" fmla="*/ 139 h 523"/>
            <a:gd name="T62" fmla="*/ 80 w 376"/>
            <a:gd name="T63" fmla="*/ 122 h 523"/>
            <a:gd name="T64" fmla="*/ 90 w 376"/>
            <a:gd name="T65" fmla="*/ 97 h 523"/>
            <a:gd name="T66" fmla="*/ 99 w 376"/>
            <a:gd name="T67" fmla="*/ 55 h 523"/>
            <a:gd name="T68" fmla="*/ 126 w 376"/>
            <a:gd name="T69" fmla="*/ 21 h 523"/>
            <a:gd name="T70" fmla="*/ 165 w 376"/>
            <a:gd name="T71" fmla="*/ 3 h 5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376" h="523">
              <a:moveTo>
                <a:pt x="187" y="0"/>
              </a:moveTo>
              <a:lnTo>
                <a:pt x="209" y="3"/>
              </a:lnTo>
              <a:lnTo>
                <a:pt x="230" y="10"/>
              </a:lnTo>
              <a:lnTo>
                <a:pt x="248" y="21"/>
              </a:lnTo>
              <a:lnTo>
                <a:pt x="263" y="36"/>
              </a:lnTo>
              <a:lnTo>
                <a:pt x="274" y="55"/>
              </a:lnTo>
              <a:lnTo>
                <a:pt x="282" y="75"/>
              </a:lnTo>
              <a:lnTo>
                <a:pt x="285" y="97"/>
              </a:lnTo>
              <a:lnTo>
                <a:pt x="285" y="120"/>
              </a:lnTo>
              <a:lnTo>
                <a:pt x="295" y="122"/>
              </a:lnTo>
              <a:lnTo>
                <a:pt x="302" y="129"/>
              </a:lnTo>
              <a:lnTo>
                <a:pt x="305" y="139"/>
              </a:lnTo>
              <a:lnTo>
                <a:pt x="305" y="151"/>
              </a:lnTo>
              <a:lnTo>
                <a:pt x="302" y="161"/>
              </a:lnTo>
              <a:lnTo>
                <a:pt x="295" y="169"/>
              </a:lnTo>
              <a:lnTo>
                <a:pt x="285" y="172"/>
              </a:lnTo>
              <a:lnTo>
                <a:pt x="285" y="175"/>
              </a:lnTo>
              <a:lnTo>
                <a:pt x="282" y="198"/>
              </a:lnTo>
              <a:lnTo>
                <a:pt x="273" y="220"/>
              </a:lnTo>
              <a:lnTo>
                <a:pt x="260" y="239"/>
              </a:lnTo>
              <a:lnTo>
                <a:pt x="243" y="254"/>
              </a:lnTo>
              <a:lnTo>
                <a:pt x="223" y="265"/>
              </a:lnTo>
              <a:lnTo>
                <a:pt x="232" y="266"/>
              </a:lnTo>
              <a:lnTo>
                <a:pt x="240" y="267"/>
              </a:lnTo>
              <a:lnTo>
                <a:pt x="245" y="268"/>
              </a:lnTo>
              <a:lnTo>
                <a:pt x="246" y="268"/>
              </a:lnTo>
              <a:lnTo>
                <a:pt x="323" y="285"/>
              </a:lnTo>
              <a:lnTo>
                <a:pt x="341" y="292"/>
              </a:lnTo>
              <a:lnTo>
                <a:pt x="355" y="302"/>
              </a:lnTo>
              <a:lnTo>
                <a:pt x="366" y="316"/>
              </a:lnTo>
              <a:lnTo>
                <a:pt x="373" y="332"/>
              </a:lnTo>
              <a:lnTo>
                <a:pt x="376" y="351"/>
              </a:lnTo>
              <a:lnTo>
                <a:pt x="376" y="500"/>
              </a:lnTo>
              <a:lnTo>
                <a:pt x="374" y="509"/>
              </a:lnTo>
              <a:lnTo>
                <a:pt x="369" y="516"/>
              </a:lnTo>
              <a:lnTo>
                <a:pt x="362" y="521"/>
              </a:lnTo>
              <a:lnTo>
                <a:pt x="353" y="523"/>
              </a:lnTo>
              <a:lnTo>
                <a:pt x="23" y="523"/>
              </a:lnTo>
              <a:lnTo>
                <a:pt x="14" y="521"/>
              </a:lnTo>
              <a:lnTo>
                <a:pt x="6" y="516"/>
              </a:lnTo>
              <a:lnTo>
                <a:pt x="1" y="509"/>
              </a:lnTo>
              <a:lnTo>
                <a:pt x="0" y="500"/>
              </a:lnTo>
              <a:lnTo>
                <a:pt x="0" y="351"/>
              </a:lnTo>
              <a:lnTo>
                <a:pt x="2" y="332"/>
              </a:lnTo>
              <a:lnTo>
                <a:pt x="9" y="316"/>
              </a:lnTo>
              <a:lnTo>
                <a:pt x="20" y="302"/>
              </a:lnTo>
              <a:lnTo>
                <a:pt x="35" y="292"/>
              </a:lnTo>
              <a:lnTo>
                <a:pt x="52" y="285"/>
              </a:lnTo>
              <a:lnTo>
                <a:pt x="129" y="268"/>
              </a:lnTo>
              <a:lnTo>
                <a:pt x="132" y="268"/>
              </a:lnTo>
              <a:lnTo>
                <a:pt x="140" y="267"/>
              </a:lnTo>
              <a:lnTo>
                <a:pt x="152" y="265"/>
              </a:lnTo>
              <a:lnTo>
                <a:pt x="132" y="255"/>
              </a:lnTo>
              <a:lnTo>
                <a:pt x="115" y="240"/>
              </a:lnTo>
              <a:lnTo>
                <a:pt x="101" y="220"/>
              </a:lnTo>
              <a:lnTo>
                <a:pt x="93" y="198"/>
              </a:lnTo>
              <a:lnTo>
                <a:pt x="90" y="175"/>
              </a:lnTo>
              <a:lnTo>
                <a:pt x="90" y="172"/>
              </a:lnTo>
              <a:lnTo>
                <a:pt x="80" y="169"/>
              </a:lnTo>
              <a:lnTo>
                <a:pt x="73" y="161"/>
              </a:lnTo>
              <a:lnTo>
                <a:pt x="70" y="151"/>
              </a:lnTo>
              <a:lnTo>
                <a:pt x="70" y="139"/>
              </a:lnTo>
              <a:lnTo>
                <a:pt x="73" y="129"/>
              </a:lnTo>
              <a:lnTo>
                <a:pt x="80" y="122"/>
              </a:lnTo>
              <a:lnTo>
                <a:pt x="90" y="120"/>
              </a:lnTo>
              <a:lnTo>
                <a:pt x="90" y="97"/>
              </a:lnTo>
              <a:lnTo>
                <a:pt x="92" y="75"/>
              </a:lnTo>
              <a:lnTo>
                <a:pt x="99" y="55"/>
              </a:lnTo>
              <a:lnTo>
                <a:pt x="112" y="36"/>
              </a:lnTo>
              <a:lnTo>
                <a:pt x="126" y="21"/>
              </a:lnTo>
              <a:lnTo>
                <a:pt x="144" y="10"/>
              </a:lnTo>
              <a:lnTo>
                <a:pt x="165" y="3"/>
              </a:lnTo>
              <a:lnTo>
                <a:pt x="187" y="0"/>
              </a:lnTo>
              <a:close/>
            </a:path>
          </a:pathLst>
        </a:custGeom>
        <a:solidFill>
          <a:schemeClr val="accent1">
            <a:lumMod val="75000"/>
          </a:schemeClr>
        </a:solidFill>
        <a:ln w="0">
          <a:solidFill>
            <a:schemeClr val="accent1"/>
          </a:solidFill>
          <a:prstDash val="solid"/>
          <a:round/>
          <a:headEnd/>
          <a:tailEnd/>
        </a:ln>
      </xdr:spPr>
    </xdr:sp>
    <xdr:clientData/>
  </xdr:oneCellAnchor>
  <xdr:oneCellAnchor>
    <xdr:from>
      <xdr:col>2</xdr:col>
      <xdr:colOff>673099</xdr:colOff>
      <xdr:row>8</xdr:row>
      <xdr:rowOff>114300</xdr:rowOff>
    </xdr:from>
    <xdr:ext cx="343209" cy="292100"/>
    <xdr:grpSp>
      <xdr:nvGrpSpPr>
        <xdr:cNvPr id="19" name="Envelope icon group" descr="&quot;&quot;" title="Envelope icon">
          <a:extLst>
            <a:ext uri="{FF2B5EF4-FFF2-40B4-BE49-F238E27FC236}">
              <a16:creationId xmlns:a16="http://schemas.microsoft.com/office/drawing/2014/main" id="{00000000-0008-0000-0100-000013000000}"/>
            </a:ext>
          </a:extLst>
        </xdr:cNvPr>
        <xdr:cNvGrpSpPr>
          <a:grpSpLocks noChangeAspect="1"/>
        </xdr:cNvGrpSpPr>
      </xdr:nvGrpSpPr>
      <xdr:grpSpPr>
        <a:xfrm>
          <a:off x="1287165" y="2982267"/>
          <a:ext cx="343209" cy="292100"/>
          <a:chOff x="1847850" y="4562475"/>
          <a:chExt cx="447675" cy="381000"/>
        </a:xfrm>
        <a:solidFill>
          <a:schemeClr val="accent1">
            <a:lumMod val="75000"/>
          </a:schemeClr>
        </a:solidFill>
      </xdr:grpSpPr>
      <xdr:sp macro="" textlink="">
        <xdr:nvSpPr>
          <xdr:cNvPr id="20" name="Freeform 16">
            <a:extLst>
              <a:ext uri="{FF2B5EF4-FFF2-40B4-BE49-F238E27FC236}">
                <a16:creationId xmlns:a16="http://schemas.microsoft.com/office/drawing/2014/main" id="{00000000-0008-0000-0100-000014000000}"/>
              </a:ext>
            </a:extLst>
          </xdr:cNvPr>
          <xdr:cNvSpPr>
            <a:spLocks/>
          </xdr:cNvSpPr>
        </xdr:nvSpPr>
        <xdr:spPr bwMode="auto">
          <a:xfrm>
            <a:off x="1847850" y="4695825"/>
            <a:ext cx="447675" cy="247650"/>
          </a:xfrm>
          <a:custGeom>
            <a:avLst/>
            <a:gdLst>
              <a:gd name="T0" fmla="*/ 6 w 517"/>
              <a:gd name="T1" fmla="*/ 0 h 280"/>
              <a:gd name="T2" fmla="*/ 218 w 517"/>
              <a:gd name="T3" fmla="*/ 172 h 280"/>
              <a:gd name="T4" fmla="*/ 218 w 517"/>
              <a:gd name="T5" fmla="*/ 173 h 280"/>
              <a:gd name="T6" fmla="*/ 230 w 517"/>
              <a:gd name="T7" fmla="*/ 180 h 280"/>
              <a:gd name="T8" fmla="*/ 245 w 517"/>
              <a:gd name="T9" fmla="*/ 184 h 280"/>
              <a:gd name="T10" fmla="*/ 259 w 517"/>
              <a:gd name="T11" fmla="*/ 186 h 280"/>
              <a:gd name="T12" fmla="*/ 273 w 517"/>
              <a:gd name="T13" fmla="*/ 184 h 280"/>
              <a:gd name="T14" fmla="*/ 287 w 517"/>
              <a:gd name="T15" fmla="*/ 179 h 280"/>
              <a:gd name="T16" fmla="*/ 300 w 517"/>
              <a:gd name="T17" fmla="*/ 172 h 280"/>
              <a:gd name="T18" fmla="*/ 300 w 517"/>
              <a:gd name="T19" fmla="*/ 171 h 280"/>
              <a:gd name="T20" fmla="*/ 379 w 517"/>
              <a:gd name="T21" fmla="*/ 108 h 280"/>
              <a:gd name="T22" fmla="*/ 492 w 517"/>
              <a:gd name="T23" fmla="*/ 16 h 280"/>
              <a:gd name="T24" fmla="*/ 511 w 517"/>
              <a:gd name="T25" fmla="*/ 0 h 280"/>
              <a:gd name="T26" fmla="*/ 515 w 517"/>
              <a:gd name="T27" fmla="*/ 11 h 280"/>
              <a:gd name="T28" fmla="*/ 516 w 517"/>
              <a:gd name="T29" fmla="*/ 21 h 280"/>
              <a:gd name="T30" fmla="*/ 517 w 517"/>
              <a:gd name="T31" fmla="*/ 232 h 280"/>
              <a:gd name="T32" fmla="*/ 515 w 517"/>
              <a:gd name="T33" fmla="*/ 246 h 280"/>
              <a:gd name="T34" fmla="*/ 508 w 517"/>
              <a:gd name="T35" fmla="*/ 259 h 280"/>
              <a:gd name="T36" fmla="*/ 373 w 517"/>
              <a:gd name="T37" fmla="*/ 158 h 280"/>
              <a:gd name="T38" fmla="*/ 371 w 517"/>
              <a:gd name="T39" fmla="*/ 157 h 280"/>
              <a:gd name="T40" fmla="*/ 368 w 517"/>
              <a:gd name="T41" fmla="*/ 156 h 280"/>
              <a:gd name="T42" fmla="*/ 366 w 517"/>
              <a:gd name="T43" fmla="*/ 157 h 280"/>
              <a:gd name="T44" fmla="*/ 364 w 517"/>
              <a:gd name="T45" fmla="*/ 159 h 280"/>
              <a:gd name="T46" fmla="*/ 362 w 517"/>
              <a:gd name="T47" fmla="*/ 163 h 280"/>
              <a:gd name="T48" fmla="*/ 362 w 517"/>
              <a:gd name="T49" fmla="*/ 165 h 280"/>
              <a:gd name="T50" fmla="*/ 363 w 517"/>
              <a:gd name="T51" fmla="*/ 168 h 280"/>
              <a:gd name="T52" fmla="*/ 365 w 517"/>
              <a:gd name="T53" fmla="*/ 170 h 280"/>
              <a:gd name="T54" fmla="*/ 499 w 517"/>
              <a:gd name="T55" fmla="*/ 269 h 280"/>
              <a:gd name="T56" fmla="*/ 485 w 517"/>
              <a:gd name="T57" fmla="*/ 277 h 280"/>
              <a:gd name="T58" fmla="*/ 468 w 517"/>
              <a:gd name="T59" fmla="*/ 280 h 280"/>
              <a:gd name="T60" fmla="*/ 49 w 517"/>
              <a:gd name="T61" fmla="*/ 280 h 280"/>
              <a:gd name="T62" fmla="*/ 33 w 517"/>
              <a:gd name="T63" fmla="*/ 278 h 280"/>
              <a:gd name="T64" fmla="*/ 20 w 517"/>
              <a:gd name="T65" fmla="*/ 270 h 280"/>
              <a:gd name="T66" fmla="*/ 153 w 517"/>
              <a:gd name="T67" fmla="*/ 170 h 280"/>
              <a:gd name="T68" fmla="*/ 155 w 517"/>
              <a:gd name="T69" fmla="*/ 168 h 280"/>
              <a:gd name="T70" fmla="*/ 156 w 517"/>
              <a:gd name="T71" fmla="*/ 165 h 280"/>
              <a:gd name="T72" fmla="*/ 156 w 517"/>
              <a:gd name="T73" fmla="*/ 163 h 280"/>
              <a:gd name="T74" fmla="*/ 155 w 517"/>
              <a:gd name="T75" fmla="*/ 159 h 280"/>
              <a:gd name="T76" fmla="*/ 153 w 517"/>
              <a:gd name="T77" fmla="*/ 157 h 280"/>
              <a:gd name="T78" fmla="*/ 150 w 517"/>
              <a:gd name="T79" fmla="*/ 156 h 280"/>
              <a:gd name="T80" fmla="*/ 148 w 517"/>
              <a:gd name="T81" fmla="*/ 157 h 280"/>
              <a:gd name="T82" fmla="*/ 145 w 517"/>
              <a:gd name="T83" fmla="*/ 158 h 280"/>
              <a:gd name="T84" fmla="*/ 10 w 517"/>
              <a:gd name="T85" fmla="*/ 260 h 280"/>
              <a:gd name="T86" fmla="*/ 2 w 517"/>
              <a:gd name="T87" fmla="*/ 247 h 280"/>
              <a:gd name="T88" fmla="*/ 0 w 517"/>
              <a:gd name="T89" fmla="*/ 232 h 280"/>
              <a:gd name="T90" fmla="*/ 0 w 517"/>
              <a:gd name="T91" fmla="*/ 228 h 280"/>
              <a:gd name="T92" fmla="*/ 0 w 517"/>
              <a:gd name="T93" fmla="*/ 218 h 280"/>
              <a:gd name="T94" fmla="*/ 0 w 517"/>
              <a:gd name="T95" fmla="*/ 203 h 280"/>
              <a:gd name="T96" fmla="*/ 0 w 517"/>
              <a:gd name="T97" fmla="*/ 184 h 280"/>
              <a:gd name="T98" fmla="*/ 0 w 517"/>
              <a:gd name="T99" fmla="*/ 163 h 280"/>
              <a:gd name="T100" fmla="*/ 0 w 517"/>
              <a:gd name="T101" fmla="*/ 139 h 280"/>
              <a:gd name="T102" fmla="*/ 0 w 517"/>
              <a:gd name="T103" fmla="*/ 115 h 280"/>
              <a:gd name="T104" fmla="*/ 0 w 517"/>
              <a:gd name="T105" fmla="*/ 91 h 280"/>
              <a:gd name="T106" fmla="*/ 0 w 517"/>
              <a:gd name="T107" fmla="*/ 69 h 280"/>
              <a:gd name="T108" fmla="*/ 0 w 517"/>
              <a:gd name="T109" fmla="*/ 50 h 280"/>
              <a:gd name="T110" fmla="*/ 0 w 517"/>
              <a:gd name="T111" fmla="*/ 35 h 280"/>
              <a:gd name="T112" fmla="*/ 0 w 517"/>
              <a:gd name="T113" fmla="*/ 25 h 280"/>
              <a:gd name="T114" fmla="*/ 0 w 517"/>
              <a:gd name="T115" fmla="*/ 21 h 280"/>
              <a:gd name="T116" fmla="*/ 1 w 517"/>
              <a:gd name="T117" fmla="*/ 10 h 280"/>
              <a:gd name="T118" fmla="*/ 6 w 517"/>
              <a:gd name="T119" fmla="*/ 0 h 2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17" h="280">
                <a:moveTo>
                  <a:pt x="6" y="0"/>
                </a:moveTo>
                <a:lnTo>
                  <a:pt x="218" y="172"/>
                </a:lnTo>
                <a:lnTo>
                  <a:pt x="218" y="173"/>
                </a:lnTo>
                <a:lnTo>
                  <a:pt x="230" y="180"/>
                </a:lnTo>
                <a:lnTo>
                  <a:pt x="245" y="184"/>
                </a:lnTo>
                <a:lnTo>
                  <a:pt x="259" y="186"/>
                </a:lnTo>
                <a:lnTo>
                  <a:pt x="273" y="184"/>
                </a:lnTo>
                <a:lnTo>
                  <a:pt x="287" y="179"/>
                </a:lnTo>
                <a:lnTo>
                  <a:pt x="300" y="172"/>
                </a:lnTo>
                <a:lnTo>
                  <a:pt x="300" y="171"/>
                </a:lnTo>
                <a:lnTo>
                  <a:pt x="379" y="108"/>
                </a:lnTo>
                <a:lnTo>
                  <a:pt x="492" y="16"/>
                </a:lnTo>
                <a:lnTo>
                  <a:pt x="511" y="0"/>
                </a:lnTo>
                <a:lnTo>
                  <a:pt x="515" y="11"/>
                </a:lnTo>
                <a:lnTo>
                  <a:pt x="516" y="21"/>
                </a:lnTo>
                <a:lnTo>
                  <a:pt x="517" y="232"/>
                </a:lnTo>
                <a:lnTo>
                  <a:pt x="515" y="246"/>
                </a:lnTo>
                <a:lnTo>
                  <a:pt x="508" y="259"/>
                </a:lnTo>
                <a:lnTo>
                  <a:pt x="373" y="158"/>
                </a:lnTo>
                <a:lnTo>
                  <a:pt x="371" y="157"/>
                </a:lnTo>
                <a:lnTo>
                  <a:pt x="368" y="156"/>
                </a:lnTo>
                <a:lnTo>
                  <a:pt x="366" y="157"/>
                </a:lnTo>
                <a:lnTo>
                  <a:pt x="364" y="159"/>
                </a:lnTo>
                <a:lnTo>
                  <a:pt x="362" y="163"/>
                </a:lnTo>
                <a:lnTo>
                  <a:pt x="362" y="165"/>
                </a:lnTo>
                <a:lnTo>
                  <a:pt x="363" y="168"/>
                </a:lnTo>
                <a:lnTo>
                  <a:pt x="365" y="170"/>
                </a:lnTo>
                <a:lnTo>
                  <a:pt x="499" y="269"/>
                </a:lnTo>
                <a:lnTo>
                  <a:pt x="485" y="277"/>
                </a:lnTo>
                <a:lnTo>
                  <a:pt x="468" y="280"/>
                </a:lnTo>
                <a:lnTo>
                  <a:pt x="49" y="280"/>
                </a:lnTo>
                <a:lnTo>
                  <a:pt x="33" y="278"/>
                </a:lnTo>
                <a:lnTo>
                  <a:pt x="20" y="270"/>
                </a:lnTo>
                <a:lnTo>
                  <a:pt x="153" y="170"/>
                </a:lnTo>
                <a:lnTo>
                  <a:pt x="155" y="168"/>
                </a:lnTo>
                <a:lnTo>
                  <a:pt x="156" y="165"/>
                </a:lnTo>
                <a:lnTo>
                  <a:pt x="156" y="163"/>
                </a:lnTo>
                <a:lnTo>
                  <a:pt x="155" y="159"/>
                </a:lnTo>
                <a:lnTo>
                  <a:pt x="153" y="157"/>
                </a:lnTo>
                <a:lnTo>
                  <a:pt x="150" y="156"/>
                </a:lnTo>
                <a:lnTo>
                  <a:pt x="148" y="157"/>
                </a:lnTo>
                <a:lnTo>
                  <a:pt x="145" y="158"/>
                </a:lnTo>
                <a:lnTo>
                  <a:pt x="10" y="260"/>
                </a:lnTo>
                <a:lnTo>
                  <a:pt x="2" y="247"/>
                </a:lnTo>
                <a:lnTo>
                  <a:pt x="0" y="232"/>
                </a:lnTo>
                <a:lnTo>
                  <a:pt x="0" y="228"/>
                </a:lnTo>
                <a:lnTo>
                  <a:pt x="0" y="218"/>
                </a:lnTo>
                <a:lnTo>
                  <a:pt x="0" y="203"/>
                </a:lnTo>
                <a:lnTo>
                  <a:pt x="0" y="184"/>
                </a:lnTo>
                <a:lnTo>
                  <a:pt x="0" y="163"/>
                </a:lnTo>
                <a:lnTo>
                  <a:pt x="0" y="139"/>
                </a:lnTo>
                <a:lnTo>
                  <a:pt x="0" y="115"/>
                </a:lnTo>
                <a:lnTo>
                  <a:pt x="0" y="91"/>
                </a:lnTo>
                <a:lnTo>
                  <a:pt x="0" y="69"/>
                </a:lnTo>
                <a:lnTo>
                  <a:pt x="0" y="50"/>
                </a:lnTo>
                <a:lnTo>
                  <a:pt x="0" y="35"/>
                </a:lnTo>
                <a:lnTo>
                  <a:pt x="0" y="25"/>
                </a:lnTo>
                <a:lnTo>
                  <a:pt x="0" y="21"/>
                </a:lnTo>
                <a:lnTo>
                  <a:pt x="1" y="10"/>
                </a:lnTo>
                <a:lnTo>
                  <a:pt x="6" y="0"/>
                </a:lnTo>
                <a:close/>
              </a:path>
            </a:pathLst>
          </a:custGeom>
          <a:grpFill/>
          <a:ln w="0">
            <a:solidFill>
              <a:schemeClr val="accent1"/>
            </a:solidFill>
            <a:prstDash val="solid"/>
            <a:round/>
            <a:headEnd/>
            <a:tailEnd/>
          </a:ln>
        </xdr:spPr>
      </xdr:sp>
      <xdr:sp macro="" textlink="">
        <xdr:nvSpPr>
          <xdr:cNvPr id="21" name="Freeform 17">
            <a:extLst>
              <a:ext uri="{FF2B5EF4-FFF2-40B4-BE49-F238E27FC236}">
                <a16:creationId xmlns:a16="http://schemas.microsoft.com/office/drawing/2014/main" id="{00000000-0008-0000-0100-000015000000}"/>
              </a:ext>
            </a:extLst>
          </xdr:cNvPr>
          <xdr:cNvSpPr>
            <a:spLocks/>
          </xdr:cNvSpPr>
        </xdr:nvSpPr>
        <xdr:spPr bwMode="auto">
          <a:xfrm>
            <a:off x="1866900" y="4562475"/>
            <a:ext cx="409575" cy="209550"/>
          </a:xfrm>
          <a:custGeom>
            <a:avLst/>
            <a:gdLst>
              <a:gd name="T0" fmla="*/ 234 w 467"/>
              <a:gd name="T1" fmla="*/ 0 h 245"/>
              <a:gd name="T2" fmla="*/ 248 w 467"/>
              <a:gd name="T3" fmla="*/ 1 h 245"/>
              <a:gd name="T4" fmla="*/ 261 w 467"/>
              <a:gd name="T5" fmla="*/ 6 h 245"/>
              <a:gd name="T6" fmla="*/ 274 w 467"/>
              <a:gd name="T7" fmla="*/ 13 h 245"/>
              <a:gd name="T8" fmla="*/ 467 w 467"/>
              <a:gd name="T9" fmla="*/ 139 h 245"/>
              <a:gd name="T10" fmla="*/ 397 w 467"/>
              <a:gd name="T11" fmla="*/ 195 h 245"/>
              <a:gd name="T12" fmla="*/ 310 w 467"/>
              <a:gd name="T13" fmla="*/ 127 h 245"/>
              <a:gd name="T14" fmla="*/ 310 w 467"/>
              <a:gd name="T15" fmla="*/ 191 h 245"/>
              <a:gd name="T16" fmla="*/ 312 w 467"/>
              <a:gd name="T17" fmla="*/ 202 h 245"/>
              <a:gd name="T18" fmla="*/ 318 w 467"/>
              <a:gd name="T19" fmla="*/ 210 h 245"/>
              <a:gd name="T20" fmla="*/ 326 w 467"/>
              <a:gd name="T21" fmla="*/ 215 h 245"/>
              <a:gd name="T22" fmla="*/ 336 w 467"/>
              <a:gd name="T23" fmla="*/ 217 h 245"/>
              <a:gd name="T24" fmla="*/ 371 w 467"/>
              <a:gd name="T25" fmla="*/ 217 h 245"/>
              <a:gd name="T26" fmla="*/ 354 w 467"/>
              <a:gd name="T27" fmla="*/ 231 h 245"/>
              <a:gd name="T28" fmla="*/ 337 w 467"/>
              <a:gd name="T29" fmla="*/ 245 h 245"/>
              <a:gd name="T30" fmla="*/ 336 w 467"/>
              <a:gd name="T31" fmla="*/ 245 h 245"/>
              <a:gd name="T32" fmla="*/ 319 w 467"/>
              <a:gd name="T33" fmla="*/ 242 h 245"/>
              <a:gd name="T34" fmla="*/ 304 w 467"/>
              <a:gd name="T35" fmla="*/ 234 h 245"/>
              <a:gd name="T36" fmla="*/ 293 w 467"/>
              <a:gd name="T37" fmla="*/ 223 h 245"/>
              <a:gd name="T38" fmla="*/ 285 w 467"/>
              <a:gd name="T39" fmla="*/ 209 h 245"/>
              <a:gd name="T40" fmla="*/ 283 w 467"/>
              <a:gd name="T41" fmla="*/ 191 h 245"/>
              <a:gd name="T42" fmla="*/ 283 w 467"/>
              <a:gd name="T43" fmla="*/ 124 h 245"/>
              <a:gd name="T44" fmla="*/ 106 w 467"/>
              <a:gd name="T45" fmla="*/ 124 h 245"/>
              <a:gd name="T46" fmla="*/ 91 w 467"/>
              <a:gd name="T47" fmla="*/ 127 h 245"/>
              <a:gd name="T48" fmla="*/ 80 w 467"/>
              <a:gd name="T49" fmla="*/ 134 h 245"/>
              <a:gd name="T50" fmla="*/ 73 w 467"/>
              <a:gd name="T51" fmla="*/ 146 h 245"/>
              <a:gd name="T52" fmla="*/ 70 w 467"/>
              <a:gd name="T53" fmla="*/ 160 h 245"/>
              <a:gd name="T54" fmla="*/ 70 w 467"/>
              <a:gd name="T55" fmla="*/ 195 h 245"/>
              <a:gd name="T56" fmla="*/ 0 w 467"/>
              <a:gd name="T57" fmla="*/ 139 h 245"/>
              <a:gd name="T58" fmla="*/ 194 w 467"/>
              <a:gd name="T59" fmla="*/ 12 h 245"/>
              <a:gd name="T60" fmla="*/ 194 w 467"/>
              <a:gd name="T61" fmla="*/ 12 h 245"/>
              <a:gd name="T62" fmla="*/ 206 w 467"/>
              <a:gd name="T63" fmla="*/ 5 h 245"/>
              <a:gd name="T64" fmla="*/ 220 w 467"/>
              <a:gd name="T65" fmla="*/ 1 h 245"/>
              <a:gd name="T66" fmla="*/ 234 w 467"/>
              <a:gd name="T67" fmla="*/ 0 h 2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467" h="245">
                <a:moveTo>
                  <a:pt x="234" y="0"/>
                </a:moveTo>
                <a:lnTo>
                  <a:pt x="248" y="1"/>
                </a:lnTo>
                <a:lnTo>
                  <a:pt x="261" y="6"/>
                </a:lnTo>
                <a:lnTo>
                  <a:pt x="274" y="13"/>
                </a:lnTo>
                <a:lnTo>
                  <a:pt x="467" y="139"/>
                </a:lnTo>
                <a:lnTo>
                  <a:pt x="397" y="195"/>
                </a:lnTo>
                <a:lnTo>
                  <a:pt x="310" y="127"/>
                </a:lnTo>
                <a:lnTo>
                  <a:pt x="310" y="191"/>
                </a:lnTo>
                <a:lnTo>
                  <a:pt x="312" y="202"/>
                </a:lnTo>
                <a:lnTo>
                  <a:pt x="318" y="210"/>
                </a:lnTo>
                <a:lnTo>
                  <a:pt x="326" y="215"/>
                </a:lnTo>
                <a:lnTo>
                  <a:pt x="336" y="217"/>
                </a:lnTo>
                <a:lnTo>
                  <a:pt x="371" y="217"/>
                </a:lnTo>
                <a:lnTo>
                  <a:pt x="354" y="231"/>
                </a:lnTo>
                <a:lnTo>
                  <a:pt x="337" y="245"/>
                </a:lnTo>
                <a:lnTo>
                  <a:pt x="336" y="245"/>
                </a:lnTo>
                <a:lnTo>
                  <a:pt x="319" y="242"/>
                </a:lnTo>
                <a:lnTo>
                  <a:pt x="304" y="234"/>
                </a:lnTo>
                <a:lnTo>
                  <a:pt x="293" y="223"/>
                </a:lnTo>
                <a:lnTo>
                  <a:pt x="285" y="209"/>
                </a:lnTo>
                <a:lnTo>
                  <a:pt x="283" y="191"/>
                </a:lnTo>
                <a:lnTo>
                  <a:pt x="283" y="124"/>
                </a:lnTo>
                <a:lnTo>
                  <a:pt x="106" y="124"/>
                </a:lnTo>
                <a:lnTo>
                  <a:pt x="91" y="127"/>
                </a:lnTo>
                <a:lnTo>
                  <a:pt x="80" y="134"/>
                </a:lnTo>
                <a:lnTo>
                  <a:pt x="73" y="146"/>
                </a:lnTo>
                <a:lnTo>
                  <a:pt x="70" y="160"/>
                </a:lnTo>
                <a:lnTo>
                  <a:pt x="70" y="195"/>
                </a:lnTo>
                <a:lnTo>
                  <a:pt x="0" y="139"/>
                </a:lnTo>
                <a:lnTo>
                  <a:pt x="194" y="12"/>
                </a:lnTo>
                <a:lnTo>
                  <a:pt x="194" y="12"/>
                </a:lnTo>
                <a:lnTo>
                  <a:pt x="206" y="5"/>
                </a:lnTo>
                <a:lnTo>
                  <a:pt x="220" y="1"/>
                </a:lnTo>
                <a:lnTo>
                  <a:pt x="234" y="0"/>
                </a:lnTo>
                <a:close/>
              </a:path>
            </a:pathLst>
          </a:custGeom>
          <a:grpFill/>
          <a:ln w="0">
            <a:solidFill>
              <a:schemeClr val="accent1"/>
            </a:solidFill>
            <a:prstDash val="solid"/>
            <a:round/>
            <a:headEnd/>
            <a:tailEnd/>
          </a:ln>
        </xdr:spPr>
      </xdr:sp>
    </xdr:grpSp>
    <xdr:clientData/>
  </xdr:oneCellAnchor>
  <xdr:twoCellAnchor editAs="oneCell">
    <xdr:from>
      <xdr:col>2</xdr:col>
      <xdr:colOff>715202</xdr:colOff>
      <xdr:row>13</xdr:row>
      <xdr:rowOff>6350</xdr:rowOff>
    </xdr:from>
    <xdr:to>
      <xdr:col>2</xdr:col>
      <xdr:colOff>1020577</xdr:colOff>
      <xdr:row>14</xdr:row>
      <xdr:rowOff>125870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a:duotone>
            <a:schemeClr val="accent1">
              <a:shade val="45000"/>
              <a:satMod val="135000"/>
            </a:schemeClr>
            <a:prstClr val="white"/>
          </a:duotone>
        </a:blip>
        <a:stretch>
          <a:fillRect/>
        </a:stretch>
      </xdr:blipFill>
      <xdr:spPr>
        <a:xfrm>
          <a:off x="1309114" y="3603438"/>
          <a:ext cx="297438" cy="313196"/>
        </a:xfrm>
        <a:prstGeom prst="rect">
          <a:avLst/>
        </a:prstGeom>
      </xdr:spPr>
    </xdr:pic>
    <xdr:clientData/>
  </xdr:twoCellAnchor>
  <xdr:twoCellAnchor editAs="oneCell">
    <xdr:from>
      <xdr:col>0</xdr:col>
      <xdr:colOff>157504</xdr:colOff>
      <xdr:row>16</xdr:row>
      <xdr:rowOff>164648</xdr:rowOff>
    </xdr:from>
    <xdr:to>
      <xdr:col>0</xdr:col>
      <xdr:colOff>544853</xdr:colOff>
      <xdr:row>18</xdr:row>
      <xdr:rowOff>134214</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duotone>
            <a:schemeClr val="accent1">
              <a:shade val="45000"/>
              <a:satMod val="135000"/>
            </a:schemeClr>
            <a:prstClr val="white"/>
          </a:duotone>
        </a:blip>
        <a:stretch>
          <a:fillRect/>
        </a:stretch>
      </xdr:blipFill>
      <xdr:spPr>
        <a:xfrm>
          <a:off x="157504" y="3593648"/>
          <a:ext cx="387349" cy="354397"/>
        </a:xfrm>
        <a:prstGeom prst="rect">
          <a:avLst/>
        </a:prstGeom>
      </xdr:spPr>
    </xdr:pic>
    <xdr:clientData/>
  </xdr:twoCellAnchor>
  <xdr:twoCellAnchor editAs="oneCell">
    <xdr:from>
      <xdr:col>7</xdr:col>
      <xdr:colOff>577849</xdr:colOff>
      <xdr:row>3</xdr:row>
      <xdr:rowOff>25400</xdr:rowOff>
    </xdr:from>
    <xdr:to>
      <xdr:col>7</xdr:col>
      <xdr:colOff>865959</xdr:colOff>
      <xdr:row>3</xdr:row>
      <xdr:rowOff>322064</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7">
          <a:duotone>
            <a:schemeClr val="accent1">
              <a:shade val="45000"/>
              <a:satMod val="135000"/>
            </a:schemeClr>
            <a:prstClr val="white"/>
          </a:duotone>
        </a:blip>
        <a:stretch>
          <a:fillRect/>
        </a:stretch>
      </xdr:blipFill>
      <xdr:spPr>
        <a:xfrm>
          <a:off x="11296649" y="977900"/>
          <a:ext cx="286523" cy="2855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1228724</xdr:colOff>
      <xdr:row>4</xdr:row>
      <xdr:rowOff>76199</xdr:rowOff>
    </xdr:from>
    <xdr:to>
      <xdr:col>3</xdr:col>
      <xdr:colOff>28575</xdr:colOff>
      <xdr:row>6</xdr:row>
      <xdr:rowOff>123825</xdr:rowOff>
    </xdr:to>
    <xdr:pic>
      <xdr:nvPicPr>
        <xdr:cNvPr id="5" name="Graphic 4" descr="Play">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76424" y="1485899"/>
          <a:ext cx="676276" cy="676276"/>
        </a:xfrm>
        <a:prstGeom prst="rect">
          <a:avLst/>
        </a:prstGeom>
      </xdr:spPr>
    </xdr:pic>
    <xdr:clientData/>
  </xdr:twoCellAnchor>
  <xdr:twoCellAnchor editAs="oneCell">
    <xdr:from>
      <xdr:col>4</xdr:col>
      <xdr:colOff>1887029</xdr:colOff>
      <xdr:row>1</xdr:row>
      <xdr:rowOff>53915</xdr:rowOff>
    </xdr:from>
    <xdr:to>
      <xdr:col>4</xdr:col>
      <xdr:colOff>2801429</xdr:colOff>
      <xdr:row>1</xdr:row>
      <xdr:rowOff>973077</xdr:rowOff>
    </xdr:to>
    <xdr:pic>
      <xdr:nvPicPr>
        <xdr:cNvPr id="3" name="Graphic 2" descr="Research">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9381227" y="736840"/>
          <a:ext cx="914400" cy="914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52400" y="501650"/>
          <a:ext cx="304800" cy="364801"/>
        </a:xfrm>
        <a:prstGeom prst="rect">
          <a:avLst/>
        </a:prstGeom>
      </xdr:spPr>
    </xdr:pic>
    <xdr:clientData/>
  </xdr:twoCellAnchor>
  <xdr:oneCellAnchor>
    <xdr:from>
      <xdr:col>0</xdr:col>
      <xdr:colOff>171450</xdr:colOff>
      <xdr:row>4</xdr:row>
      <xdr:rowOff>63500</xdr:rowOff>
    </xdr:from>
    <xdr:ext cx="313810" cy="311150"/>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a:duotone>
            <a:schemeClr val="accent6">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146051</xdr:colOff>
      <xdr:row>7</xdr:row>
      <xdr:rowOff>38100</xdr:rowOff>
    </xdr:from>
    <xdr:to>
      <xdr:col>0</xdr:col>
      <xdr:colOff>516119</xdr:colOff>
      <xdr:row>9</xdr:row>
      <xdr:rowOff>26593</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a:duotone>
            <a:schemeClr val="accent6">
              <a:shade val="45000"/>
              <a:satMod val="135000"/>
            </a:schemeClr>
            <a:prstClr val="white"/>
          </a:duotone>
        </a:blip>
        <a:stretch>
          <a:fillRect/>
        </a:stretch>
      </xdr:blipFill>
      <xdr:spPr>
        <a:xfrm>
          <a:off x="146051" y="1682750"/>
          <a:ext cx="365306" cy="371174"/>
        </a:xfrm>
        <a:prstGeom prst="rect">
          <a:avLst/>
        </a:prstGeom>
      </xdr:spPr>
    </xdr:pic>
    <xdr:clientData/>
  </xdr:twoCellAnchor>
  <xdr:twoCellAnchor editAs="oneCell">
    <xdr:from>
      <xdr:col>0</xdr:col>
      <xdr:colOff>146051</xdr:colOff>
      <xdr:row>21</xdr:row>
      <xdr:rowOff>38100</xdr:rowOff>
    </xdr:from>
    <xdr:to>
      <xdr:col>0</xdr:col>
      <xdr:colOff>457200</xdr:colOff>
      <xdr:row>22</xdr:row>
      <xdr:rowOff>143046</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4">
          <a:duotone>
            <a:schemeClr val="accent6">
              <a:shade val="45000"/>
              <a:satMod val="135000"/>
            </a:schemeClr>
            <a:prstClr val="white"/>
          </a:duotone>
        </a:blip>
        <a:stretch>
          <a:fillRect/>
        </a:stretch>
      </xdr:blipFill>
      <xdr:spPr>
        <a:xfrm>
          <a:off x="146051" y="4121150"/>
          <a:ext cx="311149" cy="285921"/>
        </a:xfrm>
        <a:prstGeom prst="rect">
          <a:avLst/>
        </a:prstGeom>
      </xdr:spPr>
    </xdr:pic>
    <xdr:clientData/>
  </xdr:twoCellAnchor>
  <xdr:twoCellAnchor editAs="oneCell">
    <xdr:from>
      <xdr:col>10</xdr:col>
      <xdr:colOff>641350</xdr:colOff>
      <xdr:row>24</xdr:row>
      <xdr:rowOff>114300</xdr:rowOff>
    </xdr:from>
    <xdr:to>
      <xdr:col>10</xdr:col>
      <xdr:colOff>1011418</xdr:colOff>
      <xdr:row>24</xdr:row>
      <xdr:rowOff>369586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duotone>
            <a:schemeClr val="accent6">
              <a:shade val="45000"/>
              <a:satMod val="135000"/>
            </a:schemeClr>
            <a:prstClr val="white"/>
          </a:duotone>
        </a:blip>
        <a:stretch>
          <a:fillRect/>
        </a:stretch>
      </xdr:blipFill>
      <xdr:spPr>
        <a:xfrm>
          <a:off x="11042650" y="4768850"/>
          <a:ext cx="365306" cy="371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10788</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duotone>
            <a:schemeClr val="accent6">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546100</xdr:colOff>
      <xdr:row>100</xdr:row>
      <xdr:rowOff>0</xdr:rowOff>
    </xdr:from>
    <xdr:to>
      <xdr:col>1</xdr:col>
      <xdr:colOff>239712</xdr:colOff>
      <xdr:row>102</xdr:row>
      <xdr:rowOff>29632</xdr:rowOff>
    </xdr:to>
    <xdr:pic>
      <xdr:nvPicPr>
        <xdr:cNvPr id="12" name="Picture 11" descr="Image result for icon drug">
          <a:extLst>
            <a:ext uri="{FF2B5EF4-FFF2-40B4-BE49-F238E27FC236}">
              <a16:creationId xmlns:a16="http://schemas.microsoft.com/office/drawing/2014/main" id="{00000000-0008-0000-0400-00000C000000}"/>
            </a:ext>
          </a:extLst>
        </xdr:cNvPr>
        <xdr:cNvPicPr>
          <a:picLocks noChangeAspect="1" noChangeArrowheads="1"/>
        </xdr:cNvPicPr>
      </xdr:nvPicPr>
      <xdr:blipFill rotWithShape="1">
        <a:blip xmlns:r="http://schemas.openxmlformats.org/officeDocument/2006/relationships" r:embed="rId3" cstate="print">
          <a:lum bright="70000" contrast="-70000"/>
          <a:extLst>
            <a:ext uri="{28A0092B-C50C-407E-A947-70E740481C1C}">
              <a14:useLocalDpi xmlns:a14="http://schemas.microsoft.com/office/drawing/2010/main" val="0"/>
            </a:ext>
          </a:extLst>
        </a:blip>
        <a:srcRect l="28306" r="29795"/>
        <a:stretch/>
      </xdr:blipFill>
      <xdr:spPr bwMode="auto">
        <a:xfrm>
          <a:off x="546100" y="11791950"/>
          <a:ext cx="298450" cy="397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549276</xdr:colOff>
      <xdr:row>7</xdr:row>
      <xdr:rowOff>12847</xdr:rowOff>
    </xdr:from>
    <xdr:to>
      <xdr:col>1</xdr:col>
      <xdr:colOff>278293</xdr:colOff>
      <xdr:row>8</xdr:row>
      <xdr:rowOff>154762</xdr:rowOff>
    </xdr:to>
    <xdr:pic>
      <xdr:nvPicPr>
        <xdr:cNvPr id="6" name="Picture 5" descr="Image result for icon drug bottle">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549276" y="1485899"/>
          <a:ext cx="342900" cy="33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52400" y="501650"/>
          <a:ext cx="304800" cy="38512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duotone>
            <a:schemeClr val="accent6">
              <a:shade val="45000"/>
              <a:satMod val="135000"/>
            </a:schemeClr>
            <a:prstClr val="white"/>
          </a:duotone>
        </a:blip>
        <a:stretch>
          <a:fillRect/>
        </a:stretch>
      </xdr:blipFill>
      <xdr:spPr>
        <a:xfrm>
          <a:off x="171450" y="947420"/>
          <a:ext cx="313810" cy="3111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duotone>
            <a:schemeClr val="accent6">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495300</xdr:colOff>
      <xdr:row>7</xdr:row>
      <xdr:rowOff>21575</xdr:rowOff>
    </xdr:from>
    <xdr:to>
      <xdr:col>1</xdr:col>
      <xdr:colOff>266700</xdr:colOff>
      <xdr:row>8</xdr:row>
      <xdr:rowOff>169566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duotone>
            <a:schemeClr val="accent6">
              <a:shade val="45000"/>
              <a:satMod val="135000"/>
            </a:schemeClr>
            <a:prstClr val="white"/>
          </a:duotone>
        </a:blip>
        <a:stretch>
          <a:fillRect/>
        </a:stretch>
      </xdr:blipFill>
      <xdr:spPr>
        <a:xfrm>
          <a:off x="495300" y="1536050"/>
          <a:ext cx="361950" cy="330554"/>
        </a:xfrm>
        <a:prstGeom prst="rect">
          <a:avLst/>
        </a:prstGeom>
      </xdr:spPr>
    </xdr:pic>
    <xdr:clientData/>
  </xdr:twoCellAnchor>
  <xdr:twoCellAnchor editAs="oneCell">
    <xdr:from>
      <xdr:col>0</xdr:col>
      <xdr:colOff>533400</xdr:colOff>
      <xdr:row>42</xdr:row>
      <xdr:rowOff>19050</xdr:rowOff>
    </xdr:from>
    <xdr:to>
      <xdr:col>1</xdr:col>
      <xdr:colOff>258489</xdr:colOff>
      <xdr:row>43</xdr:row>
      <xdr:rowOff>163845</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lum bright="70000" contrast="-70000"/>
        </a:blip>
        <a:stretch>
          <a:fillRect/>
        </a:stretch>
      </xdr:blipFill>
      <xdr:spPr>
        <a:xfrm>
          <a:off x="533400" y="6864350"/>
          <a:ext cx="328339" cy="336883"/>
        </a:xfrm>
        <a:prstGeom prst="rect">
          <a:avLst/>
        </a:prstGeom>
      </xdr:spPr>
    </xdr:pic>
    <xdr:clientData/>
  </xdr:twoCellAnchor>
  <xdr:twoCellAnchor editAs="oneCell">
    <xdr:from>
      <xdr:col>0</xdr:col>
      <xdr:colOff>539750</xdr:colOff>
      <xdr:row>76</xdr:row>
      <xdr:rowOff>57150</xdr:rowOff>
    </xdr:from>
    <xdr:to>
      <xdr:col>1</xdr:col>
      <xdr:colOff>211213</xdr:colOff>
      <xdr:row>77</xdr:row>
      <xdr:rowOff>144237</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lum bright="70000" contrast="-70000"/>
        </a:blip>
        <a:stretch>
          <a:fillRect/>
        </a:stretch>
      </xdr:blipFill>
      <xdr:spPr>
        <a:xfrm>
          <a:off x="539750" y="12490450"/>
          <a:ext cx="281063" cy="269650"/>
        </a:xfrm>
        <a:prstGeom prst="rect">
          <a:avLst/>
        </a:prstGeom>
      </xdr:spPr>
    </xdr:pic>
    <xdr:clientData/>
  </xdr:twoCellAnchor>
  <xdr:twoCellAnchor editAs="oneCell">
    <xdr:from>
      <xdr:col>0</xdr:col>
      <xdr:colOff>173182</xdr:colOff>
      <xdr:row>2</xdr:row>
      <xdr:rowOff>17318</xdr:rowOff>
    </xdr:from>
    <xdr:to>
      <xdr:col>0</xdr:col>
      <xdr:colOff>477982</xdr:colOff>
      <xdr:row>4</xdr:row>
      <xdr:rowOff>8047</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5">
          <a:duotone>
            <a:schemeClr val="accent6">
              <a:shade val="45000"/>
              <a:satMod val="135000"/>
            </a:schemeClr>
            <a:prstClr val="white"/>
          </a:duotone>
        </a:blip>
        <a:stretch>
          <a:fillRect/>
        </a:stretch>
      </xdr:blipFill>
      <xdr:spPr>
        <a:xfrm>
          <a:off x="173182" y="513773"/>
          <a:ext cx="304800" cy="3838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7613</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duotone>
            <a:schemeClr val="accent2">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146051</xdr:colOff>
      <xdr:row>8</xdr:row>
      <xdr:rowOff>38100</xdr:rowOff>
    </xdr:from>
    <xdr:to>
      <xdr:col>0</xdr:col>
      <xdr:colOff>516119</xdr:colOff>
      <xdr:row>10</xdr:row>
      <xdr:rowOff>26593</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duotone>
            <a:schemeClr val="accent2">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Lst>
        </a:blip>
        <a:stretch>
          <a:fillRect/>
        </a:stretch>
      </xdr:blipFill>
      <xdr:spPr>
        <a:xfrm>
          <a:off x="146051" y="1498600"/>
          <a:ext cx="365306" cy="371174"/>
        </a:xfrm>
        <a:prstGeom prst="rect">
          <a:avLst/>
        </a:prstGeom>
      </xdr:spPr>
    </xdr:pic>
    <xdr:clientData/>
  </xdr:twoCellAnchor>
  <xdr:twoCellAnchor editAs="oneCell">
    <xdr:from>
      <xdr:col>0</xdr:col>
      <xdr:colOff>146051</xdr:colOff>
      <xdr:row>37</xdr:row>
      <xdr:rowOff>38100</xdr:rowOff>
    </xdr:from>
    <xdr:to>
      <xdr:col>0</xdr:col>
      <xdr:colOff>457200</xdr:colOff>
      <xdr:row>38</xdr:row>
      <xdr:rowOff>143045</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5">
          <a:duotone>
            <a:schemeClr val="accent2">
              <a:shade val="45000"/>
              <a:satMod val="135000"/>
            </a:schemeClr>
            <a:prstClr val="white"/>
          </a:duotone>
        </a:blip>
        <a:stretch>
          <a:fillRect/>
        </a:stretch>
      </xdr:blipFill>
      <xdr:spPr>
        <a:xfrm>
          <a:off x="146051" y="3949700"/>
          <a:ext cx="311149" cy="285921"/>
        </a:xfrm>
        <a:prstGeom prst="rect">
          <a:avLst/>
        </a:prstGeom>
      </xdr:spPr>
    </xdr:pic>
    <xdr:clientData/>
  </xdr:twoCellAnchor>
  <xdr:twoCellAnchor editAs="oneCell">
    <xdr:from>
      <xdr:col>0</xdr:col>
      <xdr:colOff>146051</xdr:colOff>
      <xdr:row>28</xdr:row>
      <xdr:rowOff>38100</xdr:rowOff>
    </xdr:from>
    <xdr:to>
      <xdr:col>0</xdr:col>
      <xdr:colOff>516119</xdr:colOff>
      <xdr:row>30</xdr:row>
      <xdr:rowOff>26593</xdr:rowOff>
    </xdr:to>
    <xdr:pic>
      <xdr:nvPicPr>
        <xdr:cNvPr id="6" name="Picture 3">
          <a:extLst>
            <a:ext uri="{FF2B5EF4-FFF2-40B4-BE49-F238E27FC236}">
              <a16:creationId xmlns:a16="http://schemas.microsoft.com/office/drawing/2014/main" id="{00000000-0008-0000-0B00-000006000000}"/>
            </a:ext>
            <a:ext uri="{147F2762-F138-4A5C-976F-8EAC2B608ADB}">
              <a16:predDERef xmlns:a16="http://schemas.microsoft.com/office/drawing/2014/main" pred="{00000000-0008-0000-0A00-000005000000}"/>
            </a:ext>
          </a:extLst>
        </xdr:cNvPr>
        <xdr:cNvPicPr>
          <a:picLocks noChangeAspect="1"/>
        </xdr:cNvPicPr>
      </xdr:nvPicPr>
      <xdr:blipFill>
        <a:blip xmlns:r="http://schemas.openxmlformats.org/officeDocument/2006/relationships" r:embed="rId3">
          <a:duotone>
            <a:schemeClr val="accent2">
              <a:shade val="45000"/>
              <a:satMod val="135000"/>
            </a:schemeClr>
            <a:prstClr val="white"/>
          </a:duotone>
          <a:extLst>
            <a:ext uri="{BEBA8EAE-BF5A-486C-A8C5-ECC9F3942E4B}">
              <a14:imgProps xmlns:a14="http://schemas.microsoft.com/office/drawing/2010/main">
                <a14:imgLayer r:embed="rId4">
                  <a14:imgEffect>
                    <a14:sharpenSoften amount="-50000"/>
                  </a14:imgEffect>
                  <a14:imgEffect>
                    <a14:brightnessContrast contrast="40000"/>
                  </a14:imgEffect>
                </a14:imgLayer>
              </a14:imgProps>
            </a:ext>
          </a:extLst>
        </a:blip>
        <a:stretch>
          <a:fillRect/>
        </a:stretch>
      </xdr:blipFill>
      <xdr:spPr>
        <a:xfrm>
          <a:off x="146051" y="1543050"/>
          <a:ext cx="365306" cy="3838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152400</xdr:colOff>
      <xdr:row>2</xdr:row>
      <xdr:rowOff>6350</xdr:rowOff>
    </xdr:from>
    <xdr:to>
      <xdr:col>0</xdr:col>
      <xdr:colOff>457200</xdr:colOff>
      <xdr:row>4</xdr:row>
      <xdr:rowOff>10788</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duotone>
            <a:schemeClr val="accent2">
              <a:shade val="45000"/>
              <a:satMod val="135000"/>
            </a:schemeClr>
            <a:prstClr val="white"/>
          </a:duotone>
        </a:blip>
        <a:stretch>
          <a:fillRect/>
        </a:stretch>
      </xdr:blipFill>
      <xdr:spPr>
        <a:xfrm>
          <a:off x="152400" y="501650"/>
          <a:ext cx="304800" cy="383851"/>
        </a:xfrm>
        <a:prstGeom prst="rect">
          <a:avLst/>
        </a:prstGeom>
      </xdr:spPr>
    </xdr:pic>
    <xdr:clientData/>
  </xdr:twoCellAnchor>
  <xdr:oneCellAnchor>
    <xdr:from>
      <xdr:col>0</xdr:col>
      <xdr:colOff>171450</xdr:colOff>
      <xdr:row>4</xdr:row>
      <xdr:rowOff>63500</xdr:rowOff>
    </xdr:from>
    <xdr:ext cx="313810" cy="311150"/>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a:off x="171450" y="946150"/>
          <a:ext cx="313810" cy="311150"/>
        </a:xfrm>
        <a:prstGeom prst="rect">
          <a:avLst/>
        </a:prstGeom>
      </xdr:spPr>
    </xdr:pic>
    <xdr:clientData/>
  </xdr:oneCellAnchor>
  <xdr:twoCellAnchor editAs="oneCell">
    <xdr:from>
      <xdr:col>0</xdr:col>
      <xdr:colOff>401320</xdr:colOff>
      <xdr:row>104</xdr:row>
      <xdr:rowOff>0</xdr:rowOff>
    </xdr:from>
    <xdr:to>
      <xdr:col>1</xdr:col>
      <xdr:colOff>49900</xdr:colOff>
      <xdr:row>105</xdr:row>
      <xdr:rowOff>144463</xdr:rowOff>
    </xdr:to>
    <xdr:pic>
      <xdr:nvPicPr>
        <xdr:cNvPr id="7" name="Picture 6" descr="Image result for icon drug">
          <a:extLst>
            <a:ext uri="{FF2B5EF4-FFF2-40B4-BE49-F238E27FC236}">
              <a16:creationId xmlns:a16="http://schemas.microsoft.com/office/drawing/2014/main" id="{00000000-0008-0000-0C00-000007000000}"/>
            </a:ext>
          </a:extLst>
        </xdr:cNvPr>
        <xdr:cNvPicPr>
          <a:picLocks noChangeAspect="1" noChangeArrowheads="1"/>
        </xdr:cNvPicPr>
      </xdr:nvPicPr>
      <xdr:blipFill rotWithShape="1">
        <a:blip xmlns:r="http://schemas.openxmlformats.org/officeDocument/2006/relationships" r:embed="rId3" cstate="print">
          <a:lum bright="70000" contrast="-70000"/>
          <a:extLst>
            <a:ext uri="{28A0092B-C50C-407E-A947-70E740481C1C}">
              <a14:useLocalDpi xmlns:a14="http://schemas.microsoft.com/office/drawing/2010/main" val="0"/>
            </a:ext>
          </a:extLst>
        </a:blip>
        <a:srcRect l="28306" r="29795"/>
        <a:stretch/>
      </xdr:blipFill>
      <xdr:spPr bwMode="auto">
        <a:xfrm>
          <a:off x="401320" y="15935325"/>
          <a:ext cx="23595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7</xdr:row>
      <xdr:rowOff>19050</xdr:rowOff>
    </xdr:from>
    <xdr:to>
      <xdr:col>1</xdr:col>
      <xdr:colOff>77787</xdr:colOff>
      <xdr:row>8</xdr:row>
      <xdr:rowOff>160337</xdr:rowOff>
    </xdr:to>
    <xdr:pic>
      <xdr:nvPicPr>
        <xdr:cNvPr id="8" name="Picture 7" descr="Image result for icon drug bottle">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352425" y="1533525"/>
          <a:ext cx="311150" cy="33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34</xdr:row>
      <xdr:rowOff>19050</xdr:rowOff>
    </xdr:from>
    <xdr:to>
      <xdr:col>1</xdr:col>
      <xdr:colOff>77787</xdr:colOff>
      <xdr:row>35</xdr:row>
      <xdr:rowOff>160337</xdr:rowOff>
    </xdr:to>
    <xdr:pic>
      <xdr:nvPicPr>
        <xdr:cNvPr id="6" name="Picture 7" descr="Image result for icon drug bottle">
          <a:extLst>
            <a:ext uri="{FF2B5EF4-FFF2-40B4-BE49-F238E27FC236}">
              <a16:creationId xmlns:a16="http://schemas.microsoft.com/office/drawing/2014/main" id="{00000000-0008-0000-0C00-000006000000}"/>
            </a:ext>
            <a:ext uri="{147F2762-F138-4A5C-976F-8EAC2B608ADB}">
              <a16:predDERef xmlns:a16="http://schemas.microsoft.com/office/drawing/2014/main" pred="{4ED1B43F-7AA8-46EE-9342-D319775BB452}"/>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352425" y="1533525"/>
          <a:ext cx="311150" cy="33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61</xdr:row>
      <xdr:rowOff>19050</xdr:rowOff>
    </xdr:from>
    <xdr:to>
      <xdr:col>1</xdr:col>
      <xdr:colOff>77787</xdr:colOff>
      <xdr:row>62</xdr:row>
      <xdr:rowOff>160337</xdr:rowOff>
    </xdr:to>
    <xdr:pic>
      <xdr:nvPicPr>
        <xdr:cNvPr id="9" name="Picture 7" descr="Image result for icon drug bottle">
          <a:extLst>
            <a:ext uri="{FF2B5EF4-FFF2-40B4-BE49-F238E27FC236}">
              <a16:creationId xmlns:a16="http://schemas.microsoft.com/office/drawing/2014/main" id="{00000000-0008-0000-0C00-000009000000}"/>
            </a:ext>
            <a:ext uri="{147F2762-F138-4A5C-976F-8EAC2B608ADB}">
              <a16:predDERef xmlns:a16="http://schemas.microsoft.com/office/drawing/2014/main" pred="{C47B4395-DA64-4022-8031-EF73CD9C7DFF}"/>
            </a:ext>
          </a:extLst>
        </xdr:cNvPr>
        <xdr:cNvPicPr>
          <a:picLocks noChangeAspect="1" noChangeArrowheads="1"/>
        </xdr:cNvPicPr>
      </xdr:nvPicPr>
      <xdr:blipFill>
        <a:blip xmlns:r="http://schemas.openxmlformats.org/officeDocument/2006/relationships" r:embed="rId4" cstate="print">
          <a:lum bright="70000" contrast="-70000"/>
          <a:extLst>
            <a:ext uri="{BEBA8EAE-BF5A-486C-A8C5-ECC9F3942E4B}">
              <a14:imgProps xmlns:a14="http://schemas.microsoft.com/office/drawing/2010/main">
                <a14:imgLayer r:embed="rId5">
                  <a14:imgEffect>
                    <a14:sharpenSoften amount="-25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flipH="1">
          <a:off x="352425" y="1533525"/>
          <a:ext cx="311150" cy="33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ndows User" refreshedDate="43964.874416087965" createdVersion="6" refreshedVersion="6" minRefreshableVersion="3" recordCount="548" xr:uid="{95DCF171-D878-5F44-890A-D12A3A00F13F}">
  <cacheSource type="worksheet">
    <worksheetSource ref="A1:BR549" sheet="Detailed Budget"/>
  </cacheSource>
  <cacheFields count="75">
    <cacheField name="S.No" numFmtId="0">
      <sharedItems containsSemiMixedTypes="0" containsString="0" containsNumber="1" containsInteger="1" minValue="1" maxValue="1121"/>
    </cacheField>
    <cacheField name="Module" numFmtId="0">
      <sharedItems count="9">
        <s v="Vector Control"/>
        <s v="Case management"/>
        <s v="Specific prevention interventions (SPI)"/>
        <s v="TB care and prevention"/>
        <s v="MDR-TB"/>
        <s v="Prevention"/>
        <s v="PMTCT"/>
        <s v="Differentiated HIV Testing Services"/>
        <s v="Treatment, care and support"/>
      </sharedItems>
    </cacheField>
    <cacheField name="Intervention en" numFmtId="0">
      <sharedItems count="30">
        <s v="Long-lasting insecticidal nets (LLIN) - Mass campaign- Universal"/>
        <s v="Long-lasting insecticidal nets (LLIN) - Mass campaign- Targeted"/>
        <s v="Long-lasting insecticidal nets (LLIN) - Continuous distribution - ANC"/>
        <s v="Long-lasting insecticidal nets (LLIN) - Continuous distribution - EPI"/>
        <s v="Long-lasting insecticidal nets (LLIN) - Continuous distribution - Community-based"/>
        <s v="Long-lasting insecticidal nets (LLIN) - Continuous distribution - School-based"/>
        <s v="Indoor residual spraying (IRS)"/>
        <s v="Facility-based treatment"/>
        <s v="Integrated community case management (ICCM)"/>
        <s v="Private sector case management "/>
        <s v="Intermittent preventive treatment (IPT) - In pregnancy"/>
        <s v="Intermittent preventive treatment (IPT) - In infancy"/>
        <s v="Seasonal malaria chemoprevention"/>
        <s v="Mass drug administration"/>
        <s v="Case detection and diagnosis"/>
        <s v="Treatment"/>
        <s v="Prevention"/>
        <s v="Case detection and diagnosis: MDR-TB"/>
        <s v="Treatment: MDR-TB"/>
        <s v="Condom and lubricant programing"/>
        <s v="Needle and syringe programs"/>
        <s v="Opioid substitution therapy and other medically assisted drug dependence treatment"/>
        <s v="National condom program management and stewardship"/>
        <s v="Prong 1: Primary prevention of HIV infection among women of childbearing age"/>
        <s v="Prong 3: Preventing vertical HIV transmission"/>
        <s v="Facility-based testing"/>
        <s v="Community-based testing "/>
        <s v="Self-testing"/>
        <s v="Differentiated ART service delivery and HIV care"/>
        <s v="Prevention and management of co-infections and co-morbidities"/>
      </sharedItems>
    </cacheField>
    <cacheField name="Activity Decsription" numFmtId="0">
      <sharedItems count="58">
        <s v="Procurement of LLINs (or ITNs) for mass campaigns"/>
        <s v="PSM costs"/>
        <s v="Procurement of LLINs (or ITNs) for continuous distribution"/>
        <s v="Procurement of IRS insecticides"/>
        <s v="Procurement of IRS equipment, spare parts and accessories"/>
        <s v="Procurement of antimalaria medicines for treatment"/>
        <s v="Procurement of RDTs to diagnose malaria"/>
        <s v="Procurement of microscope equipment, spare parts and accessories"/>
        <s v="Procurement of other health equipment"/>
        <s v="Procurement of consumables"/>
        <s v="Procurement of laboratory reagents"/>
        <s v="Procurement of antimalaria medicines for prevention"/>
        <s v="Procurement of RDTs to diagnose TB"/>
        <s v="Procurement of TB Molecular Test equipment"/>
        <s v="Maintenance and service contracts"/>
        <s v="Treatment of drug-sensitive TB"/>
        <s v="Procurement of anti-TB medicines for prevention"/>
        <s v="Treatment of drug-resistant TB"/>
        <s v="Management of side-effects"/>
        <s v="Procurement of condoms &amp; lubricants for Men who have sex with men"/>
        <s v="PSM costs for Men who have sex with men"/>
        <s v="Procurement of condoms &amp; lubricants for Sex workers and their clients"/>
        <s v="PSM costs for Sex workers and their clients"/>
        <s v="Procurement of condoms &amp; lubricants for Transgender people"/>
        <s v="PSM costs for Transgender people"/>
        <s v="NSP for People who inject drugs and their partners"/>
        <s v="OST for People who inject drugs and their partners"/>
        <s v="PSM costs for People who inject drugs and their partners"/>
        <s v="Procurement of condoms &amp; lubricants for People who inject drugs and their partners"/>
        <s v="Procurement of condoms &amp; lubricants for People in prisons and other closed settings"/>
        <s v="PSM costs for People in prisons and other closed settings"/>
        <s v="Procurement of condoms &amp; lubricants for Other vulnerable populations"/>
        <s v="PSM costs for Other vulnerable populations"/>
        <s v="Procurement of condoms &amp; lubricants for Adolescent girls and young women in high prevalence settings"/>
        <s v="PSM costs for Adolescent girls and young women in high prevalence settings"/>
        <s v="Procurement of condoms &amp; lubricants for Men in high prevalence settings"/>
        <s v="PSM costs for Men in high prevalence settings"/>
        <s v="Procurement of condoms &amp; lubricants for Non-specified population groups"/>
        <s v="PSM costs for Non-specified population groups"/>
        <s v="Procurement of condoms &amp; lubricants"/>
        <s v="Procurement of RDTs to diagnose HIV, co-infections, and co-morbidities"/>
        <s v="Procurement of RDTs to diagnose HIV, co-infections, and co-morbidities for Men who have sex with men"/>
        <s v="Procurement of RDTs to diagnose HIV, co-infections, and co-morbidities for Sex workers and their clients"/>
        <s v="Procurement of RDTs to diagnose HIV, co-infections, and co-morbidities for Transgender people"/>
        <s v="Procurement of RDTs to diagnose HIV, co-infections, and co-morbidities for People who inject drugs and their partners "/>
        <s v="PSM costs for People who inject drugs and their partners "/>
        <s v="Procurement of RDTs to diagnose HIV, co-infections, and co-morbidities for People in prisons and other closed settings"/>
        <s v="Procurement of RDTs to diagnose HIV, co-infections, and co-morbidities for Other vulnerable populations"/>
        <s v="Procurement of RDTs to diagnose HIV, co-infections, and co-morbidities for Adolescent girls and young women in high prevalence settings"/>
        <s v="Procurement of RDTs to diagnose HIV, co-infections, and co-morbidities for Men in high prevalence settings"/>
        <s v="Procurement of RDTs to diagnose HIV, co-infections, and co-morbidities for Partners of people living with HIV"/>
        <s v="PSM costs for Partners of people living with HIV"/>
        <s v="Procurement of RDTs to diagnose HIV, co-infections, and co-morbidities for Non-specified population groups"/>
        <s v="Procurement of Antiretroviral medicines"/>
        <s v="Procurement of CD4 machines and accessories"/>
        <s v="Procurement of VL machines and accessories"/>
        <s v="Procurement of OI and STI medicines"/>
        <s v="Procurement of other medicines"/>
      </sharedItems>
    </cacheField>
    <cacheField name="Cost Input" numFmtId="0">
      <sharedItems count="27">
        <s v="5.1 Insecticide-treated Nets (LLINs/ITNs)"/>
        <s v="7.1 Procurement agent and handling fees"/>
        <s v="7.2 Freight and insurance costs (Health products)"/>
        <s v="7.3 Warehouse and Storage Costs"/>
        <s v="7.4 in-country distribution costs"/>
        <s v="7.5 Quality assurance and quality control costs (QA/QC)"/>
        <s v="7.6 PSM Customs Clearance"/>
        <s v="7.7 Other PSM costs"/>
        <s v="5.5 Insecticides"/>
        <s v="6.6 Other health equipment"/>
        <s v="4.3 Antimalarial medicines"/>
        <s v="5.4 Rapid Diagnostic Test"/>
        <s v="6.3 Microscope: Equipment"/>
        <s v="5.8 Other consumables"/>
        <s v="5.6 Laboratory reagents"/>
        <s v="6.4 TB Molecular Test equipment"/>
        <s v="6.5 Maintenance and service costs for health equipment"/>
        <s v="4.2 Anti-tuberculosis medicines"/>
        <s v="4.7 Other medicines"/>
        <s v="5.7 Syringes and needles"/>
        <s v="5.2 Condoms - Male"/>
        <s v="5.3 Condoms - Female"/>
        <s v="4.4 Opioid substitutes medicines"/>
        <s v="4.1 Antiretroviral medicines"/>
        <s v="6.1 CD4 analyser/accessories"/>
        <s v="6.2 HIV Viral Load analyser/accessories"/>
        <s v="4.5 Opportunistic infections and STI medicines"/>
      </sharedItems>
    </cacheField>
    <cacheField name="Cost Input sub Id" numFmtId="1">
      <sharedItems containsNonDate="0" containsString="0" containsBlank="1"/>
    </cacheField>
    <cacheField name="Cost Input Id" numFmtId="1">
      <sharedItems containsNonDate="0" containsString="0" containsBlank="1"/>
    </cacheField>
    <cacheField name="Cost Input No" numFmtId="1">
      <sharedItems containsNonDate="0" containsString="0" containsBlank="1"/>
    </cacheField>
    <cacheField name="Implementer" numFmtId="1">
      <sharedItems longText="1"/>
    </cacheField>
    <cacheField name="Geography/Location" numFmtId="1">
      <sharedItems containsBlank="1"/>
    </cacheField>
    <cacheField name="3rd Party Direct Payment" numFmtId="1">
      <sharedItems containsNonDate="0" containsString="0" containsBlank="1"/>
    </cacheField>
    <cacheField name="Recipient Type" numFmtId="1">
      <sharedItems containsNonDate="0" containsString="0" containsBlank="1"/>
    </cacheField>
    <cacheField name="Type of Implementation Entity" numFmtId="1">
      <sharedItems containsNonDate="0" containsString="0" containsBlank="1"/>
    </cacheField>
    <cacheField name="Account Id" numFmtId="1">
      <sharedItems containsNonDate="0" containsString="0" containsBlank="1"/>
    </cacheField>
    <cacheField name="Currency" numFmtId="1">
      <sharedItems containsNonDate="0" containsString="0" containsBlank="1"/>
    </cacheField>
    <cacheField name="Unit of Measure" numFmtId="1">
      <sharedItems containsNonDate="0" containsString="0" containsBlank="1"/>
    </cacheField>
    <cacheField name="Cost Grouping No" numFmtId="1">
      <sharedItems containsNonDate="0" containsString="0" containsBlank="1"/>
    </cacheField>
    <cacheField name="Payment Currency" numFmtId="1">
      <sharedItems containsNonDate="0" containsString="0" containsBlank="1"/>
    </cacheField>
    <cacheField name="Currency2" numFmtId="1">
      <sharedItems containsNonDate="0" containsString="0" containsBlank="1"/>
    </cacheField>
    <cacheField name="Y1 Unit Cost (Payment Currency)" numFmtId="43">
      <sharedItems containsBlank="1"/>
    </cacheField>
    <cacheField name="Y1 Unit Cost (Grant Currency)" numFmtId="43">
      <sharedItems containsBlank="1"/>
    </cacheField>
    <cacheField name="Q1 Quantity" numFmtId="2">
      <sharedItems containsBlank="1"/>
    </cacheField>
    <cacheField name="Y1 Q1 _x000a_cost" numFmtId="43">
      <sharedItems containsSemiMixedTypes="0" containsString="0" containsNumber="1" containsInteger="1" minValue="0" maxValue="0"/>
    </cacheField>
    <cacheField name="Q2 Quantity" numFmtId="43">
      <sharedItems containsBlank="1"/>
    </cacheField>
    <cacheField name="Y1 Q2 _x000a_cost" numFmtId="43">
      <sharedItems containsSemiMixedTypes="0" containsString="0" containsNumber="1" containsInteger="1" minValue="0" maxValue="0"/>
    </cacheField>
    <cacheField name="Q3 Quantity" numFmtId="43">
      <sharedItems containsBlank="1"/>
    </cacheField>
    <cacheField name="Y1 Q3 _x000a_cost" numFmtId="43">
      <sharedItems containsSemiMixedTypes="0" containsString="0" containsNumber="1" containsInteger="1" minValue="0" maxValue="0"/>
    </cacheField>
    <cacheField name="Q4 Quantity" numFmtId="43">
      <sharedItems containsBlank="1"/>
    </cacheField>
    <cacheField name="Y1 Q4 _x000a_cost" numFmtId="43">
      <sharedItems containsSemiMixedTypes="0" containsString="0" containsNumber="1" containsInteger="1" minValue="0" maxValue="0"/>
    </cacheField>
    <cacheField name="Y1 Total Quantity" numFmtId="43">
      <sharedItems containsNonDate="0" containsString="0" containsBlank="1"/>
    </cacheField>
    <cacheField name="Y1 Total Cash Outflow" numFmtId="43">
      <sharedItems containsSemiMixedTypes="0" containsString="0" containsNumber="1" containsInteger="1" minValue="0" maxValue="0"/>
    </cacheField>
    <cacheField name="b" numFmtId="43">
      <sharedItems containsNonDate="0" containsString="0" containsBlank="1"/>
    </cacheField>
    <cacheField name="Y2 Unit Cost (Payment Currency)" numFmtId="43">
      <sharedItems containsNonDate="0" containsString="0" containsBlank="1"/>
    </cacheField>
    <cacheField name="Y2 Unit Cost (Grant Currency)" numFmtId="43">
      <sharedItems containsNonDate="0" containsString="0" containsBlank="1"/>
    </cacheField>
    <cacheField name="Q5 Quantity" numFmtId="43">
      <sharedItems containsNonDate="0" containsString="0" containsBlank="1"/>
    </cacheField>
    <cacheField name="Y2 Q1 _x000a_cost" numFmtId="43">
      <sharedItems containsSemiMixedTypes="0" containsString="0" containsNumber="1" containsInteger="1" minValue="0" maxValue="0"/>
    </cacheField>
    <cacheField name="Q6 Quantity" numFmtId="43">
      <sharedItems containsNonDate="0" containsString="0" containsBlank="1"/>
    </cacheField>
    <cacheField name="Y2 Q2 _x000a_cost" numFmtId="43">
      <sharedItems containsSemiMixedTypes="0" containsString="0" containsNumber="1" containsInteger="1" minValue="0" maxValue="0"/>
    </cacheField>
    <cacheField name="Q7 Quantity" numFmtId="43">
      <sharedItems containsNonDate="0" containsString="0" containsBlank="1"/>
    </cacheField>
    <cacheField name="Y2 Q3 _x000a_cost" numFmtId="43">
      <sharedItems containsSemiMixedTypes="0" containsString="0" containsNumber="1" containsInteger="1" minValue="0" maxValue="0"/>
    </cacheField>
    <cacheField name="Q8 Quantity" numFmtId="43">
      <sharedItems containsNonDate="0" containsString="0" containsBlank="1"/>
    </cacheField>
    <cacheField name="Y2 Q4 _x000a_cost" numFmtId="43">
      <sharedItems containsSemiMixedTypes="0" containsString="0" containsNumber="1" containsInteger="1" minValue="0" maxValue="0"/>
    </cacheField>
    <cacheField name="Y2 Total Quantity" numFmtId="43">
      <sharedItems containsNonDate="0" containsString="0" containsBlank="1"/>
    </cacheField>
    <cacheField name="Y2 Total Cash Outflow" numFmtId="43">
      <sharedItems containsSemiMixedTypes="0" containsString="0" containsNumber="1" containsInteger="1" minValue="0" maxValue="0"/>
    </cacheField>
    <cacheField name="c" numFmtId="43">
      <sharedItems containsNonDate="0" containsString="0" containsBlank="1"/>
    </cacheField>
    <cacheField name="Y3 Unit Cost (Payment Currency)" numFmtId="43">
      <sharedItems containsNonDate="0" containsString="0" containsBlank="1"/>
    </cacheField>
    <cacheField name="Y3 Unit Cost (Grant Currency)" numFmtId="43">
      <sharedItems containsNonDate="0" containsString="0" containsBlank="1"/>
    </cacheField>
    <cacheField name="Q9 Quantity" numFmtId="43">
      <sharedItems containsNonDate="0" containsString="0" containsBlank="1"/>
    </cacheField>
    <cacheField name="Y3 Q1 _x000a_cost" numFmtId="43">
      <sharedItems containsSemiMixedTypes="0" containsString="0" containsNumber="1" containsInteger="1" minValue="0" maxValue="0"/>
    </cacheField>
    <cacheField name="Q10 Quantity" numFmtId="43">
      <sharedItems containsNonDate="0" containsString="0" containsBlank="1"/>
    </cacheField>
    <cacheField name="Y3 Q2 _x000a_cost" numFmtId="43">
      <sharedItems containsSemiMixedTypes="0" containsString="0" containsNumber="1" containsInteger="1" minValue="0" maxValue="0"/>
    </cacheField>
    <cacheField name="Q11 Quantity" numFmtId="43">
      <sharedItems containsNonDate="0" containsString="0" containsBlank="1"/>
    </cacheField>
    <cacheField name="Y3 Q3 _x000a_cost" numFmtId="43">
      <sharedItems containsSemiMixedTypes="0" containsString="0" containsNumber="1" containsInteger="1" minValue="0" maxValue="0"/>
    </cacheField>
    <cacheField name="Q12 Quantity" numFmtId="43">
      <sharedItems containsNonDate="0" containsString="0" containsBlank="1"/>
    </cacheField>
    <cacheField name="Y3 Q4 _x000a_cost" numFmtId="43">
      <sharedItems containsSemiMixedTypes="0" containsString="0" containsNumber="1" containsInteger="1" minValue="0" maxValue="0"/>
    </cacheField>
    <cacheField name="Y3 Total Quantity" numFmtId="43">
      <sharedItems containsNonDate="0" containsString="0" containsBlank="1"/>
    </cacheField>
    <cacheField name="Y3 Total Cash Outflow" numFmtId="43">
      <sharedItems containsSemiMixedTypes="0" containsString="0" containsNumber="1" containsInteger="1" minValue="0" maxValue="0"/>
    </cacheField>
    <cacheField name="Y4 Unit Cost (Payment Currency)" numFmtId="43">
      <sharedItems containsNonDate="0" containsString="0" containsBlank="1"/>
    </cacheField>
    <cacheField name="Y4 Unit Cost (Grant Currency)" numFmtId="43">
      <sharedItems containsNonDate="0" containsString="0" containsBlank="1"/>
    </cacheField>
    <cacheField name="Q9 Quantity2" numFmtId="43">
      <sharedItems containsNonDate="0" containsString="0" containsBlank="1"/>
    </cacheField>
    <cacheField name="Y4 Q1 _x000a_cost" numFmtId="43">
      <sharedItems containsSemiMixedTypes="0" containsString="0" containsNumber="1" containsInteger="1" minValue="0" maxValue="0"/>
    </cacheField>
    <cacheField name="Q10 Quantity2" numFmtId="43">
      <sharedItems containsSemiMixedTypes="0" containsString="0" containsNumber="1" containsInteger="1" minValue="0" maxValue="0"/>
    </cacheField>
    <cacheField name="Y4 Q2 _x000a_cost" numFmtId="43">
      <sharedItems containsSemiMixedTypes="0" containsString="0" containsNumber="1" containsInteger="1" minValue="0" maxValue="0"/>
    </cacheField>
    <cacheField name="Q11 Quantity2" numFmtId="43">
      <sharedItems containsSemiMixedTypes="0" containsString="0" containsNumber="1" containsInteger="1" minValue="0" maxValue="0"/>
    </cacheField>
    <cacheField name="Y4 Q3 _x000a_cost" numFmtId="43">
      <sharedItems containsSemiMixedTypes="0" containsString="0" containsNumber="1" containsInteger="1" minValue="0" maxValue="0"/>
    </cacheField>
    <cacheField name="Q12 Quantity2" numFmtId="43">
      <sharedItems containsSemiMixedTypes="0" containsString="0" containsNumber="1" containsInteger="1" minValue="0" maxValue="0"/>
    </cacheField>
    <cacheField name="Y4 Q4 _x000a_cost" numFmtId="43">
      <sharedItems containsSemiMixedTypes="0" containsString="0" containsNumber="1" containsInteger="1" minValue="0" maxValue="0"/>
    </cacheField>
    <cacheField name="Y4 Total Quantity" numFmtId="43">
      <sharedItems containsSemiMixedTypes="0" containsString="0" containsNumber="1" containsInteger="1" minValue="0" maxValue="0"/>
    </cacheField>
    <cacheField name="Y4 Total Cash Outflow" numFmtId="43">
      <sharedItems containsSemiMixedTypes="0" containsString="0" containsNumber="1" containsInteger="1" minValue="0" maxValue="0"/>
    </cacheField>
    <cacheField name="Y1-4 Total  Quantity" numFmtId="43">
      <sharedItems containsSemiMixedTypes="0" containsString="0" containsNumber="1" containsInteger="1" minValue="0" maxValue="0"/>
    </cacheField>
    <cacheField name="Y1-4 Total Cash Outflow" numFmtId="43">
      <sharedItems containsSemiMixedTypes="0" containsString="0" containsNumber="1" containsInteger="1" minValue="0" maxValue="0"/>
    </cacheField>
    <cacheField name="Assumptions to Support Unit Cost" numFmtId="43">
      <sharedItems containsNonDate="0" containsString="0" containsBlank="1"/>
    </cacheField>
    <cacheField name="Justification/Comments" numFmtId="43">
      <sharedItems containsNonDate="0" containsString="0" containsBlank="1"/>
    </cacheField>
    <cacheField name="Key Population" numFmtId="43">
      <sharedItems containsMixedTypes="1" containsNumber="1" containsInteger="1" minValue="0" maxValue="0" count="12">
        <n v="0"/>
        <s v="Men who have sex with men"/>
        <s v="Sex workers and their clients"/>
        <s v="Transgender people"/>
        <s v="People who inject drugs and their partners"/>
        <s v="People in prisons and other closed settings"/>
        <s v="Other vulnerable populations"/>
        <s v="Adolescent girls and young women in high prevalence settings"/>
        <s v="Men in high prevalence settings"/>
        <s v="Non-specified population groups"/>
        <s v="PMTCT"/>
        <s v="Partners of people living with HIV"/>
      </sharedItems>
    </cacheField>
    <cacheField name="Component" numFmtId="43">
      <sharedItems count="3">
        <s v="Malaria"/>
        <s v="TB"/>
        <s v="HIV"/>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ndows User" refreshedDate="43969.875540393521" createdVersion="6" refreshedVersion="6" minRefreshableVersion="3" recordCount="548" xr:uid="{B7A7286E-9F36-4CC7-A20F-F540F4A1F4F3}">
  <cacheSource type="worksheet">
    <worksheetSource ref="A1:BS549" sheet="Detailed Budget"/>
  </cacheSource>
  <cacheFields count="71">
    <cacheField name="S.No" numFmtId="0">
      <sharedItems containsSemiMixedTypes="0" containsString="0" containsNumber="1" containsInteger="1" minValue="1" maxValue="1121"/>
    </cacheField>
    <cacheField name="Module" numFmtId="0">
      <sharedItems count="9">
        <s v="Vector Control"/>
        <s v="Case management"/>
        <s v="Specific prevention interventions (SPI)"/>
        <s v="TB care and prevention"/>
        <s v="MDR-TB"/>
        <s v="Prevention"/>
        <s v="PMTCT"/>
        <s v="Differentiated HIV Testing Services"/>
        <s v="Treatment, care and support"/>
      </sharedItems>
    </cacheField>
    <cacheField name="Intervention en" numFmtId="0">
      <sharedItems count="30">
        <s v="Long-lasting insecticidal nets (LLIN) - Mass campaign- Universal"/>
        <s v="Long-lasting insecticidal nets (LLIN) - Mass campaign- Targeted"/>
        <s v="Long-lasting insecticidal nets (LLIN) - Continuous distribution - ANC"/>
        <s v="Long-lasting insecticidal nets (LLIN) - Continuous distribution - EPI"/>
        <s v="Long-lasting insecticidal nets (LLIN) - Continuous distribution - Community-based"/>
        <s v="Long-lasting insecticidal nets (LLIN) - Continuous distribution - School-based"/>
        <s v="Indoor residual spraying (IRS)"/>
        <s v="Facility-based treatment"/>
        <s v="Integrated community case management (ICCM)"/>
        <s v="Private sector case management "/>
        <s v="Intermittent preventive treatment (IPT) - In pregnancy"/>
        <s v="Intermittent preventive treatment (IPT) - In infancy"/>
        <s v="Seasonal malaria chemoprevention"/>
        <s v="Mass drug administration"/>
        <s v="Case detection and diagnosis"/>
        <s v="Treatment"/>
        <s v="Prevention"/>
        <s v="Case detection and diagnosis: MDR-TB"/>
        <s v="Treatment: MDR-TB"/>
        <s v="Condom and lubricant programing"/>
        <s v="Needle and syringe programs"/>
        <s v="Opioid substitution therapy and other medically assisted drug dependence treatment"/>
        <s v="National condom program management and stewardship"/>
        <s v="Prong 1: Primary prevention of HIV infection among women of childbearing age"/>
        <s v="Prong 3: Preventing vertical HIV transmission"/>
        <s v="Facility-based testing"/>
        <s v="Community-based testing "/>
        <s v="Self-testing"/>
        <s v="Differentiated ART service delivery and HIV care"/>
        <s v="Prevention and management of co-infections and co-morbidities"/>
      </sharedItems>
    </cacheField>
    <cacheField name="Activity Decsription" numFmtId="0">
      <sharedItems count="58">
        <s v="Procurement of LLINs (or ITNs) for mass campaigns"/>
        <s v="PSM costs"/>
        <s v="Procurement of LLINs (or ITNs) for continuous distribution"/>
        <s v="Procurement of IRS insecticides"/>
        <s v="Procurement of IRS equipment, spare parts and accessories"/>
        <s v="Procurement of antimalaria medicines for treatment"/>
        <s v="Procurement of RDTs to diagnose malaria"/>
        <s v="Procurement of microscope equipment, spare parts and accessories"/>
        <s v="Procurement of other health equipment"/>
        <s v="Procurement of consumables"/>
        <s v="Procurement of laboratory reagents"/>
        <s v="Procurement of antimalaria medicines for prevention"/>
        <s v="Procurement of RDTs to diagnose TB"/>
        <s v="Procurement of TB Molecular Test equipment"/>
        <s v="Maintenance and service contracts"/>
        <s v="Treatment of drug-sensitive TB"/>
        <s v="Procurement of anti-TB medicines for prevention"/>
        <s v="Treatment of drug-resistant TB"/>
        <s v="Management of side-effects"/>
        <s v="Procurement of condoms &amp; lubricants for Men who have sex with men"/>
        <s v="PSM costs for Men who have sex with men"/>
        <s v="Procurement of condoms &amp; lubricants for Sex workers and their clients"/>
        <s v="PSM costs for Sex workers and their clients"/>
        <s v="Procurement of condoms &amp; lubricants for Transgender people"/>
        <s v="PSM costs for Transgender people"/>
        <s v="NSP for People who inject drugs and their partners"/>
        <s v="OST for People who inject drugs and their partners"/>
        <s v="PSM costs for People who inject drugs and their partners"/>
        <s v="Procurement of condoms &amp; lubricants for People who inject drugs and their partners"/>
        <s v="Procurement of condoms &amp; lubricants for People in prisons and other closed settings"/>
        <s v="PSM costs for People in prisons and other closed settings"/>
        <s v="Procurement of condoms &amp; lubricants for Other vulnerable populations"/>
        <s v="PSM costs for Other vulnerable populations"/>
        <s v="Procurement of condoms &amp; lubricants for Adolescent girls and young women in high prevalence settings"/>
        <s v="PSM costs for Adolescent girls and young women in high prevalence settings"/>
        <s v="Procurement of condoms &amp; lubricants for Men in high prevalence settings"/>
        <s v="PSM costs for Men in high prevalence settings"/>
        <s v="Procurement of condoms &amp; lubricants for Non-specified population groups"/>
        <s v="PSM costs for Non-specified population groups"/>
        <s v="Procurement of condoms &amp; lubricants"/>
        <s v="Procurement of RDTs to diagnose HIV, co-infections, and co-morbidities"/>
        <s v="Procurement of RDTs to diagnose HIV, co-infections, and co-morbidities for Men who have sex with men"/>
        <s v="Procurement of RDTs to diagnose HIV, co-infections, and co-morbidities for Sex workers and their clients"/>
        <s v="Procurement of RDTs to diagnose HIV, co-infections, and co-morbidities for Transgender people"/>
        <s v="Procurement of RDTs to diagnose HIV, co-infections, and co-morbidities for People who inject drugs and their partners "/>
        <s v="PSM costs for People who inject drugs and their partners "/>
        <s v="Procurement of RDTs to diagnose HIV, co-infections, and co-morbidities for People in prisons and other closed settings"/>
        <s v="Procurement of RDTs to diagnose HIV, co-infections, and co-morbidities for Other vulnerable populations"/>
        <s v="Procurement of RDTs to diagnose HIV, co-infections, and co-morbidities for Adolescent girls and young women in high prevalence settings"/>
        <s v="Procurement of RDTs to diagnose HIV, co-infections, and co-morbidities for Men in high prevalence settings"/>
        <s v="Procurement of RDTs to diagnose HIV, co-infections, and co-morbidities for Partners of people living with HIV"/>
        <s v="PSM costs for Partners of people living with HIV"/>
        <s v="Procurement of RDTs to diagnose HIV, co-infections, and co-morbidities for Non-specified population groups"/>
        <s v="Procurement of Antiretroviral medicines"/>
        <s v="Procurement of CD4 machines and accessories"/>
        <s v="Procurement of VL machines and accessories"/>
        <s v="Procurement of OI and STI medicines"/>
        <s v="Procurement of other medicines"/>
      </sharedItems>
    </cacheField>
    <cacheField name="Cost Input" numFmtId="0">
      <sharedItems count="27">
        <s v="5.1 Insecticide-treated Nets (LLINs/ITNs)"/>
        <s v="7.1 Procurement agent and handling fees"/>
        <s v="7.2 Freight and insurance costs (Health products)"/>
        <s v="7.3 Warehouse and Storage Costs"/>
        <s v="7.4 in-country distribution costs"/>
        <s v="7.5 Quality assurance and quality control costs (QA/QC)"/>
        <s v="7.6 PSM Customs Clearance"/>
        <s v="7.7 Other PSM costs"/>
        <s v="5.5 Insecticides"/>
        <s v="6.6 Other health equipment"/>
        <s v="4.3 Antimalarial medicines"/>
        <s v="5.4 Rapid Diagnostic Test"/>
        <s v="6.3 Microscope: Equipment"/>
        <s v="5.8 Other consumables"/>
        <s v="5.6 Laboratory reagents"/>
        <s v="6.4 TB Molecular Test equipment"/>
        <s v="6.5 Maintenance and service costs for health equipment"/>
        <s v="4.2 Anti-tuberculosis medicines"/>
        <s v="4.7 Other medicines"/>
        <s v="5.7 Syringes and needles"/>
        <s v="5.2 Condoms - Male"/>
        <s v="5.3 Condoms - Female"/>
        <s v="4.4 Opioid substitutes medicines"/>
        <s v="4.1 Antiretroviral medicines"/>
        <s v="6.1 CD4 analyser/accessories"/>
        <s v="6.2 HIV Viral Load analyser/accessories"/>
        <s v="4.5 Opportunistic infections and STI medicines"/>
      </sharedItems>
    </cacheField>
    <cacheField name="Implementer" numFmtId="1">
      <sharedItems containsNonDate="0" containsString="0" containsBlank="1"/>
    </cacheField>
    <cacheField name="Geography/Location" numFmtId="1">
      <sharedItems containsString="0" containsBlank="1" containsNumber="1" containsInteger="1" minValue="0" maxValue="0"/>
    </cacheField>
    <cacheField name="Payment Modality" numFmtId="1">
      <sharedItems containsNonDate="0" containsString="0" containsBlank="1"/>
    </cacheField>
    <cacheField name="Source of Funds" numFmtId="1">
      <sharedItems containsNonDate="0" containsString="0" containsBlank="1"/>
    </cacheField>
    <cacheField name="Unit of Measure" numFmtId="1">
      <sharedItems containsNonDate="0" containsString="0" containsBlank="1"/>
    </cacheField>
    <cacheField name="Payment Currency" numFmtId="1">
      <sharedItems containsNonDate="0" containsString="0" containsBlank="1"/>
    </cacheField>
    <cacheField name="Currency" numFmtId="1">
      <sharedItems containsNonDate="0" containsString="0" containsBlank="1"/>
    </cacheField>
    <cacheField name="Y1 Unit Cost (Payment Currency)" numFmtId="43">
      <sharedItems containsBlank="1"/>
    </cacheField>
    <cacheField name="Y1 Unit Cost (Grant Currency)" numFmtId="43">
      <sharedItems containsBlank="1"/>
    </cacheField>
    <cacheField name="Q1 Quantity" numFmtId="2">
      <sharedItems containsBlank="1"/>
    </cacheField>
    <cacheField name="Q1 Cash Flows" numFmtId="43">
      <sharedItems containsSemiMixedTypes="0" containsString="0" containsNumber="1" containsInteger="1" minValue="0" maxValue="0"/>
    </cacheField>
    <cacheField name="Q2 Quantity" numFmtId="43">
      <sharedItems containsBlank="1"/>
    </cacheField>
    <cacheField name="Q2 Cash Flows" numFmtId="43">
      <sharedItems containsSemiMixedTypes="0" containsString="0" containsNumber="1" containsInteger="1" minValue="0" maxValue="0"/>
    </cacheField>
    <cacheField name="Q3 Quantity" numFmtId="43">
      <sharedItems containsBlank="1"/>
    </cacheField>
    <cacheField name="Q3 Cash Flow" numFmtId="43">
      <sharedItems containsSemiMixedTypes="0" containsString="0" containsNumber="1" containsInteger="1" minValue="0" maxValue="0"/>
    </cacheField>
    <cacheField name="Q4 Quantity" numFmtId="43">
      <sharedItems containsBlank="1"/>
    </cacheField>
    <cacheField name="Q4 Cash Flow" numFmtId="43">
      <sharedItems containsSemiMixedTypes="0" containsString="0" containsNumber="1" containsInteger="1" minValue="0" maxValue="0"/>
    </cacheField>
    <cacheField name="Y1 Total Quantity" numFmtId="43">
      <sharedItems containsNonDate="0" containsString="0" containsBlank="1"/>
    </cacheField>
    <cacheField name="Y1 Total Cash Outflow" numFmtId="43">
      <sharedItems containsSemiMixedTypes="0" containsString="0" containsNumber="1" containsInteger="1" minValue="0" maxValue="0"/>
    </cacheField>
    <cacheField name="Blank" numFmtId="43">
      <sharedItems containsNonDate="0" containsString="0" containsBlank="1"/>
    </cacheField>
    <cacheField name="Y2 Unit Cost (Payment Currency)" numFmtId="43">
      <sharedItems containsNonDate="0" containsString="0" containsBlank="1"/>
    </cacheField>
    <cacheField name="Y2 Unit Cost (Grant Currency)" numFmtId="43">
      <sharedItems containsNonDate="0" containsString="0" containsBlank="1"/>
    </cacheField>
    <cacheField name="Q5 Quantity" numFmtId="43">
      <sharedItems containsNonDate="0" containsString="0" containsBlank="1"/>
    </cacheField>
    <cacheField name="Q5 Cash Flow" numFmtId="43">
      <sharedItems containsSemiMixedTypes="0" containsString="0" containsNumber="1" containsInteger="1" minValue="0" maxValue="0"/>
    </cacheField>
    <cacheField name="Q6 Quantity" numFmtId="43">
      <sharedItems containsNonDate="0" containsString="0" containsBlank="1"/>
    </cacheField>
    <cacheField name="Q6 Cash Flow" numFmtId="43">
      <sharedItems containsSemiMixedTypes="0" containsString="0" containsNumber="1" containsInteger="1" minValue="0" maxValue="0"/>
    </cacheField>
    <cacheField name="Q7 Quantity" numFmtId="43">
      <sharedItems containsNonDate="0" containsString="0" containsBlank="1"/>
    </cacheField>
    <cacheField name="Q7 Cash Flow" numFmtId="43">
      <sharedItems containsSemiMixedTypes="0" containsString="0" containsNumber="1" containsInteger="1" minValue="0" maxValue="0"/>
    </cacheField>
    <cacheField name="Q8 Quantity" numFmtId="43">
      <sharedItems containsNonDate="0" containsString="0" containsBlank="1"/>
    </cacheField>
    <cacheField name="Q8 Cash Flow" numFmtId="43">
      <sharedItems containsSemiMixedTypes="0" containsString="0" containsNumber="1" containsInteger="1" minValue="0" maxValue="0"/>
    </cacheField>
    <cacheField name="Y2 Total Quantity" numFmtId="43">
      <sharedItems containsNonDate="0" containsString="0" containsBlank="1"/>
    </cacheField>
    <cacheField name="Y2 Total Cash Outflow" numFmtId="43">
      <sharedItems containsSemiMixedTypes="0" containsString="0" containsNumber="1" containsInteger="1" minValue="0" maxValue="0"/>
    </cacheField>
    <cacheField name="Blank2" numFmtId="43">
      <sharedItems containsNonDate="0" containsString="0" containsBlank="1"/>
    </cacheField>
    <cacheField name="Y3 Unit Cost (Payment Currency)" numFmtId="43">
      <sharedItems containsNonDate="0" containsString="0" containsBlank="1"/>
    </cacheField>
    <cacheField name="Y3 Unit Cost (Grant Currency)" numFmtId="43">
      <sharedItems containsNonDate="0" containsString="0" containsBlank="1"/>
    </cacheField>
    <cacheField name="Q9 Quantity" numFmtId="43">
      <sharedItems containsNonDate="0" containsString="0" containsBlank="1"/>
    </cacheField>
    <cacheField name="Q9 Cash Flow" numFmtId="43">
      <sharedItems containsSemiMixedTypes="0" containsString="0" containsNumber="1" containsInteger="1" minValue="0" maxValue="0"/>
    </cacheField>
    <cacheField name="Q10 Quantity" numFmtId="43">
      <sharedItems containsNonDate="0" containsString="0" containsBlank="1"/>
    </cacheField>
    <cacheField name="Q10 Cash Flow" numFmtId="43">
      <sharedItems containsSemiMixedTypes="0" containsString="0" containsNumber="1" containsInteger="1" minValue="0" maxValue="0"/>
    </cacheField>
    <cacheField name="Q11 Quantity" numFmtId="43">
      <sharedItems containsNonDate="0" containsString="0" containsBlank="1"/>
    </cacheField>
    <cacheField name="Q11 Cash Flow" numFmtId="43">
      <sharedItems containsSemiMixedTypes="0" containsString="0" containsNumber="1" containsInteger="1" minValue="0" maxValue="0"/>
    </cacheField>
    <cacheField name="Q12 Quantity" numFmtId="43">
      <sharedItems containsNonDate="0" containsString="0" containsBlank="1"/>
    </cacheField>
    <cacheField name="Q12 Cash Flow" numFmtId="43">
      <sharedItems containsSemiMixedTypes="0" containsString="0" containsNumber="1" containsInteger="1" minValue="0" maxValue="0"/>
    </cacheField>
    <cacheField name="Y3 Total Quantity" numFmtId="43">
      <sharedItems containsNonDate="0" containsString="0" containsBlank="1"/>
    </cacheField>
    <cacheField name="Y3 Total Cash Outflow" numFmtId="43">
      <sharedItems containsSemiMixedTypes="0" containsString="0" containsNumber="1" containsInteger="1" minValue="0" maxValue="0"/>
    </cacheField>
    <cacheField name="Blank 3" numFmtId="43">
      <sharedItems containsNonDate="0" containsString="0" containsBlank="1"/>
    </cacheField>
    <cacheField name="Y4 Unit Cost (Payment Currency)" numFmtId="43">
      <sharedItems containsNonDate="0" containsString="0" containsBlank="1"/>
    </cacheField>
    <cacheField name="Y4 Unit Cost (Grant Currency)" numFmtId="43">
      <sharedItems containsNonDate="0" containsString="0" containsBlank="1"/>
    </cacheField>
    <cacheField name="Q13 Quantity" numFmtId="43">
      <sharedItems containsNonDate="0" containsString="0" containsBlank="1"/>
    </cacheField>
    <cacheField name="Q13 Cash Flow" numFmtId="43">
      <sharedItems containsSemiMixedTypes="0" containsString="0" containsNumber="1" containsInteger="1" minValue="0" maxValue="0"/>
    </cacheField>
    <cacheField name="Q14 Quantity" numFmtId="43">
      <sharedItems containsSemiMixedTypes="0" containsString="0" containsNumber="1" containsInteger="1" minValue="0" maxValue="0"/>
    </cacheField>
    <cacheField name="Q14 Cash Flow" numFmtId="43">
      <sharedItems containsSemiMixedTypes="0" containsString="0" containsNumber="1" containsInteger="1" minValue="0" maxValue="0"/>
    </cacheField>
    <cacheField name="Q15 Quantity" numFmtId="43">
      <sharedItems containsSemiMixedTypes="0" containsString="0" containsNumber="1" containsInteger="1" minValue="0" maxValue="0"/>
    </cacheField>
    <cacheField name="Q15 Cash Flow" numFmtId="43">
      <sharedItems containsSemiMixedTypes="0" containsString="0" containsNumber="1" containsInteger="1" minValue="0" maxValue="0"/>
    </cacheField>
    <cacheField name="Q16 Quantity" numFmtId="43">
      <sharedItems containsSemiMixedTypes="0" containsString="0" containsNumber="1" containsInteger="1" minValue="0" maxValue="0"/>
    </cacheField>
    <cacheField name="Q16 Cash Flow" numFmtId="43">
      <sharedItems containsSemiMixedTypes="0" containsString="0" containsNumber="1" containsInteger="1" minValue="0" maxValue="0"/>
    </cacheField>
    <cacheField name="Y4 Total Quantity" numFmtId="43">
      <sharedItems containsSemiMixedTypes="0" containsString="0" containsNumber="1" containsInteger="1" minValue="0" maxValue="0"/>
    </cacheField>
    <cacheField name="Y4 Total Cash Outflow" numFmtId="43">
      <sharedItems containsSemiMixedTypes="0" containsString="0" containsNumber="1" containsInteger="1" minValue="0" maxValue="0"/>
    </cacheField>
    <cacheField name="Blank 4" numFmtId="43">
      <sharedItems containsNonDate="0" containsString="0" containsBlank="1"/>
    </cacheField>
    <cacheField name="Y1-4 Total  Quantity" numFmtId="43">
      <sharedItems containsSemiMixedTypes="0" containsString="0" containsNumber="1" containsInteger="1" minValue="0" maxValue="0"/>
    </cacheField>
    <cacheField name="Y1-4 Total Cash Outflow" numFmtId="43">
      <sharedItems containsSemiMixedTypes="0" containsString="0" containsNumber="1" containsInteger="1" minValue="0" maxValue="0"/>
    </cacheField>
    <cacheField name="Assumptions to Support Unit Cost" numFmtId="43">
      <sharedItems containsNonDate="0" containsString="0" containsBlank="1"/>
    </cacheField>
    <cacheField name="Justification/Comments" numFmtId="43">
      <sharedItems containsNonDate="0" containsString="0" containsBlank="1"/>
    </cacheField>
    <cacheField name="Key Population" numFmtId="43">
      <sharedItems containsMixedTypes="1" containsNumber="1" containsInteger="1" minValue="0" maxValue="0"/>
    </cacheField>
    <cacheField name="Component" numFmtId="43">
      <sharedItems/>
    </cacheField>
    <cacheField name="Activity Decsription Less Key Pops" numFmtId="43">
      <sharedItems count="30">
        <s v="Procurement of LLINs (or ITNs) for mass campaigns"/>
        <s v="PSM costs"/>
        <s v="Procurement of LLINs (or ITNs) for continuous distribution"/>
        <s v="Procurement of IRS insecticides"/>
        <s v="Procurement of IRS equipment, spare parts and accessories"/>
        <s v="Procurement of antimalaria medicines for treatment"/>
        <s v="Procurement of RDTs to diagnose malaria"/>
        <s v="Procurement of microscope equipment, spare parts and accessories"/>
        <s v="Procurement of other health equipment"/>
        <s v="Procurement of consumables"/>
        <s v="Procurement of laboratory reagents"/>
        <s v="Procurement of antimalaria medicines for prevention"/>
        <s v="Procurement of RDTs to diagnose TB"/>
        <s v="Procurement of TB Molecular Test equipment"/>
        <s v="Maintenance and service contracts"/>
        <s v="Treatment of drug-sensitive TB"/>
        <s v="Procurement of anti-TB medicines for prevention"/>
        <s v="Treatment of drug-resistant TB"/>
        <s v="Management of side-effects"/>
        <s v="Procurement of condoms &amp; lubricants"/>
        <s v="NSP for People who inject drugs and their partners"/>
        <s v="OST for People who inject drugs and their partners"/>
        <s v="Procurement of RDTs to diagnose HIV, co-infections, and co-morbidities"/>
        <s v="Procurement of Antiretroviral medicines"/>
        <s v="Procurement of CD4 machines and accessories"/>
        <s v="Procurement of VL machines and accessories"/>
        <s v="Procurement of OI and STI medicines"/>
        <s v="Procurement of other medicines"/>
        <s v="Procurement of RDTs to diagnose HIV, co-infections, and co-morbidities " u="1"/>
        <s v="PSM costs "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8">
  <r>
    <n v="1"/>
    <x v="0"/>
    <x v="0"/>
    <x v="0"/>
    <x v="0"/>
    <m/>
    <m/>
    <m/>
    <s v="Malaria - RDT LLIN IRS ETC - Section 3, Type of Product = LLINs (mass campaign), take the total budget per quarter and multiply by Malaria-Key Info G55,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2"/>
    <x v="0"/>
    <x v="0"/>
    <x v="1"/>
    <x v="1"/>
    <m/>
    <m/>
    <m/>
    <s v="HPM costs &amp; RSSH - Section 1, Procurement agent and handling fees (7.1), Type of Health Product = Malaria LLINs (mass campaign), take the total budget per quarter and multiply by Malaria-Key Info G55,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3"/>
    <x v="0"/>
    <x v="0"/>
    <x v="1"/>
    <x v="2"/>
    <m/>
    <m/>
    <m/>
    <s v="HPM costs &amp; RSSH - Section 1, Freight and insurance costs for health products (7.2), Type of Health Product = Malaria LLINs (mass campaign), take the total budget per quarter and multiply by Malaria-Key Info G55,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4"/>
    <x v="0"/>
    <x v="0"/>
    <x v="1"/>
    <x v="3"/>
    <m/>
    <m/>
    <m/>
    <s v="HPM costs &amp; RSSH - Section 2, LLINs warehouse and storage costs (7.3), Type of Health Product = Malaria LLINs (mass campaign), take the total budget per quarter and multiply by Malaria-Key Info G55,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5"/>
    <x v="0"/>
    <x v="0"/>
    <x v="1"/>
    <x v="4"/>
    <m/>
    <m/>
    <m/>
    <s v="HPM costs &amp; RSSH - Section 2, LLINs in country distribution costs (7.4), Type of Health Product = Malaria LLINs (mass campaign), take the total budget per quarter and multiply by Malaria-Key Info G55,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6"/>
    <x v="0"/>
    <x v="0"/>
    <x v="1"/>
    <x v="5"/>
    <m/>
    <m/>
    <m/>
    <s v="HPM costs &amp; RSSH - Section 1, Quality assurance and quality control costs (QA/QC) (7.5), Type of Health Product = Malaria LLINs (mass campaign), take the total budget per quarter and multiply by Malaria-Key Info G55,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7"/>
    <x v="0"/>
    <x v="0"/>
    <x v="1"/>
    <x v="6"/>
    <m/>
    <m/>
    <m/>
    <s v="HPM costs &amp; RSSH - Section 1, PSM Customs Clearance (7.6), Type of Health Product = Malaria LLINs (mass campaign), take the total budget per quarter and multiply by Malaria-Key Info G55,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8"/>
    <x v="0"/>
    <x v="0"/>
    <x v="1"/>
    <x v="7"/>
    <m/>
    <m/>
    <m/>
    <s v="HPM costs &amp; RSSH - Section 2, Other procurement and supply management costs (7.7), Type of Health Product = Malaria LLINs (mass campaign), take the total budget per quarter and multiply by Malaria-Key Info G55,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9"/>
    <x v="0"/>
    <x v="1"/>
    <x v="0"/>
    <x v="0"/>
    <m/>
    <m/>
    <m/>
    <s v="Malaria - RDT LLIN IRS ETC - Section 3, Type of Product = LLINs (mass campaign), take the total budget per quarter and multiply by Malaria-Key Info G56,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0"/>
    <x v="0"/>
    <x v="1"/>
    <x v="1"/>
    <x v="1"/>
    <m/>
    <m/>
    <m/>
    <s v="HPM costs &amp; RSSH - Section 1, Procurement agent and handling fees (7.1), Type of Health Product = Malaria LLINs (mass campaign), take the total budget per quarter and multiply by Malaria-Key Info G56,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1"/>
    <x v="0"/>
    <x v="1"/>
    <x v="1"/>
    <x v="2"/>
    <m/>
    <m/>
    <m/>
    <s v="HPM costs &amp; RSSH - Section 1, Freight and insurance costs for health products (7.2), Type of Health Product = Malaria LLINs (mass campaign), take the total budget per quarter and multiply by Malaria-Key Info G56,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2"/>
    <x v="0"/>
    <x v="1"/>
    <x v="1"/>
    <x v="3"/>
    <m/>
    <m/>
    <m/>
    <s v="HPM costs &amp; RSSH - Section 2, LLINs warehouse and storage costs (7.3), Type of Health Product = Malaria LLINs (mass campaign), take the total budget per quarter and multiply by Malaria-Key Info G56,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3"/>
    <x v="0"/>
    <x v="1"/>
    <x v="1"/>
    <x v="4"/>
    <m/>
    <m/>
    <m/>
    <s v="HPM costs &amp; RSSH - Section 2, LLINs in country distribution costs (7.4), Type of Health Product = Malaria LLINs (mass campaign), take the total budget per quarter and multiply by Malaria-Key Info G56,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4"/>
    <x v="0"/>
    <x v="1"/>
    <x v="1"/>
    <x v="5"/>
    <m/>
    <m/>
    <m/>
    <s v="HPM costs &amp; RSSH - Section 1, Quality assurance and quality control costs (QA/QC) (7.5), Type of Health Product = Malaria LLINs (mass campaign), take the total budget per quarter and multiply by Malaria-Key Info G56,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5"/>
    <x v="0"/>
    <x v="1"/>
    <x v="1"/>
    <x v="6"/>
    <m/>
    <m/>
    <m/>
    <s v="HPM costs &amp; RSSH - Section 1, PSM Customs Clearance (7.6), Type of Health Product = Malaria LLINs (mass campaign), take the total budget per quarter and multiply by Malaria-Key Info G56,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6"/>
    <x v="0"/>
    <x v="1"/>
    <x v="1"/>
    <x v="7"/>
    <m/>
    <m/>
    <m/>
    <s v="HPM costs &amp; RSSH - Section 2, Other procurement and supply management costs (7.7), Type of Health Product = Malaria LLINs (mass campaign), take the total budget per quarter and multiply by Malaria-Key Info G56,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7"/>
    <x v="0"/>
    <x v="2"/>
    <x v="2"/>
    <x v="0"/>
    <m/>
    <m/>
    <m/>
    <s v="Malaria - RDT LLIN IRS ETC - Section 3, Type of Product = LLINs (routine distribution), take the total budget per quarter and multiply by % in Malaria-Key Info G51,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8"/>
    <x v="0"/>
    <x v="2"/>
    <x v="1"/>
    <x v="1"/>
    <m/>
    <m/>
    <m/>
    <s v="HPM costs &amp; RSSH - Section 1, Procurement agent and handling fees (7.1), Type of Health Product = Malaria LLINs (routine distribution), take the total budget per quarter and multiply by Malaria-Key Info G51,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9"/>
    <x v="0"/>
    <x v="2"/>
    <x v="1"/>
    <x v="2"/>
    <m/>
    <m/>
    <m/>
    <s v="HPM costs &amp; RSSH - Section 1, Freight and insurance costs for health products (7.2), Type of Health Product = Malaria LLINs (routine distribution), take the total budget per quarter and multiply by Malaria-Key Info G51,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20"/>
    <x v="0"/>
    <x v="2"/>
    <x v="1"/>
    <x v="3"/>
    <m/>
    <m/>
    <m/>
    <s v="HPM costs &amp; RSSH - Section 2, LLINs warehouse and storage costs (7.3), Type of Health Product = Malaria LLINs (routine distribution), take the total budget per quarter and multiply by Malaria-Key Info G51,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21"/>
    <x v="0"/>
    <x v="2"/>
    <x v="1"/>
    <x v="4"/>
    <m/>
    <m/>
    <m/>
    <s v="HPM costs &amp; RSSH - Section 2, LLINs in country distribution costs (7.4), Type of Health Product = Malaria LLINs (routine distribution), take the total budget per quarter and multiply by Malaria-Key Info G51,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22"/>
    <x v="0"/>
    <x v="2"/>
    <x v="1"/>
    <x v="5"/>
    <m/>
    <m/>
    <m/>
    <s v="HPM costs &amp; RSSH - Section 1, Quality assurance and quality control costs (QA/QC) (7.5), Type of Health Product = Malaria LLINs (routine distribution), take the total budget per quarter and multiply by Malaria-Key Info G51,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23"/>
    <x v="0"/>
    <x v="2"/>
    <x v="1"/>
    <x v="6"/>
    <m/>
    <m/>
    <m/>
    <s v="HPM costs &amp; RSSH - Section 1, PSM Customs Clearance (7.6), Type of Health Product = Malaria LLINs (routine distribution), take the total budget per quarter and multiply by Malaria-Key Info G51,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24"/>
    <x v="0"/>
    <x v="2"/>
    <x v="1"/>
    <x v="7"/>
    <m/>
    <m/>
    <m/>
    <s v="HPM costs &amp; RSSH - Section 2, Other procurement and supply management costs (7.7), Type of Health Product = Malaria LLINs (routine distribution), take the total budget per quarter and multiply by Malaria-Key Info G51,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25"/>
    <x v="0"/>
    <x v="3"/>
    <x v="2"/>
    <x v="0"/>
    <m/>
    <m/>
    <m/>
    <s v="Malaria - RDT LLIN IRS ETC - Section 3, Type of Product = LLINs (routine distribution), take the total budget per quarter and multiply by % in Malaria-Key Info G52,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26"/>
    <x v="0"/>
    <x v="3"/>
    <x v="1"/>
    <x v="1"/>
    <m/>
    <m/>
    <m/>
    <s v="HPM costs &amp; RSSH - Section 1, Procurement agent and handling fees (7.1), Type of Health Product = Malaria LLINs (routine distribution), take the total budget per quarter and multiply by Malaria-Key Info G52,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27"/>
    <x v="0"/>
    <x v="3"/>
    <x v="1"/>
    <x v="2"/>
    <m/>
    <m/>
    <m/>
    <s v="HPM costs &amp; RSSH - Section 1, Freight and insurance costs for health products (7.2), Type of Health Product = Malaria LLINs (routine distribution), take the total budget per quarter and multiply by Malaria-Key Info G52,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28"/>
    <x v="0"/>
    <x v="3"/>
    <x v="1"/>
    <x v="3"/>
    <m/>
    <m/>
    <m/>
    <s v="HPM costs &amp; RSSH - Section 2, LLINs warehouse and storage costs (7.3), Type of Health Product = Malaria LLINs (routine distribution), take the total budget per quarter and multiply by Malaria-Key Info G52,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29"/>
    <x v="0"/>
    <x v="3"/>
    <x v="1"/>
    <x v="4"/>
    <m/>
    <m/>
    <m/>
    <s v="HPM costs &amp; RSSH - Section 2, LLINs in country distribution costs (7.4), Type of Health Product = Malaria LLINs (routine distribution), take the total budget per quarter and multiply by Malaria-Key Info G52,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30"/>
    <x v="0"/>
    <x v="3"/>
    <x v="1"/>
    <x v="5"/>
    <m/>
    <m/>
    <m/>
    <s v="HPM costs &amp; RSSH - Section 1, Quality assurance and quality control costs (QA/QC) (7.5), Type of Health Product = Malaria LLINs (routine distribution), take the total budget per quarter and multiply by Malaria-Key Info G52,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31"/>
    <x v="0"/>
    <x v="3"/>
    <x v="1"/>
    <x v="6"/>
    <m/>
    <m/>
    <m/>
    <s v="HPM costs &amp; RSSH - Section 1, PSM Customs Clearance (7.6), Type of Health Product = Malaria LLINs (routine distribution), take the total budget per quarter and multiply by Malaria-Key Info G52,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32"/>
    <x v="0"/>
    <x v="3"/>
    <x v="1"/>
    <x v="7"/>
    <m/>
    <m/>
    <m/>
    <s v="HPM costs &amp; RSSH - Section 2, Other procurement and supply management costs (7.7), Type of Health Product = Malaria LLINs (routine distribution), take the total budget per quarter and multiply by Malaria-Key Info G52,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33"/>
    <x v="0"/>
    <x v="4"/>
    <x v="2"/>
    <x v="0"/>
    <m/>
    <m/>
    <m/>
    <s v="Malaria - RDT LLIN IRS ETC - Section 3, Type of Product = LLINs (routine distribution), take the total budget per quarter and multiply by % in Malaria-Key Info G53,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34"/>
    <x v="0"/>
    <x v="4"/>
    <x v="1"/>
    <x v="1"/>
    <m/>
    <m/>
    <m/>
    <s v="HPM costs &amp; RSSH - Section 1, Procurement agent and handling fees (7.1), Type of Health Product = Malaria LLINs (routine distribution), take the total budget per quarter and multiply by Malaria-Key Info G53,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35"/>
    <x v="0"/>
    <x v="4"/>
    <x v="1"/>
    <x v="2"/>
    <m/>
    <m/>
    <m/>
    <s v="HPM costs &amp; RSSH - Section 1, Freight and insurance costs for health products (7.2), Type of Health Product = Malaria LLINs (routine distribution), take the total budget per quarter and multiply by Malaria-Key Info G53,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36"/>
    <x v="0"/>
    <x v="4"/>
    <x v="1"/>
    <x v="3"/>
    <m/>
    <m/>
    <m/>
    <s v="HPM costs &amp; RSSH - Section 2 LLINs warehouse and storage costs (7.3), Type of Health Product = Malaria LLINs (routine distribution), take the total budget per quarter and multiply by Malaria-Key Info G53,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37"/>
    <x v="0"/>
    <x v="4"/>
    <x v="1"/>
    <x v="4"/>
    <m/>
    <m/>
    <m/>
    <s v="HPM costs &amp; RSSH - Section 2, LLINs in country distribution costs (7.4), Type of Health Product = Malaria LLINs (routine distribution), take the total budget per quarter and multiply by Malaria-Key Info G53,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38"/>
    <x v="0"/>
    <x v="4"/>
    <x v="1"/>
    <x v="5"/>
    <m/>
    <m/>
    <m/>
    <s v="HPM costs &amp; RSSH - Section 1, Quality assurance and quality control costs (QA/QC) (7.5), Type of Health Product = Malaria LLINs (routine distribution), take the total budget per quarter and multiply by Malaria-Key Info G53,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39"/>
    <x v="0"/>
    <x v="4"/>
    <x v="1"/>
    <x v="6"/>
    <m/>
    <m/>
    <m/>
    <s v="HPM costs &amp; RSSH - Section 1, PSM Customs Clearance (7.6), Type of Health Product = Malaria LLINs (routine distribution), take the total budget per quarter and multiply by Malaria-Key Info G53,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40"/>
    <x v="0"/>
    <x v="4"/>
    <x v="1"/>
    <x v="7"/>
    <m/>
    <m/>
    <m/>
    <s v="HPM costs &amp; RSSH - Section 2, Other procurement and supply management costs (7.7), Type of Health Product = Malaria LLINs (routine distribution), take the total budget per quarter and multiply by Malaria-Key Info G53,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41"/>
    <x v="0"/>
    <x v="5"/>
    <x v="2"/>
    <x v="0"/>
    <m/>
    <m/>
    <m/>
    <s v="Malaria - RDT LLIN IRS ETC - Section 3, Type of Product = LLINs (routine distribution), take the total budget per quarter and multiply by % in Malaria-Key Info G54,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42"/>
    <x v="0"/>
    <x v="5"/>
    <x v="1"/>
    <x v="1"/>
    <m/>
    <m/>
    <m/>
    <s v="HPM costs &amp; RSSH - Section 1, Procurement agent and handling fees (7.1), Type of Health Product = Malaria LLINs (routine distribution), take the total budget per quarter and multiply by Malaria-Key Info G54,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43"/>
    <x v="0"/>
    <x v="5"/>
    <x v="1"/>
    <x v="2"/>
    <m/>
    <m/>
    <m/>
    <s v="HPM costs &amp; RSSH - Section 1, Freight and insurance costs for health products (7.2), Type of Health Product = Malaria LLINs (routine distribution), take the total budget per quarter and multiply by Malaria-Key Info G54,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44"/>
    <x v="0"/>
    <x v="5"/>
    <x v="1"/>
    <x v="3"/>
    <m/>
    <m/>
    <m/>
    <s v="HPM costs &amp; RSSH - Section 2 LLINs warehouse and storage costs (7.3), Type of Health Product = Malaria LLINs (routine distribution), take the total budget per quarter and multiply by Malaria-Key Info G54,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45"/>
    <x v="0"/>
    <x v="5"/>
    <x v="1"/>
    <x v="4"/>
    <m/>
    <m/>
    <m/>
    <s v="HPM costs &amp; RSSH - Section 2, LLINs in country distribution costs (7.4), Type of Health Product = Malaria LLINs (routine distribution), take the total budget per quarter and multiply by Malaria-Key Info G54,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46"/>
    <x v="0"/>
    <x v="5"/>
    <x v="1"/>
    <x v="5"/>
    <m/>
    <m/>
    <m/>
    <s v="HPM costs &amp; RSSH - Section 1, Quality assurance and quality control costs (QA/QC) (7.5), Type of Health Product = Malaria LLINs (routine distribution), take the total budget per quarter and multiply by Malaria-Key Info G54,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47"/>
    <x v="0"/>
    <x v="5"/>
    <x v="1"/>
    <x v="6"/>
    <m/>
    <m/>
    <m/>
    <s v="HPM costs &amp; RSSH - Section 1, PSM Customs Clearance (7.6), Type of Health Product = Malaria LLINs (routine distribution), take the total budget per quarter and multiply by Malaria-Key Info G54,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48"/>
    <x v="0"/>
    <x v="5"/>
    <x v="1"/>
    <x v="7"/>
    <m/>
    <m/>
    <m/>
    <s v="HPM costs &amp; RSSH - Section 2, Other procurement and supply management costs (7.7), Type of Health Product = Malaria LLINs (routine distribution), take the total budget per quarter and multiply by Malaria-Key Info G54, from SETUP G34 determine the payment modality and apply the figure i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49"/>
    <x v="0"/>
    <x v="6"/>
    <x v="3"/>
    <x v="8"/>
    <m/>
    <m/>
    <m/>
    <s v="Malaria - RDT LLIN IRS ETC - Section 3, Cost Input = &quot;5.5 Insecticides&quot;, take the total budget per quarter, from SETUP G35 determine the payment modality and apply the figure in H35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50"/>
    <x v="0"/>
    <x v="6"/>
    <x v="4"/>
    <x v="9"/>
    <m/>
    <m/>
    <m/>
    <s v="Malaria - RDT LLIN IRS ETC - Section 3, Cost Input = &quot;6.6 Other health equipment &quot;, take the total budget per quarter, from SETUP G50 determine the payment modality and apply the figure in H50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51"/>
    <x v="0"/>
    <x v="6"/>
    <x v="1"/>
    <x v="1"/>
    <m/>
    <m/>
    <m/>
    <s v="HPM costs &amp; RSSH - Section 1, Procurement agent and handling fees (7.1), Type of Health Product = Malaria IRS equipment &amp; insecticides, take the total budget per quarter, from SETUP G35 determine the payment modality and apply the figure in H35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52"/>
    <x v="0"/>
    <x v="6"/>
    <x v="1"/>
    <x v="2"/>
    <m/>
    <m/>
    <m/>
    <s v="HPM costs &amp; RSSH - Section 1, Freight and insurance costs for health products (7.2), Type of Health Product = Malaria IRS equipment &amp; insecticides, take the total budget per quarter, from SETUP G35 determine the payment modality and apply the figure in H35 to establish in which quarter in the DB the budget should be reflected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53"/>
    <x v="0"/>
    <x v="6"/>
    <x v="1"/>
    <x v="3"/>
    <m/>
    <m/>
    <m/>
    <s v="HPM costs &amp; RSSH - Section 2, Warehouse and storage costs (excluding LLINs warehouse and storage costs) (7.3), Type of Health Product = Malaria IRS equipment &amp; insecticides, take the total budget per quarter, from SETUP G35 determine the payment modality and apply the figure in H35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54"/>
    <x v="0"/>
    <x v="6"/>
    <x v="1"/>
    <x v="4"/>
    <m/>
    <m/>
    <m/>
    <s v="HPM costs &amp; RSSH - Section 2, In country distribution costs (excluding LLINs distribution costs) (7.4), Type of Health Product = Malaria IRS equipment &amp; insecticides, take the total budget per quarter, from SETUP G35 determine the payment modality and apply the figure in H35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55"/>
    <x v="0"/>
    <x v="6"/>
    <x v="1"/>
    <x v="5"/>
    <m/>
    <m/>
    <m/>
    <s v="HPM costs &amp; RSSH - Section 1, Quality assurance and quality control costs (QA/QC) (7.5), Type of Health Product = Malaria IRS equipment &amp; insecticides, take the total budget per quarter, from SETUP G35 determine the payment modality and apply the figure in H35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56"/>
    <x v="0"/>
    <x v="6"/>
    <x v="1"/>
    <x v="6"/>
    <m/>
    <m/>
    <m/>
    <s v="HPM costs &amp; RSSH - Section 1, PSM Customs Clearance (7.6), Type of Health Product = Malaria IRS equipment &amp; insecticides, take the total budget per quarter, from SETUP G35 determine the payment modality and apply the figure in H35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57"/>
    <x v="0"/>
    <x v="6"/>
    <x v="1"/>
    <x v="7"/>
    <m/>
    <m/>
    <m/>
    <s v="HPM costs &amp; RSSH - Section 2, Other procurement and supply management costs (7.7), Type of Health Product = Malaria IRS equipment &amp; insecticides, take the total budget per quarter, from SETUP G35 determine the payment modality and apply the figure in H35 to establish in which quarter in the DB the budget should be reflectedn H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69"/>
    <x v="1"/>
    <x v="7"/>
    <x v="5"/>
    <x v="10"/>
    <m/>
    <m/>
    <m/>
    <s v="Malaria - Pharmaceuticals - Section 1, take the total budget per quarter and multiply by % located in Malaria-Key Info F23,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70"/>
    <x v="1"/>
    <x v="7"/>
    <x v="6"/>
    <x v="11"/>
    <m/>
    <m/>
    <m/>
    <s v="Malaria-RDT LLIN IRS ETC - Section 2, take the total budget per quarter and multiple by % in Malaria-Key Info G46 , from SETUP G25 determine the payment modality and apply the figure in H25 "/>
    <m/>
    <m/>
    <m/>
    <m/>
    <m/>
    <m/>
    <m/>
    <m/>
    <m/>
    <m/>
    <m/>
    <m/>
    <s v="-"/>
    <n v="0"/>
    <s v="-"/>
    <n v="0"/>
    <s v="-"/>
    <n v="0"/>
    <s v="-"/>
    <n v="0"/>
    <m/>
    <n v="0"/>
    <m/>
    <m/>
    <m/>
    <m/>
    <n v="0"/>
    <m/>
    <n v="0"/>
    <m/>
    <n v="0"/>
    <m/>
    <n v="0"/>
    <m/>
    <n v="0"/>
    <m/>
    <m/>
    <m/>
    <m/>
    <n v="0"/>
    <m/>
    <n v="0"/>
    <m/>
    <n v="0"/>
    <m/>
    <n v="0"/>
    <m/>
    <n v="0"/>
    <m/>
    <m/>
    <m/>
    <n v="0"/>
    <n v="0"/>
    <n v="0"/>
    <n v="0"/>
    <n v="0"/>
    <n v="0"/>
    <n v="0"/>
    <n v="0"/>
    <n v="0"/>
    <n v="0"/>
    <n v="0"/>
    <m/>
    <m/>
    <x v="0"/>
    <x v="0"/>
  </r>
  <r>
    <n v="71"/>
    <x v="1"/>
    <x v="7"/>
    <x v="7"/>
    <x v="12"/>
    <m/>
    <m/>
    <m/>
    <s v="Malaria-RDT LLIN IRS ETC - Section 1, take the total budget per quarter for cost-input &quot;6.3 Microscopes&quot;, from SETUP G49 determine the payment modality and apply the figure in H49 to establish in which quarter in the DB the budget should be reflected "/>
    <m/>
    <m/>
    <m/>
    <m/>
    <m/>
    <m/>
    <m/>
    <m/>
    <m/>
    <m/>
    <m/>
    <m/>
    <s v="-"/>
    <n v="0"/>
    <s v="-"/>
    <n v="0"/>
    <s v="-"/>
    <n v="0"/>
    <s v="-"/>
    <n v="0"/>
    <m/>
    <n v="0"/>
    <m/>
    <m/>
    <m/>
    <m/>
    <n v="0"/>
    <m/>
    <n v="0"/>
    <m/>
    <n v="0"/>
    <m/>
    <n v="0"/>
    <m/>
    <n v="0"/>
    <m/>
    <m/>
    <m/>
    <m/>
    <n v="0"/>
    <m/>
    <n v="0"/>
    <m/>
    <n v="0"/>
    <m/>
    <n v="0"/>
    <m/>
    <n v="0"/>
    <m/>
    <m/>
    <m/>
    <n v="0"/>
    <n v="0"/>
    <n v="0"/>
    <n v="0"/>
    <n v="0"/>
    <n v="0"/>
    <n v="0"/>
    <n v="0"/>
    <n v="0"/>
    <n v="0"/>
    <n v="0"/>
    <m/>
    <m/>
    <x v="0"/>
    <x v="0"/>
  </r>
  <r>
    <n v="73"/>
    <x v="1"/>
    <x v="7"/>
    <x v="8"/>
    <x v="9"/>
    <m/>
    <m/>
    <m/>
    <s v="Malaria-RDT LLIN IRS ETC - Section 4, take the total budget per quarter for Cost Input = &quot;6.6 Other health equipment &quot;, from SETUP G49 determine the payment modality and apply the figure in H49 to establish in which quarter in the DB the budget should be reflected "/>
    <m/>
    <m/>
    <m/>
    <m/>
    <m/>
    <m/>
    <m/>
    <m/>
    <m/>
    <m/>
    <m/>
    <m/>
    <s v="-"/>
    <n v="0"/>
    <s v="-"/>
    <n v="0"/>
    <s v="-"/>
    <n v="0"/>
    <s v="-"/>
    <n v="0"/>
    <m/>
    <n v="0"/>
    <m/>
    <m/>
    <m/>
    <m/>
    <n v="0"/>
    <m/>
    <n v="0"/>
    <m/>
    <n v="0"/>
    <m/>
    <n v="0"/>
    <m/>
    <n v="0"/>
    <m/>
    <m/>
    <m/>
    <m/>
    <n v="0"/>
    <m/>
    <n v="0"/>
    <m/>
    <n v="0"/>
    <m/>
    <n v="0"/>
    <m/>
    <n v="0"/>
    <m/>
    <m/>
    <m/>
    <n v="0"/>
    <n v="0"/>
    <n v="0"/>
    <n v="0"/>
    <n v="0"/>
    <n v="0"/>
    <n v="0"/>
    <n v="0"/>
    <n v="0"/>
    <n v="0"/>
    <n v="0"/>
    <m/>
    <m/>
    <x v="0"/>
    <x v="0"/>
  </r>
  <r>
    <n v="74"/>
    <x v="1"/>
    <x v="7"/>
    <x v="9"/>
    <x v="13"/>
    <m/>
    <m/>
    <m/>
    <s v="Malaria-RDT LLIN IRS ETC - Section 4, take the total budget per quarter for cost-input &quot;5.8 Other consumables&quot;, from SETUP G49 determine the payment modality and apply the figure in H49 to establish in which quarter in the DB the budget should be reflected "/>
    <m/>
    <m/>
    <m/>
    <m/>
    <m/>
    <m/>
    <m/>
    <m/>
    <m/>
    <m/>
    <m/>
    <m/>
    <s v="-"/>
    <n v="0"/>
    <s v="-"/>
    <n v="0"/>
    <s v="-"/>
    <n v="0"/>
    <s v="-"/>
    <n v="0"/>
    <m/>
    <n v="0"/>
    <m/>
    <m/>
    <m/>
    <m/>
    <n v="0"/>
    <m/>
    <n v="0"/>
    <m/>
    <n v="0"/>
    <m/>
    <n v="0"/>
    <m/>
    <n v="0"/>
    <m/>
    <m/>
    <m/>
    <m/>
    <n v="0"/>
    <m/>
    <n v="0"/>
    <m/>
    <n v="0"/>
    <m/>
    <n v="0"/>
    <m/>
    <n v="0"/>
    <m/>
    <m/>
    <m/>
    <n v="0"/>
    <n v="0"/>
    <n v="0"/>
    <n v="0"/>
    <n v="0"/>
    <n v="0"/>
    <n v="0"/>
    <n v="0"/>
    <n v="0"/>
    <n v="0"/>
    <n v="0"/>
    <m/>
    <m/>
    <x v="0"/>
    <x v="0"/>
  </r>
  <r>
    <n v="75"/>
    <x v="1"/>
    <x v="7"/>
    <x v="10"/>
    <x v="14"/>
    <m/>
    <m/>
    <m/>
    <s v="Malaria-RDT LLIN IRS ETC - Section 4, take the total budget per quarter for Cost Input = &quot;5.6 Laboratory reagents&quot;, from SETUP G52 determine the payment modality and apply the figure in H49 to establish in which quarter in the DB the budget should be reflected "/>
    <m/>
    <m/>
    <m/>
    <m/>
    <m/>
    <m/>
    <m/>
    <m/>
    <m/>
    <m/>
    <m/>
    <m/>
    <m/>
    <n v="0"/>
    <s v="-"/>
    <n v="0"/>
    <s v="-"/>
    <n v="0"/>
    <s v="-"/>
    <n v="0"/>
    <m/>
    <n v="0"/>
    <m/>
    <m/>
    <m/>
    <m/>
    <n v="0"/>
    <m/>
    <n v="0"/>
    <m/>
    <n v="0"/>
    <m/>
    <n v="0"/>
    <m/>
    <n v="0"/>
    <m/>
    <m/>
    <m/>
    <m/>
    <n v="0"/>
    <m/>
    <n v="0"/>
    <m/>
    <n v="0"/>
    <m/>
    <n v="0"/>
    <m/>
    <n v="0"/>
    <m/>
    <m/>
    <m/>
    <n v="0"/>
    <n v="0"/>
    <n v="0"/>
    <n v="0"/>
    <n v="0"/>
    <n v="0"/>
    <n v="0"/>
    <n v="0"/>
    <n v="0"/>
    <n v="0"/>
    <n v="0"/>
    <m/>
    <m/>
    <x v="0"/>
    <x v="0"/>
  </r>
  <r>
    <n v="76"/>
    <x v="1"/>
    <x v="7"/>
    <x v="1"/>
    <x v="1"/>
    <m/>
    <m/>
    <m/>
    <s v="HPM costs &amp; RSSH - Section 1, Procurement agent and handling fees (7.1),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77"/>
    <x v="1"/>
    <x v="7"/>
    <x v="1"/>
    <x v="2"/>
    <m/>
    <m/>
    <m/>
    <s v="HPM costs &amp; RSSH - Section 1, Freight and insurance costs for health products (7.2),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78"/>
    <x v="1"/>
    <x v="7"/>
    <x v="1"/>
    <x v="3"/>
    <m/>
    <m/>
    <m/>
    <s v="HPM costs &amp; RSSH - Section 2 Warehouse and storage costs (7.3),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79"/>
    <x v="1"/>
    <x v="7"/>
    <x v="1"/>
    <x v="4"/>
    <m/>
    <m/>
    <m/>
    <s v="HPM costs &amp; RSSH - Section 2, In country distribution costs  (7.4),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80"/>
    <x v="1"/>
    <x v="7"/>
    <x v="1"/>
    <x v="5"/>
    <m/>
    <m/>
    <m/>
    <s v="HPM costs &amp; RSSH - Section 1, Quality assurance and quality control costs (QA/QC) (7.5) AND Section 2, In-country QA/QC costs (7.5),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81"/>
    <x v="1"/>
    <x v="7"/>
    <x v="1"/>
    <x v="6"/>
    <m/>
    <m/>
    <m/>
    <s v="HPM costs &amp; RSSH - Section 1, PSM Customs Clearance (7.6),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82"/>
    <x v="1"/>
    <x v="7"/>
    <x v="1"/>
    <x v="7"/>
    <m/>
    <m/>
    <m/>
    <s v="HPM costs &amp; RSSH - Section 2, Other procurement and supply management costs (7.7), (Type of Health Product = Malaria Antimalaria medicines -  treatment take the total budget per quarter and multiply by % located in Malaria-Key Info F23 AND Type of Health Product = Malaria RDTs, take the total budget per quarter and multiply by % located in Malaria-Key Info G46), +  (the total budget (100%) per quarter for Type of Product = Microscopy - Equipment &amp; reagents AND Type of Product = Other equipment for malaria AND Type of Product = Consumables),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83"/>
    <x v="1"/>
    <x v="8"/>
    <x v="5"/>
    <x v="10"/>
    <m/>
    <m/>
    <m/>
    <s v="Malaria - Pharmaceuticals - Section 1, take the total budget per quarter and multiply by % located in Malaria-Key Info F24,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84"/>
    <x v="1"/>
    <x v="8"/>
    <x v="6"/>
    <x v="11"/>
    <m/>
    <m/>
    <m/>
    <s v="Malaria-RDT LLIN IRS ETC - Section 2, take the total budget per quarter and multiple by % in Malaria-Key Info J46 , from SETUP G25 determine the payment modality and apply the figure in H25 "/>
    <m/>
    <m/>
    <m/>
    <m/>
    <m/>
    <m/>
    <m/>
    <m/>
    <m/>
    <m/>
    <e v="#DIV/0!"/>
    <m/>
    <s v="-"/>
    <n v="0"/>
    <s v="-"/>
    <n v="0"/>
    <s v="-"/>
    <n v="0"/>
    <s v="-"/>
    <n v="0"/>
    <m/>
    <n v="0"/>
    <m/>
    <m/>
    <m/>
    <m/>
    <n v="0"/>
    <m/>
    <n v="0"/>
    <m/>
    <n v="0"/>
    <m/>
    <n v="0"/>
    <m/>
    <n v="0"/>
    <m/>
    <m/>
    <m/>
    <m/>
    <n v="0"/>
    <m/>
    <n v="0"/>
    <m/>
    <n v="0"/>
    <m/>
    <n v="0"/>
    <m/>
    <n v="0"/>
    <m/>
    <m/>
    <m/>
    <n v="0"/>
    <n v="0"/>
    <n v="0"/>
    <n v="0"/>
    <n v="0"/>
    <n v="0"/>
    <n v="0"/>
    <n v="0"/>
    <n v="0"/>
    <n v="0"/>
    <n v="0"/>
    <m/>
    <m/>
    <x v="0"/>
    <x v="0"/>
  </r>
  <r>
    <n v="85"/>
    <x v="1"/>
    <x v="8"/>
    <x v="1"/>
    <x v="1"/>
    <m/>
    <m/>
    <m/>
    <s v="HPM costs &amp; RSSH - Section 1, Procurement agent and handling fees (7.1),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86"/>
    <x v="1"/>
    <x v="8"/>
    <x v="1"/>
    <x v="2"/>
    <m/>
    <m/>
    <m/>
    <s v="HPM costs &amp; RSSH - Section 1, Freight and insurance costs for health products (7.2),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87"/>
    <x v="1"/>
    <x v="8"/>
    <x v="1"/>
    <x v="3"/>
    <m/>
    <m/>
    <m/>
    <s v="HPM costs &amp; RSSH - Section 2 Warehouse and storage costs (7.3),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88"/>
    <x v="1"/>
    <x v="8"/>
    <x v="1"/>
    <x v="4"/>
    <m/>
    <m/>
    <m/>
    <s v="HPM costs &amp; RSSH - Section 2, In country distribution costs  (7.4),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89"/>
    <x v="1"/>
    <x v="8"/>
    <x v="1"/>
    <x v="5"/>
    <m/>
    <m/>
    <m/>
    <s v="HPM costs &amp; RSSH - Section 1, Quality assurance and quality control costs (QA/QC) (7.5) AND Section 2, In-country QA/QC costs (7.5),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90"/>
    <x v="1"/>
    <x v="8"/>
    <x v="1"/>
    <x v="6"/>
    <m/>
    <m/>
    <m/>
    <s v="HPM costs &amp; RSSH - Section 1, PSM Customs Clearance (7.6),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
    <m/>
    <m/>
    <m/>
    <m/>
    <m/>
    <m/>
    <m/>
    <m/>
    <m/>
    <m/>
    <e v="#DIV/0!"/>
    <e v="#DIV/0!"/>
    <s v="-"/>
    <n v="0"/>
    <s v="-"/>
    <n v="0"/>
    <s v="-"/>
    <n v="0"/>
    <s v="-"/>
    <n v="0"/>
    <m/>
    <n v="0"/>
    <m/>
    <m/>
    <m/>
    <m/>
    <n v="0"/>
    <m/>
    <n v="0"/>
    <m/>
    <n v="0"/>
    <m/>
    <n v="0"/>
    <m/>
    <n v="0"/>
    <m/>
    <m/>
    <m/>
    <m/>
    <n v="0"/>
    <m/>
    <n v="0"/>
    <m/>
    <n v="0"/>
    <m/>
    <n v="0"/>
    <m/>
    <n v="0"/>
    <m/>
    <m/>
    <m/>
    <n v="0"/>
    <n v="0"/>
    <n v="0"/>
    <n v="0"/>
    <n v="0"/>
    <n v="0"/>
    <n v="0"/>
    <n v="0"/>
    <n v="0"/>
    <n v="0"/>
    <n v="0"/>
    <m/>
    <m/>
    <x v="0"/>
    <x v="0"/>
  </r>
  <r>
    <n v="91"/>
    <x v="1"/>
    <x v="8"/>
    <x v="1"/>
    <x v="7"/>
    <m/>
    <m/>
    <m/>
    <s v="HPM costs &amp; RSSH - Section 2, Other procurement and supply management costs (7.7), Type of Health Product = Malaria Antimalaria medicines -  treatment, take the total budget per quarter and multiply by % located in Malaria-Key Info F24, ADD Type of Health Product = Malaria RDTs take the total budget per quarter and multiply by % located in Malaria-Key Info J46,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92"/>
    <x v="1"/>
    <x v="9"/>
    <x v="5"/>
    <x v="10"/>
    <m/>
    <m/>
    <m/>
    <s v="Malaria - Pharmaceuticals - Section 1, take the total budget per quarter and multiply by % located in Malaria-Key Info F25,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93"/>
    <x v="1"/>
    <x v="9"/>
    <x v="6"/>
    <x v="11"/>
    <m/>
    <m/>
    <m/>
    <s v="Malaria-RDT LLIN IRS ETC - Section 2, take the total budget per quarter and multiple by % in Malaria-Key Info N46 , from SETUP G25 determine the payment modality and apply the figure in H25 "/>
    <m/>
    <m/>
    <m/>
    <m/>
    <m/>
    <m/>
    <m/>
    <m/>
    <m/>
    <m/>
    <m/>
    <m/>
    <s v="-"/>
    <n v="0"/>
    <s v="-"/>
    <n v="0"/>
    <s v="-"/>
    <n v="0"/>
    <s v="-"/>
    <n v="0"/>
    <m/>
    <n v="0"/>
    <m/>
    <m/>
    <m/>
    <m/>
    <n v="0"/>
    <m/>
    <n v="0"/>
    <m/>
    <n v="0"/>
    <m/>
    <n v="0"/>
    <m/>
    <n v="0"/>
    <m/>
    <m/>
    <m/>
    <m/>
    <n v="0"/>
    <m/>
    <n v="0"/>
    <m/>
    <n v="0"/>
    <m/>
    <n v="0"/>
    <m/>
    <n v="0"/>
    <m/>
    <m/>
    <m/>
    <n v="0"/>
    <n v="0"/>
    <n v="0"/>
    <n v="0"/>
    <n v="0"/>
    <n v="0"/>
    <n v="0"/>
    <n v="0"/>
    <n v="0"/>
    <n v="0"/>
    <n v="0"/>
    <m/>
    <m/>
    <x v="0"/>
    <x v="0"/>
  </r>
  <r>
    <n v="94"/>
    <x v="1"/>
    <x v="9"/>
    <x v="1"/>
    <x v="1"/>
    <m/>
    <m/>
    <m/>
    <s v="HPM costs &amp; RSSH - Section 1, Procurement agent and handling fees (7.1), Type of Health Product = Malaria Antimalaria medicines -  treatment, take the total budget per quarter and multiply by % located in Malaria-Key Info F25, ADD Type of Health Product = Malaria RDTs take the total budget per quarter and multiply by % located in Malaria-Key InfoN46,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95"/>
    <x v="1"/>
    <x v="9"/>
    <x v="1"/>
    <x v="2"/>
    <m/>
    <m/>
    <m/>
    <s v="HPM costs &amp; RSSH - Section 1, Freight and insurance costs for health products (7.2),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96"/>
    <x v="1"/>
    <x v="9"/>
    <x v="1"/>
    <x v="3"/>
    <m/>
    <m/>
    <m/>
    <s v="HPM costs &amp; RSSH - Section 2 Warehouse and storage costs (7.3),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
    <m/>
    <m/>
    <m/>
    <m/>
    <m/>
    <m/>
    <m/>
    <m/>
    <m/>
    <m/>
    <e v="#DIV/0!"/>
    <m/>
    <s v="-"/>
    <n v="0"/>
    <s v="-"/>
    <n v="0"/>
    <s v="-"/>
    <n v="0"/>
    <s v="-"/>
    <n v="0"/>
    <m/>
    <n v="0"/>
    <m/>
    <m/>
    <m/>
    <m/>
    <n v="0"/>
    <m/>
    <n v="0"/>
    <m/>
    <n v="0"/>
    <m/>
    <n v="0"/>
    <m/>
    <n v="0"/>
    <m/>
    <m/>
    <m/>
    <m/>
    <n v="0"/>
    <m/>
    <n v="0"/>
    <m/>
    <n v="0"/>
    <m/>
    <n v="0"/>
    <m/>
    <n v="0"/>
    <m/>
    <m/>
    <m/>
    <n v="0"/>
    <n v="0"/>
    <n v="0"/>
    <n v="0"/>
    <n v="0"/>
    <n v="0"/>
    <n v="0"/>
    <n v="0"/>
    <n v="0"/>
    <n v="0"/>
    <n v="0"/>
    <m/>
    <m/>
    <x v="0"/>
    <x v="0"/>
  </r>
  <r>
    <n v="97"/>
    <x v="1"/>
    <x v="9"/>
    <x v="1"/>
    <x v="4"/>
    <m/>
    <m/>
    <m/>
    <s v="HPM costs &amp; RSSH - Section 2, In country distribution costs  (7.4),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98"/>
    <x v="1"/>
    <x v="9"/>
    <x v="1"/>
    <x v="5"/>
    <m/>
    <m/>
    <m/>
    <s v="HPM costs &amp; RSSH - Section 1, Quality assurance and quality control costs (QA/QC) (7.5) AND Section 2, In-country QA/QC costs (7.5),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99"/>
    <x v="1"/>
    <x v="9"/>
    <x v="1"/>
    <x v="6"/>
    <m/>
    <m/>
    <m/>
    <s v="HPM costs &amp; RSSH - Section 1, PSM Customs Clearance (7.6),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
    <m/>
    <m/>
    <m/>
    <m/>
    <m/>
    <m/>
    <m/>
    <m/>
    <m/>
    <m/>
    <e v="#DIV/0!"/>
    <m/>
    <s v="-"/>
    <n v="0"/>
    <s v="-"/>
    <n v="0"/>
    <s v="-"/>
    <n v="0"/>
    <s v="-"/>
    <n v="0"/>
    <m/>
    <n v="0"/>
    <m/>
    <m/>
    <m/>
    <m/>
    <n v="0"/>
    <m/>
    <n v="0"/>
    <m/>
    <n v="0"/>
    <m/>
    <n v="0"/>
    <m/>
    <n v="0"/>
    <m/>
    <m/>
    <m/>
    <m/>
    <n v="0"/>
    <m/>
    <n v="0"/>
    <m/>
    <n v="0"/>
    <m/>
    <n v="0"/>
    <m/>
    <n v="0"/>
    <m/>
    <m/>
    <m/>
    <n v="0"/>
    <n v="0"/>
    <n v="0"/>
    <n v="0"/>
    <n v="0"/>
    <n v="0"/>
    <n v="0"/>
    <n v="0"/>
    <n v="0"/>
    <n v="0"/>
    <n v="0"/>
    <m/>
    <m/>
    <x v="0"/>
    <x v="0"/>
  </r>
  <r>
    <n v="100"/>
    <x v="1"/>
    <x v="9"/>
    <x v="1"/>
    <x v="7"/>
    <m/>
    <m/>
    <m/>
    <s v="HPM costs &amp; RSSH - Section 2, Other procurement and supply management costs (7.7), Type of Health Product = Malaria Antimalaria medicines -  treatment, take the total budget per quarter and multiply by % located in Malaria-Key Info F25, ADD Type of Health Product = Malaria RDTs take the total budget per quarter and multiply by % located in Malaria-Key Info N46, from SETUP G17 determine the payment modality and apply the figure in H17 to establish in which quarter in the DB the budget should be reflected"/>
    <m/>
    <m/>
    <m/>
    <m/>
    <m/>
    <m/>
    <m/>
    <m/>
    <m/>
    <m/>
    <e v="#DIV/0!"/>
    <m/>
    <s v="-"/>
    <n v="0"/>
    <s v="-"/>
    <n v="0"/>
    <s v="-"/>
    <n v="0"/>
    <s v="-"/>
    <n v="0"/>
    <m/>
    <n v="0"/>
    <m/>
    <m/>
    <m/>
    <m/>
    <n v="0"/>
    <m/>
    <n v="0"/>
    <m/>
    <n v="0"/>
    <m/>
    <n v="0"/>
    <m/>
    <n v="0"/>
    <m/>
    <m/>
    <m/>
    <m/>
    <n v="0"/>
    <m/>
    <n v="0"/>
    <m/>
    <n v="0"/>
    <m/>
    <n v="0"/>
    <m/>
    <n v="0"/>
    <m/>
    <m/>
    <m/>
    <n v="0"/>
    <n v="0"/>
    <n v="0"/>
    <n v="0"/>
    <n v="0"/>
    <n v="0"/>
    <n v="0"/>
    <n v="0"/>
    <n v="0"/>
    <n v="0"/>
    <n v="0"/>
    <m/>
    <m/>
    <x v="0"/>
    <x v="0"/>
  </r>
  <r>
    <n v="125"/>
    <x v="2"/>
    <x v="10"/>
    <x v="11"/>
    <x v="10"/>
    <m/>
    <m/>
    <m/>
    <s v="Malaria - Pharmaceuticals - Section 2, take the total budget per quarter and multiply by % located in Malaria-Key Info F32, from SETUP G17 determine the payment modality and apply the figure in H17 to establish in which quarter in the DB the budget should be reflected"/>
    <m/>
    <m/>
    <m/>
    <m/>
    <m/>
    <m/>
    <m/>
    <m/>
    <m/>
    <m/>
    <e v="#DIV/0!"/>
    <e v="#DIV/0!"/>
    <s v="-"/>
    <n v="0"/>
    <s v="-"/>
    <n v="0"/>
    <s v="-"/>
    <n v="0"/>
    <s v="-"/>
    <n v="0"/>
    <m/>
    <n v="0"/>
    <m/>
    <m/>
    <m/>
    <m/>
    <n v="0"/>
    <m/>
    <n v="0"/>
    <m/>
    <n v="0"/>
    <m/>
    <n v="0"/>
    <m/>
    <n v="0"/>
    <m/>
    <m/>
    <m/>
    <m/>
    <n v="0"/>
    <m/>
    <n v="0"/>
    <m/>
    <n v="0"/>
    <m/>
    <n v="0"/>
    <m/>
    <n v="0"/>
    <m/>
    <m/>
    <m/>
    <n v="0"/>
    <n v="0"/>
    <n v="0"/>
    <n v="0"/>
    <n v="0"/>
    <n v="0"/>
    <n v="0"/>
    <n v="0"/>
    <n v="0"/>
    <n v="0"/>
    <n v="0"/>
    <m/>
    <m/>
    <x v="0"/>
    <x v="0"/>
  </r>
  <r>
    <n v="126"/>
    <x v="2"/>
    <x v="10"/>
    <x v="1"/>
    <x v="1"/>
    <m/>
    <m/>
    <m/>
    <s v="HPM costs &amp; RSSH - Section 1, Procurement agent and handling fees (7.1),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
    <s v="India"/>
    <m/>
    <m/>
    <m/>
    <m/>
    <m/>
    <m/>
    <m/>
    <m/>
    <m/>
    <m/>
    <m/>
    <s v="-"/>
    <n v="0"/>
    <s v="-"/>
    <n v="0"/>
    <s v="-"/>
    <n v="0"/>
    <s v="-"/>
    <n v="0"/>
    <m/>
    <n v="0"/>
    <m/>
    <m/>
    <m/>
    <m/>
    <n v="0"/>
    <m/>
    <n v="0"/>
    <m/>
    <n v="0"/>
    <m/>
    <n v="0"/>
    <m/>
    <n v="0"/>
    <m/>
    <m/>
    <m/>
    <m/>
    <n v="0"/>
    <m/>
    <n v="0"/>
    <m/>
    <n v="0"/>
    <m/>
    <n v="0"/>
    <m/>
    <n v="0"/>
    <m/>
    <m/>
    <m/>
    <n v="0"/>
    <n v="0"/>
    <n v="0"/>
    <n v="0"/>
    <n v="0"/>
    <n v="0"/>
    <n v="0"/>
    <n v="0"/>
    <n v="0"/>
    <n v="0"/>
    <n v="0"/>
    <m/>
    <m/>
    <x v="0"/>
    <x v="0"/>
  </r>
  <r>
    <n v="127"/>
    <x v="2"/>
    <x v="10"/>
    <x v="1"/>
    <x v="2"/>
    <m/>
    <m/>
    <m/>
    <s v="HPM costs &amp; RSSH - Section 1, Freight and insurance costs for health products (7.2),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28"/>
    <x v="2"/>
    <x v="10"/>
    <x v="1"/>
    <x v="3"/>
    <m/>
    <m/>
    <m/>
    <s v="HPM costs &amp; RSSH - Section 2, Warehouse and storage costs (excluding LLINs warehouse and storage costs) (7.3),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29"/>
    <x v="2"/>
    <x v="10"/>
    <x v="1"/>
    <x v="4"/>
    <m/>
    <m/>
    <m/>
    <s v="HPM costs &amp; RSSH - Section 2, In country distribution costs (excluding LLINs distribution costs) (7.4),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30"/>
    <x v="2"/>
    <x v="10"/>
    <x v="1"/>
    <x v="5"/>
    <m/>
    <m/>
    <m/>
    <s v="HPM costs &amp; RSSH - Section 1, Quality assurance and quality control costs (QA/QC) (7.5),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31"/>
    <x v="2"/>
    <x v="10"/>
    <x v="1"/>
    <x v="6"/>
    <m/>
    <m/>
    <m/>
    <s v="HPM costs &amp; RSSH - Section 1, PSM Customs Clearance (7.6),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32"/>
    <x v="2"/>
    <x v="10"/>
    <x v="1"/>
    <x v="7"/>
    <m/>
    <m/>
    <m/>
    <s v="HPM costs &amp; RSSH - Section 2, Other procurement and supply management costs (7.7), Type of Health Product = Malaria Antimalaria medicines -  prevention, take the total budget per quarter and multiply by % located in Malaria-Key Info F32,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33"/>
    <x v="2"/>
    <x v="11"/>
    <x v="11"/>
    <x v="10"/>
    <m/>
    <m/>
    <m/>
    <s v="Malaria - Pharmaceuticals - Section 2, take the total budget per quarter and multiply by % located in Malaria-Key Info F33, from SETUP G17 determine the payment modality and apply the figure in H17 to establish in which quarter in the DB the budget should be reflected"/>
    <s v="India"/>
    <m/>
    <m/>
    <m/>
    <m/>
    <m/>
    <m/>
    <m/>
    <m/>
    <m/>
    <e v="#DIV/0!"/>
    <e v="#DIV/0!"/>
    <s v="-"/>
    <n v="0"/>
    <s v="-"/>
    <n v="0"/>
    <s v="-"/>
    <n v="0"/>
    <s v="-"/>
    <n v="0"/>
    <m/>
    <n v="0"/>
    <m/>
    <m/>
    <m/>
    <m/>
    <n v="0"/>
    <m/>
    <n v="0"/>
    <m/>
    <n v="0"/>
    <m/>
    <n v="0"/>
    <m/>
    <n v="0"/>
    <m/>
    <m/>
    <m/>
    <m/>
    <n v="0"/>
    <m/>
    <n v="0"/>
    <m/>
    <n v="0"/>
    <m/>
    <n v="0"/>
    <m/>
    <n v="0"/>
    <m/>
    <m/>
    <m/>
    <n v="0"/>
    <n v="0"/>
    <n v="0"/>
    <n v="0"/>
    <n v="0"/>
    <n v="0"/>
    <n v="0"/>
    <n v="0"/>
    <n v="0"/>
    <n v="0"/>
    <n v="0"/>
    <m/>
    <m/>
    <x v="0"/>
    <x v="0"/>
  </r>
  <r>
    <n v="134"/>
    <x v="2"/>
    <x v="11"/>
    <x v="1"/>
    <x v="1"/>
    <m/>
    <m/>
    <m/>
    <s v="HPM costs &amp; RSSH - Section 1, Procurement agent and handling fees (7.1),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35"/>
    <x v="2"/>
    <x v="11"/>
    <x v="1"/>
    <x v="2"/>
    <m/>
    <m/>
    <m/>
    <s v="HPM costs &amp; RSSH - Section 1, Freight and insurance costs for health products (7.2),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36"/>
    <x v="2"/>
    <x v="11"/>
    <x v="1"/>
    <x v="3"/>
    <m/>
    <m/>
    <m/>
    <s v="HPM costs &amp; RSSH - Section 2, Warehouse and storage costs (excluding LLINs warehouse and storage costs) (7.3),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37"/>
    <x v="2"/>
    <x v="11"/>
    <x v="1"/>
    <x v="4"/>
    <m/>
    <m/>
    <m/>
    <s v="HPM costs &amp; RSSH - Section 2, In country distribution costs (excluding LLINs distribution costs) (7.4),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38"/>
    <x v="2"/>
    <x v="11"/>
    <x v="1"/>
    <x v="5"/>
    <m/>
    <m/>
    <m/>
    <s v="HPM costs &amp; RSSH - Section 1, Quality assurance and quality control costs (QA/QC) (7.5),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39"/>
    <x v="2"/>
    <x v="11"/>
    <x v="1"/>
    <x v="6"/>
    <m/>
    <m/>
    <m/>
    <s v="HPM costs &amp; RSSH - Section 1, PSM Customs Clearance (7.6),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
    <s v="India"/>
    <m/>
    <m/>
    <m/>
    <m/>
    <m/>
    <m/>
    <m/>
    <m/>
    <m/>
    <m/>
    <m/>
    <s v="-"/>
    <n v="0"/>
    <s v="-"/>
    <n v="0"/>
    <s v="-"/>
    <n v="0"/>
    <s v="-"/>
    <n v="0"/>
    <m/>
    <n v="0"/>
    <m/>
    <m/>
    <m/>
    <m/>
    <n v="0"/>
    <m/>
    <n v="0"/>
    <m/>
    <n v="0"/>
    <m/>
    <n v="0"/>
    <m/>
    <n v="0"/>
    <m/>
    <m/>
    <m/>
    <m/>
    <n v="0"/>
    <m/>
    <n v="0"/>
    <m/>
    <n v="0"/>
    <m/>
    <n v="0"/>
    <m/>
    <n v="0"/>
    <m/>
    <m/>
    <m/>
    <n v="0"/>
    <n v="0"/>
    <n v="0"/>
    <n v="0"/>
    <n v="0"/>
    <n v="0"/>
    <n v="0"/>
    <n v="0"/>
    <n v="0"/>
    <n v="0"/>
    <n v="0"/>
    <m/>
    <m/>
    <x v="0"/>
    <x v="0"/>
  </r>
  <r>
    <n v="140"/>
    <x v="2"/>
    <x v="11"/>
    <x v="1"/>
    <x v="7"/>
    <m/>
    <m/>
    <m/>
    <s v="HPM costs &amp; RSSH - Section 2, Other procurement and supply management costs (7.7), Type of Health Product = Malaria Antimalaria medicines -  prevention, take the total budget per quarter and multiply by % located in Malaria-Key Info F33, from SETUP G17 determine the payment modality and apply the figure in H17 to establish in which quarter in the DB the budget should be reflected"/>
    <s v="India"/>
    <m/>
    <m/>
    <m/>
    <m/>
    <m/>
    <m/>
    <m/>
    <m/>
    <m/>
    <m/>
    <m/>
    <s v="-"/>
    <n v="0"/>
    <s v="-"/>
    <n v="0"/>
    <s v="-"/>
    <n v="0"/>
    <s v="-"/>
    <n v="0"/>
    <m/>
    <n v="0"/>
    <m/>
    <m/>
    <m/>
    <m/>
    <n v="0"/>
    <m/>
    <n v="0"/>
    <m/>
    <n v="0"/>
    <m/>
    <n v="0"/>
    <m/>
    <n v="0"/>
    <m/>
    <m/>
    <m/>
    <m/>
    <n v="0"/>
    <m/>
    <n v="0"/>
    <m/>
    <n v="0"/>
    <m/>
    <n v="0"/>
    <m/>
    <n v="0"/>
    <m/>
    <m/>
    <m/>
    <n v="0"/>
    <n v="0"/>
    <n v="0"/>
    <n v="0"/>
    <n v="0"/>
    <n v="0"/>
    <n v="0"/>
    <n v="0"/>
    <n v="0"/>
    <n v="0"/>
    <n v="0"/>
    <m/>
    <m/>
    <x v="0"/>
    <x v="0"/>
  </r>
  <r>
    <n v="141"/>
    <x v="2"/>
    <x v="12"/>
    <x v="11"/>
    <x v="10"/>
    <m/>
    <m/>
    <m/>
    <s v="Malaria - Pharmaceuticals - Section 2, take the total budget per quarter and multiply by % located in Malaria-Key Info F34,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42"/>
    <x v="2"/>
    <x v="12"/>
    <x v="1"/>
    <x v="1"/>
    <m/>
    <m/>
    <m/>
    <s v="HPM costs &amp; RSSH - Section 1, Procurement agent and handling fees (7.1),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43"/>
    <x v="2"/>
    <x v="12"/>
    <x v="1"/>
    <x v="2"/>
    <m/>
    <m/>
    <m/>
    <s v="HPM costs &amp; RSSH - Section 1, Freight and insurance costs for health products (7.2),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44"/>
    <x v="2"/>
    <x v="12"/>
    <x v="1"/>
    <x v="3"/>
    <m/>
    <m/>
    <m/>
    <s v="HPM costs &amp; RSSH - Section 2, Warehouse and storage costs (excluding LLINs warehouse and storage costs) (7.3),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45"/>
    <x v="2"/>
    <x v="12"/>
    <x v="1"/>
    <x v="4"/>
    <m/>
    <m/>
    <m/>
    <s v="HPM costs &amp; RSSH - Section 2, In country distribution costs (excluding LLINs distribution costs) (7.4),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46"/>
    <x v="2"/>
    <x v="12"/>
    <x v="1"/>
    <x v="5"/>
    <m/>
    <m/>
    <m/>
    <s v="HPM costs &amp; RSSH - Section 1, Quality assurance and quality control costs (QA/QC) (7.5),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
    <s v="India"/>
    <m/>
    <m/>
    <m/>
    <m/>
    <m/>
    <m/>
    <m/>
    <m/>
    <m/>
    <m/>
    <m/>
    <s v="-"/>
    <n v="0"/>
    <s v="-"/>
    <n v="0"/>
    <s v="-"/>
    <n v="0"/>
    <s v="-"/>
    <n v="0"/>
    <m/>
    <n v="0"/>
    <m/>
    <m/>
    <m/>
    <m/>
    <n v="0"/>
    <m/>
    <n v="0"/>
    <m/>
    <n v="0"/>
    <m/>
    <n v="0"/>
    <m/>
    <n v="0"/>
    <m/>
    <m/>
    <m/>
    <m/>
    <n v="0"/>
    <m/>
    <n v="0"/>
    <m/>
    <n v="0"/>
    <m/>
    <n v="0"/>
    <m/>
    <n v="0"/>
    <m/>
    <m/>
    <m/>
    <n v="0"/>
    <n v="0"/>
    <n v="0"/>
    <n v="0"/>
    <n v="0"/>
    <n v="0"/>
    <n v="0"/>
    <n v="0"/>
    <n v="0"/>
    <n v="0"/>
    <n v="0"/>
    <m/>
    <m/>
    <x v="0"/>
    <x v="0"/>
  </r>
  <r>
    <n v="147"/>
    <x v="2"/>
    <x v="12"/>
    <x v="1"/>
    <x v="6"/>
    <m/>
    <m/>
    <m/>
    <s v="HPM costs &amp; RSSH - Section 1, PSM Customs Clearance (7.6),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
    <s v="India"/>
    <m/>
    <m/>
    <m/>
    <m/>
    <m/>
    <m/>
    <m/>
    <m/>
    <m/>
    <m/>
    <m/>
    <s v="-"/>
    <n v="0"/>
    <s v="-"/>
    <n v="0"/>
    <s v="-"/>
    <n v="0"/>
    <s v="-"/>
    <n v="0"/>
    <m/>
    <n v="0"/>
    <m/>
    <m/>
    <m/>
    <m/>
    <n v="0"/>
    <m/>
    <n v="0"/>
    <m/>
    <n v="0"/>
    <m/>
    <n v="0"/>
    <m/>
    <n v="0"/>
    <m/>
    <m/>
    <m/>
    <m/>
    <n v="0"/>
    <m/>
    <n v="0"/>
    <m/>
    <n v="0"/>
    <m/>
    <n v="0"/>
    <m/>
    <n v="0"/>
    <m/>
    <m/>
    <m/>
    <n v="0"/>
    <n v="0"/>
    <n v="0"/>
    <n v="0"/>
    <n v="0"/>
    <n v="0"/>
    <n v="0"/>
    <n v="0"/>
    <n v="0"/>
    <n v="0"/>
    <n v="0"/>
    <m/>
    <m/>
    <x v="0"/>
    <x v="0"/>
  </r>
  <r>
    <n v="148"/>
    <x v="2"/>
    <x v="12"/>
    <x v="1"/>
    <x v="7"/>
    <m/>
    <m/>
    <m/>
    <s v="HPM costs &amp; RSSH - Section 2, Other procurement and supply management costs (7.7), Type of Health Product = Malaria Antimalaria medicines -  prevention, take the total budget per quarter and multiply by % located in Malaria-Key Info F34,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49"/>
    <x v="2"/>
    <x v="13"/>
    <x v="11"/>
    <x v="10"/>
    <m/>
    <m/>
    <m/>
    <s v="Malaria - Pharmaceuticals - Section 2, take the total budget per quarter and multiply by % located in Malaria-Key Info F35,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50"/>
    <x v="2"/>
    <x v="13"/>
    <x v="1"/>
    <x v="1"/>
    <m/>
    <m/>
    <m/>
    <s v="HPM costs &amp; RSSH - Section 1, Procurement agent and handling fees (7.1),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51"/>
    <x v="2"/>
    <x v="13"/>
    <x v="1"/>
    <x v="2"/>
    <m/>
    <m/>
    <m/>
    <s v="HPM costs &amp; RSSH - Section 1, Freight and insurance costs for health products (7.2),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52"/>
    <x v="2"/>
    <x v="13"/>
    <x v="1"/>
    <x v="3"/>
    <m/>
    <m/>
    <m/>
    <s v="HPM costs &amp; RSSH - Section 2, Warehouse and storage costs (excluding LLINs warehouse and storage costs) (7.3),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53"/>
    <x v="2"/>
    <x v="13"/>
    <x v="1"/>
    <x v="4"/>
    <m/>
    <m/>
    <m/>
    <s v="HPM costs &amp; RSSH - Section 2, In country distribution costs (excluding LLINs distribution costs) (7.4),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54"/>
    <x v="2"/>
    <x v="13"/>
    <x v="1"/>
    <x v="5"/>
    <m/>
    <m/>
    <m/>
    <s v="HPM costs &amp; RSSH - Section 1, Quality assurance and quality control costs (QA/QC) (7.5),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
    <s v="India"/>
    <m/>
    <m/>
    <m/>
    <m/>
    <m/>
    <m/>
    <m/>
    <m/>
    <m/>
    <m/>
    <m/>
    <s v="-"/>
    <n v="0"/>
    <s v="-"/>
    <n v="0"/>
    <s v="-"/>
    <n v="0"/>
    <s v="-"/>
    <n v="0"/>
    <m/>
    <n v="0"/>
    <m/>
    <m/>
    <m/>
    <m/>
    <n v="0"/>
    <m/>
    <n v="0"/>
    <m/>
    <n v="0"/>
    <m/>
    <n v="0"/>
    <m/>
    <n v="0"/>
    <m/>
    <m/>
    <m/>
    <m/>
    <n v="0"/>
    <m/>
    <n v="0"/>
    <m/>
    <n v="0"/>
    <m/>
    <n v="0"/>
    <m/>
    <n v="0"/>
    <m/>
    <m/>
    <m/>
    <n v="0"/>
    <n v="0"/>
    <n v="0"/>
    <n v="0"/>
    <n v="0"/>
    <n v="0"/>
    <n v="0"/>
    <n v="0"/>
    <n v="0"/>
    <n v="0"/>
    <n v="0"/>
    <m/>
    <m/>
    <x v="0"/>
    <x v="0"/>
  </r>
  <r>
    <n v="155"/>
    <x v="2"/>
    <x v="13"/>
    <x v="1"/>
    <x v="6"/>
    <m/>
    <m/>
    <m/>
    <s v="HPM costs &amp; RSSH - Section 1, PSM Customs Clearance (7.6),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56"/>
    <x v="2"/>
    <x v="13"/>
    <x v="1"/>
    <x v="7"/>
    <m/>
    <m/>
    <m/>
    <s v="HPM costs &amp; RSSH - Section 2, Other procurement and supply management costs (7.7), Type of Health Product = Malaria Antimalaria medicines -  prevention, take the total budget per quarter and multiply by % located in Malaria-Key Info F35, from SETUP G17 determine the payment modality and apply the figure in H1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0"/>
  </r>
  <r>
    <n v="157"/>
    <x v="3"/>
    <x v="14"/>
    <x v="7"/>
    <x v="12"/>
    <m/>
    <m/>
    <m/>
    <s v="TB- Other HPs &amp; equipment - Section 1, for COST INPUT = 6.3 Microscopes  take the total budget per quarter AND multiply by the % in TB-Key Info cell L14, from SETUP F33 determine the payment modality and apply the figure in G3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1"/>
  </r>
  <r>
    <n v="158"/>
    <x v="3"/>
    <x v="14"/>
    <x v="12"/>
    <x v="11"/>
    <m/>
    <m/>
    <m/>
    <s v="TB- Other HPs &amp; equipment - Section 1, 2, 3, and 4, COST INPUT = 5.4 Rapid Diagnostic Test, take the total budget per quarter AND multiply by the % in TB-Key Info cell L14, from SETUP F34 determine the payment modality and apply the figure in G34 to establish in which quarter in the DB the budget should be reflected"/>
    <m/>
    <m/>
    <m/>
    <m/>
    <m/>
    <m/>
    <m/>
    <m/>
    <m/>
    <m/>
    <m/>
    <m/>
    <s v="-"/>
    <n v="0"/>
    <m/>
    <n v="0"/>
    <m/>
    <n v="0"/>
    <m/>
    <n v="0"/>
    <m/>
    <n v="0"/>
    <m/>
    <m/>
    <m/>
    <m/>
    <n v="0"/>
    <m/>
    <n v="0"/>
    <m/>
    <n v="0"/>
    <m/>
    <n v="0"/>
    <m/>
    <n v="0"/>
    <m/>
    <m/>
    <m/>
    <m/>
    <n v="0"/>
    <m/>
    <n v="0"/>
    <m/>
    <n v="0"/>
    <m/>
    <n v="0"/>
    <m/>
    <n v="0"/>
    <m/>
    <m/>
    <m/>
    <n v="0"/>
    <n v="0"/>
    <n v="0"/>
    <n v="0"/>
    <n v="0"/>
    <n v="0"/>
    <n v="0"/>
    <n v="0"/>
    <n v="0"/>
    <n v="0"/>
    <n v="0"/>
    <m/>
    <m/>
    <x v="0"/>
    <x v="1"/>
  </r>
  <r>
    <n v="159"/>
    <x v="3"/>
    <x v="14"/>
    <x v="10"/>
    <x v="14"/>
    <m/>
    <m/>
    <m/>
    <s v="TB- Other HPs &amp; equipment - Section 1, 2, 3, and 4, COST INPUT = 5.6 Laboratory reagents, take the total budget per quarter AND multiply by the % in TB-Key Info cell L14, from SETUP F37 determine the payment modality and apply the figure in G3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1"/>
  </r>
  <r>
    <n v="160"/>
    <x v="3"/>
    <x v="14"/>
    <x v="9"/>
    <x v="13"/>
    <m/>
    <m/>
    <m/>
    <s v="TB- Other HPs &amp; equipment - Section 4, COST INPUT = 5.8 Consumables, take the total budget per quarter AND multiply by the % in TB-Key Info cell L14, from SETUP F40 determine the payment modality and apply the figure in G40 to establish in which quarter in the DB the budget should be reflected"/>
    <m/>
    <m/>
    <m/>
    <m/>
    <m/>
    <m/>
    <m/>
    <m/>
    <m/>
    <m/>
    <e v="#DIV/0!"/>
    <m/>
    <s v="-"/>
    <n v="0"/>
    <s v="-"/>
    <n v="0"/>
    <s v="-"/>
    <n v="0"/>
    <s v="-"/>
    <n v="0"/>
    <m/>
    <n v="0"/>
    <m/>
    <m/>
    <m/>
    <m/>
    <n v="0"/>
    <m/>
    <n v="0"/>
    <m/>
    <n v="0"/>
    <m/>
    <n v="0"/>
    <m/>
    <n v="0"/>
    <m/>
    <m/>
    <m/>
    <m/>
    <n v="0"/>
    <m/>
    <n v="0"/>
    <m/>
    <n v="0"/>
    <m/>
    <n v="0"/>
    <m/>
    <n v="0"/>
    <m/>
    <m/>
    <m/>
    <n v="0"/>
    <n v="0"/>
    <n v="0"/>
    <n v="0"/>
    <n v="0"/>
    <n v="0"/>
    <n v="0"/>
    <n v="0"/>
    <n v="0"/>
    <n v="0"/>
    <n v="0"/>
    <m/>
    <m/>
    <x v="0"/>
    <x v="1"/>
  </r>
  <r>
    <n v="161"/>
    <x v="3"/>
    <x v="14"/>
    <x v="13"/>
    <x v="15"/>
    <m/>
    <m/>
    <m/>
    <s v="TB- Other HPs &amp; equipment - Section 2 and Section 3, COST INPUT = 6.4 TB Molecular Test equipment, take the total budget per quarter AND multiply by the % in TB-Key Info cell L14, from SETUP F34 determine the payment modality and apply the figure in G34 to establish in which quarter in the DB the budget should be reflected"/>
    <m/>
    <m/>
    <m/>
    <m/>
    <m/>
    <m/>
    <m/>
    <m/>
    <m/>
    <m/>
    <e v="#DIV/0!"/>
    <e v="#DIV/0!"/>
    <s v="-"/>
    <n v="0"/>
    <s v="-"/>
    <n v="0"/>
    <s v="-"/>
    <n v="0"/>
    <s v="-"/>
    <n v="0"/>
    <m/>
    <n v="0"/>
    <m/>
    <m/>
    <m/>
    <m/>
    <n v="0"/>
    <m/>
    <n v="0"/>
    <m/>
    <n v="0"/>
    <m/>
    <n v="0"/>
    <m/>
    <n v="0"/>
    <m/>
    <m/>
    <m/>
    <m/>
    <n v="0"/>
    <m/>
    <n v="0"/>
    <m/>
    <n v="0"/>
    <m/>
    <n v="0"/>
    <m/>
    <n v="0"/>
    <m/>
    <m/>
    <m/>
    <n v="0"/>
    <n v="0"/>
    <n v="0"/>
    <n v="0"/>
    <n v="0"/>
    <n v="0"/>
    <n v="0"/>
    <n v="0"/>
    <n v="0"/>
    <n v="0"/>
    <n v="0"/>
    <m/>
    <m/>
    <x v="0"/>
    <x v="1"/>
  </r>
  <r>
    <n v="162"/>
    <x v="3"/>
    <x v="14"/>
    <x v="14"/>
    <x v="16"/>
    <m/>
    <m/>
    <m/>
    <s v="TB- Other HPs &amp; equipment - 4, COST INPUT = 6.5 Maintenance and service costs for health equipment, take the total budget per quarter AND multiply by the % in TB-Key Info cell L14, from SETUP F42 determine the payment modality and apply the figure in G42 to establish in which quarter in the DB the budget should be reflected"/>
    <s v="India"/>
    <m/>
    <m/>
    <m/>
    <m/>
    <m/>
    <m/>
    <m/>
    <m/>
    <m/>
    <e v="#DIV/0!"/>
    <e v="#DIV/0!"/>
    <s v="-"/>
    <n v="0"/>
    <s v="-"/>
    <n v="0"/>
    <s v="-"/>
    <n v="0"/>
    <s v="-"/>
    <n v="0"/>
    <m/>
    <n v="0"/>
    <m/>
    <m/>
    <m/>
    <m/>
    <n v="0"/>
    <m/>
    <n v="0"/>
    <m/>
    <n v="0"/>
    <m/>
    <n v="0"/>
    <m/>
    <n v="0"/>
    <m/>
    <m/>
    <m/>
    <m/>
    <n v="0"/>
    <m/>
    <n v="0"/>
    <m/>
    <n v="0"/>
    <m/>
    <n v="0"/>
    <m/>
    <n v="0"/>
    <m/>
    <m/>
    <m/>
    <n v="0"/>
    <n v="0"/>
    <n v="0"/>
    <n v="0"/>
    <n v="0"/>
    <n v="0"/>
    <n v="0"/>
    <n v="0"/>
    <n v="0"/>
    <n v="0"/>
    <n v="0"/>
    <m/>
    <m/>
    <x v="0"/>
    <x v="1"/>
  </r>
  <r>
    <n v="163"/>
    <x v="3"/>
    <x v="14"/>
    <x v="8"/>
    <x v="9"/>
    <m/>
    <m/>
    <m/>
    <s v="TB- Other HPs &amp; equipment - Section 3, and 4, COST INPUT = 6.6 Other health equipment, take the total budget per quarter AND multiply by the % in TB-Key Info cell L14, from SETUP F37 determine the payment modality and apply the figure in G37 to establish in which quarter in the DB the budget should be reflected"/>
    <s v="India"/>
    <m/>
    <m/>
    <m/>
    <m/>
    <m/>
    <m/>
    <m/>
    <m/>
    <m/>
    <e v="#DIV/0!"/>
    <e v="#DIV/0!"/>
    <s v="-"/>
    <n v="0"/>
    <s v="-"/>
    <n v="0"/>
    <s v="-"/>
    <n v="0"/>
    <s v="-"/>
    <n v="0"/>
    <m/>
    <n v="0"/>
    <m/>
    <m/>
    <m/>
    <m/>
    <n v="0"/>
    <m/>
    <n v="0"/>
    <m/>
    <n v="0"/>
    <m/>
    <n v="0"/>
    <m/>
    <n v="0"/>
    <m/>
    <m/>
    <m/>
    <m/>
    <n v="0"/>
    <m/>
    <n v="0"/>
    <m/>
    <n v="0"/>
    <m/>
    <n v="0"/>
    <m/>
    <n v="0"/>
    <m/>
    <m/>
    <m/>
    <n v="0"/>
    <n v="0"/>
    <n v="0"/>
    <n v="0"/>
    <n v="0"/>
    <n v="0"/>
    <n v="0"/>
    <n v="0"/>
    <n v="0"/>
    <n v="0"/>
    <n v="0"/>
    <m/>
    <m/>
    <x v="0"/>
    <x v="1"/>
  </r>
  <r>
    <n v="164"/>
    <x v="3"/>
    <x v="14"/>
    <x v="1"/>
    <x v="1"/>
    <m/>
    <m/>
    <m/>
    <s v="HPM costs &amp; RSSH - Section 1, Procurement agent and handling fees (7.1), ADD together Type of Health Product = &quot;Microscopy - Equipment &amp; reagents&quot; PLUS &quot;RDTs for TB&quot; PLUS &quot;Culture/DST/LPA - Equipment &amp; reagents&quot; PLUS &quot;Consumables &amp; other equipment&quot;, take the total budget per quarter and multiply by % located in TB-Key Info L14"/>
    <m/>
    <m/>
    <m/>
    <m/>
    <m/>
    <m/>
    <m/>
    <m/>
    <m/>
    <m/>
    <m/>
    <m/>
    <s v="-"/>
    <n v="0"/>
    <s v="-"/>
    <n v="0"/>
    <s v="-"/>
    <n v="0"/>
    <s v="-"/>
    <n v="0"/>
    <m/>
    <n v="0"/>
    <m/>
    <m/>
    <m/>
    <m/>
    <n v="0"/>
    <m/>
    <n v="0"/>
    <m/>
    <n v="0"/>
    <m/>
    <n v="0"/>
    <m/>
    <n v="0"/>
    <m/>
    <m/>
    <m/>
    <m/>
    <n v="0"/>
    <m/>
    <n v="0"/>
    <m/>
    <n v="0"/>
    <m/>
    <n v="0"/>
    <m/>
    <n v="0"/>
    <m/>
    <m/>
    <m/>
    <n v="0"/>
    <n v="0"/>
    <n v="0"/>
    <n v="0"/>
    <n v="0"/>
    <n v="0"/>
    <n v="0"/>
    <n v="0"/>
    <n v="0"/>
    <n v="0"/>
    <n v="0"/>
    <m/>
    <m/>
    <x v="0"/>
    <x v="1"/>
  </r>
  <r>
    <n v="165"/>
    <x v="3"/>
    <x v="14"/>
    <x v="1"/>
    <x v="2"/>
    <m/>
    <m/>
    <m/>
    <s v="HPM costs &amp; RSSH - Section 1, Freight and insurance costs (Health products) (7.2), ADD together Type of Health Product = &quot;Microscopy - Equipment &amp; reagents&quot; PLUS &quot;RDTs for TB&quot; PLUS &quot;Culture/DST/LPA - Equipment &amp; reagents&quot; PLUS &quot;Consumables &amp; other equipment&quot;, take the total budget per quarter and multiply by % located in TB-Key Info L14"/>
    <m/>
    <m/>
    <m/>
    <m/>
    <m/>
    <m/>
    <m/>
    <m/>
    <m/>
    <m/>
    <m/>
    <m/>
    <s v="-"/>
    <n v="0"/>
    <s v="-"/>
    <n v="0"/>
    <s v="-"/>
    <n v="0"/>
    <s v="-"/>
    <n v="0"/>
    <m/>
    <n v="0"/>
    <m/>
    <m/>
    <m/>
    <m/>
    <n v="0"/>
    <m/>
    <n v="0"/>
    <m/>
    <n v="0"/>
    <m/>
    <n v="0"/>
    <m/>
    <n v="0"/>
    <m/>
    <m/>
    <m/>
    <m/>
    <n v="0"/>
    <m/>
    <n v="0"/>
    <m/>
    <n v="0"/>
    <m/>
    <n v="0"/>
    <m/>
    <n v="0"/>
    <m/>
    <m/>
    <m/>
    <n v="0"/>
    <n v="0"/>
    <n v="0"/>
    <n v="0"/>
    <n v="0"/>
    <n v="0"/>
    <n v="0"/>
    <n v="0"/>
    <n v="0"/>
    <n v="0"/>
    <n v="0"/>
    <m/>
    <m/>
    <x v="0"/>
    <x v="1"/>
  </r>
  <r>
    <n v="166"/>
    <x v="3"/>
    <x v="14"/>
    <x v="1"/>
    <x v="3"/>
    <m/>
    <m/>
    <m/>
    <s v="HPM costs &amp; RSSH - Section 2, Warehouse and storage costs (7.3), ADD together Type of Health Product = &quot;Microscopy - Equipment &amp; reagents&quot; PLUS &quot;RDTs for TB&quot; PLUS &quot;Culture/DST/LPA - Equipment &amp; reagents&quot; PLUS &quot;Consumables &amp; other equipment&quot;, take the total budget per quarter and multiply by % located in TB-Key Info L14"/>
    <m/>
    <m/>
    <m/>
    <m/>
    <m/>
    <m/>
    <m/>
    <m/>
    <m/>
    <m/>
    <m/>
    <m/>
    <s v="-"/>
    <n v="0"/>
    <s v="-"/>
    <n v="0"/>
    <s v="-"/>
    <n v="0"/>
    <s v="-"/>
    <n v="0"/>
    <m/>
    <n v="0"/>
    <m/>
    <m/>
    <m/>
    <m/>
    <n v="0"/>
    <m/>
    <n v="0"/>
    <m/>
    <n v="0"/>
    <m/>
    <n v="0"/>
    <m/>
    <n v="0"/>
    <m/>
    <m/>
    <m/>
    <m/>
    <n v="0"/>
    <m/>
    <n v="0"/>
    <m/>
    <n v="0"/>
    <m/>
    <n v="0"/>
    <m/>
    <n v="0"/>
    <m/>
    <m/>
    <m/>
    <n v="0"/>
    <n v="0"/>
    <n v="0"/>
    <n v="0"/>
    <n v="0"/>
    <n v="0"/>
    <n v="0"/>
    <n v="0"/>
    <n v="0"/>
    <n v="0"/>
    <n v="0"/>
    <m/>
    <m/>
    <x v="0"/>
    <x v="1"/>
  </r>
  <r>
    <n v="167"/>
    <x v="3"/>
    <x v="14"/>
    <x v="1"/>
    <x v="4"/>
    <m/>
    <m/>
    <m/>
    <s v="HPM costs &amp; RSSH - Section 2, In country distribution costs  (7.4), ADD together Type of Health Product = &quot;Microscopy - Equipment &amp; reagents&quot; PLUS &quot;RDTs for TB&quot; PLUS &quot;Culture/DST/LPA - Equipment &amp; reagents&quot; PLUS &quot;Consumables &amp; other equipment&quot;, take the total budget per quarter and multiply by % located in TB-Key Info L14"/>
    <m/>
    <m/>
    <m/>
    <m/>
    <m/>
    <m/>
    <m/>
    <m/>
    <m/>
    <m/>
    <m/>
    <m/>
    <s v="-"/>
    <n v="0"/>
    <s v="-"/>
    <n v="0"/>
    <s v="-"/>
    <n v="0"/>
    <s v="-"/>
    <n v="0"/>
    <m/>
    <n v="0"/>
    <m/>
    <m/>
    <m/>
    <m/>
    <n v="0"/>
    <m/>
    <n v="0"/>
    <m/>
    <n v="0"/>
    <m/>
    <n v="0"/>
    <m/>
    <n v="0"/>
    <m/>
    <m/>
    <m/>
    <m/>
    <n v="0"/>
    <m/>
    <n v="0"/>
    <m/>
    <n v="0"/>
    <m/>
    <n v="0"/>
    <m/>
    <n v="0"/>
    <m/>
    <m/>
    <m/>
    <n v="0"/>
    <n v="0"/>
    <n v="0"/>
    <n v="0"/>
    <n v="0"/>
    <n v="0"/>
    <n v="0"/>
    <n v="0"/>
    <n v="0"/>
    <n v="0"/>
    <n v="0"/>
    <m/>
    <m/>
    <x v="0"/>
    <x v="1"/>
  </r>
  <r>
    <n v="168"/>
    <x v="3"/>
    <x v="14"/>
    <x v="1"/>
    <x v="5"/>
    <m/>
    <m/>
    <m/>
    <s v="HPM costs &amp; RSSH - Section 1, Quality assurance and quality control costs (QA/QC) (7.5) AND Section 2, In-country QA/QC costs (7.5), ADD together Type of Health Product = &quot;Microscopy - Equipment &amp; reagents&quot; PLUS &quot;RDTs for TB&quot; PLUS &quot;Culture/DST/LPA - Equipment &amp; reagents&quot; PLUS &quot;Consumables &amp; other equipment&quot;, take the total budget per quarter and multiply by % located in TB-Key Info L14"/>
    <m/>
    <m/>
    <m/>
    <m/>
    <m/>
    <m/>
    <m/>
    <m/>
    <m/>
    <m/>
    <e v="#DIV/0!"/>
    <e v="#DIV/0!"/>
    <s v="-"/>
    <n v="0"/>
    <m/>
    <n v="0"/>
    <s v="-"/>
    <n v="0"/>
    <s v="-"/>
    <n v="0"/>
    <m/>
    <n v="0"/>
    <m/>
    <m/>
    <m/>
    <m/>
    <n v="0"/>
    <m/>
    <n v="0"/>
    <m/>
    <n v="0"/>
    <m/>
    <n v="0"/>
    <m/>
    <n v="0"/>
    <m/>
    <m/>
    <m/>
    <m/>
    <n v="0"/>
    <m/>
    <n v="0"/>
    <m/>
    <n v="0"/>
    <m/>
    <n v="0"/>
    <m/>
    <n v="0"/>
    <m/>
    <m/>
    <m/>
    <n v="0"/>
    <n v="0"/>
    <n v="0"/>
    <n v="0"/>
    <n v="0"/>
    <n v="0"/>
    <n v="0"/>
    <n v="0"/>
    <n v="0"/>
    <n v="0"/>
    <n v="0"/>
    <m/>
    <m/>
    <x v="0"/>
    <x v="1"/>
  </r>
  <r>
    <n v="169"/>
    <x v="3"/>
    <x v="14"/>
    <x v="1"/>
    <x v="6"/>
    <m/>
    <m/>
    <m/>
    <s v="HPM costs &amp; RSSH - Section 1, PSM Customs Clearance (7.6), ADD together Type of Health Product = &quot;Microscopy - Equipment &amp; reagents&quot; PLUS &quot;RDTs for TB&quot; PLUS &quot;Culture/DST/LPA - Equipment &amp; reagents&quot; PLUS &quot;Consumables &amp; other equipment&quot;, take the total budget per quarter and multiply by % located in TB-Key Info L14"/>
    <m/>
    <m/>
    <m/>
    <m/>
    <m/>
    <m/>
    <m/>
    <m/>
    <m/>
    <m/>
    <m/>
    <m/>
    <s v="-"/>
    <n v="0"/>
    <s v="-"/>
    <n v="0"/>
    <s v="-"/>
    <n v="0"/>
    <s v="-"/>
    <n v="0"/>
    <m/>
    <n v="0"/>
    <m/>
    <m/>
    <m/>
    <m/>
    <n v="0"/>
    <m/>
    <n v="0"/>
    <m/>
    <n v="0"/>
    <m/>
    <n v="0"/>
    <m/>
    <n v="0"/>
    <m/>
    <m/>
    <m/>
    <m/>
    <n v="0"/>
    <m/>
    <n v="0"/>
    <m/>
    <n v="0"/>
    <m/>
    <n v="0"/>
    <m/>
    <n v="0"/>
    <m/>
    <m/>
    <m/>
    <n v="0"/>
    <n v="0"/>
    <n v="0"/>
    <n v="0"/>
    <n v="0"/>
    <n v="0"/>
    <n v="0"/>
    <n v="0"/>
    <n v="0"/>
    <n v="0"/>
    <n v="0"/>
    <m/>
    <m/>
    <x v="0"/>
    <x v="1"/>
  </r>
  <r>
    <n v="170"/>
    <x v="3"/>
    <x v="14"/>
    <x v="1"/>
    <x v="7"/>
    <m/>
    <m/>
    <m/>
    <s v="HPM costs &amp; RSSH - Section 2, Other procurement and supply management costs (7.7), ADD together Type of Health Product = &quot;Microscopy - Equipment &amp; reagents&quot; PLUS &quot;RDTs for TB&quot; PLUS &quot;Culture/DST/LPA - Equipment &amp; reagents&quot; PLUS &quot;Consumables &amp; other equipment&quot;, take the total budget per quarter and multiply by % located in TB-Key Info L14"/>
    <m/>
    <m/>
    <m/>
    <m/>
    <m/>
    <m/>
    <m/>
    <m/>
    <m/>
    <m/>
    <m/>
    <m/>
    <s v="-"/>
    <n v="0"/>
    <s v="-"/>
    <n v="0"/>
    <s v="-"/>
    <n v="0"/>
    <s v="-"/>
    <n v="0"/>
    <m/>
    <n v="0"/>
    <m/>
    <m/>
    <m/>
    <m/>
    <n v="0"/>
    <m/>
    <n v="0"/>
    <m/>
    <n v="0"/>
    <m/>
    <n v="0"/>
    <m/>
    <n v="0"/>
    <m/>
    <m/>
    <m/>
    <m/>
    <n v="0"/>
    <m/>
    <n v="0"/>
    <m/>
    <n v="0"/>
    <m/>
    <n v="0"/>
    <m/>
    <n v="0"/>
    <m/>
    <m/>
    <m/>
    <n v="0"/>
    <n v="0"/>
    <n v="0"/>
    <n v="0"/>
    <n v="0"/>
    <n v="0"/>
    <n v="0"/>
    <n v="0"/>
    <n v="0"/>
    <n v="0"/>
    <n v="0"/>
    <m/>
    <m/>
    <x v="0"/>
    <x v="1"/>
  </r>
  <r>
    <n v="171"/>
    <x v="3"/>
    <x v="15"/>
    <x v="15"/>
    <x v="17"/>
    <m/>
    <m/>
    <m/>
    <s v="TB - Pharmaceuticals - Section 1, take the total budget per quarter, from SETUP G16 determine the payment modality and apply the figure in H16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1"/>
  </r>
  <r>
    <n v="173"/>
    <x v="3"/>
    <x v="15"/>
    <x v="1"/>
    <x v="1"/>
    <m/>
    <m/>
    <m/>
    <s v="HPM costs &amp; RSSH - Section 1, Procurement agent and handling fees (7.1), ADD together Type of Health Product = &quot;TB medicines&quot; PLUS &quot;TB medicines for IPT&quot; , take the total budget per quarter"/>
    <m/>
    <m/>
    <m/>
    <m/>
    <m/>
    <m/>
    <m/>
    <m/>
    <m/>
    <m/>
    <m/>
    <m/>
    <s v="-"/>
    <n v="0"/>
    <s v="-"/>
    <n v="0"/>
    <s v="-"/>
    <n v="0"/>
    <s v="-"/>
    <n v="0"/>
    <m/>
    <n v="0"/>
    <m/>
    <m/>
    <m/>
    <m/>
    <n v="0"/>
    <m/>
    <n v="0"/>
    <m/>
    <n v="0"/>
    <m/>
    <n v="0"/>
    <m/>
    <n v="0"/>
    <m/>
    <m/>
    <m/>
    <m/>
    <n v="0"/>
    <m/>
    <n v="0"/>
    <m/>
    <n v="0"/>
    <m/>
    <n v="0"/>
    <m/>
    <n v="0"/>
    <m/>
    <m/>
    <m/>
    <n v="0"/>
    <n v="0"/>
    <n v="0"/>
    <n v="0"/>
    <n v="0"/>
    <n v="0"/>
    <n v="0"/>
    <n v="0"/>
    <n v="0"/>
    <n v="0"/>
    <n v="0"/>
    <m/>
    <m/>
    <x v="0"/>
    <x v="1"/>
  </r>
  <r>
    <n v="174"/>
    <x v="3"/>
    <x v="15"/>
    <x v="1"/>
    <x v="2"/>
    <m/>
    <m/>
    <m/>
    <s v="HPM costs &amp; RSSH - Section 1, Freight and insurance costs (Health products) (7.2), ADD together Type of Health Product = &quot;TB medicines&quot; PLUS &quot;TB medicines for IPT&quot; , take the total budget per quarter"/>
    <m/>
    <m/>
    <m/>
    <m/>
    <m/>
    <m/>
    <m/>
    <m/>
    <m/>
    <m/>
    <m/>
    <m/>
    <s v="-"/>
    <n v="0"/>
    <s v="-"/>
    <n v="0"/>
    <s v="-"/>
    <n v="0"/>
    <s v="-"/>
    <n v="0"/>
    <m/>
    <n v="0"/>
    <m/>
    <m/>
    <m/>
    <m/>
    <n v="0"/>
    <m/>
    <n v="0"/>
    <m/>
    <n v="0"/>
    <m/>
    <n v="0"/>
    <m/>
    <n v="0"/>
    <m/>
    <m/>
    <m/>
    <m/>
    <n v="0"/>
    <m/>
    <n v="0"/>
    <m/>
    <n v="0"/>
    <m/>
    <n v="0"/>
    <m/>
    <n v="0"/>
    <m/>
    <m/>
    <m/>
    <n v="0"/>
    <n v="0"/>
    <n v="0"/>
    <n v="0"/>
    <n v="0"/>
    <n v="0"/>
    <n v="0"/>
    <n v="0"/>
    <n v="0"/>
    <n v="0"/>
    <n v="0"/>
    <m/>
    <m/>
    <x v="0"/>
    <x v="1"/>
  </r>
  <r>
    <n v="175"/>
    <x v="3"/>
    <x v="15"/>
    <x v="1"/>
    <x v="3"/>
    <m/>
    <m/>
    <m/>
    <s v="HPM costs &amp; RSSH - Section 2, Warehouse and storage costs (7.3), ADD together Type of Health Product = &quot;TB medicines&quot; PLUS &quot;TB medicines for IPT&quot; , take the total budget per quarter"/>
    <m/>
    <m/>
    <m/>
    <m/>
    <m/>
    <m/>
    <m/>
    <m/>
    <m/>
    <m/>
    <m/>
    <m/>
    <s v="-"/>
    <n v="0"/>
    <s v="-"/>
    <n v="0"/>
    <s v="-"/>
    <n v="0"/>
    <s v="-"/>
    <n v="0"/>
    <m/>
    <n v="0"/>
    <m/>
    <m/>
    <m/>
    <m/>
    <n v="0"/>
    <m/>
    <n v="0"/>
    <m/>
    <n v="0"/>
    <m/>
    <n v="0"/>
    <m/>
    <n v="0"/>
    <m/>
    <m/>
    <m/>
    <m/>
    <n v="0"/>
    <m/>
    <n v="0"/>
    <m/>
    <n v="0"/>
    <m/>
    <n v="0"/>
    <m/>
    <n v="0"/>
    <m/>
    <m/>
    <m/>
    <n v="0"/>
    <n v="0"/>
    <n v="0"/>
    <n v="0"/>
    <n v="0"/>
    <n v="0"/>
    <n v="0"/>
    <n v="0"/>
    <n v="0"/>
    <n v="0"/>
    <n v="0"/>
    <m/>
    <m/>
    <x v="0"/>
    <x v="1"/>
  </r>
  <r>
    <n v="176"/>
    <x v="3"/>
    <x v="15"/>
    <x v="1"/>
    <x v="4"/>
    <m/>
    <m/>
    <m/>
    <s v="HPM costs &amp; RSSH - Section 2, In country distribution costs  (7.4), ADD together Type of Health Product = &quot;TB medicines&quot; PLUS &quot;TB medicines for IPT&quot; , take the total budget per quarter"/>
    <m/>
    <m/>
    <m/>
    <m/>
    <m/>
    <m/>
    <m/>
    <m/>
    <m/>
    <m/>
    <m/>
    <m/>
    <s v="-"/>
    <n v="0"/>
    <s v="-"/>
    <n v="0"/>
    <s v="-"/>
    <n v="0"/>
    <s v="-"/>
    <n v="0"/>
    <m/>
    <n v="0"/>
    <m/>
    <m/>
    <m/>
    <m/>
    <n v="0"/>
    <m/>
    <n v="0"/>
    <m/>
    <n v="0"/>
    <m/>
    <n v="0"/>
    <m/>
    <n v="0"/>
    <m/>
    <m/>
    <m/>
    <m/>
    <n v="0"/>
    <m/>
    <n v="0"/>
    <m/>
    <n v="0"/>
    <m/>
    <n v="0"/>
    <m/>
    <n v="0"/>
    <m/>
    <m/>
    <m/>
    <n v="0"/>
    <n v="0"/>
    <n v="0"/>
    <n v="0"/>
    <n v="0"/>
    <n v="0"/>
    <n v="0"/>
    <n v="0"/>
    <n v="0"/>
    <n v="0"/>
    <n v="0"/>
    <m/>
    <m/>
    <x v="0"/>
    <x v="1"/>
  </r>
  <r>
    <n v="177"/>
    <x v="3"/>
    <x v="15"/>
    <x v="1"/>
    <x v="5"/>
    <m/>
    <m/>
    <m/>
    <s v="HPM costs &amp; RSSH - Section 1, Quality assurance and quality control costs (QA/QC) (7.5) AND Section 2, In-country QA/QC costs (7.5), ADD together Type of Health Product = &quot;TB medicines&quot; PLUS &quot;TB medicines for IPT&quot; , take the total budget per quarter"/>
    <m/>
    <m/>
    <m/>
    <m/>
    <m/>
    <m/>
    <m/>
    <m/>
    <m/>
    <m/>
    <m/>
    <m/>
    <s v="-"/>
    <n v="0"/>
    <s v="-"/>
    <n v="0"/>
    <s v="-"/>
    <n v="0"/>
    <s v="-"/>
    <n v="0"/>
    <m/>
    <n v="0"/>
    <m/>
    <m/>
    <m/>
    <m/>
    <n v="0"/>
    <m/>
    <n v="0"/>
    <m/>
    <n v="0"/>
    <m/>
    <n v="0"/>
    <m/>
    <n v="0"/>
    <m/>
    <m/>
    <m/>
    <m/>
    <n v="0"/>
    <m/>
    <n v="0"/>
    <m/>
    <n v="0"/>
    <m/>
    <n v="0"/>
    <m/>
    <n v="0"/>
    <m/>
    <m/>
    <m/>
    <n v="0"/>
    <n v="0"/>
    <n v="0"/>
    <n v="0"/>
    <n v="0"/>
    <n v="0"/>
    <n v="0"/>
    <n v="0"/>
    <n v="0"/>
    <n v="0"/>
    <n v="0"/>
    <m/>
    <m/>
    <x v="0"/>
    <x v="1"/>
  </r>
  <r>
    <n v="178"/>
    <x v="3"/>
    <x v="15"/>
    <x v="1"/>
    <x v="6"/>
    <m/>
    <m/>
    <m/>
    <s v="HPM costs &amp; RSSH - Section 1, PSM Customs Clearance (7.6), ADD together Type of Health Product = &quot;TB medicines&quot; PLUS &quot;TB medicines for IPT&quot; , take the total budget per quarter"/>
    <m/>
    <m/>
    <m/>
    <m/>
    <m/>
    <m/>
    <m/>
    <m/>
    <m/>
    <m/>
    <m/>
    <m/>
    <s v="-"/>
    <n v="0"/>
    <s v="-"/>
    <n v="0"/>
    <s v="-"/>
    <n v="0"/>
    <s v="-"/>
    <n v="0"/>
    <m/>
    <n v="0"/>
    <m/>
    <m/>
    <m/>
    <m/>
    <n v="0"/>
    <m/>
    <n v="0"/>
    <m/>
    <n v="0"/>
    <m/>
    <n v="0"/>
    <m/>
    <n v="0"/>
    <m/>
    <m/>
    <m/>
    <m/>
    <n v="0"/>
    <m/>
    <n v="0"/>
    <m/>
    <n v="0"/>
    <m/>
    <n v="0"/>
    <m/>
    <n v="0"/>
    <m/>
    <m/>
    <m/>
    <n v="0"/>
    <n v="0"/>
    <n v="0"/>
    <n v="0"/>
    <n v="0"/>
    <n v="0"/>
    <n v="0"/>
    <n v="0"/>
    <n v="0"/>
    <n v="0"/>
    <n v="0"/>
    <m/>
    <m/>
    <x v="0"/>
    <x v="1"/>
  </r>
  <r>
    <n v="179"/>
    <x v="3"/>
    <x v="15"/>
    <x v="1"/>
    <x v="7"/>
    <m/>
    <m/>
    <m/>
    <s v="HPM costs &amp; RSSH - Section 2, Other procurement and supply management costs (7.7), ADD together Type of Health Product = &quot;TB medicines&quot; PLUS &quot;TB medicines for IPT&quot; , take the total budget per quarter"/>
    <m/>
    <m/>
    <m/>
    <m/>
    <m/>
    <m/>
    <m/>
    <m/>
    <m/>
    <m/>
    <m/>
    <m/>
    <s v="-"/>
    <n v="0"/>
    <s v="-"/>
    <n v="0"/>
    <s v="-"/>
    <n v="0"/>
    <s v="-"/>
    <n v="0"/>
    <m/>
    <n v="0"/>
    <m/>
    <m/>
    <m/>
    <m/>
    <n v="0"/>
    <m/>
    <n v="0"/>
    <m/>
    <n v="0"/>
    <m/>
    <n v="0"/>
    <m/>
    <n v="0"/>
    <m/>
    <m/>
    <m/>
    <m/>
    <n v="0"/>
    <m/>
    <n v="0"/>
    <m/>
    <n v="0"/>
    <m/>
    <n v="0"/>
    <m/>
    <n v="0"/>
    <m/>
    <m/>
    <m/>
    <n v="0"/>
    <n v="0"/>
    <n v="0"/>
    <n v="0"/>
    <n v="0"/>
    <n v="0"/>
    <n v="0"/>
    <n v="0"/>
    <n v="0"/>
    <n v="0"/>
    <n v="0"/>
    <m/>
    <m/>
    <x v="0"/>
    <x v="1"/>
  </r>
  <r>
    <n v="180"/>
    <x v="3"/>
    <x v="16"/>
    <x v="16"/>
    <x v="17"/>
    <m/>
    <m/>
    <m/>
    <s v="TB - Pharmaceuticals - Section 3, take the total budget per quarter, from SETUP F31 determine the payment modality and apply the figure in G31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1"/>
  </r>
  <r>
    <n v="354"/>
    <x v="4"/>
    <x v="17"/>
    <x v="7"/>
    <x v="12"/>
    <m/>
    <m/>
    <m/>
    <s v="TB- Other HPs &amp; equipment - Section 1, for COST INPUT = 6.3 Microscopes take the total budget per quarter AND multiply by the % in TB-Key Info cell L15, from SETUP F33 determine the payment modality and apply the figure in G3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1"/>
  </r>
  <r>
    <n v="355"/>
    <x v="4"/>
    <x v="17"/>
    <x v="12"/>
    <x v="11"/>
    <m/>
    <m/>
    <m/>
    <s v="TB- Other HPs &amp; equipment - Section 1, 2, 3, and 4, COST INPUT = 5.4 Rapid Diagnostic Test, take the total budget per quarter AND multiply by the % in TB-Key Info cell L15, from SETUP F34 determine the payment modality and apply the figure in G34to establish in which quarter in the DB the budget should be reflected"/>
    <m/>
    <m/>
    <m/>
    <m/>
    <m/>
    <m/>
    <m/>
    <m/>
    <m/>
    <m/>
    <m/>
    <m/>
    <s v="-"/>
    <n v="0"/>
    <m/>
    <n v="0"/>
    <m/>
    <n v="0"/>
    <m/>
    <n v="0"/>
    <m/>
    <n v="0"/>
    <m/>
    <m/>
    <m/>
    <m/>
    <n v="0"/>
    <m/>
    <n v="0"/>
    <m/>
    <n v="0"/>
    <m/>
    <n v="0"/>
    <m/>
    <n v="0"/>
    <m/>
    <m/>
    <m/>
    <m/>
    <n v="0"/>
    <m/>
    <n v="0"/>
    <m/>
    <n v="0"/>
    <m/>
    <n v="0"/>
    <m/>
    <n v="0"/>
    <m/>
    <m/>
    <m/>
    <n v="0"/>
    <n v="0"/>
    <n v="0"/>
    <n v="0"/>
    <n v="0"/>
    <n v="0"/>
    <n v="0"/>
    <n v="0"/>
    <n v="0"/>
    <n v="0"/>
    <n v="0"/>
    <m/>
    <m/>
    <x v="0"/>
    <x v="1"/>
  </r>
  <r>
    <n v="356"/>
    <x v="4"/>
    <x v="17"/>
    <x v="10"/>
    <x v="14"/>
    <m/>
    <m/>
    <m/>
    <s v="TB- Other HPs &amp; equipment - Section 1, 2, 3, and 4, COST INPUT = 5.6 Laboratory reagents, take the total budget per quarter AND multiply by the % in TB-Key Info cell L15, from SETUP F37 determine the payment modality and apply the figure in G3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1"/>
  </r>
  <r>
    <n v="357"/>
    <x v="4"/>
    <x v="17"/>
    <x v="9"/>
    <x v="13"/>
    <m/>
    <m/>
    <m/>
    <s v="TB- Other HPs &amp; equipment - Section 4, COST INPUT = 5.8 Consumables, take the total budget per quarter AND multiply by the % in TB-Key Info cell L15, from SETUP F40 determine the payment modality and apply the figure in G40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1"/>
  </r>
  <r>
    <n v="358"/>
    <x v="4"/>
    <x v="17"/>
    <x v="13"/>
    <x v="15"/>
    <m/>
    <m/>
    <m/>
    <s v="TB- Other HPs &amp; equipment - Section 2 and Section 3, COST INPUT = 6.4 TB Molecular Test equipment, take the total budget per quarter AND multiply by the % in TB-Key Info cell L15, from SETUP F34 determine the payment modality and apply the figure in G34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1"/>
  </r>
  <r>
    <n v="359"/>
    <x v="4"/>
    <x v="17"/>
    <x v="14"/>
    <x v="16"/>
    <m/>
    <m/>
    <m/>
    <s v="TB- Other HPs &amp; equipment - 4, COST INPUT = 6.5 Maintenance and service costs for health equipment, take the total budget per quarter AND multiply by the % in TB-Key Info cell L15, from SETUP F42 determine the payment modality and apply the figure in G42 to establish in which quarter in the DB the budget should be reflected"/>
    <m/>
    <m/>
    <m/>
    <m/>
    <m/>
    <m/>
    <m/>
    <m/>
    <m/>
    <m/>
    <e v="#DIV/0!"/>
    <m/>
    <s v="-"/>
    <n v="0"/>
    <m/>
    <n v="0"/>
    <s v="-"/>
    <n v="0"/>
    <s v="-"/>
    <n v="0"/>
    <m/>
    <n v="0"/>
    <m/>
    <m/>
    <m/>
    <m/>
    <n v="0"/>
    <m/>
    <n v="0"/>
    <m/>
    <n v="0"/>
    <m/>
    <n v="0"/>
    <m/>
    <n v="0"/>
    <m/>
    <m/>
    <m/>
    <m/>
    <n v="0"/>
    <m/>
    <n v="0"/>
    <m/>
    <n v="0"/>
    <m/>
    <n v="0"/>
    <m/>
    <n v="0"/>
    <m/>
    <m/>
    <m/>
    <n v="0"/>
    <n v="0"/>
    <n v="0"/>
    <n v="0"/>
    <n v="0"/>
    <n v="0"/>
    <n v="0"/>
    <n v="0"/>
    <n v="0"/>
    <n v="0"/>
    <n v="0"/>
    <m/>
    <m/>
    <x v="0"/>
    <x v="1"/>
  </r>
  <r>
    <n v="360"/>
    <x v="4"/>
    <x v="17"/>
    <x v="8"/>
    <x v="9"/>
    <m/>
    <m/>
    <m/>
    <s v="TB- Other HPs &amp; equipment - Section 3, and 4, COST INPUT = 6.6 Other health equipment, take the total budget per quarter AND multiply by the % in TB-Key Info cell L15, from SETUP F37 determine the payment modality and apply the figure in G37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1"/>
  </r>
  <r>
    <n v="361"/>
    <x v="4"/>
    <x v="17"/>
    <x v="1"/>
    <x v="1"/>
    <m/>
    <m/>
    <m/>
    <s v="HPM costs &amp; RSSH - Section 1, Procurement agent and handling fees (7.1), ADD together Type of Health Product = &quot;Microscopy - Equipment &amp; reagents&quot; PLUS &quot;RDTs for TB&quot; PLUS &quot;Culture/DST/LPA - Equipment &amp; reagents&quot; PLUS &quot;Consumables &amp; other equipment&quot;, take the total budget per quarter and multiply by % located in TB-Key Info L15"/>
    <m/>
    <m/>
    <m/>
    <m/>
    <m/>
    <m/>
    <m/>
    <m/>
    <m/>
    <m/>
    <m/>
    <m/>
    <s v="-"/>
    <n v="0"/>
    <s v="-"/>
    <n v="0"/>
    <s v="-"/>
    <n v="0"/>
    <s v="-"/>
    <n v="0"/>
    <m/>
    <n v="0"/>
    <m/>
    <m/>
    <m/>
    <m/>
    <n v="0"/>
    <m/>
    <n v="0"/>
    <m/>
    <n v="0"/>
    <m/>
    <n v="0"/>
    <m/>
    <n v="0"/>
    <m/>
    <m/>
    <m/>
    <m/>
    <n v="0"/>
    <m/>
    <n v="0"/>
    <m/>
    <n v="0"/>
    <m/>
    <n v="0"/>
    <m/>
    <n v="0"/>
    <m/>
    <m/>
    <m/>
    <n v="0"/>
    <n v="0"/>
    <n v="0"/>
    <n v="0"/>
    <n v="0"/>
    <n v="0"/>
    <n v="0"/>
    <n v="0"/>
    <n v="0"/>
    <n v="0"/>
    <n v="0"/>
    <m/>
    <m/>
    <x v="0"/>
    <x v="1"/>
  </r>
  <r>
    <n v="362"/>
    <x v="4"/>
    <x v="17"/>
    <x v="1"/>
    <x v="2"/>
    <m/>
    <m/>
    <m/>
    <s v="HPM costs &amp; RSSH - Section 1, Freight and insurance costs (Health products) (7.2), ADD together Type of Health Product = &quot;Microscopy - Equipment &amp; reagents&quot; PLUS &quot;RDTs for TB&quot; PLUS &quot;Culture/DST/LPA - Equipment &amp; reagents&quot; PLUS &quot;Consumables &amp; other equipment&quot;, take the total budget per quarter and multiply by % located in TB-Key Info L15"/>
    <m/>
    <m/>
    <m/>
    <m/>
    <m/>
    <m/>
    <m/>
    <m/>
    <m/>
    <m/>
    <m/>
    <m/>
    <s v="-"/>
    <n v="0"/>
    <s v="-"/>
    <n v="0"/>
    <s v="-"/>
    <n v="0"/>
    <s v="-"/>
    <n v="0"/>
    <m/>
    <n v="0"/>
    <m/>
    <m/>
    <m/>
    <m/>
    <n v="0"/>
    <m/>
    <n v="0"/>
    <m/>
    <n v="0"/>
    <m/>
    <n v="0"/>
    <m/>
    <n v="0"/>
    <m/>
    <m/>
    <m/>
    <m/>
    <n v="0"/>
    <m/>
    <n v="0"/>
    <m/>
    <n v="0"/>
    <m/>
    <n v="0"/>
    <m/>
    <n v="0"/>
    <m/>
    <m/>
    <m/>
    <n v="0"/>
    <n v="0"/>
    <n v="0"/>
    <n v="0"/>
    <n v="0"/>
    <n v="0"/>
    <n v="0"/>
    <n v="0"/>
    <n v="0"/>
    <n v="0"/>
    <n v="0"/>
    <m/>
    <m/>
    <x v="0"/>
    <x v="1"/>
  </r>
  <r>
    <n v="363"/>
    <x v="4"/>
    <x v="17"/>
    <x v="1"/>
    <x v="3"/>
    <m/>
    <m/>
    <m/>
    <s v="HPM costs &amp; RSSH - Section 2, Warehouse and storage costs (7.3), ADD together Type of Health Product = &quot;Microscopy - Equipment &amp; reagents&quot; PLUS &quot;RDTs for TB&quot; PLUS &quot;Culture/DST/LPA - Equipment &amp; reagents&quot; PLUS &quot;Consumables &amp; other equipment&quot;, take the total budget per quarter and multiply by % located in TB-Key Info L15"/>
    <m/>
    <m/>
    <m/>
    <m/>
    <m/>
    <m/>
    <m/>
    <m/>
    <m/>
    <m/>
    <m/>
    <m/>
    <s v="-"/>
    <n v="0"/>
    <s v="-"/>
    <n v="0"/>
    <s v="-"/>
    <n v="0"/>
    <s v="-"/>
    <n v="0"/>
    <m/>
    <n v="0"/>
    <m/>
    <m/>
    <m/>
    <m/>
    <n v="0"/>
    <m/>
    <n v="0"/>
    <m/>
    <n v="0"/>
    <m/>
    <n v="0"/>
    <m/>
    <n v="0"/>
    <m/>
    <m/>
    <m/>
    <m/>
    <n v="0"/>
    <m/>
    <n v="0"/>
    <m/>
    <n v="0"/>
    <m/>
    <n v="0"/>
    <m/>
    <n v="0"/>
    <m/>
    <m/>
    <m/>
    <n v="0"/>
    <n v="0"/>
    <n v="0"/>
    <n v="0"/>
    <n v="0"/>
    <n v="0"/>
    <n v="0"/>
    <n v="0"/>
    <n v="0"/>
    <n v="0"/>
    <n v="0"/>
    <m/>
    <m/>
    <x v="0"/>
    <x v="1"/>
  </r>
  <r>
    <n v="364"/>
    <x v="4"/>
    <x v="17"/>
    <x v="1"/>
    <x v="4"/>
    <m/>
    <m/>
    <m/>
    <s v="HPM costs &amp; RSSH - Section 2, In country distribution costs  (7.4), ADD together Type of Health Product = &quot;Microscopy - Equipment &amp; reagents&quot; PLUS &quot;RDTs for TB&quot; PLUS &quot;Culture/DST/LPA - Equipment &amp; reagents&quot; PLUS &quot;Consumables &amp; other equipment&quot;, take the total budget per quarter and multiply by % located in TB-Key Info L15"/>
    <m/>
    <m/>
    <m/>
    <m/>
    <m/>
    <m/>
    <m/>
    <m/>
    <m/>
    <m/>
    <e v="#DIV/0!"/>
    <e v="#DIV/0!"/>
    <s v="-"/>
    <n v="0"/>
    <m/>
    <n v="0"/>
    <m/>
    <n v="0"/>
    <m/>
    <n v="0"/>
    <m/>
    <n v="0"/>
    <m/>
    <m/>
    <m/>
    <m/>
    <n v="0"/>
    <m/>
    <n v="0"/>
    <m/>
    <n v="0"/>
    <m/>
    <n v="0"/>
    <m/>
    <n v="0"/>
    <m/>
    <m/>
    <m/>
    <m/>
    <n v="0"/>
    <m/>
    <n v="0"/>
    <m/>
    <n v="0"/>
    <m/>
    <n v="0"/>
    <m/>
    <n v="0"/>
    <m/>
    <m/>
    <m/>
    <n v="0"/>
    <n v="0"/>
    <n v="0"/>
    <n v="0"/>
    <n v="0"/>
    <n v="0"/>
    <n v="0"/>
    <n v="0"/>
    <n v="0"/>
    <n v="0"/>
    <n v="0"/>
    <m/>
    <m/>
    <x v="0"/>
    <x v="1"/>
  </r>
  <r>
    <n v="365"/>
    <x v="4"/>
    <x v="17"/>
    <x v="1"/>
    <x v="5"/>
    <m/>
    <m/>
    <m/>
    <s v="HPM costs &amp; RSSH - Section 1, Quality assurance and quality control costs (QA/QC) (7.5) AND Section 2, In-country QA/QC costs (7.5), ADD together Type of Health Product = &quot;Microscopy - Equipment &amp; reagents&quot; PLUS &quot;RDTs for TB&quot; PLUS &quot;Culture/DST/LPA - Equipment &amp; reagents&quot; PLUS &quot;Consumables &amp; other equipment&quot;, take the total budget per quarter and multiply by % located in TB-Key Info L15"/>
    <m/>
    <m/>
    <m/>
    <m/>
    <m/>
    <m/>
    <m/>
    <m/>
    <m/>
    <m/>
    <m/>
    <m/>
    <s v="-"/>
    <n v="0"/>
    <s v="-"/>
    <n v="0"/>
    <s v="-"/>
    <n v="0"/>
    <s v="-"/>
    <n v="0"/>
    <m/>
    <n v="0"/>
    <m/>
    <m/>
    <m/>
    <m/>
    <n v="0"/>
    <m/>
    <n v="0"/>
    <m/>
    <n v="0"/>
    <m/>
    <n v="0"/>
    <m/>
    <n v="0"/>
    <m/>
    <m/>
    <m/>
    <m/>
    <n v="0"/>
    <m/>
    <n v="0"/>
    <m/>
    <n v="0"/>
    <m/>
    <n v="0"/>
    <m/>
    <n v="0"/>
    <m/>
    <m/>
    <m/>
    <n v="0"/>
    <n v="0"/>
    <n v="0"/>
    <n v="0"/>
    <n v="0"/>
    <n v="0"/>
    <n v="0"/>
    <n v="0"/>
    <n v="0"/>
    <n v="0"/>
    <n v="0"/>
    <m/>
    <m/>
    <x v="0"/>
    <x v="1"/>
  </r>
  <r>
    <n v="366"/>
    <x v="4"/>
    <x v="17"/>
    <x v="1"/>
    <x v="6"/>
    <m/>
    <m/>
    <m/>
    <s v="HPM costs &amp; RSSH - Section 1, PSM Customs Clearance (7.6), ADD together Type of Health Product = &quot;Microscopy - Equipment &amp; reagents&quot; PLUS &quot;RDTs for TB&quot; PLUS &quot;Culture/DST/LPA - Equipment &amp; reagents&quot; PLUS &quot;Consumables &amp; other equipment&quot;, take the total budget per quarter and multiply by % located in TB-Key Info L15"/>
    <m/>
    <m/>
    <m/>
    <m/>
    <m/>
    <m/>
    <m/>
    <m/>
    <m/>
    <m/>
    <m/>
    <m/>
    <s v="-"/>
    <n v="0"/>
    <s v="-"/>
    <n v="0"/>
    <s v="-"/>
    <n v="0"/>
    <s v="-"/>
    <n v="0"/>
    <m/>
    <n v="0"/>
    <m/>
    <m/>
    <m/>
    <m/>
    <n v="0"/>
    <m/>
    <n v="0"/>
    <m/>
    <n v="0"/>
    <m/>
    <n v="0"/>
    <m/>
    <n v="0"/>
    <m/>
    <m/>
    <m/>
    <m/>
    <n v="0"/>
    <m/>
    <n v="0"/>
    <m/>
    <n v="0"/>
    <m/>
    <n v="0"/>
    <m/>
    <n v="0"/>
    <m/>
    <m/>
    <m/>
    <n v="0"/>
    <n v="0"/>
    <n v="0"/>
    <n v="0"/>
    <n v="0"/>
    <n v="0"/>
    <n v="0"/>
    <n v="0"/>
    <n v="0"/>
    <n v="0"/>
    <n v="0"/>
    <m/>
    <m/>
    <x v="0"/>
    <x v="1"/>
  </r>
  <r>
    <n v="367"/>
    <x v="4"/>
    <x v="17"/>
    <x v="1"/>
    <x v="7"/>
    <m/>
    <m/>
    <m/>
    <s v="HPM costs &amp; RSSH - Section 2, Other procurement and supply management costs (7.7), ADD together Type of Health Product = &quot;Microscopy - Equipment &amp; reagents&quot; PLUS &quot;RDTs for TB&quot; PLUS &quot;Culture/DST/LPA - Equipment &amp; reagents&quot; PLUS &quot;Consumables &amp; other equipment&quot;, take the total budget per quarter and multiply by % located in TB-Key Info L15"/>
    <m/>
    <m/>
    <m/>
    <m/>
    <m/>
    <m/>
    <m/>
    <m/>
    <m/>
    <m/>
    <m/>
    <m/>
    <s v="-"/>
    <n v="0"/>
    <s v="-"/>
    <n v="0"/>
    <s v="-"/>
    <n v="0"/>
    <s v="-"/>
    <n v="0"/>
    <m/>
    <n v="0"/>
    <m/>
    <m/>
    <m/>
    <m/>
    <n v="0"/>
    <m/>
    <n v="0"/>
    <m/>
    <n v="0"/>
    <m/>
    <n v="0"/>
    <m/>
    <n v="0"/>
    <m/>
    <m/>
    <m/>
    <m/>
    <n v="0"/>
    <m/>
    <n v="0"/>
    <m/>
    <n v="0"/>
    <m/>
    <n v="0"/>
    <m/>
    <n v="0"/>
    <m/>
    <m/>
    <m/>
    <n v="0"/>
    <n v="0"/>
    <n v="0"/>
    <n v="0"/>
    <n v="0"/>
    <n v="0"/>
    <n v="0"/>
    <n v="0"/>
    <n v="0"/>
    <n v="0"/>
    <n v="0"/>
    <m/>
    <m/>
    <x v="0"/>
    <x v="1"/>
  </r>
  <r>
    <n v="368"/>
    <x v="4"/>
    <x v="18"/>
    <x v="17"/>
    <x v="17"/>
    <m/>
    <m/>
    <m/>
    <s v="TB - Pharmaceuticals - Section 2, take the total budget per quarter, from SETUP F30 determine the payment modality and apply the figure in G30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1"/>
  </r>
  <r>
    <n v="369"/>
    <x v="4"/>
    <x v="18"/>
    <x v="18"/>
    <x v="18"/>
    <m/>
    <m/>
    <m/>
    <s v="TB - Pharmaceuticals - Section 4, take the total budget per quarter, from SETUP F32 determine the payment modality and apply the figure in G32 to establish in which quarter in the DB the budget should be reflected"/>
    <m/>
    <m/>
    <m/>
    <m/>
    <m/>
    <m/>
    <m/>
    <m/>
    <m/>
    <m/>
    <e v="#DIV/0!"/>
    <e v="#DIV/0!"/>
    <s v="-"/>
    <n v="0"/>
    <m/>
    <n v="0"/>
    <m/>
    <n v="0"/>
    <m/>
    <n v="0"/>
    <m/>
    <n v="0"/>
    <m/>
    <m/>
    <m/>
    <m/>
    <n v="0"/>
    <m/>
    <n v="0"/>
    <m/>
    <n v="0"/>
    <m/>
    <n v="0"/>
    <m/>
    <n v="0"/>
    <m/>
    <m/>
    <m/>
    <m/>
    <n v="0"/>
    <m/>
    <n v="0"/>
    <m/>
    <n v="0"/>
    <m/>
    <n v="0"/>
    <m/>
    <n v="0"/>
    <m/>
    <m/>
    <m/>
    <n v="0"/>
    <n v="0"/>
    <n v="0"/>
    <n v="0"/>
    <n v="0"/>
    <n v="0"/>
    <n v="0"/>
    <n v="0"/>
    <n v="0"/>
    <n v="0"/>
    <n v="0"/>
    <m/>
    <m/>
    <x v="0"/>
    <x v="1"/>
  </r>
  <r>
    <n v="370"/>
    <x v="4"/>
    <x v="18"/>
    <x v="17"/>
    <x v="19"/>
    <m/>
    <m/>
    <m/>
    <s v="TB- Other HPs &amp; equipment - Section 4, Type of Product = &quot;Syringes and needles&quot;, take the total budget per quarter, from SETUP F40 determine the payment modality and apply the figure in G40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0"/>
    <x v="1"/>
  </r>
  <r>
    <n v="371"/>
    <x v="4"/>
    <x v="18"/>
    <x v="1"/>
    <x v="1"/>
    <m/>
    <m/>
    <m/>
    <s v="HPM costs &amp; RSSH - Section 1, Procurement agent and handling fees (7.1), ADD together Type of Health Product = &quot;MDR/XDR TB medicines&quot; PLUS &quot;OIs, STIs &amp; other medicines for TB program&quot;, take the total budget per quarter"/>
    <m/>
    <m/>
    <m/>
    <m/>
    <m/>
    <m/>
    <m/>
    <m/>
    <m/>
    <m/>
    <m/>
    <m/>
    <s v="-"/>
    <n v="0"/>
    <s v="-"/>
    <n v="0"/>
    <s v="-"/>
    <n v="0"/>
    <s v="-"/>
    <n v="0"/>
    <m/>
    <n v="0"/>
    <m/>
    <m/>
    <m/>
    <m/>
    <n v="0"/>
    <m/>
    <n v="0"/>
    <m/>
    <n v="0"/>
    <m/>
    <n v="0"/>
    <m/>
    <n v="0"/>
    <m/>
    <m/>
    <m/>
    <m/>
    <n v="0"/>
    <m/>
    <n v="0"/>
    <m/>
    <n v="0"/>
    <m/>
    <n v="0"/>
    <m/>
    <n v="0"/>
    <m/>
    <m/>
    <m/>
    <n v="0"/>
    <n v="0"/>
    <n v="0"/>
    <n v="0"/>
    <n v="0"/>
    <n v="0"/>
    <n v="0"/>
    <n v="0"/>
    <n v="0"/>
    <n v="0"/>
    <n v="0"/>
    <m/>
    <m/>
    <x v="0"/>
    <x v="1"/>
  </r>
  <r>
    <n v="372"/>
    <x v="4"/>
    <x v="18"/>
    <x v="1"/>
    <x v="2"/>
    <m/>
    <m/>
    <m/>
    <s v="HPM costs &amp; RSSH - Section 1, Freight and insurance costs (Health products) (7.2), ADD together Type of Health Product = &quot;MDR/XDR TB medicines&quot; PLUS &quot;OIs, STIs &amp; other medicines for TB program&quot;, take the total budget per quarter"/>
    <m/>
    <m/>
    <m/>
    <m/>
    <m/>
    <m/>
    <m/>
    <m/>
    <m/>
    <m/>
    <m/>
    <m/>
    <s v="-"/>
    <n v="0"/>
    <s v="-"/>
    <n v="0"/>
    <s v="-"/>
    <n v="0"/>
    <s v="-"/>
    <n v="0"/>
    <m/>
    <n v="0"/>
    <m/>
    <m/>
    <m/>
    <m/>
    <n v="0"/>
    <m/>
    <n v="0"/>
    <m/>
    <n v="0"/>
    <m/>
    <n v="0"/>
    <m/>
    <n v="0"/>
    <m/>
    <m/>
    <m/>
    <m/>
    <n v="0"/>
    <m/>
    <n v="0"/>
    <m/>
    <n v="0"/>
    <m/>
    <n v="0"/>
    <m/>
    <n v="0"/>
    <m/>
    <m/>
    <m/>
    <n v="0"/>
    <n v="0"/>
    <n v="0"/>
    <n v="0"/>
    <n v="0"/>
    <n v="0"/>
    <n v="0"/>
    <n v="0"/>
    <n v="0"/>
    <n v="0"/>
    <n v="0"/>
    <m/>
    <m/>
    <x v="0"/>
    <x v="1"/>
  </r>
  <r>
    <n v="373"/>
    <x v="4"/>
    <x v="18"/>
    <x v="1"/>
    <x v="3"/>
    <m/>
    <m/>
    <m/>
    <s v="HPM costs &amp; RSSH - Section 2, Warehouse and storage costs (7.3), ADD together Type of Health Product = &quot;MDR/XDR TB medicines&quot; PLUS &quot;OIs, STIs &amp; other medicines for TB program&quot;, take the total budget per quarter"/>
    <m/>
    <m/>
    <m/>
    <m/>
    <m/>
    <m/>
    <m/>
    <m/>
    <m/>
    <m/>
    <m/>
    <m/>
    <s v="-"/>
    <n v="0"/>
    <s v="-"/>
    <n v="0"/>
    <s v="-"/>
    <n v="0"/>
    <s v="-"/>
    <n v="0"/>
    <m/>
    <n v="0"/>
    <m/>
    <m/>
    <m/>
    <m/>
    <n v="0"/>
    <m/>
    <n v="0"/>
    <m/>
    <n v="0"/>
    <m/>
    <n v="0"/>
    <m/>
    <n v="0"/>
    <m/>
    <m/>
    <m/>
    <m/>
    <n v="0"/>
    <m/>
    <n v="0"/>
    <m/>
    <n v="0"/>
    <m/>
    <n v="0"/>
    <m/>
    <n v="0"/>
    <m/>
    <m/>
    <m/>
    <n v="0"/>
    <n v="0"/>
    <n v="0"/>
    <n v="0"/>
    <n v="0"/>
    <n v="0"/>
    <n v="0"/>
    <n v="0"/>
    <n v="0"/>
    <n v="0"/>
    <n v="0"/>
    <m/>
    <m/>
    <x v="0"/>
    <x v="1"/>
  </r>
  <r>
    <n v="374"/>
    <x v="4"/>
    <x v="18"/>
    <x v="1"/>
    <x v="4"/>
    <m/>
    <m/>
    <m/>
    <s v="HPM costs &amp; RSSH - Section 2, In country distribution costs  (7.4), ADD together Type of Health Product = &quot;MDR/XDR TB medicines&quot; PLUS &quot;OIs, STIs &amp; other medicines for TB program&quot;, take the total budget per quarter"/>
    <m/>
    <m/>
    <m/>
    <m/>
    <m/>
    <m/>
    <m/>
    <m/>
    <m/>
    <m/>
    <e v="#DIV/0!"/>
    <e v="#DIV/0!"/>
    <s v="-"/>
    <n v="0"/>
    <s v="-"/>
    <n v="0"/>
    <s v="-"/>
    <n v="0"/>
    <s v="-"/>
    <n v="0"/>
    <m/>
    <n v="0"/>
    <m/>
    <m/>
    <m/>
    <m/>
    <n v="0"/>
    <m/>
    <n v="0"/>
    <m/>
    <n v="0"/>
    <m/>
    <n v="0"/>
    <m/>
    <n v="0"/>
    <m/>
    <m/>
    <m/>
    <m/>
    <n v="0"/>
    <m/>
    <n v="0"/>
    <m/>
    <n v="0"/>
    <m/>
    <n v="0"/>
    <m/>
    <n v="0"/>
    <m/>
    <m/>
    <m/>
    <n v="0"/>
    <n v="0"/>
    <n v="0"/>
    <n v="0"/>
    <n v="0"/>
    <n v="0"/>
    <n v="0"/>
    <n v="0"/>
    <n v="0"/>
    <n v="0"/>
    <n v="0"/>
    <m/>
    <m/>
    <x v="0"/>
    <x v="1"/>
  </r>
  <r>
    <n v="375"/>
    <x v="4"/>
    <x v="18"/>
    <x v="1"/>
    <x v="5"/>
    <m/>
    <m/>
    <m/>
    <s v="HPM costs &amp; RSSH - Section 1, Quality assurance and quality control costs (QA/QC) (7.5) AND Section 2, In-country QA/QC costs (7.5), ADD together Type of Health Product = &quot;MDR/XDR TB medicines&quot; PLUS &quot;OIs, STIs &amp; other medicines for TB program&quot;, take the total budget per quarter"/>
    <m/>
    <m/>
    <m/>
    <m/>
    <m/>
    <m/>
    <m/>
    <m/>
    <m/>
    <m/>
    <m/>
    <m/>
    <s v="-"/>
    <n v="0"/>
    <s v="-"/>
    <n v="0"/>
    <s v="-"/>
    <n v="0"/>
    <s v="-"/>
    <n v="0"/>
    <m/>
    <n v="0"/>
    <m/>
    <m/>
    <m/>
    <m/>
    <n v="0"/>
    <m/>
    <n v="0"/>
    <m/>
    <n v="0"/>
    <m/>
    <n v="0"/>
    <m/>
    <n v="0"/>
    <m/>
    <m/>
    <m/>
    <m/>
    <n v="0"/>
    <m/>
    <n v="0"/>
    <m/>
    <n v="0"/>
    <m/>
    <n v="0"/>
    <m/>
    <n v="0"/>
    <m/>
    <m/>
    <m/>
    <n v="0"/>
    <n v="0"/>
    <n v="0"/>
    <n v="0"/>
    <n v="0"/>
    <n v="0"/>
    <n v="0"/>
    <n v="0"/>
    <n v="0"/>
    <n v="0"/>
    <n v="0"/>
    <m/>
    <m/>
    <x v="0"/>
    <x v="1"/>
  </r>
  <r>
    <n v="376"/>
    <x v="4"/>
    <x v="18"/>
    <x v="1"/>
    <x v="6"/>
    <m/>
    <m/>
    <m/>
    <s v="HPM costs &amp; RSSH - Section 1, PSM Customs Clearance (7.6), ADD together Type of Health Product = &quot;MDR/XDR TB medicines&quot; PLUS &quot;OIs, STIs &amp; other medicines for TB program&quot;, take the total budget per quarter"/>
    <m/>
    <m/>
    <m/>
    <m/>
    <m/>
    <m/>
    <m/>
    <m/>
    <m/>
    <m/>
    <m/>
    <m/>
    <s v="-"/>
    <n v="0"/>
    <s v="-"/>
    <n v="0"/>
    <s v="-"/>
    <n v="0"/>
    <s v="-"/>
    <n v="0"/>
    <m/>
    <n v="0"/>
    <m/>
    <m/>
    <m/>
    <m/>
    <n v="0"/>
    <m/>
    <n v="0"/>
    <m/>
    <n v="0"/>
    <m/>
    <n v="0"/>
    <m/>
    <n v="0"/>
    <m/>
    <m/>
    <m/>
    <m/>
    <n v="0"/>
    <m/>
    <n v="0"/>
    <m/>
    <n v="0"/>
    <m/>
    <n v="0"/>
    <m/>
    <n v="0"/>
    <m/>
    <m/>
    <m/>
    <n v="0"/>
    <n v="0"/>
    <n v="0"/>
    <n v="0"/>
    <n v="0"/>
    <n v="0"/>
    <n v="0"/>
    <n v="0"/>
    <n v="0"/>
    <n v="0"/>
    <n v="0"/>
    <m/>
    <m/>
    <x v="0"/>
    <x v="1"/>
  </r>
  <r>
    <n v="377"/>
    <x v="4"/>
    <x v="18"/>
    <x v="1"/>
    <x v="7"/>
    <m/>
    <m/>
    <m/>
    <s v="HPM costs &amp; RSSH - Section 2, Other procurement and supply management costs (7.7), ADD together Type of Health Product = &quot;MDR/XDR TB medicines&quot; PLUS &quot;OIs, STIs &amp; other medicines for TB program&quot;, take the total budget per quarter"/>
    <m/>
    <m/>
    <m/>
    <m/>
    <m/>
    <m/>
    <m/>
    <m/>
    <m/>
    <m/>
    <m/>
    <m/>
    <s v="-"/>
    <n v="0"/>
    <s v="-"/>
    <n v="0"/>
    <s v="-"/>
    <n v="0"/>
    <s v="-"/>
    <n v="0"/>
    <m/>
    <n v="0"/>
    <m/>
    <m/>
    <m/>
    <m/>
    <n v="0"/>
    <m/>
    <n v="0"/>
    <m/>
    <n v="0"/>
    <m/>
    <n v="0"/>
    <m/>
    <n v="0"/>
    <m/>
    <m/>
    <m/>
    <m/>
    <n v="0"/>
    <m/>
    <n v="0"/>
    <m/>
    <n v="0"/>
    <m/>
    <n v="0"/>
    <m/>
    <n v="0"/>
    <m/>
    <m/>
    <m/>
    <n v="0"/>
    <n v="0"/>
    <n v="0"/>
    <n v="0"/>
    <n v="0"/>
    <n v="0"/>
    <n v="0"/>
    <n v="0"/>
    <n v="0"/>
    <n v="0"/>
    <n v="0"/>
    <m/>
    <m/>
    <x v="0"/>
    <x v="1"/>
  </r>
  <r>
    <n v="428"/>
    <x v="5"/>
    <x v="19"/>
    <x v="19"/>
    <x v="20"/>
    <m/>
    <m/>
    <m/>
    <s v="HIV-Other HPs Section 1, take the total budget per quarter for Type of Product = &quot;Male condom&quot; OR COST INPUT 5.2 CONDOMS -  MALE and multiply it by the % in HIV-Other HPs Section 1 D45), from the SETUP page determine the TYPE OF PAYMENT (F21) and quarter in which payment is made (G21)"/>
    <m/>
    <m/>
    <m/>
    <m/>
    <m/>
    <m/>
    <m/>
    <m/>
    <m/>
    <m/>
    <e v="#DIV/0!"/>
    <e v="#DIV/0!"/>
    <s v="-"/>
    <n v="0"/>
    <s v="-"/>
    <n v="0"/>
    <s v="-"/>
    <n v="0"/>
    <s v="-"/>
    <n v="0"/>
    <m/>
    <n v="0"/>
    <m/>
    <m/>
    <m/>
    <m/>
    <n v="0"/>
    <m/>
    <n v="0"/>
    <m/>
    <n v="0"/>
    <m/>
    <n v="0"/>
    <m/>
    <n v="0"/>
    <m/>
    <m/>
    <m/>
    <m/>
    <n v="0"/>
    <m/>
    <n v="0"/>
    <m/>
    <n v="0"/>
    <m/>
    <n v="0"/>
    <m/>
    <n v="0"/>
    <m/>
    <m/>
    <m/>
    <n v="0"/>
    <n v="0"/>
    <n v="0"/>
    <n v="0"/>
    <n v="0"/>
    <n v="0"/>
    <n v="0"/>
    <n v="0"/>
    <n v="0"/>
    <n v="0"/>
    <n v="0"/>
    <m/>
    <m/>
    <x v="1"/>
    <x v="2"/>
  </r>
  <r>
    <n v="429"/>
    <x v="5"/>
    <x v="19"/>
    <x v="19"/>
    <x v="13"/>
    <m/>
    <m/>
    <m/>
    <s v="HIV-Other HPs Section 1, take the total budget per quarter for Type of Product = &quot;Lubricant&quot; OR COST INPUT 5.8 CONDOMS -  OTHER CONSUMABLES and multiply it by the % in HIV-Other HPs Section 1 F45),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1"/>
    <x v="2"/>
  </r>
  <r>
    <n v="430"/>
    <x v="5"/>
    <x v="19"/>
    <x v="20"/>
    <x v="1"/>
    <m/>
    <m/>
    <m/>
    <s v="HPM costs &amp; RSSH - Section 1, Procurement agent and handling fees (7.1), ADD together Type of Health Product = &quot;Condoms&quot; PLUS &quot;Lubricants&quot;, take the total budget per quarter and multiply it by the % in HIV-Other HPs Section 1 D45,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1"/>
    <x v="2"/>
  </r>
  <r>
    <n v="431"/>
    <x v="5"/>
    <x v="19"/>
    <x v="20"/>
    <x v="2"/>
    <m/>
    <m/>
    <m/>
    <s v="HPM costs &amp; RSSH - Section 1, Freight and insurance costs (Health products) (7.2), ADD together Type of Health Product = &quot;Condoms&quot; PLUS &quot;Lubricants&quot;, take the total budget per quarter and multiply it by the % in HIV-Other HPs Section 1 D45,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1"/>
    <x v="2"/>
  </r>
  <r>
    <n v="432"/>
    <x v="5"/>
    <x v="19"/>
    <x v="20"/>
    <x v="3"/>
    <m/>
    <m/>
    <m/>
    <s v="HPM costs &amp; RSSH - Section 2, Warehouse and storage costs (7.3), ADD together Type of Health Product = &quot;Condoms&quot; PLUS &quot;Lubricants&quot;, take the total budget per quarter and multiply it by the % in HIV-Other HPs Section 1 D45,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1"/>
    <x v="2"/>
  </r>
  <r>
    <n v="433"/>
    <x v="5"/>
    <x v="19"/>
    <x v="20"/>
    <x v="4"/>
    <m/>
    <m/>
    <m/>
    <s v="HPM costs &amp; RSSH - Section 2, In country distribution costs  (7.4), ADD together Type of Health Product = &quot;Condoms&quot; PLUS &quot;Lubricants&quot;, take the total budget per quarter and multiply it by the % in HIV-Other HPs Section 1 D45,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1"/>
    <x v="2"/>
  </r>
  <r>
    <n v="434"/>
    <x v="5"/>
    <x v="19"/>
    <x v="20"/>
    <x v="5"/>
    <m/>
    <m/>
    <m/>
    <s v="HPM costs &amp; RSSH - Section 1, Quality assurance and quality control costs (QA/QC) (7.5) AND Section 2, In-country QA/QC costs (7.5), ADD together Type of Health Product = &quot;Condoms&quot; PLUS &quot;Lubricants&quot;, take the total budget per quarter and multiply it by the % in HIV-Other HPs Section 1 D45,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1"/>
    <x v="2"/>
  </r>
  <r>
    <n v="435"/>
    <x v="5"/>
    <x v="19"/>
    <x v="20"/>
    <x v="6"/>
    <m/>
    <m/>
    <m/>
    <s v="HPM costs &amp; RSSH - Section 1, PSM Customs Clearance (7.6), ADD together Type of Health Product = &quot;Condoms&quot; PLUS &quot;Lubricants&quot;, take the total budget per quarter and multiply it by the % in HIV-Other HPs Section 1 D45,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1"/>
    <x v="2"/>
  </r>
  <r>
    <n v="436"/>
    <x v="5"/>
    <x v="19"/>
    <x v="20"/>
    <x v="7"/>
    <m/>
    <m/>
    <m/>
    <s v="HPM costs &amp; RSSH - Section 2, Other procurement and supply management costs (7.7), ADD together Type of Health Product = &quot;Condoms&quot; PLUS &quot;Lubricants&quot;, take the total budget per quarter and multiply it by the % in HIV-Other HPs Section 1 D45,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1"/>
    <x v="2"/>
  </r>
  <r>
    <n v="480"/>
    <x v="5"/>
    <x v="19"/>
    <x v="21"/>
    <x v="20"/>
    <m/>
    <m/>
    <m/>
    <s v="HIV-Other HPs Section 1, take the total budget per quarter for Type of Product = &quot;Male condom&quot; OR COST INPUT 5.2 CONDOMS -  MALE and multiply it by the % in HIV-Other HPs Section 1 D47),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2"/>
    <x v="2"/>
  </r>
  <r>
    <n v="481"/>
    <x v="5"/>
    <x v="19"/>
    <x v="21"/>
    <x v="21"/>
    <m/>
    <m/>
    <m/>
    <s v="HIV-Other HPs Section 1, take the total budget per quarter for Type of Product = &quot;Female condom&quot; OR COST INPUT 5.3 CONDOMS - FEMALE and multiply it by the % in HIV-Other HPs Section 1 E47),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2"/>
    <x v="2"/>
  </r>
  <r>
    <n v="482"/>
    <x v="5"/>
    <x v="19"/>
    <x v="21"/>
    <x v="13"/>
    <m/>
    <m/>
    <m/>
    <s v="HIV-Other HPs Section 1, take the total budget per quarter for Type of Product = &quot;Lubricant&quot; OR COST INPUT 5.8 OTHER CONSUMABLES and multiply it by the % in HIV-Other HPs Section 1 F47),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2"/>
    <x v="2"/>
  </r>
  <r>
    <n v="483"/>
    <x v="5"/>
    <x v="19"/>
    <x v="22"/>
    <x v="1"/>
    <m/>
    <m/>
    <m/>
    <s v="HPM costs &amp; RSSH - Section 1, Procurement agent and handling fees (7.1), ADD together Type of Health Product = &quot;Condoms&quot; PLUS &quot;Lubricants&quot;, take the total budget per quarter and multiply it by the % in HIV-Other HPs Section 1 D47,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2"/>
    <x v="2"/>
  </r>
  <r>
    <n v="484"/>
    <x v="5"/>
    <x v="19"/>
    <x v="22"/>
    <x v="2"/>
    <m/>
    <m/>
    <m/>
    <s v="HPM costs &amp; RSSH - Section 1, Freight and insurance costs (Health products) (7.2), ADD together Type of Health Product = &quot;Condoms&quot; PLUS &quot;Lubricants&quot;, take the total budget per quarter and multiply it by the % in HIV-Other HPs Section 1 D47,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2"/>
    <x v="2"/>
  </r>
  <r>
    <n v="485"/>
    <x v="5"/>
    <x v="19"/>
    <x v="22"/>
    <x v="3"/>
    <m/>
    <m/>
    <m/>
    <s v="HPM costs &amp; RSSH - Section 2, Warehouse and storage costs (7.3), ADD together Type of Health Product = &quot;Condoms&quot; PLUS &quot;Lubricants&quot;, take the total budget per quarter and multiply it by the % in HIV-Other HPs Section 1 D47,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2"/>
    <x v="2"/>
  </r>
  <r>
    <n v="486"/>
    <x v="5"/>
    <x v="19"/>
    <x v="22"/>
    <x v="4"/>
    <m/>
    <m/>
    <m/>
    <s v="HPM costs &amp; RSSH - Section 2, In country distribution costs  (7.4), ADD together Type of Health Product = &quot;Condoms&quot; PLUS &quot;Lubricants&quot;, take the total budget per quarter and multiply it by the % in HIV-Other HPs Section 1 D47,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2"/>
    <x v="2"/>
  </r>
  <r>
    <n v="487"/>
    <x v="5"/>
    <x v="19"/>
    <x v="22"/>
    <x v="5"/>
    <m/>
    <m/>
    <m/>
    <s v="HPM costs &amp; RSSH - Section 1, Quality assurance and quality control costs (QA/QC) (7.5) AND Section 2, In-country QA/QC costs (7.5), ADD together Type of Health Product = &quot;Condoms&quot; PLUS &quot;Lubricants&quot;, take the total budget per quarter and multiply it by the % in HIV-Other HPs Section 1 D47,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2"/>
    <x v="2"/>
  </r>
  <r>
    <n v="488"/>
    <x v="5"/>
    <x v="19"/>
    <x v="22"/>
    <x v="6"/>
    <m/>
    <m/>
    <m/>
    <s v="HPM costs &amp; RSSH - Section 1, PSM Customs Clearance (7.6), ADD together Type of Health Product = &quot;Condoms&quot; PLUS &quot;Lubricants&quot;, take the total budget per quarter and multiply it by the % in HIV-Other HPs Section 1 D47,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2"/>
    <x v="2"/>
  </r>
  <r>
    <n v="489"/>
    <x v="5"/>
    <x v="19"/>
    <x v="22"/>
    <x v="7"/>
    <m/>
    <m/>
    <m/>
    <s v="HPM costs &amp; RSSH - Section 2, Other procurement and supply management costs (7.7), ADD together Type of Health Product = &quot;Condoms&quot; PLUS &quot;Lubricants&quot;, take the total budget per quarter and multiply it by the % in HIV-Other HPs Section 1 D47,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2"/>
    <x v="2"/>
  </r>
  <r>
    <n v="533"/>
    <x v="5"/>
    <x v="19"/>
    <x v="23"/>
    <x v="20"/>
    <m/>
    <m/>
    <m/>
    <s v="HIV-Other HPs Section 1, take the total budget per quarter for Type of Product = &quot;Male condom&quot; OR COST INPUT 5.2 CONDOMS -  MALE and multiply it by the % in HIV-Other HPs Section 1 D46),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3"/>
    <x v="2"/>
  </r>
  <r>
    <n v="534"/>
    <x v="5"/>
    <x v="19"/>
    <x v="23"/>
    <x v="21"/>
    <m/>
    <m/>
    <m/>
    <s v="HIV-Other HPs Section 1, take the total budget per quarter for Type of Product = &quot;Female condom&quot; OR COST INPUT 5.3 CONDOMS - FEMALE and multiply it by the % in HIV-Other HPs Section 1 E46),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3"/>
    <x v="2"/>
  </r>
  <r>
    <n v="535"/>
    <x v="5"/>
    <x v="19"/>
    <x v="23"/>
    <x v="13"/>
    <m/>
    <m/>
    <m/>
    <s v="HIV-Other HPs Section 1, take the total budget per quarter for Type of Product = &quot;Lubricant&quot; OR COST INPUT 5.8 OTHER CONSUMABLES and multiply it by the % in HIV-Other HPs Section 1 F46),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3"/>
    <x v="2"/>
  </r>
  <r>
    <n v="536"/>
    <x v="5"/>
    <x v="19"/>
    <x v="24"/>
    <x v="1"/>
    <m/>
    <m/>
    <m/>
    <s v="HPM costs &amp; RSSH - Section 1, Procurement agent and handling fees (7.1), ADD together Type of Health Product = &quot;Condoms&quot; PLUS &quot;Lubricants&quot;, take the total budget per quarter and multiply it by the % in HIV-Other HPs Section 1 D46,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3"/>
    <x v="2"/>
  </r>
  <r>
    <n v="537"/>
    <x v="5"/>
    <x v="19"/>
    <x v="24"/>
    <x v="2"/>
    <m/>
    <m/>
    <m/>
    <s v="HPM costs &amp; RSSH - Section 1, Freight and insurance costs (Health products) (7.2), ADD together Type of Health Product = &quot;Condoms&quot; PLUS &quot;Lubricants&quot;, take the total budget per quarter and multiply it by the % in HIV-Other HPs Section 1 D46,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3"/>
    <x v="2"/>
  </r>
  <r>
    <n v="538"/>
    <x v="5"/>
    <x v="19"/>
    <x v="24"/>
    <x v="3"/>
    <m/>
    <m/>
    <m/>
    <s v="HPM costs &amp; RSSH - Section 2, Warehouse and storage costs (7.3), ADD together Type of Health Product = &quot;Condoms&quot; PLUS &quot;Lubricants&quot;, take the total budget per quarter and multiply it by the % in HIV-Other HPs Section 1 D46,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3"/>
    <x v="2"/>
  </r>
  <r>
    <n v="539"/>
    <x v="5"/>
    <x v="19"/>
    <x v="24"/>
    <x v="4"/>
    <m/>
    <m/>
    <m/>
    <s v="HPM costs &amp; RSSH - Section 2, In country distribution costs  (7.4), ADD together Type of Health Product = &quot;Condoms&quot; PLUS &quot;Lubricants&quot;, take the total budget per quarter and multiply it by the % in HIV-Other HPs Section 1 D46,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3"/>
    <x v="2"/>
  </r>
  <r>
    <n v="540"/>
    <x v="5"/>
    <x v="19"/>
    <x v="24"/>
    <x v="5"/>
    <m/>
    <m/>
    <m/>
    <s v="HPM costs &amp; RSSH - Section 1, Quality assurance and quality control costs (QA/QC) (7.5) AND Section 2, In-country QA/QC costs (7.5), ADD together Type of Health Product = &quot;Condoms&quot; PLUS &quot;Lubricants&quot;, take the total budget per quarter and multiply it by the % in HIV-Other HPs Section 1 D46,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3"/>
    <x v="2"/>
  </r>
  <r>
    <n v="541"/>
    <x v="5"/>
    <x v="19"/>
    <x v="24"/>
    <x v="6"/>
    <m/>
    <m/>
    <m/>
    <s v="HPM costs &amp; RSSH - Section 1, PSM Customs Clearance (7.6), ADD together Type of Health Product = &quot;Condoms&quot; PLUS &quot;Lubricants&quot;, take the total budget per quarter and multiply it by the % in HIV-Other HPs Section 1 D46,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3"/>
    <x v="2"/>
  </r>
  <r>
    <n v="542"/>
    <x v="5"/>
    <x v="19"/>
    <x v="24"/>
    <x v="7"/>
    <m/>
    <m/>
    <m/>
    <s v="HPM costs &amp; RSSH - Section 2, Other procurement and supply management costs (7.7), ADD together Type of Health Product = &quot;Condoms&quot; PLUS &quot;Lubricants&quot;, take the total budget per quarter and multiply it by the % in HIV-Other HPs Section 1 D46, from the SETUP page determine the TYPE OF PAYMENT (F21) and quarter in which payment is made (G21)"/>
    <m/>
    <m/>
    <m/>
    <m/>
    <m/>
    <m/>
    <m/>
    <m/>
    <m/>
    <m/>
    <e v="#DIV/0!"/>
    <m/>
    <s v="-"/>
    <n v="0"/>
    <s v="-"/>
    <n v="0"/>
    <s v="-"/>
    <n v="0"/>
    <s v="-"/>
    <n v="0"/>
    <m/>
    <n v="0"/>
    <m/>
    <m/>
    <m/>
    <m/>
    <n v="0"/>
    <m/>
    <n v="0"/>
    <m/>
    <n v="0"/>
    <m/>
    <n v="0"/>
    <m/>
    <n v="0"/>
    <m/>
    <m/>
    <m/>
    <m/>
    <n v="0"/>
    <m/>
    <n v="0"/>
    <m/>
    <n v="0"/>
    <m/>
    <n v="0"/>
    <m/>
    <n v="0"/>
    <m/>
    <m/>
    <m/>
    <n v="0"/>
    <n v="0"/>
    <n v="0"/>
    <n v="0"/>
    <n v="0"/>
    <n v="0"/>
    <n v="0"/>
    <n v="0"/>
    <n v="0"/>
    <n v="0"/>
    <n v="0"/>
    <m/>
    <m/>
    <x v="3"/>
    <x v="2"/>
  </r>
  <r>
    <n v="584"/>
    <x v="5"/>
    <x v="20"/>
    <x v="25"/>
    <x v="19"/>
    <m/>
    <m/>
    <m/>
    <s v="HIV-Other HPs Section 4 - Take the total budget per quarter for COST INPUT = &quot;5.7 Syringes and needles&quot;, from the SETUP page determine the TYPE OF PAYMENT (F22) and quarter in which payment is made (G22)"/>
    <m/>
    <m/>
    <m/>
    <m/>
    <m/>
    <m/>
    <m/>
    <m/>
    <m/>
    <m/>
    <m/>
    <m/>
    <s v="-"/>
    <n v="0"/>
    <s v="-"/>
    <n v="0"/>
    <s v="-"/>
    <n v="0"/>
    <s v="-"/>
    <n v="0"/>
    <m/>
    <n v="0"/>
    <m/>
    <m/>
    <m/>
    <m/>
    <n v="0"/>
    <m/>
    <n v="0"/>
    <m/>
    <n v="0"/>
    <m/>
    <n v="0"/>
    <m/>
    <n v="0"/>
    <m/>
    <m/>
    <m/>
    <m/>
    <n v="0"/>
    <m/>
    <n v="0"/>
    <m/>
    <n v="0"/>
    <m/>
    <n v="0"/>
    <m/>
    <n v="0"/>
    <m/>
    <m/>
    <m/>
    <n v="0"/>
    <n v="0"/>
    <n v="0"/>
    <n v="0"/>
    <n v="0"/>
    <n v="0"/>
    <n v="0"/>
    <n v="0"/>
    <n v="0"/>
    <n v="0"/>
    <n v="0"/>
    <m/>
    <m/>
    <x v="4"/>
    <x v="2"/>
  </r>
  <r>
    <n v="592"/>
    <x v="5"/>
    <x v="21"/>
    <x v="26"/>
    <x v="22"/>
    <m/>
    <m/>
    <m/>
    <s v="HIV-Pharmaceuticals Section 1 - Take the total budget per quarter for COST INPUT = &quot;4.4 Opioid substitutes medicines&quot;, from the SETUP page determine the TYPE OF PAYMENT (F17) and quarter in which payment is made (G17)"/>
    <m/>
    <m/>
    <m/>
    <m/>
    <m/>
    <m/>
    <m/>
    <m/>
    <m/>
    <m/>
    <e v="#DIV/0!"/>
    <m/>
    <s v="-"/>
    <n v="0"/>
    <s v="-"/>
    <n v="0"/>
    <s v="-"/>
    <n v="0"/>
    <s v="-"/>
    <n v="0"/>
    <m/>
    <n v="0"/>
    <m/>
    <m/>
    <m/>
    <m/>
    <n v="0"/>
    <m/>
    <n v="0"/>
    <m/>
    <n v="0"/>
    <m/>
    <n v="0"/>
    <m/>
    <n v="0"/>
    <m/>
    <m/>
    <m/>
    <m/>
    <n v="0"/>
    <m/>
    <n v="0"/>
    <m/>
    <n v="0"/>
    <m/>
    <n v="0"/>
    <m/>
    <n v="0"/>
    <m/>
    <m/>
    <m/>
    <n v="0"/>
    <n v="0"/>
    <n v="0"/>
    <n v="0"/>
    <n v="0"/>
    <n v="0"/>
    <n v="0"/>
    <n v="0"/>
    <n v="0"/>
    <n v="0"/>
    <n v="0"/>
    <m/>
    <m/>
    <x v="4"/>
    <x v="2"/>
  </r>
  <r>
    <n v="593"/>
    <x v="5"/>
    <x v="21"/>
    <x v="27"/>
    <x v="1"/>
    <m/>
    <m/>
    <m/>
    <s v="HPM costs &amp; RSSH - Section 1, Procurement agent and handling fees (7.1) take the total budget per quarter for TYPE OF PRODUCT = Opioid substitutes medicines;  from the SETUP page determine the TYPE OF PAYMENT (F17) and quarter in which payment is made (G17)"/>
    <m/>
    <m/>
    <m/>
    <m/>
    <m/>
    <m/>
    <m/>
    <m/>
    <m/>
    <m/>
    <m/>
    <m/>
    <s v="-"/>
    <n v="0"/>
    <s v="-"/>
    <n v="0"/>
    <s v="-"/>
    <n v="0"/>
    <s v="-"/>
    <n v="0"/>
    <m/>
    <n v="0"/>
    <m/>
    <m/>
    <m/>
    <m/>
    <n v="0"/>
    <m/>
    <n v="0"/>
    <m/>
    <n v="0"/>
    <m/>
    <n v="0"/>
    <m/>
    <n v="0"/>
    <m/>
    <m/>
    <m/>
    <m/>
    <n v="0"/>
    <m/>
    <n v="0"/>
    <m/>
    <n v="0"/>
    <m/>
    <n v="0"/>
    <m/>
    <n v="0"/>
    <m/>
    <m/>
    <m/>
    <n v="0"/>
    <n v="0"/>
    <n v="0"/>
    <n v="0"/>
    <n v="0"/>
    <n v="0"/>
    <n v="0"/>
    <n v="0"/>
    <n v="0"/>
    <n v="0"/>
    <n v="0"/>
    <m/>
    <m/>
    <x v="4"/>
    <x v="2"/>
  </r>
  <r>
    <n v="594"/>
    <x v="5"/>
    <x v="21"/>
    <x v="27"/>
    <x v="2"/>
    <m/>
    <m/>
    <m/>
    <s v="HPM costs &amp; RSSH - Section 1, Freight and insurance costs (Health products) (7.2), take the total budget per quarter for TYPE OF PRODUCT = Opioid substitutes medicines;  from the SETUP page determine the TYPE OF PAYMENT (F17) and quarter in which payment is made (G17)"/>
    <m/>
    <m/>
    <m/>
    <m/>
    <m/>
    <m/>
    <m/>
    <m/>
    <m/>
    <m/>
    <m/>
    <m/>
    <s v="-"/>
    <n v="0"/>
    <s v="-"/>
    <n v="0"/>
    <s v="-"/>
    <n v="0"/>
    <s v="-"/>
    <n v="0"/>
    <m/>
    <n v="0"/>
    <m/>
    <m/>
    <m/>
    <m/>
    <n v="0"/>
    <m/>
    <n v="0"/>
    <m/>
    <n v="0"/>
    <m/>
    <n v="0"/>
    <m/>
    <n v="0"/>
    <m/>
    <m/>
    <m/>
    <m/>
    <n v="0"/>
    <m/>
    <n v="0"/>
    <m/>
    <n v="0"/>
    <m/>
    <n v="0"/>
    <m/>
    <n v="0"/>
    <m/>
    <m/>
    <m/>
    <n v="0"/>
    <n v="0"/>
    <n v="0"/>
    <n v="0"/>
    <n v="0"/>
    <n v="0"/>
    <n v="0"/>
    <n v="0"/>
    <n v="0"/>
    <n v="0"/>
    <n v="0"/>
    <m/>
    <m/>
    <x v="4"/>
    <x v="2"/>
  </r>
  <r>
    <n v="595"/>
    <x v="5"/>
    <x v="21"/>
    <x v="27"/>
    <x v="3"/>
    <m/>
    <m/>
    <m/>
    <s v="HPM costs &amp; RSSH - Section 2, Warehouse and storage costs (7.3), take the total budget per quarter for TYPE OF PRODUCT = Opioid substitutes medicines;  from the SETUP page determine the TYPE OF PAYMENT (F17) and quarter in which payment is made (G17)"/>
    <m/>
    <m/>
    <m/>
    <m/>
    <m/>
    <m/>
    <m/>
    <m/>
    <m/>
    <m/>
    <m/>
    <m/>
    <s v="-"/>
    <n v="0"/>
    <s v="-"/>
    <n v="0"/>
    <s v="-"/>
    <n v="0"/>
    <s v="-"/>
    <n v="0"/>
    <m/>
    <n v="0"/>
    <m/>
    <m/>
    <m/>
    <m/>
    <n v="0"/>
    <m/>
    <n v="0"/>
    <m/>
    <n v="0"/>
    <m/>
    <n v="0"/>
    <m/>
    <n v="0"/>
    <m/>
    <m/>
    <m/>
    <m/>
    <n v="0"/>
    <m/>
    <n v="0"/>
    <m/>
    <n v="0"/>
    <m/>
    <n v="0"/>
    <m/>
    <n v="0"/>
    <m/>
    <m/>
    <m/>
    <n v="0"/>
    <n v="0"/>
    <n v="0"/>
    <n v="0"/>
    <n v="0"/>
    <n v="0"/>
    <n v="0"/>
    <n v="0"/>
    <n v="0"/>
    <n v="0"/>
    <n v="0"/>
    <m/>
    <m/>
    <x v="4"/>
    <x v="2"/>
  </r>
  <r>
    <n v="596"/>
    <x v="5"/>
    <x v="21"/>
    <x v="27"/>
    <x v="4"/>
    <m/>
    <m/>
    <m/>
    <s v="HPM costs &amp; RSSH - Section 2, In country distribution costs  (7.4), take the total budget per quarter for TYPE OF PRODUCT = Opioid substitutes medicines;  from the SETUP page determine the TYPE OF PAYMENT (F17) and quarter in which payment is made (G17)"/>
    <m/>
    <m/>
    <m/>
    <m/>
    <m/>
    <m/>
    <m/>
    <m/>
    <m/>
    <m/>
    <m/>
    <m/>
    <s v="-"/>
    <n v="0"/>
    <s v="-"/>
    <n v="0"/>
    <s v="-"/>
    <n v="0"/>
    <s v="-"/>
    <n v="0"/>
    <m/>
    <n v="0"/>
    <m/>
    <m/>
    <m/>
    <m/>
    <n v="0"/>
    <m/>
    <n v="0"/>
    <m/>
    <n v="0"/>
    <m/>
    <n v="0"/>
    <m/>
    <n v="0"/>
    <m/>
    <m/>
    <m/>
    <m/>
    <n v="0"/>
    <m/>
    <n v="0"/>
    <m/>
    <n v="0"/>
    <m/>
    <n v="0"/>
    <m/>
    <n v="0"/>
    <m/>
    <m/>
    <m/>
    <n v="0"/>
    <n v="0"/>
    <n v="0"/>
    <n v="0"/>
    <n v="0"/>
    <n v="0"/>
    <n v="0"/>
    <n v="0"/>
    <n v="0"/>
    <n v="0"/>
    <n v="0"/>
    <m/>
    <m/>
    <x v="4"/>
    <x v="2"/>
  </r>
  <r>
    <n v="597"/>
    <x v="5"/>
    <x v="21"/>
    <x v="27"/>
    <x v="5"/>
    <m/>
    <m/>
    <m/>
    <s v="HPM costs &amp; RSSH - Section 1, Quality assurance and quality control costs (QA/QC) (7.5) AND Section 2, In-country QA/QC costs (7.5), take the total budget per quarter for TYPE OF PRODUCT = Opioid substitutes medicines;  from the SETUP page determine the TYPE OF PAYMENT (F17) and quarter in which payment is made (G17)"/>
    <m/>
    <m/>
    <m/>
    <m/>
    <m/>
    <m/>
    <m/>
    <m/>
    <m/>
    <m/>
    <m/>
    <m/>
    <s v="-"/>
    <n v="0"/>
    <s v="-"/>
    <n v="0"/>
    <s v="-"/>
    <n v="0"/>
    <s v="-"/>
    <n v="0"/>
    <m/>
    <n v="0"/>
    <m/>
    <m/>
    <m/>
    <m/>
    <n v="0"/>
    <m/>
    <n v="0"/>
    <m/>
    <n v="0"/>
    <m/>
    <n v="0"/>
    <m/>
    <n v="0"/>
    <m/>
    <m/>
    <m/>
    <m/>
    <n v="0"/>
    <m/>
    <n v="0"/>
    <m/>
    <n v="0"/>
    <m/>
    <n v="0"/>
    <m/>
    <n v="0"/>
    <m/>
    <m/>
    <m/>
    <n v="0"/>
    <n v="0"/>
    <n v="0"/>
    <n v="0"/>
    <n v="0"/>
    <n v="0"/>
    <n v="0"/>
    <n v="0"/>
    <n v="0"/>
    <n v="0"/>
    <n v="0"/>
    <m/>
    <m/>
    <x v="4"/>
    <x v="2"/>
  </r>
  <r>
    <n v="598"/>
    <x v="5"/>
    <x v="21"/>
    <x v="27"/>
    <x v="6"/>
    <m/>
    <m/>
    <m/>
    <s v="HPM costs &amp; RSSH - Section 1, PSM Customs Clearance (7.6), take the total budget per quarter for TYPE OF PRODUCT = Opioid substitutes medicines;  from the SETUP page determine the TYPE OF PAYMENT (F17) and quarter in which payment is made (G17)"/>
    <m/>
    <m/>
    <m/>
    <m/>
    <m/>
    <m/>
    <m/>
    <m/>
    <m/>
    <m/>
    <m/>
    <m/>
    <s v="-"/>
    <n v="0"/>
    <s v="-"/>
    <n v="0"/>
    <s v="-"/>
    <n v="0"/>
    <s v="-"/>
    <n v="0"/>
    <m/>
    <n v="0"/>
    <m/>
    <m/>
    <m/>
    <m/>
    <n v="0"/>
    <m/>
    <n v="0"/>
    <m/>
    <n v="0"/>
    <m/>
    <n v="0"/>
    <m/>
    <n v="0"/>
    <m/>
    <m/>
    <m/>
    <m/>
    <n v="0"/>
    <m/>
    <n v="0"/>
    <m/>
    <n v="0"/>
    <m/>
    <n v="0"/>
    <m/>
    <n v="0"/>
    <m/>
    <m/>
    <m/>
    <n v="0"/>
    <n v="0"/>
    <n v="0"/>
    <n v="0"/>
    <n v="0"/>
    <n v="0"/>
    <n v="0"/>
    <n v="0"/>
    <n v="0"/>
    <n v="0"/>
    <n v="0"/>
    <m/>
    <m/>
    <x v="4"/>
    <x v="2"/>
  </r>
  <r>
    <n v="599"/>
    <x v="5"/>
    <x v="21"/>
    <x v="27"/>
    <x v="7"/>
    <m/>
    <m/>
    <m/>
    <s v="HPM costs &amp; RSSH - Section 2, Other procurement and supply management costs (7.7), take the total budget per quarter for TYPE OF PRODUCT = Opioid substitutes medicines;  from the SETUP page determine the TYPE OF PAYMENT (F17) and quarter in which payment is made (G17)"/>
    <m/>
    <m/>
    <m/>
    <m/>
    <m/>
    <m/>
    <m/>
    <m/>
    <m/>
    <m/>
    <e v="#DIV/0!"/>
    <m/>
    <s v="-"/>
    <n v="0"/>
    <s v="-"/>
    <n v="0"/>
    <s v="-"/>
    <n v="0"/>
    <s v="-"/>
    <n v="0"/>
    <m/>
    <n v="0"/>
    <m/>
    <m/>
    <m/>
    <m/>
    <n v="0"/>
    <m/>
    <n v="0"/>
    <m/>
    <n v="0"/>
    <m/>
    <n v="0"/>
    <m/>
    <n v="0"/>
    <m/>
    <m/>
    <m/>
    <m/>
    <n v="0"/>
    <m/>
    <n v="0"/>
    <m/>
    <n v="0"/>
    <m/>
    <n v="0"/>
    <m/>
    <n v="0"/>
    <m/>
    <m/>
    <m/>
    <n v="0"/>
    <n v="0"/>
    <n v="0"/>
    <n v="0"/>
    <n v="0"/>
    <n v="0"/>
    <n v="0"/>
    <n v="0"/>
    <n v="0"/>
    <n v="0"/>
    <n v="0"/>
    <m/>
    <m/>
    <x v="4"/>
    <x v="2"/>
  </r>
  <r>
    <n v="608"/>
    <x v="5"/>
    <x v="19"/>
    <x v="28"/>
    <x v="20"/>
    <m/>
    <m/>
    <m/>
    <s v="HIV-Other HPs Section 1, take the total budget per quarter for Type of Product = &quot;Male condom&quot; OR COST INPUT 5.2 CONDOMS -  MALE and multiply it by the % in HIV-Other HPs Section 1 D48),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4"/>
    <x v="2"/>
  </r>
  <r>
    <n v="609"/>
    <x v="5"/>
    <x v="19"/>
    <x v="28"/>
    <x v="21"/>
    <m/>
    <m/>
    <m/>
    <s v="HIV-Other HPs Section 1, take the total budget per quarter for Type of Product = &quot;Female condom&quot; OR COST INPUT 5.3 CONDOMS - FEMALE and multiply it by the % in HIV-Other HPs Section 1 E48),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4"/>
    <x v="2"/>
  </r>
  <r>
    <n v="610"/>
    <x v="5"/>
    <x v="19"/>
    <x v="28"/>
    <x v="13"/>
    <m/>
    <m/>
    <m/>
    <s v="HIV-Other HPs Section 1, take the total budget per quarter for Type of Product = &quot;Lubricant&quot; OR COST INPUT 5.8 OTHER CONSUMABLES and multiply it by the % in HIV-Other HPs Section 1 F48),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4"/>
    <x v="2"/>
  </r>
  <r>
    <n v="611"/>
    <x v="5"/>
    <x v="19"/>
    <x v="27"/>
    <x v="1"/>
    <m/>
    <m/>
    <m/>
    <s v="HPM costs &amp; RSSH - Section 1, Procurement agent and handling fees (7.1), ADD together Type of Health Product = &quot;Condoms&quot; PLUS &quot;Lubricants&quot;, take the total budget per quarter and multiply it by the % in HIV-Other HPs Section 1 D48,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4"/>
    <x v="2"/>
  </r>
  <r>
    <n v="612"/>
    <x v="5"/>
    <x v="19"/>
    <x v="27"/>
    <x v="2"/>
    <m/>
    <m/>
    <m/>
    <s v="HPM costs &amp; RSSH - Section 1, Freight and insurance costs (Health products) (7.2), ADD together Type of Health Product = &quot;Condoms&quot; PLUS &quot;Lubricants&quot;, take the total budget per quarter and multiply it by the % in HIV-Other HPs Section 1 D48,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4"/>
    <x v="2"/>
  </r>
  <r>
    <n v="613"/>
    <x v="5"/>
    <x v="19"/>
    <x v="27"/>
    <x v="3"/>
    <m/>
    <m/>
    <m/>
    <s v="HPM costs &amp; RSSH - Section 2, Warehouse and storage costs (7.3), ADD together Type of Health Product = &quot;Condoms&quot; PLUS &quot;Lubricants&quot;, take the total budget per quarter and multiply it by the % in HIV-Other HPs Section 1 D48,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4"/>
    <x v="2"/>
  </r>
  <r>
    <n v="614"/>
    <x v="5"/>
    <x v="19"/>
    <x v="27"/>
    <x v="4"/>
    <m/>
    <m/>
    <m/>
    <s v="HPM costs &amp; RSSH - Section 2, In country distribution costs  (7.4), ADD together Type of Health Product = &quot;Condoms&quot; PLUS &quot;Lubricants&quot;, take the total budget per quarter and multiply it by the % in HIV-Other HPs Section 1 D48,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4"/>
    <x v="2"/>
  </r>
  <r>
    <n v="615"/>
    <x v="5"/>
    <x v="19"/>
    <x v="27"/>
    <x v="5"/>
    <m/>
    <m/>
    <m/>
    <s v="HPM costs &amp; RSSH - Section 1, Quality assurance and quality control costs (QA/QC) (7.5) AND Section 2, In-country QA/QC costs (7.5), ADD together Type of Health Product = &quot;Condoms&quot; PLUS &quot;Lubricants&quot;, take the total budget per quarter and multiply it by the % in HIV-Other HPs Section 1 D48,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4"/>
    <x v="2"/>
  </r>
  <r>
    <n v="616"/>
    <x v="5"/>
    <x v="19"/>
    <x v="27"/>
    <x v="6"/>
    <m/>
    <m/>
    <m/>
    <s v="HPM costs &amp; RSSH - Section 1, PSM Customs Clearance (7.6), ADD together Type of Health Product = &quot;Condoms&quot; PLUS &quot;Lubricants&quot;, take the total budget per quarter and multiply it by the % in HIV-Other HPs Section 1 D48,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4"/>
    <x v="2"/>
  </r>
  <r>
    <n v="617"/>
    <x v="5"/>
    <x v="19"/>
    <x v="27"/>
    <x v="7"/>
    <m/>
    <m/>
    <m/>
    <s v="HPM costs &amp; RSSH - Section 2, Other procurement and supply management costs (7.7), ADD together Type of Health Product = &quot;Condoms&quot; PLUS &quot;Lubricants&quot;, take the total budget per quarter and multiply it by the % in HIV-Other HPs Section 1 D48,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4"/>
    <x v="2"/>
  </r>
  <r>
    <n v="651"/>
    <x v="5"/>
    <x v="19"/>
    <x v="29"/>
    <x v="20"/>
    <m/>
    <m/>
    <m/>
    <s v="HIV-Other HPs Section 1, take the total budget per quarter for Type of Product = &quot;Male condom&quot; OR COST INPUT 5.2 CONDOMS -  MALE and multiply it by the % in HIV-Other HPs Section 1 D49),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5"/>
    <x v="2"/>
  </r>
  <r>
    <n v="652"/>
    <x v="5"/>
    <x v="19"/>
    <x v="29"/>
    <x v="21"/>
    <m/>
    <m/>
    <m/>
    <s v="HIV-Other HPs Section 1, take the total budget per quarter for Type of Product = &quot;Female condom&quot; OR COST INPUT 5.3 CONDOMS - FEMALE and multiply it by the % in HIV-Other HPs Section 1 E49),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5"/>
    <x v="2"/>
  </r>
  <r>
    <n v="653"/>
    <x v="5"/>
    <x v="19"/>
    <x v="29"/>
    <x v="13"/>
    <m/>
    <m/>
    <m/>
    <s v="HIV-Other HPs Section 1, take the total budget per quarter for Type of Product = &quot;Lubricant&quot; OR COST INPUT 5.8 OTHER CONSUMABLES and multiply it by the % in HIV-Other HPs Section 1 F49),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5"/>
    <x v="2"/>
  </r>
  <r>
    <n v="654"/>
    <x v="5"/>
    <x v="19"/>
    <x v="30"/>
    <x v="1"/>
    <m/>
    <m/>
    <m/>
    <s v="HPM costs &amp; RSSH - Section 1, Procurement agent and handling fees (7.1), ADD together Type of Health Product = &quot;Condoms&quot; PLUS &quot;Lubricants&quot;, take the total budget per quarter and multiply it by the % in HIV-Other HPs Section 1 D49,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5"/>
    <x v="2"/>
  </r>
  <r>
    <n v="655"/>
    <x v="5"/>
    <x v="19"/>
    <x v="30"/>
    <x v="2"/>
    <m/>
    <m/>
    <m/>
    <s v="HPM costs &amp; RSSH - Section 1, Freight and insurance costs (Health products) (7.2), ADD together Type of Health Product = &quot;Condoms&quot; PLUS &quot;Lubricants&quot;, take the total budget per quarter and multiply it by the % in HIV-Other HPs Section 1 D49,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5"/>
    <x v="2"/>
  </r>
  <r>
    <n v="656"/>
    <x v="5"/>
    <x v="19"/>
    <x v="30"/>
    <x v="3"/>
    <m/>
    <m/>
    <m/>
    <s v="HPM costs &amp; RSSH - Section 2, Warehouse and storage costs (7.3), ADD together Type of Health Product = &quot;Condoms&quot; PLUS &quot;Lubricants&quot;, take the total budget per quarter and multiply it by the % in HIV-Other HPs Section 1 D49,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5"/>
    <x v="2"/>
  </r>
  <r>
    <n v="657"/>
    <x v="5"/>
    <x v="19"/>
    <x v="30"/>
    <x v="4"/>
    <m/>
    <m/>
    <m/>
    <s v="HPM costs &amp; RSSH - Section 2, In country distribution costs  (7.4), ADD together Type of Health Product = &quot;Condoms&quot; PLUS &quot;Lubricants&quot;, take the total budget per quarter and multiply it by the % in HIV-Other HPs Section 1 D49,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5"/>
    <x v="2"/>
  </r>
  <r>
    <n v="658"/>
    <x v="5"/>
    <x v="19"/>
    <x v="30"/>
    <x v="5"/>
    <m/>
    <m/>
    <m/>
    <s v="HPM costs &amp; RSSH - Section 1, Quality assurance and quality control costs (QA/QC) (7.5) AND Section 2, In-country QA/QC costs (7.5), ADD together Type of Health Product = &quot;Condoms&quot; PLUS &quot;Lubricants&quot;, take the total budget per quarter and multiply it by the % in HIV-Other HPs Section 1 D49,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5"/>
    <x v="2"/>
  </r>
  <r>
    <n v="659"/>
    <x v="5"/>
    <x v="19"/>
    <x v="30"/>
    <x v="6"/>
    <m/>
    <m/>
    <m/>
    <s v="HPM costs &amp; RSSH - Section 1, PSM Customs Clearance (7.6), ADD together Type of Health Product = &quot;Condoms&quot; PLUS &quot;Lubricants&quot;, take the total budget per quarter and multiply it by the % in HIV-Other HPs Section 1 D49,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5"/>
    <x v="2"/>
  </r>
  <r>
    <n v="660"/>
    <x v="5"/>
    <x v="19"/>
    <x v="30"/>
    <x v="7"/>
    <m/>
    <m/>
    <m/>
    <s v="HPM costs &amp; RSSH - Section 2, Other procurement and supply management costs (7.7), ADD together Type of Health Product = &quot;Condoms&quot; PLUS &quot;Lubricants&quot;, take the total budget per quarter and multiply it by the % in HIV-Other HPs Section 1 D49,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5"/>
    <x v="2"/>
  </r>
  <r>
    <n v="704"/>
    <x v="5"/>
    <x v="19"/>
    <x v="31"/>
    <x v="20"/>
    <m/>
    <m/>
    <m/>
    <s v="HIV-Other HPs Section 1, take the total budget per quarter for Type of Product = &quot;Male condom&quot; OR COST INPUT 5.2 CONDOMS -  MALE and multiply it by the % in HIV-Other HPs Section 1 D51),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6"/>
    <x v="2"/>
  </r>
  <r>
    <n v="705"/>
    <x v="5"/>
    <x v="19"/>
    <x v="31"/>
    <x v="21"/>
    <m/>
    <m/>
    <m/>
    <s v="HIV-Other HPs Section 1, take the total budget per quarter for Type of Product = &quot;Female condom&quot; OR COST INPUT 5.3 CONDOMS - FEMALE and multiply it by the % in HIV-Other HPs Section 1 E51),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6"/>
    <x v="2"/>
  </r>
  <r>
    <n v="706"/>
    <x v="5"/>
    <x v="19"/>
    <x v="31"/>
    <x v="13"/>
    <m/>
    <m/>
    <m/>
    <s v="HIV-Other HPs Section 1, take the total budget per quarter for Type of Product = &quot;Lubricant&quot; OR COST INPUT 5.8 OTHER CONSUMABLES and multiply it by the % in HIV-Other HPs Section 1 F51),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6"/>
    <x v="2"/>
  </r>
  <r>
    <n v="707"/>
    <x v="5"/>
    <x v="19"/>
    <x v="32"/>
    <x v="1"/>
    <m/>
    <m/>
    <m/>
    <s v="HPM costs &amp; RSSH - Section 1, Procurement agent and handling fees (7.1), ADD together Type of Health Product = &quot;Condoms&quot; PLUS &quot;Lubricants&quot;, take the total budget per quarter and multiply it by the % in HIV-Other HPs Section 1 D51,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6"/>
    <x v="2"/>
  </r>
  <r>
    <n v="708"/>
    <x v="5"/>
    <x v="19"/>
    <x v="32"/>
    <x v="2"/>
    <m/>
    <m/>
    <m/>
    <s v="HPM costs &amp; RSSH - Section 1, Freight and insurance costs (Health products) (7.2), ADD together Type of Health Product = &quot;Condoms&quot; PLUS &quot;Lubricants&quot;, take the total budget per quarter and multiply it by the % in HIV-Other HPs Section 1 D51,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6"/>
    <x v="2"/>
  </r>
  <r>
    <n v="709"/>
    <x v="5"/>
    <x v="19"/>
    <x v="32"/>
    <x v="3"/>
    <m/>
    <m/>
    <m/>
    <s v="HPM costs &amp; RSSH - Section 2, Warehouse and storage costs (7.3), ADD together Type of Health Product = &quot;Condoms&quot; PLUS &quot;Lubricants&quot;, take the total budget per quarter and multiply it by the % in HIV-Other HPs Section 1 D51,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6"/>
    <x v="2"/>
  </r>
  <r>
    <n v="710"/>
    <x v="5"/>
    <x v="19"/>
    <x v="32"/>
    <x v="4"/>
    <m/>
    <m/>
    <m/>
    <s v="HPM costs &amp; RSSH - Section 2, In country distribution costs  (7.4), ADD together Type of Health Product = &quot;Condoms&quot; PLUS &quot;Lubricants&quot;, take the total budget per quarter and multiply it by the % in HIV-Other HPs Section 1 D51,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6"/>
    <x v="2"/>
  </r>
  <r>
    <n v="711"/>
    <x v="5"/>
    <x v="19"/>
    <x v="32"/>
    <x v="5"/>
    <m/>
    <m/>
    <m/>
    <s v="HPM costs &amp; RSSH - Section 1, Quality assurance and quality control costs (QA/QC) (7.5) AND Section 2, In-country QA/QC costs (7.5), ADD together Type of Health Product = &quot;Condoms&quot; PLUS &quot;Lubricants&quot;, take the total budget per quarter and multiply it by the % in HIV-Other HPs Section 1 D51,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6"/>
    <x v="2"/>
  </r>
  <r>
    <n v="712"/>
    <x v="5"/>
    <x v="19"/>
    <x v="32"/>
    <x v="6"/>
    <m/>
    <m/>
    <m/>
    <s v="HPM costs &amp; RSSH - Section 1, PSM Customs Clearance (7.6), ADD together Type of Health Product = &quot;Condoms&quot; PLUS &quot;Lubricants&quot;, take the total budget per quarter and multiply it by the % in HIV-Other HPs Section 1 D51,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6"/>
    <x v="2"/>
  </r>
  <r>
    <n v="713"/>
    <x v="5"/>
    <x v="19"/>
    <x v="32"/>
    <x v="7"/>
    <m/>
    <m/>
    <m/>
    <s v="HPM costs &amp; RSSH - Section 2, Other procurement and supply management costs (7.7), ADD together Type of Health Product = &quot;Condoms&quot; PLUS &quot;Lubricants&quot;, take the total budget per quarter and multiply it by the % in HIV-Other HPs Section 1 D51,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6"/>
    <x v="2"/>
  </r>
  <r>
    <n v="727"/>
    <x v="5"/>
    <x v="19"/>
    <x v="33"/>
    <x v="20"/>
    <m/>
    <m/>
    <m/>
    <s v="HIV-Other HPs Section 1, take the total budget per quarter for Type of Product = &quot;Male condom&quot; OR COST INPUT 5.2 CONDOMS -  MALE and multiply it by the % in HIV-Other HPs Section 1 D50),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7"/>
    <x v="2"/>
  </r>
  <r>
    <n v="728"/>
    <x v="5"/>
    <x v="19"/>
    <x v="33"/>
    <x v="21"/>
    <m/>
    <m/>
    <m/>
    <s v="HIV-Other HPs Section 1, take the total budget per quarter for Type of Product = &quot;Female condom&quot; OR COST INPUT 5.3 CONDOMS - FEMALE and multiply it by the % in HIV-Other HPs Section 1 E50),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7"/>
    <x v="2"/>
  </r>
  <r>
    <n v="729"/>
    <x v="5"/>
    <x v="19"/>
    <x v="33"/>
    <x v="13"/>
    <m/>
    <m/>
    <m/>
    <s v="HIV-Other HPs Section 1, take the total budget per quarter for Type of Product = &quot;Lubricant&quot; OR COST INPUT 5.8 OTHER CONSUMABLES and multiply it by the % in HIV-Other HPs Section 1 F50),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7"/>
    <x v="2"/>
  </r>
  <r>
    <n v="730"/>
    <x v="5"/>
    <x v="19"/>
    <x v="34"/>
    <x v="1"/>
    <m/>
    <m/>
    <m/>
    <s v="HPM costs &amp; RSSH - Section 1, Procurement agent and handling fees (7.1), ADD together Type of Health Product = &quot;Condoms&quot; PLUS &quot;Lubricants&quot;, take the total budget per quarter and multiply it by the % in HIV-Other HPs Section 1 D50,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7"/>
    <x v="2"/>
  </r>
  <r>
    <n v="731"/>
    <x v="5"/>
    <x v="19"/>
    <x v="34"/>
    <x v="2"/>
    <m/>
    <m/>
    <m/>
    <s v="HPM costs &amp; RSSH - Section 1, Freight and insurance costs (Health products) (7.2), ADD together Type of Health Product = &quot;Condoms&quot; PLUS &quot;Lubricants&quot;, take the total budget per quarter and multiply it by the % in HIV-Other HPs Section 1 D50,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7"/>
    <x v="2"/>
  </r>
  <r>
    <n v="732"/>
    <x v="5"/>
    <x v="19"/>
    <x v="34"/>
    <x v="3"/>
    <m/>
    <m/>
    <m/>
    <s v="HPM costs &amp; RSSH - Section 2, Warehouse and storage costs (7.3), ADD together Type of Health Product = &quot;Condoms&quot; PLUS &quot;Lubricants&quot;, take the total budget per quarter and multiply it by the % in HIV-Other HPs Section 1 D50,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7"/>
    <x v="2"/>
  </r>
  <r>
    <n v="733"/>
    <x v="5"/>
    <x v="19"/>
    <x v="34"/>
    <x v="4"/>
    <m/>
    <m/>
    <m/>
    <s v="HPM costs &amp; RSSH - Section 2, In country distribution costs  (7.4), ADD together Type of Health Product = &quot;Condoms&quot; PLUS &quot;Lubricants&quot;, take the total budget per quarter and multiply it by the % in HIV-Other HPs Section 1 D50,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7"/>
    <x v="2"/>
  </r>
  <r>
    <n v="734"/>
    <x v="5"/>
    <x v="19"/>
    <x v="34"/>
    <x v="5"/>
    <m/>
    <m/>
    <m/>
    <s v="HPM costs &amp; RSSH - Section 1, Quality assurance and quality control costs (QA/QC) (7.5) AND Section 2, In-country QA/QC costs (7.5), ADD together Type of Health Product = &quot;Condoms&quot; PLUS &quot;Lubricants&quot;, take the total budget per quarter and multiply it by the % in HIV-Other HPs Section 1 D50,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7"/>
    <x v="2"/>
  </r>
  <r>
    <n v="735"/>
    <x v="5"/>
    <x v="19"/>
    <x v="34"/>
    <x v="6"/>
    <m/>
    <m/>
    <m/>
    <s v="HPM costs &amp; RSSH - Section 1, PSM Customs Clearance (7.6), ADD together Type of Health Product = &quot;Condoms&quot; PLUS &quot;Lubricants&quot;, take the total budget per quarter and multiply it by the % in HIV-Other HPs Section 1 D50,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7"/>
    <x v="2"/>
  </r>
  <r>
    <n v="736"/>
    <x v="5"/>
    <x v="19"/>
    <x v="34"/>
    <x v="7"/>
    <m/>
    <m/>
    <m/>
    <s v="HPM costs &amp; RSSH - Section 2, Other procurement and supply management costs (7.7), ADD together Type of Health Product = &quot;Condoms&quot; PLUS &quot;Lubricants&quot;, take the total budget per quarter and multiply it by the % in HIV-Other HPs Section 1 D50,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7"/>
    <x v="2"/>
  </r>
  <r>
    <n v="769"/>
    <x v="5"/>
    <x v="19"/>
    <x v="35"/>
    <x v="20"/>
    <m/>
    <m/>
    <m/>
    <s v="HIV-Other HPs Section 1, take the total budget per quarter for Type of Product = &quot;Male condom&quot; OR COST INPUT 5.2 CONDOMS -  MALE and multiply it by the % in HIV-Other HPs Section 1 D52),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8"/>
    <x v="2"/>
  </r>
  <r>
    <n v="770"/>
    <x v="5"/>
    <x v="19"/>
    <x v="35"/>
    <x v="13"/>
    <m/>
    <m/>
    <m/>
    <s v="HIV-Other HPs Section 1, take the total budget per quarter for Type of Product = &quot;Lubricant&quot; OR COST INPUT 5.8 OTHER CONSUMABLES and multiply it by the % in HIV-Other HPs Section 1 F52),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8"/>
    <x v="2"/>
  </r>
  <r>
    <n v="771"/>
    <x v="5"/>
    <x v="19"/>
    <x v="36"/>
    <x v="1"/>
    <m/>
    <m/>
    <m/>
    <s v="HPM costs &amp; RSSH - Section 1, Procurement agent and handling fees (7.1), ADD together Type of Health Product = &quot;Condoms&quot; PLUS &quot;Lubricants&quot;, take the total budget per quarter and multiply it by the % in HIV-Other HPs Section 1 D52,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8"/>
    <x v="2"/>
  </r>
  <r>
    <n v="772"/>
    <x v="5"/>
    <x v="19"/>
    <x v="36"/>
    <x v="2"/>
    <m/>
    <m/>
    <m/>
    <s v="HPM costs &amp; RSSH - Section 1, Freight and insurance costs (Health products) (7.2), ADD together Type of Health Product = &quot;Condoms&quot; PLUS &quot;Lubricants&quot;, take the total budget per quarter and multiply it by the % in HIV-Other HPs Section 1 D52,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8"/>
    <x v="2"/>
  </r>
  <r>
    <n v="773"/>
    <x v="5"/>
    <x v="19"/>
    <x v="36"/>
    <x v="3"/>
    <m/>
    <m/>
    <m/>
    <s v="HPM costs &amp; RSSH - Section 2, Warehouse and storage costs (7.3), ADD together Type of Health Product = &quot;Condoms&quot; PLUS &quot;Lubricants&quot;, take the total budget per quarter and multiply it by the % in HIV-Other HPs Section 1 D52,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8"/>
    <x v="2"/>
  </r>
  <r>
    <n v="774"/>
    <x v="5"/>
    <x v="19"/>
    <x v="36"/>
    <x v="4"/>
    <m/>
    <m/>
    <m/>
    <s v="HPM costs &amp; RSSH - Section 2, In country distribution costs  (7.4), ADD together Type of Health Product = &quot;Condoms&quot; PLUS &quot;Lubricants&quot;, take the total budget per quarter and multiply it by the % in HIV-Other HPs Section 1 D52,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8"/>
    <x v="2"/>
  </r>
  <r>
    <n v="775"/>
    <x v="5"/>
    <x v="19"/>
    <x v="36"/>
    <x v="5"/>
    <m/>
    <m/>
    <m/>
    <s v="HPM costs &amp; RSSH - Section 1, Quality assurance and quality control costs (QA/QC) (7.5) AND Section 2, In-country QA/QC costs (7.5), ADD together Type of Health Product = &quot;Condoms&quot; PLUS &quot;Lubricants&quot;, take the total budget per quarter and multiply it by the % in HIV-Other HPs Section 1 D52,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8"/>
    <x v="2"/>
  </r>
  <r>
    <n v="776"/>
    <x v="5"/>
    <x v="19"/>
    <x v="36"/>
    <x v="6"/>
    <m/>
    <m/>
    <m/>
    <s v="HPM costs &amp; RSSH - Section 1, PSM Customs Clearance (7.6), ADD together Type of Health Product = &quot;Condoms&quot; PLUS &quot;Lubricants&quot;, take the total budget per quarter and multiply it by the % in HIV-Other HPs Section 1 D52,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8"/>
    <x v="2"/>
  </r>
  <r>
    <n v="777"/>
    <x v="5"/>
    <x v="19"/>
    <x v="36"/>
    <x v="7"/>
    <m/>
    <m/>
    <m/>
    <s v="HPM costs &amp; RSSH - Section 2, Other procurement and supply management costs (7.7), ADD together Type of Health Product = &quot;Condoms&quot; PLUS &quot;Lubricants&quot;, take the total budget per quarter and multiply it by the % in HIV-Other HPs Section 1 D52,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8"/>
    <x v="2"/>
  </r>
  <r>
    <n v="799"/>
    <x v="5"/>
    <x v="22"/>
    <x v="37"/>
    <x v="20"/>
    <m/>
    <m/>
    <m/>
    <s v="HIV-Other HPs Section 1, take the total budget per quarter for Type of Product = &quot;Male condom&quot; OR COST INPUT 5.2 CONDOMS -  MALE and multiply it by the % in HIV-Other HPs Section 1 D44),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9"/>
    <x v="2"/>
  </r>
  <r>
    <n v="800"/>
    <x v="5"/>
    <x v="22"/>
    <x v="37"/>
    <x v="21"/>
    <m/>
    <m/>
    <m/>
    <s v="HIV-Other HPs Section 1, take the total budget per quarter for Type of Product = &quot;Female condom&quot; OR COST INPUT 5.3 CONDOMS - FEMALE and multiply it by the % in HIV-Other HPs Section 1 E44),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9"/>
    <x v="2"/>
  </r>
  <r>
    <n v="801"/>
    <x v="5"/>
    <x v="22"/>
    <x v="37"/>
    <x v="13"/>
    <m/>
    <m/>
    <m/>
    <s v="HIV-Other HPs Section 1, take the total budget per quarter for Type of Product = &quot;Lubricant&quot; OR COST INPUT 5.8 OTHER CONSUMABLES and multiply it by the % in HIV-Other HPs Section 1 F44),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9"/>
    <x v="2"/>
  </r>
  <r>
    <n v="802"/>
    <x v="5"/>
    <x v="22"/>
    <x v="38"/>
    <x v="1"/>
    <m/>
    <m/>
    <m/>
    <s v="HPM costs &amp; RSSH - Section 1, Procurement agent and handling fees (7.1), ADD together Type of Health Product = &quot;Condoms&quot; PLUS &quot;Lubricants&quot;, take the total budget per quarter and multiply it by the % in HIV-Other HPs Section 1 D44,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9"/>
    <x v="2"/>
  </r>
  <r>
    <n v="803"/>
    <x v="5"/>
    <x v="22"/>
    <x v="38"/>
    <x v="2"/>
    <m/>
    <m/>
    <m/>
    <s v="HPM costs &amp; RSSH - Section 1, Freight and insurance costs (Health products) (7.2), ADD together Type of Health Product = &quot;Condoms&quot; PLUS &quot;Lubricants&quot;, take the total budget per quarter and multiply it by the % in HIV-Other HPs Section 1 D44,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9"/>
    <x v="2"/>
  </r>
  <r>
    <n v="804"/>
    <x v="5"/>
    <x v="22"/>
    <x v="38"/>
    <x v="3"/>
    <m/>
    <m/>
    <m/>
    <s v="HPM costs &amp; RSSH - Section 2, Warehouse and storage costs (7.3), ADD together Type of Health Product = &quot;Condoms&quot; PLUS &quot;Lubricants&quot;, take the total budget per quarter and multiply it by the % in HIV-Other HPs Section 1 D44,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9"/>
    <x v="2"/>
  </r>
  <r>
    <n v="805"/>
    <x v="5"/>
    <x v="22"/>
    <x v="38"/>
    <x v="4"/>
    <m/>
    <m/>
    <m/>
    <s v="HPM costs &amp; RSSH - Section 2, In country distribution costs  (7.4), ADD together Type of Health Product = &quot;Condoms&quot; PLUS &quot;Lubricants&quot;, take the total budget per quarter and multiply it by the % in HIV-Other HPs Section 1 D44,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9"/>
    <x v="2"/>
  </r>
  <r>
    <n v="806"/>
    <x v="5"/>
    <x v="22"/>
    <x v="38"/>
    <x v="5"/>
    <m/>
    <m/>
    <m/>
    <s v="HPM costs &amp; RSSH - Section 1, Quality assurance and quality control costs (QA/QC) (7.5) AND Section 2, In-country QA/QC costs (7.5), ADD together Type of Health Product = &quot;Condoms&quot; PLUS &quot;Lubricants&quot;, take the total budget per quarter and multiply it by the % in HIV-Other HPs Section 1 D44,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9"/>
    <x v="2"/>
  </r>
  <r>
    <n v="807"/>
    <x v="5"/>
    <x v="22"/>
    <x v="38"/>
    <x v="6"/>
    <m/>
    <m/>
    <m/>
    <s v="HPM costs &amp; RSSH - Section 1, PSM Customs Clearance (7.6), ADD together Type of Health Product = &quot;Condoms&quot; PLUS &quot;Lubricants&quot;, take the total budget per quarter and multiply it by the % in HIV-Other HPs Section 1 D44,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9"/>
    <x v="2"/>
  </r>
  <r>
    <n v="808"/>
    <x v="5"/>
    <x v="22"/>
    <x v="38"/>
    <x v="7"/>
    <m/>
    <m/>
    <m/>
    <s v="HPM costs &amp; RSSH - Section 2, Other procurement and supply management costs (7.7), ADD together Type of Health Product = &quot;Condoms&quot; PLUS &quot;Lubricants&quot;, take the total budget per quarter and multiply it by the % in HIV-Other HPs Section 1 D44,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9"/>
    <x v="2"/>
  </r>
  <r>
    <n v="810"/>
    <x v="6"/>
    <x v="23"/>
    <x v="39"/>
    <x v="20"/>
    <m/>
    <m/>
    <m/>
    <s v="HIV-Other HPs Section 1, take the total budget per quarter for Type of Product = &quot;Male condom&quot; OR COST INPUT 5.2 CONDOMS -  MALE and multiply it by the % in HIV-Other HPs Section 1 D53),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10"/>
    <x v="2"/>
  </r>
  <r>
    <n v="811"/>
    <x v="6"/>
    <x v="23"/>
    <x v="39"/>
    <x v="21"/>
    <m/>
    <m/>
    <m/>
    <s v="HIV-Other HPs Section 1, take the total budget per quarter for Type of Product = &quot;Female condom&quot; OR COST INPUT 5.3 CONDOMS - FEMALE and multiply it by the % in HIV-Other HPs Section 1 E53),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10"/>
    <x v="2"/>
  </r>
  <r>
    <n v="812"/>
    <x v="6"/>
    <x v="23"/>
    <x v="39"/>
    <x v="13"/>
    <m/>
    <m/>
    <m/>
    <s v="HIV-Other HPs Section 1, take the total budget per quarter for Type of Product = &quot;Lubricant&quot; OR COST INPUT 5.8 OTHER CONSUMABLES and multiply it by the % in HIV-Other HPs Section 1 F53),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10"/>
    <x v="2"/>
  </r>
  <r>
    <n v="813"/>
    <x v="6"/>
    <x v="23"/>
    <x v="1"/>
    <x v="1"/>
    <m/>
    <m/>
    <m/>
    <s v="HPM costs &amp; RSSH - Section 1, Procurement agent and handling fees (7.1), ADD together Type of Health Product = &quot;Condoms&quot; PLUS &quot;Lubricants&quot;, take the total budget per quarter and multiply it by the % in HIV-Other HPs Section 1 D53,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10"/>
    <x v="2"/>
  </r>
  <r>
    <n v="814"/>
    <x v="6"/>
    <x v="23"/>
    <x v="1"/>
    <x v="2"/>
    <m/>
    <m/>
    <m/>
    <s v="HPM costs &amp; RSSH - Section 1, Freight and insurance costs (Health products) (7.2), ADD together Type of Health Product = &quot;Condoms&quot; PLUS &quot;Lubricants&quot;, take the total budget per quarter and multiply it by the % in HIV-Other HPs Section 1 D53,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10"/>
    <x v="2"/>
  </r>
  <r>
    <n v="815"/>
    <x v="6"/>
    <x v="23"/>
    <x v="1"/>
    <x v="3"/>
    <m/>
    <m/>
    <m/>
    <s v="HPM costs &amp; RSSH - Section 2, Warehouse and storage costs (7.3), ADD together Type of Health Product = &quot;Condoms&quot; PLUS &quot;Lubricants&quot;, take the total budget per quarter and multiply it by the % in HIV-Other HPs Section 1 D53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10"/>
    <x v="2"/>
  </r>
  <r>
    <n v="816"/>
    <x v="6"/>
    <x v="23"/>
    <x v="1"/>
    <x v="4"/>
    <m/>
    <m/>
    <m/>
    <s v="HPM costs &amp; RSSH - Section 2, In country distribution costs  (7.4), ADD together Type of Health Product = &quot;Condoms&quot; PLUS &quot;Lubricants&quot;, take the total budget per quarter and multiply it by the % in HIV-Other HPs Section 1 D53,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10"/>
    <x v="2"/>
  </r>
  <r>
    <n v="817"/>
    <x v="6"/>
    <x v="23"/>
    <x v="1"/>
    <x v="5"/>
    <m/>
    <m/>
    <m/>
    <s v="HPM costs &amp; RSSH - Section 1, Quality assurance and quality control costs (QA/QC) (7.5) AND Section 2, In-country QA/QC costs (7.5), ADD together Type of Health Product = &quot;Condoms&quot; PLUS &quot;Lubricants&quot;, take the total budget per quarter and multiply it by the % in HIV-Other HPs Section 1 D53,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10"/>
    <x v="2"/>
  </r>
  <r>
    <n v="818"/>
    <x v="6"/>
    <x v="23"/>
    <x v="1"/>
    <x v="6"/>
    <m/>
    <m/>
    <m/>
    <s v="HPM costs &amp; RSSH - Section 1, PSM Customs Clearance (7.6), ADD together Type of Health Product = &quot;Condoms&quot; PLUS &quot;Lubricants&quot;, take the total budget per quarter and multiply it by the % in HIV-Other HPs Section 1 D53,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10"/>
    <x v="2"/>
  </r>
  <r>
    <n v="819"/>
    <x v="6"/>
    <x v="23"/>
    <x v="1"/>
    <x v="7"/>
    <m/>
    <m/>
    <m/>
    <s v="HPM costs &amp; RSSH - Section 2, Other procurement and supply management costs (7.7), ADD together Type of Health Product = &quot;Condoms&quot; PLUS &quot;Lubricants&quot;, take the total budget per quarter and multiply it by the % in HIV-Other HPs Section 1 D53, from the SETUP page determine the TYPE OF PAYMENT (F21) and quarter in which payment is made (G21)"/>
    <m/>
    <m/>
    <m/>
    <m/>
    <m/>
    <m/>
    <m/>
    <m/>
    <m/>
    <m/>
    <m/>
    <m/>
    <s v="-"/>
    <n v="0"/>
    <s v="-"/>
    <n v="0"/>
    <s v="-"/>
    <n v="0"/>
    <s v="-"/>
    <n v="0"/>
    <m/>
    <n v="0"/>
    <m/>
    <m/>
    <m/>
    <m/>
    <n v="0"/>
    <m/>
    <n v="0"/>
    <m/>
    <n v="0"/>
    <m/>
    <n v="0"/>
    <m/>
    <n v="0"/>
    <m/>
    <m/>
    <m/>
    <m/>
    <n v="0"/>
    <m/>
    <n v="0"/>
    <m/>
    <n v="0"/>
    <m/>
    <n v="0"/>
    <m/>
    <n v="0"/>
    <m/>
    <m/>
    <m/>
    <n v="0"/>
    <n v="0"/>
    <n v="0"/>
    <n v="0"/>
    <n v="0"/>
    <n v="0"/>
    <n v="0"/>
    <n v="0"/>
    <n v="0"/>
    <n v="0"/>
    <n v="0"/>
    <m/>
    <m/>
    <x v="10"/>
    <x v="2"/>
  </r>
  <r>
    <n v="821"/>
    <x v="6"/>
    <x v="24"/>
    <x v="40"/>
    <x v="11"/>
    <m/>
    <m/>
    <m/>
    <s v="HIV-Other HPs Section 2, (take the total budget per quarter for Category = &quot;RDTs for HIV&quot; and multiply it by the % in HIV-Other HPs Section 2 D100), ADD ((take the total budget per quarter for Category = &quot;RDTs for STIs, OIs &amp; hepatitis&quot; PLUS Category = &quot;RDTs for TB for HIV program&quot;) and multiply it by the % in HIV-Other HPs Section 2 E100); MULTIPLY the result by the % in HIV-Other HPs Section 2 F10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0"/>
    <x v="2"/>
  </r>
  <r>
    <n v="822"/>
    <x v="6"/>
    <x v="24"/>
    <x v="1"/>
    <x v="1"/>
    <m/>
    <m/>
    <m/>
    <s v="HPM costs &amp; RSSH - Section 1, Procurement agent and handling fees (7.1), (take the total budget per quarter for Category = &quot;RDTs for HIV&quot; and multiply it by the % in HIV-Other HPs Section 2 D100), ADD ((take the total budget per quarter for Category = &quot;RDTs for STIs, OIs &amp; hepatitis&quot; PLUS Category = &quot;RDTs for TB for HIV program&quot;) and multiply it by the % in HIV-Other HPs Section 2 E100); MULTIPLY the result by the % in HIV-Other HPs Section 2 F10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0"/>
    <x v="2"/>
  </r>
  <r>
    <n v="823"/>
    <x v="6"/>
    <x v="24"/>
    <x v="1"/>
    <x v="2"/>
    <m/>
    <m/>
    <m/>
    <s v="HPM costs &amp; RSSH - Section 1, Freight and insurance costs (Health products) (7.2), (take the total budget per quarter for Category = &quot;RDTs for HIV&quot; and multiply it by the % in HIV-Other HPs Section 2 D100), ADD ((take the total budget per quarter for Category = &quot;RDTs for STIs, OIs &amp; hepatitis&quot; PLUS Category = &quot;RDTs for TB for HIV program&quot;) and multiply it by the % in HIV-Other HPs Section 2 E100); MULTIPLY the result by the % in HIV-Other HPs Section 2 F10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0"/>
    <x v="2"/>
  </r>
  <r>
    <n v="824"/>
    <x v="6"/>
    <x v="24"/>
    <x v="1"/>
    <x v="3"/>
    <m/>
    <m/>
    <m/>
    <s v="HPM costs &amp; RSSH - Section 2, Warehouse and storage costs (7.3), (take the total budget per quarter for Category = &quot;RDTs for HIV&quot; and multiply it by the % in HIV-Other HPs Section 2 D100), ADD ((take the total budget per quarter for Category = &quot;RDTs for STIs, OIs &amp; hepatitis&quot; PLUS Category = &quot;RDTs for TB for HIV program&quot;) and multiply it by the % in HIV-Other HPs Section 2 E100); MULTIPLY the result by the % in HIV-Other HPs Section 2 F10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0"/>
    <x v="2"/>
  </r>
  <r>
    <n v="825"/>
    <x v="6"/>
    <x v="24"/>
    <x v="1"/>
    <x v="4"/>
    <m/>
    <m/>
    <m/>
    <s v="HPM costs &amp; RSSH - Section 2, In country distribution costs  (7.4), (take the total budget per quarter for Category = &quot;RDTs for HIV&quot; and multiply it by the % in HIV-Other HPs Section 2 D100), ADD ((take the total budget per quarter for Category = &quot;RDTs for STIs, OIs &amp; hepatitis&quot; PLUS Category = &quot;RDTs for TB for HIV program&quot;) and multiply it by the % in HIV-Other HPs Section 2 E100); MULTIPLY the result by the % in HIV-Other HPs Section 2 F10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0"/>
    <x v="2"/>
  </r>
  <r>
    <n v="826"/>
    <x v="6"/>
    <x v="24"/>
    <x v="1"/>
    <x v="5"/>
    <m/>
    <m/>
    <m/>
    <s v="HPM costs &amp; RSSH - Section 1, Quality assurance and quality control costs (QA/QC) (7.5) AND Section 2, In-country QA/QC costs (7.5), (take the total budget per quarter for Category = &quot;RDTs for HIV&quot; and multiply it by the % in HIV-Other HPs Section 2 D100), ADD ((take the total budget per quarter for Category = &quot;RDTs for STIs, OIs &amp; hepatitis&quot; PLUS Category = &quot;RDTs for TB for HIV program&quot;) and multiply it by the % in HIV-Other HPs Section 2 E100); MULTIPLY the result by the % in HIV-Other HPs Section 2 F10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0"/>
    <x v="2"/>
  </r>
  <r>
    <n v="827"/>
    <x v="6"/>
    <x v="24"/>
    <x v="1"/>
    <x v="6"/>
    <m/>
    <m/>
    <m/>
    <s v="HPM costs &amp; RSSH - Section 1, PSM Customs Clearance (7.6), (take the total budget per quarter for Category = &quot;RDTs for HIV&quot; and multiply it by the % in HIV-Other HPs Section 2 D100), ADD ((take the total budget per quarter for Category = &quot;RDTs for STIs, OIs &amp; hepatitis&quot; PLUS Category = &quot;RDTs for TB for HIV program&quot;) and multiply it by the % in HIV-Other HPs Section 2 E100); MULTIPLY the result by the % in HIV-Other HPs Section 2 F10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0"/>
    <x v="2"/>
  </r>
  <r>
    <n v="828"/>
    <x v="6"/>
    <x v="24"/>
    <x v="1"/>
    <x v="7"/>
    <m/>
    <m/>
    <m/>
    <s v="HPM costs &amp; RSSH - Section 2, Other procurement and supply management costs (7.7), (take the total budget per quarter for Category = &quot;RDTs for HIV&quot; and multiply it by the % in HIV-Other HPs Section 2 D100), ADD ((take the total budget per quarter for Category = &quot;RDTs for STIs, OIs &amp; hepatitis&quot; PLUS Category = &quot;RDTs for TB for HIV program&quot;) and multiply it by the % in HIV-Other HPs Section 2 E100); MULTIPLY the result by the % in HIV-Other HPs Section 2 F10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0"/>
    <x v="2"/>
  </r>
  <r>
    <n v="840"/>
    <x v="7"/>
    <x v="25"/>
    <x v="41"/>
    <x v="11"/>
    <m/>
    <m/>
    <m/>
    <s v="HIV-Other HPs Section 2,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F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41"/>
    <x v="7"/>
    <x v="25"/>
    <x v="20"/>
    <x v="1"/>
    <m/>
    <m/>
    <m/>
    <s v="HPM costs &amp; RSSH - Section 1, Procurement agent and handling fees (7.1),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F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42"/>
    <x v="7"/>
    <x v="25"/>
    <x v="20"/>
    <x v="2"/>
    <m/>
    <m/>
    <m/>
    <s v="HPM costs &amp; RSSH - Section 1, Freight and insurance costs (Health products) (7.2),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F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43"/>
    <x v="7"/>
    <x v="25"/>
    <x v="20"/>
    <x v="3"/>
    <m/>
    <m/>
    <m/>
    <s v="HPM costs &amp; RSSH - Section 2, Warehouse and storage costs (7.3),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F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44"/>
    <x v="7"/>
    <x v="25"/>
    <x v="20"/>
    <x v="4"/>
    <m/>
    <m/>
    <m/>
    <s v="HPM costs &amp; RSSH - Section 2, In country distribution costs  (7.4),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F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45"/>
    <x v="7"/>
    <x v="25"/>
    <x v="20"/>
    <x v="5"/>
    <m/>
    <m/>
    <m/>
    <s v="HPM costs &amp; RSSH - Section 1, Quality assurance and quality control costs (QA/QC) (7.5) AND Section 2, In-country QA/QC costs (7.5),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F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46"/>
    <x v="7"/>
    <x v="25"/>
    <x v="20"/>
    <x v="6"/>
    <m/>
    <m/>
    <m/>
    <s v="HPM costs &amp; RSSH - Section 1, PSM Customs Clearance (7.6),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F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47"/>
    <x v="7"/>
    <x v="25"/>
    <x v="20"/>
    <x v="7"/>
    <m/>
    <m/>
    <m/>
    <s v="HPM costs &amp; RSSH - Section 2, Other procurement and supply management costs (7.7),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F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48"/>
    <x v="7"/>
    <x v="26"/>
    <x v="41"/>
    <x v="11"/>
    <m/>
    <m/>
    <m/>
    <s v="HIV-Other HPs Section 2,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G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49"/>
    <x v="7"/>
    <x v="26"/>
    <x v="20"/>
    <x v="1"/>
    <m/>
    <m/>
    <m/>
    <s v="HPM costs &amp; RSSH - Section 1, Procurement agent and handling fees (7.1),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G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50"/>
    <x v="7"/>
    <x v="26"/>
    <x v="20"/>
    <x v="2"/>
    <m/>
    <m/>
    <m/>
    <s v="HPM costs &amp; RSSH - Section 1, Freight and insurance costs (Health products) (7.2),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G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51"/>
    <x v="7"/>
    <x v="26"/>
    <x v="20"/>
    <x v="3"/>
    <m/>
    <m/>
    <m/>
    <s v="HPM costs &amp; RSSH - Section 2, Warehouse and storage costs (7.3),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G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52"/>
    <x v="7"/>
    <x v="26"/>
    <x v="20"/>
    <x v="4"/>
    <m/>
    <m/>
    <m/>
    <s v="HPM costs &amp; RSSH - Section 2, In country distribution costs  (7.4),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G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53"/>
    <x v="7"/>
    <x v="26"/>
    <x v="20"/>
    <x v="5"/>
    <m/>
    <m/>
    <m/>
    <s v="HPM costs &amp; RSSH - Section 1, Quality assurance and quality control costs (QA/QC) (7.5) AND Section 2, In-country QA/QC costs (7.5),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G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54"/>
    <x v="7"/>
    <x v="26"/>
    <x v="20"/>
    <x v="6"/>
    <m/>
    <m/>
    <m/>
    <s v="HPM costs &amp; RSSH - Section 1, PSM Customs Clearance (7.6),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G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55"/>
    <x v="7"/>
    <x v="26"/>
    <x v="20"/>
    <x v="7"/>
    <m/>
    <m/>
    <m/>
    <s v="HPM costs &amp; RSSH - Section 2, Other procurement and supply management costs (7.7),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G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56"/>
    <x v="7"/>
    <x v="27"/>
    <x v="41"/>
    <x v="11"/>
    <m/>
    <m/>
    <m/>
    <s v="HIV-Other HPs Section 2,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H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57"/>
    <x v="7"/>
    <x v="27"/>
    <x v="20"/>
    <x v="1"/>
    <m/>
    <m/>
    <m/>
    <s v="HPM costs &amp; RSSH - Section 1, Procurement agent and handling fees (7.1),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H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58"/>
    <x v="7"/>
    <x v="27"/>
    <x v="20"/>
    <x v="2"/>
    <m/>
    <m/>
    <m/>
    <s v="HPM costs &amp; RSSH - Section 1, Freight and insurance costs (Health products) (7.2),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H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59"/>
    <x v="7"/>
    <x v="27"/>
    <x v="20"/>
    <x v="3"/>
    <m/>
    <m/>
    <m/>
    <s v="HPM costs &amp; RSSH - Section 2, Warehouse and storage costs (7.3),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H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60"/>
    <x v="7"/>
    <x v="27"/>
    <x v="20"/>
    <x v="4"/>
    <m/>
    <m/>
    <m/>
    <s v="HPM costs &amp; RSSH - Section 2, In country distribution costs  (7.4),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H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61"/>
    <x v="7"/>
    <x v="27"/>
    <x v="20"/>
    <x v="5"/>
    <m/>
    <m/>
    <m/>
    <s v="HPM costs &amp; RSSH - Section 1, Quality assurance and quality control costs (QA/QC) (7.5) AND Section 2, In-country QA/QC costs (7.5),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H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62"/>
    <x v="7"/>
    <x v="27"/>
    <x v="20"/>
    <x v="6"/>
    <m/>
    <m/>
    <m/>
    <s v="HPM costs &amp; RSSH - Section 1, PSM Customs Clearance (7.6),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H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63"/>
    <x v="7"/>
    <x v="27"/>
    <x v="20"/>
    <x v="7"/>
    <m/>
    <m/>
    <m/>
    <s v="HPM costs &amp; RSSH - Section 2, Other procurement and supply management costs (7.7), (take the total budget per quarter for Category = &quot;RDTs for HIV&quot; and multiply it by the % in HIV-Other HPs Section 2 D91), ADD ((take the total budget per quarter for Category = &quot;RDTs for STIs, OIs &amp; hepatitis&quot; PLUS Category = &quot;RDTs for TB for HIV program&quot;) and multiply it by the % in HIV-Other HPs Section 2 E91); MULTIPLY the result by the % in HIV-Other HPs Section 2 H91;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
    <x v="2"/>
  </r>
  <r>
    <n v="864"/>
    <x v="7"/>
    <x v="25"/>
    <x v="42"/>
    <x v="11"/>
    <m/>
    <m/>
    <m/>
    <s v="HIV-Other HPs Section 2,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F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65"/>
    <x v="7"/>
    <x v="25"/>
    <x v="22"/>
    <x v="1"/>
    <m/>
    <m/>
    <m/>
    <s v="HPM costs &amp; RSSH - Section 1, Procurement agent and handling fees (7.1),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F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66"/>
    <x v="7"/>
    <x v="25"/>
    <x v="22"/>
    <x v="2"/>
    <m/>
    <m/>
    <m/>
    <s v="HPM costs &amp; RSSH - Section 1, Freight and insurance costs (Health products) (7.2),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F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67"/>
    <x v="7"/>
    <x v="25"/>
    <x v="22"/>
    <x v="3"/>
    <m/>
    <m/>
    <m/>
    <s v="HPM costs &amp; RSSH - Section 2, Warehouse and storage costs (7.3),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F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68"/>
    <x v="7"/>
    <x v="25"/>
    <x v="22"/>
    <x v="4"/>
    <m/>
    <m/>
    <m/>
    <s v="HPM costs &amp; RSSH - Section 2, In country distribution costs  (7.4),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F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69"/>
    <x v="7"/>
    <x v="25"/>
    <x v="22"/>
    <x v="5"/>
    <m/>
    <m/>
    <m/>
    <s v="HPM costs &amp; RSSH - Section 1, Quality assurance and quality control costs (QA/QC) (7.5) AND Section 2, In-country QA/QC costs (7.5),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F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70"/>
    <x v="7"/>
    <x v="25"/>
    <x v="22"/>
    <x v="6"/>
    <m/>
    <m/>
    <m/>
    <s v="HPM costs &amp; RSSH - Section 1, PSM Customs Clearance (7.6),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F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71"/>
    <x v="7"/>
    <x v="25"/>
    <x v="22"/>
    <x v="7"/>
    <m/>
    <m/>
    <m/>
    <s v="HPM costs &amp; RSSH - Section 2, Other procurement and supply management costs (7.7),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F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72"/>
    <x v="7"/>
    <x v="26"/>
    <x v="42"/>
    <x v="11"/>
    <m/>
    <m/>
    <m/>
    <s v="HIV-Other HPs Section 2,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G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73"/>
    <x v="7"/>
    <x v="26"/>
    <x v="22"/>
    <x v="1"/>
    <m/>
    <m/>
    <m/>
    <s v="HPM costs &amp; RSSH - Section 1, Procurement agent and handling fees (7.1),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G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74"/>
    <x v="7"/>
    <x v="26"/>
    <x v="22"/>
    <x v="2"/>
    <m/>
    <m/>
    <m/>
    <s v="HPM costs &amp; RSSH - Section 1, Freight and insurance costs (Health products) (7.2),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G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75"/>
    <x v="7"/>
    <x v="26"/>
    <x v="22"/>
    <x v="3"/>
    <m/>
    <m/>
    <m/>
    <s v="HPM costs &amp; RSSH - Section 2, Warehouse and storage costs (7.3),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G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76"/>
    <x v="7"/>
    <x v="26"/>
    <x v="22"/>
    <x v="4"/>
    <m/>
    <m/>
    <m/>
    <s v="HPM costs &amp; RSSH - Section 2, In country distribution costs  (7.4),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G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77"/>
    <x v="7"/>
    <x v="26"/>
    <x v="22"/>
    <x v="5"/>
    <m/>
    <m/>
    <m/>
    <s v="HPM costs &amp; RSSH - Section 1, Quality assurance and quality control costs (QA/QC) (7.5) AND Section 2, In-country QA/QC costs (7.5),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G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78"/>
    <x v="7"/>
    <x v="26"/>
    <x v="22"/>
    <x v="6"/>
    <m/>
    <m/>
    <m/>
    <s v="HPM costs &amp; RSSH - Section 1, PSM Customs Clearance (7.6),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G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79"/>
    <x v="7"/>
    <x v="26"/>
    <x v="22"/>
    <x v="7"/>
    <m/>
    <m/>
    <m/>
    <s v="HPM costs &amp; RSSH - Section 2, Other procurement and supply management costs (7.7),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G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80"/>
    <x v="7"/>
    <x v="27"/>
    <x v="42"/>
    <x v="11"/>
    <m/>
    <m/>
    <m/>
    <s v="HIV-Other HPs Section 2,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H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81"/>
    <x v="7"/>
    <x v="27"/>
    <x v="22"/>
    <x v="1"/>
    <m/>
    <m/>
    <m/>
    <s v="HPM costs &amp; RSSH - Section 1, Procurement agent and handling fees (7.1),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H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82"/>
    <x v="7"/>
    <x v="27"/>
    <x v="22"/>
    <x v="2"/>
    <m/>
    <m/>
    <m/>
    <s v="HPM costs &amp; RSSH - Section 1, Freight and insurance costs (Health products) (7.2),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H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83"/>
    <x v="7"/>
    <x v="27"/>
    <x v="22"/>
    <x v="3"/>
    <m/>
    <m/>
    <m/>
    <s v="HPM costs &amp; RSSH - Section 2, Warehouse and storage costs (7.3),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H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84"/>
    <x v="7"/>
    <x v="27"/>
    <x v="22"/>
    <x v="4"/>
    <m/>
    <m/>
    <m/>
    <s v="HPM costs &amp; RSSH - Section 2, In country distribution costs  (7.4),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H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85"/>
    <x v="7"/>
    <x v="27"/>
    <x v="22"/>
    <x v="5"/>
    <m/>
    <m/>
    <m/>
    <s v="HPM costs &amp; RSSH - Section 1, Quality assurance and quality control costs (QA/QC) (7.5) AND Section 2, In-country QA/QC costs (7.5),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H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86"/>
    <x v="7"/>
    <x v="27"/>
    <x v="22"/>
    <x v="6"/>
    <m/>
    <m/>
    <m/>
    <s v="HPM costs &amp; RSSH - Section 1, PSM Customs Clearance (7.6),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H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87"/>
    <x v="7"/>
    <x v="27"/>
    <x v="22"/>
    <x v="7"/>
    <m/>
    <m/>
    <m/>
    <s v="HPM costs &amp; RSSH - Section 2, Other procurement and supply management costs (7.7), (take the total budget per quarter for Category = &quot;RDTs for HIV&quot; and multiply it by the % in HIV-Other HPs Section 2 D93), ADD ((take the total budget per quarter for Category = &quot;RDTs for STIs, OIs &amp; hepatitis&quot; PLUS Category = &quot;RDTs for TB for HIV program&quot;) and multiply it by the % in HIV-Other HPs Section 2 E93); MULTIPLY the result by the % in HIV-Other HPs Section 2 H93;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2"/>
    <x v="2"/>
  </r>
  <r>
    <n v="888"/>
    <x v="7"/>
    <x v="25"/>
    <x v="43"/>
    <x v="11"/>
    <m/>
    <m/>
    <m/>
    <s v="HIV-Other HPs Section 2,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F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889"/>
    <x v="7"/>
    <x v="25"/>
    <x v="24"/>
    <x v="1"/>
    <m/>
    <m/>
    <m/>
    <s v="HPM costs &amp; RSSH - Section 1, Procurement agent and handling fees (7.1),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F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890"/>
    <x v="7"/>
    <x v="25"/>
    <x v="24"/>
    <x v="2"/>
    <m/>
    <m/>
    <m/>
    <s v="HPM costs &amp; RSSH - Section 1, Freight and insurance costs (Health products) (7.2),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F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891"/>
    <x v="7"/>
    <x v="25"/>
    <x v="24"/>
    <x v="3"/>
    <m/>
    <m/>
    <m/>
    <s v="HPM costs &amp; RSSH - Section 2, Warehouse and storage costs (7.3),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F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892"/>
    <x v="7"/>
    <x v="25"/>
    <x v="24"/>
    <x v="4"/>
    <m/>
    <m/>
    <m/>
    <s v="HPM costs &amp; RSSH - Section 2, In country distribution costs  (7.4),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F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893"/>
    <x v="7"/>
    <x v="25"/>
    <x v="24"/>
    <x v="5"/>
    <m/>
    <m/>
    <m/>
    <s v="HPM costs &amp; RSSH - Section 1, Quality assurance and quality control costs (QA/QC) (7.5) AND Section 2, In-country QA/QC costs (7.5),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F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894"/>
    <x v="7"/>
    <x v="25"/>
    <x v="24"/>
    <x v="6"/>
    <m/>
    <m/>
    <m/>
    <s v="HPM costs &amp; RSSH - Section 1, PSM Customs Clearance (7.6),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F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895"/>
    <x v="7"/>
    <x v="25"/>
    <x v="24"/>
    <x v="7"/>
    <m/>
    <m/>
    <m/>
    <s v="HPM costs &amp; RSSH - Section 2, Other procurement and supply management costs (7.7),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F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896"/>
    <x v="7"/>
    <x v="26"/>
    <x v="43"/>
    <x v="11"/>
    <m/>
    <m/>
    <m/>
    <s v="HIV-Other HPs Section 2,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G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897"/>
    <x v="7"/>
    <x v="26"/>
    <x v="24"/>
    <x v="1"/>
    <m/>
    <m/>
    <m/>
    <s v="HPM costs &amp; RSSH - Section 1, Procurement agent and handling fees (7.1),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G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898"/>
    <x v="7"/>
    <x v="26"/>
    <x v="24"/>
    <x v="2"/>
    <m/>
    <m/>
    <m/>
    <s v="HPM costs &amp; RSSH - Section 1, Freight and insurance costs (Health products) (7.2),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G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899"/>
    <x v="7"/>
    <x v="26"/>
    <x v="24"/>
    <x v="3"/>
    <m/>
    <m/>
    <m/>
    <s v="HPM costs &amp; RSSH - Section 2, Warehouse and storage costs (7.3),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G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900"/>
    <x v="7"/>
    <x v="26"/>
    <x v="24"/>
    <x v="4"/>
    <m/>
    <m/>
    <m/>
    <s v="HPM costs &amp; RSSH - Section 2, In country distribution costs  (7.4),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G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901"/>
    <x v="7"/>
    <x v="26"/>
    <x v="24"/>
    <x v="5"/>
    <m/>
    <m/>
    <m/>
    <s v="HPM costs &amp; RSSH - Section 1, Quality assurance and quality control costs (QA/QC) (7.5) AND Section 2, In-country QA/QC costs (7.5),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G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902"/>
    <x v="7"/>
    <x v="26"/>
    <x v="24"/>
    <x v="6"/>
    <m/>
    <m/>
    <m/>
    <s v="HPM costs &amp; RSSH - Section 1, PSM Customs Clearance (7.6),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G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903"/>
    <x v="7"/>
    <x v="26"/>
    <x v="24"/>
    <x v="7"/>
    <m/>
    <m/>
    <m/>
    <s v="HPM costs &amp; RSSH - Section 2, Other procurement and supply management costs (7.7),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G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904"/>
    <x v="7"/>
    <x v="27"/>
    <x v="43"/>
    <x v="11"/>
    <m/>
    <m/>
    <m/>
    <s v="HIV-Other HPs Section 2,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H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905"/>
    <x v="7"/>
    <x v="27"/>
    <x v="24"/>
    <x v="1"/>
    <m/>
    <m/>
    <m/>
    <s v="HPM costs &amp; RSSH - Section 1, Procurement agent and handling fees (7.1),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H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906"/>
    <x v="7"/>
    <x v="27"/>
    <x v="24"/>
    <x v="2"/>
    <m/>
    <m/>
    <m/>
    <s v="HPM costs &amp; RSSH - Section 1, Freight and insurance costs (Health products) (7.2),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H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907"/>
    <x v="7"/>
    <x v="27"/>
    <x v="24"/>
    <x v="3"/>
    <m/>
    <m/>
    <m/>
    <s v="HPM costs &amp; RSSH - Section 2, Warehouse and storage costs (7.3),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H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908"/>
    <x v="7"/>
    <x v="27"/>
    <x v="24"/>
    <x v="4"/>
    <m/>
    <m/>
    <m/>
    <s v="HPM costs &amp; RSSH - Section 2, In country distribution costs  (7.4),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H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909"/>
    <x v="7"/>
    <x v="27"/>
    <x v="24"/>
    <x v="5"/>
    <m/>
    <m/>
    <m/>
    <s v="HPM costs &amp; RSSH - Section 1, Quality assurance and quality control costs (QA/QC) (7.5) AND Section 2, In-country QA/QC costs (7.5),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H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910"/>
    <x v="7"/>
    <x v="27"/>
    <x v="24"/>
    <x v="6"/>
    <m/>
    <m/>
    <m/>
    <s v="HPM costs &amp; RSSH - Section 1, PSM Customs Clearance (7.6),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H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911"/>
    <x v="7"/>
    <x v="27"/>
    <x v="24"/>
    <x v="7"/>
    <m/>
    <m/>
    <m/>
    <s v="HPM costs &amp; RSSH - Section 2, Other procurement and supply management costs (7.7),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H92;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3"/>
    <x v="2"/>
  </r>
  <r>
    <n v="912"/>
    <x v="7"/>
    <x v="25"/>
    <x v="44"/>
    <x v="11"/>
    <m/>
    <m/>
    <m/>
    <s v="HIV-Other HPs Section 2,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F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13"/>
    <x v="7"/>
    <x v="25"/>
    <x v="45"/>
    <x v="1"/>
    <m/>
    <m/>
    <m/>
    <s v="HPM costs &amp; RSSH - Section 1, Procurement agent and handling fees (7.1),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F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14"/>
    <x v="7"/>
    <x v="25"/>
    <x v="45"/>
    <x v="2"/>
    <m/>
    <m/>
    <m/>
    <s v="HPM costs &amp; RSSH - Section 1, Freight and insurance costs (Health products) (7.2),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F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15"/>
    <x v="7"/>
    <x v="25"/>
    <x v="45"/>
    <x v="3"/>
    <m/>
    <m/>
    <m/>
    <s v="HPM costs &amp; RSSH - Section 2, Warehouse and storage costs (7.3),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F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16"/>
    <x v="7"/>
    <x v="25"/>
    <x v="45"/>
    <x v="4"/>
    <m/>
    <m/>
    <m/>
    <s v="HPM costs &amp; RSSH - Section 2, In country distribution costs  (7.4),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F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17"/>
    <x v="7"/>
    <x v="25"/>
    <x v="45"/>
    <x v="5"/>
    <m/>
    <m/>
    <m/>
    <s v="HPM costs &amp; RSSH - Section 1, Quality assurance and quality control costs (QA/QC) (7.5) AND Section 2, In-country QA/QC costs (7.5),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F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18"/>
    <x v="7"/>
    <x v="25"/>
    <x v="45"/>
    <x v="6"/>
    <m/>
    <m/>
    <m/>
    <s v="HPM costs &amp; RSSH - Section 1, PSM Customs Clearance (7.6),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F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19"/>
    <x v="7"/>
    <x v="25"/>
    <x v="45"/>
    <x v="7"/>
    <m/>
    <m/>
    <m/>
    <s v="HPM costs &amp; RSSH - Section 2, Other procurement and supply management costs (7.7),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F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20"/>
    <x v="7"/>
    <x v="26"/>
    <x v="44"/>
    <x v="11"/>
    <m/>
    <m/>
    <m/>
    <s v="HIV-Other HPs Section 2,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G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21"/>
    <x v="7"/>
    <x v="26"/>
    <x v="45"/>
    <x v="1"/>
    <m/>
    <m/>
    <m/>
    <s v="HPM costs &amp; RSSH - Section 1, Procurement agent and handling fees (7.1),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G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22"/>
    <x v="7"/>
    <x v="26"/>
    <x v="45"/>
    <x v="2"/>
    <m/>
    <m/>
    <m/>
    <s v="HPM costs &amp; RSSH - Section 1, Freight and insurance costs (Health products) (7.2),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G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23"/>
    <x v="7"/>
    <x v="26"/>
    <x v="45"/>
    <x v="3"/>
    <m/>
    <m/>
    <m/>
    <s v="HPM costs &amp; RSSH - Section 2, Warehouse and storage costs (7.3),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G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24"/>
    <x v="7"/>
    <x v="26"/>
    <x v="45"/>
    <x v="4"/>
    <m/>
    <m/>
    <m/>
    <s v="HPM costs &amp; RSSH - Section 2, In country distribution costs  (7.4),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G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25"/>
    <x v="7"/>
    <x v="26"/>
    <x v="45"/>
    <x v="5"/>
    <m/>
    <m/>
    <m/>
    <s v="HPM costs &amp; RSSH - Section 1, Quality assurance and quality control costs (QA/QC) (7.5) AND Section 2, In-country QA/QC costs (7.5),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G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26"/>
    <x v="7"/>
    <x v="26"/>
    <x v="45"/>
    <x v="6"/>
    <m/>
    <m/>
    <m/>
    <s v="HPM costs &amp; RSSH - Section 1, PSM Customs Clearance (7.6),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G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27"/>
    <x v="7"/>
    <x v="26"/>
    <x v="45"/>
    <x v="7"/>
    <m/>
    <m/>
    <m/>
    <s v="HPM costs &amp; RSSH - Section 2, Other procurement and supply management costs (7.7),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G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28"/>
    <x v="7"/>
    <x v="27"/>
    <x v="44"/>
    <x v="11"/>
    <m/>
    <m/>
    <m/>
    <s v="HIV-Other HPs Section 2,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H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29"/>
    <x v="7"/>
    <x v="27"/>
    <x v="45"/>
    <x v="1"/>
    <m/>
    <m/>
    <m/>
    <s v="HPM costs &amp; RSSH - Section 1, Procurement agent and handling fees (7.1),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H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30"/>
    <x v="7"/>
    <x v="27"/>
    <x v="45"/>
    <x v="2"/>
    <m/>
    <m/>
    <m/>
    <s v="HPM costs &amp; RSSH - Section 1, Freight and insurance costs (Health products) (7.2),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H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31"/>
    <x v="7"/>
    <x v="27"/>
    <x v="45"/>
    <x v="3"/>
    <m/>
    <m/>
    <m/>
    <s v="HPM costs &amp; RSSH - Section 2, Warehouse and storage costs (7.3),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H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32"/>
    <x v="7"/>
    <x v="27"/>
    <x v="45"/>
    <x v="4"/>
    <m/>
    <m/>
    <m/>
    <s v="HPM costs &amp; RSSH - Section 2, In country distribution costs  (7.4),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H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33"/>
    <x v="7"/>
    <x v="27"/>
    <x v="45"/>
    <x v="5"/>
    <m/>
    <m/>
    <m/>
    <s v="HPM costs &amp; RSSH - Section 1, Quality assurance and quality control costs (QA/QC) (7.5) AND Section 2, In-country QA/QC costs (7.5),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H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34"/>
    <x v="7"/>
    <x v="27"/>
    <x v="45"/>
    <x v="6"/>
    <m/>
    <m/>
    <m/>
    <s v="HPM costs &amp; RSSH - Section 1, PSM Customs Clearance (7.6),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H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35"/>
    <x v="7"/>
    <x v="27"/>
    <x v="45"/>
    <x v="7"/>
    <m/>
    <m/>
    <m/>
    <s v="HPM costs &amp; RSSH - Section 2, Other procurement and supply management costs (7.7), (take the total budget per quarter for Category = &quot;RDTs for HIV&quot; and multiply it by the % in HIV-Other HPs Section 2 D94), ADD ((take the total budget per quarter for Category = &quot;RDTs for STIs, OIs &amp; hepatitis&quot; PLUS Category = &quot;RDTs for TB for HIV program&quot;) and multiply it by the % in HIV-Other HPs Section 2 E94); MULTIPLY the result by the % in HIV-Other HPs Section 2 H94;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4"/>
    <x v="2"/>
  </r>
  <r>
    <n v="936"/>
    <x v="7"/>
    <x v="25"/>
    <x v="46"/>
    <x v="11"/>
    <m/>
    <m/>
    <m/>
    <s v="HIV-Other HPs Section 2,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F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37"/>
    <x v="7"/>
    <x v="25"/>
    <x v="30"/>
    <x v="1"/>
    <m/>
    <m/>
    <m/>
    <s v="HPM costs &amp; RSSH - Section 1, Procurement agent and handling fees (7.1),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F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38"/>
    <x v="7"/>
    <x v="25"/>
    <x v="30"/>
    <x v="2"/>
    <m/>
    <m/>
    <m/>
    <s v="HPM costs &amp; RSSH - Section 1, Freight and insurance costs (Health products) (7.2),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F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39"/>
    <x v="7"/>
    <x v="25"/>
    <x v="30"/>
    <x v="3"/>
    <m/>
    <m/>
    <m/>
    <s v="HPM costs &amp; RSSH - Section 2, Warehouse and storage costs (7.3),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F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40"/>
    <x v="7"/>
    <x v="25"/>
    <x v="30"/>
    <x v="4"/>
    <m/>
    <m/>
    <m/>
    <s v="HPM costs &amp; RSSH - Section 2, In country distribution costs  (7.4),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F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41"/>
    <x v="7"/>
    <x v="25"/>
    <x v="30"/>
    <x v="5"/>
    <m/>
    <m/>
    <m/>
    <s v="HPM costs &amp; RSSH - Section 1, Quality assurance and quality control costs (QA/QC) (7.5) AND Section 2, In-country QA/QC costs (7.5),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F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42"/>
    <x v="7"/>
    <x v="25"/>
    <x v="30"/>
    <x v="6"/>
    <m/>
    <m/>
    <m/>
    <s v="HPM costs &amp; RSSH - Section 1, PSM Customs Clearance (7.6),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F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43"/>
    <x v="7"/>
    <x v="25"/>
    <x v="30"/>
    <x v="7"/>
    <m/>
    <m/>
    <m/>
    <s v="HPM costs &amp; RSSH - Section 2, Other procurement and supply management costs (7.7),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F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44"/>
    <x v="7"/>
    <x v="26"/>
    <x v="46"/>
    <x v="11"/>
    <m/>
    <m/>
    <m/>
    <s v="HIV-Other HPs Section 2,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G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45"/>
    <x v="7"/>
    <x v="26"/>
    <x v="30"/>
    <x v="1"/>
    <m/>
    <m/>
    <m/>
    <s v="HPM costs &amp; RSSH - Section 1, Procurement agent and handling fees (7.1),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G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46"/>
    <x v="7"/>
    <x v="26"/>
    <x v="30"/>
    <x v="2"/>
    <m/>
    <m/>
    <m/>
    <s v="HPM costs &amp; RSSH - Section 1, Freight and insurance costs (Health products) (7.2),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G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47"/>
    <x v="7"/>
    <x v="26"/>
    <x v="30"/>
    <x v="3"/>
    <m/>
    <m/>
    <m/>
    <s v="HPM costs &amp; RSSH - Section 2, Warehouse and storage costs (7.3),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G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48"/>
    <x v="7"/>
    <x v="26"/>
    <x v="30"/>
    <x v="4"/>
    <m/>
    <m/>
    <m/>
    <s v="HPM costs &amp; RSSH - Section 2, In country distribution costs  (7.4),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G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49"/>
    <x v="7"/>
    <x v="26"/>
    <x v="30"/>
    <x v="5"/>
    <m/>
    <m/>
    <m/>
    <s v="HPM costs &amp; RSSH - Section 1, Quality assurance and quality control costs (QA/QC) (7.5) AND Section 2, In-country QA/QC costs (7.5),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G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50"/>
    <x v="7"/>
    <x v="26"/>
    <x v="30"/>
    <x v="6"/>
    <m/>
    <m/>
    <m/>
    <s v="HPM costs &amp; RSSH - Section 1, PSM Customs Clearance (7.6),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G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51"/>
    <x v="7"/>
    <x v="26"/>
    <x v="30"/>
    <x v="7"/>
    <m/>
    <m/>
    <m/>
    <s v="HPM costs &amp; RSSH - Section 2, Other procurement and supply management costs (7.7),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G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52"/>
    <x v="7"/>
    <x v="27"/>
    <x v="46"/>
    <x v="11"/>
    <m/>
    <m/>
    <m/>
    <s v="HIV-Other HPs Section 2,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H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53"/>
    <x v="7"/>
    <x v="27"/>
    <x v="30"/>
    <x v="1"/>
    <m/>
    <m/>
    <m/>
    <s v="HPM costs &amp; RSSH - Section 1, Procurement agent and handling fees (7.1),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H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54"/>
    <x v="7"/>
    <x v="27"/>
    <x v="30"/>
    <x v="2"/>
    <m/>
    <m/>
    <m/>
    <s v="HPM costs &amp; RSSH - Section 1, Freight and insurance costs (Health products) (7.2),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H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55"/>
    <x v="7"/>
    <x v="27"/>
    <x v="30"/>
    <x v="3"/>
    <m/>
    <m/>
    <m/>
    <s v="HPM costs &amp; RSSH - Section 2, Warehouse and storage costs (7.3),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H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56"/>
    <x v="7"/>
    <x v="27"/>
    <x v="30"/>
    <x v="4"/>
    <m/>
    <m/>
    <m/>
    <s v="HPM costs &amp; RSSH - Section 2, In country distribution costs  (7.4),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H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57"/>
    <x v="7"/>
    <x v="27"/>
    <x v="30"/>
    <x v="5"/>
    <m/>
    <m/>
    <m/>
    <s v="HPM costs &amp; RSSH - Section 1, Quality assurance and quality control costs (QA/QC) (7.5) AND Section 2, In-country QA/QC costs (7.5),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H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58"/>
    <x v="7"/>
    <x v="27"/>
    <x v="30"/>
    <x v="6"/>
    <m/>
    <m/>
    <m/>
    <s v="HPM costs &amp; RSSH - Section 1, PSM Customs Clearance (7.6),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H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59"/>
    <x v="7"/>
    <x v="27"/>
    <x v="30"/>
    <x v="7"/>
    <m/>
    <m/>
    <m/>
    <s v="HPM costs &amp; RSSH - Section 2, Other procurement and supply management costs (7.7), (take the total budget per quarter for Category = &quot;RDTs for HIV&quot; and multiply it by the % in HIV-Other HPs Section 2 D95), ADD ((take the total budget per quarter for Category = &quot;RDTs for STIs, OIs &amp; hepatitis&quot; PLUS Category = &quot;RDTs for TB for HIV program&quot;) and multiply it by the % in HIV-Other HPs Section 2 E95); MULTIPLY the result by the % in HIV-Other HPs Section 2 H95;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5"/>
    <x v="2"/>
  </r>
  <r>
    <n v="960"/>
    <x v="7"/>
    <x v="25"/>
    <x v="47"/>
    <x v="11"/>
    <m/>
    <m/>
    <m/>
    <s v="HIV-Other HPs Section 2,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F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61"/>
    <x v="7"/>
    <x v="25"/>
    <x v="32"/>
    <x v="1"/>
    <m/>
    <m/>
    <m/>
    <s v="HPM costs &amp; RSSH - Section 1, Procurement agent and handling fees (7.1),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F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62"/>
    <x v="7"/>
    <x v="25"/>
    <x v="32"/>
    <x v="2"/>
    <m/>
    <m/>
    <m/>
    <s v="HPM costs &amp; RSSH - Section 1, Freight and insurance costs (Health products) (7.2),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F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63"/>
    <x v="7"/>
    <x v="25"/>
    <x v="32"/>
    <x v="3"/>
    <m/>
    <m/>
    <m/>
    <s v="HPM costs &amp; RSSH - Section 2, Warehouse and storage costs (7.3),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F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64"/>
    <x v="7"/>
    <x v="25"/>
    <x v="32"/>
    <x v="4"/>
    <m/>
    <m/>
    <m/>
    <s v="HPM costs &amp; RSSH - Section 2, In country distribution costs  (7.4),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F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65"/>
    <x v="7"/>
    <x v="25"/>
    <x v="32"/>
    <x v="5"/>
    <m/>
    <m/>
    <m/>
    <s v="HPM costs &amp; RSSH - Section 1, Quality assurance and quality control costs (QA/QC) (7.5) AND Section 2, In-country QA/QC costs (7.5),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F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66"/>
    <x v="7"/>
    <x v="25"/>
    <x v="32"/>
    <x v="6"/>
    <m/>
    <m/>
    <m/>
    <s v="HPM costs &amp; RSSH - Section 1, PSM Customs Clearance (7.6),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F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67"/>
    <x v="7"/>
    <x v="25"/>
    <x v="32"/>
    <x v="7"/>
    <m/>
    <m/>
    <m/>
    <s v="HPM costs &amp; RSSH - Section 2, Other procurement and supply management costs (7.7),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F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68"/>
    <x v="7"/>
    <x v="26"/>
    <x v="47"/>
    <x v="11"/>
    <m/>
    <m/>
    <m/>
    <s v="HIV-Other HPs Section 2,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G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69"/>
    <x v="7"/>
    <x v="26"/>
    <x v="32"/>
    <x v="1"/>
    <m/>
    <m/>
    <m/>
    <s v="HPM costs &amp; RSSH - Section 1, Procurement agent and handling fees (7.1),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G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70"/>
    <x v="7"/>
    <x v="26"/>
    <x v="32"/>
    <x v="2"/>
    <m/>
    <m/>
    <m/>
    <s v="HPM costs &amp; RSSH - Section 1, Freight and insurance costs (Health products) (7.2),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G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71"/>
    <x v="7"/>
    <x v="26"/>
    <x v="32"/>
    <x v="3"/>
    <m/>
    <m/>
    <m/>
    <s v="HPM costs &amp; RSSH - Section 2, Warehouse and storage costs (7.3),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G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72"/>
    <x v="7"/>
    <x v="26"/>
    <x v="32"/>
    <x v="4"/>
    <m/>
    <m/>
    <m/>
    <s v="HPM costs &amp; RSSH - Section 2, In country distribution costs  (7.4),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G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73"/>
    <x v="7"/>
    <x v="26"/>
    <x v="32"/>
    <x v="5"/>
    <m/>
    <m/>
    <m/>
    <s v="HPM costs &amp; RSSH - Section 1, Quality assurance and quality control costs (QA/QC) (7.5) AND Section 2, In-country QA/QC costs (7.5),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G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74"/>
    <x v="7"/>
    <x v="26"/>
    <x v="32"/>
    <x v="6"/>
    <m/>
    <m/>
    <m/>
    <s v="HPM costs &amp; RSSH - Section 1, PSM Customs Clearance (7.6),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G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75"/>
    <x v="7"/>
    <x v="26"/>
    <x v="32"/>
    <x v="7"/>
    <m/>
    <m/>
    <m/>
    <s v="HPM costs &amp; RSSH - Section 2, Other procurement and supply management costs (7.7),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G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76"/>
    <x v="7"/>
    <x v="27"/>
    <x v="47"/>
    <x v="11"/>
    <m/>
    <m/>
    <m/>
    <s v="HIV-Other HPs Section 2,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H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77"/>
    <x v="7"/>
    <x v="27"/>
    <x v="32"/>
    <x v="1"/>
    <m/>
    <m/>
    <m/>
    <s v="HPM costs &amp; RSSH - Section 1, Procurement agent and handling fees (7.1),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H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78"/>
    <x v="7"/>
    <x v="27"/>
    <x v="32"/>
    <x v="2"/>
    <m/>
    <m/>
    <m/>
    <s v="HPM costs &amp; RSSH - Section 1, Freight and insurance costs (Health products) (7.2),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H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79"/>
    <x v="7"/>
    <x v="27"/>
    <x v="32"/>
    <x v="3"/>
    <m/>
    <m/>
    <m/>
    <s v="HPM costs &amp; RSSH - Section 2, Warehouse and storage costs (7.3),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H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80"/>
    <x v="7"/>
    <x v="27"/>
    <x v="32"/>
    <x v="4"/>
    <m/>
    <m/>
    <m/>
    <s v="HPM costs &amp; RSSH - Section 2, In country distribution costs  (7.4),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H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81"/>
    <x v="7"/>
    <x v="27"/>
    <x v="32"/>
    <x v="5"/>
    <m/>
    <m/>
    <m/>
    <s v="HPM costs &amp; RSSH - Section 1, Quality assurance and quality control costs (QA/QC) (7.5) AND Section 2, In-country QA/QC costs (7.5),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H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82"/>
    <x v="7"/>
    <x v="27"/>
    <x v="32"/>
    <x v="6"/>
    <m/>
    <m/>
    <m/>
    <s v="HPM costs &amp; RSSH - Section 1, PSM Customs Clearance (7.6),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H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83"/>
    <x v="7"/>
    <x v="27"/>
    <x v="32"/>
    <x v="7"/>
    <m/>
    <m/>
    <m/>
    <s v="HPM costs &amp; RSSH - Section 2, Other procurement and supply management costs (7.7), (take the total budget per quarter for Category = &quot;RDTs for HIV&quot; and multiply it by the % in HIV-Other HPs Section 2 D97), ADD ((take the total budget per quarter for Category = &quot;RDTs for STIs, OIs &amp; hepatitis&quot; PLUS Category = &quot;RDTs for TB for HIV program&quot;) and multiply it by the % in HIV-Other HPs Section 2 E97); MULTIPLY the result by the % in HIV-Other HPs Section 2 H97;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6"/>
    <x v="2"/>
  </r>
  <r>
    <n v="984"/>
    <x v="7"/>
    <x v="25"/>
    <x v="48"/>
    <x v="11"/>
    <m/>
    <m/>
    <m/>
    <s v="HIV-Other HPs Section 2,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F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985"/>
    <x v="7"/>
    <x v="25"/>
    <x v="34"/>
    <x v="1"/>
    <m/>
    <m/>
    <m/>
    <s v="HPM costs &amp; RSSH - Section 1, Procurement agent and handling fees (7.1),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F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986"/>
    <x v="7"/>
    <x v="25"/>
    <x v="34"/>
    <x v="2"/>
    <m/>
    <m/>
    <m/>
    <s v="HPM costs &amp; RSSH - Section 1, Freight and insurance costs (Health products) (7.2),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F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987"/>
    <x v="7"/>
    <x v="25"/>
    <x v="34"/>
    <x v="3"/>
    <m/>
    <m/>
    <m/>
    <s v="HPM costs &amp; RSSH - Section 2, Warehouse and storage costs (7.3),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F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988"/>
    <x v="7"/>
    <x v="25"/>
    <x v="34"/>
    <x v="4"/>
    <m/>
    <m/>
    <m/>
    <s v="HPM costs &amp; RSSH - Section 2, In country distribution costs  (7.4),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F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989"/>
    <x v="7"/>
    <x v="25"/>
    <x v="34"/>
    <x v="5"/>
    <m/>
    <m/>
    <m/>
    <s v="HPM costs &amp; RSSH - Section 1, Quality assurance and quality control costs (QA/QC) (7.5) AND Section 2, In-country QA/QC costs (7.5),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F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990"/>
    <x v="7"/>
    <x v="25"/>
    <x v="34"/>
    <x v="6"/>
    <m/>
    <m/>
    <m/>
    <s v="HPM costs &amp; RSSH - Section 1, PSM Customs Clearance (7.6),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F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991"/>
    <x v="7"/>
    <x v="25"/>
    <x v="34"/>
    <x v="7"/>
    <m/>
    <m/>
    <m/>
    <s v="HPM costs &amp; RSSH - Section 2, Other procurement and supply management costs (7.7),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F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992"/>
    <x v="7"/>
    <x v="26"/>
    <x v="48"/>
    <x v="11"/>
    <m/>
    <m/>
    <m/>
    <s v="HIV-Other HPs Section 2,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G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993"/>
    <x v="7"/>
    <x v="26"/>
    <x v="34"/>
    <x v="1"/>
    <m/>
    <m/>
    <m/>
    <s v="HPM costs &amp; RSSH - Section 1, Procurement agent and handling fees (7.1),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G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994"/>
    <x v="7"/>
    <x v="26"/>
    <x v="34"/>
    <x v="2"/>
    <m/>
    <m/>
    <m/>
    <s v="HPM costs &amp; RSSH - Section 1, Freight and insurance costs (Health products) (7.2),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G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995"/>
    <x v="7"/>
    <x v="26"/>
    <x v="34"/>
    <x v="3"/>
    <m/>
    <m/>
    <m/>
    <s v="HPM costs &amp; RSSH - Section 2, Warehouse and storage costs (7.3),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G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996"/>
    <x v="7"/>
    <x v="26"/>
    <x v="34"/>
    <x v="4"/>
    <m/>
    <m/>
    <m/>
    <s v="HPM costs &amp; RSSH - Section 2, In country distribution costs  (7.4),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G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997"/>
    <x v="7"/>
    <x v="26"/>
    <x v="34"/>
    <x v="5"/>
    <m/>
    <m/>
    <m/>
    <s v="HPM costs &amp; RSSH - Section 1, Quality assurance and quality control costs (QA/QC) (7.5) AND Section 2, In-country QA/QC costs (7.5),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G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998"/>
    <x v="7"/>
    <x v="26"/>
    <x v="34"/>
    <x v="6"/>
    <m/>
    <m/>
    <m/>
    <s v="HPM costs &amp; RSSH - Section 1, PSM Customs Clearance (7.6),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G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999"/>
    <x v="7"/>
    <x v="26"/>
    <x v="34"/>
    <x v="7"/>
    <m/>
    <m/>
    <m/>
    <s v="HPM costs &amp; RSSH - Section 2, Other procurement and supply management costs (7.7),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G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1000"/>
    <x v="7"/>
    <x v="27"/>
    <x v="48"/>
    <x v="11"/>
    <m/>
    <m/>
    <m/>
    <s v="HIV-Other HPs Section 2,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H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1001"/>
    <x v="7"/>
    <x v="27"/>
    <x v="34"/>
    <x v="1"/>
    <m/>
    <m/>
    <m/>
    <s v="HPM costs &amp; RSSH - Section 1, Procurement agent and handling fees (7.1),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H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1002"/>
    <x v="7"/>
    <x v="27"/>
    <x v="34"/>
    <x v="2"/>
    <m/>
    <m/>
    <m/>
    <s v="HPM costs &amp; RSSH - Section 1, Freight and insurance costs (Health products) (7.2),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H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1003"/>
    <x v="7"/>
    <x v="27"/>
    <x v="34"/>
    <x v="3"/>
    <m/>
    <m/>
    <m/>
    <s v="HPM costs &amp; RSSH - Section 2, Warehouse and storage costs (7.3),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H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1004"/>
    <x v="7"/>
    <x v="27"/>
    <x v="34"/>
    <x v="4"/>
    <m/>
    <m/>
    <m/>
    <s v="HPM costs &amp; RSSH - Section 2, In country distribution costs  (7.4),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H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1005"/>
    <x v="7"/>
    <x v="27"/>
    <x v="34"/>
    <x v="5"/>
    <m/>
    <m/>
    <m/>
    <s v="HPM costs &amp; RSSH - Section 1, Quality assurance and quality control costs (QA/QC) (7.5) AND Section 2, In-country QA/QC costs (7.5),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H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1006"/>
    <x v="7"/>
    <x v="27"/>
    <x v="34"/>
    <x v="6"/>
    <m/>
    <m/>
    <m/>
    <s v="HPM costs &amp; RSSH - Section 1, PSM Customs Clearance (7.6),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H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1007"/>
    <x v="7"/>
    <x v="27"/>
    <x v="34"/>
    <x v="7"/>
    <m/>
    <m/>
    <m/>
    <s v="HPM costs &amp; RSSH - Section 2, Other procurement and supply management costs (7.7), (take the total budget per quarter for Category = &quot;RDTs for HIV&quot; and multiply it by the % in HIV-Other HPs Section 2 D96), ADD ((take the total budget per quarter for Category = &quot;RDTs for STIs, OIs &amp; hepatitis&quot; PLUS Category = &quot;RDTs for TB for HIV program&quot;) and multiply it by the % in HIV-Other HPs Section 2 E96); MULTIPLY the result by the % in HIV-Other HPs Section 2 H96;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7"/>
    <x v="2"/>
  </r>
  <r>
    <n v="1008"/>
    <x v="7"/>
    <x v="25"/>
    <x v="49"/>
    <x v="11"/>
    <m/>
    <m/>
    <m/>
    <s v="HIV-Other HPs Section 2, (take the total budget per quarter for Category = &quot;RDTs for HIV&quot; and multiply it by the % in HIV-Other HPs Section 2 D98), ADD ((take the total budget per quarter for Category = &quot;RDTs for STIs, OIs &amp; hepatitis&quot; PLUS Category = &quot;RDTs for TB for HIV program&quot;) and multiply it by the % in HIV-Other HPs Section 2 E98); MULTIPLY the result by the % in HIV-Other HPs Section 2 F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09"/>
    <x v="7"/>
    <x v="25"/>
    <x v="36"/>
    <x v="1"/>
    <m/>
    <m/>
    <m/>
    <s v="HPM costs &amp; RSSH - Section 1, Procurement agent and handling fees (7.1), (take the total budget per quarter for Category = &quot;RDTs for HIV&quot; and multiply it by the % in HIV-Other HPs Section 2 D98), ADD ((take the total budget per quarter for Category = &quot;RDTs for STIs, OIs &amp; hepatitis&quot; PLUS Category = &quot;RDTs for TB for HIV program&quot;) and multiply it by the % in HIV-Other HPs Section 2 E98); MULTIPLY the result by the % in HIV-Other HPs Section 2 F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10"/>
    <x v="7"/>
    <x v="25"/>
    <x v="36"/>
    <x v="2"/>
    <m/>
    <m/>
    <m/>
    <s v="HPM costs &amp; RSSH - Section 1, Freight and insurance costs (Health products) (7.2),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F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11"/>
    <x v="7"/>
    <x v="25"/>
    <x v="36"/>
    <x v="3"/>
    <m/>
    <m/>
    <m/>
    <s v="HPM costs &amp; RSSH - Section 2, Warehouse and storage costs (7.3), (take the total budget per quarter for Category = &quot;RDTs for HIV&quot; and multiply it by the % in HIV-Other HPs Section 2 D98), ADD ((take the total budget per quarter for Category = &quot;RDTs for STIs, OIs &amp; hepatitis&quot; PLUS Category = &quot;RDTs for TB for HIV program&quot;) and multiply it by the % in HIV-Other HPs Section 2 E98); MULTIPLY the result by the % in HIV-Other HPs Section 2 F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12"/>
    <x v="7"/>
    <x v="25"/>
    <x v="36"/>
    <x v="4"/>
    <m/>
    <m/>
    <m/>
    <s v="HPM costs &amp; RSSH - Section 2, In country distribution costs  (7.4), (take the total budget per quarter for Category = &quot;RDTs for HIV&quot; and multiply it by the % in HIV-Other HPs Section 2 D98), ADD ((take the total budget per quarter for Category = &quot;RDTs for STIs, OIs &amp; hepatitis&quot; PLUS Category = &quot;RDTs for TB for HIV program&quot;) and multiply it by the % in HIV-Other HPs Section 2 E98); MULTIPLY the result by the % in HIV-Other HPs Section 2 F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13"/>
    <x v="7"/>
    <x v="25"/>
    <x v="36"/>
    <x v="5"/>
    <m/>
    <m/>
    <m/>
    <s v="HPM costs &amp; RSSH - Section 1, Quality assurance and quality control costs (QA/QC) (7.5) AND Section 2, In-country QA/QC costs (7.5), (take the total budget per quarter for Category = &quot;RDTs for HIV&quot; and multiply it by the % in HIV-Other HPs Section 2 D98), ADD ((take the total budget per quarter for Category = &quot;RDTs for STIs, OIs &amp; hepatitis&quot; PLUS Category = &quot;RDTs for TB for HIV program&quot;) and multiply it by the % in HIV-Other HPs Section 2 E98); MULTIPLY the result by the % in HIV-Other HPs Section 2 F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14"/>
    <x v="7"/>
    <x v="25"/>
    <x v="36"/>
    <x v="6"/>
    <m/>
    <m/>
    <m/>
    <s v="HPM costs &amp; RSSH - Section 1, PSM Customs Clearance (7.6), (take the total budget per quarter for Category = &quot;RDTs for HIV&quot; and multiply it by the % in HIV-Other HPs Section 2 D98), ADD ((take the total budget per quarter for Category = &quot;RDTs for STIs, OIs &amp; hepatitis&quot; PLUS Category = &quot;RDTs for TB for HIV program&quot;) and multiply it by the % in HIV-Other HPs Section 2 E98); MULTIPLY the result by the % in HIV-Other HPs Section 2 F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15"/>
    <x v="7"/>
    <x v="25"/>
    <x v="36"/>
    <x v="7"/>
    <m/>
    <m/>
    <m/>
    <s v="HPM costs &amp; RSSH - Section 2, Other procurement and supply management costs (7.7), (take the total budget per quarter for Category = &quot;RDTs for HIV&quot; and multiply it by the % in HIV-Other HPs Section 2 D98), ADD ((take the total budget per quarter for Category = &quot;RDTs for STIs, OIs &amp; hepatitis&quot; PLUS Category = &quot;RDTs for TB for HIV program&quot;) and multiply it by the % in HIV-Other HPs Section 2 E98); MULTIPLY the result by the % in HIV-Other HPs Section 2 F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16"/>
    <x v="7"/>
    <x v="26"/>
    <x v="49"/>
    <x v="11"/>
    <m/>
    <m/>
    <m/>
    <s v="HIV-Other HPs Section 2, (take the total budget per quarter for Category = &quot;RDTs for HIV&quot; and multiply it by the % in HIV-Other HPs Section 2 D98), ADD ((take the total budget per quarter for Category = &quot;RDTs for STIs, OIs &amp; hepatitis&quot; PLUS Category = &quot;RDTs for TB for HIV program&quot;) and multiply it by the % in HIV-Other HPs Section 2 E98); MULTIPLY the result by the % in HIV-Other HPs Section 2 G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17"/>
    <x v="7"/>
    <x v="26"/>
    <x v="36"/>
    <x v="1"/>
    <m/>
    <m/>
    <m/>
    <s v="HPM costs &amp; RSSH - Section 1, Procurement agent and handling fees (7.1), (take the total budget per quarter for Category = &quot;RDTs for HIV&quot; and multiply it by the % in HIV-Other HPs Section 2 D98), ADD ((take the total budget per quarter for Category = &quot;RDTs for STIs, OIs &amp; hepatitis&quot; PLUS Category = &quot;RDTs for TB for HIV program&quot;) and multiply it by the % in HIV-Other HPs Section 2 E98); MULTIPLY the result by the % in HIV-Other HPs Section 2 G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18"/>
    <x v="7"/>
    <x v="26"/>
    <x v="36"/>
    <x v="2"/>
    <m/>
    <m/>
    <m/>
    <s v="HPM costs &amp; RSSH - Section 1, Freight and insurance costs (Health products) (7.2),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G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19"/>
    <x v="7"/>
    <x v="26"/>
    <x v="36"/>
    <x v="3"/>
    <m/>
    <m/>
    <m/>
    <s v="HPM costs &amp; RSSH - Section 2, Warehouse and storage costs (7.3), (take the total budget per quarter for Category = &quot;RDTs for HIV&quot; and multiply it by the % in HIV-Other HPs Section 2 D98), ADD ((take the total budget per quarter for Category = &quot;RDTs for STIs, OIs &amp; hepatitis&quot; PLUS Category = &quot;RDTs for TB for HIV program&quot;) and multiply it by the % in HIV-Other HPs Section 2 E98); MULTIPLY the result by the % in HIV-Other HPs Section 2 G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20"/>
    <x v="7"/>
    <x v="26"/>
    <x v="36"/>
    <x v="4"/>
    <m/>
    <m/>
    <m/>
    <s v="HPM costs &amp; RSSH - Section 2, In country distribution costs  (7.4), (take the total budget per quarter for Category = &quot;RDTs for HIV&quot; and multiply it by the % in HIV-Other HPs Section 2 D98), ADD ((take the total budget per quarter for Category = &quot;RDTs for STIs, OIs &amp; hepatitis&quot; PLUS Category = &quot;RDTs for TB for HIV program&quot;) and multiply it by the % in HIV-Other HPs Section 2 E98); MULTIPLY the result by the % in HIV-Other HPs Section 2 G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21"/>
    <x v="7"/>
    <x v="26"/>
    <x v="36"/>
    <x v="5"/>
    <m/>
    <m/>
    <m/>
    <s v="HPM costs &amp; RSSH - Section 1, Quality assurance and quality control costs (QA/QC) (7.5) AND Section 2, In-country QA/QC costs (7.5), (take the total budget per quarter for Category = &quot;RDTs for HIV&quot; and multiply it by the % in HIV-Other HPs Section 2 D98), ADD ((take the total budget per quarter for Category = &quot;RDTs for STIs, OIs &amp; hepatitis&quot; PLUS Category = &quot;RDTs for TB for HIV program&quot;) and multiply it by the % in HIV-Other HPs Section 2 E98); MULTIPLY the result by the % in HIV-Other HPs Section 2 G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22"/>
    <x v="7"/>
    <x v="26"/>
    <x v="36"/>
    <x v="6"/>
    <m/>
    <m/>
    <m/>
    <s v="HPM costs &amp; RSSH - Section 1, PSM Customs Clearance (7.6), (take the total budget per quarter for Category = &quot;RDTs for HIV&quot; and multiply it by the % in HIV-Other HPs Section 2 D98), ADD ((take the total budget per quarter for Category = &quot;RDTs for STIs, OIs &amp; hepatitis&quot; PLUS Category = &quot;RDTs for TB for HIV program&quot;) and multiply it by the % in HIV-Other HPs Section 2 E98); MULTIPLY the result by the % in HIV-Other HPs Section 2 G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23"/>
    <x v="7"/>
    <x v="26"/>
    <x v="36"/>
    <x v="7"/>
    <m/>
    <m/>
    <m/>
    <s v="HPM costs &amp; RSSH - Section 2, Other procurement and supply management costs (7.7), (take the total budget per quarter for Category = &quot;RDTs for HIV&quot; and multiply it by the % in HIV-Other HPs Section 2 D98), ADD ((take the total budget per quarter for Category = &quot;RDTs for STIs, OIs &amp; hepatitis&quot; PLUS Category = &quot;RDTs for TB for HIV program&quot;) and multiply it by the % in HIV-Other HPs Section 2 E98); MULTIPLY the result by the % in HIV-Other HPs Section 2 G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24"/>
    <x v="7"/>
    <x v="27"/>
    <x v="49"/>
    <x v="11"/>
    <m/>
    <m/>
    <m/>
    <s v="HIV-Other HPs Section 2, (take the total budget per quarter for Category = &quot;RDTs for HIV&quot; and multiply it by the % in HIV-Other HPs Section 2 D98), ADD ((take the total budget per quarter for Category = &quot;RDTs for STIs, OIs &amp; hepatitis&quot; PLUS Category = &quot;RDTs for TB for HIV program&quot;) and multiply it by the % in HIV-Other HPs Section 2 E98); MULTIPLY the result by the % in HIV-Other HPs Section 2 H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25"/>
    <x v="7"/>
    <x v="27"/>
    <x v="36"/>
    <x v="1"/>
    <m/>
    <m/>
    <m/>
    <s v="HPM costs &amp; RSSH - Section 1, Procurement agent and handling fees (7.1), (take the total budget per quarter for Category = &quot;RDTs for HIV&quot; and multiply it by the % in HIV-Other HPs Section 2 D98), ADD ((take the total budget per quarter for Category = &quot;RDTs for STIs, OIs &amp; hepatitis&quot; PLUS Category = &quot;RDTs for TB for HIV program&quot;) and multiply it by the % in HIV-Other HPs Section 2 E98); MULTIPLY the result by the % in HIV-Other HPs Section 2 H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26"/>
    <x v="7"/>
    <x v="27"/>
    <x v="36"/>
    <x v="2"/>
    <m/>
    <m/>
    <m/>
    <s v="HPM costs &amp; RSSH - Section 1, Freight and insurance costs (Health products) (7.2), (take the total budget per quarter for Category = &quot;RDTs for HIV&quot; and multiply it by the % in HIV-Other HPs Section 2 D92), ADD ((take the total budget per quarter for Category = &quot;RDTs for STIs, OIs &amp; hepatitis&quot; PLUS Category = &quot;RDTs for TB for HIV program&quot;) and multiply it by the % in HIV-Other HPs Section 2 E92); MULTIPLY the result by the % in HIV-Other HPs Section 2 H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27"/>
    <x v="7"/>
    <x v="27"/>
    <x v="36"/>
    <x v="3"/>
    <m/>
    <m/>
    <m/>
    <s v="HPM costs &amp; RSSH - Section 2, Warehouse and storage costs (7.3), (take the total budget per quarter for Category = &quot;RDTs for HIV&quot; and multiply it by the % in HIV-Other HPs Section 2 D98), ADD ((take the total budget per quarter for Category = &quot;RDTs for STIs, OIs &amp; hepatitis&quot; PLUS Category = &quot;RDTs for TB for HIV program&quot;) and multiply it by the % in HIV-Other HPs Section 2 E98); MULTIPLY the result by the % in HIV-Other HPs Section 2 H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28"/>
    <x v="7"/>
    <x v="27"/>
    <x v="36"/>
    <x v="4"/>
    <m/>
    <m/>
    <m/>
    <s v="HPM costs &amp; RSSH - Section 2, In country distribution costs  (7.4), (take the total budget per quarter for Category = &quot;RDTs for HIV&quot; and multiply it by the % in HIV-Other HPs Section 2 D98), ADD ((take the total budget per quarter for Category = &quot;RDTs for STIs, OIs &amp; hepatitis&quot; PLUS Category = &quot;RDTs for TB for HIV program&quot;) and multiply it by the % in HIV-Other HPs Section 2 E98); MULTIPLY the result by the % in HIV-Other HPs Section 2 H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29"/>
    <x v="7"/>
    <x v="27"/>
    <x v="36"/>
    <x v="5"/>
    <m/>
    <m/>
    <m/>
    <s v="HPM costs &amp; RSSH - Section 1, Quality assurance and quality control costs (QA/QC) (7.5) AND Section 2, In-country QA/QC costs (7.5), (take the total budget per quarter for Category = &quot;RDTs for HIV&quot; and multiply it by the % in HIV-Other HPs Section 2 D98), ADD ((take the total budget per quarter for Category = &quot;RDTs for STIs, OIs &amp; hepatitis&quot; PLUS Category = &quot;RDTs for TB for HIV program&quot;) and multiply it by the % in HIV-Other HPs Section 2 E98); MULTIPLY the result by the % in HIV-Other HPs Section 2 H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30"/>
    <x v="7"/>
    <x v="27"/>
    <x v="36"/>
    <x v="6"/>
    <m/>
    <m/>
    <m/>
    <s v="HPM costs &amp; RSSH - Section 1, PSM Customs Clearance (7.6), (take the total budget per quarter for Category = &quot;RDTs for HIV&quot; and multiply it by the % in HIV-Other HPs Section 2 D98), ADD ((take the total budget per quarter for Category = &quot;RDTs for STIs, OIs &amp; hepatitis&quot; PLUS Category = &quot;RDTs for TB for HIV program&quot;) and multiply it by the % in HIV-Other HPs Section 2 E98); MULTIPLY the result by the % in HIV-Other HPs Section 2 H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31"/>
    <x v="7"/>
    <x v="27"/>
    <x v="36"/>
    <x v="7"/>
    <m/>
    <m/>
    <m/>
    <s v="HPM costs &amp; RSSH - Section 2, Other procurement and supply management costs (7.7), (take the total budget per quarter for Category = &quot;RDTs for HIV&quot; and multiply it by the % in HIV-Other HPs Section 2 D98), ADD ((take the total budget per quarter for Category = &quot;RDTs for STIs, OIs &amp; hepatitis&quot; PLUS Category = &quot;RDTs for TB for HIV program&quot;) and multiply it by the % in HIV-Other HPs Section 2 E98); MULTIPLY the result by the % in HIV-Other HPs Section 2 H98;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32"/>
    <x v="7"/>
    <x v="25"/>
    <x v="50"/>
    <x v="11"/>
    <m/>
    <m/>
    <m/>
    <s v="HIV-Other HPs Section 2,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F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8"/>
    <x v="2"/>
  </r>
  <r>
    <n v="1033"/>
    <x v="7"/>
    <x v="25"/>
    <x v="51"/>
    <x v="1"/>
    <m/>
    <m/>
    <m/>
    <s v="HPM costs &amp; RSSH - Section 1, Procurement agent and handling fees (7.1),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F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1"/>
    <x v="2"/>
  </r>
  <r>
    <n v="1034"/>
    <x v="7"/>
    <x v="25"/>
    <x v="51"/>
    <x v="2"/>
    <m/>
    <m/>
    <m/>
    <s v="HPM costs &amp; RSSH - Section 1, Freight and insurance costs (Health products) (7.2),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F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1"/>
    <x v="2"/>
  </r>
  <r>
    <n v="1035"/>
    <x v="7"/>
    <x v="25"/>
    <x v="51"/>
    <x v="3"/>
    <m/>
    <m/>
    <m/>
    <s v="HPM costs &amp; RSSH - Section 2, Warehouse and storage costs (7.3),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F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1"/>
    <x v="2"/>
  </r>
  <r>
    <n v="1036"/>
    <x v="7"/>
    <x v="25"/>
    <x v="51"/>
    <x v="4"/>
    <m/>
    <m/>
    <m/>
    <s v="HPM costs &amp; RSSH - Section 2, In country distribution costs  (7.4),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F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1"/>
    <x v="2"/>
  </r>
  <r>
    <n v="1037"/>
    <x v="7"/>
    <x v="25"/>
    <x v="51"/>
    <x v="5"/>
    <m/>
    <m/>
    <m/>
    <s v="HPM costs &amp; RSSH - Section 1, Quality assurance and quality control costs (QA/QC) (7.5) AND Section 2, In-country QA/QC costs (7.5),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F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1"/>
    <x v="2"/>
  </r>
  <r>
    <n v="1038"/>
    <x v="7"/>
    <x v="25"/>
    <x v="51"/>
    <x v="6"/>
    <m/>
    <m/>
    <m/>
    <s v="HPM costs &amp; RSSH - Section 1, PSM Customs Clearance (7.6),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F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1"/>
    <x v="2"/>
  </r>
  <r>
    <n v="1039"/>
    <x v="7"/>
    <x v="25"/>
    <x v="51"/>
    <x v="7"/>
    <m/>
    <m/>
    <m/>
    <s v="HPM costs &amp; RSSH - Section 2, Other procurement and supply management costs (7.7),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F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1"/>
    <x v="2"/>
  </r>
  <r>
    <n v="1040"/>
    <x v="7"/>
    <x v="26"/>
    <x v="50"/>
    <x v="11"/>
    <m/>
    <m/>
    <m/>
    <s v="HIV-Other HPs Section 2,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G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1"/>
    <x v="2"/>
  </r>
  <r>
    <n v="1041"/>
    <x v="7"/>
    <x v="26"/>
    <x v="51"/>
    <x v="1"/>
    <m/>
    <m/>
    <m/>
    <s v="HPM costs &amp; RSSH - Section 1, Procurement agent and handling fees (7.1),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G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1"/>
    <x v="2"/>
  </r>
  <r>
    <n v="1042"/>
    <x v="7"/>
    <x v="26"/>
    <x v="51"/>
    <x v="2"/>
    <m/>
    <m/>
    <m/>
    <s v="HPM costs &amp; RSSH - Section 1, Freight and insurance costs (Health products) (7.2),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G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1"/>
    <x v="2"/>
  </r>
  <r>
    <n v="1043"/>
    <x v="7"/>
    <x v="26"/>
    <x v="51"/>
    <x v="3"/>
    <m/>
    <m/>
    <m/>
    <s v="HPM costs &amp; RSSH - Section 2, Warehouse and storage costs (7.3),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G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1"/>
    <x v="2"/>
  </r>
  <r>
    <n v="1044"/>
    <x v="7"/>
    <x v="26"/>
    <x v="51"/>
    <x v="4"/>
    <m/>
    <m/>
    <m/>
    <s v="HPM costs &amp; RSSH - Section 2, In country distribution costs  (7.4),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G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1"/>
    <x v="2"/>
  </r>
  <r>
    <n v="1045"/>
    <x v="7"/>
    <x v="26"/>
    <x v="51"/>
    <x v="5"/>
    <m/>
    <m/>
    <m/>
    <s v="HPM costs &amp; RSSH - Section 1, Quality assurance and quality control costs (QA/QC) (7.5) AND Section 2, In-country QA/QC costs (7.5),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G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1"/>
    <x v="2"/>
  </r>
  <r>
    <n v="1046"/>
    <x v="7"/>
    <x v="26"/>
    <x v="51"/>
    <x v="6"/>
    <m/>
    <m/>
    <m/>
    <s v="HPM costs &amp; RSSH - Section 1, PSM Customs Clearance (7.6),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G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1"/>
    <x v="2"/>
  </r>
  <r>
    <n v="1047"/>
    <x v="7"/>
    <x v="26"/>
    <x v="51"/>
    <x v="7"/>
    <m/>
    <m/>
    <m/>
    <s v="HPM costs &amp; RSSH - Section 2, Other procurement and supply management costs (7.7),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G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1"/>
    <x v="2"/>
  </r>
  <r>
    <n v="1048"/>
    <x v="7"/>
    <x v="27"/>
    <x v="50"/>
    <x v="11"/>
    <m/>
    <m/>
    <m/>
    <s v="HIV-Other HPs Section 2,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H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1"/>
    <x v="2"/>
  </r>
  <r>
    <n v="1049"/>
    <x v="7"/>
    <x v="27"/>
    <x v="51"/>
    <x v="1"/>
    <m/>
    <m/>
    <m/>
    <s v="HPM costs &amp; RSSH - Section 1, Procurement agent and handling fees (7.1),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H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1"/>
    <x v="2"/>
  </r>
  <r>
    <n v="1050"/>
    <x v="7"/>
    <x v="27"/>
    <x v="51"/>
    <x v="2"/>
    <m/>
    <m/>
    <m/>
    <s v="HPM costs &amp; RSSH - Section 1, Freight and insurance costs (Health products) (7.2),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H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1"/>
    <x v="2"/>
  </r>
  <r>
    <n v="1051"/>
    <x v="7"/>
    <x v="27"/>
    <x v="51"/>
    <x v="3"/>
    <m/>
    <m/>
    <m/>
    <s v="HPM costs &amp; RSSH - Section 2, Warehouse and storage costs (7.3),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H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1"/>
    <x v="2"/>
  </r>
  <r>
    <n v="1052"/>
    <x v="7"/>
    <x v="27"/>
    <x v="51"/>
    <x v="4"/>
    <m/>
    <m/>
    <m/>
    <s v="HPM costs &amp; RSSH - Section 2, In country distribution costs  (7.4),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H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1"/>
    <x v="2"/>
  </r>
  <r>
    <n v="1053"/>
    <x v="7"/>
    <x v="27"/>
    <x v="51"/>
    <x v="5"/>
    <m/>
    <m/>
    <m/>
    <s v="HPM costs &amp; RSSH - Section 1, Quality assurance and quality control costs (QA/QC) (7.5) AND Section 2, In-country QA/QC costs (7.5),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H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1"/>
    <x v="2"/>
  </r>
  <r>
    <n v="1054"/>
    <x v="7"/>
    <x v="27"/>
    <x v="51"/>
    <x v="6"/>
    <m/>
    <m/>
    <m/>
    <s v="HPM costs &amp; RSSH - Section 1, PSM Customs Clearance (7.6),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H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1"/>
    <x v="2"/>
  </r>
  <r>
    <n v="1055"/>
    <x v="7"/>
    <x v="27"/>
    <x v="51"/>
    <x v="7"/>
    <m/>
    <m/>
    <m/>
    <s v="HPM costs &amp; RSSH - Section 2, Other procurement and supply management costs (7.7), (take the total budget per quarter for Category = &quot;RDTs for HIV&quot; and multiply it by the % in HIV-Other HPs Section 2 D99), ADD ((take the total budget per quarter for Category = &quot;RDTs for STIs, OIs &amp; hepatitis&quot; PLUS Category = &quot;RDTs for TB for HIV program&quot;) and multiply it by the % in HIV-Other HPs Section 2 E99); MULTIPLY the result by the % in HIV-Other HPs Section 2 H99;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11"/>
    <x v="2"/>
  </r>
  <r>
    <n v="1056"/>
    <x v="7"/>
    <x v="25"/>
    <x v="52"/>
    <x v="11"/>
    <m/>
    <m/>
    <m/>
    <s v="HIV-Other HPs Section 2,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F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57"/>
    <x v="7"/>
    <x v="25"/>
    <x v="38"/>
    <x v="1"/>
    <m/>
    <m/>
    <m/>
    <s v="HPM costs &amp; RSSH - Section 1, Procurement agent and handling fees (7.1),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F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58"/>
    <x v="7"/>
    <x v="25"/>
    <x v="38"/>
    <x v="2"/>
    <m/>
    <m/>
    <m/>
    <s v="HPM costs &amp; RSSH - Section 1, Freight and insurance costs (Health products) (7.2),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F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59"/>
    <x v="7"/>
    <x v="25"/>
    <x v="38"/>
    <x v="3"/>
    <m/>
    <m/>
    <m/>
    <s v="HPM costs &amp; RSSH - Section 2, Warehouse and storage costs (7.3),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F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60"/>
    <x v="7"/>
    <x v="25"/>
    <x v="38"/>
    <x v="4"/>
    <m/>
    <m/>
    <m/>
    <s v="HPM costs &amp; RSSH - Section 2, In country distribution costs  (7.4),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F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61"/>
    <x v="7"/>
    <x v="25"/>
    <x v="38"/>
    <x v="5"/>
    <m/>
    <m/>
    <m/>
    <s v="HPM costs &amp; RSSH - Section 1, Quality assurance and quality control costs (QA/QC) (7.5) AND Section 2, In-country QA/QC costs (7.5),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F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62"/>
    <x v="7"/>
    <x v="25"/>
    <x v="38"/>
    <x v="6"/>
    <m/>
    <m/>
    <m/>
    <s v="HPM costs &amp; RSSH - Section 1, PSM Customs Clearance (7.6),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F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63"/>
    <x v="7"/>
    <x v="25"/>
    <x v="38"/>
    <x v="7"/>
    <m/>
    <m/>
    <m/>
    <s v="HPM costs &amp; RSSH - Section 2, Other procurement and supply management costs (7.7),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F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64"/>
    <x v="7"/>
    <x v="26"/>
    <x v="52"/>
    <x v="11"/>
    <m/>
    <m/>
    <m/>
    <s v="HIV-Other HPs Section 2,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G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65"/>
    <x v="7"/>
    <x v="26"/>
    <x v="38"/>
    <x v="1"/>
    <m/>
    <m/>
    <m/>
    <s v="HPM costs &amp; RSSH - Section 1, Procurement agent and handling fees (7.1),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G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66"/>
    <x v="7"/>
    <x v="26"/>
    <x v="38"/>
    <x v="2"/>
    <m/>
    <m/>
    <m/>
    <s v="HPM costs &amp; RSSH - Section 1, Freight and insurance costs (Health products) (7.2),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G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67"/>
    <x v="7"/>
    <x v="26"/>
    <x v="38"/>
    <x v="3"/>
    <m/>
    <m/>
    <m/>
    <s v="HPM costs &amp; RSSH - Section 2, Warehouse and storage costs (7.3),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G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68"/>
    <x v="7"/>
    <x v="26"/>
    <x v="38"/>
    <x v="4"/>
    <m/>
    <m/>
    <m/>
    <s v="HPM costs &amp; RSSH - Section 2, In country distribution costs  (7.4),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G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69"/>
    <x v="7"/>
    <x v="26"/>
    <x v="38"/>
    <x v="5"/>
    <m/>
    <m/>
    <m/>
    <s v="HPM costs &amp; RSSH - Section 1, Quality assurance and quality control costs (QA/QC) (7.5) AND Section 2, In-country QA/QC costs (7.5),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G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70"/>
    <x v="7"/>
    <x v="26"/>
    <x v="38"/>
    <x v="6"/>
    <m/>
    <m/>
    <m/>
    <s v="HPM costs &amp; RSSH - Section 1, PSM Customs Clearance (7.6),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G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71"/>
    <x v="7"/>
    <x v="26"/>
    <x v="38"/>
    <x v="7"/>
    <m/>
    <m/>
    <m/>
    <s v="HPM costs &amp; RSSH - Section 2, Other procurement and supply management costs (7.7),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G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72"/>
    <x v="7"/>
    <x v="27"/>
    <x v="52"/>
    <x v="11"/>
    <m/>
    <m/>
    <m/>
    <s v="HIV-Other HPs Section 2,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H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73"/>
    <x v="7"/>
    <x v="27"/>
    <x v="38"/>
    <x v="1"/>
    <m/>
    <m/>
    <m/>
    <s v="HPM costs &amp; RSSH - Section 1, Procurement agent and handling fees (7.1),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H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74"/>
    <x v="7"/>
    <x v="27"/>
    <x v="38"/>
    <x v="2"/>
    <m/>
    <m/>
    <m/>
    <s v="HPM costs &amp; RSSH - Section 1, Freight and insurance costs (Health products) (7.2),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H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75"/>
    <x v="7"/>
    <x v="27"/>
    <x v="38"/>
    <x v="3"/>
    <m/>
    <m/>
    <m/>
    <s v="HPM costs &amp; RSSH - Section 2, Warehouse and storage costs (7.3),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H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76"/>
    <x v="7"/>
    <x v="27"/>
    <x v="38"/>
    <x v="4"/>
    <m/>
    <m/>
    <m/>
    <s v="HPM costs &amp; RSSH - Section 2, In country distribution costs  (7.4),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H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77"/>
    <x v="7"/>
    <x v="27"/>
    <x v="38"/>
    <x v="5"/>
    <m/>
    <m/>
    <m/>
    <s v="HPM costs &amp; RSSH - Section 1, Quality assurance and quality control costs (QA/QC) (7.5) AND Section 2, In-country QA/QC costs (7.5),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H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78"/>
    <x v="7"/>
    <x v="27"/>
    <x v="38"/>
    <x v="6"/>
    <m/>
    <m/>
    <m/>
    <s v="HPM costs &amp; RSSH - Section 1, PSM Customs Clearance (7.6),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H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79"/>
    <x v="7"/>
    <x v="27"/>
    <x v="38"/>
    <x v="7"/>
    <m/>
    <m/>
    <m/>
    <s v="HPM costs &amp; RSSH - Section 2, Other procurement and supply management costs (7.7), (take the total budget per quarter for Category = &quot;RDTs for HIV&quot; and multiply it by the % in HIV-Other HPs Section 2 D90), ADD ((take the total budget per quarter for Category = &quot;RDTs for STIs, OIs &amp; hepatitis&quot; PLUS Category = &quot;RDTs for TB for HIV program&quot;) and multiply it by the % in HIV-Other HPs Section 2 E90); MULTIPLY the result by the % in HIV-Other HPs Section 2 H90; from SETUP F23 determine the payment modality and apply the figure in G23 to establish in which quarter in the DB the budget should be reflected"/>
    <m/>
    <m/>
    <m/>
    <m/>
    <m/>
    <m/>
    <m/>
    <m/>
    <m/>
    <m/>
    <m/>
    <m/>
    <s v="-"/>
    <n v="0"/>
    <s v="-"/>
    <n v="0"/>
    <s v="-"/>
    <n v="0"/>
    <s v="-"/>
    <n v="0"/>
    <m/>
    <n v="0"/>
    <m/>
    <m/>
    <m/>
    <m/>
    <n v="0"/>
    <m/>
    <n v="0"/>
    <m/>
    <n v="0"/>
    <m/>
    <n v="0"/>
    <m/>
    <n v="0"/>
    <m/>
    <m/>
    <m/>
    <m/>
    <n v="0"/>
    <m/>
    <n v="0"/>
    <m/>
    <n v="0"/>
    <m/>
    <n v="0"/>
    <m/>
    <n v="0"/>
    <m/>
    <m/>
    <m/>
    <n v="0"/>
    <n v="0"/>
    <n v="0"/>
    <n v="0"/>
    <n v="0"/>
    <n v="0"/>
    <n v="0"/>
    <n v="0"/>
    <n v="0"/>
    <n v="0"/>
    <n v="0"/>
    <m/>
    <m/>
    <x v="9"/>
    <x v="2"/>
  </r>
  <r>
    <n v="1080"/>
    <x v="8"/>
    <x v="28"/>
    <x v="53"/>
    <x v="23"/>
    <m/>
    <m/>
    <m/>
    <s v="HIV-Pharmaceuticals Section 1 - Take the total budget per quarter for COST INPUT = &quot;4.1 Antiretroviral medicines&quot;, from the SETUP page determine the TYPE OF PAYMENT (F16) and quarter in which payment is made (G16)"/>
    <m/>
    <m/>
    <m/>
    <m/>
    <m/>
    <m/>
    <m/>
    <m/>
    <m/>
    <m/>
    <m/>
    <m/>
    <s v="-"/>
    <n v="0"/>
    <s v="-"/>
    <n v="0"/>
    <s v="-"/>
    <n v="0"/>
    <s v="-"/>
    <n v="0"/>
    <m/>
    <n v="0"/>
    <m/>
    <m/>
    <m/>
    <m/>
    <n v="0"/>
    <m/>
    <n v="0"/>
    <m/>
    <n v="0"/>
    <m/>
    <n v="0"/>
    <m/>
    <n v="0"/>
    <m/>
    <m/>
    <m/>
    <m/>
    <n v="0"/>
    <m/>
    <n v="0"/>
    <m/>
    <n v="0"/>
    <m/>
    <n v="0"/>
    <m/>
    <n v="0"/>
    <m/>
    <m/>
    <m/>
    <n v="0"/>
    <n v="0"/>
    <n v="0"/>
    <n v="0"/>
    <n v="0"/>
    <n v="0"/>
    <n v="0"/>
    <n v="0"/>
    <n v="0"/>
    <n v="0"/>
    <n v="0"/>
    <m/>
    <m/>
    <x v="0"/>
    <x v="2"/>
  </r>
  <r>
    <n v="1083"/>
    <x v="8"/>
    <x v="28"/>
    <x v="54"/>
    <x v="24"/>
    <m/>
    <m/>
    <m/>
    <s v="HIV-Equipment - Take the total budget per quarter for COST INPUT = &quot;6.1 CD4 analyser/accessories&quot;, from the SETUP page determine the TYPE OF PAYMENT (F19) and quarter in which payment is made (G19)"/>
    <m/>
    <m/>
    <m/>
    <m/>
    <m/>
    <m/>
    <m/>
    <m/>
    <m/>
    <m/>
    <m/>
    <m/>
    <s v="-"/>
    <n v="0"/>
    <s v="-"/>
    <n v="0"/>
    <s v="-"/>
    <n v="0"/>
    <s v="-"/>
    <n v="0"/>
    <m/>
    <n v="0"/>
    <m/>
    <m/>
    <m/>
    <m/>
    <n v="0"/>
    <m/>
    <n v="0"/>
    <m/>
    <n v="0"/>
    <m/>
    <n v="0"/>
    <m/>
    <n v="0"/>
    <m/>
    <m/>
    <m/>
    <m/>
    <n v="0"/>
    <m/>
    <n v="0"/>
    <m/>
    <n v="0"/>
    <m/>
    <n v="0"/>
    <m/>
    <n v="0"/>
    <m/>
    <m/>
    <m/>
    <n v="0"/>
    <n v="0"/>
    <n v="0"/>
    <n v="0"/>
    <n v="0"/>
    <n v="0"/>
    <n v="0"/>
    <n v="0"/>
    <n v="0"/>
    <n v="0"/>
    <n v="0"/>
    <m/>
    <m/>
    <x v="0"/>
    <x v="2"/>
  </r>
  <r>
    <n v="1084"/>
    <x v="8"/>
    <x v="28"/>
    <x v="55"/>
    <x v="25"/>
    <m/>
    <m/>
    <m/>
    <s v="HIV-Equipment - Take the total budget per quarter for COST INPUT = &quot;6.2 HIV Viral Load analyser/accessories&quot;, from the SETUP page determine the TYPE OF PAYMENT (F19) and quarter in which payment is made (G19)"/>
    <m/>
    <m/>
    <m/>
    <m/>
    <m/>
    <m/>
    <m/>
    <m/>
    <m/>
    <m/>
    <m/>
    <m/>
    <s v="-"/>
    <n v="0"/>
    <s v="-"/>
    <n v="0"/>
    <s v="-"/>
    <n v="0"/>
    <s v="-"/>
    <n v="0"/>
    <m/>
    <n v="0"/>
    <m/>
    <m/>
    <m/>
    <m/>
    <n v="0"/>
    <m/>
    <n v="0"/>
    <m/>
    <n v="0"/>
    <m/>
    <n v="0"/>
    <m/>
    <n v="0"/>
    <m/>
    <m/>
    <m/>
    <m/>
    <n v="0"/>
    <m/>
    <n v="0"/>
    <m/>
    <n v="0"/>
    <m/>
    <n v="0"/>
    <m/>
    <n v="0"/>
    <m/>
    <m/>
    <m/>
    <n v="0"/>
    <n v="0"/>
    <n v="0"/>
    <n v="0"/>
    <n v="0"/>
    <n v="0"/>
    <n v="0"/>
    <n v="0"/>
    <n v="0"/>
    <n v="0"/>
    <n v="0"/>
    <m/>
    <m/>
    <x v="0"/>
    <x v="2"/>
  </r>
  <r>
    <n v="1085"/>
    <x v="8"/>
    <x v="28"/>
    <x v="13"/>
    <x v="15"/>
    <m/>
    <m/>
    <m/>
    <s v="HIV-Equipment - Take the total budget per quarter for COST INPUT = &quot;6.4 TB Molecular test equipment&quot;, from the SETUP page determine the TYPE OF PAYMENT (F19) and quarter in which payment is made (G19)"/>
    <m/>
    <m/>
    <m/>
    <m/>
    <m/>
    <m/>
    <m/>
    <m/>
    <m/>
    <m/>
    <m/>
    <m/>
    <s v="-"/>
    <n v="0"/>
    <s v="-"/>
    <n v="0"/>
    <s v="-"/>
    <n v="0"/>
    <s v="-"/>
    <n v="0"/>
    <m/>
    <n v="0"/>
    <m/>
    <m/>
    <m/>
    <m/>
    <n v="0"/>
    <m/>
    <n v="0"/>
    <m/>
    <n v="0"/>
    <m/>
    <n v="0"/>
    <m/>
    <n v="0"/>
    <m/>
    <m/>
    <m/>
    <m/>
    <n v="0"/>
    <m/>
    <n v="0"/>
    <m/>
    <n v="0"/>
    <m/>
    <n v="0"/>
    <m/>
    <n v="0"/>
    <m/>
    <m/>
    <m/>
    <n v="0"/>
    <n v="0"/>
    <n v="0"/>
    <n v="0"/>
    <n v="0"/>
    <n v="0"/>
    <n v="0"/>
    <n v="0"/>
    <n v="0"/>
    <n v="0"/>
    <n v="0"/>
    <m/>
    <m/>
    <x v="0"/>
    <x v="2"/>
  </r>
  <r>
    <n v="1086"/>
    <x v="8"/>
    <x v="28"/>
    <x v="14"/>
    <x v="16"/>
    <m/>
    <m/>
    <m/>
    <s v="HIV-Equipment - Take the total budget per quarter for COST INPUT = &quot;6.5 Maintenance and service costs for health equipment&quot;, from the SETUP page determine the TYPE OF PAYMENT (F28) and quarter in which payment is made (G28)"/>
    <m/>
    <m/>
    <m/>
    <m/>
    <m/>
    <m/>
    <m/>
    <m/>
    <m/>
    <m/>
    <m/>
    <m/>
    <s v="-"/>
    <n v="0"/>
    <s v="-"/>
    <n v="0"/>
    <s v="-"/>
    <n v="0"/>
    <s v="-"/>
    <n v="0"/>
    <m/>
    <n v="0"/>
    <m/>
    <m/>
    <m/>
    <m/>
    <n v="0"/>
    <m/>
    <n v="0"/>
    <m/>
    <n v="0"/>
    <m/>
    <n v="0"/>
    <m/>
    <n v="0"/>
    <m/>
    <m/>
    <m/>
    <m/>
    <n v="0"/>
    <m/>
    <n v="0"/>
    <m/>
    <n v="0"/>
    <m/>
    <n v="0"/>
    <m/>
    <n v="0"/>
    <m/>
    <m/>
    <m/>
    <n v="0"/>
    <n v="0"/>
    <n v="0"/>
    <n v="0"/>
    <n v="0"/>
    <n v="0"/>
    <n v="0"/>
    <n v="0"/>
    <n v="0"/>
    <n v="0"/>
    <n v="0"/>
    <m/>
    <m/>
    <x v="0"/>
    <x v="2"/>
  </r>
  <r>
    <n v="1087"/>
    <x v="8"/>
    <x v="28"/>
    <x v="8"/>
    <x v="9"/>
    <m/>
    <m/>
    <m/>
    <s v="HIV-Equipment - Take the total budget per quarter for COST INPUT = &quot;6.6 Other health equipment&quot;, from the SETUP page determine the TYPE OF PAYMENT (F19) and quarter in which payment is made (G19)"/>
    <m/>
    <m/>
    <m/>
    <m/>
    <m/>
    <m/>
    <m/>
    <m/>
    <m/>
    <m/>
    <m/>
    <m/>
    <s v="-"/>
    <n v="0"/>
    <s v="-"/>
    <n v="0"/>
    <s v="-"/>
    <n v="0"/>
    <s v="-"/>
    <n v="0"/>
    <m/>
    <n v="0"/>
    <m/>
    <m/>
    <m/>
    <m/>
    <n v="0"/>
    <m/>
    <n v="0"/>
    <m/>
    <n v="0"/>
    <m/>
    <n v="0"/>
    <m/>
    <n v="0"/>
    <m/>
    <m/>
    <m/>
    <m/>
    <n v="0"/>
    <m/>
    <n v="0"/>
    <m/>
    <n v="0"/>
    <m/>
    <n v="0"/>
    <m/>
    <n v="0"/>
    <m/>
    <m/>
    <m/>
    <n v="0"/>
    <n v="0"/>
    <n v="0"/>
    <n v="0"/>
    <n v="0"/>
    <n v="0"/>
    <n v="0"/>
    <n v="0"/>
    <n v="0"/>
    <n v="0"/>
    <n v="0"/>
    <m/>
    <m/>
    <x v="0"/>
    <x v="2"/>
  </r>
  <r>
    <n v="1088"/>
    <x v="8"/>
    <x v="28"/>
    <x v="10"/>
    <x v="14"/>
    <m/>
    <m/>
    <m/>
    <s v="HIV-Other HPs - Section 3 AND Section 4, Take the total budget per quarter for COST INPUT = &quot;5.6 Laboratory reagents&quot;, from the SETUP page determine the TYPE OF PAYMENT (F25) and quarter in which payment is made (G25)"/>
    <m/>
    <m/>
    <m/>
    <m/>
    <m/>
    <m/>
    <m/>
    <m/>
    <m/>
    <m/>
    <m/>
    <m/>
    <s v="-"/>
    <n v="0"/>
    <s v="-"/>
    <n v="0"/>
    <s v="-"/>
    <n v="0"/>
    <s v="-"/>
    <n v="0"/>
    <m/>
    <n v="0"/>
    <m/>
    <m/>
    <m/>
    <m/>
    <n v="0"/>
    <m/>
    <n v="0"/>
    <m/>
    <n v="0"/>
    <m/>
    <n v="0"/>
    <m/>
    <n v="0"/>
    <m/>
    <m/>
    <m/>
    <m/>
    <n v="0"/>
    <m/>
    <n v="0"/>
    <m/>
    <n v="0"/>
    <m/>
    <n v="0"/>
    <m/>
    <n v="0"/>
    <m/>
    <m/>
    <m/>
    <n v="0"/>
    <n v="0"/>
    <n v="0"/>
    <n v="0"/>
    <n v="0"/>
    <n v="0"/>
    <n v="0"/>
    <n v="0"/>
    <n v="0"/>
    <n v="0"/>
    <n v="0"/>
    <m/>
    <m/>
    <x v="0"/>
    <x v="2"/>
  </r>
  <r>
    <n v="1089"/>
    <x v="8"/>
    <x v="28"/>
    <x v="9"/>
    <x v="13"/>
    <m/>
    <m/>
    <m/>
    <s v="HIV-Other HPs - Section 4, Take the total budget per quarter for COST INPUT = &quot;5.8 Other consumables&quot;, from the SETUP page determine the TYPE OF PAYMENT (F27) and quarter in which payment is made (G27)"/>
    <m/>
    <m/>
    <m/>
    <m/>
    <m/>
    <m/>
    <m/>
    <m/>
    <m/>
    <m/>
    <m/>
    <m/>
    <s v="-"/>
    <n v="0"/>
    <s v="-"/>
    <n v="0"/>
    <s v="-"/>
    <n v="0"/>
    <s v="-"/>
    <n v="0"/>
    <m/>
    <n v="0"/>
    <m/>
    <m/>
    <m/>
    <m/>
    <n v="0"/>
    <m/>
    <n v="0"/>
    <m/>
    <n v="0"/>
    <m/>
    <n v="0"/>
    <m/>
    <n v="0"/>
    <m/>
    <m/>
    <m/>
    <m/>
    <n v="0"/>
    <m/>
    <n v="0"/>
    <m/>
    <n v="0"/>
    <m/>
    <n v="0"/>
    <m/>
    <n v="0"/>
    <m/>
    <m/>
    <m/>
    <n v="0"/>
    <n v="0"/>
    <n v="0"/>
    <n v="0"/>
    <n v="0"/>
    <n v="0"/>
    <n v="0"/>
    <n v="0"/>
    <n v="0"/>
    <n v="0"/>
    <n v="0"/>
    <m/>
    <m/>
    <x v="0"/>
    <x v="2"/>
  </r>
  <r>
    <n v="1090"/>
    <x v="8"/>
    <x v="28"/>
    <x v="1"/>
    <x v="1"/>
    <m/>
    <m/>
    <m/>
    <s v="HPM costs &amp; RSSH - Section 1, Procurement agent and handling fees (7.1), ADD together Type of Health Product = &quot;ARVs&quot; PLUS &quot;HIV Equipment&quot; PLUS &quot;Reagents &amp; Consumables&quot;, take the total budget per quarter"/>
    <m/>
    <m/>
    <m/>
    <m/>
    <m/>
    <m/>
    <m/>
    <m/>
    <m/>
    <m/>
    <m/>
    <m/>
    <s v="-"/>
    <n v="0"/>
    <s v="-"/>
    <n v="0"/>
    <s v="-"/>
    <n v="0"/>
    <s v="-"/>
    <n v="0"/>
    <m/>
    <n v="0"/>
    <m/>
    <m/>
    <m/>
    <m/>
    <n v="0"/>
    <m/>
    <n v="0"/>
    <m/>
    <n v="0"/>
    <m/>
    <n v="0"/>
    <m/>
    <n v="0"/>
    <m/>
    <m/>
    <m/>
    <m/>
    <n v="0"/>
    <m/>
    <n v="0"/>
    <m/>
    <n v="0"/>
    <m/>
    <n v="0"/>
    <m/>
    <n v="0"/>
    <m/>
    <m/>
    <m/>
    <n v="0"/>
    <n v="0"/>
    <n v="0"/>
    <n v="0"/>
    <n v="0"/>
    <n v="0"/>
    <n v="0"/>
    <n v="0"/>
    <n v="0"/>
    <n v="0"/>
    <n v="0"/>
    <m/>
    <m/>
    <x v="0"/>
    <x v="2"/>
  </r>
  <r>
    <n v="1091"/>
    <x v="8"/>
    <x v="28"/>
    <x v="1"/>
    <x v="2"/>
    <m/>
    <m/>
    <m/>
    <s v="HPM costs &amp; RSSH - Section 1, Freight and insurance costs (Health products) (7.2), ADD together Type of Health Product = &quot;ARVs&quot; PLUS &quot;HIV Equipment&quot; PLUS &quot;Reagents &amp; Consumables&quot;, take the total budget per quarter"/>
    <m/>
    <m/>
    <m/>
    <m/>
    <m/>
    <m/>
    <m/>
    <m/>
    <m/>
    <m/>
    <m/>
    <m/>
    <s v="-"/>
    <n v="0"/>
    <s v="-"/>
    <n v="0"/>
    <s v="-"/>
    <n v="0"/>
    <s v="-"/>
    <n v="0"/>
    <m/>
    <n v="0"/>
    <m/>
    <m/>
    <m/>
    <m/>
    <n v="0"/>
    <m/>
    <n v="0"/>
    <m/>
    <n v="0"/>
    <m/>
    <n v="0"/>
    <m/>
    <n v="0"/>
    <m/>
    <m/>
    <m/>
    <m/>
    <n v="0"/>
    <m/>
    <n v="0"/>
    <m/>
    <n v="0"/>
    <m/>
    <n v="0"/>
    <m/>
    <n v="0"/>
    <m/>
    <m/>
    <m/>
    <n v="0"/>
    <n v="0"/>
    <n v="0"/>
    <n v="0"/>
    <n v="0"/>
    <n v="0"/>
    <n v="0"/>
    <n v="0"/>
    <n v="0"/>
    <n v="0"/>
    <n v="0"/>
    <m/>
    <m/>
    <x v="0"/>
    <x v="2"/>
  </r>
  <r>
    <n v="1092"/>
    <x v="8"/>
    <x v="28"/>
    <x v="1"/>
    <x v="3"/>
    <m/>
    <m/>
    <m/>
    <s v="HPM costs &amp; RSSH - Section 2, Warehouse and storage costs (7.3), ADD together Type of Health Product = &quot;ARVs&quot; PLUS &quot;HIV Equipment&quot; PLUS &quot;Reagents &amp; Consumables&quot;, take the total budget per quarter"/>
    <m/>
    <m/>
    <m/>
    <m/>
    <m/>
    <m/>
    <m/>
    <m/>
    <m/>
    <m/>
    <m/>
    <m/>
    <s v="-"/>
    <n v="0"/>
    <s v="-"/>
    <n v="0"/>
    <s v="-"/>
    <n v="0"/>
    <s v="-"/>
    <n v="0"/>
    <m/>
    <n v="0"/>
    <m/>
    <m/>
    <m/>
    <m/>
    <n v="0"/>
    <m/>
    <n v="0"/>
    <m/>
    <n v="0"/>
    <m/>
    <n v="0"/>
    <m/>
    <n v="0"/>
    <m/>
    <m/>
    <m/>
    <m/>
    <n v="0"/>
    <m/>
    <n v="0"/>
    <m/>
    <n v="0"/>
    <m/>
    <n v="0"/>
    <m/>
    <n v="0"/>
    <m/>
    <m/>
    <m/>
    <n v="0"/>
    <n v="0"/>
    <n v="0"/>
    <n v="0"/>
    <n v="0"/>
    <n v="0"/>
    <n v="0"/>
    <n v="0"/>
    <n v="0"/>
    <n v="0"/>
    <n v="0"/>
    <m/>
    <m/>
    <x v="0"/>
    <x v="2"/>
  </r>
  <r>
    <n v="1093"/>
    <x v="8"/>
    <x v="28"/>
    <x v="1"/>
    <x v="4"/>
    <m/>
    <m/>
    <m/>
    <s v="HPM costs &amp; RSSH - Section 2, In country distribution costs  (7.4), ADD together Type of Health Product = &quot;ARVs&quot; PLUS &quot;HIV Equipment&quot; PLUS &quot;Reagents &amp; Consumables&quot;, take the total budget per quarter"/>
    <m/>
    <m/>
    <m/>
    <m/>
    <m/>
    <m/>
    <m/>
    <m/>
    <m/>
    <m/>
    <m/>
    <m/>
    <s v="-"/>
    <n v="0"/>
    <s v="-"/>
    <n v="0"/>
    <s v="-"/>
    <n v="0"/>
    <s v="-"/>
    <n v="0"/>
    <m/>
    <n v="0"/>
    <m/>
    <m/>
    <m/>
    <m/>
    <n v="0"/>
    <m/>
    <n v="0"/>
    <m/>
    <n v="0"/>
    <m/>
    <n v="0"/>
    <m/>
    <n v="0"/>
    <m/>
    <m/>
    <m/>
    <m/>
    <n v="0"/>
    <m/>
    <n v="0"/>
    <m/>
    <n v="0"/>
    <m/>
    <n v="0"/>
    <m/>
    <n v="0"/>
    <m/>
    <m/>
    <m/>
    <n v="0"/>
    <n v="0"/>
    <n v="0"/>
    <n v="0"/>
    <n v="0"/>
    <n v="0"/>
    <n v="0"/>
    <n v="0"/>
    <n v="0"/>
    <n v="0"/>
    <n v="0"/>
    <m/>
    <m/>
    <x v="0"/>
    <x v="2"/>
  </r>
  <r>
    <n v="1094"/>
    <x v="8"/>
    <x v="28"/>
    <x v="1"/>
    <x v="5"/>
    <m/>
    <m/>
    <m/>
    <s v="HPM costs &amp; RSSH - Section 1, Quality assurance and quality control costs (QA/QC) (7.5) AND Section 2, In-country QA/QC costs (7.5), ADD together Type of Health Product = &quot;ARVs&quot; PLUS &quot;HIV Equipment&quot; PLUS &quot;Reagents &amp; Consumables&quot;, take the total budget per quarter"/>
    <m/>
    <m/>
    <m/>
    <m/>
    <m/>
    <m/>
    <m/>
    <m/>
    <m/>
    <m/>
    <m/>
    <m/>
    <s v="-"/>
    <n v="0"/>
    <s v="-"/>
    <n v="0"/>
    <s v="-"/>
    <n v="0"/>
    <s v="-"/>
    <n v="0"/>
    <m/>
    <n v="0"/>
    <m/>
    <m/>
    <m/>
    <m/>
    <n v="0"/>
    <m/>
    <n v="0"/>
    <m/>
    <n v="0"/>
    <m/>
    <n v="0"/>
    <m/>
    <n v="0"/>
    <m/>
    <m/>
    <m/>
    <m/>
    <n v="0"/>
    <m/>
    <n v="0"/>
    <m/>
    <n v="0"/>
    <m/>
    <n v="0"/>
    <m/>
    <n v="0"/>
    <m/>
    <m/>
    <m/>
    <n v="0"/>
    <n v="0"/>
    <n v="0"/>
    <n v="0"/>
    <n v="0"/>
    <n v="0"/>
    <n v="0"/>
    <n v="0"/>
    <n v="0"/>
    <n v="0"/>
    <n v="0"/>
    <m/>
    <m/>
    <x v="0"/>
    <x v="2"/>
  </r>
  <r>
    <n v="1095"/>
    <x v="8"/>
    <x v="28"/>
    <x v="1"/>
    <x v="6"/>
    <m/>
    <m/>
    <m/>
    <s v="HPM costs &amp; RSSH - Section 1, PSM Customs Clearance (7.6), ADD together Type of Health Product = &quot;ARVs&quot; PLUS &quot;HIV Equipment&quot; PLUS &quot;Reagents &amp; Consumables&quot;, take the total budget per quarter"/>
    <m/>
    <m/>
    <m/>
    <m/>
    <m/>
    <m/>
    <m/>
    <m/>
    <m/>
    <m/>
    <m/>
    <m/>
    <s v="-"/>
    <n v="0"/>
    <s v="-"/>
    <n v="0"/>
    <s v="-"/>
    <n v="0"/>
    <s v="-"/>
    <n v="0"/>
    <m/>
    <n v="0"/>
    <m/>
    <m/>
    <m/>
    <m/>
    <n v="0"/>
    <m/>
    <n v="0"/>
    <m/>
    <n v="0"/>
    <m/>
    <n v="0"/>
    <m/>
    <n v="0"/>
    <m/>
    <m/>
    <m/>
    <m/>
    <n v="0"/>
    <m/>
    <n v="0"/>
    <m/>
    <n v="0"/>
    <m/>
    <n v="0"/>
    <m/>
    <n v="0"/>
    <m/>
    <m/>
    <m/>
    <n v="0"/>
    <n v="0"/>
    <n v="0"/>
    <n v="0"/>
    <n v="0"/>
    <n v="0"/>
    <n v="0"/>
    <n v="0"/>
    <n v="0"/>
    <n v="0"/>
    <n v="0"/>
    <m/>
    <m/>
    <x v="0"/>
    <x v="2"/>
  </r>
  <r>
    <n v="1096"/>
    <x v="8"/>
    <x v="28"/>
    <x v="1"/>
    <x v="7"/>
    <m/>
    <m/>
    <m/>
    <s v="HPM costs &amp; RSSH - Section 2, Other procurement and supply management costs (7.7), ADD together Type of Health Product = &quot;ARVs&quot; PLUS &quot;HIV Equipment&quot; PLUS &quot;Reagents &amp; Consumables&quot;, take the total budget per quarter"/>
    <m/>
    <m/>
    <m/>
    <m/>
    <m/>
    <m/>
    <m/>
    <m/>
    <m/>
    <m/>
    <m/>
    <m/>
    <s v="-"/>
    <n v="0"/>
    <s v="-"/>
    <n v="0"/>
    <s v="-"/>
    <n v="0"/>
    <s v="-"/>
    <n v="0"/>
    <m/>
    <n v="0"/>
    <m/>
    <m/>
    <m/>
    <m/>
    <n v="0"/>
    <m/>
    <n v="0"/>
    <m/>
    <n v="0"/>
    <m/>
    <n v="0"/>
    <m/>
    <n v="0"/>
    <m/>
    <m/>
    <m/>
    <m/>
    <n v="0"/>
    <m/>
    <n v="0"/>
    <m/>
    <n v="0"/>
    <m/>
    <n v="0"/>
    <m/>
    <n v="0"/>
    <m/>
    <m/>
    <m/>
    <n v="0"/>
    <n v="0"/>
    <n v="0"/>
    <n v="0"/>
    <n v="0"/>
    <n v="0"/>
    <n v="0"/>
    <n v="0"/>
    <n v="0"/>
    <n v="0"/>
    <n v="0"/>
    <m/>
    <m/>
    <x v="0"/>
    <x v="2"/>
  </r>
  <r>
    <n v="1109"/>
    <x v="8"/>
    <x v="29"/>
    <x v="56"/>
    <x v="26"/>
    <m/>
    <m/>
    <m/>
    <s v="HIV-Pharmaceuticals - Section 2, Take the total budget per quarter for COST INPUT = &quot;4.5 Opportunistic infections and STI medicines&quot;, from the SETUP page determine the TYPE OF PAYMENT (F18) and quarter in which payment is made (G18)"/>
    <m/>
    <m/>
    <m/>
    <m/>
    <m/>
    <m/>
    <m/>
    <m/>
    <m/>
    <m/>
    <m/>
    <m/>
    <s v="-"/>
    <n v="0"/>
    <s v="-"/>
    <n v="0"/>
    <s v="-"/>
    <n v="0"/>
    <s v="-"/>
    <n v="0"/>
    <m/>
    <n v="0"/>
    <m/>
    <m/>
    <m/>
    <m/>
    <n v="0"/>
    <m/>
    <n v="0"/>
    <m/>
    <n v="0"/>
    <m/>
    <n v="0"/>
    <m/>
    <n v="0"/>
    <m/>
    <m/>
    <m/>
    <m/>
    <n v="0"/>
    <m/>
    <n v="0"/>
    <m/>
    <n v="0"/>
    <m/>
    <n v="0"/>
    <m/>
    <n v="0"/>
    <m/>
    <m/>
    <m/>
    <n v="0"/>
    <n v="0"/>
    <n v="0"/>
    <n v="0"/>
    <n v="0"/>
    <n v="0"/>
    <n v="0"/>
    <n v="0"/>
    <n v="0"/>
    <n v="0"/>
    <n v="0"/>
    <m/>
    <m/>
    <x v="0"/>
    <x v="2"/>
  </r>
  <r>
    <n v="1110"/>
    <x v="8"/>
    <x v="29"/>
    <x v="16"/>
    <x v="17"/>
    <m/>
    <m/>
    <m/>
    <s v="HIV-Pharmaceuticals - Section 2, Take the total budget per quarter for COST INPUT = &quot;4.2 Anti-tuberculosis medicines&quot;, from the SETUP page determine the TYPE OF PAYMENT (F18) and quarter in which payment is made (G18)"/>
    <m/>
    <m/>
    <m/>
    <m/>
    <m/>
    <m/>
    <m/>
    <m/>
    <m/>
    <m/>
    <m/>
    <m/>
    <s v="-"/>
    <n v="0"/>
    <s v="-"/>
    <n v="0"/>
    <s v="-"/>
    <n v="0"/>
    <s v="-"/>
    <n v="0"/>
    <m/>
    <n v="0"/>
    <m/>
    <m/>
    <m/>
    <m/>
    <n v="0"/>
    <m/>
    <n v="0"/>
    <m/>
    <n v="0"/>
    <m/>
    <n v="0"/>
    <m/>
    <n v="0"/>
    <m/>
    <m/>
    <m/>
    <m/>
    <n v="0"/>
    <m/>
    <n v="0"/>
    <m/>
    <n v="0"/>
    <m/>
    <n v="0"/>
    <m/>
    <n v="0"/>
    <m/>
    <m/>
    <m/>
    <n v="0"/>
    <n v="0"/>
    <n v="0"/>
    <n v="0"/>
    <n v="0"/>
    <n v="0"/>
    <n v="0"/>
    <n v="0"/>
    <n v="0"/>
    <n v="0"/>
    <n v="0"/>
    <m/>
    <m/>
    <x v="0"/>
    <x v="2"/>
  </r>
  <r>
    <n v="1111"/>
    <x v="8"/>
    <x v="29"/>
    <x v="57"/>
    <x v="18"/>
    <m/>
    <m/>
    <m/>
    <s v="HIV-Pharmaceuticals - Section 2, Take the total budget per quarter for COST INPUT = &quot;4.7 Other medicines&quot;, from the SETUP page determine the TYPE OF PAYMENT (F18) and quarter in which payment is made (G18)"/>
    <m/>
    <m/>
    <m/>
    <m/>
    <m/>
    <m/>
    <m/>
    <m/>
    <m/>
    <m/>
    <m/>
    <m/>
    <s v="-"/>
    <n v="0"/>
    <s v="-"/>
    <n v="0"/>
    <s v="-"/>
    <n v="0"/>
    <s v="-"/>
    <n v="0"/>
    <m/>
    <n v="0"/>
    <m/>
    <m/>
    <m/>
    <m/>
    <n v="0"/>
    <m/>
    <n v="0"/>
    <m/>
    <n v="0"/>
    <m/>
    <n v="0"/>
    <m/>
    <n v="0"/>
    <m/>
    <m/>
    <m/>
    <m/>
    <n v="0"/>
    <m/>
    <n v="0"/>
    <m/>
    <n v="0"/>
    <m/>
    <n v="0"/>
    <m/>
    <n v="0"/>
    <m/>
    <m/>
    <m/>
    <n v="0"/>
    <n v="0"/>
    <n v="0"/>
    <n v="0"/>
    <n v="0"/>
    <n v="0"/>
    <n v="0"/>
    <n v="0"/>
    <n v="0"/>
    <n v="0"/>
    <n v="0"/>
    <m/>
    <m/>
    <x v="0"/>
    <x v="2"/>
  </r>
  <r>
    <n v="1115"/>
    <x v="8"/>
    <x v="29"/>
    <x v="1"/>
    <x v="1"/>
    <m/>
    <m/>
    <m/>
    <s v="HPM costs &amp; RSSH - Section 1, Procurement agent and handling fees (7.1), take the total budget per quarter for TYPE OF PRODUCT &quot;OIs, STIs &amp; other medicines &quot;"/>
    <m/>
    <m/>
    <m/>
    <m/>
    <m/>
    <m/>
    <m/>
    <m/>
    <m/>
    <m/>
    <m/>
    <m/>
    <s v="-"/>
    <n v="0"/>
    <s v="-"/>
    <n v="0"/>
    <s v="-"/>
    <n v="0"/>
    <s v="-"/>
    <n v="0"/>
    <m/>
    <n v="0"/>
    <m/>
    <m/>
    <m/>
    <m/>
    <n v="0"/>
    <m/>
    <n v="0"/>
    <m/>
    <n v="0"/>
    <m/>
    <n v="0"/>
    <m/>
    <n v="0"/>
    <m/>
    <m/>
    <m/>
    <m/>
    <n v="0"/>
    <m/>
    <n v="0"/>
    <m/>
    <n v="0"/>
    <m/>
    <n v="0"/>
    <m/>
    <n v="0"/>
    <m/>
    <m/>
    <m/>
    <n v="0"/>
    <n v="0"/>
    <n v="0"/>
    <n v="0"/>
    <n v="0"/>
    <n v="0"/>
    <n v="0"/>
    <n v="0"/>
    <n v="0"/>
    <n v="0"/>
    <n v="0"/>
    <m/>
    <m/>
    <x v="0"/>
    <x v="2"/>
  </r>
  <r>
    <n v="1116"/>
    <x v="8"/>
    <x v="29"/>
    <x v="1"/>
    <x v="2"/>
    <m/>
    <m/>
    <m/>
    <s v="HPM costs &amp; RSSH - Section 1, Freight and insurance costs (Health products) (7.2), take the total budget per quarter for TYPE OF PRODUCT &quot;OIs, STIs &amp; other medicines &quot;"/>
    <m/>
    <m/>
    <m/>
    <m/>
    <m/>
    <m/>
    <m/>
    <m/>
    <m/>
    <m/>
    <m/>
    <m/>
    <s v="-"/>
    <n v="0"/>
    <s v="-"/>
    <n v="0"/>
    <s v="-"/>
    <n v="0"/>
    <s v="-"/>
    <n v="0"/>
    <m/>
    <n v="0"/>
    <m/>
    <m/>
    <m/>
    <m/>
    <n v="0"/>
    <m/>
    <n v="0"/>
    <m/>
    <n v="0"/>
    <m/>
    <n v="0"/>
    <m/>
    <n v="0"/>
    <m/>
    <m/>
    <m/>
    <m/>
    <n v="0"/>
    <m/>
    <n v="0"/>
    <m/>
    <n v="0"/>
    <m/>
    <n v="0"/>
    <m/>
    <n v="0"/>
    <m/>
    <m/>
    <m/>
    <n v="0"/>
    <n v="0"/>
    <n v="0"/>
    <n v="0"/>
    <n v="0"/>
    <n v="0"/>
    <n v="0"/>
    <n v="0"/>
    <n v="0"/>
    <n v="0"/>
    <n v="0"/>
    <m/>
    <m/>
    <x v="0"/>
    <x v="2"/>
  </r>
  <r>
    <n v="1117"/>
    <x v="8"/>
    <x v="29"/>
    <x v="1"/>
    <x v="3"/>
    <m/>
    <m/>
    <m/>
    <s v="HPM costs &amp; RSSH - Section 2, Warehouse and storage costs (7.3), take the total budget per quarter for TYPE OF PRODUCT &quot;OIs, STIs &amp; other medicines &quot;"/>
    <m/>
    <m/>
    <m/>
    <m/>
    <m/>
    <m/>
    <m/>
    <m/>
    <m/>
    <m/>
    <m/>
    <m/>
    <s v="-"/>
    <n v="0"/>
    <s v="-"/>
    <n v="0"/>
    <s v="-"/>
    <n v="0"/>
    <s v="-"/>
    <n v="0"/>
    <m/>
    <n v="0"/>
    <m/>
    <m/>
    <m/>
    <m/>
    <n v="0"/>
    <m/>
    <n v="0"/>
    <m/>
    <n v="0"/>
    <m/>
    <n v="0"/>
    <m/>
    <n v="0"/>
    <m/>
    <m/>
    <m/>
    <m/>
    <n v="0"/>
    <m/>
    <n v="0"/>
    <m/>
    <n v="0"/>
    <m/>
    <n v="0"/>
    <m/>
    <n v="0"/>
    <m/>
    <m/>
    <m/>
    <n v="0"/>
    <n v="0"/>
    <n v="0"/>
    <n v="0"/>
    <n v="0"/>
    <n v="0"/>
    <n v="0"/>
    <n v="0"/>
    <n v="0"/>
    <n v="0"/>
    <n v="0"/>
    <m/>
    <m/>
    <x v="0"/>
    <x v="2"/>
  </r>
  <r>
    <n v="1118"/>
    <x v="8"/>
    <x v="29"/>
    <x v="1"/>
    <x v="4"/>
    <m/>
    <m/>
    <m/>
    <s v="HPM costs &amp; RSSH - Section 2, In country distribution costs  (7.4), take the total budget per quarter for TYPE OF PRODUCT &quot;OIs, STIs &amp; other medicines &quot;"/>
    <m/>
    <m/>
    <m/>
    <m/>
    <m/>
    <m/>
    <m/>
    <m/>
    <m/>
    <m/>
    <m/>
    <m/>
    <s v="-"/>
    <n v="0"/>
    <s v="-"/>
    <n v="0"/>
    <s v="-"/>
    <n v="0"/>
    <s v="-"/>
    <n v="0"/>
    <m/>
    <n v="0"/>
    <m/>
    <m/>
    <m/>
    <m/>
    <n v="0"/>
    <m/>
    <n v="0"/>
    <m/>
    <n v="0"/>
    <m/>
    <n v="0"/>
    <m/>
    <n v="0"/>
    <m/>
    <m/>
    <m/>
    <m/>
    <n v="0"/>
    <m/>
    <n v="0"/>
    <m/>
    <n v="0"/>
    <m/>
    <n v="0"/>
    <m/>
    <n v="0"/>
    <m/>
    <m/>
    <m/>
    <n v="0"/>
    <n v="0"/>
    <n v="0"/>
    <n v="0"/>
    <n v="0"/>
    <n v="0"/>
    <n v="0"/>
    <n v="0"/>
    <n v="0"/>
    <n v="0"/>
    <n v="0"/>
    <m/>
    <m/>
    <x v="0"/>
    <x v="2"/>
  </r>
  <r>
    <n v="1119"/>
    <x v="8"/>
    <x v="29"/>
    <x v="1"/>
    <x v="5"/>
    <m/>
    <m/>
    <m/>
    <s v="HPM costs &amp; RSSH - Section 1, Quality assurance and quality control costs (QA/QC) (7.5) AND Section 2, In-country QA/QC costs (7.5), take the total budget per quarter for TYPE OF PRODUCT &quot;OIs, STIs &amp; other medicines &quot;"/>
    <m/>
    <m/>
    <m/>
    <m/>
    <m/>
    <m/>
    <m/>
    <m/>
    <m/>
    <m/>
    <m/>
    <m/>
    <s v="-"/>
    <n v="0"/>
    <s v="-"/>
    <n v="0"/>
    <s v="-"/>
    <n v="0"/>
    <s v="-"/>
    <n v="0"/>
    <m/>
    <n v="0"/>
    <m/>
    <m/>
    <m/>
    <m/>
    <n v="0"/>
    <m/>
    <n v="0"/>
    <m/>
    <n v="0"/>
    <m/>
    <n v="0"/>
    <m/>
    <n v="0"/>
    <m/>
    <m/>
    <m/>
    <m/>
    <n v="0"/>
    <m/>
    <n v="0"/>
    <m/>
    <n v="0"/>
    <m/>
    <n v="0"/>
    <m/>
    <n v="0"/>
    <m/>
    <m/>
    <m/>
    <n v="0"/>
    <n v="0"/>
    <n v="0"/>
    <n v="0"/>
    <n v="0"/>
    <n v="0"/>
    <n v="0"/>
    <n v="0"/>
    <n v="0"/>
    <n v="0"/>
    <n v="0"/>
    <m/>
    <m/>
    <x v="0"/>
    <x v="2"/>
  </r>
  <r>
    <n v="1120"/>
    <x v="8"/>
    <x v="29"/>
    <x v="1"/>
    <x v="6"/>
    <m/>
    <m/>
    <m/>
    <s v="HPM costs &amp; RSSH - Section 1, PSM Customs Clearance (7.6), take the total budget per quarter for TYPE OF PRODUCT &quot;OIs, STIs &amp; other medicines &quot;"/>
    <m/>
    <m/>
    <m/>
    <m/>
    <m/>
    <m/>
    <m/>
    <m/>
    <m/>
    <m/>
    <m/>
    <m/>
    <s v="-"/>
    <n v="0"/>
    <s v="-"/>
    <n v="0"/>
    <s v="-"/>
    <n v="0"/>
    <s v="-"/>
    <n v="0"/>
    <m/>
    <n v="0"/>
    <m/>
    <m/>
    <m/>
    <m/>
    <n v="0"/>
    <m/>
    <n v="0"/>
    <m/>
    <n v="0"/>
    <m/>
    <n v="0"/>
    <m/>
    <n v="0"/>
    <m/>
    <m/>
    <m/>
    <m/>
    <n v="0"/>
    <m/>
    <n v="0"/>
    <m/>
    <n v="0"/>
    <m/>
    <n v="0"/>
    <m/>
    <n v="0"/>
    <m/>
    <m/>
    <m/>
    <n v="0"/>
    <n v="0"/>
    <n v="0"/>
    <n v="0"/>
    <n v="0"/>
    <n v="0"/>
    <n v="0"/>
    <n v="0"/>
    <n v="0"/>
    <n v="0"/>
    <n v="0"/>
    <m/>
    <m/>
    <x v="0"/>
    <x v="2"/>
  </r>
  <r>
    <n v="1121"/>
    <x v="8"/>
    <x v="29"/>
    <x v="1"/>
    <x v="7"/>
    <m/>
    <m/>
    <m/>
    <s v="HPM costs &amp; RSSH - Section 2, Other procurement and supply management costs (7.7), take the total budget per quarter for TYPE OF PRODUCT &quot;OIs, STIs &amp; other medicines &quot;"/>
    <m/>
    <m/>
    <m/>
    <m/>
    <m/>
    <m/>
    <m/>
    <m/>
    <m/>
    <m/>
    <m/>
    <m/>
    <s v="-"/>
    <n v="0"/>
    <s v="-"/>
    <n v="0"/>
    <s v="-"/>
    <n v="0"/>
    <s v="-"/>
    <n v="0"/>
    <m/>
    <n v="0"/>
    <m/>
    <m/>
    <m/>
    <m/>
    <n v="0"/>
    <m/>
    <n v="0"/>
    <m/>
    <n v="0"/>
    <m/>
    <n v="0"/>
    <m/>
    <n v="0"/>
    <m/>
    <m/>
    <m/>
    <m/>
    <n v="0"/>
    <m/>
    <n v="0"/>
    <m/>
    <n v="0"/>
    <m/>
    <n v="0"/>
    <m/>
    <n v="0"/>
    <m/>
    <m/>
    <m/>
    <n v="0"/>
    <n v="0"/>
    <n v="0"/>
    <n v="0"/>
    <n v="0"/>
    <n v="0"/>
    <n v="0"/>
    <n v="0"/>
    <n v="0"/>
    <n v="0"/>
    <n v="0"/>
    <m/>
    <m/>
    <x v="0"/>
    <x v="2"/>
  </r>
  <r>
    <n v="72"/>
    <x v="1"/>
    <x v="7"/>
    <x v="14"/>
    <x v="16"/>
    <m/>
    <m/>
    <m/>
    <s v="Malaria-RDT LLIN IRS ETC - Section 4, take the total budget per quarter for cost-input &quot;6.5 Maintenance and service costs for health equipment&quot;, from SETUP G52 determine the payment modality and apply the figure in H52 to establish in which quarter in the DB the budget should be reflected "/>
    <m/>
    <m/>
    <m/>
    <m/>
    <m/>
    <m/>
    <m/>
    <m/>
    <m/>
    <m/>
    <m/>
    <m/>
    <s v="-"/>
    <n v="0"/>
    <s v="-"/>
    <n v="0"/>
    <s v="-"/>
    <n v="0"/>
    <s v="-"/>
    <n v="0"/>
    <m/>
    <n v="0"/>
    <m/>
    <m/>
    <m/>
    <m/>
    <n v="0"/>
    <m/>
    <n v="0"/>
    <m/>
    <n v="0"/>
    <m/>
    <n v="0"/>
    <m/>
    <n v="0"/>
    <m/>
    <m/>
    <m/>
    <m/>
    <n v="0"/>
    <m/>
    <n v="0"/>
    <m/>
    <n v="0"/>
    <m/>
    <n v="0"/>
    <m/>
    <n v="0"/>
    <m/>
    <m/>
    <m/>
    <n v="0"/>
    <n v="0"/>
    <n v="0"/>
    <n v="0"/>
    <n v="0"/>
    <n v="0"/>
    <n v="0"/>
    <n v="0"/>
    <n v="0"/>
    <n v="0"/>
    <n v="0"/>
    <m/>
    <m/>
    <x v="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8">
  <r>
    <n v="1"/>
    <x v="0"/>
    <x v="0"/>
    <x v="0"/>
    <x v="0"/>
    <m/>
    <m/>
    <m/>
    <m/>
    <m/>
    <m/>
    <m/>
    <m/>
    <m/>
    <s v="-"/>
    <n v="0"/>
    <s v="-"/>
    <n v="0"/>
    <s v="-"/>
    <n v="0"/>
    <s v="-"/>
    <n v="0"/>
    <m/>
    <n v="0"/>
    <m/>
    <m/>
    <m/>
    <m/>
    <n v="0"/>
    <m/>
    <n v="0"/>
    <m/>
    <n v="0"/>
    <m/>
    <n v="0"/>
    <m/>
    <n v="0"/>
    <m/>
    <m/>
    <m/>
    <m/>
    <n v="0"/>
    <m/>
    <n v="0"/>
    <m/>
    <n v="0"/>
    <m/>
    <n v="0"/>
    <m/>
    <n v="0"/>
    <m/>
    <m/>
    <m/>
    <m/>
    <n v="0"/>
    <n v="0"/>
    <n v="0"/>
    <n v="0"/>
    <n v="0"/>
    <n v="0"/>
    <n v="0"/>
    <n v="0"/>
    <n v="0"/>
    <m/>
    <n v="0"/>
    <n v="0"/>
    <m/>
    <m/>
    <n v="0"/>
    <s v="Malaria"/>
    <x v="0"/>
  </r>
  <r>
    <n v="2"/>
    <x v="0"/>
    <x v="0"/>
    <x v="1"/>
    <x v="1"/>
    <m/>
    <m/>
    <m/>
    <m/>
    <m/>
    <m/>
    <m/>
    <m/>
    <m/>
    <s v="-"/>
    <n v="0"/>
    <s v="-"/>
    <n v="0"/>
    <s v="-"/>
    <n v="0"/>
    <s v="-"/>
    <n v="0"/>
    <m/>
    <n v="0"/>
    <m/>
    <m/>
    <m/>
    <m/>
    <n v="0"/>
    <m/>
    <n v="0"/>
    <m/>
    <n v="0"/>
    <m/>
    <n v="0"/>
    <m/>
    <n v="0"/>
    <m/>
    <m/>
    <m/>
    <m/>
    <n v="0"/>
    <m/>
    <n v="0"/>
    <m/>
    <n v="0"/>
    <m/>
    <n v="0"/>
    <m/>
    <n v="0"/>
    <m/>
    <m/>
    <m/>
    <m/>
    <n v="0"/>
    <n v="0"/>
    <n v="0"/>
    <n v="0"/>
    <n v="0"/>
    <n v="0"/>
    <n v="0"/>
    <n v="0"/>
    <n v="0"/>
    <m/>
    <n v="0"/>
    <n v="0"/>
    <m/>
    <m/>
    <n v="0"/>
    <s v="Malaria"/>
    <x v="1"/>
  </r>
  <r>
    <n v="3"/>
    <x v="0"/>
    <x v="0"/>
    <x v="1"/>
    <x v="2"/>
    <m/>
    <m/>
    <m/>
    <m/>
    <m/>
    <m/>
    <m/>
    <m/>
    <m/>
    <s v="-"/>
    <n v="0"/>
    <s v="-"/>
    <n v="0"/>
    <s v="-"/>
    <n v="0"/>
    <s v="-"/>
    <n v="0"/>
    <m/>
    <n v="0"/>
    <m/>
    <m/>
    <m/>
    <m/>
    <n v="0"/>
    <m/>
    <n v="0"/>
    <m/>
    <n v="0"/>
    <m/>
    <n v="0"/>
    <m/>
    <n v="0"/>
    <m/>
    <m/>
    <m/>
    <m/>
    <n v="0"/>
    <m/>
    <n v="0"/>
    <m/>
    <n v="0"/>
    <m/>
    <n v="0"/>
    <m/>
    <n v="0"/>
    <m/>
    <m/>
    <m/>
    <m/>
    <n v="0"/>
    <n v="0"/>
    <n v="0"/>
    <n v="0"/>
    <n v="0"/>
    <n v="0"/>
    <n v="0"/>
    <n v="0"/>
    <n v="0"/>
    <m/>
    <n v="0"/>
    <n v="0"/>
    <m/>
    <m/>
    <n v="0"/>
    <s v="Malaria"/>
    <x v="1"/>
  </r>
  <r>
    <n v="4"/>
    <x v="0"/>
    <x v="0"/>
    <x v="1"/>
    <x v="3"/>
    <m/>
    <m/>
    <m/>
    <m/>
    <m/>
    <m/>
    <m/>
    <m/>
    <m/>
    <s v="-"/>
    <n v="0"/>
    <s v="-"/>
    <n v="0"/>
    <s v="-"/>
    <n v="0"/>
    <s v="-"/>
    <n v="0"/>
    <m/>
    <n v="0"/>
    <m/>
    <m/>
    <m/>
    <m/>
    <n v="0"/>
    <m/>
    <n v="0"/>
    <m/>
    <n v="0"/>
    <m/>
    <n v="0"/>
    <m/>
    <n v="0"/>
    <m/>
    <m/>
    <m/>
    <m/>
    <n v="0"/>
    <m/>
    <n v="0"/>
    <m/>
    <n v="0"/>
    <m/>
    <n v="0"/>
    <m/>
    <n v="0"/>
    <m/>
    <m/>
    <m/>
    <m/>
    <n v="0"/>
    <n v="0"/>
    <n v="0"/>
    <n v="0"/>
    <n v="0"/>
    <n v="0"/>
    <n v="0"/>
    <n v="0"/>
    <n v="0"/>
    <m/>
    <n v="0"/>
    <n v="0"/>
    <m/>
    <m/>
    <n v="0"/>
    <s v="Malaria"/>
    <x v="1"/>
  </r>
  <r>
    <n v="5"/>
    <x v="0"/>
    <x v="0"/>
    <x v="1"/>
    <x v="4"/>
    <m/>
    <m/>
    <m/>
    <m/>
    <m/>
    <m/>
    <m/>
    <m/>
    <m/>
    <s v="-"/>
    <n v="0"/>
    <s v="-"/>
    <n v="0"/>
    <s v="-"/>
    <n v="0"/>
    <s v="-"/>
    <n v="0"/>
    <m/>
    <n v="0"/>
    <m/>
    <m/>
    <m/>
    <m/>
    <n v="0"/>
    <m/>
    <n v="0"/>
    <m/>
    <n v="0"/>
    <m/>
    <n v="0"/>
    <m/>
    <n v="0"/>
    <m/>
    <m/>
    <m/>
    <m/>
    <n v="0"/>
    <m/>
    <n v="0"/>
    <m/>
    <n v="0"/>
    <m/>
    <n v="0"/>
    <m/>
    <n v="0"/>
    <m/>
    <m/>
    <m/>
    <m/>
    <n v="0"/>
    <n v="0"/>
    <n v="0"/>
    <n v="0"/>
    <n v="0"/>
    <n v="0"/>
    <n v="0"/>
    <n v="0"/>
    <n v="0"/>
    <m/>
    <n v="0"/>
    <n v="0"/>
    <m/>
    <m/>
    <n v="0"/>
    <s v="Malaria"/>
    <x v="1"/>
  </r>
  <r>
    <n v="6"/>
    <x v="0"/>
    <x v="0"/>
    <x v="1"/>
    <x v="5"/>
    <m/>
    <m/>
    <m/>
    <m/>
    <m/>
    <m/>
    <m/>
    <m/>
    <m/>
    <s v="-"/>
    <n v="0"/>
    <s v="-"/>
    <n v="0"/>
    <s v="-"/>
    <n v="0"/>
    <s v="-"/>
    <n v="0"/>
    <m/>
    <n v="0"/>
    <m/>
    <m/>
    <m/>
    <m/>
    <n v="0"/>
    <m/>
    <n v="0"/>
    <m/>
    <n v="0"/>
    <m/>
    <n v="0"/>
    <m/>
    <n v="0"/>
    <m/>
    <m/>
    <m/>
    <m/>
    <n v="0"/>
    <m/>
    <n v="0"/>
    <m/>
    <n v="0"/>
    <m/>
    <n v="0"/>
    <m/>
    <n v="0"/>
    <m/>
    <m/>
    <m/>
    <m/>
    <n v="0"/>
    <n v="0"/>
    <n v="0"/>
    <n v="0"/>
    <n v="0"/>
    <n v="0"/>
    <n v="0"/>
    <n v="0"/>
    <n v="0"/>
    <m/>
    <n v="0"/>
    <n v="0"/>
    <m/>
    <m/>
    <n v="0"/>
    <s v="Malaria"/>
    <x v="1"/>
  </r>
  <r>
    <n v="7"/>
    <x v="0"/>
    <x v="0"/>
    <x v="1"/>
    <x v="6"/>
    <m/>
    <m/>
    <m/>
    <m/>
    <m/>
    <m/>
    <m/>
    <m/>
    <m/>
    <s v="-"/>
    <n v="0"/>
    <s v="-"/>
    <n v="0"/>
    <s v="-"/>
    <n v="0"/>
    <s v="-"/>
    <n v="0"/>
    <m/>
    <n v="0"/>
    <m/>
    <m/>
    <m/>
    <m/>
    <n v="0"/>
    <m/>
    <n v="0"/>
    <m/>
    <n v="0"/>
    <m/>
    <n v="0"/>
    <m/>
    <n v="0"/>
    <m/>
    <m/>
    <m/>
    <m/>
    <n v="0"/>
    <m/>
    <n v="0"/>
    <m/>
    <n v="0"/>
    <m/>
    <n v="0"/>
    <m/>
    <n v="0"/>
    <m/>
    <m/>
    <m/>
    <m/>
    <n v="0"/>
    <n v="0"/>
    <n v="0"/>
    <n v="0"/>
    <n v="0"/>
    <n v="0"/>
    <n v="0"/>
    <n v="0"/>
    <n v="0"/>
    <m/>
    <n v="0"/>
    <n v="0"/>
    <m/>
    <m/>
    <n v="0"/>
    <s v="Malaria"/>
    <x v="1"/>
  </r>
  <r>
    <n v="8"/>
    <x v="0"/>
    <x v="0"/>
    <x v="1"/>
    <x v="7"/>
    <m/>
    <m/>
    <m/>
    <m/>
    <m/>
    <m/>
    <m/>
    <m/>
    <m/>
    <s v="-"/>
    <n v="0"/>
    <s v="-"/>
    <n v="0"/>
    <s v="-"/>
    <n v="0"/>
    <s v="-"/>
    <n v="0"/>
    <m/>
    <n v="0"/>
    <m/>
    <m/>
    <m/>
    <m/>
    <n v="0"/>
    <m/>
    <n v="0"/>
    <m/>
    <n v="0"/>
    <m/>
    <n v="0"/>
    <m/>
    <n v="0"/>
    <m/>
    <m/>
    <m/>
    <m/>
    <n v="0"/>
    <m/>
    <n v="0"/>
    <m/>
    <n v="0"/>
    <m/>
    <n v="0"/>
    <m/>
    <n v="0"/>
    <m/>
    <m/>
    <m/>
    <m/>
    <n v="0"/>
    <n v="0"/>
    <n v="0"/>
    <n v="0"/>
    <n v="0"/>
    <n v="0"/>
    <n v="0"/>
    <n v="0"/>
    <n v="0"/>
    <m/>
    <n v="0"/>
    <n v="0"/>
    <m/>
    <m/>
    <n v="0"/>
    <s v="Malaria"/>
    <x v="1"/>
  </r>
  <r>
    <n v="9"/>
    <x v="0"/>
    <x v="1"/>
    <x v="0"/>
    <x v="0"/>
    <m/>
    <m/>
    <m/>
    <m/>
    <m/>
    <m/>
    <m/>
    <m/>
    <m/>
    <s v="-"/>
    <n v="0"/>
    <s v="-"/>
    <n v="0"/>
    <s v="-"/>
    <n v="0"/>
    <s v="-"/>
    <n v="0"/>
    <m/>
    <n v="0"/>
    <m/>
    <m/>
    <m/>
    <m/>
    <n v="0"/>
    <m/>
    <n v="0"/>
    <m/>
    <n v="0"/>
    <m/>
    <n v="0"/>
    <m/>
    <n v="0"/>
    <m/>
    <m/>
    <m/>
    <m/>
    <n v="0"/>
    <m/>
    <n v="0"/>
    <m/>
    <n v="0"/>
    <m/>
    <n v="0"/>
    <m/>
    <n v="0"/>
    <m/>
    <m/>
    <m/>
    <m/>
    <n v="0"/>
    <n v="0"/>
    <n v="0"/>
    <n v="0"/>
    <n v="0"/>
    <n v="0"/>
    <n v="0"/>
    <n v="0"/>
    <n v="0"/>
    <m/>
    <n v="0"/>
    <n v="0"/>
    <m/>
    <m/>
    <n v="0"/>
    <s v="Malaria"/>
    <x v="0"/>
  </r>
  <r>
    <n v="10"/>
    <x v="0"/>
    <x v="1"/>
    <x v="1"/>
    <x v="1"/>
    <m/>
    <m/>
    <m/>
    <m/>
    <m/>
    <m/>
    <m/>
    <m/>
    <m/>
    <s v="-"/>
    <n v="0"/>
    <s v="-"/>
    <n v="0"/>
    <s v="-"/>
    <n v="0"/>
    <s v="-"/>
    <n v="0"/>
    <m/>
    <n v="0"/>
    <m/>
    <m/>
    <m/>
    <m/>
    <n v="0"/>
    <m/>
    <n v="0"/>
    <m/>
    <n v="0"/>
    <m/>
    <n v="0"/>
    <m/>
    <n v="0"/>
    <m/>
    <m/>
    <m/>
    <m/>
    <n v="0"/>
    <m/>
    <n v="0"/>
    <m/>
    <n v="0"/>
    <m/>
    <n v="0"/>
    <m/>
    <n v="0"/>
    <m/>
    <m/>
    <m/>
    <m/>
    <n v="0"/>
    <n v="0"/>
    <n v="0"/>
    <n v="0"/>
    <n v="0"/>
    <n v="0"/>
    <n v="0"/>
    <n v="0"/>
    <n v="0"/>
    <m/>
    <n v="0"/>
    <n v="0"/>
    <m/>
    <m/>
    <n v="0"/>
    <s v="Malaria"/>
    <x v="1"/>
  </r>
  <r>
    <n v="11"/>
    <x v="0"/>
    <x v="1"/>
    <x v="1"/>
    <x v="2"/>
    <m/>
    <m/>
    <m/>
    <m/>
    <m/>
    <m/>
    <m/>
    <m/>
    <m/>
    <s v="-"/>
    <n v="0"/>
    <s v="-"/>
    <n v="0"/>
    <s v="-"/>
    <n v="0"/>
    <s v="-"/>
    <n v="0"/>
    <m/>
    <n v="0"/>
    <m/>
    <m/>
    <m/>
    <m/>
    <n v="0"/>
    <m/>
    <n v="0"/>
    <m/>
    <n v="0"/>
    <m/>
    <n v="0"/>
    <m/>
    <n v="0"/>
    <m/>
    <m/>
    <m/>
    <m/>
    <n v="0"/>
    <m/>
    <n v="0"/>
    <m/>
    <n v="0"/>
    <m/>
    <n v="0"/>
    <m/>
    <n v="0"/>
    <m/>
    <m/>
    <m/>
    <m/>
    <n v="0"/>
    <n v="0"/>
    <n v="0"/>
    <n v="0"/>
    <n v="0"/>
    <n v="0"/>
    <n v="0"/>
    <n v="0"/>
    <n v="0"/>
    <m/>
    <n v="0"/>
    <n v="0"/>
    <m/>
    <m/>
    <n v="0"/>
    <s v="Malaria"/>
    <x v="1"/>
  </r>
  <r>
    <n v="12"/>
    <x v="0"/>
    <x v="1"/>
    <x v="1"/>
    <x v="3"/>
    <m/>
    <m/>
    <m/>
    <m/>
    <m/>
    <m/>
    <m/>
    <m/>
    <m/>
    <s v="-"/>
    <n v="0"/>
    <s v="-"/>
    <n v="0"/>
    <s v="-"/>
    <n v="0"/>
    <s v="-"/>
    <n v="0"/>
    <m/>
    <n v="0"/>
    <m/>
    <m/>
    <m/>
    <m/>
    <n v="0"/>
    <m/>
    <n v="0"/>
    <m/>
    <n v="0"/>
    <m/>
    <n v="0"/>
    <m/>
    <n v="0"/>
    <m/>
    <m/>
    <m/>
    <m/>
    <n v="0"/>
    <m/>
    <n v="0"/>
    <m/>
    <n v="0"/>
    <m/>
    <n v="0"/>
    <m/>
    <n v="0"/>
    <m/>
    <m/>
    <m/>
    <m/>
    <n v="0"/>
    <n v="0"/>
    <n v="0"/>
    <n v="0"/>
    <n v="0"/>
    <n v="0"/>
    <n v="0"/>
    <n v="0"/>
    <n v="0"/>
    <m/>
    <n v="0"/>
    <n v="0"/>
    <m/>
    <m/>
    <n v="0"/>
    <s v="Malaria"/>
    <x v="1"/>
  </r>
  <r>
    <n v="13"/>
    <x v="0"/>
    <x v="1"/>
    <x v="1"/>
    <x v="4"/>
    <m/>
    <m/>
    <m/>
    <m/>
    <m/>
    <m/>
    <m/>
    <m/>
    <m/>
    <s v="-"/>
    <n v="0"/>
    <s v="-"/>
    <n v="0"/>
    <s v="-"/>
    <n v="0"/>
    <s v="-"/>
    <n v="0"/>
    <m/>
    <n v="0"/>
    <m/>
    <m/>
    <m/>
    <m/>
    <n v="0"/>
    <m/>
    <n v="0"/>
    <m/>
    <n v="0"/>
    <m/>
    <n v="0"/>
    <m/>
    <n v="0"/>
    <m/>
    <m/>
    <m/>
    <m/>
    <n v="0"/>
    <m/>
    <n v="0"/>
    <m/>
    <n v="0"/>
    <m/>
    <n v="0"/>
    <m/>
    <n v="0"/>
    <m/>
    <m/>
    <m/>
    <m/>
    <n v="0"/>
    <n v="0"/>
    <n v="0"/>
    <n v="0"/>
    <n v="0"/>
    <n v="0"/>
    <n v="0"/>
    <n v="0"/>
    <n v="0"/>
    <m/>
    <n v="0"/>
    <n v="0"/>
    <m/>
    <m/>
    <n v="0"/>
    <s v="Malaria"/>
    <x v="1"/>
  </r>
  <r>
    <n v="14"/>
    <x v="0"/>
    <x v="1"/>
    <x v="1"/>
    <x v="5"/>
    <m/>
    <m/>
    <m/>
    <m/>
    <m/>
    <m/>
    <m/>
    <m/>
    <m/>
    <s v="-"/>
    <n v="0"/>
    <s v="-"/>
    <n v="0"/>
    <s v="-"/>
    <n v="0"/>
    <s v="-"/>
    <n v="0"/>
    <m/>
    <n v="0"/>
    <m/>
    <m/>
    <m/>
    <m/>
    <n v="0"/>
    <m/>
    <n v="0"/>
    <m/>
    <n v="0"/>
    <m/>
    <n v="0"/>
    <m/>
    <n v="0"/>
    <m/>
    <m/>
    <m/>
    <m/>
    <n v="0"/>
    <m/>
    <n v="0"/>
    <m/>
    <n v="0"/>
    <m/>
    <n v="0"/>
    <m/>
    <n v="0"/>
    <m/>
    <m/>
    <m/>
    <m/>
    <n v="0"/>
    <n v="0"/>
    <n v="0"/>
    <n v="0"/>
    <n v="0"/>
    <n v="0"/>
    <n v="0"/>
    <n v="0"/>
    <n v="0"/>
    <m/>
    <n v="0"/>
    <n v="0"/>
    <m/>
    <m/>
    <n v="0"/>
    <s v="Malaria"/>
    <x v="1"/>
  </r>
  <r>
    <n v="15"/>
    <x v="0"/>
    <x v="1"/>
    <x v="1"/>
    <x v="6"/>
    <m/>
    <m/>
    <m/>
    <m/>
    <m/>
    <m/>
    <m/>
    <m/>
    <m/>
    <s v="-"/>
    <n v="0"/>
    <s v="-"/>
    <n v="0"/>
    <s v="-"/>
    <n v="0"/>
    <s v="-"/>
    <n v="0"/>
    <m/>
    <n v="0"/>
    <m/>
    <m/>
    <m/>
    <m/>
    <n v="0"/>
    <m/>
    <n v="0"/>
    <m/>
    <n v="0"/>
    <m/>
    <n v="0"/>
    <m/>
    <n v="0"/>
    <m/>
    <m/>
    <m/>
    <m/>
    <n v="0"/>
    <m/>
    <n v="0"/>
    <m/>
    <n v="0"/>
    <m/>
    <n v="0"/>
    <m/>
    <n v="0"/>
    <m/>
    <m/>
    <m/>
    <m/>
    <n v="0"/>
    <n v="0"/>
    <n v="0"/>
    <n v="0"/>
    <n v="0"/>
    <n v="0"/>
    <n v="0"/>
    <n v="0"/>
    <n v="0"/>
    <m/>
    <n v="0"/>
    <n v="0"/>
    <m/>
    <m/>
    <n v="0"/>
    <s v="Malaria"/>
    <x v="1"/>
  </r>
  <r>
    <n v="16"/>
    <x v="0"/>
    <x v="1"/>
    <x v="1"/>
    <x v="7"/>
    <m/>
    <m/>
    <m/>
    <m/>
    <m/>
    <m/>
    <m/>
    <m/>
    <m/>
    <s v="-"/>
    <n v="0"/>
    <s v="-"/>
    <n v="0"/>
    <s v="-"/>
    <n v="0"/>
    <s v="-"/>
    <n v="0"/>
    <m/>
    <n v="0"/>
    <m/>
    <m/>
    <m/>
    <m/>
    <n v="0"/>
    <m/>
    <n v="0"/>
    <m/>
    <n v="0"/>
    <m/>
    <n v="0"/>
    <m/>
    <n v="0"/>
    <m/>
    <m/>
    <m/>
    <m/>
    <n v="0"/>
    <m/>
    <n v="0"/>
    <m/>
    <n v="0"/>
    <m/>
    <n v="0"/>
    <m/>
    <n v="0"/>
    <m/>
    <m/>
    <m/>
    <m/>
    <n v="0"/>
    <n v="0"/>
    <n v="0"/>
    <n v="0"/>
    <n v="0"/>
    <n v="0"/>
    <n v="0"/>
    <n v="0"/>
    <n v="0"/>
    <m/>
    <n v="0"/>
    <n v="0"/>
    <m/>
    <m/>
    <n v="0"/>
    <s v="Malaria"/>
    <x v="1"/>
  </r>
  <r>
    <n v="17"/>
    <x v="0"/>
    <x v="2"/>
    <x v="2"/>
    <x v="0"/>
    <m/>
    <m/>
    <m/>
    <m/>
    <m/>
    <m/>
    <m/>
    <m/>
    <m/>
    <s v="-"/>
    <n v="0"/>
    <s v="-"/>
    <n v="0"/>
    <s v="-"/>
    <n v="0"/>
    <s v="-"/>
    <n v="0"/>
    <m/>
    <n v="0"/>
    <m/>
    <m/>
    <m/>
    <m/>
    <n v="0"/>
    <m/>
    <n v="0"/>
    <m/>
    <n v="0"/>
    <m/>
    <n v="0"/>
    <m/>
    <n v="0"/>
    <m/>
    <m/>
    <m/>
    <m/>
    <n v="0"/>
    <m/>
    <n v="0"/>
    <m/>
    <n v="0"/>
    <m/>
    <n v="0"/>
    <m/>
    <n v="0"/>
    <m/>
    <m/>
    <m/>
    <m/>
    <n v="0"/>
    <n v="0"/>
    <n v="0"/>
    <n v="0"/>
    <n v="0"/>
    <n v="0"/>
    <n v="0"/>
    <n v="0"/>
    <n v="0"/>
    <m/>
    <n v="0"/>
    <n v="0"/>
    <m/>
    <m/>
    <n v="0"/>
    <s v="Malaria"/>
    <x v="2"/>
  </r>
  <r>
    <n v="18"/>
    <x v="0"/>
    <x v="2"/>
    <x v="1"/>
    <x v="1"/>
    <m/>
    <m/>
    <m/>
    <m/>
    <m/>
    <m/>
    <m/>
    <m/>
    <m/>
    <s v="-"/>
    <n v="0"/>
    <s v="-"/>
    <n v="0"/>
    <s v="-"/>
    <n v="0"/>
    <s v="-"/>
    <n v="0"/>
    <m/>
    <n v="0"/>
    <m/>
    <m/>
    <m/>
    <m/>
    <n v="0"/>
    <m/>
    <n v="0"/>
    <m/>
    <n v="0"/>
    <m/>
    <n v="0"/>
    <m/>
    <n v="0"/>
    <m/>
    <m/>
    <m/>
    <m/>
    <n v="0"/>
    <m/>
    <n v="0"/>
    <m/>
    <n v="0"/>
    <m/>
    <n v="0"/>
    <m/>
    <n v="0"/>
    <m/>
    <m/>
    <m/>
    <m/>
    <n v="0"/>
    <n v="0"/>
    <n v="0"/>
    <n v="0"/>
    <n v="0"/>
    <n v="0"/>
    <n v="0"/>
    <n v="0"/>
    <n v="0"/>
    <m/>
    <n v="0"/>
    <n v="0"/>
    <m/>
    <m/>
    <n v="0"/>
    <s v="Malaria"/>
    <x v="1"/>
  </r>
  <r>
    <n v="19"/>
    <x v="0"/>
    <x v="2"/>
    <x v="1"/>
    <x v="2"/>
    <m/>
    <m/>
    <m/>
    <m/>
    <m/>
    <m/>
    <m/>
    <m/>
    <m/>
    <s v="-"/>
    <n v="0"/>
    <s v="-"/>
    <n v="0"/>
    <s v="-"/>
    <n v="0"/>
    <s v="-"/>
    <n v="0"/>
    <m/>
    <n v="0"/>
    <m/>
    <m/>
    <m/>
    <m/>
    <n v="0"/>
    <m/>
    <n v="0"/>
    <m/>
    <n v="0"/>
    <m/>
    <n v="0"/>
    <m/>
    <n v="0"/>
    <m/>
    <m/>
    <m/>
    <m/>
    <n v="0"/>
    <m/>
    <n v="0"/>
    <m/>
    <n v="0"/>
    <m/>
    <n v="0"/>
    <m/>
    <n v="0"/>
    <m/>
    <m/>
    <m/>
    <m/>
    <n v="0"/>
    <n v="0"/>
    <n v="0"/>
    <n v="0"/>
    <n v="0"/>
    <n v="0"/>
    <n v="0"/>
    <n v="0"/>
    <n v="0"/>
    <m/>
    <n v="0"/>
    <n v="0"/>
    <m/>
    <m/>
    <n v="0"/>
    <s v="Malaria"/>
    <x v="1"/>
  </r>
  <r>
    <n v="20"/>
    <x v="0"/>
    <x v="2"/>
    <x v="1"/>
    <x v="3"/>
    <m/>
    <m/>
    <m/>
    <m/>
    <m/>
    <m/>
    <m/>
    <m/>
    <m/>
    <s v="-"/>
    <n v="0"/>
    <s v="-"/>
    <n v="0"/>
    <s v="-"/>
    <n v="0"/>
    <s v="-"/>
    <n v="0"/>
    <m/>
    <n v="0"/>
    <m/>
    <m/>
    <m/>
    <m/>
    <n v="0"/>
    <m/>
    <n v="0"/>
    <m/>
    <n v="0"/>
    <m/>
    <n v="0"/>
    <m/>
    <n v="0"/>
    <m/>
    <m/>
    <m/>
    <m/>
    <n v="0"/>
    <m/>
    <n v="0"/>
    <m/>
    <n v="0"/>
    <m/>
    <n v="0"/>
    <m/>
    <n v="0"/>
    <m/>
    <m/>
    <m/>
    <m/>
    <n v="0"/>
    <n v="0"/>
    <n v="0"/>
    <n v="0"/>
    <n v="0"/>
    <n v="0"/>
    <n v="0"/>
    <n v="0"/>
    <n v="0"/>
    <m/>
    <n v="0"/>
    <n v="0"/>
    <m/>
    <m/>
    <n v="0"/>
    <s v="Malaria"/>
    <x v="1"/>
  </r>
  <r>
    <n v="21"/>
    <x v="0"/>
    <x v="2"/>
    <x v="1"/>
    <x v="4"/>
    <m/>
    <m/>
    <m/>
    <m/>
    <m/>
    <m/>
    <m/>
    <m/>
    <m/>
    <s v="-"/>
    <n v="0"/>
    <s v="-"/>
    <n v="0"/>
    <s v="-"/>
    <n v="0"/>
    <s v="-"/>
    <n v="0"/>
    <m/>
    <n v="0"/>
    <m/>
    <m/>
    <m/>
    <m/>
    <n v="0"/>
    <m/>
    <n v="0"/>
    <m/>
    <n v="0"/>
    <m/>
    <n v="0"/>
    <m/>
    <n v="0"/>
    <m/>
    <m/>
    <m/>
    <m/>
    <n v="0"/>
    <m/>
    <n v="0"/>
    <m/>
    <n v="0"/>
    <m/>
    <n v="0"/>
    <m/>
    <n v="0"/>
    <m/>
    <m/>
    <m/>
    <m/>
    <n v="0"/>
    <n v="0"/>
    <n v="0"/>
    <n v="0"/>
    <n v="0"/>
    <n v="0"/>
    <n v="0"/>
    <n v="0"/>
    <n v="0"/>
    <m/>
    <n v="0"/>
    <n v="0"/>
    <m/>
    <m/>
    <n v="0"/>
    <s v="Malaria"/>
    <x v="1"/>
  </r>
  <r>
    <n v="22"/>
    <x v="0"/>
    <x v="2"/>
    <x v="1"/>
    <x v="5"/>
    <m/>
    <m/>
    <m/>
    <m/>
    <m/>
    <m/>
    <m/>
    <m/>
    <m/>
    <s v="-"/>
    <n v="0"/>
    <s v="-"/>
    <n v="0"/>
    <s v="-"/>
    <n v="0"/>
    <s v="-"/>
    <n v="0"/>
    <m/>
    <n v="0"/>
    <m/>
    <m/>
    <m/>
    <m/>
    <n v="0"/>
    <m/>
    <n v="0"/>
    <m/>
    <n v="0"/>
    <m/>
    <n v="0"/>
    <m/>
    <n v="0"/>
    <m/>
    <m/>
    <m/>
    <m/>
    <n v="0"/>
    <m/>
    <n v="0"/>
    <m/>
    <n v="0"/>
    <m/>
    <n v="0"/>
    <m/>
    <n v="0"/>
    <m/>
    <m/>
    <m/>
    <m/>
    <n v="0"/>
    <n v="0"/>
    <n v="0"/>
    <n v="0"/>
    <n v="0"/>
    <n v="0"/>
    <n v="0"/>
    <n v="0"/>
    <n v="0"/>
    <m/>
    <n v="0"/>
    <n v="0"/>
    <m/>
    <m/>
    <n v="0"/>
    <s v="Malaria"/>
    <x v="1"/>
  </r>
  <r>
    <n v="23"/>
    <x v="0"/>
    <x v="2"/>
    <x v="1"/>
    <x v="6"/>
    <m/>
    <m/>
    <m/>
    <m/>
    <m/>
    <m/>
    <m/>
    <m/>
    <m/>
    <s v="-"/>
    <n v="0"/>
    <s v="-"/>
    <n v="0"/>
    <s v="-"/>
    <n v="0"/>
    <s v="-"/>
    <n v="0"/>
    <m/>
    <n v="0"/>
    <m/>
    <m/>
    <m/>
    <m/>
    <n v="0"/>
    <m/>
    <n v="0"/>
    <m/>
    <n v="0"/>
    <m/>
    <n v="0"/>
    <m/>
    <n v="0"/>
    <m/>
    <m/>
    <m/>
    <m/>
    <n v="0"/>
    <m/>
    <n v="0"/>
    <m/>
    <n v="0"/>
    <m/>
    <n v="0"/>
    <m/>
    <n v="0"/>
    <m/>
    <m/>
    <m/>
    <m/>
    <n v="0"/>
    <n v="0"/>
    <n v="0"/>
    <n v="0"/>
    <n v="0"/>
    <n v="0"/>
    <n v="0"/>
    <n v="0"/>
    <n v="0"/>
    <m/>
    <n v="0"/>
    <n v="0"/>
    <m/>
    <m/>
    <n v="0"/>
    <s v="Malaria"/>
    <x v="1"/>
  </r>
  <r>
    <n v="24"/>
    <x v="0"/>
    <x v="2"/>
    <x v="1"/>
    <x v="7"/>
    <m/>
    <m/>
    <m/>
    <m/>
    <m/>
    <m/>
    <m/>
    <m/>
    <m/>
    <s v="-"/>
    <n v="0"/>
    <s v="-"/>
    <n v="0"/>
    <s v="-"/>
    <n v="0"/>
    <s v="-"/>
    <n v="0"/>
    <m/>
    <n v="0"/>
    <m/>
    <m/>
    <m/>
    <m/>
    <n v="0"/>
    <m/>
    <n v="0"/>
    <m/>
    <n v="0"/>
    <m/>
    <n v="0"/>
    <m/>
    <n v="0"/>
    <m/>
    <m/>
    <m/>
    <m/>
    <n v="0"/>
    <m/>
    <n v="0"/>
    <m/>
    <n v="0"/>
    <m/>
    <n v="0"/>
    <m/>
    <n v="0"/>
    <m/>
    <m/>
    <m/>
    <m/>
    <n v="0"/>
    <n v="0"/>
    <n v="0"/>
    <n v="0"/>
    <n v="0"/>
    <n v="0"/>
    <n v="0"/>
    <n v="0"/>
    <n v="0"/>
    <m/>
    <n v="0"/>
    <n v="0"/>
    <m/>
    <m/>
    <n v="0"/>
    <s v="Malaria"/>
    <x v="1"/>
  </r>
  <r>
    <n v="25"/>
    <x v="0"/>
    <x v="3"/>
    <x v="2"/>
    <x v="0"/>
    <m/>
    <m/>
    <m/>
    <m/>
    <m/>
    <m/>
    <m/>
    <m/>
    <m/>
    <s v="-"/>
    <n v="0"/>
    <s v="-"/>
    <n v="0"/>
    <s v="-"/>
    <n v="0"/>
    <s v="-"/>
    <n v="0"/>
    <m/>
    <n v="0"/>
    <m/>
    <m/>
    <m/>
    <m/>
    <n v="0"/>
    <m/>
    <n v="0"/>
    <m/>
    <n v="0"/>
    <m/>
    <n v="0"/>
    <m/>
    <n v="0"/>
    <m/>
    <m/>
    <m/>
    <m/>
    <n v="0"/>
    <m/>
    <n v="0"/>
    <m/>
    <n v="0"/>
    <m/>
    <n v="0"/>
    <m/>
    <n v="0"/>
    <m/>
    <m/>
    <m/>
    <m/>
    <n v="0"/>
    <n v="0"/>
    <n v="0"/>
    <n v="0"/>
    <n v="0"/>
    <n v="0"/>
    <n v="0"/>
    <n v="0"/>
    <n v="0"/>
    <m/>
    <n v="0"/>
    <n v="0"/>
    <m/>
    <m/>
    <n v="0"/>
    <s v="Malaria"/>
    <x v="2"/>
  </r>
  <r>
    <n v="26"/>
    <x v="0"/>
    <x v="3"/>
    <x v="1"/>
    <x v="1"/>
    <m/>
    <m/>
    <m/>
    <m/>
    <m/>
    <m/>
    <m/>
    <m/>
    <m/>
    <s v="-"/>
    <n v="0"/>
    <s v="-"/>
    <n v="0"/>
    <s v="-"/>
    <n v="0"/>
    <s v="-"/>
    <n v="0"/>
    <m/>
    <n v="0"/>
    <m/>
    <m/>
    <m/>
    <m/>
    <n v="0"/>
    <m/>
    <n v="0"/>
    <m/>
    <n v="0"/>
    <m/>
    <n v="0"/>
    <m/>
    <n v="0"/>
    <m/>
    <m/>
    <m/>
    <m/>
    <n v="0"/>
    <m/>
    <n v="0"/>
    <m/>
    <n v="0"/>
    <m/>
    <n v="0"/>
    <m/>
    <n v="0"/>
    <m/>
    <m/>
    <m/>
    <m/>
    <n v="0"/>
    <n v="0"/>
    <n v="0"/>
    <n v="0"/>
    <n v="0"/>
    <n v="0"/>
    <n v="0"/>
    <n v="0"/>
    <n v="0"/>
    <m/>
    <n v="0"/>
    <n v="0"/>
    <m/>
    <m/>
    <n v="0"/>
    <s v="Malaria"/>
    <x v="1"/>
  </r>
  <r>
    <n v="27"/>
    <x v="0"/>
    <x v="3"/>
    <x v="1"/>
    <x v="2"/>
    <m/>
    <m/>
    <m/>
    <m/>
    <m/>
    <m/>
    <m/>
    <m/>
    <m/>
    <s v="-"/>
    <n v="0"/>
    <s v="-"/>
    <n v="0"/>
    <s v="-"/>
    <n v="0"/>
    <s v="-"/>
    <n v="0"/>
    <m/>
    <n v="0"/>
    <m/>
    <m/>
    <m/>
    <m/>
    <n v="0"/>
    <m/>
    <n v="0"/>
    <m/>
    <n v="0"/>
    <m/>
    <n v="0"/>
    <m/>
    <n v="0"/>
    <m/>
    <m/>
    <m/>
    <m/>
    <n v="0"/>
    <m/>
    <n v="0"/>
    <m/>
    <n v="0"/>
    <m/>
    <n v="0"/>
    <m/>
    <n v="0"/>
    <m/>
    <m/>
    <m/>
    <m/>
    <n v="0"/>
    <n v="0"/>
    <n v="0"/>
    <n v="0"/>
    <n v="0"/>
    <n v="0"/>
    <n v="0"/>
    <n v="0"/>
    <n v="0"/>
    <m/>
    <n v="0"/>
    <n v="0"/>
    <m/>
    <m/>
    <n v="0"/>
    <s v="Malaria"/>
    <x v="1"/>
  </r>
  <r>
    <n v="28"/>
    <x v="0"/>
    <x v="3"/>
    <x v="1"/>
    <x v="3"/>
    <m/>
    <m/>
    <m/>
    <m/>
    <m/>
    <m/>
    <m/>
    <m/>
    <m/>
    <s v="-"/>
    <n v="0"/>
    <s v="-"/>
    <n v="0"/>
    <s v="-"/>
    <n v="0"/>
    <s v="-"/>
    <n v="0"/>
    <m/>
    <n v="0"/>
    <m/>
    <m/>
    <m/>
    <m/>
    <n v="0"/>
    <m/>
    <n v="0"/>
    <m/>
    <n v="0"/>
    <m/>
    <n v="0"/>
    <m/>
    <n v="0"/>
    <m/>
    <m/>
    <m/>
    <m/>
    <n v="0"/>
    <m/>
    <n v="0"/>
    <m/>
    <n v="0"/>
    <m/>
    <n v="0"/>
    <m/>
    <n v="0"/>
    <m/>
    <m/>
    <m/>
    <m/>
    <n v="0"/>
    <n v="0"/>
    <n v="0"/>
    <n v="0"/>
    <n v="0"/>
    <n v="0"/>
    <n v="0"/>
    <n v="0"/>
    <n v="0"/>
    <m/>
    <n v="0"/>
    <n v="0"/>
    <m/>
    <m/>
    <n v="0"/>
    <s v="Malaria"/>
    <x v="1"/>
  </r>
  <r>
    <n v="29"/>
    <x v="0"/>
    <x v="3"/>
    <x v="1"/>
    <x v="4"/>
    <m/>
    <m/>
    <m/>
    <m/>
    <m/>
    <m/>
    <m/>
    <m/>
    <m/>
    <s v="-"/>
    <n v="0"/>
    <s v="-"/>
    <n v="0"/>
    <s v="-"/>
    <n v="0"/>
    <s v="-"/>
    <n v="0"/>
    <m/>
    <n v="0"/>
    <m/>
    <m/>
    <m/>
    <m/>
    <n v="0"/>
    <m/>
    <n v="0"/>
    <m/>
    <n v="0"/>
    <m/>
    <n v="0"/>
    <m/>
    <n v="0"/>
    <m/>
    <m/>
    <m/>
    <m/>
    <n v="0"/>
    <m/>
    <n v="0"/>
    <m/>
    <n v="0"/>
    <m/>
    <n v="0"/>
    <m/>
    <n v="0"/>
    <m/>
    <m/>
    <m/>
    <m/>
    <n v="0"/>
    <n v="0"/>
    <n v="0"/>
    <n v="0"/>
    <n v="0"/>
    <n v="0"/>
    <n v="0"/>
    <n v="0"/>
    <n v="0"/>
    <m/>
    <n v="0"/>
    <n v="0"/>
    <m/>
    <m/>
    <n v="0"/>
    <s v="Malaria"/>
    <x v="1"/>
  </r>
  <r>
    <n v="30"/>
    <x v="0"/>
    <x v="3"/>
    <x v="1"/>
    <x v="5"/>
    <m/>
    <m/>
    <m/>
    <m/>
    <m/>
    <m/>
    <m/>
    <m/>
    <m/>
    <s v="-"/>
    <n v="0"/>
    <s v="-"/>
    <n v="0"/>
    <s v="-"/>
    <n v="0"/>
    <s v="-"/>
    <n v="0"/>
    <m/>
    <n v="0"/>
    <m/>
    <m/>
    <m/>
    <m/>
    <n v="0"/>
    <m/>
    <n v="0"/>
    <m/>
    <n v="0"/>
    <m/>
    <n v="0"/>
    <m/>
    <n v="0"/>
    <m/>
    <m/>
    <m/>
    <m/>
    <n v="0"/>
    <m/>
    <n v="0"/>
    <m/>
    <n v="0"/>
    <m/>
    <n v="0"/>
    <m/>
    <n v="0"/>
    <m/>
    <m/>
    <m/>
    <m/>
    <n v="0"/>
    <n v="0"/>
    <n v="0"/>
    <n v="0"/>
    <n v="0"/>
    <n v="0"/>
    <n v="0"/>
    <n v="0"/>
    <n v="0"/>
    <m/>
    <n v="0"/>
    <n v="0"/>
    <m/>
    <m/>
    <n v="0"/>
    <s v="Malaria"/>
    <x v="1"/>
  </r>
  <r>
    <n v="31"/>
    <x v="0"/>
    <x v="3"/>
    <x v="1"/>
    <x v="6"/>
    <m/>
    <m/>
    <m/>
    <m/>
    <m/>
    <m/>
    <m/>
    <m/>
    <m/>
    <s v="-"/>
    <n v="0"/>
    <s v="-"/>
    <n v="0"/>
    <s v="-"/>
    <n v="0"/>
    <s v="-"/>
    <n v="0"/>
    <m/>
    <n v="0"/>
    <m/>
    <m/>
    <m/>
    <m/>
    <n v="0"/>
    <m/>
    <n v="0"/>
    <m/>
    <n v="0"/>
    <m/>
    <n v="0"/>
    <m/>
    <n v="0"/>
    <m/>
    <m/>
    <m/>
    <m/>
    <n v="0"/>
    <m/>
    <n v="0"/>
    <m/>
    <n v="0"/>
    <m/>
    <n v="0"/>
    <m/>
    <n v="0"/>
    <m/>
    <m/>
    <m/>
    <m/>
    <n v="0"/>
    <n v="0"/>
    <n v="0"/>
    <n v="0"/>
    <n v="0"/>
    <n v="0"/>
    <n v="0"/>
    <n v="0"/>
    <n v="0"/>
    <m/>
    <n v="0"/>
    <n v="0"/>
    <m/>
    <m/>
    <n v="0"/>
    <s v="Malaria"/>
    <x v="1"/>
  </r>
  <r>
    <n v="32"/>
    <x v="0"/>
    <x v="3"/>
    <x v="1"/>
    <x v="7"/>
    <m/>
    <m/>
    <m/>
    <m/>
    <m/>
    <m/>
    <m/>
    <m/>
    <m/>
    <s v="-"/>
    <n v="0"/>
    <s v="-"/>
    <n v="0"/>
    <s v="-"/>
    <n v="0"/>
    <s v="-"/>
    <n v="0"/>
    <m/>
    <n v="0"/>
    <m/>
    <m/>
    <m/>
    <m/>
    <n v="0"/>
    <m/>
    <n v="0"/>
    <m/>
    <n v="0"/>
    <m/>
    <n v="0"/>
    <m/>
    <n v="0"/>
    <m/>
    <m/>
    <m/>
    <m/>
    <n v="0"/>
    <m/>
    <n v="0"/>
    <m/>
    <n v="0"/>
    <m/>
    <n v="0"/>
    <m/>
    <n v="0"/>
    <m/>
    <m/>
    <m/>
    <m/>
    <n v="0"/>
    <n v="0"/>
    <n v="0"/>
    <n v="0"/>
    <n v="0"/>
    <n v="0"/>
    <n v="0"/>
    <n v="0"/>
    <n v="0"/>
    <m/>
    <n v="0"/>
    <n v="0"/>
    <m/>
    <m/>
    <n v="0"/>
    <s v="Malaria"/>
    <x v="1"/>
  </r>
  <r>
    <n v="33"/>
    <x v="0"/>
    <x v="4"/>
    <x v="2"/>
    <x v="0"/>
    <m/>
    <m/>
    <m/>
    <m/>
    <m/>
    <m/>
    <m/>
    <m/>
    <m/>
    <s v="-"/>
    <n v="0"/>
    <s v="-"/>
    <n v="0"/>
    <s v="-"/>
    <n v="0"/>
    <s v="-"/>
    <n v="0"/>
    <m/>
    <n v="0"/>
    <m/>
    <m/>
    <m/>
    <m/>
    <n v="0"/>
    <m/>
    <n v="0"/>
    <m/>
    <n v="0"/>
    <m/>
    <n v="0"/>
    <m/>
    <n v="0"/>
    <m/>
    <m/>
    <m/>
    <m/>
    <n v="0"/>
    <m/>
    <n v="0"/>
    <m/>
    <n v="0"/>
    <m/>
    <n v="0"/>
    <m/>
    <n v="0"/>
    <m/>
    <m/>
    <m/>
    <m/>
    <n v="0"/>
    <n v="0"/>
    <n v="0"/>
    <n v="0"/>
    <n v="0"/>
    <n v="0"/>
    <n v="0"/>
    <n v="0"/>
    <n v="0"/>
    <m/>
    <n v="0"/>
    <n v="0"/>
    <m/>
    <m/>
    <n v="0"/>
    <s v="Malaria"/>
    <x v="2"/>
  </r>
  <r>
    <n v="34"/>
    <x v="0"/>
    <x v="4"/>
    <x v="1"/>
    <x v="1"/>
    <m/>
    <m/>
    <m/>
    <m/>
    <m/>
    <m/>
    <m/>
    <m/>
    <m/>
    <s v="-"/>
    <n v="0"/>
    <s v="-"/>
    <n v="0"/>
    <s v="-"/>
    <n v="0"/>
    <s v="-"/>
    <n v="0"/>
    <m/>
    <n v="0"/>
    <m/>
    <m/>
    <m/>
    <m/>
    <n v="0"/>
    <m/>
    <n v="0"/>
    <m/>
    <n v="0"/>
    <m/>
    <n v="0"/>
    <m/>
    <n v="0"/>
    <m/>
    <m/>
    <m/>
    <m/>
    <n v="0"/>
    <m/>
    <n v="0"/>
    <m/>
    <n v="0"/>
    <m/>
    <n v="0"/>
    <m/>
    <n v="0"/>
    <m/>
    <m/>
    <m/>
    <m/>
    <n v="0"/>
    <n v="0"/>
    <n v="0"/>
    <n v="0"/>
    <n v="0"/>
    <n v="0"/>
    <n v="0"/>
    <n v="0"/>
    <n v="0"/>
    <m/>
    <n v="0"/>
    <n v="0"/>
    <m/>
    <m/>
    <n v="0"/>
    <s v="Malaria"/>
    <x v="1"/>
  </r>
  <r>
    <n v="35"/>
    <x v="0"/>
    <x v="4"/>
    <x v="1"/>
    <x v="2"/>
    <m/>
    <m/>
    <m/>
    <m/>
    <m/>
    <m/>
    <m/>
    <m/>
    <m/>
    <s v="-"/>
    <n v="0"/>
    <s v="-"/>
    <n v="0"/>
    <s v="-"/>
    <n v="0"/>
    <s v="-"/>
    <n v="0"/>
    <m/>
    <n v="0"/>
    <m/>
    <m/>
    <m/>
    <m/>
    <n v="0"/>
    <m/>
    <n v="0"/>
    <m/>
    <n v="0"/>
    <m/>
    <n v="0"/>
    <m/>
    <n v="0"/>
    <m/>
    <m/>
    <m/>
    <m/>
    <n v="0"/>
    <m/>
    <n v="0"/>
    <m/>
    <n v="0"/>
    <m/>
    <n v="0"/>
    <m/>
    <n v="0"/>
    <m/>
    <m/>
    <m/>
    <m/>
    <n v="0"/>
    <n v="0"/>
    <n v="0"/>
    <n v="0"/>
    <n v="0"/>
    <n v="0"/>
    <n v="0"/>
    <n v="0"/>
    <n v="0"/>
    <m/>
    <n v="0"/>
    <n v="0"/>
    <m/>
    <m/>
    <n v="0"/>
    <s v="Malaria"/>
    <x v="1"/>
  </r>
  <r>
    <n v="36"/>
    <x v="0"/>
    <x v="4"/>
    <x v="1"/>
    <x v="3"/>
    <m/>
    <m/>
    <m/>
    <m/>
    <m/>
    <m/>
    <m/>
    <m/>
    <m/>
    <s v="-"/>
    <n v="0"/>
    <s v="-"/>
    <n v="0"/>
    <s v="-"/>
    <n v="0"/>
    <s v="-"/>
    <n v="0"/>
    <m/>
    <n v="0"/>
    <m/>
    <m/>
    <m/>
    <m/>
    <n v="0"/>
    <m/>
    <n v="0"/>
    <m/>
    <n v="0"/>
    <m/>
    <n v="0"/>
    <m/>
    <n v="0"/>
    <m/>
    <m/>
    <m/>
    <m/>
    <n v="0"/>
    <m/>
    <n v="0"/>
    <m/>
    <n v="0"/>
    <m/>
    <n v="0"/>
    <m/>
    <n v="0"/>
    <m/>
    <m/>
    <m/>
    <m/>
    <n v="0"/>
    <n v="0"/>
    <n v="0"/>
    <n v="0"/>
    <n v="0"/>
    <n v="0"/>
    <n v="0"/>
    <n v="0"/>
    <n v="0"/>
    <m/>
    <n v="0"/>
    <n v="0"/>
    <m/>
    <m/>
    <n v="0"/>
    <s v="Malaria"/>
    <x v="1"/>
  </r>
  <r>
    <n v="37"/>
    <x v="0"/>
    <x v="4"/>
    <x v="1"/>
    <x v="4"/>
    <m/>
    <m/>
    <m/>
    <m/>
    <m/>
    <m/>
    <m/>
    <m/>
    <m/>
    <s v="-"/>
    <n v="0"/>
    <s v="-"/>
    <n v="0"/>
    <s v="-"/>
    <n v="0"/>
    <s v="-"/>
    <n v="0"/>
    <m/>
    <n v="0"/>
    <m/>
    <m/>
    <m/>
    <m/>
    <n v="0"/>
    <m/>
    <n v="0"/>
    <m/>
    <n v="0"/>
    <m/>
    <n v="0"/>
    <m/>
    <n v="0"/>
    <m/>
    <m/>
    <m/>
    <m/>
    <n v="0"/>
    <m/>
    <n v="0"/>
    <m/>
    <n v="0"/>
    <m/>
    <n v="0"/>
    <m/>
    <n v="0"/>
    <m/>
    <m/>
    <m/>
    <m/>
    <n v="0"/>
    <n v="0"/>
    <n v="0"/>
    <n v="0"/>
    <n v="0"/>
    <n v="0"/>
    <n v="0"/>
    <n v="0"/>
    <n v="0"/>
    <m/>
    <n v="0"/>
    <n v="0"/>
    <m/>
    <m/>
    <n v="0"/>
    <s v="Malaria"/>
    <x v="1"/>
  </r>
  <r>
    <n v="38"/>
    <x v="0"/>
    <x v="4"/>
    <x v="1"/>
    <x v="5"/>
    <m/>
    <m/>
    <m/>
    <m/>
    <m/>
    <m/>
    <m/>
    <m/>
    <m/>
    <s v="-"/>
    <n v="0"/>
    <s v="-"/>
    <n v="0"/>
    <s v="-"/>
    <n v="0"/>
    <s v="-"/>
    <n v="0"/>
    <m/>
    <n v="0"/>
    <m/>
    <m/>
    <m/>
    <m/>
    <n v="0"/>
    <m/>
    <n v="0"/>
    <m/>
    <n v="0"/>
    <m/>
    <n v="0"/>
    <m/>
    <n v="0"/>
    <m/>
    <m/>
    <m/>
    <m/>
    <n v="0"/>
    <m/>
    <n v="0"/>
    <m/>
    <n v="0"/>
    <m/>
    <n v="0"/>
    <m/>
    <n v="0"/>
    <m/>
    <m/>
    <m/>
    <m/>
    <n v="0"/>
    <n v="0"/>
    <n v="0"/>
    <n v="0"/>
    <n v="0"/>
    <n v="0"/>
    <n v="0"/>
    <n v="0"/>
    <n v="0"/>
    <m/>
    <n v="0"/>
    <n v="0"/>
    <m/>
    <m/>
    <n v="0"/>
    <s v="Malaria"/>
    <x v="1"/>
  </r>
  <r>
    <n v="39"/>
    <x v="0"/>
    <x v="4"/>
    <x v="1"/>
    <x v="6"/>
    <m/>
    <m/>
    <m/>
    <m/>
    <m/>
    <m/>
    <m/>
    <m/>
    <m/>
    <s v="-"/>
    <n v="0"/>
    <s v="-"/>
    <n v="0"/>
    <s v="-"/>
    <n v="0"/>
    <s v="-"/>
    <n v="0"/>
    <m/>
    <n v="0"/>
    <m/>
    <m/>
    <m/>
    <m/>
    <n v="0"/>
    <m/>
    <n v="0"/>
    <m/>
    <n v="0"/>
    <m/>
    <n v="0"/>
    <m/>
    <n v="0"/>
    <m/>
    <m/>
    <m/>
    <m/>
    <n v="0"/>
    <m/>
    <n v="0"/>
    <m/>
    <n v="0"/>
    <m/>
    <n v="0"/>
    <m/>
    <n v="0"/>
    <m/>
    <m/>
    <m/>
    <m/>
    <n v="0"/>
    <n v="0"/>
    <n v="0"/>
    <n v="0"/>
    <n v="0"/>
    <n v="0"/>
    <n v="0"/>
    <n v="0"/>
    <n v="0"/>
    <m/>
    <n v="0"/>
    <n v="0"/>
    <m/>
    <m/>
    <n v="0"/>
    <s v="Malaria"/>
    <x v="1"/>
  </r>
  <r>
    <n v="40"/>
    <x v="0"/>
    <x v="4"/>
    <x v="1"/>
    <x v="7"/>
    <m/>
    <m/>
    <m/>
    <m/>
    <m/>
    <m/>
    <m/>
    <m/>
    <m/>
    <s v="-"/>
    <n v="0"/>
    <s v="-"/>
    <n v="0"/>
    <s v="-"/>
    <n v="0"/>
    <s v="-"/>
    <n v="0"/>
    <m/>
    <n v="0"/>
    <m/>
    <m/>
    <m/>
    <m/>
    <n v="0"/>
    <m/>
    <n v="0"/>
    <m/>
    <n v="0"/>
    <m/>
    <n v="0"/>
    <m/>
    <n v="0"/>
    <m/>
    <m/>
    <m/>
    <m/>
    <n v="0"/>
    <m/>
    <n v="0"/>
    <m/>
    <n v="0"/>
    <m/>
    <n v="0"/>
    <m/>
    <n v="0"/>
    <m/>
    <m/>
    <m/>
    <m/>
    <n v="0"/>
    <n v="0"/>
    <n v="0"/>
    <n v="0"/>
    <n v="0"/>
    <n v="0"/>
    <n v="0"/>
    <n v="0"/>
    <n v="0"/>
    <m/>
    <n v="0"/>
    <n v="0"/>
    <m/>
    <m/>
    <n v="0"/>
    <s v="Malaria"/>
    <x v="1"/>
  </r>
  <r>
    <n v="41"/>
    <x v="0"/>
    <x v="5"/>
    <x v="2"/>
    <x v="0"/>
    <m/>
    <m/>
    <m/>
    <m/>
    <m/>
    <m/>
    <m/>
    <m/>
    <m/>
    <s v="-"/>
    <n v="0"/>
    <s v="-"/>
    <n v="0"/>
    <s v="-"/>
    <n v="0"/>
    <s v="-"/>
    <n v="0"/>
    <m/>
    <n v="0"/>
    <m/>
    <m/>
    <m/>
    <m/>
    <n v="0"/>
    <m/>
    <n v="0"/>
    <m/>
    <n v="0"/>
    <m/>
    <n v="0"/>
    <m/>
    <n v="0"/>
    <m/>
    <m/>
    <m/>
    <m/>
    <n v="0"/>
    <m/>
    <n v="0"/>
    <m/>
    <n v="0"/>
    <m/>
    <n v="0"/>
    <m/>
    <n v="0"/>
    <m/>
    <m/>
    <m/>
    <m/>
    <n v="0"/>
    <n v="0"/>
    <n v="0"/>
    <n v="0"/>
    <n v="0"/>
    <n v="0"/>
    <n v="0"/>
    <n v="0"/>
    <n v="0"/>
    <m/>
    <n v="0"/>
    <n v="0"/>
    <m/>
    <m/>
    <n v="0"/>
    <s v="Malaria"/>
    <x v="2"/>
  </r>
  <r>
    <n v="42"/>
    <x v="0"/>
    <x v="5"/>
    <x v="1"/>
    <x v="1"/>
    <m/>
    <m/>
    <m/>
    <m/>
    <m/>
    <m/>
    <m/>
    <m/>
    <m/>
    <s v="-"/>
    <n v="0"/>
    <s v="-"/>
    <n v="0"/>
    <s v="-"/>
    <n v="0"/>
    <s v="-"/>
    <n v="0"/>
    <m/>
    <n v="0"/>
    <m/>
    <m/>
    <m/>
    <m/>
    <n v="0"/>
    <m/>
    <n v="0"/>
    <m/>
    <n v="0"/>
    <m/>
    <n v="0"/>
    <m/>
    <n v="0"/>
    <m/>
    <m/>
    <m/>
    <m/>
    <n v="0"/>
    <m/>
    <n v="0"/>
    <m/>
    <n v="0"/>
    <m/>
    <n v="0"/>
    <m/>
    <n v="0"/>
    <m/>
    <m/>
    <m/>
    <m/>
    <n v="0"/>
    <n v="0"/>
    <n v="0"/>
    <n v="0"/>
    <n v="0"/>
    <n v="0"/>
    <n v="0"/>
    <n v="0"/>
    <n v="0"/>
    <m/>
    <n v="0"/>
    <n v="0"/>
    <m/>
    <m/>
    <n v="0"/>
    <s v="Malaria"/>
    <x v="1"/>
  </r>
  <r>
    <n v="43"/>
    <x v="0"/>
    <x v="5"/>
    <x v="1"/>
    <x v="2"/>
    <m/>
    <m/>
    <m/>
    <m/>
    <m/>
    <m/>
    <m/>
    <m/>
    <m/>
    <s v="-"/>
    <n v="0"/>
    <s v="-"/>
    <n v="0"/>
    <s v="-"/>
    <n v="0"/>
    <s v="-"/>
    <n v="0"/>
    <m/>
    <n v="0"/>
    <m/>
    <m/>
    <m/>
    <m/>
    <n v="0"/>
    <m/>
    <n v="0"/>
    <m/>
    <n v="0"/>
    <m/>
    <n v="0"/>
    <m/>
    <n v="0"/>
    <m/>
    <m/>
    <m/>
    <m/>
    <n v="0"/>
    <m/>
    <n v="0"/>
    <m/>
    <n v="0"/>
    <m/>
    <n v="0"/>
    <m/>
    <n v="0"/>
    <m/>
    <m/>
    <m/>
    <m/>
    <n v="0"/>
    <n v="0"/>
    <n v="0"/>
    <n v="0"/>
    <n v="0"/>
    <n v="0"/>
    <n v="0"/>
    <n v="0"/>
    <n v="0"/>
    <m/>
    <n v="0"/>
    <n v="0"/>
    <m/>
    <m/>
    <n v="0"/>
    <s v="Malaria"/>
    <x v="1"/>
  </r>
  <r>
    <n v="44"/>
    <x v="0"/>
    <x v="5"/>
    <x v="1"/>
    <x v="3"/>
    <m/>
    <m/>
    <m/>
    <m/>
    <m/>
    <m/>
    <m/>
    <m/>
    <m/>
    <s v="-"/>
    <n v="0"/>
    <s v="-"/>
    <n v="0"/>
    <s v="-"/>
    <n v="0"/>
    <s v="-"/>
    <n v="0"/>
    <m/>
    <n v="0"/>
    <m/>
    <m/>
    <m/>
    <m/>
    <n v="0"/>
    <m/>
    <n v="0"/>
    <m/>
    <n v="0"/>
    <m/>
    <n v="0"/>
    <m/>
    <n v="0"/>
    <m/>
    <m/>
    <m/>
    <m/>
    <n v="0"/>
    <m/>
    <n v="0"/>
    <m/>
    <n v="0"/>
    <m/>
    <n v="0"/>
    <m/>
    <n v="0"/>
    <m/>
    <m/>
    <m/>
    <m/>
    <n v="0"/>
    <n v="0"/>
    <n v="0"/>
    <n v="0"/>
    <n v="0"/>
    <n v="0"/>
    <n v="0"/>
    <n v="0"/>
    <n v="0"/>
    <m/>
    <n v="0"/>
    <n v="0"/>
    <m/>
    <m/>
    <n v="0"/>
    <s v="Malaria"/>
    <x v="1"/>
  </r>
  <r>
    <n v="45"/>
    <x v="0"/>
    <x v="5"/>
    <x v="1"/>
    <x v="4"/>
    <m/>
    <m/>
    <m/>
    <m/>
    <m/>
    <m/>
    <m/>
    <m/>
    <m/>
    <s v="-"/>
    <n v="0"/>
    <s v="-"/>
    <n v="0"/>
    <s v="-"/>
    <n v="0"/>
    <s v="-"/>
    <n v="0"/>
    <m/>
    <n v="0"/>
    <m/>
    <m/>
    <m/>
    <m/>
    <n v="0"/>
    <m/>
    <n v="0"/>
    <m/>
    <n v="0"/>
    <m/>
    <n v="0"/>
    <m/>
    <n v="0"/>
    <m/>
    <m/>
    <m/>
    <m/>
    <n v="0"/>
    <m/>
    <n v="0"/>
    <m/>
    <n v="0"/>
    <m/>
    <n v="0"/>
    <m/>
    <n v="0"/>
    <m/>
    <m/>
    <m/>
    <m/>
    <n v="0"/>
    <n v="0"/>
    <n v="0"/>
    <n v="0"/>
    <n v="0"/>
    <n v="0"/>
    <n v="0"/>
    <n v="0"/>
    <n v="0"/>
    <m/>
    <n v="0"/>
    <n v="0"/>
    <m/>
    <m/>
    <n v="0"/>
    <s v="Malaria"/>
    <x v="1"/>
  </r>
  <r>
    <n v="46"/>
    <x v="0"/>
    <x v="5"/>
    <x v="1"/>
    <x v="5"/>
    <m/>
    <m/>
    <m/>
    <m/>
    <m/>
    <m/>
    <m/>
    <m/>
    <m/>
    <s v="-"/>
    <n v="0"/>
    <s v="-"/>
    <n v="0"/>
    <s v="-"/>
    <n v="0"/>
    <s v="-"/>
    <n v="0"/>
    <m/>
    <n v="0"/>
    <m/>
    <m/>
    <m/>
    <m/>
    <n v="0"/>
    <m/>
    <n v="0"/>
    <m/>
    <n v="0"/>
    <m/>
    <n v="0"/>
    <m/>
    <n v="0"/>
    <m/>
    <m/>
    <m/>
    <m/>
    <n v="0"/>
    <m/>
    <n v="0"/>
    <m/>
    <n v="0"/>
    <m/>
    <n v="0"/>
    <m/>
    <n v="0"/>
    <m/>
    <m/>
    <m/>
    <m/>
    <n v="0"/>
    <n v="0"/>
    <n v="0"/>
    <n v="0"/>
    <n v="0"/>
    <n v="0"/>
    <n v="0"/>
    <n v="0"/>
    <n v="0"/>
    <m/>
    <n v="0"/>
    <n v="0"/>
    <m/>
    <m/>
    <n v="0"/>
    <s v="Malaria"/>
    <x v="1"/>
  </r>
  <r>
    <n v="47"/>
    <x v="0"/>
    <x v="5"/>
    <x v="1"/>
    <x v="6"/>
    <m/>
    <m/>
    <m/>
    <m/>
    <m/>
    <m/>
    <m/>
    <m/>
    <m/>
    <s v="-"/>
    <n v="0"/>
    <s v="-"/>
    <n v="0"/>
    <s v="-"/>
    <n v="0"/>
    <s v="-"/>
    <n v="0"/>
    <m/>
    <n v="0"/>
    <m/>
    <m/>
    <m/>
    <m/>
    <n v="0"/>
    <m/>
    <n v="0"/>
    <m/>
    <n v="0"/>
    <m/>
    <n v="0"/>
    <m/>
    <n v="0"/>
    <m/>
    <m/>
    <m/>
    <m/>
    <n v="0"/>
    <m/>
    <n v="0"/>
    <m/>
    <n v="0"/>
    <m/>
    <n v="0"/>
    <m/>
    <n v="0"/>
    <m/>
    <m/>
    <m/>
    <m/>
    <n v="0"/>
    <n v="0"/>
    <n v="0"/>
    <n v="0"/>
    <n v="0"/>
    <n v="0"/>
    <n v="0"/>
    <n v="0"/>
    <n v="0"/>
    <m/>
    <n v="0"/>
    <n v="0"/>
    <m/>
    <m/>
    <n v="0"/>
    <s v="Malaria"/>
    <x v="1"/>
  </r>
  <r>
    <n v="48"/>
    <x v="0"/>
    <x v="5"/>
    <x v="1"/>
    <x v="7"/>
    <m/>
    <m/>
    <m/>
    <m/>
    <m/>
    <m/>
    <m/>
    <m/>
    <m/>
    <s v="-"/>
    <n v="0"/>
    <s v="-"/>
    <n v="0"/>
    <s v="-"/>
    <n v="0"/>
    <s v="-"/>
    <n v="0"/>
    <m/>
    <n v="0"/>
    <m/>
    <m/>
    <m/>
    <m/>
    <n v="0"/>
    <m/>
    <n v="0"/>
    <m/>
    <n v="0"/>
    <m/>
    <n v="0"/>
    <m/>
    <n v="0"/>
    <m/>
    <m/>
    <m/>
    <m/>
    <n v="0"/>
    <m/>
    <n v="0"/>
    <m/>
    <n v="0"/>
    <m/>
    <n v="0"/>
    <m/>
    <n v="0"/>
    <m/>
    <m/>
    <m/>
    <m/>
    <n v="0"/>
    <n v="0"/>
    <n v="0"/>
    <n v="0"/>
    <n v="0"/>
    <n v="0"/>
    <n v="0"/>
    <n v="0"/>
    <n v="0"/>
    <m/>
    <n v="0"/>
    <n v="0"/>
    <m/>
    <m/>
    <n v="0"/>
    <s v="Malaria"/>
    <x v="1"/>
  </r>
  <r>
    <n v="49"/>
    <x v="0"/>
    <x v="6"/>
    <x v="3"/>
    <x v="8"/>
    <m/>
    <m/>
    <m/>
    <m/>
    <m/>
    <m/>
    <m/>
    <m/>
    <m/>
    <s v="-"/>
    <n v="0"/>
    <s v="-"/>
    <n v="0"/>
    <s v="-"/>
    <n v="0"/>
    <s v="-"/>
    <n v="0"/>
    <m/>
    <n v="0"/>
    <m/>
    <m/>
    <m/>
    <m/>
    <n v="0"/>
    <m/>
    <n v="0"/>
    <m/>
    <n v="0"/>
    <m/>
    <n v="0"/>
    <m/>
    <n v="0"/>
    <m/>
    <m/>
    <m/>
    <m/>
    <n v="0"/>
    <m/>
    <n v="0"/>
    <m/>
    <n v="0"/>
    <m/>
    <n v="0"/>
    <m/>
    <n v="0"/>
    <m/>
    <m/>
    <m/>
    <m/>
    <n v="0"/>
    <n v="0"/>
    <n v="0"/>
    <n v="0"/>
    <n v="0"/>
    <n v="0"/>
    <n v="0"/>
    <n v="0"/>
    <n v="0"/>
    <m/>
    <n v="0"/>
    <n v="0"/>
    <m/>
    <m/>
    <n v="0"/>
    <s v="Malaria"/>
    <x v="3"/>
  </r>
  <r>
    <n v="50"/>
    <x v="0"/>
    <x v="6"/>
    <x v="4"/>
    <x v="9"/>
    <m/>
    <m/>
    <m/>
    <m/>
    <m/>
    <m/>
    <m/>
    <m/>
    <m/>
    <s v="-"/>
    <n v="0"/>
    <s v="-"/>
    <n v="0"/>
    <s v="-"/>
    <n v="0"/>
    <s v="-"/>
    <n v="0"/>
    <m/>
    <n v="0"/>
    <m/>
    <m/>
    <m/>
    <m/>
    <n v="0"/>
    <m/>
    <n v="0"/>
    <m/>
    <n v="0"/>
    <m/>
    <n v="0"/>
    <m/>
    <n v="0"/>
    <m/>
    <m/>
    <m/>
    <m/>
    <n v="0"/>
    <m/>
    <n v="0"/>
    <m/>
    <n v="0"/>
    <m/>
    <n v="0"/>
    <m/>
    <n v="0"/>
    <m/>
    <m/>
    <m/>
    <m/>
    <n v="0"/>
    <n v="0"/>
    <n v="0"/>
    <n v="0"/>
    <n v="0"/>
    <n v="0"/>
    <n v="0"/>
    <n v="0"/>
    <n v="0"/>
    <m/>
    <n v="0"/>
    <n v="0"/>
    <m/>
    <m/>
    <n v="0"/>
    <s v="Malaria"/>
    <x v="4"/>
  </r>
  <r>
    <n v="51"/>
    <x v="0"/>
    <x v="6"/>
    <x v="1"/>
    <x v="1"/>
    <m/>
    <m/>
    <m/>
    <m/>
    <m/>
    <m/>
    <m/>
    <m/>
    <m/>
    <s v="-"/>
    <n v="0"/>
    <s v="-"/>
    <n v="0"/>
    <s v="-"/>
    <n v="0"/>
    <s v="-"/>
    <n v="0"/>
    <m/>
    <n v="0"/>
    <m/>
    <m/>
    <m/>
    <m/>
    <n v="0"/>
    <m/>
    <n v="0"/>
    <m/>
    <n v="0"/>
    <m/>
    <n v="0"/>
    <m/>
    <n v="0"/>
    <m/>
    <m/>
    <m/>
    <m/>
    <n v="0"/>
    <m/>
    <n v="0"/>
    <m/>
    <n v="0"/>
    <m/>
    <n v="0"/>
    <m/>
    <n v="0"/>
    <m/>
    <m/>
    <m/>
    <m/>
    <n v="0"/>
    <n v="0"/>
    <n v="0"/>
    <n v="0"/>
    <n v="0"/>
    <n v="0"/>
    <n v="0"/>
    <n v="0"/>
    <n v="0"/>
    <m/>
    <n v="0"/>
    <n v="0"/>
    <m/>
    <m/>
    <n v="0"/>
    <s v="Malaria"/>
    <x v="1"/>
  </r>
  <r>
    <n v="52"/>
    <x v="0"/>
    <x v="6"/>
    <x v="1"/>
    <x v="2"/>
    <m/>
    <m/>
    <m/>
    <m/>
    <m/>
    <m/>
    <m/>
    <m/>
    <m/>
    <s v="-"/>
    <n v="0"/>
    <s v="-"/>
    <n v="0"/>
    <s v="-"/>
    <n v="0"/>
    <s v="-"/>
    <n v="0"/>
    <m/>
    <n v="0"/>
    <m/>
    <m/>
    <m/>
    <m/>
    <n v="0"/>
    <m/>
    <n v="0"/>
    <m/>
    <n v="0"/>
    <m/>
    <n v="0"/>
    <m/>
    <n v="0"/>
    <m/>
    <m/>
    <m/>
    <m/>
    <n v="0"/>
    <m/>
    <n v="0"/>
    <m/>
    <n v="0"/>
    <m/>
    <n v="0"/>
    <m/>
    <n v="0"/>
    <m/>
    <m/>
    <m/>
    <m/>
    <n v="0"/>
    <n v="0"/>
    <n v="0"/>
    <n v="0"/>
    <n v="0"/>
    <n v="0"/>
    <n v="0"/>
    <n v="0"/>
    <n v="0"/>
    <m/>
    <n v="0"/>
    <n v="0"/>
    <m/>
    <m/>
    <n v="0"/>
    <s v="Malaria"/>
    <x v="1"/>
  </r>
  <r>
    <n v="53"/>
    <x v="0"/>
    <x v="6"/>
    <x v="1"/>
    <x v="3"/>
    <m/>
    <m/>
    <m/>
    <m/>
    <m/>
    <m/>
    <m/>
    <m/>
    <m/>
    <s v="-"/>
    <n v="0"/>
    <s v="-"/>
    <n v="0"/>
    <s v="-"/>
    <n v="0"/>
    <s v="-"/>
    <n v="0"/>
    <m/>
    <n v="0"/>
    <m/>
    <m/>
    <m/>
    <m/>
    <n v="0"/>
    <m/>
    <n v="0"/>
    <m/>
    <n v="0"/>
    <m/>
    <n v="0"/>
    <m/>
    <n v="0"/>
    <m/>
    <m/>
    <m/>
    <m/>
    <n v="0"/>
    <m/>
    <n v="0"/>
    <m/>
    <n v="0"/>
    <m/>
    <n v="0"/>
    <m/>
    <n v="0"/>
    <m/>
    <m/>
    <m/>
    <m/>
    <n v="0"/>
    <n v="0"/>
    <n v="0"/>
    <n v="0"/>
    <n v="0"/>
    <n v="0"/>
    <n v="0"/>
    <n v="0"/>
    <n v="0"/>
    <m/>
    <n v="0"/>
    <n v="0"/>
    <m/>
    <m/>
    <n v="0"/>
    <s v="Malaria"/>
    <x v="1"/>
  </r>
  <r>
    <n v="54"/>
    <x v="0"/>
    <x v="6"/>
    <x v="1"/>
    <x v="4"/>
    <m/>
    <m/>
    <m/>
    <m/>
    <m/>
    <m/>
    <m/>
    <m/>
    <m/>
    <s v="-"/>
    <n v="0"/>
    <s v="-"/>
    <n v="0"/>
    <s v="-"/>
    <n v="0"/>
    <s v="-"/>
    <n v="0"/>
    <m/>
    <n v="0"/>
    <m/>
    <m/>
    <m/>
    <m/>
    <n v="0"/>
    <m/>
    <n v="0"/>
    <m/>
    <n v="0"/>
    <m/>
    <n v="0"/>
    <m/>
    <n v="0"/>
    <m/>
    <m/>
    <m/>
    <m/>
    <n v="0"/>
    <m/>
    <n v="0"/>
    <m/>
    <n v="0"/>
    <m/>
    <n v="0"/>
    <m/>
    <n v="0"/>
    <m/>
    <m/>
    <m/>
    <m/>
    <n v="0"/>
    <n v="0"/>
    <n v="0"/>
    <n v="0"/>
    <n v="0"/>
    <n v="0"/>
    <n v="0"/>
    <n v="0"/>
    <n v="0"/>
    <m/>
    <n v="0"/>
    <n v="0"/>
    <m/>
    <m/>
    <n v="0"/>
    <s v="Malaria"/>
    <x v="1"/>
  </r>
  <r>
    <n v="55"/>
    <x v="0"/>
    <x v="6"/>
    <x v="1"/>
    <x v="5"/>
    <m/>
    <m/>
    <m/>
    <m/>
    <m/>
    <m/>
    <m/>
    <m/>
    <m/>
    <s v="-"/>
    <n v="0"/>
    <s v="-"/>
    <n v="0"/>
    <s v="-"/>
    <n v="0"/>
    <s v="-"/>
    <n v="0"/>
    <m/>
    <n v="0"/>
    <m/>
    <m/>
    <m/>
    <m/>
    <n v="0"/>
    <m/>
    <n v="0"/>
    <m/>
    <n v="0"/>
    <m/>
    <n v="0"/>
    <m/>
    <n v="0"/>
    <m/>
    <m/>
    <m/>
    <m/>
    <n v="0"/>
    <m/>
    <n v="0"/>
    <m/>
    <n v="0"/>
    <m/>
    <n v="0"/>
    <m/>
    <n v="0"/>
    <m/>
    <m/>
    <m/>
    <m/>
    <n v="0"/>
    <n v="0"/>
    <n v="0"/>
    <n v="0"/>
    <n v="0"/>
    <n v="0"/>
    <n v="0"/>
    <n v="0"/>
    <n v="0"/>
    <m/>
    <n v="0"/>
    <n v="0"/>
    <m/>
    <m/>
    <n v="0"/>
    <s v="Malaria"/>
    <x v="1"/>
  </r>
  <r>
    <n v="56"/>
    <x v="0"/>
    <x v="6"/>
    <x v="1"/>
    <x v="6"/>
    <m/>
    <m/>
    <m/>
    <m/>
    <m/>
    <m/>
    <m/>
    <m/>
    <m/>
    <s v="-"/>
    <n v="0"/>
    <s v="-"/>
    <n v="0"/>
    <s v="-"/>
    <n v="0"/>
    <s v="-"/>
    <n v="0"/>
    <m/>
    <n v="0"/>
    <m/>
    <m/>
    <m/>
    <m/>
    <n v="0"/>
    <m/>
    <n v="0"/>
    <m/>
    <n v="0"/>
    <m/>
    <n v="0"/>
    <m/>
    <n v="0"/>
    <m/>
    <m/>
    <m/>
    <m/>
    <n v="0"/>
    <m/>
    <n v="0"/>
    <m/>
    <n v="0"/>
    <m/>
    <n v="0"/>
    <m/>
    <n v="0"/>
    <m/>
    <m/>
    <m/>
    <m/>
    <n v="0"/>
    <n v="0"/>
    <n v="0"/>
    <n v="0"/>
    <n v="0"/>
    <n v="0"/>
    <n v="0"/>
    <n v="0"/>
    <n v="0"/>
    <m/>
    <n v="0"/>
    <n v="0"/>
    <m/>
    <m/>
    <n v="0"/>
    <s v="Malaria"/>
    <x v="1"/>
  </r>
  <r>
    <n v="57"/>
    <x v="0"/>
    <x v="6"/>
    <x v="1"/>
    <x v="7"/>
    <m/>
    <m/>
    <m/>
    <m/>
    <m/>
    <m/>
    <m/>
    <m/>
    <m/>
    <s v="-"/>
    <n v="0"/>
    <s v="-"/>
    <n v="0"/>
    <s v="-"/>
    <n v="0"/>
    <s v="-"/>
    <n v="0"/>
    <m/>
    <n v="0"/>
    <m/>
    <m/>
    <m/>
    <m/>
    <n v="0"/>
    <m/>
    <n v="0"/>
    <m/>
    <n v="0"/>
    <m/>
    <n v="0"/>
    <m/>
    <n v="0"/>
    <m/>
    <m/>
    <m/>
    <m/>
    <n v="0"/>
    <m/>
    <n v="0"/>
    <m/>
    <n v="0"/>
    <m/>
    <n v="0"/>
    <m/>
    <n v="0"/>
    <m/>
    <m/>
    <m/>
    <m/>
    <n v="0"/>
    <n v="0"/>
    <n v="0"/>
    <n v="0"/>
    <n v="0"/>
    <n v="0"/>
    <n v="0"/>
    <n v="0"/>
    <n v="0"/>
    <m/>
    <n v="0"/>
    <n v="0"/>
    <m/>
    <m/>
    <n v="0"/>
    <s v="Malaria"/>
    <x v="1"/>
  </r>
  <r>
    <n v="69"/>
    <x v="1"/>
    <x v="7"/>
    <x v="5"/>
    <x v="10"/>
    <m/>
    <m/>
    <m/>
    <m/>
    <m/>
    <m/>
    <m/>
    <m/>
    <m/>
    <s v="-"/>
    <n v="0"/>
    <s v="-"/>
    <n v="0"/>
    <s v="-"/>
    <n v="0"/>
    <s v="-"/>
    <n v="0"/>
    <m/>
    <n v="0"/>
    <m/>
    <m/>
    <m/>
    <m/>
    <n v="0"/>
    <m/>
    <n v="0"/>
    <m/>
    <n v="0"/>
    <m/>
    <n v="0"/>
    <m/>
    <n v="0"/>
    <m/>
    <m/>
    <m/>
    <m/>
    <n v="0"/>
    <m/>
    <n v="0"/>
    <m/>
    <n v="0"/>
    <m/>
    <n v="0"/>
    <m/>
    <n v="0"/>
    <m/>
    <m/>
    <m/>
    <m/>
    <n v="0"/>
    <n v="0"/>
    <n v="0"/>
    <n v="0"/>
    <n v="0"/>
    <n v="0"/>
    <n v="0"/>
    <n v="0"/>
    <n v="0"/>
    <m/>
    <n v="0"/>
    <n v="0"/>
    <m/>
    <m/>
    <n v="0"/>
    <s v="Malaria"/>
    <x v="5"/>
  </r>
  <r>
    <n v="70"/>
    <x v="1"/>
    <x v="7"/>
    <x v="6"/>
    <x v="11"/>
    <m/>
    <m/>
    <m/>
    <m/>
    <m/>
    <m/>
    <m/>
    <m/>
    <m/>
    <s v="-"/>
    <n v="0"/>
    <s v="-"/>
    <n v="0"/>
    <s v="-"/>
    <n v="0"/>
    <s v="-"/>
    <n v="0"/>
    <m/>
    <n v="0"/>
    <m/>
    <m/>
    <m/>
    <m/>
    <n v="0"/>
    <m/>
    <n v="0"/>
    <m/>
    <n v="0"/>
    <m/>
    <n v="0"/>
    <m/>
    <n v="0"/>
    <m/>
    <m/>
    <m/>
    <m/>
    <n v="0"/>
    <m/>
    <n v="0"/>
    <m/>
    <n v="0"/>
    <m/>
    <n v="0"/>
    <m/>
    <n v="0"/>
    <m/>
    <m/>
    <m/>
    <m/>
    <n v="0"/>
    <n v="0"/>
    <n v="0"/>
    <n v="0"/>
    <n v="0"/>
    <n v="0"/>
    <n v="0"/>
    <n v="0"/>
    <n v="0"/>
    <m/>
    <n v="0"/>
    <n v="0"/>
    <m/>
    <m/>
    <n v="0"/>
    <s v="Malaria"/>
    <x v="6"/>
  </r>
  <r>
    <n v="71"/>
    <x v="1"/>
    <x v="7"/>
    <x v="7"/>
    <x v="12"/>
    <m/>
    <m/>
    <m/>
    <m/>
    <m/>
    <m/>
    <m/>
    <m/>
    <m/>
    <s v="-"/>
    <n v="0"/>
    <s v="-"/>
    <n v="0"/>
    <s v="-"/>
    <n v="0"/>
    <s v="-"/>
    <n v="0"/>
    <m/>
    <n v="0"/>
    <m/>
    <m/>
    <m/>
    <m/>
    <n v="0"/>
    <m/>
    <n v="0"/>
    <m/>
    <n v="0"/>
    <m/>
    <n v="0"/>
    <m/>
    <n v="0"/>
    <m/>
    <m/>
    <m/>
    <m/>
    <n v="0"/>
    <m/>
    <n v="0"/>
    <m/>
    <n v="0"/>
    <m/>
    <n v="0"/>
    <m/>
    <n v="0"/>
    <m/>
    <m/>
    <m/>
    <m/>
    <n v="0"/>
    <n v="0"/>
    <n v="0"/>
    <n v="0"/>
    <n v="0"/>
    <n v="0"/>
    <n v="0"/>
    <n v="0"/>
    <n v="0"/>
    <m/>
    <n v="0"/>
    <n v="0"/>
    <m/>
    <m/>
    <n v="0"/>
    <s v="Malaria"/>
    <x v="7"/>
  </r>
  <r>
    <n v="73"/>
    <x v="1"/>
    <x v="7"/>
    <x v="8"/>
    <x v="9"/>
    <m/>
    <m/>
    <m/>
    <m/>
    <m/>
    <m/>
    <m/>
    <m/>
    <m/>
    <s v="-"/>
    <n v="0"/>
    <s v="-"/>
    <n v="0"/>
    <s v="-"/>
    <n v="0"/>
    <s v="-"/>
    <n v="0"/>
    <m/>
    <n v="0"/>
    <m/>
    <m/>
    <m/>
    <m/>
    <n v="0"/>
    <m/>
    <n v="0"/>
    <m/>
    <n v="0"/>
    <m/>
    <n v="0"/>
    <m/>
    <n v="0"/>
    <m/>
    <m/>
    <m/>
    <m/>
    <n v="0"/>
    <m/>
    <n v="0"/>
    <m/>
    <n v="0"/>
    <m/>
    <n v="0"/>
    <m/>
    <n v="0"/>
    <m/>
    <m/>
    <m/>
    <m/>
    <n v="0"/>
    <n v="0"/>
    <n v="0"/>
    <n v="0"/>
    <n v="0"/>
    <n v="0"/>
    <n v="0"/>
    <n v="0"/>
    <n v="0"/>
    <m/>
    <n v="0"/>
    <n v="0"/>
    <m/>
    <m/>
    <n v="0"/>
    <s v="Malaria"/>
    <x v="8"/>
  </r>
  <r>
    <n v="74"/>
    <x v="1"/>
    <x v="7"/>
    <x v="9"/>
    <x v="13"/>
    <m/>
    <m/>
    <m/>
    <m/>
    <m/>
    <m/>
    <m/>
    <m/>
    <m/>
    <s v="-"/>
    <n v="0"/>
    <s v="-"/>
    <n v="0"/>
    <s v="-"/>
    <n v="0"/>
    <s v="-"/>
    <n v="0"/>
    <m/>
    <n v="0"/>
    <m/>
    <m/>
    <m/>
    <m/>
    <n v="0"/>
    <m/>
    <n v="0"/>
    <m/>
    <n v="0"/>
    <m/>
    <n v="0"/>
    <m/>
    <n v="0"/>
    <m/>
    <m/>
    <m/>
    <m/>
    <n v="0"/>
    <m/>
    <n v="0"/>
    <m/>
    <n v="0"/>
    <m/>
    <n v="0"/>
    <m/>
    <n v="0"/>
    <m/>
    <m/>
    <m/>
    <m/>
    <n v="0"/>
    <n v="0"/>
    <n v="0"/>
    <n v="0"/>
    <n v="0"/>
    <n v="0"/>
    <n v="0"/>
    <n v="0"/>
    <n v="0"/>
    <m/>
    <n v="0"/>
    <n v="0"/>
    <m/>
    <m/>
    <n v="0"/>
    <s v="Malaria"/>
    <x v="9"/>
  </r>
  <r>
    <n v="75"/>
    <x v="1"/>
    <x v="7"/>
    <x v="10"/>
    <x v="14"/>
    <m/>
    <m/>
    <m/>
    <m/>
    <m/>
    <m/>
    <m/>
    <m/>
    <m/>
    <m/>
    <n v="0"/>
    <s v="-"/>
    <n v="0"/>
    <s v="-"/>
    <n v="0"/>
    <s v="-"/>
    <n v="0"/>
    <m/>
    <n v="0"/>
    <m/>
    <m/>
    <m/>
    <m/>
    <n v="0"/>
    <m/>
    <n v="0"/>
    <m/>
    <n v="0"/>
    <m/>
    <n v="0"/>
    <m/>
    <n v="0"/>
    <m/>
    <m/>
    <m/>
    <m/>
    <n v="0"/>
    <m/>
    <n v="0"/>
    <m/>
    <n v="0"/>
    <m/>
    <n v="0"/>
    <m/>
    <n v="0"/>
    <m/>
    <m/>
    <m/>
    <m/>
    <n v="0"/>
    <n v="0"/>
    <n v="0"/>
    <n v="0"/>
    <n v="0"/>
    <n v="0"/>
    <n v="0"/>
    <n v="0"/>
    <n v="0"/>
    <m/>
    <n v="0"/>
    <n v="0"/>
    <m/>
    <m/>
    <n v="0"/>
    <s v="Malaria"/>
    <x v="10"/>
  </r>
  <r>
    <n v="76"/>
    <x v="1"/>
    <x v="7"/>
    <x v="1"/>
    <x v="1"/>
    <m/>
    <m/>
    <m/>
    <m/>
    <m/>
    <m/>
    <m/>
    <m/>
    <m/>
    <s v="-"/>
    <n v="0"/>
    <s v="-"/>
    <n v="0"/>
    <s v="-"/>
    <n v="0"/>
    <s v="-"/>
    <n v="0"/>
    <m/>
    <n v="0"/>
    <m/>
    <m/>
    <m/>
    <m/>
    <n v="0"/>
    <m/>
    <n v="0"/>
    <m/>
    <n v="0"/>
    <m/>
    <n v="0"/>
    <m/>
    <n v="0"/>
    <m/>
    <m/>
    <m/>
    <m/>
    <n v="0"/>
    <m/>
    <n v="0"/>
    <m/>
    <n v="0"/>
    <m/>
    <n v="0"/>
    <m/>
    <n v="0"/>
    <m/>
    <m/>
    <m/>
    <m/>
    <n v="0"/>
    <n v="0"/>
    <n v="0"/>
    <n v="0"/>
    <n v="0"/>
    <n v="0"/>
    <n v="0"/>
    <n v="0"/>
    <n v="0"/>
    <m/>
    <n v="0"/>
    <n v="0"/>
    <m/>
    <m/>
    <n v="0"/>
    <s v="Malaria"/>
    <x v="1"/>
  </r>
  <r>
    <n v="77"/>
    <x v="1"/>
    <x v="7"/>
    <x v="1"/>
    <x v="2"/>
    <m/>
    <m/>
    <m/>
    <m/>
    <m/>
    <m/>
    <m/>
    <m/>
    <m/>
    <s v="-"/>
    <n v="0"/>
    <s v="-"/>
    <n v="0"/>
    <s v="-"/>
    <n v="0"/>
    <s v="-"/>
    <n v="0"/>
    <m/>
    <n v="0"/>
    <m/>
    <m/>
    <m/>
    <m/>
    <n v="0"/>
    <m/>
    <n v="0"/>
    <m/>
    <n v="0"/>
    <m/>
    <n v="0"/>
    <m/>
    <n v="0"/>
    <m/>
    <m/>
    <m/>
    <m/>
    <n v="0"/>
    <m/>
    <n v="0"/>
    <m/>
    <n v="0"/>
    <m/>
    <n v="0"/>
    <m/>
    <n v="0"/>
    <m/>
    <m/>
    <m/>
    <m/>
    <n v="0"/>
    <n v="0"/>
    <n v="0"/>
    <n v="0"/>
    <n v="0"/>
    <n v="0"/>
    <n v="0"/>
    <n v="0"/>
    <n v="0"/>
    <m/>
    <n v="0"/>
    <n v="0"/>
    <m/>
    <m/>
    <n v="0"/>
    <s v="Malaria"/>
    <x v="1"/>
  </r>
  <r>
    <n v="78"/>
    <x v="1"/>
    <x v="7"/>
    <x v="1"/>
    <x v="3"/>
    <m/>
    <m/>
    <m/>
    <m/>
    <m/>
    <m/>
    <m/>
    <m/>
    <m/>
    <s v="-"/>
    <n v="0"/>
    <s v="-"/>
    <n v="0"/>
    <s v="-"/>
    <n v="0"/>
    <s v="-"/>
    <n v="0"/>
    <m/>
    <n v="0"/>
    <m/>
    <m/>
    <m/>
    <m/>
    <n v="0"/>
    <m/>
    <n v="0"/>
    <m/>
    <n v="0"/>
    <m/>
    <n v="0"/>
    <m/>
    <n v="0"/>
    <m/>
    <m/>
    <m/>
    <m/>
    <n v="0"/>
    <m/>
    <n v="0"/>
    <m/>
    <n v="0"/>
    <m/>
    <n v="0"/>
    <m/>
    <n v="0"/>
    <m/>
    <m/>
    <m/>
    <m/>
    <n v="0"/>
    <n v="0"/>
    <n v="0"/>
    <n v="0"/>
    <n v="0"/>
    <n v="0"/>
    <n v="0"/>
    <n v="0"/>
    <n v="0"/>
    <m/>
    <n v="0"/>
    <n v="0"/>
    <m/>
    <m/>
    <n v="0"/>
    <s v="Malaria"/>
    <x v="1"/>
  </r>
  <r>
    <n v="79"/>
    <x v="1"/>
    <x v="7"/>
    <x v="1"/>
    <x v="4"/>
    <m/>
    <m/>
    <m/>
    <m/>
    <m/>
    <m/>
    <m/>
    <m/>
    <m/>
    <s v="-"/>
    <n v="0"/>
    <s v="-"/>
    <n v="0"/>
    <s v="-"/>
    <n v="0"/>
    <s v="-"/>
    <n v="0"/>
    <m/>
    <n v="0"/>
    <m/>
    <m/>
    <m/>
    <m/>
    <n v="0"/>
    <m/>
    <n v="0"/>
    <m/>
    <n v="0"/>
    <m/>
    <n v="0"/>
    <m/>
    <n v="0"/>
    <m/>
    <m/>
    <m/>
    <m/>
    <n v="0"/>
    <m/>
    <n v="0"/>
    <m/>
    <n v="0"/>
    <m/>
    <n v="0"/>
    <m/>
    <n v="0"/>
    <m/>
    <m/>
    <m/>
    <m/>
    <n v="0"/>
    <n v="0"/>
    <n v="0"/>
    <n v="0"/>
    <n v="0"/>
    <n v="0"/>
    <n v="0"/>
    <n v="0"/>
    <n v="0"/>
    <m/>
    <n v="0"/>
    <n v="0"/>
    <m/>
    <m/>
    <n v="0"/>
    <s v="Malaria"/>
    <x v="1"/>
  </r>
  <r>
    <n v="80"/>
    <x v="1"/>
    <x v="7"/>
    <x v="1"/>
    <x v="5"/>
    <m/>
    <m/>
    <m/>
    <m/>
    <m/>
    <m/>
    <m/>
    <m/>
    <m/>
    <s v="-"/>
    <n v="0"/>
    <s v="-"/>
    <n v="0"/>
    <s v="-"/>
    <n v="0"/>
    <s v="-"/>
    <n v="0"/>
    <m/>
    <n v="0"/>
    <m/>
    <m/>
    <m/>
    <m/>
    <n v="0"/>
    <m/>
    <n v="0"/>
    <m/>
    <n v="0"/>
    <m/>
    <n v="0"/>
    <m/>
    <n v="0"/>
    <m/>
    <m/>
    <m/>
    <m/>
    <n v="0"/>
    <m/>
    <n v="0"/>
    <m/>
    <n v="0"/>
    <m/>
    <n v="0"/>
    <m/>
    <n v="0"/>
    <m/>
    <m/>
    <m/>
    <m/>
    <n v="0"/>
    <n v="0"/>
    <n v="0"/>
    <n v="0"/>
    <n v="0"/>
    <n v="0"/>
    <n v="0"/>
    <n v="0"/>
    <n v="0"/>
    <m/>
    <n v="0"/>
    <n v="0"/>
    <m/>
    <m/>
    <n v="0"/>
    <s v="Malaria"/>
    <x v="1"/>
  </r>
  <r>
    <n v="81"/>
    <x v="1"/>
    <x v="7"/>
    <x v="1"/>
    <x v="6"/>
    <m/>
    <m/>
    <m/>
    <m/>
    <m/>
    <m/>
    <m/>
    <m/>
    <m/>
    <s v="-"/>
    <n v="0"/>
    <s v="-"/>
    <n v="0"/>
    <s v="-"/>
    <n v="0"/>
    <s v="-"/>
    <n v="0"/>
    <m/>
    <n v="0"/>
    <m/>
    <m/>
    <m/>
    <m/>
    <n v="0"/>
    <m/>
    <n v="0"/>
    <m/>
    <n v="0"/>
    <m/>
    <n v="0"/>
    <m/>
    <n v="0"/>
    <m/>
    <m/>
    <m/>
    <m/>
    <n v="0"/>
    <m/>
    <n v="0"/>
    <m/>
    <n v="0"/>
    <m/>
    <n v="0"/>
    <m/>
    <n v="0"/>
    <m/>
    <m/>
    <m/>
    <m/>
    <n v="0"/>
    <n v="0"/>
    <n v="0"/>
    <n v="0"/>
    <n v="0"/>
    <n v="0"/>
    <n v="0"/>
    <n v="0"/>
    <n v="0"/>
    <m/>
    <n v="0"/>
    <n v="0"/>
    <m/>
    <m/>
    <n v="0"/>
    <s v="Malaria"/>
    <x v="1"/>
  </r>
  <r>
    <n v="82"/>
    <x v="1"/>
    <x v="7"/>
    <x v="1"/>
    <x v="7"/>
    <m/>
    <m/>
    <m/>
    <m/>
    <m/>
    <m/>
    <m/>
    <m/>
    <m/>
    <s v="-"/>
    <n v="0"/>
    <s v="-"/>
    <n v="0"/>
    <s v="-"/>
    <n v="0"/>
    <s v="-"/>
    <n v="0"/>
    <m/>
    <n v="0"/>
    <m/>
    <m/>
    <m/>
    <m/>
    <n v="0"/>
    <m/>
    <n v="0"/>
    <m/>
    <n v="0"/>
    <m/>
    <n v="0"/>
    <m/>
    <n v="0"/>
    <m/>
    <m/>
    <m/>
    <m/>
    <n v="0"/>
    <m/>
    <n v="0"/>
    <m/>
    <n v="0"/>
    <m/>
    <n v="0"/>
    <m/>
    <n v="0"/>
    <m/>
    <m/>
    <m/>
    <m/>
    <n v="0"/>
    <n v="0"/>
    <n v="0"/>
    <n v="0"/>
    <n v="0"/>
    <n v="0"/>
    <n v="0"/>
    <n v="0"/>
    <n v="0"/>
    <m/>
    <n v="0"/>
    <n v="0"/>
    <m/>
    <m/>
    <n v="0"/>
    <s v="Malaria"/>
    <x v="1"/>
  </r>
  <r>
    <n v="83"/>
    <x v="1"/>
    <x v="8"/>
    <x v="5"/>
    <x v="10"/>
    <m/>
    <m/>
    <m/>
    <m/>
    <m/>
    <m/>
    <m/>
    <m/>
    <m/>
    <s v="-"/>
    <n v="0"/>
    <s v="-"/>
    <n v="0"/>
    <s v="-"/>
    <n v="0"/>
    <s v="-"/>
    <n v="0"/>
    <m/>
    <n v="0"/>
    <m/>
    <m/>
    <m/>
    <m/>
    <n v="0"/>
    <m/>
    <n v="0"/>
    <m/>
    <n v="0"/>
    <m/>
    <n v="0"/>
    <m/>
    <n v="0"/>
    <m/>
    <m/>
    <m/>
    <m/>
    <n v="0"/>
    <m/>
    <n v="0"/>
    <m/>
    <n v="0"/>
    <m/>
    <n v="0"/>
    <m/>
    <n v="0"/>
    <m/>
    <m/>
    <m/>
    <m/>
    <n v="0"/>
    <n v="0"/>
    <n v="0"/>
    <n v="0"/>
    <n v="0"/>
    <n v="0"/>
    <n v="0"/>
    <n v="0"/>
    <n v="0"/>
    <m/>
    <n v="0"/>
    <n v="0"/>
    <m/>
    <m/>
    <n v="0"/>
    <s v="Malaria"/>
    <x v="5"/>
  </r>
  <r>
    <n v="84"/>
    <x v="1"/>
    <x v="8"/>
    <x v="6"/>
    <x v="11"/>
    <m/>
    <m/>
    <m/>
    <m/>
    <m/>
    <m/>
    <m/>
    <e v="#DIV/0!"/>
    <m/>
    <s v="-"/>
    <n v="0"/>
    <s v="-"/>
    <n v="0"/>
    <s v="-"/>
    <n v="0"/>
    <s v="-"/>
    <n v="0"/>
    <m/>
    <n v="0"/>
    <m/>
    <m/>
    <m/>
    <m/>
    <n v="0"/>
    <m/>
    <n v="0"/>
    <m/>
    <n v="0"/>
    <m/>
    <n v="0"/>
    <m/>
    <n v="0"/>
    <m/>
    <m/>
    <m/>
    <m/>
    <n v="0"/>
    <m/>
    <n v="0"/>
    <m/>
    <n v="0"/>
    <m/>
    <n v="0"/>
    <m/>
    <n v="0"/>
    <m/>
    <m/>
    <m/>
    <m/>
    <n v="0"/>
    <n v="0"/>
    <n v="0"/>
    <n v="0"/>
    <n v="0"/>
    <n v="0"/>
    <n v="0"/>
    <n v="0"/>
    <n v="0"/>
    <m/>
    <n v="0"/>
    <n v="0"/>
    <m/>
    <m/>
    <n v="0"/>
    <s v="Malaria"/>
    <x v="6"/>
  </r>
  <r>
    <n v="85"/>
    <x v="1"/>
    <x v="8"/>
    <x v="1"/>
    <x v="1"/>
    <m/>
    <m/>
    <m/>
    <m/>
    <m/>
    <m/>
    <m/>
    <m/>
    <m/>
    <s v="-"/>
    <n v="0"/>
    <s v="-"/>
    <n v="0"/>
    <s v="-"/>
    <n v="0"/>
    <s v="-"/>
    <n v="0"/>
    <m/>
    <n v="0"/>
    <m/>
    <m/>
    <m/>
    <m/>
    <n v="0"/>
    <m/>
    <n v="0"/>
    <m/>
    <n v="0"/>
    <m/>
    <n v="0"/>
    <m/>
    <n v="0"/>
    <m/>
    <m/>
    <m/>
    <m/>
    <n v="0"/>
    <m/>
    <n v="0"/>
    <m/>
    <n v="0"/>
    <m/>
    <n v="0"/>
    <m/>
    <n v="0"/>
    <m/>
    <m/>
    <m/>
    <m/>
    <n v="0"/>
    <n v="0"/>
    <n v="0"/>
    <n v="0"/>
    <n v="0"/>
    <n v="0"/>
    <n v="0"/>
    <n v="0"/>
    <n v="0"/>
    <m/>
    <n v="0"/>
    <n v="0"/>
    <m/>
    <m/>
    <n v="0"/>
    <s v="Malaria"/>
    <x v="1"/>
  </r>
  <r>
    <n v="86"/>
    <x v="1"/>
    <x v="8"/>
    <x v="1"/>
    <x v="2"/>
    <m/>
    <m/>
    <m/>
    <m/>
    <m/>
    <m/>
    <m/>
    <m/>
    <m/>
    <s v="-"/>
    <n v="0"/>
    <s v="-"/>
    <n v="0"/>
    <s v="-"/>
    <n v="0"/>
    <s v="-"/>
    <n v="0"/>
    <m/>
    <n v="0"/>
    <m/>
    <m/>
    <m/>
    <m/>
    <n v="0"/>
    <m/>
    <n v="0"/>
    <m/>
    <n v="0"/>
    <m/>
    <n v="0"/>
    <m/>
    <n v="0"/>
    <m/>
    <m/>
    <m/>
    <m/>
    <n v="0"/>
    <m/>
    <n v="0"/>
    <m/>
    <n v="0"/>
    <m/>
    <n v="0"/>
    <m/>
    <n v="0"/>
    <m/>
    <m/>
    <m/>
    <m/>
    <n v="0"/>
    <n v="0"/>
    <n v="0"/>
    <n v="0"/>
    <n v="0"/>
    <n v="0"/>
    <n v="0"/>
    <n v="0"/>
    <n v="0"/>
    <m/>
    <n v="0"/>
    <n v="0"/>
    <m/>
    <m/>
    <n v="0"/>
    <s v="Malaria"/>
    <x v="1"/>
  </r>
  <r>
    <n v="87"/>
    <x v="1"/>
    <x v="8"/>
    <x v="1"/>
    <x v="3"/>
    <m/>
    <m/>
    <m/>
    <m/>
    <m/>
    <m/>
    <m/>
    <m/>
    <m/>
    <s v="-"/>
    <n v="0"/>
    <s v="-"/>
    <n v="0"/>
    <s v="-"/>
    <n v="0"/>
    <s v="-"/>
    <n v="0"/>
    <m/>
    <n v="0"/>
    <m/>
    <m/>
    <m/>
    <m/>
    <n v="0"/>
    <m/>
    <n v="0"/>
    <m/>
    <n v="0"/>
    <m/>
    <n v="0"/>
    <m/>
    <n v="0"/>
    <m/>
    <m/>
    <m/>
    <m/>
    <n v="0"/>
    <m/>
    <n v="0"/>
    <m/>
    <n v="0"/>
    <m/>
    <n v="0"/>
    <m/>
    <n v="0"/>
    <m/>
    <m/>
    <m/>
    <m/>
    <n v="0"/>
    <n v="0"/>
    <n v="0"/>
    <n v="0"/>
    <n v="0"/>
    <n v="0"/>
    <n v="0"/>
    <n v="0"/>
    <n v="0"/>
    <m/>
    <n v="0"/>
    <n v="0"/>
    <m/>
    <m/>
    <n v="0"/>
    <s v="Malaria"/>
    <x v="1"/>
  </r>
  <r>
    <n v="88"/>
    <x v="1"/>
    <x v="8"/>
    <x v="1"/>
    <x v="4"/>
    <m/>
    <m/>
    <m/>
    <m/>
    <m/>
    <m/>
    <m/>
    <m/>
    <m/>
    <s v="-"/>
    <n v="0"/>
    <s v="-"/>
    <n v="0"/>
    <s v="-"/>
    <n v="0"/>
    <s v="-"/>
    <n v="0"/>
    <m/>
    <n v="0"/>
    <m/>
    <m/>
    <m/>
    <m/>
    <n v="0"/>
    <m/>
    <n v="0"/>
    <m/>
    <n v="0"/>
    <m/>
    <n v="0"/>
    <m/>
    <n v="0"/>
    <m/>
    <m/>
    <m/>
    <m/>
    <n v="0"/>
    <m/>
    <n v="0"/>
    <m/>
    <n v="0"/>
    <m/>
    <n v="0"/>
    <m/>
    <n v="0"/>
    <m/>
    <m/>
    <m/>
    <m/>
    <n v="0"/>
    <n v="0"/>
    <n v="0"/>
    <n v="0"/>
    <n v="0"/>
    <n v="0"/>
    <n v="0"/>
    <n v="0"/>
    <n v="0"/>
    <m/>
    <n v="0"/>
    <n v="0"/>
    <m/>
    <m/>
    <n v="0"/>
    <s v="Malaria"/>
    <x v="1"/>
  </r>
  <r>
    <n v="89"/>
    <x v="1"/>
    <x v="8"/>
    <x v="1"/>
    <x v="5"/>
    <m/>
    <m/>
    <m/>
    <m/>
    <m/>
    <m/>
    <m/>
    <m/>
    <m/>
    <s v="-"/>
    <n v="0"/>
    <s v="-"/>
    <n v="0"/>
    <s v="-"/>
    <n v="0"/>
    <s v="-"/>
    <n v="0"/>
    <m/>
    <n v="0"/>
    <m/>
    <m/>
    <m/>
    <m/>
    <n v="0"/>
    <m/>
    <n v="0"/>
    <m/>
    <n v="0"/>
    <m/>
    <n v="0"/>
    <m/>
    <n v="0"/>
    <m/>
    <m/>
    <m/>
    <m/>
    <n v="0"/>
    <m/>
    <n v="0"/>
    <m/>
    <n v="0"/>
    <m/>
    <n v="0"/>
    <m/>
    <n v="0"/>
    <m/>
    <m/>
    <m/>
    <m/>
    <n v="0"/>
    <n v="0"/>
    <n v="0"/>
    <n v="0"/>
    <n v="0"/>
    <n v="0"/>
    <n v="0"/>
    <n v="0"/>
    <n v="0"/>
    <m/>
    <n v="0"/>
    <n v="0"/>
    <m/>
    <m/>
    <n v="0"/>
    <s v="Malaria"/>
    <x v="1"/>
  </r>
  <r>
    <n v="90"/>
    <x v="1"/>
    <x v="8"/>
    <x v="1"/>
    <x v="6"/>
    <m/>
    <m/>
    <m/>
    <m/>
    <m/>
    <m/>
    <m/>
    <e v="#DIV/0!"/>
    <e v="#DIV/0!"/>
    <s v="-"/>
    <n v="0"/>
    <s v="-"/>
    <n v="0"/>
    <s v="-"/>
    <n v="0"/>
    <s v="-"/>
    <n v="0"/>
    <m/>
    <n v="0"/>
    <m/>
    <m/>
    <m/>
    <m/>
    <n v="0"/>
    <m/>
    <n v="0"/>
    <m/>
    <n v="0"/>
    <m/>
    <n v="0"/>
    <m/>
    <n v="0"/>
    <m/>
    <m/>
    <m/>
    <m/>
    <n v="0"/>
    <m/>
    <n v="0"/>
    <m/>
    <n v="0"/>
    <m/>
    <n v="0"/>
    <m/>
    <n v="0"/>
    <m/>
    <m/>
    <m/>
    <m/>
    <n v="0"/>
    <n v="0"/>
    <n v="0"/>
    <n v="0"/>
    <n v="0"/>
    <n v="0"/>
    <n v="0"/>
    <n v="0"/>
    <n v="0"/>
    <m/>
    <n v="0"/>
    <n v="0"/>
    <m/>
    <m/>
    <n v="0"/>
    <s v="Malaria"/>
    <x v="1"/>
  </r>
  <r>
    <n v="91"/>
    <x v="1"/>
    <x v="8"/>
    <x v="1"/>
    <x v="7"/>
    <m/>
    <m/>
    <m/>
    <m/>
    <m/>
    <m/>
    <m/>
    <m/>
    <m/>
    <s v="-"/>
    <n v="0"/>
    <s v="-"/>
    <n v="0"/>
    <s v="-"/>
    <n v="0"/>
    <s v="-"/>
    <n v="0"/>
    <m/>
    <n v="0"/>
    <m/>
    <m/>
    <m/>
    <m/>
    <n v="0"/>
    <m/>
    <n v="0"/>
    <m/>
    <n v="0"/>
    <m/>
    <n v="0"/>
    <m/>
    <n v="0"/>
    <m/>
    <m/>
    <m/>
    <m/>
    <n v="0"/>
    <m/>
    <n v="0"/>
    <m/>
    <n v="0"/>
    <m/>
    <n v="0"/>
    <m/>
    <n v="0"/>
    <m/>
    <m/>
    <m/>
    <m/>
    <n v="0"/>
    <n v="0"/>
    <n v="0"/>
    <n v="0"/>
    <n v="0"/>
    <n v="0"/>
    <n v="0"/>
    <n v="0"/>
    <n v="0"/>
    <m/>
    <n v="0"/>
    <n v="0"/>
    <m/>
    <m/>
    <n v="0"/>
    <s v="Malaria"/>
    <x v="1"/>
  </r>
  <r>
    <n v="92"/>
    <x v="1"/>
    <x v="9"/>
    <x v="5"/>
    <x v="10"/>
    <m/>
    <m/>
    <m/>
    <m/>
    <m/>
    <m/>
    <m/>
    <m/>
    <m/>
    <s v="-"/>
    <n v="0"/>
    <s v="-"/>
    <n v="0"/>
    <s v="-"/>
    <n v="0"/>
    <s v="-"/>
    <n v="0"/>
    <m/>
    <n v="0"/>
    <m/>
    <m/>
    <m/>
    <m/>
    <n v="0"/>
    <m/>
    <n v="0"/>
    <m/>
    <n v="0"/>
    <m/>
    <n v="0"/>
    <m/>
    <n v="0"/>
    <m/>
    <m/>
    <m/>
    <m/>
    <n v="0"/>
    <m/>
    <n v="0"/>
    <m/>
    <n v="0"/>
    <m/>
    <n v="0"/>
    <m/>
    <n v="0"/>
    <m/>
    <m/>
    <m/>
    <m/>
    <n v="0"/>
    <n v="0"/>
    <n v="0"/>
    <n v="0"/>
    <n v="0"/>
    <n v="0"/>
    <n v="0"/>
    <n v="0"/>
    <n v="0"/>
    <m/>
    <n v="0"/>
    <n v="0"/>
    <m/>
    <m/>
    <n v="0"/>
    <s v="Malaria"/>
    <x v="5"/>
  </r>
  <r>
    <n v="93"/>
    <x v="1"/>
    <x v="9"/>
    <x v="6"/>
    <x v="11"/>
    <m/>
    <m/>
    <m/>
    <m/>
    <m/>
    <m/>
    <m/>
    <m/>
    <m/>
    <s v="-"/>
    <n v="0"/>
    <s v="-"/>
    <n v="0"/>
    <s v="-"/>
    <n v="0"/>
    <s v="-"/>
    <n v="0"/>
    <m/>
    <n v="0"/>
    <m/>
    <m/>
    <m/>
    <m/>
    <n v="0"/>
    <m/>
    <n v="0"/>
    <m/>
    <n v="0"/>
    <m/>
    <n v="0"/>
    <m/>
    <n v="0"/>
    <m/>
    <m/>
    <m/>
    <m/>
    <n v="0"/>
    <m/>
    <n v="0"/>
    <m/>
    <n v="0"/>
    <m/>
    <n v="0"/>
    <m/>
    <n v="0"/>
    <m/>
    <m/>
    <m/>
    <m/>
    <n v="0"/>
    <n v="0"/>
    <n v="0"/>
    <n v="0"/>
    <n v="0"/>
    <n v="0"/>
    <n v="0"/>
    <n v="0"/>
    <n v="0"/>
    <m/>
    <n v="0"/>
    <n v="0"/>
    <m/>
    <m/>
    <n v="0"/>
    <s v="Malaria"/>
    <x v="6"/>
  </r>
  <r>
    <n v="94"/>
    <x v="1"/>
    <x v="9"/>
    <x v="1"/>
    <x v="1"/>
    <m/>
    <m/>
    <m/>
    <m/>
    <m/>
    <m/>
    <m/>
    <m/>
    <m/>
    <s v="-"/>
    <n v="0"/>
    <s v="-"/>
    <n v="0"/>
    <s v="-"/>
    <n v="0"/>
    <s v="-"/>
    <n v="0"/>
    <m/>
    <n v="0"/>
    <m/>
    <m/>
    <m/>
    <m/>
    <n v="0"/>
    <m/>
    <n v="0"/>
    <m/>
    <n v="0"/>
    <m/>
    <n v="0"/>
    <m/>
    <n v="0"/>
    <m/>
    <m/>
    <m/>
    <m/>
    <n v="0"/>
    <m/>
    <n v="0"/>
    <m/>
    <n v="0"/>
    <m/>
    <n v="0"/>
    <m/>
    <n v="0"/>
    <m/>
    <m/>
    <m/>
    <m/>
    <n v="0"/>
    <n v="0"/>
    <n v="0"/>
    <n v="0"/>
    <n v="0"/>
    <n v="0"/>
    <n v="0"/>
    <n v="0"/>
    <n v="0"/>
    <m/>
    <n v="0"/>
    <n v="0"/>
    <m/>
    <m/>
    <n v="0"/>
    <s v="Malaria"/>
    <x v="1"/>
  </r>
  <r>
    <n v="95"/>
    <x v="1"/>
    <x v="9"/>
    <x v="1"/>
    <x v="2"/>
    <m/>
    <m/>
    <m/>
    <m/>
    <m/>
    <m/>
    <m/>
    <m/>
    <m/>
    <s v="-"/>
    <n v="0"/>
    <s v="-"/>
    <n v="0"/>
    <s v="-"/>
    <n v="0"/>
    <s v="-"/>
    <n v="0"/>
    <m/>
    <n v="0"/>
    <m/>
    <m/>
    <m/>
    <m/>
    <n v="0"/>
    <m/>
    <n v="0"/>
    <m/>
    <n v="0"/>
    <m/>
    <n v="0"/>
    <m/>
    <n v="0"/>
    <m/>
    <m/>
    <m/>
    <m/>
    <n v="0"/>
    <m/>
    <n v="0"/>
    <m/>
    <n v="0"/>
    <m/>
    <n v="0"/>
    <m/>
    <n v="0"/>
    <m/>
    <m/>
    <m/>
    <m/>
    <n v="0"/>
    <n v="0"/>
    <n v="0"/>
    <n v="0"/>
    <n v="0"/>
    <n v="0"/>
    <n v="0"/>
    <n v="0"/>
    <n v="0"/>
    <m/>
    <n v="0"/>
    <n v="0"/>
    <m/>
    <m/>
    <n v="0"/>
    <s v="Malaria"/>
    <x v="1"/>
  </r>
  <r>
    <n v="96"/>
    <x v="1"/>
    <x v="9"/>
    <x v="1"/>
    <x v="3"/>
    <m/>
    <m/>
    <m/>
    <m/>
    <m/>
    <m/>
    <m/>
    <e v="#DIV/0!"/>
    <m/>
    <s v="-"/>
    <n v="0"/>
    <s v="-"/>
    <n v="0"/>
    <s v="-"/>
    <n v="0"/>
    <s v="-"/>
    <n v="0"/>
    <m/>
    <n v="0"/>
    <m/>
    <m/>
    <m/>
    <m/>
    <n v="0"/>
    <m/>
    <n v="0"/>
    <m/>
    <n v="0"/>
    <m/>
    <n v="0"/>
    <m/>
    <n v="0"/>
    <m/>
    <m/>
    <m/>
    <m/>
    <n v="0"/>
    <m/>
    <n v="0"/>
    <m/>
    <n v="0"/>
    <m/>
    <n v="0"/>
    <m/>
    <n v="0"/>
    <m/>
    <m/>
    <m/>
    <m/>
    <n v="0"/>
    <n v="0"/>
    <n v="0"/>
    <n v="0"/>
    <n v="0"/>
    <n v="0"/>
    <n v="0"/>
    <n v="0"/>
    <n v="0"/>
    <m/>
    <n v="0"/>
    <n v="0"/>
    <m/>
    <m/>
    <n v="0"/>
    <s v="Malaria"/>
    <x v="1"/>
  </r>
  <r>
    <n v="97"/>
    <x v="1"/>
    <x v="9"/>
    <x v="1"/>
    <x v="4"/>
    <m/>
    <m/>
    <m/>
    <m/>
    <m/>
    <m/>
    <m/>
    <m/>
    <m/>
    <s v="-"/>
    <n v="0"/>
    <s v="-"/>
    <n v="0"/>
    <s v="-"/>
    <n v="0"/>
    <s v="-"/>
    <n v="0"/>
    <m/>
    <n v="0"/>
    <m/>
    <m/>
    <m/>
    <m/>
    <n v="0"/>
    <m/>
    <n v="0"/>
    <m/>
    <n v="0"/>
    <m/>
    <n v="0"/>
    <m/>
    <n v="0"/>
    <m/>
    <m/>
    <m/>
    <m/>
    <n v="0"/>
    <m/>
    <n v="0"/>
    <m/>
    <n v="0"/>
    <m/>
    <n v="0"/>
    <m/>
    <n v="0"/>
    <m/>
    <m/>
    <m/>
    <m/>
    <n v="0"/>
    <n v="0"/>
    <n v="0"/>
    <n v="0"/>
    <n v="0"/>
    <n v="0"/>
    <n v="0"/>
    <n v="0"/>
    <n v="0"/>
    <m/>
    <n v="0"/>
    <n v="0"/>
    <m/>
    <m/>
    <n v="0"/>
    <s v="Malaria"/>
    <x v="1"/>
  </r>
  <r>
    <n v="98"/>
    <x v="1"/>
    <x v="9"/>
    <x v="1"/>
    <x v="5"/>
    <m/>
    <m/>
    <m/>
    <m/>
    <m/>
    <m/>
    <m/>
    <m/>
    <m/>
    <s v="-"/>
    <n v="0"/>
    <s v="-"/>
    <n v="0"/>
    <s v="-"/>
    <n v="0"/>
    <s v="-"/>
    <n v="0"/>
    <m/>
    <n v="0"/>
    <m/>
    <m/>
    <m/>
    <m/>
    <n v="0"/>
    <m/>
    <n v="0"/>
    <m/>
    <n v="0"/>
    <m/>
    <n v="0"/>
    <m/>
    <n v="0"/>
    <m/>
    <m/>
    <m/>
    <m/>
    <n v="0"/>
    <m/>
    <n v="0"/>
    <m/>
    <n v="0"/>
    <m/>
    <n v="0"/>
    <m/>
    <n v="0"/>
    <m/>
    <m/>
    <m/>
    <m/>
    <n v="0"/>
    <n v="0"/>
    <n v="0"/>
    <n v="0"/>
    <n v="0"/>
    <n v="0"/>
    <n v="0"/>
    <n v="0"/>
    <n v="0"/>
    <m/>
    <n v="0"/>
    <n v="0"/>
    <m/>
    <m/>
    <n v="0"/>
    <s v="Malaria"/>
    <x v="1"/>
  </r>
  <r>
    <n v="99"/>
    <x v="1"/>
    <x v="9"/>
    <x v="1"/>
    <x v="6"/>
    <m/>
    <m/>
    <m/>
    <m/>
    <m/>
    <m/>
    <m/>
    <e v="#DIV/0!"/>
    <m/>
    <s v="-"/>
    <n v="0"/>
    <s v="-"/>
    <n v="0"/>
    <s v="-"/>
    <n v="0"/>
    <s v="-"/>
    <n v="0"/>
    <m/>
    <n v="0"/>
    <m/>
    <m/>
    <m/>
    <m/>
    <n v="0"/>
    <m/>
    <n v="0"/>
    <m/>
    <n v="0"/>
    <m/>
    <n v="0"/>
    <m/>
    <n v="0"/>
    <m/>
    <m/>
    <m/>
    <m/>
    <n v="0"/>
    <m/>
    <n v="0"/>
    <m/>
    <n v="0"/>
    <m/>
    <n v="0"/>
    <m/>
    <n v="0"/>
    <m/>
    <m/>
    <m/>
    <m/>
    <n v="0"/>
    <n v="0"/>
    <n v="0"/>
    <n v="0"/>
    <n v="0"/>
    <n v="0"/>
    <n v="0"/>
    <n v="0"/>
    <n v="0"/>
    <m/>
    <n v="0"/>
    <n v="0"/>
    <m/>
    <m/>
    <n v="0"/>
    <s v="Malaria"/>
    <x v="1"/>
  </r>
  <r>
    <n v="100"/>
    <x v="1"/>
    <x v="9"/>
    <x v="1"/>
    <x v="7"/>
    <m/>
    <m/>
    <m/>
    <m/>
    <m/>
    <m/>
    <m/>
    <e v="#DIV/0!"/>
    <m/>
    <s v="-"/>
    <n v="0"/>
    <s v="-"/>
    <n v="0"/>
    <s v="-"/>
    <n v="0"/>
    <s v="-"/>
    <n v="0"/>
    <m/>
    <n v="0"/>
    <m/>
    <m/>
    <m/>
    <m/>
    <n v="0"/>
    <m/>
    <n v="0"/>
    <m/>
    <n v="0"/>
    <m/>
    <n v="0"/>
    <m/>
    <n v="0"/>
    <m/>
    <m/>
    <m/>
    <m/>
    <n v="0"/>
    <m/>
    <n v="0"/>
    <m/>
    <n v="0"/>
    <m/>
    <n v="0"/>
    <m/>
    <n v="0"/>
    <m/>
    <m/>
    <m/>
    <m/>
    <n v="0"/>
    <n v="0"/>
    <n v="0"/>
    <n v="0"/>
    <n v="0"/>
    <n v="0"/>
    <n v="0"/>
    <n v="0"/>
    <n v="0"/>
    <m/>
    <n v="0"/>
    <n v="0"/>
    <m/>
    <m/>
    <n v="0"/>
    <s v="Malaria"/>
    <x v="1"/>
  </r>
  <r>
    <n v="125"/>
    <x v="2"/>
    <x v="10"/>
    <x v="11"/>
    <x v="10"/>
    <m/>
    <m/>
    <m/>
    <m/>
    <m/>
    <m/>
    <m/>
    <e v="#DIV/0!"/>
    <e v="#DIV/0!"/>
    <s v="-"/>
    <n v="0"/>
    <s v="-"/>
    <n v="0"/>
    <s v="-"/>
    <n v="0"/>
    <s v="-"/>
    <n v="0"/>
    <m/>
    <n v="0"/>
    <m/>
    <m/>
    <m/>
    <m/>
    <n v="0"/>
    <m/>
    <n v="0"/>
    <m/>
    <n v="0"/>
    <m/>
    <n v="0"/>
    <m/>
    <n v="0"/>
    <m/>
    <m/>
    <m/>
    <m/>
    <n v="0"/>
    <m/>
    <n v="0"/>
    <m/>
    <n v="0"/>
    <m/>
    <n v="0"/>
    <m/>
    <n v="0"/>
    <m/>
    <m/>
    <m/>
    <m/>
    <n v="0"/>
    <n v="0"/>
    <n v="0"/>
    <n v="0"/>
    <n v="0"/>
    <n v="0"/>
    <n v="0"/>
    <n v="0"/>
    <n v="0"/>
    <m/>
    <n v="0"/>
    <n v="0"/>
    <m/>
    <m/>
    <n v="0"/>
    <s v="Malaria"/>
    <x v="11"/>
  </r>
  <r>
    <n v="126"/>
    <x v="2"/>
    <x v="10"/>
    <x v="1"/>
    <x v="1"/>
    <m/>
    <n v="0"/>
    <m/>
    <m/>
    <m/>
    <m/>
    <m/>
    <m/>
    <m/>
    <s v="-"/>
    <n v="0"/>
    <s v="-"/>
    <n v="0"/>
    <s v="-"/>
    <n v="0"/>
    <s v="-"/>
    <n v="0"/>
    <m/>
    <n v="0"/>
    <m/>
    <m/>
    <m/>
    <m/>
    <n v="0"/>
    <m/>
    <n v="0"/>
    <m/>
    <n v="0"/>
    <m/>
    <n v="0"/>
    <m/>
    <n v="0"/>
    <m/>
    <m/>
    <m/>
    <m/>
    <n v="0"/>
    <m/>
    <n v="0"/>
    <m/>
    <n v="0"/>
    <m/>
    <n v="0"/>
    <m/>
    <n v="0"/>
    <m/>
    <m/>
    <m/>
    <m/>
    <n v="0"/>
    <n v="0"/>
    <n v="0"/>
    <n v="0"/>
    <n v="0"/>
    <n v="0"/>
    <n v="0"/>
    <n v="0"/>
    <n v="0"/>
    <m/>
    <n v="0"/>
    <n v="0"/>
    <m/>
    <m/>
    <n v="0"/>
    <s v="Malaria"/>
    <x v="1"/>
  </r>
  <r>
    <n v="127"/>
    <x v="2"/>
    <x v="10"/>
    <x v="1"/>
    <x v="2"/>
    <m/>
    <m/>
    <m/>
    <m/>
    <m/>
    <m/>
    <m/>
    <m/>
    <m/>
    <s v="-"/>
    <n v="0"/>
    <s v="-"/>
    <n v="0"/>
    <s v="-"/>
    <n v="0"/>
    <s v="-"/>
    <n v="0"/>
    <m/>
    <n v="0"/>
    <m/>
    <m/>
    <m/>
    <m/>
    <n v="0"/>
    <m/>
    <n v="0"/>
    <m/>
    <n v="0"/>
    <m/>
    <n v="0"/>
    <m/>
    <n v="0"/>
    <m/>
    <m/>
    <m/>
    <m/>
    <n v="0"/>
    <m/>
    <n v="0"/>
    <m/>
    <n v="0"/>
    <m/>
    <n v="0"/>
    <m/>
    <n v="0"/>
    <m/>
    <m/>
    <m/>
    <m/>
    <n v="0"/>
    <n v="0"/>
    <n v="0"/>
    <n v="0"/>
    <n v="0"/>
    <n v="0"/>
    <n v="0"/>
    <n v="0"/>
    <n v="0"/>
    <m/>
    <n v="0"/>
    <n v="0"/>
    <m/>
    <m/>
    <n v="0"/>
    <s v="Malaria"/>
    <x v="1"/>
  </r>
  <r>
    <n v="128"/>
    <x v="2"/>
    <x v="10"/>
    <x v="1"/>
    <x v="3"/>
    <m/>
    <m/>
    <m/>
    <m/>
    <m/>
    <m/>
    <m/>
    <m/>
    <m/>
    <s v="-"/>
    <n v="0"/>
    <s v="-"/>
    <n v="0"/>
    <s v="-"/>
    <n v="0"/>
    <s v="-"/>
    <n v="0"/>
    <m/>
    <n v="0"/>
    <m/>
    <m/>
    <m/>
    <m/>
    <n v="0"/>
    <m/>
    <n v="0"/>
    <m/>
    <n v="0"/>
    <m/>
    <n v="0"/>
    <m/>
    <n v="0"/>
    <m/>
    <m/>
    <m/>
    <m/>
    <n v="0"/>
    <m/>
    <n v="0"/>
    <m/>
    <n v="0"/>
    <m/>
    <n v="0"/>
    <m/>
    <n v="0"/>
    <m/>
    <m/>
    <m/>
    <m/>
    <n v="0"/>
    <n v="0"/>
    <n v="0"/>
    <n v="0"/>
    <n v="0"/>
    <n v="0"/>
    <n v="0"/>
    <n v="0"/>
    <n v="0"/>
    <m/>
    <n v="0"/>
    <n v="0"/>
    <m/>
    <m/>
    <n v="0"/>
    <s v="Malaria"/>
    <x v="1"/>
  </r>
  <r>
    <n v="129"/>
    <x v="2"/>
    <x v="10"/>
    <x v="1"/>
    <x v="4"/>
    <m/>
    <m/>
    <m/>
    <m/>
    <m/>
    <m/>
    <m/>
    <m/>
    <m/>
    <s v="-"/>
    <n v="0"/>
    <s v="-"/>
    <n v="0"/>
    <s v="-"/>
    <n v="0"/>
    <s v="-"/>
    <n v="0"/>
    <m/>
    <n v="0"/>
    <m/>
    <m/>
    <m/>
    <m/>
    <n v="0"/>
    <m/>
    <n v="0"/>
    <m/>
    <n v="0"/>
    <m/>
    <n v="0"/>
    <m/>
    <n v="0"/>
    <m/>
    <m/>
    <m/>
    <m/>
    <n v="0"/>
    <m/>
    <n v="0"/>
    <m/>
    <n v="0"/>
    <m/>
    <n v="0"/>
    <m/>
    <n v="0"/>
    <m/>
    <m/>
    <m/>
    <m/>
    <n v="0"/>
    <n v="0"/>
    <n v="0"/>
    <n v="0"/>
    <n v="0"/>
    <n v="0"/>
    <n v="0"/>
    <n v="0"/>
    <n v="0"/>
    <m/>
    <n v="0"/>
    <n v="0"/>
    <m/>
    <m/>
    <n v="0"/>
    <s v="Malaria"/>
    <x v="1"/>
  </r>
  <r>
    <n v="130"/>
    <x v="2"/>
    <x v="10"/>
    <x v="1"/>
    <x v="5"/>
    <m/>
    <m/>
    <m/>
    <m/>
    <m/>
    <m/>
    <m/>
    <m/>
    <m/>
    <s v="-"/>
    <n v="0"/>
    <s v="-"/>
    <n v="0"/>
    <s v="-"/>
    <n v="0"/>
    <s v="-"/>
    <n v="0"/>
    <m/>
    <n v="0"/>
    <m/>
    <m/>
    <m/>
    <m/>
    <n v="0"/>
    <m/>
    <n v="0"/>
    <m/>
    <n v="0"/>
    <m/>
    <n v="0"/>
    <m/>
    <n v="0"/>
    <m/>
    <m/>
    <m/>
    <m/>
    <n v="0"/>
    <m/>
    <n v="0"/>
    <m/>
    <n v="0"/>
    <m/>
    <n v="0"/>
    <m/>
    <n v="0"/>
    <m/>
    <m/>
    <m/>
    <m/>
    <n v="0"/>
    <n v="0"/>
    <n v="0"/>
    <n v="0"/>
    <n v="0"/>
    <n v="0"/>
    <n v="0"/>
    <n v="0"/>
    <n v="0"/>
    <m/>
    <n v="0"/>
    <n v="0"/>
    <m/>
    <m/>
    <n v="0"/>
    <s v="Malaria"/>
    <x v="1"/>
  </r>
  <r>
    <n v="131"/>
    <x v="2"/>
    <x v="10"/>
    <x v="1"/>
    <x v="6"/>
    <m/>
    <m/>
    <m/>
    <m/>
    <m/>
    <m/>
    <m/>
    <m/>
    <m/>
    <s v="-"/>
    <n v="0"/>
    <s v="-"/>
    <n v="0"/>
    <s v="-"/>
    <n v="0"/>
    <s v="-"/>
    <n v="0"/>
    <m/>
    <n v="0"/>
    <m/>
    <m/>
    <m/>
    <m/>
    <n v="0"/>
    <m/>
    <n v="0"/>
    <m/>
    <n v="0"/>
    <m/>
    <n v="0"/>
    <m/>
    <n v="0"/>
    <m/>
    <m/>
    <m/>
    <m/>
    <n v="0"/>
    <m/>
    <n v="0"/>
    <m/>
    <n v="0"/>
    <m/>
    <n v="0"/>
    <m/>
    <n v="0"/>
    <m/>
    <m/>
    <m/>
    <m/>
    <n v="0"/>
    <n v="0"/>
    <n v="0"/>
    <n v="0"/>
    <n v="0"/>
    <n v="0"/>
    <n v="0"/>
    <n v="0"/>
    <n v="0"/>
    <m/>
    <n v="0"/>
    <n v="0"/>
    <m/>
    <m/>
    <n v="0"/>
    <s v="Malaria"/>
    <x v="1"/>
  </r>
  <r>
    <n v="132"/>
    <x v="2"/>
    <x v="10"/>
    <x v="1"/>
    <x v="7"/>
    <m/>
    <m/>
    <m/>
    <m/>
    <m/>
    <m/>
    <m/>
    <m/>
    <m/>
    <s v="-"/>
    <n v="0"/>
    <s v="-"/>
    <n v="0"/>
    <s v="-"/>
    <n v="0"/>
    <s v="-"/>
    <n v="0"/>
    <m/>
    <n v="0"/>
    <m/>
    <m/>
    <m/>
    <m/>
    <n v="0"/>
    <m/>
    <n v="0"/>
    <m/>
    <n v="0"/>
    <m/>
    <n v="0"/>
    <m/>
    <n v="0"/>
    <m/>
    <m/>
    <m/>
    <m/>
    <n v="0"/>
    <m/>
    <n v="0"/>
    <m/>
    <n v="0"/>
    <m/>
    <n v="0"/>
    <m/>
    <n v="0"/>
    <m/>
    <m/>
    <m/>
    <m/>
    <n v="0"/>
    <n v="0"/>
    <n v="0"/>
    <n v="0"/>
    <n v="0"/>
    <n v="0"/>
    <n v="0"/>
    <n v="0"/>
    <n v="0"/>
    <m/>
    <n v="0"/>
    <n v="0"/>
    <m/>
    <m/>
    <n v="0"/>
    <s v="Malaria"/>
    <x v="1"/>
  </r>
  <r>
    <n v="133"/>
    <x v="2"/>
    <x v="11"/>
    <x v="11"/>
    <x v="10"/>
    <m/>
    <n v="0"/>
    <m/>
    <m/>
    <m/>
    <m/>
    <m/>
    <e v="#DIV/0!"/>
    <e v="#DIV/0!"/>
    <s v="-"/>
    <n v="0"/>
    <s v="-"/>
    <n v="0"/>
    <s v="-"/>
    <n v="0"/>
    <s v="-"/>
    <n v="0"/>
    <m/>
    <n v="0"/>
    <m/>
    <m/>
    <m/>
    <m/>
    <n v="0"/>
    <m/>
    <n v="0"/>
    <m/>
    <n v="0"/>
    <m/>
    <n v="0"/>
    <m/>
    <n v="0"/>
    <m/>
    <m/>
    <m/>
    <m/>
    <n v="0"/>
    <m/>
    <n v="0"/>
    <m/>
    <n v="0"/>
    <m/>
    <n v="0"/>
    <m/>
    <n v="0"/>
    <m/>
    <m/>
    <m/>
    <m/>
    <n v="0"/>
    <n v="0"/>
    <n v="0"/>
    <n v="0"/>
    <n v="0"/>
    <n v="0"/>
    <n v="0"/>
    <n v="0"/>
    <n v="0"/>
    <m/>
    <n v="0"/>
    <n v="0"/>
    <m/>
    <m/>
    <n v="0"/>
    <s v="Malaria"/>
    <x v="11"/>
  </r>
  <r>
    <n v="134"/>
    <x v="2"/>
    <x v="11"/>
    <x v="1"/>
    <x v="1"/>
    <m/>
    <m/>
    <m/>
    <m/>
    <m/>
    <m/>
    <m/>
    <m/>
    <m/>
    <s v="-"/>
    <n v="0"/>
    <s v="-"/>
    <n v="0"/>
    <s v="-"/>
    <n v="0"/>
    <s v="-"/>
    <n v="0"/>
    <m/>
    <n v="0"/>
    <m/>
    <m/>
    <m/>
    <m/>
    <n v="0"/>
    <m/>
    <n v="0"/>
    <m/>
    <n v="0"/>
    <m/>
    <n v="0"/>
    <m/>
    <n v="0"/>
    <m/>
    <m/>
    <m/>
    <m/>
    <n v="0"/>
    <m/>
    <n v="0"/>
    <m/>
    <n v="0"/>
    <m/>
    <n v="0"/>
    <m/>
    <n v="0"/>
    <m/>
    <m/>
    <m/>
    <m/>
    <n v="0"/>
    <n v="0"/>
    <n v="0"/>
    <n v="0"/>
    <n v="0"/>
    <n v="0"/>
    <n v="0"/>
    <n v="0"/>
    <n v="0"/>
    <m/>
    <n v="0"/>
    <n v="0"/>
    <m/>
    <m/>
    <n v="0"/>
    <s v="Malaria"/>
    <x v="1"/>
  </r>
  <r>
    <n v="135"/>
    <x v="2"/>
    <x v="11"/>
    <x v="1"/>
    <x v="2"/>
    <m/>
    <m/>
    <m/>
    <m/>
    <m/>
    <m/>
    <m/>
    <m/>
    <m/>
    <s v="-"/>
    <n v="0"/>
    <s v="-"/>
    <n v="0"/>
    <s v="-"/>
    <n v="0"/>
    <s v="-"/>
    <n v="0"/>
    <m/>
    <n v="0"/>
    <m/>
    <m/>
    <m/>
    <m/>
    <n v="0"/>
    <m/>
    <n v="0"/>
    <m/>
    <n v="0"/>
    <m/>
    <n v="0"/>
    <m/>
    <n v="0"/>
    <m/>
    <m/>
    <m/>
    <m/>
    <n v="0"/>
    <m/>
    <n v="0"/>
    <m/>
    <n v="0"/>
    <m/>
    <n v="0"/>
    <m/>
    <n v="0"/>
    <m/>
    <m/>
    <m/>
    <m/>
    <n v="0"/>
    <n v="0"/>
    <n v="0"/>
    <n v="0"/>
    <n v="0"/>
    <n v="0"/>
    <n v="0"/>
    <n v="0"/>
    <n v="0"/>
    <m/>
    <n v="0"/>
    <n v="0"/>
    <m/>
    <m/>
    <n v="0"/>
    <s v="Malaria"/>
    <x v="1"/>
  </r>
  <r>
    <n v="136"/>
    <x v="2"/>
    <x v="11"/>
    <x v="1"/>
    <x v="3"/>
    <m/>
    <m/>
    <m/>
    <m/>
    <m/>
    <m/>
    <m/>
    <m/>
    <m/>
    <s v="-"/>
    <n v="0"/>
    <s v="-"/>
    <n v="0"/>
    <s v="-"/>
    <n v="0"/>
    <s v="-"/>
    <n v="0"/>
    <m/>
    <n v="0"/>
    <m/>
    <m/>
    <m/>
    <m/>
    <n v="0"/>
    <m/>
    <n v="0"/>
    <m/>
    <n v="0"/>
    <m/>
    <n v="0"/>
    <m/>
    <n v="0"/>
    <m/>
    <m/>
    <m/>
    <m/>
    <n v="0"/>
    <m/>
    <n v="0"/>
    <m/>
    <n v="0"/>
    <m/>
    <n v="0"/>
    <m/>
    <n v="0"/>
    <m/>
    <m/>
    <m/>
    <m/>
    <n v="0"/>
    <n v="0"/>
    <n v="0"/>
    <n v="0"/>
    <n v="0"/>
    <n v="0"/>
    <n v="0"/>
    <n v="0"/>
    <n v="0"/>
    <m/>
    <n v="0"/>
    <n v="0"/>
    <m/>
    <m/>
    <n v="0"/>
    <s v="Malaria"/>
    <x v="1"/>
  </r>
  <r>
    <n v="137"/>
    <x v="2"/>
    <x v="11"/>
    <x v="1"/>
    <x v="4"/>
    <m/>
    <m/>
    <m/>
    <m/>
    <m/>
    <m/>
    <m/>
    <m/>
    <m/>
    <s v="-"/>
    <n v="0"/>
    <s v="-"/>
    <n v="0"/>
    <s v="-"/>
    <n v="0"/>
    <s v="-"/>
    <n v="0"/>
    <m/>
    <n v="0"/>
    <m/>
    <m/>
    <m/>
    <m/>
    <n v="0"/>
    <m/>
    <n v="0"/>
    <m/>
    <n v="0"/>
    <m/>
    <n v="0"/>
    <m/>
    <n v="0"/>
    <m/>
    <m/>
    <m/>
    <m/>
    <n v="0"/>
    <m/>
    <n v="0"/>
    <m/>
    <n v="0"/>
    <m/>
    <n v="0"/>
    <m/>
    <n v="0"/>
    <m/>
    <m/>
    <m/>
    <m/>
    <n v="0"/>
    <n v="0"/>
    <n v="0"/>
    <n v="0"/>
    <n v="0"/>
    <n v="0"/>
    <n v="0"/>
    <n v="0"/>
    <n v="0"/>
    <m/>
    <n v="0"/>
    <n v="0"/>
    <m/>
    <m/>
    <n v="0"/>
    <s v="Malaria"/>
    <x v="1"/>
  </r>
  <r>
    <n v="138"/>
    <x v="2"/>
    <x v="11"/>
    <x v="1"/>
    <x v="5"/>
    <m/>
    <m/>
    <m/>
    <m/>
    <m/>
    <m/>
    <m/>
    <m/>
    <m/>
    <s v="-"/>
    <n v="0"/>
    <s v="-"/>
    <n v="0"/>
    <s v="-"/>
    <n v="0"/>
    <s v="-"/>
    <n v="0"/>
    <m/>
    <n v="0"/>
    <m/>
    <m/>
    <m/>
    <m/>
    <n v="0"/>
    <m/>
    <n v="0"/>
    <m/>
    <n v="0"/>
    <m/>
    <n v="0"/>
    <m/>
    <n v="0"/>
    <m/>
    <m/>
    <m/>
    <m/>
    <n v="0"/>
    <m/>
    <n v="0"/>
    <m/>
    <n v="0"/>
    <m/>
    <n v="0"/>
    <m/>
    <n v="0"/>
    <m/>
    <m/>
    <m/>
    <m/>
    <n v="0"/>
    <n v="0"/>
    <n v="0"/>
    <n v="0"/>
    <n v="0"/>
    <n v="0"/>
    <n v="0"/>
    <n v="0"/>
    <n v="0"/>
    <m/>
    <n v="0"/>
    <n v="0"/>
    <m/>
    <m/>
    <n v="0"/>
    <s v="Malaria"/>
    <x v="1"/>
  </r>
  <r>
    <n v="139"/>
    <x v="2"/>
    <x v="11"/>
    <x v="1"/>
    <x v="6"/>
    <m/>
    <n v="0"/>
    <m/>
    <m/>
    <m/>
    <m/>
    <m/>
    <m/>
    <m/>
    <s v="-"/>
    <n v="0"/>
    <s v="-"/>
    <n v="0"/>
    <s v="-"/>
    <n v="0"/>
    <s v="-"/>
    <n v="0"/>
    <m/>
    <n v="0"/>
    <m/>
    <m/>
    <m/>
    <m/>
    <n v="0"/>
    <m/>
    <n v="0"/>
    <m/>
    <n v="0"/>
    <m/>
    <n v="0"/>
    <m/>
    <n v="0"/>
    <m/>
    <m/>
    <m/>
    <m/>
    <n v="0"/>
    <m/>
    <n v="0"/>
    <m/>
    <n v="0"/>
    <m/>
    <n v="0"/>
    <m/>
    <n v="0"/>
    <m/>
    <m/>
    <m/>
    <m/>
    <n v="0"/>
    <n v="0"/>
    <n v="0"/>
    <n v="0"/>
    <n v="0"/>
    <n v="0"/>
    <n v="0"/>
    <n v="0"/>
    <n v="0"/>
    <m/>
    <n v="0"/>
    <n v="0"/>
    <m/>
    <m/>
    <n v="0"/>
    <s v="Malaria"/>
    <x v="1"/>
  </r>
  <r>
    <n v="140"/>
    <x v="2"/>
    <x v="11"/>
    <x v="1"/>
    <x v="7"/>
    <m/>
    <n v="0"/>
    <m/>
    <m/>
    <m/>
    <m/>
    <m/>
    <m/>
    <m/>
    <s v="-"/>
    <n v="0"/>
    <s v="-"/>
    <n v="0"/>
    <s v="-"/>
    <n v="0"/>
    <s v="-"/>
    <n v="0"/>
    <m/>
    <n v="0"/>
    <m/>
    <m/>
    <m/>
    <m/>
    <n v="0"/>
    <m/>
    <n v="0"/>
    <m/>
    <n v="0"/>
    <m/>
    <n v="0"/>
    <m/>
    <n v="0"/>
    <m/>
    <m/>
    <m/>
    <m/>
    <n v="0"/>
    <m/>
    <n v="0"/>
    <m/>
    <n v="0"/>
    <m/>
    <n v="0"/>
    <m/>
    <n v="0"/>
    <m/>
    <m/>
    <m/>
    <m/>
    <n v="0"/>
    <n v="0"/>
    <n v="0"/>
    <n v="0"/>
    <n v="0"/>
    <n v="0"/>
    <n v="0"/>
    <n v="0"/>
    <n v="0"/>
    <m/>
    <n v="0"/>
    <n v="0"/>
    <m/>
    <m/>
    <n v="0"/>
    <s v="Malaria"/>
    <x v="1"/>
  </r>
  <r>
    <n v="141"/>
    <x v="2"/>
    <x v="12"/>
    <x v="11"/>
    <x v="10"/>
    <m/>
    <m/>
    <m/>
    <m/>
    <m/>
    <m/>
    <m/>
    <m/>
    <m/>
    <s v="-"/>
    <n v="0"/>
    <s v="-"/>
    <n v="0"/>
    <s v="-"/>
    <n v="0"/>
    <s v="-"/>
    <n v="0"/>
    <m/>
    <n v="0"/>
    <m/>
    <m/>
    <m/>
    <m/>
    <n v="0"/>
    <m/>
    <n v="0"/>
    <m/>
    <n v="0"/>
    <m/>
    <n v="0"/>
    <m/>
    <n v="0"/>
    <m/>
    <m/>
    <m/>
    <m/>
    <n v="0"/>
    <m/>
    <n v="0"/>
    <m/>
    <n v="0"/>
    <m/>
    <n v="0"/>
    <m/>
    <n v="0"/>
    <m/>
    <m/>
    <m/>
    <m/>
    <n v="0"/>
    <n v="0"/>
    <n v="0"/>
    <n v="0"/>
    <n v="0"/>
    <n v="0"/>
    <n v="0"/>
    <n v="0"/>
    <n v="0"/>
    <m/>
    <n v="0"/>
    <n v="0"/>
    <m/>
    <m/>
    <n v="0"/>
    <s v="Malaria"/>
    <x v="11"/>
  </r>
  <r>
    <n v="142"/>
    <x v="2"/>
    <x v="12"/>
    <x v="1"/>
    <x v="1"/>
    <m/>
    <m/>
    <m/>
    <m/>
    <m/>
    <m/>
    <m/>
    <m/>
    <m/>
    <s v="-"/>
    <n v="0"/>
    <s v="-"/>
    <n v="0"/>
    <s v="-"/>
    <n v="0"/>
    <s v="-"/>
    <n v="0"/>
    <m/>
    <n v="0"/>
    <m/>
    <m/>
    <m/>
    <m/>
    <n v="0"/>
    <m/>
    <n v="0"/>
    <m/>
    <n v="0"/>
    <m/>
    <n v="0"/>
    <m/>
    <n v="0"/>
    <m/>
    <m/>
    <m/>
    <m/>
    <n v="0"/>
    <m/>
    <n v="0"/>
    <m/>
    <n v="0"/>
    <m/>
    <n v="0"/>
    <m/>
    <n v="0"/>
    <m/>
    <m/>
    <m/>
    <m/>
    <n v="0"/>
    <n v="0"/>
    <n v="0"/>
    <n v="0"/>
    <n v="0"/>
    <n v="0"/>
    <n v="0"/>
    <n v="0"/>
    <n v="0"/>
    <m/>
    <n v="0"/>
    <n v="0"/>
    <m/>
    <m/>
    <n v="0"/>
    <s v="Malaria"/>
    <x v="1"/>
  </r>
  <r>
    <n v="143"/>
    <x v="2"/>
    <x v="12"/>
    <x v="1"/>
    <x v="2"/>
    <m/>
    <m/>
    <m/>
    <m/>
    <m/>
    <m/>
    <m/>
    <m/>
    <m/>
    <s v="-"/>
    <n v="0"/>
    <s v="-"/>
    <n v="0"/>
    <s v="-"/>
    <n v="0"/>
    <s v="-"/>
    <n v="0"/>
    <m/>
    <n v="0"/>
    <m/>
    <m/>
    <m/>
    <m/>
    <n v="0"/>
    <m/>
    <n v="0"/>
    <m/>
    <n v="0"/>
    <m/>
    <n v="0"/>
    <m/>
    <n v="0"/>
    <m/>
    <m/>
    <m/>
    <m/>
    <n v="0"/>
    <m/>
    <n v="0"/>
    <m/>
    <n v="0"/>
    <m/>
    <n v="0"/>
    <m/>
    <n v="0"/>
    <m/>
    <m/>
    <m/>
    <m/>
    <n v="0"/>
    <n v="0"/>
    <n v="0"/>
    <n v="0"/>
    <n v="0"/>
    <n v="0"/>
    <n v="0"/>
    <n v="0"/>
    <n v="0"/>
    <m/>
    <n v="0"/>
    <n v="0"/>
    <m/>
    <m/>
    <n v="0"/>
    <s v="Malaria"/>
    <x v="1"/>
  </r>
  <r>
    <n v="144"/>
    <x v="2"/>
    <x v="12"/>
    <x v="1"/>
    <x v="3"/>
    <m/>
    <m/>
    <m/>
    <m/>
    <m/>
    <m/>
    <m/>
    <m/>
    <m/>
    <s v="-"/>
    <n v="0"/>
    <s v="-"/>
    <n v="0"/>
    <s v="-"/>
    <n v="0"/>
    <s v="-"/>
    <n v="0"/>
    <m/>
    <n v="0"/>
    <m/>
    <m/>
    <m/>
    <m/>
    <n v="0"/>
    <m/>
    <n v="0"/>
    <m/>
    <n v="0"/>
    <m/>
    <n v="0"/>
    <m/>
    <n v="0"/>
    <m/>
    <m/>
    <m/>
    <m/>
    <n v="0"/>
    <m/>
    <n v="0"/>
    <m/>
    <n v="0"/>
    <m/>
    <n v="0"/>
    <m/>
    <n v="0"/>
    <m/>
    <m/>
    <m/>
    <m/>
    <n v="0"/>
    <n v="0"/>
    <n v="0"/>
    <n v="0"/>
    <n v="0"/>
    <n v="0"/>
    <n v="0"/>
    <n v="0"/>
    <n v="0"/>
    <m/>
    <n v="0"/>
    <n v="0"/>
    <m/>
    <m/>
    <n v="0"/>
    <s v="Malaria"/>
    <x v="1"/>
  </r>
  <r>
    <n v="145"/>
    <x v="2"/>
    <x v="12"/>
    <x v="1"/>
    <x v="4"/>
    <m/>
    <m/>
    <m/>
    <m/>
    <m/>
    <m/>
    <m/>
    <m/>
    <m/>
    <s v="-"/>
    <n v="0"/>
    <s v="-"/>
    <n v="0"/>
    <s v="-"/>
    <n v="0"/>
    <s v="-"/>
    <n v="0"/>
    <m/>
    <n v="0"/>
    <m/>
    <m/>
    <m/>
    <m/>
    <n v="0"/>
    <m/>
    <n v="0"/>
    <m/>
    <n v="0"/>
    <m/>
    <n v="0"/>
    <m/>
    <n v="0"/>
    <m/>
    <m/>
    <m/>
    <m/>
    <n v="0"/>
    <m/>
    <n v="0"/>
    <m/>
    <n v="0"/>
    <m/>
    <n v="0"/>
    <m/>
    <n v="0"/>
    <m/>
    <m/>
    <m/>
    <m/>
    <n v="0"/>
    <n v="0"/>
    <n v="0"/>
    <n v="0"/>
    <n v="0"/>
    <n v="0"/>
    <n v="0"/>
    <n v="0"/>
    <n v="0"/>
    <m/>
    <n v="0"/>
    <n v="0"/>
    <m/>
    <m/>
    <n v="0"/>
    <s v="Malaria"/>
    <x v="1"/>
  </r>
  <r>
    <n v="146"/>
    <x v="2"/>
    <x v="12"/>
    <x v="1"/>
    <x v="5"/>
    <m/>
    <n v="0"/>
    <m/>
    <m/>
    <m/>
    <m/>
    <m/>
    <m/>
    <m/>
    <s v="-"/>
    <n v="0"/>
    <s v="-"/>
    <n v="0"/>
    <s v="-"/>
    <n v="0"/>
    <s v="-"/>
    <n v="0"/>
    <m/>
    <n v="0"/>
    <m/>
    <m/>
    <m/>
    <m/>
    <n v="0"/>
    <m/>
    <n v="0"/>
    <m/>
    <n v="0"/>
    <m/>
    <n v="0"/>
    <m/>
    <n v="0"/>
    <m/>
    <m/>
    <m/>
    <m/>
    <n v="0"/>
    <m/>
    <n v="0"/>
    <m/>
    <n v="0"/>
    <m/>
    <n v="0"/>
    <m/>
    <n v="0"/>
    <m/>
    <m/>
    <m/>
    <m/>
    <n v="0"/>
    <n v="0"/>
    <n v="0"/>
    <n v="0"/>
    <n v="0"/>
    <n v="0"/>
    <n v="0"/>
    <n v="0"/>
    <n v="0"/>
    <m/>
    <n v="0"/>
    <n v="0"/>
    <m/>
    <m/>
    <n v="0"/>
    <s v="Malaria"/>
    <x v="1"/>
  </r>
  <r>
    <n v="147"/>
    <x v="2"/>
    <x v="12"/>
    <x v="1"/>
    <x v="6"/>
    <m/>
    <n v="0"/>
    <m/>
    <m/>
    <m/>
    <m/>
    <m/>
    <m/>
    <m/>
    <s v="-"/>
    <n v="0"/>
    <s v="-"/>
    <n v="0"/>
    <s v="-"/>
    <n v="0"/>
    <s v="-"/>
    <n v="0"/>
    <m/>
    <n v="0"/>
    <m/>
    <m/>
    <m/>
    <m/>
    <n v="0"/>
    <m/>
    <n v="0"/>
    <m/>
    <n v="0"/>
    <m/>
    <n v="0"/>
    <m/>
    <n v="0"/>
    <m/>
    <m/>
    <m/>
    <m/>
    <n v="0"/>
    <m/>
    <n v="0"/>
    <m/>
    <n v="0"/>
    <m/>
    <n v="0"/>
    <m/>
    <n v="0"/>
    <m/>
    <m/>
    <m/>
    <m/>
    <n v="0"/>
    <n v="0"/>
    <n v="0"/>
    <n v="0"/>
    <n v="0"/>
    <n v="0"/>
    <n v="0"/>
    <n v="0"/>
    <n v="0"/>
    <m/>
    <n v="0"/>
    <n v="0"/>
    <m/>
    <m/>
    <n v="0"/>
    <s v="Malaria"/>
    <x v="1"/>
  </r>
  <r>
    <n v="148"/>
    <x v="2"/>
    <x v="12"/>
    <x v="1"/>
    <x v="7"/>
    <m/>
    <m/>
    <m/>
    <m/>
    <m/>
    <m/>
    <m/>
    <m/>
    <m/>
    <s v="-"/>
    <n v="0"/>
    <s v="-"/>
    <n v="0"/>
    <s v="-"/>
    <n v="0"/>
    <s v="-"/>
    <n v="0"/>
    <m/>
    <n v="0"/>
    <m/>
    <m/>
    <m/>
    <m/>
    <n v="0"/>
    <m/>
    <n v="0"/>
    <m/>
    <n v="0"/>
    <m/>
    <n v="0"/>
    <m/>
    <n v="0"/>
    <m/>
    <m/>
    <m/>
    <m/>
    <n v="0"/>
    <m/>
    <n v="0"/>
    <m/>
    <n v="0"/>
    <m/>
    <n v="0"/>
    <m/>
    <n v="0"/>
    <m/>
    <m/>
    <m/>
    <m/>
    <n v="0"/>
    <n v="0"/>
    <n v="0"/>
    <n v="0"/>
    <n v="0"/>
    <n v="0"/>
    <n v="0"/>
    <n v="0"/>
    <n v="0"/>
    <m/>
    <n v="0"/>
    <n v="0"/>
    <m/>
    <m/>
    <n v="0"/>
    <s v="Malaria"/>
    <x v="1"/>
  </r>
  <r>
    <n v="149"/>
    <x v="2"/>
    <x v="13"/>
    <x v="11"/>
    <x v="10"/>
    <m/>
    <m/>
    <m/>
    <m/>
    <m/>
    <m/>
    <m/>
    <m/>
    <m/>
    <s v="-"/>
    <n v="0"/>
    <s v="-"/>
    <n v="0"/>
    <s v="-"/>
    <n v="0"/>
    <s v="-"/>
    <n v="0"/>
    <m/>
    <n v="0"/>
    <m/>
    <m/>
    <m/>
    <m/>
    <n v="0"/>
    <m/>
    <n v="0"/>
    <m/>
    <n v="0"/>
    <m/>
    <n v="0"/>
    <m/>
    <n v="0"/>
    <m/>
    <m/>
    <m/>
    <m/>
    <n v="0"/>
    <m/>
    <n v="0"/>
    <m/>
    <n v="0"/>
    <m/>
    <n v="0"/>
    <m/>
    <n v="0"/>
    <m/>
    <m/>
    <m/>
    <m/>
    <n v="0"/>
    <n v="0"/>
    <n v="0"/>
    <n v="0"/>
    <n v="0"/>
    <n v="0"/>
    <n v="0"/>
    <n v="0"/>
    <n v="0"/>
    <m/>
    <n v="0"/>
    <n v="0"/>
    <m/>
    <m/>
    <n v="0"/>
    <s v="Malaria"/>
    <x v="11"/>
  </r>
  <r>
    <n v="150"/>
    <x v="2"/>
    <x v="13"/>
    <x v="1"/>
    <x v="1"/>
    <m/>
    <m/>
    <m/>
    <m/>
    <m/>
    <m/>
    <m/>
    <m/>
    <m/>
    <s v="-"/>
    <n v="0"/>
    <s v="-"/>
    <n v="0"/>
    <s v="-"/>
    <n v="0"/>
    <s v="-"/>
    <n v="0"/>
    <m/>
    <n v="0"/>
    <m/>
    <m/>
    <m/>
    <m/>
    <n v="0"/>
    <m/>
    <n v="0"/>
    <m/>
    <n v="0"/>
    <m/>
    <n v="0"/>
    <m/>
    <n v="0"/>
    <m/>
    <m/>
    <m/>
    <m/>
    <n v="0"/>
    <m/>
    <n v="0"/>
    <m/>
    <n v="0"/>
    <m/>
    <n v="0"/>
    <m/>
    <n v="0"/>
    <m/>
    <m/>
    <m/>
    <m/>
    <n v="0"/>
    <n v="0"/>
    <n v="0"/>
    <n v="0"/>
    <n v="0"/>
    <n v="0"/>
    <n v="0"/>
    <n v="0"/>
    <n v="0"/>
    <m/>
    <n v="0"/>
    <n v="0"/>
    <m/>
    <m/>
    <n v="0"/>
    <s v="Malaria"/>
    <x v="1"/>
  </r>
  <r>
    <n v="151"/>
    <x v="2"/>
    <x v="13"/>
    <x v="1"/>
    <x v="2"/>
    <m/>
    <m/>
    <m/>
    <m/>
    <m/>
    <m/>
    <m/>
    <m/>
    <m/>
    <s v="-"/>
    <n v="0"/>
    <s v="-"/>
    <n v="0"/>
    <s v="-"/>
    <n v="0"/>
    <s v="-"/>
    <n v="0"/>
    <m/>
    <n v="0"/>
    <m/>
    <m/>
    <m/>
    <m/>
    <n v="0"/>
    <m/>
    <n v="0"/>
    <m/>
    <n v="0"/>
    <m/>
    <n v="0"/>
    <m/>
    <n v="0"/>
    <m/>
    <m/>
    <m/>
    <m/>
    <n v="0"/>
    <m/>
    <n v="0"/>
    <m/>
    <n v="0"/>
    <m/>
    <n v="0"/>
    <m/>
    <n v="0"/>
    <m/>
    <m/>
    <m/>
    <m/>
    <n v="0"/>
    <n v="0"/>
    <n v="0"/>
    <n v="0"/>
    <n v="0"/>
    <n v="0"/>
    <n v="0"/>
    <n v="0"/>
    <n v="0"/>
    <m/>
    <n v="0"/>
    <n v="0"/>
    <m/>
    <m/>
    <n v="0"/>
    <s v="Malaria"/>
    <x v="1"/>
  </r>
  <r>
    <n v="152"/>
    <x v="2"/>
    <x v="13"/>
    <x v="1"/>
    <x v="3"/>
    <m/>
    <m/>
    <m/>
    <m/>
    <m/>
    <m/>
    <m/>
    <m/>
    <m/>
    <s v="-"/>
    <n v="0"/>
    <s v="-"/>
    <n v="0"/>
    <s v="-"/>
    <n v="0"/>
    <s v="-"/>
    <n v="0"/>
    <m/>
    <n v="0"/>
    <m/>
    <m/>
    <m/>
    <m/>
    <n v="0"/>
    <m/>
    <n v="0"/>
    <m/>
    <n v="0"/>
    <m/>
    <n v="0"/>
    <m/>
    <n v="0"/>
    <m/>
    <m/>
    <m/>
    <m/>
    <n v="0"/>
    <m/>
    <n v="0"/>
    <m/>
    <n v="0"/>
    <m/>
    <n v="0"/>
    <m/>
    <n v="0"/>
    <m/>
    <m/>
    <m/>
    <m/>
    <n v="0"/>
    <n v="0"/>
    <n v="0"/>
    <n v="0"/>
    <n v="0"/>
    <n v="0"/>
    <n v="0"/>
    <n v="0"/>
    <n v="0"/>
    <m/>
    <n v="0"/>
    <n v="0"/>
    <m/>
    <m/>
    <n v="0"/>
    <s v="Malaria"/>
    <x v="1"/>
  </r>
  <r>
    <n v="153"/>
    <x v="2"/>
    <x v="13"/>
    <x v="1"/>
    <x v="4"/>
    <m/>
    <m/>
    <m/>
    <m/>
    <m/>
    <m/>
    <m/>
    <m/>
    <m/>
    <s v="-"/>
    <n v="0"/>
    <s v="-"/>
    <n v="0"/>
    <s v="-"/>
    <n v="0"/>
    <s v="-"/>
    <n v="0"/>
    <m/>
    <n v="0"/>
    <m/>
    <m/>
    <m/>
    <m/>
    <n v="0"/>
    <m/>
    <n v="0"/>
    <m/>
    <n v="0"/>
    <m/>
    <n v="0"/>
    <m/>
    <n v="0"/>
    <m/>
    <m/>
    <m/>
    <m/>
    <n v="0"/>
    <m/>
    <n v="0"/>
    <m/>
    <n v="0"/>
    <m/>
    <n v="0"/>
    <m/>
    <n v="0"/>
    <m/>
    <m/>
    <m/>
    <m/>
    <n v="0"/>
    <n v="0"/>
    <n v="0"/>
    <n v="0"/>
    <n v="0"/>
    <n v="0"/>
    <n v="0"/>
    <n v="0"/>
    <n v="0"/>
    <m/>
    <n v="0"/>
    <n v="0"/>
    <m/>
    <m/>
    <n v="0"/>
    <s v="Malaria"/>
    <x v="1"/>
  </r>
  <r>
    <n v="154"/>
    <x v="2"/>
    <x v="13"/>
    <x v="1"/>
    <x v="5"/>
    <m/>
    <n v="0"/>
    <m/>
    <m/>
    <m/>
    <m/>
    <m/>
    <m/>
    <m/>
    <s v="-"/>
    <n v="0"/>
    <s v="-"/>
    <n v="0"/>
    <s v="-"/>
    <n v="0"/>
    <s v="-"/>
    <n v="0"/>
    <m/>
    <n v="0"/>
    <m/>
    <m/>
    <m/>
    <m/>
    <n v="0"/>
    <m/>
    <n v="0"/>
    <m/>
    <n v="0"/>
    <m/>
    <n v="0"/>
    <m/>
    <n v="0"/>
    <m/>
    <m/>
    <m/>
    <m/>
    <n v="0"/>
    <m/>
    <n v="0"/>
    <m/>
    <n v="0"/>
    <m/>
    <n v="0"/>
    <m/>
    <n v="0"/>
    <m/>
    <m/>
    <m/>
    <m/>
    <n v="0"/>
    <n v="0"/>
    <n v="0"/>
    <n v="0"/>
    <n v="0"/>
    <n v="0"/>
    <n v="0"/>
    <n v="0"/>
    <n v="0"/>
    <m/>
    <n v="0"/>
    <n v="0"/>
    <m/>
    <m/>
    <n v="0"/>
    <s v="Malaria"/>
    <x v="1"/>
  </r>
  <r>
    <n v="155"/>
    <x v="2"/>
    <x v="13"/>
    <x v="1"/>
    <x v="6"/>
    <m/>
    <m/>
    <m/>
    <m/>
    <m/>
    <m/>
    <m/>
    <m/>
    <m/>
    <s v="-"/>
    <n v="0"/>
    <s v="-"/>
    <n v="0"/>
    <s v="-"/>
    <n v="0"/>
    <s v="-"/>
    <n v="0"/>
    <m/>
    <n v="0"/>
    <m/>
    <m/>
    <m/>
    <m/>
    <n v="0"/>
    <m/>
    <n v="0"/>
    <m/>
    <n v="0"/>
    <m/>
    <n v="0"/>
    <m/>
    <n v="0"/>
    <m/>
    <m/>
    <m/>
    <m/>
    <n v="0"/>
    <m/>
    <n v="0"/>
    <m/>
    <n v="0"/>
    <m/>
    <n v="0"/>
    <m/>
    <n v="0"/>
    <m/>
    <m/>
    <m/>
    <m/>
    <n v="0"/>
    <n v="0"/>
    <n v="0"/>
    <n v="0"/>
    <n v="0"/>
    <n v="0"/>
    <n v="0"/>
    <n v="0"/>
    <n v="0"/>
    <m/>
    <n v="0"/>
    <n v="0"/>
    <m/>
    <m/>
    <n v="0"/>
    <s v="Malaria"/>
    <x v="1"/>
  </r>
  <r>
    <n v="156"/>
    <x v="2"/>
    <x v="13"/>
    <x v="1"/>
    <x v="7"/>
    <m/>
    <m/>
    <m/>
    <m/>
    <m/>
    <m/>
    <m/>
    <m/>
    <m/>
    <s v="-"/>
    <n v="0"/>
    <s v="-"/>
    <n v="0"/>
    <s v="-"/>
    <n v="0"/>
    <s v="-"/>
    <n v="0"/>
    <m/>
    <n v="0"/>
    <m/>
    <m/>
    <m/>
    <m/>
    <n v="0"/>
    <m/>
    <n v="0"/>
    <m/>
    <n v="0"/>
    <m/>
    <n v="0"/>
    <m/>
    <n v="0"/>
    <m/>
    <m/>
    <m/>
    <m/>
    <n v="0"/>
    <m/>
    <n v="0"/>
    <m/>
    <n v="0"/>
    <m/>
    <n v="0"/>
    <m/>
    <n v="0"/>
    <m/>
    <m/>
    <m/>
    <m/>
    <n v="0"/>
    <n v="0"/>
    <n v="0"/>
    <n v="0"/>
    <n v="0"/>
    <n v="0"/>
    <n v="0"/>
    <n v="0"/>
    <n v="0"/>
    <m/>
    <n v="0"/>
    <n v="0"/>
    <m/>
    <m/>
    <n v="0"/>
    <s v="Malaria"/>
    <x v="1"/>
  </r>
  <r>
    <n v="157"/>
    <x v="3"/>
    <x v="14"/>
    <x v="7"/>
    <x v="12"/>
    <m/>
    <m/>
    <m/>
    <m/>
    <m/>
    <m/>
    <m/>
    <m/>
    <m/>
    <s v="-"/>
    <n v="0"/>
    <s v="-"/>
    <n v="0"/>
    <s v="-"/>
    <n v="0"/>
    <s v="-"/>
    <n v="0"/>
    <m/>
    <n v="0"/>
    <m/>
    <m/>
    <m/>
    <m/>
    <n v="0"/>
    <m/>
    <n v="0"/>
    <m/>
    <n v="0"/>
    <m/>
    <n v="0"/>
    <m/>
    <n v="0"/>
    <m/>
    <m/>
    <m/>
    <m/>
    <n v="0"/>
    <m/>
    <n v="0"/>
    <m/>
    <n v="0"/>
    <m/>
    <n v="0"/>
    <m/>
    <n v="0"/>
    <m/>
    <m/>
    <m/>
    <m/>
    <n v="0"/>
    <n v="0"/>
    <n v="0"/>
    <n v="0"/>
    <n v="0"/>
    <n v="0"/>
    <n v="0"/>
    <n v="0"/>
    <n v="0"/>
    <m/>
    <n v="0"/>
    <n v="0"/>
    <m/>
    <m/>
    <n v="0"/>
    <s v="TB"/>
    <x v="7"/>
  </r>
  <r>
    <n v="158"/>
    <x v="3"/>
    <x v="14"/>
    <x v="12"/>
    <x v="11"/>
    <m/>
    <m/>
    <m/>
    <m/>
    <m/>
    <m/>
    <m/>
    <m/>
    <m/>
    <s v="-"/>
    <n v="0"/>
    <m/>
    <n v="0"/>
    <m/>
    <n v="0"/>
    <m/>
    <n v="0"/>
    <m/>
    <n v="0"/>
    <m/>
    <m/>
    <m/>
    <m/>
    <n v="0"/>
    <m/>
    <n v="0"/>
    <m/>
    <n v="0"/>
    <m/>
    <n v="0"/>
    <m/>
    <n v="0"/>
    <m/>
    <m/>
    <m/>
    <m/>
    <n v="0"/>
    <m/>
    <n v="0"/>
    <m/>
    <n v="0"/>
    <m/>
    <n v="0"/>
    <m/>
    <n v="0"/>
    <m/>
    <m/>
    <m/>
    <m/>
    <n v="0"/>
    <n v="0"/>
    <n v="0"/>
    <n v="0"/>
    <n v="0"/>
    <n v="0"/>
    <n v="0"/>
    <n v="0"/>
    <n v="0"/>
    <m/>
    <n v="0"/>
    <n v="0"/>
    <m/>
    <m/>
    <n v="0"/>
    <s v="TB"/>
    <x v="12"/>
  </r>
  <r>
    <n v="159"/>
    <x v="3"/>
    <x v="14"/>
    <x v="10"/>
    <x v="14"/>
    <m/>
    <m/>
    <m/>
    <m/>
    <m/>
    <m/>
    <m/>
    <m/>
    <m/>
    <s v="-"/>
    <n v="0"/>
    <s v="-"/>
    <n v="0"/>
    <s v="-"/>
    <n v="0"/>
    <s v="-"/>
    <n v="0"/>
    <m/>
    <n v="0"/>
    <m/>
    <m/>
    <m/>
    <m/>
    <n v="0"/>
    <m/>
    <n v="0"/>
    <m/>
    <n v="0"/>
    <m/>
    <n v="0"/>
    <m/>
    <n v="0"/>
    <m/>
    <m/>
    <m/>
    <m/>
    <n v="0"/>
    <m/>
    <n v="0"/>
    <m/>
    <n v="0"/>
    <m/>
    <n v="0"/>
    <m/>
    <n v="0"/>
    <m/>
    <m/>
    <m/>
    <m/>
    <n v="0"/>
    <n v="0"/>
    <n v="0"/>
    <n v="0"/>
    <n v="0"/>
    <n v="0"/>
    <n v="0"/>
    <n v="0"/>
    <n v="0"/>
    <m/>
    <n v="0"/>
    <n v="0"/>
    <m/>
    <m/>
    <n v="0"/>
    <s v="TB"/>
    <x v="10"/>
  </r>
  <r>
    <n v="160"/>
    <x v="3"/>
    <x v="14"/>
    <x v="9"/>
    <x v="13"/>
    <m/>
    <m/>
    <m/>
    <m/>
    <m/>
    <m/>
    <m/>
    <e v="#DIV/0!"/>
    <m/>
    <s v="-"/>
    <n v="0"/>
    <s v="-"/>
    <n v="0"/>
    <s v="-"/>
    <n v="0"/>
    <s v="-"/>
    <n v="0"/>
    <m/>
    <n v="0"/>
    <m/>
    <m/>
    <m/>
    <m/>
    <n v="0"/>
    <m/>
    <n v="0"/>
    <m/>
    <n v="0"/>
    <m/>
    <n v="0"/>
    <m/>
    <n v="0"/>
    <m/>
    <m/>
    <m/>
    <m/>
    <n v="0"/>
    <m/>
    <n v="0"/>
    <m/>
    <n v="0"/>
    <m/>
    <n v="0"/>
    <m/>
    <n v="0"/>
    <m/>
    <m/>
    <m/>
    <m/>
    <n v="0"/>
    <n v="0"/>
    <n v="0"/>
    <n v="0"/>
    <n v="0"/>
    <n v="0"/>
    <n v="0"/>
    <n v="0"/>
    <n v="0"/>
    <m/>
    <n v="0"/>
    <n v="0"/>
    <m/>
    <m/>
    <n v="0"/>
    <s v="TB"/>
    <x v="9"/>
  </r>
  <r>
    <n v="161"/>
    <x v="3"/>
    <x v="14"/>
    <x v="13"/>
    <x v="15"/>
    <m/>
    <m/>
    <m/>
    <m/>
    <m/>
    <m/>
    <m/>
    <e v="#DIV/0!"/>
    <e v="#DIV/0!"/>
    <s v="-"/>
    <n v="0"/>
    <s v="-"/>
    <n v="0"/>
    <s v="-"/>
    <n v="0"/>
    <s v="-"/>
    <n v="0"/>
    <m/>
    <n v="0"/>
    <m/>
    <m/>
    <m/>
    <m/>
    <n v="0"/>
    <m/>
    <n v="0"/>
    <m/>
    <n v="0"/>
    <m/>
    <n v="0"/>
    <m/>
    <n v="0"/>
    <m/>
    <m/>
    <m/>
    <m/>
    <n v="0"/>
    <m/>
    <n v="0"/>
    <m/>
    <n v="0"/>
    <m/>
    <n v="0"/>
    <m/>
    <n v="0"/>
    <m/>
    <m/>
    <m/>
    <m/>
    <n v="0"/>
    <n v="0"/>
    <n v="0"/>
    <n v="0"/>
    <n v="0"/>
    <n v="0"/>
    <n v="0"/>
    <n v="0"/>
    <n v="0"/>
    <m/>
    <n v="0"/>
    <n v="0"/>
    <m/>
    <m/>
    <n v="0"/>
    <s v="TB"/>
    <x v="13"/>
  </r>
  <r>
    <n v="162"/>
    <x v="3"/>
    <x v="14"/>
    <x v="14"/>
    <x v="16"/>
    <m/>
    <n v="0"/>
    <m/>
    <m/>
    <m/>
    <m/>
    <m/>
    <e v="#DIV/0!"/>
    <e v="#DIV/0!"/>
    <s v="-"/>
    <n v="0"/>
    <s v="-"/>
    <n v="0"/>
    <s v="-"/>
    <n v="0"/>
    <s v="-"/>
    <n v="0"/>
    <m/>
    <n v="0"/>
    <m/>
    <m/>
    <m/>
    <m/>
    <n v="0"/>
    <m/>
    <n v="0"/>
    <m/>
    <n v="0"/>
    <m/>
    <n v="0"/>
    <m/>
    <n v="0"/>
    <m/>
    <m/>
    <m/>
    <m/>
    <n v="0"/>
    <m/>
    <n v="0"/>
    <m/>
    <n v="0"/>
    <m/>
    <n v="0"/>
    <m/>
    <n v="0"/>
    <m/>
    <m/>
    <m/>
    <m/>
    <n v="0"/>
    <n v="0"/>
    <n v="0"/>
    <n v="0"/>
    <n v="0"/>
    <n v="0"/>
    <n v="0"/>
    <n v="0"/>
    <n v="0"/>
    <m/>
    <n v="0"/>
    <n v="0"/>
    <m/>
    <m/>
    <n v="0"/>
    <s v="TB"/>
    <x v="14"/>
  </r>
  <r>
    <n v="163"/>
    <x v="3"/>
    <x v="14"/>
    <x v="8"/>
    <x v="9"/>
    <m/>
    <n v="0"/>
    <m/>
    <m/>
    <m/>
    <m/>
    <m/>
    <e v="#DIV/0!"/>
    <e v="#DIV/0!"/>
    <s v="-"/>
    <n v="0"/>
    <s v="-"/>
    <n v="0"/>
    <s v="-"/>
    <n v="0"/>
    <s v="-"/>
    <n v="0"/>
    <m/>
    <n v="0"/>
    <m/>
    <m/>
    <m/>
    <m/>
    <n v="0"/>
    <m/>
    <n v="0"/>
    <m/>
    <n v="0"/>
    <m/>
    <n v="0"/>
    <m/>
    <n v="0"/>
    <m/>
    <m/>
    <m/>
    <m/>
    <n v="0"/>
    <m/>
    <n v="0"/>
    <m/>
    <n v="0"/>
    <m/>
    <n v="0"/>
    <m/>
    <n v="0"/>
    <m/>
    <m/>
    <m/>
    <m/>
    <n v="0"/>
    <n v="0"/>
    <n v="0"/>
    <n v="0"/>
    <n v="0"/>
    <n v="0"/>
    <n v="0"/>
    <n v="0"/>
    <n v="0"/>
    <m/>
    <n v="0"/>
    <n v="0"/>
    <m/>
    <m/>
    <n v="0"/>
    <s v="TB"/>
    <x v="8"/>
  </r>
  <r>
    <n v="164"/>
    <x v="3"/>
    <x v="14"/>
    <x v="1"/>
    <x v="1"/>
    <m/>
    <m/>
    <m/>
    <m/>
    <m/>
    <m/>
    <m/>
    <m/>
    <m/>
    <s v="-"/>
    <n v="0"/>
    <s v="-"/>
    <n v="0"/>
    <s v="-"/>
    <n v="0"/>
    <s v="-"/>
    <n v="0"/>
    <m/>
    <n v="0"/>
    <m/>
    <m/>
    <m/>
    <m/>
    <n v="0"/>
    <m/>
    <n v="0"/>
    <m/>
    <n v="0"/>
    <m/>
    <n v="0"/>
    <m/>
    <n v="0"/>
    <m/>
    <m/>
    <m/>
    <m/>
    <n v="0"/>
    <m/>
    <n v="0"/>
    <m/>
    <n v="0"/>
    <m/>
    <n v="0"/>
    <m/>
    <n v="0"/>
    <m/>
    <m/>
    <m/>
    <m/>
    <n v="0"/>
    <n v="0"/>
    <n v="0"/>
    <n v="0"/>
    <n v="0"/>
    <n v="0"/>
    <n v="0"/>
    <n v="0"/>
    <n v="0"/>
    <m/>
    <n v="0"/>
    <n v="0"/>
    <m/>
    <m/>
    <n v="0"/>
    <s v="TB"/>
    <x v="1"/>
  </r>
  <r>
    <n v="165"/>
    <x v="3"/>
    <x v="14"/>
    <x v="1"/>
    <x v="2"/>
    <m/>
    <m/>
    <m/>
    <m/>
    <m/>
    <m/>
    <m/>
    <m/>
    <m/>
    <s v="-"/>
    <n v="0"/>
    <s v="-"/>
    <n v="0"/>
    <s v="-"/>
    <n v="0"/>
    <s v="-"/>
    <n v="0"/>
    <m/>
    <n v="0"/>
    <m/>
    <m/>
    <m/>
    <m/>
    <n v="0"/>
    <m/>
    <n v="0"/>
    <m/>
    <n v="0"/>
    <m/>
    <n v="0"/>
    <m/>
    <n v="0"/>
    <m/>
    <m/>
    <m/>
    <m/>
    <n v="0"/>
    <m/>
    <n v="0"/>
    <m/>
    <n v="0"/>
    <m/>
    <n v="0"/>
    <m/>
    <n v="0"/>
    <m/>
    <m/>
    <m/>
    <m/>
    <n v="0"/>
    <n v="0"/>
    <n v="0"/>
    <n v="0"/>
    <n v="0"/>
    <n v="0"/>
    <n v="0"/>
    <n v="0"/>
    <n v="0"/>
    <m/>
    <n v="0"/>
    <n v="0"/>
    <m/>
    <m/>
    <n v="0"/>
    <s v="TB"/>
    <x v="1"/>
  </r>
  <r>
    <n v="166"/>
    <x v="3"/>
    <x v="14"/>
    <x v="1"/>
    <x v="3"/>
    <m/>
    <m/>
    <m/>
    <m/>
    <m/>
    <m/>
    <m/>
    <m/>
    <m/>
    <s v="-"/>
    <n v="0"/>
    <s v="-"/>
    <n v="0"/>
    <s v="-"/>
    <n v="0"/>
    <s v="-"/>
    <n v="0"/>
    <m/>
    <n v="0"/>
    <m/>
    <m/>
    <m/>
    <m/>
    <n v="0"/>
    <m/>
    <n v="0"/>
    <m/>
    <n v="0"/>
    <m/>
    <n v="0"/>
    <m/>
    <n v="0"/>
    <m/>
    <m/>
    <m/>
    <m/>
    <n v="0"/>
    <m/>
    <n v="0"/>
    <m/>
    <n v="0"/>
    <m/>
    <n v="0"/>
    <m/>
    <n v="0"/>
    <m/>
    <m/>
    <m/>
    <m/>
    <n v="0"/>
    <n v="0"/>
    <n v="0"/>
    <n v="0"/>
    <n v="0"/>
    <n v="0"/>
    <n v="0"/>
    <n v="0"/>
    <n v="0"/>
    <m/>
    <n v="0"/>
    <n v="0"/>
    <m/>
    <m/>
    <n v="0"/>
    <s v="TB"/>
    <x v="1"/>
  </r>
  <r>
    <n v="167"/>
    <x v="3"/>
    <x v="14"/>
    <x v="1"/>
    <x v="4"/>
    <m/>
    <m/>
    <m/>
    <m/>
    <m/>
    <m/>
    <m/>
    <m/>
    <m/>
    <s v="-"/>
    <n v="0"/>
    <s v="-"/>
    <n v="0"/>
    <s v="-"/>
    <n v="0"/>
    <s v="-"/>
    <n v="0"/>
    <m/>
    <n v="0"/>
    <m/>
    <m/>
    <m/>
    <m/>
    <n v="0"/>
    <m/>
    <n v="0"/>
    <m/>
    <n v="0"/>
    <m/>
    <n v="0"/>
    <m/>
    <n v="0"/>
    <m/>
    <m/>
    <m/>
    <m/>
    <n v="0"/>
    <m/>
    <n v="0"/>
    <m/>
    <n v="0"/>
    <m/>
    <n v="0"/>
    <m/>
    <n v="0"/>
    <m/>
    <m/>
    <m/>
    <m/>
    <n v="0"/>
    <n v="0"/>
    <n v="0"/>
    <n v="0"/>
    <n v="0"/>
    <n v="0"/>
    <n v="0"/>
    <n v="0"/>
    <n v="0"/>
    <m/>
    <n v="0"/>
    <n v="0"/>
    <m/>
    <m/>
    <n v="0"/>
    <s v="TB"/>
    <x v="1"/>
  </r>
  <r>
    <n v="168"/>
    <x v="3"/>
    <x v="14"/>
    <x v="1"/>
    <x v="5"/>
    <m/>
    <m/>
    <m/>
    <m/>
    <m/>
    <m/>
    <m/>
    <e v="#DIV/0!"/>
    <e v="#DIV/0!"/>
    <s v="-"/>
    <n v="0"/>
    <m/>
    <n v="0"/>
    <s v="-"/>
    <n v="0"/>
    <s v="-"/>
    <n v="0"/>
    <m/>
    <n v="0"/>
    <m/>
    <m/>
    <m/>
    <m/>
    <n v="0"/>
    <m/>
    <n v="0"/>
    <m/>
    <n v="0"/>
    <m/>
    <n v="0"/>
    <m/>
    <n v="0"/>
    <m/>
    <m/>
    <m/>
    <m/>
    <n v="0"/>
    <m/>
    <n v="0"/>
    <m/>
    <n v="0"/>
    <m/>
    <n v="0"/>
    <m/>
    <n v="0"/>
    <m/>
    <m/>
    <m/>
    <m/>
    <n v="0"/>
    <n v="0"/>
    <n v="0"/>
    <n v="0"/>
    <n v="0"/>
    <n v="0"/>
    <n v="0"/>
    <n v="0"/>
    <n v="0"/>
    <m/>
    <n v="0"/>
    <n v="0"/>
    <m/>
    <m/>
    <n v="0"/>
    <s v="TB"/>
    <x v="1"/>
  </r>
  <r>
    <n v="169"/>
    <x v="3"/>
    <x v="14"/>
    <x v="1"/>
    <x v="6"/>
    <m/>
    <m/>
    <m/>
    <m/>
    <m/>
    <m/>
    <m/>
    <m/>
    <m/>
    <s v="-"/>
    <n v="0"/>
    <s v="-"/>
    <n v="0"/>
    <s v="-"/>
    <n v="0"/>
    <s v="-"/>
    <n v="0"/>
    <m/>
    <n v="0"/>
    <m/>
    <m/>
    <m/>
    <m/>
    <n v="0"/>
    <m/>
    <n v="0"/>
    <m/>
    <n v="0"/>
    <m/>
    <n v="0"/>
    <m/>
    <n v="0"/>
    <m/>
    <m/>
    <m/>
    <m/>
    <n v="0"/>
    <m/>
    <n v="0"/>
    <m/>
    <n v="0"/>
    <m/>
    <n v="0"/>
    <m/>
    <n v="0"/>
    <m/>
    <m/>
    <m/>
    <m/>
    <n v="0"/>
    <n v="0"/>
    <n v="0"/>
    <n v="0"/>
    <n v="0"/>
    <n v="0"/>
    <n v="0"/>
    <n v="0"/>
    <n v="0"/>
    <m/>
    <n v="0"/>
    <n v="0"/>
    <m/>
    <m/>
    <n v="0"/>
    <s v="TB"/>
    <x v="1"/>
  </r>
  <r>
    <n v="170"/>
    <x v="3"/>
    <x v="14"/>
    <x v="1"/>
    <x v="7"/>
    <m/>
    <m/>
    <m/>
    <m/>
    <m/>
    <m/>
    <m/>
    <m/>
    <m/>
    <s v="-"/>
    <n v="0"/>
    <s v="-"/>
    <n v="0"/>
    <s v="-"/>
    <n v="0"/>
    <s v="-"/>
    <n v="0"/>
    <m/>
    <n v="0"/>
    <m/>
    <m/>
    <m/>
    <m/>
    <n v="0"/>
    <m/>
    <n v="0"/>
    <m/>
    <n v="0"/>
    <m/>
    <n v="0"/>
    <m/>
    <n v="0"/>
    <m/>
    <m/>
    <m/>
    <m/>
    <n v="0"/>
    <m/>
    <n v="0"/>
    <m/>
    <n v="0"/>
    <m/>
    <n v="0"/>
    <m/>
    <n v="0"/>
    <m/>
    <m/>
    <m/>
    <m/>
    <n v="0"/>
    <n v="0"/>
    <n v="0"/>
    <n v="0"/>
    <n v="0"/>
    <n v="0"/>
    <n v="0"/>
    <n v="0"/>
    <n v="0"/>
    <m/>
    <n v="0"/>
    <n v="0"/>
    <m/>
    <m/>
    <n v="0"/>
    <s v="TB"/>
    <x v="1"/>
  </r>
  <r>
    <n v="171"/>
    <x v="3"/>
    <x v="15"/>
    <x v="15"/>
    <x v="17"/>
    <m/>
    <m/>
    <m/>
    <m/>
    <m/>
    <m/>
    <m/>
    <m/>
    <m/>
    <s v="-"/>
    <n v="0"/>
    <s v="-"/>
    <n v="0"/>
    <s v="-"/>
    <n v="0"/>
    <s v="-"/>
    <n v="0"/>
    <m/>
    <n v="0"/>
    <m/>
    <m/>
    <m/>
    <m/>
    <n v="0"/>
    <m/>
    <n v="0"/>
    <m/>
    <n v="0"/>
    <m/>
    <n v="0"/>
    <m/>
    <n v="0"/>
    <m/>
    <m/>
    <m/>
    <m/>
    <n v="0"/>
    <m/>
    <n v="0"/>
    <m/>
    <n v="0"/>
    <m/>
    <n v="0"/>
    <m/>
    <n v="0"/>
    <m/>
    <m/>
    <m/>
    <m/>
    <n v="0"/>
    <n v="0"/>
    <n v="0"/>
    <n v="0"/>
    <n v="0"/>
    <n v="0"/>
    <n v="0"/>
    <n v="0"/>
    <n v="0"/>
    <m/>
    <n v="0"/>
    <n v="0"/>
    <m/>
    <m/>
    <n v="0"/>
    <s v="TB"/>
    <x v="15"/>
  </r>
  <r>
    <n v="173"/>
    <x v="3"/>
    <x v="15"/>
    <x v="1"/>
    <x v="1"/>
    <m/>
    <m/>
    <m/>
    <m/>
    <m/>
    <m/>
    <m/>
    <m/>
    <m/>
    <s v="-"/>
    <n v="0"/>
    <s v="-"/>
    <n v="0"/>
    <s v="-"/>
    <n v="0"/>
    <s v="-"/>
    <n v="0"/>
    <m/>
    <n v="0"/>
    <m/>
    <m/>
    <m/>
    <m/>
    <n v="0"/>
    <m/>
    <n v="0"/>
    <m/>
    <n v="0"/>
    <m/>
    <n v="0"/>
    <m/>
    <n v="0"/>
    <m/>
    <m/>
    <m/>
    <m/>
    <n v="0"/>
    <m/>
    <n v="0"/>
    <m/>
    <n v="0"/>
    <m/>
    <n v="0"/>
    <m/>
    <n v="0"/>
    <m/>
    <m/>
    <m/>
    <m/>
    <n v="0"/>
    <n v="0"/>
    <n v="0"/>
    <n v="0"/>
    <n v="0"/>
    <n v="0"/>
    <n v="0"/>
    <n v="0"/>
    <n v="0"/>
    <m/>
    <n v="0"/>
    <n v="0"/>
    <m/>
    <m/>
    <n v="0"/>
    <s v="TB"/>
    <x v="1"/>
  </r>
  <r>
    <n v="174"/>
    <x v="3"/>
    <x v="15"/>
    <x v="1"/>
    <x v="2"/>
    <m/>
    <m/>
    <m/>
    <m/>
    <m/>
    <m/>
    <m/>
    <m/>
    <m/>
    <s v="-"/>
    <n v="0"/>
    <s v="-"/>
    <n v="0"/>
    <s v="-"/>
    <n v="0"/>
    <s v="-"/>
    <n v="0"/>
    <m/>
    <n v="0"/>
    <m/>
    <m/>
    <m/>
    <m/>
    <n v="0"/>
    <m/>
    <n v="0"/>
    <m/>
    <n v="0"/>
    <m/>
    <n v="0"/>
    <m/>
    <n v="0"/>
    <m/>
    <m/>
    <m/>
    <m/>
    <n v="0"/>
    <m/>
    <n v="0"/>
    <m/>
    <n v="0"/>
    <m/>
    <n v="0"/>
    <m/>
    <n v="0"/>
    <m/>
    <m/>
    <m/>
    <m/>
    <n v="0"/>
    <n v="0"/>
    <n v="0"/>
    <n v="0"/>
    <n v="0"/>
    <n v="0"/>
    <n v="0"/>
    <n v="0"/>
    <n v="0"/>
    <m/>
    <n v="0"/>
    <n v="0"/>
    <m/>
    <m/>
    <n v="0"/>
    <s v="TB"/>
    <x v="1"/>
  </r>
  <r>
    <n v="175"/>
    <x v="3"/>
    <x v="15"/>
    <x v="1"/>
    <x v="3"/>
    <m/>
    <m/>
    <m/>
    <m/>
    <m/>
    <m/>
    <m/>
    <m/>
    <m/>
    <s v="-"/>
    <n v="0"/>
    <s v="-"/>
    <n v="0"/>
    <s v="-"/>
    <n v="0"/>
    <s v="-"/>
    <n v="0"/>
    <m/>
    <n v="0"/>
    <m/>
    <m/>
    <m/>
    <m/>
    <n v="0"/>
    <m/>
    <n v="0"/>
    <m/>
    <n v="0"/>
    <m/>
    <n v="0"/>
    <m/>
    <n v="0"/>
    <m/>
    <m/>
    <m/>
    <m/>
    <n v="0"/>
    <m/>
    <n v="0"/>
    <m/>
    <n v="0"/>
    <m/>
    <n v="0"/>
    <m/>
    <n v="0"/>
    <m/>
    <m/>
    <m/>
    <m/>
    <n v="0"/>
    <n v="0"/>
    <n v="0"/>
    <n v="0"/>
    <n v="0"/>
    <n v="0"/>
    <n v="0"/>
    <n v="0"/>
    <n v="0"/>
    <m/>
    <n v="0"/>
    <n v="0"/>
    <m/>
    <m/>
    <n v="0"/>
    <s v="TB"/>
    <x v="1"/>
  </r>
  <r>
    <n v="176"/>
    <x v="3"/>
    <x v="15"/>
    <x v="1"/>
    <x v="4"/>
    <m/>
    <m/>
    <m/>
    <m/>
    <m/>
    <m/>
    <m/>
    <m/>
    <m/>
    <s v="-"/>
    <n v="0"/>
    <s v="-"/>
    <n v="0"/>
    <s v="-"/>
    <n v="0"/>
    <s v="-"/>
    <n v="0"/>
    <m/>
    <n v="0"/>
    <m/>
    <m/>
    <m/>
    <m/>
    <n v="0"/>
    <m/>
    <n v="0"/>
    <m/>
    <n v="0"/>
    <m/>
    <n v="0"/>
    <m/>
    <n v="0"/>
    <m/>
    <m/>
    <m/>
    <m/>
    <n v="0"/>
    <m/>
    <n v="0"/>
    <m/>
    <n v="0"/>
    <m/>
    <n v="0"/>
    <m/>
    <n v="0"/>
    <m/>
    <m/>
    <m/>
    <m/>
    <n v="0"/>
    <n v="0"/>
    <n v="0"/>
    <n v="0"/>
    <n v="0"/>
    <n v="0"/>
    <n v="0"/>
    <n v="0"/>
    <n v="0"/>
    <m/>
    <n v="0"/>
    <n v="0"/>
    <m/>
    <m/>
    <n v="0"/>
    <s v="TB"/>
    <x v="1"/>
  </r>
  <r>
    <n v="177"/>
    <x v="3"/>
    <x v="15"/>
    <x v="1"/>
    <x v="5"/>
    <m/>
    <m/>
    <m/>
    <m/>
    <m/>
    <m/>
    <m/>
    <m/>
    <m/>
    <s v="-"/>
    <n v="0"/>
    <s v="-"/>
    <n v="0"/>
    <s v="-"/>
    <n v="0"/>
    <s v="-"/>
    <n v="0"/>
    <m/>
    <n v="0"/>
    <m/>
    <m/>
    <m/>
    <m/>
    <n v="0"/>
    <m/>
    <n v="0"/>
    <m/>
    <n v="0"/>
    <m/>
    <n v="0"/>
    <m/>
    <n v="0"/>
    <m/>
    <m/>
    <m/>
    <m/>
    <n v="0"/>
    <m/>
    <n v="0"/>
    <m/>
    <n v="0"/>
    <m/>
    <n v="0"/>
    <m/>
    <n v="0"/>
    <m/>
    <m/>
    <m/>
    <m/>
    <n v="0"/>
    <n v="0"/>
    <n v="0"/>
    <n v="0"/>
    <n v="0"/>
    <n v="0"/>
    <n v="0"/>
    <n v="0"/>
    <n v="0"/>
    <m/>
    <n v="0"/>
    <n v="0"/>
    <m/>
    <m/>
    <n v="0"/>
    <s v="TB"/>
    <x v="1"/>
  </r>
  <r>
    <n v="178"/>
    <x v="3"/>
    <x v="15"/>
    <x v="1"/>
    <x v="6"/>
    <m/>
    <m/>
    <m/>
    <m/>
    <m/>
    <m/>
    <m/>
    <m/>
    <m/>
    <s v="-"/>
    <n v="0"/>
    <s v="-"/>
    <n v="0"/>
    <s v="-"/>
    <n v="0"/>
    <s v="-"/>
    <n v="0"/>
    <m/>
    <n v="0"/>
    <m/>
    <m/>
    <m/>
    <m/>
    <n v="0"/>
    <m/>
    <n v="0"/>
    <m/>
    <n v="0"/>
    <m/>
    <n v="0"/>
    <m/>
    <n v="0"/>
    <m/>
    <m/>
    <m/>
    <m/>
    <n v="0"/>
    <m/>
    <n v="0"/>
    <m/>
    <n v="0"/>
    <m/>
    <n v="0"/>
    <m/>
    <n v="0"/>
    <m/>
    <m/>
    <m/>
    <m/>
    <n v="0"/>
    <n v="0"/>
    <n v="0"/>
    <n v="0"/>
    <n v="0"/>
    <n v="0"/>
    <n v="0"/>
    <n v="0"/>
    <n v="0"/>
    <m/>
    <n v="0"/>
    <n v="0"/>
    <m/>
    <m/>
    <n v="0"/>
    <s v="TB"/>
    <x v="1"/>
  </r>
  <r>
    <n v="179"/>
    <x v="3"/>
    <x v="15"/>
    <x v="1"/>
    <x v="7"/>
    <m/>
    <m/>
    <m/>
    <m/>
    <m/>
    <m/>
    <m/>
    <m/>
    <m/>
    <s v="-"/>
    <n v="0"/>
    <s v="-"/>
    <n v="0"/>
    <s v="-"/>
    <n v="0"/>
    <s v="-"/>
    <n v="0"/>
    <m/>
    <n v="0"/>
    <m/>
    <m/>
    <m/>
    <m/>
    <n v="0"/>
    <m/>
    <n v="0"/>
    <m/>
    <n v="0"/>
    <m/>
    <n v="0"/>
    <m/>
    <n v="0"/>
    <m/>
    <m/>
    <m/>
    <m/>
    <n v="0"/>
    <m/>
    <n v="0"/>
    <m/>
    <n v="0"/>
    <m/>
    <n v="0"/>
    <m/>
    <n v="0"/>
    <m/>
    <m/>
    <m/>
    <m/>
    <n v="0"/>
    <n v="0"/>
    <n v="0"/>
    <n v="0"/>
    <n v="0"/>
    <n v="0"/>
    <n v="0"/>
    <n v="0"/>
    <n v="0"/>
    <m/>
    <n v="0"/>
    <n v="0"/>
    <m/>
    <m/>
    <n v="0"/>
    <s v="TB"/>
    <x v="1"/>
  </r>
  <r>
    <n v="180"/>
    <x v="3"/>
    <x v="16"/>
    <x v="16"/>
    <x v="17"/>
    <m/>
    <m/>
    <m/>
    <m/>
    <m/>
    <m/>
    <m/>
    <m/>
    <m/>
    <s v="-"/>
    <n v="0"/>
    <s v="-"/>
    <n v="0"/>
    <s v="-"/>
    <n v="0"/>
    <s v="-"/>
    <n v="0"/>
    <m/>
    <n v="0"/>
    <m/>
    <m/>
    <m/>
    <m/>
    <n v="0"/>
    <m/>
    <n v="0"/>
    <m/>
    <n v="0"/>
    <m/>
    <n v="0"/>
    <m/>
    <n v="0"/>
    <m/>
    <m/>
    <m/>
    <m/>
    <n v="0"/>
    <m/>
    <n v="0"/>
    <m/>
    <n v="0"/>
    <m/>
    <n v="0"/>
    <m/>
    <n v="0"/>
    <m/>
    <m/>
    <m/>
    <m/>
    <n v="0"/>
    <n v="0"/>
    <n v="0"/>
    <n v="0"/>
    <n v="0"/>
    <n v="0"/>
    <n v="0"/>
    <n v="0"/>
    <n v="0"/>
    <m/>
    <n v="0"/>
    <n v="0"/>
    <m/>
    <m/>
    <n v="0"/>
    <s v="TB"/>
    <x v="16"/>
  </r>
  <r>
    <n v="354"/>
    <x v="4"/>
    <x v="17"/>
    <x v="7"/>
    <x v="12"/>
    <m/>
    <m/>
    <m/>
    <m/>
    <m/>
    <m/>
    <m/>
    <m/>
    <m/>
    <s v="-"/>
    <n v="0"/>
    <s v="-"/>
    <n v="0"/>
    <s v="-"/>
    <n v="0"/>
    <s v="-"/>
    <n v="0"/>
    <m/>
    <n v="0"/>
    <m/>
    <m/>
    <m/>
    <m/>
    <n v="0"/>
    <m/>
    <n v="0"/>
    <m/>
    <n v="0"/>
    <m/>
    <n v="0"/>
    <m/>
    <n v="0"/>
    <m/>
    <m/>
    <m/>
    <m/>
    <n v="0"/>
    <m/>
    <n v="0"/>
    <m/>
    <n v="0"/>
    <m/>
    <n v="0"/>
    <m/>
    <n v="0"/>
    <m/>
    <m/>
    <m/>
    <m/>
    <n v="0"/>
    <n v="0"/>
    <n v="0"/>
    <n v="0"/>
    <n v="0"/>
    <n v="0"/>
    <n v="0"/>
    <n v="0"/>
    <n v="0"/>
    <m/>
    <n v="0"/>
    <n v="0"/>
    <m/>
    <m/>
    <n v="0"/>
    <s v="TB"/>
    <x v="7"/>
  </r>
  <r>
    <n v="355"/>
    <x v="4"/>
    <x v="17"/>
    <x v="12"/>
    <x v="11"/>
    <m/>
    <m/>
    <m/>
    <m/>
    <m/>
    <m/>
    <m/>
    <m/>
    <m/>
    <s v="-"/>
    <n v="0"/>
    <m/>
    <n v="0"/>
    <m/>
    <n v="0"/>
    <m/>
    <n v="0"/>
    <m/>
    <n v="0"/>
    <m/>
    <m/>
    <m/>
    <m/>
    <n v="0"/>
    <m/>
    <n v="0"/>
    <m/>
    <n v="0"/>
    <m/>
    <n v="0"/>
    <m/>
    <n v="0"/>
    <m/>
    <m/>
    <m/>
    <m/>
    <n v="0"/>
    <m/>
    <n v="0"/>
    <m/>
    <n v="0"/>
    <m/>
    <n v="0"/>
    <m/>
    <n v="0"/>
    <m/>
    <m/>
    <m/>
    <m/>
    <n v="0"/>
    <n v="0"/>
    <n v="0"/>
    <n v="0"/>
    <n v="0"/>
    <n v="0"/>
    <n v="0"/>
    <n v="0"/>
    <n v="0"/>
    <m/>
    <n v="0"/>
    <n v="0"/>
    <m/>
    <m/>
    <n v="0"/>
    <s v="TB"/>
    <x v="12"/>
  </r>
  <r>
    <n v="356"/>
    <x v="4"/>
    <x v="17"/>
    <x v="10"/>
    <x v="14"/>
    <m/>
    <m/>
    <m/>
    <m/>
    <m/>
    <m/>
    <m/>
    <m/>
    <m/>
    <s v="-"/>
    <n v="0"/>
    <s v="-"/>
    <n v="0"/>
    <s v="-"/>
    <n v="0"/>
    <s v="-"/>
    <n v="0"/>
    <m/>
    <n v="0"/>
    <m/>
    <m/>
    <m/>
    <m/>
    <n v="0"/>
    <m/>
    <n v="0"/>
    <m/>
    <n v="0"/>
    <m/>
    <n v="0"/>
    <m/>
    <n v="0"/>
    <m/>
    <m/>
    <m/>
    <m/>
    <n v="0"/>
    <m/>
    <n v="0"/>
    <m/>
    <n v="0"/>
    <m/>
    <n v="0"/>
    <m/>
    <n v="0"/>
    <m/>
    <m/>
    <m/>
    <m/>
    <n v="0"/>
    <n v="0"/>
    <n v="0"/>
    <n v="0"/>
    <n v="0"/>
    <n v="0"/>
    <n v="0"/>
    <n v="0"/>
    <n v="0"/>
    <m/>
    <n v="0"/>
    <n v="0"/>
    <m/>
    <m/>
    <n v="0"/>
    <s v="TB"/>
    <x v="10"/>
  </r>
  <r>
    <n v="357"/>
    <x v="4"/>
    <x v="17"/>
    <x v="9"/>
    <x v="13"/>
    <m/>
    <m/>
    <m/>
    <m/>
    <m/>
    <m/>
    <m/>
    <m/>
    <m/>
    <s v="-"/>
    <n v="0"/>
    <s v="-"/>
    <n v="0"/>
    <s v="-"/>
    <n v="0"/>
    <s v="-"/>
    <n v="0"/>
    <m/>
    <n v="0"/>
    <m/>
    <m/>
    <m/>
    <m/>
    <n v="0"/>
    <m/>
    <n v="0"/>
    <m/>
    <n v="0"/>
    <m/>
    <n v="0"/>
    <m/>
    <n v="0"/>
    <m/>
    <m/>
    <m/>
    <m/>
    <n v="0"/>
    <m/>
    <n v="0"/>
    <m/>
    <n v="0"/>
    <m/>
    <n v="0"/>
    <m/>
    <n v="0"/>
    <m/>
    <m/>
    <m/>
    <m/>
    <n v="0"/>
    <n v="0"/>
    <n v="0"/>
    <n v="0"/>
    <n v="0"/>
    <n v="0"/>
    <n v="0"/>
    <n v="0"/>
    <n v="0"/>
    <m/>
    <n v="0"/>
    <n v="0"/>
    <m/>
    <m/>
    <n v="0"/>
    <s v="TB"/>
    <x v="9"/>
  </r>
  <r>
    <n v="358"/>
    <x v="4"/>
    <x v="17"/>
    <x v="13"/>
    <x v="15"/>
    <m/>
    <m/>
    <m/>
    <m/>
    <m/>
    <m/>
    <m/>
    <m/>
    <m/>
    <s v="-"/>
    <n v="0"/>
    <s v="-"/>
    <n v="0"/>
    <s v="-"/>
    <n v="0"/>
    <s v="-"/>
    <n v="0"/>
    <m/>
    <n v="0"/>
    <m/>
    <m/>
    <m/>
    <m/>
    <n v="0"/>
    <m/>
    <n v="0"/>
    <m/>
    <n v="0"/>
    <m/>
    <n v="0"/>
    <m/>
    <n v="0"/>
    <m/>
    <m/>
    <m/>
    <m/>
    <n v="0"/>
    <m/>
    <n v="0"/>
    <m/>
    <n v="0"/>
    <m/>
    <n v="0"/>
    <m/>
    <n v="0"/>
    <m/>
    <m/>
    <m/>
    <m/>
    <n v="0"/>
    <n v="0"/>
    <n v="0"/>
    <n v="0"/>
    <n v="0"/>
    <n v="0"/>
    <n v="0"/>
    <n v="0"/>
    <n v="0"/>
    <m/>
    <n v="0"/>
    <n v="0"/>
    <m/>
    <m/>
    <n v="0"/>
    <s v="TB"/>
    <x v="13"/>
  </r>
  <r>
    <n v="359"/>
    <x v="4"/>
    <x v="17"/>
    <x v="14"/>
    <x v="16"/>
    <m/>
    <m/>
    <m/>
    <m/>
    <m/>
    <m/>
    <m/>
    <e v="#DIV/0!"/>
    <m/>
    <s v="-"/>
    <n v="0"/>
    <m/>
    <n v="0"/>
    <s v="-"/>
    <n v="0"/>
    <s v="-"/>
    <n v="0"/>
    <m/>
    <n v="0"/>
    <m/>
    <m/>
    <m/>
    <m/>
    <n v="0"/>
    <m/>
    <n v="0"/>
    <m/>
    <n v="0"/>
    <m/>
    <n v="0"/>
    <m/>
    <n v="0"/>
    <m/>
    <m/>
    <m/>
    <m/>
    <n v="0"/>
    <m/>
    <n v="0"/>
    <m/>
    <n v="0"/>
    <m/>
    <n v="0"/>
    <m/>
    <n v="0"/>
    <m/>
    <m/>
    <m/>
    <m/>
    <n v="0"/>
    <n v="0"/>
    <n v="0"/>
    <n v="0"/>
    <n v="0"/>
    <n v="0"/>
    <n v="0"/>
    <n v="0"/>
    <n v="0"/>
    <m/>
    <n v="0"/>
    <n v="0"/>
    <m/>
    <m/>
    <n v="0"/>
    <s v="TB"/>
    <x v="14"/>
  </r>
  <r>
    <n v="360"/>
    <x v="4"/>
    <x v="17"/>
    <x v="8"/>
    <x v="9"/>
    <m/>
    <m/>
    <m/>
    <m/>
    <m/>
    <m/>
    <m/>
    <m/>
    <m/>
    <s v="-"/>
    <n v="0"/>
    <s v="-"/>
    <n v="0"/>
    <s v="-"/>
    <n v="0"/>
    <s v="-"/>
    <n v="0"/>
    <m/>
    <n v="0"/>
    <m/>
    <m/>
    <m/>
    <m/>
    <n v="0"/>
    <m/>
    <n v="0"/>
    <m/>
    <n v="0"/>
    <m/>
    <n v="0"/>
    <m/>
    <n v="0"/>
    <m/>
    <m/>
    <m/>
    <m/>
    <n v="0"/>
    <m/>
    <n v="0"/>
    <m/>
    <n v="0"/>
    <m/>
    <n v="0"/>
    <m/>
    <n v="0"/>
    <m/>
    <m/>
    <m/>
    <m/>
    <n v="0"/>
    <n v="0"/>
    <n v="0"/>
    <n v="0"/>
    <n v="0"/>
    <n v="0"/>
    <n v="0"/>
    <n v="0"/>
    <n v="0"/>
    <m/>
    <n v="0"/>
    <n v="0"/>
    <m/>
    <m/>
    <n v="0"/>
    <s v="TB"/>
    <x v="8"/>
  </r>
  <r>
    <n v="361"/>
    <x v="4"/>
    <x v="17"/>
    <x v="1"/>
    <x v="1"/>
    <m/>
    <m/>
    <m/>
    <m/>
    <m/>
    <m/>
    <m/>
    <m/>
    <m/>
    <s v="-"/>
    <n v="0"/>
    <s v="-"/>
    <n v="0"/>
    <s v="-"/>
    <n v="0"/>
    <s v="-"/>
    <n v="0"/>
    <m/>
    <n v="0"/>
    <m/>
    <m/>
    <m/>
    <m/>
    <n v="0"/>
    <m/>
    <n v="0"/>
    <m/>
    <n v="0"/>
    <m/>
    <n v="0"/>
    <m/>
    <n v="0"/>
    <m/>
    <m/>
    <m/>
    <m/>
    <n v="0"/>
    <m/>
    <n v="0"/>
    <m/>
    <n v="0"/>
    <m/>
    <n v="0"/>
    <m/>
    <n v="0"/>
    <m/>
    <m/>
    <m/>
    <m/>
    <n v="0"/>
    <n v="0"/>
    <n v="0"/>
    <n v="0"/>
    <n v="0"/>
    <n v="0"/>
    <n v="0"/>
    <n v="0"/>
    <n v="0"/>
    <m/>
    <n v="0"/>
    <n v="0"/>
    <m/>
    <m/>
    <n v="0"/>
    <s v="TB"/>
    <x v="1"/>
  </r>
  <r>
    <n v="362"/>
    <x v="4"/>
    <x v="17"/>
    <x v="1"/>
    <x v="2"/>
    <m/>
    <m/>
    <m/>
    <m/>
    <m/>
    <m/>
    <m/>
    <m/>
    <m/>
    <s v="-"/>
    <n v="0"/>
    <s v="-"/>
    <n v="0"/>
    <s v="-"/>
    <n v="0"/>
    <s v="-"/>
    <n v="0"/>
    <m/>
    <n v="0"/>
    <m/>
    <m/>
    <m/>
    <m/>
    <n v="0"/>
    <m/>
    <n v="0"/>
    <m/>
    <n v="0"/>
    <m/>
    <n v="0"/>
    <m/>
    <n v="0"/>
    <m/>
    <m/>
    <m/>
    <m/>
    <n v="0"/>
    <m/>
    <n v="0"/>
    <m/>
    <n v="0"/>
    <m/>
    <n v="0"/>
    <m/>
    <n v="0"/>
    <m/>
    <m/>
    <m/>
    <m/>
    <n v="0"/>
    <n v="0"/>
    <n v="0"/>
    <n v="0"/>
    <n v="0"/>
    <n v="0"/>
    <n v="0"/>
    <n v="0"/>
    <n v="0"/>
    <m/>
    <n v="0"/>
    <n v="0"/>
    <m/>
    <m/>
    <n v="0"/>
    <s v="TB"/>
    <x v="1"/>
  </r>
  <r>
    <n v="363"/>
    <x v="4"/>
    <x v="17"/>
    <x v="1"/>
    <x v="3"/>
    <m/>
    <m/>
    <m/>
    <m/>
    <m/>
    <m/>
    <m/>
    <m/>
    <m/>
    <s v="-"/>
    <n v="0"/>
    <s v="-"/>
    <n v="0"/>
    <s v="-"/>
    <n v="0"/>
    <s v="-"/>
    <n v="0"/>
    <m/>
    <n v="0"/>
    <m/>
    <m/>
    <m/>
    <m/>
    <n v="0"/>
    <m/>
    <n v="0"/>
    <m/>
    <n v="0"/>
    <m/>
    <n v="0"/>
    <m/>
    <n v="0"/>
    <m/>
    <m/>
    <m/>
    <m/>
    <n v="0"/>
    <m/>
    <n v="0"/>
    <m/>
    <n v="0"/>
    <m/>
    <n v="0"/>
    <m/>
    <n v="0"/>
    <m/>
    <m/>
    <m/>
    <m/>
    <n v="0"/>
    <n v="0"/>
    <n v="0"/>
    <n v="0"/>
    <n v="0"/>
    <n v="0"/>
    <n v="0"/>
    <n v="0"/>
    <n v="0"/>
    <m/>
    <n v="0"/>
    <n v="0"/>
    <m/>
    <m/>
    <n v="0"/>
    <s v="TB"/>
    <x v="1"/>
  </r>
  <r>
    <n v="364"/>
    <x v="4"/>
    <x v="17"/>
    <x v="1"/>
    <x v="4"/>
    <m/>
    <m/>
    <m/>
    <m/>
    <m/>
    <m/>
    <m/>
    <e v="#DIV/0!"/>
    <e v="#DIV/0!"/>
    <s v="-"/>
    <n v="0"/>
    <m/>
    <n v="0"/>
    <m/>
    <n v="0"/>
    <m/>
    <n v="0"/>
    <m/>
    <n v="0"/>
    <m/>
    <m/>
    <m/>
    <m/>
    <n v="0"/>
    <m/>
    <n v="0"/>
    <m/>
    <n v="0"/>
    <m/>
    <n v="0"/>
    <m/>
    <n v="0"/>
    <m/>
    <m/>
    <m/>
    <m/>
    <n v="0"/>
    <m/>
    <n v="0"/>
    <m/>
    <n v="0"/>
    <m/>
    <n v="0"/>
    <m/>
    <n v="0"/>
    <m/>
    <m/>
    <m/>
    <m/>
    <n v="0"/>
    <n v="0"/>
    <n v="0"/>
    <n v="0"/>
    <n v="0"/>
    <n v="0"/>
    <n v="0"/>
    <n v="0"/>
    <n v="0"/>
    <m/>
    <n v="0"/>
    <n v="0"/>
    <m/>
    <m/>
    <n v="0"/>
    <s v="TB"/>
    <x v="1"/>
  </r>
  <r>
    <n v="365"/>
    <x v="4"/>
    <x v="17"/>
    <x v="1"/>
    <x v="5"/>
    <m/>
    <m/>
    <m/>
    <m/>
    <m/>
    <m/>
    <m/>
    <m/>
    <m/>
    <s v="-"/>
    <n v="0"/>
    <s v="-"/>
    <n v="0"/>
    <s v="-"/>
    <n v="0"/>
    <s v="-"/>
    <n v="0"/>
    <m/>
    <n v="0"/>
    <m/>
    <m/>
    <m/>
    <m/>
    <n v="0"/>
    <m/>
    <n v="0"/>
    <m/>
    <n v="0"/>
    <m/>
    <n v="0"/>
    <m/>
    <n v="0"/>
    <m/>
    <m/>
    <m/>
    <m/>
    <n v="0"/>
    <m/>
    <n v="0"/>
    <m/>
    <n v="0"/>
    <m/>
    <n v="0"/>
    <m/>
    <n v="0"/>
    <m/>
    <m/>
    <m/>
    <m/>
    <n v="0"/>
    <n v="0"/>
    <n v="0"/>
    <n v="0"/>
    <n v="0"/>
    <n v="0"/>
    <n v="0"/>
    <n v="0"/>
    <n v="0"/>
    <m/>
    <n v="0"/>
    <n v="0"/>
    <m/>
    <m/>
    <n v="0"/>
    <s v="TB"/>
    <x v="1"/>
  </r>
  <r>
    <n v="366"/>
    <x v="4"/>
    <x v="17"/>
    <x v="1"/>
    <x v="6"/>
    <m/>
    <m/>
    <m/>
    <m/>
    <m/>
    <m/>
    <m/>
    <m/>
    <m/>
    <s v="-"/>
    <n v="0"/>
    <s v="-"/>
    <n v="0"/>
    <s v="-"/>
    <n v="0"/>
    <s v="-"/>
    <n v="0"/>
    <m/>
    <n v="0"/>
    <m/>
    <m/>
    <m/>
    <m/>
    <n v="0"/>
    <m/>
    <n v="0"/>
    <m/>
    <n v="0"/>
    <m/>
    <n v="0"/>
    <m/>
    <n v="0"/>
    <m/>
    <m/>
    <m/>
    <m/>
    <n v="0"/>
    <m/>
    <n v="0"/>
    <m/>
    <n v="0"/>
    <m/>
    <n v="0"/>
    <m/>
    <n v="0"/>
    <m/>
    <m/>
    <m/>
    <m/>
    <n v="0"/>
    <n v="0"/>
    <n v="0"/>
    <n v="0"/>
    <n v="0"/>
    <n v="0"/>
    <n v="0"/>
    <n v="0"/>
    <n v="0"/>
    <m/>
    <n v="0"/>
    <n v="0"/>
    <m/>
    <m/>
    <n v="0"/>
    <s v="TB"/>
    <x v="1"/>
  </r>
  <r>
    <n v="367"/>
    <x v="4"/>
    <x v="17"/>
    <x v="1"/>
    <x v="7"/>
    <m/>
    <m/>
    <m/>
    <m/>
    <m/>
    <m/>
    <m/>
    <m/>
    <m/>
    <s v="-"/>
    <n v="0"/>
    <s v="-"/>
    <n v="0"/>
    <s v="-"/>
    <n v="0"/>
    <s v="-"/>
    <n v="0"/>
    <m/>
    <n v="0"/>
    <m/>
    <m/>
    <m/>
    <m/>
    <n v="0"/>
    <m/>
    <n v="0"/>
    <m/>
    <n v="0"/>
    <m/>
    <n v="0"/>
    <m/>
    <n v="0"/>
    <m/>
    <m/>
    <m/>
    <m/>
    <n v="0"/>
    <m/>
    <n v="0"/>
    <m/>
    <n v="0"/>
    <m/>
    <n v="0"/>
    <m/>
    <n v="0"/>
    <m/>
    <m/>
    <m/>
    <m/>
    <n v="0"/>
    <n v="0"/>
    <n v="0"/>
    <n v="0"/>
    <n v="0"/>
    <n v="0"/>
    <n v="0"/>
    <n v="0"/>
    <n v="0"/>
    <m/>
    <n v="0"/>
    <n v="0"/>
    <m/>
    <m/>
    <n v="0"/>
    <s v="TB"/>
    <x v="1"/>
  </r>
  <r>
    <n v="368"/>
    <x v="4"/>
    <x v="18"/>
    <x v="17"/>
    <x v="17"/>
    <m/>
    <m/>
    <m/>
    <m/>
    <m/>
    <m/>
    <m/>
    <m/>
    <m/>
    <s v="-"/>
    <n v="0"/>
    <s v="-"/>
    <n v="0"/>
    <s v="-"/>
    <n v="0"/>
    <s v="-"/>
    <n v="0"/>
    <m/>
    <n v="0"/>
    <m/>
    <m/>
    <m/>
    <m/>
    <n v="0"/>
    <m/>
    <n v="0"/>
    <m/>
    <n v="0"/>
    <m/>
    <n v="0"/>
    <m/>
    <n v="0"/>
    <m/>
    <m/>
    <m/>
    <m/>
    <n v="0"/>
    <m/>
    <n v="0"/>
    <m/>
    <n v="0"/>
    <m/>
    <n v="0"/>
    <m/>
    <n v="0"/>
    <m/>
    <m/>
    <m/>
    <m/>
    <n v="0"/>
    <n v="0"/>
    <n v="0"/>
    <n v="0"/>
    <n v="0"/>
    <n v="0"/>
    <n v="0"/>
    <n v="0"/>
    <n v="0"/>
    <m/>
    <n v="0"/>
    <n v="0"/>
    <m/>
    <m/>
    <n v="0"/>
    <s v="TB"/>
    <x v="17"/>
  </r>
  <r>
    <n v="369"/>
    <x v="4"/>
    <x v="18"/>
    <x v="18"/>
    <x v="18"/>
    <m/>
    <m/>
    <m/>
    <m/>
    <m/>
    <m/>
    <m/>
    <e v="#DIV/0!"/>
    <e v="#DIV/0!"/>
    <s v="-"/>
    <n v="0"/>
    <m/>
    <n v="0"/>
    <m/>
    <n v="0"/>
    <m/>
    <n v="0"/>
    <m/>
    <n v="0"/>
    <m/>
    <m/>
    <m/>
    <m/>
    <n v="0"/>
    <m/>
    <n v="0"/>
    <m/>
    <n v="0"/>
    <m/>
    <n v="0"/>
    <m/>
    <n v="0"/>
    <m/>
    <m/>
    <m/>
    <m/>
    <n v="0"/>
    <m/>
    <n v="0"/>
    <m/>
    <n v="0"/>
    <m/>
    <n v="0"/>
    <m/>
    <n v="0"/>
    <m/>
    <m/>
    <m/>
    <m/>
    <n v="0"/>
    <n v="0"/>
    <n v="0"/>
    <n v="0"/>
    <n v="0"/>
    <n v="0"/>
    <n v="0"/>
    <n v="0"/>
    <n v="0"/>
    <m/>
    <n v="0"/>
    <n v="0"/>
    <m/>
    <m/>
    <n v="0"/>
    <s v="TB"/>
    <x v="18"/>
  </r>
  <r>
    <n v="370"/>
    <x v="4"/>
    <x v="18"/>
    <x v="17"/>
    <x v="19"/>
    <m/>
    <m/>
    <m/>
    <m/>
    <m/>
    <m/>
    <m/>
    <m/>
    <m/>
    <s v="-"/>
    <n v="0"/>
    <s v="-"/>
    <n v="0"/>
    <s v="-"/>
    <n v="0"/>
    <s v="-"/>
    <n v="0"/>
    <m/>
    <n v="0"/>
    <m/>
    <m/>
    <m/>
    <m/>
    <n v="0"/>
    <m/>
    <n v="0"/>
    <m/>
    <n v="0"/>
    <m/>
    <n v="0"/>
    <m/>
    <n v="0"/>
    <m/>
    <m/>
    <m/>
    <m/>
    <n v="0"/>
    <m/>
    <n v="0"/>
    <m/>
    <n v="0"/>
    <m/>
    <n v="0"/>
    <m/>
    <n v="0"/>
    <m/>
    <m/>
    <m/>
    <m/>
    <n v="0"/>
    <n v="0"/>
    <n v="0"/>
    <n v="0"/>
    <n v="0"/>
    <n v="0"/>
    <n v="0"/>
    <n v="0"/>
    <n v="0"/>
    <m/>
    <n v="0"/>
    <n v="0"/>
    <m/>
    <m/>
    <n v="0"/>
    <s v="TB"/>
    <x v="17"/>
  </r>
  <r>
    <n v="371"/>
    <x v="4"/>
    <x v="18"/>
    <x v="1"/>
    <x v="1"/>
    <m/>
    <m/>
    <m/>
    <m/>
    <m/>
    <m/>
    <m/>
    <m/>
    <m/>
    <s v="-"/>
    <n v="0"/>
    <s v="-"/>
    <n v="0"/>
    <s v="-"/>
    <n v="0"/>
    <s v="-"/>
    <n v="0"/>
    <m/>
    <n v="0"/>
    <m/>
    <m/>
    <m/>
    <m/>
    <n v="0"/>
    <m/>
    <n v="0"/>
    <m/>
    <n v="0"/>
    <m/>
    <n v="0"/>
    <m/>
    <n v="0"/>
    <m/>
    <m/>
    <m/>
    <m/>
    <n v="0"/>
    <m/>
    <n v="0"/>
    <m/>
    <n v="0"/>
    <m/>
    <n v="0"/>
    <m/>
    <n v="0"/>
    <m/>
    <m/>
    <m/>
    <m/>
    <n v="0"/>
    <n v="0"/>
    <n v="0"/>
    <n v="0"/>
    <n v="0"/>
    <n v="0"/>
    <n v="0"/>
    <n v="0"/>
    <n v="0"/>
    <m/>
    <n v="0"/>
    <n v="0"/>
    <m/>
    <m/>
    <n v="0"/>
    <s v="TB"/>
    <x v="1"/>
  </r>
  <r>
    <n v="372"/>
    <x v="4"/>
    <x v="18"/>
    <x v="1"/>
    <x v="2"/>
    <m/>
    <m/>
    <m/>
    <m/>
    <m/>
    <m/>
    <m/>
    <m/>
    <m/>
    <s v="-"/>
    <n v="0"/>
    <s v="-"/>
    <n v="0"/>
    <s v="-"/>
    <n v="0"/>
    <s v="-"/>
    <n v="0"/>
    <m/>
    <n v="0"/>
    <m/>
    <m/>
    <m/>
    <m/>
    <n v="0"/>
    <m/>
    <n v="0"/>
    <m/>
    <n v="0"/>
    <m/>
    <n v="0"/>
    <m/>
    <n v="0"/>
    <m/>
    <m/>
    <m/>
    <m/>
    <n v="0"/>
    <m/>
    <n v="0"/>
    <m/>
    <n v="0"/>
    <m/>
    <n v="0"/>
    <m/>
    <n v="0"/>
    <m/>
    <m/>
    <m/>
    <m/>
    <n v="0"/>
    <n v="0"/>
    <n v="0"/>
    <n v="0"/>
    <n v="0"/>
    <n v="0"/>
    <n v="0"/>
    <n v="0"/>
    <n v="0"/>
    <m/>
    <n v="0"/>
    <n v="0"/>
    <m/>
    <m/>
    <n v="0"/>
    <s v="TB"/>
    <x v="1"/>
  </r>
  <r>
    <n v="373"/>
    <x v="4"/>
    <x v="18"/>
    <x v="1"/>
    <x v="3"/>
    <m/>
    <m/>
    <m/>
    <m/>
    <m/>
    <m/>
    <m/>
    <m/>
    <m/>
    <s v="-"/>
    <n v="0"/>
    <s v="-"/>
    <n v="0"/>
    <s v="-"/>
    <n v="0"/>
    <s v="-"/>
    <n v="0"/>
    <m/>
    <n v="0"/>
    <m/>
    <m/>
    <m/>
    <m/>
    <n v="0"/>
    <m/>
    <n v="0"/>
    <m/>
    <n v="0"/>
    <m/>
    <n v="0"/>
    <m/>
    <n v="0"/>
    <m/>
    <m/>
    <m/>
    <m/>
    <n v="0"/>
    <m/>
    <n v="0"/>
    <m/>
    <n v="0"/>
    <m/>
    <n v="0"/>
    <m/>
    <n v="0"/>
    <m/>
    <m/>
    <m/>
    <m/>
    <n v="0"/>
    <n v="0"/>
    <n v="0"/>
    <n v="0"/>
    <n v="0"/>
    <n v="0"/>
    <n v="0"/>
    <n v="0"/>
    <n v="0"/>
    <m/>
    <n v="0"/>
    <n v="0"/>
    <m/>
    <m/>
    <n v="0"/>
    <s v="TB"/>
    <x v="1"/>
  </r>
  <r>
    <n v="374"/>
    <x v="4"/>
    <x v="18"/>
    <x v="1"/>
    <x v="4"/>
    <m/>
    <m/>
    <m/>
    <m/>
    <m/>
    <m/>
    <m/>
    <e v="#DIV/0!"/>
    <e v="#DIV/0!"/>
    <s v="-"/>
    <n v="0"/>
    <s v="-"/>
    <n v="0"/>
    <s v="-"/>
    <n v="0"/>
    <s v="-"/>
    <n v="0"/>
    <m/>
    <n v="0"/>
    <m/>
    <m/>
    <m/>
    <m/>
    <n v="0"/>
    <m/>
    <n v="0"/>
    <m/>
    <n v="0"/>
    <m/>
    <n v="0"/>
    <m/>
    <n v="0"/>
    <m/>
    <m/>
    <m/>
    <m/>
    <n v="0"/>
    <m/>
    <n v="0"/>
    <m/>
    <n v="0"/>
    <m/>
    <n v="0"/>
    <m/>
    <n v="0"/>
    <m/>
    <m/>
    <m/>
    <m/>
    <n v="0"/>
    <n v="0"/>
    <n v="0"/>
    <n v="0"/>
    <n v="0"/>
    <n v="0"/>
    <n v="0"/>
    <n v="0"/>
    <n v="0"/>
    <m/>
    <n v="0"/>
    <n v="0"/>
    <m/>
    <m/>
    <n v="0"/>
    <s v="TB"/>
    <x v="1"/>
  </r>
  <r>
    <n v="375"/>
    <x v="4"/>
    <x v="18"/>
    <x v="1"/>
    <x v="5"/>
    <m/>
    <m/>
    <m/>
    <m/>
    <m/>
    <m/>
    <m/>
    <m/>
    <m/>
    <s v="-"/>
    <n v="0"/>
    <s v="-"/>
    <n v="0"/>
    <s v="-"/>
    <n v="0"/>
    <s v="-"/>
    <n v="0"/>
    <m/>
    <n v="0"/>
    <m/>
    <m/>
    <m/>
    <m/>
    <n v="0"/>
    <m/>
    <n v="0"/>
    <m/>
    <n v="0"/>
    <m/>
    <n v="0"/>
    <m/>
    <n v="0"/>
    <m/>
    <m/>
    <m/>
    <m/>
    <n v="0"/>
    <m/>
    <n v="0"/>
    <m/>
    <n v="0"/>
    <m/>
    <n v="0"/>
    <m/>
    <n v="0"/>
    <m/>
    <m/>
    <m/>
    <m/>
    <n v="0"/>
    <n v="0"/>
    <n v="0"/>
    <n v="0"/>
    <n v="0"/>
    <n v="0"/>
    <n v="0"/>
    <n v="0"/>
    <n v="0"/>
    <m/>
    <n v="0"/>
    <n v="0"/>
    <m/>
    <m/>
    <n v="0"/>
    <s v="TB"/>
    <x v="1"/>
  </r>
  <r>
    <n v="376"/>
    <x v="4"/>
    <x v="18"/>
    <x v="1"/>
    <x v="6"/>
    <m/>
    <m/>
    <m/>
    <m/>
    <m/>
    <m/>
    <m/>
    <m/>
    <m/>
    <s v="-"/>
    <n v="0"/>
    <s v="-"/>
    <n v="0"/>
    <s v="-"/>
    <n v="0"/>
    <s v="-"/>
    <n v="0"/>
    <m/>
    <n v="0"/>
    <m/>
    <m/>
    <m/>
    <m/>
    <n v="0"/>
    <m/>
    <n v="0"/>
    <m/>
    <n v="0"/>
    <m/>
    <n v="0"/>
    <m/>
    <n v="0"/>
    <m/>
    <m/>
    <m/>
    <m/>
    <n v="0"/>
    <m/>
    <n v="0"/>
    <m/>
    <n v="0"/>
    <m/>
    <n v="0"/>
    <m/>
    <n v="0"/>
    <m/>
    <m/>
    <m/>
    <m/>
    <n v="0"/>
    <n v="0"/>
    <n v="0"/>
    <n v="0"/>
    <n v="0"/>
    <n v="0"/>
    <n v="0"/>
    <n v="0"/>
    <n v="0"/>
    <m/>
    <n v="0"/>
    <n v="0"/>
    <m/>
    <m/>
    <n v="0"/>
    <s v="TB"/>
    <x v="1"/>
  </r>
  <r>
    <n v="377"/>
    <x v="4"/>
    <x v="18"/>
    <x v="1"/>
    <x v="7"/>
    <m/>
    <m/>
    <m/>
    <m/>
    <m/>
    <m/>
    <m/>
    <m/>
    <m/>
    <s v="-"/>
    <n v="0"/>
    <s v="-"/>
    <n v="0"/>
    <s v="-"/>
    <n v="0"/>
    <s v="-"/>
    <n v="0"/>
    <m/>
    <n v="0"/>
    <m/>
    <m/>
    <m/>
    <m/>
    <n v="0"/>
    <m/>
    <n v="0"/>
    <m/>
    <n v="0"/>
    <m/>
    <n v="0"/>
    <m/>
    <n v="0"/>
    <m/>
    <m/>
    <m/>
    <m/>
    <n v="0"/>
    <m/>
    <n v="0"/>
    <m/>
    <n v="0"/>
    <m/>
    <n v="0"/>
    <m/>
    <n v="0"/>
    <m/>
    <m/>
    <m/>
    <m/>
    <n v="0"/>
    <n v="0"/>
    <n v="0"/>
    <n v="0"/>
    <n v="0"/>
    <n v="0"/>
    <n v="0"/>
    <n v="0"/>
    <n v="0"/>
    <m/>
    <n v="0"/>
    <n v="0"/>
    <m/>
    <m/>
    <n v="0"/>
    <s v="TB"/>
    <x v="1"/>
  </r>
  <r>
    <n v="428"/>
    <x v="5"/>
    <x v="19"/>
    <x v="19"/>
    <x v="20"/>
    <m/>
    <m/>
    <m/>
    <m/>
    <m/>
    <m/>
    <m/>
    <e v="#DIV/0!"/>
    <e v="#DIV/0!"/>
    <s v="-"/>
    <n v="0"/>
    <s v="-"/>
    <n v="0"/>
    <s v="-"/>
    <n v="0"/>
    <s v="-"/>
    <n v="0"/>
    <m/>
    <n v="0"/>
    <m/>
    <m/>
    <m/>
    <m/>
    <n v="0"/>
    <m/>
    <n v="0"/>
    <m/>
    <n v="0"/>
    <m/>
    <n v="0"/>
    <m/>
    <n v="0"/>
    <m/>
    <m/>
    <m/>
    <m/>
    <n v="0"/>
    <m/>
    <n v="0"/>
    <m/>
    <n v="0"/>
    <m/>
    <n v="0"/>
    <m/>
    <n v="0"/>
    <m/>
    <m/>
    <m/>
    <m/>
    <n v="0"/>
    <n v="0"/>
    <n v="0"/>
    <n v="0"/>
    <n v="0"/>
    <n v="0"/>
    <n v="0"/>
    <n v="0"/>
    <n v="0"/>
    <m/>
    <n v="0"/>
    <n v="0"/>
    <m/>
    <m/>
    <s v="Men who have sex with men"/>
    <s v="HIV"/>
    <x v="19"/>
  </r>
  <r>
    <n v="429"/>
    <x v="5"/>
    <x v="19"/>
    <x v="19"/>
    <x v="13"/>
    <m/>
    <m/>
    <m/>
    <m/>
    <m/>
    <m/>
    <m/>
    <m/>
    <m/>
    <s v="-"/>
    <n v="0"/>
    <s v="-"/>
    <n v="0"/>
    <s v="-"/>
    <n v="0"/>
    <s v="-"/>
    <n v="0"/>
    <m/>
    <n v="0"/>
    <m/>
    <m/>
    <m/>
    <m/>
    <n v="0"/>
    <m/>
    <n v="0"/>
    <m/>
    <n v="0"/>
    <m/>
    <n v="0"/>
    <m/>
    <n v="0"/>
    <m/>
    <m/>
    <m/>
    <m/>
    <n v="0"/>
    <m/>
    <n v="0"/>
    <m/>
    <n v="0"/>
    <m/>
    <n v="0"/>
    <m/>
    <n v="0"/>
    <m/>
    <m/>
    <m/>
    <m/>
    <n v="0"/>
    <n v="0"/>
    <n v="0"/>
    <n v="0"/>
    <n v="0"/>
    <n v="0"/>
    <n v="0"/>
    <n v="0"/>
    <n v="0"/>
    <m/>
    <n v="0"/>
    <n v="0"/>
    <m/>
    <m/>
    <s v="Men who have sex with men"/>
    <s v="HIV"/>
    <x v="19"/>
  </r>
  <r>
    <n v="430"/>
    <x v="5"/>
    <x v="19"/>
    <x v="20"/>
    <x v="1"/>
    <m/>
    <m/>
    <m/>
    <m/>
    <m/>
    <m/>
    <m/>
    <m/>
    <m/>
    <s v="-"/>
    <n v="0"/>
    <s v="-"/>
    <n v="0"/>
    <s v="-"/>
    <n v="0"/>
    <s v="-"/>
    <n v="0"/>
    <m/>
    <n v="0"/>
    <m/>
    <m/>
    <m/>
    <m/>
    <n v="0"/>
    <m/>
    <n v="0"/>
    <m/>
    <n v="0"/>
    <m/>
    <n v="0"/>
    <m/>
    <n v="0"/>
    <m/>
    <m/>
    <m/>
    <m/>
    <n v="0"/>
    <m/>
    <n v="0"/>
    <m/>
    <n v="0"/>
    <m/>
    <n v="0"/>
    <m/>
    <n v="0"/>
    <m/>
    <m/>
    <m/>
    <m/>
    <n v="0"/>
    <n v="0"/>
    <n v="0"/>
    <n v="0"/>
    <n v="0"/>
    <n v="0"/>
    <n v="0"/>
    <n v="0"/>
    <n v="0"/>
    <m/>
    <n v="0"/>
    <n v="0"/>
    <m/>
    <m/>
    <s v="Men who have sex with men"/>
    <s v="HIV"/>
    <x v="1"/>
  </r>
  <r>
    <n v="431"/>
    <x v="5"/>
    <x v="19"/>
    <x v="20"/>
    <x v="2"/>
    <m/>
    <m/>
    <m/>
    <m/>
    <m/>
    <m/>
    <m/>
    <m/>
    <m/>
    <s v="-"/>
    <n v="0"/>
    <s v="-"/>
    <n v="0"/>
    <s v="-"/>
    <n v="0"/>
    <s v="-"/>
    <n v="0"/>
    <m/>
    <n v="0"/>
    <m/>
    <m/>
    <m/>
    <m/>
    <n v="0"/>
    <m/>
    <n v="0"/>
    <m/>
    <n v="0"/>
    <m/>
    <n v="0"/>
    <m/>
    <n v="0"/>
    <m/>
    <m/>
    <m/>
    <m/>
    <n v="0"/>
    <m/>
    <n v="0"/>
    <m/>
    <n v="0"/>
    <m/>
    <n v="0"/>
    <m/>
    <n v="0"/>
    <m/>
    <m/>
    <m/>
    <m/>
    <n v="0"/>
    <n v="0"/>
    <n v="0"/>
    <n v="0"/>
    <n v="0"/>
    <n v="0"/>
    <n v="0"/>
    <n v="0"/>
    <n v="0"/>
    <m/>
    <n v="0"/>
    <n v="0"/>
    <m/>
    <m/>
    <s v="Men who have sex with men"/>
    <s v="HIV"/>
    <x v="1"/>
  </r>
  <r>
    <n v="432"/>
    <x v="5"/>
    <x v="19"/>
    <x v="20"/>
    <x v="3"/>
    <m/>
    <m/>
    <m/>
    <m/>
    <m/>
    <m/>
    <m/>
    <m/>
    <m/>
    <s v="-"/>
    <n v="0"/>
    <s v="-"/>
    <n v="0"/>
    <s v="-"/>
    <n v="0"/>
    <s v="-"/>
    <n v="0"/>
    <m/>
    <n v="0"/>
    <m/>
    <m/>
    <m/>
    <m/>
    <n v="0"/>
    <m/>
    <n v="0"/>
    <m/>
    <n v="0"/>
    <m/>
    <n v="0"/>
    <m/>
    <n v="0"/>
    <m/>
    <m/>
    <m/>
    <m/>
    <n v="0"/>
    <m/>
    <n v="0"/>
    <m/>
    <n v="0"/>
    <m/>
    <n v="0"/>
    <m/>
    <n v="0"/>
    <m/>
    <m/>
    <m/>
    <m/>
    <n v="0"/>
    <n v="0"/>
    <n v="0"/>
    <n v="0"/>
    <n v="0"/>
    <n v="0"/>
    <n v="0"/>
    <n v="0"/>
    <n v="0"/>
    <m/>
    <n v="0"/>
    <n v="0"/>
    <m/>
    <m/>
    <s v="Men who have sex with men"/>
    <s v="HIV"/>
    <x v="1"/>
  </r>
  <r>
    <n v="433"/>
    <x v="5"/>
    <x v="19"/>
    <x v="20"/>
    <x v="4"/>
    <m/>
    <m/>
    <m/>
    <m/>
    <m/>
    <m/>
    <m/>
    <m/>
    <m/>
    <s v="-"/>
    <n v="0"/>
    <s v="-"/>
    <n v="0"/>
    <s v="-"/>
    <n v="0"/>
    <s v="-"/>
    <n v="0"/>
    <m/>
    <n v="0"/>
    <m/>
    <m/>
    <m/>
    <m/>
    <n v="0"/>
    <m/>
    <n v="0"/>
    <m/>
    <n v="0"/>
    <m/>
    <n v="0"/>
    <m/>
    <n v="0"/>
    <m/>
    <m/>
    <m/>
    <m/>
    <n v="0"/>
    <m/>
    <n v="0"/>
    <m/>
    <n v="0"/>
    <m/>
    <n v="0"/>
    <m/>
    <n v="0"/>
    <m/>
    <m/>
    <m/>
    <m/>
    <n v="0"/>
    <n v="0"/>
    <n v="0"/>
    <n v="0"/>
    <n v="0"/>
    <n v="0"/>
    <n v="0"/>
    <n v="0"/>
    <n v="0"/>
    <m/>
    <n v="0"/>
    <n v="0"/>
    <m/>
    <m/>
    <s v="Men who have sex with men"/>
    <s v="HIV"/>
    <x v="1"/>
  </r>
  <r>
    <n v="434"/>
    <x v="5"/>
    <x v="19"/>
    <x v="20"/>
    <x v="5"/>
    <m/>
    <m/>
    <m/>
    <m/>
    <m/>
    <m/>
    <m/>
    <m/>
    <m/>
    <s v="-"/>
    <n v="0"/>
    <s v="-"/>
    <n v="0"/>
    <s v="-"/>
    <n v="0"/>
    <s v="-"/>
    <n v="0"/>
    <m/>
    <n v="0"/>
    <m/>
    <m/>
    <m/>
    <m/>
    <n v="0"/>
    <m/>
    <n v="0"/>
    <m/>
    <n v="0"/>
    <m/>
    <n v="0"/>
    <m/>
    <n v="0"/>
    <m/>
    <m/>
    <m/>
    <m/>
    <n v="0"/>
    <m/>
    <n v="0"/>
    <m/>
    <n v="0"/>
    <m/>
    <n v="0"/>
    <m/>
    <n v="0"/>
    <m/>
    <m/>
    <m/>
    <m/>
    <n v="0"/>
    <n v="0"/>
    <n v="0"/>
    <n v="0"/>
    <n v="0"/>
    <n v="0"/>
    <n v="0"/>
    <n v="0"/>
    <n v="0"/>
    <m/>
    <n v="0"/>
    <n v="0"/>
    <m/>
    <m/>
    <s v="Men who have sex with men"/>
    <s v="HIV"/>
    <x v="1"/>
  </r>
  <r>
    <n v="435"/>
    <x v="5"/>
    <x v="19"/>
    <x v="20"/>
    <x v="6"/>
    <m/>
    <m/>
    <m/>
    <m/>
    <m/>
    <m/>
    <m/>
    <m/>
    <m/>
    <s v="-"/>
    <n v="0"/>
    <s v="-"/>
    <n v="0"/>
    <s v="-"/>
    <n v="0"/>
    <s v="-"/>
    <n v="0"/>
    <m/>
    <n v="0"/>
    <m/>
    <m/>
    <m/>
    <m/>
    <n v="0"/>
    <m/>
    <n v="0"/>
    <m/>
    <n v="0"/>
    <m/>
    <n v="0"/>
    <m/>
    <n v="0"/>
    <m/>
    <m/>
    <m/>
    <m/>
    <n v="0"/>
    <m/>
    <n v="0"/>
    <m/>
    <n v="0"/>
    <m/>
    <n v="0"/>
    <m/>
    <n v="0"/>
    <m/>
    <m/>
    <m/>
    <m/>
    <n v="0"/>
    <n v="0"/>
    <n v="0"/>
    <n v="0"/>
    <n v="0"/>
    <n v="0"/>
    <n v="0"/>
    <n v="0"/>
    <n v="0"/>
    <m/>
    <n v="0"/>
    <n v="0"/>
    <m/>
    <m/>
    <s v="Men who have sex with men"/>
    <s v="HIV"/>
    <x v="1"/>
  </r>
  <r>
    <n v="436"/>
    <x v="5"/>
    <x v="19"/>
    <x v="20"/>
    <x v="7"/>
    <m/>
    <m/>
    <m/>
    <m/>
    <m/>
    <m/>
    <m/>
    <m/>
    <m/>
    <s v="-"/>
    <n v="0"/>
    <s v="-"/>
    <n v="0"/>
    <s v="-"/>
    <n v="0"/>
    <s v="-"/>
    <n v="0"/>
    <m/>
    <n v="0"/>
    <m/>
    <m/>
    <m/>
    <m/>
    <n v="0"/>
    <m/>
    <n v="0"/>
    <m/>
    <n v="0"/>
    <m/>
    <n v="0"/>
    <m/>
    <n v="0"/>
    <m/>
    <m/>
    <m/>
    <m/>
    <n v="0"/>
    <m/>
    <n v="0"/>
    <m/>
    <n v="0"/>
    <m/>
    <n v="0"/>
    <m/>
    <n v="0"/>
    <m/>
    <m/>
    <m/>
    <m/>
    <n v="0"/>
    <n v="0"/>
    <n v="0"/>
    <n v="0"/>
    <n v="0"/>
    <n v="0"/>
    <n v="0"/>
    <n v="0"/>
    <n v="0"/>
    <m/>
    <n v="0"/>
    <n v="0"/>
    <m/>
    <m/>
    <s v="Men who have sex with men"/>
    <s v="HIV"/>
    <x v="1"/>
  </r>
  <r>
    <n v="480"/>
    <x v="5"/>
    <x v="19"/>
    <x v="21"/>
    <x v="20"/>
    <m/>
    <m/>
    <m/>
    <m/>
    <m/>
    <m/>
    <m/>
    <m/>
    <m/>
    <s v="-"/>
    <n v="0"/>
    <s v="-"/>
    <n v="0"/>
    <s v="-"/>
    <n v="0"/>
    <s v="-"/>
    <n v="0"/>
    <m/>
    <n v="0"/>
    <m/>
    <m/>
    <m/>
    <m/>
    <n v="0"/>
    <m/>
    <n v="0"/>
    <m/>
    <n v="0"/>
    <m/>
    <n v="0"/>
    <m/>
    <n v="0"/>
    <m/>
    <m/>
    <m/>
    <m/>
    <n v="0"/>
    <m/>
    <n v="0"/>
    <m/>
    <n v="0"/>
    <m/>
    <n v="0"/>
    <m/>
    <n v="0"/>
    <m/>
    <m/>
    <m/>
    <m/>
    <n v="0"/>
    <n v="0"/>
    <n v="0"/>
    <n v="0"/>
    <n v="0"/>
    <n v="0"/>
    <n v="0"/>
    <n v="0"/>
    <n v="0"/>
    <m/>
    <n v="0"/>
    <n v="0"/>
    <m/>
    <m/>
    <s v="Sex workers and their clients"/>
    <s v="HIV"/>
    <x v="19"/>
  </r>
  <r>
    <n v="481"/>
    <x v="5"/>
    <x v="19"/>
    <x v="21"/>
    <x v="21"/>
    <m/>
    <m/>
    <m/>
    <m/>
    <m/>
    <m/>
    <m/>
    <m/>
    <m/>
    <s v="-"/>
    <n v="0"/>
    <s v="-"/>
    <n v="0"/>
    <s v="-"/>
    <n v="0"/>
    <s v="-"/>
    <n v="0"/>
    <m/>
    <n v="0"/>
    <m/>
    <m/>
    <m/>
    <m/>
    <n v="0"/>
    <m/>
    <n v="0"/>
    <m/>
    <n v="0"/>
    <m/>
    <n v="0"/>
    <m/>
    <n v="0"/>
    <m/>
    <m/>
    <m/>
    <m/>
    <n v="0"/>
    <m/>
    <n v="0"/>
    <m/>
    <n v="0"/>
    <m/>
    <n v="0"/>
    <m/>
    <n v="0"/>
    <m/>
    <m/>
    <m/>
    <m/>
    <n v="0"/>
    <n v="0"/>
    <n v="0"/>
    <n v="0"/>
    <n v="0"/>
    <n v="0"/>
    <n v="0"/>
    <n v="0"/>
    <n v="0"/>
    <m/>
    <n v="0"/>
    <n v="0"/>
    <m/>
    <m/>
    <s v="Sex workers and their clients"/>
    <s v="HIV"/>
    <x v="19"/>
  </r>
  <r>
    <n v="482"/>
    <x v="5"/>
    <x v="19"/>
    <x v="21"/>
    <x v="13"/>
    <m/>
    <m/>
    <m/>
    <m/>
    <m/>
    <m/>
    <m/>
    <m/>
    <m/>
    <s v="-"/>
    <n v="0"/>
    <s v="-"/>
    <n v="0"/>
    <s v="-"/>
    <n v="0"/>
    <s v="-"/>
    <n v="0"/>
    <m/>
    <n v="0"/>
    <m/>
    <m/>
    <m/>
    <m/>
    <n v="0"/>
    <m/>
    <n v="0"/>
    <m/>
    <n v="0"/>
    <m/>
    <n v="0"/>
    <m/>
    <n v="0"/>
    <m/>
    <m/>
    <m/>
    <m/>
    <n v="0"/>
    <m/>
    <n v="0"/>
    <m/>
    <n v="0"/>
    <m/>
    <n v="0"/>
    <m/>
    <n v="0"/>
    <m/>
    <m/>
    <m/>
    <m/>
    <n v="0"/>
    <n v="0"/>
    <n v="0"/>
    <n v="0"/>
    <n v="0"/>
    <n v="0"/>
    <n v="0"/>
    <n v="0"/>
    <n v="0"/>
    <m/>
    <n v="0"/>
    <n v="0"/>
    <m/>
    <m/>
    <s v="Sex workers and their clients"/>
    <s v="HIV"/>
    <x v="19"/>
  </r>
  <r>
    <n v="483"/>
    <x v="5"/>
    <x v="19"/>
    <x v="22"/>
    <x v="1"/>
    <m/>
    <m/>
    <m/>
    <m/>
    <m/>
    <m/>
    <m/>
    <m/>
    <m/>
    <s v="-"/>
    <n v="0"/>
    <s v="-"/>
    <n v="0"/>
    <s v="-"/>
    <n v="0"/>
    <s v="-"/>
    <n v="0"/>
    <m/>
    <n v="0"/>
    <m/>
    <m/>
    <m/>
    <m/>
    <n v="0"/>
    <m/>
    <n v="0"/>
    <m/>
    <n v="0"/>
    <m/>
    <n v="0"/>
    <m/>
    <n v="0"/>
    <m/>
    <m/>
    <m/>
    <m/>
    <n v="0"/>
    <m/>
    <n v="0"/>
    <m/>
    <n v="0"/>
    <m/>
    <n v="0"/>
    <m/>
    <n v="0"/>
    <m/>
    <m/>
    <m/>
    <m/>
    <n v="0"/>
    <n v="0"/>
    <n v="0"/>
    <n v="0"/>
    <n v="0"/>
    <n v="0"/>
    <n v="0"/>
    <n v="0"/>
    <n v="0"/>
    <m/>
    <n v="0"/>
    <n v="0"/>
    <m/>
    <m/>
    <s v="Sex workers and their clients"/>
    <s v="HIV"/>
    <x v="1"/>
  </r>
  <r>
    <n v="484"/>
    <x v="5"/>
    <x v="19"/>
    <x v="22"/>
    <x v="2"/>
    <m/>
    <m/>
    <m/>
    <m/>
    <m/>
    <m/>
    <m/>
    <m/>
    <m/>
    <s v="-"/>
    <n v="0"/>
    <s v="-"/>
    <n v="0"/>
    <s v="-"/>
    <n v="0"/>
    <s v="-"/>
    <n v="0"/>
    <m/>
    <n v="0"/>
    <m/>
    <m/>
    <m/>
    <m/>
    <n v="0"/>
    <m/>
    <n v="0"/>
    <m/>
    <n v="0"/>
    <m/>
    <n v="0"/>
    <m/>
    <n v="0"/>
    <m/>
    <m/>
    <m/>
    <m/>
    <n v="0"/>
    <m/>
    <n v="0"/>
    <m/>
    <n v="0"/>
    <m/>
    <n v="0"/>
    <m/>
    <n v="0"/>
    <m/>
    <m/>
    <m/>
    <m/>
    <n v="0"/>
    <n v="0"/>
    <n v="0"/>
    <n v="0"/>
    <n v="0"/>
    <n v="0"/>
    <n v="0"/>
    <n v="0"/>
    <n v="0"/>
    <m/>
    <n v="0"/>
    <n v="0"/>
    <m/>
    <m/>
    <s v="Sex workers and their clients"/>
    <s v="HIV"/>
    <x v="1"/>
  </r>
  <r>
    <n v="485"/>
    <x v="5"/>
    <x v="19"/>
    <x v="22"/>
    <x v="3"/>
    <m/>
    <m/>
    <m/>
    <m/>
    <m/>
    <m/>
    <m/>
    <m/>
    <m/>
    <s v="-"/>
    <n v="0"/>
    <s v="-"/>
    <n v="0"/>
    <s v="-"/>
    <n v="0"/>
    <s v="-"/>
    <n v="0"/>
    <m/>
    <n v="0"/>
    <m/>
    <m/>
    <m/>
    <m/>
    <n v="0"/>
    <m/>
    <n v="0"/>
    <m/>
    <n v="0"/>
    <m/>
    <n v="0"/>
    <m/>
    <n v="0"/>
    <m/>
    <m/>
    <m/>
    <m/>
    <n v="0"/>
    <m/>
    <n v="0"/>
    <m/>
    <n v="0"/>
    <m/>
    <n v="0"/>
    <m/>
    <n v="0"/>
    <m/>
    <m/>
    <m/>
    <m/>
    <n v="0"/>
    <n v="0"/>
    <n v="0"/>
    <n v="0"/>
    <n v="0"/>
    <n v="0"/>
    <n v="0"/>
    <n v="0"/>
    <n v="0"/>
    <m/>
    <n v="0"/>
    <n v="0"/>
    <m/>
    <m/>
    <s v="Sex workers and their clients"/>
    <s v="HIV"/>
    <x v="1"/>
  </r>
  <r>
    <n v="486"/>
    <x v="5"/>
    <x v="19"/>
    <x v="22"/>
    <x v="4"/>
    <m/>
    <m/>
    <m/>
    <m/>
    <m/>
    <m/>
    <m/>
    <m/>
    <m/>
    <s v="-"/>
    <n v="0"/>
    <s v="-"/>
    <n v="0"/>
    <s v="-"/>
    <n v="0"/>
    <s v="-"/>
    <n v="0"/>
    <m/>
    <n v="0"/>
    <m/>
    <m/>
    <m/>
    <m/>
    <n v="0"/>
    <m/>
    <n v="0"/>
    <m/>
    <n v="0"/>
    <m/>
    <n v="0"/>
    <m/>
    <n v="0"/>
    <m/>
    <m/>
    <m/>
    <m/>
    <n v="0"/>
    <m/>
    <n v="0"/>
    <m/>
    <n v="0"/>
    <m/>
    <n v="0"/>
    <m/>
    <n v="0"/>
    <m/>
    <m/>
    <m/>
    <m/>
    <n v="0"/>
    <n v="0"/>
    <n v="0"/>
    <n v="0"/>
    <n v="0"/>
    <n v="0"/>
    <n v="0"/>
    <n v="0"/>
    <n v="0"/>
    <m/>
    <n v="0"/>
    <n v="0"/>
    <m/>
    <m/>
    <s v="Sex workers and their clients"/>
    <s v="HIV"/>
    <x v="1"/>
  </r>
  <r>
    <n v="487"/>
    <x v="5"/>
    <x v="19"/>
    <x v="22"/>
    <x v="5"/>
    <m/>
    <m/>
    <m/>
    <m/>
    <m/>
    <m/>
    <m/>
    <m/>
    <m/>
    <s v="-"/>
    <n v="0"/>
    <s v="-"/>
    <n v="0"/>
    <s v="-"/>
    <n v="0"/>
    <s v="-"/>
    <n v="0"/>
    <m/>
    <n v="0"/>
    <m/>
    <m/>
    <m/>
    <m/>
    <n v="0"/>
    <m/>
    <n v="0"/>
    <m/>
    <n v="0"/>
    <m/>
    <n v="0"/>
    <m/>
    <n v="0"/>
    <m/>
    <m/>
    <m/>
    <m/>
    <n v="0"/>
    <m/>
    <n v="0"/>
    <m/>
    <n v="0"/>
    <m/>
    <n v="0"/>
    <m/>
    <n v="0"/>
    <m/>
    <m/>
    <m/>
    <m/>
    <n v="0"/>
    <n v="0"/>
    <n v="0"/>
    <n v="0"/>
    <n v="0"/>
    <n v="0"/>
    <n v="0"/>
    <n v="0"/>
    <n v="0"/>
    <m/>
    <n v="0"/>
    <n v="0"/>
    <m/>
    <m/>
    <s v="Sex workers and their clients"/>
    <s v="HIV"/>
    <x v="1"/>
  </r>
  <r>
    <n v="488"/>
    <x v="5"/>
    <x v="19"/>
    <x v="22"/>
    <x v="6"/>
    <m/>
    <m/>
    <m/>
    <m/>
    <m/>
    <m/>
    <m/>
    <m/>
    <m/>
    <s v="-"/>
    <n v="0"/>
    <s v="-"/>
    <n v="0"/>
    <s v="-"/>
    <n v="0"/>
    <s v="-"/>
    <n v="0"/>
    <m/>
    <n v="0"/>
    <m/>
    <m/>
    <m/>
    <m/>
    <n v="0"/>
    <m/>
    <n v="0"/>
    <m/>
    <n v="0"/>
    <m/>
    <n v="0"/>
    <m/>
    <n v="0"/>
    <m/>
    <m/>
    <m/>
    <m/>
    <n v="0"/>
    <m/>
    <n v="0"/>
    <m/>
    <n v="0"/>
    <m/>
    <n v="0"/>
    <m/>
    <n v="0"/>
    <m/>
    <m/>
    <m/>
    <m/>
    <n v="0"/>
    <n v="0"/>
    <n v="0"/>
    <n v="0"/>
    <n v="0"/>
    <n v="0"/>
    <n v="0"/>
    <n v="0"/>
    <n v="0"/>
    <m/>
    <n v="0"/>
    <n v="0"/>
    <m/>
    <m/>
    <s v="Sex workers and their clients"/>
    <s v="HIV"/>
    <x v="1"/>
  </r>
  <r>
    <n v="489"/>
    <x v="5"/>
    <x v="19"/>
    <x v="22"/>
    <x v="7"/>
    <m/>
    <m/>
    <m/>
    <m/>
    <m/>
    <m/>
    <m/>
    <m/>
    <m/>
    <s v="-"/>
    <n v="0"/>
    <s v="-"/>
    <n v="0"/>
    <s v="-"/>
    <n v="0"/>
    <s v="-"/>
    <n v="0"/>
    <m/>
    <n v="0"/>
    <m/>
    <m/>
    <m/>
    <m/>
    <n v="0"/>
    <m/>
    <n v="0"/>
    <m/>
    <n v="0"/>
    <m/>
    <n v="0"/>
    <m/>
    <n v="0"/>
    <m/>
    <m/>
    <m/>
    <m/>
    <n v="0"/>
    <m/>
    <n v="0"/>
    <m/>
    <n v="0"/>
    <m/>
    <n v="0"/>
    <m/>
    <n v="0"/>
    <m/>
    <m/>
    <m/>
    <m/>
    <n v="0"/>
    <n v="0"/>
    <n v="0"/>
    <n v="0"/>
    <n v="0"/>
    <n v="0"/>
    <n v="0"/>
    <n v="0"/>
    <n v="0"/>
    <m/>
    <n v="0"/>
    <n v="0"/>
    <m/>
    <m/>
    <s v="Sex workers and their clients"/>
    <s v="HIV"/>
    <x v="1"/>
  </r>
  <r>
    <n v="533"/>
    <x v="5"/>
    <x v="19"/>
    <x v="23"/>
    <x v="20"/>
    <m/>
    <m/>
    <m/>
    <m/>
    <m/>
    <m/>
    <m/>
    <m/>
    <m/>
    <s v="-"/>
    <n v="0"/>
    <s v="-"/>
    <n v="0"/>
    <s v="-"/>
    <n v="0"/>
    <s v="-"/>
    <n v="0"/>
    <m/>
    <n v="0"/>
    <m/>
    <m/>
    <m/>
    <m/>
    <n v="0"/>
    <m/>
    <n v="0"/>
    <m/>
    <n v="0"/>
    <m/>
    <n v="0"/>
    <m/>
    <n v="0"/>
    <m/>
    <m/>
    <m/>
    <m/>
    <n v="0"/>
    <m/>
    <n v="0"/>
    <m/>
    <n v="0"/>
    <m/>
    <n v="0"/>
    <m/>
    <n v="0"/>
    <m/>
    <m/>
    <m/>
    <m/>
    <n v="0"/>
    <n v="0"/>
    <n v="0"/>
    <n v="0"/>
    <n v="0"/>
    <n v="0"/>
    <n v="0"/>
    <n v="0"/>
    <n v="0"/>
    <m/>
    <n v="0"/>
    <n v="0"/>
    <m/>
    <m/>
    <s v="Transgender people"/>
    <s v="HIV"/>
    <x v="19"/>
  </r>
  <r>
    <n v="534"/>
    <x v="5"/>
    <x v="19"/>
    <x v="23"/>
    <x v="21"/>
    <m/>
    <m/>
    <m/>
    <m/>
    <m/>
    <m/>
    <m/>
    <m/>
    <m/>
    <s v="-"/>
    <n v="0"/>
    <s v="-"/>
    <n v="0"/>
    <s v="-"/>
    <n v="0"/>
    <s v="-"/>
    <n v="0"/>
    <m/>
    <n v="0"/>
    <m/>
    <m/>
    <m/>
    <m/>
    <n v="0"/>
    <m/>
    <n v="0"/>
    <m/>
    <n v="0"/>
    <m/>
    <n v="0"/>
    <m/>
    <n v="0"/>
    <m/>
    <m/>
    <m/>
    <m/>
    <n v="0"/>
    <m/>
    <n v="0"/>
    <m/>
    <n v="0"/>
    <m/>
    <n v="0"/>
    <m/>
    <n v="0"/>
    <m/>
    <m/>
    <m/>
    <m/>
    <n v="0"/>
    <n v="0"/>
    <n v="0"/>
    <n v="0"/>
    <n v="0"/>
    <n v="0"/>
    <n v="0"/>
    <n v="0"/>
    <n v="0"/>
    <m/>
    <n v="0"/>
    <n v="0"/>
    <m/>
    <m/>
    <s v="Transgender people"/>
    <s v="HIV"/>
    <x v="19"/>
  </r>
  <r>
    <n v="535"/>
    <x v="5"/>
    <x v="19"/>
    <x v="23"/>
    <x v="13"/>
    <m/>
    <m/>
    <m/>
    <m/>
    <m/>
    <m/>
    <m/>
    <m/>
    <m/>
    <s v="-"/>
    <n v="0"/>
    <s v="-"/>
    <n v="0"/>
    <s v="-"/>
    <n v="0"/>
    <s v="-"/>
    <n v="0"/>
    <m/>
    <n v="0"/>
    <m/>
    <m/>
    <m/>
    <m/>
    <n v="0"/>
    <m/>
    <n v="0"/>
    <m/>
    <n v="0"/>
    <m/>
    <n v="0"/>
    <m/>
    <n v="0"/>
    <m/>
    <m/>
    <m/>
    <m/>
    <n v="0"/>
    <m/>
    <n v="0"/>
    <m/>
    <n v="0"/>
    <m/>
    <n v="0"/>
    <m/>
    <n v="0"/>
    <m/>
    <m/>
    <m/>
    <m/>
    <n v="0"/>
    <n v="0"/>
    <n v="0"/>
    <n v="0"/>
    <n v="0"/>
    <n v="0"/>
    <n v="0"/>
    <n v="0"/>
    <n v="0"/>
    <m/>
    <n v="0"/>
    <n v="0"/>
    <m/>
    <m/>
    <s v="Transgender people"/>
    <s v="HIV"/>
    <x v="19"/>
  </r>
  <r>
    <n v="536"/>
    <x v="5"/>
    <x v="19"/>
    <x v="24"/>
    <x v="1"/>
    <m/>
    <m/>
    <m/>
    <m/>
    <m/>
    <m/>
    <m/>
    <m/>
    <m/>
    <s v="-"/>
    <n v="0"/>
    <s v="-"/>
    <n v="0"/>
    <s v="-"/>
    <n v="0"/>
    <s v="-"/>
    <n v="0"/>
    <m/>
    <n v="0"/>
    <m/>
    <m/>
    <m/>
    <m/>
    <n v="0"/>
    <m/>
    <n v="0"/>
    <m/>
    <n v="0"/>
    <m/>
    <n v="0"/>
    <m/>
    <n v="0"/>
    <m/>
    <m/>
    <m/>
    <m/>
    <n v="0"/>
    <m/>
    <n v="0"/>
    <m/>
    <n v="0"/>
    <m/>
    <n v="0"/>
    <m/>
    <n v="0"/>
    <m/>
    <m/>
    <m/>
    <m/>
    <n v="0"/>
    <n v="0"/>
    <n v="0"/>
    <n v="0"/>
    <n v="0"/>
    <n v="0"/>
    <n v="0"/>
    <n v="0"/>
    <n v="0"/>
    <m/>
    <n v="0"/>
    <n v="0"/>
    <m/>
    <m/>
    <s v="Transgender people"/>
    <s v="HIV"/>
    <x v="1"/>
  </r>
  <r>
    <n v="537"/>
    <x v="5"/>
    <x v="19"/>
    <x v="24"/>
    <x v="2"/>
    <m/>
    <m/>
    <m/>
    <m/>
    <m/>
    <m/>
    <m/>
    <m/>
    <m/>
    <s v="-"/>
    <n v="0"/>
    <s v="-"/>
    <n v="0"/>
    <s v="-"/>
    <n v="0"/>
    <s v="-"/>
    <n v="0"/>
    <m/>
    <n v="0"/>
    <m/>
    <m/>
    <m/>
    <m/>
    <n v="0"/>
    <m/>
    <n v="0"/>
    <m/>
    <n v="0"/>
    <m/>
    <n v="0"/>
    <m/>
    <n v="0"/>
    <m/>
    <m/>
    <m/>
    <m/>
    <n v="0"/>
    <m/>
    <n v="0"/>
    <m/>
    <n v="0"/>
    <m/>
    <n v="0"/>
    <m/>
    <n v="0"/>
    <m/>
    <m/>
    <m/>
    <m/>
    <n v="0"/>
    <n v="0"/>
    <n v="0"/>
    <n v="0"/>
    <n v="0"/>
    <n v="0"/>
    <n v="0"/>
    <n v="0"/>
    <n v="0"/>
    <m/>
    <n v="0"/>
    <n v="0"/>
    <m/>
    <m/>
    <s v="Transgender people"/>
    <s v="HIV"/>
    <x v="1"/>
  </r>
  <r>
    <n v="538"/>
    <x v="5"/>
    <x v="19"/>
    <x v="24"/>
    <x v="3"/>
    <m/>
    <m/>
    <m/>
    <m/>
    <m/>
    <m/>
    <m/>
    <m/>
    <m/>
    <s v="-"/>
    <n v="0"/>
    <s v="-"/>
    <n v="0"/>
    <s v="-"/>
    <n v="0"/>
    <s v="-"/>
    <n v="0"/>
    <m/>
    <n v="0"/>
    <m/>
    <m/>
    <m/>
    <m/>
    <n v="0"/>
    <m/>
    <n v="0"/>
    <m/>
    <n v="0"/>
    <m/>
    <n v="0"/>
    <m/>
    <n v="0"/>
    <m/>
    <m/>
    <m/>
    <m/>
    <n v="0"/>
    <m/>
    <n v="0"/>
    <m/>
    <n v="0"/>
    <m/>
    <n v="0"/>
    <m/>
    <n v="0"/>
    <m/>
    <m/>
    <m/>
    <m/>
    <n v="0"/>
    <n v="0"/>
    <n v="0"/>
    <n v="0"/>
    <n v="0"/>
    <n v="0"/>
    <n v="0"/>
    <n v="0"/>
    <n v="0"/>
    <m/>
    <n v="0"/>
    <n v="0"/>
    <m/>
    <m/>
    <s v="Transgender people"/>
    <s v="HIV"/>
    <x v="1"/>
  </r>
  <r>
    <n v="539"/>
    <x v="5"/>
    <x v="19"/>
    <x v="24"/>
    <x v="4"/>
    <m/>
    <m/>
    <m/>
    <m/>
    <m/>
    <m/>
    <m/>
    <m/>
    <m/>
    <s v="-"/>
    <n v="0"/>
    <s v="-"/>
    <n v="0"/>
    <s v="-"/>
    <n v="0"/>
    <s v="-"/>
    <n v="0"/>
    <m/>
    <n v="0"/>
    <m/>
    <m/>
    <m/>
    <m/>
    <n v="0"/>
    <m/>
    <n v="0"/>
    <m/>
    <n v="0"/>
    <m/>
    <n v="0"/>
    <m/>
    <n v="0"/>
    <m/>
    <m/>
    <m/>
    <m/>
    <n v="0"/>
    <m/>
    <n v="0"/>
    <m/>
    <n v="0"/>
    <m/>
    <n v="0"/>
    <m/>
    <n v="0"/>
    <m/>
    <m/>
    <m/>
    <m/>
    <n v="0"/>
    <n v="0"/>
    <n v="0"/>
    <n v="0"/>
    <n v="0"/>
    <n v="0"/>
    <n v="0"/>
    <n v="0"/>
    <n v="0"/>
    <m/>
    <n v="0"/>
    <n v="0"/>
    <m/>
    <m/>
    <s v="Transgender people"/>
    <s v="HIV"/>
    <x v="1"/>
  </r>
  <r>
    <n v="540"/>
    <x v="5"/>
    <x v="19"/>
    <x v="24"/>
    <x v="5"/>
    <m/>
    <m/>
    <m/>
    <m/>
    <m/>
    <m/>
    <m/>
    <m/>
    <m/>
    <s v="-"/>
    <n v="0"/>
    <s v="-"/>
    <n v="0"/>
    <s v="-"/>
    <n v="0"/>
    <s v="-"/>
    <n v="0"/>
    <m/>
    <n v="0"/>
    <m/>
    <m/>
    <m/>
    <m/>
    <n v="0"/>
    <m/>
    <n v="0"/>
    <m/>
    <n v="0"/>
    <m/>
    <n v="0"/>
    <m/>
    <n v="0"/>
    <m/>
    <m/>
    <m/>
    <m/>
    <n v="0"/>
    <m/>
    <n v="0"/>
    <m/>
    <n v="0"/>
    <m/>
    <n v="0"/>
    <m/>
    <n v="0"/>
    <m/>
    <m/>
    <m/>
    <m/>
    <n v="0"/>
    <n v="0"/>
    <n v="0"/>
    <n v="0"/>
    <n v="0"/>
    <n v="0"/>
    <n v="0"/>
    <n v="0"/>
    <n v="0"/>
    <m/>
    <n v="0"/>
    <n v="0"/>
    <m/>
    <m/>
    <s v="Transgender people"/>
    <s v="HIV"/>
    <x v="1"/>
  </r>
  <r>
    <n v="541"/>
    <x v="5"/>
    <x v="19"/>
    <x v="24"/>
    <x v="6"/>
    <m/>
    <m/>
    <m/>
    <m/>
    <m/>
    <m/>
    <m/>
    <m/>
    <m/>
    <s v="-"/>
    <n v="0"/>
    <s v="-"/>
    <n v="0"/>
    <s v="-"/>
    <n v="0"/>
    <s v="-"/>
    <n v="0"/>
    <m/>
    <n v="0"/>
    <m/>
    <m/>
    <m/>
    <m/>
    <n v="0"/>
    <m/>
    <n v="0"/>
    <m/>
    <n v="0"/>
    <m/>
    <n v="0"/>
    <m/>
    <n v="0"/>
    <m/>
    <m/>
    <m/>
    <m/>
    <n v="0"/>
    <m/>
    <n v="0"/>
    <m/>
    <n v="0"/>
    <m/>
    <n v="0"/>
    <m/>
    <n v="0"/>
    <m/>
    <m/>
    <m/>
    <m/>
    <n v="0"/>
    <n v="0"/>
    <n v="0"/>
    <n v="0"/>
    <n v="0"/>
    <n v="0"/>
    <n v="0"/>
    <n v="0"/>
    <n v="0"/>
    <m/>
    <n v="0"/>
    <n v="0"/>
    <m/>
    <m/>
    <s v="Transgender people"/>
    <s v="HIV"/>
    <x v="1"/>
  </r>
  <r>
    <n v="542"/>
    <x v="5"/>
    <x v="19"/>
    <x v="24"/>
    <x v="7"/>
    <m/>
    <m/>
    <m/>
    <m/>
    <m/>
    <m/>
    <m/>
    <e v="#DIV/0!"/>
    <m/>
    <s v="-"/>
    <n v="0"/>
    <s v="-"/>
    <n v="0"/>
    <s v="-"/>
    <n v="0"/>
    <s v="-"/>
    <n v="0"/>
    <m/>
    <n v="0"/>
    <m/>
    <m/>
    <m/>
    <m/>
    <n v="0"/>
    <m/>
    <n v="0"/>
    <m/>
    <n v="0"/>
    <m/>
    <n v="0"/>
    <m/>
    <n v="0"/>
    <m/>
    <m/>
    <m/>
    <m/>
    <n v="0"/>
    <m/>
    <n v="0"/>
    <m/>
    <n v="0"/>
    <m/>
    <n v="0"/>
    <m/>
    <n v="0"/>
    <m/>
    <m/>
    <m/>
    <m/>
    <n v="0"/>
    <n v="0"/>
    <n v="0"/>
    <n v="0"/>
    <n v="0"/>
    <n v="0"/>
    <n v="0"/>
    <n v="0"/>
    <n v="0"/>
    <m/>
    <n v="0"/>
    <n v="0"/>
    <m/>
    <m/>
    <s v="Transgender people"/>
    <s v="HIV"/>
    <x v="1"/>
  </r>
  <r>
    <n v="584"/>
    <x v="5"/>
    <x v="20"/>
    <x v="25"/>
    <x v="19"/>
    <m/>
    <m/>
    <m/>
    <m/>
    <m/>
    <m/>
    <m/>
    <m/>
    <m/>
    <s v="-"/>
    <n v="0"/>
    <s v="-"/>
    <n v="0"/>
    <s v="-"/>
    <n v="0"/>
    <s v="-"/>
    <n v="0"/>
    <m/>
    <n v="0"/>
    <m/>
    <m/>
    <m/>
    <m/>
    <n v="0"/>
    <m/>
    <n v="0"/>
    <m/>
    <n v="0"/>
    <m/>
    <n v="0"/>
    <m/>
    <n v="0"/>
    <m/>
    <m/>
    <m/>
    <m/>
    <n v="0"/>
    <m/>
    <n v="0"/>
    <m/>
    <n v="0"/>
    <m/>
    <n v="0"/>
    <m/>
    <n v="0"/>
    <m/>
    <m/>
    <m/>
    <m/>
    <n v="0"/>
    <n v="0"/>
    <n v="0"/>
    <n v="0"/>
    <n v="0"/>
    <n v="0"/>
    <n v="0"/>
    <n v="0"/>
    <n v="0"/>
    <m/>
    <n v="0"/>
    <n v="0"/>
    <m/>
    <m/>
    <s v="People who inject drugs and their partners"/>
    <s v="HIV"/>
    <x v="20"/>
  </r>
  <r>
    <n v="592"/>
    <x v="5"/>
    <x v="21"/>
    <x v="26"/>
    <x v="22"/>
    <m/>
    <m/>
    <m/>
    <m/>
    <m/>
    <m/>
    <m/>
    <e v="#DIV/0!"/>
    <m/>
    <s v="-"/>
    <n v="0"/>
    <s v="-"/>
    <n v="0"/>
    <s v="-"/>
    <n v="0"/>
    <s v="-"/>
    <n v="0"/>
    <m/>
    <n v="0"/>
    <m/>
    <m/>
    <m/>
    <m/>
    <n v="0"/>
    <m/>
    <n v="0"/>
    <m/>
    <n v="0"/>
    <m/>
    <n v="0"/>
    <m/>
    <n v="0"/>
    <m/>
    <m/>
    <m/>
    <m/>
    <n v="0"/>
    <m/>
    <n v="0"/>
    <m/>
    <n v="0"/>
    <m/>
    <n v="0"/>
    <m/>
    <n v="0"/>
    <m/>
    <m/>
    <m/>
    <m/>
    <n v="0"/>
    <n v="0"/>
    <n v="0"/>
    <n v="0"/>
    <n v="0"/>
    <n v="0"/>
    <n v="0"/>
    <n v="0"/>
    <n v="0"/>
    <m/>
    <n v="0"/>
    <n v="0"/>
    <m/>
    <m/>
    <s v="People who inject drugs and their partners"/>
    <s v="HIV"/>
    <x v="21"/>
  </r>
  <r>
    <n v="593"/>
    <x v="5"/>
    <x v="21"/>
    <x v="27"/>
    <x v="1"/>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4"/>
    <x v="5"/>
    <x v="21"/>
    <x v="27"/>
    <x v="2"/>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5"/>
    <x v="5"/>
    <x v="21"/>
    <x v="27"/>
    <x v="3"/>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6"/>
    <x v="5"/>
    <x v="21"/>
    <x v="27"/>
    <x v="4"/>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7"/>
    <x v="5"/>
    <x v="21"/>
    <x v="27"/>
    <x v="5"/>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8"/>
    <x v="5"/>
    <x v="21"/>
    <x v="27"/>
    <x v="6"/>
    <m/>
    <m/>
    <m/>
    <m/>
    <m/>
    <m/>
    <m/>
    <m/>
    <m/>
    <s v="-"/>
    <n v="0"/>
    <s v="-"/>
    <n v="0"/>
    <s v="-"/>
    <n v="0"/>
    <s v="-"/>
    <n v="0"/>
    <m/>
    <n v="0"/>
    <m/>
    <m/>
    <m/>
    <m/>
    <n v="0"/>
    <m/>
    <n v="0"/>
    <m/>
    <n v="0"/>
    <m/>
    <n v="0"/>
    <m/>
    <n v="0"/>
    <m/>
    <m/>
    <m/>
    <m/>
    <n v="0"/>
    <m/>
    <n v="0"/>
    <m/>
    <n v="0"/>
    <m/>
    <n v="0"/>
    <m/>
    <n v="0"/>
    <m/>
    <m/>
    <m/>
    <m/>
    <n v="0"/>
    <n v="0"/>
    <n v="0"/>
    <n v="0"/>
    <n v="0"/>
    <n v="0"/>
    <n v="0"/>
    <n v="0"/>
    <n v="0"/>
    <m/>
    <n v="0"/>
    <n v="0"/>
    <m/>
    <m/>
    <s v="People who inject drugs and their partners"/>
    <s v="HIV"/>
    <x v="1"/>
  </r>
  <r>
    <n v="599"/>
    <x v="5"/>
    <x v="21"/>
    <x v="27"/>
    <x v="7"/>
    <m/>
    <m/>
    <m/>
    <m/>
    <m/>
    <m/>
    <m/>
    <e v="#DIV/0!"/>
    <m/>
    <s v="-"/>
    <n v="0"/>
    <s v="-"/>
    <n v="0"/>
    <s v="-"/>
    <n v="0"/>
    <s v="-"/>
    <n v="0"/>
    <m/>
    <n v="0"/>
    <m/>
    <m/>
    <m/>
    <m/>
    <n v="0"/>
    <m/>
    <n v="0"/>
    <m/>
    <n v="0"/>
    <m/>
    <n v="0"/>
    <m/>
    <n v="0"/>
    <m/>
    <m/>
    <m/>
    <m/>
    <n v="0"/>
    <m/>
    <n v="0"/>
    <m/>
    <n v="0"/>
    <m/>
    <n v="0"/>
    <m/>
    <n v="0"/>
    <m/>
    <m/>
    <m/>
    <m/>
    <n v="0"/>
    <n v="0"/>
    <n v="0"/>
    <n v="0"/>
    <n v="0"/>
    <n v="0"/>
    <n v="0"/>
    <n v="0"/>
    <n v="0"/>
    <m/>
    <n v="0"/>
    <n v="0"/>
    <m/>
    <m/>
    <s v="People who inject drugs and their partners"/>
    <s v="HIV"/>
    <x v="1"/>
  </r>
  <r>
    <n v="608"/>
    <x v="5"/>
    <x v="19"/>
    <x v="28"/>
    <x v="20"/>
    <m/>
    <m/>
    <m/>
    <m/>
    <m/>
    <m/>
    <m/>
    <m/>
    <m/>
    <s v="-"/>
    <n v="0"/>
    <s v="-"/>
    <n v="0"/>
    <s v="-"/>
    <n v="0"/>
    <s v="-"/>
    <n v="0"/>
    <m/>
    <n v="0"/>
    <m/>
    <m/>
    <m/>
    <m/>
    <n v="0"/>
    <m/>
    <n v="0"/>
    <m/>
    <n v="0"/>
    <m/>
    <n v="0"/>
    <m/>
    <n v="0"/>
    <m/>
    <m/>
    <m/>
    <m/>
    <n v="0"/>
    <m/>
    <n v="0"/>
    <m/>
    <n v="0"/>
    <m/>
    <n v="0"/>
    <m/>
    <n v="0"/>
    <m/>
    <m/>
    <m/>
    <m/>
    <n v="0"/>
    <n v="0"/>
    <n v="0"/>
    <n v="0"/>
    <n v="0"/>
    <n v="0"/>
    <n v="0"/>
    <n v="0"/>
    <n v="0"/>
    <m/>
    <n v="0"/>
    <n v="0"/>
    <m/>
    <m/>
    <s v="People who inject drugs and their partners"/>
    <s v="HIV"/>
    <x v="19"/>
  </r>
  <r>
    <n v="609"/>
    <x v="5"/>
    <x v="19"/>
    <x v="28"/>
    <x v="21"/>
    <m/>
    <m/>
    <m/>
    <m/>
    <m/>
    <m/>
    <m/>
    <m/>
    <m/>
    <s v="-"/>
    <n v="0"/>
    <s v="-"/>
    <n v="0"/>
    <s v="-"/>
    <n v="0"/>
    <s v="-"/>
    <n v="0"/>
    <m/>
    <n v="0"/>
    <m/>
    <m/>
    <m/>
    <m/>
    <n v="0"/>
    <m/>
    <n v="0"/>
    <m/>
    <n v="0"/>
    <m/>
    <n v="0"/>
    <m/>
    <n v="0"/>
    <m/>
    <m/>
    <m/>
    <m/>
    <n v="0"/>
    <m/>
    <n v="0"/>
    <m/>
    <n v="0"/>
    <m/>
    <n v="0"/>
    <m/>
    <n v="0"/>
    <m/>
    <m/>
    <m/>
    <m/>
    <n v="0"/>
    <n v="0"/>
    <n v="0"/>
    <n v="0"/>
    <n v="0"/>
    <n v="0"/>
    <n v="0"/>
    <n v="0"/>
    <n v="0"/>
    <m/>
    <n v="0"/>
    <n v="0"/>
    <m/>
    <m/>
    <s v="People who inject drugs and their partners"/>
    <s v="HIV"/>
    <x v="19"/>
  </r>
  <r>
    <n v="610"/>
    <x v="5"/>
    <x v="19"/>
    <x v="28"/>
    <x v="13"/>
    <m/>
    <m/>
    <m/>
    <m/>
    <m/>
    <m/>
    <m/>
    <m/>
    <m/>
    <s v="-"/>
    <n v="0"/>
    <s v="-"/>
    <n v="0"/>
    <s v="-"/>
    <n v="0"/>
    <s v="-"/>
    <n v="0"/>
    <m/>
    <n v="0"/>
    <m/>
    <m/>
    <m/>
    <m/>
    <n v="0"/>
    <m/>
    <n v="0"/>
    <m/>
    <n v="0"/>
    <m/>
    <n v="0"/>
    <m/>
    <n v="0"/>
    <m/>
    <m/>
    <m/>
    <m/>
    <n v="0"/>
    <m/>
    <n v="0"/>
    <m/>
    <n v="0"/>
    <m/>
    <n v="0"/>
    <m/>
    <n v="0"/>
    <m/>
    <m/>
    <m/>
    <m/>
    <n v="0"/>
    <n v="0"/>
    <n v="0"/>
    <n v="0"/>
    <n v="0"/>
    <n v="0"/>
    <n v="0"/>
    <n v="0"/>
    <n v="0"/>
    <m/>
    <n v="0"/>
    <n v="0"/>
    <m/>
    <m/>
    <s v="People who inject drugs and their partners"/>
    <s v="HIV"/>
    <x v="19"/>
  </r>
  <r>
    <n v="611"/>
    <x v="5"/>
    <x v="19"/>
    <x v="27"/>
    <x v="1"/>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2"/>
    <x v="5"/>
    <x v="19"/>
    <x v="27"/>
    <x v="2"/>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3"/>
    <x v="5"/>
    <x v="19"/>
    <x v="27"/>
    <x v="3"/>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4"/>
    <x v="5"/>
    <x v="19"/>
    <x v="27"/>
    <x v="4"/>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5"/>
    <x v="5"/>
    <x v="19"/>
    <x v="27"/>
    <x v="5"/>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6"/>
    <x v="5"/>
    <x v="19"/>
    <x v="27"/>
    <x v="6"/>
    <m/>
    <m/>
    <m/>
    <m/>
    <m/>
    <m/>
    <m/>
    <m/>
    <m/>
    <s v="-"/>
    <n v="0"/>
    <s v="-"/>
    <n v="0"/>
    <s v="-"/>
    <n v="0"/>
    <s v="-"/>
    <n v="0"/>
    <m/>
    <n v="0"/>
    <m/>
    <m/>
    <m/>
    <m/>
    <n v="0"/>
    <m/>
    <n v="0"/>
    <m/>
    <n v="0"/>
    <m/>
    <n v="0"/>
    <m/>
    <n v="0"/>
    <m/>
    <m/>
    <m/>
    <m/>
    <n v="0"/>
    <m/>
    <n v="0"/>
    <m/>
    <n v="0"/>
    <m/>
    <n v="0"/>
    <m/>
    <n v="0"/>
    <m/>
    <m/>
    <m/>
    <m/>
    <n v="0"/>
    <n v="0"/>
    <n v="0"/>
    <n v="0"/>
    <n v="0"/>
    <n v="0"/>
    <n v="0"/>
    <n v="0"/>
    <n v="0"/>
    <m/>
    <n v="0"/>
    <n v="0"/>
    <m/>
    <m/>
    <s v="People who inject drugs and their partners"/>
    <s v="HIV"/>
    <x v="1"/>
  </r>
  <r>
    <n v="617"/>
    <x v="5"/>
    <x v="19"/>
    <x v="27"/>
    <x v="7"/>
    <m/>
    <m/>
    <m/>
    <m/>
    <m/>
    <m/>
    <m/>
    <m/>
    <m/>
    <s v="-"/>
    <n v="0"/>
    <s v="-"/>
    <n v="0"/>
    <s v="-"/>
    <n v="0"/>
    <s v="-"/>
    <n v="0"/>
    <m/>
    <n v="0"/>
    <m/>
    <m/>
    <m/>
    <m/>
    <n v="0"/>
    <m/>
    <n v="0"/>
    <m/>
    <n v="0"/>
    <m/>
    <n v="0"/>
    <m/>
    <n v="0"/>
    <m/>
    <m/>
    <m/>
    <m/>
    <n v="0"/>
    <m/>
    <n v="0"/>
    <m/>
    <n v="0"/>
    <m/>
    <n v="0"/>
    <m/>
    <n v="0"/>
    <m/>
    <m/>
    <m/>
    <m/>
    <n v="0"/>
    <n v="0"/>
    <n v="0"/>
    <n v="0"/>
    <n v="0"/>
    <n v="0"/>
    <n v="0"/>
    <n v="0"/>
    <n v="0"/>
    <m/>
    <n v="0"/>
    <n v="0"/>
    <m/>
    <m/>
    <s v="People who inject drugs and their partners"/>
    <s v="HIV"/>
    <x v="1"/>
  </r>
  <r>
    <n v="651"/>
    <x v="5"/>
    <x v="19"/>
    <x v="29"/>
    <x v="20"/>
    <m/>
    <m/>
    <m/>
    <m/>
    <m/>
    <m/>
    <m/>
    <m/>
    <m/>
    <s v="-"/>
    <n v="0"/>
    <s v="-"/>
    <n v="0"/>
    <s v="-"/>
    <n v="0"/>
    <s v="-"/>
    <n v="0"/>
    <m/>
    <n v="0"/>
    <m/>
    <m/>
    <m/>
    <m/>
    <n v="0"/>
    <m/>
    <n v="0"/>
    <m/>
    <n v="0"/>
    <m/>
    <n v="0"/>
    <m/>
    <n v="0"/>
    <m/>
    <m/>
    <m/>
    <m/>
    <n v="0"/>
    <m/>
    <n v="0"/>
    <m/>
    <n v="0"/>
    <m/>
    <n v="0"/>
    <m/>
    <n v="0"/>
    <m/>
    <m/>
    <m/>
    <m/>
    <n v="0"/>
    <n v="0"/>
    <n v="0"/>
    <n v="0"/>
    <n v="0"/>
    <n v="0"/>
    <n v="0"/>
    <n v="0"/>
    <n v="0"/>
    <m/>
    <n v="0"/>
    <n v="0"/>
    <m/>
    <m/>
    <s v="People in prisons and other closed settings"/>
    <s v="HIV"/>
    <x v="19"/>
  </r>
  <r>
    <n v="652"/>
    <x v="5"/>
    <x v="19"/>
    <x v="29"/>
    <x v="21"/>
    <m/>
    <m/>
    <m/>
    <m/>
    <m/>
    <m/>
    <m/>
    <m/>
    <m/>
    <s v="-"/>
    <n v="0"/>
    <s v="-"/>
    <n v="0"/>
    <s v="-"/>
    <n v="0"/>
    <s v="-"/>
    <n v="0"/>
    <m/>
    <n v="0"/>
    <m/>
    <m/>
    <m/>
    <m/>
    <n v="0"/>
    <m/>
    <n v="0"/>
    <m/>
    <n v="0"/>
    <m/>
    <n v="0"/>
    <m/>
    <n v="0"/>
    <m/>
    <m/>
    <m/>
    <m/>
    <n v="0"/>
    <m/>
    <n v="0"/>
    <m/>
    <n v="0"/>
    <m/>
    <n v="0"/>
    <m/>
    <n v="0"/>
    <m/>
    <m/>
    <m/>
    <m/>
    <n v="0"/>
    <n v="0"/>
    <n v="0"/>
    <n v="0"/>
    <n v="0"/>
    <n v="0"/>
    <n v="0"/>
    <n v="0"/>
    <n v="0"/>
    <m/>
    <n v="0"/>
    <n v="0"/>
    <m/>
    <m/>
    <s v="People in prisons and other closed settings"/>
    <s v="HIV"/>
    <x v="19"/>
  </r>
  <r>
    <n v="653"/>
    <x v="5"/>
    <x v="19"/>
    <x v="29"/>
    <x v="13"/>
    <m/>
    <m/>
    <m/>
    <m/>
    <m/>
    <m/>
    <m/>
    <m/>
    <m/>
    <s v="-"/>
    <n v="0"/>
    <s v="-"/>
    <n v="0"/>
    <s v="-"/>
    <n v="0"/>
    <s v="-"/>
    <n v="0"/>
    <m/>
    <n v="0"/>
    <m/>
    <m/>
    <m/>
    <m/>
    <n v="0"/>
    <m/>
    <n v="0"/>
    <m/>
    <n v="0"/>
    <m/>
    <n v="0"/>
    <m/>
    <n v="0"/>
    <m/>
    <m/>
    <m/>
    <m/>
    <n v="0"/>
    <m/>
    <n v="0"/>
    <m/>
    <n v="0"/>
    <m/>
    <n v="0"/>
    <m/>
    <n v="0"/>
    <m/>
    <m/>
    <m/>
    <m/>
    <n v="0"/>
    <n v="0"/>
    <n v="0"/>
    <n v="0"/>
    <n v="0"/>
    <n v="0"/>
    <n v="0"/>
    <n v="0"/>
    <n v="0"/>
    <m/>
    <n v="0"/>
    <n v="0"/>
    <m/>
    <m/>
    <s v="People in prisons and other closed settings"/>
    <s v="HIV"/>
    <x v="19"/>
  </r>
  <r>
    <n v="654"/>
    <x v="5"/>
    <x v="19"/>
    <x v="30"/>
    <x v="1"/>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5"/>
    <x v="5"/>
    <x v="19"/>
    <x v="30"/>
    <x v="2"/>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6"/>
    <x v="5"/>
    <x v="19"/>
    <x v="30"/>
    <x v="3"/>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7"/>
    <x v="5"/>
    <x v="19"/>
    <x v="30"/>
    <x v="4"/>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8"/>
    <x v="5"/>
    <x v="19"/>
    <x v="30"/>
    <x v="5"/>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59"/>
    <x v="5"/>
    <x v="19"/>
    <x v="30"/>
    <x v="6"/>
    <m/>
    <m/>
    <m/>
    <m/>
    <m/>
    <m/>
    <m/>
    <m/>
    <m/>
    <s v="-"/>
    <n v="0"/>
    <s v="-"/>
    <n v="0"/>
    <s v="-"/>
    <n v="0"/>
    <s v="-"/>
    <n v="0"/>
    <m/>
    <n v="0"/>
    <m/>
    <m/>
    <m/>
    <m/>
    <n v="0"/>
    <m/>
    <n v="0"/>
    <m/>
    <n v="0"/>
    <m/>
    <n v="0"/>
    <m/>
    <n v="0"/>
    <m/>
    <m/>
    <m/>
    <m/>
    <n v="0"/>
    <m/>
    <n v="0"/>
    <m/>
    <n v="0"/>
    <m/>
    <n v="0"/>
    <m/>
    <n v="0"/>
    <m/>
    <m/>
    <m/>
    <m/>
    <n v="0"/>
    <n v="0"/>
    <n v="0"/>
    <n v="0"/>
    <n v="0"/>
    <n v="0"/>
    <n v="0"/>
    <n v="0"/>
    <n v="0"/>
    <m/>
    <n v="0"/>
    <n v="0"/>
    <m/>
    <m/>
    <s v="People in prisons and other closed settings"/>
    <s v="HIV"/>
    <x v="1"/>
  </r>
  <r>
    <n v="660"/>
    <x v="5"/>
    <x v="19"/>
    <x v="30"/>
    <x v="7"/>
    <m/>
    <m/>
    <m/>
    <m/>
    <m/>
    <m/>
    <m/>
    <m/>
    <m/>
    <s v="-"/>
    <n v="0"/>
    <s v="-"/>
    <n v="0"/>
    <s v="-"/>
    <n v="0"/>
    <s v="-"/>
    <n v="0"/>
    <m/>
    <n v="0"/>
    <m/>
    <m/>
    <m/>
    <m/>
    <n v="0"/>
    <m/>
    <n v="0"/>
    <m/>
    <n v="0"/>
    <m/>
    <n v="0"/>
    <m/>
    <n v="0"/>
    <m/>
    <m/>
    <m/>
    <m/>
    <n v="0"/>
    <m/>
    <n v="0"/>
    <m/>
    <n v="0"/>
    <m/>
    <n v="0"/>
    <m/>
    <n v="0"/>
    <m/>
    <m/>
    <m/>
    <m/>
    <n v="0"/>
    <n v="0"/>
    <n v="0"/>
    <n v="0"/>
    <n v="0"/>
    <n v="0"/>
    <n v="0"/>
    <n v="0"/>
    <n v="0"/>
    <m/>
    <n v="0"/>
    <n v="0"/>
    <m/>
    <m/>
    <s v="People in prisons and other closed settings"/>
    <s v="HIV"/>
    <x v="1"/>
  </r>
  <r>
    <n v="704"/>
    <x v="5"/>
    <x v="19"/>
    <x v="31"/>
    <x v="20"/>
    <m/>
    <m/>
    <m/>
    <m/>
    <m/>
    <m/>
    <m/>
    <m/>
    <m/>
    <s v="-"/>
    <n v="0"/>
    <s v="-"/>
    <n v="0"/>
    <s v="-"/>
    <n v="0"/>
    <s v="-"/>
    <n v="0"/>
    <m/>
    <n v="0"/>
    <m/>
    <m/>
    <m/>
    <m/>
    <n v="0"/>
    <m/>
    <n v="0"/>
    <m/>
    <n v="0"/>
    <m/>
    <n v="0"/>
    <m/>
    <n v="0"/>
    <m/>
    <m/>
    <m/>
    <m/>
    <n v="0"/>
    <m/>
    <n v="0"/>
    <m/>
    <n v="0"/>
    <m/>
    <n v="0"/>
    <m/>
    <n v="0"/>
    <m/>
    <m/>
    <m/>
    <m/>
    <n v="0"/>
    <n v="0"/>
    <n v="0"/>
    <n v="0"/>
    <n v="0"/>
    <n v="0"/>
    <n v="0"/>
    <n v="0"/>
    <n v="0"/>
    <m/>
    <n v="0"/>
    <n v="0"/>
    <m/>
    <m/>
    <s v="Other vulnerable populations"/>
    <s v="HIV"/>
    <x v="19"/>
  </r>
  <r>
    <n v="705"/>
    <x v="5"/>
    <x v="19"/>
    <x v="31"/>
    <x v="21"/>
    <m/>
    <m/>
    <m/>
    <m/>
    <m/>
    <m/>
    <m/>
    <m/>
    <m/>
    <s v="-"/>
    <n v="0"/>
    <s v="-"/>
    <n v="0"/>
    <s v="-"/>
    <n v="0"/>
    <s v="-"/>
    <n v="0"/>
    <m/>
    <n v="0"/>
    <m/>
    <m/>
    <m/>
    <m/>
    <n v="0"/>
    <m/>
    <n v="0"/>
    <m/>
    <n v="0"/>
    <m/>
    <n v="0"/>
    <m/>
    <n v="0"/>
    <m/>
    <m/>
    <m/>
    <m/>
    <n v="0"/>
    <m/>
    <n v="0"/>
    <m/>
    <n v="0"/>
    <m/>
    <n v="0"/>
    <m/>
    <n v="0"/>
    <m/>
    <m/>
    <m/>
    <m/>
    <n v="0"/>
    <n v="0"/>
    <n v="0"/>
    <n v="0"/>
    <n v="0"/>
    <n v="0"/>
    <n v="0"/>
    <n v="0"/>
    <n v="0"/>
    <m/>
    <n v="0"/>
    <n v="0"/>
    <m/>
    <m/>
    <s v="Other vulnerable populations"/>
    <s v="HIV"/>
    <x v="19"/>
  </r>
  <r>
    <n v="706"/>
    <x v="5"/>
    <x v="19"/>
    <x v="31"/>
    <x v="13"/>
    <m/>
    <m/>
    <m/>
    <m/>
    <m/>
    <m/>
    <m/>
    <m/>
    <m/>
    <s v="-"/>
    <n v="0"/>
    <s v="-"/>
    <n v="0"/>
    <s v="-"/>
    <n v="0"/>
    <s v="-"/>
    <n v="0"/>
    <m/>
    <n v="0"/>
    <m/>
    <m/>
    <m/>
    <m/>
    <n v="0"/>
    <m/>
    <n v="0"/>
    <m/>
    <n v="0"/>
    <m/>
    <n v="0"/>
    <m/>
    <n v="0"/>
    <m/>
    <m/>
    <m/>
    <m/>
    <n v="0"/>
    <m/>
    <n v="0"/>
    <m/>
    <n v="0"/>
    <m/>
    <n v="0"/>
    <m/>
    <n v="0"/>
    <m/>
    <m/>
    <m/>
    <m/>
    <n v="0"/>
    <n v="0"/>
    <n v="0"/>
    <n v="0"/>
    <n v="0"/>
    <n v="0"/>
    <n v="0"/>
    <n v="0"/>
    <n v="0"/>
    <m/>
    <n v="0"/>
    <n v="0"/>
    <m/>
    <m/>
    <s v="Other vulnerable populations"/>
    <s v="HIV"/>
    <x v="19"/>
  </r>
  <r>
    <n v="707"/>
    <x v="5"/>
    <x v="19"/>
    <x v="32"/>
    <x v="1"/>
    <m/>
    <m/>
    <m/>
    <m/>
    <m/>
    <m/>
    <m/>
    <m/>
    <m/>
    <s v="-"/>
    <n v="0"/>
    <s v="-"/>
    <n v="0"/>
    <s v="-"/>
    <n v="0"/>
    <s v="-"/>
    <n v="0"/>
    <m/>
    <n v="0"/>
    <m/>
    <m/>
    <m/>
    <m/>
    <n v="0"/>
    <m/>
    <n v="0"/>
    <m/>
    <n v="0"/>
    <m/>
    <n v="0"/>
    <m/>
    <n v="0"/>
    <m/>
    <m/>
    <m/>
    <m/>
    <n v="0"/>
    <m/>
    <n v="0"/>
    <m/>
    <n v="0"/>
    <m/>
    <n v="0"/>
    <m/>
    <n v="0"/>
    <m/>
    <m/>
    <m/>
    <m/>
    <n v="0"/>
    <n v="0"/>
    <n v="0"/>
    <n v="0"/>
    <n v="0"/>
    <n v="0"/>
    <n v="0"/>
    <n v="0"/>
    <n v="0"/>
    <m/>
    <n v="0"/>
    <n v="0"/>
    <m/>
    <m/>
    <s v="Other vulnerable populations"/>
    <s v="HIV"/>
    <x v="1"/>
  </r>
  <r>
    <n v="708"/>
    <x v="5"/>
    <x v="19"/>
    <x v="32"/>
    <x v="2"/>
    <m/>
    <m/>
    <m/>
    <m/>
    <m/>
    <m/>
    <m/>
    <m/>
    <m/>
    <s v="-"/>
    <n v="0"/>
    <s v="-"/>
    <n v="0"/>
    <s v="-"/>
    <n v="0"/>
    <s v="-"/>
    <n v="0"/>
    <m/>
    <n v="0"/>
    <m/>
    <m/>
    <m/>
    <m/>
    <n v="0"/>
    <m/>
    <n v="0"/>
    <m/>
    <n v="0"/>
    <m/>
    <n v="0"/>
    <m/>
    <n v="0"/>
    <m/>
    <m/>
    <m/>
    <m/>
    <n v="0"/>
    <m/>
    <n v="0"/>
    <m/>
    <n v="0"/>
    <m/>
    <n v="0"/>
    <m/>
    <n v="0"/>
    <m/>
    <m/>
    <m/>
    <m/>
    <n v="0"/>
    <n v="0"/>
    <n v="0"/>
    <n v="0"/>
    <n v="0"/>
    <n v="0"/>
    <n v="0"/>
    <n v="0"/>
    <n v="0"/>
    <m/>
    <n v="0"/>
    <n v="0"/>
    <m/>
    <m/>
    <s v="Other vulnerable populations"/>
    <s v="HIV"/>
    <x v="1"/>
  </r>
  <r>
    <n v="709"/>
    <x v="5"/>
    <x v="19"/>
    <x v="32"/>
    <x v="3"/>
    <m/>
    <m/>
    <m/>
    <m/>
    <m/>
    <m/>
    <m/>
    <m/>
    <m/>
    <s v="-"/>
    <n v="0"/>
    <s v="-"/>
    <n v="0"/>
    <s v="-"/>
    <n v="0"/>
    <s v="-"/>
    <n v="0"/>
    <m/>
    <n v="0"/>
    <m/>
    <m/>
    <m/>
    <m/>
    <n v="0"/>
    <m/>
    <n v="0"/>
    <m/>
    <n v="0"/>
    <m/>
    <n v="0"/>
    <m/>
    <n v="0"/>
    <m/>
    <m/>
    <m/>
    <m/>
    <n v="0"/>
    <m/>
    <n v="0"/>
    <m/>
    <n v="0"/>
    <m/>
    <n v="0"/>
    <m/>
    <n v="0"/>
    <m/>
    <m/>
    <m/>
    <m/>
    <n v="0"/>
    <n v="0"/>
    <n v="0"/>
    <n v="0"/>
    <n v="0"/>
    <n v="0"/>
    <n v="0"/>
    <n v="0"/>
    <n v="0"/>
    <m/>
    <n v="0"/>
    <n v="0"/>
    <m/>
    <m/>
    <s v="Other vulnerable populations"/>
    <s v="HIV"/>
    <x v="1"/>
  </r>
  <r>
    <n v="710"/>
    <x v="5"/>
    <x v="19"/>
    <x v="32"/>
    <x v="4"/>
    <m/>
    <m/>
    <m/>
    <m/>
    <m/>
    <m/>
    <m/>
    <m/>
    <m/>
    <s v="-"/>
    <n v="0"/>
    <s v="-"/>
    <n v="0"/>
    <s v="-"/>
    <n v="0"/>
    <s v="-"/>
    <n v="0"/>
    <m/>
    <n v="0"/>
    <m/>
    <m/>
    <m/>
    <m/>
    <n v="0"/>
    <m/>
    <n v="0"/>
    <m/>
    <n v="0"/>
    <m/>
    <n v="0"/>
    <m/>
    <n v="0"/>
    <m/>
    <m/>
    <m/>
    <m/>
    <n v="0"/>
    <m/>
    <n v="0"/>
    <m/>
    <n v="0"/>
    <m/>
    <n v="0"/>
    <m/>
    <n v="0"/>
    <m/>
    <m/>
    <m/>
    <m/>
    <n v="0"/>
    <n v="0"/>
    <n v="0"/>
    <n v="0"/>
    <n v="0"/>
    <n v="0"/>
    <n v="0"/>
    <n v="0"/>
    <n v="0"/>
    <m/>
    <n v="0"/>
    <n v="0"/>
    <m/>
    <m/>
    <s v="Other vulnerable populations"/>
    <s v="HIV"/>
    <x v="1"/>
  </r>
  <r>
    <n v="711"/>
    <x v="5"/>
    <x v="19"/>
    <x v="32"/>
    <x v="5"/>
    <m/>
    <m/>
    <m/>
    <m/>
    <m/>
    <m/>
    <m/>
    <m/>
    <m/>
    <s v="-"/>
    <n v="0"/>
    <s v="-"/>
    <n v="0"/>
    <s v="-"/>
    <n v="0"/>
    <s v="-"/>
    <n v="0"/>
    <m/>
    <n v="0"/>
    <m/>
    <m/>
    <m/>
    <m/>
    <n v="0"/>
    <m/>
    <n v="0"/>
    <m/>
    <n v="0"/>
    <m/>
    <n v="0"/>
    <m/>
    <n v="0"/>
    <m/>
    <m/>
    <m/>
    <m/>
    <n v="0"/>
    <m/>
    <n v="0"/>
    <m/>
    <n v="0"/>
    <m/>
    <n v="0"/>
    <m/>
    <n v="0"/>
    <m/>
    <m/>
    <m/>
    <m/>
    <n v="0"/>
    <n v="0"/>
    <n v="0"/>
    <n v="0"/>
    <n v="0"/>
    <n v="0"/>
    <n v="0"/>
    <n v="0"/>
    <n v="0"/>
    <m/>
    <n v="0"/>
    <n v="0"/>
    <m/>
    <m/>
    <s v="Other vulnerable populations"/>
    <s v="HIV"/>
    <x v="1"/>
  </r>
  <r>
    <n v="712"/>
    <x v="5"/>
    <x v="19"/>
    <x v="32"/>
    <x v="6"/>
    <m/>
    <m/>
    <m/>
    <m/>
    <m/>
    <m/>
    <m/>
    <m/>
    <m/>
    <s v="-"/>
    <n v="0"/>
    <s v="-"/>
    <n v="0"/>
    <s v="-"/>
    <n v="0"/>
    <s v="-"/>
    <n v="0"/>
    <m/>
    <n v="0"/>
    <m/>
    <m/>
    <m/>
    <m/>
    <n v="0"/>
    <m/>
    <n v="0"/>
    <m/>
    <n v="0"/>
    <m/>
    <n v="0"/>
    <m/>
    <n v="0"/>
    <m/>
    <m/>
    <m/>
    <m/>
    <n v="0"/>
    <m/>
    <n v="0"/>
    <m/>
    <n v="0"/>
    <m/>
    <n v="0"/>
    <m/>
    <n v="0"/>
    <m/>
    <m/>
    <m/>
    <m/>
    <n v="0"/>
    <n v="0"/>
    <n v="0"/>
    <n v="0"/>
    <n v="0"/>
    <n v="0"/>
    <n v="0"/>
    <n v="0"/>
    <n v="0"/>
    <m/>
    <n v="0"/>
    <n v="0"/>
    <m/>
    <m/>
    <s v="Other vulnerable populations"/>
    <s v="HIV"/>
    <x v="1"/>
  </r>
  <r>
    <n v="713"/>
    <x v="5"/>
    <x v="19"/>
    <x v="32"/>
    <x v="7"/>
    <m/>
    <m/>
    <m/>
    <m/>
    <m/>
    <m/>
    <m/>
    <m/>
    <m/>
    <s v="-"/>
    <n v="0"/>
    <s v="-"/>
    <n v="0"/>
    <s v="-"/>
    <n v="0"/>
    <s v="-"/>
    <n v="0"/>
    <m/>
    <n v="0"/>
    <m/>
    <m/>
    <m/>
    <m/>
    <n v="0"/>
    <m/>
    <n v="0"/>
    <m/>
    <n v="0"/>
    <m/>
    <n v="0"/>
    <m/>
    <n v="0"/>
    <m/>
    <m/>
    <m/>
    <m/>
    <n v="0"/>
    <m/>
    <n v="0"/>
    <m/>
    <n v="0"/>
    <m/>
    <n v="0"/>
    <m/>
    <n v="0"/>
    <m/>
    <m/>
    <m/>
    <m/>
    <n v="0"/>
    <n v="0"/>
    <n v="0"/>
    <n v="0"/>
    <n v="0"/>
    <n v="0"/>
    <n v="0"/>
    <n v="0"/>
    <n v="0"/>
    <m/>
    <n v="0"/>
    <n v="0"/>
    <m/>
    <m/>
    <s v="Other vulnerable populations"/>
    <s v="HIV"/>
    <x v="1"/>
  </r>
  <r>
    <n v="727"/>
    <x v="5"/>
    <x v="19"/>
    <x v="33"/>
    <x v="20"/>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9"/>
  </r>
  <r>
    <n v="728"/>
    <x v="5"/>
    <x v="19"/>
    <x v="33"/>
    <x v="2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9"/>
  </r>
  <r>
    <n v="729"/>
    <x v="5"/>
    <x v="19"/>
    <x v="33"/>
    <x v="1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9"/>
  </r>
  <r>
    <n v="730"/>
    <x v="5"/>
    <x v="19"/>
    <x v="34"/>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1"/>
    <x v="5"/>
    <x v="19"/>
    <x v="34"/>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2"/>
    <x v="5"/>
    <x v="19"/>
    <x v="34"/>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3"/>
    <x v="5"/>
    <x v="19"/>
    <x v="34"/>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4"/>
    <x v="5"/>
    <x v="19"/>
    <x v="34"/>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5"/>
    <x v="5"/>
    <x v="19"/>
    <x v="34"/>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36"/>
    <x v="5"/>
    <x v="19"/>
    <x v="34"/>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769"/>
    <x v="5"/>
    <x v="19"/>
    <x v="35"/>
    <x v="20"/>
    <m/>
    <m/>
    <m/>
    <m/>
    <m/>
    <m/>
    <m/>
    <m/>
    <m/>
    <s v="-"/>
    <n v="0"/>
    <s v="-"/>
    <n v="0"/>
    <s v="-"/>
    <n v="0"/>
    <s v="-"/>
    <n v="0"/>
    <m/>
    <n v="0"/>
    <m/>
    <m/>
    <m/>
    <m/>
    <n v="0"/>
    <m/>
    <n v="0"/>
    <m/>
    <n v="0"/>
    <m/>
    <n v="0"/>
    <m/>
    <n v="0"/>
    <m/>
    <m/>
    <m/>
    <m/>
    <n v="0"/>
    <m/>
    <n v="0"/>
    <m/>
    <n v="0"/>
    <m/>
    <n v="0"/>
    <m/>
    <n v="0"/>
    <m/>
    <m/>
    <m/>
    <m/>
    <n v="0"/>
    <n v="0"/>
    <n v="0"/>
    <n v="0"/>
    <n v="0"/>
    <n v="0"/>
    <n v="0"/>
    <n v="0"/>
    <n v="0"/>
    <m/>
    <n v="0"/>
    <n v="0"/>
    <m/>
    <m/>
    <s v="Men in high prevalence settings"/>
    <s v="HIV"/>
    <x v="19"/>
  </r>
  <r>
    <n v="770"/>
    <x v="5"/>
    <x v="19"/>
    <x v="35"/>
    <x v="13"/>
    <m/>
    <m/>
    <m/>
    <m/>
    <m/>
    <m/>
    <m/>
    <m/>
    <m/>
    <s v="-"/>
    <n v="0"/>
    <s v="-"/>
    <n v="0"/>
    <s v="-"/>
    <n v="0"/>
    <s v="-"/>
    <n v="0"/>
    <m/>
    <n v="0"/>
    <m/>
    <m/>
    <m/>
    <m/>
    <n v="0"/>
    <m/>
    <n v="0"/>
    <m/>
    <n v="0"/>
    <m/>
    <n v="0"/>
    <m/>
    <n v="0"/>
    <m/>
    <m/>
    <m/>
    <m/>
    <n v="0"/>
    <m/>
    <n v="0"/>
    <m/>
    <n v="0"/>
    <m/>
    <n v="0"/>
    <m/>
    <n v="0"/>
    <m/>
    <m/>
    <m/>
    <m/>
    <n v="0"/>
    <n v="0"/>
    <n v="0"/>
    <n v="0"/>
    <n v="0"/>
    <n v="0"/>
    <n v="0"/>
    <n v="0"/>
    <n v="0"/>
    <m/>
    <n v="0"/>
    <n v="0"/>
    <m/>
    <m/>
    <s v="Men in high prevalence settings"/>
    <s v="HIV"/>
    <x v="19"/>
  </r>
  <r>
    <n v="771"/>
    <x v="5"/>
    <x v="19"/>
    <x v="36"/>
    <x v="1"/>
    <m/>
    <m/>
    <m/>
    <m/>
    <m/>
    <m/>
    <m/>
    <m/>
    <m/>
    <s v="-"/>
    <n v="0"/>
    <s v="-"/>
    <n v="0"/>
    <s v="-"/>
    <n v="0"/>
    <s v="-"/>
    <n v="0"/>
    <m/>
    <n v="0"/>
    <m/>
    <m/>
    <m/>
    <m/>
    <n v="0"/>
    <m/>
    <n v="0"/>
    <m/>
    <n v="0"/>
    <m/>
    <n v="0"/>
    <m/>
    <n v="0"/>
    <m/>
    <m/>
    <m/>
    <m/>
    <n v="0"/>
    <m/>
    <n v="0"/>
    <m/>
    <n v="0"/>
    <m/>
    <n v="0"/>
    <m/>
    <n v="0"/>
    <m/>
    <m/>
    <m/>
    <m/>
    <n v="0"/>
    <n v="0"/>
    <n v="0"/>
    <n v="0"/>
    <n v="0"/>
    <n v="0"/>
    <n v="0"/>
    <n v="0"/>
    <n v="0"/>
    <m/>
    <n v="0"/>
    <n v="0"/>
    <m/>
    <m/>
    <s v="Men in high prevalence settings"/>
    <s v="HIV"/>
    <x v="1"/>
  </r>
  <r>
    <n v="772"/>
    <x v="5"/>
    <x v="19"/>
    <x v="36"/>
    <x v="2"/>
    <m/>
    <m/>
    <m/>
    <m/>
    <m/>
    <m/>
    <m/>
    <m/>
    <m/>
    <s v="-"/>
    <n v="0"/>
    <s v="-"/>
    <n v="0"/>
    <s v="-"/>
    <n v="0"/>
    <s v="-"/>
    <n v="0"/>
    <m/>
    <n v="0"/>
    <m/>
    <m/>
    <m/>
    <m/>
    <n v="0"/>
    <m/>
    <n v="0"/>
    <m/>
    <n v="0"/>
    <m/>
    <n v="0"/>
    <m/>
    <n v="0"/>
    <m/>
    <m/>
    <m/>
    <m/>
    <n v="0"/>
    <m/>
    <n v="0"/>
    <m/>
    <n v="0"/>
    <m/>
    <n v="0"/>
    <m/>
    <n v="0"/>
    <m/>
    <m/>
    <m/>
    <m/>
    <n v="0"/>
    <n v="0"/>
    <n v="0"/>
    <n v="0"/>
    <n v="0"/>
    <n v="0"/>
    <n v="0"/>
    <n v="0"/>
    <n v="0"/>
    <m/>
    <n v="0"/>
    <n v="0"/>
    <m/>
    <m/>
    <s v="Men in high prevalence settings"/>
    <s v="HIV"/>
    <x v="1"/>
  </r>
  <r>
    <n v="773"/>
    <x v="5"/>
    <x v="19"/>
    <x v="36"/>
    <x v="3"/>
    <m/>
    <m/>
    <m/>
    <m/>
    <m/>
    <m/>
    <m/>
    <m/>
    <m/>
    <s v="-"/>
    <n v="0"/>
    <s v="-"/>
    <n v="0"/>
    <s v="-"/>
    <n v="0"/>
    <s v="-"/>
    <n v="0"/>
    <m/>
    <n v="0"/>
    <m/>
    <m/>
    <m/>
    <m/>
    <n v="0"/>
    <m/>
    <n v="0"/>
    <m/>
    <n v="0"/>
    <m/>
    <n v="0"/>
    <m/>
    <n v="0"/>
    <m/>
    <m/>
    <m/>
    <m/>
    <n v="0"/>
    <m/>
    <n v="0"/>
    <m/>
    <n v="0"/>
    <m/>
    <n v="0"/>
    <m/>
    <n v="0"/>
    <m/>
    <m/>
    <m/>
    <m/>
    <n v="0"/>
    <n v="0"/>
    <n v="0"/>
    <n v="0"/>
    <n v="0"/>
    <n v="0"/>
    <n v="0"/>
    <n v="0"/>
    <n v="0"/>
    <m/>
    <n v="0"/>
    <n v="0"/>
    <m/>
    <m/>
    <s v="Men in high prevalence settings"/>
    <s v="HIV"/>
    <x v="1"/>
  </r>
  <r>
    <n v="774"/>
    <x v="5"/>
    <x v="19"/>
    <x v="36"/>
    <x v="4"/>
    <m/>
    <m/>
    <m/>
    <m/>
    <m/>
    <m/>
    <m/>
    <m/>
    <m/>
    <s v="-"/>
    <n v="0"/>
    <s v="-"/>
    <n v="0"/>
    <s v="-"/>
    <n v="0"/>
    <s v="-"/>
    <n v="0"/>
    <m/>
    <n v="0"/>
    <m/>
    <m/>
    <m/>
    <m/>
    <n v="0"/>
    <m/>
    <n v="0"/>
    <m/>
    <n v="0"/>
    <m/>
    <n v="0"/>
    <m/>
    <n v="0"/>
    <m/>
    <m/>
    <m/>
    <m/>
    <n v="0"/>
    <m/>
    <n v="0"/>
    <m/>
    <n v="0"/>
    <m/>
    <n v="0"/>
    <m/>
    <n v="0"/>
    <m/>
    <m/>
    <m/>
    <m/>
    <n v="0"/>
    <n v="0"/>
    <n v="0"/>
    <n v="0"/>
    <n v="0"/>
    <n v="0"/>
    <n v="0"/>
    <n v="0"/>
    <n v="0"/>
    <m/>
    <n v="0"/>
    <n v="0"/>
    <m/>
    <m/>
    <s v="Men in high prevalence settings"/>
    <s v="HIV"/>
    <x v="1"/>
  </r>
  <r>
    <n v="775"/>
    <x v="5"/>
    <x v="19"/>
    <x v="36"/>
    <x v="5"/>
    <m/>
    <m/>
    <m/>
    <m/>
    <m/>
    <m/>
    <m/>
    <m/>
    <m/>
    <s v="-"/>
    <n v="0"/>
    <s v="-"/>
    <n v="0"/>
    <s v="-"/>
    <n v="0"/>
    <s v="-"/>
    <n v="0"/>
    <m/>
    <n v="0"/>
    <m/>
    <m/>
    <m/>
    <m/>
    <n v="0"/>
    <m/>
    <n v="0"/>
    <m/>
    <n v="0"/>
    <m/>
    <n v="0"/>
    <m/>
    <n v="0"/>
    <m/>
    <m/>
    <m/>
    <m/>
    <n v="0"/>
    <m/>
    <n v="0"/>
    <m/>
    <n v="0"/>
    <m/>
    <n v="0"/>
    <m/>
    <n v="0"/>
    <m/>
    <m/>
    <m/>
    <m/>
    <n v="0"/>
    <n v="0"/>
    <n v="0"/>
    <n v="0"/>
    <n v="0"/>
    <n v="0"/>
    <n v="0"/>
    <n v="0"/>
    <n v="0"/>
    <m/>
    <n v="0"/>
    <n v="0"/>
    <m/>
    <m/>
    <s v="Men in high prevalence settings"/>
    <s v="HIV"/>
    <x v="1"/>
  </r>
  <r>
    <n v="776"/>
    <x v="5"/>
    <x v="19"/>
    <x v="36"/>
    <x v="6"/>
    <m/>
    <m/>
    <m/>
    <m/>
    <m/>
    <m/>
    <m/>
    <m/>
    <m/>
    <s v="-"/>
    <n v="0"/>
    <s v="-"/>
    <n v="0"/>
    <s v="-"/>
    <n v="0"/>
    <s v="-"/>
    <n v="0"/>
    <m/>
    <n v="0"/>
    <m/>
    <m/>
    <m/>
    <m/>
    <n v="0"/>
    <m/>
    <n v="0"/>
    <m/>
    <n v="0"/>
    <m/>
    <n v="0"/>
    <m/>
    <n v="0"/>
    <m/>
    <m/>
    <m/>
    <m/>
    <n v="0"/>
    <m/>
    <n v="0"/>
    <m/>
    <n v="0"/>
    <m/>
    <n v="0"/>
    <m/>
    <n v="0"/>
    <m/>
    <m/>
    <m/>
    <m/>
    <n v="0"/>
    <n v="0"/>
    <n v="0"/>
    <n v="0"/>
    <n v="0"/>
    <n v="0"/>
    <n v="0"/>
    <n v="0"/>
    <n v="0"/>
    <m/>
    <n v="0"/>
    <n v="0"/>
    <m/>
    <m/>
    <s v="Men in high prevalence settings"/>
    <s v="HIV"/>
    <x v="1"/>
  </r>
  <r>
    <n v="777"/>
    <x v="5"/>
    <x v="19"/>
    <x v="36"/>
    <x v="7"/>
    <m/>
    <m/>
    <m/>
    <m/>
    <m/>
    <m/>
    <m/>
    <m/>
    <m/>
    <s v="-"/>
    <n v="0"/>
    <s v="-"/>
    <n v="0"/>
    <s v="-"/>
    <n v="0"/>
    <s v="-"/>
    <n v="0"/>
    <m/>
    <n v="0"/>
    <m/>
    <m/>
    <m/>
    <m/>
    <n v="0"/>
    <m/>
    <n v="0"/>
    <m/>
    <n v="0"/>
    <m/>
    <n v="0"/>
    <m/>
    <n v="0"/>
    <m/>
    <m/>
    <m/>
    <m/>
    <n v="0"/>
    <m/>
    <n v="0"/>
    <m/>
    <n v="0"/>
    <m/>
    <n v="0"/>
    <m/>
    <n v="0"/>
    <m/>
    <m/>
    <m/>
    <m/>
    <n v="0"/>
    <n v="0"/>
    <n v="0"/>
    <n v="0"/>
    <n v="0"/>
    <n v="0"/>
    <n v="0"/>
    <n v="0"/>
    <n v="0"/>
    <m/>
    <n v="0"/>
    <n v="0"/>
    <m/>
    <m/>
    <s v="Men in high prevalence settings"/>
    <s v="HIV"/>
    <x v="1"/>
  </r>
  <r>
    <n v="799"/>
    <x v="5"/>
    <x v="22"/>
    <x v="37"/>
    <x v="20"/>
    <m/>
    <m/>
    <m/>
    <m/>
    <m/>
    <m/>
    <m/>
    <m/>
    <m/>
    <s v="-"/>
    <n v="0"/>
    <s v="-"/>
    <n v="0"/>
    <s v="-"/>
    <n v="0"/>
    <s v="-"/>
    <n v="0"/>
    <m/>
    <n v="0"/>
    <m/>
    <m/>
    <m/>
    <m/>
    <n v="0"/>
    <m/>
    <n v="0"/>
    <m/>
    <n v="0"/>
    <m/>
    <n v="0"/>
    <m/>
    <n v="0"/>
    <m/>
    <m/>
    <m/>
    <m/>
    <n v="0"/>
    <m/>
    <n v="0"/>
    <m/>
    <n v="0"/>
    <m/>
    <n v="0"/>
    <m/>
    <n v="0"/>
    <m/>
    <m/>
    <m/>
    <m/>
    <n v="0"/>
    <n v="0"/>
    <n v="0"/>
    <n v="0"/>
    <n v="0"/>
    <n v="0"/>
    <n v="0"/>
    <n v="0"/>
    <n v="0"/>
    <m/>
    <n v="0"/>
    <n v="0"/>
    <m/>
    <m/>
    <s v="Non-specified population groups"/>
    <s v="HIV"/>
    <x v="19"/>
  </r>
  <r>
    <n v="800"/>
    <x v="5"/>
    <x v="22"/>
    <x v="37"/>
    <x v="21"/>
    <m/>
    <m/>
    <m/>
    <m/>
    <m/>
    <m/>
    <m/>
    <m/>
    <m/>
    <s v="-"/>
    <n v="0"/>
    <s v="-"/>
    <n v="0"/>
    <s v="-"/>
    <n v="0"/>
    <s v="-"/>
    <n v="0"/>
    <m/>
    <n v="0"/>
    <m/>
    <m/>
    <m/>
    <m/>
    <n v="0"/>
    <m/>
    <n v="0"/>
    <m/>
    <n v="0"/>
    <m/>
    <n v="0"/>
    <m/>
    <n v="0"/>
    <m/>
    <m/>
    <m/>
    <m/>
    <n v="0"/>
    <m/>
    <n v="0"/>
    <m/>
    <n v="0"/>
    <m/>
    <n v="0"/>
    <m/>
    <n v="0"/>
    <m/>
    <m/>
    <m/>
    <m/>
    <n v="0"/>
    <n v="0"/>
    <n v="0"/>
    <n v="0"/>
    <n v="0"/>
    <n v="0"/>
    <n v="0"/>
    <n v="0"/>
    <n v="0"/>
    <m/>
    <n v="0"/>
    <n v="0"/>
    <m/>
    <m/>
    <s v="Non-specified population groups"/>
    <s v="HIV"/>
    <x v="19"/>
  </r>
  <r>
    <n v="801"/>
    <x v="5"/>
    <x v="22"/>
    <x v="37"/>
    <x v="13"/>
    <m/>
    <m/>
    <m/>
    <m/>
    <m/>
    <m/>
    <m/>
    <m/>
    <m/>
    <s v="-"/>
    <n v="0"/>
    <s v="-"/>
    <n v="0"/>
    <s v="-"/>
    <n v="0"/>
    <s v="-"/>
    <n v="0"/>
    <m/>
    <n v="0"/>
    <m/>
    <m/>
    <m/>
    <m/>
    <n v="0"/>
    <m/>
    <n v="0"/>
    <m/>
    <n v="0"/>
    <m/>
    <n v="0"/>
    <m/>
    <n v="0"/>
    <m/>
    <m/>
    <m/>
    <m/>
    <n v="0"/>
    <m/>
    <n v="0"/>
    <m/>
    <n v="0"/>
    <m/>
    <n v="0"/>
    <m/>
    <n v="0"/>
    <m/>
    <m/>
    <m/>
    <m/>
    <n v="0"/>
    <n v="0"/>
    <n v="0"/>
    <n v="0"/>
    <n v="0"/>
    <n v="0"/>
    <n v="0"/>
    <n v="0"/>
    <n v="0"/>
    <m/>
    <n v="0"/>
    <n v="0"/>
    <m/>
    <m/>
    <s v="Non-specified population groups"/>
    <s v="HIV"/>
    <x v="19"/>
  </r>
  <r>
    <n v="802"/>
    <x v="5"/>
    <x v="22"/>
    <x v="38"/>
    <x v="1"/>
    <m/>
    <m/>
    <m/>
    <m/>
    <m/>
    <m/>
    <m/>
    <m/>
    <m/>
    <s v="-"/>
    <n v="0"/>
    <s v="-"/>
    <n v="0"/>
    <s v="-"/>
    <n v="0"/>
    <s v="-"/>
    <n v="0"/>
    <m/>
    <n v="0"/>
    <m/>
    <m/>
    <m/>
    <m/>
    <n v="0"/>
    <m/>
    <n v="0"/>
    <m/>
    <n v="0"/>
    <m/>
    <n v="0"/>
    <m/>
    <n v="0"/>
    <m/>
    <m/>
    <m/>
    <m/>
    <n v="0"/>
    <m/>
    <n v="0"/>
    <m/>
    <n v="0"/>
    <m/>
    <n v="0"/>
    <m/>
    <n v="0"/>
    <m/>
    <m/>
    <m/>
    <m/>
    <n v="0"/>
    <n v="0"/>
    <n v="0"/>
    <n v="0"/>
    <n v="0"/>
    <n v="0"/>
    <n v="0"/>
    <n v="0"/>
    <n v="0"/>
    <m/>
    <n v="0"/>
    <n v="0"/>
    <m/>
    <m/>
    <s v="Non-specified population groups"/>
    <s v="HIV"/>
    <x v="1"/>
  </r>
  <r>
    <n v="803"/>
    <x v="5"/>
    <x v="22"/>
    <x v="38"/>
    <x v="2"/>
    <m/>
    <m/>
    <m/>
    <m/>
    <m/>
    <m/>
    <m/>
    <m/>
    <m/>
    <s v="-"/>
    <n v="0"/>
    <s v="-"/>
    <n v="0"/>
    <s v="-"/>
    <n v="0"/>
    <s v="-"/>
    <n v="0"/>
    <m/>
    <n v="0"/>
    <m/>
    <m/>
    <m/>
    <m/>
    <n v="0"/>
    <m/>
    <n v="0"/>
    <m/>
    <n v="0"/>
    <m/>
    <n v="0"/>
    <m/>
    <n v="0"/>
    <m/>
    <m/>
    <m/>
    <m/>
    <n v="0"/>
    <m/>
    <n v="0"/>
    <m/>
    <n v="0"/>
    <m/>
    <n v="0"/>
    <m/>
    <n v="0"/>
    <m/>
    <m/>
    <m/>
    <m/>
    <n v="0"/>
    <n v="0"/>
    <n v="0"/>
    <n v="0"/>
    <n v="0"/>
    <n v="0"/>
    <n v="0"/>
    <n v="0"/>
    <n v="0"/>
    <m/>
    <n v="0"/>
    <n v="0"/>
    <m/>
    <m/>
    <s v="Non-specified population groups"/>
    <s v="HIV"/>
    <x v="1"/>
  </r>
  <r>
    <n v="804"/>
    <x v="5"/>
    <x v="22"/>
    <x v="38"/>
    <x v="3"/>
    <m/>
    <m/>
    <m/>
    <m/>
    <m/>
    <m/>
    <m/>
    <m/>
    <m/>
    <s v="-"/>
    <n v="0"/>
    <s v="-"/>
    <n v="0"/>
    <s v="-"/>
    <n v="0"/>
    <s v="-"/>
    <n v="0"/>
    <m/>
    <n v="0"/>
    <m/>
    <m/>
    <m/>
    <m/>
    <n v="0"/>
    <m/>
    <n v="0"/>
    <m/>
    <n v="0"/>
    <m/>
    <n v="0"/>
    <m/>
    <n v="0"/>
    <m/>
    <m/>
    <m/>
    <m/>
    <n v="0"/>
    <m/>
    <n v="0"/>
    <m/>
    <n v="0"/>
    <m/>
    <n v="0"/>
    <m/>
    <n v="0"/>
    <m/>
    <m/>
    <m/>
    <m/>
    <n v="0"/>
    <n v="0"/>
    <n v="0"/>
    <n v="0"/>
    <n v="0"/>
    <n v="0"/>
    <n v="0"/>
    <n v="0"/>
    <n v="0"/>
    <m/>
    <n v="0"/>
    <n v="0"/>
    <m/>
    <m/>
    <s v="Non-specified population groups"/>
    <s v="HIV"/>
    <x v="1"/>
  </r>
  <r>
    <n v="805"/>
    <x v="5"/>
    <x v="22"/>
    <x v="38"/>
    <x v="4"/>
    <m/>
    <m/>
    <m/>
    <m/>
    <m/>
    <m/>
    <m/>
    <m/>
    <m/>
    <s v="-"/>
    <n v="0"/>
    <s v="-"/>
    <n v="0"/>
    <s v="-"/>
    <n v="0"/>
    <s v="-"/>
    <n v="0"/>
    <m/>
    <n v="0"/>
    <m/>
    <m/>
    <m/>
    <m/>
    <n v="0"/>
    <m/>
    <n v="0"/>
    <m/>
    <n v="0"/>
    <m/>
    <n v="0"/>
    <m/>
    <n v="0"/>
    <m/>
    <m/>
    <m/>
    <m/>
    <n v="0"/>
    <m/>
    <n v="0"/>
    <m/>
    <n v="0"/>
    <m/>
    <n v="0"/>
    <m/>
    <n v="0"/>
    <m/>
    <m/>
    <m/>
    <m/>
    <n v="0"/>
    <n v="0"/>
    <n v="0"/>
    <n v="0"/>
    <n v="0"/>
    <n v="0"/>
    <n v="0"/>
    <n v="0"/>
    <n v="0"/>
    <m/>
    <n v="0"/>
    <n v="0"/>
    <m/>
    <m/>
    <s v="Non-specified population groups"/>
    <s v="HIV"/>
    <x v="1"/>
  </r>
  <r>
    <n v="806"/>
    <x v="5"/>
    <x v="22"/>
    <x v="38"/>
    <x v="5"/>
    <m/>
    <m/>
    <m/>
    <m/>
    <m/>
    <m/>
    <m/>
    <m/>
    <m/>
    <s v="-"/>
    <n v="0"/>
    <s v="-"/>
    <n v="0"/>
    <s v="-"/>
    <n v="0"/>
    <s v="-"/>
    <n v="0"/>
    <m/>
    <n v="0"/>
    <m/>
    <m/>
    <m/>
    <m/>
    <n v="0"/>
    <m/>
    <n v="0"/>
    <m/>
    <n v="0"/>
    <m/>
    <n v="0"/>
    <m/>
    <n v="0"/>
    <m/>
    <m/>
    <m/>
    <m/>
    <n v="0"/>
    <m/>
    <n v="0"/>
    <m/>
    <n v="0"/>
    <m/>
    <n v="0"/>
    <m/>
    <n v="0"/>
    <m/>
    <m/>
    <m/>
    <m/>
    <n v="0"/>
    <n v="0"/>
    <n v="0"/>
    <n v="0"/>
    <n v="0"/>
    <n v="0"/>
    <n v="0"/>
    <n v="0"/>
    <n v="0"/>
    <m/>
    <n v="0"/>
    <n v="0"/>
    <m/>
    <m/>
    <s v="Non-specified population groups"/>
    <s v="HIV"/>
    <x v="1"/>
  </r>
  <r>
    <n v="807"/>
    <x v="5"/>
    <x v="22"/>
    <x v="38"/>
    <x v="6"/>
    <m/>
    <m/>
    <m/>
    <m/>
    <m/>
    <m/>
    <m/>
    <m/>
    <m/>
    <s v="-"/>
    <n v="0"/>
    <s v="-"/>
    <n v="0"/>
    <s v="-"/>
    <n v="0"/>
    <s v="-"/>
    <n v="0"/>
    <m/>
    <n v="0"/>
    <m/>
    <m/>
    <m/>
    <m/>
    <n v="0"/>
    <m/>
    <n v="0"/>
    <m/>
    <n v="0"/>
    <m/>
    <n v="0"/>
    <m/>
    <n v="0"/>
    <m/>
    <m/>
    <m/>
    <m/>
    <n v="0"/>
    <m/>
    <n v="0"/>
    <m/>
    <n v="0"/>
    <m/>
    <n v="0"/>
    <m/>
    <n v="0"/>
    <m/>
    <m/>
    <m/>
    <m/>
    <n v="0"/>
    <n v="0"/>
    <n v="0"/>
    <n v="0"/>
    <n v="0"/>
    <n v="0"/>
    <n v="0"/>
    <n v="0"/>
    <n v="0"/>
    <m/>
    <n v="0"/>
    <n v="0"/>
    <m/>
    <m/>
    <s v="Non-specified population groups"/>
    <s v="HIV"/>
    <x v="1"/>
  </r>
  <r>
    <n v="808"/>
    <x v="5"/>
    <x v="22"/>
    <x v="38"/>
    <x v="7"/>
    <m/>
    <m/>
    <m/>
    <m/>
    <m/>
    <m/>
    <m/>
    <m/>
    <m/>
    <s v="-"/>
    <n v="0"/>
    <s v="-"/>
    <n v="0"/>
    <s v="-"/>
    <n v="0"/>
    <s v="-"/>
    <n v="0"/>
    <m/>
    <n v="0"/>
    <m/>
    <m/>
    <m/>
    <m/>
    <n v="0"/>
    <m/>
    <n v="0"/>
    <m/>
    <n v="0"/>
    <m/>
    <n v="0"/>
    <m/>
    <n v="0"/>
    <m/>
    <m/>
    <m/>
    <m/>
    <n v="0"/>
    <m/>
    <n v="0"/>
    <m/>
    <n v="0"/>
    <m/>
    <n v="0"/>
    <m/>
    <n v="0"/>
    <m/>
    <m/>
    <m/>
    <m/>
    <n v="0"/>
    <n v="0"/>
    <n v="0"/>
    <n v="0"/>
    <n v="0"/>
    <n v="0"/>
    <n v="0"/>
    <n v="0"/>
    <n v="0"/>
    <m/>
    <n v="0"/>
    <n v="0"/>
    <m/>
    <m/>
    <s v="Non-specified population groups"/>
    <s v="HIV"/>
    <x v="1"/>
  </r>
  <r>
    <n v="810"/>
    <x v="6"/>
    <x v="23"/>
    <x v="39"/>
    <x v="20"/>
    <m/>
    <m/>
    <m/>
    <m/>
    <m/>
    <m/>
    <m/>
    <m/>
    <m/>
    <s v="-"/>
    <n v="0"/>
    <s v="-"/>
    <n v="0"/>
    <s v="-"/>
    <n v="0"/>
    <s v="-"/>
    <n v="0"/>
    <m/>
    <n v="0"/>
    <m/>
    <m/>
    <m/>
    <m/>
    <n v="0"/>
    <m/>
    <n v="0"/>
    <m/>
    <n v="0"/>
    <m/>
    <n v="0"/>
    <m/>
    <n v="0"/>
    <m/>
    <m/>
    <m/>
    <m/>
    <n v="0"/>
    <m/>
    <n v="0"/>
    <m/>
    <n v="0"/>
    <m/>
    <n v="0"/>
    <m/>
    <n v="0"/>
    <m/>
    <m/>
    <m/>
    <m/>
    <n v="0"/>
    <n v="0"/>
    <n v="0"/>
    <n v="0"/>
    <n v="0"/>
    <n v="0"/>
    <n v="0"/>
    <n v="0"/>
    <n v="0"/>
    <m/>
    <n v="0"/>
    <n v="0"/>
    <m/>
    <m/>
    <s v="PMTCT"/>
    <s v="HIV"/>
    <x v="19"/>
  </r>
  <r>
    <n v="811"/>
    <x v="6"/>
    <x v="23"/>
    <x v="39"/>
    <x v="21"/>
    <m/>
    <m/>
    <m/>
    <m/>
    <m/>
    <m/>
    <m/>
    <m/>
    <m/>
    <s v="-"/>
    <n v="0"/>
    <s v="-"/>
    <n v="0"/>
    <s v="-"/>
    <n v="0"/>
    <s v="-"/>
    <n v="0"/>
    <m/>
    <n v="0"/>
    <m/>
    <m/>
    <m/>
    <m/>
    <n v="0"/>
    <m/>
    <n v="0"/>
    <m/>
    <n v="0"/>
    <m/>
    <n v="0"/>
    <m/>
    <n v="0"/>
    <m/>
    <m/>
    <m/>
    <m/>
    <n v="0"/>
    <m/>
    <n v="0"/>
    <m/>
    <n v="0"/>
    <m/>
    <n v="0"/>
    <m/>
    <n v="0"/>
    <m/>
    <m/>
    <m/>
    <m/>
    <n v="0"/>
    <n v="0"/>
    <n v="0"/>
    <n v="0"/>
    <n v="0"/>
    <n v="0"/>
    <n v="0"/>
    <n v="0"/>
    <n v="0"/>
    <m/>
    <n v="0"/>
    <n v="0"/>
    <m/>
    <m/>
    <s v="PMTCT"/>
    <s v="HIV"/>
    <x v="19"/>
  </r>
  <r>
    <n v="812"/>
    <x v="6"/>
    <x v="23"/>
    <x v="39"/>
    <x v="13"/>
    <m/>
    <m/>
    <m/>
    <m/>
    <m/>
    <m/>
    <m/>
    <m/>
    <m/>
    <s v="-"/>
    <n v="0"/>
    <s v="-"/>
    <n v="0"/>
    <s v="-"/>
    <n v="0"/>
    <s v="-"/>
    <n v="0"/>
    <m/>
    <n v="0"/>
    <m/>
    <m/>
    <m/>
    <m/>
    <n v="0"/>
    <m/>
    <n v="0"/>
    <m/>
    <n v="0"/>
    <m/>
    <n v="0"/>
    <m/>
    <n v="0"/>
    <m/>
    <m/>
    <m/>
    <m/>
    <n v="0"/>
    <m/>
    <n v="0"/>
    <m/>
    <n v="0"/>
    <m/>
    <n v="0"/>
    <m/>
    <n v="0"/>
    <m/>
    <m/>
    <m/>
    <m/>
    <n v="0"/>
    <n v="0"/>
    <n v="0"/>
    <n v="0"/>
    <n v="0"/>
    <n v="0"/>
    <n v="0"/>
    <n v="0"/>
    <n v="0"/>
    <m/>
    <n v="0"/>
    <n v="0"/>
    <m/>
    <m/>
    <s v="PMTCT"/>
    <s v="HIV"/>
    <x v="19"/>
  </r>
  <r>
    <n v="813"/>
    <x v="6"/>
    <x v="23"/>
    <x v="1"/>
    <x v="1"/>
    <m/>
    <m/>
    <m/>
    <m/>
    <m/>
    <m/>
    <m/>
    <m/>
    <m/>
    <s v="-"/>
    <n v="0"/>
    <s v="-"/>
    <n v="0"/>
    <s v="-"/>
    <n v="0"/>
    <s v="-"/>
    <n v="0"/>
    <m/>
    <n v="0"/>
    <m/>
    <m/>
    <m/>
    <m/>
    <n v="0"/>
    <m/>
    <n v="0"/>
    <m/>
    <n v="0"/>
    <m/>
    <n v="0"/>
    <m/>
    <n v="0"/>
    <m/>
    <m/>
    <m/>
    <m/>
    <n v="0"/>
    <m/>
    <n v="0"/>
    <m/>
    <n v="0"/>
    <m/>
    <n v="0"/>
    <m/>
    <n v="0"/>
    <m/>
    <m/>
    <m/>
    <m/>
    <n v="0"/>
    <n v="0"/>
    <n v="0"/>
    <n v="0"/>
    <n v="0"/>
    <n v="0"/>
    <n v="0"/>
    <n v="0"/>
    <n v="0"/>
    <m/>
    <n v="0"/>
    <n v="0"/>
    <m/>
    <m/>
    <s v="PMTCT"/>
    <s v="HIV"/>
    <x v="1"/>
  </r>
  <r>
    <n v="814"/>
    <x v="6"/>
    <x v="23"/>
    <x v="1"/>
    <x v="2"/>
    <m/>
    <m/>
    <m/>
    <m/>
    <m/>
    <m/>
    <m/>
    <m/>
    <m/>
    <s v="-"/>
    <n v="0"/>
    <s v="-"/>
    <n v="0"/>
    <s v="-"/>
    <n v="0"/>
    <s v="-"/>
    <n v="0"/>
    <m/>
    <n v="0"/>
    <m/>
    <m/>
    <m/>
    <m/>
    <n v="0"/>
    <m/>
    <n v="0"/>
    <m/>
    <n v="0"/>
    <m/>
    <n v="0"/>
    <m/>
    <n v="0"/>
    <m/>
    <m/>
    <m/>
    <m/>
    <n v="0"/>
    <m/>
    <n v="0"/>
    <m/>
    <n v="0"/>
    <m/>
    <n v="0"/>
    <m/>
    <n v="0"/>
    <m/>
    <m/>
    <m/>
    <m/>
    <n v="0"/>
    <n v="0"/>
    <n v="0"/>
    <n v="0"/>
    <n v="0"/>
    <n v="0"/>
    <n v="0"/>
    <n v="0"/>
    <n v="0"/>
    <m/>
    <n v="0"/>
    <n v="0"/>
    <m/>
    <m/>
    <s v="PMTCT"/>
    <s v="HIV"/>
    <x v="1"/>
  </r>
  <r>
    <n v="815"/>
    <x v="6"/>
    <x v="23"/>
    <x v="1"/>
    <x v="3"/>
    <m/>
    <m/>
    <m/>
    <m/>
    <m/>
    <m/>
    <m/>
    <m/>
    <m/>
    <s v="-"/>
    <n v="0"/>
    <s v="-"/>
    <n v="0"/>
    <s v="-"/>
    <n v="0"/>
    <s v="-"/>
    <n v="0"/>
    <m/>
    <n v="0"/>
    <m/>
    <m/>
    <m/>
    <m/>
    <n v="0"/>
    <m/>
    <n v="0"/>
    <m/>
    <n v="0"/>
    <m/>
    <n v="0"/>
    <m/>
    <n v="0"/>
    <m/>
    <m/>
    <m/>
    <m/>
    <n v="0"/>
    <m/>
    <n v="0"/>
    <m/>
    <n v="0"/>
    <m/>
    <n v="0"/>
    <m/>
    <n v="0"/>
    <m/>
    <m/>
    <m/>
    <m/>
    <n v="0"/>
    <n v="0"/>
    <n v="0"/>
    <n v="0"/>
    <n v="0"/>
    <n v="0"/>
    <n v="0"/>
    <n v="0"/>
    <n v="0"/>
    <m/>
    <n v="0"/>
    <n v="0"/>
    <m/>
    <m/>
    <s v="PMTCT"/>
    <s v="HIV"/>
    <x v="1"/>
  </r>
  <r>
    <n v="816"/>
    <x v="6"/>
    <x v="23"/>
    <x v="1"/>
    <x v="4"/>
    <m/>
    <m/>
    <m/>
    <m/>
    <m/>
    <m/>
    <m/>
    <m/>
    <m/>
    <s v="-"/>
    <n v="0"/>
    <s v="-"/>
    <n v="0"/>
    <s v="-"/>
    <n v="0"/>
    <s v="-"/>
    <n v="0"/>
    <m/>
    <n v="0"/>
    <m/>
    <m/>
    <m/>
    <m/>
    <n v="0"/>
    <m/>
    <n v="0"/>
    <m/>
    <n v="0"/>
    <m/>
    <n v="0"/>
    <m/>
    <n v="0"/>
    <m/>
    <m/>
    <m/>
    <m/>
    <n v="0"/>
    <m/>
    <n v="0"/>
    <m/>
    <n v="0"/>
    <m/>
    <n v="0"/>
    <m/>
    <n v="0"/>
    <m/>
    <m/>
    <m/>
    <m/>
    <n v="0"/>
    <n v="0"/>
    <n v="0"/>
    <n v="0"/>
    <n v="0"/>
    <n v="0"/>
    <n v="0"/>
    <n v="0"/>
    <n v="0"/>
    <m/>
    <n v="0"/>
    <n v="0"/>
    <m/>
    <m/>
    <s v="PMTCT"/>
    <s v="HIV"/>
    <x v="1"/>
  </r>
  <r>
    <n v="817"/>
    <x v="6"/>
    <x v="23"/>
    <x v="1"/>
    <x v="5"/>
    <m/>
    <m/>
    <m/>
    <m/>
    <m/>
    <m/>
    <m/>
    <m/>
    <m/>
    <s v="-"/>
    <n v="0"/>
    <s v="-"/>
    <n v="0"/>
    <s v="-"/>
    <n v="0"/>
    <s v="-"/>
    <n v="0"/>
    <m/>
    <n v="0"/>
    <m/>
    <m/>
    <m/>
    <m/>
    <n v="0"/>
    <m/>
    <n v="0"/>
    <m/>
    <n v="0"/>
    <m/>
    <n v="0"/>
    <m/>
    <n v="0"/>
    <m/>
    <m/>
    <m/>
    <m/>
    <n v="0"/>
    <m/>
    <n v="0"/>
    <m/>
    <n v="0"/>
    <m/>
    <n v="0"/>
    <m/>
    <n v="0"/>
    <m/>
    <m/>
    <m/>
    <m/>
    <n v="0"/>
    <n v="0"/>
    <n v="0"/>
    <n v="0"/>
    <n v="0"/>
    <n v="0"/>
    <n v="0"/>
    <n v="0"/>
    <n v="0"/>
    <m/>
    <n v="0"/>
    <n v="0"/>
    <m/>
    <m/>
    <s v="PMTCT"/>
    <s v="HIV"/>
    <x v="1"/>
  </r>
  <r>
    <n v="818"/>
    <x v="6"/>
    <x v="23"/>
    <x v="1"/>
    <x v="6"/>
    <m/>
    <m/>
    <m/>
    <m/>
    <m/>
    <m/>
    <m/>
    <m/>
    <m/>
    <s v="-"/>
    <n v="0"/>
    <s v="-"/>
    <n v="0"/>
    <s v="-"/>
    <n v="0"/>
    <s v="-"/>
    <n v="0"/>
    <m/>
    <n v="0"/>
    <m/>
    <m/>
    <m/>
    <m/>
    <n v="0"/>
    <m/>
    <n v="0"/>
    <m/>
    <n v="0"/>
    <m/>
    <n v="0"/>
    <m/>
    <n v="0"/>
    <m/>
    <m/>
    <m/>
    <m/>
    <n v="0"/>
    <m/>
    <n v="0"/>
    <m/>
    <n v="0"/>
    <m/>
    <n v="0"/>
    <m/>
    <n v="0"/>
    <m/>
    <m/>
    <m/>
    <m/>
    <n v="0"/>
    <n v="0"/>
    <n v="0"/>
    <n v="0"/>
    <n v="0"/>
    <n v="0"/>
    <n v="0"/>
    <n v="0"/>
    <n v="0"/>
    <m/>
    <n v="0"/>
    <n v="0"/>
    <m/>
    <m/>
    <s v="PMTCT"/>
    <s v="HIV"/>
    <x v="1"/>
  </r>
  <r>
    <n v="819"/>
    <x v="6"/>
    <x v="23"/>
    <x v="1"/>
    <x v="7"/>
    <m/>
    <m/>
    <m/>
    <m/>
    <m/>
    <m/>
    <m/>
    <m/>
    <m/>
    <s v="-"/>
    <n v="0"/>
    <s v="-"/>
    <n v="0"/>
    <s v="-"/>
    <n v="0"/>
    <s v="-"/>
    <n v="0"/>
    <m/>
    <n v="0"/>
    <m/>
    <m/>
    <m/>
    <m/>
    <n v="0"/>
    <m/>
    <n v="0"/>
    <m/>
    <n v="0"/>
    <m/>
    <n v="0"/>
    <m/>
    <n v="0"/>
    <m/>
    <m/>
    <m/>
    <m/>
    <n v="0"/>
    <m/>
    <n v="0"/>
    <m/>
    <n v="0"/>
    <m/>
    <n v="0"/>
    <m/>
    <n v="0"/>
    <m/>
    <m/>
    <m/>
    <m/>
    <n v="0"/>
    <n v="0"/>
    <n v="0"/>
    <n v="0"/>
    <n v="0"/>
    <n v="0"/>
    <n v="0"/>
    <n v="0"/>
    <n v="0"/>
    <m/>
    <n v="0"/>
    <n v="0"/>
    <m/>
    <m/>
    <s v="PMTCT"/>
    <s v="HIV"/>
    <x v="1"/>
  </r>
  <r>
    <n v="821"/>
    <x v="6"/>
    <x v="24"/>
    <x v="40"/>
    <x v="11"/>
    <m/>
    <m/>
    <m/>
    <m/>
    <m/>
    <m/>
    <m/>
    <m/>
    <m/>
    <s v="-"/>
    <n v="0"/>
    <s v="-"/>
    <n v="0"/>
    <s v="-"/>
    <n v="0"/>
    <s v="-"/>
    <n v="0"/>
    <m/>
    <n v="0"/>
    <m/>
    <m/>
    <m/>
    <m/>
    <n v="0"/>
    <m/>
    <n v="0"/>
    <m/>
    <n v="0"/>
    <m/>
    <n v="0"/>
    <m/>
    <n v="0"/>
    <m/>
    <m/>
    <m/>
    <m/>
    <n v="0"/>
    <m/>
    <n v="0"/>
    <m/>
    <n v="0"/>
    <m/>
    <n v="0"/>
    <m/>
    <n v="0"/>
    <m/>
    <m/>
    <m/>
    <m/>
    <n v="0"/>
    <n v="0"/>
    <n v="0"/>
    <n v="0"/>
    <n v="0"/>
    <n v="0"/>
    <n v="0"/>
    <n v="0"/>
    <n v="0"/>
    <m/>
    <n v="0"/>
    <n v="0"/>
    <m/>
    <m/>
    <s v="PMTCT"/>
    <s v="HIV"/>
    <x v="22"/>
  </r>
  <r>
    <n v="822"/>
    <x v="6"/>
    <x v="24"/>
    <x v="1"/>
    <x v="1"/>
    <m/>
    <m/>
    <m/>
    <m/>
    <m/>
    <m/>
    <m/>
    <m/>
    <m/>
    <s v="-"/>
    <n v="0"/>
    <s v="-"/>
    <n v="0"/>
    <s v="-"/>
    <n v="0"/>
    <s v="-"/>
    <n v="0"/>
    <m/>
    <n v="0"/>
    <m/>
    <m/>
    <m/>
    <m/>
    <n v="0"/>
    <m/>
    <n v="0"/>
    <m/>
    <n v="0"/>
    <m/>
    <n v="0"/>
    <m/>
    <n v="0"/>
    <m/>
    <m/>
    <m/>
    <m/>
    <n v="0"/>
    <m/>
    <n v="0"/>
    <m/>
    <n v="0"/>
    <m/>
    <n v="0"/>
    <m/>
    <n v="0"/>
    <m/>
    <m/>
    <m/>
    <m/>
    <n v="0"/>
    <n v="0"/>
    <n v="0"/>
    <n v="0"/>
    <n v="0"/>
    <n v="0"/>
    <n v="0"/>
    <n v="0"/>
    <n v="0"/>
    <m/>
    <n v="0"/>
    <n v="0"/>
    <m/>
    <m/>
    <s v="PMTCT"/>
    <s v="HIV"/>
    <x v="1"/>
  </r>
  <r>
    <n v="823"/>
    <x v="6"/>
    <x v="24"/>
    <x v="1"/>
    <x v="2"/>
    <m/>
    <m/>
    <m/>
    <m/>
    <m/>
    <m/>
    <m/>
    <m/>
    <m/>
    <s v="-"/>
    <n v="0"/>
    <s v="-"/>
    <n v="0"/>
    <s v="-"/>
    <n v="0"/>
    <s v="-"/>
    <n v="0"/>
    <m/>
    <n v="0"/>
    <m/>
    <m/>
    <m/>
    <m/>
    <n v="0"/>
    <m/>
    <n v="0"/>
    <m/>
    <n v="0"/>
    <m/>
    <n v="0"/>
    <m/>
    <n v="0"/>
    <m/>
    <m/>
    <m/>
    <m/>
    <n v="0"/>
    <m/>
    <n v="0"/>
    <m/>
    <n v="0"/>
    <m/>
    <n v="0"/>
    <m/>
    <n v="0"/>
    <m/>
    <m/>
    <m/>
    <m/>
    <n v="0"/>
    <n v="0"/>
    <n v="0"/>
    <n v="0"/>
    <n v="0"/>
    <n v="0"/>
    <n v="0"/>
    <n v="0"/>
    <n v="0"/>
    <m/>
    <n v="0"/>
    <n v="0"/>
    <m/>
    <m/>
    <s v="PMTCT"/>
    <s v="HIV"/>
    <x v="1"/>
  </r>
  <r>
    <n v="824"/>
    <x v="6"/>
    <x v="24"/>
    <x v="1"/>
    <x v="3"/>
    <m/>
    <m/>
    <m/>
    <m/>
    <m/>
    <m/>
    <m/>
    <m/>
    <m/>
    <s v="-"/>
    <n v="0"/>
    <s v="-"/>
    <n v="0"/>
    <s v="-"/>
    <n v="0"/>
    <s v="-"/>
    <n v="0"/>
    <m/>
    <n v="0"/>
    <m/>
    <m/>
    <m/>
    <m/>
    <n v="0"/>
    <m/>
    <n v="0"/>
    <m/>
    <n v="0"/>
    <m/>
    <n v="0"/>
    <m/>
    <n v="0"/>
    <m/>
    <m/>
    <m/>
    <m/>
    <n v="0"/>
    <m/>
    <n v="0"/>
    <m/>
    <n v="0"/>
    <m/>
    <n v="0"/>
    <m/>
    <n v="0"/>
    <m/>
    <m/>
    <m/>
    <m/>
    <n v="0"/>
    <n v="0"/>
    <n v="0"/>
    <n v="0"/>
    <n v="0"/>
    <n v="0"/>
    <n v="0"/>
    <n v="0"/>
    <n v="0"/>
    <m/>
    <n v="0"/>
    <n v="0"/>
    <m/>
    <m/>
    <s v="PMTCT"/>
    <s v="HIV"/>
    <x v="1"/>
  </r>
  <r>
    <n v="825"/>
    <x v="6"/>
    <x v="24"/>
    <x v="1"/>
    <x v="4"/>
    <m/>
    <m/>
    <m/>
    <m/>
    <m/>
    <m/>
    <m/>
    <m/>
    <m/>
    <s v="-"/>
    <n v="0"/>
    <s v="-"/>
    <n v="0"/>
    <s v="-"/>
    <n v="0"/>
    <s v="-"/>
    <n v="0"/>
    <m/>
    <n v="0"/>
    <m/>
    <m/>
    <m/>
    <m/>
    <n v="0"/>
    <m/>
    <n v="0"/>
    <m/>
    <n v="0"/>
    <m/>
    <n v="0"/>
    <m/>
    <n v="0"/>
    <m/>
    <m/>
    <m/>
    <m/>
    <n v="0"/>
    <m/>
    <n v="0"/>
    <m/>
    <n v="0"/>
    <m/>
    <n v="0"/>
    <m/>
    <n v="0"/>
    <m/>
    <m/>
    <m/>
    <m/>
    <n v="0"/>
    <n v="0"/>
    <n v="0"/>
    <n v="0"/>
    <n v="0"/>
    <n v="0"/>
    <n v="0"/>
    <n v="0"/>
    <n v="0"/>
    <m/>
    <n v="0"/>
    <n v="0"/>
    <m/>
    <m/>
    <s v="PMTCT"/>
    <s v="HIV"/>
    <x v="1"/>
  </r>
  <r>
    <n v="826"/>
    <x v="6"/>
    <x v="24"/>
    <x v="1"/>
    <x v="5"/>
    <m/>
    <m/>
    <m/>
    <m/>
    <m/>
    <m/>
    <m/>
    <m/>
    <m/>
    <s v="-"/>
    <n v="0"/>
    <s v="-"/>
    <n v="0"/>
    <s v="-"/>
    <n v="0"/>
    <s v="-"/>
    <n v="0"/>
    <m/>
    <n v="0"/>
    <m/>
    <m/>
    <m/>
    <m/>
    <n v="0"/>
    <m/>
    <n v="0"/>
    <m/>
    <n v="0"/>
    <m/>
    <n v="0"/>
    <m/>
    <n v="0"/>
    <m/>
    <m/>
    <m/>
    <m/>
    <n v="0"/>
    <m/>
    <n v="0"/>
    <m/>
    <n v="0"/>
    <m/>
    <n v="0"/>
    <m/>
    <n v="0"/>
    <m/>
    <m/>
    <m/>
    <m/>
    <n v="0"/>
    <n v="0"/>
    <n v="0"/>
    <n v="0"/>
    <n v="0"/>
    <n v="0"/>
    <n v="0"/>
    <n v="0"/>
    <n v="0"/>
    <m/>
    <n v="0"/>
    <n v="0"/>
    <m/>
    <m/>
    <s v="PMTCT"/>
    <s v="HIV"/>
    <x v="1"/>
  </r>
  <r>
    <n v="827"/>
    <x v="6"/>
    <x v="24"/>
    <x v="1"/>
    <x v="6"/>
    <m/>
    <m/>
    <m/>
    <m/>
    <m/>
    <m/>
    <m/>
    <m/>
    <m/>
    <s v="-"/>
    <n v="0"/>
    <s v="-"/>
    <n v="0"/>
    <s v="-"/>
    <n v="0"/>
    <s v="-"/>
    <n v="0"/>
    <m/>
    <n v="0"/>
    <m/>
    <m/>
    <m/>
    <m/>
    <n v="0"/>
    <m/>
    <n v="0"/>
    <m/>
    <n v="0"/>
    <m/>
    <n v="0"/>
    <m/>
    <n v="0"/>
    <m/>
    <m/>
    <m/>
    <m/>
    <n v="0"/>
    <m/>
    <n v="0"/>
    <m/>
    <n v="0"/>
    <m/>
    <n v="0"/>
    <m/>
    <n v="0"/>
    <m/>
    <m/>
    <m/>
    <m/>
    <n v="0"/>
    <n v="0"/>
    <n v="0"/>
    <n v="0"/>
    <n v="0"/>
    <n v="0"/>
    <n v="0"/>
    <n v="0"/>
    <n v="0"/>
    <m/>
    <n v="0"/>
    <n v="0"/>
    <m/>
    <m/>
    <s v="PMTCT"/>
    <s v="HIV"/>
    <x v="1"/>
  </r>
  <r>
    <n v="828"/>
    <x v="6"/>
    <x v="24"/>
    <x v="1"/>
    <x v="7"/>
    <m/>
    <m/>
    <m/>
    <m/>
    <m/>
    <m/>
    <m/>
    <m/>
    <m/>
    <s v="-"/>
    <n v="0"/>
    <s v="-"/>
    <n v="0"/>
    <s v="-"/>
    <n v="0"/>
    <s v="-"/>
    <n v="0"/>
    <m/>
    <n v="0"/>
    <m/>
    <m/>
    <m/>
    <m/>
    <n v="0"/>
    <m/>
    <n v="0"/>
    <m/>
    <n v="0"/>
    <m/>
    <n v="0"/>
    <m/>
    <n v="0"/>
    <m/>
    <m/>
    <m/>
    <m/>
    <n v="0"/>
    <m/>
    <n v="0"/>
    <m/>
    <n v="0"/>
    <m/>
    <n v="0"/>
    <m/>
    <n v="0"/>
    <m/>
    <m/>
    <m/>
    <m/>
    <n v="0"/>
    <n v="0"/>
    <n v="0"/>
    <n v="0"/>
    <n v="0"/>
    <n v="0"/>
    <n v="0"/>
    <n v="0"/>
    <n v="0"/>
    <m/>
    <n v="0"/>
    <n v="0"/>
    <m/>
    <m/>
    <s v="PMTCT"/>
    <s v="HIV"/>
    <x v="1"/>
  </r>
  <r>
    <n v="840"/>
    <x v="7"/>
    <x v="25"/>
    <x v="41"/>
    <x v="11"/>
    <m/>
    <m/>
    <m/>
    <m/>
    <m/>
    <m/>
    <m/>
    <m/>
    <m/>
    <s v="-"/>
    <n v="0"/>
    <s v="-"/>
    <n v="0"/>
    <s v="-"/>
    <n v="0"/>
    <s v="-"/>
    <n v="0"/>
    <m/>
    <n v="0"/>
    <m/>
    <m/>
    <m/>
    <m/>
    <n v="0"/>
    <m/>
    <n v="0"/>
    <m/>
    <n v="0"/>
    <m/>
    <n v="0"/>
    <m/>
    <n v="0"/>
    <m/>
    <m/>
    <m/>
    <m/>
    <n v="0"/>
    <m/>
    <n v="0"/>
    <m/>
    <n v="0"/>
    <m/>
    <n v="0"/>
    <m/>
    <n v="0"/>
    <m/>
    <m/>
    <m/>
    <m/>
    <n v="0"/>
    <n v="0"/>
    <n v="0"/>
    <n v="0"/>
    <n v="0"/>
    <n v="0"/>
    <n v="0"/>
    <n v="0"/>
    <n v="0"/>
    <m/>
    <n v="0"/>
    <n v="0"/>
    <m/>
    <m/>
    <s v="Men who have sex with men"/>
    <s v="HIV"/>
    <x v="22"/>
  </r>
  <r>
    <n v="841"/>
    <x v="7"/>
    <x v="25"/>
    <x v="20"/>
    <x v="1"/>
    <m/>
    <m/>
    <m/>
    <m/>
    <m/>
    <m/>
    <m/>
    <m/>
    <m/>
    <s v="-"/>
    <n v="0"/>
    <s v="-"/>
    <n v="0"/>
    <s v="-"/>
    <n v="0"/>
    <s v="-"/>
    <n v="0"/>
    <m/>
    <n v="0"/>
    <m/>
    <m/>
    <m/>
    <m/>
    <n v="0"/>
    <m/>
    <n v="0"/>
    <m/>
    <n v="0"/>
    <m/>
    <n v="0"/>
    <m/>
    <n v="0"/>
    <m/>
    <m/>
    <m/>
    <m/>
    <n v="0"/>
    <m/>
    <n v="0"/>
    <m/>
    <n v="0"/>
    <m/>
    <n v="0"/>
    <m/>
    <n v="0"/>
    <m/>
    <m/>
    <m/>
    <m/>
    <n v="0"/>
    <n v="0"/>
    <n v="0"/>
    <n v="0"/>
    <n v="0"/>
    <n v="0"/>
    <n v="0"/>
    <n v="0"/>
    <n v="0"/>
    <m/>
    <n v="0"/>
    <n v="0"/>
    <m/>
    <m/>
    <s v="Men who have sex with men"/>
    <s v="HIV"/>
    <x v="1"/>
  </r>
  <r>
    <n v="842"/>
    <x v="7"/>
    <x v="25"/>
    <x v="20"/>
    <x v="2"/>
    <m/>
    <m/>
    <m/>
    <m/>
    <m/>
    <m/>
    <m/>
    <m/>
    <m/>
    <s v="-"/>
    <n v="0"/>
    <s v="-"/>
    <n v="0"/>
    <s v="-"/>
    <n v="0"/>
    <s v="-"/>
    <n v="0"/>
    <m/>
    <n v="0"/>
    <m/>
    <m/>
    <m/>
    <m/>
    <n v="0"/>
    <m/>
    <n v="0"/>
    <m/>
    <n v="0"/>
    <m/>
    <n v="0"/>
    <m/>
    <n v="0"/>
    <m/>
    <m/>
    <m/>
    <m/>
    <n v="0"/>
    <m/>
    <n v="0"/>
    <m/>
    <n v="0"/>
    <m/>
    <n v="0"/>
    <m/>
    <n v="0"/>
    <m/>
    <m/>
    <m/>
    <m/>
    <n v="0"/>
    <n v="0"/>
    <n v="0"/>
    <n v="0"/>
    <n v="0"/>
    <n v="0"/>
    <n v="0"/>
    <n v="0"/>
    <n v="0"/>
    <m/>
    <n v="0"/>
    <n v="0"/>
    <m/>
    <m/>
    <s v="Men who have sex with men"/>
    <s v="HIV"/>
    <x v="1"/>
  </r>
  <r>
    <n v="843"/>
    <x v="7"/>
    <x v="25"/>
    <x v="20"/>
    <x v="3"/>
    <m/>
    <m/>
    <m/>
    <m/>
    <m/>
    <m/>
    <m/>
    <m/>
    <m/>
    <s v="-"/>
    <n v="0"/>
    <s v="-"/>
    <n v="0"/>
    <s v="-"/>
    <n v="0"/>
    <s v="-"/>
    <n v="0"/>
    <m/>
    <n v="0"/>
    <m/>
    <m/>
    <m/>
    <m/>
    <n v="0"/>
    <m/>
    <n v="0"/>
    <m/>
    <n v="0"/>
    <m/>
    <n v="0"/>
    <m/>
    <n v="0"/>
    <m/>
    <m/>
    <m/>
    <m/>
    <n v="0"/>
    <m/>
    <n v="0"/>
    <m/>
    <n v="0"/>
    <m/>
    <n v="0"/>
    <m/>
    <n v="0"/>
    <m/>
    <m/>
    <m/>
    <m/>
    <n v="0"/>
    <n v="0"/>
    <n v="0"/>
    <n v="0"/>
    <n v="0"/>
    <n v="0"/>
    <n v="0"/>
    <n v="0"/>
    <n v="0"/>
    <m/>
    <n v="0"/>
    <n v="0"/>
    <m/>
    <m/>
    <s v="Men who have sex with men"/>
    <s v="HIV"/>
    <x v="1"/>
  </r>
  <r>
    <n v="844"/>
    <x v="7"/>
    <x v="25"/>
    <x v="20"/>
    <x v="4"/>
    <m/>
    <m/>
    <m/>
    <m/>
    <m/>
    <m/>
    <m/>
    <m/>
    <m/>
    <s v="-"/>
    <n v="0"/>
    <s v="-"/>
    <n v="0"/>
    <s v="-"/>
    <n v="0"/>
    <s v="-"/>
    <n v="0"/>
    <m/>
    <n v="0"/>
    <m/>
    <m/>
    <m/>
    <m/>
    <n v="0"/>
    <m/>
    <n v="0"/>
    <m/>
    <n v="0"/>
    <m/>
    <n v="0"/>
    <m/>
    <n v="0"/>
    <m/>
    <m/>
    <m/>
    <m/>
    <n v="0"/>
    <m/>
    <n v="0"/>
    <m/>
    <n v="0"/>
    <m/>
    <n v="0"/>
    <m/>
    <n v="0"/>
    <m/>
    <m/>
    <m/>
    <m/>
    <n v="0"/>
    <n v="0"/>
    <n v="0"/>
    <n v="0"/>
    <n v="0"/>
    <n v="0"/>
    <n v="0"/>
    <n v="0"/>
    <n v="0"/>
    <m/>
    <n v="0"/>
    <n v="0"/>
    <m/>
    <m/>
    <s v="Men who have sex with men"/>
    <s v="HIV"/>
    <x v="1"/>
  </r>
  <r>
    <n v="845"/>
    <x v="7"/>
    <x v="25"/>
    <x v="20"/>
    <x v="5"/>
    <m/>
    <m/>
    <m/>
    <m/>
    <m/>
    <m/>
    <m/>
    <m/>
    <m/>
    <s v="-"/>
    <n v="0"/>
    <s v="-"/>
    <n v="0"/>
    <s v="-"/>
    <n v="0"/>
    <s v="-"/>
    <n v="0"/>
    <m/>
    <n v="0"/>
    <m/>
    <m/>
    <m/>
    <m/>
    <n v="0"/>
    <m/>
    <n v="0"/>
    <m/>
    <n v="0"/>
    <m/>
    <n v="0"/>
    <m/>
    <n v="0"/>
    <m/>
    <m/>
    <m/>
    <m/>
    <n v="0"/>
    <m/>
    <n v="0"/>
    <m/>
    <n v="0"/>
    <m/>
    <n v="0"/>
    <m/>
    <n v="0"/>
    <m/>
    <m/>
    <m/>
    <m/>
    <n v="0"/>
    <n v="0"/>
    <n v="0"/>
    <n v="0"/>
    <n v="0"/>
    <n v="0"/>
    <n v="0"/>
    <n v="0"/>
    <n v="0"/>
    <m/>
    <n v="0"/>
    <n v="0"/>
    <m/>
    <m/>
    <s v="Men who have sex with men"/>
    <s v="HIV"/>
    <x v="1"/>
  </r>
  <r>
    <n v="846"/>
    <x v="7"/>
    <x v="25"/>
    <x v="20"/>
    <x v="6"/>
    <m/>
    <m/>
    <m/>
    <m/>
    <m/>
    <m/>
    <m/>
    <m/>
    <m/>
    <s v="-"/>
    <n v="0"/>
    <s v="-"/>
    <n v="0"/>
    <s v="-"/>
    <n v="0"/>
    <s v="-"/>
    <n v="0"/>
    <m/>
    <n v="0"/>
    <m/>
    <m/>
    <m/>
    <m/>
    <n v="0"/>
    <m/>
    <n v="0"/>
    <m/>
    <n v="0"/>
    <m/>
    <n v="0"/>
    <m/>
    <n v="0"/>
    <m/>
    <m/>
    <m/>
    <m/>
    <n v="0"/>
    <m/>
    <n v="0"/>
    <m/>
    <n v="0"/>
    <m/>
    <n v="0"/>
    <m/>
    <n v="0"/>
    <m/>
    <m/>
    <m/>
    <m/>
    <n v="0"/>
    <n v="0"/>
    <n v="0"/>
    <n v="0"/>
    <n v="0"/>
    <n v="0"/>
    <n v="0"/>
    <n v="0"/>
    <n v="0"/>
    <m/>
    <n v="0"/>
    <n v="0"/>
    <m/>
    <m/>
    <s v="Men who have sex with men"/>
    <s v="HIV"/>
    <x v="1"/>
  </r>
  <r>
    <n v="847"/>
    <x v="7"/>
    <x v="25"/>
    <x v="20"/>
    <x v="7"/>
    <m/>
    <m/>
    <m/>
    <m/>
    <m/>
    <m/>
    <m/>
    <m/>
    <m/>
    <s v="-"/>
    <n v="0"/>
    <s v="-"/>
    <n v="0"/>
    <s v="-"/>
    <n v="0"/>
    <s v="-"/>
    <n v="0"/>
    <m/>
    <n v="0"/>
    <m/>
    <m/>
    <m/>
    <m/>
    <n v="0"/>
    <m/>
    <n v="0"/>
    <m/>
    <n v="0"/>
    <m/>
    <n v="0"/>
    <m/>
    <n v="0"/>
    <m/>
    <m/>
    <m/>
    <m/>
    <n v="0"/>
    <m/>
    <n v="0"/>
    <m/>
    <n v="0"/>
    <m/>
    <n v="0"/>
    <m/>
    <n v="0"/>
    <m/>
    <m/>
    <m/>
    <m/>
    <n v="0"/>
    <n v="0"/>
    <n v="0"/>
    <n v="0"/>
    <n v="0"/>
    <n v="0"/>
    <n v="0"/>
    <n v="0"/>
    <n v="0"/>
    <m/>
    <n v="0"/>
    <n v="0"/>
    <m/>
    <m/>
    <s v="Men who have sex with men"/>
    <s v="HIV"/>
    <x v="1"/>
  </r>
  <r>
    <n v="848"/>
    <x v="7"/>
    <x v="26"/>
    <x v="41"/>
    <x v="11"/>
    <m/>
    <m/>
    <m/>
    <m/>
    <m/>
    <m/>
    <m/>
    <m/>
    <m/>
    <s v="-"/>
    <n v="0"/>
    <s v="-"/>
    <n v="0"/>
    <s v="-"/>
    <n v="0"/>
    <s v="-"/>
    <n v="0"/>
    <m/>
    <n v="0"/>
    <m/>
    <m/>
    <m/>
    <m/>
    <n v="0"/>
    <m/>
    <n v="0"/>
    <m/>
    <n v="0"/>
    <m/>
    <n v="0"/>
    <m/>
    <n v="0"/>
    <m/>
    <m/>
    <m/>
    <m/>
    <n v="0"/>
    <m/>
    <n v="0"/>
    <m/>
    <n v="0"/>
    <m/>
    <n v="0"/>
    <m/>
    <n v="0"/>
    <m/>
    <m/>
    <m/>
    <m/>
    <n v="0"/>
    <n v="0"/>
    <n v="0"/>
    <n v="0"/>
    <n v="0"/>
    <n v="0"/>
    <n v="0"/>
    <n v="0"/>
    <n v="0"/>
    <m/>
    <n v="0"/>
    <n v="0"/>
    <m/>
    <m/>
    <s v="Men who have sex with men"/>
    <s v="HIV"/>
    <x v="22"/>
  </r>
  <r>
    <n v="849"/>
    <x v="7"/>
    <x v="26"/>
    <x v="20"/>
    <x v="1"/>
    <m/>
    <m/>
    <m/>
    <m/>
    <m/>
    <m/>
    <m/>
    <m/>
    <m/>
    <s v="-"/>
    <n v="0"/>
    <s v="-"/>
    <n v="0"/>
    <s v="-"/>
    <n v="0"/>
    <s v="-"/>
    <n v="0"/>
    <m/>
    <n v="0"/>
    <m/>
    <m/>
    <m/>
    <m/>
    <n v="0"/>
    <m/>
    <n v="0"/>
    <m/>
    <n v="0"/>
    <m/>
    <n v="0"/>
    <m/>
    <n v="0"/>
    <m/>
    <m/>
    <m/>
    <m/>
    <n v="0"/>
    <m/>
    <n v="0"/>
    <m/>
    <n v="0"/>
    <m/>
    <n v="0"/>
    <m/>
    <n v="0"/>
    <m/>
    <m/>
    <m/>
    <m/>
    <n v="0"/>
    <n v="0"/>
    <n v="0"/>
    <n v="0"/>
    <n v="0"/>
    <n v="0"/>
    <n v="0"/>
    <n v="0"/>
    <n v="0"/>
    <m/>
    <n v="0"/>
    <n v="0"/>
    <m/>
    <m/>
    <s v="Men who have sex with men"/>
    <s v="HIV"/>
    <x v="1"/>
  </r>
  <r>
    <n v="850"/>
    <x v="7"/>
    <x v="26"/>
    <x v="20"/>
    <x v="2"/>
    <m/>
    <m/>
    <m/>
    <m/>
    <m/>
    <m/>
    <m/>
    <m/>
    <m/>
    <s v="-"/>
    <n v="0"/>
    <s v="-"/>
    <n v="0"/>
    <s v="-"/>
    <n v="0"/>
    <s v="-"/>
    <n v="0"/>
    <m/>
    <n v="0"/>
    <m/>
    <m/>
    <m/>
    <m/>
    <n v="0"/>
    <m/>
    <n v="0"/>
    <m/>
    <n v="0"/>
    <m/>
    <n v="0"/>
    <m/>
    <n v="0"/>
    <m/>
    <m/>
    <m/>
    <m/>
    <n v="0"/>
    <m/>
    <n v="0"/>
    <m/>
    <n v="0"/>
    <m/>
    <n v="0"/>
    <m/>
    <n v="0"/>
    <m/>
    <m/>
    <m/>
    <m/>
    <n v="0"/>
    <n v="0"/>
    <n v="0"/>
    <n v="0"/>
    <n v="0"/>
    <n v="0"/>
    <n v="0"/>
    <n v="0"/>
    <n v="0"/>
    <m/>
    <n v="0"/>
    <n v="0"/>
    <m/>
    <m/>
    <s v="Men who have sex with men"/>
    <s v="HIV"/>
    <x v="1"/>
  </r>
  <r>
    <n v="851"/>
    <x v="7"/>
    <x v="26"/>
    <x v="20"/>
    <x v="3"/>
    <m/>
    <m/>
    <m/>
    <m/>
    <m/>
    <m/>
    <m/>
    <m/>
    <m/>
    <s v="-"/>
    <n v="0"/>
    <s v="-"/>
    <n v="0"/>
    <s v="-"/>
    <n v="0"/>
    <s v="-"/>
    <n v="0"/>
    <m/>
    <n v="0"/>
    <m/>
    <m/>
    <m/>
    <m/>
    <n v="0"/>
    <m/>
    <n v="0"/>
    <m/>
    <n v="0"/>
    <m/>
    <n v="0"/>
    <m/>
    <n v="0"/>
    <m/>
    <m/>
    <m/>
    <m/>
    <n v="0"/>
    <m/>
    <n v="0"/>
    <m/>
    <n v="0"/>
    <m/>
    <n v="0"/>
    <m/>
    <n v="0"/>
    <m/>
    <m/>
    <m/>
    <m/>
    <n v="0"/>
    <n v="0"/>
    <n v="0"/>
    <n v="0"/>
    <n v="0"/>
    <n v="0"/>
    <n v="0"/>
    <n v="0"/>
    <n v="0"/>
    <m/>
    <n v="0"/>
    <n v="0"/>
    <m/>
    <m/>
    <s v="Men who have sex with men"/>
    <s v="HIV"/>
    <x v="1"/>
  </r>
  <r>
    <n v="852"/>
    <x v="7"/>
    <x v="26"/>
    <x v="20"/>
    <x v="4"/>
    <m/>
    <m/>
    <m/>
    <m/>
    <m/>
    <m/>
    <m/>
    <m/>
    <m/>
    <s v="-"/>
    <n v="0"/>
    <s v="-"/>
    <n v="0"/>
    <s v="-"/>
    <n v="0"/>
    <s v="-"/>
    <n v="0"/>
    <m/>
    <n v="0"/>
    <m/>
    <m/>
    <m/>
    <m/>
    <n v="0"/>
    <m/>
    <n v="0"/>
    <m/>
    <n v="0"/>
    <m/>
    <n v="0"/>
    <m/>
    <n v="0"/>
    <m/>
    <m/>
    <m/>
    <m/>
    <n v="0"/>
    <m/>
    <n v="0"/>
    <m/>
    <n v="0"/>
    <m/>
    <n v="0"/>
    <m/>
    <n v="0"/>
    <m/>
    <m/>
    <m/>
    <m/>
    <n v="0"/>
    <n v="0"/>
    <n v="0"/>
    <n v="0"/>
    <n v="0"/>
    <n v="0"/>
    <n v="0"/>
    <n v="0"/>
    <n v="0"/>
    <m/>
    <n v="0"/>
    <n v="0"/>
    <m/>
    <m/>
    <s v="Men who have sex with men"/>
    <s v="HIV"/>
    <x v="1"/>
  </r>
  <r>
    <n v="853"/>
    <x v="7"/>
    <x v="26"/>
    <x v="20"/>
    <x v="5"/>
    <m/>
    <m/>
    <m/>
    <m/>
    <m/>
    <m/>
    <m/>
    <m/>
    <m/>
    <s v="-"/>
    <n v="0"/>
    <s v="-"/>
    <n v="0"/>
    <s v="-"/>
    <n v="0"/>
    <s v="-"/>
    <n v="0"/>
    <m/>
    <n v="0"/>
    <m/>
    <m/>
    <m/>
    <m/>
    <n v="0"/>
    <m/>
    <n v="0"/>
    <m/>
    <n v="0"/>
    <m/>
    <n v="0"/>
    <m/>
    <n v="0"/>
    <m/>
    <m/>
    <m/>
    <m/>
    <n v="0"/>
    <m/>
    <n v="0"/>
    <m/>
    <n v="0"/>
    <m/>
    <n v="0"/>
    <m/>
    <n v="0"/>
    <m/>
    <m/>
    <m/>
    <m/>
    <n v="0"/>
    <n v="0"/>
    <n v="0"/>
    <n v="0"/>
    <n v="0"/>
    <n v="0"/>
    <n v="0"/>
    <n v="0"/>
    <n v="0"/>
    <m/>
    <n v="0"/>
    <n v="0"/>
    <m/>
    <m/>
    <s v="Men who have sex with men"/>
    <s v="HIV"/>
    <x v="1"/>
  </r>
  <r>
    <n v="854"/>
    <x v="7"/>
    <x v="26"/>
    <x v="20"/>
    <x v="6"/>
    <m/>
    <m/>
    <m/>
    <m/>
    <m/>
    <m/>
    <m/>
    <m/>
    <m/>
    <s v="-"/>
    <n v="0"/>
    <s v="-"/>
    <n v="0"/>
    <s v="-"/>
    <n v="0"/>
    <s v="-"/>
    <n v="0"/>
    <m/>
    <n v="0"/>
    <m/>
    <m/>
    <m/>
    <m/>
    <n v="0"/>
    <m/>
    <n v="0"/>
    <m/>
    <n v="0"/>
    <m/>
    <n v="0"/>
    <m/>
    <n v="0"/>
    <m/>
    <m/>
    <m/>
    <m/>
    <n v="0"/>
    <m/>
    <n v="0"/>
    <m/>
    <n v="0"/>
    <m/>
    <n v="0"/>
    <m/>
    <n v="0"/>
    <m/>
    <m/>
    <m/>
    <m/>
    <n v="0"/>
    <n v="0"/>
    <n v="0"/>
    <n v="0"/>
    <n v="0"/>
    <n v="0"/>
    <n v="0"/>
    <n v="0"/>
    <n v="0"/>
    <m/>
    <n v="0"/>
    <n v="0"/>
    <m/>
    <m/>
    <s v="Men who have sex with men"/>
    <s v="HIV"/>
    <x v="1"/>
  </r>
  <r>
    <n v="855"/>
    <x v="7"/>
    <x v="26"/>
    <x v="20"/>
    <x v="7"/>
    <m/>
    <m/>
    <m/>
    <m/>
    <m/>
    <m/>
    <m/>
    <m/>
    <m/>
    <s v="-"/>
    <n v="0"/>
    <s v="-"/>
    <n v="0"/>
    <s v="-"/>
    <n v="0"/>
    <s v="-"/>
    <n v="0"/>
    <m/>
    <n v="0"/>
    <m/>
    <m/>
    <m/>
    <m/>
    <n v="0"/>
    <m/>
    <n v="0"/>
    <m/>
    <n v="0"/>
    <m/>
    <n v="0"/>
    <m/>
    <n v="0"/>
    <m/>
    <m/>
    <m/>
    <m/>
    <n v="0"/>
    <m/>
    <n v="0"/>
    <m/>
    <n v="0"/>
    <m/>
    <n v="0"/>
    <m/>
    <n v="0"/>
    <m/>
    <m/>
    <m/>
    <m/>
    <n v="0"/>
    <n v="0"/>
    <n v="0"/>
    <n v="0"/>
    <n v="0"/>
    <n v="0"/>
    <n v="0"/>
    <n v="0"/>
    <n v="0"/>
    <m/>
    <n v="0"/>
    <n v="0"/>
    <m/>
    <m/>
    <s v="Men who have sex with men"/>
    <s v="HIV"/>
    <x v="1"/>
  </r>
  <r>
    <n v="856"/>
    <x v="7"/>
    <x v="27"/>
    <x v="41"/>
    <x v="11"/>
    <m/>
    <m/>
    <m/>
    <m/>
    <m/>
    <m/>
    <m/>
    <m/>
    <m/>
    <s v="-"/>
    <n v="0"/>
    <s v="-"/>
    <n v="0"/>
    <s v="-"/>
    <n v="0"/>
    <s v="-"/>
    <n v="0"/>
    <m/>
    <n v="0"/>
    <m/>
    <m/>
    <m/>
    <m/>
    <n v="0"/>
    <m/>
    <n v="0"/>
    <m/>
    <n v="0"/>
    <m/>
    <n v="0"/>
    <m/>
    <n v="0"/>
    <m/>
    <m/>
    <m/>
    <m/>
    <n v="0"/>
    <m/>
    <n v="0"/>
    <m/>
    <n v="0"/>
    <m/>
    <n v="0"/>
    <m/>
    <n v="0"/>
    <m/>
    <m/>
    <m/>
    <m/>
    <n v="0"/>
    <n v="0"/>
    <n v="0"/>
    <n v="0"/>
    <n v="0"/>
    <n v="0"/>
    <n v="0"/>
    <n v="0"/>
    <n v="0"/>
    <m/>
    <n v="0"/>
    <n v="0"/>
    <m/>
    <m/>
    <s v="Men who have sex with men"/>
    <s v="HIV"/>
    <x v="22"/>
  </r>
  <r>
    <n v="857"/>
    <x v="7"/>
    <x v="27"/>
    <x v="20"/>
    <x v="1"/>
    <m/>
    <m/>
    <m/>
    <m/>
    <m/>
    <m/>
    <m/>
    <m/>
    <m/>
    <s v="-"/>
    <n v="0"/>
    <s v="-"/>
    <n v="0"/>
    <s v="-"/>
    <n v="0"/>
    <s v="-"/>
    <n v="0"/>
    <m/>
    <n v="0"/>
    <m/>
    <m/>
    <m/>
    <m/>
    <n v="0"/>
    <m/>
    <n v="0"/>
    <m/>
    <n v="0"/>
    <m/>
    <n v="0"/>
    <m/>
    <n v="0"/>
    <m/>
    <m/>
    <m/>
    <m/>
    <n v="0"/>
    <m/>
    <n v="0"/>
    <m/>
    <n v="0"/>
    <m/>
    <n v="0"/>
    <m/>
    <n v="0"/>
    <m/>
    <m/>
    <m/>
    <m/>
    <n v="0"/>
    <n v="0"/>
    <n v="0"/>
    <n v="0"/>
    <n v="0"/>
    <n v="0"/>
    <n v="0"/>
    <n v="0"/>
    <n v="0"/>
    <m/>
    <n v="0"/>
    <n v="0"/>
    <m/>
    <m/>
    <s v="Men who have sex with men"/>
    <s v="HIV"/>
    <x v="1"/>
  </r>
  <r>
    <n v="858"/>
    <x v="7"/>
    <x v="27"/>
    <x v="20"/>
    <x v="2"/>
    <m/>
    <m/>
    <m/>
    <m/>
    <m/>
    <m/>
    <m/>
    <m/>
    <m/>
    <s v="-"/>
    <n v="0"/>
    <s v="-"/>
    <n v="0"/>
    <s v="-"/>
    <n v="0"/>
    <s v="-"/>
    <n v="0"/>
    <m/>
    <n v="0"/>
    <m/>
    <m/>
    <m/>
    <m/>
    <n v="0"/>
    <m/>
    <n v="0"/>
    <m/>
    <n v="0"/>
    <m/>
    <n v="0"/>
    <m/>
    <n v="0"/>
    <m/>
    <m/>
    <m/>
    <m/>
    <n v="0"/>
    <m/>
    <n v="0"/>
    <m/>
    <n v="0"/>
    <m/>
    <n v="0"/>
    <m/>
    <n v="0"/>
    <m/>
    <m/>
    <m/>
    <m/>
    <n v="0"/>
    <n v="0"/>
    <n v="0"/>
    <n v="0"/>
    <n v="0"/>
    <n v="0"/>
    <n v="0"/>
    <n v="0"/>
    <n v="0"/>
    <m/>
    <n v="0"/>
    <n v="0"/>
    <m/>
    <m/>
    <s v="Men who have sex with men"/>
    <s v="HIV"/>
    <x v="1"/>
  </r>
  <r>
    <n v="859"/>
    <x v="7"/>
    <x v="27"/>
    <x v="20"/>
    <x v="3"/>
    <m/>
    <m/>
    <m/>
    <m/>
    <m/>
    <m/>
    <m/>
    <m/>
    <m/>
    <s v="-"/>
    <n v="0"/>
    <s v="-"/>
    <n v="0"/>
    <s v="-"/>
    <n v="0"/>
    <s v="-"/>
    <n v="0"/>
    <m/>
    <n v="0"/>
    <m/>
    <m/>
    <m/>
    <m/>
    <n v="0"/>
    <m/>
    <n v="0"/>
    <m/>
    <n v="0"/>
    <m/>
    <n v="0"/>
    <m/>
    <n v="0"/>
    <m/>
    <m/>
    <m/>
    <m/>
    <n v="0"/>
    <m/>
    <n v="0"/>
    <m/>
    <n v="0"/>
    <m/>
    <n v="0"/>
    <m/>
    <n v="0"/>
    <m/>
    <m/>
    <m/>
    <m/>
    <n v="0"/>
    <n v="0"/>
    <n v="0"/>
    <n v="0"/>
    <n v="0"/>
    <n v="0"/>
    <n v="0"/>
    <n v="0"/>
    <n v="0"/>
    <m/>
    <n v="0"/>
    <n v="0"/>
    <m/>
    <m/>
    <s v="Men who have sex with men"/>
    <s v="HIV"/>
    <x v="1"/>
  </r>
  <r>
    <n v="860"/>
    <x v="7"/>
    <x v="27"/>
    <x v="20"/>
    <x v="4"/>
    <m/>
    <m/>
    <m/>
    <m/>
    <m/>
    <m/>
    <m/>
    <m/>
    <m/>
    <s v="-"/>
    <n v="0"/>
    <s v="-"/>
    <n v="0"/>
    <s v="-"/>
    <n v="0"/>
    <s v="-"/>
    <n v="0"/>
    <m/>
    <n v="0"/>
    <m/>
    <m/>
    <m/>
    <m/>
    <n v="0"/>
    <m/>
    <n v="0"/>
    <m/>
    <n v="0"/>
    <m/>
    <n v="0"/>
    <m/>
    <n v="0"/>
    <m/>
    <m/>
    <m/>
    <m/>
    <n v="0"/>
    <m/>
    <n v="0"/>
    <m/>
    <n v="0"/>
    <m/>
    <n v="0"/>
    <m/>
    <n v="0"/>
    <m/>
    <m/>
    <m/>
    <m/>
    <n v="0"/>
    <n v="0"/>
    <n v="0"/>
    <n v="0"/>
    <n v="0"/>
    <n v="0"/>
    <n v="0"/>
    <n v="0"/>
    <n v="0"/>
    <m/>
    <n v="0"/>
    <n v="0"/>
    <m/>
    <m/>
    <s v="Men who have sex with men"/>
    <s v="HIV"/>
    <x v="1"/>
  </r>
  <r>
    <n v="861"/>
    <x v="7"/>
    <x v="27"/>
    <x v="20"/>
    <x v="5"/>
    <m/>
    <m/>
    <m/>
    <m/>
    <m/>
    <m/>
    <m/>
    <m/>
    <m/>
    <s v="-"/>
    <n v="0"/>
    <s v="-"/>
    <n v="0"/>
    <s v="-"/>
    <n v="0"/>
    <s v="-"/>
    <n v="0"/>
    <m/>
    <n v="0"/>
    <m/>
    <m/>
    <m/>
    <m/>
    <n v="0"/>
    <m/>
    <n v="0"/>
    <m/>
    <n v="0"/>
    <m/>
    <n v="0"/>
    <m/>
    <n v="0"/>
    <m/>
    <m/>
    <m/>
    <m/>
    <n v="0"/>
    <m/>
    <n v="0"/>
    <m/>
    <n v="0"/>
    <m/>
    <n v="0"/>
    <m/>
    <n v="0"/>
    <m/>
    <m/>
    <m/>
    <m/>
    <n v="0"/>
    <n v="0"/>
    <n v="0"/>
    <n v="0"/>
    <n v="0"/>
    <n v="0"/>
    <n v="0"/>
    <n v="0"/>
    <n v="0"/>
    <m/>
    <n v="0"/>
    <n v="0"/>
    <m/>
    <m/>
    <s v="Men who have sex with men"/>
    <s v="HIV"/>
    <x v="1"/>
  </r>
  <r>
    <n v="862"/>
    <x v="7"/>
    <x v="27"/>
    <x v="20"/>
    <x v="6"/>
    <m/>
    <m/>
    <m/>
    <m/>
    <m/>
    <m/>
    <m/>
    <m/>
    <m/>
    <s v="-"/>
    <n v="0"/>
    <s v="-"/>
    <n v="0"/>
    <s v="-"/>
    <n v="0"/>
    <s v="-"/>
    <n v="0"/>
    <m/>
    <n v="0"/>
    <m/>
    <m/>
    <m/>
    <m/>
    <n v="0"/>
    <m/>
    <n v="0"/>
    <m/>
    <n v="0"/>
    <m/>
    <n v="0"/>
    <m/>
    <n v="0"/>
    <m/>
    <m/>
    <m/>
    <m/>
    <n v="0"/>
    <m/>
    <n v="0"/>
    <m/>
    <n v="0"/>
    <m/>
    <n v="0"/>
    <m/>
    <n v="0"/>
    <m/>
    <m/>
    <m/>
    <m/>
    <n v="0"/>
    <n v="0"/>
    <n v="0"/>
    <n v="0"/>
    <n v="0"/>
    <n v="0"/>
    <n v="0"/>
    <n v="0"/>
    <n v="0"/>
    <m/>
    <n v="0"/>
    <n v="0"/>
    <m/>
    <m/>
    <s v="Men who have sex with men"/>
    <s v="HIV"/>
    <x v="1"/>
  </r>
  <r>
    <n v="863"/>
    <x v="7"/>
    <x v="27"/>
    <x v="20"/>
    <x v="7"/>
    <m/>
    <m/>
    <m/>
    <m/>
    <m/>
    <m/>
    <m/>
    <m/>
    <m/>
    <s v="-"/>
    <n v="0"/>
    <s v="-"/>
    <n v="0"/>
    <s v="-"/>
    <n v="0"/>
    <s v="-"/>
    <n v="0"/>
    <m/>
    <n v="0"/>
    <m/>
    <m/>
    <m/>
    <m/>
    <n v="0"/>
    <m/>
    <n v="0"/>
    <m/>
    <n v="0"/>
    <m/>
    <n v="0"/>
    <m/>
    <n v="0"/>
    <m/>
    <m/>
    <m/>
    <m/>
    <n v="0"/>
    <m/>
    <n v="0"/>
    <m/>
    <n v="0"/>
    <m/>
    <n v="0"/>
    <m/>
    <n v="0"/>
    <m/>
    <m/>
    <m/>
    <m/>
    <n v="0"/>
    <n v="0"/>
    <n v="0"/>
    <n v="0"/>
    <n v="0"/>
    <n v="0"/>
    <n v="0"/>
    <n v="0"/>
    <n v="0"/>
    <m/>
    <n v="0"/>
    <n v="0"/>
    <m/>
    <m/>
    <s v="Men who have sex with men"/>
    <s v="HIV"/>
    <x v="1"/>
  </r>
  <r>
    <n v="864"/>
    <x v="7"/>
    <x v="25"/>
    <x v="42"/>
    <x v="11"/>
    <m/>
    <m/>
    <m/>
    <m/>
    <m/>
    <m/>
    <m/>
    <m/>
    <m/>
    <s v="-"/>
    <n v="0"/>
    <s v="-"/>
    <n v="0"/>
    <s v="-"/>
    <n v="0"/>
    <s v="-"/>
    <n v="0"/>
    <m/>
    <n v="0"/>
    <m/>
    <m/>
    <m/>
    <m/>
    <n v="0"/>
    <m/>
    <n v="0"/>
    <m/>
    <n v="0"/>
    <m/>
    <n v="0"/>
    <m/>
    <n v="0"/>
    <m/>
    <m/>
    <m/>
    <m/>
    <n v="0"/>
    <m/>
    <n v="0"/>
    <m/>
    <n v="0"/>
    <m/>
    <n v="0"/>
    <m/>
    <n v="0"/>
    <m/>
    <m/>
    <m/>
    <m/>
    <n v="0"/>
    <n v="0"/>
    <n v="0"/>
    <n v="0"/>
    <n v="0"/>
    <n v="0"/>
    <n v="0"/>
    <n v="0"/>
    <n v="0"/>
    <m/>
    <n v="0"/>
    <n v="0"/>
    <m/>
    <m/>
    <s v="Sex workers and their clients"/>
    <s v="HIV"/>
    <x v="22"/>
  </r>
  <r>
    <n v="865"/>
    <x v="7"/>
    <x v="25"/>
    <x v="22"/>
    <x v="1"/>
    <m/>
    <m/>
    <m/>
    <m/>
    <m/>
    <m/>
    <m/>
    <m/>
    <m/>
    <s v="-"/>
    <n v="0"/>
    <s v="-"/>
    <n v="0"/>
    <s v="-"/>
    <n v="0"/>
    <s v="-"/>
    <n v="0"/>
    <m/>
    <n v="0"/>
    <m/>
    <m/>
    <m/>
    <m/>
    <n v="0"/>
    <m/>
    <n v="0"/>
    <m/>
    <n v="0"/>
    <m/>
    <n v="0"/>
    <m/>
    <n v="0"/>
    <m/>
    <m/>
    <m/>
    <m/>
    <n v="0"/>
    <m/>
    <n v="0"/>
    <m/>
    <n v="0"/>
    <m/>
    <n v="0"/>
    <m/>
    <n v="0"/>
    <m/>
    <m/>
    <m/>
    <m/>
    <n v="0"/>
    <n v="0"/>
    <n v="0"/>
    <n v="0"/>
    <n v="0"/>
    <n v="0"/>
    <n v="0"/>
    <n v="0"/>
    <n v="0"/>
    <m/>
    <n v="0"/>
    <n v="0"/>
    <m/>
    <m/>
    <s v="Sex workers and their clients"/>
    <s v="HIV"/>
    <x v="1"/>
  </r>
  <r>
    <n v="866"/>
    <x v="7"/>
    <x v="25"/>
    <x v="22"/>
    <x v="2"/>
    <m/>
    <m/>
    <m/>
    <m/>
    <m/>
    <m/>
    <m/>
    <m/>
    <m/>
    <s v="-"/>
    <n v="0"/>
    <s v="-"/>
    <n v="0"/>
    <s v="-"/>
    <n v="0"/>
    <s v="-"/>
    <n v="0"/>
    <m/>
    <n v="0"/>
    <m/>
    <m/>
    <m/>
    <m/>
    <n v="0"/>
    <m/>
    <n v="0"/>
    <m/>
    <n v="0"/>
    <m/>
    <n v="0"/>
    <m/>
    <n v="0"/>
    <m/>
    <m/>
    <m/>
    <m/>
    <n v="0"/>
    <m/>
    <n v="0"/>
    <m/>
    <n v="0"/>
    <m/>
    <n v="0"/>
    <m/>
    <n v="0"/>
    <m/>
    <m/>
    <m/>
    <m/>
    <n v="0"/>
    <n v="0"/>
    <n v="0"/>
    <n v="0"/>
    <n v="0"/>
    <n v="0"/>
    <n v="0"/>
    <n v="0"/>
    <n v="0"/>
    <m/>
    <n v="0"/>
    <n v="0"/>
    <m/>
    <m/>
    <s v="Sex workers and their clients"/>
    <s v="HIV"/>
    <x v="1"/>
  </r>
  <r>
    <n v="867"/>
    <x v="7"/>
    <x v="25"/>
    <x v="22"/>
    <x v="3"/>
    <m/>
    <m/>
    <m/>
    <m/>
    <m/>
    <m/>
    <m/>
    <m/>
    <m/>
    <s v="-"/>
    <n v="0"/>
    <s v="-"/>
    <n v="0"/>
    <s v="-"/>
    <n v="0"/>
    <s v="-"/>
    <n v="0"/>
    <m/>
    <n v="0"/>
    <m/>
    <m/>
    <m/>
    <m/>
    <n v="0"/>
    <m/>
    <n v="0"/>
    <m/>
    <n v="0"/>
    <m/>
    <n v="0"/>
    <m/>
    <n v="0"/>
    <m/>
    <m/>
    <m/>
    <m/>
    <n v="0"/>
    <m/>
    <n v="0"/>
    <m/>
    <n v="0"/>
    <m/>
    <n v="0"/>
    <m/>
    <n v="0"/>
    <m/>
    <m/>
    <m/>
    <m/>
    <n v="0"/>
    <n v="0"/>
    <n v="0"/>
    <n v="0"/>
    <n v="0"/>
    <n v="0"/>
    <n v="0"/>
    <n v="0"/>
    <n v="0"/>
    <m/>
    <n v="0"/>
    <n v="0"/>
    <m/>
    <m/>
    <s v="Sex workers and their clients"/>
    <s v="HIV"/>
    <x v="1"/>
  </r>
  <r>
    <n v="868"/>
    <x v="7"/>
    <x v="25"/>
    <x v="22"/>
    <x v="4"/>
    <m/>
    <m/>
    <m/>
    <m/>
    <m/>
    <m/>
    <m/>
    <m/>
    <m/>
    <s v="-"/>
    <n v="0"/>
    <s v="-"/>
    <n v="0"/>
    <s v="-"/>
    <n v="0"/>
    <s v="-"/>
    <n v="0"/>
    <m/>
    <n v="0"/>
    <m/>
    <m/>
    <m/>
    <m/>
    <n v="0"/>
    <m/>
    <n v="0"/>
    <m/>
    <n v="0"/>
    <m/>
    <n v="0"/>
    <m/>
    <n v="0"/>
    <m/>
    <m/>
    <m/>
    <m/>
    <n v="0"/>
    <m/>
    <n v="0"/>
    <m/>
    <n v="0"/>
    <m/>
    <n v="0"/>
    <m/>
    <n v="0"/>
    <m/>
    <m/>
    <m/>
    <m/>
    <n v="0"/>
    <n v="0"/>
    <n v="0"/>
    <n v="0"/>
    <n v="0"/>
    <n v="0"/>
    <n v="0"/>
    <n v="0"/>
    <n v="0"/>
    <m/>
    <n v="0"/>
    <n v="0"/>
    <m/>
    <m/>
    <s v="Sex workers and their clients"/>
    <s v="HIV"/>
    <x v="1"/>
  </r>
  <r>
    <n v="869"/>
    <x v="7"/>
    <x v="25"/>
    <x v="22"/>
    <x v="5"/>
    <m/>
    <m/>
    <m/>
    <m/>
    <m/>
    <m/>
    <m/>
    <m/>
    <m/>
    <s v="-"/>
    <n v="0"/>
    <s v="-"/>
    <n v="0"/>
    <s v="-"/>
    <n v="0"/>
    <s v="-"/>
    <n v="0"/>
    <m/>
    <n v="0"/>
    <m/>
    <m/>
    <m/>
    <m/>
    <n v="0"/>
    <m/>
    <n v="0"/>
    <m/>
    <n v="0"/>
    <m/>
    <n v="0"/>
    <m/>
    <n v="0"/>
    <m/>
    <m/>
    <m/>
    <m/>
    <n v="0"/>
    <m/>
    <n v="0"/>
    <m/>
    <n v="0"/>
    <m/>
    <n v="0"/>
    <m/>
    <n v="0"/>
    <m/>
    <m/>
    <m/>
    <m/>
    <n v="0"/>
    <n v="0"/>
    <n v="0"/>
    <n v="0"/>
    <n v="0"/>
    <n v="0"/>
    <n v="0"/>
    <n v="0"/>
    <n v="0"/>
    <m/>
    <n v="0"/>
    <n v="0"/>
    <m/>
    <m/>
    <s v="Sex workers and their clients"/>
    <s v="HIV"/>
    <x v="1"/>
  </r>
  <r>
    <n v="870"/>
    <x v="7"/>
    <x v="25"/>
    <x v="22"/>
    <x v="6"/>
    <m/>
    <m/>
    <m/>
    <m/>
    <m/>
    <m/>
    <m/>
    <m/>
    <m/>
    <s v="-"/>
    <n v="0"/>
    <s v="-"/>
    <n v="0"/>
    <s v="-"/>
    <n v="0"/>
    <s v="-"/>
    <n v="0"/>
    <m/>
    <n v="0"/>
    <m/>
    <m/>
    <m/>
    <m/>
    <n v="0"/>
    <m/>
    <n v="0"/>
    <m/>
    <n v="0"/>
    <m/>
    <n v="0"/>
    <m/>
    <n v="0"/>
    <m/>
    <m/>
    <m/>
    <m/>
    <n v="0"/>
    <m/>
    <n v="0"/>
    <m/>
    <n v="0"/>
    <m/>
    <n v="0"/>
    <m/>
    <n v="0"/>
    <m/>
    <m/>
    <m/>
    <m/>
    <n v="0"/>
    <n v="0"/>
    <n v="0"/>
    <n v="0"/>
    <n v="0"/>
    <n v="0"/>
    <n v="0"/>
    <n v="0"/>
    <n v="0"/>
    <m/>
    <n v="0"/>
    <n v="0"/>
    <m/>
    <m/>
    <s v="Sex workers and their clients"/>
    <s v="HIV"/>
    <x v="1"/>
  </r>
  <r>
    <n v="871"/>
    <x v="7"/>
    <x v="25"/>
    <x v="22"/>
    <x v="7"/>
    <m/>
    <m/>
    <m/>
    <m/>
    <m/>
    <m/>
    <m/>
    <m/>
    <m/>
    <s v="-"/>
    <n v="0"/>
    <s v="-"/>
    <n v="0"/>
    <s v="-"/>
    <n v="0"/>
    <s v="-"/>
    <n v="0"/>
    <m/>
    <n v="0"/>
    <m/>
    <m/>
    <m/>
    <m/>
    <n v="0"/>
    <m/>
    <n v="0"/>
    <m/>
    <n v="0"/>
    <m/>
    <n v="0"/>
    <m/>
    <n v="0"/>
    <m/>
    <m/>
    <m/>
    <m/>
    <n v="0"/>
    <m/>
    <n v="0"/>
    <m/>
    <n v="0"/>
    <m/>
    <n v="0"/>
    <m/>
    <n v="0"/>
    <m/>
    <m/>
    <m/>
    <m/>
    <n v="0"/>
    <n v="0"/>
    <n v="0"/>
    <n v="0"/>
    <n v="0"/>
    <n v="0"/>
    <n v="0"/>
    <n v="0"/>
    <n v="0"/>
    <m/>
    <n v="0"/>
    <n v="0"/>
    <m/>
    <m/>
    <s v="Sex workers and their clients"/>
    <s v="HIV"/>
    <x v="1"/>
  </r>
  <r>
    <n v="872"/>
    <x v="7"/>
    <x v="26"/>
    <x v="42"/>
    <x v="11"/>
    <m/>
    <m/>
    <m/>
    <m/>
    <m/>
    <m/>
    <m/>
    <m/>
    <m/>
    <s v="-"/>
    <n v="0"/>
    <s v="-"/>
    <n v="0"/>
    <s v="-"/>
    <n v="0"/>
    <s v="-"/>
    <n v="0"/>
    <m/>
    <n v="0"/>
    <m/>
    <m/>
    <m/>
    <m/>
    <n v="0"/>
    <m/>
    <n v="0"/>
    <m/>
    <n v="0"/>
    <m/>
    <n v="0"/>
    <m/>
    <n v="0"/>
    <m/>
    <m/>
    <m/>
    <m/>
    <n v="0"/>
    <m/>
    <n v="0"/>
    <m/>
    <n v="0"/>
    <m/>
    <n v="0"/>
    <m/>
    <n v="0"/>
    <m/>
    <m/>
    <m/>
    <m/>
    <n v="0"/>
    <n v="0"/>
    <n v="0"/>
    <n v="0"/>
    <n v="0"/>
    <n v="0"/>
    <n v="0"/>
    <n v="0"/>
    <n v="0"/>
    <m/>
    <n v="0"/>
    <n v="0"/>
    <m/>
    <m/>
    <s v="Sex workers and their clients"/>
    <s v="HIV"/>
    <x v="22"/>
  </r>
  <r>
    <n v="873"/>
    <x v="7"/>
    <x v="26"/>
    <x v="22"/>
    <x v="1"/>
    <m/>
    <m/>
    <m/>
    <m/>
    <m/>
    <m/>
    <m/>
    <m/>
    <m/>
    <s v="-"/>
    <n v="0"/>
    <s v="-"/>
    <n v="0"/>
    <s v="-"/>
    <n v="0"/>
    <s v="-"/>
    <n v="0"/>
    <m/>
    <n v="0"/>
    <m/>
    <m/>
    <m/>
    <m/>
    <n v="0"/>
    <m/>
    <n v="0"/>
    <m/>
    <n v="0"/>
    <m/>
    <n v="0"/>
    <m/>
    <n v="0"/>
    <m/>
    <m/>
    <m/>
    <m/>
    <n v="0"/>
    <m/>
    <n v="0"/>
    <m/>
    <n v="0"/>
    <m/>
    <n v="0"/>
    <m/>
    <n v="0"/>
    <m/>
    <m/>
    <m/>
    <m/>
    <n v="0"/>
    <n v="0"/>
    <n v="0"/>
    <n v="0"/>
    <n v="0"/>
    <n v="0"/>
    <n v="0"/>
    <n v="0"/>
    <n v="0"/>
    <m/>
    <n v="0"/>
    <n v="0"/>
    <m/>
    <m/>
    <s v="Sex workers and their clients"/>
    <s v="HIV"/>
    <x v="1"/>
  </r>
  <r>
    <n v="874"/>
    <x v="7"/>
    <x v="26"/>
    <x v="22"/>
    <x v="2"/>
    <m/>
    <m/>
    <m/>
    <m/>
    <m/>
    <m/>
    <m/>
    <m/>
    <m/>
    <s v="-"/>
    <n v="0"/>
    <s v="-"/>
    <n v="0"/>
    <s v="-"/>
    <n v="0"/>
    <s v="-"/>
    <n v="0"/>
    <m/>
    <n v="0"/>
    <m/>
    <m/>
    <m/>
    <m/>
    <n v="0"/>
    <m/>
    <n v="0"/>
    <m/>
    <n v="0"/>
    <m/>
    <n v="0"/>
    <m/>
    <n v="0"/>
    <m/>
    <m/>
    <m/>
    <m/>
    <n v="0"/>
    <m/>
    <n v="0"/>
    <m/>
    <n v="0"/>
    <m/>
    <n v="0"/>
    <m/>
    <n v="0"/>
    <m/>
    <m/>
    <m/>
    <m/>
    <n v="0"/>
    <n v="0"/>
    <n v="0"/>
    <n v="0"/>
    <n v="0"/>
    <n v="0"/>
    <n v="0"/>
    <n v="0"/>
    <n v="0"/>
    <m/>
    <n v="0"/>
    <n v="0"/>
    <m/>
    <m/>
    <s v="Sex workers and their clients"/>
    <s v="HIV"/>
    <x v="1"/>
  </r>
  <r>
    <n v="875"/>
    <x v="7"/>
    <x v="26"/>
    <x v="22"/>
    <x v="3"/>
    <m/>
    <m/>
    <m/>
    <m/>
    <m/>
    <m/>
    <m/>
    <m/>
    <m/>
    <s v="-"/>
    <n v="0"/>
    <s v="-"/>
    <n v="0"/>
    <s v="-"/>
    <n v="0"/>
    <s v="-"/>
    <n v="0"/>
    <m/>
    <n v="0"/>
    <m/>
    <m/>
    <m/>
    <m/>
    <n v="0"/>
    <m/>
    <n v="0"/>
    <m/>
    <n v="0"/>
    <m/>
    <n v="0"/>
    <m/>
    <n v="0"/>
    <m/>
    <m/>
    <m/>
    <m/>
    <n v="0"/>
    <m/>
    <n v="0"/>
    <m/>
    <n v="0"/>
    <m/>
    <n v="0"/>
    <m/>
    <n v="0"/>
    <m/>
    <m/>
    <m/>
    <m/>
    <n v="0"/>
    <n v="0"/>
    <n v="0"/>
    <n v="0"/>
    <n v="0"/>
    <n v="0"/>
    <n v="0"/>
    <n v="0"/>
    <n v="0"/>
    <m/>
    <n v="0"/>
    <n v="0"/>
    <m/>
    <m/>
    <s v="Sex workers and their clients"/>
    <s v="HIV"/>
    <x v="1"/>
  </r>
  <r>
    <n v="876"/>
    <x v="7"/>
    <x v="26"/>
    <x v="22"/>
    <x v="4"/>
    <m/>
    <m/>
    <m/>
    <m/>
    <m/>
    <m/>
    <m/>
    <m/>
    <m/>
    <s v="-"/>
    <n v="0"/>
    <s v="-"/>
    <n v="0"/>
    <s v="-"/>
    <n v="0"/>
    <s v="-"/>
    <n v="0"/>
    <m/>
    <n v="0"/>
    <m/>
    <m/>
    <m/>
    <m/>
    <n v="0"/>
    <m/>
    <n v="0"/>
    <m/>
    <n v="0"/>
    <m/>
    <n v="0"/>
    <m/>
    <n v="0"/>
    <m/>
    <m/>
    <m/>
    <m/>
    <n v="0"/>
    <m/>
    <n v="0"/>
    <m/>
    <n v="0"/>
    <m/>
    <n v="0"/>
    <m/>
    <n v="0"/>
    <m/>
    <m/>
    <m/>
    <m/>
    <n v="0"/>
    <n v="0"/>
    <n v="0"/>
    <n v="0"/>
    <n v="0"/>
    <n v="0"/>
    <n v="0"/>
    <n v="0"/>
    <n v="0"/>
    <m/>
    <n v="0"/>
    <n v="0"/>
    <m/>
    <m/>
    <s v="Sex workers and their clients"/>
    <s v="HIV"/>
    <x v="1"/>
  </r>
  <r>
    <n v="877"/>
    <x v="7"/>
    <x v="26"/>
    <x v="22"/>
    <x v="5"/>
    <m/>
    <m/>
    <m/>
    <m/>
    <m/>
    <m/>
    <m/>
    <m/>
    <m/>
    <s v="-"/>
    <n v="0"/>
    <s v="-"/>
    <n v="0"/>
    <s v="-"/>
    <n v="0"/>
    <s v="-"/>
    <n v="0"/>
    <m/>
    <n v="0"/>
    <m/>
    <m/>
    <m/>
    <m/>
    <n v="0"/>
    <m/>
    <n v="0"/>
    <m/>
    <n v="0"/>
    <m/>
    <n v="0"/>
    <m/>
    <n v="0"/>
    <m/>
    <m/>
    <m/>
    <m/>
    <n v="0"/>
    <m/>
    <n v="0"/>
    <m/>
    <n v="0"/>
    <m/>
    <n v="0"/>
    <m/>
    <n v="0"/>
    <m/>
    <m/>
    <m/>
    <m/>
    <n v="0"/>
    <n v="0"/>
    <n v="0"/>
    <n v="0"/>
    <n v="0"/>
    <n v="0"/>
    <n v="0"/>
    <n v="0"/>
    <n v="0"/>
    <m/>
    <n v="0"/>
    <n v="0"/>
    <m/>
    <m/>
    <s v="Sex workers and their clients"/>
    <s v="HIV"/>
    <x v="1"/>
  </r>
  <r>
    <n v="878"/>
    <x v="7"/>
    <x v="26"/>
    <x v="22"/>
    <x v="6"/>
    <m/>
    <m/>
    <m/>
    <m/>
    <m/>
    <m/>
    <m/>
    <m/>
    <m/>
    <s v="-"/>
    <n v="0"/>
    <s v="-"/>
    <n v="0"/>
    <s v="-"/>
    <n v="0"/>
    <s v="-"/>
    <n v="0"/>
    <m/>
    <n v="0"/>
    <m/>
    <m/>
    <m/>
    <m/>
    <n v="0"/>
    <m/>
    <n v="0"/>
    <m/>
    <n v="0"/>
    <m/>
    <n v="0"/>
    <m/>
    <n v="0"/>
    <m/>
    <m/>
    <m/>
    <m/>
    <n v="0"/>
    <m/>
    <n v="0"/>
    <m/>
    <n v="0"/>
    <m/>
    <n v="0"/>
    <m/>
    <n v="0"/>
    <m/>
    <m/>
    <m/>
    <m/>
    <n v="0"/>
    <n v="0"/>
    <n v="0"/>
    <n v="0"/>
    <n v="0"/>
    <n v="0"/>
    <n v="0"/>
    <n v="0"/>
    <n v="0"/>
    <m/>
    <n v="0"/>
    <n v="0"/>
    <m/>
    <m/>
    <s v="Sex workers and their clients"/>
    <s v="HIV"/>
    <x v="1"/>
  </r>
  <r>
    <n v="879"/>
    <x v="7"/>
    <x v="26"/>
    <x v="22"/>
    <x v="7"/>
    <m/>
    <m/>
    <m/>
    <m/>
    <m/>
    <m/>
    <m/>
    <m/>
    <m/>
    <s v="-"/>
    <n v="0"/>
    <s v="-"/>
    <n v="0"/>
    <s v="-"/>
    <n v="0"/>
    <s v="-"/>
    <n v="0"/>
    <m/>
    <n v="0"/>
    <m/>
    <m/>
    <m/>
    <m/>
    <n v="0"/>
    <m/>
    <n v="0"/>
    <m/>
    <n v="0"/>
    <m/>
    <n v="0"/>
    <m/>
    <n v="0"/>
    <m/>
    <m/>
    <m/>
    <m/>
    <n v="0"/>
    <m/>
    <n v="0"/>
    <m/>
    <n v="0"/>
    <m/>
    <n v="0"/>
    <m/>
    <n v="0"/>
    <m/>
    <m/>
    <m/>
    <m/>
    <n v="0"/>
    <n v="0"/>
    <n v="0"/>
    <n v="0"/>
    <n v="0"/>
    <n v="0"/>
    <n v="0"/>
    <n v="0"/>
    <n v="0"/>
    <m/>
    <n v="0"/>
    <n v="0"/>
    <m/>
    <m/>
    <s v="Sex workers and their clients"/>
    <s v="HIV"/>
    <x v="1"/>
  </r>
  <r>
    <n v="880"/>
    <x v="7"/>
    <x v="27"/>
    <x v="42"/>
    <x v="11"/>
    <m/>
    <m/>
    <m/>
    <m/>
    <m/>
    <m/>
    <m/>
    <m/>
    <m/>
    <s v="-"/>
    <n v="0"/>
    <s v="-"/>
    <n v="0"/>
    <s v="-"/>
    <n v="0"/>
    <s v="-"/>
    <n v="0"/>
    <m/>
    <n v="0"/>
    <m/>
    <m/>
    <m/>
    <m/>
    <n v="0"/>
    <m/>
    <n v="0"/>
    <m/>
    <n v="0"/>
    <m/>
    <n v="0"/>
    <m/>
    <n v="0"/>
    <m/>
    <m/>
    <m/>
    <m/>
    <n v="0"/>
    <m/>
    <n v="0"/>
    <m/>
    <n v="0"/>
    <m/>
    <n v="0"/>
    <m/>
    <n v="0"/>
    <m/>
    <m/>
    <m/>
    <m/>
    <n v="0"/>
    <n v="0"/>
    <n v="0"/>
    <n v="0"/>
    <n v="0"/>
    <n v="0"/>
    <n v="0"/>
    <n v="0"/>
    <n v="0"/>
    <m/>
    <n v="0"/>
    <n v="0"/>
    <m/>
    <m/>
    <s v="Sex workers and their clients"/>
    <s v="HIV"/>
    <x v="22"/>
  </r>
  <r>
    <n v="881"/>
    <x v="7"/>
    <x v="27"/>
    <x v="22"/>
    <x v="1"/>
    <m/>
    <m/>
    <m/>
    <m/>
    <m/>
    <m/>
    <m/>
    <m/>
    <m/>
    <s v="-"/>
    <n v="0"/>
    <s v="-"/>
    <n v="0"/>
    <s v="-"/>
    <n v="0"/>
    <s v="-"/>
    <n v="0"/>
    <m/>
    <n v="0"/>
    <m/>
    <m/>
    <m/>
    <m/>
    <n v="0"/>
    <m/>
    <n v="0"/>
    <m/>
    <n v="0"/>
    <m/>
    <n v="0"/>
    <m/>
    <n v="0"/>
    <m/>
    <m/>
    <m/>
    <m/>
    <n v="0"/>
    <m/>
    <n v="0"/>
    <m/>
    <n v="0"/>
    <m/>
    <n v="0"/>
    <m/>
    <n v="0"/>
    <m/>
    <m/>
    <m/>
    <m/>
    <n v="0"/>
    <n v="0"/>
    <n v="0"/>
    <n v="0"/>
    <n v="0"/>
    <n v="0"/>
    <n v="0"/>
    <n v="0"/>
    <n v="0"/>
    <m/>
    <n v="0"/>
    <n v="0"/>
    <m/>
    <m/>
    <s v="Sex workers and their clients"/>
    <s v="HIV"/>
    <x v="1"/>
  </r>
  <r>
    <n v="882"/>
    <x v="7"/>
    <x v="27"/>
    <x v="22"/>
    <x v="2"/>
    <m/>
    <m/>
    <m/>
    <m/>
    <m/>
    <m/>
    <m/>
    <m/>
    <m/>
    <s v="-"/>
    <n v="0"/>
    <s v="-"/>
    <n v="0"/>
    <s v="-"/>
    <n v="0"/>
    <s v="-"/>
    <n v="0"/>
    <m/>
    <n v="0"/>
    <m/>
    <m/>
    <m/>
    <m/>
    <n v="0"/>
    <m/>
    <n v="0"/>
    <m/>
    <n v="0"/>
    <m/>
    <n v="0"/>
    <m/>
    <n v="0"/>
    <m/>
    <m/>
    <m/>
    <m/>
    <n v="0"/>
    <m/>
    <n v="0"/>
    <m/>
    <n v="0"/>
    <m/>
    <n v="0"/>
    <m/>
    <n v="0"/>
    <m/>
    <m/>
    <m/>
    <m/>
    <n v="0"/>
    <n v="0"/>
    <n v="0"/>
    <n v="0"/>
    <n v="0"/>
    <n v="0"/>
    <n v="0"/>
    <n v="0"/>
    <n v="0"/>
    <m/>
    <n v="0"/>
    <n v="0"/>
    <m/>
    <m/>
    <s v="Sex workers and their clients"/>
    <s v="HIV"/>
    <x v="1"/>
  </r>
  <r>
    <n v="883"/>
    <x v="7"/>
    <x v="27"/>
    <x v="22"/>
    <x v="3"/>
    <m/>
    <m/>
    <m/>
    <m/>
    <m/>
    <m/>
    <m/>
    <m/>
    <m/>
    <s v="-"/>
    <n v="0"/>
    <s v="-"/>
    <n v="0"/>
    <s v="-"/>
    <n v="0"/>
    <s v="-"/>
    <n v="0"/>
    <m/>
    <n v="0"/>
    <m/>
    <m/>
    <m/>
    <m/>
    <n v="0"/>
    <m/>
    <n v="0"/>
    <m/>
    <n v="0"/>
    <m/>
    <n v="0"/>
    <m/>
    <n v="0"/>
    <m/>
    <m/>
    <m/>
    <m/>
    <n v="0"/>
    <m/>
    <n v="0"/>
    <m/>
    <n v="0"/>
    <m/>
    <n v="0"/>
    <m/>
    <n v="0"/>
    <m/>
    <m/>
    <m/>
    <m/>
    <n v="0"/>
    <n v="0"/>
    <n v="0"/>
    <n v="0"/>
    <n v="0"/>
    <n v="0"/>
    <n v="0"/>
    <n v="0"/>
    <n v="0"/>
    <m/>
    <n v="0"/>
    <n v="0"/>
    <m/>
    <m/>
    <s v="Sex workers and their clients"/>
    <s v="HIV"/>
    <x v="1"/>
  </r>
  <r>
    <n v="884"/>
    <x v="7"/>
    <x v="27"/>
    <x v="22"/>
    <x v="4"/>
    <m/>
    <m/>
    <m/>
    <m/>
    <m/>
    <m/>
    <m/>
    <m/>
    <m/>
    <s v="-"/>
    <n v="0"/>
    <s v="-"/>
    <n v="0"/>
    <s v="-"/>
    <n v="0"/>
    <s v="-"/>
    <n v="0"/>
    <m/>
    <n v="0"/>
    <m/>
    <m/>
    <m/>
    <m/>
    <n v="0"/>
    <m/>
    <n v="0"/>
    <m/>
    <n v="0"/>
    <m/>
    <n v="0"/>
    <m/>
    <n v="0"/>
    <m/>
    <m/>
    <m/>
    <m/>
    <n v="0"/>
    <m/>
    <n v="0"/>
    <m/>
    <n v="0"/>
    <m/>
    <n v="0"/>
    <m/>
    <n v="0"/>
    <m/>
    <m/>
    <m/>
    <m/>
    <n v="0"/>
    <n v="0"/>
    <n v="0"/>
    <n v="0"/>
    <n v="0"/>
    <n v="0"/>
    <n v="0"/>
    <n v="0"/>
    <n v="0"/>
    <m/>
    <n v="0"/>
    <n v="0"/>
    <m/>
    <m/>
    <s v="Sex workers and their clients"/>
    <s v="HIV"/>
    <x v="1"/>
  </r>
  <r>
    <n v="885"/>
    <x v="7"/>
    <x v="27"/>
    <x v="22"/>
    <x v="5"/>
    <m/>
    <m/>
    <m/>
    <m/>
    <m/>
    <m/>
    <m/>
    <m/>
    <m/>
    <s v="-"/>
    <n v="0"/>
    <s v="-"/>
    <n v="0"/>
    <s v="-"/>
    <n v="0"/>
    <s v="-"/>
    <n v="0"/>
    <m/>
    <n v="0"/>
    <m/>
    <m/>
    <m/>
    <m/>
    <n v="0"/>
    <m/>
    <n v="0"/>
    <m/>
    <n v="0"/>
    <m/>
    <n v="0"/>
    <m/>
    <n v="0"/>
    <m/>
    <m/>
    <m/>
    <m/>
    <n v="0"/>
    <m/>
    <n v="0"/>
    <m/>
    <n v="0"/>
    <m/>
    <n v="0"/>
    <m/>
    <n v="0"/>
    <m/>
    <m/>
    <m/>
    <m/>
    <n v="0"/>
    <n v="0"/>
    <n v="0"/>
    <n v="0"/>
    <n v="0"/>
    <n v="0"/>
    <n v="0"/>
    <n v="0"/>
    <n v="0"/>
    <m/>
    <n v="0"/>
    <n v="0"/>
    <m/>
    <m/>
    <s v="Sex workers and their clients"/>
    <s v="HIV"/>
    <x v="1"/>
  </r>
  <r>
    <n v="886"/>
    <x v="7"/>
    <x v="27"/>
    <x v="22"/>
    <x v="6"/>
    <m/>
    <m/>
    <m/>
    <m/>
    <m/>
    <m/>
    <m/>
    <m/>
    <m/>
    <s v="-"/>
    <n v="0"/>
    <s v="-"/>
    <n v="0"/>
    <s v="-"/>
    <n v="0"/>
    <s v="-"/>
    <n v="0"/>
    <m/>
    <n v="0"/>
    <m/>
    <m/>
    <m/>
    <m/>
    <n v="0"/>
    <m/>
    <n v="0"/>
    <m/>
    <n v="0"/>
    <m/>
    <n v="0"/>
    <m/>
    <n v="0"/>
    <m/>
    <m/>
    <m/>
    <m/>
    <n v="0"/>
    <m/>
    <n v="0"/>
    <m/>
    <n v="0"/>
    <m/>
    <n v="0"/>
    <m/>
    <n v="0"/>
    <m/>
    <m/>
    <m/>
    <m/>
    <n v="0"/>
    <n v="0"/>
    <n v="0"/>
    <n v="0"/>
    <n v="0"/>
    <n v="0"/>
    <n v="0"/>
    <n v="0"/>
    <n v="0"/>
    <m/>
    <n v="0"/>
    <n v="0"/>
    <m/>
    <m/>
    <s v="Sex workers and their clients"/>
    <s v="HIV"/>
    <x v="1"/>
  </r>
  <r>
    <n v="887"/>
    <x v="7"/>
    <x v="27"/>
    <x v="22"/>
    <x v="7"/>
    <m/>
    <m/>
    <m/>
    <m/>
    <m/>
    <m/>
    <m/>
    <m/>
    <m/>
    <s v="-"/>
    <n v="0"/>
    <s v="-"/>
    <n v="0"/>
    <s v="-"/>
    <n v="0"/>
    <s v="-"/>
    <n v="0"/>
    <m/>
    <n v="0"/>
    <m/>
    <m/>
    <m/>
    <m/>
    <n v="0"/>
    <m/>
    <n v="0"/>
    <m/>
    <n v="0"/>
    <m/>
    <n v="0"/>
    <m/>
    <n v="0"/>
    <m/>
    <m/>
    <m/>
    <m/>
    <n v="0"/>
    <m/>
    <n v="0"/>
    <m/>
    <n v="0"/>
    <m/>
    <n v="0"/>
    <m/>
    <n v="0"/>
    <m/>
    <m/>
    <m/>
    <m/>
    <n v="0"/>
    <n v="0"/>
    <n v="0"/>
    <n v="0"/>
    <n v="0"/>
    <n v="0"/>
    <n v="0"/>
    <n v="0"/>
    <n v="0"/>
    <m/>
    <n v="0"/>
    <n v="0"/>
    <m/>
    <m/>
    <s v="Sex workers and their clients"/>
    <s v="HIV"/>
    <x v="1"/>
  </r>
  <r>
    <n v="888"/>
    <x v="7"/>
    <x v="25"/>
    <x v="43"/>
    <x v="11"/>
    <m/>
    <m/>
    <m/>
    <m/>
    <m/>
    <m/>
    <m/>
    <m/>
    <m/>
    <s v="-"/>
    <n v="0"/>
    <s v="-"/>
    <n v="0"/>
    <s v="-"/>
    <n v="0"/>
    <s v="-"/>
    <n v="0"/>
    <m/>
    <n v="0"/>
    <m/>
    <m/>
    <m/>
    <m/>
    <n v="0"/>
    <m/>
    <n v="0"/>
    <m/>
    <n v="0"/>
    <m/>
    <n v="0"/>
    <m/>
    <n v="0"/>
    <m/>
    <m/>
    <m/>
    <m/>
    <n v="0"/>
    <m/>
    <n v="0"/>
    <m/>
    <n v="0"/>
    <m/>
    <n v="0"/>
    <m/>
    <n v="0"/>
    <m/>
    <m/>
    <m/>
    <m/>
    <n v="0"/>
    <n v="0"/>
    <n v="0"/>
    <n v="0"/>
    <n v="0"/>
    <n v="0"/>
    <n v="0"/>
    <n v="0"/>
    <n v="0"/>
    <m/>
    <n v="0"/>
    <n v="0"/>
    <m/>
    <m/>
    <s v="Transgender people"/>
    <s v="HIV"/>
    <x v="22"/>
  </r>
  <r>
    <n v="889"/>
    <x v="7"/>
    <x v="25"/>
    <x v="24"/>
    <x v="1"/>
    <m/>
    <m/>
    <m/>
    <m/>
    <m/>
    <m/>
    <m/>
    <m/>
    <m/>
    <s v="-"/>
    <n v="0"/>
    <s v="-"/>
    <n v="0"/>
    <s v="-"/>
    <n v="0"/>
    <s v="-"/>
    <n v="0"/>
    <m/>
    <n v="0"/>
    <m/>
    <m/>
    <m/>
    <m/>
    <n v="0"/>
    <m/>
    <n v="0"/>
    <m/>
    <n v="0"/>
    <m/>
    <n v="0"/>
    <m/>
    <n v="0"/>
    <m/>
    <m/>
    <m/>
    <m/>
    <n v="0"/>
    <m/>
    <n v="0"/>
    <m/>
    <n v="0"/>
    <m/>
    <n v="0"/>
    <m/>
    <n v="0"/>
    <m/>
    <m/>
    <m/>
    <m/>
    <n v="0"/>
    <n v="0"/>
    <n v="0"/>
    <n v="0"/>
    <n v="0"/>
    <n v="0"/>
    <n v="0"/>
    <n v="0"/>
    <n v="0"/>
    <m/>
    <n v="0"/>
    <n v="0"/>
    <m/>
    <m/>
    <s v="Transgender people"/>
    <s v="HIV"/>
    <x v="1"/>
  </r>
  <r>
    <n v="890"/>
    <x v="7"/>
    <x v="25"/>
    <x v="24"/>
    <x v="2"/>
    <m/>
    <m/>
    <m/>
    <m/>
    <m/>
    <m/>
    <m/>
    <m/>
    <m/>
    <s v="-"/>
    <n v="0"/>
    <s v="-"/>
    <n v="0"/>
    <s v="-"/>
    <n v="0"/>
    <s v="-"/>
    <n v="0"/>
    <m/>
    <n v="0"/>
    <m/>
    <m/>
    <m/>
    <m/>
    <n v="0"/>
    <m/>
    <n v="0"/>
    <m/>
    <n v="0"/>
    <m/>
    <n v="0"/>
    <m/>
    <n v="0"/>
    <m/>
    <m/>
    <m/>
    <m/>
    <n v="0"/>
    <m/>
    <n v="0"/>
    <m/>
    <n v="0"/>
    <m/>
    <n v="0"/>
    <m/>
    <n v="0"/>
    <m/>
    <m/>
    <m/>
    <m/>
    <n v="0"/>
    <n v="0"/>
    <n v="0"/>
    <n v="0"/>
    <n v="0"/>
    <n v="0"/>
    <n v="0"/>
    <n v="0"/>
    <n v="0"/>
    <m/>
    <n v="0"/>
    <n v="0"/>
    <m/>
    <m/>
    <s v="Transgender people"/>
    <s v="HIV"/>
    <x v="1"/>
  </r>
  <r>
    <n v="891"/>
    <x v="7"/>
    <x v="25"/>
    <x v="24"/>
    <x v="3"/>
    <m/>
    <m/>
    <m/>
    <m/>
    <m/>
    <m/>
    <m/>
    <m/>
    <m/>
    <s v="-"/>
    <n v="0"/>
    <s v="-"/>
    <n v="0"/>
    <s v="-"/>
    <n v="0"/>
    <s v="-"/>
    <n v="0"/>
    <m/>
    <n v="0"/>
    <m/>
    <m/>
    <m/>
    <m/>
    <n v="0"/>
    <m/>
    <n v="0"/>
    <m/>
    <n v="0"/>
    <m/>
    <n v="0"/>
    <m/>
    <n v="0"/>
    <m/>
    <m/>
    <m/>
    <m/>
    <n v="0"/>
    <m/>
    <n v="0"/>
    <m/>
    <n v="0"/>
    <m/>
    <n v="0"/>
    <m/>
    <n v="0"/>
    <m/>
    <m/>
    <m/>
    <m/>
    <n v="0"/>
    <n v="0"/>
    <n v="0"/>
    <n v="0"/>
    <n v="0"/>
    <n v="0"/>
    <n v="0"/>
    <n v="0"/>
    <n v="0"/>
    <m/>
    <n v="0"/>
    <n v="0"/>
    <m/>
    <m/>
    <s v="Transgender people"/>
    <s v="HIV"/>
    <x v="1"/>
  </r>
  <r>
    <n v="892"/>
    <x v="7"/>
    <x v="25"/>
    <x v="24"/>
    <x v="4"/>
    <m/>
    <m/>
    <m/>
    <m/>
    <m/>
    <m/>
    <m/>
    <m/>
    <m/>
    <s v="-"/>
    <n v="0"/>
    <s v="-"/>
    <n v="0"/>
    <s v="-"/>
    <n v="0"/>
    <s v="-"/>
    <n v="0"/>
    <m/>
    <n v="0"/>
    <m/>
    <m/>
    <m/>
    <m/>
    <n v="0"/>
    <m/>
    <n v="0"/>
    <m/>
    <n v="0"/>
    <m/>
    <n v="0"/>
    <m/>
    <n v="0"/>
    <m/>
    <m/>
    <m/>
    <m/>
    <n v="0"/>
    <m/>
    <n v="0"/>
    <m/>
    <n v="0"/>
    <m/>
    <n v="0"/>
    <m/>
    <n v="0"/>
    <m/>
    <m/>
    <m/>
    <m/>
    <n v="0"/>
    <n v="0"/>
    <n v="0"/>
    <n v="0"/>
    <n v="0"/>
    <n v="0"/>
    <n v="0"/>
    <n v="0"/>
    <n v="0"/>
    <m/>
    <n v="0"/>
    <n v="0"/>
    <m/>
    <m/>
    <s v="Transgender people"/>
    <s v="HIV"/>
    <x v="1"/>
  </r>
  <r>
    <n v="893"/>
    <x v="7"/>
    <x v="25"/>
    <x v="24"/>
    <x v="5"/>
    <m/>
    <m/>
    <m/>
    <m/>
    <m/>
    <m/>
    <m/>
    <m/>
    <m/>
    <s v="-"/>
    <n v="0"/>
    <s v="-"/>
    <n v="0"/>
    <s v="-"/>
    <n v="0"/>
    <s v="-"/>
    <n v="0"/>
    <m/>
    <n v="0"/>
    <m/>
    <m/>
    <m/>
    <m/>
    <n v="0"/>
    <m/>
    <n v="0"/>
    <m/>
    <n v="0"/>
    <m/>
    <n v="0"/>
    <m/>
    <n v="0"/>
    <m/>
    <m/>
    <m/>
    <m/>
    <n v="0"/>
    <m/>
    <n v="0"/>
    <m/>
    <n v="0"/>
    <m/>
    <n v="0"/>
    <m/>
    <n v="0"/>
    <m/>
    <m/>
    <m/>
    <m/>
    <n v="0"/>
    <n v="0"/>
    <n v="0"/>
    <n v="0"/>
    <n v="0"/>
    <n v="0"/>
    <n v="0"/>
    <n v="0"/>
    <n v="0"/>
    <m/>
    <n v="0"/>
    <n v="0"/>
    <m/>
    <m/>
    <s v="Transgender people"/>
    <s v="HIV"/>
    <x v="1"/>
  </r>
  <r>
    <n v="894"/>
    <x v="7"/>
    <x v="25"/>
    <x v="24"/>
    <x v="6"/>
    <m/>
    <m/>
    <m/>
    <m/>
    <m/>
    <m/>
    <m/>
    <m/>
    <m/>
    <s v="-"/>
    <n v="0"/>
    <s v="-"/>
    <n v="0"/>
    <s v="-"/>
    <n v="0"/>
    <s v="-"/>
    <n v="0"/>
    <m/>
    <n v="0"/>
    <m/>
    <m/>
    <m/>
    <m/>
    <n v="0"/>
    <m/>
    <n v="0"/>
    <m/>
    <n v="0"/>
    <m/>
    <n v="0"/>
    <m/>
    <n v="0"/>
    <m/>
    <m/>
    <m/>
    <m/>
    <n v="0"/>
    <m/>
    <n v="0"/>
    <m/>
    <n v="0"/>
    <m/>
    <n v="0"/>
    <m/>
    <n v="0"/>
    <m/>
    <m/>
    <m/>
    <m/>
    <n v="0"/>
    <n v="0"/>
    <n v="0"/>
    <n v="0"/>
    <n v="0"/>
    <n v="0"/>
    <n v="0"/>
    <n v="0"/>
    <n v="0"/>
    <m/>
    <n v="0"/>
    <n v="0"/>
    <m/>
    <m/>
    <s v="Transgender people"/>
    <s v="HIV"/>
    <x v="1"/>
  </r>
  <r>
    <n v="895"/>
    <x v="7"/>
    <x v="25"/>
    <x v="24"/>
    <x v="7"/>
    <m/>
    <m/>
    <m/>
    <m/>
    <m/>
    <m/>
    <m/>
    <m/>
    <m/>
    <s v="-"/>
    <n v="0"/>
    <s v="-"/>
    <n v="0"/>
    <s v="-"/>
    <n v="0"/>
    <s v="-"/>
    <n v="0"/>
    <m/>
    <n v="0"/>
    <m/>
    <m/>
    <m/>
    <m/>
    <n v="0"/>
    <m/>
    <n v="0"/>
    <m/>
    <n v="0"/>
    <m/>
    <n v="0"/>
    <m/>
    <n v="0"/>
    <m/>
    <m/>
    <m/>
    <m/>
    <n v="0"/>
    <m/>
    <n v="0"/>
    <m/>
    <n v="0"/>
    <m/>
    <n v="0"/>
    <m/>
    <n v="0"/>
    <m/>
    <m/>
    <m/>
    <m/>
    <n v="0"/>
    <n v="0"/>
    <n v="0"/>
    <n v="0"/>
    <n v="0"/>
    <n v="0"/>
    <n v="0"/>
    <n v="0"/>
    <n v="0"/>
    <m/>
    <n v="0"/>
    <n v="0"/>
    <m/>
    <m/>
    <s v="Transgender people"/>
    <s v="HIV"/>
    <x v="1"/>
  </r>
  <r>
    <n v="896"/>
    <x v="7"/>
    <x v="26"/>
    <x v="43"/>
    <x v="11"/>
    <m/>
    <m/>
    <m/>
    <m/>
    <m/>
    <m/>
    <m/>
    <m/>
    <m/>
    <s v="-"/>
    <n v="0"/>
    <s v="-"/>
    <n v="0"/>
    <s v="-"/>
    <n v="0"/>
    <s v="-"/>
    <n v="0"/>
    <m/>
    <n v="0"/>
    <m/>
    <m/>
    <m/>
    <m/>
    <n v="0"/>
    <m/>
    <n v="0"/>
    <m/>
    <n v="0"/>
    <m/>
    <n v="0"/>
    <m/>
    <n v="0"/>
    <m/>
    <m/>
    <m/>
    <m/>
    <n v="0"/>
    <m/>
    <n v="0"/>
    <m/>
    <n v="0"/>
    <m/>
    <n v="0"/>
    <m/>
    <n v="0"/>
    <m/>
    <m/>
    <m/>
    <m/>
    <n v="0"/>
    <n v="0"/>
    <n v="0"/>
    <n v="0"/>
    <n v="0"/>
    <n v="0"/>
    <n v="0"/>
    <n v="0"/>
    <n v="0"/>
    <m/>
    <n v="0"/>
    <n v="0"/>
    <m/>
    <m/>
    <s v="Transgender people"/>
    <s v="HIV"/>
    <x v="22"/>
  </r>
  <r>
    <n v="897"/>
    <x v="7"/>
    <x v="26"/>
    <x v="24"/>
    <x v="1"/>
    <m/>
    <m/>
    <m/>
    <m/>
    <m/>
    <m/>
    <m/>
    <m/>
    <m/>
    <s v="-"/>
    <n v="0"/>
    <s v="-"/>
    <n v="0"/>
    <s v="-"/>
    <n v="0"/>
    <s v="-"/>
    <n v="0"/>
    <m/>
    <n v="0"/>
    <m/>
    <m/>
    <m/>
    <m/>
    <n v="0"/>
    <m/>
    <n v="0"/>
    <m/>
    <n v="0"/>
    <m/>
    <n v="0"/>
    <m/>
    <n v="0"/>
    <m/>
    <m/>
    <m/>
    <m/>
    <n v="0"/>
    <m/>
    <n v="0"/>
    <m/>
    <n v="0"/>
    <m/>
    <n v="0"/>
    <m/>
    <n v="0"/>
    <m/>
    <m/>
    <m/>
    <m/>
    <n v="0"/>
    <n v="0"/>
    <n v="0"/>
    <n v="0"/>
    <n v="0"/>
    <n v="0"/>
    <n v="0"/>
    <n v="0"/>
    <n v="0"/>
    <m/>
    <n v="0"/>
    <n v="0"/>
    <m/>
    <m/>
    <s v="Transgender people"/>
    <s v="HIV"/>
    <x v="1"/>
  </r>
  <r>
    <n v="898"/>
    <x v="7"/>
    <x v="26"/>
    <x v="24"/>
    <x v="2"/>
    <m/>
    <m/>
    <m/>
    <m/>
    <m/>
    <m/>
    <m/>
    <m/>
    <m/>
    <s v="-"/>
    <n v="0"/>
    <s v="-"/>
    <n v="0"/>
    <s v="-"/>
    <n v="0"/>
    <s v="-"/>
    <n v="0"/>
    <m/>
    <n v="0"/>
    <m/>
    <m/>
    <m/>
    <m/>
    <n v="0"/>
    <m/>
    <n v="0"/>
    <m/>
    <n v="0"/>
    <m/>
    <n v="0"/>
    <m/>
    <n v="0"/>
    <m/>
    <m/>
    <m/>
    <m/>
    <n v="0"/>
    <m/>
    <n v="0"/>
    <m/>
    <n v="0"/>
    <m/>
    <n v="0"/>
    <m/>
    <n v="0"/>
    <m/>
    <m/>
    <m/>
    <m/>
    <n v="0"/>
    <n v="0"/>
    <n v="0"/>
    <n v="0"/>
    <n v="0"/>
    <n v="0"/>
    <n v="0"/>
    <n v="0"/>
    <n v="0"/>
    <m/>
    <n v="0"/>
    <n v="0"/>
    <m/>
    <m/>
    <s v="Transgender people"/>
    <s v="HIV"/>
    <x v="1"/>
  </r>
  <r>
    <n v="899"/>
    <x v="7"/>
    <x v="26"/>
    <x v="24"/>
    <x v="3"/>
    <m/>
    <m/>
    <m/>
    <m/>
    <m/>
    <m/>
    <m/>
    <m/>
    <m/>
    <s v="-"/>
    <n v="0"/>
    <s v="-"/>
    <n v="0"/>
    <s v="-"/>
    <n v="0"/>
    <s v="-"/>
    <n v="0"/>
    <m/>
    <n v="0"/>
    <m/>
    <m/>
    <m/>
    <m/>
    <n v="0"/>
    <m/>
    <n v="0"/>
    <m/>
    <n v="0"/>
    <m/>
    <n v="0"/>
    <m/>
    <n v="0"/>
    <m/>
    <m/>
    <m/>
    <m/>
    <n v="0"/>
    <m/>
    <n v="0"/>
    <m/>
    <n v="0"/>
    <m/>
    <n v="0"/>
    <m/>
    <n v="0"/>
    <m/>
    <m/>
    <m/>
    <m/>
    <n v="0"/>
    <n v="0"/>
    <n v="0"/>
    <n v="0"/>
    <n v="0"/>
    <n v="0"/>
    <n v="0"/>
    <n v="0"/>
    <n v="0"/>
    <m/>
    <n v="0"/>
    <n v="0"/>
    <m/>
    <m/>
    <s v="Transgender people"/>
    <s v="HIV"/>
    <x v="1"/>
  </r>
  <r>
    <n v="900"/>
    <x v="7"/>
    <x v="26"/>
    <x v="24"/>
    <x v="4"/>
    <m/>
    <m/>
    <m/>
    <m/>
    <m/>
    <m/>
    <m/>
    <m/>
    <m/>
    <s v="-"/>
    <n v="0"/>
    <s v="-"/>
    <n v="0"/>
    <s v="-"/>
    <n v="0"/>
    <s v="-"/>
    <n v="0"/>
    <m/>
    <n v="0"/>
    <m/>
    <m/>
    <m/>
    <m/>
    <n v="0"/>
    <m/>
    <n v="0"/>
    <m/>
    <n v="0"/>
    <m/>
    <n v="0"/>
    <m/>
    <n v="0"/>
    <m/>
    <m/>
    <m/>
    <m/>
    <n v="0"/>
    <m/>
    <n v="0"/>
    <m/>
    <n v="0"/>
    <m/>
    <n v="0"/>
    <m/>
    <n v="0"/>
    <m/>
    <m/>
    <m/>
    <m/>
    <n v="0"/>
    <n v="0"/>
    <n v="0"/>
    <n v="0"/>
    <n v="0"/>
    <n v="0"/>
    <n v="0"/>
    <n v="0"/>
    <n v="0"/>
    <m/>
    <n v="0"/>
    <n v="0"/>
    <m/>
    <m/>
    <s v="Transgender people"/>
    <s v="HIV"/>
    <x v="1"/>
  </r>
  <r>
    <n v="901"/>
    <x v="7"/>
    <x v="26"/>
    <x v="24"/>
    <x v="5"/>
    <m/>
    <m/>
    <m/>
    <m/>
    <m/>
    <m/>
    <m/>
    <m/>
    <m/>
    <s v="-"/>
    <n v="0"/>
    <s v="-"/>
    <n v="0"/>
    <s v="-"/>
    <n v="0"/>
    <s v="-"/>
    <n v="0"/>
    <m/>
    <n v="0"/>
    <m/>
    <m/>
    <m/>
    <m/>
    <n v="0"/>
    <m/>
    <n v="0"/>
    <m/>
    <n v="0"/>
    <m/>
    <n v="0"/>
    <m/>
    <n v="0"/>
    <m/>
    <m/>
    <m/>
    <m/>
    <n v="0"/>
    <m/>
    <n v="0"/>
    <m/>
    <n v="0"/>
    <m/>
    <n v="0"/>
    <m/>
    <n v="0"/>
    <m/>
    <m/>
    <m/>
    <m/>
    <n v="0"/>
    <n v="0"/>
    <n v="0"/>
    <n v="0"/>
    <n v="0"/>
    <n v="0"/>
    <n v="0"/>
    <n v="0"/>
    <n v="0"/>
    <m/>
    <n v="0"/>
    <n v="0"/>
    <m/>
    <m/>
    <s v="Transgender people"/>
    <s v="HIV"/>
    <x v="1"/>
  </r>
  <r>
    <n v="902"/>
    <x v="7"/>
    <x v="26"/>
    <x v="24"/>
    <x v="6"/>
    <m/>
    <m/>
    <m/>
    <m/>
    <m/>
    <m/>
    <m/>
    <m/>
    <m/>
    <s v="-"/>
    <n v="0"/>
    <s v="-"/>
    <n v="0"/>
    <s v="-"/>
    <n v="0"/>
    <s v="-"/>
    <n v="0"/>
    <m/>
    <n v="0"/>
    <m/>
    <m/>
    <m/>
    <m/>
    <n v="0"/>
    <m/>
    <n v="0"/>
    <m/>
    <n v="0"/>
    <m/>
    <n v="0"/>
    <m/>
    <n v="0"/>
    <m/>
    <m/>
    <m/>
    <m/>
    <n v="0"/>
    <m/>
    <n v="0"/>
    <m/>
    <n v="0"/>
    <m/>
    <n v="0"/>
    <m/>
    <n v="0"/>
    <m/>
    <m/>
    <m/>
    <m/>
    <n v="0"/>
    <n v="0"/>
    <n v="0"/>
    <n v="0"/>
    <n v="0"/>
    <n v="0"/>
    <n v="0"/>
    <n v="0"/>
    <n v="0"/>
    <m/>
    <n v="0"/>
    <n v="0"/>
    <m/>
    <m/>
    <s v="Transgender people"/>
    <s v="HIV"/>
    <x v="1"/>
  </r>
  <r>
    <n v="903"/>
    <x v="7"/>
    <x v="26"/>
    <x v="24"/>
    <x v="7"/>
    <m/>
    <m/>
    <m/>
    <m/>
    <m/>
    <m/>
    <m/>
    <m/>
    <m/>
    <s v="-"/>
    <n v="0"/>
    <s v="-"/>
    <n v="0"/>
    <s v="-"/>
    <n v="0"/>
    <s v="-"/>
    <n v="0"/>
    <m/>
    <n v="0"/>
    <m/>
    <m/>
    <m/>
    <m/>
    <n v="0"/>
    <m/>
    <n v="0"/>
    <m/>
    <n v="0"/>
    <m/>
    <n v="0"/>
    <m/>
    <n v="0"/>
    <m/>
    <m/>
    <m/>
    <m/>
    <n v="0"/>
    <m/>
    <n v="0"/>
    <m/>
    <n v="0"/>
    <m/>
    <n v="0"/>
    <m/>
    <n v="0"/>
    <m/>
    <m/>
    <m/>
    <m/>
    <n v="0"/>
    <n v="0"/>
    <n v="0"/>
    <n v="0"/>
    <n v="0"/>
    <n v="0"/>
    <n v="0"/>
    <n v="0"/>
    <n v="0"/>
    <m/>
    <n v="0"/>
    <n v="0"/>
    <m/>
    <m/>
    <s v="Transgender people"/>
    <s v="HIV"/>
    <x v="1"/>
  </r>
  <r>
    <n v="904"/>
    <x v="7"/>
    <x v="27"/>
    <x v="43"/>
    <x v="11"/>
    <m/>
    <m/>
    <m/>
    <m/>
    <m/>
    <m/>
    <m/>
    <m/>
    <m/>
    <s v="-"/>
    <n v="0"/>
    <s v="-"/>
    <n v="0"/>
    <s v="-"/>
    <n v="0"/>
    <s v="-"/>
    <n v="0"/>
    <m/>
    <n v="0"/>
    <m/>
    <m/>
    <m/>
    <m/>
    <n v="0"/>
    <m/>
    <n v="0"/>
    <m/>
    <n v="0"/>
    <m/>
    <n v="0"/>
    <m/>
    <n v="0"/>
    <m/>
    <m/>
    <m/>
    <m/>
    <n v="0"/>
    <m/>
    <n v="0"/>
    <m/>
    <n v="0"/>
    <m/>
    <n v="0"/>
    <m/>
    <n v="0"/>
    <m/>
    <m/>
    <m/>
    <m/>
    <n v="0"/>
    <n v="0"/>
    <n v="0"/>
    <n v="0"/>
    <n v="0"/>
    <n v="0"/>
    <n v="0"/>
    <n v="0"/>
    <n v="0"/>
    <m/>
    <n v="0"/>
    <n v="0"/>
    <m/>
    <m/>
    <s v="Transgender people"/>
    <s v="HIV"/>
    <x v="22"/>
  </r>
  <r>
    <n v="905"/>
    <x v="7"/>
    <x v="27"/>
    <x v="24"/>
    <x v="1"/>
    <m/>
    <m/>
    <m/>
    <m/>
    <m/>
    <m/>
    <m/>
    <m/>
    <m/>
    <s v="-"/>
    <n v="0"/>
    <s v="-"/>
    <n v="0"/>
    <s v="-"/>
    <n v="0"/>
    <s v="-"/>
    <n v="0"/>
    <m/>
    <n v="0"/>
    <m/>
    <m/>
    <m/>
    <m/>
    <n v="0"/>
    <m/>
    <n v="0"/>
    <m/>
    <n v="0"/>
    <m/>
    <n v="0"/>
    <m/>
    <n v="0"/>
    <m/>
    <m/>
    <m/>
    <m/>
    <n v="0"/>
    <m/>
    <n v="0"/>
    <m/>
    <n v="0"/>
    <m/>
    <n v="0"/>
    <m/>
    <n v="0"/>
    <m/>
    <m/>
    <m/>
    <m/>
    <n v="0"/>
    <n v="0"/>
    <n v="0"/>
    <n v="0"/>
    <n v="0"/>
    <n v="0"/>
    <n v="0"/>
    <n v="0"/>
    <n v="0"/>
    <m/>
    <n v="0"/>
    <n v="0"/>
    <m/>
    <m/>
    <s v="Transgender people"/>
    <s v="HIV"/>
    <x v="1"/>
  </r>
  <r>
    <n v="906"/>
    <x v="7"/>
    <x v="27"/>
    <x v="24"/>
    <x v="2"/>
    <m/>
    <m/>
    <m/>
    <m/>
    <m/>
    <m/>
    <m/>
    <m/>
    <m/>
    <s v="-"/>
    <n v="0"/>
    <s v="-"/>
    <n v="0"/>
    <s v="-"/>
    <n v="0"/>
    <s v="-"/>
    <n v="0"/>
    <m/>
    <n v="0"/>
    <m/>
    <m/>
    <m/>
    <m/>
    <n v="0"/>
    <m/>
    <n v="0"/>
    <m/>
    <n v="0"/>
    <m/>
    <n v="0"/>
    <m/>
    <n v="0"/>
    <m/>
    <m/>
    <m/>
    <m/>
    <n v="0"/>
    <m/>
    <n v="0"/>
    <m/>
    <n v="0"/>
    <m/>
    <n v="0"/>
    <m/>
    <n v="0"/>
    <m/>
    <m/>
    <m/>
    <m/>
    <n v="0"/>
    <n v="0"/>
    <n v="0"/>
    <n v="0"/>
    <n v="0"/>
    <n v="0"/>
    <n v="0"/>
    <n v="0"/>
    <n v="0"/>
    <m/>
    <n v="0"/>
    <n v="0"/>
    <m/>
    <m/>
    <s v="Transgender people"/>
    <s v="HIV"/>
    <x v="1"/>
  </r>
  <r>
    <n v="907"/>
    <x v="7"/>
    <x v="27"/>
    <x v="24"/>
    <x v="3"/>
    <m/>
    <m/>
    <m/>
    <m/>
    <m/>
    <m/>
    <m/>
    <m/>
    <m/>
    <s v="-"/>
    <n v="0"/>
    <s v="-"/>
    <n v="0"/>
    <s v="-"/>
    <n v="0"/>
    <s v="-"/>
    <n v="0"/>
    <m/>
    <n v="0"/>
    <m/>
    <m/>
    <m/>
    <m/>
    <n v="0"/>
    <m/>
    <n v="0"/>
    <m/>
    <n v="0"/>
    <m/>
    <n v="0"/>
    <m/>
    <n v="0"/>
    <m/>
    <m/>
    <m/>
    <m/>
    <n v="0"/>
    <m/>
    <n v="0"/>
    <m/>
    <n v="0"/>
    <m/>
    <n v="0"/>
    <m/>
    <n v="0"/>
    <m/>
    <m/>
    <m/>
    <m/>
    <n v="0"/>
    <n v="0"/>
    <n v="0"/>
    <n v="0"/>
    <n v="0"/>
    <n v="0"/>
    <n v="0"/>
    <n v="0"/>
    <n v="0"/>
    <m/>
    <n v="0"/>
    <n v="0"/>
    <m/>
    <m/>
    <s v="Transgender people"/>
    <s v="HIV"/>
    <x v="1"/>
  </r>
  <r>
    <n v="908"/>
    <x v="7"/>
    <x v="27"/>
    <x v="24"/>
    <x v="4"/>
    <m/>
    <m/>
    <m/>
    <m/>
    <m/>
    <m/>
    <m/>
    <m/>
    <m/>
    <s v="-"/>
    <n v="0"/>
    <s v="-"/>
    <n v="0"/>
    <s v="-"/>
    <n v="0"/>
    <s v="-"/>
    <n v="0"/>
    <m/>
    <n v="0"/>
    <m/>
    <m/>
    <m/>
    <m/>
    <n v="0"/>
    <m/>
    <n v="0"/>
    <m/>
    <n v="0"/>
    <m/>
    <n v="0"/>
    <m/>
    <n v="0"/>
    <m/>
    <m/>
    <m/>
    <m/>
    <n v="0"/>
    <m/>
    <n v="0"/>
    <m/>
    <n v="0"/>
    <m/>
    <n v="0"/>
    <m/>
    <n v="0"/>
    <m/>
    <m/>
    <m/>
    <m/>
    <n v="0"/>
    <n v="0"/>
    <n v="0"/>
    <n v="0"/>
    <n v="0"/>
    <n v="0"/>
    <n v="0"/>
    <n v="0"/>
    <n v="0"/>
    <m/>
    <n v="0"/>
    <n v="0"/>
    <m/>
    <m/>
    <s v="Transgender people"/>
    <s v="HIV"/>
    <x v="1"/>
  </r>
  <r>
    <n v="909"/>
    <x v="7"/>
    <x v="27"/>
    <x v="24"/>
    <x v="5"/>
    <m/>
    <m/>
    <m/>
    <m/>
    <m/>
    <m/>
    <m/>
    <m/>
    <m/>
    <s v="-"/>
    <n v="0"/>
    <s v="-"/>
    <n v="0"/>
    <s v="-"/>
    <n v="0"/>
    <s v="-"/>
    <n v="0"/>
    <m/>
    <n v="0"/>
    <m/>
    <m/>
    <m/>
    <m/>
    <n v="0"/>
    <m/>
    <n v="0"/>
    <m/>
    <n v="0"/>
    <m/>
    <n v="0"/>
    <m/>
    <n v="0"/>
    <m/>
    <m/>
    <m/>
    <m/>
    <n v="0"/>
    <m/>
    <n v="0"/>
    <m/>
    <n v="0"/>
    <m/>
    <n v="0"/>
    <m/>
    <n v="0"/>
    <m/>
    <m/>
    <m/>
    <m/>
    <n v="0"/>
    <n v="0"/>
    <n v="0"/>
    <n v="0"/>
    <n v="0"/>
    <n v="0"/>
    <n v="0"/>
    <n v="0"/>
    <n v="0"/>
    <m/>
    <n v="0"/>
    <n v="0"/>
    <m/>
    <m/>
    <s v="Transgender people"/>
    <s v="HIV"/>
    <x v="1"/>
  </r>
  <r>
    <n v="910"/>
    <x v="7"/>
    <x v="27"/>
    <x v="24"/>
    <x v="6"/>
    <m/>
    <m/>
    <m/>
    <m/>
    <m/>
    <m/>
    <m/>
    <m/>
    <m/>
    <s v="-"/>
    <n v="0"/>
    <s v="-"/>
    <n v="0"/>
    <s v="-"/>
    <n v="0"/>
    <s v="-"/>
    <n v="0"/>
    <m/>
    <n v="0"/>
    <m/>
    <m/>
    <m/>
    <m/>
    <n v="0"/>
    <m/>
    <n v="0"/>
    <m/>
    <n v="0"/>
    <m/>
    <n v="0"/>
    <m/>
    <n v="0"/>
    <m/>
    <m/>
    <m/>
    <m/>
    <n v="0"/>
    <m/>
    <n v="0"/>
    <m/>
    <n v="0"/>
    <m/>
    <n v="0"/>
    <m/>
    <n v="0"/>
    <m/>
    <m/>
    <m/>
    <m/>
    <n v="0"/>
    <n v="0"/>
    <n v="0"/>
    <n v="0"/>
    <n v="0"/>
    <n v="0"/>
    <n v="0"/>
    <n v="0"/>
    <n v="0"/>
    <m/>
    <n v="0"/>
    <n v="0"/>
    <m/>
    <m/>
    <s v="Transgender people"/>
    <s v="HIV"/>
    <x v="1"/>
  </r>
  <r>
    <n v="911"/>
    <x v="7"/>
    <x v="27"/>
    <x v="24"/>
    <x v="7"/>
    <m/>
    <m/>
    <m/>
    <m/>
    <m/>
    <m/>
    <m/>
    <m/>
    <m/>
    <s v="-"/>
    <n v="0"/>
    <s v="-"/>
    <n v="0"/>
    <s v="-"/>
    <n v="0"/>
    <s v="-"/>
    <n v="0"/>
    <m/>
    <n v="0"/>
    <m/>
    <m/>
    <m/>
    <m/>
    <n v="0"/>
    <m/>
    <n v="0"/>
    <m/>
    <n v="0"/>
    <m/>
    <n v="0"/>
    <m/>
    <n v="0"/>
    <m/>
    <m/>
    <m/>
    <m/>
    <n v="0"/>
    <m/>
    <n v="0"/>
    <m/>
    <n v="0"/>
    <m/>
    <n v="0"/>
    <m/>
    <n v="0"/>
    <m/>
    <m/>
    <m/>
    <m/>
    <n v="0"/>
    <n v="0"/>
    <n v="0"/>
    <n v="0"/>
    <n v="0"/>
    <n v="0"/>
    <n v="0"/>
    <n v="0"/>
    <n v="0"/>
    <m/>
    <n v="0"/>
    <n v="0"/>
    <m/>
    <m/>
    <s v="Transgender people"/>
    <s v="HIV"/>
    <x v="1"/>
  </r>
  <r>
    <n v="912"/>
    <x v="7"/>
    <x v="25"/>
    <x v="44"/>
    <x v="11"/>
    <m/>
    <m/>
    <m/>
    <m/>
    <m/>
    <m/>
    <m/>
    <m/>
    <m/>
    <s v="-"/>
    <n v="0"/>
    <s v="-"/>
    <n v="0"/>
    <s v="-"/>
    <n v="0"/>
    <s v="-"/>
    <n v="0"/>
    <m/>
    <n v="0"/>
    <m/>
    <m/>
    <m/>
    <m/>
    <n v="0"/>
    <m/>
    <n v="0"/>
    <m/>
    <n v="0"/>
    <m/>
    <n v="0"/>
    <m/>
    <n v="0"/>
    <m/>
    <m/>
    <m/>
    <m/>
    <n v="0"/>
    <m/>
    <n v="0"/>
    <m/>
    <n v="0"/>
    <m/>
    <n v="0"/>
    <m/>
    <n v="0"/>
    <m/>
    <m/>
    <m/>
    <m/>
    <n v="0"/>
    <n v="0"/>
    <n v="0"/>
    <n v="0"/>
    <n v="0"/>
    <n v="0"/>
    <n v="0"/>
    <n v="0"/>
    <n v="0"/>
    <m/>
    <n v="0"/>
    <n v="0"/>
    <m/>
    <m/>
    <s v="People who inject drugs and their partners"/>
    <s v="HIV"/>
    <x v="22"/>
  </r>
  <r>
    <n v="913"/>
    <x v="7"/>
    <x v="25"/>
    <x v="45"/>
    <x v="1"/>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4"/>
    <x v="7"/>
    <x v="25"/>
    <x v="45"/>
    <x v="2"/>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5"/>
    <x v="7"/>
    <x v="25"/>
    <x v="45"/>
    <x v="3"/>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6"/>
    <x v="7"/>
    <x v="25"/>
    <x v="45"/>
    <x v="4"/>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7"/>
    <x v="7"/>
    <x v="25"/>
    <x v="45"/>
    <x v="5"/>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8"/>
    <x v="7"/>
    <x v="25"/>
    <x v="45"/>
    <x v="6"/>
    <m/>
    <m/>
    <m/>
    <m/>
    <m/>
    <m/>
    <m/>
    <m/>
    <m/>
    <s v="-"/>
    <n v="0"/>
    <s v="-"/>
    <n v="0"/>
    <s v="-"/>
    <n v="0"/>
    <s v="-"/>
    <n v="0"/>
    <m/>
    <n v="0"/>
    <m/>
    <m/>
    <m/>
    <m/>
    <n v="0"/>
    <m/>
    <n v="0"/>
    <m/>
    <n v="0"/>
    <m/>
    <n v="0"/>
    <m/>
    <n v="0"/>
    <m/>
    <m/>
    <m/>
    <m/>
    <n v="0"/>
    <m/>
    <n v="0"/>
    <m/>
    <n v="0"/>
    <m/>
    <n v="0"/>
    <m/>
    <n v="0"/>
    <m/>
    <m/>
    <m/>
    <m/>
    <n v="0"/>
    <n v="0"/>
    <n v="0"/>
    <n v="0"/>
    <n v="0"/>
    <n v="0"/>
    <n v="0"/>
    <n v="0"/>
    <n v="0"/>
    <m/>
    <n v="0"/>
    <n v="0"/>
    <m/>
    <m/>
    <s v="People who inject drugs and their partners"/>
    <s v="HIV"/>
    <x v="1"/>
  </r>
  <r>
    <n v="919"/>
    <x v="7"/>
    <x v="25"/>
    <x v="45"/>
    <x v="7"/>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0"/>
    <x v="7"/>
    <x v="26"/>
    <x v="44"/>
    <x v="11"/>
    <m/>
    <m/>
    <m/>
    <m/>
    <m/>
    <m/>
    <m/>
    <m/>
    <m/>
    <s v="-"/>
    <n v="0"/>
    <s v="-"/>
    <n v="0"/>
    <s v="-"/>
    <n v="0"/>
    <s v="-"/>
    <n v="0"/>
    <m/>
    <n v="0"/>
    <m/>
    <m/>
    <m/>
    <m/>
    <n v="0"/>
    <m/>
    <n v="0"/>
    <m/>
    <n v="0"/>
    <m/>
    <n v="0"/>
    <m/>
    <n v="0"/>
    <m/>
    <m/>
    <m/>
    <m/>
    <n v="0"/>
    <m/>
    <n v="0"/>
    <m/>
    <n v="0"/>
    <m/>
    <n v="0"/>
    <m/>
    <n v="0"/>
    <m/>
    <m/>
    <m/>
    <m/>
    <n v="0"/>
    <n v="0"/>
    <n v="0"/>
    <n v="0"/>
    <n v="0"/>
    <n v="0"/>
    <n v="0"/>
    <n v="0"/>
    <n v="0"/>
    <m/>
    <n v="0"/>
    <n v="0"/>
    <m/>
    <m/>
    <s v="People who inject drugs and their partners"/>
    <s v="HIV"/>
    <x v="22"/>
  </r>
  <r>
    <n v="921"/>
    <x v="7"/>
    <x v="26"/>
    <x v="45"/>
    <x v="1"/>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2"/>
    <x v="7"/>
    <x v="26"/>
    <x v="45"/>
    <x v="2"/>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3"/>
    <x v="7"/>
    <x v="26"/>
    <x v="45"/>
    <x v="3"/>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4"/>
    <x v="7"/>
    <x v="26"/>
    <x v="45"/>
    <x v="4"/>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5"/>
    <x v="7"/>
    <x v="26"/>
    <x v="45"/>
    <x v="5"/>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6"/>
    <x v="7"/>
    <x v="26"/>
    <x v="45"/>
    <x v="6"/>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7"/>
    <x v="7"/>
    <x v="26"/>
    <x v="45"/>
    <x v="7"/>
    <m/>
    <m/>
    <m/>
    <m/>
    <m/>
    <m/>
    <m/>
    <m/>
    <m/>
    <s v="-"/>
    <n v="0"/>
    <s v="-"/>
    <n v="0"/>
    <s v="-"/>
    <n v="0"/>
    <s v="-"/>
    <n v="0"/>
    <m/>
    <n v="0"/>
    <m/>
    <m/>
    <m/>
    <m/>
    <n v="0"/>
    <m/>
    <n v="0"/>
    <m/>
    <n v="0"/>
    <m/>
    <n v="0"/>
    <m/>
    <n v="0"/>
    <m/>
    <m/>
    <m/>
    <m/>
    <n v="0"/>
    <m/>
    <n v="0"/>
    <m/>
    <n v="0"/>
    <m/>
    <n v="0"/>
    <m/>
    <n v="0"/>
    <m/>
    <m/>
    <m/>
    <m/>
    <n v="0"/>
    <n v="0"/>
    <n v="0"/>
    <n v="0"/>
    <n v="0"/>
    <n v="0"/>
    <n v="0"/>
    <n v="0"/>
    <n v="0"/>
    <m/>
    <n v="0"/>
    <n v="0"/>
    <m/>
    <m/>
    <s v="People who inject drugs and their partners"/>
    <s v="HIV"/>
    <x v="1"/>
  </r>
  <r>
    <n v="928"/>
    <x v="7"/>
    <x v="27"/>
    <x v="44"/>
    <x v="11"/>
    <m/>
    <m/>
    <m/>
    <m/>
    <m/>
    <m/>
    <m/>
    <m/>
    <m/>
    <s v="-"/>
    <n v="0"/>
    <s v="-"/>
    <n v="0"/>
    <s v="-"/>
    <n v="0"/>
    <s v="-"/>
    <n v="0"/>
    <m/>
    <n v="0"/>
    <m/>
    <m/>
    <m/>
    <m/>
    <n v="0"/>
    <m/>
    <n v="0"/>
    <m/>
    <n v="0"/>
    <m/>
    <n v="0"/>
    <m/>
    <n v="0"/>
    <m/>
    <m/>
    <m/>
    <m/>
    <n v="0"/>
    <m/>
    <n v="0"/>
    <m/>
    <n v="0"/>
    <m/>
    <n v="0"/>
    <m/>
    <n v="0"/>
    <m/>
    <m/>
    <m/>
    <m/>
    <n v="0"/>
    <n v="0"/>
    <n v="0"/>
    <n v="0"/>
    <n v="0"/>
    <n v="0"/>
    <n v="0"/>
    <n v="0"/>
    <n v="0"/>
    <m/>
    <n v="0"/>
    <n v="0"/>
    <m/>
    <m/>
    <s v="People who inject drugs and their partners"/>
    <s v="HIV"/>
    <x v="22"/>
  </r>
  <r>
    <n v="929"/>
    <x v="7"/>
    <x v="27"/>
    <x v="45"/>
    <x v="1"/>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0"/>
    <x v="7"/>
    <x v="27"/>
    <x v="45"/>
    <x v="2"/>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1"/>
    <x v="7"/>
    <x v="27"/>
    <x v="45"/>
    <x v="3"/>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2"/>
    <x v="7"/>
    <x v="27"/>
    <x v="45"/>
    <x v="4"/>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3"/>
    <x v="7"/>
    <x v="27"/>
    <x v="45"/>
    <x v="5"/>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4"/>
    <x v="7"/>
    <x v="27"/>
    <x v="45"/>
    <x v="6"/>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5"/>
    <x v="7"/>
    <x v="27"/>
    <x v="45"/>
    <x v="7"/>
    <m/>
    <m/>
    <m/>
    <m/>
    <m/>
    <m/>
    <m/>
    <m/>
    <m/>
    <s v="-"/>
    <n v="0"/>
    <s v="-"/>
    <n v="0"/>
    <s v="-"/>
    <n v="0"/>
    <s v="-"/>
    <n v="0"/>
    <m/>
    <n v="0"/>
    <m/>
    <m/>
    <m/>
    <m/>
    <n v="0"/>
    <m/>
    <n v="0"/>
    <m/>
    <n v="0"/>
    <m/>
    <n v="0"/>
    <m/>
    <n v="0"/>
    <m/>
    <m/>
    <m/>
    <m/>
    <n v="0"/>
    <m/>
    <n v="0"/>
    <m/>
    <n v="0"/>
    <m/>
    <n v="0"/>
    <m/>
    <n v="0"/>
    <m/>
    <m/>
    <m/>
    <m/>
    <n v="0"/>
    <n v="0"/>
    <n v="0"/>
    <n v="0"/>
    <n v="0"/>
    <n v="0"/>
    <n v="0"/>
    <n v="0"/>
    <n v="0"/>
    <m/>
    <n v="0"/>
    <n v="0"/>
    <m/>
    <m/>
    <s v="People who inject drugs and their partners"/>
    <s v="HIV"/>
    <x v="1"/>
  </r>
  <r>
    <n v="936"/>
    <x v="7"/>
    <x v="25"/>
    <x v="46"/>
    <x v="11"/>
    <m/>
    <m/>
    <m/>
    <m/>
    <m/>
    <m/>
    <m/>
    <m/>
    <m/>
    <s v="-"/>
    <n v="0"/>
    <s v="-"/>
    <n v="0"/>
    <s v="-"/>
    <n v="0"/>
    <s v="-"/>
    <n v="0"/>
    <m/>
    <n v="0"/>
    <m/>
    <m/>
    <m/>
    <m/>
    <n v="0"/>
    <m/>
    <n v="0"/>
    <m/>
    <n v="0"/>
    <m/>
    <n v="0"/>
    <m/>
    <n v="0"/>
    <m/>
    <m/>
    <m/>
    <m/>
    <n v="0"/>
    <m/>
    <n v="0"/>
    <m/>
    <n v="0"/>
    <m/>
    <n v="0"/>
    <m/>
    <n v="0"/>
    <m/>
    <m/>
    <m/>
    <m/>
    <n v="0"/>
    <n v="0"/>
    <n v="0"/>
    <n v="0"/>
    <n v="0"/>
    <n v="0"/>
    <n v="0"/>
    <n v="0"/>
    <n v="0"/>
    <m/>
    <n v="0"/>
    <n v="0"/>
    <m/>
    <m/>
    <s v="People in prisons and other closed settings"/>
    <s v="HIV"/>
    <x v="22"/>
  </r>
  <r>
    <n v="937"/>
    <x v="7"/>
    <x v="25"/>
    <x v="30"/>
    <x v="1"/>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38"/>
    <x v="7"/>
    <x v="25"/>
    <x v="30"/>
    <x v="2"/>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39"/>
    <x v="7"/>
    <x v="25"/>
    <x v="30"/>
    <x v="3"/>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0"/>
    <x v="7"/>
    <x v="25"/>
    <x v="30"/>
    <x v="4"/>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1"/>
    <x v="7"/>
    <x v="25"/>
    <x v="30"/>
    <x v="5"/>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2"/>
    <x v="7"/>
    <x v="25"/>
    <x v="30"/>
    <x v="6"/>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3"/>
    <x v="7"/>
    <x v="25"/>
    <x v="30"/>
    <x v="7"/>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4"/>
    <x v="7"/>
    <x v="26"/>
    <x v="46"/>
    <x v="11"/>
    <m/>
    <m/>
    <m/>
    <m/>
    <m/>
    <m/>
    <m/>
    <m/>
    <m/>
    <s v="-"/>
    <n v="0"/>
    <s v="-"/>
    <n v="0"/>
    <s v="-"/>
    <n v="0"/>
    <s v="-"/>
    <n v="0"/>
    <m/>
    <n v="0"/>
    <m/>
    <m/>
    <m/>
    <m/>
    <n v="0"/>
    <m/>
    <n v="0"/>
    <m/>
    <n v="0"/>
    <m/>
    <n v="0"/>
    <m/>
    <n v="0"/>
    <m/>
    <m/>
    <m/>
    <m/>
    <n v="0"/>
    <m/>
    <n v="0"/>
    <m/>
    <n v="0"/>
    <m/>
    <n v="0"/>
    <m/>
    <n v="0"/>
    <m/>
    <m/>
    <m/>
    <m/>
    <n v="0"/>
    <n v="0"/>
    <n v="0"/>
    <n v="0"/>
    <n v="0"/>
    <n v="0"/>
    <n v="0"/>
    <n v="0"/>
    <n v="0"/>
    <m/>
    <n v="0"/>
    <n v="0"/>
    <m/>
    <m/>
    <s v="People in prisons and other closed settings"/>
    <s v="HIV"/>
    <x v="22"/>
  </r>
  <r>
    <n v="945"/>
    <x v="7"/>
    <x v="26"/>
    <x v="30"/>
    <x v="1"/>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6"/>
    <x v="7"/>
    <x v="26"/>
    <x v="30"/>
    <x v="2"/>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7"/>
    <x v="7"/>
    <x v="26"/>
    <x v="30"/>
    <x v="3"/>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8"/>
    <x v="7"/>
    <x v="26"/>
    <x v="30"/>
    <x v="4"/>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49"/>
    <x v="7"/>
    <x v="26"/>
    <x v="30"/>
    <x v="5"/>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0"/>
    <x v="7"/>
    <x v="26"/>
    <x v="30"/>
    <x v="6"/>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1"/>
    <x v="7"/>
    <x v="26"/>
    <x v="30"/>
    <x v="7"/>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2"/>
    <x v="7"/>
    <x v="27"/>
    <x v="46"/>
    <x v="11"/>
    <m/>
    <m/>
    <m/>
    <m/>
    <m/>
    <m/>
    <m/>
    <m/>
    <m/>
    <s v="-"/>
    <n v="0"/>
    <s v="-"/>
    <n v="0"/>
    <s v="-"/>
    <n v="0"/>
    <s v="-"/>
    <n v="0"/>
    <m/>
    <n v="0"/>
    <m/>
    <m/>
    <m/>
    <m/>
    <n v="0"/>
    <m/>
    <n v="0"/>
    <m/>
    <n v="0"/>
    <m/>
    <n v="0"/>
    <m/>
    <n v="0"/>
    <m/>
    <m/>
    <m/>
    <m/>
    <n v="0"/>
    <m/>
    <n v="0"/>
    <m/>
    <n v="0"/>
    <m/>
    <n v="0"/>
    <m/>
    <n v="0"/>
    <m/>
    <m/>
    <m/>
    <m/>
    <n v="0"/>
    <n v="0"/>
    <n v="0"/>
    <n v="0"/>
    <n v="0"/>
    <n v="0"/>
    <n v="0"/>
    <n v="0"/>
    <n v="0"/>
    <m/>
    <n v="0"/>
    <n v="0"/>
    <m/>
    <m/>
    <s v="People in prisons and other closed settings"/>
    <s v="HIV"/>
    <x v="22"/>
  </r>
  <r>
    <n v="953"/>
    <x v="7"/>
    <x v="27"/>
    <x v="30"/>
    <x v="1"/>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4"/>
    <x v="7"/>
    <x v="27"/>
    <x v="30"/>
    <x v="2"/>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5"/>
    <x v="7"/>
    <x v="27"/>
    <x v="30"/>
    <x v="3"/>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6"/>
    <x v="7"/>
    <x v="27"/>
    <x v="30"/>
    <x v="4"/>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7"/>
    <x v="7"/>
    <x v="27"/>
    <x v="30"/>
    <x v="5"/>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8"/>
    <x v="7"/>
    <x v="27"/>
    <x v="30"/>
    <x v="6"/>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59"/>
    <x v="7"/>
    <x v="27"/>
    <x v="30"/>
    <x v="7"/>
    <m/>
    <m/>
    <m/>
    <m/>
    <m/>
    <m/>
    <m/>
    <m/>
    <m/>
    <s v="-"/>
    <n v="0"/>
    <s v="-"/>
    <n v="0"/>
    <s v="-"/>
    <n v="0"/>
    <s v="-"/>
    <n v="0"/>
    <m/>
    <n v="0"/>
    <m/>
    <m/>
    <m/>
    <m/>
    <n v="0"/>
    <m/>
    <n v="0"/>
    <m/>
    <n v="0"/>
    <m/>
    <n v="0"/>
    <m/>
    <n v="0"/>
    <m/>
    <m/>
    <m/>
    <m/>
    <n v="0"/>
    <m/>
    <n v="0"/>
    <m/>
    <n v="0"/>
    <m/>
    <n v="0"/>
    <m/>
    <n v="0"/>
    <m/>
    <m/>
    <m/>
    <m/>
    <n v="0"/>
    <n v="0"/>
    <n v="0"/>
    <n v="0"/>
    <n v="0"/>
    <n v="0"/>
    <n v="0"/>
    <n v="0"/>
    <n v="0"/>
    <m/>
    <n v="0"/>
    <n v="0"/>
    <m/>
    <m/>
    <s v="People in prisons and other closed settings"/>
    <s v="HIV"/>
    <x v="1"/>
  </r>
  <r>
    <n v="960"/>
    <x v="7"/>
    <x v="25"/>
    <x v="47"/>
    <x v="11"/>
    <m/>
    <m/>
    <m/>
    <m/>
    <m/>
    <m/>
    <m/>
    <m/>
    <m/>
    <s v="-"/>
    <n v="0"/>
    <s v="-"/>
    <n v="0"/>
    <s v="-"/>
    <n v="0"/>
    <s v="-"/>
    <n v="0"/>
    <m/>
    <n v="0"/>
    <m/>
    <m/>
    <m/>
    <m/>
    <n v="0"/>
    <m/>
    <n v="0"/>
    <m/>
    <n v="0"/>
    <m/>
    <n v="0"/>
    <m/>
    <n v="0"/>
    <m/>
    <m/>
    <m/>
    <m/>
    <n v="0"/>
    <m/>
    <n v="0"/>
    <m/>
    <n v="0"/>
    <m/>
    <n v="0"/>
    <m/>
    <n v="0"/>
    <m/>
    <m/>
    <m/>
    <m/>
    <n v="0"/>
    <n v="0"/>
    <n v="0"/>
    <n v="0"/>
    <n v="0"/>
    <n v="0"/>
    <n v="0"/>
    <n v="0"/>
    <n v="0"/>
    <m/>
    <n v="0"/>
    <n v="0"/>
    <m/>
    <m/>
    <s v="Other vulnerable populations"/>
    <s v="HIV"/>
    <x v="22"/>
  </r>
  <r>
    <n v="961"/>
    <x v="7"/>
    <x v="25"/>
    <x v="32"/>
    <x v="1"/>
    <m/>
    <m/>
    <m/>
    <m/>
    <m/>
    <m/>
    <m/>
    <m/>
    <m/>
    <s v="-"/>
    <n v="0"/>
    <s v="-"/>
    <n v="0"/>
    <s v="-"/>
    <n v="0"/>
    <s v="-"/>
    <n v="0"/>
    <m/>
    <n v="0"/>
    <m/>
    <m/>
    <m/>
    <m/>
    <n v="0"/>
    <m/>
    <n v="0"/>
    <m/>
    <n v="0"/>
    <m/>
    <n v="0"/>
    <m/>
    <n v="0"/>
    <m/>
    <m/>
    <m/>
    <m/>
    <n v="0"/>
    <m/>
    <n v="0"/>
    <m/>
    <n v="0"/>
    <m/>
    <n v="0"/>
    <m/>
    <n v="0"/>
    <m/>
    <m/>
    <m/>
    <m/>
    <n v="0"/>
    <n v="0"/>
    <n v="0"/>
    <n v="0"/>
    <n v="0"/>
    <n v="0"/>
    <n v="0"/>
    <n v="0"/>
    <n v="0"/>
    <m/>
    <n v="0"/>
    <n v="0"/>
    <m/>
    <m/>
    <s v="Other vulnerable populations"/>
    <s v="HIV"/>
    <x v="1"/>
  </r>
  <r>
    <n v="962"/>
    <x v="7"/>
    <x v="25"/>
    <x v="32"/>
    <x v="2"/>
    <m/>
    <m/>
    <m/>
    <m/>
    <m/>
    <m/>
    <m/>
    <m/>
    <m/>
    <s v="-"/>
    <n v="0"/>
    <s v="-"/>
    <n v="0"/>
    <s v="-"/>
    <n v="0"/>
    <s v="-"/>
    <n v="0"/>
    <m/>
    <n v="0"/>
    <m/>
    <m/>
    <m/>
    <m/>
    <n v="0"/>
    <m/>
    <n v="0"/>
    <m/>
    <n v="0"/>
    <m/>
    <n v="0"/>
    <m/>
    <n v="0"/>
    <m/>
    <m/>
    <m/>
    <m/>
    <n v="0"/>
    <m/>
    <n v="0"/>
    <m/>
    <n v="0"/>
    <m/>
    <n v="0"/>
    <m/>
    <n v="0"/>
    <m/>
    <m/>
    <m/>
    <m/>
    <n v="0"/>
    <n v="0"/>
    <n v="0"/>
    <n v="0"/>
    <n v="0"/>
    <n v="0"/>
    <n v="0"/>
    <n v="0"/>
    <n v="0"/>
    <m/>
    <n v="0"/>
    <n v="0"/>
    <m/>
    <m/>
    <s v="Other vulnerable populations"/>
    <s v="HIV"/>
    <x v="1"/>
  </r>
  <r>
    <n v="963"/>
    <x v="7"/>
    <x v="25"/>
    <x v="32"/>
    <x v="3"/>
    <m/>
    <m/>
    <m/>
    <m/>
    <m/>
    <m/>
    <m/>
    <m/>
    <m/>
    <s v="-"/>
    <n v="0"/>
    <s v="-"/>
    <n v="0"/>
    <s v="-"/>
    <n v="0"/>
    <s v="-"/>
    <n v="0"/>
    <m/>
    <n v="0"/>
    <m/>
    <m/>
    <m/>
    <m/>
    <n v="0"/>
    <m/>
    <n v="0"/>
    <m/>
    <n v="0"/>
    <m/>
    <n v="0"/>
    <m/>
    <n v="0"/>
    <m/>
    <m/>
    <m/>
    <m/>
    <n v="0"/>
    <m/>
    <n v="0"/>
    <m/>
    <n v="0"/>
    <m/>
    <n v="0"/>
    <m/>
    <n v="0"/>
    <m/>
    <m/>
    <m/>
    <m/>
    <n v="0"/>
    <n v="0"/>
    <n v="0"/>
    <n v="0"/>
    <n v="0"/>
    <n v="0"/>
    <n v="0"/>
    <n v="0"/>
    <n v="0"/>
    <m/>
    <n v="0"/>
    <n v="0"/>
    <m/>
    <m/>
    <s v="Other vulnerable populations"/>
    <s v="HIV"/>
    <x v="1"/>
  </r>
  <r>
    <n v="964"/>
    <x v="7"/>
    <x v="25"/>
    <x v="32"/>
    <x v="4"/>
    <m/>
    <m/>
    <m/>
    <m/>
    <m/>
    <m/>
    <m/>
    <m/>
    <m/>
    <s v="-"/>
    <n v="0"/>
    <s v="-"/>
    <n v="0"/>
    <s v="-"/>
    <n v="0"/>
    <s v="-"/>
    <n v="0"/>
    <m/>
    <n v="0"/>
    <m/>
    <m/>
    <m/>
    <m/>
    <n v="0"/>
    <m/>
    <n v="0"/>
    <m/>
    <n v="0"/>
    <m/>
    <n v="0"/>
    <m/>
    <n v="0"/>
    <m/>
    <m/>
    <m/>
    <m/>
    <n v="0"/>
    <m/>
    <n v="0"/>
    <m/>
    <n v="0"/>
    <m/>
    <n v="0"/>
    <m/>
    <n v="0"/>
    <m/>
    <m/>
    <m/>
    <m/>
    <n v="0"/>
    <n v="0"/>
    <n v="0"/>
    <n v="0"/>
    <n v="0"/>
    <n v="0"/>
    <n v="0"/>
    <n v="0"/>
    <n v="0"/>
    <m/>
    <n v="0"/>
    <n v="0"/>
    <m/>
    <m/>
    <s v="Other vulnerable populations"/>
    <s v="HIV"/>
    <x v="1"/>
  </r>
  <r>
    <n v="965"/>
    <x v="7"/>
    <x v="25"/>
    <x v="32"/>
    <x v="5"/>
    <m/>
    <m/>
    <m/>
    <m/>
    <m/>
    <m/>
    <m/>
    <m/>
    <m/>
    <s v="-"/>
    <n v="0"/>
    <s v="-"/>
    <n v="0"/>
    <s v="-"/>
    <n v="0"/>
    <s v="-"/>
    <n v="0"/>
    <m/>
    <n v="0"/>
    <m/>
    <m/>
    <m/>
    <m/>
    <n v="0"/>
    <m/>
    <n v="0"/>
    <m/>
    <n v="0"/>
    <m/>
    <n v="0"/>
    <m/>
    <n v="0"/>
    <m/>
    <m/>
    <m/>
    <m/>
    <n v="0"/>
    <m/>
    <n v="0"/>
    <m/>
    <n v="0"/>
    <m/>
    <n v="0"/>
    <m/>
    <n v="0"/>
    <m/>
    <m/>
    <m/>
    <m/>
    <n v="0"/>
    <n v="0"/>
    <n v="0"/>
    <n v="0"/>
    <n v="0"/>
    <n v="0"/>
    <n v="0"/>
    <n v="0"/>
    <n v="0"/>
    <m/>
    <n v="0"/>
    <n v="0"/>
    <m/>
    <m/>
    <s v="Other vulnerable populations"/>
    <s v="HIV"/>
    <x v="1"/>
  </r>
  <r>
    <n v="966"/>
    <x v="7"/>
    <x v="25"/>
    <x v="32"/>
    <x v="6"/>
    <m/>
    <m/>
    <m/>
    <m/>
    <m/>
    <m/>
    <m/>
    <m/>
    <m/>
    <s v="-"/>
    <n v="0"/>
    <s v="-"/>
    <n v="0"/>
    <s v="-"/>
    <n v="0"/>
    <s v="-"/>
    <n v="0"/>
    <m/>
    <n v="0"/>
    <m/>
    <m/>
    <m/>
    <m/>
    <n v="0"/>
    <m/>
    <n v="0"/>
    <m/>
    <n v="0"/>
    <m/>
    <n v="0"/>
    <m/>
    <n v="0"/>
    <m/>
    <m/>
    <m/>
    <m/>
    <n v="0"/>
    <m/>
    <n v="0"/>
    <m/>
    <n v="0"/>
    <m/>
    <n v="0"/>
    <m/>
    <n v="0"/>
    <m/>
    <m/>
    <m/>
    <m/>
    <n v="0"/>
    <n v="0"/>
    <n v="0"/>
    <n v="0"/>
    <n v="0"/>
    <n v="0"/>
    <n v="0"/>
    <n v="0"/>
    <n v="0"/>
    <m/>
    <n v="0"/>
    <n v="0"/>
    <m/>
    <m/>
    <s v="Other vulnerable populations"/>
    <s v="HIV"/>
    <x v="1"/>
  </r>
  <r>
    <n v="967"/>
    <x v="7"/>
    <x v="25"/>
    <x v="32"/>
    <x v="7"/>
    <m/>
    <m/>
    <m/>
    <m/>
    <m/>
    <m/>
    <m/>
    <m/>
    <m/>
    <s v="-"/>
    <n v="0"/>
    <s v="-"/>
    <n v="0"/>
    <s v="-"/>
    <n v="0"/>
    <s v="-"/>
    <n v="0"/>
    <m/>
    <n v="0"/>
    <m/>
    <m/>
    <m/>
    <m/>
    <n v="0"/>
    <m/>
    <n v="0"/>
    <m/>
    <n v="0"/>
    <m/>
    <n v="0"/>
    <m/>
    <n v="0"/>
    <m/>
    <m/>
    <m/>
    <m/>
    <n v="0"/>
    <m/>
    <n v="0"/>
    <m/>
    <n v="0"/>
    <m/>
    <n v="0"/>
    <m/>
    <n v="0"/>
    <m/>
    <m/>
    <m/>
    <m/>
    <n v="0"/>
    <n v="0"/>
    <n v="0"/>
    <n v="0"/>
    <n v="0"/>
    <n v="0"/>
    <n v="0"/>
    <n v="0"/>
    <n v="0"/>
    <m/>
    <n v="0"/>
    <n v="0"/>
    <m/>
    <m/>
    <s v="Other vulnerable populations"/>
    <s v="HIV"/>
    <x v="1"/>
  </r>
  <r>
    <n v="968"/>
    <x v="7"/>
    <x v="26"/>
    <x v="47"/>
    <x v="11"/>
    <m/>
    <m/>
    <m/>
    <m/>
    <m/>
    <m/>
    <m/>
    <m/>
    <m/>
    <s v="-"/>
    <n v="0"/>
    <s v="-"/>
    <n v="0"/>
    <s v="-"/>
    <n v="0"/>
    <s v="-"/>
    <n v="0"/>
    <m/>
    <n v="0"/>
    <m/>
    <m/>
    <m/>
    <m/>
    <n v="0"/>
    <m/>
    <n v="0"/>
    <m/>
    <n v="0"/>
    <m/>
    <n v="0"/>
    <m/>
    <n v="0"/>
    <m/>
    <m/>
    <m/>
    <m/>
    <n v="0"/>
    <m/>
    <n v="0"/>
    <m/>
    <n v="0"/>
    <m/>
    <n v="0"/>
    <m/>
    <n v="0"/>
    <m/>
    <m/>
    <m/>
    <m/>
    <n v="0"/>
    <n v="0"/>
    <n v="0"/>
    <n v="0"/>
    <n v="0"/>
    <n v="0"/>
    <n v="0"/>
    <n v="0"/>
    <n v="0"/>
    <m/>
    <n v="0"/>
    <n v="0"/>
    <m/>
    <m/>
    <s v="Other vulnerable populations"/>
    <s v="HIV"/>
    <x v="22"/>
  </r>
  <r>
    <n v="969"/>
    <x v="7"/>
    <x v="26"/>
    <x v="32"/>
    <x v="1"/>
    <m/>
    <m/>
    <m/>
    <m/>
    <m/>
    <m/>
    <m/>
    <m/>
    <m/>
    <s v="-"/>
    <n v="0"/>
    <s v="-"/>
    <n v="0"/>
    <s v="-"/>
    <n v="0"/>
    <s v="-"/>
    <n v="0"/>
    <m/>
    <n v="0"/>
    <m/>
    <m/>
    <m/>
    <m/>
    <n v="0"/>
    <m/>
    <n v="0"/>
    <m/>
    <n v="0"/>
    <m/>
    <n v="0"/>
    <m/>
    <n v="0"/>
    <m/>
    <m/>
    <m/>
    <m/>
    <n v="0"/>
    <m/>
    <n v="0"/>
    <m/>
    <n v="0"/>
    <m/>
    <n v="0"/>
    <m/>
    <n v="0"/>
    <m/>
    <m/>
    <m/>
    <m/>
    <n v="0"/>
    <n v="0"/>
    <n v="0"/>
    <n v="0"/>
    <n v="0"/>
    <n v="0"/>
    <n v="0"/>
    <n v="0"/>
    <n v="0"/>
    <m/>
    <n v="0"/>
    <n v="0"/>
    <m/>
    <m/>
    <s v="Other vulnerable populations"/>
    <s v="HIV"/>
    <x v="1"/>
  </r>
  <r>
    <n v="970"/>
    <x v="7"/>
    <x v="26"/>
    <x v="32"/>
    <x v="2"/>
    <m/>
    <m/>
    <m/>
    <m/>
    <m/>
    <m/>
    <m/>
    <m/>
    <m/>
    <s v="-"/>
    <n v="0"/>
    <s v="-"/>
    <n v="0"/>
    <s v="-"/>
    <n v="0"/>
    <s v="-"/>
    <n v="0"/>
    <m/>
    <n v="0"/>
    <m/>
    <m/>
    <m/>
    <m/>
    <n v="0"/>
    <m/>
    <n v="0"/>
    <m/>
    <n v="0"/>
    <m/>
    <n v="0"/>
    <m/>
    <n v="0"/>
    <m/>
    <m/>
    <m/>
    <m/>
    <n v="0"/>
    <m/>
    <n v="0"/>
    <m/>
    <n v="0"/>
    <m/>
    <n v="0"/>
    <m/>
    <n v="0"/>
    <m/>
    <m/>
    <m/>
    <m/>
    <n v="0"/>
    <n v="0"/>
    <n v="0"/>
    <n v="0"/>
    <n v="0"/>
    <n v="0"/>
    <n v="0"/>
    <n v="0"/>
    <n v="0"/>
    <m/>
    <n v="0"/>
    <n v="0"/>
    <m/>
    <m/>
    <s v="Other vulnerable populations"/>
    <s v="HIV"/>
    <x v="1"/>
  </r>
  <r>
    <n v="971"/>
    <x v="7"/>
    <x v="26"/>
    <x v="32"/>
    <x v="3"/>
    <m/>
    <m/>
    <m/>
    <m/>
    <m/>
    <m/>
    <m/>
    <m/>
    <m/>
    <s v="-"/>
    <n v="0"/>
    <s v="-"/>
    <n v="0"/>
    <s v="-"/>
    <n v="0"/>
    <s v="-"/>
    <n v="0"/>
    <m/>
    <n v="0"/>
    <m/>
    <m/>
    <m/>
    <m/>
    <n v="0"/>
    <m/>
    <n v="0"/>
    <m/>
    <n v="0"/>
    <m/>
    <n v="0"/>
    <m/>
    <n v="0"/>
    <m/>
    <m/>
    <m/>
    <m/>
    <n v="0"/>
    <m/>
    <n v="0"/>
    <m/>
    <n v="0"/>
    <m/>
    <n v="0"/>
    <m/>
    <n v="0"/>
    <m/>
    <m/>
    <m/>
    <m/>
    <n v="0"/>
    <n v="0"/>
    <n v="0"/>
    <n v="0"/>
    <n v="0"/>
    <n v="0"/>
    <n v="0"/>
    <n v="0"/>
    <n v="0"/>
    <m/>
    <n v="0"/>
    <n v="0"/>
    <m/>
    <m/>
    <s v="Other vulnerable populations"/>
    <s v="HIV"/>
    <x v="1"/>
  </r>
  <r>
    <n v="972"/>
    <x v="7"/>
    <x v="26"/>
    <x v="32"/>
    <x v="4"/>
    <m/>
    <m/>
    <m/>
    <m/>
    <m/>
    <m/>
    <m/>
    <m/>
    <m/>
    <s v="-"/>
    <n v="0"/>
    <s v="-"/>
    <n v="0"/>
    <s v="-"/>
    <n v="0"/>
    <s v="-"/>
    <n v="0"/>
    <m/>
    <n v="0"/>
    <m/>
    <m/>
    <m/>
    <m/>
    <n v="0"/>
    <m/>
    <n v="0"/>
    <m/>
    <n v="0"/>
    <m/>
    <n v="0"/>
    <m/>
    <n v="0"/>
    <m/>
    <m/>
    <m/>
    <m/>
    <n v="0"/>
    <m/>
    <n v="0"/>
    <m/>
    <n v="0"/>
    <m/>
    <n v="0"/>
    <m/>
    <n v="0"/>
    <m/>
    <m/>
    <m/>
    <m/>
    <n v="0"/>
    <n v="0"/>
    <n v="0"/>
    <n v="0"/>
    <n v="0"/>
    <n v="0"/>
    <n v="0"/>
    <n v="0"/>
    <n v="0"/>
    <m/>
    <n v="0"/>
    <n v="0"/>
    <m/>
    <m/>
    <s v="Other vulnerable populations"/>
    <s v="HIV"/>
    <x v="1"/>
  </r>
  <r>
    <n v="973"/>
    <x v="7"/>
    <x v="26"/>
    <x v="32"/>
    <x v="5"/>
    <m/>
    <m/>
    <m/>
    <m/>
    <m/>
    <m/>
    <m/>
    <m/>
    <m/>
    <s v="-"/>
    <n v="0"/>
    <s v="-"/>
    <n v="0"/>
    <s v="-"/>
    <n v="0"/>
    <s v="-"/>
    <n v="0"/>
    <m/>
    <n v="0"/>
    <m/>
    <m/>
    <m/>
    <m/>
    <n v="0"/>
    <m/>
    <n v="0"/>
    <m/>
    <n v="0"/>
    <m/>
    <n v="0"/>
    <m/>
    <n v="0"/>
    <m/>
    <m/>
    <m/>
    <m/>
    <n v="0"/>
    <m/>
    <n v="0"/>
    <m/>
    <n v="0"/>
    <m/>
    <n v="0"/>
    <m/>
    <n v="0"/>
    <m/>
    <m/>
    <m/>
    <m/>
    <n v="0"/>
    <n v="0"/>
    <n v="0"/>
    <n v="0"/>
    <n v="0"/>
    <n v="0"/>
    <n v="0"/>
    <n v="0"/>
    <n v="0"/>
    <m/>
    <n v="0"/>
    <n v="0"/>
    <m/>
    <m/>
    <s v="Other vulnerable populations"/>
    <s v="HIV"/>
    <x v="1"/>
  </r>
  <r>
    <n v="974"/>
    <x v="7"/>
    <x v="26"/>
    <x v="32"/>
    <x v="6"/>
    <m/>
    <m/>
    <m/>
    <m/>
    <m/>
    <m/>
    <m/>
    <m/>
    <m/>
    <s v="-"/>
    <n v="0"/>
    <s v="-"/>
    <n v="0"/>
    <s v="-"/>
    <n v="0"/>
    <s v="-"/>
    <n v="0"/>
    <m/>
    <n v="0"/>
    <m/>
    <m/>
    <m/>
    <m/>
    <n v="0"/>
    <m/>
    <n v="0"/>
    <m/>
    <n v="0"/>
    <m/>
    <n v="0"/>
    <m/>
    <n v="0"/>
    <m/>
    <m/>
    <m/>
    <m/>
    <n v="0"/>
    <m/>
    <n v="0"/>
    <m/>
    <n v="0"/>
    <m/>
    <n v="0"/>
    <m/>
    <n v="0"/>
    <m/>
    <m/>
    <m/>
    <m/>
    <n v="0"/>
    <n v="0"/>
    <n v="0"/>
    <n v="0"/>
    <n v="0"/>
    <n v="0"/>
    <n v="0"/>
    <n v="0"/>
    <n v="0"/>
    <m/>
    <n v="0"/>
    <n v="0"/>
    <m/>
    <m/>
    <s v="Other vulnerable populations"/>
    <s v="HIV"/>
    <x v="1"/>
  </r>
  <r>
    <n v="975"/>
    <x v="7"/>
    <x v="26"/>
    <x v="32"/>
    <x v="7"/>
    <m/>
    <m/>
    <m/>
    <m/>
    <m/>
    <m/>
    <m/>
    <m/>
    <m/>
    <s v="-"/>
    <n v="0"/>
    <s v="-"/>
    <n v="0"/>
    <s v="-"/>
    <n v="0"/>
    <s v="-"/>
    <n v="0"/>
    <m/>
    <n v="0"/>
    <m/>
    <m/>
    <m/>
    <m/>
    <n v="0"/>
    <m/>
    <n v="0"/>
    <m/>
    <n v="0"/>
    <m/>
    <n v="0"/>
    <m/>
    <n v="0"/>
    <m/>
    <m/>
    <m/>
    <m/>
    <n v="0"/>
    <m/>
    <n v="0"/>
    <m/>
    <n v="0"/>
    <m/>
    <n v="0"/>
    <m/>
    <n v="0"/>
    <m/>
    <m/>
    <m/>
    <m/>
    <n v="0"/>
    <n v="0"/>
    <n v="0"/>
    <n v="0"/>
    <n v="0"/>
    <n v="0"/>
    <n v="0"/>
    <n v="0"/>
    <n v="0"/>
    <m/>
    <n v="0"/>
    <n v="0"/>
    <m/>
    <m/>
    <s v="Other vulnerable populations"/>
    <s v="HIV"/>
    <x v="1"/>
  </r>
  <r>
    <n v="976"/>
    <x v="7"/>
    <x v="27"/>
    <x v="47"/>
    <x v="11"/>
    <m/>
    <m/>
    <m/>
    <m/>
    <m/>
    <m/>
    <m/>
    <m/>
    <m/>
    <s v="-"/>
    <n v="0"/>
    <s v="-"/>
    <n v="0"/>
    <s v="-"/>
    <n v="0"/>
    <s v="-"/>
    <n v="0"/>
    <m/>
    <n v="0"/>
    <m/>
    <m/>
    <m/>
    <m/>
    <n v="0"/>
    <m/>
    <n v="0"/>
    <m/>
    <n v="0"/>
    <m/>
    <n v="0"/>
    <m/>
    <n v="0"/>
    <m/>
    <m/>
    <m/>
    <m/>
    <n v="0"/>
    <m/>
    <n v="0"/>
    <m/>
    <n v="0"/>
    <m/>
    <n v="0"/>
    <m/>
    <n v="0"/>
    <m/>
    <m/>
    <m/>
    <m/>
    <n v="0"/>
    <n v="0"/>
    <n v="0"/>
    <n v="0"/>
    <n v="0"/>
    <n v="0"/>
    <n v="0"/>
    <n v="0"/>
    <n v="0"/>
    <m/>
    <n v="0"/>
    <n v="0"/>
    <m/>
    <m/>
    <s v="Other vulnerable populations"/>
    <s v="HIV"/>
    <x v="22"/>
  </r>
  <r>
    <n v="977"/>
    <x v="7"/>
    <x v="27"/>
    <x v="32"/>
    <x v="1"/>
    <m/>
    <m/>
    <m/>
    <m/>
    <m/>
    <m/>
    <m/>
    <m/>
    <m/>
    <s v="-"/>
    <n v="0"/>
    <s v="-"/>
    <n v="0"/>
    <s v="-"/>
    <n v="0"/>
    <s v="-"/>
    <n v="0"/>
    <m/>
    <n v="0"/>
    <m/>
    <m/>
    <m/>
    <m/>
    <n v="0"/>
    <m/>
    <n v="0"/>
    <m/>
    <n v="0"/>
    <m/>
    <n v="0"/>
    <m/>
    <n v="0"/>
    <m/>
    <m/>
    <m/>
    <m/>
    <n v="0"/>
    <m/>
    <n v="0"/>
    <m/>
    <n v="0"/>
    <m/>
    <n v="0"/>
    <m/>
    <n v="0"/>
    <m/>
    <m/>
    <m/>
    <m/>
    <n v="0"/>
    <n v="0"/>
    <n v="0"/>
    <n v="0"/>
    <n v="0"/>
    <n v="0"/>
    <n v="0"/>
    <n v="0"/>
    <n v="0"/>
    <m/>
    <n v="0"/>
    <n v="0"/>
    <m/>
    <m/>
    <s v="Other vulnerable populations"/>
    <s v="HIV"/>
    <x v="1"/>
  </r>
  <r>
    <n v="978"/>
    <x v="7"/>
    <x v="27"/>
    <x v="32"/>
    <x v="2"/>
    <m/>
    <m/>
    <m/>
    <m/>
    <m/>
    <m/>
    <m/>
    <m/>
    <m/>
    <s v="-"/>
    <n v="0"/>
    <s v="-"/>
    <n v="0"/>
    <s v="-"/>
    <n v="0"/>
    <s v="-"/>
    <n v="0"/>
    <m/>
    <n v="0"/>
    <m/>
    <m/>
    <m/>
    <m/>
    <n v="0"/>
    <m/>
    <n v="0"/>
    <m/>
    <n v="0"/>
    <m/>
    <n v="0"/>
    <m/>
    <n v="0"/>
    <m/>
    <m/>
    <m/>
    <m/>
    <n v="0"/>
    <m/>
    <n v="0"/>
    <m/>
    <n v="0"/>
    <m/>
    <n v="0"/>
    <m/>
    <n v="0"/>
    <m/>
    <m/>
    <m/>
    <m/>
    <n v="0"/>
    <n v="0"/>
    <n v="0"/>
    <n v="0"/>
    <n v="0"/>
    <n v="0"/>
    <n v="0"/>
    <n v="0"/>
    <n v="0"/>
    <m/>
    <n v="0"/>
    <n v="0"/>
    <m/>
    <m/>
    <s v="Other vulnerable populations"/>
    <s v="HIV"/>
    <x v="1"/>
  </r>
  <r>
    <n v="979"/>
    <x v="7"/>
    <x v="27"/>
    <x v="32"/>
    <x v="3"/>
    <m/>
    <m/>
    <m/>
    <m/>
    <m/>
    <m/>
    <m/>
    <m/>
    <m/>
    <s v="-"/>
    <n v="0"/>
    <s v="-"/>
    <n v="0"/>
    <s v="-"/>
    <n v="0"/>
    <s v="-"/>
    <n v="0"/>
    <m/>
    <n v="0"/>
    <m/>
    <m/>
    <m/>
    <m/>
    <n v="0"/>
    <m/>
    <n v="0"/>
    <m/>
    <n v="0"/>
    <m/>
    <n v="0"/>
    <m/>
    <n v="0"/>
    <m/>
    <m/>
    <m/>
    <m/>
    <n v="0"/>
    <m/>
    <n v="0"/>
    <m/>
    <n v="0"/>
    <m/>
    <n v="0"/>
    <m/>
    <n v="0"/>
    <m/>
    <m/>
    <m/>
    <m/>
    <n v="0"/>
    <n v="0"/>
    <n v="0"/>
    <n v="0"/>
    <n v="0"/>
    <n v="0"/>
    <n v="0"/>
    <n v="0"/>
    <n v="0"/>
    <m/>
    <n v="0"/>
    <n v="0"/>
    <m/>
    <m/>
    <s v="Other vulnerable populations"/>
    <s v="HIV"/>
    <x v="1"/>
  </r>
  <r>
    <n v="980"/>
    <x v="7"/>
    <x v="27"/>
    <x v="32"/>
    <x v="4"/>
    <m/>
    <m/>
    <m/>
    <m/>
    <m/>
    <m/>
    <m/>
    <m/>
    <m/>
    <s v="-"/>
    <n v="0"/>
    <s v="-"/>
    <n v="0"/>
    <s v="-"/>
    <n v="0"/>
    <s v="-"/>
    <n v="0"/>
    <m/>
    <n v="0"/>
    <m/>
    <m/>
    <m/>
    <m/>
    <n v="0"/>
    <m/>
    <n v="0"/>
    <m/>
    <n v="0"/>
    <m/>
    <n v="0"/>
    <m/>
    <n v="0"/>
    <m/>
    <m/>
    <m/>
    <m/>
    <n v="0"/>
    <m/>
    <n v="0"/>
    <m/>
    <n v="0"/>
    <m/>
    <n v="0"/>
    <m/>
    <n v="0"/>
    <m/>
    <m/>
    <m/>
    <m/>
    <n v="0"/>
    <n v="0"/>
    <n v="0"/>
    <n v="0"/>
    <n v="0"/>
    <n v="0"/>
    <n v="0"/>
    <n v="0"/>
    <n v="0"/>
    <m/>
    <n v="0"/>
    <n v="0"/>
    <m/>
    <m/>
    <s v="Other vulnerable populations"/>
    <s v="HIV"/>
    <x v="1"/>
  </r>
  <r>
    <n v="981"/>
    <x v="7"/>
    <x v="27"/>
    <x v="32"/>
    <x v="5"/>
    <m/>
    <m/>
    <m/>
    <m/>
    <m/>
    <m/>
    <m/>
    <m/>
    <m/>
    <s v="-"/>
    <n v="0"/>
    <s v="-"/>
    <n v="0"/>
    <s v="-"/>
    <n v="0"/>
    <s v="-"/>
    <n v="0"/>
    <m/>
    <n v="0"/>
    <m/>
    <m/>
    <m/>
    <m/>
    <n v="0"/>
    <m/>
    <n v="0"/>
    <m/>
    <n v="0"/>
    <m/>
    <n v="0"/>
    <m/>
    <n v="0"/>
    <m/>
    <m/>
    <m/>
    <m/>
    <n v="0"/>
    <m/>
    <n v="0"/>
    <m/>
    <n v="0"/>
    <m/>
    <n v="0"/>
    <m/>
    <n v="0"/>
    <m/>
    <m/>
    <m/>
    <m/>
    <n v="0"/>
    <n v="0"/>
    <n v="0"/>
    <n v="0"/>
    <n v="0"/>
    <n v="0"/>
    <n v="0"/>
    <n v="0"/>
    <n v="0"/>
    <m/>
    <n v="0"/>
    <n v="0"/>
    <m/>
    <m/>
    <s v="Other vulnerable populations"/>
    <s v="HIV"/>
    <x v="1"/>
  </r>
  <r>
    <n v="982"/>
    <x v="7"/>
    <x v="27"/>
    <x v="32"/>
    <x v="6"/>
    <m/>
    <m/>
    <m/>
    <m/>
    <m/>
    <m/>
    <m/>
    <m/>
    <m/>
    <s v="-"/>
    <n v="0"/>
    <s v="-"/>
    <n v="0"/>
    <s v="-"/>
    <n v="0"/>
    <s v="-"/>
    <n v="0"/>
    <m/>
    <n v="0"/>
    <m/>
    <m/>
    <m/>
    <m/>
    <n v="0"/>
    <m/>
    <n v="0"/>
    <m/>
    <n v="0"/>
    <m/>
    <n v="0"/>
    <m/>
    <n v="0"/>
    <m/>
    <m/>
    <m/>
    <m/>
    <n v="0"/>
    <m/>
    <n v="0"/>
    <m/>
    <n v="0"/>
    <m/>
    <n v="0"/>
    <m/>
    <n v="0"/>
    <m/>
    <m/>
    <m/>
    <m/>
    <n v="0"/>
    <n v="0"/>
    <n v="0"/>
    <n v="0"/>
    <n v="0"/>
    <n v="0"/>
    <n v="0"/>
    <n v="0"/>
    <n v="0"/>
    <m/>
    <n v="0"/>
    <n v="0"/>
    <m/>
    <m/>
    <s v="Other vulnerable populations"/>
    <s v="HIV"/>
    <x v="1"/>
  </r>
  <r>
    <n v="983"/>
    <x v="7"/>
    <x v="27"/>
    <x v="32"/>
    <x v="7"/>
    <m/>
    <m/>
    <m/>
    <m/>
    <m/>
    <m/>
    <m/>
    <m/>
    <m/>
    <s v="-"/>
    <n v="0"/>
    <s v="-"/>
    <n v="0"/>
    <s v="-"/>
    <n v="0"/>
    <s v="-"/>
    <n v="0"/>
    <m/>
    <n v="0"/>
    <m/>
    <m/>
    <m/>
    <m/>
    <n v="0"/>
    <m/>
    <n v="0"/>
    <m/>
    <n v="0"/>
    <m/>
    <n v="0"/>
    <m/>
    <n v="0"/>
    <m/>
    <m/>
    <m/>
    <m/>
    <n v="0"/>
    <m/>
    <n v="0"/>
    <m/>
    <n v="0"/>
    <m/>
    <n v="0"/>
    <m/>
    <n v="0"/>
    <m/>
    <m/>
    <m/>
    <m/>
    <n v="0"/>
    <n v="0"/>
    <n v="0"/>
    <n v="0"/>
    <n v="0"/>
    <n v="0"/>
    <n v="0"/>
    <n v="0"/>
    <n v="0"/>
    <m/>
    <n v="0"/>
    <n v="0"/>
    <m/>
    <m/>
    <s v="Other vulnerable populations"/>
    <s v="HIV"/>
    <x v="1"/>
  </r>
  <r>
    <n v="984"/>
    <x v="7"/>
    <x v="25"/>
    <x v="48"/>
    <x v="1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22"/>
  </r>
  <r>
    <n v="985"/>
    <x v="7"/>
    <x v="25"/>
    <x v="34"/>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86"/>
    <x v="7"/>
    <x v="25"/>
    <x v="34"/>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87"/>
    <x v="7"/>
    <x v="25"/>
    <x v="34"/>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88"/>
    <x v="7"/>
    <x v="25"/>
    <x v="34"/>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89"/>
    <x v="7"/>
    <x v="25"/>
    <x v="34"/>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0"/>
    <x v="7"/>
    <x v="25"/>
    <x v="34"/>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1"/>
    <x v="7"/>
    <x v="25"/>
    <x v="34"/>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2"/>
    <x v="7"/>
    <x v="26"/>
    <x v="48"/>
    <x v="1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22"/>
  </r>
  <r>
    <n v="993"/>
    <x v="7"/>
    <x v="26"/>
    <x v="34"/>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4"/>
    <x v="7"/>
    <x v="26"/>
    <x v="34"/>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5"/>
    <x v="7"/>
    <x v="26"/>
    <x v="34"/>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6"/>
    <x v="7"/>
    <x v="26"/>
    <x v="34"/>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7"/>
    <x v="7"/>
    <x v="26"/>
    <x v="34"/>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8"/>
    <x v="7"/>
    <x v="26"/>
    <x v="34"/>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999"/>
    <x v="7"/>
    <x v="26"/>
    <x v="34"/>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0"/>
    <x v="7"/>
    <x v="27"/>
    <x v="48"/>
    <x v="1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22"/>
  </r>
  <r>
    <n v="1001"/>
    <x v="7"/>
    <x v="27"/>
    <x v="34"/>
    <x v="1"/>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2"/>
    <x v="7"/>
    <x v="27"/>
    <x v="34"/>
    <x v="2"/>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3"/>
    <x v="7"/>
    <x v="27"/>
    <x v="34"/>
    <x v="3"/>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4"/>
    <x v="7"/>
    <x v="27"/>
    <x v="34"/>
    <x v="4"/>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5"/>
    <x v="7"/>
    <x v="27"/>
    <x v="34"/>
    <x v="5"/>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6"/>
    <x v="7"/>
    <x v="27"/>
    <x v="34"/>
    <x v="6"/>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7"/>
    <x v="7"/>
    <x v="27"/>
    <x v="34"/>
    <x v="7"/>
    <m/>
    <m/>
    <m/>
    <m/>
    <m/>
    <m/>
    <m/>
    <m/>
    <m/>
    <s v="-"/>
    <n v="0"/>
    <s v="-"/>
    <n v="0"/>
    <s v="-"/>
    <n v="0"/>
    <s v="-"/>
    <n v="0"/>
    <m/>
    <n v="0"/>
    <m/>
    <m/>
    <m/>
    <m/>
    <n v="0"/>
    <m/>
    <n v="0"/>
    <m/>
    <n v="0"/>
    <m/>
    <n v="0"/>
    <m/>
    <n v="0"/>
    <m/>
    <m/>
    <m/>
    <m/>
    <n v="0"/>
    <m/>
    <n v="0"/>
    <m/>
    <n v="0"/>
    <m/>
    <n v="0"/>
    <m/>
    <n v="0"/>
    <m/>
    <m/>
    <m/>
    <m/>
    <n v="0"/>
    <n v="0"/>
    <n v="0"/>
    <n v="0"/>
    <n v="0"/>
    <n v="0"/>
    <n v="0"/>
    <n v="0"/>
    <n v="0"/>
    <m/>
    <n v="0"/>
    <n v="0"/>
    <m/>
    <m/>
    <s v="Adolescent girls and young women in high prevalence settings"/>
    <s v="HIV"/>
    <x v="1"/>
  </r>
  <r>
    <n v="1008"/>
    <x v="7"/>
    <x v="25"/>
    <x v="49"/>
    <x v="11"/>
    <m/>
    <m/>
    <m/>
    <m/>
    <m/>
    <m/>
    <m/>
    <m/>
    <m/>
    <s v="-"/>
    <n v="0"/>
    <s v="-"/>
    <n v="0"/>
    <s v="-"/>
    <n v="0"/>
    <s v="-"/>
    <n v="0"/>
    <m/>
    <n v="0"/>
    <m/>
    <m/>
    <m/>
    <m/>
    <n v="0"/>
    <m/>
    <n v="0"/>
    <m/>
    <n v="0"/>
    <m/>
    <n v="0"/>
    <m/>
    <n v="0"/>
    <m/>
    <m/>
    <m/>
    <m/>
    <n v="0"/>
    <m/>
    <n v="0"/>
    <m/>
    <n v="0"/>
    <m/>
    <n v="0"/>
    <m/>
    <n v="0"/>
    <m/>
    <m/>
    <m/>
    <m/>
    <n v="0"/>
    <n v="0"/>
    <n v="0"/>
    <n v="0"/>
    <n v="0"/>
    <n v="0"/>
    <n v="0"/>
    <n v="0"/>
    <n v="0"/>
    <m/>
    <n v="0"/>
    <n v="0"/>
    <m/>
    <m/>
    <s v="Men in high prevalence settings"/>
    <s v="HIV"/>
    <x v="22"/>
  </r>
  <r>
    <n v="1009"/>
    <x v="7"/>
    <x v="25"/>
    <x v="36"/>
    <x v="1"/>
    <m/>
    <m/>
    <m/>
    <m/>
    <m/>
    <m/>
    <m/>
    <m/>
    <m/>
    <s v="-"/>
    <n v="0"/>
    <s v="-"/>
    <n v="0"/>
    <s v="-"/>
    <n v="0"/>
    <s v="-"/>
    <n v="0"/>
    <m/>
    <n v="0"/>
    <m/>
    <m/>
    <m/>
    <m/>
    <n v="0"/>
    <m/>
    <n v="0"/>
    <m/>
    <n v="0"/>
    <m/>
    <n v="0"/>
    <m/>
    <n v="0"/>
    <m/>
    <m/>
    <m/>
    <m/>
    <n v="0"/>
    <m/>
    <n v="0"/>
    <m/>
    <n v="0"/>
    <m/>
    <n v="0"/>
    <m/>
    <n v="0"/>
    <m/>
    <m/>
    <m/>
    <m/>
    <n v="0"/>
    <n v="0"/>
    <n v="0"/>
    <n v="0"/>
    <n v="0"/>
    <n v="0"/>
    <n v="0"/>
    <n v="0"/>
    <n v="0"/>
    <m/>
    <n v="0"/>
    <n v="0"/>
    <m/>
    <m/>
    <s v="Men in high prevalence settings"/>
    <s v="HIV"/>
    <x v="1"/>
  </r>
  <r>
    <n v="1010"/>
    <x v="7"/>
    <x v="25"/>
    <x v="36"/>
    <x v="2"/>
    <m/>
    <m/>
    <m/>
    <m/>
    <m/>
    <m/>
    <m/>
    <m/>
    <m/>
    <s v="-"/>
    <n v="0"/>
    <s v="-"/>
    <n v="0"/>
    <s v="-"/>
    <n v="0"/>
    <s v="-"/>
    <n v="0"/>
    <m/>
    <n v="0"/>
    <m/>
    <m/>
    <m/>
    <m/>
    <n v="0"/>
    <m/>
    <n v="0"/>
    <m/>
    <n v="0"/>
    <m/>
    <n v="0"/>
    <m/>
    <n v="0"/>
    <m/>
    <m/>
    <m/>
    <m/>
    <n v="0"/>
    <m/>
    <n v="0"/>
    <m/>
    <n v="0"/>
    <m/>
    <n v="0"/>
    <m/>
    <n v="0"/>
    <m/>
    <m/>
    <m/>
    <m/>
    <n v="0"/>
    <n v="0"/>
    <n v="0"/>
    <n v="0"/>
    <n v="0"/>
    <n v="0"/>
    <n v="0"/>
    <n v="0"/>
    <n v="0"/>
    <m/>
    <n v="0"/>
    <n v="0"/>
    <m/>
    <m/>
    <s v="Men in high prevalence settings"/>
    <s v="HIV"/>
    <x v="1"/>
  </r>
  <r>
    <n v="1011"/>
    <x v="7"/>
    <x v="25"/>
    <x v="36"/>
    <x v="3"/>
    <m/>
    <m/>
    <m/>
    <m/>
    <m/>
    <m/>
    <m/>
    <m/>
    <m/>
    <s v="-"/>
    <n v="0"/>
    <s v="-"/>
    <n v="0"/>
    <s v="-"/>
    <n v="0"/>
    <s v="-"/>
    <n v="0"/>
    <m/>
    <n v="0"/>
    <m/>
    <m/>
    <m/>
    <m/>
    <n v="0"/>
    <m/>
    <n v="0"/>
    <m/>
    <n v="0"/>
    <m/>
    <n v="0"/>
    <m/>
    <n v="0"/>
    <m/>
    <m/>
    <m/>
    <m/>
    <n v="0"/>
    <m/>
    <n v="0"/>
    <m/>
    <n v="0"/>
    <m/>
    <n v="0"/>
    <m/>
    <n v="0"/>
    <m/>
    <m/>
    <m/>
    <m/>
    <n v="0"/>
    <n v="0"/>
    <n v="0"/>
    <n v="0"/>
    <n v="0"/>
    <n v="0"/>
    <n v="0"/>
    <n v="0"/>
    <n v="0"/>
    <m/>
    <n v="0"/>
    <n v="0"/>
    <m/>
    <m/>
    <s v="Men in high prevalence settings"/>
    <s v="HIV"/>
    <x v="1"/>
  </r>
  <r>
    <n v="1012"/>
    <x v="7"/>
    <x v="25"/>
    <x v="36"/>
    <x v="4"/>
    <m/>
    <m/>
    <m/>
    <m/>
    <m/>
    <m/>
    <m/>
    <m/>
    <m/>
    <s v="-"/>
    <n v="0"/>
    <s v="-"/>
    <n v="0"/>
    <s v="-"/>
    <n v="0"/>
    <s v="-"/>
    <n v="0"/>
    <m/>
    <n v="0"/>
    <m/>
    <m/>
    <m/>
    <m/>
    <n v="0"/>
    <m/>
    <n v="0"/>
    <m/>
    <n v="0"/>
    <m/>
    <n v="0"/>
    <m/>
    <n v="0"/>
    <m/>
    <m/>
    <m/>
    <m/>
    <n v="0"/>
    <m/>
    <n v="0"/>
    <m/>
    <n v="0"/>
    <m/>
    <n v="0"/>
    <m/>
    <n v="0"/>
    <m/>
    <m/>
    <m/>
    <m/>
    <n v="0"/>
    <n v="0"/>
    <n v="0"/>
    <n v="0"/>
    <n v="0"/>
    <n v="0"/>
    <n v="0"/>
    <n v="0"/>
    <n v="0"/>
    <m/>
    <n v="0"/>
    <n v="0"/>
    <m/>
    <m/>
    <s v="Men in high prevalence settings"/>
    <s v="HIV"/>
    <x v="1"/>
  </r>
  <r>
    <n v="1013"/>
    <x v="7"/>
    <x v="25"/>
    <x v="36"/>
    <x v="5"/>
    <m/>
    <m/>
    <m/>
    <m/>
    <m/>
    <m/>
    <m/>
    <m/>
    <m/>
    <s v="-"/>
    <n v="0"/>
    <s v="-"/>
    <n v="0"/>
    <s v="-"/>
    <n v="0"/>
    <s v="-"/>
    <n v="0"/>
    <m/>
    <n v="0"/>
    <m/>
    <m/>
    <m/>
    <m/>
    <n v="0"/>
    <m/>
    <n v="0"/>
    <m/>
    <n v="0"/>
    <m/>
    <n v="0"/>
    <m/>
    <n v="0"/>
    <m/>
    <m/>
    <m/>
    <m/>
    <n v="0"/>
    <m/>
    <n v="0"/>
    <m/>
    <n v="0"/>
    <m/>
    <n v="0"/>
    <m/>
    <n v="0"/>
    <m/>
    <m/>
    <m/>
    <m/>
    <n v="0"/>
    <n v="0"/>
    <n v="0"/>
    <n v="0"/>
    <n v="0"/>
    <n v="0"/>
    <n v="0"/>
    <n v="0"/>
    <n v="0"/>
    <m/>
    <n v="0"/>
    <n v="0"/>
    <m/>
    <m/>
    <s v="Men in high prevalence settings"/>
    <s v="HIV"/>
    <x v="1"/>
  </r>
  <r>
    <n v="1014"/>
    <x v="7"/>
    <x v="25"/>
    <x v="36"/>
    <x v="6"/>
    <m/>
    <m/>
    <m/>
    <m/>
    <m/>
    <m/>
    <m/>
    <m/>
    <m/>
    <s v="-"/>
    <n v="0"/>
    <s v="-"/>
    <n v="0"/>
    <s v="-"/>
    <n v="0"/>
    <s v="-"/>
    <n v="0"/>
    <m/>
    <n v="0"/>
    <m/>
    <m/>
    <m/>
    <m/>
    <n v="0"/>
    <m/>
    <n v="0"/>
    <m/>
    <n v="0"/>
    <m/>
    <n v="0"/>
    <m/>
    <n v="0"/>
    <m/>
    <m/>
    <m/>
    <m/>
    <n v="0"/>
    <m/>
    <n v="0"/>
    <m/>
    <n v="0"/>
    <m/>
    <n v="0"/>
    <m/>
    <n v="0"/>
    <m/>
    <m/>
    <m/>
    <m/>
    <n v="0"/>
    <n v="0"/>
    <n v="0"/>
    <n v="0"/>
    <n v="0"/>
    <n v="0"/>
    <n v="0"/>
    <n v="0"/>
    <n v="0"/>
    <m/>
    <n v="0"/>
    <n v="0"/>
    <m/>
    <m/>
    <s v="Men in high prevalence settings"/>
    <s v="HIV"/>
    <x v="1"/>
  </r>
  <r>
    <n v="1015"/>
    <x v="7"/>
    <x v="25"/>
    <x v="36"/>
    <x v="7"/>
    <m/>
    <m/>
    <m/>
    <m/>
    <m/>
    <m/>
    <m/>
    <m/>
    <m/>
    <s v="-"/>
    <n v="0"/>
    <s v="-"/>
    <n v="0"/>
    <s v="-"/>
    <n v="0"/>
    <s v="-"/>
    <n v="0"/>
    <m/>
    <n v="0"/>
    <m/>
    <m/>
    <m/>
    <m/>
    <n v="0"/>
    <m/>
    <n v="0"/>
    <m/>
    <n v="0"/>
    <m/>
    <n v="0"/>
    <m/>
    <n v="0"/>
    <m/>
    <m/>
    <m/>
    <m/>
    <n v="0"/>
    <m/>
    <n v="0"/>
    <m/>
    <n v="0"/>
    <m/>
    <n v="0"/>
    <m/>
    <n v="0"/>
    <m/>
    <m/>
    <m/>
    <m/>
    <n v="0"/>
    <n v="0"/>
    <n v="0"/>
    <n v="0"/>
    <n v="0"/>
    <n v="0"/>
    <n v="0"/>
    <n v="0"/>
    <n v="0"/>
    <m/>
    <n v="0"/>
    <n v="0"/>
    <m/>
    <m/>
    <s v="Men in high prevalence settings"/>
    <s v="HIV"/>
    <x v="1"/>
  </r>
  <r>
    <n v="1016"/>
    <x v="7"/>
    <x v="26"/>
    <x v="49"/>
    <x v="11"/>
    <m/>
    <m/>
    <m/>
    <m/>
    <m/>
    <m/>
    <m/>
    <m/>
    <m/>
    <s v="-"/>
    <n v="0"/>
    <s v="-"/>
    <n v="0"/>
    <s v="-"/>
    <n v="0"/>
    <s v="-"/>
    <n v="0"/>
    <m/>
    <n v="0"/>
    <m/>
    <m/>
    <m/>
    <m/>
    <n v="0"/>
    <m/>
    <n v="0"/>
    <m/>
    <n v="0"/>
    <m/>
    <n v="0"/>
    <m/>
    <n v="0"/>
    <m/>
    <m/>
    <m/>
    <m/>
    <n v="0"/>
    <m/>
    <n v="0"/>
    <m/>
    <n v="0"/>
    <m/>
    <n v="0"/>
    <m/>
    <n v="0"/>
    <m/>
    <m/>
    <m/>
    <m/>
    <n v="0"/>
    <n v="0"/>
    <n v="0"/>
    <n v="0"/>
    <n v="0"/>
    <n v="0"/>
    <n v="0"/>
    <n v="0"/>
    <n v="0"/>
    <m/>
    <n v="0"/>
    <n v="0"/>
    <m/>
    <m/>
    <s v="Men in high prevalence settings"/>
    <s v="HIV"/>
    <x v="22"/>
  </r>
  <r>
    <n v="1017"/>
    <x v="7"/>
    <x v="26"/>
    <x v="36"/>
    <x v="1"/>
    <m/>
    <m/>
    <m/>
    <m/>
    <m/>
    <m/>
    <m/>
    <m/>
    <m/>
    <s v="-"/>
    <n v="0"/>
    <s v="-"/>
    <n v="0"/>
    <s v="-"/>
    <n v="0"/>
    <s v="-"/>
    <n v="0"/>
    <m/>
    <n v="0"/>
    <m/>
    <m/>
    <m/>
    <m/>
    <n v="0"/>
    <m/>
    <n v="0"/>
    <m/>
    <n v="0"/>
    <m/>
    <n v="0"/>
    <m/>
    <n v="0"/>
    <m/>
    <m/>
    <m/>
    <m/>
    <n v="0"/>
    <m/>
    <n v="0"/>
    <m/>
    <n v="0"/>
    <m/>
    <n v="0"/>
    <m/>
    <n v="0"/>
    <m/>
    <m/>
    <m/>
    <m/>
    <n v="0"/>
    <n v="0"/>
    <n v="0"/>
    <n v="0"/>
    <n v="0"/>
    <n v="0"/>
    <n v="0"/>
    <n v="0"/>
    <n v="0"/>
    <m/>
    <n v="0"/>
    <n v="0"/>
    <m/>
    <m/>
    <s v="Men in high prevalence settings"/>
    <s v="HIV"/>
    <x v="1"/>
  </r>
  <r>
    <n v="1018"/>
    <x v="7"/>
    <x v="26"/>
    <x v="36"/>
    <x v="2"/>
    <m/>
    <m/>
    <m/>
    <m/>
    <m/>
    <m/>
    <m/>
    <m/>
    <m/>
    <s v="-"/>
    <n v="0"/>
    <s v="-"/>
    <n v="0"/>
    <s v="-"/>
    <n v="0"/>
    <s v="-"/>
    <n v="0"/>
    <m/>
    <n v="0"/>
    <m/>
    <m/>
    <m/>
    <m/>
    <n v="0"/>
    <m/>
    <n v="0"/>
    <m/>
    <n v="0"/>
    <m/>
    <n v="0"/>
    <m/>
    <n v="0"/>
    <m/>
    <m/>
    <m/>
    <m/>
    <n v="0"/>
    <m/>
    <n v="0"/>
    <m/>
    <n v="0"/>
    <m/>
    <n v="0"/>
    <m/>
    <n v="0"/>
    <m/>
    <m/>
    <m/>
    <m/>
    <n v="0"/>
    <n v="0"/>
    <n v="0"/>
    <n v="0"/>
    <n v="0"/>
    <n v="0"/>
    <n v="0"/>
    <n v="0"/>
    <n v="0"/>
    <m/>
    <n v="0"/>
    <n v="0"/>
    <m/>
    <m/>
    <s v="Men in high prevalence settings"/>
    <s v="HIV"/>
    <x v="1"/>
  </r>
  <r>
    <n v="1019"/>
    <x v="7"/>
    <x v="26"/>
    <x v="36"/>
    <x v="3"/>
    <m/>
    <m/>
    <m/>
    <m/>
    <m/>
    <m/>
    <m/>
    <m/>
    <m/>
    <s v="-"/>
    <n v="0"/>
    <s v="-"/>
    <n v="0"/>
    <s v="-"/>
    <n v="0"/>
    <s v="-"/>
    <n v="0"/>
    <m/>
    <n v="0"/>
    <m/>
    <m/>
    <m/>
    <m/>
    <n v="0"/>
    <m/>
    <n v="0"/>
    <m/>
    <n v="0"/>
    <m/>
    <n v="0"/>
    <m/>
    <n v="0"/>
    <m/>
    <m/>
    <m/>
    <m/>
    <n v="0"/>
    <m/>
    <n v="0"/>
    <m/>
    <n v="0"/>
    <m/>
    <n v="0"/>
    <m/>
    <n v="0"/>
    <m/>
    <m/>
    <m/>
    <m/>
    <n v="0"/>
    <n v="0"/>
    <n v="0"/>
    <n v="0"/>
    <n v="0"/>
    <n v="0"/>
    <n v="0"/>
    <n v="0"/>
    <n v="0"/>
    <m/>
    <n v="0"/>
    <n v="0"/>
    <m/>
    <m/>
    <s v="Men in high prevalence settings"/>
    <s v="HIV"/>
    <x v="1"/>
  </r>
  <r>
    <n v="1020"/>
    <x v="7"/>
    <x v="26"/>
    <x v="36"/>
    <x v="4"/>
    <m/>
    <m/>
    <m/>
    <m/>
    <m/>
    <m/>
    <m/>
    <m/>
    <m/>
    <s v="-"/>
    <n v="0"/>
    <s v="-"/>
    <n v="0"/>
    <s v="-"/>
    <n v="0"/>
    <s v="-"/>
    <n v="0"/>
    <m/>
    <n v="0"/>
    <m/>
    <m/>
    <m/>
    <m/>
    <n v="0"/>
    <m/>
    <n v="0"/>
    <m/>
    <n v="0"/>
    <m/>
    <n v="0"/>
    <m/>
    <n v="0"/>
    <m/>
    <m/>
    <m/>
    <m/>
    <n v="0"/>
    <m/>
    <n v="0"/>
    <m/>
    <n v="0"/>
    <m/>
    <n v="0"/>
    <m/>
    <n v="0"/>
    <m/>
    <m/>
    <m/>
    <m/>
    <n v="0"/>
    <n v="0"/>
    <n v="0"/>
    <n v="0"/>
    <n v="0"/>
    <n v="0"/>
    <n v="0"/>
    <n v="0"/>
    <n v="0"/>
    <m/>
    <n v="0"/>
    <n v="0"/>
    <m/>
    <m/>
    <s v="Men in high prevalence settings"/>
    <s v="HIV"/>
    <x v="1"/>
  </r>
  <r>
    <n v="1021"/>
    <x v="7"/>
    <x v="26"/>
    <x v="36"/>
    <x v="5"/>
    <m/>
    <m/>
    <m/>
    <m/>
    <m/>
    <m/>
    <m/>
    <m/>
    <m/>
    <s v="-"/>
    <n v="0"/>
    <s v="-"/>
    <n v="0"/>
    <s v="-"/>
    <n v="0"/>
    <s v="-"/>
    <n v="0"/>
    <m/>
    <n v="0"/>
    <m/>
    <m/>
    <m/>
    <m/>
    <n v="0"/>
    <m/>
    <n v="0"/>
    <m/>
    <n v="0"/>
    <m/>
    <n v="0"/>
    <m/>
    <n v="0"/>
    <m/>
    <m/>
    <m/>
    <m/>
    <n v="0"/>
    <m/>
    <n v="0"/>
    <m/>
    <n v="0"/>
    <m/>
    <n v="0"/>
    <m/>
    <n v="0"/>
    <m/>
    <m/>
    <m/>
    <m/>
    <n v="0"/>
    <n v="0"/>
    <n v="0"/>
    <n v="0"/>
    <n v="0"/>
    <n v="0"/>
    <n v="0"/>
    <n v="0"/>
    <n v="0"/>
    <m/>
    <n v="0"/>
    <n v="0"/>
    <m/>
    <m/>
    <s v="Men in high prevalence settings"/>
    <s v="HIV"/>
    <x v="1"/>
  </r>
  <r>
    <n v="1022"/>
    <x v="7"/>
    <x v="26"/>
    <x v="36"/>
    <x v="6"/>
    <m/>
    <m/>
    <m/>
    <m/>
    <m/>
    <m/>
    <m/>
    <m/>
    <m/>
    <s v="-"/>
    <n v="0"/>
    <s v="-"/>
    <n v="0"/>
    <s v="-"/>
    <n v="0"/>
    <s v="-"/>
    <n v="0"/>
    <m/>
    <n v="0"/>
    <m/>
    <m/>
    <m/>
    <m/>
    <n v="0"/>
    <m/>
    <n v="0"/>
    <m/>
    <n v="0"/>
    <m/>
    <n v="0"/>
    <m/>
    <n v="0"/>
    <m/>
    <m/>
    <m/>
    <m/>
    <n v="0"/>
    <m/>
    <n v="0"/>
    <m/>
    <n v="0"/>
    <m/>
    <n v="0"/>
    <m/>
    <n v="0"/>
    <m/>
    <m/>
    <m/>
    <m/>
    <n v="0"/>
    <n v="0"/>
    <n v="0"/>
    <n v="0"/>
    <n v="0"/>
    <n v="0"/>
    <n v="0"/>
    <n v="0"/>
    <n v="0"/>
    <m/>
    <n v="0"/>
    <n v="0"/>
    <m/>
    <m/>
    <s v="Men in high prevalence settings"/>
    <s v="HIV"/>
    <x v="1"/>
  </r>
  <r>
    <n v="1023"/>
    <x v="7"/>
    <x v="26"/>
    <x v="36"/>
    <x v="7"/>
    <m/>
    <m/>
    <m/>
    <m/>
    <m/>
    <m/>
    <m/>
    <m/>
    <m/>
    <s v="-"/>
    <n v="0"/>
    <s v="-"/>
    <n v="0"/>
    <s v="-"/>
    <n v="0"/>
    <s v="-"/>
    <n v="0"/>
    <m/>
    <n v="0"/>
    <m/>
    <m/>
    <m/>
    <m/>
    <n v="0"/>
    <m/>
    <n v="0"/>
    <m/>
    <n v="0"/>
    <m/>
    <n v="0"/>
    <m/>
    <n v="0"/>
    <m/>
    <m/>
    <m/>
    <m/>
    <n v="0"/>
    <m/>
    <n v="0"/>
    <m/>
    <n v="0"/>
    <m/>
    <n v="0"/>
    <m/>
    <n v="0"/>
    <m/>
    <m/>
    <m/>
    <m/>
    <n v="0"/>
    <n v="0"/>
    <n v="0"/>
    <n v="0"/>
    <n v="0"/>
    <n v="0"/>
    <n v="0"/>
    <n v="0"/>
    <n v="0"/>
    <m/>
    <n v="0"/>
    <n v="0"/>
    <m/>
    <m/>
    <s v="Men in high prevalence settings"/>
    <s v="HIV"/>
    <x v="1"/>
  </r>
  <r>
    <n v="1024"/>
    <x v="7"/>
    <x v="27"/>
    <x v="49"/>
    <x v="11"/>
    <m/>
    <m/>
    <m/>
    <m/>
    <m/>
    <m/>
    <m/>
    <m/>
    <m/>
    <s v="-"/>
    <n v="0"/>
    <s v="-"/>
    <n v="0"/>
    <s v="-"/>
    <n v="0"/>
    <s v="-"/>
    <n v="0"/>
    <m/>
    <n v="0"/>
    <m/>
    <m/>
    <m/>
    <m/>
    <n v="0"/>
    <m/>
    <n v="0"/>
    <m/>
    <n v="0"/>
    <m/>
    <n v="0"/>
    <m/>
    <n v="0"/>
    <m/>
    <m/>
    <m/>
    <m/>
    <n v="0"/>
    <m/>
    <n v="0"/>
    <m/>
    <n v="0"/>
    <m/>
    <n v="0"/>
    <m/>
    <n v="0"/>
    <m/>
    <m/>
    <m/>
    <m/>
    <n v="0"/>
    <n v="0"/>
    <n v="0"/>
    <n v="0"/>
    <n v="0"/>
    <n v="0"/>
    <n v="0"/>
    <n v="0"/>
    <n v="0"/>
    <m/>
    <n v="0"/>
    <n v="0"/>
    <m/>
    <m/>
    <s v="Men in high prevalence settings"/>
    <s v="HIV"/>
    <x v="22"/>
  </r>
  <r>
    <n v="1025"/>
    <x v="7"/>
    <x v="27"/>
    <x v="36"/>
    <x v="1"/>
    <m/>
    <m/>
    <m/>
    <m/>
    <m/>
    <m/>
    <m/>
    <m/>
    <m/>
    <s v="-"/>
    <n v="0"/>
    <s v="-"/>
    <n v="0"/>
    <s v="-"/>
    <n v="0"/>
    <s v="-"/>
    <n v="0"/>
    <m/>
    <n v="0"/>
    <m/>
    <m/>
    <m/>
    <m/>
    <n v="0"/>
    <m/>
    <n v="0"/>
    <m/>
    <n v="0"/>
    <m/>
    <n v="0"/>
    <m/>
    <n v="0"/>
    <m/>
    <m/>
    <m/>
    <m/>
    <n v="0"/>
    <m/>
    <n v="0"/>
    <m/>
    <n v="0"/>
    <m/>
    <n v="0"/>
    <m/>
    <n v="0"/>
    <m/>
    <m/>
    <m/>
    <m/>
    <n v="0"/>
    <n v="0"/>
    <n v="0"/>
    <n v="0"/>
    <n v="0"/>
    <n v="0"/>
    <n v="0"/>
    <n v="0"/>
    <n v="0"/>
    <m/>
    <n v="0"/>
    <n v="0"/>
    <m/>
    <m/>
    <s v="Men in high prevalence settings"/>
    <s v="HIV"/>
    <x v="1"/>
  </r>
  <r>
    <n v="1026"/>
    <x v="7"/>
    <x v="27"/>
    <x v="36"/>
    <x v="2"/>
    <m/>
    <m/>
    <m/>
    <m/>
    <m/>
    <m/>
    <m/>
    <m/>
    <m/>
    <s v="-"/>
    <n v="0"/>
    <s v="-"/>
    <n v="0"/>
    <s v="-"/>
    <n v="0"/>
    <s v="-"/>
    <n v="0"/>
    <m/>
    <n v="0"/>
    <m/>
    <m/>
    <m/>
    <m/>
    <n v="0"/>
    <m/>
    <n v="0"/>
    <m/>
    <n v="0"/>
    <m/>
    <n v="0"/>
    <m/>
    <n v="0"/>
    <m/>
    <m/>
    <m/>
    <m/>
    <n v="0"/>
    <m/>
    <n v="0"/>
    <m/>
    <n v="0"/>
    <m/>
    <n v="0"/>
    <m/>
    <n v="0"/>
    <m/>
    <m/>
    <m/>
    <m/>
    <n v="0"/>
    <n v="0"/>
    <n v="0"/>
    <n v="0"/>
    <n v="0"/>
    <n v="0"/>
    <n v="0"/>
    <n v="0"/>
    <n v="0"/>
    <m/>
    <n v="0"/>
    <n v="0"/>
    <m/>
    <m/>
    <s v="Men in high prevalence settings"/>
    <s v="HIV"/>
    <x v="1"/>
  </r>
  <r>
    <n v="1027"/>
    <x v="7"/>
    <x v="27"/>
    <x v="36"/>
    <x v="3"/>
    <m/>
    <m/>
    <m/>
    <m/>
    <m/>
    <m/>
    <m/>
    <m/>
    <m/>
    <s v="-"/>
    <n v="0"/>
    <s v="-"/>
    <n v="0"/>
    <s v="-"/>
    <n v="0"/>
    <s v="-"/>
    <n v="0"/>
    <m/>
    <n v="0"/>
    <m/>
    <m/>
    <m/>
    <m/>
    <n v="0"/>
    <m/>
    <n v="0"/>
    <m/>
    <n v="0"/>
    <m/>
    <n v="0"/>
    <m/>
    <n v="0"/>
    <m/>
    <m/>
    <m/>
    <m/>
    <n v="0"/>
    <m/>
    <n v="0"/>
    <m/>
    <n v="0"/>
    <m/>
    <n v="0"/>
    <m/>
    <n v="0"/>
    <m/>
    <m/>
    <m/>
    <m/>
    <n v="0"/>
    <n v="0"/>
    <n v="0"/>
    <n v="0"/>
    <n v="0"/>
    <n v="0"/>
    <n v="0"/>
    <n v="0"/>
    <n v="0"/>
    <m/>
    <n v="0"/>
    <n v="0"/>
    <m/>
    <m/>
    <s v="Men in high prevalence settings"/>
    <s v="HIV"/>
    <x v="1"/>
  </r>
  <r>
    <n v="1028"/>
    <x v="7"/>
    <x v="27"/>
    <x v="36"/>
    <x v="4"/>
    <m/>
    <m/>
    <m/>
    <m/>
    <m/>
    <m/>
    <m/>
    <m/>
    <m/>
    <s v="-"/>
    <n v="0"/>
    <s v="-"/>
    <n v="0"/>
    <s v="-"/>
    <n v="0"/>
    <s v="-"/>
    <n v="0"/>
    <m/>
    <n v="0"/>
    <m/>
    <m/>
    <m/>
    <m/>
    <n v="0"/>
    <m/>
    <n v="0"/>
    <m/>
    <n v="0"/>
    <m/>
    <n v="0"/>
    <m/>
    <n v="0"/>
    <m/>
    <m/>
    <m/>
    <m/>
    <n v="0"/>
    <m/>
    <n v="0"/>
    <m/>
    <n v="0"/>
    <m/>
    <n v="0"/>
    <m/>
    <n v="0"/>
    <m/>
    <m/>
    <m/>
    <m/>
    <n v="0"/>
    <n v="0"/>
    <n v="0"/>
    <n v="0"/>
    <n v="0"/>
    <n v="0"/>
    <n v="0"/>
    <n v="0"/>
    <n v="0"/>
    <m/>
    <n v="0"/>
    <n v="0"/>
    <m/>
    <m/>
    <s v="Men in high prevalence settings"/>
    <s v="HIV"/>
    <x v="1"/>
  </r>
  <r>
    <n v="1029"/>
    <x v="7"/>
    <x v="27"/>
    <x v="36"/>
    <x v="5"/>
    <m/>
    <m/>
    <m/>
    <m/>
    <m/>
    <m/>
    <m/>
    <m/>
    <m/>
    <s v="-"/>
    <n v="0"/>
    <s v="-"/>
    <n v="0"/>
    <s v="-"/>
    <n v="0"/>
    <s v="-"/>
    <n v="0"/>
    <m/>
    <n v="0"/>
    <m/>
    <m/>
    <m/>
    <m/>
    <n v="0"/>
    <m/>
    <n v="0"/>
    <m/>
    <n v="0"/>
    <m/>
    <n v="0"/>
    <m/>
    <n v="0"/>
    <m/>
    <m/>
    <m/>
    <m/>
    <n v="0"/>
    <m/>
    <n v="0"/>
    <m/>
    <n v="0"/>
    <m/>
    <n v="0"/>
    <m/>
    <n v="0"/>
    <m/>
    <m/>
    <m/>
    <m/>
    <n v="0"/>
    <n v="0"/>
    <n v="0"/>
    <n v="0"/>
    <n v="0"/>
    <n v="0"/>
    <n v="0"/>
    <n v="0"/>
    <n v="0"/>
    <m/>
    <n v="0"/>
    <n v="0"/>
    <m/>
    <m/>
    <s v="Men in high prevalence settings"/>
    <s v="HIV"/>
    <x v="1"/>
  </r>
  <r>
    <n v="1030"/>
    <x v="7"/>
    <x v="27"/>
    <x v="36"/>
    <x v="6"/>
    <m/>
    <m/>
    <m/>
    <m/>
    <m/>
    <m/>
    <m/>
    <m/>
    <m/>
    <s v="-"/>
    <n v="0"/>
    <s v="-"/>
    <n v="0"/>
    <s v="-"/>
    <n v="0"/>
    <s v="-"/>
    <n v="0"/>
    <m/>
    <n v="0"/>
    <m/>
    <m/>
    <m/>
    <m/>
    <n v="0"/>
    <m/>
    <n v="0"/>
    <m/>
    <n v="0"/>
    <m/>
    <n v="0"/>
    <m/>
    <n v="0"/>
    <m/>
    <m/>
    <m/>
    <m/>
    <n v="0"/>
    <m/>
    <n v="0"/>
    <m/>
    <n v="0"/>
    <m/>
    <n v="0"/>
    <m/>
    <n v="0"/>
    <m/>
    <m/>
    <m/>
    <m/>
    <n v="0"/>
    <n v="0"/>
    <n v="0"/>
    <n v="0"/>
    <n v="0"/>
    <n v="0"/>
    <n v="0"/>
    <n v="0"/>
    <n v="0"/>
    <m/>
    <n v="0"/>
    <n v="0"/>
    <m/>
    <m/>
    <s v="Men in high prevalence settings"/>
    <s v="HIV"/>
    <x v="1"/>
  </r>
  <r>
    <n v="1031"/>
    <x v="7"/>
    <x v="27"/>
    <x v="36"/>
    <x v="7"/>
    <m/>
    <m/>
    <m/>
    <m/>
    <m/>
    <m/>
    <m/>
    <m/>
    <m/>
    <s v="-"/>
    <n v="0"/>
    <s v="-"/>
    <n v="0"/>
    <s v="-"/>
    <n v="0"/>
    <s v="-"/>
    <n v="0"/>
    <m/>
    <n v="0"/>
    <m/>
    <m/>
    <m/>
    <m/>
    <n v="0"/>
    <m/>
    <n v="0"/>
    <m/>
    <n v="0"/>
    <m/>
    <n v="0"/>
    <m/>
    <n v="0"/>
    <m/>
    <m/>
    <m/>
    <m/>
    <n v="0"/>
    <m/>
    <n v="0"/>
    <m/>
    <n v="0"/>
    <m/>
    <n v="0"/>
    <m/>
    <n v="0"/>
    <m/>
    <m/>
    <m/>
    <m/>
    <n v="0"/>
    <n v="0"/>
    <n v="0"/>
    <n v="0"/>
    <n v="0"/>
    <n v="0"/>
    <n v="0"/>
    <n v="0"/>
    <n v="0"/>
    <m/>
    <n v="0"/>
    <n v="0"/>
    <m/>
    <m/>
    <s v="Men in high prevalence settings"/>
    <s v="HIV"/>
    <x v="1"/>
  </r>
  <r>
    <n v="1032"/>
    <x v="7"/>
    <x v="25"/>
    <x v="50"/>
    <x v="11"/>
    <m/>
    <m/>
    <m/>
    <m/>
    <m/>
    <m/>
    <m/>
    <m/>
    <m/>
    <s v="-"/>
    <n v="0"/>
    <s v="-"/>
    <n v="0"/>
    <s v="-"/>
    <n v="0"/>
    <s v="-"/>
    <n v="0"/>
    <m/>
    <n v="0"/>
    <m/>
    <m/>
    <m/>
    <m/>
    <n v="0"/>
    <m/>
    <n v="0"/>
    <m/>
    <n v="0"/>
    <m/>
    <n v="0"/>
    <m/>
    <n v="0"/>
    <m/>
    <m/>
    <m/>
    <m/>
    <n v="0"/>
    <m/>
    <n v="0"/>
    <m/>
    <n v="0"/>
    <m/>
    <n v="0"/>
    <m/>
    <n v="0"/>
    <m/>
    <m/>
    <m/>
    <m/>
    <n v="0"/>
    <n v="0"/>
    <n v="0"/>
    <n v="0"/>
    <n v="0"/>
    <n v="0"/>
    <n v="0"/>
    <n v="0"/>
    <n v="0"/>
    <m/>
    <n v="0"/>
    <n v="0"/>
    <m/>
    <m/>
    <s v="Men in high prevalence settings"/>
    <s v="HIV"/>
    <x v="22"/>
  </r>
  <r>
    <n v="1033"/>
    <x v="7"/>
    <x v="25"/>
    <x v="51"/>
    <x v="1"/>
    <m/>
    <m/>
    <m/>
    <m/>
    <m/>
    <m/>
    <m/>
    <m/>
    <m/>
    <s v="-"/>
    <n v="0"/>
    <s v="-"/>
    <n v="0"/>
    <s v="-"/>
    <n v="0"/>
    <s v="-"/>
    <n v="0"/>
    <m/>
    <n v="0"/>
    <m/>
    <m/>
    <m/>
    <m/>
    <n v="0"/>
    <m/>
    <n v="0"/>
    <m/>
    <n v="0"/>
    <m/>
    <n v="0"/>
    <m/>
    <n v="0"/>
    <m/>
    <m/>
    <m/>
    <m/>
    <n v="0"/>
    <m/>
    <n v="0"/>
    <m/>
    <n v="0"/>
    <m/>
    <n v="0"/>
    <m/>
    <n v="0"/>
    <m/>
    <m/>
    <m/>
    <m/>
    <n v="0"/>
    <n v="0"/>
    <n v="0"/>
    <n v="0"/>
    <n v="0"/>
    <n v="0"/>
    <n v="0"/>
    <n v="0"/>
    <n v="0"/>
    <m/>
    <n v="0"/>
    <n v="0"/>
    <m/>
    <m/>
    <s v="Partners of people living with HIV"/>
    <s v="HIV"/>
    <x v="1"/>
  </r>
  <r>
    <n v="1034"/>
    <x v="7"/>
    <x v="25"/>
    <x v="51"/>
    <x v="2"/>
    <m/>
    <m/>
    <m/>
    <m/>
    <m/>
    <m/>
    <m/>
    <m/>
    <m/>
    <s v="-"/>
    <n v="0"/>
    <s v="-"/>
    <n v="0"/>
    <s v="-"/>
    <n v="0"/>
    <s v="-"/>
    <n v="0"/>
    <m/>
    <n v="0"/>
    <m/>
    <m/>
    <m/>
    <m/>
    <n v="0"/>
    <m/>
    <n v="0"/>
    <m/>
    <n v="0"/>
    <m/>
    <n v="0"/>
    <m/>
    <n v="0"/>
    <m/>
    <m/>
    <m/>
    <m/>
    <n v="0"/>
    <m/>
    <n v="0"/>
    <m/>
    <n v="0"/>
    <m/>
    <n v="0"/>
    <m/>
    <n v="0"/>
    <m/>
    <m/>
    <m/>
    <m/>
    <n v="0"/>
    <n v="0"/>
    <n v="0"/>
    <n v="0"/>
    <n v="0"/>
    <n v="0"/>
    <n v="0"/>
    <n v="0"/>
    <n v="0"/>
    <m/>
    <n v="0"/>
    <n v="0"/>
    <m/>
    <m/>
    <s v="Partners of people living with HIV"/>
    <s v="HIV"/>
    <x v="1"/>
  </r>
  <r>
    <n v="1035"/>
    <x v="7"/>
    <x v="25"/>
    <x v="51"/>
    <x v="3"/>
    <m/>
    <m/>
    <m/>
    <m/>
    <m/>
    <m/>
    <m/>
    <m/>
    <m/>
    <s v="-"/>
    <n v="0"/>
    <s v="-"/>
    <n v="0"/>
    <s v="-"/>
    <n v="0"/>
    <s v="-"/>
    <n v="0"/>
    <m/>
    <n v="0"/>
    <m/>
    <m/>
    <m/>
    <m/>
    <n v="0"/>
    <m/>
    <n v="0"/>
    <m/>
    <n v="0"/>
    <m/>
    <n v="0"/>
    <m/>
    <n v="0"/>
    <m/>
    <m/>
    <m/>
    <m/>
    <n v="0"/>
    <m/>
    <n v="0"/>
    <m/>
    <n v="0"/>
    <m/>
    <n v="0"/>
    <m/>
    <n v="0"/>
    <m/>
    <m/>
    <m/>
    <m/>
    <n v="0"/>
    <n v="0"/>
    <n v="0"/>
    <n v="0"/>
    <n v="0"/>
    <n v="0"/>
    <n v="0"/>
    <n v="0"/>
    <n v="0"/>
    <m/>
    <n v="0"/>
    <n v="0"/>
    <m/>
    <m/>
    <s v="Partners of people living with HIV"/>
    <s v="HIV"/>
    <x v="1"/>
  </r>
  <r>
    <n v="1036"/>
    <x v="7"/>
    <x v="25"/>
    <x v="51"/>
    <x v="4"/>
    <m/>
    <m/>
    <m/>
    <m/>
    <m/>
    <m/>
    <m/>
    <m/>
    <m/>
    <s v="-"/>
    <n v="0"/>
    <s v="-"/>
    <n v="0"/>
    <s v="-"/>
    <n v="0"/>
    <s v="-"/>
    <n v="0"/>
    <m/>
    <n v="0"/>
    <m/>
    <m/>
    <m/>
    <m/>
    <n v="0"/>
    <m/>
    <n v="0"/>
    <m/>
    <n v="0"/>
    <m/>
    <n v="0"/>
    <m/>
    <n v="0"/>
    <m/>
    <m/>
    <m/>
    <m/>
    <n v="0"/>
    <m/>
    <n v="0"/>
    <m/>
    <n v="0"/>
    <m/>
    <n v="0"/>
    <m/>
    <n v="0"/>
    <m/>
    <m/>
    <m/>
    <m/>
    <n v="0"/>
    <n v="0"/>
    <n v="0"/>
    <n v="0"/>
    <n v="0"/>
    <n v="0"/>
    <n v="0"/>
    <n v="0"/>
    <n v="0"/>
    <m/>
    <n v="0"/>
    <n v="0"/>
    <m/>
    <m/>
    <s v="Partners of people living with HIV"/>
    <s v="HIV"/>
    <x v="1"/>
  </r>
  <r>
    <n v="1037"/>
    <x v="7"/>
    <x v="25"/>
    <x v="51"/>
    <x v="5"/>
    <m/>
    <m/>
    <m/>
    <m/>
    <m/>
    <m/>
    <m/>
    <m/>
    <m/>
    <s v="-"/>
    <n v="0"/>
    <s v="-"/>
    <n v="0"/>
    <s v="-"/>
    <n v="0"/>
    <s v="-"/>
    <n v="0"/>
    <m/>
    <n v="0"/>
    <m/>
    <m/>
    <m/>
    <m/>
    <n v="0"/>
    <m/>
    <n v="0"/>
    <m/>
    <n v="0"/>
    <m/>
    <n v="0"/>
    <m/>
    <n v="0"/>
    <m/>
    <m/>
    <m/>
    <m/>
    <n v="0"/>
    <m/>
    <n v="0"/>
    <m/>
    <n v="0"/>
    <m/>
    <n v="0"/>
    <m/>
    <n v="0"/>
    <m/>
    <m/>
    <m/>
    <m/>
    <n v="0"/>
    <n v="0"/>
    <n v="0"/>
    <n v="0"/>
    <n v="0"/>
    <n v="0"/>
    <n v="0"/>
    <n v="0"/>
    <n v="0"/>
    <m/>
    <n v="0"/>
    <n v="0"/>
    <m/>
    <m/>
    <s v="Partners of people living with HIV"/>
    <s v="HIV"/>
    <x v="1"/>
  </r>
  <r>
    <n v="1038"/>
    <x v="7"/>
    <x v="25"/>
    <x v="51"/>
    <x v="6"/>
    <m/>
    <m/>
    <m/>
    <m/>
    <m/>
    <m/>
    <m/>
    <m/>
    <m/>
    <s v="-"/>
    <n v="0"/>
    <s v="-"/>
    <n v="0"/>
    <s v="-"/>
    <n v="0"/>
    <s v="-"/>
    <n v="0"/>
    <m/>
    <n v="0"/>
    <m/>
    <m/>
    <m/>
    <m/>
    <n v="0"/>
    <m/>
    <n v="0"/>
    <m/>
    <n v="0"/>
    <m/>
    <n v="0"/>
    <m/>
    <n v="0"/>
    <m/>
    <m/>
    <m/>
    <m/>
    <n v="0"/>
    <m/>
    <n v="0"/>
    <m/>
    <n v="0"/>
    <m/>
    <n v="0"/>
    <m/>
    <n v="0"/>
    <m/>
    <m/>
    <m/>
    <m/>
    <n v="0"/>
    <n v="0"/>
    <n v="0"/>
    <n v="0"/>
    <n v="0"/>
    <n v="0"/>
    <n v="0"/>
    <n v="0"/>
    <n v="0"/>
    <m/>
    <n v="0"/>
    <n v="0"/>
    <m/>
    <m/>
    <s v="Partners of people living with HIV"/>
    <s v="HIV"/>
    <x v="1"/>
  </r>
  <r>
    <n v="1039"/>
    <x v="7"/>
    <x v="25"/>
    <x v="51"/>
    <x v="7"/>
    <m/>
    <m/>
    <m/>
    <m/>
    <m/>
    <m/>
    <m/>
    <m/>
    <m/>
    <s v="-"/>
    <n v="0"/>
    <s v="-"/>
    <n v="0"/>
    <s v="-"/>
    <n v="0"/>
    <s v="-"/>
    <n v="0"/>
    <m/>
    <n v="0"/>
    <m/>
    <m/>
    <m/>
    <m/>
    <n v="0"/>
    <m/>
    <n v="0"/>
    <m/>
    <n v="0"/>
    <m/>
    <n v="0"/>
    <m/>
    <n v="0"/>
    <m/>
    <m/>
    <m/>
    <m/>
    <n v="0"/>
    <m/>
    <n v="0"/>
    <m/>
    <n v="0"/>
    <m/>
    <n v="0"/>
    <m/>
    <n v="0"/>
    <m/>
    <m/>
    <m/>
    <m/>
    <n v="0"/>
    <n v="0"/>
    <n v="0"/>
    <n v="0"/>
    <n v="0"/>
    <n v="0"/>
    <n v="0"/>
    <n v="0"/>
    <n v="0"/>
    <m/>
    <n v="0"/>
    <n v="0"/>
    <m/>
    <m/>
    <s v="Partners of people living with HIV"/>
    <s v="HIV"/>
    <x v="1"/>
  </r>
  <r>
    <n v="1040"/>
    <x v="7"/>
    <x v="26"/>
    <x v="50"/>
    <x v="11"/>
    <m/>
    <m/>
    <m/>
    <m/>
    <m/>
    <m/>
    <m/>
    <m/>
    <m/>
    <s v="-"/>
    <n v="0"/>
    <s v="-"/>
    <n v="0"/>
    <s v="-"/>
    <n v="0"/>
    <s v="-"/>
    <n v="0"/>
    <m/>
    <n v="0"/>
    <m/>
    <m/>
    <m/>
    <m/>
    <n v="0"/>
    <m/>
    <n v="0"/>
    <m/>
    <n v="0"/>
    <m/>
    <n v="0"/>
    <m/>
    <n v="0"/>
    <m/>
    <m/>
    <m/>
    <m/>
    <n v="0"/>
    <m/>
    <n v="0"/>
    <m/>
    <n v="0"/>
    <m/>
    <n v="0"/>
    <m/>
    <n v="0"/>
    <m/>
    <m/>
    <m/>
    <m/>
    <n v="0"/>
    <n v="0"/>
    <n v="0"/>
    <n v="0"/>
    <n v="0"/>
    <n v="0"/>
    <n v="0"/>
    <n v="0"/>
    <n v="0"/>
    <m/>
    <n v="0"/>
    <n v="0"/>
    <m/>
    <m/>
    <s v="Partners of people living with HIV"/>
    <s v="HIV"/>
    <x v="22"/>
  </r>
  <r>
    <n v="1041"/>
    <x v="7"/>
    <x v="26"/>
    <x v="51"/>
    <x v="1"/>
    <m/>
    <m/>
    <m/>
    <m/>
    <m/>
    <m/>
    <m/>
    <m/>
    <m/>
    <s v="-"/>
    <n v="0"/>
    <s v="-"/>
    <n v="0"/>
    <s v="-"/>
    <n v="0"/>
    <s v="-"/>
    <n v="0"/>
    <m/>
    <n v="0"/>
    <m/>
    <m/>
    <m/>
    <m/>
    <n v="0"/>
    <m/>
    <n v="0"/>
    <m/>
    <n v="0"/>
    <m/>
    <n v="0"/>
    <m/>
    <n v="0"/>
    <m/>
    <m/>
    <m/>
    <m/>
    <n v="0"/>
    <m/>
    <n v="0"/>
    <m/>
    <n v="0"/>
    <m/>
    <n v="0"/>
    <m/>
    <n v="0"/>
    <m/>
    <m/>
    <m/>
    <m/>
    <n v="0"/>
    <n v="0"/>
    <n v="0"/>
    <n v="0"/>
    <n v="0"/>
    <n v="0"/>
    <n v="0"/>
    <n v="0"/>
    <n v="0"/>
    <m/>
    <n v="0"/>
    <n v="0"/>
    <m/>
    <m/>
    <s v="Partners of people living with HIV"/>
    <s v="HIV"/>
    <x v="1"/>
  </r>
  <r>
    <n v="1042"/>
    <x v="7"/>
    <x v="26"/>
    <x v="51"/>
    <x v="2"/>
    <m/>
    <m/>
    <m/>
    <m/>
    <m/>
    <m/>
    <m/>
    <m/>
    <m/>
    <s v="-"/>
    <n v="0"/>
    <s v="-"/>
    <n v="0"/>
    <s v="-"/>
    <n v="0"/>
    <s v="-"/>
    <n v="0"/>
    <m/>
    <n v="0"/>
    <m/>
    <m/>
    <m/>
    <m/>
    <n v="0"/>
    <m/>
    <n v="0"/>
    <m/>
    <n v="0"/>
    <m/>
    <n v="0"/>
    <m/>
    <n v="0"/>
    <m/>
    <m/>
    <m/>
    <m/>
    <n v="0"/>
    <m/>
    <n v="0"/>
    <m/>
    <n v="0"/>
    <m/>
    <n v="0"/>
    <m/>
    <n v="0"/>
    <m/>
    <m/>
    <m/>
    <m/>
    <n v="0"/>
    <n v="0"/>
    <n v="0"/>
    <n v="0"/>
    <n v="0"/>
    <n v="0"/>
    <n v="0"/>
    <n v="0"/>
    <n v="0"/>
    <m/>
    <n v="0"/>
    <n v="0"/>
    <m/>
    <m/>
    <s v="Partners of people living with HIV"/>
    <s v="HIV"/>
    <x v="1"/>
  </r>
  <r>
    <n v="1043"/>
    <x v="7"/>
    <x v="26"/>
    <x v="51"/>
    <x v="3"/>
    <m/>
    <m/>
    <m/>
    <m/>
    <m/>
    <m/>
    <m/>
    <m/>
    <m/>
    <s v="-"/>
    <n v="0"/>
    <s v="-"/>
    <n v="0"/>
    <s v="-"/>
    <n v="0"/>
    <s v="-"/>
    <n v="0"/>
    <m/>
    <n v="0"/>
    <m/>
    <m/>
    <m/>
    <m/>
    <n v="0"/>
    <m/>
    <n v="0"/>
    <m/>
    <n v="0"/>
    <m/>
    <n v="0"/>
    <m/>
    <n v="0"/>
    <m/>
    <m/>
    <m/>
    <m/>
    <n v="0"/>
    <m/>
    <n v="0"/>
    <m/>
    <n v="0"/>
    <m/>
    <n v="0"/>
    <m/>
    <n v="0"/>
    <m/>
    <m/>
    <m/>
    <m/>
    <n v="0"/>
    <n v="0"/>
    <n v="0"/>
    <n v="0"/>
    <n v="0"/>
    <n v="0"/>
    <n v="0"/>
    <n v="0"/>
    <n v="0"/>
    <m/>
    <n v="0"/>
    <n v="0"/>
    <m/>
    <m/>
    <s v="Partners of people living with HIV"/>
    <s v="HIV"/>
    <x v="1"/>
  </r>
  <r>
    <n v="1044"/>
    <x v="7"/>
    <x v="26"/>
    <x v="51"/>
    <x v="4"/>
    <m/>
    <m/>
    <m/>
    <m/>
    <m/>
    <m/>
    <m/>
    <m/>
    <m/>
    <s v="-"/>
    <n v="0"/>
    <s v="-"/>
    <n v="0"/>
    <s v="-"/>
    <n v="0"/>
    <s v="-"/>
    <n v="0"/>
    <m/>
    <n v="0"/>
    <m/>
    <m/>
    <m/>
    <m/>
    <n v="0"/>
    <m/>
    <n v="0"/>
    <m/>
    <n v="0"/>
    <m/>
    <n v="0"/>
    <m/>
    <n v="0"/>
    <m/>
    <m/>
    <m/>
    <m/>
    <n v="0"/>
    <m/>
    <n v="0"/>
    <m/>
    <n v="0"/>
    <m/>
    <n v="0"/>
    <m/>
    <n v="0"/>
    <m/>
    <m/>
    <m/>
    <m/>
    <n v="0"/>
    <n v="0"/>
    <n v="0"/>
    <n v="0"/>
    <n v="0"/>
    <n v="0"/>
    <n v="0"/>
    <n v="0"/>
    <n v="0"/>
    <m/>
    <n v="0"/>
    <n v="0"/>
    <m/>
    <m/>
    <s v="Partners of people living with HIV"/>
    <s v="HIV"/>
    <x v="1"/>
  </r>
  <r>
    <n v="1045"/>
    <x v="7"/>
    <x v="26"/>
    <x v="51"/>
    <x v="5"/>
    <m/>
    <m/>
    <m/>
    <m/>
    <m/>
    <m/>
    <m/>
    <m/>
    <m/>
    <s v="-"/>
    <n v="0"/>
    <s v="-"/>
    <n v="0"/>
    <s v="-"/>
    <n v="0"/>
    <s v="-"/>
    <n v="0"/>
    <m/>
    <n v="0"/>
    <m/>
    <m/>
    <m/>
    <m/>
    <n v="0"/>
    <m/>
    <n v="0"/>
    <m/>
    <n v="0"/>
    <m/>
    <n v="0"/>
    <m/>
    <n v="0"/>
    <m/>
    <m/>
    <m/>
    <m/>
    <n v="0"/>
    <m/>
    <n v="0"/>
    <m/>
    <n v="0"/>
    <m/>
    <n v="0"/>
    <m/>
    <n v="0"/>
    <m/>
    <m/>
    <m/>
    <m/>
    <n v="0"/>
    <n v="0"/>
    <n v="0"/>
    <n v="0"/>
    <n v="0"/>
    <n v="0"/>
    <n v="0"/>
    <n v="0"/>
    <n v="0"/>
    <m/>
    <n v="0"/>
    <n v="0"/>
    <m/>
    <m/>
    <s v="Partners of people living with HIV"/>
    <s v="HIV"/>
    <x v="1"/>
  </r>
  <r>
    <n v="1046"/>
    <x v="7"/>
    <x v="26"/>
    <x v="51"/>
    <x v="6"/>
    <m/>
    <m/>
    <m/>
    <m/>
    <m/>
    <m/>
    <m/>
    <m/>
    <m/>
    <s v="-"/>
    <n v="0"/>
    <s v="-"/>
    <n v="0"/>
    <s v="-"/>
    <n v="0"/>
    <s v="-"/>
    <n v="0"/>
    <m/>
    <n v="0"/>
    <m/>
    <m/>
    <m/>
    <m/>
    <n v="0"/>
    <m/>
    <n v="0"/>
    <m/>
    <n v="0"/>
    <m/>
    <n v="0"/>
    <m/>
    <n v="0"/>
    <m/>
    <m/>
    <m/>
    <m/>
    <n v="0"/>
    <m/>
    <n v="0"/>
    <m/>
    <n v="0"/>
    <m/>
    <n v="0"/>
    <m/>
    <n v="0"/>
    <m/>
    <m/>
    <m/>
    <m/>
    <n v="0"/>
    <n v="0"/>
    <n v="0"/>
    <n v="0"/>
    <n v="0"/>
    <n v="0"/>
    <n v="0"/>
    <n v="0"/>
    <n v="0"/>
    <m/>
    <n v="0"/>
    <n v="0"/>
    <m/>
    <m/>
    <s v="Partners of people living with HIV"/>
    <s v="HIV"/>
    <x v="1"/>
  </r>
  <r>
    <n v="1047"/>
    <x v="7"/>
    <x v="26"/>
    <x v="51"/>
    <x v="7"/>
    <m/>
    <m/>
    <m/>
    <m/>
    <m/>
    <m/>
    <m/>
    <m/>
    <m/>
    <s v="-"/>
    <n v="0"/>
    <s v="-"/>
    <n v="0"/>
    <s v="-"/>
    <n v="0"/>
    <s v="-"/>
    <n v="0"/>
    <m/>
    <n v="0"/>
    <m/>
    <m/>
    <m/>
    <m/>
    <n v="0"/>
    <m/>
    <n v="0"/>
    <m/>
    <n v="0"/>
    <m/>
    <n v="0"/>
    <m/>
    <n v="0"/>
    <m/>
    <m/>
    <m/>
    <m/>
    <n v="0"/>
    <m/>
    <n v="0"/>
    <m/>
    <n v="0"/>
    <m/>
    <n v="0"/>
    <m/>
    <n v="0"/>
    <m/>
    <m/>
    <m/>
    <m/>
    <n v="0"/>
    <n v="0"/>
    <n v="0"/>
    <n v="0"/>
    <n v="0"/>
    <n v="0"/>
    <n v="0"/>
    <n v="0"/>
    <n v="0"/>
    <m/>
    <n v="0"/>
    <n v="0"/>
    <m/>
    <m/>
    <s v="Partners of people living with HIV"/>
    <s v="HIV"/>
    <x v="1"/>
  </r>
  <r>
    <n v="1048"/>
    <x v="7"/>
    <x v="27"/>
    <x v="50"/>
    <x v="11"/>
    <m/>
    <m/>
    <m/>
    <m/>
    <m/>
    <m/>
    <m/>
    <m/>
    <m/>
    <s v="-"/>
    <n v="0"/>
    <s v="-"/>
    <n v="0"/>
    <s v="-"/>
    <n v="0"/>
    <s v="-"/>
    <n v="0"/>
    <m/>
    <n v="0"/>
    <m/>
    <m/>
    <m/>
    <m/>
    <n v="0"/>
    <m/>
    <n v="0"/>
    <m/>
    <n v="0"/>
    <m/>
    <n v="0"/>
    <m/>
    <n v="0"/>
    <m/>
    <m/>
    <m/>
    <m/>
    <n v="0"/>
    <m/>
    <n v="0"/>
    <m/>
    <n v="0"/>
    <m/>
    <n v="0"/>
    <m/>
    <n v="0"/>
    <m/>
    <m/>
    <m/>
    <m/>
    <n v="0"/>
    <n v="0"/>
    <n v="0"/>
    <n v="0"/>
    <n v="0"/>
    <n v="0"/>
    <n v="0"/>
    <n v="0"/>
    <n v="0"/>
    <m/>
    <n v="0"/>
    <n v="0"/>
    <m/>
    <m/>
    <s v="Partners of people living with HIV"/>
    <s v="HIV"/>
    <x v="22"/>
  </r>
  <r>
    <n v="1049"/>
    <x v="7"/>
    <x v="27"/>
    <x v="51"/>
    <x v="1"/>
    <m/>
    <m/>
    <m/>
    <m/>
    <m/>
    <m/>
    <m/>
    <m/>
    <m/>
    <s v="-"/>
    <n v="0"/>
    <s v="-"/>
    <n v="0"/>
    <s v="-"/>
    <n v="0"/>
    <s v="-"/>
    <n v="0"/>
    <m/>
    <n v="0"/>
    <m/>
    <m/>
    <m/>
    <m/>
    <n v="0"/>
    <m/>
    <n v="0"/>
    <m/>
    <n v="0"/>
    <m/>
    <n v="0"/>
    <m/>
    <n v="0"/>
    <m/>
    <m/>
    <m/>
    <m/>
    <n v="0"/>
    <m/>
    <n v="0"/>
    <m/>
    <n v="0"/>
    <m/>
    <n v="0"/>
    <m/>
    <n v="0"/>
    <m/>
    <m/>
    <m/>
    <m/>
    <n v="0"/>
    <n v="0"/>
    <n v="0"/>
    <n v="0"/>
    <n v="0"/>
    <n v="0"/>
    <n v="0"/>
    <n v="0"/>
    <n v="0"/>
    <m/>
    <n v="0"/>
    <n v="0"/>
    <m/>
    <m/>
    <s v="Partners of people living with HIV"/>
    <s v="HIV"/>
    <x v="1"/>
  </r>
  <r>
    <n v="1050"/>
    <x v="7"/>
    <x v="27"/>
    <x v="51"/>
    <x v="2"/>
    <m/>
    <m/>
    <m/>
    <m/>
    <m/>
    <m/>
    <m/>
    <m/>
    <m/>
    <s v="-"/>
    <n v="0"/>
    <s v="-"/>
    <n v="0"/>
    <s v="-"/>
    <n v="0"/>
    <s v="-"/>
    <n v="0"/>
    <m/>
    <n v="0"/>
    <m/>
    <m/>
    <m/>
    <m/>
    <n v="0"/>
    <m/>
    <n v="0"/>
    <m/>
    <n v="0"/>
    <m/>
    <n v="0"/>
    <m/>
    <n v="0"/>
    <m/>
    <m/>
    <m/>
    <m/>
    <n v="0"/>
    <m/>
    <n v="0"/>
    <m/>
    <n v="0"/>
    <m/>
    <n v="0"/>
    <m/>
    <n v="0"/>
    <m/>
    <m/>
    <m/>
    <m/>
    <n v="0"/>
    <n v="0"/>
    <n v="0"/>
    <n v="0"/>
    <n v="0"/>
    <n v="0"/>
    <n v="0"/>
    <n v="0"/>
    <n v="0"/>
    <m/>
    <n v="0"/>
    <n v="0"/>
    <m/>
    <m/>
    <s v="Partners of people living with HIV"/>
    <s v="HIV"/>
    <x v="1"/>
  </r>
  <r>
    <n v="1051"/>
    <x v="7"/>
    <x v="27"/>
    <x v="51"/>
    <x v="3"/>
    <m/>
    <m/>
    <m/>
    <m/>
    <m/>
    <m/>
    <m/>
    <m/>
    <m/>
    <s v="-"/>
    <n v="0"/>
    <s v="-"/>
    <n v="0"/>
    <s v="-"/>
    <n v="0"/>
    <s v="-"/>
    <n v="0"/>
    <m/>
    <n v="0"/>
    <m/>
    <m/>
    <m/>
    <m/>
    <n v="0"/>
    <m/>
    <n v="0"/>
    <m/>
    <n v="0"/>
    <m/>
    <n v="0"/>
    <m/>
    <n v="0"/>
    <m/>
    <m/>
    <m/>
    <m/>
    <n v="0"/>
    <m/>
    <n v="0"/>
    <m/>
    <n v="0"/>
    <m/>
    <n v="0"/>
    <m/>
    <n v="0"/>
    <m/>
    <m/>
    <m/>
    <m/>
    <n v="0"/>
    <n v="0"/>
    <n v="0"/>
    <n v="0"/>
    <n v="0"/>
    <n v="0"/>
    <n v="0"/>
    <n v="0"/>
    <n v="0"/>
    <m/>
    <n v="0"/>
    <n v="0"/>
    <m/>
    <m/>
    <s v="Partners of people living with HIV"/>
    <s v="HIV"/>
    <x v="1"/>
  </r>
  <r>
    <n v="1052"/>
    <x v="7"/>
    <x v="27"/>
    <x v="51"/>
    <x v="4"/>
    <m/>
    <m/>
    <m/>
    <m/>
    <m/>
    <m/>
    <m/>
    <m/>
    <m/>
    <s v="-"/>
    <n v="0"/>
    <s v="-"/>
    <n v="0"/>
    <s v="-"/>
    <n v="0"/>
    <s v="-"/>
    <n v="0"/>
    <m/>
    <n v="0"/>
    <m/>
    <m/>
    <m/>
    <m/>
    <n v="0"/>
    <m/>
    <n v="0"/>
    <m/>
    <n v="0"/>
    <m/>
    <n v="0"/>
    <m/>
    <n v="0"/>
    <m/>
    <m/>
    <m/>
    <m/>
    <n v="0"/>
    <m/>
    <n v="0"/>
    <m/>
    <n v="0"/>
    <m/>
    <n v="0"/>
    <m/>
    <n v="0"/>
    <m/>
    <m/>
    <m/>
    <m/>
    <n v="0"/>
    <n v="0"/>
    <n v="0"/>
    <n v="0"/>
    <n v="0"/>
    <n v="0"/>
    <n v="0"/>
    <n v="0"/>
    <n v="0"/>
    <m/>
    <n v="0"/>
    <n v="0"/>
    <m/>
    <m/>
    <s v="Partners of people living with HIV"/>
    <s v="HIV"/>
    <x v="1"/>
  </r>
  <r>
    <n v="1053"/>
    <x v="7"/>
    <x v="27"/>
    <x v="51"/>
    <x v="5"/>
    <m/>
    <m/>
    <m/>
    <m/>
    <m/>
    <m/>
    <m/>
    <m/>
    <m/>
    <s v="-"/>
    <n v="0"/>
    <s v="-"/>
    <n v="0"/>
    <s v="-"/>
    <n v="0"/>
    <s v="-"/>
    <n v="0"/>
    <m/>
    <n v="0"/>
    <m/>
    <m/>
    <m/>
    <m/>
    <n v="0"/>
    <m/>
    <n v="0"/>
    <m/>
    <n v="0"/>
    <m/>
    <n v="0"/>
    <m/>
    <n v="0"/>
    <m/>
    <m/>
    <m/>
    <m/>
    <n v="0"/>
    <m/>
    <n v="0"/>
    <m/>
    <n v="0"/>
    <m/>
    <n v="0"/>
    <m/>
    <n v="0"/>
    <m/>
    <m/>
    <m/>
    <m/>
    <n v="0"/>
    <n v="0"/>
    <n v="0"/>
    <n v="0"/>
    <n v="0"/>
    <n v="0"/>
    <n v="0"/>
    <n v="0"/>
    <n v="0"/>
    <m/>
    <n v="0"/>
    <n v="0"/>
    <m/>
    <m/>
    <s v="Partners of people living with HIV"/>
    <s v="HIV"/>
    <x v="1"/>
  </r>
  <r>
    <n v="1054"/>
    <x v="7"/>
    <x v="27"/>
    <x v="51"/>
    <x v="6"/>
    <m/>
    <m/>
    <m/>
    <m/>
    <m/>
    <m/>
    <m/>
    <m/>
    <m/>
    <s v="-"/>
    <n v="0"/>
    <s v="-"/>
    <n v="0"/>
    <s v="-"/>
    <n v="0"/>
    <s v="-"/>
    <n v="0"/>
    <m/>
    <n v="0"/>
    <m/>
    <m/>
    <m/>
    <m/>
    <n v="0"/>
    <m/>
    <n v="0"/>
    <m/>
    <n v="0"/>
    <m/>
    <n v="0"/>
    <m/>
    <n v="0"/>
    <m/>
    <m/>
    <m/>
    <m/>
    <n v="0"/>
    <m/>
    <n v="0"/>
    <m/>
    <n v="0"/>
    <m/>
    <n v="0"/>
    <m/>
    <n v="0"/>
    <m/>
    <m/>
    <m/>
    <m/>
    <n v="0"/>
    <n v="0"/>
    <n v="0"/>
    <n v="0"/>
    <n v="0"/>
    <n v="0"/>
    <n v="0"/>
    <n v="0"/>
    <n v="0"/>
    <m/>
    <n v="0"/>
    <n v="0"/>
    <m/>
    <m/>
    <s v="Partners of people living with HIV"/>
    <s v="HIV"/>
    <x v="1"/>
  </r>
  <r>
    <n v="1055"/>
    <x v="7"/>
    <x v="27"/>
    <x v="51"/>
    <x v="7"/>
    <m/>
    <m/>
    <m/>
    <m/>
    <m/>
    <m/>
    <m/>
    <m/>
    <m/>
    <s v="-"/>
    <n v="0"/>
    <s v="-"/>
    <n v="0"/>
    <s v="-"/>
    <n v="0"/>
    <s v="-"/>
    <n v="0"/>
    <m/>
    <n v="0"/>
    <m/>
    <m/>
    <m/>
    <m/>
    <n v="0"/>
    <m/>
    <n v="0"/>
    <m/>
    <n v="0"/>
    <m/>
    <n v="0"/>
    <m/>
    <n v="0"/>
    <m/>
    <m/>
    <m/>
    <m/>
    <n v="0"/>
    <m/>
    <n v="0"/>
    <m/>
    <n v="0"/>
    <m/>
    <n v="0"/>
    <m/>
    <n v="0"/>
    <m/>
    <m/>
    <m/>
    <m/>
    <n v="0"/>
    <n v="0"/>
    <n v="0"/>
    <n v="0"/>
    <n v="0"/>
    <n v="0"/>
    <n v="0"/>
    <n v="0"/>
    <n v="0"/>
    <m/>
    <n v="0"/>
    <n v="0"/>
    <m/>
    <m/>
    <s v="Partners of people living with HIV"/>
    <s v="HIV"/>
    <x v="1"/>
  </r>
  <r>
    <n v="1056"/>
    <x v="7"/>
    <x v="25"/>
    <x v="52"/>
    <x v="11"/>
    <m/>
    <m/>
    <m/>
    <m/>
    <m/>
    <m/>
    <m/>
    <m/>
    <m/>
    <s v="-"/>
    <n v="0"/>
    <s v="-"/>
    <n v="0"/>
    <s v="-"/>
    <n v="0"/>
    <s v="-"/>
    <n v="0"/>
    <m/>
    <n v="0"/>
    <m/>
    <m/>
    <m/>
    <m/>
    <n v="0"/>
    <m/>
    <n v="0"/>
    <m/>
    <n v="0"/>
    <m/>
    <n v="0"/>
    <m/>
    <n v="0"/>
    <m/>
    <m/>
    <m/>
    <m/>
    <n v="0"/>
    <m/>
    <n v="0"/>
    <m/>
    <n v="0"/>
    <m/>
    <n v="0"/>
    <m/>
    <n v="0"/>
    <m/>
    <m/>
    <m/>
    <m/>
    <n v="0"/>
    <n v="0"/>
    <n v="0"/>
    <n v="0"/>
    <n v="0"/>
    <n v="0"/>
    <n v="0"/>
    <n v="0"/>
    <n v="0"/>
    <m/>
    <n v="0"/>
    <n v="0"/>
    <m/>
    <m/>
    <s v="Non-specified population groups"/>
    <s v="HIV"/>
    <x v="22"/>
  </r>
  <r>
    <n v="1057"/>
    <x v="7"/>
    <x v="25"/>
    <x v="38"/>
    <x v="1"/>
    <m/>
    <m/>
    <m/>
    <m/>
    <m/>
    <m/>
    <m/>
    <m/>
    <m/>
    <s v="-"/>
    <n v="0"/>
    <s v="-"/>
    <n v="0"/>
    <s v="-"/>
    <n v="0"/>
    <s v="-"/>
    <n v="0"/>
    <m/>
    <n v="0"/>
    <m/>
    <m/>
    <m/>
    <m/>
    <n v="0"/>
    <m/>
    <n v="0"/>
    <m/>
    <n v="0"/>
    <m/>
    <n v="0"/>
    <m/>
    <n v="0"/>
    <m/>
    <m/>
    <m/>
    <m/>
    <n v="0"/>
    <m/>
    <n v="0"/>
    <m/>
    <n v="0"/>
    <m/>
    <n v="0"/>
    <m/>
    <n v="0"/>
    <m/>
    <m/>
    <m/>
    <m/>
    <n v="0"/>
    <n v="0"/>
    <n v="0"/>
    <n v="0"/>
    <n v="0"/>
    <n v="0"/>
    <n v="0"/>
    <n v="0"/>
    <n v="0"/>
    <m/>
    <n v="0"/>
    <n v="0"/>
    <m/>
    <m/>
    <s v="Non-specified population groups"/>
    <s v="HIV"/>
    <x v="1"/>
  </r>
  <r>
    <n v="1058"/>
    <x v="7"/>
    <x v="25"/>
    <x v="38"/>
    <x v="2"/>
    <m/>
    <m/>
    <m/>
    <m/>
    <m/>
    <m/>
    <m/>
    <m/>
    <m/>
    <s v="-"/>
    <n v="0"/>
    <s v="-"/>
    <n v="0"/>
    <s v="-"/>
    <n v="0"/>
    <s v="-"/>
    <n v="0"/>
    <m/>
    <n v="0"/>
    <m/>
    <m/>
    <m/>
    <m/>
    <n v="0"/>
    <m/>
    <n v="0"/>
    <m/>
    <n v="0"/>
    <m/>
    <n v="0"/>
    <m/>
    <n v="0"/>
    <m/>
    <m/>
    <m/>
    <m/>
    <n v="0"/>
    <m/>
    <n v="0"/>
    <m/>
    <n v="0"/>
    <m/>
    <n v="0"/>
    <m/>
    <n v="0"/>
    <m/>
    <m/>
    <m/>
    <m/>
    <n v="0"/>
    <n v="0"/>
    <n v="0"/>
    <n v="0"/>
    <n v="0"/>
    <n v="0"/>
    <n v="0"/>
    <n v="0"/>
    <n v="0"/>
    <m/>
    <n v="0"/>
    <n v="0"/>
    <m/>
    <m/>
    <s v="Non-specified population groups"/>
    <s v="HIV"/>
    <x v="1"/>
  </r>
  <r>
    <n v="1059"/>
    <x v="7"/>
    <x v="25"/>
    <x v="38"/>
    <x v="3"/>
    <m/>
    <m/>
    <m/>
    <m/>
    <m/>
    <m/>
    <m/>
    <m/>
    <m/>
    <s v="-"/>
    <n v="0"/>
    <s v="-"/>
    <n v="0"/>
    <s v="-"/>
    <n v="0"/>
    <s v="-"/>
    <n v="0"/>
    <m/>
    <n v="0"/>
    <m/>
    <m/>
    <m/>
    <m/>
    <n v="0"/>
    <m/>
    <n v="0"/>
    <m/>
    <n v="0"/>
    <m/>
    <n v="0"/>
    <m/>
    <n v="0"/>
    <m/>
    <m/>
    <m/>
    <m/>
    <n v="0"/>
    <m/>
    <n v="0"/>
    <m/>
    <n v="0"/>
    <m/>
    <n v="0"/>
    <m/>
    <n v="0"/>
    <m/>
    <m/>
    <m/>
    <m/>
    <n v="0"/>
    <n v="0"/>
    <n v="0"/>
    <n v="0"/>
    <n v="0"/>
    <n v="0"/>
    <n v="0"/>
    <n v="0"/>
    <n v="0"/>
    <m/>
    <n v="0"/>
    <n v="0"/>
    <m/>
    <m/>
    <s v="Non-specified population groups"/>
    <s v="HIV"/>
    <x v="1"/>
  </r>
  <r>
    <n v="1060"/>
    <x v="7"/>
    <x v="25"/>
    <x v="38"/>
    <x v="4"/>
    <m/>
    <m/>
    <m/>
    <m/>
    <m/>
    <m/>
    <m/>
    <m/>
    <m/>
    <s v="-"/>
    <n v="0"/>
    <s v="-"/>
    <n v="0"/>
    <s v="-"/>
    <n v="0"/>
    <s v="-"/>
    <n v="0"/>
    <m/>
    <n v="0"/>
    <m/>
    <m/>
    <m/>
    <m/>
    <n v="0"/>
    <m/>
    <n v="0"/>
    <m/>
    <n v="0"/>
    <m/>
    <n v="0"/>
    <m/>
    <n v="0"/>
    <m/>
    <m/>
    <m/>
    <m/>
    <n v="0"/>
    <m/>
    <n v="0"/>
    <m/>
    <n v="0"/>
    <m/>
    <n v="0"/>
    <m/>
    <n v="0"/>
    <m/>
    <m/>
    <m/>
    <m/>
    <n v="0"/>
    <n v="0"/>
    <n v="0"/>
    <n v="0"/>
    <n v="0"/>
    <n v="0"/>
    <n v="0"/>
    <n v="0"/>
    <n v="0"/>
    <m/>
    <n v="0"/>
    <n v="0"/>
    <m/>
    <m/>
    <s v="Non-specified population groups"/>
    <s v="HIV"/>
    <x v="1"/>
  </r>
  <r>
    <n v="1061"/>
    <x v="7"/>
    <x v="25"/>
    <x v="38"/>
    <x v="5"/>
    <m/>
    <m/>
    <m/>
    <m/>
    <m/>
    <m/>
    <m/>
    <m/>
    <m/>
    <s v="-"/>
    <n v="0"/>
    <s v="-"/>
    <n v="0"/>
    <s v="-"/>
    <n v="0"/>
    <s v="-"/>
    <n v="0"/>
    <m/>
    <n v="0"/>
    <m/>
    <m/>
    <m/>
    <m/>
    <n v="0"/>
    <m/>
    <n v="0"/>
    <m/>
    <n v="0"/>
    <m/>
    <n v="0"/>
    <m/>
    <n v="0"/>
    <m/>
    <m/>
    <m/>
    <m/>
    <n v="0"/>
    <m/>
    <n v="0"/>
    <m/>
    <n v="0"/>
    <m/>
    <n v="0"/>
    <m/>
    <n v="0"/>
    <m/>
    <m/>
    <m/>
    <m/>
    <n v="0"/>
    <n v="0"/>
    <n v="0"/>
    <n v="0"/>
    <n v="0"/>
    <n v="0"/>
    <n v="0"/>
    <n v="0"/>
    <n v="0"/>
    <m/>
    <n v="0"/>
    <n v="0"/>
    <m/>
    <m/>
    <s v="Non-specified population groups"/>
    <s v="HIV"/>
    <x v="1"/>
  </r>
  <r>
    <n v="1062"/>
    <x v="7"/>
    <x v="25"/>
    <x v="38"/>
    <x v="6"/>
    <m/>
    <m/>
    <m/>
    <m/>
    <m/>
    <m/>
    <m/>
    <m/>
    <m/>
    <s v="-"/>
    <n v="0"/>
    <s v="-"/>
    <n v="0"/>
    <s v="-"/>
    <n v="0"/>
    <s v="-"/>
    <n v="0"/>
    <m/>
    <n v="0"/>
    <m/>
    <m/>
    <m/>
    <m/>
    <n v="0"/>
    <m/>
    <n v="0"/>
    <m/>
    <n v="0"/>
    <m/>
    <n v="0"/>
    <m/>
    <n v="0"/>
    <m/>
    <m/>
    <m/>
    <m/>
    <n v="0"/>
    <m/>
    <n v="0"/>
    <m/>
    <n v="0"/>
    <m/>
    <n v="0"/>
    <m/>
    <n v="0"/>
    <m/>
    <m/>
    <m/>
    <m/>
    <n v="0"/>
    <n v="0"/>
    <n v="0"/>
    <n v="0"/>
    <n v="0"/>
    <n v="0"/>
    <n v="0"/>
    <n v="0"/>
    <n v="0"/>
    <m/>
    <n v="0"/>
    <n v="0"/>
    <m/>
    <m/>
    <s v="Non-specified population groups"/>
    <s v="HIV"/>
    <x v="1"/>
  </r>
  <r>
    <n v="1063"/>
    <x v="7"/>
    <x v="25"/>
    <x v="38"/>
    <x v="7"/>
    <m/>
    <m/>
    <m/>
    <m/>
    <m/>
    <m/>
    <m/>
    <m/>
    <m/>
    <s v="-"/>
    <n v="0"/>
    <s v="-"/>
    <n v="0"/>
    <s v="-"/>
    <n v="0"/>
    <s v="-"/>
    <n v="0"/>
    <m/>
    <n v="0"/>
    <m/>
    <m/>
    <m/>
    <m/>
    <n v="0"/>
    <m/>
    <n v="0"/>
    <m/>
    <n v="0"/>
    <m/>
    <n v="0"/>
    <m/>
    <n v="0"/>
    <m/>
    <m/>
    <m/>
    <m/>
    <n v="0"/>
    <m/>
    <n v="0"/>
    <m/>
    <n v="0"/>
    <m/>
    <n v="0"/>
    <m/>
    <n v="0"/>
    <m/>
    <m/>
    <m/>
    <m/>
    <n v="0"/>
    <n v="0"/>
    <n v="0"/>
    <n v="0"/>
    <n v="0"/>
    <n v="0"/>
    <n v="0"/>
    <n v="0"/>
    <n v="0"/>
    <m/>
    <n v="0"/>
    <n v="0"/>
    <m/>
    <m/>
    <s v="Non-specified population groups"/>
    <s v="HIV"/>
    <x v="1"/>
  </r>
  <r>
    <n v="1064"/>
    <x v="7"/>
    <x v="26"/>
    <x v="52"/>
    <x v="11"/>
    <m/>
    <m/>
    <m/>
    <m/>
    <m/>
    <m/>
    <m/>
    <m/>
    <m/>
    <s v="-"/>
    <n v="0"/>
    <s v="-"/>
    <n v="0"/>
    <s v="-"/>
    <n v="0"/>
    <s v="-"/>
    <n v="0"/>
    <m/>
    <n v="0"/>
    <m/>
    <m/>
    <m/>
    <m/>
    <n v="0"/>
    <m/>
    <n v="0"/>
    <m/>
    <n v="0"/>
    <m/>
    <n v="0"/>
    <m/>
    <n v="0"/>
    <m/>
    <m/>
    <m/>
    <m/>
    <n v="0"/>
    <m/>
    <n v="0"/>
    <m/>
    <n v="0"/>
    <m/>
    <n v="0"/>
    <m/>
    <n v="0"/>
    <m/>
    <m/>
    <m/>
    <m/>
    <n v="0"/>
    <n v="0"/>
    <n v="0"/>
    <n v="0"/>
    <n v="0"/>
    <n v="0"/>
    <n v="0"/>
    <n v="0"/>
    <n v="0"/>
    <m/>
    <n v="0"/>
    <n v="0"/>
    <m/>
    <m/>
    <s v="Non-specified population groups"/>
    <s v="HIV"/>
    <x v="22"/>
  </r>
  <r>
    <n v="1065"/>
    <x v="7"/>
    <x v="26"/>
    <x v="38"/>
    <x v="1"/>
    <m/>
    <m/>
    <m/>
    <m/>
    <m/>
    <m/>
    <m/>
    <m/>
    <m/>
    <s v="-"/>
    <n v="0"/>
    <s v="-"/>
    <n v="0"/>
    <s v="-"/>
    <n v="0"/>
    <s v="-"/>
    <n v="0"/>
    <m/>
    <n v="0"/>
    <m/>
    <m/>
    <m/>
    <m/>
    <n v="0"/>
    <m/>
    <n v="0"/>
    <m/>
    <n v="0"/>
    <m/>
    <n v="0"/>
    <m/>
    <n v="0"/>
    <m/>
    <m/>
    <m/>
    <m/>
    <n v="0"/>
    <m/>
    <n v="0"/>
    <m/>
    <n v="0"/>
    <m/>
    <n v="0"/>
    <m/>
    <n v="0"/>
    <m/>
    <m/>
    <m/>
    <m/>
    <n v="0"/>
    <n v="0"/>
    <n v="0"/>
    <n v="0"/>
    <n v="0"/>
    <n v="0"/>
    <n v="0"/>
    <n v="0"/>
    <n v="0"/>
    <m/>
    <n v="0"/>
    <n v="0"/>
    <m/>
    <m/>
    <s v="Non-specified population groups"/>
    <s v="HIV"/>
    <x v="1"/>
  </r>
  <r>
    <n v="1066"/>
    <x v="7"/>
    <x v="26"/>
    <x v="38"/>
    <x v="2"/>
    <m/>
    <m/>
    <m/>
    <m/>
    <m/>
    <m/>
    <m/>
    <m/>
    <m/>
    <s v="-"/>
    <n v="0"/>
    <s v="-"/>
    <n v="0"/>
    <s v="-"/>
    <n v="0"/>
    <s v="-"/>
    <n v="0"/>
    <m/>
    <n v="0"/>
    <m/>
    <m/>
    <m/>
    <m/>
    <n v="0"/>
    <m/>
    <n v="0"/>
    <m/>
    <n v="0"/>
    <m/>
    <n v="0"/>
    <m/>
    <n v="0"/>
    <m/>
    <m/>
    <m/>
    <m/>
    <n v="0"/>
    <m/>
    <n v="0"/>
    <m/>
    <n v="0"/>
    <m/>
    <n v="0"/>
    <m/>
    <n v="0"/>
    <m/>
    <m/>
    <m/>
    <m/>
    <n v="0"/>
    <n v="0"/>
    <n v="0"/>
    <n v="0"/>
    <n v="0"/>
    <n v="0"/>
    <n v="0"/>
    <n v="0"/>
    <n v="0"/>
    <m/>
    <n v="0"/>
    <n v="0"/>
    <m/>
    <m/>
    <s v="Non-specified population groups"/>
    <s v="HIV"/>
    <x v="1"/>
  </r>
  <r>
    <n v="1067"/>
    <x v="7"/>
    <x v="26"/>
    <x v="38"/>
    <x v="3"/>
    <m/>
    <m/>
    <m/>
    <m/>
    <m/>
    <m/>
    <m/>
    <m/>
    <m/>
    <s v="-"/>
    <n v="0"/>
    <s v="-"/>
    <n v="0"/>
    <s v="-"/>
    <n v="0"/>
    <s v="-"/>
    <n v="0"/>
    <m/>
    <n v="0"/>
    <m/>
    <m/>
    <m/>
    <m/>
    <n v="0"/>
    <m/>
    <n v="0"/>
    <m/>
    <n v="0"/>
    <m/>
    <n v="0"/>
    <m/>
    <n v="0"/>
    <m/>
    <m/>
    <m/>
    <m/>
    <n v="0"/>
    <m/>
    <n v="0"/>
    <m/>
    <n v="0"/>
    <m/>
    <n v="0"/>
    <m/>
    <n v="0"/>
    <m/>
    <m/>
    <m/>
    <m/>
    <n v="0"/>
    <n v="0"/>
    <n v="0"/>
    <n v="0"/>
    <n v="0"/>
    <n v="0"/>
    <n v="0"/>
    <n v="0"/>
    <n v="0"/>
    <m/>
    <n v="0"/>
    <n v="0"/>
    <m/>
    <m/>
    <s v="Non-specified population groups"/>
    <s v="HIV"/>
    <x v="1"/>
  </r>
  <r>
    <n v="1068"/>
    <x v="7"/>
    <x v="26"/>
    <x v="38"/>
    <x v="4"/>
    <m/>
    <m/>
    <m/>
    <m/>
    <m/>
    <m/>
    <m/>
    <m/>
    <m/>
    <s v="-"/>
    <n v="0"/>
    <s v="-"/>
    <n v="0"/>
    <s v="-"/>
    <n v="0"/>
    <s v="-"/>
    <n v="0"/>
    <m/>
    <n v="0"/>
    <m/>
    <m/>
    <m/>
    <m/>
    <n v="0"/>
    <m/>
    <n v="0"/>
    <m/>
    <n v="0"/>
    <m/>
    <n v="0"/>
    <m/>
    <n v="0"/>
    <m/>
    <m/>
    <m/>
    <m/>
    <n v="0"/>
    <m/>
    <n v="0"/>
    <m/>
    <n v="0"/>
    <m/>
    <n v="0"/>
    <m/>
    <n v="0"/>
    <m/>
    <m/>
    <m/>
    <m/>
    <n v="0"/>
    <n v="0"/>
    <n v="0"/>
    <n v="0"/>
    <n v="0"/>
    <n v="0"/>
    <n v="0"/>
    <n v="0"/>
    <n v="0"/>
    <m/>
    <n v="0"/>
    <n v="0"/>
    <m/>
    <m/>
    <s v="Non-specified population groups"/>
    <s v="HIV"/>
    <x v="1"/>
  </r>
  <r>
    <n v="1069"/>
    <x v="7"/>
    <x v="26"/>
    <x v="38"/>
    <x v="5"/>
    <m/>
    <m/>
    <m/>
    <m/>
    <m/>
    <m/>
    <m/>
    <m/>
    <m/>
    <s v="-"/>
    <n v="0"/>
    <s v="-"/>
    <n v="0"/>
    <s v="-"/>
    <n v="0"/>
    <s v="-"/>
    <n v="0"/>
    <m/>
    <n v="0"/>
    <m/>
    <m/>
    <m/>
    <m/>
    <n v="0"/>
    <m/>
    <n v="0"/>
    <m/>
    <n v="0"/>
    <m/>
    <n v="0"/>
    <m/>
    <n v="0"/>
    <m/>
    <m/>
    <m/>
    <m/>
    <n v="0"/>
    <m/>
    <n v="0"/>
    <m/>
    <n v="0"/>
    <m/>
    <n v="0"/>
    <m/>
    <n v="0"/>
    <m/>
    <m/>
    <m/>
    <m/>
    <n v="0"/>
    <n v="0"/>
    <n v="0"/>
    <n v="0"/>
    <n v="0"/>
    <n v="0"/>
    <n v="0"/>
    <n v="0"/>
    <n v="0"/>
    <m/>
    <n v="0"/>
    <n v="0"/>
    <m/>
    <m/>
    <s v="Non-specified population groups"/>
    <s v="HIV"/>
    <x v="1"/>
  </r>
  <r>
    <n v="1070"/>
    <x v="7"/>
    <x v="26"/>
    <x v="38"/>
    <x v="6"/>
    <m/>
    <m/>
    <m/>
    <m/>
    <m/>
    <m/>
    <m/>
    <m/>
    <m/>
    <s v="-"/>
    <n v="0"/>
    <s v="-"/>
    <n v="0"/>
    <s v="-"/>
    <n v="0"/>
    <s v="-"/>
    <n v="0"/>
    <m/>
    <n v="0"/>
    <m/>
    <m/>
    <m/>
    <m/>
    <n v="0"/>
    <m/>
    <n v="0"/>
    <m/>
    <n v="0"/>
    <m/>
    <n v="0"/>
    <m/>
    <n v="0"/>
    <m/>
    <m/>
    <m/>
    <m/>
    <n v="0"/>
    <m/>
    <n v="0"/>
    <m/>
    <n v="0"/>
    <m/>
    <n v="0"/>
    <m/>
    <n v="0"/>
    <m/>
    <m/>
    <m/>
    <m/>
    <n v="0"/>
    <n v="0"/>
    <n v="0"/>
    <n v="0"/>
    <n v="0"/>
    <n v="0"/>
    <n v="0"/>
    <n v="0"/>
    <n v="0"/>
    <m/>
    <n v="0"/>
    <n v="0"/>
    <m/>
    <m/>
    <s v="Non-specified population groups"/>
    <s v="HIV"/>
    <x v="1"/>
  </r>
  <r>
    <n v="1071"/>
    <x v="7"/>
    <x v="26"/>
    <x v="38"/>
    <x v="7"/>
    <m/>
    <m/>
    <m/>
    <m/>
    <m/>
    <m/>
    <m/>
    <m/>
    <m/>
    <s v="-"/>
    <n v="0"/>
    <s v="-"/>
    <n v="0"/>
    <s v="-"/>
    <n v="0"/>
    <s v="-"/>
    <n v="0"/>
    <m/>
    <n v="0"/>
    <m/>
    <m/>
    <m/>
    <m/>
    <n v="0"/>
    <m/>
    <n v="0"/>
    <m/>
    <n v="0"/>
    <m/>
    <n v="0"/>
    <m/>
    <n v="0"/>
    <m/>
    <m/>
    <m/>
    <m/>
    <n v="0"/>
    <m/>
    <n v="0"/>
    <m/>
    <n v="0"/>
    <m/>
    <n v="0"/>
    <m/>
    <n v="0"/>
    <m/>
    <m/>
    <m/>
    <m/>
    <n v="0"/>
    <n v="0"/>
    <n v="0"/>
    <n v="0"/>
    <n v="0"/>
    <n v="0"/>
    <n v="0"/>
    <n v="0"/>
    <n v="0"/>
    <m/>
    <n v="0"/>
    <n v="0"/>
    <m/>
    <m/>
    <s v="Non-specified population groups"/>
    <s v="HIV"/>
    <x v="1"/>
  </r>
  <r>
    <n v="1072"/>
    <x v="7"/>
    <x v="27"/>
    <x v="52"/>
    <x v="11"/>
    <m/>
    <m/>
    <m/>
    <m/>
    <m/>
    <m/>
    <m/>
    <m/>
    <m/>
    <s v="-"/>
    <n v="0"/>
    <s v="-"/>
    <n v="0"/>
    <s v="-"/>
    <n v="0"/>
    <s v="-"/>
    <n v="0"/>
    <m/>
    <n v="0"/>
    <m/>
    <m/>
    <m/>
    <m/>
    <n v="0"/>
    <m/>
    <n v="0"/>
    <m/>
    <n v="0"/>
    <m/>
    <n v="0"/>
    <m/>
    <n v="0"/>
    <m/>
    <m/>
    <m/>
    <m/>
    <n v="0"/>
    <m/>
    <n v="0"/>
    <m/>
    <n v="0"/>
    <m/>
    <n v="0"/>
    <m/>
    <n v="0"/>
    <m/>
    <m/>
    <m/>
    <m/>
    <n v="0"/>
    <n v="0"/>
    <n v="0"/>
    <n v="0"/>
    <n v="0"/>
    <n v="0"/>
    <n v="0"/>
    <n v="0"/>
    <n v="0"/>
    <m/>
    <n v="0"/>
    <n v="0"/>
    <m/>
    <m/>
    <s v="Non-specified population groups"/>
    <s v="HIV"/>
    <x v="22"/>
  </r>
  <r>
    <n v="1073"/>
    <x v="7"/>
    <x v="27"/>
    <x v="38"/>
    <x v="1"/>
    <m/>
    <m/>
    <m/>
    <m/>
    <m/>
    <m/>
    <m/>
    <m/>
    <m/>
    <s v="-"/>
    <n v="0"/>
    <s v="-"/>
    <n v="0"/>
    <s v="-"/>
    <n v="0"/>
    <s v="-"/>
    <n v="0"/>
    <m/>
    <n v="0"/>
    <m/>
    <m/>
    <m/>
    <m/>
    <n v="0"/>
    <m/>
    <n v="0"/>
    <m/>
    <n v="0"/>
    <m/>
    <n v="0"/>
    <m/>
    <n v="0"/>
    <m/>
    <m/>
    <m/>
    <m/>
    <n v="0"/>
    <m/>
    <n v="0"/>
    <m/>
    <n v="0"/>
    <m/>
    <n v="0"/>
    <m/>
    <n v="0"/>
    <m/>
    <m/>
    <m/>
    <m/>
    <n v="0"/>
    <n v="0"/>
    <n v="0"/>
    <n v="0"/>
    <n v="0"/>
    <n v="0"/>
    <n v="0"/>
    <n v="0"/>
    <n v="0"/>
    <m/>
    <n v="0"/>
    <n v="0"/>
    <m/>
    <m/>
    <s v="Non-specified population groups"/>
    <s v="HIV"/>
    <x v="1"/>
  </r>
  <r>
    <n v="1074"/>
    <x v="7"/>
    <x v="27"/>
    <x v="38"/>
    <x v="2"/>
    <m/>
    <m/>
    <m/>
    <m/>
    <m/>
    <m/>
    <m/>
    <m/>
    <m/>
    <s v="-"/>
    <n v="0"/>
    <s v="-"/>
    <n v="0"/>
    <s v="-"/>
    <n v="0"/>
    <s v="-"/>
    <n v="0"/>
    <m/>
    <n v="0"/>
    <m/>
    <m/>
    <m/>
    <m/>
    <n v="0"/>
    <m/>
    <n v="0"/>
    <m/>
    <n v="0"/>
    <m/>
    <n v="0"/>
    <m/>
    <n v="0"/>
    <m/>
    <m/>
    <m/>
    <m/>
    <n v="0"/>
    <m/>
    <n v="0"/>
    <m/>
    <n v="0"/>
    <m/>
    <n v="0"/>
    <m/>
    <n v="0"/>
    <m/>
    <m/>
    <m/>
    <m/>
    <n v="0"/>
    <n v="0"/>
    <n v="0"/>
    <n v="0"/>
    <n v="0"/>
    <n v="0"/>
    <n v="0"/>
    <n v="0"/>
    <n v="0"/>
    <m/>
    <n v="0"/>
    <n v="0"/>
    <m/>
    <m/>
    <s v="Non-specified population groups"/>
    <s v="HIV"/>
    <x v="1"/>
  </r>
  <r>
    <n v="1075"/>
    <x v="7"/>
    <x v="27"/>
    <x v="38"/>
    <x v="3"/>
    <m/>
    <m/>
    <m/>
    <m/>
    <m/>
    <m/>
    <m/>
    <m/>
    <m/>
    <s v="-"/>
    <n v="0"/>
    <s v="-"/>
    <n v="0"/>
    <s v="-"/>
    <n v="0"/>
    <s v="-"/>
    <n v="0"/>
    <m/>
    <n v="0"/>
    <m/>
    <m/>
    <m/>
    <m/>
    <n v="0"/>
    <m/>
    <n v="0"/>
    <m/>
    <n v="0"/>
    <m/>
    <n v="0"/>
    <m/>
    <n v="0"/>
    <m/>
    <m/>
    <m/>
    <m/>
    <n v="0"/>
    <m/>
    <n v="0"/>
    <m/>
    <n v="0"/>
    <m/>
    <n v="0"/>
    <m/>
    <n v="0"/>
    <m/>
    <m/>
    <m/>
    <m/>
    <n v="0"/>
    <n v="0"/>
    <n v="0"/>
    <n v="0"/>
    <n v="0"/>
    <n v="0"/>
    <n v="0"/>
    <n v="0"/>
    <n v="0"/>
    <m/>
    <n v="0"/>
    <n v="0"/>
    <m/>
    <m/>
    <s v="Non-specified population groups"/>
    <s v="HIV"/>
    <x v="1"/>
  </r>
  <r>
    <n v="1076"/>
    <x v="7"/>
    <x v="27"/>
    <x v="38"/>
    <x v="4"/>
    <m/>
    <m/>
    <m/>
    <m/>
    <m/>
    <m/>
    <m/>
    <m/>
    <m/>
    <s v="-"/>
    <n v="0"/>
    <s v="-"/>
    <n v="0"/>
    <s v="-"/>
    <n v="0"/>
    <s v="-"/>
    <n v="0"/>
    <m/>
    <n v="0"/>
    <m/>
    <m/>
    <m/>
    <m/>
    <n v="0"/>
    <m/>
    <n v="0"/>
    <m/>
    <n v="0"/>
    <m/>
    <n v="0"/>
    <m/>
    <n v="0"/>
    <m/>
    <m/>
    <m/>
    <m/>
    <n v="0"/>
    <m/>
    <n v="0"/>
    <m/>
    <n v="0"/>
    <m/>
    <n v="0"/>
    <m/>
    <n v="0"/>
    <m/>
    <m/>
    <m/>
    <m/>
    <n v="0"/>
    <n v="0"/>
    <n v="0"/>
    <n v="0"/>
    <n v="0"/>
    <n v="0"/>
    <n v="0"/>
    <n v="0"/>
    <n v="0"/>
    <m/>
    <n v="0"/>
    <n v="0"/>
    <m/>
    <m/>
    <s v="Non-specified population groups"/>
    <s v="HIV"/>
    <x v="1"/>
  </r>
  <r>
    <n v="1077"/>
    <x v="7"/>
    <x v="27"/>
    <x v="38"/>
    <x v="5"/>
    <m/>
    <m/>
    <m/>
    <m/>
    <m/>
    <m/>
    <m/>
    <m/>
    <m/>
    <s v="-"/>
    <n v="0"/>
    <s v="-"/>
    <n v="0"/>
    <s v="-"/>
    <n v="0"/>
    <s v="-"/>
    <n v="0"/>
    <m/>
    <n v="0"/>
    <m/>
    <m/>
    <m/>
    <m/>
    <n v="0"/>
    <m/>
    <n v="0"/>
    <m/>
    <n v="0"/>
    <m/>
    <n v="0"/>
    <m/>
    <n v="0"/>
    <m/>
    <m/>
    <m/>
    <m/>
    <n v="0"/>
    <m/>
    <n v="0"/>
    <m/>
    <n v="0"/>
    <m/>
    <n v="0"/>
    <m/>
    <n v="0"/>
    <m/>
    <m/>
    <m/>
    <m/>
    <n v="0"/>
    <n v="0"/>
    <n v="0"/>
    <n v="0"/>
    <n v="0"/>
    <n v="0"/>
    <n v="0"/>
    <n v="0"/>
    <n v="0"/>
    <m/>
    <n v="0"/>
    <n v="0"/>
    <m/>
    <m/>
    <s v="Non-specified population groups"/>
    <s v="HIV"/>
    <x v="1"/>
  </r>
  <r>
    <n v="1078"/>
    <x v="7"/>
    <x v="27"/>
    <x v="38"/>
    <x v="6"/>
    <m/>
    <m/>
    <m/>
    <m/>
    <m/>
    <m/>
    <m/>
    <m/>
    <m/>
    <s v="-"/>
    <n v="0"/>
    <s v="-"/>
    <n v="0"/>
    <s v="-"/>
    <n v="0"/>
    <s v="-"/>
    <n v="0"/>
    <m/>
    <n v="0"/>
    <m/>
    <m/>
    <m/>
    <m/>
    <n v="0"/>
    <m/>
    <n v="0"/>
    <m/>
    <n v="0"/>
    <m/>
    <n v="0"/>
    <m/>
    <n v="0"/>
    <m/>
    <m/>
    <m/>
    <m/>
    <n v="0"/>
    <m/>
    <n v="0"/>
    <m/>
    <n v="0"/>
    <m/>
    <n v="0"/>
    <m/>
    <n v="0"/>
    <m/>
    <m/>
    <m/>
    <m/>
    <n v="0"/>
    <n v="0"/>
    <n v="0"/>
    <n v="0"/>
    <n v="0"/>
    <n v="0"/>
    <n v="0"/>
    <n v="0"/>
    <n v="0"/>
    <m/>
    <n v="0"/>
    <n v="0"/>
    <m/>
    <m/>
    <s v="Non-specified population groups"/>
    <s v="HIV"/>
    <x v="1"/>
  </r>
  <r>
    <n v="1079"/>
    <x v="7"/>
    <x v="27"/>
    <x v="38"/>
    <x v="7"/>
    <m/>
    <m/>
    <m/>
    <m/>
    <m/>
    <m/>
    <m/>
    <m/>
    <m/>
    <s v="-"/>
    <n v="0"/>
    <s v="-"/>
    <n v="0"/>
    <s v="-"/>
    <n v="0"/>
    <s v="-"/>
    <n v="0"/>
    <m/>
    <n v="0"/>
    <m/>
    <m/>
    <m/>
    <m/>
    <n v="0"/>
    <m/>
    <n v="0"/>
    <m/>
    <n v="0"/>
    <m/>
    <n v="0"/>
    <m/>
    <n v="0"/>
    <m/>
    <m/>
    <m/>
    <m/>
    <n v="0"/>
    <m/>
    <n v="0"/>
    <m/>
    <n v="0"/>
    <m/>
    <n v="0"/>
    <m/>
    <n v="0"/>
    <m/>
    <m/>
    <m/>
    <m/>
    <n v="0"/>
    <n v="0"/>
    <n v="0"/>
    <n v="0"/>
    <n v="0"/>
    <n v="0"/>
    <n v="0"/>
    <n v="0"/>
    <n v="0"/>
    <m/>
    <n v="0"/>
    <n v="0"/>
    <m/>
    <m/>
    <s v="Non-specified population groups"/>
    <s v="HIV"/>
    <x v="1"/>
  </r>
  <r>
    <n v="1080"/>
    <x v="8"/>
    <x v="28"/>
    <x v="53"/>
    <x v="23"/>
    <m/>
    <m/>
    <m/>
    <m/>
    <m/>
    <m/>
    <m/>
    <m/>
    <m/>
    <s v="-"/>
    <n v="0"/>
    <s v="-"/>
    <n v="0"/>
    <s v="-"/>
    <n v="0"/>
    <s v="-"/>
    <n v="0"/>
    <m/>
    <n v="0"/>
    <m/>
    <m/>
    <m/>
    <m/>
    <n v="0"/>
    <m/>
    <n v="0"/>
    <m/>
    <n v="0"/>
    <m/>
    <n v="0"/>
    <m/>
    <n v="0"/>
    <m/>
    <m/>
    <m/>
    <m/>
    <n v="0"/>
    <m/>
    <n v="0"/>
    <m/>
    <n v="0"/>
    <m/>
    <n v="0"/>
    <m/>
    <n v="0"/>
    <m/>
    <m/>
    <m/>
    <m/>
    <n v="0"/>
    <n v="0"/>
    <n v="0"/>
    <n v="0"/>
    <n v="0"/>
    <n v="0"/>
    <n v="0"/>
    <n v="0"/>
    <n v="0"/>
    <m/>
    <n v="0"/>
    <n v="0"/>
    <m/>
    <m/>
    <n v="0"/>
    <s v="HIV"/>
    <x v="23"/>
  </r>
  <r>
    <n v="1083"/>
    <x v="8"/>
    <x v="28"/>
    <x v="54"/>
    <x v="24"/>
    <m/>
    <m/>
    <m/>
    <m/>
    <m/>
    <m/>
    <m/>
    <m/>
    <m/>
    <s v="-"/>
    <n v="0"/>
    <s v="-"/>
    <n v="0"/>
    <s v="-"/>
    <n v="0"/>
    <s v="-"/>
    <n v="0"/>
    <m/>
    <n v="0"/>
    <m/>
    <m/>
    <m/>
    <m/>
    <n v="0"/>
    <m/>
    <n v="0"/>
    <m/>
    <n v="0"/>
    <m/>
    <n v="0"/>
    <m/>
    <n v="0"/>
    <m/>
    <m/>
    <m/>
    <m/>
    <n v="0"/>
    <m/>
    <n v="0"/>
    <m/>
    <n v="0"/>
    <m/>
    <n v="0"/>
    <m/>
    <n v="0"/>
    <m/>
    <m/>
    <m/>
    <m/>
    <n v="0"/>
    <n v="0"/>
    <n v="0"/>
    <n v="0"/>
    <n v="0"/>
    <n v="0"/>
    <n v="0"/>
    <n v="0"/>
    <n v="0"/>
    <m/>
    <n v="0"/>
    <n v="0"/>
    <m/>
    <m/>
    <n v="0"/>
    <s v="HIV"/>
    <x v="24"/>
  </r>
  <r>
    <n v="1084"/>
    <x v="8"/>
    <x v="28"/>
    <x v="55"/>
    <x v="25"/>
    <m/>
    <m/>
    <m/>
    <m/>
    <m/>
    <m/>
    <m/>
    <m/>
    <m/>
    <s v="-"/>
    <n v="0"/>
    <s v="-"/>
    <n v="0"/>
    <s v="-"/>
    <n v="0"/>
    <s v="-"/>
    <n v="0"/>
    <m/>
    <n v="0"/>
    <m/>
    <m/>
    <m/>
    <m/>
    <n v="0"/>
    <m/>
    <n v="0"/>
    <m/>
    <n v="0"/>
    <m/>
    <n v="0"/>
    <m/>
    <n v="0"/>
    <m/>
    <m/>
    <m/>
    <m/>
    <n v="0"/>
    <m/>
    <n v="0"/>
    <m/>
    <n v="0"/>
    <m/>
    <n v="0"/>
    <m/>
    <n v="0"/>
    <m/>
    <m/>
    <m/>
    <m/>
    <n v="0"/>
    <n v="0"/>
    <n v="0"/>
    <n v="0"/>
    <n v="0"/>
    <n v="0"/>
    <n v="0"/>
    <n v="0"/>
    <n v="0"/>
    <m/>
    <n v="0"/>
    <n v="0"/>
    <m/>
    <m/>
    <n v="0"/>
    <s v="HIV"/>
    <x v="25"/>
  </r>
  <r>
    <n v="1085"/>
    <x v="8"/>
    <x v="28"/>
    <x v="13"/>
    <x v="15"/>
    <m/>
    <m/>
    <m/>
    <m/>
    <m/>
    <m/>
    <m/>
    <m/>
    <m/>
    <s v="-"/>
    <n v="0"/>
    <s v="-"/>
    <n v="0"/>
    <s v="-"/>
    <n v="0"/>
    <s v="-"/>
    <n v="0"/>
    <m/>
    <n v="0"/>
    <m/>
    <m/>
    <m/>
    <m/>
    <n v="0"/>
    <m/>
    <n v="0"/>
    <m/>
    <n v="0"/>
    <m/>
    <n v="0"/>
    <m/>
    <n v="0"/>
    <m/>
    <m/>
    <m/>
    <m/>
    <n v="0"/>
    <m/>
    <n v="0"/>
    <m/>
    <n v="0"/>
    <m/>
    <n v="0"/>
    <m/>
    <n v="0"/>
    <m/>
    <m/>
    <m/>
    <m/>
    <n v="0"/>
    <n v="0"/>
    <n v="0"/>
    <n v="0"/>
    <n v="0"/>
    <n v="0"/>
    <n v="0"/>
    <n v="0"/>
    <n v="0"/>
    <m/>
    <n v="0"/>
    <n v="0"/>
    <m/>
    <m/>
    <n v="0"/>
    <s v="HIV"/>
    <x v="13"/>
  </r>
  <r>
    <n v="1086"/>
    <x v="8"/>
    <x v="28"/>
    <x v="14"/>
    <x v="16"/>
    <m/>
    <m/>
    <m/>
    <m/>
    <m/>
    <m/>
    <m/>
    <m/>
    <m/>
    <s v="-"/>
    <n v="0"/>
    <s v="-"/>
    <n v="0"/>
    <s v="-"/>
    <n v="0"/>
    <s v="-"/>
    <n v="0"/>
    <m/>
    <n v="0"/>
    <m/>
    <m/>
    <m/>
    <m/>
    <n v="0"/>
    <m/>
    <n v="0"/>
    <m/>
    <n v="0"/>
    <m/>
    <n v="0"/>
    <m/>
    <n v="0"/>
    <m/>
    <m/>
    <m/>
    <m/>
    <n v="0"/>
    <m/>
    <n v="0"/>
    <m/>
    <n v="0"/>
    <m/>
    <n v="0"/>
    <m/>
    <n v="0"/>
    <m/>
    <m/>
    <m/>
    <m/>
    <n v="0"/>
    <n v="0"/>
    <n v="0"/>
    <n v="0"/>
    <n v="0"/>
    <n v="0"/>
    <n v="0"/>
    <n v="0"/>
    <n v="0"/>
    <m/>
    <n v="0"/>
    <n v="0"/>
    <m/>
    <m/>
    <n v="0"/>
    <s v="HIV"/>
    <x v="14"/>
  </r>
  <r>
    <n v="1087"/>
    <x v="8"/>
    <x v="28"/>
    <x v="8"/>
    <x v="9"/>
    <m/>
    <m/>
    <m/>
    <m/>
    <m/>
    <m/>
    <m/>
    <m/>
    <m/>
    <s v="-"/>
    <n v="0"/>
    <s v="-"/>
    <n v="0"/>
    <s v="-"/>
    <n v="0"/>
    <s v="-"/>
    <n v="0"/>
    <m/>
    <n v="0"/>
    <m/>
    <m/>
    <m/>
    <m/>
    <n v="0"/>
    <m/>
    <n v="0"/>
    <m/>
    <n v="0"/>
    <m/>
    <n v="0"/>
    <m/>
    <n v="0"/>
    <m/>
    <m/>
    <m/>
    <m/>
    <n v="0"/>
    <m/>
    <n v="0"/>
    <m/>
    <n v="0"/>
    <m/>
    <n v="0"/>
    <m/>
    <n v="0"/>
    <m/>
    <m/>
    <m/>
    <m/>
    <n v="0"/>
    <n v="0"/>
    <n v="0"/>
    <n v="0"/>
    <n v="0"/>
    <n v="0"/>
    <n v="0"/>
    <n v="0"/>
    <n v="0"/>
    <m/>
    <n v="0"/>
    <n v="0"/>
    <m/>
    <m/>
    <n v="0"/>
    <s v="HIV"/>
    <x v="8"/>
  </r>
  <r>
    <n v="1088"/>
    <x v="8"/>
    <x v="28"/>
    <x v="10"/>
    <x v="14"/>
    <m/>
    <m/>
    <m/>
    <m/>
    <m/>
    <m/>
    <m/>
    <m/>
    <m/>
    <s v="-"/>
    <n v="0"/>
    <s v="-"/>
    <n v="0"/>
    <s v="-"/>
    <n v="0"/>
    <s v="-"/>
    <n v="0"/>
    <m/>
    <n v="0"/>
    <m/>
    <m/>
    <m/>
    <m/>
    <n v="0"/>
    <m/>
    <n v="0"/>
    <m/>
    <n v="0"/>
    <m/>
    <n v="0"/>
    <m/>
    <n v="0"/>
    <m/>
    <m/>
    <m/>
    <m/>
    <n v="0"/>
    <m/>
    <n v="0"/>
    <m/>
    <n v="0"/>
    <m/>
    <n v="0"/>
    <m/>
    <n v="0"/>
    <m/>
    <m/>
    <m/>
    <m/>
    <n v="0"/>
    <n v="0"/>
    <n v="0"/>
    <n v="0"/>
    <n v="0"/>
    <n v="0"/>
    <n v="0"/>
    <n v="0"/>
    <n v="0"/>
    <m/>
    <n v="0"/>
    <n v="0"/>
    <m/>
    <m/>
    <n v="0"/>
    <s v="HIV"/>
    <x v="10"/>
  </r>
  <r>
    <n v="1089"/>
    <x v="8"/>
    <x v="28"/>
    <x v="9"/>
    <x v="13"/>
    <m/>
    <m/>
    <m/>
    <m/>
    <m/>
    <m/>
    <m/>
    <m/>
    <m/>
    <s v="-"/>
    <n v="0"/>
    <s v="-"/>
    <n v="0"/>
    <s v="-"/>
    <n v="0"/>
    <s v="-"/>
    <n v="0"/>
    <m/>
    <n v="0"/>
    <m/>
    <m/>
    <m/>
    <m/>
    <n v="0"/>
    <m/>
    <n v="0"/>
    <m/>
    <n v="0"/>
    <m/>
    <n v="0"/>
    <m/>
    <n v="0"/>
    <m/>
    <m/>
    <m/>
    <m/>
    <n v="0"/>
    <m/>
    <n v="0"/>
    <m/>
    <n v="0"/>
    <m/>
    <n v="0"/>
    <m/>
    <n v="0"/>
    <m/>
    <m/>
    <m/>
    <m/>
    <n v="0"/>
    <n v="0"/>
    <n v="0"/>
    <n v="0"/>
    <n v="0"/>
    <n v="0"/>
    <n v="0"/>
    <n v="0"/>
    <n v="0"/>
    <m/>
    <n v="0"/>
    <n v="0"/>
    <m/>
    <m/>
    <n v="0"/>
    <s v="HIV"/>
    <x v="9"/>
  </r>
  <r>
    <n v="1090"/>
    <x v="8"/>
    <x v="28"/>
    <x v="1"/>
    <x v="1"/>
    <m/>
    <m/>
    <m/>
    <m/>
    <m/>
    <m/>
    <m/>
    <m/>
    <m/>
    <s v="-"/>
    <n v="0"/>
    <s v="-"/>
    <n v="0"/>
    <s v="-"/>
    <n v="0"/>
    <s v="-"/>
    <n v="0"/>
    <m/>
    <n v="0"/>
    <m/>
    <m/>
    <m/>
    <m/>
    <n v="0"/>
    <m/>
    <n v="0"/>
    <m/>
    <n v="0"/>
    <m/>
    <n v="0"/>
    <m/>
    <n v="0"/>
    <m/>
    <m/>
    <m/>
    <m/>
    <n v="0"/>
    <m/>
    <n v="0"/>
    <m/>
    <n v="0"/>
    <m/>
    <n v="0"/>
    <m/>
    <n v="0"/>
    <m/>
    <m/>
    <m/>
    <m/>
    <n v="0"/>
    <n v="0"/>
    <n v="0"/>
    <n v="0"/>
    <n v="0"/>
    <n v="0"/>
    <n v="0"/>
    <n v="0"/>
    <n v="0"/>
    <m/>
    <n v="0"/>
    <n v="0"/>
    <m/>
    <m/>
    <n v="0"/>
    <s v="HIV"/>
    <x v="1"/>
  </r>
  <r>
    <n v="1091"/>
    <x v="8"/>
    <x v="28"/>
    <x v="1"/>
    <x v="2"/>
    <m/>
    <m/>
    <m/>
    <m/>
    <m/>
    <m/>
    <m/>
    <m/>
    <m/>
    <s v="-"/>
    <n v="0"/>
    <s v="-"/>
    <n v="0"/>
    <s v="-"/>
    <n v="0"/>
    <s v="-"/>
    <n v="0"/>
    <m/>
    <n v="0"/>
    <m/>
    <m/>
    <m/>
    <m/>
    <n v="0"/>
    <m/>
    <n v="0"/>
    <m/>
    <n v="0"/>
    <m/>
    <n v="0"/>
    <m/>
    <n v="0"/>
    <m/>
    <m/>
    <m/>
    <m/>
    <n v="0"/>
    <m/>
    <n v="0"/>
    <m/>
    <n v="0"/>
    <m/>
    <n v="0"/>
    <m/>
    <n v="0"/>
    <m/>
    <m/>
    <m/>
    <m/>
    <n v="0"/>
    <n v="0"/>
    <n v="0"/>
    <n v="0"/>
    <n v="0"/>
    <n v="0"/>
    <n v="0"/>
    <n v="0"/>
    <n v="0"/>
    <m/>
    <n v="0"/>
    <n v="0"/>
    <m/>
    <m/>
    <n v="0"/>
    <s v="HIV"/>
    <x v="1"/>
  </r>
  <r>
    <n v="1092"/>
    <x v="8"/>
    <x v="28"/>
    <x v="1"/>
    <x v="3"/>
    <m/>
    <m/>
    <m/>
    <m/>
    <m/>
    <m/>
    <m/>
    <m/>
    <m/>
    <s v="-"/>
    <n v="0"/>
    <s v="-"/>
    <n v="0"/>
    <s v="-"/>
    <n v="0"/>
    <s v="-"/>
    <n v="0"/>
    <m/>
    <n v="0"/>
    <m/>
    <m/>
    <m/>
    <m/>
    <n v="0"/>
    <m/>
    <n v="0"/>
    <m/>
    <n v="0"/>
    <m/>
    <n v="0"/>
    <m/>
    <n v="0"/>
    <m/>
    <m/>
    <m/>
    <m/>
    <n v="0"/>
    <m/>
    <n v="0"/>
    <m/>
    <n v="0"/>
    <m/>
    <n v="0"/>
    <m/>
    <n v="0"/>
    <m/>
    <m/>
    <m/>
    <m/>
    <n v="0"/>
    <n v="0"/>
    <n v="0"/>
    <n v="0"/>
    <n v="0"/>
    <n v="0"/>
    <n v="0"/>
    <n v="0"/>
    <n v="0"/>
    <m/>
    <n v="0"/>
    <n v="0"/>
    <m/>
    <m/>
    <n v="0"/>
    <s v="HIV"/>
    <x v="1"/>
  </r>
  <r>
    <n v="1093"/>
    <x v="8"/>
    <x v="28"/>
    <x v="1"/>
    <x v="4"/>
    <m/>
    <m/>
    <m/>
    <m/>
    <m/>
    <m/>
    <m/>
    <m/>
    <m/>
    <s v="-"/>
    <n v="0"/>
    <s v="-"/>
    <n v="0"/>
    <s v="-"/>
    <n v="0"/>
    <s v="-"/>
    <n v="0"/>
    <m/>
    <n v="0"/>
    <m/>
    <m/>
    <m/>
    <m/>
    <n v="0"/>
    <m/>
    <n v="0"/>
    <m/>
    <n v="0"/>
    <m/>
    <n v="0"/>
    <m/>
    <n v="0"/>
    <m/>
    <m/>
    <m/>
    <m/>
    <n v="0"/>
    <m/>
    <n v="0"/>
    <m/>
    <n v="0"/>
    <m/>
    <n v="0"/>
    <m/>
    <n v="0"/>
    <m/>
    <m/>
    <m/>
    <m/>
    <n v="0"/>
    <n v="0"/>
    <n v="0"/>
    <n v="0"/>
    <n v="0"/>
    <n v="0"/>
    <n v="0"/>
    <n v="0"/>
    <n v="0"/>
    <m/>
    <n v="0"/>
    <n v="0"/>
    <m/>
    <m/>
    <n v="0"/>
    <s v="HIV"/>
    <x v="1"/>
  </r>
  <r>
    <n v="1094"/>
    <x v="8"/>
    <x v="28"/>
    <x v="1"/>
    <x v="5"/>
    <m/>
    <m/>
    <m/>
    <m/>
    <m/>
    <m/>
    <m/>
    <m/>
    <m/>
    <s v="-"/>
    <n v="0"/>
    <s v="-"/>
    <n v="0"/>
    <s v="-"/>
    <n v="0"/>
    <s v="-"/>
    <n v="0"/>
    <m/>
    <n v="0"/>
    <m/>
    <m/>
    <m/>
    <m/>
    <n v="0"/>
    <m/>
    <n v="0"/>
    <m/>
    <n v="0"/>
    <m/>
    <n v="0"/>
    <m/>
    <n v="0"/>
    <m/>
    <m/>
    <m/>
    <m/>
    <n v="0"/>
    <m/>
    <n v="0"/>
    <m/>
    <n v="0"/>
    <m/>
    <n v="0"/>
    <m/>
    <n v="0"/>
    <m/>
    <m/>
    <m/>
    <m/>
    <n v="0"/>
    <n v="0"/>
    <n v="0"/>
    <n v="0"/>
    <n v="0"/>
    <n v="0"/>
    <n v="0"/>
    <n v="0"/>
    <n v="0"/>
    <m/>
    <n v="0"/>
    <n v="0"/>
    <m/>
    <m/>
    <n v="0"/>
    <s v="HIV"/>
    <x v="1"/>
  </r>
  <r>
    <n v="1095"/>
    <x v="8"/>
    <x v="28"/>
    <x v="1"/>
    <x v="6"/>
    <m/>
    <m/>
    <m/>
    <m/>
    <m/>
    <m/>
    <m/>
    <m/>
    <m/>
    <s v="-"/>
    <n v="0"/>
    <s v="-"/>
    <n v="0"/>
    <s v="-"/>
    <n v="0"/>
    <s v="-"/>
    <n v="0"/>
    <m/>
    <n v="0"/>
    <m/>
    <m/>
    <m/>
    <m/>
    <n v="0"/>
    <m/>
    <n v="0"/>
    <m/>
    <n v="0"/>
    <m/>
    <n v="0"/>
    <m/>
    <n v="0"/>
    <m/>
    <m/>
    <m/>
    <m/>
    <n v="0"/>
    <m/>
    <n v="0"/>
    <m/>
    <n v="0"/>
    <m/>
    <n v="0"/>
    <m/>
    <n v="0"/>
    <m/>
    <m/>
    <m/>
    <m/>
    <n v="0"/>
    <n v="0"/>
    <n v="0"/>
    <n v="0"/>
    <n v="0"/>
    <n v="0"/>
    <n v="0"/>
    <n v="0"/>
    <n v="0"/>
    <m/>
    <n v="0"/>
    <n v="0"/>
    <m/>
    <m/>
    <n v="0"/>
    <s v="HIV"/>
    <x v="1"/>
  </r>
  <r>
    <n v="1096"/>
    <x v="8"/>
    <x v="28"/>
    <x v="1"/>
    <x v="7"/>
    <m/>
    <m/>
    <m/>
    <m/>
    <m/>
    <m/>
    <m/>
    <m/>
    <m/>
    <s v="-"/>
    <n v="0"/>
    <s v="-"/>
    <n v="0"/>
    <s v="-"/>
    <n v="0"/>
    <s v="-"/>
    <n v="0"/>
    <m/>
    <n v="0"/>
    <m/>
    <m/>
    <m/>
    <m/>
    <n v="0"/>
    <m/>
    <n v="0"/>
    <m/>
    <n v="0"/>
    <m/>
    <n v="0"/>
    <m/>
    <n v="0"/>
    <m/>
    <m/>
    <m/>
    <m/>
    <n v="0"/>
    <m/>
    <n v="0"/>
    <m/>
    <n v="0"/>
    <m/>
    <n v="0"/>
    <m/>
    <n v="0"/>
    <m/>
    <m/>
    <m/>
    <m/>
    <n v="0"/>
    <n v="0"/>
    <n v="0"/>
    <n v="0"/>
    <n v="0"/>
    <n v="0"/>
    <n v="0"/>
    <n v="0"/>
    <n v="0"/>
    <m/>
    <n v="0"/>
    <n v="0"/>
    <m/>
    <m/>
    <n v="0"/>
    <s v="HIV"/>
    <x v="1"/>
  </r>
  <r>
    <n v="1109"/>
    <x v="8"/>
    <x v="29"/>
    <x v="56"/>
    <x v="26"/>
    <m/>
    <m/>
    <m/>
    <m/>
    <m/>
    <m/>
    <m/>
    <m/>
    <m/>
    <s v="-"/>
    <n v="0"/>
    <s v="-"/>
    <n v="0"/>
    <s v="-"/>
    <n v="0"/>
    <s v="-"/>
    <n v="0"/>
    <m/>
    <n v="0"/>
    <m/>
    <m/>
    <m/>
    <m/>
    <n v="0"/>
    <m/>
    <n v="0"/>
    <m/>
    <n v="0"/>
    <m/>
    <n v="0"/>
    <m/>
    <n v="0"/>
    <m/>
    <m/>
    <m/>
    <m/>
    <n v="0"/>
    <m/>
    <n v="0"/>
    <m/>
    <n v="0"/>
    <m/>
    <n v="0"/>
    <m/>
    <n v="0"/>
    <m/>
    <m/>
    <m/>
    <m/>
    <n v="0"/>
    <n v="0"/>
    <n v="0"/>
    <n v="0"/>
    <n v="0"/>
    <n v="0"/>
    <n v="0"/>
    <n v="0"/>
    <n v="0"/>
    <m/>
    <n v="0"/>
    <n v="0"/>
    <m/>
    <m/>
    <n v="0"/>
    <s v="HIV"/>
    <x v="26"/>
  </r>
  <r>
    <n v="1110"/>
    <x v="8"/>
    <x v="29"/>
    <x v="16"/>
    <x v="17"/>
    <m/>
    <m/>
    <m/>
    <m/>
    <m/>
    <m/>
    <m/>
    <m/>
    <m/>
    <s v="-"/>
    <n v="0"/>
    <s v="-"/>
    <n v="0"/>
    <s v="-"/>
    <n v="0"/>
    <s v="-"/>
    <n v="0"/>
    <m/>
    <n v="0"/>
    <m/>
    <m/>
    <m/>
    <m/>
    <n v="0"/>
    <m/>
    <n v="0"/>
    <m/>
    <n v="0"/>
    <m/>
    <n v="0"/>
    <m/>
    <n v="0"/>
    <m/>
    <m/>
    <m/>
    <m/>
    <n v="0"/>
    <m/>
    <n v="0"/>
    <m/>
    <n v="0"/>
    <m/>
    <n v="0"/>
    <m/>
    <n v="0"/>
    <m/>
    <m/>
    <m/>
    <m/>
    <n v="0"/>
    <n v="0"/>
    <n v="0"/>
    <n v="0"/>
    <n v="0"/>
    <n v="0"/>
    <n v="0"/>
    <n v="0"/>
    <n v="0"/>
    <m/>
    <n v="0"/>
    <n v="0"/>
    <m/>
    <m/>
    <n v="0"/>
    <s v="HIV"/>
    <x v="16"/>
  </r>
  <r>
    <n v="1111"/>
    <x v="8"/>
    <x v="29"/>
    <x v="57"/>
    <x v="18"/>
    <m/>
    <m/>
    <m/>
    <m/>
    <m/>
    <m/>
    <m/>
    <m/>
    <m/>
    <s v="-"/>
    <n v="0"/>
    <s v="-"/>
    <n v="0"/>
    <s v="-"/>
    <n v="0"/>
    <s v="-"/>
    <n v="0"/>
    <m/>
    <n v="0"/>
    <m/>
    <m/>
    <m/>
    <m/>
    <n v="0"/>
    <m/>
    <n v="0"/>
    <m/>
    <n v="0"/>
    <m/>
    <n v="0"/>
    <m/>
    <n v="0"/>
    <m/>
    <m/>
    <m/>
    <m/>
    <n v="0"/>
    <m/>
    <n v="0"/>
    <m/>
    <n v="0"/>
    <m/>
    <n v="0"/>
    <m/>
    <n v="0"/>
    <m/>
    <m/>
    <m/>
    <m/>
    <n v="0"/>
    <n v="0"/>
    <n v="0"/>
    <n v="0"/>
    <n v="0"/>
    <n v="0"/>
    <n v="0"/>
    <n v="0"/>
    <n v="0"/>
    <m/>
    <n v="0"/>
    <n v="0"/>
    <m/>
    <m/>
    <n v="0"/>
    <s v="HIV"/>
    <x v="27"/>
  </r>
  <r>
    <n v="1115"/>
    <x v="8"/>
    <x v="29"/>
    <x v="1"/>
    <x v="1"/>
    <m/>
    <m/>
    <m/>
    <m/>
    <m/>
    <m/>
    <m/>
    <m/>
    <m/>
    <s v="-"/>
    <n v="0"/>
    <s v="-"/>
    <n v="0"/>
    <s v="-"/>
    <n v="0"/>
    <s v="-"/>
    <n v="0"/>
    <m/>
    <n v="0"/>
    <m/>
    <m/>
    <m/>
    <m/>
    <n v="0"/>
    <m/>
    <n v="0"/>
    <m/>
    <n v="0"/>
    <m/>
    <n v="0"/>
    <m/>
    <n v="0"/>
    <m/>
    <m/>
    <m/>
    <m/>
    <n v="0"/>
    <m/>
    <n v="0"/>
    <m/>
    <n v="0"/>
    <m/>
    <n v="0"/>
    <m/>
    <n v="0"/>
    <m/>
    <m/>
    <m/>
    <m/>
    <n v="0"/>
    <n v="0"/>
    <n v="0"/>
    <n v="0"/>
    <n v="0"/>
    <n v="0"/>
    <n v="0"/>
    <n v="0"/>
    <n v="0"/>
    <m/>
    <n v="0"/>
    <n v="0"/>
    <m/>
    <m/>
    <n v="0"/>
    <s v="HIV"/>
    <x v="1"/>
  </r>
  <r>
    <n v="1116"/>
    <x v="8"/>
    <x v="29"/>
    <x v="1"/>
    <x v="2"/>
    <m/>
    <m/>
    <m/>
    <m/>
    <m/>
    <m/>
    <m/>
    <m/>
    <m/>
    <s v="-"/>
    <n v="0"/>
    <s v="-"/>
    <n v="0"/>
    <s v="-"/>
    <n v="0"/>
    <s v="-"/>
    <n v="0"/>
    <m/>
    <n v="0"/>
    <m/>
    <m/>
    <m/>
    <m/>
    <n v="0"/>
    <m/>
    <n v="0"/>
    <m/>
    <n v="0"/>
    <m/>
    <n v="0"/>
    <m/>
    <n v="0"/>
    <m/>
    <m/>
    <m/>
    <m/>
    <n v="0"/>
    <m/>
    <n v="0"/>
    <m/>
    <n v="0"/>
    <m/>
    <n v="0"/>
    <m/>
    <n v="0"/>
    <m/>
    <m/>
    <m/>
    <m/>
    <n v="0"/>
    <n v="0"/>
    <n v="0"/>
    <n v="0"/>
    <n v="0"/>
    <n v="0"/>
    <n v="0"/>
    <n v="0"/>
    <n v="0"/>
    <m/>
    <n v="0"/>
    <n v="0"/>
    <m/>
    <m/>
    <n v="0"/>
    <s v="HIV"/>
    <x v="1"/>
  </r>
  <r>
    <n v="1117"/>
    <x v="8"/>
    <x v="29"/>
    <x v="1"/>
    <x v="3"/>
    <m/>
    <m/>
    <m/>
    <m/>
    <m/>
    <m/>
    <m/>
    <m/>
    <m/>
    <s v="-"/>
    <n v="0"/>
    <s v="-"/>
    <n v="0"/>
    <s v="-"/>
    <n v="0"/>
    <s v="-"/>
    <n v="0"/>
    <m/>
    <n v="0"/>
    <m/>
    <m/>
    <m/>
    <m/>
    <n v="0"/>
    <m/>
    <n v="0"/>
    <m/>
    <n v="0"/>
    <m/>
    <n v="0"/>
    <m/>
    <n v="0"/>
    <m/>
    <m/>
    <m/>
    <m/>
    <n v="0"/>
    <m/>
    <n v="0"/>
    <m/>
    <n v="0"/>
    <m/>
    <n v="0"/>
    <m/>
    <n v="0"/>
    <m/>
    <m/>
    <m/>
    <m/>
    <n v="0"/>
    <n v="0"/>
    <n v="0"/>
    <n v="0"/>
    <n v="0"/>
    <n v="0"/>
    <n v="0"/>
    <n v="0"/>
    <n v="0"/>
    <m/>
    <n v="0"/>
    <n v="0"/>
    <m/>
    <m/>
    <n v="0"/>
    <s v="HIV"/>
    <x v="1"/>
  </r>
  <r>
    <n v="1118"/>
    <x v="8"/>
    <x v="29"/>
    <x v="1"/>
    <x v="4"/>
    <m/>
    <m/>
    <m/>
    <m/>
    <m/>
    <m/>
    <m/>
    <m/>
    <m/>
    <s v="-"/>
    <n v="0"/>
    <s v="-"/>
    <n v="0"/>
    <s v="-"/>
    <n v="0"/>
    <s v="-"/>
    <n v="0"/>
    <m/>
    <n v="0"/>
    <m/>
    <m/>
    <m/>
    <m/>
    <n v="0"/>
    <m/>
    <n v="0"/>
    <m/>
    <n v="0"/>
    <m/>
    <n v="0"/>
    <m/>
    <n v="0"/>
    <m/>
    <m/>
    <m/>
    <m/>
    <n v="0"/>
    <m/>
    <n v="0"/>
    <m/>
    <n v="0"/>
    <m/>
    <n v="0"/>
    <m/>
    <n v="0"/>
    <m/>
    <m/>
    <m/>
    <m/>
    <n v="0"/>
    <n v="0"/>
    <n v="0"/>
    <n v="0"/>
    <n v="0"/>
    <n v="0"/>
    <n v="0"/>
    <n v="0"/>
    <n v="0"/>
    <m/>
    <n v="0"/>
    <n v="0"/>
    <m/>
    <m/>
    <n v="0"/>
    <s v="HIV"/>
    <x v="1"/>
  </r>
  <r>
    <n v="1119"/>
    <x v="8"/>
    <x v="29"/>
    <x v="1"/>
    <x v="5"/>
    <m/>
    <m/>
    <m/>
    <m/>
    <m/>
    <m/>
    <m/>
    <m/>
    <m/>
    <s v="-"/>
    <n v="0"/>
    <s v="-"/>
    <n v="0"/>
    <s v="-"/>
    <n v="0"/>
    <s v="-"/>
    <n v="0"/>
    <m/>
    <n v="0"/>
    <m/>
    <m/>
    <m/>
    <m/>
    <n v="0"/>
    <m/>
    <n v="0"/>
    <m/>
    <n v="0"/>
    <m/>
    <n v="0"/>
    <m/>
    <n v="0"/>
    <m/>
    <m/>
    <m/>
    <m/>
    <n v="0"/>
    <m/>
    <n v="0"/>
    <m/>
    <n v="0"/>
    <m/>
    <n v="0"/>
    <m/>
    <n v="0"/>
    <m/>
    <m/>
    <m/>
    <m/>
    <n v="0"/>
    <n v="0"/>
    <n v="0"/>
    <n v="0"/>
    <n v="0"/>
    <n v="0"/>
    <n v="0"/>
    <n v="0"/>
    <n v="0"/>
    <m/>
    <n v="0"/>
    <n v="0"/>
    <m/>
    <m/>
    <n v="0"/>
    <s v="HIV"/>
    <x v="1"/>
  </r>
  <r>
    <n v="1120"/>
    <x v="8"/>
    <x v="29"/>
    <x v="1"/>
    <x v="6"/>
    <m/>
    <m/>
    <m/>
    <m/>
    <m/>
    <m/>
    <m/>
    <m/>
    <m/>
    <s v="-"/>
    <n v="0"/>
    <s v="-"/>
    <n v="0"/>
    <s v="-"/>
    <n v="0"/>
    <s v="-"/>
    <n v="0"/>
    <m/>
    <n v="0"/>
    <m/>
    <m/>
    <m/>
    <m/>
    <n v="0"/>
    <m/>
    <n v="0"/>
    <m/>
    <n v="0"/>
    <m/>
    <n v="0"/>
    <m/>
    <n v="0"/>
    <m/>
    <m/>
    <m/>
    <m/>
    <n v="0"/>
    <m/>
    <n v="0"/>
    <m/>
    <n v="0"/>
    <m/>
    <n v="0"/>
    <m/>
    <n v="0"/>
    <m/>
    <m/>
    <m/>
    <m/>
    <n v="0"/>
    <n v="0"/>
    <n v="0"/>
    <n v="0"/>
    <n v="0"/>
    <n v="0"/>
    <n v="0"/>
    <n v="0"/>
    <n v="0"/>
    <m/>
    <n v="0"/>
    <n v="0"/>
    <m/>
    <m/>
    <n v="0"/>
    <s v="HIV"/>
    <x v="1"/>
  </r>
  <r>
    <n v="1121"/>
    <x v="8"/>
    <x v="29"/>
    <x v="1"/>
    <x v="7"/>
    <m/>
    <m/>
    <m/>
    <m/>
    <m/>
    <m/>
    <m/>
    <m/>
    <m/>
    <s v="-"/>
    <n v="0"/>
    <s v="-"/>
    <n v="0"/>
    <s v="-"/>
    <n v="0"/>
    <s v="-"/>
    <n v="0"/>
    <m/>
    <n v="0"/>
    <m/>
    <m/>
    <m/>
    <m/>
    <n v="0"/>
    <m/>
    <n v="0"/>
    <m/>
    <n v="0"/>
    <m/>
    <n v="0"/>
    <m/>
    <n v="0"/>
    <m/>
    <m/>
    <m/>
    <m/>
    <n v="0"/>
    <m/>
    <n v="0"/>
    <m/>
    <n v="0"/>
    <m/>
    <n v="0"/>
    <m/>
    <n v="0"/>
    <m/>
    <m/>
    <m/>
    <m/>
    <n v="0"/>
    <n v="0"/>
    <n v="0"/>
    <n v="0"/>
    <n v="0"/>
    <n v="0"/>
    <n v="0"/>
    <n v="0"/>
    <n v="0"/>
    <m/>
    <n v="0"/>
    <n v="0"/>
    <m/>
    <m/>
    <n v="0"/>
    <s v="HIV"/>
    <x v="1"/>
  </r>
  <r>
    <n v="72"/>
    <x v="1"/>
    <x v="7"/>
    <x v="14"/>
    <x v="16"/>
    <m/>
    <m/>
    <m/>
    <m/>
    <m/>
    <m/>
    <m/>
    <m/>
    <m/>
    <s v="-"/>
    <n v="0"/>
    <s v="-"/>
    <n v="0"/>
    <s v="-"/>
    <n v="0"/>
    <s v="-"/>
    <n v="0"/>
    <m/>
    <n v="0"/>
    <m/>
    <m/>
    <m/>
    <m/>
    <n v="0"/>
    <m/>
    <n v="0"/>
    <m/>
    <n v="0"/>
    <m/>
    <n v="0"/>
    <m/>
    <n v="0"/>
    <m/>
    <m/>
    <m/>
    <m/>
    <n v="0"/>
    <m/>
    <n v="0"/>
    <m/>
    <n v="0"/>
    <m/>
    <n v="0"/>
    <m/>
    <n v="0"/>
    <m/>
    <m/>
    <m/>
    <m/>
    <n v="0"/>
    <n v="0"/>
    <n v="0"/>
    <n v="0"/>
    <n v="0"/>
    <n v="0"/>
    <n v="0"/>
    <n v="0"/>
    <n v="0"/>
    <m/>
    <n v="0"/>
    <n v="0"/>
    <m/>
    <m/>
    <n v="0"/>
    <s v="Malaria"/>
    <x v="1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D1A60E9-9A75-2540-A772-DEE4E8E18B46}" name="PivotTable1"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Q27" firstHeaderRow="0" firstDataRow="1" firstDataCol="1" rowPageCount="1" colPageCount="1"/>
  <pivotFields count="75">
    <pivotField showAll="0"/>
    <pivotField showAll="0"/>
    <pivotField showAll="0"/>
    <pivotField showAll="0"/>
    <pivotField axis="axisRow" showAll="0">
      <items count="28">
        <item x="23"/>
        <item x="17"/>
        <item x="10"/>
        <item x="22"/>
        <item x="26"/>
        <item x="18"/>
        <item x="0"/>
        <item x="20"/>
        <item x="21"/>
        <item x="11"/>
        <item x="8"/>
        <item x="14"/>
        <item x="19"/>
        <item x="13"/>
        <item x="24"/>
        <item x="25"/>
        <item x="12"/>
        <item x="15"/>
        <item x="16"/>
        <item x="9"/>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showAll="0"/>
    <pivotField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showAll="0"/>
    <pivotField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showAll="0"/>
    <pivotField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dataField="1" numFmtId="43" showAll="0"/>
    <pivotField showAll="0"/>
    <pivotField showAll="0"/>
    <pivotField showAll="0"/>
    <pivotField axis="axisPage" showAll="0">
      <items count="4">
        <item x="2"/>
        <item x="0"/>
        <item x="1"/>
        <item t="default"/>
      </items>
    </pivotField>
  </pivotFields>
  <rowFields count="1">
    <field x="4"/>
  </rowFields>
  <rowItems count="24">
    <i>
      <x/>
    </i>
    <i>
      <x v="1"/>
    </i>
    <i>
      <x v="3"/>
    </i>
    <i>
      <x v="4"/>
    </i>
    <i>
      <x v="5"/>
    </i>
    <i>
      <x v="7"/>
    </i>
    <i>
      <x v="8"/>
    </i>
    <i>
      <x v="9"/>
    </i>
    <i>
      <x v="11"/>
    </i>
    <i>
      <x v="12"/>
    </i>
    <i>
      <x v="13"/>
    </i>
    <i>
      <x v="14"/>
    </i>
    <i>
      <x v="15"/>
    </i>
    <i>
      <x v="17"/>
    </i>
    <i>
      <x v="18"/>
    </i>
    <i>
      <x v="19"/>
    </i>
    <i>
      <x v="20"/>
    </i>
    <i>
      <x v="21"/>
    </i>
    <i>
      <x v="22"/>
    </i>
    <i>
      <x v="23"/>
    </i>
    <i>
      <x v="24"/>
    </i>
    <i>
      <x v="25"/>
    </i>
    <i>
      <x v="26"/>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pageFields count="1">
    <pageField fld="74" item="0" hier="-1"/>
  </pageFields>
  <dataFields count="16">
    <dataField name="Sum of Y1 Q1 _x000a_cost" fld="22" baseField="0" baseItem="0" numFmtId="4"/>
    <dataField name="Sum of Y1 Q2 _x000a_cost" fld="24" baseField="0" baseItem="0" numFmtId="4"/>
    <dataField name="Sum of Y1 Q3 _x000a_cost" fld="26" baseField="0" baseItem="0" numFmtId="4"/>
    <dataField name="Sum of Y1 Q4 _x000a_cost" fld="28" baseField="0" baseItem="0" numFmtId="4"/>
    <dataField name="Sum of Y1 Total Cash Outflow" fld="30" baseField="0" baseItem="0" numFmtId="4"/>
    <dataField name="Sum of Y2 Q1 _x000a_cost" fld="35" baseField="0" baseItem="0" numFmtId="4"/>
    <dataField name="Sum of Y2 Q2 _x000a_cost" fld="37" baseField="0" baseItem="0" numFmtId="4"/>
    <dataField name="Sum of Y2 Q3 _x000a_cost" fld="39" baseField="0" baseItem="0" numFmtId="4"/>
    <dataField name="Sum of Y2 Q4 _x000a_cost" fld="41" baseField="0" baseItem="0" numFmtId="4"/>
    <dataField name="Sum of Y2 Total Cash Outflow" fld="43" baseField="0" baseItem="0" numFmtId="4"/>
    <dataField name="Sum of Y3 Q1 _x000a_cost" fld="48" baseField="0" baseItem="0" numFmtId="4"/>
    <dataField name="Sum of Y3 Q2 _x000a_cost" fld="50" baseField="0" baseItem="0" numFmtId="4"/>
    <dataField name="Sum of Y3 Q3 _x000a_cost" fld="52" baseField="0" baseItem="0" numFmtId="4"/>
    <dataField name="Sum of Y3 Q4 _x000a_cost" fld="54" baseField="0" baseItem="0" numFmtId="4"/>
    <dataField name="Sum of Y3 Total Cash Outflow" fld="56" baseField="0" baseItem="0" numFmtId="4"/>
    <dataField name="Sum of Y1-4 Total Cash Outflow" fld="70" baseField="0" baseItem="0" numFmtId="4"/>
  </dataFields>
  <formats count="1">
    <format dxfId="8">
      <pivotArea outline="0" collapsedLevelsAreSubtotals="1" fieldPosition="0">
        <references count="1">
          <reference field="4294967294" count="15" selected="0">
            <x v="1"/>
            <x v="2"/>
            <x v="3"/>
            <x v="4"/>
            <x v="5"/>
            <x v="6"/>
            <x v="7"/>
            <x v="8"/>
            <x v="9"/>
            <x v="10"/>
            <x v="11"/>
            <x v="12"/>
            <x v="13"/>
            <x v="14"/>
            <x v="15"/>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D402638-9D34-1740-80CD-B4606F13313E}" name="PivotTable1"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Q115" firstHeaderRow="0" firstDataRow="1" firstDataCol="1" rowPageCount="1" colPageCount="1"/>
  <pivotFields count="75">
    <pivotField showAll="0"/>
    <pivotField axis="axisRow" showAll="0">
      <items count="10">
        <item x="1"/>
        <item x="7"/>
        <item x="4"/>
        <item x="6"/>
        <item x="5"/>
        <item x="2"/>
        <item x="3"/>
        <item x="8"/>
        <item x="0"/>
        <item t="default"/>
      </items>
    </pivotField>
    <pivotField axis="axisRow" showAll="0">
      <items count="31">
        <item x="14"/>
        <item x="17"/>
        <item x="26"/>
        <item x="19"/>
        <item x="28"/>
        <item x="25"/>
        <item x="7"/>
        <item x="6"/>
        <item x="8"/>
        <item x="11"/>
        <item x="10"/>
        <item x="2"/>
        <item x="4"/>
        <item x="3"/>
        <item x="5"/>
        <item x="1"/>
        <item x="0"/>
        <item x="13"/>
        <item x="22"/>
        <item x="20"/>
        <item x="21"/>
        <item x="16"/>
        <item x="29"/>
        <item x="9"/>
        <item x="23"/>
        <item x="24"/>
        <item x="12"/>
        <item x="27"/>
        <item x="15"/>
        <item x="18"/>
        <item t="default"/>
      </items>
    </pivotField>
    <pivotField showAll="0"/>
    <pivotField axis="axisRow" showAll="0">
      <items count="28">
        <item x="23"/>
        <item x="17"/>
        <item x="10"/>
        <item x="22"/>
        <item x="26"/>
        <item x="18"/>
        <item x="0"/>
        <item x="20"/>
        <item x="21"/>
        <item x="11"/>
        <item x="8"/>
        <item x="14"/>
        <item x="19"/>
        <item x="13"/>
        <item x="24"/>
        <item x="25"/>
        <item x="12"/>
        <item x="15"/>
        <item x="16"/>
        <item x="9"/>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showAll="0"/>
    <pivotField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showAll="0"/>
    <pivotField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showAll="0"/>
    <pivotField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dataField="1" numFmtId="43" showAll="0"/>
    <pivotField showAll="0"/>
    <pivotField showAll="0"/>
    <pivotField showAll="0"/>
    <pivotField axis="axisPage" showAll="0">
      <items count="4">
        <item x="2"/>
        <item x="0"/>
        <item x="1"/>
        <item t="default"/>
      </items>
    </pivotField>
  </pivotFields>
  <rowFields count="3">
    <field x="1"/>
    <field x="2"/>
    <field x="4"/>
  </rowFields>
  <rowItems count="112">
    <i>
      <x v="1"/>
    </i>
    <i r="1">
      <x v="2"/>
    </i>
    <i r="2">
      <x v="9"/>
    </i>
    <i r="2">
      <x v="20"/>
    </i>
    <i r="2">
      <x v="21"/>
    </i>
    <i r="2">
      <x v="22"/>
    </i>
    <i r="2">
      <x v="23"/>
    </i>
    <i r="2">
      <x v="24"/>
    </i>
    <i r="2">
      <x v="25"/>
    </i>
    <i r="2">
      <x v="26"/>
    </i>
    <i r="1">
      <x v="5"/>
    </i>
    <i r="2">
      <x v="9"/>
    </i>
    <i r="2">
      <x v="20"/>
    </i>
    <i r="2">
      <x v="21"/>
    </i>
    <i r="2">
      <x v="22"/>
    </i>
    <i r="2">
      <x v="23"/>
    </i>
    <i r="2">
      <x v="24"/>
    </i>
    <i r="2">
      <x v="25"/>
    </i>
    <i r="2">
      <x v="26"/>
    </i>
    <i r="1">
      <x v="27"/>
    </i>
    <i r="2">
      <x v="9"/>
    </i>
    <i r="2">
      <x v="20"/>
    </i>
    <i r="2">
      <x v="21"/>
    </i>
    <i r="2">
      <x v="22"/>
    </i>
    <i r="2">
      <x v="23"/>
    </i>
    <i r="2">
      <x v="24"/>
    </i>
    <i r="2">
      <x v="25"/>
    </i>
    <i r="2">
      <x v="26"/>
    </i>
    <i>
      <x v="3"/>
    </i>
    <i r="1">
      <x v="24"/>
    </i>
    <i r="2">
      <x v="7"/>
    </i>
    <i r="2">
      <x v="8"/>
    </i>
    <i r="2">
      <x v="13"/>
    </i>
    <i r="2">
      <x v="20"/>
    </i>
    <i r="2">
      <x v="21"/>
    </i>
    <i r="2">
      <x v="22"/>
    </i>
    <i r="2">
      <x v="23"/>
    </i>
    <i r="2">
      <x v="24"/>
    </i>
    <i r="2">
      <x v="25"/>
    </i>
    <i r="2">
      <x v="26"/>
    </i>
    <i r="1">
      <x v="25"/>
    </i>
    <i r="2">
      <x v="9"/>
    </i>
    <i r="2">
      <x v="20"/>
    </i>
    <i r="2">
      <x v="21"/>
    </i>
    <i r="2">
      <x v="22"/>
    </i>
    <i r="2">
      <x v="23"/>
    </i>
    <i r="2">
      <x v="24"/>
    </i>
    <i r="2">
      <x v="25"/>
    </i>
    <i r="2">
      <x v="26"/>
    </i>
    <i>
      <x v="4"/>
    </i>
    <i r="1">
      <x v="3"/>
    </i>
    <i r="2">
      <x v="7"/>
    </i>
    <i r="2">
      <x v="8"/>
    </i>
    <i r="2">
      <x v="13"/>
    </i>
    <i r="2">
      <x v="20"/>
    </i>
    <i r="2">
      <x v="21"/>
    </i>
    <i r="2">
      <x v="22"/>
    </i>
    <i r="2">
      <x v="23"/>
    </i>
    <i r="2">
      <x v="24"/>
    </i>
    <i r="2">
      <x v="25"/>
    </i>
    <i r="2">
      <x v="26"/>
    </i>
    <i r="1">
      <x v="18"/>
    </i>
    <i r="2">
      <x v="7"/>
    </i>
    <i r="2">
      <x v="8"/>
    </i>
    <i r="2">
      <x v="13"/>
    </i>
    <i r="2">
      <x v="20"/>
    </i>
    <i r="2">
      <x v="21"/>
    </i>
    <i r="2">
      <x v="22"/>
    </i>
    <i r="2">
      <x v="23"/>
    </i>
    <i r="2">
      <x v="24"/>
    </i>
    <i r="2">
      <x v="25"/>
    </i>
    <i r="2">
      <x v="26"/>
    </i>
    <i r="1">
      <x v="19"/>
    </i>
    <i r="2">
      <x v="12"/>
    </i>
    <i r="1">
      <x v="20"/>
    </i>
    <i r="2">
      <x v="3"/>
    </i>
    <i r="2">
      <x v="20"/>
    </i>
    <i r="2">
      <x v="21"/>
    </i>
    <i r="2">
      <x v="22"/>
    </i>
    <i r="2">
      <x v="23"/>
    </i>
    <i r="2">
      <x v="24"/>
    </i>
    <i r="2">
      <x v="25"/>
    </i>
    <i r="2">
      <x v="26"/>
    </i>
    <i>
      <x v="7"/>
    </i>
    <i r="1">
      <x v="4"/>
    </i>
    <i r="2">
      <x/>
    </i>
    <i r="2">
      <x v="11"/>
    </i>
    <i r="2">
      <x v="13"/>
    </i>
    <i r="2">
      <x v="14"/>
    </i>
    <i r="2">
      <x v="15"/>
    </i>
    <i r="2">
      <x v="17"/>
    </i>
    <i r="2">
      <x v="18"/>
    </i>
    <i r="2">
      <x v="19"/>
    </i>
    <i r="2">
      <x v="20"/>
    </i>
    <i r="2">
      <x v="21"/>
    </i>
    <i r="2">
      <x v="22"/>
    </i>
    <i r="2">
      <x v="23"/>
    </i>
    <i r="2">
      <x v="24"/>
    </i>
    <i r="2">
      <x v="25"/>
    </i>
    <i r="2">
      <x v="26"/>
    </i>
    <i r="1">
      <x v="22"/>
    </i>
    <i r="2">
      <x v="1"/>
    </i>
    <i r="2">
      <x v="4"/>
    </i>
    <i r="2">
      <x v="5"/>
    </i>
    <i r="2">
      <x v="20"/>
    </i>
    <i r="2">
      <x v="21"/>
    </i>
    <i r="2">
      <x v="22"/>
    </i>
    <i r="2">
      <x v="23"/>
    </i>
    <i r="2">
      <x v="24"/>
    </i>
    <i r="2">
      <x v="25"/>
    </i>
    <i r="2">
      <x v="26"/>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pageFields count="1">
    <pageField fld="74" item="0" hier="-1"/>
  </pageFields>
  <dataFields count="16">
    <dataField name="Sum of Y1 Q1 _x000a_cost" fld="22" baseField="0" baseItem="0" numFmtId="4"/>
    <dataField name="Sum of Y1 Q2 _x000a_cost" fld="24" baseField="0" baseItem="0" numFmtId="4"/>
    <dataField name="Sum of Y1 Q3 _x000a_cost" fld="26" baseField="0" baseItem="0" numFmtId="4"/>
    <dataField name="Sum of Y1 Q4 _x000a_cost" fld="28" baseField="0" baseItem="0" numFmtId="4"/>
    <dataField name="Sum of Y1 Total Cash Outflow" fld="30" baseField="0" baseItem="0" numFmtId="4"/>
    <dataField name="Sum of Y2 Q1 _x000a_cost" fld="35" baseField="0" baseItem="0" numFmtId="4"/>
    <dataField name="Sum of Y2 Q2 _x000a_cost" fld="37" baseField="0" baseItem="0" numFmtId="4"/>
    <dataField name="Sum of Y2 Q3 _x000a_cost" fld="39" baseField="0" baseItem="0" numFmtId="4"/>
    <dataField name="Sum of Y2 Q4 _x000a_cost" fld="41" baseField="0" baseItem="0" numFmtId="4"/>
    <dataField name="Sum of Y2 Total Cash Outflow" fld="43" baseField="0" baseItem="0" numFmtId="4"/>
    <dataField name="Sum of Y3 Q1 _x000a_cost" fld="48" baseField="0" baseItem="0" numFmtId="4"/>
    <dataField name="Sum of Y3 Q2 _x000a_cost" fld="50" baseField="0" baseItem="0" numFmtId="4"/>
    <dataField name="Sum of Y3 Q3 _x000a_cost" fld="52" baseField="0" baseItem="0" numFmtId="4"/>
    <dataField name="Sum of Y3 Q4 _x000a_cost" fld="54" baseField="0" baseItem="0" numFmtId="4"/>
    <dataField name="Sum of Y3 Total Cash Outflow" fld="56" baseField="0" baseItem="0" numFmtId="4"/>
    <dataField name="Sum of Y1-4 Total Cash Outflow" fld="70" baseField="0" baseItem="0" numFmtId="4"/>
  </dataFields>
  <formats count="1">
    <format dxfId="7">
      <pivotArea outline="0" collapsedLevelsAreSubtotals="1" fieldPosition="0">
        <references count="1">
          <reference field="4294967294" count="15" selected="0">
            <x v="1"/>
            <x v="2"/>
            <x v="3"/>
            <x v="4"/>
            <x v="5"/>
            <x v="6"/>
            <x v="7"/>
            <x v="8"/>
            <x v="9"/>
            <x v="10"/>
            <x v="11"/>
            <x v="12"/>
            <x v="13"/>
            <x v="14"/>
            <x v="15"/>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4F21888-6ACE-B74C-B3E9-A49D4618CA31}" name="PivotTable1"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Q443" firstHeaderRow="0" firstDataRow="1" firstDataCol="1" rowPageCount="1" colPageCount="1"/>
  <pivotFields count="75">
    <pivotField showAll="0"/>
    <pivotField axis="axisRow" showAll="0">
      <items count="10">
        <item x="1"/>
        <item x="7"/>
        <item x="4"/>
        <item x="6"/>
        <item x="5"/>
        <item x="2"/>
        <item x="3"/>
        <item x="8"/>
        <item x="0"/>
        <item t="default"/>
      </items>
    </pivotField>
    <pivotField axis="axisRow" showAll="0">
      <items count="31">
        <item x="14"/>
        <item x="17"/>
        <item x="26"/>
        <item x="19"/>
        <item x="28"/>
        <item x="25"/>
        <item x="7"/>
        <item x="6"/>
        <item x="8"/>
        <item x="11"/>
        <item x="10"/>
        <item x="2"/>
        <item x="4"/>
        <item x="3"/>
        <item x="5"/>
        <item x="1"/>
        <item x="0"/>
        <item x="13"/>
        <item x="22"/>
        <item x="20"/>
        <item x="21"/>
        <item x="16"/>
        <item x="29"/>
        <item x="9"/>
        <item x="23"/>
        <item x="24"/>
        <item x="12"/>
        <item x="27"/>
        <item x="15"/>
        <item x="18"/>
        <item t="default"/>
      </items>
    </pivotField>
    <pivotField showAll="0"/>
    <pivotField axis="axisRow" showAll="0">
      <items count="28">
        <item x="23"/>
        <item x="17"/>
        <item x="10"/>
        <item x="22"/>
        <item x="26"/>
        <item x="18"/>
        <item x="0"/>
        <item x="20"/>
        <item x="21"/>
        <item x="11"/>
        <item x="8"/>
        <item x="14"/>
        <item x="19"/>
        <item x="13"/>
        <item x="24"/>
        <item x="25"/>
        <item x="12"/>
        <item x="15"/>
        <item x="16"/>
        <item x="9"/>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showAll="0"/>
    <pivotField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showAll="0"/>
    <pivotField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dataField="1" numFmtId="43" showAll="0"/>
    <pivotField showAll="0"/>
    <pivotField showAll="0"/>
    <pivotField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dataField="1" numFmtId="43" showAll="0"/>
    <pivotField showAll="0"/>
    <pivotField showAll="0"/>
    <pivotField axis="axisRow" showAll="0">
      <items count="13">
        <item x="0"/>
        <item x="7"/>
        <item x="8"/>
        <item x="1"/>
        <item x="9"/>
        <item x="6"/>
        <item x="11"/>
        <item x="5"/>
        <item x="4"/>
        <item x="10"/>
        <item x="2"/>
        <item x="3"/>
        <item t="default"/>
      </items>
    </pivotField>
    <pivotField axis="axisPage" multipleItemSelectionAllowed="1" showAll="0">
      <items count="4">
        <item x="2"/>
        <item h="1" x="0"/>
        <item h="1" x="1"/>
        <item t="default"/>
      </items>
    </pivotField>
  </pivotFields>
  <rowFields count="4">
    <field x="1"/>
    <field x="2"/>
    <field x="73"/>
    <field x="4"/>
  </rowFields>
  <rowItems count="440">
    <i>
      <x v="1"/>
    </i>
    <i r="1">
      <x v="2"/>
    </i>
    <i r="2">
      <x v="1"/>
    </i>
    <i r="3">
      <x v="9"/>
    </i>
    <i r="3">
      <x v="20"/>
    </i>
    <i r="3">
      <x v="21"/>
    </i>
    <i r="3">
      <x v="22"/>
    </i>
    <i r="3">
      <x v="23"/>
    </i>
    <i r="3">
      <x v="24"/>
    </i>
    <i r="3">
      <x v="25"/>
    </i>
    <i r="3">
      <x v="26"/>
    </i>
    <i r="2">
      <x v="2"/>
    </i>
    <i r="3">
      <x v="9"/>
    </i>
    <i r="3">
      <x v="20"/>
    </i>
    <i r="3">
      <x v="21"/>
    </i>
    <i r="3">
      <x v="22"/>
    </i>
    <i r="3">
      <x v="23"/>
    </i>
    <i r="3">
      <x v="24"/>
    </i>
    <i r="3">
      <x v="25"/>
    </i>
    <i r="3">
      <x v="26"/>
    </i>
    <i r="2">
      <x v="3"/>
    </i>
    <i r="3">
      <x v="9"/>
    </i>
    <i r="3">
      <x v="20"/>
    </i>
    <i r="3">
      <x v="21"/>
    </i>
    <i r="3">
      <x v="22"/>
    </i>
    <i r="3">
      <x v="23"/>
    </i>
    <i r="3">
      <x v="24"/>
    </i>
    <i r="3">
      <x v="25"/>
    </i>
    <i r="3">
      <x v="26"/>
    </i>
    <i r="2">
      <x v="4"/>
    </i>
    <i r="3">
      <x v="9"/>
    </i>
    <i r="3">
      <x v="20"/>
    </i>
    <i r="3">
      <x v="21"/>
    </i>
    <i r="3">
      <x v="22"/>
    </i>
    <i r="3">
      <x v="23"/>
    </i>
    <i r="3">
      <x v="24"/>
    </i>
    <i r="3">
      <x v="25"/>
    </i>
    <i r="3">
      <x v="26"/>
    </i>
    <i r="2">
      <x v="5"/>
    </i>
    <i r="3">
      <x v="9"/>
    </i>
    <i r="3">
      <x v="20"/>
    </i>
    <i r="3">
      <x v="21"/>
    </i>
    <i r="3">
      <x v="22"/>
    </i>
    <i r="3">
      <x v="23"/>
    </i>
    <i r="3">
      <x v="24"/>
    </i>
    <i r="3">
      <x v="25"/>
    </i>
    <i r="3">
      <x v="26"/>
    </i>
    <i r="2">
      <x v="6"/>
    </i>
    <i r="3">
      <x v="9"/>
    </i>
    <i r="3">
      <x v="20"/>
    </i>
    <i r="3">
      <x v="21"/>
    </i>
    <i r="3">
      <x v="22"/>
    </i>
    <i r="3">
      <x v="23"/>
    </i>
    <i r="3">
      <x v="24"/>
    </i>
    <i r="3">
      <x v="25"/>
    </i>
    <i r="3">
      <x v="26"/>
    </i>
    <i r="2">
      <x v="7"/>
    </i>
    <i r="3">
      <x v="9"/>
    </i>
    <i r="3">
      <x v="20"/>
    </i>
    <i r="3">
      <x v="21"/>
    </i>
    <i r="3">
      <x v="22"/>
    </i>
    <i r="3">
      <x v="23"/>
    </i>
    <i r="3">
      <x v="24"/>
    </i>
    <i r="3">
      <x v="25"/>
    </i>
    <i r="3">
      <x v="26"/>
    </i>
    <i r="2">
      <x v="8"/>
    </i>
    <i r="3">
      <x v="9"/>
    </i>
    <i r="3">
      <x v="20"/>
    </i>
    <i r="3">
      <x v="21"/>
    </i>
    <i r="3">
      <x v="22"/>
    </i>
    <i r="3">
      <x v="23"/>
    </i>
    <i r="3">
      <x v="24"/>
    </i>
    <i r="3">
      <x v="25"/>
    </i>
    <i r="3">
      <x v="26"/>
    </i>
    <i r="2">
      <x v="10"/>
    </i>
    <i r="3">
      <x v="9"/>
    </i>
    <i r="3">
      <x v="20"/>
    </i>
    <i r="3">
      <x v="21"/>
    </i>
    <i r="3">
      <x v="22"/>
    </i>
    <i r="3">
      <x v="23"/>
    </i>
    <i r="3">
      <x v="24"/>
    </i>
    <i r="3">
      <x v="25"/>
    </i>
    <i r="3">
      <x v="26"/>
    </i>
    <i r="2">
      <x v="11"/>
    </i>
    <i r="3">
      <x v="9"/>
    </i>
    <i r="3">
      <x v="20"/>
    </i>
    <i r="3">
      <x v="21"/>
    </i>
    <i r="3">
      <x v="22"/>
    </i>
    <i r="3">
      <x v="23"/>
    </i>
    <i r="3">
      <x v="24"/>
    </i>
    <i r="3">
      <x v="25"/>
    </i>
    <i r="3">
      <x v="26"/>
    </i>
    <i r="1">
      <x v="5"/>
    </i>
    <i r="2">
      <x v="1"/>
    </i>
    <i r="3">
      <x v="9"/>
    </i>
    <i r="3">
      <x v="20"/>
    </i>
    <i r="3">
      <x v="21"/>
    </i>
    <i r="3">
      <x v="22"/>
    </i>
    <i r="3">
      <x v="23"/>
    </i>
    <i r="3">
      <x v="24"/>
    </i>
    <i r="3">
      <x v="25"/>
    </i>
    <i r="3">
      <x v="26"/>
    </i>
    <i r="2">
      <x v="2"/>
    </i>
    <i r="3">
      <x v="9"/>
    </i>
    <i r="3">
      <x v="20"/>
    </i>
    <i r="3">
      <x v="21"/>
    </i>
    <i r="3">
      <x v="22"/>
    </i>
    <i r="3">
      <x v="23"/>
    </i>
    <i r="3">
      <x v="24"/>
    </i>
    <i r="3">
      <x v="25"/>
    </i>
    <i r="3">
      <x v="26"/>
    </i>
    <i r="2">
      <x v="3"/>
    </i>
    <i r="3">
      <x v="9"/>
    </i>
    <i r="3">
      <x v="20"/>
    </i>
    <i r="3">
      <x v="21"/>
    </i>
    <i r="3">
      <x v="22"/>
    </i>
    <i r="3">
      <x v="23"/>
    </i>
    <i r="3">
      <x v="24"/>
    </i>
    <i r="3">
      <x v="25"/>
    </i>
    <i r="3">
      <x v="26"/>
    </i>
    <i r="2">
      <x v="4"/>
    </i>
    <i r="3">
      <x v="9"/>
    </i>
    <i r="3">
      <x v="20"/>
    </i>
    <i r="3">
      <x v="21"/>
    </i>
    <i r="3">
      <x v="22"/>
    </i>
    <i r="3">
      <x v="23"/>
    </i>
    <i r="3">
      <x v="24"/>
    </i>
    <i r="3">
      <x v="25"/>
    </i>
    <i r="3">
      <x v="26"/>
    </i>
    <i r="2">
      <x v="5"/>
    </i>
    <i r="3">
      <x v="9"/>
    </i>
    <i r="3">
      <x v="20"/>
    </i>
    <i r="3">
      <x v="21"/>
    </i>
    <i r="3">
      <x v="22"/>
    </i>
    <i r="3">
      <x v="23"/>
    </i>
    <i r="3">
      <x v="24"/>
    </i>
    <i r="3">
      <x v="25"/>
    </i>
    <i r="3">
      <x v="26"/>
    </i>
    <i r="2">
      <x v="6"/>
    </i>
    <i r="3">
      <x v="20"/>
    </i>
    <i r="3">
      <x v="21"/>
    </i>
    <i r="3">
      <x v="22"/>
    </i>
    <i r="3">
      <x v="23"/>
    </i>
    <i r="3">
      <x v="24"/>
    </i>
    <i r="3">
      <x v="25"/>
    </i>
    <i r="3">
      <x v="26"/>
    </i>
    <i r="2">
      <x v="7"/>
    </i>
    <i r="3">
      <x v="9"/>
    </i>
    <i r="3">
      <x v="20"/>
    </i>
    <i r="3">
      <x v="21"/>
    </i>
    <i r="3">
      <x v="22"/>
    </i>
    <i r="3">
      <x v="23"/>
    </i>
    <i r="3">
      <x v="24"/>
    </i>
    <i r="3">
      <x v="25"/>
    </i>
    <i r="3">
      <x v="26"/>
    </i>
    <i r="2">
      <x v="8"/>
    </i>
    <i r="3">
      <x v="9"/>
    </i>
    <i r="3">
      <x v="20"/>
    </i>
    <i r="3">
      <x v="21"/>
    </i>
    <i r="3">
      <x v="22"/>
    </i>
    <i r="3">
      <x v="23"/>
    </i>
    <i r="3">
      <x v="24"/>
    </i>
    <i r="3">
      <x v="25"/>
    </i>
    <i r="3">
      <x v="26"/>
    </i>
    <i r="2">
      <x v="10"/>
    </i>
    <i r="3">
      <x v="9"/>
    </i>
    <i r="3">
      <x v="20"/>
    </i>
    <i r="3">
      <x v="21"/>
    </i>
    <i r="3">
      <x v="22"/>
    </i>
    <i r="3">
      <x v="23"/>
    </i>
    <i r="3">
      <x v="24"/>
    </i>
    <i r="3">
      <x v="25"/>
    </i>
    <i r="3">
      <x v="26"/>
    </i>
    <i r="2">
      <x v="11"/>
    </i>
    <i r="3">
      <x v="9"/>
    </i>
    <i r="3">
      <x v="20"/>
    </i>
    <i r="3">
      <x v="21"/>
    </i>
    <i r="3">
      <x v="22"/>
    </i>
    <i r="3">
      <x v="23"/>
    </i>
    <i r="3">
      <x v="24"/>
    </i>
    <i r="3">
      <x v="25"/>
    </i>
    <i r="3">
      <x v="26"/>
    </i>
    <i r="1">
      <x v="27"/>
    </i>
    <i r="2">
      <x v="1"/>
    </i>
    <i r="3">
      <x v="9"/>
    </i>
    <i r="3">
      <x v="20"/>
    </i>
    <i r="3">
      <x v="21"/>
    </i>
    <i r="3">
      <x v="22"/>
    </i>
    <i r="3">
      <x v="23"/>
    </i>
    <i r="3">
      <x v="24"/>
    </i>
    <i r="3">
      <x v="25"/>
    </i>
    <i r="3">
      <x v="26"/>
    </i>
    <i r="2">
      <x v="2"/>
    </i>
    <i r="3">
      <x v="9"/>
    </i>
    <i r="3">
      <x v="20"/>
    </i>
    <i r="3">
      <x v="21"/>
    </i>
    <i r="3">
      <x v="22"/>
    </i>
    <i r="3">
      <x v="23"/>
    </i>
    <i r="3">
      <x v="24"/>
    </i>
    <i r="3">
      <x v="25"/>
    </i>
    <i r="3">
      <x v="26"/>
    </i>
    <i r="2">
      <x v="3"/>
    </i>
    <i r="3">
      <x v="9"/>
    </i>
    <i r="3">
      <x v="20"/>
    </i>
    <i r="3">
      <x v="21"/>
    </i>
    <i r="3">
      <x v="22"/>
    </i>
    <i r="3">
      <x v="23"/>
    </i>
    <i r="3">
      <x v="24"/>
    </i>
    <i r="3">
      <x v="25"/>
    </i>
    <i r="3">
      <x v="26"/>
    </i>
    <i r="2">
      <x v="4"/>
    </i>
    <i r="3">
      <x v="9"/>
    </i>
    <i r="3">
      <x v="20"/>
    </i>
    <i r="3">
      <x v="21"/>
    </i>
    <i r="3">
      <x v="22"/>
    </i>
    <i r="3">
      <x v="23"/>
    </i>
    <i r="3">
      <x v="24"/>
    </i>
    <i r="3">
      <x v="25"/>
    </i>
    <i r="3">
      <x v="26"/>
    </i>
    <i r="2">
      <x v="5"/>
    </i>
    <i r="3">
      <x v="9"/>
    </i>
    <i r="3">
      <x v="20"/>
    </i>
    <i r="3">
      <x v="21"/>
    </i>
    <i r="3">
      <x v="22"/>
    </i>
    <i r="3">
      <x v="23"/>
    </i>
    <i r="3">
      <x v="24"/>
    </i>
    <i r="3">
      <x v="25"/>
    </i>
    <i r="3">
      <x v="26"/>
    </i>
    <i r="2">
      <x v="6"/>
    </i>
    <i r="3">
      <x v="9"/>
    </i>
    <i r="3">
      <x v="20"/>
    </i>
    <i r="3">
      <x v="21"/>
    </i>
    <i r="3">
      <x v="22"/>
    </i>
    <i r="3">
      <x v="23"/>
    </i>
    <i r="3">
      <x v="24"/>
    </i>
    <i r="3">
      <x v="25"/>
    </i>
    <i r="3">
      <x v="26"/>
    </i>
    <i r="2">
      <x v="7"/>
    </i>
    <i r="3">
      <x v="9"/>
    </i>
    <i r="3">
      <x v="20"/>
    </i>
    <i r="3">
      <x v="21"/>
    </i>
    <i r="3">
      <x v="22"/>
    </i>
    <i r="3">
      <x v="23"/>
    </i>
    <i r="3">
      <x v="24"/>
    </i>
    <i r="3">
      <x v="25"/>
    </i>
    <i r="3">
      <x v="26"/>
    </i>
    <i r="2">
      <x v="8"/>
    </i>
    <i r="3">
      <x v="9"/>
    </i>
    <i r="3">
      <x v="20"/>
    </i>
    <i r="3">
      <x v="21"/>
    </i>
    <i r="3">
      <x v="22"/>
    </i>
    <i r="3">
      <x v="23"/>
    </i>
    <i r="3">
      <x v="24"/>
    </i>
    <i r="3">
      <x v="25"/>
    </i>
    <i r="3">
      <x v="26"/>
    </i>
    <i r="2">
      <x v="10"/>
    </i>
    <i r="3">
      <x v="9"/>
    </i>
    <i r="3">
      <x v="20"/>
    </i>
    <i r="3">
      <x v="21"/>
    </i>
    <i r="3">
      <x v="22"/>
    </i>
    <i r="3">
      <x v="23"/>
    </i>
    <i r="3">
      <x v="24"/>
    </i>
    <i r="3">
      <x v="25"/>
    </i>
    <i r="3">
      <x v="26"/>
    </i>
    <i r="2">
      <x v="11"/>
    </i>
    <i r="3">
      <x v="9"/>
    </i>
    <i r="3">
      <x v="20"/>
    </i>
    <i r="3">
      <x v="21"/>
    </i>
    <i r="3">
      <x v="22"/>
    </i>
    <i r="3">
      <x v="23"/>
    </i>
    <i r="3">
      <x v="24"/>
    </i>
    <i r="3">
      <x v="25"/>
    </i>
    <i r="3">
      <x v="26"/>
    </i>
    <i>
      <x v="3"/>
    </i>
    <i r="1">
      <x v="24"/>
    </i>
    <i r="2">
      <x v="9"/>
    </i>
    <i r="3">
      <x v="7"/>
    </i>
    <i r="3">
      <x v="8"/>
    </i>
    <i r="3">
      <x v="13"/>
    </i>
    <i r="3">
      <x v="20"/>
    </i>
    <i r="3">
      <x v="21"/>
    </i>
    <i r="3">
      <x v="22"/>
    </i>
    <i r="3">
      <x v="23"/>
    </i>
    <i r="3">
      <x v="24"/>
    </i>
    <i r="3">
      <x v="25"/>
    </i>
    <i r="3">
      <x v="26"/>
    </i>
    <i r="1">
      <x v="25"/>
    </i>
    <i r="2">
      <x v="9"/>
    </i>
    <i r="3">
      <x v="9"/>
    </i>
    <i r="3">
      <x v="20"/>
    </i>
    <i r="3">
      <x v="21"/>
    </i>
    <i r="3">
      <x v="22"/>
    </i>
    <i r="3">
      <x v="23"/>
    </i>
    <i r="3">
      <x v="24"/>
    </i>
    <i r="3">
      <x v="25"/>
    </i>
    <i r="3">
      <x v="26"/>
    </i>
    <i>
      <x v="4"/>
    </i>
    <i r="1">
      <x v="3"/>
    </i>
    <i r="2">
      <x v="1"/>
    </i>
    <i r="3">
      <x v="7"/>
    </i>
    <i r="3">
      <x v="8"/>
    </i>
    <i r="3">
      <x v="13"/>
    </i>
    <i r="3">
      <x v="20"/>
    </i>
    <i r="3">
      <x v="21"/>
    </i>
    <i r="3">
      <x v="22"/>
    </i>
    <i r="3">
      <x v="23"/>
    </i>
    <i r="3">
      <x v="24"/>
    </i>
    <i r="3">
      <x v="25"/>
    </i>
    <i r="3">
      <x v="26"/>
    </i>
    <i r="2">
      <x v="2"/>
    </i>
    <i r="3">
      <x v="7"/>
    </i>
    <i r="3">
      <x v="13"/>
    </i>
    <i r="3">
      <x v="20"/>
    </i>
    <i r="3">
      <x v="21"/>
    </i>
    <i r="3">
      <x v="22"/>
    </i>
    <i r="3">
      <x v="23"/>
    </i>
    <i r="3">
      <x v="24"/>
    </i>
    <i r="3">
      <x v="25"/>
    </i>
    <i r="3">
      <x v="26"/>
    </i>
    <i r="2">
      <x v="3"/>
    </i>
    <i r="3">
      <x v="7"/>
    </i>
    <i r="3">
      <x v="13"/>
    </i>
    <i r="3">
      <x v="20"/>
    </i>
    <i r="3">
      <x v="21"/>
    </i>
    <i r="3">
      <x v="22"/>
    </i>
    <i r="3">
      <x v="23"/>
    </i>
    <i r="3">
      <x v="24"/>
    </i>
    <i r="3">
      <x v="25"/>
    </i>
    <i r="3">
      <x v="26"/>
    </i>
    <i r="2">
      <x v="5"/>
    </i>
    <i r="3">
      <x v="7"/>
    </i>
    <i r="3">
      <x v="8"/>
    </i>
    <i r="3">
      <x v="13"/>
    </i>
    <i r="3">
      <x v="20"/>
    </i>
    <i r="3">
      <x v="21"/>
    </i>
    <i r="3">
      <x v="22"/>
    </i>
    <i r="3">
      <x v="23"/>
    </i>
    <i r="3">
      <x v="24"/>
    </i>
    <i r="3">
      <x v="25"/>
    </i>
    <i r="3">
      <x v="26"/>
    </i>
    <i r="2">
      <x v="7"/>
    </i>
    <i r="3">
      <x v="7"/>
    </i>
    <i r="3">
      <x v="8"/>
    </i>
    <i r="3">
      <x v="13"/>
    </i>
    <i r="3">
      <x v="20"/>
    </i>
    <i r="3">
      <x v="21"/>
    </i>
    <i r="3">
      <x v="22"/>
    </i>
    <i r="3">
      <x v="23"/>
    </i>
    <i r="3">
      <x v="24"/>
    </i>
    <i r="3">
      <x v="25"/>
    </i>
    <i r="3">
      <x v="26"/>
    </i>
    <i r="2">
      <x v="8"/>
    </i>
    <i r="3">
      <x v="7"/>
    </i>
    <i r="3">
      <x v="8"/>
    </i>
    <i r="3">
      <x v="13"/>
    </i>
    <i r="3">
      <x v="20"/>
    </i>
    <i r="3">
      <x v="21"/>
    </i>
    <i r="3">
      <x v="22"/>
    </i>
    <i r="3">
      <x v="23"/>
    </i>
    <i r="3">
      <x v="24"/>
    </i>
    <i r="3">
      <x v="25"/>
    </i>
    <i r="3">
      <x v="26"/>
    </i>
    <i r="2">
      <x v="10"/>
    </i>
    <i r="3">
      <x v="7"/>
    </i>
    <i r="3">
      <x v="8"/>
    </i>
    <i r="3">
      <x v="13"/>
    </i>
    <i r="3">
      <x v="20"/>
    </i>
    <i r="3">
      <x v="21"/>
    </i>
    <i r="3">
      <x v="22"/>
    </i>
    <i r="3">
      <x v="23"/>
    </i>
    <i r="3">
      <x v="24"/>
    </i>
    <i r="3">
      <x v="25"/>
    </i>
    <i r="3">
      <x v="26"/>
    </i>
    <i r="2">
      <x v="11"/>
    </i>
    <i r="3">
      <x v="7"/>
    </i>
    <i r="3">
      <x v="8"/>
    </i>
    <i r="3">
      <x v="13"/>
    </i>
    <i r="3">
      <x v="20"/>
    </i>
    <i r="3">
      <x v="21"/>
    </i>
    <i r="3">
      <x v="22"/>
    </i>
    <i r="3">
      <x v="23"/>
    </i>
    <i r="3">
      <x v="24"/>
    </i>
    <i r="3">
      <x v="25"/>
    </i>
    <i r="3">
      <x v="26"/>
    </i>
    <i r="1">
      <x v="18"/>
    </i>
    <i r="2">
      <x v="4"/>
    </i>
    <i r="3">
      <x v="7"/>
    </i>
    <i r="3">
      <x v="8"/>
    </i>
    <i r="3">
      <x v="13"/>
    </i>
    <i r="3">
      <x v="20"/>
    </i>
    <i r="3">
      <x v="21"/>
    </i>
    <i r="3">
      <x v="22"/>
    </i>
    <i r="3">
      <x v="23"/>
    </i>
    <i r="3">
      <x v="24"/>
    </i>
    <i r="3">
      <x v="25"/>
    </i>
    <i r="3">
      <x v="26"/>
    </i>
    <i r="1">
      <x v="19"/>
    </i>
    <i r="2">
      <x v="8"/>
    </i>
    <i r="3">
      <x v="12"/>
    </i>
    <i r="1">
      <x v="20"/>
    </i>
    <i r="2">
      <x v="8"/>
    </i>
    <i r="3">
      <x v="3"/>
    </i>
    <i r="3">
      <x v="20"/>
    </i>
    <i r="3">
      <x v="21"/>
    </i>
    <i r="3">
      <x v="22"/>
    </i>
    <i r="3">
      <x v="23"/>
    </i>
    <i r="3">
      <x v="24"/>
    </i>
    <i r="3">
      <x v="25"/>
    </i>
    <i r="3">
      <x v="26"/>
    </i>
    <i>
      <x v="7"/>
    </i>
    <i r="1">
      <x v="4"/>
    </i>
    <i r="2">
      <x/>
    </i>
    <i r="3">
      <x/>
    </i>
    <i r="3">
      <x v="11"/>
    </i>
    <i r="3">
      <x v="13"/>
    </i>
    <i r="3">
      <x v="14"/>
    </i>
    <i r="3">
      <x v="15"/>
    </i>
    <i r="3">
      <x v="17"/>
    </i>
    <i r="3">
      <x v="18"/>
    </i>
    <i r="3">
      <x v="19"/>
    </i>
    <i r="3">
      <x v="20"/>
    </i>
    <i r="3">
      <x v="21"/>
    </i>
    <i r="3">
      <x v="22"/>
    </i>
    <i r="3">
      <x v="23"/>
    </i>
    <i r="3">
      <x v="24"/>
    </i>
    <i r="3">
      <x v="25"/>
    </i>
    <i r="3">
      <x v="26"/>
    </i>
    <i r="1">
      <x v="22"/>
    </i>
    <i r="2">
      <x/>
    </i>
    <i r="3">
      <x v="1"/>
    </i>
    <i r="3">
      <x v="4"/>
    </i>
    <i r="3">
      <x v="5"/>
    </i>
    <i r="3">
      <x v="20"/>
    </i>
    <i r="3">
      <x v="21"/>
    </i>
    <i r="3">
      <x v="22"/>
    </i>
    <i r="3">
      <x v="23"/>
    </i>
    <i r="3">
      <x v="24"/>
    </i>
    <i r="3">
      <x v="25"/>
    </i>
    <i r="3">
      <x v="26"/>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pageFields count="1">
    <pageField fld="74" hier="-1"/>
  </pageFields>
  <dataFields count="16">
    <dataField name="Sum of Y1 Q1 _x000a_cost" fld="22" baseField="0" baseItem="0" numFmtId="4"/>
    <dataField name="Sum of Y1 Q2 _x000a_cost" fld="24" baseField="0" baseItem="0" numFmtId="4"/>
    <dataField name="Sum of Y1 Q3 _x000a_cost" fld="26" baseField="0" baseItem="0" numFmtId="4"/>
    <dataField name="Sum of Y1 Q4 _x000a_cost" fld="28" baseField="0" baseItem="0" numFmtId="4"/>
    <dataField name="Sum of Y1 Total Cash Outflow" fld="30" baseField="0" baseItem="0" numFmtId="4"/>
    <dataField name="Sum of Y2 Q1 _x000a_cost" fld="35" baseField="0" baseItem="0" numFmtId="4"/>
    <dataField name="Sum of Y2 Q2 _x000a_cost" fld="37" baseField="0" baseItem="0" numFmtId="4"/>
    <dataField name="Sum of Y2 Q3 _x000a_cost" fld="39" baseField="0" baseItem="0" numFmtId="4"/>
    <dataField name="Sum of Y2 Q4 _x000a_cost" fld="41" baseField="0" baseItem="0" numFmtId="4"/>
    <dataField name="Sum of Y2 Total Cash Outflow" fld="43" baseField="0" baseItem="0" numFmtId="4"/>
    <dataField name="Sum of Y3 Q1 _x000a_cost" fld="48" baseField="0" baseItem="0" numFmtId="4"/>
    <dataField name="Sum of Y3 Q2 _x000a_cost" fld="50" baseField="0" baseItem="0" numFmtId="4"/>
    <dataField name="Sum of Y3 Q3 _x000a_cost" fld="52" baseField="0" baseItem="0" numFmtId="4"/>
    <dataField name="Sum of Y3 Q4 _x000a_cost" fld="54" baseField="0" baseItem="0" numFmtId="4"/>
    <dataField name="Sum of Y3 Total Cash Outflow" fld="56" baseField="0" baseItem="0" numFmtId="4"/>
    <dataField name="Sum of Y1-4 Total Cash Outflow" fld="70" baseField="0" baseItem="0" numFmtId="4"/>
  </dataFields>
  <formats count="1">
    <format dxfId="6">
      <pivotArea outline="0" collapsedLevelsAreSubtotals="1" fieldPosition="0">
        <references count="1">
          <reference field="4294967294" count="15" selected="0">
            <x v="1"/>
            <x v="2"/>
            <x v="3"/>
            <x v="4"/>
            <x v="5"/>
            <x v="6"/>
            <x v="7"/>
            <x v="8"/>
            <x v="9"/>
            <x v="10"/>
            <x v="11"/>
            <x v="12"/>
            <x v="13"/>
            <x v="14"/>
            <x v="15"/>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D10EC9A-4CA5-495F-98BE-8ED80BBA4AD9}" name="PivotTable2" cacheId="3"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3:Q75" firstHeaderRow="0" firstDataRow="1" firstDataCol="4"/>
  <pivotFields count="71">
    <pivotField compact="0" outline="0" showAll="0" defaultSubtotal="0"/>
    <pivotField axis="axisRow" compact="0" outline="0" showAll="0" defaultSubtotal="0">
      <items count="9">
        <item h="1" x="1"/>
        <item x="7"/>
        <item h="1" x="4"/>
        <item x="6"/>
        <item x="5"/>
        <item h="1" x="2"/>
        <item h="1" x="3"/>
        <item h="1" x="8"/>
        <item h="1" x="0"/>
      </items>
    </pivotField>
    <pivotField axis="axisRow" compact="0" outline="0" showAll="0" defaultSubtotal="0">
      <items count="30">
        <item x="14"/>
        <item x="17"/>
        <item x="26"/>
        <item x="19"/>
        <item x="28"/>
        <item x="25"/>
        <item x="7"/>
        <item x="6"/>
        <item x="8"/>
        <item x="11"/>
        <item x="10"/>
        <item x="2"/>
        <item x="4"/>
        <item x="3"/>
        <item x="5"/>
        <item x="1"/>
        <item x="0"/>
        <item x="13"/>
        <item x="22"/>
        <item x="20"/>
        <item x="21"/>
        <item x="16"/>
        <item x="29"/>
        <item x="9"/>
        <item x="23"/>
        <item x="24"/>
        <item x="12"/>
        <item x="27"/>
        <item x="15"/>
        <item x="18"/>
      </items>
    </pivotField>
    <pivotField compact="0" outline="0" showAll="0" defaultSubtotal="0"/>
    <pivotField axis="axisRow" compact="0" outline="0" showAll="0" defaultSubtotal="0">
      <items count="27">
        <item x="23"/>
        <item x="17"/>
        <item x="10"/>
        <item x="22"/>
        <item x="26"/>
        <item x="18"/>
        <item x="0"/>
        <item x="20"/>
        <item x="21"/>
        <item x="11"/>
        <item x="8"/>
        <item x="14"/>
        <item x="19"/>
        <item x="13"/>
        <item x="24"/>
        <item x="25"/>
        <item x="12"/>
        <item x="15"/>
        <item x="16"/>
        <item x="9"/>
        <item x="1"/>
        <item x="2"/>
        <item x="3"/>
        <item x="4"/>
        <item x="5"/>
        <item x="6"/>
        <item x="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43" outline="0" showAll="0" defaultSubtotal="0"/>
    <pivotField compact="0" outline="0" showAll="0" defaultSubtotal="0"/>
    <pivotField dataField="1" compact="0" numFmtId="43" outline="0" showAll="0" defaultSubtotal="0"/>
    <pivotField compact="0" outline="0" showAll="0" defaultSubtotal="0"/>
    <pivotField dataField="1" compact="0" numFmtId="43" outline="0" showAll="0" defaultSubtotal="0"/>
    <pivotField compact="0" outline="0" showAll="0" defaultSubtotal="0"/>
    <pivotField dataField="1" compact="0" numFmtId="43" outline="0" showAll="0" defaultSubtotal="0"/>
    <pivotField compact="0" outline="0" showAll="0" defaultSubtotal="0"/>
    <pivotField compact="0" numFmtId="43"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43" outline="0" showAll="0" defaultSubtotal="0"/>
    <pivotField compact="0" outline="0" showAll="0" defaultSubtotal="0"/>
    <pivotField dataField="1" compact="0" numFmtId="43" outline="0" showAll="0" defaultSubtotal="0"/>
    <pivotField compact="0" outline="0" showAll="0" defaultSubtotal="0"/>
    <pivotField dataField="1" compact="0" numFmtId="43" outline="0" showAll="0" defaultSubtotal="0"/>
    <pivotField compact="0" outline="0" showAll="0" defaultSubtotal="0"/>
    <pivotField dataField="1" compact="0" numFmtId="43" outline="0" showAll="0" defaultSubtotal="0"/>
    <pivotField compact="0" outline="0" showAll="0" defaultSubtotal="0"/>
    <pivotField compact="0" numFmtId="43"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43" outline="0" showAll="0" defaultSubtotal="0"/>
    <pivotField compact="0" outline="0" showAll="0" defaultSubtotal="0"/>
    <pivotField dataField="1" compact="0" numFmtId="43" outline="0" showAll="0" defaultSubtotal="0"/>
    <pivotField compact="0" outline="0" showAll="0" defaultSubtotal="0"/>
    <pivotField dataField="1" compact="0" numFmtId="43" outline="0" showAll="0" defaultSubtotal="0"/>
    <pivotField compact="0" outline="0" showAll="0" defaultSubtotal="0"/>
    <pivotField dataField="1" compact="0" numFmtId="43" outline="0" showAll="0" defaultSubtotal="0"/>
    <pivotField compact="0" outline="0" showAll="0" defaultSubtotal="0"/>
    <pivotField compact="0" numFmtId="43"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outline="0" showAll="0" defaultSubtotal="0"/>
    <pivotField compact="0" numFmtId="43" outline="0" showAll="0" defaultSubtotal="0"/>
    <pivotField dataField="1" compact="0" numFmtId="43"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0">
        <item x="14"/>
        <item x="18"/>
        <item x="20"/>
        <item x="21"/>
        <item x="11"/>
        <item x="5"/>
        <item x="23"/>
        <item x="16"/>
        <item x="24"/>
        <item x="19"/>
        <item x="9"/>
        <item x="4"/>
        <item x="3"/>
        <item x="10"/>
        <item x="2"/>
        <item x="0"/>
        <item x="7"/>
        <item x="26"/>
        <item x="8"/>
        <item x="27"/>
        <item x="22"/>
        <item m="1" x="28"/>
        <item x="6"/>
        <item x="12"/>
        <item x="13"/>
        <item x="25"/>
        <item x="1"/>
        <item m="1" x="29"/>
        <item x="17"/>
        <item x="15"/>
      </items>
    </pivotField>
  </pivotFields>
  <rowFields count="4">
    <field x="1"/>
    <field x="2"/>
    <field x="70"/>
    <field x="4"/>
  </rowFields>
  <rowItems count="72">
    <i>
      <x v="1"/>
      <x v="2"/>
      <x v="20"/>
      <x v="9"/>
    </i>
    <i r="2">
      <x v="26"/>
      <x v="20"/>
    </i>
    <i r="3">
      <x v="21"/>
    </i>
    <i r="3">
      <x v="22"/>
    </i>
    <i r="3">
      <x v="23"/>
    </i>
    <i r="3">
      <x v="24"/>
    </i>
    <i r="3">
      <x v="25"/>
    </i>
    <i r="3">
      <x v="26"/>
    </i>
    <i r="1">
      <x v="5"/>
      <x v="20"/>
      <x v="9"/>
    </i>
    <i r="2">
      <x v="26"/>
      <x v="20"/>
    </i>
    <i r="3">
      <x v="21"/>
    </i>
    <i r="3">
      <x v="22"/>
    </i>
    <i r="3">
      <x v="23"/>
    </i>
    <i r="3">
      <x v="24"/>
    </i>
    <i r="3">
      <x v="25"/>
    </i>
    <i r="3">
      <x v="26"/>
    </i>
    <i r="1">
      <x v="27"/>
      <x v="20"/>
      <x v="9"/>
    </i>
    <i r="2">
      <x v="26"/>
      <x v="20"/>
    </i>
    <i r="3">
      <x v="21"/>
    </i>
    <i r="3">
      <x v="22"/>
    </i>
    <i r="3">
      <x v="23"/>
    </i>
    <i r="3">
      <x v="24"/>
    </i>
    <i r="3">
      <x v="25"/>
    </i>
    <i r="3">
      <x v="26"/>
    </i>
    <i>
      <x v="3"/>
      <x v="24"/>
      <x v="9"/>
      <x v="7"/>
    </i>
    <i r="3">
      <x v="8"/>
    </i>
    <i r="3">
      <x v="13"/>
    </i>
    <i r="2">
      <x v="26"/>
      <x v="20"/>
    </i>
    <i r="3">
      <x v="21"/>
    </i>
    <i r="3">
      <x v="22"/>
    </i>
    <i r="3">
      <x v="23"/>
    </i>
    <i r="3">
      <x v="24"/>
    </i>
    <i r="3">
      <x v="25"/>
    </i>
    <i r="3">
      <x v="26"/>
    </i>
    <i r="1">
      <x v="25"/>
      <x v="20"/>
      <x v="9"/>
    </i>
    <i r="2">
      <x v="26"/>
      <x v="20"/>
    </i>
    <i r="3">
      <x v="21"/>
    </i>
    <i r="3">
      <x v="22"/>
    </i>
    <i r="3">
      <x v="23"/>
    </i>
    <i r="3">
      <x v="24"/>
    </i>
    <i r="3">
      <x v="25"/>
    </i>
    <i r="3">
      <x v="26"/>
    </i>
    <i>
      <x v="4"/>
      <x v="3"/>
      <x v="9"/>
      <x v="7"/>
    </i>
    <i r="3">
      <x v="8"/>
    </i>
    <i r="3">
      <x v="13"/>
    </i>
    <i r="2">
      <x v="26"/>
      <x v="20"/>
    </i>
    <i r="3">
      <x v="21"/>
    </i>
    <i r="3">
      <x v="22"/>
    </i>
    <i r="3">
      <x v="23"/>
    </i>
    <i r="3">
      <x v="24"/>
    </i>
    <i r="3">
      <x v="25"/>
    </i>
    <i r="3">
      <x v="26"/>
    </i>
    <i r="1">
      <x v="18"/>
      <x v="9"/>
      <x v="7"/>
    </i>
    <i r="3">
      <x v="8"/>
    </i>
    <i r="3">
      <x v="13"/>
    </i>
    <i r="2">
      <x v="26"/>
      <x v="20"/>
    </i>
    <i r="3">
      <x v="21"/>
    </i>
    <i r="3">
      <x v="22"/>
    </i>
    <i r="3">
      <x v="23"/>
    </i>
    <i r="3">
      <x v="24"/>
    </i>
    <i r="3">
      <x v="25"/>
    </i>
    <i r="3">
      <x v="26"/>
    </i>
    <i r="1">
      <x v="19"/>
      <x v="2"/>
      <x v="12"/>
    </i>
    <i r="1">
      <x v="20"/>
      <x v="3"/>
      <x v="3"/>
    </i>
    <i r="2">
      <x v="26"/>
      <x v="20"/>
    </i>
    <i r="3">
      <x v="21"/>
    </i>
    <i r="3">
      <x v="22"/>
    </i>
    <i r="3">
      <x v="23"/>
    </i>
    <i r="3">
      <x v="24"/>
    </i>
    <i r="3">
      <x v="25"/>
    </i>
    <i r="3">
      <x v="26"/>
    </i>
    <i t="grand">
      <x/>
    </i>
  </rowItems>
  <colFields count="1">
    <field x="-2"/>
  </colFields>
  <colItems count="13">
    <i>
      <x/>
    </i>
    <i i="1">
      <x v="1"/>
    </i>
    <i i="2">
      <x v="2"/>
    </i>
    <i i="3">
      <x v="3"/>
    </i>
    <i i="4">
      <x v="4"/>
    </i>
    <i i="5">
      <x v="5"/>
    </i>
    <i i="6">
      <x v="6"/>
    </i>
    <i i="7">
      <x v="7"/>
    </i>
    <i i="8">
      <x v="8"/>
    </i>
    <i i="9">
      <x v="9"/>
    </i>
    <i i="10">
      <x v="10"/>
    </i>
    <i i="11">
      <x v="11"/>
    </i>
    <i i="12">
      <x v="12"/>
    </i>
  </colItems>
  <dataFields count="13">
    <dataField name="Sum of Q1 Cash Flows" fld="15" baseField="0" baseItem="0"/>
    <dataField name="Sum of Q2 Cash Flows" fld="17" baseField="0" baseItem="0"/>
    <dataField name="Sum of Q3 Cash Flow" fld="19" baseField="0" baseItem="0"/>
    <dataField name="Sum of Q4 Cash Flow" fld="21" baseField="0" baseItem="0"/>
    <dataField name="Sum of Q5 Cash Flow" fld="28" baseField="0" baseItem="0"/>
    <dataField name="Sum of Q6 Cash Flow" fld="30" baseField="0" baseItem="0"/>
    <dataField name="Sum of Q7 Cash Flow" fld="32" baseField="0" baseItem="0"/>
    <dataField name="Sum of Q8 Cash Flow" fld="34" baseField="0" baseItem="0"/>
    <dataField name="Sum of Q9 Cash Flow" fld="41" baseField="0" baseItem="0"/>
    <dataField name="Sum of Q10 Cash Flow" fld="43" baseField="0" baseItem="0"/>
    <dataField name="Sum of Q11 Cash Flow" fld="45" baseField="0" baseItem="0"/>
    <dataField name="Sum of Q12 Cash Flow" fld="47" baseField="0" baseItem="0"/>
    <dataField name="Sum of Y1-4 Total Cash Outflow" fld="65" baseField="0" baseItem="0"/>
  </dataField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E66E157-1383-488E-A738-DBF574E2D955}" name="PivotTable2" cacheId="2"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3:O16" firstHeaderRow="1" firstDataRow="2" firstDataCol="2" rowPageCount="1" colPageCount="1"/>
  <pivotFields count="75">
    <pivotField compact="0" outline="0" showAll="0" defaultSubtotal="0"/>
    <pivotField axis="axisRow" compact="0" outline="0" showAll="0" defaultSubtotal="0">
      <items count="9">
        <item x="1"/>
        <item x="7"/>
        <item x="4"/>
        <item x="6"/>
        <item x="5"/>
        <item x="2"/>
        <item x="3"/>
        <item x="8"/>
        <item x="0"/>
      </items>
    </pivotField>
    <pivotField axis="axisRow" compact="0" outline="0" showAll="0" defaultSubtotal="0">
      <items count="30">
        <item x="14"/>
        <item x="17"/>
        <item x="26"/>
        <item x="19"/>
        <item x="28"/>
        <item x="25"/>
        <item x="7"/>
        <item x="6"/>
        <item x="8"/>
        <item x="11"/>
        <item x="10"/>
        <item x="2"/>
        <item x="4"/>
        <item x="3"/>
        <item x="5"/>
        <item x="1"/>
        <item x="0"/>
        <item x="13"/>
        <item x="22"/>
        <item x="20"/>
        <item x="21"/>
        <item x="16"/>
        <item x="29"/>
        <item x="9"/>
        <item x="23"/>
        <item x="24"/>
        <item x="12"/>
        <item x="27"/>
        <item x="15"/>
        <item x="18"/>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43" outline="0" showAll="0" defaultSubtotal="0"/>
    <pivotField compact="0" outline="0" showAll="0" defaultSubtotal="0"/>
    <pivotField compact="0" numFmtId="43" outline="0" showAll="0" defaultSubtotal="0"/>
    <pivotField compact="0" outline="0" showAll="0" defaultSubtotal="0"/>
    <pivotField compact="0" numFmtId="43" outline="0" showAll="0" defaultSubtotal="0"/>
    <pivotField compact="0" outline="0" showAll="0" defaultSubtotal="0"/>
    <pivotField compact="0" numFmtId="43" outline="0" showAll="0" defaultSubtotal="0"/>
    <pivotField compact="0" outline="0" showAll="0" defaultSubtotal="0"/>
    <pivotField compact="0" numFmtId="43"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43" outline="0" showAll="0" defaultSubtotal="0"/>
    <pivotField compact="0" outline="0" showAll="0" defaultSubtotal="0"/>
    <pivotField compact="0" numFmtId="43" outline="0" showAll="0" defaultSubtotal="0"/>
    <pivotField compact="0" outline="0" showAll="0" defaultSubtotal="0"/>
    <pivotField compact="0" numFmtId="43" outline="0" showAll="0" defaultSubtotal="0"/>
    <pivotField compact="0" outline="0" showAll="0" defaultSubtotal="0"/>
    <pivotField compact="0" numFmtId="43" outline="0" showAll="0" defaultSubtotal="0"/>
    <pivotField compact="0" outline="0" showAll="0" defaultSubtotal="0"/>
    <pivotField compact="0" numFmtId="43"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43" outline="0" showAll="0" defaultSubtotal="0"/>
    <pivotField compact="0" outline="0" showAll="0" defaultSubtotal="0"/>
    <pivotField compact="0" numFmtId="43" outline="0" showAll="0" defaultSubtotal="0"/>
    <pivotField compact="0" outline="0" showAll="0" defaultSubtotal="0"/>
    <pivotField compact="0" numFmtId="43" outline="0" showAll="0" defaultSubtotal="0"/>
    <pivotField compact="0" outline="0" showAll="0" defaultSubtotal="0"/>
    <pivotField compact="0" numFmtId="43" outline="0" showAll="0" defaultSubtotal="0"/>
    <pivotField compact="0" outline="0" showAll="0" defaultSubtotal="0"/>
    <pivotField compact="0" numFmtId="43" outline="0" showAll="0" defaultSubtotal="0"/>
    <pivotField compact="0" outline="0" showAll="0" defaultSubtotal="0"/>
    <pivotField compact="0" outline="0" showAll="0" defaultSubtotal="0"/>
    <pivotField compact="0"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dataField="1" compact="0" numFmtId="43" outline="0" showAll="0" defaultSubtotal="0"/>
    <pivotField compact="0" outline="0" showAll="0" defaultSubtotal="0"/>
    <pivotField compact="0" outline="0" showAll="0" defaultSubtotal="0"/>
    <pivotField axis="axisCol" compact="0" outline="0" showAll="0" defaultSubtotal="0">
      <items count="12">
        <item x="0"/>
        <item x="7"/>
        <item x="8"/>
        <item x="1"/>
        <item x="9"/>
        <item x="6"/>
        <item x="11"/>
        <item x="5"/>
        <item x="4"/>
        <item x="10"/>
        <item x="2"/>
        <item x="3"/>
      </items>
    </pivotField>
    <pivotField axis="axisPage" compact="0" outline="0" showAll="0" defaultSubtotal="0">
      <items count="3">
        <item x="2"/>
        <item x="0"/>
        <item x="1"/>
      </items>
    </pivotField>
  </pivotFields>
  <rowFields count="2">
    <field x="1"/>
    <field x="2"/>
  </rowFields>
  <rowItems count="12">
    <i>
      <x v="1"/>
      <x v="2"/>
    </i>
    <i r="1">
      <x v="5"/>
    </i>
    <i r="1">
      <x v="27"/>
    </i>
    <i>
      <x v="3"/>
      <x v="24"/>
    </i>
    <i r="1">
      <x v="25"/>
    </i>
    <i>
      <x v="4"/>
      <x v="3"/>
    </i>
    <i r="1">
      <x v="18"/>
    </i>
    <i r="1">
      <x v="19"/>
    </i>
    <i r="1">
      <x v="20"/>
    </i>
    <i>
      <x v="7"/>
      <x v="4"/>
    </i>
    <i r="1">
      <x v="22"/>
    </i>
    <i t="grand">
      <x/>
    </i>
  </rowItems>
  <colFields count="1">
    <field x="73"/>
  </colFields>
  <colItems count="13">
    <i>
      <x/>
    </i>
    <i>
      <x v="1"/>
    </i>
    <i>
      <x v="2"/>
    </i>
    <i>
      <x v="3"/>
    </i>
    <i>
      <x v="4"/>
    </i>
    <i>
      <x v="5"/>
    </i>
    <i>
      <x v="6"/>
    </i>
    <i>
      <x v="7"/>
    </i>
    <i>
      <x v="8"/>
    </i>
    <i>
      <x v="9"/>
    </i>
    <i>
      <x v="10"/>
    </i>
    <i>
      <x v="11"/>
    </i>
    <i t="grand">
      <x/>
    </i>
  </colItems>
  <pageFields count="1">
    <pageField fld="74" item="0" hier="-1"/>
  </pageFields>
  <dataFields count="1">
    <dataField name="Sum of Y1-4 Total Cash Outflow" fld="70" baseField="0" baseItem="0"/>
  </dataFields>
  <formats count="6">
    <format dxfId="5">
      <pivotArea field="1" type="button" dataOnly="0" labelOnly="1" outline="0" axis="axisRow" fieldPosition="0"/>
    </format>
    <format dxfId="4">
      <pivotArea field="2" type="button" dataOnly="0" labelOnly="1" outline="0" axis="axisRow" fieldPosition="1"/>
    </format>
    <format dxfId="3">
      <pivotArea dataOnly="0" labelOnly="1" outline="0" fieldPosition="0">
        <references count="1">
          <reference field="73" count="0"/>
        </references>
      </pivotArea>
    </format>
    <format dxfId="2">
      <pivotArea dataOnly="0" labelOnly="1" grandCol="1" outline="0" fieldPosition="0"/>
    </format>
    <format dxfId="1">
      <pivotArea dataOnly="0" labelOnly="1" outline="0" fieldPosition="0">
        <references count="1">
          <reference field="73" count="11">
            <x v="1"/>
            <x v="2"/>
            <x v="3"/>
            <x v="4"/>
            <x v="5"/>
            <x v="6"/>
            <x v="7"/>
            <x v="8"/>
            <x v="9"/>
            <x v="10"/>
            <x v="11"/>
          </reference>
        </references>
      </pivotArea>
    </format>
    <format dxfId="0">
      <pivotArea dataOnly="0" labelOnly="1" outline="0" fieldPosition="0">
        <references count="1">
          <reference field="73" count="11">
            <x v="1"/>
            <x v="2"/>
            <x v="3"/>
            <x v="4"/>
            <x v="5"/>
            <x v="6"/>
            <x v="7"/>
            <x v="8"/>
            <x v="9"/>
            <x v="10"/>
            <x v="11"/>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9606671-48B9-4C33-85D8-703EEE339E29}" name="PivotTable3"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43" firstHeaderRow="0" firstDataRow="1" firstDataCol="1" rowPageCount="1" colPageCount="1"/>
  <pivotFields count="71">
    <pivotField showAll="0"/>
    <pivotField axis="axisRow" showAll="0">
      <items count="10">
        <item x="1"/>
        <item x="7"/>
        <item x="4"/>
        <item x="6"/>
        <item x="5"/>
        <item x="2"/>
        <item x="3"/>
        <item x="8"/>
        <item x="0"/>
        <item t="default"/>
      </items>
    </pivotField>
    <pivotField axis="axisRow" showAll="0">
      <items count="31">
        <item x="14"/>
        <item x="17"/>
        <item x="26"/>
        <item x="19"/>
        <item x="28"/>
        <item x="25"/>
        <item x="7"/>
        <item x="6"/>
        <item x="8"/>
        <item x="11"/>
        <item x="10"/>
        <item x="2"/>
        <item x="4"/>
        <item x="3"/>
        <item x="5"/>
        <item x="1"/>
        <item x="0"/>
        <item x="13"/>
        <item x="22"/>
        <item x="20"/>
        <item x="21"/>
        <item x="16"/>
        <item x="29"/>
        <item x="9"/>
        <item x="23"/>
        <item x="24"/>
        <item x="12"/>
        <item x="27"/>
        <item x="15"/>
        <item x="18"/>
        <item t="default"/>
      </items>
    </pivotField>
    <pivotField showAll="0">
      <items count="59">
        <item x="14"/>
        <item x="18"/>
        <item x="25"/>
        <item x="26"/>
        <item x="11"/>
        <item x="5"/>
        <item x="53"/>
        <item x="16"/>
        <item x="54"/>
        <item x="39"/>
        <item x="33"/>
        <item x="35"/>
        <item x="19"/>
        <item x="37"/>
        <item x="31"/>
        <item x="29"/>
        <item x="28"/>
        <item x="21"/>
        <item x="23"/>
        <item x="9"/>
        <item x="4"/>
        <item x="3"/>
        <item x="10"/>
        <item x="2"/>
        <item x="0"/>
        <item x="7"/>
        <item x="56"/>
        <item x="8"/>
        <item x="57"/>
        <item x="40"/>
        <item x="48"/>
        <item x="49"/>
        <item x="41"/>
        <item x="52"/>
        <item x="47"/>
        <item x="50"/>
        <item x="46"/>
        <item x="44"/>
        <item x="42"/>
        <item x="43"/>
        <item x="6"/>
        <item x="12"/>
        <item x="13"/>
        <item x="55"/>
        <item x="1"/>
        <item x="34"/>
        <item x="36"/>
        <item x="20"/>
        <item x="38"/>
        <item x="32"/>
        <item x="51"/>
        <item x="30"/>
        <item x="27"/>
        <item x="45"/>
        <item x="22"/>
        <item x="24"/>
        <item x="17"/>
        <item x="15"/>
        <item t="default"/>
      </items>
    </pivotField>
    <pivotField axis="axisPage" showAll="0">
      <items count="28">
        <item x="23"/>
        <item x="17"/>
        <item x="10"/>
        <item x="22"/>
        <item x="26"/>
        <item x="18"/>
        <item x="0"/>
        <item x="20"/>
        <item x="21"/>
        <item x="11"/>
        <item x="8"/>
        <item x="14"/>
        <item x="19"/>
        <item x="13"/>
        <item x="24"/>
        <item x="25"/>
        <item x="12"/>
        <item x="15"/>
        <item x="16"/>
        <item x="9"/>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dataField="1" numFmtId="43" showAll="0"/>
    <pivotField showAll="0"/>
    <pivotField dataField="1" numFmtId="43" showAll="0"/>
    <pivotField showAll="0"/>
    <pivotField numFmtId="43" showAll="0"/>
    <pivotField showAll="0"/>
    <pivotField numFmtId="43" showAll="0"/>
    <pivotField showAll="0"/>
    <pivotField numFmtId="43" showAll="0"/>
    <pivotField showAll="0"/>
    <pivotField showAll="0"/>
    <pivotField showAll="0"/>
    <pivotField showAll="0"/>
    <pivotField numFmtId="43" showAll="0"/>
    <pivotField showAll="0"/>
    <pivotField numFmtId="43" showAll="0"/>
    <pivotField showAll="0"/>
    <pivotField numFmtId="43" showAll="0"/>
    <pivotField showAll="0"/>
    <pivotField numFmtId="43" showAll="0"/>
    <pivotField showAll="0"/>
    <pivotField numFmtId="43" showAll="0"/>
    <pivotField showAll="0"/>
    <pivotField showAll="0"/>
    <pivotField showAll="0"/>
    <pivotField showAll="0"/>
    <pivotField numFmtId="43" showAll="0"/>
    <pivotField showAll="0"/>
    <pivotField numFmtId="43" showAll="0"/>
    <pivotField showAll="0"/>
    <pivotField numFmtId="43" showAll="0"/>
    <pivotField showAll="0"/>
    <pivotField numFmtId="43" showAll="0"/>
    <pivotField showAll="0"/>
    <pivotField numFmtId="43" showAll="0"/>
    <pivotField showAll="0"/>
    <pivotField showAll="0"/>
    <pivotField showAll="0"/>
    <pivotField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showAll="0"/>
    <pivotField numFmtId="43" showAll="0"/>
    <pivotField numFmtId="43" showAll="0"/>
    <pivotField showAll="0"/>
    <pivotField showAll="0"/>
    <pivotField showAll="0"/>
    <pivotField showAll="0"/>
    <pivotField showAll="0"/>
  </pivotFields>
  <rowFields count="2">
    <field x="1"/>
    <field x="2"/>
  </rowFields>
  <rowItems count="40">
    <i>
      <x/>
    </i>
    <i r="1">
      <x v="6"/>
    </i>
    <i r="1">
      <x v="8"/>
    </i>
    <i r="1">
      <x v="23"/>
    </i>
    <i>
      <x v="1"/>
    </i>
    <i r="1">
      <x v="2"/>
    </i>
    <i r="1">
      <x v="5"/>
    </i>
    <i r="1">
      <x v="27"/>
    </i>
    <i>
      <x v="2"/>
    </i>
    <i r="1">
      <x v="1"/>
    </i>
    <i r="1">
      <x v="29"/>
    </i>
    <i>
      <x v="3"/>
    </i>
    <i r="1">
      <x v="24"/>
    </i>
    <i r="1">
      <x v="25"/>
    </i>
    <i>
      <x v="4"/>
    </i>
    <i r="1">
      <x v="3"/>
    </i>
    <i r="1">
      <x v="18"/>
    </i>
    <i r="1">
      <x v="19"/>
    </i>
    <i r="1">
      <x v="20"/>
    </i>
    <i>
      <x v="5"/>
    </i>
    <i r="1">
      <x v="9"/>
    </i>
    <i r="1">
      <x v="10"/>
    </i>
    <i r="1">
      <x v="17"/>
    </i>
    <i r="1">
      <x v="26"/>
    </i>
    <i>
      <x v="6"/>
    </i>
    <i r="1">
      <x/>
    </i>
    <i r="1">
      <x v="21"/>
    </i>
    <i r="1">
      <x v="28"/>
    </i>
    <i>
      <x v="7"/>
    </i>
    <i r="1">
      <x v="4"/>
    </i>
    <i r="1">
      <x v="22"/>
    </i>
    <i>
      <x v="8"/>
    </i>
    <i r="1">
      <x v="7"/>
    </i>
    <i r="1">
      <x v="11"/>
    </i>
    <i r="1">
      <x v="12"/>
    </i>
    <i r="1">
      <x v="13"/>
    </i>
    <i r="1">
      <x v="14"/>
    </i>
    <i r="1">
      <x v="15"/>
    </i>
    <i r="1">
      <x v="16"/>
    </i>
    <i t="grand">
      <x/>
    </i>
  </rowItems>
  <colFields count="1">
    <field x="-2"/>
  </colFields>
  <colItems count="2">
    <i>
      <x/>
    </i>
    <i i="1">
      <x v="1"/>
    </i>
  </colItems>
  <pageFields count="1">
    <pageField fld="4" hier="-1"/>
  </pageFields>
  <dataFields count="2">
    <dataField name="Sum of Q1 Cash Flows" fld="15" baseField="0" baseItem="0"/>
    <dataField name="Sum of Q2 Cash Flows" fld="1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595651D-D0F3-4149-870B-064648E86069}" name="Table5" displayName="Table5" ref="K6:M12" totalsRowShown="0" headerRowBorderDxfId="528" tableBorderDxfId="527" totalsRowBorderDxfId="526">
  <tableColumns count="3">
    <tableColumn id="1" xr3:uid="{F4A3947D-702E-43F7-A780-02BB5B682F59}" name="Version" dataDxfId="525"/>
    <tableColumn id="2" xr3:uid="{C8CBA70C-72E1-4F7D-A33F-4C89E85424CF}" name="PR Submission Date- Filled By PR" dataDxfId="524"/>
    <tableColumn id="3" xr3:uid="{D4733F5D-931F-43D5-A45D-00C9B19DF372}" name="HPM Approval Date- Filled by HPM" dataDxfId="523"/>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7000000}" name="Table6422" displayName="Table6422" ref="N13:AK60" totalsRowShown="0" headerRowDxfId="216" dataDxfId="214" headerRowBorderDxfId="215" tableBorderDxfId="213">
  <tableColumns count="24">
    <tableColumn id="1" xr3:uid="{00000000-0010-0000-0700-000001000000}" name="Y1 Unit cost" dataDxfId="212" dataCellStyle="Comma"/>
    <tableColumn id="2" xr3:uid="{00000000-0010-0000-0700-000002000000}" name="Y1 Q1 quantity" dataDxfId="211" dataCellStyle="Comma"/>
    <tableColumn id="3" xr3:uid="{00000000-0010-0000-0700-000003000000}" name="Y1 Q2 quantity" dataDxfId="210" dataCellStyle="Comma"/>
    <tableColumn id="4" xr3:uid="{00000000-0010-0000-0700-000004000000}" name="Y1 Q3 quantity" dataDxfId="209" dataCellStyle="Comma"/>
    <tableColumn id="5" xr3:uid="{00000000-0010-0000-0700-000005000000}" name="Y1 Q4 quantity" dataDxfId="208" dataCellStyle="Comma"/>
    <tableColumn id="6" xr3:uid="{00000000-0010-0000-0700-000006000000}" name="Y1 Total quantity" dataDxfId="207" dataCellStyle="Comma">
      <calculatedColumnFormula>SUM(Table6422[[#This Row],[Y1 Q1 quantity]:[Y1 Q4 quantity]])</calculatedColumnFormula>
    </tableColumn>
    <tableColumn id="7" xr3:uid="{00000000-0010-0000-0700-000007000000}" name="Y1 Total cost" dataDxfId="206" dataCellStyle="Comma">
      <calculatedColumnFormula>Table6422[[#This Row],[Y1 Unit cost]]*Table6422[[#This Row],[Y1 Total quantity]]</calculatedColumnFormula>
    </tableColumn>
    <tableColumn id="8" xr3:uid="{00000000-0010-0000-0700-000008000000}" name="Y2 Unit cost" dataDxfId="205" dataCellStyle="Comma"/>
    <tableColumn id="9" xr3:uid="{00000000-0010-0000-0700-000009000000}" name="Y2 Q1 quantity" dataDxfId="204" dataCellStyle="Comma"/>
    <tableColumn id="10" xr3:uid="{00000000-0010-0000-0700-00000A000000}" name="Y2 Q2 quantity" dataDxfId="203" dataCellStyle="Comma"/>
    <tableColumn id="11" xr3:uid="{00000000-0010-0000-0700-00000B000000}" name="Y2 Q3 quantity" dataDxfId="202" dataCellStyle="Comma"/>
    <tableColumn id="12" xr3:uid="{00000000-0010-0000-0700-00000C000000}" name="Y2 Q4 quantity" dataDxfId="201" dataCellStyle="Comma"/>
    <tableColumn id="13" xr3:uid="{00000000-0010-0000-0700-00000D000000}" name="Y2 Total quantity" dataDxfId="200" dataCellStyle="Comma">
      <calculatedColumnFormula>SUM(Table6422[[#This Row],[Y2 Q1 quantity]:[Y2 Q4 quantity]])</calculatedColumnFormula>
    </tableColumn>
    <tableColumn id="14" xr3:uid="{00000000-0010-0000-0700-00000E000000}" name="Y2 Total cost" dataDxfId="199" dataCellStyle="Comma">
      <calculatedColumnFormula>Table6422[[#This Row],[Y2 Unit cost]]*Table6422[[#This Row],[Y2 Total quantity]]</calculatedColumnFormula>
    </tableColumn>
    <tableColumn id="15" xr3:uid="{00000000-0010-0000-0700-00000F000000}" name="Y3 Unit cost" dataDxfId="198" dataCellStyle="Comma"/>
    <tableColumn id="16" xr3:uid="{00000000-0010-0000-0700-000010000000}" name="Y3 Q1 quantity" dataDxfId="197" dataCellStyle="Comma"/>
    <tableColumn id="17" xr3:uid="{00000000-0010-0000-0700-000011000000}" name="Y3 Q2 quantity" dataDxfId="196" dataCellStyle="Comma"/>
    <tableColumn id="18" xr3:uid="{00000000-0010-0000-0700-000012000000}" name="Y3 Q3 quantity" dataDxfId="195" dataCellStyle="Comma"/>
    <tableColumn id="19" xr3:uid="{00000000-0010-0000-0700-000013000000}" name="Y3 Q4 quantity" dataDxfId="194" dataCellStyle="Comma"/>
    <tableColumn id="20" xr3:uid="{00000000-0010-0000-0700-000014000000}" name="Y3 Total quantity" dataDxfId="193" dataCellStyle="Comma">
      <calculatedColumnFormula>SUM(Table6422[[#This Row],[Y3 Q1 quantity]:[Y3 Q4 quantity]])</calculatedColumnFormula>
    </tableColumn>
    <tableColumn id="21" xr3:uid="{00000000-0010-0000-0700-000015000000}" name="Y3 Total cost" dataDxfId="192" dataCellStyle="Comma">
      <calculatedColumnFormula>Table6422[[#This Row],[Y3 Unit cost]]*Table6422[[#This Row],[Y3 Total quantity]]</calculatedColumnFormula>
    </tableColumn>
    <tableColumn id="22" xr3:uid="{00000000-0010-0000-0700-000016000000}" name="Total quantity" dataDxfId="191" dataCellStyle="Comma">
      <calculatedColumnFormula>Table6422[[#This Row],[Y1 Total quantity]]+Table6422[[#This Row],[Y2 Total quantity]]+Table6422[[#This Row],[Y3 Total quantity]]</calculatedColumnFormula>
    </tableColumn>
    <tableColumn id="23" xr3:uid="{00000000-0010-0000-0700-000017000000}" name="Total cost " dataDxfId="190" dataCellStyle="Comma">
      <calculatedColumnFormula>Table6422[[#This Row],[Y1 Total cost]]+Table6422[[#This Row],[Y2 Total cost]]+Table6422[[#This Row],[Y3 Total cost]]</calculatedColumnFormula>
    </tableColumn>
    <tableColumn id="24" xr3:uid="{00000000-0010-0000-0700-000018000000}" name="Cost input" dataDxfId="189">
      <calculatedColumnFormula>IF(E14="","","4.3")</calculatedColumnFormula>
    </tableColumn>
  </tableColumns>
  <tableStyleInfo name="TableStyleLight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8000000}" name="Table69630" displayName="Table69630" ref="N13:AK33" totalsRowShown="0" headerRowDxfId="188" dataDxfId="186" headerRowBorderDxfId="187" tableBorderDxfId="185">
  <tableColumns count="24">
    <tableColumn id="1" xr3:uid="{00000000-0010-0000-0800-000001000000}" name="Y1 Unit cost" dataDxfId="184" dataCellStyle="Comma"/>
    <tableColumn id="2" xr3:uid="{00000000-0010-0000-0800-000002000000}" name="Y1 Q1 quantity" dataDxfId="183" dataCellStyle="Comma"/>
    <tableColumn id="3" xr3:uid="{00000000-0010-0000-0800-000003000000}" name="Y1 Q2 quantity" dataDxfId="182" dataCellStyle="Comma"/>
    <tableColumn id="4" xr3:uid="{00000000-0010-0000-0800-000004000000}" name="Y1 Q3 quantity" dataDxfId="181" dataCellStyle="Comma"/>
    <tableColumn id="5" xr3:uid="{00000000-0010-0000-0800-000005000000}" name="Y1 Q4 quantity" dataDxfId="180" dataCellStyle="Comma"/>
    <tableColumn id="6" xr3:uid="{00000000-0010-0000-0800-000006000000}" name="Y1 Total quantity" dataDxfId="179" dataCellStyle="Comma">
      <calculatedColumnFormula>SUM(Table69630[[#This Row],[Y1 Q1 quantity]:[Y1 Q4 quantity]])</calculatedColumnFormula>
    </tableColumn>
    <tableColumn id="7" xr3:uid="{00000000-0010-0000-0800-000007000000}" name="Y1 Total cost" dataDxfId="178" dataCellStyle="Comma">
      <calculatedColumnFormula>Table69630[[#This Row],[Y1 Unit cost]]*Table69630[[#This Row],[Y1 Total quantity]]</calculatedColumnFormula>
    </tableColumn>
    <tableColumn id="8" xr3:uid="{00000000-0010-0000-0800-000008000000}" name="Y2 Unit cost" dataDxfId="177" dataCellStyle="Comma"/>
    <tableColumn id="27" xr3:uid="{00000000-0010-0000-0800-00001B000000}" name="Y2 Q1 quantity" dataDxfId="176" dataCellStyle="Comma"/>
    <tableColumn id="10" xr3:uid="{00000000-0010-0000-0800-00000A000000}" name="Y2 Q2 quantity" dataDxfId="175" dataCellStyle="Comma"/>
    <tableColumn id="11" xr3:uid="{00000000-0010-0000-0800-00000B000000}" name="Y2 Q3 quantity" dataDxfId="174" dataCellStyle="Comma"/>
    <tableColumn id="12" xr3:uid="{00000000-0010-0000-0800-00000C000000}" name="Y2 Q4 quantity" dataDxfId="173" dataCellStyle="Comma"/>
    <tableColumn id="13" xr3:uid="{00000000-0010-0000-0800-00000D000000}" name="Y2 Total quantity" dataDxfId="172" dataCellStyle="Comma">
      <calculatedColumnFormula>SUM(Table69630[[#This Row],[Y2 Q1 quantity]:[Y2 Q4 quantity]])</calculatedColumnFormula>
    </tableColumn>
    <tableColumn id="14" xr3:uid="{00000000-0010-0000-0800-00000E000000}" name="Y2 Total cost" dataDxfId="171" dataCellStyle="Comma">
      <calculatedColumnFormula>Table69630[[#This Row],[Y2 Unit cost]]*Table69630[[#This Row],[Y2 Total quantity]]</calculatedColumnFormula>
    </tableColumn>
    <tableColumn id="15" xr3:uid="{00000000-0010-0000-0800-00000F000000}" name="Y3 Unit cost" dataDxfId="170" dataCellStyle="Comma"/>
    <tableColumn id="16" xr3:uid="{00000000-0010-0000-0800-000010000000}" name="Y3 Q1 quantity" dataDxfId="169" dataCellStyle="Comma"/>
    <tableColumn id="17" xr3:uid="{00000000-0010-0000-0800-000011000000}" name="Y3 Q2 quantity" dataDxfId="168" dataCellStyle="Comma"/>
    <tableColumn id="18" xr3:uid="{00000000-0010-0000-0800-000012000000}" name="Y3 Q3 quantity" dataDxfId="167" dataCellStyle="Comma"/>
    <tableColumn id="19" xr3:uid="{00000000-0010-0000-0800-000013000000}" name="Y3 Q4 quantity" dataDxfId="166" dataCellStyle="Comma"/>
    <tableColumn id="20" xr3:uid="{00000000-0010-0000-0800-000014000000}" name="Y3 Total quantity" dataDxfId="165" dataCellStyle="Comma">
      <calculatedColumnFormula>SUM(Table69630[[#This Row],[Y3 Q1 quantity]:[Y3 Q4 quantity]])</calculatedColumnFormula>
    </tableColumn>
    <tableColumn id="21" xr3:uid="{00000000-0010-0000-0800-000015000000}" name="Y3 Total cost" dataDxfId="164" dataCellStyle="Comma">
      <calculatedColumnFormula>Table69630[[#This Row],[Y3 Unit cost]]*Table69630[[#This Row],[Y3 Total quantity]]</calculatedColumnFormula>
    </tableColumn>
    <tableColumn id="22" xr3:uid="{00000000-0010-0000-0800-000016000000}" name="Total quantity" dataDxfId="163" dataCellStyle="Comma">
      <calculatedColumnFormula>Table69630[[#This Row],[Y1 Total quantity]]+Table69630[[#This Row],[Y2 Total quantity]]+Table69630[[#This Row],[Y3 Total quantity]]</calculatedColumnFormula>
    </tableColumn>
    <tableColumn id="23" xr3:uid="{00000000-0010-0000-0800-000017000000}" name="Total cost " dataDxfId="162" dataCellStyle="Comma">
      <calculatedColumnFormula>Table69630[[#This Row],[Y1 Total cost]]+Table69630[[#This Row],[Y2 Total cost]]+Table69630[[#This Row],[Y3 Total cost]]</calculatedColumnFormula>
    </tableColumn>
    <tableColumn id="24" xr3:uid="{00000000-0010-0000-0800-000018000000}" name="Cost category" dataDxfId="161">
      <calculatedColumnFormula>IF(E14="","",IF(ISNUMBER(SEARCH("Laboratory",E14)),"6.6",IF(ISNUMBER(SEARCH("Maintenance",E14)),"6.5",IF(ISNUMBER(SEARCH("smear",E14)),"5.6","6.3"))))</calculatedColumnFormula>
    </tableColumn>
  </tableColumns>
  <tableStyleInfo name="TableStyleLight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9000000}" name="Table69121631" displayName="Table69121631" ref="N63:AK122" totalsRowShown="0" headerRowDxfId="160" dataDxfId="158" headerRowBorderDxfId="159" tableBorderDxfId="157">
  <tableColumns count="24">
    <tableColumn id="1" xr3:uid="{00000000-0010-0000-0900-000001000000}" name="Y1 Unit cost" dataDxfId="156" dataCellStyle="Comma"/>
    <tableColumn id="2" xr3:uid="{00000000-0010-0000-0900-000002000000}" name="Y1 Q1 quantity" dataDxfId="155" dataCellStyle="Comma"/>
    <tableColumn id="3" xr3:uid="{00000000-0010-0000-0900-000003000000}" name="Y1 Q2 quantity" dataDxfId="154" dataCellStyle="Comma"/>
    <tableColumn id="4" xr3:uid="{00000000-0010-0000-0900-000004000000}" name="Y1 Q3 quantity" dataDxfId="153" dataCellStyle="Comma"/>
    <tableColumn id="5" xr3:uid="{00000000-0010-0000-0900-000005000000}" name="Y1 Q4 quantity" dataDxfId="152" dataCellStyle="Comma"/>
    <tableColumn id="6" xr3:uid="{00000000-0010-0000-0900-000006000000}" name="Y1 Total quantity" dataDxfId="151" dataCellStyle="Comma">
      <calculatedColumnFormula>SUM(Table69121631[[#This Row],[Y1 Q1 quantity]:[Y1 Q4 quantity]])</calculatedColumnFormula>
    </tableColumn>
    <tableColumn id="7" xr3:uid="{00000000-0010-0000-0900-000007000000}" name="Y1 Total cost" dataDxfId="150" dataCellStyle="Comma">
      <calculatedColumnFormula>Table69121631[[#This Row],[Y1 Unit cost]]*Table69121631[[#This Row],[Y1 Total quantity]]</calculatedColumnFormula>
    </tableColumn>
    <tableColumn id="8" xr3:uid="{00000000-0010-0000-0900-000008000000}" name="Y2 Unit cost" dataDxfId="149" dataCellStyle="Comma"/>
    <tableColumn id="9" xr3:uid="{00000000-0010-0000-0900-000009000000}" name="Y2 Q1 quantity" dataDxfId="148" dataCellStyle="Comma"/>
    <tableColumn id="10" xr3:uid="{00000000-0010-0000-0900-00000A000000}" name="Y2 Q2 quantity" dataDxfId="147" dataCellStyle="Comma"/>
    <tableColumn id="11" xr3:uid="{00000000-0010-0000-0900-00000B000000}" name="Y2 Q3 quantity" dataDxfId="146" dataCellStyle="Comma"/>
    <tableColumn id="12" xr3:uid="{00000000-0010-0000-0900-00000C000000}" name="Y2 Q4 quantity" dataDxfId="145" dataCellStyle="Comma"/>
    <tableColumn id="13" xr3:uid="{00000000-0010-0000-0900-00000D000000}" name="Y2 Total quantity" dataDxfId="144" dataCellStyle="Comma">
      <calculatedColumnFormula>SUM(Table69121631[[#This Row],[Y2 Q1 quantity]:[Y2 Q4 quantity]])</calculatedColumnFormula>
    </tableColumn>
    <tableColumn id="14" xr3:uid="{00000000-0010-0000-0900-00000E000000}" name="Y2 Total cost" dataDxfId="143" dataCellStyle="Comma">
      <calculatedColumnFormula>Table69121631[[#This Row],[Y2 Unit cost]]*Table69121631[[#This Row],[Y2 Total quantity]]</calculatedColumnFormula>
    </tableColumn>
    <tableColumn id="15" xr3:uid="{00000000-0010-0000-0900-00000F000000}" name="Y3 Unit cost" dataDxfId="142" dataCellStyle="Comma"/>
    <tableColumn id="16" xr3:uid="{00000000-0010-0000-0900-000010000000}" name="Y3 Q1 quantity" dataDxfId="141" dataCellStyle="Comma"/>
    <tableColumn id="17" xr3:uid="{00000000-0010-0000-0900-000011000000}" name="Y3 Q2 quantity" dataDxfId="140" dataCellStyle="Comma"/>
    <tableColumn id="18" xr3:uid="{00000000-0010-0000-0900-000012000000}" name="Y3 Q3 quantity" dataDxfId="139" dataCellStyle="Comma"/>
    <tableColumn id="19" xr3:uid="{00000000-0010-0000-0900-000013000000}" name="Y3 Q4 quantity" dataDxfId="138" dataCellStyle="Comma"/>
    <tableColumn id="20" xr3:uid="{00000000-0010-0000-0900-000014000000}" name="Y3 Total quantity" dataDxfId="137" dataCellStyle="Comma">
      <calculatedColumnFormula>SUM(Table69121631[[#This Row],[Y3 Q1 quantity]:[Y3 Q4 quantity]])</calculatedColumnFormula>
    </tableColumn>
    <tableColumn id="21" xr3:uid="{00000000-0010-0000-0900-000015000000}" name="Y3 Total cost" dataDxfId="136" dataCellStyle="Comma">
      <calculatedColumnFormula>Table69121631[[#This Row],[Y3 Unit cost]]*Table69121631[[#This Row],[Y3 Total quantity]]</calculatedColumnFormula>
    </tableColumn>
    <tableColumn id="22" xr3:uid="{00000000-0010-0000-0900-000016000000}" name="Total quantity" dataDxfId="135" dataCellStyle="Comma">
      <calculatedColumnFormula>Table69121631[[#This Row],[Y1 Total quantity]]+Table69121631[[#This Row],[Y2 Total quantity]]+Table69121631[[#This Row],[Y3 Total quantity]]</calculatedColumnFormula>
    </tableColumn>
    <tableColumn id="23" xr3:uid="{00000000-0010-0000-0900-000017000000}" name="Total cost " dataDxfId="134" dataCellStyle="Comma">
      <calculatedColumnFormula>Table69121631[[#This Row],[Y1 Total cost]]+Table69121631[[#This Row],[Y2 Total cost]]+Table69121631[[#This Row],[Y3 Total cost]]</calculatedColumnFormula>
    </tableColumn>
    <tableColumn id="24" xr3:uid="{00000000-0010-0000-0900-000018000000}" name="Cost category" dataDxfId="133">
      <calculatedColumnFormula>IF(E64="","", IF(ISNUMBER(SEARCH("Insecticides",E64)),"5.5", IF(ISNUMBER(SEARCH("LLINs",E64)),"5.1","6.6")))</calculatedColumnFormula>
    </tableColumn>
  </tableColumns>
  <tableStyleInfo name="TableStyleLight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A000000}" name="Table69141833" displayName="Table69141833" ref="N41:AK56" totalsRowShown="0" headerRowDxfId="132" dataDxfId="130" headerRowBorderDxfId="131" tableBorderDxfId="129">
  <tableColumns count="24">
    <tableColumn id="1" xr3:uid="{00000000-0010-0000-0A00-000001000000}" name="Y1 Unit cost" dataDxfId="128" dataCellStyle="Comma"/>
    <tableColumn id="2" xr3:uid="{00000000-0010-0000-0A00-000002000000}" name="Y1 Q1 quantity" dataDxfId="127" dataCellStyle="Comma"/>
    <tableColumn id="3" xr3:uid="{00000000-0010-0000-0A00-000003000000}" name="Y1 Q2 quantity" dataDxfId="126" dataCellStyle="Comma"/>
    <tableColumn id="4" xr3:uid="{00000000-0010-0000-0A00-000004000000}" name="Y1 Q3 quantity" dataDxfId="125" dataCellStyle="Comma"/>
    <tableColumn id="5" xr3:uid="{00000000-0010-0000-0A00-000005000000}" name="Y1 Q4 quantity" dataDxfId="124" dataCellStyle="Comma"/>
    <tableColumn id="6" xr3:uid="{00000000-0010-0000-0A00-000006000000}" name="Y1 Total quantity" dataDxfId="123" dataCellStyle="Comma">
      <calculatedColumnFormula>SUM(Table69141833[[#This Row],[Y1 Q1 quantity]:[Y1 Q4 quantity]])</calculatedColumnFormula>
    </tableColumn>
    <tableColumn id="7" xr3:uid="{00000000-0010-0000-0A00-000007000000}" name="Y1 Total cost" dataDxfId="122" dataCellStyle="Comma">
      <calculatedColumnFormula>Table69141833[[#This Row],[Y1 Unit cost]]*Table69141833[[#This Row],[Y1 Total quantity]]</calculatedColumnFormula>
    </tableColumn>
    <tableColumn id="8" xr3:uid="{00000000-0010-0000-0A00-000008000000}" name="Y2 Unit cost" dataDxfId="121" dataCellStyle="Comma"/>
    <tableColumn id="9" xr3:uid="{00000000-0010-0000-0A00-000009000000}" name="Y2 Q1 quantity" dataDxfId="120" dataCellStyle="Comma"/>
    <tableColumn id="10" xr3:uid="{00000000-0010-0000-0A00-00000A000000}" name="Y2 Q2 quantity" dataDxfId="119" dataCellStyle="Comma"/>
    <tableColumn id="11" xr3:uid="{00000000-0010-0000-0A00-00000B000000}" name="Y2 Q3 quantity" dataDxfId="118" dataCellStyle="Comma"/>
    <tableColumn id="12" xr3:uid="{00000000-0010-0000-0A00-00000C000000}" name="Y2 Q4 quantity" dataDxfId="117" dataCellStyle="Comma"/>
    <tableColumn id="13" xr3:uid="{00000000-0010-0000-0A00-00000D000000}" name="Y2 Total quantity" dataDxfId="116" dataCellStyle="Comma">
      <calculatedColumnFormula>SUM(Table69141833[[#This Row],[Y2 Q1 quantity]:[Y2 Q4 quantity]])</calculatedColumnFormula>
    </tableColumn>
    <tableColumn id="14" xr3:uid="{00000000-0010-0000-0A00-00000E000000}" name="Y2 Total cost" dataDxfId="115" dataCellStyle="Comma">
      <calculatedColumnFormula>Table69141833[[#This Row],[Y2 Unit cost]]*Table69141833[[#This Row],[Y2 Total quantity]]</calculatedColumnFormula>
    </tableColumn>
    <tableColumn id="15" xr3:uid="{00000000-0010-0000-0A00-00000F000000}" name="Y3 Unit cost" dataDxfId="114" dataCellStyle="Comma"/>
    <tableColumn id="16" xr3:uid="{00000000-0010-0000-0A00-000010000000}" name="Y3 Q1 quantity" dataDxfId="113" dataCellStyle="Comma"/>
    <tableColumn id="17" xr3:uid="{00000000-0010-0000-0A00-000011000000}" name="Y3 Q2 quantity" dataDxfId="112" dataCellStyle="Comma"/>
    <tableColumn id="18" xr3:uid="{00000000-0010-0000-0A00-000012000000}" name="Y3 Q3 quantity" dataDxfId="111" dataCellStyle="Comma"/>
    <tableColumn id="19" xr3:uid="{00000000-0010-0000-0A00-000013000000}" name="Y3 Q4 quantity" dataDxfId="110" dataCellStyle="Comma"/>
    <tableColumn id="20" xr3:uid="{00000000-0010-0000-0A00-000014000000}" name="Y3 Total quantity" dataDxfId="109" dataCellStyle="Comma">
      <calculatedColumnFormula>SUM(Table69141833[[#This Row],[Y3 Q1 quantity]:[Y3 Q4 quantity]])</calculatedColumnFormula>
    </tableColumn>
    <tableColumn id="21" xr3:uid="{00000000-0010-0000-0A00-000015000000}" name="Y3 Total cost" dataDxfId="108" dataCellStyle="Comma">
      <calculatedColumnFormula>Table69141833[[#This Row],[Y3 Unit cost]]*Table69141833[[#This Row],[Y3 Total quantity]]</calculatedColumnFormula>
    </tableColumn>
    <tableColumn id="22" xr3:uid="{00000000-0010-0000-0A00-000016000000}" name="Total quantity" dataDxfId="107" dataCellStyle="Comma">
      <calculatedColumnFormula>Table69141833[[#This Row],[Y1 Total quantity]]+Table69141833[[#This Row],[Y2 Total quantity]]+Table69141833[[#This Row],[Y3 Total quantity]]</calculatedColumnFormula>
    </tableColumn>
    <tableColumn id="23" xr3:uid="{00000000-0010-0000-0A00-000017000000}" name="Total cost " dataDxfId="106" dataCellStyle="Comma">
      <calculatedColumnFormula>Table69141833[[#This Row],[Y1 Total cost]]+Table69141833[[#This Row],[Y2 Total cost]]+Table69141833[[#This Row],[Y3 Total cost]]</calculatedColumnFormula>
    </tableColumn>
    <tableColumn id="24" xr3:uid="{00000000-0010-0000-0A00-000018000000}" name="Cost category" dataDxfId="105">
      <calculatedColumnFormula>IF(ISBLANK(E42),"","5.4")</calculatedColumnFormula>
    </tableColumn>
  </tableColumns>
  <tableStyleInfo name="TableStyleLight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B000000}" name="Table6912131732" displayName="Table6912131732" ref="N129:AK230" totalsRowShown="0" headerRowDxfId="104" dataDxfId="102" headerRowBorderDxfId="103" tableBorderDxfId="101">
  <tableColumns count="24">
    <tableColumn id="1" xr3:uid="{00000000-0010-0000-0B00-000001000000}" name="Y1 Unit cost" dataDxfId="100" dataCellStyle="Comma"/>
    <tableColumn id="2" xr3:uid="{00000000-0010-0000-0B00-000002000000}" name="Y1 Q1 quantity" dataDxfId="99" dataCellStyle="Comma"/>
    <tableColumn id="3" xr3:uid="{00000000-0010-0000-0B00-000003000000}" name="Y1 Q2 quantity" dataDxfId="98" dataCellStyle="Comma"/>
    <tableColumn id="4" xr3:uid="{00000000-0010-0000-0B00-000004000000}" name="Y1 Q3 quantity" dataDxfId="97" dataCellStyle="Comma"/>
    <tableColumn id="5" xr3:uid="{00000000-0010-0000-0B00-000005000000}" name="Y1 Q4 quantity" dataDxfId="96" dataCellStyle="Comma"/>
    <tableColumn id="6" xr3:uid="{00000000-0010-0000-0B00-000006000000}" name="Y1 Total quantity" dataDxfId="95" dataCellStyle="Comma">
      <calculatedColumnFormula>SUM(Table6912131732[[#This Row],[Y1 Q1 quantity]:[Y1 Q4 quantity]])</calculatedColumnFormula>
    </tableColumn>
    <tableColumn id="7" xr3:uid="{00000000-0010-0000-0B00-000007000000}" name="Y1 Total cost" dataDxfId="94" dataCellStyle="Comma">
      <calculatedColumnFormula>Table6912131732[[#This Row],[Y1 Unit cost]]*Table6912131732[[#This Row],[Y1 Total quantity]]</calculatedColumnFormula>
    </tableColumn>
    <tableColumn id="8" xr3:uid="{00000000-0010-0000-0B00-000008000000}" name="Y2 Unit cost" dataDxfId="93" dataCellStyle="Comma"/>
    <tableColumn id="9" xr3:uid="{00000000-0010-0000-0B00-000009000000}" name="Y2 Q1 quantity" dataDxfId="92" dataCellStyle="Comma"/>
    <tableColumn id="10" xr3:uid="{00000000-0010-0000-0B00-00000A000000}" name="Y2 Q2 quantity" dataDxfId="91" dataCellStyle="Comma"/>
    <tableColumn id="11" xr3:uid="{00000000-0010-0000-0B00-00000B000000}" name="Y2 Q3 quantity" dataDxfId="90" dataCellStyle="Comma"/>
    <tableColumn id="12" xr3:uid="{00000000-0010-0000-0B00-00000C000000}" name="Y2 Q4 quantity" dataDxfId="89" dataCellStyle="Comma"/>
    <tableColumn id="13" xr3:uid="{00000000-0010-0000-0B00-00000D000000}" name="Y2 Total quantity" dataDxfId="88" dataCellStyle="Comma">
      <calculatedColumnFormula>SUM(Table6912131732[[#This Row],[Y2 Q1 quantity]:[Y2 Q4 quantity]])</calculatedColumnFormula>
    </tableColumn>
    <tableColumn id="14" xr3:uid="{00000000-0010-0000-0B00-00000E000000}" name="Y2 Total cost" dataDxfId="87" dataCellStyle="Comma">
      <calculatedColumnFormula>Table6912131732[[#This Row],[Y2 Unit cost]]*Table6912131732[[#This Row],[Y2 Total quantity]]</calculatedColumnFormula>
    </tableColumn>
    <tableColumn id="15" xr3:uid="{00000000-0010-0000-0B00-00000F000000}" name="Y3 Unit cost" dataDxfId="86" dataCellStyle="Comma"/>
    <tableColumn id="16" xr3:uid="{00000000-0010-0000-0B00-000010000000}" name="Y3 Q1 quantity" dataDxfId="85" dataCellStyle="Comma"/>
    <tableColumn id="17" xr3:uid="{00000000-0010-0000-0B00-000011000000}" name="Y3 Q2 quantity" dataDxfId="84" dataCellStyle="Comma"/>
    <tableColumn id="18" xr3:uid="{00000000-0010-0000-0B00-000012000000}" name="Y3 Q3 quantity" dataDxfId="83" dataCellStyle="Comma"/>
    <tableColumn id="19" xr3:uid="{00000000-0010-0000-0B00-000013000000}" name="Y3 Q4 quantity" dataDxfId="82" dataCellStyle="Comma"/>
    <tableColumn id="20" xr3:uid="{00000000-0010-0000-0B00-000014000000}" name="Y3 Total quantity" dataDxfId="81" dataCellStyle="Comma">
      <calculatedColumnFormula>SUM(Table6912131732[[#This Row],[Y3 Q1 quantity]:[Y3 Q4 quantity]])</calculatedColumnFormula>
    </tableColumn>
    <tableColumn id="21" xr3:uid="{00000000-0010-0000-0B00-000015000000}" name="Y3 Total cost" dataDxfId="80" dataCellStyle="Comma">
      <calculatedColumnFormula>Table6912131732[[#This Row],[Y3 Unit cost]]*Table6912131732[[#This Row],[Y3 Total quantity]]</calculatedColumnFormula>
    </tableColumn>
    <tableColumn id="22" xr3:uid="{00000000-0010-0000-0B00-000016000000}" name="Total quantity" dataDxfId="79" dataCellStyle="Comma">
      <calculatedColumnFormula>Table6912131732[[#This Row],[Y1 Total quantity]]+Table6912131732[[#This Row],[Y2 Total quantity]]+Table6912131732[[#This Row],[Y3 Total quantity]]</calculatedColumnFormula>
    </tableColumn>
    <tableColumn id="23" xr3:uid="{00000000-0010-0000-0B00-000017000000}" name="Total cost " dataDxfId="78" dataCellStyle="Comma">
      <calculatedColumnFormula>Table6912131732[[#This Row],[Y1 Total cost]]+Table6912131732[[#This Row],[Y2 Total cost]]+Table6912131732[[#This Row],[Y3 Total cost]]</calculatedColumnFormula>
    </tableColumn>
    <tableColumn id="24" xr3:uid="{00000000-0010-0000-0B00-000018000000}" name="Cost category" dataDxfId="77">
      <calculatedColumnFormula>IF(ISBLANK(E130),"",IF(OR(ISNUMBER(SEARCH("reagents",E130)),ISNUMBER(SEARCH("supplies:",E130))),"5.6",IF(ISNUMBER(SEARCH("Syringes",E130)),"5.7",IF(OR(ISNUMBER(SEARCH("Consumables",E130)),ISNUMBER(SEARCH("Microscopy:",E130))),"5.8",IF(OR(ISNUMBER(SEARCH("Warranty, maintenance",H130)),AND(ISNUMBER(SEARCH("BACTEC MGIT",E130)),ISNUMBER(SEARCH("specifications manually",H130))),AND(ISNUMBER(SEARCH("equipment-Other",E130)),ISNUMBER(SEARCH("specifications manually",H130))),AND(ISNUMBER(SEARCH("Microscope-Maintenance",E130)),ISNUMBER(SEARCH("specifications manually",H130))),AND(ISNUMBER(SEARCH("diagnosis/LPA",E130)),ISNUMBER(SEARCH("specifications manually",H130))),AND(ISNUMBER(SEARCH("GeneXpert",E130)),ISNUMBER(SEARCH("Calibration",H130))),AND(ISNUMBER(SEARCH("GeneXpert",E130)),ISNUMBER(SEARCH("maintenance",H130)))),"6.5","6.6")))))</calculatedColumnFormula>
    </tableColumn>
  </tableColumns>
  <tableStyleInfo name="TableStyleLight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C000000}" name="Table45464849" displayName="Table45464849" ref="J14:Y47" totalsRowShown="0" headerRowDxfId="60" dataDxfId="58" headerRowBorderDxfId="59" tableBorderDxfId="57">
  <autoFilter ref="J14:Y47" xr:uid="{00000000-0009-0000-0100-000030000000}"/>
  <tableColumns count="16">
    <tableColumn id="1" xr3:uid="{00000000-0010-0000-0C00-000001000000}" name="Y1 Q1 cost" dataDxfId="56" dataCellStyle="Comma"/>
    <tableColumn id="2" xr3:uid="{00000000-0010-0000-0C00-000002000000}" name="Y1 Q2 cost" dataDxfId="55" dataCellStyle="Comma"/>
    <tableColumn id="3" xr3:uid="{00000000-0010-0000-0C00-000003000000}" name="Y1 Q3 cost" dataDxfId="54" dataCellStyle="Comma"/>
    <tableColumn id="4" xr3:uid="{00000000-0010-0000-0C00-000004000000}" name="Y1 Q4 cost" dataDxfId="53" dataCellStyle="Comma"/>
    <tableColumn id="5" xr3:uid="{00000000-0010-0000-0C00-000005000000}" name="Y1 total cost" dataDxfId="52" dataCellStyle="Comma">
      <calculatedColumnFormula>SUM(Table45464849[[#This Row],[Y1 Q1 cost]:[Y1 Q4 cost]])</calculatedColumnFormula>
    </tableColumn>
    <tableColumn id="6" xr3:uid="{00000000-0010-0000-0C00-000006000000}" name="Y2 Q1 cost" dataDxfId="51" dataCellStyle="Comma"/>
    <tableColumn id="7" xr3:uid="{00000000-0010-0000-0C00-000007000000}" name="Y2 Q2 cost" dataDxfId="50" dataCellStyle="Comma"/>
    <tableColumn id="8" xr3:uid="{00000000-0010-0000-0C00-000008000000}" name="Y2 Q3 cost" dataDxfId="49" dataCellStyle="Comma"/>
    <tableColumn id="9" xr3:uid="{00000000-0010-0000-0C00-000009000000}" name="Y2 Q4 cost" dataDxfId="48" dataCellStyle="Comma"/>
    <tableColumn id="10" xr3:uid="{00000000-0010-0000-0C00-00000A000000}" name="Y2 total cost" dataDxfId="47" dataCellStyle="Comma">
      <calculatedColumnFormula>SUM(Table45464849[[#This Row],[Y2 Q1 cost]:[Y2 Q4 cost]])</calculatedColumnFormula>
    </tableColumn>
    <tableColumn id="11" xr3:uid="{00000000-0010-0000-0C00-00000B000000}" name="Y3 Q1 cost" dataDxfId="46" dataCellStyle="Comma"/>
    <tableColumn id="12" xr3:uid="{00000000-0010-0000-0C00-00000C000000}" name="Y3 Q2 cost" dataDxfId="45" dataCellStyle="Comma"/>
    <tableColumn id="13" xr3:uid="{00000000-0010-0000-0C00-00000D000000}" name="Y3 Q3 cost" dataDxfId="44" dataCellStyle="Comma"/>
    <tableColumn id="14" xr3:uid="{00000000-0010-0000-0C00-00000E000000}" name="Y3 Q4 cost" dataDxfId="43" dataCellStyle="Comma"/>
    <tableColumn id="15" xr3:uid="{00000000-0010-0000-0C00-00000F000000}" name="Y3 total cost" dataDxfId="42" dataCellStyle="Comma">
      <calculatedColumnFormula>SUM(Table45464849[[#This Row],[Y3 Q1 cost]:[Y3 Q4 cost]])</calculatedColumnFormula>
    </tableColumn>
    <tableColumn id="16" xr3:uid="{00000000-0010-0000-0C00-000010000000}" name="Total cost " dataDxfId="41" dataCellStyle="Comma">
      <calculatedColumnFormula>Table45464849[[#This Row],[Y1 total cost]]+Table45464849[[#This Row],[Y2 total cost]]+Table45464849[[#This Row],[Y3 total cost]]</calculatedColumnFormula>
    </tableColumn>
  </tableColumns>
  <tableStyleInfo name="TableStyleLight4"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D000000}" name="Table4546484950" displayName="Table4546484950" ref="J54:Y87" totalsRowShown="0" headerRowDxfId="40" dataDxfId="38" headerRowBorderDxfId="39" tableBorderDxfId="37">
  <autoFilter ref="J54:Y87" xr:uid="{00000000-0009-0000-0100-000031000000}"/>
  <tableColumns count="16">
    <tableColumn id="1" xr3:uid="{00000000-0010-0000-0D00-000001000000}" name="Y1 Q1 cost" dataDxfId="36" dataCellStyle="Comma"/>
    <tableColumn id="2" xr3:uid="{00000000-0010-0000-0D00-000002000000}" name="Y1 Q2 cost" dataDxfId="35" dataCellStyle="Comma"/>
    <tableColumn id="3" xr3:uid="{00000000-0010-0000-0D00-000003000000}" name="Y1 Q3 cost" dataDxfId="34" dataCellStyle="Comma"/>
    <tableColumn id="4" xr3:uid="{00000000-0010-0000-0D00-000004000000}" name="Y1 Q4 cost" dataDxfId="33" dataCellStyle="Comma"/>
    <tableColumn id="5" xr3:uid="{00000000-0010-0000-0D00-000005000000}" name="Y1 total cost" dataDxfId="32" dataCellStyle="Comma">
      <calculatedColumnFormula>SUM(Table4546484950[[#This Row],[Y1 Q1 cost]:[Y1 Q4 cost]])</calculatedColumnFormula>
    </tableColumn>
    <tableColumn id="6" xr3:uid="{00000000-0010-0000-0D00-000006000000}" name="Y2 Q1 cost" dataDxfId="31" dataCellStyle="Comma"/>
    <tableColumn id="7" xr3:uid="{00000000-0010-0000-0D00-000007000000}" name="Y2 Q2 cost" dataDxfId="30" dataCellStyle="Comma"/>
    <tableColumn id="8" xr3:uid="{00000000-0010-0000-0D00-000008000000}" name="Y2 Q3 cost" dataDxfId="29" dataCellStyle="Comma"/>
    <tableColumn id="9" xr3:uid="{00000000-0010-0000-0D00-000009000000}" name="Y2 Q4 cost" dataDxfId="28" dataCellStyle="Comma"/>
    <tableColumn id="10" xr3:uid="{00000000-0010-0000-0D00-00000A000000}" name="Y2 total cost" dataDxfId="27" dataCellStyle="Comma">
      <calculatedColumnFormula>SUM(Table4546484950[[#This Row],[Y2 Q1 cost]:[Y2 Q4 cost]])</calculatedColumnFormula>
    </tableColumn>
    <tableColumn id="11" xr3:uid="{00000000-0010-0000-0D00-00000B000000}" name="Y3 Q1 cost" dataDxfId="26" dataCellStyle="Comma"/>
    <tableColumn id="12" xr3:uid="{00000000-0010-0000-0D00-00000C000000}" name="Y3 Q2 cost" dataDxfId="25" dataCellStyle="Comma"/>
    <tableColumn id="13" xr3:uid="{00000000-0010-0000-0D00-00000D000000}" name="Y3 Q3 cost" dataDxfId="24" dataCellStyle="Comma"/>
    <tableColumn id="14" xr3:uid="{00000000-0010-0000-0D00-00000E000000}" name="Y3 Q4 cost" dataDxfId="23" dataCellStyle="Comma"/>
    <tableColumn id="15" xr3:uid="{00000000-0010-0000-0D00-00000F000000}" name="Y3 total cost" dataDxfId="22" dataCellStyle="Comma">
      <calculatedColumnFormula>SUM(Table4546484950[[#This Row],[Y3 Q1 cost]:[Y3 Q4 cost]])</calculatedColumnFormula>
    </tableColumn>
    <tableColumn id="16" xr3:uid="{00000000-0010-0000-0D00-000010000000}" name="Total cost " dataDxfId="21" dataCellStyle="Comma">
      <calculatedColumnFormula>Table4546484950[[#This Row],[Y1 total cost]]+Table4546484950[[#This Row],[Y2 total cost]]+Table4546484950[[#This Row],[Y3 total cost]]</calculatedColumnFormula>
    </tableColumn>
  </tableColumns>
  <tableStyleInfo name="TableStyleLight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6DD3B94-8A73-44A2-B184-D8CC956EF46D}" name="Table37" displayName="Table37" ref="B34:F672" totalsRowShown="0" headerRowDxfId="521" headerRowBorderDxfId="520" tableBorderDxfId="519" totalsRowBorderDxfId="518">
  <autoFilter ref="B34:F672" xr:uid="{85033ED5-2DC2-4154-9C59-1D7629F9862C}"/>
  <tableColumns count="5">
    <tableColumn id="1" xr3:uid="{9D90153E-5625-4168-B804-A50C5900C78E}" name="S.No" dataDxfId="517"/>
    <tableColumn id="2" xr3:uid="{0D21DFB6-E251-4B94-A566-7574C44749DF}" name="Type" dataDxfId="516"/>
    <tableColumn id="3" xr3:uid="{6D993CD8-C05A-4012-9EAE-EF7FD4AD56ED}" name="Product" dataDxfId="515"/>
    <tableColumn id="4" xr3:uid="{AD882AA4-2FCD-42B9-829B-9C3DAB6B66C7}" name="Product Specification" dataDxfId="514"/>
    <tableColumn id="5" xr3:uid="{858753F4-09A5-4AF8-B1C5-CAAE6150CE6E}" name="Cost Input" dataDxfId="513"/>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02" displayName="Table102" ref="E64:G74" totalsRowShown="0" headerRowDxfId="502" headerRowBorderDxfId="501">
  <tableColumns count="3">
    <tableColumn id="1" xr3:uid="{00000000-0010-0000-0000-000001000000}" name="% of total male condoms " dataDxfId="500"/>
    <tableColumn id="2" xr3:uid="{00000000-0010-0000-0000-000002000000}" name="% of total female condoms" dataDxfId="499"/>
    <tableColumn id="3" xr3:uid="{00000000-0010-0000-0000-000003000000}" name="% of total lubricant" dataDxfId="498"/>
  </tableColumns>
  <tableStyleInfo name="TableStyleLight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0153" displayName="Table10153" ref="E78:I89" totalsRowShown="0" headerRowDxfId="497" dataDxfId="495" headerRowBorderDxfId="496" tableBorderDxfId="494">
  <tableColumns count="5">
    <tableColumn id="1" xr3:uid="{00000000-0010-0000-0100-000001000000}" name="% of total HIV tests" dataDxfId="493"/>
    <tableColumn id="2" xr3:uid="{00000000-0010-0000-0100-000002000000}" name="% of total non-HIV tests" dataDxfId="492"/>
    <tableColumn id="3" xr3:uid="{00000000-0010-0000-0100-000003000000}" name="% facility-based" dataDxfId="491"/>
    <tableColumn id="4" xr3:uid="{00000000-0010-0000-0100-000004000000}" name="% community-based" dataDxfId="490"/>
    <tableColumn id="5" xr3:uid="{00000000-0010-0000-0100-000005000000}" name="% self-testing" dataDxfId="489"/>
  </tableColumns>
  <tableStyleInfo name="TableStyleLight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e6912138" displayName="Table6912138" ref="G13:AD58" totalsRowShown="0" headerRowDxfId="488" dataDxfId="486" headerRowBorderDxfId="487" tableBorderDxfId="485">
  <tableColumns count="24">
    <tableColumn id="1" xr3:uid="{00000000-0010-0000-0200-000001000000}" name="Y1 Unit cost" dataDxfId="484" dataCellStyle="Comma"/>
    <tableColumn id="2" xr3:uid="{00000000-0010-0000-0200-000002000000}" name="Y1 Q1 quantity" dataDxfId="483" dataCellStyle="Comma"/>
    <tableColumn id="3" xr3:uid="{00000000-0010-0000-0200-000003000000}" name="Y1 Q2 quantity" dataDxfId="482" dataCellStyle="Comma"/>
    <tableColumn id="4" xr3:uid="{00000000-0010-0000-0200-000004000000}" name="Y1 Q3 quantity" dataDxfId="481" dataCellStyle="Comma"/>
    <tableColumn id="5" xr3:uid="{00000000-0010-0000-0200-000005000000}" name="Y1 Q4 quantity" dataDxfId="480" dataCellStyle="Comma"/>
    <tableColumn id="6" xr3:uid="{00000000-0010-0000-0200-000006000000}" name="Y1 Total quantity" dataDxfId="479" dataCellStyle="Comma">
      <calculatedColumnFormula>SUM(Table6912138[[#This Row],[Y1 Q1 quantity]:[Y1 Q4 quantity]])</calculatedColumnFormula>
    </tableColumn>
    <tableColumn id="7" xr3:uid="{00000000-0010-0000-0200-000007000000}" name="Y1 Total cost" dataDxfId="478" dataCellStyle="Comma">
      <calculatedColumnFormula>Table6912138[[#This Row],[Y1 Total quantity]]*Table6912138[[#This Row],[Y1 Unit cost]]</calculatedColumnFormula>
    </tableColumn>
    <tableColumn id="8" xr3:uid="{00000000-0010-0000-0200-000008000000}" name="Y2 Unit cost" dataDxfId="477" dataCellStyle="Comma"/>
    <tableColumn id="9" xr3:uid="{00000000-0010-0000-0200-000009000000}" name="Y2 Q1 quantity" dataDxfId="476" dataCellStyle="Comma"/>
    <tableColumn id="10" xr3:uid="{00000000-0010-0000-0200-00000A000000}" name="Y2 Q2 quantity" dataDxfId="475" dataCellStyle="Comma"/>
    <tableColumn id="11" xr3:uid="{00000000-0010-0000-0200-00000B000000}" name="Y2 Q3 quantity" dataDxfId="474" dataCellStyle="Comma"/>
    <tableColumn id="12" xr3:uid="{00000000-0010-0000-0200-00000C000000}" name="Y2 Q4 quantity" dataDxfId="473" dataCellStyle="Comma"/>
    <tableColumn id="13" xr3:uid="{00000000-0010-0000-0200-00000D000000}" name="Y2 Total quantity" dataDxfId="472" dataCellStyle="Comma">
      <calculatedColumnFormula>SUM(Table6912138[[#This Row],[Y2 Q1 quantity]:[Y2 Q4 quantity]])</calculatedColumnFormula>
    </tableColumn>
    <tableColumn id="14" xr3:uid="{00000000-0010-0000-0200-00000E000000}" name="Y2 Total cost" dataDxfId="471" dataCellStyle="Comma">
      <calculatedColumnFormula>Table6912138[[#This Row],[Y2 Total quantity]]*Table6912138[[#This Row],[Y2 Unit cost]]</calculatedColumnFormula>
    </tableColumn>
    <tableColumn id="15" xr3:uid="{00000000-0010-0000-0200-00000F000000}" name="Y3 Unit cost" dataDxfId="470" dataCellStyle="Comma"/>
    <tableColumn id="16" xr3:uid="{00000000-0010-0000-0200-000010000000}" name="Y3 Q1 quantity" dataDxfId="469" dataCellStyle="Comma"/>
    <tableColumn id="17" xr3:uid="{00000000-0010-0000-0200-000011000000}" name="Y3 Q2 quantity" dataDxfId="468" dataCellStyle="Comma"/>
    <tableColumn id="18" xr3:uid="{00000000-0010-0000-0200-000012000000}" name="Y3 Q3 quantity" dataDxfId="467" dataCellStyle="Comma"/>
    <tableColumn id="19" xr3:uid="{00000000-0010-0000-0200-000013000000}" name="Y3 Q4 quantity" dataDxfId="466" dataCellStyle="Comma"/>
    <tableColumn id="20" xr3:uid="{00000000-0010-0000-0200-000014000000}" name="Y3 Total quantity" dataDxfId="465" dataCellStyle="Comma">
      <calculatedColumnFormula>SUM(Table6912138[[#This Row],[Y3 Q1 quantity]:[Y3 Q4 quantity]])</calculatedColumnFormula>
    </tableColumn>
    <tableColumn id="21" xr3:uid="{00000000-0010-0000-0200-000015000000}" name="Y3 Total cost" dataDxfId="464" dataCellStyle="Comma">
      <calculatedColumnFormula>Table6912138[[#This Row],[Y3 Unit cost]]*Table6912138[[#This Row],[Y3 Total quantity]]</calculatedColumnFormula>
    </tableColumn>
    <tableColumn id="22" xr3:uid="{00000000-0010-0000-0200-000016000000}" name="Total quantity" dataDxfId="463" dataCellStyle="Comma">
      <calculatedColumnFormula>Table6912138[[#This Row],[Y1 Total quantity]]+Table6912138[[#This Row],[Y2 Total quantity]]+Table6912138[[#This Row],[Y3 Total quantity]]</calculatedColumnFormula>
    </tableColumn>
    <tableColumn id="23" xr3:uid="{00000000-0010-0000-0200-000017000000}" name="Total cost " dataDxfId="462" dataCellStyle="Comma">
      <calculatedColumnFormula>Table6912138[[#This Row],[Y1 Total cost]]+Table6912138[[#This Row],[Y2 Total cost]]+Table6912138[[#This Row],[Y3 Total cost]]</calculatedColumnFormula>
    </tableColumn>
    <tableColumn id="24" xr3:uid="{00000000-0010-0000-0200-000018000000}" name="Cost input" dataDxfId="461">
      <calculatedColumnFormula>IF(ISBLANK(A14),"", IF(OR(AND(ISNUMBER(SEARCH("cytometry",C14)),ISNUMBER(SEARCH("Equipment",D14))),AND(ISNUMBER(SEARCH("cytometry",C14)),ISNUMBER(SEARCH("Spare",D14)))),"6.1",IF(OR(AND(ISNUMBER(SEARCH("EID",C14)),ISNUMBER(SEARCH("Equipment",D14))),AND(ISNUMBER(SEARCH("EID",C14)),ISNUMBER(SEARCH("Spare",D14)))),"6.2",IF(ISNUMBER(SEARCH("GeneXpert:",C14)),"6.4",IF(OR(ISNUMBER(SEARCH("Warranty, maintenance",D14)),AND(ISNUMBER(SEARCH("BACTEC MGIT",C14)),ISNUMBER(SEARCH("specifications manually",D14))),AND(ISNUMBER(SEARCH("equipment-Other",C14)),ISNUMBER(SEARCH("specifications manually",D14))),AND(ISNUMBER(SEARCH("Microscope-Maintenance",C14)),ISNUMBER(SEARCH("specifications manually",D14))),AND(ISNUMBER(SEARCH("diagnosis/LPA",C14)),ISNUMBER(SEARCH("specifications manually",D14))),AND(ISNUMBER(SEARCH("GeneXpert",C14)),ISNUMBER(SEARCH("Calibration",D14)))),"6.5","6.6")))))</calculatedColumnFormula>
    </tableColumn>
  </tableColumns>
  <tableStyleInfo name="TableStyleLight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e69" displayName="Table69" ref="N13:AK40" totalsRowShown="0" headerRowDxfId="460" dataDxfId="458" headerRowBorderDxfId="459" tableBorderDxfId="457">
  <tableColumns count="24">
    <tableColumn id="1" xr3:uid="{00000000-0010-0000-0300-000001000000}" name="Y1 Unit cost" dataDxfId="456" dataCellStyle="Comma"/>
    <tableColumn id="2" xr3:uid="{00000000-0010-0000-0300-000002000000}" name="Y1 Q1 quantity" dataDxfId="455" dataCellStyle="Comma"/>
    <tableColumn id="3" xr3:uid="{00000000-0010-0000-0300-000003000000}" name="Y1 Q2 quantity" dataDxfId="454" dataCellStyle="Comma"/>
    <tableColumn id="4" xr3:uid="{00000000-0010-0000-0300-000004000000}" name="Y1 Q3 quantity" dataDxfId="453" dataCellStyle="Comma"/>
    <tableColumn id="5" xr3:uid="{00000000-0010-0000-0300-000005000000}" name="Y1 Q4 quantity" dataDxfId="452" dataCellStyle="Comma"/>
    <tableColumn id="6" xr3:uid="{00000000-0010-0000-0300-000006000000}" name="Y1 Total quantity" dataDxfId="451" dataCellStyle="Comma">
      <calculatedColumnFormula>SUM(Table69[[#This Row],[Y1 Q1 quantity]:[Y1 Q4 quantity]])</calculatedColumnFormula>
    </tableColumn>
    <tableColumn id="7" xr3:uid="{00000000-0010-0000-0300-000007000000}" name="Y1 Total cost" dataDxfId="450" dataCellStyle="Comma">
      <calculatedColumnFormula>Table69[[#This Row],[Y1 Unit cost]]*Table69[[#This Row],[Y1 Total quantity]]</calculatedColumnFormula>
    </tableColumn>
    <tableColumn id="8" xr3:uid="{00000000-0010-0000-0300-000008000000}" name="Y2 Unit cost" dataDxfId="449" dataCellStyle="Comma"/>
    <tableColumn id="9" xr3:uid="{00000000-0010-0000-0300-000009000000}" name="Y2 Q1 quantity" dataDxfId="448" dataCellStyle="Comma"/>
    <tableColumn id="10" xr3:uid="{00000000-0010-0000-0300-00000A000000}" name="Y2 Q2 quantity" dataDxfId="447" dataCellStyle="Comma"/>
    <tableColumn id="11" xr3:uid="{00000000-0010-0000-0300-00000B000000}" name="Y2 Q3 quantity" dataDxfId="446" dataCellStyle="Comma"/>
    <tableColumn id="12" xr3:uid="{00000000-0010-0000-0300-00000C000000}" name="Y2 Q4 quantity" dataDxfId="445" dataCellStyle="Comma"/>
    <tableColumn id="13" xr3:uid="{00000000-0010-0000-0300-00000D000000}" name="Y2 Total quantity" dataDxfId="444" dataCellStyle="Comma">
      <calculatedColumnFormula>SUM(Table69[[#This Row],[Y2 Q1 quantity]:[Y2 Q4 quantity]])</calculatedColumnFormula>
    </tableColumn>
    <tableColumn id="14" xr3:uid="{00000000-0010-0000-0300-00000E000000}" name="Y2 Total cost" dataDxfId="443" dataCellStyle="Comma">
      <calculatedColumnFormula>Table69[[#This Row],[Y2 Unit cost]]*Table69[[#This Row],[Y2 Total quantity]]</calculatedColumnFormula>
    </tableColumn>
    <tableColumn id="15" xr3:uid="{00000000-0010-0000-0300-00000F000000}" name="Y3 Unit cost" dataDxfId="442" dataCellStyle="Comma"/>
    <tableColumn id="16" xr3:uid="{00000000-0010-0000-0300-000010000000}" name="Y3 Q1 quantity" dataDxfId="441" dataCellStyle="Comma"/>
    <tableColumn id="17" xr3:uid="{00000000-0010-0000-0300-000011000000}" name="Y3 Q2 quantity" dataDxfId="440" dataCellStyle="Comma"/>
    <tableColumn id="18" xr3:uid="{00000000-0010-0000-0300-000012000000}" name="Y3 Q3 quantity" dataDxfId="439" dataCellStyle="Comma"/>
    <tableColumn id="19" xr3:uid="{00000000-0010-0000-0300-000013000000}" name="Y3 Q4 quantity" dataDxfId="438" dataCellStyle="Comma"/>
    <tableColumn id="20" xr3:uid="{00000000-0010-0000-0300-000014000000}" name="Y3 Total quantity" dataDxfId="437" dataCellStyle="Comma">
      <calculatedColumnFormula>SUM(Table69[[#This Row],[Y3 Q1 quantity]:[Y3 Q4 quantity]])</calculatedColumnFormula>
    </tableColumn>
    <tableColumn id="21" xr3:uid="{00000000-0010-0000-0300-000015000000}" name="Y3 Total cost" dataDxfId="436" dataCellStyle="Comma">
      <calculatedColumnFormula>Table69[[#This Row],[Y3 Unit cost]]*Table69[[#This Row],[Y3 Total quantity]]</calculatedColumnFormula>
    </tableColumn>
    <tableColumn id="22" xr3:uid="{00000000-0010-0000-0300-000016000000}" name="Total quantity" dataDxfId="435" dataCellStyle="Comma">
      <calculatedColumnFormula>Table69[[#This Row],[Y1 Total quantity]]+Table69[[#This Row],[Y2 Total quantity]]+Table69[[#This Row],[Y3 Total quantity]]</calculatedColumnFormula>
    </tableColumn>
    <tableColumn id="23" xr3:uid="{00000000-0010-0000-0300-000017000000}" name="Total cost " dataDxfId="434" dataCellStyle="Comma">
      <calculatedColumnFormula>Table69[[#This Row],[Y1 Total cost]]+Table69[[#This Row],[Y2 Total cost]]+Table69[[#This Row],[Y3 Total cost]]</calculatedColumnFormula>
    </tableColumn>
    <tableColumn id="24" xr3:uid="{00000000-0010-0000-0300-000018000000}" name="Cost input" dataDxfId="433">
      <calculatedColumnFormula>IF(ISBLANK(A14),"",IF(ISNUMBER(SEARCH("Lubricant",E14)),"5.8",IF(ISNUMBER(SEARCH("Female",E14)),"5.3","5.2")))</calculatedColumnFormula>
    </tableColumn>
  </tableColumns>
  <tableStyleInfo name="TableStyleLight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4000000}" name="Table6912" displayName="Table6912" ref="M82:AJ114" totalsRowShown="0" headerRowDxfId="432" dataDxfId="430" headerRowBorderDxfId="431" tableBorderDxfId="429">
  <autoFilter ref="M82:AJ114" xr:uid="{00000000-0009-0000-0100-00000B000000}"/>
  <tableColumns count="24">
    <tableColumn id="1" xr3:uid="{00000000-0010-0000-0400-000001000000}" name="Y1 Unit cost" dataDxfId="428" dataCellStyle="Comma"/>
    <tableColumn id="2" xr3:uid="{00000000-0010-0000-0400-000002000000}" name="Y1 Q1 quantity" dataDxfId="427" dataCellStyle="Comma"/>
    <tableColumn id="3" xr3:uid="{00000000-0010-0000-0400-000003000000}" name="Y1 Q2 quantity" dataDxfId="426" dataCellStyle="Comma"/>
    <tableColumn id="4" xr3:uid="{00000000-0010-0000-0400-000004000000}" name="Y1 Q3 quantity" dataDxfId="425" dataCellStyle="Comma"/>
    <tableColumn id="5" xr3:uid="{00000000-0010-0000-0400-000005000000}" name="Y1 Q4 quantity" dataDxfId="424" dataCellStyle="Comma"/>
    <tableColumn id="6" xr3:uid="{00000000-0010-0000-0400-000006000000}" name="Y1 Total quantity" dataDxfId="423" dataCellStyle="Comma">
      <calculatedColumnFormula>SUM(Table6912[[#This Row],[Y1 Q1 quantity]:[Y1 Q4 quantity]])</calculatedColumnFormula>
    </tableColumn>
    <tableColumn id="7" xr3:uid="{00000000-0010-0000-0400-000007000000}" name="Y1 Total cost" dataDxfId="422" dataCellStyle="Comma">
      <calculatedColumnFormula>Table6912[[#This Row],[Y1 Unit cost]]*Table6912[[#This Row],[Y1 Total quantity]]</calculatedColumnFormula>
    </tableColumn>
    <tableColumn id="8" xr3:uid="{00000000-0010-0000-0400-000008000000}" name="Y2 Unit cost" dataDxfId="421" dataCellStyle="Comma"/>
    <tableColumn id="9" xr3:uid="{00000000-0010-0000-0400-000009000000}" name="Y2 Q1 quantity" dataDxfId="420" dataCellStyle="Comma"/>
    <tableColumn id="10" xr3:uid="{00000000-0010-0000-0400-00000A000000}" name="Y2 Q2 quantity" dataDxfId="419" dataCellStyle="Comma"/>
    <tableColumn id="11" xr3:uid="{00000000-0010-0000-0400-00000B000000}" name="Y2 Q3 quantity" dataDxfId="418" dataCellStyle="Comma"/>
    <tableColumn id="12" xr3:uid="{00000000-0010-0000-0400-00000C000000}" name="Y2 Q4 quantity" dataDxfId="417" dataCellStyle="Comma"/>
    <tableColumn id="13" xr3:uid="{00000000-0010-0000-0400-00000D000000}" name="Y2 Total quantity" dataDxfId="416" dataCellStyle="Comma">
      <calculatedColumnFormula>SUM(Table6912[[#This Row],[Y2 Q1 quantity]:[Y2 Q4 quantity]])</calculatedColumnFormula>
    </tableColumn>
    <tableColumn id="14" xr3:uid="{00000000-0010-0000-0400-00000E000000}" name="Y2 Total cost" dataDxfId="415" dataCellStyle="Comma">
      <calculatedColumnFormula>Table6912[[#This Row],[Y2 Unit cost]]*Table6912[[#This Row],[Y2 Total quantity]]</calculatedColumnFormula>
    </tableColumn>
    <tableColumn id="15" xr3:uid="{00000000-0010-0000-0400-00000F000000}" name="Y3 Unit cost" dataDxfId="414" dataCellStyle="Comma"/>
    <tableColumn id="16" xr3:uid="{00000000-0010-0000-0400-000010000000}" name="Y3 Q1 quantity" dataDxfId="413" dataCellStyle="Comma"/>
    <tableColumn id="17" xr3:uid="{00000000-0010-0000-0400-000011000000}" name="Y3 Q2 quantity" dataDxfId="412" dataCellStyle="Comma"/>
    <tableColumn id="18" xr3:uid="{00000000-0010-0000-0400-000012000000}" name="Y3 Q3 quantity" dataDxfId="411" dataCellStyle="Comma"/>
    <tableColumn id="19" xr3:uid="{00000000-0010-0000-0400-000013000000}" name="Y3 Q4 quantity" dataDxfId="410" dataCellStyle="Comma"/>
    <tableColumn id="20" xr3:uid="{00000000-0010-0000-0400-000014000000}" name="Y3 Total quantity" dataDxfId="409" dataCellStyle="Comma">
      <calculatedColumnFormula>SUM(Table6912[[#This Row],[Y3 Q1 quantity]:[Y3 Q4 quantity]])</calculatedColumnFormula>
    </tableColumn>
    <tableColumn id="21" xr3:uid="{00000000-0010-0000-0400-000015000000}" name="Y3 Total cost" dataDxfId="408" dataCellStyle="Comma">
      <calculatedColumnFormula>Table6912[[#This Row],[Y3 Unit cost]]*Table6912[[#This Row],[Y3 Total quantity]]</calculatedColumnFormula>
    </tableColumn>
    <tableColumn id="22" xr3:uid="{00000000-0010-0000-0400-000016000000}" name="Total quantity" dataDxfId="407" dataCellStyle="Comma">
      <calculatedColumnFormula>Table6912[[#This Row],[Y1 Total quantity]]+Table6912[[#This Row],[Y2 Total quantity]]+Table6912[[#This Row],[Y3 Total quantity]]</calculatedColumnFormula>
    </tableColumn>
    <tableColumn id="23" xr3:uid="{00000000-0010-0000-0400-000017000000}" name="Total cost " dataDxfId="406" dataCellStyle="Comma">
      <calculatedColumnFormula>Table6912[[#This Row],[Y1 Total cost]]+Table6912[[#This Row],[Y2 Total cost]]+Table6912[[#This Row],[Y3 Total cost]]</calculatedColumnFormula>
    </tableColumn>
    <tableColumn id="24" xr3:uid="{00000000-0010-0000-0400-000018000000}" name="Cost input" dataDxfId="405">
      <calculatedColumnFormula>IF(ISBLANK(D83),"","5.6")</calculatedColumnFormula>
    </tableColumn>
  </tableColumns>
  <tableStyleInfo name="TableStyleLight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5000000}" name="Table691213" displayName="Table691213" ref="M122:AJ223" totalsRowShown="0" headerRowDxfId="404" dataDxfId="402" headerRowBorderDxfId="403" tableBorderDxfId="401">
  <autoFilter ref="M122:AJ223" xr:uid="{00000000-0009-0000-0100-00000C000000}"/>
  <tableColumns count="24">
    <tableColumn id="1" xr3:uid="{00000000-0010-0000-0500-000001000000}" name="Y1 Unit cost" dataDxfId="400" dataCellStyle="Comma"/>
    <tableColumn id="2" xr3:uid="{00000000-0010-0000-0500-000002000000}" name="Y1 Q1 quantity" dataDxfId="399" dataCellStyle="Comma"/>
    <tableColumn id="3" xr3:uid="{00000000-0010-0000-0500-000003000000}" name="Y1 Q2 quantity" dataDxfId="398" dataCellStyle="Comma"/>
    <tableColumn id="4" xr3:uid="{00000000-0010-0000-0500-000004000000}" name="Y1 Q3 quantity" dataDxfId="397" dataCellStyle="Comma"/>
    <tableColumn id="5" xr3:uid="{00000000-0010-0000-0500-000005000000}" name="Y1 Q4 quantity" dataDxfId="396" dataCellStyle="Comma"/>
    <tableColumn id="6" xr3:uid="{00000000-0010-0000-0500-000006000000}" name="Y1 Total quantity" dataDxfId="395" dataCellStyle="Comma">
      <calculatedColumnFormula>SUM(Table691213[[#This Row],[Y1 Q1 quantity]:[Y1 Q4 quantity]])</calculatedColumnFormula>
    </tableColumn>
    <tableColumn id="7" xr3:uid="{00000000-0010-0000-0500-000007000000}" name="Y1 Total cost" dataDxfId="394" dataCellStyle="Comma">
      <calculatedColumnFormula>Table691213[[#This Row],[Y1 Unit cost]]*Table691213[[#This Row],[Y1 Total quantity]]</calculatedColumnFormula>
    </tableColumn>
    <tableColumn id="8" xr3:uid="{00000000-0010-0000-0500-000008000000}" name="Y2 Unit cost" dataDxfId="393" dataCellStyle="Comma"/>
    <tableColumn id="9" xr3:uid="{00000000-0010-0000-0500-000009000000}" name="Y2 Q1 quantity" dataDxfId="392" dataCellStyle="Comma"/>
    <tableColumn id="10" xr3:uid="{00000000-0010-0000-0500-00000A000000}" name="Y2 Q2 quantity" dataDxfId="391" dataCellStyle="Comma"/>
    <tableColumn id="11" xr3:uid="{00000000-0010-0000-0500-00000B000000}" name="Y2 Q3 quantity" dataDxfId="390" dataCellStyle="Comma"/>
    <tableColumn id="12" xr3:uid="{00000000-0010-0000-0500-00000C000000}" name="Y2 Q4 quantity" dataDxfId="389" dataCellStyle="Comma"/>
    <tableColumn id="13" xr3:uid="{00000000-0010-0000-0500-00000D000000}" name="Y2 Total quantity" dataDxfId="388" dataCellStyle="Comma">
      <calculatedColumnFormula>SUM(Table691213[[#This Row],[Y2 Q1 quantity]:[Y2 Q4 quantity]])</calculatedColumnFormula>
    </tableColumn>
    <tableColumn id="14" xr3:uid="{00000000-0010-0000-0500-00000E000000}" name="Y2 Total cost" dataDxfId="387" dataCellStyle="Comma">
      <calculatedColumnFormula>Table691213[[#This Row],[Y2 Unit cost]]*Table691213[[#This Row],[Y2 Total quantity]]</calculatedColumnFormula>
    </tableColumn>
    <tableColumn id="15" xr3:uid="{00000000-0010-0000-0500-00000F000000}" name="Y3 Unit cost" dataDxfId="386" dataCellStyle="Comma"/>
    <tableColumn id="16" xr3:uid="{00000000-0010-0000-0500-000010000000}" name="Y3 Q1 quantity" dataDxfId="385" dataCellStyle="Comma"/>
    <tableColumn id="17" xr3:uid="{00000000-0010-0000-0500-000011000000}" name="Y3 Q2 quantity" dataDxfId="384" dataCellStyle="Comma"/>
    <tableColumn id="18" xr3:uid="{00000000-0010-0000-0500-000012000000}" name="Y3 Q3 quantity" dataDxfId="383" dataCellStyle="Comma"/>
    <tableColumn id="19" xr3:uid="{00000000-0010-0000-0500-000013000000}" name="Y3 Q4 quantity" dataDxfId="382" dataCellStyle="Comma"/>
    <tableColumn id="20" xr3:uid="{00000000-0010-0000-0500-000014000000}" name="Y3 Total quantity" dataDxfId="381" dataCellStyle="Comma">
      <calculatedColumnFormula>SUM(Table691213[[#This Row],[Y3 Q1 quantity]:[Y3 Q4 quantity]])</calculatedColumnFormula>
    </tableColumn>
    <tableColumn id="21" xr3:uid="{00000000-0010-0000-0500-000015000000}" name="Y3 Total cost" dataDxfId="380" dataCellStyle="Comma">
      <calculatedColumnFormula>Table691213[[#This Row],[Y3 Unit cost]]*Table691213[[#This Row],[Y3 Total quantity]]</calculatedColumnFormula>
    </tableColumn>
    <tableColumn id="22" xr3:uid="{00000000-0010-0000-0500-000016000000}" name="Total quantity" dataDxfId="379" dataCellStyle="Comma">
      <calculatedColumnFormula>Table691213[[#This Row],[Y1 Total quantity]]+Table691213[[#This Row],[Y2 Total quantity]]+Table691213[[#This Row],[Y3 Total quantity]]</calculatedColumnFormula>
    </tableColumn>
    <tableColumn id="23" xr3:uid="{00000000-0010-0000-0500-000017000000}" name="Total cost " dataDxfId="378" dataCellStyle="Comma">
      <calculatedColumnFormula>Table691213[[#This Row],[Y1 Total cost]]+Table691213[[#This Row],[Y2 Total cost]]+Table691213[[#This Row],[Y3 Total cost]]</calculatedColumnFormula>
    </tableColumn>
    <tableColumn id="24" xr3:uid="{00000000-0010-0000-0500-000018000000}" name="Cost input" dataDxfId="377">
      <calculatedColumnFormula>IF(ISBLANK(D123),"",IF(OR(ISNUMBER(SEARCH("Equipment",G123)),ISNUMBER(SEARCH("Spare",G123)),ISNUMBER(SEARCH("Laboratory equipment",D123)),ISNUMBER(SEARCH("ECG",D123)),ISNUMBER(SEARCH("Equipment-Other",D123)),ISNUMBER(SEARCH("X-ray",D123))),"6.6",IF(OR(ISNUMBER(SEARCH("Warranty",G123)),ISNUMBER(SEARCH("Calibration",G123)),ISNUMBER(SEARCH("maintenance and services",D123)),ISNUMBER(SEARCH("Autoclave",D123))),"6.5",IF(ISNUMBER(SEARCH("Syringes",D123)),"5.7",IF(ISNUMBER(SEARCH("Consumables",D123)),"5.8",IF(ISNUMBER(SEARCH("Rapid Diagnostic Test",D123)),"5.4","5.6"))))))</calculatedColumnFormula>
    </tableColumn>
  </tableColumns>
  <tableStyleInfo name="TableStyleLight7"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6000000}" name="Table6914" displayName="Table6914" ref="N48:AK74" totalsRowShown="0" headerRowDxfId="376" dataDxfId="374" headerRowBorderDxfId="375" tableBorderDxfId="373">
  <autoFilter ref="N48:AK74" xr:uid="{00000000-0009-0000-0100-00000D000000}"/>
  <tableColumns count="24">
    <tableColumn id="1" xr3:uid="{00000000-0010-0000-0600-000001000000}" name="Y1 Unit cost" dataDxfId="372" dataCellStyle="Comma"/>
    <tableColumn id="2" xr3:uid="{00000000-0010-0000-0600-000002000000}" name="Y1 Q1 quantity" dataDxfId="371" dataCellStyle="Comma"/>
    <tableColumn id="3" xr3:uid="{00000000-0010-0000-0600-000003000000}" name="Y1 Q2 quantity" dataDxfId="370" dataCellStyle="Comma"/>
    <tableColumn id="4" xr3:uid="{00000000-0010-0000-0600-000004000000}" name="Y1 Q3 quantity" dataDxfId="369" dataCellStyle="Comma"/>
    <tableColumn id="5" xr3:uid="{00000000-0010-0000-0600-000005000000}" name="Y1 Q4 quantity" dataDxfId="368" dataCellStyle="Comma"/>
    <tableColumn id="6" xr3:uid="{00000000-0010-0000-0600-000006000000}" name="Y1 Total quantity" dataDxfId="367" dataCellStyle="Comma">
      <calculatedColumnFormula>SUM(Table6914[[#This Row],[Y1 Q1 quantity]:[Y1 Q4 quantity]])</calculatedColumnFormula>
    </tableColumn>
    <tableColumn id="7" xr3:uid="{00000000-0010-0000-0600-000007000000}" name="Y1 Total cost" dataDxfId="366" dataCellStyle="Comma">
      <calculatedColumnFormula>Table6914[[#This Row],[Y1 Unit cost]]*Table6914[[#This Row],[Y1 Total quantity]]</calculatedColumnFormula>
    </tableColumn>
    <tableColumn id="8" xr3:uid="{00000000-0010-0000-0600-000008000000}" name="Y2 Unit cost" dataDxfId="365" dataCellStyle="Comma"/>
    <tableColumn id="9" xr3:uid="{00000000-0010-0000-0600-000009000000}" name="Y2 Q1 quantity" dataDxfId="364" dataCellStyle="Comma"/>
    <tableColumn id="10" xr3:uid="{00000000-0010-0000-0600-00000A000000}" name="Y2 Q2 quantity" dataDxfId="363" dataCellStyle="Comma"/>
    <tableColumn id="11" xr3:uid="{00000000-0010-0000-0600-00000B000000}" name="Y2 Q3 quantity" dataDxfId="362" dataCellStyle="Comma"/>
    <tableColumn id="12" xr3:uid="{00000000-0010-0000-0600-00000C000000}" name="Y2 Q4 quantity" dataDxfId="361" dataCellStyle="Comma"/>
    <tableColumn id="13" xr3:uid="{00000000-0010-0000-0600-00000D000000}" name="Y2 Total quantity" dataDxfId="360" dataCellStyle="Comma">
      <calculatedColumnFormula>SUM(Table6914[[#This Row],[Y2 Q1 quantity]:[Y2 Q4 quantity]])</calculatedColumnFormula>
    </tableColumn>
    <tableColumn id="14" xr3:uid="{00000000-0010-0000-0600-00000E000000}" name="Y2 Total cost" dataDxfId="359" dataCellStyle="Comma">
      <calculatedColumnFormula>Table6914[[#This Row],[Y2 Unit cost]]*Table6914[[#This Row],[Y2 Total quantity]]</calculatedColumnFormula>
    </tableColumn>
    <tableColumn id="15" xr3:uid="{00000000-0010-0000-0600-00000F000000}" name="Y3 Unit cost" dataDxfId="358" dataCellStyle="Comma"/>
    <tableColumn id="16" xr3:uid="{00000000-0010-0000-0600-000010000000}" name="Y3 Q1 quantity" dataDxfId="357" dataCellStyle="Comma"/>
    <tableColumn id="17" xr3:uid="{00000000-0010-0000-0600-000011000000}" name="Y3 Q2 quantity" dataDxfId="356" dataCellStyle="Comma"/>
    <tableColumn id="18" xr3:uid="{00000000-0010-0000-0600-000012000000}" name="Y3 Q3 quantity" dataDxfId="355" dataCellStyle="Comma"/>
    <tableColumn id="19" xr3:uid="{00000000-0010-0000-0600-000013000000}" name="Y3 Q4 quantity" dataDxfId="354" dataCellStyle="Comma"/>
    <tableColumn id="20" xr3:uid="{00000000-0010-0000-0600-000014000000}" name="Y3 Total quantity" dataDxfId="353" dataCellStyle="Comma">
      <calculatedColumnFormula>SUM(Table6914[[#This Row],[Y3 Q1 quantity]:[Y3 Q4 quantity]])</calculatedColumnFormula>
    </tableColumn>
    <tableColumn id="21" xr3:uid="{00000000-0010-0000-0600-000015000000}" name="Y3 Total cost" dataDxfId="352" dataCellStyle="Comma">
      <calculatedColumnFormula>Table6914[[#This Row],[Y3 Unit cost]]*Table6914[[#This Row],[Y3 Total quantity]]</calculatedColumnFormula>
    </tableColumn>
    <tableColumn id="22" xr3:uid="{00000000-0010-0000-0600-000016000000}" name="Total quantity" dataDxfId="351" dataCellStyle="Comma">
      <calculatedColumnFormula>Table6914[[#This Row],[Y1 Total quantity]]+Table6914[[#This Row],[Y2 Total quantity]]+Table6914[[#This Row],[Y3 Total quantity]]</calculatedColumnFormula>
    </tableColumn>
    <tableColumn id="23" xr3:uid="{00000000-0010-0000-0600-000017000000}" name="Total cost " dataDxfId="350" dataCellStyle="Comma">
      <calculatedColumnFormula>Table6914[[#This Row],[Y1 Total cost]]+Table6914[[#This Row],[Y2 Total cost]]+Table6914[[#This Row],[Y3 Total cost]]</calculatedColumnFormula>
    </tableColumn>
    <tableColumn id="24" xr3:uid="{00000000-0010-0000-0600-000018000000}" name="Cost input" dataDxfId="349">
      <calculatedColumnFormula>IF(ISBLANK(E49),"","5.4")</calculatedColumnFormula>
    </tableColumn>
  </tableColumns>
  <tableStyleInfo name="TableStyleLight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3.xml"/><Relationship Id="rId1" Type="http://schemas.openxmlformats.org/officeDocument/2006/relationships/printerSettings" Target="../printerSettings/printerSettings20.bin"/><Relationship Id="rId6" Type="http://schemas.openxmlformats.org/officeDocument/2006/relationships/table" Target="../tables/table14.xml"/><Relationship Id="rId5" Type="http://schemas.openxmlformats.org/officeDocument/2006/relationships/table" Target="../tables/table13.xml"/><Relationship Id="rId4" Type="http://schemas.openxmlformats.org/officeDocument/2006/relationships/table" Target="../tables/table1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15.xml"/><Relationship Id="rId1" Type="http://schemas.openxmlformats.org/officeDocument/2006/relationships/printerSettings" Target="../printerSettings/printerSettings25.bin"/><Relationship Id="rId4" Type="http://schemas.openxmlformats.org/officeDocument/2006/relationships/table" Target="../tables/table16.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9.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31.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32.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table" Target="../tables/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4" tint="-0.249977111117893"/>
  </sheetPr>
  <dimension ref="A1:P37"/>
  <sheetViews>
    <sheetView showGridLines="0" zoomScale="85" zoomScaleNormal="85" workbookViewId="0">
      <selection activeCell="B9" sqref="B9:L9"/>
    </sheetView>
  </sheetViews>
  <sheetFormatPr defaultColWidth="8.81640625" defaultRowHeight="14.5"/>
  <cols>
    <col min="1" max="1" width="8.81640625" style="78"/>
    <col min="2" max="5" width="15.36328125" style="78" customWidth="1"/>
    <col min="6" max="6" width="8.36328125" style="78" customWidth="1"/>
    <col min="7" max="10" width="15.36328125" style="78" customWidth="1"/>
    <col min="11" max="12" width="14" style="78" customWidth="1"/>
    <col min="13" max="13" width="8.81640625" style="78"/>
    <col min="14" max="14" width="8.81640625" style="852"/>
    <col min="15" max="16384" width="8.81640625" style="78"/>
  </cols>
  <sheetData>
    <row r="1" spans="1:16" ht="24" thickBot="1">
      <c r="A1" s="1927" t="s">
        <v>7650</v>
      </c>
      <c r="B1" s="1928"/>
      <c r="C1" s="1928"/>
      <c r="D1" s="1928"/>
      <c r="E1" s="1928"/>
      <c r="F1" s="1928"/>
      <c r="G1" s="1928"/>
      <c r="H1" s="1928"/>
      <c r="I1" s="1928"/>
      <c r="J1" s="1929"/>
      <c r="K1" s="82"/>
      <c r="L1" s="1916"/>
    </row>
    <row r="2" spans="1:16">
      <c r="A2" s="362"/>
      <c r="B2" s="362"/>
      <c r="C2" s="362"/>
      <c r="D2" s="362"/>
      <c r="E2" s="362"/>
      <c r="F2" s="362"/>
      <c r="G2" s="362"/>
      <c r="H2" s="362"/>
      <c r="I2" s="362"/>
      <c r="J2" s="362"/>
      <c r="K2" s="82"/>
      <c r="L2" s="1916"/>
    </row>
    <row r="3" spans="1:16" ht="15" hidden="1" customHeight="1" thickBot="1">
      <c r="A3" s="363"/>
      <c r="B3" s="1930" t="s">
        <v>0</v>
      </c>
      <c r="C3" s="1932">
        <f>SETUP!$E$3</f>
        <v>0</v>
      </c>
      <c r="D3" s="1932"/>
      <c r="E3" s="1932"/>
      <c r="F3" s="364"/>
      <c r="G3" s="1921" t="s">
        <v>1</v>
      </c>
      <c r="H3" s="1923">
        <f>GRAN_NO</f>
        <v>0</v>
      </c>
      <c r="I3" s="1923"/>
      <c r="J3" s="1924"/>
      <c r="K3" s="82"/>
      <c r="L3" s="371"/>
    </row>
    <row r="4" spans="1:16" ht="15.75" hidden="1" customHeight="1" thickTop="1" thickBot="1">
      <c r="A4" s="365"/>
      <c r="B4" s="1931"/>
      <c r="C4" s="1933"/>
      <c r="D4" s="1933"/>
      <c r="E4" s="1933"/>
      <c r="F4" s="366"/>
      <c r="G4" s="1922"/>
      <c r="H4" s="1925"/>
      <c r="I4" s="1925"/>
      <c r="J4" s="1926"/>
      <c r="K4" s="82"/>
      <c r="L4" s="372"/>
    </row>
    <row r="5" spans="1:16" ht="15" hidden="1" thickBot="1">
      <c r="A5" s="365"/>
      <c r="B5" s="1917" t="s">
        <v>2</v>
      </c>
      <c r="C5" s="1919" t="str">
        <f>SETUP!$E$6</f>
        <v>HIV</v>
      </c>
      <c r="D5" s="1919"/>
      <c r="E5" s="1919"/>
      <c r="F5" s="367"/>
      <c r="G5" s="1934" t="s">
        <v>3</v>
      </c>
      <c r="H5" s="1936">
        <f>SETUP!E7</f>
        <v>0</v>
      </c>
      <c r="I5" s="1936"/>
      <c r="J5" s="1937"/>
      <c r="K5" s="82"/>
      <c r="L5" s="372"/>
    </row>
    <row r="6" spans="1:16" ht="15.5" hidden="1" thickTop="1" thickBot="1">
      <c r="A6" s="368"/>
      <c r="B6" s="1918"/>
      <c r="C6" s="1920"/>
      <c r="D6" s="1920"/>
      <c r="E6" s="1920"/>
      <c r="F6" s="369"/>
      <c r="G6" s="1935"/>
      <c r="H6" s="1938"/>
      <c r="I6" s="1938"/>
      <c r="J6" s="1939"/>
      <c r="K6" s="82"/>
      <c r="L6" s="372"/>
    </row>
    <row r="7" spans="1:16">
      <c r="A7" s="370"/>
      <c r="B7" s="370"/>
      <c r="C7" s="370"/>
      <c r="D7" s="370"/>
      <c r="E7" s="370"/>
      <c r="F7" s="370"/>
      <c r="G7" s="370"/>
      <c r="H7" s="370"/>
      <c r="I7" s="370"/>
      <c r="J7" s="370"/>
      <c r="K7" s="91"/>
      <c r="L7" s="91"/>
    </row>
    <row r="8" spans="1:16">
      <c r="A8" s="1940" t="s">
        <v>4</v>
      </c>
      <c r="B8" s="1940"/>
      <c r="C8" s="1940"/>
      <c r="D8" s="1940"/>
      <c r="E8" s="1940"/>
      <c r="F8" s="1940"/>
      <c r="G8" s="1940"/>
      <c r="H8" s="1940"/>
      <c r="I8" s="1940"/>
      <c r="J8" s="1940"/>
      <c r="K8" s="1940"/>
      <c r="L8" s="1940"/>
    </row>
    <row r="9" spans="1:16" s="171" customFormat="1" ht="50.25" customHeight="1">
      <c r="A9" s="1787"/>
      <c r="B9" s="1909" t="s">
        <v>7599</v>
      </c>
      <c r="C9" s="1915"/>
      <c r="D9" s="1915"/>
      <c r="E9" s="1915"/>
      <c r="F9" s="1915"/>
      <c r="G9" s="1915"/>
      <c r="H9" s="1915"/>
      <c r="I9" s="1915"/>
      <c r="J9" s="1915"/>
      <c r="K9" s="1915"/>
      <c r="L9" s="1915"/>
      <c r="N9" s="1559" t="b">
        <v>0</v>
      </c>
    </row>
    <row r="10" spans="1:16" s="171" customFormat="1" ht="30.75" customHeight="1">
      <c r="A10" s="1787"/>
      <c r="B10" s="1915" t="s">
        <v>5</v>
      </c>
      <c r="C10" s="1915"/>
      <c r="D10" s="1915"/>
      <c r="E10" s="1915"/>
      <c r="F10" s="1915"/>
      <c r="G10" s="1915"/>
      <c r="H10" s="1915"/>
      <c r="I10" s="1915"/>
      <c r="J10" s="1915"/>
      <c r="K10" s="1915"/>
      <c r="L10" s="1915"/>
      <c r="N10" s="1559" t="b">
        <v>0</v>
      </c>
    </row>
    <row r="11" spans="1:16" s="171" customFormat="1" ht="30.75" customHeight="1">
      <c r="A11" s="1787"/>
      <c r="B11" s="1915" t="s">
        <v>6</v>
      </c>
      <c r="C11" s="1915"/>
      <c r="D11" s="1915"/>
      <c r="E11" s="1915"/>
      <c r="F11" s="1915"/>
      <c r="G11" s="1915"/>
      <c r="H11" s="1915"/>
      <c r="I11" s="1915"/>
      <c r="J11" s="1915"/>
      <c r="K11" s="1915"/>
      <c r="L11" s="1915"/>
      <c r="N11" s="1559" t="b">
        <v>0</v>
      </c>
      <c r="P11" s="1558"/>
    </row>
    <row r="12" spans="1:16" s="171" customFormat="1" ht="30.75" customHeight="1">
      <c r="A12" s="1787"/>
      <c r="B12" s="1915" t="s">
        <v>7</v>
      </c>
      <c r="C12" s="1915"/>
      <c r="D12" s="1915"/>
      <c r="E12" s="1915"/>
      <c r="F12" s="1915"/>
      <c r="G12" s="1915"/>
      <c r="H12" s="1915"/>
      <c r="I12" s="1915"/>
      <c r="J12" s="1915"/>
      <c r="K12" s="1915"/>
      <c r="L12" s="1915"/>
      <c r="N12" s="1559" t="b">
        <v>0</v>
      </c>
    </row>
    <row r="13" spans="1:16" s="171" customFormat="1" ht="30.75" customHeight="1">
      <c r="A13" s="1787"/>
      <c r="B13" s="1915" t="s">
        <v>7600</v>
      </c>
      <c r="C13" s="1915"/>
      <c r="D13" s="1915"/>
      <c r="E13" s="1915"/>
      <c r="F13" s="1915"/>
      <c r="G13" s="1915"/>
      <c r="H13" s="1915"/>
      <c r="I13" s="1915"/>
      <c r="J13" s="1915"/>
      <c r="K13" s="1915"/>
      <c r="L13" s="1915"/>
      <c r="N13" s="1559" t="b">
        <v>0</v>
      </c>
    </row>
    <row r="14" spans="1:16" s="171" customFormat="1" ht="50.25" customHeight="1">
      <c r="A14" s="1787"/>
      <c r="B14" s="1909" t="s">
        <v>7601</v>
      </c>
      <c r="C14" s="1915"/>
      <c r="D14" s="1915"/>
      <c r="E14" s="1915"/>
      <c r="F14" s="1915"/>
      <c r="G14" s="1915"/>
      <c r="H14" s="1915"/>
      <c r="I14" s="1915"/>
      <c r="J14" s="1915"/>
      <c r="K14" s="1915"/>
      <c r="L14" s="1915"/>
      <c r="N14" s="1559" t="b">
        <v>0</v>
      </c>
    </row>
    <row r="15" spans="1:16" s="171" customFormat="1" ht="30.75" customHeight="1">
      <c r="A15" s="1787"/>
      <c r="B15" s="1915" t="s">
        <v>8</v>
      </c>
      <c r="C15" s="1915"/>
      <c r="D15" s="1915"/>
      <c r="E15" s="1915"/>
      <c r="F15" s="1915"/>
      <c r="G15" s="1915"/>
      <c r="H15" s="1915"/>
      <c r="I15" s="1915"/>
      <c r="J15" s="1915"/>
      <c r="K15" s="1915"/>
      <c r="L15" s="1915"/>
      <c r="N15" s="1559" t="b">
        <v>0</v>
      </c>
    </row>
    <row r="16" spans="1:16" s="1557" customFormat="1" ht="30.75" customHeight="1">
      <c r="A16" s="1788"/>
      <c r="B16" s="1909" t="s">
        <v>7602</v>
      </c>
      <c r="C16" s="1909"/>
      <c r="D16" s="1909"/>
      <c r="E16" s="1909"/>
      <c r="F16" s="1909"/>
      <c r="G16" s="1909"/>
      <c r="H16" s="1909"/>
      <c r="I16" s="1909"/>
      <c r="J16" s="1909"/>
      <c r="K16" s="1909"/>
      <c r="L16" s="1909"/>
      <c r="N16" s="1560" t="b">
        <v>0</v>
      </c>
    </row>
    <row r="17" spans="1:14" s="1557" customFormat="1" ht="30.75" customHeight="1">
      <c r="A17" s="1788"/>
      <c r="B17" s="1909" t="s">
        <v>9</v>
      </c>
      <c r="C17" s="1909"/>
      <c r="D17" s="1909"/>
      <c r="E17" s="1909"/>
      <c r="F17" s="1909"/>
      <c r="G17" s="1909"/>
      <c r="H17" s="1909"/>
      <c r="I17" s="1909"/>
      <c r="J17" s="1909"/>
      <c r="K17" s="1909"/>
      <c r="L17" s="1909"/>
      <c r="N17" s="1560" t="b">
        <v>0</v>
      </c>
    </row>
    <row r="18" spans="1:14" s="1557" customFormat="1" ht="30.75" customHeight="1">
      <c r="A18" s="1788"/>
      <c r="B18" s="1909" t="s">
        <v>10</v>
      </c>
      <c r="C18" s="1909"/>
      <c r="D18" s="1909"/>
      <c r="E18" s="1909"/>
      <c r="F18" s="1909"/>
      <c r="G18" s="1909"/>
      <c r="H18" s="1909"/>
      <c r="I18" s="1909"/>
      <c r="J18" s="1909"/>
      <c r="K18" s="1909"/>
      <c r="L18" s="1909"/>
      <c r="N18" s="1560" t="b">
        <v>0</v>
      </c>
    </row>
    <row r="19" spans="1:14" s="1557" customFormat="1" ht="52.5" customHeight="1">
      <c r="A19" s="1788"/>
      <c r="B19" s="1909" t="s">
        <v>7603</v>
      </c>
      <c r="C19" s="1909"/>
      <c r="D19" s="1909"/>
      <c r="E19" s="1909"/>
      <c r="F19" s="1909"/>
      <c r="G19" s="1909"/>
      <c r="H19" s="1909"/>
      <c r="I19" s="1909"/>
      <c r="J19" s="1909"/>
      <c r="K19" s="1909"/>
      <c r="L19" s="1909"/>
      <c r="N19" s="1560" t="b">
        <v>0</v>
      </c>
    </row>
    <row r="20" spans="1:14" s="1557" customFormat="1" ht="55.5" customHeight="1">
      <c r="A20" s="1788"/>
      <c r="B20" s="1909" t="s">
        <v>7604</v>
      </c>
      <c r="C20" s="1909"/>
      <c r="D20" s="1909"/>
      <c r="E20" s="1909"/>
      <c r="F20" s="1909"/>
      <c r="G20" s="1909"/>
      <c r="H20" s="1909"/>
      <c r="I20" s="1909"/>
      <c r="J20" s="1909"/>
      <c r="K20" s="1909"/>
      <c r="L20" s="1909"/>
      <c r="N20" s="1560" t="b">
        <v>0</v>
      </c>
    </row>
    <row r="21" spans="1:14" s="1557" customFormat="1" ht="43.5" customHeight="1">
      <c r="A21" s="1788"/>
      <c r="B21" s="1909" t="s">
        <v>7605</v>
      </c>
      <c r="C21" s="1909"/>
      <c r="D21" s="1909"/>
      <c r="E21" s="1909"/>
      <c r="F21" s="1909"/>
      <c r="G21" s="1909"/>
      <c r="H21" s="1909"/>
      <c r="I21" s="1909"/>
      <c r="J21" s="1909"/>
      <c r="K21" s="1909"/>
      <c r="L21" s="1909"/>
      <c r="N21" s="1560" t="b">
        <v>0</v>
      </c>
    </row>
    <row r="22" spans="1:14" s="1557" customFormat="1" ht="94.9" customHeight="1">
      <c r="A22" s="1788"/>
      <c r="B22" s="1909" t="s">
        <v>7606</v>
      </c>
      <c r="C22" s="1909"/>
      <c r="D22" s="1909"/>
      <c r="E22" s="1909"/>
      <c r="F22" s="1909"/>
      <c r="G22" s="1909"/>
      <c r="H22" s="1909"/>
      <c r="I22" s="1909"/>
      <c r="J22" s="1909"/>
      <c r="K22" s="1909"/>
      <c r="L22" s="1909"/>
      <c r="N22" s="1560" t="b">
        <v>0</v>
      </c>
    </row>
    <row r="23" spans="1:14">
      <c r="A23" s="366"/>
      <c r="B23" s="399"/>
      <c r="C23" s="400"/>
      <c r="D23" s="400"/>
      <c r="E23" s="400"/>
      <c r="F23" s="400"/>
      <c r="G23" s="400"/>
      <c r="H23" s="400"/>
      <c r="I23" s="400"/>
      <c r="J23" s="400"/>
      <c r="K23" s="400"/>
      <c r="L23" s="400"/>
    </row>
    <row r="24" spans="1:14" ht="88.5" customHeight="1">
      <c r="A24" s="1911" t="s">
        <v>7607</v>
      </c>
      <c r="B24" s="1911"/>
      <c r="C24" s="1911"/>
      <c r="D24" s="1911"/>
      <c r="E24" s="1911"/>
      <c r="F24" s="1911"/>
      <c r="G24" s="1911"/>
      <c r="H24" s="1911"/>
      <c r="I24" s="1911"/>
      <c r="J24" s="1911"/>
      <c r="K24" s="1911"/>
      <c r="L24" s="1911"/>
    </row>
    <row r="25" spans="1:14">
      <c r="A25" s="366"/>
      <c r="B25" s="366"/>
      <c r="C25" s="366"/>
      <c r="D25" s="366"/>
      <c r="E25" s="366"/>
      <c r="F25" s="366"/>
      <c r="G25" s="366"/>
      <c r="H25" s="366"/>
      <c r="I25" s="366"/>
      <c r="J25" s="366"/>
      <c r="K25" s="366"/>
      <c r="L25" s="366"/>
    </row>
    <row r="26" spans="1:14" ht="15.5">
      <c r="A26" s="1910" t="s">
        <v>11</v>
      </c>
      <c r="B26" s="1910"/>
      <c r="C26" s="1910"/>
      <c r="D26" s="1910"/>
      <c r="E26" s="1910"/>
      <c r="F26" s="1910"/>
      <c r="G26" s="1910"/>
      <c r="H26" s="1910"/>
      <c r="I26" s="1910"/>
      <c r="J26" s="1910"/>
      <c r="K26" s="1910"/>
      <c r="L26" s="1910"/>
    </row>
    <row r="27" spans="1:14" ht="15.5">
      <c r="A27" s="1789"/>
      <c r="B27" s="1790" t="s">
        <v>7608</v>
      </c>
      <c r="C27" s="1791"/>
      <c r="D27" s="1791"/>
      <c r="E27" s="1791"/>
      <c r="F27" s="1791"/>
      <c r="G27" s="1791"/>
      <c r="H27" s="1791"/>
      <c r="I27" s="1791"/>
      <c r="J27" s="1791"/>
      <c r="K27" s="1791"/>
      <c r="L27" s="1791"/>
    </row>
    <row r="28" spans="1:14" ht="15.5">
      <c r="A28" s="1789"/>
      <c r="B28" s="1791" t="s">
        <v>7609</v>
      </c>
      <c r="C28" s="1791"/>
      <c r="D28" s="1791"/>
      <c r="E28" s="1791"/>
      <c r="F28" s="1791"/>
      <c r="G28" s="1791"/>
      <c r="H28" s="1791"/>
      <c r="I28" s="1791"/>
      <c r="J28" s="1791"/>
      <c r="K28" s="1791"/>
      <c r="L28" s="1791"/>
    </row>
    <row r="29" spans="1:14" ht="15.5">
      <c r="A29" s="1789"/>
      <c r="B29" s="1791" t="s">
        <v>7610</v>
      </c>
      <c r="C29" s="1791"/>
      <c r="D29" s="1791"/>
      <c r="E29" s="1791"/>
      <c r="F29" s="1791"/>
      <c r="G29" s="1791"/>
      <c r="H29" s="1791"/>
      <c r="I29" s="1791"/>
      <c r="J29" s="1791"/>
      <c r="K29" s="1791"/>
      <c r="L29" s="1791"/>
    </row>
    <row r="30" spans="1:14" ht="15.5">
      <c r="A30" s="1789"/>
      <c r="B30" s="1789" t="s">
        <v>7611</v>
      </c>
      <c r="C30" s="1789"/>
      <c r="D30" s="1789"/>
      <c r="E30" s="1789"/>
      <c r="F30" s="1789"/>
      <c r="G30" s="1789"/>
      <c r="H30" s="1789"/>
      <c r="I30" s="1789"/>
      <c r="J30" s="1789"/>
      <c r="K30" s="1789"/>
      <c r="L30" s="1789"/>
    </row>
    <row r="31" spans="1:14" ht="29.25" customHeight="1">
      <c r="A31" s="1789"/>
      <c r="B31" s="1912" t="s">
        <v>12</v>
      </c>
      <c r="C31" s="1913"/>
      <c r="D31" s="1913"/>
      <c r="E31" s="1913"/>
      <c r="F31" s="1913"/>
      <c r="G31" s="1913"/>
      <c r="H31" s="1913"/>
      <c r="I31" s="1913"/>
      <c r="J31" s="1913"/>
      <c r="K31" s="1913"/>
      <c r="L31" s="1914"/>
    </row>
    <row r="32" spans="1:14" ht="15" thickBot="1"/>
    <row r="33" spans="1:13" ht="176.25" customHeight="1" thickBot="1">
      <c r="A33" s="1704"/>
      <c r="B33" s="1908" t="s">
        <v>7612</v>
      </c>
      <c r="C33" s="1908"/>
      <c r="D33" s="1908"/>
      <c r="E33" s="1908"/>
      <c r="F33" s="1908"/>
      <c r="G33" s="1908"/>
      <c r="H33" s="1908"/>
      <c r="I33" s="1908"/>
      <c r="J33" s="1908"/>
      <c r="K33" s="1908"/>
      <c r="L33" s="1908"/>
      <c r="M33" s="1704"/>
    </row>
    <row r="34" spans="1:13">
      <c r="A34" s="474"/>
      <c r="B34" s="474"/>
      <c r="C34" s="474"/>
      <c r="D34" s="474"/>
      <c r="E34" s="474"/>
      <c r="F34" s="474"/>
      <c r="G34" s="474"/>
      <c r="H34" s="474"/>
      <c r="I34" s="474"/>
      <c r="J34" s="474"/>
      <c r="K34" s="474"/>
      <c r="L34" s="474"/>
    </row>
    <row r="35" spans="1:13">
      <c r="A35" s="474"/>
      <c r="B35" s="474"/>
      <c r="C35" s="474"/>
      <c r="D35" s="474"/>
      <c r="E35" s="474"/>
      <c r="F35" s="474"/>
      <c r="G35" s="474"/>
      <c r="H35" s="474"/>
      <c r="I35" s="474"/>
      <c r="J35" s="474"/>
      <c r="K35" s="474"/>
      <c r="L35" s="474"/>
    </row>
    <row r="36" spans="1:13">
      <c r="A36" s="474"/>
      <c r="B36" s="474"/>
      <c r="C36" s="474"/>
      <c r="D36" s="474"/>
      <c r="E36" s="474"/>
      <c r="F36" s="474"/>
      <c r="G36" s="474"/>
      <c r="H36" s="474"/>
      <c r="I36" s="474"/>
      <c r="J36" s="474"/>
      <c r="K36" s="474"/>
      <c r="L36" s="474"/>
    </row>
    <row r="37" spans="1:13">
      <c r="A37" s="474"/>
      <c r="B37" s="474"/>
      <c r="C37" s="474"/>
      <c r="D37" s="474"/>
      <c r="E37" s="474"/>
      <c r="F37" s="474"/>
      <c r="G37" s="474"/>
      <c r="H37" s="474"/>
      <c r="I37" s="474"/>
      <c r="J37" s="474"/>
      <c r="K37" s="474"/>
      <c r="L37" s="474"/>
    </row>
  </sheetData>
  <sheetProtection algorithmName="SHA-512" hashValue="iqKJc4EhoyCeB2gDMNE9dZxSela5NgGmHgdE2aEB3o4E+xQtwQlSGe8rRKW1OT5x7xiV6QuSoH9LIr+jizN/FQ==" saltValue="5NdJa3BxtvXCs9TRUfOMwQ==" spinCount="100000" sheet="1" objects="1" scenarios="1" formatColumns="0" formatRows="0" selectLockedCells="1" autoFilter="0" selectUnlockedCells="1"/>
  <mergeCells count="29">
    <mergeCell ref="A8:L8"/>
    <mergeCell ref="B9:L9"/>
    <mergeCell ref="B10:L10"/>
    <mergeCell ref="B11:L11"/>
    <mergeCell ref="B12:L12"/>
    <mergeCell ref="L1:L2"/>
    <mergeCell ref="B5:B6"/>
    <mergeCell ref="C5:E6"/>
    <mergeCell ref="G3:G4"/>
    <mergeCell ref="H3:J4"/>
    <mergeCell ref="A1:J1"/>
    <mergeCell ref="B3:B4"/>
    <mergeCell ref="C3:E4"/>
    <mergeCell ref="G5:G6"/>
    <mergeCell ref="H5:J6"/>
    <mergeCell ref="B13:L13"/>
    <mergeCell ref="B14:L14"/>
    <mergeCell ref="B15:L15"/>
    <mergeCell ref="B17:L17"/>
    <mergeCell ref="B16:L16"/>
    <mergeCell ref="B33:L33"/>
    <mergeCell ref="B18:L18"/>
    <mergeCell ref="B19:L19"/>
    <mergeCell ref="B20:L20"/>
    <mergeCell ref="A26:L26"/>
    <mergeCell ref="A24:L24"/>
    <mergeCell ref="B21:L21"/>
    <mergeCell ref="B22:L22"/>
    <mergeCell ref="B31:L31"/>
  </mergeCells>
  <conditionalFormatting sqref="B10:L10">
    <cfRule type="expression" dxfId="546" priority="13">
      <formula>$N$10=FALSE</formula>
    </cfRule>
  </conditionalFormatting>
  <conditionalFormatting sqref="B11:L11">
    <cfRule type="expression" dxfId="545" priority="12">
      <formula>$N$11=FALSE</formula>
    </cfRule>
  </conditionalFormatting>
  <conditionalFormatting sqref="B9:L9">
    <cfRule type="expression" dxfId="544" priority="14">
      <formula>$N$9=FALSE</formula>
    </cfRule>
  </conditionalFormatting>
  <conditionalFormatting sqref="B12:L12">
    <cfRule type="expression" dxfId="543" priority="11">
      <formula>$N$12=FALSE</formula>
    </cfRule>
  </conditionalFormatting>
  <conditionalFormatting sqref="B13:L13">
    <cfRule type="expression" dxfId="542" priority="10">
      <formula>$N$13=FALSE</formula>
    </cfRule>
  </conditionalFormatting>
  <conditionalFormatting sqref="B14:L14">
    <cfRule type="expression" dxfId="541" priority="9">
      <formula>$N$14=FALSE</formula>
    </cfRule>
  </conditionalFormatting>
  <conditionalFormatting sqref="B15:L15">
    <cfRule type="expression" dxfId="540" priority="8">
      <formula>$N$15=FALSE</formula>
    </cfRule>
  </conditionalFormatting>
  <conditionalFormatting sqref="B16:L16">
    <cfRule type="expression" dxfId="539" priority="7">
      <formula>$N$16=FALSE</formula>
    </cfRule>
  </conditionalFormatting>
  <conditionalFormatting sqref="B17:L17">
    <cfRule type="expression" dxfId="538" priority="6">
      <formula>$N$17=FALSE</formula>
    </cfRule>
  </conditionalFormatting>
  <conditionalFormatting sqref="B18:L18">
    <cfRule type="expression" dxfId="537" priority="5">
      <formula>$N$18=FALSE</formula>
    </cfRule>
  </conditionalFormatting>
  <conditionalFormatting sqref="B19:L19">
    <cfRule type="expression" dxfId="536" priority="4">
      <formula>$N$19=FALSE</formula>
    </cfRule>
  </conditionalFormatting>
  <conditionalFormatting sqref="B20:L20">
    <cfRule type="expression" dxfId="535" priority="3">
      <formula>$N$20=FALSE</formula>
    </cfRule>
  </conditionalFormatting>
  <conditionalFormatting sqref="B21:L21">
    <cfRule type="expression" dxfId="534" priority="2">
      <formula>$N$21=FALSE</formula>
    </cfRule>
  </conditionalFormatting>
  <conditionalFormatting sqref="B22:L22">
    <cfRule type="expression" dxfId="533" priority="1">
      <formula>$N$22=FALSE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6" r:id="rId4" name="Check Box 6">
              <controlPr defaultSize="0" autoFill="0" autoLine="0" autoPict="0">
                <anchor>
                  <from>
                    <xdr:col>0</xdr:col>
                    <xdr:colOff>165100</xdr:colOff>
                    <xdr:row>21</xdr:row>
                    <xdr:rowOff>419100</xdr:rowOff>
                  </from>
                  <to>
                    <xdr:col>0</xdr:col>
                    <xdr:colOff>355600</xdr:colOff>
                    <xdr:row>21</xdr:row>
                    <xdr:rowOff>698500</xdr:rowOff>
                  </to>
                </anchor>
              </controlPr>
            </control>
          </mc:Choice>
        </mc:AlternateContent>
        <mc:AlternateContent xmlns:mc="http://schemas.openxmlformats.org/markup-compatibility/2006">
          <mc:Choice Requires="x14">
            <control shapeId="15367" r:id="rId5" name="Check Box 7">
              <controlPr defaultSize="0" autoFill="0" autoLine="0" autoPict="0">
                <anchor>
                  <from>
                    <xdr:col>0</xdr:col>
                    <xdr:colOff>152400</xdr:colOff>
                    <xdr:row>19</xdr:row>
                    <xdr:rowOff>222250</xdr:rowOff>
                  </from>
                  <to>
                    <xdr:col>0</xdr:col>
                    <xdr:colOff>361950</xdr:colOff>
                    <xdr:row>19</xdr:row>
                    <xdr:rowOff>508000</xdr:rowOff>
                  </to>
                </anchor>
              </controlPr>
            </control>
          </mc:Choice>
        </mc:AlternateContent>
        <mc:AlternateContent xmlns:mc="http://schemas.openxmlformats.org/markup-compatibility/2006">
          <mc:Choice Requires="x14">
            <control shapeId="15368" r:id="rId6" name="Check Box 8">
              <controlPr defaultSize="0" autoFill="0" autoLine="0" autoPict="0">
                <anchor>
                  <from>
                    <xdr:col>0</xdr:col>
                    <xdr:colOff>152400</xdr:colOff>
                    <xdr:row>18</xdr:row>
                    <xdr:rowOff>228600</xdr:rowOff>
                  </from>
                  <to>
                    <xdr:col>0</xdr:col>
                    <xdr:colOff>361950</xdr:colOff>
                    <xdr:row>18</xdr:row>
                    <xdr:rowOff>533400</xdr:rowOff>
                  </to>
                </anchor>
              </controlPr>
            </control>
          </mc:Choice>
        </mc:AlternateContent>
        <mc:AlternateContent xmlns:mc="http://schemas.openxmlformats.org/markup-compatibility/2006">
          <mc:Choice Requires="x14">
            <control shapeId="15369" r:id="rId7" name="Check Box 9">
              <controlPr defaultSize="0" autoFill="0" autoLine="0" autoPict="0">
                <anchor>
                  <from>
                    <xdr:col>0</xdr:col>
                    <xdr:colOff>152400</xdr:colOff>
                    <xdr:row>16</xdr:row>
                    <xdr:rowOff>31750</xdr:rowOff>
                  </from>
                  <to>
                    <xdr:col>0</xdr:col>
                    <xdr:colOff>361950</xdr:colOff>
                    <xdr:row>16</xdr:row>
                    <xdr:rowOff>336550</xdr:rowOff>
                  </to>
                </anchor>
              </controlPr>
            </control>
          </mc:Choice>
        </mc:AlternateContent>
        <mc:AlternateContent xmlns:mc="http://schemas.openxmlformats.org/markup-compatibility/2006">
          <mc:Choice Requires="x14">
            <control shapeId="15370" r:id="rId8" name="Check Box 10">
              <controlPr defaultSize="0" autoFill="0" autoLine="0" autoPict="0">
                <anchor>
                  <from>
                    <xdr:col>0</xdr:col>
                    <xdr:colOff>152400</xdr:colOff>
                    <xdr:row>17</xdr:row>
                    <xdr:rowOff>50800</xdr:rowOff>
                  </from>
                  <to>
                    <xdr:col>0</xdr:col>
                    <xdr:colOff>342900</xdr:colOff>
                    <xdr:row>17</xdr:row>
                    <xdr:rowOff>355600</xdr:rowOff>
                  </to>
                </anchor>
              </controlPr>
            </control>
          </mc:Choice>
        </mc:AlternateContent>
        <mc:AlternateContent xmlns:mc="http://schemas.openxmlformats.org/markup-compatibility/2006">
          <mc:Choice Requires="x14">
            <control shapeId="15371" r:id="rId9" name="Check Box 11">
              <controlPr defaultSize="0" autoFill="0" autoLine="0" autoPict="0">
                <anchor>
                  <from>
                    <xdr:col>0</xdr:col>
                    <xdr:colOff>165100</xdr:colOff>
                    <xdr:row>20</xdr:row>
                    <xdr:rowOff>127000</xdr:rowOff>
                  </from>
                  <to>
                    <xdr:col>0</xdr:col>
                    <xdr:colOff>374650</xdr:colOff>
                    <xdr:row>20</xdr:row>
                    <xdr:rowOff>419100</xdr:rowOff>
                  </to>
                </anchor>
              </controlPr>
            </control>
          </mc:Choice>
        </mc:AlternateContent>
        <mc:AlternateContent xmlns:mc="http://schemas.openxmlformats.org/markup-compatibility/2006">
          <mc:Choice Requires="x14">
            <control shapeId="15372" r:id="rId10" name="Check Box 12">
              <controlPr defaultSize="0" autoFill="0" autoLine="0" autoPict="0">
                <anchor>
                  <from>
                    <xdr:col>0</xdr:col>
                    <xdr:colOff>152400</xdr:colOff>
                    <xdr:row>13</xdr:row>
                    <xdr:rowOff>165100</xdr:rowOff>
                  </from>
                  <to>
                    <xdr:col>0</xdr:col>
                    <xdr:colOff>361950</xdr:colOff>
                    <xdr:row>13</xdr:row>
                    <xdr:rowOff>469900</xdr:rowOff>
                  </to>
                </anchor>
              </controlPr>
            </control>
          </mc:Choice>
        </mc:AlternateContent>
        <mc:AlternateContent xmlns:mc="http://schemas.openxmlformats.org/markup-compatibility/2006">
          <mc:Choice Requires="x14">
            <control shapeId="15373" r:id="rId11" name="Check Box 13">
              <controlPr defaultSize="0" autoFill="0" autoLine="0" autoPict="0">
                <anchor>
                  <from>
                    <xdr:col>0</xdr:col>
                    <xdr:colOff>152400</xdr:colOff>
                    <xdr:row>14</xdr:row>
                    <xdr:rowOff>31750</xdr:rowOff>
                  </from>
                  <to>
                    <xdr:col>0</xdr:col>
                    <xdr:colOff>342900</xdr:colOff>
                    <xdr:row>14</xdr:row>
                    <xdr:rowOff>336550</xdr:rowOff>
                  </to>
                </anchor>
              </controlPr>
            </control>
          </mc:Choice>
        </mc:AlternateContent>
        <mc:AlternateContent xmlns:mc="http://schemas.openxmlformats.org/markup-compatibility/2006">
          <mc:Choice Requires="x14">
            <control shapeId="15374" r:id="rId12" name="Check Box 14">
              <controlPr defaultSize="0" autoFill="0" autoLine="0" autoPict="0">
                <anchor>
                  <from>
                    <xdr:col>0</xdr:col>
                    <xdr:colOff>152400</xdr:colOff>
                    <xdr:row>15</xdr:row>
                    <xdr:rowOff>31750</xdr:rowOff>
                  </from>
                  <to>
                    <xdr:col>0</xdr:col>
                    <xdr:colOff>342900</xdr:colOff>
                    <xdr:row>15</xdr:row>
                    <xdr:rowOff>336550</xdr:rowOff>
                  </to>
                </anchor>
              </controlPr>
            </control>
          </mc:Choice>
        </mc:AlternateContent>
        <mc:AlternateContent xmlns:mc="http://schemas.openxmlformats.org/markup-compatibility/2006">
          <mc:Choice Requires="x14">
            <control shapeId="15375" r:id="rId13" name="Check Box 15">
              <controlPr defaultSize="0" autoFill="0" autoLine="0" autoPict="0">
                <anchor>
                  <from>
                    <xdr:col>0</xdr:col>
                    <xdr:colOff>133350</xdr:colOff>
                    <xdr:row>8</xdr:row>
                    <xdr:rowOff>165100</xdr:rowOff>
                  </from>
                  <to>
                    <xdr:col>0</xdr:col>
                    <xdr:colOff>342900</xdr:colOff>
                    <xdr:row>8</xdr:row>
                    <xdr:rowOff>469900</xdr:rowOff>
                  </to>
                </anchor>
              </controlPr>
            </control>
          </mc:Choice>
        </mc:AlternateContent>
        <mc:AlternateContent xmlns:mc="http://schemas.openxmlformats.org/markup-compatibility/2006">
          <mc:Choice Requires="x14">
            <control shapeId="15376" r:id="rId14" name="Check Box 16">
              <controlPr defaultSize="0" autoFill="0" autoLine="0" autoPict="0">
                <anchor>
                  <from>
                    <xdr:col>0</xdr:col>
                    <xdr:colOff>133350</xdr:colOff>
                    <xdr:row>9</xdr:row>
                    <xdr:rowOff>31750</xdr:rowOff>
                  </from>
                  <to>
                    <xdr:col>0</xdr:col>
                    <xdr:colOff>342900</xdr:colOff>
                    <xdr:row>9</xdr:row>
                    <xdr:rowOff>336550</xdr:rowOff>
                  </to>
                </anchor>
              </controlPr>
            </control>
          </mc:Choice>
        </mc:AlternateContent>
        <mc:AlternateContent xmlns:mc="http://schemas.openxmlformats.org/markup-compatibility/2006">
          <mc:Choice Requires="x14">
            <control shapeId="15377" r:id="rId15" name="Check Box 17">
              <controlPr defaultSize="0" autoFill="0" autoLine="0" autoPict="0">
                <anchor>
                  <from>
                    <xdr:col>0</xdr:col>
                    <xdr:colOff>152400</xdr:colOff>
                    <xdr:row>10</xdr:row>
                    <xdr:rowOff>50800</xdr:rowOff>
                  </from>
                  <to>
                    <xdr:col>0</xdr:col>
                    <xdr:colOff>342900</xdr:colOff>
                    <xdr:row>10</xdr:row>
                    <xdr:rowOff>355600</xdr:rowOff>
                  </to>
                </anchor>
              </controlPr>
            </control>
          </mc:Choice>
        </mc:AlternateContent>
        <mc:AlternateContent xmlns:mc="http://schemas.openxmlformats.org/markup-compatibility/2006">
          <mc:Choice Requires="x14">
            <control shapeId="15378" r:id="rId16" name="Check Box 18">
              <controlPr defaultSize="0" autoFill="0" autoLine="0" autoPict="0">
                <anchor>
                  <from>
                    <xdr:col>0</xdr:col>
                    <xdr:colOff>152400</xdr:colOff>
                    <xdr:row>11</xdr:row>
                    <xdr:rowOff>69850</xdr:rowOff>
                  </from>
                  <to>
                    <xdr:col>0</xdr:col>
                    <xdr:colOff>361950</xdr:colOff>
                    <xdr:row>11</xdr:row>
                    <xdr:rowOff>355600</xdr:rowOff>
                  </to>
                </anchor>
              </controlPr>
            </control>
          </mc:Choice>
        </mc:AlternateContent>
        <mc:AlternateContent xmlns:mc="http://schemas.openxmlformats.org/markup-compatibility/2006">
          <mc:Choice Requires="x14">
            <control shapeId="15379" r:id="rId17" name="Check Box 19">
              <controlPr defaultSize="0" autoFill="0" autoLine="0" autoPict="0">
                <anchor>
                  <from>
                    <xdr:col>0</xdr:col>
                    <xdr:colOff>152400</xdr:colOff>
                    <xdr:row>12</xdr:row>
                    <xdr:rowOff>127000</xdr:rowOff>
                  </from>
                  <to>
                    <xdr:col>0</xdr:col>
                    <xdr:colOff>361950</xdr:colOff>
                    <xdr:row>13</xdr:row>
                    <xdr:rowOff>31750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FF0000"/>
  </sheetPr>
  <dimension ref="A1:E60"/>
  <sheetViews>
    <sheetView showGridLines="0" zoomScale="85" zoomScaleNormal="85" workbookViewId="0">
      <selection activeCell="Z11" sqref="Z11"/>
    </sheetView>
  </sheetViews>
  <sheetFormatPr defaultColWidth="9.36328125" defaultRowHeight="13"/>
  <cols>
    <col min="1" max="1" width="36.36328125" style="7" bestFit="1" customWidth="1"/>
    <col min="2" max="2" width="62.36328125" style="7" bestFit="1" customWidth="1"/>
    <col min="3" max="3" width="60" style="7" bestFit="1" customWidth="1"/>
    <col min="4" max="4" width="25" style="7" bestFit="1" customWidth="1"/>
    <col min="5" max="5" width="7.36328125" style="7" bestFit="1" customWidth="1"/>
    <col min="6" max="16384" width="9.36328125" style="7"/>
  </cols>
  <sheetData>
    <row r="1" spans="1:5" s="6" customFormat="1">
      <c r="A1" s="16" t="s">
        <v>1236</v>
      </c>
      <c r="B1" s="16" t="s">
        <v>1257</v>
      </c>
      <c r="C1" s="15" t="s">
        <v>1152</v>
      </c>
      <c r="D1" s="15" t="s">
        <v>1277</v>
      </c>
      <c r="E1" s="15" t="s">
        <v>177</v>
      </c>
    </row>
    <row r="2" spans="1:5">
      <c r="A2" s="7" t="s">
        <v>1856</v>
      </c>
      <c r="B2" s="7" t="s">
        <v>1456</v>
      </c>
      <c r="C2" s="7" t="s">
        <v>1456</v>
      </c>
      <c r="D2" s="7" t="s">
        <v>1457</v>
      </c>
      <c r="E2" s="397">
        <v>6.4</v>
      </c>
    </row>
    <row r="3" spans="1:5">
      <c r="A3" s="7" t="s">
        <v>1855</v>
      </c>
      <c r="B3" s="617" t="s">
        <v>215</v>
      </c>
      <c r="C3" s="7" t="s">
        <v>1456</v>
      </c>
      <c r="D3" s="7" t="s">
        <v>1458</v>
      </c>
      <c r="E3" s="397">
        <v>6.4</v>
      </c>
    </row>
    <row r="4" spans="1:5">
      <c r="B4" s="617" t="s">
        <v>216</v>
      </c>
      <c r="C4" s="7" t="s">
        <v>1456</v>
      </c>
      <c r="D4" s="7" t="s">
        <v>1459</v>
      </c>
      <c r="E4" s="397">
        <v>6.4</v>
      </c>
    </row>
    <row r="5" spans="1:5">
      <c r="A5" s="8"/>
      <c r="B5" s="617" t="s">
        <v>217</v>
      </c>
      <c r="C5" s="7" t="s">
        <v>1456</v>
      </c>
      <c r="D5" s="7" t="s">
        <v>1460</v>
      </c>
      <c r="E5" s="397">
        <v>6.4</v>
      </c>
    </row>
    <row r="6" spans="1:5">
      <c r="B6" s="617" t="s">
        <v>219</v>
      </c>
      <c r="C6" s="7" t="s">
        <v>1456</v>
      </c>
      <c r="D6" s="7" t="s">
        <v>1460</v>
      </c>
      <c r="E6" s="397">
        <v>6.4</v>
      </c>
    </row>
    <row r="7" spans="1:5" s="8" customFormat="1">
      <c r="A7" s="7"/>
      <c r="B7" s="617" t="s">
        <v>220</v>
      </c>
      <c r="C7" s="7" t="s">
        <v>1456</v>
      </c>
      <c r="D7" s="7" t="s">
        <v>1461</v>
      </c>
      <c r="E7" s="397">
        <v>6.4</v>
      </c>
    </row>
    <row r="8" spans="1:5">
      <c r="B8" s="617" t="s">
        <v>1245</v>
      </c>
      <c r="C8" s="7" t="s">
        <v>1456</v>
      </c>
      <c r="D8" s="7" t="s">
        <v>1461</v>
      </c>
      <c r="E8" s="397">
        <v>6.4</v>
      </c>
    </row>
    <row r="9" spans="1:5">
      <c r="A9" s="404" t="s">
        <v>1857</v>
      </c>
      <c r="B9" s="617" t="s">
        <v>221</v>
      </c>
      <c r="C9" s="7" t="s">
        <v>215</v>
      </c>
      <c r="D9" s="7" t="s">
        <v>201</v>
      </c>
      <c r="E9" s="397">
        <v>6.6</v>
      </c>
    </row>
    <row r="10" spans="1:5">
      <c r="B10" s="617" t="s">
        <v>202</v>
      </c>
      <c r="C10" s="7" t="s">
        <v>215</v>
      </c>
      <c r="D10" s="7" t="s">
        <v>200</v>
      </c>
      <c r="E10" s="397">
        <v>6.6</v>
      </c>
    </row>
    <row r="11" spans="1:5">
      <c r="B11" s="617" t="s">
        <v>222</v>
      </c>
      <c r="C11" s="7" t="s">
        <v>215</v>
      </c>
      <c r="D11" s="7" t="s">
        <v>218</v>
      </c>
      <c r="E11" s="397">
        <v>6.5</v>
      </c>
    </row>
    <row r="12" spans="1:5">
      <c r="B12" s="617" t="s">
        <v>1230</v>
      </c>
      <c r="C12" s="7" t="s">
        <v>216</v>
      </c>
      <c r="D12" s="7" t="s">
        <v>201</v>
      </c>
      <c r="E12" s="397">
        <v>6.6</v>
      </c>
    </row>
    <row r="13" spans="1:5">
      <c r="B13" s="617" t="s">
        <v>223</v>
      </c>
      <c r="C13" s="7" t="s">
        <v>216</v>
      </c>
      <c r="D13" s="7" t="s">
        <v>200</v>
      </c>
      <c r="E13" s="397">
        <v>6.6</v>
      </c>
    </row>
    <row r="14" spans="1:5">
      <c r="B14" s="617" t="s">
        <v>224</v>
      </c>
      <c r="C14" s="7" t="s">
        <v>216</v>
      </c>
      <c r="D14" s="7" t="s">
        <v>218</v>
      </c>
      <c r="E14" s="397">
        <v>6.5</v>
      </c>
    </row>
    <row r="15" spans="1:5">
      <c r="B15" s="617" t="s">
        <v>225</v>
      </c>
      <c r="C15" s="7" t="s">
        <v>217</v>
      </c>
      <c r="D15" s="7" t="s">
        <v>201</v>
      </c>
      <c r="E15" s="397">
        <v>6.6</v>
      </c>
    </row>
    <row r="16" spans="1:5">
      <c r="B16" s="617" t="s">
        <v>199</v>
      </c>
      <c r="C16" s="7" t="s">
        <v>217</v>
      </c>
      <c r="D16" s="7" t="s">
        <v>200</v>
      </c>
      <c r="E16" s="397">
        <v>6.6</v>
      </c>
    </row>
    <row r="17" spans="2:5">
      <c r="B17" s="617" t="s">
        <v>1210</v>
      </c>
      <c r="C17" s="7" t="s">
        <v>217</v>
      </c>
      <c r="D17" s="7" t="s">
        <v>218</v>
      </c>
      <c r="E17" s="397">
        <v>6.5</v>
      </c>
    </row>
    <row r="18" spans="2:5">
      <c r="B18" s="617" t="s">
        <v>324</v>
      </c>
      <c r="C18" s="7" t="s">
        <v>219</v>
      </c>
      <c r="D18" s="7" t="s">
        <v>218</v>
      </c>
      <c r="E18" s="397">
        <v>6.5</v>
      </c>
    </row>
    <row r="19" spans="2:5">
      <c r="B19" s="617" t="s">
        <v>1226</v>
      </c>
      <c r="C19" s="7" t="s">
        <v>220</v>
      </c>
      <c r="D19" s="7" t="s">
        <v>201</v>
      </c>
      <c r="E19" s="397">
        <v>6.6</v>
      </c>
    </row>
    <row r="20" spans="2:5">
      <c r="B20" s="617" t="s">
        <v>328</v>
      </c>
      <c r="C20" s="7" t="s">
        <v>220</v>
      </c>
      <c r="D20" s="7" t="s">
        <v>200</v>
      </c>
      <c r="E20" s="397">
        <v>6.6</v>
      </c>
    </row>
    <row r="21" spans="2:5">
      <c r="B21" s="617" t="s">
        <v>327</v>
      </c>
      <c r="C21" s="7" t="s">
        <v>220</v>
      </c>
      <c r="D21" s="7" t="s">
        <v>218</v>
      </c>
      <c r="E21" s="397">
        <v>6.5</v>
      </c>
    </row>
    <row r="22" spans="2:5">
      <c r="B22" s="7" t="s">
        <v>226</v>
      </c>
      <c r="C22" s="7" t="s">
        <v>1245</v>
      </c>
      <c r="D22" s="7" t="s">
        <v>201</v>
      </c>
      <c r="E22" s="397">
        <v>6.6</v>
      </c>
    </row>
    <row r="23" spans="2:5">
      <c r="B23" s="7" t="s">
        <v>329</v>
      </c>
      <c r="C23" s="7" t="s">
        <v>1245</v>
      </c>
      <c r="D23" s="7" t="s">
        <v>200</v>
      </c>
      <c r="E23" s="397">
        <v>6.6</v>
      </c>
    </row>
    <row r="24" spans="2:5">
      <c r="B24" s="7" t="s">
        <v>317</v>
      </c>
      <c r="C24" s="7" t="s">
        <v>221</v>
      </c>
      <c r="D24" s="7" t="s">
        <v>218</v>
      </c>
      <c r="E24" s="397">
        <v>6.5</v>
      </c>
    </row>
    <row r="25" spans="2:5">
      <c r="B25" s="7" t="s">
        <v>325</v>
      </c>
      <c r="C25" s="7" t="s">
        <v>221</v>
      </c>
      <c r="D25" s="7" t="s">
        <v>201</v>
      </c>
      <c r="E25" s="397">
        <v>6.1</v>
      </c>
    </row>
    <row r="26" spans="2:5">
      <c r="B26" s="616" t="s">
        <v>1211</v>
      </c>
      <c r="C26" s="7" t="s">
        <v>221</v>
      </c>
      <c r="D26" s="7" t="s">
        <v>200</v>
      </c>
      <c r="E26" s="397">
        <v>6.1</v>
      </c>
    </row>
    <row r="27" spans="2:5">
      <c r="B27" s="7" t="s">
        <v>1221</v>
      </c>
      <c r="C27" s="7" t="s">
        <v>202</v>
      </c>
      <c r="D27" s="7" t="s">
        <v>201</v>
      </c>
      <c r="E27" s="397">
        <v>6.6</v>
      </c>
    </row>
    <row r="28" spans="2:5">
      <c r="C28" s="7" t="s">
        <v>202</v>
      </c>
      <c r="D28" s="7" t="s">
        <v>200</v>
      </c>
      <c r="E28" s="397">
        <v>6.6</v>
      </c>
    </row>
    <row r="29" spans="2:5">
      <c r="C29" s="7" t="s">
        <v>202</v>
      </c>
      <c r="D29" s="7" t="s">
        <v>218</v>
      </c>
      <c r="E29" s="397">
        <v>6.5</v>
      </c>
    </row>
    <row r="30" spans="2:5">
      <c r="C30" s="7" t="s">
        <v>222</v>
      </c>
      <c r="D30" s="7" t="s">
        <v>218</v>
      </c>
      <c r="E30" s="397">
        <v>6.5</v>
      </c>
    </row>
    <row r="31" spans="2:5">
      <c r="C31" s="7" t="s">
        <v>1230</v>
      </c>
      <c r="D31" s="7" t="s">
        <v>201</v>
      </c>
      <c r="E31" s="397">
        <v>6.6</v>
      </c>
    </row>
    <row r="32" spans="2:5">
      <c r="C32" s="7" t="s">
        <v>1230</v>
      </c>
      <c r="D32" s="7" t="s">
        <v>200</v>
      </c>
      <c r="E32" s="397">
        <v>6.6</v>
      </c>
    </row>
    <row r="33" spans="3:5">
      <c r="C33" s="7" t="s">
        <v>1230</v>
      </c>
      <c r="D33" s="7" t="s">
        <v>201</v>
      </c>
      <c r="E33" s="397">
        <v>6.6</v>
      </c>
    </row>
    <row r="34" spans="3:5">
      <c r="C34" s="7" t="s">
        <v>1230</v>
      </c>
      <c r="D34" s="7" t="s">
        <v>200</v>
      </c>
      <c r="E34" s="397">
        <v>6.6</v>
      </c>
    </row>
    <row r="35" spans="3:5">
      <c r="C35" s="7" t="s">
        <v>223</v>
      </c>
      <c r="D35" s="7" t="s">
        <v>201</v>
      </c>
      <c r="E35" s="397">
        <v>6.6</v>
      </c>
    </row>
    <row r="36" spans="3:5">
      <c r="C36" s="7" t="s">
        <v>223</v>
      </c>
      <c r="D36" s="7" t="s">
        <v>200</v>
      </c>
      <c r="E36" s="397">
        <v>6.6</v>
      </c>
    </row>
    <row r="37" spans="3:5">
      <c r="C37" s="7" t="s">
        <v>223</v>
      </c>
      <c r="D37" s="7" t="s">
        <v>218</v>
      </c>
      <c r="E37" s="397">
        <v>6.5</v>
      </c>
    </row>
    <row r="38" spans="3:5">
      <c r="C38" s="7" t="s">
        <v>224</v>
      </c>
      <c r="D38" s="7" t="s">
        <v>201</v>
      </c>
      <c r="E38" s="397">
        <v>6.6</v>
      </c>
    </row>
    <row r="39" spans="3:5">
      <c r="C39" s="7" t="s">
        <v>224</v>
      </c>
      <c r="D39" s="7" t="s">
        <v>200</v>
      </c>
      <c r="E39" s="397">
        <v>6.6</v>
      </c>
    </row>
    <row r="40" spans="3:5">
      <c r="C40" s="7" t="s">
        <v>224</v>
      </c>
      <c r="D40" s="7" t="s">
        <v>218</v>
      </c>
      <c r="E40" s="397">
        <v>6.5</v>
      </c>
    </row>
    <row r="41" spans="3:5">
      <c r="C41" s="7" t="s">
        <v>225</v>
      </c>
      <c r="D41" s="7" t="s">
        <v>201</v>
      </c>
      <c r="E41" s="397">
        <v>6.6</v>
      </c>
    </row>
    <row r="42" spans="3:5">
      <c r="C42" s="7" t="s">
        <v>225</v>
      </c>
      <c r="D42" s="7" t="s">
        <v>200</v>
      </c>
      <c r="E42" s="397">
        <v>6.6</v>
      </c>
    </row>
    <row r="43" spans="3:5">
      <c r="C43" s="7" t="s">
        <v>225</v>
      </c>
      <c r="D43" s="7" t="s">
        <v>218</v>
      </c>
      <c r="E43" s="397">
        <v>6.5</v>
      </c>
    </row>
    <row r="44" spans="3:5">
      <c r="C44" s="7" t="s">
        <v>199</v>
      </c>
      <c r="D44" s="7" t="s">
        <v>218</v>
      </c>
      <c r="E44" s="397">
        <v>6.5</v>
      </c>
    </row>
    <row r="45" spans="3:5">
      <c r="C45" s="7" t="s">
        <v>199</v>
      </c>
      <c r="D45" s="7" t="s">
        <v>201</v>
      </c>
      <c r="E45" s="397">
        <v>6.2</v>
      </c>
    </row>
    <row r="46" spans="3:5">
      <c r="C46" s="7" t="s">
        <v>199</v>
      </c>
      <c r="D46" s="7" t="s">
        <v>200</v>
      </c>
      <c r="E46" s="397">
        <v>6.2</v>
      </c>
    </row>
    <row r="47" spans="3:5">
      <c r="C47" s="614" t="s">
        <v>1210</v>
      </c>
      <c r="D47" s="614" t="s">
        <v>1140</v>
      </c>
      <c r="E47" s="615">
        <v>6.6</v>
      </c>
    </row>
    <row r="48" spans="3:5">
      <c r="C48" s="614" t="s">
        <v>1211</v>
      </c>
      <c r="D48" s="614" t="s">
        <v>1140</v>
      </c>
      <c r="E48" s="615">
        <v>6.6</v>
      </c>
    </row>
    <row r="49" spans="3:5">
      <c r="C49" s="614" t="s">
        <v>324</v>
      </c>
      <c r="D49" s="614" t="s">
        <v>1140</v>
      </c>
      <c r="E49" s="615">
        <v>6.5</v>
      </c>
    </row>
    <row r="50" spans="3:5">
      <c r="C50" s="614" t="s">
        <v>1226</v>
      </c>
      <c r="D50" s="614" t="s">
        <v>1140</v>
      </c>
      <c r="E50" s="615">
        <v>6.6</v>
      </c>
    </row>
    <row r="51" spans="3:5">
      <c r="C51" s="614" t="s">
        <v>328</v>
      </c>
      <c r="D51" s="614" t="s">
        <v>1140</v>
      </c>
      <c r="E51" s="615">
        <v>6.6</v>
      </c>
    </row>
    <row r="52" spans="3:5">
      <c r="C52" s="614" t="s">
        <v>327</v>
      </c>
      <c r="D52" s="614" t="s">
        <v>1140</v>
      </c>
      <c r="E52" s="615">
        <v>6.6</v>
      </c>
    </row>
    <row r="53" spans="3:5">
      <c r="C53" s="7" t="s">
        <v>226</v>
      </c>
      <c r="D53" s="7" t="s">
        <v>326</v>
      </c>
      <c r="E53" s="397">
        <v>6.5</v>
      </c>
    </row>
    <row r="54" spans="3:5">
      <c r="C54" s="7" t="s">
        <v>226</v>
      </c>
      <c r="D54" s="7" t="s">
        <v>218</v>
      </c>
      <c r="E54" s="397">
        <v>6.5</v>
      </c>
    </row>
    <row r="55" spans="3:5">
      <c r="C55" s="7" t="s">
        <v>329</v>
      </c>
      <c r="D55" s="7" t="s">
        <v>1140</v>
      </c>
      <c r="E55" s="397">
        <v>6.5</v>
      </c>
    </row>
    <row r="56" spans="3:5">
      <c r="C56" s="7" t="s">
        <v>317</v>
      </c>
      <c r="D56" s="7" t="s">
        <v>1140</v>
      </c>
      <c r="E56" s="397">
        <v>6.5</v>
      </c>
    </row>
    <row r="57" spans="3:5">
      <c r="C57" s="7" t="s">
        <v>325</v>
      </c>
      <c r="D57" s="7" t="s">
        <v>1140</v>
      </c>
      <c r="E57" s="397">
        <v>6.5</v>
      </c>
    </row>
    <row r="58" spans="3:5">
      <c r="C58" s="7" t="s">
        <v>1212</v>
      </c>
      <c r="D58" s="7" t="s">
        <v>1140</v>
      </c>
      <c r="E58" s="397">
        <v>6.6</v>
      </c>
    </row>
    <row r="59" spans="3:5">
      <c r="C59" s="7" t="s">
        <v>1213</v>
      </c>
      <c r="D59" s="7" t="s">
        <v>1140</v>
      </c>
      <c r="E59" s="397">
        <v>6.6</v>
      </c>
    </row>
    <row r="60" spans="3:5">
      <c r="C60" s="7" t="s">
        <v>1221</v>
      </c>
      <c r="D60" s="7" t="s">
        <v>1140</v>
      </c>
      <c r="E60" s="397">
        <v>6.6</v>
      </c>
    </row>
  </sheetData>
  <sheetProtection password="9C4D" sheet="1" objects="1" scenarios="1" formatColumns="0" formatRows="0" autoFilter="0"/>
  <pageMargins left="0.25" right="0.25" top="0.75" bottom="0.75" header="0.3" footer="0.3"/>
  <pageSetup paperSize="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FF0000"/>
  </sheetPr>
  <dimension ref="A1:AE203"/>
  <sheetViews>
    <sheetView showGridLines="0" topLeftCell="S1" zoomScale="85" zoomScaleNormal="85" workbookViewId="0">
      <selection activeCell="Z11" sqref="Z11"/>
    </sheetView>
  </sheetViews>
  <sheetFormatPr defaultColWidth="9.36328125" defaultRowHeight="13"/>
  <cols>
    <col min="1" max="1" width="15.81640625" style="7" bestFit="1" customWidth="1"/>
    <col min="2" max="2" width="33.36328125" style="7" bestFit="1" customWidth="1"/>
    <col min="3" max="3" width="19.36328125" style="7" bestFit="1" customWidth="1"/>
    <col min="4" max="4" width="35.36328125" style="7" bestFit="1" customWidth="1"/>
    <col min="5" max="5" width="7.36328125" style="7" bestFit="1" customWidth="1"/>
    <col min="6" max="6" width="9.36328125" style="7"/>
    <col min="7" max="7" width="36.36328125" style="7" bestFit="1" customWidth="1"/>
    <col min="8" max="8" width="9.36328125" style="7"/>
    <col min="9" max="9" width="25.08984375" style="7" bestFit="1" customWidth="1"/>
    <col min="10" max="10" width="33.36328125" style="7" bestFit="1" customWidth="1"/>
    <col min="11" max="11" width="25.36328125" style="7" bestFit="1" customWidth="1"/>
    <col min="12" max="12" width="49.81640625" style="7" bestFit="1" customWidth="1"/>
    <col min="13" max="13" width="7.36328125" style="7" bestFit="1" customWidth="1"/>
    <col min="14" max="14" width="9.36328125" style="7"/>
    <col min="15" max="15" width="74.36328125" style="7" bestFit="1" customWidth="1"/>
    <col min="16" max="16" width="9.36328125" style="7"/>
    <col min="17" max="17" width="17.36328125" style="7" bestFit="1" customWidth="1"/>
    <col min="18" max="18" width="33.36328125" style="7" bestFit="1" customWidth="1"/>
    <col min="19" max="19" width="19.36328125" style="7" bestFit="1" customWidth="1"/>
    <col min="20" max="20" width="23" style="7" bestFit="1" customWidth="1"/>
    <col min="21" max="21" width="7.36328125" style="7" bestFit="1" customWidth="1"/>
    <col min="22" max="22" width="9.36328125" style="7"/>
    <col min="23" max="23" width="66.81640625" style="7" bestFit="1" customWidth="1"/>
    <col min="24" max="24" width="9.36328125" style="7"/>
    <col min="25" max="25" width="29.36328125" style="7" bestFit="1" customWidth="1"/>
    <col min="26" max="27" width="50.36328125" style="7" bestFit="1" customWidth="1"/>
    <col min="28" max="28" width="23" style="7" bestFit="1" customWidth="1"/>
    <col min="29" max="29" width="7.36328125" style="7" bestFit="1" customWidth="1"/>
    <col min="30" max="30" width="9.36328125" style="7"/>
    <col min="31" max="31" width="36.36328125" style="7" bestFit="1" customWidth="1"/>
    <col min="32" max="16384" width="9.36328125" style="7"/>
  </cols>
  <sheetData>
    <row r="1" spans="1:31" s="6" customFormat="1" ht="15" customHeight="1">
      <c r="A1" s="16" t="s">
        <v>1236</v>
      </c>
      <c r="B1" s="16" t="s">
        <v>1257</v>
      </c>
      <c r="C1" s="15" t="s">
        <v>1152</v>
      </c>
      <c r="D1" s="15" t="s">
        <v>1277</v>
      </c>
      <c r="E1" s="15" t="s">
        <v>177</v>
      </c>
      <c r="G1" s="15" t="s">
        <v>1711</v>
      </c>
      <c r="I1" s="16" t="s">
        <v>1237</v>
      </c>
      <c r="J1" s="16" t="s">
        <v>1278</v>
      </c>
      <c r="K1" s="15" t="s">
        <v>1155</v>
      </c>
      <c r="L1" s="15" t="s">
        <v>1279</v>
      </c>
      <c r="M1" s="15" t="s">
        <v>177</v>
      </c>
      <c r="O1" s="15" t="s">
        <v>1712</v>
      </c>
      <c r="Q1" s="16" t="s">
        <v>1239</v>
      </c>
      <c r="R1" s="16" t="s">
        <v>1309</v>
      </c>
      <c r="S1" s="15" t="s">
        <v>1177</v>
      </c>
      <c r="T1" s="15" t="s">
        <v>1310</v>
      </c>
      <c r="U1" s="15" t="s">
        <v>177</v>
      </c>
      <c r="W1" s="15" t="s">
        <v>1717</v>
      </c>
      <c r="Y1" s="16" t="s">
        <v>1313</v>
      </c>
      <c r="Z1" s="16" t="s">
        <v>1314</v>
      </c>
      <c r="AA1" s="15" t="s">
        <v>1315</v>
      </c>
      <c r="AB1" s="15" t="s">
        <v>1316</v>
      </c>
      <c r="AC1" s="15" t="s">
        <v>177</v>
      </c>
      <c r="AE1" s="15" t="s">
        <v>1864</v>
      </c>
    </row>
    <row r="2" spans="1:31">
      <c r="A2" s="7" t="s">
        <v>822</v>
      </c>
      <c r="B2" s="7" t="s">
        <v>208</v>
      </c>
      <c r="C2" s="7" t="s">
        <v>208</v>
      </c>
      <c r="D2" s="7" t="s">
        <v>1691</v>
      </c>
      <c r="E2" s="397">
        <v>5.2</v>
      </c>
      <c r="G2" s="7" t="str">
        <f>CONCATENATE(C2,D2)</f>
        <v>Male condom49 mm - dotted - pack of 144</v>
      </c>
      <c r="I2" s="7" t="s">
        <v>566</v>
      </c>
      <c r="J2" s="7" t="s">
        <v>205</v>
      </c>
      <c r="K2" s="7" t="s">
        <v>205</v>
      </c>
      <c r="L2" s="7" t="s">
        <v>825</v>
      </c>
      <c r="M2" s="397">
        <v>5.4</v>
      </c>
      <c r="O2" s="7" t="str">
        <f>CONCATENATE(K2,L2)</f>
        <v>Rapid Diagnostic Test - HIVHIV 1 - Generic Rapid Diagnostic Test Kit - 1 test</v>
      </c>
      <c r="Q2" s="7" t="s">
        <v>1735</v>
      </c>
      <c r="R2" s="7" t="s">
        <v>213</v>
      </c>
      <c r="S2" s="7" t="s">
        <v>213</v>
      </c>
      <c r="T2" s="7" t="s">
        <v>1718</v>
      </c>
      <c r="U2" s="7">
        <v>5.6</v>
      </c>
      <c r="W2" s="7" t="str">
        <f>CONCATENATE(S2,T2)</f>
        <v>HIV Early Infant DiagnosisAbbott Early Infant Diagnosis Test Kit and Consumable Bundle - 96 tests</v>
      </c>
      <c r="Y2" s="7" t="s">
        <v>1865</v>
      </c>
      <c r="Z2" s="7" t="s">
        <v>1220</v>
      </c>
      <c r="AA2" s="7" t="s">
        <v>1220</v>
      </c>
      <c r="AB2" s="7" t="s">
        <v>1140</v>
      </c>
      <c r="AC2" s="7">
        <v>5.8</v>
      </c>
    </row>
    <row r="3" spans="1:31">
      <c r="A3" s="7" t="s">
        <v>232</v>
      </c>
      <c r="B3" s="7" t="s">
        <v>204</v>
      </c>
      <c r="C3" s="7" t="s">
        <v>208</v>
      </c>
      <c r="D3" s="7" t="s">
        <v>1692</v>
      </c>
      <c r="E3" s="397">
        <v>5.2</v>
      </c>
      <c r="G3" s="7" t="str">
        <f t="shared" ref="G3:G28" si="0">CONCATENATE(C3,D3)</f>
        <v>Male condom49 mm - plain - pack of 144</v>
      </c>
      <c r="I3" s="7" t="s">
        <v>567</v>
      </c>
      <c r="J3" s="7" t="s">
        <v>210</v>
      </c>
      <c r="K3" s="7" t="s">
        <v>205</v>
      </c>
      <c r="L3" s="7" t="s">
        <v>1506</v>
      </c>
      <c r="M3" s="397">
        <v>5.4</v>
      </c>
      <c r="O3" s="7" t="str">
        <f t="shared" ref="O3:O40" si="1">CONCATENATE(K3,L3)</f>
        <v>Rapid Diagnostic Test - HIVHIV 1/2 - Determine HIV Combo Kit 100 tests</v>
      </c>
      <c r="R3" s="7" t="s">
        <v>206</v>
      </c>
      <c r="S3" s="7" t="s">
        <v>213</v>
      </c>
      <c r="T3" s="7" t="s">
        <v>1719</v>
      </c>
      <c r="U3" s="7">
        <v>5.6</v>
      </c>
      <c r="W3" s="7" t="str">
        <f t="shared" ref="W3:W20" si="2">CONCATENATE(S3,T3)</f>
        <v>HIV Early Infant DiagnosisAlere Early Infant Diagnosis Test Kit - 10 tests</v>
      </c>
      <c r="Y3" s="406" t="s">
        <v>2361</v>
      </c>
      <c r="Z3" s="7" t="s">
        <v>1488</v>
      </c>
      <c r="AA3" s="7" t="s">
        <v>1488</v>
      </c>
      <c r="AB3" s="7" t="s">
        <v>1140</v>
      </c>
      <c r="AC3" s="7">
        <v>5.8</v>
      </c>
    </row>
    <row r="4" spans="1:31">
      <c r="B4" s="7" t="s">
        <v>207</v>
      </c>
      <c r="C4" s="7" t="s">
        <v>208</v>
      </c>
      <c r="D4" s="7" t="s">
        <v>1693</v>
      </c>
      <c r="E4" s="397">
        <v>5.2</v>
      </c>
      <c r="G4" s="7" t="str">
        <f t="shared" si="0"/>
        <v>Male condom49 mm - ribbed - pack of 144</v>
      </c>
      <c r="I4" s="7" t="s">
        <v>1863</v>
      </c>
      <c r="J4" s="7" t="s">
        <v>211</v>
      </c>
      <c r="K4" s="7" t="s">
        <v>205</v>
      </c>
      <c r="L4" s="7" t="s">
        <v>1507</v>
      </c>
      <c r="M4" s="397">
        <v>5.4</v>
      </c>
      <c r="O4" s="7" t="str">
        <f t="shared" si="1"/>
        <v>Rapid Diagnostic Test - HIVDPP HIV 1/2 Assay - 20 tests</v>
      </c>
      <c r="S4" s="7" t="s">
        <v>213</v>
      </c>
      <c r="T4" s="7" t="s">
        <v>1720</v>
      </c>
      <c r="U4" s="7">
        <v>5.6</v>
      </c>
      <c r="W4" s="7" t="str">
        <f t="shared" si="2"/>
        <v>HIV Early Infant DiagnosisAlere Early Infant Diagnosis Test Kit - 50 tests</v>
      </c>
      <c r="Y4" s="7" t="s">
        <v>1867</v>
      </c>
      <c r="Z4" s="7" t="s">
        <v>1214</v>
      </c>
      <c r="AA4" s="7" t="s">
        <v>1214</v>
      </c>
      <c r="AB4" s="7" t="s">
        <v>1140</v>
      </c>
      <c r="AC4" s="7">
        <v>5.8</v>
      </c>
    </row>
    <row r="5" spans="1:31">
      <c r="C5" s="7" t="s">
        <v>208</v>
      </c>
      <c r="D5" s="7" t="s">
        <v>1694</v>
      </c>
      <c r="E5" s="397">
        <v>5.2</v>
      </c>
      <c r="G5" s="7" t="str">
        <f t="shared" si="0"/>
        <v>Male condom49 mm - with color - pack of 144</v>
      </c>
      <c r="J5" s="7" t="s">
        <v>212</v>
      </c>
      <c r="K5" s="7" t="s">
        <v>205</v>
      </c>
      <c r="L5" s="7" t="s">
        <v>826</v>
      </c>
      <c r="M5" s="397">
        <v>5.4</v>
      </c>
      <c r="O5" s="7" t="str">
        <f t="shared" si="1"/>
        <v>Rapid Diagnostic Test - HIVHIV 1/2 - Generic Rapid Diagnostic Test Kit - 1 test</v>
      </c>
      <c r="S5" s="7" t="s">
        <v>213</v>
      </c>
      <c r="T5" s="7" t="s">
        <v>1721</v>
      </c>
      <c r="U5" s="7">
        <v>5.6</v>
      </c>
      <c r="W5" s="7" t="str">
        <f t="shared" si="2"/>
        <v>HIV Early Infant DiagnosisCepheid Early Infant Diagnosis Test Kit - 10 tests</v>
      </c>
      <c r="Z5" s="7" t="s">
        <v>1215</v>
      </c>
      <c r="AA5" s="7" t="s">
        <v>1215</v>
      </c>
      <c r="AB5" s="7" t="s">
        <v>1140</v>
      </c>
      <c r="AC5" s="7">
        <v>5.8</v>
      </c>
    </row>
    <row r="6" spans="1:31">
      <c r="C6" s="7" t="s">
        <v>208</v>
      </c>
      <c r="D6" s="7" t="s">
        <v>1695</v>
      </c>
      <c r="E6" s="397">
        <v>5.2</v>
      </c>
      <c r="G6" s="7" t="str">
        <f t="shared" si="0"/>
        <v>Male condom49 mm - with flavor/scent - pack of 144</v>
      </c>
      <c r="J6" s="7" t="s">
        <v>209</v>
      </c>
      <c r="K6" s="7" t="s">
        <v>205</v>
      </c>
      <c r="L6" s="7" t="s">
        <v>1508</v>
      </c>
      <c r="M6" s="397">
        <v>5.4</v>
      </c>
      <c r="O6" s="7" t="str">
        <f t="shared" si="1"/>
        <v>Rapid Diagnostic Test - HIVHIV 1/2 - SD Bioline 3.0 Kit - 25 tests</v>
      </c>
      <c r="S6" s="7" t="s">
        <v>213</v>
      </c>
      <c r="T6" s="7" t="s">
        <v>1722</v>
      </c>
      <c r="U6" s="7">
        <v>5.6</v>
      </c>
      <c r="W6" s="7" t="str">
        <f t="shared" si="2"/>
        <v>HIV Early Infant DiagnosisDRW Samba I Early Infant Diagnosis Test Kit - 12 tests</v>
      </c>
      <c r="Z6" s="7" t="s">
        <v>1216</v>
      </c>
      <c r="AA6" s="7" t="s">
        <v>1216</v>
      </c>
      <c r="AB6" s="7" t="s">
        <v>1140</v>
      </c>
      <c r="AC6" s="7">
        <v>5.8</v>
      </c>
    </row>
    <row r="7" spans="1:31">
      <c r="C7" s="7" t="s">
        <v>208</v>
      </c>
      <c r="D7" s="7" t="s">
        <v>1696</v>
      </c>
      <c r="E7" s="397">
        <v>5.2</v>
      </c>
      <c r="G7" s="7" t="str">
        <f t="shared" si="0"/>
        <v>Male condom52 mm - contoured - pack of 144</v>
      </c>
      <c r="J7" s="7" t="s">
        <v>1750</v>
      </c>
      <c r="K7" s="7" t="s">
        <v>205</v>
      </c>
      <c r="L7" s="7" t="s">
        <v>1509</v>
      </c>
      <c r="M7" s="397">
        <v>5.4</v>
      </c>
      <c r="O7" s="7" t="str">
        <f t="shared" si="1"/>
        <v>Rapid Diagnostic Test - HIVHIV 1/2 – MultiSure HIV Rapid Test – 20 tests</v>
      </c>
      <c r="S7" s="7" t="s">
        <v>213</v>
      </c>
      <c r="T7" s="7" t="s">
        <v>1723</v>
      </c>
      <c r="U7" s="7">
        <v>5.6</v>
      </c>
      <c r="W7" s="7" t="str">
        <f t="shared" si="2"/>
        <v>HIV Early Infant DiagnosisDRW Samba II Early Infant Diagnosis Test Kit - 12 tests</v>
      </c>
      <c r="Z7" s="7" t="s">
        <v>1217</v>
      </c>
      <c r="AA7" s="7" t="s">
        <v>1217</v>
      </c>
      <c r="AB7" s="7" t="s">
        <v>1140</v>
      </c>
      <c r="AC7" s="7">
        <v>5.8</v>
      </c>
    </row>
    <row r="8" spans="1:31">
      <c r="C8" s="7" t="s">
        <v>208</v>
      </c>
      <c r="D8" s="7" t="s">
        <v>1697</v>
      </c>
      <c r="E8" s="397">
        <v>5.2</v>
      </c>
      <c r="G8" s="7" t="str">
        <f t="shared" si="0"/>
        <v>Male condom52 mm - dotted - contoured - pack of 144</v>
      </c>
      <c r="J8" s="7" t="s">
        <v>573</v>
      </c>
      <c r="K8" s="7" t="s">
        <v>205</v>
      </c>
      <c r="L8" s="7" t="s">
        <v>1510</v>
      </c>
      <c r="M8" s="397">
        <v>5.4</v>
      </c>
      <c r="O8" s="7" t="str">
        <f t="shared" si="1"/>
        <v>Rapid Diagnostic Test - HIVHIV 1/2-O - First Response HIV 1-2.0 v.3.0 Cards Kit - 25 tests</v>
      </c>
      <c r="S8" s="7" t="s">
        <v>213</v>
      </c>
      <c r="T8" s="7" t="s">
        <v>1140</v>
      </c>
      <c r="U8" s="7">
        <v>5.6</v>
      </c>
      <c r="W8" s="7" t="str">
        <f t="shared" si="2"/>
        <v>HIV Early Infant Diagnosis[enter specifications manually]</v>
      </c>
      <c r="Y8" s="404" t="s">
        <v>1866</v>
      </c>
      <c r="Z8" s="7" t="s">
        <v>1218</v>
      </c>
      <c r="AA8" s="7" t="s">
        <v>1218</v>
      </c>
      <c r="AB8" s="7" t="s">
        <v>1140</v>
      </c>
      <c r="AC8" s="7">
        <v>5.8</v>
      </c>
    </row>
    <row r="9" spans="1:31">
      <c r="C9" s="7" t="s">
        <v>208</v>
      </c>
      <c r="D9" s="7" t="s">
        <v>1698</v>
      </c>
      <c r="E9" s="397">
        <v>5.2</v>
      </c>
      <c r="G9" s="7" t="str">
        <f t="shared" si="0"/>
        <v>Male condom52 mm - ribbed - contoured - pack of 144</v>
      </c>
      <c r="K9" s="7" t="s">
        <v>205</v>
      </c>
      <c r="L9" s="7" t="s">
        <v>1511</v>
      </c>
      <c r="M9" s="397">
        <v>5.4</v>
      </c>
      <c r="O9" s="7" t="str">
        <f t="shared" si="1"/>
        <v>Rapid Diagnostic Test - HIVHIV 1/2-O - First Response HIV 1-2.0 v.3.0 Cards Kit - 30 tests</v>
      </c>
      <c r="S9" s="7" t="s">
        <v>213</v>
      </c>
      <c r="T9" s="7" t="s">
        <v>1724</v>
      </c>
      <c r="U9" s="7">
        <v>5.6</v>
      </c>
      <c r="W9" s="7" t="str">
        <f t="shared" si="2"/>
        <v>HIV Early Infant DiagnosisRoche Early Infant Diagnosis Test Kit and Consumable Bundle - 48 tests</v>
      </c>
      <c r="Z9" s="7" t="s">
        <v>1219</v>
      </c>
      <c r="AA9" s="7" t="s">
        <v>1219</v>
      </c>
      <c r="AB9" s="7" t="s">
        <v>1140</v>
      </c>
      <c r="AC9" s="7">
        <v>5.8</v>
      </c>
    </row>
    <row r="10" spans="1:31">
      <c r="C10" s="7" t="s">
        <v>208</v>
      </c>
      <c r="D10" s="7" t="s">
        <v>1699</v>
      </c>
      <c r="E10" s="397">
        <v>5.2</v>
      </c>
      <c r="G10" s="7" t="str">
        <f t="shared" si="0"/>
        <v>Male condom53 mm - dotted - pack of 144</v>
      </c>
      <c r="K10" s="7" t="s">
        <v>205</v>
      </c>
      <c r="L10" s="7" t="s">
        <v>1512</v>
      </c>
      <c r="M10" s="397">
        <v>5.4</v>
      </c>
      <c r="O10" s="7" t="str">
        <f t="shared" si="1"/>
        <v>Rapid Diagnostic Test - HIVHIV 1/2-O - First Response HIV 1-2.0 v.3.0 Cards Kit - 100 tests</v>
      </c>
      <c r="S10" s="7" t="s">
        <v>206</v>
      </c>
      <c r="T10" s="7" t="s">
        <v>1725</v>
      </c>
      <c r="U10" s="7">
        <v>5.6</v>
      </c>
      <c r="W10" s="7" t="str">
        <f t="shared" si="2"/>
        <v>HIV Viral Load testAbbott Viral Load Test Kit and Consumable Bundle - Plasma - 96 tests</v>
      </c>
      <c r="Z10" s="7" t="s">
        <v>1868</v>
      </c>
      <c r="AA10" s="7" t="s">
        <v>1868</v>
      </c>
      <c r="AB10" s="7" t="s">
        <v>1140</v>
      </c>
      <c r="AC10" s="7">
        <v>5.7</v>
      </c>
    </row>
    <row r="11" spans="1:31">
      <c r="C11" s="7" t="s">
        <v>208</v>
      </c>
      <c r="D11" s="7" t="s">
        <v>1700</v>
      </c>
      <c r="E11" s="397">
        <v>5.2</v>
      </c>
      <c r="G11" s="7" t="str">
        <f t="shared" si="0"/>
        <v>Male condom53 mm - plain - pack of 144</v>
      </c>
      <c r="K11" s="7" t="s">
        <v>205</v>
      </c>
      <c r="L11" s="7" t="s">
        <v>1513</v>
      </c>
      <c r="M11" s="397">
        <v>5.4</v>
      </c>
      <c r="O11" s="7" t="str">
        <f t="shared" si="1"/>
        <v>Rapid Diagnostic Test - HIVHIV 1/2: Geenius HIV Confirmatory Assay - 20 tests</v>
      </c>
      <c r="S11" s="7" t="s">
        <v>206</v>
      </c>
      <c r="T11" s="7" t="s">
        <v>1726</v>
      </c>
      <c r="U11" s="7">
        <v>5.6</v>
      </c>
      <c r="W11" s="7" t="str">
        <f t="shared" si="2"/>
        <v>HIV Viral Load testBiocentric Viral Load Test Kit and Consumable Bundle - 440 tests</v>
      </c>
      <c r="Z11" s="7" t="s">
        <v>55</v>
      </c>
      <c r="AA11" s="7" t="s">
        <v>55</v>
      </c>
      <c r="AB11" s="7" t="s">
        <v>1140</v>
      </c>
      <c r="AC11" s="7">
        <v>5.8</v>
      </c>
    </row>
    <row r="12" spans="1:31">
      <c r="C12" s="7" t="s">
        <v>208</v>
      </c>
      <c r="D12" s="7" t="s">
        <v>1701</v>
      </c>
      <c r="E12" s="397">
        <v>5.2</v>
      </c>
      <c r="G12" s="7" t="str">
        <f t="shared" si="0"/>
        <v>Male condom53 mm - ribbed - pack of 144</v>
      </c>
      <c r="K12" s="7" t="s">
        <v>205</v>
      </c>
      <c r="L12" s="7" t="s">
        <v>1514</v>
      </c>
      <c r="M12" s="397">
        <v>5.4</v>
      </c>
      <c r="O12" s="7" t="str">
        <f t="shared" si="1"/>
        <v>Rapid Diagnostic Test - HIVHIV 1/2/O – ABON Tri-Line HIV Rapid Test Kit - 40 tests</v>
      </c>
      <c r="S12" s="7" t="s">
        <v>206</v>
      </c>
      <c r="T12" s="7" t="s">
        <v>1727</v>
      </c>
      <c r="U12" s="7">
        <v>5.6</v>
      </c>
      <c r="W12" s="7" t="str">
        <f t="shared" si="2"/>
        <v>HIV Viral Load testbioMerieux Viral Load Test Kit and Consumable Bundle - 48 tests</v>
      </c>
      <c r="Z12" s="7" t="s">
        <v>1873</v>
      </c>
      <c r="AA12" s="7" t="s">
        <v>1873</v>
      </c>
      <c r="AB12" s="7" t="s">
        <v>1140</v>
      </c>
      <c r="AC12" s="7">
        <v>5.8</v>
      </c>
    </row>
    <row r="13" spans="1:31">
      <c r="C13" s="7" t="s">
        <v>208</v>
      </c>
      <c r="D13" s="7" t="s">
        <v>1702</v>
      </c>
      <c r="E13" s="397">
        <v>5.2</v>
      </c>
      <c r="G13" s="7" t="str">
        <f t="shared" si="0"/>
        <v>Male condom53 mm - thick - pack of 144</v>
      </c>
      <c r="K13" s="7" t="s">
        <v>205</v>
      </c>
      <c r="L13" s="7" t="s">
        <v>1515</v>
      </c>
      <c r="M13" s="397">
        <v>5.4</v>
      </c>
      <c r="O13" s="7" t="str">
        <f t="shared" si="1"/>
        <v>Rapid Diagnostic Test - HIVHIV 1+2 - SD Bioline Ag/Ab Combo Kit - 30 tests</v>
      </c>
      <c r="S13" s="7" t="s">
        <v>206</v>
      </c>
      <c r="T13" s="7" t="s">
        <v>1728</v>
      </c>
      <c r="U13" s="7">
        <v>5.6</v>
      </c>
      <c r="W13" s="7" t="str">
        <f t="shared" si="2"/>
        <v>HIV Viral Load testCepheid Viral Load Test Kit - 10 tests</v>
      </c>
      <c r="Z13" s="7" t="s">
        <v>1874</v>
      </c>
      <c r="AA13" s="7" t="s">
        <v>1874</v>
      </c>
      <c r="AB13" s="7" t="s">
        <v>1140</v>
      </c>
      <c r="AC13" s="7">
        <v>5.8</v>
      </c>
    </row>
    <row r="14" spans="1:31">
      <c r="C14" s="7" t="s">
        <v>208</v>
      </c>
      <c r="D14" s="7" t="s">
        <v>1703</v>
      </c>
      <c r="E14" s="397">
        <v>5.2</v>
      </c>
      <c r="G14" s="7" t="str">
        <f t="shared" si="0"/>
        <v>Male condom53 mm - thin - pack of 144</v>
      </c>
      <c r="K14" s="7" t="s">
        <v>205</v>
      </c>
      <c r="L14" s="7" t="s">
        <v>827</v>
      </c>
      <c r="M14" s="397">
        <v>5.4</v>
      </c>
      <c r="O14" s="7" t="str">
        <f t="shared" si="1"/>
        <v>Rapid Diagnostic Test - HIVHIV 1+2 - Determine Chase Buffer - 2.5ml vial - 100 tests</v>
      </c>
      <c r="S14" s="7" t="s">
        <v>206</v>
      </c>
      <c r="T14" s="7" t="s">
        <v>1729</v>
      </c>
      <c r="U14" s="7">
        <v>5.6</v>
      </c>
      <c r="W14" s="7" t="str">
        <f t="shared" si="2"/>
        <v>HIV Viral Load testDRW Samba I Viral Load Test Kit - 12 tests</v>
      </c>
      <c r="Z14" s="7" t="s">
        <v>1875</v>
      </c>
      <c r="AA14" s="7" t="s">
        <v>1875</v>
      </c>
      <c r="AB14" s="7" t="s">
        <v>1140</v>
      </c>
      <c r="AC14" s="7">
        <v>5.8</v>
      </c>
    </row>
    <row r="15" spans="1:31">
      <c r="C15" s="7" t="s">
        <v>208</v>
      </c>
      <c r="D15" s="7" t="s">
        <v>1704</v>
      </c>
      <c r="E15" s="397">
        <v>5.2</v>
      </c>
      <c r="G15" s="7" t="str">
        <f t="shared" si="0"/>
        <v>Male condom53 mm - with color - pack of 144</v>
      </c>
      <c r="K15" s="7" t="s">
        <v>205</v>
      </c>
      <c r="L15" s="7" t="s">
        <v>1516</v>
      </c>
      <c r="M15" s="397">
        <v>5.4</v>
      </c>
      <c r="O15" s="7" t="str">
        <f t="shared" si="1"/>
        <v>Rapid Diagnostic Test - HIVHIV 1+2 - Determine Complete HIV Kit - 100 tests</v>
      </c>
      <c r="S15" s="7" t="s">
        <v>206</v>
      </c>
      <c r="T15" s="7" t="s">
        <v>1730</v>
      </c>
      <c r="U15" s="7">
        <v>5.6</v>
      </c>
      <c r="W15" s="7" t="str">
        <f t="shared" si="2"/>
        <v>HIV Viral Load testDRW Samba II Viral Load Test Kit - 12 tests</v>
      </c>
      <c r="Z15" s="7" t="s">
        <v>1229</v>
      </c>
      <c r="AA15" s="7" t="s">
        <v>1229</v>
      </c>
      <c r="AB15" s="7" t="s">
        <v>1140</v>
      </c>
      <c r="AC15" s="7">
        <v>5.6</v>
      </c>
    </row>
    <row r="16" spans="1:31">
      <c r="C16" s="7" t="s">
        <v>208</v>
      </c>
      <c r="D16" s="7" t="s">
        <v>1705</v>
      </c>
      <c r="E16" s="397">
        <v>5.2</v>
      </c>
      <c r="G16" s="7" t="str">
        <f t="shared" si="0"/>
        <v>Male condom53 mm - with color - with flavor/scent - pack of 144</v>
      </c>
      <c r="K16" s="7" t="s">
        <v>205</v>
      </c>
      <c r="L16" s="7" t="s">
        <v>1517</v>
      </c>
      <c r="M16" s="397">
        <v>5.4</v>
      </c>
      <c r="O16" s="7" t="str">
        <f t="shared" si="1"/>
        <v>Rapid Diagnostic Test - HIVHIV 1+2 - Determine HIV Kit - 100 tests</v>
      </c>
      <c r="S16" s="7" t="s">
        <v>206</v>
      </c>
      <c r="T16" s="7" t="s">
        <v>1731</v>
      </c>
      <c r="U16" s="7">
        <v>5.6</v>
      </c>
      <c r="W16" s="7" t="str">
        <f t="shared" si="2"/>
        <v>HIV Viral Load testHologic Viral Load Test Kit - 100 tests</v>
      </c>
      <c r="Z16" s="7" t="s">
        <v>1243</v>
      </c>
      <c r="AA16" s="7" t="s">
        <v>1243</v>
      </c>
      <c r="AB16" s="7" t="s">
        <v>1140</v>
      </c>
      <c r="AC16" s="7">
        <v>5.6</v>
      </c>
    </row>
    <row r="17" spans="3:29">
      <c r="C17" s="7" t="s">
        <v>208</v>
      </c>
      <c r="D17" s="7" t="s">
        <v>1706</v>
      </c>
      <c r="E17" s="397">
        <v>5.2</v>
      </c>
      <c r="G17" s="7" t="str">
        <f t="shared" si="0"/>
        <v>Male condom53 mm - with flavor/scent - pack of 144</v>
      </c>
      <c r="K17" s="7" t="s">
        <v>205</v>
      </c>
      <c r="L17" s="7" t="s">
        <v>1518</v>
      </c>
      <c r="M17" s="397">
        <v>5.4</v>
      </c>
      <c r="O17" s="7" t="str">
        <f t="shared" si="1"/>
        <v>Rapid Diagnostic Test - HIVHIV 1+2 - Determine HIV Kit - 20 tests</v>
      </c>
      <c r="S17" s="7" t="s">
        <v>206</v>
      </c>
      <c r="T17" s="7" t="s">
        <v>1140</v>
      </c>
      <c r="U17" s="7">
        <v>5.6</v>
      </c>
      <c r="W17" s="7" t="str">
        <f t="shared" si="2"/>
        <v>HIV Viral Load test[enter specifications manually]</v>
      </c>
      <c r="Z17" s="7" t="s">
        <v>1222</v>
      </c>
      <c r="AA17" s="7" t="s">
        <v>1222</v>
      </c>
      <c r="AB17" s="7" t="s">
        <v>1140</v>
      </c>
      <c r="AC17" s="7">
        <v>5.6</v>
      </c>
    </row>
    <row r="18" spans="3:29">
      <c r="C18" s="7" t="s">
        <v>208</v>
      </c>
      <c r="D18" s="7" t="s">
        <v>1140</v>
      </c>
      <c r="E18" s="397">
        <v>5.2</v>
      </c>
      <c r="G18" s="7" t="str">
        <f t="shared" si="0"/>
        <v>Male condom[enter specifications manually]</v>
      </c>
      <c r="K18" s="7" t="s">
        <v>205</v>
      </c>
      <c r="L18" s="7" t="s">
        <v>828</v>
      </c>
      <c r="M18" s="397">
        <v>5.4</v>
      </c>
      <c r="O18" s="7" t="str">
        <f t="shared" si="1"/>
        <v>Rapid Diagnostic Test - HIVHIV 1+2 - Generic Rapid Diagnostic Test Kit - 1 test</v>
      </c>
      <c r="S18" s="7" t="s">
        <v>206</v>
      </c>
      <c r="T18" s="7" t="s">
        <v>1732</v>
      </c>
      <c r="U18" s="7">
        <v>5.6</v>
      </c>
      <c r="W18" s="7" t="str">
        <f t="shared" si="2"/>
        <v>HIV Viral Load testQiagen Viral Load Test Kit and Consumable Bundle - 24 tests</v>
      </c>
      <c r="Z18" s="7" t="s">
        <v>1223</v>
      </c>
      <c r="AA18" s="7" t="s">
        <v>1223</v>
      </c>
      <c r="AB18" s="7" t="s">
        <v>1140</v>
      </c>
      <c r="AC18" s="7">
        <v>5.6</v>
      </c>
    </row>
    <row r="19" spans="3:29">
      <c r="C19" s="7" t="s">
        <v>204</v>
      </c>
      <c r="D19" s="7" t="s">
        <v>1707</v>
      </c>
      <c r="E19" s="397">
        <v>5.3</v>
      </c>
      <c r="G19" s="7" t="str">
        <f t="shared" si="0"/>
        <v>Female condomlatex - ring</v>
      </c>
      <c r="K19" s="7" t="s">
        <v>205</v>
      </c>
      <c r="L19" s="7" t="s">
        <v>829</v>
      </c>
      <c r="M19" s="397">
        <v>5.4</v>
      </c>
      <c r="O19" s="7" t="str">
        <f t="shared" si="1"/>
        <v>Rapid Diagnostic Test - HIVHIV 1+2 - INSTI HIV Antibody Test Kit - 48 tests</v>
      </c>
      <c r="S19" s="7" t="s">
        <v>206</v>
      </c>
      <c r="T19" s="7" t="s">
        <v>1733</v>
      </c>
      <c r="U19" s="7">
        <v>5.6</v>
      </c>
      <c r="W19" s="7" t="str">
        <f t="shared" si="2"/>
        <v>HIV Viral Load testQiagen Viral Load Test Kit and Consumable Bundle - 72 tests</v>
      </c>
      <c r="Z19" s="7" t="s">
        <v>1224</v>
      </c>
      <c r="AA19" s="7" t="s">
        <v>1224</v>
      </c>
      <c r="AB19" s="7" t="s">
        <v>1140</v>
      </c>
      <c r="AC19" s="7">
        <v>5.6</v>
      </c>
    </row>
    <row r="20" spans="3:29">
      <c r="C20" s="7" t="s">
        <v>204</v>
      </c>
      <c r="D20" s="7" t="s">
        <v>1708</v>
      </c>
      <c r="E20" s="397">
        <v>5.3</v>
      </c>
      <c r="G20" s="7" t="str">
        <f t="shared" si="0"/>
        <v>Female condomlatex - sponge</v>
      </c>
      <c r="K20" s="7" t="s">
        <v>205</v>
      </c>
      <c r="L20" s="7" t="s">
        <v>1504</v>
      </c>
      <c r="M20" s="397">
        <v>5.4</v>
      </c>
      <c r="O20" s="7" t="str">
        <f t="shared" si="1"/>
        <v>Rapid Diagnostic Test - HIVHIV 1+2 - OraQuick ADVANCE HIV Rapid Antibody Kit - 25 Tests</v>
      </c>
      <c r="S20" s="7" t="s">
        <v>206</v>
      </c>
      <c r="T20" s="7" t="s">
        <v>1734</v>
      </c>
      <c r="U20" s="7">
        <v>5.6</v>
      </c>
      <c r="W20" s="7" t="str">
        <f t="shared" si="2"/>
        <v>HIV Viral Load testRoche Viral Load Test Kit and Consumable Bundle - 48 tests</v>
      </c>
      <c r="Z20" s="7" t="s">
        <v>1225</v>
      </c>
      <c r="AA20" s="7" t="s">
        <v>1225</v>
      </c>
      <c r="AB20" s="7" t="s">
        <v>1140</v>
      </c>
      <c r="AC20" s="7">
        <v>5.6</v>
      </c>
    </row>
    <row r="21" spans="3:29">
      <c r="C21" s="7" t="s">
        <v>204</v>
      </c>
      <c r="D21" s="7" t="s">
        <v>1709</v>
      </c>
      <c r="E21" s="397">
        <v>5.3</v>
      </c>
      <c r="G21" s="7" t="str">
        <f t="shared" si="0"/>
        <v>Female condomnitrile - ring</v>
      </c>
      <c r="K21" s="7" t="s">
        <v>205</v>
      </c>
      <c r="L21" s="7" t="s">
        <v>1519</v>
      </c>
      <c r="M21" s="397">
        <v>5.4</v>
      </c>
      <c r="O21" s="7" t="str">
        <f t="shared" si="1"/>
        <v>Rapid Diagnostic Test - HIVHIV 1+2 - OraQuick HIV Rapid Antibody Kit - 100 Tests</v>
      </c>
      <c r="Z21" s="7" t="s">
        <v>1227</v>
      </c>
      <c r="AA21" s="7" t="s">
        <v>1227</v>
      </c>
      <c r="AB21" s="7" t="s">
        <v>1140</v>
      </c>
      <c r="AC21" s="7">
        <v>5.6</v>
      </c>
    </row>
    <row r="22" spans="3:29">
      <c r="C22" s="7" t="s">
        <v>204</v>
      </c>
      <c r="D22" s="7" t="s">
        <v>1710</v>
      </c>
      <c r="E22" s="397">
        <v>5.3</v>
      </c>
      <c r="G22" s="7" t="str">
        <f t="shared" si="0"/>
        <v>Female condompolyurethane</v>
      </c>
      <c r="K22" s="7" t="s">
        <v>205</v>
      </c>
      <c r="L22" s="7" t="s">
        <v>1520</v>
      </c>
      <c r="M22" s="397">
        <v>5.4</v>
      </c>
      <c r="O22" s="7" t="str">
        <f t="shared" si="1"/>
        <v>Rapid Diagnostic Test - HIVHIV 1+2 - OraQuick HIV Self Test - 250 Tests</v>
      </c>
      <c r="Z22" s="7" t="s">
        <v>1876</v>
      </c>
      <c r="AA22" s="7" t="s">
        <v>1876</v>
      </c>
      <c r="AB22" s="7" t="s">
        <v>1877</v>
      </c>
      <c r="AC22" s="7">
        <v>5.6</v>
      </c>
    </row>
    <row r="23" spans="3:29">
      <c r="C23" s="7" t="s">
        <v>204</v>
      </c>
      <c r="D23" s="7" t="s">
        <v>1140</v>
      </c>
      <c r="E23" s="397">
        <v>5.3</v>
      </c>
      <c r="G23" s="7" t="str">
        <f t="shared" si="0"/>
        <v>Female condom[enter specifications manually]</v>
      </c>
      <c r="K23" s="7" t="s">
        <v>205</v>
      </c>
      <c r="L23" s="7" t="s">
        <v>1505</v>
      </c>
      <c r="M23" s="397">
        <v>5.4</v>
      </c>
      <c r="O23" s="7" t="str">
        <f t="shared" si="1"/>
        <v>Rapid Diagnostic Test - HIVHIV 1+2 - OraQuick HIV Self Test - 50 Tests</v>
      </c>
      <c r="Z23" s="7" t="s">
        <v>1881</v>
      </c>
      <c r="AA23" s="7" t="s">
        <v>1876</v>
      </c>
      <c r="AB23" s="7" t="s">
        <v>1878</v>
      </c>
      <c r="AC23" s="7">
        <v>5.6</v>
      </c>
    </row>
    <row r="24" spans="3:29">
      <c r="C24" s="7" t="s">
        <v>207</v>
      </c>
      <c r="D24" s="7" t="s">
        <v>1686</v>
      </c>
      <c r="E24" s="397">
        <v>5.8</v>
      </c>
      <c r="G24" s="7" t="str">
        <f t="shared" si="0"/>
        <v>Lubricant35 g – sterile jelly - 1 tube</v>
      </c>
      <c r="K24" s="7" t="s">
        <v>205</v>
      </c>
      <c r="L24" s="7" t="s">
        <v>1521</v>
      </c>
      <c r="M24" s="397">
        <v>5.4</v>
      </c>
      <c r="O24" s="7" t="str">
        <f t="shared" si="1"/>
        <v>Rapid Diagnostic Test - HIVHIV 1+2 - Stat-Pak Dipstick Assay Kit - 30 tests</v>
      </c>
      <c r="Z24" s="7" t="s">
        <v>1883</v>
      </c>
      <c r="AA24" s="7" t="s">
        <v>1876</v>
      </c>
      <c r="AB24" s="7" t="s">
        <v>1879</v>
      </c>
      <c r="AC24" s="7">
        <v>5.6</v>
      </c>
    </row>
    <row r="25" spans="3:29">
      <c r="C25" s="7" t="s">
        <v>207</v>
      </c>
      <c r="D25" s="7" t="s">
        <v>1687</v>
      </c>
      <c r="E25" s="397">
        <v>5.8</v>
      </c>
      <c r="G25" s="7" t="str">
        <f t="shared" si="0"/>
        <v>Lubricant82 g – sterile jelly - 1 tube</v>
      </c>
      <c r="K25" s="7" t="s">
        <v>205</v>
      </c>
      <c r="L25" s="7" t="s">
        <v>1522</v>
      </c>
      <c r="M25" s="397">
        <v>5.4</v>
      </c>
      <c r="O25" s="7" t="str">
        <f t="shared" si="1"/>
        <v>Rapid Diagnostic Test - HIVHIV 1+2 - Stat-Pak HIV Kit - 20 tests</v>
      </c>
      <c r="Z25" s="7" t="s">
        <v>1886</v>
      </c>
      <c r="AA25" s="7" t="s">
        <v>1876</v>
      </c>
      <c r="AB25" s="7" t="s">
        <v>1880</v>
      </c>
      <c r="AC25" s="7">
        <v>5.6</v>
      </c>
    </row>
    <row r="26" spans="3:29">
      <c r="C26" s="7" t="s">
        <v>207</v>
      </c>
      <c r="D26" s="7" t="s">
        <v>1688</v>
      </c>
      <c r="E26" s="397">
        <v>5.8</v>
      </c>
      <c r="G26" s="7" t="str">
        <f t="shared" si="0"/>
        <v>Lubricant4 ml - water based - 1000 sachets</v>
      </c>
      <c r="K26" s="7" t="s">
        <v>205</v>
      </c>
      <c r="L26" s="7" t="s">
        <v>1523</v>
      </c>
      <c r="M26" s="397">
        <v>5.4</v>
      </c>
      <c r="O26" s="7" t="str">
        <f t="shared" si="1"/>
        <v>Rapid Diagnostic Test - HIVHIV 1+2 - Uni-gold HIV Kit - 100 tests</v>
      </c>
      <c r="Z26" s="7" t="s">
        <v>1888</v>
      </c>
      <c r="AA26" s="7" t="s">
        <v>1881</v>
      </c>
      <c r="AB26" s="7" t="s">
        <v>1882</v>
      </c>
      <c r="AC26" s="7">
        <v>5.6</v>
      </c>
    </row>
    <row r="27" spans="3:29">
      <c r="C27" s="7" t="s">
        <v>207</v>
      </c>
      <c r="D27" s="7" t="s">
        <v>1689</v>
      </c>
      <c r="E27" s="397">
        <v>5.8</v>
      </c>
      <c r="G27" s="7" t="str">
        <f t="shared" si="0"/>
        <v>Lubricant4.3 ml - water based - 1000 sachets</v>
      </c>
      <c r="K27" s="7" t="s">
        <v>205</v>
      </c>
      <c r="L27" s="7" t="s">
        <v>1524</v>
      </c>
      <c r="M27" s="397">
        <v>5.4</v>
      </c>
      <c r="O27" s="7" t="str">
        <f t="shared" si="1"/>
        <v>Rapid Diagnostic Test - HIVHIV 1+2 - Uni-gold HIV Kit - 20 tests</v>
      </c>
      <c r="Z27" s="7" t="s">
        <v>1890</v>
      </c>
      <c r="AA27" s="7" t="s">
        <v>1883</v>
      </c>
      <c r="AB27" s="7" t="s">
        <v>1884</v>
      </c>
      <c r="AC27" s="7">
        <v>5.6</v>
      </c>
    </row>
    <row r="28" spans="3:29">
      <c r="C28" s="7" t="s">
        <v>207</v>
      </c>
      <c r="D28" s="7" t="s">
        <v>1690</v>
      </c>
      <c r="E28" s="397">
        <v>5.8</v>
      </c>
      <c r="G28" s="7" t="str">
        <f t="shared" si="0"/>
        <v>Lubricant5 ml - water based - 1000 sachets</v>
      </c>
      <c r="K28" s="7" t="s">
        <v>205</v>
      </c>
      <c r="L28" s="7" t="s">
        <v>1525</v>
      </c>
      <c r="M28" s="397">
        <v>5.4</v>
      </c>
      <c r="O28" s="7" t="str">
        <f t="shared" si="1"/>
        <v>Rapid Diagnostic Test - HIVHIV 1+2 - Vikia HIV Device Kit - 25 tests</v>
      </c>
      <c r="Z28" s="7" t="s">
        <v>1892</v>
      </c>
      <c r="AA28" s="7" t="s">
        <v>1883</v>
      </c>
      <c r="AB28" s="7" t="s">
        <v>1885</v>
      </c>
      <c r="AC28" s="7">
        <v>5.6</v>
      </c>
    </row>
    <row r="29" spans="3:29">
      <c r="K29" s="7" t="s">
        <v>205</v>
      </c>
      <c r="L29" s="7" t="s">
        <v>1526</v>
      </c>
      <c r="M29" s="397">
        <v>5.4</v>
      </c>
      <c r="O29" s="7" t="str">
        <f t="shared" si="1"/>
        <v>Rapid Diagnostic Test - HIVHIV 1+2 Colloidal Gold - 50 tests</v>
      </c>
      <c r="Z29" s="7" t="s">
        <v>1893</v>
      </c>
      <c r="AA29" s="7" t="s">
        <v>1886</v>
      </c>
      <c r="AB29" s="7" t="s">
        <v>1887</v>
      </c>
      <c r="AC29" s="7">
        <v>5.6</v>
      </c>
    </row>
    <row r="30" spans="3:29">
      <c r="K30" s="7" t="s">
        <v>205</v>
      </c>
      <c r="L30" s="7" t="s">
        <v>831</v>
      </c>
      <c r="M30" s="397">
        <v>5.4</v>
      </c>
      <c r="O30" s="7" t="str">
        <f t="shared" si="1"/>
        <v>Rapid Diagnostic Test - HIVHIV Self Testing - Generic Rapid Diagnostic Test Kit - 1 test</v>
      </c>
      <c r="Z30" s="7" t="s">
        <v>1894</v>
      </c>
      <c r="AA30" s="7" t="s">
        <v>1888</v>
      </c>
      <c r="AB30" s="7" t="s">
        <v>1889</v>
      </c>
      <c r="AC30" s="7">
        <v>5.6</v>
      </c>
    </row>
    <row r="31" spans="3:29">
      <c r="K31" s="7" t="s">
        <v>205</v>
      </c>
      <c r="L31" s="7" t="s">
        <v>830</v>
      </c>
      <c r="M31" s="397">
        <v>5.4</v>
      </c>
      <c r="O31" s="7" t="str">
        <f t="shared" si="1"/>
        <v>Rapid Diagnostic Test - HIVHIV/Syphilis - Generic RDT - 1 test</v>
      </c>
      <c r="Z31" s="563" t="s">
        <v>1212</v>
      </c>
      <c r="AA31" s="7" t="s">
        <v>1890</v>
      </c>
      <c r="AB31" s="7" t="s">
        <v>1891</v>
      </c>
      <c r="AC31" s="7">
        <v>5.6</v>
      </c>
    </row>
    <row r="32" spans="3:29">
      <c r="K32" s="7" t="s">
        <v>205</v>
      </c>
      <c r="L32" s="7" t="s">
        <v>1527</v>
      </c>
      <c r="M32" s="397">
        <v>5.4</v>
      </c>
      <c r="O32" s="7" t="str">
        <f t="shared" si="1"/>
        <v>Rapid Diagnostic Test - HIVHIV/Syphilis - SD Bioline Duo complete kit - 25 tests</v>
      </c>
      <c r="Z32" s="563" t="s">
        <v>537</v>
      </c>
      <c r="AA32" s="7" t="s">
        <v>1892</v>
      </c>
      <c r="AB32" s="7" t="s">
        <v>1140</v>
      </c>
      <c r="AC32" s="7">
        <v>5.6</v>
      </c>
    </row>
    <row r="33" spans="3:29">
      <c r="K33" s="7" t="s">
        <v>205</v>
      </c>
      <c r="L33" s="7" t="s">
        <v>1140</v>
      </c>
      <c r="M33" s="397">
        <v>5.4</v>
      </c>
      <c r="O33" s="7" t="str">
        <f t="shared" si="1"/>
        <v>Rapid Diagnostic Test - HIV[enter specifications manually]</v>
      </c>
      <c r="Z33" s="563" t="s">
        <v>2354</v>
      </c>
      <c r="AA33" s="7" t="s">
        <v>1893</v>
      </c>
      <c r="AB33" s="7" t="s">
        <v>1140</v>
      </c>
      <c r="AC33" s="7">
        <v>5.6</v>
      </c>
    </row>
    <row r="34" spans="3:29">
      <c r="K34" s="7" t="s">
        <v>210</v>
      </c>
      <c r="L34" s="7" t="s">
        <v>1716</v>
      </c>
      <c r="M34" s="397">
        <v>5.4</v>
      </c>
      <c r="O34" s="7" t="str">
        <f t="shared" si="1"/>
        <v>Rapid Diagnostic Test - CryptococcusCryptococcus - Latex Agglutination Antigen Detection System - 120 Tests</v>
      </c>
      <c r="AA34" s="7" t="s">
        <v>1894</v>
      </c>
      <c r="AB34" s="7" t="s">
        <v>1140</v>
      </c>
      <c r="AC34" s="7">
        <v>5.6</v>
      </c>
    </row>
    <row r="35" spans="3:29">
      <c r="K35" s="7" t="s">
        <v>210</v>
      </c>
      <c r="L35" s="7" t="s">
        <v>1715</v>
      </c>
      <c r="M35" s="397">
        <v>5.4</v>
      </c>
      <c r="O35" s="7" t="str">
        <f t="shared" si="1"/>
        <v>Rapid Diagnostic Test - CryptococcusCryptococcus Antigen Latex lateral flow assay, 50 test/kit</v>
      </c>
    </row>
    <row r="36" spans="3:29">
      <c r="K36" s="7" t="s">
        <v>211</v>
      </c>
      <c r="L36" s="7" t="s">
        <v>823</v>
      </c>
      <c r="M36" s="397">
        <v>5.4</v>
      </c>
      <c r="O36" s="7" t="str">
        <f t="shared" si="1"/>
        <v>Rapid Diagnostic Test - HBVHBV - Generic Rapid Diagnostic Test Kit - 1 test</v>
      </c>
    </row>
    <row r="37" spans="3:29">
      <c r="K37" s="7" t="s">
        <v>211</v>
      </c>
      <c r="L37" s="7" t="s">
        <v>1714</v>
      </c>
      <c r="M37" s="397">
        <v>5.4</v>
      </c>
      <c r="O37" s="7" t="str">
        <f t="shared" si="1"/>
        <v>Rapid Diagnostic Test - HBVSD BIOLINE HBsAg WB – 30 tests</v>
      </c>
    </row>
    <row r="38" spans="3:29">
      <c r="K38" s="7" t="s">
        <v>212</v>
      </c>
      <c r="L38" s="7" t="s">
        <v>824</v>
      </c>
      <c r="M38" s="397">
        <v>5.4</v>
      </c>
      <c r="O38" s="7" t="str">
        <f t="shared" si="1"/>
        <v>Rapid Diagnostic Test - HCVHCV - Generic Rapid Diagnostic Test Kit - 1 test</v>
      </c>
    </row>
    <row r="39" spans="3:29">
      <c r="K39" s="7" t="s">
        <v>212</v>
      </c>
      <c r="L39" s="7" t="s">
        <v>1713</v>
      </c>
      <c r="M39" s="397">
        <v>5.4</v>
      </c>
      <c r="O39" s="7" t="str">
        <f t="shared" si="1"/>
        <v>Rapid Diagnostic Test - HCVGeneXpert Cartridge 10</v>
      </c>
    </row>
    <row r="40" spans="3:29">
      <c r="K40" s="7" t="s">
        <v>209</v>
      </c>
      <c r="L40" s="7" t="s">
        <v>832</v>
      </c>
      <c r="M40" s="397">
        <v>5.4</v>
      </c>
      <c r="O40" s="7" t="str">
        <f t="shared" si="1"/>
        <v>Rapid Diagnostic Test - SyphilisSyphilis - Generic Rapid Diagnostic Test Kit - 1 test</v>
      </c>
    </row>
    <row r="41" spans="3:29">
      <c r="K41" s="7" t="s">
        <v>1750</v>
      </c>
      <c r="L41" s="7" t="s">
        <v>1503</v>
      </c>
      <c r="M41" s="397">
        <v>5.4</v>
      </c>
    </row>
    <row r="42" spans="3:29">
      <c r="K42" s="7" t="s">
        <v>573</v>
      </c>
      <c r="L42" s="7" t="s">
        <v>1713</v>
      </c>
      <c r="M42" s="397">
        <v>5.4</v>
      </c>
    </row>
    <row r="43" spans="3:29">
      <c r="K43" s="7" t="s">
        <v>573</v>
      </c>
      <c r="L43" s="7" t="s">
        <v>1751</v>
      </c>
      <c r="M43" s="397">
        <v>5.4</v>
      </c>
    </row>
    <row r="44" spans="3:29">
      <c r="K44" s="7" t="s">
        <v>573</v>
      </c>
      <c r="L44" s="7" t="s">
        <v>1752</v>
      </c>
      <c r="M44" s="397">
        <v>5.4</v>
      </c>
    </row>
    <row r="45" spans="3:29">
      <c r="C45" s="8"/>
      <c r="D45" s="8"/>
      <c r="E45" s="8"/>
      <c r="K45" s="7" t="s">
        <v>573</v>
      </c>
      <c r="L45" s="7" t="s">
        <v>1753</v>
      </c>
      <c r="M45" s="397">
        <v>5.4</v>
      </c>
    </row>
    <row r="47" spans="3:29" ht="14.5">
      <c r="C47" s="9"/>
      <c r="D47" s="9"/>
      <c r="E47" s="9"/>
      <c r="K47" s="8"/>
      <c r="L47" s="8"/>
      <c r="M47" s="8"/>
    </row>
    <row r="49" spans="3:29" ht="14.5">
      <c r="C49" s="8"/>
      <c r="D49" s="8"/>
      <c r="E49" s="8"/>
      <c r="K49" s="9"/>
      <c r="L49" s="9"/>
      <c r="M49" s="9"/>
      <c r="S49" s="8"/>
      <c r="T49" s="8"/>
      <c r="U49" s="8"/>
    </row>
    <row r="50" spans="3:29" s="8" customFormat="1">
      <c r="K50" s="7"/>
      <c r="L50" s="7"/>
      <c r="M50" s="7"/>
      <c r="S50" s="7"/>
      <c r="T50" s="7"/>
      <c r="U50" s="7"/>
      <c r="Z50" s="7"/>
      <c r="AA50" s="7"/>
      <c r="AB50" s="7"/>
      <c r="AC50" s="7"/>
    </row>
    <row r="51" spans="3:29" ht="14.5">
      <c r="C51" s="8"/>
      <c r="D51" s="8"/>
      <c r="E51" s="8"/>
      <c r="K51" s="8"/>
      <c r="L51" s="8"/>
      <c r="M51" s="8"/>
      <c r="S51" s="9"/>
      <c r="T51" s="9"/>
      <c r="U51" s="9"/>
    </row>
    <row r="52" spans="3:29" s="9" customFormat="1" ht="14.5">
      <c r="C52" s="8"/>
      <c r="D52" s="8"/>
      <c r="E52" s="8"/>
      <c r="K52" s="8"/>
      <c r="L52" s="8"/>
      <c r="M52" s="8"/>
      <c r="S52" s="7"/>
      <c r="T52" s="7"/>
      <c r="U52" s="7"/>
      <c r="Z52" s="7"/>
      <c r="AA52" s="7"/>
      <c r="AB52" s="7"/>
      <c r="AC52" s="7"/>
    </row>
    <row r="53" spans="3:29">
      <c r="K53" s="8"/>
      <c r="L53" s="8"/>
      <c r="M53" s="8"/>
      <c r="S53" s="8"/>
      <c r="T53" s="8"/>
      <c r="U53" s="8"/>
      <c r="Z53" s="8"/>
      <c r="AA53" s="8"/>
      <c r="AB53" s="8"/>
      <c r="AC53" s="8"/>
    </row>
    <row r="54" spans="3:29" s="8" customFormat="1">
      <c r="C54" s="7"/>
      <c r="D54" s="7"/>
      <c r="E54" s="7"/>
      <c r="Z54" s="7"/>
      <c r="AA54" s="7"/>
      <c r="AB54" s="7"/>
      <c r="AC54" s="7"/>
    </row>
    <row r="55" spans="3:29" s="8" customFormat="1" ht="14.5">
      <c r="C55" s="7"/>
      <c r="D55" s="7"/>
      <c r="E55" s="7"/>
      <c r="K55" s="7"/>
      <c r="L55" s="7"/>
      <c r="M55" s="7"/>
      <c r="Z55" s="9"/>
      <c r="AA55" s="9"/>
      <c r="AB55" s="9"/>
      <c r="AC55" s="9"/>
    </row>
    <row r="56" spans="3:29" s="8" customFormat="1">
      <c r="C56" s="7"/>
      <c r="D56" s="7"/>
      <c r="E56" s="7"/>
      <c r="K56" s="7"/>
      <c r="L56" s="7"/>
      <c r="M56" s="7"/>
      <c r="Z56" s="7"/>
      <c r="AA56" s="7"/>
      <c r="AB56" s="7"/>
      <c r="AC56" s="7"/>
    </row>
    <row r="57" spans="3:29" s="8" customFormat="1">
      <c r="K57" s="7"/>
      <c r="L57" s="7"/>
      <c r="M57" s="7"/>
      <c r="S57" s="7"/>
      <c r="T57" s="7"/>
      <c r="U57" s="7"/>
    </row>
    <row r="58" spans="3:29">
      <c r="C58" s="8"/>
      <c r="D58" s="8"/>
      <c r="E58" s="8"/>
      <c r="Z58" s="8"/>
      <c r="AA58" s="8"/>
      <c r="AB58" s="8"/>
      <c r="AC58" s="8"/>
    </row>
    <row r="59" spans="3:29">
      <c r="K59" s="8"/>
      <c r="L59" s="8"/>
      <c r="M59" s="8"/>
      <c r="Z59" s="8"/>
      <c r="AA59" s="8"/>
      <c r="AB59" s="8"/>
      <c r="AC59" s="8"/>
    </row>
    <row r="60" spans="3:29">
      <c r="K60" s="8"/>
      <c r="L60" s="8"/>
      <c r="M60" s="8"/>
      <c r="Z60" s="8"/>
      <c r="AA60" s="8"/>
      <c r="AB60" s="8"/>
      <c r="AC60" s="8"/>
    </row>
    <row r="61" spans="3:29">
      <c r="S61" s="8"/>
      <c r="T61" s="8"/>
      <c r="U61" s="8"/>
    </row>
    <row r="62" spans="3:29" s="8" customFormat="1">
      <c r="C62" s="7"/>
      <c r="D62" s="7"/>
      <c r="E62" s="7"/>
      <c r="K62" s="7"/>
      <c r="L62" s="7"/>
      <c r="M62" s="7"/>
      <c r="Z62" s="7"/>
      <c r="AA62" s="7"/>
      <c r="AB62" s="7"/>
      <c r="AC62" s="7"/>
    </row>
    <row r="63" spans="3:29" s="8" customFormat="1">
      <c r="C63" s="7"/>
      <c r="D63" s="7"/>
      <c r="E63" s="7"/>
      <c r="K63" s="7"/>
      <c r="L63" s="7"/>
      <c r="M63" s="7"/>
      <c r="S63" s="7"/>
      <c r="T63" s="7"/>
      <c r="U63" s="7"/>
      <c r="Z63" s="7"/>
      <c r="AA63" s="7"/>
      <c r="AB63" s="7"/>
      <c r="AC63" s="7"/>
    </row>
    <row r="65" spans="26:29">
      <c r="Z65" s="8"/>
      <c r="AA65" s="8"/>
      <c r="AB65" s="8"/>
      <c r="AC65" s="8"/>
    </row>
    <row r="66" spans="26:29">
      <c r="Z66" s="8"/>
      <c r="AA66" s="8"/>
      <c r="AB66" s="8"/>
      <c r="AC66" s="8"/>
    </row>
    <row r="97" spans="3:29">
      <c r="C97" s="8"/>
      <c r="D97" s="8"/>
      <c r="E97" s="8"/>
    </row>
    <row r="98" spans="3:29">
      <c r="C98" s="8"/>
      <c r="D98" s="8"/>
      <c r="E98" s="8"/>
    </row>
    <row r="99" spans="3:29">
      <c r="K99" s="8"/>
      <c r="L99" s="8"/>
      <c r="M99" s="8"/>
    </row>
    <row r="100" spans="3:29">
      <c r="K100" s="8"/>
      <c r="L100" s="8"/>
      <c r="M100" s="8"/>
    </row>
    <row r="101" spans="3:29">
      <c r="S101" s="8"/>
      <c r="T101" s="8"/>
      <c r="U101" s="8"/>
    </row>
    <row r="102" spans="3:29" s="8" customFormat="1">
      <c r="C102" s="7"/>
      <c r="D102" s="7"/>
      <c r="E102" s="7"/>
      <c r="K102" s="7"/>
      <c r="L102" s="7"/>
      <c r="M102" s="7"/>
      <c r="Z102" s="7"/>
      <c r="AA102" s="7"/>
      <c r="AB102" s="7"/>
      <c r="AC102" s="7"/>
    </row>
    <row r="103" spans="3:29" s="8" customFormat="1">
      <c r="C103" s="7"/>
      <c r="D103" s="7"/>
      <c r="E103" s="7"/>
      <c r="K103" s="7"/>
      <c r="L103" s="7"/>
      <c r="M103" s="7"/>
      <c r="S103" s="7"/>
      <c r="T103" s="7"/>
      <c r="U103" s="7"/>
      <c r="Z103" s="7"/>
      <c r="AA103" s="7"/>
      <c r="AB103" s="7"/>
      <c r="AC103" s="7"/>
    </row>
    <row r="105" spans="3:29">
      <c r="Z105" s="8"/>
      <c r="AA105" s="8"/>
      <c r="AB105" s="8"/>
      <c r="AC105" s="8"/>
    </row>
    <row r="106" spans="3:29">
      <c r="Z106" s="8"/>
      <c r="AA106" s="8"/>
      <c r="AB106" s="8"/>
      <c r="AC106" s="8"/>
    </row>
    <row r="107" spans="3:29" ht="14.5">
      <c r="C107" s="9"/>
      <c r="D107" s="9"/>
      <c r="E107" s="9"/>
    </row>
    <row r="109" spans="3:29" ht="14.5">
      <c r="K109" s="9"/>
      <c r="L109" s="9"/>
      <c r="M109" s="9"/>
    </row>
    <row r="111" spans="3:29" ht="14.5">
      <c r="S111" s="9"/>
      <c r="T111" s="9"/>
      <c r="U111" s="9"/>
    </row>
    <row r="112" spans="3:29" s="9" customFormat="1" ht="14.5">
      <c r="C112" s="7"/>
      <c r="D112" s="7"/>
      <c r="E112" s="7"/>
      <c r="K112" s="7"/>
      <c r="L112" s="7"/>
      <c r="M112" s="7"/>
      <c r="S112" s="7"/>
      <c r="T112" s="7"/>
      <c r="U112" s="7"/>
      <c r="Z112" s="7"/>
      <c r="AA112" s="7"/>
      <c r="AB112" s="7"/>
      <c r="AC112" s="7"/>
    </row>
    <row r="115" spans="26:29" ht="14.5">
      <c r="Z115" s="9"/>
      <c r="AA115" s="9"/>
      <c r="AB115" s="9"/>
      <c r="AC115" s="9"/>
    </row>
    <row r="195" spans="3:29">
      <c r="C195" s="10"/>
      <c r="D195" s="10"/>
      <c r="E195" s="10"/>
    </row>
    <row r="197" spans="3:29">
      <c r="K197" s="10"/>
      <c r="L197" s="10"/>
      <c r="M197" s="10"/>
    </row>
    <row r="199" spans="3:29">
      <c r="S199" s="10"/>
      <c r="T199" s="10"/>
      <c r="U199" s="10"/>
    </row>
    <row r="200" spans="3:29" s="10" customFormat="1">
      <c r="C200" s="7"/>
      <c r="D200" s="7"/>
      <c r="E200" s="7"/>
      <c r="K200" s="7"/>
      <c r="L200" s="7"/>
      <c r="M200" s="7"/>
      <c r="S200" s="7"/>
      <c r="T200" s="7"/>
      <c r="U200" s="7"/>
      <c r="Z200" s="7"/>
      <c r="AA200" s="7"/>
      <c r="AB200" s="7"/>
      <c r="AC200" s="7"/>
    </row>
    <row r="203" spans="3:29">
      <c r="Z203" s="10"/>
      <c r="AA203" s="10"/>
      <c r="AB203" s="10"/>
      <c r="AC203" s="10"/>
    </row>
  </sheetData>
  <sheetProtection password="9C4D" sheet="1" objects="1" scenarios="1" formatColumns="0" formatRows="0" autoFilter="0"/>
  <pageMargins left="0.25" right="0.25" top="0.75" bottom="0.75" header="0.3" footer="0.3"/>
  <pageSetup paperSize="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tabColor theme="5"/>
  </sheetPr>
  <dimension ref="A1:AJ58"/>
  <sheetViews>
    <sheetView showGridLines="0" zoomScale="93" zoomScaleNormal="93" workbookViewId="0">
      <selection activeCell="A7" sqref="A7:J7"/>
    </sheetView>
  </sheetViews>
  <sheetFormatPr defaultColWidth="9.08984375" defaultRowHeight="14.5"/>
  <cols>
    <col min="1" max="1" width="9" style="78" customWidth="1"/>
    <col min="2" max="6" width="15.36328125" style="78" customWidth="1"/>
    <col min="7" max="7" width="18.7265625" style="78" customWidth="1"/>
    <col min="8" max="8" width="20.26953125" style="78" customWidth="1"/>
    <col min="9" max="9" width="18.81640625" style="78" customWidth="1"/>
    <col min="10" max="10" width="18.6328125" style="78" customWidth="1"/>
    <col min="11" max="11" width="18.7265625" style="78" customWidth="1"/>
    <col min="12" max="12" width="18.26953125" style="78" customWidth="1"/>
    <col min="13" max="13" width="14.36328125" style="78" customWidth="1"/>
    <col min="14" max="14" width="17.36328125" style="78" customWidth="1"/>
    <col min="15" max="16384" width="9.08984375" style="78"/>
  </cols>
  <sheetData>
    <row r="1" spans="1:36" ht="24" customHeight="1" thickBot="1">
      <c r="A1" s="2377" t="s">
        <v>7636</v>
      </c>
      <c r="B1" s="2378"/>
      <c r="C1" s="2378"/>
      <c r="D1" s="2378"/>
      <c r="E1" s="2378"/>
      <c r="F1" s="2378"/>
      <c r="G1" s="2378"/>
      <c r="H1" s="2378"/>
      <c r="I1" s="2378"/>
      <c r="J1" s="2379"/>
      <c r="K1" s="82"/>
      <c r="L1" s="2400"/>
      <c r="M1" s="2390" t="s">
        <v>252</v>
      </c>
      <c r="N1" s="2390" t="s">
        <v>253</v>
      </c>
    </row>
    <row r="2" spans="1:36" ht="15" thickBot="1">
      <c r="A2" s="174"/>
      <c r="B2" s="174"/>
      <c r="C2" s="174"/>
      <c r="D2" s="174"/>
      <c r="E2" s="174"/>
      <c r="F2" s="174"/>
      <c r="G2" s="174"/>
      <c r="H2" s="174"/>
      <c r="I2" s="174"/>
      <c r="J2" s="174"/>
      <c r="K2" s="82"/>
      <c r="L2" s="2401"/>
      <c r="M2" s="2391"/>
      <c r="N2" s="2391"/>
    </row>
    <row r="3" spans="1:36" ht="15" customHeight="1" thickBot="1">
      <c r="A3" s="175"/>
      <c r="B3" s="2380" t="s">
        <v>0</v>
      </c>
      <c r="C3" s="2382">
        <f>SETUP!$E$3</f>
        <v>0</v>
      </c>
      <c r="D3" s="2382"/>
      <c r="E3" s="2382"/>
      <c r="F3" s="176"/>
      <c r="G3" s="2384" t="s">
        <v>1</v>
      </c>
      <c r="H3" s="2386">
        <f>SETUP!$G$13</f>
        <v>0</v>
      </c>
      <c r="I3" s="2386"/>
      <c r="J3" s="2387"/>
      <c r="K3" s="82"/>
      <c r="L3" s="1713"/>
      <c r="M3" s="177"/>
      <c r="N3" s="178"/>
    </row>
    <row r="4" spans="1:36" ht="15.75" customHeight="1" thickTop="1" thickBot="1">
      <c r="A4" s="179"/>
      <c r="B4" s="2381"/>
      <c r="C4" s="2383"/>
      <c r="D4" s="2383"/>
      <c r="E4" s="2383"/>
      <c r="F4" s="180"/>
      <c r="G4" s="2385"/>
      <c r="H4" s="2388"/>
      <c r="I4" s="2388"/>
      <c r="J4" s="2389"/>
      <c r="K4" s="82"/>
      <c r="L4" s="71"/>
      <c r="M4" s="71"/>
      <c r="N4" s="71"/>
    </row>
    <row r="5" spans="1:36" ht="15.5" thickTop="1" thickBot="1">
      <c r="A5" s="179"/>
      <c r="B5" s="2402" t="s">
        <v>2</v>
      </c>
      <c r="C5" s="2404" t="str">
        <f>SETUP!$E$6</f>
        <v>HIV</v>
      </c>
      <c r="D5" s="2404"/>
      <c r="E5" s="2404"/>
      <c r="F5" s="181"/>
      <c r="G5" s="2370" t="s">
        <v>3</v>
      </c>
      <c r="H5" s="2372">
        <f>SETUP!E7</f>
        <v>0</v>
      </c>
      <c r="I5" s="2372"/>
      <c r="J5" s="2373"/>
      <c r="K5" s="82"/>
      <c r="L5" s="71"/>
      <c r="M5" s="71"/>
      <c r="N5" s="71"/>
    </row>
    <row r="6" spans="1:36" ht="15.5" thickTop="1" thickBot="1">
      <c r="A6" s="182"/>
      <c r="B6" s="2403"/>
      <c r="C6" s="2405"/>
      <c r="D6" s="2405"/>
      <c r="E6" s="2405"/>
      <c r="F6" s="183"/>
      <c r="G6" s="2371"/>
      <c r="H6" s="2374"/>
      <c r="I6" s="2374"/>
      <c r="J6" s="2375"/>
      <c r="K6" s="82"/>
      <c r="L6" s="71"/>
      <c r="M6" s="71"/>
      <c r="N6" s="184"/>
    </row>
    <row r="7" spans="1:36" ht="16" thickBot="1">
      <c r="A7" s="716"/>
      <c r="B7" s="79"/>
      <c r="C7" s="79"/>
      <c r="D7" s="79"/>
      <c r="E7" s="79"/>
      <c r="F7" s="79"/>
      <c r="G7" s="79"/>
      <c r="H7" s="79"/>
      <c r="I7" s="79"/>
      <c r="J7" s="79"/>
      <c r="K7" s="79"/>
      <c r="L7" s="79"/>
      <c r="M7" s="79"/>
      <c r="N7" s="185"/>
    </row>
    <row r="8" spans="1:36" s="105" customFormat="1" ht="109.5" customHeight="1">
      <c r="A8" s="2376" t="s">
        <v>6904</v>
      </c>
      <c r="B8" s="2376"/>
      <c r="C8" s="2376"/>
      <c r="D8" s="2376"/>
      <c r="E8" s="2376"/>
      <c r="F8" s="2376"/>
      <c r="G8" s="2376"/>
      <c r="H8" s="2376"/>
      <c r="I8" s="2376"/>
      <c r="J8" s="2376"/>
      <c r="K8" s="2376"/>
      <c r="L8" s="2376"/>
      <c r="M8" s="2376"/>
      <c r="N8" s="1078"/>
      <c r="O8" s="172"/>
      <c r="P8" s="172"/>
      <c r="Q8" s="172"/>
      <c r="R8" s="172"/>
      <c r="S8" s="172"/>
      <c r="T8" s="1302"/>
      <c r="U8" s="1302"/>
      <c r="V8" s="172"/>
      <c r="W8" s="172"/>
      <c r="X8" s="172"/>
      <c r="Y8" s="172"/>
      <c r="Z8" s="172"/>
      <c r="AA8" s="1302"/>
      <c r="AB8" s="1302"/>
      <c r="AC8" s="172"/>
      <c r="AD8" s="426"/>
      <c r="AH8" s="959"/>
      <c r="AJ8" s="959"/>
    </row>
    <row r="9" spans="1:36">
      <c r="A9" s="81"/>
      <c r="B9" s="2335" t="s">
        <v>254</v>
      </c>
      <c r="C9" s="2336"/>
      <c r="D9" s="2336"/>
      <c r="E9" s="2336"/>
      <c r="F9" s="2336"/>
      <c r="G9" s="2336"/>
      <c r="H9" s="2336"/>
      <c r="I9" s="2336"/>
      <c r="J9" s="2336"/>
      <c r="K9" s="2336"/>
      <c r="L9" s="2336"/>
      <c r="M9" s="2336"/>
      <c r="N9" s="185"/>
    </row>
    <row r="10" spans="1:36" ht="15" thickBot="1">
      <c r="A10" s="81"/>
      <c r="B10" s="2335"/>
      <c r="C10" s="2336"/>
      <c r="D10" s="2336"/>
      <c r="E10" s="2336"/>
      <c r="F10" s="2336"/>
      <c r="G10" s="2336"/>
      <c r="H10" s="2336"/>
      <c r="I10" s="2336"/>
      <c r="J10" s="2336"/>
      <c r="K10" s="2336"/>
      <c r="L10" s="2336"/>
      <c r="M10" s="2336"/>
      <c r="N10" s="185"/>
    </row>
    <row r="11" spans="1:36">
      <c r="A11" s="190"/>
      <c r="B11" s="2353"/>
      <c r="C11" s="2354"/>
      <c r="D11" s="2354"/>
      <c r="E11" s="806"/>
      <c r="F11" s="2356" t="s">
        <v>69</v>
      </c>
      <c r="G11" s="2356"/>
      <c r="H11" s="2356" t="s">
        <v>70</v>
      </c>
      <c r="I11" s="2356"/>
      <c r="J11" s="2356" t="s">
        <v>71</v>
      </c>
      <c r="K11" s="2356"/>
      <c r="L11" s="2337" t="s">
        <v>6889</v>
      </c>
      <c r="M11" s="2338"/>
      <c r="N11" s="185"/>
    </row>
    <row r="12" spans="1:36">
      <c r="A12" s="190"/>
      <c r="B12" s="2355"/>
      <c r="C12" s="2053"/>
      <c r="D12" s="2053"/>
      <c r="E12" s="804"/>
      <c r="F12" s="2357" t="str">
        <f>IF(ISBLANK(IMP_ST_DATE),"Please fill setup",IF(MO_CHECK&gt;3,"Y1",YEAR(IMP_ST_DATE)))</f>
        <v>Please fill setup</v>
      </c>
      <c r="G12" s="2357"/>
      <c r="H12" s="2357" t="str">
        <f>IF(F12="Y1","Y2",IF(ISBLANK(IMP_ST_DATE),"Please fill setup",YEAR(IMP_ST_DATE)+1))</f>
        <v>Please fill setup</v>
      </c>
      <c r="I12" s="2357"/>
      <c r="J12" s="2357" t="str">
        <f>IF(F12="Y1","Y3",IF(ISBLANK(IMP_ST_DATE),"Please fill setup",YEAR(IMP_ST_DATE)+2))</f>
        <v>Please fill setup</v>
      </c>
      <c r="K12" s="2357"/>
      <c r="L12" s="2339"/>
      <c r="M12" s="2340"/>
      <c r="N12" s="185"/>
    </row>
    <row r="13" spans="1:36" ht="29.5" thickBot="1">
      <c r="A13" s="190"/>
      <c r="B13" s="807"/>
      <c r="C13" s="808"/>
      <c r="D13" s="808"/>
      <c r="E13" s="809"/>
      <c r="F13" s="801" t="s">
        <v>7573</v>
      </c>
      <c r="G13" s="1655" t="s">
        <v>7574</v>
      </c>
      <c r="H13" s="801" t="s">
        <v>7573</v>
      </c>
      <c r="I13" s="1655" t="s">
        <v>7574</v>
      </c>
      <c r="J13" s="801" t="s">
        <v>7573</v>
      </c>
      <c r="K13" s="1655" t="s">
        <v>7574</v>
      </c>
      <c r="L13" s="2341"/>
      <c r="M13" s="2342"/>
      <c r="N13" s="185"/>
    </row>
    <row r="14" spans="1:36">
      <c r="A14" s="190"/>
      <c r="B14" s="2325" t="s">
        <v>1839</v>
      </c>
      <c r="C14" s="2326"/>
      <c r="D14" s="2326"/>
      <c r="E14" s="2326"/>
      <c r="F14" s="889"/>
      <c r="G14" s="1290">
        <f>G17+G24+G25</f>
        <v>0</v>
      </c>
      <c r="H14" s="1449"/>
      <c r="I14" s="1290">
        <f>I17+I24+I25</f>
        <v>0</v>
      </c>
      <c r="J14" s="1449"/>
      <c r="K14" s="1290">
        <f>K17+K24+K25</f>
        <v>0</v>
      </c>
      <c r="L14" s="2343"/>
      <c r="M14" s="2344"/>
      <c r="N14" s="185"/>
    </row>
    <row r="15" spans="1:36">
      <c r="A15" s="190"/>
      <c r="B15" s="2327" t="s">
        <v>1840</v>
      </c>
      <c r="C15" s="2328"/>
      <c r="D15" s="2328"/>
      <c r="E15" s="2328"/>
      <c r="F15" s="815"/>
      <c r="G15" s="1291">
        <f>IF(G14=0,0,G17/G14)</f>
        <v>0</v>
      </c>
      <c r="H15" s="815"/>
      <c r="I15" s="1291">
        <f>IF(I14=0,0,I17/I14)</f>
        <v>0</v>
      </c>
      <c r="J15" s="815"/>
      <c r="K15" s="1291">
        <f>IF(K14=0,0,K17/K14)</f>
        <v>0</v>
      </c>
      <c r="L15" s="2345">
        <f>AVERAGE(G15,I15,K15)</f>
        <v>0</v>
      </c>
      <c r="M15" s="2346"/>
      <c r="N15" s="185"/>
    </row>
    <row r="16" spans="1:36">
      <c r="A16" s="190"/>
      <c r="B16" s="2325" t="s">
        <v>1841</v>
      </c>
      <c r="C16" s="2326"/>
      <c r="D16" s="2326"/>
      <c r="E16" s="2326"/>
      <c r="F16" s="893"/>
      <c r="G16" s="1294">
        <f>IF(G14=0,0,(G24+G25)/G14)</f>
        <v>0</v>
      </c>
      <c r="H16" s="893"/>
      <c r="I16" s="1294">
        <f>IF(I14=0,0,(I24+I25)/I14)</f>
        <v>0</v>
      </c>
      <c r="J16" s="893"/>
      <c r="K16" s="1294">
        <f>IF(K14=0,0,(K24+K25)/K14)</f>
        <v>0</v>
      </c>
      <c r="L16" s="2347">
        <f>AVERAGE(G16,I16,K16)</f>
        <v>0</v>
      </c>
      <c r="M16" s="2348"/>
      <c r="N16" s="185"/>
    </row>
    <row r="17" spans="1:16">
      <c r="A17" s="190"/>
      <c r="B17" s="2327" t="s">
        <v>255</v>
      </c>
      <c r="C17" s="2328"/>
      <c r="D17" s="2328"/>
      <c r="E17" s="2328"/>
      <c r="F17" s="835"/>
      <c r="G17" s="1292">
        <f>G18+G21</f>
        <v>0</v>
      </c>
      <c r="H17" s="1447"/>
      <c r="I17" s="1292">
        <f>I18+I21</f>
        <v>0</v>
      </c>
      <c r="J17" s="1447"/>
      <c r="K17" s="1292">
        <f>K18+K21</f>
        <v>0</v>
      </c>
      <c r="L17" s="2092"/>
      <c r="M17" s="2349"/>
      <c r="N17" s="185"/>
    </row>
    <row r="18" spans="1:16">
      <c r="A18" s="190"/>
      <c r="B18" s="2333" t="s">
        <v>256</v>
      </c>
      <c r="C18" s="2334"/>
      <c r="D18" s="2334"/>
      <c r="E18" s="2334"/>
      <c r="F18" s="891"/>
      <c r="G18" s="1293">
        <f>SUM(G19:G20)</f>
        <v>0</v>
      </c>
      <c r="H18" s="1448"/>
      <c r="I18" s="1293">
        <f>SUM(I19:I20)</f>
        <v>0</v>
      </c>
      <c r="J18" s="1448"/>
      <c r="K18" s="1293">
        <f>SUM(K19:K20)</f>
        <v>0</v>
      </c>
      <c r="L18" s="2350"/>
      <c r="M18" s="2351"/>
      <c r="N18" s="185"/>
    </row>
    <row r="19" spans="1:16">
      <c r="A19" s="190"/>
      <c r="B19" s="2324" t="s">
        <v>257</v>
      </c>
      <c r="C19" s="2318"/>
      <c r="D19" s="2318"/>
      <c r="E19" s="2318"/>
      <c r="F19" s="835"/>
      <c r="G19" s="835"/>
      <c r="H19" s="835"/>
      <c r="I19" s="835"/>
      <c r="J19" s="835"/>
      <c r="K19" s="835"/>
      <c r="L19" s="2329"/>
      <c r="M19" s="2330"/>
      <c r="N19" s="185"/>
    </row>
    <row r="20" spans="1:16">
      <c r="A20" s="190"/>
      <c r="B20" s="2322" t="s">
        <v>258</v>
      </c>
      <c r="C20" s="2323"/>
      <c r="D20" s="2323"/>
      <c r="E20" s="2323"/>
      <c r="F20" s="891"/>
      <c r="G20" s="891"/>
      <c r="H20" s="891"/>
      <c r="I20" s="891"/>
      <c r="J20" s="891"/>
      <c r="K20" s="891"/>
      <c r="L20" s="2331"/>
      <c r="M20" s="2332"/>
      <c r="N20" s="185"/>
    </row>
    <row r="21" spans="1:16">
      <c r="A21" s="190"/>
      <c r="B21" s="2320" t="s">
        <v>259</v>
      </c>
      <c r="C21" s="2321"/>
      <c r="D21" s="2321"/>
      <c r="E21" s="2321"/>
      <c r="F21" s="835"/>
      <c r="G21" s="1292">
        <f>SUM(G22:G23)</f>
        <v>0</v>
      </c>
      <c r="H21" s="835"/>
      <c r="I21" s="1292">
        <f>SUM(I22:I23)</f>
        <v>0</v>
      </c>
      <c r="J21" s="835"/>
      <c r="K21" s="1292">
        <f>SUM(K22:K23)</f>
        <v>0</v>
      </c>
      <c r="L21" s="2329"/>
      <c r="M21" s="2330"/>
      <c r="N21" s="185"/>
    </row>
    <row r="22" spans="1:16">
      <c r="A22" s="190"/>
      <c r="B22" s="2322" t="s">
        <v>260</v>
      </c>
      <c r="C22" s="2323"/>
      <c r="D22" s="2323"/>
      <c r="E22" s="2323"/>
      <c r="F22" s="891"/>
      <c r="G22" s="891"/>
      <c r="H22" s="891"/>
      <c r="I22" s="891"/>
      <c r="J22" s="891"/>
      <c r="K22" s="891"/>
      <c r="L22" s="2331"/>
      <c r="M22" s="2332"/>
      <c r="N22" s="185"/>
    </row>
    <row r="23" spans="1:16">
      <c r="A23" s="190"/>
      <c r="B23" s="2324" t="s">
        <v>261</v>
      </c>
      <c r="C23" s="2318"/>
      <c r="D23" s="2318"/>
      <c r="E23" s="2318"/>
      <c r="F23" s="835"/>
      <c r="G23" s="835"/>
      <c r="H23" s="835"/>
      <c r="I23" s="835"/>
      <c r="J23" s="835"/>
      <c r="K23" s="835"/>
      <c r="L23" s="2329"/>
      <c r="M23" s="2330"/>
      <c r="N23" s="185"/>
    </row>
    <row r="24" spans="1:16">
      <c r="A24" s="190"/>
      <c r="B24" s="2325" t="s">
        <v>262</v>
      </c>
      <c r="C24" s="2326"/>
      <c r="D24" s="2326"/>
      <c r="E24" s="2326"/>
      <c r="F24" s="891"/>
      <c r="G24" s="891"/>
      <c r="H24" s="891"/>
      <c r="I24" s="891"/>
      <c r="J24" s="891"/>
      <c r="K24" s="891"/>
      <c r="L24" s="2331"/>
      <c r="M24" s="2332"/>
      <c r="N24" s="185"/>
    </row>
    <row r="25" spans="1:16">
      <c r="A25" s="190"/>
      <c r="B25" s="2327" t="s">
        <v>263</v>
      </c>
      <c r="C25" s="2328"/>
      <c r="D25" s="2328"/>
      <c r="E25" s="2328"/>
      <c r="F25" s="835"/>
      <c r="G25" s="835"/>
      <c r="H25" s="835"/>
      <c r="I25" s="835"/>
      <c r="J25" s="835"/>
      <c r="K25" s="835"/>
      <c r="L25" s="2329"/>
      <c r="M25" s="2330"/>
      <c r="N25" s="420"/>
    </row>
    <row r="26" spans="1:16" ht="15" thickBot="1">
      <c r="A26" s="190"/>
      <c r="B26" s="2369" t="s">
        <v>264</v>
      </c>
      <c r="C26" s="2352"/>
      <c r="D26" s="2352"/>
      <c r="E26" s="2352"/>
      <c r="F26" s="2352"/>
      <c r="G26" s="2362" t="s">
        <v>91</v>
      </c>
      <c r="H26" s="2362"/>
      <c r="I26" s="2352" t="s">
        <v>265</v>
      </c>
      <c r="J26" s="2352"/>
      <c r="K26" s="2398"/>
      <c r="L26" s="2398"/>
      <c r="M26" s="2399"/>
      <c r="N26" s="420"/>
      <c r="O26" s="473"/>
      <c r="P26" s="474"/>
    </row>
    <row r="27" spans="1:16" s="813" customFormat="1">
      <c r="A27" s="190"/>
      <c r="B27" s="810"/>
      <c r="C27" s="810"/>
      <c r="D27" s="810"/>
      <c r="E27" s="810"/>
      <c r="F27" s="810"/>
      <c r="G27" s="810"/>
      <c r="H27" s="810"/>
      <c r="I27" s="810"/>
      <c r="J27" s="810"/>
      <c r="K27" s="810"/>
      <c r="L27" s="810"/>
      <c r="M27" s="810"/>
      <c r="N27" s="811"/>
      <c r="O27" s="473"/>
      <c r="P27" s="812"/>
    </row>
    <row r="28" spans="1:16" ht="16" thickBot="1">
      <c r="A28" s="716"/>
      <c r="B28" s="79"/>
      <c r="C28" s="79"/>
      <c r="D28" s="79"/>
      <c r="E28" s="79"/>
      <c r="F28" s="79"/>
      <c r="G28" s="79"/>
      <c r="H28" s="79"/>
      <c r="I28" s="79"/>
      <c r="J28" s="79"/>
      <c r="K28" s="79"/>
      <c r="L28" s="79"/>
      <c r="M28" s="79"/>
      <c r="N28" s="185"/>
    </row>
    <row r="29" spans="1:16">
      <c r="A29" s="81"/>
      <c r="B29" s="2335" t="s">
        <v>266</v>
      </c>
      <c r="C29" s="2336"/>
      <c r="D29" s="2336"/>
      <c r="E29" s="2336"/>
      <c r="F29" s="2336"/>
      <c r="G29" s="2336"/>
      <c r="H29" s="2336"/>
      <c r="I29" s="2336"/>
      <c r="J29" s="2336"/>
      <c r="K29" s="2336"/>
      <c r="L29" s="2336"/>
      <c r="M29" s="2336"/>
      <c r="N29" s="185"/>
    </row>
    <row r="30" spans="1:16" ht="15" thickBot="1">
      <c r="A30" s="81"/>
      <c r="B30" s="2335"/>
      <c r="C30" s="2336"/>
      <c r="D30" s="2336"/>
      <c r="E30" s="2336"/>
      <c r="F30" s="2336"/>
      <c r="G30" s="2336"/>
      <c r="H30" s="2336"/>
      <c r="I30" s="2336"/>
      <c r="J30" s="2336"/>
      <c r="K30" s="2336"/>
      <c r="L30" s="2336"/>
      <c r="M30" s="2336"/>
      <c r="N30" s="185"/>
    </row>
    <row r="31" spans="1:16">
      <c r="A31" s="190"/>
      <c r="B31" s="2353"/>
      <c r="C31" s="2354"/>
      <c r="D31" s="2354"/>
      <c r="E31" s="806"/>
      <c r="F31" s="2356" t="s">
        <v>69</v>
      </c>
      <c r="G31" s="2356"/>
      <c r="H31" s="2356" t="s">
        <v>70</v>
      </c>
      <c r="I31" s="2356"/>
      <c r="J31" s="2356" t="s">
        <v>71</v>
      </c>
      <c r="K31" s="2356"/>
      <c r="L31" s="2337"/>
      <c r="M31" s="2338"/>
      <c r="N31" s="185"/>
    </row>
    <row r="32" spans="1:16">
      <c r="A32" s="190"/>
      <c r="B32" s="2355"/>
      <c r="C32" s="2053"/>
      <c r="D32" s="2053"/>
      <c r="E32" s="804"/>
      <c r="F32" s="2357" t="str">
        <f>F12</f>
        <v>Please fill setup</v>
      </c>
      <c r="G32" s="2357"/>
      <c r="H32" s="2357" t="str">
        <f>H12</f>
        <v>Please fill setup</v>
      </c>
      <c r="I32" s="2357"/>
      <c r="J32" s="2357" t="str">
        <f>J12</f>
        <v>Please fill setup</v>
      </c>
      <c r="K32" s="2357"/>
      <c r="L32" s="2339"/>
      <c r="M32" s="2340"/>
      <c r="N32" s="185"/>
    </row>
    <row r="33" spans="1:16" ht="29.5" thickBot="1">
      <c r="A33" s="190"/>
      <c r="B33" s="807"/>
      <c r="C33" s="808"/>
      <c r="D33" s="808"/>
      <c r="E33" s="809"/>
      <c r="F33" s="801" t="s">
        <v>7573</v>
      </c>
      <c r="G33" s="1655" t="s">
        <v>7574</v>
      </c>
      <c r="H33" s="801" t="s">
        <v>7573</v>
      </c>
      <c r="I33" s="1655" t="s">
        <v>7574</v>
      </c>
      <c r="J33" s="801" t="s">
        <v>7573</v>
      </c>
      <c r="K33" s="1655" t="s">
        <v>7574</v>
      </c>
      <c r="L33" s="2341"/>
      <c r="M33" s="2342"/>
      <c r="N33" s="185"/>
    </row>
    <row r="34" spans="1:16">
      <c r="A34" s="190"/>
      <c r="B34" s="2325" t="s">
        <v>267</v>
      </c>
      <c r="C34" s="2326"/>
      <c r="D34" s="2326"/>
      <c r="E34" s="2326"/>
      <c r="F34" s="891"/>
      <c r="G34" s="891"/>
      <c r="H34" s="891"/>
      <c r="I34" s="891"/>
      <c r="J34" s="891"/>
      <c r="K34" s="891"/>
      <c r="L34" s="2331"/>
      <c r="M34" s="2332"/>
      <c r="N34" s="185"/>
    </row>
    <row r="35" spans="1:16" ht="15" thickBot="1">
      <c r="A35" s="190"/>
      <c r="B35" s="2358" t="s">
        <v>268</v>
      </c>
      <c r="C35" s="2359"/>
      <c r="D35" s="2359"/>
      <c r="E35" s="2359"/>
      <c r="F35" s="894"/>
      <c r="G35" s="894"/>
      <c r="H35" s="894"/>
      <c r="I35" s="894"/>
      <c r="J35" s="894"/>
      <c r="K35" s="894"/>
      <c r="L35" s="2316"/>
      <c r="M35" s="2317"/>
      <c r="N35" s="185"/>
    </row>
    <row r="36" spans="1:16">
      <c r="A36" s="190"/>
      <c r="B36" s="2318"/>
      <c r="C36" s="2318"/>
      <c r="D36" s="2318"/>
      <c r="E36" s="2318"/>
      <c r="F36" s="805"/>
      <c r="G36" s="805"/>
      <c r="H36" s="805"/>
      <c r="I36" s="805"/>
      <c r="J36" s="805"/>
      <c r="K36" s="805"/>
      <c r="L36" s="2319"/>
      <c r="M36" s="2319"/>
      <c r="N36" s="185"/>
    </row>
    <row r="37" spans="1:16">
      <c r="A37" s="81"/>
      <c r="B37" s="186"/>
      <c r="C37" s="186"/>
      <c r="D37" s="186"/>
      <c r="E37" s="186"/>
      <c r="F37" s="186"/>
      <c r="G37" s="186"/>
      <c r="H37" s="186"/>
      <c r="I37" s="186"/>
      <c r="J37" s="186"/>
      <c r="L37" s="79"/>
      <c r="M37" s="187"/>
      <c r="N37" s="187"/>
    </row>
    <row r="38" spans="1:16">
      <c r="A38" s="81"/>
      <c r="B38" s="2363" t="s">
        <v>81</v>
      </c>
      <c r="C38" s="2364"/>
      <c r="D38" s="2364"/>
      <c r="E38" s="2364"/>
      <c r="F38" s="2364"/>
      <c r="G38" s="2364"/>
      <c r="H38" s="2364"/>
      <c r="I38" s="2364"/>
      <c r="J38" s="2364"/>
      <c r="K38" s="2364"/>
      <c r="L38" s="2365"/>
      <c r="M38" s="185"/>
      <c r="N38" s="185"/>
    </row>
    <row r="39" spans="1:16">
      <c r="A39" s="81"/>
      <c r="B39" s="2366"/>
      <c r="C39" s="2367"/>
      <c r="D39" s="2367"/>
      <c r="E39" s="2367"/>
      <c r="F39" s="2367"/>
      <c r="G39" s="2367"/>
      <c r="H39" s="2367"/>
      <c r="I39" s="2367"/>
      <c r="J39" s="2367"/>
      <c r="K39" s="2367"/>
      <c r="L39" s="2368"/>
      <c r="M39" s="185"/>
      <c r="N39" s="185"/>
    </row>
    <row r="40" spans="1:16" ht="15" thickBot="1">
      <c r="A40" s="81"/>
      <c r="B40" s="76" t="s">
        <v>269</v>
      </c>
      <c r="C40" s="77"/>
      <c r="D40" s="77"/>
      <c r="E40" s="77"/>
      <c r="F40" s="77"/>
      <c r="G40" s="77"/>
      <c r="H40" s="77"/>
      <c r="I40" s="77"/>
      <c r="J40" s="77"/>
      <c r="L40" s="79"/>
      <c r="M40" s="185"/>
      <c r="N40" s="185"/>
    </row>
    <row r="41" spans="1:16" s="475" customFormat="1" ht="15" customHeight="1">
      <c r="A41" s="188"/>
      <c r="B41" s="2392" t="s">
        <v>270</v>
      </c>
      <c r="C41" s="2356"/>
      <c r="D41" s="2337" t="s">
        <v>271</v>
      </c>
      <c r="E41" s="2337" t="s">
        <v>272</v>
      </c>
      <c r="F41" s="2337" t="s">
        <v>273</v>
      </c>
      <c r="G41" s="2356" t="s">
        <v>274</v>
      </c>
      <c r="H41" s="2356"/>
      <c r="I41" s="2356"/>
      <c r="J41" s="2356"/>
      <c r="K41" s="2356"/>
      <c r="L41" s="2397"/>
      <c r="M41" s="189"/>
      <c r="N41" s="189"/>
    </row>
    <row r="42" spans="1:16" s="475" customFormat="1">
      <c r="A42" s="188"/>
      <c r="B42" s="2393"/>
      <c r="C42" s="2357"/>
      <c r="D42" s="2339"/>
      <c r="E42" s="2339"/>
      <c r="F42" s="2339"/>
      <c r="G42" s="2357" t="s">
        <v>69</v>
      </c>
      <c r="H42" s="2357"/>
      <c r="I42" s="2357" t="s">
        <v>70</v>
      </c>
      <c r="J42" s="2357"/>
      <c r="K42" s="2357" t="s">
        <v>71</v>
      </c>
      <c r="L42" s="2396"/>
      <c r="M42" s="189"/>
      <c r="N42" s="189"/>
    </row>
    <row r="43" spans="1:16" s="475" customFormat="1">
      <c r="A43" s="188"/>
      <c r="B43" s="2393"/>
      <c r="C43" s="2357"/>
      <c r="D43" s="2339"/>
      <c r="E43" s="2339"/>
      <c r="F43" s="2339"/>
      <c r="G43" s="2357" t="str">
        <f>F32</f>
        <v>Please fill setup</v>
      </c>
      <c r="H43" s="2357"/>
      <c r="I43" s="2357" t="str">
        <f>H32</f>
        <v>Please fill setup</v>
      </c>
      <c r="J43" s="2357"/>
      <c r="K43" s="2357" t="str">
        <f>J32</f>
        <v>Please fill setup</v>
      </c>
      <c r="L43" s="2396"/>
      <c r="M43" s="189"/>
      <c r="N43" s="189"/>
      <c r="P43" s="78"/>
    </row>
    <row r="44" spans="1:16" s="475" customFormat="1" ht="29.5" thickBot="1">
      <c r="A44" s="188"/>
      <c r="B44" s="2394"/>
      <c r="C44" s="2395"/>
      <c r="D44" s="2341"/>
      <c r="E44" s="2341"/>
      <c r="F44" s="2341"/>
      <c r="G44" s="801" t="s">
        <v>7573</v>
      </c>
      <c r="H44" s="1655" t="s">
        <v>7574</v>
      </c>
      <c r="I44" s="801" t="s">
        <v>7573</v>
      </c>
      <c r="J44" s="1655" t="s">
        <v>7574</v>
      </c>
      <c r="K44" s="801" t="s">
        <v>7573</v>
      </c>
      <c r="L44" s="1656" t="s">
        <v>7574</v>
      </c>
      <c r="M44" s="189"/>
      <c r="N44" s="189"/>
      <c r="P44" s="78"/>
    </row>
    <row r="45" spans="1:16">
      <c r="A45" s="190"/>
      <c r="B45" s="2325" t="s">
        <v>275</v>
      </c>
      <c r="C45" s="2326"/>
      <c r="D45" s="802"/>
      <c r="E45" s="802"/>
      <c r="F45" s="891"/>
      <c r="G45" s="891"/>
      <c r="H45" s="891"/>
      <c r="I45" s="891"/>
      <c r="J45" s="891"/>
      <c r="K45" s="891"/>
      <c r="L45" s="892"/>
      <c r="M45" s="185"/>
      <c r="N45" s="185"/>
    </row>
    <row r="46" spans="1:16">
      <c r="A46" s="190"/>
      <c r="B46" s="2327" t="s">
        <v>276</v>
      </c>
      <c r="C46" s="2328"/>
      <c r="D46" s="67"/>
      <c r="E46" s="67"/>
      <c r="F46" s="835"/>
      <c r="G46" s="835"/>
      <c r="H46" s="835"/>
      <c r="I46" s="835"/>
      <c r="J46" s="835"/>
      <c r="K46" s="835"/>
      <c r="L46" s="890"/>
      <c r="M46" s="185"/>
      <c r="N46" s="185"/>
    </row>
    <row r="47" spans="1:16">
      <c r="A47" s="190"/>
      <c r="B47" s="2325" t="s">
        <v>226</v>
      </c>
      <c r="C47" s="2326"/>
      <c r="D47" s="802"/>
      <c r="E47" s="802"/>
      <c r="F47" s="891"/>
      <c r="G47" s="891"/>
      <c r="H47" s="891"/>
      <c r="I47" s="891"/>
      <c r="J47" s="891"/>
      <c r="K47" s="891"/>
      <c r="L47" s="895"/>
      <c r="M47" s="185"/>
      <c r="N47" s="185"/>
    </row>
    <row r="48" spans="1:16">
      <c r="A48" s="190"/>
      <c r="B48" s="2327" t="s">
        <v>278</v>
      </c>
      <c r="C48" s="2328"/>
      <c r="D48" s="67"/>
      <c r="E48" s="67"/>
      <c r="F48" s="896" t="s">
        <v>279</v>
      </c>
      <c r="G48" s="835"/>
      <c r="H48" s="835"/>
      <c r="I48" s="835"/>
      <c r="J48" s="835"/>
      <c r="K48" s="835"/>
      <c r="L48" s="897"/>
      <c r="M48" s="185"/>
      <c r="N48" s="185"/>
    </row>
    <row r="49" spans="1:14">
      <c r="A49" s="190"/>
      <c r="B49" s="2325" t="s">
        <v>280</v>
      </c>
      <c r="C49" s="2326"/>
      <c r="D49" s="802"/>
      <c r="E49" s="802"/>
      <c r="F49" s="891"/>
      <c r="G49" s="891"/>
      <c r="H49" s="891"/>
      <c r="I49" s="891"/>
      <c r="J49" s="891"/>
      <c r="K49" s="891"/>
      <c r="L49" s="892"/>
      <c r="M49" s="185"/>
      <c r="N49" s="185"/>
    </row>
    <row r="50" spans="1:14">
      <c r="A50" s="190"/>
      <c r="B50" s="2327" t="s">
        <v>281</v>
      </c>
      <c r="C50" s="2328"/>
      <c r="D50" s="67"/>
      <c r="E50" s="67"/>
      <c r="F50" s="896" t="s">
        <v>279</v>
      </c>
      <c r="G50" s="835"/>
      <c r="H50" s="835"/>
      <c r="I50" s="835"/>
      <c r="J50" s="835"/>
      <c r="K50" s="835"/>
      <c r="L50" s="890"/>
      <c r="M50" s="185"/>
      <c r="N50" s="185"/>
    </row>
    <row r="51" spans="1:14">
      <c r="A51" s="190"/>
      <c r="B51" s="2325" t="s">
        <v>282</v>
      </c>
      <c r="C51" s="2326"/>
      <c r="D51" s="802"/>
      <c r="E51" s="802"/>
      <c r="F51" s="898" t="s">
        <v>279</v>
      </c>
      <c r="G51" s="891"/>
      <c r="H51" s="891"/>
      <c r="I51" s="891"/>
      <c r="J51" s="891"/>
      <c r="K51" s="891"/>
      <c r="L51" s="892"/>
      <c r="M51" s="185"/>
      <c r="N51" s="185"/>
    </row>
    <row r="52" spans="1:14">
      <c r="A52" s="190"/>
      <c r="B52" s="2327" t="s">
        <v>283</v>
      </c>
      <c r="C52" s="2328"/>
      <c r="D52" s="67"/>
      <c r="E52" s="67"/>
      <c r="F52" s="835"/>
      <c r="G52" s="835"/>
      <c r="H52" s="835"/>
      <c r="I52" s="835"/>
      <c r="J52" s="835"/>
      <c r="K52" s="835"/>
      <c r="L52" s="890"/>
      <c r="M52" s="185"/>
      <c r="N52" s="185"/>
    </row>
    <row r="53" spans="1:14">
      <c r="A53" s="190"/>
      <c r="B53" s="2325" t="s">
        <v>284</v>
      </c>
      <c r="C53" s="2326"/>
      <c r="D53" s="802"/>
      <c r="E53" s="802"/>
      <c r="F53" s="898" t="s">
        <v>279</v>
      </c>
      <c r="G53" s="891"/>
      <c r="H53" s="891"/>
      <c r="I53" s="891"/>
      <c r="J53" s="891"/>
      <c r="K53" s="891"/>
      <c r="L53" s="892"/>
      <c r="M53" s="185"/>
      <c r="N53" s="185"/>
    </row>
    <row r="54" spans="1:14">
      <c r="A54" s="190"/>
      <c r="B54" s="2327" t="s">
        <v>285</v>
      </c>
      <c r="C54" s="2328"/>
      <c r="D54" s="67"/>
      <c r="E54" s="67"/>
      <c r="F54" s="899"/>
      <c r="G54" s="835"/>
      <c r="H54" s="835"/>
      <c r="I54" s="835"/>
      <c r="J54" s="835"/>
      <c r="K54" s="835"/>
      <c r="L54" s="890"/>
      <c r="M54" s="185"/>
      <c r="N54" s="185"/>
    </row>
    <row r="55" spans="1:14">
      <c r="A55" s="190"/>
      <c r="B55" s="2325" t="s">
        <v>286</v>
      </c>
      <c r="C55" s="2326"/>
      <c r="D55" s="802"/>
      <c r="E55" s="802"/>
      <c r="F55" s="891"/>
      <c r="G55" s="891"/>
      <c r="H55" s="891"/>
      <c r="I55" s="891"/>
      <c r="J55" s="891"/>
      <c r="K55" s="891"/>
      <c r="L55" s="892"/>
      <c r="M55" s="185"/>
      <c r="N55" s="185"/>
    </row>
    <row r="56" spans="1:14">
      <c r="A56" s="190"/>
      <c r="B56" s="2327" t="s">
        <v>287</v>
      </c>
      <c r="C56" s="2328"/>
      <c r="D56" s="67"/>
      <c r="E56" s="67"/>
      <c r="F56" s="835"/>
      <c r="G56" s="835"/>
      <c r="H56" s="835"/>
      <c r="I56" s="835"/>
      <c r="J56" s="835"/>
      <c r="K56" s="835"/>
      <c r="L56" s="890"/>
      <c r="M56" s="185"/>
      <c r="N56" s="185"/>
    </row>
    <row r="57" spans="1:14" ht="15" thickBot="1">
      <c r="A57" s="190"/>
      <c r="B57" s="2360" t="s">
        <v>288</v>
      </c>
      <c r="C57" s="2361"/>
      <c r="D57" s="803"/>
      <c r="E57" s="803"/>
      <c r="F57" s="900"/>
      <c r="G57" s="900"/>
      <c r="H57" s="900"/>
      <c r="I57" s="900"/>
      <c r="J57" s="900"/>
      <c r="K57" s="900"/>
      <c r="L57" s="901"/>
      <c r="M57" s="185"/>
      <c r="N57" s="185"/>
    </row>
    <row r="58" spans="1:14">
      <c r="A58" s="79"/>
      <c r="B58" s="79"/>
      <c r="C58" s="79"/>
      <c r="D58" s="79"/>
      <c r="E58" s="79"/>
      <c r="F58" s="79"/>
      <c r="G58" s="79"/>
      <c r="H58" s="79"/>
      <c r="I58" s="79"/>
      <c r="J58" s="79"/>
      <c r="K58" s="79"/>
      <c r="L58" s="79"/>
      <c r="M58" s="185"/>
      <c r="N58" s="79"/>
    </row>
  </sheetData>
  <sheetProtection algorithmName="SHA-512" hashValue="BKSuVtM2m/pnwAvc06j7vPFksJhev+UaMSfXd9sBlv+DuCysQvzJkfd5nD+9SeMqdMurQE0kyFA4kp7tZYmQTQ==" saltValue="/OR9LCi1WeAoNIuWTh2L0Q==" spinCount="100000" sheet="1" formatColumns="0" formatRows="0" selectLockedCells="1" autoFilter="0"/>
  <mergeCells count="90">
    <mergeCell ref="N1:N2"/>
    <mergeCell ref="B41:C44"/>
    <mergeCell ref="M1:M2"/>
    <mergeCell ref="G42:H42"/>
    <mergeCell ref="I42:J42"/>
    <mergeCell ref="K42:L42"/>
    <mergeCell ref="G41:L41"/>
    <mergeCell ref="K43:L43"/>
    <mergeCell ref="I43:J43"/>
    <mergeCell ref="G43:H43"/>
    <mergeCell ref="K26:M26"/>
    <mergeCell ref="F11:G11"/>
    <mergeCell ref="H11:I11"/>
    <mergeCell ref="L1:L2"/>
    <mergeCell ref="B5:B6"/>
    <mergeCell ref="C5:E6"/>
    <mergeCell ref="A1:J1"/>
    <mergeCell ref="B3:B4"/>
    <mergeCell ref="C3:E4"/>
    <mergeCell ref="G3:G4"/>
    <mergeCell ref="H3:J4"/>
    <mergeCell ref="G5:G6"/>
    <mergeCell ref="H5:J6"/>
    <mergeCell ref="J11:K11"/>
    <mergeCell ref="F12:G12"/>
    <mergeCell ref="H12:I12"/>
    <mergeCell ref="J12:K12"/>
    <mergeCell ref="A8:M8"/>
    <mergeCell ref="B11:D12"/>
    <mergeCell ref="B57:C57"/>
    <mergeCell ref="B55:C55"/>
    <mergeCell ref="B56:C56"/>
    <mergeCell ref="G26:H26"/>
    <mergeCell ref="B38:L39"/>
    <mergeCell ref="B50:C50"/>
    <mergeCell ref="B26:F26"/>
    <mergeCell ref="B45:C45"/>
    <mergeCell ref="B46:C46"/>
    <mergeCell ref="B47:C47"/>
    <mergeCell ref="B48:C48"/>
    <mergeCell ref="B49:C49"/>
    <mergeCell ref="F41:F44"/>
    <mergeCell ref="E41:E44"/>
    <mergeCell ref="D41:D44"/>
    <mergeCell ref="B53:C53"/>
    <mergeCell ref="B54:C54"/>
    <mergeCell ref="B51:C51"/>
    <mergeCell ref="B52:C52"/>
    <mergeCell ref="I26:J26"/>
    <mergeCell ref="B29:M30"/>
    <mergeCell ref="B31:D32"/>
    <mergeCell ref="F31:G31"/>
    <mergeCell ref="H31:I31"/>
    <mergeCell ref="J31:K31"/>
    <mergeCell ref="L31:M33"/>
    <mergeCell ref="F32:G32"/>
    <mergeCell ref="H32:I32"/>
    <mergeCell ref="J32:K32"/>
    <mergeCell ref="B34:E34"/>
    <mergeCell ref="L34:M34"/>
    <mergeCell ref="B35:E35"/>
    <mergeCell ref="B18:E18"/>
    <mergeCell ref="B19:E19"/>
    <mergeCell ref="B9:M10"/>
    <mergeCell ref="B20:E20"/>
    <mergeCell ref="L11:M13"/>
    <mergeCell ref="B14:E14"/>
    <mergeCell ref="B15:E15"/>
    <mergeCell ref="B16:E16"/>
    <mergeCell ref="B17:E17"/>
    <mergeCell ref="L14:M14"/>
    <mergeCell ref="L15:M15"/>
    <mergeCell ref="L16:M16"/>
    <mergeCell ref="L17:M17"/>
    <mergeCell ref="L18:M18"/>
    <mergeCell ref="L19:M19"/>
    <mergeCell ref="L20:M20"/>
    <mergeCell ref="L35:M35"/>
    <mergeCell ref="B36:E36"/>
    <mergeCell ref="L36:M36"/>
    <mergeCell ref="B21:E21"/>
    <mergeCell ref="B22:E22"/>
    <mergeCell ref="B23:E23"/>
    <mergeCell ref="B24:E24"/>
    <mergeCell ref="B25:E25"/>
    <mergeCell ref="L25:M25"/>
    <mergeCell ref="L21:M21"/>
    <mergeCell ref="L22:M22"/>
    <mergeCell ref="L23:M23"/>
    <mergeCell ref="L24:M24"/>
  </mergeCells>
  <conditionalFormatting sqref="G17:G25">
    <cfRule type="expression" dxfId="348" priority="21">
      <formula>ISBLANK(G17)=TRUE</formula>
    </cfRule>
  </conditionalFormatting>
  <conditionalFormatting sqref="I17:I18 I21">
    <cfRule type="expression" dxfId="347" priority="12">
      <formula>ISBLANK(I17)=TRUE</formula>
    </cfRule>
  </conditionalFormatting>
  <conditionalFormatting sqref="K17:K18 K21">
    <cfRule type="expression" dxfId="346" priority="11">
      <formula>ISBLANK(K17)=TRUE</formula>
    </cfRule>
  </conditionalFormatting>
  <conditionalFormatting sqref="I19:I20">
    <cfRule type="expression" dxfId="345" priority="5">
      <formula>ISBLANK(I19)=TRUE</formula>
    </cfRule>
  </conditionalFormatting>
  <conditionalFormatting sqref="I22:I25">
    <cfRule type="expression" dxfId="344" priority="7">
      <formula>ISBLANK(I22)=TRUE</formula>
    </cfRule>
  </conditionalFormatting>
  <conditionalFormatting sqref="K22:K25">
    <cfRule type="expression" dxfId="343" priority="6">
      <formula>ISBLANK(K22)=TRUE</formula>
    </cfRule>
  </conditionalFormatting>
  <conditionalFormatting sqref="K19:K20">
    <cfRule type="expression" dxfId="342" priority="4">
      <formula>ISBLANK(K19)=TRUE</formula>
    </cfRule>
  </conditionalFormatting>
  <conditionalFormatting sqref="G24">
    <cfRule type="containsBlanks" dxfId="341" priority="3">
      <formula>LEN(TRIM(G24))=0</formula>
    </cfRule>
  </conditionalFormatting>
  <conditionalFormatting sqref="K26:M26">
    <cfRule type="expression" dxfId="340" priority="1">
      <formula>$G$26="Yes"</formula>
    </cfRule>
  </conditionalFormatting>
  <dataValidations count="3">
    <dataValidation type="list" allowBlank="1" showInputMessage="1" showErrorMessage="1" sqref="D45:D57 G26:H27" xr:uid="{00000000-0002-0000-0B00-000000000000}">
      <formula1>YesNo</formula1>
    </dataValidation>
    <dataValidation type="list" allowBlank="1" showInputMessage="1" showErrorMessage="1" sqref="E45:E57 F45:F47 F55:F57 F49 F52 F54" xr:uid="{00000000-0002-0000-0B00-000001000000}">
      <formula1>NbMachin</formula1>
    </dataValidation>
    <dataValidation type="date" operator="greaterThan" allowBlank="1" showInputMessage="1" showErrorMessage="1" errorTitle="Check Month and Year" error="Specify month later than July 2020" sqref="K26:M26" xr:uid="{C8416766-F214-4E2A-8F2F-768B4D0FFC45}">
      <formula1>43983</formula1>
    </dataValidation>
  </dataValidations>
  <hyperlinks>
    <hyperlink ref="M1:M2" location="'TB-Pharmaceuticals'!A1" display="Go to TB-Pharma" xr:uid="{00000000-0004-0000-0B00-000001000000}"/>
    <hyperlink ref="N1:N2" location="'TB-EQUIPMENT &amp; OTHER HPs'!A1" display="Go to TB-Other HPs &amp; Equipment" xr:uid="{00000000-0004-0000-0B00-000002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theme="5"/>
  </sheetPr>
  <dimension ref="A1:BH130"/>
  <sheetViews>
    <sheetView showGridLines="0" zoomScale="85" zoomScaleNormal="85" workbookViewId="0">
      <selection activeCell="A7" sqref="A7:J7"/>
    </sheetView>
  </sheetViews>
  <sheetFormatPr defaultColWidth="8.81640625" defaultRowHeight="14.5"/>
  <cols>
    <col min="1" max="1" width="8.81640625" style="105" customWidth="1"/>
    <col min="2" max="2" width="17.36328125" style="105" customWidth="1"/>
    <col min="3" max="9" width="15.36328125" style="105" customWidth="1"/>
    <col min="10" max="10" width="16.81640625" style="105" customWidth="1"/>
    <col min="11" max="11" width="15.81640625" style="105" customWidth="1"/>
    <col min="12" max="12" width="16.36328125" style="538" customWidth="1"/>
    <col min="13" max="13" width="18.36328125" style="538" customWidth="1"/>
    <col min="14" max="14" width="12.36328125" style="538" customWidth="1"/>
    <col min="15" max="16" width="16.36328125" style="538" customWidth="1"/>
    <col min="17" max="17" width="17" style="538" customWidth="1"/>
    <col min="18" max="18" width="19.36328125" style="538" customWidth="1"/>
    <col min="19" max="19" width="12.36328125" style="538" customWidth="1"/>
    <col min="20" max="20" width="16.36328125" style="538" customWidth="1"/>
    <col min="21" max="21" width="18.36328125" style="538" customWidth="1"/>
    <col min="22" max="22" width="16.36328125" style="538" customWidth="1"/>
    <col min="23" max="23" width="18.36328125" style="538" customWidth="1"/>
    <col min="24" max="24" width="12.36328125" style="105" customWidth="1"/>
    <col min="25" max="27" width="13.36328125" style="105" customWidth="1"/>
    <col min="28" max="28" width="13.36328125" style="538" customWidth="1"/>
    <col min="29" max="29" width="15.36328125" style="538" customWidth="1"/>
    <col min="30" max="30" width="12.36328125" style="538" customWidth="1"/>
    <col min="31" max="31" width="15.36328125" style="538" customWidth="1"/>
    <col min="32" max="32" width="15.36328125" style="105" customWidth="1"/>
    <col min="33" max="33" width="13.36328125" style="538" customWidth="1"/>
    <col min="34" max="34" width="9.36328125" style="105" bestFit="1" customWidth="1"/>
    <col min="35" max="35" width="11.08984375" style="105" customWidth="1"/>
    <col min="36" max="36" width="8.81640625" style="105"/>
    <col min="37" max="37" width="49.08984375" style="105" customWidth="1"/>
    <col min="38" max="47" width="8.81640625" style="426"/>
    <col min="48" max="48" width="21" style="426" hidden="1" customWidth="1"/>
    <col min="49" max="60" width="8.81640625" style="426" hidden="1" customWidth="1"/>
    <col min="61" max="16384" width="8.81640625" style="426"/>
  </cols>
  <sheetData>
    <row r="1" spans="1:60" ht="24" customHeight="1" thickBot="1">
      <c r="A1" s="2377" t="s">
        <v>7637</v>
      </c>
      <c r="B1" s="2378"/>
      <c r="C1" s="2378"/>
      <c r="D1" s="2378"/>
      <c r="E1" s="2378"/>
      <c r="F1" s="2378"/>
      <c r="G1" s="2378"/>
      <c r="H1" s="2378"/>
      <c r="I1" s="2378"/>
      <c r="J1" s="2378"/>
      <c r="K1" s="2379"/>
      <c r="L1" s="210"/>
      <c r="M1" s="2400"/>
      <c r="N1" s="2390" t="s">
        <v>289</v>
      </c>
      <c r="O1" s="2465" t="s">
        <v>253</v>
      </c>
      <c r="P1" s="2400"/>
      <c r="Q1" s="211"/>
      <c r="R1" s="193"/>
      <c r="S1" s="193"/>
      <c r="T1" s="193"/>
      <c r="U1" s="193"/>
      <c r="V1" s="193"/>
      <c r="W1" s="193"/>
      <c r="X1" s="103"/>
      <c r="Y1" s="103"/>
      <c r="Z1" s="103"/>
      <c r="AA1" s="103"/>
      <c r="AB1" s="193"/>
      <c r="AC1" s="193"/>
      <c r="AD1" s="193"/>
      <c r="AE1" s="193"/>
      <c r="AF1" s="103"/>
      <c r="AG1" s="194"/>
      <c r="AH1" s="121"/>
    </row>
    <row r="2" spans="1:60" ht="15" thickBot="1">
      <c r="A2" s="212"/>
      <c r="B2" s="212"/>
      <c r="C2" s="212"/>
      <c r="D2" s="212"/>
      <c r="E2" s="212"/>
      <c r="F2" s="212"/>
      <c r="G2" s="212"/>
      <c r="H2" s="212"/>
      <c r="I2" s="212"/>
      <c r="J2" s="212"/>
      <c r="K2" s="388"/>
      <c r="L2" s="210"/>
      <c r="M2" s="2401"/>
      <c r="N2" s="2391"/>
      <c r="O2" s="2466"/>
      <c r="P2" s="2452"/>
      <c r="Q2" s="211"/>
      <c r="R2" s="193"/>
      <c r="S2" s="193"/>
      <c r="T2" s="193"/>
      <c r="U2" s="193"/>
      <c r="V2" s="193"/>
      <c r="W2" s="193"/>
      <c r="X2" s="103"/>
      <c r="Y2" s="103"/>
      <c r="Z2" s="103"/>
      <c r="AA2" s="103"/>
      <c r="AB2" s="193"/>
      <c r="AC2" s="193"/>
      <c r="AD2" s="193"/>
      <c r="AE2" s="193"/>
      <c r="AF2" s="103"/>
      <c r="AG2" s="194"/>
      <c r="AH2" s="121"/>
    </row>
    <row r="3" spans="1:60" ht="15" customHeight="1" thickBot="1">
      <c r="A3" s="213"/>
      <c r="B3" s="2380" t="s">
        <v>0</v>
      </c>
      <c r="C3" s="2386">
        <f>SETUP!$E$3</f>
        <v>0</v>
      </c>
      <c r="D3" s="2386"/>
      <c r="E3" s="214"/>
      <c r="F3" s="214"/>
      <c r="G3" s="2467" t="s">
        <v>1</v>
      </c>
      <c r="H3" s="2386">
        <f>SETUP!$G$13</f>
        <v>0</v>
      </c>
      <c r="I3" s="2386"/>
      <c r="J3" s="2386"/>
      <c r="K3" s="2387"/>
      <c r="L3" s="211"/>
      <c r="M3" s="215"/>
      <c r="N3" s="216"/>
      <c r="O3" s="216"/>
      <c r="P3" s="216"/>
      <c r="Q3" s="193"/>
      <c r="R3" s="193"/>
      <c r="S3" s="193"/>
      <c r="T3" s="193"/>
      <c r="U3" s="193"/>
      <c r="V3" s="193"/>
      <c r="W3" s="193"/>
      <c r="X3" s="103"/>
      <c r="Y3" s="103"/>
      <c r="Z3" s="103"/>
      <c r="AA3" s="103"/>
      <c r="AB3" s="193"/>
      <c r="AC3" s="193"/>
      <c r="AD3" s="193"/>
      <c r="AE3" s="193"/>
      <c r="AF3" s="103"/>
      <c r="AG3" s="194"/>
      <c r="AH3" s="121"/>
    </row>
    <row r="4" spans="1:60" ht="15.75" customHeight="1" thickTop="1" thickBot="1">
      <c r="A4" s="217"/>
      <c r="B4" s="2381"/>
      <c r="C4" s="2477"/>
      <c r="D4" s="2477"/>
      <c r="E4" s="218"/>
      <c r="F4" s="218"/>
      <c r="G4" s="2468"/>
      <c r="H4" s="2388"/>
      <c r="I4" s="2388"/>
      <c r="J4" s="2388"/>
      <c r="K4" s="2389"/>
      <c r="L4" s="211"/>
      <c r="M4" s="219"/>
      <c r="N4" s="220"/>
      <c r="O4" s="220"/>
      <c r="P4" s="220"/>
      <c r="Q4" s="193"/>
      <c r="R4" s="193"/>
      <c r="S4" s="193"/>
      <c r="T4" s="193"/>
      <c r="U4" s="193"/>
      <c r="V4" s="193"/>
      <c r="W4" s="193"/>
      <c r="X4" s="103"/>
      <c r="Y4" s="103"/>
      <c r="Z4" s="103"/>
      <c r="AA4" s="103"/>
      <c r="AB4" s="193"/>
      <c r="AC4" s="193"/>
      <c r="AD4" s="193"/>
      <c r="AE4" s="193"/>
      <c r="AF4" s="103"/>
      <c r="AG4" s="194"/>
      <c r="AH4" s="121"/>
    </row>
    <row r="5" spans="1:60" ht="15.5" thickTop="1" thickBot="1">
      <c r="A5" s="217"/>
      <c r="B5" s="2402" t="s">
        <v>2</v>
      </c>
      <c r="C5" s="2388" t="str">
        <f>SETUP!$E$6</f>
        <v>HIV</v>
      </c>
      <c r="D5" s="2388"/>
      <c r="E5" s="221"/>
      <c r="F5" s="221"/>
      <c r="G5" s="2469" t="s">
        <v>3</v>
      </c>
      <c r="H5" s="2372">
        <f>SETUP!E7</f>
        <v>0</v>
      </c>
      <c r="I5" s="2372"/>
      <c r="J5" s="2372"/>
      <c r="K5" s="2373"/>
      <c r="L5" s="211"/>
      <c r="M5" s="211"/>
      <c r="N5" s="193"/>
      <c r="O5" s="193"/>
      <c r="P5" s="193"/>
      <c r="Q5" s="193"/>
      <c r="R5" s="193"/>
      <c r="S5" s="193"/>
      <c r="T5" s="193"/>
      <c r="U5" s="193"/>
      <c r="V5" s="193"/>
      <c r="W5" s="193"/>
      <c r="X5" s="103"/>
      <c r="Y5" s="103"/>
      <c r="Z5" s="103"/>
      <c r="AA5" s="103"/>
      <c r="AB5" s="193"/>
      <c r="AC5" s="193"/>
      <c r="AD5" s="193"/>
      <c r="AE5" s="193"/>
      <c r="AF5" s="103"/>
      <c r="AG5" s="194"/>
      <c r="AH5" s="121"/>
    </row>
    <row r="6" spans="1:60" ht="15.5" thickTop="1" thickBot="1">
      <c r="A6" s="222"/>
      <c r="B6" s="2403"/>
      <c r="C6" s="2374"/>
      <c r="D6" s="2374"/>
      <c r="E6" s="223"/>
      <c r="F6" s="223"/>
      <c r="G6" s="2470"/>
      <c r="H6" s="2374"/>
      <c r="I6" s="2374"/>
      <c r="J6" s="2374"/>
      <c r="K6" s="2375"/>
      <c r="L6" s="211"/>
      <c r="M6" s="211"/>
      <c r="N6" s="193"/>
      <c r="O6" s="193"/>
      <c r="P6" s="193"/>
      <c r="Q6" s="193"/>
      <c r="R6" s="193"/>
      <c r="S6" s="193"/>
      <c r="T6" s="193"/>
      <c r="U6" s="193"/>
      <c r="V6" s="193"/>
      <c r="W6" s="193"/>
      <c r="X6" s="103"/>
      <c r="Y6" s="103"/>
      <c r="Z6" s="103"/>
      <c r="AA6" s="103"/>
      <c r="AB6" s="193"/>
      <c r="AC6" s="193"/>
      <c r="AD6" s="193"/>
      <c r="AE6" s="193"/>
      <c r="AF6" s="103"/>
      <c r="AG6" s="194"/>
      <c r="AH6" s="121"/>
    </row>
    <row r="7" spans="1:60" ht="15" thickBot="1">
      <c r="A7" s="119"/>
      <c r="B7" s="119"/>
      <c r="C7" s="119"/>
      <c r="D7" s="119"/>
      <c r="E7" s="119"/>
      <c r="F7" s="119"/>
      <c r="G7" s="119"/>
      <c r="H7" s="119"/>
      <c r="I7" s="119"/>
      <c r="J7" s="119"/>
      <c r="K7" s="120"/>
      <c r="L7" s="193"/>
      <c r="M7" s="211"/>
      <c r="N7" s="193"/>
      <c r="O7" s="193"/>
      <c r="P7" s="193"/>
      <c r="Q7" s="193"/>
      <c r="R7" s="193"/>
      <c r="S7" s="193"/>
      <c r="T7" s="193"/>
      <c r="U7" s="193"/>
      <c r="V7" s="193"/>
      <c r="W7" s="193"/>
      <c r="X7" s="103"/>
      <c r="Y7" s="103"/>
      <c r="Z7" s="103"/>
      <c r="AA7" s="103"/>
      <c r="AB7" s="193"/>
      <c r="AC7" s="193"/>
      <c r="AD7" s="193"/>
      <c r="AE7" s="193"/>
      <c r="AF7" s="103"/>
      <c r="AG7" s="194"/>
      <c r="AH7" s="121"/>
    </row>
    <row r="8" spans="1:60" ht="15" customHeight="1" thickBot="1">
      <c r="A8" s="2419">
        <v>1</v>
      </c>
      <c r="B8" s="2421" t="s">
        <v>290</v>
      </c>
      <c r="C8" s="2421"/>
      <c r="D8" s="2457" t="s">
        <v>291</v>
      </c>
      <c r="E8" s="2457"/>
      <c r="F8" s="2457"/>
      <c r="G8" s="2458"/>
      <c r="H8" s="2400" t="s">
        <v>292</v>
      </c>
      <c r="I8" s="191"/>
      <c r="J8" s="192"/>
      <c r="K8" s="103"/>
      <c r="L8" s="193"/>
      <c r="M8" s="193"/>
      <c r="N8" s="193"/>
      <c r="O8" s="193"/>
      <c r="P8" s="193"/>
      <c r="Q8" s="193"/>
      <c r="R8" s="193"/>
      <c r="S8" s="193"/>
      <c r="T8" s="193"/>
      <c r="U8" s="193"/>
      <c r="V8" s="193"/>
      <c r="W8" s="193"/>
      <c r="X8" s="103"/>
      <c r="Y8" s="103"/>
      <c r="Z8" s="103"/>
      <c r="AA8" s="103"/>
      <c r="AB8" s="193"/>
      <c r="AC8" s="193"/>
      <c r="AD8" s="193"/>
      <c r="AE8" s="193"/>
      <c r="AF8" s="103"/>
      <c r="AG8" s="194"/>
      <c r="AH8" s="121"/>
    </row>
    <row r="9" spans="1:60" ht="15" customHeight="1" thickBot="1">
      <c r="A9" s="2420"/>
      <c r="B9" s="2422"/>
      <c r="C9" s="2422"/>
      <c r="D9" s="2459" t="s">
        <v>293</v>
      </c>
      <c r="E9" s="2459"/>
      <c r="F9" s="2459"/>
      <c r="G9" s="2460"/>
      <c r="H9" s="2452"/>
      <c r="I9" s="191"/>
      <c r="J9" s="195"/>
      <c r="K9" s="122"/>
      <c r="L9" s="196"/>
      <c r="M9" s="196"/>
      <c r="N9" s="196"/>
      <c r="O9" s="196"/>
      <c r="P9" s="196"/>
      <c r="Q9" s="196"/>
      <c r="R9" s="196"/>
      <c r="S9" s="196"/>
      <c r="T9" s="196"/>
      <c r="U9" s="196"/>
      <c r="V9" s="196"/>
      <c r="W9" s="196"/>
      <c r="X9" s="122"/>
      <c r="Y9" s="122"/>
      <c r="Z9" s="122"/>
      <c r="AA9" s="122"/>
      <c r="AB9" s="196"/>
      <c r="AC9" s="196"/>
      <c r="AD9" s="196"/>
      <c r="AE9" s="196"/>
      <c r="AF9" s="122"/>
      <c r="AG9" s="197"/>
      <c r="AH9" s="121"/>
    </row>
    <row r="10" spans="1:60" ht="103.5" customHeight="1">
      <c r="A10" s="2080" t="s">
        <v>6905</v>
      </c>
      <c r="B10" s="2081"/>
      <c r="C10" s="2081"/>
      <c r="D10" s="2081"/>
      <c r="E10" s="2081"/>
      <c r="F10" s="2081"/>
      <c r="G10" s="2081"/>
      <c r="H10" s="2081"/>
      <c r="I10" s="2081"/>
      <c r="J10" s="2081"/>
      <c r="K10" s="2081"/>
      <c r="L10" s="2081"/>
      <c r="M10" s="198"/>
      <c r="N10" s="198"/>
      <c r="O10" s="198"/>
      <c r="P10" s="198"/>
      <c r="Q10" s="198"/>
      <c r="R10" s="198"/>
      <c r="S10" s="198"/>
      <c r="T10" s="198"/>
      <c r="U10" s="198"/>
      <c r="V10" s="198"/>
      <c r="W10" s="198"/>
      <c r="X10" s="121"/>
      <c r="Y10" s="121"/>
      <c r="Z10" s="121"/>
      <c r="AA10" s="121"/>
      <c r="AB10" s="198"/>
      <c r="AC10" s="198"/>
      <c r="AD10" s="198"/>
      <c r="AE10" s="198"/>
      <c r="AF10" s="121"/>
      <c r="AG10" s="199"/>
      <c r="AH10" s="121"/>
    </row>
    <row r="11" spans="1:60" ht="16" thickBot="1">
      <c r="A11" s="126"/>
      <c r="B11" s="127"/>
      <c r="C11" s="127"/>
      <c r="D11" s="128"/>
      <c r="E11" s="129"/>
      <c r="F11" s="129"/>
      <c r="G11" s="129"/>
      <c r="H11" s="129"/>
      <c r="I11" s="129"/>
      <c r="J11" s="129"/>
      <c r="K11" s="129"/>
      <c r="L11" s="200"/>
      <c r="M11" s="201"/>
      <c r="N11" s="201"/>
      <c r="O11" s="201"/>
      <c r="P11" s="201"/>
      <c r="Q11" s="201"/>
      <c r="R11" s="201"/>
      <c r="S11" s="201"/>
      <c r="T11" s="201"/>
      <c r="U11" s="201"/>
      <c r="V11" s="201"/>
      <c r="W11" s="201"/>
      <c r="X11" s="129"/>
      <c r="Y11" s="129"/>
      <c r="Z11" s="129"/>
      <c r="AA11" s="129"/>
      <c r="AB11" s="201"/>
      <c r="AC11" s="201"/>
      <c r="AD11" s="201"/>
      <c r="AE11" s="201"/>
      <c r="AF11" s="129"/>
      <c r="AG11" s="202"/>
      <c r="AH11" s="163"/>
      <c r="AW11" s="2431" t="s">
        <v>1540</v>
      </c>
      <c r="AX11" s="2431"/>
      <c r="AY11" s="2431"/>
      <c r="AZ11" s="2431"/>
      <c r="BA11" s="2431"/>
      <c r="BB11" s="2431"/>
      <c r="BC11" s="2431"/>
      <c r="BD11" s="2431"/>
      <c r="BE11" s="2431"/>
      <c r="BF11" s="2431"/>
      <c r="BG11" s="2431"/>
      <c r="BH11" s="2431"/>
    </row>
    <row r="12" spans="1:60" s="427" customFormat="1" ht="15" thickBot="1">
      <c r="A12" s="2471" t="s">
        <v>1233</v>
      </c>
      <c r="B12" s="2472"/>
      <c r="C12" s="2473"/>
      <c r="D12" s="2471" t="s">
        <v>149</v>
      </c>
      <c r="E12" s="2472"/>
      <c r="F12" s="2478"/>
      <c r="G12" s="2480" t="s">
        <v>150</v>
      </c>
      <c r="H12" s="2472"/>
      <c r="I12" s="2473"/>
      <c r="J12" s="2473"/>
      <c r="K12" s="2441" t="s">
        <v>151</v>
      </c>
      <c r="L12" s="2436" t="s">
        <v>49</v>
      </c>
      <c r="M12" s="2433" t="str">
        <f>IF(ISBLANK(IMP_ST_DATE),"Please fill setup",IF(MO_CHECK&gt;3,"Y1",YEAR(IMP_ST_DATE)))</f>
        <v>Please fill setup</v>
      </c>
      <c r="N12" s="2434"/>
      <c r="O12" s="2434"/>
      <c r="P12" s="2434"/>
      <c r="Q12" s="2434"/>
      <c r="R12" s="2434"/>
      <c r="S12" s="2435"/>
      <c r="T12" s="2438" t="str">
        <f>IF(M12="Y1","Y2",IF(ISBLANK(IMP_ST_DATE),"Please fill setup",YEAR(IMP_ST_DATE)+1))</f>
        <v>Please fill setup</v>
      </c>
      <c r="U12" s="2434"/>
      <c r="V12" s="2434"/>
      <c r="W12" s="2434"/>
      <c r="X12" s="2434"/>
      <c r="Y12" s="2434"/>
      <c r="Z12" s="2439"/>
      <c r="AA12" s="2438" t="str">
        <f>IF(M12="Y1","Y3",IF(ISBLANK(IMP_ST_DATE),"Please fill setup",YEAR(IMP_ST_DATE)+2))</f>
        <v>Please fill setup</v>
      </c>
      <c r="AB12" s="2434"/>
      <c r="AC12" s="2434"/>
      <c r="AD12" s="2434"/>
      <c r="AE12" s="2434"/>
      <c r="AF12" s="2434"/>
      <c r="AG12" s="2440"/>
      <c r="AH12" s="2441" t="s">
        <v>152</v>
      </c>
      <c r="AI12" s="2442"/>
      <c r="AJ12" s="1220" t="s">
        <v>153</v>
      </c>
      <c r="AK12" s="2443" t="s">
        <v>6865</v>
      </c>
      <c r="AP12" s="426"/>
      <c r="AW12" s="2432">
        <f>YEAR(IMP_ST_DATE)</f>
        <v>1900</v>
      </c>
      <c r="AX12" s="2432"/>
      <c r="AY12" s="2432"/>
      <c r="AZ12" s="2432"/>
      <c r="BA12" s="2432">
        <f>YEAR(IMP_ST_DATE)+1</f>
        <v>1901</v>
      </c>
      <c r="BB12" s="2432"/>
      <c r="BC12" s="2432"/>
      <c r="BD12" s="2432"/>
      <c r="BE12" s="2432">
        <f>YEAR(IMP_ST_DATE)+2</f>
        <v>1902</v>
      </c>
      <c r="BF12" s="2432"/>
      <c r="BG12" s="2432"/>
      <c r="BH12" s="2432"/>
    </row>
    <row r="13" spans="1:60" s="431" customFormat="1" ht="26.5" thickBot="1">
      <c r="A13" s="2474"/>
      <c r="B13" s="2475"/>
      <c r="C13" s="2476"/>
      <c r="D13" s="2474"/>
      <c r="E13" s="2475"/>
      <c r="F13" s="2479"/>
      <c r="G13" s="2481"/>
      <c r="H13" s="2475"/>
      <c r="I13" s="2476"/>
      <c r="J13" s="2476"/>
      <c r="K13" s="2461"/>
      <c r="L13" s="2437"/>
      <c r="M13" s="533" t="s">
        <v>198</v>
      </c>
      <c r="N13" s="534" t="s">
        <v>155</v>
      </c>
      <c r="O13" s="534" t="s">
        <v>156</v>
      </c>
      <c r="P13" s="534" t="s">
        <v>157</v>
      </c>
      <c r="Q13" s="534" t="s">
        <v>158</v>
      </c>
      <c r="R13" s="534" t="s">
        <v>159</v>
      </c>
      <c r="S13" s="534" t="s">
        <v>160</v>
      </c>
      <c r="T13" s="533" t="s">
        <v>161</v>
      </c>
      <c r="U13" s="534" t="s">
        <v>162</v>
      </c>
      <c r="V13" s="534" t="s">
        <v>163</v>
      </c>
      <c r="W13" s="534" t="s">
        <v>164</v>
      </c>
      <c r="X13" s="534" t="s">
        <v>165</v>
      </c>
      <c r="Y13" s="534" t="s">
        <v>166</v>
      </c>
      <c r="Z13" s="534" t="s">
        <v>167</v>
      </c>
      <c r="AA13" s="533" t="s">
        <v>168</v>
      </c>
      <c r="AB13" s="534" t="s">
        <v>169</v>
      </c>
      <c r="AC13" s="534" t="s">
        <v>170</v>
      </c>
      <c r="AD13" s="534" t="s">
        <v>171</v>
      </c>
      <c r="AE13" s="534" t="s">
        <v>172</v>
      </c>
      <c r="AF13" s="534" t="s">
        <v>173</v>
      </c>
      <c r="AG13" s="534" t="s">
        <v>174</v>
      </c>
      <c r="AH13" s="476" t="s">
        <v>175</v>
      </c>
      <c r="AI13" s="477" t="s">
        <v>176</v>
      </c>
      <c r="AJ13" s="476" t="s">
        <v>177</v>
      </c>
      <c r="AK13" s="2444"/>
      <c r="AW13" s="479" t="s">
        <v>1528</v>
      </c>
      <c r="AX13" s="479" t="s">
        <v>1529</v>
      </c>
      <c r="AY13" s="479" t="s">
        <v>1530</v>
      </c>
      <c r="AZ13" s="479" t="s">
        <v>1531</v>
      </c>
      <c r="BA13" s="479" t="s">
        <v>1532</v>
      </c>
      <c r="BB13" s="479" t="s">
        <v>1533</v>
      </c>
      <c r="BC13" s="479" t="s">
        <v>1535</v>
      </c>
      <c r="BD13" s="479" t="s">
        <v>1536</v>
      </c>
      <c r="BE13" s="479" t="s">
        <v>1537</v>
      </c>
      <c r="BF13" s="479" t="s">
        <v>1538</v>
      </c>
      <c r="BG13" s="479" t="s">
        <v>1534</v>
      </c>
      <c r="BH13" s="479" t="s">
        <v>1539</v>
      </c>
    </row>
    <row r="14" spans="1:60" s="21" customFormat="1">
      <c r="A14" s="2406"/>
      <c r="B14" s="2407"/>
      <c r="C14" s="2407"/>
      <c r="D14" s="2406"/>
      <c r="E14" s="2416"/>
      <c r="F14" s="2408"/>
      <c r="G14" s="2416"/>
      <c r="H14" s="2416"/>
      <c r="I14" s="2416"/>
      <c r="J14" s="2416"/>
      <c r="K14" s="1455" t="str">
        <f t="shared" ref="K14" si="0">IF(D14="","", IF(ISNUMBER(SEARCH("water",D14)),"Piece",IF(ISNUMBER(SEARCH("Amikacin",D14)),"Piece", IF(AND(ISNUMBER(SEARCH("Capreomycin",D14)),ISNUMBER(SEARCH("1 vial",G14))),"Piece",IF(AND(ISNUMBER(SEARCH("Imipenem/Cilastatin",D14)),ISNUMBER(SEARCH("1 vial",G14))),"Piece",IF(AND(ISNUMBER(SEARCH("Kanamycin",D14)),OR(ISNUMBER(SEARCH("10 amp",G15)),ISNUMBER(SEARCH("500mg powder",F15)))),"Piece","Pack"))))))</f>
        <v/>
      </c>
      <c r="L14" s="1455" t="str">
        <f>IF(K14="", "","USD")</f>
        <v/>
      </c>
      <c r="M14" s="1020"/>
      <c r="N14" s="1036"/>
      <c r="O14" s="1036"/>
      <c r="P14" s="1036"/>
      <c r="Q14" s="1036"/>
      <c r="R14" s="480">
        <f>SUM('TB-Pharmaceuticals'!$N14:$Q14)</f>
        <v>0</v>
      </c>
      <c r="S14" s="1025">
        <f>'TB-Pharmaceuticals'!$M14*'TB-Pharmaceuticals'!$R14</f>
        <v>0</v>
      </c>
      <c r="T14" s="1020"/>
      <c r="U14" s="1036"/>
      <c r="V14" s="1036"/>
      <c r="W14" s="1036"/>
      <c r="X14" s="1036"/>
      <c r="Y14" s="480">
        <f>SUM('TB-Pharmaceuticals'!$U14:$X14)</f>
        <v>0</v>
      </c>
      <c r="Z14" s="1030">
        <f>'TB-Pharmaceuticals'!$T14*'TB-Pharmaceuticals'!$Y14</f>
        <v>0</v>
      </c>
      <c r="AA14" s="1020"/>
      <c r="AB14" s="1036"/>
      <c r="AC14" s="1036"/>
      <c r="AD14" s="1036"/>
      <c r="AE14" s="1036"/>
      <c r="AF14" s="480">
        <f>SUM('TB-Pharmaceuticals'!$AB14:$AE14)</f>
        <v>0</v>
      </c>
      <c r="AG14" s="1030">
        <f>'TB-Pharmaceuticals'!$AA14*'TB-Pharmaceuticals'!$AF14</f>
        <v>0</v>
      </c>
      <c r="AH14" s="481">
        <f>'TB-Pharmaceuticals'!$R14+'TB-Pharmaceuticals'!$Y14+'TB-Pharmaceuticals'!$AF14</f>
        <v>0</v>
      </c>
      <c r="AI14" s="1030">
        <f>'TB-Pharmaceuticals'!$S14+'TB-Pharmaceuticals'!$Z14+'TB-Pharmaceuticals'!$AG14</f>
        <v>0</v>
      </c>
      <c r="AJ14" s="1456" t="str">
        <f t="shared" ref="AJ14" si="1">IF(D14="","", IF(ISNUMBER(SEARCH("water",D14)),"4.7","4.2"))</f>
        <v/>
      </c>
      <c r="AK14" s="1237"/>
      <c r="AV14" s="1457" t="s">
        <v>570</v>
      </c>
      <c r="AW14" s="1458">
        <f>SUMPRODUCT(($A$14:$C$33="TB medicines")*($M$14:$M$33)*((N14:N33)))+SUMPRODUCT(($A$68:$C$103="TB medicines for IPT")*($M$68:$M$103)*((N68:N103)))</f>
        <v>0</v>
      </c>
      <c r="AX14" s="1458">
        <f>SUMPRODUCT(($A$14:$C$33="TB medicines")*($M$14:$M$33)*((O14:O33)))+SUMPRODUCT(($A$68:$C$103="TB medicines for IPT")*($M$68:$M$103)*((O68:O103)))</f>
        <v>0</v>
      </c>
      <c r="AY14" s="1458">
        <f>SUMPRODUCT(($A$14:$C$33="TB medicines")*($M$14:$M$33)*((P14:P33)))+SUMPRODUCT(($A$68:$C$103="TB medicines for IPT")*($M$68:$M$103)*((P68:P103)))</f>
        <v>0</v>
      </c>
      <c r="AZ14" s="1458">
        <f>SUMPRODUCT(($A$14:$C$33="TB medicines")*($M$14:$M$33)*((Q14:Q33)))+SUMPRODUCT(($A$68:$C$103="TB medicines for IPT")*($M$68:$M$103)*((Q68:Q103)))</f>
        <v>0</v>
      </c>
      <c r="BA14" s="1458">
        <f>SUMPRODUCT(($A$14:$C$33="TB medicines")*($T$14:$T$33)*((U14:U33)))+SUMPRODUCT(($A$68:$C$103="TB medicines for IPT")*($T$68:$T$103)*((U68:U103)))</f>
        <v>0</v>
      </c>
      <c r="BB14" s="1458">
        <f>SUMPRODUCT(($A$14:$C$33="TB medicines")*($T$14:$T$33)*((V14:V33)))+SUMPRODUCT(($A$68:$C$103="TB medicines for IPT")*($T$68:$T$103)*((V68:V103)))</f>
        <v>0</v>
      </c>
      <c r="BC14" s="1458">
        <f>SUMPRODUCT(($A$14:$C$33="TB medicines")*($T$14:$T$33)*((W14:W33)))+SUMPRODUCT(($A$68:$C$103="TB medicines for IPT")*($T$68:$T$103)*((W68:W103)))</f>
        <v>0</v>
      </c>
      <c r="BD14" s="1458">
        <f>SUMPRODUCT(($A$14:$C$33="TB medicines")*($T$14:$T$33)*((X14:X33)))+SUMPRODUCT(($A$68:$C$103="TB medicines for IPT")*($T$68:$T$103)*((X68:X103)))</f>
        <v>0</v>
      </c>
      <c r="BE14" s="1458">
        <f>SUMPRODUCT(($A$14:$C$33="TB medicines")*($AA$14:$AA$33)*((AB14:AB33)))+SUMPRODUCT(($A$68:$C$103="TB medicines for IPT")*($AA$68:$AA$103)*((AB68:AB103)))</f>
        <v>0</v>
      </c>
      <c r="BF14" s="1458">
        <f>SUMPRODUCT(($A$14:$C$33="TB medicines")*($AA$14:$AA$33)*((AC14:AC33)))+SUMPRODUCT(($A$68:$C$103="TB medicines for IPT")*($AA$68:$AA$103)*((AC68:AC103)))</f>
        <v>0</v>
      </c>
      <c r="BG14" s="1458">
        <f>SUMPRODUCT(($A$14:$C$33="TB medicines")*($AA$14:$AA$33)*((AD14:AD33)))+SUMPRODUCT(($A$68:$C$103="TB medicines for IPT")*($AA$68:$AA$103)*((AD68:AD103)))</f>
        <v>0</v>
      </c>
      <c r="BH14" s="1458">
        <f>SUMPRODUCT(($A$14:$C$33="TB medicines")*($AA$14:$AA$33)*((AE14:AE33)))+SUMPRODUCT(($A$68:$C$103="TB medicines for IPT")*($AA$68:$AA$103)*((AE68:AE103)))</f>
        <v>0</v>
      </c>
    </row>
    <row r="15" spans="1:60">
      <c r="A15" s="2412"/>
      <c r="B15" s="2109"/>
      <c r="C15" s="2109"/>
      <c r="D15" s="2412"/>
      <c r="E15" s="2109"/>
      <c r="F15" s="2413"/>
      <c r="G15" s="2109"/>
      <c r="H15" s="2109"/>
      <c r="I15" s="2109"/>
      <c r="J15" s="2109"/>
      <c r="K15" s="225" t="str">
        <f t="shared" ref="K15:K22" si="2">IF(D15="","", IF(ISNUMBER(SEARCH("water",D15)),"Piece",IF(ISNUMBER(SEARCH("Amikacin",D15)),"Piece", IF(AND(ISNUMBER(SEARCH("Capreomycin",D15)),ISNUMBER(SEARCH("1 vial",G15))),"Piece",IF(AND(ISNUMBER(SEARCH("Imipenem/Cilastatin",D15)),ISNUMBER(SEARCH("1 vial",G15))),"Piece",IF(AND(ISNUMBER(SEARCH("Kanamycin",D15)),OR(ISNUMBER(SEARCH("10 amp",G16)),ISNUMBER(SEARCH("500mg powder",F16)))),"Piece","Pack"))))))</f>
        <v/>
      </c>
      <c r="L15" s="226" t="str">
        <f t="shared" ref="L15:L22" si="3">IF(K15="", "","USD")</f>
        <v/>
      </c>
      <c r="M15" s="1021"/>
      <c r="N15" s="1037"/>
      <c r="O15" s="1037"/>
      <c r="P15" s="1037"/>
      <c r="Q15" s="1037"/>
      <c r="R15" s="484">
        <f>SUM('TB-Pharmaceuticals'!$N15:$Q15)</f>
        <v>0</v>
      </c>
      <c r="S15" s="1026">
        <f>'TB-Pharmaceuticals'!$M15*'TB-Pharmaceuticals'!$R15</f>
        <v>0</v>
      </c>
      <c r="T15" s="1021"/>
      <c r="U15" s="1037"/>
      <c r="V15" s="1037"/>
      <c r="W15" s="1037"/>
      <c r="X15" s="1037"/>
      <c r="Y15" s="484">
        <f>SUM('TB-Pharmaceuticals'!$U15:$X15)</f>
        <v>0</v>
      </c>
      <c r="Z15" s="1031">
        <f>'TB-Pharmaceuticals'!$T15*'TB-Pharmaceuticals'!$Y15</f>
        <v>0</v>
      </c>
      <c r="AA15" s="1021"/>
      <c r="AB15" s="1037"/>
      <c r="AC15" s="1037"/>
      <c r="AD15" s="1037"/>
      <c r="AE15" s="1037"/>
      <c r="AF15" s="484">
        <f>SUM('TB-Pharmaceuticals'!$AB15:$AE15)</f>
        <v>0</v>
      </c>
      <c r="AG15" s="1031">
        <f>'TB-Pharmaceuticals'!$AA15*'TB-Pharmaceuticals'!$AF15</f>
        <v>0</v>
      </c>
      <c r="AH15" s="485">
        <f>'TB-Pharmaceuticals'!$R15+'TB-Pharmaceuticals'!$Y15+'TB-Pharmaceuticals'!$AF15</f>
        <v>0</v>
      </c>
      <c r="AI15" s="1031">
        <f>'TB-Pharmaceuticals'!$S15+'TB-Pharmaceuticals'!$Z15+'TB-Pharmaceuticals'!$AG15</f>
        <v>0</v>
      </c>
      <c r="AJ15" s="486" t="str">
        <f t="shared" ref="AJ15:AJ22" si="4">IF(D15="","", IF(ISNUMBER(SEARCH("water",D15)),"4.7","4.2"))</f>
        <v/>
      </c>
      <c r="AK15" s="1238"/>
      <c r="AV15" s="482" t="s">
        <v>571</v>
      </c>
      <c r="AW15" s="483">
        <f>SUMPRODUCT(($A$41:$C$60="MDR/XDR TB medicines")*($M$41:$M$60)*((N41:N60)))</f>
        <v>0</v>
      </c>
      <c r="AX15" s="483">
        <f>SUMPRODUCT(($A$41:$C$60="MDR/XDR TB medicines")*($M$41:$M$60)*((O41:O60)))</f>
        <v>0</v>
      </c>
      <c r="AY15" s="483">
        <f>SUMPRODUCT(($A$41:$C$60="MDR/XDR TB medicines")*($M$41:$M$60)*((P41:P60)))</f>
        <v>0</v>
      </c>
      <c r="AZ15" s="483">
        <f>SUMPRODUCT(($A$41:$C$60="MDR/XDR TB medicines")*($M$41:$M$60)*((Q41:Q60)))</f>
        <v>0</v>
      </c>
      <c r="BA15" s="483">
        <f>SUMPRODUCT(($A$41:$C$60="MDR/XDR TB medicines")*($T$41:$T$60)*((U41:U60)))</f>
        <v>0</v>
      </c>
      <c r="BB15" s="483">
        <f>SUMPRODUCT(($A$41:$C$60="MDR/XDR TB medicines")*($T$41:$T$60)*((V41:V60)))</f>
        <v>0</v>
      </c>
      <c r="BC15" s="483">
        <f>SUMPRODUCT(($A$41:$C$60="MDR/XDR TB medicines")*($T$41:$T$60)*((W41:W60)))</f>
        <v>0</v>
      </c>
      <c r="BD15" s="483">
        <f>SUMPRODUCT(($A$41:$C$60="MDR/XDR TB medicines")*($T$41:$T$60)*((X41:X60)))</f>
        <v>0</v>
      </c>
      <c r="BE15" s="483">
        <f>SUMPRODUCT(($A$41:$C$60="MDR/XDR TB medicines")*($AA$41:$AA$60)*((AB41:AB60)))</f>
        <v>0</v>
      </c>
      <c r="BF15" s="483">
        <f>SUMPRODUCT(($A$41:$C$60="MDR/XDR TB medicines")*($AA$41:$AA$60)*((AC41:AC60)))</f>
        <v>0</v>
      </c>
      <c r="BG15" s="483">
        <f>SUMPRODUCT(($A$41:$C$60="MDR/XDR TB medicines")*($AA$41:$AA$60)*((AD41:AD60)))</f>
        <v>0</v>
      </c>
      <c r="BH15" s="483">
        <f>SUMPRODUCT(($A$41:$C$60="MDR/XDR TB medicines")*($AA$41:$AA$60)*((AE41:AE60)))</f>
        <v>0</v>
      </c>
    </row>
    <row r="16" spans="1:60">
      <c r="A16" s="2406"/>
      <c r="B16" s="2407"/>
      <c r="C16" s="2407"/>
      <c r="D16" s="2406"/>
      <c r="E16" s="2407"/>
      <c r="F16" s="2408"/>
      <c r="G16" s="2407"/>
      <c r="H16" s="2407"/>
      <c r="I16" s="2407"/>
      <c r="J16" s="2407"/>
      <c r="K16" s="224" t="str">
        <f t="shared" si="2"/>
        <v/>
      </c>
      <c r="L16" s="224" t="str">
        <f t="shared" si="3"/>
        <v/>
      </c>
      <c r="M16" s="1022"/>
      <c r="N16" s="1038"/>
      <c r="O16" s="1038"/>
      <c r="P16" s="1038"/>
      <c r="Q16" s="1038"/>
      <c r="R16" s="487">
        <f>SUM('TB-Pharmaceuticals'!$N16:$Q16)</f>
        <v>0</v>
      </c>
      <c r="S16" s="1027">
        <f>'TB-Pharmaceuticals'!$M16*'TB-Pharmaceuticals'!$R16</f>
        <v>0</v>
      </c>
      <c r="T16" s="1022"/>
      <c r="U16" s="1038"/>
      <c r="V16" s="1038"/>
      <c r="W16" s="1038"/>
      <c r="X16" s="1038"/>
      <c r="Y16" s="487">
        <f>SUM('TB-Pharmaceuticals'!$U16:$X16)</f>
        <v>0</v>
      </c>
      <c r="Z16" s="1032">
        <f>'TB-Pharmaceuticals'!$T16*'TB-Pharmaceuticals'!$Y16</f>
        <v>0</v>
      </c>
      <c r="AA16" s="1022"/>
      <c r="AB16" s="1038"/>
      <c r="AC16" s="1038"/>
      <c r="AD16" s="1038"/>
      <c r="AE16" s="1038"/>
      <c r="AF16" s="487">
        <f>SUM('TB-Pharmaceuticals'!$AB16:$AE16)</f>
        <v>0</v>
      </c>
      <c r="AG16" s="1032">
        <f>'TB-Pharmaceuticals'!$AA16*'TB-Pharmaceuticals'!$AF16</f>
        <v>0</v>
      </c>
      <c r="AH16" s="488">
        <f>'TB-Pharmaceuticals'!$R16+'TB-Pharmaceuticals'!$Y16+'TB-Pharmaceuticals'!$AF16</f>
        <v>0</v>
      </c>
      <c r="AI16" s="1032">
        <f>'TB-Pharmaceuticals'!$S16+'TB-Pharmaceuticals'!$Z16+'TB-Pharmaceuticals'!$AG16</f>
        <v>0</v>
      </c>
      <c r="AJ16" s="489" t="str">
        <f t="shared" si="4"/>
        <v/>
      </c>
      <c r="AK16" s="1237"/>
      <c r="AV16" s="482" t="s">
        <v>1792</v>
      </c>
      <c r="AW16" s="483">
        <f>SUMPRODUCT(($A$111:$D$130="OIs, STIs &amp; other medicines")*($M$111:$M$130)*((N111:N130)))</f>
        <v>0</v>
      </c>
      <c r="AX16" s="483">
        <f>SUMPRODUCT(($A$111:$D$130="OIs, STIs &amp; other medicines")*($M$111:$M$130)*((O111:O130)))</f>
        <v>0</v>
      </c>
      <c r="AY16" s="483">
        <f>SUMPRODUCT(($A$111:$D$130="OIs, STIs &amp; other medicines")*($M$111:$M$130)*((P111:P130)))</f>
        <v>0</v>
      </c>
      <c r="AZ16" s="483">
        <f>SUMPRODUCT(($A$111:$D$130="OIs, STIs &amp; other medicines")*($M$111:$M$130)*((Q111:Q130)))</f>
        <v>0</v>
      </c>
      <c r="BA16" s="483">
        <f>SUMPRODUCT(($A$111:$D$130="OIs, STIs &amp; other medicines")*($T$111:$T$130)*((U111:U130)))</f>
        <v>0</v>
      </c>
      <c r="BB16" s="483">
        <f>SUMPRODUCT(($A$111:$D$130="OIs, STIs &amp; other medicines")*($T$111:$T$130)*((V111:V130)))</f>
        <v>0</v>
      </c>
      <c r="BC16" s="483">
        <f>SUMPRODUCT(($A$111:$D$130="OIs, STIs &amp; other medicines")*($T$111:$T$130)*((W111:W130)))</f>
        <v>0</v>
      </c>
      <c r="BD16" s="483">
        <f>SUMPRODUCT(($A$111:$D$130="OIs, STIs &amp; other medicines")*($T$111:$T$130)*((X111:X130)))</f>
        <v>0</v>
      </c>
      <c r="BE16" s="483">
        <f>SUMPRODUCT(($A$111:$D$130="OIs, STIs &amp; other medicines")*($AA$111:$AA$130)*((AB111:AB130)))</f>
        <v>0</v>
      </c>
      <c r="BF16" s="483">
        <f>SUMPRODUCT(($A$111:$D$130="OIs, STIs &amp; other medicines")*($AA$111:$AA$130)*((AC111:AC130)))</f>
        <v>0</v>
      </c>
      <c r="BG16" s="483">
        <f>SUMPRODUCT(($A$111:$D$130="OIs, STIs &amp; other medicines")*($AA$111:$AA$130)*((AD111:AD130)))</f>
        <v>0</v>
      </c>
      <c r="BH16" s="483">
        <f>SUMPRODUCT(($A$111:$D$130="OIs, STIs &amp; other medicines")*($AA$111:$AA$130)*((AE111:AE130)))</f>
        <v>0</v>
      </c>
    </row>
    <row r="17" spans="1:60">
      <c r="A17" s="2412"/>
      <c r="B17" s="2109"/>
      <c r="C17" s="2109"/>
      <c r="D17" s="2412"/>
      <c r="E17" s="2109"/>
      <c r="F17" s="2413"/>
      <c r="G17" s="2109"/>
      <c r="H17" s="2109"/>
      <c r="I17" s="2109"/>
      <c r="J17" s="2109"/>
      <c r="K17" s="225" t="str">
        <f t="shared" si="2"/>
        <v/>
      </c>
      <c r="L17" s="226" t="str">
        <f t="shared" si="3"/>
        <v/>
      </c>
      <c r="M17" s="1021"/>
      <c r="N17" s="1037"/>
      <c r="O17" s="1037"/>
      <c r="P17" s="1037"/>
      <c r="Q17" s="1037"/>
      <c r="R17" s="484">
        <f>SUM('TB-Pharmaceuticals'!$N17:$Q17)</f>
        <v>0</v>
      </c>
      <c r="S17" s="1026">
        <f>'TB-Pharmaceuticals'!$M17*'TB-Pharmaceuticals'!$R17</f>
        <v>0</v>
      </c>
      <c r="T17" s="1021"/>
      <c r="U17" s="1037"/>
      <c r="V17" s="1037"/>
      <c r="W17" s="1037"/>
      <c r="X17" s="1037"/>
      <c r="Y17" s="484">
        <f>SUM('TB-Pharmaceuticals'!$U17:$X17)</f>
        <v>0</v>
      </c>
      <c r="Z17" s="1031">
        <f>'TB-Pharmaceuticals'!$T17*'TB-Pharmaceuticals'!$Y17</f>
        <v>0</v>
      </c>
      <c r="AA17" s="1021"/>
      <c r="AB17" s="1037"/>
      <c r="AC17" s="1037"/>
      <c r="AD17" s="1037"/>
      <c r="AE17" s="1037"/>
      <c r="AF17" s="484">
        <f>SUM('TB-Pharmaceuticals'!$AB17:$AE17)</f>
        <v>0</v>
      </c>
      <c r="AG17" s="1031">
        <f>'TB-Pharmaceuticals'!$AA17*'TB-Pharmaceuticals'!$AF17</f>
        <v>0</v>
      </c>
      <c r="AH17" s="485">
        <f>'TB-Pharmaceuticals'!$R17+'TB-Pharmaceuticals'!$Y17+'TB-Pharmaceuticals'!$AF17</f>
        <v>0</v>
      </c>
      <c r="AI17" s="1031">
        <f>'TB-Pharmaceuticals'!$S17+'TB-Pharmaceuticals'!$Z17+'TB-Pharmaceuticals'!$AG17</f>
        <v>0</v>
      </c>
      <c r="AJ17" s="486" t="str">
        <f t="shared" si="4"/>
        <v/>
      </c>
      <c r="AK17" s="1238"/>
      <c r="AV17" s="482"/>
      <c r="AW17" s="483"/>
      <c r="AX17" s="483"/>
      <c r="AY17" s="483"/>
      <c r="AZ17" s="483"/>
      <c r="BA17" s="483"/>
      <c r="BB17" s="483"/>
      <c r="BC17" s="483"/>
      <c r="BD17" s="483"/>
      <c r="BE17" s="483"/>
      <c r="BF17" s="483"/>
      <c r="BG17" s="483"/>
      <c r="BH17" s="483"/>
    </row>
    <row r="18" spans="1:60">
      <c r="A18" s="2406"/>
      <c r="B18" s="2407"/>
      <c r="C18" s="2407"/>
      <c r="D18" s="2406"/>
      <c r="E18" s="2407"/>
      <c r="F18" s="2408"/>
      <c r="G18" s="2407"/>
      <c r="H18" s="2407"/>
      <c r="I18" s="2407"/>
      <c r="J18" s="2407"/>
      <c r="K18" s="224" t="str">
        <f t="shared" si="2"/>
        <v/>
      </c>
      <c r="L18" s="224" t="str">
        <f t="shared" si="3"/>
        <v/>
      </c>
      <c r="M18" s="1022"/>
      <c r="N18" s="1038"/>
      <c r="O18" s="1038"/>
      <c r="P18" s="1038"/>
      <c r="Q18" s="1038"/>
      <c r="R18" s="487">
        <f>SUM('TB-Pharmaceuticals'!$N18:$Q18)</f>
        <v>0</v>
      </c>
      <c r="S18" s="1027">
        <f>'TB-Pharmaceuticals'!$M18*'TB-Pharmaceuticals'!$R18</f>
        <v>0</v>
      </c>
      <c r="T18" s="1022"/>
      <c r="U18" s="1038"/>
      <c r="V18" s="1038"/>
      <c r="W18" s="1038"/>
      <c r="X18" s="1038"/>
      <c r="Y18" s="487">
        <f>SUM('TB-Pharmaceuticals'!$U18:$X18)</f>
        <v>0</v>
      </c>
      <c r="Z18" s="1032">
        <f>'TB-Pharmaceuticals'!$T18*'TB-Pharmaceuticals'!$Y18</f>
        <v>0</v>
      </c>
      <c r="AA18" s="1022"/>
      <c r="AB18" s="1038"/>
      <c r="AC18" s="1038"/>
      <c r="AD18" s="1038"/>
      <c r="AE18" s="1038"/>
      <c r="AF18" s="487">
        <f>SUM('TB-Pharmaceuticals'!$AB18:$AE18)</f>
        <v>0</v>
      </c>
      <c r="AG18" s="1032">
        <f>'TB-Pharmaceuticals'!$AA18*'TB-Pharmaceuticals'!$AF18</f>
        <v>0</v>
      </c>
      <c r="AH18" s="488">
        <f>'TB-Pharmaceuticals'!$R18+'TB-Pharmaceuticals'!$Y18+'TB-Pharmaceuticals'!$AF18</f>
        <v>0</v>
      </c>
      <c r="AI18" s="1032">
        <f>'TB-Pharmaceuticals'!$S18+'TB-Pharmaceuticals'!$Z18+'TB-Pharmaceuticals'!$AG18</f>
        <v>0</v>
      </c>
      <c r="AJ18" s="489" t="str">
        <f t="shared" si="4"/>
        <v/>
      </c>
      <c r="AK18" s="1237"/>
    </row>
    <row r="19" spans="1:60">
      <c r="A19" s="2412"/>
      <c r="B19" s="2109"/>
      <c r="C19" s="2109"/>
      <c r="D19" s="2412"/>
      <c r="E19" s="2109"/>
      <c r="F19" s="2413"/>
      <c r="G19" s="2109"/>
      <c r="H19" s="2109"/>
      <c r="I19" s="2109"/>
      <c r="J19" s="2109"/>
      <c r="K19" s="225" t="str">
        <f t="shared" si="2"/>
        <v/>
      </c>
      <c r="L19" s="226" t="str">
        <f t="shared" si="3"/>
        <v/>
      </c>
      <c r="M19" s="1021"/>
      <c r="N19" s="1037"/>
      <c r="O19" s="1037"/>
      <c r="P19" s="1037"/>
      <c r="Q19" s="1037"/>
      <c r="R19" s="484">
        <f>SUM('TB-Pharmaceuticals'!$N19:$Q19)</f>
        <v>0</v>
      </c>
      <c r="S19" s="1026">
        <f>'TB-Pharmaceuticals'!$M19*'TB-Pharmaceuticals'!$R19</f>
        <v>0</v>
      </c>
      <c r="T19" s="1021"/>
      <c r="U19" s="1037"/>
      <c r="V19" s="1037"/>
      <c r="W19" s="1037"/>
      <c r="X19" s="1037"/>
      <c r="Y19" s="484">
        <f>SUM('TB-Pharmaceuticals'!$U19:$X19)</f>
        <v>0</v>
      </c>
      <c r="Z19" s="1031">
        <f>'TB-Pharmaceuticals'!$T19*'TB-Pharmaceuticals'!$Y19</f>
        <v>0</v>
      </c>
      <c r="AA19" s="1021"/>
      <c r="AB19" s="1037"/>
      <c r="AC19" s="1037"/>
      <c r="AD19" s="1037"/>
      <c r="AE19" s="1037"/>
      <c r="AF19" s="484">
        <f>SUM('TB-Pharmaceuticals'!$AB19:$AE19)</f>
        <v>0</v>
      </c>
      <c r="AG19" s="1031">
        <f>'TB-Pharmaceuticals'!$AA19*'TB-Pharmaceuticals'!$AF19</f>
        <v>0</v>
      </c>
      <c r="AH19" s="485">
        <f>'TB-Pharmaceuticals'!$R19+'TB-Pharmaceuticals'!$Y19+'TB-Pharmaceuticals'!$AF19</f>
        <v>0</v>
      </c>
      <c r="AI19" s="1031">
        <f>'TB-Pharmaceuticals'!$S19+'TB-Pharmaceuticals'!$Z19+'TB-Pharmaceuticals'!$AG19</f>
        <v>0</v>
      </c>
      <c r="AJ19" s="486" t="str">
        <f t="shared" si="4"/>
        <v/>
      </c>
      <c r="AK19" s="1238"/>
    </row>
    <row r="20" spans="1:60">
      <c r="A20" s="2406"/>
      <c r="B20" s="2407"/>
      <c r="C20" s="2407"/>
      <c r="D20" s="2406"/>
      <c r="E20" s="2407"/>
      <c r="F20" s="2408"/>
      <c r="G20" s="2407"/>
      <c r="H20" s="2407"/>
      <c r="I20" s="2407"/>
      <c r="J20" s="2407"/>
      <c r="K20" s="224" t="str">
        <f t="shared" si="2"/>
        <v/>
      </c>
      <c r="L20" s="224" t="str">
        <f t="shared" si="3"/>
        <v/>
      </c>
      <c r="M20" s="1022"/>
      <c r="N20" s="1038"/>
      <c r="O20" s="1038"/>
      <c r="P20" s="1038"/>
      <c r="Q20" s="1038"/>
      <c r="R20" s="487">
        <f>SUM('TB-Pharmaceuticals'!$N20:$Q20)</f>
        <v>0</v>
      </c>
      <c r="S20" s="1027">
        <f>'TB-Pharmaceuticals'!$M20*'TB-Pharmaceuticals'!$R20</f>
        <v>0</v>
      </c>
      <c r="T20" s="1022"/>
      <c r="U20" s="1038"/>
      <c r="V20" s="1038"/>
      <c r="W20" s="1038"/>
      <c r="X20" s="1038"/>
      <c r="Y20" s="487">
        <f>SUM('TB-Pharmaceuticals'!$U20:$X20)</f>
        <v>0</v>
      </c>
      <c r="Z20" s="1032">
        <f>'TB-Pharmaceuticals'!$T20*'TB-Pharmaceuticals'!$Y20</f>
        <v>0</v>
      </c>
      <c r="AA20" s="1022"/>
      <c r="AB20" s="1038"/>
      <c r="AC20" s="1038"/>
      <c r="AD20" s="1038"/>
      <c r="AE20" s="1038"/>
      <c r="AF20" s="487">
        <f>SUM('TB-Pharmaceuticals'!$AB20:$AE20)</f>
        <v>0</v>
      </c>
      <c r="AG20" s="1032">
        <f>'TB-Pharmaceuticals'!$AA20*'TB-Pharmaceuticals'!$AF20</f>
        <v>0</v>
      </c>
      <c r="AH20" s="488">
        <f>'TB-Pharmaceuticals'!$R20+'TB-Pharmaceuticals'!$Y20+'TB-Pharmaceuticals'!$AF20</f>
        <v>0</v>
      </c>
      <c r="AI20" s="1032">
        <f>'TB-Pharmaceuticals'!$S20+'TB-Pharmaceuticals'!$Z20+'TB-Pharmaceuticals'!$AG20</f>
        <v>0</v>
      </c>
      <c r="AJ20" s="490" t="str">
        <f t="shared" si="4"/>
        <v/>
      </c>
      <c r="AK20" s="1239"/>
    </row>
    <row r="21" spans="1:60">
      <c r="A21" s="2412"/>
      <c r="B21" s="2109"/>
      <c r="C21" s="2109"/>
      <c r="D21" s="2412"/>
      <c r="E21" s="2109"/>
      <c r="F21" s="2413"/>
      <c r="G21" s="2109"/>
      <c r="H21" s="2109"/>
      <c r="I21" s="2109"/>
      <c r="J21" s="2109"/>
      <c r="K21" s="225" t="str">
        <f t="shared" si="2"/>
        <v/>
      </c>
      <c r="L21" s="226" t="str">
        <f t="shared" si="3"/>
        <v/>
      </c>
      <c r="M21" s="1021"/>
      <c r="N21" s="1037"/>
      <c r="O21" s="1037"/>
      <c r="P21" s="1037"/>
      <c r="Q21" s="1037"/>
      <c r="R21" s="484">
        <f>SUM('TB-Pharmaceuticals'!$N21:$Q21)</f>
        <v>0</v>
      </c>
      <c r="S21" s="1026">
        <f>'TB-Pharmaceuticals'!$M21*'TB-Pharmaceuticals'!$R21</f>
        <v>0</v>
      </c>
      <c r="T21" s="1021"/>
      <c r="U21" s="1037"/>
      <c r="V21" s="1037"/>
      <c r="W21" s="1037"/>
      <c r="X21" s="1037"/>
      <c r="Y21" s="484">
        <f>SUM('TB-Pharmaceuticals'!$U21:$X21)</f>
        <v>0</v>
      </c>
      <c r="Z21" s="1031">
        <f>'TB-Pharmaceuticals'!$T21*'TB-Pharmaceuticals'!$Y21</f>
        <v>0</v>
      </c>
      <c r="AA21" s="1021"/>
      <c r="AB21" s="1037"/>
      <c r="AC21" s="1037"/>
      <c r="AD21" s="1037"/>
      <c r="AE21" s="1037"/>
      <c r="AF21" s="484">
        <f>SUM('TB-Pharmaceuticals'!$AB21:$AE21)</f>
        <v>0</v>
      </c>
      <c r="AG21" s="1031">
        <f>'TB-Pharmaceuticals'!$AA21*'TB-Pharmaceuticals'!$AF21</f>
        <v>0</v>
      </c>
      <c r="AH21" s="485">
        <f>'TB-Pharmaceuticals'!$R21+'TB-Pharmaceuticals'!$Y21+'TB-Pharmaceuticals'!$AF21</f>
        <v>0</v>
      </c>
      <c r="AI21" s="1031">
        <f>'TB-Pharmaceuticals'!$S21+'TB-Pharmaceuticals'!$Z21+'TB-Pharmaceuticals'!$AG21</f>
        <v>0</v>
      </c>
      <c r="AJ21" s="491" t="str">
        <f t="shared" si="4"/>
        <v/>
      </c>
      <c r="AK21" s="1240"/>
    </row>
    <row r="22" spans="1:60">
      <c r="A22" s="2406"/>
      <c r="B22" s="2407"/>
      <c r="C22" s="2407"/>
      <c r="D22" s="2406"/>
      <c r="E22" s="2407"/>
      <c r="F22" s="2408"/>
      <c r="G22" s="2407"/>
      <c r="H22" s="2407"/>
      <c r="I22" s="2407"/>
      <c r="J22" s="2407"/>
      <c r="K22" s="224" t="str">
        <f t="shared" si="2"/>
        <v/>
      </c>
      <c r="L22" s="224" t="str">
        <f t="shared" si="3"/>
        <v/>
      </c>
      <c r="M22" s="1022"/>
      <c r="N22" s="1038"/>
      <c r="O22" s="1038"/>
      <c r="P22" s="1038"/>
      <c r="Q22" s="1038"/>
      <c r="R22" s="487">
        <f>SUM('TB-Pharmaceuticals'!$N22:$Q22)</f>
        <v>0</v>
      </c>
      <c r="S22" s="1027">
        <f>'TB-Pharmaceuticals'!$M22*'TB-Pharmaceuticals'!$R22</f>
        <v>0</v>
      </c>
      <c r="T22" s="1022"/>
      <c r="U22" s="1038"/>
      <c r="V22" s="1038"/>
      <c r="W22" s="1038"/>
      <c r="X22" s="1038"/>
      <c r="Y22" s="487">
        <f>SUM('TB-Pharmaceuticals'!$U22:$X22)</f>
        <v>0</v>
      </c>
      <c r="Z22" s="1032">
        <f>'TB-Pharmaceuticals'!$T22*'TB-Pharmaceuticals'!$Y22</f>
        <v>0</v>
      </c>
      <c r="AA22" s="1022"/>
      <c r="AB22" s="1038"/>
      <c r="AC22" s="1038"/>
      <c r="AD22" s="1038"/>
      <c r="AE22" s="1038"/>
      <c r="AF22" s="487">
        <f>SUM('TB-Pharmaceuticals'!$AB22:$AE22)</f>
        <v>0</v>
      </c>
      <c r="AG22" s="1032">
        <f>'TB-Pharmaceuticals'!$AA22*'TB-Pharmaceuticals'!$AF22</f>
        <v>0</v>
      </c>
      <c r="AH22" s="488">
        <f>'TB-Pharmaceuticals'!$R22+'TB-Pharmaceuticals'!$Y22+'TB-Pharmaceuticals'!$AF22</f>
        <v>0</v>
      </c>
      <c r="AI22" s="1032">
        <f>'TB-Pharmaceuticals'!$S22+'TB-Pharmaceuticals'!$Z22+'TB-Pharmaceuticals'!$AG22</f>
        <v>0</v>
      </c>
      <c r="AJ22" s="490" t="str">
        <f t="shared" si="4"/>
        <v/>
      </c>
      <c r="AK22" s="1239"/>
    </row>
    <row r="23" spans="1:60">
      <c r="A23" s="2412"/>
      <c r="B23" s="2109"/>
      <c r="C23" s="2109"/>
      <c r="D23" s="2412"/>
      <c r="E23" s="2109"/>
      <c r="F23" s="2413"/>
      <c r="G23" s="2109"/>
      <c r="H23" s="2109"/>
      <c r="I23" s="2109"/>
      <c r="J23" s="2109"/>
      <c r="K23" s="225" t="str">
        <f t="shared" ref="K23:K33" si="5">IF(D23="","", IF(ISNUMBER(SEARCH("water",D23)),"Piece",IF(ISNUMBER(SEARCH("Amikacin",D23)),"Piece", IF(AND(ISNUMBER(SEARCH("Capreomycin",D23)),ISNUMBER(SEARCH("1 vial",G23))),"Piece",IF(AND(ISNUMBER(SEARCH("Imipenem/Cilastatin",D23)),ISNUMBER(SEARCH("1 vial",G23))),"Piece",IF(AND(ISNUMBER(SEARCH("Kanamycin",D23)),OR(ISNUMBER(SEARCH("10 amp",G24)),ISNUMBER(SEARCH("500mg powder",F24)))),"Piece","Pack"))))))</f>
        <v/>
      </c>
      <c r="L23" s="225" t="str">
        <f t="shared" ref="L23:L33" si="6">IF(K23="", "","USD")</f>
        <v/>
      </c>
      <c r="M23" s="1023"/>
      <c r="N23" s="1039"/>
      <c r="O23" s="1039"/>
      <c r="P23" s="1039"/>
      <c r="Q23" s="1039"/>
      <c r="R23" s="492">
        <f>SUM('TB-Pharmaceuticals'!$N23:$Q23)</f>
        <v>0</v>
      </c>
      <c r="S23" s="1028">
        <f>'TB-Pharmaceuticals'!$M23*'TB-Pharmaceuticals'!$R23</f>
        <v>0</v>
      </c>
      <c r="T23" s="1023"/>
      <c r="U23" s="1039"/>
      <c r="V23" s="1039"/>
      <c r="W23" s="1039"/>
      <c r="X23" s="1039"/>
      <c r="Y23" s="492">
        <f>SUM('TB-Pharmaceuticals'!$U23:$X23)</f>
        <v>0</v>
      </c>
      <c r="Z23" s="1031">
        <f>'TB-Pharmaceuticals'!$T23*'TB-Pharmaceuticals'!$Y23</f>
        <v>0</v>
      </c>
      <c r="AA23" s="1023"/>
      <c r="AB23" s="1039"/>
      <c r="AC23" s="1039"/>
      <c r="AD23" s="1039"/>
      <c r="AE23" s="1039"/>
      <c r="AF23" s="492">
        <f>SUM('TB-Pharmaceuticals'!$AB23:$AE23)</f>
        <v>0</v>
      </c>
      <c r="AG23" s="1034">
        <f>'TB-Pharmaceuticals'!$AA23*'TB-Pharmaceuticals'!$AF23</f>
        <v>0</v>
      </c>
      <c r="AH23" s="493">
        <f>'TB-Pharmaceuticals'!$R23+'TB-Pharmaceuticals'!$Y23+'TB-Pharmaceuticals'!$AF23</f>
        <v>0</v>
      </c>
      <c r="AI23" s="1034">
        <f>'TB-Pharmaceuticals'!$S23+'TB-Pharmaceuticals'!$Z23+'TB-Pharmaceuticals'!$AG23</f>
        <v>0</v>
      </c>
      <c r="AJ23" s="494" t="str">
        <f t="shared" ref="AJ23:AJ33" si="7">IF(D23="","", IF(ISNUMBER(SEARCH("water",D23)),"4.7","4.2"))</f>
        <v/>
      </c>
      <c r="AK23" s="1241"/>
    </row>
    <row r="24" spans="1:60">
      <c r="A24" s="2406"/>
      <c r="B24" s="2407"/>
      <c r="C24" s="2407"/>
      <c r="D24" s="2406"/>
      <c r="E24" s="2407"/>
      <c r="F24" s="2408"/>
      <c r="G24" s="2407"/>
      <c r="H24" s="2407"/>
      <c r="I24" s="2407"/>
      <c r="J24" s="2407"/>
      <c r="K24" s="224" t="str">
        <f t="shared" si="5"/>
        <v/>
      </c>
      <c r="L24" s="224" t="str">
        <f t="shared" si="6"/>
        <v/>
      </c>
      <c r="M24" s="1022"/>
      <c r="N24" s="1038"/>
      <c r="O24" s="1038"/>
      <c r="P24" s="1038"/>
      <c r="Q24" s="1038"/>
      <c r="R24" s="487">
        <f>SUM('TB-Pharmaceuticals'!$N24:$Q24)</f>
        <v>0</v>
      </c>
      <c r="S24" s="1027">
        <f>'TB-Pharmaceuticals'!$M24*'TB-Pharmaceuticals'!$R24</f>
        <v>0</v>
      </c>
      <c r="T24" s="1022"/>
      <c r="U24" s="1038"/>
      <c r="V24" s="1038"/>
      <c r="W24" s="1038"/>
      <c r="X24" s="1038"/>
      <c r="Y24" s="487">
        <f>SUM('TB-Pharmaceuticals'!$U24:$X24)</f>
        <v>0</v>
      </c>
      <c r="Z24" s="1032">
        <f>'TB-Pharmaceuticals'!$T24*'TB-Pharmaceuticals'!$Y24</f>
        <v>0</v>
      </c>
      <c r="AA24" s="1022"/>
      <c r="AB24" s="1038"/>
      <c r="AC24" s="1038"/>
      <c r="AD24" s="1038"/>
      <c r="AE24" s="1038"/>
      <c r="AF24" s="487">
        <f>SUM('TB-Pharmaceuticals'!$AB24:$AE24)</f>
        <v>0</v>
      </c>
      <c r="AG24" s="1032">
        <f>'TB-Pharmaceuticals'!$AA24*'TB-Pharmaceuticals'!$AF24</f>
        <v>0</v>
      </c>
      <c r="AH24" s="488">
        <f>'TB-Pharmaceuticals'!$R24+'TB-Pharmaceuticals'!$Y24+'TB-Pharmaceuticals'!$AF24</f>
        <v>0</v>
      </c>
      <c r="AI24" s="1032">
        <f>'TB-Pharmaceuticals'!$S24+'TB-Pharmaceuticals'!$Z24+'TB-Pharmaceuticals'!$AG24</f>
        <v>0</v>
      </c>
      <c r="AJ24" s="490" t="str">
        <f t="shared" si="7"/>
        <v/>
      </c>
      <c r="AK24" s="1239"/>
    </row>
    <row r="25" spans="1:60">
      <c r="A25" s="2412"/>
      <c r="B25" s="2109"/>
      <c r="C25" s="2109"/>
      <c r="D25" s="2412"/>
      <c r="E25" s="2109"/>
      <c r="F25" s="2413"/>
      <c r="G25" s="2109"/>
      <c r="H25" s="2109"/>
      <c r="I25" s="2109"/>
      <c r="J25" s="2109"/>
      <c r="K25" s="225" t="str">
        <f t="shared" si="5"/>
        <v/>
      </c>
      <c r="L25" s="225" t="str">
        <f t="shared" si="6"/>
        <v/>
      </c>
      <c r="M25" s="1023"/>
      <c r="N25" s="1039"/>
      <c r="O25" s="1039"/>
      <c r="P25" s="1039"/>
      <c r="Q25" s="1039"/>
      <c r="R25" s="492">
        <f>SUM('TB-Pharmaceuticals'!$N25:$Q25)</f>
        <v>0</v>
      </c>
      <c r="S25" s="1028">
        <f>'TB-Pharmaceuticals'!$M25*'TB-Pharmaceuticals'!$R25</f>
        <v>0</v>
      </c>
      <c r="T25" s="1023"/>
      <c r="U25" s="1039"/>
      <c r="V25" s="1039"/>
      <c r="W25" s="1039"/>
      <c r="X25" s="1039"/>
      <c r="Y25" s="492">
        <f>SUM('TB-Pharmaceuticals'!$U25:$X25)</f>
        <v>0</v>
      </c>
      <c r="Z25" s="1031">
        <f>'TB-Pharmaceuticals'!$T25*'TB-Pharmaceuticals'!$Y25</f>
        <v>0</v>
      </c>
      <c r="AA25" s="1023"/>
      <c r="AB25" s="1039"/>
      <c r="AC25" s="1039"/>
      <c r="AD25" s="1039"/>
      <c r="AE25" s="1039"/>
      <c r="AF25" s="492">
        <f>SUM('TB-Pharmaceuticals'!$AB25:$AE25)</f>
        <v>0</v>
      </c>
      <c r="AG25" s="1034">
        <f>'TB-Pharmaceuticals'!$AA25*'TB-Pharmaceuticals'!$AF25</f>
        <v>0</v>
      </c>
      <c r="AH25" s="493">
        <f>'TB-Pharmaceuticals'!$R25+'TB-Pharmaceuticals'!$Y25+'TB-Pharmaceuticals'!$AF25</f>
        <v>0</v>
      </c>
      <c r="AI25" s="1034">
        <f>'TB-Pharmaceuticals'!$S25+'TB-Pharmaceuticals'!$Z25+'TB-Pharmaceuticals'!$AG25</f>
        <v>0</v>
      </c>
      <c r="AJ25" s="494" t="str">
        <f t="shared" si="7"/>
        <v/>
      </c>
      <c r="AK25" s="1241"/>
    </row>
    <row r="26" spans="1:60">
      <c r="A26" s="2406"/>
      <c r="B26" s="2407"/>
      <c r="C26" s="2407"/>
      <c r="D26" s="2406"/>
      <c r="E26" s="2407"/>
      <c r="F26" s="2408"/>
      <c r="G26" s="2407"/>
      <c r="H26" s="2407"/>
      <c r="I26" s="2407"/>
      <c r="J26" s="2407"/>
      <c r="K26" s="224" t="str">
        <f t="shared" si="5"/>
        <v/>
      </c>
      <c r="L26" s="224" t="str">
        <f t="shared" si="6"/>
        <v/>
      </c>
      <c r="M26" s="1022"/>
      <c r="N26" s="1038"/>
      <c r="O26" s="1038"/>
      <c r="P26" s="1038"/>
      <c r="Q26" s="1038"/>
      <c r="R26" s="487">
        <f>SUM('TB-Pharmaceuticals'!$N26:$Q26)</f>
        <v>0</v>
      </c>
      <c r="S26" s="1027">
        <f>'TB-Pharmaceuticals'!$M26*'TB-Pharmaceuticals'!$R26</f>
        <v>0</v>
      </c>
      <c r="T26" s="1022"/>
      <c r="U26" s="1038"/>
      <c r="V26" s="1038"/>
      <c r="W26" s="1038"/>
      <c r="X26" s="1038"/>
      <c r="Y26" s="487">
        <f>SUM('TB-Pharmaceuticals'!$U26:$X26)</f>
        <v>0</v>
      </c>
      <c r="Z26" s="1032">
        <f>'TB-Pharmaceuticals'!$T26*'TB-Pharmaceuticals'!$Y26</f>
        <v>0</v>
      </c>
      <c r="AA26" s="1022"/>
      <c r="AB26" s="1038"/>
      <c r="AC26" s="1038"/>
      <c r="AD26" s="1038"/>
      <c r="AE26" s="1038"/>
      <c r="AF26" s="487">
        <f>SUM('TB-Pharmaceuticals'!$AB26:$AE26)</f>
        <v>0</v>
      </c>
      <c r="AG26" s="1032">
        <f>'TB-Pharmaceuticals'!$AA26*'TB-Pharmaceuticals'!$AF26</f>
        <v>0</v>
      </c>
      <c r="AH26" s="488">
        <f>'TB-Pharmaceuticals'!$R26+'TB-Pharmaceuticals'!$Y26+'TB-Pharmaceuticals'!$AF26</f>
        <v>0</v>
      </c>
      <c r="AI26" s="1032">
        <f>'TB-Pharmaceuticals'!$S26+'TB-Pharmaceuticals'!$Z26+'TB-Pharmaceuticals'!$AG26</f>
        <v>0</v>
      </c>
      <c r="AJ26" s="490" t="str">
        <f t="shared" si="7"/>
        <v/>
      </c>
      <c r="AK26" s="1239"/>
    </row>
    <row r="27" spans="1:60">
      <c r="A27" s="2412"/>
      <c r="B27" s="2109"/>
      <c r="C27" s="2109"/>
      <c r="D27" s="2412"/>
      <c r="E27" s="2109"/>
      <c r="F27" s="2413"/>
      <c r="G27" s="2109"/>
      <c r="H27" s="2109"/>
      <c r="I27" s="2109"/>
      <c r="J27" s="2109"/>
      <c r="K27" s="225" t="str">
        <f t="shared" si="5"/>
        <v/>
      </c>
      <c r="L27" s="225" t="str">
        <f t="shared" si="6"/>
        <v/>
      </c>
      <c r="M27" s="1023"/>
      <c r="N27" s="1039"/>
      <c r="O27" s="1039"/>
      <c r="P27" s="1039"/>
      <c r="Q27" s="1039"/>
      <c r="R27" s="492">
        <f>SUM('TB-Pharmaceuticals'!$N27:$Q27)</f>
        <v>0</v>
      </c>
      <c r="S27" s="1028">
        <f>'TB-Pharmaceuticals'!$M27*'TB-Pharmaceuticals'!$R27</f>
        <v>0</v>
      </c>
      <c r="T27" s="1023"/>
      <c r="U27" s="1039"/>
      <c r="V27" s="1039"/>
      <c r="W27" s="1039"/>
      <c r="X27" s="1039"/>
      <c r="Y27" s="492">
        <f>SUM('TB-Pharmaceuticals'!$U27:$X27)</f>
        <v>0</v>
      </c>
      <c r="Z27" s="1031">
        <f>'TB-Pharmaceuticals'!$T27*'TB-Pharmaceuticals'!$Y27</f>
        <v>0</v>
      </c>
      <c r="AA27" s="1023"/>
      <c r="AB27" s="1039"/>
      <c r="AC27" s="1039"/>
      <c r="AD27" s="1039"/>
      <c r="AE27" s="1039"/>
      <c r="AF27" s="492">
        <f>SUM('TB-Pharmaceuticals'!$AB27:$AE27)</f>
        <v>0</v>
      </c>
      <c r="AG27" s="1034">
        <f>'TB-Pharmaceuticals'!$AA27*'TB-Pharmaceuticals'!$AF27</f>
        <v>0</v>
      </c>
      <c r="AH27" s="493">
        <f>'TB-Pharmaceuticals'!$R27+'TB-Pharmaceuticals'!$Y27+'TB-Pharmaceuticals'!$AF27</f>
        <v>0</v>
      </c>
      <c r="AI27" s="1034">
        <f>'TB-Pharmaceuticals'!$S27+'TB-Pharmaceuticals'!$Z27+'TB-Pharmaceuticals'!$AG27</f>
        <v>0</v>
      </c>
      <c r="AJ27" s="494" t="str">
        <f t="shared" si="7"/>
        <v/>
      </c>
      <c r="AK27" s="1241"/>
    </row>
    <row r="28" spans="1:60">
      <c r="A28" s="2406"/>
      <c r="B28" s="2407"/>
      <c r="C28" s="2407"/>
      <c r="D28" s="2406"/>
      <c r="E28" s="2407"/>
      <c r="F28" s="2408"/>
      <c r="G28" s="2407"/>
      <c r="H28" s="2407"/>
      <c r="I28" s="2407"/>
      <c r="J28" s="2407"/>
      <c r="K28" s="224" t="str">
        <f t="shared" si="5"/>
        <v/>
      </c>
      <c r="L28" s="224" t="str">
        <f t="shared" si="6"/>
        <v/>
      </c>
      <c r="M28" s="1022"/>
      <c r="N28" s="1038"/>
      <c r="O28" s="1038"/>
      <c r="P28" s="1038"/>
      <c r="Q28" s="1038"/>
      <c r="R28" s="487">
        <f>SUM('TB-Pharmaceuticals'!$N28:$Q28)</f>
        <v>0</v>
      </c>
      <c r="S28" s="1027">
        <f>'TB-Pharmaceuticals'!$M28*'TB-Pharmaceuticals'!$R28</f>
        <v>0</v>
      </c>
      <c r="T28" s="1022"/>
      <c r="U28" s="1038"/>
      <c r="V28" s="1038"/>
      <c r="W28" s="1038"/>
      <c r="X28" s="1038"/>
      <c r="Y28" s="487">
        <f>SUM('TB-Pharmaceuticals'!$U28:$X28)</f>
        <v>0</v>
      </c>
      <c r="Z28" s="1032">
        <f>'TB-Pharmaceuticals'!$T28*'TB-Pharmaceuticals'!$Y28</f>
        <v>0</v>
      </c>
      <c r="AA28" s="1022"/>
      <c r="AB28" s="1038"/>
      <c r="AC28" s="1038"/>
      <c r="AD28" s="1038"/>
      <c r="AE28" s="1038"/>
      <c r="AF28" s="487">
        <f>SUM('TB-Pharmaceuticals'!$AB28:$AE28)</f>
        <v>0</v>
      </c>
      <c r="AG28" s="1032">
        <f>'TB-Pharmaceuticals'!$AA28*'TB-Pharmaceuticals'!$AF28</f>
        <v>0</v>
      </c>
      <c r="AH28" s="488">
        <f>'TB-Pharmaceuticals'!$R28+'TB-Pharmaceuticals'!$Y28+'TB-Pharmaceuticals'!$AF28</f>
        <v>0</v>
      </c>
      <c r="AI28" s="1032">
        <f>'TB-Pharmaceuticals'!$S28+'TB-Pharmaceuticals'!$Z28+'TB-Pharmaceuticals'!$AG28</f>
        <v>0</v>
      </c>
      <c r="AJ28" s="490" t="str">
        <f t="shared" si="7"/>
        <v/>
      </c>
      <c r="AK28" s="1239"/>
    </row>
    <row r="29" spans="1:60">
      <c r="A29" s="2412"/>
      <c r="B29" s="2109"/>
      <c r="C29" s="2109"/>
      <c r="D29" s="2412"/>
      <c r="E29" s="2109"/>
      <c r="F29" s="2413"/>
      <c r="G29" s="2109"/>
      <c r="H29" s="2109"/>
      <c r="I29" s="2109"/>
      <c r="J29" s="2109"/>
      <c r="K29" s="225" t="str">
        <f t="shared" si="5"/>
        <v/>
      </c>
      <c r="L29" s="225" t="str">
        <f t="shared" si="6"/>
        <v/>
      </c>
      <c r="M29" s="1023"/>
      <c r="N29" s="1039"/>
      <c r="O29" s="1039"/>
      <c r="P29" s="1039"/>
      <c r="Q29" s="1039"/>
      <c r="R29" s="492">
        <f>SUM('TB-Pharmaceuticals'!$N29:$Q29)</f>
        <v>0</v>
      </c>
      <c r="S29" s="1028">
        <f>'TB-Pharmaceuticals'!$M29*'TB-Pharmaceuticals'!$R29</f>
        <v>0</v>
      </c>
      <c r="T29" s="1023"/>
      <c r="U29" s="1039"/>
      <c r="V29" s="1039"/>
      <c r="W29" s="1039"/>
      <c r="X29" s="1039"/>
      <c r="Y29" s="492">
        <f>SUM('TB-Pharmaceuticals'!$U29:$X29)</f>
        <v>0</v>
      </c>
      <c r="Z29" s="1031">
        <f>'TB-Pharmaceuticals'!$T29*'TB-Pharmaceuticals'!$Y29</f>
        <v>0</v>
      </c>
      <c r="AA29" s="1023"/>
      <c r="AB29" s="1039"/>
      <c r="AC29" s="1039"/>
      <c r="AD29" s="1039"/>
      <c r="AE29" s="1039"/>
      <c r="AF29" s="492">
        <f>SUM('TB-Pharmaceuticals'!$AB29:$AE29)</f>
        <v>0</v>
      </c>
      <c r="AG29" s="1034">
        <f>'TB-Pharmaceuticals'!$AA29*'TB-Pharmaceuticals'!$AF29</f>
        <v>0</v>
      </c>
      <c r="AH29" s="493">
        <f>'TB-Pharmaceuticals'!$R29+'TB-Pharmaceuticals'!$Y29+'TB-Pharmaceuticals'!$AF29</f>
        <v>0</v>
      </c>
      <c r="AI29" s="1034">
        <f>'TB-Pharmaceuticals'!$S29+'TB-Pharmaceuticals'!$Z29+'TB-Pharmaceuticals'!$AG29</f>
        <v>0</v>
      </c>
      <c r="AJ29" s="494" t="str">
        <f t="shared" si="7"/>
        <v/>
      </c>
      <c r="AK29" s="1241"/>
    </row>
    <row r="30" spans="1:60">
      <c r="A30" s="2406"/>
      <c r="B30" s="2407"/>
      <c r="C30" s="2407"/>
      <c r="D30" s="2406"/>
      <c r="E30" s="2407"/>
      <c r="F30" s="2408"/>
      <c r="G30" s="2407"/>
      <c r="H30" s="2407"/>
      <c r="I30" s="2407"/>
      <c r="J30" s="2407"/>
      <c r="K30" s="224" t="str">
        <f t="shared" si="5"/>
        <v/>
      </c>
      <c r="L30" s="224" t="str">
        <f t="shared" si="6"/>
        <v/>
      </c>
      <c r="M30" s="1022"/>
      <c r="N30" s="1038"/>
      <c r="O30" s="1038"/>
      <c r="P30" s="1038"/>
      <c r="Q30" s="1038"/>
      <c r="R30" s="487">
        <f>SUM('TB-Pharmaceuticals'!$N30:$Q30)</f>
        <v>0</v>
      </c>
      <c r="S30" s="1027">
        <f>'TB-Pharmaceuticals'!$M30*'TB-Pharmaceuticals'!$R30</f>
        <v>0</v>
      </c>
      <c r="T30" s="1022"/>
      <c r="U30" s="1038"/>
      <c r="V30" s="1038"/>
      <c r="W30" s="1038"/>
      <c r="X30" s="1038"/>
      <c r="Y30" s="487">
        <f>SUM('TB-Pharmaceuticals'!$U30:$X30)</f>
        <v>0</v>
      </c>
      <c r="Z30" s="1032">
        <f>'TB-Pharmaceuticals'!$T30*'TB-Pharmaceuticals'!$Y30</f>
        <v>0</v>
      </c>
      <c r="AA30" s="1022"/>
      <c r="AB30" s="1038"/>
      <c r="AC30" s="1038"/>
      <c r="AD30" s="1038"/>
      <c r="AE30" s="1038"/>
      <c r="AF30" s="487">
        <f>SUM('TB-Pharmaceuticals'!$AB30:$AE30)</f>
        <v>0</v>
      </c>
      <c r="AG30" s="1032">
        <f>'TB-Pharmaceuticals'!$AA30*'TB-Pharmaceuticals'!$AF30</f>
        <v>0</v>
      </c>
      <c r="AH30" s="488">
        <f>'TB-Pharmaceuticals'!$R30+'TB-Pharmaceuticals'!$Y30+'TB-Pharmaceuticals'!$AF30</f>
        <v>0</v>
      </c>
      <c r="AI30" s="1032">
        <f>'TB-Pharmaceuticals'!$S30+'TB-Pharmaceuticals'!$Z30+'TB-Pharmaceuticals'!$AG30</f>
        <v>0</v>
      </c>
      <c r="AJ30" s="490" t="str">
        <f t="shared" si="7"/>
        <v/>
      </c>
      <c r="AK30" s="1239"/>
    </row>
    <row r="31" spans="1:60">
      <c r="A31" s="2412"/>
      <c r="B31" s="2109"/>
      <c r="C31" s="2109"/>
      <c r="D31" s="2412"/>
      <c r="E31" s="2109"/>
      <c r="F31" s="2413"/>
      <c r="G31" s="2109"/>
      <c r="H31" s="2109"/>
      <c r="I31" s="2109"/>
      <c r="J31" s="2109"/>
      <c r="K31" s="225" t="str">
        <f t="shared" si="5"/>
        <v/>
      </c>
      <c r="L31" s="225" t="str">
        <f t="shared" si="6"/>
        <v/>
      </c>
      <c r="M31" s="1023"/>
      <c r="N31" s="1039"/>
      <c r="O31" s="1039"/>
      <c r="P31" s="1039"/>
      <c r="Q31" s="1039"/>
      <c r="R31" s="492">
        <f>SUM('TB-Pharmaceuticals'!$N31:$Q31)</f>
        <v>0</v>
      </c>
      <c r="S31" s="1028">
        <f>'TB-Pharmaceuticals'!$M31*'TB-Pharmaceuticals'!$R31</f>
        <v>0</v>
      </c>
      <c r="T31" s="1023"/>
      <c r="U31" s="1039"/>
      <c r="V31" s="1039"/>
      <c r="W31" s="1039"/>
      <c r="X31" s="1039"/>
      <c r="Y31" s="492">
        <f>SUM('TB-Pharmaceuticals'!$U31:$X31)</f>
        <v>0</v>
      </c>
      <c r="Z31" s="1031">
        <f>'TB-Pharmaceuticals'!$T31*'TB-Pharmaceuticals'!$Y31</f>
        <v>0</v>
      </c>
      <c r="AA31" s="1023"/>
      <c r="AB31" s="1039"/>
      <c r="AC31" s="1039"/>
      <c r="AD31" s="1039"/>
      <c r="AE31" s="1039"/>
      <c r="AF31" s="492">
        <f>SUM('TB-Pharmaceuticals'!$AB31:$AE31)</f>
        <v>0</v>
      </c>
      <c r="AG31" s="1034">
        <f>'TB-Pharmaceuticals'!$AA31*'TB-Pharmaceuticals'!$AF31</f>
        <v>0</v>
      </c>
      <c r="AH31" s="493">
        <f>'TB-Pharmaceuticals'!$R31+'TB-Pharmaceuticals'!$Y31+'TB-Pharmaceuticals'!$AF31</f>
        <v>0</v>
      </c>
      <c r="AI31" s="1034">
        <f>'TB-Pharmaceuticals'!$S31+'TB-Pharmaceuticals'!$Z31+'TB-Pharmaceuticals'!$AG31</f>
        <v>0</v>
      </c>
      <c r="AJ31" s="494" t="str">
        <f t="shared" si="7"/>
        <v/>
      </c>
      <c r="AK31" s="1241"/>
    </row>
    <row r="32" spans="1:60">
      <c r="A32" s="2406"/>
      <c r="B32" s="2407"/>
      <c r="C32" s="2407"/>
      <c r="D32" s="2406"/>
      <c r="E32" s="2407"/>
      <c r="F32" s="2408"/>
      <c r="G32" s="2407"/>
      <c r="H32" s="2407"/>
      <c r="I32" s="2407"/>
      <c r="J32" s="2407"/>
      <c r="K32" s="224" t="str">
        <f t="shared" si="5"/>
        <v/>
      </c>
      <c r="L32" s="224" t="str">
        <f t="shared" si="6"/>
        <v/>
      </c>
      <c r="M32" s="1022"/>
      <c r="N32" s="1038"/>
      <c r="O32" s="1038"/>
      <c r="P32" s="1038"/>
      <c r="Q32" s="1038"/>
      <c r="R32" s="487">
        <f>SUM('TB-Pharmaceuticals'!$N32:$Q32)</f>
        <v>0</v>
      </c>
      <c r="S32" s="1027">
        <f>'TB-Pharmaceuticals'!$M32*'TB-Pharmaceuticals'!$R32</f>
        <v>0</v>
      </c>
      <c r="T32" s="1022"/>
      <c r="U32" s="1038"/>
      <c r="V32" s="1038"/>
      <c r="W32" s="1038"/>
      <c r="X32" s="1038"/>
      <c r="Y32" s="487">
        <f>SUM('TB-Pharmaceuticals'!$U32:$X32)</f>
        <v>0</v>
      </c>
      <c r="Z32" s="1032">
        <f>'TB-Pharmaceuticals'!$T32*'TB-Pharmaceuticals'!$Y32</f>
        <v>0</v>
      </c>
      <c r="AA32" s="1022"/>
      <c r="AB32" s="1038"/>
      <c r="AC32" s="1038"/>
      <c r="AD32" s="1038"/>
      <c r="AE32" s="1038"/>
      <c r="AF32" s="487">
        <f>SUM('TB-Pharmaceuticals'!$AB32:$AE32)</f>
        <v>0</v>
      </c>
      <c r="AG32" s="1032">
        <f>'TB-Pharmaceuticals'!$AA32*'TB-Pharmaceuticals'!$AF32</f>
        <v>0</v>
      </c>
      <c r="AH32" s="488">
        <f>'TB-Pharmaceuticals'!$R32+'TB-Pharmaceuticals'!$Y32+'TB-Pharmaceuticals'!$AF32</f>
        <v>0</v>
      </c>
      <c r="AI32" s="1032">
        <f>'TB-Pharmaceuticals'!$S32+'TB-Pharmaceuticals'!$Z32+'TB-Pharmaceuticals'!$AG32</f>
        <v>0</v>
      </c>
      <c r="AJ32" s="490" t="str">
        <f t="shared" si="7"/>
        <v/>
      </c>
      <c r="AK32" s="1239"/>
    </row>
    <row r="33" spans="1:37" ht="15" thickBot="1">
      <c r="A33" s="2409"/>
      <c r="B33" s="2410"/>
      <c r="C33" s="2410"/>
      <c r="D33" s="2409"/>
      <c r="E33" s="2410"/>
      <c r="F33" s="2411"/>
      <c r="G33" s="2410"/>
      <c r="H33" s="2410"/>
      <c r="I33" s="2410"/>
      <c r="J33" s="2410"/>
      <c r="K33" s="227" t="str">
        <f t="shared" si="5"/>
        <v/>
      </c>
      <c r="L33" s="227" t="str">
        <f t="shared" si="6"/>
        <v/>
      </c>
      <c r="M33" s="1024"/>
      <c r="N33" s="1040"/>
      <c r="O33" s="1040"/>
      <c r="P33" s="1040"/>
      <c r="Q33" s="1040"/>
      <c r="R33" s="495">
        <f>SUM('TB-Pharmaceuticals'!$N33:$Q33)</f>
        <v>0</v>
      </c>
      <c r="S33" s="1029">
        <f>'TB-Pharmaceuticals'!$M33*'TB-Pharmaceuticals'!$R33</f>
        <v>0</v>
      </c>
      <c r="T33" s="1024"/>
      <c r="U33" s="1040"/>
      <c r="V33" s="1040"/>
      <c r="W33" s="1040"/>
      <c r="X33" s="1040"/>
      <c r="Y33" s="495">
        <f>SUM('TB-Pharmaceuticals'!$U33:$X33)</f>
        <v>0</v>
      </c>
      <c r="Z33" s="1033">
        <f>'TB-Pharmaceuticals'!$T33*'TB-Pharmaceuticals'!$Y33</f>
        <v>0</v>
      </c>
      <c r="AA33" s="1024"/>
      <c r="AB33" s="1040"/>
      <c r="AC33" s="1040"/>
      <c r="AD33" s="1040"/>
      <c r="AE33" s="1040"/>
      <c r="AF33" s="495">
        <f>SUM('TB-Pharmaceuticals'!$AB33:$AE33)</f>
        <v>0</v>
      </c>
      <c r="AG33" s="1035">
        <f>'TB-Pharmaceuticals'!$AA33*'TB-Pharmaceuticals'!$AF33</f>
        <v>0</v>
      </c>
      <c r="AH33" s="496">
        <f>'TB-Pharmaceuticals'!$R33+'TB-Pharmaceuticals'!$Y33+'TB-Pharmaceuticals'!$AF33</f>
        <v>0</v>
      </c>
      <c r="AI33" s="1035">
        <f>'TB-Pharmaceuticals'!$S33+'TB-Pharmaceuticals'!$Z33+'TB-Pharmaceuticals'!$AG33</f>
        <v>0</v>
      </c>
      <c r="AJ33" s="497" t="str">
        <f t="shared" si="7"/>
        <v/>
      </c>
      <c r="AK33" s="1242"/>
    </row>
    <row r="34" spans="1:37" ht="15" thickBot="1">
      <c r="D34" s="2430"/>
      <c r="E34" s="2430"/>
      <c r="F34" s="2430"/>
      <c r="G34" s="2429"/>
      <c r="H34" s="2429"/>
      <c r="I34" s="2429"/>
      <c r="J34" s="2429"/>
      <c r="K34" s="226"/>
      <c r="L34" s="392"/>
      <c r="M34" s="498"/>
      <c r="N34" s="498"/>
      <c r="O34" s="498"/>
      <c r="P34" s="498"/>
      <c r="Q34" s="498"/>
      <c r="R34" s="499"/>
      <c r="S34" s="500"/>
      <c r="T34" s="498"/>
      <c r="U34" s="498"/>
      <c r="V34" s="498"/>
      <c r="W34" s="498"/>
      <c r="X34" s="498"/>
      <c r="Y34" s="501"/>
      <c r="Z34" s="502"/>
      <c r="AA34" s="498"/>
      <c r="AB34" s="498"/>
      <c r="AC34" s="498"/>
      <c r="AD34" s="498"/>
      <c r="AE34" s="498"/>
      <c r="AF34" s="503"/>
      <c r="AG34" s="504"/>
      <c r="AH34" s="503"/>
      <c r="AI34" s="503"/>
      <c r="AJ34" s="505"/>
      <c r="AK34" s="505"/>
    </row>
    <row r="35" spans="1:37" ht="15" customHeight="1" thickBot="1">
      <c r="A35" s="2488">
        <v>2</v>
      </c>
      <c r="B35" s="2486" t="s">
        <v>298</v>
      </c>
      <c r="C35" s="2486"/>
      <c r="D35" s="2482" t="s">
        <v>291</v>
      </c>
      <c r="E35" s="2482"/>
      <c r="F35" s="2482"/>
      <c r="G35" s="2483"/>
      <c r="H35" s="2400" t="s">
        <v>292</v>
      </c>
      <c r="I35" s="389"/>
      <c r="J35" s="426"/>
      <c r="K35" s="426"/>
      <c r="L35"/>
      <c r="M35"/>
      <c r="N35"/>
      <c r="O35"/>
      <c r="P35"/>
      <c r="Q35"/>
      <c r="R35"/>
      <c r="S35"/>
      <c r="T35"/>
      <c r="U35"/>
      <c r="V35"/>
      <c r="W35"/>
      <c r="X35"/>
      <c r="Y35"/>
      <c r="Z35"/>
      <c r="AA35"/>
      <c r="AB35"/>
      <c r="AC35"/>
      <c r="AD35"/>
      <c r="AE35"/>
      <c r="AF35"/>
      <c r="AG35"/>
      <c r="AH35"/>
      <c r="AI35"/>
      <c r="AJ35"/>
      <c r="AK35"/>
    </row>
    <row r="36" spans="1:37" ht="15" customHeight="1" thickBot="1">
      <c r="A36" s="2489"/>
      <c r="B36" s="2487"/>
      <c r="C36" s="2487"/>
      <c r="D36" s="2484" t="s">
        <v>299</v>
      </c>
      <c r="E36" s="2484"/>
      <c r="F36" s="2484"/>
      <c r="G36" s="2485"/>
      <c r="H36" s="2452"/>
      <c r="I36" s="389"/>
      <c r="J36" s="426"/>
      <c r="K36" s="426"/>
      <c r="L36"/>
      <c r="M36"/>
      <c r="N36"/>
      <c r="O36"/>
      <c r="P36"/>
      <c r="Q36"/>
      <c r="R36"/>
      <c r="S36"/>
      <c r="T36"/>
      <c r="U36"/>
      <c r="V36"/>
      <c r="W36"/>
      <c r="X36"/>
      <c r="Y36"/>
      <c r="Z36"/>
      <c r="AA36"/>
      <c r="AB36"/>
      <c r="AC36"/>
      <c r="AD36"/>
      <c r="AE36"/>
      <c r="AF36"/>
      <c r="AG36"/>
      <c r="AH36"/>
      <c r="AI36"/>
      <c r="AJ36"/>
      <c r="AK36"/>
    </row>
    <row r="37" spans="1:37" ht="113.25" customHeight="1">
      <c r="A37" s="2080" t="s">
        <v>6905</v>
      </c>
      <c r="B37" s="2081"/>
      <c r="C37" s="2081"/>
      <c r="D37" s="2081"/>
      <c r="E37" s="2081"/>
      <c r="F37" s="2081"/>
      <c r="G37" s="2081"/>
      <c r="H37" s="2081"/>
      <c r="I37" s="2081"/>
      <c r="J37" s="2081"/>
      <c r="K37" s="2081"/>
      <c r="L37" s="2081"/>
      <c r="M37"/>
      <c r="N37"/>
      <c r="O37"/>
      <c r="P37"/>
      <c r="Q37"/>
      <c r="R37"/>
      <c r="S37"/>
      <c r="T37"/>
      <c r="U37"/>
      <c r="V37"/>
      <c r="W37"/>
      <c r="X37"/>
      <c r="Y37"/>
      <c r="Z37"/>
      <c r="AA37"/>
      <c r="AB37"/>
      <c r="AC37"/>
      <c r="AD37"/>
      <c r="AE37"/>
      <c r="AF37"/>
      <c r="AG37"/>
      <c r="AH37"/>
      <c r="AI37"/>
      <c r="AJ37"/>
      <c r="AK37"/>
    </row>
    <row r="38" spans="1:37" ht="16" thickBot="1">
      <c r="A38" s="126"/>
      <c r="B38" s="127"/>
      <c r="C38" s="127"/>
      <c r="D38" s="128"/>
      <c r="E38" s="129"/>
      <c r="F38" s="129"/>
      <c r="G38" s="129"/>
      <c r="H38" s="129"/>
      <c r="I38" s="129"/>
      <c r="J38" s="506"/>
      <c r="K38" s="506"/>
      <c r="L38"/>
      <c r="M38"/>
      <c r="N38"/>
      <c r="O38"/>
      <c r="P38"/>
      <c r="Q38"/>
      <c r="R38"/>
      <c r="S38"/>
      <c r="T38"/>
      <c r="U38"/>
      <c r="V38"/>
      <c r="W38"/>
      <c r="X38"/>
      <c r="Y38"/>
      <c r="Z38"/>
      <c r="AA38"/>
      <c r="AB38"/>
      <c r="AC38"/>
      <c r="AD38"/>
      <c r="AE38"/>
      <c r="AF38"/>
      <c r="AG38"/>
      <c r="AH38"/>
      <c r="AI38"/>
      <c r="AJ38"/>
      <c r="AK38"/>
    </row>
    <row r="39" spans="1:37" s="427" customFormat="1" ht="15" thickBot="1">
      <c r="A39" s="2423" t="s">
        <v>1233</v>
      </c>
      <c r="B39" s="2424"/>
      <c r="C39" s="2425"/>
      <c r="D39" s="2423" t="s">
        <v>149</v>
      </c>
      <c r="E39" s="2424"/>
      <c r="F39" s="2425"/>
      <c r="G39" s="2423" t="s">
        <v>150</v>
      </c>
      <c r="H39" s="2424"/>
      <c r="I39" s="2425"/>
      <c r="J39" s="2450"/>
      <c r="K39" s="2417" t="s">
        <v>151</v>
      </c>
      <c r="L39" s="2414" t="s">
        <v>49</v>
      </c>
      <c r="M39" s="2462" t="str">
        <f>M12</f>
        <v>Please fill setup</v>
      </c>
      <c r="N39" s="2463"/>
      <c r="O39" s="2463"/>
      <c r="P39" s="2463"/>
      <c r="Q39" s="2463"/>
      <c r="R39" s="2463"/>
      <c r="S39" s="2464"/>
      <c r="T39" s="2462" t="str">
        <f>T12</f>
        <v>Please fill setup</v>
      </c>
      <c r="U39" s="2463"/>
      <c r="V39" s="2463"/>
      <c r="W39" s="2463"/>
      <c r="X39" s="2463"/>
      <c r="Y39" s="2463"/>
      <c r="Z39" s="2464"/>
      <c r="AA39" s="2462" t="str">
        <f>AA12</f>
        <v>Please fill setup</v>
      </c>
      <c r="AB39" s="2463"/>
      <c r="AC39" s="2463"/>
      <c r="AD39" s="2463"/>
      <c r="AE39" s="2463"/>
      <c r="AF39" s="2463"/>
      <c r="AG39" s="2464"/>
      <c r="AH39" s="2493" t="s">
        <v>152</v>
      </c>
      <c r="AI39" s="2494"/>
      <c r="AJ39" s="507" t="s">
        <v>153</v>
      </c>
      <c r="AK39" s="2443" t="s">
        <v>6865</v>
      </c>
    </row>
    <row r="40" spans="1:37" s="431" customFormat="1" ht="26.5" thickBot="1">
      <c r="A40" s="2426"/>
      <c r="B40" s="2427"/>
      <c r="C40" s="2428"/>
      <c r="D40" s="2426"/>
      <c r="E40" s="2427"/>
      <c r="F40" s="2428"/>
      <c r="G40" s="2426"/>
      <c r="H40" s="2427"/>
      <c r="I40" s="2428"/>
      <c r="J40" s="2451"/>
      <c r="K40" s="2418"/>
      <c r="L40" s="2415"/>
      <c r="M40" s="508" t="s">
        <v>198</v>
      </c>
      <c r="N40" s="509" t="s">
        <v>155</v>
      </c>
      <c r="O40" s="509" t="s">
        <v>156</v>
      </c>
      <c r="P40" s="509" t="s">
        <v>157</v>
      </c>
      <c r="Q40" s="509" t="s">
        <v>158</v>
      </c>
      <c r="R40" s="509" t="s">
        <v>159</v>
      </c>
      <c r="S40" s="509" t="s">
        <v>160</v>
      </c>
      <c r="T40" s="508" t="s">
        <v>161</v>
      </c>
      <c r="U40" s="509" t="s">
        <v>162</v>
      </c>
      <c r="V40" s="509" t="s">
        <v>163</v>
      </c>
      <c r="W40" s="509" t="s">
        <v>164</v>
      </c>
      <c r="X40" s="509" t="s">
        <v>165</v>
      </c>
      <c r="Y40" s="509" t="s">
        <v>166</v>
      </c>
      <c r="Z40" s="509" t="s">
        <v>167</v>
      </c>
      <c r="AA40" s="508" t="s">
        <v>168</v>
      </c>
      <c r="AB40" s="509" t="s">
        <v>169</v>
      </c>
      <c r="AC40" s="509" t="s">
        <v>170</v>
      </c>
      <c r="AD40" s="509" t="s">
        <v>171</v>
      </c>
      <c r="AE40" s="509" t="s">
        <v>172</v>
      </c>
      <c r="AF40" s="509" t="s">
        <v>173</v>
      </c>
      <c r="AG40" s="509" t="s">
        <v>174</v>
      </c>
      <c r="AH40" s="510" t="s">
        <v>175</v>
      </c>
      <c r="AI40" s="511" t="s">
        <v>176</v>
      </c>
      <c r="AJ40" s="512" t="s">
        <v>177</v>
      </c>
      <c r="AK40" s="2444"/>
    </row>
    <row r="41" spans="1:37" s="21" customFormat="1">
      <c r="A41" s="2406"/>
      <c r="B41" s="2407"/>
      <c r="C41" s="2407"/>
      <c r="D41" s="2406"/>
      <c r="E41" s="2416"/>
      <c r="F41" s="2416"/>
      <c r="G41" s="2406"/>
      <c r="H41" s="2416"/>
      <c r="I41" s="2416"/>
      <c r="J41" s="2408"/>
      <c r="K41" s="1455" t="str">
        <f t="shared" ref="K41" si="8">IF(D41="","", IF(ISNUMBER(SEARCH("water",D41)),"Piece",IF(ISNUMBER(SEARCH("Amikacin",D41)),"Piece", IF(AND(ISNUMBER(SEARCH("Capreomycin",D41)),ISNUMBER(SEARCH("1 vial",G41))),"Piece",IF(AND(ISNUMBER(SEARCH("Imipenem/Cilastatin",D41)),ISNUMBER(SEARCH("1 vial",G41))),"Piece",IF(AND(ISNUMBER(SEARCH("Kanamycin",D41)),OR(ISNUMBER(SEARCH("10 amp",G42)),ISNUMBER(SEARCH("500mg powder",F42)))),"Piece","Pack"))))))</f>
        <v/>
      </c>
      <c r="L41" s="1455" t="str">
        <f t="shared" ref="L41" si="9">IF(K41="", "","USD")</f>
        <v/>
      </c>
      <c r="M41" s="1041"/>
      <c r="N41" s="1047"/>
      <c r="O41" s="1047"/>
      <c r="P41" s="1047"/>
      <c r="Q41" s="1047"/>
      <c r="R41" s="942">
        <f>SUM('TB-Pharmaceuticals'!$N41:$Q41)</f>
        <v>0</v>
      </c>
      <c r="S41" s="1043">
        <f>'TB-Pharmaceuticals'!$M41*'TB-Pharmaceuticals'!$R41</f>
        <v>0</v>
      </c>
      <c r="T41" s="1041"/>
      <c r="U41" s="1047"/>
      <c r="V41" s="1047"/>
      <c r="W41" s="1047"/>
      <c r="X41" s="1047"/>
      <c r="Y41" s="942">
        <f>SUM('TB-Pharmaceuticals'!$U41:$X41)</f>
        <v>0</v>
      </c>
      <c r="Z41" s="1045">
        <f>'TB-Pharmaceuticals'!$T41*'TB-Pharmaceuticals'!$Y41</f>
        <v>0</v>
      </c>
      <c r="AA41" s="1041"/>
      <c r="AB41" s="1047"/>
      <c r="AC41" s="1047"/>
      <c r="AD41" s="1047"/>
      <c r="AE41" s="1047"/>
      <c r="AF41" s="942">
        <f>SUM('TB-Pharmaceuticals'!$AB41:$AE41)</f>
        <v>0</v>
      </c>
      <c r="AG41" s="1045">
        <f>'TB-Pharmaceuticals'!$AA41*'TB-Pharmaceuticals'!$AF41</f>
        <v>0</v>
      </c>
      <c r="AH41" s="943">
        <f>'TB-Pharmaceuticals'!$R41+'TB-Pharmaceuticals'!$Y41+'TB-Pharmaceuticals'!$AF41</f>
        <v>0</v>
      </c>
      <c r="AI41" s="1045">
        <f>'TB-Pharmaceuticals'!$S41+'TB-Pharmaceuticals'!$Z41+'TB-Pharmaceuticals'!$AG41</f>
        <v>0</v>
      </c>
      <c r="AJ41" s="1459" t="str">
        <f t="shared" ref="AJ41" si="10">IF(D41="","", IF(ISNUMBER(SEARCH("water",D41)),"4.7","4.2"))</f>
        <v/>
      </c>
      <c r="AK41" s="1460"/>
    </row>
    <row r="42" spans="1:37">
      <c r="A42" s="2412"/>
      <c r="B42" s="2109"/>
      <c r="C42" s="2109"/>
      <c r="D42" s="2412"/>
      <c r="E42" s="2109"/>
      <c r="F42" s="2109"/>
      <c r="G42" s="2412"/>
      <c r="H42" s="2109"/>
      <c r="I42" s="2109"/>
      <c r="J42" s="2413"/>
      <c r="K42" s="225" t="str">
        <f t="shared" ref="K42:K46" si="11">IF(D42="","", IF(ISNUMBER(SEARCH("water",D42)),"Piece",IF(ISNUMBER(SEARCH("Amikacin",D42)),"Piece", IF(AND(ISNUMBER(SEARCH("Capreomycin",D42)),ISNUMBER(SEARCH("1 vial",G42))),"Piece",IF(AND(ISNUMBER(SEARCH("Imipenem/Cilastatin",D42)),ISNUMBER(SEARCH("1 vial",G42))),"Piece",IF(AND(ISNUMBER(SEARCH("Kanamycin",D42)),OR(ISNUMBER(SEARCH("10 amp",G43)),ISNUMBER(SEARCH("500mg powder",F43)))),"Piece","Pack"))))))</f>
        <v/>
      </c>
      <c r="L42" s="226" t="str">
        <f t="shared" ref="L42:L46" si="12">IF(K42="", "","USD")</f>
        <v/>
      </c>
      <c r="M42" s="1023"/>
      <c r="N42" s="1039"/>
      <c r="O42" s="1039"/>
      <c r="P42" s="1039"/>
      <c r="Q42" s="1039"/>
      <c r="R42" s="492">
        <f>SUM('TB-Pharmaceuticals'!$N42:$Q42)</f>
        <v>0</v>
      </c>
      <c r="S42" s="1028">
        <f>'TB-Pharmaceuticals'!$M42*'TB-Pharmaceuticals'!$R42</f>
        <v>0</v>
      </c>
      <c r="T42" s="1023"/>
      <c r="U42" s="1039"/>
      <c r="V42" s="1039"/>
      <c r="W42" s="1039"/>
      <c r="X42" s="1039"/>
      <c r="Y42" s="492">
        <f>SUM('TB-Pharmaceuticals'!$U42:$X42)</f>
        <v>0</v>
      </c>
      <c r="Z42" s="1034">
        <f>'TB-Pharmaceuticals'!$T42*'TB-Pharmaceuticals'!$Y42</f>
        <v>0</v>
      </c>
      <c r="AA42" s="1023"/>
      <c r="AB42" s="1039"/>
      <c r="AC42" s="1039"/>
      <c r="AD42" s="1039"/>
      <c r="AE42" s="1039"/>
      <c r="AF42" s="492">
        <f>SUM('TB-Pharmaceuticals'!$AB42:$AE42)</f>
        <v>0</v>
      </c>
      <c r="AG42" s="1034">
        <f>'TB-Pharmaceuticals'!$AA42*'TB-Pharmaceuticals'!$AF42</f>
        <v>0</v>
      </c>
      <c r="AH42" s="493">
        <f>'TB-Pharmaceuticals'!$R42+'TB-Pharmaceuticals'!$Y42+'TB-Pharmaceuticals'!$AF42</f>
        <v>0</v>
      </c>
      <c r="AI42" s="1034">
        <f>'TB-Pharmaceuticals'!$S42+'TB-Pharmaceuticals'!$Z42+'TB-Pharmaceuticals'!$AG42</f>
        <v>0</v>
      </c>
      <c r="AJ42" s="513" t="str">
        <f t="shared" ref="AJ42:AJ46" si="13">IF(D42="","", IF(ISNUMBER(SEARCH("water",D42)),"4.7","4.2"))</f>
        <v/>
      </c>
      <c r="AK42" s="1243"/>
    </row>
    <row r="43" spans="1:37">
      <c r="A43" s="2406"/>
      <c r="B43" s="2407"/>
      <c r="C43" s="2407"/>
      <c r="D43" s="2406"/>
      <c r="E43" s="2407"/>
      <c r="F43" s="2407"/>
      <c r="G43" s="2406"/>
      <c r="H43" s="2407"/>
      <c r="I43" s="2407"/>
      <c r="J43" s="2408"/>
      <c r="K43" s="224" t="str">
        <f t="shared" si="11"/>
        <v/>
      </c>
      <c r="L43" s="224" t="str">
        <f t="shared" si="12"/>
        <v/>
      </c>
      <c r="M43" s="1042"/>
      <c r="N43" s="1048"/>
      <c r="O43" s="1048"/>
      <c r="P43" s="1048"/>
      <c r="Q43" s="1048"/>
      <c r="R43" s="514">
        <f>SUM('TB-Pharmaceuticals'!$N43:$Q43)</f>
        <v>0</v>
      </c>
      <c r="S43" s="1044">
        <f>'TB-Pharmaceuticals'!$M43*'TB-Pharmaceuticals'!$R43</f>
        <v>0</v>
      </c>
      <c r="T43" s="1042"/>
      <c r="U43" s="1048"/>
      <c r="V43" s="1048"/>
      <c r="W43" s="1048"/>
      <c r="X43" s="1048"/>
      <c r="Y43" s="514">
        <f>SUM('TB-Pharmaceuticals'!$U43:$X43)</f>
        <v>0</v>
      </c>
      <c r="Z43" s="1046">
        <f>'TB-Pharmaceuticals'!$T43*'TB-Pharmaceuticals'!$Y43</f>
        <v>0</v>
      </c>
      <c r="AA43" s="1042"/>
      <c r="AB43" s="1048"/>
      <c r="AC43" s="1048"/>
      <c r="AD43" s="1048"/>
      <c r="AE43" s="1048"/>
      <c r="AF43" s="514">
        <f>SUM('TB-Pharmaceuticals'!$AB43:$AE43)</f>
        <v>0</v>
      </c>
      <c r="AG43" s="1046">
        <f>'TB-Pharmaceuticals'!$AA43*'TB-Pharmaceuticals'!$AF43</f>
        <v>0</v>
      </c>
      <c r="AH43" s="515">
        <f>'TB-Pharmaceuticals'!$R43+'TB-Pharmaceuticals'!$Y43+'TB-Pharmaceuticals'!$AF43</f>
        <v>0</v>
      </c>
      <c r="AI43" s="1046">
        <f>'TB-Pharmaceuticals'!$S43+'TB-Pharmaceuticals'!$Z43+'TB-Pharmaceuticals'!$AG43</f>
        <v>0</v>
      </c>
      <c r="AJ43" s="516" t="str">
        <f t="shared" si="13"/>
        <v/>
      </c>
      <c r="AK43" s="1244"/>
    </row>
    <row r="44" spans="1:37">
      <c r="A44" s="2412"/>
      <c r="B44" s="2109"/>
      <c r="C44" s="2109"/>
      <c r="D44" s="2412"/>
      <c r="E44" s="2109"/>
      <c r="F44" s="2109"/>
      <c r="G44" s="2412"/>
      <c r="H44" s="2109"/>
      <c r="I44" s="2109"/>
      <c r="J44" s="2413"/>
      <c r="K44" s="225" t="str">
        <f t="shared" si="11"/>
        <v/>
      </c>
      <c r="L44" s="226" t="str">
        <f t="shared" si="12"/>
        <v/>
      </c>
      <c r="M44" s="1023"/>
      <c r="N44" s="1039"/>
      <c r="O44" s="1039"/>
      <c r="P44" s="1039"/>
      <c r="Q44" s="1039"/>
      <c r="R44" s="492">
        <f>SUM('TB-Pharmaceuticals'!$N44:$Q44)</f>
        <v>0</v>
      </c>
      <c r="S44" s="1028">
        <f>'TB-Pharmaceuticals'!$M44*'TB-Pharmaceuticals'!$R44</f>
        <v>0</v>
      </c>
      <c r="T44" s="1023"/>
      <c r="U44" s="1039"/>
      <c r="V44" s="1039"/>
      <c r="W44" s="1039"/>
      <c r="X44" s="1039"/>
      <c r="Y44" s="492">
        <f>SUM('TB-Pharmaceuticals'!$U44:$X44)</f>
        <v>0</v>
      </c>
      <c r="Z44" s="1034">
        <f>'TB-Pharmaceuticals'!$T44*'TB-Pharmaceuticals'!$Y44</f>
        <v>0</v>
      </c>
      <c r="AA44" s="1023"/>
      <c r="AB44" s="1039"/>
      <c r="AC44" s="1039"/>
      <c r="AD44" s="1039"/>
      <c r="AE44" s="1039"/>
      <c r="AF44" s="492">
        <f>SUM('TB-Pharmaceuticals'!$AB44:$AE44)</f>
        <v>0</v>
      </c>
      <c r="AG44" s="1034">
        <f>'TB-Pharmaceuticals'!$AA44*'TB-Pharmaceuticals'!$AF44</f>
        <v>0</v>
      </c>
      <c r="AH44" s="493">
        <f>'TB-Pharmaceuticals'!$R44+'TB-Pharmaceuticals'!$Y44+'TB-Pharmaceuticals'!$AF44</f>
        <v>0</v>
      </c>
      <c r="AI44" s="1034">
        <f>'TB-Pharmaceuticals'!$S44+'TB-Pharmaceuticals'!$Z44+'TB-Pharmaceuticals'!$AG44</f>
        <v>0</v>
      </c>
      <c r="AJ44" s="513" t="str">
        <f t="shared" si="13"/>
        <v/>
      </c>
      <c r="AK44" s="1243"/>
    </row>
    <row r="45" spans="1:37">
      <c r="A45" s="2406"/>
      <c r="B45" s="2407"/>
      <c r="C45" s="2407"/>
      <c r="D45" s="2406"/>
      <c r="E45" s="2407"/>
      <c r="F45" s="2407"/>
      <c r="G45" s="2406"/>
      <c r="H45" s="2407"/>
      <c r="I45" s="2407"/>
      <c r="J45" s="2408"/>
      <c r="K45" s="224" t="str">
        <f t="shared" si="11"/>
        <v/>
      </c>
      <c r="L45" s="224" t="str">
        <f t="shared" si="12"/>
        <v/>
      </c>
      <c r="M45" s="1042"/>
      <c r="N45" s="1048"/>
      <c r="O45" s="1048"/>
      <c r="P45" s="1048"/>
      <c r="Q45" s="1048"/>
      <c r="R45" s="514">
        <f>SUM('TB-Pharmaceuticals'!$N45:$Q45)</f>
        <v>0</v>
      </c>
      <c r="S45" s="1044">
        <f>'TB-Pharmaceuticals'!$M45*'TB-Pharmaceuticals'!$R45</f>
        <v>0</v>
      </c>
      <c r="T45" s="1042"/>
      <c r="U45" s="1048"/>
      <c r="V45" s="1048"/>
      <c r="W45" s="1048"/>
      <c r="X45" s="1048"/>
      <c r="Y45" s="514">
        <f>SUM('TB-Pharmaceuticals'!$U45:$X45)</f>
        <v>0</v>
      </c>
      <c r="Z45" s="1046">
        <f>'TB-Pharmaceuticals'!$T45*'TB-Pharmaceuticals'!$Y45</f>
        <v>0</v>
      </c>
      <c r="AA45" s="1042"/>
      <c r="AB45" s="1048"/>
      <c r="AC45" s="1048"/>
      <c r="AD45" s="1048"/>
      <c r="AE45" s="1048"/>
      <c r="AF45" s="514">
        <f>SUM('TB-Pharmaceuticals'!$AB45:$AE45)</f>
        <v>0</v>
      </c>
      <c r="AG45" s="1046">
        <f>'TB-Pharmaceuticals'!$AA45*'TB-Pharmaceuticals'!$AF45</f>
        <v>0</v>
      </c>
      <c r="AH45" s="515">
        <f>'TB-Pharmaceuticals'!$R45+'TB-Pharmaceuticals'!$Y45+'TB-Pharmaceuticals'!$AF45</f>
        <v>0</v>
      </c>
      <c r="AI45" s="1046">
        <f>'TB-Pharmaceuticals'!$S45+'TB-Pharmaceuticals'!$Z45+'TB-Pharmaceuticals'!$AG45</f>
        <v>0</v>
      </c>
      <c r="AJ45" s="516" t="str">
        <f t="shared" si="13"/>
        <v/>
      </c>
      <c r="AK45" s="1244"/>
    </row>
    <row r="46" spans="1:37">
      <c r="A46" s="2412"/>
      <c r="B46" s="2109"/>
      <c r="C46" s="2109"/>
      <c r="D46" s="2412"/>
      <c r="E46" s="2109"/>
      <c r="F46" s="2109"/>
      <c r="G46" s="2412"/>
      <c r="H46" s="2109"/>
      <c r="I46" s="2109"/>
      <c r="J46" s="2413"/>
      <c r="K46" s="225" t="str">
        <f t="shared" si="11"/>
        <v/>
      </c>
      <c r="L46" s="226" t="str">
        <f t="shared" si="12"/>
        <v/>
      </c>
      <c r="M46" s="1023"/>
      <c r="N46" s="1039"/>
      <c r="O46" s="1039"/>
      <c r="P46" s="1039"/>
      <c r="Q46" s="1039"/>
      <c r="R46" s="492">
        <f>SUM('TB-Pharmaceuticals'!$N46:$Q46)</f>
        <v>0</v>
      </c>
      <c r="S46" s="1028">
        <f>'TB-Pharmaceuticals'!$M46*'TB-Pharmaceuticals'!$R46</f>
        <v>0</v>
      </c>
      <c r="T46" s="1023"/>
      <c r="U46" s="1039"/>
      <c r="V46" s="1039"/>
      <c r="W46" s="1039"/>
      <c r="X46" s="1039"/>
      <c r="Y46" s="492">
        <f>SUM('TB-Pharmaceuticals'!$U46:$X46)</f>
        <v>0</v>
      </c>
      <c r="Z46" s="1034">
        <f>'TB-Pharmaceuticals'!$T46*'TB-Pharmaceuticals'!$Y46</f>
        <v>0</v>
      </c>
      <c r="AA46" s="1023"/>
      <c r="AB46" s="1039"/>
      <c r="AC46" s="1039"/>
      <c r="AD46" s="1039"/>
      <c r="AE46" s="1039"/>
      <c r="AF46" s="492">
        <f>SUM('TB-Pharmaceuticals'!$AB46:$AE46)</f>
        <v>0</v>
      </c>
      <c r="AG46" s="1034">
        <f>'TB-Pharmaceuticals'!$AA46*'TB-Pharmaceuticals'!$AF46</f>
        <v>0</v>
      </c>
      <c r="AH46" s="493">
        <f>'TB-Pharmaceuticals'!$R46+'TB-Pharmaceuticals'!$Y46+'TB-Pharmaceuticals'!$AF46</f>
        <v>0</v>
      </c>
      <c r="AI46" s="1034">
        <f>'TB-Pharmaceuticals'!$S46+'TB-Pharmaceuticals'!$Z46+'TB-Pharmaceuticals'!$AG46</f>
        <v>0</v>
      </c>
      <c r="AJ46" s="513" t="str">
        <f t="shared" si="13"/>
        <v/>
      </c>
      <c r="AK46" s="1243"/>
    </row>
    <row r="47" spans="1:37">
      <c r="A47" s="2406"/>
      <c r="B47" s="2407"/>
      <c r="C47" s="2407"/>
      <c r="D47" s="2406"/>
      <c r="E47" s="2407"/>
      <c r="F47" s="2407"/>
      <c r="G47" s="2406"/>
      <c r="H47" s="2407"/>
      <c r="I47" s="2407"/>
      <c r="J47" s="2408"/>
      <c r="K47" s="224" t="str">
        <f t="shared" ref="K47:K60" si="14">IF(D47="","", IF(ISNUMBER(SEARCH("water",D47)),"Piece",IF(ISNUMBER(SEARCH("Amikacin",D47)),"Piece", IF(AND(ISNUMBER(SEARCH("Capreomycin",D47)),ISNUMBER(SEARCH("1 vial",G47))),"Piece",IF(AND(ISNUMBER(SEARCH("Imipenem/Cilastatin",D47)),ISNUMBER(SEARCH("1 vial",G47))),"Piece",IF(AND(ISNUMBER(SEARCH("Kanamycin",D47)),OR(ISNUMBER(SEARCH("10 amp",G48)),ISNUMBER(SEARCH("500mg powder",F48)))),"Piece","Pack"))))))</f>
        <v/>
      </c>
      <c r="L47" s="224" t="str">
        <f t="shared" ref="L47:L60" si="15">IF(K47="", "","USD")</f>
        <v/>
      </c>
      <c r="M47" s="1042"/>
      <c r="N47" s="1048"/>
      <c r="O47" s="1048"/>
      <c r="P47" s="1048"/>
      <c r="Q47" s="1048"/>
      <c r="R47" s="514">
        <f>SUM('TB-Pharmaceuticals'!$N47:$Q47)</f>
        <v>0</v>
      </c>
      <c r="S47" s="1044">
        <f>'TB-Pharmaceuticals'!$M47*'TB-Pharmaceuticals'!$R47</f>
        <v>0</v>
      </c>
      <c r="T47" s="1042"/>
      <c r="U47" s="1048"/>
      <c r="V47" s="1048"/>
      <c r="W47" s="1048"/>
      <c r="X47" s="1048"/>
      <c r="Y47" s="514">
        <f>SUM('TB-Pharmaceuticals'!$U47:$X47)</f>
        <v>0</v>
      </c>
      <c r="Z47" s="1046">
        <f>'TB-Pharmaceuticals'!$T47*'TB-Pharmaceuticals'!$Y47</f>
        <v>0</v>
      </c>
      <c r="AA47" s="1042"/>
      <c r="AB47" s="1048"/>
      <c r="AC47" s="1048"/>
      <c r="AD47" s="1048"/>
      <c r="AE47" s="1048"/>
      <c r="AF47" s="514">
        <f>SUM('TB-Pharmaceuticals'!$AB47:$AE47)</f>
        <v>0</v>
      </c>
      <c r="AG47" s="1046">
        <f>'TB-Pharmaceuticals'!$AA47*'TB-Pharmaceuticals'!$AF47</f>
        <v>0</v>
      </c>
      <c r="AH47" s="515">
        <f>'TB-Pharmaceuticals'!$R47+'TB-Pharmaceuticals'!$Y47+'TB-Pharmaceuticals'!$AF47</f>
        <v>0</v>
      </c>
      <c r="AI47" s="1046">
        <f>'TB-Pharmaceuticals'!$S47+'TB-Pharmaceuticals'!$Z47+'TB-Pharmaceuticals'!$AG47</f>
        <v>0</v>
      </c>
      <c r="AJ47" s="516" t="str">
        <f t="shared" ref="AJ47:AJ60" si="16">IF(D47="","", IF(ISNUMBER(SEARCH("water",D47)),"4.7","4.2"))</f>
        <v/>
      </c>
      <c r="AK47" s="1244"/>
    </row>
    <row r="48" spans="1:37">
      <c r="A48" s="2412"/>
      <c r="B48" s="2109"/>
      <c r="C48" s="2109"/>
      <c r="D48" s="2412"/>
      <c r="E48" s="2109"/>
      <c r="F48" s="2109"/>
      <c r="G48" s="2412"/>
      <c r="H48" s="2109"/>
      <c r="I48" s="2109"/>
      <c r="J48" s="2413"/>
      <c r="K48" s="225" t="str">
        <f t="shared" si="14"/>
        <v/>
      </c>
      <c r="L48" s="226" t="str">
        <f t="shared" si="15"/>
        <v/>
      </c>
      <c r="M48" s="1023"/>
      <c r="N48" s="1039"/>
      <c r="O48" s="1039"/>
      <c r="P48" s="1039"/>
      <c r="Q48" s="1039"/>
      <c r="R48" s="492">
        <f>SUM('TB-Pharmaceuticals'!$N48:$Q48)</f>
        <v>0</v>
      </c>
      <c r="S48" s="1028">
        <f>'TB-Pharmaceuticals'!$M48*'TB-Pharmaceuticals'!$R48</f>
        <v>0</v>
      </c>
      <c r="T48" s="1023"/>
      <c r="U48" s="1039"/>
      <c r="V48" s="1039"/>
      <c r="W48" s="1039"/>
      <c r="X48" s="1039"/>
      <c r="Y48" s="492">
        <f>SUM('TB-Pharmaceuticals'!$U48:$X48)</f>
        <v>0</v>
      </c>
      <c r="Z48" s="1034">
        <f>'TB-Pharmaceuticals'!$T48*'TB-Pharmaceuticals'!$Y48</f>
        <v>0</v>
      </c>
      <c r="AA48" s="1023"/>
      <c r="AB48" s="1039"/>
      <c r="AC48" s="1039"/>
      <c r="AD48" s="1039"/>
      <c r="AE48" s="1039"/>
      <c r="AF48" s="492">
        <f>SUM('TB-Pharmaceuticals'!$AB48:$AE48)</f>
        <v>0</v>
      </c>
      <c r="AG48" s="1034">
        <f>'TB-Pharmaceuticals'!$AA48*'TB-Pharmaceuticals'!$AF48</f>
        <v>0</v>
      </c>
      <c r="AH48" s="493">
        <f>'TB-Pharmaceuticals'!$R48+'TB-Pharmaceuticals'!$Y48+'TB-Pharmaceuticals'!$AF48</f>
        <v>0</v>
      </c>
      <c r="AI48" s="1034">
        <f>'TB-Pharmaceuticals'!$S48+'TB-Pharmaceuticals'!$Z48+'TB-Pharmaceuticals'!$AG48</f>
        <v>0</v>
      </c>
      <c r="AJ48" s="513" t="str">
        <f t="shared" si="16"/>
        <v/>
      </c>
      <c r="AK48" s="1243"/>
    </row>
    <row r="49" spans="1:37">
      <c r="A49" s="2406"/>
      <c r="B49" s="2407"/>
      <c r="C49" s="2407"/>
      <c r="D49" s="2406"/>
      <c r="E49" s="2407"/>
      <c r="F49" s="2407"/>
      <c r="G49" s="2406"/>
      <c r="H49" s="2407"/>
      <c r="I49" s="2407"/>
      <c r="J49" s="2408"/>
      <c r="K49" s="224" t="str">
        <f t="shared" si="14"/>
        <v/>
      </c>
      <c r="L49" s="224" t="str">
        <f t="shared" si="15"/>
        <v/>
      </c>
      <c r="M49" s="1042"/>
      <c r="N49" s="1048"/>
      <c r="O49" s="1048"/>
      <c r="P49" s="1048"/>
      <c r="Q49" s="1048"/>
      <c r="R49" s="514">
        <f>SUM('TB-Pharmaceuticals'!$N49:$Q49)</f>
        <v>0</v>
      </c>
      <c r="S49" s="1044">
        <f>'TB-Pharmaceuticals'!$M49*'TB-Pharmaceuticals'!$R49</f>
        <v>0</v>
      </c>
      <c r="T49" s="1042"/>
      <c r="U49" s="1048"/>
      <c r="V49" s="1048"/>
      <c r="W49" s="1048"/>
      <c r="X49" s="1048"/>
      <c r="Y49" s="514">
        <f>SUM('TB-Pharmaceuticals'!$U49:$X49)</f>
        <v>0</v>
      </c>
      <c r="Z49" s="1046">
        <f>'TB-Pharmaceuticals'!$T49*'TB-Pharmaceuticals'!$Y49</f>
        <v>0</v>
      </c>
      <c r="AA49" s="1042"/>
      <c r="AB49" s="1048"/>
      <c r="AC49" s="1048"/>
      <c r="AD49" s="1048"/>
      <c r="AE49" s="1048"/>
      <c r="AF49" s="514">
        <f>SUM('TB-Pharmaceuticals'!$AB49:$AE49)</f>
        <v>0</v>
      </c>
      <c r="AG49" s="1046">
        <f>'TB-Pharmaceuticals'!$AA49*'TB-Pharmaceuticals'!$AF49</f>
        <v>0</v>
      </c>
      <c r="AH49" s="515">
        <f>'TB-Pharmaceuticals'!$R49+'TB-Pharmaceuticals'!$Y49+'TB-Pharmaceuticals'!$AF49</f>
        <v>0</v>
      </c>
      <c r="AI49" s="1046">
        <f>'TB-Pharmaceuticals'!$S49+'TB-Pharmaceuticals'!$Z49+'TB-Pharmaceuticals'!$AG49</f>
        <v>0</v>
      </c>
      <c r="AJ49" s="516" t="str">
        <f t="shared" si="16"/>
        <v/>
      </c>
      <c r="AK49" s="1244"/>
    </row>
    <row r="50" spans="1:37">
      <c r="A50" s="2412"/>
      <c r="B50" s="2109"/>
      <c r="C50" s="2109"/>
      <c r="D50" s="2412"/>
      <c r="E50" s="2109"/>
      <c r="F50" s="2109"/>
      <c r="G50" s="2412"/>
      <c r="H50" s="2109"/>
      <c r="I50" s="2109"/>
      <c r="J50" s="2413"/>
      <c r="K50" s="225" t="str">
        <f t="shared" si="14"/>
        <v/>
      </c>
      <c r="L50" s="226" t="str">
        <f t="shared" si="15"/>
        <v/>
      </c>
      <c r="M50" s="1023"/>
      <c r="N50" s="1039"/>
      <c r="O50" s="1039"/>
      <c r="P50" s="1039"/>
      <c r="Q50" s="1039"/>
      <c r="R50" s="492">
        <f>SUM('TB-Pharmaceuticals'!$N50:$Q50)</f>
        <v>0</v>
      </c>
      <c r="S50" s="1028">
        <f>'TB-Pharmaceuticals'!$M50*'TB-Pharmaceuticals'!$R50</f>
        <v>0</v>
      </c>
      <c r="T50" s="1023"/>
      <c r="U50" s="1039"/>
      <c r="V50" s="1039"/>
      <c r="W50" s="1039"/>
      <c r="X50" s="1039"/>
      <c r="Y50" s="492">
        <f>SUM('TB-Pharmaceuticals'!$U50:$X50)</f>
        <v>0</v>
      </c>
      <c r="Z50" s="1034">
        <f>'TB-Pharmaceuticals'!$T50*'TB-Pharmaceuticals'!$Y50</f>
        <v>0</v>
      </c>
      <c r="AA50" s="1023"/>
      <c r="AB50" s="1039"/>
      <c r="AC50" s="1039"/>
      <c r="AD50" s="1039"/>
      <c r="AE50" s="1039"/>
      <c r="AF50" s="492">
        <f>SUM('TB-Pharmaceuticals'!$AB50:$AE50)</f>
        <v>0</v>
      </c>
      <c r="AG50" s="1034">
        <f>'TB-Pharmaceuticals'!$AA50*'TB-Pharmaceuticals'!$AF50</f>
        <v>0</v>
      </c>
      <c r="AH50" s="493">
        <f>'TB-Pharmaceuticals'!$R50+'TB-Pharmaceuticals'!$Y50+'TB-Pharmaceuticals'!$AF50</f>
        <v>0</v>
      </c>
      <c r="AI50" s="1034">
        <f>'TB-Pharmaceuticals'!$S50+'TB-Pharmaceuticals'!$Z50+'TB-Pharmaceuticals'!$AG50</f>
        <v>0</v>
      </c>
      <c r="AJ50" s="513" t="str">
        <f t="shared" si="16"/>
        <v/>
      </c>
      <c r="AK50" s="1243"/>
    </row>
    <row r="51" spans="1:37">
      <c r="A51" s="2406"/>
      <c r="B51" s="2407"/>
      <c r="C51" s="2407"/>
      <c r="D51" s="2406"/>
      <c r="E51" s="2407"/>
      <c r="F51" s="2408"/>
      <c r="G51" s="2406"/>
      <c r="H51" s="2407"/>
      <c r="I51" s="2407"/>
      <c r="J51" s="2408"/>
      <c r="K51" s="224" t="str">
        <f t="shared" si="14"/>
        <v/>
      </c>
      <c r="L51" s="224" t="str">
        <f t="shared" si="15"/>
        <v/>
      </c>
      <c r="M51" s="1042"/>
      <c r="N51" s="1048"/>
      <c r="O51" s="1048"/>
      <c r="P51" s="1048"/>
      <c r="Q51" s="1048"/>
      <c r="R51" s="514">
        <f>SUM('TB-Pharmaceuticals'!$N51:$Q51)</f>
        <v>0</v>
      </c>
      <c r="S51" s="1044">
        <f>'TB-Pharmaceuticals'!$M51*'TB-Pharmaceuticals'!$R51</f>
        <v>0</v>
      </c>
      <c r="T51" s="1042"/>
      <c r="U51" s="1048"/>
      <c r="V51" s="1048"/>
      <c r="W51" s="1048"/>
      <c r="X51" s="1048"/>
      <c r="Y51" s="514">
        <f>SUM('TB-Pharmaceuticals'!$U51:$X51)</f>
        <v>0</v>
      </c>
      <c r="Z51" s="1046">
        <f>'TB-Pharmaceuticals'!$T51*'TB-Pharmaceuticals'!$Y51</f>
        <v>0</v>
      </c>
      <c r="AA51" s="1042"/>
      <c r="AB51" s="1048"/>
      <c r="AC51" s="1048"/>
      <c r="AD51" s="1048"/>
      <c r="AE51" s="1048"/>
      <c r="AF51" s="514">
        <f>SUM('TB-Pharmaceuticals'!$AB51:$AE51)</f>
        <v>0</v>
      </c>
      <c r="AG51" s="1046">
        <f>'TB-Pharmaceuticals'!$AA51*'TB-Pharmaceuticals'!$AF51</f>
        <v>0</v>
      </c>
      <c r="AH51" s="515">
        <f>'TB-Pharmaceuticals'!$R51+'TB-Pharmaceuticals'!$Y51+'TB-Pharmaceuticals'!$AF51</f>
        <v>0</v>
      </c>
      <c r="AI51" s="1046">
        <f>'TB-Pharmaceuticals'!$S51+'TB-Pharmaceuticals'!$Z51+'TB-Pharmaceuticals'!$AG51</f>
        <v>0</v>
      </c>
      <c r="AJ51" s="516" t="str">
        <f t="shared" si="16"/>
        <v/>
      </c>
      <c r="AK51" s="1244"/>
    </row>
    <row r="52" spans="1:37">
      <c r="A52" s="2412"/>
      <c r="B52" s="2109"/>
      <c r="C52" s="2109"/>
      <c r="D52" s="2412"/>
      <c r="E52" s="2109"/>
      <c r="F52" s="2109"/>
      <c r="G52" s="2412"/>
      <c r="H52" s="2109"/>
      <c r="I52" s="2109"/>
      <c r="J52" s="2413"/>
      <c r="K52" s="225" t="str">
        <f t="shared" si="14"/>
        <v/>
      </c>
      <c r="L52" s="226" t="str">
        <f t="shared" si="15"/>
        <v/>
      </c>
      <c r="M52" s="1023"/>
      <c r="N52" s="1039"/>
      <c r="O52" s="1039"/>
      <c r="P52" s="1039"/>
      <c r="Q52" s="1039"/>
      <c r="R52" s="492">
        <f>SUM('TB-Pharmaceuticals'!$N52:$Q52)</f>
        <v>0</v>
      </c>
      <c r="S52" s="1028">
        <f>'TB-Pharmaceuticals'!$M52*'TB-Pharmaceuticals'!$R52</f>
        <v>0</v>
      </c>
      <c r="T52" s="1023"/>
      <c r="U52" s="1039"/>
      <c r="V52" s="1039"/>
      <c r="W52" s="1039"/>
      <c r="X52" s="1039"/>
      <c r="Y52" s="492">
        <f>SUM('TB-Pharmaceuticals'!$U52:$X52)</f>
        <v>0</v>
      </c>
      <c r="Z52" s="1034">
        <f>'TB-Pharmaceuticals'!$T52*'TB-Pharmaceuticals'!$Y52</f>
        <v>0</v>
      </c>
      <c r="AA52" s="1023"/>
      <c r="AB52" s="1039"/>
      <c r="AC52" s="1039"/>
      <c r="AD52" s="1039"/>
      <c r="AE52" s="1039"/>
      <c r="AF52" s="492">
        <f>SUM('TB-Pharmaceuticals'!$AB52:$AE52)</f>
        <v>0</v>
      </c>
      <c r="AG52" s="1034">
        <f>'TB-Pharmaceuticals'!$AA52*'TB-Pharmaceuticals'!$AF52</f>
        <v>0</v>
      </c>
      <c r="AH52" s="493">
        <f>'TB-Pharmaceuticals'!$R52+'TB-Pharmaceuticals'!$Y52+'TB-Pharmaceuticals'!$AF52</f>
        <v>0</v>
      </c>
      <c r="AI52" s="1034">
        <f>'TB-Pharmaceuticals'!$S52+'TB-Pharmaceuticals'!$Z52+'TB-Pharmaceuticals'!$AG52</f>
        <v>0</v>
      </c>
      <c r="AJ52" s="513" t="str">
        <f t="shared" si="16"/>
        <v/>
      </c>
      <c r="AK52" s="1243"/>
    </row>
    <row r="53" spans="1:37">
      <c r="A53" s="2406"/>
      <c r="B53" s="2407"/>
      <c r="C53" s="2407"/>
      <c r="D53" s="2406"/>
      <c r="E53" s="2407"/>
      <c r="F53" s="2407"/>
      <c r="G53" s="2406"/>
      <c r="H53" s="2407"/>
      <c r="I53" s="2407"/>
      <c r="J53" s="2408"/>
      <c r="K53" s="224" t="str">
        <f t="shared" si="14"/>
        <v/>
      </c>
      <c r="L53" s="224" t="str">
        <f t="shared" si="15"/>
        <v/>
      </c>
      <c r="M53" s="1042"/>
      <c r="N53" s="1048"/>
      <c r="O53" s="1048"/>
      <c r="P53" s="1048"/>
      <c r="Q53" s="1048"/>
      <c r="R53" s="514">
        <f>SUM('TB-Pharmaceuticals'!$N53:$Q53)</f>
        <v>0</v>
      </c>
      <c r="S53" s="1044">
        <f>'TB-Pharmaceuticals'!$M53*'TB-Pharmaceuticals'!$R53</f>
        <v>0</v>
      </c>
      <c r="T53" s="1042"/>
      <c r="U53" s="1048"/>
      <c r="V53" s="1048"/>
      <c r="W53" s="1048"/>
      <c r="X53" s="1048"/>
      <c r="Y53" s="514">
        <f>SUM('TB-Pharmaceuticals'!$U53:$X53)</f>
        <v>0</v>
      </c>
      <c r="Z53" s="1046">
        <f>'TB-Pharmaceuticals'!$T53*'TB-Pharmaceuticals'!$Y53</f>
        <v>0</v>
      </c>
      <c r="AA53" s="1042"/>
      <c r="AB53" s="1048"/>
      <c r="AC53" s="1048"/>
      <c r="AD53" s="1048"/>
      <c r="AE53" s="1048"/>
      <c r="AF53" s="514">
        <f>SUM('TB-Pharmaceuticals'!$AB53:$AE53)</f>
        <v>0</v>
      </c>
      <c r="AG53" s="1046">
        <f>'TB-Pharmaceuticals'!$AA53*'TB-Pharmaceuticals'!$AF53</f>
        <v>0</v>
      </c>
      <c r="AH53" s="515">
        <f>'TB-Pharmaceuticals'!$R53+'TB-Pharmaceuticals'!$Y53+'TB-Pharmaceuticals'!$AF53</f>
        <v>0</v>
      </c>
      <c r="AI53" s="1046">
        <f>'TB-Pharmaceuticals'!$S53+'TB-Pharmaceuticals'!$Z53+'TB-Pharmaceuticals'!$AG53</f>
        <v>0</v>
      </c>
      <c r="AJ53" s="516" t="str">
        <f t="shared" si="16"/>
        <v/>
      </c>
      <c r="AK53" s="1244"/>
    </row>
    <row r="54" spans="1:37">
      <c r="A54" s="2412"/>
      <c r="B54" s="2109"/>
      <c r="C54" s="2109"/>
      <c r="D54" s="2412"/>
      <c r="E54" s="2109"/>
      <c r="F54" s="2109"/>
      <c r="G54" s="2412"/>
      <c r="H54" s="2109"/>
      <c r="I54" s="2109"/>
      <c r="J54" s="2413"/>
      <c r="K54" s="225" t="str">
        <f t="shared" si="14"/>
        <v/>
      </c>
      <c r="L54" s="226" t="str">
        <f t="shared" si="15"/>
        <v/>
      </c>
      <c r="M54" s="1023"/>
      <c r="N54" s="1039"/>
      <c r="O54" s="1039"/>
      <c r="P54" s="1039"/>
      <c r="Q54" s="1039"/>
      <c r="R54" s="492">
        <f>SUM('TB-Pharmaceuticals'!$N54:$Q54)</f>
        <v>0</v>
      </c>
      <c r="S54" s="1028">
        <f>'TB-Pharmaceuticals'!$M54*'TB-Pharmaceuticals'!$R54</f>
        <v>0</v>
      </c>
      <c r="T54" s="1023"/>
      <c r="U54" s="1039"/>
      <c r="V54" s="1039"/>
      <c r="W54" s="1039"/>
      <c r="X54" s="1039"/>
      <c r="Y54" s="492">
        <f>SUM('TB-Pharmaceuticals'!$U54:$X54)</f>
        <v>0</v>
      </c>
      <c r="Z54" s="1034">
        <f>'TB-Pharmaceuticals'!$T54*'TB-Pharmaceuticals'!$Y54</f>
        <v>0</v>
      </c>
      <c r="AA54" s="1023"/>
      <c r="AB54" s="1039"/>
      <c r="AC54" s="1039"/>
      <c r="AD54" s="1039"/>
      <c r="AE54" s="1039"/>
      <c r="AF54" s="492">
        <f>SUM('TB-Pharmaceuticals'!$AB54:$AE54)</f>
        <v>0</v>
      </c>
      <c r="AG54" s="1034">
        <f>'TB-Pharmaceuticals'!$AA54*'TB-Pharmaceuticals'!$AF54</f>
        <v>0</v>
      </c>
      <c r="AH54" s="493">
        <f>'TB-Pharmaceuticals'!$R54+'TB-Pharmaceuticals'!$Y54+'TB-Pharmaceuticals'!$AF54</f>
        <v>0</v>
      </c>
      <c r="AI54" s="1034">
        <f>'TB-Pharmaceuticals'!$S54+'TB-Pharmaceuticals'!$Z54+'TB-Pharmaceuticals'!$AG54</f>
        <v>0</v>
      </c>
      <c r="AJ54" s="513" t="str">
        <f t="shared" si="16"/>
        <v/>
      </c>
      <c r="AK54" s="1243"/>
    </row>
    <row r="55" spans="1:37">
      <c r="A55" s="2406"/>
      <c r="B55" s="2407"/>
      <c r="C55" s="2407"/>
      <c r="D55" s="2406"/>
      <c r="E55" s="2407"/>
      <c r="F55" s="2407"/>
      <c r="G55" s="2406"/>
      <c r="H55" s="2407"/>
      <c r="I55" s="2407"/>
      <c r="J55" s="2408"/>
      <c r="K55" s="224" t="str">
        <f t="shared" si="14"/>
        <v/>
      </c>
      <c r="L55" s="224" t="str">
        <f t="shared" si="15"/>
        <v/>
      </c>
      <c r="M55" s="1042"/>
      <c r="N55" s="1048"/>
      <c r="O55" s="1048"/>
      <c r="P55" s="1048"/>
      <c r="Q55" s="1048"/>
      <c r="R55" s="514">
        <f>SUM('TB-Pharmaceuticals'!$N55:$Q55)</f>
        <v>0</v>
      </c>
      <c r="S55" s="1044">
        <f>'TB-Pharmaceuticals'!$M55*'TB-Pharmaceuticals'!$R55</f>
        <v>0</v>
      </c>
      <c r="T55" s="1042"/>
      <c r="U55" s="1048"/>
      <c r="V55" s="1048"/>
      <c r="W55" s="1048"/>
      <c r="X55" s="1048"/>
      <c r="Y55" s="514">
        <f>SUM('TB-Pharmaceuticals'!$U55:$X55)</f>
        <v>0</v>
      </c>
      <c r="Z55" s="1046">
        <f>'TB-Pharmaceuticals'!$T55*'TB-Pharmaceuticals'!$Y55</f>
        <v>0</v>
      </c>
      <c r="AA55" s="1042"/>
      <c r="AB55" s="1048"/>
      <c r="AC55" s="1048"/>
      <c r="AD55" s="1048"/>
      <c r="AE55" s="1048"/>
      <c r="AF55" s="514">
        <f>SUM('TB-Pharmaceuticals'!$AB55:$AE55)</f>
        <v>0</v>
      </c>
      <c r="AG55" s="1046">
        <f>'TB-Pharmaceuticals'!$AA55*'TB-Pharmaceuticals'!$AF55</f>
        <v>0</v>
      </c>
      <c r="AH55" s="515">
        <f>'TB-Pharmaceuticals'!$R55+'TB-Pharmaceuticals'!$Y55+'TB-Pharmaceuticals'!$AF55</f>
        <v>0</v>
      </c>
      <c r="AI55" s="1046">
        <f>'TB-Pharmaceuticals'!$S55+'TB-Pharmaceuticals'!$Z55+'TB-Pharmaceuticals'!$AG55</f>
        <v>0</v>
      </c>
      <c r="AJ55" s="516" t="str">
        <f t="shared" si="16"/>
        <v/>
      </c>
      <c r="AK55" s="1244"/>
    </row>
    <row r="56" spans="1:37">
      <c r="A56" s="2412"/>
      <c r="B56" s="2109"/>
      <c r="C56" s="2109"/>
      <c r="D56" s="2412"/>
      <c r="E56" s="2109"/>
      <c r="F56" s="2109"/>
      <c r="G56" s="2412"/>
      <c r="H56" s="2109"/>
      <c r="I56" s="2109"/>
      <c r="J56" s="2413"/>
      <c r="K56" s="225" t="str">
        <f t="shared" si="14"/>
        <v/>
      </c>
      <c r="L56" s="226" t="str">
        <f t="shared" si="15"/>
        <v/>
      </c>
      <c r="M56" s="1023"/>
      <c r="N56" s="1039"/>
      <c r="O56" s="1039"/>
      <c r="P56" s="1039"/>
      <c r="Q56" s="1039"/>
      <c r="R56" s="492">
        <f>SUM('TB-Pharmaceuticals'!$N56:$Q56)</f>
        <v>0</v>
      </c>
      <c r="S56" s="1028">
        <f>'TB-Pharmaceuticals'!$M56*'TB-Pharmaceuticals'!$R56</f>
        <v>0</v>
      </c>
      <c r="T56" s="1023"/>
      <c r="U56" s="1039"/>
      <c r="V56" s="1039"/>
      <c r="W56" s="1039"/>
      <c r="X56" s="1039"/>
      <c r="Y56" s="492">
        <f>SUM('TB-Pharmaceuticals'!$U56:$X56)</f>
        <v>0</v>
      </c>
      <c r="Z56" s="1034">
        <f>'TB-Pharmaceuticals'!$T56*'TB-Pharmaceuticals'!$Y56</f>
        <v>0</v>
      </c>
      <c r="AA56" s="1023"/>
      <c r="AB56" s="1039"/>
      <c r="AC56" s="1039"/>
      <c r="AD56" s="1039"/>
      <c r="AE56" s="1039"/>
      <c r="AF56" s="492">
        <f>SUM('TB-Pharmaceuticals'!$AB56:$AE56)</f>
        <v>0</v>
      </c>
      <c r="AG56" s="1034">
        <f>'TB-Pharmaceuticals'!$AA56*'TB-Pharmaceuticals'!$AF56</f>
        <v>0</v>
      </c>
      <c r="AH56" s="493">
        <f>'TB-Pharmaceuticals'!$R56+'TB-Pharmaceuticals'!$Y56+'TB-Pharmaceuticals'!$AF56</f>
        <v>0</v>
      </c>
      <c r="AI56" s="1034">
        <f>'TB-Pharmaceuticals'!$S56+'TB-Pharmaceuticals'!$Z56+'TB-Pharmaceuticals'!$AG56</f>
        <v>0</v>
      </c>
      <c r="AJ56" s="513" t="str">
        <f t="shared" si="16"/>
        <v/>
      </c>
      <c r="AK56" s="1243"/>
    </row>
    <row r="57" spans="1:37">
      <c r="A57" s="2406"/>
      <c r="B57" s="2407"/>
      <c r="C57" s="2407"/>
      <c r="D57" s="2406"/>
      <c r="E57" s="2407"/>
      <c r="F57" s="2407"/>
      <c r="G57" s="2406"/>
      <c r="H57" s="2407"/>
      <c r="I57" s="2407"/>
      <c r="J57" s="2408"/>
      <c r="K57" s="224" t="str">
        <f t="shared" si="14"/>
        <v/>
      </c>
      <c r="L57" s="224" t="str">
        <f t="shared" si="15"/>
        <v/>
      </c>
      <c r="M57" s="1042"/>
      <c r="N57" s="1048"/>
      <c r="O57" s="1048"/>
      <c r="P57" s="1048"/>
      <c r="Q57" s="1048"/>
      <c r="R57" s="514">
        <f>SUM('TB-Pharmaceuticals'!$N57:$Q57)</f>
        <v>0</v>
      </c>
      <c r="S57" s="1044">
        <f>'TB-Pharmaceuticals'!$M57*'TB-Pharmaceuticals'!$R57</f>
        <v>0</v>
      </c>
      <c r="T57" s="1042"/>
      <c r="U57" s="1048"/>
      <c r="V57" s="1048"/>
      <c r="W57" s="1048"/>
      <c r="X57" s="1048"/>
      <c r="Y57" s="514">
        <f>SUM('TB-Pharmaceuticals'!$U57:$X57)</f>
        <v>0</v>
      </c>
      <c r="Z57" s="1046">
        <f>'TB-Pharmaceuticals'!$T57*'TB-Pharmaceuticals'!$Y57</f>
        <v>0</v>
      </c>
      <c r="AA57" s="1042"/>
      <c r="AB57" s="1048"/>
      <c r="AC57" s="1048"/>
      <c r="AD57" s="1048"/>
      <c r="AE57" s="1048"/>
      <c r="AF57" s="514">
        <f>SUM('TB-Pharmaceuticals'!$AB57:$AE57)</f>
        <v>0</v>
      </c>
      <c r="AG57" s="1046">
        <f>'TB-Pharmaceuticals'!$AA57*'TB-Pharmaceuticals'!$AF57</f>
        <v>0</v>
      </c>
      <c r="AH57" s="515">
        <f>'TB-Pharmaceuticals'!$R57+'TB-Pharmaceuticals'!$Y57+'TB-Pharmaceuticals'!$AF57</f>
        <v>0</v>
      </c>
      <c r="AI57" s="1046">
        <f>'TB-Pharmaceuticals'!$S57+'TB-Pharmaceuticals'!$Z57+'TB-Pharmaceuticals'!$AG57</f>
        <v>0</v>
      </c>
      <c r="AJ57" s="516" t="str">
        <f t="shared" si="16"/>
        <v/>
      </c>
      <c r="AK57" s="1244"/>
    </row>
    <row r="58" spans="1:37">
      <c r="A58" s="2412"/>
      <c r="B58" s="2109"/>
      <c r="C58" s="2109"/>
      <c r="D58" s="2412"/>
      <c r="E58" s="2109"/>
      <c r="F58" s="2109"/>
      <c r="G58" s="2412"/>
      <c r="H58" s="2109"/>
      <c r="I58" s="2109"/>
      <c r="J58" s="2413"/>
      <c r="K58" s="225" t="str">
        <f t="shared" si="14"/>
        <v/>
      </c>
      <c r="L58" s="226" t="str">
        <f t="shared" si="15"/>
        <v/>
      </c>
      <c r="M58" s="1023"/>
      <c r="N58" s="1039"/>
      <c r="O58" s="1039"/>
      <c r="P58" s="1039"/>
      <c r="Q58" s="1039"/>
      <c r="R58" s="492">
        <f>SUM('TB-Pharmaceuticals'!$N58:$Q58)</f>
        <v>0</v>
      </c>
      <c r="S58" s="1028">
        <f>'TB-Pharmaceuticals'!$M58*'TB-Pharmaceuticals'!$R58</f>
        <v>0</v>
      </c>
      <c r="T58" s="1023"/>
      <c r="U58" s="1039"/>
      <c r="V58" s="1039"/>
      <c r="W58" s="1039"/>
      <c r="X58" s="1039"/>
      <c r="Y58" s="492">
        <f>SUM('TB-Pharmaceuticals'!$U58:$X58)</f>
        <v>0</v>
      </c>
      <c r="Z58" s="1034">
        <f>'TB-Pharmaceuticals'!$T58*'TB-Pharmaceuticals'!$Y58</f>
        <v>0</v>
      </c>
      <c r="AA58" s="1023"/>
      <c r="AB58" s="1039"/>
      <c r="AC58" s="1039"/>
      <c r="AD58" s="1039"/>
      <c r="AE58" s="1039"/>
      <c r="AF58" s="492">
        <f>SUM('TB-Pharmaceuticals'!$AB58:$AE58)</f>
        <v>0</v>
      </c>
      <c r="AG58" s="1034">
        <f>'TB-Pharmaceuticals'!$AA58*'TB-Pharmaceuticals'!$AF58</f>
        <v>0</v>
      </c>
      <c r="AH58" s="493">
        <f>'TB-Pharmaceuticals'!$R58+'TB-Pharmaceuticals'!$Y58+'TB-Pharmaceuticals'!$AF58</f>
        <v>0</v>
      </c>
      <c r="AI58" s="1034">
        <f>'TB-Pharmaceuticals'!$S58+'TB-Pharmaceuticals'!$Z58+'TB-Pharmaceuticals'!$AG58</f>
        <v>0</v>
      </c>
      <c r="AJ58" s="513" t="str">
        <f t="shared" si="16"/>
        <v/>
      </c>
      <c r="AK58" s="1243"/>
    </row>
    <row r="59" spans="1:37">
      <c r="A59" s="2406"/>
      <c r="B59" s="2407"/>
      <c r="C59" s="2407"/>
      <c r="D59" s="2406"/>
      <c r="E59" s="2407"/>
      <c r="F59" s="2407"/>
      <c r="G59" s="2406"/>
      <c r="H59" s="2407"/>
      <c r="I59" s="2407"/>
      <c r="J59" s="2408"/>
      <c r="K59" s="224" t="str">
        <f t="shared" si="14"/>
        <v/>
      </c>
      <c r="L59" s="224" t="str">
        <f t="shared" si="15"/>
        <v/>
      </c>
      <c r="M59" s="1042"/>
      <c r="N59" s="1048"/>
      <c r="O59" s="1048"/>
      <c r="P59" s="1048"/>
      <c r="Q59" s="1048"/>
      <c r="R59" s="514">
        <f>SUM('TB-Pharmaceuticals'!$N59:$Q59)</f>
        <v>0</v>
      </c>
      <c r="S59" s="1044">
        <f>'TB-Pharmaceuticals'!$M59*'TB-Pharmaceuticals'!$R59</f>
        <v>0</v>
      </c>
      <c r="T59" s="1042"/>
      <c r="U59" s="1048"/>
      <c r="V59" s="1048"/>
      <c r="W59" s="1048"/>
      <c r="X59" s="1048"/>
      <c r="Y59" s="514">
        <f>SUM('TB-Pharmaceuticals'!$U59:$X59)</f>
        <v>0</v>
      </c>
      <c r="Z59" s="1032">
        <f>'TB-Pharmaceuticals'!$T59*'TB-Pharmaceuticals'!$Y59</f>
        <v>0</v>
      </c>
      <c r="AA59" s="1042"/>
      <c r="AB59" s="1048"/>
      <c r="AC59" s="1048"/>
      <c r="AD59" s="1048"/>
      <c r="AE59" s="1048"/>
      <c r="AF59" s="514">
        <f>SUM('TB-Pharmaceuticals'!$AB59:$AE59)</f>
        <v>0</v>
      </c>
      <c r="AG59" s="1046">
        <f>'TB-Pharmaceuticals'!$AA59*'TB-Pharmaceuticals'!$AF59</f>
        <v>0</v>
      </c>
      <c r="AH59" s="515">
        <f>'TB-Pharmaceuticals'!$R59+'TB-Pharmaceuticals'!$Y59+'TB-Pharmaceuticals'!$AF59</f>
        <v>0</v>
      </c>
      <c r="AI59" s="1046">
        <f>'TB-Pharmaceuticals'!$S59+'TB-Pharmaceuticals'!$Z59+'TB-Pharmaceuticals'!$AG59</f>
        <v>0</v>
      </c>
      <c r="AJ59" s="517" t="str">
        <f t="shared" si="16"/>
        <v/>
      </c>
      <c r="AK59" s="1245"/>
    </row>
    <row r="60" spans="1:37" ht="15" thickBot="1">
      <c r="A60" s="2409"/>
      <c r="B60" s="2410"/>
      <c r="C60" s="2410"/>
      <c r="D60" s="2409"/>
      <c r="E60" s="2410"/>
      <c r="F60" s="2410"/>
      <c r="G60" s="2409"/>
      <c r="H60" s="2410"/>
      <c r="I60" s="2410"/>
      <c r="J60" s="2411"/>
      <c r="K60" s="227" t="str">
        <f t="shared" si="14"/>
        <v/>
      </c>
      <c r="L60" s="393" t="str">
        <f t="shared" si="15"/>
        <v/>
      </c>
      <c r="M60" s="1024"/>
      <c r="N60" s="1040"/>
      <c r="O60" s="1040"/>
      <c r="P60" s="1040"/>
      <c r="Q60" s="1040"/>
      <c r="R60" s="495">
        <f>SUM('TB-Pharmaceuticals'!$N60:$Q60)</f>
        <v>0</v>
      </c>
      <c r="S60" s="1029">
        <f>'TB-Pharmaceuticals'!$M60*'TB-Pharmaceuticals'!$R60</f>
        <v>0</v>
      </c>
      <c r="T60" s="1024"/>
      <c r="U60" s="1040"/>
      <c r="V60" s="1040"/>
      <c r="W60" s="1040"/>
      <c r="X60" s="1040"/>
      <c r="Y60" s="495">
        <f>SUM('TB-Pharmaceuticals'!$U60:$X60)</f>
        <v>0</v>
      </c>
      <c r="Z60" s="1033">
        <f>'TB-Pharmaceuticals'!$T60*'TB-Pharmaceuticals'!$Y60</f>
        <v>0</v>
      </c>
      <c r="AA60" s="1024"/>
      <c r="AB60" s="1040"/>
      <c r="AC60" s="1040"/>
      <c r="AD60" s="1040"/>
      <c r="AE60" s="1040"/>
      <c r="AF60" s="495">
        <f>SUM('TB-Pharmaceuticals'!$AB60:$AE60)</f>
        <v>0</v>
      </c>
      <c r="AG60" s="1035">
        <f>'TB-Pharmaceuticals'!$AA60*'TB-Pharmaceuticals'!$AF60</f>
        <v>0</v>
      </c>
      <c r="AH60" s="496">
        <f>'TB-Pharmaceuticals'!$R60+'TB-Pharmaceuticals'!$Y60+'TB-Pharmaceuticals'!$AF60</f>
        <v>0</v>
      </c>
      <c r="AI60" s="1035">
        <f>'TB-Pharmaceuticals'!$S60+'TB-Pharmaceuticals'!$Z60+'TB-Pharmaceuticals'!$AG60</f>
        <v>0</v>
      </c>
      <c r="AJ60" s="497" t="str">
        <f t="shared" si="16"/>
        <v/>
      </c>
      <c r="AK60" s="1246"/>
    </row>
    <row r="61" spans="1:37" ht="15" thickBot="1">
      <c r="A61" s="546"/>
      <c r="B61" s="546"/>
      <c r="C61" s="546"/>
      <c r="D61" s="546"/>
      <c r="E61" s="546"/>
      <c r="F61" s="546"/>
      <c r="G61" s="546"/>
      <c r="H61" s="546"/>
      <c r="I61" s="546"/>
      <c r="J61" s="518"/>
      <c r="K61" s="225"/>
      <c r="L61" s="226"/>
      <c r="M61" s="498"/>
      <c r="N61" s="498"/>
      <c r="O61" s="498"/>
      <c r="P61" s="498"/>
      <c r="Q61" s="498"/>
      <c r="R61" s="499"/>
      <c r="S61" s="499"/>
      <c r="T61" s="498"/>
      <c r="U61" s="498"/>
      <c r="V61" s="498"/>
      <c r="W61" s="498"/>
      <c r="X61" s="498"/>
      <c r="Y61" s="501"/>
      <c r="Z61" s="501"/>
      <c r="AA61" s="498"/>
      <c r="AB61" s="498"/>
      <c r="AC61" s="498"/>
      <c r="AD61" s="498"/>
      <c r="AE61" s="498"/>
      <c r="AF61" s="503"/>
      <c r="AG61" s="503"/>
      <c r="AH61" s="503"/>
      <c r="AI61" s="503"/>
      <c r="AJ61" s="505"/>
      <c r="AK61" s="505"/>
    </row>
    <row r="62" spans="1:37" ht="15" customHeight="1" thickBot="1">
      <c r="A62" s="2419">
        <v>3</v>
      </c>
      <c r="B62" s="2421" t="s">
        <v>305</v>
      </c>
      <c r="C62" s="2421"/>
      <c r="D62" s="2457" t="s">
        <v>291</v>
      </c>
      <c r="E62" s="2457"/>
      <c r="F62" s="2457"/>
      <c r="G62" s="2458"/>
      <c r="H62" s="2400" t="s">
        <v>292</v>
      </c>
      <c r="I62" s="191"/>
      <c r="J62" s="519"/>
      <c r="K62" s="520"/>
      <c r="L62" s="521"/>
      <c r="M62" s="521"/>
      <c r="N62" s="521"/>
      <c r="O62" s="521"/>
      <c r="P62" s="521"/>
      <c r="Q62" s="521"/>
      <c r="R62" s="521"/>
      <c r="S62" s="521"/>
      <c r="T62" s="521"/>
      <c r="U62" s="521"/>
      <c r="V62" s="521"/>
      <c r="W62" s="521"/>
      <c r="X62" s="520"/>
      <c r="Y62" s="520"/>
      <c r="Z62" s="520"/>
      <c r="AA62" s="520"/>
      <c r="AB62" s="521"/>
      <c r="AC62" s="521"/>
      <c r="AD62" s="521"/>
      <c r="AE62" s="521"/>
      <c r="AF62" s="520"/>
      <c r="AG62" s="521"/>
      <c r="AH62" s="339"/>
    </row>
    <row r="63" spans="1:37" ht="15" customHeight="1" thickBot="1">
      <c r="A63" s="2420"/>
      <c r="B63" s="2422"/>
      <c r="C63" s="2422"/>
      <c r="D63" s="2459" t="s">
        <v>306</v>
      </c>
      <c r="E63" s="2459"/>
      <c r="F63" s="2459"/>
      <c r="G63" s="2460"/>
      <c r="H63" s="2452"/>
      <c r="I63" s="191"/>
      <c r="J63" s="522"/>
      <c r="K63" s="523"/>
      <c r="L63" s="524"/>
      <c r="M63" s="524"/>
      <c r="N63" s="524"/>
      <c r="O63" s="524"/>
      <c r="P63" s="524"/>
      <c r="Q63" s="524"/>
      <c r="R63" s="524"/>
      <c r="S63" s="524"/>
      <c r="T63" s="524"/>
      <c r="U63" s="524"/>
      <c r="V63" s="524"/>
      <c r="W63" s="524"/>
      <c r="X63" s="523"/>
      <c r="Y63" s="523"/>
      <c r="Z63" s="523"/>
      <c r="AA63" s="523"/>
      <c r="AB63" s="524"/>
      <c r="AC63" s="524"/>
      <c r="AD63" s="524"/>
      <c r="AE63" s="524"/>
      <c r="AF63" s="523"/>
      <c r="AG63" s="524"/>
      <c r="AH63" s="339"/>
    </row>
    <row r="64" spans="1:37" ht="104.25" customHeight="1">
      <c r="A64" s="2080" t="s">
        <v>6905</v>
      </c>
      <c r="B64" s="2081"/>
      <c r="C64" s="2081"/>
      <c r="D64" s="2081"/>
      <c r="E64" s="2081"/>
      <c r="F64" s="2081"/>
      <c r="G64" s="2081"/>
      <c r="H64" s="2081"/>
      <c r="I64" s="2081"/>
      <c r="J64" s="2081"/>
      <c r="K64" s="2081"/>
      <c r="L64" s="2081"/>
      <c r="M64" s="526"/>
      <c r="N64" s="526"/>
      <c r="O64" s="526"/>
      <c r="P64" s="526"/>
      <c r="Q64" s="526"/>
      <c r="R64" s="526"/>
      <c r="S64" s="526"/>
      <c r="T64" s="526"/>
      <c r="U64" s="526"/>
      <c r="V64" s="526"/>
      <c r="W64" s="526"/>
      <c r="X64" s="525"/>
      <c r="Y64" s="525"/>
      <c r="Z64" s="525"/>
      <c r="AA64" s="525"/>
      <c r="AB64" s="526"/>
      <c r="AC64" s="526"/>
      <c r="AD64" s="526"/>
      <c r="AE64" s="526"/>
      <c r="AF64" s="525"/>
      <c r="AG64" s="526"/>
      <c r="AH64" s="339"/>
    </row>
    <row r="65" spans="1:37" ht="16" thickBot="1">
      <c r="A65" s="126"/>
      <c r="B65" s="127"/>
      <c r="C65" s="127"/>
      <c r="D65" s="128"/>
      <c r="E65" s="129"/>
      <c r="F65" s="129"/>
      <c r="G65" s="129"/>
      <c r="H65" s="129"/>
      <c r="I65" s="402"/>
      <c r="J65" s="527"/>
      <c r="K65" s="528"/>
      <c r="L65" s="529"/>
      <c r="M65" s="529"/>
      <c r="N65" s="529"/>
      <c r="O65" s="529"/>
      <c r="P65" s="529"/>
      <c r="Q65" s="529"/>
      <c r="R65" s="529"/>
      <c r="S65" s="529"/>
      <c r="T65" s="529"/>
      <c r="U65" s="529"/>
      <c r="V65" s="529"/>
      <c r="W65" s="529"/>
      <c r="X65" s="528"/>
      <c r="Y65" s="528"/>
      <c r="Z65" s="528"/>
      <c r="AA65" s="528"/>
      <c r="AB65" s="529"/>
      <c r="AC65" s="529"/>
      <c r="AD65" s="529"/>
      <c r="AE65" s="529"/>
      <c r="AF65" s="528"/>
      <c r="AG65" s="529"/>
      <c r="AH65" s="403"/>
    </row>
    <row r="66" spans="1:37" s="427" customFormat="1" ht="15" thickBot="1">
      <c r="A66" s="2453" t="s">
        <v>1233</v>
      </c>
      <c r="B66" s="2417"/>
      <c r="C66" s="2417"/>
      <c r="D66" s="2453" t="s">
        <v>149</v>
      </c>
      <c r="E66" s="2417"/>
      <c r="F66" s="2417"/>
      <c r="G66" s="2423" t="s">
        <v>150</v>
      </c>
      <c r="H66" s="2424"/>
      <c r="I66" s="2425"/>
      <c r="J66" s="2450"/>
      <c r="K66" s="2417" t="s">
        <v>151</v>
      </c>
      <c r="L66" s="2414" t="s">
        <v>49</v>
      </c>
      <c r="M66" s="2490" t="str">
        <f>M39</f>
        <v>Please fill setup</v>
      </c>
      <c r="N66" s="2491"/>
      <c r="O66" s="2491"/>
      <c r="P66" s="2491"/>
      <c r="Q66" s="2491"/>
      <c r="R66" s="2491"/>
      <c r="S66" s="2492"/>
      <c r="T66" s="2490" t="str">
        <f>T39</f>
        <v>Please fill setup</v>
      </c>
      <c r="U66" s="2491"/>
      <c r="V66" s="2491"/>
      <c r="W66" s="2491"/>
      <c r="X66" s="2491"/>
      <c r="Y66" s="2491"/>
      <c r="Z66" s="2492"/>
      <c r="AA66" s="2490" t="str">
        <f>AA39</f>
        <v>Please fill setup</v>
      </c>
      <c r="AB66" s="2491"/>
      <c r="AC66" s="2491"/>
      <c r="AD66" s="2491"/>
      <c r="AE66" s="2491"/>
      <c r="AF66" s="2491"/>
      <c r="AG66" s="2492"/>
      <c r="AH66" s="2495" t="s">
        <v>152</v>
      </c>
      <c r="AI66" s="2496"/>
      <c r="AJ66" s="530" t="s">
        <v>153</v>
      </c>
      <c r="AK66" s="2443" t="s">
        <v>6865</v>
      </c>
    </row>
    <row r="67" spans="1:37" s="431" customFormat="1" ht="26.5" thickBot="1">
      <c r="A67" s="2454"/>
      <c r="B67" s="2418"/>
      <c r="C67" s="2418"/>
      <c r="D67" s="2454"/>
      <c r="E67" s="2418"/>
      <c r="F67" s="2418"/>
      <c r="G67" s="2426"/>
      <c r="H67" s="2427"/>
      <c r="I67" s="2428"/>
      <c r="J67" s="2451"/>
      <c r="K67" s="2418"/>
      <c r="L67" s="2415"/>
      <c r="M67" s="531" t="s">
        <v>198</v>
      </c>
      <c r="N67" s="532" t="s">
        <v>155</v>
      </c>
      <c r="O67" s="532" t="s">
        <v>156</v>
      </c>
      <c r="P67" s="532" t="s">
        <v>157</v>
      </c>
      <c r="Q67" s="532" t="s">
        <v>158</v>
      </c>
      <c r="R67" s="532" t="s">
        <v>159</v>
      </c>
      <c r="S67" s="532" t="s">
        <v>160</v>
      </c>
      <c r="T67" s="531" t="s">
        <v>161</v>
      </c>
      <c r="U67" s="532" t="s">
        <v>162</v>
      </c>
      <c r="V67" s="532" t="s">
        <v>163</v>
      </c>
      <c r="W67" s="532" t="s">
        <v>164</v>
      </c>
      <c r="X67" s="532" t="s">
        <v>165</v>
      </c>
      <c r="Y67" s="532" t="s">
        <v>166</v>
      </c>
      <c r="Z67" s="532" t="s">
        <v>167</v>
      </c>
      <c r="AA67" s="531" t="s">
        <v>168</v>
      </c>
      <c r="AB67" s="532" t="s">
        <v>169</v>
      </c>
      <c r="AC67" s="532" t="s">
        <v>170</v>
      </c>
      <c r="AD67" s="532" t="s">
        <v>171</v>
      </c>
      <c r="AE67" s="532" t="s">
        <v>172</v>
      </c>
      <c r="AF67" s="532" t="s">
        <v>173</v>
      </c>
      <c r="AG67" s="532" t="s">
        <v>174</v>
      </c>
      <c r="AH67" s="533" t="s">
        <v>175</v>
      </c>
      <c r="AI67" s="534" t="s">
        <v>176</v>
      </c>
      <c r="AJ67" s="535" t="s">
        <v>177</v>
      </c>
      <c r="AK67" s="2444"/>
    </row>
    <row r="68" spans="1:37" s="21" customFormat="1">
      <c r="A68" s="2406"/>
      <c r="B68" s="2407"/>
      <c r="C68" s="2407"/>
      <c r="D68" s="2455"/>
      <c r="E68" s="2456"/>
      <c r="F68" s="2456"/>
      <c r="G68" s="2406"/>
      <c r="H68" s="2416"/>
      <c r="I68" s="2416"/>
      <c r="J68" s="2408"/>
      <c r="K68" s="1455" t="str">
        <f t="shared" ref="K68" si="17">IF(D68="","", IF(ISNUMBER(SEARCH("water",D68)),"Piece",IF(ISNUMBER(SEARCH("Amikacin",D68)),"Piece", IF(AND(ISNUMBER(SEARCH("Capreomycin",D68)),ISNUMBER(SEARCH("1 vial",G68))),"Piece",IF(AND(ISNUMBER(SEARCH("Imipenem/Cilastatin",D68)),ISNUMBER(SEARCH("1 vial",G68))),"Piece",IF(AND(ISNUMBER(SEARCH("Kanamycin",D68)),OR(ISNUMBER(SEARCH("10 amp",G69)),ISNUMBER(SEARCH("500mg powder",F69)))),"Piece","Pack"))))))</f>
        <v/>
      </c>
      <c r="L68" s="1455" t="str">
        <f t="shared" ref="L68" si="18">IF(K68="", "","USD")</f>
        <v/>
      </c>
      <c r="M68" s="1020"/>
      <c r="N68" s="1036"/>
      <c r="O68" s="1036"/>
      <c r="P68" s="1036"/>
      <c r="Q68" s="1036"/>
      <c r="R68" s="480">
        <f>SUM('TB-Pharmaceuticals'!$N68:$Q68)</f>
        <v>0</v>
      </c>
      <c r="S68" s="1025">
        <f>'TB-Pharmaceuticals'!$M68*'TB-Pharmaceuticals'!$R68</f>
        <v>0</v>
      </c>
      <c r="T68" s="1020"/>
      <c r="U68" s="1036"/>
      <c r="V68" s="1036"/>
      <c r="W68" s="1036"/>
      <c r="X68" s="1036"/>
      <c r="Y68" s="480">
        <f>SUM('TB-Pharmaceuticals'!$U68:$X68)</f>
        <v>0</v>
      </c>
      <c r="Z68" s="1030">
        <f>'TB-Pharmaceuticals'!$T68*'TB-Pharmaceuticals'!$Y68</f>
        <v>0</v>
      </c>
      <c r="AA68" s="1020"/>
      <c r="AB68" s="1036"/>
      <c r="AC68" s="1036"/>
      <c r="AD68" s="1036"/>
      <c r="AE68" s="1036"/>
      <c r="AF68" s="480">
        <f>SUM('TB-Pharmaceuticals'!$AB68:$AE68)</f>
        <v>0</v>
      </c>
      <c r="AG68" s="1030">
        <f>'TB-Pharmaceuticals'!$AA68*'TB-Pharmaceuticals'!$AF68</f>
        <v>0</v>
      </c>
      <c r="AH68" s="481">
        <f>'TB-Pharmaceuticals'!$R68+'TB-Pharmaceuticals'!$Y68+'TB-Pharmaceuticals'!$AF68</f>
        <v>0</v>
      </c>
      <c r="AI68" s="1030">
        <f>'TB-Pharmaceuticals'!$S68+'TB-Pharmaceuticals'!$Z68+'TB-Pharmaceuticals'!$AG68</f>
        <v>0</v>
      </c>
      <c r="AJ68" s="1456" t="str">
        <f t="shared" ref="AJ68" si="19">IF(D68="","", IF(ISNUMBER(SEARCH("water",D68)),"4.7","4.2"))</f>
        <v/>
      </c>
      <c r="AK68" s="1461"/>
    </row>
    <row r="69" spans="1:37">
      <c r="A69" s="2412"/>
      <c r="B69" s="2109"/>
      <c r="C69" s="2109"/>
      <c r="D69" s="2412"/>
      <c r="E69" s="2109"/>
      <c r="F69" s="2109"/>
      <c r="G69" s="2412"/>
      <c r="H69" s="2109"/>
      <c r="I69" s="2109"/>
      <c r="J69" s="2413"/>
      <c r="K69" s="225" t="str">
        <f t="shared" ref="K69:K101" si="20">IF(D69="","", IF(ISNUMBER(SEARCH("water",D69)),"Piece",IF(ISNUMBER(SEARCH("Amikacin",D69)),"Piece", IF(AND(ISNUMBER(SEARCH("Capreomycin",D69)),ISNUMBER(SEARCH("1 vial",G69))),"Piece",IF(AND(ISNUMBER(SEARCH("Imipenem/Cilastatin",D69)),ISNUMBER(SEARCH("1 vial",G69))),"Piece",IF(AND(ISNUMBER(SEARCH("Kanamycin",D69)),OR(ISNUMBER(SEARCH("10 amp",G70)),ISNUMBER(SEARCH("500mg powder",F70)))),"Piece","Pack"))))))</f>
        <v/>
      </c>
      <c r="L69" s="226" t="str">
        <f t="shared" ref="L69:L75" si="21">IF(K69="", "","USD")</f>
        <v/>
      </c>
      <c r="M69" s="1021"/>
      <c r="N69" s="1037"/>
      <c r="O69" s="1037"/>
      <c r="P69" s="1037"/>
      <c r="Q69" s="1037"/>
      <c r="R69" s="484">
        <f>SUM('TB-Pharmaceuticals'!$N69:$Q69)</f>
        <v>0</v>
      </c>
      <c r="S69" s="1026">
        <f>'TB-Pharmaceuticals'!$M69*'TB-Pharmaceuticals'!$R69</f>
        <v>0</v>
      </c>
      <c r="T69" s="1021"/>
      <c r="U69" s="1037"/>
      <c r="V69" s="1037"/>
      <c r="W69" s="1037"/>
      <c r="X69" s="1037"/>
      <c r="Y69" s="484">
        <f>SUM('TB-Pharmaceuticals'!$U69:$X69)</f>
        <v>0</v>
      </c>
      <c r="Z69" s="1031">
        <f>'TB-Pharmaceuticals'!$T69*'TB-Pharmaceuticals'!$Y69</f>
        <v>0</v>
      </c>
      <c r="AA69" s="1021"/>
      <c r="AB69" s="1037"/>
      <c r="AC69" s="1037"/>
      <c r="AD69" s="1037"/>
      <c r="AE69" s="1037"/>
      <c r="AF69" s="484">
        <f>SUM('TB-Pharmaceuticals'!$AB69:$AE69)</f>
        <v>0</v>
      </c>
      <c r="AG69" s="1031">
        <f>'TB-Pharmaceuticals'!$AA69*'TB-Pharmaceuticals'!$AF69</f>
        <v>0</v>
      </c>
      <c r="AH69" s="485">
        <f>'TB-Pharmaceuticals'!$R69+'TB-Pharmaceuticals'!$Y69+'TB-Pharmaceuticals'!$AF69</f>
        <v>0</v>
      </c>
      <c r="AI69" s="1031">
        <f>'TB-Pharmaceuticals'!$S69+'TB-Pharmaceuticals'!$Z69+'TB-Pharmaceuticals'!$AG69</f>
        <v>0</v>
      </c>
      <c r="AJ69" s="486" t="str">
        <f t="shared" ref="AJ69:AJ75" si="22">IF(D69="","", IF(ISNUMBER(SEARCH("water",D69)),"4.7","4.2"))</f>
        <v/>
      </c>
      <c r="AK69" s="1247"/>
    </row>
    <row r="70" spans="1:37">
      <c r="A70" s="2406"/>
      <c r="B70" s="2407"/>
      <c r="C70" s="2407"/>
      <c r="D70" s="2406"/>
      <c r="E70" s="2407"/>
      <c r="F70" s="2407"/>
      <c r="G70" s="2406"/>
      <c r="H70" s="2407"/>
      <c r="I70" s="2407"/>
      <c r="J70" s="2408"/>
      <c r="K70" s="224" t="str">
        <f t="shared" si="20"/>
        <v/>
      </c>
      <c r="L70" s="224" t="str">
        <f t="shared" si="21"/>
        <v/>
      </c>
      <c r="M70" s="1022"/>
      <c r="N70" s="1038"/>
      <c r="O70" s="1038"/>
      <c r="P70" s="1038"/>
      <c r="Q70" s="1038"/>
      <c r="R70" s="487">
        <f>SUM('TB-Pharmaceuticals'!$N70:$Q70)</f>
        <v>0</v>
      </c>
      <c r="S70" s="1027">
        <f>'TB-Pharmaceuticals'!$M70*'TB-Pharmaceuticals'!$R70</f>
        <v>0</v>
      </c>
      <c r="T70" s="1022"/>
      <c r="U70" s="1038"/>
      <c r="V70" s="1038"/>
      <c r="W70" s="1038"/>
      <c r="X70" s="1038"/>
      <c r="Y70" s="487">
        <f>SUM('TB-Pharmaceuticals'!$U70:$X70)</f>
        <v>0</v>
      </c>
      <c r="Z70" s="1032">
        <f>'TB-Pharmaceuticals'!$T70*'TB-Pharmaceuticals'!$Y70</f>
        <v>0</v>
      </c>
      <c r="AA70" s="1022"/>
      <c r="AB70" s="1038"/>
      <c r="AC70" s="1038"/>
      <c r="AD70" s="1038"/>
      <c r="AE70" s="1038"/>
      <c r="AF70" s="487">
        <f>SUM('TB-Pharmaceuticals'!$AB70:$AE70)</f>
        <v>0</v>
      </c>
      <c r="AG70" s="1032">
        <f>'TB-Pharmaceuticals'!$AA70*'TB-Pharmaceuticals'!$AF70</f>
        <v>0</v>
      </c>
      <c r="AH70" s="488">
        <f>'TB-Pharmaceuticals'!$R70+'TB-Pharmaceuticals'!$Y70+'TB-Pharmaceuticals'!$AF70</f>
        <v>0</v>
      </c>
      <c r="AI70" s="1032">
        <f>'TB-Pharmaceuticals'!$S70+'TB-Pharmaceuticals'!$Z70+'TB-Pharmaceuticals'!$AG70</f>
        <v>0</v>
      </c>
      <c r="AJ70" s="489" t="str">
        <f t="shared" si="22"/>
        <v/>
      </c>
      <c r="AK70" s="1248"/>
    </row>
    <row r="71" spans="1:37">
      <c r="A71" s="2412"/>
      <c r="B71" s="2109"/>
      <c r="C71" s="2109"/>
      <c r="D71" s="2412"/>
      <c r="E71" s="2109"/>
      <c r="F71" s="2109"/>
      <c r="G71" s="2412"/>
      <c r="H71" s="2109"/>
      <c r="I71" s="2109"/>
      <c r="J71" s="2413"/>
      <c r="K71" s="225" t="str">
        <f t="shared" si="20"/>
        <v/>
      </c>
      <c r="L71" s="226" t="str">
        <f t="shared" si="21"/>
        <v/>
      </c>
      <c r="M71" s="1021"/>
      <c r="N71" s="1037"/>
      <c r="O71" s="1037"/>
      <c r="P71" s="1037"/>
      <c r="Q71" s="1037"/>
      <c r="R71" s="484">
        <f>SUM('TB-Pharmaceuticals'!$N71:$Q71)</f>
        <v>0</v>
      </c>
      <c r="S71" s="1026">
        <f>'TB-Pharmaceuticals'!$M71*'TB-Pharmaceuticals'!$R71</f>
        <v>0</v>
      </c>
      <c r="T71" s="1021"/>
      <c r="U71" s="1037"/>
      <c r="V71" s="1037"/>
      <c r="W71" s="1037"/>
      <c r="X71" s="1037"/>
      <c r="Y71" s="484">
        <f>SUM('TB-Pharmaceuticals'!$U71:$X71)</f>
        <v>0</v>
      </c>
      <c r="Z71" s="1031">
        <f>'TB-Pharmaceuticals'!$T71*'TB-Pharmaceuticals'!$Y71</f>
        <v>0</v>
      </c>
      <c r="AA71" s="1021"/>
      <c r="AB71" s="1037"/>
      <c r="AC71" s="1037"/>
      <c r="AD71" s="1037"/>
      <c r="AE71" s="1037"/>
      <c r="AF71" s="484">
        <f>SUM('TB-Pharmaceuticals'!$AB71:$AE71)</f>
        <v>0</v>
      </c>
      <c r="AG71" s="1031">
        <f>'TB-Pharmaceuticals'!$AA71*'TB-Pharmaceuticals'!$AF71</f>
        <v>0</v>
      </c>
      <c r="AH71" s="485">
        <f>'TB-Pharmaceuticals'!$R71+'TB-Pharmaceuticals'!$Y71+'TB-Pharmaceuticals'!$AF71</f>
        <v>0</v>
      </c>
      <c r="AI71" s="1031">
        <f>'TB-Pharmaceuticals'!$S71+'TB-Pharmaceuticals'!$Z71+'TB-Pharmaceuticals'!$AG71</f>
        <v>0</v>
      </c>
      <c r="AJ71" s="486" t="str">
        <f t="shared" si="22"/>
        <v/>
      </c>
      <c r="AK71" s="1247"/>
    </row>
    <row r="72" spans="1:37">
      <c r="A72" s="2406"/>
      <c r="B72" s="2407"/>
      <c r="C72" s="2407"/>
      <c r="D72" s="2406"/>
      <c r="E72" s="2407"/>
      <c r="F72" s="2407"/>
      <c r="G72" s="2406"/>
      <c r="H72" s="2407"/>
      <c r="I72" s="2407"/>
      <c r="J72" s="2408"/>
      <c r="K72" s="224" t="str">
        <f t="shared" si="20"/>
        <v/>
      </c>
      <c r="L72" s="224" t="str">
        <f t="shared" si="21"/>
        <v/>
      </c>
      <c r="M72" s="1022"/>
      <c r="N72" s="1038"/>
      <c r="O72" s="1038"/>
      <c r="P72" s="1038"/>
      <c r="Q72" s="1038"/>
      <c r="R72" s="487">
        <f>SUM('TB-Pharmaceuticals'!$N72:$Q72)</f>
        <v>0</v>
      </c>
      <c r="S72" s="1027">
        <f>'TB-Pharmaceuticals'!$M72*'TB-Pharmaceuticals'!$R72</f>
        <v>0</v>
      </c>
      <c r="T72" s="1022"/>
      <c r="U72" s="1038"/>
      <c r="V72" s="1038"/>
      <c r="W72" s="1038"/>
      <c r="X72" s="1038"/>
      <c r="Y72" s="487">
        <f>SUM('TB-Pharmaceuticals'!$U72:$X72)</f>
        <v>0</v>
      </c>
      <c r="Z72" s="1032">
        <f>'TB-Pharmaceuticals'!$T72*'TB-Pharmaceuticals'!$Y72</f>
        <v>0</v>
      </c>
      <c r="AA72" s="1022"/>
      <c r="AB72" s="1038"/>
      <c r="AC72" s="1038"/>
      <c r="AD72" s="1038"/>
      <c r="AE72" s="1038"/>
      <c r="AF72" s="487">
        <f>SUM('TB-Pharmaceuticals'!$AB72:$AE72)</f>
        <v>0</v>
      </c>
      <c r="AG72" s="1032">
        <f>'TB-Pharmaceuticals'!$AA72*'TB-Pharmaceuticals'!$AF72</f>
        <v>0</v>
      </c>
      <c r="AH72" s="488">
        <f>'TB-Pharmaceuticals'!$R72+'TB-Pharmaceuticals'!$Y72+'TB-Pharmaceuticals'!$AF72</f>
        <v>0</v>
      </c>
      <c r="AI72" s="1032">
        <f>'TB-Pharmaceuticals'!$S72+'TB-Pharmaceuticals'!$Z72+'TB-Pharmaceuticals'!$AG72</f>
        <v>0</v>
      </c>
      <c r="AJ72" s="489" t="str">
        <f t="shared" si="22"/>
        <v/>
      </c>
      <c r="AK72" s="1248"/>
    </row>
    <row r="73" spans="1:37">
      <c r="A73" s="2412"/>
      <c r="B73" s="2109"/>
      <c r="C73" s="2109"/>
      <c r="D73" s="2412"/>
      <c r="E73" s="2109"/>
      <c r="F73" s="2109"/>
      <c r="G73" s="2412"/>
      <c r="H73" s="2109"/>
      <c r="I73" s="2109"/>
      <c r="J73" s="2413"/>
      <c r="K73" s="225" t="str">
        <f t="shared" si="20"/>
        <v/>
      </c>
      <c r="L73" s="226" t="str">
        <f t="shared" si="21"/>
        <v/>
      </c>
      <c r="M73" s="1021"/>
      <c r="N73" s="1037"/>
      <c r="O73" s="1037"/>
      <c r="P73" s="1037"/>
      <c r="Q73" s="1037"/>
      <c r="R73" s="484">
        <f>SUM('TB-Pharmaceuticals'!$N73:$Q73)</f>
        <v>0</v>
      </c>
      <c r="S73" s="1026">
        <f>'TB-Pharmaceuticals'!$M73*'TB-Pharmaceuticals'!$R73</f>
        <v>0</v>
      </c>
      <c r="T73" s="1021"/>
      <c r="U73" s="1037"/>
      <c r="V73" s="1037"/>
      <c r="W73" s="1037"/>
      <c r="X73" s="1037"/>
      <c r="Y73" s="484">
        <f>SUM('TB-Pharmaceuticals'!$U73:$X73)</f>
        <v>0</v>
      </c>
      <c r="Z73" s="1031">
        <f>'TB-Pharmaceuticals'!$T73*'TB-Pharmaceuticals'!$Y73</f>
        <v>0</v>
      </c>
      <c r="AA73" s="1021"/>
      <c r="AB73" s="1037"/>
      <c r="AC73" s="1037"/>
      <c r="AD73" s="1037"/>
      <c r="AE73" s="1037"/>
      <c r="AF73" s="484">
        <f>SUM('TB-Pharmaceuticals'!$AB73:$AE73)</f>
        <v>0</v>
      </c>
      <c r="AG73" s="1031">
        <f>'TB-Pharmaceuticals'!$AA73*'TB-Pharmaceuticals'!$AF73</f>
        <v>0</v>
      </c>
      <c r="AH73" s="485">
        <f>'TB-Pharmaceuticals'!$R73+'TB-Pharmaceuticals'!$Y73+'TB-Pharmaceuticals'!$AF73</f>
        <v>0</v>
      </c>
      <c r="AI73" s="1031">
        <f>'TB-Pharmaceuticals'!$S73+'TB-Pharmaceuticals'!$Z73+'TB-Pharmaceuticals'!$AG73</f>
        <v>0</v>
      </c>
      <c r="AJ73" s="486" t="str">
        <f t="shared" si="22"/>
        <v/>
      </c>
      <c r="AK73" s="1247"/>
    </row>
    <row r="74" spans="1:37">
      <c r="A74" s="2406"/>
      <c r="B74" s="2407"/>
      <c r="C74" s="2407"/>
      <c r="D74" s="2406"/>
      <c r="E74" s="2407"/>
      <c r="F74" s="2407"/>
      <c r="G74" s="2406"/>
      <c r="H74" s="2407"/>
      <c r="I74" s="2407"/>
      <c r="J74" s="2408"/>
      <c r="K74" s="224" t="str">
        <f t="shared" si="20"/>
        <v/>
      </c>
      <c r="L74" s="224" t="str">
        <f t="shared" si="21"/>
        <v/>
      </c>
      <c r="M74" s="1022"/>
      <c r="N74" s="1038"/>
      <c r="O74" s="1038"/>
      <c r="P74" s="1038"/>
      <c r="Q74" s="1038"/>
      <c r="R74" s="487">
        <f>SUM('TB-Pharmaceuticals'!$N74:$Q74)</f>
        <v>0</v>
      </c>
      <c r="S74" s="1027">
        <f>'TB-Pharmaceuticals'!$M74*'TB-Pharmaceuticals'!$R74</f>
        <v>0</v>
      </c>
      <c r="T74" s="1022"/>
      <c r="U74" s="1038"/>
      <c r="V74" s="1038"/>
      <c r="W74" s="1038"/>
      <c r="X74" s="1038"/>
      <c r="Y74" s="487">
        <f>SUM('TB-Pharmaceuticals'!$U74:$X74)</f>
        <v>0</v>
      </c>
      <c r="Z74" s="1032">
        <f>'TB-Pharmaceuticals'!$T74*'TB-Pharmaceuticals'!$Y74</f>
        <v>0</v>
      </c>
      <c r="AA74" s="1022"/>
      <c r="AB74" s="1038"/>
      <c r="AC74" s="1038"/>
      <c r="AD74" s="1038"/>
      <c r="AE74" s="1038"/>
      <c r="AF74" s="487">
        <f>SUM('TB-Pharmaceuticals'!$AB74:$AE74)</f>
        <v>0</v>
      </c>
      <c r="AG74" s="1032">
        <f>'TB-Pharmaceuticals'!$AA74*'TB-Pharmaceuticals'!$AF74</f>
        <v>0</v>
      </c>
      <c r="AH74" s="488">
        <f>'TB-Pharmaceuticals'!$R74+'TB-Pharmaceuticals'!$Y74+'TB-Pharmaceuticals'!$AF74</f>
        <v>0</v>
      </c>
      <c r="AI74" s="1032">
        <f>'TB-Pharmaceuticals'!$S74+'TB-Pharmaceuticals'!$Z74+'TB-Pharmaceuticals'!$AG74</f>
        <v>0</v>
      </c>
      <c r="AJ74" s="490" t="str">
        <f t="shared" si="22"/>
        <v/>
      </c>
      <c r="AK74" s="1249"/>
    </row>
    <row r="75" spans="1:37">
      <c r="A75" s="2412"/>
      <c r="B75" s="2109"/>
      <c r="C75" s="2109"/>
      <c r="D75" s="2412"/>
      <c r="E75" s="2109"/>
      <c r="F75" s="2109"/>
      <c r="G75" s="2412"/>
      <c r="H75" s="2109"/>
      <c r="I75" s="2109"/>
      <c r="J75" s="2413"/>
      <c r="K75" s="225" t="str">
        <f t="shared" si="20"/>
        <v/>
      </c>
      <c r="L75" s="226" t="str">
        <f t="shared" si="21"/>
        <v/>
      </c>
      <c r="M75" s="1021"/>
      <c r="N75" s="1037"/>
      <c r="O75" s="1037"/>
      <c r="P75" s="1037"/>
      <c r="Q75" s="1037"/>
      <c r="R75" s="484">
        <f>SUM('TB-Pharmaceuticals'!$N75:$Q75)</f>
        <v>0</v>
      </c>
      <c r="S75" s="1026">
        <f>'TB-Pharmaceuticals'!$M75*'TB-Pharmaceuticals'!$R75</f>
        <v>0</v>
      </c>
      <c r="T75" s="1021"/>
      <c r="U75" s="1037"/>
      <c r="V75" s="1037"/>
      <c r="W75" s="1037"/>
      <c r="X75" s="1037"/>
      <c r="Y75" s="484">
        <f>SUM('TB-Pharmaceuticals'!$U75:$X75)</f>
        <v>0</v>
      </c>
      <c r="Z75" s="1031">
        <f>'TB-Pharmaceuticals'!$T75*'TB-Pharmaceuticals'!$Y75</f>
        <v>0</v>
      </c>
      <c r="AA75" s="1021"/>
      <c r="AB75" s="1037"/>
      <c r="AC75" s="1037"/>
      <c r="AD75" s="1037"/>
      <c r="AE75" s="1037"/>
      <c r="AF75" s="484">
        <f>SUM('TB-Pharmaceuticals'!$AB75:$AE75)</f>
        <v>0</v>
      </c>
      <c r="AG75" s="1031">
        <f>'TB-Pharmaceuticals'!$AA75*'TB-Pharmaceuticals'!$AF75</f>
        <v>0</v>
      </c>
      <c r="AH75" s="485">
        <f>'TB-Pharmaceuticals'!$R75+'TB-Pharmaceuticals'!$Y75+'TB-Pharmaceuticals'!$AF75</f>
        <v>0</v>
      </c>
      <c r="AI75" s="1031">
        <f>'TB-Pharmaceuticals'!$S75+'TB-Pharmaceuticals'!$Z75+'TB-Pharmaceuticals'!$AG75</f>
        <v>0</v>
      </c>
      <c r="AJ75" s="491" t="str">
        <f t="shared" si="22"/>
        <v/>
      </c>
      <c r="AK75" s="1250"/>
    </row>
    <row r="76" spans="1:37">
      <c r="A76" s="2406"/>
      <c r="B76" s="2407"/>
      <c r="C76" s="2407"/>
      <c r="D76" s="2406"/>
      <c r="E76" s="2407"/>
      <c r="F76" s="2407"/>
      <c r="G76" s="2406"/>
      <c r="H76" s="2407"/>
      <c r="I76" s="2407"/>
      <c r="J76" s="2408"/>
      <c r="K76" s="224" t="str">
        <f t="shared" si="20"/>
        <v/>
      </c>
      <c r="L76" s="224" t="str">
        <f t="shared" ref="L76:L102" si="23">IF(K76="", "","USD")</f>
        <v/>
      </c>
      <c r="M76" s="1022"/>
      <c r="N76" s="1038"/>
      <c r="O76" s="1038"/>
      <c r="P76" s="1038"/>
      <c r="Q76" s="1038"/>
      <c r="R76" s="487">
        <f>SUM('TB-Pharmaceuticals'!$N76:$Q76)</f>
        <v>0</v>
      </c>
      <c r="S76" s="1027">
        <f>'TB-Pharmaceuticals'!$M76*'TB-Pharmaceuticals'!$R76</f>
        <v>0</v>
      </c>
      <c r="T76" s="1022"/>
      <c r="U76" s="1038"/>
      <c r="V76" s="1038"/>
      <c r="W76" s="1038"/>
      <c r="X76" s="1038"/>
      <c r="Y76" s="487">
        <f>SUM('TB-Pharmaceuticals'!$U76:$X76)</f>
        <v>0</v>
      </c>
      <c r="Z76" s="1032">
        <f>'TB-Pharmaceuticals'!$T76*'TB-Pharmaceuticals'!$Y76</f>
        <v>0</v>
      </c>
      <c r="AA76" s="1022"/>
      <c r="AB76" s="1038"/>
      <c r="AC76" s="1038"/>
      <c r="AD76" s="1038"/>
      <c r="AE76" s="1038"/>
      <c r="AF76" s="487">
        <f>SUM('TB-Pharmaceuticals'!$AB76:$AE76)</f>
        <v>0</v>
      </c>
      <c r="AG76" s="1032">
        <f>'TB-Pharmaceuticals'!$AA76*'TB-Pharmaceuticals'!$AF76</f>
        <v>0</v>
      </c>
      <c r="AH76" s="488">
        <f>'TB-Pharmaceuticals'!$R76+'TB-Pharmaceuticals'!$Y76+'TB-Pharmaceuticals'!$AF76</f>
        <v>0</v>
      </c>
      <c r="AI76" s="1032">
        <f>'TB-Pharmaceuticals'!$S76+'TB-Pharmaceuticals'!$Z76+'TB-Pharmaceuticals'!$AG76</f>
        <v>0</v>
      </c>
      <c r="AJ76" s="490" t="str">
        <f t="shared" ref="AJ76:AJ103" si="24">IF(D76="","", IF(ISNUMBER(SEARCH("water",D76)),"4.7","4.2"))</f>
        <v/>
      </c>
      <c r="AK76" s="1249"/>
    </row>
    <row r="77" spans="1:37" hidden="1">
      <c r="A77" s="2412"/>
      <c r="B77" s="2109"/>
      <c r="C77" s="2109"/>
      <c r="D77" s="2412"/>
      <c r="E77" s="2109"/>
      <c r="F77" s="2109"/>
      <c r="G77" s="2412"/>
      <c r="H77" s="2109"/>
      <c r="I77" s="2109"/>
      <c r="J77" s="2413"/>
      <c r="K77" s="225" t="str">
        <f t="shared" si="20"/>
        <v/>
      </c>
      <c r="L77" s="226" t="str">
        <f t="shared" si="23"/>
        <v/>
      </c>
      <c r="M77" s="1021"/>
      <c r="N77" s="1037"/>
      <c r="O77" s="1037"/>
      <c r="P77" s="1037"/>
      <c r="Q77" s="1037"/>
      <c r="R77" s="484">
        <f>SUM('TB-Pharmaceuticals'!$N77:$Q77)</f>
        <v>0</v>
      </c>
      <c r="S77" s="1026">
        <f>'TB-Pharmaceuticals'!$M77*'TB-Pharmaceuticals'!$R77</f>
        <v>0</v>
      </c>
      <c r="T77" s="1021"/>
      <c r="U77" s="1037"/>
      <c r="V77" s="1037"/>
      <c r="W77" s="1037"/>
      <c r="X77" s="1037"/>
      <c r="Y77" s="484">
        <f>SUM('TB-Pharmaceuticals'!$U77:$X77)</f>
        <v>0</v>
      </c>
      <c r="Z77" s="1031">
        <f>'TB-Pharmaceuticals'!$T77*'TB-Pharmaceuticals'!$Y77</f>
        <v>0</v>
      </c>
      <c r="AA77" s="1021"/>
      <c r="AB77" s="1037"/>
      <c r="AC77" s="1037"/>
      <c r="AD77" s="1037"/>
      <c r="AE77" s="1037"/>
      <c r="AF77" s="484">
        <f>SUM('TB-Pharmaceuticals'!$AB77:$AE77)</f>
        <v>0</v>
      </c>
      <c r="AG77" s="1031">
        <f>'TB-Pharmaceuticals'!$AA77*'TB-Pharmaceuticals'!$AF77</f>
        <v>0</v>
      </c>
      <c r="AH77" s="485">
        <f>'TB-Pharmaceuticals'!$R77+'TB-Pharmaceuticals'!$Y77+'TB-Pharmaceuticals'!$AF77</f>
        <v>0</v>
      </c>
      <c r="AI77" s="1031">
        <f>'TB-Pharmaceuticals'!$S77+'TB-Pharmaceuticals'!$Z77+'TB-Pharmaceuticals'!$AG77</f>
        <v>0</v>
      </c>
      <c r="AJ77" s="491" t="str">
        <f t="shared" si="24"/>
        <v/>
      </c>
      <c r="AK77" s="1250"/>
    </row>
    <row r="78" spans="1:37" hidden="1">
      <c r="A78" s="2406"/>
      <c r="B78" s="2407"/>
      <c r="C78" s="2407"/>
      <c r="D78" s="2406"/>
      <c r="E78" s="2407"/>
      <c r="F78" s="2407"/>
      <c r="G78" s="2406"/>
      <c r="H78" s="2407"/>
      <c r="I78" s="2407"/>
      <c r="J78" s="2408"/>
      <c r="K78" s="224" t="str">
        <f t="shared" si="20"/>
        <v/>
      </c>
      <c r="L78" s="224" t="str">
        <f t="shared" si="23"/>
        <v/>
      </c>
      <c r="M78" s="1022"/>
      <c r="N78" s="1038"/>
      <c r="O78" s="1038"/>
      <c r="P78" s="1038"/>
      <c r="Q78" s="1038"/>
      <c r="R78" s="487">
        <f>SUM('TB-Pharmaceuticals'!$N78:$Q78)</f>
        <v>0</v>
      </c>
      <c r="S78" s="1027">
        <f>'TB-Pharmaceuticals'!$M78*'TB-Pharmaceuticals'!$R78</f>
        <v>0</v>
      </c>
      <c r="T78" s="1022"/>
      <c r="U78" s="1038"/>
      <c r="V78" s="1038"/>
      <c r="W78" s="1038"/>
      <c r="X78" s="1038"/>
      <c r="Y78" s="487">
        <f>SUM('TB-Pharmaceuticals'!$U78:$X78)</f>
        <v>0</v>
      </c>
      <c r="Z78" s="1032">
        <f>'TB-Pharmaceuticals'!$T78*'TB-Pharmaceuticals'!$Y78</f>
        <v>0</v>
      </c>
      <c r="AA78" s="1022"/>
      <c r="AB78" s="1038"/>
      <c r="AC78" s="1038"/>
      <c r="AD78" s="1038"/>
      <c r="AE78" s="1038"/>
      <c r="AF78" s="487">
        <f>SUM('TB-Pharmaceuticals'!$AB78:$AE78)</f>
        <v>0</v>
      </c>
      <c r="AG78" s="1032">
        <f>'TB-Pharmaceuticals'!$AA78*'TB-Pharmaceuticals'!$AF78</f>
        <v>0</v>
      </c>
      <c r="AH78" s="488">
        <f>'TB-Pharmaceuticals'!$R78+'TB-Pharmaceuticals'!$Y78+'TB-Pharmaceuticals'!$AF78</f>
        <v>0</v>
      </c>
      <c r="AI78" s="1032">
        <f>'TB-Pharmaceuticals'!$S78+'TB-Pharmaceuticals'!$Z78+'TB-Pharmaceuticals'!$AG78</f>
        <v>0</v>
      </c>
      <c r="AJ78" s="490" t="str">
        <f t="shared" si="24"/>
        <v/>
      </c>
      <c r="AK78" s="1249"/>
    </row>
    <row r="79" spans="1:37" hidden="1">
      <c r="A79" s="2412"/>
      <c r="B79" s="2109"/>
      <c r="C79" s="2109"/>
      <c r="D79" s="2412"/>
      <c r="E79" s="2109"/>
      <c r="F79" s="2109"/>
      <c r="G79" s="2412"/>
      <c r="H79" s="2109"/>
      <c r="I79" s="2109"/>
      <c r="J79" s="2413"/>
      <c r="K79" s="225" t="str">
        <f t="shared" si="20"/>
        <v/>
      </c>
      <c r="L79" s="226" t="str">
        <f t="shared" si="23"/>
        <v/>
      </c>
      <c r="M79" s="1021"/>
      <c r="N79" s="1037"/>
      <c r="O79" s="1037"/>
      <c r="P79" s="1037"/>
      <c r="Q79" s="1037"/>
      <c r="R79" s="484">
        <f>SUM('TB-Pharmaceuticals'!$N79:$Q79)</f>
        <v>0</v>
      </c>
      <c r="S79" s="1026">
        <f>'TB-Pharmaceuticals'!$M79*'TB-Pharmaceuticals'!$R79</f>
        <v>0</v>
      </c>
      <c r="T79" s="1021"/>
      <c r="U79" s="1037"/>
      <c r="V79" s="1037"/>
      <c r="W79" s="1037"/>
      <c r="X79" s="1037"/>
      <c r="Y79" s="484">
        <f>SUM('TB-Pharmaceuticals'!$U79:$X79)</f>
        <v>0</v>
      </c>
      <c r="Z79" s="1031">
        <f>'TB-Pharmaceuticals'!$T79*'TB-Pharmaceuticals'!$Y79</f>
        <v>0</v>
      </c>
      <c r="AA79" s="1021"/>
      <c r="AB79" s="1037"/>
      <c r="AC79" s="1037"/>
      <c r="AD79" s="1037"/>
      <c r="AE79" s="1037"/>
      <c r="AF79" s="484">
        <f>SUM('TB-Pharmaceuticals'!$AB79:$AE79)</f>
        <v>0</v>
      </c>
      <c r="AG79" s="1031">
        <f>'TB-Pharmaceuticals'!$AA79*'TB-Pharmaceuticals'!$AF79</f>
        <v>0</v>
      </c>
      <c r="AH79" s="485">
        <f>'TB-Pharmaceuticals'!$R79+'TB-Pharmaceuticals'!$Y79+'TB-Pharmaceuticals'!$AF79</f>
        <v>0</v>
      </c>
      <c r="AI79" s="1031">
        <f>'TB-Pharmaceuticals'!$S79+'TB-Pharmaceuticals'!$Z79+'TB-Pharmaceuticals'!$AG79</f>
        <v>0</v>
      </c>
      <c r="AJ79" s="491" t="str">
        <f t="shared" si="24"/>
        <v/>
      </c>
      <c r="AK79" s="1250"/>
    </row>
    <row r="80" spans="1:37" hidden="1">
      <c r="A80" s="2406"/>
      <c r="B80" s="2407"/>
      <c r="C80" s="2407"/>
      <c r="D80" s="2406"/>
      <c r="E80" s="2407"/>
      <c r="F80" s="2407"/>
      <c r="G80" s="2406"/>
      <c r="H80" s="2407"/>
      <c r="I80" s="2407"/>
      <c r="J80" s="2408"/>
      <c r="K80" s="224" t="str">
        <f t="shared" si="20"/>
        <v/>
      </c>
      <c r="L80" s="224" t="str">
        <f t="shared" si="23"/>
        <v/>
      </c>
      <c r="M80" s="1022"/>
      <c r="N80" s="1038"/>
      <c r="O80" s="1038"/>
      <c r="P80" s="1038"/>
      <c r="Q80" s="1038"/>
      <c r="R80" s="487">
        <f>SUM('TB-Pharmaceuticals'!$N80:$Q80)</f>
        <v>0</v>
      </c>
      <c r="S80" s="1027">
        <f>'TB-Pharmaceuticals'!$M80*'TB-Pharmaceuticals'!$R80</f>
        <v>0</v>
      </c>
      <c r="T80" s="1022"/>
      <c r="U80" s="1038"/>
      <c r="V80" s="1038"/>
      <c r="W80" s="1038"/>
      <c r="X80" s="1038"/>
      <c r="Y80" s="487">
        <f>SUM('TB-Pharmaceuticals'!$U80:$X80)</f>
        <v>0</v>
      </c>
      <c r="Z80" s="1032">
        <f>'TB-Pharmaceuticals'!$T80*'TB-Pharmaceuticals'!$Y80</f>
        <v>0</v>
      </c>
      <c r="AA80" s="1022"/>
      <c r="AB80" s="1038"/>
      <c r="AC80" s="1038"/>
      <c r="AD80" s="1038"/>
      <c r="AE80" s="1038"/>
      <c r="AF80" s="487">
        <f>SUM('TB-Pharmaceuticals'!$AB80:$AE80)</f>
        <v>0</v>
      </c>
      <c r="AG80" s="1032">
        <f>'TB-Pharmaceuticals'!$AA80*'TB-Pharmaceuticals'!$AF80</f>
        <v>0</v>
      </c>
      <c r="AH80" s="488">
        <f>'TB-Pharmaceuticals'!$R80+'TB-Pharmaceuticals'!$Y80+'TB-Pharmaceuticals'!$AF80</f>
        <v>0</v>
      </c>
      <c r="AI80" s="1032">
        <f>'TB-Pharmaceuticals'!$S80+'TB-Pharmaceuticals'!$Z80+'TB-Pharmaceuticals'!$AG80</f>
        <v>0</v>
      </c>
      <c r="AJ80" s="490" t="str">
        <f t="shared" si="24"/>
        <v/>
      </c>
      <c r="AK80" s="1249"/>
    </row>
    <row r="81" spans="1:37" hidden="1">
      <c r="A81" s="2412"/>
      <c r="B81" s="2109"/>
      <c r="C81" s="2109"/>
      <c r="D81" s="2412"/>
      <c r="E81" s="2109"/>
      <c r="F81" s="2109"/>
      <c r="G81" s="2412"/>
      <c r="H81" s="2109"/>
      <c r="I81" s="2109"/>
      <c r="J81" s="2413"/>
      <c r="K81" s="225" t="str">
        <f t="shared" si="20"/>
        <v/>
      </c>
      <c r="L81" s="226" t="str">
        <f t="shared" si="23"/>
        <v/>
      </c>
      <c r="M81" s="1021"/>
      <c r="N81" s="1037"/>
      <c r="O81" s="1037"/>
      <c r="P81" s="1037"/>
      <c r="Q81" s="1037"/>
      <c r="R81" s="484">
        <f>SUM('TB-Pharmaceuticals'!$N81:$Q81)</f>
        <v>0</v>
      </c>
      <c r="S81" s="1026">
        <f>'TB-Pharmaceuticals'!$M81*'TB-Pharmaceuticals'!$R81</f>
        <v>0</v>
      </c>
      <c r="T81" s="1021"/>
      <c r="U81" s="1037"/>
      <c r="V81" s="1037"/>
      <c r="W81" s="1037"/>
      <c r="X81" s="1037"/>
      <c r="Y81" s="484">
        <f>SUM('TB-Pharmaceuticals'!$U81:$X81)</f>
        <v>0</v>
      </c>
      <c r="Z81" s="1031">
        <f>'TB-Pharmaceuticals'!$T81*'TB-Pharmaceuticals'!$Y81</f>
        <v>0</v>
      </c>
      <c r="AA81" s="1021"/>
      <c r="AB81" s="1037"/>
      <c r="AC81" s="1037"/>
      <c r="AD81" s="1037"/>
      <c r="AE81" s="1037"/>
      <c r="AF81" s="484">
        <f>SUM('TB-Pharmaceuticals'!$AB81:$AE81)</f>
        <v>0</v>
      </c>
      <c r="AG81" s="1031">
        <f>'TB-Pharmaceuticals'!$AA81*'TB-Pharmaceuticals'!$AF81</f>
        <v>0</v>
      </c>
      <c r="AH81" s="485">
        <f>'TB-Pharmaceuticals'!$R81+'TB-Pharmaceuticals'!$Y81+'TB-Pharmaceuticals'!$AF81</f>
        <v>0</v>
      </c>
      <c r="AI81" s="1031">
        <f>'TB-Pharmaceuticals'!$S81+'TB-Pharmaceuticals'!$Z81+'TB-Pharmaceuticals'!$AG81</f>
        <v>0</v>
      </c>
      <c r="AJ81" s="491" t="str">
        <f t="shared" si="24"/>
        <v/>
      </c>
      <c r="AK81" s="1250"/>
    </row>
    <row r="82" spans="1:37" hidden="1">
      <c r="A82" s="2406"/>
      <c r="B82" s="2407"/>
      <c r="C82" s="2407"/>
      <c r="D82" s="2406"/>
      <c r="E82" s="2407"/>
      <c r="F82" s="2407"/>
      <c r="G82" s="2406"/>
      <c r="H82" s="2407"/>
      <c r="I82" s="2407"/>
      <c r="J82" s="2408"/>
      <c r="K82" s="224" t="str">
        <f t="shared" si="20"/>
        <v/>
      </c>
      <c r="L82" s="224" t="str">
        <f t="shared" si="23"/>
        <v/>
      </c>
      <c r="M82" s="1022"/>
      <c r="N82" s="1038"/>
      <c r="O82" s="1038"/>
      <c r="P82" s="1038"/>
      <c r="Q82" s="1038"/>
      <c r="R82" s="487">
        <f>SUM('TB-Pharmaceuticals'!$N82:$Q82)</f>
        <v>0</v>
      </c>
      <c r="S82" s="1027">
        <f>'TB-Pharmaceuticals'!$M82*'TB-Pharmaceuticals'!$R82</f>
        <v>0</v>
      </c>
      <c r="T82" s="1022"/>
      <c r="U82" s="1038"/>
      <c r="V82" s="1038"/>
      <c r="W82" s="1038"/>
      <c r="X82" s="1038"/>
      <c r="Y82" s="487">
        <f>SUM('TB-Pharmaceuticals'!$U82:$X82)</f>
        <v>0</v>
      </c>
      <c r="Z82" s="1032">
        <f>'TB-Pharmaceuticals'!$T82*'TB-Pharmaceuticals'!$Y82</f>
        <v>0</v>
      </c>
      <c r="AA82" s="1022"/>
      <c r="AB82" s="1038"/>
      <c r="AC82" s="1038"/>
      <c r="AD82" s="1038"/>
      <c r="AE82" s="1038"/>
      <c r="AF82" s="487">
        <f>SUM('TB-Pharmaceuticals'!$AB82:$AE82)</f>
        <v>0</v>
      </c>
      <c r="AG82" s="1032">
        <f>'TB-Pharmaceuticals'!$AA82*'TB-Pharmaceuticals'!$AF82</f>
        <v>0</v>
      </c>
      <c r="AH82" s="488">
        <f>'TB-Pharmaceuticals'!$R82+'TB-Pharmaceuticals'!$Y82+'TB-Pharmaceuticals'!$AF82</f>
        <v>0</v>
      </c>
      <c r="AI82" s="1032">
        <f>'TB-Pharmaceuticals'!$S82+'TB-Pharmaceuticals'!$Z82+'TB-Pharmaceuticals'!$AG82</f>
        <v>0</v>
      </c>
      <c r="AJ82" s="490" t="str">
        <f t="shared" si="24"/>
        <v/>
      </c>
      <c r="AK82" s="1249"/>
    </row>
    <row r="83" spans="1:37" hidden="1">
      <c r="A83" s="2412"/>
      <c r="B83" s="2109"/>
      <c r="C83" s="2109"/>
      <c r="D83" s="2412"/>
      <c r="E83" s="2109"/>
      <c r="F83" s="2109"/>
      <c r="G83" s="2412"/>
      <c r="H83" s="2109"/>
      <c r="I83" s="2109"/>
      <c r="J83" s="2413"/>
      <c r="K83" s="225" t="str">
        <f t="shared" si="20"/>
        <v/>
      </c>
      <c r="L83" s="226" t="str">
        <f t="shared" si="23"/>
        <v/>
      </c>
      <c r="M83" s="1021"/>
      <c r="N83" s="1037"/>
      <c r="O83" s="1037"/>
      <c r="P83" s="1037"/>
      <c r="Q83" s="1037"/>
      <c r="R83" s="484">
        <f>SUM('TB-Pharmaceuticals'!$N83:$Q83)</f>
        <v>0</v>
      </c>
      <c r="S83" s="1026">
        <f>'TB-Pharmaceuticals'!$M83*'TB-Pharmaceuticals'!$R83</f>
        <v>0</v>
      </c>
      <c r="T83" s="1021"/>
      <c r="U83" s="1037"/>
      <c r="V83" s="1037"/>
      <c r="W83" s="1037"/>
      <c r="X83" s="1037"/>
      <c r="Y83" s="484">
        <f>SUM('TB-Pharmaceuticals'!$U83:$X83)</f>
        <v>0</v>
      </c>
      <c r="Z83" s="1031">
        <f>'TB-Pharmaceuticals'!$T83*'TB-Pharmaceuticals'!$Y83</f>
        <v>0</v>
      </c>
      <c r="AA83" s="1021"/>
      <c r="AB83" s="1037"/>
      <c r="AC83" s="1037"/>
      <c r="AD83" s="1037"/>
      <c r="AE83" s="1037"/>
      <c r="AF83" s="484">
        <f>SUM('TB-Pharmaceuticals'!$AB83:$AE83)</f>
        <v>0</v>
      </c>
      <c r="AG83" s="1031">
        <f>'TB-Pharmaceuticals'!$AA83*'TB-Pharmaceuticals'!$AF83</f>
        <v>0</v>
      </c>
      <c r="AH83" s="485">
        <f>'TB-Pharmaceuticals'!$R83+'TB-Pharmaceuticals'!$Y83+'TB-Pharmaceuticals'!$AF83</f>
        <v>0</v>
      </c>
      <c r="AI83" s="1031">
        <f>'TB-Pharmaceuticals'!$S83+'TB-Pharmaceuticals'!$Z83+'TB-Pharmaceuticals'!$AG83</f>
        <v>0</v>
      </c>
      <c r="AJ83" s="491" t="str">
        <f t="shared" si="24"/>
        <v/>
      </c>
      <c r="AK83" s="1250"/>
    </row>
    <row r="84" spans="1:37" hidden="1">
      <c r="A84" s="2406"/>
      <c r="B84" s="2407"/>
      <c r="C84" s="2407"/>
      <c r="D84" s="2406"/>
      <c r="E84" s="2407"/>
      <c r="F84" s="2407"/>
      <c r="G84" s="2406"/>
      <c r="H84" s="2407"/>
      <c r="I84" s="2407"/>
      <c r="J84" s="2408"/>
      <c r="K84" s="224" t="str">
        <f t="shared" si="20"/>
        <v/>
      </c>
      <c r="L84" s="224" t="str">
        <f t="shared" si="23"/>
        <v/>
      </c>
      <c r="M84" s="1022"/>
      <c r="N84" s="1038"/>
      <c r="O84" s="1038"/>
      <c r="P84" s="1038"/>
      <c r="Q84" s="1038"/>
      <c r="R84" s="487">
        <f>SUM('TB-Pharmaceuticals'!$N84:$Q84)</f>
        <v>0</v>
      </c>
      <c r="S84" s="1027">
        <f>'TB-Pharmaceuticals'!$M84*'TB-Pharmaceuticals'!$R84</f>
        <v>0</v>
      </c>
      <c r="T84" s="1022"/>
      <c r="U84" s="1038"/>
      <c r="V84" s="1038"/>
      <c r="W84" s="1038"/>
      <c r="X84" s="1038"/>
      <c r="Y84" s="487">
        <f>SUM('TB-Pharmaceuticals'!$U84:$X84)</f>
        <v>0</v>
      </c>
      <c r="Z84" s="1032">
        <f>'TB-Pharmaceuticals'!$T84*'TB-Pharmaceuticals'!$Y84</f>
        <v>0</v>
      </c>
      <c r="AA84" s="1022"/>
      <c r="AB84" s="1038"/>
      <c r="AC84" s="1038"/>
      <c r="AD84" s="1038"/>
      <c r="AE84" s="1038"/>
      <c r="AF84" s="487">
        <f>SUM('TB-Pharmaceuticals'!$AB84:$AE84)</f>
        <v>0</v>
      </c>
      <c r="AG84" s="1032">
        <f>'TB-Pharmaceuticals'!$AA84*'TB-Pharmaceuticals'!$AF84</f>
        <v>0</v>
      </c>
      <c r="AH84" s="488">
        <f>'TB-Pharmaceuticals'!$R84+'TB-Pharmaceuticals'!$Y84+'TB-Pharmaceuticals'!$AF84</f>
        <v>0</v>
      </c>
      <c r="AI84" s="1032">
        <f>'TB-Pharmaceuticals'!$S84+'TB-Pharmaceuticals'!$Z84+'TB-Pharmaceuticals'!$AG84</f>
        <v>0</v>
      </c>
      <c r="AJ84" s="490" t="str">
        <f t="shared" si="24"/>
        <v/>
      </c>
      <c r="AK84" s="1249"/>
    </row>
    <row r="85" spans="1:37" hidden="1">
      <c r="A85" s="2412"/>
      <c r="B85" s="2109"/>
      <c r="C85" s="2109"/>
      <c r="D85" s="2412"/>
      <c r="E85" s="2109"/>
      <c r="F85" s="2109"/>
      <c r="G85" s="2412"/>
      <c r="H85" s="2109"/>
      <c r="I85" s="2109"/>
      <c r="J85" s="2413"/>
      <c r="K85" s="225" t="str">
        <f t="shared" si="20"/>
        <v/>
      </c>
      <c r="L85" s="226" t="str">
        <f t="shared" si="23"/>
        <v/>
      </c>
      <c r="M85" s="1021"/>
      <c r="N85" s="1037"/>
      <c r="O85" s="1037"/>
      <c r="P85" s="1037"/>
      <c r="Q85" s="1037"/>
      <c r="R85" s="484">
        <f>SUM('TB-Pharmaceuticals'!$N85:$Q85)</f>
        <v>0</v>
      </c>
      <c r="S85" s="1026">
        <f>'TB-Pharmaceuticals'!$M85*'TB-Pharmaceuticals'!$R85</f>
        <v>0</v>
      </c>
      <c r="T85" s="1021"/>
      <c r="U85" s="1037"/>
      <c r="V85" s="1037"/>
      <c r="W85" s="1037"/>
      <c r="X85" s="1037"/>
      <c r="Y85" s="484">
        <f>SUM('TB-Pharmaceuticals'!$U85:$X85)</f>
        <v>0</v>
      </c>
      <c r="Z85" s="1031">
        <f>'TB-Pharmaceuticals'!$T85*'TB-Pharmaceuticals'!$Y85</f>
        <v>0</v>
      </c>
      <c r="AA85" s="1021"/>
      <c r="AB85" s="1037"/>
      <c r="AC85" s="1037"/>
      <c r="AD85" s="1037"/>
      <c r="AE85" s="1037"/>
      <c r="AF85" s="484">
        <f>SUM('TB-Pharmaceuticals'!$AB85:$AE85)</f>
        <v>0</v>
      </c>
      <c r="AG85" s="1031">
        <f>'TB-Pharmaceuticals'!$AA85*'TB-Pharmaceuticals'!$AF85</f>
        <v>0</v>
      </c>
      <c r="AH85" s="485">
        <f>'TB-Pharmaceuticals'!$R85+'TB-Pharmaceuticals'!$Y85+'TB-Pharmaceuticals'!$AF85</f>
        <v>0</v>
      </c>
      <c r="AI85" s="1031">
        <f>'TB-Pharmaceuticals'!$S85+'TB-Pharmaceuticals'!$Z85+'TB-Pharmaceuticals'!$AG85</f>
        <v>0</v>
      </c>
      <c r="AJ85" s="491" t="str">
        <f t="shared" si="24"/>
        <v/>
      </c>
      <c r="AK85" s="1250"/>
    </row>
    <row r="86" spans="1:37" hidden="1">
      <c r="A86" s="2406"/>
      <c r="B86" s="2407"/>
      <c r="C86" s="2407"/>
      <c r="D86" s="2406"/>
      <c r="E86" s="2407"/>
      <c r="F86" s="2407"/>
      <c r="G86" s="2406"/>
      <c r="H86" s="2407"/>
      <c r="I86" s="2407"/>
      <c r="J86" s="2408"/>
      <c r="K86" s="224" t="str">
        <f t="shared" si="20"/>
        <v/>
      </c>
      <c r="L86" s="224" t="str">
        <f t="shared" si="23"/>
        <v/>
      </c>
      <c r="M86" s="1022"/>
      <c r="N86" s="1038"/>
      <c r="O86" s="1038"/>
      <c r="P86" s="1038"/>
      <c r="Q86" s="1038"/>
      <c r="R86" s="487">
        <f>SUM('TB-Pharmaceuticals'!$N86:$Q86)</f>
        <v>0</v>
      </c>
      <c r="S86" s="1027">
        <f>'TB-Pharmaceuticals'!$M86*'TB-Pharmaceuticals'!$R86</f>
        <v>0</v>
      </c>
      <c r="T86" s="1022"/>
      <c r="U86" s="1038"/>
      <c r="V86" s="1038"/>
      <c r="W86" s="1038"/>
      <c r="X86" s="1038"/>
      <c r="Y86" s="487">
        <f>SUM('TB-Pharmaceuticals'!$U86:$X86)</f>
        <v>0</v>
      </c>
      <c r="Z86" s="1032">
        <f>'TB-Pharmaceuticals'!$T86*'TB-Pharmaceuticals'!$Y86</f>
        <v>0</v>
      </c>
      <c r="AA86" s="1022"/>
      <c r="AB86" s="1038"/>
      <c r="AC86" s="1038"/>
      <c r="AD86" s="1038"/>
      <c r="AE86" s="1038"/>
      <c r="AF86" s="487">
        <f>SUM('TB-Pharmaceuticals'!$AB86:$AE86)</f>
        <v>0</v>
      </c>
      <c r="AG86" s="1032">
        <f>'TB-Pharmaceuticals'!$AA86*'TB-Pharmaceuticals'!$AF86</f>
        <v>0</v>
      </c>
      <c r="AH86" s="488">
        <f>'TB-Pharmaceuticals'!$R86+'TB-Pharmaceuticals'!$Y86+'TB-Pharmaceuticals'!$AF86</f>
        <v>0</v>
      </c>
      <c r="AI86" s="1032">
        <f>'TB-Pharmaceuticals'!$S86+'TB-Pharmaceuticals'!$Z86+'TB-Pharmaceuticals'!$AG86</f>
        <v>0</v>
      </c>
      <c r="AJ86" s="490" t="str">
        <f t="shared" si="24"/>
        <v/>
      </c>
      <c r="AK86" s="1249"/>
    </row>
    <row r="87" spans="1:37" hidden="1">
      <c r="A87" s="2412"/>
      <c r="B87" s="2109"/>
      <c r="C87" s="2109"/>
      <c r="D87" s="2412"/>
      <c r="E87" s="2109"/>
      <c r="F87" s="2109"/>
      <c r="G87" s="2412"/>
      <c r="H87" s="2109"/>
      <c r="I87" s="2109"/>
      <c r="J87" s="2413"/>
      <c r="K87" s="225" t="str">
        <f t="shared" si="20"/>
        <v/>
      </c>
      <c r="L87" s="226" t="str">
        <f t="shared" si="23"/>
        <v/>
      </c>
      <c r="M87" s="1021"/>
      <c r="N87" s="1037"/>
      <c r="O87" s="1037"/>
      <c r="P87" s="1037"/>
      <c r="Q87" s="1037"/>
      <c r="R87" s="484">
        <f>SUM('TB-Pharmaceuticals'!$N87:$Q87)</f>
        <v>0</v>
      </c>
      <c r="S87" s="1026">
        <f>'TB-Pharmaceuticals'!$M87*'TB-Pharmaceuticals'!$R87</f>
        <v>0</v>
      </c>
      <c r="T87" s="1021"/>
      <c r="U87" s="1037"/>
      <c r="V87" s="1037"/>
      <c r="W87" s="1037"/>
      <c r="X87" s="1037"/>
      <c r="Y87" s="484">
        <f>SUM('TB-Pharmaceuticals'!$U87:$X87)</f>
        <v>0</v>
      </c>
      <c r="Z87" s="1031">
        <f>'TB-Pharmaceuticals'!$T87*'TB-Pharmaceuticals'!$Y87</f>
        <v>0</v>
      </c>
      <c r="AA87" s="1021"/>
      <c r="AB87" s="1037"/>
      <c r="AC87" s="1037"/>
      <c r="AD87" s="1037"/>
      <c r="AE87" s="1037"/>
      <c r="AF87" s="484">
        <f>SUM('TB-Pharmaceuticals'!$AB87:$AE87)</f>
        <v>0</v>
      </c>
      <c r="AG87" s="1031">
        <f>'TB-Pharmaceuticals'!$AA87*'TB-Pharmaceuticals'!$AF87</f>
        <v>0</v>
      </c>
      <c r="AH87" s="485">
        <f>'TB-Pharmaceuticals'!$R87+'TB-Pharmaceuticals'!$Y87+'TB-Pharmaceuticals'!$AF87</f>
        <v>0</v>
      </c>
      <c r="AI87" s="1031">
        <f>'TB-Pharmaceuticals'!$S87+'TB-Pharmaceuticals'!$Z87+'TB-Pharmaceuticals'!$AG87</f>
        <v>0</v>
      </c>
      <c r="AJ87" s="491" t="str">
        <f t="shared" si="24"/>
        <v/>
      </c>
      <c r="AK87" s="1250"/>
    </row>
    <row r="88" spans="1:37" hidden="1">
      <c r="A88" s="2406"/>
      <c r="B88" s="2407"/>
      <c r="C88" s="2407"/>
      <c r="D88" s="2406"/>
      <c r="E88" s="2407"/>
      <c r="F88" s="2407"/>
      <c r="G88" s="2406"/>
      <c r="H88" s="2407"/>
      <c r="I88" s="2407"/>
      <c r="J88" s="2408"/>
      <c r="K88" s="224" t="str">
        <f t="shared" si="20"/>
        <v/>
      </c>
      <c r="L88" s="224" t="str">
        <f t="shared" si="23"/>
        <v/>
      </c>
      <c r="M88" s="1022"/>
      <c r="N88" s="1038"/>
      <c r="O88" s="1038"/>
      <c r="P88" s="1038"/>
      <c r="Q88" s="1038"/>
      <c r="R88" s="487">
        <f>SUM('TB-Pharmaceuticals'!$N88:$Q88)</f>
        <v>0</v>
      </c>
      <c r="S88" s="1027">
        <f>'TB-Pharmaceuticals'!$M88*'TB-Pharmaceuticals'!$R88</f>
        <v>0</v>
      </c>
      <c r="T88" s="1022"/>
      <c r="U88" s="1038"/>
      <c r="V88" s="1038"/>
      <c r="W88" s="1038"/>
      <c r="X88" s="1038"/>
      <c r="Y88" s="487">
        <f>SUM('TB-Pharmaceuticals'!$U88:$X88)</f>
        <v>0</v>
      </c>
      <c r="Z88" s="1032">
        <f>'TB-Pharmaceuticals'!$T88*'TB-Pharmaceuticals'!$Y88</f>
        <v>0</v>
      </c>
      <c r="AA88" s="1022"/>
      <c r="AB88" s="1038"/>
      <c r="AC88" s="1038"/>
      <c r="AD88" s="1038"/>
      <c r="AE88" s="1038"/>
      <c r="AF88" s="487">
        <f>SUM('TB-Pharmaceuticals'!$AB88:$AE88)</f>
        <v>0</v>
      </c>
      <c r="AG88" s="1032">
        <f>'TB-Pharmaceuticals'!$AA88*'TB-Pharmaceuticals'!$AF88</f>
        <v>0</v>
      </c>
      <c r="AH88" s="488">
        <f>'TB-Pharmaceuticals'!$R88+'TB-Pharmaceuticals'!$Y88+'TB-Pharmaceuticals'!$AF88</f>
        <v>0</v>
      </c>
      <c r="AI88" s="1032">
        <f>'TB-Pharmaceuticals'!$S88+'TB-Pharmaceuticals'!$Z88+'TB-Pharmaceuticals'!$AG88</f>
        <v>0</v>
      </c>
      <c r="AJ88" s="490" t="str">
        <f t="shared" si="24"/>
        <v/>
      </c>
      <c r="AK88" s="1249"/>
    </row>
    <row r="89" spans="1:37" hidden="1">
      <c r="A89" s="2412"/>
      <c r="B89" s="2109"/>
      <c r="C89" s="2109"/>
      <c r="D89" s="2412"/>
      <c r="E89" s="2109"/>
      <c r="F89" s="2109"/>
      <c r="G89" s="2412"/>
      <c r="H89" s="2109"/>
      <c r="I89" s="2109"/>
      <c r="J89" s="2413"/>
      <c r="K89" s="225" t="str">
        <f t="shared" si="20"/>
        <v/>
      </c>
      <c r="L89" s="226" t="str">
        <f t="shared" si="23"/>
        <v/>
      </c>
      <c r="M89" s="1021"/>
      <c r="N89" s="1037"/>
      <c r="O89" s="1037"/>
      <c r="P89" s="1037"/>
      <c r="Q89" s="1037"/>
      <c r="R89" s="484">
        <f>SUM('TB-Pharmaceuticals'!$N89:$Q89)</f>
        <v>0</v>
      </c>
      <c r="S89" s="1026">
        <f>'TB-Pharmaceuticals'!$M89*'TB-Pharmaceuticals'!$R89</f>
        <v>0</v>
      </c>
      <c r="T89" s="1021"/>
      <c r="U89" s="1037"/>
      <c r="V89" s="1037"/>
      <c r="W89" s="1037"/>
      <c r="X89" s="1037"/>
      <c r="Y89" s="484">
        <f>SUM('TB-Pharmaceuticals'!$U89:$X89)</f>
        <v>0</v>
      </c>
      <c r="Z89" s="1031">
        <f>'TB-Pharmaceuticals'!$T89*'TB-Pharmaceuticals'!$Y89</f>
        <v>0</v>
      </c>
      <c r="AA89" s="1021"/>
      <c r="AB89" s="1037"/>
      <c r="AC89" s="1037"/>
      <c r="AD89" s="1037"/>
      <c r="AE89" s="1037"/>
      <c r="AF89" s="484">
        <f>SUM('TB-Pharmaceuticals'!$AB89:$AE89)</f>
        <v>0</v>
      </c>
      <c r="AG89" s="1031">
        <f>'TB-Pharmaceuticals'!$AA89*'TB-Pharmaceuticals'!$AF89</f>
        <v>0</v>
      </c>
      <c r="AH89" s="485">
        <f>'TB-Pharmaceuticals'!$R89+'TB-Pharmaceuticals'!$Y89+'TB-Pharmaceuticals'!$AF89</f>
        <v>0</v>
      </c>
      <c r="AI89" s="1031">
        <f>'TB-Pharmaceuticals'!$S89+'TB-Pharmaceuticals'!$Z89+'TB-Pharmaceuticals'!$AG89</f>
        <v>0</v>
      </c>
      <c r="AJ89" s="491" t="str">
        <f t="shared" si="24"/>
        <v/>
      </c>
      <c r="AK89" s="1250"/>
    </row>
    <row r="90" spans="1:37" hidden="1">
      <c r="A90" s="2406"/>
      <c r="B90" s="2407"/>
      <c r="C90" s="2407"/>
      <c r="D90" s="2406"/>
      <c r="E90" s="2407"/>
      <c r="F90" s="2407"/>
      <c r="G90" s="2406"/>
      <c r="H90" s="2407"/>
      <c r="I90" s="2407"/>
      <c r="J90" s="2408"/>
      <c r="K90" s="224" t="str">
        <f t="shared" si="20"/>
        <v/>
      </c>
      <c r="L90" s="224" t="str">
        <f t="shared" si="23"/>
        <v/>
      </c>
      <c r="M90" s="1022"/>
      <c r="N90" s="1038"/>
      <c r="O90" s="1038"/>
      <c r="P90" s="1038"/>
      <c r="Q90" s="1038"/>
      <c r="R90" s="487">
        <f>SUM('TB-Pharmaceuticals'!$N90:$Q90)</f>
        <v>0</v>
      </c>
      <c r="S90" s="1027">
        <f>'TB-Pharmaceuticals'!$M90*'TB-Pharmaceuticals'!$R90</f>
        <v>0</v>
      </c>
      <c r="T90" s="1022"/>
      <c r="U90" s="1038"/>
      <c r="V90" s="1038"/>
      <c r="W90" s="1038"/>
      <c r="X90" s="1038"/>
      <c r="Y90" s="487">
        <f>SUM('TB-Pharmaceuticals'!$U90:$X90)</f>
        <v>0</v>
      </c>
      <c r="Z90" s="1032">
        <f>'TB-Pharmaceuticals'!$T90*'TB-Pharmaceuticals'!$Y90</f>
        <v>0</v>
      </c>
      <c r="AA90" s="1022"/>
      <c r="AB90" s="1038"/>
      <c r="AC90" s="1038"/>
      <c r="AD90" s="1038"/>
      <c r="AE90" s="1038"/>
      <c r="AF90" s="487">
        <f>SUM('TB-Pharmaceuticals'!$AB90:$AE90)</f>
        <v>0</v>
      </c>
      <c r="AG90" s="1032">
        <f>'TB-Pharmaceuticals'!$AA90*'TB-Pharmaceuticals'!$AF90</f>
        <v>0</v>
      </c>
      <c r="AH90" s="488">
        <f>'TB-Pharmaceuticals'!$R90+'TB-Pharmaceuticals'!$Y90+'TB-Pharmaceuticals'!$AF90</f>
        <v>0</v>
      </c>
      <c r="AI90" s="1032">
        <f>'TB-Pharmaceuticals'!$S90+'TB-Pharmaceuticals'!$Z90+'TB-Pharmaceuticals'!$AG90</f>
        <v>0</v>
      </c>
      <c r="AJ90" s="490" t="str">
        <f t="shared" si="24"/>
        <v/>
      </c>
      <c r="AK90" s="1249"/>
    </row>
    <row r="91" spans="1:37" hidden="1">
      <c r="A91" s="2412"/>
      <c r="B91" s="2109"/>
      <c r="C91" s="2109"/>
      <c r="D91" s="2412"/>
      <c r="E91" s="2109"/>
      <c r="F91" s="2109"/>
      <c r="G91" s="2412"/>
      <c r="H91" s="2109"/>
      <c r="I91" s="2109"/>
      <c r="J91" s="2413"/>
      <c r="K91" s="225" t="str">
        <f t="shared" si="20"/>
        <v/>
      </c>
      <c r="L91" s="226" t="str">
        <f t="shared" si="23"/>
        <v/>
      </c>
      <c r="M91" s="1021"/>
      <c r="N91" s="1037"/>
      <c r="O91" s="1037"/>
      <c r="P91" s="1037"/>
      <c r="Q91" s="1037"/>
      <c r="R91" s="484">
        <f>SUM('TB-Pharmaceuticals'!$N91:$Q91)</f>
        <v>0</v>
      </c>
      <c r="S91" s="1026">
        <f>'TB-Pharmaceuticals'!$M91*'TB-Pharmaceuticals'!$R91</f>
        <v>0</v>
      </c>
      <c r="T91" s="1021"/>
      <c r="U91" s="1037"/>
      <c r="V91" s="1037"/>
      <c r="W91" s="1037"/>
      <c r="X91" s="1037"/>
      <c r="Y91" s="484">
        <f>SUM('TB-Pharmaceuticals'!$U91:$X91)</f>
        <v>0</v>
      </c>
      <c r="Z91" s="1031">
        <f>'TB-Pharmaceuticals'!$T91*'TB-Pharmaceuticals'!$Y91</f>
        <v>0</v>
      </c>
      <c r="AA91" s="1021"/>
      <c r="AB91" s="1037"/>
      <c r="AC91" s="1037"/>
      <c r="AD91" s="1037"/>
      <c r="AE91" s="1037"/>
      <c r="AF91" s="484">
        <f>SUM('TB-Pharmaceuticals'!$AB91:$AE91)</f>
        <v>0</v>
      </c>
      <c r="AG91" s="1031">
        <f>'TB-Pharmaceuticals'!$AA91*'TB-Pharmaceuticals'!$AF91</f>
        <v>0</v>
      </c>
      <c r="AH91" s="485">
        <f>'TB-Pharmaceuticals'!$R91+'TB-Pharmaceuticals'!$Y91+'TB-Pharmaceuticals'!$AF91</f>
        <v>0</v>
      </c>
      <c r="AI91" s="1031">
        <f>'TB-Pharmaceuticals'!$S91+'TB-Pharmaceuticals'!$Z91+'TB-Pharmaceuticals'!$AG91</f>
        <v>0</v>
      </c>
      <c r="AJ91" s="491" t="str">
        <f t="shared" si="24"/>
        <v/>
      </c>
      <c r="AK91" s="1250"/>
    </row>
    <row r="92" spans="1:37" hidden="1">
      <c r="A92" s="2406"/>
      <c r="B92" s="2407"/>
      <c r="C92" s="2407"/>
      <c r="D92" s="2406"/>
      <c r="E92" s="2407"/>
      <c r="F92" s="2407"/>
      <c r="G92" s="2406"/>
      <c r="H92" s="2407"/>
      <c r="I92" s="2407"/>
      <c r="J92" s="2408"/>
      <c r="K92" s="224" t="str">
        <f t="shared" si="20"/>
        <v/>
      </c>
      <c r="L92" s="224" t="str">
        <f t="shared" si="23"/>
        <v/>
      </c>
      <c r="M92" s="1022"/>
      <c r="N92" s="1038"/>
      <c r="O92" s="1038"/>
      <c r="P92" s="1038"/>
      <c r="Q92" s="1038"/>
      <c r="R92" s="487">
        <f>SUM('TB-Pharmaceuticals'!$N92:$Q92)</f>
        <v>0</v>
      </c>
      <c r="S92" s="1027">
        <f>'TB-Pharmaceuticals'!$M92*'TB-Pharmaceuticals'!$R92</f>
        <v>0</v>
      </c>
      <c r="T92" s="1022"/>
      <c r="U92" s="1038"/>
      <c r="V92" s="1038"/>
      <c r="W92" s="1038"/>
      <c r="X92" s="1038"/>
      <c r="Y92" s="487">
        <f>SUM('TB-Pharmaceuticals'!$U92:$X92)</f>
        <v>0</v>
      </c>
      <c r="Z92" s="1032">
        <f>'TB-Pharmaceuticals'!$T92*'TB-Pharmaceuticals'!$Y92</f>
        <v>0</v>
      </c>
      <c r="AA92" s="1022"/>
      <c r="AB92" s="1038"/>
      <c r="AC92" s="1038"/>
      <c r="AD92" s="1038"/>
      <c r="AE92" s="1038"/>
      <c r="AF92" s="487">
        <f>SUM('TB-Pharmaceuticals'!$AB92:$AE92)</f>
        <v>0</v>
      </c>
      <c r="AG92" s="1032">
        <f>'TB-Pharmaceuticals'!$AA92*'TB-Pharmaceuticals'!$AF92</f>
        <v>0</v>
      </c>
      <c r="AH92" s="488">
        <f>'TB-Pharmaceuticals'!$R92+'TB-Pharmaceuticals'!$Y92+'TB-Pharmaceuticals'!$AF92</f>
        <v>0</v>
      </c>
      <c r="AI92" s="1032">
        <f>'TB-Pharmaceuticals'!$S92+'TB-Pharmaceuticals'!$Z92+'TB-Pharmaceuticals'!$AG92</f>
        <v>0</v>
      </c>
      <c r="AJ92" s="490" t="str">
        <f t="shared" si="24"/>
        <v/>
      </c>
      <c r="AK92" s="1249"/>
    </row>
    <row r="93" spans="1:37" hidden="1">
      <c r="A93" s="2412"/>
      <c r="B93" s="2109"/>
      <c r="C93" s="2109"/>
      <c r="D93" s="2412"/>
      <c r="E93" s="2109"/>
      <c r="F93" s="2109"/>
      <c r="G93" s="2412"/>
      <c r="H93" s="2109"/>
      <c r="I93" s="2109"/>
      <c r="J93" s="2413"/>
      <c r="K93" s="225" t="str">
        <f t="shared" si="20"/>
        <v/>
      </c>
      <c r="L93" s="226" t="str">
        <f t="shared" si="23"/>
        <v/>
      </c>
      <c r="M93" s="1021"/>
      <c r="N93" s="1037"/>
      <c r="O93" s="1037"/>
      <c r="P93" s="1037"/>
      <c r="Q93" s="1037"/>
      <c r="R93" s="484">
        <f>SUM('TB-Pharmaceuticals'!$N93:$Q93)</f>
        <v>0</v>
      </c>
      <c r="S93" s="1026">
        <f>'TB-Pharmaceuticals'!$M93*'TB-Pharmaceuticals'!$R93</f>
        <v>0</v>
      </c>
      <c r="T93" s="1021"/>
      <c r="U93" s="1037"/>
      <c r="V93" s="1037"/>
      <c r="W93" s="1037"/>
      <c r="X93" s="1037"/>
      <c r="Y93" s="484">
        <f>SUM('TB-Pharmaceuticals'!$U93:$X93)</f>
        <v>0</v>
      </c>
      <c r="Z93" s="1031">
        <f>'TB-Pharmaceuticals'!$T93*'TB-Pharmaceuticals'!$Y93</f>
        <v>0</v>
      </c>
      <c r="AA93" s="1021"/>
      <c r="AB93" s="1037"/>
      <c r="AC93" s="1037"/>
      <c r="AD93" s="1037"/>
      <c r="AE93" s="1037"/>
      <c r="AF93" s="484">
        <f>SUM('TB-Pharmaceuticals'!$AB93:$AE93)</f>
        <v>0</v>
      </c>
      <c r="AG93" s="1031">
        <f>'TB-Pharmaceuticals'!$AA93*'TB-Pharmaceuticals'!$AF93</f>
        <v>0</v>
      </c>
      <c r="AH93" s="485">
        <f>'TB-Pharmaceuticals'!$R93+'TB-Pharmaceuticals'!$Y93+'TB-Pharmaceuticals'!$AF93</f>
        <v>0</v>
      </c>
      <c r="AI93" s="1031">
        <f>'TB-Pharmaceuticals'!$S93+'TB-Pharmaceuticals'!$Z93+'TB-Pharmaceuticals'!$AG93</f>
        <v>0</v>
      </c>
      <c r="AJ93" s="491" t="str">
        <f t="shared" si="24"/>
        <v/>
      </c>
      <c r="AK93" s="1250"/>
    </row>
    <row r="94" spans="1:37" hidden="1">
      <c r="A94" s="2406"/>
      <c r="B94" s="2407"/>
      <c r="C94" s="2407"/>
      <c r="D94" s="2406"/>
      <c r="E94" s="2407"/>
      <c r="F94" s="2407"/>
      <c r="G94" s="2406"/>
      <c r="H94" s="2407"/>
      <c r="I94" s="2407"/>
      <c r="J94" s="2408"/>
      <c r="K94" s="224" t="str">
        <f t="shared" si="20"/>
        <v/>
      </c>
      <c r="L94" s="224" t="str">
        <f t="shared" si="23"/>
        <v/>
      </c>
      <c r="M94" s="1022"/>
      <c r="N94" s="1038"/>
      <c r="O94" s="1038"/>
      <c r="P94" s="1038"/>
      <c r="Q94" s="1038"/>
      <c r="R94" s="487">
        <f>SUM('TB-Pharmaceuticals'!$N94:$Q94)</f>
        <v>0</v>
      </c>
      <c r="S94" s="1027">
        <f>'TB-Pharmaceuticals'!$M94*'TB-Pharmaceuticals'!$R94</f>
        <v>0</v>
      </c>
      <c r="T94" s="1022"/>
      <c r="U94" s="1038"/>
      <c r="V94" s="1038"/>
      <c r="W94" s="1038"/>
      <c r="X94" s="1038"/>
      <c r="Y94" s="487">
        <f>SUM('TB-Pharmaceuticals'!$U94:$X94)</f>
        <v>0</v>
      </c>
      <c r="Z94" s="1032">
        <f>'TB-Pharmaceuticals'!$T94*'TB-Pharmaceuticals'!$Y94</f>
        <v>0</v>
      </c>
      <c r="AA94" s="1022"/>
      <c r="AB94" s="1038"/>
      <c r="AC94" s="1038"/>
      <c r="AD94" s="1038"/>
      <c r="AE94" s="1038"/>
      <c r="AF94" s="487">
        <f>SUM('TB-Pharmaceuticals'!$AB94:$AE94)</f>
        <v>0</v>
      </c>
      <c r="AG94" s="1032">
        <f>'TB-Pharmaceuticals'!$AA94*'TB-Pharmaceuticals'!$AF94</f>
        <v>0</v>
      </c>
      <c r="AH94" s="488">
        <f>'TB-Pharmaceuticals'!$R94+'TB-Pharmaceuticals'!$Y94+'TB-Pharmaceuticals'!$AF94</f>
        <v>0</v>
      </c>
      <c r="AI94" s="1032">
        <f>'TB-Pharmaceuticals'!$S94+'TB-Pharmaceuticals'!$Z94+'TB-Pharmaceuticals'!$AG94</f>
        <v>0</v>
      </c>
      <c r="AJ94" s="490" t="str">
        <f t="shared" si="24"/>
        <v/>
      </c>
      <c r="AK94" s="1249"/>
    </row>
    <row r="95" spans="1:37" hidden="1">
      <c r="A95" s="2412"/>
      <c r="B95" s="2109"/>
      <c r="C95" s="2109"/>
      <c r="D95" s="2412"/>
      <c r="E95" s="2109"/>
      <c r="F95" s="2109"/>
      <c r="G95" s="2412"/>
      <c r="H95" s="2109"/>
      <c r="I95" s="2109"/>
      <c r="J95" s="2413"/>
      <c r="K95" s="225" t="str">
        <f t="shared" si="20"/>
        <v/>
      </c>
      <c r="L95" s="226" t="str">
        <f t="shared" si="23"/>
        <v/>
      </c>
      <c r="M95" s="1021"/>
      <c r="N95" s="1037"/>
      <c r="O95" s="1037"/>
      <c r="P95" s="1037"/>
      <c r="Q95" s="1037"/>
      <c r="R95" s="484">
        <f>SUM('TB-Pharmaceuticals'!$N95:$Q95)</f>
        <v>0</v>
      </c>
      <c r="S95" s="1026">
        <f>'TB-Pharmaceuticals'!$M95*'TB-Pharmaceuticals'!$R95</f>
        <v>0</v>
      </c>
      <c r="T95" s="1021"/>
      <c r="U95" s="1037"/>
      <c r="V95" s="1037"/>
      <c r="W95" s="1037"/>
      <c r="X95" s="1037"/>
      <c r="Y95" s="484">
        <f>SUM('TB-Pharmaceuticals'!$U95:$X95)</f>
        <v>0</v>
      </c>
      <c r="Z95" s="1031">
        <f>'TB-Pharmaceuticals'!$T95*'TB-Pharmaceuticals'!$Y95</f>
        <v>0</v>
      </c>
      <c r="AA95" s="1021"/>
      <c r="AB95" s="1037"/>
      <c r="AC95" s="1037"/>
      <c r="AD95" s="1037"/>
      <c r="AE95" s="1037"/>
      <c r="AF95" s="484">
        <f>SUM('TB-Pharmaceuticals'!$AB95:$AE95)</f>
        <v>0</v>
      </c>
      <c r="AG95" s="1031">
        <f>'TB-Pharmaceuticals'!$AA95*'TB-Pharmaceuticals'!$AF95</f>
        <v>0</v>
      </c>
      <c r="AH95" s="485">
        <f>'TB-Pharmaceuticals'!$R95+'TB-Pharmaceuticals'!$Y95+'TB-Pharmaceuticals'!$AF95</f>
        <v>0</v>
      </c>
      <c r="AI95" s="1031">
        <f>'TB-Pharmaceuticals'!$S95+'TB-Pharmaceuticals'!$Z95+'TB-Pharmaceuticals'!$AG95</f>
        <v>0</v>
      </c>
      <c r="AJ95" s="491" t="str">
        <f t="shared" si="24"/>
        <v/>
      </c>
      <c r="AK95" s="1250"/>
    </row>
    <row r="96" spans="1:37" hidden="1">
      <c r="A96" s="2406"/>
      <c r="B96" s="2407"/>
      <c r="C96" s="2407"/>
      <c r="D96" s="2406"/>
      <c r="E96" s="2407"/>
      <c r="F96" s="2407"/>
      <c r="G96" s="2406"/>
      <c r="H96" s="2407"/>
      <c r="I96" s="2407"/>
      <c r="J96" s="2408"/>
      <c r="K96" s="224" t="str">
        <f t="shared" si="20"/>
        <v/>
      </c>
      <c r="L96" s="224" t="str">
        <f t="shared" si="23"/>
        <v/>
      </c>
      <c r="M96" s="1022"/>
      <c r="N96" s="1038"/>
      <c r="O96" s="1038"/>
      <c r="P96" s="1038"/>
      <c r="Q96" s="1038"/>
      <c r="R96" s="487">
        <f>SUM('TB-Pharmaceuticals'!$N96:$Q96)</f>
        <v>0</v>
      </c>
      <c r="S96" s="1027">
        <f>'TB-Pharmaceuticals'!$M96*'TB-Pharmaceuticals'!$R96</f>
        <v>0</v>
      </c>
      <c r="T96" s="1022"/>
      <c r="U96" s="1038"/>
      <c r="V96" s="1038"/>
      <c r="W96" s="1038"/>
      <c r="X96" s="1038"/>
      <c r="Y96" s="487">
        <f>SUM('TB-Pharmaceuticals'!$U96:$X96)</f>
        <v>0</v>
      </c>
      <c r="Z96" s="1032">
        <f>'TB-Pharmaceuticals'!$T96*'TB-Pharmaceuticals'!$Y96</f>
        <v>0</v>
      </c>
      <c r="AA96" s="1022"/>
      <c r="AB96" s="1038"/>
      <c r="AC96" s="1038"/>
      <c r="AD96" s="1038"/>
      <c r="AE96" s="1038"/>
      <c r="AF96" s="487">
        <f>SUM('TB-Pharmaceuticals'!$AB96:$AE96)</f>
        <v>0</v>
      </c>
      <c r="AG96" s="1032">
        <f>'TB-Pharmaceuticals'!$AA96*'TB-Pharmaceuticals'!$AF96</f>
        <v>0</v>
      </c>
      <c r="AH96" s="488">
        <f>'TB-Pharmaceuticals'!$R96+'TB-Pharmaceuticals'!$Y96+'TB-Pharmaceuticals'!$AF96</f>
        <v>0</v>
      </c>
      <c r="AI96" s="1032">
        <f>'TB-Pharmaceuticals'!$S96+'TB-Pharmaceuticals'!$Z96+'TB-Pharmaceuticals'!$AG96</f>
        <v>0</v>
      </c>
      <c r="AJ96" s="490" t="str">
        <f t="shared" si="24"/>
        <v/>
      </c>
      <c r="AK96" s="1249"/>
    </row>
    <row r="97" spans="1:37" hidden="1">
      <c r="A97" s="2412"/>
      <c r="B97" s="2109"/>
      <c r="C97" s="2109"/>
      <c r="D97" s="2412"/>
      <c r="E97" s="2109"/>
      <c r="F97" s="2109"/>
      <c r="G97" s="2412"/>
      <c r="H97" s="2109"/>
      <c r="I97" s="2109"/>
      <c r="J97" s="2413"/>
      <c r="K97" s="225" t="str">
        <f t="shared" si="20"/>
        <v/>
      </c>
      <c r="L97" s="226" t="str">
        <f t="shared" si="23"/>
        <v/>
      </c>
      <c r="M97" s="1021"/>
      <c r="N97" s="1037"/>
      <c r="O97" s="1037"/>
      <c r="P97" s="1037"/>
      <c r="Q97" s="1037"/>
      <c r="R97" s="484">
        <f>SUM('TB-Pharmaceuticals'!$N97:$Q97)</f>
        <v>0</v>
      </c>
      <c r="S97" s="1026">
        <f>'TB-Pharmaceuticals'!$M97*'TB-Pharmaceuticals'!$R97</f>
        <v>0</v>
      </c>
      <c r="T97" s="1021"/>
      <c r="U97" s="1037"/>
      <c r="V97" s="1037"/>
      <c r="W97" s="1037"/>
      <c r="X97" s="1037"/>
      <c r="Y97" s="484">
        <f>SUM('TB-Pharmaceuticals'!$U97:$X97)</f>
        <v>0</v>
      </c>
      <c r="Z97" s="1031">
        <f>'TB-Pharmaceuticals'!$T97*'TB-Pharmaceuticals'!$Y97</f>
        <v>0</v>
      </c>
      <c r="AA97" s="1021"/>
      <c r="AB97" s="1037"/>
      <c r="AC97" s="1037"/>
      <c r="AD97" s="1037"/>
      <c r="AE97" s="1037"/>
      <c r="AF97" s="484">
        <f>SUM('TB-Pharmaceuticals'!$AB97:$AE97)</f>
        <v>0</v>
      </c>
      <c r="AG97" s="1031">
        <f>'TB-Pharmaceuticals'!$AA97*'TB-Pharmaceuticals'!$AF97</f>
        <v>0</v>
      </c>
      <c r="AH97" s="485">
        <f>'TB-Pharmaceuticals'!$R97+'TB-Pharmaceuticals'!$Y97+'TB-Pharmaceuticals'!$AF97</f>
        <v>0</v>
      </c>
      <c r="AI97" s="1031">
        <f>'TB-Pharmaceuticals'!$S97+'TB-Pharmaceuticals'!$Z97+'TB-Pharmaceuticals'!$AG97</f>
        <v>0</v>
      </c>
      <c r="AJ97" s="491" t="str">
        <f t="shared" si="24"/>
        <v/>
      </c>
      <c r="AK97" s="1250"/>
    </row>
    <row r="98" spans="1:37" hidden="1">
      <c r="A98" s="2406"/>
      <c r="B98" s="2407"/>
      <c r="C98" s="2407"/>
      <c r="D98" s="2406"/>
      <c r="E98" s="2407"/>
      <c r="F98" s="2407"/>
      <c r="G98" s="2406"/>
      <c r="H98" s="2407"/>
      <c r="I98" s="2407"/>
      <c r="J98" s="2408"/>
      <c r="K98" s="224" t="str">
        <f t="shared" si="20"/>
        <v/>
      </c>
      <c r="L98" s="224" t="str">
        <f t="shared" si="23"/>
        <v/>
      </c>
      <c r="M98" s="1022"/>
      <c r="N98" s="1038"/>
      <c r="O98" s="1038"/>
      <c r="P98" s="1038"/>
      <c r="Q98" s="1038"/>
      <c r="R98" s="487">
        <f>SUM('TB-Pharmaceuticals'!$N98:$Q98)</f>
        <v>0</v>
      </c>
      <c r="S98" s="1027">
        <f>'TB-Pharmaceuticals'!$M98*'TB-Pharmaceuticals'!$R98</f>
        <v>0</v>
      </c>
      <c r="T98" s="1022"/>
      <c r="U98" s="1038"/>
      <c r="V98" s="1038"/>
      <c r="W98" s="1038"/>
      <c r="X98" s="1038"/>
      <c r="Y98" s="487">
        <f>SUM('TB-Pharmaceuticals'!$U98:$X98)</f>
        <v>0</v>
      </c>
      <c r="Z98" s="1032">
        <f>'TB-Pharmaceuticals'!$T98*'TB-Pharmaceuticals'!$Y98</f>
        <v>0</v>
      </c>
      <c r="AA98" s="1022"/>
      <c r="AB98" s="1038"/>
      <c r="AC98" s="1038"/>
      <c r="AD98" s="1038"/>
      <c r="AE98" s="1038"/>
      <c r="AF98" s="487">
        <f>SUM('TB-Pharmaceuticals'!$AB98:$AE98)</f>
        <v>0</v>
      </c>
      <c r="AG98" s="1032">
        <f>'TB-Pharmaceuticals'!$AA98*'TB-Pharmaceuticals'!$AF98</f>
        <v>0</v>
      </c>
      <c r="AH98" s="488">
        <f>'TB-Pharmaceuticals'!$R98+'TB-Pharmaceuticals'!$Y98+'TB-Pharmaceuticals'!$AF98</f>
        <v>0</v>
      </c>
      <c r="AI98" s="1032">
        <f>'TB-Pharmaceuticals'!$S98+'TB-Pharmaceuticals'!$Z98+'TB-Pharmaceuticals'!$AG98</f>
        <v>0</v>
      </c>
      <c r="AJ98" s="490" t="str">
        <f t="shared" si="24"/>
        <v/>
      </c>
      <c r="AK98" s="1249"/>
    </row>
    <row r="99" spans="1:37" hidden="1">
      <c r="A99" s="2412"/>
      <c r="B99" s="2109"/>
      <c r="C99" s="2109"/>
      <c r="D99" s="2412"/>
      <c r="E99" s="2109"/>
      <c r="F99" s="2109"/>
      <c r="G99" s="2412"/>
      <c r="H99" s="2109"/>
      <c r="I99" s="2109"/>
      <c r="J99" s="2413"/>
      <c r="K99" s="225" t="str">
        <f t="shared" si="20"/>
        <v/>
      </c>
      <c r="L99" s="226" t="str">
        <f t="shared" si="23"/>
        <v/>
      </c>
      <c r="M99" s="1021"/>
      <c r="N99" s="1037"/>
      <c r="O99" s="1037"/>
      <c r="P99" s="1037"/>
      <c r="Q99" s="1037"/>
      <c r="R99" s="484">
        <f>SUM('TB-Pharmaceuticals'!$N99:$Q99)</f>
        <v>0</v>
      </c>
      <c r="S99" s="1026">
        <f>'TB-Pharmaceuticals'!$M99*'TB-Pharmaceuticals'!$R99</f>
        <v>0</v>
      </c>
      <c r="T99" s="1021"/>
      <c r="U99" s="1037"/>
      <c r="V99" s="1037"/>
      <c r="W99" s="1037"/>
      <c r="X99" s="1037"/>
      <c r="Y99" s="484">
        <f>SUM('TB-Pharmaceuticals'!$U99:$X99)</f>
        <v>0</v>
      </c>
      <c r="Z99" s="1031">
        <f>'TB-Pharmaceuticals'!$T99*'TB-Pharmaceuticals'!$Y99</f>
        <v>0</v>
      </c>
      <c r="AA99" s="1021"/>
      <c r="AB99" s="1037"/>
      <c r="AC99" s="1037"/>
      <c r="AD99" s="1037"/>
      <c r="AE99" s="1037"/>
      <c r="AF99" s="484">
        <f>SUM('TB-Pharmaceuticals'!$AB99:$AE99)</f>
        <v>0</v>
      </c>
      <c r="AG99" s="1031">
        <f>'TB-Pharmaceuticals'!$AA99*'TB-Pharmaceuticals'!$AF99</f>
        <v>0</v>
      </c>
      <c r="AH99" s="485">
        <f>'TB-Pharmaceuticals'!$R99+'TB-Pharmaceuticals'!$Y99+'TB-Pharmaceuticals'!$AF99</f>
        <v>0</v>
      </c>
      <c r="AI99" s="1031">
        <f>'TB-Pharmaceuticals'!$S99+'TB-Pharmaceuticals'!$Z99+'TB-Pharmaceuticals'!$AG99</f>
        <v>0</v>
      </c>
      <c r="AJ99" s="491" t="str">
        <f t="shared" si="24"/>
        <v/>
      </c>
      <c r="AK99" s="1250"/>
    </row>
    <row r="100" spans="1:37" hidden="1">
      <c r="A100" s="2406"/>
      <c r="B100" s="2407"/>
      <c r="C100" s="2407"/>
      <c r="D100" s="2406"/>
      <c r="E100" s="2407"/>
      <c r="F100" s="2407"/>
      <c r="G100" s="2406"/>
      <c r="H100" s="2407"/>
      <c r="I100" s="2407"/>
      <c r="J100" s="2408"/>
      <c r="K100" s="224" t="str">
        <f t="shared" si="20"/>
        <v/>
      </c>
      <c r="L100" s="224" t="str">
        <f t="shared" si="23"/>
        <v/>
      </c>
      <c r="M100" s="1022"/>
      <c r="N100" s="1038"/>
      <c r="O100" s="1038"/>
      <c r="P100" s="1038"/>
      <c r="Q100" s="1038"/>
      <c r="R100" s="487">
        <f>SUM('TB-Pharmaceuticals'!$N100:$Q100)</f>
        <v>0</v>
      </c>
      <c r="S100" s="1027">
        <f>'TB-Pharmaceuticals'!$M100*'TB-Pharmaceuticals'!$R100</f>
        <v>0</v>
      </c>
      <c r="T100" s="1022"/>
      <c r="U100" s="1038"/>
      <c r="V100" s="1038"/>
      <c r="W100" s="1038"/>
      <c r="X100" s="1038"/>
      <c r="Y100" s="487">
        <f>SUM('TB-Pharmaceuticals'!$U100:$X100)</f>
        <v>0</v>
      </c>
      <c r="Z100" s="1032">
        <f>'TB-Pharmaceuticals'!$T100*'TB-Pharmaceuticals'!$Y100</f>
        <v>0</v>
      </c>
      <c r="AA100" s="1022"/>
      <c r="AB100" s="1038"/>
      <c r="AC100" s="1038"/>
      <c r="AD100" s="1038"/>
      <c r="AE100" s="1038"/>
      <c r="AF100" s="487">
        <f>SUM('TB-Pharmaceuticals'!$AB100:$AE100)</f>
        <v>0</v>
      </c>
      <c r="AG100" s="1032">
        <f>'TB-Pharmaceuticals'!$AA100*'TB-Pharmaceuticals'!$AF100</f>
        <v>0</v>
      </c>
      <c r="AH100" s="488">
        <f>'TB-Pharmaceuticals'!$R100+'TB-Pharmaceuticals'!$Y100+'TB-Pharmaceuticals'!$AF100</f>
        <v>0</v>
      </c>
      <c r="AI100" s="1032">
        <f>'TB-Pharmaceuticals'!$S100+'TB-Pharmaceuticals'!$Z100+'TB-Pharmaceuticals'!$AG100</f>
        <v>0</v>
      </c>
      <c r="AJ100" s="490" t="str">
        <f t="shared" si="24"/>
        <v/>
      </c>
      <c r="AK100" s="1249"/>
    </row>
    <row r="101" spans="1:37" hidden="1">
      <c r="A101" s="2412"/>
      <c r="B101" s="2109"/>
      <c r="C101" s="2109"/>
      <c r="D101" s="2412"/>
      <c r="E101" s="2109"/>
      <c r="F101" s="2109"/>
      <c r="G101" s="2412"/>
      <c r="H101" s="2109"/>
      <c r="I101" s="2109"/>
      <c r="J101" s="2413"/>
      <c r="K101" s="225" t="str">
        <f t="shared" si="20"/>
        <v/>
      </c>
      <c r="L101" s="226" t="str">
        <f t="shared" si="23"/>
        <v/>
      </c>
      <c r="M101" s="1021"/>
      <c r="N101" s="1037"/>
      <c r="O101" s="1037"/>
      <c r="P101" s="1037"/>
      <c r="Q101" s="1037"/>
      <c r="R101" s="484">
        <f>SUM('TB-Pharmaceuticals'!$N101:$Q101)</f>
        <v>0</v>
      </c>
      <c r="S101" s="1026">
        <f>'TB-Pharmaceuticals'!$M101*'TB-Pharmaceuticals'!$R101</f>
        <v>0</v>
      </c>
      <c r="T101" s="1021"/>
      <c r="U101" s="1037"/>
      <c r="V101" s="1037"/>
      <c r="W101" s="1037"/>
      <c r="X101" s="1037"/>
      <c r="Y101" s="484">
        <f>SUM('TB-Pharmaceuticals'!$U101:$X101)</f>
        <v>0</v>
      </c>
      <c r="Z101" s="1031">
        <f>'TB-Pharmaceuticals'!$T101*'TB-Pharmaceuticals'!$Y101</f>
        <v>0</v>
      </c>
      <c r="AA101" s="1021"/>
      <c r="AB101" s="1037"/>
      <c r="AC101" s="1037"/>
      <c r="AD101" s="1037"/>
      <c r="AE101" s="1037"/>
      <c r="AF101" s="484">
        <f>SUM('TB-Pharmaceuticals'!$AB101:$AE101)</f>
        <v>0</v>
      </c>
      <c r="AG101" s="1031">
        <f>'TB-Pharmaceuticals'!$AA101*'TB-Pharmaceuticals'!$AF101</f>
        <v>0</v>
      </c>
      <c r="AH101" s="485">
        <f>'TB-Pharmaceuticals'!$R101+'TB-Pharmaceuticals'!$Y101+'TB-Pharmaceuticals'!$AF101</f>
        <v>0</v>
      </c>
      <c r="AI101" s="1031">
        <f>'TB-Pharmaceuticals'!$S101+'TB-Pharmaceuticals'!$Z101+'TB-Pharmaceuticals'!$AG101</f>
        <v>0</v>
      </c>
      <c r="AJ101" s="491" t="str">
        <f t="shared" si="24"/>
        <v/>
      </c>
      <c r="AK101" s="1250"/>
    </row>
    <row r="102" spans="1:37" hidden="1">
      <c r="A102" s="2406"/>
      <c r="B102" s="2407"/>
      <c r="C102" s="2407"/>
      <c r="D102" s="2406"/>
      <c r="E102" s="2407"/>
      <c r="F102" s="2407"/>
      <c r="G102" s="2406"/>
      <c r="H102" s="2407"/>
      <c r="I102" s="2407"/>
      <c r="J102" s="2408"/>
      <c r="K102" s="224" t="str">
        <f>IF(D102="","", IF(ISNUMBER(SEARCH("water",D102)),"Piece",IF(ISNUMBER(SEARCH("Amikacin",D102)),"Piece", IF(AND(ISNUMBER(SEARCH("Capreomycin",D102)),ISNUMBER(SEARCH("1 vial",G102))),"Piece",IF(AND(ISNUMBER(SEARCH("Imipenem/Cilastatin",D102)),ISNUMBER(SEARCH("1 vial",G102))),"Piece",IF(AND(ISNUMBER(SEARCH("Kanamycin",D102)),OR(ISNUMBER(SEARCH("10 amp",#REF!)),ISNUMBER(SEARCH("500mg powder",#REF!)))),"Piece","Pack"))))))</f>
        <v/>
      </c>
      <c r="L102" s="224" t="str">
        <f t="shared" si="23"/>
        <v/>
      </c>
      <c r="M102" s="1022"/>
      <c r="N102" s="1038"/>
      <c r="O102" s="1038"/>
      <c r="P102" s="1038"/>
      <c r="Q102" s="1038"/>
      <c r="R102" s="487">
        <f>SUM('TB-Pharmaceuticals'!$N102:$Q102)</f>
        <v>0</v>
      </c>
      <c r="S102" s="1027">
        <f>'TB-Pharmaceuticals'!$M102*'TB-Pharmaceuticals'!$R102</f>
        <v>0</v>
      </c>
      <c r="T102" s="1022"/>
      <c r="U102" s="1038"/>
      <c r="V102" s="1038"/>
      <c r="W102" s="1038"/>
      <c r="X102" s="1038"/>
      <c r="Y102" s="487">
        <f>SUM('TB-Pharmaceuticals'!$U102:$X102)</f>
        <v>0</v>
      </c>
      <c r="Z102" s="1032">
        <f>'TB-Pharmaceuticals'!$T102*'TB-Pharmaceuticals'!$Y102</f>
        <v>0</v>
      </c>
      <c r="AA102" s="1022"/>
      <c r="AB102" s="1038"/>
      <c r="AC102" s="1038"/>
      <c r="AD102" s="1038"/>
      <c r="AE102" s="1038"/>
      <c r="AF102" s="487">
        <f>SUM('TB-Pharmaceuticals'!$AB102:$AE102)</f>
        <v>0</v>
      </c>
      <c r="AG102" s="1032">
        <f>'TB-Pharmaceuticals'!$AA102*'TB-Pharmaceuticals'!$AF102</f>
        <v>0</v>
      </c>
      <c r="AH102" s="488">
        <f>'TB-Pharmaceuticals'!$R102+'TB-Pharmaceuticals'!$Y102+'TB-Pharmaceuticals'!$AF102</f>
        <v>0</v>
      </c>
      <c r="AI102" s="1032">
        <f>'TB-Pharmaceuticals'!$S102+'TB-Pharmaceuticals'!$Z102+'TB-Pharmaceuticals'!$AG102</f>
        <v>0</v>
      </c>
      <c r="AJ102" s="490" t="str">
        <f t="shared" si="24"/>
        <v/>
      </c>
      <c r="AK102" s="1249"/>
    </row>
    <row r="103" spans="1:37" ht="15" thickBot="1">
      <c r="A103" s="2409"/>
      <c r="B103" s="2410"/>
      <c r="C103" s="2410"/>
      <c r="D103" s="2409"/>
      <c r="E103" s="2410"/>
      <c r="F103" s="2410"/>
      <c r="G103" s="2409"/>
      <c r="H103" s="2410"/>
      <c r="I103" s="2410"/>
      <c r="J103" s="2411"/>
      <c r="K103" s="227" t="str">
        <f>IF(D103="","", IF(ISNUMBER(SEARCH("water",D103)),"Piece",IF(ISNUMBER(SEARCH("Amikacin",D103)),"Piece", IF(AND(ISNUMBER(SEARCH("Capreomycin",D103)),ISNUMBER(SEARCH("1 vial",G103))),"Piece",IF(AND(ISNUMBER(SEARCH("Imipenem/Cilastatin",D103)),ISNUMBER(SEARCH("1 vial",G103))),"Piece",IF(AND(ISNUMBER(SEARCH("Kanamycin",D103)),OR(ISNUMBER(SEARCH("10 amp",#REF!)),ISNUMBER(SEARCH("500mg powder",#REF!)))),"Piece","Pack"))))))</f>
        <v/>
      </c>
      <c r="L103" s="394" t="str">
        <f>IF(K103="", "","USD")</f>
        <v/>
      </c>
      <c r="M103" s="1049"/>
      <c r="N103" s="1054"/>
      <c r="O103" s="1054"/>
      <c r="P103" s="1054"/>
      <c r="Q103" s="1054"/>
      <c r="R103" s="539">
        <f>SUM('TB-Pharmaceuticals'!$N103:$Q103)</f>
        <v>0</v>
      </c>
      <c r="S103" s="1050">
        <f>'TB-Pharmaceuticals'!$M103*'TB-Pharmaceuticals'!$R103</f>
        <v>0</v>
      </c>
      <c r="T103" s="1049"/>
      <c r="U103" s="1054"/>
      <c r="V103" s="1054"/>
      <c r="W103" s="1054"/>
      <c r="X103" s="1054"/>
      <c r="Y103" s="539">
        <f>SUM('TB-Pharmaceuticals'!$U103:$X103)</f>
        <v>0</v>
      </c>
      <c r="Z103" s="1051">
        <f>'TB-Pharmaceuticals'!$T103*'TB-Pharmaceuticals'!$Y103</f>
        <v>0</v>
      </c>
      <c r="AA103" s="1049"/>
      <c r="AB103" s="1054"/>
      <c r="AC103" s="1054"/>
      <c r="AD103" s="1054"/>
      <c r="AE103" s="1054"/>
      <c r="AF103" s="539">
        <f>SUM('TB-Pharmaceuticals'!$AB103:$AE103)</f>
        <v>0</v>
      </c>
      <c r="AG103" s="1052">
        <f>'TB-Pharmaceuticals'!$AA103*'TB-Pharmaceuticals'!$AF103</f>
        <v>0</v>
      </c>
      <c r="AH103" s="540">
        <f>'TB-Pharmaceuticals'!$R103+'TB-Pharmaceuticals'!$Y103+'TB-Pharmaceuticals'!$AF103</f>
        <v>0</v>
      </c>
      <c r="AI103" s="1053">
        <f>'TB-Pharmaceuticals'!$S103+'TB-Pharmaceuticals'!$Z103+'TB-Pharmaceuticals'!$AG103</f>
        <v>0</v>
      </c>
      <c r="AJ103" s="541" t="str">
        <f t="shared" si="24"/>
        <v/>
      </c>
      <c r="AK103" s="1251"/>
    </row>
    <row r="104" spans="1:37" ht="15" thickBot="1">
      <c r="A104" s="203"/>
      <c r="B104" s="203"/>
      <c r="C104" s="203"/>
      <c r="D104" s="203"/>
      <c r="E104" s="203"/>
      <c r="F104" s="203"/>
      <c r="G104" s="203"/>
      <c r="H104" s="203"/>
      <c r="I104" s="203"/>
      <c r="J104" s="124"/>
      <c r="K104" s="124"/>
      <c r="L104" s="204"/>
      <c r="M104" s="204"/>
      <c r="N104" s="204"/>
      <c r="O104" s="204"/>
      <c r="P104" s="204"/>
      <c r="Q104" s="204"/>
      <c r="R104" s="204"/>
      <c r="S104" s="204"/>
      <c r="T104" s="204"/>
      <c r="U104" s="204"/>
      <c r="V104" s="204"/>
      <c r="W104" s="204"/>
      <c r="X104" s="124"/>
      <c r="Y104" s="124"/>
      <c r="Z104" s="124"/>
      <c r="AA104" s="124"/>
      <c r="AB104" s="204"/>
      <c r="AC104" s="204"/>
      <c r="AD104" s="204"/>
      <c r="AE104" s="204"/>
      <c r="AF104" s="124"/>
      <c r="AG104" s="536"/>
      <c r="AH104" s="124"/>
    </row>
    <row r="105" spans="1:37" ht="15" customHeight="1" thickBot="1">
      <c r="A105" s="2419">
        <v>4</v>
      </c>
      <c r="B105" s="2421" t="s">
        <v>6863</v>
      </c>
      <c r="C105" s="2421"/>
      <c r="D105" s="206" t="s">
        <v>181</v>
      </c>
      <c r="E105" s="206"/>
      <c r="F105" s="206"/>
      <c r="G105" s="207"/>
      <c r="H105" s="2448" t="s">
        <v>307</v>
      </c>
      <c r="I105" s="191"/>
      <c r="J105" s="192"/>
      <c r="K105" s="121"/>
      <c r="L105" s="198"/>
      <c r="M105" s="198"/>
      <c r="N105" s="198"/>
      <c r="O105" s="198"/>
      <c r="P105" s="198"/>
      <c r="Q105" s="198"/>
      <c r="R105" s="198"/>
      <c r="S105" s="198"/>
      <c r="T105" s="198"/>
      <c r="U105" s="198"/>
      <c r="V105" s="198"/>
      <c r="W105" s="198"/>
      <c r="X105" s="121"/>
      <c r="Y105" s="121"/>
      <c r="Z105" s="121"/>
      <c r="AA105" s="121"/>
      <c r="AB105" s="198"/>
      <c r="AC105" s="198"/>
      <c r="AD105" s="198"/>
      <c r="AE105" s="198"/>
      <c r="AF105" s="121"/>
      <c r="AG105" s="199"/>
      <c r="AH105" s="121"/>
    </row>
    <row r="106" spans="1:37" ht="15" customHeight="1" thickBot="1">
      <c r="A106" s="2420"/>
      <c r="B106" s="2422"/>
      <c r="C106" s="2422"/>
      <c r="D106" s="208"/>
      <c r="E106" s="208"/>
      <c r="F106" s="208"/>
      <c r="G106" s="209"/>
      <c r="H106" s="2449"/>
      <c r="I106" s="191"/>
      <c r="J106" s="136"/>
      <c r="K106" s="121"/>
      <c r="L106" s="198"/>
      <c r="M106" s="198"/>
      <c r="N106" s="198"/>
      <c r="O106" s="198"/>
      <c r="P106" s="198"/>
      <c r="Q106" s="198"/>
      <c r="R106" s="198"/>
      <c r="S106" s="198"/>
      <c r="T106" s="198"/>
      <c r="U106" s="198"/>
      <c r="V106" s="198"/>
      <c r="W106" s="198"/>
      <c r="X106" s="121"/>
      <c r="Y106" s="121"/>
      <c r="Z106" s="121"/>
      <c r="AA106" s="121"/>
      <c r="AB106" s="198"/>
      <c r="AC106" s="198"/>
      <c r="AD106" s="198"/>
      <c r="AE106" s="198"/>
      <c r="AF106" s="121"/>
      <c r="AG106" s="199"/>
      <c r="AH106" s="121"/>
    </row>
    <row r="107" spans="1:37" ht="112.15" customHeight="1">
      <c r="A107" s="2080" t="s">
        <v>6905</v>
      </c>
      <c r="B107" s="2081"/>
      <c r="C107" s="2081"/>
      <c r="D107" s="2081"/>
      <c r="E107" s="2081"/>
      <c r="F107" s="2081"/>
      <c r="G107" s="2081"/>
      <c r="H107" s="2081"/>
      <c r="I107" s="2081"/>
      <c r="J107" s="2081"/>
      <c r="K107" s="2081"/>
      <c r="L107" s="2081"/>
      <c r="M107" s="198"/>
      <c r="N107" s="198"/>
      <c r="O107" s="198"/>
      <c r="P107" s="198"/>
      <c r="Q107" s="198"/>
      <c r="R107" s="198"/>
      <c r="S107" s="198"/>
      <c r="T107" s="198"/>
      <c r="U107" s="198"/>
      <c r="V107" s="198"/>
      <c r="W107" s="198"/>
      <c r="X107" s="121"/>
      <c r="Y107" s="121"/>
      <c r="Z107" s="121"/>
      <c r="AA107" s="121"/>
      <c r="AB107" s="198"/>
      <c r="AC107" s="198"/>
      <c r="AD107" s="198"/>
      <c r="AE107" s="198"/>
      <c r="AF107" s="121"/>
      <c r="AG107" s="199"/>
      <c r="AH107" s="121"/>
    </row>
    <row r="108" spans="1:37" ht="15" thickBot="1">
      <c r="A108" s="2445"/>
      <c r="B108" s="2446"/>
      <c r="C108" s="2446"/>
      <c r="D108" s="2447"/>
      <c r="E108" s="140"/>
      <c r="F108" s="140"/>
      <c r="G108" s="140"/>
      <c r="H108" s="140"/>
      <c r="I108" s="140"/>
      <c r="J108" s="140"/>
      <c r="K108" s="140"/>
      <c r="L108" s="205"/>
      <c r="M108" s="205"/>
      <c r="N108" s="205"/>
      <c r="O108" s="205"/>
      <c r="P108" s="205"/>
      <c r="Q108" s="205"/>
      <c r="R108" s="205"/>
      <c r="S108" s="205"/>
      <c r="T108" s="205"/>
      <c r="U108" s="205"/>
      <c r="V108" s="205"/>
      <c r="W108" s="205"/>
      <c r="X108" s="140"/>
      <c r="Y108" s="140"/>
      <c r="Z108" s="140"/>
      <c r="AA108" s="140"/>
      <c r="AB108" s="205"/>
      <c r="AC108" s="205"/>
      <c r="AD108" s="205"/>
      <c r="AE108" s="205"/>
      <c r="AF108" s="140"/>
      <c r="AG108" s="537"/>
      <c r="AH108" s="121"/>
    </row>
    <row r="109" spans="1:37" ht="15" thickBot="1">
      <c r="A109" s="2423" t="s">
        <v>1233</v>
      </c>
      <c r="B109" s="2424"/>
      <c r="C109" s="2425"/>
      <c r="D109" s="2423" t="s">
        <v>149</v>
      </c>
      <c r="E109" s="2424"/>
      <c r="F109" s="2425"/>
      <c r="G109" s="2423" t="s">
        <v>150</v>
      </c>
      <c r="H109" s="2424"/>
      <c r="I109" s="2425"/>
      <c r="J109" s="2450"/>
      <c r="K109" s="2417" t="s">
        <v>151</v>
      </c>
      <c r="L109" s="2414" t="s">
        <v>49</v>
      </c>
      <c r="M109" s="2462" t="str">
        <f>M66</f>
        <v>Please fill setup</v>
      </c>
      <c r="N109" s="2463"/>
      <c r="O109" s="2463"/>
      <c r="P109" s="2463"/>
      <c r="Q109" s="2463"/>
      <c r="R109" s="2463"/>
      <c r="S109" s="2464"/>
      <c r="T109" s="2462" t="str">
        <f>T66</f>
        <v>Please fill setup</v>
      </c>
      <c r="U109" s="2463"/>
      <c r="V109" s="2463"/>
      <c r="W109" s="2463"/>
      <c r="X109" s="2463"/>
      <c r="Y109" s="2463"/>
      <c r="Z109" s="2464"/>
      <c r="AA109" s="2462" t="str">
        <f>AA66</f>
        <v>Please fill setup</v>
      </c>
      <c r="AB109" s="2463"/>
      <c r="AC109" s="2463"/>
      <c r="AD109" s="2463"/>
      <c r="AE109" s="2463"/>
      <c r="AF109" s="2463"/>
      <c r="AG109" s="2464"/>
      <c r="AH109" s="2493" t="s">
        <v>152</v>
      </c>
      <c r="AI109" s="2494"/>
      <c r="AJ109" s="507" t="s">
        <v>153</v>
      </c>
      <c r="AK109" s="2443" t="s">
        <v>6865</v>
      </c>
    </row>
    <row r="110" spans="1:37" ht="26.5" thickBot="1">
      <c r="A110" s="2426"/>
      <c r="B110" s="2427"/>
      <c r="C110" s="2428"/>
      <c r="D110" s="2426"/>
      <c r="E110" s="2427"/>
      <c r="F110" s="2428"/>
      <c r="G110" s="2426"/>
      <c r="H110" s="2427"/>
      <c r="I110" s="2428"/>
      <c r="J110" s="2451"/>
      <c r="K110" s="2418"/>
      <c r="L110" s="2415"/>
      <c r="M110" s="508" t="s">
        <v>198</v>
      </c>
      <c r="N110" s="509" t="s">
        <v>155</v>
      </c>
      <c r="O110" s="509" t="s">
        <v>156</v>
      </c>
      <c r="P110" s="509" t="s">
        <v>157</v>
      </c>
      <c r="Q110" s="509" t="s">
        <v>158</v>
      </c>
      <c r="R110" s="509" t="s">
        <v>159</v>
      </c>
      <c r="S110" s="509" t="s">
        <v>160</v>
      </c>
      <c r="T110" s="508" t="s">
        <v>161</v>
      </c>
      <c r="U110" s="509" t="s">
        <v>162</v>
      </c>
      <c r="V110" s="509" t="s">
        <v>163</v>
      </c>
      <c r="W110" s="509" t="s">
        <v>164</v>
      </c>
      <c r="X110" s="509" t="s">
        <v>165</v>
      </c>
      <c r="Y110" s="509" t="s">
        <v>166</v>
      </c>
      <c r="Z110" s="509" t="s">
        <v>167</v>
      </c>
      <c r="AA110" s="508" t="s">
        <v>168</v>
      </c>
      <c r="AB110" s="509" t="s">
        <v>169</v>
      </c>
      <c r="AC110" s="509" t="s">
        <v>170</v>
      </c>
      <c r="AD110" s="509" t="s">
        <v>171</v>
      </c>
      <c r="AE110" s="509" t="s">
        <v>172</v>
      </c>
      <c r="AF110" s="509" t="s">
        <v>173</v>
      </c>
      <c r="AG110" s="509" t="s">
        <v>174</v>
      </c>
      <c r="AH110" s="510" t="s">
        <v>175</v>
      </c>
      <c r="AI110" s="511" t="s">
        <v>176</v>
      </c>
      <c r="AJ110" s="512" t="s">
        <v>177</v>
      </c>
      <c r="AK110" s="2444"/>
    </row>
    <row r="111" spans="1:37" s="21" customFormat="1">
      <c r="A111" s="2406"/>
      <c r="B111" s="2407"/>
      <c r="C111" s="2407"/>
      <c r="D111" s="2406"/>
      <c r="E111" s="2416"/>
      <c r="F111" s="2416"/>
      <c r="G111" s="2406"/>
      <c r="H111" s="2416"/>
      <c r="I111" s="2416"/>
      <c r="J111" s="2408"/>
      <c r="K111" s="1455" t="str">
        <f t="shared" ref="K111" si="25">IF(D111="","", IF(ISNUMBER(SEARCH("water",D111)),"Piece",IF(ISNUMBER(SEARCH("Amikacin",D111)),"Piece", IF(AND(ISNUMBER(SEARCH("Capreomycin",D111)),ISNUMBER(SEARCH("1 vial",G111))),"Piece",IF(AND(ISNUMBER(SEARCH("Imipenem/Cilastatin",D111)),ISNUMBER(SEARCH("1 vial",G111))),"Piece",IF(AND(ISNUMBER(SEARCH("Kanamycin",D111)),OR(ISNUMBER(SEARCH("10 amp",G112)),ISNUMBER(SEARCH("500mg powder",F112)))),"Piece","Pack"))))))</f>
        <v/>
      </c>
      <c r="L111" s="1455" t="str">
        <f t="shared" ref="L111" si="26">IF(K111="", "","USD")</f>
        <v/>
      </c>
      <c r="M111" s="1020"/>
      <c r="N111" s="1036"/>
      <c r="O111" s="1036"/>
      <c r="P111" s="1036"/>
      <c r="Q111" s="1036"/>
      <c r="R111" s="480">
        <f>SUM('TB-Pharmaceuticals'!$N111:$Q111)</f>
        <v>0</v>
      </c>
      <c r="S111" s="1025">
        <f>'TB-Pharmaceuticals'!$M111*'TB-Pharmaceuticals'!$R111</f>
        <v>0</v>
      </c>
      <c r="T111" s="1020"/>
      <c r="U111" s="1036"/>
      <c r="V111" s="1036"/>
      <c r="W111" s="1036"/>
      <c r="X111" s="1036"/>
      <c r="Y111" s="480">
        <f>SUM('TB-Pharmaceuticals'!$U111:$X111)</f>
        <v>0</v>
      </c>
      <c r="Z111" s="1030">
        <f>'TB-Pharmaceuticals'!$T111*'TB-Pharmaceuticals'!$Y111</f>
        <v>0</v>
      </c>
      <c r="AA111" s="1020"/>
      <c r="AB111" s="1036"/>
      <c r="AC111" s="1036"/>
      <c r="AD111" s="1036"/>
      <c r="AE111" s="1036"/>
      <c r="AF111" s="480">
        <f>SUM('TB-Pharmaceuticals'!$AB111:$AE111)</f>
        <v>0</v>
      </c>
      <c r="AG111" s="1030">
        <f>'TB-Pharmaceuticals'!$AA111*'TB-Pharmaceuticals'!$AF111</f>
        <v>0</v>
      </c>
      <c r="AH111" s="1055">
        <f>'TB-Pharmaceuticals'!$R111+'TB-Pharmaceuticals'!$Y111+'TB-Pharmaceuticals'!$AF111</f>
        <v>0</v>
      </c>
      <c r="AI111" s="1030">
        <f>'TB-Pharmaceuticals'!$S111+'TB-Pharmaceuticals'!$Z111+'TB-Pharmaceuticals'!$AG111</f>
        <v>0</v>
      </c>
      <c r="AJ111" s="1456" t="str">
        <f t="shared" ref="AJ111" si="27">IF(ISBLANK(A111),"",IF(OR(ISNUMBER(SEARCH("Isoniazid",D111)), ISNUMBER(SEARCH("Rifapentine",D111))),"4.2",IF(OR(ISNUMBER(SEARCH("Amphotericin",D111)), ISNUMBER(SEARCH("trimoxazole",D111)),ISNUMBER(SEARCH("Fluconazole",D111)),ISNUMBER(SEARCH("Flucytosine",D111)),ISNUMBER(SEARCH("liposomal",D111)),ISNUMBER(SEARCH("Valganciclovir",D111)),ISNUMBER(SEARCH("Other medicines",D111))),"4.5","4.7")))</f>
        <v/>
      </c>
      <c r="AK111" s="1461"/>
    </row>
    <row r="112" spans="1:37">
      <c r="A112" s="2412"/>
      <c r="B112" s="2109"/>
      <c r="C112" s="2109"/>
      <c r="D112" s="2412"/>
      <c r="E112" s="2109"/>
      <c r="F112" s="2109"/>
      <c r="G112" s="2412"/>
      <c r="H112" s="2109"/>
      <c r="I112" s="2109"/>
      <c r="J112" s="2413"/>
      <c r="K112" s="225" t="str">
        <f t="shared" ref="K112:K116" si="28">IF(D112="","", IF(ISNUMBER(SEARCH("water",D112)),"Piece",IF(ISNUMBER(SEARCH("Amikacin",D112)),"Piece", IF(AND(ISNUMBER(SEARCH("Capreomycin",D112)),ISNUMBER(SEARCH("1 vial",G112))),"Piece",IF(AND(ISNUMBER(SEARCH("Imipenem/Cilastatin",D112)),ISNUMBER(SEARCH("1 vial",G112))),"Piece",IF(AND(ISNUMBER(SEARCH("Kanamycin",D112)),OR(ISNUMBER(SEARCH("10 amp",G113)),ISNUMBER(SEARCH("500mg powder",F113)))),"Piece","Pack"))))))</f>
        <v/>
      </c>
      <c r="L112" s="226" t="str">
        <f t="shared" ref="L112:L116" si="29">IF(K112="", "","USD")</f>
        <v/>
      </c>
      <c r="M112" s="1023"/>
      <c r="N112" s="1039"/>
      <c r="O112" s="1039"/>
      <c r="P112" s="1039"/>
      <c r="Q112" s="1039"/>
      <c r="R112" s="492">
        <f>SUM('TB-Pharmaceuticals'!$N112:$Q112)</f>
        <v>0</v>
      </c>
      <c r="S112" s="1028">
        <f>'TB-Pharmaceuticals'!$M112*'TB-Pharmaceuticals'!$R112</f>
        <v>0</v>
      </c>
      <c r="T112" s="1023"/>
      <c r="U112" s="1039"/>
      <c r="V112" s="1039"/>
      <c r="W112" s="1039"/>
      <c r="X112" s="1039"/>
      <c r="Y112" s="492">
        <f>SUM('TB-Pharmaceuticals'!$U112:$X112)</f>
        <v>0</v>
      </c>
      <c r="Z112" s="1034">
        <f>'TB-Pharmaceuticals'!$T112*'TB-Pharmaceuticals'!$Y112</f>
        <v>0</v>
      </c>
      <c r="AA112" s="1023"/>
      <c r="AB112" s="1039"/>
      <c r="AC112" s="1039"/>
      <c r="AD112" s="1039"/>
      <c r="AE112" s="1039"/>
      <c r="AF112" s="492">
        <f>SUM('TB-Pharmaceuticals'!$AB112:$AE112)</f>
        <v>0</v>
      </c>
      <c r="AG112" s="1034">
        <f>'TB-Pharmaceuticals'!$AA112*'TB-Pharmaceuticals'!$AF112</f>
        <v>0</v>
      </c>
      <c r="AH112" s="1056">
        <f>'TB-Pharmaceuticals'!$R112+'TB-Pharmaceuticals'!$Y112+'TB-Pharmaceuticals'!$AF112</f>
        <v>0</v>
      </c>
      <c r="AI112" s="1034">
        <f>'TB-Pharmaceuticals'!$S112+'TB-Pharmaceuticals'!$Z112+'TB-Pharmaceuticals'!$AG112</f>
        <v>0</v>
      </c>
      <c r="AJ112" s="513" t="str">
        <f t="shared" ref="AJ112:AJ116" si="30">IF(ISBLANK(A112),"",IF(OR(ISNUMBER(SEARCH("Isoniazid",D112)), ISNUMBER(SEARCH("Rifapentine",D112))),"4.2",IF(OR(ISNUMBER(SEARCH("Amphotericin",D112)), ISNUMBER(SEARCH("trimoxazole",D112)),ISNUMBER(SEARCH("Fluconazole",D112)),ISNUMBER(SEARCH("Flucytosine",D112)),ISNUMBER(SEARCH("liposomal",D112)),ISNUMBER(SEARCH("Valganciclovir",D112)),ISNUMBER(SEARCH("Other medicines",D112))),"4.5","4.7")))</f>
        <v/>
      </c>
      <c r="AK112" s="1243"/>
    </row>
    <row r="113" spans="1:37">
      <c r="A113" s="2406"/>
      <c r="B113" s="2407"/>
      <c r="C113" s="2407"/>
      <c r="D113" s="2406"/>
      <c r="E113" s="2407"/>
      <c r="F113" s="2407"/>
      <c r="G113" s="2406"/>
      <c r="H113" s="2407"/>
      <c r="I113" s="2407"/>
      <c r="J113" s="2408"/>
      <c r="K113" s="224" t="str">
        <f t="shared" si="28"/>
        <v/>
      </c>
      <c r="L113" s="224" t="str">
        <f t="shared" si="29"/>
        <v/>
      </c>
      <c r="M113" s="1042"/>
      <c r="N113" s="1048"/>
      <c r="O113" s="1048"/>
      <c r="P113" s="1048"/>
      <c r="Q113" s="1048"/>
      <c r="R113" s="514">
        <f>SUM('TB-Pharmaceuticals'!$N113:$Q113)</f>
        <v>0</v>
      </c>
      <c r="S113" s="1044">
        <f>'TB-Pharmaceuticals'!$M113*'TB-Pharmaceuticals'!$R113</f>
        <v>0</v>
      </c>
      <c r="T113" s="1042"/>
      <c r="U113" s="1048"/>
      <c r="V113" s="1048"/>
      <c r="W113" s="1048"/>
      <c r="X113" s="1048"/>
      <c r="Y113" s="514">
        <f>SUM('TB-Pharmaceuticals'!$U113:$X113)</f>
        <v>0</v>
      </c>
      <c r="Z113" s="1046">
        <f>'TB-Pharmaceuticals'!$T113*'TB-Pharmaceuticals'!$Y113</f>
        <v>0</v>
      </c>
      <c r="AA113" s="1042"/>
      <c r="AB113" s="1048"/>
      <c r="AC113" s="1048"/>
      <c r="AD113" s="1048"/>
      <c r="AE113" s="1048"/>
      <c r="AF113" s="514">
        <f>SUM('TB-Pharmaceuticals'!$AB113:$AE113)</f>
        <v>0</v>
      </c>
      <c r="AG113" s="1046">
        <f>'TB-Pharmaceuticals'!$AA113*'TB-Pharmaceuticals'!$AF113</f>
        <v>0</v>
      </c>
      <c r="AH113" s="1057">
        <f>'TB-Pharmaceuticals'!$R113+'TB-Pharmaceuticals'!$Y113+'TB-Pharmaceuticals'!$AF113</f>
        <v>0</v>
      </c>
      <c r="AI113" s="1046">
        <f>'TB-Pharmaceuticals'!$S113+'TB-Pharmaceuticals'!$Z113+'TB-Pharmaceuticals'!$AG113</f>
        <v>0</v>
      </c>
      <c r="AJ113" s="516" t="str">
        <f t="shared" si="30"/>
        <v/>
      </c>
      <c r="AK113" s="1244"/>
    </row>
    <row r="114" spans="1:37">
      <c r="A114" s="2412"/>
      <c r="B114" s="2109"/>
      <c r="C114" s="2109"/>
      <c r="D114" s="2412"/>
      <c r="E114" s="2109"/>
      <c r="F114" s="2109"/>
      <c r="G114" s="2412"/>
      <c r="H114" s="2109"/>
      <c r="I114" s="2109"/>
      <c r="J114" s="2413"/>
      <c r="K114" s="225" t="str">
        <f t="shared" si="28"/>
        <v/>
      </c>
      <c r="L114" s="226" t="str">
        <f t="shared" si="29"/>
        <v/>
      </c>
      <c r="M114" s="1023"/>
      <c r="N114" s="1039"/>
      <c r="O114" s="1039"/>
      <c r="P114" s="1039"/>
      <c r="Q114" s="1039"/>
      <c r="R114" s="492">
        <f>SUM('TB-Pharmaceuticals'!$N114:$Q114)</f>
        <v>0</v>
      </c>
      <c r="S114" s="1028">
        <f>'TB-Pharmaceuticals'!$M114*'TB-Pharmaceuticals'!$R114</f>
        <v>0</v>
      </c>
      <c r="T114" s="1023"/>
      <c r="U114" s="1039"/>
      <c r="V114" s="1039"/>
      <c r="W114" s="1039"/>
      <c r="X114" s="1039"/>
      <c r="Y114" s="492">
        <f>SUM('TB-Pharmaceuticals'!$U114:$X114)</f>
        <v>0</v>
      </c>
      <c r="Z114" s="1034">
        <f>'TB-Pharmaceuticals'!$T114*'TB-Pharmaceuticals'!$Y114</f>
        <v>0</v>
      </c>
      <c r="AA114" s="1023"/>
      <c r="AB114" s="1039"/>
      <c r="AC114" s="1039"/>
      <c r="AD114" s="1039"/>
      <c r="AE114" s="1039"/>
      <c r="AF114" s="492">
        <f>SUM('TB-Pharmaceuticals'!$AB114:$AE114)</f>
        <v>0</v>
      </c>
      <c r="AG114" s="1034">
        <f>'TB-Pharmaceuticals'!$AA114*'TB-Pharmaceuticals'!$AF114</f>
        <v>0</v>
      </c>
      <c r="AH114" s="1056">
        <f>'TB-Pharmaceuticals'!$R114+'TB-Pharmaceuticals'!$Y114+'TB-Pharmaceuticals'!$AF114</f>
        <v>0</v>
      </c>
      <c r="AI114" s="1034">
        <f>'TB-Pharmaceuticals'!$S114+'TB-Pharmaceuticals'!$Z114+'TB-Pharmaceuticals'!$AG114</f>
        <v>0</v>
      </c>
      <c r="AJ114" s="513" t="str">
        <f t="shared" si="30"/>
        <v/>
      </c>
      <c r="AK114" s="1243"/>
    </row>
    <row r="115" spans="1:37">
      <c r="A115" s="2406"/>
      <c r="B115" s="2407"/>
      <c r="C115" s="2407"/>
      <c r="D115" s="2406"/>
      <c r="E115" s="2407"/>
      <c r="F115" s="2407"/>
      <c r="G115" s="2406"/>
      <c r="H115" s="2407"/>
      <c r="I115" s="2407"/>
      <c r="J115" s="2408"/>
      <c r="K115" s="224" t="str">
        <f t="shared" si="28"/>
        <v/>
      </c>
      <c r="L115" s="224" t="str">
        <f t="shared" si="29"/>
        <v/>
      </c>
      <c r="M115" s="1042"/>
      <c r="N115" s="1048"/>
      <c r="O115" s="1048"/>
      <c r="P115" s="1048"/>
      <c r="Q115" s="1048"/>
      <c r="R115" s="514">
        <f>SUM('TB-Pharmaceuticals'!$N115:$Q115)</f>
        <v>0</v>
      </c>
      <c r="S115" s="1044">
        <f>'TB-Pharmaceuticals'!$M115*'TB-Pharmaceuticals'!$R115</f>
        <v>0</v>
      </c>
      <c r="T115" s="1042"/>
      <c r="U115" s="1048"/>
      <c r="V115" s="1048"/>
      <c r="W115" s="1048"/>
      <c r="X115" s="1048"/>
      <c r="Y115" s="514">
        <f>SUM('TB-Pharmaceuticals'!$U115:$X115)</f>
        <v>0</v>
      </c>
      <c r="Z115" s="1046">
        <f>'TB-Pharmaceuticals'!$T115*'TB-Pharmaceuticals'!$Y115</f>
        <v>0</v>
      </c>
      <c r="AA115" s="1042"/>
      <c r="AB115" s="1048"/>
      <c r="AC115" s="1048"/>
      <c r="AD115" s="1048"/>
      <c r="AE115" s="1048"/>
      <c r="AF115" s="514">
        <f>SUM('TB-Pharmaceuticals'!$AB115:$AE115)</f>
        <v>0</v>
      </c>
      <c r="AG115" s="1046">
        <f>'TB-Pharmaceuticals'!$AA115*'TB-Pharmaceuticals'!$AF115</f>
        <v>0</v>
      </c>
      <c r="AH115" s="1057">
        <f>'TB-Pharmaceuticals'!$R115+'TB-Pharmaceuticals'!$Y115+'TB-Pharmaceuticals'!$AF115</f>
        <v>0</v>
      </c>
      <c r="AI115" s="1046">
        <f>'TB-Pharmaceuticals'!$S115+'TB-Pharmaceuticals'!$Z115+'TB-Pharmaceuticals'!$AG115</f>
        <v>0</v>
      </c>
      <c r="AJ115" s="516" t="str">
        <f t="shared" si="30"/>
        <v/>
      </c>
      <c r="AK115" s="1244"/>
    </row>
    <row r="116" spans="1:37">
      <c r="A116" s="2412"/>
      <c r="B116" s="2109"/>
      <c r="C116" s="2109"/>
      <c r="D116" s="2412"/>
      <c r="E116" s="2109"/>
      <c r="F116" s="2109"/>
      <c r="G116" s="2412"/>
      <c r="H116" s="2109"/>
      <c r="I116" s="2109"/>
      <c r="J116" s="2413"/>
      <c r="K116" s="225" t="str">
        <f t="shared" si="28"/>
        <v/>
      </c>
      <c r="L116" s="226" t="str">
        <f t="shared" si="29"/>
        <v/>
      </c>
      <c r="M116" s="1023"/>
      <c r="N116" s="1039"/>
      <c r="O116" s="1039"/>
      <c r="P116" s="1039"/>
      <c r="Q116" s="1039"/>
      <c r="R116" s="492">
        <f>SUM('TB-Pharmaceuticals'!$N116:$Q116)</f>
        <v>0</v>
      </c>
      <c r="S116" s="1028">
        <f>'TB-Pharmaceuticals'!$M116*'TB-Pharmaceuticals'!$R116</f>
        <v>0</v>
      </c>
      <c r="T116" s="1023"/>
      <c r="U116" s="1039"/>
      <c r="V116" s="1039"/>
      <c r="W116" s="1039"/>
      <c r="X116" s="1039"/>
      <c r="Y116" s="492">
        <f>SUM('TB-Pharmaceuticals'!$U116:$X116)</f>
        <v>0</v>
      </c>
      <c r="Z116" s="1034">
        <f>'TB-Pharmaceuticals'!$T116*'TB-Pharmaceuticals'!$Y116</f>
        <v>0</v>
      </c>
      <c r="AA116" s="1023"/>
      <c r="AB116" s="1039"/>
      <c r="AC116" s="1039"/>
      <c r="AD116" s="1039"/>
      <c r="AE116" s="1039"/>
      <c r="AF116" s="492">
        <f>SUM('TB-Pharmaceuticals'!$AB116:$AE116)</f>
        <v>0</v>
      </c>
      <c r="AG116" s="1034">
        <f>'TB-Pharmaceuticals'!$AA116*'TB-Pharmaceuticals'!$AF116</f>
        <v>0</v>
      </c>
      <c r="AH116" s="1056">
        <f>'TB-Pharmaceuticals'!$R116+'TB-Pharmaceuticals'!$Y116+'TB-Pharmaceuticals'!$AF116</f>
        <v>0</v>
      </c>
      <c r="AI116" s="1034">
        <f>'TB-Pharmaceuticals'!$S116+'TB-Pharmaceuticals'!$Z116+'TB-Pharmaceuticals'!$AG116</f>
        <v>0</v>
      </c>
      <c r="AJ116" s="513" t="str">
        <f t="shared" si="30"/>
        <v/>
      </c>
      <c r="AK116" s="1243"/>
    </row>
    <row r="117" spans="1:37">
      <c r="A117" s="2406"/>
      <c r="B117" s="2407"/>
      <c r="C117" s="2407"/>
      <c r="D117" s="2406"/>
      <c r="E117" s="2407"/>
      <c r="F117" s="2407"/>
      <c r="G117" s="2406"/>
      <c r="H117" s="2407"/>
      <c r="I117" s="2407"/>
      <c r="J117" s="2408"/>
      <c r="K117" s="224" t="str">
        <f t="shared" ref="K117:K130" si="31">IF(D117="","", IF(ISNUMBER(SEARCH("water",D117)),"Piece",IF(ISNUMBER(SEARCH("Amikacin",D117)),"Piece", IF(AND(ISNUMBER(SEARCH("Capreomycin",D117)),ISNUMBER(SEARCH("1 vial",G117))),"Piece",IF(AND(ISNUMBER(SEARCH("Imipenem/Cilastatin",D117)),ISNUMBER(SEARCH("1 vial",G117))),"Piece",IF(AND(ISNUMBER(SEARCH("Kanamycin",D117)),OR(ISNUMBER(SEARCH("10 amp",G118)),ISNUMBER(SEARCH("500mg powder",F118)))),"Piece","Pack"))))))</f>
        <v/>
      </c>
      <c r="L117" s="224" t="str">
        <f t="shared" ref="L117:L130" si="32">IF(K117="", "","USD")</f>
        <v/>
      </c>
      <c r="M117" s="1042"/>
      <c r="N117" s="1048"/>
      <c r="O117" s="1048"/>
      <c r="P117" s="1048"/>
      <c r="Q117" s="1048"/>
      <c r="R117" s="514">
        <f>SUM('TB-Pharmaceuticals'!$N117:$Q117)</f>
        <v>0</v>
      </c>
      <c r="S117" s="1044">
        <f>'TB-Pharmaceuticals'!$M117*'TB-Pharmaceuticals'!$R117</f>
        <v>0</v>
      </c>
      <c r="T117" s="1042"/>
      <c r="U117" s="1048"/>
      <c r="V117" s="1048"/>
      <c r="W117" s="1048"/>
      <c r="X117" s="1048"/>
      <c r="Y117" s="514">
        <f>SUM('TB-Pharmaceuticals'!$U117:$X117)</f>
        <v>0</v>
      </c>
      <c r="Z117" s="1046">
        <f>'TB-Pharmaceuticals'!$T117*'TB-Pharmaceuticals'!$Y117</f>
        <v>0</v>
      </c>
      <c r="AA117" s="1042"/>
      <c r="AB117" s="1048"/>
      <c r="AC117" s="1048"/>
      <c r="AD117" s="1048"/>
      <c r="AE117" s="1048"/>
      <c r="AF117" s="514">
        <f>SUM('TB-Pharmaceuticals'!$AB117:$AE117)</f>
        <v>0</v>
      </c>
      <c r="AG117" s="1046">
        <f>'TB-Pharmaceuticals'!$AA117*'TB-Pharmaceuticals'!$AF117</f>
        <v>0</v>
      </c>
      <c r="AH117" s="1057">
        <f>'TB-Pharmaceuticals'!$R117+'TB-Pharmaceuticals'!$Y117+'TB-Pharmaceuticals'!$AF117</f>
        <v>0</v>
      </c>
      <c r="AI117" s="1046">
        <f>'TB-Pharmaceuticals'!$S117+'TB-Pharmaceuticals'!$Z117+'TB-Pharmaceuticals'!$AG117</f>
        <v>0</v>
      </c>
      <c r="AJ117" s="516" t="str">
        <f t="shared" ref="AJ117:AJ130" si="33">IF(ISBLANK(A117),"",IF(OR(ISNUMBER(SEARCH("Isoniazid",D117)), ISNUMBER(SEARCH("Rifapentine",D117))),"4.2",IF(OR(ISNUMBER(SEARCH("Amphotericin",D117)), ISNUMBER(SEARCH("trimoxazole",D117)),ISNUMBER(SEARCH("Fluconazole",D117)),ISNUMBER(SEARCH("Flucytosine",D117)),ISNUMBER(SEARCH("liposomal",D117)),ISNUMBER(SEARCH("Valganciclovir",D117)),ISNUMBER(SEARCH("Other medicines",D117))),"4.5","4.7")))</f>
        <v/>
      </c>
      <c r="AK117" s="1244"/>
    </row>
    <row r="118" spans="1:37">
      <c r="A118" s="2412"/>
      <c r="B118" s="2109"/>
      <c r="C118" s="2109"/>
      <c r="D118" s="2412"/>
      <c r="E118" s="2109"/>
      <c r="F118" s="2109"/>
      <c r="G118" s="2412"/>
      <c r="H118" s="2109"/>
      <c r="I118" s="2109"/>
      <c r="J118" s="2413"/>
      <c r="K118" s="225" t="str">
        <f t="shared" si="31"/>
        <v/>
      </c>
      <c r="L118" s="226" t="str">
        <f t="shared" si="32"/>
        <v/>
      </c>
      <c r="M118" s="1023"/>
      <c r="N118" s="1039"/>
      <c r="O118" s="1039"/>
      <c r="P118" s="1039"/>
      <c r="Q118" s="1039"/>
      <c r="R118" s="492">
        <f>SUM('TB-Pharmaceuticals'!$N118:$Q118)</f>
        <v>0</v>
      </c>
      <c r="S118" s="1028">
        <f>'TB-Pharmaceuticals'!$M118*'TB-Pharmaceuticals'!$R118</f>
        <v>0</v>
      </c>
      <c r="T118" s="1023"/>
      <c r="U118" s="1039"/>
      <c r="V118" s="1039"/>
      <c r="W118" s="1039"/>
      <c r="X118" s="1039"/>
      <c r="Y118" s="492">
        <f>SUM('TB-Pharmaceuticals'!$U118:$X118)</f>
        <v>0</v>
      </c>
      <c r="Z118" s="1034">
        <f>'TB-Pharmaceuticals'!$T118*'TB-Pharmaceuticals'!$Y118</f>
        <v>0</v>
      </c>
      <c r="AA118" s="1023"/>
      <c r="AB118" s="1039"/>
      <c r="AC118" s="1039"/>
      <c r="AD118" s="1039"/>
      <c r="AE118" s="1039"/>
      <c r="AF118" s="492">
        <f>SUM('TB-Pharmaceuticals'!$AB118:$AE118)</f>
        <v>0</v>
      </c>
      <c r="AG118" s="1034">
        <f>'TB-Pharmaceuticals'!$AA118*'TB-Pharmaceuticals'!$AF118</f>
        <v>0</v>
      </c>
      <c r="AH118" s="1056">
        <f>'TB-Pharmaceuticals'!$R118+'TB-Pharmaceuticals'!$Y118+'TB-Pharmaceuticals'!$AF118</f>
        <v>0</v>
      </c>
      <c r="AI118" s="1034">
        <f>'TB-Pharmaceuticals'!$S118+'TB-Pharmaceuticals'!$Z118+'TB-Pharmaceuticals'!$AG118</f>
        <v>0</v>
      </c>
      <c r="AJ118" s="513" t="str">
        <f t="shared" si="33"/>
        <v/>
      </c>
      <c r="AK118" s="1243"/>
    </row>
    <row r="119" spans="1:37">
      <c r="A119" s="2406"/>
      <c r="B119" s="2407"/>
      <c r="C119" s="2407"/>
      <c r="D119" s="2406"/>
      <c r="E119" s="2407"/>
      <c r="F119" s="2407"/>
      <c r="G119" s="2406"/>
      <c r="H119" s="2407"/>
      <c r="I119" s="2407"/>
      <c r="J119" s="2408"/>
      <c r="K119" s="224" t="str">
        <f t="shared" si="31"/>
        <v/>
      </c>
      <c r="L119" s="224" t="str">
        <f t="shared" si="32"/>
        <v/>
      </c>
      <c r="M119" s="1042"/>
      <c r="N119" s="1048"/>
      <c r="O119" s="1048"/>
      <c r="P119" s="1048"/>
      <c r="Q119" s="1048"/>
      <c r="R119" s="514">
        <f>SUM('TB-Pharmaceuticals'!$N119:$Q119)</f>
        <v>0</v>
      </c>
      <c r="S119" s="1044">
        <f>'TB-Pharmaceuticals'!$M119*'TB-Pharmaceuticals'!$R119</f>
        <v>0</v>
      </c>
      <c r="T119" s="1042"/>
      <c r="U119" s="1048"/>
      <c r="V119" s="1048"/>
      <c r="W119" s="1048"/>
      <c r="X119" s="1048"/>
      <c r="Y119" s="514">
        <f>SUM('TB-Pharmaceuticals'!$U119:$X119)</f>
        <v>0</v>
      </c>
      <c r="Z119" s="1046">
        <f>'TB-Pharmaceuticals'!$T119*'TB-Pharmaceuticals'!$Y119</f>
        <v>0</v>
      </c>
      <c r="AA119" s="1042"/>
      <c r="AB119" s="1048"/>
      <c r="AC119" s="1048"/>
      <c r="AD119" s="1048"/>
      <c r="AE119" s="1048"/>
      <c r="AF119" s="514">
        <f>SUM('TB-Pharmaceuticals'!$AB119:$AE119)</f>
        <v>0</v>
      </c>
      <c r="AG119" s="1046">
        <f>'TB-Pharmaceuticals'!$AA119*'TB-Pharmaceuticals'!$AF119</f>
        <v>0</v>
      </c>
      <c r="AH119" s="1057">
        <f>'TB-Pharmaceuticals'!$R119+'TB-Pharmaceuticals'!$Y119+'TB-Pharmaceuticals'!$AF119</f>
        <v>0</v>
      </c>
      <c r="AI119" s="1046">
        <f>'TB-Pharmaceuticals'!$S119+'TB-Pharmaceuticals'!$Z119+'TB-Pharmaceuticals'!$AG119</f>
        <v>0</v>
      </c>
      <c r="AJ119" s="516" t="str">
        <f t="shared" si="33"/>
        <v/>
      </c>
      <c r="AK119" s="1244"/>
    </row>
    <row r="120" spans="1:37">
      <c r="A120" s="2412"/>
      <c r="B120" s="2109"/>
      <c r="C120" s="2109"/>
      <c r="D120" s="2412"/>
      <c r="E120" s="2109"/>
      <c r="F120" s="2109"/>
      <c r="G120" s="2412"/>
      <c r="H120" s="2109"/>
      <c r="I120" s="2109"/>
      <c r="J120" s="2413"/>
      <c r="K120" s="225" t="str">
        <f t="shared" si="31"/>
        <v/>
      </c>
      <c r="L120" s="226" t="str">
        <f t="shared" si="32"/>
        <v/>
      </c>
      <c r="M120" s="1023"/>
      <c r="N120" s="1039"/>
      <c r="O120" s="1039"/>
      <c r="P120" s="1039"/>
      <c r="Q120" s="1039"/>
      <c r="R120" s="492">
        <f>SUM('TB-Pharmaceuticals'!$N120:$Q120)</f>
        <v>0</v>
      </c>
      <c r="S120" s="1028">
        <f>'TB-Pharmaceuticals'!$M120*'TB-Pharmaceuticals'!$R120</f>
        <v>0</v>
      </c>
      <c r="T120" s="1023"/>
      <c r="U120" s="1039"/>
      <c r="V120" s="1039"/>
      <c r="W120" s="1039"/>
      <c r="X120" s="1039"/>
      <c r="Y120" s="492">
        <f>SUM('TB-Pharmaceuticals'!$U120:$X120)</f>
        <v>0</v>
      </c>
      <c r="Z120" s="1034">
        <f>'TB-Pharmaceuticals'!$T120*'TB-Pharmaceuticals'!$Y120</f>
        <v>0</v>
      </c>
      <c r="AA120" s="1023"/>
      <c r="AB120" s="1039"/>
      <c r="AC120" s="1039"/>
      <c r="AD120" s="1039"/>
      <c r="AE120" s="1039"/>
      <c r="AF120" s="492">
        <f>SUM('TB-Pharmaceuticals'!$AB120:$AE120)</f>
        <v>0</v>
      </c>
      <c r="AG120" s="1034">
        <f>'TB-Pharmaceuticals'!$AA120*'TB-Pharmaceuticals'!$AF120</f>
        <v>0</v>
      </c>
      <c r="AH120" s="1056">
        <f>'TB-Pharmaceuticals'!$R120+'TB-Pharmaceuticals'!$Y120+'TB-Pharmaceuticals'!$AF120</f>
        <v>0</v>
      </c>
      <c r="AI120" s="1034">
        <f>'TB-Pharmaceuticals'!$S120+'TB-Pharmaceuticals'!$Z120+'TB-Pharmaceuticals'!$AG120</f>
        <v>0</v>
      </c>
      <c r="AJ120" s="513" t="str">
        <f t="shared" si="33"/>
        <v/>
      </c>
      <c r="AK120" s="1243"/>
    </row>
    <row r="121" spans="1:37">
      <c r="A121" s="2406"/>
      <c r="B121" s="2407"/>
      <c r="C121" s="2407"/>
      <c r="D121" s="2406"/>
      <c r="E121" s="2407"/>
      <c r="F121" s="2408"/>
      <c r="G121" s="2406"/>
      <c r="H121" s="2407"/>
      <c r="I121" s="2407"/>
      <c r="J121" s="2408"/>
      <c r="K121" s="224" t="str">
        <f t="shared" si="31"/>
        <v/>
      </c>
      <c r="L121" s="224" t="str">
        <f t="shared" si="32"/>
        <v/>
      </c>
      <c r="M121" s="1042"/>
      <c r="N121" s="1048"/>
      <c r="O121" s="1048"/>
      <c r="P121" s="1048"/>
      <c r="Q121" s="1048"/>
      <c r="R121" s="514">
        <f>SUM('TB-Pharmaceuticals'!$N121:$Q121)</f>
        <v>0</v>
      </c>
      <c r="S121" s="1044">
        <f>'TB-Pharmaceuticals'!$M121*'TB-Pharmaceuticals'!$R121</f>
        <v>0</v>
      </c>
      <c r="T121" s="1042"/>
      <c r="U121" s="1048"/>
      <c r="V121" s="1048"/>
      <c r="W121" s="1048"/>
      <c r="X121" s="1048"/>
      <c r="Y121" s="514">
        <f>SUM('TB-Pharmaceuticals'!$U121:$X121)</f>
        <v>0</v>
      </c>
      <c r="Z121" s="1046">
        <f>'TB-Pharmaceuticals'!$T121*'TB-Pharmaceuticals'!$Y121</f>
        <v>0</v>
      </c>
      <c r="AA121" s="1042"/>
      <c r="AB121" s="1048"/>
      <c r="AC121" s="1048"/>
      <c r="AD121" s="1048"/>
      <c r="AE121" s="1048"/>
      <c r="AF121" s="514">
        <f>SUM('TB-Pharmaceuticals'!$AB121:$AE121)</f>
        <v>0</v>
      </c>
      <c r="AG121" s="1046">
        <f>'TB-Pharmaceuticals'!$AA121*'TB-Pharmaceuticals'!$AF121</f>
        <v>0</v>
      </c>
      <c r="AH121" s="1057">
        <f>'TB-Pharmaceuticals'!$R121+'TB-Pharmaceuticals'!$Y121+'TB-Pharmaceuticals'!$AF121</f>
        <v>0</v>
      </c>
      <c r="AI121" s="1046">
        <f>'TB-Pharmaceuticals'!$S121+'TB-Pharmaceuticals'!$Z121+'TB-Pharmaceuticals'!$AG121</f>
        <v>0</v>
      </c>
      <c r="AJ121" s="516" t="str">
        <f t="shared" si="33"/>
        <v/>
      </c>
      <c r="AK121" s="1244"/>
    </row>
    <row r="122" spans="1:37">
      <c r="A122" s="2412"/>
      <c r="B122" s="2109"/>
      <c r="C122" s="2109"/>
      <c r="D122" s="2412"/>
      <c r="E122" s="2109"/>
      <c r="F122" s="2109"/>
      <c r="G122" s="2412"/>
      <c r="H122" s="2109"/>
      <c r="I122" s="2109"/>
      <c r="J122" s="2413"/>
      <c r="K122" s="225" t="str">
        <f t="shared" si="31"/>
        <v/>
      </c>
      <c r="L122" s="226" t="str">
        <f t="shared" si="32"/>
        <v/>
      </c>
      <c r="M122" s="1023"/>
      <c r="N122" s="1039"/>
      <c r="O122" s="1039"/>
      <c r="P122" s="1039"/>
      <c r="Q122" s="1039"/>
      <c r="R122" s="492">
        <f>SUM('TB-Pharmaceuticals'!$N122:$Q122)</f>
        <v>0</v>
      </c>
      <c r="S122" s="1028">
        <f>'TB-Pharmaceuticals'!$M122*'TB-Pharmaceuticals'!$R122</f>
        <v>0</v>
      </c>
      <c r="T122" s="1023"/>
      <c r="U122" s="1039"/>
      <c r="V122" s="1039"/>
      <c r="W122" s="1039"/>
      <c r="X122" s="1039"/>
      <c r="Y122" s="492">
        <f>SUM('TB-Pharmaceuticals'!$U122:$X122)</f>
        <v>0</v>
      </c>
      <c r="Z122" s="1034">
        <f>'TB-Pharmaceuticals'!$T122*'TB-Pharmaceuticals'!$Y122</f>
        <v>0</v>
      </c>
      <c r="AA122" s="1023"/>
      <c r="AB122" s="1039"/>
      <c r="AC122" s="1039"/>
      <c r="AD122" s="1039"/>
      <c r="AE122" s="1039"/>
      <c r="AF122" s="492">
        <f>SUM('TB-Pharmaceuticals'!$AB122:$AE122)</f>
        <v>0</v>
      </c>
      <c r="AG122" s="1034">
        <f>'TB-Pharmaceuticals'!$AA122*'TB-Pharmaceuticals'!$AF122</f>
        <v>0</v>
      </c>
      <c r="AH122" s="1056">
        <f>'TB-Pharmaceuticals'!$R122+'TB-Pharmaceuticals'!$Y122+'TB-Pharmaceuticals'!$AF122</f>
        <v>0</v>
      </c>
      <c r="AI122" s="1034">
        <f>'TB-Pharmaceuticals'!$S122+'TB-Pharmaceuticals'!$Z122+'TB-Pharmaceuticals'!$AG122</f>
        <v>0</v>
      </c>
      <c r="AJ122" s="513" t="str">
        <f t="shared" si="33"/>
        <v/>
      </c>
      <c r="AK122" s="1243"/>
    </row>
    <row r="123" spans="1:37">
      <c r="A123" s="2406"/>
      <c r="B123" s="2407"/>
      <c r="C123" s="2407"/>
      <c r="D123" s="2406"/>
      <c r="E123" s="2407"/>
      <c r="F123" s="2407"/>
      <c r="G123" s="2406"/>
      <c r="H123" s="2407"/>
      <c r="I123" s="2407"/>
      <c r="J123" s="2408"/>
      <c r="K123" s="224" t="str">
        <f t="shared" si="31"/>
        <v/>
      </c>
      <c r="L123" s="224" t="str">
        <f t="shared" si="32"/>
        <v/>
      </c>
      <c r="M123" s="1042"/>
      <c r="N123" s="1048"/>
      <c r="O123" s="1048"/>
      <c r="P123" s="1048"/>
      <c r="Q123" s="1048"/>
      <c r="R123" s="514">
        <f>SUM('TB-Pharmaceuticals'!$N123:$Q123)</f>
        <v>0</v>
      </c>
      <c r="S123" s="1044">
        <f>'TB-Pharmaceuticals'!$M123*'TB-Pharmaceuticals'!$R123</f>
        <v>0</v>
      </c>
      <c r="T123" s="1042"/>
      <c r="U123" s="1048"/>
      <c r="V123" s="1048"/>
      <c r="W123" s="1048"/>
      <c r="X123" s="1048"/>
      <c r="Y123" s="514">
        <f>SUM('TB-Pharmaceuticals'!$U123:$X123)</f>
        <v>0</v>
      </c>
      <c r="Z123" s="1046">
        <f>'TB-Pharmaceuticals'!$T123*'TB-Pharmaceuticals'!$Y123</f>
        <v>0</v>
      </c>
      <c r="AA123" s="1042"/>
      <c r="AB123" s="1048"/>
      <c r="AC123" s="1048"/>
      <c r="AD123" s="1048"/>
      <c r="AE123" s="1048"/>
      <c r="AF123" s="514">
        <f>SUM('TB-Pharmaceuticals'!$AB123:$AE123)</f>
        <v>0</v>
      </c>
      <c r="AG123" s="1046">
        <f>'TB-Pharmaceuticals'!$AA123*'TB-Pharmaceuticals'!$AF123</f>
        <v>0</v>
      </c>
      <c r="AH123" s="1057">
        <f>'TB-Pharmaceuticals'!$R123+'TB-Pharmaceuticals'!$Y123+'TB-Pharmaceuticals'!$AF123</f>
        <v>0</v>
      </c>
      <c r="AI123" s="1046">
        <f>'TB-Pharmaceuticals'!$S123+'TB-Pharmaceuticals'!$Z123+'TB-Pharmaceuticals'!$AG123</f>
        <v>0</v>
      </c>
      <c r="AJ123" s="516" t="str">
        <f t="shared" si="33"/>
        <v/>
      </c>
      <c r="AK123" s="1244"/>
    </row>
    <row r="124" spans="1:37">
      <c r="A124" s="2412"/>
      <c r="B124" s="2109"/>
      <c r="C124" s="2109"/>
      <c r="D124" s="2412"/>
      <c r="E124" s="2109"/>
      <c r="F124" s="2109"/>
      <c r="G124" s="2412"/>
      <c r="H124" s="2109"/>
      <c r="I124" s="2109"/>
      <c r="J124" s="2413"/>
      <c r="K124" s="225" t="str">
        <f t="shared" si="31"/>
        <v/>
      </c>
      <c r="L124" s="226" t="str">
        <f t="shared" si="32"/>
        <v/>
      </c>
      <c r="M124" s="1023"/>
      <c r="N124" s="1039"/>
      <c r="O124" s="1039"/>
      <c r="P124" s="1039"/>
      <c r="Q124" s="1039"/>
      <c r="R124" s="492">
        <f>SUM('TB-Pharmaceuticals'!$N124:$Q124)</f>
        <v>0</v>
      </c>
      <c r="S124" s="1028">
        <f>'TB-Pharmaceuticals'!$M124*'TB-Pharmaceuticals'!$R124</f>
        <v>0</v>
      </c>
      <c r="T124" s="1023"/>
      <c r="U124" s="1039"/>
      <c r="V124" s="1039"/>
      <c r="W124" s="1039"/>
      <c r="X124" s="1039"/>
      <c r="Y124" s="492">
        <f>SUM('TB-Pharmaceuticals'!$U124:$X124)</f>
        <v>0</v>
      </c>
      <c r="Z124" s="1034">
        <f>'TB-Pharmaceuticals'!$T124*'TB-Pharmaceuticals'!$Y124</f>
        <v>0</v>
      </c>
      <c r="AA124" s="1023"/>
      <c r="AB124" s="1039"/>
      <c r="AC124" s="1039"/>
      <c r="AD124" s="1039"/>
      <c r="AE124" s="1039"/>
      <c r="AF124" s="492">
        <f>SUM('TB-Pharmaceuticals'!$AB124:$AE124)</f>
        <v>0</v>
      </c>
      <c r="AG124" s="1034">
        <f>'TB-Pharmaceuticals'!$AA124*'TB-Pharmaceuticals'!$AF124</f>
        <v>0</v>
      </c>
      <c r="AH124" s="1056">
        <f>'TB-Pharmaceuticals'!$R124+'TB-Pharmaceuticals'!$Y124+'TB-Pharmaceuticals'!$AF124</f>
        <v>0</v>
      </c>
      <c r="AI124" s="1034">
        <f>'TB-Pharmaceuticals'!$S124+'TB-Pharmaceuticals'!$Z124+'TB-Pharmaceuticals'!$AG124</f>
        <v>0</v>
      </c>
      <c r="AJ124" s="513" t="str">
        <f t="shared" si="33"/>
        <v/>
      </c>
      <c r="AK124" s="1243"/>
    </row>
    <row r="125" spans="1:37">
      <c r="A125" s="2406"/>
      <c r="B125" s="2407"/>
      <c r="C125" s="2407"/>
      <c r="D125" s="2406"/>
      <c r="E125" s="2407"/>
      <c r="F125" s="2407"/>
      <c r="G125" s="2406"/>
      <c r="H125" s="2407"/>
      <c r="I125" s="2407"/>
      <c r="J125" s="2408"/>
      <c r="K125" s="224" t="str">
        <f t="shared" si="31"/>
        <v/>
      </c>
      <c r="L125" s="224" t="str">
        <f t="shared" si="32"/>
        <v/>
      </c>
      <c r="M125" s="1042"/>
      <c r="N125" s="1048"/>
      <c r="O125" s="1048"/>
      <c r="P125" s="1048"/>
      <c r="Q125" s="1048"/>
      <c r="R125" s="514">
        <f>SUM('TB-Pharmaceuticals'!$N125:$Q125)</f>
        <v>0</v>
      </c>
      <c r="S125" s="1044">
        <f>'TB-Pharmaceuticals'!$M125*'TB-Pharmaceuticals'!$R125</f>
        <v>0</v>
      </c>
      <c r="T125" s="1042"/>
      <c r="U125" s="1048"/>
      <c r="V125" s="1048"/>
      <c r="W125" s="1048"/>
      <c r="X125" s="1048"/>
      <c r="Y125" s="514">
        <f>SUM('TB-Pharmaceuticals'!$U125:$X125)</f>
        <v>0</v>
      </c>
      <c r="Z125" s="1046">
        <f>'TB-Pharmaceuticals'!$T125*'TB-Pharmaceuticals'!$Y125</f>
        <v>0</v>
      </c>
      <c r="AA125" s="1042"/>
      <c r="AB125" s="1048"/>
      <c r="AC125" s="1048"/>
      <c r="AD125" s="1048"/>
      <c r="AE125" s="1048"/>
      <c r="AF125" s="514">
        <f>SUM('TB-Pharmaceuticals'!$AB125:$AE125)</f>
        <v>0</v>
      </c>
      <c r="AG125" s="1046">
        <f>'TB-Pharmaceuticals'!$AA125*'TB-Pharmaceuticals'!$AF125</f>
        <v>0</v>
      </c>
      <c r="AH125" s="1057">
        <f>'TB-Pharmaceuticals'!$R125+'TB-Pharmaceuticals'!$Y125+'TB-Pharmaceuticals'!$AF125</f>
        <v>0</v>
      </c>
      <c r="AI125" s="1046">
        <f>'TB-Pharmaceuticals'!$S125+'TB-Pharmaceuticals'!$Z125+'TB-Pharmaceuticals'!$AG125</f>
        <v>0</v>
      </c>
      <c r="AJ125" s="516" t="str">
        <f t="shared" si="33"/>
        <v/>
      </c>
      <c r="AK125" s="1244"/>
    </row>
    <row r="126" spans="1:37">
      <c r="A126" s="2412"/>
      <c r="B126" s="2109"/>
      <c r="C126" s="2109"/>
      <c r="D126" s="2412"/>
      <c r="E126" s="2109"/>
      <c r="F126" s="2109"/>
      <c r="G126" s="2412"/>
      <c r="H126" s="2109"/>
      <c r="I126" s="2109"/>
      <c r="J126" s="2413"/>
      <c r="K126" s="225" t="str">
        <f t="shared" si="31"/>
        <v/>
      </c>
      <c r="L126" s="226" t="str">
        <f t="shared" si="32"/>
        <v/>
      </c>
      <c r="M126" s="1023"/>
      <c r="N126" s="1039"/>
      <c r="O126" s="1039"/>
      <c r="P126" s="1039"/>
      <c r="Q126" s="1039"/>
      <c r="R126" s="492">
        <f>SUM('TB-Pharmaceuticals'!$N126:$Q126)</f>
        <v>0</v>
      </c>
      <c r="S126" s="1028">
        <f>'TB-Pharmaceuticals'!$M126*'TB-Pharmaceuticals'!$R126</f>
        <v>0</v>
      </c>
      <c r="T126" s="1023"/>
      <c r="U126" s="1039"/>
      <c r="V126" s="1039"/>
      <c r="W126" s="1039"/>
      <c r="X126" s="1039"/>
      <c r="Y126" s="492">
        <f>SUM('TB-Pharmaceuticals'!$U126:$X126)</f>
        <v>0</v>
      </c>
      <c r="Z126" s="1034">
        <f>'TB-Pharmaceuticals'!$T126*'TB-Pharmaceuticals'!$Y126</f>
        <v>0</v>
      </c>
      <c r="AA126" s="1023"/>
      <c r="AB126" s="1039"/>
      <c r="AC126" s="1039"/>
      <c r="AD126" s="1039"/>
      <c r="AE126" s="1039"/>
      <c r="AF126" s="492">
        <f>SUM('TB-Pharmaceuticals'!$AB126:$AE126)</f>
        <v>0</v>
      </c>
      <c r="AG126" s="1034">
        <f>'TB-Pharmaceuticals'!$AA126*'TB-Pharmaceuticals'!$AF126</f>
        <v>0</v>
      </c>
      <c r="AH126" s="1056">
        <f>'TB-Pharmaceuticals'!$R126+'TB-Pharmaceuticals'!$Y126+'TB-Pharmaceuticals'!$AF126</f>
        <v>0</v>
      </c>
      <c r="AI126" s="1034">
        <f>'TB-Pharmaceuticals'!$S126+'TB-Pharmaceuticals'!$Z126+'TB-Pharmaceuticals'!$AG126</f>
        <v>0</v>
      </c>
      <c r="AJ126" s="513" t="str">
        <f t="shared" si="33"/>
        <v/>
      </c>
      <c r="AK126" s="1243"/>
    </row>
    <row r="127" spans="1:37">
      <c r="A127" s="2406"/>
      <c r="B127" s="2407"/>
      <c r="C127" s="2407"/>
      <c r="D127" s="2406"/>
      <c r="E127" s="2407"/>
      <c r="F127" s="2407"/>
      <c r="G127" s="2406"/>
      <c r="H127" s="2407"/>
      <c r="I127" s="2407"/>
      <c r="J127" s="2408"/>
      <c r="K127" s="224" t="str">
        <f t="shared" si="31"/>
        <v/>
      </c>
      <c r="L127" s="224" t="str">
        <f t="shared" si="32"/>
        <v/>
      </c>
      <c r="M127" s="1042"/>
      <c r="N127" s="1048"/>
      <c r="O127" s="1048"/>
      <c r="P127" s="1048"/>
      <c r="Q127" s="1048"/>
      <c r="R127" s="514">
        <f>SUM('TB-Pharmaceuticals'!$N127:$Q127)</f>
        <v>0</v>
      </c>
      <c r="S127" s="1044">
        <f>'TB-Pharmaceuticals'!$M127*'TB-Pharmaceuticals'!$R127</f>
        <v>0</v>
      </c>
      <c r="T127" s="1042"/>
      <c r="U127" s="1048"/>
      <c r="V127" s="1048"/>
      <c r="W127" s="1048"/>
      <c r="X127" s="1048"/>
      <c r="Y127" s="514">
        <f>SUM('TB-Pharmaceuticals'!$U127:$X127)</f>
        <v>0</v>
      </c>
      <c r="Z127" s="1046">
        <f>'TB-Pharmaceuticals'!$T127*'TB-Pharmaceuticals'!$Y127</f>
        <v>0</v>
      </c>
      <c r="AA127" s="1042"/>
      <c r="AB127" s="1048"/>
      <c r="AC127" s="1048"/>
      <c r="AD127" s="1048"/>
      <c r="AE127" s="1048"/>
      <c r="AF127" s="514">
        <f>SUM('TB-Pharmaceuticals'!$AB127:$AE127)</f>
        <v>0</v>
      </c>
      <c r="AG127" s="1046">
        <f>'TB-Pharmaceuticals'!$AA127*'TB-Pharmaceuticals'!$AF127</f>
        <v>0</v>
      </c>
      <c r="AH127" s="1057">
        <f>'TB-Pharmaceuticals'!$R127+'TB-Pharmaceuticals'!$Y127+'TB-Pharmaceuticals'!$AF127</f>
        <v>0</v>
      </c>
      <c r="AI127" s="1046">
        <f>'TB-Pharmaceuticals'!$S127+'TB-Pharmaceuticals'!$Z127+'TB-Pharmaceuticals'!$AG127</f>
        <v>0</v>
      </c>
      <c r="AJ127" s="516" t="str">
        <f t="shared" si="33"/>
        <v/>
      </c>
      <c r="AK127" s="1244"/>
    </row>
    <row r="128" spans="1:37">
      <c r="A128" s="2412"/>
      <c r="B128" s="2109"/>
      <c r="C128" s="2109"/>
      <c r="D128" s="2412"/>
      <c r="E128" s="2109"/>
      <c r="F128" s="2109"/>
      <c r="G128" s="2412"/>
      <c r="H128" s="2109"/>
      <c r="I128" s="2109"/>
      <c r="J128" s="2413"/>
      <c r="K128" s="225" t="str">
        <f t="shared" si="31"/>
        <v/>
      </c>
      <c r="L128" s="226" t="str">
        <f t="shared" si="32"/>
        <v/>
      </c>
      <c r="M128" s="1023"/>
      <c r="N128" s="1039"/>
      <c r="O128" s="1039"/>
      <c r="P128" s="1039"/>
      <c r="Q128" s="1039"/>
      <c r="R128" s="492">
        <f>SUM('TB-Pharmaceuticals'!$N128:$Q128)</f>
        <v>0</v>
      </c>
      <c r="S128" s="1028">
        <f>'TB-Pharmaceuticals'!$M128*'TB-Pharmaceuticals'!$R128</f>
        <v>0</v>
      </c>
      <c r="T128" s="1023"/>
      <c r="U128" s="1039"/>
      <c r="V128" s="1039"/>
      <c r="W128" s="1039"/>
      <c r="X128" s="1039"/>
      <c r="Y128" s="492">
        <f>SUM('TB-Pharmaceuticals'!$U128:$X128)</f>
        <v>0</v>
      </c>
      <c r="Z128" s="1034">
        <f>'TB-Pharmaceuticals'!$T128*'TB-Pharmaceuticals'!$Y128</f>
        <v>0</v>
      </c>
      <c r="AA128" s="1023"/>
      <c r="AB128" s="1039"/>
      <c r="AC128" s="1039"/>
      <c r="AD128" s="1039"/>
      <c r="AE128" s="1039"/>
      <c r="AF128" s="492">
        <f>SUM('TB-Pharmaceuticals'!$AB128:$AE128)</f>
        <v>0</v>
      </c>
      <c r="AG128" s="1034">
        <f>'TB-Pharmaceuticals'!$AA128*'TB-Pharmaceuticals'!$AF128</f>
        <v>0</v>
      </c>
      <c r="AH128" s="1056">
        <f>'TB-Pharmaceuticals'!$R128+'TB-Pharmaceuticals'!$Y128+'TB-Pharmaceuticals'!$AF128</f>
        <v>0</v>
      </c>
      <c r="AI128" s="1034">
        <f>'TB-Pharmaceuticals'!$S128+'TB-Pharmaceuticals'!$Z128+'TB-Pharmaceuticals'!$AG128</f>
        <v>0</v>
      </c>
      <c r="AJ128" s="513" t="str">
        <f t="shared" si="33"/>
        <v/>
      </c>
      <c r="AK128" s="1243"/>
    </row>
    <row r="129" spans="1:37">
      <c r="A129" s="2406"/>
      <c r="B129" s="2407"/>
      <c r="C129" s="2407"/>
      <c r="D129" s="2406"/>
      <c r="E129" s="2407"/>
      <c r="F129" s="2407"/>
      <c r="G129" s="2406"/>
      <c r="H129" s="2407"/>
      <c r="I129" s="2407"/>
      <c r="J129" s="2408"/>
      <c r="K129" s="224" t="str">
        <f t="shared" si="31"/>
        <v/>
      </c>
      <c r="L129" s="224" t="str">
        <f t="shared" si="32"/>
        <v/>
      </c>
      <c r="M129" s="1042"/>
      <c r="N129" s="1048"/>
      <c r="O129" s="1048"/>
      <c r="P129" s="1048"/>
      <c r="Q129" s="1048"/>
      <c r="R129" s="514">
        <f>SUM('TB-Pharmaceuticals'!$N129:$Q129)</f>
        <v>0</v>
      </c>
      <c r="S129" s="1044">
        <f>'TB-Pharmaceuticals'!$M129*'TB-Pharmaceuticals'!$R129</f>
        <v>0</v>
      </c>
      <c r="T129" s="1042"/>
      <c r="U129" s="1048"/>
      <c r="V129" s="1048"/>
      <c r="W129" s="1048"/>
      <c r="X129" s="1048"/>
      <c r="Y129" s="514">
        <f>SUM('TB-Pharmaceuticals'!$U129:$X129)</f>
        <v>0</v>
      </c>
      <c r="Z129" s="1032">
        <f>'TB-Pharmaceuticals'!$T129*'TB-Pharmaceuticals'!$Y129</f>
        <v>0</v>
      </c>
      <c r="AA129" s="1042"/>
      <c r="AB129" s="1048"/>
      <c r="AC129" s="1048"/>
      <c r="AD129" s="1048"/>
      <c r="AE129" s="1048"/>
      <c r="AF129" s="514">
        <f>SUM('TB-Pharmaceuticals'!$AB129:$AE129)</f>
        <v>0</v>
      </c>
      <c r="AG129" s="1046">
        <f>'TB-Pharmaceuticals'!$AA129*'TB-Pharmaceuticals'!$AF129</f>
        <v>0</v>
      </c>
      <c r="AH129" s="1057">
        <f>'TB-Pharmaceuticals'!$R129+'TB-Pharmaceuticals'!$Y129+'TB-Pharmaceuticals'!$AF129</f>
        <v>0</v>
      </c>
      <c r="AI129" s="1046">
        <f>'TB-Pharmaceuticals'!$S129+'TB-Pharmaceuticals'!$Z129+'TB-Pharmaceuticals'!$AG129</f>
        <v>0</v>
      </c>
      <c r="AJ129" s="517" t="str">
        <f t="shared" si="33"/>
        <v/>
      </c>
      <c r="AK129" s="1245"/>
    </row>
    <row r="130" spans="1:37" ht="15" thickBot="1">
      <c r="A130" s="2409"/>
      <c r="B130" s="2410"/>
      <c r="C130" s="2410"/>
      <c r="D130" s="2409"/>
      <c r="E130" s="2410"/>
      <c r="F130" s="2410"/>
      <c r="G130" s="2409"/>
      <c r="H130" s="2410"/>
      <c r="I130" s="2410"/>
      <c r="J130" s="2411"/>
      <c r="K130" s="227" t="str">
        <f t="shared" si="31"/>
        <v/>
      </c>
      <c r="L130" s="393" t="str">
        <f t="shared" si="32"/>
        <v/>
      </c>
      <c r="M130" s="1024"/>
      <c r="N130" s="1040"/>
      <c r="O130" s="1040"/>
      <c r="P130" s="1040"/>
      <c r="Q130" s="1040"/>
      <c r="R130" s="495">
        <f>SUM('TB-Pharmaceuticals'!$N130:$Q130)</f>
        <v>0</v>
      </c>
      <c r="S130" s="1029">
        <f>'TB-Pharmaceuticals'!$M130*'TB-Pharmaceuticals'!$R130</f>
        <v>0</v>
      </c>
      <c r="T130" s="1024"/>
      <c r="U130" s="1040"/>
      <c r="V130" s="1040"/>
      <c r="W130" s="1040"/>
      <c r="X130" s="1040"/>
      <c r="Y130" s="495">
        <f>SUM('TB-Pharmaceuticals'!$U130:$X130)</f>
        <v>0</v>
      </c>
      <c r="Z130" s="1033">
        <f>'TB-Pharmaceuticals'!$T130*'TB-Pharmaceuticals'!$Y130</f>
        <v>0</v>
      </c>
      <c r="AA130" s="1024"/>
      <c r="AB130" s="1040"/>
      <c r="AC130" s="1040"/>
      <c r="AD130" s="1040"/>
      <c r="AE130" s="1040"/>
      <c r="AF130" s="495">
        <f>SUM('TB-Pharmaceuticals'!$AB130:$AE130)</f>
        <v>0</v>
      </c>
      <c r="AG130" s="1035">
        <f>'TB-Pharmaceuticals'!$AA130*'TB-Pharmaceuticals'!$AF130</f>
        <v>0</v>
      </c>
      <c r="AH130" s="1058">
        <f>'TB-Pharmaceuticals'!$R130+'TB-Pharmaceuticals'!$Y130+'TB-Pharmaceuticals'!$AF130</f>
        <v>0</v>
      </c>
      <c r="AI130" s="1035">
        <f>'TB-Pharmaceuticals'!$S130+'TB-Pharmaceuticals'!$Z130+'TB-Pharmaceuticals'!$AG130</f>
        <v>0</v>
      </c>
      <c r="AJ130" s="497" t="str">
        <f t="shared" si="33"/>
        <v/>
      </c>
      <c r="AK130" s="1246"/>
    </row>
  </sheetData>
  <sheetProtection algorithmName="SHA-512" hashValue="gK5jypaJnyf/l94YpOUdeoaIhP3SPx0k2wQTfqN7EtRl7msoEz8+m3BYJ38m5AI6TrXh5PVpTdSk0eDXPduv7w==" saltValue="WhlKQHdNhix4CbuktEjc+g==" spinCount="100000" sheet="1" formatColumns="0" formatRows="0" selectLockedCells="1" autoFilter="0"/>
  <dataConsolidate/>
  <mergeCells count="369">
    <mergeCell ref="AK39:AK40"/>
    <mergeCell ref="AK66:AK67"/>
    <mergeCell ref="AK109:AK110"/>
    <mergeCell ref="T39:Z39"/>
    <mergeCell ref="AA39:AG39"/>
    <mergeCell ref="AH39:AI39"/>
    <mergeCell ref="AA66:AG66"/>
    <mergeCell ref="AH66:AI66"/>
    <mergeCell ref="T66:Z66"/>
    <mergeCell ref="M66:S66"/>
    <mergeCell ref="M109:S109"/>
    <mergeCell ref="T109:Z109"/>
    <mergeCell ref="AA109:AG109"/>
    <mergeCell ref="AH109:AI109"/>
    <mergeCell ref="A87:C87"/>
    <mergeCell ref="A88:C88"/>
    <mergeCell ref="A98:C98"/>
    <mergeCell ref="A99:C99"/>
    <mergeCell ref="A100:C100"/>
    <mergeCell ref="A101:C101"/>
    <mergeCell ref="A102:C102"/>
    <mergeCell ref="A89:C89"/>
    <mergeCell ref="A90:C90"/>
    <mergeCell ref="A91:C91"/>
    <mergeCell ref="A92:C92"/>
    <mergeCell ref="A93:C93"/>
    <mergeCell ref="A94:C94"/>
    <mergeCell ref="A95:C95"/>
    <mergeCell ref="A96:C96"/>
    <mergeCell ref="A97:C97"/>
    <mergeCell ref="A78:C78"/>
    <mergeCell ref="A79:C79"/>
    <mergeCell ref="A80:C80"/>
    <mergeCell ref="A84:C84"/>
    <mergeCell ref="A85:C85"/>
    <mergeCell ref="A86:C86"/>
    <mergeCell ref="A69:C69"/>
    <mergeCell ref="A70:C70"/>
    <mergeCell ref="A71:C71"/>
    <mergeCell ref="A72:C72"/>
    <mergeCell ref="A73:C73"/>
    <mergeCell ref="A74:C74"/>
    <mergeCell ref="A75:C75"/>
    <mergeCell ref="A76:C76"/>
    <mergeCell ref="A77:C77"/>
    <mergeCell ref="A66:C67"/>
    <mergeCell ref="A68:C68"/>
    <mergeCell ref="A44:C44"/>
    <mergeCell ref="A45:C45"/>
    <mergeCell ref="A46:C46"/>
    <mergeCell ref="A81:C81"/>
    <mergeCell ref="A82:C82"/>
    <mergeCell ref="A83:C83"/>
    <mergeCell ref="A42:C42"/>
    <mergeCell ref="A43:C43"/>
    <mergeCell ref="A47:C47"/>
    <mergeCell ref="A49:C49"/>
    <mergeCell ref="A51:C51"/>
    <mergeCell ref="A53:C53"/>
    <mergeCell ref="A55:C55"/>
    <mergeCell ref="A57:C57"/>
    <mergeCell ref="A48:C48"/>
    <mergeCell ref="A50:C50"/>
    <mergeCell ref="A52:C52"/>
    <mergeCell ref="A54:C54"/>
    <mergeCell ref="A56:C56"/>
    <mergeCell ref="A64:L64"/>
    <mergeCell ref="D59:F59"/>
    <mergeCell ref="G59:J59"/>
    <mergeCell ref="D41:F41"/>
    <mergeCell ref="D35:G35"/>
    <mergeCell ref="D36:G36"/>
    <mergeCell ref="D42:F42"/>
    <mergeCell ref="G42:J42"/>
    <mergeCell ref="D43:F43"/>
    <mergeCell ref="G43:J43"/>
    <mergeCell ref="H35:H36"/>
    <mergeCell ref="A24:C24"/>
    <mergeCell ref="A26:C26"/>
    <mergeCell ref="A28:C28"/>
    <mergeCell ref="A30:C30"/>
    <mergeCell ref="A32:C32"/>
    <mergeCell ref="D33:F33"/>
    <mergeCell ref="D24:F24"/>
    <mergeCell ref="D26:F26"/>
    <mergeCell ref="D28:F28"/>
    <mergeCell ref="D30:F30"/>
    <mergeCell ref="D32:F32"/>
    <mergeCell ref="A25:C25"/>
    <mergeCell ref="B35:C36"/>
    <mergeCell ref="A35:A36"/>
    <mergeCell ref="A41:C41"/>
    <mergeCell ref="A37:L37"/>
    <mergeCell ref="A18:C18"/>
    <mergeCell ref="A17:C17"/>
    <mergeCell ref="A19:C19"/>
    <mergeCell ref="A20:C20"/>
    <mergeCell ref="D19:F19"/>
    <mergeCell ref="B5:B6"/>
    <mergeCell ref="B8:C9"/>
    <mergeCell ref="D8:G8"/>
    <mergeCell ref="D9:G9"/>
    <mergeCell ref="D14:F14"/>
    <mergeCell ref="G14:J14"/>
    <mergeCell ref="C5:D6"/>
    <mergeCell ref="D12:F13"/>
    <mergeCell ref="G12:J13"/>
    <mergeCell ref="D16:F16"/>
    <mergeCell ref="G16:J16"/>
    <mergeCell ref="D15:F15"/>
    <mergeCell ref="G15:J15"/>
    <mergeCell ref="H5:K6"/>
    <mergeCell ref="A10:L10"/>
    <mergeCell ref="D60:F60"/>
    <mergeCell ref="G60:J60"/>
    <mergeCell ref="G52:J52"/>
    <mergeCell ref="G54:J54"/>
    <mergeCell ref="G56:J56"/>
    <mergeCell ref="D47:F47"/>
    <mergeCell ref="D49:F49"/>
    <mergeCell ref="D51:F51"/>
    <mergeCell ref="D53:F53"/>
    <mergeCell ref="D55:F55"/>
    <mergeCell ref="D57:F57"/>
    <mergeCell ref="D48:F48"/>
    <mergeCell ref="D50:F50"/>
    <mergeCell ref="D52:F52"/>
    <mergeCell ref="D54:F54"/>
    <mergeCell ref="D56:F56"/>
    <mergeCell ref="G47:J47"/>
    <mergeCell ref="G49:J49"/>
    <mergeCell ref="G51:J51"/>
    <mergeCell ref="G53:J53"/>
    <mergeCell ref="G55:J55"/>
    <mergeCell ref="G57:J57"/>
    <mergeCell ref="G58:J58"/>
    <mergeCell ref="G3:G4"/>
    <mergeCell ref="G5:G6"/>
    <mergeCell ref="A12:C13"/>
    <mergeCell ref="A14:C14"/>
    <mergeCell ref="A15:C15"/>
    <mergeCell ref="A16:C16"/>
    <mergeCell ref="A8:A9"/>
    <mergeCell ref="B3:B4"/>
    <mergeCell ref="C3:D4"/>
    <mergeCell ref="N1:N2"/>
    <mergeCell ref="G39:J40"/>
    <mergeCell ref="K12:K13"/>
    <mergeCell ref="K39:K40"/>
    <mergeCell ref="G23:J23"/>
    <mergeCell ref="G25:J25"/>
    <mergeCell ref="G27:J27"/>
    <mergeCell ref="G29:J29"/>
    <mergeCell ref="G31:J31"/>
    <mergeCell ref="G24:J24"/>
    <mergeCell ref="G26:J26"/>
    <mergeCell ref="G28:J28"/>
    <mergeCell ref="G30:J30"/>
    <mergeCell ref="L39:L40"/>
    <mergeCell ref="G33:J33"/>
    <mergeCell ref="G32:J32"/>
    <mergeCell ref="M39:S39"/>
    <mergeCell ref="O1:P2"/>
    <mergeCell ref="M1:M2"/>
    <mergeCell ref="H8:H9"/>
    <mergeCell ref="G17:J17"/>
    <mergeCell ref="H3:K4"/>
    <mergeCell ref="A1:K1"/>
    <mergeCell ref="A21:C21"/>
    <mergeCell ref="D70:F70"/>
    <mergeCell ref="G70:J70"/>
    <mergeCell ref="D71:F71"/>
    <mergeCell ref="G71:J71"/>
    <mergeCell ref="D72:F72"/>
    <mergeCell ref="G72:J72"/>
    <mergeCell ref="H62:H63"/>
    <mergeCell ref="D66:F67"/>
    <mergeCell ref="G66:J67"/>
    <mergeCell ref="D68:F68"/>
    <mergeCell ref="G68:J68"/>
    <mergeCell ref="D62:G62"/>
    <mergeCell ref="D63:G63"/>
    <mergeCell ref="D69:F69"/>
    <mergeCell ref="G69:J69"/>
    <mergeCell ref="D73:F73"/>
    <mergeCell ref="G73:J73"/>
    <mergeCell ref="D74:F74"/>
    <mergeCell ref="G74:J74"/>
    <mergeCell ref="D75:F75"/>
    <mergeCell ref="G75:J75"/>
    <mergeCell ref="D76:F76"/>
    <mergeCell ref="G76:J76"/>
    <mergeCell ref="D77:F77"/>
    <mergeCell ref="G77:J77"/>
    <mergeCell ref="D78:F78"/>
    <mergeCell ref="G78:J78"/>
    <mergeCell ref="D79:F79"/>
    <mergeCell ref="G79:J79"/>
    <mergeCell ref="D80:F80"/>
    <mergeCell ref="G80:J80"/>
    <mergeCell ref="D81:F81"/>
    <mergeCell ref="G81:J81"/>
    <mergeCell ref="D82:F82"/>
    <mergeCell ref="G82:J82"/>
    <mergeCell ref="D84:F84"/>
    <mergeCell ref="G84:J84"/>
    <mergeCell ref="G92:J92"/>
    <mergeCell ref="D93:F93"/>
    <mergeCell ref="G93:J93"/>
    <mergeCell ref="D94:F94"/>
    <mergeCell ref="G94:J94"/>
    <mergeCell ref="D85:F85"/>
    <mergeCell ref="G85:J85"/>
    <mergeCell ref="D86:F86"/>
    <mergeCell ref="G86:J86"/>
    <mergeCell ref="D87:F87"/>
    <mergeCell ref="G87:J87"/>
    <mergeCell ref="D88:F88"/>
    <mergeCell ref="G88:J88"/>
    <mergeCell ref="D89:F89"/>
    <mergeCell ref="G89:J89"/>
    <mergeCell ref="D90:F90"/>
    <mergeCell ref="G90:J90"/>
    <mergeCell ref="D91:F91"/>
    <mergeCell ref="G91:J91"/>
    <mergeCell ref="D92:F92"/>
    <mergeCell ref="A112:C112"/>
    <mergeCell ref="D112:F112"/>
    <mergeCell ref="G112:J112"/>
    <mergeCell ref="A113:C113"/>
    <mergeCell ref="D113:F113"/>
    <mergeCell ref="G113:J113"/>
    <mergeCell ref="D100:F100"/>
    <mergeCell ref="G100:J100"/>
    <mergeCell ref="D101:F101"/>
    <mergeCell ref="G101:J101"/>
    <mergeCell ref="D102:F102"/>
    <mergeCell ref="G102:J102"/>
    <mergeCell ref="A108:D108"/>
    <mergeCell ref="D103:F103"/>
    <mergeCell ref="G103:J103"/>
    <mergeCell ref="A103:C103"/>
    <mergeCell ref="A105:A106"/>
    <mergeCell ref="B105:C106"/>
    <mergeCell ref="H105:H106"/>
    <mergeCell ref="A107:L107"/>
    <mergeCell ref="A109:C110"/>
    <mergeCell ref="D109:F110"/>
    <mergeCell ref="G109:J110"/>
    <mergeCell ref="K109:K110"/>
    <mergeCell ref="AW11:BH11"/>
    <mergeCell ref="AW12:AZ12"/>
    <mergeCell ref="BA12:BD12"/>
    <mergeCell ref="BE12:BH12"/>
    <mergeCell ref="M12:S12"/>
    <mergeCell ref="G20:J20"/>
    <mergeCell ref="D21:F21"/>
    <mergeCell ref="G21:J21"/>
    <mergeCell ref="D22:F22"/>
    <mergeCell ref="G22:J22"/>
    <mergeCell ref="L12:L13"/>
    <mergeCell ref="T12:Z12"/>
    <mergeCell ref="AA12:AG12"/>
    <mergeCell ref="G19:J19"/>
    <mergeCell ref="D20:F20"/>
    <mergeCell ref="AH12:AI12"/>
    <mergeCell ref="D17:F17"/>
    <mergeCell ref="D18:F18"/>
    <mergeCell ref="G18:J18"/>
    <mergeCell ref="AK12:AK13"/>
    <mergeCell ref="D44:F44"/>
    <mergeCell ref="G44:J44"/>
    <mergeCell ref="D45:F45"/>
    <mergeCell ref="G45:J45"/>
    <mergeCell ref="D46:F46"/>
    <mergeCell ref="G48:J48"/>
    <mergeCell ref="G50:J50"/>
    <mergeCell ref="G46:J46"/>
    <mergeCell ref="A22:C22"/>
    <mergeCell ref="A39:C40"/>
    <mergeCell ref="D23:F23"/>
    <mergeCell ref="D27:F27"/>
    <mergeCell ref="D29:F29"/>
    <mergeCell ref="D31:F31"/>
    <mergeCell ref="D39:F40"/>
    <mergeCell ref="G34:J34"/>
    <mergeCell ref="G41:J41"/>
    <mergeCell ref="A23:C23"/>
    <mergeCell ref="A27:C27"/>
    <mergeCell ref="A29:C29"/>
    <mergeCell ref="A31:C31"/>
    <mergeCell ref="A33:C33"/>
    <mergeCell ref="D25:F25"/>
    <mergeCell ref="D34:F34"/>
    <mergeCell ref="L109:L110"/>
    <mergeCell ref="A111:C111"/>
    <mergeCell ref="D111:F111"/>
    <mergeCell ref="G111:J111"/>
    <mergeCell ref="A58:C58"/>
    <mergeCell ref="D58:F58"/>
    <mergeCell ref="K66:K67"/>
    <mergeCell ref="L66:L67"/>
    <mergeCell ref="A59:C59"/>
    <mergeCell ref="A60:C60"/>
    <mergeCell ref="A62:A63"/>
    <mergeCell ref="B62:C63"/>
    <mergeCell ref="D95:F95"/>
    <mergeCell ref="G95:J95"/>
    <mergeCell ref="D96:F96"/>
    <mergeCell ref="G96:J96"/>
    <mergeCell ref="D97:F97"/>
    <mergeCell ref="G97:J97"/>
    <mergeCell ref="D98:F98"/>
    <mergeCell ref="G98:J98"/>
    <mergeCell ref="D99:F99"/>
    <mergeCell ref="G99:J99"/>
    <mergeCell ref="D83:F83"/>
    <mergeCell ref="G83:J83"/>
    <mergeCell ref="A114:C114"/>
    <mergeCell ref="D114:F114"/>
    <mergeCell ref="G114:J114"/>
    <mergeCell ref="A115:C115"/>
    <mergeCell ref="D115:F115"/>
    <mergeCell ref="G115:J115"/>
    <mergeCell ref="A116:C116"/>
    <mergeCell ref="D116:F116"/>
    <mergeCell ref="G116:J116"/>
    <mergeCell ref="A117:C117"/>
    <mergeCell ref="D117:F117"/>
    <mergeCell ref="G117:J117"/>
    <mergeCell ref="A118:C118"/>
    <mergeCell ref="D118:F118"/>
    <mergeCell ref="G118:J118"/>
    <mergeCell ref="A119:C119"/>
    <mergeCell ref="D119:F119"/>
    <mergeCell ref="G119:J119"/>
    <mergeCell ref="A120:C120"/>
    <mergeCell ref="D120:F120"/>
    <mergeCell ref="G120:J120"/>
    <mergeCell ref="A121:C121"/>
    <mergeCell ref="D121:F121"/>
    <mergeCell ref="G121:J121"/>
    <mergeCell ref="A122:C122"/>
    <mergeCell ref="D122:F122"/>
    <mergeCell ref="G122:J122"/>
    <mergeCell ref="A123:C123"/>
    <mergeCell ref="D123:F123"/>
    <mergeCell ref="G123:J123"/>
    <mergeCell ref="A124:C124"/>
    <mergeCell ref="D124:F124"/>
    <mergeCell ref="G124:J124"/>
    <mergeCell ref="A125:C125"/>
    <mergeCell ref="D125:F125"/>
    <mergeCell ref="G125:J125"/>
    <mergeCell ref="A129:C129"/>
    <mergeCell ref="D129:F129"/>
    <mergeCell ref="G129:J129"/>
    <mergeCell ref="A130:C130"/>
    <mergeCell ref="D130:F130"/>
    <mergeCell ref="G130:J130"/>
    <mergeCell ref="A126:C126"/>
    <mergeCell ref="D126:F126"/>
    <mergeCell ref="G126:J126"/>
    <mergeCell ref="A127:C127"/>
    <mergeCell ref="D127:F127"/>
    <mergeCell ref="G127:J127"/>
    <mergeCell ref="A128:C128"/>
    <mergeCell ref="D128:F128"/>
    <mergeCell ref="G128:J128"/>
  </mergeCells>
  <conditionalFormatting sqref="D34:F34">
    <cfRule type="expression" dxfId="339" priority="232">
      <formula>AND(ISTEXT(G34),ISBLANK(D34))</formula>
    </cfRule>
  </conditionalFormatting>
  <conditionalFormatting sqref="D61:F61">
    <cfRule type="expression" dxfId="338" priority="9">
      <formula>AND(ISTEXT(G61),ISBLANK(D61))</formula>
    </cfRule>
  </conditionalFormatting>
  <conditionalFormatting sqref="G34:J34 G61:J61">
    <cfRule type="expression" dxfId="337" priority="502">
      <formula>NOT(ISERROR(#REF!))</formula>
    </cfRule>
    <cfRule type="expression" dxfId="336" priority="503">
      <formula>ISTEXT(D34)</formula>
    </cfRule>
  </conditionalFormatting>
  <dataValidations count="3">
    <dataValidation type="list" allowBlank="1" showInputMessage="1" showErrorMessage="1" sqref="E108:F108" xr:uid="{00000000-0002-0000-0C00-000000000000}">
      <formula1>YesNo</formula1>
    </dataValidation>
    <dataValidation type="list" allowBlank="1" showInputMessage="1" showErrorMessage="1" sqref="D41:J60 D68:J103 D14:J33 D111:J130" xr:uid="{00000000-0002-0000-0C00-000001000000}">
      <formula1>INDIRECT(SUBSTITUTE(SUBSTITUTE(SUBSTITUTE(SUBSTITUTE(SUBSTITUTE(SUBSTITUTE(SUBSTITUTE(SUBSTITUTE(SUBSTITUTE(SUBSTITUTE(SUBSTITUTE(A14,",",""),":",""),"/"," "),"(",""),")",""),"-"," "),"  "," ")," ","_"),"&amp;",""),"__","_"),"+","_"))</formula1>
    </dataValidation>
    <dataValidation type="decimal" allowBlank="1" showInputMessage="1" showErrorMessage="1" sqref="M14:AG33 M41:AG60 M68:AG103 M111:AG130" xr:uid="{ADCF7AD8-009F-4D47-A728-D2A0ABD10E3B}">
      <formula1>0</formula1>
      <formula2>1E+29</formula2>
    </dataValidation>
  </dataValidations>
  <hyperlinks>
    <hyperlink ref="H105" location="'TB-Pharmaceuticals'!A8" display="Back to anti TB medicines" xr:uid="{00000000-0004-0000-0C00-000001000000}"/>
    <hyperlink ref="N1:N2" location="'TB-Key Info'!A1" display="Back to TB key info" xr:uid="{00000000-0004-0000-0C00-000002000000}"/>
    <hyperlink ref="O1:P2" location="'TB-EQUIPMENT &amp; OTHER HPs'!A1" display="Go to TB-Other HPs &amp; Equipment" xr:uid="{00000000-0004-0000-0C00-000003000000}"/>
    <hyperlink ref="H8" location="'TB-Pharmaceuticals'!A65" display="Go to other medicines" xr:uid="{00000000-0004-0000-0C00-000004000000}"/>
    <hyperlink ref="H8:H9" location="'TB-Pharmaceuticals'!A111" display="Go to other medicines" xr:uid="{00000000-0004-0000-0C00-000005000000}"/>
    <hyperlink ref="H35" location="'TB-Pharmaceuticals'!A65" display="Go to other medicines" xr:uid="{00000000-0004-0000-0C00-000006000000}"/>
    <hyperlink ref="H35:H36" location="'TB-Pharmaceuticals'!A111" display="Go to other medicines" xr:uid="{00000000-0004-0000-0C00-000007000000}"/>
    <hyperlink ref="H62" location="'TB-Pharmaceuticals'!A65" display="Go to other medicines" xr:uid="{00000000-0004-0000-0C00-000008000000}"/>
    <hyperlink ref="H62:H63" location="'TB-Pharmaceuticals'!A111" display="Go to other medicines" xr:uid="{00000000-0004-0000-0C00-000009000000}"/>
    <hyperlink ref="H105:H106" location="'TB-Pharmaceuticals'!A10" display="Back to anti TB medicines" xr:uid="{00000000-0004-0000-0C00-00000A000000}"/>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2000000}">
          <x14:formula1>
            <xm:f>SETUP!$C$28:$C$42</xm:f>
          </x14:formula1>
          <xm:sqref>L61</xm:sqref>
        </x14:dataValidation>
        <x14:dataValidation type="list" allowBlank="1" showInputMessage="1" showErrorMessage="1" xr:uid="{00000000-0002-0000-0C00-000003000000}">
          <x14:formula1>
            <xm:f>'TB-Pharma'!$Q$2</xm:f>
          </x14:formula1>
          <xm:sqref>A68:C103</xm:sqref>
        </x14:dataValidation>
        <x14:dataValidation type="list" allowBlank="1" showInputMessage="1" showErrorMessage="1" xr:uid="{00000000-0002-0000-0C00-000004000000}">
          <x14:formula1>
            <xm:f>'TB-Pharma'!$A$2</xm:f>
          </x14:formula1>
          <xm:sqref>A14:C33</xm:sqref>
        </x14:dataValidation>
        <x14:dataValidation type="list" allowBlank="1" showInputMessage="1" showErrorMessage="1" xr:uid="{00000000-0002-0000-0C00-000005000000}">
          <x14:formula1>
            <xm:f>'TB-Pharma'!$I$2</xm:f>
          </x14:formula1>
          <xm:sqref>A41:C60</xm:sqref>
        </x14:dataValidation>
        <x14:dataValidation type="list" allowBlank="1" showInputMessage="1" showErrorMessage="1" xr:uid="{00000000-0002-0000-0C00-000006000000}">
          <x14:formula1>
            <xm:f>'TB-Pharma'!$Y$2</xm:f>
          </x14:formula1>
          <xm:sqref>A111:C130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5"/>
  </sheetPr>
  <dimension ref="A1:BH177"/>
  <sheetViews>
    <sheetView showGridLines="0" zoomScale="85" zoomScaleNormal="85" workbookViewId="0">
      <selection activeCell="A7" sqref="A7:J7"/>
    </sheetView>
  </sheetViews>
  <sheetFormatPr defaultColWidth="8.81640625" defaultRowHeight="14.5"/>
  <cols>
    <col min="1" max="1" width="8.81640625" style="105"/>
    <col min="2" max="2" width="15.36328125" style="105" customWidth="1"/>
    <col min="3" max="3" width="20.08984375" style="105" customWidth="1"/>
    <col min="4" max="5" width="15.36328125" style="105" customWidth="1"/>
    <col min="6" max="6" width="16.36328125" style="105" customWidth="1"/>
    <col min="7" max="7" width="36" style="105" customWidth="1"/>
    <col min="8" max="8" width="16.36328125" style="105" customWidth="1"/>
    <col min="9" max="11" width="18.81640625" style="105" customWidth="1"/>
    <col min="12" max="13" width="15" style="105" customWidth="1"/>
    <col min="14" max="14" width="12.36328125" style="959" customWidth="1"/>
    <col min="15" max="19" width="12.36328125" style="676" customWidth="1"/>
    <col min="20" max="21" width="12.36328125" style="959" customWidth="1"/>
    <col min="22" max="26" width="12.36328125" style="676" customWidth="1"/>
    <col min="27" max="28" width="12.36328125" style="959" customWidth="1"/>
    <col min="29" max="29" width="12.36328125" style="676" customWidth="1"/>
    <col min="30" max="30" width="11" style="676" customWidth="1"/>
    <col min="31" max="31" width="10.36328125" style="676" customWidth="1"/>
    <col min="32" max="33" width="12.36328125" style="676" customWidth="1"/>
    <col min="34" max="34" width="12.36328125" style="959" customWidth="1"/>
    <col min="35" max="35" width="9.36328125" style="676" bestFit="1" customWidth="1"/>
    <col min="36" max="36" width="14.81640625" style="959" bestFit="1" customWidth="1"/>
    <col min="37" max="37" width="8.81640625" style="105"/>
    <col min="38" max="38" width="55.36328125" style="665" customWidth="1"/>
    <col min="39" max="44" width="8.81640625" style="105"/>
    <col min="45" max="45" width="40.36328125" style="105" bestFit="1" customWidth="1"/>
    <col min="46" max="47" width="8.81640625" style="105"/>
    <col min="48" max="48" width="32.36328125" style="105" hidden="1" customWidth="1"/>
    <col min="49" max="55" width="13.36328125" style="105" hidden="1" customWidth="1"/>
    <col min="56" max="56" width="12.81640625" style="105" hidden="1" customWidth="1"/>
    <col min="57" max="60" width="13.36328125" style="105" hidden="1" customWidth="1"/>
    <col min="61" max="16384" width="8.81640625" style="105"/>
  </cols>
  <sheetData>
    <row r="1" spans="1:60" ht="24" customHeight="1" thickBot="1">
      <c r="A1" s="2377" t="s">
        <v>7632</v>
      </c>
      <c r="B1" s="2378"/>
      <c r="C1" s="2378"/>
      <c r="D1" s="2378"/>
      <c r="E1" s="2378"/>
      <c r="F1" s="2378"/>
      <c r="G1" s="2378"/>
      <c r="H1" s="2378"/>
      <c r="I1" s="2378"/>
      <c r="J1" s="2378"/>
      <c r="K1" s="2379"/>
      <c r="L1" s="229"/>
      <c r="M1" s="2448"/>
      <c r="N1" s="2526" t="s">
        <v>289</v>
      </c>
      <c r="O1" s="2528" t="s">
        <v>252</v>
      </c>
      <c r="P1" s="1097"/>
      <c r="Q1" s="1097"/>
      <c r="R1" s="1097"/>
      <c r="S1" s="1097"/>
      <c r="T1" s="968"/>
      <c r="U1" s="968"/>
      <c r="V1" s="1097"/>
      <c r="W1" s="1097"/>
      <c r="X1" s="1097"/>
      <c r="Y1" s="1097"/>
      <c r="Z1" s="1097"/>
      <c r="AA1" s="968"/>
      <c r="AB1" s="968"/>
      <c r="AC1" s="1097"/>
      <c r="AD1" s="1097"/>
      <c r="AE1" s="1097"/>
      <c r="AF1" s="1097"/>
      <c r="AG1" s="1097"/>
    </row>
    <row r="2" spans="1:60" ht="15" thickBot="1">
      <c r="A2" s="106"/>
      <c r="B2" s="106"/>
      <c r="C2" s="106"/>
      <c r="D2" s="106"/>
      <c r="E2" s="106"/>
      <c r="F2" s="106"/>
      <c r="G2" s="106"/>
      <c r="H2" s="106"/>
      <c r="I2" s="106"/>
      <c r="J2" s="106"/>
      <c r="K2" s="106"/>
      <c r="L2" s="143"/>
      <c r="M2" s="2531"/>
      <c r="N2" s="2527"/>
      <c r="O2" s="2529"/>
      <c r="P2" s="1097"/>
      <c r="Q2" s="1097"/>
      <c r="R2" s="1097"/>
      <c r="S2" s="1097"/>
      <c r="T2" s="968"/>
      <c r="U2" s="968"/>
      <c r="V2" s="1097"/>
      <c r="W2" s="1097"/>
      <c r="X2" s="1097"/>
      <c r="Y2" s="1097"/>
      <c r="Z2" s="1097"/>
      <c r="AA2" s="968"/>
      <c r="AB2" s="968"/>
      <c r="AC2" s="1097"/>
      <c r="AD2" s="1097"/>
      <c r="AE2" s="1097"/>
      <c r="AF2" s="1097"/>
      <c r="AG2" s="1097"/>
    </row>
    <row r="3" spans="1:60" ht="15" customHeight="1" thickBot="1">
      <c r="A3" s="213"/>
      <c r="B3" s="2380" t="s">
        <v>0</v>
      </c>
      <c r="C3" s="2386">
        <f>SETUP!$E$3</f>
        <v>0</v>
      </c>
      <c r="D3" s="2386"/>
      <c r="E3" s="2386"/>
      <c r="F3" s="214"/>
      <c r="G3" s="2384" t="s">
        <v>1</v>
      </c>
      <c r="H3" s="2386">
        <f>SETUP!$G$13</f>
        <v>0</v>
      </c>
      <c r="I3" s="2386"/>
      <c r="J3" s="2386"/>
      <c r="K3" s="2387"/>
      <c r="L3" s="143"/>
      <c r="M3" s="124"/>
      <c r="N3" s="1096"/>
      <c r="O3" s="1097"/>
      <c r="P3" s="1097"/>
      <c r="Q3" s="1097"/>
      <c r="R3" s="1097"/>
      <c r="S3" s="1097"/>
      <c r="T3" s="968"/>
      <c r="U3" s="968"/>
      <c r="V3" s="1097"/>
      <c r="W3" s="1097"/>
      <c r="X3" s="1097"/>
      <c r="Y3" s="1097"/>
      <c r="Z3" s="1097"/>
      <c r="AA3" s="968"/>
      <c r="AB3" s="968"/>
      <c r="AC3" s="1097"/>
      <c r="AD3" s="1097"/>
      <c r="AE3" s="1097"/>
      <c r="AF3" s="1097"/>
      <c r="AG3" s="1097"/>
      <c r="AH3" s="1071"/>
    </row>
    <row r="4" spans="1:60" ht="15.75" customHeight="1" thickTop="1" thickBot="1">
      <c r="A4" s="217"/>
      <c r="B4" s="2381"/>
      <c r="C4" s="2477"/>
      <c r="D4" s="2477"/>
      <c r="E4" s="2477"/>
      <c r="F4" s="218"/>
      <c r="G4" s="2385"/>
      <c r="H4" s="2388"/>
      <c r="I4" s="2388"/>
      <c r="J4" s="2388"/>
      <c r="K4" s="2389"/>
      <c r="L4" s="143"/>
      <c r="M4" s="121"/>
      <c r="N4" s="968"/>
      <c r="O4" s="1097"/>
      <c r="P4" s="1097"/>
      <c r="Q4" s="1097"/>
      <c r="R4" s="1097"/>
      <c r="S4" s="1097"/>
      <c r="T4" s="968"/>
      <c r="U4" s="968"/>
      <c r="V4" s="1097"/>
      <c r="W4" s="1097"/>
      <c r="X4" s="1097"/>
      <c r="Y4" s="1097"/>
      <c r="Z4" s="1097"/>
      <c r="AA4" s="968"/>
      <c r="AB4" s="968"/>
      <c r="AC4" s="1097"/>
      <c r="AD4" s="1097"/>
      <c r="AE4" s="1097"/>
      <c r="AF4" s="1097"/>
      <c r="AG4" s="1097"/>
      <c r="AH4" s="1071"/>
    </row>
    <row r="5" spans="1:60" ht="15.5" thickTop="1" thickBot="1">
      <c r="A5" s="217"/>
      <c r="B5" s="2402" t="s">
        <v>2</v>
      </c>
      <c r="C5" s="2388" t="str">
        <f>SETUP!$E$6</f>
        <v>HIV</v>
      </c>
      <c r="D5" s="2388"/>
      <c r="E5" s="2388"/>
      <c r="F5" s="221"/>
      <c r="G5" s="2370" t="s">
        <v>3</v>
      </c>
      <c r="H5" s="2372">
        <f>SETUP!E7</f>
        <v>0</v>
      </c>
      <c r="I5" s="2372"/>
      <c r="J5" s="2372"/>
      <c r="K5" s="2373"/>
      <c r="L5" s="143"/>
      <c r="M5" s="121"/>
      <c r="N5" s="968"/>
      <c r="O5" s="1097"/>
      <c r="P5" s="1097"/>
      <c r="Q5" s="1097"/>
      <c r="R5" s="1097"/>
      <c r="S5" s="1097"/>
      <c r="T5" s="968"/>
      <c r="U5" s="968"/>
      <c r="V5" s="1097"/>
      <c r="W5" s="1097"/>
      <c r="X5" s="1097"/>
      <c r="Y5" s="1097"/>
      <c r="Z5" s="1097"/>
      <c r="AA5" s="968"/>
      <c r="AB5" s="968"/>
      <c r="AC5" s="1097"/>
      <c r="AD5" s="1097"/>
      <c r="AE5" s="1097"/>
      <c r="AF5" s="1097"/>
      <c r="AG5" s="1097"/>
      <c r="AH5" s="1071"/>
    </row>
    <row r="6" spans="1:60" ht="15.5" thickTop="1" thickBot="1">
      <c r="A6" s="222"/>
      <c r="B6" s="2403"/>
      <c r="C6" s="2374"/>
      <c r="D6" s="2374"/>
      <c r="E6" s="2374"/>
      <c r="F6" s="223"/>
      <c r="G6" s="2371"/>
      <c r="H6" s="2374"/>
      <c r="I6" s="2374"/>
      <c r="J6" s="2374"/>
      <c r="K6" s="2375"/>
      <c r="L6" s="230"/>
      <c r="M6" s="121"/>
      <c r="N6" s="968"/>
      <c r="O6" s="1097"/>
      <c r="P6" s="1097"/>
      <c r="Q6" s="1097"/>
      <c r="R6" s="1097"/>
      <c r="S6" s="1097"/>
      <c r="T6" s="968"/>
      <c r="U6" s="968"/>
      <c r="V6" s="1097"/>
      <c r="W6" s="1097"/>
      <c r="X6" s="1097"/>
      <c r="Y6" s="1097"/>
      <c r="Z6" s="1097"/>
      <c r="AA6" s="968"/>
      <c r="AB6" s="968"/>
      <c r="AC6" s="1097"/>
      <c r="AD6" s="1097"/>
      <c r="AE6" s="1097"/>
      <c r="AF6" s="1097"/>
      <c r="AG6" s="1097"/>
      <c r="AH6" s="1071"/>
    </row>
    <row r="7" spans="1:60" ht="15" thickBot="1">
      <c r="A7" s="231"/>
      <c r="B7" s="232"/>
      <c r="C7" s="232"/>
      <c r="D7" s="232"/>
      <c r="E7" s="232"/>
      <c r="F7" s="232"/>
      <c r="G7" s="232"/>
      <c r="H7" s="232"/>
      <c r="I7" s="232"/>
      <c r="J7" s="232"/>
      <c r="K7" s="233"/>
      <c r="L7" s="140"/>
      <c r="M7" s="240"/>
      <c r="N7" s="968"/>
      <c r="O7" s="1097"/>
      <c r="P7" s="1097"/>
      <c r="Q7" s="1097"/>
      <c r="R7" s="1097"/>
      <c r="S7" s="1097"/>
      <c r="T7" s="968"/>
      <c r="U7" s="968"/>
      <c r="V7" s="1097"/>
      <c r="W7" s="1097"/>
      <c r="X7" s="1097"/>
      <c r="Y7" s="1097"/>
      <c r="Z7" s="1097"/>
      <c r="AA7" s="968"/>
      <c r="AB7" s="968"/>
      <c r="AC7" s="1097"/>
      <c r="AD7" s="1097"/>
      <c r="AE7" s="1097"/>
      <c r="AF7" s="1097"/>
      <c r="AG7" s="1097"/>
      <c r="AH7" s="1071"/>
    </row>
    <row r="8" spans="1:60" ht="19.149999999999999" customHeight="1" thickBot="1">
      <c r="A8" s="2419">
        <v>1</v>
      </c>
      <c r="B8" s="2421" t="s">
        <v>310</v>
      </c>
      <c r="C8" s="2421"/>
      <c r="D8" s="2421"/>
      <c r="E8" s="2421"/>
      <c r="F8" s="206" t="s">
        <v>311</v>
      </c>
      <c r="G8" s="207"/>
      <c r="H8" s="2400" t="s">
        <v>6896</v>
      </c>
      <c r="I8" s="2390" t="s">
        <v>6897</v>
      </c>
      <c r="J8" s="2390" t="s">
        <v>314</v>
      </c>
      <c r="K8"/>
      <c r="M8" s="426"/>
      <c r="P8" s="1097"/>
      <c r="Q8" s="1097"/>
      <c r="R8" s="1097"/>
      <c r="S8" s="1097"/>
      <c r="T8" s="968"/>
      <c r="U8" s="968"/>
      <c r="V8" s="1097"/>
      <c r="W8" s="1097"/>
      <c r="X8" s="1097"/>
      <c r="Y8" s="1097"/>
      <c r="Z8" s="1097"/>
      <c r="AA8" s="968"/>
      <c r="AB8" s="968"/>
      <c r="AC8" s="1097"/>
      <c r="AD8" s="1097"/>
      <c r="AE8" s="1097"/>
      <c r="AF8" s="1097"/>
      <c r="AG8" s="1097"/>
      <c r="AH8" s="1071"/>
    </row>
    <row r="9" spans="1:60" ht="23.65" customHeight="1" thickBot="1">
      <c r="A9" s="2420"/>
      <c r="B9" s="2422"/>
      <c r="C9" s="2422"/>
      <c r="D9" s="2422"/>
      <c r="E9" s="2422"/>
      <c r="F9" s="377" t="s">
        <v>315</v>
      </c>
      <c r="G9" s="378"/>
      <c r="H9" s="2452"/>
      <c r="I9" s="2391"/>
      <c r="J9" s="2391"/>
      <c r="K9"/>
      <c r="P9" s="1097"/>
      <c r="Q9" s="1097"/>
      <c r="R9" s="1097"/>
      <c r="S9" s="1097"/>
      <c r="T9" s="968"/>
      <c r="U9" s="968"/>
      <c r="V9" s="1097"/>
      <c r="W9" s="1097"/>
      <c r="X9" s="1097"/>
      <c r="Y9" s="1097"/>
      <c r="Z9" s="1097"/>
      <c r="AA9" s="968"/>
      <c r="AB9" s="968"/>
      <c r="AC9" s="1097"/>
      <c r="AD9" s="1097"/>
      <c r="AE9" s="1097"/>
      <c r="AF9" s="1097"/>
      <c r="AG9" s="1097"/>
      <c r="AH9" s="1071"/>
    </row>
    <row r="10" spans="1:60" ht="102.75" customHeight="1">
      <c r="A10" s="2080" t="s">
        <v>6902</v>
      </c>
      <c r="B10" s="2081"/>
      <c r="C10" s="2081"/>
      <c r="D10" s="2081"/>
      <c r="E10" s="2081"/>
      <c r="F10" s="2081"/>
      <c r="G10" s="2081"/>
      <c r="H10" s="2081"/>
      <c r="I10" s="2081"/>
      <c r="J10" s="2081"/>
      <c r="K10" s="2081"/>
      <c r="L10" s="2081"/>
      <c r="M10" s="2145"/>
      <c r="N10" s="1081"/>
      <c r="O10" s="1098"/>
      <c r="P10" s="1098"/>
      <c r="Q10" s="1098"/>
      <c r="R10" s="1098"/>
      <c r="S10" s="1098"/>
      <c r="T10" s="1081"/>
      <c r="U10" s="1081"/>
      <c r="V10" s="1098"/>
      <c r="W10" s="1098"/>
      <c r="X10" s="1098"/>
      <c r="Y10" s="1098"/>
      <c r="Z10" s="1098"/>
      <c r="AA10" s="1081"/>
      <c r="AB10" s="1081"/>
      <c r="AC10" s="1098"/>
      <c r="AD10" s="1098"/>
      <c r="AE10" s="1098"/>
      <c r="AF10" s="1098"/>
      <c r="AG10" s="1098"/>
      <c r="AH10" s="1072"/>
    </row>
    <row r="11" spans="1:60" ht="16" thickBot="1">
      <c r="A11" s="141" t="s">
        <v>316</v>
      </c>
      <c r="B11" s="161"/>
      <c r="C11" s="161"/>
      <c r="D11" s="162"/>
      <c r="E11" s="162"/>
      <c r="F11" s="163"/>
      <c r="G11" s="163"/>
      <c r="H11" s="235" t="b">
        <v>1</v>
      </c>
      <c r="I11" s="235"/>
      <c r="J11" s="163"/>
      <c r="K11" s="163"/>
      <c r="L11" s="163"/>
      <c r="M11" s="163"/>
      <c r="N11" s="1082"/>
      <c r="O11" s="1099"/>
      <c r="P11" s="1099"/>
      <c r="Q11" s="1099"/>
      <c r="R11" s="1099"/>
      <c r="S11" s="1099"/>
      <c r="T11" s="1082"/>
      <c r="U11" s="1082"/>
      <c r="V11" s="1099"/>
      <c r="W11" s="1099"/>
      <c r="X11" s="1099"/>
      <c r="Y11" s="1099"/>
      <c r="Z11" s="1099"/>
      <c r="AA11" s="1082"/>
      <c r="AB11" s="1082"/>
      <c r="AC11" s="1099"/>
      <c r="AD11" s="1099"/>
      <c r="AE11" s="1099"/>
      <c r="AF11" s="1099"/>
      <c r="AG11" s="1099"/>
      <c r="AH11" s="1073"/>
      <c r="AW11" s="2431" t="s">
        <v>1540</v>
      </c>
      <c r="AX11" s="2431"/>
      <c r="AY11" s="2431"/>
      <c r="AZ11" s="2431"/>
      <c r="BA11" s="2431"/>
      <c r="BB11" s="2431"/>
      <c r="BC11" s="2431"/>
      <c r="BD11" s="2431"/>
      <c r="BE11" s="2431"/>
      <c r="BF11" s="2431"/>
      <c r="BG11" s="2431"/>
      <c r="BH11" s="2431"/>
    </row>
    <row r="12" spans="1:60" s="345" customFormat="1" ht="15" thickBot="1">
      <c r="A12" s="2532" t="s">
        <v>1233</v>
      </c>
      <c r="B12" s="2441"/>
      <c r="C12" s="2441"/>
      <c r="D12" s="2441"/>
      <c r="E12" s="2532" t="s">
        <v>196</v>
      </c>
      <c r="F12" s="2441"/>
      <c r="G12" s="2441"/>
      <c r="H12" s="2533"/>
      <c r="I12" s="2532" t="s">
        <v>251</v>
      </c>
      <c r="J12" s="2441"/>
      <c r="K12" s="2533"/>
      <c r="L12" s="2441" t="s">
        <v>151</v>
      </c>
      <c r="M12" s="2442" t="s">
        <v>49</v>
      </c>
      <c r="N12" s="2433" t="str">
        <f>IF(ISBLANK(IMP_ST_DATE),"Please fill setup",IF(MO_CHECK&gt;3,"Y1",YEAR(IMP_ST_DATE)))</f>
        <v>Please fill setup</v>
      </c>
      <c r="O12" s="2434"/>
      <c r="P12" s="2434"/>
      <c r="Q12" s="2434"/>
      <c r="R12" s="2434"/>
      <c r="S12" s="2434"/>
      <c r="T12" s="2435"/>
      <c r="U12" s="2438" t="str">
        <f>IF(N12="Y1","Y2",IF(ISBLANK(IMP_ST_DATE),"Please fill setup",YEAR(IMP_ST_DATE)+1))</f>
        <v>Please fill setup</v>
      </c>
      <c r="V12" s="2434"/>
      <c r="W12" s="2434"/>
      <c r="X12" s="2434"/>
      <c r="Y12" s="2434"/>
      <c r="Z12" s="2434"/>
      <c r="AA12" s="2439"/>
      <c r="AB12" s="2438" t="str">
        <f>IF(N12="Y1","Y3",IF(ISBLANK(IMP_ST_DATE),"Please fill setup",YEAR(IMP_ST_DATE)+2))</f>
        <v>Please fill setup</v>
      </c>
      <c r="AC12" s="2434"/>
      <c r="AD12" s="2434"/>
      <c r="AE12" s="2434"/>
      <c r="AF12" s="2434"/>
      <c r="AG12" s="2434"/>
      <c r="AH12" s="2440"/>
      <c r="AI12" s="2509" t="s">
        <v>152</v>
      </c>
      <c r="AJ12" s="2442"/>
      <c r="AK12" s="1219" t="s">
        <v>153</v>
      </c>
      <c r="AL12" s="2506" t="s">
        <v>6865</v>
      </c>
      <c r="AS12" s="105"/>
      <c r="AW12" s="2432">
        <f>YEAR(IMP_ST_DATE)</f>
        <v>1900</v>
      </c>
      <c r="AX12" s="2432"/>
      <c r="AY12" s="2432"/>
      <c r="AZ12" s="2432"/>
      <c r="BA12" s="2432">
        <f>YEAR(IMP_ST_DATE)+1</f>
        <v>1901</v>
      </c>
      <c r="BB12" s="2432"/>
      <c r="BC12" s="2432"/>
      <c r="BD12" s="2432"/>
      <c r="BE12" s="2432">
        <f>YEAR(IMP_ST_DATE)+2</f>
        <v>1902</v>
      </c>
      <c r="BF12" s="2432"/>
      <c r="BG12" s="2432"/>
      <c r="BH12" s="2432"/>
    </row>
    <row r="13" spans="1:60" s="409" customFormat="1" ht="26.5" thickBot="1">
      <c r="A13" s="2534"/>
      <c r="B13" s="2530"/>
      <c r="C13" s="2530"/>
      <c r="D13" s="2530"/>
      <c r="E13" s="2534"/>
      <c r="F13" s="2530"/>
      <c r="G13" s="2530"/>
      <c r="H13" s="2535"/>
      <c r="I13" s="2534"/>
      <c r="J13" s="2530"/>
      <c r="K13" s="2535"/>
      <c r="L13" s="2530"/>
      <c r="M13" s="2510"/>
      <c r="N13" s="1083" t="s">
        <v>198</v>
      </c>
      <c r="O13" s="1100" t="s">
        <v>155</v>
      </c>
      <c r="P13" s="1100" t="s">
        <v>156</v>
      </c>
      <c r="Q13" s="1100" t="s">
        <v>157</v>
      </c>
      <c r="R13" s="1100" t="s">
        <v>158</v>
      </c>
      <c r="S13" s="1100" t="s">
        <v>159</v>
      </c>
      <c r="T13" s="1059" t="s">
        <v>160</v>
      </c>
      <c r="U13" s="1083" t="s">
        <v>161</v>
      </c>
      <c r="V13" s="1100" t="s">
        <v>162</v>
      </c>
      <c r="W13" s="1100" t="s">
        <v>163</v>
      </c>
      <c r="X13" s="1100" t="s">
        <v>164</v>
      </c>
      <c r="Y13" s="1100" t="s">
        <v>165</v>
      </c>
      <c r="Z13" s="1100" t="s">
        <v>166</v>
      </c>
      <c r="AA13" s="1059" t="s">
        <v>167</v>
      </c>
      <c r="AB13" s="1083" t="s">
        <v>168</v>
      </c>
      <c r="AC13" s="1100" t="s">
        <v>169</v>
      </c>
      <c r="AD13" s="1100" t="s">
        <v>170</v>
      </c>
      <c r="AE13" s="1100" t="s">
        <v>171</v>
      </c>
      <c r="AF13" s="1100" t="s">
        <v>172</v>
      </c>
      <c r="AG13" s="1100" t="s">
        <v>173</v>
      </c>
      <c r="AH13" s="1059" t="s">
        <v>174</v>
      </c>
      <c r="AI13" s="1116" t="s">
        <v>175</v>
      </c>
      <c r="AJ13" s="1059" t="s">
        <v>176</v>
      </c>
      <c r="AK13" s="476" t="s">
        <v>177</v>
      </c>
      <c r="AL13" s="2507"/>
      <c r="AS13" s="105"/>
      <c r="AW13" s="479" t="s">
        <v>1528</v>
      </c>
      <c r="AX13" s="479" t="s">
        <v>1529</v>
      </c>
      <c r="AY13" s="479" t="s">
        <v>1530</v>
      </c>
      <c r="AZ13" s="479" t="s">
        <v>1531</v>
      </c>
      <c r="BA13" s="479" t="s">
        <v>1532</v>
      </c>
      <c r="BB13" s="479" t="s">
        <v>1533</v>
      </c>
      <c r="BC13" s="479" t="s">
        <v>1535</v>
      </c>
      <c r="BD13" s="479" t="s">
        <v>1536</v>
      </c>
      <c r="BE13" s="479" t="s">
        <v>1537</v>
      </c>
      <c r="BF13" s="479" t="s">
        <v>1538</v>
      </c>
      <c r="BG13" s="479" t="s">
        <v>1534</v>
      </c>
      <c r="BH13" s="479" t="s">
        <v>1539</v>
      </c>
    </row>
    <row r="14" spans="1:60" s="1462" customFormat="1">
      <c r="A14" s="2406" t="s">
        <v>1588</v>
      </c>
      <c r="B14" s="2407"/>
      <c r="C14" s="2407"/>
      <c r="D14" s="2407"/>
      <c r="E14" s="2406"/>
      <c r="F14" s="2416"/>
      <c r="G14" s="2416"/>
      <c r="H14" s="2408"/>
      <c r="I14" s="2406"/>
      <c r="J14" s="2416"/>
      <c r="K14" s="2408"/>
      <c r="L14" s="1455" t="str">
        <f>IF(E14="","","Piece")</f>
        <v/>
      </c>
      <c r="M14" s="1455" t="str">
        <f>IF(L14="", "","USD")</f>
        <v/>
      </c>
      <c r="N14" s="1084"/>
      <c r="O14" s="1101"/>
      <c r="P14" s="1101"/>
      <c r="Q14" s="1101"/>
      <c r="R14" s="1101"/>
      <c r="S14" s="567">
        <f>SUM('TB-EQUIPMENT &amp; OTHER HPs'!$O14:$R14)</f>
        <v>0</v>
      </c>
      <c r="T14" s="1060">
        <f>'TB-EQUIPMENT &amp; OTHER HPs'!$N14*'TB-EQUIPMENT &amp; OTHER HPs'!$S14</f>
        <v>0</v>
      </c>
      <c r="U14" s="1084"/>
      <c r="V14" s="1101"/>
      <c r="W14" s="1101"/>
      <c r="X14" s="1101"/>
      <c r="Y14" s="1101"/>
      <c r="Z14" s="567">
        <f>SUM('TB-EQUIPMENT &amp; OTHER HPs'!$V14:$Y14)</f>
        <v>0</v>
      </c>
      <c r="AA14" s="1060">
        <f>'TB-EQUIPMENT &amp; OTHER HPs'!$U14*'TB-EQUIPMENT &amp; OTHER HPs'!$Z14</f>
        <v>0</v>
      </c>
      <c r="AB14" s="1084"/>
      <c r="AC14" s="1101"/>
      <c r="AD14" s="1101"/>
      <c r="AE14" s="1101"/>
      <c r="AF14" s="1101"/>
      <c r="AG14" s="567">
        <f>SUM('TB-EQUIPMENT &amp; OTHER HPs'!$AC14:$AF14)</f>
        <v>0</v>
      </c>
      <c r="AH14" s="1060">
        <f>'TB-EQUIPMENT &amp; OTHER HPs'!$AB14*'TB-EQUIPMENT &amp; OTHER HPs'!$AG14</f>
        <v>0</v>
      </c>
      <c r="AI14" s="568">
        <f>'TB-EQUIPMENT &amp; OTHER HPs'!$S14+'TB-EQUIPMENT &amp; OTHER HPs'!$Z14+'TB-EQUIPMENT &amp; OTHER HPs'!$AG14</f>
        <v>0</v>
      </c>
      <c r="AJ14" s="1060">
        <f>'TB-EQUIPMENT &amp; OTHER HPs'!$T14+'TB-EQUIPMENT &amp; OTHER HPs'!$AA14+'TB-EQUIPMENT &amp; OTHER HPs'!$AH14</f>
        <v>0</v>
      </c>
      <c r="AK14" s="1456" t="str">
        <f>IF(ISBLANK(E14)," ",IF(ISNUMBER(SEARCH("TB smear microscopy",E14)),"5.6","6.3"))</f>
        <v xml:space="preserve"> </v>
      </c>
      <c r="AL14" s="1252"/>
      <c r="AV14" s="1463" t="s">
        <v>311</v>
      </c>
      <c r="AW14" s="570">
        <f>SUMPRODUCT(($A$14:$D$61="TB Microscopy - Equipment &amp; reagents")*($N$14:$N$61)*(O14:O61))</f>
        <v>0</v>
      </c>
      <c r="AX14" s="570">
        <f>SUMPRODUCT(($A$14:$D$61="TB Microscopy - Equipment &amp; reagents")*($N$14:$N$61)*(P14:P61))</f>
        <v>0</v>
      </c>
      <c r="AY14" s="570">
        <f>SUMPRODUCT(($A$14:$D$61="TB Microscopy - Equipment &amp; reagents")*($N$14:$N$61)*(Q14:Q61))</f>
        <v>0</v>
      </c>
      <c r="AZ14" s="570">
        <f>SUMPRODUCT(($A$14:$D$61="TB Microscopy - Equipment &amp; reagents")*($N$14:$N$61)*(R14:R61))</f>
        <v>0</v>
      </c>
      <c r="BA14" s="570">
        <f>SUMPRODUCT(($A$14:$D$61="TB Microscopy - Equipment &amp; reagents")*($U$14:$U$61)*(V14:V61))</f>
        <v>0</v>
      </c>
      <c r="BB14" s="570">
        <f>SUMPRODUCT(($A$14:$D$61="TB Microscopy - Equipment &amp; reagents")*($U$14:$U$61)*(W14:W61))</f>
        <v>0</v>
      </c>
      <c r="BC14" s="570">
        <f>SUMPRODUCT(($A$14:$D$61="TB Microscopy - Equipment &amp; reagents")*($U$14:$U$61)*(X14:X61))</f>
        <v>0</v>
      </c>
      <c r="BD14" s="570">
        <f>SUMPRODUCT(($A$14:$D$61="TB Microscopy - Equipment &amp; reagents")*($U$14:$U$61)*(Y14:Y61))</f>
        <v>0</v>
      </c>
      <c r="BE14" s="571">
        <f>SUMPRODUCT(($A$14:$D$61="TB Microscopy - Equipment &amp; reagents")*($AB$14:$AB$61)*(AC14:AC61))</f>
        <v>0</v>
      </c>
      <c r="BF14" s="570">
        <f>SUMPRODUCT(($A$14:$D$61="TB Microscopy - Equipment &amp; reagents")*($AB$14:$AB$61)*(AD14:AD61))</f>
        <v>0</v>
      </c>
      <c r="BG14" s="570">
        <f>SUMPRODUCT(($A$14:$D$61="TB Microscopy - Equipment &amp; reagents")*($AB$14:$AB$61)*(AE14:AE61))</f>
        <v>0</v>
      </c>
      <c r="BH14" s="570">
        <f>SUMPRODUCT(($A$14:$D$61="TB Microscopy - Equipment &amp; reagents")*($AB$14:$AB$61)*(AF14:AF61))</f>
        <v>0</v>
      </c>
    </row>
    <row r="15" spans="1:60" s="249" customFormat="1">
      <c r="A15" s="2412"/>
      <c r="B15" s="2109"/>
      <c r="C15" s="2109"/>
      <c r="D15" s="2109"/>
      <c r="E15" s="2412"/>
      <c r="F15" s="2109"/>
      <c r="G15" s="2109"/>
      <c r="H15" s="2413"/>
      <c r="I15" s="2412"/>
      <c r="J15" s="2109"/>
      <c r="K15" s="2413"/>
      <c r="L15" s="225" t="str">
        <f t="shared" ref="L15:L61" si="0">IF(E15="","","Piece")</f>
        <v/>
      </c>
      <c r="M15" s="226" t="str">
        <f>IF(L15="", "","USD")</f>
        <v/>
      </c>
      <c r="N15" s="1085"/>
      <c r="O15" s="36"/>
      <c r="P15" s="36"/>
      <c r="Q15" s="36"/>
      <c r="R15" s="36"/>
      <c r="S15" s="572">
        <f>SUM('TB-EQUIPMENT &amp; OTHER HPs'!$O15:$R15)</f>
        <v>0</v>
      </c>
      <c r="T15" s="1061">
        <f>'TB-EQUIPMENT &amp; OTHER HPs'!$N15*'TB-EQUIPMENT &amp; OTHER HPs'!$S15</f>
        <v>0</v>
      </c>
      <c r="U15" s="1085"/>
      <c r="V15" s="36"/>
      <c r="W15" s="36"/>
      <c r="X15" s="36"/>
      <c r="Y15" s="36"/>
      <c r="Z15" s="572">
        <f>SUM('TB-EQUIPMENT &amp; OTHER HPs'!$V15:$Y15)</f>
        <v>0</v>
      </c>
      <c r="AA15" s="1061">
        <f>'TB-EQUIPMENT &amp; OTHER HPs'!$U15*'TB-EQUIPMENT &amp; OTHER HPs'!$Z15</f>
        <v>0</v>
      </c>
      <c r="AB15" s="1085"/>
      <c r="AC15" s="36"/>
      <c r="AD15" s="36"/>
      <c r="AE15" s="36"/>
      <c r="AF15" s="36"/>
      <c r="AG15" s="572">
        <f>SUM('TB-EQUIPMENT &amp; OTHER HPs'!$AC15:$AF15)</f>
        <v>0</v>
      </c>
      <c r="AH15" s="1061">
        <f>'TB-EQUIPMENT &amp; OTHER HPs'!$AB15*'TB-EQUIPMENT &amp; OTHER HPs'!$AG15</f>
        <v>0</v>
      </c>
      <c r="AI15" s="573">
        <f>'TB-EQUIPMENT &amp; OTHER HPs'!$S15+'TB-EQUIPMENT &amp; OTHER HPs'!$Z15+'TB-EQUIPMENT &amp; OTHER HPs'!$AG15</f>
        <v>0</v>
      </c>
      <c r="AJ15" s="1061">
        <f>'TB-EQUIPMENT &amp; OTHER HPs'!$T15+'TB-EQUIPMENT &amp; OTHER HPs'!$AA15+'TB-EQUIPMENT &amp; OTHER HPs'!$AH15</f>
        <v>0</v>
      </c>
      <c r="AK15" s="486" t="str">
        <f t="shared" ref="AK15:AK61" si="1">IF(ISBLANK(E15)," ",IF(ISNUMBER(SEARCH("TB smear microscopy",E15)),"5.6","6.3"))</f>
        <v xml:space="preserve"> </v>
      </c>
      <c r="AL15" s="1253"/>
      <c r="AV15" s="569" t="s">
        <v>1748</v>
      </c>
      <c r="AW15" s="570">
        <f>SUMPRODUCT(($A$69:$D$83="RDTs for TB")*($N$69:$N$83)*(O69:O83))+SUMPRODUCT(($A$69:$D$83="GeneXpert - Equipment &amp; cartridges for TB program")*($N$69:$N$83)*(O69:O83))</f>
        <v>0</v>
      </c>
      <c r="AX15" s="570">
        <f>SUMPRODUCT(($A$69:$D$83="RDTs for TB")*($N$69:$N$83)*(P69:P83))+SUMPRODUCT(($A$69:$D$83="GeneXpert - Equipment &amp; cartridges for TB program")*($N$69:$N$83)*(P69:P83))</f>
        <v>0</v>
      </c>
      <c r="AY15" s="570">
        <f>SUMPRODUCT(($A$69:$D$83="RDTs for TB")*($N$69:$N$83)*(Q69:Q83))+SUMPRODUCT(($A$69:$D$83="GeneXpert - Equipment &amp; cartridges for TB program")*($N$69:$N$83)*(Q69:Q83))</f>
        <v>0</v>
      </c>
      <c r="AZ15" s="570">
        <f>SUMPRODUCT(($A$69:$D$83="RDTs for TB")*($N$69:$N$83)*(R69:R83))+SUMPRODUCT(($A$69:$D$83="GeneXpert - Equipment &amp; cartridges for TB program")*($N$69:$N$83)*(R69:R83))</f>
        <v>0</v>
      </c>
      <c r="BA15" s="570">
        <f>SUMPRODUCT(($A$69:$D$83="RDTs for TB")*($U$69:$U$83)*(V69:V83))+SUMPRODUCT(($A$69:$D$83="GeneXpert - Equipment &amp; cartridges for TB program")*($U$69:$U$83)*(V69:V83))</f>
        <v>0</v>
      </c>
      <c r="BB15" s="570">
        <f>SUMPRODUCT(($A$69:$D$83="RDTs for TB")*($U$69:$U$83)*(W69:W83))+SUMPRODUCT(($A$69:$D$83="GeneXpert - Equipment &amp; cartridges for TB program")*($U$69:$U$83)*(W69:W83))</f>
        <v>0</v>
      </c>
      <c r="BC15" s="570">
        <f>SUMPRODUCT(($A$69:$D$83="RDTs for TB")*($U$69:$U$83)*(X69:X83))+SUMPRODUCT(($A$69:$D$83="GeneXpert - Equipment &amp; cartridges for TB program")*($U$69:$U$83)*(X69:X83))</f>
        <v>0</v>
      </c>
      <c r="BD15" s="570">
        <f>SUMPRODUCT(($A$69:$D$83="RDTs for TB")*($U$69:$U$83)*(Y69:Y83))+SUMPRODUCT(($A$69:$D$83="GeneXpert - Equipment &amp; cartridges for TB program")*($U$69:$U$83)*(Y69:Y83))</f>
        <v>0</v>
      </c>
      <c r="BE15" s="570">
        <f>SUMPRODUCT(($A$69:$D$83="RDTs for TB")*($AB$69:$AB$83)*(AC69:AC83))+SUMPRODUCT(($A$69:$D$83="GeneXpert - Equipment &amp; cartridges for TB program")*($AB$69:$AB$83)*(AC69:AC83))</f>
        <v>0</v>
      </c>
      <c r="BF15" s="570">
        <f>SUMPRODUCT(($A$69:$D$83="RDTs for TB")*($AB$69:$AB$83)*(AD69:AD83))+SUMPRODUCT(($A$69:$D$83="GeneXpert - Equipment &amp; cartridges for TB program")*($AB$69:$AB$83)*(AD69:AD83))</f>
        <v>0</v>
      </c>
      <c r="BG15" s="570">
        <f>SUMPRODUCT(($A$69:$D$83="RDTs for TB")*($AB$69:$AB$83)*(AE69:AE83))+SUMPRODUCT(($A$69:$D$83="GeneXpert - Equipment &amp; cartridges for TB program")*($AB$69:$AB$83)*(AE69:AE83))</f>
        <v>0</v>
      </c>
      <c r="BH15" s="570">
        <f>SUMPRODUCT(($A$69:$D$83="RDTs for TB")*($AB$69:$AB$83)*(AF69:AF83))+SUMPRODUCT(($A$69:$D$83="GeneXpert - Equipment &amp; cartridges for TB program")*($AB$69:$AB$83)*(AF69:AF83))</f>
        <v>0</v>
      </c>
    </row>
    <row r="16" spans="1:60" s="249" customFormat="1">
      <c r="A16" s="2406"/>
      <c r="B16" s="2407"/>
      <c r="C16" s="2407"/>
      <c r="D16" s="2407"/>
      <c r="E16" s="2406"/>
      <c r="F16" s="2407"/>
      <c r="G16" s="2407"/>
      <c r="H16" s="2408"/>
      <c r="I16" s="2406"/>
      <c r="J16" s="2407"/>
      <c r="K16" s="2408"/>
      <c r="L16" s="224" t="str">
        <f t="shared" si="0"/>
        <v/>
      </c>
      <c r="M16" s="224" t="str">
        <f>IF(L16="", "","USD")</f>
        <v/>
      </c>
      <c r="N16" s="1086"/>
      <c r="O16" s="1102"/>
      <c r="P16" s="1102"/>
      <c r="Q16" s="1102"/>
      <c r="R16" s="1102"/>
      <c r="S16" s="574">
        <f>SUM('TB-EQUIPMENT &amp; OTHER HPs'!$O16:$R16)</f>
        <v>0</v>
      </c>
      <c r="T16" s="1062">
        <f>'TB-EQUIPMENT &amp; OTHER HPs'!$N16*'TB-EQUIPMENT &amp; OTHER HPs'!$S16</f>
        <v>0</v>
      </c>
      <c r="U16" s="1086"/>
      <c r="V16" s="1102"/>
      <c r="W16" s="1102"/>
      <c r="X16" s="1102"/>
      <c r="Y16" s="1102"/>
      <c r="Z16" s="574">
        <f>SUM('TB-EQUIPMENT &amp; OTHER HPs'!$V16:$Y16)</f>
        <v>0</v>
      </c>
      <c r="AA16" s="1062">
        <f>'TB-EQUIPMENT &amp; OTHER HPs'!$U16*'TB-EQUIPMENT &amp; OTHER HPs'!$Z16</f>
        <v>0</v>
      </c>
      <c r="AB16" s="1086"/>
      <c r="AC16" s="1102"/>
      <c r="AD16" s="1102"/>
      <c r="AE16" s="1102"/>
      <c r="AF16" s="1102"/>
      <c r="AG16" s="574">
        <f>SUM('TB-EQUIPMENT &amp; OTHER HPs'!$AC16:$AF16)</f>
        <v>0</v>
      </c>
      <c r="AH16" s="1062">
        <f>'TB-EQUIPMENT &amp; OTHER HPs'!$AB16*'TB-EQUIPMENT &amp; OTHER HPs'!$AG16</f>
        <v>0</v>
      </c>
      <c r="AI16" s="575">
        <f>'TB-EQUIPMENT &amp; OTHER HPs'!$S16+'TB-EQUIPMENT &amp; OTHER HPs'!$Z16+'TB-EQUIPMENT &amp; OTHER HPs'!$AG16</f>
        <v>0</v>
      </c>
      <c r="AJ16" s="1062">
        <f>'TB-EQUIPMENT &amp; OTHER HPs'!$T16+'TB-EQUIPMENT &amp; OTHER HPs'!$AA16+'TB-EQUIPMENT &amp; OTHER HPs'!$AH16</f>
        <v>0</v>
      </c>
      <c r="AK16" s="489" t="str">
        <f t="shared" si="1"/>
        <v xml:space="preserve"> </v>
      </c>
      <c r="AL16" s="1252"/>
      <c r="AV16" s="569" t="s">
        <v>1754</v>
      </c>
      <c r="AW16" s="570">
        <f>SUMPRODUCT(($A$91:$D$130="Culture/DST/LPA - Equipment &amp; reagents")*($N$91:$N$130)*(O91:O130))</f>
        <v>0</v>
      </c>
      <c r="AX16" s="570">
        <f>SUMPRODUCT(($A$91:$D$130="Culture/DST/LPA - Equipment &amp; reagents")*($N$91:$N$130)*(P91:P130))</f>
        <v>0</v>
      </c>
      <c r="AY16" s="570">
        <f>SUMPRODUCT(($A$91:$D$130="Culture/DST/LPA - Equipment &amp; reagents")*($N$91:$N$130)*(Q91:Q130))</f>
        <v>0</v>
      </c>
      <c r="AZ16" s="570">
        <f>SUMPRODUCT(($A$91:$D$130="Culture/DST/LPA - Equipment &amp; reagents")*($N$91:$N$130)*(R91:R130))</f>
        <v>0</v>
      </c>
      <c r="BA16" s="570">
        <f>SUMPRODUCT(($A$91:$D$130="Culture/DST/LPA - Equipment &amp; reagents")*($U$91:$U$130)*(V91:V130))</f>
        <v>0</v>
      </c>
      <c r="BB16" s="570">
        <f>SUMPRODUCT(($A$91:$D$130="Culture/DST/LPA - Equipment &amp; reagents")*($U$91:$U$130)*(W91:W130))</f>
        <v>0</v>
      </c>
      <c r="BC16" s="570">
        <f>SUMPRODUCT(($A$91:$D$130="Culture/DST/LPA - Equipment &amp; reagents")*($U$91:$U$130)*(X91:X130))</f>
        <v>0</v>
      </c>
      <c r="BD16" s="570">
        <f>SUMPRODUCT(($A$91:$D$130="Culture/DST/LPA - Equipment &amp; reagents")*($U$91:$U$130)*(Y91:Y130))</f>
        <v>0</v>
      </c>
      <c r="BE16" s="570">
        <f>SUMPRODUCT(($A$91:$D$130="Culture/DST/LPA - Equipment &amp; reagents")*($AB$91:$AB$130)*(AC91:AC130))</f>
        <v>0</v>
      </c>
      <c r="BF16" s="570">
        <f>SUMPRODUCT(($A$91:$D$130="Culture/DST/LPA - Equipment &amp; reagents")*($AB$91:$AB$130)*(AD91:AD130))</f>
        <v>0</v>
      </c>
      <c r="BG16" s="570">
        <f>SUMPRODUCT(($A$91:$D$130="Culture/DST/LPA - Equipment &amp; reagents")*($AB$91:$AB$130)*(AE91:AE130))</f>
        <v>0</v>
      </c>
      <c r="BH16" s="570">
        <f>SUMPRODUCT(($A$91:$D$130="Culture/DST/LPA - Equipment &amp; reagents")*($AB$91:$AB$130)*(AF91:AF130))</f>
        <v>0</v>
      </c>
    </row>
    <row r="17" spans="1:60" s="249" customFormat="1">
      <c r="A17" s="2412"/>
      <c r="B17" s="2109"/>
      <c r="C17" s="2109"/>
      <c r="D17" s="2109"/>
      <c r="E17" s="2412"/>
      <c r="F17" s="2109"/>
      <c r="G17" s="2109"/>
      <c r="H17" s="2413"/>
      <c r="I17" s="2412"/>
      <c r="J17" s="2109"/>
      <c r="K17" s="2413"/>
      <c r="L17" s="225" t="str">
        <f t="shared" si="0"/>
        <v/>
      </c>
      <c r="M17" s="226" t="str">
        <f t="shared" ref="M17:M61" si="2">IF(L17="", "","USD")</f>
        <v/>
      </c>
      <c r="N17" s="1085"/>
      <c r="O17" s="36"/>
      <c r="P17" s="36"/>
      <c r="Q17" s="36"/>
      <c r="R17" s="36"/>
      <c r="S17" s="572">
        <f>SUM('TB-EQUIPMENT &amp; OTHER HPs'!$O17:$R17)</f>
        <v>0</v>
      </c>
      <c r="T17" s="1061">
        <f>'TB-EQUIPMENT &amp; OTHER HPs'!$N17*'TB-EQUIPMENT &amp; OTHER HPs'!$S17</f>
        <v>0</v>
      </c>
      <c r="U17" s="1085"/>
      <c r="V17" s="36"/>
      <c r="W17" s="36"/>
      <c r="X17" s="36"/>
      <c r="Y17" s="36"/>
      <c r="Z17" s="572">
        <f>SUM('TB-EQUIPMENT &amp; OTHER HPs'!$V17:$Y17)</f>
        <v>0</v>
      </c>
      <c r="AA17" s="1061">
        <f>'TB-EQUIPMENT &amp; OTHER HPs'!$U17*'TB-EQUIPMENT &amp; OTHER HPs'!$Z17</f>
        <v>0</v>
      </c>
      <c r="AB17" s="1085"/>
      <c r="AC17" s="36"/>
      <c r="AD17" s="36"/>
      <c r="AE17" s="36"/>
      <c r="AF17" s="36"/>
      <c r="AG17" s="572">
        <f>SUM('TB-EQUIPMENT &amp; OTHER HPs'!$AC17:$AF17)</f>
        <v>0</v>
      </c>
      <c r="AH17" s="1061">
        <f>'TB-EQUIPMENT &amp; OTHER HPs'!$AB17*'TB-EQUIPMENT &amp; OTHER HPs'!$AG17</f>
        <v>0</v>
      </c>
      <c r="AI17" s="573">
        <f>'TB-EQUIPMENT &amp; OTHER HPs'!$S17+'TB-EQUIPMENT &amp; OTHER HPs'!$Z17+'TB-EQUIPMENT &amp; OTHER HPs'!$AG17</f>
        <v>0</v>
      </c>
      <c r="AJ17" s="1061">
        <f>'TB-EQUIPMENT &amp; OTHER HPs'!$T17+'TB-EQUIPMENT &amp; OTHER HPs'!$AA17+'TB-EQUIPMENT &amp; OTHER HPs'!$AH17</f>
        <v>0</v>
      </c>
      <c r="AK17" s="486" t="str">
        <f t="shared" si="1"/>
        <v xml:space="preserve"> </v>
      </c>
      <c r="AL17" s="1253"/>
      <c r="AV17" s="569" t="s">
        <v>574</v>
      </c>
      <c r="AW17" s="570" cm="1">
        <f t="array" ref="AW17">SUMPRODUCT(($A$138:$D$175="Consumables for TB program")*($N$138:$N$175)*(O138:O175))
+SUMPRODUCT(($A$138:$D$175="Laboratory equipment for TB program")*($N$138:$N$175)*(O138:O175))
+SUMPRODUCT(($A$138:$D$175="Waste management for TB")*($N$138:$N$175)*(O138:O175))
+SUMPRODUCT(($A$138:$D$175="Other health equipment for TB program")*($N$138:$N$175)*(O138:O175))
+SUMPRODUCT(($A$138:$D$175="Other Laboratory reagents_TB program")*($N$138:$N$175)*(O138:O175))
+SUMPRODUCT(($A$138:$D$175="RDTS for HIV testing in TB program")*($N$138:$N$175)*(O138:O175))-AW20</f>
        <v>0</v>
      </c>
      <c r="AX17" s="570" cm="1">
        <f t="array" ref="AX17">SUMPRODUCT(($A$138:$D$175="Consumables for TB program")*($N$138:$N$175)*(P138:P175))+SUMPRODUCT(($A$138:$D$175="Laboratory equipment for TB program")*($N$138:$N$175)*(P138:P175))+SUMPRODUCT(($A$138:$D$175="Waste management for TB")*($N$138:$N$175)*(P138:P175))+SUMPRODUCT(($A$138:$D$175="Other health equipment for TB program")*($N$138:$N$175)*(P138:P175))+SUMPRODUCT(($A$138:$D$175="Other Laboratory reagents_TB program")*($N$138:$N$175)*(P138:P175))+SUMPRODUCT(($A$138:$D$175="RDTS for HIV testing in TB program")*($N$138:$N$175)*(P138:P175))-AX20</f>
        <v>0</v>
      </c>
      <c r="AY17" s="570" cm="1">
        <f t="array" ref="AY17">SUMPRODUCT(($A$138:$D$175="Consumables for TB program")*($N$138:$N$175)*(Q138:Q175))+SUMPRODUCT(($A$138:$D$175="Laboratory equipment for TB program")*($N$138:$N$175)*(Q138:Q175))+SUMPRODUCT(($A$138:$D$175="Waste management for TB")*($N$138:$N$175)*(Q138:Q175))+SUMPRODUCT(($A$138:$D$175="Other health equipment for TB program")*($N$138:$N$175)*(Q138:Q175))+SUMPRODUCT(($A$138:$D$175="Other Laboratory reagents_TB program")*($N$138:$N$175)*(Q138:Q175))+SUMPRODUCT(($A$138:$D$175="RDTS for HIV testing in TB program")*($N$138:$N$175)*(Q138:Q175))-AY20</f>
        <v>0</v>
      </c>
      <c r="AZ17" s="570" cm="1">
        <f t="array" ref="AZ17">SUMPRODUCT(($A$138:$D$175="Consumables for TB program")*($N$138:$N$175)*(R138:R175))+SUMPRODUCT(($A$138:$D$175="Laboratory equipment for TB program")*($N$138:$N$175)*(R138:R175))+SUMPRODUCT(($A$138:$D$175="Waste management for TB")*($N$138:$N$175)*(R138:R175))+SUMPRODUCT(($A$138:$D$175="Other health equipment for TB program")*($N$138:$N$175)*(R138:R175))+SUMPRODUCT(($A$138:$D$175="Other Laboratory reagents_TB program")*($N$138:$N$175)*(R138:R175))+SUMPRODUCT(($A$138:$D$175="RDTS for HIV testing in TB program")*($N$138:$N$175)*(R138:R175))-AZ20</f>
        <v>0</v>
      </c>
      <c r="BA17" s="570" cm="1">
        <f t="array" ref="BA17">SUMPRODUCT(($A$138:$D$175="Consumables for TB program")*($U$138:$U$175)*(V138:V175))+SUMPRODUCT(($A$138:$D$175="Laboratory equipment for TB program")*($U$138:$U$175)*(V138:V175))+SUMPRODUCT(($A$138:$D$175="Waste management for TB")*($U$138:$U$175)*(V138:V175))+SUMPRODUCT(($A$138:$D$175="Other health equipment for TB program")*($U$138:$U$175)*(V138:V175))+SUMPRODUCT(($A$138:$D$175="Other Laboratory reagents_TB program")*($U$138:$U$175)*(V138:V175))+SUMPRODUCT(($A$138:$D$175="RDTS for HIV testing in TB program")*($U$138:$U$175)*(V138:V175))-BA20</f>
        <v>0</v>
      </c>
      <c r="BB17" s="570" cm="1">
        <f t="array" ref="BB17">SUMPRODUCT(($A$138:$D$175="Consumables for TB program")*($U$138:$U$175)*(W138:W175))+SUMPRODUCT(($A$138:$D$175="Laboratory equipment for TB program")*($U$138:$U$175)*(W138:W175))+SUMPRODUCT(($A$138:$D$175="Waste management for TB")*($U$138:$U$175)*(W138:W175))+SUMPRODUCT(($A$138:$D$175="Other health equipment for TB program")*($U$138:$U$175)*(W138:W175))+SUMPRODUCT(($A$138:$D$175="Other Laboratory reagents_TB program")*($U$138:$U$175)*(W138:W175))+SUMPRODUCT(($A$138:$D$175="RDTS for HIV testing in TB program")*($U$138:$U$175)*(W138:W175))-BB20</f>
        <v>0</v>
      </c>
      <c r="BC17" s="570" cm="1">
        <f t="array" ref="BC17">SUMPRODUCT(($A$138:$D$175="Consumables for TB program")*($U$138:$U$175)*(X138:X175))+SUMPRODUCT(($A$138:$D$175="Laboratory equipment for TB program")*($U$138:$U$175)*(X138:X175))+SUMPRODUCT(($A$138:$D$175="Waste management for TB")*($U$138:$U$175)*(X138:X175))+SUMPRODUCT(($A$138:$D$175="Other health equipment for TB program")*($U$138:$U$175)*(X138:X175))+SUMPRODUCT(($A$138:$D$175="Other Laboratory reagents_TB program")*($U$138:$U$175)*(X138:X175))+SUMPRODUCT(($A$138:$D$175="RDTS for HIV testing in TB program")*($U$138:$U$175)*(X138:X175))-BC20</f>
        <v>0</v>
      </c>
      <c r="BD17" s="570" cm="1">
        <f t="array" ref="BD17">SUMPRODUCT(($A$138:$D$175="Consumables for TB program")*($U$138:$U$175)*(Y138:Y175))+SUMPRODUCT(($A$138:$D$175="Laboratory equipment for TB program")*($U$138:$U$175)*(Y138:Y175))+SUMPRODUCT(($A$138:$D$175="Waste management for TB")*($U$138:$U$175)*(Y138:Y175))+SUMPRODUCT(($A$138:$D$175="Other health equipment for TB program")*($U$138:$U$175)*(Y138:Y175))+SUMPRODUCT(($A$138:$D$175="Other Laboratory reagents_TB program")*($U$138:$U$175)*(Y138:Y175))+SUMPRODUCT(($A$138:$D$175="RDTS for HIV testing in TB program")*($U$138:$U$175)*(Y138:Y175))-BD20</f>
        <v>0</v>
      </c>
      <c r="BE17" s="570" cm="1">
        <f t="array" ref="BE17">SUMPRODUCT(($A$138:$D$175="Consumables for TB program")*($AB$138:$AB$175)*(AC138:AC175))+SUMPRODUCT(($A$138:$D$175="Laboratory equipment for TB program")*($AB$138:$AB$175)*(AC138:AC175))+SUMPRODUCT(($A$138:$D$175="Waste management for TB")*($AB$138:$AB$175)*(AC138:AC175))+SUMPRODUCT(($A$138:$D$175="Other health equipment for TB program")*($AB$138:$AB$175)*(AC138:AC175))+SUMPRODUCT(($A$138:$D$175="Other Laboratory reagents_TB program")*($AB$138:$AB$175)*(AC138:AC175))+SUMPRODUCT(($A$138:$D$175="RDTS for HIV testing in TB program")*($AB$138:$AB$175)*(AC138:AC175))-BE20</f>
        <v>0</v>
      </c>
      <c r="BF17" s="570" cm="1">
        <f t="array" ref="BF17">SUMPRODUCT(($A$138:$D$175="Consumables for TB program")*($AB$138:$AB$175)*(AD138:AD175))+SUMPRODUCT(($A$138:$D$175="Laboratory equipment for TB program")*($AB$138:$AB$175)*(AD138:AD175))+SUMPRODUCT(($A$138:$D$175="Waste management for TB")*($AB$138:$AB$175)*(AD138:AD175))+SUMPRODUCT(($A$138:$D$175="Other health equipment for TB program")*($AB$138:$AB$175)*(AD138:AD175))+SUMPRODUCT(($A$138:$D$175="Other Laboratory reagents_TB program")*($AB$138:$AB$175)*(AD138:AD175))+SUMPRODUCT(($A$138:$D$175="RDTS for HIV testing in TB program")*($AB$138:$AB$175)*(AD138:AD175))-BF20</f>
        <v>0</v>
      </c>
      <c r="BG17" s="570" cm="1">
        <f t="array" ref="BG17">SUMPRODUCT(($A$138:$D$175="Consumables for TB program")*($AB$138:$AB$175)*(AE138:AE175))+SUMPRODUCT(($A$138:$D$175="Laboratory equipment for TB program")*($AB$138:$AB$175)*(AE138:AE175))+SUMPRODUCT(($A$138:$D$175="Waste management for TB")*($AB$138:$AB$175)*(AE138:AE175))+SUMPRODUCT(($A$138:$D$175="Other health equipment for TB program")*($AB$138:$AB$175)*(AE138:AE175))+SUMPRODUCT(($A$138:$D$175="Other Laboratory reagents_TB program")*($AB$138:$AB$175)*(AE138:AE175))+SUMPRODUCT(($A$138:$D$175="RDTS for HIV testing in TB program")*($AB$138:$AB$175)*(AE138:AE175))-BG20</f>
        <v>0</v>
      </c>
      <c r="BH17" s="570" cm="1">
        <f t="array" ref="BH17">SUMPRODUCT(($A$138:$D$175="Consumables for TB program")*($AB$138:$AB$175)*(AF138:AF175))+SUMPRODUCT(($A$138:$D$175="Laboratory equipment for TB program")*($AB$138:$AB$175)*(AF138:AF175))+SUMPRODUCT(($A$138:$D$175="Waste management for TB")*($AB$138:$AB$175)*(AF138:AF175))+SUMPRODUCT(($A$138:$D$175="Other health equipment for TB program")*($AB$138:$AB$175)*(AF138:AF175))+SUMPRODUCT(($A$138:$D$175="Other Laboratory reagents_TB program")*($AB$138:$AB$175)*(AF138:AF175))+SUMPRODUCT(($A$138:$D$175="RDTS for HIV testing in TB program")*($AB$138:$AB$175)*(AF138:AF175))-BH20</f>
        <v>0</v>
      </c>
    </row>
    <row r="18" spans="1:60" s="249" customFormat="1">
      <c r="A18" s="2406"/>
      <c r="B18" s="2407"/>
      <c r="C18" s="2407"/>
      <c r="D18" s="2407"/>
      <c r="E18" s="2406"/>
      <c r="F18" s="2407"/>
      <c r="G18" s="2407"/>
      <c r="H18" s="2408"/>
      <c r="I18" s="2406"/>
      <c r="J18" s="2407"/>
      <c r="K18" s="2408"/>
      <c r="L18" s="224" t="str">
        <f t="shared" si="0"/>
        <v/>
      </c>
      <c r="M18" s="224" t="str">
        <f t="shared" si="2"/>
        <v/>
      </c>
      <c r="N18" s="1086"/>
      <c r="O18" s="1102"/>
      <c r="P18" s="1102"/>
      <c r="Q18" s="1102"/>
      <c r="R18" s="1102"/>
      <c r="S18" s="574">
        <f>SUM('TB-EQUIPMENT &amp; OTHER HPs'!$O18:$R18)</f>
        <v>0</v>
      </c>
      <c r="T18" s="1062">
        <f>'TB-EQUIPMENT &amp; OTHER HPs'!$N18*'TB-EQUIPMENT &amp; OTHER HPs'!$S18</f>
        <v>0</v>
      </c>
      <c r="U18" s="1086"/>
      <c r="V18" s="1102"/>
      <c r="W18" s="1102"/>
      <c r="X18" s="1102"/>
      <c r="Y18" s="1102"/>
      <c r="Z18" s="574">
        <f>SUM('TB-EQUIPMENT &amp; OTHER HPs'!$V18:$Y18)</f>
        <v>0</v>
      </c>
      <c r="AA18" s="1062">
        <f>'TB-EQUIPMENT &amp; OTHER HPs'!$U18*'TB-EQUIPMENT &amp; OTHER HPs'!$Z18</f>
        <v>0</v>
      </c>
      <c r="AB18" s="1086"/>
      <c r="AC18" s="1102"/>
      <c r="AD18" s="1102"/>
      <c r="AE18" s="1102"/>
      <c r="AF18" s="1102"/>
      <c r="AG18" s="574">
        <f>SUM('TB-EQUIPMENT &amp; OTHER HPs'!$AC18:$AF18)</f>
        <v>0</v>
      </c>
      <c r="AH18" s="1062">
        <f>'TB-EQUIPMENT &amp; OTHER HPs'!$AB18*'TB-EQUIPMENT &amp; OTHER HPs'!$AG18</f>
        <v>0</v>
      </c>
      <c r="AI18" s="575">
        <f>'TB-EQUIPMENT &amp; OTHER HPs'!$S18+'TB-EQUIPMENT &amp; OTHER HPs'!$Z18+'TB-EQUIPMENT &amp; OTHER HPs'!$AG18</f>
        <v>0</v>
      </c>
      <c r="AJ18" s="1062">
        <f>'TB-EQUIPMENT &amp; OTHER HPs'!$T18+'TB-EQUIPMENT &amp; OTHER HPs'!$AA18+'TB-EQUIPMENT &amp; OTHER HPs'!$AH18</f>
        <v>0</v>
      </c>
      <c r="AK18" s="489" t="str">
        <f t="shared" si="1"/>
        <v xml:space="preserve"> </v>
      </c>
      <c r="AL18" s="1252"/>
      <c r="AV18" s="569" t="s">
        <v>1755</v>
      </c>
      <c r="AW18" s="570">
        <f>SUMPRODUCT(($A$138:$D$175="RDTS for HIV testing in TB program")*($N$138:$N$175)*(O138:O175))</f>
        <v>0</v>
      </c>
      <c r="AX18" s="570">
        <f>SUMPRODUCT(($A$138:$D$175="RDTS for HIV testing in TB program")*($N$138:$N$175)*(P138:P175))</f>
        <v>0</v>
      </c>
      <c r="AY18" s="570">
        <f>SUMPRODUCT(($A$138:$D$175="RDTS for HIV testing in TB program")*($N$138:$N$175)*(Q138:Q175))</f>
        <v>0</v>
      </c>
      <c r="AZ18" s="570">
        <f>SUMPRODUCT(($A$138:$D$175="RDTS for HIV testing in TB program")*($N$138:$N$175)*(R138:R175))</f>
        <v>0</v>
      </c>
      <c r="BA18" s="570">
        <f>SUMPRODUCT(($A$138:$D$175="RDTS for HIV testing in TB program")*($U$138:$U$175)*(V138:V175))</f>
        <v>0</v>
      </c>
      <c r="BB18" s="570">
        <f>SUMPRODUCT(($A$138:$D$175="RDTS for HIV testing in TB program")*($U$138:$U$175)*(W138:W175))</f>
        <v>0</v>
      </c>
      <c r="BC18" s="570">
        <f>SUMPRODUCT(($A$138:$D$175="RDTS for HIV testing in TB program")*($U$138:$U$175)*(X138:X175))</f>
        <v>0</v>
      </c>
      <c r="BD18" s="570">
        <f>SUMPRODUCT(($A$138:$D$175="RDTS for HIV testing in TB program")*($U$138:$U$175)*(Y138:Y175))</f>
        <v>0</v>
      </c>
      <c r="BE18" s="570">
        <f>SUMPRODUCT(($A$138:$D$175="RDTS for HIV testing in TB program")*($AB$138:$AB$175)*(AC138:AC175))</f>
        <v>0</v>
      </c>
      <c r="BF18" s="570">
        <f>SUMPRODUCT(($A$138:$D$175="RDTS for HIV testing in TB program")*($AB$138:$AB$175)*(AD138:AD175))</f>
        <v>0</v>
      </c>
      <c r="BG18" s="570">
        <f>SUMPRODUCT(($A$138:$D$175="RDTS for HIV testing in TB program")*($AB$138:$AB$175)*(AE138:AE175))</f>
        <v>0</v>
      </c>
      <c r="BH18" s="570">
        <f>SUMPRODUCT(($A$138:$D$175="RDTS for HIV testing in TB program")*($AB$138:$AB$175)*(AF138:AF175))</f>
        <v>0</v>
      </c>
    </row>
    <row r="19" spans="1:60" s="249" customFormat="1">
      <c r="A19" s="2412"/>
      <c r="B19" s="2109"/>
      <c r="C19" s="2109"/>
      <c r="D19" s="2109"/>
      <c r="E19" s="2412"/>
      <c r="F19" s="2109"/>
      <c r="G19" s="2109"/>
      <c r="H19" s="2413"/>
      <c r="I19" s="2412"/>
      <c r="J19" s="2109"/>
      <c r="K19" s="2413"/>
      <c r="L19" s="225" t="str">
        <f t="shared" si="0"/>
        <v/>
      </c>
      <c r="M19" s="226" t="str">
        <f t="shared" si="2"/>
        <v/>
      </c>
      <c r="N19" s="1085"/>
      <c r="O19" s="36"/>
      <c r="P19" s="36"/>
      <c r="Q19" s="36"/>
      <c r="R19" s="36"/>
      <c r="S19" s="572">
        <f>SUM('TB-EQUIPMENT &amp; OTHER HPs'!$O19:$R19)</f>
        <v>0</v>
      </c>
      <c r="T19" s="1061">
        <f>'TB-EQUIPMENT &amp; OTHER HPs'!$N19*'TB-EQUIPMENT &amp; OTHER HPs'!$S19</f>
        <v>0</v>
      </c>
      <c r="U19" s="1085"/>
      <c r="V19" s="36"/>
      <c r="W19" s="36"/>
      <c r="X19" s="36"/>
      <c r="Y19" s="36"/>
      <c r="Z19" s="572">
        <f>SUM('TB-EQUIPMENT &amp; OTHER HPs'!$V19:$Y19)</f>
        <v>0</v>
      </c>
      <c r="AA19" s="1061">
        <f>'TB-EQUIPMENT &amp; OTHER HPs'!$U19*'TB-EQUIPMENT &amp; OTHER HPs'!$Z19</f>
        <v>0</v>
      </c>
      <c r="AB19" s="1085"/>
      <c r="AC19" s="36"/>
      <c r="AD19" s="36"/>
      <c r="AE19" s="36"/>
      <c r="AF19" s="36"/>
      <c r="AG19" s="572">
        <f>SUM('TB-EQUIPMENT &amp; OTHER HPs'!$AC19:$AF19)</f>
        <v>0</v>
      </c>
      <c r="AH19" s="1061">
        <f>'TB-EQUIPMENT &amp; OTHER HPs'!$AB19*'TB-EQUIPMENT &amp; OTHER HPs'!$AG19</f>
        <v>0</v>
      </c>
      <c r="AI19" s="573">
        <f>'TB-EQUIPMENT &amp; OTHER HPs'!$S19+'TB-EQUIPMENT &amp; OTHER HPs'!$Z19+'TB-EQUIPMENT &amp; OTHER HPs'!$AG19</f>
        <v>0</v>
      </c>
      <c r="AJ19" s="1061">
        <f>'TB-EQUIPMENT &amp; OTHER HPs'!$T19+'TB-EQUIPMENT &amp; OTHER HPs'!$AA19+'TB-EQUIPMENT &amp; OTHER HPs'!$AH19</f>
        <v>0</v>
      </c>
      <c r="AK19" s="486" t="str">
        <f t="shared" si="1"/>
        <v xml:space="preserve"> </v>
      </c>
      <c r="AL19" s="1253"/>
      <c r="AW19" s="576"/>
      <c r="AX19" s="576"/>
      <c r="AY19" s="576"/>
      <c r="AZ19" s="576"/>
      <c r="BA19" s="576"/>
      <c r="BB19" s="576"/>
      <c r="BC19" s="576"/>
      <c r="BD19" s="576"/>
      <c r="BE19" s="576"/>
      <c r="BF19" s="576"/>
      <c r="BG19" s="576"/>
      <c r="BH19" s="576"/>
    </row>
    <row r="20" spans="1:60" s="249" customFormat="1">
      <c r="A20" s="2406"/>
      <c r="B20" s="2407"/>
      <c r="C20" s="2407"/>
      <c r="D20" s="2407"/>
      <c r="E20" s="2406"/>
      <c r="F20" s="2407"/>
      <c r="G20" s="2407"/>
      <c r="H20" s="2408"/>
      <c r="I20" s="2406"/>
      <c r="J20" s="2407"/>
      <c r="K20" s="2408"/>
      <c r="L20" s="224" t="str">
        <f t="shared" si="0"/>
        <v/>
      </c>
      <c r="M20" s="224" t="str">
        <f t="shared" si="2"/>
        <v/>
      </c>
      <c r="N20" s="1086"/>
      <c r="O20" s="1102"/>
      <c r="P20" s="1102"/>
      <c r="Q20" s="1102"/>
      <c r="R20" s="1102"/>
      <c r="S20" s="574">
        <f>SUM('TB-EQUIPMENT &amp; OTHER HPs'!$O20:$R20)</f>
        <v>0</v>
      </c>
      <c r="T20" s="1062">
        <f>'TB-EQUIPMENT &amp; OTHER HPs'!$N20*'TB-EQUIPMENT &amp; OTHER HPs'!$S20</f>
        <v>0</v>
      </c>
      <c r="U20" s="1086"/>
      <c r="V20" s="1102"/>
      <c r="W20" s="1102"/>
      <c r="X20" s="1102"/>
      <c r="Y20" s="1102"/>
      <c r="Z20" s="574">
        <f>SUM('TB-EQUIPMENT &amp; OTHER HPs'!$V20:$Y20)</f>
        <v>0</v>
      </c>
      <c r="AA20" s="1062">
        <f>'TB-EQUIPMENT &amp; OTHER HPs'!$U20*'TB-EQUIPMENT &amp; OTHER HPs'!$Z20</f>
        <v>0</v>
      </c>
      <c r="AB20" s="1086"/>
      <c r="AC20" s="1102"/>
      <c r="AD20" s="1102"/>
      <c r="AE20" s="1102"/>
      <c r="AF20" s="1102"/>
      <c r="AG20" s="574">
        <f>SUM('TB-EQUIPMENT &amp; OTHER HPs'!$AC20:$AF20)</f>
        <v>0</v>
      </c>
      <c r="AH20" s="1062">
        <f>'TB-EQUIPMENT &amp; OTHER HPs'!$AB20*'TB-EQUIPMENT &amp; OTHER HPs'!$AG20</f>
        <v>0</v>
      </c>
      <c r="AI20" s="575">
        <f>'TB-EQUIPMENT &amp; OTHER HPs'!$S20+'TB-EQUIPMENT &amp; OTHER HPs'!$Z20+'TB-EQUIPMENT &amp; OTHER HPs'!$AG20</f>
        <v>0</v>
      </c>
      <c r="AJ20" s="1062">
        <f>'TB-EQUIPMENT &amp; OTHER HPs'!$T20+'TB-EQUIPMENT &amp; OTHER HPs'!$AA20+'TB-EQUIPMENT &amp; OTHER HPs'!$AH20</f>
        <v>0</v>
      </c>
      <c r="AK20" s="489" t="str">
        <f t="shared" si="1"/>
        <v xml:space="preserve"> </v>
      </c>
      <c r="AL20" s="1252"/>
      <c r="AV20" s="677" t="s">
        <v>2356</v>
      </c>
      <c r="AW20" s="678">
        <f>SUMPRODUCT(--($AK$138:$AK$176="6.5"), $N$138:$N$176, O$138:O$176)</f>
        <v>0</v>
      </c>
      <c r="AX20" s="678">
        <f>SUMPRODUCT(--($AK$138:$AK$176="6.5"), $N$138:$N$176, P$138:P$176)</f>
        <v>0</v>
      </c>
      <c r="AY20" s="678">
        <f>SUMPRODUCT(--($AK$138:$AK$176="6.5"), $N$138:$N$176, Q$138:Q$176)</f>
        <v>0</v>
      </c>
      <c r="AZ20" s="678">
        <f>SUMPRODUCT(--($AK$138:$AK$176="6.5"), $N$138:$N$176, R$138:R$176)</f>
        <v>0</v>
      </c>
      <c r="BA20" s="678">
        <f>SUMPRODUCT(--($AK$138:$AK$176="6.5"), $U$138:$U$176, V$138:V$176)</f>
        <v>0</v>
      </c>
      <c r="BB20" s="678">
        <f>SUMPRODUCT(--($AK$138:$AK$176="6.5"), $U$138:$U$176, W$138:W$176)</f>
        <v>0</v>
      </c>
      <c r="BC20" s="678">
        <f>SUMPRODUCT(--($AK$138:$AK$176="6.5"), $U$138:$U$176, X$138:X$176)</f>
        <v>0</v>
      </c>
      <c r="BD20" s="678">
        <f>SUMPRODUCT(--($AK$138:$AK$176="6.5"), $U$138:$U$176, Y$138:Y$176)</f>
        <v>0</v>
      </c>
      <c r="BE20" s="678">
        <f>SUMPRODUCT(--($AK$138:$AK$176="6.5"), $AB$138:$AB$176, AC$138:AC$176)</f>
        <v>0</v>
      </c>
      <c r="BF20" s="678">
        <f>SUMPRODUCT(--($AK$138:$AK$176="6.5"), $AB$138:$AB$176, AD$138:AD$176)</f>
        <v>0</v>
      </c>
      <c r="BG20" s="678">
        <f>SUMPRODUCT(--($AK$138:$AK$176="6.5"), $AB$138:$AB$176, AE$138:AE$176)</f>
        <v>0</v>
      </c>
      <c r="BH20" s="678">
        <f>SUMPRODUCT(--($AK$138:$AK$176="6.5"), $AB$138:$AB$176, AF$138:AF$176)</f>
        <v>0</v>
      </c>
    </row>
    <row r="21" spans="1:60" s="249" customFormat="1">
      <c r="A21" s="2412"/>
      <c r="B21" s="2109"/>
      <c r="C21" s="2109"/>
      <c r="D21" s="2109"/>
      <c r="E21" s="2412"/>
      <c r="F21" s="2109"/>
      <c r="G21" s="2109"/>
      <c r="H21" s="2413"/>
      <c r="I21" s="2412"/>
      <c r="J21" s="2109"/>
      <c r="K21" s="2413"/>
      <c r="L21" s="225" t="str">
        <f t="shared" si="0"/>
        <v/>
      </c>
      <c r="M21" s="226" t="str">
        <f t="shared" si="2"/>
        <v/>
      </c>
      <c r="N21" s="1085"/>
      <c r="O21" s="36"/>
      <c r="P21" s="36"/>
      <c r="Q21" s="36"/>
      <c r="R21" s="36"/>
      <c r="S21" s="572">
        <f>SUM('TB-EQUIPMENT &amp; OTHER HPs'!$O21:$R21)</f>
        <v>0</v>
      </c>
      <c r="T21" s="1061">
        <f>'TB-EQUIPMENT &amp; OTHER HPs'!$N21*'TB-EQUIPMENT &amp; OTHER HPs'!$S21</f>
        <v>0</v>
      </c>
      <c r="U21" s="1085"/>
      <c r="V21" s="36"/>
      <c r="W21" s="36"/>
      <c r="X21" s="36"/>
      <c r="Y21" s="36"/>
      <c r="Z21" s="572">
        <f>SUM('TB-EQUIPMENT &amp; OTHER HPs'!$V21:$Y21)</f>
        <v>0</v>
      </c>
      <c r="AA21" s="1061">
        <f>'TB-EQUIPMENT &amp; OTHER HPs'!$U21*'TB-EQUIPMENT &amp; OTHER HPs'!$Z21</f>
        <v>0</v>
      </c>
      <c r="AB21" s="1085"/>
      <c r="AC21" s="36"/>
      <c r="AD21" s="36"/>
      <c r="AE21" s="36"/>
      <c r="AF21" s="36"/>
      <c r="AG21" s="572">
        <f>SUM('TB-EQUIPMENT &amp; OTHER HPs'!$AC21:$AF21)</f>
        <v>0</v>
      </c>
      <c r="AH21" s="1061">
        <f>'TB-EQUIPMENT &amp; OTHER HPs'!$AB21*'TB-EQUIPMENT &amp; OTHER HPs'!$AG21</f>
        <v>0</v>
      </c>
      <c r="AI21" s="573">
        <f>'TB-EQUIPMENT &amp; OTHER HPs'!$S21+'TB-EQUIPMENT &amp; OTHER HPs'!$Z21+'TB-EQUIPMENT &amp; OTHER HPs'!$AG21</f>
        <v>0</v>
      </c>
      <c r="AJ21" s="1061">
        <f>'TB-EQUIPMENT &amp; OTHER HPs'!$T21+'TB-EQUIPMENT &amp; OTHER HPs'!$AA21+'TB-EQUIPMENT &amp; OTHER HPs'!$AH21</f>
        <v>0</v>
      </c>
      <c r="AK21" s="486" t="str">
        <f t="shared" si="1"/>
        <v xml:space="preserve"> </v>
      </c>
      <c r="AL21" s="1253"/>
    </row>
    <row r="22" spans="1:60" s="249" customFormat="1">
      <c r="A22" s="2406"/>
      <c r="B22" s="2407"/>
      <c r="C22" s="2407"/>
      <c r="D22" s="2407"/>
      <c r="E22" s="2406"/>
      <c r="F22" s="2407"/>
      <c r="G22" s="2407"/>
      <c r="H22" s="2408"/>
      <c r="I22" s="2406"/>
      <c r="J22" s="2407"/>
      <c r="K22" s="2408"/>
      <c r="L22" s="224" t="str">
        <f t="shared" si="0"/>
        <v/>
      </c>
      <c r="M22" s="224" t="str">
        <f t="shared" si="2"/>
        <v/>
      </c>
      <c r="N22" s="1086"/>
      <c r="O22" s="1102"/>
      <c r="P22" s="1102"/>
      <c r="Q22" s="1102"/>
      <c r="R22" s="1102"/>
      <c r="S22" s="574">
        <f>SUM('TB-EQUIPMENT &amp; OTHER HPs'!$O22:$R22)</f>
        <v>0</v>
      </c>
      <c r="T22" s="1062">
        <f>'TB-EQUIPMENT &amp; OTHER HPs'!$N22*'TB-EQUIPMENT &amp; OTHER HPs'!$S22</f>
        <v>0</v>
      </c>
      <c r="U22" s="1086"/>
      <c r="V22" s="1102"/>
      <c r="W22" s="1102"/>
      <c r="X22" s="1102"/>
      <c r="Y22" s="1102"/>
      <c r="Z22" s="574">
        <f>SUM('TB-EQUIPMENT &amp; OTHER HPs'!$V22:$Y22)</f>
        <v>0</v>
      </c>
      <c r="AA22" s="1062">
        <f>'TB-EQUIPMENT &amp; OTHER HPs'!$U22*'TB-EQUIPMENT &amp; OTHER HPs'!$Z22</f>
        <v>0</v>
      </c>
      <c r="AB22" s="1086"/>
      <c r="AC22" s="1102"/>
      <c r="AD22" s="1102"/>
      <c r="AE22" s="1102"/>
      <c r="AF22" s="1102"/>
      <c r="AG22" s="574">
        <f>SUM('TB-EQUIPMENT &amp; OTHER HPs'!$AC22:$AF22)</f>
        <v>0</v>
      </c>
      <c r="AH22" s="1062">
        <f>'TB-EQUIPMENT &amp; OTHER HPs'!$AB22*'TB-EQUIPMENT &amp; OTHER HPs'!$AG22</f>
        <v>0</v>
      </c>
      <c r="AI22" s="575">
        <f>'TB-EQUIPMENT &amp; OTHER HPs'!$S22+'TB-EQUIPMENT &amp; OTHER HPs'!$Z22+'TB-EQUIPMENT &amp; OTHER HPs'!$AG22</f>
        <v>0</v>
      </c>
      <c r="AJ22" s="1062">
        <f>'TB-EQUIPMENT &amp; OTHER HPs'!$T22+'TB-EQUIPMENT &amp; OTHER HPs'!$AA22+'TB-EQUIPMENT &amp; OTHER HPs'!$AH22</f>
        <v>0</v>
      </c>
      <c r="AK22" s="489" t="str">
        <f t="shared" si="1"/>
        <v xml:space="preserve"> </v>
      </c>
      <c r="AL22" s="1252"/>
    </row>
    <row r="23" spans="1:60" s="249" customFormat="1">
      <c r="A23" s="2412"/>
      <c r="B23" s="2109"/>
      <c r="C23" s="2109"/>
      <c r="D23" s="2109"/>
      <c r="E23" s="2412"/>
      <c r="F23" s="2109"/>
      <c r="G23" s="2109"/>
      <c r="H23" s="2413"/>
      <c r="I23" s="2412"/>
      <c r="J23" s="2109"/>
      <c r="K23" s="2413"/>
      <c r="L23" s="225" t="str">
        <f t="shared" si="0"/>
        <v/>
      </c>
      <c r="M23" s="226" t="str">
        <f t="shared" si="2"/>
        <v/>
      </c>
      <c r="N23" s="1085"/>
      <c r="O23" s="36"/>
      <c r="P23" s="36"/>
      <c r="Q23" s="36"/>
      <c r="R23" s="36"/>
      <c r="S23" s="572">
        <f>SUM('TB-EQUIPMENT &amp; OTHER HPs'!$O23:$R23)</f>
        <v>0</v>
      </c>
      <c r="T23" s="1061">
        <f>'TB-EQUIPMENT &amp; OTHER HPs'!$N23*'TB-EQUIPMENT &amp; OTHER HPs'!$S23</f>
        <v>0</v>
      </c>
      <c r="U23" s="1085"/>
      <c r="V23" s="36"/>
      <c r="W23" s="36"/>
      <c r="X23" s="36"/>
      <c r="Y23" s="36"/>
      <c r="Z23" s="572">
        <f>SUM('TB-EQUIPMENT &amp; OTHER HPs'!$V23:$Y23)</f>
        <v>0</v>
      </c>
      <c r="AA23" s="1061">
        <f>'TB-EQUIPMENT &amp; OTHER HPs'!$U23*'TB-EQUIPMENT &amp; OTHER HPs'!$Z23</f>
        <v>0</v>
      </c>
      <c r="AB23" s="1085"/>
      <c r="AC23" s="36"/>
      <c r="AD23" s="36"/>
      <c r="AE23" s="36"/>
      <c r="AF23" s="36"/>
      <c r="AG23" s="572">
        <f>SUM('TB-EQUIPMENT &amp; OTHER HPs'!$AC23:$AF23)</f>
        <v>0</v>
      </c>
      <c r="AH23" s="1061">
        <f>'TB-EQUIPMENT &amp; OTHER HPs'!$AB23*'TB-EQUIPMENT &amp; OTHER HPs'!$AG23</f>
        <v>0</v>
      </c>
      <c r="AI23" s="573">
        <f>'TB-EQUIPMENT &amp; OTHER HPs'!$S23+'TB-EQUIPMENT &amp; OTHER HPs'!$Z23+'TB-EQUIPMENT &amp; OTHER HPs'!$AG23</f>
        <v>0</v>
      </c>
      <c r="AJ23" s="1061">
        <f>'TB-EQUIPMENT &amp; OTHER HPs'!$T23+'TB-EQUIPMENT &amp; OTHER HPs'!$AA23+'TB-EQUIPMENT &amp; OTHER HPs'!$AH23</f>
        <v>0</v>
      </c>
      <c r="AK23" s="486" t="str">
        <f t="shared" si="1"/>
        <v xml:space="preserve"> </v>
      </c>
      <c r="AL23" s="1253"/>
    </row>
    <row r="24" spans="1:60" s="249" customFormat="1">
      <c r="A24" s="2406"/>
      <c r="B24" s="2407"/>
      <c r="C24" s="2407"/>
      <c r="D24" s="2407"/>
      <c r="E24" s="2406"/>
      <c r="F24" s="2407"/>
      <c r="G24" s="2407"/>
      <c r="H24" s="2408"/>
      <c r="I24" s="2406"/>
      <c r="J24" s="2407"/>
      <c r="K24" s="2408"/>
      <c r="L24" s="224" t="str">
        <f t="shared" si="0"/>
        <v/>
      </c>
      <c r="M24" s="224" t="str">
        <f t="shared" si="2"/>
        <v/>
      </c>
      <c r="N24" s="1086"/>
      <c r="O24" s="1102"/>
      <c r="P24" s="1102"/>
      <c r="Q24" s="1102"/>
      <c r="R24" s="1102"/>
      <c r="S24" s="574">
        <f>SUM('TB-EQUIPMENT &amp; OTHER HPs'!$O24:$R24)</f>
        <v>0</v>
      </c>
      <c r="T24" s="1062">
        <f>'TB-EQUIPMENT &amp; OTHER HPs'!$N24*'TB-EQUIPMENT &amp; OTHER HPs'!$S24</f>
        <v>0</v>
      </c>
      <c r="U24" s="1086"/>
      <c r="V24" s="1102"/>
      <c r="W24" s="1102"/>
      <c r="X24" s="1102"/>
      <c r="Y24" s="1102"/>
      <c r="Z24" s="574">
        <f>SUM('TB-EQUIPMENT &amp; OTHER HPs'!$V24:$Y24)</f>
        <v>0</v>
      </c>
      <c r="AA24" s="1062">
        <f>'TB-EQUIPMENT &amp; OTHER HPs'!$U24*'TB-EQUIPMENT &amp; OTHER HPs'!$Z24</f>
        <v>0</v>
      </c>
      <c r="AB24" s="1086"/>
      <c r="AC24" s="1102"/>
      <c r="AD24" s="1102"/>
      <c r="AE24" s="1102"/>
      <c r="AF24" s="1102"/>
      <c r="AG24" s="574">
        <f>SUM('TB-EQUIPMENT &amp; OTHER HPs'!$AC24:$AF24)</f>
        <v>0</v>
      </c>
      <c r="AH24" s="1062">
        <f>'TB-EQUIPMENT &amp; OTHER HPs'!$AB24*'TB-EQUIPMENT &amp; OTHER HPs'!$AG24</f>
        <v>0</v>
      </c>
      <c r="AI24" s="575">
        <f>'TB-EQUIPMENT &amp; OTHER HPs'!$S24+'TB-EQUIPMENT &amp; OTHER HPs'!$Z24+'TB-EQUIPMENT &amp; OTHER HPs'!$AG24</f>
        <v>0</v>
      </c>
      <c r="AJ24" s="1062">
        <f>'TB-EQUIPMENT &amp; OTHER HPs'!$T24+'TB-EQUIPMENT &amp; OTHER HPs'!$AA24+'TB-EQUIPMENT &amp; OTHER HPs'!$AH24</f>
        <v>0</v>
      </c>
      <c r="AK24" s="489" t="str">
        <f t="shared" si="1"/>
        <v xml:space="preserve"> </v>
      </c>
      <c r="AL24" s="1252"/>
    </row>
    <row r="25" spans="1:60" s="249" customFormat="1">
      <c r="A25" s="2412"/>
      <c r="B25" s="2109"/>
      <c r="C25" s="2109"/>
      <c r="D25" s="2109"/>
      <c r="E25" s="2412"/>
      <c r="F25" s="2109"/>
      <c r="G25" s="2109"/>
      <c r="H25" s="2413"/>
      <c r="I25" s="2412"/>
      <c r="J25" s="2109"/>
      <c r="K25" s="2413"/>
      <c r="L25" s="225" t="str">
        <f t="shared" si="0"/>
        <v/>
      </c>
      <c r="M25" s="226" t="str">
        <f t="shared" si="2"/>
        <v/>
      </c>
      <c r="N25" s="1085"/>
      <c r="O25" s="36"/>
      <c r="P25" s="36"/>
      <c r="Q25" s="36"/>
      <c r="R25" s="36"/>
      <c r="S25" s="572">
        <f>SUM('TB-EQUIPMENT &amp; OTHER HPs'!$O25:$R25)</f>
        <v>0</v>
      </c>
      <c r="T25" s="1061">
        <f>'TB-EQUIPMENT &amp; OTHER HPs'!$N25*'TB-EQUIPMENT &amp; OTHER HPs'!$S25</f>
        <v>0</v>
      </c>
      <c r="U25" s="1085"/>
      <c r="V25" s="36"/>
      <c r="W25" s="36"/>
      <c r="X25" s="36"/>
      <c r="Y25" s="36"/>
      <c r="Z25" s="572">
        <f>SUM('TB-EQUIPMENT &amp; OTHER HPs'!$V25:$Y25)</f>
        <v>0</v>
      </c>
      <c r="AA25" s="1061">
        <f>'TB-EQUIPMENT &amp; OTHER HPs'!$U25*'TB-EQUIPMENT &amp; OTHER HPs'!$Z25</f>
        <v>0</v>
      </c>
      <c r="AB25" s="1085"/>
      <c r="AC25" s="36"/>
      <c r="AD25" s="36"/>
      <c r="AE25" s="36"/>
      <c r="AF25" s="36"/>
      <c r="AG25" s="572">
        <f>SUM('TB-EQUIPMENT &amp; OTHER HPs'!$AC25:$AF25)</f>
        <v>0</v>
      </c>
      <c r="AH25" s="1061">
        <f>'TB-EQUIPMENT &amp; OTHER HPs'!$AB25*'TB-EQUIPMENT &amp; OTHER HPs'!$AG25</f>
        <v>0</v>
      </c>
      <c r="AI25" s="573">
        <f>'TB-EQUIPMENT &amp; OTHER HPs'!$S25+'TB-EQUIPMENT &amp; OTHER HPs'!$Z25+'TB-EQUIPMENT &amp; OTHER HPs'!$AG25</f>
        <v>0</v>
      </c>
      <c r="AJ25" s="1061">
        <f>'TB-EQUIPMENT &amp; OTHER HPs'!$T25+'TB-EQUIPMENT &amp; OTHER HPs'!$AA25+'TB-EQUIPMENT &amp; OTHER HPs'!$AH25</f>
        <v>0</v>
      </c>
      <c r="AK25" s="486" t="str">
        <f t="shared" si="1"/>
        <v xml:space="preserve"> </v>
      </c>
      <c r="AL25" s="1253"/>
    </row>
    <row r="26" spans="1:60" s="249" customFormat="1">
      <c r="A26" s="2406"/>
      <c r="B26" s="2407"/>
      <c r="C26" s="2407"/>
      <c r="D26" s="2407"/>
      <c r="E26" s="2406"/>
      <c r="F26" s="2407"/>
      <c r="G26" s="2407"/>
      <c r="H26" s="2408"/>
      <c r="I26" s="2406"/>
      <c r="J26" s="2407"/>
      <c r="K26" s="2408"/>
      <c r="L26" s="224" t="str">
        <f t="shared" si="0"/>
        <v/>
      </c>
      <c r="M26" s="224" t="str">
        <f t="shared" si="2"/>
        <v/>
      </c>
      <c r="N26" s="1086"/>
      <c r="O26" s="1102"/>
      <c r="P26" s="1102"/>
      <c r="Q26" s="1102"/>
      <c r="R26" s="1102"/>
      <c r="S26" s="574">
        <f>SUM('TB-EQUIPMENT &amp; OTHER HPs'!$O26:$R26)</f>
        <v>0</v>
      </c>
      <c r="T26" s="1062">
        <f>'TB-EQUIPMENT &amp; OTHER HPs'!$N26*'TB-EQUIPMENT &amp; OTHER HPs'!$S26</f>
        <v>0</v>
      </c>
      <c r="U26" s="1086"/>
      <c r="V26" s="1102"/>
      <c r="W26" s="1102"/>
      <c r="X26" s="1102"/>
      <c r="Y26" s="1102"/>
      <c r="Z26" s="574">
        <f>SUM('TB-EQUIPMENT &amp; OTHER HPs'!$V26:$Y26)</f>
        <v>0</v>
      </c>
      <c r="AA26" s="1062">
        <f>'TB-EQUIPMENT &amp; OTHER HPs'!$U26*'TB-EQUIPMENT &amp; OTHER HPs'!$Z26</f>
        <v>0</v>
      </c>
      <c r="AB26" s="1086"/>
      <c r="AC26" s="1102"/>
      <c r="AD26" s="1102"/>
      <c r="AE26" s="1102"/>
      <c r="AF26" s="1102"/>
      <c r="AG26" s="574">
        <f>SUM('TB-EQUIPMENT &amp; OTHER HPs'!$AC26:$AF26)</f>
        <v>0</v>
      </c>
      <c r="AH26" s="1062">
        <f>'TB-EQUIPMENT &amp; OTHER HPs'!$AB26*'TB-EQUIPMENT &amp; OTHER HPs'!$AG26</f>
        <v>0</v>
      </c>
      <c r="AI26" s="575">
        <f>'TB-EQUIPMENT &amp; OTHER HPs'!$S26+'TB-EQUIPMENT &amp; OTHER HPs'!$Z26+'TB-EQUIPMENT &amp; OTHER HPs'!$AG26</f>
        <v>0</v>
      </c>
      <c r="AJ26" s="1062">
        <f>'TB-EQUIPMENT &amp; OTHER HPs'!$T26+'TB-EQUIPMENT &amp; OTHER HPs'!$AA26+'TB-EQUIPMENT &amp; OTHER HPs'!$AH26</f>
        <v>0</v>
      </c>
      <c r="AK26" s="489" t="str">
        <f t="shared" si="1"/>
        <v xml:space="preserve"> </v>
      </c>
      <c r="AL26" s="1252"/>
    </row>
    <row r="27" spans="1:60" s="249" customFormat="1">
      <c r="A27" s="2412"/>
      <c r="B27" s="2109"/>
      <c r="C27" s="2109"/>
      <c r="D27" s="2109"/>
      <c r="E27" s="2412"/>
      <c r="F27" s="2109"/>
      <c r="G27" s="2109"/>
      <c r="H27" s="2413"/>
      <c r="I27" s="2412"/>
      <c r="J27" s="2109"/>
      <c r="K27" s="2413"/>
      <c r="L27" s="225" t="str">
        <f t="shared" si="0"/>
        <v/>
      </c>
      <c r="M27" s="226" t="str">
        <f t="shared" si="2"/>
        <v/>
      </c>
      <c r="N27" s="1085"/>
      <c r="O27" s="36"/>
      <c r="P27" s="36"/>
      <c r="Q27" s="36"/>
      <c r="R27" s="36"/>
      <c r="S27" s="572">
        <f>SUM('TB-EQUIPMENT &amp; OTHER HPs'!$O27:$R27)</f>
        <v>0</v>
      </c>
      <c r="T27" s="1061">
        <f>'TB-EQUIPMENT &amp; OTHER HPs'!$N27*'TB-EQUIPMENT &amp; OTHER HPs'!$S27</f>
        <v>0</v>
      </c>
      <c r="U27" s="1085"/>
      <c r="V27" s="36"/>
      <c r="W27" s="36"/>
      <c r="X27" s="36"/>
      <c r="Y27" s="36"/>
      <c r="Z27" s="572">
        <f>SUM('TB-EQUIPMENT &amp; OTHER HPs'!$V27:$Y27)</f>
        <v>0</v>
      </c>
      <c r="AA27" s="1061">
        <f>'TB-EQUIPMENT &amp; OTHER HPs'!$U27*'TB-EQUIPMENT &amp; OTHER HPs'!$Z27</f>
        <v>0</v>
      </c>
      <c r="AB27" s="1085"/>
      <c r="AC27" s="36"/>
      <c r="AD27" s="36"/>
      <c r="AE27" s="36"/>
      <c r="AF27" s="36"/>
      <c r="AG27" s="572">
        <f>SUM('TB-EQUIPMENT &amp; OTHER HPs'!$AC27:$AF27)</f>
        <v>0</v>
      </c>
      <c r="AH27" s="1061">
        <f>'TB-EQUIPMENT &amp; OTHER HPs'!$AB27*'TB-EQUIPMENT &amp; OTHER HPs'!$AG27</f>
        <v>0</v>
      </c>
      <c r="AI27" s="573">
        <f>'TB-EQUIPMENT &amp; OTHER HPs'!$S27+'TB-EQUIPMENT &amp; OTHER HPs'!$Z27+'TB-EQUIPMENT &amp; OTHER HPs'!$AG27</f>
        <v>0</v>
      </c>
      <c r="AJ27" s="1061">
        <f>'TB-EQUIPMENT &amp; OTHER HPs'!$T27+'TB-EQUIPMENT &amp; OTHER HPs'!$AA27+'TB-EQUIPMENT &amp; OTHER HPs'!$AH27</f>
        <v>0</v>
      </c>
      <c r="AK27" s="486" t="str">
        <f t="shared" si="1"/>
        <v xml:space="preserve"> </v>
      </c>
      <c r="AL27" s="1253"/>
    </row>
    <row r="28" spans="1:60" s="249" customFormat="1">
      <c r="A28" s="2406"/>
      <c r="B28" s="2407"/>
      <c r="C28" s="2407"/>
      <c r="D28" s="2407"/>
      <c r="E28" s="2406"/>
      <c r="F28" s="2407"/>
      <c r="G28" s="2407"/>
      <c r="H28" s="2408"/>
      <c r="I28" s="2406"/>
      <c r="J28" s="2407"/>
      <c r="K28" s="2408"/>
      <c r="L28" s="224" t="str">
        <f t="shared" si="0"/>
        <v/>
      </c>
      <c r="M28" s="224" t="str">
        <f t="shared" si="2"/>
        <v/>
      </c>
      <c r="N28" s="1086"/>
      <c r="O28" s="1102"/>
      <c r="P28" s="1102"/>
      <c r="Q28" s="1102"/>
      <c r="R28" s="1102"/>
      <c r="S28" s="574">
        <f>SUM('TB-EQUIPMENT &amp; OTHER HPs'!$O28:$R28)</f>
        <v>0</v>
      </c>
      <c r="T28" s="1062">
        <f>'TB-EQUIPMENT &amp; OTHER HPs'!$N28*'TB-EQUIPMENT &amp; OTHER HPs'!$S28</f>
        <v>0</v>
      </c>
      <c r="U28" s="1086"/>
      <c r="V28" s="1102"/>
      <c r="W28" s="1102"/>
      <c r="X28" s="1102"/>
      <c r="Y28" s="1102"/>
      <c r="Z28" s="574">
        <f>SUM('TB-EQUIPMENT &amp; OTHER HPs'!$V28:$Y28)</f>
        <v>0</v>
      </c>
      <c r="AA28" s="1062">
        <f>'TB-EQUIPMENT &amp; OTHER HPs'!$U28*'TB-EQUIPMENT &amp; OTHER HPs'!$Z28</f>
        <v>0</v>
      </c>
      <c r="AB28" s="1086"/>
      <c r="AC28" s="1102"/>
      <c r="AD28" s="1102"/>
      <c r="AE28" s="1102"/>
      <c r="AF28" s="1102"/>
      <c r="AG28" s="574">
        <f>SUM('TB-EQUIPMENT &amp; OTHER HPs'!$AC28:$AF28)</f>
        <v>0</v>
      </c>
      <c r="AH28" s="1062">
        <f>'TB-EQUIPMENT &amp; OTHER HPs'!$AB28*'TB-EQUIPMENT &amp; OTHER HPs'!$AG28</f>
        <v>0</v>
      </c>
      <c r="AI28" s="575">
        <f>'TB-EQUIPMENT &amp; OTHER HPs'!$S28+'TB-EQUIPMENT &amp; OTHER HPs'!$Z28+'TB-EQUIPMENT &amp; OTHER HPs'!$AG28</f>
        <v>0</v>
      </c>
      <c r="AJ28" s="1062">
        <f>'TB-EQUIPMENT &amp; OTHER HPs'!$T28+'TB-EQUIPMENT &amp; OTHER HPs'!$AA28+'TB-EQUIPMENT &amp; OTHER HPs'!$AH28</f>
        <v>0</v>
      </c>
      <c r="AK28" s="489" t="str">
        <f t="shared" si="1"/>
        <v xml:space="preserve"> </v>
      </c>
      <c r="AL28" s="1252"/>
    </row>
    <row r="29" spans="1:60" s="249" customFormat="1">
      <c r="A29" s="2412"/>
      <c r="B29" s="2109"/>
      <c r="C29" s="2109"/>
      <c r="D29" s="2109"/>
      <c r="E29" s="2412"/>
      <c r="F29" s="2109"/>
      <c r="G29" s="2109"/>
      <c r="H29" s="2413"/>
      <c r="I29" s="2412"/>
      <c r="J29" s="2109"/>
      <c r="K29" s="2413"/>
      <c r="L29" s="225" t="str">
        <f t="shared" si="0"/>
        <v/>
      </c>
      <c r="M29" s="226" t="str">
        <f t="shared" si="2"/>
        <v/>
      </c>
      <c r="N29" s="1085"/>
      <c r="O29" s="36"/>
      <c r="P29" s="36"/>
      <c r="Q29" s="36"/>
      <c r="R29" s="36"/>
      <c r="S29" s="572">
        <f>SUM('TB-EQUIPMENT &amp; OTHER HPs'!$O29:$R29)</f>
        <v>0</v>
      </c>
      <c r="T29" s="1061">
        <f>'TB-EQUIPMENT &amp; OTHER HPs'!$N29*'TB-EQUIPMENT &amp; OTHER HPs'!$S29</f>
        <v>0</v>
      </c>
      <c r="U29" s="1085"/>
      <c r="V29" s="36"/>
      <c r="W29" s="36"/>
      <c r="X29" s="36"/>
      <c r="Y29" s="36"/>
      <c r="Z29" s="572">
        <f>SUM('TB-EQUIPMENT &amp; OTHER HPs'!$V29:$Y29)</f>
        <v>0</v>
      </c>
      <c r="AA29" s="1061">
        <f>'TB-EQUIPMENT &amp; OTHER HPs'!$U29*'TB-EQUIPMENT &amp; OTHER HPs'!$Z29</f>
        <v>0</v>
      </c>
      <c r="AB29" s="1085"/>
      <c r="AC29" s="36"/>
      <c r="AD29" s="36"/>
      <c r="AE29" s="36"/>
      <c r="AF29" s="36"/>
      <c r="AG29" s="572">
        <f>SUM('TB-EQUIPMENT &amp; OTHER HPs'!$AC29:$AF29)</f>
        <v>0</v>
      </c>
      <c r="AH29" s="1061">
        <f>'TB-EQUIPMENT &amp; OTHER HPs'!$AB29*'TB-EQUIPMENT &amp; OTHER HPs'!$AG29</f>
        <v>0</v>
      </c>
      <c r="AI29" s="573">
        <f>'TB-EQUIPMENT &amp; OTHER HPs'!$S29+'TB-EQUIPMENT &amp; OTHER HPs'!$Z29+'TB-EQUIPMENT &amp; OTHER HPs'!$AG29</f>
        <v>0</v>
      </c>
      <c r="AJ29" s="1061">
        <f>'TB-EQUIPMENT &amp; OTHER HPs'!$T29+'TB-EQUIPMENT &amp; OTHER HPs'!$AA29+'TB-EQUIPMENT &amp; OTHER HPs'!$AH29</f>
        <v>0</v>
      </c>
      <c r="AK29" s="486" t="str">
        <f t="shared" si="1"/>
        <v xml:space="preserve"> </v>
      </c>
      <c r="AL29" s="1253"/>
    </row>
    <row r="30" spans="1:60" s="249" customFormat="1">
      <c r="A30" s="2406"/>
      <c r="B30" s="2407"/>
      <c r="C30" s="2407"/>
      <c r="D30" s="2407"/>
      <c r="E30" s="2406"/>
      <c r="F30" s="2407"/>
      <c r="G30" s="2407"/>
      <c r="H30" s="2408"/>
      <c r="I30" s="2406"/>
      <c r="J30" s="2407"/>
      <c r="K30" s="2408"/>
      <c r="L30" s="224" t="str">
        <f t="shared" si="0"/>
        <v/>
      </c>
      <c r="M30" s="224" t="str">
        <f t="shared" si="2"/>
        <v/>
      </c>
      <c r="N30" s="1086"/>
      <c r="O30" s="1102"/>
      <c r="P30" s="1102"/>
      <c r="Q30" s="1102"/>
      <c r="R30" s="1102"/>
      <c r="S30" s="574">
        <f>SUM('TB-EQUIPMENT &amp; OTHER HPs'!$O30:$R30)</f>
        <v>0</v>
      </c>
      <c r="T30" s="1062">
        <f>'TB-EQUIPMENT &amp; OTHER HPs'!$N30*'TB-EQUIPMENT &amp; OTHER HPs'!$S30</f>
        <v>0</v>
      </c>
      <c r="U30" s="1086"/>
      <c r="V30" s="1102"/>
      <c r="W30" s="1102"/>
      <c r="X30" s="1102"/>
      <c r="Y30" s="1102"/>
      <c r="Z30" s="574">
        <f>SUM('TB-EQUIPMENT &amp; OTHER HPs'!$V30:$Y30)</f>
        <v>0</v>
      </c>
      <c r="AA30" s="1062">
        <f>'TB-EQUIPMENT &amp; OTHER HPs'!$U30*'TB-EQUIPMENT &amp; OTHER HPs'!$Z30</f>
        <v>0</v>
      </c>
      <c r="AB30" s="1086"/>
      <c r="AC30" s="1102"/>
      <c r="AD30" s="1102"/>
      <c r="AE30" s="1102"/>
      <c r="AF30" s="1102"/>
      <c r="AG30" s="574">
        <f>SUM('TB-EQUIPMENT &amp; OTHER HPs'!$AC30:$AF30)</f>
        <v>0</v>
      </c>
      <c r="AH30" s="1062">
        <f>'TB-EQUIPMENT &amp; OTHER HPs'!$AB30*'TB-EQUIPMENT &amp; OTHER HPs'!$AG30</f>
        <v>0</v>
      </c>
      <c r="AI30" s="575">
        <f>'TB-EQUIPMENT &amp; OTHER HPs'!$S30+'TB-EQUIPMENT &amp; OTHER HPs'!$Z30+'TB-EQUIPMENT &amp; OTHER HPs'!$AG30</f>
        <v>0</v>
      </c>
      <c r="AJ30" s="1062">
        <f>'TB-EQUIPMENT &amp; OTHER HPs'!$T30+'TB-EQUIPMENT &amp; OTHER HPs'!$AA30+'TB-EQUIPMENT &amp; OTHER HPs'!$AH30</f>
        <v>0</v>
      </c>
      <c r="AK30" s="489" t="str">
        <f t="shared" si="1"/>
        <v xml:space="preserve"> </v>
      </c>
      <c r="AL30" s="1252"/>
    </row>
    <row r="31" spans="1:60" s="249" customFormat="1">
      <c r="A31" s="2412"/>
      <c r="B31" s="2109"/>
      <c r="C31" s="2109"/>
      <c r="D31" s="2109"/>
      <c r="E31" s="2412"/>
      <c r="F31" s="2109"/>
      <c r="G31" s="2109"/>
      <c r="H31" s="2413"/>
      <c r="I31" s="2412"/>
      <c r="J31" s="2109"/>
      <c r="K31" s="2413"/>
      <c r="L31" s="225" t="str">
        <f t="shared" si="0"/>
        <v/>
      </c>
      <c r="M31" s="226" t="str">
        <f t="shared" si="2"/>
        <v/>
      </c>
      <c r="N31" s="1085"/>
      <c r="O31" s="36"/>
      <c r="P31" s="36"/>
      <c r="Q31" s="36"/>
      <c r="R31" s="36"/>
      <c r="S31" s="572">
        <f>SUM('TB-EQUIPMENT &amp; OTHER HPs'!$O31:$R31)</f>
        <v>0</v>
      </c>
      <c r="T31" s="1061">
        <f>'TB-EQUIPMENT &amp; OTHER HPs'!$N31*'TB-EQUIPMENT &amp; OTHER HPs'!$S31</f>
        <v>0</v>
      </c>
      <c r="U31" s="1085"/>
      <c r="V31" s="36"/>
      <c r="W31" s="36"/>
      <c r="X31" s="36"/>
      <c r="Y31" s="36"/>
      <c r="Z31" s="572">
        <f>SUM('TB-EQUIPMENT &amp; OTHER HPs'!$V31:$Y31)</f>
        <v>0</v>
      </c>
      <c r="AA31" s="1061">
        <f>'TB-EQUIPMENT &amp; OTHER HPs'!$U31*'TB-EQUIPMENT &amp; OTHER HPs'!$Z31</f>
        <v>0</v>
      </c>
      <c r="AB31" s="1085"/>
      <c r="AC31" s="36"/>
      <c r="AD31" s="36"/>
      <c r="AE31" s="36"/>
      <c r="AF31" s="36"/>
      <c r="AG31" s="572">
        <f>SUM('TB-EQUIPMENT &amp; OTHER HPs'!$AC31:$AF31)</f>
        <v>0</v>
      </c>
      <c r="AH31" s="1061">
        <f>'TB-EQUIPMENT &amp; OTHER HPs'!$AB31*'TB-EQUIPMENT &amp; OTHER HPs'!$AG31</f>
        <v>0</v>
      </c>
      <c r="AI31" s="573">
        <f>'TB-EQUIPMENT &amp; OTHER HPs'!$S31+'TB-EQUIPMENT &amp; OTHER HPs'!$Z31+'TB-EQUIPMENT &amp; OTHER HPs'!$AG31</f>
        <v>0</v>
      </c>
      <c r="AJ31" s="1061">
        <f>'TB-EQUIPMENT &amp; OTHER HPs'!$T31+'TB-EQUIPMENT &amp; OTHER HPs'!$AA31+'TB-EQUIPMENT &amp; OTHER HPs'!$AH31</f>
        <v>0</v>
      </c>
      <c r="AK31" s="486" t="str">
        <f t="shared" si="1"/>
        <v xml:space="preserve"> </v>
      </c>
      <c r="AL31" s="1253"/>
    </row>
    <row r="32" spans="1:60" s="249" customFormat="1">
      <c r="A32" s="2406"/>
      <c r="B32" s="2407"/>
      <c r="C32" s="2407"/>
      <c r="D32" s="2407"/>
      <c r="E32" s="2406"/>
      <c r="F32" s="2407"/>
      <c r="G32" s="2407"/>
      <c r="H32" s="2408"/>
      <c r="I32" s="2406"/>
      <c r="J32" s="2407"/>
      <c r="K32" s="2408"/>
      <c r="L32" s="224" t="str">
        <f t="shared" si="0"/>
        <v/>
      </c>
      <c r="M32" s="224" t="str">
        <f t="shared" si="2"/>
        <v/>
      </c>
      <c r="N32" s="1086"/>
      <c r="O32" s="1102"/>
      <c r="P32" s="1102"/>
      <c r="Q32" s="1102"/>
      <c r="R32" s="1102"/>
      <c r="S32" s="574">
        <f>SUM('TB-EQUIPMENT &amp; OTHER HPs'!$O32:$R32)</f>
        <v>0</v>
      </c>
      <c r="T32" s="1062">
        <f>'TB-EQUIPMENT &amp; OTHER HPs'!$N32*'TB-EQUIPMENT &amp; OTHER HPs'!$S32</f>
        <v>0</v>
      </c>
      <c r="U32" s="1086"/>
      <c r="V32" s="1102"/>
      <c r="W32" s="1102"/>
      <c r="X32" s="1102"/>
      <c r="Y32" s="1102"/>
      <c r="Z32" s="574">
        <f>SUM('TB-EQUIPMENT &amp; OTHER HPs'!$V32:$Y32)</f>
        <v>0</v>
      </c>
      <c r="AA32" s="1062">
        <f>'TB-EQUIPMENT &amp; OTHER HPs'!$U32*'TB-EQUIPMENT &amp; OTHER HPs'!$Z32</f>
        <v>0</v>
      </c>
      <c r="AB32" s="1086"/>
      <c r="AC32" s="1102"/>
      <c r="AD32" s="1102"/>
      <c r="AE32" s="1102"/>
      <c r="AF32" s="1102"/>
      <c r="AG32" s="574">
        <f>SUM('TB-EQUIPMENT &amp; OTHER HPs'!$AC32:$AF32)</f>
        <v>0</v>
      </c>
      <c r="AH32" s="1062">
        <f>'TB-EQUIPMENT &amp; OTHER HPs'!$AB32*'TB-EQUIPMENT &amp; OTHER HPs'!$AG32</f>
        <v>0</v>
      </c>
      <c r="AI32" s="575">
        <f>'TB-EQUIPMENT &amp; OTHER HPs'!$S32+'TB-EQUIPMENT &amp; OTHER HPs'!$Z32+'TB-EQUIPMENT &amp; OTHER HPs'!$AG32</f>
        <v>0</v>
      </c>
      <c r="AJ32" s="1062">
        <f>'TB-EQUIPMENT &amp; OTHER HPs'!$T32+'TB-EQUIPMENT &amp; OTHER HPs'!$AA32+'TB-EQUIPMENT &amp; OTHER HPs'!$AH32</f>
        <v>0</v>
      </c>
      <c r="AK32" s="489" t="str">
        <f t="shared" si="1"/>
        <v xml:space="preserve"> </v>
      </c>
      <c r="AL32" s="1252"/>
    </row>
    <row r="33" spans="1:38" s="249" customFormat="1">
      <c r="A33" s="2412"/>
      <c r="B33" s="2109"/>
      <c r="C33" s="2109"/>
      <c r="D33" s="2109"/>
      <c r="E33" s="2412"/>
      <c r="F33" s="2109"/>
      <c r="G33" s="2109"/>
      <c r="H33" s="2413"/>
      <c r="I33" s="2412"/>
      <c r="J33" s="2109"/>
      <c r="K33" s="2413"/>
      <c r="L33" s="225" t="str">
        <f t="shared" si="0"/>
        <v/>
      </c>
      <c r="M33" s="226" t="str">
        <f t="shared" si="2"/>
        <v/>
      </c>
      <c r="N33" s="1085"/>
      <c r="O33" s="36"/>
      <c r="P33" s="36"/>
      <c r="Q33" s="36"/>
      <c r="R33" s="36"/>
      <c r="S33" s="572">
        <f>SUM('TB-EQUIPMENT &amp; OTHER HPs'!$O33:$R33)</f>
        <v>0</v>
      </c>
      <c r="T33" s="1061">
        <f>'TB-EQUIPMENT &amp; OTHER HPs'!$N33*'TB-EQUIPMENT &amp; OTHER HPs'!$S33</f>
        <v>0</v>
      </c>
      <c r="U33" s="1085"/>
      <c r="V33" s="36"/>
      <c r="W33" s="36"/>
      <c r="X33" s="36"/>
      <c r="Y33" s="36"/>
      <c r="Z33" s="572">
        <f>SUM('TB-EQUIPMENT &amp; OTHER HPs'!$V33:$Y33)</f>
        <v>0</v>
      </c>
      <c r="AA33" s="1061">
        <f>'TB-EQUIPMENT &amp; OTHER HPs'!$U33*'TB-EQUIPMENT &amp; OTHER HPs'!$Z33</f>
        <v>0</v>
      </c>
      <c r="AB33" s="1085"/>
      <c r="AC33" s="36"/>
      <c r="AD33" s="36"/>
      <c r="AE33" s="36"/>
      <c r="AF33" s="36"/>
      <c r="AG33" s="572">
        <f>SUM('TB-EQUIPMENT &amp; OTHER HPs'!$AC33:$AF33)</f>
        <v>0</v>
      </c>
      <c r="AH33" s="1061">
        <f>'TB-EQUIPMENT &amp; OTHER HPs'!$AB33*'TB-EQUIPMENT &amp; OTHER HPs'!$AG33</f>
        <v>0</v>
      </c>
      <c r="AI33" s="573">
        <f>'TB-EQUIPMENT &amp; OTHER HPs'!$S33+'TB-EQUIPMENT &amp; OTHER HPs'!$Z33+'TB-EQUIPMENT &amp; OTHER HPs'!$AG33</f>
        <v>0</v>
      </c>
      <c r="AJ33" s="1061">
        <f>'TB-EQUIPMENT &amp; OTHER HPs'!$T33+'TB-EQUIPMENT &amp; OTHER HPs'!$AA33+'TB-EQUIPMENT &amp; OTHER HPs'!$AH33</f>
        <v>0</v>
      </c>
      <c r="AK33" s="486" t="str">
        <f t="shared" si="1"/>
        <v xml:space="preserve"> </v>
      </c>
      <c r="AL33" s="1253"/>
    </row>
    <row r="34" spans="1:38" s="249" customFormat="1">
      <c r="A34" s="2406"/>
      <c r="B34" s="2407"/>
      <c r="C34" s="2407"/>
      <c r="D34" s="2407"/>
      <c r="E34" s="2406"/>
      <c r="F34" s="2407"/>
      <c r="G34" s="2407"/>
      <c r="H34" s="2408"/>
      <c r="I34" s="2406"/>
      <c r="J34" s="2407"/>
      <c r="K34" s="2408"/>
      <c r="L34" s="224" t="str">
        <f t="shared" si="0"/>
        <v/>
      </c>
      <c r="M34" s="224" t="str">
        <f t="shared" si="2"/>
        <v/>
      </c>
      <c r="N34" s="1086"/>
      <c r="O34" s="1102"/>
      <c r="P34" s="1102"/>
      <c r="Q34" s="1102"/>
      <c r="R34" s="1102"/>
      <c r="S34" s="574">
        <f>SUM('TB-EQUIPMENT &amp; OTHER HPs'!$O34:$R34)</f>
        <v>0</v>
      </c>
      <c r="T34" s="1062">
        <f>'TB-EQUIPMENT &amp; OTHER HPs'!$N34*'TB-EQUIPMENT &amp; OTHER HPs'!$S34</f>
        <v>0</v>
      </c>
      <c r="U34" s="1086"/>
      <c r="V34" s="1102"/>
      <c r="W34" s="1102"/>
      <c r="X34" s="1102"/>
      <c r="Y34" s="1102"/>
      <c r="Z34" s="574">
        <f>SUM('TB-EQUIPMENT &amp; OTHER HPs'!$V34:$Y34)</f>
        <v>0</v>
      </c>
      <c r="AA34" s="1062">
        <f>'TB-EQUIPMENT &amp; OTHER HPs'!$U34*'TB-EQUIPMENT &amp; OTHER HPs'!$Z34</f>
        <v>0</v>
      </c>
      <c r="AB34" s="1086"/>
      <c r="AC34" s="1102"/>
      <c r="AD34" s="1102"/>
      <c r="AE34" s="1102"/>
      <c r="AF34" s="1102"/>
      <c r="AG34" s="574">
        <f>SUM('TB-EQUIPMENT &amp; OTHER HPs'!$AC34:$AF34)</f>
        <v>0</v>
      </c>
      <c r="AH34" s="1062">
        <f>'TB-EQUIPMENT &amp; OTHER HPs'!$AB34*'TB-EQUIPMENT &amp; OTHER HPs'!$AG34</f>
        <v>0</v>
      </c>
      <c r="AI34" s="575">
        <f>'TB-EQUIPMENT &amp; OTHER HPs'!$S34+'TB-EQUIPMENT &amp; OTHER HPs'!$Z34+'TB-EQUIPMENT &amp; OTHER HPs'!$AG34</f>
        <v>0</v>
      </c>
      <c r="AJ34" s="1062">
        <f>'TB-EQUIPMENT &amp; OTHER HPs'!$T34+'TB-EQUIPMENT &amp; OTHER HPs'!$AA34+'TB-EQUIPMENT &amp; OTHER HPs'!$AH34</f>
        <v>0</v>
      </c>
      <c r="AK34" s="489" t="str">
        <f t="shared" si="1"/>
        <v xml:space="preserve"> </v>
      </c>
      <c r="AL34" s="1252"/>
    </row>
    <row r="35" spans="1:38" s="249" customFormat="1">
      <c r="A35" s="2412"/>
      <c r="B35" s="2109"/>
      <c r="C35" s="2109"/>
      <c r="D35" s="2109"/>
      <c r="E35" s="2412"/>
      <c r="F35" s="2109"/>
      <c r="G35" s="2109"/>
      <c r="H35" s="2413"/>
      <c r="I35" s="2412"/>
      <c r="J35" s="2109"/>
      <c r="K35" s="2413"/>
      <c r="L35" s="225" t="str">
        <f t="shared" si="0"/>
        <v/>
      </c>
      <c r="M35" s="226" t="str">
        <f t="shared" si="2"/>
        <v/>
      </c>
      <c r="N35" s="1085"/>
      <c r="O35" s="36"/>
      <c r="P35" s="36"/>
      <c r="Q35" s="36"/>
      <c r="R35" s="36"/>
      <c r="S35" s="572">
        <f>SUM('TB-EQUIPMENT &amp; OTHER HPs'!$O35:$R35)</f>
        <v>0</v>
      </c>
      <c r="T35" s="1061">
        <f>'TB-EQUIPMENT &amp; OTHER HPs'!$N35*'TB-EQUIPMENT &amp; OTHER HPs'!$S35</f>
        <v>0</v>
      </c>
      <c r="U35" s="1085"/>
      <c r="V35" s="36"/>
      <c r="W35" s="36"/>
      <c r="X35" s="36"/>
      <c r="Y35" s="36"/>
      <c r="Z35" s="572">
        <f>SUM('TB-EQUIPMENT &amp; OTHER HPs'!$V35:$Y35)</f>
        <v>0</v>
      </c>
      <c r="AA35" s="1061">
        <f>'TB-EQUIPMENT &amp; OTHER HPs'!$U35*'TB-EQUIPMENT &amp; OTHER HPs'!$Z35</f>
        <v>0</v>
      </c>
      <c r="AB35" s="1085"/>
      <c r="AC35" s="36"/>
      <c r="AD35" s="36"/>
      <c r="AE35" s="36"/>
      <c r="AF35" s="36"/>
      <c r="AG35" s="572">
        <f>SUM('TB-EQUIPMENT &amp; OTHER HPs'!$AC35:$AF35)</f>
        <v>0</v>
      </c>
      <c r="AH35" s="1061">
        <f>'TB-EQUIPMENT &amp; OTHER HPs'!$AB35*'TB-EQUIPMENT &amp; OTHER HPs'!$AG35</f>
        <v>0</v>
      </c>
      <c r="AI35" s="573">
        <f>'TB-EQUIPMENT &amp; OTHER HPs'!$S35+'TB-EQUIPMENT &amp; OTHER HPs'!$Z35+'TB-EQUIPMENT &amp; OTHER HPs'!$AG35</f>
        <v>0</v>
      </c>
      <c r="AJ35" s="1061">
        <f>'TB-EQUIPMENT &amp; OTHER HPs'!$T35+'TB-EQUIPMENT &amp; OTHER HPs'!$AA35+'TB-EQUIPMENT &amp; OTHER HPs'!$AH35</f>
        <v>0</v>
      </c>
      <c r="AK35" s="486" t="str">
        <f t="shared" si="1"/>
        <v xml:space="preserve"> </v>
      </c>
      <c r="AL35" s="1253"/>
    </row>
    <row r="36" spans="1:38" s="249" customFormat="1">
      <c r="A36" s="2406"/>
      <c r="B36" s="2407"/>
      <c r="C36" s="2407"/>
      <c r="D36" s="2407"/>
      <c r="E36" s="2406"/>
      <c r="F36" s="2407"/>
      <c r="G36" s="2407"/>
      <c r="H36" s="2408"/>
      <c r="I36" s="2406"/>
      <c r="J36" s="2407"/>
      <c r="K36" s="2408"/>
      <c r="L36" s="224" t="str">
        <f t="shared" si="0"/>
        <v/>
      </c>
      <c r="M36" s="224" t="str">
        <f t="shared" si="2"/>
        <v/>
      </c>
      <c r="N36" s="1086"/>
      <c r="O36" s="1102"/>
      <c r="P36" s="1102"/>
      <c r="Q36" s="1102"/>
      <c r="R36" s="1102"/>
      <c r="S36" s="574">
        <f>SUM('TB-EQUIPMENT &amp; OTHER HPs'!$O36:$R36)</f>
        <v>0</v>
      </c>
      <c r="T36" s="1062">
        <f>'TB-EQUIPMENT &amp; OTHER HPs'!$N36*'TB-EQUIPMENT &amp; OTHER HPs'!$S36</f>
        <v>0</v>
      </c>
      <c r="U36" s="1086"/>
      <c r="V36" s="1102"/>
      <c r="W36" s="1102"/>
      <c r="X36" s="1102"/>
      <c r="Y36" s="1102"/>
      <c r="Z36" s="574">
        <f>SUM('TB-EQUIPMENT &amp; OTHER HPs'!$V36:$Y36)</f>
        <v>0</v>
      </c>
      <c r="AA36" s="1062">
        <f>'TB-EQUIPMENT &amp; OTHER HPs'!$U36*'TB-EQUIPMENT &amp; OTHER HPs'!$Z36</f>
        <v>0</v>
      </c>
      <c r="AB36" s="1086"/>
      <c r="AC36" s="1102"/>
      <c r="AD36" s="1102"/>
      <c r="AE36" s="1102"/>
      <c r="AF36" s="1102"/>
      <c r="AG36" s="574">
        <f>SUM('TB-EQUIPMENT &amp; OTHER HPs'!$AC36:$AF36)</f>
        <v>0</v>
      </c>
      <c r="AH36" s="1062">
        <f>'TB-EQUIPMENT &amp; OTHER HPs'!$AB36*'TB-EQUIPMENT &amp; OTHER HPs'!$AG36</f>
        <v>0</v>
      </c>
      <c r="AI36" s="575">
        <f>'TB-EQUIPMENT &amp; OTHER HPs'!$S36+'TB-EQUIPMENT &amp; OTHER HPs'!$Z36+'TB-EQUIPMENT &amp; OTHER HPs'!$AG36</f>
        <v>0</v>
      </c>
      <c r="AJ36" s="1062">
        <f>'TB-EQUIPMENT &amp; OTHER HPs'!$T36+'TB-EQUIPMENT &amp; OTHER HPs'!$AA36+'TB-EQUIPMENT &amp; OTHER HPs'!$AH36</f>
        <v>0</v>
      </c>
      <c r="AK36" s="489" t="str">
        <f t="shared" si="1"/>
        <v xml:space="preserve"> </v>
      </c>
      <c r="AL36" s="1252"/>
    </row>
    <row r="37" spans="1:38" s="249" customFormat="1">
      <c r="A37" s="2412"/>
      <c r="B37" s="2109"/>
      <c r="C37" s="2109"/>
      <c r="D37" s="2109"/>
      <c r="E37" s="2412"/>
      <c r="F37" s="2109"/>
      <c r="G37" s="2109"/>
      <c r="H37" s="2413"/>
      <c r="I37" s="2412"/>
      <c r="J37" s="2109"/>
      <c r="K37" s="2413"/>
      <c r="L37" s="225" t="str">
        <f t="shared" si="0"/>
        <v/>
      </c>
      <c r="M37" s="226" t="str">
        <f t="shared" si="2"/>
        <v/>
      </c>
      <c r="N37" s="1085"/>
      <c r="O37" s="36"/>
      <c r="P37" s="36"/>
      <c r="Q37" s="36"/>
      <c r="R37" s="36"/>
      <c r="S37" s="572">
        <f>SUM('TB-EQUIPMENT &amp; OTHER HPs'!$O37:$R37)</f>
        <v>0</v>
      </c>
      <c r="T37" s="1061">
        <f>'TB-EQUIPMENT &amp; OTHER HPs'!$N37*'TB-EQUIPMENT &amp; OTHER HPs'!$S37</f>
        <v>0</v>
      </c>
      <c r="U37" s="1085"/>
      <c r="V37" s="36"/>
      <c r="W37" s="36"/>
      <c r="X37" s="36"/>
      <c r="Y37" s="36"/>
      <c r="Z37" s="572">
        <f>SUM('TB-EQUIPMENT &amp; OTHER HPs'!$V37:$Y37)</f>
        <v>0</v>
      </c>
      <c r="AA37" s="1061">
        <f>'TB-EQUIPMENT &amp; OTHER HPs'!$U37*'TB-EQUIPMENT &amp; OTHER HPs'!$Z37</f>
        <v>0</v>
      </c>
      <c r="AB37" s="1085"/>
      <c r="AC37" s="36"/>
      <c r="AD37" s="36"/>
      <c r="AE37" s="36"/>
      <c r="AF37" s="36"/>
      <c r="AG37" s="572">
        <f>SUM('TB-EQUIPMENT &amp; OTHER HPs'!$AC37:$AF37)</f>
        <v>0</v>
      </c>
      <c r="AH37" s="1061">
        <f>'TB-EQUIPMENT &amp; OTHER HPs'!$AB37*'TB-EQUIPMENT &amp; OTHER HPs'!$AG37</f>
        <v>0</v>
      </c>
      <c r="AI37" s="573">
        <f>'TB-EQUIPMENT &amp; OTHER HPs'!$S37+'TB-EQUIPMENT &amp; OTHER HPs'!$Z37+'TB-EQUIPMENT &amp; OTHER HPs'!$AG37</f>
        <v>0</v>
      </c>
      <c r="AJ37" s="1061">
        <f>'TB-EQUIPMENT &amp; OTHER HPs'!$T37+'TB-EQUIPMENT &amp; OTHER HPs'!$AA37+'TB-EQUIPMENT &amp; OTHER HPs'!$AH37</f>
        <v>0</v>
      </c>
      <c r="AK37" s="486" t="str">
        <f t="shared" si="1"/>
        <v xml:space="preserve"> </v>
      </c>
      <c r="AL37" s="1253"/>
    </row>
    <row r="38" spans="1:38" s="249" customFormat="1">
      <c r="A38" s="2406"/>
      <c r="B38" s="2407"/>
      <c r="C38" s="2407"/>
      <c r="D38" s="2407"/>
      <c r="E38" s="2406"/>
      <c r="F38" s="2407"/>
      <c r="G38" s="2407"/>
      <c r="H38" s="2408"/>
      <c r="I38" s="2406"/>
      <c r="J38" s="2407"/>
      <c r="K38" s="2408"/>
      <c r="L38" s="224" t="str">
        <f t="shared" si="0"/>
        <v/>
      </c>
      <c r="M38" s="224" t="str">
        <f t="shared" si="2"/>
        <v/>
      </c>
      <c r="N38" s="1086"/>
      <c r="O38" s="1102"/>
      <c r="P38" s="1102"/>
      <c r="Q38" s="1102"/>
      <c r="R38" s="1102"/>
      <c r="S38" s="574">
        <f>SUM('TB-EQUIPMENT &amp; OTHER HPs'!$O38:$R38)</f>
        <v>0</v>
      </c>
      <c r="T38" s="1062">
        <f>'TB-EQUIPMENT &amp; OTHER HPs'!$N38*'TB-EQUIPMENT &amp; OTHER HPs'!$S38</f>
        <v>0</v>
      </c>
      <c r="U38" s="1086"/>
      <c r="V38" s="1102"/>
      <c r="W38" s="1102"/>
      <c r="X38" s="1102"/>
      <c r="Y38" s="1102"/>
      <c r="Z38" s="574">
        <f>SUM('TB-EQUIPMENT &amp; OTHER HPs'!$V38:$Y38)</f>
        <v>0</v>
      </c>
      <c r="AA38" s="1062">
        <f>'TB-EQUIPMENT &amp; OTHER HPs'!$U38*'TB-EQUIPMENT &amp; OTHER HPs'!$Z38</f>
        <v>0</v>
      </c>
      <c r="AB38" s="1086"/>
      <c r="AC38" s="1102"/>
      <c r="AD38" s="1102"/>
      <c r="AE38" s="1102"/>
      <c r="AF38" s="1102"/>
      <c r="AG38" s="574">
        <f>SUM('TB-EQUIPMENT &amp; OTHER HPs'!$AC38:$AF38)</f>
        <v>0</v>
      </c>
      <c r="AH38" s="1062">
        <f>'TB-EQUIPMENT &amp; OTHER HPs'!$AB38*'TB-EQUIPMENT &amp; OTHER HPs'!$AG38</f>
        <v>0</v>
      </c>
      <c r="AI38" s="575">
        <f>'TB-EQUIPMENT &amp; OTHER HPs'!$S38+'TB-EQUIPMENT &amp; OTHER HPs'!$Z38+'TB-EQUIPMENT &amp; OTHER HPs'!$AG38</f>
        <v>0</v>
      </c>
      <c r="AJ38" s="1062">
        <f>'TB-EQUIPMENT &amp; OTHER HPs'!$T38+'TB-EQUIPMENT &amp; OTHER HPs'!$AA38+'TB-EQUIPMENT &amp; OTHER HPs'!$AH38</f>
        <v>0</v>
      </c>
      <c r="AK38" s="489" t="str">
        <f t="shared" si="1"/>
        <v xml:space="preserve"> </v>
      </c>
      <c r="AL38" s="1252"/>
    </row>
    <row r="39" spans="1:38" s="249" customFormat="1">
      <c r="A39" s="2412"/>
      <c r="B39" s="2109"/>
      <c r="C39" s="2109"/>
      <c r="D39" s="2109"/>
      <c r="E39" s="2412"/>
      <c r="F39" s="2109"/>
      <c r="G39" s="2109"/>
      <c r="H39" s="2413"/>
      <c r="I39" s="2412"/>
      <c r="J39" s="2109"/>
      <c r="K39" s="2413"/>
      <c r="L39" s="225" t="str">
        <f t="shared" si="0"/>
        <v/>
      </c>
      <c r="M39" s="226" t="str">
        <f t="shared" si="2"/>
        <v/>
      </c>
      <c r="N39" s="1085"/>
      <c r="O39" s="36"/>
      <c r="P39" s="36"/>
      <c r="Q39" s="36"/>
      <c r="R39" s="36"/>
      <c r="S39" s="572">
        <f>SUM('TB-EQUIPMENT &amp; OTHER HPs'!$O39:$R39)</f>
        <v>0</v>
      </c>
      <c r="T39" s="1061">
        <f>'TB-EQUIPMENT &amp; OTHER HPs'!$N39*'TB-EQUIPMENT &amp; OTHER HPs'!$S39</f>
        <v>0</v>
      </c>
      <c r="U39" s="1085"/>
      <c r="V39" s="36"/>
      <c r="W39" s="36"/>
      <c r="X39" s="36"/>
      <c r="Y39" s="36"/>
      <c r="Z39" s="572">
        <f>SUM('TB-EQUIPMENT &amp; OTHER HPs'!$V39:$Y39)</f>
        <v>0</v>
      </c>
      <c r="AA39" s="1061">
        <f>'TB-EQUIPMENT &amp; OTHER HPs'!$U39*'TB-EQUIPMENT &amp; OTHER HPs'!$Z39</f>
        <v>0</v>
      </c>
      <c r="AB39" s="1085"/>
      <c r="AC39" s="36"/>
      <c r="AD39" s="36"/>
      <c r="AE39" s="36"/>
      <c r="AF39" s="36"/>
      <c r="AG39" s="572">
        <f>SUM('TB-EQUIPMENT &amp; OTHER HPs'!$AC39:$AF39)</f>
        <v>0</v>
      </c>
      <c r="AH39" s="1061">
        <f>'TB-EQUIPMENT &amp; OTHER HPs'!$AB39*'TB-EQUIPMENT &amp; OTHER HPs'!$AG39</f>
        <v>0</v>
      </c>
      <c r="AI39" s="573">
        <f>'TB-EQUIPMENT &amp; OTHER HPs'!$S39+'TB-EQUIPMENT &amp; OTHER HPs'!$Z39+'TB-EQUIPMENT &amp; OTHER HPs'!$AG39</f>
        <v>0</v>
      </c>
      <c r="AJ39" s="1061">
        <f>'TB-EQUIPMENT &amp; OTHER HPs'!$T39+'TB-EQUIPMENT &amp; OTHER HPs'!$AA39+'TB-EQUIPMENT &amp; OTHER HPs'!$AH39</f>
        <v>0</v>
      </c>
      <c r="AK39" s="486" t="str">
        <f t="shared" si="1"/>
        <v xml:space="preserve"> </v>
      </c>
      <c r="AL39" s="1253"/>
    </row>
    <row r="40" spans="1:38" s="249" customFormat="1">
      <c r="A40" s="2406"/>
      <c r="B40" s="2407"/>
      <c r="C40" s="2407"/>
      <c r="D40" s="2407"/>
      <c r="E40" s="2406"/>
      <c r="F40" s="2407"/>
      <c r="G40" s="2407"/>
      <c r="H40" s="2408"/>
      <c r="I40" s="2406"/>
      <c r="J40" s="2407"/>
      <c r="K40" s="2408"/>
      <c r="L40" s="224" t="str">
        <f t="shared" si="0"/>
        <v/>
      </c>
      <c r="M40" s="224" t="str">
        <f t="shared" si="2"/>
        <v/>
      </c>
      <c r="N40" s="1086"/>
      <c r="O40" s="1102"/>
      <c r="P40" s="1102"/>
      <c r="Q40" s="1102"/>
      <c r="R40" s="1102"/>
      <c r="S40" s="574">
        <f>SUM('TB-EQUIPMENT &amp; OTHER HPs'!$O40:$R40)</f>
        <v>0</v>
      </c>
      <c r="T40" s="1062">
        <f>'TB-EQUIPMENT &amp; OTHER HPs'!$N40*'TB-EQUIPMENT &amp; OTHER HPs'!$S40</f>
        <v>0</v>
      </c>
      <c r="U40" s="1086"/>
      <c r="V40" s="1102"/>
      <c r="W40" s="1102"/>
      <c r="X40" s="1102"/>
      <c r="Y40" s="1102"/>
      <c r="Z40" s="574">
        <f>SUM('TB-EQUIPMENT &amp; OTHER HPs'!$V40:$Y40)</f>
        <v>0</v>
      </c>
      <c r="AA40" s="1062">
        <f>'TB-EQUIPMENT &amp; OTHER HPs'!$U40*'TB-EQUIPMENT &amp; OTHER HPs'!$Z40</f>
        <v>0</v>
      </c>
      <c r="AB40" s="1086"/>
      <c r="AC40" s="1102"/>
      <c r="AD40" s="1102"/>
      <c r="AE40" s="1102"/>
      <c r="AF40" s="1102"/>
      <c r="AG40" s="574">
        <f>SUM('TB-EQUIPMENT &amp; OTHER HPs'!$AC40:$AF40)</f>
        <v>0</v>
      </c>
      <c r="AH40" s="1062">
        <f>'TB-EQUIPMENT &amp; OTHER HPs'!$AB40*'TB-EQUIPMENT &amp; OTHER HPs'!$AG40</f>
        <v>0</v>
      </c>
      <c r="AI40" s="575">
        <f>'TB-EQUIPMENT &amp; OTHER HPs'!$S40+'TB-EQUIPMENT &amp; OTHER HPs'!$Z40+'TB-EQUIPMENT &amp; OTHER HPs'!$AG40</f>
        <v>0</v>
      </c>
      <c r="AJ40" s="1062">
        <f>'TB-EQUIPMENT &amp; OTHER HPs'!$T40+'TB-EQUIPMENT &amp; OTHER HPs'!$AA40+'TB-EQUIPMENT &amp; OTHER HPs'!$AH40</f>
        <v>0</v>
      </c>
      <c r="AK40" s="489" t="str">
        <f t="shared" si="1"/>
        <v xml:space="preserve"> </v>
      </c>
      <c r="AL40" s="1252"/>
    </row>
    <row r="41" spans="1:38" s="249" customFormat="1">
      <c r="A41" s="2412"/>
      <c r="B41" s="2109"/>
      <c r="C41" s="2109"/>
      <c r="D41" s="2109"/>
      <c r="E41" s="2412"/>
      <c r="F41" s="2109"/>
      <c r="G41" s="2109"/>
      <c r="H41" s="2413"/>
      <c r="I41" s="2412"/>
      <c r="J41" s="2109"/>
      <c r="K41" s="2413"/>
      <c r="L41" s="225" t="str">
        <f t="shared" si="0"/>
        <v/>
      </c>
      <c r="M41" s="226" t="str">
        <f t="shared" si="2"/>
        <v/>
      </c>
      <c r="N41" s="1085"/>
      <c r="O41" s="36"/>
      <c r="P41" s="36"/>
      <c r="Q41" s="36"/>
      <c r="R41" s="36"/>
      <c r="S41" s="572">
        <f>SUM('TB-EQUIPMENT &amp; OTHER HPs'!$O41:$R41)</f>
        <v>0</v>
      </c>
      <c r="T41" s="1061">
        <f>'TB-EQUIPMENT &amp; OTHER HPs'!$N41*'TB-EQUIPMENT &amp; OTHER HPs'!$S41</f>
        <v>0</v>
      </c>
      <c r="U41" s="1085"/>
      <c r="V41" s="36"/>
      <c r="W41" s="36"/>
      <c r="X41" s="36"/>
      <c r="Y41" s="36"/>
      <c r="Z41" s="572">
        <f>SUM('TB-EQUIPMENT &amp; OTHER HPs'!$V41:$Y41)</f>
        <v>0</v>
      </c>
      <c r="AA41" s="1061">
        <f>'TB-EQUIPMENT &amp; OTHER HPs'!$U41*'TB-EQUIPMENT &amp; OTHER HPs'!$Z41</f>
        <v>0</v>
      </c>
      <c r="AB41" s="1085"/>
      <c r="AC41" s="36"/>
      <c r="AD41" s="36"/>
      <c r="AE41" s="36"/>
      <c r="AF41" s="36"/>
      <c r="AG41" s="572">
        <f>SUM('TB-EQUIPMENT &amp; OTHER HPs'!$AC41:$AF41)</f>
        <v>0</v>
      </c>
      <c r="AH41" s="1061">
        <f>'TB-EQUIPMENT &amp; OTHER HPs'!$AB41*'TB-EQUIPMENT &amp; OTHER HPs'!$AG41</f>
        <v>0</v>
      </c>
      <c r="AI41" s="573">
        <f>'TB-EQUIPMENT &amp; OTHER HPs'!$S41+'TB-EQUIPMENT &amp; OTHER HPs'!$Z41+'TB-EQUIPMENT &amp; OTHER HPs'!$AG41</f>
        <v>0</v>
      </c>
      <c r="AJ41" s="1061">
        <f>'TB-EQUIPMENT &amp; OTHER HPs'!$T41+'TB-EQUIPMENT &amp; OTHER HPs'!$AA41+'TB-EQUIPMENT &amp; OTHER HPs'!$AH41</f>
        <v>0</v>
      </c>
      <c r="AK41" s="486" t="str">
        <f t="shared" si="1"/>
        <v xml:space="preserve"> </v>
      </c>
      <c r="AL41" s="1253"/>
    </row>
    <row r="42" spans="1:38" s="249" customFormat="1">
      <c r="A42" s="2406"/>
      <c r="B42" s="2407"/>
      <c r="C42" s="2407"/>
      <c r="D42" s="2407"/>
      <c r="E42" s="2406"/>
      <c r="F42" s="2407"/>
      <c r="G42" s="2407"/>
      <c r="H42" s="2408"/>
      <c r="I42" s="2406"/>
      <c r="J42" s="2407"/>
      <c r="K42" s="2408"/>
      <c r="L42" s="224" t="str">
        <f t="shared" si="0"/>
        <v/>
      </c>
      <c r="M42" s="224" t="str">
        <f t="shared" si="2"/>
        <v/>
      </c>
      <c r="N42" s="1086"/>
      <c r="O42" s="1102"/>
      <c r="P42" s="1102"/>
      <c r="Q42" s="1102"/>
      <c r="R42" s="1102"/>
      <c r="S42" s="574">
        <f>SUM('TB-EQUIPMENT &amp; OTHER HPs'!$O42:$R42)</f>
        <v>0</v>
      </c>
      <c r="T42" s="1062">
        <f>'TB-EQUIPMENT &amp; OTHER HPs'!$N42*'TB-EQUIPMENT &amp; OTHER HPs'!$S42</f>
        <v>0</v>
      </c>
      <c r="U42" s="1086"/>
      <c r="V42" s="1102"/>
      <c r="W42" s="1102"/>
      <c r="X42" s="1102"/>
      <c r="Y42" s="1102"/>
      <c r="Z42" s="574">
        <f>SUM('TB-EQUIPMENT &amp; OTHER HPs'!$V42:$Y42)</f>
        <v>0</v>
      </c>
      <c r="AA42" s="1062">
        <f>'TB-EQUIPMENT &amp; OTHER HPs'!$U42*'TB-EQUIPMENT &amp; OTHER HPs'!$Z42</f>
        <v>0</v>
      </c>
      <c r="AB42" s="1086"/>
      <c r="AC42" s="1102"/>
      <c r="AD42" s="1102"/>
      <c r="AE42" s="1102"/>
      <c r="AF42" s="1102"/>
      <c r="AG42" s="574">
        <f>SUM('TB-EQUIPMENT &amp; OTHER HPs'!$AC42:$AF42)</f>
        <v>0</v>
      </c>
      <c r="AH42" s="1062">
        <f>'TB-EQUIPMENT &amp; OTHER HPs'!$AB42*'TB-EQUIPMENT &amp; OTHER HPs'!$AG42</f>
        <v>0</v>
      </c>
      <c r="AI42" s="575">
        <f>'TB-EQUIPMENT &amp; OTHER HPs'!$S42+'TB-EQUIPMENT &amp; OTHER HPs'!$Z42+'TB-EQUIPMENT &amp; OTHER HPs'!$AG42</f>
        <v>0</v>
      </c>
      <c r="AJ42" s="1062">
        <f>'TB-EQUIPMENT &amp; OTHER HPs'!$T42+'TB-EQUIPMENT &amp; OTHER HPs'!$AA42+'TB-EQUIPMENT &amp; OTHER HPs'!$AH42</f>
        <v>0</v>
      </c>
      <c r="AK42" s="489" t="str">
        <f t="shared" si="1"/>
        <v xml:space="preserve"> </v>
      </c>
      <c r="AL42" s="1252"/>
    </row>
    <row r="43" spans="1:38" s="249" customFormat="1">
      <c r="A43" s="2412"/>
      <c r="B43" s="2109"/>
      <c r="C43" s="2109"/>
      <c r="D43" s="2109"/>
      <c r="E43" s="2412"/>
      <c r="F43" s="2109"/>
      <c r="G43" s="2109"/>
      <c r="H43" s="2413"/>
      <c r="I43" s="2412"/>
      <c r="J43" s="2109"/>
      <c r="K43" s="2413"/>
      <c r="L43" s="225" t="str">
        <f t="shared" si="0"/>
        <v/>
      </c>
      <c r="M43" s="226" t="str">
        <f t="shared" si="2"/>
        <v/>
      </c>
      <c r="N43" s="1085"/>
      <c r="O43" s="36"/>
      <c r="P43" s="36"/>
      <c r="Q43" s="36"/>
      <c r="R43" s="36"/>
      <c r="S43" s="572">
        <f>SUM('TB-EQUIPMENT &amp; OTHER HPs'!$O43:$R43)</f>
        <v>0</v>
      </c>
      <c r="T43" s="1061">
        <f>'TB-EQUIPMENT &amp; OTHER HPs'!$N43*'TB-EQUIPMENT &amp; OTHER HPs'!$S43</f>
        <v>0</v>
      </c>
      <c r="U43" s="1085"/>
      <c r="V43" s="36"/>
      <c r="W43" s="36"/>
      <c r="X43" s="36"/>
      <c r="Y43" s="36"/>
      <c r="Z43" s="572">
        <f>SUM('TB-EQUIPMENT &amp; OTHER HPs'!$V43:$Y43)</f>
        <v>0</v>
      </c>
      <c r="AA43" s="1061">
        <f>'TB-EQUIPMENT &amp; OTHER HPs'!$U43*'TB-EQUIPMENT &amp; OTHER HPs'!$Z43</f>
        <v>0</v>
      </c>
      <c r="AB43" s="1085"/>
      <c r="AC43" s="36"/>
      <c r="AD43" s="36"/>
      <c r="AE43" s="36"/>
      <c r="AF43" s="36"/>
      <c r="AG43" s="572">
        <f>SUM('TB-EQUIPMENT &amp; OTHER HPs'!$AC43:$AF43)</f>
        <v>0</v>
      </c>
      <c r="AH43" s="1061">
        <f>'TB-EQUIPMENT &amp; OTHER HPs'!$AB43*'TB-EQUIPMENT &amp; OTHER HPs'!$AG43</f>
        <v>0</v>
      </c>
      <c r="AI43" s="573">
        <f>'TB-EQUIPMENT &amp; OTHER HPs'!$S43+'TB-EQUIPMENT &amp; OTHER HPs'!$Z43+'TB-EQUIPMENT &amp; OTHER HPs'!$AG43</f>
        <v>0</v>
      </c>
      <c r="AJ43" s="1061">
        <f>'TB-EQUIPMENT &amp; OTHER HPs'!$T43+'TB-EQUIPMENT &amp; OTHER HPs'!$AA43+'TB-EQUIPMENT &amp; OTHER HPs'!$AH43</f>
        <v>0</v>
      </c>
      <c r="AK43" s="486" t="str">
        <f t="shared" si="1"/>
        <v xml:space="preserve"> </v>
      </c>
      <c r="AL43" s="1253"/>
    </row>
    <row r="44" spans="1:38" s="249" customFormat="1">
      <c r="A44" s="2406"/>
      <c r="B44" s="2407"/>
      <c r="C44" s="2407"/>
      <c r="D44" s="2407"/>
      <c r="E44" s="2406"/>
      <c r="F44" s="2407"/>
      <c r="G44" s="2407"/>
      <c r="H44" s="2408"/>
      <c r="I44" s="2406"/>
      <c r="J44" s="2407"/>
      <c r="K44" s="2408"/>
      <c r="L44" s="224" t="str">
        <f t="shared" si="0"/>
        <v/>
      </c>
      <c r="M44" s="224" t="str">
        <f t="shared" si="2"/>
        <v/>
      </c>
      <c r="N44" s="1086"/>
      <c r="O44" s="1102"/>
      <c r="P44" s="1102"/>
      <c r="Q44" s="1102"/>
      <c r="R44" s="1102"/>
      <c r="S44" s="574">
        <f>SUM('TB-EQUIPMENT &amp; OTHER HPs'!$O44:$R44)</f>
        <v>0</v>
      </c>
      <c r="T44" s="1062">
        <f>'TB-EQUIPMENT &amp; OTHER HPs'!$N44*'TB-EQUIPMENT &amp; OTHER HPs'!$S44</f>
        <v>0</v>
      </c>
      <c r="U44" s="1086"/>
      <c r="V44" s="1102"/>
      <c r="W44" s="1102"/>
      <c r="X44" s="1102"/>
      <c r="Y44" s="1102"/>
      <c r="Z44" s="574">
        <f>SUM('TB-EQUIPMENT &amp; OTHER HPs'!$V44:$Y44)</f>
        <v>0</v>
      </c>
      <c r="AA44" s="1062">
        <f>'TB-EQUIPMENT &amp; OTHER HPs'!$U44*'TB-EQUIPMENT &amp; OTHER HPs'!$Z44</f>
        <v>0</v>
      </c>
      <c r="AB44" s="1086"/>
      <c r="AC44" s="1102"/>
      <c r="AD44" s="1102"/>
      <c r="AE44" s="1102"/>
      <c r="AF44" s="1102"/>
      <c r="AG44" s="574">
        <f>SUM('TB-EQUIPMENT &amp; OTHER HPs'!$AC44:$AF44)</f>
        <v>0</v>
      </c>
      <c r="AH44" s="1062">
        <f>'TB-EQUIPMENT &amp; OTHER HPs'!$AB44*'TB-EQUIPMENT &amp; OTHER HPs'!$AG44</f>
        <v>0</v>
      </c>
      <c r="AI44" s="575">
        <f>'TB-EQUIPMENT &amp; OTHER HPs'!$S44+'TB-EQUIPMENT &amp; OTHER HPs'!$Z44+'TB-EQUIPMENT &amp; OTHER HPs'!$AG44</f>
        <v>0</v>
      </c>
      <c r="AJ44" s="1062">
        <f>'TB-EQUIPMENT &amp; OTHER HPs'!$T44+'TB-EQUIPMENT &amp; OTHER HPs'!$AA44+'TB-EQUIPMENT &amp; OTHER HPs'!$AH44</f>
        <v>0</v>
      </c>
      <c r="AK44" s="489" t="str">
        <f t="shared" si="1"/>
        <v xml:space="preserve"> </v>
      </c>
      <c r="AL44" s="1252"/>
    </row>
    <row r="45" spans="1:38" s="249" customFormat="1">
      <c r="A45" s="2412"/>
      <c r="B45" s="2109"/>
      <c r="C45" s="2109"/>
      <c r="D45" s="2109"/>
      <c r="E45" s="2412"/>
      <c r="F45" s="2109"/>
      <c r="G45" s="2109"/>
      <c r="H45" s="2413"/>
      <c r="I45" s="2412"/>
      <c r="J45" s="2109"/>
      <c r="K45" s="2413"/>
      <c r="L45" s="225" t="str">
        <f t="shared" si="0"/>
        <v/>
      </c>
      <c r="M45" s="226" t="str">
        <f t="shared" si="2"/>
        <v/>
      </c>
      <c r="N45" s="1085"/>
      <c r="O45" s="36"/>
      <c r="P45" s="36"/>
      <c r="Q45" s="36"/>
      <c r="R45" s="36"/>
      <c r="S45" s="572">
        <f>SUM('TB-EQUIPMENT &amp; OTHER HPs'!$O45:$R45)</f>
        <v>0</v>
      </c>
      <c r="T45" s="1061">
        <f>'TB-EQUIPMENT &amp; OTHER HPs'!$N45*'TB-EQUIPMENT &amp; OTHER HPs'!$S45</f>
        <v>0</v>
      </c>
      <c r="U45" s="1085"/>
      <c r="V45" s="36"/>
      <c r="W45" s="36"/>
      <c r="X45" s="36"/>
      <c r="Y45" s="36"/>
      <c r="Z45" s="572">
        <f>SUM('TB-EQUIPMENT &amp; OTHER HPs'!$V45:$Y45)</f>
        <v>0</v>
      </c>
      <c r="AA45" s="1061">
        <f>'TB-EQUIPMENT &amp; OTHER HPs'!$U45*'TB-EQUIPMENT &amp; OTHER HPs'!$Z45</f>
        <v>0</v>
      </c>
      <c r="AB45" s="1085"/>
      <c r="AC45" s="36"/>
      <c r="AD45" s="36"/>
      <c r="AE45" s="36"/>
      <c r="AF45" s="36"/>
      <c r="AG45" s="572">
        <f>SUM('TB-EQUIPMENT &amp; OTHER HPs'!$AC45:$AF45)</f>
        <v>0</v>
      </c>
      <c r="AH45" s="1061">
        <f>'TB-EQUIPMENT &amp; OTHER HPs'!$AB45*'TB-EQUIPMENT &amp; OTHER HPs'!$AG45</f>
        <v>0</v>
      </c>
      <c r="AI45" s="573">
        <f>'TB-EQUIPMENT &amp; OTHER HPs'!$S45+'TB-EQUIPMENT &amp; OTHER HPs'!$Z45+'TB-EQUIPMENT &amp; OTHER HPs'!$AG45</f>
        <v>0</v>
      </c>
      <c r="AJ45" s="1061">
        <f>'TB-EQUIPMENT &amp; OTHER HPs'!$T45+'TB-EQUIPMENT &amp; OTHER HPs'!$AA45+'TB-EQUIPMENT &amp; OTHER HPs'!$AH45</f>
        <v>0</v>
      </c>
      <c r="AK45" s="486" t="str">
        <f t="shared" si="1"/>
        <v xml:space="preserve"> </v>
      </c>
      <c r="AL45" s="1253"/>
    </row>
    <row r="46" spans="1:38" s="249" customFormat="1">
      <c r="A46" s="2406"/>
      <c r="B46" s="2407"/>
      <c r="C46" s="2407"/>
      <c r="D46" s="2407"/>
      <c r="E46" s="2406"/>
      <c r="F46" s="2407"/>
      <c r="G46" s="2407"/>
      <c r="H46" s="2408"/>
      <c r="I46" s="2406"/>
      <c r="J46" s="2407"/>
      <c r="K46" s="2408"/>
      <c r="L46" s="224" t="str">
        <f t="shared" si="0"/>
        <v/>
      </c>
      <c r="M46" s="224" t="str">
        <f t="shared" si="2"/>
        <v/>
      </c>
      <c r="N46" s="1086"/>
      <c r="O46" s="1102"/>
      <c r="P46" s="1102"/>
      <c r="Q46" s="1102"/>
      <c r="R46" s="1102"/>
      <c r="S46" s="574">
        <f>SUM('TB-EQUIPMENT &amp; OTHER HPs'!$O46:$R46)</f>
        <v>0</v>
      </c>
      <c r="T46" s="1062">
        <f>'TB-EQUIPMENT &amp; OTHER HPs'!$N46*'TB-EQUIPMENT &amp; OTHER HPs'!$S46</f>
        <v>0</v>
      </c>
      <c r="U46" s="1086"/>
      <c r="V46" s="1102"/>
      <c r="W46" s="1102"/>
      <c r="X46" s="1102"/>
      <c r="Y46" s="1102"/>
      <c r="Z46" s="574">
        <f>SUM('TB-EQUIPMENT &amp; OTHER HPs'!$V46:$Y46)</f>
        <v>0</v>
      </c>
      <c r="AA46" s="1062">
        <f>'TB-EQUIPMENT &amp; OTHER HPs'!$U46*'TB-EQUIPMENT &amp; OTHER HPs'!$Z46</f>
        <v>0</v>
      </c>
      <c r="AB46" s="1086"/>
      <c r="AC46" s="1102"/>
      <c r="AD46" s="1102"/>
      <c r="AE46" s="1102"/>
      <c r="AF46" s="1102"/>
      <c r="AG46" s="574">
        <f>SUM('TB-EQUIPMENT &amp; OTHER HPs'!$AC46:$AF46)</f>
        <v>0</v>
      </c>
      <c r="AH46" s="1062">
        <f>'TB-EQUIPMENT &amp; OTHER HPs'!$AB46*'TB-EQUIPMENT &amp; OTHER HPs'!$AG46</f>
        <v>0</v>
      </c>
      <c r="AI46" s="575">
        <f>'TB-EQUIPMENT &amp; OTHER HPs'!$S46+'TB-EQUIPMENT &amp; OTHER HPs'!$Z46+'TB-EQUIPMENT &amp; OTHER HPs'!$AG46</f>
        <v>0</v>
      </c>
      <c r="AJ46" s="1062">
        <f>'TB-EQUIPMENT &amp; OTHER HPs'!$T46+'TB-EQUIPMENT &amp; OTHER HPs'!$AA46+'TB-EQUIPMENT &amp; OTHER HPs'!$AH46</f>
        <v>0</v>
      </c>
      <c r="AK46" s="489" t="str">
        <f t="shared" si="1"/>
        <v xml:space="preserve"> </v>
      </c>
      <c r="AL46" s="1252"/>
    </row>
    <row r="47" spans="1:38" s="249" customFormat="1">
      <c r="A47" s="2412"/>
      <c r="B47" s="2109"/>
      <c r="C47" s="2109"/>
      <c r="D47" s="2109"/>
      <c r="E47" s="2412"/>
      <c r="F47" s="2109"/>
      <c r="G47" s="2109"/>
      <c r="H47" s="2413"/>
      <c r="I47" s="2412"/>
      <c r="J47" s="2109"/>
      <c r="K47" s="2413"/>
      <c r="L47" s="225" t="str">
        <f t="shared" si="0"/>
        <v/>
      </c>
      <c r="M47" s="226" t="str">
        <f t="shared" si="2"/>
        <v/>
      </c>
      <c r="N47" s="1085"/>
      <c r="O47" s="36"/>
      <c r="P47" s="36"/>
      <c r="Q47" s="36"/>
      <c r="R47" s="36"/>
      <c r="S47" s="572">
        <f>SUM('TB-EQUIPMENT &amp; OTHER HPs'!$O47:$R47)</f>
        <v>0</v>
      </c>
      <c r="T47" s="1061">
        <f>'TB-EQUIPMENT &amp; OTHER HPs'!$N47*'TB-EQUIPMENT &amp; OTHER HPs'!$S47</f>
        <v>0</v>
      </c>
      <c r="U47" s="1085"/>
      <c r="V47" s="36"/>
      <c r="W47" s="36"/>
      <c r="X47" s="36"/>
      <c r="Y47" s="36"/>
      <c r="Z47" s="572">
        <f>SUM('TB-EQUIPMENT &amp; OTHER HPs'!$V47:$Y47)</f>
        <v>0</v>
      </c>
      <c r="AA47" s="1061">
        <f>'TB-EQUIPMENT &amp; OTHER HPs'!$U47*'TB-EQUIPMENT &amp; OTHER HPs'!$Z47</f>
        <v>0</v>
      </c>
      <c r="AB47" s="1085"/>
      <c r="AC47" s="36"/>
      <c r="AD47" s="36"/>
      <c r="AE47" s="36"/>
      <c r="AF47" s="36"/>
      <c r="AG47" s="572">
        <f>SUM('TB-EQUIPMENT &amp; OTHER HPs'!$AC47:$AF47)</f>
        <v>0</v>
      </c>
      <c r="AH47" s="1061">
        <f>'TB-EQUIPMENT &amp; OTHER HPs'!$AB47*'TB-EQUIPMENT &amp; OTHER HPs'!$AG47</f>
        <v>0</v>
      </c>
      <c r="AI47" s="573">
        <f>'TB-EQUIPMENT &amp; OTHER HPs'!$S47+'TB-EQUIPMENT &amp; OTHER HPs'!$Z47+'TB-EQUIPMENT &amp; OTHER HPs'!$AG47</f>
        <v>0</v>
      </c>
      <c r="AJ47" s="1061">
        <f>'TB-EQUIPMENT &amp; OTHER HPs'!$T47+'TB-EQUIPMENT &amp; OTHER HPs'!$AA47+'TB-EQUIPMENT &amp; OTHER HPs'!$AH47</f>
        <v>0</v>
      </c>
      <c r="AK47" s="486" t="str">
        <f t="shared" si="1"/>
        <v xml:space="preserve"> </v>
      </c>
      <c r="AL47" s="1253"/>
    </row>
    <row r="48" spans="1:38" s="249" customFormat="1">
      <c r="A48" s="2406"/>
      <c r="B48" s="2407"/>
      <c r="C48" s="2407"/>
      <c r="D48" s="2407"/>
      <c r="E48" s="2406"/>
      <c r="F48" s="2407"/>
      <c r="G48" s="2407"/>
      <c r="H48" s="2408"/>
      <c r="I48" s="2406"/>
      <c r="J48" s="2407"/>
      <c r="K48" s="2408"/>
      <c r="L48" s="224" t="str">
        <f t="shared" si="0"/>
        <v/>
      </c>
      <c r="M48" s="224" t="str">
        <f t="shared" si="2"/>
        <v/>
      </c>
      <c r="N48" s="1086"/>
      <c r="O48" s="1102"/>
      <c r="P48" s="1102"/>
      <c r="Q48" s="1102"/>
      <c r="R48" s="1102"/>
      <c r="S48" s="574">
        <f>SUM('TB-EQUIPMENT &amp; OTHER HPs'!$O48:$R48)</f>
        <v>0</v>
      </c>
      <c r="T48" s="1062">
        <f>'TB-EQUIPMENT &amp; OTHER HPs'!$N48*'TB-EQUIPMENT &amp; OTHER HPs'!$S48</f>
        <v>0</v>
      </c>
      <c r="U48" s="1086"/>
      <c r="V48" s="1102"/>
      <c r="W48" s="1102"/>
      <c r="X48" s="1102"/>
      <c r="Y48" s="1102"/>
      <c r="Z48" s="574">
        <f>SUM('TB-EQUIPMENT &amp; OTHER HPs'!$V48:$Y48)</f>
        <v>0</v>
      </c>
      <c r="AA48" s="1062">
        <f>'TB-EQUIPMENT &amp; OTHER HPs'!$U48*'TB-EQUIPMENT &amp; OTHER HPs'!$Z48</f>
        <v>0</v>
      </c>
      <c r="AB48" s="1086"/>
      <c r="AC48" s="1102"/>
      <c r="AD48" s="1102"/>
      <c r="AE48" s="1102"/>
      <c r="AF48" s="1102"/>
      <c r="AG48" s="574">
        <f>SUM('TB-EQUIPMENT &amp; OTHER HPs'!$AC48:$AF48)</f>
        <v>0</v>
      </c>
      <c r="AH48" s="1062">
        <f>'TB-EQUIPMENT &amp; OTHER HPs'!$AB48*'TB-EQUIPMENT &amp; OTHER HPs'!$AG48</f>
        <v>0</v>
      </c>
      <c r="AI48" s="575">
        <f>'TB-EQUIPMENT &amp; OTHER HPs'!$S48+'TB-EQUIPMENT &amp; OTHER HPs'!$Z48+'TB-EQUIPMENT &amp; OTHER HPs'!$AG48</f>
        <v>0</v>
      </c>
      <c r="AJ48" s="1062">
        <f>'TB-EQUIPMENT &amp; OTHER HPs'!$T48+'TB-EQUIPMENT &amp; OTHER HPs'!$AA48+'TB-EQUIPMENT &amp; OTHER HPs'!$AH48</f>
        <v>0</v>
      </c>
      <c r="AK48" s="489" t="str">
        <f t="shared" si="1"/>
        <v xml:space="preserve"> </v>
      </c>
      <c r="AL48" s="1252"/>
    </row>
    <row r="49" spans="1:60" s="249" customFormat="1">
      <c r="A49" s="2412"/>
      <c r="B49" s="2109"/>
      <c r="C49" s="2109"/>
      <c r="D49" s="2109"/>
      <c r="E49" s="2412"/>
      <c r="F49" s="2109"/>
      <c r="G49" s="2109"/>
      <c r="H49" s="2413"/>
      <c r="I49" s="2412"/>
      <c r="J49" s="2109"/>
      <c r="K49" s="2413"/>
      <c r="L49" s="225" t="str">
        <f t="shared" si="0"/>
        <v/>
      </c>
      <c r="M49" s="226" t="str">
        <f t="shared" si="2"/>
        <v/>
      </c>
      <c r="N49" s="1085"/>
      <c r="O49" s="36"/>
      <c r="P49" s="36"/>
      <c r="Q49" s="36"/>
      <c r="R49" s="36"/>
      <c r="S49" s="572">
        <f>SUM('TB-EQUIPMENT &amp; OTHER HPs'!$O49:$R49)</f>
        <v>0</v>
      </c>
      <c r="T49" s="1061">
        <f>'TB-EQUIPMENT &amp; OTHER HPs'!$N49*'TB-EQUIPMENT &amp; OTHER HPs'!$S49</f>
        <v>0</v>
      </c>
      <c r="U49" s="1085"/>
      <c r="V49" s="36"/>
      <c r="W49" s="36"/>
      <c r="X49" s="36"/>
      <c r="Y49" s="36"/>
      <c r="Z49" s="572">
        <f>SUM('TB-EQUIPMENT &amp; OTHER HPs'!$V49:$Y49)</f>
        <v>0</v>
      </c>
      <c r="AA49" s="1061">
        <f>'TB-EQUIPMENT &amp; OTHER HPs'!$U49*'TB-EQUIPMENT &amp; OTHER HPs'!$Z49</f>
        <v>0</v>
      </c>
      <c r="AB49" s="1085"/>
      <c r="AC49" s="36"/>
      <c r="AD49" s="36"/>
      <c r="AE49" s="36"/>
      <c r="AF49" s="36"/>
      <c r="AG49" s="572">
        <f>SUM('TB-EQUIPMENT &amp; OTHER HPs'!$AC49:$AF49)</f>
        <v>0</v>
      </c>
      <c r="AH49" s="1061">
        <f>'TB-EQUIPMENT &amp; OTHER HPs'!$AB49*'TB-EQUIPMENT &amp; OTHER HPs'!$AG49</f>
        <v>0</v>
      </c>
      <c r="AI49" s="573">
        <f>'TB-EQUIPMENT &amp; OTHER HPs'!$S49+'TB-EQUIPMENT &amp; OTHER HPs'!$Z49+'TB-EQUIPMENT &amp; OTHER HPs'!$AG49</f>
        <v>0</v>
      </c>
      <c r="AJ49" s="1061">
        <f>'TB-EQUIPMENT &amp; OTHER HPs'!$T49+'TB-EQUIPMENT &amp; OTHER HPs'!$AA49+'TB-EQUIPMENT &amp; OTHER HPs'!$AH49</f>
        <v>0</v>
      </c>
      <c r="AK49" s="486" t="str">
        <f t="shared" si="1"/>
        <v xml:space="preserve"> </v>
      </c>
      <c r="AL49" s="1253"/>
    </row>
    <row r="50" spans="1:60" s="249" customFormat="1">
      <c r="A50" s="2406"/>
      <c r="B50" s="2407"/>
      <c r="C50" s="2407"/>
      <c r="D50" s="2407"/>
      <c r="E50" s="2406"/>
      <c r="F50" s="2407"/>
      <c r="G50" s="2407"/>
      <c r="H50" s="2408"/>
      <c r="I50" s="2406"/>
      <c r="J50" s="2407"/>
      <c r="K50" s="2408"/>
      <c r="L50" s="224" t="str">
        <f t="shared" si="0"/>
        <v/>
      </c>
      <c r="M50" s="224" t="str">
        <f t="shared" si="2"/>
        <v/>
      </c>
      <c r="N50" s="1086"/>
      <c r="O50" s="1102"/>
      <c r="P50" s="1102"/>
      <c r="Q50" s="1102"/>
      <c r="R50" s="1102"/>
      <c r="S50" s="574">
        <f>SUM('TB-EQUIPMENT &amp; OTHER HPs'!$O50:$R50)</f>
        <v>0</v>
      </c>
      <c r="T50" s="1062">
        <f>'TB-EQUIPMENT &amp; OTHER HPs'!$N50*'TB-EQUIPMENT &amp; OTHER HPs'!$S50</f>
        <v>0</v>
      </c>
      <c r="U50" s="1086"/>
      <c r="V50" s="1102"/>
      <c r="W50" s="1102"/>
      <c r="X50" s="1102"/>
      <c r="Y50" s="1102"/>
      <c r="Z50" s="574">
        <f>SUM('TB-EQUIPMENT &amp; OTHER HPs'!$V50:$Y50)</f>
        <v>0</v>
      </c>
      <c r="AA50" s="1062">
        <f>'TB-EQUIPMENT &amp; OTHER HPs'!$U50*'TB-EQUIPMENT &amp; OTHER HPs'!$Z50</f>
        <v>0</v>
      </c>
      <c r="AB50" s="1086"/>
      <c r="AC50" s="1102"/>
      <c r="AD50" s="1102"/>
      <c r="AE50" s="1102"/>
      <c r="AF50" s="1102"/>
      <c r="AG50" s="574">
        <f>SUM('TB-EQUIPMENT &amp; OTHER HPs'!$AC50:$AF50)</f>
        <v>0</v>
      </c>
      <c r="AH50" s="1062">
        <f>'TB-EQUIPMENT &amp; OTHER HPs'!$AB50*'TB-EQUIPMENT &amp; OTHER HPs'!$AG50</f>
        <v>0</v>
      </c>
      <c r="AI50" s="575">
        <f>'TB-EQUIPMENT &amp; OTHER HPs'!$S50+'TB-EQUIPMENT &amp; OTHER HPs'!$Z50+'TB-EQUIPMENT &amp; OTHER HPs'!$AG50</f>
        <v>0</v>
      </c>
      <c r="AJ50" s="1062">
        <f>'TB-EQUIPMENT &amp; OTHER HPs'!$T50+'TB-EQUIPMENT &amp; OTHER HPs'!$AA50+'TB-EQUIPMENT &amp; OTHER HPs'!$AH50</f>
        <v>0</v>
      </c>
      <c r="AK50" s="489" t="str">
        <f t="shared" si="1"/>
        <v xml:space="preserve"> </v>
      </c>
      <c r="AL50" s="1252"/>
    </row>
    <row r="51" spans="1:60" s="249" customFormat="1">
      <c r="A51" s="2412"/>
      <c r="B51" s="2109"/>
      <c r="C51" s="2109"/>
      <c r="D51" s="2109"/>
      <c r="E51" s="2412"/>
      <c r="F51" s="2109"/>
      <c r="G51" s="2109"/>
      <c r="H51" s="2413"/>
      <c r="I51" s="2412"/>
      <c r="J51" s="2109"/>
      <c r="K51" s="2413"/>
      <c r="L51" s="225" t="str">
        <f t="shared" si="0"/>
        <v/>
      </c>
      <c r="M51" s="226" t="str">
        <f t="shared" si="2"/>
        <v/>
      </c>
      <c r="N51" s="1085"/>
      <c r="O51" s="36"/>
      <c r="P51" s="36"/>
      <c r="Q51" s="36"/>
      <c r="R51" s="36"/>
      <c r="S51" s="572">
        <f>SUM('TB-EQUIPMENT &amp; OTHER HPs'!$O51:$R51)</f>
        <v>0</v>
      </c>
      <c r="T51" s="1061">
        <f>'TB-EQUIPMENT &amp; OTHER HPs'!$N51*'TB-EQUIPMENT &amp; OTHER HPs'!$S51</f>
        <v>0</v>
      </c>
      <c r="U51" s="1085"/>
      <c r="V51" s="36"/>
      <c r="W51" s="36"/>
      <c r="X51" s="36"/>
      <c r="Y51" s="36"/>
      <c r="Z51" s="572">
        <f>SUM('TB-EQUIPMENT &amp; OTHER HPs'!$V51:$Y51)</f>
        <v>0</v>
      </c>
      <c r="AA51" s="1061">
        <f>'TB-EQUIPMENT &amp; OTHER HPs'!$U51*'TB-EQUIPMENT &amp; OTHER HPs'!$Z51</f>
        <v>0</v>
      </c>
      <c r="AB51" s="1085"/>
      <c r="AC51" s="36"/>
      <c r="AD51" s="36"/>
      <c r="AE51" s="36"/>
      <c r="AF51" s="36"/>
      <c r="AG51" s="572">
        <f>SUM('TB-EQUIPMENT &amp; OTHER HPs'!$AC51:$AF51)</f>
        <v>0</v>
      </c>
      <c r="AH51" s="1061">
        <f>'TB-EQUIPMENT &amp; OTHER HPs'!$AB51*'TB-EQUIPMENT &amp; OTHER HPs'!$AG51</f>
        <v>0</v>
      </c>
      <c r="AI51" s="573">
        <f>'TB-EQUIPMENT &amp; OTHER HPs'!$S51+'TB-EQUIPMENT &amp; OTHER HPs'!$Z51+'TB-EQUIPMENT &amp; OTHER HPs'!$AG51</f>
        <v>0</v>
      </c>
      <c r="AJ51" s="1061">
        <f>'TB-EQUIPMENT &amp; OTHER HPs'!$T51+'TB-EQUIPMENT &amp; OTHER HPs'!$AA51+'TB-EQUIPMENT &amp; OTHER HPs'!$AH51</f>
        <v>0</v>
      </c>
      <c r="AK51" s="486" t="str">
        <f t="shared" si="1"/>
        <v xml:space="preserve"> </v>
      </c>
      <c r="AL51" s="1253"/>
    </row>
    <row r="52" spans="1:60" s="249" customFormat="1">
      <c r="A52" s="2406"/>
      <c r="B52" s="2407"/>
      <c r="C52" s="2407"/>
      <c r="D52" s="2407"/>
      <c r="E52" s="2406"/>
      <c r="F52" s="2407"/>
      <c r="G52" s="2407"/>
      <c r="H52" s="2408"/>
      <c r="I52" s="2406"/>
      <c r="J52" s="2407"/>
      <c r="K52" s="2408"/>
      <c r="L52" s="224" t="str">
        <f t="shared" si="0"/>
        <v/>
      </c>
      <c r="M52" s="224" t="str">
        <f t="shared" si="2"/>
        <v/>
      </c>
      <c r="N52" s="1086"/>
      <c r="O52" s="1102"/>
      <c r="P52" s="1102"/>
      <c r="Q52" s="1102"/>
      <c r="R52" s="1102"/>
      <c r="S52" s="574">
        <f>SUM('TB-EQUIPMENT &amp; OTHER HPs'!$O52:$R52)</f>
        <v>0</v>
      </c>
      <c r="T52" s="1062">
        <f>'TB-EQUIPMENT &amp; OTHER HPs'!$N52*'TB-EQUIPMENT &amp; OTHER HPs'!$S52</f>
        <v>0</v>
      </c>
      <c r="U52" s="1086"/>
      <c r="V52" s="1102"/>
      <c r="W52" s="1102"/>
      <c r="X52" s="1102"/>
      <c r="Y52" s="1102"/>
      <c r="Z52" s="574">
        <f>SUM('TB-EQUIPMENT &amp; OTHER HPs'!$V52:$Y52)</f>
        <v>0</v>
      </c>
      <c r="AA52" s="1062">
        <f>'TB-EQUIPMENT &amp; OTHER HPs'!$U52*'TB-EQUIPMENT &amp; OTHER HPs'!$Z52</f>
        <v>0</v>
      </c>
      <c r="AB52" s="1086"/>
      <c r="AC52" s="1102"/>
      <c r="AD52" s="1102"/>
      <c r="AE52" s="1102"/>
      <c r="AF52" s="1102"/>
      <c r="AG52" s="574">
        <f>SUM('TB-EQUIPMENT &amp; OTHER HPs'!$AC52:$AF52)</f>
        <v>0</v>
      </c>
      <c r="AH52" s="1062">
        <f>'TB-EQUIPMENT &amp; OTHER HPs'!$AB52*'TB-EQUIPMENT &amp; OTHER HPs'!$AG52</f>
        <v>0</v>
      </c>
      <c r="AI52" s="575">
        <f>'TB-EQUIPMENT &amp; OTHER HPs'!$S52+'TB-EQUIPMENT &amp; OTHER HPs'!$Z52+'TB-EQUIPMENT &amp; OTHER HPs'!$AG52</f>
        <v>0</v>
      </c>
      <c r="AJ52" s="1062">
        <f>'TB-EQUIPMENT &amp; OTHER HPs'!$T52+'TB-EQUIPMENT &amp; OTHER HPs'!$AA52+'TB-EQUIPMENT &amp; OTHER HPs'!$AH52</f>
        <v>0</v>
      </c>
      <c r="AK52" s="489" t="str">
        <f t="shared" si="1"/>
        <v xml:space="preserve"> </v>
      </c>
      <c r="AL52" s="1252"/>
    </row>
    <row r="53" spans="1:60" s="249" customFormat="1">
      <c r="A53" s="2412"/>
      <c r="B53" s="2109"/>
      <c r="C53" s="2109"/>
      <c r="D53" s="2109"/>
      <c r="E53" s="2412"/>
      <c r="F53" s="2109"/>
      <c r="G53" s="2109"/>
      <c r="H53" s="2413"/>
      <c r="I53" s="2412"/>
      <c r="J53" s="2109"/>
      <c r="K53" s="2413"/>
      <c r="L53" s="225" t="str">
        <f t="shared" si="0"/>
        <v/>
      </c>
      <c r="M53" s="226" t="str">
        <f t="shared" si="2"/>
        <v/>
      </c>
      <c r="N53" s="1085"/>
      <c r="O53" s="36"/>
      <c r="P53" s="36"/>
      <c r="Q53" s="36"/>
      <c r="R53" s="36"/>
      <c r="S53" s="572">
        <f>SUM('TB-EQUIPMENT &amp; OTHER HPs'!$O53:$R53)</f>
        <v>0</v>
      </c>
      <c r="T53" s="1061">
        <f>'TB-EQUIPMENT &amp; OTHER HPs'!$N53*'TB-EQUIPMENT &amp; OTHER HPs'!$S53</f>
        <v>0</v>
      </c>
      <c r="U53" s="1085"/>
      <c r="V53" s="36"/>
      <c r="W53" s="36"/>
      <c r="X53" s="36"/>
      <c r="Y53" s="36"/>
      <c r="Z53" s="572">
        <f>SUM('TB-EQUIPMENT &amp; OTHER HPs'!$V53:$Y53)</f>
        <v>0</v>
      </c>
      <c r="AA53" s="1061">
        <f>'TB-EQUIPMENT &amp; OTHER HPs'!$U53*'TB-EQUIPMENT &amp; OTHER HPs'!$Z53</f>
        <v>0</v>
      </c>
      <c r="AB53" s="1085"/>
      <c r="AC53" s="36"/>
      <c r="AD53" s="36"/>
      <c r="AE53" s="36"/>
      <c r="AF53" s="36"/>
      <c r="AG53" s="572">
        <f>SUM('TB-EQUIPMENT &amp; OTHER HPs'!$AC53:$AF53)</f>
        <v>0</v>
      </c>
      <c r="AH53" s="1061">
        <f>'TB-EQUIPMENT &amp; OTHER HPs'!$AB53*'TB-EQUIPMENT &amp; OTHER HPs'!$AG53</f>
        <v>0</v>
      </c>
      <c r="AI53" s="573">
        <f>'TB-EQUIPMENT &amp; OTHER HPs'!$S53+'TB-EQUIPMENT &amp; OTHER HPs'!$Z53+'TB-EQUIPMENT &amp; OTHER HPs'!$AG53</f>
        <v>0</v>
      </c>
      <c r="AJ53" s="1061">
        <f>'TB-EQUIPMENT &amp; OTHER HPs'!$T53+'TB-EQUIPMENT &amp; OTHER HPs'!$AA53+'TB-EQUIPMENT &amp; OTHER HPs'!$AH53</f>
        <v>0</v>
      </c>
      <c r="AK53" s="486" t="str">
        <f t="shared" si="1"/>
        <v xml:space="preserve"> </v>
      </c>
      <c r="AL53" s="1253"/>
    </row>
    <row r="54" spans="1:60" s="249" customFormat="1">
      <c r="A54" s="2406"/>
      <c r="B54" s="2407"/>
      <c r="C54" s="2407"/>
      <c r="D54" s="2407"/>
      <c r="E54" s="2406"/>
      <c r="F54" s="2407"/>
      <c r="G54" s="2407"/>
      <c r="H54" s="2408"/>
      <c r="I54" s="2406"/>
      <c r="J54" s="2407"/>
      <c r="K54" s="2408"/>
      <c r="L54" s="224" t="str">
        <f t="shared" si="0"/>
        <v/>
      </c>
      <c r="M54" s="224" t="str">
        <f t="shared" si="2"/>
        <v/>
      </c>
      <c r="N54" s="1086"/>
      <c r="O54" s="1102"/>
      <c r="P54" s="1102"/>
      <c r="Q54" s="1102"/>
      <c r="R54" s="1102"/>
      <c r="S54" s="574">
        <f>SUM('TB-EQUIPMENT &amp; OTHER HPs'!$O54:$R54)</f>
        <v>0</v>
      </c>
      <c r="T54" s="1062">
        <f>'TB-EQUIPMENT &amp; OTHER HPs'!$N54*'TB-EQUIPMENT &amp; OTHER HPs'!$S54</f>
        <v>0</v>
      </c>
      <c r="U54" s="1086"/>
      <c r="V54" s="1102"/>
      <c r="W54" s="1102"/>
      <c r="X54" s="1102"/>
      <c r="Y54" s="1102"/>
      <c r="Z54" s="574">
        <f>SUM('TB-EQUIPMENT &amp; OTHER HPs'!$V54:$Y54)</f>
        <v>0</v>
      </c>
      <c r="AA54" s="1062">
        <f>'TB-EQUIPMENT &amp; OTHER HPs'!$U54*'TB-EQUIPMENT &amp; OTHER HPs'!$Z54</f>
        <v>0</v>
      </c>
      <c r="AB54" s="1086"/>
      <c r="AC54" s="1102"/>
      <c r="AD54" s="1102"/>
      <c r="AE54" s="1102"/>
      <c r="AF54" s="1102"/>
      <c r="AG54" s="574">
        <f>SUM('TB-EQUIPMENT &amp; OTHER HPs'!$AC54:$AF54)</f>
        <v>0</v>
      </c>
      <c r="AH54" s="1062">
        <f>'TB-EQUIPMENT &amp; OTHER HPs'!$AB54*'TB-EQUIPMENT &amp; OTHER HPs'!$AG54</f>
        <v>0</v>
      </c>
      <c r="AI54" s="575">
        <f>'TB-EQUIPMENT &amp; OTHER HPs'!$S54+'TB-EQUIPMENT &amp; OTHER HPs'!$Z54+'TB-EQUIPMENT &amp; OTHER HPs'!$AG54</f>
        <v>0</v>
      </c>
      <c r="AJ54" s="1062">
        <f>'TB-EQUIPMENT &amp; OTHER HPs'!$T54+'TB-EQUIPMENT &amp; OTHER HPs'!$AA54+'TB-EQUIPMENT &amp; OTHER HPs'!$AH54</f>
        <v>0</v>
      </c>
      <c r="AK54" s="489" t="str">
        <f t="shared" si="1"/>
        <v xml:space="preserve"> </v>
      </c>
      <c r="AL54" s="1252"/>
    </row>
    <row r="55" spans="1:60" s="249" customFormat="1">
      <c r="A55" s="2412"/>
      <c r="B55" s="2109"/>
      <c r="C55" s="2109"/>
      <c r="D55" s="2109"/>
      <c r="E55" s="2412"/>
      <c r="F55" s="2109"/>
      <c r="G55" s="2109"/>
      <c r="H55" s="2413"/>
      <c r="I55" s="2412"/>
      <c r="J55" s="2109"/>
      <c r="K55" s="2413"/>
      <c r="L55" s="225" t="str">
        <f t="shared" si="0"/>
        <v/>
      </c>
      <c r="M55" s="226" t="str">
        <f t="shared" si="2"/>
        <v/>
      </c>
      <c r="N55" s="1085"/>
      <c r="O55" s="36"/>
      <c r="P55" s="36"/>
      <c r="Q55" s="36"/>
      <c r="R55" s="36"/>
      <c r="S55" s="572">
        <f>SUM('TB-EQUIPMENT &amp; OTHER HPs'!$O55:$R55)</f>
        <v>0</v>
      </c>
      <c r="T55" s="1061">
        <f>'TB-EQUIPMENT &amp; OTHER HPs'!$N55*'TB-EQUIPMENT &amp; OTHER HPs'!$S55</f>
        <v>0</v>
      </c>
      <c r="U55" s="1085"/>
      <c r="V55" s="36"/>
      <c r="W55" s="36"/>
      <c r="X55" s="36"/>
      <c r="Y55" s="36"/>
      <c r="Z55" s="572">
        <f>SUM('TB-EQUIPMENT &amp; OTHER HPs'!$V55:$Y55)</f>
        <v>0</v>
      </c>
      <c r="AA55" s="1061">
        <f>'TB-EQUIPMENT &amp; OTHER HPs'!$U55*'TB-EQUIPMENT &amp; OTHER HPs'!$Z55</f>
        <v>0</v>
      </c>
      <c r="AB55" s="1085"/>
      <c r="AC55" s="36"/>
      <c r="AD55" s="36"/>
      <c r="AE55" s="36"/>
      <c r="AF55" s="36"/>
      <c r="AG55" s="572">
        <f>SUM('TB-EQUIPMENT &amp; OTHER HPs'!$AC55:$AF55)</f>
        <v>0</v>
      </c>
      <c r="AH55" s="1061">
        <f>'TB-EQUIPMENT &amp; OTHER HPs'!$AB55*'TB-EQUIPMENT &amp; OTHER HPs'!$AG55</f>
        <v>0</v>
      </c>
      <c r="AI55" s="573">
        <f>'TB-EQUIPMENT &amp; OTHER HPs'!$S55+'TB-EQUIPMENT &amp; OTHER HPs'!$Z55+'TB-EQUIPMENT &amp; OTHER HPs'!$AG55</f>
        <v>0</v>
      </c>
      <c r="AJ55" s="1061">
        <f>'TB-EQUIPMENT &amp; OTHER HPs'!$T55+'TB-EQUIPMENT &amp; OTHER HPs'!$AA55+'TB-EQUIPMENT &amp; OTHER HPs'!$AH55</f>
        <v>0</v>
      </c>
      <c r="AK55" s="486" t="str">
        <f t="shared" si="1"/>
        <v xml:space="preserve"> </v>
      </c>
      <c r="AL55" s="1253"/>
    </row>
    <row r="56" spans="1:60" s="249" customFormat="1">
      <c r="A56" s="2406"/>
      <c r="B56" s="2407"/>
      <c r="C56" s="2407"/>
      <c r="D56" s="2407"/>
      <c r="E56" s="2406"/>
      <c r="F56" s="2407"/>
      <c r="G56" s="2407"/>
      <c r="H56" s="2408"/>
      <c r="I56" s="2406"/>
      <c r="J56" s="2407"/>
      <c r="K56" s="2408"/>
      <c r="L56" s="224" t="str">
        <f t="shared" si="0"/>
        <v/>
      </c>
      <c r="M56" s="224" t="str">
        <f t="shared" si="2"/>
        <v/>
      </c>
      <c r="N56" s="1086"/>
      <c r="O56" s="1102"/>
      <c r="P56" s="1102"/>
      <c r="Q56" s="1102"/>
      <c r="R56" s="1102"/>
      <c r="S56" s="574">
        <f>SUM('TB-EQUIPMENT &amp; OTHER HPs'!$O56:$R56)</f>
        <v>0</v>
      </c>
      <c r="T56" s="1062">
        <f>'TB-EQUIPMENT &amp; OTHER HPs'!$N56*'TB-EQUIPMENT &amp; OTHER HPs'!$S56</f>
        <v>0</v>
      </c>
      <c r="U56" s="1086"/>
      <c r="V56" s="1102"/>
      <c r="W56" s="1102"/>
      <c r="X56" s="1102"/>
      <c r="Y56" s="1102"/>
      <c r="Z56" s="574">
        <f>SUM('TB-EQUIPMENT &amp; OTHER HPs'!$V56:$Y56)</f>
        <v>0</v>
      </c>
      <c r="AA56" s="1062">
        <f>'TB-EQUIPMENT &amp; OTHER HPs'!$U56*'TB-EQUIPMENT &amp; OTHER HPs'!$Z56</f>
        <v>0</v>
      </c>
      <c r="AB56" s="1086"/>
      <c r="AC56" s="1102"/>
      <c r="AD56" s="1102"/>
      <c r="AE56" s="1102"/>
      <c r="AF56" s="1102"/>
      <c r="AG56" s="574">
        <f>SUM('TB-EQUIPMENT &amp; OTHER HPs'!$AC56:$AF56)</f>
        <v>0</v>
      </c>
      <c r="AH56" s="1062">
        <f>'TB-EQUIPMENT &amp; OTHER HPs'!$AB56*'TB-EQUIPMENT &amp; OTHER HPs'!$AG56</f>
        <v>0</v>
      </c>
      <c r="AI56" s="575">
        <f>'TB-EQUIPMENT &amp; OTHER HPs'!$S56+'TB-EQUIPMENT &amp; OTHER HPs'!$Z56+'TB-EQUIPMENT &amp; OTHER HPs'!$AG56</f>
        <v>0</v>
      </c>
      <c r="AJ56" s="1062">
        <f>'TB-EQUIPMENT &amp; OTHER HPs'!$T56+'TB-EQUIPMENT &amp; OTHER HPs'!$AA56+'TB-EQUIPMENT &amp; OTHER HPs'!$AH56</f>
        <v>0</v>
      </c>
      <c r="AK56" s="489" t="str">
        <f t="shared" si="1"/>
        <v xml:space="preserve"> </v>
      </c>
      <c r="AL56" s="1252"/>
    </row>
    <row r="57" spans="1:60" s="249" customFormat="1">
      <c r="A57" s="2412"/>
      <c r="B57" s="2109"/>
      <c r="C57" s="2109"/>
      <c r="D57" s="2109"/>
      <c r="E57" s="2412"/>
      <c r="F57" s="2109"/>
      <c r="G57" s="2109"/>
      <c r="H57" s="2413"/>
      <c r="I57" s="2412"/>
      <c r="J57" s="2109"/>
      <c r="K57" s="2413"/>
      <c r="L57" s="225" t="str">
        <f t="shared" si="0"/>
        <v/>
      </c>
      <c r="M57" s="226" t="str">
        <f t="shared" si="2"/>
        <v/>
      </c>
      <c r="N57" s="1085"/>
      <c r="O57" s="36"/>
      <c r="P57" s="36"/>
      <c r="Q57" s="36"/>
      <c r="R57" s="36"/>
      <c r="S57" s="572">
        <f>SUM('TB-EQUIPMENT &amp; OTHER HPs'!$O57:$R57)</f>
        <v>0</v>
      </c>
      <c r="T57" s="1061">
        <f>'TB-EQUIPMENT &amp; OTHER HPs'!$N57*'TB-EQUIPMENT &amp; OTHER HPs'!$S57</f>
        <v>0</v>
      </c>
      <c r="U57" s="1085"/>
      <c r="V57" s="36"/>
      <c r="W57" s="36"/>
      <c r="X57" s="36"/>
      <c r="Y57" s="36"/>
      <c r="Z57" s="572">
        <f>SUM('TB-EQUIPMENT &amp; OTHER HPs'!$V57:$Y57)</f>
        <v>0</v>
      </c>
      <c r="AA57" s="1061">
        <f>'TB-EQUIPMENT &amp; OTHER HPs'!$U57*'TB-EQUIPMENT &amp; OTHER HPs'!$Z57</f>
        <v>0</v>
      </c>
      <c r="AB57" s="1085"/>
      <c r="AC57" s="36"/>
      <c r="AD57" s="36"/>
      <c r="AE57" s="36"/>
      <c r="AF57" s="36"/>
      <c r="AG57" s="572">
        <f>SUM('TB-EQUIPMENT &amp; OTHER HPs'!$AC57:$AF57)</f>
        <v>0</v>
      </c>
      <c r="AH57" s="1061">
        <f>'TB-EQUIPMENT &amp; OTHER HPs'!$AB57*'TB-EQUIPMENT &amp; OTHER HPs'!$AG57</f>
        <v>0</v>
      </c>
      <c r="AI57" s="573">
        <f>'TB-EQUIPMENT &amp; OTHER HPs'!$S57+'TB-EQUIPMENT &amp; OTHER HPs'!$Z57+'TB-EQUIPMENT &amp; OTHER HPs'!$AG57</f>
        <v>0</v>
      </c>
      <c r="AJ57" s="1061">
        <f>'TB-EQUIPMENT &amp; OTHER HPs'!$T57+'TB-EQUIPMENT &amp; OTHER HPs'!$AA57+'TB-EQUIPMENT &amp; OTHER HPs'!$AH57</f>
        <v>0</v>
      </c>
      <c r="AK57" s="486" t="str">
        <f t="shared" si="1"/>
        <v xml:space="preserve"> </v>
      </c>
      <c r="AL57" s="1253"/>
    </row>
    <row r="58" spans="1:60" s="249" customFormat="1">
      <c r="A58" s="2406"/>
      <c r="B58" s="2407"/>
      <c r="C58" s="2407"/>
      <c r="D58" s="2407"/>
      <c r="E58" s="2406"/>
      <c r="F58" s="2407"/>
      <c r="G58" s="2407"/>
      <c r="H58" s="2408"/>
      <c r="I58" s="2406"/>
      <c r="J58" s="2407"/>
      <c r="K58" s="2408"/>
      <c r="L58" s="224" t="str">
        <f t="shared" si="0"/>
        <v/>
      </c>
      <c r="M58" s="224" t="str">
        <f t="shared" si="2"/>
        <v/>
      </c>
      <c r="N58" s="1086"/>
      <c r="O58" s="1102"/>
      <c r="P58" s="1102"/>
      <c r="Q58" s="1102"/>
      <c r="R58" s="1102"/>
      <c r="S58" s="574">
        <f>SUM('TB-EQUIPMENT &amp; OTHER HPs'!$O58:$R58)</f>
        <v>0</v>
      </c>
      <c r="T58" s="1062">
        <f>'TB-EQUIPMENT &amp; OTHER HPs'!$N58*'TB-EQUIPMENT &amp; OTHER HPs'!$S58</f>
        <v>0</v>
      </c>
      <c r="U58" s="1086"/>
      <c r="V58" s="1102"/>
      <c r="W58" s="1102"/>
      <c r="X58" s="1102"/>
      <c r="Y58" s="1102"/>
      <c r="Z58" s="574">
        <f>SUM('TB-EQUIPMENT &amp; OTHER HPs'!$V58:$Y58)</f>
        <v>0</v>
      </c>
      <c r="AA58" s="1062">
        <f>'TB-EQUIPMENT &amp; OTHER HPs'!$U58*'TB-EQUIPMENT &amp; OTHER HPs'!$Z58</f>
        <v>0</v>
      </c>
      <c r="AB58" s="1086"/>
      <c r="AC58" s="1102"/>
      <c r="AD58" s="1102"/>
      <c r="AE58" s="1102"/>
      <c r="AF58" s="1102"/>
      <c r="AG58" s="574">
        <f>SUM('TB-EQUIPMENT &amp; OTHER HPs'!$AC58:$AF58)</f>
        <v>0</v>
      </c>
      <c r="AH58" s="1062">
        <f>'TB-EQUIPMENT &amp; OTHER HPs'!$AB58*'TB-EQUIPMENT &amp; OTHER HPs'!$AG58</f>
        <v>0</v>
      </c>
      <c r="AI58" s="575">
        <f>'TB-EQUIPMENT &amp; OTHER HPs'!$S58+'TB-EQUIPMENT &amp; OTHER HPs'!$Z58+'TB-EQUIPMENT &amp; OTHER HPs'!$AG58</f>
        <v>0</v>
      </c>
      <c r="AJ58" s="1062">
        <f>'TB-EQUIPMENT &amp; OTHER HPs'!$T58+'TB-EQUIPMENT &amp; OTHER HPs'!$AA58+'TB-EQUIPMENT &amp; OTHER HPs'!$AH58</f>
        <v>0</v>
      </c>
      <c r="AK58" s="489" t="str">
        <f t="shared" si="1"/>
        <v xml:space="preserve"> </v>
      </c>
      <c r="AL58" s="1252"/>
    </row>
    <row r="59" spans="1:60" s="249" customFormat="1">
      <c r="A59" s="2412"/>
      <c r="B59" s="2109"/>
      <c r="C59" s="2109"/>
      <c r="D59" s="2109"/>
      <c r="E59" s="2412"/>
      <c r="F59" s="2109"/>
      <c r="G59" s="2109"/>
      <c r="H59" s="2413"/>
      <c r="I59" s="2412"/>
      <c r="J59" s="2109"/>
      <c r="K59" s="2413"/>
      <c r="L59" s="225" t="str">
        <f t="shared" si="0"/>
        <v/>
      </c>
      <c r="M59" s="226" t="str">
        <f t="shared" si="2"/>
        <v/>
      </c>
      <c r="N59" s="1085"/>
      <c r="O59" s="36"/>
      <c r="P59" s="36"/>
      <c r="Q59" s="36"/>
      <c r="R59" s="36"/>
      <c r="S59" s="572">
        <f>SUM('TB-EQUIPMENT &amp; OTHER HPs'!$O59:$R59)</f>
        <v>0</v>
      </c>
      <c r="T59" s="1061">
        <f>'TB-EQUIPMENT &amp; OTHER HPs'!$N59*'TB-EQUIPMENT &amp; OTHER HPs'!$S59</f>
        <v>0</v>
      </c>
      <c r="U59" s="1085"/>
      <c r="V59" s="36"/>
      <c r="W59" s="36"/>
      <c r="X59" s="36"/>
      <c r="Y59" s="36"/>
      <c r="Z59" s="572">
        <f>SUM('TB-EQUIPMENT &amp; OTHER HPs'!$V59:$Y59)</f>
        <v>0</v>
      </c>
      <c r="AA59" s="1061">
        <f>'TB-EQUIPMENT &amp; OTHER HPs'!$U59*'TB-EQUIPMENT &amp; OTHER HPs'!$Z59</f>
        <v>0</v>
      </c>
      <c r="AB59" s="1085"/>
      <c r="AC59" s="36"/>
      <c r="AD59" s="36"/>
      <c r="AE59" s="36"/>
      <c r="AF59" s="36"/>
      <c r="AG59" s="572">
        <f>SUM('TB-EQUIPMENT &amp; OTHER HPs'!$AC59:$AF59)</f>
        <v>0</v>
      </c>
      <c r="AH59" s="1061">
        <f>'TB-EQUIPMENT &amp; OTHER HPs'!$AB59*'TB-EQUIPMENT &amp; OTHER HPs'!$AG59</f>
        <v>0</v>
      </c>
      <c r="AI59" s="573">
        <f>'TB-EQUIPMENT &amp; OTHER HPs'!$S59+'TB-EQUIPMENT &amp; OTHER HPs'!$Z59+'TB-EQUIPMENT &amp; OTHER HPs'!$AG59</f>
        <v>0</v>
      </c>
      <c r="AJ59" s="1061">
        <f>'TB-EQUIPMENT &amp; OTHER HPs'!$T59+'TB-EQUIPMENT &amp; OTHER HPs'!$AA59+'TB-EQUIPMENT &amp; OTHER HPs'!$AH59</f>
        <v>0</v>
      </c>
      <c r="AK59" s="486" t="str">
        <f t="shared" si="1"/>
        <v xml:space="preserve"> </v>
      </c>
      <c r="AL59" s="1253"/>
    </row>
    <row r="60" spans="1:60" s="249" customFormat="1">
      <c r="A60" s="2406"/>
      <c r="B60" s="2407"/>
      <c r="C60" s="2407"/>
      <c r="D60" s="2407"/>
      <c r="E60" s="2406"/>
      <c r="F60" s="2407"/>
      <c r="G60" s="2407"/>
      <c r="H60" s="2408"/>
      <c r="I60" s="2406"/>
      <c r="J60" s="2407"/>
      <c r="K60" s="2408"/>
      <c r="L60" s="224" t="str">
        <f t="shared" si="0"/>
        <v/>
      </c>
      <c r="M60" s="224" t="str">
        <f t="shared" si="2"/>
        <v/>
      </c>
      <c r="N60" s="1086"/>
      <c r="O60" s="1102"/>
      <c r="P60" s="1102"/>
      <c r="Q60" s="1102"/>
      <c r="R60" s="1102"/>
      <c r="S60" s="574">
        <f>SUM('TB-EQUIPMENT &amp; OTHER HPs'!$O60:$R60)</f>
        <v>0</v>
      </c>
      <c r="T60" s="1062">
        <f>'TB-EQUIPMENT &amp; OTHER HPs'!$N60*'TB-EQUIPMENT &amp; OTHER HPs'!$S60</f>
        <v>0</v>
      </c>
      <c r="U60" s="1086"/>
      <c r="V60" s="1102"/>
      <c r="W60" s="1102"/>
      <c r="X60" s="1102"/>
      <c r="Y60" s="1102"/>
      <c r="Z60" s="574">
        <f>SUM('TB-EQUIPMENT &amp; OTHER HPs'!$V60:$Y60)</f>
        <v>0</v>
      </c>
      <c r="AA60" s="1062">
        <f>'TB-EQUIPMENT &amp; OTHER HPs'!$U60*'TB-EQUIPMENT &amp; OTHER HPs'!$Z60</f>
        <v>0</v>
      </c>
      <c r="AB60" s="1086"/>
      <c r="AC60" s="1102"/>
      <c r="AD60" s="1102"/>
      <c r="AE60" s="1102"/>
      <c r="AF60" s="1102"/>
      <c r="AG60" s="574">
        <f>SUM('TB-EQUIPMENT &amp; OTHER HPs'!$AC60:$AF60)</f>
        <v>0</v>
      </c>
      <c r="AH60" s="1062">
        <f>'TB-EQUIPMENT &amp; OTHER HPs'!$AB60*'TB-EQUIPMENT &amp; OTHER HPs'!$AG60</f>
        <v>0</v>
      </c>
      <c r="AI60" s="575">
        <f>'TB-EQUIPMENT &amp; OTHER HPs'!$S60+'TB-EQUIPMENT &amp; OTHER HPs'!$Z60+'TB-EQUIPMENT &amp; OTHER HPs'!$AG60</f>
        <v>0</v>
      </c>
      <c r="AJ60" s="1062">
        <f>'TB-EQUIPMENT &amp; OTHER HPs'!$T60+'TB-EQUIPMENT &amp; OTHER HPs'!$AA60+'TB-EQUIPMENT &amp; OTHER HPs'!$AH60</f>
        <v>0</v>
      </c>
      <c r="AK60" s="489" t="str">
        <f t="shared" si="1"/>
        <v xml:space="preserve"> </v>
      </c>
      <c r="AL60" s="1252"/>
    </row>
    <row r="61" spans="1:60" s="249" customFormat="1" ht="15" thickBot="1">
      <c r="A61" s="2409"/>
      <c r="B61" s="2410"/>
      <c r="C61" s="2410"/>
      <c r="D61" s="2410"/>
      <c r="E61" s="2409"/>
      <c r="F61" s="2410"/>
      <c r="G61" s="2410"/>
      <c r="H61" s="2411"/>
      <c r="I61" s="2409"/>
      <c r="J61" s="2410"/>
      <c r="K61" s="2411"/>
      <c r="L61" s="227" t="str">
        <f t="shared" si="0"/>
        <v/>
      </c>
      <c r="M61" s="228" t="str">
        <f t="shared" si="2"/>
        <v/>
      </c>
      <c r="N61" s="1087"/>
      <c r="O61" s="1103"/>
      <c r="P61" s="1103"/>
      <c r="Q61" s="1103"/>
      <c r="R61" s="1103"/>
      <c r="S61" s="577">
        <f>SUM('TB-EQUIPMENT &amp; OTHER HPs'!$O61:$R61)</f>
        <v>0</v>
      </c>
      <c r="T61" s="1063">
        <f>'TB-EQUIPMENT &amp; OTHER HPs'!$N61*'TB-EQUIPMENT &amp; OTHER HPs'!$S61</f>
        <v>0</v>
      </c>
      <c r="U61" s="1087"/>
      <c r="V61" s="1103"/>
      <c r="W61" s="1103"/>
      <c r="X61" s="1103"/>
      <c r="Y61" s="1103"/>
      <c r="Z61" s="577">
        <f>SUM('TB-EQUIPMENT &amp; OTHER HPs'!$V61:$Y61)</f>
        <v>0</v>
      </c>
      <c r="AA61" s="1063">
        <f>'TB-EQUIPMENT &amp; OTHER HPs'!$U61*'TB-EQUIPMENT &amp; OTHER HPs'!$Z61</f>
        <v>0</v>
      </c>
      <c r="AB61" s="1087"/>
      <c r="AC61" s="1103"/>
      <c r="AD61" s="1103"/>
      <c r="AE61" s="1103"/>
      <c r="AF61" s="1103"/>
      <c r="AG61" s="577">
        <f>SUM('TB-EQUIPMENT &amp; OTHER HPs'!$AC61:$AF61)</f>
        <v>0</v>
      </c>
      <c r="AH61" s="1063">
        <f>'TB-EQUIPMENT &amp; OTHER HPs'!$AB61*'TB-EQUIPMENT &amp; OTHER HPs'!$AG61</f>
        <v>0</v>
      </c>
      <c r="AI61" s="578">
        <f>'TB-EQUIPMENT &amp; OTHER HPs'!$S61+'TB-EQUIPMENT &amp; OTHER HPs'!$Z61+'TB-EQUIPMENT &amp; OTHER HPs'!$AG61</f>
        <v>0</v>
      </c>
      <c r="AJ61" s="1063">
        <f>'TB-EQUIPMENT &amp; OTHER HPs'!$T61+'TB-EQUIPMENT &amp; OTHER HPs'!$AA61+'TB-EQUIPMENT &amp; OTHER HPs'!$AH61</f>
        <v>0</v>
      </c>
      <c r="AK61" s="579" t="str">
        <f t="shared" si="1"/>
        <v xml:space="preserve"> </v>
      </c>
      <c r="AL61" s="1254"/>
    </row>
    <row r="62" spans="1:60" ht="15" thickBot="1">
      <c r="A62" s="203"/>
      <c r="B62" s="203"/>
      <c r="C62" s="203"/>
      <c r="D62" s="203"/>
      <c r="E62" s="203"/>
      <c r="F62" s="203"/>
      <c r="G62" s="203"/>
      <c r="H62" s="203"/>
      <c r="I62" s="203"/>
      <c r="J62" s="124"/>
      <c r="K62" s="124"/>
      <c r="L62" s="124"/>
      <c r="M62" s="124"/>
      <c r="N62" s="1074"/>
      <c r="O62" s="1104"/>
      <c r="P62" s="1104"/>
      <c r="Q62" s="1104"/>
      <c r="R62" s="1104"/>
      <c r="S62" s="1104"/>
      <c r="T62" s="1074"/>
      <c r="U62" s="1074"/>
      <c r="V62" s="1104"/>
      <c r="W62" s="1104"/>
      <c r="X62" s="1104"/>
      <c r="Y62" s="1104"/>
      <c r="Z62" s="1104"/>
      <c r="AA62" s="1074"/>
      <c r="AB62" s="1074"/>
      <c r="AC62" s="1104"/>
      <c r="AD62" s="1104"/>
      <c r="AE62" s="1104"/>
      <c r="AF62" s="1104"/>
      <c r="AG62" s="1114"/>
      <c r="AH62" s="1074"/>
      <c r="AV62" s="249"/>
      <c r="AW62" s="249"/>
      <c r="AX62" s="249"/>
      <c r="AY62" s="249"/>
      <c r="AZ62" s="249"/>
      <c r="BA62" s="249"/>
      <c r="BB62" s="249"/>
      <c r="BC62" s="249"/>
      <c r="BD62" s="249"/>
      <c r="BE62" s="249"/>
      <c r="BF62" s="249"/>
      <c r="BG62" s="249"/>
      <c r="BH62" s="249"/>
    </row>
    <row r="63" spans="1:60" ht="21" customHeight="1" thickBot="1">
      <c r="A63" s="2419">
        <v>2</v>
      </c>
      <c r="B63" s="2421" t="s">
        <v>318</v>
      </c>
      <c r="C63" s="2421"/>
      <c r="D63" s="2421"/>
      <c r="E63" s="2421"/>
      <c r="F63" s="206" t="s">
        <v>1788</v>
      </c>
      <c r="G63" s="207"/>
      <c r="H63" s="2390" t="s">
        <v>319</v>
      </c>
      <c r="I63" s="2390" t="s">
        <v>6897</v>
      </c>
      <c r="J63" s="2390" t="s">
        <v>314</v>
      </c>
      <c r="K63"/>
      <c r="M63" s="192"/>
      <c r="N63" s="968"/>
      <c r="O63" s="1097"/>
      <c r="P63" s="1097"/>
      <c r="Q63" s="1097"/>
      <c r="R63" s="1097"/>
      <c r="S63" s="1097"/>
      <c r="T63" s="968"/>
      <c r="U63" s="968"/>
      <c r="V63" s="1097"/>
      <c r="W63" s="1097"/>
      <c r="X63" s="1097"/>
      <c r="Y63" s="1097"/>
      <c r="Z63" s="1097"/>
      <c r="AA63" s="968"/>
      <c r="AB63" s="968"/>
      <c r="AC63" s="1097"/>
      <c r="AD63" s="1097"/>
      <c r="AE63" s="1097"/>
      <c r="AF63" s="1097"/>
      <c r="AG63" s="1097"/>
      <c r="AH63" s="968"/>
    </row>
    <row r="64" spans="1:60" ht="19.5" customHeight="1" thickBot="1">
      <c r="A64" s="2420"/>
      <c r="B64" s="2422"/>
      <c r="C64" s="2422"/>
      <c r="D64" s="2422"/>
      <c r="E64" s="2422"/>
      <c r="F64" s="377" t="s">
        <v>2288</v>
      </c>
      <c r="G64" s="378"/>
      <c r="H64" s="2391"/>
      <c r="I64" s="2391"/>
      <c r="J64" s="2391"/>
      <c r="K64"/>
      <c r="M64" s="121"/>
      <c r="N64" s="968"/>
      <c r="O64" s="1097"/>
      <c r="P64" s="1097"/>
      <c r="Q64" s="1097"/>
      <c r="R64" s="1097"/>
      <c r="S64" s="1097"/>
      <c r="T64" s="968"/>
      <c r="U64" s="968"/>
      <c r="V64" s="1097"/>
      <c r="W64" s="1097"/>
      <c r="X64" s="1097"/>
      <c r="Y64" s="1097"/>
      <c r="Z64" s="1097"/>
      <c r="AA64" s="968"/>
      <c r="AB64" s="968"/>
      <c r="AC64" s="1097"/>
      <c r="AD64" s="1097"/>
      <c r="AE64" s="1097"/>
      <c r="AF64" s="1097"/>
      <c r="AG64" s="1097"/>
      <c r="AH64" s="968"/>
    </row>
    <row r="65" spans="1:60" ht="101.25" customHeight="1">
      <c r="A65" s="2080" t="s">
        <v>6902</v>
      </c>
      <c r="B65" s="2081"/>
      <c r="C65" s="2081"/>
      <c r="D65" s="2081"/>
      <c r="E65" s="2081"/>
      <c r="F65" s="2081"/>
      <c r="G65" s="2081"/>
      <c r="H65" s="2081"/>
      <c r="I65" s="2081"/>
      <c r="J65" s="2081"/>
      <c r="K65" s="2081"/>
      <c r="L65" s="2081"/>
      <c r="M65" s="2145"/>
      <c r="N65" s="1081"/>
      <c r="O65" s="1098"/>
      <c r="P65" s="1098"/>
      <c r="Q65" s="1098"/>
      <c r="R65" s="1098"/>
      <c r="S65" s="1098"/>
      <c r="T65" s="1081"/>
      <c r="U65" s="1081"/>
      <c r="V65" s="1098"/>
      <c r="W65" s="1098"/>
      <c r="X65" s="1098"/>
      <c r="Y65" s="1098"/>
      <c r="Z65" s="1098"/>
      <c r="AA65" s="1081"/>
      <c r="AB65" s="1081"/>
      <c r="AC65" s="1098"/>
      <c r="AD65" s="1098"/>
      <c r="AE65" s="1098"/>
      <c r="AF65" s="1098"/>
      <c r="AG65" s="1098"/>
      <c r="AH65" s="1075"/>
    </row>
    <row r="66" spans="1:60" ht="16" thickBot="1">
      <c r="A66" s="140"/>
      <c r="B66" s="161"/>
      <c r="C66" s="161"/>
      <c r="D66" s="162"/>
      <c r="E66" s="162"/>
      <c r="F66" s="163"/>
      <c r="G66" s="163"/>
      <c r="H66" s="163"/>
      <c r="I66" s="163"/>
      <c r="J66" s="163"/>
      <c r="K66" s="163"/>
      <c r="L66" s="163"/>
      <c r="M66" s="163"/>
      <c r="N66" s="1082"/>
      <c r="O66" s="1099"/>
      <c r="P66" s="1099"/>
      <c r="Q66" s="1099"/>
      <c r="R66" s="1099"/>
      <c r="S66" s="1099"/>
      <c r="T66" s="1082"/>
      <c r="U66" s="1082"/>
      <c r="V66" s="1099"/>
      <c r="W66" s="1099"/>
      <c r="X66" s="1099"/>
      <c r="Y66" s="1099"/>
      <c r="Z66" s="1099"/>
      <c r="AA66" s="1082"/>
      <c r="AB66" s="1082"/>
      <c r="AC66" s="1099"/>
      <c r="AD66" s="1099"/>
      <c r="AE66" s="1099"/>
      <c r="AF66" s="1099"/>
      <c r="AG66" s="1099"/>
      <c r="AH66" s="1075"/>
    </row>
    <row r="67" spans="1:60" s="345" customFormat="1" ht="15" thickBot="1">
      <c r="A67" s="2441" t="s">
        <v>1233</v>
      </c>
      <c r="B67" s="2441"/>
      <c r="C67" s="2441"/>
      <c r="D67" s="2441"/>
      <c r="E67" s="2532" t="s">
        <v>196</v>
      </c>
      <c r="F67" s="2441"/>
      <c r="G67" s="2441"/>
      <c r="H67" s="2533"/>
      <c r="I67" s="2532" t="s">
        <v>251</v>
      </c>
      <c r="J67" s="2441"/>
      <c r="K67" s="2533"/>
      <c r="L67" s="2441" t="s">
        <v>151</v>
      </c>
      <c r="M67" s="2442" t="s">
        <v>49</v>
      </c>
      <c r="N67" s="2497" t="str">
        <f>N12</f>
        <v>Please fill setup</v>
      </c>
      <c r="O67" s="2498"/>
      <c r="P67" s="2498"/>
      <c r="Q67" s="2498"/>
      <c r="R67" s="2498"/>
      <c r="S67" s="2498"/>
      <c r="T67" s="2499"/>
      <c r="U67" s="2500" t="str">
        <f>U12</f>
        <v>Please fill setup</v>
      </c>
      <c r="V67" s="2501"/>
      <c r="W67" s="2501"/>
      <c r="X67" s="2501"/>
      <c r="Y67" s="2501"/>
      <c r="Z67" s="2501"/>
      <c r="AA67" s="2502"/>
      <c r="AB67" s="2503" t="str">
        <f>AB12</f>
        <v>Please fill setup</v>
      </c>
      <c r="AC67" s="2504"/>
      <c r="AD67" s="2504"/>
      <c r="AE67" s="2504"/>
      <c r="AF67" s="2504"/>
      <c r="AG67" s="2504"/>
      <c r="AH67" s="2505"/>
      <c r="AI67" s="2511" t="s">
        <v>152</v>
      </c>
      <c r="AJ67" s="2512"/>
      <c r="AK67" s="547" t="s">
        <v>153</v>
      </c>
      <c r="AL67" s="2506" t="s">
        <v>6865</v>
      </c>
      <c r="AV67" s="105"/>
      <c r="AW67" s="105"/>
      <c r="AX67" s="105"/>
      <c r="AY67" s="105"/>
      <c r="AZ67" s="105"/>
      <c r="BA67" s="105"/>
      <c r="BB67" s="105"/>
      <c r="BC67" s="105"/>
      <c r="BD67" s="105"/>
      <c r="BE67" s="105"/>
      <c r="BF67" s="105"/>
      <c r="BG67" s="105"/>
      <c r="BH67" s="105"/>
    </row>
    <row r="68" spans="1:60" s="409" customFormat="1" ht="26.5" thickBot="1">
      <c r="A68" s="2461"/>
      <c r="B68" s="2461"/>
      <c r="C68" s="2461"/>
      <c r="D68" s="2461"/>
      <c r="E68" s="2540"/>
      <c r="F68" s="2461"/>
      <c r="G68" s="2461"/>
      <c r="H68" s="2541"/>
      <c r="I68" s="2534"/>
      <c r="J68" s="2530"/>
      <c r="K68" s="2535"/>
      <c r="L68" s="2530"/>
      <c r="M68" s="2510"/>
      <c r="N68" s="1083" t="s">
        <v>198</v>
      </c>
      <c r="O68" s="1100" t="s">
        <v>155</v>
      </c>
      <c r="P68" s="1100" t="s">
        <v>156</v>
      </c>
      <c r="Q68" s="1100" t="s">
        <v>157</v>
      </c>
      <c r="R68" s="1100" t="s">
        <v>158</v>
      </c>
      <c r="S68" s="1100" t="s">
        <v>159</v>
      </c>
      <c r="T68" s="1059" t="s">
        <v>160</v>
      </c>
      <c r="U68" s="1083" t="s">
        <v>161</v>
      </c>
      <c r="V68" s="1100" t="s">
        <v>162</v>
      </c>
      <c r="W68" s="1100" t="s">
        <v>163</v>
      </c>
      <c r="X68" s="1100" t="s">
        <v>164</v>
      </c>
      <c r="Y68" s="1100" t="s">
        <v>165</v>
      </c>
      <c r="Z68" s="1100" t="s">
        <v>166</v>
      </c>
      <c r="AA68" s="1059" t="s">
        <v>167</v>
      </c>
      <c r="AB68" s="1083" t="s">
        <v>168</v>
      </c>
      <c r="AC68" s="1100" t="s">
        <v>169</v>
      </c>
      <c r="AD68" s="1100" t="s">
        <v>170</v>
      </c>
      <c r="AE68" s="1100" t="s">
        <v>171</v>
      </c>
      <c r="AF68" s="1100" t="s">
        <v>172</v>
      </c>
      <c r="AG68" s="1100" t="s">
        <v>173</v>
      </c>
      <c r="AH68" s="1059" t="s">
        <v>174</v>
      </c>
      <c r="AI68" s="1116" t="s">
        <v>175</v>
      </c>
      <c r="AJ68" s="1059" t="s">
        <v>176</v>
      </c>
      <c r="AK68" s="478" t="s">
        <v>177</v>
      </c>
      <c r="AL68" s="2507"/>
      <c r="AV68" s="345"/>
      <c r="AW68" s="345"/>
      <c r="AX68" s="345"/>
      <c r="AY68" s="345"/>
      <c r="AZ68" s="345"/>
      <c r="BA68" s="345"/>
      <c r="BB68" s="345"/>
      <c r="BC68" s="345"/>
      <c r="BD68" s="345"/>
      <c r="BE68" s="345"/>
      <c r="BF68" s="345"/>
      <c r="BG68" s="345"/>
      <c r="BH68" s="345"/>
    </row>
    <row r="69" spans="1:60" s="1462" customFormat="1">
      <c r="A69" s="2407"/>
      <c r="B69" s="2407"/>
      <c r="C69" s="2407"/>
      <c r="D69" s="2407"/>
      <c r="E69" s="2455"/>
      <c r="F69" s="2456"/>
      <c r="G69" s="2456"/>
      <c r="H69" s="2536"/>
      <c r="I69" s="2537"/>
      <c r="J69" s="2538"/>
      <c r="K69" s="2539"/>
      <c r="L69" s="1464" t="str">
        <f>IF(E69="","",IF(ISNUMBER(SEARCH("cartridge",E69)),"Pack","Piece"))</f>
        <v/>
      </c>
      <c r="M69" s="1464" t="str">
        <f>IF(L69="", "","USD")</f>
        <v/>
      </c>
      <c r="N69" s="1088"/>
      <c r="O69" s="1105"/>
      <c r="P69" s="1105"/>
      <c r="Q69" s="1105"/>
      <c r="R69" s="1105"/>
      <c r="S69" s="580">
        <f>SUM('TB-EQUIPMENT &amp; OTHER HPs'!$O69:$R69)</f>
        <v>0</v>
      </c>
      <c r="T69" s="1066">
        <f>'TB-EQUIPMENT &amp; OTHER HPs'!$N69*'TB-EQUIPMENT &amp; OTHER HPs'!$S69</f>
        <v>0</v>
      </c>
      <c r="U69" s="1088"/>
      <c r="V69" s="1105"/>
      <c r="W69" s="1105"/>
      <c r="X69" s="1105"/>
      <c r="Y69" s="1105"/>
      <c r="Z69" s="580">
        <f>SUM('TB-EQUIPMENT &amp; OTHER HPs'!$V69:$Y69)</f>
        <v>0</v>
      </c>
      <c r="AA69" s="1066">
        <f>'TB-EQUIPMENT &amp; OTHER HPs'!$U69*'TB-EQUIPMENT &amp; OTHER HPs'!$Z69</f>
        <v>0</v>
      </c>
      <c r="AB69" s="1088"/>
      <c r="AC69" s="1105"/>
      <c r="AD69" s="1105"/>
      <c r="AE69" s="1105"/>
      <c r="AF69" s="1105"/>
      <c r="AG69" s="580">
        <f>SUM('TB-EQUIPMENT &amp; OTHER HPs'!$AC69:$AF69)</f>
        <v>0</v>
      </c>
      <c r="AH69" s="1066">
        <f>'TB-EQUIPMENT &amp; OTHER HPs'!$AB69*'TB-EQUIPMENT &amp; OTHER HPs'!$AG69</f>
        <v>0</v>
      </c>
      <c r="AI69" s="581">
        <f>'TB-EQUIPMENT &amp; OTHER HPs'!$S69+'TB-EQUIPMENT &amp; OTHER HPs'!$Z69+'TB-EQUIPMENT &amp; OTHER HPs'!$AG69</f>
        <v>0</v>
      </c>
      <c r="AJ69" s="1064">
        <f>'TB-EQUIPMENT &amp; OTHER HPs'!$T69+'TB-EQUIPMENT &amp; OTHER HPs'!$AA69+'TB-EQUIPMENT &amp; OTHER HPs'!$AH69</f>
        <v>0</v>
      </c>
      <c r="AK69" s="1465" t="str">
        <f t="shared" ref="AK69:AK71" si="3">IF(ISBLANK(E69),"",IF(ISNUMBER(SEARCH("Rapid Diagnostic Test",E69)),"5.4",IF(ISNUMBER(SEARCH("Equipment &amp; cartridges",E69)),"5.4",IF(ISNUMBER(SEARCH("MTB/MPT64",E69)),"5.4","6.4"))))</f>
        <v/>
      </c>
      <c r="AL69" s="1258"/>
      <c r="AV69" s="1466"/>
      <c r="AW69" s="1466"/>
      <c r="AX69" s="1466"/>
      <c r="AY69" s="1466"/>
      <c r="AZ69" s="1466"/>
      <c r="BA69" s="1466"/>
      <c r="BB69" s="1466"/>
      <c r="BC69" s="1466"/>
      <c r="BD69" s="1466"/>
      <c r="BE69" s="1466"/>
      <c r="BF69" s="1466"/>
      <c r="BG69" s="1466"/>
      <c r="BH69" s="1466"/>
    </row>
    <row r="70" spans="1:60" s="1462" customFormat="1">
      <c r="A70" s="2126"/>
      <c r="B70" s="2126"/>
      <c r="C70" s="2126"/>
      <c r="D70" s="2517"/>
      <c r="E70" s="2516"/>
      <c r="F70" s="2125"/>
      <c r="G70" s="2125"/>
      <c r="H70" s="2517"/>
      <c r="I70" s="2518"/>
      <c r="J70" s="2521"/>
      <c r="K70" s="2520"/>
      <c r="L70" s="1467" t="str">
        <f t="shared" ref="L70:L71" si="4">IF(E70="","",IF(ISNUMBER(SEARCH("cartridge",E70)),"Pack","Piece"))</f>
        <v/>
      </c>
      <c r="M70" s="1467" t="str">
        <f>IF(L70="", "","USD")</f>
        <v/>
      </c>
      <c r="N70" s="1085"/>
      <c r="O70" s="36"/>
      <c r="P70" s="36"/>
      <c r="Q70" s="36"/>
      <c r="R70" s="36"/>
      <c r="S70" s="572">
        <f>SUM('TB-EQUIPMENT &amp; OTHER HPs'!$O70:$R70)</f>
        <v>0</v>
      </c>
      <c r="T70" s="1061">
        <f>'TB-EQUIPMENT &amp; OTHER HPs'!$N70*'TB-EQUIPMENT &amp; OTHER HPs'!$S70</f>
        <v>0</v>
      </c>
      <c r="U70" s="1085"/>
      <c r="V70" s="36"/>
      <c r="W70" s="36"/>
      <c r="X70" s="36"/>
      <c r="Y70" s="36"/>
      <c r="Z70" s="572">
        <f>SUM('TB-EQUIPMENT &amp; OTHER HPs'!$V70:$Y70)</f>
        <v>0</v>
      </c>
      <c r="AA70" s="1061">
        <f>'TB-EQUIPMENT &amp; OTHER HPs'!$U70*'TB-EQUIPMENT &amp; OTHER HPs'!$Z70</f>
        <v>0</v>
      </c>
      <c r="AB70" s="1085"/>
      <c r="AC70" s="36"/>
      <c r="AD70" s="36"/>
      <c r="AE70" s="36"/>
      <c r="AF70" s="36"/>
      <c r="AG70" s="572">
        <f>SUM('TB-EQUIPMENT &amp; OTHER HPs'!$AC70:$AF70)</f>
        <v>0</v>
      </c>
      <c r="AH70" s="1061">
        <f>'TB-EQUIPMENT &amp; OTHER HPs'!$AB70*'TB-EQUIPMENT &amp; OTHER HPs'!$AG70</f>
        <v>0</v>
      </c>
      <c r="AI70" s="582">
        <f>'TB-EQUIPMENT &amp; OTHER HPs'!$S70+'TB-EQUIPMENT &amp; OTHER HPs'!$Z70+'TB-EQUIPMENT &amp; OTHER HPs'!$AG70</f>
        <v>0</v>
      </c>
      <c r="AJ70" s="1026">
        <f>'TB-EQUIPMENT &amp; OTHER HPs'!$T70+'TB-EQUIPMENT &amp; OTHER HPs'!$AA70+'TB-EQUIPMENT &amp; OTHER HPs'!$AH70</f>
        <v>0</v>
      </c>
      <c r="AK70" s="1468" t="str">
        <f t="shared" si="3"/>
        <v/>
      </c>
      <c r="AL70" s="1253"/>
    </row>
    <row r="71" spans="1:60" s="1462" customFormat="1">
      <c r="A71" s="2407"/>
      <c r="B71" s="2407"/>
      <c r="C71" s="2407"/>
      <c r="D71" s="2407"/>
      <c r="E71" s="2406"/>
      <c r="F71" s="2416"/>
      <c r="G71" s="2416"/>
      <c r="H71" s="2408"/>
      <c r="I71" s="2513"/>
      <c r="J71" s="2514"/>
      <c r="K71" s="2515"/>
      <c r="L71" s="1455" t="str">
        <f t="shared" si="4"/>
        <v/>
      </c>
      <c r="M71" s="1455" t="str">
        <f>IF(L71="", "","USD")</f>
        <v/>
      </c>
      <c r="N71" s="1086"/>
      <c r="O71" s="1102"/>
      <c r="P71" s="1102"/>
      <c r="Q71" s="1102"/>
      <c r="R71" s="1102"/>
      <c r="S71" s="574">
        <f>SUM('TB-EQUIPMENT &amp; OTHER HPs'!$O71:$R71)</f>
        <v>0</v>
      </c>
      <c r="T71" s="1062">
        <f>'TB-EQUIPMENT &amp; OTHER HPs'!$N71*'TB-EQUIPMENT &amp; OTHER HPs'!$S71</f>
        <v>0</v>
      </c>
      <c r="U71" s="1086"/>
      <c r="V71" s="1102"/>
      <c r="W71" s="1102"/>
      <c r="X71" s="1102"/>
      <c r="Y71" s="1102"/>
      <c r="Z71" s="574">
        <f>SUM('TB-EQUIPMENT &amp; OTHER HPs'!$V71:$Y71)</f>
        <v>0</v>
      </c>
      <c r="AA71" s="1062">
        <f>'TB-EQUIPMENT &amp; OTHER HPs'!$U71*'TB-EQUIPMENT &amp; OTHER HPs'!$Z71</f>
        <v>0</v>
      </c>
      <c r="AB71" s="1086"/>
      <c r="AC71" s="1102"/>
      <c r="AD71" s="1102"/>
      <c r="AE71" s="1102"/>
      <c r="AF71" s="1102"/>
      <c r="AG71" s="574">
        <f>SUM('TB-EQUIPMENT &amp; OTHER HPs'!$AC71:$AF71)</f>
        <v>0</v>
      </c>
      <c r="AH71" s="1062">
        <f>'TB-EQUIPMENT &amp; OTHER HPs'!$AB71*'TB-EQUIPMENT &amp; OTHER HPs'!$AG71</f>
        <v>0</v>
      </c>
      <c r="AI71" s="583">
        <f>'TB-EQUIPMENT &amp; OTHER HPs'!$S71+'TB-EQUIPMENT &amp; OTHER HPs'!$Z71+'TB-EQUIPMENT &amp; OTHER HPs'!$AG71</f>
        <v>0</v>
      </c>
      <c r="AJ71" s="1027">
        <f>'TB-EQUIPMENT &amp; OTHER HPs'!$T71+'TB-EQUIPMENT &amp; OTHER HPs'!$AA71+'TB-EQUIPMENT &amp; OTHER HPs'!$AH71</f>
        <v>0</v>
      </c>
      <c r="AK71" s="1469" t="str">
        <f t="shared" si="3"/>
        <v/>
      </c>
      <c r="AL71" s="1252"/>
    </row>
    <row r="72" spans="1:60" s="249" customFormat="1">
      <c r="A72" s="2126"/>
      <c r="B72" s="2126"/>
      <c r="C72" s="2126"/>
      <c r="D72" s="2517"/>
      <c r="E72" s="2516"/>
      <c r="F72" s="2126"/>
      <c r="G72" s="2126"/>
      <c r="H72" s="2517"/>
      <c r="I72" s="2518"/>
      <c r="J72" s="2519"/>
      <c r="K72" s="2520"/>
      <c r="L72" s="225" t="str">
        <f t="shared" ref="L72:L83" si="5">IF(E72="","",IF(ISNUMBER(SEARCH("cartridge",E72)),"Pack","Piece"))</f>
        <v/>
      </c>
      <c r="M72" s="226" t="str">
        <f t="shared" ref="M72:M83" si="6">IF(L72="", "","USD")</f>
        <v/>
      </c>
      <c r="N72" s="1085"/>
      <c r="O72" s="36"/>
      <c r="P72" s="36"/>
      <c r="Q72" s="36"/>
      <c r="R72" s="36"/>
      <c r="S72" s="572">
        <f>SUM('TB-EQUIPMENT &amp; OTHER HPs'!$O72:$R72)</f>
        <v>0</v>
      </c>
      <c r="T72" s="1061">
        <f>'TB-EQUIPMENT &amp; OTHER HPs'!$N72*'TB-EQUIPMENT &amp; OTHER HPs'!$S72</f>
        <v>0</v>
      </c>
      <c r="U72" s="1085"/>
      <c r="V72" s="36"/>
      <c r="W72" s="36"/>
      <c r="X72" s="36"/>
      <c r="Y72" s="36"/>
      <c r="Z72" s="572">
        <f>SUM('TB-EQUIPMENT &amp; OTHER HPs'!$V72:$Y72)</f>
        <v>0</v>
      </c>
      <c r="AA72" s="1061">
        <f>'TB-EQUIPMENT &amp; OTHER HPs'!$U72*'TB-EQUIPMENT &amp; OTHER HPs'!$Z72</f>
        <v>0</v>
      </c>
      <c r="AB72" s="1085"/>
      <c r="AC72" s="36"/>
      <c r="AD72" s="36"/>
      <c r="AE72" s="36"/>
      <c r="AF72" s="36"/>
      <c r="AG72" s="572">
        <f>SUM('TB-EQUIPMENT &amp; OTHER HPs'!$AC72:$AF72)</f>
        <v>0</v>
      </c>
      <c r="AH72" s="1061">
        <f>'TB-EQUIPMENT &amp; OTHER HPs'!$AB72*'TB-EQUIPMENT &amp; OTHER HPs'!$AG72</f>
        <v>0</v>
      </c>
      <c r="AI72" s="582">
        <f>'TB-EQUIPMENT &amp; OTHER HPs'!$S72+'TB-EQUIPMENT &amp; OTHER HPs'!$Z72+'TB-EQUIPMENT &amp; OTHER HPs'!$AG72</f>
        <v>0</v>
      </c>
      <c r="AJ72" s="1026">
        <f>'TB-EQUIPMENT &amp; OTHER HPs'!$T72+'TB-EQUIPMENT &amp; OTHER HPs'!$AA72+'TB-EQUIPMENT &amp; OTHER HPs'!$AH72</f>
        <v>0</v>
      </c>
      <c r="AK72" s="585" t="str">
        <f t="shared" ref="AK72:AK83" si="7">IF(ISBLANK(E72),"",IF(ISNUMBER(SEARCH("Rapid Diagnostic Test",E72)),"5.4",IF(ISNUMBER(SEARCH("Equipment &amp; cartridges",E72)),"5.4",IF(ISNUMBER(SEARCH("MTB/MPT64",E72)),"5.4","6.4"))))</f>
        <v/>
      </c>
      <c r="AL72" s="1256"/>
    </row>
    <row r="73" spans="1:60" s="249" customFormat="1">
      <c r="A73" s="2407"/>
      <c r="B73" s="2407"/>
      <c r="C73" s="2407"/>
      <c r="D73" s="2407"/>
      <c r="E73" s="2406"/>
      <c r="F73" s="2407"/>
      <c r="G73" s="2407"/>
      <c r="H73" s="2408"/>
      <c r="I73" s="2513"/>
      <c r="J73" s="2525"/>
      <c r="K73" s="2515"/>
      <c r="L73" s="224" t="str">
        <f t="shared" si="5"/>
        <v/>
      </c>
      <c r="M73" s="224" t="str">
        <f t="shared" si="6"/>
        <v/>
      </c>
      <c r="N73" s="1086"/>
      <c r="O73" s="1102"/>
      <c r="P73" s="1102"/>
      <c r="Q73" s="1102"/>
      <c r="R73" s="1102"/>
      <c r="S73" s="574">
        <f>SUM('TB-EQUIPMENT &amp; OTHER HPs'!$O73:$R73)</f>
        <v>0</v>
      </c>
      <c r="T73" s="1062">
        <f>'TB-EQUIPMENT &amp; OTHER HPs'!$N73*'TB-EQUIPMENT &amp; OTHER HPs'!$S73</f>
        <v>0</v>
      </c>
      <c r="U73" s="1086"/>
      <c r="V73" s="1102"/>
      <c r="W73" s="1102"/>
      <c r="X73" s="1102"/>
      <c r="Y73" s="1102"/>
      <c r="Z73" s="574">
        <f>SUM('TB-EQUIPMENT &amp; OTHER HPs'!$V73:$Y73)</f>
        <v>0</v>
      </c>
      <c r="AA73" s="1062">
        <f>'TB-EQUIPMENT &amp; OTHER HPs'!$U73*'TB-EQUIPMENT &amp; OTHER HPs'!$Z73</f>
        <v>0</v>
      </c>
      <c r="AB73" s="1086"/>
      <c r="AC73" s="1102"/>
      <c r="AD73" s="1102"/>
      <c r="AE73" s="1102"/>
      <c r="AF73" s="1102"/>
      <c r="AG73" s="574">
        <f>SUM('TB-EQUIPMENT &amp; OTHER HPs'!$AC73:$AF73)</f>
        <v>0</v>
      </c>
      <c r="AH73" s="1062">
        <f>'TB-EQUIPMENT &amp; OTHER HPs'!$AB73*'TB-EQUIPMENT &amp; OTHER HPs'!$AG73</f>
        <v>0</v>
      </c>
      <c r="AI73" s="583">
        <f>'TB-EQUIPMENT &amp; OTHER HPs'!$S73+'TB-EQUIPMENT &amp; OTHER HPs'!$Z73+'TB-EQUIPMENT &amp; OTHER HPs'!$AG73</f>
        <v>0</v>
      </c>
      <c r="AJ73" s="1027">
        <f>'TB-EQUIPMENT &amp; OTHER HPs'!$T73+'TB-EQUIPMENT &amp; OTHER HPs'!$AA73+'TB-EQUIPMENT &amp; OTHER HPs'!$AH73</f>
        <v>0</v>
      </c>
      <c r="AK73" s="584" t="str">
        <f t="shared" si="7"/>
        <v/>
      </c>
      <c r="AL73" s="1255"/>
    </row>
    <row r="74" spans="1:60" s="249" customFormat="1">
      <c r="A74" s="2126"/>
      <c r="B74" s="2126"/>
      <c r="C74" s="2126"/>
      <c r="D74" s="2126"/>
      <c r="E74" s="2516"/>
      <c r="F74" s="2126"/>
      <c r="G74" s="2126"/>
      <c r="H74" s="2517"/>
      <c r="I74" s="2518"/>
      <c r="J74" s="2519"/>
      <c r="K74" s="2520"/>
      <c r="L74" s="225" t="str">
        <f t="shared" si="5"/>
        <v/>
      </c>
      <c r="M74" s="226" t="str">
        <f t="shared" si="6"/>
        <v/>
      </c>
      <c r="N74" s="1085"/>
      <c r="O74" s="36"/>
      <c r="P74" s="36"/>
      <c r="Q74" s="36"/>
      <c r="R74" s="36"/>
      <c r="S74" s="572">
        <f>SUM('TB-EQUIPMENT &amp; OTHER HPs'!$O74:$R74)</f>
        <v>0</v>
      </c>
      <c r="T74" s="1061">
        <f>'TB-EQUIPMENT &amp; OTHER HPs'!$N74*'TB-EQUIPMENT &amp; OTHER HPs'!$S74</f>
        <v>0</v>
      </c>
      <c r="U74" s="1085"/>
      <c r="V74" s="36"/>
      <c r="W74" s="36"/>
      <c r="X74" s="36"/>
      <c r="Y74" s="36"/>
      <c r="Z74" s="572">
        <f>SUM('TB-EQUIPMENT &amp; OTHER HPs'!$V74:$Y74)</f>
        <v>0</v>
      </c>
      <c r="AA74" s="1061">
        <f>'TB-EQUIPMENT &amp; OTHER HPs'!$U74*'TB-EQUIPMENT &amp; OTHER HPs'!$Z74</f>
        <v>0</v>
      </c>
      <c r="AB74" s="1085"/>
      <c r="AC74" s="36"/>
      <c r="AD74" s="36"/>
      <c r="AE74" s="36"/>
      <c r="AF74" s="36"/>
      <c r="AG74" s="572">
        <f>SUM('TB-EQUIPMENT &amp; OTHER HPs'!$AC74:$AF74)</f>
        <v>0</v>
      </c>
      <c r="AH74" s="1061">
        <f>'TB-EQUIPMENT &amp; OTHER HPs'!$AB74*'TB-EQUIPMENT &amp; OTHER HPs'!$AG74</f>
        <v>0</v>
      </c>
      <c r="AI74" s="582">
        <f>'TB-EQUIPMENT &amp; OTHER HPs'!$S74+'TB-EQUIPMENT &amp; OTHER HPs'!$Z74+'TB-EQUIPMENT &amp; OTHER HPs'!$AG74</f>
        <v>0</v>
      </c>
      <c r="AJ74" s="1026">
        <f>'TB-EQUIPMENT &amp; OTHER HPs'!$T74+'TB-EQUIPMENT &amp; OTHER HPs'!$AA74+'TB-EQUIPMENT &amp; OTHER HPs'!$AH74</f>
        <v>0</v>
      </c>
      <c r="AK74" s="585" t="str">
        <f t="shared" si="7"/>
        <v/>
      </c>
      <c r="AL74" s="1256"/>
    </row>
    <row r="75" spans="1:60" s="249" customFormat="1">
      <c r="A75" s="2407"/>
      <c r="B75" s="2407"/>
      <c r="C75" s="2407"/>
      <c r="D75" s="2407"/>
      <c r="E75" s="2406"/>
      <c r="F75" s="2407"/>
      <c r="G75" s="2407"/>
      <c r="H75" s="2408"/>
      <c r="I75" s="2513"/>
      <c r="J75" s="2525"/>
      <c r="K75" s="2515"/>
      <c r="L75" s="224" t="str">
        <f t="shared" si="5"/>
        <v/>
      </c>
      <c r="M75" s="224" t="str">
        <f t="shared" si="6"/>
        <v/>
      </c>
      <c r="N75" s="1086"/>
      <c r="O75" s="1102"/>
      <c r="P75" s="1102"/>
      <c r="Q75" s="1102"/>
      <c r="R75" s="1102"/>
      <c r="S75" s="574">
        <f>SUM('TB-EQUIPMENT &amp; OTHER HPs'!$O75:$R75)</f>
        <v>0</v>
      </c>
      <c r="T75" s="1062">
        <f>'TB-EQUIPMENT &amp; OTHER HPs'!$N75*'TB-EQUIPMENT &amp; OTHER HPs'!$S75</f>
        <v>0</v>
      </c>
      <c r="U75" s="1086"/>
      <c r="V75" s="1102"/>
      <c r="W75" s="1102"/>
      <c r="X75" s="1102"/>
      <c r="Y75" s="1102"/>
      <c r="Z75" s="574">
        <f>SUM('TB-EQUIPMENT &amp; OTHER HPs'!$V75:$Y75)</f>
        <v>0</v>
      </c>
      <c r="AA75" s="1062">
        <f>'TB-EQUIPMENT &amp; OTHER HPs'!$U75*'TB-EQUIPMENT &amp; OTHER HPs'!$Z75</f>
        <v>0</v>
      </c>
      <c r="AB75" s="1086"/>
      <c r="AC75" s="1102"/>
      <c r="AD75" s="1102"/>
      <c r="AE75" s="1102"/>
      <c r="AF75" s="1102"/>
      <c r="AG75" s="574">
        <f>SUM('TB-EQUIPMENT &amp; OTHER HPs'!$AC75:$AF75)</f>
        <v>0</v>
      </c>
      <c r="AH75" s="1062">
        <f>'TB-EQUIPMENT &amp; OTHER HPs'!$AB75*'TB-EQUIPMENT &amp; OTHER HPs'!$AG75</f>
        <v>0</v>
      </c>
      <c r="AI75" s="583">
        <f>'TB-EQUIPMENT &amp; OTHER HPs'!$S75+'TB-EQUIPMENT &amp; OTHER HPs'!$Z75+'TB-EQUIPMENT &amp; OTHER HPs'!$AG75</f>
        <v>0</v>
      </c>
      <c r="AJ75" s="1027">
        <f>'TB-EQUIPMENT &amp; OTHER HPs'!$T75+'TB-EQUIPMENT &amp; OTHER HPs'!$AA75+'TB-EQUIPMENT &amp; OTHER HPs'!$AH75</f>
        <v>0</v>
      </c>
      <c r="AK75" s="584" t="str">
        <f t="shared" si="7"/>
        <v/>
      </c>
      <c r="AL75" s="1255"/>
    </row>
    <row r="76" spans="1:60" s="249" customFormat="1">
      <c r="A76" s="2126"/>
      <c r="B76" s="2126"/>
      <c r="C76" s="2126"/>
      <c r="D76" s="2126"/>
      <c r="E76" s="2516"/>
      <c r="F76" s="2126"/>
      <c r="G76" s="2126"/>
      <c r="H76" s="2517"/>
      <c r="I76" s="2518"/>
      <c r="J76" s="2519"/>
      <c r="K76" s="2520"/>
      <c r="L76" s="225" t="str">
        <f t="shared" si="5"/>
        <v/>
      </c>
      <c r="M76" s="226" t="str">
        <f t="shared" si="6"/>
        <v/>
      </c>
      <c r="N76" s="1085"/>
      <c r="O76" s="36"/>
      <c r="P76" s="36"/>
      <c r="Q76" s="36"/>
      <c r="R76" s="36"/>
      <c r="S76" s="572">
        <f>SUM('TB-EQUIPMENT &amp; OTHER HPs'!$O76:$R76)</f>
        <v>0</v>
      </c>
      <c r="T76" s="1061">
        <f>'TB-EQUIPMENT &amp; OTHER HPs'!$N76*'TB-EQUIPMENT &amp; OTHER HPs'!$S76</f>
        <v>0</v>
      </c>
      <c r="U76" s="1085"/>
      <c r="V76" s="36"/>
      <c r="W76" s="36"/>
      <c r="X76" s="36"/>
      <c r="Y76" s="36"/>
      <c r="Z76" s="572">
        <f>SUM('TB-EQUIPMENT &amp; OTHER HPs'!$V76:$Y76)</f>
        <v>0</v>
      </c>
      <c r="AA76" s="1061">
        <f>'TB-EQUIPMENT &amp; OTHER HPs'!$U76*'TB-EQUIPMENT &amp; OTHER HPs'!$Z76</f>
        <v>0</v>
      </c>
      <c r="AB76" s="1085"/>
      <c r="AC76" s="36"/>
      <c r="AD76" s="36"/>
      <c r="AE76" s="36"/>
      <c r="AF76" s="36"/>
      <c r="AG76" s="572">
        <f>SUM('TB-EQUIPMENT &amp; OTHER HPs'!$AC76:$AF76)</f>
        <v>0</v>
      </c>
      <c r="AH76" s="1061">
        <f>'TB-EQUIPMENT &amp; OTHER HPs'!$AB76*'TB-EQUIPMENT &amp; OTHER HPs'!$AG76</f>
        <v>0</v>
      </c>
      <c r="AI76" s="582">
        <f>'TB-EQUIPMENT &amp; OTHER HPs'!$S76+'TB-EQUIPMENT &amp; OTHER HPs'!$Z76+'TB-EQUIPMENT &amp; OTHER HPs'!$AG76</f>
        <v>0</v>
      </c>
      <c r="AJ76" s="1026">
        <f>'TB-EQUIPMENT &amp; OTHER HPs'!$T76+'TB-EQUIPMENT &amp; OTHER HPs'!$AA76+'TB-EQUIPMENT &amp; OTHER HPs'!$AH76</f>
        <v>0</v>
      </c>
      <c r="AK76" s="585" t="str">
        <f t="shared" si="7"/>
        <v/>
      </c>
      <c r="AL76" s="1256"/>
    </row>
    <row r="77" spans="1:60" s="249" customFormat="1">
      <c r="A77" s="2407"/>
      <c r="B77" s="2407"/>
      <c r="C77" s="2407"/>
      <c r="D77" s="2407"/>
      <c r="E77" s="2406"/>
      <c r="F77" s="2407"/>
      <c r="G77" s="2407"/>
      <c r="H77" s="2408"/>
      <c r="I77" s="2513"/>
      <c r="J77" s="2525"/>
      <c r="K77" s="2515"/>
      <c r="L77" s="224" t="str">
        <f t="shared" si="5"/>
        <v/>
      </c>
      <c r="M77" s="224" t="str">
        <f t="shared" si="6"/>
        <v/>
      </c>
      <c r="N77" s="1086"/>
      <c r="O77" s="1102"/>
      <c r="P77" s="1102"/>
      <c r="Q77" s="1102"/>
      <c r="R77" s="1102"/>
      <c r="S77" s="574">
        <f>SUM('TB-EQUIPMENT &amp; OTHER HPs'!$O77:$R77)</f>
        <v>0</v>
      </c>
      <c r="T77" s="1062">
        <f>'TB-EQUIPMENT &amp; OTHER HPs'!$N77*'TB-EQUIPMENT &amp; OTHER HPs'!$S77</f>
        <v>0</v>
      </c>
      <c r="U77" s="1086"/>
      <c r="V77" s="1102"/>
      <c r="W77" s="1102"/>
      <c r="X77" s="1102"/>
      <c r="Y77" s="1102"/>
      <c r="Z77" s="574">
        <f>SUM('TB-EQUIPMENT &amp; OTHER HPs'!$V77:$Y77)</f>
        <v>0</v>
      </c>
      <c r="AA77" s="1062">
        <f>'TB-EQUIPMENT &amp; OTHER HPs'!$U77*'TB-EQUIPMENT &amp; OTHER HPs'!$Z77</f>
        <v>0</v>
      </c>
      <c r="AB77" s="1086"/>
      <c r="AC77" s="1102"/>
      <c r="AD77" s="1102"/>
      <c r="AE77" s="1102"/>
      <c r="AF77" s="1102"/>
      <c r="AG77" s="574">
        <f>SUM('TB-EQUIPMENT &amp; OTHER HPs'!$AC77:$AF77)</f>
        <v>0</v>
      </c>
      <c r="AH77" s="1062">
        <f>'TB-EQUIPMENT &amp; OTHER HPs'!$AB77*'TB-EQUIPMENT &amp; OTHER HPs'!$AG77</f>
        <v>0</v>
      </c>
      <c r="AI77" s="583">
        <f>'TB-EQUIPMENT &amp; OTHER HPs'!$S77+'TB-EQUIPMENT &amp; OTHER HPs'!$Z77+'TB-EQUIPMENT &amp; OTHER HPs'!$AG77</f>
        <v>0</v>
      </c>
      <c r="AJ77" s="1027">
        <f>'TB-EQUIPMENT &amp; OTHER HPs'!$T77+'TB-EQUIPMENT &amp; OTHER HPs'!$AA77+'TB-EQUIPMENT &amp; OTHER HPs'!$AH77</f>
        <v>0</v>
      </c>
      <c r="AK77" s="584" t="str">
        <f t="shared" si="7"/>
        <v/>
      </c>
      <c r="AL77" s="1255"/>
    </row>
    <row r="78" spans="1:60" s="249" customFormat="1">
      <c r="A78" s="2126"/>
      <c r="B78" s="2126"/>
      <c r="C78" s="2126"/>
      <c r="D78" s="2126"/>
      <c r="E78" s="2516"/>
      <c r="F78" s="2126"/>
      <c r="G78" s="2126"/>
      <c r="H78" s="2517"/>
      <c r="I78" s="2518"/>
      <c r="J78" s="2519"/>
      <c r="K78" s="2520"/>
      <c r="L78" s="225" t="str">
        <f t="shared" si="5"/>
        <v/>
      </c>
      <c r="M78" s="226" t="str">
        <f t="shared" si="6"/>
        <v/>
      </c>
      <c r="N78" s="1085"/>
      <c r="O78" s="36"/>
      <c r="P78" s="36"/>
      <c r="Q78" s="36"/>
      <c r="R78" s="36"/>
      <c r="S78" s="572">
        <f>SUM('TB-EQUIPMENT &amp; OTHER HPs'!$O78:$R78)</f>
        <v>0</v>
      </c>
      <c r="T78" s="1061">
        <f>'TB-EQUIPMENT &amp; OTHER HPs'!$N78*'TB-EQUIPMENT &amp; OTHER HPs'!$S78</f>
        <v>0</v>
      </c>
      <c r="U78" s="1085"/>
      <c r="V78" s="36"/>
      <c r="W78" s="36"/>
      <c r="X78" s="36"/>
      <c r="Y78" s="36"/>
      <c r="Z78" s="572">
        <f>SUM('TB-EQUIPMENT &amp; OTHER HPs'!$V78:$Y78)</f>
        <v>0</v>
      </c>
      <c r="AA78" s="1061">
        <f>'TB-EQUIPMENT &amp; OTHER HPs'!$U78*'TB-EQUIPMENT &amp; OTHER HPs'!$Z78</f>
        <v>0</v>
      </c>
      <c r="AB78" s="1085"/>
      <c r="AC78" s="36"/>
      <c r="AD78" s="36"/>
      <c r="AE78" s="36"/>
      <c r="AF78" s="36"/>
      <c r="AG78" s="572">
        <f>SUM('TB-EQUIPMENT &amp; OTHER HPs'!$AC78:$AF78)</f>
        <v>0</v>
      </c>
      <c r="AH78" s="1061">
        <f>'TB-EQUIPMENT &amp; OTHER HPs'!$AB78*'TB-EQUIPMENT &amp; OTHER HPs'!$AG78</f>
        <v>0</v>
      </c>
      <c r="AI78" s="582">
        <f>'TB-EQUIPMENT &amp; OTHER HPs'!$S78+'TB-EQUIPMENT &amp; OTHER HPs'!$Z78+'TB-EQUIPMENT &amp; OTHER HPs'!$AG78</f>
        <v>0</v>
      </c>
      <c r="AJ78" s="1026">
        <f>'TB-EQUIPMENT &amp; OTHER HPs'!$T78+'TB-EQUIPMENT &amp; OTHER HPs'!$AA78+'TB-EQUIPMENT &amp; OTHER HPs'!$AH78</f>
        <v>0</v>
      </c>
      <c r="AK78" s="585" t="str">
        <f t="shared" si="7"/>
        <v/>
      </c>
      <c r="AL78" s="1256"/>
    </row>
    <row r="79" spans="1:60" s="249" customFormat="1">
      <c r="A79" s="2407"/>
      <c r="B79" s="2407"/>
      <c r="C79" s="2407"/>
      <c r="D79" s="2407"/>
      <c r="E79" s="2406"/>
      <c r="F79" s="2407"/>
      <c r="G79" s="2407"/>
      <c r="H79" s="2408"/>
      <c r="I79" s="2513"/>
      <c r="J79" s="2525"/>
      <c r="K79" s="2515"/>
      <c r="L79" s="224" t="str">
        <f t="shared" si="5"/>
        <v/>
      </c>
      <c r="M79" s="224" t="str">
        <f t="shared" si="6"/>
        <v/>
      </c>
      <c r="N79" s="1086"/>
      <c r="O79" s="1102"/>
      <c r="P79" s="1102"/>
      <c r="Q79" s="1102"/>
      <c r="R79" s="1102"/>
      <c r="S79" s="574">
        <f>SUM('TB-EQUIPMENT &amp; OTHER HPs'!$O79:$R79)</f>
        <v>0</v>
      </c>
      <c r="T79" s="1062">
        <f>'TB-EQUIPMENT &amp; OTHER HPs'!$N79*'TB-EQUIPMENT &amp; OTHER HPs'!$S79</f>
        <v>0</v>
      </c>
      <c r="U79" s="1086"/>
      <c r="V79" s="1102"/>
      <c r="W79" s="1102"/>
      <c r="X79" s="1102"/>
      <c r="Y79" s="1102"/>
      <c r="Z79" s="574">
        <f>SUM('TB-EQUIPMENT &amp; OTHER HPs'!$V79:$Y79)</f>
        <v>0</v>
      </c>
      <c r="AA79" s="1062">
        <f>'TB-EQUIPMENT &amp; OTHER HPs'!$U79*'TB-EQUIPMENT &amp; OTHER HPs'!$Z79</f>
        <v>0</v>
      </c>
      <c r="AB79" s="1086"/>
      <c r="AC79" s="1102"/>
      <c r="AD79" s="1102"/>
      <c r="AE79" s="1102"/>
      <c r="AF79" s="1102"/>
      <c r="AG79" s="574">
        <f>SUM('TB-EQUIPMENT &amp; OTHER HPs'!$AC79:$AF79)</f>
        <v>0</v>
      </c>
      <c r="AH79" s="1062">
        <f>'TB-EQUIPMENT &amp; OTHER HPs'!$AB79*'TB-EQUIPMENT &amp; OTHER HPs'!$AG79</f>
        <v>0</v>
      </c>
      <c r="AI79" s="583">
        <f>'TB-EQUIPMENT &amp; OTHER HPs'!$S79+'TB-EQUIPMENT &amp; OTHER HPs'!$Z79+'TB-EQUIPMENT &amp; OTHER HPs'!$AG79</f>
        <v>0</v>
      </c>
      <c r="AJ79" s="1027">
        <f>'TB-EQUIPMENT &amp; OTHER HPs'!$T79+'TB-EQUIPMENT &amp; OTHER HPs'!$AA79+'TB-EQUIPMENT &amp; OTHER HPs'!$AH79</f>
        <v>0</v>
      </c>
      <c r="AK79" s="584" t="str">
        <f t="shared" si="7"/>
        <v/>
      </c>
      <c r="AL79" s="1255"/>
    </row>
    <row r="80" spans="1:60" s="249" customFormat="1">
      <c r="A80" s="2126"/>
      <c r="B80" s="2126"/>
      <c r="C80" s="2126"/>
      <c r="D80" s="2126"/>
      <c r="E80" s="2516"/>
      <c r="F80" s="2126"/>
      <c r="G80" s="2126"/>
      <c r="H80" s="2517"/>
      <c r="I80" s="2518"/>
      <c r="J80" s="2519"/>
      <c r="K80" s="2520"/>
      <c r="L80" s="225" t="str">
        <f t="shared" si="5"/>
        <v/>
      </c>
      <c r="M80" s="226" t="str">
        <f t="shared" si="6"/>
        <v/>
      </c>
      <c r="N80" s="1085"/>
      <c r="O80" s="36"/>
      <c r="P80" s="36"/>
      <c r="Q80" s="36"/>
      <c r="R80" s="36"/>
      <c r="S80" s="572">
        <f>SUM('TB-EQUIPMENT &amp; OTHER HPs'!$O80:$R80)</f>
        <v>0</v>
      </c>
      <c r="T80" s="1061">
        <f>'TB-EQUIPMENT &amp; OTHER HPs'!$N80*'TB-EQUIPMENT &amp; OTHER HPs'!$S80</f>
        <v>0</v>
      </c>
      <c r="U80" s="1085"/>
      <c r="V80" s="36"/>
      <c r="W80" s="36"/>
      <c r="X80" s="36"/>
      <c r="Y80" s="36"/>
      <c r="Z80" s="572">
        <f>SUM('TB-EQUIPMENT &amp; OTHER HPs'!$V80:$Y80)</f>
        <v>0</v>
      </c>
      <c r="AA80" s="1061">
        <f>'TB-EQUIPMENT &amp; OTHER HPs'!$U80*'TB-EQUIPMENT &amp; OTHER HPs'!$Z80</f>
        <v>0</v>
      </c>
      <c r="AB80" s="1085"/>
      <c r="AC80" s="36"/>
      <c r="AD80" s="36"/>
      <c r="AE80" s="36"/>
      <c r="AF80" s="36"/>
      <c r="AG80" s="572">
        <f>SUM('TB-EQUIPMENT &amp; OTHER HPs'!$AC80:$AF80)</f>
        <v>0</v>
      </c>
      <c r="AH80" s="1061">
        <f>'TB-EQUIPMENT &amp; OTHER HPs'!$AB80*'TB-EQUIPMENT &amp; OTHER HPs'!$AG80</f>
        <v>0</v>
      </c>
      <c r="AI80" s="582">
        <f>'TB-EQUIPMENT &amp; OTHER HPs'!$S80+'TB-EQUIPMENT &amp; OTHER HPs'!$Z80+'TB-EQUIPMENT &amp; OTHER HPs'!$AG80</f>
        <v>0</v>
      </c>
      <c r="AJ80" s="1026">
        <f>'TB-EQUIPMENT &amp; OTHER HPs'!$T80+'TB-EQUIPMENT &amp; OTHER HPs'!$AA80+'TB-EQUIPMENT &amp; OTHER HPs'!$AH80</f>
        <v>0</v>
      </c>
      <c r="AK80" s="585" t="str">
        <f t="shared" si="7"/>
        <v/>
      </c>
      <c r="AL80" s="1256"/>
    </row>
    <row r="81" spans="1:60" s="249" customFormat="1">
      <c r="A81" s="2407"/>
      <c r="B81" s="2407"/>
      <c r="C81" s="2407"/>
      <c r="D81" s="2407"/>
      <c r="E81" s="2406"/>
      <c r="F81" s="2407"/>
      <c r="G81" s="2407"/>
      <c r="H81" s="2408"/>
      <c r="I81" s="2513"/>
      <c r="J81" s="2525"/>
      <c r="K81" s="2515"/>
      <c r="L81" s="224" t="str">
        <f t="shared" si="5"/>
        <v/>
      </c>
      <c r="M81" s="224" t="str">
        <f t="shared" si="6"/>
        <v/>
      </c>
      <c r="N81" s="1086"/>
      <c r="O81" s="1102"/>
      <c r="P81" s="1102"/>
      <c r="Q81" s="1102"/>
      <c r="R81" s="1102"/>
      <c r="S81" s="574">
        <f>SUM('TB-EQUIPMENT &amp; OTHER HPs'!$O81:$R81)</f>
        <v>0</v>
      </c>
      <c r="T81" s="1062">
        <f>'TB-EQUIPMENT &amp; OTHER HPs'!$N81*'TB-EQUIPMENT &amp; OTHER HPs'!$S81</f>
        <v>0</v>
      </c>
      <c r="U81" s="1086"/>
      <c r="V81" s="1102"/>
      <c r="W81" s="1102"/>
      <c r="X81" s="1102"/>
      <c r="Y81" s="1102"/>
      <c r="Z81" s="574">
        <f>SUM('TB-EQUIPMENT &amp; OTHER HPs'!$V81:$Y81)</f>
        <v>0</v>
      </c>
      <c r="AA81" s="1062">
        <f>'TB-EQUIPMENT &amp; OTHER HPs'!$U81*'TB-EQUIPMENT &amp; OTHER HPs'!$Z81</f>
        <v>0</v>
      </c>
      <c r="AB81" s="1086"/>
      <c r="AC81" s="1102"/>
      <c r="AD81" s="1102"/>
      <c r="AE81" s="1102"/>
      <c r="AF81" s="1102"/>
      <c r="AG81" s="574">
        <f>SUM('TB-EQUIPMENT &amp; OTHER HPs'!$AC81:$AF81)</f>
        <v>0</v>
      </c>
      <c r="AH81" s="1062">
        <f>'TB-EQUIPMENT &amp; OTHER HPs'!$AB81*'TB-EQUIPMENT &amp; OTHER HPs'!$AG81</f>
        <v>0</v>
      </c>
      <c r="AI81" s="583">
        <f>'TB-EQUIPMENT &amp; OTHER HPs'!$S81+'TB-EQUIPMENT &amp; OTHER HPs'!$Z81+'TB-EQUIPMENT &amp; OTHER HPs'!$AG81</f>
        <v>0</v>
      </c>
      <c r="AJ81" s="1027">
        <f>'TB-EQUIPMENT &amp; OTHER HPs'!$T81+'TB-EQUIPMENT &amp; OTHER HPs'!$AA81+'TB-EQUIPMENT &amp; OTHER HPs'!$AH81</f>
        <v>0</v>
      </c>
      <c r="AK81" s="584" t="str">
        <f t="shared" si="7"/>
        <v/>
      </c>
      <c r="AL81" s="1255"/>
    </row>
    <row r="82" spans="1:60" s="249" customFormat="1">
      <c r="A82" s="2126"/>
      <c r="B82" s="2126"/>
      <c r="C82" s="2126"/>
      <c r="D82" s="2126"/>
      <c r="E82" s="2516"/>
      <c r="F82" s="2126"/>
      <c r="G82" s="2126"/>
      <c r="H82" s="2517"/>
      <c r="I82" s="2518"/>
      <c r="J82" s="2519"/>
      <c r="K82" s="2520"/>
      <c r="L82" s="225" t="str">
        <f t="shared" si="5"/>
        <v/>
      </c>
      <c r="M82" s="226" t="str">
        <f t="shared" si="6"/>
        <v/>
      </c>
      <c r="N82" s="1085"/>
      <c r="O82" s="36"/>
      <c r="P82" s="36"/>
      <c r="Q82" s="36"/>
      <c r="R82" s="36"/>
      <c r="S82" s="572">
        <f>SUM('TB-EQUIPMENT &amp; OTHER HPs'!$O82:$R82)</f>
        <v>0</v>
      </c>
      <c r="T82" s="1061">
        <f>'TB-EQUIPMENT &amp; OTHER HPs'!$N82*'TB-EQUIPMENT &amp; OTHER HPs'!$S82</f>
        <v>0</v>
      </c>
      <c r="U82" s="1085"/>
      <c r="V82" s="36"/>
      <c r="W82" s="36"/>
      <c r="X82" s="36"/>
      <c r="Y82" s="36"/>
      <c r="Z82" s="572">
        <f>SUM('TB-EQUIPMENT &amp; OTHER HPs'!$V82:$Y82)</f>
        <v>0</v>
      </c>
      <c r="AA82" s="1061">
        <f>'TB-EQUIPMENT &amp; OTHER HPs'!$U82*'TB-EQUIPMENT &amp; OTHER HPs'!$Z82</f>
        <v>0</v>
      </c>
      <c r="AB82" s="1085"/>
      <c r="AC82" s="36"/>
      <c r="AD82" s="36"/>
      <c r="AE82" s="36"/>
      <c r="AF82" s="36"/>
      <c r="AG82" s="572">
        <f>SUM('TB-EQUIPMENT &amp; OTHER HPs'!$AC82:$AF82)</f>
        <v>0</v>
      </c>
      <c r="AH82" s="1061">
        <f>'TB-EQUIPMENT &amp; OTHER HPs'!$AB82*'TB-EQUIPMENT &amp; OTHER HPs'!$AG82</f>
        <v>0</v>
      </c>
      <c r="AI82" s="582">
        <f>'TB-EQUIPMENT &amp; OTHER HPs'!$S82+'TB-EQUIPMENT &amp; OTHER HPs'!$Z82+'TB-EQUIPMENT &amp; OTHER HPs'!$AG82</f>
        <v>0</v>
      </c>
      <c r="AJ82" s="1026">
        <f>'TB-EQUIPMENT &amp; OTHER HPs'!$T82+'TB-EQUIPMENT &amp; OTHER HPs'!$AA82+'TB-EQUIPMENT &amp; OTHER HPs'!$AH82</f>
        <v>0</v>
      </c>
      <c r="AK82" s="585" t="str">
        <f t="shared" si="7"/>
        <v/>
      </c>
      <c r="AL82" s="1256"/>
    </row>
    <row r="83" spans="1:60" s="249" customFormat="1" ht="15" thickBot="1">
      <c r="A83" s="2557"/>
      <c r="B83" s="2557"/>
      <c r="C83" s="2557"/>
      <c r="D83" s="2557"/>
      <c r="E83" s="2556"/>
      <c r="F83" s="2557"/>
      <c r="G83" s="2557"/>
      <c r="H83" s="2558"/>
      <c r="I83" s="2522"/>
      <c r="J83" s="2523"/>
      <c r="K83" s="2524"/>
      <c r="L83" s="236" t="str">
        <f t="shared" si="5"/>
        <v/>
      </c>
      <c r="M83" s="236" t="str">
        <f t="shared" si="6"/>
        <v/>
      </c>
      <c r="N83" s="1089"/>
      <c r="O83" s="1106"/>
      <c r="P83" s="1106"/>
      <c r="Q83" s="1106"/>
      <c r="R83" s="1106"/>
      <c r="S83" s="586">
        <f>SUM('TB-EQUIPMENT &amp; OTHER HPs'!$O83:$R83)</f>
        <v>0</v>
      </c>
      <c r="T83" s="1076">
        <f>'TB-EQUIPMENT &amp; OTHER HPs'!$N83*'TB-EQUIPMENT &amp; OTHER HPs'!$S83</f>
        <v>0</v>
      </c>
      <c r="U83" s="1089"/>
      <c r="V83" s="1106"/>
      <c r="W83" s="1106"/>
      <c r="X83" s="1106"/>
      <c r="Y83" s="1106"/>
      <c r="Z83" s="586">
        <f>SUM('TB-EQUIPMENT &amp; OTHER HPs'!$V83:$Y83)</f>
        <v>0</v>
      </c>
      <c r="AA83" s="1076">
        <f>'TB-EQUIPMENT &amp; OTHER HPs'!$U83*'TB-EQUIPMENT &amp; OTHER HPs'!$Z83</f>
        <v>0</v>
      </c>
      <c r="AB83" s="1089"/>
      <c r="AC83" s="1106"/>
      <c r="AD83" s="1106"/>
      <c r="AE83" s="1106"/>
      <c r="AF83" s="1106"/>
      <c r="AG83" s="586">
        <f>SUM('TB-EQUIPMENT &amp; OTHER HPs'!$AC83:$AF83)</f>
        <v>0</v>
      </c>
      <c r="AH83" s="1076">
        <f>'TB-EQUIPMENT &amp; OTHER HPs'!$AB83*'TB-EQUIPMENT &amp; OTHER HPs'!$AG83</f>
        <v>0</v>
      </c>
      <c r="AI83" s="587">
        <f>'TB-EQUIPMENT &amp; OTHER HPs'!$S83+'TB-EQUIPMENT &amp; OTHER HPs'!$Z83+'TB-EQUIPMENT &amp; OTHER HPs'!$AG83</f>
        <v>0</v>
      </c>
      <c r="AJ83" s="1065">
        <f>'TB-EQUIPMENT &amp; OTHER HPs'!$T83+'TB-EQUIPMENT &amp; OTHER HPs'!$AA83+'TB-EQUIPMENT &amp; OTHER HPs'!$AH83</f>
        <v>0</v>
      </c>
      <c r="AK83" s="588" t="str">
        <f t="shared" si="7"/>
        <v/>
      </c>
      <c r="AL83" s="1257"/>
    </row>
    <row r="84" spans="1:60" ht="15" thickBot="1">
      <c r="A84" s="237"/>
      <c r="B84" s="237"/>
      <c r="C84" s="237"/>
      <c r="D84" s="237"/>
      <c r="E84" s="237"/>
      <c r="F84" s="237"/>
      <c r="G84" s="237"/>
      <c r="H84" s="238"/>
      <c r="I84" s="106"/>
      <c r="J84" s="106"/>
      <c r="K84" s="106"/>
      <c r="L84" s="106"/>
      <c r="M84" s="106"/>
      <c r="N84" s="1090"/>
      <c r="O84" s="248"/>
      <c r="P84" s="248"/>
      <c r="Q84" s="248"/>
      <c r="R84" s="248"/>
      <c r="S84" s="248"/>
      <c r="T84" s="1090"/>
      <c r="U84" s="1090"/>
      <c r="V84" s="248"/>
      <c r="W84" s="248"/>
      <c r="X84" s="248"/>
      <c r="Y84" s="248"/>
      <c r="Z84" s="248"/>
      <c r="AA84" s="1090"/>
      <c r="AB84" s="1090"/>
      <c r="AC84" s="248"/>
      <c r="AD84" s="248"/>
      <c r="AE84" s="248"/>
      <c r="AF84" s="248"/>
      <c r="AG84" s="248"/>
      <c r="AH84" s="1077"/>
      <c r="AV84" s="249"/>
      <c r="AW84" s="249"/>
      <c r="AX84" s="249"/>
      <c r="AY84" s="249"/>
      <c r="AZ84" s="249"/>
      <c r="BA84" s="249"/>
      <c r="BB84" s="249"/>
      <c r="BC84" s="249"/>
      <c r="BD84" s="249"/>
      <c r="BE84" s="249"/>
      <c r="BF84" s="249"/>
      <c r="BG84" s="249"/>
      <c r="BH84" s="249"/>
    </row>
    <row r="85" spans="1:60" ht="15" customHeight="1" thickBot="1">
      <c r="A85" s="2563">
        <v>3</v>
      </c>
      <c r="B85" s="2565" t="s">
        <v>320</v>
      </c>
      <c r="C85" s="2565"/>
      <c r="D85" s="2565"/>
      <c r="E85" s="2565"/>
      <c r="F85" s="2559" t="s">
        <v>1789</v>
      </c>
      <c r="G85" s="2559"/>
      <c r="H85" s="2390" t="s">
        <v>319</v>
      </c>
      <c r="I85" s="2400" t="s">
        <v>312</v>
      </c>
      <c r="J85" s="2390" t="s">
        <v>314</v>
      </c>
      <c r="K85"/>
      <c r="M85" s="192"/>
      <c r="N85" s="968"/>
      <c r="O85" s="1097"/>
      <c r="P85" s="1097"/>
      <c r="Q85" s="1097"/>
      <c r="R85" s="1097"/>
      <c r="S85" s="1097"/>
      <c r="T85" s="968"/>
      <c r="U85" s="968"/>
      <c r="V85" s="1097"/>
      <c r="W85" s="1097"/>
      <c r="X85" s="1097"/>
      <c r="Y85" s="1097"/>
      <c r="Z85" s="1097"/>
      <c r="AA85" s="968"/>
      <c r="AB85" s="968"/>
      <c r="AC85" s="1097"/>
      <c r="AD85" s="1097"/>
      <c r="AE85" s="1097"/>
      <c r="AF85" s="1097"/>
      <c r="AG85" s="1097"/>
      <c r="AH85" s="1078"/>
    </row>
    <row r="86" spans="1:60" ht="15" customHeight="1" thickBot="1">
      <c r="A86" s="2564"/>
      <c r="B86" s="2565"/>
      <c r="C86" s="2565"/>
      <c r="D86" s="2565"/>
      <c r="E86" s="2565"/>
      <c r="F86" s="2560" t="s">
        <v>1790</v>
      </c>
      <c r="G86" s="2560"/>
      <c r="H86" s="2391"/>
      <c r="I86" s="2452"/>
      <c r="J86" s="2391"/>
      <c r="K86"/>
      <c r="M86" s="121"/>
      <c r="N86" s="968"/>
      <c r="O86" s="1097"/>
      <c r="P86" s="1097"/>
      <c r="Q86" s="1097"/>
      <c r="R86" s="1097"/>
      <c r="S86" s="1097"/>
      <c r="T86" s="968"/>
      <c r="U86" s="968"/>
      <c r="V86" s="1097"/>
      <c r="W86" s="1097"/>
      <c r="X86" s="1097"/>
      <c r="Y86" s="1097"/>
      <c r="Z86" s="1097"/>
      <c r="AA86" s="968"/>
      <c r="AB86" s="968"/>
      <c r="AC86" s="1097"/>
      <c r="AD86" s="1097"/>
      <c r="AE86" s="1097"/>
      <c r="AF86" s="1097"/>
      <c r="AG86" s="1097"/>
      <c r="AH86" s="1078"/>
    </row>
    <row r="87" spans="1:60" ht="103.15" customHeight="1">
      <c r="A87" s="2080" t="s">
        <v>6902</v>
      </c>
      <c r="B87" s="2081"/>
      <c r="C87" s="2081"/>
      <c r="D87" s="2081"/>
      <c r="E87" s="2081"/>
      <c r="F87" s="2081"/>
      <c r="G87" s="2081"/>
      <c r="H87" s="2081"/>
      <c r="I87" s="2081"/>
      <c r="J87" s="2081"/>
      <c r="K87" s="2081"/>
      <c r="L87" s="2081"/>
      <c r="M87" s="2145"/>
      <c r="N87" s="1074"/>
      <c r="O87" s="1104"/>
      <c r="P87" s="1104"/>
      <c r="Q87" s="1104"/>
      <c r="R87" s="1104"/>
      <c r="S87" s="1104"/>
      <c r="T87" s="1074"/>
      <c r="U87" s="1074"/>
      <c r="V87" s="1104"/>
      <c r="W87" s="1104"/>
      <c r="X87" s="1104"/>
      <c r="Y87" s="1104"/>
      <c r="Z87" s="1104"/>
      <c r="AA87" s="1074"/>
      <c r="AB87" s="1074"/>
      <c r="AC87" s="1104"/>
      <c r="AD87" s="1104"/>
      <c r="AE87" s="1104"/>
      <c r="AF87" s="1104"/>
      <c r="AG87" s="1104"/>
      <c r="AH87" s="1078"/>
    </row>
    <row r="88" spans="1:60" ht="15" thickBot="1">
      <c r="A88" s="203"/>
      <c r="B88" s="203"/>
      <c r="C88" s="203"/>
      <c r="D88" s="203"/>
      <c r="E88" s="203"/>
      <c r="F88" s="203"/>
      <c r="G88" s="203"/>
      <c r="H88" s="203"/>
      <c r="I88" s="203"/>
      <c r="J88" s="203"/>
      <c r="K88" s="203"/>
      <c r="L88" s="203"/>
      <c r="M88" s="203"/>
      <c r="N88" s="979"/>
      <c r="O88" s="1107"/>
      <c r="P88" s="1107"/>
      <c r="Q88" s="1107"/>
      <c r="R88" s="1107"/>
      <c r="S88" s="1107"/>
      <c r="T88" s="979"/>
      <c r="U88" s="979"/>
      <c r="V88" s="1107"/>
      <c r="W88" s="1107"/>
      <c r="X88" s="1107"/>
      <c r="Y88" s="1107"/>
      <c r="Z88" s="1107"/>
      <c r="AA88" s="979"/>
      <c r="AB88" s="979"/>
      <c r="AC88" s="1107"/>
      <c r="AD88" s="1107"/>
      <c r="AE88" s="1107"/>
      <c r="AF88" s="1107"/>
      <c r="AG88" s="1107"/>
      <c r="AH88" s="1079"/>
    </row>
    <row r="89" spans="1:60" ht="15" thickBot="1">
      <c r="A89" s="2441" t="s">
        <v>1233</v>
      </c>
      <c r="B89" s="2441"/>
      <c r="C89" s="2441"/>
      <c r="D89" s="2441"/>
      <c r="E89" s="2532" t="s">
        <v>196</v>
      </c>
      <c r="F89" s="2441"/>
      <c r="G89" s="2441"/>
      <c r="H89" s="2533"/>
      <c r="I89" s="2532" t="s">
        <v>251</v>
      </c>
      <c r="J89" s="2441"/>
      <c r="K89" s="2533"/>
      <c r="L89" s="2441" t="s">
        <v>151</v>
      </c>
      <c r="M89" s="2441" t="s">
        <v>49</v>
      </c>
      <c r="N89" s="2508" t="str">
        <f>N67</f>
        <v>Please fill setup</v>
      </c>
      <c r="O89" s="2504"/>
      <c r="P89" s="2504"/>
      <c r="Q89" s="2504"/>
      <c r="R89" s="2504"/>
      <c r="S89" s="2504"/>
      <c r="T89" s="2504"/>
      <c r="U89" s="2504" t="str">
        <f>U67</f>
        <v>Please fill setup</v>
      </c>
      <c r="V89" s="2504"/>
      <c r="W89" s="2504"/>
      <c r="X89" s="2504"/>
      <c r="Y89" s="2504"/>
      <c r="Z89" s="2504"/>
      <c r="AA89" s="2505"/>
      <c r="AB89" s="2504" t="str">
        <f>AB67</f>
        <v>Please fill setup</v>
      </c>
      <c r="AC89" s="2504"/>
      <c r="AD89" s="2504"/>
      <c r="AE89" s="2504"/>
      <c r="AF89" s="2504"/>
      <c r="AG89" s="2504"/>
      <c r="AH89" s="2505"/>
      <c r="AI89" s="2441" t="s">
        <v>152</v>
      </c>
      <c r="AJ89" s="2442"/>
      <c r="AK89" s="548" t="s">
        <v>153</v>
      </c>
      <c r="AL89" s="2506" t="s">
        <v>6865</v>
      </c>
    </row>
    <row r="90" spans="1:60" s="412" customFormat="1" ht="26.5" thickBot="1">
      <c r="A90" s="2461"/>
      <c r="B90" s="2461"/>
      <c r="C90" s="2461"/>
      <c r="D90" s="2461"/>
      <c r="E90" s="2540"/>
      <c r="F90" s="2461"/>
      <c r="G90" s="2461"/>
      <c r="H90" s="2541"/>
      <c r="I90" s="2540"/>
      <c r="J90" s="2461"/>
      <c r="K90" s="2541"/>
      <c r="L90" s="2461"/>
      <c r="M90" s="2461"/>
      <c r="N90" s="1083" t="s">
        <v>198</v>
      </c>
      <c r="O90" s="1100" t="s">
        <v>155</v>
      </c>
      <c r="P90" s="1100" t="s">
        <v>156</v>
      </c>
      <c r="Q90" s="1100" t="s">
        <v>157</v>
      </c>
      <c r="R90" s="1100" t="s">
        <v>158</v>
      </c>
      <c r="S90" s="1100" t="s">
        <v>159</v>
      </c>
      <c r="T90" s="1059" t="s">
        <v>160</v>
      </c>
      <c r="U90" s="1083" t="s">
        <v>161</v>
      </c>
      <c r="V90" s="1100" t="s">
        <v>162</v>
      </c>
      <c r="W90" s="1100" t="s">
        <v>163</v>
      </c>
      <c r="X90" s="1100" t="s">
        <v>164</v>
      </c>
      <c r="Y90" s="1100" t="s">
        <v>165</v>
      </c>
      <c r="Z90" s="1100" t="s">
        <v>166</v>
      </c>
      <c r="AA90" s="1059" t="s">
        <v>167</v>
      </c>
      <c r="AB90" s="1083" t="s">
        <v>168</v>
      </c>
      <c r="AC90" s="1100" t="s">
        <v>169</v>
      </c>
      <c r="AD90" s="1100" t="s">
        <v>170</v>
      </c>
      <c r="AE90" s="1100" t="s">
        <v>171</v>
      </c>
      <c r="AF90" s="1100" t="s">
        <v>172</v>
      </c>
      <c r="AG90" s="1100" t="s">
        <v>173</v>
      </c>
      <c r="AH90" s="1059" t="s">
        <v>174</v>
      </c>
      <c r="AI90" s="1116" t="s">
        <v>175</v>
      </c>
      <c r="AJ90" s="1059" t="s">
        <v>176</v>
      </c>
      <c r="AK90" s="478" t="s">
        <v>177</v>
      </c>
      <c r="AL90" s="2507"/>
      <c r="AV90" s="105"/>
      <c r="AW90" s="105"/>
      <c r="AX90" s="105"/>
      <c r="AY90" s="105"/>
      <c r="AZ90" s="105"/>
      <c r="BA90" s="105"/>
      <c r="BB90" s="105"/>
      <c r="BC90" s="105"/>
      <c r="BD90" s="105"/>
      <c r="BE90" s="105"/>
      <c r="BF90" s="105"/>
      <c r="BG90" s="105"/>
      <c r="BH90" s="105"/>
    </row>
    <row r="91" spans="1:60" s="1471" customFormat="1">
      <c r="A91" s="2407"/>
      <c r="B91" s="2407"/>
      <c r="C91" s="2407"/>
      <c r="D91" s="2407"/>
      <c r="E91" s="2406"/>
      <c r="F91" s="2416"/>
      <c r="G91" s="2416"/>
      <c r="H91" s="2408"/>
      <c r="I91" s="2537"/>
      <c r="J91" s="2538"/>
      <c r="K91" s="2539"/>
      <c r="L91" s="1464" t="str">
        <f>IF(E91="","","Piece")</f>
        <v/>
      </c>
      <c r="M91" s="1455" t="str">
        <f>IF(L91="", "","USD")</f>
        <v/>
      </c>
      <c r="N91" s="1088"/>
      <c r="O91" s="1105"/>
      <c r="P91" s="1105"/>
      <c r="Q91" s="1105"/>
      <c r="R91" s="1105"/>
      <c r="S91" s="580">
        <f>SUM('TB-EQUIPMENT &amp; OTHER HPs'!$O91:$R91)</f>
        <v>0</v>
      </c>
      <c r="T91" s="1066">
        <f>'TB-EQUIPMENT &amp; OTHER HPs'!$N91*'TB-EQUIPMENT &amp; OTHER HPs'!$S91</f>
        <v>0</v>
      </c>
      <c r="U91" s="1088"/>
      <c r="V91" s="1105"/>
      <c r="W91" s="1105"/>
      <c r="X91" s="1105"/>
      <c r="Y91" s="1105"/>
      <c r="Z91" s="580">
        <f>SUM('TB-EQUIPMENT &amp; OTHER HPs'!$V91:$Y91)</f>
        <v>0</v>
      </c>
      <c r="AA91" s="1066">
        <f>'TB-EQUIPMENT &amp; OTHER HPs'!$U91*'TB-EQUIPMENT &amp; OTHER HPs'!$Z91</f>
        <v>0</v>
      </c>
      <c r="AB91" s="1088"/>
      <c r="AC91" s="1105"/>
      <c r="AD91" s="1105"/>
      <c r="AE91" s="1105"/>
      <c r="AF91" s="1105"/>
      <c r="AG91" s="580">
        <f>SUM('TB-EQUIPMENT &amp; OTHER HPs'!$AC91:$AF91)</f>
        <v>0</v>
      </c>
      <c r="AH91" s="1066">
        <f>'TB-EQUIPMENT &amp; OTHER HPs'!$AB91*'TB-EQUIPMENT &amp; OTHER HPs'!$AG91</f>
        <v>0</v>
      </c>
      <c r="AI91" s="589">
        <f>'TB-EQUIPMENT &amp; OTHER HPs'!$S91+'TB-EQUIPMENT &amp; OTHER HPs'!$Z91+'TB-EQUIPMENT &amp; OTHER HPs'!$AG91</f>
        <v>0</v>
      </c>
      <c r="AJ91" s="1066">
        <f>'TB-EQUIPMENT &amp; OTHER HPs'!$T91+'TB-EQUIPMENT &amp; OTHER HPs'!$AA91+'TB-EQUIPMENT &amp; OTHER HPs'!$AH91</f>
        <v>0</v>
      </c>
      <c r="AK91" s="1470" t="str">
        <f t="shared" ref="AK91:AK94" si="8">IF(ISBLANK(E91),"",IF(ISNUMBER(SEARCH("TB Molecular diagnosis",E91)),"5.4",IF(ISNUMBER(SEARCH("Liquid culture and DST",E91)),"5.6",IF(ISNUMBER(SEARCH("Solid culture and DST",E91)),"5.6",IF(ISNUMBER(SEARCH("Molecular diagnosis: LPA",E91)),"5.6",IF(ISNUMBER(SEARCH("Molecular diagnosis/LPA",E91)),"6.4","6.6"))))))</f>
        <v/>
      </c>
      <c r="AL91" s="1258"/>
      <c r="AV91" s="1472"/>
      <c r="AW91" s="1472"/>
      <c r="AX91" s="1472"/>
      <c r="AY91" s="1472"/>
      <c r="AZ91" s="1472"/>
      <c r="BA91" s="1472"/>
      <c r="BB91" s="1472"/>
      <c r="BC91" s="1472"/>
      <c r="BD91" s="1472"/>
      <c r="BE91" s="1472"/>
      <c r="BF91" s="1472"/>
      <c r="BG91" s="1472"/>
      <c r="BH91" s="1472"/>
    </row>
    <row r="92" spans="1:60" s="1462" customFormat="1">
      <c r="A92" s="2126"/>
      <c r="B92" s="2126"/>
      <c r="C92" s="2126"/>
      <c r="D92" s="2126"/>
      <c r="E92" s="2516"/>
      <c r="F92" s="2125"/>
      <c r="G92" s="2125"/>
      <c r="H92" s="2517"/>
      <c r="I92" s="2518"/>
      <c r="J92" s="2521"/>
      <c r="K92" s="2520"/>
      <c r="L92" s="1467" t="str">
        <f t="shared" ref="L92:L94" si="9">IF(E92="","","Piece")</f>
        <v/>
      </c>
      <c r="M92" s="1467" t="str">
        <f>IF(L92="", "","USD")</f>
        <v/>
      </c>
      <c r="N92" s="1085"/>
      <c r="O92" s="36"/>
      <c r="P92" s="36"/>
      <c r="Q92" s="36"/>
      <c r="R92" s="36"/>
      <c r="S92" s="572">
        <f>SUM('TB-EQUIPMENT &amp; OTHER HPs'!$O92:$R92)</f>
        <v>0</v>
      </c>
      <c r="T92" s="1061">
        <f>'TB-EQUIPMENT &amp; OTHER HPs'!$N92*'TB-EQUIPMENT &amp; OTHER HPs'!$S92</f>
        <v>0</v>
      </c>
      <c r="U92" s="1085"/>
      <c r="V92" s="36"/>
      <c r="W92" s="36"/>
      <c r="X92" s="36"/>
      <c r="Y92" s="36"/>
      <c r="Z92" s="572">
        <f>SUM('TB-EQUIPMENT &amp; OTHER HPs'!$V92:$Y92)</f>
        <v>0</v>
      </c>
      <c r="AA92" s="1061">
        <f>'TB-EQUIPMENT &amp; OTHER HPs'!$U92*'TB-EQUIPMENT &amp; OTHER HPs'!$Z92</f>
        <v>0</v>
      </c>
      <c r="AB92" s="1085"/>
      <c r="AC92" s="36"/>
      <c r="AD92" s="36"/>
      <c r="AE92" s="36"/>
      <c r="AF92" s="36"/>
      <c r="AG92" s="572">
        <f>SUM('TB-EQUIPMENT &amp; OTHER HPs'!$AC92:$AF92)</f>
        <v>0</v>
      </c>
      <c r="AH92" s="1061">
        <f>'TB-EQUIPMENT &amp; OTHER HPs'!$AB92*'TB-EQUIPMENT &amp; OTHER HPs'!$AG92</f>
        <v>0</v>
      </c>
      <c r="AI92" s="573">
        <f>'TB-EQUIPMENT &amp; OTHER HPs'!$S92+'TB-EQUIPMENT &amp; OTHER HPs'!$Z92+'TB-EQUIPMENT &amp; OTHER HPs'!$AG92</f>
        <v>0</v>
      </c>
      <c r="AJ92" s="1061">
        <f>'TB-EQUIPMENT &amp; OTHER HPs'!$T92+'TB-EQUIPMENT &amp; OTHER HPs'!$AA92+'TB-EQUIPMENT &amp; OTHER HPs'!$AH92</f>
        <v>0</v>
      </c>
      <c r="AK92" s="1473" t="str">
        <f t="shared" si="8"/>
        <v/>
      </c>
      <c r="AL92" s="1253"/>
      <c r="AV92" s="1471"/>
      <c r="AW92" s="1471"/>
      <c r="AX92" s="1471"/>
      <c r="AY92" s="1471"/>
      <c r="AZ92" s="1471"/>
      <c r="BA92" s="1471"/>
      <c r="BB92" s="1471"/>
      <c r="BC92" s="1471"/>
      <c r="BD92" s="1471"/>
      <c r="BE92" s="1471"/>
      <c r="BF92" s="1471"/>
      <c r="BG92" s="1471"/>
      <c r="BH92" s="1471"/>
    </row>
    <row r="93" spans="1:60" s="1462" customFormat="1">
      <c r="A93" s="2407"/>
      <c r="B93" s="2407"/>
      <c r="C93" s="2407"/>
      <c r="D93" s="2407"/>
      <c r="E93" s="2406"/>
      <c r="F93" s="2416"/>
      <c r="G93" s="2416"/>
      <c r="H93" s="2408"/>
      <c r="I93" s="2513"/>
      <c r="J93" s="2514"/>
      <c r="K93" s="2515"/>
      <c r="L93" s="1455" t="str">
        <f t="shared" si="9"/>
        <v/>
      </c>
      <c r="M93" s="1455" t="str">
        <f>IF(L93="", "","USD")</f>
        <v/>
      </c>
      <c r="N93" s="1086"/>
      <c r="O93" s="1102"/>
      <c r="P93" s="1102"/>
      <c r="Q93" s="1102"/>
      <c r="R93" s="1102"/>
      <c r="S93" s="574">
        <f>SUM('TB-EQUIPMENT &amp; OTHER HPs'!$O93:$R93)</f>
        <v>0</v>
      </c>
      <c r="T93" s="1062">
        <f>'TB-EQUIPMENT &amp; OTHER HPs'!$N93*'TB-EQUIPMENT &amp; OTHER HPs'!$S93</f>
        <v>0</v>
      </c>
      <c r="U93" s="1086"/>
      <c r="V93" s="1102"/>
      <c r="W93" s="1102"/>
      <c r="X93" s="1102"/>
      <c r="Y93" s="1102"/>
      <c r="Z93" s="574">
        <f>SUM('TB-EQUIPMENT &amp; OTHER HPs'!$V93:$Y93)</f>
        <v>0</v>
      </c>
      <c r="AA93" s="1062">
        <f>'TB-EQUIPMENT &amp; OTHER HPs'!$U93*'TB-EQUIPMENT &amp; OTHER HPs'!$Z93</f>
        <v>0</v>
      </c>
      <c r="AB93" s="1086"/>
      <c r="AC93" s="1102"/>
      <c r="AD93" s="1102"/>
      <c r="AE93" s="1102"/>
      <c r="AF93" s="1102"/>
      <c r="AG93" s="574">
        <f>SUM('TB-EQUIPMENT &amp; OTHER HPs'!$AC93:$AF93)</f>
        <v>0</v>
      </c>
      <c r="AH93" s="1062">
        <f>'TB-EQUIPMENT &amp; OTHER HPs'!$AB93*'TB-EQUIPMENT &amp; OTHER HPs'!$AG93</f>
        <v>0</v>
      </c>
      <c r="AI93" s="575">
        <f>'TB-EQUIPMENT &amp; OTHER HPs'!$S93+'TB-EQUIPMENT &amp; OTHER HPs'!$Z93+'TB-EQUIPMENT &amp; OTHER HPs'!$AG93</f>
        <v>0</v>
      </c>
      <c r="AJ93" s="1062">
        <f>'TB-EQUIPMENT &amp; OTHER HPs'!$T93+'TB-EQUIPMENT &amp; OTHER HPs'!$AA93+'TB-EQUIPMENT &amp; OTHER HPs'!$AH93</f>
        <v>0</v>
      </c>
      <c r="AK93" s="1474" t="str">
        <f t="shared" si="8"/>
        <v/>
      </c>
      <c r="AL93" s="1252"/>
    </row>
    <row r="94" spans="1:60" s="1462" customFormat="1">
      <c r="A94" s="2126"/>
      <c r="B94" s="2126"/>
      <c r="C94" s="2126"/>
      <c r="D94" s="2126"/>
      <c r="E94" s="2516"/>
      <c r="F94" s="2125"/>
      <c r="G94" s="2125"/>
      <c r="H94" s="2517"/>
      <c r="I94" s="2518"/>
      <c r="J94" s="2521"/>
      <c r="K94" s="2520"/>
      <c r="L94" s="1467" t="str">
        <f t="shared" si="9"/>
        <v/>
      </c>
      <c r="M94" s="1475" t="str">
        <f t="shared" ref="M94" si="10">IF(L94="", "","USD")</f>
        <v/>
      </c>
      <c r="N94" s="1085"/>
      <c r="O94" s="36"/>
      <c r="P94" s="36"/>
      <c r="Q94" s="36"/>
      <c r="R94" s="36"/>
      <c r="S94" s="572">
        <f>SUM('TB-EQUIPMENT &amp; OTHER HPs'!$O94:$R94)</f>
        <v>0</v>
      </c>
      <c r="T94" s="1061">
        <f>'TB-EQUIPMENT &amp; OTHER HPs'!$N94*'TB-EQUIPMENT &amp; OTHER HPs'!$S94</f>
        <v>0</v>
      </c>
      <c r="U94" s="1085"/>
      <c r="V94" s="36"/>
      <c r="W94" s="36"/>
      <c r="X94" s="36"/>
      <c r="Y94" s="36"/>
      <c r="Z94" s="572">
        <f>SUM('TB-EQUIPMENT &amp; OTHER HPs'!$V94:$Y94)</f>
        <v>0</v>
      </c>
      <c r="AA94" s="1061">
        <f>'TB-EQUIPMENT &amp; OTHER HPs'!$U94*'TB-EQUIPMENT &amp; OTHER HPs'!$Z94</f>
        <v>0</v>
      </c>
      <c r="AB94" s="1085"/>
      <c r="AC94" s="36"/>
      <c r="AD94" s="36"/>
      <c r="AE94" s="36"/>
      <c r="AF94" s="36"/>
      <c r="AG94" s="572">
        <f>SUM('TB-EQUIPMENT &amp; OTHER HPs'!$AC94:$AF94)</f>
        <v>0</v>
      </c>
      <c r="AH94" s="1061">
        <f>'TB-EQUIPMENT &amp; OTHER HPs'!$AB94*'TB-EQUIPMENT &amp; OTHER HPs'!$AG94</f>
        <v>0</v>
      </c>
      <c r="AI94" s="573">
        <f>'TB-EQUIPMENT &amp; OTHER HPs'!$S94+'TB-EQUIPMENT &amp; OTHER HPs'!$Z94+'TB-EQUIPMENT &amp; OTHER HPs'!$AG94</f>
        <v>0</v>
      </c>
      <c r="AJ94" s="1061">
        <f>'TB-EQUIPMENT &amp; OTHER HPs'!$T94+'TB-EQUIPMENT &amp; OTHER HPs'!$AA94+'TB-EQUIPMENT &amp; OTHER HPs'!$AH94</f>
        <v>0</v>
      </c>
      <c r="AK94" s="1473" t="str">
        <f t="shared" si="8"/>
        <v/>
      </c>
      <c r="AL94" s="1253"/>
    </row>
    <row r="95" spans="1:60" s="249" customFormat="1">
      <c r="A95" s="2407"/>
      <c r="B95" s="2407"/>
      <c r="C95" s="2407"/>
      <c r="D95" s="2407"/>
      <c r="E95" s="2406"/>
      <c r="F95" s="2407"/>
      <c r="G95" s="2407"/>
      <c r="H95" s="2408"/>
      <c r="I95" s="2513"/>
      <c r="J95" s="2525"/>
      <c r="K95" s="2515"/>
      <c r="L95" s="224" t="str">
        <f t="shared" ref="L95:L130" si="11">IF(E95="","","Piece")</f>
        <v/>
      </c>
      <c r="M95" s="224" t="str">
        <f t="shared" ref="M95:M130" si="12">IF(L95="", "","USD")</f>
        <v/>
      </c>
      <c r="N95" s="1086"/>
      <c r="O95" s="1102"/>
      <c r="P95" s="1102"/>
      <c r="Q95" s="1102"/>
      <c r="R95" s="1102"/>
      <c r="S95" s="574">
        <f>SUM('TB-EQUIPMENT &amp; OTHER HPs'!$O95:$R95)</f>
        <v>0</v>
      </c>
      <c r="T95" s="1062">
        <f>'TB-EQUIPMENT &amp; OTHER HPs'!$N95*'TB-EQUIPMENT &amp; OTHER HPs'!$S95</f>
        <v>0</v>
      </c>
      <c r="U95" s="1086"/>
      <c r="V95" s="1102"/>
      <c r="W95" s="1102"/>
      <c r="X95" s="1102"/>
      <c r="Y95" s="1102"/>
      <c r="Z95" s="574">
        <f>SUM('TB-EQUIPMENT &amp; OTHER HPs'!$V95:$Y95)</f>
        <v>0</v>
      </c>
      <c r="AA95" s="1062">
        <f>'TB-EQUIPMENT &amp; OTHER HPs'!$U95*'TB-EQUIPMENT &amp; OTHER HPs'!$Z95</f>
        <v>0</v>
      </c>
      <c r="AB95" s="1086"/>
      <c r="AC95" s="1102"/>
      <c r="AD95" s="1102"/>
      <c r="AE95" s="1102"/>
      <c r="AF95" s="1102"/>
      <c r="AG95" s="574">
        <f>SUM('TB-EQUIPMENT &amp; OTHER HPs'!$AC95:$AF95)</f>
        <v>0</v>
      </c>
      <c r="AH95" s="1062">
        <f>'TB-EQUIPMENT &amp; OTHER HPs'!$AB95*'TB-EQUIPMENT &amp; OTHER HPs'!$AG95</f>
        <v>0</v>
      </c>
      <c r="AI95" s="575">
        <f>'TB-EQUIPMENT &amp; OTHER HPs'!$S95+'TB-EQUIPMENT &amp; OTHER HPs'!$Z95+'TB-EQUIPMENT &amp; OTHER HPs'!$AG95</f>
        <v>0</v>
      </c>
      <c r="AJ95" s="1062">
        <f>'TB-EQUIPMENT &amp; OTHER HPs'!$T95+'TB-EQUIPMENT &amp; OTHER HPs'!$AA95+'TB-EQUIPMENT &amp; OTHER HPs'!$AH95</f>
        <v>0</v>
      </c>
      <c r="AK95" s="490" t="str">
        <f t="shared" ref="AK95:AK130" si="13">IF(ISBLANK(E95),"",IF(ISNUMBER(SEARCH("TB Molecular diagnosis",E95)),"5.4",IF(ISNUMBER(SEARCH("Liquid culture and DST",E95)),"5.6",IF(ISNUMBER(SEARCH("Solid culture and DST",E95)),"5.6",IF(ISNUMBER(SEARCH("Molecular diagnosis: LPA",E95)),"5.6",IF(ISNUMBER(SEARCH("Molecular diagnosis/LPA",E95)),"6.4","6.6"))))))</f>
        <v/>
      </c>
      <c r="AL95" s="1255"/>
    </row>
    <row r="96" spans="1:60" s="249" customFormat="1">
      <c r="A96" s="2126"/>
      <c r="B96" s="2126"/>
      <c r="C96" s="2126"/>
      <c r="D96" s="2126"/>
      <c r="E96" s="2516"/>
      <c r="F96" s="2126"/>
      <c r="G96" s="2126"/>
      <c r="H96" s="2517"/>
      <c r="I96" s="2518"/>
      <c r="J96" s="2519"/>
      <c r="K96" s="2520"/>
      <c r="L96" s="225" t="str">
        <f t="shared" si="11"/>
        <v/>
      </c>
      <c r="M96" s="226" t="str">
        <f t="shared" si="12"/>
        <v/>
      </c>
      <c r="N96" s="1085"/>
      <c r="O96" s="36"/>
      <c r="P96" s="36"/>
      <c r="Q96" s="36"/>
      <c r="R96" s="36"/>
      <c r="S96" s="572">
        <f>SUM('TB-EQUIPMENT &amp; OTHER HPs'!$O96:$R96)</f>
        <v>0</v>
      </c>
      <c r="T96" s="1061">
        <f>'TB-EQUIPMENT &amp; OTHER HPs'!$N96*'TB-EQUIPMENT &amp; OTHER HPs'!$S96</f>
        <v>0</v>
      </c>
      <c r="U96" s="1085"/>
      <c r="V96" s="36"/>
      <c r="W96" s="36"/>
      <c r="X96" s="36"/>
      <c r="Y96" s="36"/>
      <c r="Z96" s="572">
        <f>SUM('TB-EQUIPMENT &amp; OTHER HPs'!$V96:$Y96)</f>
        <v>0</v>
      </c>
      <c r="AA96" s="1061">
        <f>'TB-EQUIPMENT &amp; OTHER HPs'!$U96*'TB-EQUIPMENT &amp; OTHER HPs'!$Z96</f>
        <v>0</v>
      </c>
      <c r="AB96" s="1085"/>
      <c r="AC96" s="36"/>
      <c r="AD96" s="36"/>
      <c r="AE96" s="36"/>
      <c r="AF96" s="36"/>
      <c r="AG96" s="572">
        <f>SUM('TB-EQUIPMENT &amp; OTHER HPs'!$AC96:$AF96)</f>
        <v>0</v>
      </c>
      <c r="AH96" s="1061">
        <f>'TB-EQUIPMENT &amp; OTHER HPs'!$AB96*'TB-EQUIPMENT &amp; OTHER HPs'!$AG96</f>
        <v>0</v>
      </c>
      <c r="AI96" s="573">
        <f>'TB-EQUIPMENT &amp; OTHER HPs'!$S96+'TB-EQUIPMENT &amp; OTHER HPs'!$Z96+'TB-EQUIPMENT &amp; OTHER HPs'!$AG96</f>
        <v>0</v>
      </c>
      <c r="AJ96" s="1061">
        <f>'TB-EQUIPMENT &amp; OTHER HPs'!$T96+'TB-EQUIPMENT &amp; OTHER HPs'!$AA96+'TB-EQUIPMENT &amp; OTHER HPs'!$AH96</f>
        <v>0</v>
      </c>
      <c r="AK96" s="491" t="str">
        <f t="shared" si="13"/>
        <v/>
      </c>
      <c r="AL96" s="1256"/>
    </row>
    <row r="97" spans="1:38" s="249" customFormat="1">
      <c r="A97" s="2407"/>
      <c r="B97" s="2407"/>
      <c r="C97" s="2407"/>
      <c r="D97" s="2407"/>
      <c r="E97" s="2406"/>
      <c r="F97" s="2407"/>
      <c r="G97" s="2407"/>
      <c r="H97" s="2408"/>
      <c r="I97" s="2513"/>
      <c r="J97" s="2525"/>
      <c r="K97" s="2515"/>
      <c r="L97" s="224" t="str">
        <f t="shared" si="11"/>
        <v/>
      </c>
      <c r="M97" s="224" t="str">
        <f t="shared" si="12"/>
        <v/>
      </c>
      <c r="N97" s="1086"/>
      <c r="O97" s="1102"/>
      <c r="P97" s="1102"/>
      <c r="Q97" s="1102"/>
      <c r="R97" s="1102"/>
      <c r="S97" s="574">
        <f>SUM('TB-EQUIPMENT &amp; OTHER HPs'!$O97:$R97)</f>
        <v>0</v>
      </c>
      <c r="T97" s="1062">
        <f>'TB-EQUIPMENT &amp; OTHER HPs'!$N97*'TB-EQUIPMENT &amp; OTHER HPs'!$S97</f>
        <v>0</v>
      </c>
      <c r="U97" s="1086"/>
      <c r="V97" s="1102"/>
      <c r="W97" s="1102"/>
      <c r="X97" s="1102"/>
      <c r="Y97" s="1102"/>
      <c r="Z97" s="574">
        <f>SUM('TB-EQUIPMENT &amp; OTHER HPs'!$V97:$Y97)</f>
        <v>0</v>
      </c>
      <c r="AA97" s="1062">
        <f>'TB-EQUIPMENT &amp; OTHER HPs'!$U97*'TB-EQUIPMENT &amp; OTHER HPs'!$Z97</f>
        <v>0</v>
      </c>
      <c r="AB97" s="1086"/>
      <c r="AC97" s="1102"/>
      <c r="AD97" s="1102"/>
      <c r="AE97" s="1102"/>
      <c r="AF97" s="1102"/>
      <c r="AG97" s="574">
        <f>SUM('TB-EQUIPMENT &amp; OTHER HPs'!$AC97:$AF97)</f>
        <v>0</v>
      </c>
      <c r="AH97" s="1062">
        <f>'TB-EQUIPMENT &amp; OTHER HPs'!$AB97*'TB-EQUIPMENT &amp; OTHER HPs'!$AG97</f>
        <v>0</v>
      </c>
      <c r="AI97" s="575">
        <f>'TB-EQUIPMENT &amp; OTHER HPs'!$S97+'TB-EQUIPMENT &amp; OTHER HPs'!$Z97+'TB-EQUIPMENT &amp; OTHER HPs'!$AG97</f>
        <v>0</v>
      </c>
      <c r="AJ97" s="1062">
        <f>'TB-EQUIPMENT &amp; OTHER HPs'!$T97+'TB-EQUIPMENT &amp; OTHER HPs'!$AA97+'TB-EQUIPMENT &amp; OTHER HPs'!$AH97</f>
        <v>0</v>
      </c>
      <c r="AK97" s="490" t="str">
        <f t="shared" si="13"/>
        <v/>
      </c>
      <c r="AL97" s="1255"/>
    </row>
    <row r="98" spans="1:38" s="249" customFormat="1">
      <c r="A98" s="2126"/>
      <c r="B98" s="2126"/>
      <c r="C98" s="2126"/>
      <c r="D98" s="2126"/>
      <c r="E98" s="2516"/>
      <c r="F98" s="2126"/>
      <c r="G98" s="2126"/>
      <c r="H98" s="2517"/>
      <c r="I98" s="2518"/>
      <c r="J98" s="2519"/>
      <c r="K98" s="2520"/>
      <c r="L98" s="225" t="str">
        <f t="shared" si="11"/>
        <v/>
      </c>
      <c r="M98" s="226" t="str">
        <f t="shared" si="12"/>
        <v/>
      </c>
      <c r="N98" s="1085"/>
      <c r="O98" s="36"/>
      <c r="P98" s="36"/>
      <c r="Q98" s="36"/>
      <c r="R98" s="36"/>
      <c r="S98" s="572">
        <f>SUM('TB-EQUIPMENT &amp; OTHER HPs'!$O98:$R98)</f>
        <v>0</v>
      </c>
      <c r="T98" s="1061">
        <f>'TB-EQUIPMENT &amp; OTHER HPs'!$N98*'TB-EQUIPMENT &amp; OTHER HPs'!$S98</f>
        <v>0</v>
      </c>
      <c r="U98" s="1085"/>
      <c r="V98" s="36"/>
      <c r="W98" s="36"/>
      <c r="X98" s="36"/>
      <c r="Y98" s="36"/>
      <c r="Z98" s="572">
        <f>SUM('TB-EQUIPMENT &amp; OTHER HPs'!$V98:$Y98)</f>
        <v>0</v>
      </c>
      <c r="AA98" s="1061">
        <f>'TB-EQUIPMENT &amp; OTHER HPs'!$U98*'TB-EQUIPMENT &amp; OTHER HPs'!$Z98</f>
        <v>0</v>
      </c>
      <c r="AB98" s="1085"/>
      <c r="AC98" s="36"/>
      <c r="AD98" s="36"/>
      <c r="AE98" s="36"/>
      <c r="AF98" s="36"/>
      <c r="AG98" s="572">
        <f>SUM('TB-EQUIPMENT &amp; OTHER HPs'!$AC98:$AF98)</f>
        <v>0</v>
      </c>
      <c r="AH98" s="1061">
        <f>'TB-EQUIPMENT &amp; OTHER HPs'!$AB98*'TB-EQUIPMENT &amp; OTHER HPs'!$AG98</f>
        <v>0</v>
      </c>
      <c r="AI98" s="573">
        <f>'TB-EQUIPMENT &amp; OTHER HPs'!$S98+'TB-EQUIPMENT &amp; OTHER HPs'!$Z98+'TB-EQUIPMENT &amp; OTHER HPs'!$AG98</f>
        <v>0</v>
      </c>
      <c r="AJ98" s="1061">
        <f>'TB-EQUIPMENT &amp; OTHER HPs'!$T98+'TB-EQUIPMENT &amp; OTHER HPs'!$AA98+'TB-EQUIPMENT &amp; OTHER HPs'!$AH98</f>
        <v>0</v>
      </c>
      <c r="AK98" s="491" t="str">
        <f t="shared" si="13"/>
        <v/>
      </c>
      <c r="AL98" s="1256"/>
    </row>
    <row r="99" spans="1:38" s="249" customFormat="1">
      <c r="A99" s="2407"/>
      <c r="B99" s="2407"/>
      <c r="C99" s="2407"/>
      <c r="D99" s="2407"/>
      <c r="E99" s="2406"/>
      <c r="F99" s="2407"/>
      <c r="G99" s="2407"/>
      <c r="H99" s="2408"/>
      <c r="I99" s="2513"/>
      <c r="J99" s="2525"/>
      <c r="K99" s="2515"/>
      <c r="L99" s="224" t="str">
        <f t="shared" si="11"/>
        <v/>
      </c>
      <c r="M99" s="224" t="str">
        <f t="shared" si="12"/>
        <v/>
      </c>
      <c r="N99" s="1086"/>
      <c r="O99" s="1102"/>
      <c r="P99" s="1102"/>
      <c r="Q99" s="1102"/>
      <c r="R99" s="1102"/>
      <c r="S99" s="574">
        <f>SUM('TB-EQUIPMENT &amp; OTHER HPs'!$O99:$R99)</f>
        <v>0</v>
      </c>
      <c r="T99" s="1062">
        <f>'TB-EQUIPMENT &amp; OTHER HPs'!$N99*'TB-EQUIPMENT &amp; OTHER HPs'!$S99</f>
        <v>0</v>
      </c>
      <c r="U99" s="1086"/>
      <c r="V99" s="1102"/>
      <c r="W99" s="1102"/>
      <c r="X99" s="1102"/>
      <c r="Y99" s="1102"/>
      <c r="Z99" s="574">
        <f>SUM('TB-EQUIPMENT &amp; OTHER HPs'!$V99:$Y99)</f>
        <v>0</v>
      </c>
      <c r="AA99" s="1062">
        <f>'TB-EQUIPMENT &amp; OTHER HPs'!$U99*'TB-EQUIPMENT &amp; OTHER HPs'!$Z99</f>
        <v>0</v>
      </c>
      <c r="AB99" s="1086"/>
      <c r="AC99" s="1102"/>
      <c r="AD99" s="1102"/>
      <c r="AE99" s="1102"/>
      <c r="AF99" s="1102"/>
      <c r="AG99" s="574">
        <f>SUM('TB-EQUIPMENT &amp; OTHER HPs'!$AC99:$AF99)</f>
        <v>0</v>
      </c>
      <c r="AH99" s="1062">
        <f>'TB-EQUIPMENT &amp; OTHER HPs'!$AB99*'TB-EQUIPMENT &amp; OTHER HPs'!$AG99</f>
        <v>0</v>
      </c>
      <c r="AI99" s="575">
        <f>'TB-EQUIPMENT &amp; OTHER HPs'!$S99+'TB-EQUIPMENT &amp; OTHER HPs'!$Z99+'TB-EQUIPMENT &amp; OTHER HPs'!$AG99</f>
        <v>0</v>
      </c>
      <c r="AJ99" s="1062">
        <f>'TB-EQUIPMENT &amp; OTHER HPs'!$T99+'TB-EQUIPMENT &amp; OTHER HPs'!$AA99+'TB-EQUIPMENT &amp; OTHER HPs'!$AH99</f>
        <v>0</v>
      </c>
      <c r="AK99" s="490" t="str">
        <f t="shared" si="13"/>
        <v/>
      </c>
      <c r="AL99" s="1255"/>
    </row>
    <row r="100" spans="1:38" s="249" customFormat="1">
      <c r="A100" s="2126"/>
      <c r="B100" s="2126"/>
      <c r="C100" s="2126"/>
      <c r="D100" s="2126"/>
      <c r="E100" s="2516"/>
      <c r="F100" s="2126"/>
      <c r="G100" s="2126"/>
      <c r="H100" s="2517"/>
      <c r="I100" s="2518"/>
      <c r="J100" s="2519"/>
      <c r="K100" s="2520"/>
      <c r="L100" s="225" t="str">
        <f t="shared" si="11"/>
        <v/>
      </c>
      <c r="M100" s="226" t="str">
        <f t="shared" si="12"/>
        <v/>
      </c>
      <c r="N100" s="1085"/>
      <c r="O100" s="36"/>
      <c r="P100" s="36"/>
      <c r="Q100" s="36"/>
      <c r="R100" s="36"/>
      <c r="S100" s="572">
        <f>SUM('TB-EQUIPMENT &amp; OTHER HPs'!$O100:$R100)</f>
        <v>0</v>
      </c>
      <c r="T100" s="1061">
        <f>'TB-EQUIPMENT &amp; OTHER HPs'!$N100*'TB-EQUIPMENT &amp; OTHER HPs'!$S100</f>
        <v>0</v>
      </c>
      <c r="U100" s="1085"/>
      <c r="V100" s="36"/>
      <c r="W100" s="36"/>
      <c r="X100" s="36"/>
      <c r="Y100" s="36"/>
      <c r="Z100" s="572">
        <f>SUM('TB-EQUIPMENT &amp; OTHER HPs'!$V100:$Y100)</f>
        <v>0</v>
      </c>
      <c r="AA100" s="1061">
        <f>'TB-EQUIPMENT &amp; OTHER HPs'!$U100*'TB-EQUIPMENT &amp; OTHER HPs'!$Z100</f>
        <v>0</v>
      </c>
      <c r="AB100" s="1085"/>
      <c r="AC100" s="36"/>
      <c r="AD100" s="36"/>
      <c r="AE100" s="36"/>
      <c r="AF100" s="36"/>
      <c r="AG100" s="572">
        <f>SUM('TB-EQUIPMENT &amp; OTHER HPs'!$AC100:$AF100)</f>
        <v>0</v>
      </c>
      <c r="AH100" s="1061">
        <f>'TB-EQUIPMENT &amp; OTHER HPs'!$AB100*'TB-EQUIPMENT &amp; OTHER HPs'!$AG100</f>
        <v>0</v>
      </c>
      <c r="AI100" s="573">
        <f>'TB-EQUIPMENT &amp; OTHER HPs'!$S100+'TB-EQUIPMENT &amp; OTHER HPs'!$Z100+'TB-EQUIPMENT &amp; OTHER HPs'!$AG100</f>
        <v>0</v>
      </c>
      <c r="AJ100" s="1061">
        <f>'TB-EQUIPMENT &amp; OTHER HPs'!$T100+'TB-EQUIPMENT &amp; OTHER HPs'!$AA100+'TB-EQUIPMENT &amp; OTHER HPs'!$AH100</f>
        <v>0</v>
      </c>
      <c r="AK100" s="491" t="str">
        <f t="shared" si="13"/>
        <v/>
      </c>
      <c r="AL100" s="1256"/>
    </row>
    <row r="101" spans="1:38" s="249" customFormat="1">
      <c r="A101" s="2407"/>
      <c r="B101" s="2407"/>
      <c r="C101" s="2407"/>
      <c r="D101" s="2407"/>
      <c r="E101" s="2406"/>
      <c r="F101" s="2407"/>
      <c r="G101" s="2407"/>
      <c r="H101" s="2408"/>
      <c r="I101" s="2513"/>
      <c r="J101" s="2525"/>
      <c r="K101" s="2515"/>
      <c r="L101" s="224" t="str">
        <f t="shared" si="11"/>
        <v/>
      </c>
      <c r="M101" s="224" t="str">
        <f t="shared" si="12"/>
        <v/>
      </c>
      <c r="N101" s="1086"/>
      <c r="O101" s="1102"/>
      <c r="P101" s="1102"/>
      <c r="Q101" s="1102"/>
      <c r="R101" s="1102"/>
      <c r="S101" s="574">
        <f>SUM('TB-EQUIPMENT &amp; OTHER HPs'!$O101:$R101)</f>
        <v>0</v>
      </c>
      <c r="T101" s="1062">
        <f>'TB-EQUIPMENT &amp; OTHER HPs'!$N101*'TB-EQUIPMENT &amp; OTHER HPs'!$S101</f>
        <v>0</v>
      </c>
      <c r="U101" s="1086"/>
      <c r="V101" s="1102"/>
      <c r="W101" s="1102"/>
      <c r="X101" s="1102"/>
      <c r="Y101" s="1102"/>
      <c r="Z101" s="574">
        <f>SUM('TB-EQUIPMENT &amp; OTHER HPs'!$V101:$Y101)</f>
        <v>0</v>
      </c>
      <c r="AA101" s="1062">
        <f>'TB-EQUIPMENT &amp; OTHER HPs'!$U101*'TB-EQUIPMENT &amp; OTHER HPs'!$Z101</f>
        <v>0</v>
      </c>
      <c r="AB101" s="1086"/>
      <c r="AC101" s="1102"/>
      <c r="AD101" s="1102"/>
      <c r="AE101" s="1102"/>
      <c r="AF101" s="1102"/>
      <c r="AG101" s="574">
        <f>SUM('TB-EQUIPMENT &amp; OTHER HPs'!$AC101:$AF101)</f>
        <v>0</v>
      </c>
      <c r="AH101" s="1062">
        <f>'TB-EQUIPMENT &amp; OTHER HPs'!$AB101*'TB-EQUIPMENT &amp; OTHER HPs'!$AG101</f>
        <v>0</v>
      </c>
      <c r="AI101" s="575">
        <f>'TB-EQUIPMENT &amp; OTHER HPs'!$S101+'TB-EQUIPMENT &amp; OTHER HPs'!$Z101+'TB-EQUIPMENT &amp; OTHER HPs'!$AG101</f>
        <v>0</v>
      </c>
      <c r="AJ101" s="1062">
        <f>'TB-EQUIPMENT &amp; OTHER HPs'!$T101+'TB-EQUIPMENT &amp; OTHER HPs'!$AA101+'TB-EQUIPMENT &amp; OTHER HPs'!$AH101</f>
        <v>0</v>
      </c>
      <c r="AK101" s="490" t="str">
        <f t="shared" si="13"/>
        <v/>
      </c>
      <c r="AL101" s="1255"/>
    </row>
    <row r="102" spans="1:38" s="249" customFormat="1">
      <c r="A102" s="2126"/>
      <c r="B102" s="2126"/>
      <c r="C102" s="2126"/>
      <c r="D102" s="2126"/>
      <c r="E102" s="2516"/>
      <c r="F102" s="2126"/>
      <c r="G102" s="2126"/>
      <c r="H102" s="2517"/>
      <c r="I102" s="2518"/>
      <c r="J102" s="2519"/>
      <c r="K102" s="2520"/>
      <c r="L102" s="225" t="str">
        <f t="shared" si="11"/>
        <v/>
      </c>
      <c r="M102" s="226" t="str">
        <f t="shared" si="12"/>
        <v/>
      </c>
      <c r="N102" s="1085"/>
      <c r="O102" s="36"/>
      <c r="P102" s="36"/>
      <c r="Q102" s="36"/>
      <c r="R102" s="36"/>
      <c r="S102" s="572">
        <f>SUM('TB-EQUIPMENT &amp; OTHER HPs'!$O102:$R102)</f>
        <v>0</v>
      </c>
      <c r="T102" s="1061">
        <f>'TB-EQUIPMENT &amp; OTHER HPs'!$N102*'TB-EQUIPMENT &amp; OTHER HPs'!$S102</f>
        <v>0</v>
      </c>
      <c r="U102" s="1085"/>
      <c r="V102" s="36"/>
      <c r="W102" s="36"/>
      <c r="X102" s="36"/>
      <c r="Y102" s="36"/>
      <c r="Z102" s="572">
        <f>SUM('TB-EQUIPMENT &amp; OTHER HPs'!$V102:$Y102)</f>
        <v>0</v>
      </c>
      <c r="AA102" s="1061">
        <f>'TB-EQUIPMENT &amp; OTHER HPs'!$U102*'TB-EQUIPMENT &amp; OTHER HPs'!$Z102</f>
        <v>0</v>
      </c>
      <c r="AB102" s="1085"/>
      <c r="AC102" s="36"/>
      <c r="AD102" s="36"/>
      <c r="AE102" s="36"/>
      <c r="AF102" s="36"/>
      <c r="AG102" s="572">
        <f>SUM('TB-EQUIPMENT &amp; OTHER HPs'!$AC102:$AF102)</f>
        <v>0</v>
      </c>
      <c r="AH102" s="1061">
        <f>'TB-EQUIPMENT &amp; OTHER HPs'!$AB102*'TB-EQUIPMENT &amp; OTHER HPs'!$AG102</f>
        <v>0</v>
      </c>
      <c r="AI102" s="573">
        <f>'TB-EQUIPMENT &amp; OTHER HPs'!$S102+'TB-EQUIPMENT &amp; OTHER HPs'!$Z102+'TB-EQUIPMENT &amp; OTHER HPs'!$AG102</f>
        <v>0</v>
      </c>
      <c r="AJ102" s="1061">
        <f>'TB-EQUIPMENT &amp; OTHER HPs'!$T102+'TB-EQUIPMENT &amp; OTHER HPs'!$AA102+'TB-EQUIPMENT &amp; OTHER HPs'!$AH102</f>
        <v>0</v>
      </c>
      <c r="AK102" s="491" t="str">
        <f t="shared" si="13"/>
        <v/>
      </c>
      <c r="AL102" s="1256"/>
    </row>
    <row r="103" spans="1:38" s="249" customFormat="1">
      <c r="A103" s="2407"/>
      <c r="B103" s="2407"/>
      <c r="C103" s="2407"/>
      <c r="D103" s="2407"/>
      <c r="E103" s="2406"/>
      <c r="F103" s="2407"/>
      <c r="G103" s="2407"/>
      <c r="H103" s="2408"/>
      <c r="I103" s="2513"/>
      <c r="J103" s="2525"/>
      <c r="K103" s="2515"/>
      <c r="L103" s="224" t="str">
        <f t="shared" si="11"/>
        <v/>
      </c>
      <c r="M103" s="224" t="str">
        <f t="shared" si="12"/>
        <v/>
      </c>
      <c r="N103" s="1086"/>
      <c r="O103" s="1102"/>
      <c r="P103" s="1102"/>
      <c r="Q103" s="1102"/>
      <c r="R103" s="1102"/>
      <c r="S103" s="574">
        <f>SUM('TB-EQUIPMENT &amp; OTHER HPs'!$O103:$R103)</f>
        <v>0</v>
      </c>
      <c r="T103" s="1062">
        <f>'TB-EQUIPMENT &amp; OTHER HPs'!$N103*'TB-EQUIPMENT &amp; OTHER HPs'!$S103</f>
        <v>0</v>
      </c>
      <c r="U103" s="1086"/>
      <c r="V103" s="1102"/>
      <c r="W103" s="1102"/>
      <c r="X103" s="1102"/>
      <c r="Y103" s="1102"/>
      <c r="Z103" s="574">
        <f>SUM('TB-EQUIPMENT &amp; OTHER HPs'!$V103:$Y103)</f>
        <v>0</v>
      </c>
      <c r="AA103" s="1062">
        <f>'TB-EQUIPMENT &amp; OTHER HPs'!$U103*'TB-EQUIPMENT &amp; OTHER HPs'!$Z103</f>
        <v>0</v>
      </c>
      <c r="AB103" s="1086"/>
      <c r="AC103" s="1102"/>
      <c r="AD103" s="1102"/>
      <c r="AE103" s="1102"/>
      <c r="AF103" s="1102"/>
      <c r="AG103" s="574">
        <f>SUM('TB-EQUIPMENT &amp; OTHER HPs'!$AC103:$AF103)</f>
        <v>0</v>
      </c>
      <c r="AH103" s="1062">
        <f>'TB-EQUIPMENT &amp; OTHER HPs'!$AB103*'TB-EQUIPMENT &amp; OTHER HPs'!$AG103</f>
        <v>0</v>
      </c>
      <c r="AI103" s="575">
        <f>'TB-EQUIPMENT &amp; OTHER HPs'!$S103+'TB-EQUIPMENT &amp; OTHER HPs'!$Z103+'TB-EQUIPMENT &amp; OTHER HPs'!$AG103</f>
        <v>0</v>
      </c>
      <c r="AJ103" s="1062">
        <f>'TB-EQUIPMENT &amp; OTHER HPs'!$T103+'TB-EQUIPMENT &amp; OTHER HPs'!$AA103+'TB-EQUIPMENT &amp; OTHER HPs'!$AH103</f>
        <v>0</v>
      </c>
      <c r="AK103" s="490" t="str">
        <f t="shared" si="13"/>
        <v/>
      </c>
      <c r="AL103" s="1255"/>
    </row>
    <row r="104" spans="1:38" s="249" customFormat="1">
      <c r="A104" s="2126"/>
      <c r="B104" s="2126"/>
      <c r="C104" s="2126"/>
      <c r="D104" s="2126"/>
      <c r="E104" s="2516"/>
      <c r="F104" s="2126"/>
      <c r="G104" s="2126"/>
      <c r="H104" s="2517"/>
      <c r="I104" s="2518"/>
      <c r="J104" s="2519"/>
      <c r="K104" s="2520"/>
      <c r="L104" s="225" t="str">
        <f t="shared" si="11"/>
        <v/>
      </c>
      <c r="M104" s="226" t="str">
        <f t="shared" si="12"/>
        <v/>
      </c>
      <c r="N104" s="1085"/>
      <c r="O104" s="36"/>
      <c r="P104" s="36"/>
      <c r="Q104" s="36"/>
      <c r="R104" s="36"/>
      <c r="S104" s="572">
        <f>SUM('TB-EQUIPMENT &amp; OTHER HPs'!$O104:$R104)</f>
        <v>0</v>
      </c>
      <c r="T104" s="1061">
        <f>'TB-EQUIPMENT &amp; OTHER HPs'!$N104*'TB-EQUIPMENT &amp; OTHER HPs'!$S104</f>
        <v>0</v>
      </c>
      <c r="U104" s="1085"/>
      <c r="V104" s="36"/>
      <c r="W104" s="36"/>
      <c r="X104" s="36"/>
      <c r="Y104" s="36"/>
      <c r="Z104" s="572">
        <f>SUM('TB-EQUIPMENT &amp; OTHER HPs'!$V104:$Y104)</f>
        <v>0</v>
      </c>
      <c r="AA104" s="1061">
        <f>'TB-EQUIPMENT &amp; OTHER HPs'!$U104*'TB-EQUIPMENT &amp; OTHER HPs'!$Z104</f>
        <v>0</v>
      </c>
      <c r="AB104" s="1085"/>
      <c r="AC104" s="36"/>
      <c r="AD104" s="36"/>
      <c r="AE104" s="36"/>
      <c r="AF104" s="36"/>
      <c r="AG104" s="572">
        <f>SUM('TB-EQUIPMENT &amp; OTHER HPs'!$AC104:$AF104)</f>
        <v>0</v>
      </c>
      <c r="AH104" s="1061">
        <f>'TB-EQUIPMENT &amp; OTHER HPs'!$AB104*'TB-EQUIPMENT &amp; OTHER HPs'!$AG104</f>
        <v>0</v>
      </c>
      <c r="AI104" s="573">
        <f>'TB-EQUIPMENT &amp; OTHER HPs'!$S104+'TB-EQUIPMENT &amp; OTHER HPs'!$Z104+'TB-EQUIPMENT &amp; OTHER HPs'!$AG104</f>
        <v>0</v>
      </c>
      <c r="AJ104" s="1061">
        <f>'TB-EQUIPMENT &amp; OTHER HPs'!$T104+'TB-EQUIPMENT &amp; OTHER HPs'!$AA104+'TB-EQUIPMENT &amp; OTHER HPs'!$AH104</f>
        <v>0</v>
      </c>
      <c r="AK104" s="491" t="str">
        <f t="shared" si="13"/>
        <v/>
      </c>
      <c r="AL104" s="1256"/>
    </row>
    <row r="105" spans="1:38" s="249" customFormat="1">
      <c r="A105" s="2407"/>
      <c r="B105" s="2407"/>
      <c r="C105" s="2407"/>
      <c r="D105" s="2407"/>
      <c r="E105" s="2406"/>
      <c r="F105" s="2407"/>
      <c r="G105" s="2407"/>
      <c r="H105" s="2408"/>
      <c r="I105" s="2513"/>
      <c r="J105" s="2525"/>
      <c r="K105" s="2515"/>
      <c r="L105" s="224" t="str">
        <f t="shared" si="11"/>
        <v/>
      </c>
      <c r="M105" s="224" t="str">
        <f t="shared" si="12"/>
        <v/>
      </c>
      <c r="N105" s="1086"/>
      <c r="O105" s="1102"/>
      <c r="P105" s="1102"/>
      <c r="Q105" s="1102"/>
      <c r="R105" s="1102"/>
      <c r="S105" s="574">
        <f>SUM('TB-EQUIPMENT &amp; OTHER HPs'!$O105:$R105)</f>
        <v>0</v>
      </c>
      <c r="T105" s="1062">
        <f>'TB-EQUIPMENT &amp; OTHER HPs'!$N105*'TB-EQUIPMENT &amp; OTHER HPs'!$S105</f>
        <v>0</v>
      </c>
      <c r="U105" s="1086"/>
      <c r="V105" s="1102"/>
      <c r="W105" s="1102"/>
      <c r="X105" s="1102"/>
      <c r="Y105" s="1102"/>
      <c r="Z105" s="574">
        <f>SUM('TB-EQUIPMENT &amp; OTHER HPs'!$V105:$Y105)</f>
        <v>0</v>
      </c>
      <c r="AA105" s="1062">
        <f>'TB-EQUIPMENT &amp; OTHER HPs'!$U105*'TB-EQUIPMENT &amp; OTHER HPs'!$Z105</f>
        <v>0</v>
      </c>
      <c r="AB105" s="1086"/>
      <c r="AC105" s="1102"/>
      <c r="AD105" s="1102"/>
      <c r="AE105" s="1102"/>
      <c r="AF105" s="1102"/>
      <c r="AG105" s="574">
        <f>SUM('TB-EQUIPMENT &amp; OTHER HPs'!$AC105:$AF105)</f>
        <v>0</v>
      </c>
      <c r="AH105" s="1062">
        <f>'TB-EQUIPMENT &amp; OTHER HPs'!$AB105*'TB-EQUIPMENT &amp; OTHER HPs'!$AG105</f>
        <v>0</v>
      </c>
      <c r="AI105" s="575">
        <f>'TB-EQUIPMENT &amp; OTHER HPs'!$S105+'TB-EQUIPMENT &amp; OTHER HPs'!$Z105+'TB-EQUIPMENT &amp; OTHER HPs'!$AG105</f>
        <v>0</v>
      </c>
      <c r="AJ105" s="1062">
        <f>'TB-EQUIPMENT &amp; OTHER HPs'!$T105+'TB-EQUIPMENT &amp; OTHER HPs'!$AA105+'TB-EQUIPMENT &amp; OTHER HPs'!$AH105</f>
        <v>0</v>
      </c>
      <c r="AK105" s="490" t="str">
        <f t="shared" si="13"/>
        <v/>
      </c>
      <c r="AL105" s="1255"/>
    </row>
    <row r="106" spans="1:38" s="249" customFormat="1">
      <c r="A106" s="2126"/>
      <c r="B106" s="2126"/>
      <c r="C106" s="2126"/>
      <c r="D106" s="2126"/>
      <c r="E106" s="2516"/>
      <c r="F106" s="2126"/>
      <c r="G106" s="2126"/>
      <c r="H106" s="2517"/>
      <c r="I106" s="2518"/>
      <c r="J106" s="2519"/>
      <c r="K106" s="2520"/>
      <c r="L106" s="225" t="str">
        <f t="shared" si="11"/>
        <v/>
      </c>
      <c r="M106" s="226" t="str">
        <f t="shared" si="12"/>
        <v/>
      </c>
      <c r="N106" s="1085"/>
      <c r="O106" s="36"/>
      <c r="P106" s="36"/>
      <c r="Q106" s="36"/>
      <c r="R106" s="36"/>
      <c r="S106" s="572">
        <f>SUM('TB-EQUIPMENT &amp; OTHER HPs'!$O106:$R106)</f>
        <v>0</v>
      </c>
      <c r="T106" s="1061">
        <f>'TB-EQUIPMENT &amp; OTHER HPs'!$N106*'TB-EQUIPMENT &amp; OTHER HPs'!$S106</f>
        <v>0</v>
      </c>
      <c r="U106" s="1085"/>
      <c r="V106" s="36"/>
      <c r="W106" s="36"/>
      <c r="X106" s="36"/>
      <c r="Y106" s="36"/>
      <c r="Z106" s="572">
        <f>SUM('TB-EQUIPMENT &amp; OTHER HPs'!$V106:$Y106)</f>
        <v>0</v>
      </c>
      <c r="AA106" s="1061">
        <f>'TB-EQUIPMENT &amp; OTHER HPs'!$U106*'TB-EQUIPMENT &amp; OTHER HPs'!$Z106</f>
        <v>0</v>
      </c>
      <c r="AB106" s="1085"/>
      <c r="AC106" s="36"/>
      <c r="AD106" s="36"/>
      <c r="AE106" s="36"/>
      <c r="AF106" s="36"/>
      <c r="AG106" s="572">
        <f>SUM('TB-EQUIPMENT &amp; OTHER HPs'!$AC106:$AF106)</f>
        <v>0</v>
      </c>
      <c r="AH106" s="1061">
        <f>'TB-EQUIPMENT &amp; OTHER HPs'!$AB106*'TB-EQUIPMENT &amp; OTHER HPs'!$AG106</f>
        <v>0</v>
      </c>
      <c r="AI106" s="573">
        <f>'TB-EQUIPMENT &amp; OTHER HPs'!$S106+'TB-EQUIPMENT &amp; OTHER HPs'!$Z106+'TB-EQUIPMENT &amp; OTHER HPs'!$AG106</f>
        <v>0</v>
      </c>
      <c r="AJ106" s="1061">
        <f>'TB-EQUIPMENT &amp; OTHER HPs'!$T106+'TB-EQUIPMENT &amp; OTHER HPs'!$AA106+'TB-EQUIPMENT &amp; OTHER HPs'!$AH106</f>
        <v>0</v>
      </c>
      <c r="AK106" s="491" t="str">
        <f t="shared" si="13"/>
        <v/>
      </c>
      <c r="AL106" s="1256"/>
    </row>
    <row r="107" spans="1:38" s="249" customFormat="1">
      <c r="A107" s="2407"/>
      <c r="B107" s="2407"/>
      <c r="C107" s="2407"/>
      <c r="D107" s="2407"/>
      <c r="E107" s="2406"/>
      <c r="F107" s="2407"/>
      <c r="G107" s="2407"/>
      <c r="H107" s="2408"/>
      <c r="I107" s="2513"/>
      <c r="J107" s="2525"/>
      <c r="K107" s="2515"/>
      <c r="L107" s="224" t="str">
        <f t="shared" si="11"/>
        <v/>
      </c>
      <c r="M107" s="224" t="str">
        <f t="shared" si="12"/>
        <v/>
      </c>
      <c r="N107" s="1086"/>
      <c r="O107" s="1102"/>
      <c r="P107" s="1102"/>
      <c r="Q107" s="1102"/>
      <c r="R107" s="1102"/>
      <c r="S107" s="574">
        <f>SUM('TB-EQUIPMENT &amp; OTHER HPs'!$O107:$R107)</f>
        <v>0</v>
      </c>
      <c r="T107" s="1062">
        <f>'TB-EQUIPMENT &amp; OTHER HPs'!$N107*'TB-EQUIPMENT &amp; OTHER HPs'!$S107</f>
        <v>0</v>
      </c>
      <c r="U107" s="1086"/>
      <c r="V107" s="1102"/>
      <c r="W107" s="1102"/>
      <c r="X107" s="1102"/>
      <c r="Y107" s="1102"/>
      <c r="Z107" s="574">
        <f>SUM('TB-EQUIPMENT &amp; OTHER HPs'!$V107:$Y107)</f>
        <v>0</v>
      </c>
      <c r="AA107" s="1062">
        <f>'TB-EQUIPMENT &amp; OTHER HPs'!$U107*'TB-EQUIPMENT &amp; OTHER HPs'!$Z107</f>
        <v>0</v>
      </c>
      <c r="AB107" s="1086"/>
      <c r="AC107" s="1102"/>
      <c r="AD107" s="1102"/>
      <c r="AE107" s="1102"/>
      <c r="AF107" s="1102"/>
      <c r="AG107" s="574">
        <f>SUM('TB-EQUIPMENT &amp; OTHER HPs'!$AC107:$AF107)</f>
        <v>0</v>
      </c>
      <c r="AH107" s="1062">
        <f>'TB-EQUIPMENT &amp; OTHER HPs'!$AB107*'TB-EQUIPMENT &amp; OTHER HPs'!$AG107</f>
        <v>0</v>
      </c>
      <c r="AI107" s="575">
        <f>'TB-EQUIPMENT &amp; OTHER HPs'!$S107+'TB-EQUIPMENT &amp; OTHER HPs'!$Z107+'TB-EQUIPMENT &amp; OTHER HPs'!$AG107</f>
        <v>0</v>
      </c>
      <c r="AJ107" s="1062">
        <f>'TB-EQUIPMENT &amp; OTHER HPs'!$T107+'TB-EQUIPMENT &amp; OTHER HPs'!$AA107+'TB-EQUIPMENT &amp; OTHER HPs'!$AH107</f>
        <v>0</v>
      </c>
      <c r="AK107" s="490" t="str">
        <f t="shared" si="13"/>
        <v/>
      </c>
      <c r="AL107" s="1255"/>
    </row>
    <row r="108" spans="1:38" s="249" customFormat="1">
      <c r="A108" s="2126"/>
      <c r="B108" s="2126"/>
      <c r="C108" s="2126"/>
      <c r="D108" s="2126"/>
      <c r="E108" s="2516"/>
      <c r="F108" s="2126"/>
      <c r="G108" s="2126"/>
      <c r="H108" s="2517"/>
      <c r="I108" s="2518"/>
      <c r="J108" s="2519"/>
      <c r="K108" s="2520"/>
      <c r="L108" s="225" t="str">
        <f t="shared" si="11"/>
        <v/>
      </c>
      <c r="M108" s="226" t="str">
        <f t="shared" si="12"/>
        <v/>
      </c>
      <c r="N108" s="1085"/>
      <c r="O108" s="36"/>
      <c r="P108" s="36"/>
      <c r="Q108" s="36"/>
      <c r="R108" s="36"/>
      <c r="S108" s="572">
        <f>SUM('TB-EQUIPMENT &amp; OTHER HPs'!$O108:$R108)</f>
        <v>0</v>
      </c>
      <c r="T108" s="1061">
        <f>'TB-EQUIPMENT &amp; OTHER HPs'!$N108*'TB-EQUIPMENT &amp; OTHER HPs'!$S108</f>
        <v>0</v>
      </c>
      <c r="U108" s="1085"/>
      <c r="V108" s="36"/>
      <c r="W108" s="36"/>
      <c r="X108" s="36"/>
      <c r="Y108" s="36"/>
      <c r="Z108" s="572">
        <f>SUM('TB-EQUIPMENT &amp; OTHER HPs'!$V108:$Y108)</f>
        <v>0</v>
      </c>
      <c r="AA108" s="1061">
        <f>'TB-EQUIPMENT &amp; OTHER HPs'!$U108*'TB-EQUIPMENT &amp; OTHER HPs'!$Z108</f>
        <v>0</v>
      </c>
      <c r="AB108" s="1085"/>
      <c r="AC108" s="36"/>
      <c r="AD108" s="36"/>
      <c r="AE108" s="36"/>
      <c r="AF108" s="36"/>
      <c r="AG108" s="572">
        <f>SUM('TB-EQUIPMENT &amp; OTHER HPs'!$AC108:$AF108)</f>
        <v>0</v>
      </c>
      <c r="AH108" s="1061">
        <f>'TB-EQUIPMENT &amp; OTHER HPs'!$AB108*'TB-EQUIPMENT &amp; OTHER HPs'!$AG108</f>
        <v>0</v>
      </c>
      <c r="AI108" s="573">
        <f>'TB-EQUIPMENT &amp; OTHER HPs'!$S108+'TB-EQUIPMENT &amp; OTHER HPs'!$Z108+'TB-EQUIPMENT &amp; OTHER HPs'!$AG108</f>
        <v>0</v>
      </c>
      <c r="AJ108" s="1061">
        <f>'TB-EQUIPMENT &amp; OTHER HPs'!$T108+'TB-EQUIPMENT &amp; OTHER HPs'!$AA108+'TB-EQUIPMENT &amp; OTHER HPs'!$AH108</f>
        <v>0</v>
      </c>
      <c r="AK108" s="491" t="str">
        <f t="shared" si="13"/>
        <v/>
      </c>
      <c r="AL108" s="1256"/>
    </row>
    <row r="109" spans="1:38" s="249" customFormat="1">
      <c r="A109" s="2407"/>
      <c r="B109" s="2407"/>
      <c r="C109" s="2407"/>
      <c r="D109" s="2407"/>
      <c r="E109" s="2406"/>
      <c r="F109" s="2407"/>
      <c r="G109" s="2407"/>
      <c r="H109" s="2408"/>
      <c r="I109" s="2513"/>
      <c r="J109" s="2525"/>
      <c r="K109" s="2515"/>
      <c r="L109" s="224" t="str">
        <f t="shared" si="11"/>
        <v/>
      </c>
      <c r="M109" s="224" t="str">
        <f t="shared" si="12"/>
        <v/>
      </c>
      <c r="N109" s="1086"/>
      <c r="O109" s="1102"/>
      <c r="P109" s="1102"/>
      <c r="Q109" s="1102"/>
      <c r="R109" s="1102"/>
      <c r="S109" s="574">
        <f>SUM('TB-EQUIPMENT &amp; OTHER HPs'!$O109:$R109)</f>
        <v>0</v>
      </c>
      <c r="T109" s="1062">
        <f>'TB-EQUIPMENT &amp; OTHER HPs'!$N109*'TB-EQUIPMENT &amp; OTHER HPs'!$S109</f>
        <v>0</v>
      </c>
      <c r="U109" s="1086"/>
      <c r="V109" s="1102"/>
      <c r="W109" s="1102"/>
      <c r="X109" s="1102"/>
      <c r="Y109" s="1102"/>
      <c r="Z109" s="574">
        <f>SUM('TB-EQUIPMENT &amp; OTHER HPs'!$V109:$Y109)</f>
        <v>0</v>
      </c>
      <c r="AA109" s="1062">
        <f>'TB-EQUIPMENT &amp; OTHER HPs'!$U109*'TB-EQUIPMENT &amp; OTHER HPs'!$Z109</f>
        <v>0</v>
      </c>
      <c r="AB109" s="1086"/>
      <c r="AC109" s="1102"/>
      <c r="AD109" s="1102"/>
      <c r="AE109" s="1102"/>
      <c r="AF109" s="1102"/>
      <c r="AG109" s="574">
        <f>SUM('TB-EQUIPMENT &amp; OTHER HPs'!$AC109:$AF109)</f>
        <v>0</v>
      </c>
      <c r="AH109" s="1062">
        <f>'TB-EQUIPMENT &amp; OTHER HPs'!$AB109*'TB-EQUIPMENT &amp; OTHER HPs'!$AG109</f>
        <v>0</v>
      </c>
      <c r="AI109" s="575">
        <f>'TB-EQUIPMENT &amp; OTHER HPs'!$S109+'TB-EQUIPMENT &amp; OTHER HPs'!$Z109+'TB-EQUIPMENT &amp; OTHER HPs'!$AG109</f>
        <v>0</v>
      </c>
      <c r="AJ109" s="1062">
        <f>'TB-EQUIPMENT &amp; OTHER HPs'!$T109+'TB-EQUIPMENT &amp; OTHER HPs'!$AA109+'TB-EQUIPMENT &amp; OTHER HPs'!$AH109</f>
        <v>0</v>
      </c>
      <c r="AK109" s="490" t="str">
        <f t="shared" si="13"/>
        <v/>
      </c>
      <c r="AL109" s="1255"/>
    </row>
    <row r="110" spans="1:38" s="249" customFormat="1">
      <c r="A110" s="2126"/>
      <c r="B110" s="2126"/>
      <c r="C110" s="2126"/>
      <c r="D110" s="2126"/>
      <c r="E110" s="2516"/>
      <c r="F110" s="2126"/>
      <c r="G110" s="2126"/>
      <c r="H110" s="2517"/>
      <c r="I110" s="2518"/>
      <c r="J110" s="2519"/>
      <c r="K110" s="2520"/>
      <c r="L110" s="225" t="str">
        <f t="shared" si="11"/>
        <v/>
      </c>
      <c r="M110" s="226" t="str">
        <f t="shared" si="12"/>
        <v/>
      </c>
      <c r="N110" s="1085"/>
      <c r="O110" s="36"/>
      <c r="P110" s="36"/>
      <c r="Q110" s="36"/>
      <c r="R110" s="36"/>
      <c r="S110" s="572">
        <f>SUM('TB-EQUIPMENT &amp; OTHER HPs'!$O110:$R110)</f>
        <v>0</v>
      </c>
      <c r="T110" s="1061">
        <f>'TB-EQUIPMENT &amp; OTHER HPs'!$N110*'TB-EQUIPMENT &amp; OTHER HPs'!$S110</f>
        <v>0</v>
      </c>
      <c r="U110" s="1085"/>
      <c r="V110" s="36"/>
      <c r="W110" s="36"/>
      <c r="X110" s="36"/>
      <c r="Y110" s="36"/>
      <c r="Z110" s="572">
        <f>SUM('TB-EQUIPMENT &amp; OTHER HPs'!$V110:$Y110)</f>
        <v>0</v>
      </c>
      <c r="AA110" s="1061">
        <f>'TB-EQUIPMENT &amp; OTHER HPs'!$U110*'TB-EQUIPMENT &amp; OTHER HPs'!$Z110</f>
        <v>0</v>
      </c>
      <c r="AB110" s="1085"/>
      <c r="AC110" s="36"/>
      <c r="AD110" s="36"/>
      <c r="AE110" s="36"/>
      <c r="AF110" s="36"/>
      <c r="AG110" s="572">
        <f>SUM('TB-EQUIPMENT &amp; OTHER HPs'!$AC110:$AF110)</f>
        <v>0</v>
      </c>
      <c r="AH110" s="1061">
        <f>'TB-EQUIPMENT &amp; OTHER HPs'!$AB110*'TB-EQUIPMENT &amp; OTHER HPs'!$AG110</f>
        <v>0</v>
      </c>
      <c r="AI110" s="573">
        <f>'TB-EQUIPMENT &amp; OTHER HPs'!$S110+'TB-EQUIPMENT &amp; OTHER HPs'!$Z110+'TB-EQUIPMENT &amp; OTHER HPs'!$AG110</f>
        <v>0</v>
      </c>
      <c r="AJ110" s="1061">
        <f>'TB-EQUIPMENT &amp; OTHER HPs'!$T110+'TB-EQUIPMENT &amp; OTHER HPs'!$AA110+'TB-EQUIPMENT &amp; OTHER HPs'!$AH110</f>
        <v>0</v>
      </c>
      <c r="AK110" s="491" t="str">
        <f t="shared" si="13"/>
        <v/>
      </c>
      <c r="AL110" s="1256"/>
    </row>
    <row r="111" spans="1:38" s="249" customFormat="1">
      <c r="A111" s="2407"/>
      <c r="B111" s="2407"/>
      <c r="C111" s="2407"/>
      <c r="D111" s="2407"/>
      <c r="E111" s="2406"/>
      <c r="F111" s="2407"/>
      <c r="G111" s="2407"/>
      <c r="H111" s="2408"/>
      <c r="I111" s="2513"/>
      <c r="J111" s="2525"/>
      <c r="K111" s="2515"/>
      <c r="L111" s="224" t="str">
        <f t="shared" si="11"/>
        <v/>
      </c>
      <c r="M111" s="224" t="str">
        <f t="shared" si="12"/>
        <v/>
      </c>
      <c r="N111" s="1086"/>
      <c r="O111" s="1102"/>
      <c r="P111" s="1102"/>
      <c r="Q111" s="1102"/>
      <c r="R111" s="1102"/>
      <c r="S111" s="574">
        <f>SUM('TB-EQUIPMENT &amp; OTHER HPs'!$O111:$R111)</f>
        <v>0</v>
      </c>
      <c r="T111" s="1062">
        <f>'TB-EQUIPMENT &amp; OTHER HPs'!$N111*'TB-EQUIPMENT &amp; OTHER HPs'!$S111</f>
        <v>0</v>
      </c>
      <c r="U111" s="1086"/>
      <c r="V111" s="1102"/>
      <c r="W111" s="1102"/>
      <c r="X111" s="1102"/>
      <c r="Y111" s="1102"/>
      <c r="Z111" s="574">
        <f>SUM('TB-EQUIPMENT &amp; OTHER HPs'!$V111:$Y111)</f>
        <v>0</v>
      </c>
      <c r="AA111" s="1062">
        <f>'TB-EQUIPMENT &amp; OTHER HPs'!$U111*'TB-EQUIPMENT &amp; OTHER HPs'!$Z111</f>
        <v>0</v>
      </c>
      <c r="AB111" s="1086"/>
      <c r="AC111" s="1102"/>
      <c r="AD111" s="1102"/>
      <c r="AE111" s="1102"/>
      <c r="AF111" s="1102"/>
      <c r="AG111" s="574">
        <f>SUM('TB-EQUIPMENT &amp; OTHER HPs'!$AC111:$AF111)</f>
        <v>0</v>
      </c>
      <c r="AH111" s="1062">
        <f>'TB-EQUIPMENT &amp; OTHER HPs'!$AB111*'TB-EQUIPMENT &amp; OTHER HPs'!$AG111</f>
        <v>0</v>
      </c>
      <c r="AI111" s="575">
        <f>'TB-EQUIPMENT &amp; OTHER HPs'!$S111+'TB-EQUIPMENT &amp; OTHER HPs'!$Z111+'TB-EQUIPMENT &amp; OTHER HPs'!$AG111</f>
        <v>0</v>
      </c>
      <c r="AJ111" s="1062">
        <f>'TB-EQUIPMENT &amp; OTHER HPs'!$T111+'TB-EQUIPMENT &amp; OTHER HPs'!$AA111+'TB-EQUIPMENT &amp; OTHER HPs'!$AH111</f>
        <v>0</v>
      </c>
      <c r="AK111" s="490" t="str">
        <f t="shared" si="13"/>
        <v/>
      </c>
      <c r="AL111" s="1255"/>
    </row>
    <row r="112" spans="1:38" s="249" customFormat="1">
      <c r="A112" s="2126"/>
      <c r="B112" s="2126"/>
      <c r="C112" s="2126"/>
      <c r="D112" s="2126"/>
      <c r="E112" s="2516"/>
      <c r="F112" s="2126"/>
      <c r="G112" s="2126"/>
      <c r="H112" s="2517"/>
      <c r="I112" s="2518"/>
      <c r="J112" s="2519"/>
      <c r="K112" s="2520"/>
      <c r="L112" s="225" t="str">
        <f t="shared" si="11"/>
        <v/>
      </c>
      <c r="M112" s="226" t="str">
        <f t="shared" si="12"/>
        <v/>
      </c>
      <c r="N112" s="1085"/>
      <c r="O112" s="36"/>
      <c r="P112" s="36"/>
      <c r="Q112" s="36"/>
      <c r="R112" s="36"/>
      <c r="S112" s="572">
        <f>SUM('TB-EQUIPMENT &amp; OTHER HPs'!$O112:$R112)</f>
        <v>0</v>
      </c>
      <c r="T112" s="1061">
        <f>'TB-EQUIPMENT &amp; OTHER HPs'!$N112*'TB-EQUIPMENT &amp; OTHER HPs'!$S112</f>
        <v>0</v>
      </c>
      <c r="U112" s="1085"/>
      <c r="V112" s="36"/>
      <c r="W112" s="36"/>
      <c r="X112" s="36"/>
      <c r="Y112" s="36"/>
      <c r="Z112" s="572">
        <f>SUM('TB-EQUIPMENT &amp; OTHER HPs'!$V112:$Y112)</f>
        <v>0</v>
      </c>
      <c r="AA112" s="1061">
        <f>'TB-EQUIPMENT &amp; OTHER HPs'!$U112*'TB-EQUIPMENT &amp; OTHER HPs'!$Z112</f>
        <v>0</v>
      </c>
      <c r="AB112" s="1085"/>
      <c r="AC112" s="36"/>
      <c r="AD112" s="36"/>
      <c r="AE112" s="36"/>
      <c r="AF112" s="36"/>
      <c r="AG112" s="572">
        <f>SUM('TB-EQUIPMENT &amp; OTHER HPs'!$AC112:$AF112)</f>
        <v>0</v>
      </c>
      <c r="AH112" s="1061">
        <f>'TB-EQUIPMENT &amp; OTHER HPs'!$AB112*'TB-EQUIPMENT &amp; OTHER HPs'!$AG112</f>
        <v>0</v>
      </c>
      <c r="AI112" s="573">
        <f>'TB-EQUIPMENT &amp; OTHER HPs'!$S112+'TB-EQUIPMENT &amp; OTHER HPs'!$Z112+'TB-EQUIPMENT &amp; OTHER HPs'!$AG112</f>
        <v>0</v>
      </c>
      <c r="AJ112" s="1061">
        <f>'TB-EQUIPMENT &amp; OTHER HPs'!$T112+'TB-EQUIPMENT &amp; OTHER HPs'!$AA112+'TB-EQUIPMENT &amp; OTHER HPs'!$AH112</f>
        <v>0</v>
      </c>
      <c r="AK112" s="491" t="str">
        <f t="shared" si="13"/>
        <v/>
      </c>
      <c r="AL112" s="1256"/>
    </row>
    <row r="113" spans="1:38" s="249" customFormat="1">
      <c r="A113" s="2407"/>
      <c r="B113" s="2407"/>
      <c r="C113" s="2407"/>
      <c r="D113" s="2407"/>
      <c r="E113" s="2406"/>
      <c r="F113" s="2407"/>
      <c r="G113" s="2407"/>
      <c r="H113" s="2408"/>
      <c r="I113" s="2513"/>
      <c r="J113" s="2525"/>
      <c r="K113" s="2515"/>
      <c r="L113" s="224" t="str">
        <f t="shared" si="11"/>
        <v/>
      </c>
      <c r="M113" s="224" t="str">
        <f t="shared" si="12"/>
        <v/>
      </c>
      <c r="N113" s="1086"/>
      <c r="O113" s="1102"/>
      <c r="P113" s="1102"/>
      <c r="Q113" s="1102"/>
      <c r="R113" s="1102"/>
      <c r="S113" s="574">
        <f>SUM('TB-EQUIPMENT &amp; OTHER HPs'!$O113:$R113)</f>
        <v>0</v>
      </c>
      <c r="T113" s="1062">
        <f>'TB-EQUIPMENT &amp; OTHER HPs'!$N113*'TB-EQUIPMENT &amp; OTHER HPs'!$S113</f>
        <v>0</v>
      </c>
      <c r="U113" s="1086"/>
      <c r="V113" s="1102"/>
      <c r="W113" s="1102"/>
      <c r="X113" s="1102"/>
      <c r="Y113" s="1102"/>
      <c r="Z113" s="574">
        <f>SUM('TB-EQUIPMENT &amp; OTHER HPs'!$V113:$Y113)</f>
        <v>0</v>
      </c>
      <c r="AA113" s="1062">
        <f>'TB-EQUIPMENT &amp; OTHER HPs'!$U113*'TB-EQUIPMENT &amp; OTHER HPs'!$Z113</f>
        <v>0</v>
      </c>
      <c r="AB113" s="1086"/>
      <c r="AC113" s="1102"/>
      <c r="AD113" s="1102"/>
      <c r="AE113" s="1102"/>
      <c r="AF113" s="1102"/>
      <c r="AG113" s="574">
        <f>SUM('TB-EQUIPMENT &amp; OTHER HPs'!$AC113:$AF113)</f>
        <v>0</v>
      </c>
      <c r="AH113" s="1062">
        <f>'TB-EQUIPMENT &amp; OTHER HPs'!$AB113*'TB-EQUIPMENT &amp; OTHER HPs'!$AG113</f>
        <v>0</v>
      </c>
      <c r="AI113" s="575">
        <f>'TB-EQUIPMENT &amp; OTHER HPs'!$S113+'TB-EQUIPMENT &amp; OTHER HPs'!$Z113+'TB-EQUIPMENT &amp; OTHER HPs'!$AG113</f>
        <v>0</v>
      </c>
      <c r="AJ113" s="1062">
        <f>'TB-EQUIPMENT &amp; OTHER HPs'!$T113+'TB-EQUIPMENT &amp; OTHER HPs'!$AA113+'TB-EQUIPMENT &amp; OTHER HPs'!$AH113</f>
        <v>0</v>
      </c>
      <c r="AK113" s="489" t="str">
        <f t="shared" si="13"/>
        <v/>
      </c>
      <c r="AL113" s="1252"/>
    </row>
    <row r="114" spans="1:38" s="249" customFormat="1">
      <c r="A114" s="2126"/>
      <c r="B114" s="2126"/>
      <c r="C114" s="2126"/>
      <c r="D114" s="2126"/>
      <c r="E114" s="2516"/>
      <c r="F114" s="2126"/>
      <c r="G114" s="2126"/>
      <c r="H114" s="2517"/>
      <c r="I114" s="2518"/>
      <c r="J114" s="2519"/>
      <c r="K114" s="2520"/>
      <c r="L114" s="225" t="str">
        <f t="shared" si="11"/>
        <v/>
      </c>
      <c r="M114" s="226" t="str">
        <f t="shared" si="12"/>
        <v/>
      </c>
      <c r="N114" s="1085"/>
      <c r="O114" s="36"/>
      <c r="P114" s="36"/>
      <c r="Q114" s="36"/>
      <c r="R114" s="36"/>
      <c r="S114" s="572">
        <f>SUM('TB-EQUIPMENT &amp; OTHER HPs'!$O114:$R114)</f>
        <v>0</v>
      </c>
      <c r="T114" s="1061">
        <f>'TB-EQUIPMENT &amp; OTHER HPs'!$N114*'TB-EQUIPMENT &amp; OTHER HPs'!$S114</f>
        <v>0</v>
      </c>
      <c r="U114" s="1085"/>
      <c r="V114" s="36"/>
      <c r="W114" s="36"/>
      <c r="X114" s="36"/>
      <c r="Y114" s="36"/>
      <c r="Z114" s="572">
        <f>SUM('TB-EQUIPMENT &amp; OTHER HPs'!$V114:$Y114)</f>
        <v>0</v>
      </c>
      <c r="AA114" s="1061">
        <f>'TB-EQUIPMENT &amp; OTHER HPs'!$U114*'TB-EQUIPMENT &amp; OTHER HPs'!$Z114</f>
        <v>0</v>
      </c>
      <c r="AB114" s="1085"/>
      <c r="AC114" s="36"/>
      <c r="AD114" s="36"/>
      <c r="AE114" s="36"/>
      <c r="AF114" s="36"/>
      <c r="AG114" s="572">
        <f>SUM('TB-EQUIPMENT &amp; OTHER HPs'!$AC114:$AF114)</f>
        <v>0</v>
      </c>
      <c r="AH114" s="1061">
        <f>'TB-EQUIPMENT &amp; OTHER HPs'!$AB114*'TB-EQUIPMENT &amp; OTHER HPs'!$AG114</f>
        <v>0</v>
      </c>
      <c r="AI114" s="573">
        <f>'TB-EQUIPMENT &amp; OTHER HPs'!$S114+'TB-EQUIPMENT &amp; OTHER HPs'!$Z114+'TB-EQUIPMENT &amp; OTHER HPs'!$AG114</f>
        <v>0</v>
      </c>
      <c r="AJ114" s="1061">
        <f>'TB-EQUIPMENT &amp; OTHER HPs'!$T114+'TB-EQUIPMENT &amp; OTHER HPs'!$AA114+'TB-EQUIPMENT &amp; OTHER HPs'!$AH114</f>
        <v>0</v>
      </c>
      <c r="AK114" s="486" t="str">
        <f t="shared" si="13"/>
        <v/>
      </c>
      <c r="AL114" s="1253"/>
    </row>
    <row r="115" spans="1:38" s="249" customFormat="1">
      <c r="A115" s="2407"/>
      <c r="B115" s="2407"/>
      <c r="C115" s="2407"/>
      <c r="D115" s="2407"/>
      <c r="E115" s="2406"/>
      <c r="F115" s="2407"/>
      <c r="G115" s="2407"/>
      <c r="H115" s="2408"/>
      <c r="I115" s="2513"/>
      <c r="J115" s="2525"/>
      <c r="K115" s="2515"/>
      <c r="L115" s="224" t="str">
        <f t="shared" si="11"/>
        <v/>
      </c>
      <c r="M115" s="224" t="str">
        <f t="shared" si="12"/>
        <v/>
      </c>
      <c r="N115" s="1086"/>
      <c r="O115" s="1102"/>
      <c r="P115" s="1102"/>
      <c r="Q115" s="1102"/>
      <c r="R115" s="1102"/>
      <c r="S115" s="574">
        <f>SUM('TB-EQUIPMENT &amp; OTHER HPs'!$O115:$R115)</f>
        <v>0</v>
      </c>
      <c r="T115" s="1062">
        <f>'TB-EQUIPMENT &amp; OTHER HPs'!$N115*'TB-EQUIPMENT &amp; OTHER HPs'!$S115</f>
        <v>0</v>
      </c>
      <c r="U115" s="1086"/>
      <c r="V115" s="1102"/>
      <c r="W115" s="1102"/>
      <c r="X115" s="1102"/>
      <c r="Y115" s="1102"/>
      <c r="Z115" s="574">
        <f>SUM('TB-EQUIPMENT &amp; OTHER HPs'!$V115:$Y115)</f>
        <v>0</v>
      </c>
      <c r="AA115" s="1062">
        <f>'TB-EQUIPMENT &amp; OTHER HPs'!$U115*'TB-EQUIPMENT &amp; OTHER HPs'!$Z115</f>
        <v>0</v>
      </c>
      <c r="AB115" s="1086"/>
      <c r="AC115" s="1102"/>
      <c r="AD115" s="1102"/>
      <c r="AE115" s="1102"/>
      <c r="AF115" s="1102"/>
      <c r="AG115" s="574">
        <f>SUM('TB-EQUIPMENT &amp; OTHER HPs'!$AC115:$AF115)</f>
        <v>0</v>
      </c>
      <c r="AH115" s="1062">
        <f>'TB-EQUIPMENT &amp; OTHER HPs'!$AB115*'TB-EQUIPMENT &amp; OTHER HPs'!$AG115</f>
        <v>0</v>
      </c>
      <c r="AI115" s="575">
        <f>'TB-EQUIPMENT &amp; OTHER HPs'!$S115+'TB-EQUIPMENT &amp; OTHER HPs'!$Z115+'TB-EQUIPMENT &amp; OTHER HPs'!$AG115</f>
        <v>0</v>
      </c>
      <c r="AJ115" s="1062">
        <f>'TB-EQUIPMENT &amp; OTHER HPs'!$T115+'TB-EQUIPMENT &amp; OTHER HPs'!$AA115+'TB-EQUIPMENT &amp; OTHER HPs'!$AH115</f>
        <v>0</v>
      </c>
      <c r="AK115" s="490" t="str">
        <f t="shared" si="13"/>
        <v/>
      </c>
      <c r="AL115" s="1255"/>
    </row>
    <row r="116" spans="1:38" s="249" customFormat="1">
      <c r="A116" s="2126"/>
      <c r="B116" s="2126"/>
      <c r="C116" s="2126"/>
      <c r="D116" s="2126"/>
      <c r="E116" s="2516"/>
      <c r="F116" s="2126"/>
      <c r="G116" s="2126"/>
      <c r="H116" s="2517"/>
      <c r="I116" s="2518"/>
      <c r="J116" s="2519"/>
      <c r="K116" s="2520"/>
      <c r="L116" s="225" t="str">
        <f t="shared" si="11"/>
        <v/>
      </c>
      <c r="M116" s="226" t="str">
        <f t="shared" si="12"/>
        <v/>
      </c>
      <c r="N116" s="1085"/>
      <c r="O116" s="36"/>
      <c r="P116" s="36"/>
      <c r="Q116" s="36"/>
      <c r="R116" s="36"/>
      <c r="S116" s="572">
        <f>SUM('TB-EQUIPMENT &amp; OTHER HPs'!$O116:$R116)</f>
        <v>0</v>
      </c>
      <c r="T116" s="1061">
        <f>'TB-EQUIPMENT &amp; OTHER HPs'!$N116*'TB-EQUIPMENT &amp; OTHER HPs'!$S116</f>
        <v>0</v>
      </c>
      <c r="U116" s="1085"/>
      <c r="V116" s="36"/>
      <c r="W116" s="36"/>
      <c r="X116" s="36"/>
      <c r="Y116" s="36"/>
      <c r="Z116" s="572">
        <f>SUM('TB-EQUIPMENT &amp; OTHER HPs'!$V116:$Y116)</f>
        <v>0</v>
      </c>
      <c r="AA116" s="1061">
        <f>'TB-EQUIPMENT &amp; OTHER HPs'!$U116*'TB-EQUIPMENT &amp; OTHER HPs'!$Z116</f>
        <v>0</v>
      </c>
      <c r="AB116" s="1085"/>
      <c r="AC116" s="36"/>
      <c r="AD116" s="36"/>
      <c r="AE116" s="36"/>
      <c r="AF116" s="36"/>
      <c r="AG116" s="572">
        <f>SUM('TB-EQUIPMENT &amp; OTHER HPs'!$AC116:$AF116)</f>
        <v>0</v>
      </c>
      <c r="AH116" s="1061">
        <f>'TB-EQUIPMENT &amp; OTHER HPs'!$AB116*'TB-EQUIPMENT &amp; OTHER HPs'!$AG116</f>
        <v>0</v>
      </c>
      <c r="AI116" s="573">
        <f>'TB-EQUIPMENT &amp; OTHER HPs'!$S116+'TB-EQUIPMENT &amp; OTHER HPs'!$Z116+'TB-EQUIPMENT &amp; OTHER HPs'!$AG116</f>
        <v>0</v>
      </c>
      <c r="AJ116" s="1061">
        <f>'TB-EQUIPMENT &amp; OTHER HPs'!$T116+'TB-EQUIPMENT &amp; OTHER HPs'!$AA116+'TB-EQUIPMENT &amp; OTHER HPs'!$AH116</f>
        <v>0</v>
      </c>
      <c r="AK116" s="491" t="str">
        <f t="shared" si="13"/>
        <v/>
      </c>
      <c r="AL116" s="1256"/>
    </row>
    <row r="117" spans="1:38" s="249" customFormat="1">
      <c r="A117" s="2407"/>
      <c r="B117" s="2407"/>
      <c r="C117" s="2407"/>
      <c r="D117" s="2407"/>
      <c r="E117" s="2406"/>
      <c r="F117" s="2407"/>
      <c r="G117" s="2407"/>
      <c r="H117" s="2408"/>
      <c r="I117" s="2513"/>
      <c r="J117" s="2525"/>
      <c r="K117" s="2515"/>
      <c r="L117" s="224" t="str">
        <f t="shared" si="11"/>
        <v/>
      </c>
      <c r="M117" s="224" t="str">
        <f t="shared" si="12"/>
        <v/>
      </c>
      <c r="N117" s="1086"/>
      <c r="O117" s="1102"/>
      <c r="P117" s="1102"/>
      <c r="Q117" s="1102"/>
      <c r="R117" s="1102"/>
      <c r="S117" s="574">
        <f>SUM('TB-EQUIPMENT &amp; OTHER HPs'!$O117:$R117)</f>
        <v>0</v>
      </c>
      <c r="T117" s="1062">
        <f>'TB-EQUIPMENT &amp; OTHER HPs'!$N117*'TB-EQUIPMENT &amp; OTHER HPs'!$S117</f>
        <v>0</v>
      </c>
      <c r="U117" s="1086"/>
      <c r="V117" s="1102"/>
      <c r="W117" s="1102"/>
      <c r="X117" s="1102"/>
      <c r="Y117" s="1102"/>
      <c r="Z117" s="574">
        <f>SUM('TB-EQUIPMENT &amp; OTHER HPs'!$V117:$Y117)</f>
        <v>0</v>
      </c>
      <c r="AA117" s="1062">
        <f>'TB-EQUIPMENT &amp; OTHER HPs'!$U117*'TB-EQUIPMENT &amp; OTHER HPs'!$Z117</f>
        <v>0</v>
      </c>
      <c r="AB117" s="1086"/>
      <c r="AC117" s="1102"/>
      <c r="AD117" s="1102"/>
      <c r="AE117" s="1102"/>
      <c r="AF117" s="1102"/>
      <c r="AG117" s="574">
        <f>SUM('TB-EQUIPMENT &amp; OTHER HPs'!$AC117:$AF117)</f>
        <v>0</v>
      </c>
      <c r="AH117" s="1062">
        <f>'TB-EQUIPMENT &amp; OTHER HPs'!$AB117*'TB-EQUIPMENT &amp; OTHER HPs'!$AG117</f>
        <v>0</v>
      </c>
      <c r="AI117" s="575">
        <f>'TB-EQUIPMENT &amp; OTHER HPs'!$S117+'TB-EQUIPMENT &amp; OTHER HPs'!$Z117+'TB-EQUIPMENT &amp; OTHER HPs'!$AG117</f>
        <v>0</v>
      </c>
      <c r="AJ117" s="1062">
        <f>'TB-EQUIPMENT &amp; OTHER HPs'!$T117+'TB-EQUIPMENT &amp; OTHER HPs'!$AA117+'TB-EQUIPMENT &amp; OTHER HPs'!$AH117</f>
        <v>0</v>
      </c>
      <c r="AK117" s="490" t="str">
        <f t="shared" si="13"/>
        <v/>
      </c>
      <c r="AL117" s="1255"/>
    </row>
    <row r="118" spans="1:38" s="249" customFormat="1">
      <c r="A118" s="2126"/>
      <c r="B118" s="2126"/>
      <c r="C118" s="2126"/>
      <c r="D118" s="2126"/>
      <c r="E118" s="2516"/>
      <c r="F118" s="2126"/>
      <c r="G118" s="2126"/>
      <c r="H118" s="2517"/>
      <c r="I118" s="2518"/>
      <c r="J118" s="2519"/>
      <c r="K118" s="2520"/>
      <c r="L118" s="225" t="str">
        <f t="shared" si="11"/>
        <v/>
      </c>
      <c r="M118" s="226" t="str">
        <f t="shared" si="12"/>
        <v/>
      </c>
      <c r="N118" s="1085"/>
      <c r="O118" s="36"/>
      <c r="P118" s="36"/>
      <c r="Q118" s="36"/>
      <c r="R118" s="36"/>
      <c r="S118" s="572">
        <f>SUM('TB-EQUIPMENT &amp; OTHER HPs'!$O118:$R118)</f>
        <v>0</v>
      </c>
      <c r="T118" s="1061">
        <f>'TB-EQUIPMENT &amp; OTHER HPs'!$N118*'TB-EQUIPMENT &amp; OTHER HPs'!$S118</f>
        <v>0</v>
      </c>
      <c r="U118" s="1085"/>
      <c r="V118" s="36"/>
      <c r="W118" s="36"/>
      <c r="X118" s="36"/>
      <c r="Y118" s="36"/>
      <c r="Z118" s="572">
        <f>SUM('TB-EQUIPMENT &amp; OTHER HPs'!$V118:$Y118)</f>
        <v>0</v>
      </c>
      <c r="AA118" s="1061">
        <f>'TB-EQUIPMENT &amp; OTHER HPs'!$U118*'TB-EQUIPMENT &amp; OTHER HPs'!$Z118</f>
        <v>0</v>
      </c>
      <c r="AB118" s="1085"/>
      <c r="AC118" s="36"/>
      <c r="AD118" s="36"/>
      <c r="AE118" s="36"/>
      <c r="AF118" s="36"/>
      <c r="AG118" s="572">
        <f>SUM('TB-EQUIPMENT &amp; OTHER HPs'!$AC118:$AF118)</f>
        <v>0</v>
      </c>
      <c r="AH118" s="1061">
        <f>'TB-EQUIPMENT &amp; OTHER HPs'!$AB118*'TB-EQUIPMENT &amp; OTHER HPs'!$AG118</f>
        <v>0</v>
      </c>
      <c r="AI118" s="573">
        <f>'TB-EQUIPMENT &amp; OTHER HPs'!$S118+'TB-EQUIPMENT &amp; OTHER HPs'!$Z118+'TB-EQUIPMENT &amp; OTHER HPs'!$AG118</f>
        <v>0</v>
      </c>
      <c r="AJ118" s="1061">
        <f>'TB-EQUIPMENT &amp; OTHER HPs'!$T118+'TB-EQUIPMENT &amp; OTHER HPs'!$AA118+'TB-EQUIPMENT &amp; OTHER HPs'!$AH118</f>
        <v>0</v>
      </c>
      <c r="AK118" s="491" t="str">
        <f t="shared" si="13"/>
        <v/>
      </c>
      <c r="AL118" s="1256"/>
    </row>
    <row r="119" spans="1:38" s="249" customFormat="1">
      <c r="A119" s="2407"/>
      <c r="B119" s="2407"/>
      <c r="C119" s="2407"/>
      <c r="D119" s="2407"/>
      <c r="E119" s="2406"/>
      <c r="F119" s="2407"/>
      <c r="G119" s="2407"/>
      <c r="H119" s="2408"/>
      <c r="I119" s="2513"/>
      <c r="J119" s="2525"/>
      <c r="K119" s="2515"/>
      <c r="L119" s="224" t="str">
        <f t="shared" si="11"/>
        <v/>
      </c>
      <c r="M119" s="224" t="str">
        <f t="shared" si="12"/>
        <v/>
      </c>
      <c r="N119" s="1086"/>
      <c r="O119" s="1102"/>
      <c r="P119" s="1102"/>
      <c r="Q119" s="1102"/>
      <c r="R119" s="1102"/>
      <c r="S119" s="574">
        <f>SUM('TB-EQUIPMENT &amp; OTHER HPs'!$O119:$R119)</f>
        <v>0</v>
      </c>
      <c r="T119" s="1062">
        <f>'TB-EQUIPMENT &amp; OTHER HPs'!$N119*'TB-EQUIPMENT &amp; OTHER HPs'!$S119</f>
        <v>0</v>
      </c>
      <c r="U119" s="1086"/>
      <c r="V119" s="1102"/>
      <c r="W119" s="1102"/>
      <c r="X119" s="1102"/>
      <c r="Y119" s="1102"/>
      <c r="Z119" s="574">
        <f>SUM('TB-EQUIPMENT &amp; OTHER HPs'!$V119:$Y119)</f>
        <v>0</v>
      </c>
      <c r="AA119" s="1062">
        <f>'TB-EQUIPMENT &amp; OTHER HPs'!$U119*'TB-EQUIPMENT &amp; OTHER HPs'!$Z119</f>
        <v>0</v>
      </c>
      <c r="AB119" s="1086"/>
      <c r="AC119" s="1102"/>
      <c r="AD119" s="1102"/>
      <c r="AE119" s="1102"/>
      <c r="AF119" s="1102"/>
      <c r="AG119" s="574">
        <f>SUM('TB-EQUIPMENT &amp; OTHER HPs'!$AC119:$AF119)</f>
        <v>0</v>
      </c>
      <c r="AH119" s="1062">
        <f>'TB-EQUIPMENT &amp; OTHER HPs'!$AB119*'TB-EQUIPMENT &amp; OTHER HPs'!$AG119</f>
        <v>0</v>
      </c>
      <c r="AI119" s="575">
        <f>'TB-EQUIPMENT &amp; OTHER HPs'!$S119+'TB-EQUIPMENT &amp; OTHER HPs'!$Z119+'TB-EQUIPMENT &amp; OTHER HPs'!$AG119</f>
        <v>0</v>
      </c>
      <c r="AJ119" s="1062">
        <f>'TB-EQUIPMENT &amp; OTHER HPs'!$T119+'TB-EQUIPMENT &amp; OTHER HPs'!$AA119+'TB-EQUIPMENT &amp; OTHER HPs'!$AH119</f>
        <v>0</v>
      </c>
      <c r="AK119" s="490" t="str">
        <f t="shared" si="13"/>
        <v/>
      </c>
      <c r="AL119" s="1255"/>
    </row>
    <row r="120" spans="1:38" s="249" customFormat="1">
      <c r="A120" s="2126"/>
      <c r="B120" s="2126"/>
      <c r="C120" s="2126"/>
      <c r="D120" s="2126"/>
      <c r="E120" s="2516"/>
      <c r="F120" s="2126"/>
      <c r="G120" s="2126"/>
      <c r="H120" s="2517"/>
      <c r="I120" s="2518"/>
      <c r="J120" s="2519"/>
      <c r="K120" s="2520"/>
      <c r="L120" s="225" t="str">
        <f t="shared" si="11"/>
        <v/>
      </c>
      <c r="M120" s="226" t="str">
        <f t="shared" si="12"/>
        <v/>
      </c>
      <c r="N120" s="1085"/>
      <c r="O120" s="36"/>
      <c r="P120" s="36"/>
      <c r="Q120" s="36"/>
      <c r="R120" s="36"/>
      <c r="S120" s="572">
        <f>SUM('TB-EQUIPMENT &amp; OTHER HPs'!$O120:$R120)</f>
        <v>0</v>
      </c>
      <c r="T120" s="1061">
        <f>'TB-EQUIPMENT &amp; OTHER HPs'!$N120*'TB-EQUIPMENT &amp; OTHER HPs'!$S120</f>
        <v>0</v>
      </c>
      <c r="U120" s="1085"/>
      <c r="V120" s="36"/>
      <c r="W120" s="36"/>
      <c r="X120" s="36"/>
      <c r="Y120" s="36"/>
      <c r="Z120" s="572">
        <f>SUM('TB-EQUIPMENT &amp; OTHER HPs'!$V120:$Y120)</f>
        <v>0</v>
      </c>
      <c r="AA120" s="1061">
        <f>'TB-EQUIPMENT &amp; OTHER HPs'!$U120*'TB-EQUIPMENT &amp; OTHER HPs'!$Z120</f>
        <v>0</v>
      </c>
      <c r="AB120" s="1085"/>
      <c r="AC120" s="36"/>
      <c r="AD120" s="36"/>
      <c r="AE120" s="36"/>
      <c r="AF120" s="36"/>
      <c r="AG120" s="572">
        <f>SUM('TB-EQUIPMENT &amp; OTHER HPs'!$AC120:$AF120)</f>
        <v>0</v>
      </c>
      <c r="AH120" s="1061">
        <f>'TB-EQUIPMENT &amp; OTHER HPs'!$AB120*'TB-EQUIPMENT &amp; OTHER HPs'!$AG120</f>
        <v>0</v>
      </c>
      <c r="AI120" s="573">
        <f>'TB-EQUIPMENT &amp; OTHER HPs'!$S120+'TB-EQUIPMENT &amp; OTHER HPs'!$Z120+'TB-EQUIPMENT &amp; OTHER HPs'!$AG120</f>
        <v>0</v>
      </c>
      <c r="AJ120" s="1061">
        <f>'TB-EQUIPMENT &amp; OTHER HPs'!$T120+'TB-EQUIPMENT &amp; OTHER HPs'!$AA120+'TB-EQUIPMENT &amp; OTHER HPs'!$AH120</f>
        <v>0</v>
      </c>
      <c r="AK120" s="491" t="str">
        <f t="shared" si="13"/>
        <v/>
      </c>
      <c r="AL120" s="1256"/>
    </row>
    <row r="121" spans="1:38" s="249" customFormat="1">
      <c r="A121" s="2407"/>
      <c r="B121" s="2407"/>
      <c r="C121" s="2407"/>
      <c r="D121" s="2407"/>
      <c r="E121" s="2406"/>
      <c r="F121" s="2407"/>
      <c r="G121" s="2407"/>
      <c r="H121" s="2408"/>
      <c r="I121" s="2513"/>
      <c r="J121" s="2525"/>
      <c r="K121" s="2515"/>
      <c r="L121" s="224" t="str">
        <f t="shared" si="11"/>
        <v/>
      </c>
      <c r="M121" s="224" t="str">
        <f t="shared" si="12"/>
        <v/>
      </c>
      <c r="N121" s="1086"/>
      <c r="O121" s="1102"/>
      <c r="P121" s="1102"/>
      <c r="Q121" s="1102"/>
      <c r="R121" s="1102"/>
      <c r="S121" s="574">
        <f>SUM('TB-EQUIPMENT &amp; OTHER HPs'!$O121:$R121)</f>
        <v>0</v>
      </c>
      <c r="T121" s="1062">
        <f>'TB-EQUIPMENT &amp; OTHER HPs'!$N121*'TB-EQUIPMENT &amp; OTHER HPs'!$S121</f>
        <v>0</v>
      </c>
      <c r="U121" s="1086"/>
      <c r="V121" s="1102"/>
      <c r="W121" s="1102"/>
      <c r="X121" s="1102"/>
      <c r="Y121" s="1102"/>
      <c r="Z121" s="574">
        <f>SUM('TB-EQUIPMENT &amp; OTHER HPs'!$V121:$Y121)</f>
        <v>0</v>
      </c>
      <c r="AA121" s="1062">
        <f>'TB-EQUIPMENT &amp; OTHER HPs'!$U121*'TB-EQUIPMENT &amp; OTHER HPs'!$Z121</f>
        <v>0</v>
      </c>
      <c r="AB121" s="1086"/>
      <c r="AC121" s="1102"/>
      <c r="AD121" s="1102"/>
      <c r="AE121" s="1102"/>
      <c r="AF121" s="1102"/>
      <c r="AG121" s="574">
        <f>SUM('TB-EQUIPMENT &amp; OTHER HPs'!$AC121:$AF121)</f>
        <v>0</v>
      </c>
      <c r="AH121" s="1062">
        <f>'TB-EQUIPMENT &amp; OTHER HPs'!$AB121*'TB-EQUIPMENT &amp; OTHER HPs'!$AG121</f>
        <v>0</v>
      </c>
      <c r="AI121" s="575">
        <f>'TB-EQUIPMENT &amp; OTHER HPs'!$S121+'TB-EQUIPMENT &amp; OTHER HPs'!$Z121+'TB-EQUIPMENT &amp; OTHER HPs'!$AG121</f>
        <v>0</v>
      </c>
      <c r="AJ121" s="1062">
        <f>'TB-EQUIPMENT &amp; OTHER HPs'!$T121+'TB-EQUIPMENT &amp; OTHER HPs'!$AA121+'TB-EQUIPMENT &amp; OTHER HPs'!$AH121</f>
        <v>0</v>
      </c>
      <c r="AK121" s="490" t="str">
        <f t="shared" si="13"/>
        <v/>
      </c>
      <c r="AL121" s="1255"/>
    </row>
    <row r="122" spans="1:38" s="249" customFormat="1">
      <c r="A122" s="2126"/>
      <c r="B122" s="2126"/>
      <c r="C122" s="2126"/>
      <c r="D122" s="2126"/>
      <c r="E122" s="2516"/>
      <c r="F122" s="2126"/>
      <c r="G122" s="2126"/>
      <c r="H122" s="2517"/>
      <c r="I122" s="2518"/>
      <c r="J122" s="2519"/>
      <c r="K122" s="2520"/>
      <c r="L122" s="225" t="str">
        <f t="shared" si="11"/>
        <v/>
      </c>
      <c r="M122" s="226" t="str">
        <f t="shared" si="12"/>
        <v/>
      </c>
      <c r="N122" s="1085"/>
      <c r="O122" s="36"/>
      <c r="P122" s="36"/>
      <c r="Q122" s="36"/>
      <c r="R122" s="36"/>
      <c r="S122" s="572">
        <f>SUM('TB-EQUIPMENT &amp; OTHER HPs'!$O122:$R122)</f>
        <v>0</v>
      </c>
      <c r="T122" s="1061">
        <f>'TB-EQUIPMENT &amp; OTHER HPs'!$N122*'TB-EQUIPMENT &amp; OTHER HPs'!$S122</f>
        <v>0</v>
      </c>
      <c r="U122" s="1085"/>
      <c r="V122" s="36"/>
      <c r="W122" s="36"/>
      <c r="X122" s="36"/>
      <c r="Y122" s="36"/>
      <c r="Z122" s="572">
        <f>SUM('TB-EQUIPMENT &amp; OTHER HPs'!$V122:$Y122)</f>
        <v>0</v>
      </c>
      <c r="AA122" s="1061">
        <f>'TB-EQUIPMENT &amp; OTHER HPs'!$U122*'TB-EQUIPMENT &amp; OTHER HPs'!$Z122</f>
        <v>0</v>
      </c>
      <c r="AB122" s="1085"/>
      <c r="AC122" s="36"/>
      <c r="AD122" s="36"/>
      <c r="AE122" s="36"/>
      <c r="AF122" s="36"/>
      <c r="AG122" s="572">
        <f>SUM('TB-EQUIPMENT &amp; OTHER HPs'!$AC122:$AF122)</f>
        <v>0</v>
      </c>
      <c r="AH122" s="1061">
        <f>'TB-EQUIPMENT &amp; OTHER HPs'!$AB122*'TB-EQUIPMENT &amp; OTHER HPs'!$AG122</f>
        <v>0</v>
      </c>
      <c r="AI122" s="573">
        <f>'TB-EQUIPMENT &amp; OTHER HPs'!$S122+'TB-EQUIPMENT &amp; OTHER HPs'!$Z122+'TB-EQUIPMENT &amp; OTHER HPs'!$AG122</f>
        <v>0</v>
      </c>
      <c r="AJ122" s="1061">
        <f>'TB-EQUIPMENT &amp; OTHER HPs'!$T122+'TB-EQUIPMENT &amp; OTHER HPs'!$AA122+'TB-EQUIPMENT &amp; OTHER HPs'!$AH122</f>
        <v>0</v>
      </c>
      <c r="AK122" s="491" t="str">
        <f t="shared" si="13"/>
        <v/>
      </c>
      <c r="AL122" s="1256"/>
    </row>
    <row r="123" spans="1:38" s="249" customFormat="1">
      <c r="A123" s="2407"/>
      <c r="B123" s="2407"/>
      <c r="C123" s="2407"/>
      <c r="D123" s="2407"/>
      <c r="E123" s="2406"/>
      <c r="F123" s="2407"/>
      <c r="G123" s="2407"/>
      <c r="H123" s="2408"/>
      <c r="I123" s="2513"/>
      <c r="J123" s="2525"/>
      <c r="K123" s="2515"/>
      <c r="L123" s="224" t="str">
        <f t="shared" si="11"/>
        <v/>
      </c>
      <c r="M123" s="224" t="str">
        <f t="shared" si="12"/>
        <v/>
      </c>
      <c r="N123" s="1086"/>
      <c r="O123" s="1102"/>
      <c r="P123" s="1102"/>
      <c r="Q123" s="1102"/>
      <c r="R123" s="1102"/>
      <c r="S123" s="574">
        <f>SUM('TB-EQUIPMENT &amp; OTHER HPs'!$O123:$R123)</f>
        <v>0</v>
      </c>
      <c r="T123" s="1062">
        <f>'TB-EQUIPMENT &amp; OTHER HPs'!$N123*'TB-EQUIPMENT &amp; OTHER HPs'!$S123</f>
        <v>0</v>
      </c>
      <c r="U123" s="1086"/>
      <c r="V123" s="1102"/>
      <c r="W123" s="1102"/>
      <c r="X123" s="1102"/>
      <c r="Y123" s="1102"/>
      <c r="Z123" s="574">
        <f>SUM('TB-EQUIPMENT &amp; OTHER HPs'!$V123:$Y123)</f>
        <v>0</v>
      </c>
      <c r="AA123" s="1062">
        <f>'TB-EQUIPMENT &amp; OTHER HPs'!$U123*'TB-EQUIPMENT &amp; OTHER HPs'!$Z123</f>
        <v>0</v>
      </c>
      <c r="AB123" s="1086"/>
      <c r="AC123" s="1102"/>
      <c r="AD123" s="1102"/>
      <c r="AE123" s="1102"/>
      <c r="AF123" s="1102"/>
      <c r="AG123" s="574">
        <f>SUM('TB-EQUIPMENT &amp; OTHER HPs'!$AC123:$AF123)</f>
        <v>0</v>
      </c>
      <c r="AH123" s="1062">
        <f>'TB-EQUIPMENT &amp; OTHER HPs'!$AB123*'TB-EQUIPMENT &amp; OTHER HPs'!$AG123</f>
        <v>0</v>
      </c>
      <c r="AI123" s="575">
        <f>'TB-EQUIPMENT &amp; OTHER HPs'!$S123+'TB-EQUIPMENT &amp; OTHER HPs'!$Z123+'TB-EQUIPMENT &amp; OTHER HPs'!$AG123</f>
        <v>0</v>
      </c>
      <c r="AJ123" s="1062">
        <f>'TB-EQUIPMENT &amp; OTHER HPs'!$T123+'TB-EQUIPMENT &amp; OTHER HPs'!$AA123+'TB-EQUIPMENT &amp; OTHER HPs'!$AH123</f>
        <v>0</v>
      </c>
      <c r="AK123" s="489" t="str">
        <f t="shared" si="13"/>
        <v/>
      </c>
      <c r="AL123" s="1252"/>
    </row>
    <row r="124" spans="1:38" s="249" customFormat="1">
      <c r="A124" s="2126"/>
      <c r="B124" s="2126"/>
      <c r="C124" s="2126"/>
      <c r="D124" s="2126"/>
      <c r="E124" s="2516"/>
      <c r="F124" s="2126"/>
      <c r="G124" s="2126"/>
      <c r="H124" s="2517"/>
      <c r="I124" s="2518"/>
      <c r="J124" s="2519"/>
      <c r="K124" s="2520"/>
      <c r="L124" s="225" t="str">
        <f t="shared" si="11"/>
        <v/>
      </c>
      <c r="M124" s="226" t="str">
        <f t="shared" si="12"/>
        <v/>
      </c>
      <c r="N124" s="1085"/>
      <c r="O124" s="36"/>
      <c r="P124" s="36"/>
      <c r="Q124" s="36"/>
      <c r="R124" s="36"/>
      <c r="S124" s="572">
        <f>SUM('TB-EQUIPMENT &amp; OTHER HPs'!$O124:$R124)</f>
        <v>0</v>
      </c>
      <c r="T124" s="1061">
        <f>'TB-EQUIPMENT &amp; OTHER HPs'!$N124*'TB-EQUIPMENT &amp; OTHER HPs'!$S124</f>
        <v>0</v>
      </c>
      <c r="U124" s="1085"/>
      <c r="V124" s="36"/>
      <c r="W124" s="36"/>
      <c r="X124" s="36"/>
      <c r="Y124" s="36"/>
      <c r="Z124" s="572">
        <f>SUM('TB-EQUIPMENT &amp; OTHER HPs'!$V124:$Y124)</f>
        <v>0</v>
      </c>
      <c r="AA124" s="1061">
        <f>'TB-EQUIPMENT &amp; OTHER HPs'!$U124*'TB-EQUIPMENT &amp; OTHER HPs'!$Z124</f>
        <v>0</v>
      </c>
      <c r="AB124" s="1085"/>
      <c r="AC124" s="36"/>
      <c r="AD124" s="36"/>
      <c r="AE124" s="36"/>
      <c r="AF124" s="36"/>
      <c r="AG124" s="572">
        <f>SUM('TB-EQUIPMENT &amp; OTHER HPs'!$AC124:$AF124)</f>
        <v>0</v>
      </c>
      <c r="AH124" s="1061">
        <f>'TB-EQUIPMENT &amp; OTHER HPs'!$AB124*'TB-EQUIPMENT &amp; OTHER HPs'!$AG124</f>
        <v>0</v>
      </c>
      <c r="AI124" s="573">
        <f>'TB-EQUIPMENT &amp; OTHER HPs'!$S124+'TB-EQUIPMENT &amp; OTHER HPs'!$Z124+'TB-EQUIPMENT &amp; OTHER HPs'!$AG124</f>
        <v>0</v>
      </c>
      <c r="AJ124" s="1061">
        <f>'TB-EQUIPMENT &amp; OTHER HPs'!$T124+'TB-EQUIPMENT &amp; OTHER HPs'!$AA124+'TB-EQUIPMENT &amp; OTHER HPs'!$AH124</f>
        <v>0</v>
      </c>
      <c r="AK124" s="486" t="str">
        <f t="shared" si="13"/>
        <v/>
      </c>
      <c r="AL124" s="1253"/>
    </row>
    <row r="125" spans="1:38" s="249" customFormat="1">
      <c r="A125" s="2407"/>
      <c r="B125" s="2407"/>
      <c r="C125" s="2407"/>
      <c r="D125" s="2407"/>
      <c r="E125" s="2406"/>
      <c r="F125" s="2407"/>
      <c r="G125" s="2407"/>
      <c r="H125" s="2408"/>
      <c r="I125" s="2513"/>
      <c r="J125" s="2525"/>
      <c r="K125" s="2515"/>
      <c r="L125" s="224" t="str">
        <f t="shared" si="11"/>
        <v/>
      </c>
      <c r="M125" s="224" t="str">
        <f t="shared" si="12"/>
        <v/>
      </c>
      <c r="N125" s="1086"/>
      <c r="O125" s="1102"/>
      <c r="P125" s="1102"/>
      <c r="Q125" s="1102"/>
      <c r="R125" s="1102"/>
      <c r="S125" s="574">
        <f>SUM('TB-EQUIPMENT &amp; OTHER HPs'!$O125:$R125)</f>
        <v>0</v>
      </c>
      <c r="T125" s="1062">
        <f>'TB-EQUIPMENT &amp; OTHER HPs'!$N125*'TB-EQUIPMENT &amp; OTHER HPs'!$S125</f>
        <v>0</v>
      </c>
      <c r="U125" s="1086"/>
      <c r="V125" s="1102"/>
      <c r="W125" s="1102"/>
      <c r="X125" s="1102"/>
      <c r="Y125" s="1102"/>
      <c r="Z125" s="574">
        <f>SUM('TB-EQUIPMENT &amp; OTHER HPs'!$V125:$Y125)</f>
        <v>0</v>
      </c>
      <c r="AA125" s="1062">
        <f>'TB-EQUIPMENT &amp; OTHER HPs'!$U125*'TB-EQUIPMENT &amp; OTHER HPs'!$Z125</f>
        <v>0</v>
      </c>
      <c r="AB125" s="1086"/>
      <c r="AC125" s="1102"/>
      <c r="AD125" s="1102"/>
      <c r="AE125" s="1102"/>
      <c r="AF125" s="1102"/>
      <c r="AG125" s="574">
        <f>SUM('TB-EQUIPMENT &amp; OTHER HPs'!$AC125:$AF125)</f>
        <v>0</v>
      </c>
      <c r="AH125" s="1062">
        <f>'TB-EQUIPMENT &amp; OTHER HPs'!$AB125*'TB-EQUIPMENT &amp; OTHER HPs'!$AG125</f>
        <v>0</v>
      </c>
      <c r="AI125" s="575">
        <f>'TB-EQUIPMENT &amp; OTHER HPs'!$S125+'TB-EQUIPMENT &amp; OTHER HPs'!$Z125+'TB-EQUIPMENT &amp; OTHER HPs'!$AG125</f>
        <v>0</v>
      </c>
      <c r="AJ125" s="1062">
        <f>'TB-EQUIPMENT &amp; OTHER HPs'!$T125+'TB-EQUIPMENT &amp; OTHER HPs'!$AA125+'TB-EQUIPMENT &amp; OTHER HPs'!$AH125</f>
        <v>0</v>
      </c>
      <c r="AK125" s="489" t="str">
        <f t="shared" si="13"/>
        <v/>
      </c>
      <c r="AL125" s="1252"/>
    </row>
    <row r="126" spans="1:38" s="249" customFormat="1">
      <c r="A126" s="2126"/>
      <c r="B126" s="2126"/>
      <c r="C126" s="2126"/>
      <c r="D126" s="2126"/>
      <c r="E126" s="2516"/>
      <c r="F126" s="2126"/>
      <c r="G126" s="2126"/>
      <c r="H126" s="2517"/>
      <c r="I126" s="2518"/>
      <c r="J126" s="2519"/>
      <c r="K126" s="2520"/>
      <c r="L126" s="225" t="str">
        <f t="shared" si="11"/>
        <v/>
      </c>
      <c r="M126" s="226" t="str">
        <f t="shared" si="12"/>
        <v/>
      </c>
      <c r="N126" s="1085"/>
      <c r="O126" s="36"/>
      <c r="P126" s="36"/>
      <c r="Q126" s="36"/>
      <c r="R126" s="36"/>
      <c r="S126" s="572">
        <f>SUM('TB-EQUIPMENT &amp; OTHER HPs'!$O126:$R126)</f>
        <v>0</v>
      </c>
      <c r="T126" s="1061">
        <f>'TB-EQUIPMENT &amp; OTHER HPs'!$N126*'TB-EQUIPMENT &amp; OTHER HPs'!$S126</f>
        <v>0</v>
      </c>
      <c r="U126" s="1085"/>
      <c r="V126" s="36"/>
      <c r="W126" s="36"/>
      <c r="X126" s="36"/>
      <c r="Y126" s="36"/>
      <c r="Z126" s="572">
        <f>SUM('TB-EQUIPMENT &amp; OTHER HPs'!$V126:$Y126)</f>
        <v>0</v>
      </c>
      <c r="AA126" s="1061">
        <f>'TB-EQUIPMENT &amp; OTHER HPs'!$U126*'TB-EQUIPMENT &amp; OTHER HPs'!$Z126</f>
        <v>0</v>
      </c>
      <c r="AB126" s="1085"/>
      <c r="AC126" s="36"/>
      <c r="AD126" s="36"/>
      <c r="AE126" s="36"/>
      <c r="AF126" s="36"/>
      <c r="AG126" s="572">
        <f>SUM('TB-EQUIPMENT &amp; OTHER HPs'!$AC126:$AF126)</f>
        <v>0</v>
      </c>
      <c r="AH126" s="1061">
        <f>'TB-EQUIPMENT &amp; OTHER HPs'!$AB126*'TB-EQUIPMENT &amp; OTHER HPs'!$AG126</f>
        <v>0</v>
      </c>
      <c r="AI126" s="573">
        <f>'TB-EQUIPMENT &amp; OTHER HPs'!$S126+'TB-EQUIPMENT &amp; OTHER HPs'!$Z126+'TB-EQUIPMENT &amp; OTHER HPs'!$AG126</f>
        <v>0</v>
      </c>
      <c r="AJ126" s="1061">
        <f>'TB-EQUIPMENT &amp; OTHER HPs'!$T126+'TB-EQUIPMENT &amp; OTHER HPs'!$AA126+'TB-EQUIPMENT &amp; OTHER HPs'!$AH126</f>
        <v>0</v>
      </c>
      <c r="AK126" s="486" t="str">
        <f t="shared" si="13"/>
        <v/>
      </c>
      <c r="AL126" s="1253"/>
    </row>
    <row r="127" spans="1:38" s="249" customFormat="1">
      <c r="A127" s="2407"/>
      <c r="B127" s="2407"/>
      <c r="C127" s="2407"/>
      <c r="D127" s="2407"/>
      <c r="E127" s="2406"/>
      <c r="F127" s="2407"/>
      <c r="G127" s="2407"/>
      <c r="H127" s="2408"/>
      <c r="I127" s="2513"/>
      <c r="J127" s="2525"/>
      <c r="K127" s="2515"/>
      <c r="L127" s="224" t="str">
        <f t="shared" si="11"/>
        <v/>
      </c>
      <c r="M127" s="224" t="str">
        <f t="shared" si="12"/>
        <v/>
      </c>
      <c r="N127" s="1086"/>
      <c r="O127" s="1102"/>
      <c r="P127" s="1102"/>
      <c r="Q127" s="1102"/>
      <c r="R127" s="1102"/>
      <c r="S127" s="574">
        <f>SUM('TB-EQUIPMENT &amp; OTHER HPs'!$O127:$R127)</f>
        <v>0</v>
      </c>
      <c r="T127" s="1062">
        <f>'TB-EQUIPMENT &amp; OTHER HPs'!$N127*'TB-EQUIPMENT &amp; OTHER HPs'!$S127</f>
        <v>0</v>
      </c>
      <c r="U127" s="1086"/>
      <c r="V127" s="1102"/>
      <c r="W127" s="1102"/>
      <c r="X127" s="1102"/>
      <c r="Y127" s="1102"/>
      <c r="Z127" s="574">
        <f>SUM('TB-EQUIPMENT &amp; OTHER HPs'!$V127:$Y127)</f>
        <v>0</v>
      </c>
      <c r="AA127" s="1062">
        <f>'TB-EQUIPMENT &amp; OTHER HPs'!$U127*'TB-EQUIPMENT &amp; OTHER HPs'!$Z127</f>
        <v>0</v>
      </c>
      <c r="AB127" s="1086"/>
      <c r="AC127" s="1102"/>
      <c r="AD127" s="1102"/>
      <c r="AE127" s="1102"/>
      <c r="AF127" s="1102"/>
      <c r="AG127" s="574">
        <f>SUM('TB-EQUIPMENT &amp; OTHER HPs'!$AC127:$AF127)</f>
        <v>0</v>
      </c>
      <c r="AH127" s="1062">
        <f>'TB-EQUIPMENT &amp; OTHER HPs'!$AB127*'TB-EQUIPMENT &amp; OTHER HPs'!$AG127</f>
        <v>0</v>
      </c>
      <c r="AI127" s="575">
        <f>'TB-EQUIPMENT &amp; OTHER HPs'!$S127+'TB-EQUIPMENT &amp; OTHER HPs'!$Z127+'TB-EQUIPMENT &amp; OTHER HPs'!$AG127</f>
        <v>0</v>
      </c>
      <c r="AJ127" s="1062">
        <f>'TB-EQUIPMENT &amp; OTHER HPs'!$T127+'TB-EQUIPMENT &amp; OTHER HPs'!$AA127+'TB-EQUIPMENT &amp; OTHER HPs'!$AH127</f>
        <v>0</v>
      </c>
      <c r="AK127" s="489" t="str">
        <f t="shared" si="13"/>
        <v/>
      </c>
      <c r="AL127" s="1252"/>
    </row>
    <row r="128" spans="1:38" s="249" customFormat="1">
      <c r="A128" s="2126"/>
      <c r="B128" s="2126"/>
      <c r="C128" s="2126"/>
      <c r="D128" s="2126"/>
      <c r="E128" s="2516"/>
      <c r="F128" s="2126"/>
      <c r="G128" s="2126"/>
      <c r="H128" s="2517"/>
      <c r="I128" s="2518"/>
      <c r="J128" s="2519"/>
      <c r="K128" s="2520"/>
      <c r="L128" s="225" t="str">
        <f t="shared" si="11"/>
        <v/>
      </c>
      <c r="M128" s="226" t="str">
        <f t="shared" si="12"/>
        <v/>
      </c>
      <c r="N128" s="1085"/>
      <c r="O128" s="36"/>
      <c r="P128" s="36"/>
      <c r="Q128" s="36"/>
      <c r="R128" s="36"/>
      <c r="S128" s="572">
        <f>SUM('TB-EQUIPMENT &amp; OTHER HPs'!$O128:$R128)</f>
        <v>0</v>
      </c>
      <c r="T128" s="1061">
        <f>'TB-EQUIPMENT &amp; OTHER HPs'!$N128*'TB-EQUIPMENT &amp; OTHER HPs'!$S128</f>
        <v>0</v>
      </c>
      <c r="U128" s="1085"/>
      <c r="V128" s="36"/>
      <c r="W128" s="36"/>
      <c r="X128" s="36"/>
      <c r="Y128" s="36"/>
      <c r="Z128" s="572">
        <f>SUM('TB-EQUIPMENT &amp; OTHER HPs'!$V128:$Y128)</f>
        <v>0</v>
      </c>
      <c r="AA128" s="1061">
        <f>'TB-EQUIPMENT &amp; OTHER HPs'!$U128*'TB-EQUIPMENT &amp; OTHER HPs'!$Z128</f>
        <v>0</v>
      </c>
      <c r="AB128" s="1085"/>
      <c r="AC128" s="36"/>
      <c r="AD128" s="36"/>
      <c r="AE128" s="36"/>
      <c r="AF128" s="36"/>
      <c r="AG128" s="572">
        <f>SUM('TB-EQUIPMENT &amp; OTHER HPs'!$AC128:$AF128)</f>
        <v>0</v>
      </c>
      <c r="AH128" s="1061">
        <f>'TB-EQUIPMENT &amp; OTHER HPs'!$AB128*'TB-EQUIPMENT &amp; OTHER HPs'!$AG128</f>
        <v>0</v>
      </c>
      <c r="AI128" s="573">
        <f>'TB-EQUIPMENT &amp; OTHER HPs'!$S128+'TB-EQUIPMENT &amp; OTHER HPs'!$Z128+'TB-EQUIPMENT &amp; OTHER HPs'!$AG128</f>
        <v>0</v>
      </c>
      <c r="AJ128" s="1061">
        <f>'TB-EQUIPMENT &amp; OTHER HPs'!$T128+'TB-EQUIPMENT &amp; OTHER HPs'!$AA128+'TB-EQUIPMENT &amp; OTHER HPs'!$AH128</f>
        <v>0</v>
      </c>
      <c r="AK128" s="486" t="str">
        <f t="shared" si="13"/>
        <v/>
      </c>
      <c r="AL128" s="1253"/>
    </row>
    <row r="129" spans="1:60" s="249" customFormat="1">
      <c r="A129" s="2407"/>
      <c r="B129" s="2407"/>
      <c r="C129" s="2407"/>
      <c r="D129" s="2407"/>
      <c r="E129" s="2406"/>
      <c r="F129" s="2407"/>
      <c r="G129" s="2407"/>
      <c r="H129" s="2408"/>
      <c r="I129" s="2513"/>
      <c r="J129" s="2525"/>
      <c r="K129" s="2515"/>
      <c r="L129" s="224" t="str">
        <f t="shared" si="11"/>
        <v/>
      </c>
      <c r="M129" s="224" t="str">
        <f t="shared" si="12"/>
        <v/>
      </c>
      <c r="N129" s="1086"/>
      <c r="O129" s="1102"/>
      <c r="P129" s="1102"/>
      <c r="Q129" s="1102"/>
      <c r="R129" s="1102"/>
      <c r="S129" s="574">
        <f>SUM('TB-EQUIPMENT &amp; OTHER HPs'!$O129:$R129)</f>
        <v>0</v>
      </c>
      <c r="T129" s="1062">
        <f>'TB-EQUIPMENT &amp; OTHER HPs'!$N129*'TB-EQUIPMENT &amp; OTHER HPs'!$S129</f>
        <v>0</v>
      </c>
      <c r="U129" s="1086"/>
      <c r="V129" s="1102"/>
      <c r="W129" s="1102"/>
      <c r="X129" s="1102"/>
      <c r="Y129" s="1102"/>
      <c r="Z129" s="574">
        <f>SUM('TB-EQUIPMENT &amp; OTHER HPs'!$V129:$Y129)</f>
        <v>0</v>
      </c>
      <c r="AA129" s="1062">
        <f>'TB-EQUIPMENT &amp; OTHER HPs'!$U129*'TB-EQUIPMENT &amp; OTHER HPs'!$Z129</f>
        <v>0</v>
      </c>
      <c r="AB129" s="1086"/>
      <c r="AC129" s="1102"/>
      <c r="AD129" s="1102"/>
      <c r="AE129" s="1102"/>
      <c r="AF129" s="1102"/>
      <c r="AG129" s="574">
        <f>SUM('TB-EQUIPMENT &amp; OTHER HPs'!$AC129:$AF129)</f>
        <v>0</v>
      </c>
      <c r="AH129" s="1062">
        <f>'TB-EQUIPMENT &amp; OTHER HPs'!$AB129*'TB-EQUIPMENT &amp; OTHER HPs'!$AG129</f>
        <v>0</v>
      </c>
      <c r="AI129" s="575">
        <f>'TB-EQUIPMENT &amp; OTHER HPs'!$S129+'TB-EQUIPMENT &amp; OTHER HPs'!$Z129+'TB-EQUIPMENT &amp; OTHER HPs'!$AG129</f>
        <v>0</v>
      </c>
      <c r="AJ129" s="1062">
        <f>'TB-EQUIPMENT &amp; OTHER HPs'!$T129+'TB-EQUIPMENT &amp; OTHER HPs'!$AA129+'TB-EQUIPMENT &amp; OTHER HPs'!$AH129</f>
        <v>0</v>
      </c>
      <c r="AK129" s="489" t="str">
        <f t="shared" si="13"/>
        <v/>
      </c>
      <c r="AL129" s="1252"/>
    </row>
    <row r="130" spans="1:60" s="249" customFormat="1" ht="15" thickBot="1">
      <c r="A130" s="2545"/>
      <c r="B130" s="2545"/>
      <c r="C130" s="2545"/>
      <c r="D130" s="2545"/>
      <c r="E130" s="2544"/>
      <c r="F130" s="2545"/>
      <c r="G130" s="2545"/>
      <c r="H130" s="2546"/>
      <c r="I130" s="2547"/>
      <c r="J130" s="2548"/>
      <c r="K130" s="2549"/>
      <c r="L130" s="227" t="str">
        <f t="shared" si="11"/>
        <v/>
      </c>
      <c r="M130" s="227" t="str">
        <f t="shared" si="12"/>
        <v/>
      </c>
      <c r="N130" s="1087"/>
      <c r="O130" s="1103"/>
      <c r="P130" s="1103"/>
      <c r="Q130" s="1103"/>
      <c r="R130" s="1103"/>
      <c r="S130" s="577">
        <f>SUM('TB-EQUIPMENT &amp; OTHER HPs'!$O130:$R130)</f>
        <v>0</v>
      </c>
      <c r="T130" s="1063">
        <f>'TB-EQUIPMENT &amp; OTHER HPs'!$N130*'TB-EQUIPMENT &amp; OTHER HPs'!$S130</f>
        <v>0</v>
      </c>
      <c r="U130" s="1087"/>
      <c r="V130" s="1103"/>
      <c r="W130" s="1103"/>
      <c r="X130" s="1103"/>
      <c r="Y130" s="1103"/>
      <c r="Z130" s="577">
        <f>SUM('TB-EQUIPMENT &amp; OTHER HPs'!$V130:$Y130)</f>
        <v>0</v>
      </c>
      <c r="AA130" s="1063">
        <f>'TB-EQUIPMENT &amp; OTHER HPs'!$U130*'TB-EQUIPMENT &amp; OTHER HPs'!$Z130</f>
        <v>0</v>
      </c>
      <c r="AB130" s="1087"/>
      <c r="AC130" s="1103"/>
      <c r="AD130" s="1103"/>
      <c r="AE130" s="1103"/>
      <c r="AF130" s="1103"/>
      <c r="AG130" s="577">
        <f>SUM('TB-EQUIPMENT &amp; OTHER HPs'!$AC130:$AF130)</f>
        <v>0</v>
      </c>
      <c r="AH130" s="1063">
        <f>'TB-EQUIPMENT &amp; OTHER HPs'!$AB130*'TB-EQUIPMENT &amp; OTHER HPs'!$AG130</f>
        <v>0</v>
      </c>
      <c r="AI130" s="578">
        <f>'TB-EQUIPMENT &amp; OTHER HPs'!$S130+'TB-EQUIPMENT &amp; OTHER HPs'!$Z130+'TB-EQUIPMENT &amp; OTHER HPs'!$AG130</f>
        <v>0</v>
      </c>
      <c r="AJ130" s="1063">
        <f>'TB-EQUIPMENT &amp; OTHER HPs'!$T130+'TB-EQUIPMENT &amp; OTHER HPs'!$AA130+'TB-EQUIPMENT &amp; OTHER HPs'!$AH130</f>
        <v>0</v>
      </c>
      <c r="AK130" s="579" t="str">
        <f t="shared" si="13"/>
        <v/>
      </c>
      <c r="AL130" s="1254"/>
    </row>
    <row r="131" spans="1:60" ht="15" thickBot="1">
      <c r="A131" s="203"/>
      <c r="B131" s="203"/>
      <c r="C131" s="203"/>
      <c r="D131" s="203"/>
      <c r="E131" s="203"/>
      <c r="F131" s="203"/>
      <c r="G131" s="203"/>
      <c r="H131" s="203"/>
      <c r="I131" s="203"/>
      <c r="J131" s="203"/>
      <c r="K131" s="203"/>
      <c r="L131" s="203"/>
      <c r="M131" s="203"/>
      <c r="N131" s="979"/>
      <c r="O131" s="1107"/>
      <c r="P131" s="1107"/>
      <c r="Q131" s="1107"/>
      <c r="R131" s="1107"/>
      <c r="S131" s="1107"/>
      <c r="T131" s="979"/>
      <c r="U131" s="979"/>
      <c r="V131" s="1107"/>
      <c r="W131" s="1107"/>
      <c r="X131" s="1107"/>
      <c r="Y131" s="1107"/>
      <c r="Z131" s="1107"/>
      <c r="AA131" s="979"/>
      <c r="AB131" s="979"/>
      <c r="AC131" s="1107"/>
      <c r="AD131" s="1107"/>
      <c r="AE131" s="1107"/>
      <c r="AF131" s="1107"/>
      <c r="AG131" s="1107"/>
      <c r="AH131" s="1077"/>
      <c r="AV131" s="249"/>
      <c r="AW131" s="249"/>
      <c r="AX131" s="249"/>
      <c r="AY131" s="249"/>
      <c r="AZ131" s="249"/>
      <c r="BA131" s="249"/>
      <c r="BB131" s="249"/>
      <c r="BC131" s="249"/>
      <c r="BD131" s="249"/>
      <c r="BE131" s="249"/>
      <c r="BF131" s="249"/>
      <c r="BG131" s="249"/>
      <c r="BH131" s="249"/>
    </row>
    <row r="132" spans="1:60" ht="15" customHeight="1" thickBot="1">
      <c r="A132" s="2542">
        <v>4</v>
      </c>
      <c r="B132" s="2561" t="s">
        <v>321</v>
      </c>
      <c r="C132" s="2561"/>
      <c r="D132" s="2561"/>
      <c r="E132" s="2561"/>
      <c r="F132" s="241" t="s">
        <v>2289</v>
      </c>
      <c r="G132" s="241"/>
      <c r="H132" s="2390" t="s">
        <v>319</v>
      </c>
      <c r="I132" s="2400" t="s">
        <v>312</v>
      </c>
      <c r="J132" s="2390" t="s">
        <v>313</v>
      </c>
      <c r="K132"/>
      <c r="M132" s="192"/>
      <c r="N132" s="968"/>
      <c r="O132" s="1097"/>
      <c r="P132" s="1097"/>
      <c r="Q132" s="1097"/>
      <c r="R132" s="1097"/>
      <c r="S132" s="1097"/>
      <c r="T132" s="968"/>
      <c r="U132" s="968"/>
      <c r="V132" s="1097"/>
      <c r="W132" s="1097"/>
      <c r="X132" s="1097"/>
      <c r="Y132" s="1097"/>
      <c r="Z132" s="1097"/>
      <c r="AA132" s="968"/>
      <c r="AB132" s="968"/>
      <c r="AC132" s="1097"/>
      <c r="AD132" s="1097"/>
      <c r="AE132" s="1097"/>
      <c r="AF132" s="1097"/>
      <c r="AG132" s="1097"/>
      <c r="AH132" s="1078"/>
    </row>
    <row r="133" spans="1:60" ht="15" customHeight="1" thickBot="1">
      <c r="A133" s="2543"/>
      <c r="B133" s="2562"/>
      <c r="C133" s="2562"/>
      <c r="D133" s="2562"/>
      <c r="E133" s="2562"/>
      <c r="F133" s="242" t="s">
        <v>2290</v>
      </c>
      <c r="G133" s="242"/>
      <c r="H133" s="2391"/>
      <c r="I133" s="2452"/>
      <c r="J133" s="2391"/>
      <c r="K133"/>
      <c r="M133" s="121"/>
      <c r="N133" s="968"/>
      <c r="O133" s="1097"/>
      <c r="P133" s="1097"/>
      <c r="Q133" s="1097"/>
      <c r="R133" s="1097"/>
      <c r="S133" s="1097"/>
      <c r="T133" s="968"/>
      <c r="U133" s="968"/>
      <c r="V133" s="1097"/>
      <c r="W133" s="1097"/>
      <c r="X133" s="1097"/>
      <c r="Y133" s="1097"/>
      <c r="Z133" s="1097"/>
      <c r="AA133" s="968"/>
      <c r="AB133" s="968"/>
      <c r="AC133" s="1097"/>
      <c r="AD133" s="1097"/>
      <c r="AE133" s="1097"/>
      <c r="AF133" s="1097"/>
      <c r="AG133" s="1097"/>
      <c r="AH133" s="1078"/>
    </row>
    <row r="134" spans="1:60" ht="102" customHeight="1" thickBot="1">
      <c r="A134" s="2080" t="s">
        <v>6902</v>
      </c>
      <c r="B134" s="2081"/>
      <c r="C134" s="2081"/>
      <c r="D134" s="2081"/>
      <c r="E134" s="2081"/>
      <c r="F134" s="2081"/>
      <c r="G134" s="2081"/>
      <c r="H134" s="2081"/>
      <c r="I134" s="2081"/>
      <c r="J134" s="2081"/>
      <c r="K134" s="2081"/>
      <c r="L134" s="2081"/>
      <c r="M134" s="2145"/>
      <c r="N134" s="1091"/>
      <c r="O134" s="1108"/>
      <c r="P134" s="1108"/>
      <c r="Q134" s="1108"/>
      <c r="R134" s="1108"/>
      <c r="S134" s="1108"/>
      <c r="T134" s="1091"/>
      <c r="U134" s="1091"/>
      <c r="V134" s="1108"/>
      <c r="W134" s="1108"/>
      <c r="X134" s="1108"/>
      <c r="Y134" s="1108"/>
      <c r="Z134" s="1108"/>
      <c r="AA134" s="1091"/>
      <c r="AB134" s="1091"/>
      <c r="AC134" s="1108"/>
      <c r="AD134" s="1108"/>
      <c r="AE134" s="1108"/>
      <c r="AF134" s="1108"/>
      <c r="AG134" s="1108"/>
      <c r="AH134" s="1078"/>
    </row>
    <row r="135" spans="1:60" ht="15" thickBot="1">
      <c r="A135" s="243"/>
      <c r="B135" s="243"/>
      <c r="C135" s="243"/>
      <c r="D135" s="243"/>
      <c r="E135" s="243"/>
      <c r="F135" s="243"/>
      <c r="G135" s="243"/>
      <c r="H135" s="243"/>
      <c r="I135" s="122"/>
      <c r="J135" s="122"/>
      <c r="K135" s="122"/>
      <c r="L135" s="122"/>
      <c r="M135" s="122"/>
      <c r="N135" s="967"/>
      <c r="O135" s="1109"/>
      <c r="P135" s="1109"/>
      <c r="Q135" s="1109"/>
      <c r="R135" s="1109"/>
      <c r="S135" s="1109"/>
      <c r="T135" s="967"/>
      <c r="U135" s="967"/>
      <c r="V135" s="1109"/>
      <c r="W135" s="1109"/>
      <c r="X135" s="1109"/>
      <c r="Y135" s="1109"/>
      <c r="Z135" s="1109"/>
      <c r="AA135" s="967"/>
      <c r="AB135" s="967"/>
      <c r="AC135" s="1109"/>
      <c r="AD135" s="1109"/>
      <c r="AE135" s="1109"/>
      <c r="AF135" s="1109"/>
      <c r="AG135" s="1109"/>
      <c r="AH135" s="1078"/>
    </row>
    <row r="136" spans="1:60" ht="15" thickBot="1">
      <c r="A136" s="2552" t="s">
        <v>1233</v>
      </c>
      <c r="B136" s="2511"/>
      <c r="C136" s="2511"/>
      <c r="D136" s="2511"/>
      <c r="E136" s="2552" t="s">
        <v>196</v>
      </c>
      <c r="F136" s="2511"/>
      <c r="G136" s="2511"/>
      <c r="H136" s="2511"/>
      <c r="I136" s="2532" t="s">
        <v>251</v>
      </c>
      <c r="J136" s="2441"/>
      <c r="K136" s="2533"/>
      <c r="L136" s="2511" t="s">
        <v>151</v>
      </c>
      <c r="M136" s="2441" t="s">
        <v>49</v>
      </c>
      <c r="N136" s="2508" t="str">
        <f>N89</f>
        <v>Please fill setup</v>
      </c>
      <c r="O136" s="2504"/>
      <c r="P136" s="2504"/>
      <c r="Q136" s="2504"/>
      <c r="R136" s="2504"/>
      <c r="S136" s="2504"/>
      <c r="T136" s="2505"/>
      <c r="U136" s="2508" t="str">
        <f>U89</f>
        <v>Please fill setup</v>
      </c>
      <c r="V136" s="2504"/>
      <c r="W136" s="2504"/>
      <c r="X136" s="2504"/>
      <c r="Y136" s="2504"/>
      <c r="Z136" s="2504"/>
      <c r="AA136" s="2505"/>
      <c r="AB136" s="2508" t="str">
        <f>AB89</f>
        <v>Please fill setup</v>
      </c>
      <c r="AC136" s="2504"/>
      <c r="AD136" s="2504"/>
      <c r="AE136" s="2504"/>
      <c r="AF136" s="2504"/>
      <c r="AG136" s="2504"/>
      <c r="AH136" s="2505"/>
      <c r="AI136" s="2511" t="s">
        <v>152</v>
      </c>
      <c r="AJ136" s="2512"/>
      <c r="AK136" s="547" t="s">
        <v>153</v>
      </c>
      <c r="AL136" s="2506" t="s">
        <v>6865</v>
      </c>
    </row>
    <row r="137" spans="1:60" s="412" customFormat="1" ht="26.5" thickBot="1">
      <c r="A137" s="2553"/>
      <c r="B137" s="2551"/>
      <c r="C137" s="2551"/>
      <c r="D137" s="2551"/>
      <c r="E137" s="2553"/>
      <c r="F137" s="2551"/>
      <c r="G137" s="2551"/>
      <c r="H137" s="2551"/>
      <c r="I137" s="2554"/>
      <c r="J137" s="2551"/>
      <c r="K137" s="2555"/>
      <c r="L137" s="2551"/>
      <c r="M137" s="2550"/>
      <c r="N137" s="1083" t="s">
        <v>198</v>
      </c>
      <c r="O137" s="1100" t="s">
        <v>155</v>
      </c>
      <c r="P137" s="1100" t="s">
        <v>156</v>
      </c>
      <c r="Q137" s="1100" t="s">
        <v>157</v>
      </c>
      <c r="R137" s="1100" t="s">
        <v>158</v>
      </c>
      <c r="S137" s="1100" t="s">
        <v>159</v>
      </c>
      <c r="T137" s="1059" t="s">
        <v>160</v>
      </c>
      <c r="U137" s="1083" t="s">
        <v>161</v>
      </c>
      <c r="V137" s="1100" t="s">
        <v>162</v>
      </c>
      <c r="W137" s="1100" t="s">
        <v>163</v>
      </c>
      <c r="X137" s="1100" t="s">
        <v>164</v>
      </c>
      <c r="Y137" s="1100" t="s">
        <v>165</v>
      </c>
      <c r="Z137" s="1100" t="s">
        <v>166</v>
      </c>
      <c r="AA137" s="1059" t="s">
        <v>167</v>
      </c>
      <c r="AB137" s="1083" t="s">
        <v>168</v>
      </c>
      <c r="AC137" s="1100" t="s">
        <v>169</v>
      </c>
      <c r="AD137" s="1100" t="s">
        <v>170</v>
      </c>
      <c r="AE137" s="1100" t="s">
        <v>171</v>
      </c>
      <c r="AF137" s="1100" t="s">
        <v>172</v>
      </c>
      <c r="AG137" s="1100" t="s">
        <v>173</v>
      </c>
      <c r="AH137" s="1059" t="s">
        <v>174</v>
      </c>
      <c r="AI137" s="1116" t="s">
        <v>175</v>
      </c>
      <c r="AJ137" s="1059" t="s">
        <v>176</v>
      </c>
      <c r="AK137" s="478" t="s">
        <v>177</v>
      </c>
      <c r="AL137" s="2507"/>
      <c r="AV137" s="105"/>
      <c r="AW137" s="105"/>
      <c r="AX137" s="105"/>
      <c r="AY137" s="105"/>
      <c r="AZ137" s="105"/>
      <c r="BA137" s="105"/>
      <c r="BB137" s="105"/>
      <c r="BC137" s="105"/>
      <c r="BD137" s="105"/>
      <c r="BE137" s="105"/>
      <c r="BF137" s="105"/>
      <c r="BG137" s="105"/>
      <c r="BH137" s="105"/>
    </row>
    <row r="138" spans="1:60" s="1478" customFormat="1">
      <c r="A138" s="2455"/>
      <c r="B138" s="2456"/>
      <c r="C138" s="2456"/>
      <c r="D138" s="2456"/>
      <c r="E138" s="2455"/>
      <c r="F138" s="2456"/>
      <c r="G138" s="2456"/>
      <c r="H138" s="2456"/>
      <c r="I138" s="2537"/>
      <c r="J138" s="2538"/>
      <c r="K138" s="2539"/>
      <c r="L138" s="1464" t="str">
        <f>IF(E138="","","Piece")</f>
        <v/>
      </c>
      <c r="M138" s="1464" t="str">
        <f>IF(L138="", "","USD")</f>
        <v/>
      </c>
      <c r="N138" s="1092"/>
      <c r="O138" s="1110"/>
      <c r="P138" s="1110"/>
      <c r="Q138" s="1110"/>
      <c r="R138" s="1110"/>
      <c r="S138" s="590">
        <f>SUM('TB-EQUIPMENT &amp; OTHER HPs'!$O138:$R138)</f>
        <v>0</v>
      </c>
      <c r="T138" s="1067">
        <f>'TB-EQUIPMENT &amp; OTHER HPs'!$N138*'TB-EQUIPMENT &amp; OTHER HPs'!$S138</f>
        <v>0</v>
      </c>
      <c r="U138" s="1092"/>
      <c r="V138" s="1110"/>
      <c r="W138" s="1110"/>
      <c r="X138" s="1110"/>
      <c r="Y138" s="1110"/>
      <c r="Z138" s="590">
        <f>SUM('TB-EQUIPMENT &amp; OTHER HPs'!$V138:$Y138)</f>
        <v>0</v>
      </c>
      <c r="AA138" s="1067">
        <f>'TB-EQUIPMENT &amp; OTHER HPs'!$U138*'TB-EQUIPMENT &amp; OTHER HPs'!$Z138</f>
        <v>0</v>
      </c>
      <c r="AB138" s="1092"/>
      <c r="AC138" s="1110"/>
      <c r="AD138" s="1110"/>
      <c r="AE138" s="1110"/>
      <c r="AF138" s="1110"/>
      <c r="AG138" s="590">
        <f>SUM('TB-EQUIPMENT &amp; OTHER HPs'!$AC138:$AF138)</f>
        <v>0</v>
      </c>
      <c r="AH138" s="1067">
        <f>'TB-EQUIPMENT &amp; OTHER HPs'!$AB138*'TB-EQUIPMENT &amp; OTHER HPs'!$AG138</f>
        <v>0</v>
      </c>
      <c r="AI138" s="591">
        <f>'TB-EQUIPMENT &amp; OTHER HPs'!$S138+'TB-EQUIPMENT &amp; OTHER HPs'!$Z138+'TB-EQUIPMENT &amp; OTHER HPs'!$AG138</f>
        <v>0</v>
      </c>
      <c r="AJ138" s="1067">
        <f>'TB-EQUIPMENT &amp; OTHER HPs'!$T138+'TB-EQUIPMENT &amp; OTHER HPs'!$AA138+'TB-EQUIPMENT &amp; OTHER HPs'!$AH138</f>
        <v>0</v>
      </c>
      <c r="AK138" s="1476" t="str">
        <f>IF(ISBLANK(E138),"",IF(OR(ISNUMBER(SEARCH("Equipment",I138)),ISNUMBER(SEARCH("Spare",I138)),ISNUMBER(SEARCH("Laboratory equipment",E138)),ISNUMBER(SEARCH("ECG",E138)),ISNUMBER(SEARCH("Equipment-Other",E138)),ISNUMBER(SEARCH("X-ray",E138))),"6.6",IF(OR(ISNUMBER(SEARCH("Warranty",I138)),ISNUMBER(SEARCH("Calibration",I138)),ISNUMBER(SEARCH("maintenance and services",E138)),ISNUMBER(SEARCH("Autoclave",E138))),"6.5",IF(ISNUMBER(SEARCH("Syringes",E138)),"5.7",IF(ISNUMBER(SEARCH("Consumables",E138)),"5.8",IF(ISNUMBER(SEARCH("Rapid Diagnostic Test",E138)),"5.4","5.6"))))))</f>
        <v/>
      </c>
      <c r="AL138" s="1477"/>
      <c r="AV138" s="1472"/>
      <c r="AW138" s="1472"/>
      <c r="AX138" s="1472"/>
      <c r="AY138" s="1472"/>
      <c r="AZ138" s="1472"/>
      <c r="BA138" s="1472"/>
      <c r="BB138" s="1472"/>
      <c r="BC138" s="1472"/>
      <c r="BD138" s="1472"/>
      <c r="BE138" s="1472"/>
      <c r="BF138" s="1472"/>
      <c r="BG138" s="1472"/>
      <c r="BH138" s="1472"/>
    </row>
    <row r="139" spans="1:60" s="1478" customFormat="1">
      <c r="A139" s="2516"/>
      <c r="B139" s="2126"/>
      <c r="C139" s="2126"/>
      <c r="D139" s="2126"/>
      <c r="E139" s="2516"/>
      <c r="F139" s="2125"/>
      <c r="G139" s="2125"/>
      <c r="H139" s="2125"/>
      <c r="I139" s="2518"/>
      <c r="J139" s="2521"/>
      <c r="K139" s="2520"/>
      <c r="L139" s="1467" t="str">
        <f>IF(E139="","","Piece")</f>
        <v/>
      </c>
      <c r="M139" s="1475" t="str">
        <f>IF(L139="", "","USD")</f>
        <v/>
      </c>
      <c r="N139" s="1093"/>
      <c r="O139" s="1111"/>
      <c r="P139" s="1111"/>
      <c r="Q139" s="1111"/>
      <c r="R139" s="1111"/>
      <c r="S139" s="592">
        <f>SUM('TB-EQUIPMENT &amp; OTHER HPs'!$O139:$R139)</f>
        <v>0</v>
      </c>
      <c r="T139" s="1068">
        <f>'TB-EQUIPMENT &amp; OTHER HPs'!$N139*'TB-EQUIPMENT &amp; OTHER HPs'!$S139</f>
        <v>0</v>
      </c>
      <c r="U139" s="1093"/>
      <c r="V139" s="1111"/>
      <c r="W139" s="1111"/>
      <c r="X139" s="1111"/>
      <c r="Y139" s="1111"/>
      <c r="Z139" s="592">
        <f>SUM('TB-EQUIPMENT &amp; OTHER HPs'!$V139:$Y139)</f>
        <v>0</v>
      </c>
      <c r="AA139" s="1068">
        <f>'TB-EQUIPMENT &amp; OTHER HPs'!$U139*'TB-EQUIPMENT &amp; OTHER HPs'!$Z139</f>
        <v>0</v>
      </c>
      <c r="AB139" s="1093"/>
      <c r="AC139" s="1111"/>
      <c r="AD139" s="1111"/>
      <c r="AE139" s="1111"/>
      <c r="AF139" s="1111"/>
      <c r="AG139" s="592">
        <f>SUM('TB-EQUIPMENT &amp; OTHER HPs'!$AC139:$AF139)</f>
        <v>0</v>
      </c>
      <c r="AH139" s="1068">
        <f>'TB-EQUIPMENT &amp; OTHER HPs'!$AB139*'TB-EQUIPMENT &amp; OTHER HPs'!$AG139</f>
        <v>0</v>
      </c>
      <c r="AI139" s="593">
        <f>'TB-EQUIPMENT &amp; OTHER HPs'!$S139+'TB-EQUIPMENT &amp; OTHER HPs'!$Z139+'TB-EQUIPMENT &amp; OTHER HPs'!$AG139</f>
        <v>0</v>
      </c>
      <c r="AJ139" s="1068">
        <f>'TB-EQUIPMENT &amp; OTHER HPs'!$T139+'TB-EQUIPMENT &amp; OTHER HPs'!$AA139+'TB-EQUIPMENT &amp; OTHER HPs'!$AH139</f>
        <v>0</v>
      </c>
      <c r="AK139" s="1473" t="str">
        <f t="shared" ref="AK139:AK142" si="14">IF(ISBLANK(E139),"",IF(OR(ISNUMBER(SEARCH("Equipment",I139)),ISNUMBER(SEARCH("Spare",I139)),ISNUMBER(SEARCH("Laboratory equipment",E139)),ISNUMBER(SEARCH("ECG",E139)),ISNUMBER(SEARCH("Equipment-Other",E139)),ISNUMBER(SEARCH("X-ray",E139))),"6.6",IF(OR(ISNUMBER(SEARCH("Warranty",I139)),ISNUMBER(SEARCH("Calibration",I139)),ISNUMBER(SEARCH("maintenance and services",E139)),ISNUMBER(SEARCH("Autoclave",E139))),"6.5",IF(ISNUMBER(SEARCH("Syringes",E139)),"5.7",IF(ISNUMBER(SEARCH("Consumables",E139)),"5.8",IF(ISNUMBER(SEARCH("Rapid Diagnostic Test",E139)),"5.4","5.6"))))))</f>
        <v/>
      </c>
      <c r="AL139" s="1253"/>
    </row>
    <row r="140" spans="1:60" s="1478" customFormat="1">
      <c r="A140" s="2406"/>
      <c r="B140" s="2407"/>
      <c r="C140" s="2407"/>
      <c r="D140" s="2407"/>
      <c r="E140" s="2406"/>
      <c r="F140" s="2416"/>
      <c r="G140" s="2416"/>
      <c r="H140" s="2416"/>
      <c r="I140" s="2513"/>
      <c r="J140" s="2514"/>
      <c r="K140" s="2515"/>
      <c r="L140" s="1455" t="str">
        <f>IF(E140="","","Piece")</f>
        <v/>
      </c>
      <c r="M140" s="1455" t="str">
        <f>IF(L140="", "","USD")</f>
        <v/>
      </c>
      <c r="N140" s="1094"/>
      <c r="O140" s="1112"/>
      <c r="P140" s="1112"/>
      <c r="Q140" s="1112"/>
      <c r="R140" s="1112"/>
      <c r="S140" s="594">
        <f>SUM('TB-EQUIPMENT &amp; OTHER HPs'!$O140:$R140)</f>
        <v>0</v>
      </c>
      <c r="T140" s="1069">
        <f>'TB-EQUIPMENT &amp; OTHER HPs'!$N140*'TB-EQUIPMENT &amp; OTHER HPs'!$S140</f>
        <v>0</v>
      </c>
      <c r="U140" s="1094"/>
      <c r="V140" s="1112"/>
      <c r="W140" s="1112"/>
      <c r="X140" s="1112"/>
      <c r="Y140" s="1112"/>
      <c r="Z140" s="594">
        <f>SUM('TB-EQUIPMENT &amp; OTHER HPs'!$V140:$Y140)</f>
        <v>0</v>
      </c>
      <c r="AA140" s="1069">
        <f>'TB-EQUIPMENT &amp; OTHER HPs'!$U140*'TB-EQUIPMENT &amp; OTHER HPs'!$Z140</f>
        <v>0</v>
      </c>
      <c r="AB140" s="1094"/>
      <c r="AC140" s="1112"/>
      <c r="AD140" s="1112"/>
      <c r="AE140" s="1112"/>
      <c r="AF140" s="1112"/>
      <c r="AG140" s="594">
        <f>SUM('TB-EQUIPMENT &amp; OTHER HPs'!$AC140:$AF140)</f>
        <v>0</v>
      </c>
      <c r="AH140" s="1069">
        <f>'TB-EQUIPMENT &amp; OTHER HPs'!$AB140*'TB-EQUIPMENT &amp; OTHER HPs'!$AG140</f>
        <v>0</v>
      </c>
      <c r="AI140" s="595">
        <f>'TB-EQUIPMENT &amp; OTHER HPs'!$S140+'TB-EQUIPMENT &amp; OTHER HPs'!$Z140+'TB-EQUIPMENT &amp; OTHER HPs'!$AG140</f>
        <v>0</v>
      </c>
      <c r="AJ140" s="1069">
        <f>'TB-EQUIPMENT &amp; OTHER HPs'!$T140+'TB-EQUIPMENT &amp; OTHER HPs'!$AA140+'TB-EQUIPMENT &amp; OTHER HPs'!$AH140</f>
        <v>0</v>
      </c>
      <c r="AK140" s="1474" t="str">
        <f t="shared" si="14"/>
        <v/>
      </c>
      <c r="AL140" s="1252"/>
    </row>
    <row r="141" spans="1:60" s="1478" customFormat="1">
      <c r="A141" s="2516"/>
      <c r="B141" s="2126"/>
      <c r="C141" s="2126"/>
      <c r="D141" s="2126"/>
      <c r="E141" s="2516"/>
      <c r="F141" s="2125"/>
      <c r="G141" s="2125"/>
      <c r="H141" s="2125"/>
      <c r="I141" s="2518"/>
      <c r="J141" s="2521"/>
      <c r="K141" s="2520"/>
      <c r="L141" s="1467" t="str">
        <f t="shared" ref="L141:L142" si="15">IF(E141="","","Piece")</f>
        <v/>
      </c>
      <c r="M141" s="1475" t="str">
        <f t="shared" ref="M141:M142" si="16">IF(L141="", "","USD")</f>
        <v/>
      </c>
      <c r="N141" s="1093"/>
      <c r="O141" s="1111"/>
      <c r="P141" s="1111"/>
      <c r="Q141" s="1111"/>
      <c r="R141" s="1111"/>
      <c r="S141" s="592">
        <f>SUM('TB-EQUIPMENT &amp; OTHER HPs'!$O141:$R141)</f>
        <v>0</v>
      </c>
      <c r="T141" s="1068">
        <f>'TB-EQUIPMENT &amp; OTHER HPs'!$N141*'TB-EQUIPMENT &amp; OTHER HPs'!$S141</f>
        <v>0</v>
      </c>
      <c r="U141" s="1093"/>
      <c r="V141" s="1111"/>
      <c r="W141" s="1111"/>
      <c r="X141" s="1111"/>
      <c r="Y141" s="1111"/>
      <c r="Z141" s="592">
        <f>SUM('TB-EQUIPMENT &amp; OTHER HPs'!$V141:$Y141)</f>
        <v>0</v>
      </c>
      <c r="AA141" s="1068">
        <f>'TB-EQUIPMENT &amp; OTHER HPs'!$U141*'TB-EQUIPMENT &amp; OTHER HPs'!$Z141</f>
        <v>0</v>
      </c>
      <c r="AB141" s="1093"/>
      <c r="AC141" s="1111"/>
      <c r="AD141" s="1111"/>
      <c r="AE141" s="1111"/>
      <c r="AF141" s="1111"/>
      <c r="AG141" s="592">
        <f>SUM('TB-EQUIPMENT &amp; OTHER HPs'!$AC141:$AF141)</f>
        <v>0</v>
      </c>
      <c r="AH141" s="1068">
        <f>'TB-EQUIPMENT &amp; OTHER HPs'!$AB141*'TB-EQUIPMENT &amp; OTHER HPs'!$AG141</f>
        <v>0</v>
      </c>
      <c r="AI141" s="593">
        <f>'TB-EQUIPMENT &amp; OTHER HPs'!$S141+'TB-EQUIPMENT &amp; OTHER HPs'!$Z141+'TB-EQUIPMENT &amp; OTHER HPs'!$AG141</f>
        <v>0</v>
      </c>
      <c r="AJ141" s="1068">
        <f>'TB-EQUIPMENT &amp; OTHER HPs'!$T141+'TB-EQUIPMENT &amp; OTHER HPs'!$AA141+'TB-EQUIPMENT &amp; OTHER HPs'!$AH141</f>
        <v>0</v>
      </c>
      <c r="AK141" s="1473" t="str">
        <f t="shared" si="14"/>
        <v/>
      </c>
      <c r="AL141" s="1253"/>
    </row>
    <row r="142" spans="1:60" s="1478" customFormat="1">
      <c r="A142" s="2406"/>
      <c r="B142" s="2407"/>
      <c r="C142" s="2407"/>
      <c r="D142" s="2407"/>
      <c r="E142" s="2406"/>
      <c r="F142" s="2416"/>
      <c r="G142" s="2416"/>
      <c r="H142" s="2416"/>
      <c r="I142" s="2513"/>
      <c r="J142" s="2514"/>
      <c r="K142" s="2515"/>
      <c r="L142" s="1455" t="str">
        <f t="shared" si="15"/>
        <v/>
      </c>
      <c r="M142" s="1455" t="str">
        <f t="shared" si="16"/>
        <v/>
      </c>
      <c r="N142" s="1094"/>
      <c r="O142" s="1112"/>
      <c r="P142" s="1112"/>
      <c r="Q142" s="1112"/>
      <c r="R142" s="1112"/>
      <c r="S142" s="594">
        <f>SUM('TB-EQUIPMENT &amp; OTHER HPs'!$O142:$R142)</f>
        <v>0</v>
      </c>
      <c r="T142" s="1069">
        <f>'TB-EQUIPMENT &amp; OTHER HPs'!$N142*'TB-EQUIPMENT &amp; OTHER HPs'!$S142</f>
        <v>0</v>
      </c>
      <c r="U142" s="1094"/>
      <c r="V142" s="1112"/>
      <c r="W142" s="1112"/>
      <c r="X142" s="1112"/>
      <c r="Y142" s="1112"/>
      <c r="Z142" s="594">
        <f>SUM('TB-EQUIPMENT &amp; OTHER HPs'!$V142:$Y142)</f>
        <v>0</v>
      </c>
      <c r="AA142" s="1069">
        <f>'TB-EQUIPMENT &amp; OTHER HPs'!$U142*'TB-EQUIPMENT &amp; OTHER HPs'!$Z142</f>
        <v>0</v>
      </c>
      <c r="AB142" s="1094"/>
      <c r="AC142" s="1112"/>
      <c r="AD142" s="1112"/>
      <c r="AE142" s="1112"/>
      <c r="AF142" s="1112"/>
      <c r="AG142" s="594">
        <f>SUM('TB-EQUIPMENT &amp; OTHER HPs'!$AC142:$AF142)</f>
        <v>0</v>
      </c>
      <c r="AH142" s="1069">
        <f>'TB-EQUIPMENT &amp; OTHER HPs'!$AB142*'TB-EQUIPMENT &amp; OTHER HPs'!$AG142</f>
        <v>0</v>
      </c>
      <c r="AI142" s="595">
        <f>'TB-EQUIPMENT &amp; OTHER HPs'!$S142+'TB-EQUIPMENT &amp; OTHER HPs'!$Z142+'TB-EQUIPMENT &amp; OTHER HPs'!$AG142</f>
        <v>0</v>
      </c>
      <c r="AJ142" s="1069">
        <f>'TB-EQUIPMENT &amp; OTHER HPs'!$T142+'TB-EQUIPMENT &amp; OTHER HPs'!$AA142+'TB-EQUIPMENT &amp; OTHER HPs'!$AH142</f>
        <v>0</v>
      </c>
      <c r="AK142" s="1474" t="str">
        <f t="shared" si="14"/>
        <v/>
      </c>
      <c r="AL142" s="1252"/>
    </row>
    <row r="143" spans="1:60" s="345" customFormat="1">
      <c r="A143" s="2516"/>
      <c r="B143" s="2126"/>
      <c r="C143" s="2126"/>
      <c r="D143" s="2126"/>
      <c r="E143" s="2516"/>
      <c r="F143" s="2126"/>
      <c r="G143" s="2126"/>
      <c r="H143" s="2126"/>
      <c r="I143" s="2518"/>
      <c r="J143" s="2519"/>
      <c r="K143" s="2520"/>
      <c r="L143" s="225" t="str">
        <f t="shared" ref="L143:L175" si="17">IF(E143="","","Piece")</f>
        <v/>
      </c>
      <c r="M143" s="226" t="str">
        <f t="shared" ref="M143:M175" si="18">IF(L143="", "","USD")</f>
        <v/>
      </c>
      <c r="N143" s="1093"/>
      <c r="O143" s="1111"/>
      <c r="P143" s="1111"/>
      <c r="Q143" s="1111"/>
      <c r="R143" s="1111"/>
      <c r="S143" s="592">
        <f>SUM('TB-EQUIPMENT &amp; OTHER HPs'!$O143:$R143)</f>
        <v>0</v>
      </c>
      <c r="T143" s="1068">
        <f>'TB-EQUIPMENT &amp; OTHER HPs'!$N143*'TB-EQUIPMENT &amp; OTHER HPs'!$S143</f>
        <v>0</v>
      </c>
      <c r="U143" s="1093"/>
      <c r="V143" s="1111"/>
      <c r="W143" s="1111"/>
      <c r="X143" s="1111"/>
      <c r="Y143" s="1111"/>
      <c r="Z143" s="592">
        <f>SUM('TB-EQUIPMENT &amp; OTHER HPs'!$V143:$Y143)</f>
        <v>0</v>
      </c>
      <c r="AA143" s="1068">
        <f>'TB-EQUIPMENT &amp; OTHER HPs'!$U143*'TB-EQUIPMENT &amp; OTHER HPs'!$Z143</f>
        <v>0</v>
      </c>
      <c r="AB143" s="1093"/>
      <c r="AC143" s="1111"/>
      <c r="AD143" s="1111"/>
      <c r="AE143" s="1111"/>
      <c r="AF143" s="1111"/>
      <c r="AG143" s="592">
        <f>SUM('TB-EQUIPMENT &amp; OTHER HPs'!$AC143:$AF143)</f>
        <v>0</v>
      </c>
      <c r="AH143" s="1068">
        <f>'TB-EQUIPMENT &amp; OTHER HPs'!$AB143*'TB-EQUIPMENT &amp; OTHER HPs'!$AG143</f>
        <v>0</v>
      </c>
      <c r="AI143" s="593">
        <f>'TB-EQUIPMENT &amp; OTHER HPs'!$S143+'TB-EQUIPMENT &amp; OTHER HPs'!$Z143+'TB-EQUIPMENT &amp; OTHER HPs'!$AG143</f>
        <v>0</v>
      </c>
      <c r="AJ143" s="1068">
        <f>'TB-EQUIPMENT &amp; OTHER HPs'!$T143+'TB-EQUIPMENT &amp; OTHER HPs'!$AA143+'TB-EQUIPMENT &amp; OTHER HPs'!$AH143</f>
        <v>0</v>
      </c>
      <c r="AK143" s="491" t="str">
        <f t="shared" ref="AK143:AK175" si="19">IF(ISBLANK(E143),"",IF(OR(ISNUMBER(SEARCH("Equipment",I143)),ISNUMBER(SEARCH("Spare",I143)),ISNUMBER(SEARCH("Laboratory equipment",E143)),ISNUMBER(SEARCH("ECG",E143)),ISNUMBER(SEARCH("Equipment-Other",E143)),ISNUMBER(SEARCH("X-ray",E143))),"6.6",IF(OR(ISNUMBER(SEARCH("Warranty",I143)),ISNUMBER(SEARCH("Calibration",I143)),ISNUMBER(SEARCH("maintenance and services",E143)),ISNUMBER(SEARCH("Autoclave",E143))),"6.5",IF(ISNUMBER(SEARCH("Syringes",E143)),"5.7",IF(ISNUMBER(SEARCH("Consumables",E143)),"5.8",IF(ISNUMBER(SEARCH("Rapid Diagnostic Test",E143)),"5.4","5.6"))))))</f>
        <v/>
      </c>
      <c r="AL143" s="1256"/>
    </row>
    <row r="144" spans="1:60" s="345" customFormat="1">
      <c r="A144" s="2406"/>
      <c r="B144" s="2407"/>
      <c r="C144" s="2407"/>
      <c r="D144" s="2407"/>
      <c r="E144" s="2406"/>
      <c r="F144" s="2407"/>
      <c r="G144" s="2407"/>
      <c r="H144" s="2407"/>
      <c r="I144" s="2513"/>
      <c r="J144" s="2525"/>
      <c r="K144" s="2515"/>
      <c r="L144" s="224" t="str">
        <f t="shared" si="17"/>
        <v/>
      </c>
      <c r="M144" s="224" t="str">
        <f t="shared" si="18"/>
        <v/>
      </c>
      <c r="N144" s="1094"/>
      <c r="O144" s="1112"/>
      <c r="P144" s="1112"/>
      <c r="Q144" s="1112"/>
      <c r="R144" s="1112"/>
      <c r="S144" s="594">
        <f>SUM('TB-EQUIPMENT &amp; OTHER HPs'!$O144:$R144)</f>
        <v>0</v>
      </c>
      <c r="T144" s="1069">
        <f>'TB-EQUIPMENT &amp; OTHER HPs'!$N144*'TB-EQUIPMENT &amp; OTHER HPs'!$S144</f>
        <v>0</v>
      </c>
      <c r="U144" s="1094"/>
      <c r="V144" s="1112"/>
      <c r="W144" s="1112"/>
      <c r="X144" s="1112"/>
      <c r="Y144" s="1112"/>
      <c r="Z144" s="594">
        <f>SUM('TB-EQUIPMENT &amp; OTHER HPs'!$V144:$Y144)</f>
        <v>0</v>
      </c>
      <c r="AA144" s="1069">
        <f>'TB-EQUIPMENT &amp; OTHER HPs'!$U144*'TB-EQUIPMENT &amp; OTHER HPs'!$Z144</f>
        <v>0</v>
      </c>
      <c r="AB144" s="1094"/>
      <c r="AC144" s="1112"/>
      <c r="AD144" s="1112"/>
      <c r="AE144" s="1112"/>
      <c r="AF144" s="1112"/>
      <c r="AG144" s="594">
        <f>SUM('TB-EQUIPMENT &amp; OTHER HPs'!$AC144:$AF144)</f>
        <v>0</v>
      </c>
      <c r="AH144" s="1069">
        <f>'TB-EQUIPMENT &amp; OTHER HPs'!$AB144*'TB-EQUIPMENT &amp; OTHER HPs'!$AG144</f>
        <v>0</v>
      </c>
      <c r="AI144" s="595">
        <f>'TB-EQUIPMENT &amp; OTHER HPs'!$S144+'TB-EQUIPMENT &amp; OTHER HPs'!$Z144+'TB-EQUIPMENT &amp; OTHER HPs'!$AG144</f>
        <v>0</v>
      </c>
      <c r="AJ144" s="1069">
        <f>'TB-EQUIPMENT &amp; OTHER HPs'!$T144+'TB-EQUIPMENT &amp; OTHER HPs'!$AA144+'TB-EQUIPMENT &amp; OTHER HPs'!$AH144</f>
        <v>0</v>
      </c>
      <c r="AK144" s="490" t="str">
        <f t="shared" si="19"/>
        <v/>
      </c>
      <c r="AL144" s="1255"/>
    </row>
    <row r="145" spans="1:38" s="345" customFormat="1">
      <c r="A145" s="2516"/>
      <c r="B145" s="2126"/>
      <c r="C145" s="2126"/>
      <c r="D145" s="2126"/>
      <c r="E145" s="2516"/>
      <c r="F145" s="2126"/>
      <c r="G145" s="2126"/>
      <c r="H145" s="2126"/>
      <c r="I145" s="2518"/>
      <c r="J145" s="2519"/>
      <c r="K145" s="2520"/>
      <c r="L145" s="225" t="str">
        <f t="shared" si="17"/>
        <v/>
      </c>
      <c r="M145" s="226" t="str">
        <f t="shared" si="18"/>
        <v/>
      </c>
      <c r="N145" s="1093"/>
      <c r="O145" s="1111"/>
      <c r="P145" s="1111"/>
      <c r="Q145" s="1111"/>
      <c r="R145" s="1111"/>
      <c r="S145" s="592">
        <f>SUM('TB-EQUIPMENT &amp; OTHER HPs'!$O145:$R145)</f>
        <v>0</v>
      </c>
      <c r="T145" s="1068">
        <f>'TB-EQUIPMENT &amp; OTHER HPs'!$N145*'TB-EQUIPMENT &amp; OTHER HPs'!$S145</f>
        <v>0</v>
      </c>
      <c r="U145" s="1093"/>
      <c r="V145" s="1111"/>
      <c r="W145" s="1111"/>
      <c r="X145" s="1111"/>
      <c r="Y145" s="1111"/>
      <c r="Z145" s="592">
        <f>SUM('TB-EQUIPMENT &amp; OTHER HPs'!$V145:$Y145)</f>
        <v>0</v>
      </c>
      <c r="AA145" s="1068">
        <f>'TB-EQUIPMENT &amp; OTHER HPs'!$U145*'TB-EQUIPMENT &amp; OTHER HPs'!$Z145</f>
        <v>0</v>
      </c>
      <c r="AB145" s="1093"/>
      <c r="AC145" s="1111"/>
      <c r="AD145" s="1111"/>
      <c r="AE145" s="1111"/>
      <c r="AF145" s="1111"/>
      <c r="AG145" s="592">
        <f>SUM('TB-EQUIPMENT &amp; OTHER HPs'!$AC145:$AF145)</f>
        <v>0</v>
      </c>
      <c r="AH145" s="1068">
        <f>'TB-EQUIPMENT &amp; OTHER HPs'!$AB145*'TB-EQUIPMENT &amp; OTHER HPs'!$AG145</f>
        <v>0</v>
      </c>
      <c r="AI145" s="593">
        <f>'TB-EQUIPMENT &amp; OTHER HPs'!$S145+'TB-EQUIPMENT &amp; OTHER HPs'!$Z145+'TB-EQUIPMENT &amp; OTHER HPs'!$AG145</f>
        <v>0</v>
      </c>
      <c r="AJ145" s="1068">
        <f>'TB-EQUIPMENT &amp; OTHER HPs'!$T145+'TB-EQUIPMENT &amp; OTHER HPs'!$AA145+'TB-EQUIPMENT &amp; OTHER HPs'!$AH145</f>
        <v>0</v>
      </c>
      <c r="AK145" s="491" t="str">
        <f t="shared" si="19"/>
        <v/>
      </c>
      <c r="AL145" s="1256"/>
    </row>
    <row r="146" spans="1:38" s="345" customFormat="1">
      <c r="A146" s="2406"/>
      <c r="B146" s="2407"/>
      <c r="C146" s="2407"/>
      <c r="D146" s="2407"/>
      <c r="E146" s="2406"/>
      <c r="F146" s="2407"/>
      <c r="G146" s="2407"/>
      <c r="H146" s="2407"/>
      <c r="I146" s="2513"/>
      <c r="J146" s="2525"/>
      <c r="K146" s="2515"/>
      <c r="L146" s="224" t="str">
        <f t="shared" si="17"/>
        <v/>
      </c>
      <c r="M146" s="224" t="str">
        <f t="shared" si="18"/>
        <v/>
      </c>
      <c r="N146" s="1094"/>
      <c r="O146" s="1112"/>
      <c r="P146" s="1112"/>
      <c r="Q146" s="1112"/>
      <c r="R146" s="1112"/>
      <c r="S146" s="594">
        <f>SUM('TB-EQUIPMENT &amp; OTHER HPs'!$O146:$R146)</f>
        <v>0</v>
      </c>
      <c r="T146" s="1069">
        <f>'TB-EQUIPMENT &amp; OTHER HPs'!$N146*'TB-EQUIPMENT &amp; OTHER HPs'!$S146</f>
        <v>0</v>
      </c>
      <c r="U146" s="1094"/>
      <c r="V146" s="1112"/>
      <c r="W146" s="1112"/>
      <c r="X146" s="1112"/>
      <c r="Y146" s="1112"/>
      <c r="Z146" s="594">
        <f>SUM('TB-EQUIPMENT &amp; OTHER HPs'!$V146:$Y146)</f>
        <v>0</v>
      </c>
      <c r="AA146" s="1069">
        <f>'TB-EQUIPMENT &amp; OTHER HPs'!$U146*'TB-EQUIPMENT &amp; OTHER HPs'!$Z146</f>
        <v>0</v>
      </c>
      <c r="AB146" s="1094"/>
      <c r="AC146" s="1112"/>
      <c r="AD146" s="1112"/>
      <c r="AE146" s="1112"/>
      <c r="AF146" s="1112"/>
      <c r="AG146" s="594">
        <f>SUM('TB-EQUIPMENT &amp; OTHER HPs'!$AC146:$AF146)</f>
        <v>0</v>
      </c>
      <c r="AH146" s="1069">
        <f>'TB-EQUIPMENT &amp; OTHER HPs'!$AB146*'TB-EQUIPMENT &amp; OTHER HPs'!$AG146</f>
        <v>0</v>
      </c>
      <c r="AI146" s="595">
        <f>'TB-EQUIPMENT &amp; OTHER HPs'!$S146+'TB-EQUIPMENT &amp; OTHER HPs'!$Z146+'TB-EQUIPMENT &amp; OTHER HPs'!$AG146</f>
        <v>0</v>
      </c>
      <c r="AJ146" s="1069">
        <f>'TB-EQUIPMENT &amp; OTHER HPs'!$T146+'TB-EQUIPMENT &amp; OTHER HPs'!$AA146+'TB-EQUIPMENT &amp; OTHER HPs'!$AH146</f>
        <v>0</v>
      </c>
      <c r="AK146" s="490" t="str">
        <f t="shared" si="19"/>
        <v/>
      </c>
      <c r="AL146" s="1255"/>
    </row>
    <row r="147" spans="1:38" s="345" customFormat="1">
      <c r="A147" s="2516"/>
      <c r="B147" s="2126"/>
      <c r="C147" s="2126"/>
      <c r="D147" s="2126"/>
      <c r="E147" s="2516"/>
      <c r="F147" s="2126"/>
      <c r="G147" s="2126"/>
      <c r="H147" s="2126"/>
      <c r="I147" s="2518"/>
      <c r="J147" s="2519"/>
      <c r="K147" s="2520"/>
      <c r="L147" s="225" t="str">
        <f t="shared" si="17"/>
        <v/>
      </c>
      <c r="M147" s="226" t="str">
        <f t="shared" si="18"/>
        <v/>
      </c>
      <c r="N147" s="1093"/>
      <c r="O147" s="1111"/>
      <c r="P147" s="1111"/>
      <c r="Q147" s="1111"/>
      <c r="R147" s="1111"/>
      <c r="S147" s="592">
        <f>SUM('TB-EQUIPMENT &amp; OTHER HPs'!$O147:$R147)</f>
        <v>0</v>
      </c>
      <c r="T147" s="1068">
        <f>'TB-EQUIPMENT &amp; OTHER HPs'!$N147*'TB-EQUIPMENT &amp; OTHER HPs'!$S147</f>
        <v>0</v>
      </c>
      <c r="U147" s="1093"/>
      <c r="V147" s="1111"/>
      <c r="W147" s="1111"/>
      <c r="X147" s="1111"/>
      <c r="Y147" s="1111"/>
      <c r="Z147" s="592">
        <f>SUM('TB-EQUIPMENT &amp; OTHER HPs'!$V147:$Y147)</f>
        <v>0</v>
      </c>
      <c r="AA147" s="1068">
        <f>'TB-EQUIPMENT &amp; OTHER HPs'!$U147*'TB-EQUIPMENT &amp; OTHER HPs'!$Z147</f>
        <v>0</v>
      </c>
      <c r="AB147" s="1093"/>
      <c r="AC147" s="1111"/>
      <c r="AD147" s="1111"/>
      <c r="AE147" s="1111"/>
      <c r="AF147" s="1111"/>
      <c r="AG147" s="592">
        <f>SUM('TB-EQUIPMENT &amp; OTHER HPs'!$AC147:$AF147)</f>
        <v>0</v>
      </c>
      <c r="AH147" s="1068">
        <f>'TB-EQUIPMENT &amp; OTHER HPs'!$AB147*'TB-EQUIPMENT &amp; OTHER HPs'!$AG147</f>
        <v>0</v>
      </c>
      <c r="AI147" s="593">
        <f>'TB-EQUIPMENT &amp; OTHER HPs'!$S147+'TB-EQUIPMENT &amp; OTHER HPs'!$Z147+'TB-EQUIPMENT &amp; OTHER HPs'!$AG147</f>
        <v>0</v>
      </c>
      <c r="AJ147" s="1068">
        <f>'TB-EQUIPMENT &amp; OTHER HPs'!$T147+'TB-EQUIPMENT &amp; OTHER HPs'!$AA147+'TB-EQUIPMENT &amp; OTHER HPs'!$AH147</f>
        <v>0</v>
      </c>
      <c r="AK147" s="491" t="str">
        <f t="shared" si="19"/>
        <v/>
      </c>
      <c r="AL147" s="1256"/>
    </row>
    <row r="148" spans="1:38" s="345" customFormat="1">
      <c r="A148" s="2406"/>
      <c r="B148" s="2407"/>
      <c r="C148" s="2407"/>
      <c r="D148" s="2407"/>
      <c r="E148" s="2406"/>
      <c r="F148" s="2407"/>
      <c r="G148" s="2407"/>
      <c r="H148" s="2407"/>
      <c r="I148" s="2513"/>
      <c r="J148" s="2525"/>
      <c r="K148" s="2515"/>
      <c r="L148" s="224" t="str">
        <f t="shared" si="17"/>
        <v/>
      </c>
      <c r="M148" s="224" t="str">
        <f t="shared" si="18"/>
        <v/>
      </c>
      <c r="N148" s="1094"/>
      <c r="O148" s="1112"/>
      <c r="P148" s="1112"/>
      <c r="Q148" s="1112"/>
      <c r="R148" s="1112"/>
      <c r="S148" s="594">
        <f>SUM('TB-EQUIPMENT &amp; OTHER HPs'!$O148:$R148)</f>
        <v>0</v>
      </c>
      <c r="T148" s="1069">
        <f>'TB-EQUIPMENT &amp; OTHER HPs'!$N148*'TB-EQUIPMENT &amp; OTHER HPs'!$S148</f>
        <v>0</v>
      </c>
      <c r="U148" s="1094"/>
      <c r="V148" s="1112"/>
      <c r="W148" s="1112"/>
      <c r="X148" s="1112"/>
      <c r="Y148" s="1112"/>
      <c r="Z148" s="594">
        <f>SUM('TB-EQUIPMENT &amp; OTHER HPs'!$V148:$Y148)</f>
        <v>0</v>
      </c>
      <c r="AA148" s="1069">
        <f>'TB-EQUIPMENT &amp; OTHER HPs'!$U148*'TB-EQUIPMENT &amp; OTHER HPs'!$Z148</f>
        <v>0</v>
      </c>
      <c r="AB148" s="1094"/>
      <c r="AC148" s="1112"/>
      <c r="AD148" s="1112"/>
      <c r="AE148" s="1112"/>
      <c r="AF148" s="1112"/>
      <c r="AG148" s="594">
        <f>SUM('TB-EQUIPMENT &amp; OTHER HPs'!$AC148:$AF148)</f>
        <v>0</v>
      </c>
      <c r="AH148" s="1069">
        <f>'TB-EQUIPMENT &amp; OTHER HPs'!$AB148*'TB-EQUIPMENT &amp; OTHER HPs'!$AG148</f>
        <v>0</v>
      </c>
      <c r="AI148" s="595">
        <f>'TB-EQUIPMENT &amp; OTHER HPs'!$S148+'TB-EQUIPMENT &amp; OTHER HPs'!$Z148+'TB-EQUIPMENT &amp; OTHER HPs'!$AG148</f>
        <v>0</v>
      </c>
      <c r="AJ148" s="1069">
        <f>'TB-EQUIPMENT &amp; OTHER HPs'!$T148+'TB-EQUIPMENT &amp; OTHER HPs'!$AA148+'TB-EQUIPMENT &amp; OTHER HPs'!$AH148</f>
        <v>0</v>
      </c>
      <c r="AK148" s="490" t="str">
        <f t="shared" si="19"/>
        <v/>
      </c>
      <c r="AL148" s="1255"/>
    </row>
    <row r="149" spans="1:38" s="345" customFormat="1">
      <c r="A149" s="2516"/>
      <c r="B149" s="2126"/>
      <c r="C149" s="2126"/>
      <c r="D149" s="2126"/>
      <c r="E149" s="2516"/>
      <c r="F149" s="2126"/>
      <c r="G149" s="2126"/>
      <c r="H149" s="2126"/>
      <c r="I149" s="2518"/>
      <c r="J149" s="2519"/>
      <c r="K149" s="2520"/>
      <c r="L149" s="225" t="str">
        <f t="shared" si="17"/>
        <v/>
      </c>
      <c r="M149" s="226" t="str">
        <f t="shared" si="18"/>
        <v/>
      </c>
      <c r="N149" s="1093"/>
      <c r="O149" s="1111"/>
      <c r="P149" s="1111"/>
      <c r="Q149" s="1111"/>
      <c r="R149" s="1111"/>
      <c r="S149" s="592">
        <f>SUM('TB-EQUIPMENT &amp; OTHER HPs'!$O149:$R149)</f>
        <v>0</v>
      </c>
      <c r="T149" s="1068">
        <f>'TB-EQUIPMENT &amp; OTHER HPs'!$N149*'TB-EQUIPMENT &amp; OTHER HPs'!$S149</f>
        <v>0</v>
      </c>
      <c r="U149" s="1093"/>
      <c r="V149" s="1111"/>
      <c r="W149" s="1111"/>
      <c r="X149" s="1111"/>
      <c r="Y149" s="1111"/>
      <c r="Z149" s="592">
        <f>SUM('TB-EQUIPMENT &amp; OTHER HPs'!$V149:$Y149)</f>
        <v>0</v>
      </c>
      <c r="AA149" s="1068">
        <f>'TB-EQUIPMENT &amp; OTHER HPs'!$U149*'TB-EQUIPMENT &amp; OTHER HPs'!$Z149</f>
        <v>0</v>
      </c>
      <c r="AB149" s="1093"/>
      <c r="AC149" s="1111"/>
      <c r="AD149" s="1111"/>
      <c r="AE149" s="1111"/>
      <c r="AF149" s="1111"/>
      <c r="AG149" s="592">
        <f>SUM('TB-EQUIPMENT &amp; OTHER HPs'!$AC149:$AF149)</f>
        <v>0</v>
      </c>
      <c r="AH149" s="1068">
        <f>'TB-EQUIPMENT &amp; OTHER HPs'!$AB149*'TB-EQUIPMENT &amp; OTHER HPs'!$AG149</f>
        <v>0</v>
      </c>
      <c r="AI149" s="593">
        <f>'TB-EQUIPMENT &amp; OTHER HPs'!$S149+'TB-EQUIPMENT &amp; OTHER HPs'!$Z149+'TB-EQUIPMENT &amp; OTHER HPs'!$AG149</f>
        <v>0</v>
      </c>
      <c r="AJ149" s="1068">
        <f>'TB-EQUIPMENT &amp; OTHER HPs'!$T149+'TB-EQUIPMENT &amp; OTHER HPs'!$AA149+'TB-EQUIPMENT &amp; OTHER HPs'!$AH149</f>
        <v>0</v>
      </c>
      <c r="AK149" s="491" t="str">
        <f t="shared" si="19"/>
        <v/>
      </c>
      <c r="AL149" s="1256"/>
    </row>
    <row r="150" spans="1:38" s="345" customFormat="1">
      <c r="A150" s="2406"/>
      <c r="B150" s="2407"/>
      <c r="C150" s="2407"/>
      <c r="D150" s="2407"/>
      <c r="E150" s="2406"/>
      <c r="F150" s="2407"/>
      <c r="G150" s="2407"/>
      <c r="H150" s="2407"/>
      <c r="I150" s="2513"/>
      <c r="J150" s="2525"/>
      <c r="K150" s="2515"/>
      <c r="L150" s="224" t="str">
        <f t="shared" si="17"/>
        <v/>
      </c>
      <c r="M150" s="224" t="str">
        <f t="shared" si="18"/>
        <v/>
      </c>
      <c r="N150" s="1094"/>
      <c r="O150" s="1112"/>
      <c r="P150" s="1112"/>
      <c r="Q150" s="1112"/>
      <c r="R150" s="1112"/>
      <c r="S150" s="594">
        <f>SUM('TB-EQUIPMENT &amp; OTHER HPs'!$O150:$R150)</f>
        <v>0</v>
      </c>
      <c r="T150" s="1069">
        <f>'TB-EQUIPMENT &amp; OTHER HPs'!$N150*'TB-EQUIPMENT &amp; OTHER HPs'!$S150</f>
        <v>0</v>
      </c>
      <c r="U150" s="1094"/>
      <c r="V150" s="1112"/>
      <c r="W150" s="1112"/>
      <c r="X150" s="1112"/>
      <c r="Y150" s="1112"/>
      <c r="Z150" s="594">
        <f>SUM('TB-EQUIPMENT &amp; OTHER HPs'!$V150:$Y150)</f>
        <v>0</v>
      </c>
      <c r="AA150" s="1069">
        <f>'TB-EQUIPMENT &amp; OTHER HPs'!$U150*'TB-EQUIPMENT &amp; OTHER HPs'!$Z150</f>
        <v>0</v>
      </c>
      <c r="AB150" s="1094"/>
      <c r="AC150" s="1112"/>
      <c r="AD150" s="1112"/>
      <c r="AE150" s="1112"/>
      <c r="AF150" s="1112"/>
      <c r="AG150" s="594">
        <f>SUM('TB-EQUIPMENT &amp; OTHER HPs'!$AC150:$AF150)</f>
        <v>0</v>
      </c>
      <c r="AH150" s="1069">
        <f>'TB-EQUIPMENT &amp; OTHER HPs'!$AB150*'TB-EQUIPMENT &amp; OTHER HPs'!$AG150</f>
        <v>0</v>
      </c>
      <c r="AI150" s="595">
        <f>'TB-EQUIPMENT &amp; OTHER HPs'!$S150+'TB-EQUIPMENT &amp; OTHER HPs'!$Z150+'TB-EQUIPMENT &amp; OTHER HPs'!$AG150</f>
        <v>0</v>
      </c>
      <c r="AJ150" s="1069">
        <f>'TB-EQUIPMENT &amp; OTHER HPs'!$T150+'TB-EQUIPMENT &amp; OTHER HPs'!$AA150+'TB-EQUIPMENT &amp; OTHER HPs'!$AH150</f>
        <v>0</v>
      </c>
      <c r="AK150" s="490" t="str">
        <f t="shared" si="19"/>
        <v/>
      </c>
      <c r="AL150" s="1255"/>
    </row>
    <row r="151" spans="1:38" s="345" customFormat="1">
      <c r="A151" s="2516"/>
      <c r="B151" s="2126"/>
      <c r="C151" s="2126"/>
      <c r="D151" s="2126"/>
      <c r="E151" s="2516"/>
      <c r="F151" s="2126"/>
      <c r="G151" s="2126"/>
      <c r="H151" s="2126"/>
      <c r="I151" s="2518"/>
      <c r="J151" s="2519"/>
      <c r="K151" s="2520"/>
      <c r="L151" s="225" t="str">
        <f t="shared" si="17"/>
        <v/>
      </c>
      <c r="M151" s="226" t="str">
        <f t="shared" si="18"/>
        <v/>
      </c>
      <c r="N151" s="1093"/>
      <c r="O151" s="1111"/>
      <c r="P151" s="1111"/>
      <c r="Q151" s="1111"/>
      <c r="R151" s="1111"/>
      <c r="S151" s="592">
        <f>SUM('TB-EQUIPMENT &amp; OTHER HPs'!$O151:$R151)</f>
        <v>0</v>
      </c>
      <c r="T151" s="1068">
        <f>'TB-EQUIPMENT &amp; OTHER HPs'!$N151*'TB-EQUIPMENT &amp; OTHER HPs'!$S151</f>
        <v>0</v>
      </c>
      <c r="U151" s="1093"/>
      <c r="V151" s="1111"/>
      <c r="W151" s="1111"/>
      <c r="X151" s="1111"/>
      <c r="Y151" s="1111"/>
      <c r="Z151" s="592">
        <f>SUM('TB-EQUIPMENT &amp; OTHER HPs'!$V151:$Y151)</f>
        <v>0</v>
      </c>
      <c r="AA151" s="1068">
        <f>'TB-EQUIPMENT &amp; OTHER HPs'!$U151*'TB-EQUIPMENT &amp; OTHER HPs'!$Z151</f>
        <v>0</v>
      </c>
      <c r="AB151" s="1093"/>
      <c r="AC151" s="1111"/>
      <c r="AD151" s="1111"/>
      <c r="AE151" s="1111"/>
      <c r="AF151" s="1111"/>
      <c r="AG151" s="592">
        <f>SUM('TB-EQUIPMENT &amp; OTHER HPs'!$AC151:$AF151)</f>
        <v>0</v>
      </c>
      <c r="AH151" s="1068">
        <f>'TB-EQUIPMENT &amp; OTHER HPs'!$AB151*'TB-EQUIPMENT &amp; OTHER HPs'!$AG151</f>
        <v>0</v>
      </c>
      <c r="AI151" s="593">
        <f>'TB-EQUIPMENT &amp; OTHER HPs'!$S151+'TB-EQUIPMENT &amp; OTHER HPs'!$Z151+'TB-EQUIPMENT &amp; OTHER HPs'!$AG151</f>
        <v>0</v>
      </c>
      <c r="AJ151" s="1068">
        <f>'TB-EQUIPMENT &amp; OTHER HPs'!$T151+'TB-EQUIPMENT &amp; OTHER HPs'!$AA151+'TB-EQUIPMENT &amp; OTHER HPs'!$AH151</f>
        <v>0</v>
      </c>
      <c r="AK151" s="491" t="str">
        <f t="shared" si="19"/>
        <v/>
      </c>
      <c r="AL151" s="1256"/>
    </row>
    <row r="152" spans="1:38" s="345" customFormat="1">
      <c r="A152" s="2406"/>
      <c r="B152" s="2407"/>
      <c r="C152" s="2407"/>
      <c r="D152" s="2407"/>
      <c r="E152" s="2406"/>
      <c r="F152" s="2407"/>
      <c r="G152" s="2407"/>
      <c r="H152" s="2407"/>
      <c r="I152" s="2513"/>
      <c r="J152" s="2525"/>
      <c r="K152" s="2515"/>
      <c r="L152" s="224" t="str">
        <f t="shared" si="17"/>
        <v/>
      </c>
      <c r="M152" s="224" t="str">
        <f t="shared" si="18"/>
        <v/>
      </c>
      <c r="N152" s="1094"/>
      <c r="O152" s="1112"/>
      <c r="P152" s="1112"/>
      <c r="Q152" s="1112"/>
      <c r="R152" s="1112"/>
      <c r="S152" s="594">
        <f>SUM('TB-EQUIPMENT &amp; OTHER HPs'!$O152:$R152)</f>
        <v>0</v>
      </c>
      <c r="T152" s="1069">
        <f>'TB-EQUIPMENT &amp; OTHER HPs'!$N152*'TB-EQUIPMENT &amp; OTHER HPs'!$S152</f>
        <v>0</v>
      </c>
      <c r="U152" s="1094"/>
      <c r="V152" s="1112"/>
      <c r="W152" s="1112"/>
      <c r="X152" s="1112"/>
      <c r="Y152" s="1112"/>
      <c r="Z152" s="594">
        <f>SUM('TB-EQUIPMENT &amp; OTHER HPs'!$V152:$Y152)</f>
        <v>0</v>
      </c>
      <c r="AA152" s="1069">
        <f>'TB-EQUIPMENT &amp; OTHER HPs'!$U152*'TB-EQUIPMENT &amp; OTHER HPs'!$Z152</f>
        <v>0</v>
      </c>
      <c r="AB152" s="1094"/>
      <c r="AC152" s="1112"/>
      <c r="AD152" s="1112"/>
      <c r="AE152" s="1112"/>
      <c r="AF152" s="1112"/>
      <c r="AG152" s="594">
        <f>SUM('TB-EQUIPMENT &amp; OTHER HPs'!$AC152:$AF152)</f>
        <v>0</v>
      </c>
      <c r="AH152" s="1069">
        <f>'TB-EQUIPMENT &amp; OTHER HPs'!$AB152*'TB-EQUIPMENT &amp; OTHER HPs'!$AG152</f>
        <v>0</v>
      </c>
      <c r="AI152" s="595">
        <f>'TB-EQUIPMENT &amp; OTHER HPs'!$S152+'TB-EQUIPMENT &amp; OTHER HPs'!$Z152+'TB-EQUIPMENT &amp; OTHER HPs'!$AG152</f>
        <v>0</v>
      </c>
      <c r="AJ152" s="1069">
        <f>'TB-EQUIPMENT &amp; OTHER HPs'!$T152+'TB-EQUIPMENT &amp; OTHER HPs'!$AA152+'TB-EQUIPMENT &amp; OTHER HPs'!$AH152</f>
        <v>0</v>
      </c>
      <c r="AK152" s="490" t="str">
        <f t="shared" si="19"/>
        <v/>
      </c>
      <c r="AL152" s="1255"/>
    </row>
    <row r="153" spans="1:38" s="345" customFormat="1">
      <c r="A153" s="2516"/>
      <c r="B153" s="2126"/>
      <c r="C153" s="2126"/>
      <c r="D153" s="2126"/>
      <c r="E153" s="2516"/>
      <c r="F153" s="2126"/>
      <c r="G153" s="2126"/>
      <c r="H153" s="2126"/>
      <c r="I153" s="2518"/>
      <c r="J153" s="2519"/>
      <c r="K153" s="2520"/>
      <c r="L153" s="225" t="str">
        <f t="shared" si="17"/>
        <v/>
      </c>
      <c r="M153" s="226" t="str">
        <f t="shared" si="18"/>
        <v/>
      </c>
      <c r="N153" s="1093"/>
      <c r="O153" s="1111"/>
      <c r="P153" s="1111"/>
      <c r="Q153" s="1111"/>
      <c r="R153" s="1111"/>
      <c r="S153" s="592">
        <f>SUM('TB-EQUIPMENT &amp; OTHER HPs'!$O153:$R153)</f>
        <v>0</v>
      </c>
      <c r="T153" s="1068">
        <f>'TB-EQUIPMENT &amp; OTHER HPs'!$N153*'TB-EQUIPMENT &amp; OTHER HPs'!$S153</f>
        <v>0</v>
      </c>
      <c r="U153" s="1093"/>
      <c r="V153" s="1111"/>
      <c r="W153" s="1111"/>
      <c r="X153" s="1111"/>
      <c r="Y153" s="1111"/>
      <c r="Z153" s="592">
        <f>SUM('TB-EQUIPMENT &amp; OTHER HPs'!$V153:$Y153)</f>
        <v>0</v>
      </c>
      <c r="AA153" s="1068">
        <f>'TB-EQUIPMENT &amp; OTHER HPs'!$U153*'TB-EQUIPMENT &amp; OTHER HPs'!$Z153</f>
        <v>0</v>
      </c>
      <c r="AB153" s="1093"/>
      <c r="AC153" s="1111"/>
      <c r="AD153" s="1111"/>
      <c r="AE153" s="1111"/>
      <c r="AF153" s="1111"/>
      <c r="AG153" s="592">
        <f>SUM('TB-EQUIPMENT &amp; OTHER HPs'!$AC153:$AF153)</f>
        <v>0</v>
      </c>
      <c r="AH153" s="1068">
        <f>'TB-EQUIPMENT &amp; OTHER HPs'!$AB153*'TB-EQUIPMENT &amp; OTHER HPs'!$AG153</f>
        <v>0</v>
      </c>
      <c r="AI153" s="593">
        <f>'TB-EQUIPMENT &amp; OTHER HPs'!$S153+'TB-EQUIPMENT &amp; OTHER HPs'!$Z153+'TB-EQUIPMENT &amp; OTHER HPs'!$AG153</f>
        <v>0</v>
      </c>
      <c r="AJ153" s="1068">
        <f>'TB-EQUIPMENT &amp; OTHER HPs'!$T153+'TB-EQUIPMENT &amp; OTHER HPs'!$AA153+'TB-EQUIPMENT &amp; OTHER HPs'!$AH153</f>
        <v>0</v>
      </c>
      <c r="AK153" s="491" t="str">
        <f t="shared" si="19"/>
        <v/>
      </c>
      <c r="AL153" s="1256"/>
    </row>
    <row r="154" spans="1:38" s="345" customFormat="1">
      <c r="A154" s="2406"/>
      <c r="B154" s="2407"/>
      <c r="C154" s="2407"/>
      <c r="D154" s="2407"/>
      <c r="E154" s="2406"/>
      <c r="F154" s="2407"/>
      <c r="G154" s="2407"/>
      <c r="H154" s="2407"/>
      <c r="I154" s="2513"/>
      <c r="J154" s="2525"/>
      <c r="K154" s="2515"/>
      <c r="L154" s="224" t="str">
        <f t="shared" si="17"/>
        <v/>
      </c>
      <c r="M154" s="224" t="str">
        <f t="shared" si="18"/>
        <v/>
      </c>
      <c r="N154" s="1094"/>
      <c r="O154" s="1112"/>
      <c r="P154" s="1112"/>
      <c r="Q154" s="1112"/>
      <c r="R154" s="1112"/>
      <c r="S154" s="594">
        <f>SUM('TB-EQUIPMENT &amp; OTHER HPs'!$O154:$R154)</f>
        <v>0</v>
      </c>
      <c r="T154" s="1069">
        <f>'TB-EQUIPMENT &amp; OTHER HPs'!$N154*'TB-EQUIPMENT &amp; OTHER HPs'!$S154</f>
        <v>0</v>
      </c>
      <c r="U154" s="1094"/>
      <c r="V154" s="1112"/>
      <c r="W154" s="1112"/>
      <c r="X154" s="1112"/>
      <c r="Y154" s="1112"/>
      <c r="Z154" s="594">
        <f>SUM('TB-EQUIPMENT &amp; OTHER HPs'!$V154:$Y154)</f>
        <v>0</v>
      </c>
      <c r="AA154" s="1069">
        <f>'TB-EQUIPMENT &amp; OTHER HPs'!$U154*'TB-EQUIPMENT &amp; OTHER HPs'!$Z154</f>
        <v>0</v>
      </c>
      <c r="AB154" s="1094"/>
      <c r="AC154" s="1112"/>
      <c r="AD154" s="1112"/>
      <c r="AE154" s="1112"/>
      <c r="AF154" s="1112"/>
      <c r="AG154" s="594">
        <f>SUM('TB-EQUIPMENT &amp; OTHER HPs'!$AC154:$AF154)</f>
        <v>0</v>
      </c>
      <c r="AH154" s="1069">
        <f>'TB-EQUIPMENT &amp; OTHER HPs'!$AB154*'TB-EQUIPMENT &amp; OTHER HPs'!$AG154</f>
        <v>0</v>
      </c>
      <c r="AI154" s="595">
        <f>'TB-EQUIPMENT &amp; OTHER HPs'!$S154+'TB-EQUIPMENT &amp; OTHER HPs'!$Z154+'TB-EQUIPMENT &amp; OTHER HPs'!$AG154</f>
        <v>0</v>
      </c>
      <c r="AJ154" s="1069">
        <f>'TB-EQUIPMENT &amp; OTHER HPs'!$T154+'TB-EQUIPMENT &amp; OTHER HPs'!$AA154+'TB-EQUIPMENT &amp; OTHER HPs'!$AH154</f>
        <v>0</v>
      </c>
      <c r="AK154" s="490" t="str">
        <f t="shared" si="19"/>
        <v/>
      </c>
      <c r="AL154" s="1255"/>
    </row>
    <row r="155" spans="1:38" s="345" customFormat="1">
      <c r="A155" s="2516"/>
      <c r="B155" s="2126"/>
      <c r="C155" s="2126"/>
      <c r="D155" s="2126"/>
      <c r="E155" s="2516"/>
      <c r="F155" s="2126"/>
      <c r="G155" s="2126"/>
      <c r="H155" s="2126"/>
      <c r="I155" s="2518"/>
      <c r="J155" s="2519"/>
      <c r="K155" s="2520"/>
      <c r="L155" s="225" t="str">
        <f t="shared" si="17"/>
        <v/>
      </c>
      <c r="M155" s="226" t="str">
        <f t="shared" si="18"/>
        <v/>
      </c>
      <c r="N155" s="1093"/>
      <c r="O155" s="1111"/>
      <c r="P155" s="1111"/>
      <c r="Q155" s="1111"/>
      <c r="R155" s="1111"/>
      <c r="S155" s="592">
        <f>SUM('TB-EQUIPMENT &amp; OTHER HPs'!$O155:$R155)</f>
        <v>0</v>
      </c>
      <c r="T155" s="1068">
        <f>'TB-EQUIPMENT &amp; OTHER HPs'!$N155*'TB-EQUIPMENT &amp; OTHER HPs'!$S155</f>
        <v>0</v>
      </c>
      <c r="U155" s="1093"/>
      <c r="V155" s="1111"/>
      <c r="W155" s="1111"/>
      <c r="X155" s="1111"/>
      <c r="Y155" s="1111"/>
      <c r="Z155" s="592">
        <f>SUM('TB-EQUIPMENT &amp; OTHER HPs'!$V155:$Y155)</f>
        <v>0</v>
      </c>
      <c r="AA155" s="1068">
        <f>'TB-EQUIPMENT &amp; OTHER HPs'!$U155*'TB-EQUIPMENT &amp; OTHER HPs'!$Z155</f>
        <v>0</v>
      </c>
      <c r="AB155" s="1093"/>
      <c r="AC155" s="1111"/>
      <c r="AD155" s="1111"/>
      <c r="AE155" s="1111"/>
      <c r="AF155" s="1111"/>
      <c r="AG155" s="592">
        <f>SUM('TB-EQUIPMENT &amp; OTHER HPs'!$AC155:$AF155)</f>
        <v>0</v>
      </c>
      <c r="AH155" s="1068">
        <f>'TB-EQUIPMENT &amp; OTHER HPs'!$AB155*'TB-EQUIPMENT &amp; OTHER HPs'!$AG155</f>
        <v>0</v>
      </c>
      <c r="AI155" s="593">
        <f>'TB-EQUIPMENT &amp; OTHER HPs'!$S155+'TB-EQUIPMENT &amp; OTHER HPs'!$Z155+'TB-EQUIPMENT &amp; OTHER HPs'!$AG155</f>
        <v>0</v>
      </c>
      <c r="AJ155" s="1068">
        <f>'TB-EQUIPMENT &amp; OTHER HPs'!$T155+'TB-EQUIPMENT &amp; OTHER HPs'!$AA155+'TB-EQUIPMENT &amp; OTHER HPs'!$AH155</f>
        <v>0</v>
      </c>
      <c r="AK155" s="491" t="str">
        <f t="shared" si="19"/>
        <v/>
      </c>
      <c r="AL155" s="1256"/>
    </row>
    <row r="156" spans="1:38" s="345" customFormat="1">
      <c r="A156" s="2406"/>
      <c r="B156" s="2407"/>
      <c r="C156" s="2407"/>
      <c r="D156" s="2407"/>
      <c r="E156" s="2406"/>
      <c r="F156" s="2407"/>
      <c r="G156" s="2407"/>
      <c r="H156" s="2407"/>
      <c r="I156" s="2513"/>
      <c r="J156" s="2525"/>
      <c r="K156" s="2515"/>
      <c r="L156" s="224" t="str">
        <f t="shared" si="17"/>
        <v/>
      </c>
      <c r="M156" s="224" t="str">
        <f t="shared" si="18"/>
        <v/>
      </c>
      <c r="N156" s="1094"/>
      <c r="O156" s="1112"/>
      <c r="P156" s="1112"/>
      <c r="Q156" s="1112"/>
      <c r="R156" s="1112"/>
      <c r="S156" s="594">
        <f>SUM('TB-EQUIPMENT &amp; OTHER HPs'!$O156:$R156)</f>
        <v>0</v>
      </c>
      <c r="T156" s="1069">
        <f>'TB-EQUIPMENT &amp; OTHER HPs'!$N156*'TB-EQUIPMENT &amp; OTHER HPs'!$S156</f>
        <v>0</v>
      </c>
      <c r="U156" s="1094"/>
      <c r="V156" s="1112"/>
      <c r="W156" s="1112"/>
      <c r="X156" s="1112"/>
      <c r="Y156" s="1112"/>
      <c r="Z156" s="594">
        <f>SUM('TB-EQUIPMENT &amp; OTHER HPs'!$V156:$Y156)</f>
        <v>0</v>
      </c>
      <c r="AA156" s="1069">
        <f>'TB-EQUIPMENT &amp; OTHER HPs'!$U156*'TB-EQUIPMENT &amp; OTHER HPs'!$Z156</f>
        <v>0</v>
      </c>
      <c r="AB156" s="1094"/>
      <c r="AC156" s="1112"/>
      <c r="AD156" s="1112"/>
      <c r="AE156" s="1112"/>
      <c r="AF156" s="1112"/>
      <c r="AG156" s="594">
        <f>SUM('TB-EQUIPMENT &amp; OTHER HPs'!$AC156:$AF156)</f>
        <v>0</v>
      </c>
      <c r="AH156" s="1069">
        <f>'TB-EQUIPMENT &amp; OTHER HPs'!$AB156*'TB-EQUIPMENT &amp; OTHER HPs'!$AG156</f>
        <v>0</v>
      </c>
      <c r="AI156" s="595">
        <f>'TB-EQUIPMENT &amp; OTHER HPs'!$S156+'TB-EQUIPMENT &amp; OTHER HPs'!$Z156+'TB-EQUIPMENT &amp; OTHER HPs'!$AG156</f>
        <v>0</v>
      </c>
      <c r="AJ156" s="1069">
        <f>'TB-EQUIPMENT &amp; OTHER HPs'!$T156+'TB-EQUIPMENT &amp; OTHER HPs'!$AA156+'TB-EQUIPMENT &amp; OTHER HPs'!$AH156</f>
        <v>0</v>
      </c>
      <c r="AK156" s="490" t="str">
        <f t="shared" si="19"/>
        <v/>
      </c>
      <c r="AL156" s="1255"/>
    </row>
    <row r="157" spans="1:38" s="345" customFormat="1">
      <c r="A157" s="2516"/>
      <c r="B157" s="2126"/>
      <c r="C157" s="2126"/>
      <c r="D157" s="2126"/>
      <c r="E157" s="2516"/>
      <c r="F157" s="2126"/>
      <c r="G157" s="2126"/>
      <c r="H157" s="2126"/>
      <c r="I157" s="2518"/>
      <c r="J157" s="2519"/>
      <c r="K157" s="2520"/>
      <c r="L157" s="225" t="str">
        <f t="shared" si="17"/>
        <v/>
      </c>
      <c r="M157" s="226" t="str">
        <f t="shared" si="18"/>
        <v/>
      </c>
      <c r="N157" s="1093"/>
      <c r="O157" s="1111"/>
      <c r="P157" s="1111"/>
      <c r="Q157" s="1111"/>
      <c r="R157" s="1111"/>
      <c r="S157" s="592">
        <f>SUM('TB-EQUIPMENT &amp; OTHER HPs'!$O157:$R157)</f>
        <v>0</v>
      </c>
      <c r="T157" s="1068">
        <f>'TB-EQUIPMENT &amp; OTHER HPs'!$N157*'TB-EQUIPMENT &amp; OTHER HPs'!$S157</f>
        <v>0</v>
      </c>
      <c r="U157" s="1093"/>
      <c r="V157" s="1111"/>
      <c r="W157" s="1111"/>
      <c r="X157" s="1111"/>
      <c r="Y157" s="1111"/>
      <c r="Z157" s="592">
        <f>SUM('TB-EQUIPMENT &amp; OTHER HPs'!$V157:$Y157)</f>
        <v>0</v>
      </c>
      <c r="AA157" s="1068">
        <f>'TB-EQUIPMENT &amp; OTHER HPs'!$U157*'TB-EQUIPMENT &amp; OTHER HPs'!$Z157</f>
        <v>0</v>
      </c>
      <c r="AB157" s="1093"/>
      <c r="AC157" s="1111"/>
      <c r="AD157" s="1111"/>
      <c r="AE157" s="1111"/>
      <c r="AF157" s="1111"/>
      <c r="AG157" s="592">
        <f>SUM('TB-EQUIPMENT &amp; OTHER HPs'!$AC157:$AF157)</f>
        <v>0</v>
      </c>
      <c r="AH157" s="1068">
        <f>'TB-EQUIPMENT &amp; OTHER HPs'!$AB157*'TB-EQUIPMENT &amp; OTHER HPs'!$AG157</f>
        <v>0</v>
      </c>
      <c r="AI157" s="593">
        <f>'TB-EQUIPMENT &amp; OTHER HPs'!$S157+'TB-EQUIPMENT &amp; OTHER HPs'!$Z157+'TB-EQUIPMENT &amp; OTHER HPs'!$AG157</f>
        <v>0</v>
      </c>
      <c r="AJ157" s="1068">
        <f>'TB-EQUIPMENT &amp; OTHER HPs'!$T157+'TB-EQUIPMENT &amp; OTHER HPs'!$AA157+'TB-EQUIPMENT &amp; OTHER HPs'!$AH157</f>
        <v>0</v>
      </c>
      <c r="AK157" s="491" t="str">
        <f t="shared" si="19"/>
        <v/>
      </c>
      <c r="AL157" s="1256"/>
    </row>
    <row r="158" spans="1:38" s="345" customFormat="1">
      <c r="A158" s="2406"/>
      <c r="B158" s="2407"/>
      <c r="C158" s="2407"/>
      <c r="D158" s="2407"/>
      <c r="E158" s="2406"/>
      <c r="F158" s="2407"/>
      <c r="G158" s="2407"/>
      <c r="H158" s="2407"/>
      <c r="I158" s="2513"/>
      <c r="J158" s="2525"/>
      <c r="K158" s="2515"/>
      <c r="L158" s="224" t="str">
        <f t="shared" si="17"/>
        <v/>
      </c>
      <c r="M158" s="224" t="str">
        <f t="shared" si="18"/>
        <v/>
      </c>
      <c r="N158" s="1094"/>
      <c r="O158" s="1112"/>
      <c r="P158" s="1112"/>
      <c r="Q158" s="1112"/>
      <c r="R158" s="1112"/>
      <c r="S158" s="594">
        <f>SUM('TB-EQUIPMENT &amp; OTHER HPs'!$O158:$R158)</f>
        <v>0</v>
      </c>
      <c r="T158" s="1069">
        <f>'TB-EQUIPMENT &amp; OTHER HPs'!$N158*'TB-EQUIPMENT &amp; OTHER HPs'!$S158</f>
        <v>0</v>
      </c>
      <c r="U158" s="1094"/>
      <c r="V158" s="1112"/>
      <c r="W158" s="1112"/>
      <c r="X158" s="1112"/>
      <c r="Y158" s="1112"/>
      <c r="Z158" s="594">
        <f>SUM('TB-EQUIPMENT &amp; OTHER HPs'!$V158:$Y158)</f>
        <v>0</v>
      </c>
      <c r="AA158" s="1069">
        <f>'TB-EQUIPMENT &amp; OTHER HPs'!$U158*'TB-EQUIPMENT &amp; OTHER HPs'!$Z158</f>
        <v>0</v>
      </c>
      <c r="AB158" s="1094"/>
      <c r="AC158" s="1112"/>
      <c r="AD158" s="1112"/>
      <c r="AE158" s="1112"/>
      <c r="AF158" s="1112"/>
      <c r="AG158" s="594">
        <f>SUM('TB-EQUIPMENT &amp; OTHER HPs'!$AC158:$AF158)</f>
        <v>0</v>
      </c>
      <c r="AH158" s="1069">
        <f>'TB-EQUIPMENT &amp; OTHER HPs'!$AB158*'TB-EQUIPMENT &amp; OTHER HPs'!$AG158</f>
        <v>0</v>
      </c>
      <c r="AI158" s="595">
        <f>'TB-EQUIPMENT &amp; OTHER HPs'!$S158+'TB-EQUIPMENT &amp; OTHER HPs'!$Z158+'TB-EQUIPMENT &amp; OTHER HPs'!$AG158</f>
        <v>0</v>
      </c>
      <c r="AJ158" s="1069">
        <f>'TB-EQUIPMENT &amp; OTHER HPs'!$T158+'TB-EQUIPMENT &amp; OTHER HPs'!$AA158+'TB-EQUIPMENT &amp; OTHER HPs'!$AH158</f>
        <v>0</v>
      </c>
      <c r="AK158" s="490" t="str">
        <f t="shared" si="19"/>
        <v/>
      </c>
      <c r="AL158" s="1255"/>
    </row>
    <row r="159" spans="1:38" s="345" customFormat="1">
      <c r="A159" s="2516"/>
      <c r="B159" s="2126"/>
      <c r="C159" s="2126"/>
      <c r="D159" s="2126"/>
      <c r="E159" s="2516"/>
      <c r="F159" s="2126"/>
      <c r="G159" s="2126"/>
      <c r="H159" s="2126"/>
      <c r="I159" s="2518"/>
      <c r="J159" s="2519"/>
      <c r="K159" s="2520"/>
      <c r="L159" s="225" t="str">
        <f t="shared" si="17"/>
        <v/>
      </c>
      <c r="M159" s="226" t="str">
        <f t="shared" si="18"/>
        <v/>
      </c>
      <c r="N159" s="1093"/>
      <c r="O159" s="1111"/>
      <c r="P159" s="1111"/>
      <c r="Q159" s="1111"/>
      <c r="R159" s="1111"/>
      <c r="S159" s="592">
        <f>SUM('TB-EQUIPMENT &amp; OTHER HPs'!$O159:$R159)</f>
        <v>0</v>
      </c>
      <c r="T159" s="1068">
        <f>'TB-EQUIPMENT &amp; OTHER HPs'!$N159*'TB-EQUIPMENT &amp; OTHER HPs'!$S159</f>
        <v>0</v>
      </c>
      <c r="U159" s="1093"/>
      <c r="V159" s="1111"/>
      <c r="W159" s="1111"/>
      <c r="X159" s="1111"/>
      <c r="Y159" s="1111"/>
      <c r="Z159" s="592">
        <f>SUM('TB-EQUIPMENT &amp; OTHER HPs'!$V159:$Y159)</f>
        <v>0</v>
      </c>
      <c r="AA159" s="1068">
        <f>'TB-EQUIPMENT &amp; OTHER HPs'!$U159*'TB-EQUIPMENT &amp; OTHER HPs'!$Z159</f>
        <v>0</v>
      </c>
      <c r="AB159" s="1093"/>
      <c r="AC159" s="1111"/>
      <c r="AD159" s="1111"/>
      <c r="AE159" s="1111"/>
      <c r="AF159" s="1111"/>
      <c r="AG159" s="592">
        <f>SUM('TB-EQUIPMENT &amp; OTHER HPs'!$AC159:$AF159)</f>
        <v>0</v>
      </c>
      <c r="AH159" s="1068">
        <f>'TB-EQUIPMENT &amp; OTHER HPs'!$AB159*'TB-EQUIPMENT &amp; OTHER HPs'!$AG159</f>
        <v>0</v>
      </c>
      <c r="AI159" s="593">
        <f>'TB-EQUIPMENT &amp; OTHER HPs'!$S159+'TB-EQUIPMENT &amp; OTHER HPs'!$Z159+'TB-EQUIPMENT &amp; OTHER HPs'!$AG159</f>
        <v>0</v>
      </c>
      <c r="AJ159" s="1068">
        <f>'TB-EQUIPMENT &amp; OTHER HPs'!$T159+'TB-EQUIPMENT &amp; OTHER HPs'!$AA159+'TB-EQUIPMENT &amp; OTHER HPs'!$AH159</f>
        <v>0</v>
      </c>
      <c r="AK159" s="491" t="str">
        <f t="shared" si="19"/>
        <v/>
      </c>
      <c r="AL159" s="1256"/>
    </row>
    <row r="160" spans="1:38" s="345" customFormat="1">
      <c r="A160" s="2406"/>
      <c r="B160" s="2407"/>
      <c r="C160" s="2407"/>
      <c r="D160" s="2407"/>
      <c r="E160" s="2406"/>
      <c r="F160" s="2407"/>
      <c r="G160" s="2407"/>
      <c r="H160" s="2407"/>
      <c r="I160" s="2513"/>
      <c r="J160" s="2525"/>
      <c r="K160" s="2515"/>
      <c r="L160" s="224" t="str">
        <f t="shared" si="17"/>
        <v/>
      </c>
      <c r="M160" s="224" t="str">
        <f t="shared" si="18"/>
        <v/>
      </c>
      <c r="N160" s="1094"/>
      <c r="O160" s="1112"/>
      <c r="P160" s="1112"/>
      <c r="Q160" s="1112"/>
      <c r="R160" s="1112"/>
      <c r="S160" s="594">
        <f>SUM('TB-EQUIPMENT &amp; OTHER HPs'!$O160:$R160)</f>
        <v>0</v>
      </c>
      <c r="T160" s="1069">
        <f>'TB-EQUIPMENT &amp; OTHER HPs'!$N160*'TB-EQUIPMENT &amp; OTHER HPs'!$S160</f>
        <v>0</v>
      </c>
      <c r="U160" s="1094"/>
      <c r="V160" s="1112"/>
      <c r="W160" s="1112"/>
      <c r="X160" s="1112"/>
      <c r="Y160" s="1112"/>
      <c r="Z160" s="594">
        <f>SUM('TB-EQUIPMENT &amp; OTHER HPs'!$V160:$Y160)</f>
        <v>0</v>
      </c>
      <c r="AA160" s="1069">
        <f>'TB-EQUIPMENT &amp; OTHER HPs'!$U160*'TB-EQUIPMENT &amp; OTHER HPs'!$Z160</f>
        <v>0</v>
      </c>
      <c r="AB160" s="1094"/>
      <c r="AC160" s="1112"/>
      <c r="AD160" s="1112"/>
      <c r="AE160" s="1112"/>
      <c r="AF160" s="1112"/>
      <c r="AG160" s="594">
        <f>SUM('TB-EQUIPMENT &amp; OTHER HPs'!$AC160:$AF160)</f>
        <v>0</v>
      </c>
      <c r="AH160" s="1069">
        <f>'TB-EQUIPMENT &amp; OTHER HPs'!$AB160*'TB-EQUIPMENT &amp; OTHER HPs'!$AG160</f>
        <v>0</v>
      </c>
      <c r="AI160" s="595">
        <f>'TB-EQUIPMENT &amp; OTHER HPs'!$S160+'TB-EQUIPMENT &amp; OTHER HPs'!$Z160+'TB-EQUIPMENT &amp; OTHER HPs'!$AG160</f>
        <v>0</v>
      </c>
      <c r="AJ160" s="1069">
        <f>'TB-EQUIPMENT &amp; OTHER HPs'!$T160+'TB-EQUIPMENT &amp; OTHER HPs'!$AA160+'TB-EQUIPMENT &amp; OTHER HPs'!$AH160</f>
        <v>0</v>
      </c>
      <c r="AK160" s="490" t="str">
        <f t="shared" si="19"/>
        <v/>
      </c>
      <c r="AL160" s="1255"/>
    </row>
    <row r="161" spans="1:60" s="345" customFormat="1">
      <c r="A161" s="2516"/>
      <c r="B161" s="2126"/>
      <c r="C161" s="2126"/>
      <c r="D161" s="2126"/>
      <c r="E161" s="2516"/>
      <c r="F161" s="2126"/>
      <c r="G161" s="2126"/>
      <c r="H161" s="2126"/>
      <c r="I161" s="2518"/>
      <c r="J161" s="2519"/>
      <c r="K161" s="2520"/>
      <c r="L161" s="225" t="str">
        <f t="shared" si="17"/>
        <v/>
      </c>
      <c r="M161" s="226" t="str">
        <f t="shared" si="18"/>
        <v/>
      </c>
      <c r="N161" s="1093"/>
      <c r="O161" s="1111"/>
      <c r="P161" s="1111"/>
      <c r="Q161" s="1111"/>
      <c r="R161" s="1111"/>
      <c r="S161" s="592">
        <f>SUM('TB-EQUIPMENT &amp; OTHER HPs'!$O161:$R161)</f>
        <v>0</v>
      </c>
      <c r="T161" s="1068">
        <f>'TB-EQUIPMENT &amp; OTHER HPs'!$N161*'TB-EQUIPMENT &amp; OTHER HPs'!$S161</f>
        <v>0</v>
      </c>
      <c r="U161" s="1093"/>
      <c r="V161" s="1111"/>
      <c r="W161" s="1111"/>
      <c r="X161" s="1111"/>
      <c r="Y161" s="1111"/>
      <c r="Z161" s="592">
        <f>SUM('TB-EQUIPMENT &amp; OTHER HPs'!$V161:$Y161)</f>
        <v>0</v>
      </c>
      <c r="AA161" s="1068">
        <f>'TB-EQUIPMENT &amp; OTHER HPs'!$U161*'TB-EQUIPMENT &amp; OTHER HPs'!$Z161</f>
        <v>0</v>
      </c>
      <c r="AB161" s="1093"/>
      <c r="AC161" s="1111"/>
      <c r="AD161" s="1111"/>
      <c r="AE161" s="1111"/>
      <c r="AF161" s="1111"/>
      <c r="AG161" s="592">
        <f>SUM('TB-EQUIPMENT &amp; OTHER HPs'!$AC161:$AF161)</f>
        <v>0</v>
      </c>
      <c r="AH161" s="1068">
        <f>'TB-EQUIPMENT &amp; OTHER HPs'!$AB161*'TB-EQUIPMENT &amp; OTHER HPs'!$AG161</f>
        <v>0</v>
      </c>
      <c r="AI161" s="593">
        <f>'TB-EQUIPMENT &amp; OTHER HPs'!$S161+'TB-EQUIPMENT &amp; OTHER HPs'!$Z161+'TB-EQUIPMENT &amp; OTHER HPs'!$AG161</f>
        <v>0</v>
      </c>
      <c r="AJ161" s="1068">
        <f>'TB-EQUIPMENT &amp; OTHER HPs'!$T161+'TB-EQUIPMENT &amp; OTHER HPs'!$AA161+'TB-EQUIPMENT &amp; OTHER HPs'!$AH161</f>
        <v>0</v>
      </c>
      <c r="AK161" s="491" t="str">
        <f t="shared" si="19"/>
        <v/>
      </c>
      <c r="AL161" s="1256"/>
    </row>
    <row r="162" spans="1:60" s="414" customFormat="1">
      <c r="A162" s="2406"/>
      <c r="B162" s="2407"/>
      <c r="C162" s="2407"/>
      <c r="D162" s="2407"/>
      <c r="E162" s="2406"/>
      <c r="F162" s="2407"/>
      <c r="G162" s="2407"/>
      <c r="H162" s="2407"/>
      <c r="I162" s="2513"/>
      <c r="J162" s="2525"/>
      <c r="K162" s="2515"/>
      <c r="L162" s="224" t="str">
        <f t="shared" si="17"/>
        <v/>
      </c>
      <c r="M162" s="224" t="str">
        <f t="shared" si="18"/>
        <v/>
      </c>
      <c r="N162" s="1086"/>
      <c r="O162" s="1102"/>
      <c r="P162" s="1102"/>
      <c r="Q162" s="1102"/>
      <c r="R162" s="1102"/>
      <c r="S162" s="574">
        <f>SUM('TB-EQUIPMENT &amp; OTHER HPs'!$O162:$R162)</f>
        <v>0</v>
      </c>
      <c r="T162" s="1062">
        <f>'TB-EQUIPMENT &amp; OTHER HPs'!$N162*'TB-EQUIPMENT &amp; OTHER HPs'!$S162</f>
        <v>0</v>
      </c>
      <c r="U162" s="1086"/>
      <c r="V162" s="1102"/>
      <c r="W162" s="1102"/>
      <c r="X162" s="1102"/>
      <c r="Y162" s="1102"/>
      <c r="Z162" s="574">
        <f>SUM('TB-EQUIPMENT &amp; OTHER HPs'!$V162:$Y162)</f>
        <v>0</v>
      </c>
      <c r="AA162" s="1062">
        <f>'TB-EQUIPMENT &amp; OTHER HPs'!$U162*'TB-EQUIPMENT &amp; OTHER HPs'!$Z162</f>
        <v>0</v>
      </c>
      <c r="AB162" s="1086"/>
      <c r="AC162" s="1102"/>
      <c r="AD162" s="1102"/>
      <c r="AE162" s="1102"/>
      <c r="AF162" s="1102"/>
      <c r="AG162" s="574">
        <f>SUM('TB-EQUIPMENT &amp; OTHER HPs'!$AC162:$AF162)</f>
        <v>0</v>
      </c>
      <c r="AH162" s="1062">
        <f>'TB-EQUIPMENT &amp; OTHER HPs'!$AB162*'TB-EQUIPMENT &amp; OTHER HPs'!$AG162</f>
        <v>0</v>
      </c>
      <c r="AI162" s="575">
        <f>'TB-EQUIPMENT &amp; OTHER HPs'!$S162+'TB-EQUIPMENT &amp; OTHER HPs'!$Z162+'TB-EQUIPMENT &amp; OTHER HPs'!$AG162</f>
        <v>0</v>
      </c>
      <c r="AJ162" s="1062">
        <f>'TB-EQUIPMENT &amp; OTHER HPs'!$T162+'TB-EQUIPMENT &amp; OTHER HPs'!$AA162+'TB-EQUIPMENT &amp; OTHER HPs'!$AH162</f>
        <v>0</v>
      </c>
      <c r="AK162" s="489" t="str">
        <f t="shared" si="19"/>
        <v/>
      </c>
      <c r="AL162" s="1252"/>
      <c r="AV162" s="345"/>
      <c r="AW162" s="345"/>
      <c r="AX162" s="345"/>
      <c r="AY162" s="345"/>
      <c r="AZ162" s="345"/>
      <c r="BA162" s="345"/>
      <c r="BB162" s="345"/>
      <c r="BC162" s="345"/>
      <c r="BD162" s="345"/>
      <c r="BE162" s="345"/>
      <c r="BF162" s="345"/>
      <c r="BG162" s="345"/>
      <c r="BH162" s="345"/>
    </row>
    <row r="163" spans="1:60" s="249" customFormat="1">
      <c r="A163" s="2516"/>
      <c r="B163" s="2126"/>
      <c r="C163" s="2126"/>
      <c r="D163" s="2126"/>
      <c r="E163" s="2516"/>
      <c r="F163" s="2126"/>
      <c r="G163" s="2126"/>
      <c r="H163" s="2126"/>
      <c r="I163" s="2518"/>
      <c r="J163" s="2519"/>
      <c r="K163" s="2520"/>
      <c r="L163" s="225" t="str">
        <f t="shared" si="17"/>
        <v/>
      </c>
      <c r="M163" s="226" t="str">
        <f t="shared" si="18"/>
        <v/>
      </c>
      <c r="N163" s="1085"/>
      <c r="O163" s="36"/>
      <c r="P163" s="36"/>
      <c r="Q163" s="36"/>
      <c r="R163" s="36"/>
      <c r="S163" s="572">
        <f>SUM('TB-EQUIPMENT &amp; OTHER HPs'!$O163:$R163)</f>
        <v>0</v>
      </c>
      <c r="T163" s="1061">
        <f>'TB-EQUIPMENT &amp; OTHER HPs'!$N163*'TB-EQUIPMENT &amp; OTHER HPs'!$S163</f>
        <v>0</v>
      </c>
      <c r="U163" s="1085"/>
      <c r="V163" s="36"/>
      <c r="W163" s="36"/>
      <c r="X163" s="36"/>
      <c r="Y163" s="36"/>
      <c r="Z163" s="572">
        <f>SUM('TB-EQUIPMENT &amp; OTHER HPs'!$V163:$Y163)</f>
        <v>0</v>
      </c>
      <c r="AA163" s="1061">
        <f>'TB-EQUIPMENT &amp; OTHER HPs'!$U163*'TB-EQUIPMENT &amp; OTHER HPs'!$Z163</f>
        <v>0</v>
      </c>
      <c r="AB163" s="1085"/>
      <c r="AC163" s="36"/>
      <c r="AD163" s="36"/>
      <c r="AE163" s="36"/>
      <c r="AF163" s="36"/>
      <c r="AG163" s="572">
        <f>SUM('TB-EQUIPMENT &amp; OTHER HPs'!$AC163:$AF163)</f>
        <v>0</v>
      </c>
      <c r="AH163" s="1061">
        <f>'TB-EQUIPMENT &amp; OTHER HPs'!$AB163*'TB-EQUIPMENT &amp; OTHER HPs'!$AG163</f>
        <v>0</v>
      </c>
      <c r="AI163" s="573">
        <f>'TB-EQUIPMENT &amp; OTHER HPs'!$S163+'TB-EQUIPMENT &amp; OTHER HPs'!$Z163+'TB-EQUIPMENT &amp; OTHER HPs'!$AG163</f>
        <v>0</v>
      </c>
      <c r="AJ163" s="1061">
        <f>'TB-EQUIPMENT &amp; OTHER HPs'!$T163+'TB-EQUIPMENT &amp; OTHER HPs'!$AA163+'TB-EQUIPMENT &amp; OTHER HPs'!$AH163</f>
        <v>0</v>
      </c>
      <c r="AK163" s="486" t="str">
        <f t="shared" si="19"/>
        <v/>
      </c>
      <c r="AL163" s="1253"/>
      <c r="AV163" s="414"/>
      <c r="AW163" s="414"/>
      <c r="AX163" s="414"/>
      <c r="AY163" s="414"/>
      <c r="AZ163" s="414"/>
      <c r="BA163" s="414"/>
      <c r="BB163" s="414"/>
      <c r="BC163" s="414"/>
      <c r="BD163" s="414"/>
      <c r="BE163" s="414"/>
      <c r="BF163" s="414"/>
      <c r="BG163" s="414"/>
      <c r="BH163" s="414"/>
    </row>
    <row r="164" spans="1:60" s="249" customFormat="1">
      <c r="A164" s="2406"/>
      <c r="B164" s="2407"/>
      <c r="C164" s="2407"/>
      <c r="D164" s="2407"/>
      <c r="E164" s="2406"/>
      <c r="F164" s="2407"/>
      <c r="G164" s="2407"/>
      <c r="H164" s="2407"/>
      <c r="I164" s="2513"/>
      <c r="J164" s="2525"/>
      <c r="K164" s="2515"/>
      <c r="L164" s="224" t="str">
        <f t="shared" si="17"/>
        <v/>
      </c>
      <c r="M164" s="224" t="str">
        <f t="shared" si="18"/>
        <v/>
      </c>
      <c r="N164" s="1086"/>
      <c r="O164" s="1102"/>
      <c r="P164" s="1102"/>
      <c r="Q164" s="1102"/>
      <c r="R164" s="1102"/>
      <c r="S164" s="574">
        <f>SUM('TB-EQUIPMENT &amp; OTHER HPs'!$O164:$R164)</f>
        <v>0</v>
      </c>
      <c r="T164" s="1062">
        <f>'TB-EQUIPMENT &amp; OTHER HPs'!$N164*'TB-EQUIPMENT &amp; OTHER HPs'!$S164</f>
        <v>0</v>
      </c>
      <c r="U164" s="1086"/>
      <c r="V164" s="1102"/>
      <c r="W164" s="1102"/>
      <c r="X164" s="1102"/>
      <c r="Y164" s="1102"/>
      <c r="Z164" s="574">
        <f>SUM('TB-EQUIPMENT &amp; OTHER HPs'!$V164:$Y164)</f>
        <v>0</v>
      </c>
      <c r="AA164" s="1062">
        <f>'TB-EQUIPMENT &amp; OTHER HPs'!$U164*'TB-EQUIPMENT &amp; OTHER HPs'!$Z164</f>
        <v>0</v>
      </c>
      <c r="AB164" s="1086"/>
      <c r="AC164" s="1102"/>
      <c r="AD164" s="1102"/>
      <c r="AE164" s="1102"/>
      <c r="AF164" s="1102"/>
      <c r="AG164" s="574">
        <f>SUM('TB-EQUIPMENT &amp; OTHER HPs'!$AC164:$AF164)</f>
        <v>0</v>
      </c>
      <c r="AH164" s="1062">
        <f>'TB-EQUIPMENT &amp; OTHER HPs'!$AB164*'TB-EQUIPMENT &amp; OTHER HPs'!$AG164</f>
        <v>0</v>
      </c>
      <c r="AI164" s="575">
        <f>'TB-EQUIPMENT &amp; OTHER HPs'!$S164+'TB-EQUIPMENT &amp; OTHER HPs'!$Z164+'TB-EQUIPMENT &amp; OTHER HPs'!$AG164</f>
        <v>0</v>
      </c>
      <c r="AJ164" s="1062">
        <f>'TB-EQUIPMENT &amp; OTHER HPs'!$T164+'TB-EQUIPMENT &amp; OTHER HPs'!$AA164+'TB-EQUIPMENT &amp; OTHER HPs'!$AH164</f>
        <v>0</v>
      </c>
      <c r="AK164" s="489" t="str">
        <f t="shared" si="19"/>
        <v/>
      </c>
      <c r="AL164" s="1252"/>
    </row>
    <row r="165" spans="1:60" s="249" customFormat="1">
      <c r="A165" s="2516"/>
      <c r="B165" s="2126"/>
      <c r="C165" s="2126"/>
      <c r="D165" s="2126"/>
      <c r="E165" s="2516"/>
      <c r="F165" s="2126"/>
      <c r="G165" s="2126"/>
      <c r="H165" s="2126"/>
      <c r="I165" s="2518"/>
      <c r="J165" s="2519"/>
      <c r="K165" s="2520"/>
      <c r="L165" s="225" t="str">
        <f t="shared" si="17"/>
        <v/>
      </c>
      <c r="M165" s="226" t="str">
        <f t="shared" si="18"/>
        <v/>
      </c>
      <c r="N165" s="1085"/>
      <c r="O165" s="36"/>
      <c r="P165" s="36"/>
      <c r="Q165" s="36"/>
      <c r="R165" s="36"/>
      <c r="S165" s="572">
        <f>SUM('TB-EQUIPMENT &amp; OTHER HPs'!$O165:$R165)</f>
        <v>0</v>
      </c>
      <c r="T165" s="1061">
        <f>'TB-EQUIPMENT &amp; OTHER HPs'!$N165*'TB-EQUIPMENT &amp; OTHER HPs'!$S165</f>
        <v>0</v>
      </c>
      <c r="U165" s="1085"/>
      <c r="V165" s="36"/>
      <c r="W165" s="36"/>
      <c r="X165" s="36"/>
      <c r="Y165" s="36"/>
      <c r="Z165" s="572">
        <f>SUM('TB-EQUIPMENT &amp; OTHER HPs'!$V165:$Y165)</f>
        <v>0</v>
      </c>
      <c r="AA165" s="1061">
        <f>'TB-EQUIPMENT &amp; OTHER HPs'!$U165*'TB-EQUIPMENT &amp; OTHER HPs'!$Z165</f>
        <v>0</v>
      </c>
      <c r="AB165" s="1085"/>
      <c r="AC165" s="36"/>
      <c r="AD165" s="36"/>
      <c r="AE165" s="36"/>
      <c r="AF165" s="36"/>
      <c r="AG165" s="572">
        <f>SUM('TB-EQUIPMENT &amp; OTHER HPs'!$AC165:$AF165)</f>
        <v>0</v>
      </c>
      <c r="AH165" s="1061">
        <f>'TB-EQUIPMENT &amp; OTHER HPs'!$AB165*'TB-EQUIPMENT &amp; OTHER HPs'!$AG165</f>
        <v>0</v>
      </c>
      <c r="AI165" s="573">
        <f>'TB-EQUIPMENT &amp; OTHER HPs'!$S165+'TB-EQUIPMENT &amp; OTHER HPs'!$Z165+'TB-EQUIPMENT &amp; OTHER HPs'!$AG165</f>
        <v>0</v>
      </c>
      <c r="AJ165" s="1061">
        <f>'TB-EQUIPMENT &amp; OTHER HPs'!$T165+'TB-EQUIPMENT &amp; OTHER HPs'!$AA165+'TB-EQUIPMENT &amp; OTHER HPs'!$AH165</f>
        <v>0</v>
      </c>
      <c r="AK165" s="486" t="str">
        <f t="shared" si="19"/>
        <v/>
      </c>
      <c r="AL165" s="1253"/>
    </row>
    <row r="166" spans="1:60" s="249" customFormat="1">
      <c r="A166" s="2406"/>
      <c r="B166" s="2407"/>
      <c r="C166" s="2407"/>
      <c r="D166" s="2407"/>
      <c r="E166" s="2406"/>
      <c r="F166" s="2407"/>
      <c r="G166" s="2407"/>
      <c r="H166" s="2407"/>
      <c r="I166" s="2513"/>
      <c r="J166" s="2525"/>
      <c r="K166" s="2515"/>
      <c r="L166" s="224" t="str">
        <f t="shared" si="17"/>
        <v/>
      </c>
      <c r="M166" s="224" t="str">
        <f t="shared" si="18"/>
        <v/>
      </c>
      <c r="N166" s="1086"/>
      <c r="O166" s="1102"/>
      <c r="P166" s="1102"/>
      <c r="Q166" s="1102"/>
      <c r="R166" s="1102"/>
      <c r="S166" s="574">
        <f>SUM('TB-EQUIPMENT &amp; OTHER HPs'!$O166:$R166)</f>
        <v>0</v>
      </c>
      <c r="T166" s="1062">
        <f>'TB-EQUIPMENT &amp; OTHER HPs'!$N166*'TB-EQUIPMENT &amp; OTHER HPs'!$S166</f>
        <v>0</v>
      </c>
      <c r="U166" s="1086"/>
      <c r="V166" s="1102"/>
      <c r="W166" s="1102"/>
      <c r="X166" s="1102"/>
      <c r="Y166" s="1102"/>
      <c r="Z166" s="574">
        <f>SUM('TB-EQUIPMENT &amp; OTHER HPs'!$V166:$Y166)</f>
        <v>0</v>
      </c>
      <c r="AA166" s="1062">
        <f>'TB-EQUIPMENT &amp; OTHER HPs'!$U166*'TB-EQUIPMENT &amp; OTHER HPs'!$Z166</f>
        <v>0</v>
      </c>
      <c r="AB166" s="1086"/>
      <c r="AC166" s="1102"/>
      <c r="AD166" s="1102"/>
      <c r="AE166" s="1102"/>
      <c r="AF166" s="1102"/>
      <c r="AG166" s="574">
        <f>SUM('TB-EQUIPMENT &amp; OTHER HPs'!$AC166:$AF166)</f>
        <v>0</v>
      </c>
      <c r="AH166" s="1062">
        <f>'TB-EQUIPMENT &amp; OTHER HPs'!$AB166*'TB-EQUIPMENT &amp; OTHER HPs'!$AG166</f>
        <v>0</v>
      </c>
      <c r="AI166" s="575">
        <f>'TB-EQUIPMENT &amp; OTHER HPs'!$S166+'TB-EQUIPMENT &amp; OTHER HPs'!$Z166+'TB-EQUIPMENT &amp; OTHER HPs'!$AG166</f>
        <v>0</v>
      </c>
      <c r="AJ166" s="1062">
        <f>'TB-EQUIPMENT &amp; OTHER HPs'!$T166+'TB-EQUIPMENT &amp; OTHER HPs'!$AA166+'TB-EQUIPMENT &amp; OTHER HPs'!$AH166</f>
        <v>0</v>
      </c>
      <c r="AK166" s="489" t="str">
        <f t="shared" si="19"/>
        <v/>
      </c>
      <c r="AL166" s="1252"/>
    </row>
    <row r="167" spans="1:60" s="249" customFormat="1">
      <c r="A167" s="2516"/>
      <c r="B167" s="2126"/>
      <c r="C167" s="2126"/>
      <c r="D167" s="2126"/>
      <c r="E167" s="2516"/>
      <c r="F167" s="2126"/>
      <c r="G167" s="2126"/>
      <c r="H167" s="2126"/>
      <c r="I167" s="2518"/>
      <c r="J167" s="2519"/>
      <c r="K167" s="2520"/>
      <c r="L167" s="225" t="str">
        <f t="shared" si="17"/>
        <v/>
      </c>
      <c r="M167" s="226" t="str">
        <f t="shared" si="18"/>
        <v/>
      </c>
      <c r="N167" s="1085"/>
      <c r="O167" s="36"/>
      <c r="P167" s="36"/>
      <c r="Q167" s="36"/>
      <c r="R167" s="36"/>
      <c r="S167" s="572">
        <f>SUM('TB-EQUIPMENT &amp; OTHER HPs'!$O167:$R167)</f>
        <v>0</v>
      </c>
      <c r="T167" s="1061">
        <f>'TB-EQUIPMENT &amp; OTHER HPs'!$N167*'TB-EQUIPMENT &amp; OTHER HPs'!$S167</f>
        <v>0</v>
      </c>
      <c r="U167" s="1085"/>
      <c r="V167" s="36"/>
      <c r="W167" s="36"/>
      <c r="X167" s="36"/>
      <c r="Y167" s="36"/>
      <c r="Z167" s="572">
        <f>SUM('TB-EQUIPMENT &amp; OTHER HPs'!$V167:$Y167)</f>
        <v>0</v>
      </c>
      <c r="AA167" s="1061">
        <f>'TB-EQUIPMENT &amp; OTHER HPs'!$U167*'TB-EQUIPMENT &amp; OTHER HPs'!$Z167</f>
        <v>0</v>
      </c>
      <c r="AB167" s="1085"/>
      <c r="AC167" s="36"/>
      <c r="AD167" s="36"/>
      <c r="AE167" s="36"/>
      <c r="AF167" s="36"/>
      <c r="AG167" s="572">
        <f>SUM('TB-EQUIPMENT &amp; OTHER HPs'!$AC167:$AF167)</f>
        <v>0</v>
      </c>
      <c r="AH167" s="1061">
        <f>'TB-EQUIPMENT &amp; OTHER HPs'!$AB167*'TB-EQUIPMENT &amp; OTHER HPs'!$AG167</f>
        <v>0</v>
      </c>
      <c r="AI167" s="573">
        <f>'TB-EQUIPMENT &amp; OTHER HPs'!$S167+'TB-EQUIPMENT &amp; OTHER HPs'!$Z167+'TB-EQUIPMENT &amp; OTHER HPs'!$AG167</f>
        <v>0</v>
      </c>
      <c r="AJ167" s="1061">
        <f>'TB-EQUIPMENT &amp; OTHER HPs'!$T167+'TB-EQUIPMENT &amp; OTHER HPs'!$AA167+'TB-EQUIPMENT &amp; OTHER HPs'!$AH167</f>
        <v>0</v>
      </c>
      <c r="AK167" s="486" t="str">
        <f t="shared" si="19"/>
        <v/>
      </c>
      <c r="AL167" s="1253"/>
    </row>
    <row r="168" spans="1:60" s="249" customFormat="1">
      <c r="A168" s="2406"/>
      <c r="B168" s="2407"/>
      <c r="C168" s="2407"/>
      <c r="D168" s="2407"/>
      <c r="E168" s="2406"/>
      <c r="F168" s="2407"/>
      <c r="G168" s="2407"/>
      <c r="H168" s="2407"/>
      <c r="I168" s="2513"/>
      <c r="J168" s="2525"/>
      <c r="K168" s="2515"/>
      <c r="L168" s="224" t="str">
        <f t="shared" si="17"/>
        <v/>
      </c>
      <c r="M168" s="224" t="str">
        <f t="shared" si="18"/>
        <v/>
      </c>
      <c r="N168" s="1086"/>
      <c r="O168" s="1102"/>
      <c r="P168" s="1102"/>
      <c r="Q168" s="1102"/>
      <c r="R168" s="1102"/>
      <c r="S168" s="574">
        <f>SUM('TB-EQUIPMENT &amp; OTHER HPs'!$O168:$R168)</f>
        <v>0</v>
      </c>
      <c r="T168" s="1062">
        <f>'TB-EQUIPMENT &amp; OTHER HPs'!$N168*'TB-EQUIPMENT &amp; OTHER HPs'!$S168</f>
        <v>0</v>
      </c>
      <c r="U168" s="1086"/>
      <c r="V168" s="1102"/>
      <c r="W168" s="1102"/>
      <c r="X168" s="1102"/>
      <c r="Y168" s="1102"/>
      <c r="Z168" s="574">
        <f>SUM('TB-EQUIPMENT &amp; OTHER HPs'!$V168:$Y168)</f>
        <v>0</v>
      </c>
      <c r="AA168" s="1062">
        <f>'TB-EQUIPMENT &amp; OTHER HPs'!$U168*'TB-EQUIPMENT &amp; OTHER HPs'!$Z168</f>
        <v>0</v>
      </c>
      <c r="AB168" s="1086"/>
      <c r="AC168" s="1102"/>
      <c r="AD168" s="1102"/>
      <c r="AE168" s="1102"/>
      <c r="AF168" s="1102"/>
      <c r="AG168" s="574">
        <f>SUM('TB-EQUIPMENT &amp; OTHER HPs'!$AC168:$AF168)</f>
        <v>0</v>
      </c>
      <c r="AH168" s="1062">
        <f>'TB-EQUIPMENT &amp; OTHER HPs'!$AB168*'TB-EQUIPMENT &amp; OTHER HPs'!$AG168</f>
        <v>0</v>
      </c>
      <c r="AI168" s="575">
        <f>'TB-EQUIPMENT &amp; OTHER HPs'!$S168+'TB-EQUIPMENT &amp; OTHER HPs'!$Z168+'TB-EQUIPMENT &amp; OTHER HPs'!$AG168</f>
        <v>0</v>
      </c>
      <c r="AJ168" s="1062">
        <f>'TB-EQUIPMENT &amp; OTHER HPs'!$T168+'TB-EQUIPMENT &amp; OTHER HPs'!$AA168+'TB-EQUIPMENT &amp; OTHER HPs'!$AH168</f>
        <v>0</v>
      </c>
      <c r="AK168" s="489" t="str">
        <f t="shared" si="19"/>
        <v/>
      </c>
      <c r="AL168" s="1252"/>
    </row>
    <row r="169" spans="1:60" s="249" customFormat="1">
      <c r="A169" s="2516"/>
      <c r="B169" s="2126"/>
      <c r="C169" s="2126"/>
      <c r="D169" s="2126"/>
      <c r="E169" s="2516"/>
      <c r="F169" s="2126"/>
      <c r="G169" s="2126"/>
      <c r="H169" s="2126"/>
      <c r="I169" s="2518"/>
      <c r="J169" s="2519"/>
      <c r="K169" s="2520"/>
      <c r="L169" s="225" t="str">
        <f t="shared" si="17"/>
        <v/>
      </c>
      <c r="M169" s="226" t="str">
        <f t="shared" si="18"/>
        <v/>
      </c>
      <c r="N169" s="1085"/>
      <c r="O169" s="36"/>
      <c r="P169" s="36"/>
      <c r="Q169" s="36"/>
      <c r="R169" s="36"/>
      <c r="S169" s="572">
        <f>SUM('TB-EQUIPMENT &amp; OTHER HPs'!$O169:$R169)</f>
        <v>0</v>
      </c>
      <c r="T169" s="1061">
        <f>'TB-EQUIPMENT &amp; OTHER HPs'!$N169*'TB-EQUIPMENT &amp; OTHER HPs'!$S169</f>
        <v>0</v>
      </c>
      <c r="U169" s="1085"/>
      <c r="V169" s="36"/>
      <c r="W169" s="36"/>
      <c r="X169" s="36"/>
      <c r="Y169" s="36"/>
      <c r="Z169" s="572">
        <f>SUM('TB-EQUIPMENT &amp; OTHER HPs'!$V169:$Y169)</f>
        <v>0</v>
      </c>
      <c r="AA169" s="1061">
        <f>'TB-EQUIPMENT &amp; OTHER HPs'!$U169*'TB-EQUIPMENT &amp; OTHER HPs'!$Z169</f>
        <v>0</v>
      </c>
      <c r="AB169" s="1085"/>
      <c r="AC169" s="36"/>
      <c r="AD169" s="36"/>
      <c r="AE169" s="36"/>
      <c r="AF169" s="36"/>
      <c r="AG169" s="572">
        <f>SUM('TB-EQUIPMENT &amp; OTHER HPs'!$AC169:$AF169)</f>
        <v>0</v>
      </c>
      <c r="AH169" s="1061">
        <f>'TB-EQUIPMENT &amp; OTHER HPs'!$AB169*'TB-EQUIPMENT &amp; OTHER HPs'!$AG169</f>
        <v>0</v>
      </c>
      <c r="AI169" s="573">
        <f>'TB-EQUIPMENT &amp; OTHER HPs'!$S169+'TB-EQUIPMENT &amp; OTHER HPs'!$Z169+'TB-EQUIPMENT &amp; OTHER HPs'!$AG169</f>
        <v>0</v>
      </c>
      <c r="AJ169" s="1061">
        <f>'TB-EQUIPMENT &amp; OTHER HPs'!$T169+'TB-EQUIPMENT &amp; OTHER HPs'!$AA169+'TB-EQUIPMENT &amp; OTHER HPs'!$AH169</f>
        <v>0</v>
      </c>
      <c r="AK169" s="486" t="str">
        <f t="shared" si="19"/>
        <v/>
      </c>
      <c r="AL169" s="1253"/>
    </row>
    <row r="170" spans="1:60" s="249" customFormat="1">
      <c r="A170" s="2406"/>
      <c r="B170" s="2407"/>
      <c r="C170" s="2407"/>
      <c r="D170" s="2407"/>
      <c r="E170" s="2406"/>
      <c r="F170" s="2407"/>
      <c r="G170" s="2407"/>
      <c r="H170" s="2407"/>
      <c r="I170" s="2513"/>
      <c r="J170" s="2525"/>
      <c r="K170" s="2515"/>
      <c r="L170" s="224" t="str">
        <f t="shared" si="17"/>
        <v/>
      </c>
      <c r="M170" s="224" t="str">
        <f t="shared" si="18"/>
        <v/>
      </c>
      <c r="N170" s="1086"/>
      <c r="O170" s="1102"/>
      <c r="P170" s="1102"/>
      <c r="Q170" s="1102"/>
      <c r="R170" s="1102"/>
      <c r="S170" s="574">
        <f>SUM('TB-EQUIPMENT &amp; OTHER HPs'!$O170:$R170)</f>
        <v>0</v>
      </c>
      <c r="T170" s="1062">
        <f>'TB-EQUIPMENT &amp; OTHER HPs'!$N170*'TB-EQUIPMENT &amp; OTHER HPs'!$S170</f>
        <v>0</v>
      </c>
      <c r="U170" s="1086"/>
      <c r="V170" s="1102"/>
      <c r="W170" s="1102"/>
      <c r="X170" s="1102"/>
      <c r="Y170" s="1102"/>
      <c r="Z170" s="574">
        <f>SUM('TB-EQUIPMENT &amp; OTHER HPs'!$V170:$Y170)</f>
        <v>0</v>
      </c>
      <c r="AA170" s="1062">
        <f>'TB-EQUIPMENT &amp; OTHER HPs'!$U170*'TB-EQUIPMENT &amp; OTHER HPs'!$Z170</f>
        <v>0</v>
      </c>
      <c r="AB170" s="1086"/>
      <c r="AC170" s="1102"/>
      <c r="AD170" s="1102"/>
      <c r="AE170" s="1102"/>
      <c r="AF170" s="1102"/>
      <c r="AG170" s="574">
        <f>SUM('TB-EQUIPMENT &amp; OTHER HPs'!$AC170:$AF170)</f>
        <v>0</v>
      </c>
      <c r="AH170" s="1062">
        <f>'TB-EQUIPMENT &amp; OTHER HPs'!$AB170*'TB-EQUIPMENT &amp; OTHER HPs'!$AG170</f>
        <v>0</v>
      </c>
      <c r="AI170" s="575">
        <f>'TB-EQUIPMENT &amp; OTHER HPs'!$S170+'TB-EQUIPMENT &amp; OTHER HPs'!$Z170+'TB-EQUIPMENT &amp; OTHER HPs'!$AG170</f>
        <v>0</v>
      </c>
      <c r="AJ170" s="1062">
        <f>'TB-EQUIPMENT &amp; OTHER HPs'!$T170+'TB-EQUIPMENT &amp; OTHER HPs'!$AA170+'TB-EQUIPMENT &amp; OTHER HPs'!$AH170</f>
        <v>0</v>
      </c>
      <c r="AK170" s="489" t="str">
        <f t="shared" si="19"/>
        <v/>
      </c>
      <c r="AL170" s="1252"/>
    </row>
    <row r="171" spans="1:60" s="249" customFormat="1">
      <c r="A171" s="2516"/>
      <c r="B171" s="2126"/>
      <c r="C171" s="2126"/>
      <c r="D171" s="2126"/>
      <c r="E171" s="2516"/>
      <c r="F171" s="2126"/>
      <c r="G171" s="2126"/>
      <c r="H171" s="2126"/>
      <c r="I171" s="2518"/>
      <c r="J171" s="2519"/>
      <c r="K171" s="2520"/>
      <c r="L171" s="225" t="str">
        <f t="shared" si="17"/>
        <v/>
      </c>
      <c r="M171" s="226" t="str">
        <f t="shared" si="18"/>
        <v/>
      </c>
      <c r="N171" s="1085"/>
      <c r="O171" s="36"/>
      <c r="P171" s="36"/>
      <c r="Q171" s="36"/>
      <c r="R171" s="36"/>
      <c r="S171" s="572">
        <f>SUM('TB-EQUIPMENT &amp; OTHER HPs'!$O171:$R171)</f>
        <v>0</v>
      </c>
      <c r="T171" s="1061">
        <f>'TB-EQUIPMENT &amp; OTHER HPs'!$N171*'TB-EQUIPMENT &amp; OTHER HPs'!$S171</f>
        <v>0</v>
      </c>
      <c r="U171" s="1085"/>
      <c r="V171" s="36"/>
      <c r="W171" s="36"/>
      <c r="X171" s="36"/>
      <c r="Y171" s="36"/>
      <c r="Z171" s="572">
        <f>SUM('TB-EQUIPMENT &amp; OTHER HPs'!$V171:$Y171)</f>
        <v>0</v>
      </c>
      <c r="AA171" s="1061">
        <f>'TB-EQUIPMENT &amp; OTHER HPs'!$U171*'TB-EQUIPMENT &amp; OTHER HPs'!$Z171</f>
        <v>0</v>
      </c>
      <c r="AB171" s="1085"/>
      <c r="AC171" s="36"/>
      <c r="AD171" s="36"/>
      <c r="AE171" s="36"/>
      <c r="AF171" s="36"/>
      <c r="AG171" s="572">
        <f>SUM('TB-EQUIPMENT &amp; OTHER HPs'!$AC171:$AF171)</f>
        <v>0</v>
      </c>
      <c r="AH171" s="1061">
        <f>'TB-EQUIPMENT &amp; OTHER HPs'!$AB171*'TB-EQUIPMENT &amp; OTHER HPs'!$AG171</f>
        <v>0</v>
      </c>
      <c r="AI171" s="573">
        <f>'TB-EQUIPMENT &amp; OTHER HPs'!$S171+'TB-EQUIPMENT &amp; OTHER HPs'!$Z171+'TB-EQUIPMENT &amp; OTHER HPs'!$AG171</f>
        <v>0</v>
      </c>
      <c r="AJ171" s="1061">
        <f>'TB-EQUIPMENT &amp; OTHER HPs'!$T171+'TB-EQUIPMENT &amp; OTHER HPs'!$AA171+'TB-EQUIPMENT &amp; OTHER HPs'!$AH171</f>
        <v>0</v>
      </c>
      <c r="AK171" s="486" t="str">
        <f t="shared" si="19"/>
        <v/>
      </c>
      <c r="AL171" s="1253"/>
    </row>
    <row r="172" spans="1:60" s="249" customFormat="1">
      <c r="A172" s="2406"/>
      <c r="B172" s="2407"/>
      <c r="C172" s="2407"/>
      <c r="D172" s="2407"/>
      <c r="E172" s="2406"/>
      <c r="F172" s="2407"/>
      <c r="G172" s="2407"/>
      <c r="H172" s="2407"/>
      <c r="I172" s="2513"/>
      <c r="J172" s="2525"/>
      <c r="K172" s="2515"/>
      <c r="L172" s="224" t="str">
        <f t="shared" si="17"/>
        <v/>
      </c>
      <c r="M172" s="224" t="str">
        <f t="shared" si="18"/>
        <v/>
      </c>
      <c r="N172" s="1086"/>
      <c r="O172" s="1102"/>
      <c r="P172" s="1102"/>
      <c r="Q172" s="1102"/>
      <c r="R172" s="1102"/>
      <c r="S172" s="574">
        <f>SUM('TB-EQUIPMENT &amp; OTHER HPs'!$O172:$R172)</f>
        <v>0</v>
      </c>
      <c r="T172" s="1062">
        <f>'TB-EQUIPMENT &amp; OTHER HPs'!$N172*'TB-EQUIPMENT &amp; OTHER HPs'!$S172</f>
        <v>0</v>
      </c>
      <c r="U172" s="1086"/>
      <c r="V172" s="1102"/>
      <c r="W172" s="1102"/>
      <c r="X172" s="1102"/>
      <c r="Y172" s="1102"/>
      <c r="Z172" s="574">
        <f>SUM('TB-EQUIPMENT &amp; OTHER HPs'!$V172:$Y172)</f>
        <v>0</v>
      </c>
      <c r="AA172" s="1062">
        <f>'TB-EQUIPMENT &amp; OTHER HPs'!$U172*'TB-EQUIPMENT &amp; OTHER HPs'!$Z172</f>
        <v>0</v>
      </c>
      <c r="AB172" s="1086"/>
      <c r="AC172" s="1102"/>
      <c r="AD172" s="1102"/>
      <c r="AE172" s="1102"/>
      <c r="AF172" s="1102"/>
      <c r="AG172" s="574">
        <f>SUM('TB-EQUIPMENT &amp; OTHER HPs'!$AC172:$AF172)</f>
        <v>0</v>
      </c>
      <c r="AH172" s="1062">
        <f>'TB-EQUIPMENT &amp; OTHER HPs'!$AB172*'TB-EQUIPMENT &amp; OTHER HPs'!$AG172</f>
        <v>0</v>
      </c>
      <c r="AI172" s="575">
        <f>'TB-EQUIPMENT &amp; OTHER HPs'!$S172+'TB-EQUIPMENT &amp; OTHER HPs'!$Z172+'TB-EQUIPMENT &amp; OTHER HPs'!$AG172</f>
        <v>0</v>
      </c>
      <c r="AJ172" s="1062">
        <f>'TB-EQUIPMENT &amp; OTHER HPs'!$T172+'TB-EQUIPMENT &amp; OTHER HPs'!$AA172+'TB-EQUIPMENT &amp; OTHER HPs'!$AH172</f>
        <v>0</v>
      </c>
      <c r="AK172" s="489" t="str">
        <f t="shared" si="19"/>
        <v/>
      </c>
      <c r="AL172" s="1252"/>
    </row>
    <row r="173" spans="1:60" s="249" customFormat="1">
      <c r="A173" s="2516"/>
      <c r="B173" s="2126"/>
      <c r="C173" s="2126"/>
      <c r="D173" s="2126"/>
      <c r="E173" s="2516"/>
      <c r="F173" s="2126"/>
      <c r="G173" s="2126"/>
      <c r="H173" s="2126"/>
      <c r="I173" s="2518"/>
      <c r="J173" s="2519"/>
      <c r="K173" s="2520"/>
      <c r="L173" s="225" t="str">
        <f t="shared" si="17"/>
        <v/>
      </c>
      <c r="M173" s="226" t="str">
        <f t="shared" si="18"/>
        <v/>
      </c>
      <c r="N173" s="1085"/>
      <c r="O173" s="36"/>
      <c r="P173" s="36"/>
      <c r="Q173" s="36"/>
      <c r="R173" s="36"/>
      <c r="S173" s="572">
        <f>SUM('TB-EQUIPMENT &amp; OTHER HPs'!$O173:$R173)</f>
        <v>0</v>
      </c>
      <c r="T173" s="1061">
        <f>'TB-EQUIPMENT &amp; OTHER HPs'!$N173*'TB-EQUIPMENT &amp; OTHER HPs'!$S173</f>
        <v>0</v>
      </c>
      <c r="U173" s="1085"/>
      <c r="V173" s="36"/>
      <c r="W173" s="36"/>
      <c r="X173" s="36"/>
      <c r="Y173" s="36"/>
      <c r="Z173" s="572">
        <f>SUM('TB-EQUIPMENT &amp; OTHER HPs'!$V173:$Y173)</f>
        <v>0</v>
      </c>
      <c r="AA173" s="1061">
        <f>'TB-EQUIPMENT &amp; OTHER HPs'!$U173*'TB-EQUIPMENT &amp; OTHER HPs'!$Z173</f>
        <v>0</v>
      </c>
      <c r="AB173" s="1085"/>
      <c r="AC173" s="36"/>
      <c r="AD173" s="36"/>
      <c r="AE173" s="36"/>
      <c r="AF173" s="36"/>
      <c r="AG173" s="572">
        <f>SUM('TB-EQUIPMENT &amp; OTHER HPs'!$AC173:$AF173)</f>
        <v>0</v>
      </c>
      <c r="AH173" s="1061">
        <f>'TB-EQUIPMENT &amp; OTHER HPs'!$AB173*'TB-EQUIPMENT &amp; OTHER HPs'!$AG173</f>
        <v>0</v>
      </c>
      <c r="AI173" s="573">
        <f>'TB-EQUIPMENT &amp; OTHER HPs'!$S173+'TB-EQUIPMENT &amp; OTHER HPs'!$Z173+'TB-EQUIPMENT &amp; OTHER HPs'!$AG173</f>
        <v>0</v>
      </c>
      <c r="AJ173" s="1061">
        <f>'TB-EQUIPMENT &amp; OTHER HPs'!$T173+'TB-EQUIPMENT &amp; OTHER HPs'!$AA173+'TB-EQUIPMENT &amp; OTHER HPs'!$AH173</f>
        <v>0</v>
      </c>
      <c r="AK173" s="486" t="str">
        <f t="shared" si="19"/>
        <v/>
      </c>
      <c r="AL173" s="1253"/>
    </row>
    <row r="174" spans="1:60" s="249" customFormat="1">
      <c r="A174" s="2406"/>
      <c r="B174" s="2407"/>
      <c r="C174" s="2407"/>
      <c r="D174" s="2407"/>
      <c r="E174" s="2406"/>
      <c r="F174" s="2407"/>
      <c r="G174" s="2407"/>
      <c r="H174" s="2407"/>
      <c r="I174" s="2513"/>
      <c r="J174" s="2525"/>
      <c r="K174" s="2515"/>
      <c r="L174" s="224" t="str">
        <f t="shared" si="17"/>
        <v/>
      </c>
      <c r="M174" s="224" t="str">
        <f t="shared" si="18"/>
        <v/>
      </c>
      <c r="N174" s="1086"/>
      <c r="O174" s="1102"/>
      <c r="P174" s="1102"/>
      <c r="Q174" s="1102"/>
      <c r="R174" s="1102"/>
      <c r="S174" s="574">
        <f>SUM('TB-EQUIPMENT &amp; OTHER HPs'!$O174:$R174)</f>
        <v>0</v>
      </c>
      <c r="T174" s="1062">
        <f>'TB-EQUIPMENT &amp; OTHER HPs'!$N174*'TB-EQUIPMENT &amp; OTHER HPs'!$S174</f>
        <v>0</v>
      </c>
      <c r="U174" s="1086"/>
      <c r="V174" s="1102"/>
      <c r="W174" s="1102"/>
      <c r="X174" s="1102"/>
      <c r="Y174" s="1102"/>
      <c r="Z174" s="574">
        <f>SUM('TB-EQUIPMENT &amp; OTHER HPs'!$V174:$Y174)</f>
        <v>0</v>
      </c>
      <c r="AA174" s="1062">
        <f>'TB-EQUIPMENT &amp; OTHER HPs'!$U174*'TB-EQUIPMENT &amp; OTHER HPs'!$Z174</f>
        <v>0</v>
      </c>
      <c r="AB174" s="1086"/>
      <c r="AC174" s="1102"/>
      <c r="AD174" s="1102"/>
      <c r="AE174" s="1102"/>
      <c r="AF174" s="1102"/>
      <c r="AG174" s="574">
        <f>SUM('TB-EQUIPMENT &amp; OTHER HPs'!$AC174:$AF174)</f>
        <v>0</v>
      </c>
      <c r="AH174" s="1062">
        <f>'TB-EQUIPMENT &amp; OTHER HPs'!$AB174*'TB-EQUIPMENT &amp; OTHER HPs'!$AG174</f>
        <v>0</v>
      </c>
      <c r="AI174" s="575">
        <f>'TB-EQUIPMENT &amp; OTHER HPs'!$S174+'TB-EQUIPMENT &amp; OTHER HPs'!$Z174+'TB-EQUIPMENT &amp; OTHER HPs'!$AG174</f>
        <v>0</v>
      </c>
      <c r="AJ174" s="1062">
        <f>'TB-EQUIPMENT &amp; OTHER HPs'!$T174+'TB-EQUIPMENT &amp; OTHER HPs'!$AA174+'TB-EQUIPMENT &amp; OTHER HPs'!$AH174</f>
        <v>0</v>
      </c>
      <c r="AK174" s="489" t="str">
        <f t="shared" si="19"/>
        <v/>
      </c>
      <c r="AL174" s="1252"/>
    </row>
    <row r="175" spans="1:60" s="249" customFormat="1" ht="15" thickBot="1">
      <c r="A175" s="2544"/>
      <c r="B175" s="2545"/>
      <c r="C175" s="2545"/>
      <c r="D175" s="2545"/>
      <c r="E175" s="2544"/>
      <c r="F175" s="2545"/>
      <c r="G175" s="2545"/>
      <c r="H175" s="2545"/>
      <c r="I175" s="2547"/>
      <c r="J175" s="2548"/>
      <c r="K175" s="2549"/>
      <c r="L175" s="227" t="str">
        <f t="shared" si="17"/>
        <v/>
      </c>
      <c r="M175" s="227" t="str">
        <f t="shared" si="18"/>
        <v/>
      </c>
      <c r="N175" s="1087"/>
      <c r="O175" s="1103"/>
      <c r="P175" s="1103"/>
      <c r="Q175" s="1103"/>
      <c r="R175" s="1103"/>
      <c r="S175" s="577">
        <f>SUM('TB-EQUIPMENT &amp; OTHER HPs'!$O175:$R175)</f>
        <v>0</v>
      </c>
      <c r="T175" s="1063">
        <f>'TB-EQUIPMENT &amp; OTHER HPs'!$N175*'TB-EQUIPMENT &amp; OTHER HPs'!$S175</f>
        <v>0</v>
      </c>
      <c r="U175" s="1087"/>
      <c r="V175" s="1103"/>
      <c r="W175" s="1103"/>
      <c r="X175" s="1103"/>
      <c r="Y175" s="1103"/>
      <c r="Z175" s="577">
        <f>SUM('TB-EQUIPMENT &amp; OTHER HPs'!$V175:$Y175)</f>
        <v>0</v>
      </c>
      <c r="AA175" s="1063">
        <f>'TB-EQUIPMENT &amp; OTHER HPs'!$U175*'TB-EQUIPMENT &amp; OTHER HPs'!$Z175</f>
        <v>0</v>
      </c>
      <c r="AB175" s="1087"/>
      <c r="AC175" s="1103"/>
      <c r="AD175" s="1103"/>
      <c r="AE175" s="1103"/>
      <c r="AF175" s="1103"/>
      <c r="AG175" s="577">
        <f>SUM('TB-EQUIPMENT &amp; OTHER HPs'!$AC175:$AF175)</f>
        <v>0</v>
      </c>
      <c r="AH175" s="1063">
        <f>'TB-EQUIPMENT &amp; OTHER HPs'!$AB175*'TB-EQUIPMENT &amp; OTHER HPs'!$AG175</f>
        <v>0</v>
      </c>
      <c r="AI175" s="578">
        <f>'TB-EQUIPMENT &amp; OTHER HPs'!$S175+'TB-EQUIPMENT &amp; OTHER HPs'!$Z175+'TB-EQUIPMENT &amp; OTHER HPs'!$AG175</f>
        <v>0</v>
      </c>
      <c r="AJ175" s="1063">
        <f>'TB-EQUIPMENT &amp; OTHER HPs'!$T175+'TB-EQUIPMENT &amp; OTHER HPs'!$AA175+'TB-EQUIPMENT &amp; OTHER HPs'!$AH175</f>
        <v>0</v>
      </c>
      <c r="AK175" s="579" t="str">
        <f t="shared" si="19"/>
        <v/>
      </c>
      <c r="AL175" s="1254"/>
    </row>
    <row r="176" spans="1:60" s="249" customFormat="1">
      <c r="A176" s="244"/>
      <c r="B176" s="244"/>
      <c r="C176" s="244"/>
      <c r="D176" s="245"/>
      <c r="E176" s="245"/>
      <c r="F176" s="245"/>
      <c r="G176" s="245"/>
      <c r="H176" s="246"/>
      <c r="I176" s="246"/>
      <c r="J176" s="247"/>
      <c r="K176" s="247"/>
      <c r="L176" s="247"/>
      <c r="M176" s="247"/>
      <c r="N176" s="1095"/>
      <c r="O176" s="248"/>
      <c r="P176" s="248"/>
      <c r="Q176" s="1113"/>
      <c r="R176" s="1113"/>
      <c r="S176" s="1113"/>
      <c r="T176" s="1095"/>
      <c r="U176" s="1095"/>
      <c r="V176" s="248"/>
      <c r="W176" s="248"/>
      <c r="X176" s="1113"/>
      <c r="Y176" s="1113"/>
      <c r="Z176" s="1113"/>
      <c r="AA176" s="1095"/>
      <c r="AB176" s="1095"/>
      <c r="AC176" s="248"/>
      <c r="AD176" s="248"/>
      <c r="AE176" s="248"/>
      <c r="AF176" s="248"/>
      <c r="AG176" s="1115"/>
      <c r="AH176" s="1080"/>
      <c r="AI176" s="556"/>
      <c r="AJ176" s="1070"/>
      <c r="AL176" s="1259"/>
    </row>
    <row r="177" spans="48:60">
      <c r="AV177" s="249"/>
      <c r="AW177" s="249"/>
      <c r="AX177" s="249"/>
      <c r="AY177" s="249"/>
      <c r="AZ177" s="249"/>
      <c r="BA177" s="249"/>
      <c r="BB177" s="249"/>
      <c r="BC177" s="249"/>
      <c r="BD177" s="249"/>
      <c r="BE177" s="249"/>
      <c r="BF177" s="249"/>
      <c r="BG177" s="249"/>
      <c r="BH177" s="249"/>
    </row>
  </sheetData>
  <sheetProtection algorithmName="SHA-512" hashValue="tchEZCY3+CecNYkQ1Q7fQmySMmHoRDUKHwbLknnTrjhDn9GjHZ84T7XYQFaqlkA9MjGCVnX/qzuB9OxwidGh+w==" saltValue="tSqX07dHANvMJbBOhbIz0w==" spinCount="100000" sheet="1" formatColumns="0" formatRows="0" selectLockedCells="1" autoFilter="0"/>
  <mergeCells count="505">
    <mergeCell ref="A10:M10"/>
    <mergeCell ref="A65:M65"/>
    <mergeCell ref="A87:M87"/>
    <mergeCell ref="A134:M134"/>
    <mergeCell ref="AB89:AH89"/>
    <mergeCell ref="AL89:AL90"/>
    <mergeCell ref="AL136:AL137"/>
    <mergeCell ref="N136:T136"/>
    <mergeCell ref="U136:AA136"/>
    <mergeCell ref="AB136:AH136"/>
    <mergeCell ref="A136:D137"/>
    <mergeCell ref="A94:D94"/>
    <mergeCell ref="A95:D95"/>
    <mergeCell ref="A96:D96"/>
    <mergeCell ref="A85:A86"/>
    <mergeCell ref="B85:E86"/>
    <mergeCell ref="E95:H95"/>
    <mergeCell ref="E96:H96"/>
    <mergeCell ref="A115:D115"/>
    <mergeCell ref="A116:D116"/>
    <mergeCell ref="E108:H108"/>
    <mergeCell ref="E109:H109"/>
    <mergeCell ref="E92:H92"/>
    <mergeCell ref="E94:H94"/>
    <mergeCell ref="A175:D175"/>
    <mergeCell ref="A163:D163"/>
    <mergeCell ref="A164:D164"/>
    <mergeCell ref="A165:D165"/>
    <mergeCell ref="A166:D166"/>
    <mergeCell ref="A167:D167"/>
    <mergeCell ref="A168:D168"/>
    <mergeCell ref="A169:D169"/>
    <mergeCell ref="A170:D170"/>
    <mergeCell ref="A171:D171"/>
    <mergeCell ref="A174:D174"/>
    <mergeCell ref="A157:D157"/>
    <mergeCell ref="A158:D158"/>
    <mergeCell ref="A159:D159"/>
    <mergeCell ref="A160:D160"/>
    <mergeCell ref="A161:D161"/>
    <mergeCell ref="A162:D162"/>
    <mergeCell ref="A172:D172"/>
    <mergeCell ref="A173:D173"/>
    <mergeCell ref="A146:D146"/>
    <mergeCell ref="A147:D147"/>
    <mergeCell ref="A148:D148"/>
    <mergeCell ref="A149:D149"/>
    <mergeCell ref="A150:D150"/>
    <mergeCell ref="A151:D151"/>
    <mergeCell ref="A152:D152"/>
    <mergeCell ref="A153:D153"/>
    <mergeCell ref="A154:D154"/>
    <mergeCell ref="A155:D155"/>
    <mergeCell ref="A156:D156"/>
    <mergeCell ref="A138:D138"/>
    <mergeCell ref="A139:D139"/>
    <mergeCell ref="A140:D140"/>
    <mergeCell ref="A141:D141"/>
    <mergeCell ref="A142:D142"/>
    <mergeCell ref="A143:D143"/>
    <mergeCell ref="A144:D144"/>
    <mergeCell ref="A145:D145"/>
    <mergeCell ref="A122:D122"/>
    <mergeCell ref="A123:D123"/>
    <mergeCell ref="A124:D124"/>
    <mergeCell ref="A125:D125"/>
    <mergeCell ref="A126:D126"/>
    <mergeCell ref="A127:D127"/>
    <mergeCell ref="A128:D128"/>
    <mergeCell ref="A129:D129"/>
    <mergeCell ref="A130:D130"/>
    <mergeCell ref="A104:D104"/>
    <mergeCell ref="A105:D105"/>
    <mergeCell ref="A108:D108"/>
    <mergeCell ref="A109:D109"/>
    <mergeCell ref="A110:D110"/>
    <mergeCell ref="A79:D79"/>
    <mergeCell ref="A80:D80"/>
    <mergeCell ref="A81:D81"/>
    <mergeCell ref="A82:D82"/>
    <mergeCell ref="A83:D83"/>
    <mergeCell ref="A89:D90"/>
    <mergeCell ref="A91:D91"/>
    <mergeCell ref="A92:D92"/>
    <mergeCell ref="A93:D93"/>
    <mergeCell ref="A71:D71"/>
    <mergeCell ref="A72:D72"/>
    <mergeCell ref="A63:A64"/>
    <mergeCell ref="A73:D73"/>
    <mergeCell ref="A74:D74"/>
    <mergeCell ref="A75:D75"/>
    <mergeCell ref="A76:D76"/>
    <mergeCell ref="A77:D77"/>
    <mergeCell ref="A78:D78"/>
    <mergeCell ref="A54:D54"/>
    <mergeCell ref="A55:D55"/>
    <mergeCell ref="A56:D56"/>
    <mergeCell ref="A57:D57"/>
    <mergeCell ref="A58:D58"/>
    <mergeCell ref="A59:D59"/>
    <mergeCell ref="A60:D60"/>
    <mergeCell ref="A61:D61"/>
    <mergeCell ref="A67:D68"/>
    <mergeCell ref="A45:D45"/>
    <mergeCell ref="A46:D46"/>
    <mergeCell ref="A47:D47"/>
    <mergeCell ref="A48:D48"/>
    <mergeCell ref="A49:D49"/>
    <mergeCell ref="A50:D50"/>
    <mergeCell ref="A51:D51"/>
    <mergeCell ref="A52:D52"/>
    <mergeCell ref="A53:D53"/>
    <mergeCell ref="I156:K156"/>
    <mergeCell ref="E157:H157"/>
    <mergeCell ref="I157:K157"/>
    <mergeCell ref="A12:D13"/>
    <mergeCell ref="A14:D14"/>
    <mergeCell ref="A15:D15"/>
    <mergeCell ref="A16:D16"/>
    <mergeCell ref="A17:D17"/>
    <mergeCell ref="A18:D18"/>
    <mergeCell ref="A19:D19"/>
    <mergeCell ref="A20:D20"/>
    <mergeCell ref="A21:D21"/>
    <mergeCell ref="A22:D22"/>
    <mergeCell ref="A23:D23"/>
    <mergeCell ref="A24:D24"/>
    <mergeCell ref="A25:D25"/>
    <mergeCell ref="A26:D26"/>
    <mergeCell ref="A27:D27"/>
    <mergeCell ref="A28:D28"/>
    <mergeCell ref="A29:D29"/>
    <mergeCell ref="A41:D41"/>
    <mergeCell ref="A42:D42"/>
    <mergeCell ref="A43:D43"/>
    <mergeCell ref="A44:D44"/>
    <mergeCell ref="I153:K153"/>
    <mergeCell ref="E154:H154"/>
    <mergeCell ref="E173:H173"/>
    <mergeCell ref="I173:K173"/>
    <mergeCell ref="E164:H164"/>
    <mergeCell ref="I164:K164"/>
    <mergeCell ref="E165:H165"/>
    <mergeCell ref="I165:K165"/>
    <mergeCell ref="E166:H166"/>
    <mergeCell ref="I166:K166"/>
    <mergeCell ref="E167:H167"/>
    <mergeCell ref="I167:K167"/>
    <mergeCell ref="E168:H168"/>
    <mergeCell ref="I168:K168"/>
    <mergeCell ref="E169:H169"/>
    <mergeCell ref="I169:K169"/>
    <mergeCell ref="E170:H170"/>
    <mergeCell ref="I170:K170"/>
    <mergeCell ref="E171:H171"/>
    <mergeCell ref="I171:K171"/>
    <mergeCell ref="I154:K154"/>
    <mergeCell ref="E155:H155"/>
    <mergeCell ref="I155:K155"/>
    <mergeCell ref="E156:H156"/>
    <mergeCell ref="E144:H144"/>
    <mergeCell ref="I144:K144"/>
    <mergeCell ref="E145:H145"/>
    <mergeCell ref="I145:K145"/>
    <mergeCell ref="E123:H123"/>
    <mergeCell ref="E172:H172"/>
    <mergeCell ref="I172:K172"/>
    <mergeCell ref="E159:H159"/>
    <mergeCell ref="I159:K159"/>
    <mergeCell ref="E160:H160"/>
    <mergeCell ref="I160:K160"/>
    <mergeCell ref="E162:H162"/>
    <mergeCell ref="I162:K162"/>
    <mergeCell ref="E163:H163"/>
    <mergeCell ref="I163:K163"/>
    <mergeCell ref="E161:H161"/>
    <mergeCell ref="I161:K161"/>
    <mergeCell ref="E147:H147"/>
    <mergeCell ref="I147:K147"/>
    <mergeCell ref="E148:H148"/>
    <mergeCell ref="I148:K148"/>
    <mergeCell ref="E158:H158"/>
    <mergeCell ref="I158:K158"/>
    <mergeCell ref="E153:H153"/>
    <mergeCell ref="E140:H140"/>
    <mergeCell ref="I140:K140"/>
    <mergeCell ref="E141:H141"/>
    <mergeCell ref="I141:K141"/>
    <mergeCell ref="I142:K142"/>
    <mergeCell ref="E143:H143"/>
    <mergeCell ref="I143:K143"/>
    <mergeCell ref="H132:H133"/>
    <mergeCell ref="E110:H110"/>
    <mergeCell ref="E111:H111"/>
    <mergeCell ref="E112:H112"/>
    <mergeCell ref="E125:H125"/>
    <mergeCell ref="I125:K125"/>
    <mergeCell ref="E126:H126"/>
    <mergeCell ref="E117:H117"/>
    <mergeCell ref="I117:K117"/>
    <mergeCell ref="E115:H115"/>
    <mergeCell ref="I115:K115"/>
    <mergeCell ref="I132:I133"/>
    <mergeCell ref="J132:J133"/>
    <mergeCell ref="E118:H118"/>
    <mergeCell ref="B132:E133"/>
    <mergeCell ref="A117:D117"/>
    <mergeCell ref="A118:D118"/>
    <mergeCell ref="I126:K126"/>
    <mergeCell ref="H85:H86"/>
    <mergeCell ref="E78:H78"/>
    <mergeCell ref="I78:K78"/>
    <mergeCell ref="E79:H79"/>
    <mergeCell ref="I79:K79"/>
    <mergeCell ref="E80:H80"/>
    <mergeCell ref="I80:K80"/>
    <mergeCell ref="E83:H83"/>
    <mergeCell ref="E106:H106"/>
    <mergeCell ref="I106:K106"/>
    <mergeCell ref="E107:H107"/>
    <mergeCell ref="I107:K107"/>
    <mergeCell ref="F85:G85"/>
    <mergeCell ref="F86:G86"/>
    <mergeCell ref="E101:H101"/>
    <mergeCell ref="E102:H102"/>
    <mergeCell ref="I123:K123"/>
    <mergeCell ref="I101:K101"/>
    <mergeCell ref="I82:K82"/>
    <mergeCell ref="I110:K110"/>
    <mergeCell ref="I111:K111"/>
    <mergeCell ref="I95:K95"/>
    <mergeCell ref="I96:K96"/>
    <mergeCell ref="I97:K97"/>
    <mergeCell ref="I98:K98"/>
    <mergeCell ref="I99:K99"/>
    <mergeCell ref="I100:K100"/>
    <mergeCell ref="I102:K102"/>
    <mergeCell ref="I103:K103"/>
    <mergeCell ref="I104:K104"/>
    <mergeCell ref="E119:H119"/>
    <mergeCell ref="I119:K119"/>
    <mergeCell ref="E120:H120"/>
    <mergeCell ref="I120:K120"/>
    <mergeCell ref="E121:H121"/>
    <mergeCell ref="I121:K121"/>
    <mergeCell ref="I108:K108"/>
    <mergeCell ref="I109:K109"/>
    <mergeCell ref="A119:D119"/>
    <mergeCell ref="A120:D120"/>
    <mergeCell ref="A121:D121"/>
    <mergeCell ref="E122:H122"/>
    <mergeCell ref="I122:K122"/>
    <mergeCell ref="E103:H103"/>
    <mergeCell ref="A97:D97"/>
    <mergeCell ref="A98:D98"/>
    <mergeCell ref="A99:D99"/>
    <mergeCell ref="A100:D100"/>
    <mergeCell ref="A101:D101"/>
    <mergeCell ref="A102:D102"/>
    <mergeCell ref="A103:D103"/>
    <mergeCell ref="E113:H113"/>
    <mergeCell ref="I113:K113"/>
    <mergeCell ref="E114:H114"/>
    <mergeCell ref="I114:K114"/>
    <mergeCell ref="A107:D107"/>
    <mergeCell ref="A111:D111"/>
    <mergeCell ref="A106:D106"/>
    <mergeCell ref="A112:D112"/>
    <mergeCell ref="A113:D113"/>
    <mergeCell ref="A114:D114"/>
    <mergeCell ref="E116:H116"/>
    <mergeCell ref="I116:K116"/>
    <mergeCell ref="I112:K112"/>
    <mergeCell ref="I118:K118"/>
    <mergeCell ref="AI136:AJ136"/>
    <mergeCell ref="E174:H174"/>
    <mergeCell ref="I174:K174"/>
    <mergeCell ref="E175:H175"/>
    <mergeCell ref="I175:K175"/>
    <mergeCell ref="E149:H149"/>
    <mergeCell ref="I149:K149"/>
    <mergeCell ref="E150:H150"/>
    <mergeCell ref="I150:K150"/>
    <mergeCell ref="E151:H151"/>
    <mergeCell ref="I151:K151"/>
    <mergeCell ref="M136:M137"/>
    <mergeCell ref="E152:H152"/>
    <mergeCell ref="I152:K152"/>
    <mergeCell ref="L136:L137"/>
    <mergeCell ref="E142:H142"/>
    <mergeCell ref="E146:H146"/>
    <mergeCell ref="I146:K146"/>
    <mergeCell ref="E136:H137"/>
    <mergeCell ref="I136:K137"/>
    <mergeCell ref="E138:H138"/>
    <mergeCell ref="I138:K138"/>
    <mergeCell ref="E139:H139"/>
    <mergeCell ref="I139:K139"/>
    <mergeCell ref="L89:L90"/>
    <mergeCell ref="E89:H90"/>
    <mergeCell ref="I89:K90"/>
    <mergeCell ref="E91:H91"/>
    <mergeCell ref="I91:K91"/>
    <mergeCell ref="M89:M90"/>
    <mergeCell ref="A132:A133"/>
    <mergeCell ref="E127:H127"/>
    <mergeCell ref="I127:K127"/>
    <mergeCell ref="E128:H128"/>
    <mergeCell ref="I128:K128"/>
    <mergeCell ref="E129:H129"/>
    <mergeCell ref="I129:K129"/>
    <mergeCell ref="E130:H130"/>
    <mergeCell ref="I130:K130"/>
    <mergeCell ref="E124:H124"/>
    <mergeCell ref="I124:K124"/>
    <mergeCell ref="E104:H104"/>
    <mergeCell ref="E105:H105"/>
    <mergeCell ref="E97:H97"/>
    <mergeCell ref="E98:H98"/>
    <mergeCell ref="E99:H99"/>
    <mergeCell ref="E100:H100"/>
    <mergeCell ref="I105:K105"/>
    <mergeCell ref="E69:H69"/>
    <mergeCell ref="I69:K69"/>
    <mergeCell ref="E70:H70"/>
    <mergeCell ref="I70:K70"/>
    <mergeCell ref="E67:H68"/>
    <mergeCell ref="I67:K68"/>
    <mergeCell ref="L67:L68"/>
    <mergeCell ref="I63:I64"/>
    <mergeCell ref="J63:J64"/>
    <mergeCell ref="H63:H64"/>
    <mergeCell ref="B63:E64"/>
    <mergeCell ref="A70:D70"/>
    <mergeCell ref="A69:D69"/>
    <mergeCell ref="E57:H57"/>
    <mergeCell ref="I57:K57"/>
    <mergeCell ref="E58:H58"/>
    <mergeCell ref="I58:K58"/>
    <mergeCell ref="E59:H59"/>
    <mergeCell ref="I59:K59"/>
    <mergeCell ref="E60:H60"/>
    <mergeCell ref="I60:K60"/>
    <mergeCell ref="E61:H61"/>
    <mergeCell ref="I61:K61"/>
    <mergeCell ref="E12:H13"/>
    <mergeCell ref="I12:K13"/>
    <mergeCell ref="E14:H14"/>
    <mergeCell ref="I14:K14"/>
    <mergeCell ref="E15:H15"/>
    <mergeCell ref="I15:K15"/>
    <mergeCell ref="I45:K45"/>
    <mergeCell ref="E46:H46"/>
    <mergeCell ref="I46:K46"/>
    <mergeCell ref="E28:H28"/>
    <mergeCell ref="E29:H29"/>
    <mergeCell ref="E30:H30"/>
    <mergeCell ref="E31:H31"/>
    <mergeCell ref="E32:H32"/>
    <mergeCell ref="E33:H33"/>
    <mergeCell ref="E55:H55"/>
    <mergeCell ref="I55:K55"/>
    <mergeCell ref="E56:H56"/>
    <mergeCell ref="I56:K56"/>
    <mergeCell ref="E16:H16"/>
    <mergeCell ref="I16:K16"/>
    <mergeCell ref="E45:H45"/>
    <mergeCell ref="E53:H53"/>
    <mergeCell ref="I53:K53"/>
    <mergeCell ref="E36:H36"/>
    <mergeCell ref="E37:H37"/>
    <mergeCell ref="E38:H38"/>
    <mergeCell ref="E39:H39"/>
    <mergeCell ref="N1:N2"/>
    <mergeCell ref="G5:G6"/>
    <mergeCell ref="H5:K6"/>
    <mergeCell ref="O1:O2"/>
    <mergeCell ref="E54:H54"/>
    <mergeCell ref="I54:K54"/>
    <mergeCell ref="L12:L13"/>
    <mergeCell ref="I20:K20"/>
    <mergeCell ref="E21:H21"/>
    <mergeCell ref="I21:K21"/>
    <mergeCell ref="M1:M2"/>
    <mergeCell ref="E52:H52"/>
    <mergeCell ref="I52:K52"/>
    <mergeCell ref="E47:H47"/>
    <mergeCell ref="I47:K47"/>
    <mergeCell ref="E49:H49"/>
    <mergeCell ref="I49:K49"/>
    <mergeCell ref="E51:H51"/>
    <mergeCell ref="I51:K51"/>
    <mergeCell ref="E48:H48"/>
    <mergeCell ref="I48:K48"/>
    <mergeCell ref="E50:H50"/>
    <mergeCell ref="I50:K50"/>
    <mergeCell ref="I29:K29"/>
    <mergeCell ref="A8:A9"/>
    <mergeCell ref="A1:K1"/>
    <mergeCell ref="B3:B4"/>
    <mergeCell ref="C3:E4"/>
    <mergeCell ref="G3:G4"/>
    <mergeCell ref="H3:K4"/>
    <mergeCell ref="B5:B6"/>
    <mergeCell ref="C5:E6"/>
    <mergeCell ref="H8:H9"/>
    <mergeCell ref="I8:I9"/>
    <mergeCell ref="J8:J9"/>
    <mergeCell ref="B8:E9"/>
    <mergeCell ref="A30:D30"/>
    <mergeCell ref="A31:D31"/>
    <mergeCell ref="A32:D32"/>
    <mergeCell ref="A33:D33"/>
    <mergeCell ref="A34:D34"/>
    <mergeCell ref="A35:D35"/>
    <mergeCell ref="A36:D36"/>
    <mergeCell ref="I25:K25"/>
    <mergeCell ref="I40:K40"/>
    <mergeCell ref="I30:K30"/>
    <mergeCell ref="I31:K31"/>
    <mergeCell ref="I32:K32"/>
    <mergeCell ref="I33:K33"/>
    <mergeCell ref="I34:K34"/>
    <mergeCell ref="I35:K35"/>
    <mergeCell ref="I27:K27"/>
    <mergeCell ref="I28:K28"/>
    <mergeCell ref="E40:H40"/>
    <mergeCell ref="A37:D37"/>
    <mergeCell ref="A38:D38"/>
    <mergeCell ref="A39:D39"/>
    <mergeCell ref="A40:D40"/>
    <mergeCell ref="E26:H26"/>
    <mergeCell ref="E27:H27"/>
    <mergeCell ref="I73:K73"/>
    <mergeCell ref="E73:H73"/>
    <mergeCell ref="E74:H74"/>
    <mergeCell ref="I74:K74"/>
    <mergeCell ref="E75:H75"/>
    <mergeCell ref="I75:K75"/>
    <mergeCell ref="E81:H81"/>
    <mergeCell ref="I81:K81"/>
    <mergeCell ref="I22:K22"/>
    <mergeCell ref="E23:H23"/>
    <mergeCell ref="I23:K23"/>
    <mergeCell ref="E24:H24"/>
    <mergeCell ref="I24:K24"/>
    <mergeCell ref="E25:H25"/>
    <mergeCell ref="E44:H44"/>
    <mergeCell ref="I44:K44"/>
    <mergeCell ref="E41:H41"/>
    <mergeCell ref="E42:H42"/>
    <mergeCell ref="E43:H43"/>
    <mergeCell ref="I36:K36"/>
    <mergeCell ref="I37:K37"/>
    <mergeCell ref="I41:K41"/>
    <mergeCell ref="I42:K42"/>
    <mergeCell ref="I43:K43"/>
    <mergeCell ref="I94:K94"/>
    <mergeCell ref="I83:K83"/>
    <mergeCell ref="I85:I86"/>
    <mergeCell ref="J85:J86"/>
    <mergeCell ref="E76:H76"/>
    <mergeCell ref="I76:K76"/>
    <mergeCell ref="E77:H77"/>
    <mergeCell ref="I77:K77"/>
    <mergeCell ref="E82:H82"/>
    <mergeCell ref="I92:K92"/>
    <mergeCell ref="E93:H93"/>
    <mergeCell ref="I93:K93"/>
    <mergeCell ref="U89:AA89"/>
    <mergeCell ref="N89:T89"/>
    <mergeCell ref="AI12:AJ12"/>
    <mergeCell ref="M12:M13"/>
    <mergeCell ref="AI67:AJ67"/>
    <mergeCell ref="M67:M68"/>
    <mergeCell ref="AI89:AJ89"/>
    <mergeCell ref="E71:H71"/>
    <mergeCell ref="I71:K71"/>
    <mergeCell ref="E72:H72"/>
    <mergeCell ref="I72:K72"/>
    <mergeCell ref="E17:H17"/>
    <mergeCell ref="I17:K17"/>
    <mergeCell ref="E18:H18"/>
    <mergeCell ref="I18:K18"/>
    <mergeCell ref="E19:H19"/>
    <mergeCell ref="I19:K19"/>
    <mergeCell ref="E20:H20"/>
    <mergeCell ref="I38:K38"/>
    <mergeCell ref="I39:K39"/>
    <mergeCell ref="E34:H34"/>
    <mergeCell ref="E35:H35"/>
    <mergeCell ref="I26:K26"/>
    <mergeCell ref="E22:H22"/>
    <mergeCell ref="AW11:BH11"/>
    <mergeCell ref="AW12:AZ12"/>
    <mergeCell ref="BA12:BD12"/>
    <mergeCell ref="BE12:BH12"/>
    <mergeCell ref="N12:T12"/>
    <mergeCell ref="U12:AA12"/>
    <mergeCell ref="AB12:AH12"/>
    <mergeCell ref="N67:T67"/>
    <mergeCell ref="U67:AA67"/>
    <mergeCell ref="AB67:AH67"/>
    <mergeCell ref="AL12:AL13"/>
    <mergeCell ref="AL67:AL68"/>
  </mergeCells>
  <dataValidations count="3">
    <dataValidation type="list" allowBlank="1" showInputMessage="1" showErrorMessage="1" sqref="E91:K130 E14:K61 E69:K83 E138:K175" xr:uid="{00000000-0002-0000-0D00-000000000000}">
      <formula1>INDIRECT(SUBSTITUTE(SUBSTITUTE(SUBSTITUTE(SUBSTITUTE(SUBSTITUTE(SUBSTITUTE(SUBSTITUTE(SUBSTITUTE(SUBSTITUTE(SUBSTITUTE(SUBSTITUTE(A14,",",""),":",""),"/"," "),"(",""),")",""),"-"," "),"  "," ")," ","_"),"&amp;",""),"__","_"),"+","_"))</formula1>
    </dataValidation>
    <dataValidation type="list" allowBlank="1" showInputMessage="1" showErrorMessage="1" sqref="M69:M83 M14:M61 M91:M130" xr:uid="{00000000-0002-0000-0D00-000001000000}">
      <formula1>$C$25:$C$39</formula1>
    </dataValidation>
    <dataValidation type="decimal" allowBlank="1" showInputMessage="1" showErrorMessage="1" sqref="N14:AH61 N69:AH83 N91:AH130 N138:AH175" xr:uid="{A171DDE5-7695-4DDB-9EBB-952977B2CB72}">
      <formula1>0</formula1>
      <formula2>1E+29</formula2>
    </dataValidation>
  </dataValidations>
  <hyperlinks>
    <hyperlink ref="N1:N2" location="'TB-Key Info'!A1" display="Back to TB key info" xr:uid="{00000000-0004-0000-0D00-000001000000}"/>
    <hyperlink ref="H132:H133" location="'TB-EQUIPMENT &amp; OTHER HPs'!A14" display="Go to microscopy (Section 1)" xr:uid="{00000000-0004-0000-0D00-000002000000}"/>
    <hyperlink ref="O1:O2" location="'TB-Pharmaceuticals'!A1" display="Go to TB-Pharma" xr:uid="{00000000-0004-0000-0D00-000003000000}"/>
    <hyperlink ref="J8:J9" location="'TB-EQUIPMENT &amp; OTHER HPs'!A138" display="Go to LPA (Section 4)" xr:uid="{00000000-0004-0000-0D00-000004000000}"/>
    <hyperlink ref="I8:I9" location="'TB-EQUIPMENT &amp; OTHER HPs'!A91" display="Go Culture/DST (Section 3)" xr:uid="{00000000-0004-0000-0D00-000005000000}"/>
    <hyperlink ref="I85:I86" location="'TB-EQUIPMENT &amp; OTHER HPs'!A69" display="Go GeneXpert (Section 2)" xr:uid="{00000000-0004-0000-0D00-000006000000}"/>
    <hyperlink ref="H8:H9" location="'TB-EQUIPMENT &amp; OTHER HPs'!A69" display="Go GeneXpert (Section 2)" xr:uid="{00000000-0004-0000-0D00-000007000000}"/>
    <hyperlink ref="I132:I133" location="'TB-EQUIPMENT &amp; OTHER HPs'!A69" display="Go GeneXpert (Section 2)" xr:uid="{00000000-0004-0000-0D00-000008000000}"/>
    <hyperlink ref="I63:I64" location="'TB-EQUIPMENT &amp; OTHER HPs'!A91" display="Go Culture/DST (Section 3)" xr:uid="{00000000-0004-0000-0D00-000009000000}"/>
    <hyperlink ref="J132:J133" location="'TB-EQUIPMENT &amp; OTHER HPs'!A91" display="Go Culture/DST (Section 3)" xr:uid="{00000000-0004-0000-0D00-00000A000000}"/>
    <hyperlink ref="J63:J64" location="'TB-EQUIPMENT &amp; OTHER HPs'!A138" display="Go to LPA (Section 4)" xr:uid="{00000000-0004-0000-0D00-00000B000000}"/>
    <hyperlink ref="J85:J86" location="'TB-EQUIPMENT &amp; OTHER HPs'!A138" display="Go to LPA (Section 4)" xr:uid="{00000000-0004-0000-0D00-00000C000000}"/>
    <hyperlink ref="H85:H86" location="'TB-EQUIPMENT &amp; OTHER HPs'!A14" display="Go to microscopy (Section 1)" xr:uid="{00000000-0004-0000-0D00-00000D000000}"/>
    <hyperlink ref="H63:H64" location="'TB-EQUIPMENT &amp; OTHER HPs'!A14" display="Go to microscopy (Section 1)" xr:uid="{00000000-0004-0000-0D00-00000E000000}"/>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D00-000002000000}">
          <x14:formula1>
            <xm:f>SETUP!$C$28:$C$42</xm:f>
          </x14:formula1>
          <xm:sqref>M143:M175</xm:sqref>
        </x14:dataValidation>
        <x14:dataValidation type="list" allowBlank="1" showInputMessage="1" showErrorMessage="1" xr:uid="{00000000-0002-0000-0D00-000003000000}">
          <x14:formula1>
            <xm:f>'TB-Other HPs'!$A$2</xm:f>
          </x14:formula1>
          <xm:sqref>A14:D61</xm:sqref>
        </x14:dataValidation>
        <x14:dataValidation type="list" allowBlank="1" showInputMessage="1" showErrorMessage="1" xr:uid="{00000000-0002-0000-0D00-000004000000}">
          <x14:formula1>
            <xm:f>'TB-Other HPs'!$Q$2</xm:f>
          </x14:formula1>
          <xm:sqref>A91:D130</xm:sqref>
        </x14:dataValidation>
        <x14:dataValidation type="list" allowBlank="1" showInputMessage="1" showErrorMessage="1" xr:uid="{00000000-0002-0000-0D00-000005000000}">
          <x14:formula1>
            <xm:f>'TB-Other HPs'!$I$2:$I$3</xm:f>
          </x14:formula1>
          <xm:sqref>A69:D83</xm:sqref>
        </x14:dataValidation>
        <x14:dataValidation type="list" allowBlank="1" showInputMessage="1" showErrorMessage="1" xr:uid="{00000000-0002-0000-0D00-000006000000}">
          <x14:formula1>
            <xm:f>'TB-Other HPs'!$Y$2:$Y$7</xm:f>
          </x14:formula1>
          <xm:sqref>A138:D175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FF0000"/>
  </sheetPr>
  <dimension ref="A1:AE368"/>
  <sheetViews>
    <sheetView showGridLines="0" zoomScale="85" zoomScaleNormal="85" workbookViewId="0">
      <selection activeCell="F24" sqref="F24:K26"/>
    </sheetView>
  </sheetViews>
  <sheetFormatPr defaultColWidth="8.81640625" defaultRowHeight="14.5"/>
  <cols>
    <col min="1" max="1" width="19" bestFit="1" customWidth="1"/>
    <col min="2" max="2" width="38" bestFit="1" customWidth="1"/>
    <col min="3" max="4" width="48.81640625" bestFit="1" customWidth="1"/>
    <col min="5" max="5" width="8.08984375" customWidth="1"/>
    <col min="7" max="7" width="77.81640625" bestFit="1" customWidth="1"/>
    <col min="9" max="9" width="28.81640625" bestFit="1" customWidth="1"/>
    <col min="10" max="10" width="33.36328125" bestFit="1" customWidth="1"/>
    <col min="11" max="11" width="23.36328125" bestFit="1" customWidth="1"/>
    <col min="12" max="12" width="46" bestFit="1" customWidth="1"/>
    <col min="13" max="13" width="7.36328125" bestFit="1" customWidth="1"/>
    <col min="15" max="15" width="67.08984375" bestFit="1" customWidth="1"/>
    <col min="17" max="17" width="38" bestFit="1" customWidth="1"/>
    <col min="18" max="18" width="50.36328125" bestFit="1" customWidth="1"/>
    <col min="19" max="19" width="49.81640625" bestFit="1" customWidth="1"/>
    <col min="20" max="20" width="30.36328125" bestFit="1" customWidth="1"/>
    <col min="23" max="23" width="80.08984375" bestFit="1" customWidth="1"/>
    <col min="25" max="25" width="14.36328125" bestFit="1" customWidth="1"/>
    <col min="26" max="26" width="33.36328125" bestFit="1" customWidth="1"/>
    <col min="27" max="27" width="33.08984375" bestFit="1" customWidth="1"/>
    <col min="28" max="28" width="50.81640625" bestFit="1" customWidth="1"/>
    <col min="29" max="29" width="7.36328125" bestFit="1" customWidth="1"/>
    <col min="31" max="31" width="60.36328125" bestFit="1" customWidth="1"/>
  </cols>
  <sheetData>
    <row r="1" spans="1:31">
      <c r="A1" s="16" t="s">
        <v>1236</v>
      </c>
      <c r="B1" s="16" t="s">
        <v>1257</v>
      </c>
      <c r="C1" s="15" t="s">
        <v>1152</v>
      </c>
      <c r="D1" s="15" t="s">
        <v>1277</v>
      </c>
      <c r="E1" s="15" t="s">
        <v>177</v>
      </c>
      <c r="G1" s="15" t="s">
        <v>399</v>
      </c>
      <c r="I1" s="16" t="s">
        <v>1237</v>
      </c>
      <c r="J1" s="16" t="s">
        <v>1278</v>
      </c>
      <c r="K1" s="15" t="s">
        <v>1155</v>
      </c>
      <c r="L1" s="15" t="s">
        <v>1279</v>
      </c>
      <c r="M1" s="15" t="s">
        <v>177</v>
      </c>
      <c r="O1" s="15" t="s">
        <v>399</v>
      </c>
      <c r="Q1" s="16" t="s">
        <v>1239</v>
      </c>
      <c r="R1" s="16" t="s">
        <v>1309</v>
      </c>
      <c r="S1" s="15" t="s">
        <v>1177</v>
      </c>
      <c r="T1" s="15" t="s">
        <v>1310</v>
      </c>
      <c r="U1" s="15" t="s">
        <v>177</v>
      </c>
      <c r="W1" s="15" t="s">
        <v>399</v>
      </c>
      <c r="Y1" s="16" t="s">
        <v>1313</v>
      </c>
      <c r="Z1" s="16" t="s">
        <v>1314</v>
      </c>
      <c r="AA1" s="15" t="s">
        <v>1315</v>
      </c>
      <c r="AB1" s="15" t="s">
        <v>1316</v>
      </c>
      <c r="AC1" s="15" t="s">
        <v>177</v>
      </c>
      <c r="AE1" s="15" t="s">
        <v>399</v>
      </c>
    </row>
    <row r="2" spans="1:31">
      <c r="A2" t="s">
        <v>1541</v>
      </c>
      <c r="B2" t="s">
        <v>1312</v>
      </c>
      <c r="C2" s="14" t="s">
        <v>1312</v>
      </c>
      <c r="D2" s="14" t="s">
        <v>1311</v>
      </c>
      <c r="E2" s="14">
        <v>4.2</v>
      </c>
      <c r="G2" t="str">
        <f>CONCATENATE(C2,D2)</f>
        <v>Isoniazid/Pyridoxine hydrochl/Sulfamethoxazole/Trimethoprim300 mg/25 mg/800 mg/160 tablets 30</v>
      </c>
      <c r="I2" t="s">
        <v>571</v>
      </c>
      <c r="J2" t="s">
        <v>297</v>
      </c>
      <c r="K2" t="s">
        <v>297</v>
      </c>
      <c r="L2" t="s">
        <v>1260</v>
      </c>
      <c r="M2">
        <v>4.2</v>
      </c>
      <c r="O2" t="str">
        <f>CONCATENATE(K2,L2)</f>
        <v>Isoniazid100mg 10 tablet 10 blister</v>
      </c>
      <c r="Q2" t="s">
        <v>1761</v>
      </c>
      <c r="R2" t="s">
        <v>1312</v>
      </c>
      <c r="S2" t="s">
        <v>1312</v>
      </c>
      <c r="T2" t="s">
        <v>1311</v>
      </c>
      <c r="U2">
        <v>4.2</v>
      </c>
      <c r="W2" t="str">
        <f>CONCATENATE(S2,T2)</f>
        <v>Isoniazid/Pyridoxine hydrochl/Sulfamethoxazole/Trimethoprim300 mg/25 mg/800 mg/160 tablets 30</v>
      </c>
      <c r="Y2" t="s">
        <v>1317</v>
      </c>
      <c r="Z2" t="s">
        <v>1321</v>
      </c>
      <c r="AA2" t="s">
        <v>1321</v>
      </c>
      <c r="AB2" t="s">
        <v>1322</v>
      </c>
      <c r="AC2">
        <v>4.5</v>
      </c>
      <c r="AE2" t="str">
        <f>CONCATENATE(AA2,AB2)</f>
        <v>Amphotericin b liposome50mg for injection - 1 vial</v>
      </c>
    </row>
    <row r="3" spans="1:31">
      <c r="B3" t="s">
        <v>297</v>
      </c>
      <c r="C3" s="14" t="s">
        <v>297</v>
      </c>
      <c r="D3" s="14" t="s">
        <v>1260</v>
      </c>
      <c r="E3" s="14">
        <v>4.2</v>
      </c>
      <c r="G3" t="str">
        <f t="shared" ref="G3:G29" si="0">CONCATENATE(C3,D3)</f>
        <v>Isoniazid100mg 10 tablet 10 blister</v>
      </c>
      <c r="J3" t="s">
        <v>424</v>
      </c>
      <c r="K3" t="s">
        <v>297</v>
      </c>
      <c r="L3" t="s">
        <v>1261</v>
      </c>
      <c r="M3">
        <v>4.2</v>
      </c>
      <c r="O3" t="str">
        <f t="shared" ref="O3:O56" si="1">CONCATENATE(K3,L3)</f>
        <v>Isoniazid100mg 28 tablet 24 blister</v>
      </c>
      <c r="R3" t="s">
        <v>297</v>
      </c>
      <c r="S3" t="s">
        <v>297</v>
      </c>
      <c r="T3" t="s">
        <v>1260</v>
      </c>
      <c r="U3">
        <v>4.2</v>
      </c>
      <c r="W3" t="str">
        <f t="shared" ref="W3:W10" si="2">CONCATENATE(S3,T3)</f>
        <v>Isoniazid100mg 10 tablet 10 blister</v>
      </c>
      <c r="Z3" t="s">
        <v>1329</v>
      </c>
      <c r="AA3" t="s">
        <v>1329</v>
      </c>
      <c r="AB3" t="s">
        <v>1330</v>
      </c>
      <c r="AC3">
        <v>4.5</v>
      </c>
      <c r="AE3" t="str">
        <f t="shared" ref="AE3:AE66" si="3">CONCATENATE(AA3,AB3)</f>
        <v>Co-trimoxazole100/20mg tablet 1000</v>
      </c>
    </row>
    <row r="4" spans="1:31">
      <c r="B4" t="s">
        <v>1281</v>
      </c>
      <c r="C4" s="14" t="s">
        <v>297</v>
      </c>
      <c r="D4" s="14" t="s">
        <v>1261</v>
      </c>
      <c r="E4" s="14">
        <v>4.2</v>
      </c>
      <c r="G4" t="str">
        <f t="shared" si="0"/>
        <v>Isoniazid100mg 28 tablet 24 blister</v>
      </c>
      <c r="J4" t="s">
        <v>304</v>
      </c>
      <c r="K4" t="s">
        <v>297</v>
      </c>
      <c r="L4" t="s">
        <v>1306</v>
      </c>
      <c r="M4">
        <v>4.2</v>
      </c>
      <c r="O4" t="str">
        <f t="shared" si="1"/>
        <v>Isoniazid300mg 10 tablet 10 blister</v>
      </c>
      <c r="R4" t="s">
        <v>1281</v>
      </c>
      <c r="S4" t="s">
        <v>297</v>
      </c>
      <c r="T4" t="s">
        <v>1261</v>
      </c>
      <c r="U4">
        <v>4.2</v>
      </c>
      <c r="W4" t="str">
        <f t="shared" si="2"/>
        <v>Isoniazid100mg 28 tablet 24 blister</v>
      </c>
      <c r="Z4" t="s">
        <v>1358</v>
      </c>
      <c r="AA4" t="s">
        <v>1329</v>
      </c>
      <c r="AB4" t="s">
        <v>1331</v>
      </c>
      <c r="AC4">
        <v>4.5</v>
      </c>
      <c r="AE4" t="str">
        <f t="shared" si="3"/>
        <v>Co-trimoxazole200/40mg per 5ml oral solution 100ml</v>
      </c>
    </row>
    <row r="5" spans="1:31">
      <c r="B5" t="s">
        <v>425</v>
      </c>
      <c r="C5" s="14" t="s">
        <v>297</v>
      </c>
      <c r="D5" s="14" t="s">
        <v>1306</v>
      </c>
      <c r="E5" s="14">
        <v>4.2</v>
      </c>
      <c r="G5" t="str">
        <f t="shared" si="0"/>
        <v>Isoniazid300mg 10 tablet 10 blister</v>
      </c>
      <c r="J5" t="s">
        <v>1584</v>
      </c>
      <c r="K5" t="s">
        <v>297</v>
      </c>
      <c r="L5" t="s">
        <v>1307</v>
      </c>
      <c r="M5">
        <v>4.2</v>
      </c>
      <c r="O5" t="str">
        <f t="shared" si="1"/>
        <v>Isoniazid300mg 28 tablet 24 blister</v>
      </c>
      <c r="R5" t="s">
        <v>437</v>
      </c>
      <c r="S5" t="s">
        <v>297</v>
      </c>
      <c r="T5" t="s">
        <v>1306</v>
      </c>
      <c r="U5">
        <v>4.2</v>
      </c>
      <c r="W5" t="str">
        <f t="shared" si="2"/>
        <v>Isoniazid300mg 10 tablet 10 blister</v>
      </c>
      <c r="Z5" t="s">
        <v>1363</v>
      </c>
      <c r="AA5" t="s">
        <v>1329</v>
      </c>
      <c r="AB5" t="s">
        <v>1332</v>
      </c>
      <c r="AC5">
        <v>4.5</v>
      </c>
      <c r="AE5" t="str">
        <f t="shared" si="3"/>
        <v>Co-trimoxazole400/80mg tablet 1000</v>
      </c>
    </row>
    <row r="6" spans="1:31">
      <c r="B6" t="s">
        <v>426</v>
      </c>
      <c r="C6" s="14" t="s">
        <v>297</v>
      </c>
      <c r="D6" s="14" t="s">
        <v>1307</v>
      </c>
      <c r="E6" s="14">
        <v>4.2</v>
      </c>
      <c r="G6" t="str">
        <f t="shared" si="0"/>
        <v>Isoniazid300mg 28 tablet 24 blister</v>
      </c>
      <c r="J6" t="s">
        <v>301</v>
      </c>
      <c r="K6" t="s">
        <v>297</v>
      </c>
      <c r="L6" t="s">
        <v>1308</v>
      </c>
      <c r="M6">
        <v>4.2</v>
      </c>
      <c r="O6" t="str">
        <f t="shared" si="1"/>
        <v>Isoniazid50mg 10 tablet 10 blister</v>
      </c>
      <c r="S6" t="s">
        <v>297</v>
      </c>
      <c r="T6" t="s">
        <v>1307</v>
      </c>
      <c r="U6">
        <v>4.2</v>
      </c>
      <c r="W6" t="str">
        <f t="shared" si="2"/>
        <v>Isoniazid300mg 28 tablet 24 blister</v>
      </c>
      <c r="Z6" t="s">
        <v>1365</v>
      </c>
      <c r="AA6" t="s">
        <v>1329</v>
      </c>
      <c r="AB6" t="s">
        <v>1333</v>
      </c>
      <c r="AC6">
        <v>4.5</v>
      </c>
      <c r="AE6" t="str">
        <f t="shared" si="3"/>
        <v>Co-trimoxazole480mg/5ml injection - 10 ampoule</v>
      </c>
    </row>
    <row r="7" spans="1:31">
      <c r="B7" t="s">
        <v>295</v>
      </c>
      <c r="C7" s="14" t="s">
        <v>297</v>
      </c>
      <c r="D7" s="14" t="s">
        <v>1308</v>
      </c>
      <c r="E7" s="14">
        <v>4.2</v>
      </c>
      <c r="G7" t="str">
        <f t="shared" si="0"/>
        <v>Isoniazid50mg 10 tablet 10 blister</v>
      </c>
      <c r="J7" t="s">
        <v>418</v>
      </c>
      <c r="K7" t="s">
        <v>424</v>
      </c>
      <c r="L7" t="s">
        <v>1260</v>
      </c>
      <c r="M7">
        <v>4.2</v>
      </c>
      <c r="O7" t="str">
        <f t="shared" si="1"/>
        <v>Ethambutol100mg 10 tablet 10 blister</v>
      </c>
      <c r="S7" t="s">
        <v>297</v>
      </c>
      <c r="T7" t="s">
        <v>1308</v>
      </c>
      <c r="U7">
        <v>4.2</v>
      </c>
      <c r="W7" t="str">
        <f t="shared" si="2"/>
        <v>Isoniazid50mg 10 tablet 10 blister</v>
      </c>
      <c r="Z7" t="s">
        <v>181</v>
      </c>
      <c r="AA7" t="s">
        <v>1329</v>
      </c>
      <c r="AB7" t="s">
        <v>1334</v>
      </c>
      <c r="AC7">
        <v>4.5</v>
      </c>
      <c r="AE7" t="str">
        <f t="shared" si="3"/>
        <v>Co-trimoxazole800/160mg tablet 1000</v>
      </c>
    </row>
    <row r="8" spans="1:31">
      <c r="B8" t="s">
        <v>296</v>
      </c>
      <c r="C8" s="14" t="s">
        <v>1281</v>
      </c>
      <c r="D8" s="14" t="s">
        <v>1284</v>
      </c>
      <c r="E8" s="14">
        <v>4.2</v>
      </c>
      <c r="G8" t="str">
        <f t="shared" si="0"/>
        <v>Rifapentine150mg tablet 24</v>
      </c>
      <c r="J8" t="s">
        <v>300</v>
      </c>
      <c r="K8" t="s">
        <v>424</v>
      </c>
      <c r="L8" t="s">
        <v>1261</v>
      </c>
      <c r="M8">
        <v>4.2</v>
      </c>
      <c r="O8" t="str">
        <f t="shared" si="1"/>
        <v>Ethambutol100mg 28 tablet 24 blister</v>
      </c>
      <c r="S8" t="s">
        <v>1281</v>
      </c>
      <c r="T8" t="s">
        <v>1284</v>
      </c>
      <c r="U8">
        <v>4.2</v>
      </c>
      <c r="W8" t="str">
        <f t="shared" si="2"/>
        <v>Rifapentine150mg tablet 24</v>
      </c>
      <c r="Z8" t="s">
        <v>1373</v>
      </c>
      <c r="AA8" t="s">
        <v>1329</v>
      </c>
      <c r="AB8" t="s">
        <v>1335</v>
      </c>
      <c r="AC8">
        <v>4.5</v>
      </c>
      <c r="AE8" t="str">
        <f t="shared" si="3"/>
        <v>Co-trimoxazole800/160mg tablet 500</v>
      </c>
    </row>
    <row r="9" spans="1:31">
      <c r="B9" t="s">
        <v>437</v>
      </c>
      <c r="C9" s="14" t="s">
        <v>425</v>
      </c>
      <c r="D9" s="14" t="s">
        <v>1264</v>
      </c>
      <c r="E9" s="14">
        <v>4.2</v>
      </c>
      <c r="G9" t="str">
        <f t="shared" si="0"/>
        <v>Ethambutol/Isoniazid/Pyrazinamide/Rifampicin275/75/400/150mg 10 tablet 10 blister</v>
      </c>
      <c r="J9" t="s">
        <v>420</v>
      </c>
      <c r="K9" t="s">
        <v>424</v>
      </c>
      <c r="L9" t="s">
        <v>1262</v>
      </c>
      <c r="M9">
        <v>4.2</v>
      </c>
      <c r="O9" t="str">
        <f t="shared" si="1"/>
        <v>Ethambutol400mg 10 tablet 10 blister</v>
      </c>
      <c r="S9" t="s">
        <v>437</v>
      </c>
      <c r="T9" t="s">
        <v>1271</v>
      </c>
      <c r="U9">
        <v>4.2</v>
      </c>
      <c r="W9" t="str">
        <f t="shared" si="2"/>
        <v>Rifabutin150mg capsule 100</v>
      </c>
      <c r="Z9" t="s">
        <v>1396</v>
      </c>
      <c r="AA9" t="s">
        <v>1358</v>
      </c>
      <c r="AB9" t="s">
        <v>1359</v>
      </c>
      <c r="AC9">
        <v>4.5</v>
      </c>
      <c r="AE9" t="str">
        <f t="shared" si="3"/>
        <v>Fluconazole200mg capsule 100</v>
      </c>
    </row>
    <row r="10" spans="1:31">
      <c r="B10" t="s">
        <v>438</v>
      </c>
      <c r="C10" s="14" t="s">
        <v>425</v>
      </c>
      <c r="D10" s="14" t="s">
        <v>1265</v>
      </c>
      <c r="E10" s="14">
        <v>4.2</v>
      </c>
      <c r="G10" t="str">
        <f t="shared" si="0"/>
        <v>Ethambutol/Isoniazid/Pyrazinamide/Rifampicin275/75/400/150mg 28 tablet 24 blister</v>
      </c>
      <c r="J10" t="s">
        <v>421</v>
      </c>
      <c r="K10" t="s">
        <v>424</v>
      </c>
      <c r="L10" t="s">
        <v>1263</v>
      </c>
      <c r="M10">
        <v>4.2</v>
      </c>
      <c r="O10" t="str">
        <f t="shared" si="1"/>
        <v>Ethambutol400mg 28 tablet 24 blister</v>
      </c>
      <c r="W10" t="str">
        <f t="shared" si="2"/>
        <v/>
      </c>
      <c r="Z10" t="s">
        <v>1318</v>
      </c>
      <c r="AA10" t="s">
        <v>1358</v>
      </c>
      <c r="AB10" t="s">
        <v>1360</v>
      </c>
      <c r="AC10">
        <v>4.5</v>
      </c>
      <c r="AE10" t="str">
        <f t="shared" si="3"/>
        <v>Fluconazole2mg/ml infusion 100ml - 10 bags</v>
      </c>
    </row>
    <row r="11" spans="1:31">
      <c r="B11" t="s">
        <v>294</v>
      </c>
      <c r="C11" s="14" t="s">
        <v>426</v>
      </c>
      <c r="D11" s="14" t="s">
        <v>1266</v>
      </c>
      <c r="E11" s="14">
        <v>4.2</v>
      </c>
      <c r="G11" t="str">
        <f t="shared" si="0"/>
        <v>Ethambutol/Isoniazid/Rifampicin275/75/150mg 10 tablet 10 blister</v>
      </c>
      <c r="J11" t="s">
        <v>422</v>
      </c>
      <c r="K11" t="s">
        <v>304</v>
      </c>
      <c r="L11" t="s">
        <v>1269</v>
      </c>
      <c r="M11">
        <v>4.2</v>
      </c>
      <c r="O11" t="str">
        <f t="shared" si="1"/>
        <v>Pyrazinamide150mg tablet dispersible 100</v>
      </c>
      <c r="Z11" t="s">
        <v>1319</v>
      </c>
      <c r="AA11" t="s">
        <v>1358</v>
      </c>
      <c r="AB11" t="s">
        <v>1361</v>
      </c>
      <c r="AC11">
        <v>4.5</v>
      </c>
      <c r="AE11" t="str">
        <f t="shared" si="3"/>
        <v>Fluconazole50mg capsule 100</v>
      </c>
    </row>
    <row r="12" spans="1:31">
      <c r="B12" t="s">
        <v>440</v>
      </c>
      <c r="C12" s="14" t="s">
        <v>426</v>
      </c>
      <c r="D12" s="14" t="s">
        <v>1267</v>
      </c>
      <c r="E12" s="14">
        <v>4.2</v>
      </c>
      <c r="G12" t="str">
        <f t="shared" si="0"/>
        <v>Ethambutol/Isoniazid/Rifampicin275/75/150mg 28 tablet 24 blister</v>
      </c>
      <c r="J12" t="s">
        <v>423</v>
      </c>
      <c r="K12" t="s">
        <v>304</v>
      </c>
      <c r="L12" t="s">
        <v>1262</v>
      </c>
      <c r="M12">
        <v>4.2</v>
      </c>
      <c r="O12" t="str">
        <f t="shared" si="1"/>
        <v>Pyrazinamide400mg 10 tablet 10 blister</v>
      </c>
      <c r="Z12" t="s">
        <v>1320</v>
      </c>
      <c r="AA12" t="s">
        <v>1358</v>
      </c>
      <c r="AB12" t="s">
        <v>1362</v>
      </c>
      <c r="AC12">
        <v>4.5</v>
      </c>
      <c r="AE12" t="str">
        <f t="shared" si="3"/>
        <v>Fluconazole50mg/5ml powder for oral solution 35ml</v>
      </c>
    </row>
    <row r="13" spans="1:31">
      <c r="B13" t="s">
        <v>424</v>
      </c>
      <c r="C13" s="14" t="s">
        <v>295</v>
      </c>
      <c r="D13" s="14" t="s">
        <v>445</v>
      </c>
      <c r="E13" s="14">
        <v>4.2</v>
      </c>
      <c r="G13" t="str">
        <f t="shared" si="0"/>
        <v>Isoniazid/Pyrazinamide/Rifampicin50/150/75mg 10 tablet dispersible 10 blister</v>
      </c>
      <c r="J13" t="s">
        <v>427</v>
      </c>
      <c r="K13" t="s">
        <v>304</v>
      </c>
      <c r="L13" t="s">
        <v>1263</v>
      </c>
      <c r="M13">
        <v>4.2</v>
      </c>
      <c r="O13" t="str">
        <f t="shared" si="1"/>
        <v>Pyrazinamide400mg 28 tablet 24 blister</v>
      </c>
      <c r="Z13" t="s">
        <v>2308</v>
      </c>
      <c r="AA13" t="s">
        <v>1363</v>
      </c>
      <c r="AB13" t="s">
        <v>1364</v>
      </c>
      <c r="AC13">
        <v>4.5</v>
      </c>
      <c r="AE13" t="str">
        <f t="shared" si="3"/>
        <v>FlucytosineFlucytosine 500mg tablet 100</v>
      </c>
    </row>
    <row r="14" spans="1:31">
      <c r="B14" t="s">
        <v>304</v>
      </c>
      <c r="C14" s="14" t="s">
        <v>295</v>
      </c>
      <c r="D14" s="14" t="s">
        <v>446</v>
      </c>
      <c r="E14" s="14">
        <v>4.2</v>
      </c>
      <c r="G14" t="str">
        <f t="shared" si="0"/>
        <v>Isoniazid/Pyrazinamide/Rifampicin50/150/75mg 28 tablet dispersible 3 blister</v>
      </c>
      <c r="J14" t="s">
        <v>429</v>
      </c>
      <c r="K14" t="s">
        <v>304</v>
      </c>
      <c r="L14" t="s">
        <v>1270</v>
      </c>
      <c r="M14">
        <v>4.2</v>
      </c>
      <c r="O14" t="str">
        <f t="shared" si="1"/>
        <v>Pyrazinamide500mg 28 tablet 24 blister</v>
      </c>
      <c r="Z14" t="s">
        <v>1323</v>
      </c>
      <c r="AA14" t="s">
        <v>1365</v>
      </c>
      <c r="AB14" t="s">
        <v>1366</v>
      </c>
      <c r="AC14">
        <v>4.5</v>
      </c>
      <c r="AE14" t="str">
        <f t="shared" si="3"/>
        <v>Flucytosine injection10mg/ml 5 bottles 250ml</v>
      </c>
    </row>
    <row r="15" spans="1:31">
      <c r="B15" t="s">
        <v>1258</v>
      </c>
      <c r="C15" s="14" t="s">
        <v>296</v>
      </c>
      <c r="D15" s="14" t="s">
        <v>1786</v>
      </c>
      <c r="E15" s="14">
        <v>4.2</v>
      </c>
      <c r="G15" t="str">
        <f t="shared" si="0"/>
        <v>Isoniazid/Rifampicin75/150mg 10 tablet 10 blister</v>
      </c>
      <c r="J15" t="s">
        <v>430</v>
      </c>
      <c r="K15" t="s">
        <v>1584</v>
      </c>
      <c r="L15" t="s">
        <v>1140</v>
      </c>
      <c r="M15">
        <v>4.2</v>
      </c>
      <c r="O15" t="str">
        <f t="shared" si="1"/>
        <v>Other MDR/XDR TB medicine[enter specifications manually]</v>
      </c>
      <c r="Z15" t="s">
        <v>2309</v>
      </c>
      <c r="AA15" t="s">
        <v>181</v>
      </c>
      <c r="AB15" t="s">
        <v>1140</v>
      </c>
      <c r="AC15">
        <v>4.5</v>
      </c>
      <c r="AE15" t="str">
        <f t="shared" si="3"/>
        <v>Other medicines[enter specifications manually]</v>
      </c>
    </row>
    <row r="16" spans="1:31">
      <c r="C16" s="14" t="s">
        <v>296</v>
      </c>
      <c r="D16" s="14" t="s">
        <v>1787</v>
      </c>
      <c r="E16" s="14">
        <v>4.2</v>
      </c>
      <c r="G16" t="str">
        <f t="shared" si="0"/>
        <v>Isoniazid/Rifampicin75/150mg 28 tablet 24 blister</v>
      </c>
      <c r="J16" t="s">
        <v>431</v>
      </c>
      <c r="K16" t="s">
        <v>301</v>
      </c>
      <c r="L16" t="s">
        <v>302</v>
      </c>
      <c r="M16">
        <v>4.2</v>
      </c>
      <c r="O16" t="str">
        <f t="shared" si="1"/>
        <v>Amikacin500mg/2ml solution for injection - 1 vial</v>
      </c>
      <c r="Z16" t="s">
        <v>1324</v>
      </c>
      <c r="AA16" t="s">
        <v>1373</v>
      </c>
      <c r="AB16" t="s">
        <v>1446</v>
      </c>
      <c r="AC16">
        <v>4.5</v>
      </c>
      <c r="AE16" t="str">
        <f t="shared" si="3"/>
        <v>Pegylated liposomal doxorubicin2mg/ml 20mg 1 vial</v>
      </c>
    </row>
    <row r="17" spans="3:31">
      <c r="C17" s="14" t="s">
        <v>296</v>
      </c>
      <c r="D17" s="14" t="s">
        <v>1259</v>
      </c>
      <c r="E17" s="14">
        <v>4.2</v>
      </c>
      <c r="G17" t="str">
        <f t="shared" si="0"/>
        <v>Isoniazid/Rifampicin50/75mg 28 tablet dispersible 3 blister</v>
      </c>
      <c r="J17" t="s">
        <v>303</v>
      </c>
      <c r="K17" t="s">
        <v>301</v>
      </c>
      <c r="L17" t="s">
        <v>419</v>
      </c>
      <c r="M17">
        <v>4.2</v>
      </c>
      <c r="O17" t="str">
        <f t="shared" si="1"/>
        <v>Amikacin500mg/2ml solution for injection - 10 vial</v>
      </c>
      <c r="Z17" t="s">
        <v>2310</v>
      </c>
      <c r="AA17" t="s">
        <v>1373</v>
      </c>
      <c r="AB17" t="s">
        <v>1745</v>
      </c>
      <c r="AC17">
        <v>4.5</v>
      </c>
      <c r="AE17" t="str">
        <f t="shared" si="3"/>
        <v>Pegylated liposomal doxorubicin 2mg/ml 50mg 1 vial</v>
      </c>
    </row>
    <row r="18" spans="3:31">
      <c r="C18" s="14" t="s">
        <v>296</v>
      </c>
      <c r="D18" s="14" t="s">
        <v>1268</v>
      </c>
      <c r="E18" s="14">
        <v>4.2</v>
      </c>
      <c r="G18" t="str">
        <f t="shared" si="0"/>
        <v>Isoniazid/Rifampicin50/75mg tablet dispersible 100</v>
      </c>
      <c r="J18" t="s">
        <v>433</v>
      </c>
      <c r="K18" t="s">
        <v>418</v>
      </c>
      <c r="L18" t="s">
        <v>428</v>
      </c>
      <c r="M18">
        <v>4.2</v>
      </c>
      <c r="O18" t="str">
        <f t="shared" si="1"/>
        <v>Amoxicillin/Clavulanic acid125mg/31.25mg/5ml powder for oral solution 100ml</v>
      </c>
      <c r="Z18" t="s">
        <v>2311</v>
      </c>
      <c r="AA18" t="s">
        <v>1396</v>
      </c>
      <c r="AB18" t="s">
        <v>1397</v>
      </c>
      <c r="AC18">
        <v>4.5</v>
      </c>
      <c r="AE18" t="str">
        <f t="shared" si="3"/>
        <v>Valganciclovir450mg tablet 60</v>
      </c>
    </row>
    <row r="19" spans="3:31">
      <c r="C19" s="14" t="s">
        <v>437</v>
      </c>
      <c r="D19" s="14" t="s">
        <v>1271</v>
      </c>
      <c r="E19" s="14">
        <v>4.2</v>
      </c>
      <c r="G19" t="str">
        <f t="shared" si="0"/>
        <v>Rifabutin150mg capsule 100</v>
      </c>
      <c r="J19" t="s">
        <v>434</v>
      </c>
      <c r="K19" t="s">
        <v>418</v>
      </c>
      <c r="L19" t="s">
        <v>1285</v>
      </c>
      <c r="M19">
        <v>4.2</v>
      </c>
      <c r="O19" t="str">
        <f t="shared" si="1"/>
        <v>Amoxicillin/Clavulanic acid250/125mg 10 tablet 1 blister</v>
      </c>
      <c r="Z19" t="s">
        <v>1326</v>
      </c>
      <c r="AA19" t="s">
        <v>1318</v>
      </c>
      <c r="AB19" t="s">
        <v>1403</v>
      </c>
      <c r="AC19">
        <v>4.7</v>
      </c>
      <c r="AE19" t="str">
        <f t="shared" si="3"/>
        <v>Aciclovir5% cream 2g - 1 tube</v>
      </c>
    </row>
    <row r="20" spans="3:31">
      <c r="C20" s="14" t="s">
        <v>438</v>
      </c>
      <c r="D20" s="14" t="s">
        <v>1272</v>
      </c>
      <c r="E20" s="14">
        <v>4.2</v>
      </c>
      <c r="G20" t="str">
        <f t="shared" si="0"/>
        <v>Rifampicin150mg 10 capsule 10 blister</v>
      </c>
      <c r="J20" t="s">
        <v>435</v>
      </c>
      <c r="K20" t="s">
        <v>418</v>
      </c>
      <c r="L20" t="s">
        <v>432</v>
      </c>
      <c r="M20">
        <v>4.2</v>
      </c>
      <c r="O20" t="str">
        <f t="shared" si="1"/>
        <v>Amoxicillin/Clavulanic acid250mg/62.5mg/5ml powder for oral solution 100ml</v>
      </c>
      <c r="Z20" t="s">
        <v>2312</v>
      </c>
      <c r="AA20" t="s">
        <v>1319</v>
      </c>
      <c r="AB20" t="s">
        <v>1587</v>
      </c>
      <c r="AC20">
        <v>4.7</v>
      </c>
      <c r="AE20" t="str">
        <f t="shared" si="3"/>
        <v>Amitriptyline (as hydrochloride) 25mg tablet coated 1000</v>
      </c>
    </row>
    <row r="21" spans="3:31">
      <c r="C21" s="14" t="s">
        <v>438</v>
      </c>
      <c r="D21" s="14" t="s">
        <v>451</v>
      </c>
      <c r="E21" s="14">
        <v>4.2</v>
      </c>
      <c r="G21" t="str">
        <f t="shared" si="0"/>
        <v>Rifampicin20mg/ml granules for oral suspension 100ml</v>
      </c>
      <c r="J21" t="s">
        <v>1280</v>
      </c>
      <c r="K21" t="s">
        <v>418</v>
      </c>
      <c r="L21" t="s">
        <v>1286</v>
      </c>
      <c r="M21">
        <v>4.2</v>
      </c>
      <c r="O21" t="str">
        <f t="shared" si="1"/>
        <v>Amoxicillin/Clavulanic acid500/125mg 10 tablet 1 blister</v>
      </c>
      <c r="Z21" t="s">
        <v>1327</v>
      </c>
      <c r="AA21" t="s">
        <v>1320</v>
      </c>
      <c r="AB21" t="s">
        <v>1404</v>
      </c>
      <c r="AC21">
        <v>4.7</v>
      </c>
      <c r="AE21" t="str">
        <f t="shared" si="3"/>
        <v>Amoxicillin250mg/5ml oral solution 100ml - 40 bottles</v>
      </c>
    </row>
    <row r="22" spans="3:31">
      <c r="C22" s="14" t="s">
        <v>438</v>
      </c>
      <c r="D22" s="14" t="s">
        <v>452</v>
      </c>
      <c r="E22" s="14">
        <v>4.2</v>
      </c>
      <c r="G22" t="str">
        <f t="shared" si="0"/>
        <v>Rifampicin20mg/ml granules for oral suspension 120ml</v>
      </c>
      <c r="J22" t="s">
        <v>436</v>
      </c>
      <c r="K22" t="s">
        <v>418</v>
      </c>
      <c r="L22" t="s">
        <v>1287</v>
      </c>
      <c r="M22">
        <v>4.2</v>
      </c>
      <c r="O22" t="str">
        <f t="shared" si="1"/>
        <v>Amoxicillin/Clavulanic acid875/125mg 10 tablet 1 blister</v>
      </c>
      <c r="Z22" t="s">
        <v>1328</v>
      </c>
      <c r="AA22" t="s">
        <v>1320</v>
      </c>
      <c r="AB22" t="s">
        <v>1405</v>
      </c>
      <c r="AC22">
        <v>4.7</v>
      </c>
      <c r="AE22" t="str">
        <f t="shared" si="3"/>
        <v>Amoxicillin500mg capsule 1000</v>
      </c>
    </row>
    <row r="23" spans="3:31">
      <c r="C23" s="14" t="s">
        <v>438</v>
      </c>
      <c r="D23" s="14" t="s">
        <v>1273</v>
      </c>
      <c r="E23" s="14">
        <v>4.2</v>
      </c>
      <c r="G23" t="str">
        <f t="shared" si="0"/>
        <v>Rifampicin300mg 10 capsule 10 blister</v>
      </c>
      <c r="J23" t="s">
        <v>439</v>
      </c>
      <c r="K23" t="s">
        <v>300</v>
      </c>
      <c r="L23" t="s">
        <v>1288</v>
      </c>
      <c r="M23">
        <v>4.2</v>
      </c>
      <c r="O23" t="str">
        <f t="shared" si="1"/>
        <v>Bedaquiline100mg tablet 188</v>
      </c>
      <c r="Z23" t="s">
        <v>1336</v>
      </c>
      <c r="AA23" t="s">
        <v>1320</v>
      </c>
      <c r="AB23" t="s">
        <v>1406</v>
      </c>
      <c r="AC23">
        <v>4.7</v>
      </c>
      <c r="AE23" t="str">
        <f t="shared" si="3"/>
        <v>Amoxicillin500mg tablet 1000</v>
      </c>
    </row>
    <row r="24" spans="3:31">
      <c r="C24" s="14" t="s">
        <v>438</v>
      </c>
      <c r="D24" s="14" t="s">
        <v>1274</v>
      </c>
      <c r="E24" s="14">
        <v>4.2</v>
      </c>
      <c r="G24" t="str">
        <f t="shared" si="0"/>
        <v>Rifampicin450mg 10 capsule 10 blister</v>
      </c>
      <c r="J24" t="s">
        <v>1585</v>
      </c>
      <c r="K24" t="s">
        <v>300</v>
      </c>
      <c r="L24" t="s">
        <v>1289</v>
      </c>
      <c r="M24">
        <v>4.2</v>
      </c>
      <c r="O24" t="str">
        <f t="shared" si="1"/>
        <v>Bedaquiline100mg tablet 24</v>
      </c>
      <c r="Z24" t="s">
        <v>1337</v>
      </c>
      <c r="AA24" t="s">
        <v>1407</v>
      </c>
      <c r="AB24" t="s">
        <v>1408</v>
      </c>
      <c r="AC24">
        <v>4.7</v>
      </c>
      <c r="AE24" t="str">
        <f t="shared" si="3"/>
        <v>Ampicillin500mg powder for injection - 50 vial</v>
      </c>
    </row>
    <row r="25" spans="3:31">
      <c r="C25" s="14" t="s">
        <v>438</v>
      </c>
      <c r="D25" s="14" t="s">
        <v>1275</v>
      </c>
      <c r="E25" s="14">
        <v>4.2</v>
      </c>
      <c r="G25" t="str">
        <f t="shared" si="0"/>
        <v>Rifampicin600mg 10 capsule 10 blister</v>
      </c>
      <c r="K25" t="s">
        <v>420</v>
      </c>
      <c r="L25" t="s">
        <v>1290</v>
      </c>
      <c r="M25">
        <v>4.2</v>
      </c>
      <c r="O25" t="str">
        <f t="shared" si="1"/>
        <v>Clarithromycin250mg 10 tablet 1 blister</v>
      </c>
      <c r="Z25" t="s">
        <v>1338</v>
      </c>
      <c r="AA25" t="s">
        <v>1323</v>
      </c>
      <c r="AB25" t="s">
        <v>1409</v>
      </c>
      <c r="AC25">
        <v>4.7</v>
      </c>
      <c r="AE25" t="str">
        <f t="shared" si="3"/>
        <v>Azithromycin200mg/5ml oral solution 15ml</v>
      </c>
    </row>
    <row r="26" spans="3:31">
      <c r="C26" s="14" t="s">
        <v>294</v>
      </c>
      <c r="D26" s="14" t="s">
        <v>1276</v>
      </c>
      <c r="E26" s="14">
        <v>4.2</v>
      </c>
      <c r="G26" t="str">
        <f t="shared" si="0"/>
        <v>TB Cat I+III Patient Kit A4-FDC 6x28tabs(R150/H75/Z400/E275)+2-FDC 12x28tabs (R150/H75) - Kit</v>
      </c>
      <c r="K26" t="s">
        <v>420</v>
      </c>
      <c r="L26" t="s">
        <v>1291</v>
      </c>
      <c r="M26">
        <v>4.2</v>
      </c>
      <c r="O26" t="str">
        <f t="shared" si="1"/>
        <v>Clarithromycin500mg 10 tablet 1 blister</v>
      </c>
      <c r="Z26" t="s">
        <v>1339</v>
      </c>
      <c r="AA26" t="s">
        <v>1323</v>
      </c>
      <c r="AB26" t="s">
        <v>1410</v>
      </c>
      <c r="AC26">
        <v>4.7</v>
      </c>
      <c r="AE26" t="str">
        <f t="shared" si="3"/>
        <v>Azithromycin250mg 6 tablet</v>
      </c>
    </row>
    <row r="27" spans="3:31">
      <c r="C27" s="14" t="s">
        <v>440</v>
      </c>
      <c r="D27" s="14" t="s">
        <v>1583</v>
      </c>
      <c r="E27" s="14">
        <v>4.2</v>
      </c>
      <c r="G27" t="str">
        <f t="shared" si="0"/>
        <v>TB Cat I+III Patient Kit C4-FDC 6x28tabs(R150/H75/Z400/E275)+2-FDC 18x28tabs(R150/H150) - Kit</v>
      </c>
      <c r="K27" t="s">
        <v>421</v>
      </c>
      <c r="L27" t="s">
        <v>411</v>
      </c>
      <c r="M27">
        <v>4.2</v>
      </c>
      <c r="O27" t="str">
        <f t="shared" si="1"/>
        <v>Clofazimine100mg tablet 100</v>
      </c>
      <c r="Z27" t="s">
        <v>1342</v>
      </c>
      <c r="AA27" t="s">
        <v>1323</v>
      </c>
      <c r="AB27" t="s">
        <v>1411</v>
      </c>
      <c r="AC27">
        <v>4.7</v>
      </c>
      <c r="AE27" t="str">
        <f t="shared" si="3"/>
        <v>Azithromycin500mg 3 tablet</v>
      </c>
    </row>
    <row r="28" spans="3:31">
      <c r="C28" s="14" t="s">
        <v>424</v>
      </c>
      <c r="D28" s="14" t="s">
        <v>1260</v>
      </c>
      <c r="E28" s="14">
        <v>4.2</v>
      </c>
      <c r="G28" t="str">
        <f t="shared" si="0"/>
        <v>Ethambutol100mg 10 tablet 10 blister</v>
      </c>
      <c r="K28" t="s">
        <v>421</v>
      </c>
      <c r="L28" t="s">
        <v>1292</v>
      </c>
      <c r="M28">
        <v>4.2</v>
      </c>
      <c r="O28" t="str">
        <f t="shared" si="1"/>
        <v>Clofazimine50mg tablet 100</v>
      </c>
      <c r="Z28" t="s">
        <v>1345</v>
      </c>
      <c r="AA28" t="s">
        <v>1412</v>
      </c>
      <c r="AB28" t="s">
        <v>1413</v>
      </c>
      <c r="AC28">
        <v>4.7</v>
      </c>
      <c r="AE28" t="str">
        <f t="shared" si="3"/>
        <v>Benzathine penicillin2.4 MIU powder for solution for injection - 50 vials</v>
      </c>
    </row>
    <row r="29" spans="3:31">
      <c r="C29" s="14" t="s">
        <v>424</v>
      </c>
      <c r="D29" s="14" t="s">
        <v>1261</v>
      </c>
      <c r="E29" s="14">
        <v>4.2</v>
      </c>
      <c r="G29" t="str">
        <f t="shared" si="0"/>
        <v>Ethambutol100mg 28 tablet 24 blister</v>
      </c>
      <c r="K29" t="s">
        <v>422</v>
      </c>
      <c r="L29" t="s">
        <v>1293</v>
      </c>
      <c r="M29">
        <v>4.2</v>
      </c>
      <c r="O29" t="str">
        <f t="shared" si="1"/>
        <v>Cycloserine250mg 10 capsule 10 blister</v>
      </c>
      <c r="Z29" t="s">
        <v>1347</v>
      </c>
      <c r="AA29" t="s">
        <v>1324</v>
      </c>
      <c r="AB29" t="s">
        <v>1325</v>
      </c>
      <c r="AC29">
        <v>4.7</v>
      </c>
      <c r="AE29" t="str">
        <f t="shared" si="3"/>
        <v>BleomycinBleomycin 15 USP units - 15,0000 IU powder for injection - 1 vial</v>
      </c>
    </row>
    <row r="30" spans="3:31">
      <c r="C30" s="14" t="s">
        <v>424</v>
      </c>
      <c r="D30" s="14" t="s">
        <v>1262</v>
      </c>
      <c r="E30" s="14">
        <v>4.2</v>
      </c>
      <c r="K30" t="s">
        <v>423</v>
      </c>
      <c r="L30" t="s">
        <v>1294</v>
      </c>
      <c r="M30">
        <v>4.2</v>
      </c>
      <c r="O30" t="str">
        <f t="shared" si="1"/>
        <v>Delamanid50mg 8 tablet 6 blister</v>
      </c>
      <c r="Z30" t="s">
        <v>1352</v>
      </c>
      <c r="AA30" t="s">
        <v>1414</v>
      </c>
      <c r="AB30" t="s">
        <v>1415</v>
      </c>
      <c r="AC30">
        <v>4.7</v>
      </c>
      <c r="AE30" t="str">
        <f t="shared" si="3"/>
        <v>Ceftriaxone1g powder for injection - 10 vials</v>
      </c>
    </row>
    <row r="31" spans="3:31">
      <c r="C31" s="14" t="s">
        <v>424</v>
      </c>
      <c r="D31" s="14" t="s">
        <v>1263</v>
      </c>
      <c r="E31" s="14">
        <v>4.2</v>
      </c>
      <c r="K31" t="s">
        <v>427</v>
      </c>
      <c r="L31" t="s">
        <v>1295</v>
      </c>
      <c r="M31">
        <v>4.2</v>
      </c>
      <c r="O31" t="str">
        <f t="shared" si="1"/>
        <v>Ethionamide125mg 10 tablet 10 blister</v>
      </c>
      <c r="Z31" t="s">
        <v>1354</v>
      </c>
      <c r="AA31" t="s">
        <v>1416</v>
      </c>
      <c r="AB31" t="s">
        <v>1417</v>
      </c>
      <c r="AC31">
        <v>4.7</v>
      </c>
      <c r="AE31" t="str">
        <f t="shared" si="3"/>
        <v>Chloramphenicol250mg capsule 1000</v>
      </c>
    </row>
    <row r="32" spans="3:31">
      <c r="C32" s="14" t="s">
        <v>304</v>
      </c>
      <c r="D32" s="14" t="s">
        <v>1269</v>
      </c>
      <c r="E32" s="14">
        <v>4.2</v>
      </c>
      <c r="K32" t="s">
        <v>427</v>
      </c>
      <c r="L32" t="s">
        <v>1296</v>
      </c>
      <c r="M32">
        <v>4.2</v>
      </c>
      <c r="O32" t="str">
        <f t="shared" si="1"/>
        <v>Ethionamide250mg 10 tablet 10 blister</v>
      </c>
      <c r="Z32" t="s">
        <v>1367</v>
      </c>
      <c r="AA32" t="s">
        <v>1326</v>
      </c>
      <c r="AB32" t="s">
        <v>1418</v>
      </c>
      <c r="AC32">
        <v>4.7</v>
      </c>
      <c r="AE32" t="str">
        <f t="shared" si="3"/>
        <v>Chlorphenamine maleate10mg/ml solution for injection 1ml - 5 ampoule</v>
      </c>
    </row>
    <row r="33" spans="3:31">
      <c r="C33" s="14" t="s">
        <v>304</v>
      </c>
      <c r="D33" s="14" t="s">
        <v>1262</v>
      </c>
      <c r="E33" s="14">
        <v>4.2</v>
      </c>
      <c r="K33" t="s">
        <v>429</v>
      </c>
      <c r="L33" t="s">
        <v>443</v>
      </c>
      <c r="M33">
        <v>4.2</v>
      </c>
      <c r="O33" t="str">
        <f t="shared" si="1"/>
        <v>Imipenem/Cilastatin250/250mg powder for solution for infusion 20ml - 10 vial</v>
      </c>
      <c r="Z33" t="s">
        <v>2313</v>
      </c>
      <c r="AA33" t="s">
        <v>1419</v>
      </c>
      <c r="AB33" t="s">
        <v>1420</v>
      </c>
      <c r="AC33">
        <v>4.7</v>
      </c>
      <c r="AE33" t="str">
        <f t="shared" si="3"/>
        <v>Ciprofloxacin500mg tablet 100</v>
      </c>
    </row>
    <row r="34" spans="3:31">
      <c r="C34" s="14" t="s">
        <v>304</v>
      </c>
      <c r="D34" s="14" t="s">
        <v>1263</v>
      </c>
      <c r="E34" s="14">
        <v>4.2</v>
      </c>
      <c r="K34" t="s">
        <v>429</v>
      </c>
      <c r="L34" t="s">
        <v>444</v>
      </c>
      <c r="M34">
        <v>4.2</v>
      </c>
      <c r="O34" t="str">
        <f t="shared" si="1"/>
        <v>Imipenem/Cilastatin500/500mg powder for solution for infusion 20ml - 10 vial</v>
      </c>
      <c r="Z34" t="s">
        <v>1369</v>
      </c>
      <c r="AA34" t="s">
        <v>1327</v>
      </c>
      <c r="AB34" t="s">
        <v>1271</v>
      </c>
      <c r="AC34">
        <v>4.7</v>
      </c>
      <c r="AE34" t="str">
        <f t="shared" si="3"/>
        <v>Clindamycin150mg capsule 100</v>
      </c>
    </row>
    <row r="35" spans="3:31">
      <c r="C35" s="14" t="s">
        <v>304</v>
      </c>
      <c r="D35" s="14" t="s">
        <v>1270</v>
      </c>
      <c r="E35" s="14">
        <v>4.2</v>
      </c>
      <c r="K35" t="s">
        <v>430</v>
      </c>
      <c r="L35" t="s">
        <v>453</v>
      </c>
      <c r="M35">
        <v>4.2</v>
      </c>
      <c r="O35" t="str">
        <f t="shared" si="1"/>
        <v>Kanamycin1g powder for solution for injection - 50 vial</v>
      </c>
      <c r="Z35" t="s">
        <v>2314</v>
      </c>
      <c r="AA35" t="s">
        <v>1327</v>
      </c>
      <c r="AB35" t="s">
        <v>1421</v>
      </c>
      <c r="AC35">
        <v>4.7</v>
      </c>
      <c r="AE35" t="str">
        <f t="shared" si="3"/>
        <v>Clindamycin600mg/4ml injection - 1 ampoule</v>
      </c>
    </row>
    <row r="36" spans="3:31">
      <c r="C36" s="14" t="s">
        <v>1258</v>
      </c>
      <c r="D36" s="14" t="s">
        <v>1140</v>
      </c>
      <c r="E36" s="14">
        <v>4.2</v>
      </c>
      <c r="K36" t="s">
        <v>430</v>
      </c>
      <c r="L36" t="s">
        <v>1297</v>
      </c>
      <c r="M36">
        <v>4.2</v>
      </c>
      <c r="O36" t="str">
        <f t="shared" si="1"/>
        <v>Kanamycin1g/4ml solution for injection - 10 amp</v>
      </c>
      <c r="Z36" t="s">
        <v>1370</v>
      </c>
      <c r="AA36" t="s">
        <v>1328</v>
      </c>
      <c r="AB36" t="s">
        <v>1422</v>
      </c>
      <c r="AC36">
        <v>4.7</v>
      </c>
      <c r="AE36" t="str">
        <f t="shared" si="3"/>
        <v>Clotrimzole500mg 1 tablet vaginal</v>
      </c>
    </row>
    <row r="37" spans="3:31">
      <c r="C37" s="14"/>
      <c r="D37" s="14"/>
      <c r="E37" s="14"/>
      <c r="K37" t="s">
        <v>430</v>
      </c>
      <c r="L37" t="s">
        <v>1298</v>
      </c>
      <c r="M37">
        <v>4.2</v>
      </c>
      <c r="O37" t="str">
        <f t="shared" si="1"/>
        <v>Kanamycin500mg powder for solution for injection - 50 vial</v>
      </c>
      <c r="Z37" t="s">
        <v>2315</v>
      </c>
      <c r="AA37" t="s">
        <v>1328</v>
      </c>
      <c r="AB37" t="s">
        <v>1423</v>
      </c>
      <c r="AC37">
        <v>4.7</v>
      </c>
      <c r="AE37" t="str">
        <f t="shared" si="3"/>
        <v>Clotrimzole1% cream 30g tube - 10 tubes</v>
      </c>
    </row>
    <row r="38" spans="3:31">
      <c r="C38" s="14"/>
      <c r="D38" s="14"/>
      <c r="E38" s="14"/>
      <c r="K38" t="s">
        <v>430</v>
      </c>
      <c r="L38" t="s">
        <v>1299</v>
      </c>
      <c r="M38">
        <v>4.2</v>
      </c>
      <c r="O38" t="str">
        <f t="shared" si="1"/>
        <v>Kanamycin500mg/2ml solution for injection - 10 amp</v>
      </c>
      <c r="Z38" t="s">
        <v>1371</v>
      </c>
      <c r="AA38" t="s">
        <v>1336</v>
      </c>
      <c r="AB38" t="s">
        <v>1424</v>
      </c>
      <c r="AC38">
        <v>4.7</v>
      </c>
      <c r="AE38" t="str">
        <f t="shared" si="3"/>
        <v>Codeine (as phosphate)30mg tablet 100</v>
      </c>
    </row>
    <row r="39" spans="3:31">
      <c r="C39" s="14"/>
      <c r="D39" s="14"/>
      <c r="E39" s="14"/>
      <c r="K39" t="s">
        <v>431</v>
      </c>
      <c r="L39" t="s">
        <v>1282</v>
      </c>
      <c r="M39">
        <v>4.2</v>
      </c>
      <c r="O39" t="str">
        <f t="shared" si="1"/>
        <v>Levofloxacin100mg 10 tablet dispersible 10 blister</v>
      </c>
      <c r="Z39" t="s">
        <v>2316</v>
      </c>
      <c r="AA39" t="s">
        <v>1337</v>
      </c>
      <c r="AB39" t="s">
        <v>1425</v>
      </c>
      <c r="AC39">
        <v>4.7</v>
      </c>
      <c r="AE39" t="str">
        <f t="shared" si="3"/>
        <v>Daclatasvir30mg tablet 28</v>
      </c>
    </row>
    <row r="40" spans="3:31">
      <c r="C40" s="14"/>
      <c r="D40" s="14"/>
      <c r="E40" s="14"/>
      <c r="K40" t="s">
        <v>431</v>
      </c>
      <c r="L40" t="s">
        <v>1296</v>
      </c>
      <c r="M40">
        <v>4.2</v>
      </c>
      <c r="O40" t="str">
        <f t="shared" si="1"/>
        <v>Levofloxacin250mg 10 tablet 10 blister</v>
      </c>
      <c r="Z40" t="s">
        <v>1372</v>
      </c>
      <c r="AA40" t="s">
        <v>1337</v>
      </c>
      <c r="AB40" t="s">
        <v>1426</v>
      </c>
      <c r="AC40">
        <v>4.7</v>
      </c>
      <c r="AE40" t="str">
        <f t="shared" si="3"/>
        <v>Daclatasvir60mg tablet 28</v>
      </c>
    </row>
    <row r="41" spans="3:31">
      <c r="C41" s="14"/>
      <c r="D41" s="14"/>
      <c r="E41" s="14"/>
      <c r="K41" t="s">
        <v>431</v>
      </c>
      <c r="L41" t="s">
        <v>1300</v>
      </c>
      <c r="M41">
        <v>4.2</v>
      </c>
      <c r="O41" t="str">
        <f t="shared" si="1"/>
        <v>Levofloxacin500mg 10 tablet 10 blister</v>
      </c>
      <c r="Z41" t="s">
        <v>2317</v>
      </c>
      <c r="AA41" t="s">
        <v>1338</v>
      </c>
      <c r="AB41" t="s">
        <v>1427</v>
      </c>
      <c r="AC41">
        <v>4.7</v>
      </c>
      <c r="AE41" t="str">
        <f t="shared" si="3"/>
        <v>Dapsone100mg 28 tablet</v>
      </c>
    </row>
    <row r="42" spans="3:31">
      <c r="C42" s="14"/>
      <c r="D42" s="14"/>
      <c r="E42" s="14"/>
      <c r="K42" t="s">
        <v>431</v>
      </c>
      <c r="L42" t="s">
        <v>1301</v>
      </c>
      <c r="M42">
        <v>4.2</v>
      </c>
      <c r="O42" t="str">
        <f t="shared" si="1"/>
        <v>Levofloxacin750mg 10 tablet 10 blister</v>
      </c>
      <c r="Z42" t="s">
        <v>2318</v>
      </c>
      <c r="AA42" t="s">
        <v>1339</v>
      </c>
      <c r="AB42" t="s">
        <v>2324</v>
      </c>
      <c r="AC42">
        <v>4.7</v>
      </c>
      <c r="AE42" t="str">
        <f t="shared" si="3"/>
        <v>Diclofenac (as sodium) 75mg/3ml injection - 100 ampoules</v>
      </c>
    </row>
    <row r="43" spans="3:31">
      <c r="C43" s="14"/>
      <c r="D43" s="14"/>
      <c r="E43" s="14"/>
      <c r="K43" t="s">
        <v>303</v>
      </c>
      <c r="L43" t="s">
        <v>1302</v>
      </c>
      <c r="M43">
        <v>4.2</v>
      </c>
      <c r="O43" t="str">
        <f t="shared" si="1"/>
        <v>Linezolide600mg 10 tablet 10 blister</v>
      </c>
      <c r="Z43" t="s">
        <v>1374</v>
      </c>
      <c r="AA43" t="s">
        <v>1339</v>
      </c>
      <c r="AB43" t="s">
        <v>2325</v>
      </c>
      <c r="AC43">
        <v>4.7</v>
      </c>
      <c r="AE43" t="str">
        <f t="shared" si="3"/>
        <v>Diclofenac (as sodium) 50mg tablet coated enteric 1000</v>
      </c>
    </row>
    <row r="44" spans="3:31">
      <c r="C44" s="14"/>
      <c r="D44" s="14"/>
      <c r="E44" s="14"/>
      <c r="K44" t="s">
        <v>303</v>
      </c>
      <c r="L44" t="s">
        <v>1303</v>
      </c>
      <c r="M44">
        <v>4.2</v>
      </c>
      <c r="O44" t="str">
        <f t="shared" si="1"/>
        <v>Linezolide600mg tablet 20</v>
      </c>
      <c r="Z44" t="s">
        <v>1376</v>
      </c>
      <c r="AA44" t="s">
        <v>1342</v>
      </c>
      <c r="AB44" t="s">
        <v>2326</v>
      </c>
      <c r="AC44">
        <v>4.7</v>
      </c>
      <c r="AE44" t="str">
        <f t="shared" si="3"/>
        <v>Doxorubicin (as hydrochloride) 10mg powder for solution for injection - 1 vial</v>
      </c>
    </row>
    <row r="45" spans="3:31">
      <c r="C45" s="14"/>
      <c r="D45" s="14"/>
      <c r="E45" s="14"/>
      <c r="K45" t="s">
        <v>433</v>
      </c>
      <c r="L45" t="s">
        <v>447</v>
      </c>
      <c r="M45">
        <v>4.2</v>
      </c>
      <c r="O45" t="str">
        <f t="shared" si="1"/>
        <v>Meropenem1g powder for solution for injection - 10 vial</v>
      </c>
      <c r="Z45" t="s">
        <v>1379</v>
      </c>
      <c r="AA45" t="s">
        <v>1342</v>
      </c>
      <c r="AB45" t="s">
        <v>2327</v>
      </c>
      <c r="AC45">
        <v>4.7</v>
      </c>
      <c r="AE45" t="str">
        <f t="shared" si="3"/>
        <v>Doxorubicin (as hydrochloride) 50mg powder for solution for injection - 1 vial</v>
      </c>
    </row>
    <row r="46" spans="3:31">
      <c r="C46" s="14"/>
      <c r="D46" s="14"/>
      <c r="E46" s="14"/>
      <c r="K46" t="s">
        <v>434</v>
      </c>
      <c r="L46" t="s">
        <v>1282</v>
      </c>
      <c r="M46">
        <v>4.2</v>
      </c>
      <c r="O46" t="str">
        <f t="shared" si="1"/>
        <v>Moxifloxacin100mg 10 tablet dispersible 10 blister</v>
      </c>
      <c r="Z46" t="s">
        <v>2319</v>
      </c>
      <c r="AA46" t="s">
        <v>1345</v>
      </c>
      <c r="AB46" t="s">
        <v>2328</v>
      </c>
      <c r="AC46">
        <v>4.7</v>
      </c>
      <c r="AE46" t="str">
        <f t="shared" si="3"/>
        <v>Doxycycline (as hyclate) 100mg tablet 500</v>
      </c>
    </row>
    <row r="47" spans="3:31">
      <c r="C47" s="14"/>
      <c r="D47" s="14"/>
      <c r="E47" s="14"/>
      <c r="K47" t="s">
        <v>434</v>
      </c>
      <c r="L47" t="s">
        <v>1262</v>
      </c>
      <c r="M47">
        <v>4.2</v>
      </c>
      <c r="O47" t="str">
        <f t="shared" si="1"/>
        <v>Moxifloxacin400mg 10 tablet 10 blister</v>
      </c>
      <c r="Z47" t="s">
        <v>2320</v>
      </c>
      <c r="AA47" t="s">
        <v>1347</v>
      </c>
      <c r="AB47" t="s">
        <v>2329</v>
      </c>
      <c r="AC47">
        <v>4.7</v>
      </c>
      <c r="AE47" t="str">
        <f t="shared" si="3"/>
        <v>Entecavir 0.5mg tablet 30</v>
      </c>
    </row>
    <row r="48" spans="3:31">
      <c r="C48" s="14"/>
      <c r="D48" s="14"/>
      <c r="E48" s="14"/>
      <c r="K48" t="s">
        <v>435</v>
      </c>
      <c r="L48" t="s">
        <v>448</v>
      </c>
      <c r="M48">
        <v>4.2</v>
      </c>
      <c r="O48" t="str">
        <f t="shared" si="1"/>
        <v>Para-AminoSalicylate Sodium4g granule 30</v>
      </c>
      <c r="Z48" t="s">
        <v>1384</v>
      </c>
      <c r="AA48" t="s">
        <v>1347</v>
      </c>
      <c r="AB48" t="s">
        <v>2330</v>
      </c>
      <c r="AC48">
        <v>4.7</v>
      </c>
      <c r="AE48" t="str">
        <f t="shared" si="3"/>
        <v>Entecavir 0.5mg tablet scored 90</v>
      </c>
    </row>
    <row r="49" spans="3:31">
      <c r="C49" s="14"/>
      <c r="D49" s="14"/>
      <c r="E49" s="14"/>
      <c r="K49" t="s">
        <v>435</v>
      </c>
      <c r="L49" t="s">
        <v>449</v>
      </c>
      <c r="M49">
        <v>4.2</v>
      </c>
      <c r="O49" t="str">
        <f t="shared" si="1"/>
        <v>Para-AminoSalicylate Sodium5.52g (equiv 4g PAS) powder for oral solution - 25 sachet</v>
      </c>
      <c r="Z49" t="s">
        <v>2321</v>
      </c>
      <c r="AA49" t="s">
        <v>1347</v>
      </c>
      <c r="AB49" t="s">
        <v>2331</v>
      </c>
      <c r="AC49">
        <v>4.7</v>
      </c>
      <c r="AE49" t="str">
        <f t="shared" si="3"/>
        <v>Entecavir 1mg tablet 30</v>
      </c>
    </row>
    <row r="50" spans="3:31">
      <c r="C50" s="14"/>
      <c r="D50" s="14"/>
      <c r="E50" s="14"/>
      <c r="K50" t="s">
        <v>435</v>
      </c>
      <c r="L50" t="s">
        <v>450</v>
      </c>
      <c r="M50">
        <v>4.2</v>
      </c>
      <c r="O50" t="str">
        <f t="shared" si="1"/>
        <v>Para-AminoSalicylate Sodium60% w/w 9.2g - 30 sachet</v>
      </c>
      <c r="Z50" t="s">
        <v>2322</v>
      </c>
      <c r="AA50" t="s">
        <v>1347</v>
      </c>
      <c r="AB50" t="s">
        <v>1351</v>
      </c>
      <c r="AC50">
        <v>4.7</v>
      </c>
      <c r="AE50" t="str">
        <f t="shared" si="3"/>
        <v>Entecavir 1mg tablet scored 90</v>
      </c>
    </row>
    <row r="51" spans="3:31">
      <c r="C51" s="14"/>
      <c r="D51" s="14"/>
      <c r="E51" s="14"/>
      <c r="K51" t="s">
        <v>435</v>
      </c>
      <c r="L51" t="s">
        <v>1304</v>
      </c>
      <c r="M51">
        <v>4.2</v>
      </c>
      <c r="O51" t="str">
        <f t="shared" si="1"/>
        <v>Para-AminoSalicylate Sodium60% w/w granule delayed release 100g</v>
      </c>
      <c r="Z51" t="s">
        <v>1388</v>
      </c>
      <c r="AA51" t="s">
        <v>1352</v>
      </c>
      <c r="AB51" t="s">
        <v>2332</v>
      </c>
      <c r="AC51">
        <v>4.7</v>
      </c>
      <c r="AE51" t="str">
        <f t="shared" si="3"/>
        <v>Erythromycin250mg/5ml powder for oral solution 140ml - 20 bottles</v>
      </c>
    </row>
    <row r="52" spans="3:31">
      <c r="C52" s="14"/>
      <c r="D52" s="14"/>
      <c r="E52" s="14"/>
      <c r="K52" t="s">
        <v>1280</v>
      </c>
      <c r="L52" t="s">
        <v>1283</v>
      </c>
      <c r="M52">
        <v>4.2</v>
      </c>
      <c r="O52" t="str">
        <f t="shared" si="1"/>
        <v>Pretomanid200 mg tablets 26</v>
      </c>
      <c r="Z52" t="s">
        <v>1390</v>
      </c>
      <c r="AA52" t="s">
        <v>1354</v>
      </c>
      <c r="AB52" t="s">
        <v>1437</v>
      </c>
      <c r="AC52">
        <v>4.7</v>
      </c>
      <c r="AE52" t="str">
        <f t="shared" si="3"/>
        <v>Erythromycin (as stearate) 250mg tablet 1000</v>
      </c>
    </row>
    <row r="53" spans="3:31">
      <c r="C53" s="14"/>
      <c r="D53" s="14"/>
      <c r="E53" s="14"/>
      <c r="K53" t="s">
        <v>436</v>
      </c>
      <c r="L53" t="s">
        <v>1305</v>
      </c>
      <c r="M53">
        <v>4.2</v>
      </c>
      <c r="O53" t="str">
        <f t="shared" si="1"/>
        <v>Prothionamide250mg 100 tablet 1 blister</v>
      </c>
      <c r="Z53" t="s">
        <v>2323</v>
      </c>
      <c r="AA53" t="s">
        <v>1354</v>
      </c>
      <c r="AB53" t="s">
        <v>1420</v>
      </c>
      <c r="AC53">
        <v>4.7</v>
      </c>
      <c r="AE53" t="str">
        <f t="shared" si="3"/>
        <v>Erythromycin (as stearate) 500mg tablet 100</v>
      </c>
    </row>
    <row r="54" spans="3:31">
      <c r="C54" s="14"/>
      <c r="D54" s="14"/>
      <c r="E54" s="14"/>
      <c r="K54" t="s">
        <v>439</v>
      </c>
      <c r="L54" t="s">
        <v>441</v>
      </c>
      <c r="M54">
        <v>4.2</v>
      </c>
      <c r="O54" t="str">
        <f t="shared" si="1"/>
        <v>Streptomycin1g powder for solution for injection - 1 vial</v>
      </c>
      <c r="Z54" t="s">
        <v>837</v>
      </c>
      <c r="AA54" t="s">
        <v>1354</v>
      </c>
      <c r="AB54" t="s">
        <v>2333</v>
      </c>
      <c r="AC54">
        <v>4.7</v>
      </c>
      <c r="AE54" t="str">
        <f t="shared" si="3"/>
        <v>Erythromycin (as stearate) 500mg tablet 500</v>
      </c>
    </row>
    <row r="55" spans="3:31">
      <c r="C55" s="14"/>
      <c r="D55" s="14"/>
      <c r="E55" s="14"/>
      <c r="K55" t="s">
        <v>1585</v>
      </c>
      <c r="L55" t="s">
        <v>454</v>
      </c>
      <c r="M55">
        <v>4.2</v>
      </c>
      <c r="O55" t="str">
        <f t="shared" si="1"/>
        <v>Terizidone250mg 50 capsule 1 blister</v>
      </c>
      <c r="Z55" t="s">
        <v>1393</v>
      </c>
      <c r="AA55" t="s">
        <v>1367</v>
      </c>
      <c r="AB55" t="s">
        <v>2334</v>
      </c>
      <c r="AC55">
        <v>4.7</v>
      </c>
      <c r="AE55" t="str">
        <f t="shared" si="3"/>
        <v>Ganciclovir500mg powder for solution for injection - 1 vial</v>
      </c>
    </row>
    <row r="56" spans="3:31">
      <c r="C56" s="14"/>
      <c r="D56" s="14"/>
      <c r="E56" s="14"/>
      <c r="O56" t="str">
        <f t="shared" si="1"/>
        <v/>
      </c>
      <c r="Z56" t="s">
        <v>1398</v>
      </c>
      <c r="AA56" t="s">
        <v>1428</v>
      </c>
      <c r="AB56" t="s">
        <v>1429</v>
      </c>
      <c r="AC56">
        <v>4.7</v>
      </c>
      <c r="AE56" t="str">
        <f t="shared" si="3"/>
        <v>Gentamicin80mg/2ml injection - 100 ampoules</v>
      </c>
    </row>
    <row r="57" spans="3:31">
      <c r="C57" s="14"/>
      <c r="D57" s="14"/>
      <c r="E57" s="14"/>
      <c r="Z57" t="s">
        <v>1400</v>
      </c>
      <c r="AA57" t="s">
        <v>1369</v>
      </c>
      <c r="AB57" t="s">
        <v>1430</v>
      </c>
      <c r="AC57">
        <v>4.7</v>
      </c>
      <c r="AE57" t="str">
        <f t="shared" si="3"/>
        <v>Ibuprofen100mg/5ml oral solution 100ml</v>
      </c>
    </row>
    <row r="58" spans="3:31">
      <c r="C58" s="14"/>
      <c r="D58" s="14"/>
      <c r="E58" s="14"/>
      <c r="Z58" t="s">
        <v>442</v>
      </c>
      <c r="AA58" t="s">
        <v>1369</v>
      </c>
      <c r="AB58" t="s">
        <v>1431</v>
      </c>
      <c r="AC58">
        <v>4.7</v>
      </c>
      <c r="AE58" t="str">
        <f t="shared" si="3"/>
        <v>Ibuprofen200mg film coated tablet 1000</v>
      </c>
    </row>
    <row r="59" spans="3:31">
      <c r="C59" s="14"/>
      <c r="D59" s="14"/>
      <c r="E59" s="14"/>
      <c r="AA59" t="s">
        <v>1432</v>
      </c>
      <c r="AB59" t="s">
        <v>1433</v>
      </c>
      <c r="AC59">
        <v>4.7</v>
      </c>
      <c r="AE59" t="str">
        <f t="shared" si="3"/>
        <v>Itraconazole100mg 15 capsule</v>
      </c>
    </row>
    <row r="60" spans="3:31">
      <c r="C60" s="14"/>
      <c r="D60" s="14"/>
      <c r="E60" s="14"/>
      <c r="AA60" t="s">
        <v>1370</v>
      </c>
      <c r="AB60" t="s">
        <v>1434</v>
      </c>
      <c r="AC60">
        <v>4.7</v>
      </c>
      <c r="AE60" t="str">
        <f t="shared" si="3"/>
        <v>Lactulose (as liquid)667mg/ml 200ml</v>
      </c>
    </row>
    <row r="61" spans="3:31">
      <c r="C61" s="14"/>
      <c r="D61" s="14"/>
      <c r="E61" s="14"/>
      <c r="AA61" t="s">
        <v>1435</v>
      </c>
      <c r="AB61" t="s">
        <v>1436</v>
      </c>
      <c r="AC61">
        <v>4.7</v>
      </c>
      <c r="AE61" t="str">
        <f t="shared" si="3"/>
        <v>Metronidazole200mg tablet 1000</v>
      </c>
    </row>
    <row r="62" spans="3:31">
      <c r="C62" s="14"/>
      <c r="D62" s="14"/>
      <c r="E62" s="14"/>
      <c r="AA62" t="s">
        <v>1435</v>
      </c>
      <c r="AB62" t="s">
        <v>1437</v>
      </c>
      <c r="AC62">
        <v>4.7</v>
      </c>
      <c r="AE62" t="str">
        <f t="shared" si="3"/>
        <v>Metronidazole250mg tablet 1000</v>
      </c>
    </row>
    <row r="63" spans="3:31">
      <c r="C63" s="14"/>
      <c r="D63" s="14"/>
      <c r="E63" s="14"/>
      <c r="AA63" t="s">
        <v>1435</v>
      </c>
      <c r="AB63" t="s">
        <v>1438</v>
      </c>
      <c r="AC63">
        <v>4.7</v>
      </c>
      <c r="AE63" t="str">
        <f t="shared" si="3"/>
        <v>Metronidazole5mg/ml oral solution 100ml - 20 bottles</v>
      </c>
    </row>
    <row r="64" spans="3:31">
      <c r="C64" s="14"/>
      <c r="D64" s="14"/>
      <c r="E64" s="14"/>
      <c r="AA64" t="s">
        <v>1371</v>
      </c>
      <c r="AB64" t="s">
        <v>1439</v>
      </c>
      <c r="AC64">
        <v>4.7</v>
      </c>
      <c r="AE64" t="str">
        <f t="shared" si="3"/>
        <v>Nystatin100,000 IU 14 tablet</v>
      </c>
    </row>
    <row r="65" spans="3:31">
      <c r="C65" s="14"/>
      <c r="D65" s="14"/>
      <c r="E65" s="14"/>
      <c r="AA65" t="s">
        <v>1371</v>
      </c>
      <c r="AB65" t="s">
        <v>1440</v>
      </c>
      <c r="AC65">
        <v>4.7</v>
      </c>
      <c r="AE65" t="str">
        <f t="shared" si="3"/>
        <v>Nystatin100,000 IU/ml oral solution 30ml</v>
      </c>
    </row>
    <row r="66" spans="3:31">
      <c r="C66" s="14"/>
      <c r="D66" s="14"/>
      <c r="E66" s="14"/>
      <c r="AA66" t="s">
        <v>1441</v>
      </c>
      <c r="AB66" t="s">
        <v>1442</v>
      </c>
      <c r="AC66">
        <v>4.7</v>
      </c>
      <c r="AE66" t="str">
        <f t="shared" si="3"/>
        <v>Oral rehydration salt20.5g/l - 100 sachets</v>
      </c>
    </row>
    <row r="67" spans="3:31">
      <c r="C67" s="14"/>
      <c r="D67" s="14"/>
      <c r="E67" s="14"/>
      <c r="AA67" t="s">
        <v>181</v>
      </c>
      <c r="AB67" t="s">
        <v>1140</v>
      </c>
      <c r="AC67">
        <v>4.7</v>
      </c>
      <c r="AE67" t="str">
        <f t="shared" ref="AE67:AE94" si="4">CONCATENATE(AA67,AB67)</f>
        <v>Other medicines[enter specifications manually]</v>
      </c>
    </row>
    <row r="68" spans="3:31">
      <c r="C68" s="14"/>
      <c r="D68" s="14"/>
      <c r="E68" s="14"/>
      <c r="AA68" t="s">
        <v>1372</v>
      </c>
      <c r="AB68" t="s">
        <v>1443</v>
      </c>
      <c r="AC68">
        <v>4.7</v>
      </c>
      <c r="AE68" t="str">
        <f t="shared" si="4"/>
        <v>Pantoprazole20mg 28 tablet</v>
      </c>
    </row>
    <row r="69" spans="3:31">
      <c r="C69" s="14"/>
      <c r="D69" s="14"/>
      <c r="E69" s="14"/>
      <c r="AA69" t="s">
        <v>1444</v>
      </c>
      <c r="AB69" t="s">
        <v>1445</v>
      </c>
      <c r="AC69">
        <v>4.7</v>
      </c>
      <c r="AE69" t="str">
        <f t="shared" si="4"/>
        <v>Paracetamol120mg/5ml oral solution 60ml - 140 bottles</v>
      </c>
    </row>
    <row r="70" spans="3:31">
      <c r="C70" s="14"/>
      <c r="D70" s="14"/>
      <c r="E70" s="14"/>
      <c r="AA70" t="s">
        <v>1444</v>
      </c>
      <c r="AB70" t="s">
        <v>1406</v>
      </c>
      <c r="AC70">
        <v>4.7</v>
      </c>
      <c r="AE70" t="str">
        <f t="shared" si="4"/>
        <v>Paracetamol500mg tablet 1000</v>
      </c>
    </row>
    <row r="71" spans="3:31">
      <c r="C71" s="14"/>
      <c r="D71" s="14"/>
      <c r="E71" s="14"/>
      <c r="AA71" t="s">
        <v>1447</v>
      </c>
      <c r="AB71" t="s">
        <v>2333</v>
      </c>
      <c r="AC71">
        <v>4.7</v>
      </c>
      <c r="AE71" t="str">
        <f t="shared" si="4"/>
        <v>Phenoxymethylpenicillin500mg tablet 500</v>
      </c>
    </row>
    <row r="72" spans="3:31">
      <c r="C72" s="14"/>
      <c r="D72" s="14"/>
      <c r="E72" s="14"/>
      <c r="AA72" t="s">
        <v>1374</v>
      </c>
      <c r="AB72" t="s">
        <v>2335</v>
      </c>
      <c r="AC72">
        <v>4.7</v>
      </c>
      <c r="AE72" t="str">
        <f t="shared" si="4"/>
        <v>Podophyllotoxin0.5% oral solution 3.5ml</v>
      </c>
    </row>
    <row r="73" spans="3:31">
      <c r="C73" s="14"/>
      <c r="D73" s="14"/>
      <c r="E73" s="14"/>
      <c r="AA73" t="s">
        <v>1376</v>
      </c>
      <c r="AB73" t="s">
        <v>2336</v>
      </c>
      <c r="AC73">
        <v>4.7</v>
      </c>
      <c r="AE73" t="str">
        <f t="shared" si="4"/>
        <v>Pvp iodine10% solution 200ml</v>
      </c>
    </row>
    <row r="74" spans="3:31">
      <c r="C74" s="14"/>
      <c r="D74" s="14"/>
      <c r="E74" s="14"/>
      <c r="AA74" t="s">
        <v>1376</v>
      </c>
      <c r="AB74" t="s">
        <v>2337</v>
      </c>
      <c r="AC74">
        <v>4.7</v>
      </c>
      <c r="AE74" t="str">
        <f t="shared" si="4"/>
        <v>Pvp iodine10% solution gynaecological 500ml</v>
      </c>
    </row>
    <row r="75" spans="3:31">
      <c r="C75" s="14"/>
      <c r="D75" s="14"/>
      <c r="E75" s="14"/>
      <c r="AA75" t="s">
        <v>1379</v>
      </c>
      <c r="AB75" t="s">
        <v>2338</v>
      </c>
      <c r="AC75">
        <v>4.7</v>
      </c>
      <c r="AE75" t="str">
        <f t="shared" si="4"/>
        <v>Pyrimethamine25mg 30 tablet</v>
      </c>
    </row>
    <row r="76" spans="3:31">
      <c r="C76" s="14"/>
      <c r="D76" s="14"/>
      <c r="E76" s="14"/>
      <c r="AA76" t="s">
        <v>1379</v>
      </c>
      <c r="AB76" t="s">
        <v>2339</v>
      </c>
      <c r="AC76">
        <v>4.7</v>
      </c>
      <c r="AE76" t="str">
        <f t="shared" si="4"/>
        <v>Pyrimethamine50mg 20 tablet</v>
      </c>
    </row>
    <row r="77" spans="3:31">
      <c r="C77" s="14"/>
      <c r="D77" s="14"/>
      <c r="E77" s="14"/>
      <c r="AA77" t="s">
        <v>1448</v>
      </c>
      <c r="AB77" t="s">
        <v>2340</v>
      </c>
      <c r="AC77">
        <v>4.7</v>
      </c>
      <c r="AE77" t="str">
        <f t="shared" si="4"/>
        <v>Ribavirin200mg 42 tablet 1 blister</v>
      </c>
    </row>
    <row r="78" spans="3:31">
      <c r="C78" s="14"/>
      <c r="D78" s="14"/>
      <c r="E78" s="14"/>
      <c r="AA78" t="s">
        <v>1449</v>
      </c>
      <c r="AB78" t="s">
        <v>2341</v>
      </c>
      <c r="AC78">
        <v>4.7</v>
      </c>
      <c r="AE78" t="str">
        <f t="shared" si="4"/>
        <v>Salbutamol4mg tablet 1000</v>
      </c>
    </row>
    <row r="79" spans="3:31">
      <c r="C79" s="14"/>
      <c r="D79" s="14"/>
      <c r="E79" s="14"/>
      <c r="AA79" t="s">
        <v>1384</v>
      </c>
      <c r="AB79" t="s">
        <v>2342</v>
      </c>
      <c r="AC79">
        <v>4.7</v>
      </c>
      <c r="AE79" t="str">
        <f t="shared" si="4"/>
        <v>Sodium dichloroisocyanurate1.67g tablet 200</v>
      </c>
    </row>
    <row r="80" spans="3:31">
      <c r="C80" s="14"/>
      <c r="D80" s="14"/>
      <c r="E80" s="14"/>
      <c r="AA80" t="s">
        <v>1450</v>
      </c>
      <c r="AB80" t="s">
        <v>2343</v>
      </c>
      <c r="AC80">
        <v>4.7</v>
      </c>
      <c r="AE80" t="str">
        <f t="shared" si="4"/>
        <v>Sofosbuvir400mg tablet 28</v>
      </c>
    </row>
    <row r="81" spans="3:31">
      <c r="C81" s="14"/>
      <c r="D81" s="14"/>
      <c r="E81" s="14"/>
      <c r="AA81" t="s">
        <v>1586</v>
      </c>
      <c r="AB81" t="s">
        <v>2344</v>
      </c>
      <c r="AC81">
        <v>4.7</v>
      </c>
      <c r="AE81" t="str">
        <f t="shared" si="4"/>
        <v>Sofosbuvir/ Ledipasvir400mg/90mg tablet 28</v>
      </c>
    </row>
    <row r="82" spans="3:31">
      <c r="C82" s="14"/>
      <c r="D82" s="14"/>
      <c r="E82" s="14"/>
      <c r="AA82" t="s">
        <v>1388</v>
      </c>
      <c r="AB82" t="s">
        <v>2345</v>
      </c>
      <c r="AC82">
        <v>4.7</v>
      </c>
      <c r="AE82" t="str">
        <f t="shared" si="4"/>
        <v>Sofosbuvir/Velpatasvir 400mg/100mg tablet 28</v>
      </c>
    </row>
    <row r="83" spans="3:31">
      <c r="C83" s="14"/>
      <c r="D83" s="14"/>
      <c r="E83" s="14"/>
      <c r="AA83" t="s">
        <v>1390</v>
      </c>
      <c r="AB83" t="s">
        <v>2346</v>
      </c>
      <c r="AC83">
        <v>4.7</v>
      </c>
      <c r="AE83" t="str">
        <f t="shared" si="4"/>
        <v>Sofosbuvir+Daclatasvir400+60mg tablet co-blistered 28 blister</v>
      </c>
    </row>
    <row r="84" spans="3:31">
      <c r="C84" s="14"/>
      <c r="D84" s="14"/>
      <c r="E84" s="14"/>
      <c r="AA84" t="s">
        <v>1451</v>
      </c>
      <c r="AB84" t="s">
        <v>2347</v>
      </c>
      <c r="AC84">
        <v>4.7</v>
      </c>
      <c r="AE84" t="str">
        <f t="shared" si="4"/>
        <v>Sulfadiazine500mg 56 tablet</v>
      </c>
    </row>
    <row r="85" spans="3:31">
      <c r="C85" s="4"/>
      <c r="D85" s="14"/>
      <c r="E85" s="14"/>
      <c r="AA85" t="s">
        <v>837</v>
      </c>
      <c r="AB85" t="s">
        <v>1140</v>
      </c>
      <c r="AC85">
        <v>4.7</v>
      </c>
      <c r="AE85" t="str">
        <f t="shared" si="4"/>
        <v>Therapeutic food products[enter specifications manually]</v>
      </c>
    </row>
    <row r="86" spans="3:31">
      <c r="C86" s="4"/>
      <c r="D86" s="14"/>
      <c r="E86" s="14"/>
      <c r="AA86" t="s">
        <v>1393</v>
      </c>
      <c r="AB86" t="s">
        <v>2348</v>
      </c>
      <c r="AC86">
        <v>4.7</v>
      </c>
      <c r="AE86" t="str">
        <f t="shared" si="4"/>
        <v>Therapeutic milk F100 powder102.5g - 120 sachets</v>
      </c>
    </row>
    <row r="87" spans="3:31">
      <c r="C87" s="4"/>
      <c r="D87" s="14"/>
      <c r="E87" s="14"/>
      <c r="AA87" t="s">
        <v>1393</v>
      </c>
      <c r="AB87" t="s">
        <v>2349</v>
      </c>
      <c r="AC87">
        <v>4.7</v>
      </c>
      <c r="AE87" t="str">
        <f t="shared" si="4"/>
        <v>Therapeutic milk F100 powder114g - 90 sachets</v>
      </c>
    </row>
    <row r="88" spans="3:31">
      <c r="C88" s="4"/>
      <c r="D88" s="14"/>
      <c r="E88" s="14"/>
      <c r="AA88" t="s">
        <v>1398</v>
      </c>
      <c r="AB88" t="s">
        <v>2350</v>
      </c>
      <c r="AC88">
        <v>4.7</v>
      </c>
      <c r="AE88" t="str">
        <f t="shared" si="4"/>
        <v>Vincristine (as sulfate)1mg/ml injection - 1 vial</v>
      </c>
    </row>
    <row r="89" spans="3:31">
      <c r="C89" s="4"/>
      <c r="D89" s="14"/>
      <c r="E89" s="14"/>
      <c r="AA89" t="s">
        <v>1400</v>
      </c>
      <c r="AB89" t="s">
        <v>2351</v>
      </c>
      <c r="AC89">
        <v>4.7</v>
      </c>
      <c r="AE89" t="str">
        <f t="shared" si="4"/>
        <v>Vitamin B-6 (pyridoxine as hydrochloride)25mg tablet 100</v>
      </c>
    </row>
    <row r="90" spans="3:31">
      <c r="C90" s="4"/>
      <c r="D90" s="14"/>
      <c r="E90" s="14"/>
      <c r="AA90" t="s">
        <v>442</v>
      </c>
      <c r="AB90" t="s">
        <v>1402</v>
      </c>
      <c r="AC90">
        <v>4.7</v>
      </c>
      <c r="AE90" t="str">
        <f t="shared" si="4"/>
        <v>Water for injection10ml - 20 ampoules</v>
      </c>
    </row>
    <row r="91" spans="3:31">
      <c r="C91" s="4"/>
      <c r="D91" s="14"/>
      <c r="E91" s="14"/>
      <c r="AA91" t="s">
        <v>442</v>
      </c>
      <c r="AB91" t="s">
        <v>456</v>
      </c>
      <c r="AC91">
        <v>4.7</v>
      </c>
      <c r="AE91" t="str">
        <f t="shared" si="4"/>
        <v>Water for injection5ml - 1 ampoule</v>
      </c>
    </row>
    <row r="92" spans="3:31">
      <c r="C92" s="4"/>
      <c r="D92" s="14"/>
      <c r="E92" s="14"/>
      <c r="AA92" t="s">
        <v>442</v>
      </c>
      <c r="AB92" t="s">
        <v>457</v>
      </c>
      <c r="AC92">
        <v>4.7</v>
      </c>
      <c r="AE92" t="str">
        <f t="shared" si="4"/>
        <v>Water for injection5ml - 20 vial</v>
      </c>
    </row>
    <row r="93" spans="3:31">
      <c r="C93" s="4"/>
      <c r="D93" s="14"/>
      <c r="E93" s="14"/>
      <c r="AA93" t="s">
        <v>442</v>
      </c>
      <c r="AB93" t="s">
        <v>458</v>
      </c>
      <c r="AC93">
        <v>4.7</v>
      </c>
      <c r="AE93" t="str">
        <f t="shared" si="4"/>
        <v>Water for injection5ml - 50 vial</v>
      </c>
    </row>
    <row r="94" spans="3:31">
      <c r="C94" s="4"/>
      <c r="D94" s="14"/>
      <c r="E94" s="14"/>
      <c r="AA94" t="s">
        <v>442</v>
      </c>
      <c r="AB94" t="s">
        <v>455</v>
      </c>
      <c r="AC94">
        <v>4.7</v>
      </c>
      <c r="AE94" t="str">
        <f t="shared" si="4"/>
        <v>Water for injection5ml - 100 ampoule</v>
      </c>
    </row>
    <row r="95" spans="3:31">
      <c r="C95" s="4"/>
      <c r="D95" s="14"/>
      <c r="E95" s="14"/>
    </row>
    <row r="96" spans="3:31">
      <c r="C96" s="4"/>
      <c r="D96" s="14"/>
      <c r="E96" s="14"/>
    </row>
    <row r="97" spans="3:5">
      <c r="C97" s="4"/>
      <c r="D97" s="14"/>
      <c r="E97" s="14"/>
    </row>
    <row r="98" spans="3:5">
      <c r="C98" s="4"/>
      <c r="D98" s="14"/>
      <c r="E98" s="14"/>
    </row>
    <row r="99" spans="3:5">
      <c r="C99" s="4"/>
      <c r="D99" s="14"/>
      <c r="E99" s="14"/>
    </row>
    <row r="100" spans="3:5">
      <c r="C100" s="4"/>
      <c r="D100" s="14"/>
      <c r="E100" s="14"/>
    </row>
    <row r="101" spans="3:5">
      <c r="C101" s="4"/>
      <c r="D101" s="14"/>
      <c r="E101" s="14"/>
    </row>
    <row r="102" spans="3:5">
      <c r="C102" s="4"/>
      <c r="D102" s="14"/>
      <c r="E102" s="14"/>
    </row>
    <row r="103" spans="3:5">
      <c r="C103" s="4"/>
      <c r="D103" s="14"/>
      <c r="E103" s="14"/>
    </row>
    <row r="104" spans="3:5">
      <c r="C104" s="4"/>
      <c r="D104" s="14"/>
      <c r="E104" s="14"/>
    </row>
    <row r="105" spans="3:5">
      <c r="C105" s="4"/>
      <c r="D105" s="14"/>
      <c r="E105" s="14"/>
    </row>
    <row r="106" spans="3:5">
      <c r="C106" s="4"/>
      <c r="D106" s="14"/>
      <c r="E106" s="14"/>
    </row>
    <row r="107" spans="3:5">
      <c r="C107" s="4"/>
      <c r="D107" s="14"/>
      <c r="E107" s="14"/>
    </row>
    <row r="108" spans="3:5">
      <c r="C108" s="4"/>
      <c r="D108" s="14"/>
      <c r="E108" s="14"/>
    </row>
    <row r="109" spans="3:5">
      <c r="C109" s="4"/>
      <c r="D109" s="14"/>
      <c r="E109" s="14"/>
    </row>
    <row r="110" spans="3:5">
      <c r="C110" s="4"/>
      <c r="D110" s="14"/>
      <c r="E110" s="14"/>
    </row>
    <row r="111" spans="3:5">
      <c r="C111" s="4"/>
      <c r="D111" s="14"/>
      <c r="E111" s="14"/>
    </row>
    <row r="112" spans="3:5">
      <c r="C112" s="4"/>
      <c r="D112" s="14"/>
      <c r="E112" s="14"/>
    </row>
    <row r="113" spans="3:5">
      <c r="C113" s="4"/>
      <c r="D113" s="14"/>
      <c r="E113" s="14"/>
    </row>
    <row r="114" spans="3:5">
      <c r="C114" s="4"/>
      <c r="D114" s="14"/>
      <c r="E114" s="14"/>
    </row>
    <row r="115" spans="3:5">
      <c r="C115" s="4"/>
      <c r="D115" s="14"/>
      <c r="E115" s="14"/>
    </row>
    <row r="116" spans="3:5">
      <c r="C116" s="4"/>
      <c r="D116" s="14"/>
      <c r="E116" s="14"/>
    </row>
    <row r="117" spans="3:5">
      <c r="C117" s="4"/>
      <c r="D117" s="14"/>
      <c r="E117" s="14"/>
    </row>
    <row r="118" spans="3:5">
      <c r="C118" s="4"/>
      <c r="D118" s="14"/>
      <c r="E118" s="14"/>
    </row>
    <row r="119" spans="3:5">
      <c r="C119" s="4"/>
      <c r="D119" s="14"/>
      <c r="E119" s="14"/>
    </row>
    <row r="120" spans="3:5">
      <c r="C120" s="4"/>
      <c r="D120" s="14"/>
      <c r="E120" s="14"/>
    </row>
    <row r="121" spans="3:5">
      <c r="C121" s="4"/>
      <c r="D121" s="14"/>
      <c r="E121" s="14"/>
    </row>
    <row r="122" spans="3:5">
      <c r="C122" s="4"/>
      <c r="D122" s="14"/>
      <c r="E122" s="14"/>
    </row>
    <row r="123" spans="3:5">
      <c r="C123" s="4"/>
      <c r="D123" s="14"/>
      <c r="E123" s="14"/>
    </row>
    <row r="124" spans="3:5">
      <c r="C124" s="4"/>
      <c r="D124" s="14"/>
      <c r="E124" s="14"/>
    </row>
    <row r="125" spans="3:5">
      <c r="C125" s="4"/>
      <c r="D125" s="14"/>
      <c r="E125" s="14"/>
    </row>
    <row r="126" spans="3:5">
      <c r="C126" s="4"/>
      <c r="D126" s="14"/>
      <c r="E126" s="14"/>
    </row>
    <row r="127" spans="3:5">
      <c r="C127" s="4"/>
      <c r="D127" s="14"/>
      <c r="E127" s="14"/>
    </row>
    <row r="128" spans="3:5">
      <c r="C128" s="4"/>
      <c r="D128" s="14"/>
      <c r="E128" s="14"/>
    </row>
    <row r="129" spans="3:5">
      <c r="C129" s="4"/>
      <c r="D129" s="14"/>
      <c r="E129" s="14"/>
    </row>
    <row r="130" spans="3:5">
      <c r="C130" s="4"/>
      <c r="D130" s="14"/>
      <c r="E130" s="14"/>
    </row>
    <row r="131" spans="3:5">
      <c r="C131" s="4"/>
      <c r="D131" s="14"/>
      <c r="E131" s="14"/>
    </row>
    <row r="132" spans="3:5">
      <c r="C132" s="4"/>
      <c r="D132" s="14"/>
      <c r="E132" s="14"/>
    </row>
    <row r="133" spans="3:5">
      <c r="C133" s="4"/>
      <c r="D133" s="14"/>
      <c r="E133" s="14"/>
    </row>
    <row r="134" spans="3:5">
      <c r="C134" s="4"/>
      <c r="D134" s="14"/>
      <c r="E134" s="14"/>
    </row>
    <row r="135" spans="3:5">
      <c r="C135" s="4"/>
      <c r="D135" s="14"/>
      <c r="E135" s="14"/>
    </row>
    <row r="136" spans="3:5">
      <c r="C136" s="4"/>
      <c r="D136" s="14"/>
      <c r="E136" s="14"/>
    </row>
    <row r="137" spans="3:5">
      <c r="C137" s="4"/>
      <c r="D137" s="14"/>
      <c r="E137" s="14"/>
    </row>
    <row r="138" spans="3:5">
      <c r="C138" s="4"/>
      <c r="D138" s="14"/>
      <c r="E138" s="14"/>
    </row>
    <row r="139" spans="3:5">
      <c r="C139" s="4"/>
      <c r="D139" s="14"/>
      <c r="E139" s="14"/>
    </row>
    <row r="140" spans="3:5">
      <c r="C140" s="4"/>
      <c r="D140" s="14"/>
      <c r="E140" s="14"/>
    </row>
    <row r="141" spans="3:5">
      <c r="C141" s="4"/>
      <c r="D141" s="14"/>
      <c r="E141" s="14"/>
    </row>
    <row r="142" spans="3:5">
      <c r="C142" s="4"/>
      <c r="D142" s="14"/>
      <c r="E142" s="14"/>
    </row>
    <row r="143" spans="3:5">
      <c r="C143" s="4"/>
      <c r="D143" s="14"/>
      <c r="E143" s="14"/>
    </row>
    <row r="144" spans="3:5">
      <c r="C144" s="4"/>
      <c r="D144" s="14"/>
      <c r="E144" s="14"/>
    </row>
    <row r="145" spans="3:5">
      <c r="C145" s="4"/>
      <c r="D145" s="14"/>
      <c r="E145" s="14"/>
    </row>
    <row r="146" spans="3:5">
      <c r="C146" s="4"/>
      <c r="D146" s="14"/>
      <c r="E146" s="14"/>
    </row>
    <row r="147" spans="3:5">
      <c r="C147" s="4"/>
      <c r="D147" s="14"/>
      <c r="E147" s="14"/>
    </row>
    <row r="148" spans="3:5">
      <c r="C148" s="4"/>
      <c r="D148" s="14"/>
      <c r="E148" s="14"/>
    </row>
    <row r="149" spans="3:5">
      <c r="C149" s="4"/>
      <c r="D149" s="14"/>
      <c r="E149" s="14"/>
    </row>
    <row r="150" spans="3:5">
      <c r="C150" s="4"/>
      <c r="D150" s="14"/>
      <c r="E150" s="14"/>
    </row>
    <row r="151" spans="3:5">
      <c r="C151" s="4"/>
      <c r="D151" s="14"/>
      <c r="E151" s="14"/>
    </row>
    <row r="152" spans="3:5">
      <c r="C152" s="4"/>
      <c r="D152" s="14"/>
      <c r="E152" s="14"/>
    </row>
    <row r="153" spans="3:5">
      <c r="C153" s="4"/>
      <c r="D153" s="14"/>
      <c r="E153" s="14"/>
    </row>
    <row r="154" spans="3:5">
      <c r="C154" s="4"/>
      <c r="D154" s="14"/>
      <c r="E154" s="14"/>
    </row>
    <row r="155" spans="3:5">
      <c r="C155" s="4"/>
      <c r="D155" s="14"/>
      <c r="E155" s="14"/>
    </row>
    <row r="156" spans="3:5">
      <c r="C156" s="4"/>
      <c r="D156" s="14"/>
      <c r="E156" s="14"/>
    </row>
    <row r="157" spans="3:5">
      <c r="C157" s="4"/>
      <c r="D157" s="14"/>
      <c r="E157" s="14"/>
    </row>
    <row r="158" spans="3:5">
      <c r="C158" s="4"/>
      <c r="D158" s="14"/>
      <c r="E158" s="14"/>
    </row>
    <row r="159" spans="3:5">
      <c r="C159" s="4"/>
      <c r="D159" s="14"/>
      <c r="E159" s="14"/>
    </row>
    <row r="160" spans="3:5">
      <c r="C160" s="4"/>
      <c r="D160" s="14"/>
      <c r="E160" s="14"/>
    </row>
    <row r="161" spans="3:5">
      <c r="C161" s="4"/>
      <c r="D161" s="14"/>
      <c r="E161" s="14"/>
    </row>
    <row r="162" spans="3:5">
      <c r="C162" s="4"/>
      <c r="D162" s="14"/>
      <c r="E162" s="14"/>
    </row>
    <row r="163" spans="3:5">
      <c r="C163" s="4"/>
      <c r="D163" s="14"/>
      <c r="E163" s="14"/>
    </row>
    <row r="164" spans="3:5">
      <c r="C164" s="4"/>
      <c r="D164" s="14"/>
      <c r="E164" s="14"/>
    </row>
    <row r="165" spans="3:5">
      <c r="C165" s="4"/>
      <c r="D165" s="14"/>
      <c r="E165" s="14"/>
    </row>
    <row r="166" spans="3:5">
      <c r="C166" s="4"/>
      <c r="D166" s="14"/>
      <c r="E166" s="14"/>
    </row>
    <row r="167" spans="3:5">
      <c r="C167" s="4"/>
      <c r="D167" s="14"/>
      <c r="E167" s="14"/>
    </row>
    <row r="168" spans="3:5">
      <c r="C168" s="4"/>
      <c r="D168" s="14"/>
      <c r="E168" s="14"/>
    </row>
    <row r="169" spans="3:5">
      <c r="C169" s="4"/>
      <c r="D169" s="14"/>
      <c r="E169" s="14"/>
    </row>
    <row r="170" spans="3:5">
      <c r="C170" s="4"/>
      <c r="D170" s="14"/>
      <c r="E170" s="14"/>
    </row>
    <row r="171" spans="3:5">
      <c r="C171" s="4"/>
      <c r="D171" s="14"/>
      <c r="E171" s="14"/>
    </row>
    <row r="172" spans="3:5">
      <c r="C172" s="4"/>
      <c r="D172" s="14"/>
      <c r="E172" s="14"/>
    </row>
    <row r="173" spans="3:5">
      <c r="C173" s="4"/>
      <c r="D173" s="14"/>
      <c r="E173" s="14"/>
    </row>
    <row r="174" spans="3:5">
      <c r="C174" s="4"/>
      <c r="D174" s="14"/>
      <c r="E174" s="14"/>
    </row>
    <row r="175" spans="3:5">
      <c r="C175" s="4"/>
      <c r="D175" s="14"/>
      <c r="E175" s="14"/>
    </row>
    <row r="176" spans="3:5">
      <c r="C176" s="4"/>
      <c r="D176" s="14"/>
      <c r="E176" s="14"/>
    </row>
    <row r="177" spans="3:5">
      <c r="C177" s="4"/>
      <c r="D177" s="14"/>
      <c r="E177" s="14"/>
    </row>
    <row r="178" spans="3:5">
      <c r="C178" s="4"/>
      <c r="D178" s="14"/>
      <c r="E178" s="14"/>
    </row>
    <row r="179" spans="3:5">
      <c r="C179" s="4"/>
      <c r="D179" s="14"/>
      <c r="E179" s="14"/>
    </row>
    <row r="180" spans="3:5">
      <c r="C180" s="4"/>
      <c r="D180" s="14"/>
      <c r="E180" s="14"/>
    </row>
    <row r="181" spans="3:5">
      <c r="C181" s="4"/>
      <c r="D181" s="14"/>
      <c r="E181" s="14"/>
    </row>
    <row r="182" spans="3:5">
      <c r="C182" s="4"/>
      <c r="D182" s="14"/>
      <c r="E182" s="14"/>
    </row>
    <row r="183" spans="3:5">
      <c r="C183" s="4"/>
      <c r="D183" s="14"/>
      <c r="E183" s="14"/>
    </row>
    <row r="184" spans="3:5">
      <c r="C184" s="4"/>
      <c r="D184" s="14"/>
      <c r="E184" s="14"/>
    </row>
    <row r="185" spans="3:5">
      <c r="C185" s="4"/>
      <c r="D185" s="14"/>
      <c r="E185" s="14"/>
    </row>
    <row r="186" spans="3:5">
      <c r="C186" s="4"/>
      <c r="D186" s="14"/>
      <c r="E186" s="14"/>
    </row>
    <row r="187" spans="3:5">
      <c r="C187" s="4"/>
      <c r="D187" s="14"/>
      <c r="E187" s="14"/>
    </row>
    <row r="188" spans="3:5">
      <c r="C188" s="4"/>
      <c r="D188" s="14"/>
      <c r="E188" s="14"/>
    </row>
    <row r="189" spans="3:5">
      <c r="C189" s="4"/>
      <c r="D189" s="14"/>
      <c r="E189" s="14"/>
    </row>
    <row r="190" spans="3:5">
      <c r="C190" s="4"/>
      <c r="D190" s="14"/>
      <c r="E190" s="14"/>
    </row>
    <row r="191" spans="3:5">
      <c r="C191" s="4"/>
      <c r="D191" s="14"/>
      <c r="E191" s="14"/>
    </row>
    <row r="192" spans="3:5">
      <c r="C192" s="4"/>
      <c r="D192" s="14"/>
      <c r="E192" s="14"/>
    </row>
    <row r="193" spans="3:5">
      <c r="C193" s="4"/>
      <c r="D193" s="14"/>
      <c r="E193" s="14"/>
    </row>
    <row r="194" spans="3:5">
      <c r="C194" s="4"/>
      <c r="D194" s="14"/>
      <c r="E194" s="14"/>
    </row>
    <row r="195" spans="3:5">
      <c r="C195" s="4"/>
      <c r="D195" s="14"/>
      <c r="E195" s="14"/>
    </row>
    <row r="196" spans="3:5">
      <c r="C196" s="4"/>
      <c r="D196" s="14"/>
      <c r="E196" s="14"/>
    </row>
    <row r="197" spans="3:5">
      <c r="C197" s="4"/>
      <c r="D197" s="14"/>
      <c r="E197" s="14"/>
    </row>
    <row r="198" spans="3:5">
      <c r="C198" s="4"/>
      <c r="D198" s="14"/>
      <c r="E198" s="14"/>
    </row>
    <row r="199" spans="3:5">
      <c r="C199" s="4"/>
      <c r="D199" s="14"/>
      <c r="E199" s="14"/>
    </row>
    <row r="200" spans="3:5">
      <c r="C200" s="4"/>
      <c r="D200" s="14"/>
      <c r="E200" s="14"/>
    </row>
    <row r="201" spans="3:5">
      <c r="C201" s="4"/>
      <c r="D201" s="14"/>
      <c r="E201" s="14"/>
    </row>
    <row r="202" spans="3:5">
      <c r="C202" s="4"/>
      <c r="D202" s="14"/>
      <c r="E202" s="14"/>
    </row>
    <row r="203" spans="3:5">
      <c r="C203" s="4"/>
      <c r="D203" s="14"/>
      <c r="E203" s="14"/>
    </row>
    <row r="204" spans="3:5">
      <c r="C204" s="4"/>
      <c r="D204" s="14"/>
      <c r="E204" s="14"/>
    </row>
    <row r="205" spans="3:5">
      <c r="C205" s="4"/>
      <c r="D205" s="14"/>
      <c r="E205" s="14"/>
    </row>
    <row r="206" spans="3:5">
      <c r="C206" s="4"/>
      <c r="D206" s="14"/>
      <c r="E206" s="14"/>
    </row>
    <row r="207" spans="3:5">
      <c r="C207" s="4"/>
      <c r="D207" s="14"/>
      <c r="E207" s="14"/>
    </row>
    <row r="208" spans="3:5">
      <c r="C208" s="4"/>
      <c r="D208" s="14"/>
      <c r="E208" s="14"/>
    </row>
    <row r="209" spans="3:5">
      <c r="C209" s="4"/>
      <c r="D209" s="14"/>
      <c r="E209" s="14"/>
    </row>
    <row r="210" spans="3:5">
      <c r="C210" s="4"/>
      <c r="D210" s="14"/>
      <c r="E210" s="14"/>
    </row>
    <row r="211" spans="3:5">
      <c r="C211" s="4"/>
      <c r="D211" s="14"/>
      <c r="E211" s="14"/>
    </row>
    <row r="212" spans="3:5">
      <c r="C212" s="4"/>
      <c r="D212" s="14"/>
      <c r="E212" s="14"/>
    </row>
    <row r="213" spans="3:5">
      <c r="C213" s="4"/>
      <c r="D213" s="14"/>
      <c r="E213" s="14"/>
    </row>
    <row r="214" spans="3:5">
      <c r="C214" s="4"/>
      <c r="D214" s="14"/>
      <c r="E214" s="14"/>
    </row>
    <row r="215" spans="3:5">
      <c r="C215" s="4"/>
      <c r="D215" s="14"/>
      <c r="E215" s="14"/>
    </row>
    <row r="216" spans="3:5">
      <c r="C216" s="4"/>
      <c r="D216" s="14"/>
      <c r="E216" s="14"/>
    </row>
    <row r="217" spans="3:5">
      <c r="C217" s="4"/>
      <c r="D217" s="14"/>
      <c r="E217" s="14"/>
    </row>
    <row r="218" spans="3:5">
      <c r="C218" s="4"/>
      <c r="D218" s="14"/>
      <c r="E218" s="14"/>
    </row>
    <row r="219" spans="3:5">
      <c r="C219" s="4"/>
      <c r="D219" s="14"/>
      <c r="E219" s="14"/>
    </row>
    <row r="220" spans="3:5">
      <c r="C220" s="4"/>
      <c r="D220" s="14"/>
      <c r="E220" s="14"/>
    </row>
    <row r="221" spans="3:5">
      <c r="C221" s="4"/>
      <c r="D221" s="14"/>
      <c r="E221" s="14"/>
    </row>
    <row r="222" spans="3:5">
      <c r="C222" s="4"/>
      <c r="D222" s="14"/>
      <c r="E222" s="14"/>
    </row>
    <row r="223" spans="3:5">
      <c r="C223" s="4"/>
      <c r="D223" s="14"/>
      <c r="E223" s="14"/>
    </row>
    <row r="224" spans="3:5">
      <c r="C224" s="4"/>
      <c r="D224" s="14"/>
      <c r="E224" s="14"/>
    </row>
    <row r="225" spans="3:5">
      <c r="C225" s="4"/>
      <c r="D225" s="14"/>
      <c r="E225" s="14"/>
    </row>
    <row r="226" spans="3:5">
      <c r="C226" s="4"/>
      <c r="D226" s="14"/>
      <c r="E226" s="14"/>
    </row>
    <row r="227" spans="3:5">
      <c r="C227" s="4"/>
      <c r="D227" s="14"/>
      <c r="E227" s="14"/>
    </row>
    <row r="228" spans="3:5">
      <c r="C228" s="4"/>
      <c r="D228" s="14"/>
      <c r="E228" s="14"/>
    </row>
    <row r="229" spans="3:5">
      <c r="C229" s="4"/>
      <c r="D229" s="14"/>
      <c r="E229" s="14"/>
    </row>
    <row r="230" spans="3:5">
      <c r="C230" s="4"/>
      <c r="D230" s="14"/>
      <c r="E230" s="14"/>
    </row>
    <row r="231" spans="3:5">
      <c r="C231" s="4"/>
      <c r="D231" s="14"/>
      <c r="E231" s="14"/>
    </row>
    <row r="232" spans="3:5">
      <c r="C232" s="4"/>
      <c r="D232" s="14"/>
      <c r="E232" s="14"/>
    </row>
    <row r="233" spans="3:5">
      <c r="C233" s="4"/>
      <c r="D233" s="14"/>
      <c r="E233" s="14"/>
    </row>
    <row r="234" spans="3:5">
      <c r="C234" s="4"/>
      <c r="D234" s="14"/>
      <c r="E234" s="14"/>
    </row>
    <row r="235" spans="3:5">
      <c r="C235" s="4"/>
      <c r="D235" s="14"/>
      <c r="E235" s="14"/>
    </row>
    <row r="236" spans="3:5">
      <c r="C236" s="4"/>
      <c r="D236" s="14"/>
      <c r="E236" s="14"/>
    </row>
    <row r="237" spans="3:5">
      <c r="C237" s="4"/>
      <c r="D237" s="14"/>
      <c r="E237" s="14"/>
    </row>
    <row r="238" spans="3:5">
      <c r="C238" s="4"/>
      <c r="D238" s="14"/>
      <c r="E238" s="14"/>
    </row>
    <row r="239" spans="3:5">
      <c r="C239" s="4"/>
      <c r="D239" s="14"/>
      <c r="E239" s="14"/>
    </row>
    <row r="240" spans="3:5">
      <c r="C240" s="4"/>
      <c r="D240" s="14"/>
      <c r="E240" s="14"/>
    </row>
    <row r="241" spans="3:5">
      <c r="C241" s="4"/>
      <c r="D241" s="14"/>
      <c r="E241" s="14"/>
    </row>
    <row r="242" spans="3:5">
      <c r="C242" s="4"/>
      <c r="D242" s="14"/>
      <c r="E242" s="14"/>
    </row>
    <row r="243" spans="3:5">
      <c r="C243" s="4"/>
      <c r="D243" s="14"/>
      <c r="E243" s="14"/>
    </row>
    <row r="244" spans="3:5">
      <c r="C244" s="4"/>
      <c r="D244" s="14"/>
      <c r="E244" s="14"/>
    </row>
    <row r="245" spans="3:5">
      <c r="C245" s="4"/>
      <c r="D245" s="14"/>
      <c r="E245" s="14"/>
    </row>
    <row r="246" spans="3:5">
      <c r="C246" s="4"/>
      <c r="D246" s="14"/>
      <c r="E246" s="14"/>
    </row>
    <row r="247" spans="3:5">
      <c r="C247" s="4"/>
      <c r="D247" s="14"/>
      <c r="E247" s="14"/>
    </row>
    <row r="248" spans="3:5">
      <c r="C248" s="4"/>
      <c r="D248" s="14"/>
      <c r="E248" s="14"/>
    </row>
    <row r="249" spans="3:5">
      <c r="C249" s="4"/>
      <c r="D249" s="14"/>
      <c r="E249" s="14"/>
    </row>
    <row r="250" spans="3:5">
      <c r="C250" s="4"/>
      <c r="D250" s="14"/>
      <c r="E250" s="14"/>
    </row>
    <row r="251" spans="3:5">
      <c r="C251" s="4"/>
      <c r="D251" s="14"/>
      <c r="E251" s="14"/>
    </row>
    <row r="252" spans="3:5">
      <c r="C252" s="4"/>
      <c r="D252" s="14"/>
      <c r="E252" s="14"/>
    </row>
    <row r="253" spans="3:5">
      <c r="C253" s="4"/>
      <c r="D253" s="14"/>
      <c r="E253" s="14"/>
    </row>
    <row r="254" spans="3:5">
      <c r="C254" s="4"/>
      <c r="D254" s="14"/>
      <c r="E254" s="14"/>
    </row>
    <row r="255" spans="3:5">
      <c r="C255" s="4"/>
      <c r="D255" s="14"/>
      <c r="E255" s="14"/>
    </row>
    <row r="256" spans="3:5">
      <c r="C256" s="4"/>
      <c r="D256" s="14"/>
      <c r="E256" s="14"/>
    </row>
    <row r="257" spans="3:5">
      <c r="C257" s="4"/>
      <c r="D257" s="14"/>
      <c r="E257" s="14"/>
    </row>
    <row r="258" spans="3:5">
      <c r="C258" s="4"/>
      <c r="D258" s="14"/>
      <c r="E258" s="14"/>
    </row>
    <row r="259" spans="3:5">
      <c r="C259" s="4"/>
      <c r="D259" s="14"/>
      <c r="E259" s="14"/>
    </row>
    <row r="260" spans="3:5">
      <c r="C260" s="4"/>
      <c r="D260" s="14"/>
      <c r="E260" s="14"/>
    </row>
    <row r="261" spans="3:5">
      <c r="C261" s="4"/>
      <c r="D261" s="14"/>
      <c r="E261" s="14"/>
    </row>
    <row r="262" spans="3:5">
      <c r="C262" s="4"/>
      <c r="D262" s="14"/>
      <c r="E262" s="14"/>
    </row>
    <row r="263" spans="3:5">
      <c r="C263" s="4"/>
      <c r="D263" s="14"/>
      <c r="E263" s="14"/>
    </row>
    <row r="264" spans="3:5">
      <c r="C264" s="4"/>
      <c r="D264" s="14"/>
      <c r="E264" s="14"/>
    </row>
    <row r="265" spans="3:5">
      <c r="C265" s="4"/>
      <c r="D265" s="14"/>
      <c r="E265" s="14"/>
    </row>
    <row r="266" spans="3:5">
      <c r="C266" s="4"/>
      <c r="D266" s="14"/>
      <c r="E266" s="14"/>
    </row>
    <row r="267" spans="3:5">
      <c r="C267" s="4"/>
      <c r="D267" s="14"/>
      <c r="E267" s="14"/>
    </row>
    <row r="268" spans="3:5">
      <c r="C268" s="4"/>
      <c r="D268" s="14"/>
      <c r="E268" s="14"/>
    </row>
    <row r="269" spans="3:5">
      <c r="C269" s="4"/>
      <c r="D269" s="14"/>
      <c r="E269" s="14"/>
    </row>
    <row r="270" spans="3:5">
      <c r="C270" s="4"/>
      <c r="D270" s="14"/>
      <c r="E270" s="14"/>
    </row>
    <row r="271" spans="3:5">
      <c r="C271" s="4"/>
      <c r="D271" s="14"/>
      <c r="E271" s="14"/>
    </row>
    <row r="272" spans="3:5">
      <c r="C272" s="4"/>
      <c r="D272" s="14"/>
      <c r="E272" s="14"/>
    </row>
    <row r="273" spans="3:5">
      <c r="C273" s="4"/>
      <c r="D273" s="14"/>
      <c r="E273" s="14"/>
    </row>
    <row r="274" spans="3:5">
      <c r="C274" s="4"/>
      <c r="D274" s="14"/>
      <c r="E274" s="14"/>
    </row>
    <row r="275" spans="3:5">
      <c r="C275" s="4"/>
      <c r="D275" s="14"/>
      <c r="E275" s="14"/>
    </row>
    <row r="276" spans="3:5">
      <c r="C276" s="4"/>
      <c r="D276" s="14"/>
      <c r="E276" s="14"/>
    </row>
    <row r="277" spans="3:5">
      <c r="C277" s="4"/>
      <c r="D277" s="14"/>
      <c r="E277" s="14"/>
    </row>
    <row r="278" spans="3:5">
      <c r="C278" s="4"/>
      <c r="D278" s="14"/>
      <c r="E278" s="14"/>
    </row>
    <row r="279" spans="3:5">
      <c r="C279" s="4"/>
      <c r="D279" s="14"/>
      <c r="E279" s="14"/>
    </row>
    <row r="280" spans="3:5">
      <c r="C280" s="4"/>
      <c r="D280" s="14"/>
      <c r="E280" s="14"/>
    </row>
    <row r="281" spans="3:5">
      <c r="C281" s="4"/>
      <c r="D281" s="14"/>
      <c r="E281" s="14"/>
    </row>
    <row r="282" spans="3:5">
      <c r="C282" s="4"/>
      <c r="D282" s="14"/>
      <c r="E282" s="14"/>
    </row>
    <row r="283" spans="3:5">
      <c r="C283" s="4"/>
      <c r="D283" s="14"/>
      <c r="E283" s="14"/>
    </row>
    <row r="284" spans="3:5">
      <c r="C284" s="4"/>
      <c r="D284" s="14"/>
      <c r="E284" s="14"/>
    </row>
    <row r="285" spans="3:5">
      <c r="C285" s="4"/>
      <c r="D285" s="14"/>
      <c r="E285" s="14"/>
    </row>
    <row r="286" spans="3:5">
      <c r="C286" s="4"/>
      <c r="D286" s="14"/>
      <c r="E286" s="14"/>
    </row>
    <row r="287" spans="3:5">
      <c r="C287" s="4"/>
      <c r="D287" s="14"/>
      <c r="E287" s="14"/>
    </row>
    <row r="288" spans="3:5">
      <c r="C288" s="4"/>
      <c r="D288" s="14"/>
      <c r="E288" s="14"/>
    </row>
    <row r="289" spans="3:5">
      <c r="C289" s="4"/>
      <c r="D289" s="14"/>
      <c r="E289" s="14"/>
    </row>
    <row r="290" spans="3:5">
      <c r="C290" s="4"/>
      <c r="D290" s="14"/>
      <c r="E290" s="14"/>
    </row>
    <row r="291" spans="3:5">
      <c r="C291" s="4"/>
      <c r="D291" s="14"/>
      <c r="E291" s="14"/>
    </row>
    <row r="292" spans="3:5">
      <c r="C292" s="4"/>
      <c r="D292" s="14"/>
      <c r="E292" s="14"/>
    </row>
    <row r="293" spans="3:5">
      <c r="C293" s="4"/>
      <c r="D293" s="14"/>
      <c r="E293" s="14"/>
    </row>
    <row r="294" spans="3:5">
      <c r="C294" s="4"/>
      <c r="D294" s="14"/>
      <c r="E294" s="14"/>
    </row>
    <row r="295" spans="3:5">
      <c r="C295" s="4"/>
      <c r="D295" s="14"/>
      <c r="E295" s="14"/>
    </row>
    <row r="296" spans="3:5">
      <c r="C296" s="4"/>
      <c r="D296" s="14"/>
      <c r="E296" s="14"/>
    </row>
    <row r="297" spans="3:5">
      <c r="C297" s="4"/>
      <c r="D297" s="14"/>
      <c r="E297" s="14"/>
    </row>
    <row r="298" spans="3:5">
      <c r="C298" s="4"/>
      <c r="D298" s="14"/>
      <c r="E298" s="14"/>
    </row>
    <row r="299" spans="3:5">
      <c r="C299" s="4"/>
      <c r="D299" s="14"/>
      <c r="E299" s="14"/>
    </row>
    <row r="300" spans="3:5">
      <c r="C300" s="4"/>
      <c r="D300" s="14"/>
      <c r="E300" s="14"/>
    </row>
    <row r="301" spans="3:5">
      <c r="C301" s="4"/>
      <c r="D301" s="14"/>
      <c r="E301" s="14"/>
    </row>
    <row r="302" spans="3:5">
      <c r="C302" s="4"/>
      <c r="D302" s="14"/>
      <c r="E302" s="14"/>
    </row>
    <row r="303" spans="3:5">
      <c r="C303" s="4"/>
      <c r="D303" s="14"/>
      <c r="E303" s="14"/>
    </row>
    <row r="304" spans="3:5">
      <c r="C304" s="4"/>
      <c r="D304" s="14"/>
      <c r="E304" s="14"/>
    </row>
    <row r="305" spans="3:5">
      <c r="C305" s="4"/>
      <c r="D305" s="14"/>
      <c r="E305" s="14"/>
    </row>
    <row r="306" spans="3:5">
      <c r="C306" s="4"/>
      <c r="D306" s="14"/>
      <c r="E306" s="14"/>
    </row>
    <row r="307" spans="3:5">
      <c r="C307" s="4"/>
      <c r="D307" s="14"/>
      <c r="E307" s="14"/>
    </row>
    <row r="308" spans="3:5">
      <c r="C308" s="4"/>
      <c r="D308" s="14"/>
      <c r="E308" s="14"/>
    </row>
    <row r="309" spans="3:5">
      <c r="C309" s="4"/>
      <c r="D309" s="14"/>
      <c r="E309" s="14"/>
    </row>
    <row r="310" spans="3:5">
      <c r="C310" s="4"/>
      <c r="D310" s="14"/>
      <c r="E310" s="14"/>
    </row>
    <row r="311" spans="3:5">
      <c r="C311" s="4"/>
      <c r="D311" s="14"/>
      <c r="E311" s="14"/>
    </row>
    <row r="312" spans="3:5">
      <c r="C312" s="4"/>
      <c r="D312" s="14"/>
      <c r="E312" s="14"/>
    </row>
    <row r="313" spans="3:5">
      <c r="C313" s="4"/>
      <c r="D313" s="14"/>
      <c r="E313" s="14"/>
    </row>
    <row r="314" spans="3:5">
      <c r="C314" s="4"/>
      <c r="D314" s="14"/>
      <c r="E314" s="14"/>
    </row>
    <row r="315" spans="3:5">
      <c r="C315" s="4"/>
      <c r="D315" s="14"/>
      <c r="E315" s="14"/>
    </row>
    <row r="316" spans="3:5">
      <c r="C316" s="4"/>
      <c r="D316" s="14"/>
      <c r="E316" s="14"/>
    </row>
    <row r="317" spans="3:5">
      <c r="C317" s="4"/>
      <c r="D317" s="14"/>
      <c r="E317" s="14"/>
    </row>
    <row r="318" spans="3:5">
      <c r="C318" s="4"/>
      <c r="D318" s="14"/>
      <c r="E318" s="14"/>
    </row>
    <row r="319" spans="3:5">
      <c r="C319" s="4"/>
      <c r="D319" s="14"/>
      <c r="E319" s="14"/>
    </row>
    <row r="320" spans="3:5">
      <c r="C320" s="4"/>
      <c r="D320" s="14"/>
      <c r="E320" s="14"/>
    </row>
    <row r="321" spans="3:5">
      <c r="C321" s="4"/>
      <c r="D321" s="14"/>
      <c r="E321" s="14"/>
    </row>
    <row r="322" spans="3:5">
      <c r="C322" s="4"/>
      <c r="D322" s="14"/>
      <c r="E322" s="14"/>
    </row>
    <row r="323" spans="3:5">
      <c r="C323" s="4"/>
      <c r="D323" s="14"/>
      <c r="E323" s="14"/>
    </row>
    <row r="324" spans="3:5">
      <c r="C324" s="4"/>
      <c r="D324" s="14"/>
      <c r="E324" s="14"/>
    </row>
    <row r="325" spans="3:5">
      <c r="C325" s="4"/>
      <c r="D325" s="14"/>
      <c r="E325" s="14"/>
    </row>
    <row r="326" spans="3:5">
      <c r="C326" s="4"/>
      <c r="D326" s="14"/>
      <c r="E326" s="14"/>
    </row>
    <row r="327" spans="3:5">
      <c r="C327" s="4"/>
      <c r="D327" s="14"/>
      <c r="E327" s="14"/>
    </row>
    <row r="328" spans="3:5">
      <c r="C328" s="4"/>
      <c r="D328" s="14"/>
      <c r="E328" s="14"/>
    </row>
    <row r="329" spans="3:5">
      <c r="C329" s="4"/>
      <c r="D329" s="14"/>
      <c r="E329" s="14"/>
    </row>
    <row r="330" spans="3:5">
      <c r="C330" s="4"/>
      <c r="D330" s="14"/>
      <c r="E330" s="14"/>
    </row>
    <row r="331" spans="3:5">
      <c r="C331" s="4"/>
      <c r="D331" s="14"/>
      <c r="E331" s="14"/>
    </row>
    <row r="332" spans="3:5">
      <c r="C332" s="4"/>
      <c r="D332" s="14"/>
      <c r="E332" s="14"/>
    </row>
    <row r="333" spans="3:5">
      <c r="C333" s="4"/>
      <c r="D333" s="14"/>
      <c r="E333" s="14"/>
    </row>
    <row r="334" spans="3:5">
      <c r="C334" s="4"/>
      <c r="D334" s="14"/>
      <c r="E334" s="14"/>
    </row>
    <row r="335" spans="3:5">
      <c r="C335" s="4"/>
      <c r="D335" s="14"/>
      <c r="E335" s="14"/>
    </row>
    <row r="336" spans="3:5">
      <c r="C336" s="4"/>
      <c r="D336" s="14"/>
      <c r="E336" s="14"/>
    </row>
    <row r="337" spans="3:5">
      <c r="C337" s="4"/>
      <c r="D337" s="14"/>
      <c r="E337" s="14"/>
    </row>
    <row r="338" spans="3:5">
      <c r="C338" s="4"/>
      <c r="D338" s="14"/>
      <c r="E338" s="14"/>
    </row>
    <row r="339" spans="3:5">
      <c r="C339" s="4"/>
      <c r="D339" s="14"/>
      <c r="E339" s="14"/>
    </row>
    <row r="340" spans="3:5">
      <c r="C340" s="4"/>
      <c r="D340" s="14"/>
      <c r="E340" s="14"/>
    </row>
    <row r="341" spans="3:5">
      <c r="C341" s="4"/>
      <c r="D341" s="14"/>
      <c r="E341" s="14"/>
    </row>
    <row r="342" spans="3:5">
      <c r="C342" s="4"/>
      <c r="D342" s="14"/>
      <c r="E342" s="14"/>
    </row>
    <row r="343" spans="3:5">
      <c r="C343" s="4"/>
      <c r="D343" s="14"/>
      <c r="E343" s="14"/>
    </row>
    <row r="344" spans="3:5">
      <c r="C344" s="4"/>
      <c r="D344" s="14"/>
      <c r="E344" s="14"/>
    </row>
    <row r="345" spans="3:5">
      <c r="C345" s="4"/>
      <c r="D345" s="14"/>
      <c r="E345" s="14"/>
    </row>
    <row r="346" spans="3:5">
      <c r="C346" s="4"/>
      <c r="D346" s="14"/>
      <c r="E346" s="14"/>
    </row>
    <row r="347" spans="3:5">
      <c r="C347" s="4"/>
      <c r="D347" s="14"/>
      <c r="E347" s="14"/>
    </row>
    <row r="348" spans="3:5">
      <c r="C348" s="4"/>
      <c r="D348" s="14"/>
      <c r="E348" s="14"/>
    </row>
    <row r="349" spans="3:5">
      <c r="C349" s="4"/>
      <c r="D349" s="14"/>
      <c r="E349" s="14"/>
    </row>
    <row r="350" spans="3:5">
      <c r="C350" s="4"/>
      <c r="D350" s="14"/>
      <c r="E350" s="14"/>
    </row>
    <row r="351" spans="3:5">
      <c r="C351" s="4"/>
      <c r="D351" s="14"/>
      <c r="E351" s="14"/>
    </row>
    <row r="352" spans="3:5">
      <c r="C352" s="4"/>
      <c r="D352" s="14"/>
      <c r="E352" s="14"/>
    </row>
    <row r="353" spans="3:5">
      <c r="C353" s="4"/>
      <c r="D353" s="14"/>
      <c r="E353" s="14"/>
    </row>
    <row r="354" spans="3:5">
      <c r="C354" s="4"/>
      <c r="D354" s="14"/>
      <c r="E354" s="14"/>
    </row>
    <row r="355" spans="3:5">
      <c r="C355" s="4"/>
      <c r="D355" s="14"/>
      <c r="E355" s="14"/>
    </row>
    <row r="356" spans="3:5">
      <c r="C356" s="4"/>
      <c r="D356" s="14"/>
      <c r="E356" s="14"/>
    </row>
    <row r="357" spans="3:5">
      <c r="C357" s="4"/>
      <c r="D357" s="14"/>
      <c r="E357" s="14"/>
    </row>
    <row r="358" spans="3:5">
      <c r="C358" s="4"/>
      <c r="D358" s="14"/>
      <c r="E358" s="14"/>
    </row>
    <row r="359" spans="3:5">
      <c r="C359" s="4"/>
      <c r="D359" s="14"/>
      <c r="E359" s="14"/>
    </row>
    <row r="360" spans="3:5">
      <c r="C360" s="4"/>
      <c r="D360" s="14"/>
      <c r="E360" s="14"/>
    </row>
    <row r="361" spans="3:5">
      <c r="C361" s="4"/>
      <c r="D361" s="14"/>
      <c r="E361" s="14"/>
    </row>
    <row r="362" spans="3:5">
      <c r="C362" s="4"/>
      <c r="D362" s="14"/>
      <c r="E362" s="14"/>
    </row>
    <row r="363" spans="3:5">
      <c r="C363" s="4"/>
      <c r="D363" s="14"/>
      <c r="E363" s="14"/>
    </row>
    <row r="364" spans="3:5">
      <c r="C364" s="4"/>
    </row>
    <row r="365" spans="3:5">
      <c r="C365" s="4"/>
    </row>
    <row r="366" spans="3:5">
      <c r="C366" s="4"/>
    </row>
    <row r="367" spans="3:5">
      <c r="C367" s="4"/>
    </row>
    <row r="368" spans="3:5">
      <c r="C368" s="4"/>
    </row>
  </sheetData>
  <sheetProtection password="9C4D" sheet="1" objects="1" scenarios="1" formatColumns="0" formatRows="0" autoFilter="0"/>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7">
    <tabColor rgb="FFFF0000"/>
  </sheetPr>
  <dimension ref="A1:BR396"/>
  <sheetViews>
    <sheetView showGridLines="0" topLeftCell="D1" zoomScale="85" zoomScaleNormal="85" workbookViewId="0">
      <pane ySplit="2" topLeftCell="A301" activePane="bottomLeft" state="frozen"/>
      <selection activeCell="F24" sqref="F24:K26"/>
      <selection pane="bottomLeft" activeCell="F324" sqref="F324"/>
    </sheetView>
  </sheetViews>
  <sheetFormatPr defaultColWidth="14.08984375" defaultRowHeight="14.5"/>
  <cols>
    <col min="1" max="2" width="14.08984375" style="30"/>
    <col min="3" max="3" width="14.08984375" style="620"/>
    <col min="4" max="4" width="14.08984375" style="22"/>
    <col min="5" max="5" width="47.36328125" style="21" customWidth="1"/>
    <col min="6" max="6" width="21.36328125" style="21" customWidth="1"/>
    <col min="7" max="70" width="14.08984375" style="631"/>
    <col min="71" max="16384" width="14.08984375" style="21"/>
  </cols>
  <sheetData>
    <row r="1" spans="1:70">
      <c r="A1" s="2567" t="s">
        <v>1736</v>
      </c>
      <c r="B1" s="2567"/>
      <c r="C1" s="2567"/>
      <c r="D1" s="2567"/>
      <c r="E1" s="2567"/>
      <c r="F1" s="2567"/>
      <c r="G1" s="621"/>
      <c r="H1" s="621"/>
      <c r="I1" s="621"/>
      <c r="J1" s="621"/>
      <c r="K1" s="621"/>
      <c r="L1" s="621"/>
      <c r="M1" s="621"/>
      <c r="N1" s="621"/>
      <c r="O1" s="621"/>
      <c r="P1" s="621"/>
      <c r="Q1" s="621"/>
      <c r="R1" s="621"/>
      <c r="S1" s="621"/>
      <c r="T1" s="621"/>
      <c r="U1" s="621"/>
      <c r="V1" s="621"/>
      <c r="W1" s="621"/>
      <c r="X1" s="621"/>
      <c r="Y1" s="621"/>
      <c r="Z1" s="621"/>
      <c r="AA1" s="621"/>
      <c r="AB1" s="621"/>
      <c r="AC1" s="621"/>
      <c r="AD1" s="621"/>
      <c r="AE1" s="621"/>
      <c r="AF1" s="621"/>
      <c r="AG1" s="621"/>
      <c r="AH1" s="621"/>
      <c r="AI1" s="621"/>
      <c r="AJ1" s="621"/>
      <c r="AK1" s="621"/>
      <c r="AL1" s="621"/>
      <c r="AM1" s="621"/>
      <c r="AN1" s="621"/>
      <c r="AO1" s="621"/>
      <c r="AP1" s="621"/>
      <c r="AQ1" s="621"/>
      <c r="AR1" s="621"/>
      <c r="AS1" s="621"/>
      <c r="AT1" s="621"/>
      <c r="AU1" s="621"/>
      <c r="AV1" s="621"/>
      <c r="AW1" s="621"/>
      <c r="AX1" s="621"/>
      <c r="AY1" s="621"/>
      <c r="AZ1" s="621"/>
      <c r="BA1" s="621"/>
      <c r="BB1" s="621"/>
      <c r="BC1" s="621"/>
      <c r="BD1" s="621"/>
      <c r="BE1" s="621"/>
      <c r="BF1" s="621"/>
      <c r="BG1" s="621"/>
      <c r="BH1" s="621"/>
      <c r="BI1" s="621"/>
      <c r="BJ1" s="621"/>
      <c r="BK1" s="621"/>
      <c r="BL1" s="621"/>
      <c r="BM1" s="621"/>
      <c r="BN1" s="621"/>
      <c r="BO1" s="621"/>
      <c r="BP1" s="621"/>
      <c r="BQ1" s="621"/>
      <c r="BR1" s="621"/>
    </row>
    <row r="2" spans="1:70" s="719" customFormat="1" ht="43.5">
      <c r="A2" s="23" t="s">
        <v>1545</v>
      </c>
      <c r="B2" s="23" t="s">
        <v>203</v>
      </c>
      <c r="C2" s="618" t="s">
        <v>459</v>
      </c>
      <c r="D2" s="23" t="s">
        <v>460</v>
      </c>
      <c r="E2" s="23" t="s">
        <v>461</v>
      </c>
      <c r="F2" s="23" t="s">
        <v>214</v>
      </c>
      <c r="G2" s="622" t="s">
        <v>462</v>
      </c>
      <c r="H2" s="622" t="s">
        <v>49</v>
      </c>
      <c r="I2" s="622" t="s">
        <v>463</v>
      </c>
      <c r="J2" s="622" t="s">
        <v>464</v>
      </c>
      <c r="K2" s="622" t="s">
        <v>465</v>
      </c>
      <c r="L2" s="623" t="s">
        <v>466</v>
      </c>
      <c r="M2" s="623" t="s">
        <v>467</v>
      </c>
      <c r="N2" s="622" t="s">
        <v>468</v>
      </c>
      <c r="O2" s="622" t="s">
        <v>469</v>
      </c>
      <c r="P2" s="623" t="s">
        <v>470</v>
      </c>
      <c r="Q2" s="623" t="s">
        <v>471</v>
      </c>
      <c r="R2" s="622" t="s">
        <v>472</v>
      </c>
      <c r="S2" s="622" t="s">
        <v>473</v>
      </c>
      <c r="T2" s="623" t="s">
        <v>474</v>
      </c>
      <c r="U2" s="623" t="s">
        <v>475</v>
      </c>
      <c r="V2" s="622" t="s">
        <v>476</v>
      </c>
      <c r="W2" s="622" t="s">
        <v>477</v>
      </c>
      <c r="X2" s="623" t="s">
        <v>478</v>
      </c>
      <c r="Y2" s="623" t="s">
        <v>479</v>
      </c>
      <c r="Z2" s="718"/>
      <c r="AA2" s="622" t="s">
        <v>480</v>
      </c>
      <c r="AB2" s="622" t="s">
        <v>481</v>
      </c>
      <c r="AC2" s="622" t="s">
        <v>482</v>
      </c>
      <c r="AD2" s="623" t="s">
        <v>483</v>
      </c>
      <c r="AE2" s="623" t="s">
        <v>484</v>
      </c>
      <c r="AF2" s="622" t="s">
        <v>485</v>
      </c>
      <c r="AG2" s="622" t="s">
        <v>486</v>
      </c>
      <c r="AH2" s="623" t="s">
        <v>487</v>
      </c>
      <c r="AI2" s="623" t="s">
        <v>488</v>
      </c>
      <c r="AJ2" s="622" t="s">
        <v>489</v>
      </c>
      <c r="AK2" s="622" t="s">
        <v>490</v>
      </c>
      <c r="AL2" s="623" t="s">
        <v>491</v>
      </c>
      <c r="AM2" s="623" t="s">
        <v>492</v>
      </c>
      <c r="AN2" s="622" t="s">
        <v>493</v>
      </c>
      <c r="AO2" s="622" t="s">
        <v>494</v>
      </c>
      <c r="AP2" s="623" t="s">
        <v>495</v>
      </c>
      <c r="AQ2" s="623" t="s">
        <v>496</v>
      </c>
      <c r="AR2" s="718"/>
      <c r="AS2" s="622" t="s">
        <v>497</v>
      </c>
      <c r="AT2" s="622" t="s">
        <v>498</v>
      </c>
      <c r="AU2" s="622" t="s">
        <v>499</v>
      </c>
      <c r="AV2" s="623" t="s">
        <v>500</v>
      </c>
      <c r="AW2" s="623" t="s">
        <v>501</v>
      </c>
      <c r="AX2" s="622" t="s">
        <v>502</v>
      </c>
      <c r="AY2" s="622" t="s">
        <v>503</v>
      </c>
      <c r="AZ2" s="623" t="s">
        <v>504</v>
      </c>
      <c r="BA2" s="623" t="s">
        <v>505</v>
      </c>
      <c r="BB2" s="622" t="s">
        <v>506</v>
      </c>
      <c r="BC2" s="622" t="s">
        <v>507</v>
      </c>
      <c r="BD2" s="623" t="s">
        <v>508</v>
      </c>
      <c r="BE2" s="623" t="s">
        <v>509</v>
      </c>
      <c r="BF2" s="622" t="s">
        <v>510</v>
      </c>
      <c r="BG2" s="622" t="s">
        <v>511</v>
      </c>
      <c r="BH2" s="623" t="s">
        <v>512</v>
      </c>
      <c r="BI2" s="623" t="s">
        <v>513</v>
      </c>
      <c r="BJ2" s="718"/>
      <c r="BK2" s="623" t="s">
        <v>514</v>
      </c>
      <c r="BL2" s="623" t="s">
        <v>515</v>
      </c>
      <c r="BM2" s="623" t="s">
        <v>516</v>
      </c>
      <c r="BN2" s="623" t="s">
        <v>517</v>
      </c>
      <c r="BO2" s="623" t="s">
        <v>518</v>
      </c>
      <c r="BP2" s="623" t="s">
        <v>519</v>
      </c>
      <c r="BQ2" s="623" t="s">
        <v>520</v>
      </c>
      <c r="BR2" s="623" t="s">
        <v>521</v>
      </c>
    </row>
    <row r="3" spans="1:70" s="22" customFormat="1">
      <c r="A3" s="32" t="s">
        <v>1541</v>
      </c>
      <c r="B3" s="32" t="s">
        <v>1737</v>
      </c>
      <c r="C3" s="619">
        <f>SETUP!$F$36</f>
        <v>0</v>
      </c>
      <c r="D3" s="31">
        <v>4.2</v>
      </c>
      <c r="E3" s="32" t="s">
        <v>1312</v>
      </c>
      <c r="F3" s="32" t="s">
        <v>1311</v>
      </c>
      <c r="G3" s="625" t="str">
        <f t="array" ref="G3">IFERROR(INDEX('TB-Pharmaceuticals'!$K$14:$K$33,MATCH($E3&amp;$F3,'TB-Pharmaceuticals'!$D$14:$D$33&amp;'TB-Pharmaceuticals'!$G$14:$G$33,0)),"")</f>
        <v/>
      </c>
      <c r="H3" s="625" t="str">
        <f t="array" ref="H3">IFERROR(INDEX('TB-Pharmaceuticals'!$L$14:$L$33,MATCH($E3&amp;$F3,'TB-Pharmaceuticals'!$D$14:$D$33&amp;'TB-Pharmaceuticals'!$G$14:$G$33,0)),"")</f>
        <v/>
      </c>
      <c r="I3" s="625">
        <f t="array" ref="I3">IFERROR(INDEX('TB-Pharmaceuticals'!$M$14:$M$33,MATCH($E3&amp;$F3,'TB-Pharmaceuticals'!$D$14:$D$33&amp;'TB-Pharmaceuticals'!$G$14:$G$33,0)),0)</f>
        <v>0</v>
      </c>
      <c r="J3" s="625">
        <f t="array" ref="J3">IFERROR(INDEX('TB-Pharmaceuticals'!$N$14:$N$33,MATCH($E3&amp;$F3,'TB-Pharmaceuticals'!$D$14:$D$33&amp;'TB-Pharmaceuticals'!$G$14:$G$33,0)),0)</f>
        <v>0</v>
      </c>
      <c r="K3" s="626">
        <f>IF(ISERROR($I3*J3),0,$I3*J3)</f>
        <v>0</v>
      </c>
      <c r="L3" s="626">
        <f>IF(C3="Upfront",J3,0)</f>
        <v>0</v>
      </c>
      <c r="M3" s="626">
        <f>IF(C3="Upfront",K3,0)</f>
        <v>0</v>
      </c>
      <c r="N3" s="625">
        <f t="array" ref="N3">IFERROR(INDEX('TB-Pharmaceuticals'!$O$14:$O$33,MATCH($E3&amp;$F3,'TB-Pharmaceuticals'!$D$14:$D$33&amp;'TB-Pharmaceuticals'!$G$14:$G$33,0)),0)</f>
        <v>0</v>
      </c>
      <c r="O3" s="626">
        <f>IF(ISERROR($I3*N3),0,$I3*N3)</f>
        <v>0</v>
      </c>
      <c r="P3" s="626">
        <f>IF(C3="Upfront",N3,0)</f>
        <v>0</v>
      </c>
      <c r="Q3" s="626">
        <f>IF(C3="Upfront",O3,0)</f>
        <v>0</v>
      </c>
      <c r="R3" s="625">
        <f t="array" ref="R3">IFERROR(INDEX('TB-Pharmaceuticals'!$P$14:$P$33,MATCH($E3&amp;$F3,'TB-Pharmaceuticals'!$D$14:$D$33&amp;'TB-Pharmaceuticals'!$G$14:$G$33,0)),0)</f>
        <v>0</v>
      </c>
      <c r="S3" s="626">
        <f>IF(ISERROR($I3*R3),0,$I3*R3)</f>
        <v>0</v>
      </c>
      <c r="T3" s="626">
        <f>IF(C3="Upfront",R3,IF(C3="At delivery",J3,0))</f>
        <v>0</v>
      </c>
      <c r="U3" s="626">
        <f>IF(C3="Upfront",S3,IF(C3="At delivery",K3,0))</f>
        <v>0</v>
      </c>
      <c r="V3" s="625">
        <f t="array" ref="V3">IFERROR(INDEX('TB-Pharmaceuticals'!$Q$14:$Q$33,MATCH($E3&amp;$F3,'TB-Pharmaceuticals'!$D$14:$D$33&amp;'TB-Pharmaceuticals'!$G$14:$G$33,0)),0)</f>
        <v>0</v>
      </c>
      <c r="W3" s="626">
        <f>IF(ISERROR($I3*V3),0,$I3*V3)</f>
        <v>0</v>
      </c>
      <c r="X3" s="626">
        <f>IF(C3="Upfront",V3,IF(C3="At delivery",N3,0))</f>
        <v>0</v>
      </c>
      <c r="Y3" s="626">
        <f>IF(C3="Upfront",W3,IF(C3="At delivery",O3,0))</f>
        <v>0</v>
      </c>
      <c r="Z3" s="627"/>
      <c r="AA3" s="625">
        <f t="array" ref="AA3">IFERROR(INDEX('TB-Pharmaceuticals'!$T$14:$T$33,MATCH($E3&amp;$F3,'TB-Pharmaceuticals'!$D$14:$D$33&amp;'TB-Pharmaceuticals'!$G$14:$G$33,0)),0)</f>
        <v>0</v>
      </c>
      <c r="AB3" s="625">
        <f t="array" ref="AB3">IFERROR(INDEX('TB-Pharmaceuticals'!$U$14:$U$33,MATCH($E3&amp;$F3,'TB-Pharmaceuticals'!$D$14:$D$33&amp;'TB-Pharmaceuticals'!$G$14:$G$33,0)),0)</f>
        <v>0</v>
      </c>
      <c r="AC3" s="626">
        <f>IF(ISERROR($AA3*AB3),0,$AA3*AB3)</f>
        <v>0</v>
      </c>
      <c r="AD3" s="626">
        <f>IF(C3="Upfront",AB3,IF(C3="At delivery",R3,0))</f>
        <v>0</v>
      </c>
      <c r="AE3" s="626">
        <f>IF(C3="Upfront",AC3,IF(C3="At delivery",S3,0))</f>
        <v>0</v>
      </c>
      <c r="AF3" s="625">
        <f t="array" ref="AF3">IFERROR(INDEX('TB-Pharmaceuticals'!$V$14:$V$33,MATCH($E3&amp;$F3,'TB-Pharmaceuticals'!$D$14:$D$33&amp;'TB-Pharmaceuticals'!$G$14:$G$33,0)),0)</f>
        <v>0</v>
      </c>
      <c r="AG3" s="626">
        <f>IF(ISERROR($AA3*AF3),0,$AA3*AF3)</f>
        <v>0</v>
      </c>
      <c r="AH3" s="626">
        <f>IF(C3="Upfront",AF3,IF(C3="At delivery",V3,0))</f>
        <v>0</v>
      </c>
      <c r="AI3" s="626">
        <f>IF(C3="Upfront",AG3,IF(C3="At delivery",W3,0))</f>
        <v>0</v>
      </c>
      <c r="AJ3" s="625">
        <f t="array" ref="AJ3">IFERROR(INDEX('TB-Pharmaceuticals'!$W$14:$W$33,MATCH($E3&amp;$F3,'TB-Pharmaceuticals'!$D$14:$D$33&amp;'TB-Pharmaceuticals'!$G$14:$G$33,0)),0)</f>
        <v>0</v>
      </c>
      <c r="AK3" s="626">
        <f>IF(ISERROR($AA3*AJ3),0,$AA3*AJ3)</f>
        <v>0</v>
      </c>
      <c r="AL3" s="626">
        <f>IF(C3="Upfront",AJ3,IF(C3="At delivery",AB3,0))</f>
        <v>0</v>
      </c>
      <c r="AM3" s="626">
        <f>IF(C3="Upfront",AK3,IF(C3="At delivery",AC3,0))</f>
        <v>0</v>
      </c>
      <c r="AN3" s="625">
        <f t="array" ref="AN3">IFERROR(INDEX('TB-Pharmaceuticals'!$X$14:$X$33,MATCH($E3&amp;$F3,'TB-Pharmaceuticals'!$D$14:$D$33&amp;'TB-Pharmaceuticals'!$G$14:$G$33,0)),0)</f>
        <v>0</v>
      </c>
      <c r="AO3" s="626">
        <f>IF(ISERROR($AA3*AN3),0,$AA3*AN3)</f>
        <v>0</v>
      </c>
      <c r="AP3" s="626">
        <f>IF(C3="Upfront",AN3,IF(C3="At delivery",AF3,0))</f>
        <v>0</v>
      </c>
      <c r="AQ3" s="626">
        <f>IF(C3="Upfront",AO3,IF(C3="At delivery",AG3,0))</f>
        <v>0</v>
      </c>
      <c r="AR3" s="627"/>
      <c r="AS3" s="625">
        <f t="array" ref="AS3">IFERROR(INDEX('TB-Pharmaceuticals'!$AA$14:$AA$33,MATCH($E3&amp;$F3,'TB-Pharmaceuticals'!$D$14:$D$33&amp;'TB-Pharmaceuticals'!$G$14:$G$33,0)),0)</f>
        <v>0</v>
      </c>
      <c r="AT3" s="625">
        <f t="array" ref="AT3">IFERROR(INDEX('TB-Pharmaceuticals'!$AB$14:$AB$33,MATCH($E3&amp;$F3,'TB-Pharmaceuticals'!$D$14:$D$33&amp;'TB-Pharmaceuticals'!$G$14:$G$33,0)),0)</f>
        <v>0</v>
      </c>
      <c r="AU3" s="626">
        <f>IF(ISERROR($AS3*AT3),0,$AS3*AT3)</f>
        <v>0</v>
      </c>
      <c r="AV3" s="626">
        <f>IF(C3="Upfront",AT3,IF(C3="At delivery",AJ3,0))</f>
        <v>0</v>
      </c>
      <c r="AW3" s="626">
        <f>IF(C3="Upfront",AU3,IF(C3="At delivery",AK3,0))</f>
        <v>0</v>
      </c>
      <c r="AX3" s="625">
        <f t="array" ref="AX3">IFERROR(INDEX('TB-Pharmaceuticals'!$AC$14:$AC$33,MATCH($E3&amp;$F3,'TB-Pharmaceuticals'!$D$14:$D$33&amp;'TB-Pharmaceuticals'!$G$14:$G$33,0)),0)</f>
        <v>0</v>
      </c>
      <c r="AY3" s="626">
        <f>IF(ISERROR($AS3*AX3),0,$AS3*AX3)</f>
        <v>0</v>
      </c>
      <c r="AZ3" s="626">
        <f>IF(C3="Upfront",AX3,IF(C3="At delivery",AN3,0))</f>
        <v>0</v>
      </c>
      <c r="BA3" s="626">
        <f>IF(C3="Upfront",AY3,IF(C3="At delivery",AO3,0))</f>
        <v>0</v>
      </c>
      <c r="BB3" s="625">
        <f t="array" ref="BB3">IFERROR(INDEX('TB-Pharmaceuticals'!$AD$14:$AD$33,MATCH($E3&amp;$F3,'TB-Pharmaceuticals'!$D$14:$D$33&amp;'TB-Pharmaceuticals'!$G$14:$G$33,0)),0)</f>
        <v>0</v>
      </c>
      <c r="BC3" s="626">
        <f>IF(ISERROR($AS3*BB3),0,$AS3*BB3)</f>
        <v>0</v>
      </c>
      <c r="BD3" s="626">
        <f>IF(C3="Upfront",BB3,IF(C3="At delivery",AT3,0))</f>
        <v>0</v>
      </c>
      <c r="BE3" s="626">
        <f>IF(C3="Upfront",BC3,IF(C3="At delivery",AU3,0))</f>
        <v>0</v>
      </c>
      <c r="BF3" s="625">
        <f t="array" ref="BF3">IFERROR(INDEX('TB-Pharmaceuticals'!$AE$14:$AE$33,MATCH($E3&amp;$F3,'TB-Pharmaceuticals'!$D$14:$D$33&amp;'TB-Pharmaceuticals'!$G$14:$G$33,0)),0)</f>
        <v>0</v>
      </c>
      <c r="BG3" s="626">
        <f>IF(ISERROR($AS3*BF3),0,$AS3*BF3)</f>
        <v>0</v>
      </c>
      <c r="BH3" s="626">
        <f>IF(C3="Upfront",BF3,IF(C3="At delivery",AX3,0))</f>
        <v>0</v>
      </c>
      <c r="BI3" s="626">
        <f>IF(C3="Upfront",BG3,IF(C3="At delivery",AY3,0))</f>
        <v>0</v>
      </c>
      <c r="BJ3" s="673"/>
      <c r="BK3" s="626"/>
      <c r="BL3" s="626"/>
      <c r="BM3" s="626"/>
      <c r="BN3" s="626"/>
      <c r="BO3" s="626"/>
      <c r="BP3" s="626"/>
      <c r="BQ3" s="626"/>
      <c r="BR3" s="626"/>
    </row>
    <row r="4" spans="1:70" s="22" customFormat="1">
      <c r="A4" s="32" t="s">
        <v>1541</v>
      </c>
      <c r="B4" s="32" t="s">
        <v>1737</v>
      </c>
      <c r="C4" s="619">
        <f>SETUP!$F$36</f>
        <v>0</v>
      </c>
      <c r="D4" s="31">
        <v>4.2</v>
      </c>
      <c r="E4" s="32" t="s">
        <v>297</v>
      </c>
      <c r="F4" s="32" t="s">
        <v>1260</v>
      </c>
      <c r="G4" s="625" t="str">
        <f t="array" ref="G4">IFERROR(INDEX('TB-Pharmaceuticals'!$K$14:$K$33,MATCH($E4&amp;$F4,'TB-Pharmaceuticals'!$D$14:$D$33&amp;'TB-Pharmaceuticals'!$G$14:$G$33,0)),"")</f>
        <v/>
      </c>
      <c r="H4" s="625" t="str">
        <f t="array" ref="H4">IFERROR(INDEX('TB-Pharmaceuticals'!$L$14:$L$33,MATCH($E4&amp;$F4,'TB-Pharmaceuticals'!$D$14:$D$33&amp;'TB-Pharmaceuticals'!$G$14:$G$33,0)),"")</f>
        <v/>
      </c>
      <c r="I4" s="625">
        <f t="array" ref="I4">IFERROR(INDEX('TB-Pharmaceuticals'!$M$14:$M$33,MATCH($E4&amp;$F4,'TB-Pharmaceuticals'!$D$14:$D$33&amp;'TB-Pharmaceuticals'!$G$14:$G$33,0)),0)</f>
        <v>0</v>
      </c>
      <c r="J4" s="625">
        <f t="array" ref="J4">IFERROR(INDEX('TB-Pharmaceuticals'!$N$14:$N$33,MATCH($E4&amp;$F4,'TB-Pharmaceuticals'!$D$14:$D$33&amp;'TB-Pharmaceuticals'!$G$14:$G$33,0)),0)</f>
        <v>0</v>
      </c>
      <c r="K4" s="626">
        <f t="shared" ref="K4:K37" si="0">IF(ISERROR($I4*J4),0,$I4*J4)</f>
        <v>0</v>
      </c>
      <c r="L4" s="626">
        <f t="shared" ref="L4:L37" si="1">IF(C4="Upfront",J4,0)</f>
        <v>0</v>
      </c>
      <c r="M4" s="626">
        <f t="shared" ref="M4:M37" si="2">IF(C4="Upfront",K4,0)</f>
        <v>0</v>
      </c>
      <c r="N4" s="625">
        <f t="array" ref="N4">IFERROR(INDEX('TB-Pharmaceuticals'!$O$14:$O$33,MATCH($E4&amp;$F4,'TB-Pharmaceuticals'!$D$14:$D$33&amp;'TB-Pharmaceuticals'!$G$14:$G$33,0)),0)</f>
        <v>0</v>
      </c>
      <c r="O4" s="626">
        <f t="shared" ref="O4:O37" si="3">IF(ISERROR($I4*N4),0,$I4*N4)</f>
        <v>0</v>
      </c>
      <c r="P4" s="626">
        <f t="shared" ref="P4:P37" si="4">IF(C4="Upfront",N4,0)</f>
        <v>0</v>
      </c>
      <c r="Q4" s="626">
        <f t="shared" ref="Q4:Q37" si="5">IF(C4="Upfront",O4,0)</f>
        <v>0</v>
      </c>
      <c r="R4" s="625">
        <f t="array" ref="R4">IFERROR(INDEX('TB-Pharmaceuticals'!$P$14:$P$33,MATCH($E4&amp;$F4,'TB-Pharmaceuticals'!$D$14:$D$33&amp;'TB-Pharmaceuticals'!$G$14:$G$33,0)),0)</f>
        <v>0</v>
      </c>
      <c r="S4" s="626">
        <f t="shared" ref="S4:S37" si="6">IF(ISERROR($I4*R4),0,$I4*R4)</f>
        <v>0</v>
      </c>
      <c r="T4" s="626">
        <f t="shared" ref="T4:T37" si="7">IF(C4="Upfront",R4,IF(C4="At delivery",J4,0))</f>
        <v>0</v>
      </c>
      <c r="U4" s="626">
        <f t="shared" ref="U4:U37" si="8">IF(C4="Upfront",S4,IF(C4="At delivery",K4,0))</f>
        <v>0</v>
      </c>
      <c r="V4" s="625">
        <f t="array" ref="V4">IFERROR(INDEX('TB-Pharmaceuticals'!$Q$14:$Q$33,MATCH($E4&amp;$F4,'TB-Pharmaceuticals'!$D$14:$D$33&amp;'TB-Pharmaceuticals'!$G$14:$G$33,0)),0)</f>
        <v>0</v>
      </c>
      <c r="W4" s="626">
        <f t="shared" ref="W4:W37" si="9">IF(ISERROR($I4*V4),0,$I4*V4)</f>
        <v>0</v>
      </c>
      <c r="X4" s="626">
        <f t="shared" ref="X4:X37" si="10">IF(C4="Upfront",V4,IF(C4="At delivery",N4,0))</f>
        <v>0</v>
      </c>
      <c r="Y4" s="626">
        <f t="shared" ref="Y4:Y37" si="11">IF(C4="Upfront",W4,IF(C4="At delivery",O4,0))</f>
        <v>0</v>
      </c>
      <c r="Z4" s="627"/>
      <c r="AA4" s="625">
        <f t="array" ref="AA4">IFERROR(INDEX('TB-Pharmaceuticals'!$T$14:$T$33,MATCH($E4&amp;$F4,'TB-Pharmaceuticals'!$D$14:$D$33&amp;'TB-Pharmaceuticals'!$G$14:$G$33,0)),0)</f>
        <v>0</v>
      </c>
      <c r="AB4" s="625">
        <f t="array" ref="AB4">IFERROR(INDEX('TB-Pharmaceuticals'!$U$14:$U$33,MATCH($E4&amp;$F4,'TB-Pharmaceuticals'!$D$14:$D$33&amp;'TB-Pharmaceuticals'!$G$14:$G$33,0)),0)</f>
        <v>0</v>
      </c>
      <c r="AC4" s="626">
        <f t="shared" ref="AC4:AC37" si="12">IF(ISERROR($AA4*AB4),0,$AA4*AB4)</f>
        <v>0</v>
      </c>
      <c r="AD4" s="626">
        <f t="shared" ref="AD4:AD37" si="13">IF(C4="Upfront",AB4,IF(C4="At delivery",R4,0))</f>
        <v>0</v>
      </c>
      <c r="AE4" s="626">
        <f t="shared" ref="AE4:AE37" si="14">IF(C4="Upfront",AC4,IF(C4="At delivery",S4,0))</f>
        <v>0</v>
      </c>
      <c r="AF4" s="625">
        <f t="array" ref="AF4">IFERROR(INDEX('TB-Pharmaceuticals'!$V$14:$V$33,MATCH($E4&amp;$F4,'TB-Pharmaceuticals'!$D$14:$D$33&amp;'TB-Pharmaceuticals'!$G$14:$G$33,0)),0)</f>
        <v>0</v>
      </c>
      <c r="AG4" s="626">
        <f t="shared" ref="AG4:AG37" si="15">IF(ISERROR($AA4*AF4),0,$AA4*AF4)</f>
        <v>0</v>
      </c>
      <c r="AH4" s="626">
        <f t="shared" ref="AH4:AH37" si="16">IF(C4="Upfront",AF4,IF(C4="At delivery",V4,0))</f>
        <v>0</v>
      </c>
      <c r="AI4" s="626">
        <f t="shared" ref="AI4:AI37" si="17">IF(C4="Upfront",AG4,IF(C4="At delivery",W4,0))</f>
        <v>0</v>
      </c>
      <c r="AJ4" s="625">
        <f t="array" ref="AJ4">IFERROR(INDEX('TB-Pharmaceuticals'!$W$14:$W$33,MATCH($E4&amp;$F4,'TB-Pharmaceuticals'!$D$14:$D$33&amp;'TB-Pharmaceuticals'!$G$14:$G$33,0)),0)</f>
        <v>0</v>
      </c>
      <c r="AK4" s="626">
        <f t="shared" ref="AK4:AK37" si="18">IF(ISERROR($AA4*AJ4),0,$AA4*AJ4)</f>
        <v>0</v>
      </c>
      <c r="AL4" s="626">
        <f t="shared" ref="AL4:AL37" si="19">IF(C4="Upfront",AJ4,IF(C4="At delivery",AB4,0))</f>
        <v>0</v>
      </c>
      <c r="AM4" s="626">
        <f t="shared" ref="AM4:AM37" si="20">IF(C4="Upfront",AK4,IF(C4="At delivery",AC4,0))</f>
        <v>0</v>
      </c>
      <c r="AN4" s="625">
        <f t="array" ref="AN4">IFERROR(INDEX('TB-Pharmaceuticals'!$X$14:$X$33,MATCH($E4&amp;$F4,'TB-Pharmaceuticals'!$D$14:$D$33&amp;'TB-Pharmaceuticals'!$G$14:$G$33,0)),0)</f>
        <v>0</v>
      </c>
      <c r="AO4" s="626">
        <f t="shared" ref="AO4:AO37" si="21">IF(ISERROR($AA4*AN4),0,$AA4*AN4)</f>
        <v>0</v>
      </c>
      <c r="AP4" s="626">
        <f t="shared" ref="AP4:AP37" si="22">IF(C4="Upfront",AN4,IF(C4="At delivery",AF4,0))</f>
        <v>0</v>
      </c>
      <c r="AQ4" s="626">
        <f t="shared" ref="AQ4:AQ37" si="23">IF(C4="Upfront",AO4,IF(C4="At delivery",AG4,0))</f>
        <v>0</v>
      </c>
      <c r="AR4" s="627"/>
      <c r="AS4" s="625">
        <f t="array" ref="AS4">IFERROR(INDEX('TB-Pharmaceuticals'!$AA$14:$AA$33,MATCH($E4&amp;$F4,'TB-Pharmaceuticals'!$D$14:$D$33&amp;'TB-Pharmaceuticals'!$G$14:$G$33,0)),0)</f>
        <v>0</v>
      </c>
      <c r="AT4" s="625">
        <f t="array" ref="AT4">IFERROR(INDEX('TB-Pharmaceuticals'!$AB$14:$AB$33,MATCH($E4&amp;$F4,'TB-Pharmaceuticals'!$D$14:$D$33&amp;'TB-Pharmaceuticals'!$G$14:$G$33,0)),0)</f>
        <v>0</v>
      </c>
      <c r="AU4" s="626">
        <f t="shared" ref="AU4:AU37" si="24">IF(ISERROR($AS4*AT4),0,$AS4*AT4)</f>
        <v>0</v>
      </c>
      <c r="AV4" s="626">
        <f t="shared" ref="AV4:AV37" si="25">IF(C4="Upfront",AT4,IF(C4="At delivery",AJ4,0))</f>
        <v>0</v>
      </c>
      <c r="AW4" s="626">
        <f t="shared" ref="AW4:AW37" si="26">IF(C4="Upfront",AU4,IF(C4="At delivery",AK4,0))</f>
        <v>0</v>
      </c>
      <c r="AX4" s="625">
        <f t="array" ref="AX4">IFERROR(INDEX('TB-Pharmaceuticals'!$AC$14:$AC$33,MATCH($E4&amp;$F4,'TB-Pharmaceuticals'!$D$14:$D$33&amp;'TB-Pharmaceuticals'!$G$14:$G$33,0)),0)</f>
        <v>0</v>
      </c>
      <c r="AY4" s="626">
        <f t="shared" ref="AY4:AY37" si="27">IF(ISERROR($AS4*AX4),0,$AS4*AX4)</f>
        <v>0</v>
      </c>
      <c r="AZ4" s="626">
        <f t="shared" ref="AZ4:AZ37" si="28">IF(C4="Upfront",AX4,IF(C4="At delivery",AN4,0))</f>
        <v>0</v>
      </c>
      <c r="BA4" s="626">
        <f t="shared" ref="BA4:BA37" si="29">IF(C4="Upfront",AY4,IF(C4="At delivery",AO4,0))</f>
        <v>0</v>
      </c>
      <c r="BB4" s="625">
        <f t="array" ref="BB4">IFERROR(INDEX('TB-Pharmaceuticals'!$AD$14:$AD$33,MATCH($E4&amp;$F4,'TB-Pharmaceuticals'!$D$14:$D$33&amp;'TB-Pharmaceuticals'!$G$14:$G$33,0)),0)</f>
        <v>0</v>
      </c>
      <c r="BC4" s="626">
        <f t="shared" ref="BC4:BC37" si="30">IF(ISERROR($AS4*BB4),0,$AS4*BB4)</f>
        <v>0</v>
      </c>
      <c r="BD4" s="626">
        <f t="shared" ref="BD4:BD37" si="31">IF(C4="Upfront",BB4,IF(C4="At delivery",AT4,0))</f>
        <v>0</v>
      </c>
      <c r="BE4" s="626">
        <f t="shared" ref="BE4:BE37" si="32">IF(C4="Upfront",BC4,IF(C4="At delivery",AU4,0))</f>
        <v>0</v>
      </c>
      <c r="BF4" s="625">
        <f t="array" ref="BF4">IFERROR(INDEX('TB-Pharmaceuticals'!$AE$14:$AE$33,MATCH($E4&amp;$F4,'TB-Pharmaceuticals'!$D$14:$D$33&amp;'TB-Pharmaceuticals'!$G$14:$G$33,0)),0)</f>
        <v>0</v>
      </c>
      <c r="BG4" s="626">
        <f t="shared" ref="BG4:BG37" si="33">IF(ISERROR($AS4*BF4),0,$AS4*BF4)</f>
        <v>0</v>
      </c>
      <c r="BH4" s="626">
        <f t="shared" ref="BH4:BH37" si="34">IF(C4="Upfront",BF4,IF(C4="At delivery",AX4,0))</f>
        <v>0</v>
      </c>
      <c r="BI4" s="626">
        <f t="shared" ref="BI4:BI37" si="35">IF(C4="Upfront",BG4,IF(C4="At delivery",AY4,0))</f>
        <v>0</v>
      </c>
      <c r="BJ4" s="673"/>
      <c r="BK4" s="626"/>
      <c r="BL4" s="626"/>
      <c r="BM4" s="626"/>
      <c r="BN4" s="626"/>
      <c r="BO4" s="626"/>
      <c r="BP4" s="626"/>
      <c r="BQ4" s="626"/>
      <c r="BR4" s="626"/>
    </row>
    <row r="5" spans="1:70" s="22" customFormat="1">
      <c r="A5" s="32" t="s">
        <v>1541</v>
      </c>
      <c r="B5" s="32" t="s">
        <v>1737</v>
      </c>
      <c r="C5" s="619">
        <f>SETUP!$F$36</f>
        <v>0</v>
      </c>
      <c r="D5" s="31">
        <v>4.2</v>
      </c>
      <c r="E5" s="32" t="s">
        <v>297</v>
      </c>
      <c r="F5" s="32" t="s">
        <v>1261</v>
      </c>
      <c r="G5" s="625" t="str">
        <f t="array" ref="G5">IFERROR(INDEX('TB-Pharmaceuticals'!$K$14:$K$33,MATCH($E5&amp;$F5,'TB-Pharmaceuticals'!$D$14:$D$33&amp;'TB-Pharmaceuticals'!$G$14:$G$33,0)),"")</f>
        <v/>
      </c>
      <c r="H5" s="625" t="str">
        <f t="array" ref="H5">IFERROR(INDEX('TB-Pharmaceuticals'!$L$14:$L$33,MATCH($E5&amp;$F5,'TB-Pharmaceuticals'!$D$14:$D$33&amp;'TB-Pharmaceuticals'!$G$14:$G$33,0)),"")</f>
        <v/>
      </c>
      <c r="I5" s="625">
        <f t="array" ref="I5">IFERROR(INDEX('TB-Pharmaceuticals'!$M$14:$M$33,MATCH($E5&amp;$F5,'TB-Pharmaceuticals'!$D$14:$D$33&amp;'TB-Pharmaceuticals'!$G$14:$G$33,0)),0)</f>
        <v>0</v>
      </c>
      <c r="J5" s="625">
        <f t="array" ref="J5">IFERROR(INDEX('TB-Pharmaceuticals'!$N$14:$N$33,MATCH($E5&amp;$F5,'TB-Pharmaceuticals'!$D$14:$D$33&amp;'TB-Pharmaceuticals'!$G$14:$G$33,0)),0)</f>
        <v>0</v>
      </c>
      <c r="K5" s="626">
        <f t="shared" si="0"/>
        <v>0</v>
      </c>
      <c r="L5" s="626">
        <f t="shared" si="1"/>
        <v>0</v>
      </c>
      <c r="M5" s="626">
        <f t="shared" si="2"/>
        <v>0</v>
      </c>
      <c r="N5" s="625">
        <f t="array" ref="N5">IFERROR(INDEX('TB-Pharmaceuticals'!$O$14:$O$33,MATCH($E5&amp;$F5,'TB-Pharmaceuticals'!$D$14:$D$33&amp;'TB-Pharmaceuticals'!$G$14:$G$33,0)),0)</f>
        <v>0</v>
      </c>
      <c r="O5" s="626">
        <f t="shared" si="3"/>
        <v>0</v>
      </c>
      <c r="P5" s="626">
        <f t="shared" si="4"/>
        <v>0</v>
      </c>
      <c r="Q5" s="626">
        <f t="shared" si="5"/>
        <v>0</v>
      </c>
      <c r="R5" s="625">
        <f t="array" ref="R5">IFERROR(INDEX('TB-Pharmaceuticals'!$P$14:$P$33,MATCH($E5&amp;$F5,'TB-Pharmaceuticals'!$D$14:$D$33&amp;'TB-Pharmaceuticals'!$G$14:$G$33,0)),0)</f>
        <v>0</v>
      </c>
      <c r="S5" s="626">
        <f t="shared" si="6"/>
        <v>0</v>
      </c>
      <c r="T5" s="626">
        <f t="shared" si="7"/>
        <v>0</v>
      </c>
      <c r="U5" s="626">
        <f t="shared" si="8"/>
        <v>0</v>
      </c>
      <c r="V5" s="625">
        <f t="array" ref="V5">IFERROR(INDEX('TB-Pharmaceuticals'!$Q$14:$Q$33,MATCH($E5&amp;$F5,'TB-Pharmaceuticals'!$D$14:$D$33&amp;'TB-Pharmaceuticals'!$G$14:$G$33,0)),0)</f>
        <v>0</v>
      </c>
      <c r="W5" s="626">
        <f t="shared" si="9"/>
        <v>0</v>
      </c>
      <c r="X5" s="626">
        <f t="shared" si="10"/>
        <v>0</v>
      </c>
      <c r="Y5" s="626">
        <f t="shared" si="11"/>
        <v>0</v>
      </c>
      <c r="Z5" s="627"/>
      <c r="AA5" s="625">
        <f t="array" ref="AA5">IFERROR(INDEX('TB-Pharmaceuticals'!$T$14:$T$33,MATCH($E5&amp;$F5,'TB-Pharmaceuticals'!$D$14:$D$33&amp;'TB-Pharmaceuticals'!$G$14:$G$33,0)),0)</f>
        <v>0</v>
      </c>
      <c r="AB5" s="625">
        <f t="array" ref="AB5">IFERROR(INDEX('TB-Pharmaceuticals'!$U$14:$U$33,MATCH($E5&amp;$F5,'TB-Pharmaceuticals'!$D$14:$D$33&amp;'TB-Pharmaceuticals'!$G$14:$G$33,0)),0)</f>
        <v>0</v>
      </c>
      <c r="AC5" s="626">
        <f t="shared" si="12"/>
        <v>0</v>
      </c>
      <c r="AD5" s="626">
        <f t="shared" si="13"/>
        <v>0</v>
      </c>
      <c r="AE5" s="626">
        <f t="shared" si="14"/>
        <v>0</v>
      </c>
      <c r="AF5" s="625">
        <f t="array" ref="AF5">IFERROR(INDEX('TB-Pharmaceuticals'!$V$14:$V$33,MATCH($E5&amp;$F5,'TB-Pharmaceuticals'!$D$14:$D$33&amp;'TB-Pharmaceuticals'!$G$14:$G$33,0)),0)</f>
        <v>0</v>
      </c>
      <c r="AG5" s="626">
        <f t="shared" si="15"/>
        <v>0</v>
      </c>
      <c r="AH5" s="626">
        <f t="shared" si="16"/>
        <v>0</v>
      </c>
      <c r="AI5" s="626">
        <f t="shared" si="17"/>
        <v>0</v>
      </c>
      <c r="AJ5" s="625">
        <f t="array" ref="AJ5">IFERROR(INDEX('TB-Pharmaceuticals'!$W$14:$W$33,MATCH($E5&amp;$F5,'TB-Pharmaceuticals'!$D$14:$D$33&amp;'TB-Pharmaceuticals'!$G$14:$G$33,0)),0)</f>
        <v>0</v>
      </c>
      <c r="AK5" s="626">
        <f t="shared" si="18"/>
        <v>0</v>
      </c>
      <c r="AL5" s="626">
        <f t="shared" si="19"/>
        <v>0</v>
      </c>
      <c r="AM5" s="626">
        <f t="shared" si="20"/>
        <v>0</v>
      </c>
      <c r="AN5" s="625">
        <f t="array" ref="AN5">IFERROR(INDEX('TB-Pharmaceuticals'!$X$14:$X$33,MATCH($E5&amp;$F5,'TB-Pharmaceuticals'!$D$14:$D$33&amp;'TB-Pharmaceuticals'!$G$14:$G$33,0)),0)</f>
        <v>0</v>
      </c>
      <c r="AO5" s="626">
        <f t="shared" si="21"/>
        <v>0</v>
      </c>
      <c r="AP5" s="626">
        <f t="shared" si="22"/>
        <v>0</v>
      </c>
      <c r="AQ5" s="626">
        <f t="shared" si="23"/>
        <v>0</v>
      </c>
      <c r="AR5" s="627"/>
      <c r="AS5" s="625">
        <f t="array" ref="AS5">IFERROR(INDEX('TB-Pharmaceuticals'!$AA$14:$AA$33,MATCH($E5&amp;$F5,'TB-Pharmaceuticals'!$D$14:$D$33&amp;'TB-Pharmaceuticals'!$G$14:$G$33,0)),0)</f>
        <v>0</v>
      </c>
      <c r="AT5" s="625">
        <f t="array" ref="AT5">IFERROR(INDEX('TB-Pharmaceuticals'!$AB$14:$AB$33,MATCH($E5&amp;$F5,'TB-Pharmaceuticals'!$D$14:$D$33&amp;'TB-Pharmaceuticals'!$G$14:$G$33,0)),0)</f>
        <v>0</v>
      </c>
      <c r="AU5" s="626">
        <f t="shared" si="24"/>
        <v>0</v>
      </c>
      <c r="AV5" s="626">
        <f t="shared" si="25"/>
        <v>0</v>
      </c>
      <c r="AW5" s="626">
        <f t="shared" si="26"/>
        <v>0</v>
      </c>
      <c r="AX5" s="625">
        <f t="array" ref="AX5">IFERROR(INDEX('TB-Pharmaceuticals'!$AC$14:$AC$33,MATCH($E5&amp;$F5,'TB-Pharmaceuticals'!$D$14:$D$33&amp;'TB-Pharmaceuticals'!$G$14:$G$33,0)),0)</f>
        <v>0</v>
      </c>
      <c r="AY5" s="626">
        <f t="shared" si="27"/>
        <v>0</v>
      </c>
      <c r="AZ5" s="626">
        <f t="shared" si="28"/>
        <v>0</v>
      </c>
      <c r="BA5" s="626">
        <f t="shared" si="29"/>
        <v>0</v>
      </c>
      <c r="BB5" s="625">
        <f t="array" ref="BB5">IFERROR(INDEX('TB-Pharmaceuticals'!$AD$14:$AD$33,MATCH($E5&amp;$F5,'TB-Pharmaceuticals'!$D$14:$D$33&amp;'TB-Pharmaceuticals'!$G$14:$G$33,0)),0)</f>
        <v>0</v>
      </c>
      <c r="BC5" s="626">
        <f t="shared" si="30"/>
        <v>0</v>
      </c>
      <c r="BD5" s="626">
        <f t="shared" si="31"/>
        <v>0</v>
      </c>
      <c r="BE5" s="626">
        <f t="shared" si="32"/>
        <v>0</v>
      </c>
      <c r="BF5" s="625">
        <f t="array" ref="BF5">IFERROR(INDEX('TB-Pharmaceuticals'!$AE$14:$AE$33,MATCH($E5&amp;$F5,'TB-Pharmaceuticals'!$D$14:$D$33&amp;'TB-Pharmaceuticals'!$G$14:$G$33,0)),0)</f>
        <v>0</v>
      </c>
      <c r="BG5" s="626">
        <f t="shared" si="33"/>
        <v>0</v>
      </c>
      <c r="BH5" s="626">
        <f t="shared" si="34"/>
        <v>0</v>
      </c>
      <c r="BI5" s="626">
        <f t="shared" si="35"/>
        <v>0</v>
      </c>
      <c r="BJ5" s="673"/>
      <c r="BK5" s="626"/>
      <c r="BL5" s="626"/>
      <c r="BM5" s="626"/>
      <c r="BN5" s="626"/>
      <c r="BO5" s="626"/>
      <c r="BP5" s="626"/>
      <c r="BQ5" s="626"/>
      <c r="BR5" s="626"/>
    </row>
    <row r="6" spans="1:70" s="22" customFormat="1">
      <c r="A6" s="32" t="s">
        <v>1541</v>
      </c>
      <c r="B6" s="32" t="s">
        <v>1737</v>
      </c>
      <c r="C6" s="619">
        <f>SETUP!$F$36</f>
        <v>0</v>
      </c>
      <c r="D6" s="31">
        <v>4.2</v>
      </c>
      <c r="E6" s="32" t="s">
        <v>297</v>
      </c>
      <c r="F6" s="32" t="s">
        <v>1306</v>
      </c>
      <c r="G6" s="625" t="str">
        <f t="array" ref="G6">IFERROR(INDEX('TB-Pharmaceuticals'!$K$14:$K$33,MATCH($E6&amp;$F6,'TB-Pharmaceuticals'!$D$14:$D$33&amp;'TB-Pharmaceuticals'!$G$14:$G$33,0)),"")</f>
        <v/>
      </c>
      <c r="H6" s="625" t="str">
        <f t="array" ref="H6">IFERROR(INDEX('TB-Pharmaceuticals'!$L$14:$L$33,MATCH($E6&amp;$F6,'TB-Pharmaceuticals'!$D$14:$D$33&amp;'TB-Pharmaceuticals'!$G$14:$G$33,0)),"")</f>
        <v/>
      </c>
      <c r="I6" s="625">
        <f t="array" ref="I6">IFERROR(INDEX('TB-Pharmaceuticals'!$M$14:$M$33,MATCH($E6&amp;$F6,'TB-Pharmaceuticals'!$D$14:$D$33&amp;'TB-Pharmaceuticals'!$G$14:$G$33,0)),0)</f>
        <v>0</v>
      </c>
      <c r="J6" s="625">
        <f t="array" ref="J6">IFERROR(INDEX('TB-Pharmaceuticals'!$N$14:$N$33,MATCH($E6&amp;$F6,'TB-Pharmaceuticals'!$D$14:$D$33&amp;'TB-Pharmaceuticals'!$G$14:$G$33,0)),0)</f>
        <v>0</v>
      </c>
      <c r="K6" s="626">
        <f t="shared" si="0"/>
        <v>0</v>
      </c>
      <c r="L6" s="626">
        <f t="shared" si="1"/>
        <v>0</v>
      </c>
      <c r="M6" s="626">
        <f t="shared" si="2"/>
        <v>0</v>
      </c>
      <c r="N6" s="625">
        <f t="array" ref="N6">IFERROR(INDEX('TB-Pharmaceuticals'!$O$14:$O$33,MATCH($E6&amp;$F6,'TB-Pharmaceuticals'!$D$14:$D$33&amp;'TB-Pharmaceuticals'!$G$14:$G$33,0)),0)</f>
        <v>0</v>
      </c>
      <c r="O6" s="626">
        <f t="shared" si="3"/>
        <v>0</v>
      </c>
      <c r="P6" s="626">
        <f t="shared" si="4"/>
        <v>0</v>
      </c>
      <c r="Q6" s="626">
        <f t="shared" si="5"/>
        <v>0</v>
      </c>
      <c r="R6" s="625">
        <f t="array" ref="R6">IFERROR(INDEX('TB-Pharmaceuticals'!$P$14:$P$33,MATCH($E6&amp;$F6,'TB-Pharmaceuticals'!$D$14:$D$33&amp;'TB-Pharmaceuticals'!$G$14:$G$33,0)),0)</f>
        <v>0</v>
      </c>
      <c r="S6" s="626">
        <f t="shared" si="6"/>
        <v>0</v>
      </c>
      <c r="T6" s="626">
        <f t="shared" si="7"/>
        <v>0</v>
      </c>
      <c r="U6" s="626">
        <f t="shared" si="8"/>
        <v>0</v>
      </c>
      <c r="V6" s="625">
        <f t="array" ref="V6">IFERROR(INDEX('TB-Pharmaceuticals'!$Q$14:$Q$33,MATCH($E6&amp;$F6,'TB-Pharmaceuticals'!$D$14:$D$33&amp;'TB-Pharmaceuticals'!$G$14:$G$33,0)),0)</f>
        <v>0</v>
      </c>
      <c r="W6" s="626">
        <f t="shared" si="9"/>
        <v>0</v>
      </c>
      <c r="X6" s="626">
        <f t="shared" si="10"/>
        <v>0</v>
      </c>
      <c r="Y6" s="626">
        <f t="shared" si="11"/>
        <v>0</v>
      </c>
      <c r="Z6" s="627"/>
      <c r="AA6" s="625">
        <f t="array" ref="AA6">IFERROR(INDEX('TB-Pharmaceuticals'!$T$14:$T$33,MATCH($E6&amp;$F6,'TB-Pharmaceuticals'!$D$14:$D$33&amp;'TB-Pharmaceuticals'!$G$14:$G$33,0)),0)</f>
        <v>0</v>
      </c>
      <c r="AB6" s="625">
        <f t="array" ref="AB6">IFERROR(INDEX('TB-Pharmaceuticals'!$U$14:$U$33,MATCH($E6&amp;$F6,'TB-Pharmaceuticals'!$D$14:$D$33&amp;'TB-Pharmaceuticals'!$G$14:$G$33,0)),0)</f>
        <v>0</v>
      </c>
      <c r="AC6" s="626">
        <f t="shared" si="12"/>
        <v>0</v>
      </c>
      <c r="AD6" s="626">
        <f t="shared" si="13"/>
        <v>0</v>
      </c>
      <c r="AE6" s="626">
        <f t="shared" si="14"/>
        <v>0</v>
      </c>
      <c r="AF6" s="625">
        <f t="array" ref="AF6">IFERROR(INDEX('TB-Pharmaceuticals'!$V$14:$V$33,MATCH($E6&amp;$F6,'TB-Pharmaceuticals'!$D$14:$D$33&amp;'TB-Pharmaceuticals'!$G$14:$G$33,0)),0)</f>
        <v>0</v>
      </c>
      <c r="AG6" s="626">
        <f t="shared" si="15"/>
        <v>0</v>
      </c>
      <c r="AH6" s="626">
        <f t="shared" si="16"/>
        <v>0</v>
      </c>
      <c r="AI6" s="626">
        <f t="shared" si="17"/>
        <v>0</v>
      </c>
      <c r="AJ6" s="625">
        <f t="array" ref="AJ6">IFERROR(INDEX('TB-Pharmaceuticals'!$W$14:$W$33,MATCH($E6&amp;$F6,'TB-Pharmaceuticals'!$D$14:$D$33&amp;'TB-Pharmaceuticals'!$G$14:$G$33,0)),0)</f>
        <v>0</v>
      </c>
      <c r="AK6" s="626">
        <f t="shared" si="18"/>
        <v>0</v>
      </c>
      <c r="AL6" s="626">
        <f t="shared" si="19"/>
        <v>0</v>
      </c>
      <c r="AM6" s="626">
        <f t="shared" si="20"/>
        <v>0</v>
      </c>
      <c r="AN6" s="625">
        <f t="array" ref="AN6">IFERROR(INDEX('TB-Pharmaceuticals'!$X$14:$X$33,MATCH($E6&amp;$F6,'TB-Pharmaceuticals'!$D$14:$D$33&amp;'TB-Pharmaceuticals'!$G$14:$G$33,0)),0)</f>
        <v>0</v>
      </c>
      <c r="AO6" s="626">
        <f t="shared" si="21"/>
        <v>0</v>
      </c>
      <c r="AP6" s="626">
        <f t="shared" si="22"/>
        <v>0</v>
      </c>
      <c r="AQ6" s="626">
        <f t="shared" si="23"/>
        <v>0</v>
      </c>
      <c r="AR6" s="627"/>
      <c r="AS6" s="625">
        <f t="array" ref="AS6">IFERROR(INDEX('TB-Pharmaceuticals'!$AA$14:$AA$33,MATCH($E6&amp;$F6,'TB-Pharmaceuticals'!$D$14:$D$33&amp;'TB-Pharmaceuticals'!$G$14:$G$33,0)),0)</f>
        <v>0</v>
      </c>
      <c r="AT6" s="625">
        <f t="array" ref="AT6">IFERROR(INDEX('TB-Pharmaceuticals'!$AB$14:$AB$33,MATCH($E6&amp;$F6,'TB-Pharmaceuticals'!$D$14:$D$33&amp;'TB-Pharmaceuticals'!$G$14:$G$33,0)),0)</f>
        <v>0</v>
      </c>
      <c r="AU6" s="626">
        <f t="shared" si="24"/>
        <v>0</v>
      </c>
      <c r="AV6" s="626">
        <f t="shared" si="25"/>
        <v>0</v>
      </c>
      <c r="AW6" s="626">
        <f t="shared" si="26"/>
        <v>0</v>
      </c>
      <c r="AX6" s="625">
        <f t="array" ref="AX6">IFERROR(INDEX('TB-Pharmaceuticals'!$AC$14:$AC$33,MATCH($E6&amp;$F6,'TB-Pharmaceuticals'!$D$14:$D$33&amp;'TB-Pharmaceuticals'!$G$14:$G$33,0)),0)</f>
        <v>0</v>
      </c>
      <c r="AY6" s="626">
        <f t="shared" si="27"/>
        <v>0</v>
      </c>
      <c r="AZ6" s="626">
        <f t="shared" si="28"/>
        <v>0</v>
      </c>
      <c r="BA6" s="626">
        <f t="shared" si="29"/>
        <v>0</v>
      </c>
      <c r="BB6" s="625">
        <f t="array" ref="BB6">IFERROR(INDEX('TB-Pharmaceuticals'!$AD$14:$AD$33,MATCH($E6&amp;$F6,'TB-Pharmaceuticals'!$D$14:$D$33&amp;'TB-Pharmaceuticals'!$G$14:$G$33,0)),0)</f>
        <v>0</v>
      </c>
      <c r="BC6" s="626">
        <f t="shared" si="30"/>
        <v>0</v>
      </c>
      <c r="BD6" s="626">
        <f t="shared" si="31"/>
        <v>0</v>
      </c>
      <c r="BE6" s="626">
        <f t="shared" si="32"/>
        <v>0</v>
      </c>
      <c r="BF6" s="625">
        <f t="array" ref="BF6">IFERROR(INDEX('TB-Pharmaceuticals'!$AE$14:$AE$33,MATCH($E6&amp;$F6,'TB-Pharmaceuticals'!$D$14:$D$33&amp;'TB-Pharmaceuticals'!$G$14:$G$33,0)),0)</f>
        <v>0</v>
      </c>
      <c r="BG6" s="626">
        <f t="shared" si="33"/>
        <v>0</v>
      </c>
      <c r="BH6" s="626">
        <f t="shared" si="34"/>
        <v>0</v>
      </c>
      <c r="BI6" s="626">
        <f t="shared" si="35"/>
        <v>0</v>
      </c>
      <c r="BJ6" s="673"/>
      <c r="BK6" s="626"/>
      <c r="BL6" s="626"/>
      <c r="BM6" s="626"/>
      <c r="BN6" s="626"/>
      <c r="BO6" s="626"/>
      <c r="BP6" s="626"/>
      <c r="BQ6" s="626"/>
      <c r="BR6" s="626"/>
    </row>
    <row r="7" spans="1:70">
      <c r="A7" s="32" t="s">
        <v>1541</v>
      </c>
      <c r="B7" s="32" t="s">
        <v>1737</v>
      </c>
      <c r="C7" s="619">
        <f>SETUP!$F$36</f>
        <v>0</v>
      </c>
      <c r="D7" s="31">
        <v>4.2</v>
      </c>
      <c r="E7" s="32" t="s">
        <v>297</v>
      </c>
      <c r="F7" s="32" t="s">
        <v>1307</v>
      </c>
      <c r="G7" s="625" t="str">
        <f t="array" ref="G7">IFERROR(INDEX('TB-Pharmaceuticals'!$K$14:$K$33,MATCH($E7&amp;$F7,'TB-Pharmaceuticals'!$D$14:$D$33&amp;'TB-Pharmaceuticals'!$G$14:$G$33,0)),"")</f>
        <v/>
      </c>
      <c r="H7" s="625" t="str">
        <f t="array" ref="H7">IFERROR(INDEX('TB-Pharmaceuticals'!$L$14:$L$33,MATCH($E7&amp;$F7,'TB-Pharmaceuticals'!$D$14:$D$33&amp;'TB-Pharmaceuticals'!$G$14:$G$33,0)),"")</f>
        <v/>
      </c>
      <c r="I7" s="625">
        <f t="array" ref="I7">IFERROR(INDEX('TB-Pharmaceuticals'!$M$14:$M$33,MATCH($E7&amp;$F7,'TB-Pharmaceuticals'!$D$14:$D$33&amp;'TB-Pharmaceuticals'!$G$14:$G$33,0)),0)</f>
        <v>0</v>
      </c>
      <c r="J7" s="625">
        <f t="array" ref="J7">IFERROR(INDEX('TB-Pharmaceuticals'!$N$14:$N$33,MATCH($E7&amp;$F7,'TB-Pharmaceuticals'!$D$14:$D$33&amp;'TB-Pharmaceuticals'!$G$14:$G$33,0)),0)</f>
        <v>0</v>
      </c>
      <c r="K7" s="626">
        <f t="shared" si="0"/>
        <v>0</v>
      </c>
      <c r="L7" s="626">
        <f t="shared" si="1"/>
        <v>0</v>
      </c>
      <c r="M7" s="626">
        <f t="shared" si="2"/>
        <v>0</v>
      </c>
      <c r="N7" s="625">
        <f t="array" ref="N7">IFERROR(INDEX('TB-Pharmaceuticals'!$O$14:$O$33,MATCH($E7&amp;$F7,'TB-Pharmaceuticals'!$D$14:$D$33&amp;'TB-Pharmaceuticals'!$G$14:$G$33,0)),0)</f>
        <v>0</v>
      </c>
      <c r="O7" s="626">
        <f t="shared" si="3"/>
        <v>0</v>
      </c>
      <c r="P7" s="626">
        <f t="shared" si="4"/>
        <v>0</v>
      </c>
      <c r="Q7" s="626">
        <f t="shared" si="5"/>
        <v>0</v>
      </c>
      <c r="R7" s="625">
        <f t="array" ref="R7">IFERROR(INDEX('TB-Pharmaceuticals'!$P$14:$P$33,MATCH($E7&amp;$F7,'TB-Pharmaceuticals'!$D$14:$D$33&amp;'TB-Pharmaceuticals'!$G$14:$G$33,0)),0)</f>
        <v>0</v>
      </c>
      <c r="S7" s="626">
        <f t="shared" si="6"/>
        <v>0</v>
      </c>
      <c r="T7" s="626">
        <f t="shared" si="7"/>
        <v>0</v>
      </c>
      <c r="U7" s="626">
        <f t="shared" si="8"/>
        <v>0</v>
      </c>
      <c r="V7" s="625">
        <f t="array" ref="V7">IFERROR(INDEX('TB-Pharmaceuticals'!$Q$14:$Q$33,MATCH($E7&amp;$F7,'TB-Pharmaceuticals'!$D$14:$D$33&amp;'TB-Pharmaceuticals'!$G$14:$G$33,0)),0)</f>
        <v>0</v>
      </c>
      <c r="W7" s="626">
        <f t="shared" si="9"/>
        <v>0</v>
      </c>
      <c r="X7" s="626">
        <f t="shared" si="10"/>
        <v>0</v>
      </c>
      <c r="Y7" s="626">
        <f t="shared" si="11"/>
        <v>0</v>
      </c>
      <c r="Z7" s="627"/>
      <c r="AA7" s="625">
        <f t="array" ref="AA7">IFERROR(INDEX('TB-Pharmaceuticals'!$T$14:$T$33,MATCH($E7&amp;$F7,'TB-Pharmaceuticals'!$D$14:$D$33&amp;'TB-Pharmaceuticals'!$G$14:$G$33,0)),0)</f>
        <v>0</v>
      </c>
      <c r="AB7" s="625">
        <f t="array" ref="AB7">IFERROR(INDEX('TB-Pharmaceuticals'!$U$14:$U$33,MATCH($E7&amp;$F7,'TB-Pharmaceuticals'!$D$14:$D$33&amp;'TB-Pharmaceuticals'!$G$14:$G$33,0)),0)</f>
        <v>0</v>
      </c>
      <c r="AC7" s="626">
        <f t="shared" si="12"/>
        <v>0</v>
      </c>
      <c r="AD7" s="626">
        <f t="shared" si="13"/>
        <v>0</v>
      </c>
      <c r="AE7" s="626">
        <f t="shared" si="14"/>
        <v>0</v>
      </c>
      <c r="AF7" s="625">
        <f t="array" ref="AF7">IFERROR(INDEX('TB-Pharmaceuticals'!$V$14:$V$33,MATCH($E7&amp;$F7,'TB-Pharmaceuticals'!$D$14:$D$33&amp;'TB-Pharmaceuticals'!$G$14:$G$33,0)),0)</f>
        <v>0</v>
      </c>
      <c r="AG7" s="626">
        <f t="shared" si="15"/>
        <v>0</v>
      </c>
      <c r="AH7" s="626">
        <f t="shared" si="16"/>
        <v>0</v>
      </c>
      <c r="AI7" s="626">
        <f t="shared" si="17"/>
        <v>0</v>
      </c>
      <c r="AJ7" s="625">
        <f t="array" ref="AJ7">IFERROR(INDEX('TB-Pharmaceuticals'!$W$14:$W$33,MATCH($E7&amp;$F7,'TB-Pharmaceuticals'!$D$14:$D$33&amp;'TB-Pharmaceuticals'!$G$14:$G$33,0)),0)</f>
        <v>0</v>
      </c>
      <c r="AK7" s="626">
        <f t="shared" si="18"/>
        <v>0</v>
      </c>
      <c r="AL7" s="626">
        <f t="shared" si="19"/>
        <v>0</v>
      </c>
      <c r="AM7" s="626">
        <f t="shared" si="20"/>
        <v>0</v>
      </c>
      <c r="AN7" s="625">
        <f t="array" ref="AN7">IFERROR(INDEX('TB-Pharmaceuticals'!$X$14:$X$33,MATCH($E7&amp;$F7,'TB-Pharmaceuticals'!$D$14:$D$33&amp;'TB-Pharmaceuticals'!$G$14:$G$33,0)),0)</f>
        <v>0</v>
      </c>
      <c r="AO7" s="626">
        <f t="shared" si="21"/>
        <v>0</v>
      </c>
      <c r="AP7" s="626">
        <f t="shared" si="22"/>
        <v>0</v>
      </c>
      <c r="AQ7" s="626">
        <f t="shared" si="23"/>
        <v>0</v>
      </c>
      <c r="AR7" s="627"/>
      <c r="AS7" s="625">
        <f t="array" ref="AS7">IFERROR(INDEX('TB-Pharmaceuticals'!$AA$14:$AA$33,MATCH($E7&amp;$F7,'TB-Pharmaceuticals'!$D$14:$D$33&amp;'TB-Pharmaceuticals'!$G$14:$G$33,0)),0)</f>
        <v>0</v>
      </c>
      <c r="AT7" s="625">
        <f t="array" ref="AT7">IFERROR(INDEX('TB-Pharmaceuticals'!$AB$14:$AB$33,MATCH($E7&amp;$F7,'TB-Pharmaceuticals'!$D$14:$D$33&amp;'TB-Pharmaceuticals'!$G$14:$G$33,0)),0)</f>
        <v>0</v>
      </c>
      <c r="AU7" s="626">
        <f t="shared" si="24"/>
        <v>0</v>
      </c>
      <c r="AV7" s="626">
        <f t="shared" si="25"/>
        <v>0</v>
      </c>
      <c r="AW7" s="626">
        <f t="shared" si="26"/>
        <v>0</v>
      </c>
      <c r="AX7" s="625">
        <f t="array" ref="AX7">IFERROR(INDEX('TB-Pharmaceuticals'!$AC$14:$AC$33,MATCH($E7&amp;$F7,'TB-Pharmaceuticals'!$D$14:$D$33&amp;'TB-Pharmaceuticals'!$G$14:$G$33,0)),0)</f>
        <v>0</v>
      </c>
      <c r="AY7" s="626">
        <f t="shared" si="27"/>
        <v>0</v>
      </c>
      <c r="AZ7" s="626">
        <f t="shared" si="28"/>
        <v>0</v>
      </c>
      <c r="BA7" s="626">
        <f t="shared" si="29"/>
        <v>0</v>
      </c>
      <c r="BB7" s="625">
        <f t="array" ref="BB7">IFERROR(INDEX('TB-Pharmaceuticals'!$AD$14:$AD$33,MATCH($E7&amp;$F7,'TB-Pharmaceuticals'!$D$14:$D$33&amp;'TB-Pharmaceuticals'!$G$14:$G$33,0)),0)</f>
        <v>0</v>
      </c>
      <c r="BC7" s="626">
        <f t="shared" si="30"/>
        <v>0</v>
      </c>
      <c r="BD7" s="626">
        <f t="shared" si="31"/>
        <v>0</v>
      </c>
      <c r="BE7" s="626">
        <f t="shared" si="32"/>
        <v>0</v>
      </c>
      <c r="BF7" s="625">
        <f t="array" ref="BF7">IFERROR(INDEX('TB-Pharmaceuticals'!$AE$14:$AE$33,MATCH($E7&amp;$F7,'TB-Pharmaceuticals'!$D$14:$D$33&amp;'TB-Pharmaceuticals'!$G$14:$G$33,0)),0)</f>
        <v>0</v>
      </c>
      <c r="BG7" s="626">
        <f t="shared" si="33"/>
        <v>0</v>
      </c>
      <c r="BH7" s="626">
        <f t="shared" si="34"/>
        <v>0</v>
      </c>
      <c r="BI7" s="626">
        <f t="shared" si="35"/>
        <v>0</v>
      </c>
      <c r="BK7" s="626"/>
      <c r="BL7" s="626"/>
      <c r="BM7" s="626"/>
      <c r="BN7" s="626"/>
      <c r="BO7" s="626"/>
      <c r="BP7" s="626"/>
      <c r="BQ7" s="626"/>
      <c r="BR7" s="626"/>
    </row>
    <row r="8" spans="1:70">
      <c r="A8" s="32" t="s">
        <v>1541</v>
      </c>
      <c r="B8" s="32" t="s">
        <v>1737</v>
      </c>
      <c r="C8" s="619">
        <f>SETUP!$F$36</f>
        <v>0</v>
      </c>
      <c r="D8" s="31">
        <v>4.2</v>
      </c>
      <c r="E8" s="32" t="s">
        <v>297</v>
      </c>
      <c r="F8" s="32" t="s">
        <v>1308</v>
      </c>
      <c r="G8" s="625" t="str">
        <f t="array" ref="G8">IFERROR(INDEX('TB-Pharmaceuticals'!$K$14:$K$33,MATCH($E8&amp;$F8,'TB-Pharmaceuticals'!$D$14:$D$33&amp;'TB-Pharmaceuticals'!$G$14:$G$33,0)),"")</f>
        <v/>
      </c>
      <c r="H8" s="625" t="str">
        <f t="array" ref="H8">IFERROR(INDEX('TB-Pharmaceuticals'!$L$14:$L$33,MATCH($E8&amp;$F8,'TB-Pharmaceuticals'!$D$14:$D$33&amp;'TB-Pharmaceuticals'!$G$14:$G$33,0)),"")</f>
        <v/>
      </c>
      <c r="I8" s="625">
        <f t="array" ref="I8">IFERROR(INDEX('TB-Pharmaceuticals'!$M$14:$M$33,MATCH($E8&amp;$F8,'TB-Pharmaceuticals'!$D$14:$D$33&amp;'TB-Pharmaceuticals'!$G$14:$G$33,0)),0)</f>
        <v>0</v>
      </c>
      <c r="J8" s="625">
        <f t="array" ref="J8">IFERROR(INDEX('TB-Pharmaceuticals'!$N$14:$N$33,MATCH($E8&amp;$F8,'TB-Pharmaceuticals'!$D$14:$D$33&amp;'TB-Pharmaceuticals'!$G$14:$G$33,0)),0)</f>
        <v>0</v>
      </c>
      <c r="K8" s="626">
        <f t="shared" si="0"/>
        <v>0</v>
      </c>
      <c r="L8" s="626">
        <f t="shared" si="1"/>
        <v>0</v>
      </c>
      <c r="M8" s="626">
        <f t="shared" si="2"/>
        <v>0</v>
      </c>
      <c r="N8" s="625">
        <f t="array" ref="N8">IFERROR(INDEX('TB-Pharmaceuticals'!$O$14:$O$33,MATCH($E8&amp;$F8,'TB-Pharmaceuticals'!$D$14:$D$33&amp;'TB-Pharmaceuticals'!$G$14:$G$33,0)),0)</f>
        <v>0</v>
      </c>
      <c r="O8" s="626">
        <f t="shared" si="3"/>
        <v>0</v>
      </c>
      <c r="P8" s="626">
        <f t="shared" si="4"/>
        <v>0</v>
      </c>
      <c r="Q8" s="626">
        <f t="shared" si="5"/>
        <v>0</v>
      </c>
      <c r="R8" s="625">
        <f t="array" ref="R8">IFERROR(INDEX('TB-Pharmaceuticals'!$P$14:$P$33,MATCH($E8&amp;$F8,'TB-Pharmaceuticals'!$D$14:$D$33&amp;'TB-Pharmaceuticals'!$G$14:$G$33,0)),0)</f>
        <v>0</v>
      </c>
      <c r="S8" s="626">
        <f t="shared" si="6"/>
        <v>0</v>
      </c>
      <c r="T8" s="626">
        <f t="shared" si="7"/>
        <v>0</v>
      </c>
      <c r="U8" s="626">
        <f t="shared" si="8"/>
        <v>0</v>
      </c>
      <c r="V8" s="625">
        <f t="array" ref="V8">IFERROR(INDEX('TB-Pharmaceuticals'!$Q$14:$Q$33,MATCH($E8&amp;$F8,'TB-Pharmaceuticals'!$D$14:$D$33&amp;'TB-Pharmaceuticals'!$G$14:$G$33,0)),0)</f>
        <v>0</v>
      </c>
      <c r="W8" s="626">
        <f t="shared" si="9"/>
        <v>0</v>
      </c>
      <c r="X8" s="626">
        <f t="shared" si="10"/>
        <v>0</v>
      </c>
      <c r="Y8" s="626">
        <f t="shared" si="11"/>
        <v>0</v>
      </c>
      <c r="Z8" s="627"/>
      <c r="AA8" s="625">
        <f t="array" ref="AA8">IFERROR(INDEX('TB-Pharmaceuticals'!$T$14:$T$33,MATCH($E8&amp;$F8,'TB-Pharmaceuticals'!$D$14:$D$33&amp;'TB-Pharmaceuticals'!$G$14:$G$33,0)),0)</f>
        <v>0</v>
      </c>
      <c r="AB8" s="625">
        <f t="array" ref="AB8">IFERROR(INDEX('TB-Pharmaceuticals'!$U$14:$U$33,MATCH($E8&amp;$F8,'TB-Pharmaceuticals'!$D$14:$D$33&amp;'TB-Pharmaceuticals'!$G$14:$G$33,0)),0)</f>
        <v>0</v>
      </c>
      <c r="AC8" s="626">
        <f t="shared" si="12"/>
        <v>0</v>
      </c>
      <c r="AD8" s="626">
        <f t="shared" si="13"/>
        <v>0</v>
      </c>
      <c r="AE8" s="626">
        <f t="shared" si="14"/>
        <v>0</v>
      </c>
      <c r="AF8" s="625">
        <f t="array" ref="AF8">IFERROR(INDEX('TB-Pharmaceuticals'!$V$14:$V$33,MATCH($E8&amp;$F8,'TB-Pharmaceuticals'!$D$14:$D$33&amp;'TB-Pharmaceuticals'!$G$14:$G$33,0)),0)</f>
        <v>0</v>
      </c>
      <c r="AG8" s="626">
        <f t="shared" si="15"/>
        <v>0</v>
      </c>
      <c r="AH8" s="626">
        <f t="shared" si="16"/>
        <v>0</v>
      </c>
      <c r="AI8" s="626">
        <f t="shared" si="17"/>
        <v>0</v>
      </c>
      <c r="AJ8" s="625">
        <f t="array" ref="AJ8">IFERROR(INDEX('TB-Pharmaceuticals'!$W$14:$W$33,MATCH($E8&amp;$F8,'TB-Pharmaceuticals'!$D$14:$D$33&amp;'TB-Pharmaceuticals'!$G$14:$G$33,0)),0)</f>
        <v>0</v>
      </c>
      <c r="AK8" s="626">
        <f t="shared" si="18"/>
        <v>0</v>
      </c>
      <c r="AL8" s="626">
        <f t="shared" si="19"/>
        <v>0</v>
      </c>
      <c r="AM8" s="626">
        <f t="shared" si="20"/>
        <v>0</v>
      </c>
      <c r="AN8" s="625">
        <f t="array" ref="AN8">IFERROR(INDEX('TB-Pharmaceuticals'!$X$14:$X$33,MATCH($E8&amp;$F8,'TB-Pharmaceuticals'!$D$14:$D$33&amp;'TB-Pharmaceuticals'!$G$14:$G$33,0)),0)</f>
        <v>0</v>
      </c>
      <c r="AO8" s="626">
        <f t="shared" si="21"/>
        <v>0</v>
      </c>
      <c r="AP8" s="626">
        <f t="shared" si="22"/>
        <v>0</v>
      </c>
      <c r="AQ8" s="626">
        <f t="shared" si="23"/>
        <v>0</v>
      </c>
      <c r="AR8" s="627"/>
      <c r="AS8" s="625">
        <f t="array" ref="AS8">IFERROR(INDEX('TB-Pharmaceuticals'!$AA$14:$AA$33,MATCH($E8&amp;$F8,'TB-Pharmaceuticals'!$D$14:$D$33&amp;'TB-Pharmaceuticals'!$G$14:$G$33,0)),0)</f>
        <v>0</v>
      </c>
      <c r="AT8" s="625">
        <f t="array" ref="AT8">IFERROR(INDEX('TB-Pharmaceuticals'!$AB$14:$AB$33,MATCH($E8&amp;$F8,'TB-Pharmaceuticals'!$D$14:$D$33&amp;'TB-Pharmaceuticals'!$G$14:$G$33,0)),0)</f>
        <v>0</v>
      </c>
      <c r="AU8" s="626">
        <f t="shared" si="24"/>
        <v>0</v>
      </c>
      <c r="AV8" s="626">
        <f t="shared" si="25"/>
        <v>0</v>
      </c>
      <c r="AW8" s="626">
        <f t="shared" si="26"/>
        <v>0</v>
      </c>
      <c r="AX8" s="625">
        <f t="array" ref="AX8">IFERROR(INDEX('TB-Pharmaceuticals'!$AC$14:$AC$33,MATCH($E8&amp;$F8,'TB-Pharmaceuticals'!$D$14:$D$33&amp;'TB-Pharmaceuticals'!$G$14:$G$33,0)),0)</f>
        <v>0</v>
      </c>
      <c r="AY8" s="626">
        <f t="shared" si="27"/>
        <v>0</v>
      </c>
      <c r="AZ8" s="626">
        <f t="shared" si="28"/>
        <v>0</v>
      </c>
      <c r="BA8" s="626">
        <f t="shared" si="29"/>
        <v>0</v>
      </c>
      <c r="BB8" s="625">
        <f t="array" ref="BB8">IFERROR(INDEX('TB-Pharmaceuticals'!$AD$14:$AD$33,MATCH($E8&amp;$F8,'TB-Pharmaceuticals'!$D$14:$D$33&amp;'TB-Pharmaceuticals'!$G$14:$G$33,0)),0)</f>
        <v>0</v>
      </c>
      <c r="BC8" s="626">
        <f t="shared" si="30"/>
        <v>0</v>
      </c>
      <c r="BD8" s="626">
        <f t="shared" si="31"/>
        <v>0</v>
      </c>
      <c r="BE8" s="626">
        <f t="shared" si="32"/>
        <v>0</v>
      </c>
      <c r="BF8" s="625">
        <f t="array" ref="BF8">IFERROR(INDEX('TB-Pharmaceuticals'!$AE$14:$AE$33,MATCH($E8&amp;$F8,'TB-Pharmaceuticals'!$D$14:$D$33&amp;'TB-Pharmaceuticals'!$G$14:$G$33,0)),0)</f>
        <v>0</v>
      </c>
      <c r="BG8" s="626">
        <f t="shared" si="33"/>
        <v>0</v>
      </c>
      <c r="BH8" s="626">
        <f t="shared" si="34"/>
        <v>0</v>
      </c>
      <c r="BI8" s="626">
        <f t="shared" si="35"/>
        <v>0</v>
      </c>
      <c r="BK8" s="626"/>
      <c r="BL8" s="626"/>
      <c r="BM8" s="626"/>
      <c r="BN8" s="626"/>
      <c r="BO8" s="626"/>
      <c r="BP8" s="626"/>
      <c r="BQ8" s="626"/>
      <c r="BR8" s="626"/>
    </row>
    <row r="9" spans="1:70">
      <c r="A9" s="32" t="s">
        <v>1541</v>
      </c>
      <c r="B9" s="32" t="s">
        <v>1737</v>
      </c>
      <c r="C9" s="619">
        <f>SETUP!$F$36</f>
        <v>0</v>
      </c>
      <c r="D9" s="31">
        <v>4.2</v>
      </c>
      <c r="E9" s="32" t="s">
        <v>1281</v>
      </c>
      <c r="F9" s="32" t="s">
        <v>1284</v>
      </c>
      <c r="G9" s="625" t="str">
        <f t="array" ref="G9">IFERROR(INDEX('TB-Pharmaceuticals'!$K$14:$K$33,MATCH($E9&amp;$F9,'TB-Pharmaceuticals'!$D$14:$D$33&amp;'TB-Pharmaceuticals'!$G$14:$G$33,0)),"")</f>
        <v/>
      </c>
      <c r="H9" s="625" t="str">
        <f t="array" ref="H9">IFERROR(INDEX('TB-Pharmaceuticals'!$L$14:$L$33,MATCH($E9&amp;$F9,'TB-Pharmaceuticals'!$D$14:$D$33&amp;'TB-Pharmaceuticals'!$G$14:$G$33,0)),"")</f>
        <v/>
      </c>
      <c r="I9" s="625">
        <f t="array" ref="I9">IFERROR(INDEX('TB-Pharmaceuticals'!$M$14:$M$33,MATCH($E9&amp;$F9,'TB-Pharmaceuticals'!$D$14:$D$33&amp;'TB-Pharmaceuticals'!$G$14:$G$33,0)),0)</f>
        <v>0</v>
      </c>
      <c r="J9" s="625">
        <f t="array" ref="J9">IFERROR(INDEX('TB-Pharmaceuticals'!$N$14:$N$33,MATCH($E9&amp;$F9,'TB-Pharmaceuticals'!$D$14:$D$33&amp;'TB-Pharmaceuticals'!$G$14:$G$33,0)),0)</f>
        <v>0</v>
      </c>
      <c r="K9" s="626">
        <f t="shared" si="0"/>
        <v>0</v>
      </c>
      <c r="L9" s="626">
        <f t="shared" si="1"/>
        <v>0</v>
      </c>
      <c r="M9" s="626">
        <f t="shared" si="2"/>
        <v>0</v>
      </c>
      <c r="N9" s="625">
        <f t="array" ref="N9">IFERROR(INDEX('TB-Pharmaceuticals'!$O$14:$O$33,MATCH($E9&amp;$F9,'TB-Pharmaceuticals'!$D$14:$D$33&amp;'TB-Pharmaceuticals'!$G$14:$G$33,0)),0)</f>
        <v>0</v>
      </c>
      <c r="O9" s="626">
        <f t="shared" si="3"/>
        <v>0</v>
      </c>
      <c r="P9" s="626">
        <f t="shared" si="4"/>
        <v>0</v>
      </c>
      <c r="Q9" s="626">
        <f t="shared" si="5"/>
        <v>0</v>
      </c>
      <c r="R9" s="625">
        <f t="array" ref="R9">IFERROR(INDEX('TB-Pharmaceuticals'!$P$14:$P$33,MATCH($E9&amp;$F9,'TB-Pharmaceuticals'!$D$14:$D$33&amp;'TB-Pharmaceuticals'!$G$14:$G$33,0)),0)</f>
        <v>0</v>
      </c>
      <c r="S9" s="626">
        <f t="shared" si="6"/>
        <v>0</v>
      </c>
      <c r="T9" s="626">
        <f t="shared" si="7"/>
        <v>0</v>
      </c>
      <c r="U9" s="626">
        <f t="shared" si="8"/>
        <v>0</v>
      </c>
      <c r="V9" s="625">
        <f t="array" ref="V9">IFERROR(INDEX('TB-Pharmaceuticals'!$Q$14:$Q$33,MATCH($E9&amp;$F9,'TB-Pharmaceuticals'!$D$14:$D$33&amp;'TB-Pharmaceuticals'!$G$14:$G$33,0)),0)</f>
        <v>0</v>
      </c>
      <c r="W9" s="626">
        <f t="shared" si="9"/>
        <v>0</v>
      </c>
      <c r="X9" s="626">
        <f t="shared" si="10"/>
        <v>0</v>
      </c>
      <c r="Y9" s="626">
        <f t="shared" si="11"/>
        <v>0</v>
      </c>
      <c r="Z9" s="627"/>
      <c r="AA9" s="625">
        <f t="array" ref="AA9">IFERROR(INDEX('TB-Pharmaceuticals'!$T$14:$T$33,MATCH($E9&amp;$F9,'TB-Pharmaceuticals'!$D$14:$D$33&amp;'TB-Pharmaceuticals'!$G$14:$G$33,0)),0)</f>
        <v>0</v>
      </c>
      <c r="AB9" s="625">
        <f t="array" ref="AB9">IFERROR(INDEX('TB-Pharmaceuticals'!$U$14:$U$33,MATCH($E9&amp;$F9,'TB-Pharmaceuticals'!$D$14:$D$33&amp;'TB-Pharmaceuticals'!$G$14:$G$33,0)),0)</f>
        <v>0</v>
      </c>
      <c r="AC9" s="626">
        <f t="shared" si="12"/>
        <v>0</v>
      </c>
      <c r="AD9" s="626">
        <f t="shared" si="13"/>
        <v>0</v>
      </c>
      <c r="AE9" s="626">
        <f t="shared" si="14"/>
        <v>0</v>
      </c>
      <c r="AF9" s="625">
        <f t="array" ref="AF9">IFERROR(INDEX('TB-Pharmaceuticals'!$V$14:$V$33,MATCH($E9&amp;$F9,'TB-Pharmaceuticals'!$D$14:$D$33&amp;'TB-Pharmaceuticals'!$G$14:$G$33,0)),0)</f>
        <v>0</v>
      </c>
      <c r="AG9" s="626">
        <f t="shared" si="15"/>
        <v>0</v>
      </c>
      <c r="AH9" s="626">
        <f t="shared" si="16"/>
        <v>0</v>
      </c>
      <c r="AI9" s="626">
        <f t="shared" si="17"/>
        <v>0</v>
      </c>
      <c r="AJ9" s="625">
        <f t="array" ref="AJ9">IFERROR(INDEX('TB-Pharmaceuticals'!$W$14:$W$33,MATCH($E9&amp;$F9,'TB-Pharmaceuticals'!$D$14:$D$33&amp;'TB-Pharmaceuticals'!$G$14:$G$33,0)),0)</f>
        <v>0</v>
      </c>
      <c r="AK9" s="626">
        <f t="shared" si="18"/>
        <v>0</v>
      </c>
      <c r="AL9" s="626">
        <f t="shared" si="19"/>
        <v>0</v>
      </c>
      <c r="AM9" s="626">
        <f t="shared" si="20"/>
        <v>0</v>
      </c>
      <c r="AN9" s="625">
        <f t="array" ref="AN9">IFERROR(INDEX('TB-Pharmaceuticals'!$X$14:$X$33,MATCH($E9&amp;$F9,'TB-Pharmaceuticals'!$D$14:$D$33&amp;'TB-Pharmaceuticals'!$G$14:$G$33,0)),0)</f>
        <v>0</v>
      </c>
      <c r="AO9" s="626">
        <f t="shared" si="21"/>
        <v>0</v>
      </c>
      <c r="AP9" s="626">
        <f t="shared" si="22"/>
        <v>0</v>
      </c>
      <c r="AQ9" s="626">
        <f t="shared" si="23"/>
        <v>0</v>
      </c>
      <c r="AR9" s="627"/>
      <c r="AS9" s="625">
        <f t="array" ref="AS9">IFERROR(INDEX('TB-Pharmaceuticals'!$AA$14:$AA$33,MATCH($E9&amp;$F9,'TB-Pharmaceuticals'!$D$14:$D$33&amp;'TB-Pharmaceuticals'!$G$14:$G$33,0)),0)</f>
        <v>0</v>
      </c>
      <c r="AT9" s="625">
        <f t="array" ref="AT9">IFERROR(INDEX('TB-Pharmaceuticals'!$AB$14:$AB$33,MATCH($E9&amp;$F9,'TB-Pharmaceuticals'!$D$14:$D$33&amp;'TB-Pharmaceuticals'!$G$14:$G$33,0)),0)</f>
        <v>0</v>
      </c>
      <c r="AU9" s="626">
        <f t="shared" si="24"/>
        <v>0</v>
      </c>
      <c r="AV9" s="626">
        <f t="shared" si="25"/>
        <v>0</v>
      </c>
      <c r="AW9" s="626">
        <f t="shared" si="26"/>
        <v>0</v>
      </c>
      <c r="AX9" s="625">
        <f t="array" ref="AX9">IFERROR(INDEX('TB-Pharmaceuticals'!$AC$14:$AC$33,MATCH($E9&amp;$F9,'TB-Pharmaceuticals'!$D$14:$D$33&amp;'TB-Pharmaceuticals'!$G$14:$G$33,0)),0)</f>
        <v>0</v>
      </c>
      <c r="AY9" s="626">
        <f t="shared" si="27"/>
        <v>0</v>
      </c>
      <c r="AZ9" s="626">
        <f t="shared" si="28"/>
        <v>0</v>
      </c>
      <c r="BA9" s="626">
        <f t="shared" si="29"/>
        <v>0</v>
      </c>
      <c r="BB9" s="625">
        <f t="array" ref="BB9">IFERROR(INDEX('TB-Pharmaceuticals'!$AD$14:$AD$33,MATCH($E9&amp;$F9,'TB-Pharmaceuticals'!$D$14:$D$33&amp;'TB-Pharmaceuticals'!$G$14:$G$33,0)),0)</f>
        <v>0</v>
      </c>
      <c r="BC9" s="626">
        <f t="shared" si="30"/>
        <v>0</v>
      </c>
      <c r="BD9" s="626">
        <f t="shared" si="31"/>
        <v>0</v>
      </c>
      <c r="BE9" s="626">
        <f t="shared" si="32"/>
        <v>0</v>
      </c>
      <c r="BF9" s="625">
        <f t="array" ref="BF9">IFERROR(INDEX('TB-Pharmaceuticals'!$AE$14:$AE$33,MATCH($E9&amp;$F9,'TB-Pharmaceuticals'!$D$14:$D$33&amp;'TB-Pharmaceuticals'!$G$14:$G$33,0)),0)</f>
        <v>0</v>
      </c>
      <c r="BG9" s="626">
        <f t="shared" si="33"/>
        <v>0</v>
      </c>
      <c r="BH9" s="626">
        <f t="shared" si="34"/>
        <v>0</v>
      </c>
      <c r="BI9" s="626">
        <f t="shared" si="35"/>
        <v>0</v>
      </c>
      <c r="BK9" s="626"/>
      <c r="BL9" s="626"/>
      <c r="BM9" s="626"/>
      <c r="BN9" s="626"/>
      <c r="BO9" s="626"/>
      <c r="BP9" s="626"/>
      <c r="BQ9" s="626"/>
      <c r="BR9" s="626"/>
    </row>
    <row r="10" spans="1:70">
      <c r="A10" s="32" t="s">
        <v>1541</v>
      </c>
      <c r="B10" s="32" t="s">
        <v>1737</v>
      </c>
      <c r="C10" s="619">
        <f>SETUP!$F$36</f>
        <v>0</v>
      </c>
      <c r="D10" s="31">
        <v>4.2</v>
      </c>
      <c r="E10" s="32" t="s">
        <v>425</v>
      </c>
      <c r="F10" s="32" t="s">
        <v>1264</v>
      </c>
      <c r="G10" s="625" t="str">
        <f t="array" ref="G10">IFERROR(INDEX('TB-Pharmaceuticals'!$K$14:$K$33,MATCH($E10&amp;$F10,'TB-Pharmaceuticals'!$D$14:$D$33&amp;'TB-Pharmaceuticals'!$G$14:$G$33,0)),"")</f>
        <v/>
      </c>
      <c r="H10" s="625" t="str">
        <f t="array" ref="H10">IFERROR(INDEX('TB-Pharmaceuticals'!$L$14:$L$33,MATCH($E10&amp;$F10,'TB-Pharmaceuticals'!$D$14:$D$33&amp;'TB-Pharmaceuticals'!$G$14:$G$33,0)),"")</f>
        <v/>
      </c>
      <c r="I10" s="625">
        <f t="array" ref="I10">IFERROR(INDEX('TB-Pharmaceuticals'!$M$14:$M$33,MATCH($E10&amp;$F10,'TB-Pharmaceuticals'!$D$14:$D$33&amp;'TB-Pharmaceuticals'!$G$14:$G$33,0)),0)</f>
        <v>0</v>
      </c>
      <c r="J10" s="625">
        <f t="array" ref="J10">IFERROR(INDEX('TB-Pharmaceuticals'!$N$14:$N$33,MATCH($E10&amp;$F10,'TB-Pharmaceuticals'!$D$14:$D$33&amp;'TB-Pharmaceuticals'!$G$14:$G$33,0)),0)</f>
        <v>0</v>
      </c>
      <c r="K10" s="626">
        <f t="shared" si="0"/>
        <v>0</v>
      </c>
      <c r="L10" s="626">
        <f t="shared" si="1"/>
        <v>0</v>
      </c>
      <c r="M10" s="626">
        <f t="shared" si="2"/>
        <v>0</v>
      </c>
      <c r="N10" s="625">
        <f t="array" ref="N10">IFERROR(INDEX('TB-Pharmaceuticals'!$O$14:$O$33,MATCH($E10&amp;$F10,'TB-Pharmaceuticals'!$D$14:$D$33&amp;'TB-Pharmaceuticals'!$G$14:$G$33,0)),0)</f>
        <v>0</v>
      </c>
      <c r="O10" s="626">
        <f t="shared" si="3"/>
        <v>0</v>
      </c>
      <c r="P10" s="626">
        <f t="shared" si="4"/>
        <v>0</v>
      </c>
      <c r="Q10" s="626">
        <f t="shared" si="5"/>
        <v>0</v>
      </c>
      <c r="R10" s="625">
        <f t="array" ref="R10">IFERROR(INDEX('TB-Pharmaceuticals'!$P$14:$P$33,MATCH($E10&amp;$F10,'TB-Pharmaceuticals'!$D$14:$D$33&amp;'TB-Pharmaceuticals'!$G$14:$G$33,0)),0)</f>
        <v>0</v>
      </c>
      <c r="S10" s="626">
        <f t="shared" si="6"/>
        <v>0</v>
      </c>
      <c r="T10" s="626">
        <f t="shared" si="7"/>
        <v>0</v>
      </c>
      <c r="U10" s="626">
        <f t="shared" si="8"/>
        <v>0</v>
      </c>
      <c r="V10" s="625">
        <f t="array" ref="V10">IFERROR(INDEX('TB-Pharmaceuticals'!$Q$14:$Q$33,MATCH($E10&amp;$F10,'TB-Pharmaceuticals'!$D$14:$D$33&amp;'TB-Pharmaceuticals'!$G$14:$G$33,0)),0)</f>
        <v>0</v>
      </c>
      <c r="W10" s="626">
        <f t="shared" si="9"/>
        <v>0</v>
      </c>
      <c r="X10" s="626">
        <f t="shared" si="10"/>
        <v>0</v>
      </c>
      <c r="Y10" s="626">
        <f t="shared" si="11"/>
        <v>0</v>
      </c>
      <c r="Z10" s="627"/>
      <c r="AA10" s="625">
        <f t="array" ref="AA10">IFERROR(INDEX('TB-Pharmaceuticals'!$T$14:$T$33,MATCH($E10&amp;$F10,'TB-Pharmaceuticals'!$D$14:$D$33&amp;'TB-Pharmaceuticals'!$G$14:$G$33,0)),0)</f>
        <v>0</v>
      </c>
      <c r="AB10" s="625">
        <f t="array" ref="AB10">IFERROR(INDEX('TB-Pharmaceuticals'!$U$14:$U$33,MATCH($E10&amp;$F10,'TB-Pharmaceuticals'!$D$14:$D$33&amp;'TB-Pharmaceuticals'!$G$14:$G$33,0)),0)</f>
        <v>0</v>
      </c>
      <c r="AC10" s="626">
        <f t="shared" si="12"/>
        <v>0</v>
      </c>
      <c r="AD10" s="626">
        <f t="shared" si="13"/>
        <v>0</v>
      </c>
      <c r="AE10" s="626">
        <f t="shared" si="14"/>
        <v>0</v>
      </c>
      <c r="AF10" s="625">
        <f t="array" ref="AF10">IFERROR(INDEX('TB-Pharmaceuticals'!$V$14:$V$33,MATCH($E10&amp;$F10,'TB-Pharmaceuticals'!$D$14:$D$33&amp;'TB-Pharmaceuticals'!$G$14:$G$33,0)),0)</f>
        <v>0</v>
      </c>
      <c r="AG10" s="626">
        <f t="shared" si="15"/>
        <v>0</v>
      </c>
      <c r="AH10" s="626">
        <f t="shared" si="16"/>
        <v>0</v>
      </c>
      <c r="AI10" s="626">
        <f t="shared" si="17"/>
        <v>0</v>
      </c>
      <c r="AJ10" s="625">
        <f t="array" ref="AJ10">IFERROR(INDEX('TB-Pharmaceuticals'!$W$14:$W$33,MATCH($E10&amp;$F10,'TB-Pharmaceuticals'!$D$14:$D$33&amp;'TB-Pharmaceuticals'!$G$14:$G$33,0)),0)</f>
        <v>0</v>
      </c>
      <c r="AK10" s="626">
        <f t="shared" si="18"/>
        <v>0</v>
      </c>
      <c r="AL10" s="626">
        <f t="shared" si="19"/>
        <v>0</v>
      </c>
      <c r="AM10" s="626">
        <f t="shared" si="20"/>
        <v>0</v>
      </c>
      <c r="AN10" s="625">
        <f t="array" ref="AN10">IFERROR(INDEX('TB-Pharmaceuticals'!$X$14:$X$33,MATCH($E10&amp;$F10,'TB-Pharmaceuticals'!$D$14:$D$33&amp;'TB-Pharmaceuticals'!$G$14:$G$33,0)),0)</f>
        <v>0</v>
      </c>
      <c r="AO10" s="626">
        <f t="shared" si="21"/>
        <v>0</v>
      </c>
      <c r="AP10" s="626">
        <f t="shared" si="22"/>
        <v>0</v>
      </c>
      <c r="AQ10" s="626">
        <f t="shared" si="23"/>
        <v>0</v>
      </c>
      <c r="AR10" s="627"/>
      <c r="AS10" s="625">
        <f t="array" ref="AS10">IFERROR(INDEX('TB-Pharmaceuticals'!$AA$14:$AA$33,MATCH($E10&amp;$F10,'TB-Pharmaceuticals'!$D$14:$D$33&amp;'TB-Pharmaceuticals'!$G$14:$G$33,0)),0)</f>
        <v>0</v>
      </c>
      <c r="AT10" s="625">
        <f t="array" ref="AT10">IFERROR(INDEX('TB-Pharmaceuticals'!$AB$14:$AB$33,MATCH($E10&amp;$F10,'TB-Pharmaceuticals'!$D$14:$D$33&amp;'TB-Pharmaceuticals'!$G$14:$G$33,0)),0)</f>
        <v>0</v>
      </c>
      <c r="AU10" s="626">
        <f t="shared" si="24"/>
        <v>0</v>
      </c>
      <c r="AV10" s="626">
        <f t="shared" si="25"/>
        <v>0</v>
      </c>
      <c r="AW10" s="626">
        <f t="shared" si="26"/>
        <v>0</v>
      </c>
      <c r="AX10" s="625">
        <f t="array" ref="AX10">IFERROR(INDEX('TB-Pharmaceuticals'!$AC$14:$AC$33,MATCH($E10&amp;$F10,'TB-Pharmaceuticals'!$D$14:$D$33&amp;'TB-Pharmaceuticals'!$G$14:$G$33,0)),0)</f>
        <v>0</v>
      </c>
      <c r="AY10" s="626">
        <f t="shared" si="27"/>
        <v>0</v>
      </c>
      <c r="AZ10" s="626">
        <f t="shared" si="28"/>
        <v>0</v>
      </c>
      <c r="BA10" s="626">
        <f t="shared" si="29"/>
        <v>0</v>
      </c>
      <c r="BB10" s="625">
        <f t="array" ref="BB10">IFERROR(INDEX('TB-Pharmaceuticals'!$AD$14:$AD$33,MATCH($E10&amp;$F10,'TB-Pharmaceuticals'!$D$14:$D$33&amp;'TB-Pharmaceuticals'!$G$14:$G$33,0)),0)</f>
        <v>0</v>
      </c>
      <c r="BC10" s="626">
        <f t="shared" si="30"/>
        <v>0</v>
      </c>
      <c r="BD10" s="626">
        <f t="shared" si="31"/>
        <v>0</v>
      </c>
      <c r="BE10" s="626">
        <f t="shared" si="32"/>
        <v>0</v>
      </c>
      <c r="BF10" s="625">
        <f t="array" ref="BF10">IFERROR(INDEX('TB-Pharmaceuticals'!$AE$14:$AE$33,MATCH($E10&amp;$F10,'TB-Pharmaceuticals'!$D$14:$D$33&amp;'TB-Pharmaceuticals'!$G$14:$G$33,0)),0)</f>
        <v>0</v>
      </c>
      <c r="BG10" s="626">
        <f t="shared" si="33"/>
        <v>0</v>
      </c>
      <c r="BH10" s="626">
        <f t="shared" si="34"/>
        <v>0</v>
      </c>
      <c r="BI10" s="626">
        <f t="shared" si="35"/>
        <v>0</v>
      </c>
      <c r="BK10" s="626"/>
      <c r="BL10" s="626"/>
      <c r="BM10" s="626"/>
      <c r="BN10" s="626"/>
      <c r="BO10" s="626"/>
      <c r="BP10" s="626"/>
      <c r="BQ10" s="626"/>
      <c r="BR10" s="626"/>
    </row>
    <row r="11" spans="1:70">
      <c r="A11" s="32" t="s">
        <v>1541</v>
      </c>
      <c r="B11" s="32" t="s">
        <v>1737</v>
      </c>
      <c r="C11" s="619">
        <f>SETUP!$F$36</f>
        <v>0</v>
      </c>
      <c r="D11" s="31">
        <v>4.2</v>
      </c>
      <c r="E11" s="32" t="s">
        <v>425</v>
      </c>
      <c r="F11" s="32" t="s">
        <v>1265</v>
      </c>
      <c r="G11" s="625" t="str">
        <f t="array" ref="G11">IFERROR(INDEX('TB-Pharmaceuticals'!$K$14:$K$33,MATCH($E11&amp;$F11,'TB-Pharmaceuticals'!$D$14:$D$33&amp;'TB-Pharmaceuticals'!$G$14:$G$33,0)),"")</f>
        <v/>
      </c>
      <c r="H11" s="625" t="str">
        <f t="array" ref="H11">IFERROR(INDEX('TB-Pharmaceuticals'!$L$14:$L$33,MATCH($E11&amp;$F11,'TB-Pharmaceuticals'!$D$14:$D$33&amp;'TB-Pharmaceuticals'!$G$14:$G$33,0)),"")</f>
        <v/>
      </c>
      <c r="I11" s="625">
        <f t="array" ref="I11">IFERROR(INDEX('TB-Pharmaceuticals'!$M$14:$M$33,MATCH($E11&amp;$F11,'TB-Pharmaceuticals'!$D$14:$D$33&amp;'TB-Pharmaceuticals'!$G$14:$G$33,0)),0)</f>
        <v>0</v>
      </c>
      <c r="J11" s="625">
        <f t="array" ref="J11">IFERROR(INDEX('TB-Pharmaceuticals'!$N$14:$N$33,MATCH($E11&amp;$F11,'TB-Pharmaceuticals'!$D$14:$D$33&amp;'TB-Pharmaceuticals'!$G$14:$G$33,0)),0)</f>
        <v>0</v>
      </c>
      <c r="K11" s="626">
        <f t="shared" si="0"/>
        <v>0</v>
      </c>
      <c r="L11" s="626">
        <f t="shared" si="1"/>
        <v>0</v>
      </c>
      <c r="M11" s="626">
        <f t="shared" si="2"/>
        <v>0</v>
      </c>
      <c r="N11" s="625">
        <f t="array" ref="N11">IFERROR(INDEX('TB-Pharmaceuticals'!$O$14:$O$33,MATCH($E11&amp;$F11,'TB-Pharmaceuticals'!$D$14:$D$33&amp;'TB-Pharmaceuticals'!$G$14:$G$33,0)),0)</f>
        <v>0</v>
      </c>
      <c r="O11" s="626">
        <f t="shared" si="3"/>
        <v>0</v>
      </c>
      <c r="P11" s="626">
        <f t="shared" si="4"/>
        <v>0</v>
      </c>
      <c r="Q11" s="626">
        <f t="shared" si="5"/>
        <v>0</v>
      </c>
      <c r="R11" s="625">
        <f t="array" ref="R11">IFERROR(INDEX('TB-Pharmaceuticals'!$P$14:$P$33,MATCH($E11&amp;$F11,'TB-Pharmaceuticals'!$D$14:$D$33&amp;'TB-Pharmaceuticals'!$G$14:$G$33,0)),0)</f>
        <v>0</v>
      </c>
      <c r="S11" s="626">
        <f t="shared" si="6"/>
        <v>0</v>
      </c>
      <c r="T11" s="626">
        <f t="shared" si="7"/>
        <v>0</v>
      </c>
      <c r="U11" s="626">
        <f t="shared" si="8"/>
        <v>0</v>
      </c>
      <c r="V11" s="625">
        <f t="array" ref="V11">IFERROR(INDEX('TB-Pharmaceuticals'!$Q$14:$Q$33,MATCH($E11&amp;$F11,'TB-Pharmaceuticals'!$D$14:$D$33&amp;'TB-Pharmaceuticals'!$G$14:$G$33,0)),0)</f>
        <v>0</v>
      </c>
      <c r="W11" s="626">
        <f t="shared" si="9"/>
        <v>0</v>
      </c>
      <c r="X11" s="626">
        <f t="shared" si="10"/>
        <v>0</v>
      </c>
      <c r="Y11" s="626">
        <f t="shared" si="11"/>
        <v>0</v>
      </c>
      <c r="Z11" s="627"/>
      <c r="AA11" s="625">
        <f t="array" ref="AA11">IFERROR(INDEX('TB-Pharmaceuticals'!$T$14:$T$33,MATCH($E11&amp;$F11,'TB-Pharmaceuticals'!$D$14:$D$33&amp;'TB-Pharmaceuticals'!$G$14:$G$33,0)),0)</f>
        <v>0</v>
      </c>
      <c r="AB11" s="625">
        <f t="array" ref="AB11">IFERROR(INDEX('TB-Pharmaceuticals'!$U$14:$U$33,MATCH($E11&amp;$F11,'TB-Pharmaceuticals'!$D$14:$D$33&amp;'TB-Pharmaceuticals'!$G$14:$G$33,0)),0)</f>
        <v>0</v>
      </c>
      <c r="AC11" s="626">
        <f t="shared" si="12"/>
        <v>0</v>
      </c>
      <c r="AD11" s="626">
        <f t="shared" si="13"/>
        <v>0</v>
      </c>
      <c r="AE11" s="626">
        <f t="shared" si="14"/>
        <v>0</v>
      </c>
      <c r="AF11" s="625">
        <f t="array" ref="AF11">IFERROR(INDEX('TB-Pharmaceuticals'!$V$14:$V$33,MATCH($E11&amp;$F11,'TB-Pharmaceuticals'!$D$14:$D$33&amp;'TB-Pharmaceuticals'!$G$14:$G$33,0)),0)</f>
        <v>0</v>
      </c>
      <c r="AG11" s="626">
        <f t="shared" si="15"/>
        <v>0</v>
      </c>
      <c r="AH11" s="626">
        <f t="shared" si="16"/>
        <v>0</v>
      </c>
      <c r="AI11" s="626">
        <f t="shared" si="17"/>
        <v>0</v>
      </c>
      <c r="AJ11" s="625">
        <f t="array" ref="AJ11">IFERROR(INDEX('TB-Pharmaceuticals'!$W$14:$W$33,MATCH($E11&amp;$F11,'TB-Pharmaceuticals'!$D$14:$D$33&amp;'TB-Pharmaceuticals'!$G$14:$G$33,0)),0)</f>
        <v>0</v>
      </c>
      <c r="AK11" s="626">
        <f t="shared" si="18"/>
        <v>0</v>
      </c>
      <c r="AL11" s="626">
        <f t="shared" si="19"/>
        <v>0</v>
      </c>
      <c r="AM11" s="626">
        <f t="shared" si="20"/>
        <v>0</v>
      </c>
      <c r="AN11" s="625">
        <f t="array" ref="AN11">IFERROR(INDEX('TB-Pharmaceuticals'!$X$14:$X$33,MATCH($E11&amp;$F11,'TB-Pharmaceuticals'!$D$14:$D$33&amp;'TB-Pharmaceuticals'!$G$14:$G$33,0)),0)</f>
        <v>0</v>
      </c>
      <c r="AO11" s="626">
        <f t="shared" si="21"/>
        <v>0</v>
      </c>
      <c r="AP11" s="626">
        <f t="shared" si="22"/>
        <v>0</v>
      </c>
      <c r="AQ11" s="626">
        <f t="shared" si="23"/>
        <v>0</v>
      </c>
      <c r="AR11" s="627"/>
      <c r="AS11" s="625">
        <f t="array" ref="AS11">IFERROR(INDEX('TB-Pharmaceuticals'!$AA$14:$AA$33,MATCH($E11&amp;$F11,'TB-Pharmaceuticals'!$D$14:$D$33&amp;'TB-Pharmaceuticals'!$G$14:$G$33,0)),0)</f>
        <v>0</v>
      </c>
      <c r="AT11" s="625">
        <f t="array" ref="AT11">IFERROR(INDEX('TB-Pharmaceuticals'!$AB$14:$AB$33,MATCH($E11&amp;$F11,'TB-Pharmaceuticals'!$D$14:$D$33&amp;'TB-Pharmaceuticals'!$G$14:$G$33,0)),0)</f>
        <v>0</v>
      </c>
      <c r="AU11" s="626">
        <f t="shared" si="24"/>
        <v>0</v>
      </c>
      <c r="AV11" s="626">
        <f t="shared" si="25"/>
        <v>0</v>
      </c>
      <c r="AW11" s="626">
        <f t="shared" si="26"/>
        <v>0</v>
      </c>
      <c r="AX11" s="625">
        <f t="array" ref="AX11">IFERROR(INDEX('TB-Pharmaceuticals'!$AC$14:$AC$33,MATCH($E11&amp;$F11,'TB-Pharmaceuticals'!$D$14:$D$33&amp;'TB-Pharmaceuticals'!$G$14:$G$33,0)),0)</f>
        <v>0</v>
      </c>
      <c r="AY11" s="626">
        <f t="shared" si="27"/>
        <v>0</v>
      </c>
      <c r="AZ11" s="626">
        <f t="shared" si="28"/>
        <v>0</v>
      </c>
      <c r="BA11" s="626">
        <f t="shared" si="29"/>
        <v>0</v>
      </c>
      <c r="BB11" s="625">
        <f t="array" ref="BB11">IFERROR(INDEX('TB-Pharmaceuticals'!$AD$14:$AD$33,MATCH($E11&amp;$F11,'TB-Pharmaceuticals'!$D$14:$D$33&amp;'TB-Pharmaceuticals'!$G$14:$G$33,0)),0)</f>
        <v>0</v>
      </c>
      <c r="BC11" s="626">
        <f t="shared" si="30"/>
        <v>0</v>
      </c>
      <c r="BD11" s="626">
        <f t="shared" si="31"/>
        <v>0</v>
      </c>
      <c r="BE11" s="626">
        <f t="shared" si="32"/>
        <v>0</v>
      </c>
      <c r="BF11" s="625">
        <f t="array" ref="BF11">IFERROR(INDEX('TB-Pharmaceuticals'!$AE$14:$AE$33,MATCH($E11&amp;$F11,'TB-Pharmaceuticals'!$D$14:$D$33&amp;'TB-Pharmaceuticals'!$G$14:$G$33,0)),0)</f>
        <v>0</v>
      </c>
      <c r="BG11" s="626">
        <f t="shared" si="33"/>
        <v>0</v>
      </c>
      <c r="BH11" s="626">
        <f t="shared" si="34"/>
        <v>0</v>
      </c>
      <c r="BI11" s="626">
        <f t="shared" si="35"/>
        <v>0</v>
      </c>
      <c r="BK11" s="626"/>
      <c r="BL11" s="626"/>
      <c r="BM11" s="626"/>
      <c r="BN11" s="626"/>
      <c r="BO11" s="626"/>
      <c r="BP11" s="626"/>
      <c r="BQ11" s="626"/>
      <c r="BR11" s="626"/>
    </row>
    <row r="12" spans="1:70">
      <c r="A12" s="32" t="s">
        <v>1541</v>
      </c>
      <c r="B12" s="32" t="s">
        <v>1737</v>
      </c>
      <c r="C12" s="619">
        <f>SETUP!$F$36</f>
        <v>0</v>
      </c>
      <c r="D12" s="31">
        <v>4.2</v>
      </c>
      <c r="E12" s="32" t="s">
        <v>426</v>
      </c>
      <c r="F12" s="32" t="s">
        <v>1266</v>
      </c>
      <c r="G12" s="625" t="str">
        <f t="array" ref="G12">IFERROR(INDEX('TB-Pharmaceuticals'!$K$14:$K$33,MATCH($E12&amp;$F12,'TB-Pharmaceuticals'!$D$14:$D$33&amp;'TB-Pharmaceuticals'!$G$14:$G$33,0)),"")</f>
        <v/>
      </c>
      <c r="H12" s="625" t="str">
        <f t="array" ref="H12">IFERROR(INDEX('TB-Pharmaceuticals'!$L$14:$L$33,MATCH($E12&amp;$F12,'TB-Pharmaceuticals'!$D$14:$D$33&amp;'TB-Pharmaceuticals'!$G$14:$G$33,0)),"")</f>
        <v/>
      </c>
      <c r="I12" s="625">
        <f t="array" ref="I12">IFERROR(INDEX('TB-Pharmaceuticals'!$M$14:$M$33,MATCH($E12&amp;$F12,'TB-Pharmaceuticals'!$D$14:$D$33&amp;'TB-Pharmaceuticals'!$G$14:$G$33,0)),0)</f>
        <v>0</v>
      </c>
      <c r="J12" s="625">
        <f t="array" ref="J12">IFERROR(INDEX('TB-Pharmaceuticals'!$N$14:$N$33,MATCH($E12&amp;$F12,'TB-Pharmaceuticals'!$D$14:$D$33&amp;'TB-Pharmaceuticals'!$G$14:$G$33,0)),0)</f>
        <v>0</v>
      </c>
      <c r="K12" s="626">
        <f t="shared" si="0"/>
        <v>0</v>
      </c>
      <c r="L12" s="626">
        <f t="shared" si="1"/>
        <v>0</v>
      </c>
      <c r="M12" s="626">
        <f t="shared" si="2"/>
        <v>0</v>
      </c>
      <c r="N12" s="625">
        <f t="array" ref="N12">IFERROR(INDEX('TB-Pharmaceuticals'!$O$14:$O$33,MATCH($E12&amp;$F12,'TB-Pharmaceuticals'!$D$14:$D$33&amp;'TB-Pharmaceuticals'!$G$14:$G$33,0)),0)</f>
        <v>0</v>
      </c>
      <c r="O12" s="626">
        <f t="shared" si="3"/>
        <v>0</v>
      </c>
      <c r="P12" s="626">
        <f t="shared" si="4"/>
        <v>0</v>
      </c>
      <c r="Q12" s="626">
        <f t="shared" si="5"/>
        <v>0</v>
      </c>
      <c r="R12" s="625">
        <f t="array" ref="R12">IFERROR(INDEX('TB-Pharmaceuticals'!$P$14:$P$33,MATCH($E12&amp;$F12,'TB-Pharmaceuticals'!$D$14:$D$33&amp;'TB-Pharmaceuticals'!$G$14:$G$33,0)),0)</f>
        <v>0</v>
      </c>
      <c r="S12" s="626">
        <f t="shared" si="6"/>
        <v>0</v>
      </c>
      <c r="T12" s="626">
        <f t="shared" si="7"/>
        <v>0</v>
      </c>
      <c r="U12" s="626">
        <f t="shared" si="8"/>
        <v>0</v>
      </c>
      <c r="V12" s="625">
        <f t="array" ref="V12">IFERROR(INDEX('TB-Pharmaceuticals'!$Q$14:$Q$33,MATCH($E12&amp;$F12,'TB-Pharmaceuticals'!$D$14:$D$33&amp;'TB-Pharmaceuticals'!$G$14:$G$33,0)),0)</f>
        <v>0</v>
      </c>
      <c r="W12" s="626">
        <f t="shared" si="9"/>
        <v>0</v>
      </c>
      <c r="X12" s="626">
        <f t="shared" si="10"/>
        <v>0</v>
      </c>
      <c r="Y12" s="626">
        <f t="shared" si="11"/>
        <v>0</v>
      </c>
      <c r="Z12" s="627"/>
      <c r="AA12" s="625">
        <f t="array" ref="AA12">IFERROR(INDEX('TB-Pharmaceuticals'!$T$14:$T$33,MATCH($E12&amp;$F12,'TB-Pharmaceuticals'!$D$14:$D$33&amp;'TB-Pharmaceuticals'!$G$14:$G$33,0)),0)</f>
        <v>0</v>
      </c>
      <c r="AB12" s="625">
        <f t="array" ref="AB12">IFERROR(INDEX('TB-Pharmaceuticals'!$U$14:$U$33,MATCH($E12&amp;$F12,'TB-Pharmaceuticals'!$D$14:$D$33&amp;'TB-Pharmaceuticals'!$G$14:$G$33,0)),0)</f>
        <v>0</v>
      </c>
      <c r="AC12" s="626">
        <f t="shared" si="12"/>
        <v>0</v>
      </c>
      <c r="AD12" s="626">
        <f t="shared" si="13"/>
        <v>0</v>
      </c>
      <c r="AE12" s="626">
        <f t="shared" si="14"/>
        <v>0</v>
      </c>
      <c r="AF12" s="625">
        <f t="array" ref="AF12">IFERROR(INDEX('TB-Pharmaceuticals'!$V$14:$V$33,MATCH($E12&amp;$F12,'TB-Pharmaceuticals'!$D$14:$D$33&amp;'TB-Pharmaceuticals'!$G$14:$G$33,0)),0)</f>
        <v>0</v>
      </c>
      <c r="AG12" s="626">
        <f t="shared" si="15"/>
        <v>0</v>
      </c>
      <c r="AH12" s="626">
        <f t="shared" si="16"/>
        <v>0</v>
      </c>
      <c r="AI12" s="626">
        <f t="shared" si="17"/>
        <v>0</v>
      </c>
      <c r="AJ12" s="625">
        <f t="array" ref="AJ12">IFERROR(INDEX('TB-Pharmaceuticals'!$W$14:$W$33,MATCH($E12&amp;$F12,'TB-Pharmaceuticals'!$D$14:$D$33&amp;'TB-Pharmaceuticals'!$G$14:$G$33,0)),0)</f>
        <v>0</v>
      </c>
      <c r="AK12" s="626">
        <f t="shared" si="18"/>
        <v>0</v>
      </c>
      <c r="AL12" s="626">
        <f t="shared" si="19"/>
        <v>0</v>
      </c>
      <c r="AM12" s="626">
        <f t="shared" si="20"/>
        <v>0</v>
      </c>
      <c r="AN12" s="625">
        <f t="array" ref="AN12">IFERROR(INDEX('TB-Pharmaceuticals'!$X$14:$X$33,MATCH($E12&amp;$F12,'TB-Pharmaceuticals'!$D$14:$D$33&amp;'TB-Pharmaceuticals'!$G$14:$G$33,0)),0)</f>
        <v>0</v>
      </c>
      <c r="AO12" s="626">
        <f t="shared" si="21"/>
        <v>0</v>
      </c>
      <c r="AP12" s="626">
        <f t="shared" si="22"/>
        <v>0</v>
      </c>
      <c r="AQ12" s="626">
        <f t="shared" si="23"/>
        <v>0</v>
      </c>
      <c r="AR12" s="627"/>
      <c r="AS12" s="625">
        <f t="array" ref="AS12">IFERROR(INDEX('TB-Pharmaceuticals'!$AA$14:$AA$33,MATCH($E12&amp;$F12,'TB-Pharmaceuticals'!$D$14:$D$33&amp;'TB-Pharmaceuticals'!$G$14:$G$33,0)),0)</f>
        <v>0</v>
      </c>
      <c r="AT12" s="625">
        <f t="array" ref="AT12">IFERROR(INDEX('TB-Pharmaceuticals'!$AB$14:$AB$33,MATCH($E12&amp;$F12,'TB-Pharmaceuticals'!$D$14:$D$33&amp;'TB-Pharmaceuticals'!$G$14:$G$33,0)),0)</f>
        <v>0</v>
      </c>
      <c r="AU12" s="626">
        <f t="shared" si="24"/>
        <v>0</v>
      </c>
      <c r="AV12" s="626">
        <f t="shared" si="25"/>
        <v>0</v>
      </c>
      <c r="AW12" s="626">
        <f t="shared" si="26"/>
        <v>0</v>
      </c>
      <c r="AX12" s="625">
        <f t="array" ref="AX12">IFERROR(INDEX('TB-Pharmaceuticals'!$AC$14:$AC$33,MATCH($E12&amp;$F12,'TB-Pharmaceuticals'!$D$14:$D$33&amp;'TB-Pharmaceuticals'!$G$14:$G$33,0)),0)</f>
        <v>0</v>
      </c>
      <c r="AY12" s="626">
        <f t="shared" si="27"/>
        <v>0</v>
      </c>
      <c r="AZ12" s="626">
        <f t="shared" si="28"/>
        <v>0</v>
      </c>
      <c r="BA12" s="626">
        <f t="shared" si="29"/>
        <v>0</v>
      </c>
      <c r="BB12" s="625">
        <f t="array" ref="BB12">IFERROR(INDEX('TB-Pharmaceuticals'!$AD$14:$AD$33,MATCH($E12&amp;$F12,'TB-Pharmaceuticals'!$D$14:$D$33&amp;'TB-Pharmaceuticals'!$G$14:$G$33,0)),0)</f>
        <v>0</v>
      </c>
      <c r="BC12" s="626">
        <f t="shared" si="30"/>
        <v>0</v>
      </c>
      <c r="BD12" s="626">
        <f t="shared" si="31"/>
        <v>0</v>
      </c>
      <c r="BE12" s="626">
        <f t="shared" si="32"/>
        <v>0</v>
      </c>
      <c r="BF12" s="625">
        <f t="array" ref="BF12">IFERROR(INDEX('TB-Pharmaceuticals'!$AE$14:$AE$33,MATCH($E12&amp;$F12,'TB-Pharmaceuticals'!$D$14:$D$33&amp;'TB-Pharmaceuticals'!$G$14:$G$33,0)),0)</f>
        <v>0</v>
      </c>
      <c r="BG12" s="626">
        <f t="shared" si="33"/>
        <v>0</v>
      </c>
      <c r="BH12" s="626">
        <f t="shared" si="34"/>
        <v>0</v>
      </c>
      <c r="BI12" s="626">
        <f t="shared" si="35"/>
        <v>0</v>
      </c>
      <c r="BK12" s="626"/>
      <c r="BL12" s="626"/>
      <c r="BM12" s="626"/>
      <c r="BN12" s="626"/>
      <c r="BO12" s="626"/>
      <c r="BP12" s="626"/>
      <c r="BQ12" s="626"/>
      <c r="BR12" s="626"/>
    </row>
    <row r="13" spans="1:70">
      <c r="A13" s="32" t="s">
        <v>1541</v>
      </c>
      <c r="B13" s="32" t="s">
        <v>1737</v>
      </c>
      <c r="C13" s="619">
        <f>SETUP!$F$36</f>
        <v>0</v>
      </c>
      <c r="D13" s="31">
        <v>4.2</v>
      </c>
      <c r="E13" s="32" t="s">
        <v>426</v>
      </c>
      <c r="F13" s="32" t="s">
        <v>1267</v>
      </c>
      <c r="G13" s="625" t="str">
        <f t="array" ref="G13">IFERROR(INDEX('TB-Pharmaceuticals'!$K$14:$K$33,MATCH($E13&amp;$F13,'TB-Pharmaceuticals'!$D$14:$D$33&amp;'TB-Pharmaceuticals'!$G$14:$G$33,0)),"")</f>
        <v/>
      </c>
      <c r="H13" s="625" t="str">
        <f t="array" ref="H13">IFERROR(INDEX('TB-Pharmaceuticals'!$L$14:$L$33,MATCH($E13&amp;$F13,'TB-Pharmaceuticals'!$D$14:$D$33&amp;'TB-Pharmaceuticals'!$G$14:$G$33,0)),"")</f>
        <v/>
      </c>
      <c r="I13" s="625">
        <f t="array" ref="I13">IFERROR(INDEX('TB-Pharmaceuticals'!$M$14:$M$33,MATCH($E13&amp;$F13,'TB-Pharmaceuticals'!$D$14:$D$33&amp;'TB-Pharmaceuticals'!$G$14:$G$33,0)),0)</f>
        <v>0</v>
      </c>
      <c r="J13" s="625">
        <f t="array" ref="J13">IFERROR(INDEX('TB-Pharmaceuticals'!$N$14:$N$33,MATCH($E13&amp;$F13,'TB-Pharmaceuticals'!$D$14:$D$33&amp;'TB-Pharmaceuticals'!$G$14:$G$33,0)),0)</f>
        <v>0</v>
      </c>
      <c r="K13" s="626">
        <f t="shared" si="0"/>
        <v>0</v>
      </c>
      <c r="L13" s="626">
        <f t="shared" si="1"/>
        <v>0</v>
      </c>
      <c r="M13" s="626">
        <f t="shared" si="2"/>
        <v>0</v>
      </c>
      <c r="N13" s="625">
        <f t="array" ref="N13">IFERROR(INDEX('TB-Pharmaceuticals'!$O$14:$O$33,MATCH($E13&amp;$F13,'TB-Pharmaceuticals'!$D$14:$D$33&amp;'TB-Pharmaceuticals'!$G$14:$G$33,0)),0)</f>
        <v>0</v>
      </c>
      <c r="O13" s="626">
        <f t="shared" si="3"/>
        <v>0</v>
      </c>
      <c r="P13" s="626">
        <f t="shared" si="4"/>
        <v>0</v>
      </c>
      <c r="Q13" s="626">
        <f t="shared" si="5"/>
        <v>0</v>
      </c>
      <c r="R13" s="625">
        <f t="array" ref="R13">IFERROR(INDEX('TB-Pharmaceuticals'!$P$14:$P$33,MATCH($E13&amp;$F13,'TB-Pharmaceuticals'!$D$14:$D$33&amp;'TB-Pharmaceuticals'!$G$14:$G$33,0)),0)</f>
        <v>0</v>
      </c>
      <c r="S13" s="626">
        <f t="shared" si="6"/>
        <v>0</v>
      </c>
      <c r="T13" s="626">
        <f t="shared" si="7"/>
        <v>0</v>
      </c>
      <c r="U13" s="626">
        <f t="shared" si="8"/>
        <v>0</v>
      </c>
      <c r="V13" s="625">
        <f t="array" ref="V13">IFERROR(INDEX('TB-Pharmaceuticals'!$Q$14:$Q$33,MATCH($E13&amp;$F13,'TB-Pharmaceuticals'!$D$14:$D$33&amp;'TB-Pharmaceuticals'!$G$14:$G$33,0)),0)</f>
        <v>0</v>
      </c>
      <c r="W13" s="626">
        <f t="shared" si="9"/>
        <v>0</v>
      </c>
      <c r="X13" s="626">
        <f t="shared" si="10"/>
        <v>0</v>
      </c>
      <c r="Y13" s="626">
        <f t="shared" si="11"/>
        <v>0</v>
      </c>
      <c r="Z13" s="627"/>
      <c r="AA13" s="625">
        <f t="array" ref="AA13">IFERROR(INDEX('TB-Pharmaceuticals'!$T$14:$T$33,MATCH($E13&amp;$F13,'TB-Pharmaceuticals'!$D$14:$D$33&amp;'TB-Pharmaceuticals'!$G$14:$G$33,0)),0)</f>
        <v>0</v>
      </c>
      <c r="AB13" s="625">
        <f t="array" ref="AB13">IFERROR(INDEX('TB-Pharmaceuticals'!$U$14:$U$33,MATCH($E13&amp;$F13,'TB-Pharmaceuticals'!$D$14:$D$33&amp;'TB-Pharmaceuticals'!$G$14:$G$33,0)),0)</f>
        <v>0</v>
      </c>
      <c r="AC13" s="626">
        <f t="shared" si="12"/>
        <v>0</v>
      </c>
      <c r="AD13" s="626">
        <f t="shared" si="13"/>
        <v>0</v>
      </c>
      <c r="AE13" s="626">
        <f t="shared" si="14"/>
        <v>0</v>
      </c>
      <c r="AF13" s="625">
        <f t="array" ref="AF13">IFERROR(INDEX('TB-Pharmaceuticals'!$V$14:$V$33,MATCH($E13&amp;$F13,'TB-Pharmaceuticals'!$D$14:$D$33&amp;'TB-Pharmaceuticals'!$G$14:$G$33,0)),0)</f>
        <v>0</v>
      </c>
      <c r="AG13" s="626">
        <f t="shared" si="15"/>
        <v>0</v>
      </c>
      <c r="AH13" s="626">
        <f t="shared" si="16"/>
        <v>0</v>
      </c>
      <c r="AI13" s="626">
        <f t="shared" si="17"/>
        <v>0</v>
      </c>
      <c r="AJ13" s="625">
        <f t="array" ref="AJ13">IFERROR(INDEX('TB-Pharmaceuticals'!$W$14:$W$33,MATCH($E13&amp;$F13,'TB-Pharmaceuticals'!$D$14:$D$33&amp;'TB-Pharmaceuticals'!$G$14:$G$33,0)),0)</f>
        <v>0</v>
      </c>
      <c r="AK13" s="626">
        <f t="shared" si="18"/>
        <v>0</v>
      </c>
      <c r="AL13" s="626">
        <f t="shared" si="19"/>
        <v>0</v>
      </c>
      <c r="AM13" s="626">
        <f t="shared" si="20"/>
        <v>0</v>
      </c>
      <c r="AN13" s="625">
        <f t="array" ref="AN13">IFERROR(INDEX('TB-Pharmaceuticals'!$X$14:$X$33,MATCH($E13&amp;$F13,'TB-Pharmaceuticals'!$D$14:$D$33&amp;'TB-Pharmaceuticals'!$G$14:$G$33,0)),0)</f>
        <v>0</v>
      </c>
      <c r="AO13" s="626">
        <f t="shared" si="21"/>
        <v>0</v>
      </c>
      <c r="AP13" s="626">
        <f t="shared" si="22"/>
        <v>0</v>
      </c>
      <c r="AQ13" s="626">
        <f t="shared" si="23"/>
        <v>0</v>
      </c>
      <c r="AR13" s="627"/>
      <c r="AS13" s="625">
        <f t="array" ref="AS13">IFERROR(INDEX('TB-Pharmaceuticals'!$AA$14:$AA$33,MATCH($E13&amp;$F13,'TB-Pharmaceuticals'!$D$14:$D$33&amp;'TB-Pharmaceuticals'!$G$14:$G$33,0)),0)</f>
        <v>0</v>
      </c>
      <c r="AT13" s="625">
        <f t="array" ref="AT13">IFERROR(INDEX('TB-Pharmaceuticals'!$AB$14:$AB$33,MATCH($E13&amp;$F13,'TB-Pharmaceuticals'!$D$14:$D$33&amp;'TB-Pharmaceuticals'!$G$14:$G$33,0)),0)</f>
        <v>0</v>
      </c>
      <c r="AU13" s="626">
        <f t="shared" si="24"/>
        <v>0</v>
      </c>
      <c r="AV13" s="626">
        <f t="shared" si="25"/>
        <v>0</v>
      </c>
      <c r="AW13" s="626">
        <f t="shared" si="26"/>
        <v>0</v>
      </c>
      <c r="AX13" s="625">
        <f t="array" ref="AX13">IFERROR(INDEX('TB-Pharmaceuticals'!$AC$14:$AC$33,MATCH($E13&amp;$F13,'TB-Pharmaceuticals'!$D$14:$D$33&amp;'TB-Pharmaceuticals'!$G$14:$G$33,0)),0)</f>
        <v>0</v>
      </c>
      <c r="AY13" s="626">
        <f t="shared" si="27"/>
        <v>0</v>
      </c>
      <c r="AZ13" s="626">
        <f t="shared" si="28"/>
        <v>0</v>
      </c>
      <c r="BA13" s="626">
        <f t="shared" si="29"/>
        <v>0</v>
      </c>
      <c r="BB13" s="625">
        <f t="array" ref="BB13">IFERROR(INDEX('TB-Pharmaceuticals'!$AD$14:$AD$33,MATCH($E13&amp;$F13,'TB-Pharmaceuticals'!$D$14:$D$33&amp;'TB-Pharmaceuticals'!$G$14:$G$33,0)),0)</f>
        <v>0</v>
      </c>
      <c r="BC13" s="626">
        <f t="shared" si="30"/>
        <v>0</v>
      </c>
      <c r="BD13" s="626">
        <f t="shared" si="31"/>
        <v>0</v>
      </c>
      <c r="BE13" s="626">
        <f t="shared" si="32"/>
        <v>0</v>
      </c>
      <c r="BF13" s="625">
        <f t="array" ref="BF13">IFERROR(INDEX('TB-Pharmaceuticals'!$AE$14:$AE$33,MATCH($E13&amp;$F13,'TB-Pharmaceuticals'!$D$14:$D$33&amp;'TB-Pharmaceuticals'!$G$14:$G$33,0)),0)</f>
        <v>0</v>
      </c>
      <c r="BG13" s="626">
        <f t="shared" si="33"/>
        <v>0</v>
      </c>
      <c r="BH13" s="626">
        <f t="shared" si="34"/>
        <v>0</v>
      </c>
      <c r="BI13" s="626">
        <f t="shared" si="35"/>
        <v>0</v>
      </c>
      <c r="BK13" s="626"/>
      <c r="BL13" s="626"/>
      <c r="BM13" s="626"/>
      <c r="BN13" s="626"/>
      <c r="BO13" s="626"/>
      <c r="BP13" s="626"/>
      <c r="BQ13" s="626"/>
      <c r="BR13" s="626"/>
    </row>
    <row r="14" spans="1:70">
      <c r="A14" s="32" t="s">
        <v>1541</v>
      </c>
      <c r="B14" s="32" t="s">
        <v>1737</v>
      </c>
      <c r="C14" s="619">
        <f>SETUP!$F$36</f>
        <v>0</v>
      </c>
      <c r="D14" s="31">
        <v>4.2</v>
      </c>
      <c r="E14" s="32" t="s">
        <v>295</v>
      </c>
      <c r="F14" s="32" t="s">
        <v>445</v>
      </c>
      <c r="G14" s="625" t="str">
        <f t="array" ref="G14">IFERROR(INDEX('TB-Pharmaceuticals'!$K$14:$K$33,MATCH($E14&amp;$F14,'TB-Pharmaceuticals'!$D$14:$D$33&amp;'TB-Pharmaceuticals'!$G$14:$G$33,0)),"")</f>
        <v/>
      </c>
      <c r="H14" s="625" t="str">
        <f t="array" ref="H14">IFERROR(INDEX('TB-Pharmaceuticals'!$L$14:$L$33,MATCH($E14&amp;$F14,'TB-Pharmaceuticals'!$D$14:$D$33&amp;'TB-Pharmaceuticals'!$G$14:$G$33,0)),"")</f>
        <v/>
      </c>
      <c r="I14" s="625">
        <f t="array" ref="I14">IFERROR(INDEX('TB-Pharmaceuticals'!$M$14:$M$33,MATCH($E14&amp;$F14,'TB-Pharmaceuticals'!$D$14:$D$33&amp;'TB-Pharmaceuticals'!$G$14:$G$33,0)),0)</f>
        <v>0</v>
      </c>
      <c r="J14" s="625">
        <f t="array" ref="J14">IFERROR(INDEX('TB-Pharmaceuticals'!$N$14:$N$33,MATCH($E14&amp;$F14,'TB-Pharmaceuticals'!$D$14:$D$33&amp;'TB-Pharmaceuticals'!$G$14:$G$33,0)),0)</f>
        <v>0</v>
      </c>
      <c r="K14" s="626">
        <f t="shared" si="0"/>
        <v>0</v>
      </c>
      <c r="L14" s="626">
        <f t="shared" si="1"/>
        <v>0</v>
      </c>
      <c r="M14" s="626">
        <f t="shared" si="2"/>
        <v>0</v>
      </c>
      <c r="N14" s="625">
        <f t="array" ref="N14">IFERROR(INDEX('TB-Pharmaceuticals'!$O$14:$O$33,MATCH($E14&amp;$F14,'TB-Pharmaceuticals'!$D$14:$D$33&amp;'TB-Pharmaceuticals'!$G$14:$G$33,0)),0)</f>
        <v>0</v>
      </c>
      <c r="O14" s="626">
        <f t="shared" si="3"/>
        <v>0</v>
      </c>
      <c r="P14" s="626">
        <f t="shared" si="4"/>
        <v>0</v>
      </c>
      <c r="Q14" s="626">
        <f t="shared" si="5"/>
        <v>0</v>
      </c>
      <c r="R14" s="625">
        <f t="array" ref="R14">IFERROR(INDEX('TB-Pharmaceuticals'!$P$14:$P$33,MATCH($E14&amp;$F14,'TB-Pharmaceuticals'!$D$14:$D$33&amp;'TB-Pharmaceuticals'!$G$14:$G$33,0)),0)</f>
        <v>0</v>
      </c>
      <c r="S14" s="626">
        <f t="shared" si="6"/>
        <v>0</v>
      </c>
      <c r="T14" s="626">
        <f t="shared" si="7"/>
        <v>0</v>
      </c>
      <c r="U14" s="626">
        <f t="shared" si="8"/>
        <v>0</v>
      </c>
      <c r="V14" s="625">
        <f t="array" ref="V14">IFERROR(INDEX('TB-Pharmaceuticals'!$Q$14:$Q$33,MATCH($E14&amp;$F14,'TB-Pharmaceuticals'!$D$14:$D$33&amp;'TB-Pharmaceuticals'!$G$14:$G$33,0)),0)</f>
        <v>0</v>
      </c>
      <c r="W14" s="626">
        <f t="shared" si="9"/>
        <v>0</v>
      </c>
      <c r="X14" s="626">
        <f t="shared" si="10"/>
        <v>0</v>
      </c>
      <c r="Y14" s="626">
        <f t="shared" si="11"/>
        <v>0</v>
      </c>
      <c r="Z14" s="627"/>
      <c r="AA14" s="625">
        <f t="array" ref="AA14">IFERROR(INDEX('TB-Pharmaceuticals'!$T$14:$T$33,MATCH($E14&amp;$F14,'TB-Pharmaceuticals'!$D$14:$D$33&amp;'TB-Pharmaceuticals'!$G$14:$G$33,0)),0)</f>
        <v>0</v>
      </c>
      <c r="AB14" s="625">
        <f t="array" ref="AB14">IFERROR(INDEX('TB-Pharmaceuticals'!$U$14:$U$33,MATCH($E14&amp;$F14,'TB-Pharmaceuticals'!$D$14:$D$33&amp;'TB-Pharmaceuticals'!$G$14:$G$33,0)),0)</f>
        <v>0</v>
      </c>
      <c r="AC14" s="626">
        <f t="shared" si="12"/>
        <v>0</v>
      </c>
      <c r="AD14" s="626">
        <f t="shared" si="13"/>
        <v>0</v>
      </c>
      <c r="AE14" s="626">
        <f t="shared" si="14"/>
        <v>0</v>
      </c>
      <c r="AF14" s="625">
        <f t="array" ref="AF14">IFERROR(INDEX('TB-Pharmaceuticals'!$V$14:$V$33,MATCH($E14&amp;$F14,'TB-Pharmaceuticals'!$D$14:$D$33&amp;'TB-Pharmaceuticals'!$G$14:$G$33,0)),0)</f>
        <v>0</v>
      </c>
      <c r="AG14" s="626">
        <f t="shared" si="15"/>
        <v>0</v>
      </c>
      <c r="AH14" s="626">
        <f t="shared" si="16"/>
        <v>0</v>
      </c>
      <c r="AI14" s="626">
        <f t="shared" si="17"/>
        <v>0</v>
      </c>
      <c r="AJ14" s="625">
        <f t="array" ref="AJ14">IFERROR(INDEX('TB-Pharmaceuticals'!$W$14:$W$33,MATCH($E14&amp;$F14,'TB-Pharmaceuticals'!$D$14:$D$33&amp;'TB-Pharmaceuticals'!$G$14:$G$33,0)),0)</f>
        <v>0</v>
      </c>
      <c r="AK14" s="626">
        <f t="shared" si="18"/>
        <v>0</v>
      </c>
      <c r="AL14" s="626">
        <f t="shared" si="19"/>
        <v>0</v>
      </c>
      <c r="AM14" s="626">
        <f t="shared" si="20"/>
        <v>0</v>
      </c>
      <c r="AN14" s="625">
        <f t="array" ref="AN14">IFERROR(INDEX('TB-Pharmaceuticals'!$X$14:$X$33,MATCH($E14&amp;$F14,'TB-Pharmaceuticals'!$D$14:$D$33&amp;'TB-Pharmaceuticals'!$G$14:$G$33,0)),0)</f>
        <v>0</v>
      </c>
      <c r="AO14" s="626">
        <f t="shared" si="21"/>
        <v>0</v>
      </c>
      <c r="AP14" s="626">
        <f t="shared" si="22"/>
        <v>0</v>
      </c>
      <c r="AQ14" s="626">
        <f t="shared" si="23"/>
        <v>0</v>
      </c>
      <c r="AR14" s="627"/>
      <c r="AS14" s="625">
        <f t="array" ref="AS14">IFERROR(INDEX('TB-Pharmaceuticals'!$AA$14:$AA$33,MATCH($E14&amp;$F14,'TB-Pharmaceuticals'!$D$14:$D$33&amp;'TB-Pharmaceuticals'!$G$14:$G$33,0)),0)</f>
        <v>0</v>
      </c>
      <c r="AT14" s="625">
        <f t="array" ref="AT14">IFERROR(INDEX('TB-Pharmaceuticals'!$AB$14:$AB$33,MATCH($E14&amp;$F14,'TB-Pharmaceuticals'!$D$14:$D$33&amp;'TB-Pharmaceuticals'!$G$14:$G$33,0)),0)</f>
        <v>0</v>
      </c>
      <c r="AU14" s="626">
        <f t="shared" si="24"/>
        <v>0</v>
      </c>
      <c r="AV14" s="626">
        <f t="shared" si="25"/>
        <v>0</v>
      </c>
      <c r="AW14" s="626">
        <f t="shared" si="26"/>
        <v>0</v>
      </c>
      <c r="AX14" s="625">
        <f t="array" ref="AX14">IFERROR(INDEX('TB-Pharmaceuticals'!$AC$14:$AC$33,MATCH($E14&amp;$F14,'TB-Pharmaceuticals'!$D$14:$D$33&amp;'TB-Pharmaceuticals'!$G$14:$G$33,0)),0)</f>
        <v>0</v>
      </c>
      <c r="AY14" s="626">
        <f t="shared" si="27"/>
        <v>0</v>
      </c>
      <c r="AZ14" s="626">
        <f t="shared" si="28"/>
        <v>0</v>
      </c>
      <c r="BA14" s="626">
        <f t="shared" si="29"/>
        <v>0</v>
      </c>
      <c r="BB14" s="625">
        <f t="array" ref="BB14">IFERROR(INDEX('TB-Pharmaceuticals'!$AD$14:$AD$33,MATCH($E14&amp;$F14,'TB-Pharmaceuticals'!$D$14:$D$33&amp;'TB-Pharmaceuticals'!$G$14:$G$33,0)),0)</f>
        <v>0</v>
      </c>
      <c r="BC14" s="626">
        <f t="shared" si="30"/>
        <v>0</v>
      </c>
      <c r="BD14" s="626">
        <f t="shared" si="31"/>
        <v>0</v>
      </c>
      <c r="BE14" s="626">
        <f t="shared" si="32"/>
        <v>0</v>
      </c>
      <c r="BF14" s="625">
        <f t="array" ref="BF14">IFERROR(INDEX('TB-Pharmaceuticals'!$AE$14:$AE$33,MATCH($E14&amp;$F14,'TB-Pharmaceuticals'!$D$14:$D$33&amp;'TB-Pharmaceuticals'!$G$14:$G$33,0)),0)</f>
        <v>0</v>
      </c>
      <c r="BG14" s="626">
        <f t="shared" si="33"/>
        <v>0</v>
      </c>
      <c r="BH14" s="626">
        <f t="shared" si="34"/>
        <v>0</v>
      </c>
      <c r="BI14" s="626">
        <f t="shared" si="35"/>
        <v>0</v>
      </c>
      <c r="BK14" s="626"/>
      <c r="BL14" s="626"/>
      <c r="BM14" s="626"/>
      <c r="BN14" s="626"/>
      <c r="BO14" s="626"/>
      <c r="BP14" s="626"/>
      <c r="BQ14" s="626"/>
      <c r="BR14" s="626"/>
    </row>
    <row r="15" spans="1:70">
      <c r="A15" s="32" t="s">
        <v>1541</v>
      </c>
      <c r="B15" s="32" t="s">
        <v>1737</v>
      </c>
      <c r="C15" s="619">
        <f>SETUP!$F$36</f>
        <v>0</v>
      </c>
      <c r="D15" s="31">
        <v>4.2</v>
      </c>
      <c r="E15" s="32" t="s">
        <v>295</v>
      </c>
      <c r="F15" s="32" t="s">
        <v>446</v>
      </c>
      <c r="G15" s="625" t="str">
        <f t="array" ref="G15">IFERROR(INDEX('TB-Pharmaceuticals'!$K$14:$K$33,MATCH($E15&amp;$F15,'TB-Pharmaceuticals'!$D$14:$D$33&amp;'TB-Pharmaceuticals'!$G$14:$G$33,0)),"")</f>
        <v/>
      </c>
      <c r="H15" s="625" t="str">
        <f t="array" ref="H15">IFERROR(INDEX('TB-Pharmaceuticals'!$L$14:$L$33,MATCH($E15&amp;$F15,'TB-Pharmaceuticals'!$D$14:$D$33&amp;'TB-Pharmaceuticals'!$G$14:$G$33,0)),"")</f>
        <v/>
      </c>
      <c r="I15" s="625">
        <f t="array" ref="I15">IFERROR(INDEX('TB-Pharmaceuticals'!$M$14:$M$33,MATCH($E15&amp;$F15,'TB-Pharmaceuticals'!$D$14:$D$33&amp;'TB-Pharmaceuticals'!$G$14:$G$33,0)),0)</f>
        <v>0</v>
      </c>
      <c r="J15" s="625">
        <f t="array" ref="J15">IFERROR(INDEX('TB-Pharmaceuticals'!$N$14:$N$33,MATCH($E15&amp;$F15,'TB-Pharmaceuticals'!$D$14:$D$33&amp;'TB-Pharmaceuticals'!$G$14:$G$33,0)),0)</f>
        <v>0</v>
      </c>
      <c r="K15" s="626">
        <f t="shared" si="0"/>
        <v>0</v>
      </c>
      <c r="L15" s="626">
        <f t="shared" si="1"/>
        <v>0</v>
      </c>
      <c r="M15" s="626">
        <f t="shared" si="2"/>
        <v>0</v>
      </c>
      <c r="N15" s="625">
        <f t="array" ref="N15">IFERROR(INDEX('TB-Pharmaceuticals'!$O$14:$O$33,MATCH($E15&amp;$F15,'TB-Pharmaceuticals'!$D$14:$D$33&amp;'TB-Pharmaceuticals'!$G$14:$G$33,0)),0)</f>
        <v>0</v>
      </c>
      <c r="O15" s="626">
        <f t="shared" si="3"/>
        <v>0</v>
      </c>
      <c r="P15" s="626">
        <f t="shared" si="4"/>
        <v>0</v>
      </c>
      <c r="Q15" s="626">
        <f t="shared" si="5"/>
        <v>0</v>
      </c>
      <c r="R15" s="625">
        <f t="array" ref="R15">IFERROR(INDEX('TB-Pharmaceuticals'!$P$14:$P$33,MATCH($E15&amp;$F15,'TB-Pharmaceuticals'!$D$14:$D$33&amp;'TB-Pharmaceuticals'!$G$14:$G$33,0)),0)</f>
        <v>0</v>
      </c>
      <c r="S15" s="626">
        <f t="shared" si="6"/>
        <v>0</v>
      </c>
      <c r="T15" s="626">
        <f t="shared" si="7"/>
        <v>0</v>
      </c>
      <c r="U15" s="626">
        <f t="shared" si="8"/>
        <v>0</v>
      </c>
      <c r="V15" s="625">
        <f t="array" ref="V15">IFERROR(INDEX('TB-Pharmaceuticals'!$Q$14:$Q$33,MATCH($E15&amp;$F15,'TB-Pharmaceuticals'!$D$14:$D$33&amp;'TB-Pharmaceuticals'!$G$14:$G$33,0)),0)</f>
        <v>0</v>
      </c>
      <c r="W15" s="626">
        <f t="shared" si="9"/>
        <v>0</v>
      </c>
      <c r="X15" s="626">
        <f t="shared" si="10"/>
        <v>0</v>
      </c>
      <c r="Y15" s="626">
        <f t="shared" si="11"/>
        <v>0</v>
      </c>
      <c r="Z15" s="627"/>
      <c r="AA15" s="625">
        <f t="array" ref="AA15">IFERROR(INDEX('TB-Pharmaceuticals'!$T$14:$T$33,MATCH($E15&amp;$F15,'TB-Pharmaceuticals'!$D$14:$D$33&amp;'TB-Pharmaceuticals'!$G$14:$G$33,0)),0)</f>
        <v>0</v>
      </c>
      <c r="AB15" s="625">
        <f t="array" ref="AB15">IFERROR(INDEX('TB-Pharmaceuticals'!$U$14:$U$33,MATCH($E15&amp;$F15,'TB-Pharmaceuticals'!$D$14:$D$33&amp;'TB-Pharmaceuticals'!$G$14:$G$33,0)),0)</f>
        <v>0</v>
      </c>
      <c r="AC15" s="626">
        <f t="shared" si="12"/>
        <v>0</v>
      </c>
      <c r="AD15" s="626">
        <f t="shared" si="13"/>
        <v>0</v>
      </c>
      <c r="AE15" s="626">
        <f t="shared" si="14"/>
        <v>0</v>
      </c>
      <c r="AF15" s="625">
        <f t="array" ref="AF15">IFERROR(INDEX('TB-Pharmaceuticals'!$V$14:$V$33,MATCH($E15&amp;$F15,'TB-Pharmaceuticals'!$D$14:$D$33&amp;'TB-Pharmaceuticals'!$G$14:$G$33,0)),0)</f>
        <v>0</v>
      </c>
      <c r="AG15" s="626">
        <f t="shared" si="15"/>
        <v>0</v>
      </c>
      <c r="AH15" s="626">
        <f t="shared" si="16"/>
        <v>0</v>
      </c>
      <c r="AI15" s="626">
        <f t="shared" si="17"/>
        <v>0</v>
      </c>
      <c r="AJ15" s="625">
        <f t="array" ref="AJ15">IFERROR(INDEX('TB-Pharmaceuticals'!$W$14:$W$33,MATCH($E15&amp;$F15,'TB-Pharmaceuticals'!$D$14:$D$33&amp;'TB-Pharmaceuticals'!$G$14:$G$33,0)),0)</f>
        <v>0</v>
      </c>
      <c r="AK15" s="626">
        <f t="shared" si="18"/>
        <v>0</v>
      </c>
      <c r="AL15" s="626">
        <f t="shared" si="19"/>
        <v>0</v>
      </c>
      <c r="AM15" s="626">
        <f t="shared" si="20"/>
        <v>0</v>
      </c>
      <c r="AN15" s="625">
        <f t="array" ref="AN15">IFERROR(INDEX('TB-Pharmaceuticals'!$X$14:$X$33,MATCH($E15&amp;$F15,'TB-Pharmaceuticals'!$D$14:$D$33&amp;'TB-Pharmaceuticals'!$G$14:$G$33,0)),0)</f>
        <v>0</v>
      </c>
      <c r="AO15" s="626">
        <f t="shared" si="21"/>
        <v>0</v>
      </c>
      <c r="AP15" s="626">
        <f t="shared" si="22"/>
        <v>0</v>
      </c>
      <c r="AQ15" s="626">
        <f t="shared" si="23"/>
        <v>0</v>
      </c>
      <c r="AR15" s="627"/>
      <c r="AS15" s="625">
        <f t="array" ref="AS15">IFERROR(INDEX('TB-Pharmaceuticals'!$AA$14:$AA$33,MATCH($E15&amp;$F15,'TB-Pharmaceuticals'!$D$14:$D$33&amp;'TB-Pharmaceuticals'!$G$14:$G$33,0)),0)</f>
        <v>0</v>
      </c>
      <c r="AT15" s="625">
        <f t="array" ref="AT15">IFERROR(INDEX('TB-Pharmaceuticals'!$AB$14:$AB$33,MATCH($E15&amp;$F15,'TB-Pharmaceuticals'!$D$14:$D$33&amp;'TB-Pharmaceuticals'!$G$14:$G$33,0)),0)</f>
        <v>0</v>
      </c>
      <c r="AU15" s="626">
        <f t="shared" si="24"/>
        <v>0</v>
      </c>
      <c r="AV15" s="626">
        <f t="shared" si="25"/>
        <v>0</v>
      </c>
      <c r="AW15" s="626">
        <f t="shared" si="26"/>
        <v>0</v>
      </c>
      <c r="AX15" s="625">
        <f t="array" ref="AX15">IFERROR(INDEX('TB-Pharmaceuticals'!$AC$14:$AC$33,MATCH($E15&amp;$F15,'TB-Pharmaceuticals'!$D$14:$D$33&amp;'TB-Pharmaceuticals'!$G$14:$G$33,0)),0)</f>
        <v>0</v>
      </c>
      <c r="AY15" s="626">
        <f t="shared" si="27"/>
        <v>0</v>
      </c>
      <c r="AZ15" s="626">
        <f t="shared" si="28"/>
        <v>0</v>
      </c>
      <c r="BA15" s="626">
        <f t="shared" si="29"/>
        <v>0</v>
      </c>
      <c r="BB15" s="625">
        <f t="array" ref="BB15">IFERROR(INDEX('TB-Pharmaceuticals'!$AD$14:$AD$33,MATCH($E15&amp;$F15,'TB-Pharmaceuticals'!$D$14:$D$33&amp;'TB-Pharmaceuticals'!$G$14:$G$33,0)),0)</f>
        <v>0</v>
      </c>
      <c r="BC15" s="626">
        <f t="shared" si="30"/>
        <v>0</v>
      </c>
      <c r="BD15" s="626">
        <f t="shared" si="31"/>
        <v>0</v>
      </c>
      <c r="BE15" s="626">
        <f t="shared" si="32"/>
        <v>0</v>
      </c>
      <c r="BF15" s="625">
        <f t="array" ref="BF15">IFERROR(INDEX('TB-Pharmaceuticals'!$AE$14:$AE$33,MATCH($E15&amp;$F15,'TB-Pharmaceuticals'!$D$14:$D$33&amp;'TB-Pharmaceuticals'!$G$14:$G$33,0)),0)</f>
        <v>0</v>
      </c>
      <c r="BG15" s="626">
        <f t="shared" si="33"/>
        <v>0</v>
      </c>
      <c r="BH15" s="626">
        <f t="shared" si="34"/>
        <v>0</v>
      </c>
      <c r="BI15" s="626">
        <f t="shared" si="35"/>
        <v>0</v>
      </c>
      <c r="BK15" s="626"/>
      <c r="BL15" s="626"/>
      <c r="BM15" s="626"/>
      <c r="BN15" s="626"/>
      <c r="BO15" s="626"/>
      <c r="BP15" s="626"/>
      <c r="BQ15" s="626"/>
      <c r="BR15" s="626"/>
    </row>
    <row r="16" spans="1:70">
      <c r="A16" s="32" t="s">
        <v>1541</v>
      </c>
      <c r="B16" s="32" t="s">
        <v>1737</v>
      </c>
      <c r="C16" s="619">
        <f>SETUP!$F$36</f>
        <v>0</v>
      </c>
      <c r="D16" s="31">
        <v>4.2</v>
      </c>
      <c r="E16" s="32" t="s">
        <v>296</v>
      </c>
      <c r="F16" s="32" t="s">
        <v>1786</v>
      </c>
      <c r="G16" s="625" t="str">
        <f t="array" ref="G16">IFERROR(INDEX('TB-Pharmaceuticals'!$K$14:$K$33,MATCH($E16&amp;$F16,'TB-Pharmaceuticals'!$D$14:$D$33&amp;'TB-Pharmaceuticals'!$G$14:$G$33,0)),"")</f>
        <v/>
      </c>
      <c r="H16" s="625" t="str">
        <f t="array" ref="H16">IFERROR(INDEX('TB-Pharmaceuticals'!$L$14:$L$33,MATCH($E16&amp;$F16,'TB-Pharmaceuticals'!$D$14:$D$33&amp;'TB-Pharmaceuticals'!$G$14:$G$33,0)),"")</f>
        <v/>
      </c>
      <c r="I16" s="625">
        <f t="array" ref="I16">IFERROR(INDEX('TB-Pharmaceuticals'!$M$14:$M$33,MATCH($E16&amp;$F16,'TB-Pharmaceuticals'!$D$14:$D$33&amp;'TB-Pharmaceuticals'!$G$14:$G$33,0)),0)</f>
        <v>0</v>
      </c>
      <c r="J16" s="625">
        <f t="array" ref="J16">IFERROR(INDEX('TB-Pharmaceuticals'!$N$14:$N$33,MATCH($E16&amp;$F16,'TB-Pharmaceuticals'!$D$14:$D$33&amp;'TB-Pharmaceuticals'!$G$14:$G$33,0)),0)</f>
        <v>0</v>
      </c>
      <c r="K16" s="626">
        <f t="shared" si="0"/>
        <v>0</v>
      </c>
      <c r="L16" s="626">
        <f t="shared" si="1"/>
        <v>0</v>
      </c>
      <c r="M16" s="626">
        <f t="shared" si="2"/>
        <v>0</v>
      </c>
      <c r="N16" s="625">
        <f t="array" ref="N16">IFERROR(INDEX('TB-Pharmaceuticals'!$O$14:$O$33,MATCH($E16&amp;$F16,'TB-Pharmaceuticals'!$D$14:$D$33&amp;'TB-Pharmaceuticals'!$G$14:$G$33,0)),0)</f>
        <v>0</v>
      </c>
      <c r="O16" s="626">
        <f t="shared" si="3"/>
        <v>0</v>
      </c>
      <c r="P16" s="626">
        <f t="shared" si="4"/>
        <v>0</v>
      </c>
      <c r="Q16" s="626">
        <f t="shared" si="5"/>
        <v>0</v>
      </c>
      <c r="R16" s="625">
        <f t="array" ref="R16">IFERROR(INDEX('TB-Pharmaceuticals'!$P$14:$P$33,MATCH($E16&amp;$F16,'TB-Pharmaceuticals'!$D$14:$D$33&amp;'TB-Pharmaceuticals'!$G$14:$G$33,0)),0)</f>
        <v>0</v>
      </c>
      <c r="S16" s="626">
        <f t="shared" si="6"/>
        <v>0</v>
      </c>
      <c r="T16" s="626">
        <f t="shared" si="7"/>
        <v>0</v>
      </c>
      <c r="U16" s="626">
        <f t="shared" si="8"/>
        <v>0</v>
      </c>
      <c r="V16" s="625">
        <f t="array" ref="V16">IFERROR(INDEX('TB-Pharmaceuticals'!$Q$14:$Q$33,MATCH($E16&amp;$F16,'TB-Pharmaceuticals'!$D$14:$D$33&amp;'TB-Pharmaceuticals'!$G$14:$G$33,0)),0)</f>
        <v>0</v>
      </c>
      <c r="W16" s="626">
        <f t="shared" si="9"/>
        <v>0</v>
      </c>
      <c r="X16" s="626">
        <f t="shared" si="10"/>
        <v>0</v>
      </c>
      <c r="Y16" s="626">
        <f t="shared" si="11"/>
        <v>0</v>
      </c>
      <c r="Z16" s="627"/>
      <c r="AA16" s="625">
        <f t="array" ref="AA16">IFERROR(INDEX('TB-Pharmaceuticals'!$T$14:$T$33,MATCH($E16&amp;$F16,'TB-Pharmaceuticals'!$D$14:$D$33&amp;'TB-Pharmaceuticals'!$G$14:$G$33,0)),0)</f>
        <v>0</v>
      </c>
      <c r="AB16" s="625">
        <f t="array" ref="AB16">IFERROR(INDEX('TB-Pharmaceuticals'!$U$14:$U$33,MATCH($E16&amp;$F16,'TB-Pharmaceuticals'!$D$14:$D$33&amp;'TB-Pharmaceuticals'!$G$14:$G$33,0)),0)</f>
        <v>0</v>
      </c>
      <c r="AC16" s="626">
        <f t="shared" si="12"/>
        <v>0</v>
      </c>
      <c r="AD16" s="626">
        <f t="shared" si="13"/>
        <v>0</v>
      </c>
      <c r="AE16" s="626">
        <f t="shared" si="14"/>
        <v>0</v>
      </c>
      <c r="AF16" s="625">
        <f t="array" ref="AF16">IFERROR(INDEX('TB-Pharmaceuticals'!$V$14:$V$33,MATCH($E16&amp;$F16,'TB-Pharmaceuticals'!$D$14:$D$33&amp;'TB-Pharmaceuticals'!$G$14:$G$33,0)),0)</f>
        <v>0</v>
      </c>
      <c r="AG16" s="626">
        <f t="shared" si="15"/>
        <v>0</v>
      </c>
      <c r="AH16" s="626">
        <f t="shared" si="16"/>
        <v>0</v>
      </c>
      <c r="AI16" s="626">
        <f t="shared" si="17"/>
        <v>0</v>
      </c>
      <c r="AJ16" s="625">
        <f t="array" ref="AJ16">IFERROR(INDEX('TB-Pharmaceuticals'!$W$14:$W$33,MATCH($E16&amp;$F16,'TB-Pharmaceuticals'!$D$14:$D$33&amp;'TB-Pharmaceuticals'!$G$14:$G$33,0)),0)</f>
        <v>0</v>
      </c>
      <c r="AK16" s="626">
        <f t="shared" si="18"/>
        <v>0</v>
      </c>
      <c r="AL16" s="626">
        <f t="shared" si="19"/>
        <v>0</v>
      </c>
      <c r="AM16" s="626">
        <f t="shared" si="20"/>
        <v>0</v>
      </c>
      <c r="AN16" s="625">
        <f t="array" ref="AN16">IFERROR(INDEX('TB-Pharmaceuticals'!$X$14:$X$33,MATCH($E16&amp;$F16,'TB-Pharmaceuticals'!$D$14:$D$33&amp;'TB-Pharmaceuticals'!$G$14:$G$33,0)),0)</f>
        <v>0</v>
      </c>
      <c r="AO16" s="626">
        <f t="shared" si="21"/>
        <v>0</v>
      </c>
      <c r="AP16" s="626">
        <f t="shared" si="22"/>
        <v>0</v>
      </c>
      <c r="AQ16" s="626">
        <f t="shared" si="23"/>
        <v>0</v>
      </c>
      <c r="AR16" s="627"/>
      <c r="AS16" s="625">
        <f t="array" ref="AS16">IFERROR(INDEX('TB-Pharmaceuticals'!$AA$14:$AA$33,MATCH($E16&amp;$F16,'TB-Pharmaceuticals'!$D$14:$D$33&amp;'TB-Pharmaceuticals'!$G$14:$G$33,0)),0)</f>
        <v>0</v>
      </c>
      <c r="AT16" s="625">
        <f t="array" ref="AT16">IFERROR(INDEX('TB-Pharmaceuticals'!$AB$14:$AB$33,MATCH($E16&amp;$F16,'TB-Pharmaceuticals'!$D$14:$D$33&amp;'TB-Pharmaceuticals'!$G$14:$G$33,0)),0)</f>
        <v>0</v>
      </c>
      <c r="AU16" s="626">
        <f t="shared" si="24"/>
        <v>0</v>
      </c>
      <c r="AV16" s="626">
        <f t="shared" si="25"/>
        <v>0</v>
      </c>
      <c r="AW16" s="626">
        <f t="shared" si="26"/>
        <v>0</v>
      </c>
      <c r="AX16" s="625">
        <f t="array" ref="AX16">IFERROR(INDEX('TB-Pharmaceuticals'!$AC$14:$AC$33,MATCH($E16&amp;$F16,'TB-Pharmaceuticals'!$D$14:$D$33&amp;'TB-Pharmaceuticals'!$G$14:$G$33,0)),0)</f>
        <v>0</v>
      </c>
      <c r="AY16" s="626">
        <f t="shared" si="27"/>
        <v>0</v>
      </c>
      <c r="AZ16" s="626">
        <f t="shared" si="28"/>
        <v>0</v>
      </c>
      <c r="BA16" s="626">
        <f t="shared" si="29"/>
        <v>0</v>
      </c>
      <c r="BB16" s="625">
        <f t="array" ref="BB16">IFERROR(INDEX('TB-Pharmaceuticals'!$AD$14:$AD$33,MATCH($E16&amp;$F16,'TB-Pharmaceuticals'!$D$14:$D$33&amp;'TB-Pharmaceuticals'!$G$14:$G$33,0)),0)</f>
        <v>0</v>
      </c>
      <c r="BC16" s="626">
        <f t="shared" si="30"/>
        <v>0</v>
      </c>
      <c r="BD16" s="626">
        <f t="shared" si="31"/>
        <v>0</v>
      </c>
      <c r="BE16" s="626">
        <f t="shared" si="32"/>
        <v>0</v>
      </c>
      <c r="BF16" s="625">
        <f t="array" ref="BF16">IFERROR(INDEX('TB-Pharmaceuticals'!$AE$14:$AE$33,MATCH($E16&amp;$F16,'TB-Pharmaceuticals'!$D$14:$D$33&amp;'TB-Pharmaceuticals'!$G$14:$G$33,0)),0)</f>
        <v>0</v>
      </c>
      <c r="BG16" s="626">
        <f t="shared" si="33"/>
        <v>0</v>
      </c>
      <c r="BH16" s="626">
        <f t="shared" si="34"/>
        <v>0</v>
      </c>
      <c r="BI16" s="626">
        <f t="shared" si="35"/>
        <v>0</v>
      </c>
      <c r="BK16" s="626"/>
      <c r="BL16" s="626"/>
      <c r="BM16" s="626"/>
      <c r="BN16" s="626"/>
      <c r="BO16" s="626"/>
      <c r="BP16" s="626"/>
      <c r="BQ16" s="626"/>
      <c r="BR16" s="626"/>
    </row>
    <row r="17" spans="1:70">
      <c r="A17" s="32" t="s">
        <v>1541</v>
      </c>
      <c r="B17" s="32" t="s">
        <v>1737</v>
      </c>
      <c r="C17" s="619">
        <f>SETUP!$F$36</f>
        <v>0</v>
      </c>
      <c r="D17" s="31">
        <v>4.2</v>
      </c>
      <c r="E17" s="32" t="s">
        <v>296</v>
      </c>
      <c r="F17" s="32" t="s">
        <v>1787</v>
      </c>
      <c r="G17" s="625" t="str">
        <f t="array" ref="G17">IFERROR(INDEX('TB-Pharmaceuticals'!$K$14:$K$33,MATCH($E17&amp;$F17,'TB-Pharmaceuticals'!$D$14:$D$33&amp;'TB-Pharmaceuticals'!$G$14:$G$33,0)),"")</f>
        <v/>
      </c>
      <c r="H17" s="625" t="str">
        <f t="array" ref="H17">IFERROR(INDEX('TB-Pharmaceuticals'!$L$14:$L$33,MATCH($E17&amp;$F17,'TB-Pharmaceuticals'!$D$14:$D$33&amp;'TB-Pharmaceuticals'!$G$14:$G$33,0)),"")</f>
        <v/>
      </c>
      <c r="I17" s="625">
        <f t="array" ref="I17">IFERROR(INDEX('TB-Pharmaceuticals'!$M$14:$M$33,MATCH($E17&amp;$F17,'TB-Pharmaceuticals'!$D$14:$D$33&amp;'TB-Pharmaceuticals'!$G$14:$G$33,0)),0)</f>
        <v>0</v>
      </c>
      <c r="J17" s="625">
        <f t="array" ref="J17">IFERROR(INDEX('TB-Pharmaceuticals'!$N$14:$N$33,MATCH($E17&amp;$F17,'TB-Pharmaceuticals'!$D$14:$D$33&amp;'TB-Pharmaceuticals'!$G$14:$G$33,0)),0)</f>
        <v>0</v>
      </c>
      <c r="K17" s="626">
        <f t="shared" si="0"/>
        <v>0</v>
      </c>
      <c r="L17" s="626">
        <f t="shared" si="1"/>
        <v>0</v>
      </c>
      <c r="M17" s="626">
        <f t="shared" si="2"/>
        <v>0</v>
      </c>
      <c r="N17" s="625">
        <f t="array" ref="N17">IFERROR(INDEX('TB-Pharmaceuticals'!$O$14:$O$33,MATCH($E17&amp;$F17,'TB-Pharmaceuticals'!$D$14:$D$33&amp;'TB-Pharmaceuticals'!$G$14:$G$33,0)),0)</f>
        <v>0</v>
      </c>
      <c r="O17" s="626">
        <f t="shared" si="3"/>
        <v>0</v>
      </c>
      <c r="P17" s="626">
        <f t="shared" si="4"/>
        <v>0</v>
      </c>
      <c r="Q17" s="626">
        <f t="shared" si="5"/>
        <v>0</v>
      </c>
      <c r="R17" s="625">
        <f t="array" ref="R17">IFERROR(INDEX('TB-Pharmaceuticals'!$P$14:$P$33,MATCH($E17&amp;$F17,'TB-Pharmaceuticals'!$D$14:$D$33&amp;'TB-Pharmaceuticals'!$G$14:$G$33,0)),0)</f>
        <v>0</v>
      </c>
      <c r="S17" s="626">
        <f t="shared" si="6"/>
        <v>0</v>
      </c>
      <c r="T17" s="626">
        <f t="shared" si="7"/>
        <v>0</v>
      </c>
      <c r="U17" s="626">
        <f t="shared" si="8"/>
        <v>0</v>
      </c>
      <c r="V17" s="625">
        <f t="array" ref="V17">IFERROR(INDEX('TB-Pharmaceuticals'!$Q$14:$Q$33,MATCH($E17&amp;$F17,'TB-Pharmaceuticals'!$D$14:$D$33&amp;'TB-Pharmaceuticals'!$G$14:$G$33,0)),0)</f>
        <v>0</v>
      </c>
      <c r="W17" s="626">
        <f t="shared" si="9"/>
        <v>0</v>
      </c>
      <c r="X17" s="626">
        <f t="shared" si="10"/>
        <v>0</v>
      </c>
      <c r="Y17" s="626">
        <f t="shared" si="11"/>
        <v>0</v>
      </c>
      <c r="Z17" s="627"/>
      <c r="AA17" s="625">
        <f t="array" ref="AA17">IFERROR(INDEX('TB-Pharmaceuticals'!$T$14:$T$33,MATCH($E17&amp;$F17,'TB-Pharmaceuticals'!$D$14:$D$33&amp;'TB-Pharmaceuticals'!$G$14:$G$33,0)),0)</f>
        <v>0</v>
      </c>
      <c r="AB17" s="625">
        <f t="array" ref="AB17">IFERROR(INDEX('TB-Pharmaceuticals'!$U$14:$U$33,MATCH($E17&amp;$F17,'TB-Pharmaceuticals'!$D$14:$D$33&amp;'TB-Pharmaceuticals'!$G$14:$G$33,0)),0)</f>
        <v>0</v>
      </c>
      <c r="AC17" s="626">
        <f t="shared" si="12"/>
        <v>0</v>
      </c>
      <c r="AD17" s="626">
        <f t="shared" si="13"/>
        <v>0</v>
      </c>
      <c r="AE17" s="626">
        <f t="shared" si="14"/>
        <v>0</v>
      </c>
      <c r="AF17" s="625">
        <f t="array" ref="AF17">IFERROR(INDEX('TB-Pharmaceuticals'!$V$14:$V$33,MATCH($E17&amp;$F17,'TB-Pharmaceuticals'!$D$14:$D$33&amp;'TB-Pharmaceuticals'!$G$14:$G$33,0)),0)</f>
        <v>0</v>
      </c>
      <c r="AG17" s="626">
        <f t="shared" si="15"/>
        <v>0</v>
      </c>
      <c r="AH17" s="626">
        <f t="shared" si="16"/>
        <v>0</v>
      </c>
      <c r="AI17" s="626">
        <f t="shared" si="17"/>
        <v>0</v>
      </c>
      <c r="AJ17" s="625">
        <f t="array" ref="AJ17">IFERROR(INDEX('TB-Pharmaceuticals'!$W$14:$W$33,MATCH($E17&amp;$F17,'TB-Pharmaceuticals'!$D$14:$D$33&amp;'TB-Pharmaceuticals'!$G$14:$G$33,0)),0)</f>
        <v>0</v>
      </c>
      <c r="AK17" s="626">
        <f t="shared" si="18"/>
        <v>0</v>
      </c>
      <c r="AL17" s="626">
        <f t="shared" si="19"/>
        <v>0</v>
      </c>
      <c r="AM17" s="626">
        <f t="shared" si="20"/>
        <v>0</v>
      </c>
      <c r="AN17" s="625">
        <f t="array" ref="AN17">IFERROR(INDEX('TB-Pharmaceuticals'!$X$14:$X$33,MATCH($E17&amp;$F17,'TB-Pharmaceuticals'!$D$14:$D$33&amp;'TB-Pharmaceuticals'!$G$14:$G$33,0)),0)</f>
        <v>0</v>
      </c>
      <c r="AO17" s="626">
        <f t="shared" si="21"/>
        <v>0</v>
      </c>
      <c r="AP17" s="626">
        <f t="shared" si="22"/>
        <v>0</v>
      </c>
      <c r="AQ17" s="626">
        <f t="shared" si="23"/>
        <v>0</v>
      </c>
      <c r="AR17" s="627"/>
      <c r="AS17" s="625">
        <f t="array" ref="AS17">IFERROR(INDEX('TB-Pharmaceuticals'!$AA$14:$AA$33,MATCH($E17&amp;$F17,'TB-Pharmaceuticals'!$D$14:$D$33&amp;'TB-Pharmaceuticals'!$G$14:$G$33,0)),0)</f>
        <v>0</v>
      </c>
      <c r="AT17" s="625">
        <f t="array" ref="AT17">IFERROR(INDEX('TB-Pharmaceuticals'!$AB$14:$AB$33,MATCH($E17&amp;$F17,'TB-Pharmaceuticals'!$D$14:$D$33&amp;'TB-Pharmaceuticals'!$G$14:$G$33,0)),0)</f>
        <v>0</v>
      </c>
      <c r="AU17" s="626">
        <f t="shared" si="24"/>
        <v>0</v>
      </c>
      <c r="AV17" s="626">
        <f t="shared" si="25"/>
        <v>0</v>
      </c>
      <c r="AW17" s="626">
        <f t="shared" si="26"/>
        <v>0</v>
      </c>
      <c r="AX17" s="625">
        <f t="array" ref="AX17">IFERROR(INDEX('TB-Pharmaceuticals'!$AC$14:$AC$33,MATCH($E17&amp;$F17,'TB-Pharmaceuticals'!$D$14:$D$33&amp;'TB-Pharmaceuticals'!$G$14:$G$33,0)),0)</f>
        <v>0</v>
      </c>
      <c r="AY17" s="626">
        <f t="shared" si="27"/>
        <v>0</v>
      </c>
      <c r="AZ17" s="626">
        <f t="shared" si="28"/>
        <v>0</v>
      </c>
      <c r="BA17" s="626">
        <f t="shared" si="29"/>
        <v>0</v>
      </c>
      <c r="BB17" s="625">
        <f t="array" ref="BB17">IFERROR(INDEX('TB-Pharmaceuticals'!$AD$14:$AD$33,MATCH($E17&amp;$F17,'TB-Pharmaceuticals'!$D$14:$D$33&amp;'TB-Pharmaceuticals'!$G$14:$G$33,0)),0)</f>
        <v>0</v>
      </c>
      <c r="BC17" s="626">
        <f t="shared" si="30"/>
        <v>0</v>
      </c>
      <c r="BD17" s="626">
        <f t="shared" si="31"/>
        <v>0</v>
      </c>
      <c r="BE17" s="626">
        <f t="shared" si="32"/>
        <v>0</v>
      </c>
      <c r="BF17" s="625">
        <f t="array" ref="BF17">IFERROR(INDEX('TB-Pharmaceuticals'!$AE$14:$AE$33,MATCH($E17&amp;$F17,'TB-Pharmaceuticals'!$D$14:$D$33&amp;'TB-Pharmaceuticals'!$G$14:$G$33,0)),0)</f>
        <v>0</v>
      </c>
      <c r="BG17" s="626">
        <f t="shared" si="33"/>
        <v>0</v>
      </c>
      <c r="BH17" s="626">
        <f t="shared" si="34"/>
        <v>0</v>
      </c>
      <c r="BI17" s="626">
        <f t="shared" si="35"/>
        <v>0</v>
      </c>
      <c r="BK17" s="626"/>
      <c r="BL17" s="626"/>
      <c r="BM17" s="626"/>
      <c r="BN17" s="626"/>
      <c r="BO17" s="626"/>
      <c r="BP17" s="626"/>
      <c r="BQ17" s="626"/>
      <c r="BR17" s="626"/>
    </row>
    <row r="18" spans="1:70">
      <c r="A18" s="32" t="s">
        <v>1541</v>
      </c>
      <c r="B18" s="32" t="s">
        <v>1737</v>
      </c>
      <c r="C18" s="619">
        <f>SETUP!$F$36</f>
        <v>0</v>
      </c>
      <c r="D18" s="31">
        <v>4.2</v>
      </c>
      <c r="E18" s="32" t="s">
        <v>296</v>
      </c>
      <c r="F18" s="32" t="s">
        <v>1259</v>
      </c>
      <c r="G18" s="625" t="str">
        <f t="array" ref="G18">IFERROR(INDEX('TB-Pharmaceuticals'!$K$14:$K$33,MATCH($E18&amp;$F18,'TB-Pharmaceuticals'!$D$14:$D$33&amp;'TB-Pharmaceuticals'!$G$14:$G$33,0)),"")</f>
        <v/>
      </c>
      <c r="H18" s="625" t="str">
        <f t="array" ref="H18">IFERROR(INDEX('TB-Pharmaceuticals'!$L$14:$L$33,MATCH($E18&amp;$F18,'TB-Pharmaceuticals'!$D$14:$D$33&amp;'TB-Pharmaceuticals'!$G$14:$G$33,0)),"")</f>
        <v/>
      </c>
      <c r="I18" s="625">
        <f t="array" ref="I18">IFERROR(INDEX('TB-Pharmaceuticals'!$M$14:$M$33,MATCH($E18&amp;$F18,'TB-Pharmaceuticals'!$D$14:$D$33&amp;'TB-Pharmaceuticals'!$G$14:$G$33,0)),0)</f>
        <v>0</v>
      </c>
      <c r="J18" s="625">
        <f t="array" ref="J18">IFERROR(INDEX('TB-Pharmaceuticals'!$N$14:$N$33,MATCH($E18&amp;$F18,'TB-Pharmaceuticals'!$D$14:$D$33&amp;'TB-Pharmaceuticals'!$G$14:$G$33,0)),0)</f>
        <v>0</v>
      </c>
      <c r="K18" s="626">
        <f t="shared" si="0"/>
        <v>0</v>
      </c>
      <c r="L18" s="626">
        <f t="shared" si="1"/>
        <v>0</v>
      </c>
      <c r="M18" s="626">
        <f t="shared" si="2"/>
        <v>0</v>
      </c>
      <c r="N18" s="625">
        <f t="array" ref="N18">IFERROR(INDEX('TB-Pharmaceuticals'!$O$14:$O$33,MATCH($E18&amp;$F18,'TB-Pharmaceuticals'!$D$14:$D$33&amp;'TB-Pharmaceuticals'!$G$14:$G$33,0)),0)</f>
        <v>0</v>
      </c>
      <c r="O18" s="626">
        <f t="shared" si="3"/>
        <v>0</v>
      </c>
      <c r="P18" s="626">
        <f t="shared" si="4"/>
        <v>0</v>
      </c>
      <c r="Q18" s="626">
        <f t="shared" si="5"/>
        <v>0</v>
      </c>
      <c r="R18" s="625">
        <f t="array" ref="R18">IFERROR(INDEX('TB-Pharmaceuticals'!$P$14:$P$33,MATCH($E18&amp;$F18,'TB-Pharmaceuticals'!$D$14:$D$33&amp;'TB-Pharmaceuticals'!$G$14:$G$33,0)),0)</f>
        <v>0</v>
      </c>
      <c r="S18" s="626">
        <f t="shared" si="6"/>
        <v>0</v>
      </c>
      <c r="T18" s="626">
        <f t="shared" si="7"/>
        <v>0</v>
      </c>
      <c r="U18" s="626">
        <f t="shared" si="8"/>
        <v>0</v>
      </c>
      <c r="V18" s="625">
        <f t="array" ref="V18">IFERROR(INDEX('TB-Pharmaceuticals'!$Q$14:$Q$33,MATCH($E18&amp;$F18,'TB-Pharmaceuticals'!$D$14:$D$33&amp;'TB-Pharmaceuticals'!$G$14:$G$33,0)),0)</f>
        <v>0</v>
      </c>
      <c r="W18" s="626">
        <f t="shared" si="9"/>
        <v>0</v>
      </c>
      <c r="X18" s="626">
        <f t="shared" si="10"/>
        <v>0</v>
      </c>
      <c r="Y18" s="626">
        <f t="shared" si="11"/>
        <v>0</v>
      </c>
      <c r="Z18" s="627"/>
      <c r="AA18" s="625">
        <f t="array" ref="AA18">IFERROR(INDEX('TB-Pharmaceuticals'!$T$14:$T$33,MATCH($E18&amp;$F18,'TB-Pharmaceuticals'!$D$14:$D$33&amp;'TB-Pharmaceuticals'!$G$14:$G$33,0)),0)</f>
        <v>0</v>
      </c>
      <c r="AB18" s="625">
        <f t="array" ref="AB18">IFERROR(INDEX('TB-Pharmaceuticals'!$U$14:$U$33,MATCH($E18&amp;$F18,'TB-Pharmaceuticals'!$D$14:$D$33&amp;'TB-Pharmaceuticals'!$G$14:$G$33,0)),0)</f>
        <v>0</v>
      </c>
      <c r="AC18" s="626">
        <f t="shared" si="12"/>
        <v>0</v>
      </c>
      <c r="AD18" s="626">
        <f t="shared" si="13"/>
        <v>0</v>
      </c>
      <c r="AE18" s="626">
        <f t="shared" si="14"/>
        <v>0</v>
      </c>
      <c r="AF18" s="625">
        <f t="array" ref="AF18">IFERROR(INDEX('TB-Pharmaceuticals'!$V$14:$V$33,MATCH($E18&amp;$F18,'TB-Pharmaceuticals'!$D$14:$D$33&amp;'TB-Pharmaceuticals'!$G$14:$G$33,0)),0)</f>
        <v>0</v>
      </c>
      <c r="AG18" s="626">
        <f t="shared" si="15"/>
        <v>0</v>
      </c>
      <c r="AH18" s="626">
        <f t="shared" si="16"/>
        <v>0</v>
      </c>
      <c r="AI18" s="626">
        <f t="shared" si="17"/>
        <v>0</v>
      </c>
      <c r="AJ18" s="625">
        <f t="array" ref="AJ18">IFERROR(INDEX('TB-Pharmaceuticals'!$W$14:$W$33,MATCH($E18&amp;$F18,'TB-Pharmaceuticals'!$D$14:$D$33&amp;'TB-Pharmaceuticals'!$G$14:$G$33,0)),0)</f>
        <v>0</v>
      </c>
      <c r="AK18" s="626">
        <f t="shared" si="18"/>
        <v>0</v>
      </c>
      <c r="AL18" s="626">
        <f t="shared" si="19"/>
        <v>0</v>
      </c>
      <c r="AM18" s="626">
        <f t="shared" si="20"/>
        <v>0</v>
      </c>
      <c r="AN18" s="625">
        <f t="array" ref="AN18">IFERROR(INDEX('TB-Pharmaceuticals'!$X$14:$X$33,MATCH($E18&amp;$F18,'TB-Pharmaceuticals'!$D$14:$D$33&amp;'TB-Pharmaceuticals'!$G$14:$G$33,0)),0)</f>
        <v>0</v>
      </c>
      <c r="AO18" s="626">
        <f t="shared" si="21"/>
        <v>0</v>
      </c>
      <c r="AP18" s="626">
        <f t="shared" si="22"/>
        <v>0</v>
      </c>
      <c r="AQ18" s="626">
        <f t="shared" si="23"/>
        <v>0</v>
      </c>
      <c r="AR18" s="627"/>
      <c r="AS18" s="625">
        <f t="array" ref="AS18">IFERROR(INDEX('TB-Pharmaceuticals'!$AA$14:$AA$33,MATCH($E18&amp;$F18,'TB-Pharmaceuticals'!$D$14:$D$33&amp;'TB-Pharmaceuticals'!$G$14:$G$33,0)),0)</f>
        <v>0</v>
      </c>
      <c r="AT18" s="625">
        <f t="array" ref="AT18">IFERROR(INDEX('TB-Pharmaceuticals'!$AB$14:$AB$33,MATCH($E18&amp;$F18,'TB-Pharmaceuticals'!$D$14:$D$33&amp;'TB-Pharmaceuticals'!$G$14:$G$33,0)),0)</f>
        <v>0</v>
      </c>
      <c r="AU18" s="626">
        <f t="shared" si="24"/>
        <v>0</v>
      </c>
      <c r="AV18" s="626">
        <f t="shared" si="25"/>
        <v>0</v>
      </c>
      <c r="AW18" s="626">
        <f t="shared" si="26"/>
        <v>0</v>
      </c>
      <c r="AX18" s="625">
        <f t="array" ref="AX18">IFERROR(INDEX('TB-Pharmaceuticals'!$AC$14:$AC$33,MATCH($E18&amp;$F18,'TB-Pharmaceuticals'!$D$14:$D$33&amp;'TB-Pharmaceuticals'!$G$14:$G$33,0)),0)</f>
        <v>0</v>
      </c>
      <c r="AY18" s="626">
        <f t="shared" si="27"/>
        <v>0</v>
      </c>
      <c r="AZ18" s="626">
        <f t="shared" si="28"/>
        <v>0</v>
      </c>
      <c r="BA18" s="626">
        <f t="shared" si="29"/>
        <v>0</v>
      </c>
      <c r="BB18" s="625">
        <f t="array" ref="BB18">IFERROR(INDEX('TB-Pharmaceuticals'!$AD$14:$AD$33,MATCH($E18&amp;$F18,'TB-Pharmaceuticals'!$D$14:$D$33&amp;'TB-Pharmaceuticals'!$G$14:$G$33,0)),0)</f>
        <v>0</v>
      </c>
      <c r="BC18" s="626">
        <f t="shared" si="30"/>
        <v>0</v>
      </c>
      <c r="BD18" s="626">
        <f t="shared" si="31"/>
        <v>0</v>
      </c>
      <c r="BE18" s="626">
        <f t="shared" si="32"/>
        <v>0</v>
      </c>
      <c r="BF18" s="625">
        <f t="array" ref="BF18">IFERROR(INDEX('TB-Pharmaceuticals'!$AE$14:$AE$33,MATCH($E18&amp;$F18,'TB-Pharmaceuticals'!$D$14:$D$33&amp;'TB-Pharmaceuticals'!$G$14:$G$33,0)),0)</f>
        <v>0</v>
      </c>
      <c r="BG18" s="626">
        <f t="shared" si="33"/>
        <v>0</v>
      </c>
      <c r="BH18" s="626">
        <f t="shared" si="34"/>
        <v>0</v>
      </c>
      <c r="BI18" s="626">
        <f t="shared" si="35"/>
        <v>0</v>
      </c>
      <c r="BK18" s="626"/>
      <c r="BL18" s="626"/>
      <c r="BM18" s="626"/>
      <c r="BN18" s="626"/>
      <c r="BO18" s="626"/>
      <c r="BP18" s="626"/>
      <c r="BQ18" s="626"/>
      <c r="BR18" s="626"/>
    </row>
    <row r="19" spans="1:70">
      <c r="A19" s="32" t="s">
        <v>1541</v>
      </c>
      <c r="B19" s="32" t="s">
        <v>1737</v>
      </c>
      <c r="C19" s="619">
        <f>SETUP!$F$36</f>
        <v>0</v>
      </c>
      <c r="D19" s="31">
        <v>4.2</v>
      </c>
      <c r="E19" s="32" t="s">
        <v>296</v>
      </c>
      <c r="F19" s="32" t="s">
        <v>1268</v>
      </c>
      <c r="G19" s="625" t="str">
        <f t="array" ref="G19">IFERROR(INDEX('TB-Pharmaceuticals'!$K$14:$K$33,MATCH($E19&amp;$F19,'TB-Pharmaceuticals'!$D$14:$D$33&amp;'TB-Pharmaceuticals'!$G$14:$G$33,0)),"")</f>
        <v/>
      </c>
      <c r="H19" s="625" t="str">
        <f t="array" ref="H19">IFERROR(INDEX('TB-Pharmaceuticals'!$L$14:$L$33,MATCH($E19&amp;$F19,'TB-Pharmaceuticals'!$D$14:$D$33&amp;'TB-Pharmaceuticals'!$G$14:$G$33,0)),"")</f>
        <v/>
      </c>
      <c r="I19" s="625">
        <f t="array" ref="I19">IFERROR(INDEX('TB-Pharmaceuticals'!$M$14:$M$33,MATCH($E19&amp;$F19,'TB-Pharmaceuticals'!$D$14:$D$33&amp;'TB-Pharmaceuticals'!$G$14:$G$33,0)),0)</f>
        <v>0</v>
      </c>
      <c r="J19" s="625">
        <f t="array" ref="J19">IFERROR(INDEX('TB-Pharmaceuticals'!$N$14:$N$33,MATCH($E19&amp;$F19,'TB-Pharmaceuticals'!$D$14:$D$33&amp;'TB-Pharmaceuticals'!$G$14:$G$33,0)),0)</f>
        <v>0</v>
      </c>
      <c r="K19" s="626">
        <f t="shared" si="0"/>
        <v>0</v>
      </c>
      <c r="L19" s="626">
        <f t="shared" si="1"/>
        <v>0</v>
      </c>
      <c r="M19" s="626">
        <f t="shared" si="2"/>
        <v>0</v>
      </c>
      <c r="N19" s="625">
        <f t="array" ref="N19">IFERROR(INDEX('TB-Pharmaceuticals'!$O$14:$O$33,MATCH($E19&amp;$F19,'TB-Pharmaceuticals'!$D$14:$D$33&amp;'TB-Pharmaceuticals'!$G$14:$G$33,0)),0)</f>
        <v>0</v>
      </c>
      <c r="O19" s="626">
        <f t="shared" si="3"/>
        <v>0</v>
      </c>
      <c r="P19" s="626">
        <f t="shared" si="4"/>
        <v>0</v>
      </c>
      <c r="Q19" s="626">
        <f t="shared" si="5"/>
        <v>0</v>
      </c>
      <c r="R19" s="625">
        <f t="array" ref="R19">IFERROR(INDEX('TB-Pharmaceuticals'!$P$14:$P$33,MATCH($E19&amp;$F19,'TB-Pharmaceuticals'!$D$14:$D$33&amp;'TB-Pharmaceuticals'!$G$14:$G$33,0)),0)</f>
        <v>0</v>
      </c>
      <c r="S19" s="626">
        <f t="shared" si="6"/>
        <v>0</v>
      </c>
      <c r="T19" s="626">
        <f t="shared" si="7"/>
        <v>0</v>
      </c>
      <c r="U19" s="626">
        <f t="shared" si="8"/>
        <v>0</v>
      </c>
      <c r="V19" s="625">
        <f t="array" ref="V19">IFERROR(INDEX('TB-Pharmaceuticals'!$Q$14:$Q$33,MATCH($E19&amp;$F19,'TB-Pharmaceuticals'!$D$14:$D$33&amp;'TB-Pharmaceuticals'!$G$14:$G$33,0)),0)</f>
        <v>0</v>
      </c>
      <c r="W19" s="626">
        <f t="shared" si="9"/>
        <v>0</v>
      </c>
      <c r="X19" s="626">
        <f t="shared" si="10"/>
        <v>0</v>
      </c>
      <c r="Y19" s="626">
        <f t="shared" si="11"/>
        <v>0</v>
      </c>
      <c r="Z19" s="627"/>
      <c r="AA19" s="625">
        <f t="array" ref="AA19">IFERROR(INDEX('TB-Pharmaceuticals'!$T$14:$T$33,MATCH($E19&amp;$F19,'TB-Pharmaceuticals'!$D$14:$D$33&amp;'TB-Pharmaceuticals'!$G$14:$G$33,0)),0)</f>
        <v>0</v>
      </c>
      <c r="AB19" s="625">
        <f t="array" ref="AB19">IFERROR(INDEX('TB-Pharmaceuticals'!$U$14:$U$33,MATCH($E19&amp;$F19,'TB-Pharmaceuticals'!$D$14:$D$33&amp;'TB-Pharmaceuticals'!$G$14:$G$33,0)),0)</f>
        <v>0</v>
      </c>
      <c r="AC19" s="626">
        <f t="shared" si="12"/>
        <v>0</v>
      </c>
      <c r="AD19" s="626">
        <f t="shared" si="13"/>
        <v>0</v>
      </c>
      <c r="AE19" s="626">
        <f t="shared" si="14"/>
        <v>0</v>
      </c>
      <c r="AF19" s="625">
        <f t="array" ref="AF19">IFERROR(INDEX('TB-Pharmaceuticals'!$V$14:$V$33,MATCH($E19&amp;$F19,'TB-Pharmaceuticals'!$D$14:$D$33&amp;'TB-Pharmaceuticals'!$G$14:$G$33,0)),0)</f>
        <v>0</v>
      </c>
      <c r="AG19" s="626">
        <f t="shared" si="15"/>
        <v>0</v>
      </c>
      <c r="AH19" s="626">
        <f t="shared" si="16"/>
        <v>0</v>
      </c>
      <c r="AI19" s="626">
        <f t="shared" si="17"/>
        <v>0</v>
      </c>
      <c r="AJ19" s="625">
        <f t="array" ref="AJ19">IFERROR(INDEX('TB-Pharmaceuticals'!$W$14:$W$33,MATCH($E19&amp;$F19,'TB-Pharmaceuticals'!$D$14:$D$33&amp;'TB-Pharmaceuticals'!$G$14:$G$33,0)),0)</f>
        <v>0</v>
      </c>
      <c r="AK19" s="626">
        <f t="shared" si="18"/>
        <v>0</v>
      </c>
      <c r="AL19" s="626">
        <f t="shared" si="19"/>
        <v>0</v>
      </c>
      <c r="AM19" s="626">
        <f t="shared" si="20"/>
        <v>0</v>
      </c>
      <c r="AN19" s="625">
        <f t="array" ref="AN19">IFERROR(INDEX('TB-Pharmaceuticals'!$X$14:$X$33,MATCH($E19&amp;$F19,'TB-Pharmaceuticals'!$D$14:$D$33&amp;'TB-Pharmaceuticals'!$G$14:$G$33,0)),0)</f>
        <v>0</v>
      </c>
      <c r="AO19" s="626">
        <f t="shared" si="21"/>
        <v>0</v>
      </c>
      <c r="AP19" s="626">
        <f t="shared" si="22"/>
        <v>0</v>
      </c>
      <c r="AQ19" s="626">
        <f t="shared" si="23"/>
        <v>0</v>
      </c>
      <c r="AR19" s="627"/>
      <c r="AS19" s="625">
        <f t="array" ref="AS19">IFERROR(INDEX('TB-Pharmaceuticals'!$AA$14:$AA$33,MATCH($E19&amp;$F19,'TB-Pharmaceuticals'!$D$14:$D$33&amp;'TB-Pharmaceuticals'!$G$14:$G$33,0)),0)</f>
        <v>0</v>
      </c>
      <c r="AT19" s="625">
        <f t="array" ref="AT19">IFERROR(INDEX('TB-Pharmaceuticals'!$AB$14:$AB$33,MATCH($E19&amp;$F19,'TB-Pharmaceuticals'!$D$14:$D$33&amp;'TB-Pharmaceuticals'!$G$14:$G$33,0)),0)</f>
        <v>0</v>
      </c>
      <c r="AU19" s="626">
        <f t="shared" si="24"/>
        <v>0</v>
      </c>
      <c r="AV19" s="626">
        <f t="shared" si="25"/>
        <v>0</v>
      </c>
      <c r="AW19" s="626">
        <f t="shared" si="26"/>
        <v>0</v>
      </c>
      <c r="AX19" s="625">
        <f t="array" ref="AX19">IFERROR(INDEX('TB-Pharmaceuticals'!$AC$14:$AC$33,MATCH($E19&amp;$F19,'TB-Pharmaceuticals'!$D$14:$D$33&amp;'TB-Pharmaceuticals'!$G$14:$G$33,0)),0)</f>
        <v>0</v>
      </c>
      <c r="AY19" s="626">
        <f t="shared" si="27"/>
        <v>0</v>
      </c>
      <c r="AZ19" s="626">
        <f t="shared" si="28"/>
        <v>0</v>
      </c>
      <c r="BA19" s="626">
        <f t="shared" si="29"/>
        <v>0</v>
      </c>
      <c r="BB19" s="625">
        <f t="array" ref="BB19">IFERROR(INDEX('TB-Pharmaceuticals'!$AD$14:$AD$33,MATCH($E19&amp;$F19,'TB-Pharmaceuticals'!$D$14:$D$33&amp;'TB-Pharmaceuticals'!$G$14:$G$33,0)),0)</f>
        <v>0</v>
      </c>
      <c r="BC19" s="626">
        <f t="shared" si="30"/>
        <v>0</v>
      </c>
      <c r="BD19" s="626">
        <f t="shared" si="31"/>
        <v>0</v>
      </c>
      <c r="BE19" s="626">
        <f t="shared" si="32"/>
        <v>0</v>
      </c>
      <c r="BF19" s="625">
        <f t="array" ref="BF19">IFERROR(INDEX('TB-Pharmaceuticals'!$AE$14:$AE$33,MATCH($E19&amp;$F19,'TB-Pharmaceuticals'!$D$14:$D$33&amp;'TB-Pharmaceuticals'!$G$14:$G$33,0)),0)</f>
        <v>0</v>
      </c>
      <c r="BG19" s="626">
        <f t="shared" si="33"/>
        <v>0</v>
      </c>
      <c r="BH19" s="626">
        <f t="shared" si="34"/>
        <v>0</v>
      </c>
      <c r="BI19" s="626">
        <f t="shared" si="35"/>
        <v>0</v>
      </c>
      <c r="BK19" s="626"/>
      <c r="BL19" s="626"/>
      <c r="BM19" s="626"/>
      <c r="BN19" s="626"/>
      <c r="BO19" s="626"/>
      <c r="BP19" s="626"/>
      <c r="BQ19" s="626"/>
      <c r="BR19" s="626"/>
    </row>
    <row r="20" spans="1:70">
      <c r="A20" s="32" t="s">
        <v>1541</v>
      </c>
      <c r="B20" s="32" t="s">
        <v>1737</v>
      </c>
      <c r="C20" s="619">
        <f>SETUP!$F$36</f>
        <v>0</v>
      </c>
      <c r="D20" s="31">
        <v>4.2</v>
      </c>
      <c r="E20" s="32" t="s">
        <v>437</v>
      </c>
      <c r="F20" s="32" t="s">
        <v>1271</v>
      </c>
      <c r="G20" s="625" t="str">
        <f t="array" ref="G20">IFERROR(INDEX('TB-Pharmaceuticals'!$K$14:$K$33,MATCH($E20&amp;$F20,'TB-Pharmaceuticals'!$D$14:$D$33&amp;'TB-Pharmaceuticals'!$G$14:$G$33,0)),"")</f>
        <v/>
      </c>
      <c r="H20" s="625" t="str">
        <f t="array" ref="H20">IFERROR(INDEX('TB-Pharmaceuticals'!$L$14:$L$33,MATCH($E20&amp;$F20,'TB-Pharmaceuticals'!$D$14:$D$33&amp;'TB-Pharmaceuticals'!$G$14:$G$33,0)),"")</f>
        <v/>
      </c>
      <c r="I20" s="625">
        <f t="array" ref="I20">IFERROR(INDEX('TB-Pharmaceuticals'!$M$14:$M$33,MATCH($E20&amp;$F20,'TB-Pharmaceuticals'!$D$14:$D$33&amp;'TB-Pharmaceuticals'!$G$14:$G$33,0)),0)</f>
        <v>0</v>
      </c>
      <c r="J20" s="625">
        <f t="array" ref="J20">IFERROR(INDEX('TB-Pharmaceuticals'!$N$14:$N$33,MATCH($E20&amp;$F20,'TB-Pharmaceuticals'!$D$14:$D$33&amp;'TB-Pharmaceuticals'!$G$14:$G$33,0)),0)</f>
        <v>0</v>
      </c>
      <c r="K20" s="626">
        <f t="shared" si="0"/>
        <v>0</v>
      </c>
      <c r="L20" s="626">
        <f t="shared" si="1"/>
        <v>0</v>
      </c>
      <c r="M20" s="626">
        <f t="shared" si="2"/>
        <v>0</v>
      </c>
      <c r="N20" s="625">
        <f t="array" ref="N20">IFERROR(INDEX('TB-Pharmaceuticals'!$O$14:$O$33,MATCH($E20&amp;$F20,'TB-Pharmaceuticals'!$D$14:$D$33&amp;'TB-Pharmaceuticals'!$G$14:$G$33,0)),0)</f>
        <v>0</v>
      </c>
      <c r="O20" s="626">
        <f t="shared" si="3"/>
        <v>0</v>
      </c>
      <c r="P20" s="626">
        <f t="shared" si="4"/>
        <v>0</v>
      </c>
      <c r="Q20" s="626">
        <f t="shared" si="5"/>
        <v>0</v>
      </c>
      <c r="R20" s="625">
        <f t="array" ref="R20">IFERROR(INDEX('TB-Pharmaceuticals'!$P$14:$P$33,MATCH($E20&amp;$F20,'TB-Pharmaceuticals'!$D$14:$D$33&amp;'TB-Pharmaceuticals'!$G$14:$G$33,0)),0)</f>
        <v>0</v>
      </c>
      <c r="S20" s="626">
        <f t="shared" si="6"/>
        <v>0</v>
      </c>
      <c r="T20" s="626">
        <f t="shared" si="7"/>
        <v>0</v>
      </c>
      <c r="U20" s="626">
        <f t="shared" si="8"/>
        <v>0</v>
      </c>
      <c r="V20" s="625">
        <f t="array" ref="V20">IFERROR(INDEX('TB-Pharmaceuticals'!$Q$14:$Q$33,MATCH($E20&amp;$F20,'TB-Pharmaceuticals'!$D$14:$D$33&amp;'TB-Pharmaceuticals'!$G$14:$G$33,0)),0)</f>
        <v>0</v>
      </c>
      <c r="W20" s="626">
        <f t="shared" si="9"/>
        <v>0</v>
      </c>
      <c r="X20" s="626">
        <f t="shared" si="10"/>
        <v>0</v>
      </c>
      <c r="Y20" s="626">
        <f t="shared" si="11"/>
        <v>0</v>
      </c>
      <c r="Z20" s="627"/>
      <c r="AA20" s="625">
        <f t="array" ref="AA20">IFERROR(INDEX('TB-Pharmaceuticals'!$T$14:$T$33,MATCH($E20&amp;$F20,'TB-Pharmaceuticals'!$D$14:$D$33&amp;'TB-Pharmaceuticals'!$G$14:$G$33,0)),0)</f>
        <v>0</v>
      </c>
      <c r="AB20" s="625">
        <f t="array" ref="AB20">IFERROR(INDEX('TB-Pharmaceuticals'!$U$14:$U$33,MATCH($E20&amp;$F20,'TB-Pharmaceuticals'!$D$14:$D$33&amp;'TB-Pharmaceuticals'!$G$14:$G$33,0)),0)</f>
        <v>0</v>
      </c>
      <c r="AC20" s="626">
        <f t="shared" si="12"/>
        <v>0</v>
      </c>
      <c r="AD20" s="626">
        <f t="shared" si="13"/>
        <v>0</v>
      </c>
      <c r="AE20" s="626">
        <f t="shared" si="14"/>
        <v>0</v>
      </c>
      <c r="AF20" s="625">
        <f t="array" ref="AF20">IFERROR(INDEX('TB-Pharmaceuticals'!$V$14:$V$33,MATCH($E20&amp;$F20,'TB-Pharmaceuticals'!$D$14:$D$33&amp;'TB-Pharmaceuticals'!$G$14:$G$33,0)),0)</f>
        <v>0</v>
      </c>
      <c r="AG20" s="626">
        <f t="shared" si="15"/>
        <v>0</v>
      </c>
      <c r="AH20" s="626">
        <f t="shared" si="16"/>
        <v>0</v>
      </c>
      <c r="AI20" s="626">
        <f t="shared" si="17"/>
        <v>0</v>
      </c>
      <c r="AJ20" s="625">
        <f t="array" ref="AJ20">IFERROR(INDEX('TB-Pharmaceuticals'!$W$14:$W$33,MATCH($E20&amp;$F20,'TB-Pharmaceuticals'!$D$14:$D$33&amp;'TB-Pharmaceuticals'!$G$14:$G$33,0)),0)</f>
        <v>0</v>
      </c>
      <c r="AK20" s="626">
        <f t="shared" si="18"/>
        <v>0</v>
      </c>
      <c r="AL20" s="626">
        <f t="shared" si="19"/>
        <v>0</v>
      </c>
      <c r="AM20" s="626">
        <f t="shared" si="20"/>
        <v>0</v>
      </c>
      <c r="AN20" s="625">
        <f t="array" ref="AN20">IFERROR(INDEX('TB-Pharmaceuticals'!$X$14:$X$33,MATCH($E20&amp;$F20,'TB-Pharmaceuticals'!$D$14:$D$33&amp;'TB-Pharmaceuticals'!$G$14:$G$33,0)),0)</f>
        <v>0</v>
      </c>
      <c r="AO20" s="626">
        <f t="shared" si="21"/>
        <v>0</v>
      </c>
      <c r="AP20" s="626">
        <f t="shared" si="22"/>
        <v>0</v>
      </c>
      <c r="AQ20" s="626">
        <f t="shared" si="23"/>
        <v>0</v>
      </c>
      <c r="AR20" s="627"/>
      <c r="AS20" s="625">
        <f t="array" ref="AS20">IFERROR(INDEX('TB-Pharmaceuticals'!$AA$14:$AA$33,MATCH($E20&amp;$F20,'TB-Pharmaceuticals'!$D$14:$D$33&amp;'TB-Pharmaceuticals'!$G$14:$G$33,0)),0)</f>
        <v>0</v>
      </c>
      <c r="AT20" s="625">
        <f t="array" ref="AT20">IFERROR(INDEX('TB-Pharmaceuticals'!$AB$14:$AB$33,MATCH($E20&amp;$F20,'TB-Pharmaceuticals'!$D$14:$D$33&amp;'TB-Pharmaceuticals'!$G$14:$G$33,0)),0)</f>
        <v>0</v>
      </c>
      <c r="AU20" s="626">
        <f t="shared" si="24"/>
        <v>0</v>
      </c>
      <c r="AV20" s="626">
        <f t="shared" si="25"/>
        <v>0</v>
      </c>
      <c r="AW20" s="626">
        <f t="shared" si="26"/>
        <v>0</v>
      </c>
      <c r="AX20" s="625">
        <f t="array" ref="AX20">IFERROR(INDEX('TB-Pharmaceuticals'!$AC$14:$AC$33,MATCH($E20&amp;$F20,'TB-Pharmaceuticals'!$D$14:$D$33&amp;'TB-Pharmaceuticals'!$G$14:$G$33,0)),0)</f>
        <v>0</v>
      </c>
      <c r="AY20" s="626">
        <f t="shared" si="27"/>
        <v>0</v>
      </c>
      <c r="AZ20" s="626">
        <f t="shared" si="28"/>
        <v>0</v>
      </c>
      <c r="BA20" s="626">
        <f t="shared" si="29"/>
        <v>0</v>
      </c>
      <c r="BB20" s="625">
        <f t="array" ref="BB20">IFERROR(INDEX('TB-Pharmaceuticals'!$AD$14:$AD$33,MATCH($E20&amp;$F20,'TB-Pharmaceuticals'!$D$14:$D$33&amp;'TB-Pharmaceuticals'!$G$14:$G$33,0)),0)</f>
        <v>0</v>
      </c>
      <c r="BC20" s="626">
        <f t="shared" si="30"/>
        <v>0</v>
      </c>
      <c r="BD20" s="626">
        <f t="shared" si="31"/>
        <v>0</v>
      </c>
      <c r="BE20" s="626">
        <f t="shared" si="32"/>
        <v>0</v>
      </c>
      <c r="BF20" s="625">
        <f t="array" ref="BF20">IFERROR(INDEX('TB-Pharmaceuticals'!$AE$14:$AE$33,MATCH($E20&amp;$F20,'TB-Pharmaceuticals'!$D$14:$D$33&amp;'TB-Pharmaceuticals'!$G$14:$G$33,0)),0)</f>
        <v>0</v>
      </c>
      <c r="BG20" s="626">
        <f t="shared" si="33"/>
        <v>0</v>
      </c>
      <c r="BH20" s="626">
        <f t="shared" si="34"/>
        <v>0</v>
      </c>
      <c r="BI20" s="626">
        <f t="shared" si="35"/>
        <v>0</v>
      </c>
      <c r="BK20" s="626"/>
      <c r="BL20" s="626"/>
      <c r="BM20" s="626"/>
      <c r="BN20" s="626"/>
      <c r="BO20" s="626"/>
      <c r="BP20" s="626"/>
      <c r="BQ20" s="626"/>
      <c r="BR20" s="626"/>
    </row>
    <row r="21" spans="1:70">
      <c r="A21" s="32" t="s">
        <v>1541</v>
      </c>
      <c r="B21" s="32" t="s">
        <v>1737</v>
      </c>
      <c r="C21" s="619">
        <f>SETUP!$F$36</f>
        <v>0</v>
      </c>
      <c r="D21" s="31">
        <v>4.2</v>
      </c>
      <c r="E21" s="32" t="s">
        <v>438</v>
      </c>
      <c r="F21" s="32" t="s">
        <v>1272</v>
      </c>
      <c r="G21" s="625" t="str">
        <f t="array" ref="G21">IFERROR(INDEX('TB-Pharmaceuticals'!$K$14:$K$33,MATCH($E21&amp;$F21,'TB-Pharmaceuticals'!$D$14:$D$33&amp;'TB-Pharmaceuticals'!$G$14:$G$33,0)),"")</f>
        <v/>
      </c>
      <c r="H21" s="625" t="str">
        <f t="array" ref="H21">IFERROR(INDEX('TB-Pharmaceuticals'!$L$14:$L$33,MATCH($E21&amp;$F21,'TB-Pharmaceuticals'!$D$14:$D$33&amp;'TB-Pharmaceuticals'!$G$14:$G$33,0)),"")</f>
        <v/>
      </c>
      <c r="I21" s="625">
        <f t="array" ref="I21">IFERROR(INDEX('TB-Pharmaceuticals'!$M$14:$M$33,MATCH($E21&amp;$F21,'TB-Pharmaceuticals'!$D$14:$D$33&amp;'TB-Pharmaceuticals'!$G$14:$G$33,0)),0)</f>
        <v>0</v>
      </c>
      <c r="J21" s="625">
        <f t="array" ref="J21">IFERROR(INDEX('TB-Pharmaceuticals'!$N$14:$N$33,MATCH($E21&amp;$F21,'TB-Pharmaceuticals'!$D$14:$D$33&amp;'TB-Pharmaceuticals'!$G$14:$G$33,0)),0)</f>
        <v>0</v>
      </c>
      <c r="K21" s="626">
        <f t="shared" si="0"/>
        <v>0</v>
      </c>
      <c r="L21" s="626">
        <f t="shared" si="1"/>
        <v>0</v>
      </c>
      <c r="M21" s="626">
        <f t="shared" si="2"/>
        <v>0</v>
      </c>
      <c r="N21" s="625">
        <f t="array" ref="N21">IFERROR(INDEX('TB-Pharmaceuticals'!$O$14:$O$33,MATCH($E21&amp;$F21,'TB-Pharmaceuticals'!$D$14:$D$33&amp;'TB-Pharmaceuticals'!$G$14:$G$33,0)),0)</f>
        <v>0</v>
      </c>
      <c r="O21" s="626">
        <f t="shared" si="3"/>
        <v>0</v>
      </c>
      <c r="P21" s="626">
        <f t="shared" si="4"/>
        <v>0</v>
      </c>
      <c r="Q21" s="626">
        <f t="shared" si="5"/>
        <v>0</v>
      </c>
      <c r="R21" s="625">
        <f t="array" ref="R21">IFERROR(INDEX('TB-Pharmaceuticals'!$P$14:$P$33,MATCH($E21&amp;$F21,'TB-Pharmaceuticals'!$D$14:$D$33&amp;'TB-Pharmaceuticals'!$G$14:$G$33,0)),0)</f>
        <v>0</v>
      </c>
      <c r="S21" s="626">
        <f t="shared" si="6"/>
        <v>0</v>
      </c>
      <c r="T21" s="626">
        <f t="shared" si="7"/>
        <v>0</v>
      </c>
      <c r="U21" s="626">
        <f t="shared" si="8"/>
        <v>0</v>
      </c>
      <c r="V21" s="625">
        <f t="array" ref="V21">IFERROR(INDEX('TB-Pharmaceuticals'!$Q$14:$Q$33,MATCH($E21&amp;$F21,'TB-Pharmaceuticals'!$D$14:$D$33&amp;'TB-Pharmaceuticals'!$G$14:$G$33,0)),0)</f>
        <v>0</v>
      </c>
      <c r="W21" s="626">
        <f t="shared" si="9"/>
        <v>0</v>
      </c>
      <c r="X21" s="626">
        <f t="shared" si="10"/>
        <v>0</v>
      </c>
      <c r="Y21" s="626">
        <f t="shared" si="11"/>
        <v>0</v>
      </c>
      <c r="Z21" s="627"/>
      <c r="AA21" s="625">
        <f t="array" ref="AA21">IFERROR(INDEX('TB-Pharmaceuticals'!$T$14:$T$33,MATCH($E21&amp;$F21,'TB-Pharmaceuticals'!$D$14:$D$33&amp;'TB-Pharmaceuticals'!$G$14:$G$33,0)),0)</f>
        <v>0</v>
      </c>
      <c r="AB21" s="625">
        <f t="array" ref="AB21">IFERROR(INDEX('TB-Pharmaceuticals'!$U$14:$U$33,MATCH($E21&amp;$F21,'TB-Pharmaceuticals'!$D$14:$D$33&amp;'TB-Pharmaceuticals'!$G$14:$G$33,0)),0)</f>
        <v>0</v>
      </c>
      <c r="AC21" s="626">
        <f t="shared" si="12"/>
        <v>0</v>
      </c>
      <c r="AD21" s="626">
        <f t="shared" si="13"/>
        <v>0</v>
      </c>
      <c r="AE21" s="626">
        <f t="shared" si="14"/>
        <v>0</v>
      </c>
      <c r="AF21" s="625">
        <f t="array" ref="AF21">IFERROR(INDEX('TB-Pharmaceuticals'!$V$14:$V$33,MATCH($E21&amp;$F21,'TB-Pharmaceuticals'!$D$14:$D$33&amp;'TB-Pharmaceuticals'!$G$14:$G$33,0)),0)</f>
        <v>0</v>
      </c>
      <c r="AG21" s="626">
        <f t="shared" si="15"/>
        <v>0</v>
      </c>
      <c r="AH21" s="626">
        <f t="shared" si="16"/>
        <v>0</v>
      </c>
      <c r="AI21" s="626">
        <f t="shared" si="17"/>
        <v>0</v>
      </c>
      <c r="AJ21" s="625">
        <f t="array" ref="AJ21">IFERROR(INDEX('TB-Pharmaceuticals'!$W$14:$W$33,MATCH($E21&amp;$F21,'TB-Pharmaceuticals'!$D$14:$D$33&amp;'TB-Pharmaceuticals'!$G$14:$G$33,0)),0)</f>
        <v>0</v>
      </c>
      <c r="AK21" s="626">
        <f t="shared" si="18"/>
        <v>0</v>
      </c>
      <c r="AL21" s="626">
        <f t="shared" si="19"/>
        <v>0</v>
      </c>
      <c r="AM21" s="626">
        <f t="shared" si="20"/>
        <v>0</v>
      </c>
      <c r="AN21" s="625">
        <f t="array" ref="AN21">IFERROR(INDEX('TB-Pharmaceuticals'!$X$14:$X$33,MATCH($E21&amp;$F21,'TB-Pharmaceuticals'!$D$14:$D$33&amp;'TB-Pharmaceuticals'!$G$14:$G$33,0)),0)</f>
        <v>0</v>
      </c>
      <c r="AO21" s="626">
        <f t="shared" si="21"/>
        <v>0</v>
      </c>
      <c r="AP21" s="626">
        <f t="shared" si="22"/>
        <v>0</v>
      </c>
      <c r="AQ21" s="626">
        <f t="shared" si="23"/>
        <v>0</v>
      </c>
      <c r="AR21" s="627"/>
      <c r="AS21" s="625">
        <f t="array" ref="AS21">IFERROR(INDEX('TB-Pharmaceuticals'!$AA$14:$AA$33,MATCH($E21&amp;$F21,'TB-Pharmaceuticals'!$D$14:$D$33&amp;'TB-Pharmaceuticals'!$G$14:$G$33,0)),0)</f>
        <v>0</v>
      </c>
      <c r="AT21" s="625">
        <f t="array" ref="AT21">IFERROR(INDEX('TB-Pharmaceuticals'!$AB$14:$AB$33,MATCH($E21&amp;$F21,'TB-Pharmaceuticals'!$D$14:$D$33&amp;'TB-Pharmaceuticals'!$G$14:$G$33,0)),0)</f>
        <v>0</v>
      </c>
      <c r="AU21" s="626">
        <f t="shared" si="24"/>
        <v>0</v>
      </c>
      <c r="AV21" s="626">
        <f t="shared" si="25"/>
        <v>0</v>
      </c>
      <c r="AW21" s="626">
        <f t="shared" si="26"/>
        <v>0</v>
      </c>
      <c r="AX21" s="625">
        <f t="array" ref="AX21">IFERROR(INDEX('TB-Pharmaceuticals'!$AC$14:$AC$33,MATCH($E21&amp;$F21,'TB-Pharmaceuticals'!$D$14:$D$33&amp;'TB-Pharmaceuticals'!$G$14:$G$33,0)),0)</f>
        <v>0</v>
      </c>
      <c r="AY21" s="626">
        <f t="shared" si="27"/>
        <v>0</v>
      </c>
      <c r="AZ21" s="626">
        <f t="shared" si="28"/>
        <v>0</v>
      </c>
      <c r="BA21" s="626">
        <f t="shared" si="29"/>
        <v>0</v>
      </c>
      <c r="BB21" s="625">
        <f t="array" ref="BB21">IFERROR(INDEX('TB-Pharmaceuticals'!$AD$14:$AD$33,MATCH($E21&amp;$F21,'TB-Pharmaceuticals'!$D$14:$D$33&amp;'TB-Pharmaceuticals'!$G$14:$G$33,0)),0)</f>
        <v>0</v>
      </c>
      <c r="BC21" s="626">
        <f t="shared" si="30"/>
        <v>0</v>
      </c>
      <c r="BD21" s="626">
        <f t="shared" si="31"/>
        <v>0</v>
      </c>
      <c r="BE21" s="626">
        <f t="shared" si="32"/>
        <v>0</v>
      </c>
      <c r="BF21" s="625">
        <f t="array" ref="BF21">IFERROR(INDEX('TB-Pharmaceuticals'!$AE$14:$AE$33,MATCH($E21&amp;$F21,'TB-Pharmaceuticals'!$D$14:$D$33&amp;'TB-Pharmaceuticals'!$G$14:$G$33,0)),0)</f>
        <v>0</v>
      </c>
      <c r="BG21" s="626">
        <f t="shared" si="33"/>
        <v>0</v>
      </c>
      <c r="BH21" s="626">
        <f t="shared" si="34"/>
        <v>0</v>
      </c>
      <c r="BI21" s="626">
        <f t="shared" si="35"/>
        <v>0</v>
      </c>
      <c r="BK21" s="626"/>
      <c r="BL21" s="626"/>
      <c r="BM21" s="626"/>
      <c r="BN21" s="626"/>
      <c r="BO21" s="626"/>
      <c r="BP21" s="626"/>
      <c r="BQ21" s="626"/>
      <c r="BR21" s="626"/>
    </row>
    <row r="22" spans="1:70">
      <c r="A22" s="32" t="s">
        <v>1541</v>
      </c>
      <c r="B22" s="32" t="s">
        <v>1737</v>
      </c>
      <c r="C22" s="619">
        <f>SETUP!$F$36</f>
        <v>0</v>
      </c>
      <c r="D22" s="31">
        <v>4.2</v>
      </c>
      <c r="E22" s="32" t="s">
        <v>438</v>
      </c>
      <c r="F22" s="32" t="s">
        <v>451</v>
      </c>
      <c r="G22" s="625" t="str">
        <f t="array" ref="G22">IFERROR(INDEX('TB-Pharmaceuticals'!$K$14:$K$33,MATCH($E22&amp;$F22,'TB-Pharmaceuticals'!$D$14:$D$33&amp;'TB-Pharmaceuticals'!$G$14:$G$33,0)),"")</f>
        <v/>
      </c>
      <c r="H22" s="625" t="str">
        <f t="array" ref="H22">IFERROR(INDEX('TB-Pharmaceuticals'!$L$14:$L$33,MATCH($E22&amp;$F22,'TB-Pharmaceuticals'!$D$14:$D$33&amp;'TB-Pharmaceuticals'!$G$14:$G$33,0)),"")</f>
        <v/>
      </c>
      <c r="I22" s="625">
        <f t="array" ref="I22">IFERROR(INDEX('TB-Pharmaceuticals'!$M$14:$M$33,MATCH($E22&amp;$F22,'TB-Pharmaceuticals'!$D$14:$D$33&amp;'TB-Pharmaceuticals'!$G$14:$G$33,0)),0)</f>
        <v>0</v>
      </c>
      <c r="J22" s="625">
        <f t="array" ref="J22">IFERROR(INDEX('TB-Pharmaceuticals'!$N$14:$N$33,MATCH($E22&amp;$F22,'TB-Pharmaceuticals'!$D$14:$D$33&amp;'TB-Pharmaceuticals'!$G$14:$G$33,0)),0)</f>
        <v>0</v>
      </c>
      <c r="K22" s="626">
        <f t="shared" si="0"/>
        <v>0</v>
      </c>
      <c r="L22" s="626">
        <f t="shared" si="1"/>
        <v>0</v>
      </c>
      <c r="M22" s="626">
        <f t="shared" si="2"/>
        <v>0</v>
      </c>
      <c r="N22" s="625">
        <f t="array" ref="N22">IFERROR(INDEX('TB-Pharmaceuticals'!$O$14:$O$33,MATCH($E22&amp;$F22,'TB-Pharmaceuticals'!$D$14:$D$33&amp;'TB-Pharmaceuticals'!$G$14:$G$33,0)),0)</f>
        <v>0</v>
      </c>
      <c r="O22" s="626">
        <f t="shared" si="3"/>
        <v>0</v>
      </c>
      <c r="P22" s="626">
        <f t="shared" si="4"/>
        <v>0</v>
      </c>
      <c r="Q22" s="626">
        <f t="shared" si="5"/>
        <v>0</v>
      </c>
      <c r="R22" s="625">
        <f t="array" ref="R22">IFERROR(INDEX('TB-Pharmaceuticals'!$P$14:$P$33,MATCH($E22&amp;$F22,'TB-Pharmaceuticals'!$D$14:$D$33&amp;'TB-Pharmaceuticals'!$G$14:$G$33,0)),0)</f>
        <v>0</v>
      </c>
      <c r="S22" s="626">
        <f t="shared" si="6"/>
        <v>0</v>
      </c>
      <c r="T22" s="626">
        <f t="shared" si="7"/>
        <v>0</v>
      </c>
      <c r="U22" s="626">
        <f t="shared" si="8"/>
        <v>0</v>
      </c>
      <c r="V22" s="625">
        <f t="array" ref="V22">IFERROR(INDEX('TB-Pharmaceuticals'!$Q$14:$Q$33,MATCH($E22&amp;$F22,'TB-Pharmaceuticals'!$D$14:$D$33&amp;'TB-Pharmaceuticals'!$G$14:$G$33,0)),0)</f>
        <v>0</v>
      </c>
      <c r="W22" s="626">
        <f t="shared" si="9"/>
        <v>0</v>
      </c>
      <c r="X22" s="626">
        <f t="shared" si="10"/>
        <v>0</v>
      </c>
      <c r="Y22" s="626">
        <f t="shared" si="11"/>
        <v>0</v>
      </c>
      <c r="Z22" s="627"/>
      <c r="AA22" s="625">
        <f t="array" ref="AA22">IFERROR(INDEX('TB-Pharmaceuticals'!$T$14:$T$33,MATCH($E22&amp;$F22,'TB-Pharmaceuticals'!$D$14:$D$33&amp;'TB-Pharmaceuticals'!$G$14:$G$33,0)),0)</f>
        <v>0</v>
      </c>
      <c r="AB22" s="625">
        <f t="array" ref="AB22">IFERROR(INDEX('TB-Pharmaceuticals'!$U$14:$U$33,MATCH($E22&amp;$F22,'TB-Pharmaceuticals'!$D$14:$D$33&amp;'TB-Pharmaceuticals'!$G$14:$G$33,0)),0)</f>
        <v>0</v>
      </c>
      <c r="AC22" s="626">
        <f t="shared" si="12"/>
        <v>0</v>
      </c>
      <c r="AD22" s="626">
        <f t="shared" si="13"/>
        <v>0</v>
      </c>
      <c r="AE22" s="626">
        <f t="shared" si="14"/>
        <v>0</v>
      </c>
      <c r="AF22" s="625">
        <f t="array" ref="AF22">IFERROR(INDEX('TB-Pharmaceuticals'!$V$14:$V$33,MATCH($E22&amp;$F22,'TB-Pharmaceuticals'!$D$14:$D$33&amp;'TB-Pharmaceuticals'!$G$14:$G$33,0)),0)</f>
        <v>0</v>
      </c>
      <c r="AG22" s="626">
        <f t="shared" si="15"/>
        <v>0</v>
      </c>
      <c r="AH22" s="626">
        <f t="shared" si="16"/>
        <v>0</v>
      </c>
      <c r="AI22" s="626">
        <f t="shared" si="17"/>
        <v>0</v>
      </c>
      <c r="AJ22" s="625">
        <f t="array" ref="AJ22">IFERROR(INDEX('TB-Pharmaceuticals'!$W$14:$W$33,MATCH($E22&amp;$F22,'TB-Pharmaceuticals'!$D$14:$D$33&amp;'TB-Pharmaceuticals'!$G$14:$G$33,0)),0)</f>
        <v>0</v>
      </c>
      <c r="AK22" s="626">
        <f t="shared" si="18"/>
        <v>0</v>
      </c>
      <c r="AL22" s="626">
        <f t="shared" si="19"/>
        <v>0</v>
      </c>
      <c r="AM22" s="626">
        <f t="shared" si="20"/>
        <v>0</v>
      </c>
      <c r="AN22" s="625">
        <f t="array" ref="AN22">IFERROR(INDEX('TB-Pharmaceuticals'!$X$14:$X$33,MATCH($E22&amp;$F22,'TB-Pharmaceuticals'!$D$14:$D$33&amp;'TB-Pharmaceuticals'!$G$14:$G$33,0)),0)</f>
        <v>0</v>
      </c>
      <c r="AO22" s="626">
        <f t="shared" si="21"/>
        <v>0</v>
      </c>
      <c r="AP22" s="626">
        <f t="shared" si="22"/>
        <v>0</v>
      </c>
      <c r="AQ22" s="626">
        <f t="shared" si="23"/>
        <v>0</v>
      </c>
      <c r="AR22" s="627"/>
      <c r="AS22" s="625">
        <f t="array" ref="AS22">IFERROR(INDEX('TB-Pharmaceuticals'!$AA$14:$AA$33,MATCH($E22&amp;$F22,'TB-Pharmaceuticals'!$D$14:$D$33&amp;'TB-Pharmaceuticals'!$G$14:$G$33,0)),0)</f>
        <v>0</v>
      </c>
      <c r="AT22" s="625">
        <f t="array" ref="AT22">IFERROR(INDEX('TB-Pharmaceuticals'!$AB$14:$AB$33,MATCH($E22&amp;$F22,'TB-Pharmaceuticals'!$D$14:$D$33&amp;'TB-Pharmaceuticals'!$G$14:$G$33,0)),0)</f>
        <v>0</v>
      </c>
      <c r="AU22" s="626">
        <f t="shared" si="24"/>
        <v>0</v>
      </c>
      <c r="AV22" s="626">
        <f t="shared" si="25"/>
        <v>0</v>
      </c>
      <c r="AW22" s="626">
        <f t="shared" si="26"/>
        <v>0</v>
      </c>
      <c r="AX22" s="625">
        <f t="array" ref="AX22">IFERROR(INDEX('TB-Pharmaceuticals'!$AC$14:$AC$33,MATCH($E22&amp;$F22,'TB-Pharmaceuticals'!$D$14:$D$33&amp;'TB-Pharmaceuticals'!$G$14:$G$33,0)),0)</f>
        <v>0</v>
      </c>
      <c r="AY22" s="626">
        <f t="shared" si="27"/>
        <v>0</v>
      </c>
      <c r="AZ22" s="626">
        <f t="shared" si="28"/>
        <v>0</v>
      </c>
      <c r="BA22" s="626">
        <f t="shared" si="29"/>
        <v>0</v>
      </c>
      <c r="BB22" s="625">
        <f t="array" ref="BB22">IFERROR(INDEX('TB-Pharmaceuticals'!$AD$14:$AD$33,MATCH($E22&amp;$F22,'TB-Pharmaceuticals'!$D$14:$D$33&amp;'TB-Pharmaceuticals'!$G$14:$G$33,0)),0)</f>
        <v>0</v>
      </c>
      <c r="BC22" s="626">
        <f t="shared" si="30"/>
        <v>0</v>
      </c>
      <c r="BD22" s="626">
        <f t="shared" si="31"/>
        <v>0</v>
      </c>
      <c r="BE22" s="626">
        <f t="shared" si="32"/>
        <v>0</v>
      </c>
      <c r="BF22" s="625">
        <f t="array" ref="BF22">IFERROR(INDEX('TB-Pharmaceuticals'!$AE$14:$AE$33,MATCH($E22&amp;$F22,'TB-Pharmaceuticals'!$D$14:$D$33&amp;'TB-Pharmaceuticals'!$G$14:$G$33,0)),0)</f>
        <v>0</v>
      </c>
      <c r="BG22" s="626">
        <f t="shared" si="33"/>
        <v>0</v>
      </c>
      <c r="BH22" s="626">
        <f t="shared" si="34"/>
        <v>0</v>
      </c>
      <c r="BI22" s="626">
        <f t="shared" si="35"/>
        <v>0</v>
      </c>
      <c r="BK22" s="626"/>
      <c r="BL22" s="626"/>
      <c r="BM22" s="626"/>
      <c r="BN22" s="626"/>
      <c r="BO22" s="626"/>
      <c r="BP22" s="626"/>
      <c r="BQ22" s="626"/>
      <c r="BR22" s="626"/>
    </row>
    <row r="23" spans="1:70">
      <c r="A23" s="32" t="s">
        <v>1541</v>
      </c>
      <c r="B23" s="32" t="s">
        <v>1737</v>
      </c>
      <c r="C23" s="619">
        <f>SETUP!$F$36</f>
        <v>0</v>
      </c>
      <c r="D23" s="31">
        <v>4.2</v>
      </c>
      <c r="E23" s="32" t="s">
        <v>438</v>
      </c>
      <c r="F23" s="32" t="s">
        <v>452</v>
      </c>
      <c r="G23" s="625" t="str">
        <f t="array" ref="G23">IFERROR(INDEX('TB-Pharmaceuticals'!$K$14:$K$33,MATCH($E23&amp;$F23,'TB-Pharmaceuticals'!$D$14:$D$33&amp;'TB-Pharmaceuticals'!$G$14:$G$33,0)),"")</f>
        <v/>
      </c>
      <c r="H23" s="625" t="str">
        <f t="array" ref="H23">IFERROR(INDEX('TB-Pharmaceuticals'!$L$14:$L$33,MATCH($E23&amp;$F23,'TB-Pharmaceuticals'!$D$14:$D$33&amp;'TB-Pharmaceuticals'!$G$14:$G$33,0)),"")</f>
        <v/>
      </c>
      <c r="I23" s="625">
        <f t="array" ref="I23">IFERROR(INDEX('TB-Pharmaceuticals'!$M$14:$M$33,MATCH($E23&amp;$F23,'TB-Pharmaceuticals'!$D$14:$D$33&amp;'TB-Pharmaceuticals'!$G$14:$G$33,0)),0)</f>
        <v>0</v>
      </c>
      <c r="J23" s="625">
        <f t="array" ref="J23">IFERROR(INDEX('TB-Pharmaceuticals'!$N$14:$N$33,MATCH($E23&amp;$F23,'TB-Pharmaceuticals'!$D$14:$D$33&amp;'TB-Pharmaceuticals'!$G$14:$G$33,0)),0)</f>
        <v>0</v>
      </c>
      <c r="K23" s="626">
        <f t="shared" si="0"/>
        <v>0</v>
      </c>
      <c r="L23" s="626">
        <f t="shared" si="1"/>
        <v>0</v>
      </c>
      <c r="M23" s="626">
        <f t="shared" si="2"/>
        <v>0</v>
      </c>
      <c r="N23" s="625">
        <f t="array" ref="N23">IFERROR(INDEX('TB-Pharmaceuticals'!$O$14:$O$33,MATCH($E23&amp;$F23,'TB-Pharmaceuticals'!$D$14:$D$33&amp;'TB-Pharmaceuticals'!$G$14:$G$33,0)),0)</f>
        <v>0</v>
      </c>
      <c r="O23" s="626">
        <f t="shared" si="3"/>
        <v>0</v>
      </c>
      <c r="P23" s="626">
        <f t="shared" si="4"/>
        <v>0</v>
      </c>
      <c r="Q23" s="626">
        <f t="shared" si="5"/>
        <v>0</v>
      </c>
      <c r="R23" s="625">
        <f t="array" ref="R23">IFERROR(INDEX('TB-Pharmaceuticals'!$P$14:$P$33,MATCH($E23&amp;$F23,'TB-Pharmaceuticals'!$D$14:$D$33&amp;'TB-Pharmaceuticals'!$G$14:$G$33,0)),0)</f>
        <v>0</v>
      </c>
      <c r="S23" s="626">
        <f t="shared" si="6"/>
        <v>0</v>
      </c>
      <c r="T23" s="626">
        <f t="shared" si="7"/>
        <v>0</v>
      </c>
      <c r="U23" s="626">
        <f t="shared" si="8"/>
        <v>0</v>
      </c>
      <c r="V23" s="625">
        <f t="array" ref="V23">IFERROR(INDEX('TB-Pharmaceuticals'!$Q$14:$Q$33,MATCH($E23&amp;$F23,'TB-Pharmaceuticals'!$D$14:$D$33&amp;'TB-Pharmaceuticals'!$G$14:$G$33,0)),0)</f>
        <v>0</v>
      </c>
      <c r="W23" s="626">
        <f t="shared" si="9"/>
        <v>0</v>
      </c>
      <c r="X23" s="626">
        <f t="shared" si="10"/>
        <v>0</v>
      </c>
      <c r="Y23" s="626">
        <f t="shared" si="11"/>
        <v>0</v>
      </c>
      <c r="Z23" s="627"/>
      <c r="AA23" s="625">
        <f t="array" ref="AA23">IFERROR(INDEX('TB-Pharmaceuticals'!$T$14:$T$33,MATCH($E23&amp;$F23,'TB-Pharmaceuticals'!$D$14:$D$33&amp;'TB-Pharmaceuticals'!$G$14:$G$33,0)),0)</f>
        <v>0</v>
      </c>
      <c r="AB23" s="625">
        <f t="array" ref="AB23">IFERROR(INDEX('TB-Pharmaceuticals'!$U$14:$U$33,MATCH($E23&amp;$F23,'TB-Pharmaceuticals'!$D$14:$D$33&amp;'TB-Pharmaceuticals'!$G$14:$G$33,0)),0)</f>
        <v>0</v>
      </c>
      <c r="AC23" s="626">
        <f t="shared" si="12"/>
        <v>0</v>
      </c>
      <c r="AD23" s="626">
        <f t="shared" si="13"/>
        <v>0</v>
      </c>
      <c r="AE23" s="626">
        <f t="shared" si="14"/>
        <v>0</v>
      </c>
      <c r="AF23" s="625">
        <f t="array" ref="AF23">IFERROR(INDEX('TB-Pharmaceuticals'!$V$14:$V$33,MATCH($E23&amp;$F23,'TB-Pharmaceuticals'!$D$14:$D$33&amp;'TB-Pharmaceuticals'!$G$14:$G$33,0)),0)</f>
        <v>0</v>
      </c>
      <c r="AG23" s="626">
        <f t="shared" si="15"/>
        <v>0</v>
      </c>
      <c r="AH23" s="626">
        <f t="shared" si="16"/>
        <v>0</v>
      </c>
      <c r="AI23" s="626">
        <f t="shared" si="17"/>
        <v>0</v>
      </c>
      <c r="AJ23" s="625">
        <f t="array" ref="AJ23">IFERROR(INDEX('TB-Pharmaceuticals'!$W$14:$W$33,MATCH($E23&amp;$F23,'TB-Pharmaceuticals'!$D$14:$D$33&amp;'TB-Pharmaceuticals'!$G$14:$G$33,0)),0)</f>
        <v>0</v>
      </c>
      <c r="AK23" s="626">
        <f t="shared" si="18"/>
        <v>0</v>
      </c>
      <c r="AL23" s="626">
        <f t="shared" si="19"/>
        <v>0</v>
      </c>
      <c r="AM23" s="626">
        <f t="shared" si="20"/>
        <v>0</v>
      </c>
      <c r="AN23" s="625">
        <f t="array" ref="AN23">IFERROR(INDEX('TB-Pharmaceuticals'!$X$14:$X$33,MATCH($E23&amp;$F23,'TB-Pharmaceuticals'!$D$14:$D$33&amp;'TB-Pharmaceuticals'!$G$14:$G$33,0)),0)</f>
        <v>0</v>
      </c>
      <c r="AO23" s="626">
        <f t="shared" si="21"/>
        <v>0</v>
      </c>
      <c r="AP23" s="626">
        <f t="shared" si="22"/>
        <v>0</v>
      </c>
      <c r="AQ23" s="626">
        <f t="shared" si="23"/>
        <v>0</v>
      </c>
      <c r="AR23" s="627"/>
      <c r="AS23" s="625">
        <f t="array" ref="AS23">IFERROR(INDEX('TB-Pharmaceuticals'!$AA$14:$AA$33,MATCH($E23&amp;$F23,'TB-Pharmaceuticals'!$D$14:$D$33&amp;'TB-Pharmaceuticals'!$G$14:$G$33,0)),0)</f>
        <v>0</v>
      </c>
      <c r="AT23" s="625">
        <f t="array" ref="AT23">IFERROR(INDEX('TB-Pharmaceuticals'!$AB$14:$AB$33,MATCH($E23&amp;$F23,'TB-Pharmaceuticals'!$D$14:$D$33&amp;'TB-Pharmaceuticals'!$G$14:$G$33,0)),0)</f>
        <v>0</v>
      </c>
      <c r="AU23" s="626">
        <f t="shared" si="24"/>
        <v>0</v>
      </c>
      <c r="AV23" s="626">
        <f t="shared" si="25"/>
        <v>0</v>
      </c>
      <c r="AW23" s="626">
        <f t="shared" si="26"/>
        <v>0</v>
      </c>
      <c r="AX23" s="625">
        <f t="array" ref="AX23">IFERROR(INDEX('TB-Pharmaceuticals'!$AC$14:$AC$33,MATCH($E23&amp;$F23,'TB-Pharmaceuticals'!$D$14:$D$33&amp;'TB-Pharmaceuticals'!$G$14:$G$33,0)),0)</f>
        <v>0</v>
      </c>
      <c r="AY23" s="626">
        <f t="shared" si="27"/>
        <v>0</v>
      </c>
      <c r="AZ23" s="626">
        <f t="shared" si="28"/>
        <v>0</v>
      </c>
      <c r="BA23" s="626">
        <f t="shared" si="29"/>
        <v>0</v>
      </c>
      <c r="BB23" s="625">
        <f t="array" ref="BB23">IFERROR(INDEX('TB-Pharmaceuticals'!$AD$14:$AD$33,MATCH($E23&amp;$F23,'TB-Pharmaceuticals'!$D$14:$D$33&amp;'TB-Pharmaceuticals'!$G$14:$G$33,0)),0)</f>
        <v>0</v>
      </c>
      <c r="BC23" s="626">
        <f t="shared" si="30"/>
        <v>0</v>
      </c>
      <c r="BD23" s="626">
        <f t="shared" si="31"/>
        <v>0</v>
      </c>
      <c r="BE23" s="626">
        <f t="shared" si="32"/>
        <v>0</v>
      </c>
      <c r="BF23" s="625">
        <f t="array" ref="BF23">IFERROR(INDEX('TB-Pharmaceuticals'!$AE$14:$AE$33,MATCH($E23&amp;$F23,'TB-Pharmaceuticals'!$D$14:$D$33&amp;'TB-Pharmaceuticals'!$G$14:$G$33,0)),0)</f>
        <v>0</v>
      </c>
      <c r="BG23" s="626">
        <f t="shared" si="33"/>
        <v>0</v>
      </c>
      <c r="BH23" s="626">
        <f t="shared" si="34"/>
        <v>0</v>
      </c>
      <c r="BI23" s="626">
        <f t="shared" si="35"/>
        <v>0</v>
      </c>
      <c r="BK23" s="626"/>
      <c r="BL23" s="626"/>
      <c r="BM23" s="626"/>
      <c r="BN23" s="626"/>
      <c r="BO23" s="626"/>
      <c r="BP23" s="626"/>
      <c r="BQ23" s="626"/>
      <c r="BR23" s="626"/>
    </row>
    <row r="24" spans="1:70">
      <c r="A24" s="32" t="s">
        <v>1541</v>
      </c>
      <c r="B24" s="32" t="s">
        <v>1737</v>
      </c>
      <c r="C24" s="619">
        <f>SETUP!$F$36</f>
        <v>0</v>
      </c>
      <c r="D24" s="31">
        <v>4.2</v>
      </c>
      <c r="E24" s="32" t="s">
        <v>438</v>
      </c>
      <c r="F24" s="32" t="s">
        <v>1273</v>
      </c>
      <c r="G24" s="625" t="str">
        <f t="array" ref="G24">IFERROR(INDEX('TB-Pharmaceuticals'!$K$14:$K$33,MATCH($E24&amp;$F24,'TB-Pharmaceuticals'!$D$14:$D$33&amp;'TB-Pharmaceuticals'!$G$14:$G$33,0)),"")</f>
        <v/>
      </c>
      <c r="H24" s="625" t="str">
        <f t="array" ref="H24">IFERROR(INDEX('TB-Pharmaceuticals'!$L$14:$L$33,MATCH($E24&amp;$F24,'TB-Pharmaceuticals'!$D$14:$D$33&amp;'TB-Pharmaceuticals'!$G$14:$G$33,0)),"")</f>
        <v/>
      </c>
      <c r="I24" s="625">
        <f t="array" ref="I24">IFERROR(INDEX('TB-Pharmaceuticals'!$M$14:$M$33,MATCH($E24&amp;$F24,'TB-Pharmaceuticals'!$D$14:$D$33&amp;'TB-Pharmaceuticals'!$G$14:$G$33,0)),0)</f>
        <v>0</v>
      </c>
      <c r="J24" s="625">
        <f t="array" ref="J24">IFERROR(INDEX('TB-Pharmaceuticals'!$N$14:$N$33,MATCH($E24&amp;$F24,'TB-Pharmaceuticals'!$D$14:$D$33&amp;'TB-Pharmaceuticals'!$G$14:$G$33,0)),0)</f>
        <v>0</v>
      </c>
      <c r="K24" s="626">
        <f t="shared" si="0"/>
        <v>0</v>
      </c>
      <c r="L24" s="626">
        <f t="shared" si="1"/>
        <v>0</v>
      </c>
      <c r="M24" s="626">
        <f t="shared" si="2"/>
        <v>0</v>
      </c>
      <c r="N24" s="625">
        <f t="array" ref="N24">IFERROR(INDEX('TB-Pharmaceuticals'!$O$14:$O$33,MATCH($E24&amp;$F24,'TB-Pharmaceuticals'!$D$14:$D$33&amp;'TB-Pharmaceuticals'!$G$14:$G$33,0)),0)</f>
        <v>0</v>
      </c>
      <c r="O24" s="626">
        <f t="shared" si="3"/>
        <v>0</v>
      </c>
      <c r="P24" s="626">
        <f t="shared" si="4"/>
        <v>0</v>
      </c>
      <c r="Q24" s="626">
        <f t="shared" si="5"/>
        <v>0</v>
      </c>
      <c r="R24" s="625">
        <f t="array" ref="R24">IFERROR(INDEX('TB-Pharmaceuticals'!$P$14:$P$33,MATCH($E24&amp;$F24,'TB-Pharmaceuticals'!$D$14:$D$33&amp;'TB-Pharmaceuticals'!$G$14:$G$33,0)),0)</f>
        <v>0</v>
      </c>
      <c r="S24" s="626">
        <f t="shared" si="6"/>
        <v>0</v>
      </c>
      <c r="T24" s="626">
        <f t="shared" si="7"/>
        <v>0</v>
      </c>
      <c r="U24" s="626">
        <f t="shared" si="8"/>
        <v>0</v>
      </c>
      <c r="V24" s="625">
        <f t="array" ref="V24">IFERROR(INDEX('TB-Pharmaceuticals'!$Q$14:$Q$33,MATCH($E24&amp;$F24,'TB-Pharmaceuticals'!$D$14:$D$33&amp;'TB-Pharmaceuticals'!$G$14:$G$33,0)),0)</f>
        <v>0</v>
      </c>
      <c r="W24" s="626">
        <f t="shared" si="9"/>
        <v>0</v>
      </c>
      <c r="X24" s="626">
        <f t="shared" si="10"/>
        <v>0</v>
      </c>
      <c r="Y24" s="626">
        <f t="shared" si="11"/>
        <v>0</v>
      </c>
      <c r="Z24" s="627"/>
      <c r="AA24" s="625">
        <f t="array" ref="AA24">IFERROR(INDEX('TB-Pharmaceuticals'!$T$14:$T$33,MATCH($E24&amp;$F24,'TB-Pharmaceuticals'!$D$14:$D$33&amp;'TB-Pharmaceuticals'!$G$14:$G$33,0)),0)</f>
        <v>0</v>
      </c>
      <c r="AB24" s="625">
        <f t="array" ref="AB24">IFERROR(INDEX('TB-Pharmaceuticals'!$U$14:$U$33,MATCH($E24&amp;$F24,'TB-Pharmaceuticals'!$D$14:$D$33&amp;'TB-Pharmaceuticals'!$G$14:$G$33,0)),0)</f>
        <v>0</v>
      </c>
      <c r="AC24" s="626">
        <f t="shared" si="12"/>
        <v>0</v>
      </c>
      <c r="AD24" s="626">
        <f t="shared" si="13"/>
        <v>0</v>
      </c>
      <c r="AE24" s="626">
        <f t="shared" si="14"/>
        <v>0</v>
      </c>
      <c r="AF24" s="625">
        <f t="array" ref="AF24">IFERROR(INDEX('TB-Pharmaceuticals'!$V$14:$V$33,MATCH($E24&amp;$F24,'TB-Pharmaceuticals'!$D$14:$D$33&amp;'TB-Pharmaceuticals'!$G$14:$G$33,0)),0)</f>
        <v>0</v>
      </c>
      <c r="AG24" s="626">
        <f t="shared" si="15"/>
        <v>0</v>
      </c>
      <c r="AH24" s="626">
        <f t="shared" si="16"/>
        <v>0</v>
      </c>
      <c r="AI24" s="626">
        <f t="shared" si="17"/>
        <v>0</v>
      </c>
      <c r="AJ24" s="625">
        <f t="array" ref="AJ24">IFERROR(INDEX('TB-Pharmaceuticals'!$W$14:$W$33,MATCH($E24&amp;$F24,'TB-Pharmaceuticals'!$D$14:$D$33&amp;'TB-Pharmaceuticals'!$G$14:$G$33,0)),0)</f>
        <v>0</v>
      </c>
      <c r="AK24" s="626">
        <f t="shared" si="18"/>
        <v>0</v>
      </c>
      <c r="AL24" s="626">
        <f t="shared" si="19"/>
        <v>0</v>
      </c>
      <c r="AM24" s="626">
        <f t="shared" si="20"/>
        <v>0</v>
      </c>
      <c r="AN24" s="625">
        <f t="array" ref="AN24">IFERROR(INDEX('TB-Pharmaceuticals'!$X$14:$X$33,MATCH($E24&amp;$F24,'TB-Pharmaceuticals'!$D$14:$D$33&amp;'TB-Pharmaceuticals'!$G$14:$G$33,0)),0)</f>
        <v>0</v>
      </c>
      <c r="AO24" s="626">
        <f t="shared" si="21"/>
        <v>0</v>
      </c>
      <c r="AP24" s="626">
        <f t="shared" si="22"/>
        <v>0</v>
      </c>
      <c r="AQ24" s="626">
        <f t="shared" si="23"/>
        <v>0</v>
      </c>
      <c r="AR24" s="627"/>
      <c r="AS24" s="625">
        <f t="array" ref="AS24">IFERROR(INDEX('TB-Pharmaceuticals'!$AA$14:$AA$33,MATCH($E24&amp;$F24,'TB-Pharmaceuticals'!$D$14:$D$33&amp;'TB-Pharmaceuticals'!$G$14:$G$33,0)),0)</f>
        <v>0</v>
      </c>
      <c r="AT24" s="625">
        <f t="array" ref="AT24">IFERROR(INDEX('TB-Pharmaceuticals'!$AB$14:$AB$33,MATCH($E24&amp;$F24,'TB-Pharmaceuticals'!$D$14:$D$33&amp;'TB-Pharmaceuticals'!$G$14:$G$33,0)),0)</f>
        <v>0</v>
      </c>
      <c r="AU24" s="626">
        <f t="shared" si="24"/>
        <v>0</v>
      </c>
      <c r="AV24" s="626">
        <f t="shared" si="25"/>
        <v>0</v>
      </c>
      <c r="AW24" s="626">
        <f t="shared" si="26"/>
        <v>0</v>
      </c>
      <c r="AX24" s="625">
        <f t="array" ref="AX24">IFERROR(INDEX('TB-Pharmaceuticals'!$AC$14:$AC$33,MATCH($E24&amp;$F24,'TB-Pharmaceuticals'!$D$14:$D$33&amp;'TB-Pharmaceuticals'!$G$14:$G$33,0)),0)</f>
        <v>0</v>
      </c>
      <c r="AY24" s="626">
        <f t="shared" si="27"/>
        <v>0</v>
      </c>
      <c r="AZ24" s="626">
        <f t="shared" si="28"/>
        <v>0</v>
      </c>
      <c r="BA24" s="626">
        <f t="shared" si="29"/>
        <v>0</v>
      </c>
      <c r="BB24" s="625">
        <f t="array" ref="BB24">IFERROR(INDEX('TB-Pharmaceuticals'!$AD$14:$AD$33,MATCH($E24&amp;$F24,'TB-Pharmaceuticals'!$D$14:$D$33&amp;'TB-Pharmaceuticals'!$G$14:$G$33,0)),0)</f>
        <v>0</v>
      </c>
      <c r="BC24" s="626">
        <f t="shared" si="30"/>
        <v>0</v>
      </c>
      <c r="BD24" s="626">
        <f t="shared" si="31"/>
        <v>0</v>
      </c>
      <c r="BE24" s="626">
        <f t="shared" si="32"/>
        <v>0</v>
      </c>
      <c r="BF24" s="625">
        <f t="array" ref="BF24">IFERROR(INDEX('TB-Pharmaceuticals'!$AE$14:$AE$33,MATCH($E24&amp;$F24,'TB-Pharmaceuticals'!$D$14:$D$33&amp;'TB-Pharmaceuticals'!$G$14:$G$33,0)),0)</f>
        <v>0</v>
      </c>
      <c r="BG24" s="626">
        <f t="shared" si="33"/>
        <v>0</v>
      </c>
      <c r="BH24" s="626">
        <f t="shared" si="34"/>
        <v>0</v>
      </c>
      <c r="BI24" s="626">
        <f t="shared" si="35"/>
        <v>0</v>
      </c>
      <c r="BK24" s="626"/>
      <c r="BL24" s="626"/>
      <c r="BM24" s="626"/>
      <c r="BN24" s="626"/>
      <c r="BO24" s="626"/>
      <c r="BP24" s="626"/>
      <c r="BQ24" s="626"/>
      <c r="BR24" s="626"/>
    </row>
    <row r="25" spans="1:70">
      <c r="A25" s="32" t="s">
        <v>1541</v>
      </c>
      <c r="B25" s="32" t="s">
        <v>1737</v>
      </c>
      <c r="C25" s="619">
        <f>SETUP!$F$36</f>
        <v>0</v>
      </c>
      <c r="D25" s="31">
        <v>4.2</v>
      </c>
      <c r="E25" s="32" t="s">
        <v>438</v>
      </c>
      <c r="F25" s="32" t="s">
        <v>1274</v>
      </c>
      <c r="G25" s="625" t="str">
        <f t="array" ref="G25">IFERROR(INDEX('TB-Pharmaceuticals'!$K$14:$K$33,MATCH($E25&amp;$F25,'TB-Pharmaceuticals'!$D$14:$D$33&amp;'TB-Pharmaceuticals'!$G$14:$G$33,0)),"")</f>
        <v/>
      </c>
      <c r="H25" s="625" t="str">
        <f t="array" ref="H25">IFERROR(INDEX('TB-Pharmaceuticals'!$L$14:$L$33,MATCH($E25&amp;$F25,'TB-Pharmaceuticals'!$D$14:$D$33&amp;'TB-Pharmaceuticals'!$G$14:$G$33,0)),"")</f>
        <v/>
      </c>
      <c r="I25" s="625">
        <f t="array" ref="I25">IFERROR(INDEX('TB-Pharmaceuticals'!$M$14:$M$33,MATCH($E25&amp;$F25,'TB-Pharmaceuticals'!$D$14:$D$33&amp;'TB-Pharmaceuticals'!$G$14:$G$33,0)),0)</f>
        <v>0</v>
      </c>
      <c r="J25" s="625">
        <f t="array" ref="J25">IFERROR(INDEX('TB-Pharmaceuticals'!$N$14:$N$33,MATCH($E25&amp;$F25,'TB-Pharmaceuticals'!$D$14:$D$33&amp;'TB-Pharmaceuticals'!$G$14:$G$33,0)),0)</f>
        <v>0</v>
      </c>
      <c r="K25" s="626">
        <f t="shared" si="0"/>
        <v>0</v>
      </c>
      <c r="L25" s="626">
        <f t="shared" si="1"/>
        <v>0</v>
      </c>
      <c r="M25" s="626">
        <f t="shared" si="2"/>
        <v>0</v>
      </c>
      <c r="N25" s="625">
        <f t="array" ref="N25">IFERROR(INDEX('TB-Pharmaceuticals'!$O$14:$O$33,MATCH($E25&amp;$F25,'TB-Pharmaceuticals'!$D$14:$D$33&amp;'TB-Pharmaceuticals'!$G$14:$G$33,0)),0)</f>
        <v>0</v>
      </c>
      <c r="O25" s="626">
        <f t="shared" si="3"/>
        <v>0</v>
      </c>
      <c r="P25" s="626">
        <f t="shared" si="4"/>
        <v>0</v>
      </c>
      <c r="Q25" s="626">
        <f t="shared" si="5"/>
        <v>0</v>
      </c>
      <c r="R25" s="625">
        <f t="array" ref="R25">IFERROR(INDEX('TB-Pharmaceuticals'!$P$14:$P$33,MATCH($E25&amp;$F25,'TB-Pharmaceuticals'!$D$14:$D$33&amp;'TB-Pharmaceuticals'!$G$14:$G$33,0)),0)</f>
        <v>0</v>
      </c>
      <c r="S25" s="626">
        <f t="shared" si="6"/>
        <v>0</v>
      </c>
      <c r="T25" s="626">
        <f t="shared" si="7"/>
        <v>0</v>
      </c>
      <c r="U25" s="626">
        <f t="shared" si="8"/>
        <v>0</v>
      </c>
      <c r="V25" s="625">
        <f t="array" ref="V25">IFERROR(INDEX('TB-Pharmaceuticals'!$Q$14:$Q$33,MATCH($E25&amp;$F25,'TB-Pharmaceuticals'!$D$14:$D$33&amp;'TB-Pharmaceuticals'!$G$14:$G$33,0)),0)</f>
        <v>0</v>
      </c>
      <c r="W25" s="626">
        <f t="shared" si="9"/>
        <v>0</v>
      </c>
      <c r="X25" s="626">
        <f t="shared" si="10"/>
        <v>0</v>
      </c>
      <c r="Y25" s="626">
        <f t="shared" si="11"/>
        <v>0</v>
      </c>
      <c r="Z25" s="627"/>
      <c r="AA25" s="625">
        <f t="array" ref="AA25">IFERROR(INDEX('TB-Pharmaceuticals'!$T$14:$T$33,MATCH($E25&amp;$F25,'TB-Pharmaceuticals'!$D$14:$D$33&amp;'TB-Pharmaceuticals'!$G$14:$G$33,0)),0)</f>
        <v>0</v>
      </c>
      <c r="AB25" s="625">
        <f t="array" ref="AB25">IFERROR(INDEX('TB-Pharmaceuticals'!$U$14:$U$33,MATCH($E25&amp;$F25,'TB-Pharmaceuticals'!$D$14:$D$33&amp;'TB-Pharmaceuticals'!$G$14:$G$33,0)),0)</f>
        <v>0</v>
      </c>
      <c r="AC25" s="626">
        <f t="shared" si="12"/>
        <v>0</v>
      </c>
      <c r="AD25" s="626">
        <f t="shared" si="13"/>
        <v>0</v>
      </c>
      <c r="AE25" s="626">
        <f t="shared" si="14"/>
        <v>0</v>
      </c>
      <c r="AF25" s="625">
        <f t="array" ref="AF25">IFERROR(INDEX('TB-Pharmaceuticals'!$V$14:$V$33,MATCH($E25&amp;$F25,'TB-Pharmaceuticals'!$D$14:$D$33&amp;'TB-Pharmaceuticals'!$G$14:$G$33,0)),0)</f>
        <v>0</v>
      </c>
      <c r="AG25" s="626">
        <f t="shared" si="15"/>
        <v>0</v>
      </c>
      <c r="AH25" s="626">
        <f t="shared" si="16"/>
        <v>0</v>
      </c>
      <c r="AI25" s="626">
        <f t="shared" si="17"/>
        <v>0</v>
      </c>
      <c r="AJ25" s="625">
        <f t="array" ref="AJ25">IFERROR(INDEX('TB-Pharmaceuticals'!$W$14:$W$33,MATCH($E25&amp;$F25,'TB-Pharmaceuticals'!$D$14:$D$33&amp;'TB-Pharmaceuticals'!$G$14:$G$33,0)),0)</f>
        <v>0</v>
      </c>
      <c r="AK25" s="626">
        <f t="shared" si="18"/>
        <v>0</v>
      </c>
      <c r="AL25" s="626">
        <f t="shared" si="19"/>
        <v>0</v>
      </c>
      <c r="AM25" s="626">
        <f t="shared" si="20"/>
        <v>0</v>
      </c>
      <c r="AN25" s="625">
        <f t="array" ref="AN25">IFERROR(INDEX('TB-Pharmaceuticals'!$X$14:$X$33,MATCH($E25&amp;$F25,'TB-Pharmaceuticals'!$D$14:$D$33&amp;'TB-Pharmaceuticals'!$G$14:$G$33,0)),0)</f>
        <v>0</v>
      </c>
      <c r="AO25" s="626">
        <f t="shared" si="21"/>
        <v>0</v>
      </c>
      <c r="AP25" s="626">
        <f t="shared" si="22"/>
        <v>0</v>
      </c>
      <c r="AQ25" s="626">
        <f t="shared" si="23"/>
        <v>0</v>
      </c>
      <c r="AR25" s="627"/>
      <c r="AS25" s="625">
        <f t="array" ref="AS25">IFERROR(INDEX('TB-Pharmaceuticals'!$AA$14:$AA$33,MATCH($E25&amp;$F25,'TB-Pharmaceuticals'!$D$14:$D$33&amp;'TB-Pharmaceuticals'!$G$14:$G$33,0)),0)</f>
        <v>0</v>
      </c>
      <c r="AT25" s="625">
        <f t="array" ref="AT25">IFERROR(INDEX('TB-Pharmaceuticals'!$AB$14:$AB$33,MATCH($E25&amp;$F25,'TB-Pharmaceuticals'!$D$14:$D$33&amp;'TB-Pharmaceuticals'!$G$14:$G$33,0)),0)</f>
        <v>0</v>
      </c>
      <c r="AU25" s="626">
        <f t="shared" si="24"/>
        <v>0</v>
      </c>
      <c r="AV25" s="626">
        <f t="shared" si="25"/>
        <v>0</v>
      </c>
      <c r="AW25" s="626">
        <f t="shared" si="26"/>
        <v>0</v>
      </c>
      <c r="AX25" s="625">
        <f t="array" ref="AX25">IFERROR(INDEX('TB-Pharmaceuticals'!$AC$14:$AC$33,MATCH($E25&amp;$F25,'TB-Pharmaceuticals'!$D$14:$D$33&amp;'TB-Pharmaceuticals'!$G$14:$G$33,0)),0)</f>
        <v>0</v>
      </c>
      <c r="AY25" s="626">
        <f t="shared" si="27"/>
        <v>0</v>
      </c>
      <c r="AZ25" s="626">
        <f t="shared" si="28"/>
        <v>0</v>
      </c>
      <c r="BA25" s="626">
        <f t="shared" si="29"/>
        <v>0</v>
      </c>
      <c r="BB25" s="625">
        <f t="array" ref="BB25">IFERROR(INDEX('TB-Pharmaceuticals'!$AD$14:$AD$33,MATCH($E25&amp;$F25,'TB-Pharmaceuticals'!$D$14:$D$33&amp;'TB-Pharmaceuticals'!$G$14:$G$33,0)),0)</f>
        <v>0</v>
      </c>
      <c r="BC25" s="626">
        <f t="shared" si="30"/>
        <v>0</v>
      </c>
      <c r="BD25" s="626">
        <f t="shared" si="31"/>
        <v>0</v>
      </c>
      <c r="BE25" s="626">
        <f t="shared" si="32"/>
        <v>0</v>
      </c>
      <c r="BF25" s="625">
        <f t="array" ref="BF25">IFERROR(INDEX('TB-Pharmaceuticals'!$AE$14:$AE$33,MATCH($E25&amp;$F25,'TB-Pharmaceuticals'!$D$14:$D$33&amp;'TB-Pharmaceuticals'!$G$14:$G$33,0)),0)</f>
        <v>0</v>
      </c>
      <c r="BG25" s="626">
        <f t="shared" si="33"/>
        <v>0</v>
      </c>
      <c r="BH25" s="626">
        <f t="shared" si="34"/>
        <v>0</v>
      </c>
      <c r="BI25" s="626">
        <f t="shared" si="35"/>
        <v>0</v>
      </c>
      <c r="BK25" s="626"/>
      <c r="BL25" s="626"/>
      <c r="BM25" s="626"/>
      <c r="BN25" s="626"/>
      <c r="BO25" s="626"/>
      <c r="BP25" s="626"/>
      <c r="BQ25" s="626"/>
      <c r="BR25" s="626"/>
    </row>
    <row r="26" spans="1:70">
      <c r="A26" s="32" t="s">
        <v>1541</v>
      </c>
      <c r="B26" s="32" t="s">
        <v>1737</v>
      </c>
      <c r="C26" s="619">
        <f>SETUP!$F$36</f>
        <v>0</v>
      </c>
      <c r="D26" s="31">
        <v>4.2</v>
      </c>
      <c r="E26" s="32" t="s">
        <v>438</v>
      </c>
      <c r="F26" s="32" t="s">
        <v>1275</v>
      </c>
      <c r="G26" s="625" t="str">
        <f t="array" ref="G26">IFERROR(INDEX('TB-Pharmaceuticals'!$K$14:$K$33,MATCH($E26&amp;$F26,'TB-Pharmaceuticals'!$D$14:$D$33&amp;'TB-Pharmaceuticals'!$G$14:$G$33,0)),"")</f>
        <v/>
      </c>
      <c r="H26" s="625" t="str">
        <f t="array" ref="H26">IFERROR(INDEX('TB-Pharmaceuticals'!$L$14:$L$33,MATCH($E26&amp;$F26,'TB-Pharmaceuticals'!$D$14:$D$33&amp;'TB-Pharmaceuticals'!$G$14:$G$33,0)),"")</f>
        <v/>
      </c>
      <c r="I26" s="625">
        <f t="array" ref="I26">IFERROR(INDEX('TB-Pharmaceuticals'!$M$14:$M$33,MATCH($E26&amp;$F26,'TB-Pharmaceuticals'!$D$14:$D$33&amp;'TB-Pharmaceuticals'!$G$14:$G$33,0)),0)</f>
        <v>0</v>
      </c>
      <c r="J26" s="625">
        <f t="array" ref="J26">IFERROR(INDEX('TB-Pharmaceuticals'!$N$14:$N$33,MATCH($E26&amp;$F26,'TB-Pharmaceuticals'!$D$14:$D$33&amp;'TB-Pharmaceuticals'!$G$14:$G$33,0)),0)</f>
        <v>0</v>
      </c>
      <c r="K26" s="626">
        <f t="shared" si="0"/>
        <v>0</v>
      </c>
      <c r="L26" s="626">
        <f t="shared" si="1"/>
        <v>0</v>
      </c>
      <c r="M26" s="626">
        <f t="shared" si="2"/>
        <v>0</v>
      </c>
      <c r="N26" s="625">
        <f t="array" ref="N26">IFERROR(INDEX('TB-Pharmaceuticals'!$O$14:$O$33,MATCH($E26&amp;$F26,'TB-Pharmaceuticals'!$D$14:$D$33&amp;'TB-Pharmaceuticals'!$G$14:$G$33,0)),0)</f>
        <v>0</v>
      </c>
      <c r="O26" s="626">
        <f t="shared" si="3"/>
        <v>0</v>
      </c>
      <c r="P26" s="626">
        <f t="shared" si="4"/>
        <v>0</v>
      </c>
      <c r="Q26" s="626">
        <f t="shared" si="5"/>
        <v>0</v>
      </c>
      <c r="R26" s="625">
        <f t="array" ref="R26">IFERROR(INDEX('TB-Pharmaceuticals'!$P$14:$P$33,MATCH($E26&amp;$F26,'TB-Pharmaceuticals'!$D$14:$D$33&amp;'TB-Pharmaceuticals'!$G$14:$G$33,0)),0)</f>
        <v>0</v>
      </c>
      <c r="S26" s="626">
        <f t="shared" si="6"/>
        <v>0</v>
      </c>
      <c r="T26" s="626">
        <f t="shared" si="7"/>
        <v>0</v>
      </c>
      <c r="U26" s="626">
        <f t="shared" si="8"/>
        <v>0</v>
      </c>
      <c r="V26" s="625">
        <f t="array" ref="V26">IFERROR(INDEX('TB-Pharmaceuticals'!$Q$14:$Q$33,MATCH($E26&amp;$F26,'TB-Pharmaceuticals'!$D$14:$D$33&amp;'TB-Pharmaceuticals'!$G$14:$G$33,0)),0)</f>
        <v>0</v>
      </c>
      <c r="W26" s="626">
        <f t="shared" si="9"/>
        <v>0</v>
      </c>
      <c r="X26" s="626">
        <f t="shared" si="10"/>
        <v>0</v>
      </c>
      <c r="Y26" s="626">
        <f t="shared" si="11"/>
        <v>0</v>
      </c>
      <c r="Z26" s="627"/>
      <c r="AA26" s="625">
        <f t="array" ref="AA26">IFERROR(INDEX('TB-Pharmaceuticals'!$T$14:$T$33,MATCH($E26&amp;$F26,'TB-Pharmaceuticals'!$D$14:$D$33&amp;'TB-Pharmaceuticals'!$G$14:$G$33,0)),0)</f>
        <v>0</v>
      </c>
      <c r="AB26" s="625">
        <f t="array" ref="AB26">IFERROR(INDEX('TB-Pharmaceuticals'!$U$14:$U$33,MATCH($E26&amp;$F26,'TB-Pharmaceuticals'!$D$14:$D$33&amp;'TB-Pharmaceuticals'!$G$14:$G$33,0)),0)</f>
        <v>0</v>
      </c>
      <c r="AC26" s="626">
        <f t="shared" si="12"/>
        <v>0</v>
      </c>
      <c r="AD26" s="626">
        <f t="shared" si="13"/>
        <v>0</v>
      </c>
      <c r="AE26" s="626">
        <f t="shared" si="14"/>
        <v>0</v>
      </c>
      <c r="AF26" s="625">
        <f t="array" ref="AF26">IFERROR(INDEX('TB-Pharmaceuticals'!$V$14:$V$33,MATCH($E26&amp;$F26,'TB-Pharmaceuticals'!$D$14:$D$33&amp;'TB-Pharmaceuticals'!$G$14:$G$33,0)),0)</f>
        <v>0</v>
      </c>
      <c r="AG26" s="626">
        <f t="shared" si="15"/>
        <v>0</v>
      </c>
      <c r="AH26" s="626">
        <f t="shared" si="16"/>
        <v>0</v>
      </c>
      <c r="AI26" s="626">
        <f t="shared" si="17"/>
        <v>0</v>
      </c>
      <c r="AJ26" s="625">
        <f t="array" ref="AJ26">IFERROR(INDEX('TB-Pharmaceuticals'!$W$14:$W$33,MATCH($E26&amp;$F26,'TB-Pharmaceuticals'!$D$14:$D$33&amp;'TB-Pharmaceuticals'!$G$14:$G$33,0)),0)</f>
        <v>0</v>
      </c>
      <c r="AK26" s="626">
        <f t="shared" si="18"/>
        <v>0</v>
      </c>
      <c r="AL26" s="626">
        <f t="shared" si="19"/>
        <v>0</v>
      </c>
      <c r="AM26" s="626">
        <f t="shared" si="20"/>
        <v>0</v>
      </c>
      <c r="AN26" s="625">
        <f t="array" ref="AN26">IFERROR(INDEX('TB-Pharmaceuticals'!$X$14:$X$33,MATCH($E26&amp;$F26,'TB-Pharmaceuticals'!$D$14:$D$33&amp;'TB-Pharmaceuticals'!$G$14:$G$33,0)),0)</f>
        <v>0</v>
      </c>
      <c r="AO26" s="626">
        <f t="shared" si="21"/>
        <v>0</v>
      </c>
      <c r="AP26" s="626">
        <f t="shared" si="22"/>
        <v>0</v>
      </c>
      <c r="AQ26" s="626">
        <f t="shared" si="23"/>
        <v>0</v>
      </c>
      <c r="AR26" s="627"/>
      <c r="AS26" s="625">
        <f t="array" ref="AS26">IFERROR(INDEX('TB-Pharmaceuticals'!$AA$14:$AA$33,MATCH($E26&amp;$F26,'TB-Pharmaceuticals'!$D$14:$D$33&amp;'TB-Pharmaceuticals'!$G$14:$G$33,0)),0)</f>
        <v>0</v>
      </c>
      <c r="AT26" s="625">
        <f t="array" ref="AT26">IFERROR(INDEX('TB-Pharmaceuticals'!$AB$14:$AB$33,MATCH($E26&amp;$F26,'TB-Pharmaceuticals'!$D$14:$D$33&amp;'TB-Pharmaceuticals'!$G$14:$G$33,0)),0)</f>
        <v>0</v>
      </c>
      <c r="AU26" s="626">
        <f t="shared" si="24"/>
        <v>0</v>
      </c>
      <c r="AV26" s="626">
        <f t="shared" si="25"/>
        <v>0</v>
      </c>
      <c r="AW26" s="626">
        <f t="shared" si="26"/>
        <v>0</v>
      </c>
      <c r="AX26" s="625">
        <f t="array" ref="AX26">IFERROR(INDEX('TB-Pharmaceuticals'!$AC$14:$AC$33,MATCH($E26&amp;$F26,'TB-Pharmaceuticals'!$D$14:$D$33&amp;'TB-Pharmaceuticals'!$G$14:$G$33,0)),0)</f>
        <v>0</v>
      </c>
      <c r="AY26" s="626">
        <f t="shared" si="27"/>
        <v>0</v>
      </c>
      <c r="AZ26" s="626">
        <f t="shared" si="28"/>
        <v>0</v>
      </c>
      <c r="BA26" s="626">
        <f t="shared" si="29"/>
        <v>0</v>
      </c>
      <c r="BB26" s="625">
        <f t="array" ref="BB26">IFERROR(INDEX('TB-Pharmaceuticals'!$AD$14:$AD$33,MATCH($E26&amp;$F26,'TB-Pharmaceuticals'!$D$14:$D$33&amp;'TB-Pharmaceuticals'!$G$14:$G$33,0)),0)</f>
        <v>0</v>
      </c>
      <c r="BC26" s="626">
        <f t="shared" si="30"/>
        <v>0</v>
      </c>
      <c r="BD26" s="626">
        <f t="shared" si="31"/>
        <v>0</v>
      </c>
      <c r="BE26" s="626">
        <f t="shared" si="32"/>
        <v>0</v>
      </c>
      <c r="BF26" s="625">
        <f t="array" ref="BF26">IFERROR(INDEX('TB-Pharmaceuticals'!$AE$14:$AE$33,MATCH($E26&amp;$F26,'TB-Pharmaceuticals'!$D$14:$D$33&amp;'TB-Pharmaceuticals'!$G$14:$G$33,0)),0)</f>
        <v>0</v>
      </c>
      <c r="BG26" s="626">
        <f t="shared" si="33"/>
        <v>0</v>
      </c>
      <c r="BH26" s="626">
        <f t="shared" si="34"/>
        <v>0</v>
      </c>
      <c r="BI26" s="626">
        <f t="shared" si="35"/>
        <v>0</v>
      </c>
      <c r="BK26" s="626"/>
      <c r="BL26" s="626"/>
      <c r="BM26" s="626"/>
      <c r="BN26" s="626"/>
      <c r="BO26" s="626"/>
      <c r="BP26" s="626"/>
      <c r="BQ26" s="626"/>
      <c r="BR26" s="626"/>
    </row>
    <row r="27" spans="1:70">
      <c r="A27" s="32" t="s">
        <v>1541</v>
      </c>
      <c r="B27" s="32" t="s">
        <v>1737</v>
      </c>
      <c r="C27" s="619">
        <f>SETUP!$F$36</f>
        <v>0</v>
      </c>
      <c r="D27" s="31">
        <v>4.2</v>
      </c>
      <c r="E27" s="32" t="s">
        <v>294</v>
      </c>
      <c r="F27" s="32" t="s">
        <v>1276</v>
      </c>
      <c r="G27" s="625" t="str">
        <f t="array" ref="G27">IFERROR(INDEX('TB-Pharmaceuticals'!$K$14:$K$33,MATCH($E27&amp;$F27,'TB-Pharmaceuticals'!$D$14:$D$33&amp;'TB-Pharmaceuticals'!$G$14:$G$33,0)),"")</f>
        <v/>
      </c>
      <c r="H27" s="625" t="str">
        <f t="array" ref="H27">IFERROR(INDEX('TB-Pharmaceuticals'!$L$14:$L$33,MATCH($E27&amp;$F27,'TB-Pharmaceuticals'!$D$14:$D$33&amp;'TB-Pharmaceuticals'!$G$14:$G$33,0)),"")</f>
        <v/>
      </c>
      <c r="I27" s="625">
        <f t="array" ref="I27">IFERROR(INDEX('TB-Pharmaceuticals'!$M$14:$M$33,MATCH($E27&amp;$F27,'TB-Pharmaceuticals'!$D$14:$D$33&amp;'TB-Pharmaceuticals'!$G$14:$G$33,0)),0)</f>
        <v>0</v>
      </c>
      <c r="J27" s="625">
        <f t="array" ref="J27">IFERROR(INDEX('TB-Pharmaceuticals'!$N$14:$N$33,MATCH($E27&amp;$F27,'TB-Pharmaceuticals'!$D$14:$D$33&amp;'TB-Pharmaceuticals'!$G$14:$G$33,0)),0)</f>
        <v>0</v>
      </c>
      <c r="K27" s="626">
        <f t="shared" si="0"/>
        <v>0</v>
      </c>
      <c r="L27" s="626">
        <f t="shared" si="1"/>
        <v>0</v>
      </c>
      <c r="M27" s="626">
        <f t="shared" si="2"/>
        <v>0</v>
      </c>
      <c r="N27" s="625">
        <f t="array" ref="N27">IFERROR(INDEX('TB-Pharmaceuticals'!$O$14:$O$33,MATCH($E27&amp;$F27,'TB-Pharmaceuticals'!$D$14:$D$33&amp;'TB-Pharmaceuticals'!$G$14:$G$33,0)),0)</f>
        <v>0</v>
      </c>
      <c r="O27" s="626">
        <f t="shared" si="3"/>
        <v>0</v>
      </c>
      <c r="P27" s="626">
        <f t="shared" si="4"/>
        <v>0</v>
      </c>
      <c r="Q27" s="626">
        <f t="shared" si="5"/>
        <v>0</v>
      </c>
      <c r="R27" s="625">
        <f t="array" ref="R27">IFERROR(INDEX('TB-Pharmaceuticals'!$P$14:$P$33,MATCH($E27&amp;$F27,'TB-Pharmaceuticals'!$D$14:$D$33&amp;'TB-Pharmaceuticals'!$G$14:$G$33,0)),0)</f>
        <v>0</v>
      </c>
      <c r="S27" s="626">
        <f t="shared" si="6"/>
        <v>0</v>
      </c>
      <c r="T27" s="626">
        <f t="shared" si="7"/>
        <v>0</v>
      </c>
      <c r="U27" s="626">
        <f t="shared" si="8"/>
        <v>0</v>
      </c>
      <c r="V27" s="625">
        <f t="array" ref="V27">IFERROR(INDEX('TB-Pharmaceuticals'!$Q$14:$Q$33,MATCH($E27&amp;$F27,'TB-Pharmaceuticals'!$D$14:$D$33&amp;'TB-Pharmaceuticals'!$G$14:$G$33,0)),0)</f>
        <v>0</v>
      </c>
      <c r="W27" s="626">
        <f t="shared" si="9"/>
        <v>0</v>
      </c>
      <c r="X27" s="626">
        <f t="shared" si="10"/>
        <v>0</v>
      </c>
      <c r="Y27" s="626">
        <f t="shared" si="11"/>
        <v>0</v>
      </c>
      <c r="Z27" s="627"/>
      <c r="AA27" s="625">
        <f t="array" ref="AA27">IFERROR(INDEX('TB-Pharmaceuticals'!$T$14:$T$33,MATCH($E27&amp;$F27,'TB-Pharmaceuticals'!$D$14:$D$33&amp;'TB-Pharmaceuticals'!$G$14:$G$33,0)),0)</f>
        <v>0</v>
      </c>
      <c r="AB27" s="625">
        <f t="array" ref="AB27">IFERROR(INDEX('TB-Pharmaceuticals'!$U$14:$U$33,MATCH($E27&amp;$F27,'TB-Pharmaceuticals'!$D$14:$D$33&amp;'TB-Pharmaceuticals'!$G$14:$G$33,0)),0)</f>
        <v>0</v>
      </c>
      <c r="AC27" s="626">
        <f t="shared" si="12"/>
        <v>0</v>
      </c>
      <c r="AD27" s="626">
        <f t="shared" si="13"/>
        <v>0</v>
      </c>
      <c r="AE27" s="626">
        <f t="shared" si="14"/>
        <v>0</v>
      </c>
      <c r="AF27" s="625">
        <f t="array" ref="AF27">IFERROR(INDEX('TB-Pharmaceuticals'!$V$14:$V$33,MATCH($E27&amp;$F27,'TB-Pharmaceuticals'!$D$14:$D$33&amp;'TB-Pharmaceuticals'!$G$14:$G$33,0)),0)</f>
        <v>0</v>
      </c>
      <c r="AG27" s="626">
        <f t="shared" si="15"/>
        <v>0</v>
      </c>
      <c r="AH27" s="626">
        <f t="shared" si="16"/>
        <v>0</v>
      </c>
      <c r="AI27" s="626">
        <f t="shared" si="17"/>
        <v>0</v>
      </c>
      <c r="AJ27" s="625">
        <f t="array" ref="AJ27">IFERROR(INDEX('TB-Pharmaceuticals'!$W$14:$W$33,MATCH($E27&amp;$F27,'TB-Pharmaceuticals'!$D$14:$D$33&amp;'TB-Pharmaceuticals'!$G$14:$G$33,0)),0)</f>
        <v>0</v>
      </c>
      <c r="AK27" s="626">
        <f t="shared" si="18"/>
        <v>0</v>
      </c>
      <c r="AL27" s="626">
        <f t="shared" si="19"/>
        <v>0</v>
      </c>
      <c r="AM27" s="626">
        <f t="shared" si="20"/>
        <v>0</v>
      </c>
      <c r="AN27" s="625">
        <f t="array" ref="AN27">IFERROR(INDEX('TB-Pharmaceuticals'!$X$14:$X$33,MATCH($E27&amp;$F27,'TB-Pharmaceuticals'!$D$14:$D$33&amp;'TB-Pharmaceuticals'!$G$14:$G$33,0)),0)</f>
        <v>0</v>
      </c>
      <c r="AO27" s="626">
        <f t="shared" si="21"/>
        <v>0</v>
      </c>
      <c r="AP27" s="626">
        <f t="shared" si="22"/>
        <v>0</v>
      </c>
      <c r="AQ27" s="626">
        <f t="shared" si="23"/>
        <v>0</v>
      </c>
      <c r="AR27" s="627"/>
      <c r="AS27" s="625">
        <f t="array" ref="AS27">IFERROR(INDEX('TB-Pharmaceuticals'!$AA$14:$AA$33,MATCH($E27&amp;$F27,'TB-Pharmaceuticals'!$D$14:$D$33&amp;'TB-Pharmaceuticals'!$G$14:$G$33,0)),0)</f>
        <v>0</v>
      </c>
      <c r="AT27" s="625">
        <f t="array" ref="AT27">IFERROR(INDEX('TB-Pharmaceuticals'!$AB$14:$AB$33,MATCH($E27&amp;$F27,'TB-Pharmaceuticals'!$D$14:$D$33&amp;'TB-Pharmaceuticals'!$G$14:$G$33,0)),0)</f>
        <v>0</v>
      </c>
      <c r="AU27" s="626">
        <f t="shared" si="24"/>
        <v>0</v>
      </c>
      <c r="AV27" s="626">
        <f t="shared" si="25"/>
        <v>0</v>
      </c>
      <c r="AW27" s="626">
        <f t="shared" si="26"/>
        <v>0</v>
      </c>
      <c r="AX27" s="625">
        <f t="array" ref="AX27">IFERROR(INDEX('TB-Pharmaceuticals'!$AC$14:$AC$33,MATCH($E27&amp;$F27,'TB-Pharmaceuticals'!$D$14:$D$33&amp;'TB-Pharmaceuticals'!$G$14:$G$33,0)),0)</f>
        <v>0</v>
      </c>
      <c r="AY27" s="626">
        <f t="shared" si="27"/>
        <v>0</v>
      </c>
      <c r="AZ27" s="626">
        <f t="shared" si="28"/>
        <v>0</v>
      </c>
      <c r="BA27" s="626">
        <f t="shared" si="29"/>
        <v>0</v>
      </c>
      <c r="BB27" s="625">
        <f t="array" ref="BB27">IFERROR(INDEX('TB-Pharmaceuticals'!$AD$14:$AD$33,MATCH($E27&amp;$F27,'TB-Pharmaceuticals'!$D$14:$D$33&amp;'TB-Pharmaceuticals'!$G$14:$G$33,0)),0)</f>
        <v>0</v>
      </c>
      <c r="BC27" s="626">
        <f t="shared" si="30"/>
        <v>0</v>
      </c>
      <c r="BD27" s="626">
        <f t="shared" si="31"/>
        <v>0</v>
      </c>
      <c r="BE27" s="626">
        <f t="shared" si="32"/>
        <v>0</v>
      </c>
      <c r="BF27" s="625">
        <f t="array" ref="BF27">IFERROR(INDEX('TB-Pharmaceuticals'!$AE$14:$AE$33,MATCH($E27&amp;$F27,'TB-Pharmaceuticals'!$D$14:$D$33&amp;'TB-Pharmaceuticals'!$G$14:$G$33,0)),0)</f>
        <v>0</v>
      </c>
      <c r="BG27" s="626">
        <f t="shared" si="33"/>
        <v>0</v>
      </c>
      <c r="BH27" s="626">
        <f t="shared" si="34"/>
        <v>0</v>
      </c>
      <c r="BI27" s="626">
        <f t="shared" si="35"/>
        <v>0</v>
      </c>
      <c r="BK27" s="626"/>
      <c r="BL27" s="626"/>
      <c r="BM27" s="626"/>
      <c r="BN27" s="626"/>
      <c r="BO27" s="626"/>
      <c r="BP27" s="626"/>
      <c r="BQ27" s="626"/>
      <c r="BR27" s="626"/>
    </row>
    <row r="28" spans="1:70">
      <c r="A28" s="32" t="s">
        <v>1541</v>
      </c>
      <c r="B28" s="32" t="s">
        <v>1737</v>
      </c>
      <c r="C28" s="619">
        <f>SETUP!$F$36</f>
        <v>0</v>
      </c>
      <c r="D28" s="31">
        <v>4.2</v>
      </c>
      <c r="E28" s="32" t="s">
        <v>440</v>
      </c>
      <c r="F28" s="32" t="s">
        <v>1583</v>
      </c>
      <c r="G28" s="625" t="str">
        <f t="array" ref="G28">IFERROR(INDEX('TB-Pharmaceuticals'!$K$14:$K$33,MATCH($E28&amp;$F28,'TB-Pharmaceuticals'!$D$14:$D$33&amp;'TB-Pharmaceuticals'!$G$14:$G$33,0)),"")</f>
        <v/>
      </c>
      <c r="H28" s="625" t="str">
        <f t="array" ref="H28">IFERROR(INDEX('TB-Pharmaceuticals'!$L$14:$L$33,MATCH($E28&amp;$F28,'TB-Pharmaceuticals'!$D$14:$D$33&amp;'TB-Pharmaceuticals'!$G$14:$G$33,0)),"")</f>
        <v/>
      </c>
      <c r="I28" s="625">
        <f t="array" ref="I28">IFERROR(INDEX('TB-Pharmaceuticals'!$M$14:$M$33,MATCH($E28&amp;$F28,'TB-Pharmaceuticals'!$D$14:$D$33&amp;'TB-Pharmaceuticals'!$G$14:$G$33,0)),0)</f>
        <v>0</v>
      </c>
      <c r="J28" s="625">
        <f t="array" ref="J28">IFERROR(INDEX('TB-Pharmaceuticals'!$N$14:$N$33,MATCH($E28&amp;$F28,'TB-Pharmaceuticals'!$D$14:$D$33&amp;'TB-Pharmaceuticals'!$G$14:$G$33,0)),0)</f>
        <v>0</v>
      </c>
      <c r="K28" s="626">
        <f t="shared" si="0"/>
        <v>0</v>
      </c>
      <c r="L28" s="626">
        <f t="shared" si="1"/>
        <v>0</v>
      </c>
      <c r="M28" s="626">
        <f t="shared" si="2"/>
        <v>0</v>
      </c>
      <c r="N28" s="625">
        <f t="array" ref="N28">IFERROR(INDEX('TB-Pharmaceuticals'!$O$14:$O$33,MATCH($E28&amp;$F28,'TB-Pharmaceuticals'!$D$14:$D$33&amp;'TB-Pharmaceuticals'!$G$14:$G$33,0)),0)</f>
        <v>0</v>
      </c>
      <c r="O28" s="626">
        <f t="shared" si="3"/>
        <v>0</v>
      </c>
      <c r="P28" s="626">
        <f t="shared" si="4"/>
        <v>0</v>
      </c>
      <c r="Q28" s="626">
        <f t="shared" si="5"/>
        <v>0</v>
      </c>
      <c r="R28" s="625">
        <f t="array" ref="R28">IFERROR(INDEX('TB-Pharmaceuticals'!$P$14:$P$33,MATCH($E28&amp;$F28,'TB-Pharmaceuticals'!$D$14:$D$33&amp;'TB-Pharmaceuticals'!$G$14:$G$33,0)),0)</f>
        <v>0</v>
      </c>
      <c r="S28" s="626">
        <f t="shared" si="6"/>
        <v>0</v>
      </c>
      <c r="T28" s="626">
        <f t="shared" si="7"/>
        <v>0</v>
      </c>
      <c r="U28" s="626">
        <f t="shared" si="8"/>
        <v>0</v>
      </c>
      <c r="V28" s="625">
        <f t="array" ref="V28">IFERROR(INDEX('TB-Pharmaceuticals'!$Q$14:$Q$33,MATCH($E28&amp;$F28,'TB-Pharmaceuticals'!$D$14:$D$33&amp;'TB-Pharmaceuticals'!$G$14:$G$33,0)),0)</f>
        <v>0</v>
      </c>
      <c r="W28" s="626">
        <f t="shared" si="9"/>
        <v>0</v>
      </c>
      <c r="X28" s="626">
        <f t="shared" si="10"/>
        <v>0</v>
      </c>
      <c r="Y28" s="626">
        <f t="shared" si="11"/>
        <v>0</v>
      </c>
      <c r="Z28" s="627"/>
      <c r="AA28" s="625">
        <f t="array" ref="AA28">IFERROR(INDEX('TB-Pharmaceuticals'!$T$14:$T$33,MATCH($E28&amp;$F28,'TB-Pharmaceuticals'!$D$14:$D$33&amp;'TB-Pharmaceuticals'!$G$14:$G$33,0)),0)</f>
        <v>0</v>
      </c>
      <c r="AB28" s="625">
        <f t="array" ref="AB28">IFERROR(INDEX('TB-Pharmaceuticals'!$U$14:$U$33,MATCH($E28&amp;$F28,'TB-Pharmaceuticals'!$D$14:$D$33&amp;'TB-Pharmaceuticals'!$G$14:$G$33,0)),0)</f>
        <v>0</v>
      </c>
      <c r="AC28" s="626">
        <f t="shared" si="12"/>
        <v>0</v>
      </c>
      <c r="AD28" s="626">
        <f t="shared" si="13"/>
        <v>0</v>
      </c>
      <c r="AE28" s="626">
        <f t="shared" si="14"/>
        <v>0</v>
      </c>
      <c r="AF28" s="625">
        <f t="array" ref="AF28">IFERROR(INDEX('TB-Pharmaceuticals'!$V$14:$V$33,MATCH($E28&amp;$F28,'TB-Pharmaceuticals'!$D$14:$D$33&amp;'TB-Pharmaceuticals'!$G$14:$G$33,0)),0)</f>
        <v>0</v>
      </c>
      <c r="AG28" s="626">
        <f t="shared" si="15"/>
        <v>0</v>
      </c>
      <c r="AH28" s="626">
        <f t="shared" si="16"/>
        <v>0</v>
      </c>
      <c r="AI28" s="626">
        <f t="shared" si="17"/>
        <v>0</v>
      </c>
      <c r="AJ28" s="625">
        <f t="array" ref="AJ28">IFERROR(INDEX('TB-Pharmaceuticals'!$W$14:$W$33,MATCH($E28&amp;$F28,'TB-Pharmaceuticals'!$D$14:$D$33&amp;'TB-Pharmaceuticals'!$G$14:$G$33,0)),0)</f>
        <v>0</v>
      </c>
      <c r="AK28" s="626">
        <f t="shared" si="18"/>
        <v>0</v>
      </c>
      <c r="AL28" s="626">
        <f t="shared" si="19"/>
        <v>0</v>
      </c>
      <c r="AM28" s="626">
        <f t="shared" si="20"/>
        <v>0</v>
      </c>
      <c r="AN28" s="625">
        <f t="array" ref="AN28">IFERROR(INDEX('TB-Pharmaceuticals'!$X$14:$X$33,MATCH($E28&amp;$F28,'TB-Pharmaceuticals'!$D$14:$D$33&amp;'TB-Pharmaceuticals'!$G$14:$G$33,0)),0)</f>
        <v>0</v>
      </c>
      <c r="AO28" s="626">
        <f t="shared" si="21"/>
        <v>0</v>
      </c>
      <c r="AP28" s="626">
        <f t="shared" si="22"/>
        <v>0</v>
      </c>
      <c r="AQ28" s="626">
        <f t="shared" si="23"/>
        <v>0</v>
      </c>
      <c r="AR28" s="627"/>
      <c r="AS28" s="625">
        <f t="array" ref="AS28">IFERROR(INDEX('TB-Pharmaceuticals'!$AA$14:$AA$33,MATCH($E28&amp;$F28,'TB-Pharmaceuticals'!$D$14:$D$33&amp;'TB-Pharmaceuticals'!$G$14:$G$33,0)),0)</f>
        <v>0</v>
      </c>
      <c r="AT28" s="625">
        <f t="array" ref="AT28">IFERROR(INDEX('TB-Pharmaceuticals'!$AB$14:$AB$33,MATCH($E28&amp;$F28,'TB-Pharmaceuticals'!$D$14:$D$33&amp;'TB-Pharmaceuticals'!$G$14:$G$33,0)),0)</f>
        <v>0</v>
      </c>
      <c r="AU28" s="626">
        <f t="shared" si="24"/>
        <v>0</v>
      </c>
      <c r="AV28" s="626">
        <f t="shared" si="25"/>
        <v>0</v>
      </c>
      <c r="AW28" s="626">
        <f t="shared" si="26"/>
        <v>0</v>
      </c>
      <c r="AX28" s="625">
        <f t="array" ref="AX28">IFERROR(INDEX('TB-Pharmaceuticals'!$AC$14:$AC$33,MATCH($E28&amp;$F28,'TB-Pharmaceuticals'!$D$14:$D$33&amp;'TB-Pharmaceuticals'!$G$14:$G$33,0)),0)</f>
        <v>0</v>
      </c>
      <c r="AY28" s="626">
        <f t="shared" si="27"/>
        <v>0</v>
      </c>
      <c r="AZ28" s="626">
        <f t="shared" si="28"/>
        <v>0</v>
      </c>
      <c r="BA28" s="626">
        <f t="shared" si="29"/>
        <v>0</v>
      </c>
      <c r="BB28" s="625">
        <f t="array" ref="BB28">IFERROR(INDEX('TB-Pharmaceuticals'!$AD$14:$AD$33,MATCH($E28&amp;$F28,'TB-Pharmaceuticals'!$D$14:$D$33&amp;'TB-Pharmaceuticals'!$G$14:$G$33,0)),0)</f>
        <v>0</v>
      </c>
      <c r="BC28" s="626">
        <f t="shared" si="30"/>
        <v>0</v>
      </c>
      <c r="BD28" s="626">
        <f t="shared" si="31"/>
        <v>0</v>
      </c>
      <c r="BE28" s="626">
        <f t="shared" si="32"/>
        <v>0</v>
      </c>
      <c r="BF28" s="625">
        <f t="array" ref="BF28">IFERROR(INDEX('TB-Pharmaceuticals'!$AE$14:$AE$33,MATCH($E28&amp;$F28,'TB-Pharmaceuticals'!$D$14:$D$33&amp;'TB-Pharmaceuticals'!$G$14:$G$33,0)),0)</f>
        <v>0</v>
      </c>
      <c r="BG28" s="626">
        <f t="shared" si="33"/>
        <v>0</v>
      </c>
      <c r="BH28" s="626">
        <f t="shared" si="34"/>
        <v>0</v>
      </c>
      <c r="BI28" s="626">
        <f t="shared" si="35"/>
        <v>0</v>
      </c>
      <c r="BK28" s="626"/>
      <c r="BL28" s="626"/>
      <c r="BM28" s="626"/>
      <c r="BN28" s="626"/>
      <c r="BO28" s="626"/>
      <c r="BP28" s="626"/>
      <c r="BQ28" s="626"/>
      <c r="BR28" s="626"/>
    </row>
    <row r="29" spans="1:70">
      <c r="A29" s="32" t="s">
        <v>1541</v>
      </c>
      <c r="B29" s="32" t="s">
        <v>1737</v>
      </c>
      <c r="C29" s="619">
        <f>SETUP!$F$36</f>
        <v>0</v>
      </c>
      <c r="D29" s="31">
        <v>4.2</v>
      </c>
      <c r="E29" s="32" t="s">
        <v>424</v>
      </c>
      <c r="F29" s="32" t="s">
        <v>1260</v>
      </c>
      <c r="G29" s="625" t="str">
        <f t="array" ref="G29">IFERROR(INDEX('TB-Pharmaceuticals'!$K$14:$K$33,MATCH($E29&amp;$F29,'TB-Pharmaceuticals'!$D$14:$D$33&amp;'TB-Pharmaceuticals'!$G$14:$G$33,0)),"")</f>
        <v/>
      </c>
      <c r="H29" s="625" t="str">
        <f t="array" ref="H29">IFERROR(INDEX('TB-Pharmaceuticals'!$L$14:$L$33,MATCH($E29&amp;$F29,'TB-Pharmaceuticals'!$D$14:$D$33&amp;'TB-Pharmaceuticals'!$G$14:$G$33,0)),"")</f>
        <v/>
      </c>
      <c r="I29" s="625">
        <f t="array" ref="I29">IFERROR(INDEX('TB-Pharmaceuticals'!$M$14:$M$33,MATCH($E29&amp;$F29,'TB-Pharmaceuticals'!$D$14:$D$33&amp;'TB-Pharmaceuticals'!$G$14:$G$33,0)),0)</f>
        <v>0</v>
      </c>
      <c r="J29" s="625">
        <f t="array" ref="J29">IFERROR(INDEX('TB-Pharmaceuticals'!$N$14:$N$33,MATCH($E29&amp;$F29,'TB-Pharmaceuticals'!$D$14:$D$33&amp;'TB-Pharmaceuticals'!$G$14:$G$33,0)),0)</f>
        <v>0</v>
      </c>
      <c r="K29" s="626">
        <f t="shared" si="0"/>
        <v>0</v>
      </c>
      <c r="L29" s="626">
        <f t="shared" si="1"/>
        <v>0</v>
      </c>
      <c r="M29" s="626">
        <f t="shared" si="2"/>
        <v>0</v>
      </c>
      <c r="N29" s="625">
        <f t="array" ref="N29">IFERROR(INDEX('TB-Pharmaceuticals'!$O$14:$O$33,MATCH($E29&amp;$F29,'TB-Pharmaceuticals'!$D$14:$D$33&amp;'TB-Pharmaceuticals'!$G$14:$G$33,0)),0)</f>
        <v>0</v>
      </c>
      <c r="O29" s="626">
        <f t="shared" si="3"/>
        <v>0</v>
      </c>
      <c r="P29" s="626">
        <f t="shared" si="4"/>
        <v>0</v>
      </c>
      <c r="Q29" s="626">
        <f t="shared" si="5"/>
        <v>0</v>
      </c>
      <c r="R29" s="625">
        <f t="array" ref="R29">IFERROR(INDEX('TB-Pharmaceuticals'!$P$14:$P$33,MATCH($E29&amp;$F29,'TB-Pharmaceuticals'!$D$14:$D$33&amp;'TB-Pharmaceuticals'!$G$14:$G$33,0)),0)</f>
        <v>0</v>
      </c>
      <c r="S29" s="626">
        <f t="shared" si="6"/>
        <v>0</v>
      </c>
      <c r="T29" s="626">
        <f t="shared" si="7"/>
        <v>0</v>
      </c>
      <c r="U29" s="626">
        <f t="shared" si="8"/>
        <v>0</v>
      </c>
      <c r="V29" s="625">
        <f t="array" ref="V29">IFERROR(INDEX('TB-Pharmaceuticals'!$Q$14:$Q$33,MATCH($E29&amp;$F29,'TB-Pharmaceuticals'!$D$14:$D$33&amp;'TB-Pharmaceuticals'!$G$14:$G$33,0)),0)</f>
        <v>0</v>
      </c>
      <c r="W29" s="626">
        <f t="shared" si="9"/>
        <v>0</v>
      </c>
      <c r="X29" s="626">
        <f t="shared" si="10"/>
        <v>0</v>
      </c>
      <c r="Y29" s="626">
        <f t="shared" si="11"/>
        <v>0</v>
      </c>
      <c r="Z29" s="627"/>
      <c r="AA29" s="625">
        <f t="array" ref="AA29">IFERROR(INDEX('TB-Pharmaceuticals'!$T$14:$T$33,MATCH($E29&amp;$F29,'TB-Pharmaceuticals'!$D$14:$D$33&amp;'TB-Pharmaceuticals'!$G$14:$G$33,0)),0)</f>
        <v>0</v>
      </c>
      <c r="AB29" s="625">
        <f t="array" ref="AB29">IFERROR(INDEX('TB-Pharmaceuticals'!$U$14:$U$33,MATCH($E29&amp;$F29,'TB-Pharmaceuticals'!$D$14:$D$33&amp;'TB-Pharmaceuticals'!$G$14:$G$33,0)),0)</f>
        <v>0</v>
      </c>
      <c r="AC29" s="626">
        <f t="shared" si="12"/>
        <v>0</v>
      </c>
      <c r="AD29" s="626">
        <f t="shared" si="13"/>
        <v>0</v>
      </c>
      <c r="AE29" s="626">
        <f t="shared" si="14"/>
        <v>0</v>
      </c>
      <c r="AF29" s="625">
        <f t="array" ref="AF29">IFERROR(INDEX('TB-Pharmaceuticals'!$V$14:$V$33,MATCH($E29&amp;$F29,'TB-Pharmaceuticals'!$D$14:$D$33&amp;'TB-Pharmaceuticals'!$G$14:$G$33,0)),0)</f>
        <v>0</v>
      </c>
      <c r="AG29" s="626">
        <f t="shared" si="15"/>
        <v>0</v>
      </c>
      <c r="AH29" s="626">
        <f t="shared" si="16"/>
        <v>0</v>
      </c>
      <c r="AI29" s="626">
        <f t="shared" si="17"/>
        <v>0</v>
      </c>
      <c r="AJ29" s="625">
        <f t="array" ref="AJ29">IFERROR(INDEX('TB-Pharmaceuticals'!$W$14:$W$33,MATCH($E29&amp;$F29,'TB-Pharmaceuticals'!$D$14:$D$33&amp;'TB-Pharmaceuticals'!$G$14:$G$33,0)),0)</f>
        <v>0</v>
      </c>
      <c r="AK29" s="626">
        <f t="shared" si="18"/>
        <v>0</v>
      </c>
      <c r="AL29" s="626">
        <f t="shared" si="19"/>
        <v>0</v>
      </c>
      <c r="AM29" s="626">
        <f t="shared" si="20"/>
        <v>0</v>
      </c>
      <c r="AN29" s="625">
        <f t="array" ref="AN29">IFERROR(INDEX('TB-Pharmaceuticals'!$X$14:$X$33,MATCH($E29&amp;$F29,'TB-Pharmaceuticals'!$D$14:$D$33&amp;'TB-Pharmaceuticals'!$G$14:$G$33,0)),0)</f>
        <v>0</v>
      </c>
      <c r="AO29" s="626">
        <f t="shared" si="21"/>
        <v>0</v>
      </c>
      <c r="AP29" s="626">
        <f t="shared" si="22"/>
        <v>0</v>
      </c>
      <c r="AQ29" s="626">
        <f t="shared" si="23"/>
        <v>0</v>
      </c>
      <c r="AR29" s="627"/>
      <c r="AS29" s="625">
        <f t="array" ref="AS29">IFERROR(INDEX('TB-Pharmaceuticals'!$AA$14:$AA$33,MATCH($E29&amp;$F29,'TB-Pharmaceuticals'!$D$14:$D$33&amp;'TB-Pharmaceuticals'!$G$14:$G$33,0)),0)</f>
        <v>0</v>
      </c>
      <c r="AT29" s="625">
        <f t="array" ref="AT29">IFERROR(INDEX('TB-Pharmaceuticals'!$AB$14:$AB$33,MATCH($E29&amp;$F29,'TB-Pharmaceuticals'!$D$14:$D$33&amp;'TB-Pharmaceuticals'!$G$14:$G$33,0)),0)</f>
        <v>0</v>
      </c>
      <c r="AU29" s="626">
        <f t="shared" si="24"/>
        <v>0</v>
      </c>
      <c r="AV29" s="626">
        <f t="shared" si="25"/>
        <v>0</v>
      </c>
      <c r="AW29" s="626">
        <f t="shared" si="26"/>
        <v>0</v>
      </c>
      <c r="AX29" s="625">
        <f t="array" ref="AX29">IFERROR(INDEX('TB-Pharmaceuticals'!$AC$14:$AC$33,MATCH($E29&amp;$F29,'TB-Pharmaceuticals'!$D$14:$D$33&amp;'TB-Pharmaceuticals'!$G$14:$G$33,0)),0)</f>
        <v>0</v>
      </c>
      <c r="AY29" s="626">
        <f t="shared" si="27"/>
        <v>0</v>
      </c>
      <c r="AZ29" s="626">
        <f t="shared" si="28"/>
        <v>0</v>
      </c>
      <c r="BA29" s="626">
        <f t="shared" si="29"/>
        <v>0</v>
      </c>
      <c r="BB29" s="625">
        <f t="array" ref="BB29">IFERROR(INDEX('TB-Pharmaceuticals'!$AD$14:$AD$33,MATCH($E29&amp;$F29,'TB-Pharmaceuticals'!$D$14:$D$33&amp;'TB-Pharmaceuticals'!$G$14:$G$33,0)),0)</f>
        <v>0</v>
      </c>
      <c r="BC29" s="626">
        <f t="shared" si="30"/>
        <v>0</v>
      </c>
      <c r="BD29" s="626">
        <f t="shared" si="31"/>
        <v>0</v>
      </c>
      <c r="BE29" s="626">
        <f t="shared" si="32"/>
        <v>0</v>
      </c>
      <c r="BF29" s="625">
        <f t="array" ref="BF29">IFERROR(INDEX('TB-Pharmaceuticals'!$AE$14:$AE$33,MATCH($E29&amp;$F29,'TB-Pharmaceuticals'!$D$14:$D$33&amp;'TB-Pharmaceuticals'!$G$14:$G$33,0)),0)</f>
        <v>0</v>
      </c>
      <c r="BG29" s="626">
        <f t="shared" si="33"/>
        <v>0</v>
      </c>
      <c r="BH29" s="626">
        <f t="shared" si="34"/>
        <v>0</v>
      </c>
      <c r="BI29" s="626">
        <f t="shared" si="35"/>
        <v>0</v>
      </c>
      <c r="BK29" s="626"/>
      <c r="BL29" s="626"/>
      <c r="BM29" s="626"/>
      <c r="BN29" s="626"/>
      <c r="BO29" s="626"/>
      <c r="BP29" s="626"/>
      <c r="BQ29" s="626"/>
      <c r="BR29" s="626"/>
    </row>
    <row r="30" spans="1:70">
      <c r="A30" s="32" t="s">
        <v>1541</v>
      </c>
      <c r="B30" s="32" t="s">
        <v>1737</v>
      </c>
      <c r="C30" s="619">
        <f>SETUP!$F$36</f>
        <v>0</v>
      </c>
      <c r="D30" s="31">
        <v>4.2</v>
      </c>
      <c r="E30" s="32" t="s">
        <v>424</v>
      </c>
      <c r="F30" s="32" t="s">
        <v>1261</v>
      </c>
      <c r="G30" s="625" t="str">
        <f t="array" ref="G30">IFERROR(INDEX('TB-Pharmaceuticals'!$K$14:$K$33,MATCH($E30&amp;$F30,'TB-Pharmaceuticals'!$D$14:$D$33&amp;'TB-Pharmaceuticals'!$G$14:$G$33,0)),"")</f>
        <v/>
      </c>
      <c r="H30" s="625" t="str">
        <f t="array" ref="H30">IFERROR(INDEX('TB-Pharmaceuticals'!$L$14:$L$33,MATCH($E30&amp;$F30,'TB-Pharmaceuticals'!$D$14:$D$33&amp;'TB-Pharmaceuticals'!$G$14:$G$33,0)),"")</f>
        <v/>
      </c>
      <c r="I30" s="625">
        <f t="array" ref="I30">IFERROR(INDEX('TB-Pharmaceuticals'!$M$14:$M$33,MATCH($E30&amp;$F30,'TB-Pharmaceuticals'!$D$14:$D$33&amp;'TB-Pharmaceuticals'!$G$14:$G$33,0)),0)</f>
        <v>0</v>
      </c>
      <c r="J30" s="625">
        <f t="array" ref="J30">IFERROR(INDEX('TB-Pharmaceuticals'!$N$14:$N$33,MATCH($E30&amp;$F30,'TB-Pharmaceuticals'!$D$14:$D$33&amp;'TB-Pharmaceuticals'!$G$14:$G$33,0)),0)</f>
        <v>0</v>
      </c>
      <c r="K30" s="626">
        <f t="shared" si="0"/>
        <v>0</v>
      </c>
      <c r="L30" s="626">
        <f t="shared" si="1"/>
        <v>0</v>
      </c>
      <c r="M30" s="626">
        <f t="shared" si="2"/>
        <v>0</v>
      </c>
      <c r="N30" s="625">
        <f t="array" ref="N30">IFERROR(INDEX('TB-Pharmaceuticals'!$O$14:$O$33,MATCH($E30&amp;$F30,'TB-Pharmaceuticals'!$D$14:$D$33&amp;'TB-Pharmaceuticals'!$G$14:$G$33,0)),0)</f>
        <v>0</v>
      </c>
      <c r="O30" s="626">
        <f t="shared" si="3"/>
        <v>0</v>
      </c>
      <c r="P30" s="626">
        <f t="shared" si="4"/>
        <v>0</v>
      </c>
      <c r="Q30" s="626">
        <f t="shared" si="5"/>
        <v>0</v>
      </c>
      <c r="R30" s="625">
        <f t="array" ref="R30">IFERROR(INDEX('TB-Pharmaceuticals'!$P$14:$P$33,MATCH($E30&amp;$F30,'TB-Pharmaceuticals'!$D$14:$D$33&amp;'TB-Pharmaceuticals'!$G$14:$G$33,0)),0)</f>
        <v>0</v>
      </c>
      <c r="S30" s="626">
        <f t="shared" si="6"/>
        <v>0</v>
      </c>
      <c r="T30" s="626">
        <f t="shared" si="7"/>
        <v>0</v>
      </c>
      <c r="U30" s="626">
        <f t="shared" si="8"/>
        <v>0</v>
      </c>
      <c r="V30" s="625">
        <f t="array" ref="V30">IFERROR(INDEX('TB-Pharmaceuticals'!$Q$14:$Q$33,MATCH($E30&amp;$F30,'TB-Pharmaceuticals'!$D$14:$D$33&amp;'TB-Pharmaceuticals'!$G$14:$G$33,0)),0)</f>
        <v>0</v>
      </c>
      <c r="W30" s="626">
        <f t="shared" si="9"/>
        <v>0</v>
      </c>
      <c r="X30" s="626">
        <f t="shared" si="10"/>
        <v>0</v>
      </c>
      <c r="Y30" s="626">
        <f t="shared" si="11"/>
        <v>0</v>
      </c>
      <c r="Z30" s="627"/>
      <c r="AA30" s="625">
        <f t="array" ref="AA30">IFERROR(INDEX('TB-Pharmaceuticals'!$T$14:$T$33,MATCH($E30&amp;$F30,'TB-Pharmaceuticals'!$D$14:$D$33&amp;'TB-Pharmaceuticals'!$G$14:$G$33,0)),0)</f>
        <v>0</v>
      </c>
      <c r="AB30" s="625">
        <f t="array" ref="AB30">IFERROR(INDEX('TB-Pharmaceuticals'!$U$14:$U$33,MATCH($E30&amp;$F30,'TB-Pharmaceuticals'!$D$14:$D$33&amp;'TB-Pharmaceuticals'!$G$14:$G$33,0)),0)</f>
        <v>0</v>
      </c>
      <c r="AC30" s="626">
        <f t="shared" si="12"/>
        <v>0</v>
      </c>
      <c r="AD30" s="626">
        <f t="shared" si="13"/>
        <v>0</v>
      </c>
      <c r="AE30" s="626">
        <f t="shared" si="14"/>
        <v>0</v>
      </c>
      <c r="AF30" s="625">
        <f t="array" ref="AF30">IFERROR(INDEX('TB-Pharmaceuticals'!$V$14:$V$33,MATCH($E30&amp;$F30,'TB-Pharmaceuticals'!$D$14:$D$33&amp;'TB-Pharmaceuticals'!$G$14:$G$33,0)),0)</f>
        <v>0</v>
      </c>
      <c r="AG30" s="626">
        <f t="shared" si="15"/>
        <v>0</v>
      </c>
      <c r="AH30" s="626">
        <f t="shared" si="16"/>
        <v>0</v>
      </c>
      <c r="AI30" s="626">
        <f t="shared" si="17"/>
        <v>0</v>
      </c>
      <c r="AJ30" s="625">
        <f t="array" ref="AJ30">IFERROR(INDEX('TB-Pharmaceuticals'!$W$14:$W$33,MATCH($E30&amp;$F30,'TB-Pharmaceuticals'!$D$14:$D$33&amp;'TB-Pharmaceuticals'!$G$14:$G$33,0)),0)</f>
        <v>0</v>
      </c>
      <c r="AK30" s="626">
        <f t="shared" si="18"/>
        <v>0</v>
      </c>
      <c r="AL30" s="626">
        <f t="shared" si="19"/>
        <v>0</v>
      </c>
      <c r="AM30" s="626">
        <f t="shared" si="20"/>
        <v>0</v>
      </c>
      <c r="AN30" s="625">
        <f t="array" ref="AN30">IFERROR(INDEX('TB-Pharmaceuticals'!$X$14:$X$33,MATCH($E30&amp;$F30,'TB-Pharmaceuticals'!$D$14:$D$33&amp;'TB-Pharmaceuticals'!$G$14:$G$33,0)),0)</f>
        <v>0</v>
      </c>
      <c r="AO30" s="626">
        <f t="shared" si="21"/>
        <v>0</v>
      </c>
      <c r="AP30" s="626">
        <f t="shared" si="22"/>
        <v>0</v>
      </c>
      <c r="AQ30" s="626">
        <f t="shared" si="23"/>
        <v>0</v>
      </c>
      <c r="AR30" s="627"/>
      <c r="AS30" s="625">
        <f t="array" ref="AS30">IFERROR(INDEX('TB-Pharmaceuticals'!$AA$14:$AA$33,MATCH($E30&amp;$F30,'TB-Pharmaceuticals'!$D$14:$D$33&amp;'TB-Pharmaceuticals'!$G$14:$G$33,0)),0)</f>
        <v>0</v>
      </c>
      <c r="AT30" s="625">
        <f t="array" ref="AT30">IFERROR(INDEX('TB-Pharmaceuticals'!$AB$14:$AB$33,MATCH($E30&amp;$F30,'TB-Pharmaceuticals'!$D$14:$D$33&amp;'TB-Pharmaceuticals'!$G$14:$G$33,0)),0)</f>
        <v>0</v>
      </c>
      <c r="AU30" s="626">
        <f t="shared" si="24"/>
        <v>0</v>
      </c>
      <c r="AV30" s="626">
        <f t="shared" si="25"/>
        <v>0</v>
      </c>
      <c r="AW30" s="626">
        <f t="shared" si="26"/>
        <v>0</v>
      </c>
      <c r="AX30" s="625">
        <f t="array" ref="AX30">IFERROR(INDEX('TB-Pharmaceuticals'!$AC$14:$AC$33,MATCH($E30&amp;$F30,'TB-Pharmaceuticals'!$D$14:$D$33&amp;'TB-Pharmaceuticals'!$G$14:$G$33,0)),0)</f>
        <v>0</v>
      </c>
      <c r="AY30" s="626">
        <f t="shared" si="27"/>
        <v>0</v>
      </c>
      <c r="AZ30" s="626">
        <f t="shared" si="28"/>
        <v>0</v>
      </c>
      <c r="BA30" s="626">
        <f t="shared" si="29"/>
        <v>0</v>
      </c>
      <c r="BB30" s="625">
        <f t="array" ref="BB30">IFERROR(INDEX('TB-Pharmaceuticals'!$AD$14:$AD$33,MATCH($E30&amp;$F30,'TB-Pharmaceuticals'!$D$14:$D$33&amp;'TB-Pharmaceuticals'!$G$14:$G$33,0)),0)</f>
        <v>0</v>
      </c>
      <c r="BC30" s="626">
        <f t="shared" si="30"/>
        <v>0</v>
      </c>
      <c r="BD30" s="626">
        <f t="shared" si="31"/>
        <v>0</v>
      </c>
      <c r="BE30" s="626">
        <f t="shared" si="32"/>
        <v>0</v>
      </c>
      <c r="BF30" s="625">
        <f t="array" ref="BF30">IFERROR(INDEX('TB-Pharmaceuticals'!$AE$14:$AE$33,MATCH($E30&amp;$F30,'TB-Pharmaceuticals'!$D$14:$D$33&amp;'TB-Pharmaceuticals'!$G$14:$G$33,0)),0)</f>
        <v>0</v>
      </c>
      <c r="BG30" s="626">
        <f t="shared" si="33"/>
        <v>0</v>
      </c>
      <c r="BH30" s="626">
        <f t="shared" si="34"/>
        <v>0</v>
      </c>
      <c r="BI30" s="626">
        <f t="shared" si="35"/>
        <v>0</v>
      </c>
      <c r="BK30" s="626"/>
      <c r="BL30" s="626"/>
      <c r="BM30" s="626"/>
      <c r="BN30" s="626"/>
      <c r="BO30" s="626"/>
      <c r="BP30" s="626"/>
      <c r="BQ30" s="626"/>
      <c r="BR30" s="626"/>
    </row>
    <row r="31" spans="1:70">
      <c r="A31" s="32" t="s">
        <v>1541</v>
      </c>
      <c r="B31" s="32" t="s">
        <v>1737</v>
      </c>
      <c r="C31" s="619">
        <f>SETUP!$F$36</f>
        <v>0</v>
      </c>
      <c r="D31" s="31">
        <v>4.2</v>
      </c>
      <c r="E31" s="32" t="s">
        <v>424</v>
      </c>
      <c r="F31" s="32" t="s">
        <v>1262</v>
      </c>
      <c r="G31" s="625" t="str">
        <f t="array" ref="G31">IFERROR(INDEX('TB-Pharmaceuticals'!$K$14:$K$33,MATCH($E31&amp;$F31,'TB-Pharmaceuticals'!$D$14:$D$33&amp;'TB-Pharmaceuticals'!$G$14:$G$33,0)),"")</f>
        <v/>
      </c>
      <c r="H31" s="625" t="str">
        <f t="array" ref="H31">IFERROR(INDEX('TB-Pharmaceuticals'!$L$14:$L$33,MATCH($E31&amp;$F31,'TB-Pharmaceuticals'!$D$14:$D$33&amp;'TB-Pharmaceuticals'!$G$14:$G$33,0)),"")</f>
        <v/>
      </c>
      <c r="I31" s="625">
        <f t="array" ref="I31">IFERROR(INDEX('TB-Pharmaceuticals'!$M$14:$M$33,MATCH($E31&amp;$F31,'TB-Pharmaceuticals'!$D$14:$D$33&amp;'TB-Pharmaceuticals'!$G$14:$G$33,0)),0)</f>
        <v>0</v>
      </c>
      <c r="J31" s="625">
        <f t="array" ref="J31">IFERROR(INDEX('TB-Pharmaceuticals'!$N$14:$N$33,MATCH($E31&amp;$F31,'TB-Pharmaceuticals'!$D$14:$D$33&amp;'TB-Pharmaceuticals'!$G$14:$G$33,0)),0)</f>
        <v>0</v>
      </c>
      <c r="K31" s="626">
        <f t="shared" si="0"/>
        <v>0</v>
      </c>
      <c r="L31" s="626">
        <f t="shared" si="1"/>
        <v>0</v>
      </c>
      <c r="M31" s="626">
        <f t="shared" si="2"/>
        <v>0</v>
      </c>
      <c r="N31" s="625">
        <f t="array" ref="N31">IFERROR(INDEX('TB-Pharmaceuticals'!$O$14:$O$33,MATCH($E31&amp;$F31,'TB-Pharmaceuticals'!$D$14:$D$33&amp;'TB-Pharmaceuticals'!$G$14:$G$33,0)),0)</f>
        <v>0</v>
      </c>
      <c r="O31" s="626">
        <f t="shared" si="3"/>
        <v>0</v>
      </c>
      <c r="P31" s="626">
        <f t="shared" si="4"/>
        <v>0</v>
      </c>
      <c r="Q31" s="626">
        <f t="shared" si="5"/>
        <v>0</v>
      </c>
      <c r="R31" s="625">
        <f t="array" ref="R31">IFERROR(INDEX('TB-Pharmaceuticals'!$P$14:$P$33,MATCH($E31&amp;$F31,'TB-Pharmaceuticals'!$D$14:$D$33&amp;'TB-Pharmaceuticals'!$G$14:$G$33,0)),0)</f>
        <v>0</v>
      </c>
      <c r="S31" s="626">
        <f t="shared" si="6"/>
        <v>0</v>
      </c>
      <c r="T31" s="626">
        <f t="shared" si="7"/>
        <v>0</v>
      </c>
      <c r="U31" s="626">
        <f t="shared" si="8"/>
        <v>0</v>
      </c>
      <c r="V31" s="625">
        <f t="array" ref="V31">IFERROR(INDEX('TB-Pharmaceuticals'!$Q$14:$Q$33,MATCH($E31&amp;$F31,'TB-Pharmaceuticals'!$D$14:$D$33&amp;'TB-Pharmaceuticals'!$G$14:$G$33,0)),0)</f>
        <v>0</v>
      </c>
      <c r="W31" s="626">
        <f t="shared" si="9"/>
        <v>0</v>
      </c>
      <c r="X31" s="626">
        <f t="shared" si="10"/>
        <v>0</v>
      </c>
      <c r="Y31" s="626">
        <f t="shared" si="11"/>
        <v>0</v>
      </c>
      <c r="Z31" s="627"/>
      <c r="AA31" s="625">
        <f t="array" ref="AA31">IFERROR(INDEX('TB-Pharmaceuticals'!$T$14:$T$33,MATCH($E31&amp;$F31,'TB-Pharmaceuticals'!$D$14:$D$33&amp;'TB-Pharmaceuticals'!$G$14:$G$33,0)),0)</f>
        <v>0</v>
      </c>
      <c r="AB31" s="625">
        <f t="array" ref="AB31">IFERROR(INDEX('TB-Pharmaceuticals'!$U$14:$U$33,MATCH($E31&amp;$F31,'TB-Pharmaceuticals'!$D$14:$D$33&amp;'TB-Pharmaceuticals'!$G$14:$G$33,0)),0)</f>
        <v>0</v>
      </c>
      <c r="AC31" s="626">
        <f t="shared" si="12"/>
        <v>0</v>
      </c>
      <c r="AD31" s="626">
        <f t="shared" si="13"/>
        <v>0</v>
      </c>
      <c r="AE31" s="626">
        <f t="shared" si="14"/>
        <v>0</v>
      </c>
      <c r="AF31" s="625">
        <f t="array" ref="AF31">IFERROR(INDEX('TB-Pharmaceuticals'!$V$14:$V$33,MATCH($E31&amp;$F31,'TB-Pharmaceuticals'!$D$14:$D$33&amp;'TB-Pharmaceuticals'!$G$14:$G$33,0)),0)</f>
        <v>0</v>
      </c>
      <c r="AG31" s="626">
        <f t="shared" si="15"/>
        <v>0</v>
      </c>
      <c r="AH31" s="626">
        <f t="shared" si="16"/>
        <v>0</v>
      </c>
      <c r="AI31" s="626">
        <f t="shared" si="17"/>
        <v>0</v>
      </c>
      <c r="AJ31" s="625">
        <f t="array" ref="AJ31">IFERROR(INDEX('TB-Pharmaceuticals'!$W$14:$W$33,MATCH($E31&amp;$F31,'TB-Pharmaceuticals'!$D$14:$D$33&amp;'TB-Pharmaceuticals'!$G$14:$G$33,0)),0)</f>
        <v>0</v>
      </c>
      <c r="AK31" s="626">
        <f t="shared" si="18"/>
        <v>0</v>
      </c>
      <c r="AL31" s="626">
        <f t="shared" si="19"/>
        <v>0</v>
      </c>
      <c r="AM31" s="626">
        <f t="shared" si="20"/>
        <v>0</v>
      </c>
      <c r="AN31" s="625">
        <f t="array" ref="AN31">IFERROR(INDEX('TB-Pharmaceuticals'!$X$14:$X$33,MATCH($E31&amp;$F31,'TB-Pharmaceuticals'!$D$14:$D$33&amp;'TB-Pharmaceuticals'!$G$14:$G$33,0)),0)</f>
        <v>0</v>
      </c>
      <c r="AO31" s="626">
        <f t="shared" si="21"/>
        <v>0</v>
      </c>
      <c r="AP31" s="626">
        <f t="shared" si="22"/>
        <v>0</v>
      </c>
      <c r="AQ31" s="626">
        <f t="shared" si="23"/>
        <v>0</v>
      </c>
      <c r="AR31" s="627"/>
      <c r="AS31" s="625">
        <f t="array" ref="AS31">IFERROR(INDEX('TB-Pharmaceuticals'!$AA$14:$AA$33,MATCH($E31&amp;$F31,'TB-Pharmaceuticals'!$D$14:$D$33&amp;'TB-Pharmaceuticals'!$G$14:$G$33,0)),0)</f>
        <v>0</v>
      </c>
      <c r="AT31" s="625">
        <f t="array" ref="AT31">IFERROR(INDEX('TB-Pharmaceuticals'!$AB$14:$AB$33,MATCH($E31&amp;$F31,'TB-Pharmaceuticals'!$D$14:$D$33&amp;'TB-Pharmaceuticals'!$G$14:$G$33,0)),0)</f>
        <v>0</v>
      </c>
      <c r="AU31" s="626">
        <f t="shared" si="24"/>
        <v>0</v>
      </c>
      <c r="AV31" s="626">
        <f t="shared" si="25"/>
        <v>0</v>
      </c>
      <c r="AW31" s="626">
        <f t="shared" si="26"/>
        <v>0</v>
      </c>
      <c r="AX31" s="625">
        <f t="array" ref="AX31">IFERROR(INDEX('TB-Pharmaceuticals'!$AC$14:$AC$33,MATCH($E31&amp;$F31,'TB-Pharmaceuticals'!$D$14:$D$33&amp;'TB-Pharmaceuticals'!$G$14:$G$33,0)),0)</f>
        <v>0</v>
      </c>
      <c r="AY31" s="626">
        <f t="shared" si="27"/>
        <v>0</v>
      </c>
      <c r="AZ31" s="626">
        <f t="shared" si="28"/>
        <v>0</v>
      </c>
      <c r="BA31" s="626">
        <f t="shared" si="29"/>
        <v>0</v>
      </c>
      <c r="BB31" s="625">
        <f t="array" ref="BB31">IFERROR(INDEX('TB-Pharmaceuticals'!$AD$14:$AD$33,MATCH($E31&amp;$F31,'TB-Pharmaceuticals'!$D$14:$D$33&amp;'TB-Pharmaceuticals'!$G$14:$G$33,0)),0)</f>
        <v>0</v>
      </c>
      <c r="BC31" s="626">
        <f t="shared" si="30"/>
        <v>0</v>
      </c>
      <c r="BD31" s="626">
        <f t="shared" si="31"/>
        <v>0</v>
      </c>
      <c r="BE31" s="626">
        <f t="shared" si="32"/>
        <v>0</v>
      </c>
      <c r="BF31" s="625">
        <f t="array" ref="BF31">IFERROR(INDEX('TB-Pharmaceuticals'!$AE$14:$AE$33,MATCH($E31&amp;$F31,'TB-Pharmaceuticals'!$D$14:$D$33&amp;'TB-Pharmaceuticals'!$G$14:$G$33,0)),0)</f>
        <v>0</v>
      </c>
      <c r="BG31" s="626">
        <f t="shared" si="33"/>
        <v>0</v>
      </c>
      <c r="BH31" s="626">
        <f t="shared" si="34"/>
        <v>0</v>
      </c>
      <c r="BI31" s="626">
        <f t="shared" si="35"/>
        <v>0</v>
      </c>
      <c r="BK31" s="626"/>
      <c r="BL31" s="626"/>
      <c r="BM31" s="626"/>
      <c r="BN31" s="626"/>
      <c r="BO31" s="626"/>
      <c r="BP31" s="626"/>
      <c r="BQ31" s="626"/>
      <c r="BR31" s="626"/>
    </row>
    <row r="32" spans="1:70">
      <c r="A32" s="32" t="s">
        <v>1541</v>
      </c>
      <c r="B32" s="32" t="s">
        <v>1737</v>
      </c>
      <c r="C32" s="619">
        <f>SETUP!$F$36</f>
        <v>0</v>
      </c>
      <c r="D32" s="31">
        <v>4.2</v>
      </c>
      <c r="E32" s="32" t="s">
        <v>424</v>
      </c>
      <c r="F32" s="32" t="s">
        <v>1263</v>
      </c>
      <c r="G32" s="625" t="str">
        <f t="array" ref="G32">IFERROR(INDEX('TB-Pharmaceuticals'!$K$14:$K$33,MATCH($E32&amp;$F32,'TB-Pharmaceuticals'!$D$14:$D$33&amp;'TB-Pharmaceuticals'!$G$14:$G$33,0)),"")</f>
        <v/>
      </c>
      <c r="H32" s="625" t="str">
        <f t="array" ref="H32">IFERROR(INDEX('TB-Pharmaceuticals'!$L$14:$L$33,MATCH($E32&amp;$F32,'TB-Pharmaceuticals'!$D$14:$D$33&amp;'TB-Pharmaceuticals'!$G$14:$G$33,0)),"")</f>
        <v/>
      </c>
      <c r="I32" s="625">
        <f t="array" ref="I32">IFERROR(INDEX('TB-Pharmaceuticals'!$M$14:$M$33,MATCH($E32&amp;$F32,'TB-Pharmaceuticals'!$D$14:$D$33&amp;'TB-Pharmaceuticals'!$G$14:$G$33,0)),0)</f>
        <v>0</v>
      </c>
      <c r="J32" s="625">
        <f t="array" ref="J32">IFERROR(INDEX('TB-Pharmaceuticals'!$N$14:$N$33,MATCH($E32&amp;$F32,'TB-Pharmaceuticals'!$D$14:$D$33&amp;'TB-Pharmaceuticals'!$G$14:$G$33,0)),0)</f>
        <v>0</v>
      </c>
      <c r="K32" s="626">
        <f t="shared" si="0"/>
        <v>0</v>
      </c>
      <c r="L32" s="626">
        <f t="shared" si="1"/>
        <v>0</v>
      </c>
      <c r="M32" s="626">
        <f t="shared" si="2"/>
        <v>0</v>
      </c>
      <c r="N32" s="625">
        <f t="array" ref="N32">IFERROR(INDEX('TB-Pharmaceuticals'!$O$14:$O$33,MATCH($E32&amp;$F32,'TB-Pharmaceuticals'!$D$14:$D$33&amp;'TB-Pharmaceuticals'!$G$14:$G$33,0)),0)</f>
        <v>0</v>
      </c>
      <c r="O32" s="626">
        <f t="shared" si="3"/>
        <v>0</v>
      </c>
      <c r="P32" s="626">
        <f t="shared" si="4"/>
        <v>0</v>
      </c>
      <c r="Q32" s="626">
        <f t="shared" si="5"/>
        <v>0</v>
      </c>
      <c r="R32" s="625">
        <f t="array" ref="R32">IFERROR(INDEX('TB-Pharmaceuticals'!$P$14:$P$33,MATCH($E32&amp;$F32,'TB-Pharmaceuticals'!$D$14:$D$33&amp;'TB-Pharmaceuticals'!$G$14:$G$33,0)),0)</f>
        <v>0</v>
      </c>
      <c r="S32" s="626">
        <f t="shared" si="6"/>
        <v>0</v>
      </c>
      <c r="T32" s="626">
        <f t="shared" si="7"/>
        <v>0</v>
      </c>
      <c r="U32" s="626">
        <f t="shared" si="8"/>
        <v>0</v>
      </c>
      <c r="V32" s="625">
        <f t="array" ref="V32">IFERROR(INDEX('TB-Pharmaceuticals'!$Q$14:$Q$33,MATCH($E32&amp;$F32,'TB-Pharmaceuticals'!$D$14:$D$33&amp;'TB-Pharmaceuticals'!$G$14:$G$33,0)),0)</f>
        <v>0</v>
      </c>
      <c r="W32" s="626">
        <f t="shared" si="9"/>
        <v>0</v>
      </c>
      <c r="X32" s="626">
        <f t="shared" si="10"/>
        <v>0</v>
      </c>
      <c r="Y32" s="626">
        <f t="shared" si="11"/>
        <v>0</v>
      </c>
      <c r="Z32" s="627"/>
      <c r="AA32" s="625">
        <f t="array" ref="AA32">IFERROR(INDEX('TB-Pharmaceuticals'!$T$14:$T$33,MATCH($E32&amp;$F32,'TB-Pharmaceuticals'!$D$14:$D$33&amp;'TB-Pharmaceuticals'!$G$14:$G$33,0)),0)</f>
        <v>0</v>
      </c>
      <c r="AB32" s="625">
        <f t="array" ref="AB32">IFERROR(INDEX('TB-Pharmaceuticals'!$U$14:$U$33,MATCH($E32&amp;$F32,'TB-Pharmaceuticals'!$D$14:$D$33&amp;'TB-Pharmaceuticals'!$G$14:$G$33,0)),0)</f>
        <v>0</v>
      </c>
      <c r="AC32" s="626">
        <f t="shared" si="12"/>
        <v>0</v>
      </c>
      <c r="AD32" s="626">
        <f t="shared" si="13"/>
        <v>0</v>
      </c>
      <c r="AE32" s="626">
        <f t="shared" si="14"/>
        <v>0</v>
      </c>
      <c r="AF32" s="625">
        <f t="array" ref="AF32">IFERROR(INDEX('TB-Pharmaceuticals'!$V$14:$V$33,MATCH($E32&amp;$F32,'TB-Pharmaceuticals'!$D$14:$D$33&amp;'TB-Pharmaceuticals'!$G$14:$G$33,0)),0)</f>
        <v>0</v>
      </c>
      <c r="AG32" s="626">
        <f t="shared" si="15"/>
        <v>0</v>
      </c>
      <c r="AH32" s="626">
        <f t="shared" si="16"/>
        <v>0</v>
      </c>
      <c r="AI32" s="626">
        <f t="shared" si="17"/>
        <v>0</v>
      </c>
      <c r="AJ32" s="625">
        <f t="array" ref="AJ32">IFERROR(INDEX('TB-Pharmaceuticals'!$W$14:$W$33,MATCH($E32&amp;$F32,'TB-Pharmaceuticals'!$D$14:$D$33&amp;'TB-Pharmaceuticals'!$G$14:$G$33,0)),0)</f>
        <v>0</v>
      </c>
      <c r="AK32" s="626">
        <f t="shared" si="18"/>
        <v>0</v>
      </c>
      <c r="AL32" s="626">
        <f t="shared" si="19"/>
        <v>0</v>
      </c>
      <c r="AM32" s="626">
        <f t="shared" si="20"/>
        <v>0</v>
      </c>
      <c r="AN32" s="625">
        <f t="array" ref="AN32">IFERROR(INDEX('TB-Pharmaceuticals'!$X$14:$X$33,MATCH($E32&amp;$F32,'TB-Pharmaceuticals'!$D$14:$D$33&amp;'TB-Pharmaceuticals'!$G$14:$G$33,0)),0)</f>
        <v>0</v>
      </c>
      <c r="AO32" s="626">
        <f t="shared" si="21"/>
        <v>0</v>
      </c>
      <c r="AP32" s="626">
        <f t="shared" si="22"/>
        <v>0</v>
      </c>
      <c r="AQ32" s="626">
        <f t="shared" si="23"/>
        <v>0</v>
      </c>
      <c r="AR32" s="627"/>
      <c r="AS32" s="625">
        <f t="array" ref="AS32">IFERROR(INDEX('TB-Pharmaceuticals'!$AA$14:$AA$33,MATCH($E32&amp;$F32,'TB-Pharmaceuticals'!$D$14:$D$33&amp;'TB-Pharmaceuticals'!$G$14:$G$33,0)),0)</f>
        <v>0</v>
      </c>
      <c r="AT32" s="625">
        <f t="array" ref="AT32">IFERROR(INDEX('TB-Pharmaceuticals'!$AB$14:$AB$33,MATCH($E32&amp;$F32,'TB-Pharmaceuticals'!$D$14:$D$33&amp;'TB-Pharmaceuticals'!$G$14:$G$33,0)),0)</f>
        <v>0</v>
      </c>
      <c r="AU32" s="626">
        <f t="shared" si="24"/>
        <v>0</v>
      </c>
      <c r="AV32" s="626">
        <f t="shared" si="25"/>
        <v>0</v>
      </c>
      <c r="AW32" s="626">
        <f t="shared" si="26"/>
        <v>0</v>
      </c>
      <c r="AX32" s="625">
        <f t="array" ref="AX32">IFERROR(INDEX('TB-Pharmaceuticals'!$AC$14:$AC$33,MATCH($E32&amp;$F32,'TB-Pharmaceuticals'!$D$14:$D$33&amp;'TB-Pharmaceuticals'!$G$14:$G$33,0)),0)</f>
        <v>0</v>
      </c>
      <c r="AY32" s="626">
        <f t="shared" si="27"/>
        <v>0</v>
      </c>
      <c r="AZ32" s="626">
        <f t="shared" si="28"/>
        <v>0</v>
      </c>
      <c r="BA32" s="626">
        <f t="shared" si="29"/>
        <v>0</v>
      </c>
      <c r="BB32" s="625">
        <f t="array" ref="BB32">IFERROR(INDEX('TB-Pharmaceuticals'!$AD$14:$AD$33,MATCH($E32&amp;$F32,'TB-Pharmaceuticals'!$D$14:$D$33&amp;'TB-Pharmaceuticals'!$G$14:$G$33,0)),0)</f>
        <v>0</v>
      </c>
      <c r="BC32" s="626">
        <f t="shared" si="30"/>
        <v>0</v>
      </c>
      <c r="BD32" s="626">
        <f t="shared" si="31"/>
        <v>0</v>
      </c>
      <c r="BE32" s="626">
        <f t="shared" si="32"/>
        <v>0</v>
      </c>
      <c r="BF32" s="625">
        <f t="array" ref="BF32">IFERROR(INDEX('TB-Pharmaceuticals'!$AE$14:$AE$33,MATCH($E32&amp;$F32,'TB-Pharmaceuticals'!$D$14:$D$33&amp;'TB-Pharmaceuticals'!$G$14:$G$33,0)),0)</f>
        <v>0</v>
      </c>
      <c r="BG32" s="626">
        <f t="shared" si="33"/>
        <v>0</v>
      </c>
      <c r="BH32" s="626">
        <f t="shared" si="34"/>
        <v>0</v>
      </c>
      <c r="BI32" s="626">
        <f t="shared" si="35"/>
        <v>0</v>
      </c>
      <c r="BK32" s="626"/>
      <c r="BL32" s="626"/>
      <c r="BM32" s="626"/>
      <c r="BN32" s="626"/>
      <c r="BO32" s="626"/>
      <c r="BP32" s="626"/>
      <c r="BQ32" s="626"/>
      <c r="BR32" s="626"/>
    </row>
    <row r="33" spans="1:70">
      <c r="A33" s="32" t="s">
        <v>1541</v>
      </c>
      <c r="B33" s="32" t="s">
        <v>1737</v>
      </c>
      <c r="C33" s="619">
        <f>SETUP!$F$36</f>
        <v>0</v>
      </c>
      <c r="D33" s="31">
        <v>4.2</v>
      </c>
      <c r="E33" s="32" t="s">
        <v>304</v>
      </c>
      <c r="F33" s="32" t="s">
        <v>1269</v>
      </c>
      <c r="G33" s="625" t="str">
        <f t="array" ref="G33">IFERROR(INDEX('TB-Pharmaceuticals'!$K$14:$K$33,MATCH($E33&amp;$F33,'TB-Pharmaceuticals'!$D$14:$D$33&amp;'TB-Pharmaceuticals'!$G$14:$G$33,0)),"")</f>
        <v/>
      </c>
      <c r="H33" s="625" t="str">
        <f t="array" ref="H33">IFERROR(INDEX('TB-Pharmaceuticals'!$L$14:$L$33,MATCH($E33&amp;$F33,'TB-Pharmaceuticals'!$D$14:$D$33&amp;'TB-Pharmaceuticals'!$G$14:$G$33,0)),"")</f>
        <v/>
      </c>
      <c r="I33" s="625">
        <f t="array" ref="I33">IFERROR(INDEX('TB-Pharmaceuticals'!$M$14:$M$33,MATCH($E33&amp;$F33,'TB-Pharmaceuticals'!$D$14:$D$33&amp;'TB-Pharmaceuticals'!$G$14:$G$33,0)),0)</f>
        <v>0</v>
      </c>
      <c r="J33" s="625">
        <f t="array" ref="J33">IFERROR(INDEX('TB-Pharmaceuticals'!$N$14:$N$33,MATCH($E33&amp;$F33,'TB-Pharmaceuticals'!$D$14:$D$33&amp;'TB-Pharmaceuticals'!$G$14:$G$33,0)),0)</f>
        <v>0</v>
      </c>
      <c r="K33" s="626">
        <f t="shared" si="0"/>
        <v>0</v>
      </c>
      <c r="L33" s="626">
        <f t="shared" si="1"/>
        <v>0</v>
      </c>
      <c r="M33" s="626">
        <f t="shared" si="2"/>
        <v>0</v>
      </c>
      <c r="N33" s="625">
        <f t="array" ref="N33">IFERROR(INDEX('TB-Pharmaceuticals'!$O$14:$O$33,MATCH($E33&amp;$F33,'TB-Pharmaceuticals'!$D$14:$D$33&amp;'TB-Pharmaceuticals'!$G$14:$G$33,0)),0)</f>
        <v>0</v>
      </c>
      <c r="O33" s="626">
        <f t="shared" si="3"/>
        <v>0</v>
      </c>
      <c r="P33" s="626">
        <f t="shared" si="4"/>
        <v>0</v>
      </c>
      <c r="Q33" s="626">
        <f t="shared" si="5"/>
        <v>0</v>
      </c>
      <c r="R33" s="625">
        <f t="array" ref="R33">IFERROR(INDEX('TB-Pharmaceuticals'!$P$14:$P$33,MATCH($E33&amp;$F33,'TB-Pharmaceuticals'!$D$14:$D$33&amp;'TB-Pharmaceuticals'!$G$14:$G$33,0)),0)</f>
        <v>0</v>
      </c>
      <c r="S33" s="626">
        <f t="shared" si="6"/>
        <v>0</v>
      </c>
      <c r="T33" s="626">
        <f t="shared" si="7"/>
        <v>0</v>
      </c>
      <c r="U33" s="626">
        <f t="shared" si="8"/>
        <v>0</v>
      </c>
      <c r="V33" s="625">
        <f t="array" ref="V33">IFERROR(INDEX('TB-Pharmaceuticals'!$Q$14:$Q$33,MATCH($E33&amp;$F33,'TB-Pharmaceuticals'!$D$14:$D$33&amp;'TB-Pharmaceuticals'!$G$14:$G$33,0)),0)</f>
        <v>0</v>
      </c>
      <c r="W33" s="626">
        <f t="shared" si="9"/>
        <v>0</v>
      </c>
      <c r="X33" s="626">
        <f t="shared" si="10"/>
        <v>0</v>
      </c>
      <c r="Y33" s="626">
        <f t="shared" si="11"/>
        <v>0</v>
      </c>
      <c r="Z33" s="627"/>
      <c r="AA33" s="625">
        <f t="array" ref="AA33">IFERROR(INDEX('TB-Pharmaceuticals'!$T$14:$T$33,MATCH($E33&amp;$F33,'TB-Pharmaceuticals'!$D$14:$D$33&amp;'TB-Pharmaceuticals'!$G$14:$G$33,0)),0)</f>
        <v>0</v>
      </c>
      <c r="AB33" s="625">
        <f t="array" ref="AB33">IFERROR(INDEX('TB-Pharmaceuticals'!$U$14:$U$33,MATCH($E33&amp;$F33,'TB-Pharmaceuticals'!$D$14:$D$33&amp;'TB-Pharmaceuticals'!$G$14:$G$33,0)),0)</f>
        <v>0</v>
      </c>
      <c r="AC33" s="626">
        <f t="shared" si="12"/>
        <v>0</v>
      </c>
      <c r="AD33" s="626">
        <f t="shared" si="13"/>
        <v>0</v>
      </c>
      <c r="AE33" s="626">
        <f t="shared" si="14"/>
        <v>0</v>
      </c>
      <c r="AF33" s="625">
        <f t="array" ref="AF33">IFERROR(INDEX('TB-Pharmaceuticals'!$V$14:$V$33,MATCH($E33&amp;$F33,'TB-Pharmaceuticals'!$D$14:$D$33&amp;'TB-Pharmaceuticals'!$G$14:$G$33,0)),0)</f>
        <v>0</v>
      </c>
      <c r="AG33" s="626">
        <f t="shared" si="15"/>
        <v>0</v>
      </c>
      <c r="AH33" s="626">
        <f t="shared" si="16"/>
        <v>0</v>
      </c>
      <c r="AI33" s="626">
        <f t="shared" si="17"/>
        <v>0</v>
      </c>
      <c r="AJ33" s="625">
        <f t="array" ref="AJ33">IFERROR(INDEX('TB-Pharmaceuticals'!$W$14:$W$33,MATCH($E33&amp;$F33,'TB-Pharmaceuticals'!$D$14:$D$33&amp;'TB-Pharmaceuticals'!$G$14:$G$33,0)),0)</f>
        <v>0</v>
      </c>
      <c r="AK33" s="626">
        <f t="shared" si="18"/>
        <v>0</v>
      </c>
      <c r="AL33" s="626">
        <f t="shared" si="19"/>
        <v>0</v>
      </c>
      <c r="AM33" s="626">
        <f t="shared" si="20"/>
        <v>0</v>
      </c>
      <c r="AN33" s="625">
        <f t="array" ref="AN33">IFERROR(INDEX('TB-Pharmaceuticals'!$X$14:$X$33,MATCH($E33&amp;$F33,'TB-Pharmaceuticals'!$D$14:$D$33&amp;'TB-Pharmaceuticals'!$G$14:$G$33,0)),0)</f>
        <v>0</v>
      </c>
      <c r="AO33" s="626">
        <f t="shared" si="21"/>
        <v>0</v>
      </c>
      <c r="AP33" s="626">
        <f t="shared" si="22"/>
        <v>0</v>
      </c>
      <c r="AQ33" s="626">
        <f t="shared" si="23"/>
        <v>0</v>
      </c>
      <c r="AR33" s="627"/>
      <c r="AS33" s="625">
        <f t="array" ref="AS33">IFERROR(INDEX('TB-Pharmaceuticals'!$AA$14:$AA$33,MATCH($E33&amp;$F33,'TB-Pharmaceuticals'!$D$14:$D$33&amp;'TB-Pharmaceuticals'!$G$14:$G$33,0)),0)</f>
        <v>0</v>
      </c>
      <c r="AT33" s="625">
        <f t="array" ref="AT33">IFERROR(INDEX('TB-Pharmaceuticals'!$AB$14:$AB$33,MATCH($E33&amp;$F33,'TB-Pharmaceuticals'!$D$14:$D$33&amp;'TB-Pharmaceuticals'!$G$14:$G$33,0)),0)</f>
        <v>0</v>
      </c>
      <c r="AU33" s="626">
        <f t="shared" si="24"/>
        <v>0</v>
      </c>
      <c r="AV33" s="626">
        <f t="shared" si="25"/>
        <v>0</v>
      </c>
      <c r="AW33" s="626">
        <f t="shared" si="26"/>
        <v>0</v>
      </c>
      <c r="AX33" s="625">
        <f t="array" ref="AX33">IFERROR(INDEX('TB-Pharmaceuticals'!$AC$14:$AC$33,MATCH($E33&amp;$F33,'TB-Pharmaceuticals'!$D$14:$D$33&amp;'TB-Pharmaceuticals'!$G$14:$G$33,0)),0)</f>
        <v>0</v>
      </c>
      <c r="AY33" s="626">
        <f t="shared" si="27"/>
        <v>0</v>
      </c>
      <c r="AZ33" s="626">
        <f t="shared" si="28"/>
        <v>0</v>
      </c>
      <c r="BA33" s="626">
        <f t="shared" si="29"/>
        <v>0</v>
      </c>
      <c r="BB33" s="625">
        <f t="array" ref="BB33">IFERROR(INDEX('TB-Pharmaceuticals'!$AD$14:$AD$33,MATCH($E33&amp;$F33,'TB-Pharmaceuticals'!$D$14:$D$33&amp;'TB-Pharmaceuticals'!$G$14:$G$33,0)),0)</f>
        <v>0</v>
      </c>
      <c r="BC33" s="626">
        <f t="shared" si="30"/>
        <v>0</v>
      </c>
      <c r="BD33" s="626">
        <f t="shared" si="31"/>
        <v>0</v>
      </c>
      <c r="BE33" s="626">
        <f t="shared" si="32"/>
        <v>0</v>
      </c>
      <c r="BF33" s="625">
        <f t="array" ref="BF33">IFERROR(INDEX('TB-Pharmaceuticals'!$AE$14:$AE$33,MATCH($E33&amp;$F33,'TB-Pharmaceuticals'!$D$14:$D$33&amp;'TB-Pharmaceuticals'!$G$14:$G$33,0)),0)</f>
        <v>0</v>
      </c>
      <c r="BG33" s="626">
        <f t="shared" si="33"/>
        <v>0</v>
      </c>
      <c r="BH33" s="626">
        <f t="shared" si="34"/>
        <v>0</v>
      </c>
      <c r="BI33" s="626">
        <f t="shared" si="35"/>
        <v>0</v>
      </c>
      <c r="BK33" s="626"/>
      <c r="BL33" s="626"/>
      <c r="BM33" s="626"/>
      <c r="BN33" s="626"/>
      <c r="BO33" s="626"/>
      <c r="BP33" s="626"/>
      <c r="BQ33" s="626"/>
      <c r="BR33" s="626"/>
    </row>
    <row r="34" spans="1:70">
      <c r="A34" s="32" t="s">
        <v>1541</v>
      </c>
      <c r="B34" s="32" t="s">
        <v>1737</v>
      </c>
      <c r="C34" s="619">
        <f>SETUP!$F$36</f>
        <v>0</v>
      </c>
      <c r="D34" s="31">
        <v>4.2</v>
      </c>
      <c r="E34" s="32" t="s">
        <v>304</v>
      </c>
      <c r="F34" s="32" t="s">
        <v>1262</v>
      </c>
      <c r="G34" s="625" t="str">
        <f t="array" ref="G34">IFERROR(INDEX('TB-Pharmaceuticals'!$K$14:$K$33,MATCH($E34&amp;$F34,'TB-Pharmaceuticals'!$D$14:$D$33&amp;'TB-Pharmaceuticals'!$G$14:$G$33,0)),"")</f>
        <v/>
      </c>
      <c r="H34" s="625" t="str">
        <f t="array" ref="H34">IFERROR(INDEX('TB-Pharmaceuticals'!$L$14:$L$33,MATCH($E34&amp;$F34,'TB-Pharmaceuticals'!$D$14:$D$33&amp;'TB-Pharmaceuticals'!$G$14:$G$33,0)),"")</f>
        <v/>
      </c>
      <c r="I34" s="625">
        <f t="array" ref="I34">IFERROR(INDEX('TB-Pharmaceuticals'!$M$14:$M$33,MATCH($E34&amp;$F34,'TB-Pharmaceuticals'!$D$14:$D$33&amp;'TB-Pharmaceuticals'!$G$14:$G$33,0)),0)</f>
        <v>0</v>
      </c>
      <c r="J34" s="625">
        <f t="array" ref="J34">IFERROR(INDEX('TB-Pharmaceuticals'!$N$14:$N$33,MATCH($E34&amp;$F34,'TB-Pharmaceuticals'!$D$14:$D$33&amp;'TB-Pharmaceuticals'!$G$14:$G$33,0)),0)</f>
        <v>0</v>
      </c>
      <c r="K34" s="626">
        <f t="shared" si="0"/>
        <v>0</v>
      </c>
      <c r="L34" s="626">
        <f t="shared" si="1"/>
        <v>0</v>
      </c>
      <c r="M34" s="626">
        <f t="shared" si="2"/>
        <v>0</v>
      </c>
      <c r="N34" s="625">
        <f t="array" ref="N34">IFERROR(INDEX('TB-Pharmaceuticals'!$O$14:$O$33,MATCH($E34&amp;$F34,'TB-Pharmaceuticals'!$D$14:$D$33&amp;'TB-Pharmaceuticals'!$G$14:$G$33,0)),0)</f>
        <v>0</v>
      </c>
      <c r="O34" s="626">
        <f t="shared" si="3"/>
        <v>0</v>
      </c>
      <c r="P34" s="626">
        <f t="shared" si="4"/>
        <v>0</v>
      </c>
      <c r="Q34" s="626">
        <f t="shared" si="5"/>
        <v>0</v>
      </c>
      <c r="R34" s="625">
        <f t="array" ref="R34">IFERROR(INDEX('TB-Pharmaceuticals'!$P$14:$P$33,MATCH($E34&amp;$F34,'TB-Pharmaceuticals'!$D$14:$D$33&amp;'TB-Pharmaceuticals'!$G$14:$G$33,0)),0)</f>
        <v>0</v>
      </c>
      <c r="S34" s="626">
        <f t="shared" si="6"/>
        <v>0</v>
      </c>
      <c r="T34" s="626">
        <f t="shared" si="7"/>
        <v>0</v>
      </c>
      <c r="U34" s="626">
        <f t="shared" si="8"/>
        <v>0</v>
      </c>
      <c r="V34" s="625">
        <f t="array" ref="V34">IFERROR(INDEX('TB-Pharmaceuticals'!$Q$14:$Q$33,MATCH($E34&amp;$F34,'TB-Pharmaceuticals'!$D$14:$D$33&amp;'TB-Pharmaceuticals'!$G$14:$G$33,0)),0)</f>
        <v>0</v>
      </c>
      <c r="W34" s="626">
        <f t="shared" si="9"/>
        <v>0</v>
      </c>
      <c r="X34" s="626">
        <f t="shared" si="10"/>
        <v>0</v>
      </c>
      <c r="Y34" s="626">
        <f t="shared" si="11"/>
        <v>0</v>
      </c>
      <c r="Z34" s="627"/>
      <c r="AA34" s="625">
        <f t="array" ref="AA34">IFERROR(INDEX('TB-Pharmaceuticals'!$T$14:$T$33,MATCH($E34&amp;$F34,'TB-Pharmaceuticals'!$D$14:$D$33&amp;'TB-Pharmaceuticals'!$G$14:$G$33,0)),0)</f>
        <v>0</v>
      </c>
      <c r="AB34" s="625">
        <f t="array" ref="AB34">IFERROR(INDEX('TB-Pharmaceuticals'!$U$14:$U$33,MATCH($E34&amp;$F34,'TB-Pharmaceuticals'!$D$14:$D$33&amp;'TB-Pharmaceuticals'!$G$14:$G$33,0)),0)</f>
        <v>0</v>
      </c>
      <c r="AC34" s="626">
        <f t="shared" si="12"/>
        <v>0</v>
      </c>
      <c r="AD34" s="626">
        <f t="shared" si="13"/>
        <v>0</v>
      </c>
      <c r="AE34" s="626">
        <f t="shared" si="14"/>
        <v>0</v>
      </c>
      <c r="AF34" s="625">
        <f t="array" ref="AF34">IFERROR(INDEX('TB-Pharmaceuticals'!$V$14:$V$33,MATCH($E34&amp;$F34,'TB-Pharmaceuticals'!$D$14:$D$33&amp;'TB-Pharmaceuticals'!$G$14:$G$33,0)),0)</f>
        <v>0</v>
      </c>
      <c r="AG34" s="626">
        <f t="shared" si="15"/>
        <v>0</v>
      </c>
      <c r="AH34" s="626">
        <f t="shared" si="16"/>
        <v>0</v>
      </c>
      <c r="AI34" s="626">
        <f t="shared" si="17"/>
        <v>0</v>
      </c>
      <c r="AJ34" s="625">
        <f t="array" ref="AJ34">IFERROR(INDEX('TB-Pharmaceuticals'!$W$14:$W$33,MATCH($E34&amp;$F34,'TB-Pharmaceuticals'!$D$14:$D$33&amp;'TB-Pharmaceuticals'!$G$14:$G$33,0)),0)</f>
        <v>0</v>
      </c>
      <c r="AK34" s="626">
        <f t="shared" si="18"/>
        <v>0</v>
      </c>
      <c r="AL34" s="626">
        <f t="shared" si="19"/>
        <v>0</v>
      </c>
      <c r="AM34" s="626">
        <f t="shared" si="20"/>
        <v>0</v>
      </c>
      <c r="AN34" s="625">
        <f t="array" ref="AN34">IFERROR(INDEX('TB-Pharmaceuticals'!$X$14:$X$33,MATCH($E34&amp;$F34,'TB-Pharmaceuticals'!$D$14:$D$33&amp;'TB-Pharmaceuticals'!$G$14:$G$33,0)),0)</f>
        <v>0</v>
      </c>
      <c r="AO34" s="626">
        <f t="shared" si="21"/>
        <v>0</v>
      </c>
      <c r="AP34" s="626">
        <f t="shared" si="22"/>
        <v>0</v>
      </c>
      <c r="AQ34" s="626">
        <f t="shared" si="23"/>
        <v>0</v>
      </c>
      <c r="AR34" s="627"/>
      <c r="AS34" s="625">
        <f t="array" ref="AS34">IFERROR(INDEX('TB-Pharmaceuticals'!$AA$14:$AA$33,MATCH($E34&amp;$F34,'TB-Pharmaceuticals'!$D$14:$D$33&amp;'TB-Pharmaceuticals'!$G$14:$G$33,0)),0)</f>
        <v>0</v>
      </c>
      <c r="AT34" s="625">
        <f t="array" ref="AT34">IFERROR(INDEX('TB-Pharmaceuticals'!$AB$14:$AB$33,MATCH($E34&amp;$F34,'TB-Pharmaceuticals'!$D$14:$D$33&amp;'TB-Pharmaceuticals'!$G$14:$G$33,0)),0)</f>
        <v>0</v>
      </c>
      <c r="AU34" s="626">
        <f t="shared" si="24"/>
        <v>0</v>
      </c>
      <c r="AV34" s="626">
        <f t="shared" si="25"/>
        <v>0</v>
      </c>
      <c r="AW34" s="626">
        <f t="shared" si="26"/>
        <v>0</v>
      </c>
      <c r="AX34" s="625">
        <f t="array" ref="AX34">IFERROR(INDEX('TB-Pharmaceuticals'!$AC$14:$AC$33,MATCH($E34&amp;$F34,'TB-Pharmaceuticals'!$D$14:$D$33&amp;'TB-Pharmaceuticals'!$G$14:$G$33,0)),0)</f>
        <v>0</v>
      </c>
      <c r="AY34" s="626">
        <f t="shared" si="27"/>
        <v>0</v>
      </c>
      <c r="AZ34" s="626">
        <f t="shared" si="28"/>
        <v>0</v>
      </c>
      <c r="BA34" s="626">
        <f t="shared" si="29"/>
        <v>0</v>
      </c>
      <c r="BB34" s="625">
        <f t="array" ref="BB34">IFERROR(INDEX('TB-Pharmaceuticals'!$AD$14:$AD$33,MATCH($E34&amp;$F34,'TB-Pharmaceuticals'!$D$14:$D$33&amp;'TB-Pharmaceuticals'!$G$14:$G$33,0)),0)</f>
        <v>0</v>
      </c>
      <c r="BC34" s="626">
        <f t="shared" si="30"/>
        <v>0</v>
      </c>
      <c r="BD34" s="626">
        <f t="shared" si="31"/>
        <v>0</v>
      </c>
      <c r="BE34" s="626">
        <f t="shared" si="32"/>
        <v>0</v>
      </c>
      <c r="BF34" s="625">
        <f t="array" ref="BF34">IFERROR(INDEX('TB-Pharmaceuticals'!$AE$14:$AE$33,MATCH($E34&amp;$F34,'TB-Pharmaceuticals'!$D$14:$D$33&amp;'TB-Pharmaceuticals'!$G$14:$G$33,0)),0)</f>
        <v>0</v>
      </c>
      <c r="BG34" s="626">
        <f t="shared" si="33"/>
        <v>0</v>
      </c>
      <c r="BH34" s="626">
        <f t="shared" si="34"/>
        <v>0</v>
      </c>
      <c r="BI34" s="626">
        <f t="shared" si="35"/>
        <v>0</v>
      </c>
      <c r="BK34" s="626"/>
      <c r="BL34" s="626"/>
      <c r="BM34" s="626"/>
      <c r="BN34" s="626"/>
      <c r="BO34" s="626"/>
      <c r="BP34" s="626"/>
      <c r="BQ34" s="626"/>
      <c r="BR34" s="626"/>
    </row>
    <row r="35" spans="1:70">
      <c r="A35" s="32" t="s">
        <v>1541</v>
      </c>
      <c r="B35" s="32" t="s">
        <v>1737</v>
      </c>
      <c r="C35" s="619">
        <f>SETUP!$F$36</f>
        <v>0</v>
      </c>
      <c r="D35" s="31">
        <v>4.2</v>
      </c>
      <c r="E35" s="32" t="s">
        <v>304</v>
      </c>
      <c r="F35" s="32" t="s">
        <v>1263</v>
      </c>
      <c r="G35" s="625" t="str">
        <f t="array" ref="G35">IFERROR(INDEX('TB-Pharmaceuticals'!$K$14:$K$33,MATCH($E35&amp;$F35,'TB-Pharmaceuticals'!$D$14:$D$33&amp;'TB-Pharmaceuticals'!$G$14:$G$33,0)),"")</f>
        <v/>
      </c>
      <c r="H35" s="625" t="str">
        <f t="array" ref="H35">IFERROR(INDEX('TB-Pharmaceuticals'!$L$14:$L$33,MATCH($E35&amp;$F35,'TB-Pharmaceuticals'!$D$14:$D$33&amp;'TB-Pharmaceuticals'!$G$14:$G$33,0)),"")</f>
        <v/>
      </c>
      <c r="I35" s="625">
        <f t="array" ref="I35">IFERROR(INDEX('TB-Pharmaceuticals'!$M$14:$M$33,MATCH($E35&amp;$F35,'TB-Pharmaceuticals'!$D$14:$D$33&amp;'TB-Pharmaceuticals'!$G$14:$G$33,0)),0)</f>
        <v>0</v>
      </c>
      <c r="J35" s="625">
        <f t="array" ref="J35">IFERROR(INDEX('TB-Pharmaceuticals'!$N$14:$N$33,MATCH($E35&amp;$F35,'TB-Pharmaceuticals'!$D$14:$D$33&amp;'TB-Pharmaceuticals'!$G$14:$G$33,0)),0)</f>
        <v>0</v>
      </c>
      <c r="K35" s="626">
        <f t="shared" si="0"/>
        <v>0</v>
      </c>
      <c r="L35" s="626">
        <f t="shared" si="1"/>
        <v>0</v>
      </c>
      <c r="M35" s="626">
        <f t="shared" si="2"/>
        <v>0</v>
      </c>
      <c r="N35" s="625">
        <f t="array" ref="N35">IFERROR(INDEX('TB-Pharmaceuticals'!$O$14:$O$33,MATCH($E35&amp;$F35,'TB-Pharmaceuticals'!$D$14:$D$33&amp;'TB-Pharmaceuticals'!$G$14:$G$33,0)),0)</f>
        <v>0</v>
      </c>
      <c r="O35" s="626">
        <f t="shared" si="3"/>
        <v>0</v>
      </c>
      <c r="P35" s="626">
        <f t="shared" si="4"/>
        <v>0</v>
      </c>
      <c r="Q35" s="626">
        <f t="shared" si="5"/>
        <v>0</v>
      </c>
      <c r="R35" s="625">
        <f t="array" ref="R35">IFERROR(INDEX('TB-Pharmaceuticals'!$P$14:$P$33,MATCH($E35&amp;$F35,'TB-Pharmaceuticals'!$D$14:$D$33&amp;'TB-Pharmaceuticals'!$G$14:$G$33,0)),0)</f>
        <v>0</v>
      </c>
      <c r="S35" s="626">
        <f t="shared" si="6"/>
        <v>0</v>
      </c>
      <c r="T35" s="626">
        <f t="shared" si="7"/>
        <v>0</v>
      </c>
      <c r="U35" s="626">
        <f t="shared" si="8"/>
        <v>0</v>
      </c>
      <c r="V35" s="625">
        <f t="array" ref="V35">IFERROR(INDEX('TB-Pharmaceuticals'!$Q$14:$Q$33,MATCH($E35&amp;$F35,'TB-Pharmaceuticals'!$D$14:$D$33&amp;'TB-Pharmaceuticals'!$G$14:$G$33,0)),0)</f>
        <v>0</v>
      </c>
      <c r="W35" s="626">
        <f t="shared" si="9"/>
        <v>0</v>
      </c>
      <c r="X35" s="626">
        <f t="shared" si="10"/>
        <v>0</v>
      </c>
      <c r="Y35" s="626">
        <f t="shared" si="11"/>
        <v>0</v>
      </c>
      <c r="Z35" s="627"/>
      <c r="AA35" s="625">
        <f t="array" ref="AA35">IFERROR(INDEX('TB-Pharmaceuticals'!$T$14:$T$33,MATCH($E35&amp;$F35,'TB-Pharmaceuticals'!$D$14:$D$33&amp;'TB-Pharmaceuticals'!$G$14:$G$33,0)),0)</f>
        <v>0</v>
      </c>
      <c r="AB35" s="625">
        <f t="array" ref="AB35">IFERROR(INDEX('TB-Pharmaceuticals'!$U$14:$U$33,MATCH($E35&amp;$F35,'TB-Pharmaceuticals'!$D$14:$D$33&amp;'TB-Pharmaceuticals'!$G$14:$G$33,0)),0)</f>
        <v>0</v>
      </c>
      <c r="AC35" s="626">
        <f t="shared" si="12"/>
        <v>0</v>
      </c>
      <c r="AD35" s="626">
        <f t="shared" si="13"/>
        <v>0</v>
      </c>
      <c r="AE35" s="626">
        <f t="shared" si="14"/>
        <v>0</v>
      </c>
      <c r="AF35" s="625">
        <f t="array" ref="AF35">IFERROR(INDEX('TB-Pharmaceuticals'!$V$14:$V$33,MATCH($E35&amp;$F35,'TB-Pharmaceuticals'!$D$14:$D$33&amp;'TB-Pharmaceuticals'!$G$14:$G$33,0)),0)</f>
        <v>0</v>
      </c>
      <c r="AG35" s="626">
        <f t="shared" si="15"/>
        <v>0</v>
      </c>
      <c r="AH35" s="626">
        <f t="shared" si="16"/>
        <v>0</v>
      </c>
      <c r="AI35" s="626">
        <f t="shared" si="17"/>
        <v>0</v>
      </c>
      <c r="AJ35" s="625">
        <f t="array" ref="AJ35">IFERROR(INDEX('TB-Pharmaceuticals'!$W$14:$W$33,MATCH($E35&amp;$F35,'TB-Pharmaceuticals'!$D$14:$D$33&amp;'TB-Pharmaceuticals'!$G$14:$G$33,0)),0)</f>
        <v>0</v>
      </c>
      <c r="AK35" s="626">
        <f t="shared" si="18"/>
        <v>0</v>
      </c>
      <c r="AL35" s="626">
        <f t="shared" si="19"/>
        <v>0</v>
      </c>
      <c r="AM35" s="626">
        <f t="shared" si="20"/>
        <v>0</v>
      </c>
      <c r="AN35" s="625">
        <f t="array" ref="AN35">IFERROR(INDEX('TB-Pharmaceuticals'!$X$14:$X$33,MATCH($E35&amp;$F35,'TB-Pharmaceuticals'!$D$14:$D$33&amp;'TB-Pharmaceuticals'!$G$14:$G$33,0)),0)</f>
        <v>0</v>
      </c>
      <c r="AO35" s="626">
        <f t="shared" si="21"/>
        <v>0</v>
      </c>
      <c r="AP35" s="626">
        <f t="shared" si="22"/>
        <v>0</v>
      </c>
      <c r="AQ35" s="626">
        <f t="shared" si="23"/>
        <v>0</v>
      </c>
      <c r="AR35" s="627"/>
      <c r="AS35" s="625">
        <f t="array" ref="AS35">IFERROR(INDEX('TB-Pharmaceuticals'!$AA$14:$AA$33,MATCH($E35&amp;$F35,'TB-Pharmaceuticals'!$D$14:$D$33&amp;'TB-Pharmaceuticals'!$G$14:$G$33,0)),0)</f>
        <v>0</v>
      </c>
      <c r="AT35" s="625">
        <f t="array" ref="AT35">IFERROR(INDEX('TB-Pharmaceuticals'!$AB$14:$AB$33,MATCH($E35&amp;$F35,'TB-Pharmaceuticals'!$D$14:$D$33&amp;'TB-Pharmaceuticals'!$G$14:$G$33,0)),0)</f>
        <v>0</v>
      </c>
      <c r="AU35" s="626">
        <f t="shared" si="24"/>
        <v>0</v>
      </c>
      <c r="AV35" s="626">
        <f t="shared" si="25"/>
        <v>0</v>
      </c>
      <c r="AW35" s="626">
        <f t="shared" si="26"/>
        <v>0</v>
      </c>
      <c r="AX35" s="625">
        <f t="array" ref="AX35">IFERROR(INDEX('TB-Pharmaceuticals'!$AC$14:$AC$33,MATCH($E35&amp;$F35,'TB-Pharmaceuticals'!$D$14:$D$33&amp;'TB-Pharmaceuticals'!$G$14:$G$33,0)),0)</f>
        <v>0</v>
      </c>
      <c r="AY35" s="626">
        <f t="shared" si="27"/>
        <v>0</v>
      </c>
      <c r="AZ35" s="626">
        <f t="shared" si="28"/>
        <v>0</v>
      </c>
      <c r="BA35" s="626">
        <f t="shared" si="29"/>
        <v>0</v>
      </c>
      <c r="BB35" s="625">
        <f t="array" ref="BB35">IFERROR(INDEX('TB-Pharmaceuticals'!$AD$14:$AD$33,MATCH($E35&amp;$F35,'TB-Pharmaceuticals'!$D$14:$D$33&amp;'TB-Pharmaceuticals'!$G$14:$G$33,0)),0)</f>
        <v>0</v>
      </c>
      <c r="BC35" s="626">
        <f t="shared" si="30"/>
        <v>0</v>
      </c>
      <c r="BD35" s="626">
        <f t="shared" si="31"/>
        <v>0</v>
      </c>
      <c r="BE35" s="626">
        <f t="shared" si="32"/>
        <v>0</v>
      </c>
      <c r="BF35" s="625">
        <f t="array" ref="BF35">IFERROR(INDEX('TB-Pharmaceuticals'!$AE$14:$AE$33,MATCH($E35&amp;$F35,'TB-Pharmaceuticals'!$D$14:$D$33&amp;'TB-Pharmaceuticals'!$G$14:$G$33,0)),0)</f>
        <v>0</v>
      </c>
      <c r="BG35" s="626">
        <f t="shared" si="33"/>
        <v>0</v>
      </c>
      <c r="BH35" s="626">
        <f t="shared" si="34"/>
        <v>0</v>
      </c>
      <c r="BI35" s="626">
        <f t="shared" si="35"/>
        <v>0</v>
      </c>
      <c r="BK35" s="626"/>
      <c r="BL35" s="626"/>
      <c r="BM35" s="626"/>
      <c r="BN35" s="626"/>
      <c r="BO35" s="626"/>
      <c r="BP35" s="626"/>
      <c r="BQ35" s="626"/>
      <c r="BR35" s="626"/>
    </row>
    <row r="36" spans="1:70">
      <c r="A36" s="32" t="s">
        <v>1541</v>
      </c>
      <c r="B36" s="32" t="s">
        <v>1737</v>
      </c>
      <c r="C36" s="619">
        <f>SETUP!$F$36</f>
        <v>0</v>
      </c>
      <c r="D36" s="31">
        <v>4.2</v>
      </c>
      <c r="E36" s="32" t="s">
        <v>304</v>
      </c>
      <c r="F36" s="32" t="s">
        <v>1270</v>
      </c>
      <c r="G36" s="625" t="str">
        <f t="array" ref="G36">IFERROR(INDEX('TB-Pharmaceuticals'!$K$14:$K$33,MATCH($E36&amp;$F36,'TB-Pharmaceuticals'!$D$14:$D$33&amp;'TB-Pharmaceuticals'!$G$14:$G$33,0)),"")</f>
        <v/>
      </c>
      <c r="H36" s="625" t="str">
        <f t="array" ref="H36">IFERROR(INDEX('TB-Pharmaceuticals'!$L$14:$L$33,MATCH($E36&amp;$F36,'TB-Pharmaceuticals'!$D$14:$D$33&amp;'TB-Pharmaceuticals'!$G$14:$G$33,0)),"")</f>
        <v/>
      </c>
      <c r="I36" s="625">
        <f t="array" ref="I36">IFERROR(INDEX('TB-Pharmaceuticals'!$M$14:$M$33,MATCH($E36&amp;$F36,'TB-Pharmaceuticals'!$D$14:$D$33&amp;'TB-Pharmaceuticals'!$G$14:$G$33,0)),0)</f>
        <v>0</v>
      </c>
      <c r="J36" s="625">
        <f t="array" ref="J36">IFERROR(INDEX('TB-Pharmaceuticals'!$N$14:$N$33,MATCH($E36&amp;$F36,'TB-Pharmaceuticals'!$D$14:$D$33&amp;'TB-Pharmaceuticals'!$G$14:$G$33,0)),0)</f>
        <v>0</v>
      </c>
      <c r="K36" s="626">
        <f t="shared" si="0"/>
        <v>0</v>
      </c>
      <c r="L36" s="626">
        <f t="shared" si="1"/>
        <v>0</v>
      </c>
      <c r="M36" s="626">
        <f t="shared" si="2"/>
        <v>0</v>
      </c>
      <c r="N36" s="625">
        <f t="array" ref="N36">IFERROR(INDEX('TB-Pharmaceuticals'!$O$14:$O$33,MATCH($E36&amp;$F36,'TB-Pharmaceuticals'!$D$14:$D$33&amp;'TB-Pharmaceuticals'!$G$14:$G$33,0)),0)</f>
        <v>0</v>
      </c>
      <c r="O36" s="626">
        <f t="shared" si="3"/>
        <v>0</v>
      </c>
      <c r="P36" s="626">
        <f t="shared" si="4"/>
        <v>0</v>
      </c>
      <c r="Q36" s="626">
        <f t="shared" si="5"/>
        <v>0</v>
      </c>
      <c r="R36" s="625">
        <f t="array" ref="R36">IFERROR(INDEX('TB-Pharmaceuticals'!$P$14:$P$33,MATCH($E36&amp;$F36,'TB-Pharmaceuticals'!$D$14:$D$33&amp;'TB-Pharmaceuticals'!$G$14:$G$33,0)),0)</f>
        <v>0</v>
      </c>
      <c r="S36" s="626">
        <f t="shared" si="6"/>
        <v>0</v>
      </c>
      <c r="T36" s="626">
        <f t="shared" si="7"/>
        <v>0</v>
      </c>
      <c r="U36" s="626">
        <f t="shared" si="8"/>
        <v>0</v>
      </c>
      <c r="V36" s="625">
        <f t="array" ref="V36">IFERROR(INDEX('TB-Pharmaceuticals'!$Q$14:$Q$33,MATCH($E36&amp;$F36,'TB-Pharmaceuticals'!$D$14:$D$33&amp;'TB-Pharmaceuticals'!$G$14:$G$33,0)),0)</f>
        <v>0</v>
      </c>
      <c r="W36" s="626">
        <f t="shared" si="9"/>
        <v>0</v>
      </c>
      <c r="X36" s="626">
        <f t="shared" si="10"/>
        <v>0</v>
      </c>
      <c r="Y36" s="626">
        <f t="shared" si="11"/>
        <v>0</v>
      </c>
      <c r="Z36" s="627"/>
      <c r="AA36" s="625">
        <f t="array" ref="AA36">IFERROR(INDEX('TB-Pharmaceuticals'!$T$14:$T$33,MATCH($E36&amp;$F36,'TB-Pharmaceuticals'!$D$14:$D$33&amp;'TB-Pharmaceuticals'!$G$14:$G$33,0)),0)</f>
        <v>0</v>
      </c>
      <c r="AB36" s="625">
        <f t="array" ref="AB36">IFERROR(INDEX('TB-Pharmaceuticals'!$U$14:$U$33,MATCH($E36&amp;$F36,'TB-Pharmaceuticals'!$D$14:$D$33&amp;'TB-Pharmaceuticals'!$G$14:$G$33,0)),0)</f>
        <v>0</v>
      </c>
      <c r="AC36" s="626">
        <f t="shared" si="12"/>
        <v>0</v>
      </c>
      <c r="AD36" s="626">
        <f t="shared" si="13"/>
        <v>0</v>
      </c>
      <c r="AE36" s="626">
        <f t="shared" si="14"/>
        <v>0</v>
      </c>
      <c r="AF36" s="625">
        <f t="array" ref="AF36">IFERROR(INDEX('TB-Pharmaceuticals'!$V$14:$V$33,MATCH($E36&amp;$F36,'TB-Pharmaceuticals'!$D$14:$D$33&amp;'TB-Pharmaceuticals'!$G$14:$G$33,0)),0)</f>
        <v>0</v>
      </c>
      <c r="AG36" s="626">
        <f t="shared" si="15"/>
        <v>0</v>
      </c>
      <c r="AH36" s="626">
        <f t="shared" si="16"/>
        <v>0</v>
      </c>
      <c r="AI36" s="626">
        <f t="shared" si="17"/>
        <v>0</v>
      </c>
      <c r="AJ36" s="625">
        <f t="array" ref="AJ36">IFERROR(INDEX('TB-Pharmaceuticals'!$W$14:$W$33,MATCH($E36&amp;$F36,'TB-Pharmaceuticals'!$D$14:$D$33&amp;'TB-Pharmaceuticals'!$G$14:$G$33,0)),0)</f>
        <v>0</v>
      </c>
      <c r="AK36" s="626">
        <f t="shared" si="18"/>
        <v>0</v>
      </c>
      <c r="AL36" s="626">
        <f t="shared" si="19"/>
        <v>0</v>
      </c>
      <c r="AM36" s="626">
        <f t="shared" si="20"/>
        <v>0</v>
      </c>
      <c r="AN36" s="625">
        <f t="array" ref="AN36">IFERROR(INDEX('TB-Pharmaceuticals'!$X$14:$X$33,MATCH($E36&amp;$F36,'TB-Pharmaceuticals'!$D$14:$D$33&amp;'TB-Pharmaceuticals'!$G$14:$G$33,0)),0)</f>
        <v>0</v>
      </c>
      <c r="AO36" s="626">
        <f t="shared" si="21"/>
        <v>0</v>
      </c>
      <c r="AP36" s="626">
        <f t="shared" si="22"/>
        <v>0</v>
      </c>
      <c r="AQ36" s="626">
        <f t="shared" si="23"/>
        <v>0</v>
      </c>
      <c r="AR36" s="627"/>
      <c r="AS36" s="625">
        <f t="array" ref="AS36">IFERROR(INDEX('TB-Pharmaceuticals'!$AA$14:$AA$33,MATCH($E36&amp;$F36,'TB-Pharmaceuticals'!$D$14:$D$33&amp;'TB-Pharmaceuticals'!$G$14:$G$33,0)),0)</f>
        <v>0</v>
      </c>
      <c r="AT36" s="625">
        <f t="array" ref="AT36">IFERROR(INDEX('TB-Pharmaceuticals'!$AB$14:$AB$33,MATCH($E36&amp;$F36,'TB-Pharmaceuticals'!$D$14:$D$33&amp;'TB-Pharmaceuticals'!$G$14:$G$33,0)),0)</f>
        <v>0</v>
      </c>
      <c r="AU36" s="626">
        <f t="shared" si="24"/>
        <v>0</v>
      </c>
      <c r="AV36" s="626">
        <f t="shared" si="25"/>
        <v>0</v>
      </c>
      <c r="AW36" s="626">
        <f t="shared" si="26"/>
        <v>0</v>
      </c>
      <c r="AX36" s="625">
        <f t="array" ref="AX36">IFERROR(INDEX('TB-Pharmaceuticals'!$AC$14:$AC$33,MATCH($E36&amp;$F36,'TB-Pharmaceuticals'!$D$14:$D$33&amp;'TB-Pharmaceuticals'!$G$14:$G$33,0)),0)</f>
        <v>0</v>
      </c>
      <c r="AY36" s="626">
        <f t="shared" si="27"/>
        <v>0</v>
      </c>
      <c r="AZ36" s="626">
        <f t="shared" si="28"/>
        <v>0</v>
      </c>
      <c r="BA36" s="626">
        <f t="shared" si="29"/>
        <v>0</v>
      </c>
      <c r="BB36" s="625">
        <f t="array" ref="BB36">IFERROR(INDEX('TB-Pharmaceuticals'!$AD$14:$AD$33,MATCH($E36&amp;$F36,'TB-Pharmaceuticals'!$D$14:$D$33&amp;'TB-Pharmaceuticals'!$G$14:$G$33,0)),0)</f>
        <v>0</v>
      </c>
      <c r="BC36" s="626">
        <f t="shared" si="30"/>
        <v>0</v>
      </c>
      <c r="BD36" s="626">
        <f t="shared" si="31"/>
        <v>0</v>
      </c>
      <c r="BE36" s="626">
        <f t="shared" si="32"/>
        <v>0</v>
      </c>
      <c r="BF36" s="625">
        <f t="array" ref="BF36">IFERROR(INDEX('TB-Pharmaceuticals'!$AE$14:$AE$33,MATCH($E36&amp;$F36,'TB-Pharmaceuticals'!$D$14:$D$33&amp;'TB-Pharmaceuticals'!$G$14:$G$33,0)),0)</f>
        <v>0</v>
      </c>
      <c r="BG36" s="626">
        <f t="shared" si="33"/>
        <v>0</v>
      </c>
      <c r="BH36" s="626">
        <f t="shared" si="34"/>
        <v>0</v>
      </c>
      <c r="BI36" s="626">
        <f t="shared" si="35"/>
        <v>0</v>
      </c>
      <c r="BK36" s="626"/>
      <c r="BL36" s="626"/>
      <c r="BM36" s="626"/>
      <c r="BN36" s="626"/>
      <c r="BO36" s="626"/>
      <c r="BP36" s="626"/>
      <c r="BQ36" s="626"/>
      <c r="BR36" s="626"/>
    </row>
    <row r="37" spans="1:70">
      <c r="A37" s="32" t="s">
        <v>1541</v>
      </c>
      <c r="B37" s="32" t="s">
        <v>1737</v>
      </c>
      <c r="C37" s="619">
        <f>SETUP!$F$36</f>
        <v>0</v>
      </c>
      <c r="D37" s="31">
        <v>4.2</v>
      </c>
      <c r="E37" s="32" t="s">
        <v>1258</v>
      </c>
      <c r="F37" s="32" t="s">
        <v>1140</v>
      </c>
      <c r="G37" s="625" t="str">
        <f t="array" ref="G37">IFERROR(INDEX('TB-Pharmaceuticals'!$K$14:$K$33,MATCH($E37&amp;$F37,'TB-Pharmaceuticals'!$D$14:$D$33&amp;'TB-Pharmaceuticals'!$G$14:$G$33,0)),"")</f>
        <v/>
      </c>
      <c r="H37" s="625" t="str">
        <f t="array" ref="H37">IFERROR(INDEX('TB-Pharmaceuticals'!$L$14:$L$33,MATCH($E37&amp;$F37,'TB-Pharmaceuticals'!$D$14:$D$33&amp;'TB-Pharmaceuticals'!$G$14:$G$33,0)),"")</f>
        <v/>
      </c>
      <c r="I37" s="625">
        <f t="array" ref="I37">IFERROR(INDEX('TB-Pharmaceuticals'!$M$14:$M$33,MATCH($E37&amp;$F37,'TB-Pharmaceuticals'!$D$14:$D$33&amp;'TB-Pharmaceuticals'!$G$14:$G$33,0)),0)</f>
        <v>0</v>
      </c>
      <c r="J37" s="625">
        <f t="array" ref="J37">IFERROR(INDEX('TB-Pharmaceuticals'!$N$14:$N$33,MATCH($E37&amp;$F37,'TB-Pharmaceuticals'!$D$14:$D$33&amp;'TB-Pharmaceuticals'!$G$14:$G$33,0)),0)</f>
        <v>0</v>
      </c>
      <c r="K37" s="626">
        <f t="shared" si="0"/>
        <v>0</v>
      </c>
      <c r="L37" s="626">
        <f t="shared" si="1"/>
        <v>0</v>
      </c>
      <c r="M37" s="626">
        <f t="shared" si="2"/>
        <v>0</v>
      </c>
      <c r="N37" s="625">
        <f t="array" ref="N37">IFERROR(INDEX('TB-Pharmaceuticals'!$O$14:$O$33,MATCH($E37&amp;$F37,'TB-Pharmaceuticals'!$D$14:$D$33&amp;'TB-Pharmaceuticals'!$G$14:$G$33,0)),0)</f>
        <v>0</v>
      </c>
      <c r="O37" s="626">
        <f t="shared" si="3"/>
        <v>0</v>
      </c>
      <c r="P37" s="626">
        <f t="shared" si="4"/>
        <v>0</v>
      </c>
      <c r="Q37" s="626">
        <f t="shared" si="5"/>
        <v>0</v>
      </c>
      <c r="R37" s="625">
        <f t="array" ref="R37">IFERROR(INDEX('TB-Pharmaceuticals'!$P$14:$P$33,MATCH($E37&amp;$F37,'TB-Pharmaceuticals'!$D$14:$D$33&amp;'TB-Pharmaceuticals'!$G$14:$G$33,0)),0)</f>
        <v>0</v>
      </c>
      <c r="S37" s="626">
        <f t="shared" si="6"/>
        <v>0</v>
      </c>
      <c r="T37" s="626">
        <f t="shared" si="7"/>
        <v>0</v>
      </c>
      <c r="U37" s="626">
        <f t="shared" si="8"/>
        <v>0</v>
      </c>
      <c r="V37" s="625">
        <f t="array" ref="V37">IFERROR(INDEX('TB-Pharmaceuticals'!$Q$14:$Q$33,MATCH($E37&amp;$F37,'TB-Pharmaceuticals'!$D$14:$D$33&amp;'TB-Pharmaceuticals'!$G$14:$G$33,0)),0)</f>
        <v>0</v>
      </c>
      <c r="W37" s="626">
        <f t="shared" si="9"/>
        <v>0</v>
      </c>
      <c r="X37" s="626">
        <f t="shared" si="10"/>
        <v>0</v>
      </c>
      <c r="Y37" s="626">
        <f t="shared" si="11"/>
        <v>0</v>
      </c>
      <c r="Z37" s="627"/>
      <c r="AA37" s="625">
        <f t="array" ref="AA37">IFERROR(INDEX('TB-Pharmaceuticals'!$T$14:$T$33,MATCH($E37&amp;$F37,'TB-Pharmaceuticals'!$D$14:$D$33&amp;'TB-Pharmaceuticals'!$G$14:$G$33,0)),0)</f>
        <v>0</v>
      </c>
      <c r="AB37" s="625">
        <f t="array" ref="AB37">IFERROR(INDEX('TB-Pharmaceuticals'!$U$14:$U$33,MATCH($E37&amp;$F37,'TB-Pharmaceuticals'!$D$14:$D$33&amp;'TB-Pharmaceuticals'!$G$14:$G$33,0)),0)</f>
        <v>0</v>
      </c>
      <c r="AC37" s="626">
        <f t="shared" si="12"/>
        <v>0</v>
      </c>
      <c r="AD37" s="626">
        <f t="shared" si="13"/>
        <v>0</v>
      </c>
      <c r="AE37" s="626">
        <f t="shared" si="14"/>
        <v>0</v>
      </c>
      <c r="AF37" s="625">
        <f t="array" ref="AF37">IFERROR(INDEX('TB-Pharmaceuticals'!$V$14:$V$33,MATCH($E37&amp;$F37,'TB-Pharmaceuticals'!$D$14:$D$33&amp;'TB-Pharmaceuticals'!$G$14:$G$33,0)),0)</f>
        <v>0</v>
      </c>
      <c r="AG37" s="626">
        <f t="shared" si="15"/>
        <v>0</v>
      </c>
      <c r="AH37" s="626">
        <f t="shared" si="16"/>
        <v>0</v>
      </c>
      <c r="AI37" s="626">
        <f t="shared" si="17"/>
        <v>0</v>
      </c>
      <c r="AJ37" s="625">
        <f t="array" ref="AJ37">IFERROR(INDEX('TB-Pharmaceuticals'!$W$14:$W$33,MATCH($E37&amp;$F37,'TB-Pharmaceuticals'!$D$14:$D$33&amp;'TB-Pharmaceuticals'!$G$14:$G$33,0)),0)</f>
        <v>0</v>
      </c>
      <c r="AK37" s="626">
        <f t="shared" si="18"/>
        <v>0</v>
      </c>
      <c r="AL37" s="626">
        <f t="shared" si="19"/>
        <v>0</v>
      </c>
      <c r="AM37" s="626">
        <f t="shared" si="20"/>
        <v>0</v>
      </c>
      <c r="AN37" s="625">
        <f t="array" ref="AN37">IFERROR(INDEX('TB-Pharmaceuticals'!$X$14:$X$33,MATCH($E37&amp;$F37,'TB-Pharmaceuticals'!$D$14:$D$33&amp;'TB-Pharmaceuticals'!$G$14:$G$33,0)),0)</f>
        <v>0</v>
      </c>
      <c r="AO37" s="626">
        <f t="shared" si="21"/>
        <v>0</v>
      </c>
      <c r="AP37" s="626">
        <f t="shared" si="22"/>
        <v>0</v>
      </c>
      <c r="AQ37" s="626">
        <f t="shared" si="23"/>
        <v>0</v>
      </c>
      <c r="AR37" s="627"/>
      <c r="AS37" s="625">
        <f t="array" ref="AS37">IFERROR(INDEX('TB-Pharmaceuticals'!$AA$14:$AA$33,MATCH($E37&amp;$F37,'TB-Pharmaceuticals'!$D$14:$D$33&amp;'TB-Pharmaceuticals'!$G$14:$G$33,0)),0)</f>
        <v>0</v>
      </c>
      <c r="AT37" s="625">
        <f t="array" ref="AT37">IFERROR(INDEX('TB-Pharmaceuticals'!$AB$14:$AB$33,MATCH($E37&amp;$F37,'TB-Pharmaceuticals'!$D$14:$D$33&amp;'TB-Pharmaceuticals'!$G$14:$G$33,0)),0)</f>
        <v>0</v>
      </c>
      <c r="AU37" s="626">
        <f t="shared" si="24"/>
        <v>0</v>
      </c>
      <c r="AV37" s="626">
        <f t="shared" si="25"/>
        <v>0</v>
      </c>
      <c r="AW37" s="626">
        <f t="shared" si="26"/>
        <v>0</v>
      </c>
      <c r="AX37" s="625">
        <f t="array" ref="AX37">IFERROR(INDEX('TB-Pharmaceuticals'!$AC$14:$AC$33,MATCH($E37&amp;$F37,'TB-Pharmaceuticals'!$D$14:$D$33&amp;'TB-Pharmaceuticals'!$G$14:$G$33,0)),0)</f>
        <v>0</v>
      </c>
      <c r="AY37" s="626">
        <f t="shared" si="27"/>
        <v>0</v>
      </c>
      <c r="AZ37" s="626">
        <f t="shared" si="28"/>
        <v>0</v>
      </c>
      <c r="BA37" s="626">
        <f t="shared" si="29"/>
        <v>0</v>
      </c>
      <c r="BB37" s="625">
        <f t="array" ref="BB37">IFERROR(INDEX('TB-Pharmaceuticals'!$AD$14:$AD$33,MATCH($E37&amp;$F37,'TB-Pharmaceuticals'!$D$14:$D$33&amp;'TB-Pharmaceuticals'!$G$14:$G$33,0)),0)</f>
        <v>0</v>
      </c>
      <c r="BC37" s="626">
        <f t="shared" si="30"/>
        <v>0</v>
      </c>
      <c r="BD37" s="626">
        <f t="shared" si="31"/>
        <v>0</v>
      </c>
      <c r="BE37" s="626">
        <f t="shared" si="32"/>
        <v>0</v>
      </c>
      <c r="BF37" s="625">
        <f t="array" ref="BF37">IFERROR(INDEX('TB-Pharmaceuticals'!$AE$14:$AE$33,MATCH($E37&amp;$F37,'TB-Pharmaceuticals'!$D$14:$D$33&amp;'TB-Pharmaceuticals'!$G$14:$G$33,0)),0)</f>
        <v>0</v>
      </c>
      <c r="BG37" s="626">
        <f t="shared" si="33"/>
        <v>0</v>
      </c>
      <c r="BH37" s="626">
        <f t="shared" si="34"/>
        <v>0</v>
      </c>
      <c r="BI37" s="626">
        <f t="shared" si="35"/>
        <v>0</v>
      </c>
      <c r="BK37" s="626"/>
      <c r="BL37" s="626"/>
      <c r="BM37" s="626"/>
      <c r="BN37" s="626"/>
      <c r="BO37" s="626"/>
      <c r="BP37" s="626"/>
      <c r="BQ37" s="626"/>
      <c r="BR37" s="626"/>
    </row>
    <row r="38" spans="1:70">
      <c r="A38" s="32"/>
      <c r="B38" s="32"/>
      <c r="C38" s="619"/>
      <c r="D38" s="31"/>
      <c r="E38" s="32"/>
      <c r="F38" s="32"/>
      <c r="G38" s="625"/>
      <c r="H38" s="625"/>
      <c r="I38" s="625"/>
      <c r="J38" s="625"/>
      <c r="K38" s="626"/>
      <c r="L38" s="626"/>
      <c r="M38" s="626"/>
      <c r="N38" s="625"/>
      <c r="O38" s="626"/>
      <c r="P38" s="626"/>
      <c r="Q38" s="626"/>
      <c r="R38" s="625"/>
      <c r="S38" s="626"/>
      <c r="T38" s="626"/>
      <c r="U38" s="626"/>
      <c r="V38" s="625"/>
      <c r="W38" s="626"/>
      <c r="X38" s="626"/>
      <c r="Y38" s="626"/>
      <c r="Z38" s="627"/>
      <c r="AA38" s="625"/>
      <c r="AB38" s="625"/>
      <c r="AC38" s="625"/>
      <c r="AD38" s="626"/>
      <c r="AE38" s="626"/>
      <c r="AF38" s="625"/>
      <c r="AG38" s="625"/>
      <c r="AH38" s="626"/>
      <c r="AI38" s="626"/>
      <c r="AJ38" s="625"/>
      <c r="AK38" s="625"/>
      <c r="AL38" s="626"/>
      <c r="AM38" s="626"/>
      <c r="AN38" s="625"/>
      <c r="AO38" s="625"/>
      <c r="AP38" s="626"/>
      <c r="AQ38" s="626"/>
      <c r="AR38" s="627"/>
      <c r="AS38" s="625"/>
      <c r="AT38" s="625"/>
      <c r="AU38" s="625"/>
      <c r="AV38" s="626"/>
      <c r="AW38" s="626"/>
      <c r="AX38" s="625"/>
      <c r="AY38" s="625"/>
      <c r="AZ38" s="626"/>
      <c r="BA38" s="626"/>
      <c r="BB38" s="625"/>
      <c r="BC38" s="625"/>
      <c r="BD38" s="626"/>
      <c r="BE38" s="626"/>
      <c r="BF38" s="625"/>
      <c r="BG38" s="625"/>
      <c r="BH38" s="626"/>
      <c r="BI38" s="626"/>
      <c r="BK38" s="626"/>
      <c r="BL38" s="626"/>
      <c r="BM38" s="626"/>
      <c r="BN38" s="626"/>
      <c r="BO38" s="626"/>
      <c r="BP38" s="626"/>
      <c r="BQ38" s="626"/>
      <c r="BR38" s="626"/>
    </row>
    <row r="39" spans="1:70">
      <c r="A39" s="2567" t="s">
        <v>1738</v>
      </c>
      <c r="B39" s="2567"/>
      <c r="C39" s="2567"/>
      <c r="D39" s="2567"/>
      <c r="E39" s="2567"/>
      <c r="F39" s="2567"/>
      <c r="G39" s="621"/>
      <c r="H39" s="621"/>
      <c r="I39" s="621"/>
      <c r="J39" s="621"/>
      <c r="K39" s="621"/>
      <c r="L39" s="621"/>
      <c r="M39" s="621"/>
      <c r="N39" s="621"/>
      <c r="O39" s="621"/>
      <c r="P39" s="621"/>
      <c r="Q39" s="621"/>
      <c r="R39" s="621"/>
      <c r="S39" s="621"/>
      <c r="T39" s="621"/>
      <c r="U39" s="621"/>
      <c r="V39" s="621"/>
      <c r="W39" s="621"/>
      <c r="X39" s="621"/>
      <c r="Y39" s="621"/>
      <c r="Z39" s="621"/>
      <c r="AA39" s="621"/>
      <c r="AB39" s="621"/>
      <c r="AC39" s="621"/>
      <c r="AD39" s="621"/>
      <c r="AE39" s="621"/>
      <c r="AF39" s="621"/>
      <c r="AG39" s="621"/>
      <c r="AH39" s="621"/>
      <c r="AI39" s="621"/>
      <c r="AJ39" s="621"/>
      <c r="AK39" s="621"/>
      <c r="AL39" s="621"/>
      <c r="AM39" s="621"/>
      <c r="AN39" s="621"/>
      <c r="AO39" s="621"/>
      <c r="AP39" s="621"/>
      <c r="AQ39" s="621"/>
      <c r="AR39" s="621"/>
      <c r="AS39" s="621"/>
      <c r="AT39" s="621"/>
      <c r="AU39" s="621"/>
      <c r="AV39" s="621"/>
      <c r="AW39" s="621"/>
      <c r="AX39" s="621"/>
      <c r="AY39" s="621"/>
      <c r="AZ39" s="621"/>
      <c r="BA39" s="621"/>
      <c r="BB39" s="621"/>
      <c r="BC39" s="621"/>
      <c r="BD39" s="621"/>
      <c r="BE39" s="621"/>
      <c r="BF39" s="621"/>
      <c r="BG39" s="621"/>
      <c r="BH39" s="621"/>
      <c r="BI39" s="621"/>
      <c r="BJ39" s="621"/>
      <c r="BK39" s="621"/>
      <c r="BL39" s="621"/>
      <c r="BM39" s="621"/>
      <c r="BN39" s="621"/>
      <c r="BO39" s="621"/>
      <c r="BP39" s="621"/>
      <c r="BQ39" s="621"/>
      <c r="BR39" s="621"/>
    </row>
    <row r="40" spans="1:70" s="22" customFormat="1">
      <c r="A40" s="24" t="s">
        <v>1545</v>
      </c>
      <c r="B40" s="24" t="s">
        <v>203</v>
      </c>
      <c r="C40" s="722" t="s">
        <v>459</v>
      </c>
      <c r="D40" s="24" t="s">
        <v>460</v>
      </c>
      <c r="E40" s="24" t="s">
        <v>461</v>
      </c>
      <c r="F40" s="24" t="s">
        <v>214</v>
      </c>
      <c r="G40" s="672" t="s">
        <v>462</v>
      </c>
      <c r="H40" s="672" t="s">
        <v>49</v>
      </c>
      <c r="I40" s="672" t="s">
        <v>463</v>
      </c>
      <c r="J40" s="672" t="s">
        <v>464</v>
      </c>
      <c r="K40" s="672" t="s">
        <v>465</v>
      </c>
      <c r="L40" s="723" t="s">
        <v>466</v>
      </c>
      <c r="M40" s="723" t="s">
        <v>467</v>
      </c>
      <c r="N40" s="672" t="s">
        <v>468</v>
      </c>
      <c r="O40" s="672" t="s">
        <v>469</v>
      </c>
      <c r="P40" s="723" t="s">
        <v>470</v>
      </c>
      <c r="Q40" s="723" t="s">
        <v>471</v>
      </c>
      <c r="R40" s="672" t="s">
        <v>472</v>
      </c>
      <c r="S40" s="672" t="s">
        <v>473</v>
      </c>
      <c r="T40" s="723" t="s">
        <v>474</v>
      </c>
      <c r="U40" s="723" t="s">
        <v>475</v>
      </c>
      <c r="V40" s="672" t="s">
        <v>476</v>
      </c>
      <c r="W40" s="672" t="s">
        <v>477</v>
      </c>
      <c r="X40" s="723" t="s">
        <v>478</v>
      </c>
      <c r="Y40" s="723" t="s">
        <v>479</v>
      </c>
      <c r="Z40" s="624"/>
      <c r="AA40" s="672" t="s">
        <v>480</v>
      </c>
      <c r="AB40" s="672" t="s">
        <v>481</v>
      </c>
      <c r="AC40" s="672" t="s">
        <v>482</v>
      </c>
      <c r="AD40" s="723" t="s">
        <v>483</v>
      </c>
      <c r="AE40" s="723" t="s">
        <v>484</v>
      </c>
      <c r="AF40" s="672" t="s">
        <v>485</v>
      </c>
      <c r="AG40" s="672" t="s">
        <v>486</v>
      </c>
      <c r="AH40" s="723" t="s">
        <v>487</v>
      </c>
      <c r="AI40" s="723" t="s">
        <v>488</v>
      </c>
      <c r="AJ40" s="672" t="s">
        <v>489</v>
      </c>
      <c r="AK40" s="672" t="s">
        <v>490</v>
      </c>
      <c r="AL40" s="723" t="s">
        <v>491</v>
      </c>
      <c r="AM40" s="723" t="s">
        <v>492</v>
      </c>
      <c r="AN40" s="672" t="s">
        <v>493</v>
      </c>
      <c r="AO40" s="672" t="s">
        <v>494</v>
      </c>
      <c r="AP40" s="723" t="s">
        <v>495</v>
      </c>
      <c r="AQ40" s="723" t="s">
        <v>496</v>
      </c>
      <c r="AR40" s="624"/>
      <c r="AS40" s="672" t="s">
        <v>497</v>
      </c>
      <c r="AT40" s="672" t="s">
        <v>498</v>
      </c>
      <c r="AU40" s="672" t="s">
        <v>499</v>
      </c>
      <c r="AV40" s="723" t="s">
        <v>500</v>
      </c>
      <c r="AW40" s="723" t="s">
        <v>501</v>
      </c>
      <c r="AX40" s="672" t="s">
        <v>502</v>
      </c>
      <c r="AY40" s="672" t="s">
        <v>503</v>
      </c>
      <c r="AZ40" s="723" t="s">
        <v>504</v>
      </c>
      <c r="BA40" s="723" t="s">
        <v>505</v>
      </c>
      <c r="BB40" s="672" t="s">
        <v>506</v>
      </c>
      <c r="BC40" s="672" t="s">
        <v>507</v>
      </c>
      <c r="BD40" s="723" t="s">
        <v>508</v>
      </c>
      <c r="BE40" s="723" t="s">
        <v>509</v>
      </c>
      <c r="BF40" s="672" t="s">
        <v>510</v>
      </c>
      <c r="BG40" s="672" t="s">
        <v>511</v>
      </c>
      <c r="BH40" s="723" t="s">
        <v>512</v>
      </c>
      <c r="BI40" s="723" t="s">
        <v>513</v>
      </c>
      <c r="BJ40" s="624"/>
      <c r="BK40" s="723" t="s">
        <v>514</v>
      </c>
      <c r="BL40" s="723" t="s">
        <v>515</v>
      </c>
      <c r="BM40" s="723" t="s">
        <v>516</v>
      </c>
      <c r="BN40" s="723" t="s">
        <v>517</v>
      </c>
      <c r="BO40" s="723" t="s">
        <v>518</v>
      </c>
      <c r="BP40" s="723" t="s">
        <v>519</v>
      </c>
      <c r="BQ40" s="723" t="s">
        <v>520</v>
      </c>
      <c r="BR40" s="723" t="s">
        <v>521</v>
      </c>
    </row>
    <row r="41" spans="1:70">
      <c r="A41" s="32" t="s">
        <v>571</v>
      </c>
      <c r="B41" s="32" t="s">
        <v>1739</v>
      </c>
      <c r="C41" s="619">
        <f>SETUP!$F$38</f>
        <v>0</v>
      </c>
      <c r="D41" s="31">
        <v>4.2</v>
      </c>
      <c r="E41" s="32" t="s">
        <v>297</v>
      </c>
      <c r="F41" s="32" t="s">
        <v>1260</v>
      </c>
      <c r="G41" s="625" t="str">
        <f t="array" ref="G41">IFERROR(INDEX('TB-Pharmaceuticals'!$K$41:$K$60,MATCH($E41&amp;$F41,'TB-Pharmaceuticals'!$D$41:$D$60&amp;'TB-Pharmaceuticals'!$G$41:$G$60,0)),"")</f>
        <v/>
      </c>
      <c r="H41" s="625" t="str">
        <f t="array" ref="H41">IFERROR(INDEX('TB-Pharmaceuticals'!$L$41:$L$60,MATCH($E41&amp;$F41,'TB-Pharmaceuticals'!$D$41:$D$60&amp;'TB-Pharmaceuticals'!$G$41:$G$60,0)),"")</f>
        <v/>
      </c>
      <c r="I41" s="625">
        <f t="array" ref="I41">IFERROR(INDEX('TB-Pharmaceuticals'!$M$41:$M$60,MATCH($E41&amp;$F41,'TB-Pharmaceuticals'!$D$41:$D$60&amp;'TB-Pharmaceuticals'!$G$41:$G$60,0)),0)</f>
        <v>0</v>
      </c>
      <c r="J41" s="625">
        <f t="array" ref="J41">IFERROR(INDEX('TB-Pharmaceuticals'!$N$41:$N$60,MATCH($E41&amp;$F41,'TB-Pharmaceuticals'!$D$41:$D$60&amp;'TB-Pharmaceuticals'!$G$41:$G$60,0)),0)</f>
        <v>0</v>
      </c>
      <c r="K41" s="626">
        <f>IF(ISERROR($I41*J41),0,$I41*J41)</f>
        <v>0</v>
      </c>
      <c r="L41" s="626">
        <f>IF(C41="Upfront",J41,0)</f>
        <v>0</v>
      </c>
      <c r="M41" s="626">
        <f>IF(C41="Upfront",K41,0)</f>
        <v>0</v>
      </c>
      <c r="N41" s="625">
        <f t="array" ref="N41">IFERROR(INDEX('TB-Pharmaceuticals'!$O$41:$O$60,MATCH($E41&amp;$F41,'TB-Pharmaceuticals'!$D$41:$D$60&amp;'TB-Pharmaceuticals'!$G$41:$G$60,0)),0)</f>
        <v>0</v>
      </c>
      <c r="O41" s="626">
        <f>IF(ISERROR($I41*N41),0,$I41*N41)</f>
        <v>0</v>
      </c>
      <c r="P41" s="626">
        <f>IF(C41="Upfront",N41,0)</f>
        <v>0</v>
      </c>
      <c r="Q41" s="626">
        <f>IF(C41="Upfront",O41,0)</f>
        <v>0</v>
      </c>
      <c r="R41" s="625">
        <f t="array" ref="R41">IFERROR(INDEX('TB-Pharmaceuticals'!$P$41:$P$60,MATCH($E41&amp;$F41,'TB-Pharmaceuticals'!$D$41:$D$60&amp;'TB-Pharmaceuticals'!$G$41:$G$60,0)),0)</f>
        <v>0</v>
      </c>
      <c r="S41" s="626">
        <f>IF(ISERROR($I41*R41),0,$I41*R41)</f>
        <v>0</v>
      </c>
      <c r="T41" s="626">
        <f>IF(C41="Upfront",R41,IF(C41="At delivery",J41,0))</f>
        <v>0</v>
      </c>
      <c r="U41" s="626">
        <f>IF(C41="Upfront",S41,IF(C41="At delivery",K41,0))</f>
        <v>0</v>
      </c>
      <c r="V41" s="625">
        <f t="array" ref="V41">IFERROR(INDEX('TB-Pharmaceuticals'!$Q$41:$Q$60,MATCH($E41&amp;$F41,'TB-Pharmaceuticals'!$D$41:$D$60&amp;'TB-Pharmaceuticals'!$G$41:$G$60,0)),0)</f>
        <v>0</v>
      </c>
      <c r="W41" s="626">
        <f>IF(ISERROR($I41*V41),0,$I41*V41)</f>
        <v>0</v>
      </c>
      <c r="X41" s="626">
        <f>IF(C41="Upfront",V41,IF(C41="At delivery",N41,0))</f>
        <v>0</v>
      </c>
      <c r="Y41" s="626">
        <f>IF(C41="Upfront",W41,IF(C41="At delivery",O41,0))</f>
        <v>0</v>
      </c>
      <c r="Z41" s="627"/>
      <c r="AA41" s="625">
        <f t="array" ref="AA41">IFERROR(INDEX('TB-Pharmaceuticals'!$T$41:$T$60,MATCH($E41&amp;$F41,'TB-Pharmaceuticals'!$D$41:$D$60&amp;'TB-Pharmaceuticals'!$G$41:$G$60,0)),0)</f>
        <v>0</v>
      </c>
      <c r="AB41" s="625">
        <f t="array" ref="AB41">IFERROR(INDEX('TB-Pharmaceuticals'!$U$41:$U$60,MATCH($E41&amp;$F41,'TB-Pharmaceuticals'!$D$41:$D$60&amp;'TB-Pharmaceuticals'!$G$41:$G$60,0)),0)</f>
        <v>0</v>
      </c>
      <c r="AC41" s="626">
        <f>IF(ISERROR($AA41*AB41),0,$AA41*AB41)</f>
        <v>0</v>
      </c>
      <c r="AD41" s="626">
        <f>IF(C41="Upfront",AB41,IF(C41="At delivery",R41,0))</f>
        <v>0</v>
      </c>
      <c r="AE41" s="626">
        <f>IF(C41="Upfront",AC41,IF(C41="At delivery",S41,0))</f>
        <v>0</v>
      </c>
      <c r="AF41" s="625">
        <f t="array" ref="AF41">IFERROR(INDEX('TB-Pharmaceuticals'!$V$41:$V$60,MATCH($E41&amp;$F41,'TB-Pharmaceuticals'!$D$41:$D$60&amp;'TB-Pharmaceuticals'!$G$41:$G$60,0)),0)</f>
        <v>0</v>
      </c>
      <c r="AG41" s="626">
        <f>IF(ISERROR($AA41*AF41),0,$AA41*AF41)</f>
        <v>0</v>
      </c>
      <c r="AH41" s="626">
        <f>IF(C41="Upfront",AF41,IF(C41="At delivery",V41,0))</f>
        <v>0</v>
      </c>
      <c r="AI41" s="626">
        <f>IF(C41="Upfront",AG41,IF(C41="At delivery",W41,0))</f>
        <v>0</v>
      </c>
      <c r="AJ41" s="625">
        <f t="array" ref="AJ41">IFERROR(INDEX('TB-Pharmaceuticals'!$W$41:$W$60,MATCH($E41&amp;$F41,'TB-Pharmaceuticals'!$D$41:$D$60&amp;'TB-Pharmaceuticals'!$G$41:$G$60,0)),0)</f>
        <v>0</v>
      </c>
      <c r="AK41" s="626">
        <f>IF(ISERROR($AA41*AJ41),0,$AA41*AJ41)</f>
        <v>0</v>
      </c>
      <c r="AL41" s="626">
        <f>IF(C41="Upfront",AJ41,IF(C41="At delivery",AB41,0))</f>
        <v>0</v>
      </c>
      <c r="AM41" s="626">
        <f>IF(C41="Upfront",AK41,IF(C41="At delivery",AC41,0))</f>
        <v>0</v>
      </c>
      <c r="AN41" s="625">
        <f t="array" ref="AN41">IFERROR(INDEX('TB-Pharmaceuticals'!$X$41:$X$60,MATCH($E41&amp;$F41,'TB-Pharmaceuticals'!$D$41:$D$60&amp;'TB-Pharmaceuticals'!$G$41:$G$60,0)),0)</f>
        <v>0</v>
      </c>
      <c r="AO41" s="626">
        <f>IF(ISERROR($AA41*AN41),0,$AA41*AN41)</f>
        <v>0</v>
      </c>
      <c r="AP41" s="626">
        <f>IF(C41="Upfront",AN41,IF(C41="At delivery",AF41,0))</f>
        <v>0</v>
      </c>
      <c r="AQ41" s="626">
        <f>IF(C41="Upfront",AO41,IF(C41="At delivery",AG41,0))</f>
        <v>0</v>
      </c>
      <c r="AR41" s="627"/>
      <c r="AS41" s="625">
        <f t="array" ref="AS41">IFERROR(INDEX('TB-Pharmaceuticals'!$AA$41:$AA$60,MATCH($E41&amp;$F41,'TB-Pharmaceuticals'!$D$41:$D$60&amp;'TB-Pharmaceuticals'!$G$41:$G$60,0)),0)</f>
        <v>0</v>
      </c>
      <c r="AT41" s="625">
        <f t="array" ref="AT41">IFERROR(INDEX('TB-Pharmaceuticals'!$AB$41:$AB$60,MATCH($E41&amp;$F41,'TB-Pharmaceuticals'!$D$41:$D$60&amp;'TB-Pharmaceuticals'!$G$41:$G$60,0)),0)</f>
        <v>0</v>
      </c>
      <c r="AU41" s="626">
        <f>IF(ISERROR($AS41*AT41),0,$AS41*AT41)</f>
        <v>0</v>
      </c>
      <c r="AV41" s="626">
        <f>IF(C41="Upfront",AT41,IF(C41="At delivery",AJ41,0))</f>
        <v>0</v>
      </c>
      <c r="AW41" s="626">
        <f>IF(C41="Upfront",AU41,IF(C41="At delivery",AK41,0))</f>
        <v>0</v>
      </c>
      <c r="AX41" s="625">
        <f t="array" ref="AX41">IFERROR(INDEX('TB-Pharmaceuticals'!$AC$41:$AC$60,MATCH($E41&amp;$F41,'TB-Pharmaceuticals'!$D$41:$D$60&amp;'TB-Pharmaceuticals'!$G$41:$G$60,0)),0)</f>
        <v>0</v>
      </c>
      <c r="AY41" s="626">
        <f>IF(ISERROR($AS41*AX41),0,$AS41*AX41)</f>
        <v>0</v>
      </c>
      <c r="AZ41" s="626">
        <f>IF(C41="Upfront",AX41,IF(C41="At delivery",AN41,0))</f>
        <v>0</v>
      </c>
      <c r="BA41" s="626">
        <f>IF(C41="Upfront",AY41,IF(C41="At delivery",AO41,0))</f>
        <v>0</v>
      </c>
      <c r="BB41" s="625">
        <f t="array" ref="BB41">IFERROR(INDEX('TB-Pharmaceuticals'!$AD$41:$AD$60,MATCH($E41&amp;$F41,'TB-Pharmaceuticals'!$D$41:$D$60&amp;'TB-Pharmaceuticals'!$G$41:$G$60,0)),0)</f>
        <v>0</v>
      </c>
      <c r="BC41" s="626">
        <f>IF(ISERROR($AS41*BB41),0,$AS41*BB41)</f>
        <v>0</v>
      </c>
      <c r="BD41" s="626">
        <f>IF(C41="Upfront",BB41,IF(C41="At delivery",AT41,0))</f>
        <v>0</v>
      </c>
      <c r="BE41" s="626">
        <f>IF(C41="Upfront",BC41,IF(C41="At delivery",AU41,0))</f>
        <v>0</v>
      </c>
      <c r="BF41" s="625">
        <f t="array" ref="BF41">IFERROR(INDEX('TB-Pharmaceuticals'!$AE$41:$AE$60,MATCH($E41&amp;$F41,'TB-Pharmaceuticals'!$D$41:$D$60&amp;'TB-Pharmaceuticals'!$G$41:$G$60,0)),0)</f>
        <v>0</v>
      </c>
      <c r="BG41" s="626">
        <f>IF(ISERROR($AS41*BF41),0,$AS41*BF41)</f>
        <v>0</v>
      </c>
      <c r="BH41" s="626">
        <f>IF(C41="Upfront",BF41,IF(C41="At delivery",AX41,0))</f>
        <v>0</v>
      </c>
      <c r="BI41" s="626">
        <f>IF(C41="Upfront",BG41,IF(C41="At delivery",AY41,0))</f>
        <v>0</v>
      </c>
      <c r="BK41" s="626"/>
      <c r="BL41" s="626"/>
      <c r="BM41" s="626"/>
      <c r="BN41" s="626"/>
      <c r="BO41" s="626"/>
      <c r="BP41" s="626"/>
      <c r="BQ41" s="626"/>
      <c r="BR41" s="626"/>
    </row>
    <row r="42" spans="1:70">
      <c r="A42" s="32" t="s">
        <v>571</v>
      </c>
      <c r="B42" s="32" t="s">
        <v>1739</v>
      </c>
      <c r="C42" s="619">
        <f>SETUP!$F$38</f>
        <v>0</v>
      </c>
      <c r="D42" s="31">
        <v>4.2</v>
      </c>
      <c r="E42" s="32" t="s">
        <v>297</v>
      </c>
      <c r="F42" s="32" t="s">
        <v>1261</v>
      </c>
      <c r="G42" s="625" t="str">
        <f t="array" ref="G42">IFERROR(INDEX('TB-Pharmaceuticals'!$K$41:$K$60,MATCH($E42&amp;$F42,'TB-Pharmaceuticals'!$D$41:$D$60&amp;'TB-Pharmaceuticals'!$G$41:$G$60,0)),"")</f>
        <v/>
      </c>
      <c r="H42" s="625" t="str">
        <f t="array" ref="H42">IFERROR(INDEX('TB-Pharmaceuticals'!$L$41:$L$60,MATCH($E42&amp;$F42,'TB-Pharmaceuticals'!$D$41:$D$60&amp;'TB-Pharmaceuticals'!$G$41:$G$60,0)),"")</f>
        <v/>
      </c>
      <c r="I42" s="625">
        <f t="array" ref="I42">IFERROR(INDEX('TB-Pharmaceuticals'!$M$41:$M$60,MATCH($E42&amp;$F42,'TB-Pharmaceuticals'!$D$41:$D$60&amp;'TB-Pharmaceuticals'!$G$41:$G$60,0)),0)</f>
        <v>0</v>
      </c>
      <c r="J42" s="625">
        <f t="array" ref="J42">IFERROR(INDEX('TB-Pharmaceuticals'!$N$41:$N$60,MATCH($E42&amp;$F42,'TB-Pharmaceuticals'!$D$41:$D$60&amp;'TB-Pharmaceuticals'!$G$41:$G$60,0)),0)</f>
        <v>0</v>
      </c>
      <c r="K42" s="626">
        <f t="shared" ref="K42:K94" si="36">IF(ISERROR($I42*J42),0,$I42*J42)</f>
        <v>0</v>
      </c>
      <c r="L42" s="626">
        <f t="shared" ref="L42:L94" si="37">IF(C42="Upfront",J42,0)</f>
        <v>0</v>
      </c>
      <c r="M42" s="626">
        <f t="shared" ref="M42:M94" si="38">IF(C42="Upfront",K42,0)</f>
        <v>0</v>
      </c>
      <c r="N42" s="625">
        <f t="array" ref="N42">IFERROR(INDEX('TB-Pharmaceuticals'!$O$41:$O$60,MATCH($E42&amp;$F42,'TB-Pharmaceuticals'!$D$41:$D$60&amp;'TB-Pharmaceuticals'!$G$41:$G$60,0)),0)</f>
        <v>0</v>
      </c>
      <c r="O42" s="626">
        <f t="shared" ref="O42:O94" si="39">IF(ISERROR($I42*N42),0,$I42*N42)</f>
        <v>0</v>
      </c>
      <c r="P42" s="626">
        <f t="shared" ref="P42:P94" si="40">IF(C42="Upfront",N42,0)</f>
        <v>0</v>
      </c>
      <c r="Q42" s="626">
        <f t="shared" ref="Q42:Q94" si="41">IF(C42="Upfront",O42,0)</f>
        <v>0</v>
      </c>
      <c r="R42" s="625">
        <f t="array" ref="R42">IFERROR(INDEX('TB-Pharmaceuticals'!$P$41:$P$60,MATCH($E42&amp;$F42,'TB-Pharmaceuticals'!$D$41:$D$60&amp;'TB-Pharmaceuticals'!$G$41:$G$60,0)),0)</f>
        <v>0</v>
      </c>
      <c r="S42" s="626">
        <f t="shared" ref="S42:S94" si="42">IF(ISERROR($I42*R42),0,$I42*R42)</f>
        <v>0</v>
      </c>
      <c r="T42" s="626">
        <f t="shared" ref="T42:T94" si="43">IF(C42="Upfront",R42,IF(C42="At delivery",J42,0))</f>
        <v>0</v>
      </c>
      <c r="U42" s="626">
        <f t="shared" ref="U42:U94" si="44">IF(C42="Upfront",S42,IF(C42="At delivery",K42,0))</f>
        <v>0</v>
      </c>
      <c r="V42" s="625">
        <f t="array" ref="V42">IFERROR(INDEX('TB-Pharmaceuticals'!$Q$41:$Q$60,MATCH($E42&amp;$F42,'TB-Pharmaceuticals'!$D$41:$D$60&amp;'TB-Pharmaceuticals'!$G$41:$G$60,0)),0)</f>
        <v>0</v>
      </c>
      <c r="W42" s="626">
        <f t="shared" ref="W42:W94" si="45">IF(ISERROR($I42*V42),0,$I42*V42)</f>
        <v>0</v>
      </c>
      <c r="X42" s="626">
        <f t="shared" ref="X42:X94" si="46">IF(C42="Upfront",V42,IF(C42="At delivery",N42,0))</f>
        <v>0</v>
      </c>
      <c r="Y42" s="626">
        <f t="shared" ref="Y42:Y94" si="47">IF(C42="Upfront",W42,IF(C42="At delivery",O42,0))</f>
        <v>0</v>
      </c>
      <c r="Z42" s="627"/>
      <c r="AA42" s="625">
        <f t="array" ref="AA42">IFERROR(INDEX('TB-Pharmaceuticals'!$T$41:$T$60,MATCH($E42&amp;$F42,'TB-Pharmaceuticals'!$D$41:$D$60&amp;'TB-Pharmaceuticals'!$G$41:$G$60,0)),0)</f>
        <v>0</v>
      </c>
      <c r="AB42" s="625">
        <f t="array" ref="AB42">IFERROR(INDEX('TB-Pharmaceuticals'!$U$41:$U$60,MATCH($E42&amp;$F42,'TB-Pharmaceuticals'!$D$41:$D$60&amp;'TB-Pharmaceuticals'!$G$41:$G$60,0)),0)</f>
        <v>0</v>
      </c>
      <c r="AC42" s="626">
        <f t="shared" ref="AC42:AC94" si="48">IF(ISERROR($AA42*AB42),0,$AA42*AB42)</f>
        <v>0</v>
      </c>
      <c r="AD42" s="626">
        <f t="shared" ref="AD42:AD94" si="49">IF(C42="Upfront",AB42,IF(C42="At delivery",R42,0))</f>
        <v>0</v>
      </c>
      <c r="AE42" s="626">
        <f t="shared" ref="AE42:AE94" si="50">IF(C42="Upfront",AC42,IF(C42="At delivery",S42,0))</f>
        <v>0</v>
      </c>
      <c r="AF42" s="625">
        <f t="array" ref="AF42">IFERROR(INDEX('TB-Pharmaceuticals'!$V$41:$V$60,MATCH($E42&amp;$F42,'TB-Pharmaceuticals'!$D$41:$D$60&amp;'TB-Pharmaceuticals'!$G$41:$G$60,0)),0)</f>
        <v>0</v>
      </c>
      <c r="AG42" s="626">
        <f t="shared" ref="AG42:AG94" si="51">IF(ISERROR($AA42*AF42),0,$AA42*AF42)</f>
        <v>0</v>
      </c>
      <c r="AH42" s="626">
        <f t="shared" ref="AH42:AH94" si="52">IF(C42="Upfront",AF42,IF(C42="At delivery",V42,0))</f>
        <v>0</v>
      </c>
      <c r="AI42" s="626">
        <f t="shared" ref="AI42:AI94" si="53">IF(C42="Upfront",AG42,IF(C42="At delivery",W42,0))</f>
        <v>0</v>
      </c>
      <c r="AJ42" s="625">
        <f t="array" ref="AJ42">IFERROR(INDEX('TB-Pharmaceuticals'!$W$41:$W$60,MATCH($E42&amp;$F42,'TB-Pharmaceuticals'!$D$41:$D$60&amp;'TB-Pharmaceuticals'!$G$41:$G$60,0)),0)</f>
        <v>0</v>
      </c>
      <c r="AK42" s="626">
        <f t="shared" ref="AK42:AK94" si="54">IF(ISERROR($AA42*AJ42),0,$AA42*AJ42)</f>
        <v>0</v>
      </c>
      <c r="AL42" s="626">
        <f t="shared" ref="AL42:AL94" si="55">IF(C42="Upfront",AJ42,IF(C42="At delivery",AB42,0))</f>
        <v>0</v>
      </c>
      <c r="AM42" s="626">
        <f t="shared" ref="AM42:AM94" si="56">IF(C42="Upfront",AK42,IF(C42="At delivery",AC42,0))</f>
        <v>0</v>
      </c>
      <c r="AN42" s="625">
        <f t="array" ref="AN42">IFERROR(INDEX('TB-Pharmaceuticals'!$X$41:$X$60,MATCH($E42&amp;$F42,'TB-Pharmaceuticals'!$D$41:$D$60&amp;'TB-Pharmaceuticals'!$G$41:$G$60,0)),0)</f>
        <v>0</v>
      </c>
      <c r="AO42" s="626">
        <f t="shared" ref="AO42:AO94" si="57">IF(ISERROR($AA42*AN42),0,$AA42*AN42)</f>
        <v>0</v>
      </c>
      <c r="AP42" s="626">
        <f t="shared" ref="AP42:AP94" si="58">IF(C42="Upfront",AN42,IF(C42="At delivery",AF42,0))</f>
        <v>0</v>
      </c>
      <c r="AQ42" s="626">
        <f t="shared" ref="AQ42:AQ94" si="59">IF(C42="Upfront",AO42,IF(C42="At delivery",AG42,0))</f>
        <v>0</v>
      </c>
      <c r="AR42" s="627"/>
      <c r="AS42" s="625">
        <f t="array" ref="AS42">IFERROR(INDEX('TB-Pharmaceuticals'!$AA$41:$AA$60,MATCH($E42&amp;$F42,'TB-Pharmaceuticals'!$D$41:$D$60&amp;'TB-Pharmaceuticals'!$G$41:$G$60,0)),0)</f>
        <v>0</v>
      </c>
      <c r="AT42" s="625">
        <f t="array" ref="AT42">IFERROR(INDEX('TB-Pharmaceuticals'!$AB$41:$AB$60,MATCH($E42&amp;$F42,'TB-Pharmaceuticals'!$D$41:$D$60&amp;'TB-Pharmaceuticals'!$G$41:$G$60,0)),0)</f>
        <v>0</v>
      </c>
      <c r="AU42" s="626">
        <f t="shared" ref="AU42:AU94" si="60">IF(ISERROR($AS42*AT42),0,$AS42*AT42)</f>
        <v>0</v>
      </c>
      <c r="AV42" s="626">
        <f t="shared" ref="AV42:AV94" si="61">IF(C42="Upfront",AT42,IF(C42="At delivery",AJ42,0))</f>
        <v>0</v>
      </c>
      <c r="AW42" s="626">
        <f t="shared" ref="AW42:AW94" si="62">IF(C42="Upfront",AU42,IF(C42="At delivery",AK42,0))</f>
        <v>0</v>
      </c>
      <c r="AX42" s="625">
        <f t="array" ref="AX42">IFERROR(INDEX('TB-Pharmaceuticals'!$AC$41:$AC$60,MATCH($E42&amp;$F42,'TB-Pharmaceuticals'!$D$41:$D$60&amp;'TB-Pharmaceuticals'!$G$41:$G$60,0)),0)</f>
        <v>0</v>
      </c>
      <c r="AY42" s="626">
        <f t="shared" ref="AY42:AY94" si="63">IF(ISERROR($AS42*AX42),0,$AS42*AX42)</f>
        <v>0</v>
      </c>
      <c r="AZ42" s="626">
        <f t="shared" ref="AZ42:AZ94" si="64">IF(C42="Upfront",AX42,IF(C42="At delivery",AN42,0))</f>
        <v>0</v>
      </c>
      <c r="BA42" s="626">
        <f t="shared" ref="BA42:BA94" si="65">IF(C42="Upfront",AY42,IF(C42="At delivery",AO42,0))</f>
        <v>0</v>
      </c>
      <c r="BB42" s="625">
        <f t="array" ref="BB42">IFERROR(INDEX('TB-Pharmaceuticals'!$AD$41:$AD$60,MATCH($E42&amp;$F42,'TB-Pharmaceuticals'!$D$41:$D$60&amp;'TB-Pharmaceuticals'!$G$41:$G$60,0)),0)</f>
        <v>0</v>
      </c>
      <c r="BC42" s="626">
        <f t="shared" ref="BC42:BC94" si="66">IF(ISERROR($AS42*BB42),0,$AS42*BB42)</f>
        <v>0</v>
      </c>
      <c r="BD42" s="626">
        <f t="shared" ref="BD42:BD94" si="67">IF(C42="Upfront",BB42,IF(C42="At delivery",AT42,0))</f>
        <v>0</v>
      </c>
      <c r="BE42" s="626">
        <f t="shared" ref="BE42:BE94" si="68">IF(C42="Upfront",BC42,IF(C42="At delivery",AU42,0))</f>
        <v>0</v>
      </c>
      <c r="BF42" s="625">
        <f t="array" ref="BF42">IFERROR(INDEX('TB-Pharmaceuticals'!$AE$41:$AE$60,MATCH($E42&amp;$F42,'TB-Pharmaceuticals'!$D$41:$D$60&amp;'TB-Pharmaceuticals'!$G$41:$G$60,0)),0)</f>
        <v>0</v>
      </c>
      <c r="BG42" s="626">
        <f t="shared" ref="BG42:BG94" si="69">IF(ISERROR($AS42*BF42),0,$AS42*BF42)</f>
        <v>0</v>
      </c>
      <c r="BH42" s="626">
        <f t="shared" ref="BH42:BH94" si="70">IF(C42="Upfront",BF42,IF(C42="At delivery",AX42,0))</f>
        <v>0</v>
      </c>
      <c r="BI42" s="626">
        <f t="shared" ref="BI42:BI94" si="71">IF(C42="Upfront",BG42,IF(C42="At delivery",AY42,0))</f>
        <v>0</v>
      </c>
      <c r="BK42" s="626"/>
      <c r="BL42" s="626"/>
      <c r="BM42" s="626"/>
      <c r="BN42" s="626"/>
      <c r="BO42" s="626"/>
      <c r="BP42" s="626"/>
      <c r="BQ42" s="626"/>
      <c r="BR42" s="626"/>
    </row>
    <row r="43" spans="1:70">
      <c r="A43" s="32" t="s">
        <v>571</v>
      </c>
      <c r="B43" s="32" t="s">
        <v>1739</v>
      </c>
      <c r="C43" s="619">
        <f>SETUP!$F$38</f>
        <v>0</v>
      </c>
      <c r="D43" s="31">
        <v>4.2</v>
      </c>
      <c r="E43" s="32" t="s">
        <v>297</v>
      </c>
      <c r="F43" s="32" t="s">
        <v>1306</v>
      </c>
      <c r="G43" s="625" t="str">
        <f t="array" ref="G43">IFERROR(INDEX('TB-Pharmaceuticals'!$K$41:$K$60,MATCH($E43&amp;$F43,'TB-Pharmaceuticals'!$D$41:$D$60&amp;'TB-Pharmaceuticals'!$G$41:$G$60,0)),"")</f>
        <v/>
      </c>
      <c r="H43" s="625" t="str">
        <f t="array" ref="H43">IFERROR(INDEX('TB-Pharmaceuticals'!$L$41:$L$60,MATCH($E43&amp;$F43,'TB-Pharmaceuticals'!$D$41:$D$60&amp;'TB-Pharmaceuticals'!$G$41:$G$60,0)),"")</f>
        <v/>
      </c>
      <c r="I43" s="625">
        <f t="array" ref="I43">IFERROR(INDEX('TB-Pharmaceuticals'!$M$41:$M$60,MATCH($E43&amp;$F43,'TB-Pharmaceuticals'!$D$41:$D$60&amp;'TB-Pharmaceuticals'!$G$41:$G$60,0)),0)</f>
        <v>0</v>
      </c>
      <c r="J43" s="625">
        <f t="array" ref="J43">IFERROR(INDEX('TB-Pharmaceuticals'!$N$41:$N$60,MATCH($E43&amp;$F43,'TB-Pharmaceuticals'!$D$41:$D$60&amp;'TB-Pharmaceuticals'!$G$41:$G$60,0)),0)</f>
        <v>0</v>
      </c>
      <c r="K43" s="626">
        <f t="shared" si="36"/>
        <v>0</v>
      </c>
      <c r="L43" s="626">
        <f t="shared" si="37"/>
        <v>0</v>
      </c>
      <c r="M43" s="626">
        <f t="shared" si="38"/>
        <v>0</v>
      </c>
      <c r="N43" s="625">
        <f t="array" ref="N43">IFERROR(INDEX('TB-Pharmaceuticals'!$O$41:$O$60,MATCH($E43&amp;$F43,'TB-Pharmaceuticals'!$D$41:$D$60&amp;'TB-Pharmaceuticals'!$G$41:$G$60,0)),0)</f>
        <v>0</v>
      </c>
      <c r="O43" s="626">
        <f t="shared" si="39"/>
        <v>0</v>
      </c>
      <c r="P43" s="626">
        <f t="shared" si="40"/>
        <v>0</v>
      </c>
      <c r="Q43" s="626">
        <f t="shared" si="41"/>
        <v>0</v>
      </c>
      <c r="R43" s="625">
        <f t="array" ref="R43">IFERROR(INDEX('TB-Pharmaceuticals'!$P$41:$P$60,MATCH($E43&amp;$F43,'TB-Pharmaceuticals'!$D$41:$D$60&amp;'TB-Pharmaceuticals'!$G$41:$G$60,0)),0)</f>
        <v>0</v>
      </c>
      <c r="S43" s="626">
        <f t="shared" si="42"/>
        <v>0</v>
      </c>
      <c r="T43" s="626">
        <f t="shared" si="43"/>
        <v>0</v>
      </c>
      <c r="U43" s="626">
        <f t="shared" si="44"/>
        <v>0</v>
      </c>
      <c r="V43" s="625">
        <f t="array" ref="V43">IFERROR(INDEX('TB-Pharmaceuticals'!$Q$41:$Q$60,MATCH($E43&amp;$F43,'TB-Pharmaceuticals'!$D$41:$D$60&amp;'TB-Pharmaceuticals'!$G$41:$G$60,0)),0)</f>
        <v>0</v>
      </c>
      <c r="W43" s="626">
        <f t="shared" si="45"/>
        <v>0</v>
      </c>
      <c r="X43" s="626">
        <f t="shared" si="46"/>
        <v>0</v>
      </c>
      <c r="Y43" s="626">
        <f t="shared" si="47"/>
        <v>0</v>
      </c>
      <c r="Z43" s="627"/>
      <c r="AA43" s="625">
        <f t="array" ref="AA43">IFERROR(INDEX('TB-Pharmaceuticals'!$T$41:$T$60,MATCH($E43&amp;$F43,'TB-Pharmaceuticals'!$D$41:$D$60&amp;'TB-Pharmaceuticals'!$G$41:$G$60,0)),0)</f>
        <v>0</v>
      </c>
      <c r="AB43" s="625">
        <f t="array" ref="AB43">IFERROR(INDEX('TB-Pharmaceuticals'!$U$41:$U$60,MATCH($E43&amp;$F43,'TB-Pharmaceuticals'!$D$41:$D$60&amp;'TB-Pharmaceuticals'!$G$41:$G$60,0)),0)</f>
        <v>0</v>
      </c>
      <c r="AC43" s="626">
        <f t="shared" si="48"/>
        <v>0</v>
      </c>
      <c r="AD43" s="626">
        <f t="shared" si="49"/>
        <v>0</v>
      </c>
      <c r="AE43" s="626">
        <f t="shared" si="50"/>
        <v>0</v>
      </c>
      <c r="AF43" s="625">
        <f t="array" ref="AF43">IFERROR(INDEX('TB-Pharmaceuticals'!$V$41:$V$60,MATCH($E43&amp;$F43,'TB-Pharmaceuticals'!$D$41:$D$60&amp;'TB-Pharmaceuticals'!$G$41:$G$60,0)),0)</f>
        <v>0</v>
      </c>
      <c r="AG43" s="626">
        <f t="shared" si="51"/>
        <v>0</v>
      </c>
      <c r="AH43" s="626">
        <f t="shared" si="52"/>
        <v>0</v>
      </c>
      <c r="AI43" s="626">
        <f t="shared" si="53"/>
        <v>0</v>
      </c>
      <c r="AJ43" s="625">
        <f t="array" ref="AJ43">IFERROR(INDEX('TB-Pharmaceuticals'!$W$41:$W$60,MATCH($E43&amp;$F43,'TB-Pharmaceuticals'!$D$41:$D$60&amp;'TB-Pharmaceuticals'!$G$41:$G$60,0)),0)</f>
        <v>0</v>
      </c>
      <c r="AK43" s="626">
        <f t="shared" si="54"/>
        <v>0</v>
      </c>
      <c r="AL43" s="626">
        <f t="shared" si="55"/>
        <v>0</v>
      </c>
      <c r="AM43" s="626">
        <f t="shared" si="56"/>
        <v>0</v>
      </c>
      <c r="AN43" s="625">
        <f t="array" ref="AN43">IFERROR(INDEX('TB-Pharmaceuticals'!$X$41:$X$60,MATCH($E43&amp;$F43,'TB-Pharmaceuticals'!$D$41:$D$60&amp;'TB-Pharmaceuticals'!$G$41:$G$60,0)),0)</f>
        <v>0</v>
      </c>
      <c r="AO43" s="626">
        <f t="shared" si="57"/>
        <v>0</v>
      </c>
      <c r="AP43" s="626">
        <f t="shared" si="58"/>
        <v>0</v>
      </c>
      <c r="AQ43" s="626">
        <f t="shared" si="59"/>
        <v>0</v>
      </c>
      <c r="AR43" s="627"/>
      <c r="AS43" s="625">
        <f t="array" ref="AS43">IFERROR(INDEX('TB-Pharmaceuticals'!$AA$41:$AA$60,MATCH($E43&amp;$F43,'TB-Pharmaceuticals'!$D$41:$D$60&amp;'TB-Pharmaceuticals'!$G$41:$G$60,0)),0)</f>
        <v>0</v>
      </c>
      <c r="AT43" s="625">
        <f t="array" ref="AT43">IFERROR(INDEX('TB-Pharmaceuticals'!$AB$41:$AB$60,MATCH($E43&amp;$F43,'TB-Pharmaceuticals'!$D$41:$D$60&amp;'TB-Pharmaceuticals'!$G$41:$G$60,0)),0)</f>
        <v>0</v>
      </c>
      <c r="AU43" s="626">
        <f t="shared" si="60"/>
        <v>0</v>
      </c>
      <c r="AV43" s="626">
        <f t="shared" si="61"/>
        <v>0</v>
      </c>
      <c r="AW43" s="626">
        <f t="shared" si="62"/>
        <v>0</v>
      </c>
      <c r="AX43" s="625">
        <f t="array" ref="AX43">IFERROR(INDEX('TB-Pharmaceuticals'!$AC$41:$AC$60,MATCH($E43&amp;$F43,'TB-Pharmaceuticals'!$D$41:$D$60&amp;'TB-Pharmaceuticals'!$G$41:$G$60,0)),0)</f>
        <v>0</v>
      </c>
      <c r="AY43" s="626">
        <f t="shared" si="63"/>
        <v>0</v>
      </c>
      <c r="AZ43" s="626">
        <f t="shared" si="64"/>
        <v>0</v>
      </c>
      <c r="BA43" s="626">
        <f t="shared" si="65"/>
        <v>0</v>
      </c>
      <c r="BB43" s="625">
        <f t="array" ref="BB43">IFERROR(INDEX('TB-Pharmaceuticals'!$AD$41:$AD$60,MATCH($E43&amp;$F43,'TB-Pharmaceuticals'!$D$41:$D$60&amp;'TB-Pharmaceuticals'!$G$41:$G$60,0)),0)</f>
        <v>0</v>
      </c>
      <c r="BC43" s="626">
        <f t="shared" si="66"/>
        <v>0</v>
      </c>
      <c r="BD43" s="626">
        <f t="shared" si="67"/>
        <v>0</v>
      </c>
      <c r="BE43" s="626">
        <f t="shared" si="68"/>
        <v>0</v>
      </c>
      <c r="BF43" s="625">
        <f t="array" ref="BF43">IFERROR(INDEX('TB-Pharmaceuticals'!$AE$41:$AE$60,MATCH($E43&amp;$F43,'TB-Pharmaceuticals'!$D$41:$D$60&amp;'TB-Pharmaceuticals'!$G$41:$G$60,0)),0)</f>
        <v>0</v>
      </c>
      <c r="BG43" s="626">
        <f t="shared" si="69"/>
        <v>0</v>
      </c>
      <c r="BH43" s="626">
        <f t="shared" si="70"/>
        <v>0</v>
      </c>
      <c r="BI43" s="626">
        <f t="shared" si="71"/>
        <v>0</v>
      </c>
      <c r="BK43" s="626"/>
      <c r="BL43" s="626"/>
      <c r="BM43" s="626"/>
      <c r="BN43" s="626"/>
      <c r="BO43" s="626"/>
      <c r="BP43" s="626"/>
      <c r="BQ43" s="626"/>
      <c r="BR43" s="626"/>
    </row>
    <row r="44" spans="1:70">
      <c r="A44" s="32" t="s">
        <v>571</v>
      </c>
      <c r="B44" s="32" t="s">
        <v>1739</v>
      </c>
      <c r="C44" s="619">
        <f>SETUP!$F$38</f>
        <v>0</v>
      </c>
      <c r="D44" s="31">
        <v>4.2</v>
      </c>
      <c r="E44" s="32" t="s">
        <v>297</v>
      </c>
      <c r="F44" s="32" t="s">
        <v>1307</v>
      </c>
      <c r="G44" s="625" t="str">
        <f t="array" ref="G44">IFERROR(INDEX('TB-Pharmaceuticals'!$K$41:$K$60,MATCH($E44&amp;$F44,'TB-Pharmaceuticals'!$D$41:$D$60&amp;'TB-Pharmaceuticals'!$G$41:$G$60,0)),"")</f>
        <v/>
      </c>
      <c r="H44" s="625" t="str">
        <f t="array" ref="H44">IFERROR(INDEX('TB-Pharmaceuticals'!$L$41:$L$60,MATCH($E44&amp;$F44,'TB-Pharmaceuticals'!$D$41:$D$60&amp;'TB-Pharmaceuticals'!$G$41:$G$60,0)),"")</f>
        <v/>
      </c>
      <c r="I44" s="625">
        <f t="array" ref="I44">IFERROR(INDEX('TB-Pharmaceuticals'!$M$41:$M$60,MATCH($E44&amp;$F44,'TB-Pharmaceuticals'!$D$41:$D$60&amp;'TB-Pharmaceuticals'!$G$41:$G$60,0)),0)</f>
        <v>0</v>
      </c>
      <c r="J44" s="625">
        <f t="array" ref="J44">IFERROR(INDEX('TB-Pharmaceuticals'!$N$41:$N$60,MATCH($E44&amp;$F44,'TB-Pharmaceuticals'!$D$41:$D$60&amp;'TB-Pharmaceuticals'!$G$41:$G$60,0)),0)</f>
        <v>0</v>
      </c>
      <c r="K44" s="626">
        <f t="shared" si="36"/>
        <v>0</v>
      </c>
      <c r="L44" s="626">
        <f t="shared" si="37"/>
        <v>0</v>
      </c>
      <c r="M44" s="626">
        <f t="shared" si="38"/>
        <v>0</v>
      </c>
      <c r="N44" s="625">
        <f t="array" ref="N44">IFERROR(INDEX('TB-Pharmaceuticals'!$O$41:$O$60,MATCH($E44&amp;$F44,'TB-Pharmaceuticals'!$D$41:$D$60&amp;'TB-Pharmaceuticals'!$G$41:$G$60,0)),0)</f>
        <v>0</v>
      </c>
      <c r="O44" s="626">
        <f t="shared" si="39"/>
        <v>0</v>
      </c>
      <c r="P44" s="626">
        <f t="shared" si="40"/>
        <v>0</v>
      </c>
      <c r="Q44" s="626">
        <f t="shared" si="41"/>
        <v>0</v>
      </c>
      <c r="R44" s="625">
        <f t="array" ref="R44">IFERROR(INDEX('TB-Pharmaceuticals'!$P$41:$P$60,MATCH($E44&amp;$F44,'TB-Pharmaceuticals'!$D$41:$D$60&amp;'TB-Pharmaceuticals'!$G$41:$G$60,0)),0)</f>
        <v>0</v>
      </c>
      <c r="S44" s="626">
        <f t="shared" si="42"/>
        <v>0</v>
      </c>
      <c r="T44" s="626">
        <f t="shared" si="43"/>
        <v>0</v>
      </c>
      <c r="U44" s="626">
        <f t="shared" si="44"/>
        <v>0</v>
      </c>
      <c r="V44" s="625">
        <f t="array" ref="V44">IFERROR(INDEX('TB-Pharmaceuticals'!$Q$41:$Q$60,MATCH($E44&amp;$F44,'TB-Pharmaceuticals'!$D$41:$D$60&amp;'TB-Pharmaceuticals'!$G$41:$G$60,0)),0)</f>
        <v>0</v>
      </c>
      <c r="W44" s="626">
        <f t="shared" si="45"/>
        <v>0</v>
      </c>
      <c r="X44" s="626">
        <f t="shared" si="46"/>
        <v>0</v>
      </c>
      <c r="Y44" s="626">
        <f t="shared" si="47"/>
        <v>0</v>
      </c>
      <c r="Z44" s="627"/>
      <c r="AA44" s="625">
        <f t="array" ref="AA44">IFERROR(INDEX('TB-Pharmaceuticals'!$T$41:$T$60,MATCH($E44&amp;$F44,'TB-Pharmaceuticals'!$D$41:$D$60&amp;'TB-Pharmaceuticals'!$G$41:$G$60,0)),0)</f>
        <v>0</v>
      </c>
      <c r="AB44" s="625">
        <f t="array" ref="AB44">IFERROR(INDEX('TB-Pharmaceuticals'!$U$41:$U$60,MATCH($E44&amp;$F44,'TB-Pharmaceuticals'!$D$41:$D$60&amp;'TB-Pharmaceuticals'!$G$41:$G$60,0)),0)</f>
        <v>0</v>
      </c>
      <c r="AC44" s="626">
        <f t="shared" si="48"/>
        <v>0</v>
      </c>
      <c r="AD44" s="626">
        <f t="shared" si="49"/>
        <v>0</v>
      </c>
      <c r="AE44" s="626">
        <f t="shared" si="50"/>
        <v>0</v>
      </c>
      <c r="AF44" s="625">
        <f t="array" ref="AF44">IFERROR(INDEX('TB-Pharmaceuticals'!$V$41:$V$60,MATCH($E44&amp;$F44,'TB-Pharmaceuticals'!$D$41:$D$60&amp;'TB-Pharmaceuticals'!$G$41:$G$60,0)),0)</f>
        <v>0</v>
      </c>
      <c r="AG44" s="626">
        <f t="shared" si="51"/>
        <v>0</v>
      </c>
      <c r="AH44" s="626">
        <f t="shared" si="52"/>
        <v>0</v>
      </c>
      <c r="AI44" s="626">
        <f t="shared" si="53"/>
        <v>0</v>
      </c>
      <c r="AJ44" s="625">
        <f t="array" ref="AJ44">IFERROR(INDEX('TB-Pharmaceuticals'!$W$41:$W$60,MATCH($E44&amp;$F44,'TB-Pharmaceuticals'!$D$41:$D$60&amp;'TB-Pharmaceuticals'!$G$41:$G$60,0)),0)</f>
        <v>0</v>
      </c>
      <c r="AK44" s="626">
        <f t="shared" si="54"/>
        <v>0</v>
      </c>
      <c r="AL44" s="626">
        <f t="shared" si="55"/>
        <v>0</v>
      </c>
      <c r="AM44" s="626">
        <f t="shared" si="56"/>
        <v>0</v>
      </c>
      <c r="AN44" s="625">
        <f t="array" ref="AN44">IFERROR(INDEX('TB-Pharmaceuticals'!$X$41:$X$60,MATCH($E44&amp;$F44,'TB-Pharmaceuticals'!$D$41:$D$60&amp;'TB-Pharmaceuticals'!$G$41:$G$60,0)),0)</f>
        <v>0</v>
      </c>
      <c r="AO44" s="626">
        <f t="shared" si="57"/>
        <v>0</v>
      </c>
      <c r="AP44" s="626">
        <f t="shared" si="58"/>
        <v>0</v>
      </c>
      <c r="AQ44" s="626">
        <f t="shared" si="59"/>
        <v>0</v>
      </c>
      <c r="AR44" s="627"/>
      <c r="AS44" s="625">
        <f t="array" ref="AS44">IFERROR(INDEX('TB-Pharmaceuticals'!$AA$41:$AA$60,MATCH($E44&amp;$F44,'TB-Pharmaceuticals'!$D$41:$D$60&amp;'TB-Pharmaceuticals'!$G$41:$G$60,0)),0)</f>
        <v>0</v>
      </c>
      <c r="AT44" s="625">
        <f t="array" ref="AT44">IFERROR(INDEX('TB-Pharmaceuticals'!$AB$41:$AB$60,MATCH($E44&amp;$F44,'TB-Pharmaceuticals'!$D$41:$D$60&amp;'TB-Pharmaceuticals'!$G$41:$G$60,0)),0)</f>
        <v>0</v>
      </c>
      <c r="AU44" s="626">
        <f t="shared" si="60"/>
        <v>0</v>
      </c>
      <c r="AV44" s="626">
        <f t="shared" si="61"/>
        <v>0</v>
      </c>
      <c r="AW44" s="626">
        <f t="shared" si="62"/>
        <v>0</v>
      </c>
      <c r="AX44" s="625">
        <f t="array" ref="AX44">IFERROR(INDEX('TB-Pharmaceuticals'!$AC$41:$AC$60,MATCH($E44&amp;$F44,'TB-Pharmaceuticals'!$D$41:$D$60&amp;'TB-Pharmaceuticals'!$G$41:$G$60,0)),0)</f>
        <v>0</v>
      </c>
      <c r="AY44" s="626">
        <f t="shared" si="63"/>
        <v>0</v>
      </c>
      <c r="AZ44" s="626">
        <f t="shared" si="64"/>
        <v>0</v>
      </c>
      <c r="BA44" s="626">
        <f t="shared" si="65"/>
        <v>0</v>
      </c>
      <c r="BB44" s="625">
        <f t="array" ref="BB44">IFERROR(INDEX('TB-Pharmaceuticals'!$AD$41:$AD$60,MATCH($E44&amp;$F44,'TB-Pharmaceuticals'!$D$41:$D$60&amp;'TB-Pharmaceuticals'!$G$41:$G$60,0)),0)</f>
        <v>0</v>
      </c>
      <c r="BC44" s="626">
        <f t="shared" si="66"/>
        <v>0</v>
      </c>
      <c r="BD44" s="626">
        <f t="shared" si="67"/>
        <v>0</v>
      </c>
      <c r="BE44" s="626">
        <f t="shared" si="68"/>
        <v>0</v>
      </c>
      <c r="BF44" s="625">
        <f t="array" ref="BF44">IFERROR(INDEX('TB-Pharmaceuticals'!$AE$41:$AE$60,MATCH($E44&amp;$F44,'TB-Pharmaceuticals'!$D$41:$D$60&amp;'TB-Pharmaceuticals'!$G$41:$G$60,0)),0)</f>
        <v>0</v>
      </c>
      <c r="BG44" s="626">
        <f t="shared" si="69"/>
        <v>0</v>
      </c>
      <c r="BH44" s="626">
        <f t="shared" si="70"/>
        <v>0</v>
      </c>
      <c r="BI44" s="626">
        <f t="shared" si="71"/>
        <v>0</v>
      </c>
      <c r="BK44" s="626"/>
      <c r="BL44" s="626"/>
      <c r="BM44" s="626"/>
      <c r="BN44" s="626"/>
      <c r="BO44" s="626"/>
      <c r="BP44" s="626"/>
      <c r="BQ44" s="626"/>
      <c r="BR44" s="626"/>
    </row>
    <row r="45" spans="1:70">
      <c r="A45" s="32" t="s">
        <v>571</v>
      </c>
      <c r="B45" s="32" t="s">
        <v>1739</v>
      </c>
      <c r="C45" s="619">
        <f>SETUP!$F$38</f>
        <v>0</v>
      </c>
      <c r="D45" s="31">
        <v>4.2</v>
      </c>
      <c r="E45" s="32" t="s">
        <v>297</v>
      </c>
      <c r="F45" s="32" t="s">
        <v>1308</v>
      </c>
      <c r="G45" s="625" t="str">
        <f t="array" ref="G45">IFERROR(INDEX('TB-Pharmaceuticals'!$K$41:$K$60,MATCH($E45&amp;$F45,'TB-Pharmaceuticals'!$D$41:$D$60&amp;'TB-Pharmaceuticals'!$G$41:$G$60,0)),"")</f>
        <v/>
      </c>
      <c r="H45" s="625" t="str">
        <f t="array" ref="H45">IFERROR(INDEX('TB-Pharmaceuticals'!$L$41:$L$60,MATCH($E45&amp;$F45,'TB-Pharmaceuticals'!$D$41:$D$60&amp;'TB-Pharmaceuticals'!$G$41:$G$60,0)),"")</f>
        <v/>
      </c>
      <c r="I45" s="625">
        <f t="array" ref="I45">IFERROR(INDEX('TB-Pharmaceuticals'!$M$41:$M$60,MATCH($E45&amp;$F45,'TB-Pharmaceuticals'!$D$41:$D$60&amp;'TB-Pharmaceuticals'!$G$41:$G$60,0)),0)</f>
        <v>0</v>
      </c>
      <c r="J45" s="625">
        <f t="array" ref="J45">IFERROR(INDEX('TB-Pharmaceuticals'!$N$41:$N$60,MATCH($E45&amp;$F45,'TB-Pharmaceuticals'!$D$41:$D$60&amp;'TB-Pharmaceuticals'!$G$41:$G$60,0)),0)</f>
        <v>0</v>
      </c>
      <c r="K45" s="626">
        <f t="shared" si="36"/>
        <v>0</v>
      </c>
      <c r="L45" s="626">
        <f t="shared" si="37"/>
        <v>0</v>
      </c>
      <c r="M45" s="626">
        <f t="shared" si="38"/>
        <v>0</v>
      </c>
      <c r="N45" s="625">
        <f t="array" ref="N45">IFERROR(INDEX('TB-Pharmaceuticals'!$O$41:$O$60,MATCH($E45&amp;$F45,'TB-Pharmaceuticals'!$D$41:$D$60&amp;'TB-Pharmaceuticals'!$G$41:$G$60,0)),0)</f>
        <v>0</v>
      </c>
      <c r="O45" s="626">
        <f t="shared" si="39"/>
        <v>0</v>
      </c>
      <c r="P45" s="626">
        <f t="shared" si="40"/>
        <v>0</v>
      </c>
      <c r="Q45" s="626">
        <f t="shared" si="41"/>
        <v>0</v>
      </c>
      <c r="R45" s="625">
        <f t="array" ref="R45">IFERROR(INDEX('TB-Pharmaceuticals'!$P$41:$P$60,MATCH($E45&amp;$F45,'TB-Pharmaceuticals'!$D$41:$D$60&amp;'TB-Pharmaceuticals'!$G$41:$G$60,0)),0)</f>
        <v>0</v>
      </c>
      <c r="S45" s="626">
        <f t="shared" si="42"/>
        <v>0</v>
      </c>
      <c r="T45" s="626">
        <f t="shared" si="43"/>
        <v>0</v>
      </c>
      <c r="U45" s="626">
        <f t="shared" si="44"/>
        <v>0</v>
      </c>
      <c r="V45" s="625">
        <f t="array" ref="V45">IFERROR(INDEX('TB-Pharmaceuticals'!$Q$41:$Q$60,MATCH($E45&amp;$F45,'TB-Pharmaceuticals'!$D$41:$D$60&amp;'TB-Pharmaceuticals'!$G$41:$G$60,0)),0)</f>
        <v>0</v>
      </c>
      <c r="W45" s="626">
        <f t="shared" si="45"/>
        <v>0</v>
      </c>
      <c r="X45" s="626">
        <f t="shared" si="46"/>
        <v>0</v>
      </c>
      <c r="Y45" s="626">
        <f t="shared" si="47"/>
        <v>0</v>
      </c>
      <c r="Z45" s="627"/>
      <c r="AA45" s="625">
        <f t="array" ref="AA45">IFERROR(INDEX('TB-Pharmaceuticals'!$T$41:$T$60,MATCH($E45&amp;$F45,'TB-Pharmaceuticals'!$D$41:$D$60&amp;'TB-Pharmaceuticals'!$G$41:$G$60,0)),0)</f>
        <v>0</v>
      </c>
      <c r="AB45" s="625">
        <f t="array" ref="AB45">IFERROR(INDEX('TB-Pharmaceuticals'!$U$41:$U$60,MATCH($E45&amp;$F45,'TB-Pharmaceuticals'!$D$41:$D$60&amp;'TB-Pharmaceuticals'!$G$41:$G$60,0)),0)</f>
        <v>0</v>
      </c>
      <c r="AC45" s="626">
        <f t="shared" si="48"/>
        <v>0</v>
      </c>
      <c r="AD45" s="626">
        <f t="shared" si="49"/>
        <v>0</v>
      </c>
      <c r="AE45" s="626">
        <f t="shared" si="50"/>
        <v>0</v>
      </c>
      <c r="AF45" s="625">
        <f t="array" ref="AF45">IFERROR(INDEX('TB-Pharmaceuticals'!$V$41:$V$60,MATCH($E45&amp;$F45,'TB-Pharmaceuticals'!$D$41:$D$60&amp;'TB-Pharmaceuticals'!$G$41:$G$60,0)),0)</f>
        <v>0</v>
      </c>
      <c r="AG45" s="626">
        <f t="shared" si="51"/>
        <v>0</v>
      </c>
      <c r="AH45" s="626">
        <f t="shared" si="52"/>
        <v>0</v>
      </c>
      <c r="AI45" s="626">
        <f t="shared" si="53"/>
        <v>0</v>
      </c>
      <c r="AJ45" s="625">
        <f t="array" ref="AJ45">IFERROR(INDEX('TB-Pharmaceuticals'!$W$41:$W$60,MATCH($E45&amp;$F45,'TB-Pharmaceuticals'!$D$41:$D$60&amp;'TB-Pharmaceuticals'!$G$41:$G$60,0)),0)</f>
        <v>0</v>
      </c>
      <c r="AK45" s="626">
        <f t="shared" si="54"/>
        <v>0</v>
      </c>
      <c r="AL45" s="626">
        <f t="shared" si="55"/>
        <v>0</v>
      </c>
      <c r="AM45" s="626">
        <f t="shared" si="56"/>
        <v>0</v>
      </c>
      <c r="AN45" s="625">
        <f t="array" ref="AN45">IFERROR(INDEX('TB-Pharmaceuticals'!$X$41:$X$60,MATCH($E45&amp;$F45,'TB-Pharmaceuticals'!$D$41:$D$60&amp;'TB-Pharmaceuticals'!$G$41:$G$60,0)),0)</f>
        <v>0</v>
      </c>
      <c r="AO45" s="626">
        <f t="shared" si="57"/>
        <v>0</v>
      </c>
      <c r="AP45" s="626">
        <f t="shared" si="58"/>
        <v>0</v>
      </c>
      <c r="AQ45" s="626">
        <f t="shared" si="59"/>
        <v>0</v>
      </c>
      <c r="AR45" s="627"/>
      <c r="AS45" s="625">
        <f t="array" ref="AS45">IFERROR(INDEX('TB-Pharmaceuticals'!$AA$41:$AA$60,MATCH($E45&amp;$F45,'TB-Pharmaceuticals'!$D$41:$D$60&amp;'TB-Pharmaceuticals'!$G$41:$G$60,0)),0)</f>
        <v>0</v>
      </c>
      <c r="AT45" s="625">
        <f t="array" ref="AT45">IFERROR(INDEX('TB-Pharmaceuticals'!$AB$41:$AB$60,MATCH($E45&amp;$F45,'TB-Pharmaceuticals'!$D$41:$D$60&amp;'TB-Pharmaceuticals'!$G$41:$G$60,0)),0)</f>
        <v>0</v>
      </c>
      <c r="AU45" s="626">
        <f t="shared" si="60"/>
        <v>0</v>
      </c>
      <c r="AV45" s="626">
        <f t="shared" si="61"/>
        <v>0</v>
      </c>
      <c r="AW45" s="626">
        <f t="shared" si="62"/>
        <v>0</v>
      </c>
      <c r="AX45" s="625">
        <f t="array" ref="AX45">IFERROR(INDEX('TB-Pharmaceuticals'!$AC$41:$AC$60,MATCH($E45&amp;$F45,'TB-Pharmaceuticals'!$D$41:$D$60&amp;'TB-Pharmaceuticals'!$G$41:$G$60,0)),0)</f>
        <v>0</v>
      </c>
      <c r="AY45" s="626">
        <f t="shared" si="63"/>
        <v>0</v>
      </c>
      <c r="AZ45" s="626">
        <f t="shared" si="64"/>
        <v>0</v>
      </c>
      <c r="BA45" s="626">
        <f t="shared" si="65"/>
        <v>0</v>
      </c>
      <c r="BB45" s="625">
        <f t="array" ref="BB45">IFERROR(INDEX('TB-Pharmaceuticals'!$AD$41:$AD$60,MATCH($E45&amp;$F45,'TB-Pharmaceuticals'!$D$41:$D$60&amp;'TB-Pharmaceuticals'!$G$41:$G$60,0)),0)</f>
        <v>0</v>
      </c>
      <c r="BC45" s="626">
        <f t="shared" si="66"/>
        <v>0</v>
      </c>
      <c r="BD45" s="626">
        <f t="shared" si="67"/>
        <v>0</v>
      </c>
      <c r="BE45" s="626">
        <f t="shared" si="68"/>
        <v>0</v>
      </c>
      <c r="BF45" s="625">
        <f t="array" ref="BF45">IFERROR(INDEX('TB-Pharmaceuticals'!$AE$41:$AE$60,MATCH($E45&amp;$F45,'TB-Pharmaceuticals'!$D$41:$D$60&amp;'TB-Pharmaceuticals'!$G$41:$G$60,0)),0)</f>
        <v>0</v>
      </c>
      <c r="BG45" s="626">
        <f t="shared" si="69"/>
        <v>0</v>
      </c>
      <c r="BH45" s="626">
        <f t="shared" si="70"/>
        <v>0</v>
      </c>
      <c r="BI45" s="626">
        <f t="shared" si="71"/>
        <v>0</v>
      </c>
      <c r="BK45" s="626"/>
      <c r="BL45" s="626"/>
      <c r="BM45" s="626"/>
      <c r="BN45" s="626"/>
      <c r="BO45" s="626"/>
      <c r="BP45" s="626"/>
      <c r="BQ45" s="626"/>
      <c r="BR45" s="626"/>
    </row>
    <row r="46" spans="1:70">
      <c r="A46" s="32" t="s">
        <v>571</v>
      </c>
      <c r="B46" s="32" t="s">
        <v>1739</v>
      </c>
      <c r="C46" s="619">
        <f>SETUP!$F$38</f>
        <v>0</v>
      </c>
      <c r="D46" s="31">
        <v>4.2</v>
      </c>
      <c r="E46" s="32" t="s">
        <v>424</v>
      </c>
      <c r="F46" s="32" t="s">
        <v>1260</v>
      </c>
      <c r="G46" s="625" t="str">
        <f t="array" ref="G46">IFERROR(INDEX('TB-Pharmaceuticals'!$K$41:$K$60,MATCH($E46&amp;$F46,'TB-Pharmaceuticals'!$D$41:$D$60&amp;'TB-Pharmaceuticals'!$G$41:$G$60,0)),"")</f>
        <v/>
      </c>
      <c r="H46" s="625" t="str">
        <f t="array" ref="H46">IFERROR(INDEX('TB-Pharmaceuticals'!$L$41:$L$60,MATCH($E46&amp;$F46,'TB-Pharmaceuticals'!$D$41:$D$60&amp;'TB-Pharmaceuticals'!$G$41:$G$60,0)),"")</f>
        <v/>
      </c>
      <c r="I46" s="625">
        <f t="array" ref="I46">IFERROR(INDEX('TB-Pharmaceuticals'!$M$41:$M$60,MATCH($E46&amp;$F46,'TB-Pharmaceuticals'!$D$41:$D$60&amp;'TB-Pharmaceuticals'!$G$41:$G$60,0)),0)</f>
        <v>0</v>
      </c>
      <c r="J46" s="625">
        <f t="array" ref="J46">IFERROR(INDEX('TB-Pharmaceuticals'!$N$41:$N$60,MATCH($E46&amp;$F46,'TB-Pharmaceuticals'!$D$41:$D$60&amp;'TB-Pharmaceuticals'!$G$41:$G$60,0)),0)</f>
        <v>0</v>
      </c>
      <c r="K46" s="626">
        <f t="shared" si="36"/>
        <v>0</v>
      </c>
      <c r="L46" s="626">
        <f t="shared" si="37"/>
        <v>0</v>
      </c>
      <c r="M46" s="626">
        <f t="shared" si="38"/>
        <v>0</v>
      </c>
      <c r="N46" s="625">
        <f t="array" ref="N46">IFERROR(INDEX('TB-Pharmaceuticals'!$O$41:$O$60,MATCH($E46&amp;$F46,'TB-Pharmaceuticals'!$D$41:$D$60&amp;'TB-Pharmaceuticals'!$G$41:$G$60,0)),0)</f>
        <v>0</v>
      </c>
      <c r="O46" s="626">
        <f t="shared" si="39"/>
        <v>0</v>
      </c>
      <c r="P46" s="626">
        <f t="shared" si="40"/>
        <v>0</v>
      </c>
      <c r="Q46" s="626">
        <f t="shared" si="41"/>
        <v>0</v>
      </c>
      <c r="R46" s="625">
        <f t="array" ref="R46">IFERROR(INDEX('TB-Pharmaceuticals'!$P$41:$P$60,MATCH($E46&amp;$F46,'TB-Pharmaceuticals'!$D$41:$D$60&amp;'TB-Pharmaceuticals'!$G$41:$G$60,0)),0)</f>
        <v>0</v>
      </c>
      <c r="S46" s="626">
        <f t="shared" si="42"/>
        <v>0</v>
      </c>
      <c r="T46" s="626">
        <f t="shared" si="43"/>
        <v>0</v>
      </c>
      <c r="U46" s="626">
        <f t="shared" si="44"/>
        <v>0</v>
      </c>
      <c r="V46" s="625">
        <f t="array" ref="V46">IFERROR(INDEX('TB-Pharmaceuticals'!$Q$41:$Q$60,MATCH($E46&amp;$F46,'TB-Pharmaceuticals'!$D$41:$D$60&amp;'TB-Pharmaceuticals'!$G$41:$G$60,0)),0)</f>
        <v>0</v>
      </c>
      <c r="W46" s="626">
        <f t="shared" si="45"/>
        <v>0</v>
      </c>
      <c r="X46" s="626">
        <f t="shared" si="46"/>
        <v>0</v>
      </c>
      <c r="Y46" s="626">
        <f t="shared" si="47"/>
        <v>0</v>
      </c>
      <c r="Z46" s="627"/>
      <c r="AA46" s="625">
        <f t="array" ref="AA46">IFERROR(INDEX('TB-Pharmaceuticals'!$T$41:$T$60,MATCH($E46&amp;$F46,'TB-Pharmaceuticals'!$D$41:$D$60&amp;'TB-Pharmaceuticals'!$G$41:$G$60,0)),0)</f>
        <v>0</v>
      </c>
      <c r="AB46" s="625">
        <f t="array" ref="AB46">IFERROR(INDEX('TB-Pharmaceuticals'!$U$41:$U$60,MATCH($E46&amp;$F46,'TB-Pharmaceuticals'!$D$41:$D$60&amp;'TB-Pharmaceuticals'!$G$41:$G$60,0)),0)</f>
        <v>0</v>
      </c>
      <c r="AC46" s="626">
        <f t="shared" si="48"/>
        <v>0</v>
      </c>
      <c r="AD46" s="626">
        <f t="shared" si="49"/>
        <v>0</v>
      </c>
      <c r="AE46" s="626">
        <f t="shared" si="50"/>
        <v>0</v>
      </c>
      <c r="AF46" s="625">
        <f t="array" ref="AF46">IFERROR(INDEX('TB-Pharmaceuticals'!$V$41:$V$60,MATCH($E46&amp;$F46,'TB-Pharmaceuticals'!$D$41:$D$60&amp;'TB-Pharmaceuticals'!$G$41:$G$60,0)),0)</f>
        <v>0</v>
      </c>
      <c r="AG46" s="626">
        <f t="shared" si="51"/>
        <v>0</v>
      </c>
      <c r="AH46" s="626">
        <f t="shared" si="52"/>
        <v>0</v>
      </c>
      <c r="AI46" s="626">
        <f t="shared" si="53"/>
        <v>0</v>
      </c>
      <c r="AJ46" s="625">
        <f t="array" ref="AJ46">IFERROR(INDEX('TB-Pharmaceuticals'!$W$41:$W$60,MATCH($E46&amp;$F46,'TB-Pharmaceuticals'!$D$41:$D$60&amp;'TB-Pharmaceuticals'!$G$41:$G$60,0)),0)</f>
        <v>0</v>
      </c>
      <c r="AK46" s="626">
        <f t="shared" si="54"/>
        <v>0</v>
      </c>
      <c r="AL46" s="626">
        <f t="shared" si="55"/>
        <v>0</v>
      </c>
      <c r="AM46" s="626">
        <f t="shared" si="56"/>
        <v>0</v>
      </c>
      <c r="AN46" s="625">
        <f t="array" ref="AN46">IFERROR(INDEX('TB-Pharmaceuticals'!$X$41:$X$60,MATCH($E46&amp;$F46,'TB-Pharmaceuticals'!$D$41:$D$60&amp;'TB-Pharmaceuticals'!$G$41:$G$60,0)),0)</f>
        <v>0</v>
      </c>
      <c r="AO46" s="626">
        <f t="shared" si="57"/>
        <v>0</v>
      </c>
      <c r="AP46" s="626">
        <f t="shared" si="58"/>
        <v>0</v>
      </c>
      <c r="AQ46" s="626">
        <f t="shared" si="59"/>
        <v>0</v>
      </c>
      <c r="AR46" s="627"/>
      <c r="AS46" s="625">
        <f t="array" ref="AS46">IFERROR(INDEX('TB-Pharmaceuticals'!$AA$41:$AA$60,MATCH($E46&amp;$F46,'TB-Pharmaceuticals'!$D$41:$D$60&amp;'TB-Pharmaceuticals'!$G$41:$G$60,0)),0)</f>
        <v>0</v>
      </c>
      <c r="AT46" s="625">
        <f t="array" ref="AT46">IFERROR(INDEX('TB-Pharmaceuticals'!$AB$41:$AB$60,MATCH($E46&amp;$F46,'TB-Pharmaceuticals'!$D$41:$D$60&amp;'TB-Pharmaceuticals'!$G$41:$G$60,0)),0)</f>
        <v>0</v>
      </c>
      <c r="AU46" s="626">
        <f t="shared" si="60"/>
        <v>0</v>
      </c>
      <c r="AV46" s="626">
        <f t="shared" si="61"/>
        <v>0</v>
      </c>
      <c r="AW46" s="626">
        <f t="shared" si="62"/>
        <v>0</v>
      </c>
      <c r="AX46" s="625">
        <f t="array" ref="AX46">IFERROR(INDEX('TB-Pharmaceuticals'!$AC$41:$AC$60,MATCH($E46&amp;$F46,'TB-Pharmaceuticals'!$D$41:$D$60&amp;'TB-Pharmaceuticals'!$G$41:$G$60,0)),0)</f>
        <v>0</v>
      </c>
      <c r="AY46" s="626">
        <f t="shared" si="63"/>
        <v>0</v>
      </c>
      <c r="AZ46" s="626">
        <f t="shared" si="64"/>
        <v>0</v>
      </c>
      <c r="BA46" s="626">
        <f t="shared" si="65"/>
        <v>0</v>
      </c>
      <c r="BB46" s="625">
        <f t="array" ref="BB46">IFERROR(INDEX('TB-Pharmaceuticals'!$AD$41:$AD$60,MATCH($E46&amp;$F46,'TB-Pharmaceuticals'!$D$41:$D$60&amp;'TB-Pharmaceuticals'!$G$41:$G$60,0)),0)</f>
        <v>0</v>
      </c>
      <c r="BC46" s="626">
        <f t="shared" si="66"/>
        <v>0</v>
      </c>
      <c r="BD46" s="626">
        <f t="shared" si="67"/>
        <v>0</v>
      </c>
      <c r="BE46" s="626">
        <f t="shared" si="68"/>
        <v>0</v>
      </c>
      <c r="BF46" s="625">
        <f t="array" ref="BF46">IFERROR(INDEX('TB-Pharmaceuticals'!$AE$41:$AE$60,MATCH($E46&amp;$F46,'TB-Pharmaceuticals'!$D$41:$D$60&amp;'TB-Pharmaceuticals'!$G$41:$G$60,0)),0)</f>
        <v>0</v>
      </c>
      <c r="BG46" s="626">
        <f t="shared" si="69"/>
        <v>0</v>
      </c>
      <c r="BH46" s="626">
        <f t="shared" si="70"/>
        <v>0</v>
      </c>
      <c r="BI46" s="626">
        <f t="shared" si="71"/>
        <v>0</v>
      </c>
      <c r="BK46" s="626"/>
      <c r="BL46" s="626"/>
      <c r="BM46" s="626"/>
      <c r="BN46" s="626"/>
      <c r="BO46" s="626"/>
      <c r="BP46" s="626"/>
      <c r="BQ46" s="626"/>
      <c r="BR46" s="626"/>
    </row>
    <row r="47" spans="1:70">
      <c r="A47" s="32" t="s">
        <v>571</v>
      </c>
      <c r="B47" s="32" t="s">
        <v>1739</v>
      </c>
      <c r="C47" s="619">
        <f>SETUP!$F$38</f>
        <v>0</v>
      </c>
      <c r="D47" s="31">
        <v>4.2</v>
      </c>
      <c r="E47" s="32" t="s">
        <v>424</v>
      </c>
      <c r="F47" s="32" t="s">
        <v>1261</v>
      </c>
      <c r="G47" s="625" t="str">
        <f t="array" ref="G47">IFERROR(INDEX('TB-Pharmaceuticals'!$K$41:$K$60,MATCH($E47&amp;$F47,'TB-Pharmaceuticals'!$D$41:$D$60&amp;'TB-Pharmaceuticals'!$G$41:$G$60,0)),"")</f>
        <v/>
      </c>
      <c r="H47" s="625" t="str">
        <f t="array" ref="H47">IFERROR(INDEX('TB-Pharmaceuticals'!$L$41:$L$60,MATCH($E47&amp;$F47,'TB-Pharmaceuticals'!$D$41:$D$60&amp;'TB-Pharmaceuticals'!$G$41:$G$60,0)),"")</f>
        <v/>
      </c>
      <c r="I47" s="625">
        <f t="array" ref="I47">IFERROR(INDEX('TB-Pharmaceuticals'!$M$41:$M$60,MATCH($E47&amp;$F47,'TB-Pharmaceuticals'!$D$41:$D$60&amp;'TB-Pharmaceuticals'!$G$41:$G$60,0)),0)</f>
        <v>0</v>
      </c>
      <c r="J47" s="625">
        <f t="array" ref="J47">IFERROR(INDEX('TB-Pharmaceuticals'!$N$41:$N$60,MATCH($E47&amp;$F47,'TB-Pharmaceuticals'!$D$41:$D$60&amp;'TB-Pharmaceuticals'!$G$41:$G$60,0)),0)</f>
        <v>0</v>
      </c>
      <c r="K47" s="626">
        <f t="shared" si="36"/>
        <v>0</v>
      </c>
      <c r="L47" s="626">
        <f t="shared" si="37"/>
        <v>0</v>
      </c>
      <c r="M47" s="626">
        <f t="shared" si="38"/>
        <v>0</v>
      </c>
      <c r="N47" s="625">
        <f t="array" ref="N47">IFERROR(INDEX('TB-Pharmaceuticals'!$O$41:$O$60,MATCH($E47&amp;$F47,'TB-Pharmaceuticals'!$D$41:$D$60&amp;'TB-Pharmaceuticals'!$G$41:$G$60,0)),0)</f>
        <v>0</v>
      </c>
      <c r="O47" s="626">
        <f t="shared" si="39"/>
        <v>0</v>
      </c>
      <c r="P47" s="626">
        <f t="shared" si="40"/>
        <v>0</v>
      </c>
      <c r="Q47" s="626">
        <f t="shared" si="41"/>
        <v>0</v>
      </c>
      <c r="R47" s="625">
        <f t="array" ref="R47">IFERROR(INDEX('TB-Pharmaceuticals'!$P$41:$P$60,MATCH($E47&amp;$F47,'TB-Pharmaceuticals'!$D$41:$D$60&amp;'TB-Pharmaceuticals'!$G$41:$G$60,0)),0)</f>
        <v>0</v>
      </c>
      <c r="S47" s="626">
        <f t="shared" si="42"/>
        <v>0</v>
      </c>
      <c r="T47" s="626">
        <f t="shared" si="43"/>
        <v>0</v>
      </c>
      <c r="U47" s="626">
        <f t="shared" si="44"/>
        <v>0</v>
      </c>
      <c r="V47" s="625">
        <f t="array" ref="V47">IFERROR(INDEX('TB-Pharmaceuticals'!$Q$41:$Q$60,MATCH($E47&amp;$F47,'TB-Pharmaceuticals'!$D$41:$D$60&amp;'TB-Pharmaceuticals'!$G$41:$G$60,0)),0)</f>
        <v>0</v>
      </c>
      <c r="W47" s="626">
        <f t="shared" si="45"/>
        <v>0</v>
      </c>
      <c r="X47" s="626">
        <f t="shared" si="46"/>
        <v>0</v>
      </c>
      <c r="Y47" s="626">
        <f t="shared" si="47"/>
        <v>0</v>
      </c>
      <c r="Z47" s="627"/>
      <c r="AA47" s="625">
        <f t="array" ref="AA47">IFERROR(INDEX('TB-Pharmaceuticals'!$T$41:$T$60,MATCH($E47&amp;$F47,'TB-Pharmaceuticals'!$D$41:$D$60&amp;'TB-Pharmaceuticals'!$G$41:$G$60,0)),0)</f>
        <v>0</v>
      </c>
      <c r="AB47" s="625">
        <f t="array" ref="AB47">IFERROR(INDEX('TB-Pharmaceuticals'!$U$41:$U$60,MATCH($E47&amp;$F47,'TB-Pharmaceuticals'!$D$41:$D$60&amp;'TB-Pharmaceuticals'!$G$41:$G$60,0)),0)</f>
        <v>0</v>
      </c>
      <c r="AC47" s="626">
        <f t="shared" si="48"/>
        <v>0</v>
      </c>
      <c r="AD47" s="626">
        <f t="shared" si="49"/>
        <v>0</v>
      </c>
      <c r="AE47" s="626">
        <f t="shared" si="50"/>
        <v>0</v>
      </c>
      <c r="AF47" s="625">
        <f t="array" ref="AF47">IFERROR(INDEX('TB-Pharmaceuticals'!$V$41:$V$60,MATCH($E47&amp;$F47,'TB-Pharmaceuticals'!$D$41:$D$60&amp;'TB-Pharmaceuticals'!$G$41:$G$60,0)),0)</f>
        <v>0</v>
      </c>
      <c r="AG47" s="626">
        <f t="shared" si="51"/>
        <v>0</v>
      </c>
      <c r="AH47" s="626">
        <f t="shared" si="52"/>
        <v>0</v>
      </c>
      <c r="AI47" s="626">
        <f t="shared" si="53"/>
        <v>0</v>
      </c>
      <c r="AJ47" s="625">
        <f t="array" ref="AJ47">IFERROR(INDEX('TB-Pharmaceuticals'!$W$41:$W$60,MATCH($E47&amp;$F47,'TB-Pharmaceuticals'!$D$41:$D$60&amp;'TB-Pharmaceuticals'!$G$41:$G$60,0)),0)</f>
        <v>0</v>
      </c>
      <c r="AK47" s="626">
        <f t="shared" si="54"/>
        <v>0</v>
      </c>
      <c r="AL47" s="626">
        <f t="shared" si="55"/>
        <v>0</v>
      </c>
      <c r="AM47" s="626">
        <f t="shared" si="56"/>
        <v>0</v>
      </c>
      <c r="AN47" s="625">
        <f t="array" ref="AN47">IFERROR(INDEX('TB-Pharmaceuticals'!$X$41:$X$60,MATCH($E47&amp;$F47,'TB-Pharmaceuticals'!$D$41:$D$60&amp;'TB-Pharmaceuticals'!$G$41:$G$60,0)),0)</f>
        <v>0</v>
      </c>
      <c r="AO47" s="626">
        <f t="shared" si="57"/>
        <v>0</v>
      </c>
      <c r="AP47" s="626">
        <f t="shared" si="58"/>
        <v>0</v>
      </c>
      <c r="AQ47" s="626">
        <f t="shared" si="59"/>
        <v>0</v>
      </c>
      <c r="AR47" s="627"/>
      <c r="AS47" s="625">
        <f t="array" ref="AS47">IFERROR(INDEX('TB-Pharmaceuticals'!$AA$41:$AA$60,MATCH($E47&amp;$F47,'TB-Pharmaceuticals'!$D$41:$D$60&amp;'TB-Pharmaceuticals'!$G$41:$G$60,0)),0)</f>
        <v>0</v>
      </c>
      <c r="AT47" s="625">
        <f t="array" ref="AT47">IFERROR(INDEX('TB-Pharmaceuticals'!$AB$41:$AB$60,MATCH($E47&amp;$F47,'TB-Pharmaceuticals'!$D$41:$D$60&amp;'TB-Pharmaceuticals'!$G$41:$G$60,0)),0)</f>
        <v>0</v>
      </c>
      <c r="AU47" s="626">
        <f t="shared" si="60"/>
        <v>0</v>
      </c>
      <c r="AV47" s="626">
        <f t="shared" si="61"/>
        <v>0</v>
      </c>
      <c r="AW47" s="626">
        <f t="shared" si="62"/>
        <v>0</v>
      </c>
      <c r="AX47" s="625">
        <f t="array" ref="AX47">IFERROR(INDEX('TB-Pharmaceuticals'!$AC$41:$AC$60,MATCH($E47&amp;$F47,'TB-Pharmaceuticals'!$D$41:$D$60&amp;'TB-Pharmaceuticals'!$G$41:$G$60,0)),0)</f>
        <v>0</v>
      </c>
      <c r="AY47" s="626">
        <f t="shared" si="63"/>
        <v>0</v>
      </c>
      <c r="AZ47" s="626">
        <f t="shared" si="64"/>
        <v>0</v>
      </c>
      <c r="BA47" s="626">
        <f t="shared" si="65"/>
        <v>0</v>
      </c>
      <c r="BB47" s="625">
        <f t="array" ref="BB47">IFERROR(INDEX('TB-Pharmaceuticals'!$AD$41:$AD$60,MATCH($E47&amp;$F47,'TB-Pharmaceuticals'!$D$41:$D$60&amp;'TB-Pharmaceuticals'!$G$41:$G$60,0)),0)</f>
        <v>0</v>
      </c>
      <c r="BC47" s="626">
        <f t="shared" si="66"/>
        <v>0</v>
      </c>
      <c r="BD47" s="626">
        <f t="shared" si="67"/>
        <v>0</v>
      </c>
      <c r="BE47" s="626">
        <f t="shared" si="68"/>
        <v>0</v>
      </c>
      <c r="BF47" s="625">
        <f t="array" ref="BF47">IFERROR(INDEX('TB-Pharmaceuticals'!$AE$41:$AE$60,MATCH($E47&amp;$F47,'TB-Pharmaceuticals'!$D$41:$D$60&amp;'TB-Pharmaceuticals'!$G$41:$G$60,0)),0)</f>
        <v>0</v>
      </c>
      <c r="BG47" s="626">
        <f t="shared" si="69"/>
        <v>0</v>
      </c>
      <c r="BH47" s="626">
        <f t="shared" si="70"/>
        <v>0</v>
      </c>
      <c r="BI47" s="626">
        <f t="shared" si="71"/>
        <v>0</v>
      </c>
      <c r="BK47" s="626"/>
      <c r="BL47" s="626"/>
      <c r="BM47" s="626"/>
      <c r="BN47" s="626"/>
      <c r="BO47" s="626"/>
      <c r="BP47" s="626"/>
      <c r="BQ47" s="626"/>
      <c r="BR47" s="626"/>
    </row>
    <row r="48" spans="1:70">
      <c r="A48" s="32" t="s">
        <v>571</v>
      </c>
      <c r="B48" s="32" t="s">
        <v>1739</v>
      </c>
      <c r="C48" s="619">
        <f>SETUP!$F$38</f>
        <v>0</v>
      </c>
      <c r="D48" s="31">
        <v>4.2</v>
      </c>
      <c r="E48" s="32" t="s">
        <v>424</v>
      </c>
      <c r="F48" s="32" t="s">
        <v>1262</v>
      </c>
      <c r="G48" s="625" t="str">
        <f t="array" ref="G48">IFERROR(INDEX('TB-Pharmaceuticals'!$K$41:$K$60,MATCH($E48&amp;$F48,'TB-Pharmaceuticals'!$D$41:$D$60&amp;'TB-Pharmaceuticals'!$G$41:$G$60,0)),"")</f>
        <v/>
      </c>
      <c r="H48" s="625" t="str">
        <f t="array" ref="H48">IFERROR(INDEX('TB-Pharmaceuticals'!$L$41:$L$60,MATCH($E48&amp;$F48,'TB-Pharmaceuticals'!$D$41:$D$60&amp;'TB-Pharmaceuticals'!$G$41:$G$60,0)),"")</f>
        <v/>
      </c>
      <c r="I48" s="625">
        <f t="array" ref="I48">IFERROR(INDEX('TB-Pharmaceuticals'!$M$41:$M$60,MATCH($E48&amp;$F48,'TB-Pharmaceuticals'!$D$41:$D$60&amp;'TB-Pharmaceuticals'!$G$41:$G$60,0)),0)</f>
        <v>0</v>
      </c>
      <c r="J48" s="625">
        <f t="array" ref="J48">IFERROR(INDEX('TB-Pharmaceuticals'!$N$41:$N$60,MATCH($E48&amp;$F48,'TB-Pharmaceuticals'!$D$41:$D$60&amp;'TB-Pharmaceuticals'!$G$41:$G$60,0)),0)</f>
        <v>0</v>
      </c>
      <c r="K48" s="626">
        <f t="shared" si="36"/>
        <v>0</v>
      </c>
      <c r="L48" s="626">
        <f t="shared" si="37"/>
        <v>0</v>
      </c>
      <c r="M48" s="626">
        <f t="shared" si="38"/>
        <v>0</v>
      </c>
      <c r="N48" s="625">
        <f t="array" ref="N48">IFERROR(INDEX('TB-Pharmaceuticals'!$O$41:$O$60,MATCH($E48&amp;$F48,'TB-Pharmaceuticals'!$D$41:$D$60&amp;'TB-Pharmaceuticals'!$G$41:$G$60,0)),0)</f>
        <v>0</v>
      </c>
      <c r="O48" s="626">
        <f t="shared" si="39"/>
        <v>0</v>
      </c>
      <c r="P48" s="626">
        <f t="shared" si="40"/>
        <v>0</v>
      </c>
      <c r="Q48" s="626">
        <f t="shared" si="41"/>
        <v>0</v>
      </c>
      <c r="R48" s="625">
        <f t="array" ref="R48">IFERROR(INDEX('TB-Pharmaceuticals'!$P$41:$P$60,MATCH($E48&amp;$F48,'TB-Pharmaceuticals'!$D$41:$D$60&amp;'TB-Pharmaceuticals'!$G$41:$G$60,0)),0)</f>
        <v>0</v>
      </c>
      <c r="S48" s="626">
        <f t="shared" si="42"/>
        <v>0</v>
      </c>
      <c r="T48" s="626">
        <f t="shared" si="43"/>
        <v>0</v>
      </c>
      <c r="U48" s="626">
        <f t="shared" si="44"/>
        <v>0</v>
      </c>
      <c r="V48" s="625">
        <f t="array" ref="V48">IFERROR(INDEX('TB-Pharmaceuticals'!$Q$41:$Q$60,MATCH($E48&amp;$F48,'TB-Pharmaceuticals'!$D$41:$D$60&amp;'TB-Pharmaceuticals'!$G$41:$G$60,0)),0)</f>
        <v>0</v>
      </c>
      <c r="W48" s="626">
        <f t="shared" si="45"/>
        <v>0</v>
      </c>
      <c r="X48" s="626">
        <f t="shared" si="46"/>
        <v>0</v>
      </c>
      <c r="Y48" s="626">
        <f t="shared" si="47"/>
        <v>0</v>
      </c>
      <c r="Z48" s="627"/>
      <c r="AA48" s="625">
        <f t="array" ref="AA48">IFERROR(INDEX('TB-Pharmaceuticals'!$T$41:$T$60,MATCH($E48&amp;$F48,'TB-Pharmaceuticals'!$D$41:$D$60&amp;'TB-Pharmaceuticals'!$G$41:$G$60,0)),0)</f>
        <v>0</v>
      </c>
      <c r="AB48" s="625">
        <f t="array" ref="AB48">IFERROR(INDEX('TB-Pharmaceuticals'!$U$41:$U$60,MATCH($E48&amp;$F48,'TB-Pharmaceuticals'!$D$41:$D$60&amp;'TB-Pharmaceuticals'!$G$41:$G$60,0)),0)</f>
        <v>0</v>
      </c>
      <c r="AC48" s="626">
        <f t="shared" si="48"/>
        <v>0</v>
      </c>
      <c r="AD48" s="626">
        <f t="shared" si="49"/>
        <v>0</v>
      </c>
      <c r="AE48" s="626">
        <f t="shared" si="50"/>
        <v>0</v>
      </c>
      <c r="AF48" s="625">
        <f t="array" ref="AF48">IFERROR(INDEX('TB-Pharmaceuticals'!$V$41:$V$60,MATCH($E48&amp;$F48,'TB-Pharmaceuticals'!$D$41:$D$60&amp;'TB-Pharmaceuticals'!$G$41:$G$60,0)),0)</f>
        <v>0</v>
      </c>
      <c r="AG48" s="626">
        <f t="shared" si="51"/>
        <v>0</v>
      </c>
      <c r="AH48" s="626">
        <f t="shared" si="52"/>
        <v>0</v>
      </c>
      <c r="AI48" s="626">
        <f t="shared" si="53"/>
        <v>0</v>
      </c>
      <c r="AJ48" s="625">
        <f t="array" ref="AJ48">IFERROR(INDEX('TB-Pharmaceuticals'!$W$41:$W$60,MATCH($E48&amp;$F48,'TB-Pharmaceuticals'!$D$41:$D$60&amp;'TB-Pharmaceuticals'!$G$41:$G$60,0)),0)</f>
        <v>0</v>
      </c>
      <c r="AK48" s="626">
        <f t="shared" si="54"/>
        <v>0</v>
      </c>
      <c r="AL48" s="626">
        <f t="shared" si="55"/>
        <v>0</v>
      </c>
      <c r="AM48" s="626">
        <f t="shared" si="56"/>
        <v>0</v>
      </c>
      <c r="AN48" s="625">
        <f t="array" ref="AN48">IFERROR(INDEX('TB-Pharmaceuticals'!$X$41:$X$60,MATCH($E48&amp;$F48,'TB-Pharmaceuticals'!$D$41:$D$60&amp;'TB-Pharmaceuticals'!$G$41:$G$60,0)),0)</f>
        <v>0</v>
      </c>
      <c r="AO48" s="626">
        <f t="shared" si="57"/>
        <v>0</v>
      </c>
      <c r="AP48" s="626">
        <f t="shared" si="58"/>
        <v>0</v>
      </c>
      <c r="AQ48" s="626">
        <f t="shared" si="59"/>
        <v>0</v>
      </c>
      <c r="AR48" s="627"/>
      <c r="AS48" s="625">
        <f t="array" ref="AS48">IFERROR(INDEX('TB-Pharmaceuticals'!$AA$41:$AA$60,MATCH($E48&amp;$F48,'TB-Pharmaceuticals'!$D$41:$D$60&amp;'TB-Pharmaceuticals'!$G$41:$G$60,0)),0)</f>
        <v>0</v>
      </c>
      <c r="AT48" s="625">
        <f t="array" ref="AT48">IFERROR(INDEX('TB-Pharmaceuticals'!$AB$41:$AB$60,MATCH($E48&amp;$F48,'TB-Pharmaceuticals'!$D$41:$D$60&amp;'TB-Pharmaceuticals'!$G$41:$G$60,0)),0)</f>
        <v>0</v>
      </c>
      <c r="AU48" s="626">
        <f t="shared" si="60"/>
        <v>0</v>
      </c>
      <c r="AV48" s="626">
        <f t="shared" si="61"/>
        <v>0</v>
      </c>
      <c r="AW48" s="626">
        <f t="shared" si="62"/>
        <v>0</v>
      </c>
      <c r="AX48" s="625">
        <f t="array" ref="AX48">IFERROR(INDEX('TB-Pharmaceuticals'!$AC$41:$AC$60,MATCH($E48&amp;$F48,'TB-Pharmaceuticals'!$D$41:$D$60&amp;'TB-Pharmaceuticals'!$G$41:$G$60,0)),0)</f>
        <v>0</v>
      </c>
      <c r="AY48" s="626">
        <f t="shared" si="63"/>
        <v>0</v>
      </c>
      <c r="AZ48" s="626">
        <f t="shared" si="64"/>
        <v>0</v>
      </c>
      <c r="BA48" s="626">
        <f t="shared" si="65"/>
        <v>0</v>
      </c>
      <c r="BB48" s="625">
        <f t="array" ref="BB48">IFERROR(INDEX('TB-Pharmaceuticals'!$AD$41:$AD$60,MATCH($E48&amp;$F48,'TB-Pharmaceuticals'!$D$41:$D$60&amp;'TB-Pharmaceuticals'!$G$41:$G$60,0)),0)</f>
        <v>0</v>
      </c>
      <c r="BC48" s="626">
        <f t="shared" si="66"/>
        <v>0</v>
      </c>
      <c r="BD48" s="626">
        <f t="shared" si="67"/>
        <v>0</v>
      </c>
      <c r="BE48" s="626">
        <f t="shared" si="68"/>
        <v>0</v>
      </c>
      <c r="BF48" s="625">
        <f t="array" ref="BF48">IFERROR(INDEX('TB-Pharmaceuticals'!$AE$41:$AE$60,MATCH($E48&amp;$F48,'TB-Pharmaceuticals'!$D$41:$D$60&amp;'TB-Pharmaceuticals'!$G$41:$G$60,0)),0)</f>
        <v>0</v>
      </c>
      <c r="BG48" s="626">
        <f t="shared" si="69"/>
        <v>0</v>
      </c>
      <c r="BH48" s="626">
        <f t="shared" si="70"/>
        <v>0</v>
      </c>
      <c r="BI48" s="626">
        <f t="shared" si="71"/>
        <v>0</v>
      </c>
      <c r="BK48" s="626"/>
      <c r="BL48" s="626"/>
      <c r="BM48" s="626"/>
      <c r="BN48" s="626"/>
      <c r="BO48" s="626"/>
      <c r="BP48" s="626"/>
      <c r="BQ48" s="626"/>
      <c r="BR48" s="626"/>
    </row>
    <row r="49" spans="1:70">
      <c r="A49" s="32" t="s">
        <v>571</v>
      </c>
      <c r="B49" s="32" t="s">
        <v>1739</v>
      </c>
      <c r="C49" s="619">
        <f>SETUP!$F$38</f>
        <v>0</v>
      </c>
      <c r="D49" s="31">
        <v>4.2</v>
      </c>
      <c r="E49" s="32" t="s">
        <v>424</v>
      </c>
      <c r="F49" s="32" t="s">
        <v>1263</v>
      </c>
      <c r="G49" s="625" t="str">
        <f t="array" ref="G49">IFERROR(INDEX('TB-Pharmaceuticals'!$K$41:$K$60,MATCH($E49&amp;$F49,'TB-Pharmaceuticals'!$D$41:$D$60&amp;'TB-Pharmaceuticals'!$G$41:$G$60,0)),"")</f>
        <v/>
      </c>
      <c r="H49" s="625" t="str">
        <f t="array" ref="H49">IFERROR(INDEX('TB-Pharmaceuticals'!$L$41:$L$60,MATCH($E49&amp;$F49,'TB-Pharmaceuticals'!$D$41:$D$60&amp;'TB-Pharmaceuticals'!$G$41:$G$60,0)),"")</f>
        <v/>
      </c>
      <c r="I49" s="625">
        <f t="array" ref="I49">IFERROR(INDEX('TB-Pharmaceuticals'!$M$41:$M$60,MATCH($E49&amp;$F49,'TB-Pharmaceuticals'!$D$41:$D$60&amp;'TB-Pharmaceuticals'!$G$41:$G$60,0)),0)</f>
        <v>0</v>
      </c>
      <c r="J49" s="625">
        <f t="array" ref="J49">IFERROR(INDEX('TB-Pharmaceuticals'!$N$41:$N$60,MATCH($E49&amp;$F49,'TB-Pharmaceuticals'!$D$41:$D$60&amp;'TB-Pharmaceuticals'!$G$41:$G$60,0)),0)</f>
        <v>0</v>
      </c>
      <c r="K49" s="626">
        <f t="shared" si="36"/>
        <v>0</v>
      </c>
      <c r="L49" s="626">
        <f t="shared" si="37"/>
        <v>0</v>
      </c>
      <c r="M49" s="626">
        <f t="shared" si="38"/>
        <v>0</v>
      </c>
      <c r="N49" s="625">
        <f t="array" ref="N49">IFERROR(INDEX('TB-Pharmaceuticals'!$O$41:$O$60,MATCH($E49&amp;$F49,'TB-Pharmaceuticals'!$D$41:$D$60&amp;'TB-Pharmaceuticals'!$G$41:$G$60,0)),0)</f>
        <v>0</v>
      </c>
      <c r="O49" s="626">
        <f t="shared" si="39"/>
        <v>0</v>
      </c>
      <c r="P49" s="626">
        <f t="shared" si="40"/>
        <v>0</v>
      </c>
      <c r="Q49" s="626">
        <f t="shared" si="41"/>
        <v>0</v>
      </c>
      <c r="R49" s="625">
        <f t="array" ref="R49">IFERROR(INDEX('TB-Pharmaceuticals'!$P$41:$P$60,MATCH($E49&amp;$F49,'TB-Pharmaceuticals'!$D$41:$D$60&amp;'TB-Pharmaceuticals'!$G$41:$G$60,0)),0)</f>
        <v>0</v>
      </c>
      <c r="S49" s="626">
        <f t="shared" si="42"/>
        <v>0</v>
      </c>
      <c r="T49" s="626">
        <f t="shared" si="43"/>
        <v>0</v>
      </c>
      <c r="U49" s="626">
        <f t="shared" si="44"/>
        <v>0</v>
      </c>
      <c r="V49" s="625">
        <f t="array" ref="V49">IFERROR(INDEX('TB-Pharmaceuticals'!$Q$41:$Q$60,MATCH($E49&amp;$F49,'TB-Pharmaceuticals'!$D$41:$D$60&amp;'TB-Pharmaceuticals'!$G$41:$G$60,0)),0)</f>
        <v>0</v>
      </c>
      <c r="W49" s="626">
        <f t="shared" si="45"/>
        <v>0</v>
      </c>
      <c r="X49" s="626">
        <f t="shared" si="46"/>
        <v>0</v>
      </c>
      <c r="Y49" s="626">
        <f t="shared" si="47"/>
        <v>0</v>
      </c>
      <c r="Z49" s="627"/>
      <c r="AA49" s="625">
        <f t="array" ref="AA49">IFERROR(INDEX('TB-Pharmaceuticals'!$T$41:$T$60,MATCH($E49&amp;$F49,'TB-Pharmaceuticals'!$D$41:$D$60&amp;'TB-Pharmaceuticals'!$G$41:$G$60,0)),0)</f>
        <v>0</v>
      </c>
      <c r="AB49" s="625">
        <f t="array" ref="AB49">IFERROR(INDEX('TB-Pharmaceuticals'!$U$41:$U$60,MATCH($E49&amp;$F49,'TB-Pharmaceuticals'!$D$41:$D$60&amp;'TB-Pharmaceuticals'!$G$41:$G$60,0)),0)</f>
        <v>0</v>
      </c>
      <c r="AC49" s="626">
        <f t="shared" si="48"/>
        <v>0</v>
      </c>
      <c r="AD49" s="626">
        <f t="shared" si="49"/>
        <v>0</v>
      </c>
      <c r="AE49" s="626">
        <f t="shared" si="50"/>
        <v>0</v>
      </c>
      <c r="AF49" s="625">
        <f t="array" ref="AF49">IFERROR(INDEX('TB-Pharmaceuticals'!$V$41:$V$60,MATCH($E49&amp;$F49,'TB-Pharmaceuticals'!$D$41:$D$60&amp;'TB-Pharmaceuticals'!$G$41:$G$60,0)),0)</f>
        <v>0</v>
      </c>
      <c r="AG49" s="626">
        <f t="shared" si="51"/>
        <v>0</v>
      </c>
      <c r="AH49" s="626">
        <f t="shared" si="52"/>
        <v>0</v>
      </c>
      <c r="AI49" s="626">
        <f t="shared" si="53"/>
        <v>0</v>
      </c>
      <c r="AJ49" s="625">
        <f t="array" ref="AJ49">IFERROR(INDEX('TB-Pharmaceuticals'!$W$41:$W$60,MATCH($E49&amp;$F49,'TB-Pharmaceuticals'!$D$41:$D$60&amp;'TB-Pharmaceuticals'!$G$41:$G$60,0)),0)</f>
        <v>0</v>
      </c>
      <c r="AK49" s="626">
        <f t="shared" si="54"/>
        <v>0</v>
      </c>
      <c r="AL49" s="626">
        <f t="shared" si="55"/>
        <v>0</v>
      </c>
      <c r="AM49" s="626">
        <f t="shared" si="56"/>
        <v>0</v>
      </c>
      <c r="AN49" s="625">
        <f t="array" ref="AN49">IFERROR(INDEX('TB-Pharmaceuticals'!$X$41:$X$60,MATCH($E49&amp;$F49,'TB-Pharmaceuticals'!$D$41:$D$60&amp;'TB-Pharmaceuticals'!$G$41:$G$60,0)),0)</f>
        <v>0</v>
      </c>
      <c r="AO49" s="626">
        <f t="shared" si="57"/>
        <v>0</v>
      </c>
      <c r="AP49" s="626">
        <f t="shared" si="58"/>
        <v>0</v>
      </c>
      <c r="AQ49" s="626">
        <f t="shared" si="59"/>
        <v>0</v>
      </c>
      <c r="AR49" s="627"/>
      <c r="AS49" s="625">
        <f t="array" ref="AS49">IFERROR(INDEX('TB-Pharmaceuticals'!$AA$41:$AA$60,MATCH($E49&amp;$F49,'TB-Pharmaceuticals'!$D$41:$D$60&amp;'TB-Pharmaceuticals'!$G$41:$G$60,0)),0)</f>
        <v>0</v>
      </c>
      <c r="AT49" s="625">
        <f t="array" ref="AT49">IFERROR(INDEX('TB-Pharmaceuticals'!$AB$41:$AB$60,MATCH($E49&amp;$F49,'TB-Pharmaceuticals'!$D$41:$D$60&amp;'TB-Pharmaceuticals'!$G$41:$G$60,0)),0)</f>
        <v>0</v>
      </c>
      <c r="AU49" s="626">
        <f t="shared" si="60"/>
        <v>0</v>
      </c>
      <c r="AV49" s="626">
        <f t="shared" si="61"/>
        <v>0</v>
      </c>
      <c r="AW49" s="626">
        <f t="shared" si="62"/>
        <v>0</v>
      </c>
      <c r="AX49" s="625">
        <f t="array" ref="AX49">IFERROR(INDEX('TB-Pharmaceuticals'!$AC$41:$AC$60,MATCH($E49&amp;$F49,'TB-Pharmaceuticals'!$D$41:$D$60&amp;'TB-Pharmaceuticals'!$G$41:$G$60,0)),0)</f>
        <v>0</v>
      </c>
      <c r="AY49" s="626">
        <f t="shared" si="63"/>
        <v>0</v>
      </c>
      <c r="AZ49" s="626">
        <f t="shared" si="64"/>
        <v>0</v>
      </c>
      <c r="BA49" s="626">
        <f t="shared" si="65"/>
        <v>0</v>
      </c>
      <c r="BB49" s="625">
        <f t="array" ref="BB49">IFERROR(INDEX('TB-Pharmaceuticals'!$AD$41:$AD$60,MATCH($E49&amp;$F49,'TB-Pharmaceuticals'!$D$41:$D$60&amp;'TB-Pharmaceuticals'!$G$41:$G$60,0)),0)</f>
        <v>0</v>
      </c>
      <c r="BC49" s="626">
        <f t="shared" si="66"/>
        <v>0</v>
      </c>
      <c r="BD49" s="626">
        <f t="shared" si="67"/>
        <v>0</v>
      </c>
      <c r="BE49" s="626">
        <f t="shared" si="68"/>
        <v>0</v>
      </c>
      <c r="BF49" s="625">
        <f t="array" ref="BF49">IFERROR(INDEX('TB-Pharmaceuticals'!$AE$41:$AE$60,MATCH($E49&amp;$F49,'TB-Pharmaceuticals'!$D$41:$D$60&amp;'TB-Pharmaceuticals'!$G$41:$G$60,0)),0)</f>
        <v>0</v>
      </c>
      <c r="BG49" s="626">
        <f t="shared" si="69"/>
        <v>0</v>
      </c>
      <c r="BH49" s="626">
        <f t="shared" si="70"/>
        <v>0</v>
      </c>
      <c r="BI49" s="626">
        <f t="shared" si="71"/>
        <v>0</v>
      </c>
      <c r="BK49" s="626"/>
      <c r="BL49" s="626"/>
      <c r="BM49" s="626"/>
      <c r="BN49" s="626"/>
      <c r="BO49" s="626"/>
      <c r="BP49" s="626"/>
      <c r="BQ49" s="626"/>
      <c r="BR49" s="626"/>
    </row>
    <row r="50" spans="1:70">
      <c r="A50" s="32" t="s">
        <v>571</v>
      </c>
      <c r="B50" s="32" t="s">
        <v>1739</v>
      </c>
      <c r="C50" s="619">
        <f>SETUP!$F$38</f>
        <v>0</v>
      </c>
      <c r="D50" s="31">
        <v>4.2</v>
      </c>
      <c r="E50" s="32" t="s">
        <v>304</v>
      </c>
      <c r="F50" s="32" t="s">
        <v>1269</v>
      </c>
      <c r="G50" s="625" t="str">
        <f t="array" ref="G50">IFERROR(INDEX('TB-Pharmaceuticals'!$K$41:$K$60,MATCH($E50&amp;$F50,'TB-Pharmaceuticals'!$D$41:$D$60&amp;'TB-Pharmaceuticals'!$G$41:$G$60,0)),"")</f>
        <v/>
      </c>
      <c r="H50" s="625" t="str">
        <f t="array" ref="H50">IFERROR(INDEX('TB-Pharmaceuticals'!$L$41:$L$60,MATCH($E50&amp;$F50,'TB-Pharmaceuticals'!$D$41:$D$60&amp;'TB-Pharmaceuticals'!$G$41:$G$60,0)),"")</f>
        <v/>
      </c>
      <c r="I50" s="625">
        <f t="array" ref="I50">IFERROR(INDEX('TB-Pharmaceuticals'!$M$41:$M$60,MATCH($E50&amp;$F50,'TB-Pharmaceuticals'!$D$41:$D$60&amp;'TB-Pharmaceuticals'!$G$41:$G$60,0)),0)</f>
        <v>0</v>
      </c>
      <c r="J50" s="625">
        <f t="array" ref="J50">IFERROR(INDEX('TB-Pharmaceuticals'!$N$41:$N$60,MATCH($E50&amp;$F50,'TB-Pharmaceuticals'!$D$41:$D$60&amp;'TB-Pharmaceuticals'!$G$41:$G$60,0)),0)</f>
        <v>0</v>
      </c>
      <c r="K50" s="626">
        <f t="shared" si="36"/>
        <v>0</v>
      </c>
      <c r="L50" s="626">
        <f t="shared" si="37"/>
        <v>0</v>
      </c>
      <c r="M50" s="626">
        <f t="shared" si="38"/>
        <v>0</v>
      </c>
      <c r="N50" s="625">
        <f t="array" ref="N50">IFERROR(INDEX('TB-Pharmaceuticals'!$O$41:$O$60,MATCH($E50&amp;$F50,'TB-Pharmaceuticals'!$D$41:$D$60&amp;'TB-Pharmaceuticals'!$G$41:$G$60,0)),0)</f>
        <v>0</v>
      </c>
      <c r="O50" s="626">
        <f t="shared" si="39"/>
        <v>0</v>
      </c>
      <c r="P50" s="626">
        <f t="shared" si="40"/>
        <v>0</v>
      </c>
      <c r="Q50" s="626">
        <f t="shared" si="41"/>
        <v>0</v>
      </c>
      <c r="R50" s="625">
        <f t="array" ref="R50">IFERROR(INDEX('TB-Pharmaceuticals'!$P$41:$P$60,MATCH($E50&amp;$F50,'TB-Pharmaceuticals'!$D$41:$D$60&amp;'TB-Pharmaceuticals'!$G$41:$G$60,0)),0)</f>
        <v>0</v>
      </c>
      <c r="S50" s="626">
        <f t="shared" si="42"/>
        <v>0</v>
      </c>
      <c r="T50" s="626">
        <f t="shared" si="43"/>
        <v>0</v>
      </c>
      <c r="U50" s="626">
        <f t="shared" si="44"/>
        <v>0</v>
      </c>
      <c r="V50" s="625">
        <f t="array" ref="V50">IFERROR(INDEX('TB-Pharmaceuticals'!$Q$41:$Q$60,MATCH($E50&amp;$F50,'TB-Pharmaceuticals'!$D$41:$D$60&amp;'TB-Pharmaceuticals'!$G$41:$G$60,0)),0)</f>
        <v>0</v>
      </c>
      <c r="W50" s="626">
        <f t="shared" si="45"/>
        <v>0</v>
      </c>
      <c r="X50" s="626">
        <f t="shared" si="46"/>
        <v>0</v>
      </c>
      <c r="Y50" s="626">
        <f t="shared" si="47"/>
        <v>0</v>
      </c>
      <c r="Z50" s="627"/>
      <c r="AA50" s="625">
        <f t="array" ref="AA50">IFERROR(INDEX('TB-Pharmaceuticals'!$T$41:$T$60,MATCH($E50&amp;$F50,'TB-Pharmaceuticals'!$D$41:$D$60&amp;'TB-Pharmaceuticals'!$G$41:$G$60,0)),0)</f>
        <v>0</v>
      </c>
      <c r="AB50" s="625">
        <f t="array" ref="AB50">IFERROR(INDEX('TB-Pharmaceuticals'!$U$41:$U$60,MATCH($E50&amp;$F50,'TB-Pharmaceuticals'!$D$41:$D$60&amp;'TB-Pharmaceuticals'!$G$41:$G$60,0)),0)</f>
        <v>0</v>
      </c>
      <c r="AC50" s="626">
        <f t="shared" si="48"/>
        <v>0</v>
      </c>
      <c r="AD50" s="626">
        <f t="shared" si="49"/>
        <v>0</v>
      </c>
      <c r="AE50" s="626">
        <f t="shared" si="50"/>
        <v>0</v>
      </c>
      <c r="AF50" s="625">
        <f t="array" ref="AF50">IFERROR(INDEX('TB-Pharmaceuticals'!$V$41:$V$60,MATCH($E50&amp;$F50,'TB-Pharmaceuticals'!$D$41:$D$60&amp;'TB-Pharmaceuticals'!$G$41:$G$60,0)),0)</f>
        <v>0</v>
      </c>
      <c r="AG50" s="626">
        <f t="shared" si="51"/>
        <v>0</v>
      </c>
      <c r="AH50" s="626">
        <f t="shared" si="52"/>
        <v>0</v>
      </c>
      <c r="AI50" s="626">
        <f t="shared" si="53"/>
        <v>0</v>
      </c>
      <c r="AJ50" s="625">
        <f t="array" ref="AJ50">IFERROR(INDEX('TB-Pharmaceuticals'!$W$41:$W$60,MATCH($E50&amp;$F50,'TB-Pharmaceuticals'!$D$41:$D$60&amp;'TB-Pharmaceuticals'!$G$41:$G$60,0)),0)</f>
        <v>0</v>
      </c>
      <c r="AK50" s="626">
        <f t="shared" si="54"/>
        <v>0</v>
      </c>
      <c r="AL50" s="626">
        <f t="shared" si="55"/>
        <v>0</v>
      </c>
      <c r="AM50" s="626">
        <f t="shared" si="56"/>
        <v>0</v>
      </c>
      <c r="AN50" s="625">
        <f t="array" ref="AN50">IFERROR(INDEX('TB-Pharmaceuticals'!$X$41:$X$60,MATCH($E50&amp;$F50,'TB-Pharmaceuticals'!$D$41:$D$60&amp;'TB-Pharmaceuticals'!$G$41:$G$60,0)),0)</f>
        <v>0</v>
      </c>
      <c r="AO50" s="626">
        <f t="shared" si="57"/>
        <v>0</v>
      </c>
      <c r="AP50" s="626">
        <f t="shared" si="58"/>
        <v>0</v>
      </c>
      <c r="AQ50" s="626">
        <f t="shared" si="59"/>
        <v>0</v>
      </c>
      <c r="AR50" s="627"/>
      <c r="AS50" s="625">
        <f t="array" ref="AS50">IFERROR(INDEX('TB-Pharmaceuticals'!$AA$41:$AA$60,MATCH($E50&amp;$F50,'TB-Pharmaceuticals'!$D$41:$D$60&amp;'TB-Pharmaceuticals'!$G$41:$G$60,0)),0)</f>
        <v>0</v>
      </c>
      <c r="AT50" s="625">
        <f t="array" ref="AT50">IFERROR(INDEX('TB-Pharmaceuticals'!$AB$41:$AB$60,MATCH($E50&amp;$F50,'TB-Pharmaceuticals'!$D$41:$D$60&amp;'TB-Pharmaceuticals'!$G$41:$G$60,0)),0)</f>
        <v>0</v>
      </c>
      <c r="AU50" s="626">
        <f t="shared" si="60"/>
        <v>0</v>
      </c>
      <c r="AV50" s="626">
        <f t="shared" si="61"/>
        <v>0</v>
      </c>
      <c r="AW50" s="626">
        <f t="shared" si="62"/>
        <v>0</v>
      </c>
      <c r="AX50" s="625">
        <f t="array" ref="AX50">IFERROR(INDEX('TB-Pharmaceuticals'!$AC$41:$AC$60,MATCH($E50&amp;$F50,'TB-Pharmaceuticals'!$D$41:$D$60&amp;'TB-Pharmaceuticals'!$G$41:$G$60,0)),0)</f>
        <v>0</v>
      </c>
      <c r="AY50" s="626">
        <f t="shared" si="63"/>
        <v>0</v>
      </c>
      <c r="AZ50" s="626">
        <f t="shared" si="64"/>
        <v>0</v>
      </c>
      <c r="BA50" s="626">
        <f t="shared" si="65"/>
        <v>0</v>
      </c>
      <c r="BB50" s="625">
        <f t="array" ref="BB50">IFERROR(INDEX('TB-Pharmaceuticals'!$AD$41:$AD$60,MATCH($E50&amp;$F50,'TB-Pharmaceuticals'!$D$41:$D$60&amp;'TB-Pharmaceuticals'!$G$41:$G$60,0)),0)</f>
        <v>0</v>
      </c>
      <c r="BC50" s="626">
        <f t="shared" si="66"/>
        <v>0</v>
      </c>
      <c r="BD50" s="626">
        <f t="shared" si="67"/>
        <v>0</v>
      </c>
      <c r="BE50" s="626">
        <f t="shared" si="68"/>
        <v>0</v>
      </c>
      <c r="BF50" s="625">
        <f t="array" ref="BF50">IFERROR(INDEX('TB-Pharmaceuticals'!$AE$41:$AE$60,MATCH($E50&amp;$F50,'TB-Pharmaceuticals'!$D$41:$D$60&amp;'TB-Pharmaceuticals'!$G$41:$G$60,0)),0)</f>
        <v>0</v>
      </c>
      <c r="BG50" s="626">
        <f t="shared" si="69"/>
        <v>0</v>
      </c>
      <c r="BH50" s="626">
        <f t="shared" si="70"/>
        <v>0</v>
      </c>
      <c r="BI50" s="626">
        <f t="shared" si="71"/>
        <v>0</v>
      </c>
      <c r="BK50" s="626"/>
      <c r="BL50" s="626"/>
      <c r="BM50" s="626"/>
      <c r="BN50" s="626"/>
      <c r="BO50" s="626"/>
      <c r="BP50" s="626"/>
      <c r="BQ50" s="626"/>
      <c r="BR50" s="626"/>
    </row>
    <row r="51" spans="1:70">
      <c r="A51" s="32" t="s">
        <v>571</v>
      </c>
      <c r="B51" s="32" t="s">
        <v>1739</v>
      </c>
      <c r="C51" s="619">
        <f>SETUP!$F$38</f>
        <v>0</v>
      </c>
      <c r="D51" s="31">
        <v>4.2</v>
      </c>
      <c r="E51" s="32" t="s">
        <v>304</v>
      </c>
      <c r="F51" s="32" t="s">
        <v>1262</v>
      </c>
      <c r="G51" s="625" t="str">
        <f t="array" ref="G51">IFERROR(INDEX('TB-Pharmaceuticals'!$K$41:$K$60,MATCH($E51&amp;$F51,'TB-Pharmaceuticals'!$D$41:$D$60&amp;'TB-Pharmaceuticals'!$G$41:$G$60,0)),"")</f>
        <v/>
      </c>
      <c r="H51" s="625" t="str">
        <f t="array" ref="H51">IFERROR(INDEX('TB-Pharmaceuticals'!$L$41:$L$60,MATCH($E51&amp;$F51,'TB-Pharmaceuticals'!$D$41:$D$60&amp;'TB-Pharmaceuticals'!$G$41:$G$60,0)),"")</f>
        <v/>
      </c>
      <c r="I51" s="625">
        <f t="array" ref="I51">IFERROR(INDEX('TB-Pharmaceuticals'!$M$41:$M$60,MATCH($E51&amp;$F51,'TB-Pharmaceuticals'!$D$41:$D$60&amp;'TB-Pharmaceuticals'!$G$41:$G$60,0)),0)</f>
        <v>0</v>
      </c>
      <c r="J51" s="625">
        <f t="array" ref="J51">IFERROR(INDEX('TB-Pharmaceuticals'!$N$41:$N$60,MATCH($E51&amp;$F51,'TB-Pharmaceuticals'!$D$41:$D$60&amp;'TB-Pharmaceuticals'!$G$41:$G$60,0)),0)</f>
        <v>0</v>
      </c>
      <c r="K51" s="626">
        <f t="shared" si="36"/>
        <v>0</v>
      </c>
      <c r="L51" s="626">
        <f t="shared" si="37"/>
        <v>0</v>
      </c>
      <c r="M51" s="626">
        <f t="shared" si="38"/>
        <v>0</v>
      </c>
      <c r="N51" s="625">
        <f t="array" ref="N51">IFERROR(INDEX('TB-Pharmaceuticals'!$O$41:$O$60,MATCH($E51&amp;$F51,'TB-Pharmaceuticals'!$D$41:$D$60&amp;'TB-Pharmaceuticals'!$G$41:$G$60,0)),0)</f>
        <v>0</v>
      </c>
      <c r="O51" s="626">
        <f t="shared" si="39"/>
        <v>0</v>
      </c>
      <c r="P51" s="626">
        <f t="shared" si="40"/>
        <v>0</v>
      </c>
      <c r="Q51" s="626">
        <f t="shared" si="41"/>
        <v>0</v>
      </c>
      <c r="R51" s="625">
        <f t="array" ref="R51">IFERROR(INDEX('TB-Pharmaceuticals'!$P$41:$P$60,MATCH($E51&amp;$F51,'TB-Pharmaceuticals'!$D$41:$D$60&amp;'TB-Pharmaceuticals'!$G$41:$G$60,0)),0)</f>
        <v>0</v>
      </c>
      <c r="S51" s="626">
        <f t="shared" si="42"/>
        <v>0</v>
      </c>
      <c r="T51" s="626">
        <f t="shared" si="43"/>
        <v>0</v>
      </c>
      <c r="U51" s="626">
        <f t="shared" si="44"/>
        <v>0</v>
      </c>
      <c r="V51" s="625">
        <f t="array" ref="V51">IFERROR(INDEX('TB-Pharmaceuticals'!$Q$41:$Q$60,MATCH($E51&amp;$F51,'TB-Pharmaceuticals'!$D$41:$D$60&amp;'TB-Pharmaceuticals'!$G$41:$G$60,0)),0)</f>
        <v>0</v>
      </c>
      <c r="W51" s="626">
        <f t="shared" si="45"/>
        <v>0</v>
      </c>
      <c r="X51" s="626">
        <f t="shared" si="46"/>
        <v>0</v>
      </c>
      <c r="Y51" s="626">
        <f t="shared" si="47"/>
        <v>0</v>
      </c>
      <c r="Z51" s="627"/>
      <c r="AA51" s="625">
        <f t="array" ref="AA51">IFERROR(INDEX('TB-Pharmaceuticals'!$T$41:$T$60,MATCH($E51&amp;$F51,'TB-Pharmaceuticals'!$D$41:$D$60&amp;'TB-Pharmaceuticals'!$G$41:$G$60,0)),0)</f>
        <v>0</v>
      </c>
      <c r="AB51" s="625">
        <f t="array" ref="AB51">IFERROR(INDEX('TB-Pharmaceuticals'!$U$41:$U$60,MATCH($E51&amp;$F51,'TB-Pharmaceuticals'!$D$41:$D$60&amp;'TB-Pharmaceuticals'!$G$41:$G$60,0)),0)</f>
        <v>0</v>
      </c>
      <c r="AC51" s="626">
        <f t="shared" si="48"/>
        <v>0</v>
      </c>
      <c r="AD51" s="626">
        <f t="shared" si="49"/>
        <v>0</v>
      </c>
      <c r="AE51" s="626">
        <f t="shared" si="50"/>
        <v>0</v>
      </c>
      <c r="AF51" s="625">
        <f t="array" ref="AF51">IFERROR(INDEX('TB-Pharmaceuticals'!$V$41:$V$60,MATCH($E51&amp;$F51,'TB-Pharmaceuticals'!$D$41:$D$60&amp;'TB-Pharmaceuticals'!$G$41:$G$60,0)),0)</f>
        <v>0</v>
      </c>
      <c r="AG51" s="626">
        <f t="shared" si="51"/>
        <v>0</v>
      </c>
      <c r="AH51" s="626">
        <f t="shared" si="52"/>
        <v>0</v>
      </c>
      <c r="AI51" s="626">
        <f t="shared" si="53"/>
        <v>0</v>
      </c>
      <c r="AJ51" s="625">
        <f t="array" ref="AJ51">IFERROR(INDEX('TB-Pharmaceuticals'!$W$41:$W$60,MATCH($E51&amp;$F51,'TB-Pharmaceuticals'!$D$41:$D$60&amp;'TB-Pharmaceuticals'!$G$41:$G$60,0)),0)</f>
        <v>0</v>
      </c>
      <c r="AK51" s="626">
        <f t="shared" si="54"/>
        <v>0</v>
      </c>
      <c r="AL51" s="626">
        <f t="shared" si="55"/>
        <v>0</v>
      </c>
      <c r="AM51" s="626">
        <f t="shared" si="56"/>
        <v>0</v>
      </c>
      <c r="AN51" s="625">
        <f t="array" ref="AN51">IFERROR(INDEX('TB-Pharmaceuticals'!$X$41:$X$60,MATCH($E51&amp;$F51,'TB-Pharmaceuticals'!$D$41:$D$60&amp;'TB-Pharmaceuticals'!$G$41:$G$60,0)),0)</f>
        <v>0</v>
      </c>
      <c r="AO51" s="626">
        <f t="shared" si="57"/>
        <v>0</v>
      </c>
      <c r="AP51" s="626">
        <f t="shared" si="58"/>
        <v>0</v>
      </c>
      <c r="AQ51" s="626">
        <f t="shared" si="59"/>
        <v>0</v>
      </c>
      <c r="AR51" s="627"/>
      <c r="AS51" s="625">
        <f t="array" ref="AS51">IFERROR(INDEX('TB-Pharmaceuticals'!$AA$41:$AA$60,MATCH($E51&amp;$F51,'TB-Pharmaceuticals'!$D$41:$D$60&amp;'TB-Pharmaceuticals'!$G$41:$G$60,0)),0)</f>
        <v>0</v>
      </c>
      <c r="AT51" s="625">
        <f t="array" ref="AT51">IFERROR(INDEX('TB-Pharmaceuticals'!$AB$41:$AB$60,MATCH($E51&amp;$F51,'TB-Pharmaceuticals'!$D$41:$D$60&amp;'TB-Pharmaceuticals'!$G$41:$G$60,0)),0)</f>
        <v>0</v>
      </c>
      <c r="AU51" s="626">
        <f t="shared" si="60"/>
        <v>0</v>
      </c>
      <c r="AV51" s="626">
        <f t="shared" si="61"/>
        <v>0</v>
      </c>
      <c r="AW51" s="626">
        <f t="shared" si="62"/>
        <v>0</v>
      </c>
      <c r="AX51" s="625">
        <f t="array" ref="AX51">IFERROR(INDEX('TB-Pharmaceuticals'!$AC$41:$AC$60,MATCH($E51&amp;$F51,'TB-Pharmaceuticals'!$D$41:$D$60&amp;'TB-Pharmaceuticals'!$G$41:$G$60,0)),0)</f>
        <v>0</v>
      </c>
      <c r="AY51" s="626">
        <f t="shared" si="63"/>
        <v>0</v>
      </c>
      <c r="AZ51" s="626">
        <f t="shared" si="64"/>
        <v>0</v>
      </c>
      <c r="BA51" s="626">
        <f t="shared" si="65"/>
        <v>0</v>
      </c>
      <c r="BB51" s="625">
        <f t="array" ref="BB51">IFERROR(INDEX('TB-Pharmaceuticals'!$AD$41:$AD$60,MATCH($E51&amp;$F51,'TB-Pharmaceuticals'!$D$41:$D$60&amp;'TB-Pharmaceuticals'!$G$41:$G$60,0)),0)</f>
        <v>0</v>
      </c>
      <c r="BC51" s="626">
        <f t="shared" si="66"/>
        <v>0</v>
      </c>
      <c r="BD51" s="626">
        <f t="shared" si="67"/>
        <v>0</v>
      </c>
      <c r="BE51" s="626">
        <f t="shared" si="68"/>
        <v>0</v>
      </c>
      <c r="BF51" s="625">
        <f t="array" ref="BF51">IFERROR(INDEX('TB-Pharmaceuticals'!$AE$41:$AE$60,MATCH($E51&amp;$F51,'TB-Pharmaceuticals'!$D$41:$D$60&amp;'TB-Pharmaceuticals'!$G$41:$G$60,0)),0)</f>
        <v>0</v>
      </c>
      <c r="BG51" s="626">
        <f t="shared" si="69"/>
        <v>0</v>
      </c>
      <c r="BH51" s="626">
        <f t="shared" si="70"/>
        <v>0</v>
      </c>
      <c r="BI51" s="626">
        <f t="shared" si="71"/>
        <v>0</v>
      </c>
      <c r="BK51" s="626"/>
      <c r="BL51" s="626"/>
      <c r="BM51" s="626"/>
      <c r="BN51" s="626"/>
      <c r="BO51" s="626"/>
      <c r="BP51" s="626"/>
      <c r="BQ51" s="626"/>
      <c r="BR51" s="626"/>
    </row>
    <row r="52" spans="1:70">
      <c r="A52" s="32" t="s">
        <v>571</v>
      </c>
      <c r="B52" s="32" t="s">
        <v>1739</v>
      </c>
      <c r="C52" s="619">
        <f>SETUP!$F$38</f>
        <v>0</v>
      </c>
      <c r="D52" s="31">
        <v>4.2</v>
      </c>
      <c r="E52" s="32" t="s">
        <v>304</v>
      </c>
      <c r="F52" s="32" t="s">
        <v>1263</v>
      </c>
      <c r="G52" s="625" t="str">
        <f t="array" ref="G52">IFERROR(INDEX('TB-Pharmaceuticals'!$K$41:$K$60,MATCH($E52&amp;$F52,'TB-Pharmaceuticals'!$D$41:$D$60&amp;'TB-Pharmaceuticals'!$G$41:$G$60,0)),"")</f>
        <v/>
      </c>
      <c r="H52" s="625" t="str">
        <f t="array" ref="H52">IFERROR(INDEX('TB-Pharmaceuticals'!$L$41:$L$60,MATCH($E52&amp;$F52,'TB-Pharmaceuticals'!$D$41:$D$60&amp;'TB-Pharmaceuticals'!$G$41:$G$60,0)),"")</f>
        <v/>
      </c>
      <c r="I52" s="625">
        <f t="array" ref="I52">IFERROR(INDEX('TB-Pharmaceuticals'!$M$41:$M$60,MATCH($E52&amp;$F52,'TB-Pharmaceuticals'!$D$41:$D$60&amp;'TB-Pharmaceuticals'!$G$41:$G$60,0)),0)</f>
        <v>0</v>
      </c>
      <c r="J52" s="625">
        <f t="array" ref="J52">IFERROR(INDEX('TB-Pharmaceuticals'!$N$41:$N$60,MATCH($E52&amp;$F52,'TB-Pharmaceuticals'!$D$41:$D$60&amp;'TB-Pharmaceuticals'!$G$41:$G$60,0)),0)</f>
        <v>0</v>
      </c>
      <c r="K52" s="626">
        <f t="shared" si="36"/>
        <v>0</v>
      </c>
      <c r="L52" s="626">
        <f t="shared" si="37"/>
        <v>0</v>
      </c>
      <c r="M52" s="626">
        <f t="shared" si="38"/>
        <v>0</v>
      </c>
      <c r="N52" s="625">
        <f t="array" ref="N52">IFERROR(INDEX('TB-Pharmaceuticals'!$O$41:$O$60,MATCH($E52&amp;$F52,'TB-Pharmaceuticals'!$D$41:$D$60&amp;'TB-Pharmaceuticals'!$G$41:$G$60,0)),0)</f>
        <v>0</v>
      </c>
      <c r="O52" s="626">
        <f t="shared" si="39"/>
        <v>0</v>
      </c>
      <c r="P52" s="626">
        <f t="shared" si="40"/>
        <v>0</v>
      </c>
      <c r="Q52" s="626">
        <f t="shared" si="41"/>
        <v>0</v>
      </c>
      <c r="R52" s="625">
        <f t="array" ref="R52">IFERROR(INDEX('TB-Pharmaceuticals'!$P$41:$P$60,MATCH($E52&amp;$F52,'TB-Pharmaceuticals'!$D$41:$D$60&amp;'TB-Pharmaceuticals'!$G$41:$G$60,0)),0)</f>
        <v>0</v>
      </c>
      <c r="S52" s="626">
        <f t="shared" si="42"/>
        <v>0</v>
      </c>
      <c r="T52" s="626">
        <f t="shared" si="43"/>
        <v>0</v>
      </c>
      <c r="U52" s="626">
        <f t="shared" si="44"/>
        <v>0</v>
      </c>
      <c r="V52" s="625">
        <f t="array" ref="V52">IFERROR(INDEX('TB-Pharmaceuticals'!$Q$41:$Q$60,MATCH($E52&amp;$F52,'TB-Pharmaceuticals'!$D$41:$D$60&amp;'TB-Pharmaceuticals'!$G$41:$G$60,0)),0)</f>
        <v>0</v>
      </c>
      <c r="W52" s="626">
        <f t="shared" si="45"/>
        <v>0</v>
      </c>
      <c r="X52" s="626">
        <f t="shared" si="46"/>
        <v>0</v>
      </c>
      <c r="Y52" s="626">
        <f t="shared" si="47"/>
        <v>0</v>
      </c>
      <c r="Z52" s="627"/>
      <c r="AA52" s="625">
        <f t="array" ref="AA52">IFERROR(INDEX('TB-Pharmaceuticals'!$T$41:$T$60,MATCH($E52&amp;$F52,'TB-Pharmaceuticals'!$D$41:$D$60&amp;'TB-Pharmaceuticals'!$G$41:$G$60,0)),0)</f>
        <v>0</v>
      </c>
      <c r="AB52" s="625">
        <f t="array" ref="AB52">IFERROR(INDEX('TB-Pharmaceuticals'!$U$41:$U$60,MATCH($E52&amp;$F52,'TB-Pharmaceuticals'!$D$41:$D$60&amp;'TB-Pharmaceuticals'!$G$41:$G$60,0)),0)</f>
        <v>0</v>
      </c>
      <c r="AC52" s="626">
        <f t="shared" si="48"/>
        <v>0</v>
      </c>
      <c r="AD52" s="626">
        <f t="shared" si="49"/>
        <v>0</v>
      </c>
      <c r="AE52" s="626">
        <f t="shared" si="50"/>
        <v>0</v>
      </c>
      <c r="AF52" s="625">
        <f t="array" ref="AF52">IFERROR(INDEX('TB-Pharmaceuticals'!$V$41:$V$60,MATCH($E52&amp;$F52,'TB-Pharmaceuticals'!$D$41:$D$60&amp;'TB-Pharmaceuticals'!$G$41:$G$60,0)),0)</f>
        <v>0</v>
      </c>
      <c r="AG52" s="626">
        <f t="shared" si="51"/>
        <v>0</v>
      </c>
      <c r="AH52" s="626">
        <f t="shared" si="52"/>
        <v>0</v>
      </c>
      <c r="AI52" s="626">
        <f t="shared" si="53"/>
        <v>0</v>
      </c>
      <c r="AJ52" s="625">
        <f t="array" ref="AJ52">IFERROR(INDEX('TB-Pharmaceuticals'!$W$41:$W$60,MATCH($E52&amp;$F52,'TB-Pharmaceuticals'!$D$41:$D$60&amp;'TB-Pharmaceuticals'!$G$41:$G$60,0)),0)</f>
        <v>0</v>
      </c>
      <c r="AK52" s="626">
        <f t="shared" si="54"/>
        <v>0</v>
      </c>
      <c r="AL52" s="626">
        <f t="shared" si="55"/>
        <v>0</v>
      </c>
      <c r="AM52" s="626">
        <f t="shared" si="56"/>
        <v>0</v>
      </c>
      <c r="AN52" s="625">
        <f t="array" ref="AN52">IFERROR(INDEX('TB-Pharmaceuticals'!$X$41:$X$60,MATCH($E52&amp;$F52,'TB-Pharmaceuticals'!$D$41:$D$60&amp;'TB-Pharmaceuticals'!$G$41:$G$60,0)),0)</f>
        <v>0</v>
      </c>
      <c r="AO52" s="626">
        <f t="shared" si="57"/>
        <v>0</v>
      </c>
      <c r="AP52" s="626">
        <f t="shared" si="58"/>
        <v>0</v>
      </c>
      <c r="AQ52" s="626">
        <f t="shared" si="59"/>
        <v>0</v>
      </c>
      <c r="AR52" s="627"/>
      <c r="AS52" s="625">
        <f t="array" ref="AS52">IFERROR(INDEX('TB-Pharmaceuticals'!$AA$41:$AA$60,MATCH($E52&amp;$F52,'TB-Pharmaceuticals'!$D$41:$D$60&amp;'TB-Pharmaceuticals'!$G$41:$G$60,0)),0)</f>
        <v>0</v>
      </c>
      <c r="AT52" s="625">
        <f t="array" ref="AT52">IFERROR(INDEX('TB-Pharmaceuticals'!$AB$41:$AB$60,MATCH($E52&amp;$F52,'TB-Pharmaceuticals'!$D$41:$D$60&amp;'TB-Pharmaceuticals'!$G$41:$G$60,0)),0)</f>
        <v>0</v>
      </c>
      <c r="AU52" s="626">
        <f t="shared" si="60"/>
        <v>0</v>
      </c>
      <c r="AV52" s="626">
        <f t="shared" si="61"/>
        <v>0</v>
      </c>
      <c r="AW52" s="626">
        <f t="shared" si="62"/>
        <v>0</v>
      </c>
      <c r="AX52" s="625">
        <f t="array" ref="AX52">IFERROR(INDEX('TB-Pharmaceuticals'!$AC$41:$AC$60,MATCH($E52&amp;$F52,'TB-Pharmaceuticals'!$D$41:$D$60&amp;'TB-Pharmaceuticals'!$G$41:$G$60,0)),0)</f>
        <v>0</v>
      </c>
      <c r="AY52" s="626">
        <f t="shared" si="63"/>
        <v>0</v>
      </c>
      <c r="AZ52" s="626">
        <f t="shared" si="64"/>
        <v>0</v>
      </c>
      <c r="BA52" s="626">
        <f t="shared" si="65"/>
        <v>0</v>
      </c>
      <c r="BB52" s="625">
        <f t="array" ref="BB52">IFERROR(INDEX('TB-Pharmaceuticals'!$AD$41:$AD$60,MATCH($E52&amp;$F52,'TB-Pharmaceuticals'!$D$41:$D$60&amp;'TB-Pharmaceuticals'!$G$41:$G$60,0)),0)</f>
        <v>0</v>
      </c>
      <c r="BC52" s="626">
        <f t="shared" si="66"/>
        <v>0</v>
      </c>
      <c r="BD52" s="626">
        <f t="shared" si="67"/>
        <v>0</v>
      </c>
      <c r="BE52" s="626">
        <f t="shared" si="68"/>
        <v>0</v>
      </c>
      <c r="BF52" s="625">
        <f t="array" ref="BF52">IFERROR(INDEX('TB-Pharmaceuticals'!$AE$41:$AE$60,MATCH($E52&amp;$F52,'TB-Pharmaceuticals'!$D$41:$D$60&amp;'TB-Pharmaceuticals'!$G$41:$G$60,0)),0)</f>
        <v>0</v>
      </c>
      <c r="BG52" s="626">
        <f t="shared" si="69"/>
        <v>0</v>
      </c>
      <c r="BH52" s="626">
        <f t="shared" si="70"/>
        <v>0</v>
      </c>
      <c r="BI52" s="626">
        <f t="shared" si="71"/>
        <v>0</v>
      </c>
      <c r="BK52" s="626"/>
      <c r="BL52" s="626"/>
      <c r="BM52" s="626"/>
      <c r="BN52" s="626"/>
      <c r="BO52" s="626"/>
      <c r="BP52" s="626"/>
      <c r="BQ52" s="626"/>
      <c r="BR52" s="626"/>
    </row>
    <row r="53" spans="1:70">
      <c r="A53" s="32" t="s">
        <v>571</v>
      </c>
      <c r="B53" s="32" t="s">
        <v>1739</v>
      </c>
      <c r="C53" s="619">
        <f>SETUP!$F$38</f>
        <v>0</v>
      </c>
      <c r="D53" s="31">
        <v>4.2</v>
      </c>
      <c r="E53" s="32" t="s">
        <v>304</v>
      </c>
      <c r="F53" s="32" t="s">
        <v>1270</v>
      </c>
      <c r="G53" s="625" t="str">
        <f t="array" ref="G53">IFERROR(INDEX('TB-Pharmaceuticals'!$K$41:$K$60,MATCH($E53&amp;$F53,'TB-Pharmaceuticals'!$D$41:$D$60&amp;'TB-Pharmaceuticals'!$G$41:$G$60,0)),"")</f>
        <v/>
      </c>
      <c r="H53" s="625" t="str">
        <f t="array" ref="H53">IFERROR(INDEX('TB-Pharmaceuticals'!$L$41:$L$60,MATCH($E53&amp;$F53,'TB-Pharmaceuticals'!$D$41:$D$60&amp;'TB-Pharmaceuticals'!$G$41:$G$60,0)),"")</f>
        <v/>
      </c>
      <c r="I53" s="625">
        <f t="array" ref="I53">IFERROR(INDEX('TB-Pharmaceuticals'!$M$41:$M$60,MATCH($E53&amp;$F53,'TB-Pharmaceuticals'!$D$41:$D$60&amp;'TB-Pharmaceuticals'!$G$41:$G$60,0)),0)</f>
        <v>0</v>
      </c>
      <c r="J53" s="625">
        <f t="array" ref="J53">IFERROR(INDEX('TB-Pharmaceuticals'!$N$41:$N$60,MATCH($E53&amp;$F53,'TB-Pharmaceuticals'!$D$41:$D$60&amp;'TB-Pharmaceuticals'!$G$41:$G$60,0)),0)</f>
        <v>0</v>
      </c>
      <c r="K53" s="626">
        <f t="shared" si="36"/>
        <v>0</v>
      </c>
      <c r="L53" s="626">
        <f t="shared" si="37"/>
        <v>0</v>
      </c>
      <c r="M53" s="626">
        <f t="shared" si="38"/>
        <v>0</v>
      </c>
      <c r="N53" s="625">
        <f t="array" ref="N53">IFERROR(INDEX('TB-Pharmaceuticals'!$O$41:$O$60,MATCH($E53&amp;$F53,'TB-Pharmaceuticals'!$D$41:$D$60&amp;'TB-Pharmaceuticals'!$G$41:$G$60,0)),0)</f>
        <v>0</v>
      </c>
      <c r="O53" s="626">
        <f t="shared" si="39"/>
        <v>0</v>
      </c>
      <c r="P53" s="626">
        <f t="shared" si="40"/>
        <v>0</v>
      </c>
      <c r="Q53" s="626">
        <f t="shared" si="41"/>
        <v>0</v>
      </c>
      <c r="R53" s="625">
        <f t="array" ref="R53">IFERROR(INDEX('TB-Pharmaceuticals'!$P$41:$P$60,MATCH($E53&amp;$F53,'TB-Pharmaceuticals'!$D$41:$D$60&amp;'TB-Pharmaceuticals'!$G$41:$G$60,0)),0)</f>
        <v>0</v>
      </c>
      <c r="S53" s="626">
        <f t="shared" si="42"/>
        <v>0</v>
      </c>
      <c r="T53" s="626">
        <f t="shared" si="43"/>
        <v>0</v>
      </c>
      <c r="U53" s="626">
        <f t="shared" si="44"/>
        <v>0</v>
      </c>
      <c r="V53" s="625">
        <f t="array" ref="V53">IFERROR(INDEX('TB-Pharmaceuticals'!$Q$41:$Q$60,MATCH($E53&amp;$F53,'TB-Pharmaceuticals'!$D$41:$D$60&amp;'TB-Pharmaceuticals'!$G$41:$G$60,0)),0)</f>
        <v>0</v>
      </c>
      <c r="W53" s="626">
        <f t="shared" si="45"/>
        <v>0</v>
      </c>
      <c r="X53" s="626">
        <f t="shared" si="46"/>
        <v>0</v>
      </c>
      <c r="Y53" s="626">
        <f t="shared" si="47"/>
        <v>0</v>
      </c>
      <c r="Z53" s="627"/>
      <c r="AA53" s="625">
        <f t="array" ref="AA53">IFERROR(INDEX('TB-Pharmaceuticals'!$T$41:$T$60,MATCH($E53&amp;$F53,'TB-Pharmaceuticals'!$D$41:$D$60&amp;'TB-Pharmaceuticals'!$G$41:$G$60,0)),0)</f>
        <v>0</v>
      </c>
      <c r="AB53" s="625">
        <f t="array" ref="AB53">IFERROR(INDEX('TB-Pharmaceuticals'!$U$41:$U$60,MATCH($E53&amp;$F53,'TB-Pharmaceuticals'!$D$41:$D$60&amp;'TB-Pharmaceuticals'!$G$41:$G$60,0)),0)</f>
        <v>0</v>
      </c>
      <c r="AC53" s="626">
        <f t="shared" si="48"/>
        <v>0</v>
      </c>
      <c r="AD53" s="626">
        <f t="shared" si="49"/>
        <v>0</v>
      </c>
      <c r="AE53" s="626">
        <f t="shared" si="50"/>
        <v>0</v>
      </c>
      <c r="AF53" s="625">
        <f t="array" ref="AF53">IFERROR(INDEX('TB-Pharmaceuticals'!$V$41:$V$60,MATCH($E53&amp;$F53,'TB-Pharmaceuticals'!$D$41:$D$60&amp;'TB-Pharmaceuticals'!$G$41:$G$60,0)),0)</f>
        <v>0</v>
      </c>
      <c r="AG53" s="626">
        <f t="shared" si="51"/>
        <v>0</v>
      </c>
      <c r="AH53" s="626">
        <f t="shared" si="52"/>
        <v>0</v>
      </c>
      <c r="AI53" s="626">
        <f t="shared" si="53"/>
        <v>0</v>
      </c>
      <c r="AJ53" s="625">
        <f t="array" ref="AJ53">IFERROR(INDEX('TB-Pharmaceuticals'!$W$41:$W$60,MATCH($E53&amp;$F53,'TB-Pharmaceuticals'!$D$41:$D$60&amp;'TB-Pharmaceuticals'!$G$41:$G$60,0)),0)</f>
        <v>0</v>
      </c>
      <c r="AK53" s="626">
        <f t="shared" si="54"/>
        <v>0</v>
      </c>
      <c r="AL53" s="626">
        <f t="shared" si="55"/>
        <v>0</v>
      </c>
      <c r="AM53" s="626">
        <f t="shared" si="56"/>
        <v>0</v>
      </c>
      <c r="AN53" s="625">
        <f t="array" ref="AN53">IFERROR(INDEX('TB-Pharmaceuticals'!$X$41:$X$60,MATCH($E53&amp;$F53,'TB-Pharmaceuticals'!$D$41:$D$60&amp;'TB-Pharmaceuticals'!$G$41:$G$60,0)),0)</f>
        <v>0</v>
      </c>
      <c r="AO53" s="626">
        <f t="shared" si="57"/>
        <v>0</v>
      </c>
      <c r="AP53" s="626">
        <f t="shared" si="58"/>
        <v>0</v>
      </c>
      <c r="AQ53" s="626">
        <f t="shared" si="59"/>
        <v>0</v>
      </c>
      <c r="AR53" s="627"/>
      <c r="AS53" s="625">
        <f t="array" ref="AS53">IFERROR(INDEX('TB-Pharmaceuticals'!$AA$41:$AA$60,MATCH($E53&amp;$F53,'TB-Pharmaceuticals'!$D$41:$D$60&amp;'TB-Pharmaceuticals'!$G$41:$G$60,0)),0)</f>
        <v>0</v>
      </c>
      <c r="AT53" s="625">
        <f t="array" ref="AT53">IFERROR(INDEX('TB-Pharmaceuticals'!$AB$41:$AB$60,MATCH($E53&amp;$F53,'TB-Pharmaceuticals'!$D$41:$D$60&amp;'TB-Pharmaceuticals'!$G$41:$G$60,0)),0)</f>
        <v>0</v>
      </c>
      <c r="AU53" s="626">
        <f t="shared" si="60"/>
        <v>0</v>
      </c>
      <c r="AV53" s="626">
        <f t="shared" si="61"/>
        <v>0</v>
      </c>
      <c r="AW53" s="626">
        <f t="shared" si="62"/>
        <v>0</v>
      </c>
      <c r="AX53" s="625">
        <f t="array" ref="AX53">IFERROR(INDEX('TB-Pharmaceuticals'!$AC$41:$AC$60,MATCH($E53&amp;$F53,'TB-Pharmaceuticals'!$D$41:$D$60&amp;'TB-Pharmaceuticals'!$G$41:$G$60,0)),0)</f>
        <v>0</v>
      </c>
      <c r="AY53" s="626">
        <f t="shared" si="63"/>
        <v>0</v>
      </c>
      <c r="AZ53" s="626">
        <f t="shared" si="64"/>
        <v>0</v>
      </c>
      <c r="BA53" s="626">
        <f t="shared" si="65"/>
        <v>0</v>
      </c>
      <c r="BB53" s="625">
        <f t="array" ref="BB53">IFERROR(INDEX('TB-Pharmaceuticals'!$AD$41:$AD$60,MATCH($E53&amp;$F53,'TB-Pharmaceuticals'!$D$41:$D$60&amp;'TB-Pharmaceuticals'!$G$41:$G$60,0)),0)</f>
        <v>0</v>
      </c>
      <c r="BC53" s="626">
        <f t="shared" si="66"/>
        <v>0</v>
      </c>
      <c r="BD53" s="626">
        <f t="shared" si="67"/>
        <v>0</v>
      </c>
      <c r="BE53" s="626">
        <f t="shared" si="68"/>
        <v>0</v>
      </c>
      <c r="BF53" s="625">
        <f t="array" ref="BF53">IFERROR(INDEX('TB-Pharmaceuticals'!$AE$41:$AE$60,MATCH($E53&amp;$F53,'TB-Pharmaceuticals'!$D$41:$D$60&amp;'TB-Pharmaceuticals'!$G$41:$G$60,0)),0)</f>
        <v>0</v>
      </c>
      <c r="BG53" s="626">
        <f t="shared" si="69"/>
        <v>0</v>
      </c>
      <c r="BH53" s="626">
        <f t="shared" si="70"/>
        <v>0</v>
      </c>
      <c r="BI53" s="626">
        <f t="shared" si="71"/>
        <v>0</v>
      </c>
      <c r="BK53" s="626"/>
      <c r="BL53" s="626"/>
      <c r="BM53" s="626"/>
      <c r="BN53" s="626"/>
      <c r="BO53" s="626"/>
      <c r="BP53" s="626"/>
      <c r="BQ53" s="626"/>
      <c r="BR53" s="626"/>
    </row>
    <row r="54" spans="1:70">
      <c r="A54" s="32" t="s">
        <v>571</v>
      </c>
      <c r="B54" s="32" t="s">
        <v>1739</v>
      </c>
      <c r="C54" s="619">
        <f>SETUP!$F$38</f>
        <v>0</v>
      </c>
      <c r="D54" s="31">
        <v>4.2</v>
      </c>
      <c r="E54" s="32" t="s">
        <v>1584</v>
      </c>
      <c r="F54" s="32" t="s">
        <v>1140</v>
      </c>
      <c r="G54" s="625" t="str">
        <f t="array" ref="G54">IFERROR(INDEX('TB-Pharmaceuticals'!$K$41:$K$60,MATCH($E54&amp;$F54,'TB-Pharmaceuticals'!$D$41:$D$60&amp;'TB-Pharmaceuticals'!$G$41:$G$60,0)),"")</f>
        <v/>
      </c>
      <c r="H54" s="625" t="str">
        <f t="array" ref="H54">IFERROR(INDEX('TB-Pharmaceuticals'!$L$41:$L$60,MATCH($E54&amp;$F54,'TB-Pharmaceuticals'!$D$41:$D$60&amp;'TB-Pharmaceuticals'!$G$41:$G$60,0)),"")</f>
        <v/>
      </c>
      <c r="I54" s="625">
        <f t="array" ref="I54">IFERROR(INDEX('TB-Pharmaceuticals'!$M$41:$M$60,MATCH($E54&amp;$F54,'TB-Pharmaceuticals'!$D$41:$D$60&amp;'TB-Pharmaceuticals'!$G$41:$G$60,0)),0)</f>
        <v>0</v>
      </c>
      <c r="J54" s="625">
        <f t="array" ref="J54">IFERROR(INDEX('TB-Pharmaceuticals'!$N$41:$N$60,MATCH($E54&amp;$F54,'TB-Pharmaceuticals'!$D$41:$D$60&amp;'TB-Pharmaceuticals'!$G$41:$G$60,0)),0)</f>
        <v>0</v>
      </c>
      <c r="K54" s="626">
        <f t="shared" si="36"/>
        <v>0</v>
      </c>
      <c r="L54" s="626">
        <f t="shared" si="37"/>
        <v>0</v>
      </c>
      <c r="M54" s="626">
        <f t="shared" si="38"/>
        <v>0</v>
      </c>
      <c r="N54" s="625">
        <f t="array" ref="N54">IFERROR(INDEX('TB-Pharmaceuticals'!$O$41:$O$60,MATCH($E54&amp;$F54,'TB-Pharmaceuticals'!$D$41:$D$60&amp;'TB-Pharmaceuticals'!$G$41:$G$60,0)),0)</f>
        <v>0</v>
      </c>
      <c r="O54" s="626">
        <f t="shared" si="39"/>
        <v>0</v>
      </c>
      <c r="P54" s="626">
        <f t="shared" si="40"/>
        <v>0</v>
      </c>
      <c r="Q54" s="626">
        <f t="shared" si="41"/>
        <v>0</v>
      </c>
      <c r="R54" s="625">
        <f t="array" ref="R54">IFERROR(INDEX('TB-Pharmaceuticals'!$P$41:$P$60,MATCH($E54&amp;$F54,'TB-Pharmaceuticals'!$D$41:$D$60&amp;'TB-Pharmaceuticals'!$G$41:$G$60,0)),0)</f>
        <v>0</v>
      </c>
      <c r="S54" s="626">
        <f t="shared" si="42"/>
        <v>0</v>
      </c>
      <c r="T54" s="626">
        <f t="shared" si="43"/>
        <v>0</v>
      </c>
      <c r="U54" s="626">
        <f t="shared" si="44"/>
        <v>0</v>
      </c>
      <c r="V54" s="625">
        <f t="array" ref="V54">IFERROR(INDEX('TB-Pharmaceuticals'!$Q$41:$Q$60,MATCH($E54&amp;$F54,'TB-Pharmaceuticals'!$D$41:$D$60&amp;'TB-Pharmaceuticals'!$G$41:$G$60,0)),0)</f>
        <v>0</v>
      </c>
      <c r="W54" s="626">
        <f t="shared" si="45"/>
        <v>0</v>
      </c>
      <c r="X54" s="626">
        <f t="shared" si="46"/>
        <v>0</v>
      </c>
      <c r="Y54" s="626">
        <f t="shared" si="47"/>
        <v>0</v>
      </c>
      <c r="Z54" s="627"/>
      <c r="AA54" s="625">
        <f t="array" ref="AA54">IFERROR(INDEX('TB-Pharmaceuticals'!$T$41:$T$60,MATCH($E54&amp;$F54,'TB-Pharmaceuticals'!$D$41:$D$60&amp;'TB-Pharmaceuticals'!$G$41:$G$60,0)),0)</f>
        <v>0</v>
      </c>
      <c r="AB54" s="625">
        <f t="array" ref="AB54">IFERROR(INDEX('TB-Pharmaceuticals'!$U$41:$U$60,MATCH($E54&amp;$F54,'TB-Pharmaceuticals'!$D$41:$D$60&amp;'TB-Pharmaceuticals'!$G$41:$G$60,0)),0)</f>
        <v>0</v>
      </c>
      <c r="AC54" s="626">
        <f t="shared" si="48"/>
        <v>0</v>
      </c>
      <c r="AD54" s="626">
        <f t="shared" si="49"/>
        <v>0</v>
      </c>
      <c r="AE54" s="626">
        <f t="shared" si="50"/>
        <v>0</v>
      </c>
      <c r="AF54" s="625">
        <f t="array" ref="AF54">IFERROR(INDEX('TB-Pharmaceuticals'!$V$41:$V$60,MATCH($E54&amp;$F54,'TB-Pharmaceuticals'!$D$41:$D$60&amp;'TB-Pharmaceuticals'!$G$41:$G$60,0)),0)</f>
        <v>0</v>
      </c>
      <c r="AG54" s="626">
        <f t="shared" si="51"/>
        <v>0</v>
      </c>
      <c r="AH54" s="626">
        <f t="shared" si="52"/>
        <v>0</v>
      </c>
      <c r="AI54" s="626">
        <f t="shared" si="53"/>
        <v>0</v>
      </c>
      <c r="AJ54" s="625">
        <f t="array" ref="AJ54">IFERROR(INDEX('TB-Pharmaceuticals'!$W$41:$W$60,MATCH($E54&amp;$F54,'TB-Pharmaceuticals'!$D$41:$D$60&amp;'TB-Pharmaceuticals'!$G$41:$G$60,0)),0)</f>
        <v>0</v>
      </c>
      <c r="AK54" s="626">
        <f t="shared" si="54"/>
        <v>0</v>
      </c>
      <c r="AL54" s="626">
        <f t="shared" si="55"/>
        <v>0</v>
      </c>
      <c r="AM54" s="626">
        <f t="shared" si="56"/>
        <v>0</v>
      </c>
      <c r="AN54" s="625">
        <f t="array" ref="AN54">IFERROR(INDEX('TB-Pharmaceuticals'!$X$41:$X$60,MATCH($E54&amp;$F54,'TB-Pharmaceuticals'!$D$41:$D$60&amp;'TB-Pharmaceuticals'!$G$41:$G$60,0)),0)</f>
        <v>0</v>
      </c>
      <c r="AO54" s="626">
        <f t="shared" si="57"/>
        <v>0</v>
      </c>
      <c r="AP54" s="626">
        <f t="shared" si="58"/>
        <v>0</v>
      </c>
      <c r="AQ54" s="626">
        <f t="shared" si="59"/>
        <v>0</v>
      </c>
      <c r="AR54" s="627"/>
      <c r="AS54" s="625">
        <f t="array" ref="AS54">IFERROR(INDEX('TB-Pharmaceuticals'!$AA$41:$AA$60,MATCH($E54&amp;$F54,'TB-Pharmaceuticals'!$D$41:$D$60&amp;'TB-Pharmaceuticals'!$G$41:$G$60,0)),0)</f>
        <v>0</v>
      </c>
      <c r="AT54" s="625">
        <f t="array" ref="AT54">IFERROR(INDEX('TB-Pharmaceuticals'!$AB$41:$AB$60,MATCH($E54&amp;$F54,'TB-Pharmaceuticals'!$D$41:$D$60&amp;'TB-Pharmaceuticals'!$G$41:$G$60,0)),0)</f>
        <v>0</v>
      </c>
      <c r="AU54" s="626">
        <f t="shared" si="60"/>
        <v>0</v>
      </c>
      <c r="AV54" s="626">
        <f t="shared" si="61"/>
        <v>0</v>
      </c>
      <c r="AW54" s="626">
        <f t="shared" si="62"/>
        <v>0</v>
      </c>
      <c r="AX54" s="625">
        <f t="array" ref="AX54">IFERROR(INDEX('TB-Pharmaceuticals'!$AC$41:$AC$60,MATCH($E54&amp;$F54,'TB-Pharmaceuticals'!$D$41:$D$60&amp;'TB-Pharmaceuticals'!$G$41:$G$60,0)),0)</f>
        <v>0</v>
      </c>
      <c r="AY54" s="626">
        <f t="shared" si="63"/>
        <v>0</v>
      </c>
      <c r="AZ54" s="626">
        <f t="shared" si="64"/>
        <v>0</v>
      </c>
      <c r="BA54" s="626">
        <f t="shared" si="65"/>
        <v>0</v>
      </c>
      <c r="BB54" s="625">
        <f t="array" ref="BB54">IFERROR(INDEX('TB-Pharmaceuticals'!$AD$41:$AD$60,MATCH($E54&amp;$F54,'TB-Pharmaceuticals'!$D$41:$D$60&amp;'TB-Pharmaceuticals'!$G$41:$G$60,0)),0)</f>
        <v>0</v>
      </c>
      <c r="BC54" s="626">
        <f t="shared" si="66"/>
        <v>0</v>
      </c>
      <c r="BD54" s="626">
        <f t="shared" si="67"/>
        <v>0</v>
      </c>
      <c r="BE54" s="626">
        <f t="shared" si="68"/>
        <v>0</v>
      </c>
      <c r="BF54" s="625">
        <f t="array" ref="BF54">IFERROR(INDEX('TB-Pharmaceuticals'!$AE$41:$AE$60,MATCH($E54&amp;$F54,'TB-Pharmaceuticals'!$D$41:$D$60&amp;'TB-Pharmaceuticals'!$G$41:$G$60,0)),0)</f>
        <v>0</v>
      </c>
      <c r="BG54" s="626">
        <f t="shared" si="69"/>
        <v>0</v>
      </c>
      <c r="BH54" s="626">
        <f t="shared" si="70"/>
        <v>0</v>
      </c>
      <c r="BI54" s="626">
        <f t="shared" si="71"/>
        <v>0</v>
      </c>
      <c r="BK54" s="626"/>
      <c r="BL54" s="626"/>
      <c r="BM54" s="626"/>
      <c r="BN54" s="626"/>
      <c r="BO54" s="626"/>
      <c r="BP54" s="626"/>
      <c r="BQ54" s="626"/>
      <c r="BR54" s="626"/>
    </row>
    <row r="55" spans="1:70">
      <c r="A55" s="32" t="s">
        <v>571</v>
      </c>
      <c r="B55" s="32" t="s">
        <v>1739</v>
      </c>
      <c r="C55" s="619">
        <f>SETUP!$F$38</f>
        <v>0</v>
      </c>
      <c r="D55" s="31">
        <v>4.2</v>
      </c>
      <c r="E55" s="32" t="s">
        <v>301</v>
      </c>
      <c r="F55" s="32" t="s">
        <v>302</v>
      </c>
      <c r="G55" s="625" t="str">
        <f t="array" ref="G55">IFERROR(INDEX('TB-Pharmaceuticals'!$K$41:$K$60,MATCH($E55&amp;$F55,'TB-Pharmaceuticals'!$D$41:$D$60&amp;'TB-Pharmaceuticals'!$G$41:$G$60,0)),"")</f>
        <v/>
      </c>
      <c r="H55" s="625" t="str">
        <f t="array" ref="H55">IFERROR(INDEX('TB-Pharmaceuticals'!$L$41:$L$60,MATCH($E55&amp;$F55,'TB-Pharmaceuticals'!$D$41:$D$60&amp;'TB-Pharmaceuticals'!$G$41:$G$60,0)),"")</f>
        <v/>
      </c>
      <c r="I55" s="625">
        <f t="array" ref="I55">IFERROR(INDEX('TB-Pharmaceuticals'!$M$41:$M$60,MATCH($E55&amp;$F55,'TB-Pharmaceuticals'!$D$41:$D$60&amp;'TB-Pharmaceuticals'!$G$41:$G$60,0)),0)</f>
        <v>0</v>
      </c>
      <c r="J55" s="625">
        <f t="array" ref="J55">IFERROR(INDEX('TB-Pharmaceuticals'!$N$41:$N$60,MATCH($E55&amp;$F55,'TB-Pharmaceuticals'!$D$41:$D$60&amp;'TB-Pharmaceuticals'!$G$41:$G$60,0)),0)</f>
        <v>0</v>
      </c>
      <c r="K55" s="626">
        <f t="shared" si="36"/>
        <v>0</v>
      </c>
      <c r="L55" s="626">
        <f t="shared" si="37"/>
        <v>0</v>
      </c>
      <c r="M55" s="626">
        <f t="shared" si="38"/>
        <v>0</v>
      </c>
      <c r="N55" s="625">
        <f t="array" ref="N55">IFERROR(INDEX('TB-Pharmaceuticals'!$O$41:$O$60,MATCH($E55&amp;$F55,'TB-Pharmaceuticals'!$D$41:$D$60&amp;'TB-Pharmaceuticals'!$G$41:$G$60,0)),0)</f>
        <v>0</v>
      </c>
      <c r="O55" s="626">
        <f t="shared" si="39"/>
        <v>0</v>
      </c>
      <c r="P55" s="626">
        <f t="shared" si="40"/>
        <v>0</v>
      </c>
      <c r="Q55" s="626">
        <f t="shared" si="41"/>
        <v>0</v>
      </c>
      <c r="R55" s="625">
        <f t="array" ref="R55">IFERROR(INDEX('TB-Pharmaceuticals'!$P$41:$P$60,MATCH($E55&amp;$F55,'TB-Pharmaceuticals'!$D$41:$D$60&amp;'TB-Pharmaceuticals'!$G$41:$G$60,0)),0)</f>
        <v>0</v>
      </c>
      <c r="S55" s="626">
        <f t="shared" si="42"/>
        <v>0</v>
      </c>
      <c r="T55" s="626">
        <f t="shared" si="43"/>
        <v>0</v>
      </c>
      <c r="U55" s="626">
        <f t="shared" si="44"/>
        <v>0</v>
      </c>
      <c r="V55" s="625">
        <f t="array" ref="V55">IFERROR(INDEX('TB-Pharmaceuticals'!$Q$41:$Q$60,MATCH($E55&amp;$F55,'TB-Pharmaceuticals'!$D$41:$D$60&amp;'TB-Pharmaceuticals'!$G$41:$G$60,0)),0)</f>
        <v>0</v>
      </c>
      <c r="W55" s="626">
        <f t="shared" si="45"/>
        <v>0</v>
      </c>
      <c r="X55" s="626">
        <f t="shared" si="46"/>
        <v>0</v>
      </c>
      <c r="Y55" s="626">
        <f t="shared" si="47"/>
        <v>0</v>
      </c>
      <c r="Z55" s="627"/>
      <c r="AA55" s="625">
        <f t="array" ref="AA55">IFERROR(INDEX('TB-Pharmaceuticals'!$T$41:$T$60,MATCH($E55&amp;$F55,'TB-Pharmaceuticals'!$D$41:$D$60&amp;'TB-Pharmaceuticals'!$G$41:$G$60,0)),0)</f>
        <v>0</v>
      </c>
      <c r="AB55" s="625">
        <f t="array" ref="AB55">IFERROR(INDEX('TB-Pharmaceuticals'!$U$41:$U$60,MATCH($E55&amp;$F55,'TB-Pharmaceuticals'!$D$41:$D$60&amp;'TB-Pharmaceuticals'!$G$41:$G$60,0)),0)</f>
        <v>0</v>
      </c>
      <c r="AC55" s="626">
        <f t="shared" si="48"/>
        <v>0</v>
      </c>
      <c r="AD55" s="626">
        <f t="shared" si="49"/>
        <v>0</v>
      </c>
      <c r="AE55" s="626">
        <f t="shared" si="50"/>
        <v>0</v>
      </c>
      <c r="AF55" s="625">
        <f t="array" ref="AF55">IFERROR(INDEX('TB-Pharmaceuticals'!$V$41:$V$60,MATCH($E55&amp;$F55,'TB-Pharmaceuticals'!$D$41:$D$60&amp;'TB-Pharmaceuticals'!$G$41:$G$60,0)),0)</f>
        <v>0</v>
      </c>
      <c r="AG55" s="626">
        <f t="shared" si="51"/>
        <v>0</v>
      </c>
      <c r="AH55" s="626">
        <f t="shared" si="52"/>
        <v>0</v>
      </c>
      <c r="AI55" s="626">
        <f t="shared" si="53"/>
        <v>0</v>
      </c>
      <c r="AJ55" s="625">
        <f t="array" ref="AJ55">IFERROR(INDEX('TB-Pharmaceuticals'!$W$41:$W$60,MATCH($E55&amp;$F55,'TB-Pharmaceuticals'!$D$41:$D$60&amp;'TB-Pharmaceuticals'!$G$41:$G$60,0)),0)</f>
        <v>0</v>
      </c>
      <c r="AK55" s="626">
        <f t="shared" si="54"/>
        <v>0</v>
      </c>
      <c r="AL55" s="626">
        <f t="shared" si="55"/>
        <v>0</v>
      </c>
      <c r="AM55" s="626">
        <f t="shared" si="56"/>
        <v>0</v>
      </c>
      <c r="AN55" s="625">
        <f t="array" ref="AN55">IFERROR(INDEX('TB-Pharmaceuticals'!$X$41:$X$60,MATCH($E55&amp;$F55,'TB-Pharmaceuticals'!$D$41:$D$60&amp;'TB-Pharmaceuticals'!$G$41:$G$60,0)),0)</f>
        <v>0</v>
      </c>
      <c r="AO55" s="626">
        <f t="shared" si="57"/>
        <v>0</v>
      </c>
      <c r="AP55" s="626">
        <f t="shared" si="58"/>
        <v>0</v>
      </c>
      <c r="AQ55" s="626">
        <f t="shared" si="59"/>
        <v>0</v>
      </c>
      <c r="AR55" s="627"/>
      <c r="AS55" s="625">
        <f t="array" ref="AS55">IFERROR(INDEX('TB-Pharmaceuticals'!$AA$41:$AA$60,MATCH($E55&amp;$F55,'TB-Pharmaceuticals'!$D$41:$D$60&amp;'TB-Pharmaceuticals'!$G$41:$G$60,0)),0)</f>
        <v>0</v>
      </c>
      <c r="AT55" s="625">
        <f t="array" ref="AT55">IFERROR(INDEX('TB-Pharmaceuticals'!$AB$41:$AB$60,MATCH($E55&amp;$F55,'TB-Pharmaceuticals'!$D$41:$D$60&amp;'TB-Pharmaceuticals'!$G$41:$G$60,0)),0)</f>
        <v>0</v>
      </c>
      <c r="AU55" s="626">
        <f t="shared" si="60"/>
        <v>0</v>
      </c>
      <c r="AV55" s="626">
        <f t="shared" si="61"/>
        <v>0</v>
      </c>
      <c r="AW55" s="626">
        <f t="shared" si="62"/>
        <v>0</v>
      </c>
      <c r="AX55" s="625">
        <f t="array" ref="AX55">IFERROR(INDEX('TB-Pharmaceuticals'!$AC$41:$AC$60,MATCH($E55&amp;$F55,'TB-Pharmaceuticals'!$D$41:$D$60&amp;'TB-Pharmaceuticals'!$G$41:$G$60,0)),0)</f>
        <v>0</v>
      </c>
      <c r="AY55" s="626">
        <f t="shared" si="63"/>
        <v>0</v>
      </c>
      <c r="AZ55" s="626">
        <f t="shared" si="64"/>
        <v>0</v>
      </c>
      <c r="BA55" s="626">
        <f t="shared" si="65"/>
        <v>0</v>
      </c>
      <c r="BB55" s="625">
        <f t="array" ref="BB55">IFERROR(INDEX('TB-Pharmaceuticals'!$AD$41:$AD$60,MATCH($E55&amp;$F55,'TB-Pharmaceuticals'!$D$41:$D$60&amp;'TB-Pharmaceuticals'!$G$41:$G$60,0)),0)</f>
        <v>0</v>
      </c>
      <c r="BC55" s="626">
        <f t="shared" si="66"/>
        <v>0</v>
      </c>
      <c r="BD55" s="626">
        <f t="shared" si="67"/>
        <v>0</v>
      </c>
      <c r="BE55" s="626">
        <f t="shared" si="68"/>
        <v>0</v>
      </c>
      <c r="BF55" s="625">
        <f t="array" ref="BF55">IFERROR(INDEX('TB-Pharmaceuticals'!$AE$41:$AE$60,MATCH($E55&amp;$F55,'TB-Pharmaceuticals'!$D$41:$D$60&amp;'TB-Pharmaceuticals'!$G$41:$G$60,0)),0)</f>
        <v>0</v>
      </c>
      <c r="BG55" s="626">
        <f t="shared" si="69"/>
        <v>0</v>
      </c>
      <c r="BH55" s="626">
        <f t="shared" si="70"/>
        <v>0</v>
      </c>
      <c r="BI55" s="626">
        <f t="shared" si="71"/>
        <v>0</v>
      </c>
      <c r="BK55" s="626"/>
      <c r="BL55" s="626"/>
      <c r="BM55" s="626"/>
      <c r="BN55" s="626"/>
      <c r="BO55" s="626"/>
      <c r="BP55" s="626"/>
      <c r="BQ55" s="626"/>
      <c r="BR55" s="626"/>
    </row>
    <row r="56" spans="1:70">
      <c r="A56" s="32" t="s">
        <v>571</v>
      </c>
      <c r="B56" s="32" t="s">
        <v>1739</v>
      </c>
      <c r="C56" s="619">
        <f>SETUP!$F$38</f>
        <v>0</v>
      </c>
      <c r="D56" s="31">
        <v>4.2</v>
      </c>
      <c r="E56" s="32" t="s">
        <v>301</v>
      </c>
      <c r="F56" s="32" t="s">
        <v>419</v>
      </c>
      <c r="G56" s="625" t="str">
        <f t="array" ref="G56">IFERROR(INDEX('TB-Pharmaceuticals'!$K$41:$K$60,MATCH($E56&amp;$F56,'TB-Pharmaceuticals'!$D$41:$D$60&amp;'TB-Pharmaceuticals'!$G$41:$G$60,0)),"")</f>
        <v/>
      </c>
      <c r="H56" s="625" t="str">
        <f t="array" ref="H56">IFERROR(INDEX('TB-Pharmaceuticals'!$L$41:$L$60,MATCH($E56&amp;$F56,'TB-Pharmaceuticals'!$D$41:$D$60&amp;'TB-Pharmaceuticals'!$G$41:$G$60,0)),"")</f>
        <v/>
      </c>
      <c r="I56" s="625">
        <f t="array" ref="I56">IFERROR(INDEX('TB-Pharmaceuticals'!$M$41:$M$60,MATCH($E56&amp;$F56,'TB-Pharmaceuticals'!$D$41:$D$60&amp;'TB-Pharmaceuticals'!$G$41:$G$60,0)),0)</f>
        <v>0</v>
      </c>
      <c r="J56" s="625">
        <f t="array" ref="J56">IFERROR(INDEX('TB-Pharmaceuticals'!$N$41:$N$60,MATCH($E56&amp;$F56,'TB-Pharmaceuticals'!$D$41:$D$60&amp;'TB-Pharmaceuticals'!$G$41:$G$60,0)),0)</f>
        <v>0</v>
      </c>
      <c r="K56" s="626">
        <f t="shared" si="36"/>
        <v>0</v>
      </c>
      <c r="L56" s="626">
        <f t="shared" si="37"/>
        <v>0</v>
      </c>
      <c r="M56" s="626">
        <f t="shared" si="38"/>
        <v>0</v>
      </c>
      <c r="N56" s="625">
        <f t="array" ref="N56">IFERROR(INDEX('TB-Pharmaceuticals'!$O$41:$O$60,MATCH($E56&amp;$F56,'TB-Pharmaceuticals'!$D$41:$D$60&amp;'TB-Pharmaceuticals'!$G$41:$G$60,0)),0)</f>
        <v>0</v>
      </c>
      <c r="O56" s="626">
        <f t="shared" si="39"/>
        <v>0</v>
      </c>
      <c r="P56" s="626">
        <f t="shared" si="40"/>
        <v>0</v>
      </c>
      <c r="Q56" s="626">
        <f t="shared" si="41"/>
        <v>0</v>
      </c>
      <c r="R56" s="625">
        <f t="array" ref="R56">IFERROR(INDEX('TB-Pharmaceuticals'!$P$41:$P$60,MATCH($E56&amp;$F56,'TB-Pharmaceuticals'!$D$41:$D$60&amp;'TB-Pharmaceuticals'!$G$41:$G$60,0)),0)</f>
        <v>0</v>
      </c>
      <c r="S56" s="626">
        <f t="shared" si="42"/>
        <v>0</v>
      </c>
      <c r="T56" s="626">
        <f t="shared" si="43"/>
        <v>0</v>
      </c>
      <c r="U56" s="626">
        <f t="shared" si="44"/>
        <v>0</v>
      </c>
      <c r="V56" s="625">
        <f t="array" ref="V56">IFERROR(INDEX('TB-Pharmaceuticals'!$Q$41:$Q$60,MATCH($E56&amp;$F56,'TB-Pharmaceuticals'!$D$41:$D$60&amp;'TB-Pharmaceuticals'!$G$41:$G$60,0)),0)</f>
        <v>0</v>
      </c>
      <c r="W56" s="626">
        <f t="shared" si="45"/>
        <v>0</v>
      </c>
      <c r="X56" s="626">
        <f t="shared" si="46"/>
        <v>0</v>
      </c>
      <c r="Y56" s="626">
        <f t="shared" si="47"/>
        <v>0</v>
      </c>
      <c r="Z56" s="627"/>
      <c r="AA56" s="625">
        <f t="array" ref="AA56">IFERROR(INDEX('TB-Pharmaceuticals'!$T$41:$T$60,MATCH($E56&amp;$F56,'TB-Pharmaceuticals'!$D$41:$D$60&amp;'TB-Pharmaceuticals'!$G$41:$G$60,0)),0)</f>
        <v>0</v>
      </c>
      <c r="AB56" s="625">
        <f t="array" ref="AB56">IFERROR(INDEX('TB-Pharmaceuticals'!$U$41:$U$60,MATCH($E56&amp;$F56,'TB-Pharmaceuticals'!$D$41:$D$60&amp;'TB-Pharmaceuticals'!$G$41:$G$60,0)),0)</f>
        <v>0</v>
      </c>
      <c r="AC56" s="626">
        <f t="shared" si="48"/>
        <v>0</v>
      </c>
      <c r="AD56" s="626">
        <f t="shared" si="49"/>
        <v>0</v>
      </c>
      <c r="AE56" s="626">
        <f t="shared" si="50"/>
        <v>0</v>
      </c>
      <c r="AF56" s="625">
        <f t="array" ref="AF56">IFERROR(INDEX('TB-Pharmaceuticals'!$V$41:$V$60,MATCH($E56&amp;$F56,'TB-Pharmaceuticals'!$D$41:$D$60&amp;'TB-Pharmaceuticals'!$G$41:$G$60,0)),0)</f>
        <v>0</v>
      </c>
      <c r="AG56" s="626">
        <f t="shared" si="51"/>
        <v>0</v>
      </c>
      <c r="AH56" s="626">
        <f t="shared" si="52"/>
        <v>0</v>
      </c>
      <c r="AI56" s="626">
        <f t="shared" si="53"/>
        <v>0</v>
      </c>
      <c r="AJ56" s="625">
        <f t="array" ref="AJ56">IFERROR(INDEX('TB-Pharmaceuticals'!$W$41:$W$60,MATCH($E56&amp;$F56,'TB-Pharmaceuticals'!$D$41:$D$60&amp;'TB-Pharmaceuticals'!$G$41:$G$60,0)),0)</f>
        <v>0</v>
      </c>
      <c r="AK56" s="626">
        <f t="shared" si="54"/>
        <v>0</v>
      </c>
      <c r="AL56" s="626">
        <f t="shared" si="55"/>
        <v>0</v>
      </c>
      <c r="AM56" s="626">
        <f t="shared" si="56"/>
        <v>0</v>
      </c>
      <c r="AN56" s="625">
        <f t="array" ref="AN56">IFERROR(INDEX('TB-Pharmaceuticals'!$X$41:$X$60,MATCH($E56&amp;$F56,'TB-Pharmaceuticals'!$D$41:$D$60&amp;'TB-Pharmaceuticals'!$G$41:$G$60,0)),0)</f>
        <v>0</v>
      </c>
      <c r="AO56" s="626">
        <f t="shared" si="57"/>
        <v>0</v>
      </c>
      <c r="AP56" s="626">
        <f t="shared" si="58"/>
        <v>0</v>
      </c>
      <c r="AQ56" s="626">
        <f t="shared" si="59"/>
        <v>0</v>
      </c>
      <c r="AR56" s="627"/>
      <c r="AS56" s="625">
        <f t="array" ref="AS56">IFERROR(INDEX('TB-Pharmaceuticals'!$AA$41:$AA$60,MATCH($E56&amp;$F56,'TB-Pharmaceuticals'!$D$41:$D$60&amp;'TB-Pharmaceuticals'!$G$41:$G$60,0)),0)</f>
        <v>0</v>
      </c>
      <c r="AT56" s="625">
        <f t="array" ref="AT56">IFERROR(INDEX('TB-Pharmaceuticals'!$AB$41:$AB$60,MATCH($E56&amp;$F56,'TB-Pharmaceuticals'!$D$41:$D$60&amp;'TB-Pharmaceuticals'!$G$41:$G$60,0)),0)</f>
        <v>0</v>
      </c>
      <c r="AU56" s="626">
        <f t="shared" si="60"/>
        <v>0</v>
      </c>
      <c r="AV56" s="626">
        <f t="shared" si="61"/>
        <v>0</v>
      </c>
      <c r="AW56" s="626">
        <f t="shared" si="62"/>
        <v>0</v>
      </c>
      <c r="AX56" s="625">
        <f t="array" ref="AX56">IFERROR(INDEX('TB-Pharmaceuticals'!$AC$41:$AC$60,MATCH($E56&amp;$F56,'TB-Pharmaceuticals'!$D$41:$D$60&amp;'TB-Pharmaceuticals'!$G$41:$G$60,0)),0)</f>
        <v>0</v>
      </c>
      <c r="AY56" s="626">
        <f t="shared" si="63"/>
        <v>0</v>
      </c>
      <c r="AZ56" s="626">
        <f t="shared" si="64"/>
        <v>0</v>
      </c>
      <c r="BA56" s="626">
        <f t="shared" si="65"/>
        <v>0</v>
      </c>
      <c r="BB56" s="625">
        <f t="array" ref="BB56">IFERROR(INDEX('TB-Pharmaceuticals'!$AD$41:$AD$60,MATCH($E56&amp;$F56,'TB-Pharmaceuticals'!$D$41:$D$60&amp;'TB-Pharmaceuticals'!$G$41:$G$60,0)),0)</f>
        <v>0</v>
      </c>
      <c r="BC56" s="626">
        <f t="shared" si="66"/>
        <v>0</v>
      </c>
      <c r="BD56" s="626">
        <f t="shared" si="67"/>
        <v>0</v>
      </c>
      <c r="BE56" s="626">
        <f t="shared" si="68"/>
        <v>0</v>
      </c>
      <c r="BF56" s="625">
        <f t="array" ref="BF56">IFERROR(INDEX('TB-Pharmaceuticals'!$AE$41:$AE$60,MATCH($E56&amp;$F56,'TB-Pharmaceuticals'!$D$41:$D$60&amp;'TB-Pharmaceuticals'!$G$41:$G$60,0)),0)</f>
        <v>0</v>
      </c>
      <c r="BG56" s="626">
        <f t="shared" si="69"/>
        <v>0</v>
      </c>
      <c r="BH56" s="626">
        <f t="shared" si="70"/>
        <v>0</v>
      </c>
      <c r="BI56" s="626">
        <f t="shared" si="71"/>
        <v>0</v>
      </c>
      <c r="BK56" s="626"/>
      <c r="BL56" s="626"/>
      <c r="BM56" s="626"/>
      <c r="BN56" s="626"/>
      <c r="BO56" s="626"/>
      <c r="BP56" s="626"/>
      <c r="BQ56" s="626"/>
      <c r="BR56" s="626"/>
    </row>
    <row r="57" spans="1:70">
      <c r="A57" s="32" t="s">
        <v>571</v>
      </c>
      <c r="B57" s="32" t="s">
        <v>1739</v>
      </c>
      <c r="C57" s="619">
        <f>SETUP!$F$38</f>
        <v>0</v>
      </c>
      <c r="D57" s="31">
        <v>4.2</v>
      </c>
      <c r="E57" s="32" t="s">
        <v>418</v>
      </c>
      <c r="F57" s="32" t="s">
        <v>428</v>
      </c>
      <c r="G57" s="625" t="str">
        <f t="array" ref="G57">IFERROR(INDEX('TB-Pharmaceuticals'!$K$41:$K$60,MATCH($E57&amp;$F57,'TB-Pharmaceuticals'!$D$41:$D$60&amp;'TB-Pharmaceuticals'!$G$41:$G$60,0)),"")</f>
        <v/>
      </c>
      <c r="H57" s="625" t="str">
        <f t="array" ref="H57">IFERROR(INDEX('TB-Pharmaceuticals'!$L$41:$L$60,MATCH($E57&amp;$F57,'TB-Pharmaceuticals'!$D$41:$D$60&amp;'TB-Pharmaceuticals'!$G$41:$G$60,0)),"")</f>
        <v/>
      </c>
      <c r="I57" s="625">
        <f t="array" ref="I57">IFERROR(INDEX('TB-Pharmaceuticals'!$M$41:$M$60,MATCH($E57&amp;$F57,'TB-Pharmaceuticals'!$D$41:$D$60&amp;'TB-Pharmaceuticals'!$G$41:$G$60,0)),0)</f>
        <v>0</v>
      </c>
      <c r="J57" s="625">
        <f t="array" ref="J57">IFERROR(INDEX('TB-Pharmaceuticals'!$N$41:$N$60,MATCH($E57&amp;$F57,'TB-Pharmaceuticals'!$D$41:$D$60&amp;'TB-Pharmaceuticals'!$G$41:$G$60,0)),0)</f>
        <v>0</v>
      </c>
      <c r="K57" s="626">
        <f t="shared" si="36"/>
        <v>0</v>
      </c>
      <c r="L57" s="626">
        <f t="shared" si="37"/>
        <v>0</v>
      </c>
      <c r="M57" s="626">
        <f t="shared" si="38"/>
        <v>0</v>
      </c>
      <c r="N57" s="625">
        <f t="array" ref="N57">IFERROR(INDEX('TB-Pharmaceuticals'!$O$41:$O$60,MATCH($E57&amp;$F57,'TB-Pharmaceuticals'!$D$41:$D$60&amp;'TB-Pharmaceuticals'!$G$41:$G$60,0)),0)</f>
        <v>0</v>
      </c>
      <c r="O57" s="626">
        <f t="shared" si="39"/>
        <v>0</v>
      </c>
      <c r="P57" s="626">
        <f t="shared" si="40"/>
        <v>0</v>
      </c>
      <c r="Q57" s="626">
        <f t="shared" si="41"/>
        <v>0</v>
      </c>
      <c r="R57" s="625">
        <f t="array" ref="R57">IFERROR(INDEX('TB-Pharmaceuticals'!$P$41:$P$60,MATCH($E57&amp;$F57,'TB-Pharmaceuticals'!$D$41:$D$60&amp;'TB-Pharmaceuticals'!$G$41:$G$60,0)),0)</f>
        <v>0</v>
      </c>
      <c r="S57" s="626">
        <f t="shared" si="42"/>
        <v>0</v>
      </c>
      <c r="T57" s="626">
        <f t="shared" si="43"/>
        <v>0</v>
      </c>
      <c r="U57" s="626">
        <f t="shared" si="44"/>
        <v>0</v>
      </c>
      <c r="V57" s="625">
        <f t="array" ref="V57">IFERROR(INDEX('TB-Pharmaceuticals'!$Q$41:$Q$60,MATCH($E57&amp;$F57,'TB-Pharmaceuticals'!$D$41:$D$60&amp;'TB-Pharmaceuticals'!$G$41:$G$60,0)),0)</f>
        <v>0</v>
      </c>
      <c r="W57" s="626">
        <f t="shared" si="45"/>
        <v>0</v>
      </c>
      <c r="X57" s="626">
        <f t="shared" si="46"/>
        <v>0</v>
      </c>
      <c r="Y57" s="626">
        <f t="shared" si="47"/>
        <v>0</v>
      </c>
      <c r="Z57" s="627"/>
      <c r="AA57" s="625">
        <f t="array" ref="AA57">IFERROR(INDEX('TB-Pharmaceuticals'!$T$41:$T$60,MATCH($E57&amp;$F57,'TB-Pharmaceuticals'!$D$41:$D$60&amp;'TB-Pharmaceuticals'!$G$41:$G$60,0)),0)</f>
        <v>0</v>
      </c>
      <c r="AB57" s="625">
        <f t="array" ref="AB57">IFERROR(INDEX('TB-Pharmaceuticals'!$U$41:$U$60,MATCH($E57&amp;$F57,'TB-Pharmaceuticals'!$D$41:$D$60&amp;'TB-Pharmaceuticals'!$G$41:$G$60,0)),0)</f>
        <v>0</v>
      </c>
      <c r="AC57" s="626">
        <f t="shared" si="48"/>
        <v>0</v>
      </c>
      <c r="AD57" s="626">
        <f t="shared" si="49"/>
        <v>0</v>
      </c>
      <c r="AE57" s="626">
        <f t="shared" si="50"/>
        <v>0</v>
      </c>
      <c r="AF57" s="625">
        <f t="array" ref="AF57">IFERROR(INDEX('TB-Pharmaceuticals'!$V$41:$V$60,MATCH($E57&amp;$F57,'TB-Pharmaceuticals'!$D$41:$D$60&amp;'TB-Pharmaceuticals'!$G$41:$G$60,0)),0)</f>
        <v>0</v>
      </c>
      <c r="AG57" s="626">
        <f t="shared" si="51"/>
        <v>0</v>
      </c>
      <c r="AH57" s="626">
        <f t="shared" si="52"/>
        <v>0</v>
      </c>
      <c r="AI57" s="626">
        <f t="shared" si="53"/>
        <v>0</v>
      </c>
      <c r="AJ57" s="625">
        <f t="array" ref="AJ57">IFERROR(INDEX('TB-Pharmaceuticals'!$W$41:$W$60,MATCH($E57&amp;$F57,'TB-Pharmaceuticals'!$D$41:$D$60&amp;'TB-Pharmaceuticals'!$G$41:$G$60,0)),0)</f>
        <v>0</v>
      </c>
      <c r="AK57" s="626">
        <f t="shared" si="54"/>
        <v>0</v>
      </c>
      <c r="AL57" s="626">
        <f t="shared" si="55"/>
        <v>0</v>
      </c>
      <c r="AM57" s="626">
        <f t="shared" si="56"/>
        <v>0</v>
      </c>
      <c r="AN57" s="625">
        <f t="array" ref="AN57">IFERROR(INDEX('TB-Pharmaceuticals'!$X$41:$X$60,MATCH($E57&amp;$F57,'TB-Pharmaceuticals'!$D$41:$D$60&amp;'TB-Pharmaceuticals'!$G$41:$G$60,0)),0)</f>
        <v>0</v>
      </c>
      <c r="AO57" s="626">
        <f t="shared" si="57"/>
        <v>0</v>
      </c>
      <c r="AP57" s="626">
        <f t="shared" si="58"/>
        <v>0</v>
      </c>
      <c r="AQ57" s="626">
        <f t="shared" si="59"/>
        <v>0</v>
      </c>
      <c r="AR57" s="627"/>
      <c r="AS57" s="625">
        <f t="array" ref="AS57">IFERROR(INDEX('TB-Pharmaceuticals'!$AA$41:$AA$60,MATCH($E57&amp;$F57,'TB-Pharmaceuticals'!$D$41:$D$60&amp;'TB-Pharmaceuticals'!$G$41:$G$60,0)),0)</f>
        <v>0</v>
      </c>
      <c r="AT57" s="625">
        <f t="array" ref="AT57">IFERROR(INDEX('TB-Pharmaceuticals'!$AB$41:$AB$60,MATCH($E57&amp;$F57,'TB-Pharmaceuticals'!$D$41:$D$60&amp;'TB-Pharmaceuticals'!$G$41:$G$60,0)),0)</f>
        <v>0</v>
      </c>
      <c r="AU57" s="626">
        <f t="shared" si="60"/>
        <v>0</v>
      </c>
      <c r="AV57" s="626">
        <f t="shared" si="61"/>
        <v>0</v>
      </c>
      <c r="AW57" s="626">
        <f t="shared" si="62"/>
        <v>0</v>
      </c>
      <c r="AX57" s="625">
        <f t="array" ref="AX57">IFERROR(INDEX('TB-Pharmaceuticals'!$AC$41:$AC$60,MATCH($E57&amp;$F57,'TB-Pharmaceuticals'!$D$41:$D$60&amp;'TB-Pharmaceuticals'!$G$41:$G$60,0)),0)</f>
        <v>0</v>
      </c>
      <c r="AY57" s="626">
        <f t="shared" si="63"/>
        <v>0</v>
      </c>
      <c r="AZ57" s="626">
        <f t="shared" si="64"/>
        <v>0</v>
      </c>
      <c r="BA57" s="626">
        <f t="shared" si="65"/>
        <v>0</v>
      </c>
      <c r="BB57" s="625">
        <f t="array" ref="BB57">IFERROR(INDEX('TB-Pharmaceuticals'!$AD$41:$AD$60,MATCH($E57&amp;$F57,'TB-Pharmaceuticals'!$D$41:$D$60&amp;'TB-Pharmaceuticals'!$G$41:$G$60,0)),0)</f>
        <v>0</v>
      </c>
      <c r="BC57" s="626">
        <f t="shared" si="66"/>
        <v>0</v>
      </c>
      <c r="BD57" s="626">
        <f t="shared" si="67"/>
        <v>0</v>
      </c>
      <c r="BE57" s="626">
        <f t="shared" si="68"/>
        <v>0</v>
      </c>
      <c r="BF57" s="625">
        <f t="array" ref="BF57">IFERROR(INDEX('TB-Pharmaceuticals'!$AE$41:$AE$60,MATCH($E57&amp;$F57,'TB-Pharmaceuticals'!$D$41:$D$60&amp;'TB-Pharmaceuticals'!$G$41:$G$60,0)),0)</f>
        <v>0</v>
      </c>
      <c r="BG57" s="626">
        <f t="shared" si="69"/>
        <v>0</v>
      </c>
      <c r="BH57" s="626">
        <f t="shared" si="70"/>
        <v>0</v>
      </c>
      <c r="BI57" s="626">
        <f t="shared" si="71"/>
        <v>0</v>
      </c>
      <c r="BK57" s="626"/>
      <c r="BL57" s="626"/>
      <c r="BM57" s="626"/>
      <c r="BN57" s="626"/>
      <c r="BO57" s="626"/>
      <c r="BP57" s="626"/>
      <c r="BQ57" s="626"/>
      <c r="BR57" s="626"/>
    </row>
    <row r="58" spans="1:70">
      <c r="A58" s="32" t="s">
        <v>571</v>
      </c>
      <c r="B58" s="32" t="s">
        <v>1739</v>
      </c>
      <c r="C58" s="619">
        <f>SETUP!$F$38</f>
        <v>0</v>
      </c>
      <c r="D58" s="31">
        <v>4.2</v>
      </c>
      <c r="E58" s="32" t="s">
        <v>418</v>
      </c>
      <c r="F58" s="32" t="s">
        <v>1285</v>
      </c>
      <c r="G58" s="625" t="str">
        <f t="array" ref="G58">IFERROR(INDEX('TB-Pharmaceuticals'!$K$41:$K$60,MATCH($E58&amp;$F58,'TB-Pharmaceuticals'!$D$41:$D$60&amp;'TB-Pharmaceuticals'!$G$41:$G$60,0)),"")</f>
        <v/>
      </c>
      <c r="H58" s="625" t="str">
        <f t="array" ref="H58">IFERROR(INDEX('TB-Pharmaceuticals'!$L$41:$L$60,MATCH($E58&amp;$F58,'TB-Pharmaceuticals'!$D$41:$D$60&amp;'TB-Pharmaceuticals'!$G$41:$G$60,0)),"")</f>
        <v/>
      </c>
      <c r="I58" s="625">
        <f t="array" ref="I58">IFERROR(INDEX('TB-Pharmaceuticals'!$M$41:$M$60,MATCH($E58&amp;$F58,'TB-Pharmaceuticals'!$D$41:$D$60&amp;'TB-Pharmaceuticals'!$G$41:$G$60,0)),0)</f>
        <v>0</v>
      </c>
      <c r="J58" s="625">
        <f t="array" ref="J58">IFERROR(INDEX('TB-Pharmaceuticals'!$N$41:$N$60,MATCH($E58&amp;$F58,'TB-Pharmaceuticals'!$D$41:$D$60&amp;'TB-Pharmaceuticals'!$G$41:$G$60,0)),0)</f>
        <v>0</v>
      </c>
      <c r="K58" s="626">
        <f t="shared" si="36"/>
        <v>0</v>
      </c>
      <c r="L58" s="626">
        <f t="shared" si="37"/>
        <v>0</v>
      </c>
      <c r="M58" s="626">
        <f t="shared" si="38"/>
        <v>0</v>
      </c>
      <c r="N58" s="625">
        <f t="array" ref="N58">IFERROR(INDEX('TB-Pharmaceuticals'!$O$41:$O$60,MATCH($E58&amp;$F58,'TB-Pharmaceuticals'!$D$41:$D$60&amp;'TB-Pharmaceuticals'!$G$41:$G$60,0)),0)</f>
        <v>0</v>
      </c>
      <c r="O58" s="626">
        <f t="shared" si="39"/>
        <v>0</v>
      </c>
      <c r="P58" s="626">
        <f t="shared" si="40"/>
        <v>0</v>
      </c>
      <c r="Q58" s="626">
        <f t="shared" si="41"/>
        <v>0</v>
      </c>
      <c r="R58" s="625">
        <f t="array" ref="R58">IFERROR(INDEX('TB-Pharmaceuticals'!$P$41:$P$60,MATCH($E58&amp;$F58,'TB-Pharmaceuticals'!$D$41:$D$60&amp;'TB-Pharmaceuticals'!$G$41:$G$60,0)),0)</f>
        <v>0</v>
      </c>
      <c r="S58" s="626">
        <f t="shared" si="42"/>
        <v>0</v>
      </c>
      <c r="T58" s="626">
        <f t="shared" si="43"/>
        <v>0</v>
      </c>
      <c r="U58" s="626">
        <f t="shared" si="44"/>
        <v>0</v>
      </c>
      <c r="V58" s="625">
        <f t="array" ref="V58">IFERROR(INDEX('TB-Pharmaceuticals'!$Q$41:$Q$60,MATCH($E58&amp;$F58,'TB-Pharmaceuticals'!$D$41:$D$60&amp;'TB-Pharmaceuticals'!$G$41:$G$60,0)),0)</f>
        <v>0</v>
      </c>
      <c r="W58" s="626">
        <f t="shared" si="45"/>
        <v>0</v>
      </c>
      <c r="X58" s="626">
        <f t="shared" si="46"/>
        <v>0</v>
      </c>
      <c r="Y58" s="626">
        <f t="shared" si="47"/>
        <v>0</v>
      </c>
      <c r="Z58" s="627"/>
      <c r="AA58" s="625">
        <f t="array" ref="AA58">IFERROR(INDEX('TB-Pharmaceuticals'!$T$41:$T$60,MATCH($E58&amp;$F58,'TB-Pharmaceuticals'!$D$41:$D$60&amp;'TB-Pharmaceuticals'!$G$41:$G$60,0)),0)</f>
        <v>0</v>
      </c>
      <c r="AB58" s="625">
        <f t="array" ref="AB58">IFERROR(INDEX('TB-Pharmaceuticals'!$U$41:$U$60,MATCH($E58&amp;$F58,'TB-Pharmaceuticals'!$D$41:$D$60&amp;'TB-Pharmaceuticals'!$G$41:$G$60,0)),0)</f>
        <v>0</v>
      </c>
      <c r="AC58" s="626">
        <f t="shared" si="48"/>
        <v>0</v>
      </c>
      <c r="AD58" s="626">
        <f t="shared" si="49"/>
        <v>0</v>
      </c>
      <c r="AE58" s="626">
        <f t="shared" si="50"/>
        <v>0</v>
      </c>
      <c r="AF58" s="625">
        <f t="array" ref="AF58">IFERROR(INDEX('TB-Pharmaceuticals'!$V$41:$V$60,MATCH($E58&amp;$F58,'TB-Pharmaceuticals'!$D$41:$D$60&amp;'TB-Pharmaceuticals'!$G$41:$G$60,0)),0)</f>
        <v>0</v>
      </c>
      <c r="AG58" s="626">
        <f t="shared" si="51"/>
        <v>0</v>
      </c>
      <c r="AH58" s="626">
        <f t="shared" si="52"/>
        <v>0</v>
      </c>
      <c r="AI58" s="626">
        <f t="shared" si="53"/>
        <v>0</v>
      </c>
      <c r="AJ58" s="625">
        <f t="array" ref="AJ58">IFERROR(INDEX('TB-Pharmaceuticals'!$W$41:$W$60,MATCH($E58&amp;$F58,'TB-Pharmaceuticals'!$D$41:$D$60&amp;'TB-Pharmaceuticals'!$G$41:$G$60,0)),0)</f>
        <v>0</v>
      </c>
      <c r="AK58" s="626">
        <f t="shared" si="54"/>
        <v>0</v>
      </c>
      <c r="AL58" s="626">
        <f t="shared" si="55"/>
        <v>0</v>
      </c>
      <c r="AM58" s="626">
        <f t="shared" si="56"/>
        <v>0</v>
      </c>
      <c r="AN58" s="625">
        <f t="array" ref="AN58">IFERROR(INDEX('TB-Pharmaceuticals'!$X$41:$X$60,MATCH($E58&amp;$F58,'TB-Pharmaceuticals'!$D$41:$D$60&amp;'TB-Pharmaceuticals'!$G$41:$G$60,0)),0)</f>
        <v>0</v>
      </c>
      <c r="AO58" s="626">
        <f t="shared" si="57"/>
        <v>0</v>
      </c>
      <c r="AP58" s="626">
        <f t="shared" si="58"/>
        <v>0</v>
      </c>
      <c r="AQ58" s="626">
        <f t="shared" si="59"/>
        <v>0</v>
      </c>
      <c r="AR58" s="627"/>
      <c r="AS58" s="625">
        <f t="array" ref="AS58">IFERROR(INDEX('TB-Pharmaceuticals'!$AA$41:$AA$60,MATCH($E58&amp;$F58,'TB-Pharmaceuticals'!$D$41:$D$60&amp;'TB-Pharmaceuticals'!$G$41:$G$60,0)),0)</f>
        <v>0</v>
      </c>
      <c r="AT58" s="625">
        <f t="array" ref="AT58">IFERROR(INDEX('TB-Pharmaceuticals'!$AB$41:$AB$60,MATCH($E58&amp;$F58,'TB-Pharmaceuticals'!$D$41:$D$60&amp;'TB-Pharmaceuticals'!$G$41:$G$60,0)),0)</f>
        <v>0</v>
      </c>
      <c r="AU58" s="626">
        <f t="shared" si="60"/>
        <v>0</v>
      </c>
      <c r="AV58" s="626">
        <f t="shared" si="61"/>
        <v>0</v>
      </c>
      <c r="AW58" s="626">
        <f t="shared" si="62"/>
        <v>0</v>
      </c>
      <c r="AX58" s="625">
        <f t="array" ref="AX58">IFERROR(INDEX('TB-Pharmaceuticals'!$AC$41:$AC$60,MATCH($E58&amp;$F58,'TB-Pharmaceuticals'!$D$41:$D$60&amp;'TB-Pharmaceuticals'!$G$41:$G$60,0)),0)</f>
        <v>0</v>
      </c>
      <c r="AY58" s="626">
        <f t="shared" si="63"/>
        <v>0</v>
      </c>
      <c r="AZ58" s="626">
        <f t="shared" si="64"/>
        <v>0</v>
      </c>
      <c r="BA58" s="626">
        <f t="shared" si="65"/>
        <v>0</v>
      </c>
      <c r="BB58" s="625">
        <f t="array" ref="BB58">IFERROR(INDEX('TB-Pharmaceuticals'!$AD$41:$AD$60,MATCH($E58&amp;$F58,'TB-Pharmaceuticals'!$D$41:$D$60&amp;'TB-Pharmaceuticals'!$G$41:$G$60,0)),0)</f>
        <v>0</v>
      </c>
      <c r="BC58" s="626">
        <f t="shared" si="66"/>
        <v>0</v>
      </c>
      <c r="BD58" s="626">
        <f t="shared" si="67"/>
        <v>0</v>
      </c>
      <c r="BE58" s="626">
        <f t="shared" si="68"/>
        <v>0</v>
      </c>
      <c r="BF58" s="625">
        <f t="array" ref="BF58">IFERROR(INDEX('TB-Pharmaceuticals'!$AE$41:$AE$60,MATCH($E58&amp;$F58,'TB-Pharmaceuticals'!$D$41:$D$60&amp;'TB-Pharmaceuticals'!$G$41:$G$60,0)),0)</f>
        <v>0</v>
      </c>
      <c r="BG58" s="626">
        <f t="shared" si="69"/>
        <v>0</v>
      </c>
      <c r="BH58" s="626">
        <f t="shared" si="70"/>
        <v>0</v>
      </c>
      <c r="BI58" s="626">
        <f t="shared" si="71"/>
        <v>0</v>
      </c>
      <c r="BK58" s="626"/>
      <c r="BL58" s="626"/>
      <c r="BM58" s="626"/>
      <c r="BN58" s="626"/>
      <c r="BO58" s="626"/>
      <c r="BP58" s="626"/>
      <c r="BQ58" s="626"/>
      <c r="BR58" s="626"/>
    </row>
    <row r="59" spans="1:70">
      <c r="A59" s="32" t="s">
        <v>571</v>
      </c>
      <c r="B59" s="32" t="s">
        <v>1739</v>
      </c>
      <c r="C59" s="619">
        <f>SETUP!$F$38</f>
        <v>0</v>
      </c>
      <c r="D59" s="31">
        <v>4.2</v>
      </c>
      <c r="E59" s="32" t="s">
        <v>418</v>
      </c>
      <c r="F59" s="32" t="s">
        <v>432</v>
      </c>
      <c r="G59" s="625" t="str">
        <f t="array" ref="G59">IFERROR(INDEX('TB-Pharmaceuticals'!$K$41:$K$60,MATCH($E59&amp;$F59,'TB-Pharmaceuticals'!$D$41:$D$60&amp;'TB-Pharmaceuticals'!$G$41:$G$60,0)),"")</f>
        <v/>
      </c>
      <c r="H59" s="625" t="str">
        <f t="array" ref="H59">IFERROR(INDEX('TB-Pharmaceuticals'!$L$41:$L$60,MATCH($E59&amp;$F59,'TB-Pharmaceuticals'!$D$41:$D$60&amp;'TB-Pharmaceuticals'!$G$41:$G$60,0)),"")</f>
        <v/>
      </c>
      <c r="I59" s="625">
        <f t="array" ref="I59">IFERROR(INDEX('TB-Pharmaceuticals'!$M$41:$M$60,MATCH($E59&amp;$F59,'TB-Pharmaceuticals'!$D$41:$D$60&amp;'TB-Pharmaceuticals'!$G$41:$G$60,0)),0)</f>
        <v>0</v>
      </c>
      <c r="J59" s="625">
        <f t="array" ref="J59">IFERROR(INDEX('TB-Pharmaceuticals'!$N$41:$N$60,MATCH($E59&amp;$F59,'TB-Pharmaceuticals'!$D$41:$D$60&amp;'TB-Pharmaceuticals'!$G$41:$G$60,0)),0)</f>
        <v>0</v>
      </c>
      <c r="K59" s="626">
        <f t="shared" si="36"/>
        <v>0</v>
      </c>
      <c r="L59" s="626">
        <f t="shared" si="37"/>
        <v>0</v>
      </c>
      <c r="M59" s="626">
        <f t="shared" si="38"/>
        <v>0</v>
      </c>
      <c r="N59" s="625">
        <f t="array" ref="N59">IFERROR(INDEX('TB-Pharmaceuticals'!$O$41:$O$60,MATCH($E59&amp;$F59,'TB-Pharmaceuticals'!$D$41:$D$60&amp;'TB-Pharmaceuticals'!$G$41:$G$60,0)),0)</f>
        <v>0</v>
      </c>
      <c r="O59" s="626">
        <f t="shared" si="39"/>
        <v>0</v>
      </c>
      <c r="P59" s="626">
        <f t="shared" si="40"/>
        <v>0</v>
      </c>
      <c r="Q59" s="626">
        <f t="shared" si="41"/>
        <v>0</v>
      </c>
      <c r="R59" s="625">
        <f t="array" ref="R59">IFERROR(INDEX('TB-Pharmaceuticals'!$P$41:$P$60,MATCH($E59&amp;$F59,'TB-Pharmaceuticals'!$D$41:$D$60&amp;'TB-Pharmaceuticals'!$G$41:$G$60,0)),0)</f>
        <v>0</v>
      </c>
      <c r="S59" s="626">
        <f t="shared" si="42"/>
        <v>0</v>
      </c>
      <c r="T59" s="626">
        <f t="shared" si="43"/>
        <v>0</v>
      </c>
      <c r="U59" s="626">
        <f t="shared" si="44"/>
        <v>0</v>
      </c>
      <c r="V59" s="625">
        <f t="array" ref="V59">IFERROR(INDEX('TB-Pharmaceuticals'!$Q$41:$Q$60,MATCH($E59&amp;$F59,'TB-Pharmaceuticals'!$D$41:$D$60&amp;'TB-Pharmaceuticals'!$G$41:$G$60,0)),0)</f>
        <v>0</v>
      </c>
      <c r="W59" s="626">
        <f t="shared" si="45"/>
        <v>0</v>
      </c>
      <c r="X59" s="626">
        <f t="shared" si="46"/>
        <v>0</v>
      </c>
      <c r="Y59" s="626">
        <f t="shared" si="47"/>
        <v>0</v>
      </c>
      <c r="Z59" s="627"/>
      <c r="AA59" s="625">
        <f t="array" ref="AA59">IFERROR(INDEX('TB-Pharmaceuticals'!$T$41:$T$60,MATCH($E59&amp;$F59,'TB-Pharmaceuticals'!$D$41:$D$60&amp;'TB-Pharmaceuticals'!$G$41:$G$60,0)),0)</f>
        <v>0</v>
      </c>
      <c r="AB59" s="625">
        <f t="array" ref="AB59">IFERROR(INDEX('TB-Pharmaceuticals'!$U$41:$U$60,MATCH($E59&amp;$F59,'TB-Pharmaceuticals'!$D$41:$D$60&amp;'TB-Pharmaceuticals'!$G$41:$G$60,0)),0)</f>
        <v>0</v>
      </c>
      <c r="AC59" s="626">
        <f t="shared" si="48"/>
        <v>0</v>
      </c>
      <c r="AD59" s="626">
        <f t="shared" si="49"/>
        <v>0</v>
      </c>
      <c r="AE59" s="626">
        <f t="shared" si="50"/>
        <v>0</v>
      </c>
      <c r="AF59" s="625">
        <f t="array" ref="AF59">IFERROR(INDEX('TB-Pharmaceuticals'!$V$41:$V$60,MATCH($E59&amp;$F59,'TB-Pharmaceuticals'!$D$41:$D$60&amp;'TB-Pharmaceuticals'!$G$41:$G$60,0)),0)</f>
        <v>0</v>
      </c>
      <c r="AG59" s="626">
        <f t="shared" si="51"/>
        <v>0</v>
      </c>
      <c r="AH59" s="626">
        <f t="shared" si="52"/>
        <v>0</v>
      </c>
      <c r="AI59" s="626">
        <f t="shared" si="53"/>
        <v>0</v>
      </c>
      <c r="AJ59" s="625">
        <f t="array" ref="AJ59">IFERROR(INDEX('TB-Pharmaceuticals'!$W$41:$W$60,MATCH($E59&amp;$F59,'TB-Pharmaceuticals'!$D$41:$D$60&amp;'TB-Pharmaceuticals'!$G$41:$G$60,0)),0)</f>
        <v>0</v>
      </c>
      <c r="AK59" s="626">
        <f t="shared" si="54"/>
        <v>0</v>
      </c>
      <c r="AL59" s="626">
        <f t="shared" si="55"/>
        <v>0</v>
      </c>
      <c r="AM59" s="626">
        <f t="shared" si="56"/>
        <v>0</v>
      </c>
      <c r="AN59" s="625">
        <f t="array" ref="AN59">IFERROR(INDEX('TB-Pharmaceuticals'!$X$41:$X$60,MATCH($E59&amp;$F59,'TB-Pharmaceuticals'!$D$41:$D$60&amp;'TB-Pharmaceuticals'!$G$41:$G$60,0)),0)</f>
        <v>0</v>
      </c>
      <c r="AO59" s="626">
        <f t="shared" si="57"/>
        <v>0</v>
      </c>
      <c r="AP59" s="626">
        <f t="shared" si="58"/>
        <v>0</v>
      </c>
      <c r="AQ59" s="626">
        <f t="shared" si="59"/>
        <v>0</v>
      </c>
      <c r="AR59" s="627"/>
      <c r="AS59" s="625">
        <f t="array" ref="AS59">IFERROR(INDEX('TB-Pharmaceuticals'!$AA$41:$AA$60,MATCH($E59&amp;$F59,'TB-Pharmaceuticals'!$D$41:$D$60&amp;'TB-Pharmaceuticals'!$G$41:$G$60,0)),0)</f>
        <v>0</v>
      </c>
      <c r="AT59" s="625">
        <f t="array" ref="AT59">IFERROR(INDEX('TB-Pharmaceuticals'!$AB$41:$AB$60,MATCH($E59&amp;$F59,'TB-Pharmaceuticals'!$D$41:$D$60&amp;'TB-Pharmaceuticals'!$G$41:$G$60,0)),0)</f>
        <v>0</v>
      </c>
      <c r="AU59" s="626">
        <f t="shared" si="60"/>
        <v>0</v>
      </c>
      <c r="AV59" s="626">
        <f t="shared" si="61"/>
        <v>0</v>
      </c>
      <c r="AW59" s="626">
        <f t="shared" si="62"/>
        <v>0</v>
      </c>
      <c r="AX59" s="625">
        <f t="array" ref="AX59">IFERROR(INDEX('TB-Pharmaceuticals'!$AC$41:$AC$60,MATCH($E59&amp;$F59,'TB-Pharmaceuticals'!$D$41:$D$60&amp;'TB-Pharmaceuticals'!$G$41:$G$60,0)),0)</f>
        <v>0</v>
      </c>
      <c r="AY59" s="626">
        <f t="shared" si="63"/>
        <v>0</v>
      </c>
      <c r="AZ59" s="626">
        <f t="shared" si="64"/>
        <v>0</v>
      </c>
      <c r="BA59" s="626">
        <f t="shared" si="65"/>
        <v>0</v>
      </c>
      <c r="BB59" s="625">
        <f t="array" ref="BB59">IFERROR(INDEX('TB-Pharmaceuticals'!$AD$41:$AD$60,MATCH($E59&amp;$F59,'TB-Pharmaceuticals'!$D$41:$D$60&amp;'TB-Pharmaceuticals'!$G$41:$G$60,0)),0)</f>
        <v>0</v>
      </c>
      <c r="BC59" s="626">
        <f t="shared" si="66"/>
        <v>0</v>
      </c>
      <c r="BD59" s="626">
        <f t="shared" si="67"/>
        <v>0</v>
      </c>
      <c r="BE59" s="626">
        <f t="shared" si="68"/>
        <v>0</v>
      </c>
      <c r="BF59" s="625">
        <f t="array" ref="BF59">IFERROR(INDEX('TB-Pharmaceuticals'!$AE$41:$AE$60,MATCH($E59&amp;$F59,'TB-Pharmaceuticals'!$D$41:$D$60&amp;'TB-Pharmaceuticals'!$G$41:$G$60,0)),0)</f>
        <v>0</v>
      </c>
      <c r="BG59" s="626">
        <f t="shared" si="69"/>
        <v>0</v>
      </c>
      <c r="BH59" s="626">
        <f t="shared" si="70"/>
        <v>0</v>
      </c>
      <c r="BI59" s="626">
        <f t="shared" si="71"/>
        <v>0</v>
      </c>
      <c r="BK59" s="626"/>
      <c r="BL59" s="626"/>
      <c r="BM59" s="626"/>
      <c r="BN59" s="626"/>
      <c r="BO59" s="626"/>
      <c r="BP59" s="626"/>
      <c r="BQ59" s="626"/>
      <c r="BR59" s="626"/>
    </row>
    <row r="60" spans="1:70">
      <c r="A60" s="32" t="s">
        <v>571</v>
      </c>
      <c r="B60" s="32" t="s">
        <v>1739</v>
      </c>
      <c r="C60" s="619">
        <f>SETUP!$F$38</f>
        <v>0</v>
      </c>
      <c r="D60" s="31">
        <v>4.2</v>
      </c>
      <c r="E60" s="32" t="s">
        <v>418</v>
      </c>
      <c r="F60" s="32" t="s">
        <v>1286</v>
      </c>
      <c r="G60" s="625" t="str">
        <f t="array" ref="G60">IFERROR(INDEX('TB-Pharmaceuticals'!$K$41:$K$60,MATCH($E60&amp;$F60,'TB-Pharmaceuticals'!$D$41:$D$60&amp;'TB-Pharmaceuticals'!$G$41:$G$60,0)),"")</f>
        <v/>
      </c>
      <c r="H60" s="625" t="str">
        <f t="array" ref="H60">IFERROR(INDEX('TB-Pharmaceuticals'!$L$41:$L$60,MATCH($E60&amp;$F60,'TB-Pharmaceuticals'!$D$41:$D$60&amp;'TB-Pharmaceuticals'!$G$41:$G$60,0)),"")</f>
        <v/>
      </c>
      <c r="I60" s="625">
        <f t="array" ref="I60">IFERROR(INDEX('TB-Pharmaceuticals'!$M$41:$M$60,MATCH($E60&amp;$F60,'TB-Pharmaceuticals'!$D$41:$D$60&amp;'TB-Pharmaceuticals'!$G$41:$G$60,0)),0)</f>
        <v>0</v>
      </c>
      <c r="J60" s="625">
        <f t="array" ref="J60">IFERROR(INDEX('TB-Pharmaceuticals'!$N$41:$N$60,MATCH($E60&amp;$F60,'TB-Pharmaceuticals'!$D$41:$D$60&amp;'TB-Pharmaceuticals'!$G$41:$G$60,0)),0)</f>
        <v>0</v>
      </c>
      <c r="K60" s="626">
        <f t="shared" si="36"/>
        <v>0</v>
      </c>
      <c r="L60" s="626">
        <f t="shared" si="37"/>
        <v>0</v>
      </c>
      <c r="M60" s="626">
        <f t="shared" si="38"/>
        <v>0</v>
      </c>
      <c r="N60" s="625">
        <f t="array" ref="N60">IFERROR(INDEX('TB-Pharmaceuticals'!$O$41:$O$60,MATCH($E60&amp;$F60,'TB-Pharmaceuticals'!$D$41:$D$60&amp;'TB-Pharmaceuticals'!$G$41:$G$60,0)),0)</f>
        <v>0</v>
      </c>
      <c r="O60" s="626">
        <f t="shared" si="39"/>
        <v>0</v>
      </c>
      <c r="P60" s="626">
        <f t="shared" si="40"/>
        <v>0</v>
      </c>
      <c r="Q60" s="626">
        <f t="shared" si="41"/>
        <v>0</v>
      </c>
      <c r="R60" s="625">
        <f t="array" ref="R60">IFERROR(INDEX('TB-Pharmaceuticals'!$P$41:$P$60,MATCH($E60&amp;$F60,'TB-Pharmaceuticals'!$D$41:$D$60&amp;'TB-Pharmaceuticals'!$G$41:$G$60,0)),0)</f>
        <v>0</v>
      </c>
      <c r="S60" s="626">
        <f t="shared" si="42"/>
        <v>0</v>
      </c>
      <c r="T60" s="626">
        <f t="shared" si="43"/>
        <v>0</v>
      </c>
      <c r="U60" s="626">
        <f t="shared" si="44"/>
        <v>0</v>
      </c>
      <c r="V60" s="625">
        <f t="array" ref="V60">IFERROR(INDEX('TB-Pharmaceuticals'!$Q$41:$Q$60,MATCH($E60&amp;$F60,'TB-Pharmaceuticals'!$D$41:$D$60&amp;'TB-Pharmaceuticals'!$G$41:$G$60,0)),0)</f>
        <v>0</v>
      </c>
      <c r="W60" s="626">
        <f t="shared" si="45"/>
        <v>0</v>
      </c>
      <c r="X60" s="626">
        <f t="shared" si="46"/>
        <v>0</v>
      </c>
      <c r="Y60" s="626">
        <f t="shared" si="47"/>
        <v>0</v>
      </c>
      <c r="Z60" s="627"/>
      <c r="AA60" s="625">
        <f t="array" ref="AA60">IFERROR(INDEX('TB-Pharmaceuticals'!$T$41:$T$60,MATCH($E60&amp;$F60,'TB-Pharmaceuticals'!$D$41:$D$60&amp;'TB-Pharmaceuticals'!$G$41:$G$60,0)),0)</f>
        <v>0</v>
      </c>
      <c r="AB60" s="625">
        <f t="array" ref="AB60">IFERROR(INDEX('TB-Pharmaceuticals'!$U$41:$U$60,MATCH($E60&amp;$F60,'TB-Pharmaceuticals'!$D$41:$D$60&amp;'TB-Pharmaceuticals'!$G$41:$G$60,0)),0)</f>
        <v>0</v>
      </c>
      <c r="AC60" s="626">
        <f t="shared" si="48"/>
        <v>0</v>
      </c>
      <c r="AD60" s="626">
        <f t="shared" si="49"/>
        <v>0</v>
      </c>
      <c r="AE60" s="626">
        <f t="shared" si="50"/>
        <v>0</v>
      </c>
      <c r="AF60" s="625">
        <f t="array" ref="AF60">IFERROR(INDEX('TB-Pharmaceuticals'!$V$41:$V$60,MATCH($E60&amp;$F60,'TB-Pharmaceuticals'!$D$41:$D$60&amp;'TB-Pharmaceuticals'!$G$41:$G$60,0)),0)</f>
        <v>0</v>
      </c>
      <c r="AG60" s="626">
        <f t="shared" si="51"/>
        <v>0</v>
      </c>
      <c r="AH60" s="626">
        <f t="shared" si="52"/>
        <v>0</v>
      </c>
      <c r="AI60" s="626">
        <f t="shared" si="53"/>
        <v>0</v>
      </c>
      <c r="AJ60" s="625">
        <f t="array" ref="AJ60">IFERROR(INDEX('TB-Pharmaceuticals'!$W$41:$W$60,MATCH($E60&amp;$F60,'TB-Pharmaceuticals'!$D$41:$D$60&amp;'TB-Pharmaceuticals'!$G$41:$G$60,0)),0)</f>
        <v>0</v>
      </c>
      <c r="AK60" s="626">
        <f t="shared" si="54"/>
        <v>0</v>
      </c>
      <c r="AL60" s="626">
        <f t="shared" si="55"/>
        <v>0</v>
      </c>
      <c r="AM60" s="626">
        <f t="shared" si="56"/>
        <v>0</v>
      </c>
      <c r="AN60" s="625">
        <f t="array" ref="AN60">IFERROR(INDEX('TB-Pharmaceuticals'!$X$41:$X$60,MATCH($E60&amp;$F60,'TB-Pharmaceuticals'!$D$41:$D$60&amp;'TB-Pharmaceuticals'!$G$41:$G$60,0)),0)</f>
        <v>0</v>
      </c>
      <c r="AO60" s="626">
        <f t="shared" si="57"/>
        <v>0</v>
      </c>
      <c r="AP60" s="626">
        <f t="shared" si="58"/>
        <v>0</v>
      </c>
      <c r="AQ60" s="626">
        <f t="shared" si="59"/>
        <v>0</v>
      </c>
      <c r="AR60" s="627"/>
      <c r="AS60" s="625">
        <f t="array" ref="AS60">IFERROR(INDEX('TB-Pharmaceuticals'!$AA$41:$AA$60,MATCH($E60&amp;$F60,'TB-Pharmaceuticals'!$D$41:$D$60&amp;'TB-Pharmaceuticals'!$G$41:$G$60,0)),0)</f>
        <v>0</v>
      </c>
      <c r="AT60" s="625">
        <f t="array" ref="AT60">IFERROR(INDEX('TB-Pharmaceuticals'!$AB$41:$AB$60,MATCH($E60&amp;$F60,'TB-Pharmaceuticals'!$D$41:$D$60&amp;'TB-Pharmaceuticals'!$G$41:$G$60,0)),0)</f>
        <v>0</v>
      </c>
      <c r="AU60" s="626">
        <f t="shared" si="60"/>
        <v>0</v>
      </c>
      <c r="AV60" s="626">
        <f t="shared" si="61"/>
        <v>0</v>
      </c>
      <c r="AW60" s="626">
        <f t="shared" si="62"/>
        <v>0</v>
      </c>
      <c r="AX60" s="625">
        <f t="array" ref="AX60">IFERROR(INDEX('TB-Pharmaceuticals'!$AC$41:$AC$60,MATCH($E60&amp;$F60,'TB-Pharmaceuticals'!$D$41:$D$60&amp;'TB-Pharmaceuticals'!$G$41:$G$60,0)),0)</f>
        <v>0</v>
      </c>
      <c r="AY60" s="626">
        <f t="shared" si="63"/>
        <v>0</v>
      </c>
      <c r="AZ60" s="626">
        <f t="shared" si="64"/>
        <v>0</v>
      </c>
      <c r="BA60" s="626">
        <f t="shared" si="65"/>
        <v>0</v>
      </c>
      <c r="BB60" s="625">
        <f t="array" ref="BB60">IFERROR(INDEX('TB-Pharmaceuticals'!$AD$41:$AD$60,MATCH($E60&amp;$F60,'TB-Pharmaceuticals'!$D$41:$D$60&amp;'TB-Pharmaceuticals'!$G$41:$G$60,0)),0)</f>
        <v>0</v>
      </c>
      <c r="BC60" s="626">
        <f t="shared" si="66"/>
        <v>0</v>
      </c>
      <c r="BD60" s="626">
        <f t="shared" si="67"/>
        <v>0</v>
      </c>
      <c r="BE60" s="626">
        <f t="shared" si="68"/>
        <v>0</v>
      </c>
      <c r="BF60" s="625">
        <f t="array" ref="BF60">IFERROR(INDEX('TB-Pharmaceuticals'!$AE$41:$AE$60,MATCH($E60&amp;$F60,'TB-Pharmaceuticals'!$D$41:$D$60&amp;'TB-Pharmaceuticals'!$G$41:$G$60,0)),0)</f>
        <v>0</v>
      </c>
      <c r="BG60" s="626">
        <f t="shared" si="69"/>
        <v>0</v>
      </c>
      <c r="BH60" s="626">
        <f t="shared" si="70"/>
        <v>0</v>
      </c>
      <c r="BI60" s="626">
        <f t="shared" si="71"/>
        <v>0</v>
      </c>
      <c r="BK60" s="626"/>
      <c r="BL60" s="626"/>
      <c r="BM60" s="626"/>
      <c r="BN60" s="626"/>
      <c r="BO60" s="626"/>
      <c r="BP60" s="626"/>
      <c r="BQ60" s="626"/>
      <c r="BR60" s="626"/>
    </row>
    <row r="61" spans="1:70">
      <c r="A61" s="32" t="s">
        <v>571</v>
      </c>
      <c r="B61" s="32" t="s">
        <v>1739</v>
      </c>
      <c r="C61" s="619">
        <f>SETUP!$F$38</f>
        <v>0</v>
      </c>
      <c r="D61" s="31">
        <v>4.2</v>
      </c>
      <c r="E61" s="32" t="s">
        <v>418</v>
      </c>
      <c r="F61" s="32" t="s">
        <v>1287</v>
      </c>
      <c r="G61" s="625" t="str">
        <f t="array" ref="G61">IFERROR(INDEX('TB-Pharmaceuticals'!$K$41:$K$60,MATCH($E61&amp;$F61,'TB-Pharmaceuticals'!$D$41:$D$60&amp;'TB-Pharmaceuticals'!$G$41:$G$60,0)),"")</f>
        <v/>
      </c>
      <c r="H61" s="625" t="str">
        <f t="array" ref="H61">IFERROR(INDEX('TB-Pharmaceuticals'!$L$41:$L$60,MATCH($E61&amp;$F61,'TB-Pharmaceuticals'!$D$41:$D$60&amp;'TB-Pharmaceuticals'!$G$41:$G$60,0)),"")</f>
        <v/>
      </c>
      <c r="I61" s="625">
        <f t="array" ref="I61">IFERROR(INDEX('TB-Pharmaceuticals'!$M$41:$M$60,MATCH($E61&amp;$F61,'TB-Pharmaceuticals'!$D$41:$D$60&amp;'TB-Pharmaceuticals'!$G$41:$G$60,0)),0)</f>
        <v>0</v>
      </c>
      <c r="J61" s="625">
        <f t="array" ref="J61">IFERROR(INDEX('TB-Pharmaceuticals'!$N$41:$N$60,MATCH($E61&amp;$F61,'TB-Pharmaceuticals'!$D$41:$D$60&amp;'TB-Pharmaceuticals'!$G$41:$G$60,0)),0)</f>
        <v>0</v>
      </c>
      <c r="K61" s="626">
        <f t="shared" si="36"/>
        <v>0</v>
      </c>
      <c r="L61" s="626">
        <f t="shared" si="37"/>
        <v>0</v>
      </c>
      <c r="M61" s="626">
        <f t="shared" si="38"/>
        <v>0</v>
      </c>
      <c r="N61" s="625">
        <f t="array" ref="N61">IFERROR(INDEX('TB-Pharmaceuticals'!$O$41:$O$60,MATCH($E61&amp;$F61,'TB-Pharmaceuticals'!$D$41:$D$60&amp;'TB-Pharmaceuticals'!$G$41:$G$60,0)),0)</f>
        <v>0</v>
      </c>
      <c r="O61" s="626">
        <f t="shared" si="39"/>
        <v>0</v>
      </c>
      <c r="P61" s="626">
        <f t="shared" si="40"/>
        <v>0</v>
      </c>
      <c r="Q61" s="626">
        <f t="shared" si="41"/>
        <v>0</v>
      </c>
      <c r="R61" s="625">
        <f t="array" ref="R61">IFERROR(INDEX('TB-Pharmaceuticals'!$P$41:$P$60,MATCH($E61&amp;$F61,'TB-Pharmaceuticals'!$D$41:$D$60&amp;'TB-Pharmaceuticals'!$G$41:$G$60,0)),0)</f>
        <v>0</v>
      </c>
      <c r="S61" s="626">
        <f t="shared" si="42"/>
        <v>0</v>
      </c>
      <c r="T61" s="626">
        <f t="shared" si="43"/>
        <v>0</v>
      </c>
      <c r="U61" s="626">
        <f t="shared" si="44"/>
        <v>0</v>
      </c>
      <c r="V61" s="625">
        <f t="array" ref="V61">IFERROR(INDEX('TB-Pharmaceuticals'!$Q$41:$Q$60,MATCH($E61&amp;$F61,'TB-Pharmaceuticals'!$D$41:$D$60&amp;'TB-Pharmaceuticals'!$G$41:$G$60,0)),0)</f>
        <v>0</v>
      </c>
      <c r="W61" s="626">
        <f t="shared" si="45"/>
        <v>0</v>
      </c>
      <c r="X61" s="626">
        <f t="shared" si="46"/>
        <v>0</v>
      </c>
      <c r="Y61" s="626">
        <f t="shared" si="47"/>
        <v>0</v>
      </c>
      <c r="Z61" s="627"/>
      <c r="AA61" s="625">
        <f t="array" ref="AA61">IFERROR(INDEX('TB-Pharmaceuticals'!$T$41:$T$60,MATCH($E61&amp;$F61,'TB-Pharmaceuticals'!$D$41:$D$60&amp;'TB-Pharmaceuticals'!$G$41:$G$60,0)),0)</f>
        <v>0</v>
      </c>
      <c r="AB61" s="625">
        <f t="array" ref="AB61">IFERROR(INDEX('TB-Pharmaceuticals'!$U$41:$U$60,MATCH($E61&amp;$F61,'TB-Pharmaceuticals'!$D$41:$D$60&amp;'TB-Pharmaceuticals'!$G$41:$G$60,0)),0)</f>
        <v>0</v>
      </c>
      <c r="AC61" s="626">
        <f t="shared" si="48"/>
        <v>0</v>
      </c>
      <c r="AD61" s="626">
        <f t="shared" si="49"/>
        <v>0</v>
      </c>
      <c r="AE61" s="626">
        <f t="shared" si="50"/>
        <v>0</v>
      </c>
      <c r="AF61" s="625">
        <f t="array" ref="AF61">IFERROR(INDEX('TB-Pharmaceuticals'!$V$41:$V$60,MATCH($E61&amp;$F61,'TB-Pharmaceuticals'!$D$41:$D$60&amp;'TB-Pharmaceuticals'!$G$41:$G$60,0)),0)</f>
        <v>0</v>
      </c>
      <c r="AG61" s="626">
        <f t="shared" si="51"/>
        <v>0</v>
      </c>
      <c r="AH61" s="626">
        <f t="shared" si="52"/>
        <v>0</v>
      </c>
      <c r="AI61" s="626">
        <f t="shared" si="53"/>
        <v>0</v>
      </c>
      <c r="AJ61" s="625">
        <f t="array" ref="AJ61">IFERROR(INDEX('TB-Pharmaceuticals'!$W$41:$W$60,MATCH($E61&amp;$F61,'TB-Pharmaceuticals'!$D$41:$D$60&amp;'TB-Pharmaceuticals'!$G$41:$G$60,0)),0)</f>
        <v>0</v>
      </c>
      <c r="AK61" s="626">
        <f t="shared" si="54"/>
        <v>0</v>
      </c>
      <c r="AL61" s="626">
        <f t="shared" si="55"/>
        <v>0</v>
      </c>
      <c r="AM61" s="626">
        <f t="shared" si="56"/>
        <v>0</v>
      </c>
      <c r="AN61" s="625">
        <f t="array" ref="AN61">IFERROR(INDEX('TB-Pharmaceuticals'!$X$41:$X$60,MATCH($E61&amp;$F61,'TB-Pharmaceuticals'!$D$41:$D$60&amp;'TB-Pharmaceuticals'!$G$41:$G$60,0)),0)</f>
        <v>0</v>
      </c>
      <c r="AO61" s="626">
        <f t="shared" si="57"/>
        <v>0</v>
      </c>
      <c r="AP61" s="626">
        <f t="shared" si="58"/>
        <v>0</v>
      </c>
      <c r="AQ61" s="626">
        <f t="shared" si="59"/>
        <v>0</v>
      </c>
      <c r="AR61" s="627"/>
      <c r="AS61" s="625">
        <f t="array" ref="AS61">IFERROR(INDEX('TB-Pharmaceuticals'!$AA$41:$AA$60,MATCH($E61&amp;$F61,'TB-Pharmaceuticals'!$D$41:$D$60&amp;'TB-Pharmaceuticals'!$G$41:$G$60,0)),0)</f>
        <v>0</v>
      </c>
      <c r="AT61" s="625">
        <f t="array" ref="AT61">IFERROR(INDEX('TB-Pharmaceuticals'!$AB$41:$AB$60,MATCH($E61&amp;$F61,'TB-Pharmaceuticals'!$D$41:$D$60&amp;'TB-Pharmaceuticals'!$G$41:$G$60,0)),0)</f>
        <v>0</v>
      </c>
      <c r="AU61" s="626">
        <f t="shared" si="60"/>
        <v>0</v>
      </c>
      <c r="AV61" s="626">
        <f t="shared" si="61"/>
        <v>0</v>
      </c>
      <c r="AW61" s="626">
        <f t="shared" si="62"/>
        <v>0</v>
      </c>
      <c r="AX61" s="625">
        <f t="array" ref="AX61">IFERROR(INDEX('TB-Pharmaceuticals'!$AC$41:$AC$60,MATCH($E61&amp;$F61,'TB-Pharmaceuticals'!$D$41:$D$60&amp;'TB-Pharmaceuticals'!$G$41:$G$60,0)),0)</f>
        <v>0</v>
      </c>
      <c r="AY61" s="626">
        <f t="shared" si="63"/>
        <v>0</v>
      </c>
      <c r="AZ61" s="626">
        <f t="shared" si="64"/>
        <v>0</v>
      </c>
      <c r="BA61" s="626">
        <f t="shared" si="65"/>
        <v>0</v>
      </c>
      <c r="BB61" s="625">
        <f t="array" ref="BB61">IFERROR(INDEX('TB-Pharmaceuticals'!$AD$41:$AD$60,MATCH($E61&amp;$F61,'TB-Pharmaceuticals'!$D$41:$D$60&amp;'TB-Pharmaceuticals'!$G$41:$G$60,0)),0)</f>
        <v>0</v>
      </c>
      <c r="BC61" s="626">
        <f t="shared" si="66"/>
        <v>0</v>
      </c>
      <c r="BD61" s="626">
        <f t="shared" si="67"/>
        <v>0</v>
      </c>
      <c r="BE61" s="626">
        <f t="shared" si="68"/>
        <v>0</v>
      </c>
      <c r="BF61" s="625">
        <f t="array" ref="BF61">IFERROR(INDEX('TB-Pharmaceuticals'!$AE$41:$AE$60,MATCH($E61&amp;$F61,'TB-Pharmaceuticals'!$D$41:$D$60&amp;'TB-Pharmaceuticals'!$G$41:$G$60,0)),0)</f>
        <v>0</v>
      </c>
      <c r="BG61" s="626">
        <f t="shared" si="69"/>
        <v>0</v>
      </c>
      <c r="BH61" s="626">
        <f t="shared" si="70"/>
        <v>0</v>
      </c>
      <c r="BI61" s="626">
        <f t="shared" si="71"/>
        <v>0</v>
      </c>
      <c r="BK61" s="626"/>
      <c r="BL61" s="626"/>
      <c r="BM61" s="626"/>
      <c r="BN61" s="626"/>
      <c r="BO61" s="626"/>
      <c r="BP61" s="626"/>
      <c r="BQ61" s="626"/>
      <c r="BR61" s="626"/>
    </row>
    <row r="62" spans="1:70">
      <c r="A62" s="32" t="s">
        <v>571</v>
      </c>
      <c r="B62" s="32" t="s">
        <v>1739</v>
      </c>
      <c r="C62" s="619">
        <f>SETUP!$F$38</f>
        <v>0</v>
      </c>
      <c r="D62" s="31">
        <v>4.2</v>
      </c>
      <c r="E62" s="32" t="s">
        <v>300</v>
      </c>
      <c r="F62" s="32" t="s">
        <v>1288</v>
      </c>
      <c r="G62" s="625" t="str">
        <f t="array" ref="G62">IFERROR(INDEX('TB-Pharmaceuticals'!$K$41:$K$60,MATCH($E62&amp;$F62,'TB-Pharmaceuticals'!$D$41:$D$60&amp;'TB-Pharmaceuticals'!$G$41:$G$60,0)),"")</f>
        <v/>
      </c>
      <c r="H62" s="625" t="str">
        <f t="array" ref="H62">IFERROR(INDEX('TB-Pharmaceuticals'!$L$41:$L$60,MATCH($E62&amp;$F62,'TB-Pharmaceuticals'!$D$41:$D$60&amp;'TB-Pharmaceuticals'!$G$41:$G$60,0)),"")</f>
        <v/>
      </c>
      <c r="I62" s="625">
        <f t="array" ref="I62">IFERROR(INDEX('TB-Pharmaceuticals'!$M$41:$M$60,MATCH($E62&amp;$F62,'TB-Pharmaceuticals'!$D$41:$D$60&amp;'TB-Pharmaceuticals'!$G$41:$G$60,0)),0)</f>
        <v>0</v>
      </c>
      <c r="J62" s="625">
        <f t="array" ref="J62">IFERROR(INDEX('TB-Pharmaceuticals'!$N$41:$N$60,MATCH($E62&amp;$F62,'TB-Pharmaceuticals'!$D$41:$D$60&amp;'TB-Pharmaceuticals'!$G$41:$G$60,0)),0)</f>
        <v>0</v>
      </c>
      <c r="K62" s="626">
        <f t="shared" si="36"/>
        <v>0</v>
      </c>
      <c r="L62" s="626">
        <f t="shared" si="37"/>
        <v>0</v>
      </c>
      <c r="M62" s="626">
        <f t="shared" si="38"/>
        <v>0</v>
      </c>
      <c r="N62" s="625">
        <f t="array" ref="N62">IFERROR(INDEX('TB-Pharmaceuticals'!$O$41:$O$60,MATCH($E62&amp;$F62,'TB-Pharmaceuticals'!$D$41:$D$60&amp;'TB-Pharmaceuticals'!$G$41:$G$60,0)),0)</f>
        <v>0</v>
      </c>
      <c r="O62" s="626">
        <f t="shared" si="39"/>
        <v>0</v>
      </c>
      <c r="P62" s="626">
        <f t="shared" si="40"/>
        <v>0</v>
      </c>
      <c r="Q62" s="626">
        <f t="shared" si="41"/>
        <v>0</v>
      </c>
      <c r="R62" s="625">
        <f t="array" ref="R62">IFERROR(INDEX('TB-Pharmaceuticals'!$P$41:$P$60,MATCH($E62&amp;$F62,'TB-Pharmaceuticals'!$D$41:$D$60&amp;'TB-Pharmaceuticals'!$G$41:$G$60,0)),0)</f>
        <v>0</v>
      </c>
      <c r="S62" s="626">
        <f t="shared" si="42"/>
        <v>0</v>
      </c>
      <c r="T62" s="626">
        <f t="shared" si="43"/>
        <v>0</v>
      </c>
      <c r="U62" s="626">
        <f t="shared" si="44"/>
        <v>0</v>
      </c>
      <c r="V62" s="625">
        <f t="array" ref="V62">IFERROR(INDEX('TB-Pharmaceuticals'!$Q$41:$Q$60,MATCH($E62&amp;$F62,'TB-Pharmaceuticals'!$D$41:$D$60&amp;'TB-Pharmaceuticals'!$G$41:$G$60,0)),0)</f>
        <v>0</v>
      </c>
      <c r="W62" s="626">
        <f t="shared" si="45"/>
        <v>0</v>
      </c>
      <c r="X62" s="626">
        <f t="shared" si="46"/>
        <v>0</v>
      </c>
      <c r="Y62" s="626">
        <f t="shared" si="47"/>
        <v>0</v>
      </c>
      <c r="Z62" s="627"/>
      <c r="AA62" s="625">
        <f t="array" ref="AA62">IFERROR(INDEX('TB-Pharmaceuticals'!$T$41:$T$60,MATCH($E62&amp;$F62,'TB-Pharmaceuticals'!$D$41:$D$60&amp;'TB-Pharmaceuticals'!$G$41:$G$60,0)),0)</f>
        <v>0</v>
      </c>
      <c r="AB62" s="625">
        <f t="array" ref="AB62">IFERROR(INDEX('TB-Pharmaceuticals'!$U$41:$U$60,MATCH($E62&amp;$F62,'TB-Pharmaceuticals'!$D$41:$D$60&amp;'TB-Pharmaceuticals'!$G$41:$G$60,0)),0)</f>
        <v>0</v>
      </c>
      <c r="AC62" s="626">
        <f t="shared" si="48"/>
        <v>0</v>
      </c>
      <c r="AD62" s="626">
        <f t="shared" si="49"/>
        <v>0</v>
      </c>
      <c r="AE62" s="626">
        <f t="shared" si="50"/>
        <v>0</v>
      </c>
      <c r="AF62" s="625">
        <f t="array" ref="AF62">IFERROR(INDEX('TB-Pharmaceuticals'!$V$41:$V$60,MATCH($E62&amp;$F62,'TB-Pharmaceuticals'!$D$41:$D$60&amp;'TB-Pharmaceuticals'!$G$41:$G$60,0)),0)</f>
        <v>0</v>
      </c>
      <c r="AG62" s="626">
        <f t="shared" si="51"/>
        <v>0</v>
      </c>
      <c r="AH62" s="626">
        <f t="shared" si="52"/>
        <v>0</v>
      </c>
      <c r="AI62" s="626">
        <f t="shared" si="53"/>
        <v>0</v>
      </c>
      <c r="AJ62" s="625">
        <f t="array" ref="AJ62">IFERROR(INDEX('TB-Pharmaceuticals'!$W$41:$W$60,MATCH($E62&amp;$F62,'TB-Pharmaceuticals'!$D$41:$D$60&amp;'TB-Pharmaceuticals'!$G$41:$G$60,0)),0)</f>
        <v>0</v>
      </c>
      <c r="AK62" s="626">
        <f t="shared" si="54"/>
        <v>0</v>
      </c>
      <c r="AL62" s="626">
        <f t="shared" si="55"/>
        <v>0</v>
      </c>
      <c r="AM62" s="626">
        <f t="shared" si="56"/>
        <v>0</v>
      </c>
      <c r="AN62" s="625">
        <f t="array" ref="AN62">IFERROR(INDEX('TB-Pharmaceuticals'!$X$41:$X$60,MATCH($E62&amp;$F62,'TB-Pharmaceuticals'!$D$41:$D$60&amp;'TB-Pharmaceuticals'!$G$41:$G$60,0)),0)</f>
        <v>0</v>
      </c>
      <c r="AO62" s="626">
        <f t="shared" si="57"/>
        <v>0</v>
      </c>
      <c r="AP62" s="626">
        <f t="shared" si="58"/>
        <v>0</v>
      </c>
      <c r="AQ62" s="626">
        <f t="shared" si="59"/>
        <v>0</v>
      </c>
      <c r="AR62" s="627"/>
      <c r="AS62" s="625">
        <f t="array" ref="AS62">IFERROR(INDEX('TB-Pharmaceuticals'!$AA$41:$AA$60,MATCH($E62&amp;$F62,'TB-Pharmaceuticals'!$D$41:$D$60&amp;'TB-Pharmaceuticals'!$G$41:$G$60,0)),0)</f>
        <v>0</v>
      </c>
      <c r="AT62" s="625">
        <f t="array" ref="AT62">IFERROR(INDEX('TB-Pharmaceuticals'!$AB$41:$AB$60,MATCH($E62&amp;$F62,'TB-Pharmaceuticals'!$D$41:$D$60&amp;'TB-Pharmaceuticals'!$G$41:$G$60,0)),0)</f>
        <v>0</v>
      </c>
      <c r="AU62" s="626">
        <f t="shared" si="60"/>
        <v>0</v>
      </c>
      <c r="AV62" s="626">
        <f t="shared" si="61"/>
        <v>0</v>
      </c>
      <c r="AW62" s="626">
        <f t="shared" si="62"/>
        <v>0</v>
      </c>
      <c r="AX62" s="625">
        <f t="array" ref="AX62">IFERROR(INDEX('TB-Pharmaceuticals'!$AC$41:$AC$60,MATCH($E62&amp;$F62,'TB-Pharmaceuticals'!$D$41:$D$60&amp;'TB-Pharmaceuticals'!$G$41:$G$60,0)),0)</f>
        <v>0</v>
      </c>
      <c r="AY62" s="626">
        <f t="shared" si="63"/>
        <v>0</v>
      </c>
      <c r="AZ62" s="626">
        <f t="shared" si="64"/>
        <v>0</v>
      </c>
      <c r="BA62" s="626">
        <f t="shared" si="65"/>
        <v>0</v>
      </c>
      <c r="BB62" s="625">
        <f t="array" ref="BB62">IFERROR(INDEX('TB-Pharmaceuticals'!$AD$41:$AD$60,MATCH($E62&amp;$F62,'TB-Pharmaceuticals'!$D$41:$D$60&amp;'TB-Pharmaceuticals'!$G$41:$G$60,0)),0)</f>
        <v>0</v>
      </c>
      <c r="BC62" s="626">
        <f t="shared" si="66"/>
        <v>0</v>
      </c>
      <c r="BD62" s="626">
        <f t="shared" si="67"/>
        <v>0</v>
      </c>
      <c r="BE62" s="626">
        <f t="shared" si="68"/>
        <v>0</v>
      </c>
      <c r="BF62" s="625">
        <f t="array" ref="BF62">IFERROR(INDEX('TB-Pharmaceuticals'!$AE$41:$AE$60,MATCH($E62&amp;$F62,'TB-Pharmaceuticals'!$D$41:$D$60&amp;'TB-Pharmaceuticals'!$G$41:$G$60,0)),0)</f>
        <v>0</v>
      </c>
      <c r="BG62" s="626">
        <f t="shared" si="69"/>
        <v>0</v>
      </c>
      <c r="BH62" s="626">
        <f t="shared" si="70"/>
        <v>0</v>
      </c>
      <c r="BI62" s="626">
        <f t="shared" si="71"/>
        <v>0</v>
      </c>
      <c r="BK62" s="626"/>
      <c r="BL62" s="626"/>
      <c r="BM62" s="626"/>
      <c r="BN62" s="626"/>
      <c r="BO62" s="626"/>
      <c r="BP62" s="626"/>
      <c r="BQ62" s="626"/>
      <c r="BR62" s="626"/>
    </row>
    <row r="63" spans="1:70">
      <c r="A63" s="32" t="s">
        <v>571</v>
      </c>
      <c r="B63" s="32" t="s">
        <v>1739</v>
      </c>
      <c r="C63" s="619">
        <f>SETUP!$F$38</f>
        <v>0</v>
      </c>
      <c r="D63" s="31">
        <v>4.2</v>
      </c>
      <c r="E63" s="32" t="s">
        <v>300</v>
      </c>
      <c r="F63" s="32" t="s">
        <v>1289</v>
      </c>
      <c r="G63" s="625" t="str">
        <f t="array" ref="G63">IFERROR(INDEX('TB-Pharmaceuticals'!$K$41:$K$60,MATCH($E63&amp;$F63,'TB-Pharmaceuticals'!$D$41:$D$60&amp;'TB-Pharmaceuticals'!$G$41:$G$60,0)),"")</f>
        <v/>
      </c>
      <c r="H63" s="625" t="str">
        <f t="array" ref="H63">IFERROR(INDEX('TB-Pharmaceuticals'!$L$41:$L$60,MATCH($E63&amp;$F63,'TB-Pharmaceuticals'!$D$41:$D$60&amp;'TB-Pharmaceuticals'!$G$41:$G$60,0)),"")</f>
        <v/>
      </c>
      <c r="I63" s="625">
        <f t="array" ref="I63">IFERROR(INDEX('TB-Pharmaceuticals'!$M$41:$M$60,MATCH($E63&amp;$F63,'TB-Pharmaceuticals'!$D$41:$D$60&amp;'TB-Pharmaceuticals'!$G$41:$G$60,0)),0)</f>
        <v>0</v>
      </c>
      <c r="J63" s="625">
        <f t="array" ref="J63">IFERROR(INDEX('TB-Pharmaceuticals'!$N$41:$N$60,MATCH($E63&amp;$F63,'TB-Pharmaceuticals'!$D$41:$D$60&amp;'TB-Pharmaceuticals'!$G$41:$G$60,0)),0)</f>
        <v>0</v>
      </c>
      <c r="K63" s="626">
        <f t="shared" si="36"/>
        <v>0</v>
      </c>
      <c r="L63" s="626">
        <f t="shared" si="37"/>
        <v>0</v>
      </c>
      <c r="M63" s="626">
        <f t="shared" si="38"/>
        <v>0</v>
      </c>
      <c r="N63" s="625">
        <f t="array" ref="N63">IFERROR(INDEX('TB-Pharmaceuticals'!$O$41:$O$60,MATCH($E63&amp;$F63,'TB-Pharmaceuticals'!$D$41:$D$60&amp;'TB-Pharmaceuticals'!$G$41:$G$60,0)),0)</f>
        <v>0</v>
      </c>
      <c r="O63" s="626">
        <f t="shared" si="39"/>
        <v>0</v>
      </c>
      <c r="P63" s="626">
        <f t="shared" si="40"/>
        <v>0</v>
      </c>
      <c r="Q63" s="626">
        <f t="shared" si="41"/>
        <v>0</v>
      </c>
      <c r="R63" s="625">
        <f t="array" ref="R63">IFERROR(INDEX('TB-Pharmaceuticals'!$P$41:$P$60,MATCH($E63&amp;$F63,'TB-Pharmaceuticals'!$D$41:$D$60&amp;'TB-Pharmaceuticals'!$G$41:$G$60,0)),0)</f>
        <v>0</v>
      </c>
      <c r="S63" s="626">
        <f t="shared" si="42"/>
        <v>0</v>
      </c>
      <c r="T63" s="626">
        <f t="shared" si="43"/>
        <v>0</v>
      </c>
      <c r="U63" s="626">
        <f t="shared" si="44"/>
        <v>0</v>
      </c>
      <c r="V63" s="625">
        <f t="array" ref="V63">IFERROR(INDEX('TB-Pharmaceuticals'!$Q$41:$Q$60,MATCH($E63&amp;$F63,'TB-Pharmaceuticals'!$D$41:$D$60&amp;'TB-Pharmaceuticals'!$G$41:$G$60,0)),0)</f>
        <v>0</v>
      </c>
      <c r="W63" s="626">
        <f t="shared" si="45"/>
        <v>0</v>
      </c>
      <c r="X63" s="626">
        <f t="shared" si="46"/>
        <v>0</v>
      </c>
      <c r="Y63" s="626">
        <f t="shared" si="47"/>
        <v>0</v>
      </c>
      <c r="Z63" s="627"/>
      <c r="AA63" s="625">
        <f t="array" ref="AA63">IFERROR(INDEX('TB-Pharmaceuticals'!$T$41:$T$60,MATCH($E63&amp;$F63,'TB-Pharmaceuticals'!$D$41:$D$60&amp;'TB-Pharmaceuticals'!$G$41:$G$60,0)),0)</f>
        <v>0</v>
      </c>
      <c r="AB63" s="625">
        <f t="array" ref="AB63">IFERROR(INDEX('TB-Pharmaceuticals'!$U$41:$U$60,MATCH($E63&amp;$F63,'TB-Pharmaceuticals'!$D$41:$D$60&amp;'TB-Pharmaceuticals'!$G$41:$G$60,0)),0)</f>
        <v>0</v>
      </c>
      <c r="AC63" s="626">
        <f t="shared" si="48"/>
        <v>0</v>
      </c>
      <c r="AD63" s="626">
        <f t="shared" si="49"/>
        <v>0</v>
      </c>
      <c r="AE63" s="626">
        <f t="shared" si="50"/>
        <v>0</v>
      </c>
      <c r="AF63" s="625">
        <f t="array" ref="AF63">IFERROR(INDEX('TB-Pharmaceuticals'!$V$41:$V$60,MATCH($E63&amp;$F63,'TB-Pharmaceuticals'!$D$41:$D$60&amp;'TB-Pharmaceuticals'!$G$41:$G$60,0)),0)</f>
        <v>0</v>
      </c>
      <c r="AG63" s="626">
        <f t="shared" si="51"/>
        <v>0</v>
      </c>
      <c r="AH63" s="626">
        <f t="shared" si="52"/>
        <v>0</v>
      </c>
      <c r="AI63" s="626">
        <f t="shared" si="53"/>
        <v>0</v>
      </c>
      <c r="AJ63" s="625">
        <f t="array" ref="AJ63">IFERROR(INDEX('TB-Pharmaceuticals'!$W$41:$W$60,MATCH($E63&amp;$F63,'TB-Pharmaceuticals'!$D$41:$D$60&amp;'TB-Pharmaceuticals'!$G$41:$G$60,0)),0)</f>
        <v>0</v>
      </c>
      <c r="AK63" s="626">
        <f t="shared" si="54"/>
        <v>0</v>
      </c>
      <c r="AL63" s="626">
        <f t="shared" si="55"/>
        <v>0</v>
      </c>
      <c r="AM63" s="626">
        <f t="shared" si="56"/>
        <v>0</v>
      </c>
      <c r="AN63" s="625">
        <f t="array" ref="AN63">IFERROR(INDEX('TB-Pharmaceuticals'!$X$41:$X$60,MATCH($E63&amp;$F63,'TB-Pharmaceuticals'!$D$41:$D$60&amp;'TB-Pharmaceuticals'!$G$41:$G$60,0)),0)</f>
        <v>0</v>
      </c>
      <c r="AO63" s="626">
        <f t="shared" si="57"/>
        <v>0</v>
      </c>
      <c r="AP63" s="626">
        <f t="shared" si="58"/>
        <v>0</v>
      </c>
      <c r="AQ63" s="626">
        <f t="shared" si="59"/>
        <v>0</v>
      </c>
      <c r="AR63" s="627"/>
      <c r="AS63" s="625">
        <f t="array" ref="AS63">IFERROR(INDEX('TB-Pharmaceuticals'!$AA$41:$AA$60,MATCH($E63&amp;$F63,'TB-Pharmaceuticals'!$D$41:$D$60&amp;'TB-Pharmaceuticals'!$G$41:$G$60,0)),0)</f>
        <v>0</v>
      </c>
      <c r="AT63" s="625">
        <f t="array" ref="AT63">IFERROR(INDEX('TB-Pharmaceuticals'!$AB$41:$AB$60,MATCH($E63&amp;$F63,'TB-Pharmaceuticals'!$D$41:$D$60&amp;'TB-Pharmaceuticals'!$G$41:$G$60,0)),0)</f>
        <v>0</v>
      </c>
      <c r="AU63" s="626">
        <f t="shared" si="60"/>
        <v>0</v>
      </c>
      <c r="AV63" s="626">
        <f t="shared" si="61"/>
        <v>0</v>
      </c>
      <c r="AW63" s="626">
        <f t="shared" si="62"/>
        <v>0</v>
      </c>
      <c r="AX63" s="625">
        <f t="array" ref="AX63">IFERROR(INDEX('TB-Pharmaceuticals'!$AC$41:$AC$60,MATCH($E63&amp;$F63,'TB-Pharmaceuticals'!$D$41:$D$60&amp;'TB-Pharmaceuticals'!$G$41:$G$60,0)),0)</f>
        <v>0</v>
      </c>
      <c r="AY63" s="626">
        <f t="shared" si="63"/>
        <v>0</v>
      </c>
      <c r="AZ63" s="626">
        <f t="shared" si="64"/>
        <v>0</v>
      </c>
      <c r="BA63" s="626">
        <f t="shared" si="65"/>
        <v>0</v>
      </c>
      <c r="BB63" s="625">
        <f t="array" ref="BB63">IFERROR(INDEX('TB-Pharmaceuticals'!$AD$41:$AD$60,MATCH($E63&amp;$F63,'TB-Pharmaceuticals'!$D$41:$D$60&amp;'TB-Pharmaceuticals'!$G$41:$G$60,0)),0)</f>
        <v>0</v>
      </c>
      <c r="BC63" s="626">
        <f t="shared" si="66"/>
        <v>0</v>
      </c>
      <c r="BD63" s="626">
        <f t="shared" si="67"/>
        <v>0</v>
      </c>
      <c r="BE63" s="626">
        <f t="shared" si="68"/>
        <v>0</v>
      </c>
      <c r="BF63" s="625">
        <f t="array" ref="BF63">IFERROR(INDEX('TB-Pharmaceuticals'!$AE$41:$AE$60,MATCH($E63&amp;$F63,'TB-Pharmaceuticals'!$D$41:$D$60&amp;'TB-Pharmaceuticals'!$G$41:$G$60,0)),0)</f>
        <v>0</v>
      </c>
      <c r="BG63" s="626">
        <f t="shared" si="69"/>
        <v>0</v>
      </c>
      <c r="BH63" s="626">
        <f t="shared" si="70"/>
        <v>0</v>
      </c>
      <c r="BI63" s="626">
        <f t="shared" si="71"/>
        <v>0</v>
      </c>
      <c r="BK63" s="626"/>
      <c r="BL63" s="626"/>
      <c r="BM63" s="626"/>
      <c r="BN63" s="626"/>
      <c r="BO63" s="626"/>
      <c r="BP63" s="626"/>
      <c r="BQ63" s="626"/>
      <c r="BR63" s="626"/>
    </row>
    <row r="64" spans="1:70">
      <c r="A64" s="32" t="s">
        <v>571</v>
      </c>
      <c r="B64" s="32" t="s">
        <v>1739</v>
      </c>
      <c r="C64" s="619">
        <f>SETUP!$F$38</f>
        <v>0</v>
      </c>
      <c r="D64" s="31">
        <v>4.2</v>
      </c>
      <c r="E64" s="32" t="s">
        <v>420</v>
      </c>
      <c r="F64" s="32" t="s">
        <v>1290</v>
      </c>
      <c r="G64" s="625" t="str">
        <f t="array" ref="G64">IFERROR(INDEX('TB-Pharmaceuticals'!$K$41:$K$60,MATCH($E64&amp;$F64,'TB-Pharmaceuticals'!$D$41:$D$60&amp;'TB-Pharmaceuticals'!$G$41:$G$60,0)),"")</f>
        <v/>
      </c>
      <c r="H64" s="625" t="str">
        <f t="array" ref="H64">IFERROR(INDEX('TB-Pharmaceuticals'!$L$41:$L$60,MATCH($E64&amp;$F64,'TB-Pharmaceuticals'!$D$41:$D$60&amp;'TB-Pharmaceuticals'!$G$41:$G$60,0)),"")</f>
        <v/>
      </c>
      <c r="I64" s="625">
        <f t="array" ref="I64">IFERROR(INDEX('TB-Pharmaceuticals'!$M$41:$M$60,MATCH($E64&amp;$F64,'TB-Pharmaceuticals'!$D$41:$D$60&amp;'TB-Pharmaceuticals'!$G$41:$G$60,0)),0)</f>
        <v>0</v>
      </c>
      <c r="J64" s="625">
        <f t="array" ref="J64">IFERROR(INDEX('TB-Pharmaceuticals'!$N$41:$N$60,MATCH($E64&amp;$F64,'TB-Pharmaceuticals'!$D$41:$D$60&amp;'TB-Pharmaceuticals'!$G$41:$G$60,0)),0)</f>
        <v>0</v>
      </c>
      <c r="K64" s="626">
        <f t="shared" si="36"/>
        <v>0</v>
      </c>
      <c r="L64" s="626">
        <f t="shared" si="37"/>
        <v>0</v>
      </c>
      <c r="M64" s="626">
        <f t="shared" si="38"/>
        <v>0</v>
      </c>
      <c r="N64" s="625">
        <f t="array" ref="N64">IFERROR(INDEX('TB-Pharmaceuticals'!$O$41:$O$60,MATCH($E64&amp;$F64,'TB-Pharmaceuticals'!$D$41:$D$60&amp;'TB-Pharmaceuticals'!$G$41:$G$60,0)),0)</f>
        <v>0</v>
      </c>
      <c r="O64" s="626">
        <f t="shared" si="39"/>
        <v>0</v>
      </c>
      <c r="P64" s="626">
        <f t="shared" si="40"/>
        <v>0</v>
      </c>
      <c r="Q64" s="626">
        <f t="shared" si="41"/>
        <v>0</v>
      </c>
      <c r="R64" s="625">
        <f t="array" ref="R64">IFERROR(INDEX('TB-Pharmaceuticals'!$P$41:$P$60,MATCH($E64&amp;$F64,'TB-Pharmaceuticals'!$D$41:$D$60&amp;'TB-Pharmaceuticals'!$G$41:$G$60,0)),0)</f>
        <v>0</v>
      </c>
      <c r="S64" s="626">
        <f t="shared" si="42"/>
        <v>0</v>
      </c>
      <c r="T64" s="626">
        <f t="shared" si="43"/>
        <v>0</v>
      </c>
      <c r="U64" s="626">
        <f t="shared" si="44"/>
        <v>0</v>
      </c>
      <c r="V64" s="625">
        <f t="array" ref="V64">IFERROR(INDEX('TB-Pharmaceuticals'!$Q$41:$Q$60,MATCH($E64&amp;$F64,'TB-Pharmaceuticals'!$D$41:$D$60&amp;'TB-Pharmaceuticals'!$G$41:$G$60,0)),0)</f>
        <v>0</v>
      </c>
      <c r="W64" s="626">
        <f t="shared" si="45"/>
        <v>0</v>
      </c>
      <c r="X64" s="626">
        <f t="shared" si="46"/>
        <v>0</v>
      </c>
      <c r="Y64" s="626">
        <f t="shared" si="47"/>
        <v>0</v>
      </c>
      <c r="Z64" s="627"/>
      <c r="AA64" s="625">
        <f t="array" ref="AA64">IFERROR(INDEX('TB-Pharmaceuticals'!$T$41:$T$60,MATCH($E64&amp;$F64,'TB-Pharmaceuticals'!$D$41:$D$60&amp;'TB-Pharmaceuticals'!$G$41:$G$60,0)),0)</f>
        <v>0</v>
      </c>
      <c r="AB64" s="625">
        <f t="array" ref="AB64">IFERROR(INDEX('TB-Pharmaceuticals'!$U$41:$U$60,MATCH($E64&amp;$F64,'TB-Pharmaceuticals'!$D$41:$D$60&amp;'TB-Pharmaceuticals'!$G$41:$G$60,0)),0)</f>
        <v>0</v>
      </c>
      <c r="AC64" s="626">
        <f t="shared" si="48"/>
        <v>0</v>
      </c>
      <c r="AD64" s="626">
        <f t="shared" si="49"/>
        <v>0</v>
      </c>
      <c r="AE64" s="626">
        <f t="shared" si="50"/>
        <v>0</v>
      </c>
      <c r="AF64" s="625">
        <f t="array" ref="AF64">IFERROR(INDEX('TB-Pharmaceuticals'!$V$41:$V$60,MATCH($E64&amp;$F64,'TB-Pharmaceuticals'!$D$41:$D$60&amp;'TB-Pharmaceuticals'!$G$41:$G$60,0)),0)</f>
        <v>0</v>
      </c>
      <c r="AG64" s="626">
        <f t="shared" si="51"/>
        <v>0</v>
      </c>
      <c r="AH64" s="626">
        <f t="shared" si="52"/>
        <v>0</v>
      </c>
      <c r="AI64" s="626">
        <f t="shared" si="53"/>
        <v>0</v>
      </c>
      <c r="AJ64" s="625">
        <f t="array" ref="AJ64">IFERROR(INDEX('TB-Pharmaceuticals'!$W$41:$W$60,MATCH($E64&amp;$F64,'TB-Pharmaceuticals'!$D$41:$D$60&amp;'TB-Pharmaceuticals'!$G$41:$G$60,0)),0)</f>
        <v>0</v>
      </c>
      <c r="AK64" s="626">
        <f t="shared" si="54"/>
        <v>0</v>
      </c>
      <c r="AL64" s="626">
        <f t="shared" si="55"/>
        <v>0</v>
      </c>
      <c r="AM64" s="626">
        <f t="shared" si="56"/>
        <v>0</v>
      </c>
      <c r="AN64" s="625">
        <f t="array" ref="AN64">IFERROR(INDEX('TB-Pharmaceuticals'!$X$41:$X$60,MATCH($E64&amp;$F64,'TB-Pharmaceuticals'!$D$41:$D$60&amp;'TB-Pharmaceuticals'!$G$41:$G$60,0)),0)</f>
        <v>0</v>
      </c>
      <c r="AO64" s="626">
        <f t="shared" si="57"/>
        <v>0</v>
      </c>
      <c r="AP64" s="626">
        <f t="shared" si="58"/>
        <v>0</v>
      </c>
      <c r="AQ64" s="626">
        <f t="shared" si="59"/>
        <v>0</v>
      </c>
      <c r="AR64" s="627"/>
      <c r="AS64" s="625">
        <f t="array" ref="AS64">IFERROR(INDEX('TB-Pharmaceuticals'!$AA$41:$AA$60,MATCH($E64&amp;$F64,'TB-Pharmaceuticals'!$D$41:$D$60&amp;'TB-Pharmaceuticals'!$G$41:$G$60,0)),0)</f>
        <v>0</v>
      </c>
      <c r="AT64" s="625">
        <f t="array" ref="AT64">IFERROR(INDEX('TB-Pharmaceuticals'!$AB$41:$AB$60,MATCH($E64&amp;$F64,'TB-Pharmaceuticals'!$D$41:$D$60&amp;'TB-Pharmaceuticals'!$G$41:$G$60,0)),0)</f>
        <v>0</v>
      </c>
      <c r="AU64" s="626">
        <f t="shared" si="60"/>
        <v>0</v>
      </c>
      <c r="AV64" s="626">
        <f t="shared" si="61"/>
        <v>0</v>
      </c>
      <c r="AW64" s="626">
        <f t="shared" si="62"/>
        <v>0</v>
      </c>
      <c r="AX64" s="625">
        <f t="array" ref="AX64">IFERROR(INDEX('TB-Pharmaceuticals'!$AC$41:$AC$60,MATCH($E64&amp;$F64,'TB-Pharmaceuticals'!$D$41:$D$60&amp;'TB-Pharmaceuticals'!$G$41:$G$60,0)),0)</f>
        <v>0</v>
      </c>
      <c r="AY64" s="626">
        <f t="shared" si="63"/>
        <v>0</v>
      </c>
      <c r="AZ64" s="626">
        <f t="shared" si="64"/>
        <v>0</v>
      </c>
      <c r="BA64" s="626">
        <f t="shared" si="65"/>
        <v>0</v>
      </c>
      <c r="BB64" s="625">
        <f t="array" ref="BB64">IFERROR(INDEX('TB-Pharmaceuticals'!$AD$41:$AD$60,MATCH($E64&amp;$F64,'TB-Pharmaceuticals'!$D$41:$D$60&amp;'TB-Pharmaceuticals'!$G$41:$G$60,0)),0)</f>
        <v>0</v>
      </c>
      <c r="BC64" s="626">
        <f t="shared" si="66"/>
        <v>0</v>
      </c>
      <c r="BD64" s="626">
        <f t="shared" si="67"/>
        <v>0</v>
      </c>
      <c r="BE64" s="626">
        <f t="shared" si="68"/>
        <v>0</v>
      </c>
      <c r="BF64" s="625">
        <f t="array" ref="BF64">IFERROR(INDEX('TB-Pharmaceuticals'!$AE$41:$AE$60,MATCH($E64&amp;$F64,'TB-Pharmaceuticals'!$D$41:$D$60&amp;'TB-Pharmaceuticals'!$G$41:$G$60,0)),0)</f>
        <v>0</v>
      </c>
      <c r="BG64" s="626">
        <f t="shared" si="69"/>
        <v>0</v>
      </c>
      <c r="BH64" s="626">
        <f t="shared" si="70"/>
        <v>0</v>
      </c>
      <c r="BI64" s="626">
        <f t="shared" si="71"/>
        <v>0</v>
      </c>
      <c r="BK64" s="626"/>
      <c r="BL64" s="626"/>
      <c r="BM64" s="626"/>
      <c r="BN64" s="626"/>
      <c r="BO64" s="626"/>
      <c r="BP64" s="626"/>
      <c r="BQ64" s="626"/>
      <c r="BR64" s="626"/>
    </row>
    <row r="65" spans="1:70">
      <c r="A65" s="32" t="s">
        <v>571</v>
      </c>
      <c r="B65" s="32" t="s">
        <v>1739</v>
      </c>
      <c r="C65" s="619">
        <f>SETUP!$F$38</f>
        <v>0</v>
      </c>
      <c r="D65" s="31">
        <v>4.2</v>
      </c>
      <c r="E65" s="32" t="s">
        <v>420</v>
      </c>
      <c r="F65" s="32" t="s">
        <v>1291</v>
      </c>
      <c r="G65" s="625" t="str">
        <f t="array" ref="G65">IFERROR(INDEX('TB-Pharmaceuticals'!$K$41:$K$60,MATCH($E65&amp;$F65,'TB-Pharmaceuticals'!$D$41:$D$60&amp;'TB-Pharmaceuticals'!$G$41:$G$60,0)),"")</f>
        <v/>
      </c>
      <c r="H65" s="625" t="str">
        <f t="array" ref="H65">IFERROR(INDEX('TB-Pharmaceuticals'!$L$41:$L$60,MATCH($E65&amp;$F65,'TB-Pharmaceuticals'!$D$41:$D$60&amp;'TB-Pharmaceuticals'!$G$41:$G$60,0)),"")</f>
        <v/>
      </c>
      <c r="I65" s="625">
        <f t="array" ref="I65">IFERROR(INDEX('TB-Pharmaceuticals'!$M$41:$M$60,MATCH($E65&amp;$F65,'TB-Pharmaceuticals'!$D$41:$D$60&amp;'TB-Pharmaceuticals'!$G$41:$G$60,0)),0)</f>
        <v>0</v>
      </c>
      <c r="J65" s="625">
        <f t="array" ref="J65">IFERROR(INDEX('TB-Pharmaceuticals'!$N$41:$N$60,MATCH($E65&amp;$F65,'TB-Pharmaceuticals'!$D$41:$D$60&amp;'TB-Pharmaceuticals'!$G$41:$G$60,0)),0)</f>
        <v>0</v>
      </c>
      <c r="K65" s="626">
        <f t="shared" si="36"/>
        <v>0</v>
      </c>
      <c r="L65" s="626">
        <f t="shared" si="37"/>
        <v>0</v>
      </c>
      <c r="M65" s="626">
        <f t="shared" si="38"/>
        <v>0</v>
      </c>
      <c r="N65" s="625">
        <f t="array" ref="N65">IFERROR(INDEX('TB-Pharmaceuticals'!$O$41:$O$60,MATCH($E65&amp;$F65,'TB-Pharmaceuticals'!$D$41:$D$60&amp;'TB-Pharmaceuticals'!$G$41:$G$60,0)),0)</f>
        <v>0</v>
      </c>
      <c r="O65" s="626">
        <f t="shared" si="39"/>
        <v>0</v>
      </c>
      <c r="P65" s="626">
        <f t="shared" si="40"/>
        <v>0</v>
      </c>
      <c r="Q65" s="626">
        <f t="shared" si="41"/>
        <v>0</v>
      </c>
      <c r="R65" s="625">
        <f t="array" ref="R65">IFERROR(INDEX('TB-Pharmaceuticals'!$P$41:$P$60,MATCH($E65&amp;$F65,'TB-Pharmaceuticals'!$D$41:$D$60&amp;'TB-Pharmaceuticals'!$G$41:$G$60,0)),0)</f>
        <v>0</v>
      </c>
      <c r="S65" s="626">
        <f t="shared" si="42"/>
        <v>0</v>
      </c>
      <c r="T65" s="626">
        <f t="shared" si="43"/>
        <v>0</v>
      </c>
      <c r="U65" s="626">
        <f t="shared" si="44"/>
        <v>0</v>
      </c>
      <c r="V65" s="625">
        <f t="array" ref="V65">IFERROR(INDEX('TB-Pharmaceuticals'!$Q$41:$Q$60,MATCH($E65&amp;$F65,'TB-Pharmaceuticals'!$D$41:$D$60&amp;'TB-Pharmaceuticals'!$G$41:$G$60,0)),0)</f>
        <v>0</v>
      </c>
      <c r="W65" s="626">
        <f t="shared" si="45"/>
        <v>0</v>
      </c>
      <c r="X65" s="626">
        <f t="shared" si="46"/>
        <v>0</v>
      </c>
      <c r="Y65" s="626">
        <f t="shared" si="47"/>
        <v>0</v>
      </c>
      <c r="Z65" s="627"/>
      <c r="AA65" s="625">
        <f t="array" ref="AA65">IFERROR(INDEX('TB-Pharmaceuticals'!$T$41:$T$60,MATCH($E65&amp;$F65,'TB-Pharmaceuticals'!$D$41:$D$60&amp;'TB-Pharmaceuticals'!$G$41:$G$60,0)),0)</f>
        <v>0</v>
      </c>
      <c r="AB65" s="625">
        <f t="array" ref="AB65">IFERROR(INDEX('TB-Pharmaceuticals'!$U$41:$U$60,MATCH($E65&amp;$F65,'TB-Pharmaceuticals'!$D$41:$D$60&amp;'TB-Pharmaceuticals'!$G$41:$G$60,0)),0)</f>
        <v>0</v>
      </c>
      <c r="AC65" s="626">
        <f t="shared" si="48"/>
        <v>0</v>
      </c>
      <c r="AD65" s="626">
        <f t="shared" si="49"/>
        <v>0</v>
      </c>
      <c r="AE65" s="626">
        <f t="shared" si="50"/>
        <v>0</v>
      </c>
      <c r="AF65" s="625">
        <f t="array" ref="AF65">IFERROR(INDEX('TB-Pharmaceuticals'!$V$41:$V$60,MATCH($E65&amp;$F65,'TB-Pharmaceuticals'!$D$41:$D$60&amp;'TB-Pharmaceuticals'!$G$41:$G$60,0)),0)</f>
        <v>0</v>
      </c>
      <c r="AG65" s="626">
        <f t="shared" si="51"/>
        <v>0</v>
      </c>
      <c r="AH65" s="626">
        <f t="shared" si="52"/>
        <v>0</v>
      </c>
      <c r="AI65" s="626">
        <f t="shared" si="53"/>
        <v>0</v>
      </c>
      <c r="AJ65" s="625">
        <f t="array" ref="AJ65">IFERROR(INDEX('TB-Pharmaceuticals'!$W$41:$W$60,MATCH($E65&amp;$F65,'TB-Pharmaceuticals'!$D$41:$D$60&amp;'TB-Pharmaceuticals'!$G$41:$G$60,0)),0)</f>
        <v>0</v>
      </c>
      <c r="AK65" s="626">
        <f t="shared" si="54"/>
        <v>0</v>
      </c>
      <c r="AL65" s="626">
        <f t="shared" si="55"/>
        <v>0</v>
      </c>
      <c r="AM65" s="626">
        <f t="shared" si="56"/>
        <v>0</v>
      </c>
      <c r="AN65" s="625">
        <f t="array" ref="AN65">IFERROR(INDEX('TB-Pharmaceuticals'!$X$41:$X$60,MATCH($E65&amp;$F65,'TB-Pharmaceuticals'!$D$41:$D$60&amp;'TB-Pharmaceuticals'!$G$41:$G$60,0)),0)</f>
        <v>0</v>
      </c>
      <c r="AO65" s="626">
        <f t="shared" si="57"/>
        <v>0</v>
      </c>
      <c r="AP65" s="626">
        <f t="shared" si="58"/>
        <v>0</v>
      </c>
      <c r="AQ65" s="626">
        <f t="shared" si="59"/>
        <v>0</v>
      </c>
      <c r="AR65" s="627"/>
      <c r="AS65" s="625">
        <f t="array" ref="AS65">IFERROR(INDEX('TB-Pharmaceuticals'!$AA$41:$AA$60,MATCH($E65&amp;$F65,'TB-Pharmaceuticals'!$D$41:$D$60&amp;'TB-Pharmaceuticals'!$G$41:$G$60,0)),0)</f>
        <v>0</v>
      </c>
      <c r="AT65" s="625">
        <f t="array" ref="AT65">IFERROR(INDEX('TB-Pharmaceuticals'!$AB$41:$AB$60,MATCH($E65&amp;$F65,'TB-Pharmaceuticals'!$D$41:$D$60&amp;'TB-Pharmaceuticals'!$G$41:$G$60,0)),0)</f>
        <v>0</v>
      </c>
      <c r="AU65" s="626">
        <f t="shared" si="60"/>
        <v>0</v>
      </c>
      <c r="AV65" s="626">
        <f t="shared" si="61"/>
        <v>0</v>
      </c>
      <c r="AW65" s="626">
        <f t="shared" si="62"/>
        <v>0</v>
      </c>
      <c r="AX65" s="625">
        <f t="array" ref="AX65">IFERROR(INDEX('TB-Pharmaceuticals'!$AC$41:$AC$60,MATCH($E65&amp;$F65,'TB-Pharmaceuticals'!$D$41:$D$60&amp;'TB-Pharmaceuticals'!$G$41:$G$60,0)),0)</f>
        <v>0</v>
      </c>
      <c r="AY65" s="626">
        <f t="shared" si="63"/>
        <v>0</v>
      </c>
      <c r="AZ65" s="626">
        <f t="shared" si="64"/>
        <v>0</v>
      </c>
      <c r="BA65" s="626">
        <f t="shared" si="65"/>
        <v>0</v>
      </c>
      <c r="BB65" s="625">
        <f t="array" ref="BB65">IFERROR(INDEX('TB-Pharmaceuticals'!$AD$41:$AD$60,MATCH($E65&amp;$F65,'TB-Pharmaceuticals'!$D$41:$D$60&amp;'TB-Pharmaceuticals'!$G$41:$G$60,0)),0)</f>
        <v>0</v>
      </c>
      <c r="BC65" s="626">
        <f t="shared" si="66"/>
        <v>0</v>
      </c>
      <c r="BD65" s="626">
        <f t="shared" si="67"/>
        <v>0</v>
      </c>
      <c r="BE65" s="626">
        <f t="shared" si="68"/>
        <v>0</v>
      </c>
      <c r="BF65" s="625">
        <f t="array" ref="BF65">IFERROR(INDEX('TB-Pharmaceuticals'!$AE$41:$AE$60,MATCH($E65&amp;$F65,'TB-Pharmaceuticals'!$D$41:$D$60&amp;'TB-Pharmaceuticals'!$G$41:$G$60,0)),0)</f>
        <v>0</v>
      </c>
      <c r="BG65" s="626">
        <f t="shared" si="69"/>
        <v>0</v>
      </c>
      <c r="BH65" s="626">
        <f t="shared" si="70"/>
        <v>0</v>
      </c>
      <c r="BI65" s="626">
        <f t="shared" si="71"/>
        <v>0</v>
      </c>
      <c r="BK65" s="626"/>
      <c r="BL65" s="626"/>
      <c r="BM65" s="626"/>
      <c r="BN65" s="626"/>
      <c r="BO65" s="626"/>
      <c r="BP65" s="626"/>
      <c r="BQ65" s="626"/>
      <c r="BR65" s="626"/>
    </row>
    <row r="66" spans="1:70">
      <c r="A66" s="32" t="s">
        <v>571</v>
      </c>
      <c r="B66" s="32" t="s">
        <v>1739</v>
      </c>
      <c r="C66" s="619">
        <f>SETUP!$F$38</f>
        <v>0</v>
      </c>
      <c r="D66" s="31">
        <v>4.2</v>
      </c>
      <c r="E66" s="32" t="s">
        <v>421</v>
      </c>
      <c r="F66" s="32" t="s">
        <v>411</v>
      </c>
      <c r="G66" s="625" t="str">
        <f t="array" ref="G66">IFERROR(INDEX('TB-Pharmaceuticals'!$K$41:$K$60,MATCH($E66&amp;$F66,'TB-Pharmaceuticals'!$D$41:$D$60&amp;'TB-Pharmaceuticals'!$G$41:$G$60,0)),"")</f>
        <v/>
      </c>
      <c r="H66" s="625" t="str">
        <f t="array" ref="H66">IFERROR(INDEX('TB-Pharmaceuticals'!$L$41:$L$60,MATCH($E66&amp;$F66,'TB-Pharmaceuticals'!$D$41:$D$60&amp;'TB-Pharmaceuticals'!$G$41:$G$60,0)),"")</f>
        <v/>
      </c>
      <c r="I66" s="625">
        <f t="array" ref="I66">IFERROR(INDEX('TB-Pharmaceuticals'!$M$41:$M$60,MATCH($E66&amp;$F66,'TB-Pharmaceuticals'!$D$41:$D$60&amp;'TB-Pharmaceuticals'!$G$41:$G$60,0)),0)</f>
        <v>0</v>
      </c>
      <c r="J66" s="625">
        <f t="array" ref="J66">IFERROR(INDEX('TB-Pharmaceuticals'!$N$41:$N$60,MATCH($E66&amp;$F66,'TB-Pharmaceuticals'!$D$41:$D$60&amp;'TB-Pharmaceuticals'!$G$41:$G$60,0)),0)</f>
        <v>0</v>
      </c>
      <c r="K66" s="626">
        <f t="shared" si="36"/>
        <v>0</v>
      </c>
      <c r="L66" s="626">
        <f t="shared" si="37"/>
        <v>0</v>
      </c>
      <c r="M66" s="626">
        <f t="shared" si="38"/>
        <v>0</v>
      </c>
      <c r="N66" s="625">
        <f t="array" ref="N66">IFERROR(INDEX('TB-Pharmaceuticals'!$O$41:$O$60,MATCH($E66&amp;$F66,'TB-Pharmaceuticals'!$D$41:$D$60&amp;'TB-Pharmaceuticals'!$G$41:$G$60,0)),0)</f>
        <v>0</v>
      </c>
      <c r="O66" s="626">
        <f t="shared" si="39"/>
        <v>0</v>
      </c>
      <c r="P66" s="626">
        <f t="shared" si="40"/>
        <v>0</v>
      </c>
      <c r="Q66" s="626">
        <f t="shared" si="41"/>
        <v>0</v>
      </c>
      <c r="R66" s="625">
        <f t="array" ref="R66">IFERROR(INDEX('TB-Pharmaceuticals'!$P$41:$P$60,MATCH($E66&amp;$F66,'TB-Pharmaceuticals'!$D$41:$D$60&amp;'TB-Pharmaceuticals'!$G$41:$G$60,0)),0)</f>
        <v>0</v>
      </c>
      <c r="S66" s="626">
        <f t="shared" si="42"/>
        <v>0</v>
      </c>
      <c r="T66" s="626">
        <f t="shared" si="43"/>
        <v>0</v>
      </c>
      <c r="U66" s="626">
        <f t="shared" si="44"/>
        <v>0</v>
      </c>
      <c r="V66" s="625">
        <f t="array" ref="V66">IFERROR(INDEX('TB-Pharmaceuticals'!$Q$41:$Q$60,MATCH($E66&amp;$F66,'TB-Pharmaceuticals'!$D$41:$D$60&amp;'TB-Pharmaceuticals'!$G$41:$G$60,0)),0)</f>
        <v>0</v>
      </c>
      <c r="W66" s="626">
        <f t="shared" si="45"/>
        <v>0</v>
      </c>
      <c r="X66" s="626">
        <f t="shared" si="46"/>
        <v>0</v>
      </c>
      <c r="Y66" s="626">
        <f t="shared" si="47"/>
        <v>0</v>
      </c>
      <c r="Z66" s="627"/>
      <c r="AA66" s="625">
        <f t="array" ref="AA66">IFERROR(INDEX('TB-Pharmaceuticals'!$T$41:$T$60,MATCH($E66&amp;$F66,'TB-Pharmaceuticals'!$D$41:$D$60&amp;'TB-Pharmaceuticals'!$G$41:$G$60,0)),0)</f>
        <v>0</v>
      </c>
      <c r="AB66" s="625">
        <f t="array" ref="AB66">IFERROR(INDEX('TB-Pharmaceuticals'!$U$41:$U$60,MATCH($E66&amp;$F66,'TB-Pharmaceuticals'!$D$41:$D$60&amp;'TB-Pharmaceuticals'!$G$41:$G$60,0)),0)</f>
        <v>0</v>
      </c>
      <c r="AC66" s="626">
        <f t="shared" si="48"/>
        <v>0</v>
      </c>
      <c r="AD66" s="626">
        <f t="shared" si="49"/>
        <v>0</v>
      </c>
      <c r="AE66" s="626">
        <f t="shared" si="50"/>
        <v>0</v>
      </c>
      <c r="AF66" s="625">
        <f t="array" ref="AF66">IFERROR(INDEX('TB-Pharmaceuticals'!$V$41:$V$60,MATCH($E66&amp;$F66,'TB-Pharmaceuticals'!$D$41:$D$60&amp;'TB-Pharmaceuticals'!$G$41:$G$60,0)),0)</f>
        <v>0</v>
      </c>
      <c r="AG66" s="626">
        <f t="shared" si="51"/>
        <v>0</v>
      </c>
      <c r="AH66" s="626">
        <f t="shared" si="52"/>
        <v>0</v>
      </c>
      <c r="AI66" s="626">
        <f t="shared" si="53"/>
        <v>0</v>
      </c>
      <c r="AJ66" s="625">
        <f t="array" ref="AJ66">IFERROR(INDEX('TB-Pharmaceuticals'!$W$41:$W$60,MATCH($E66&amp;$F66,'TB-Pharmaceuticals'!$D$41:$D$60&amp;'TB-Pharmaceuticals'!$G$41:$G$60,0)),0)</f>
        <v>0</v>
      </c>
      <c r="AK66" s="626">
        <f t="shared" si="54"/>
        <v>0</v>
      </c>
      <c r="AL66" s="626">
        <f t="shared" si="55"/>
        <v>0</v>
      </c>
      <c r="AM66" s="626">
        <f t="shared" si="56"/>
        <v>0</v>
      </c>
      <c r="AN66" s="625">
        <f t="array" ref="AN66">IFERROR(INDEX('TB-Pharmaceuticals'!$X$41:$X$60,MATCH($E66&amp;$F66,'TB-Pharmaceuticals'!$D$41:$D$60&amp;'TB-Pharmaceuticals'!$G$41:$G$60,0)),0)</f>
        <v>0</v>
      </c>
      <c r="AO66" s="626">
        <f t="shared" si="57"/>
        <v>0</v>
      </c>
      <c r="AP66" s="626">
        <f t="shared" si="58"/>
        <v>0</v>
      </c>
      <c r="AQ66" s="626">
        <f t="shared" si="59"/>
        <v>0</v>
      </c>
      <c r="AR66" s="627"/>
      <c r="AS66" s="625">
        <f t="array" ref="AS66">IFERROR(INDEX('TB-Pharmaceuticals'!$AA$41:$AA$60,MATCH($E66&amp;$F66,'TB-Pharmaceuticals'!$D$41:$D$60&amp;'TB-Pharmaceuticals'!$G$41:$G$60,0)),0)</f>
        <v>0</v>
      </c>
      <c r="AT66" s="625">
        <f t="array" ref="AT66">IFERROR(INDEX('TB-Pharmaceuticals'!$AB$41:$AB$60,MATCH($E66&amp;$F66,'TB-Pharmaceuticals'!$D$41:$D$60&amp;'TB-Pharmaceuticals'!$G$41:$G$60,0)),0)</f>
        <v>0</v>
      </c>
      <c r="AU66" s="626">
        <f t="shared" si="60"/>
        <v>0</v>
      </c>
      <c r="AV66" s="626">
        <f t="shared" si="61"/>
        <v>0</v>
      </c>
      <c r="AW66" s="626">
        <f t="shared" si="62"/>
        <v>0</v>
      </c>
      <c r="AX66" s="625">
        <f t="array" ref="AX66">IFERROR(INDEX('TB-Pharmaceuticals'!$AC$41:$AC$60,MATCH($E66&amp;$F66,'TB-Pharmaceuticals'!$D$41:$D$60&amp;'TB-Pharmaceuticals'!$G$41:$G$60,0)),0)</f>
        <v>0</v>
      </c>
      <c r="AY66" s="626">
        <f t="shared" si="63"/>
        <v>0</v>
      </c>
      <c r="AZ66" s="626">
        <f t="shared" si="64"/>
        <v>0</v>
      </c>
      <c r="BA66" s="626">
        <f t="shared" si="65"/>
        <v>0</v>
      </c>
      <c r="BB66" s="625">
        <f t="array" ref="BB66">IFERROR(INDEX('TB-Pharmaceuticals'!$AD$41:$AD$60,MATCH($E66&amp;$F66,'TB-Pharmaceuticals'!$D$41:$D$60&amp;'TB-Pharmaceuticals'!$G$41:$G$60,0)),0)</f>
        <v>0</v>
      </c>
      <c r="BC66" s="626">
        <f t="shared" si="66"/>
        <v>0</v>
      </c>
      <c r="BD66" s="626">
        <f t="shared" si="67"/>
        <v>0</v>
      </c>
      <c r="BE66" s="626">
        <f t="shared" si="68"/>
        <v>0</v>
      </c>
      <c r="BF66" s="625">
        <f t="array" ref="BF66">IFERROR(INDEX('TB-Pharmaceuticals'!$AE$41:$AE$60,MATCH($E66&amp;$F66,'TB-Pharmaceuticals'!$D$41:$D$60&amp;'TB-Pharmaceuticals'!$G$41:$G$60,0)),0)</f>
        <v>0</v>
      </c>
      <c r="BG66" s="626">
        <f t="shared" si="69"/>
        <v>0</v>
      </c>
      <c r="BH66" s="626">
        <f t="shared" si="70"/>
        <v>0</v>
      </c>
      <c r="BI66" s="626">
        <f t="shared" si="71"/>
        <v>0</v>
      </c>
      <c r="BK66" s="626"/>
      <c r="BL66" s="626"/>
      <c r="BM66" s="626"/>
      <c r="BN66" s="626"/>
      <c r="BO66" s="626"/>
      <c r="BP66" s="626"/>
      <c r="BQ66" s="626"/>
      <c r="BR66" s="626"/>
    </row>
    <row r="67" spans="1:70">
      <c r="A67" s="32" t="s">
        <v>571</v>
      </c>
      <c r="B67" s="32" t="s">
        <v>1739</v>
      </c>
      <c r="C67" s="619">
        <f>SETUP!$F$38</f>
        <v>0</v>
      </c>
      <c r="D67" s="31">
        <v>4.2</v>
      </c>
      <c r="E67" s="32" t="s">
        <v>421</v>
      </c>
      <c r="F67" s="32" t="s">
        <v>1292</v>
      </c>
      <c r="G67" s="625" t="str">
        <f t="array" ref="G67">IFERROR(INDEX('TB-Pharmaceuticals'!$K$41:$K$60,MATCH($E67&amp;$F67,'TB-Pharmaceuticals'!$D$41:$D$60&amp;'TB-Pharmaceuticals'!$G$41:$G$60,0)),"")</f>
        <v/>
      </c>
      <c r="H67" s="625" t="str">
        <f t="array" ref="H67">IFERROR(INDEX('TB-Pharmaceuticals'!$L$41:$L$60,MATCH($E67&amp;$F67,'TB-Pharmaceuticals'!$D$41:$D$60&amp;'TB-Pharmaceuticals'!$G$41:$G$60,0)),"")</f>
        <v/>
      </c>
      <c r="I67" s="625">
        <f t="array" ref="I67">IFERROR(INDEX('TB-Pharmaceuticals'!$M$41:$M$60,MATCH($E67&amp;$F67,'TB-Pharmaceuticals'!$D$41:$D$60&amp;'TB-Pharmaceuticals'!$G$41:$G$60,0)),0)</f>
        <v>0</v>
      </c>
      <c r="J67" s="625">
        <f t="array" ref="J67">IFERROR(INDEX('TB-Pharmaceuticals'!$N$41:$N$60,MATCH($E67&amp;$F67,'TB-Pharmaceuticals'!$D$41:$D$60&amp;'TB-Pharmaceuticals'!$G$41:$G$60,0)),0)</f>
        <v>0</v>
      </c>
      <c r="K67" s="626">
        <f t="shared" si="36"/>
        <v>0</v>
      </c>
      <c r="L67" s="626">
        <f t="shared" si="37"/>
        <v>0</v>
      </c>
      <c r="M67" s="626">
        <f t="shared" si="38"/>
        <v>0</v>
      </c>
      <c r="N67" s="625">
        <f t="array" ref="N67">IFERROR(INDEX('TB-Pharmaceuticals'!$O$41:$O$60,MATCH($E67&amp;$F67,'TB-Pharmaceuticals'!$D$41:$D$60&amp;'TB-Pharmaceuticals'!$G$41:$G$60,0)),0)</f>
        <v>0</v>
      </c>
      <c r="O67" s="626">
        <f t="shared" si="39"/>
        <v>0</v>
      </c>
      <c r="P67" s="626">
        <f t="shared" si="40"/>
        <v>0</v>
      </c>
      <c r="Q67" s="626">
        <f t="shared" si="41"/>
        <v>0</v>
      </c>
      <c r="R67" s="625">
        <f t="array" ref="R67">IFERROR(INDEX('TB-Pharmaceuticals'!$P$41:$P$60,MATCH($E67&amp;$F67,'TB-Pharmaceuticals'!$D$41:$D$60&amp;'TB-Pharmaceuticals'!$G$41:$G$60,0)),0)</f>
        <v>0</v>
      </c>
      <c r="S67" s="626">
        <f t="shared" si="42"/>
        <v>0</v>
      </c>
      <c r="T67" s="626">
        <f t="shared" si="43"/>
        <v>0</v>
      </c>
      <c r="U67" s="626">
        <f t="shared" si="44"/>
        <v>0</v>
      </c>
      <c r="V67" s="625">
        <f t="array" ref="V67">IFERROR(INDEX('TB-Pharmaceuticals'!$Q$41:$Q$60,MATCH($E67&amp;$F67,'TB-Pharmaceuticals'!$D$41:$D$60&amp;'TB-Pharmaceuticals'!$G$41:$G$60,0)),0)</f>
        <v>0</v>
      </c>
      <c r="W67" s="626">
        <f t="shared" si="45"/>
        <v>0</v>
      </c>
      <c r="X67" s="626">
        <f t="shared" si="46"/>
        <v>0</v>
      </c>
      <c r="Y67" s="626">
        <f t="shared" si="47"/>
        <v>0</v>
      </c>
      <c r="Z67" s="627"/>
      <c r="AA67" s="625">
        <f t="array" ref="AA67">IFERROR(INDEX('TB-Pharmaceuticals'!$T$41:$T$60,MATCH($E67&amp;$F67,'TB-Pharmaceuticals'!$D$41:$D$60&amp;'TB-Pharmaceuticals'!$G$41:$G$60,0)),0)</f>
        <v>0</v>
      </c>
      <c r="AB67" s="625">
        <f t="array" ref="AB67">IFERROR(INDEX('TB-Pharmaceuticals'!$U$41:$U$60,MATCH($E67&amp;$F67,'TB-Pharmaceuticals'!$D$41:$D$60&amp;'TB-Pharmaceuticals'!$G$41:$G$60,0)),0)</f>
        <v>0</v>
      </c>
      <c r="AC67" s="626">
        <f t="shared" si="48"/>
        <v>0</v>
      </c>
      <c r="AD67" s="626">
        <f t="shared" si="49"/>
        <v>0</v>
      </c>
      <c r="AE67" s="626">
        <f t="shared" si="50"/>
        <v>0</v>
      </c>
      <c r="AF67" s="625">
        <f t="array" ref="AF67">IFERROR(INDEX('TB-Pharmaceuticals'!$V$41:$V$60,MATCH($E67&amp;$F67,'TB-Pharmaceuticals'!$D$41:$D$60&amp;'TB-Pharmaceuticals'!$G$41:$G$60,0)),0)</f>
        <v>0</v>
      </c>
      <c r="AG67" s="626">
        <f t="shared" si="51"/>
        <v>0</v>
      </c>
      <c r="AH67" s="626">
        <f t="shared" si="52"/>
        <v>0</v>
      </c>
      <c r="AI67" s="626">
        <f t="shared" si="53"/>
        <v>0</v>
      </c>
      <c r="AJ67" s="625">
        <f t="array" ref="AJ67">IFERROR(INDEX('TB-Pharmaceuticals'!$W$41:$W$60,MATCH($E67&amp;$F67,'TB-Pharmaceuticals'!$D$41:$D$60&amp;'TB-Pharmaceuticals'!$G$41:$G$60,0)),0)</f>
        <v>0</v>
      </c>
      <c r="AK67" s="626">
        <f t="shared" si="54"/>
        <v>0</v>
      </c>
      <c r="AL67" s="626">
        <f t="shared" si="55"/>
        <v>0</v>
      </c>
      <c r="AM67" s="626">
        <f t="shared" si="56"/>
        <v>0</v>
      </c>
      <c r="AN67" s="625">
        <f t="array" ref="AN67">IFERROR(INDEX('TB-Pharmaceuticals'!$X$41:$X$60,MATCH($E67&amp;$F67,'TB-Pharmaceuticals'!$D$41:$D$60&amp;'TB-Pharmaceuticals'!$G$41:$G$60,0)),0)</f>
        <v>0</v>
      </c>
      <c r="AO67" s="626">
        <f t="shared" si="57"/>
        <v>0</v>
      </c>
      <c r="AP67" s="626">
        <f t="shared" si="58"/>
        <v>0</v>
      </c>
      <c r="AQ67" s="626">
        <f t="shared" si="59"/>
        <v>0</v>
      </c>
      <c r="AR67" s="627"/>
      <c r="AS67" s="625">
        <f t="array" ref="AS67">IFERROR(INDEX('TB-Pharmaceuticals'!$AA$41:$AA$60,MATCH($E67&amp;$F67,'TB-Pharmaceuticals'!$D$41:$D$60&amp;'TB-Pharmaceuticals'!$G$41:$G$60,0)),0)</f>
        <v>0</v>
      </c>
      <c r="AT67" s="625">
        <f t="array" ref="AT67">IFERROR(INDEX('TB-Pharmaceuticals'!$AB$41:$AB$60,MATCH($E67&amp;$F67,'TB-Pharmaceuticals'!$D$41:$D$60&amp;'TB-Pharmaceuticals'!$G$41:$G$60,0)),0)</f>
        <v>0</v>
      </c>
      <c r="AU67" s="626">
        <f t="shared" si="60"/>
        <v>0</v>
      </c>
      <c r="AV67" s="626">
        <f t="shared" si="61"/>
        <v>0</v>
      </c>
      <c r="AW67" s="626">
        <f t="shared" si="62"/>
        <v>0</v>
      </c>
      <c r="AX67" s="625">
        <f t="array" ref="AX67">IFERROR(INDEX('TB-Pharmaceuticals'!$AC$41:$AC$60,MATCH($E67&amp;$F67,'TB-Pharmaceuticals'!$D$41:$D$60&amp;'TB-Pharmaceuticals'!$G$41:$G$60,0)),0)</f>
        <v>0</v>
      </c>
      <c r="AY67" s="626">
        <f t="shared" si="63"/>
        <v>0</v>
      </c>
      <c r="AZ67" s="626">
        <f t="shared" si="64"/>
        <v>0</v>
      </c>
      <c r="BA67" s="626">
        <f t="shared" si="65"/>
        <v>0</v>
      </c>
      <c r="BB67" s="625">
        <f t="array" ref="BB67">IFERROR(INDEX('TB-Pharmaceuticals'!$AD$41:$AD$60,MATCH($E67&amp;$F67,'TB-Pharmaceuticals'!$D$41:$D$60&amp;'TB-Pharmaceuticals'!$G$41:$G$60,0)),0)</f>
        <v>0</v>
      </c>
      <c r="BC67" s="626">
        <f t="shared" si="66"/>
        <v>0</v>
      </c>
      <c r="BD67" s="626">
        <f t="shared" si="67"/>
        <v>0</v>
      </c>
      <c r="BE67" s="626">
        <f t="shared" si="68"/>
        <v>0</v>
      </c>
      <c r="BF67" s="625">
        <f t="array" ref="BF67">IFERROR(INDEX('TB-Pharmaceuticals'!$AE$41:$AE$60,MATCH($E67&amp;$F67,'TB-Pharmaceuticals'!$D$41:$D$60&amp;'TB-Pharmaceuticals'!$G$41:$G$60,0)),0)</f>
        <v>0</v>
      </c>
      <c r="BG67" s="626">
        <f t="shared" si="69"/>
        <v>0</v>
      </c>
      <c r="BH67" s="626">
        <f t="shared" si="70"/>
        <v>0</v>
      </c>
      <c r="BI67" s="626">
        <f t="shared" si="71"/>
        <v>0</v>
      </c>
      <c r="BK67" s="626"/>
      <c r="BL67" s="626"/>
      <c r="BM67" s="626"/>
      <c r="BN67" s="626"/>
      <c r="BO67" s="626"/>
      <c r="BP67" s="626"/>
      <c r="BQ67" s="626"/>
      <c r="BR67" s="626"/>
    </row>
    <row r="68" spans="1:70">
      <c r="A68" s="32" t="s">
        <v>571</v>
      </c>
      <c r="B68" s="32" t="s">
        <v>1739</v>
      </c>
      <c r="C68" s="619">
        <f>SETUP!$F$38</f>
        <v>0</v>
      </c>
      <c r="D68" s="31">
        <v>4.2</v>
      </c>
      <c r="E68" s="32" t="s">
        <v>422</v>
      </c>
      <c r="F68" s="32" t="s">
        <v>1293</v>
      </c>
      <c r="G68" s="625" t="str">
        <f t="array" ref="G68">IFERROR(INDEX('TB-Pharmaceuticals'!$K$41:$K$60,MATCH($E68&amp;$F68,'TB-Pharmaceuticals'!$D$41:$D$60&amp;'TB-Pharmaceuticals'!$G$41:$G$60,0)),"")</f>
        <v/>
      </c>
      <c r="H68" s="625" t="str">
        <f t="array" ref="H68">IFERROR(INDEX('TB-Pharmaceuticals'!$L$41:$L$60,MATCH($E68&amp;$F68,'TB-Pharmaceuticals'!$D$41:$D$60&amp;'TB-Pharmaceuticals'!$G$41:$G$60,0)),"")</f>
        <v/>
      </c>
      <c r="I68" s="625">
        <f t="array" ref="I68">IFERROR(INDEX('TB-Pharmaceuticals'!$M$41:$M$60,MATCH($E68&amp;$F68,'TB-Pharmaceuticals'!$D$41:$D$60&amp;'TB-Pharmaceuticals'!$G$41:$G$60,0)),0)</f>
        <v>0</v>
      </c>
      <c r="J68" s="625">
        <f t="array" ref="J68">IFERROR(INDEX('TB-Pharmaceuticals'!$N$41:$N$60,MATCH($E68&amp;$F68,'TB-Pharmaceuticals'!$D$41:$D$60&amp;'TB-Pharmaceuticals'!$G$41:$G$60,0)),0)</f>
        <v>0</v>
      </c>
      <c r="K68" s="626">
        <f t="shared" si="36"/>
        <v>0</v>
      </c>
      <c r="L68" s="626">
        <f t="shared" si="37"/>
        <v>0</v>
      </c>
      <c r="M68" s="626">
        <f t="shared" si="38"/>
        <v>0</v>
      </c>
      <c r="N68" s="625">
        <f t="array" ref="N68">IFERROR(INDEX('TB-Pharmaceuticals'!$O$41:$O$60,MATCH($E68&amp;$F68,'TB-Pharmaceuticals'!$D$41:$D$60&amp;'TB-Pharmaceuticals'!$G$41:$G$60,0)),0)</f>
        <v>0</v>
      </c>
      <c r="O68" s="626">
        <f t="shared" si="39"/>
        <v>0</v>
      </c>
      <c r="P68" s="626">
        <f t="shared" si="40"/>
        <v>0</v>
      </c>
      <c r="Q68" s="626">
        <f t="shared" si="41"/>
        <v>0</v>
      </c>
      <c r="R68" s="625">
        <f t="array" ref="R68">IFERROR(INDEX('TB-Pharmaceuticals'!$P$41:$P$60,MATCH($E68&amp;$F68,'TB-Pharmaceuticals'!$D$41:$D$60&amp;'TB-Pharmaceuticals'!$G$41:$G$60,0)),0)</f>
        <v>0</v>
      </c>
      <c r="S68" s="626">
        <f t="shared" si="42"/>
        <v>0</v>
      </c>
      <c r="T68" s="626">
        <f t="shared" si="43"/>
        <v>0</v>
      </c>
      <c r="U68" s="626">
        <f t="shared" si="44"/>
        <v>0</v>
      </c>
      <c r="V68" s="625">
        <f t="array" ref="V68">IFERROR(INDEX('TB-Pharmaceuticals'!$Q$41:$Q$60,MATCH($E68&amp;$F68,'TB-Pharmaceuticals'!$D$41:$D$60&amp;'TB-Pharmaceuticals'!$G$41:$G$60,0)),0)</f>
        <v>0</v>
      </c>
      <c r="W68" s="626">
        <f t="shared" si="45"/>
        <v>0</v>
      </c>
      <c r="X68" s="626">
        <f t="shared" si="46"/>
        <v>0</v>
      </c>
      <c r="Y68" s="626">
        <f t="shared" si="47"/>
        <v>0</v>
      </c>
      <c r="Z68" s="627"/>
      <c r="AA68" s="625">
        <f t="array" ref="AA68">IFERROR(INDEX('TB-Pharmaceuticals'!$T$41:$T$60,MATCH($E68&amp;$F68,'TB-Pharmaceuticals'!$D$41:$D$60&amp;'TB-Pharmaceuticals'!$G$41:$G$60,0)),0)</f>
        <v>0</v>
      </c>
      <c r="AB68" s="625">
        <f t="array" ref="AB68">IFERROR(INDEX('TB-Pharmaceuticals'!$U$41:$U$60,MATCH($E68&amp;$F68,'TB-Pharmaceuticals'!$D$41:$D$60&amp;'TB-Pharmaceuticals'!$G$41:$G$60,0)),0)</f>
        <v>0</v>
      </c>
      <c r="AC68" s="626">
        <f t="shared" si="48"/>
        <v>0</v>
      </c>
      <c r="AD68" s="626">
        <f t="shared" si="49"/>
        <v>0</v>
      </c>
      <c r="AE68" s="626">
        <f t="shared" si="50"/>
        <v>0</v>
      </c>
      <c r="AF68" s="625">
        <f t="array" ref="AF68">IFERROR(INDEX('TB-Pharmaceuticals'!$V$41:$V$60,MATCH($E68&amp;$F68,'TB-Pharmaceuticals'!$D$41:$D$60&amp;'TB-Pharmaceuticals'!$G$41:$G$60,0)),0)</f>
        <v>0</v>
      </c>
      <c r="AG68" s="626">
        <f t="shared" si="51"/>
        <v>0</v>
      </c>
      <c r="AH68" s="626">
        <f t="shared" si="52"/>
        <v>0</v>
      </c>
      <c r="AI68" s="626">
        <f t="shared" si="53"/>
        <v>0</v>
      </c>
      <c r="AJ68" s="625">
        <f t="array" ref="AJ68">IFERROR(INDEX('TB-Pharmaceuticals'!$W$41:$W$60,MATCH($E68&amp;$F68,'TB-Pharmaceuticals'!$D$41:$D$60&amp;'TB-Pharmaceuticals'!$G$41:$G$60,0)),0)</f>
        <v>0</v>
      </c>
      <c r="AK68" s="626">
        <f t="shared" si="54"/>
        <v>0</v>
      </c>
      <c r="AL68" s="626">
        <f t="shared" si="55"/>
        <v>0</v>
      </c>
      <c r="AM68" s="626">
        <f t="shared" si="56"/>
        <v>0</v>
      </c>
      <c r="AN68" s="625">
        <f t="array" ref="AN68">IFERROR(INDEX('TB-Pharmaceuticals'!$X$41:$X$60,MATCH($E68&amp;$F68,'TB-Pharmaceuticals'!$D$41:$D$60&amp;'TB-Pharmaceuticals'!$G$41:$G$60,0)),0)</f>
        <v>0</v>
      </c>
      <c r="AO68" s="626">
        <f t="shared" si="57"/>
        <v>0</v>
      </c>
      <c r="AP68" s="626">
        <f t="shared" si="58"/>
        <v>0</v>
      </c>
      <c r="AQ68" s="626">
        <f t="shared" si="59"/>
        <v>0</v>
      </c>
      <c r="AR68" s="627"/>
      <c r="AS68" s="625">
        <f t="array" ref="AS68">IFERROR(INDEX('TB-Pharmaceuticals'!$AA$41:$AA$60,MATCH($E68&amp;$F68,'TB-Pharmaceuticals'!$D$41:$D$60&amp;'TB-Pharmaceuticals'!$G$41:$G$60,0)),0)</f>
        <v>0</v>
      </c>
      <c r="AT68" s="625">
        <f t="array" ref="AT68">IFERROR(INDEX('TB-Pharmaceuticals'!$AB$41:$AB$60,MATCH($E68&amp;$F68,'TB-Pharmaceuticals'!$D$41:$D$60&amp;'TB-Pharmaceuticals'!$G$41:$G$60,0)),0)</f>
        <v>0</v>
      </c>
      <c r="AU68" s="626">
        <f t="shared" si="60"/>
        <v>0</v>
      </c>
      <c r="AV68" s="626">
        <f t="shared" si="61"/>
        <v>0</v>
      </c>
      <c r="AW68" s="626">
        <f t="shared" si="62"/>
        <v>0</v>
      </c>
      <c r="AX68" s="625">
        <f t="array" ref="AX68">IFERROR(INDEX('TB-Pharmaceuticals'!$AC$41:$AC$60,MATCH($E68&amp;$F68,'TB-Pharmaceuticals'!$D$41:$D$60&amp;'TB-Pharmaceuticals'!$G$41:$G$60,0)),0)</f>
        <v>0</v>
      </c>
      <c r="AY68" s="626">
        <f t="shared" si="63"/>
        <v>0</v>
      </c>
      <c r="AZ68" s="626">
        <f t="shared" si="64"/>
        <v>0</v>
      </c>
      <c r="BA68" s="626">
        <f t="shared" si="65"/>
        <v>0</v>
      </c>
      <c r="BB68" s="625">
        <f t="array" ref="BB68">IFERROR(INDEX('TB-Pharmaceuticals'!$AD$41:$AD$60,MATCH($E68&amp;$F68,'TB-Pharmaceuticals'!$D$41:$D$60&amp;'TB-Pharmaceuticals'!$G$41:$G$60,0)),0)</f>
        <v>0</v>
      </c>
      <c r="BC68" s="626">
        <f t="shared" si="66"/>
        <v>0</v>
      </c>
      <c r="BD68" s="626">
        <f t="shared" si="67"/>
        <v>0</v>
      </c>
      <c r="BE68" s="626">
        <f t="shared" si="68"/>
        <v>0</v>
      </c>
      <c r="BF68" s="625">
        <f t="array" ref="BF68">IFERROR(INDEX('TB-Pharmaceuticals'!$AE$41:$AE$60,MATCH($E68&amp;$F68,'TB-Pharmaceuticals'!$D$41:$D$60&amp;'TB-Pharmaceuticals'!$G$41:$G$60,0)),0)</f>
        <v>0</v>
      </c>
      <c r="BG68" s="626">
        <f t="shared" si="69"/>
        <v>0</v>
      </c>
      <c r="BH68" s="626">
        <f t="shared" si="70"/>
        <v>0</v>
      </c>
      <c r="BI68" s="626">
        <f t="shared" si="71"/>
        <v>0</v>
      </c>
      <c r="BK68" s="626"/>
      <c r="BL68" s="626"/>
      <c r="BM68" s="626"/>
      <c r="BN68" s="626"/>
      <c r="BO68" s="626"/>
      <c r="BP68" s="626"/>
      <c r="BQ68" s="626"/>
      <c r="BR68" s="626"/>
    </row>
    <row r="69" spans="1:70">
      <c r="A69" s="32" t="s">
        <v>571</v>
      </c>
      <c r="B69" s="32" t="s">
        <v>1739</v>
      </c>
      <c r="C69" s="619">
        <f>SETUP!$F$38</f>
        <v>0</v>
      </c>
      <c r="D69" s="31">
        <v>4.2</v>
      </c>
      <c r="E69" s="32" t="s">
        <v>423</v>
      </c>
      <c r="F69" s="32" t="s">
        <v>1294</v>
      </c>
      <c r="G69" s="625" t="str">
        <f t="array" ref="G69">IFERROR(INDEX('TB-Pharmaceuticals'!$K$41:$K$60,MATCH($E69&amp;$F69,'TB-Pharmaceuticals'!$D$41:$D$60&amp;'TB-Pharmaceuticals'!$G$41:$G$60,0)),"")</f>
        <v/>
      </c>
      <c r="H69" s="625" t="str">
        <f t="array" ref="H69">IFERROR(INDEX('TB-Pharmaceuticals'!$L$41:$L$60,MATCH($E69&amp;$F69,'TB-Pharmaceuticals'!$D$41:$D$60&amp;'TB-Pharmaceuticals'!$G$41:$G$60,0)),"")</f>
        <v/>
      </c>
      <c r="I69" s="625">
        <f t="array" ref="I69">IFERROR(INDEX('TB-Pharmaceuticals'!$M$41:$M$60,MATCH($E69&amp;$F69,'TB-Pharmaceuticals'!$D$41:$D$60&amp;'TB-Pharmaceuticals'!$G$41:$G$60,0)),0)</f>
        <v>0</v>
      </c>
      <c r="J69" s="625">
        <f t="array" ref="J69">IFERROR(INDEX('TB-Pharmaceuticals'!$N$41:$N$60,MATCH($E69&amp;$F69,'TB-Pharmaceuticals'!$D$41:$D$60&amp;'TB-Pharmaceuticals'!$G$41:$G$60,0)),0)</f>
        <v>0</v>
      </c>
      <c r="K69" s="626">
        <f t="shared" si="36"/>
        <v>0</v>
      </c>
      <c r="L69" s="626">
        <f t="shared" si="37"/>
        <v>0</v>
      </c>
      <c r="M69" s="626">
        <f t="shared" si="38"/>
        <v>0</v>
      </c>
      <c r="N69" s="625">
        <f t="array" ref="N69">IFERROR(INDEX('TB-Pharmaceuticals'!$O$41:$O$60,MATCH($E69&amp;$F69,'TB-Pharmaceuticals'!$D$41:$D$60&amp;'TB-Pharmaceuticals'!$G$41:$G$60,0)),0)</f>
        <v>0</v>
      </c>
      <c r="O69" s="626">
        <f t="shared" si="39"/>
        <v>0</v>
      </c>
      <c r="P69" s="626">
        <f t="shared" si="40"/>
        <v>0</v>
      </c>
      <c r="Q69" s="626">
        <f t="shared" si="41"/>
        <v>0</v>
      </c>
      <c r="R69" s="625">
        <f t="array" ref="R69">IFERROR(INDEX('TB-Pharmaceuticals'!$P$41:$P$60,MATCH($E69&amp;$F69,'TB-Pharmaceuticals'!$D$41:$D$60&amp;'TB-Pharmaceuticals'!$G$41:$G$60,0)),0)</f>
        <v>0</v>
      </c>
      <c r="S69" s="626">
        <f t="shared" si="42"/>
        <v>0</v>
      </c>
      <c r="T69" s="626">
        <f t="shared" si="43"/>
        <v>0</v>
      </c>
      <c r="U69" s="626">
        <f t="shared" si="44"/>
        <v>0</v>
      </c>
      <c r="V69" s="625">
        <f t="array" ref="V69">IFERROR(INDEX('TB-Pharmaceuticals'!$Q$41:$Q$60,MATCH($E69&amp;$F69,'TB-Pharmaceuticals'!$D$41:$D$60&amp;'TB-Pharmaceuticals'!$G$41:$G$60,0)),0)</f>
        <v>0</v>
      </c>
      <c r="W69" s="626">
        <f t="shared" si="45"/>
        <v>0</v>
      </c>
      <c r="X69" s="626">
        <f t="shared" si="46"/>
        <v>0</v>
      </c>
      <c r="Y69" s="626">
        <f t="shared" si="47"/>
        <v>0</v>
      </c>
      <c r="Z69" s="627"/>
      <c r="AA69" s="625">
        <f t="array" ref="AA69">IFERROR(INDEX('TB-Pharmaceuticals'!$T$41:$T$60,MATCH($E69&amp;$F69,'TB-Pharmaceuticals'!$D$41:$D$60&amp;'TB-Pharmaceuticals'!$G$41:$G$60,0)),0)</f>
        <v>0</v>
      </c>
      <c r="AB69" s="625">
        <f t="array" ref="AB69">IFERROR(INDEX('TB-Pharmaceuticals'!$U$41:$U$60,MATCH($E69&amp;$F69,'TB-Pharmaceuticals'!$D$41:$D$60&amp;'TB-Pharmaceuticals'!$G$41:$G$60,0)),0)</f>
        <v>0</v>
      </c>
      <c r="AC69" s="626">
        <f t="shared" si="48"/>
        <v>0</v>
      </c>
      <c r="AD69" s="626">
        <f t="shared" si="49"/>
        <v>0</v>
      </c>
      <c r="AE69" s="626">
        <f t="shared" si="50"/>
        <v>0</v>
      </c>
      <c r="AF69" s="625">
        <f t="array" ref="AF69">IFERROR(INDEX('TB-Pharmaceuticals'!$V$41:$V$60,MATCH($E69&amp;$F69,'TB-Pharmaceuticals'!$D$41:$D$60&amp;'TB-Pharmaceuticals'!$G$41:$G$60,0)),0)</f>
        <v>0</v>
      </c>
      <c r="AG69" s="626">
        <f t="shared" si="51"/>
        <v>0</v>
      </c>
      <c r="AH69" s="626">
        <f t="shared" si="52"/>
        <v>0</v>
      </c>
      <c r="AI69" s="626">
        <f t="shared" si="53"/>
        <v>0</v>
      </c>
      <c r="AJ69" s="625">
        <f t="array" ref="AJ69">IFERROR(INDEX('TB-Pharmaceuticals'!$W$41:$W$60,MATCH($E69&amp;$F69,'TB-Pharmaceuticals'!$D$41:$D$60&amp;'TB-Pharmaceuticals'!$G$41:$G$60,0)),0)</f>
        <v>0</v>
      </c>
      <c r="AK69" s="626">
        <f t="shared" si="54"/>
        <v>0</v>
      </c>
      <c r="AL69" s="626">
        <f t="shared" si="55"/>
        <v>0</v>
      </c>
      <c r="AM69" s="626">
        <f t="shared" si="56"/>
        <v>0</v>
      </c>
      <c r="AN69" s="625">
        <f t="array" ref="AN69">IFERROR(INDEX('TB-Pharmaceuticals'!$X$41:$X$60,MATCH($E69&amp;$F69,'TB-Pharmaceuticals'!$D$41:$D$60&amp;'TB-Pharmaceuticals'!$G$41:$G$60,0)),0)</f>
        <v>0</v>
      </c>
      <c r="AO69" s="626">
        <f t="shared" si="57"/>
        <v>0</v>
      </c>
      <c r="AP69" s="626">
        <f t="shared" si="58"/>
        <v>0</v>
      </c>
      <c r="AQ69" s="626">
        <f t="shared" si="59"/>
        <v>0</v>
      </c>
      <c r="AR69" s="627"/>
      <c r="AS69" s="625">
        <f t="array" ref="AS69">IFERROR(INDEX('TB-Pharmaceuticals'!$AA$41:$AA$60,MATCH($E69&amp;$F69,'TB-Pharmaceuticals'!$D$41:$D$60&amp;'TB-Pharmaceuticals'!$G$41:$G$60,0)),0)</f>
        <v>0</v>
      </c>
      <c r="AT69" s="625">
        <f t="array" ref="AT69">IFERROR(INDEX('TB-Pharmaceuticals'!$AB$41:$AB$60,MATCH($E69&amp;$F69,'TB-Pharmaceuticals'!$D$41:$D$60&amp;'TB-Pharmaceuticals'!$G$41:$G$60,0)),0)</f>
        <v>0</v>
      </c>
      <c r="AU69" s="626">
        <f t="shared" si="60"/>
        <v>0</v>
      </c>
      <c r="AV69" s="626">
        <f t="shared" si="61"/>
        <v>0</v>
      </c>
      <c r="AW69" s="626">
        <f t="shared" si="62"/>
        <v>0</v>
      </c>
      <c r="AX69" s="625">
        <f t="array" ref="AX69">IFERROR(INDEX('TB-Pharmaceuticals'!$AC$41:$AC$60,MATCH($E69&amp;$F69,'TB-Pharmaceuticals'!$D$41:$D$60&amp;'TB-Pharmaceuticals'!$G$41:$G$60,0)),0)</f>
        <v>0</v>
      </c>
      <c r="AY69" s="626">
        <f t="shared" si="63"/>
        <v>0</v>
      </c>
      <c r="AZ69" s="626">
        <f t="shared" si="64"/>
        <v>0</v>
      </c>
      <c r="BA69" s="626">
        <f t="shared" si="65"/>
        <v>0</v>
      </c>
      <c r="BB69" s="625">
        <f t="array" ref="BB69">IFERROR(INDEX('TB-Pharmaceuticals'!$AD$41:$AD$60,MATCH($E69&amp;$F69,'TB-Pharmaceuticals'!$D$41:$D$60&amp;'TB-Pharmaceuticals'!$G$41:$G$60,0)),0)</f>
        <v>0</v>
      </c>
      <c r="BC69" s="626">
        <f t="shared" si="66"/>
        <v>0</v>
      </c>
      <c r="BD69" s="626">
        <f t="shared" si="67"/>
        <v>0</v>
      </c>
      <c r="BE69" s="626">
        <f t="shared" si="68"/>
        <v>0</v>
      </c>
      <c r="BF69" s="625">
        <f t="array" ref="BF69">IFERROR(INDEX('TB-Pharmaceuticals'!$AE$41:$AE$60,MATCH($E69&amp;$F69,'TB-Pharmaceuticals'!$D$41:$D$60&amp;'TB-Pharmaceuticals'!$G$41:$G$60,0)),0)</f>
        <v>0</v>
      </c>
      <c r="BG69" s="626">
        <f t="shared" si="69"/>
        <v>0</v>
      </c>
      <c r="BH69" s="626">
        <f t="shared" si="70"/>
        <v>0</v>
      </c>
      <c r="BI69" s="626">
        <f t="shared" si="71"/>
        <v>0</v>
      </c>
      <c r="BK69" s="626"/>
      <c r="BL69" s="626"/>
      <c r="BM69" s="626"/>
      <c r="BN69" s="626"/>
      <c r="BO69" s="626"/>
      <c r="BP69" s="626"/>
      <c r="BQ69" s="626"/>
      <c r="BR69" s="626"/>
    </row>
    <row r="70" spans="1:70">
      <c r="A70" s="32" t="s">
        <v>571</v>
      </c>
      <c r="B70" s="32" t="s">
        <v>1739</v>
      </c>
      <c r="C70" s="619">
        <f>SETUP!$F$38</f>
        <v>0</v>
      </c>
      <c r="D70" s="31">
        <v>4.2</v>
      </c>
      <c r="E70" s="32" t="s">
        <v>427</v>
      </c>
      <c r="F70" s="32" t="s">
        <v>1295</v>
      </c>
      <c r="G70" s="625" t="str">
        <f t="array" ref="G70">IFERROR(INDEX('TB-Pharmaceuticals'!$K$41:$K$60,MATCH($E70&amp;$F70,'TB-Pharmaceuticals'!$D$41:$D$60&amp;'TB-Pharmaceuticals'!$G$41:$G$60,0)),"")</f>
        <v/>
      </c>
      <c r="H70" s="625" t="str">
        <f t="array" ref="H70">IFERROR(INDEX('TB-Pharmaceuticals'!$L$41:$L$60,MATCH($E70&amp;$F70,'TB-Pharmaceuticals'!$D$41:$D$60&amp;'TB-Pharmaceuticals'!$G$41:$G$60,0)),"")</f>
        <v/>
      </c>
      <c r="I70" s="625">
        <f t="array" ref="I70">IFERROR(INDEX('TB-Pharmaceuticals'!$M$41:$M$60,MATCH($E70&amp;$F70,'TB-Pharmaceuticals'!$D$41:$D$60&amp;'TB-Pharmaceuticals'!$G$41:$G$60,0)),0)</f>
        <v>0</v>
      </c>
      <c r="J70" s="625">
        <f t="array" ref="J70">IFERROR(INDEX('TB-Pharmaceuticals'!$N$41:$N$60,MATCH($E70&amp;$F70,'TB-Pharmaceuticals'!$D$41:$D$60&amp;'TB-Pharmaceuticals'!$G$41:$G$60,0)),0)</f>
        <v>0</v>
      </c>
      <c r="K70" s="626">
        <f t="shared" si="36"/>
        <v>0</v>
      </c>
      <c r="L70" s="626">
        <f t="shared" si="37"/>
        <v>0</v>
      </c>
      <c r="M70" s="626">
        <f t="shared" si="38"/>
        <v>0</v>
      </c>
      <c r="N70" s="625">
        <f t="array" ref="N70">IFERROR(INDEX('TB-Pharmaceuticals'!$O$41:$O$60,MATCH($E70&amp;$F70,'TB-Pharmaceuticals'!$D$41:$D$60&amp;'TB-Pharmaceuticals'!$G$41:$G$60,0)),0)</f>
        <v>0</v>
      </c>
      <c r="O70" s="626">
        <f t="shared" si="39"/>
        <v>0</v>
      </c>
      <c r="P70" s="626">
        <f t="shared" si="40"/>
        <v>0</v>
      </c>
      <c r="Q70" s="626">
        <f t="shared" si="41"/>
        <v>0</v>
      </c>
      <c r="R70" s="625">
        <f t="array" ref="R70">IFERROR(INDEX('TB-Pharmaceuticals'!$P$41:$P$60,MATCH($E70&amp;$F70,'TB-Pharmaceuticals'!$D$41:$D$60&amp;'TB-Pharmaceuticals'!$G$41:$G$60,0)),0)</f>
        <v>0</v>
      </c>
      <c r="S70" s="626">
        <f t="shared" si="42"/>
        <v>0</v>
      </c>
      <c r="T70" s="626">
        <f t="shared" si="43"/>
        <v>0</v>
      </c>
      <c r="U70" s="626">
        <f t="shared" si="44"/>
        <v>0</v>
      </c>
      <c r="V70" s="625">
        <f t="array" ref="V70">IFERROR(INDEX('TB-Pharmaceuticals'!$Q$41:$Q$60,MATCH($E70&amp;$F70,'TB-Pharmaceuticals'!$D$41:$D$60&amp;'TB-Pharmaceuticals'!$G$41:$G$60,0)),0)</f>
        <v>0</v>
      </c>
      <c r="W70" s="626">
        <f t="shared" si="45"/>
        <v>0</v>
      </c>
      <c r="X70" s="626">
        <f t="shared" si="46"/>
        <v>0</v>
      </c>
      <c r="Y70" s="626">
        <f t="shared" si="47"/>
        <v>0</v>
      </c>
      <c r="Z70" s="627"/>
      <c r="AA70" s="625">
        <f t="array" ref="AA70">IFERROR(INDEX('TB-Pharmaceuticals'!$T$41:$T$60,MATCH($E70&amp;$F70,'TB-Pharmaceuticals'!$D$41:$D$60&amp;'TB-Pharmaceuticals'!$G$41:$G$60,0)),0)</f>
        <v>0</v>
      </c>
      <c r="AB70" s="625">
        <f t="array" ref="AB70">IFERROR(INDEX('TB-Pharmaceuticals'!$U$41:$U$60,MATCH($E70&amp;$F70,'TB-Pharmaceuticals'!$D$41:$D$60&amp;'TB-Pharmaceuticals'!$G$41:$G$60,0)),0)</f>
        <v>0</v>
      </c>
      <c r="AC70" s="626">
        <f t="shared" si="48"/>
        <v>0</v>
      </c>
      <c r="AD70" s="626">
        <f t="shared" si="49"/>
        <v>0</v>
      </c>
      <c r="AE70" s="626">
        <f t="shared" si="50"/>
        <v>0</v>
      </c>
      <c r="AF70" s="625">
        <f t="array" ref="AF70">IFERROR(INDEX('TB-Pharmaceuticals'!$V$41:$V$60,MATCH($E70&amp;$F70,'TB-Pharmaceuticals'!$D$41:$D$60&amp;'TB-Pharmaceuticals'!$G$41:$G$60,0)),0)</f>
        <v>0</v>
      </c>
      <c r="AG70" s="626">
        <f t="shared" si="51"/>
        <v>0</v>
      </c>
      <c r="AH70" s="626">
        <f t="shared" si="52"/>
        <v>0</v>
      </c>
      <c r="AI70" s="626">
        <f t="shared" si="53"/>
        <v>0</v>
      </c>
      <c r="AJ70" s="625">
        <f t="array" ref="AJ70">IFERROR(INDEX('TB-Pharmaceuticals'!$W$41:$W$60,MATCH($E70&amp;$F70,'TB-Pharmaceuticals'!$D$41:$D$60&amp;'TB-Pharmaceuticals'!$G$41:$G$60,0)),0)</f>
        <v>0</v>
      </c>
      <c r="AK70" s="626">
        <f t="shared" si="54"/>
        <v>0</v>
      </c>
      <c r="AL70" s="626">
        <f t="shared" si="55"/>
        <v>0</v>
      </c>
      <c r="AM70" s="626">
        <f t="shared" si="56"/>
        <v>0</v>
      </c>
      <c r="AN70" s="625">
        <f t="array" ref="AN70">IFERROR(INDEX('TB-Pharmaceuticals'!$X$41:$X$60,MATCH($E70&amp;$F70,'TB-Pharmaceuticals'!$D$41:$D$60&amp;'TB-Pharmaceuticals'!$G$41:$G$60,0)),0)</f>
        <v>0</v>
      </c>
      <c r="AO70" s="626">
        <f t="shared" si="57"/>
        <v>0</v>
      </c>
      <c r="AP70" s="626">
        <f t="shared" si="58"/>
        <v>0</v>
      </c>
      <c r="AQ70" s="626">
        <f t="shared" si="59"/>
        <v>0</v>
      </c>
      <c r="AR70" s="627"/>
      <c r="AS70" s="625">
        <f t="array" ref="AS70">IFERROR(INDEX('TB-Pharmaceuticals'!$AA$41:$AA$60,MATCH($E70&amp;$F70,'TB-Pharmaceuticals'!$D$41:$D$60&amp;'TB-Pharmaceuticals'!$G$41:$G$60,0)),0)</f>
        <v>0</v>
      </c>
      <c r="AT70" s="625">
        <f t="array" ref="AT70">IFERROR(INDEX('TB-Pharmaceuticals'!$AB$41:$AB$60,MATCH($E70&amp;$F70,'TB-Pharmaceuticals'!$D$41:$D$60&amp;'TB-Pharmaceuticals'!$G$41:$G$60,0)),0)</f>
        <v>0</v>
      </c>
      <c r="AU70" s="626">
        <f t="shared" si="60"/>
        <v>0</v>
      </c>
      <c r="AV70" s="626">
        <f t="shared" si="61"/>
        <v>0</v>
      </c>
      <c r="AW70" s="626">
        <f t="shared" si="62"/>
        <v>0</v>
      </c>
      <c r="AX70" s="625">
        <f t="array" ref="AX70">IFERROR(INDEX('TB-Pharmaceuticals'!$AC$41:$AC$60,MATCH($E70&amp;$F70,'TB-Pharmaceuticals'!$D$41:$D$60&amp;'TB-Pharmaceuticals'!$G$41:$G$60,0)),0)</f>
        <v>0</v>
      </c>
      <c r="AY70" s="626">
        <f t="shared" si="63"/>
        <v>0</v>
      </c>
      <c r="AZ70" s="626">
        <f t="shared" si="64"/>
        <v>0</v>
      </c>
      <c r="BA70" s="626">
        <f t="shared" si="65"/>
        <v>0</v>
      </c>
      <c r="BB70" s="625">
        <f t="array" ref="BB70">IFERROR(INDEX('TB-Pharmaceuticals'!$AD$41:$AD$60,MATCH($E70&amp;$F70,'TB-Pharmaceuticals'!$D$41:$D$60&amp;'TB-Pharmaceuticals'!$G$41:$G$60,0)),0)</f>
        <v>0</v>
      </c>
      <c r="BC70" s="626">
        <f t="shared" si="66"/>
        <v>0</v>
      </c>
      <c r="BD70" s="626">
        <f t="shared" si="67"/>
        <v>0</v>
      </c>
      <c r="BE70" s="626">
        <f t="shared" si="68"/>
        <v>0</v>
      </c>
      <c r="BF70" s="625">
        <f t="array" ref="BF70">IFERROR(INDEX('TB-Pharmaceuticals'!$AE$41:$AE$60,MATCH($E70&amp;$F70,'TB-Pharmaceuticals'!$D$41:$D$60&amp;'TB-Pharmaceuticals'!$G$41:$G$60,0)),0)</f>
        <v>0</v>
      </c>
      <c r="BG70" s="626">
        <f t="shared" si="69"/>
        <v>0</v>
      </c>
      <c r="BH70" s="626">
        <f t="shared" si="70"/>
        <v>0</v>
      </c>
      <c r="BI70" s="626">
        <f t="shared" si="71"/>
        <v>0</v>
      </c>
      <c r="BK70" s="626"/>
      <c r="BL70" s="626"/>
      <c r="BM70" s="626"/>
      <c r="BN70" s="626"/>
      <c r="BO70" s="626"/>
      <c r="BP70" s="626"/>
      <c r="BQ70" s="626"/>
      <c r="BR70" s="626"/>
    </row>
    <row r="71" spans="1:70">
      <c r="A71" s="32" t="s">
        <v>571</v>
      </c>
      <c r="B71" s="32" t="s">
        <v>1739</v>
      </c>
      <c r="C71" s="619">
        <f>SETUP!$F$38</f>
        <v>0</v>
      </c>
      <c r="D71" s="31">
        <v>4.2</v>
      </c>
      <c r="E71" s="32" t="s">
        <v>427</v>
      </c>
      <c r="F71" s="32" t="s">
        <v>1296</v>
      </c>
      <c r="G71" s="625" t="str">
        <f t="array" ref="G71">IFERROR(INDEX('TB-Pharmaceuticals'!$K$41:$K$60,MATCH($E71&amp;$F71,'TB-Pharmaceuticals'!$D$41:$D$60&amp;'TB-Pharmaceuticals'!$G$41:$G$60,0)),"")</f>
        <v/>
      </c>
      <c r="H71" s="625" t="str">
        <f t="array" ref="H71">IFERROR(INDEX('TB-Pharmaceuticals'!$L$41:$L$60,MATCH($E71&amp;$F71,'TB-Pharmaceuticals'!$D$41:$D$60&amp;'TB-Pharmaceuticals'!$G$41:$G$60,0)),"")</f>
        <v/>
      </c>
      <c r="I71" s="625">
        <f t="array" ref="I71">IFERROR(INDEX('TB-Pharmaceuticals'!$M$41:$M$60,MATCH($E71&amp;$F71,'TB-Pharmaceuticals'!$D$41:$D$60&amp;'TB-Pharmaceuticals'!$G$41:$G$60,0)),0)</f>
        <v>0</v>
      </c>
      <c r="J71" s="625">
        <f t="array" ref="J71">IFERROR(INDEX('TB-Pharmaceuticals'!$N$41:$N$60,MATCH($E71&amp;$F71,'TB-Pharmaceuticals'!$D$41:$D$60&amp;'TB-Pharmaceuticals'!$G$41:$G$60,0)),0)</f>
        <v>0</v>
      </c>
      <c r="K71" s="626">
        <f t="shared" si="36"/>
        <v>0</v>
      </c>
      <c r="L71" s="626">
        <f t="shared" si="37"/>
        <v>0</v>
      </c>
      <c r="M71" s="626">
        <f t="shared" si="38"/>
        <v>0</v>
      </c>
      <c r="N71" s="625">
        <f t="array" ref="N71">IFERROR(INDEX('TB-Pharmaceuticals'!$O$41:$O$60,MATCH($E71&amp;$F71,'TB-Pharmaceuticals'!$D$41:$D$60&amp;'TB-Pharmaceuticals'!$G$41:$G$60,0)),0)</f>
        <v>0</v>
      </c>
      <c r="O71" s="626">
        <f t="shared" si="39"/>
        <v>0</v>
      </c>
      <c r="P71" s="626">
        <f t="shared" si="40"/>
        <v>0</v>
      </c>
      <c r="Q71" s="626">
        <f t="shared" si="41"/>
        <v>0</v>
      </c>
      <c r="R71" s="625">
        <f t="array" ref="R71">IFERROR(INDEX('TB-Pharmaceuticals'!$P$41:$P$60,MATCH($E71&amp;$F71,'TB-Pharmaceuticals'!$D$41:$D$60&amp;'TB-Pharmaceuticals'!$G$41:$G$60,0)),0)</f>
        <v>0</v>
      </c>
      <c r="S71" s="626">
        <f t="shared" si="42"/>
        <v>0</v>
      </c>
      <c r="T71" s="626">
        <f t="shared" si="43"/>
        <v>0</v>
      </c>
      <c r="U71" s="626">
        <f t="shared" si="44"/>
        <v>0</v>
      </c>
      <c r="V71" s="625">
        <f t="array" ref="V71">IFERROR(INDEX('TB-Pharmaceuticals'!$Q$41:$Q$60,MATCH($E71&amp;$F71,'TB-Pharmaceuticals'!$D$41:$D$60&amp;'TB-Pharmaceuticals'!$G$41:$G$60,0)),0)</f>
        <v>0</v>
      </c>
      <c r="W71" s="626">
        <f t="shared" si="45"/>
        <v>0</v>
      </c>
      <c r="X71" s="626">
        <f t="shared" si="46"/>
        <v>0</v>
      </c>
      <c r="Y71" s="626">
        <f t="shared" si="47"/>
        <v>0</v>
      </c>
      <c r="Z71" s="627"/>
      <c r="AA71" s="625">
        <f t="array" ref="AA71">IFERROR(INDEX('TB-Pharmaceuticals'!$T$41:$T$60,MATCH($E71&amp;$F71,'TB-Pharmaceuticals'!$D$41:$D$60&amp;'TB-Pharmaceuticals'!$G$41:$G$60,0)),0)</f>
        <v>0</v>
      </c>
      <c r="AB71" s="625">
        <f t="array" ref="AB71">IFERROR(INDEX('TB-Pharmaceuticals'!$U$41:$U$60,MATCH($E71&amp;$F71,'TB-Pharmaceuticals'!$D$41:$D$60&amp;'TB-Pharmaceuticals'!$G$41:$G$60,0)),0)</f>
        <v>0</v>
      </c>
      <c r="AC71" s="626">
        <f t="shared" si="48"/>
        <v>0</v>
      </c>
      <c r="AD71" s="626">
        <f t="shared" si="49"/>
        <v>0</v>
      </c>
      <c r="AE71" s="626">
        <f t="shared" si="50"/>
        <v>0</v>
      </c>
      <c r="AF71" s="625">
        <f t="array" ref="AF71">IFERROR(INDEX('TB-Pharmaceuticals'!$V$41:$V$60,MATCH($E71&amp;$F71,'TB-Pharmaceuticals'!$D$41:$D$60&amp;'TB-Pharmaceuticals'!$G$41:$G$60,0)),0)</f>
        <v>0</v>
      </c>
      <c r="AG71" s="626">
        <f t="shared" si="51"/>
        <v>0</v>
      </c>
      <c r="AH71" s="626">
        <f t="shared" si="52"/>
        <v>0</v>
      </c>
      <c r="AI71" s="626">
        <f t="shared" si="53"/>
        <v>0</v>
      </c>
      <c r="AJ71" s="625">
        <f t="array" ref="AJ71">IFERROR(INDEX('TB-Pharmaceuticals'!$W$41:$W$60,MATCH($E71&amp;$F71,'TB-Pharmaceuticals'!$D$41:$D$60&amp;'TB-Pharmaceuticals'!$G$41:$G$60,0)),0)</f>
        <v>0</v>
      </c>
      <c r="AK71" s="626">
        <f t="shared" si="54"/>
        <v>0</v>
      </c>
      <c r="AL71" s="626">
        <f t="shared" si="55"/>
        <v>0</v>
      </c>
      <c r="AM71" s="626">
        <f t="shared" si="56"/>
        <v>0</v>
      </c>
      <c r="AN71" s="625">
        <f t="array" ref="AN71">IFERROR(INDEX('TB-Pharmaceuticals'!$X$41:$X$60,MATCH($E71&amp;$F71,'TB-Pharmaceuticals'!$D$41:$D$60&amp;'TB-Pharmaceuticals'!$G$41:$G$60,0)),0)</f>
        <v>0</v>
      </c>
      <c r="AO71" s="626">
        <f t="shared" si="57"/>
        <v>0</v>
      </c>
      <c r="AP71" s="626">
        <f t="shared" si="58"/>
        <v>0</v>
      </c>
      <c r="AQ71" s="626">
        <f t="shared" si="59"/>
        <v>0</v>
      </c>
      <c r="AR71" s="627"/>
      <c r="AS71" s="625">
        <f t="array" ref="AS71">IFERROR(INDEX('TB-Pharmaceuticals'!$AA$41:$AA$60,MATCH($E71&amp;$F71,'TB-Pharmaceuticals'!$D$41:$D$60&amp;'TB-Pharmaceuticals'!$G$41:$G$60,0)),0)</f>
        <v>0</v>
      </c>
      <c r="AT71" s="625">
        <f t="array" ref="AT71">IFERROR(INDEX('TB-Pharmaceuticals'!$AB$41:$AB$60,MATCH($E71&amp;$F71,'TB-Pharmaceuticals'!$D$41:$D$60&amp;'TB-Pharmaceuticals'!$G$41:$G$60,0)),0)</f>
        <v>0</v>
      </c>
      <c r="AU71" s="626">
        <f t="shared" si="60"/>
        <v>0</v>
      </c>
      <c r="AV71" s="626">
        <f t="shared" si="61"/>
        <v>0</v>
      </c>
      <c r="AW71" s="626">
        <f t="shared" si="62"/>
        <v>0</v>
      </c>
      <c r="AX71" s="625">
        <f t="array" ref="AX71">IFERROR(INDEX('TB-Pharmaceuticals'!$AC$41:$AC$60,MATCH($E71&amp;$F71,'TB-Pharmaceuticals'!$D$41:$D$60&amp;'TB-Pharmaceuticals'!$G$41:$G$60,0)),0)</f>
        <v>0</v>
      </c>
      <c r="AY71" s="626">
        <f t="shared" si="63"/>
        <v>0</v>
      </c>
      <c r="AZ71" s="626">
        <f t="shared" si="64"/>
        <v>0</v>
      </c>
      <c r="BA71" s="626">
        <f t="shared" si="65"/>
        <v>0</v>
      </c>
      <c r="BB71" s="625">
        <f t="array" ref="BB71">IFERROR(INDEX('TB-Pharmaceuticals'!$AD$41:$AD$60,MATCH($E71&amp;$F71,'TB-Pharmaceuticals'!$D$41:$D$60&amp;'TB-Pharmaceuticals'!$G$41:$G$60,0)),0)</f>
        <v>0</v>
      </c>
      <c r="BC71" s="626">
        <f t="shared" si="66"/>
        <v>0</v>
      </c>
      <c r="BD71" s="626">
        <f t="shared" si="67"/>
        <v>0</v>
      </c>
      <c r="BE71" s="626">
        <f t="shared" si="68"/>
        <v>0</v>
      </c>
      <c r="BF71" s="625">
        <f t="array" ref="BF71">IFERROR(INDEX('TB-Pharmaceuticals'!$AE$41:$AE$60,MATCH($E71&amp;$F71,'TB-Pharmaceuticals'!$D$41:$D$60&amp;'TB-Pharmaceuticals'!$G$41:$G$60,0)),0)</f>
        <v>0</v>
      </c>
      <c r="BG71" s="626">
        <f t="shared" si="69"/>
        <v>0</v>
      </c>
      <c r="BH71" s="626">
        <f t="shared" si="70"/>
        <v>0</v>
      </c>
      <c r="BI71" s="626">
        <f t="shared" si="71"/>
        <v>0</v>
      </c>
      <c r="BK71" s="626"/>
      <c r="BL71" s="626"/>
      <c r="BM71" s="626"/>
      <c r="BN71" s="626"/>
      <c r="BO71" s="626"/>
      <c r="BP71" s="626"/>
      <c r="BQ71" s="626"/>
      <c r="BR71" s="626"/>
    </row>
    <row r="72" spans="1:70">
      <c r="A72" s="32" t="s">
        <v>571</v>
      </c>
      <c r="B72" s="32" t="s">
        <v>1739</v>
      </c>
      <c r="C72" s="619">
        <f>SETUP!$F$38</f>
        <v>0</v>
      </c>
      <c r="D72" s="31">
        <v>4.2</v>
      </c>
      <c r="E72" s="32" t="s">
        <v>429</v>
      </c>
      <c r="F72" s="32" t="s">
        <v>443</v>
      </c>
      <c r="G72" s="625" t="str">
        <f t="array" ref="G72">IFERROR(INDEX('TB-Pharmaceuticals'!$K$41:$K$60,MATCH($E72&amp;$F72,'TB-Pharmaceuticals'!$D$41:$D$60&amp;'TB-Pharmaceuticals'!$G$41:$G$60,0)),"")</f>
        <v/>
      </c>
      <c r="H72" s="625" t="str">
        <f t="array" ref="H72">IFERROR(INDEX('TB-Pharmaceuticals'!$L$41:$L$60,MATCH($E72&amp;$F72,'TB-Pharmaceuticals'!$D$41:$D$60&amp;'TB-Pharmaceuticals'!$G$41:$G$60,0)),"")</f>
        <v/>
      </c>
      <c r="I72" s="625">
        <f t="array" ref="I72">IFERROR(INDEX('TB-Pharmaceuticals'!$M$41:$M$60,MATCH($E72&amp;$F72,'TB-Pharmaceuticals'!$D$41:$D$60&amp;'TB-Pharmaceuticals'!$G$41:$G$60,0)),0)</f>
        <v>0</v>
      </c>
      <c r="J72" s="625">
        <f t="array" ref="J72">IFERROR(INDEX('TB-Pharmaceuticals'!$N$41:$N$60,MATCH($E72&amp;$F72,'TB-Pharmaceuticals'!$D$41:$D$60&amp;'TB-Pharmaceuticals'!$G$41:$G$60,0)),0)</f>
        <v>0</v>
      </c>
      <c r="K72" s="626">
        <f t="shared" si="36"/>
        <v>0</v>
      </c>
      <c r="L72" s="626">
        <f t="shared" si="37"/>
        <v>0</v>
      </c>
      <c r="M72" s="626">
        <f t="shared" si="38"/>
        <v>0</v>
      </c>
      <c r="N72" s="625">
        <f t="array" ref="N72">IFERROR(INDEX('TB-Pharmaceuticals'!$O$41:$O$60,MATCH($E72&amp;$F72,'TB-Pharmaceuticals'!$D$41:$D$60&amp;'TB-Pharmaceuticals'!$G$41:$G$60,0)),0)</f>
        <v>0</v>
      </c>
      <c r="O72" s="626">
        <f t="shared" si="39"/>
        <v>0</v>
      </c>
      <c r="P72" s="626">
        <f t="shared" si="40"/>
        <v>0</v>
      </c>
      <c r="Q72" s="626">
        <f t="shared" si="41"/>
        <v>0</v>
      </c>
      <c r="R72" s="625">
        <f t="array" ref="R72">IFERROR(INDEX('TB-Pharmaceuticals'!$P$41:$P$60,MATCH($E72&amp;$F72,'TB-Pharmaceuticals'!$D$41:$D$60&amp;'TB-Pharmaceuticals'!$G$41:$G$60,0)),0)</f>
        <v>0</v>
      </c>
      <c r="S72" s="626">
        <f t="shared" si="42"/>
        <v>0</v>
      </c>
      <c r="T72" s="626">
        <f t="shared" si="43"/>
        <v>0</v>
      </c>
      <c r="U72" s="626">
        <f t="shared" si="44"/>
        <v>0</v>
      </c>
      <c r="V72" s="625">
        <f t="array" ref="V72">IFERROR(INDEX('TB-Pharmaceuticals'!$Q$41:$Q$60,MATCH($E72&amp;$F72,'TB-Pharmaceuticals'!$D$41:$D$60&amp;'TB-Pharmaceuticals'!$G$41:$G$60,0)),0)</f>
        <v>0</v>
      </c>
      <c r="W72" s="626">
        <f t="shared" si="45"/>
        <v>0</v>
      </c>
      <c r="X72" s="626">
        <f t="shared" si="46"/>
        <v>0</v>
      </c>
      <c r="Y72" s="626">
        <f t="shared" si="47"/>
        <v>0</v>
      </c>
      <c r="Z72" s="627"/>
      <c r="AA72" s="625">
        <f t="array" ref="AA72">IFERROR(INDEX('TB-Pharmaceuticals'!$T$41:$T$60,MATCH($E72&amp;$F72,'TB-Pharmaceuticals'!$D$41:$D$60&amp;'TB-Pharmaceuticals'!$G$41:$G$60,0)),0)</f>
        <v>0</v>
      </c>
      <c r="AB72" s="625">
        <f t="array" ref="AB72">IFERROR(INDEX('TB-Pharmaceuticals'!$U$41:$U$60,MATCH($E72&amp;$F72,'TB-Pharmaceuticals'!$D$41:$D$60&amp;'TB-Pharmaceuticals'!$G$41:$G$60,0)),0)</f>
        <v>0</v>
      </c>
      <c r="AC72" s="626">
        <f t="shared" si="48"/>
        <v>0</v>
      </c>
      <c r="AD72" s="626">
        <f t="shared" si="49"/>
        <v>0</v>
      </c>
      <c r="AE72" s="626">
        <f t="shared" si="50"/>
        <v>0</v>
      </c>
      <c r="AF72" s="625">
        <f t="array" ref="AF72">IFERROR(INDEX('TB-Pharmaceuticals'!$V$41:$V$60,MATCH($E72&amp;$F72,'TB-Pharmaceuticals'!$D$41:$D$60&amp;'TB-Pharmaceuticals'!$G$41:$G$60,0)),0)</f>
        <v>0</v>
      </c>
      <c r="AG72" s="626">
        <f t="shared" si="51"/>
        <v>0</v>
      </c>
      <c r="AH72" s="626">
        <f t="shared" si="52"/>
        <v>0</v>
      </c>
      <c r="AI72" s="626">
        <f t="shared" si="53"/>
        <v>0</v>
      </c>
      <c r="AJ72" s="625">
        <f t="array" ref="AJ72">IFERROR(INDEX('TB-Pharmaceuticals'!$W$41:$W$60,MATCH($E72&amp;$F72,'TB-Pharmaceuticals'!$D$41:$D$60&amp;'TB-Pharmaceuticals'!$G$41:$G$60,0)),0)</f>
        <v>0</v>
      </c>
      <c r="AK72" s="626">
        <f t="shared" si="54"/>
        <v>0</v>
      </c>
      <c r="AL72" s="626">
        <f t="shared" si="55"/>
        <v>0</v>
      </c>
      <c r="AM72" s="626">
        <f t="shared" si="56"/>
        <v>0</v>
      </c>
      <c r="AN72" s="625">
        <f t="array" ref="AN72">IFERROR(INDEX('TB-Pharmaceuticals'!$X$41:$X$60,MATCH($E72&amp;$F72,'TB-Pharmaceuticals'!$D$41:$D$60&amp;'TB-Pharmaceuticals'!$G$41:$G$60,0)),0)</f>
        <v>0</v>
      </c>
      <c r="AO72" s="626">
        <f t="shared" si="57"/>
        <v>0</v>
      </c>
      <c r="AP72" s="626">
        <f t="shared" si="58"/>
        <v>0</v>
      </c>
      <c r="AQ72" s="626">
        <f t="shared" si="59"/>
        <v>0</v>
      </c>
      <c r="AR72" s="627"/>
      <c r="AS72" s="625">
        <f t="array" ref="AS72">IFERROR(INDEX('TB-Pharmaceuticals'!$AA$41:$AA$60,MATCH($E72&amp;$F72,'TB-Pharmaceuticals'!$D$41:$D$60&amp;'TB-Pharmaceuticals'!$G$41:$G$60,0)),0)</f>
        <v>0</v>
      </c>
      <c r="AT72" s="625">
        <f t="array" ref="AT72">IFERROR(INDEX('TB-Pharmaceuticals'!$AB$41:$AB$60,MATCH($E72&amp;$F72,'TB-Pharmaceuticals'!$D$41:$D$60&amp;'TB-Pharmaceuticals'!$G$41:$G$60,0)),0)</f>
        <v>0</v>
      </c>
      <c r="AU72" s="626">
        <f t="shared" si="60"/>
        <v>0</v>
      </c>
      <c r="AV72" s="626">
        <f t="shared" si="61"/>
        <v>0</v>
      </c>
      <c r="AW72" s="626">
        <f t="shared" si="62"/>
        <v>0</v>
      </c>
      <c r="AX72" s="625">
        <f t="array" ref="AX72">IFERROR(INDEX('TB-Pharmaceuticals'!$AC$41:$AC$60,MATCH($E72&amp;$F72,'TB-Pharmaceuticals'!$D$41:$D$60&amp;'TB-Pharmaceuticals'!$G$41:$G$60,0)),0)</f>
        <v>0</v>
      </c>
      <c r="AY72" s="626">
        <f t="shared" si="63"/>
        <v>0</v>
      </c>
      <c r="AZ72" s="626">
        <f t="shared" si="64"/>
        <v>0</v>
      </c>
      <c r="BA72" s="626">
        <f t="shared" si="65"/>
        <v>0</v>
      </c>
      <c r="BB72" s="625">
        <f t="array" ref="BB72">IFERROR(INDEX('TB-Pharmaceuticals'!$AD$41:$AD$60,MATCH($E72&amp;$F72,'TB-Pharmaceuticals'!$D$41:$D$60&amp;'TB-Pharmaceuticals'!$G$41:$G$60,0)),0)</f>
        <v>0</v>
      </c>
      <c r="BC72" s="626">
        <f t="shared" si="66"/>
        <v>0</v>
      </c>
      <c r="BD72" s="626">
        <f t="shared" si="67"/>
        <v>0</v>
      </c>
      <c r="BE72" s="626">
        <f t="shared" si="68"/>
        <v>0</v>
      </c>
      <c r="BF72" s="625">
        <f t="array" ref="BF72">IFERROR(INDEX('TB-Pharmaceuticals'!$AE$41:$AE$60,MATCH($E72&amp;$F72,'TB-Pharmaceuticals'!$D$41:$D$60&amp;'TB-Pharmaceuticals'!$G$41:$G$60,0)),0)</f>
        <v>0</v>
      </c>
      <c r="BG72" s="626">
        <f t="shared" si="69"/>
        <v>0</v>
      </c>
      <c r="BH72" s="626">
        <f t="shared" si="70"/>
        <v>0</v>
      </c>
      <c r="BI72" s="626">
        <f t="shared" si="71"/>
        <v>0</v>
      </c>
      <c r="BK72" s="626"/>
      <c r="BL72" s="626"/>
      <c r="BM72" s="626"/>
      <c r="BN72" s="626"/>
      <c r="BO72" s="626"/>
      <c r="BP72" s="626"/>
      <c r="BQ72" s="626"/>
      <c r="BR72" s="626"/>
    </row>
    <row r="73" spans="1:70">
      <c r="A73" s="32" t="s">
        <v>571</v>
      </c>
      <c r="B73" s="32" t="s">
        <v>1739</v>
      </c>
      <c r="C73" s="619">
        <f>SETUP!$F$38</f>
        <v>0</v>
      </c>
      <c r="D73" s="31">
        <v>4.2</v>
      </c>
      <c r="E73" s="32" t="s">
        <v>429</v>
      </c>
      <c r="F73" s="32" t="s">
        <v>444</v>
      </c>
      <c r="G73" s="625" t="str">
        <f t="array" ref="G73">IFERROR(INDEX('TB-Pharmaceuticals'!$K$41:$K$60,MATCH($E73&amp;$F73,'TB-Pharmaceuticals'!$D$41:$D$60&amp;'TB-Pharmaceuticals'!$G$41:$G$60,0)),"")</f>
        <v/>
      </c>
      <c r="H73" s="625" t="str">
        <f t="array" ref="H73">IFERROR(INDEX('TB-Pharmaceuticals'!$L$41:$L$60,MATCH($E73&amp;$F73,'TB-Pharmaceuticals'!$D$41:$D$60&amp;'TB-Pharmaceuticals'!$G$41:$G$60,0)),"")</f>
        <v/>
      </c>
      <c r="I73" s="625">
        <f t="array" ref="I73">IFERROR(INDEX('TB-Pharmaceuticals'!$M$41:$M$60,MATCH($E73&amp;$F73,'TB-Pharmaceuticals'!$D$41:$D$60&amp;'TB-Pharmaceuticals'!$G$41:$G$60,0)),0)</f>
        <v>0</v>
      </c>
      <c r="J73" s="625">
        <f t="array" ref="J73">IFERROR(INDEX('TB-Pharmaceuticals'!$N$41:$N$60,MATCH($E73&amp;$F73,'TB-Pharmaceuticals'!$D$41:$D$60&amp;'TB-Pharmaceuticals'!$G$41:$G$60,0)),0)</f>
        <v>0</v>
      </c>
      <c r="K73" s="626">
        <f t="shared" si="36"/>
        <v>0</v>
      </c>
      <c r="L73" s="626">
        <f t="shared" si="37"/>
        <v>0</v>
      </c>
      <c r="M73" s="626">
        <f t="shared" si="38"/>
        <v>0</v>
      </c>
      <c r="N73" s="625">
        <f t="array" ref="N73">IFERROR(INDEX('TB-Pharmaceuticals'!$O$41:$O$60,MATCH($E73&amp;$F73,'TB-Pharmaceuticals'!$D$41:$D$60&amp;'TB-Pharmaceuticals'!$G$41:$G$60,0)),0)</f>
        <v>0</v>
      </c>
      <c r="O73" s="626">
        <f t="shared" si="39"/>
        <v>0</v>
      </c>
      <c r="P73" s="626">
        <f t="shared" si="40"/>
        <v>0</v>
      </c>
      <c r="Q73" s="626">
        <f t="shared" si="41"/>
        <v>0</v>
      </c>
      <c r="R73" s="625">
        <f t="array" ref="R73">IFERROR(INDEX('TB-Pharmaceuticals'!$P$41:$P$60,MATCH($E73&amp;$F73,'TB-Pharmaceuticals'!$D$41:$D$60&amp;'TB-Pharmaceuticals'!$G$41:$G$60,0)),0)</f>
        <v>0</v>
      </c>
      <c r="S73" s="626">
        <f t="shared" si="42"/>
        <v>0</v>
      </c>
      <c r="T73" s="626">
        <f t="shared" si="43"/>
        <v>0</v>
      </c>
      <c r="U73" s="626">
        <f t="shared" si="44"/>
        <v>0</v>
      </c>
      <c r="V73" s="625">
        <f t="array" ref="V73">IFERROR(INDEX('TB-Pharmaceuticals'!$Q$41:$Q$60,MATCH($E73&amp;$F73,'TB-Pharmaceuticals'!$D$41:$D$60&amp;'TB-Pharmaceuticals'!$G$41:$G$60,0)),0)</f>
        <v>0</v>
      </c>
      <c r="W73" s="626">
        <f t="shared" si="45"/>
        <v>0</v>
      </c>
      <c r="X73" s="626">
        <f t="shared" si="46"/>
        <v>0</v>
      </c>
      <c r="Y73" s="626">
        <f t="shared" si="47"/>
        <v>0</v>
      </c>
      <c r="Z73" s="627"/>
      <c r="AA73" s="625">
        <f t="array" ref="AA73">IFERROR(INDEX('TB-Pharmaceuticals'!$T$41:$T$60,MATCH($E73&amp;$F73,'TB-Pharmaceuticals'!$D$41:$D$60&amp;'TB-Pharmaceuticals'!$G$41:$G$60,0)),0)</f>
        <v>0</v>
      </c>
      <c r="AB73" s="625">
        <f t="array" ref="AB73">IFERROR(INDEX('TB-Pharmaceuticals'!$U$41:$U$60,MATCH($E73&amp;$F73,'TB-Pharmaceuticals'!$D$41:$D$60&amp;'TB-Pharmaceuticals'!$G$41:$G$60,0)),0)</f>
        <v>0</v>
      </c>
      <c r="AC73" s="626">
        <f t="shared" si="48"/>
        <v>0</v>
      </c>
      <c r="AD73" s="626">
        <f t="shared" si="49"/>
        <v>0</v>
      </c>
      <c r="AE73" s="626">
        <f t="shared" si="50"/>
        <v>0</v>
      </c>
      <c r="AF73" s="625">
        <f t="array" ref="AF73">IFERROR(INDEX('TB-Pharmaceuticals'!$V$41:$V$60,MATCH($E73&amp;$F73,'TB-Pharmaceuticals'!$D$41:$D$60&amp;'TB-Pharmaceuticals'!$G$41:$G$60,0)),0)</f>
        <v>0</v>
      </c>
      <c r="AG73" s="626">
        <f t="shared" si="51"/>
        <v>0</v>
      </c>
      <c r="AH73" s="626">
        <f t="shared" si="52"/>
        <v>0</v>
      </c>
      <c r="AI73" s="626">
        <f t="shared" si="53"/>
        <v>0</v>
      </c>
      <c r="AJ73" s="625">
        <f t="array" ref="AJ73">IFERROR(INDEX('TB-Pharmaceuticals'!$W$41:$W$60,MATCH($E73&amp;$F73,'TB-Pharmaceuticals'!$D$41:$D$60&amp;'TB-Pharmaceuticals'!$G$41:$G$60,0)),0)</f>
        <v>0</v>
      </c>
      <c r="AK73" s="626">
        <f t="shared" si="54"/>
        <v>0</v>
      </c>
      <c r="AL73" s="626">
        <f t="shared" si="55"/>
        <v>0</v>
      </c>
      <c r="AM73" s="626">
        <f t="shared" si="56"/>
        <v>0</v>
      </c>
      <c r="AN73" s="625">
        <f t="array" ref="AN73">IFERROR(INDEX('TB-Pharmaceuticals'!$X$41:$X$60,MATCH($E73&amp;$F73,'TB-Pharmaceuticals'!$D$41:$D$60&amp;'TB-Pharmaceuticals'!$G$41:$G$60,0)),0)</f>
        <v>0</v>
      </c>
      <c r="AO73" s="626">
        <f t="shared" si="57"/>
        <v>0</v>
      </c>
      <c r="AP73" s="626">
        <f t="shared" si="58"/>
        <v>0</v>
      </c>
      <c r="AQ73" s="626">
        <f t="shared" si="59"/>
        <v>0</v>
      </c>
      <c r="AR73" s="627"/>
      <c r="AS73" s="625">
        <f t="array" ref="AS73">IFERROR(INDEX('TB-Pharmaceuticals'!$AA$41:$AA$60,MATCH($E73&amp;$F73,'TB-Pharmaceuticals'!$D$41:$D$60&amp;'TB-Pharmaceuticals'!$G$41:$G$60,0)),0)</f>
        <v>0</v>
      </c>
      <c r="AT73" s="625">
        <f t="array" ref="AT73">IFERROR(INDEX('TB-Pharmaceuticals'!$AB$41:$AB$60,MATCH($E73&amp;$F73,'TB-Pharmaceuticals'!$D$41:$D$60&amp;'TB-Pharmaceuticals'!$G$41:$G$60,0)),0)</f>
        <v>0</v>
      </c>
      <c r="AU73" s="626">
        <f t="shared" si="60"/>
        <v>0</v>
      </c>
      <c r="AV73" s="626">
        <f t="shared" si="61"/>
        <v>0</v>
      </c>
      <c r="AW73" s="626">
        <f t="shared" si="62"/>
        <v>0</v>
      </c>
      <c r="AX73" s="625">
        <f t="array" ref="AX73">IFERROR(INDEX('TB-Pharmaceuticals'!$AC$41:$AC$60,MATCH($E73&amp;$F73,'TB-Pharmaceuticals'!$D$41:$D$60&amp;'TB-Pharmaceuticals'!$G$41:$G$60,0)),0)</f>
        <v>0</v>
      </c>
      <c r="AY73" s="626">
        <f t="shared" si="63"/>
        <v>0</v>
      </c>
      <c r="AZ73" s="626">
        <f t="shared" si="64"/>
        <v>0</v>
      </c>
      <c r="BA73" s="626">
        <f t="shared" si="65"/>
        <v>0</v>
      </c>
      <c r="BB73" s="625">
        <f t="array" ref="BB73">IFERROR(INDEX('TB-Pharmaceuticals'!$AD$41:$AD$60,MATCH($E73&amp;$F73,'TB-Pharmaceuticals'!$D$41:$D$60&amp;'TB-Pharmaceuticals'!$G$41:$G$60,0)),0)</f>
        <v>0</v>
      </c>
      <c r="BC73" s="626">
        <f t="shared" si="66"/>
        <v>0</v>
      </c>
      <c r="BD73" s="626">
        <f t="shared" si="67"/>
        <v>0</v>
      </c>
      <c r="BE73" s="626">
        <f t="shared" si="68"/>
        <v>0</v>
      </c>
      <c r="BF73" s="625">
        <f t="array" ref="BF73">IFERROR(INDEX('TB-Pharmaceuticals'!$AE$41:$AE$60,MATCH($E73&amp;$F73,'TB-Pharmaceuticals'!$D$41:$D$60&amp;'TB-Pharmaceuticals'!$G$41:$G$60,0)),0)</f>
        <v>0</v>
      </c>
      <c r="BG73" s="626">
        <f t="shared" si="69"/>
        <v>0</v>
      </c>
      <c r="BH73" s="626">
        <f t="shared" si="70"/>
        <v>0</v>
      </c>
      <c r="BI73" s="626">
        <f t="shared" si="71"/>
        <v>0</v>
      </c>
      <c r="BK73" s="626"/>
      <c r="BL73" s="626"/>
      <c r="BM73" s="626"/>
      <c r="BN73" s="626"/>
      <c r="BO73" s="626"/>
      <c r="BP73" s="626"/>
      <c r="BQ73" s="626"/>
      <c r="BR73" s="626"/>
    </row>
    <row r="74" spans="1:70">
      <c r="A74" s="32" t="s">
        <v>571</v>
      </c>
      <c r="B74" s="32" t="s">
        <v>1739</v>
      </c>
      <c r="C74" s="619">
        <f>SETUP!$F$38</f>
        <v>0</v>
      </c>
      <c r="D74" s="31">
        <v>4.2</v>
      </c>
      <c r="E74" s="32" t="s">
        <v>430</v>
      </c>
      <c r="F74" s="32" t="s">
        <v>453</v>
      </c>
      <c r="G74" s="625" t="str">
        <f t="array" ref="G74">IFERROR(INDEX('TB-Pharmaceuticals'!$K$41:$K$60,MATCH($E74&amp;$F74,'TB-Pharmaceuticals'!$D$41:$D$60&amp;'TB-Pharmaceuticals'!$G$41:$G$60,0)),"")</f>
        <v/>
      </c>
      <c r="H74" s="625" t="str">
        <f t="array" ref="H74">IFERROR(INDEX('TB-Pharmaceuticals'!$L$41:$L$60,MATCH($E74&amp;$F74,'TB-Pharmaceuticals'!$D$41:$D$60&amp;'TB-Pharmaceuticals'!$G$41:$G$60,0)),"")</f>
        <v/>
      </c>
      <c r="I74" s="625">
        <f t="array" ref="I74">IFERROR(INDEX('TB-Pharmaceuticals'!$M$41:$M$60,MATCH($E74&amp;$F74,'TB-Pharmaceuticals'!$D$41:$D$60&amp;'TB-Pharmaceuticals'!$G$41:$G$60,0)),0)</f>
        <v>0</v>
      </c>
      <c r="J74" s="625">
        <f t="array" ref="J74">IFERROR(INDEX('TB-Pharmaceuticals'!$N$41:$N$60,MATCH($E74&amp;$F74,'TB-Pharmaceuticals'!$D$41:$D$60&amp;'TB-Pharmaceuticals'!$G$41:$G$60,0)),0)</f>
        <v>0</v>
      </c>
      <c r="K74" s="626">
        <f t="shared" si="36"/>
        <v>0</v>
      </c>
      <c r="L74" s="626">
        <f t="shared" si="37"/>
        <v>0</v>
      </c>
      <c r="M74" s="626">
        <f t="shared" si="38"/>
        <v>0</v>
      </c>
      <c r="N74" s="625">
        <f t="array" ref="N74">IFERROR(INDEX('TB-Pharmaceuticals'!$O$41:$O$60,MATCH($E74&amp;$F74,'TB-Pharmaceuticals'!$D$41:$D$60&amp;'TB-Pharmaceuticals'!$G$41:$G$60,0)),0)</f>
        <v>0</v>
      </c>
      <c r="O74" s="626">
        <f t="shared" si="39"/>
        <v>0</v>
      </c>
      <c r="P74" s="626">
        <f t="shared" si="40"/>
        <v>0</v>
      </c>
      <c r="Q74" s="626">
        <f t="shared" si="41"/>
        <v>0</v>
      </c>
      <c r="R74" s="625">
        <f t="array" ref="R74">IFERROR(INDEX('TB-Pharmaceuticals'!$P$41:$P$60,MATCH($E74&amp;$F74,'TB-Pharmaceuticals'!$D$41:$D$60&amp;'TB-Pharmaceuticals'!$G$41:$G$60,0)),0)</f>
        <v>0</v>
      </c>
      <c r="S74" s="626">
        <f t="shared" si="42"/>
        <v>0</v>
      </c>
      <c r="T74" s="626">
        <f t="shared" si="43"/>
        <v>0</v>
      </c>
      <c r="U74" s="626">
        <f t="shared" si="44"/>
        <v>0</v>
      </c>
      <c r="V74" s="625">
        <f t="array" ref="V74">IFERROR(INDEX('TB-Pharmaceuticals'!$Q$41:$Q$60,MATCH($E74&amp;$F74,'TB-Pharmaceuticals'!$D$41:$D$60&amp;'TB-Pharmaceuticals'!$G$41:$G$60,0)),0)</f>
        <v>0</v>
      </c>
      <c r="W74" s="626">
        <f t="shared" si="45"/>
        <v>0</v>
      </c>
      <c r="X74" s="626">
        <f t="shared" si="46"/>
        <v>0</v>
      </c>
      <c r="Y74" s="626">
        <f t="shared" si="47"/>
        <v>0</v>
      </c>
      <c r="Z74" s="627"/>
      <c r="AA74" s="625">
        <f t="array" ref="AA74">IFERROR(INDEX('TB-Pharmaceuticals'!$T$41:$T$60,MATCH($E74&amp;$F74,'TB-Pharmaceuticals'!$D$41:$D$60&amp;'TB-Pharmaceuticals'!$G$41:$G$60,0)),0)</f>
        <v>0</v>
      </c>
      <c r="AB74" s="625">
        <f t="array" ref="AB74">IFERROR(INDEX('TB-Pharmaceuticals'!$U$41:$U$60,MATCH($E74&amp;$F74,'TB-Pharmaceuticals'!$D$41:$D$60&amp;'TB-Pharmaceuticals'!$G$41:$G$60,0)),0)</f>
        <v>0</v>
      </c>
      <c r="AC74" s="626">
        <f t="shared" si="48"/>
        <v>0</v>
      </c>
      <c r="AD74" s="626">
        <f t="shared" si="49"/>
        <v>0</v>
      </c>
      <c r="AE74" s="626">
        <f t="shared" si="50"/>
        <v>0</v>
      </c>
      <c r="AF74" s="625">
        <f t="array" ref="AF74">IFERROR(INDEX('TB-Pharmaceuticals'!$V$41:$V$60,MATCH($E74&amp;$F74,'TB-Pharmaceuticals'!$D$41:$D$60&amp;'TB-Pharmaceuticals'!$G$41:$G$60,0)),0)</f>
        <v>0</v>
      </c>
      <c r="AG74" s="626">
        <f t="shared" si="51"/>
        <v>0</v>
      </c>
      <c r="AH74" s="626">
        <f t="shared" si="52"/>
        <v>0</v>
      </c>
      <c r="AI74" s="626">
        <f t="shared" si="53"/>
        <v>0</v>
      </c>
      <c r="AJ74" s="625">
        <f t="array" ref="AJ74">IFERROR(INDEX('TB-Pharmaceuticals'!$W$41:$W$60,MATCH($E74&amp;$F74,'TB-Pharmaceuticals'!$D$41:$D$60&amp;'TB-Pharmaceuticals'!$G$41:$G$60,0)),0)</f>
        <v>0</v>
      </c>
      <c r="AK74" s="626">
        <f t="shared" si="54"/>
        <v>0</v>
      </c>
      <c r="AL74" s="626">
        <f t="shared" si="55"/>
        <v>0</v>
      </c>
      <c r="AM74" s="626">
        <f t="shared" si="56"/>
        <v>0</v>
      </c>
      <c r="AN74" s="625">
        <f t="array" ref="AN74">IFERROR(INDEX('TB-Pharmaceuticals'!$X$41:$X$60,MATCH($E74&amp;$F74,'TB-Pharmaceuticals'!$D$41:$D$60&amp;'TB-Pharmaceuticals'!$G$41:$G$60,0)),0)</f>
        <v>0</v>
      </c>
      <c r="AO74" s="626">
        <f t="shared" si="57"/>
        <v>0</v>
      </c>
      <c r="AP74" s="626">
        <f t="shared" si="58"/>
        <v>0</v>
      </c>
      <c r="AQ74" s="626">
        <f t="shared" si="59"/>
        <v>0</v>
      </c>
      <c r="AR74" s="627"/>
      <c r="AS74" s="625">
        <f t="array" ref="AS74">IFERROR(INDEX('TB-Pharmaceuticals'!$AA$41:$AA$60,MATCH($E74&amp;$F74,'TB-Pharmaceuticals'!$D$41:$D$60&amp;'TB-Pharmaceuticals'!$G$41:$G$60,0)),0)</f>
        <v>0</v>
      </c>
      <c r="AT74" s="625">
        <f t="array" ref="AT74">IFERROR(INDEX('TB-Pharmaceuticals'!$AB$41:$AB$60,MATCH($E74&amp;$F74,'TB-Pharmaceuticals'!$D$41:$D$60&amp;'TB-Pharmaceuticals'!$G$41:$G$60,0)),0)</f>
        <v>0</v>
      </c>
      <c r="AU74" s="626">
        <f t="shared" si="60"/>
        <v>0</v>
      </c>
      <c r="AV74" s="626">
        <f t="shared" si="61"/>
        <v>0</v>
      </c>
      <c r="AW74" s="626">
        <f t="shared" si="62"/>
        <v>0</v>
      </c>
      <c r="AX74" s="625">
        <f t="array" ref="AX74">IFERROR(INDEX('TB-Pharmaceuticals'!$AC$41:$AC$60,MATCH($E74&amp;$F74,'TB-Pharmaceuticals'!$D$41:$D$60&amp;'TB-Pharmaceuticals'!$G$41:$G$60,0)),0)</f>
        <v>0</v>
      </c>
      <c r="AY74" s="626">
        <f t="shared" si="63"/>
        <v>0</v>
      </c>
      <c r="AZ74" s="626">
        <f t="shared" si="64"/>
        <v>0</v>
      </c>
      <c r="BA74" s="626">
        <f t="shared" si="65"/>
        <v>0</v>
      </c>
      <c r="BB74" s="625">
        <f t="array" ref="BB74">IFERROR(INDEX('TB-Pharmaceuticals'!$AD$41:$AD$60,MATCH($E74&amp;$F74,'TB-Pharmaceuticals'!$D$41:$D$60&amp;'TB-Pharmaceuticals'!$G$41:$G$60,0)),0)</f>
        <v>0</v>
      </c>
      <c r="BC74" s="626">
        <f t="shared" si="66"/>
        <v>0</v>
      </c>
      <c r="BD74" s="626">
        <f t="shared" si="67"/>
        <v>0</v>
      </c>
      <c r="BE74" s="626">
        <f t="shared" si="68"/>
        <v>0</v>
      </c>
      <c r="BF74" s="625">
        <f t="array" ref="BF74">IFERROR(INDEX('TB-Pharmaceuticals'!$AE$41:$AE$60,MATCH($E74&amp;$F74,'TB-Pharmaceuticals'!$D$41:$D$60&amp;'TB-Pharmaceuticals'!$G$41:$G$60,0)),0)</f>
        <v>0</v>
      </c>
      <c r="BG74" s="626">
        <f t="shared" si="69"/>
        <v>0</v>
      </c>
      <c r="BH74" s="626">
        <f t="shared" si="70"/>
        <v>0</v>
      </c>
      <c r="BI74" s="626">
        <f t="shared" si="71"/>
        <v>0</v>
      </c>
      <c r="BK74" s="626"/>
      <c r="BL74" s="626"/>
      <c r="BM74" s="626"/>
      <c r="BN74" s="626"/>
      <c r="BO74" s="626"/>
      <c r="BP74" s="626"/>
      <c r="BQ74" s="626"/>
      <c r="BR74" s="626"/>
    </row>
    <row r="75" spans="1:70">
      <c r="A75" s="32" t="s">
        <v>571</v>
      </c>
      <c r="B75" s="32" t="s">
        <v>1739</v>
      </c>
      <c r="C75" s="619">
        <f>SETUP!$F$38</f>
        <v>0</v>
      </c>
      <c r="D75" s="31">
        <v>4.2</v>
      </c>
      <c r="E75" s="32" t="s">
        <v>430</v>
      </c>
      <c r="F75" s="32" t="s">
        <v>1297</v>
      </c>
      <c r="G75" s="625" t="str">
        <f t="array" ref="G75">IFERROR(INDEX('TB-Pharmaceuticals'!$K$41:$K$60,MATCH($E75&amp;$F75,'TB-Pharmaceuticals'!$D$41:$D$60&amp;'TB-Pharmaceuticals'!$G$41:$G$60,0)),"")</f>
        <v/>
      </c>
      <c r="H75" s="625" t="str">
        <f t="array" ref="H75">IFERROR(INDEX('TB-Pharmaceuticals'!$L$41:$L$60,MATCH($E75&amp;$F75,'TB-Pharmaceuticals'!$D$41:$D$60&amp;'TB-Pharmaceuticals'!$G$41:$G$60,0)),"")</f>
        <v/>
      </c>
      <c r="I75" s="625">
        <f t="array" ref="I75">IFERROR(INDEX('TB-Pharmaceuticals'!$M$41:$M$60,MATCH($E75&amp;$F75,'TB-Pharmaceuticals'!$D$41:$D$60&amp;'TB-Pharmaceuticals'!$G$41:$G$60,0)),0)</f>
        <v>0</v>
      </c>
      <c r="J75" s="625">
        <f t="array" ref="J75">IFERROR(INDEX('TB-Pharmaceuticals'!$N$41:$N$60,MATCH($E75&amp;$F75,'TB-Pharmaceuticals'!$D$41:$D$60&amp;'TB-Pharmaceuticals'!$G$41:$G$60,0)),0)</f>
        <v>0</v>
      </c>
      <c r="K75" s="626">
        <f t="shared" si="36"/>
        <v>0</v>
      </c>
      <c r="L75" s="626">
        <f t="shared" si="37"/>
        <v>0</v>
      </c>
      <c r="M75" s="626">
        <f t="shared" si="38"/>
        <v>0</v>
      </c>
      <c r="N75" s="625">
        <f t="array" ref="N75">IFERROR(INDEX('TB-Pharmaceuticals'!$O$41:$O$60,MATCH($E75&amp;$F75,'TB-Pharmaceuticals'!$D$41:$D$60&amp;'TB-Pharmaceuticals'!$G$41:$G$60,0)),0)</f>
        <v>0</v>
      </c>
      <c r="O75" s="626">
        <f t="shared" si="39"/>
        <v>0</v>
      </c>
      <c r="P75" s="626">
        <f t="shared" si="40"/>
        <v>0</v>
      </c>
      <c r="Q75" s="626">
        <f t="shared" si="41"/>
        <v>0</v>
      </c>
      <c r="R75" s="625">
        <f t="array" ref="R75">IFERROR(INDEX('TB-Pharmaceuticals'!$P$41:$P$60,MATCH($E75&amp;$F75,'TB-Pharmaceuticals'!$D$41:$D$60&amp;'TB-Pharmaceuticals'!$G$41:$G$60,0)),0)</f>
        <v>0</v>
      </c>
      <c r="S75" s="626">
        <f t="shared" si="42"/>
        <v>0</v>
      </c>
      <c r="T75" s="626">
        <f t="shared" si="43"/>
        <v>0</v>
      </c>
      <c r="U75" s="626">
        <f t="shared" si="44"/>
        <v>0</v>
      </c>
      <c r="V75" s="625">
        <f t="array" ref="V75">IFERROR(INDEX('TB-Pharmaceuticals'!$Q$41:$Q$60,MATCH($E75&amp;$F75,'TB-Pharmaceuticals'!$D$41:$D$60&amp;'TB-Pharmaceuticals'!$G$41:$G$60,0)),0)</f>
        <v>0</v>
      </c>
      <c r="W75" s="626">
        <f t="shared" si="45"/>
        <v>0</v>
      </c>
      <c r="X75" s="626">
        <f t="shared" si="46"/>
        <v>0</v>
      </c>
      <c r="Y75" s="626">
        <f t="shared" si="47"/>
        <v>0</v>
      </c>
      <c r="Z75" s="627"/>
      <c r="AA75" s="625">
        <f t="array" ref="AA75">IFERROR(INDEX('TB-Pharmaceuticals'!$T$41:$T$60,MATCH($E75&amp;$F75,'TB-Pharmaceuticals'!$D$41:$D$60&amp;'TB-Pharmaceuticals'!$G$41:$G$60,0)),0)</f>
        <v>0</v>
      </c>
      <c r="AB75" s="625">
        <f t="array" ref="AB75">IFERROR(INDEX('TB-Pharmaceuticals'!$U$41:$U$60,MATCH($E75&amp;$F75,'TB-Pharmaceuticals'!$D$41:$D$60&amp;'TB-Pharmaceuticals'!$G$41:$G$60,0)),0)</f>
        <v>0</v>
      </c>
      <c r="AC75" s="626">
        <f t="shared" si="48"/>
        <v>0</v>
      </c>
      <c r="AD75" s="626">
        <f t="shared" si="49"/>
        <v>0</v>
      </c>
      <c r="AE75" s="626">
        <f t="shared" si="50"/>
        <v>0</v>
      </c>
      <c r="AF75" s="625">
        <f t="array" ref="AF75">IFERROR(INDEX('TB-Pharmaceuticals'!$V$41:$V$60,MATCH($E75&amp;$F75,'TB-Pharmaceuticals'!$D$41:$D$60&amp;'TB-Pharmaceuticals'!$G$41:$G$60,0)),0)</f>
        <v>0</v>
      </c>
      <c r="AG75" s="626">
        <f t="shared" si="51"/>
        <v>0</v>
      </c>
      <c r="AH75" s="626">
        <f t="shared" si="52"/>
        <v>0</v>
      </c>
      <c r="AI75" s="626">
        <f t="shared" si="53"/>
        <v>0</v>
      </c>
      <c r="AJ75" s="625">
        <f t="array" ref="AJ75">IFERROR(INDEX('TB-Pharmaceuticals'!$W$41:$W$60,MATCH($E75&amp;$F75,'TB-Pharmaceuticals'!$D$41:$D$60&amp;'TB-Pharmaceuticals'!$G$41:$G$60,0)),0)</f>
        <v>0</v>
      </c>
      <c r="AK75" s="626">
        <f t="shared" si="54"/>
        <v>0</v>
      </c>
      <c r="AL75" s="626">
        <f t="shared" si="55"/>
        <v>0</v>
      </c>
      <c r="AM75" s="626">
        <f t="shared" si="56"/>
        <v>0</v>
      </c>
      <c r="AN75" s="625">
        <f t="array" ref="AN75">IFERROR(INDEX('TB-Pharmaceuticals'!$X$41:$X$60,MATCH($E75&amp;$F75,'TB-Pharmaceuticals'!$D$41:$D$60&amp;'TB-Pharmaceuticals'!$G$41:$G$60,0)),0)</f>
        <v>0</v>
      </c>
      <c r="AO75" s="626">
        <f t="shared" si="57"/>
        <v>0</v>
      </c>
      <c r="AP75" s="626">
        <f t="shared" si="58"/>
        <v>0</v>
      </c>
      <c r="AQ75" s="626">
        <f t="shared" si="59"/>
        <v>0</v>
      </c>
      <c r="AR75" s="627"/>
      <c r="AS75" s="625">
        <f t="array" ref="AS75">IFERROR(INDEX('TB-Pharmaceuticals'!$AA$41:$AA$60,MATCH($E75&amp;$F75,'TB-Pharmaceuticals'!$D$41:$D$60&amp;'TB-Pharmaceuticals'!$G$41:$G$60,0)),0)</f>
        <v>0</v>
      </c>
      <c r="AT75" s="625">
        <f t="array" ref="AT75">IFERROR(INDEX('TB-Pharmaceuticals'!$AB$41:$AB$60,MATCH($E75&amp;$F75,'TB-Pharmaceuticals'!$D$41:$D$60&amp;'TB-Pharmaceuticals'!$G$41:$G$60,0)),0)</f>
        <v>0</v>
      </c>
      <c r="AU75" s="626">
        <f t="shared" si="60"/>
        <v>0</v>
      </c>
      <c r="AV75" s="626">
        <f t="shared" si="61"/>
        <v>0</v>
      </c>
      <c r="AW75" s="626">
        <f t="shared" si="62"/>
        <v>0</v>
      </c>
      <c r="AX75" s="625">
        <f t="array" ref="AX75">IFERROR(INDEX('TB-Pharmaceuticals'!$AC$41:$AC$60,MATCH($E75&amp;$F75,'TB-Pharmaceuticals'!$D$41:$D$60&amp;'TB-Pharmaceuticals'!$G$41:$G$60,0)),0)</f>
        <v>0</v>
      </c>
      <c r="AY75" s="626">
        <f t="shared" si="63"/>
        <v>0</v>
      </c>
      <c r="AZ75" s="626">
        <f t="shared" si="64"/>
        <v>0</v>
      </c>
      <c r="BA75" s="626">
        <f t="shared" si="65"/>
        <v>0</v>
      </c>
      <c r="BB75" s="625">
        <f t="array" ref="BB75">IFERROR(INDEX('TB-Pharmaceuticals'!$AD$41:$AD$60,MATCH($E75&amp;$F75,'TB-Pharmaceuticals'!$D$41:$D$60&amp;'TB-Pharmaceuticals'!$G$41:$G$60,0)),0)</f>
        <v>0</v>
      </c>
      <c r="BC75" s="626">
        <f t="shared" si="66"/>
        <v>0</v>
      </c>
      <c r="BD75" s="626">
        <f t="shared" si="67"/>
        <v>0</v>
      </c>
      <c r="BE75" s="626">
        <f t="shared" si="68"/>
        <v>0</v>
      </c>
      <c r="BF75" s="625">
        <f t="array" ref="BF75">IFERROR(INDEX('TB-Pharmaceuticals'!$AE$41:$AE$60,MATCH($E75&amp;$F75,'TB-Pharmaceuticals'!$D$41:$D$60&amp;'TB-Pharmaceuticals'!$G$41:$G$60,0)),0)</f>
        <v>0</v>
      </c>
      <c r="BG75" s="626">
        <f t="shared" si="69"/>
        <v>0</v>
      </c>
      <c r="BH75" s="626">
        <f t="shared" si="70"/>
        <v>0</v>
      </c>
      <c r="BI75" s="626">
        <f t="shared" si="71"/>
        <v>0</v>
      </c>
      <c r="BK75" s="626"/>
      <c r="BL75" s="626"/>
      <c r="BM75" s="626"/>
      <c r="BN75" s="626"/>
      <c r="BO75" s="626"/>
      <c r="BP75" s="626"/>
      <c r="BQ75" s="626"/>
      <c r="BR75" s="626"/>
    </row>
    <row r="76" spans="1:70">
      <c r="A76" s="32" t="s">
        <v>571</v>
      </c>
      <c r="B76" s="32" t="s">
        <v>1739</v>
      </c>
      <c r="C76" s="619">
        <f>SETUP!$F$38</f>
        <v>0</v>
      </c>
      <c r="D76" s="31">
        <v>4.2</v>
      </c>
      <c r="E76" s="32" t="s">
        <v>430</v>
      </c>
      <c r="F76" s="32" t="s">
        <v>1298</v>
      </c>
      <c r="G76" s="625" t="str">
        <f t="array" ref="G76">IFERROR(INDEX('TB-Pharmaceuticals'!$K$41:$K$60,MATCH($E76&amp;$F76,'TB-Pharmaceuticals'!$D$41:$D$60&amp;'TB-Pharmaceuticals'!$G$41:$G$60,0)),"")</f>
        <v/>
      </c>
      <c r="H76" s="625" t="str">
        <f t="array" ref="H76">IFERROR(INDEX('TB-Pharmaceuticals'!$L$41:$L$60,MATCH($E76&amp;$F76,'TB-Pharmaceuticals'!$D$41:$D$60&amp;'TB-Pharmaceuticals'!$G$41:$G$60,0)),"")</f>
        <v/>
      </c>
      <c r="I76" s="625">
        <f t="array" ref="I76">IFERROR(INDEX('TB-Pharmaceuticals'!$M$41:$M$60,MATCH($E76&amp;$F76,'TB-Pharmaceuticals'!$D$41:$D$60&amp;'TB-Pharmaceuticals'!$G$41:$G$60,0)),0)</f>
        <v>0</v>
      </c>
      <c r="J76" s="625">
        <f t="array" ref="J76">IFERROR(INDEX('TB-Pharmaceuticals'!$N$41:$N$60,MATCH($E76&amp;$F76,'TB-Pharmaceuticals'!$D$41:$D$60&amp;'TB-Pharmaceuticals'!$G$41:$G$60,0)),0)</f>
        <v>0</v>
      </c>
      <c r="K76" s="626">
        <f t="shared" si="36"/>
        <v>0</v>
      </c>
      <c r="L76" s="626">
        <f t="shared" si="37"/>
        <v>0</v>
      </c>
      <c r="M76" s="626">
        <f t="shared" si="38"/>
        <v>0</v>
      </c>
      <c r="N76" s="625">
        <f t="array" ref="N76">IFERROR(INDEX('TB-Pharmaceuticals'!$O$41:$O$60,MATCH($E76&amp;$F76,'TB-Pharmaceuticals'!$D$41:$D$60&amp;'TB-Pharmaceuticals'!$G$41:$G$60,0)),0)</f>
        <v>0</v>
      </c>
      <c r="O76" s="626">
        <f t="shared" si="39"/>
        <v>0</v>
      </c>
      <c r="P76" s="626">
        <f t="shared" si="40"/>
        <v>0</v>
      </c>
      <c r="Q76" s="626">
        <f t="shared" si="41"/>
        <v>0</v>
      </c>
      <c r="R76" s="625">
        <f t="array" ref="R76">IFERROR(INDEX('TB-Pharmaceuticals'!$P$41:$P$60,MATCH($E76&amp;$F76,'TB-Pharmaceuticals'!$D$41:$D$60&amp;'TB-Pharmaceuticals'!$G$41:$G$60,0)),0)</f>
        <v>0</v>
      </c>
      <c r="S76" s="626">
        <f t="shared" si="42"/>
        <v>0</v>
      </c>
      <c r="T76" s="626">
        <f t="shared" si="43"/>
        <v>0</v>
      </c>
      <c r="U76" s="626">
        <f t="shared" si="44"/>
        <v>0</v>
      </c>
      <c r="V76" s="625">
        <f t="array" ref="V76">IFERROR(INDEX('TB-Pharmaceuticals'!$Q$41:$Q$60,MATCH($E76&amp;$F76,'TB-Pharmaceuticals'!$D$41:$D$60&amp;'TB-Pharmaceuticals'!$G$41:$G$60,0)),0)</f>
        <v>0</v>
      </c>
      <c r="W76" s="626">
        <f t="shared" si="45"/>
        <v>0</v>
      </c>
      <c r="X76" s="626">
        <f t="shared" si="46"/>
        <v>0</v>
      </c>
      <c r="Y76" s="626">
        <f t="shared" si="47"/>
        <v>0</v>
      </c>
      <c r="Z76" s="627"/>
      <c r="AA76" s="625">
        <f t="array" ref="AA76">IFERROR(INDEX('TB-Pharmaceuticals'!$T$41:$T$60,MATCH($E76&amp;$F76,'TB-Pharmaceuticals'!$D$41:$D$60&amp;'TB-Pharmaceuticals'!$G$41:$G$60,0)),0)</f>
        <v>0</v>
      </c>
      <c r="AB76" s="625">
        <f t="array" ref="AB76">IFERROR(INDEX('TB-Pharmaceuticals'!$U$41:$U$60,MATCH($E76&amp;$F76,'TB-Pharmaceuticals'!$D$41:$D$60&amp;'TB-Pharmaceuticals'!$G$41:$G$60,0)),0)</f>
        <v>0</v>
      </c>
      <c r="AC76" s="626">
        <f t="shared" si="48"/>
        <v>0</v>
      </c>
      <c r="AD76" s="626">
        <f t="shared" si="49"/>
        <v>0</v>
      </c>
      <c r="AE76" s="626">
        <f t="shared" si="50"/>
        <v>0</v>
      </c>
      <c r="AF76" s="625">
        <f t="array" ref="AF76">IFERROR(INDEX('TB-Pharmaceuticals'!$V$41:$V$60,MATCH($E76&amp;$F76,'TB-Pharmaceuticals'!$D$41:$D$60&amp;'TB-Pharmaceuticals'!$G$41:$G$60,0)),0)</f>
        <v>0</v>
      </c>
      <c r="AG76" s="626">
        <f t="shared" si="51"/>
        <v>0</v>
      </c>
      <c r="AH76" s="626">
        <f t="shared" si="52"/>
        <v>0</v>
      </c>
      <c r="AI76" s="626">
        <f t="shared" si="53"/>
        <v>0</v>
      </c>
      <c r="AJ76" s="625">
        <f t="array" ref="AJ76">IFERROR(INDEX('TB-Pharmaceuticals'!$W$41:$W$60,MATCH($E76&amp;$F76,'TB-Pharmaceuticals'!$D$41:$D$60&amp;'TB-Pharmaceuticals'!$G$41:$G$60,0)),0)</f>
        <v>0</v>
      </c>
      <c r="AK76" s="626">
        <f t="shared" si="54"/>
        <v>0</v>
      </c>
      <c r="AL76" s="626">
        <f t="shared" si="55"/>
        <v>0</v>
      </c>
      <c r="AM76" s="626">
        <f t="shared" si="56"/>
        <v>0</v>
      </c>
      <c r="AN76" s="625">
        <f t="array" ref="AN76">IFERROR(INDEX('TB-Pharmaceuticals'!$X$41:$X$60,MATCH($E76&amp;$F76,'TB-Pharmaceuticals'!$D$41:$D$60&amp;'TB-Pharmaceuticals'!$G$41:$G$60,0)),0)</f>
        <v>0</v>
      </c>
      <c r="AO76" s="626">
        <f t="shared" si="57"/>
        <v>0</v>
      </c>
      <c r="AP76" s="626">
        <f t="shared" si="58"/>
        <v>0</v>
      </c>
      <c r="AQ76" s="626">
        <f t="shared" si="59"/>
        <v>0</v>
      </c>
      <c r="AR76" s="627"/>
      <c r="AS76" s="625">
        <f t="array" ref="AS76">IFERROR(INDEX('TB-Pharmaceuticals'!$AA$41:$AA$60,MATCH($E76&amp;$F76,'TB-Pharmaceuticals'!$D$41:$D$60&amp;'TB-Pharmaceuticals'!$G$41:$G$60,0)),0)</f>
        <v>0</v>
      </c>
      <c r="AT76" s="625">
        <f t="array" ref="AT76">IFERROR(INDEX('TB-Pharmaceuticals'!$AB$41:$AB$60,MATCH($E76&amp;$F76,'TB-Pharmaceuticals'!$D$41:$D$60&amp;'TB-Pharmaceuticals'!$G$41:$G$60,0)),0)</f>
        <v>0</v>
      </c>
      <c r="AU76" s="626">
        <f t="shared" si="60"/>
        <v>0</v>
      </c>
      <c r="AV76" s="626">
        <f t="shared" si="61"/>
        <v>0</v>
      </c>
      <c r="AW76" s="626">
        <f t="shared" si="62"/>
        <v>0</v>
      </c>
      <c r="AX76" s="625">
        <f t="array" ref="AX76">IFERROR(INDEX('TB-Pharmaceuticals'!$AC$41:$AC$60,MATCH($E76&amp;$F76,'TB-Pharmaceuticals'!$D$41:$D$60&amp;'TB-Pharmaceuticals'!$G$41:$G$60,0)),0)</f>
        <v>0</v>
      </c>
      <c r="AY76" s="626">
        <f t="shared" si="63"/>
        <v>0</v>
      </c>
      <c r="AZ76" s="626">
        <f t="shared" si="64"/>
        <v>0</v>
      </c>
      <c r="BA76" s="626">
        <f t="shared" si="65"/>
        <v>0</v>
      </c>
      <c r="BB76" s="625">
        <f t="array" ref="BB76">IFERROR(INDEX('TB-Pharmaceuticals'!$AD$41:$AD$60,MATCH($E76&amp;$F76,'TB-Pharmaceuticals'!$D$41:$D$60&amp;'TB-Pharmaceuticals'!$G$41:$G$60,0)),0)</f>
        <v>0</v>
      </c>
      <c r="BC76" s="626">
        <f t="shared" si="66"/>
        <v>0</v>
      </c>
      <c r="BD76" s="626">
        <f t="shared" si="67"/>
        <v>0</v>
      </c>
      <c r="BE76" s="626">
        <f t="shared" si="68"/>
        <v>0</v>
      </c>
      <c r="BF76" s="625">
        <f t="array" ref="BF76">IFERROR(INDEX('TB-Pharmaceuticals'!$AE$41:$AE$60,MATCH($E76&amp;$F76,'TB-Pharmaceuticals'!$D$41:$D$60&amp;'TB-Pharmaceuticals'!$G$41:$G$60,0)),0)</f>
        <v>0</v>
      </c>
      <c r="BG76" s="626">
        <f t="shared" si="69"/>
        <v>0</v>
      </c>
      <c r="BH76" s="626">
        <f t="shared" si="70"/>
        <v>0</v>
      </c>
      <c r="BI76" s="626">
        <f t="shared" si="71"/>
        <v>0</v>
      </c>
      <c r="BK76" s="626"/>
      <c r="BL76" s="626"/>
      <c r="BM76" s="626"/>
      <c r="BN76" s="626"/>
      <c r="BO76" s="626"/>
      <c r="BP76" s="626"/>
      <c r="BQ76" s="626"/>
      <c r="BR76" s="626"/>
    </row>
    <row r="77" spans="1:70">
      <c r="A77" s="32" t="s">
        <v>571</v>
      </c>
      <c r="B77" s="32" t="s">
        <v>1739</v>
      </c>
      <c r="C77" s="619">
        <f>SETUP!$F$38</f>
        <v>0</v>
      </c>
      <c r="D77" s="31">
        <v>4.2</v>
      </c>
      <c r="E77" s="32" t="s">
        <v>430</v>
      </c>
      <c r="F77" s="32" t="s">
        <v>1299</v>
      </c>
      <c r="G77" s="625" t="str">
        <f t="array" ref="G77">IFERROR(INDEX('TB-Pharmaceuticals'!$K$41:$K$60,MATCH($E77&amp;$F77,'TB-Pharmaceuticals'!$D$41:$D$60&amp;'TB-Pharmaceuticals'!$G$41:$G$60,0)),"")</f>
        <v/>
      </c>
      <c r="H77" s="625" t="str">
        <f t="array" ref="H77">IFERROR(INDEX('TB-Pharmaceuticals'!$L$41:$L$60,MATCH($E77&amp;$F77,'TB-Pharmaceuticals'!$D$41:$D$60&amp;'TB-Pharmaceuticals'!$G$41:$G$60,0)),"")</f>
        <v/>
      </c>
      <c r="I77" s="625">
        <f t="array" ref="I77">IFERROR(INDEX('TB-Pharmaceuticals'!$M$41:$M$60,MATCH($E77&amp;$F77,'TB-Pharmaceuticals'!$D$41:$D$60&amp;'TB-Pharmaceuticals'!$G$41:$G$60,0)),0)</f>
        <v>0</v>
      </c>
      <c r="J77" s="625">
        <f t="array" ref="J77">IFERROR(INDEX('TB-Pharmaceuticals'!$N$41:$N$60,MATCH($E77&amp;$F77,'TB-Pharmaceuticals'!$D$41:$D$60&amp;'TB-Pharmaceuticals'!$G$41:$G$60,0)),0)</f>
        <v>0</v>
      </c>
      <c r="K77" s="626">
        <f t="shared" si="36"/>
        <v>0</v>
      </c>
      <c r="L77" s="626">
        <f t="shared" si="37"/>
        <v>0</v>
      </c>
      <c r="M77" s="626">
        <f t="shared" si="38"/>
        <v>0</v>
      </c>
      <c r="N77" s="625">
        <f t="array" ref="N77">IFERROR(INDEX('TB-Pharmaceuticals'!$O$41:$O$60,MATCH($E77&amp;$F77,'TB-Pharmaceuticals'!$D$41:$D$60&amp;'TB-Pharmaceuticals'!$G$41:$G$60,0)),0)</f>
        <v>0</v>
      </c>
      <c r="O77" s="626">
        <f t="shared" si="39"/>
        <v>0</v>
      </c>
      <c r="P77" s="626">
        <f t="shared" si="40"/>
        <v>0</v>
      </c>
      <c r="Q77" s="626">
        <f t="shared" si="41"/>
        <v>0</v>
      </c>
      <c r="R77" s="625">
        <f t="array" ref="R77">IFERROR(INDEX('TB-Pharmaceuticals'!$P$41:$P$60,MATCH($E77&amp;$F77,'TB-Pharmaceuticals'!$D$41:$D$60&amp;'TB-Pharmaceuticals'!$G$41:$G$60,0)),0)</f>
        <v>0</v>
      </c>
      <c r="S77" s="626">
        <f t="shared" si="42"/>
        <v>0</v>
      </c>
      <c r="T77" s="626">
        <f t="shared" si="43"/>
        <v>0</v>
      </c>
      <c r="U77" s="626">
        <f t="shared" si="44"/>
        <v>0</v>
      </c>
      <c r="V77" s="625">
        <f t="array" ref="V77">IFERROR(INDEX('TB-Pharmaceuticals'!$Q$41:$Q$60,MATCH($E77&amp;$F77,'TB-Pharmaceuticals'!$D$41:$D$60&amp;'TB-Pharmaceuticals'!$G$41:$G$60,0)),0)</f>
        <v>0</v>
      </c>
      <c r="W77" s="626">
        <f t="shared" si="45"/>
        <v>0</v>
      </c>
      <c r="X77" s="626">
        <f t="shared" si="46"/>
        <v>0</v>
      </c>
      <c r="Y77" s="626">
        <f t="shared" si="47"/>
        <v>0</v>
      </c>
      <c r="Z77" s="627"/>
      <c r="AA77" s="625">
        <f t="array" ref="AA77">IFERROR(INDEX('TB-Pharmaceuticals'!$T$41:$T$60,MATCH($E77&amp;$F77,'TB-Pharmaceuticals'!$D$41:$D$60&amp;'TB-Pharmaceuticals'!$G$41:$G$60,0)),0)</f>
        <v>0</v>
      </c>
      <c r="AB77" s="625">
        <f t="array" ref="AB77">IFERROR(INDEX('TB-Pharmaceuticals'!$U$41:$U$60,MATCH($E77&amp;$F77,'TB-Pharmaceuticals'!$D$41:$D$60&amp;'TB-Pharmaceuticals'!$G$41:$G$60,0)),0)</f>
        <v>0</v>
      </c>
      <c r="AC77" s="626">
        <f t="shared" si="48"/>
        <v>0</v>
      </c>
      <c r="AD77" s="626">
        <f t="shared" si="49"/>
        <v>0</v>
      </c>
      <c r="AE77" s="626">
        <f t="shared" si="50"/>
        <v>0</v>
      </c>
      <c r="AF77" s="625">
        <f t="array" ref="AF77">IFERROR(INDEX('TB-Pharmaceuticals'!$V$41:$V$60,MATCH($E77&amp;$F77,'TB-Pharmaceuticals'!$D$41:$D$60&amp;'TB-Pharmaceuticals'!$G$41:$G$60,0)),0)</f>
        <v>0</v>
      </c>
      <c r="AG77" s="626">
        <f t="shared" si="51"/>
        <v>0</v>
      </c>
      <c r="AH77" s="626">
        <f t="shared" si="52"/>
        <v>0</v>
      </c>
      <c r="AI77" s="626">
        <f t="shared" si="53"/>
        <v>0</v>
      </c>
      <c r="AJ77" s="625">
        <f t="array" ref="AJ77">IFERROR(INDEX('TB-Pharmaceuticals'!$W$41:$W$60,MATCH($E77&amp;$F77,'TB-Pharmaceuticals'!$D$41:$D$60&amp;'TB-Pharmaceuticals'!$G$41:$G$60,0)),0)</f>
        <v>0</v>
      </c>
      <c r="AK77" s="626">
        <f t="shared" si="54"/>
        <v>0</v>
      </c>
      <c r="AL77" s="626">
        <f t="shared" si="55"/>
        <v>0</v>
      </c>
      <c r="AM77" s="626">
        <f t="shared" si="56"/>
        <v>0</v>
      </c>
      <c r="AN77" s="625">
        <f t="array" ref="AN77">IFERROR(INDEX('TB-Pharmaceuticals'!$X$41:$X$60,MATCH($E77&amp;$F77,'TB-Pharmaceuticals'!$D$41:$D$60&amp;'TB-Pharmaceuticals'!$G$41:$G$60,0)),0)</f>
        <v>0</v>
      </c>
      <c r="AO77" s="626">
        <f t="shared" si="57"/>
        <v>0</v>
      </c>
      <c r="AP77" s="626">
        <f t="shared" si="58"/>
        <v>0</v>
      </c>
      <c r="AQ77" s="626">
        <f t="shared" si="59"/>
        <v>0</v>
      </c>
      <c r="AR77" s="627"/>
      <c r="AS77" s="625">
        <f t="array" ref="AS77">IFERROR(INDEX('TB-Pharmaceuticals'!$AA$41:$AA$60,MATCH($E77&amp;$F77,'TB-Pharmaceuticals'!$D$41:$D$60&amp;'TB-Pharmaceuticals'!$G$41:$G$60,0)),0)</f>
        <v>0</v>
      </c>
      <c r="AT77" s="625">
        <f t="array" ref="AT77">IFERROR(INDEX('TB-Pharmaceuticals'!$AB$41:$AB$60,MATCH($E77&amp;$F77,'TB-Pharmaceuticals'!$D$41:$D$60&amp;'TB-Pharmaceuticals'!$G$41:$G$60,0)),0)</f>
        <v>0</v>
      </c>
      <c r="AU77" s="626">
        <f t="shared" si="60"/>
        <v>0</v>
      </c>
      <c r="AV77" s="626">
        <f t="shared" si="61"/>
        <v>0</v>
      </c>
      <c r="AW77" s="626">
        <f t="shared" si="62"/>
        <v>0</v>
      </c>
      <c r="AX77" s="625">
        <f t="array" ref="AX77">IFERROR(INDEX('TB-Pharmaceuticals'!$AC$41:$AC$60,MATCH($E77&amp;$F77,'TB-Pharmaceuticals'!$D$41:$D$60&amp;'TB-Pharmaceuticals'!$G$41:$G$60,0)),0)</f>
        <v>0</v>
      </c>
      <c r="AY77" s="626">
        <f t="shared" si="63"/>
        <v>0</v>
      </c>
      <c r="AZ77" s="626">
        <f t="shared" si="64"/>
        <v>0</v>
      </c>
      <c r="BA77" s="626">
        <f t="shared" si="65"/>
        <v>0</v>
      </c>
      <c r="BB77" s="625">
        <f t="array" ref="BB77">IFERROR(INDEX('TB-Pharmaceuticals'!$AD$41:$AD$60,MATCH($E77&amp;$F77,'TB-Pharmaceuticals'!$D$41:$D$60&amp;'TB-Pharmaceuticals'!$G$41:$G$60,0)),0)</f>
        <v>0</v>
      </c>
      <c r="BC77" s="626">
        <f t="shared" si="66"/>
        <v>0</v>
      </c>
      <c r="BD77" s="626">
        <f t="shared" si="67"/>
        <v>0</v>
      </c>
      <c r="BE77" s="626">
        <f t="shared" si="68"/>
        <v>0</v>
      </c>
      <c r="BF77" s="625">
        <f t="array" ref="BF77">IFERROR(INDEX('TB-Pharmaceuticals'!$AE$41:$AE$60,MATCH($E77&amp;$F77,'TB-Pharmaceuticals'!$D$41:$D$60&amp;'TB-Pharmaceuticals'!$G$41:$G$60,0)),0)</f>
        <v>0</v>
      </c>
      <c r="BG77" s="626">
        <f t="shared" si="69"/>
        <v>0</v>
      </c>
      <c r="BH77" s="626">
        <f t="shared" si="70"/>
        <v>0</v>
      </c>
      <c r="BI77" s="626">
        <f t="shared" si="71"/>
        <v>0</v>
      </c>
      <c r="BK77" s="626"/>
      <c r="BL77" s="626"/>
      <c r="BM77" s="626"/>
      <c r="BN77" s="626"/>
      <c r="BO77" s="626"/>
      <c r="BP77" s="626"/>
      <c r="BQ77" s="626"/>
      <c r="BR77" s="626"/>
    </row>
    <row r="78" spans="1:70">
      <c r="A78" s="32" t="s">
        <v>571</v>
      </c>
      <c r="B78" s="32" t="s">
        <v>1739</v>
      </c>
      <c r="C78" s="619">
        <f>SETUP!$F$38</f>
        <v>0</v>
      </c>
      <c r="D78" s="31">
        <v>4.2</v>
      </c>
      <c r="E78" s="32" t="s">
        <v>431</v>
      </c>
      <c r="F78" s="32" t="s">
        <v>1282</v>
      </c>
      <c r="G78" s="625" t="str">
        <f t="array" ref="G78">IFERROR(INDEX('TB-Pharmaceuticals'!$K$41:$K$60,MATCH($E78&amp;$F78,'TB-Pharmaceuticals'!$D$41:$D$60&amp;'TB-Pharmaceuticals'!$G$41:$G$60,0)),"")</f>
        <v/>
      </c>
      <c r="H78" s="625" t="str">
        <f t="array" ref="H78">IFERROR(INDEX('TB-Pharmaceuticals'!$L$41:$L$60,MATCH($E78&amp;$F78,'TB-Pharmaceuticals'!$D$41:$D$60&amp;'TB-Pharmaceuticals'!$G$41:$G$60,0)),"")</f>
        <v/>
      </c>
      <c r="I78" s="625">
        <f t="array" ref="I78">IFERROR(INDEX('TB-Pharmaceuticals'!$M$41:$M$60,MATCH($E78&amp;$F78,'TB-Pharmaceuticals'!$D$41:$D$60&amp;'TB-Pharmaceuticals'!$G$41:$G$60,0)),0)</f>
        <v>0</v>
      </c>
      <c r="J78" s="625">
        <f t="array" ref="J78">IFERROR(INDEX('TB-Pharmaceuticals'!$N$41:$N$60,MATCH($E78&amp;$F78,'TB-Pharmaceuticals'!$D$41:$D$60&amp;'TB-Pharmaceuticals'!$G$41:$G$60,0)),0)</f>
        <v>0</v>
      </c>
      <c r="K78" s="626">
        <f t="shared" si="36"/>
        <v>0</v>
      </c>
      <c r="L78" s="626">
        <f t="shared" si="37"/>
        <v>0</v>
      </c>
      <c r="M78" s="626">
        <f t="shared" si="38"/>
        <v>0</v>
      </c>
      <c r="N78" s="625">
        <f t="array" ref="N78">IFERROR(INDEX('TB-Pharmaceuticals'!$O$41:$O$60,MATCH($E78&amp;$F78,'TB-Pharmaceuticals'!$D$41:$D$60&amp;'TB-Pharmaceuticals'!$G$41:$G$60,0)),0)</f>
        <v>0</v>
      </c>
      <c r="O78" s="626">
        <f t="shared" si="39"/>
        <v>0</v>
      </c>
      <c r="P78" s="626">
        <f t="shared" si="40"/>
        <v>0</v>
      </c>
      <c r="Q78" s="626">
        <f t="shared" si="41"/>
        <v>0</v>
      </c>
      <c r="R78" s="625">
        <f t="array" ref="R78">IFERROR(INDEX('TB-Pharmaceuticals'!$P$41:$P$60,MATCH($E78&amp;$F78,'TB-Pharmaceuticals'!$D$41:$D$60&amp;'TB-Pharmaceuticals'!$G$41:$G$60,0)),0)</f>
        <v>0</v>
      </c>
      <c r="S78" s="626">
        <f t="shared" si="42"/>
        <v>0</v>
      </c>
      <c r="T78" s="626">
        <f t="shared" si="43"/>
        <v>0</v>
      </c>
      <c r="U78" s="626">
        <f t="shared" si="44"/>
        <v>0</v>
      </c>
      <c r="V78" s="625">
        <f t="array" ref="V78">IFERROR(INDEX('TB-Pharmaceuticals'!$Q$41:$Q$60,MATCH($E78&amp;$F78,'TB-Pharmaceuticals'!$D$41:$D$60&amp;'TB-Pharmaceuticals'!$G$41:$G$60,0)),0)</f>
        <v>0</v>
      </c>
      <c r="W78" s="626">
        <f t="shared" si="45"/>
        <v>0</v>
      </c>
      <c r="X78" s="626">
        <f t="shared" si="46"/>
        <v>0</v>
      </c>
      <c r="Y78" s="626">
        <f t="shared" si="47"/>
        <v>0</v>
      </c>
      <c r="Z78" s="627"/>
      <c r="AA78" s="625">
        <f t="array" ref="AA78">IFERROR(INDEX('TB-Pharmaceuticals'!$T$41:$T$60,MATCH($E78&amp;$F78,'TB-Pharmaceuticals'!$D$41:$D$60&amp;'TB-Pharmaceuticals'!$G$41:$G$60,0)),0)</f>
        <v>0</v>
      </c>
      <c r="AB78" s="625">
        <f t="array" ref="AB78">IFERROR(INDEX('TB-Pharmaceuticals'!$U$41:$U$60,MATCH($E78&amp;$F78,'TB-Pharmaceuticals'!$D$41:$D$60&amp;'TB-Pharmaceuticals'!$G$41:$G$60,0)),0)</f>
        <v>0</v>
      </c>
      <c r="AC78" s="626">
        <f t="shared" si="48"/>
        <v>0</v>
      </c>
      <c r="AD78" s="626">
        <f t="shared" si="49"/>
        <v>0</v>
      </c>
      <c r="AE78" s="626">
        <f t="shared" si="50"/>
        <v>0</v>
      </c>
      <c r="AF78" s="625">
        <f t="array" ref="AF78">IFERROR(INDEX('TB-Pharmaceuticals'!$V$41:$V$60,MATCH($E78&amp;$F78,'TB-Pharmaceuticals'!$D$41:$D$60&amp;'TB-Pharmaceuticals'!$G$41:$G$60,0)),0)</f>
        <v>0</v>
      </c>
      <c r="AG78" s="626">
        <f t="shared" si="51"/>
        <v>0</v>
      </c>
      <c r="AH78" s="626">
        <f t="shared" si="52"/>
        <v>0</v>
      </c>
      <c r="AI78" s="626">
        <f t="shared" si="53"/>
        <v>0</v>
      </c>
      <c r="AJ78" s="625">
        <f t="array" ref="AJ78">IFERROR(INDEX('TB-Pharmaceuticals'!$W$41:$W$60,MATCH($E78&amp;$F78,'TB-Pharmaceuticals'!$D$41:$D$60&amp;'TB-Pharmaceuticals'!$G$41:$G$60,0)),0)</f>
        <v>0</v>
      </c>
      <c r="AK78" s="626">
        <f t="shared" si="54"/>
        <v>0</v>
      </c>
      <c r="AL78" s="626">
        <f t="shared" si="55"/>
        <v>0</v>
      </c>
      <c r="AM78" s="626">
        <f t="shared" si="56"/>
        <v>0</v>
      </c>
      <c r="AN78" s="625">
        <f t="array" ref="AN78">IFERROR(INDEX('TB-Pharmaceuticals'!$X$41:$X$60,MATCH($E78&amp;$F78,'TB-Pharmaceuticals'!$D$41:$D$60&amp;'TB-Pharmaceuticals'!$G$41:$G$60,0)),0)</f>
        <v>0</v>
      </c>
      <c r="AO78" s="626">
        <f t="shared" si="57"/>
        <v>0</v>
      </c>
      <c r="AP78" s="626">
        <f t="shared" si="58"/>
        <v>0</v>
      </c>
      <c r="AQ78" s="626">
        <f t="shared" si="59"/>
        <v>0</v>
      </c>
      <c r="AR78" s="627"/>
      <c r="AS78" s="625">
        <f t="array" ref="AS78">IFERROR(INDEX('TB-Pharmaceuticals'!$AA$41:$AA$60,MATCH($E78&amp;$F78,'TB-Pharmaceuticals'!$D$41:$D$60&amp;'TB-Pharmaceuticals'!$G$41:$G$60,0)),0)</f>
        <v>0</v>
      </c>
      <c r="AT78" s="625">
        <f t="array" ref="AT78">IFERROR(INDEX('TB-Pharmaceuticals'!$AB$41:$AB$60,MATCH($E78&amp;$F78,'TB-Pharmaceuticals'!$D$41:$D$60&amp;'TB-Pharmaceuticals'!$G$41:$G$60,0)),0)</f>
        <v>0</v>
      </c>
      <c r="AU78" s="626">
        <f t="shared" si="60"/>
        <v>0</v>
      </c>
      <c r="AV78" s="626">
        <f t="shared" si="61"/>
        <v>0</v>
      </c>
      <c r="AW78" s="626">
        <f t="shared" si="62"/>
        <v>0</v>
      </c>
      <c r="AX78" s="625">
        <f t="array" ref="AX78">IFERROR(INDEX('TB-Pharmaceuticals'!$AC$41:$AC$60,MATCH($E78&amp;$F78,'TB-Pharmaceuticals'!$D$41:$D$60&amp;'TB-Pharmaceuticals'!$G$41:$G$60,0)),0)</f>
        <v>0</v>
      </c>
      <c r="AY78" s="626">
        <f t="shared" si="63"/>
        <v>0</v>
      </c>
      <c r="AZ78" s="626">
        <f t="shared" si="64"/>
        <v>0</v>
      </c>
      <c r="BA78" s="626">
        <f t="shared" si="65"/>
        <v>0</v>
      </c>
      <c r="BB78" s="625">
        <f t="array" ref="BB78">IFERROR(INDEX('TB-Pharmaceuticals'!$AD$41:$AD$60,MATCH($E78&amp;$F78,'TB-Pharmaceuticals'!$D$41:$D$60&amp;'TB-Pharmaceuticals'!$G$41:$G$60,0)),0)</f>
        <v>0</v>
      </c>
      <c r="BC78" s="626">
        <f t="shared" si="66"/>
        <v>0</v>
      </c>
      <c r="BD78" s="626">
        <f t="shared" si="67"/>
        <v>0</v>
      </c>
      <c r="BE78" s="626">
        <f t="shared" si="68"/>
        <v>0</v>
      </c>
      <c r="BF78" s="625">
        <f t="array" ref="BF78">IFERROR(INDEX('TB-Pharmaceuticals'!$AE$41:$AE$60,MATCH($E78&amp;$F78,'TB-Pharmaceuticals'!$D$41:$D$60&amp;'TB-Pharmaceuticals'!$G$41:$G$60,0)),0)</f>
        <v>0</v>
      </c>
      <c r="BG78" s="626">
        <f t="shared" si="69"/>
        <v>0</v>
      </c>
      <c r="BH78" s="626">
        <f t="shared" si="70"/>
        <v>0</v>
      </c>
      <c r="BI78" s="626">
        <f t="shared" si="71"/>
        <v>0</v>
      </c>
      <c r="BK78" s="626"/>
      <c r="BL78" s="626"/>
      <c r="BM78" s="626"/>
      <c r="BN78" s="626"/>
      <c r="BO78" s="626"/>
      <c r="BP78" s="626"/>
      <c r="BQ78" s="626"/>
      <c r="BR78" s="626"/>
    </row>
    <row r="79" spans="1:70">
      <c r="A79" s="32" t="s">
        <v>571</v>
      </c>
      <c r="B79" s="32" t="s">
        <v>1739</v>
      </c>
      <c r="C79" s="619">
        <f>SETUP!$F$38</f>
        <v>0</v>
      </c>
      <c r="D79" s="31">
        <v>4.2</v>
      </c>
      <c r="E79" s="32" t="s">
        <v>431</v>
      </c>
      <c r="F79" s="32" t="s">
        <v>1296</v>
      </c>
      <c r="G79" s="625" t="str">
        <f t="array" ref="G79">IFERROR(INDEX('TB-Pharmaceuticals'!$K$41:$K$60,MATCH($E79&amp;$F79,'TB-Pharmaceuticals'!$D$41:$D$60&amp;'TB-Pharmaceuticals'!$G$41:$G$60,0)),"")</f>
        <v/>
      </c>
      <c r="H79" s="625" t="str">
        <f t="array" ref="H79">IFERROR(INDEX('TB-Pharmaceuticals'!$L$41:$L$60,MATCH($E79&amp;$F79,'TB-Pharmaceuticals'!$D$41:$D$60&amp;'TB-Pharmaceuticals'!$G$41:$G$60,0)),"")</f>
        <v/>
      </c>
      <c r="I79" s="625">
        <f t="array" ref="I79">IFERROR(INDEX('TB-Pharmaceuticals'!$M$41:$M$60,MATCH($E79&amp;$F79,'TB-Pharmaceuticals'!$D$41:$D$60&amp;'TB-Pharmaceuticals'!$G$41:$G$60,0)),0)</f>
        <v>0</v>
      </c>
      <c r="J79" s="625">
        <f t="array" ref="J79">IFERROR(INDEX('TB-Pharmaceuticals'!$N$41:$N$60,MATCH($E79&amp;$F79,'TB-Pharmaceuticals'!$D$41:$D$60&amp;'TB-Pharmaceuticals'!$G$41:$G$60,0)),0)</f>
        <v>0</v>
      </c>
      <c r="K79" s="626">
        <f t="shared" si="36"/>
        <v>0</v>
      </c>
      <c r="L79" s="626">
        <f t="shared" si="37"/>
        <v>0</v>
      </c>
      <c r="M79" s="626">
        <f t="shared" si="38"/>
        <v>0</v>
      </c>
      <c r="N79" s="625">
        <f t="array" ref="N79">IFERROR(INDEX('TB-Pharmaceuticals'!$O$41:$O$60,MATCH($E79&amp;$F79,'TB-Pharmaceuticals'!$D$41:$D$60&amp;'TB-Pharmaceuticals'!$G$41:$G$60,0)),0)</f>
        <v>0</v>
      </c>
      <c r="O79" s="626">
        <f t="shared" si="39"/>
        <v>0</v>
      </c>
      <c r="P79" s="626">
        <f t="shared" si="40"/>
        <v>0</v>
      </c>
      <c r="Q79" s="626">
        <f t="shared" si="41"/>
        <v>0</v>
      </c>
      <c r="R79" s="625">
        <f t="array" ref="R79">IFERROR(INDEX('TB-Pharmaceuticals'!$P$41:$P$60,MATCH($E79&amp;$F79,'TB-Pharmaceuticals'!$D$41:$D$60&amp;'TB-Pharmaceuticals'!$G$41:$G$60,0)),0)</f>
        <v>0</v>
      </c>
      <c r="S79" s="626">
        <f t="shared" si="42"/>
        <v>0</v>
      </c>
      <c r="T79" s="626">
        <f t="shared" si="43"/>
        <v>0</v>
      </c>
      <c r="U79" s="626">
        <f t="shared" si="44"/>
        <v>0</v>
      </c>
      <c r="V79" s="625">
        <f t="array" ref="V79">IFERROR(INDEX('TB-Pharmaceuticals'!$Q$41:$Q$60,MATCH($E79&amp;$F79,'TB-Pharmaceuticals'!$D$41:$D$60&amp;'TB-Pharmaceuticals'!$G$41:$G$60,0)),0)</f>
        <v>0</v>
      </c>
      <c r="W79" s="626">
        <f t="shared" si="45"/>
        <v>0</v>
      </c>
      <c r="X79" s="626">
        <f t="shared" si="46"/>
        <v>0</v>
      </c>
      <c r="Y79" s="626">
        <f t="shared" si="47"/>
        <v>0</v>
      </c>
      <c r="Z79" s="627"/>
      <c r="AA79" s="625">
        <f t="array" ref="AA79">IFERROR(INDEX('TB-Pharmaceuticals'!$T$41:$T$60,MATCH($E79&amp;$F79,'TB-Pharmaceuticals'!$D$41:$D$60&amp;'TB-Pharmaceuticals'!$G$41:$G$60,0)),0)</f>
        <v>0</v>
      </c>
      <c r="AB79" s="625">
        <f t="array" ref="AB79">IFERROR(INDEX('TB-Pharmaceuticals'!$U$41:$U$60,MATCH($E79&amp;$F79,'TB-Pharmaceuticals'!$D$41:$D$60&amp;'TB-Pharmaceuticals'!$G$41:$G$60,0)),0)</f>
        <v>0</v>
      </c>
      <c r="AC79" s="626">
        <f t="shared" si="48"/>
        <v>0</v>
      </c>
      <c r="AD79" s="626">
        <f t="shared" si="49"/>
        <v>0</v>
      </c>
      <c r="AE79" s="626">
        <f t="shared" si="50"/>
        <v>0</v>
      </c>
      <c r="AF79" s="625">
        <f t="array" ref="AF79">IFERROR(INDEX('TB-Pharmaceuticals'!$V$41:$V$60,MATCH($E79&amp;$F79,'TB-Pharmaceuticals'!$D$41:$D$60&amp;'TB-Pharmaceuticals'!$G$41:$G$60,0)),0)</f>
        <v>0</v>
      </c>
      <c r="AG79" s="626">
        <f t="shared" si="51"/>
        <v>0</v>
      </c>
      <c r="AH79" s="626">
        <f t="shared" si="52"/>
        <v>0</v>
      </c>
      <c r="AI79" s="626">
        <f t="shared" si="53"/>
        <v>0</v>
      </c>
      <c r="AJ79" s="625">
        <f t="array" ref="AJ79">IFERROR(INDEX('TB-Pharmaceuticals'!$W$41:$W$60,MATCH($E79&amp;$F79,'TB-Pharmaceuticals'!$D$41:$D$60&amp;'TB-Pharmaceuticals'!$G$41:$G$60,0)),0)</f>
        <v>0</v>
      </c>
      <c r="AK79" s="626">
        <f t="shared" si="54"/>
        <v>0</v>
      </c>
      <c r="AL79" s="626">
        <f t="shared" si="55"/>
        <v>0</v>
      </c>
      <c r="AM79" s="626">
        <f t="shared" si="56"/>
        <v>0</v>
      </c>
      <c r="AN79" s="625">
        <f t="array" ref="AN79">IFERROR(INDEX('TB-Pharmaceuticals'!$X$41:$X$60,MATCH($E79&amp;$F79,'TB-Pharmaceuticals'!$D$41:$D$60&amp;'TB-Pharmaceuticals'!$G$41:$G$60,0)),0)</f>
        <v>0</v>
      </c>
      <c r="AO79" s="626">
        <f t="shared" si="57"/>
        <v>0</v>
      </c>
      <c r="AP79" s="626">
        <f t="shared" si="58"/>
        <v>0</v>
      </c>
      <c r="AQ79" s="626">
        <f t="shared" si="59"/>
        <v>0</v>
      </c>
      <c r="AR79" s="627"/>
      <c r="AS79" s="625">
        <f t="array" ref="AS79">IFERROR(INDEX('TB-Pharmaceuticals'!$AA$41:$AA$60,MATCH($E79&amp;$F79,'TB-Pharmaceuticals'!$D$41:$D$60&amp;'TB-Pharmaceuticals'!$G$41:$G$60,0)),0)</f>
        <v>0</v>
      </c>
      <c r="AT79" s="625">
        <f t="array" ref="AT79">IFERROR(INDEX('TB-Pharmaceuticals'!$AB$41:$AB$60,MATCH($E79&amp;$F79,'TB-Pharmaceuticals'!$D$41:$D$60&amp;'TB-Pharmaceuticals'!$G$41:$G$60,0)),0)</f>
        <v>0</v>
      </c>
      <c r="AU79" s="626">
        <f t="shared" si="60"/>
        <v>0</v>
      </c>
      <c r="AV79" s="626">
        <f t="shared" si="61"/>
        <v>0</v>
      </c>
      <c r="AW79" s="626">
        <f t="shared" si="62"/>
        <v>0</v>
      </c>
      <c r="AX79" s="625">
        <f t="array" ref="AX79">IFERROR(INDEX('TB-Pharmaceuticals'!$AC$41:$AC$60,MATCH($E79&amp;$F79,'TB-Pharmaceuticals'!$D$41:$D$60&amp;'TB-Pharmaceuticals'!$G$41:$G$60,0)),0)</f>
        <v>0</v>
      </c>
      <c r="AY79" s="626">
        <f t="shared" si="63"/>
        <v>0</v>
      </c>
      <c r="AZ79" s="626">
        <f t="shared" si="64"/>
        <v>0</v>
      </c>
      <c r="BA79" s="626">
        <f t="shared" si="65"/>
        <v>0</v>
      </c>
      <c r="BB79" s="625">
        <f t="array" ref="BB79">IFERROR(INDEX('TB-Pharmaceuticals'!$AD$41:$AD$60,MATCH($E79&amp;$F79,'TB-Pharmaceuticals'!$D$41:$D$60&amp;'TB-Pharmaceuticals'!$G$41:$G$60,0)),0)</f>
        <v>0</v>
      </c>
      <c r="BC79" s="626">
        <f t="shared" si="66"/>
        <v>0</v>
      </c>
      <c r="BD79" s="626">
        <f t="shared" si="67"/>
        <v>0</v>
      </c>
      <c r="BE79" s="626">
        <f t="shared" si="68"/>
        <v>0</v>
      </c>
      <c r="BF79" s="625">
        <f t="array" ref="BF79">IFERROR(INDEX('TB-Pharmaceuticals'!$AE$41:$AE$60,MATCH($E79&amp;$F79,'TB-Pharmaceuticals'!$D$41:$D$60&amp;'TB-Pharmaceuticals'!$G$41:$G$60,0)),0)</f>
        <v>0</v>
      </c>
      <c r="BG79" s="626">
        <f t="shared" si="69"/>
        <v>0</v>
      </c>
      <c r="BH79" s="626">
        <f t="shared" si="70"/>
        <v>0</v>
      </c>
      <c r="BI79" s="626">
        <f t="shared" si="71"/>
        <v>0</v>
      </c>
      <c r="BK79" s="626"/>
      <c r="BL79" s="626"/>
      <c r="BM79" s="626"/>
      <c r="BN79" s="626"/>
      <c r="BO79" s="626"/>
      <c r="BP79" s="626"/>
      <c r="BQ79" s="626"/>
      <c r="BR79" s="626"/>
    </row>
    <row r="80" spans="1:70">
      <c r="A80" s="32" t="s">
        <v>571</v>
      </c>
      <c r="B80" s="32" t="s">
        <v>1739</v>
      </c>
      <c r="C80" s="619">
        <f>SETUP!$F$38</f>
        <v>0</v>
      </c>
      <c r="D80" s="31">
        <v>4.2</v>
      </c>
      <c r="E80" s="32" t="s">
        <v>431</v>
      </c>
      <c r="F80" s="32" t="s">
        <v>1300</v>
      </c>
      <c r="G80" s="625" t="str">
        <f t="array" ref="G80">IFERROR(INDEX('TB-Pharmaceuticals'!$K$41:$K$60,MATCH($E80&amp;$F80,'TB-Pharmaceuticals'!$D$41:$D$60&amp;'TB-Pharmaceuticals'!$G$41:$G$60,0)),"")</f>
        <v/>
      </c>
      <c r="H80" s="625" t="str">
        <f t="array" ref="H80">IFERROR(INDEX('TB-Pharmaceuticals'!$L$41:$L$60,MATCH($E80&amp;$F80,'TB-Pharmaceuticals'!$D$41:$D$60&amp;'TB-Pharmaceuticals'!$G$41:$G$60,0)),"")</f>
        <v/>
      </c>
      <c r="I80" s="625">
        <f t="array" ref="I80">IFERROR(INDEX('TB-Pharmaceuticals'!$M$41:$M$60,MATCH($E80&amp;$F80,'TB-Pharmaceuticals'!$D$41:$D$60&amp;'TB-Pharmaceuticals'!$G$41:$G$60,0)),0)</f>
        <v>0</v>
      </c>
      <c r="J80" s="625">
        <f t="array" ref="J80">IFERROR(INDEX('TB-Pharmaceuticals'!$N$41:$N$60,MATCH($E80&amp;$F80,'TB-Pharmaceuticals'!$D$41:$D$60&amp;'TB-Pharmaceuticals'!$G$41:$G$60,0)),0)</f>
        <v>0</v>
      </c>
      <c r="K80" s="626">
        <f t="shared" si="36"/>
        <v>0</v>
      </c>
      <c r="L80" s="626">
        <f t="shared" si="37"/>
        <v>0</v>
      </c>
      <c r="M80" s="626">
        <f t="shared" si="38"/>
        <v>0</v>
      </c>
      <c r="N80" s="625">
        <f t="array" ref="N80">IFERROR(INDEX('TB-Pharmaceuticals'!$O$41:$O$60,MATCH($E80&amp;$F80,'TB-Pharmaceuticals'!$D$41:$D$60&amp;'TB-Pharmaceuticals'!$G$41:$G$60,0)),0)</f>
        <v>0</v>
      </c>
      <c r="O80" s="626">
        <f t="shared" si="39"/>
        <v>0</v>
      </c>
      <c r="P80" s="626">
        <f t="shared" si="40"/>
        <v>0</v>
      </c>
      <c r="Q80" s="626">
        <f t="shared" si="41"/>
        <v>0</v>
      </c>
      <c r="R80" s="625">
        <f t="array" ref="R80">IFERROR(INDEX('TB-Pharmaceuticals'!$P$41:$P$60,MATCH($E80&amp;$F80,'TB-Pharmaceuticals'!$D$41:$D$60&amp;'TB-Pharmaceuticals'!$G$41:$G$60,0)),0)</f>
        <v>0</v>
      </c>
      <c r="S80" s="626">
        <f t="shared" si="42"/>
        <v>0</v>
      </c>
      <c r="T80" s="626">
        <f t="shared" si="43"/>
        <v>0</v>
      </c>
      <c r="U80" s="626">
        <f t="shared" si="44"/>
        <v>0</v>
      </c>
      <c r="V80" s="625">
        <f t="array" ref="V80">IFERROR(INDEX('TB-Pharmaceuticals'!$Q$41:$Q$60,MATCH($E80&amp;$F80,'TB-Pharmaceuticals'!$D$41:$D$60&amp;'TB-Pharmaceuticals'!$G$41:$G$60,0)),0)</f>
        <v>0</v>
      </c>
      <c r="W80" s="626">
        <f t="shared" si="45"/>
        <v>0</v>
      </c>
      <c r="X80" s="626">
        <f t="shared" si="46"/>
        <v>0</v>
      </c>
      <c r="Y80" s="626">
        <f t="shared" si="47"/>
        <v>0</v>
      </c>
      <c r="Z80" s="627"/>
      <c r="AA80" s="625">
        <f t="array" ref="AA80">IFERROR(INDEX('TB-Pharmaceuticals'!$T$41:$T$60,MATCH($E80&amp;$F80,'TB-Pharmaceuticals'!$D$41:$D$60&amp;'TB-Pharmaceuticals'!$G$41:$G$60,0)),0)</f>
        <v>0</v>
      </c>
      <c r="AB80" s="625">
        <f t="array" ref="AB80">IFERROR(INDEX('TB-Pharmaceuticals'!$U$41:$U$60,MATCH($E80&amp;$F80,'TB-Pharmaceuticals'!$D$41:$D$60&amp;'TB-Pharmaceuticals'!$G$41:$G$60,0)),0)</f>
        <v>0</v>
      </c>
      <c r="AC80" s="626">
        <f t="shared" si="48"/>
        <v>0</v>
      </c>
      <c r="AD80" s="626">
        <f t="shared" si="49"/>
        <v>0</v>
      </c>
      <c r="AE80" s="626">
        <f t="shared" si="50"/>
        <v>0</v>
      </c>
      <c r="AF80" s="625">
        <f t="array" ref="AF80">IFERROR(INDEX('TB-Pharmaceuticals'!$V$41:$V$60,MATCH($E80&amp;$F80,'TB-Pharmaceuticals'!$D$41:$D$60&amp;'TB-Pharmaceuticals'!$G$41:$G$60,0)),0)</f>
        <v>0</v>
      </c>
      <c r="AG80" s="626">
        <f t="shared" si="51"/>
        <v>0</v>
      </c>
      <c r="AH80" s="626">
        <f t="shared" si="52"/>
        <v>0</v>
      </c>
      <c r="AI80" s="626">
        <f t="shared" si="53"/>
        <v>0</v>
      </c>
      <c r="AJ80" s="625">
        <f t="array" ref="AJ80">IFERROR(INDEX('TB-Pharmaceuticals'!$W$41:$W$60,MATCH($E80&amp;$F80,'TB-Pharmaceuticals'!$D$41:$D$60&amp;'TB-Pharmaceuticals'!$G$41:$G$60,0)),0)</f>
        <v>0</v>
      </c>
      <c r="AK80" s="626">
        <f t="shared" si="54"/>
        <v>0</v>
      </c>
      <c r="AL80" s="626">
        <f t="shared" si="55"/>
        <v>0</v>
      </c>
      <c r="AM80" s="626">
        <f t="shared" si="56"/>
        <v>0</v>
      </c>
      <c r="AN80" s="625">
        <f t="array" ref="AN80">IFERROR(INDEX('TB-Pharmaceuticals'!$X$41:$X$60,MATCH($E80&amp;$F80,'TB-Pharmaceuticals'!$D$41:$D$60&amp;'TB-Pharmaceuticals'!$G$41:$G$60,0)),0)</f>
        <v>0</v>
      </c>
      <c r="AO80" s="626">
        <f t="shared" si="57"/>
        <v>0</v>
      </c>
      <c r="AP80" s="626">
        <f t="shared" si="58"/>
        <v>0</v>
      </c>
      <c r="AQ80" s="626">
        <f t="shared" si="59"/>
        <v>0</v>
      </c>
      <c r="AR80" s="627"/>
      <c r="AS80" s="625">
        <f t="array" ref="AS80">IFERROR(INDEX('TB-Pharmaceuticals'!$AA$41:$AA$60,MATCH($E80&amp;$F80,'TB-Pharmaceuticals'!$D$41:$D$60&amp;'TB-Pharmaceuticals'!$G$41:$G$60,0)),0)</f>
        <v>0</v>
      </c>
      <c r="AT80" s="625">
        <f t="array" ref="AT80">IFERROR(INDEX('TB-Pharmaceuticals'!$AB$41:$AB$60,MATCH($E80&amp;$F80,'TB-Pharmaceuticals'!$D$41:$D$60&amp;'TB-Pharmaceuticals'!$G$41:$G$60,0)),0)</f>
        <v>0</v>
      </c>
      <c r="AU80" s="626">
        <f t="shared" si="60"/>
        <v>0</v>
      </c>
      <c r="AV80" s="626">
        <f t="shared" si="61"/>
        <v>0</v>
      </c>
      <c r="AW80" s="626">
        <f t="shared" si="62"/>
        <v>0</v>
      </c>
      <c r="AX80" s="625">
        <f t="array" ref="AX80">IFERROR(INDEX('TB-Pharmaceuticals'!$AC$41:$AC$60,MATCH($E80&amp;$F80,'TB-Pharmaceuticals'!$D$41:$D$60&amp;'TB-Pharmaceuticals'!$G$41:$G$60,0)),0)</f>
        <v>0</v>
      </c>
      <c r="AY80" s="626">
        <f t="shared" si="63"/>
        <v>0</v>
      </c>
      <c r="AZ80" s="626">
        <f t="shared" si="64"/>
        <v>0</v>
      </c>
      <c r="BA80" s="626">
        <f t="shared" si="65"/>
        <v>0</v>
      </c>
      <c r="BB80" s="625">
        <f t="array" ref="BB80">IFERROR(INDEX('TB-Pharmaceuticals'!$AD$41:$AD$60,MATCH($E80&amp;$F80,'TB-Pharmaceuticals'!$D$41:$D$60&amp;'TB-Pharmaceuticals'!$G$41:$G$60,0)),0)</f>
        <v>0</v>
      </c>
      <c r="BC80" s="626">
        <f t="shared" si="66"/>
        <v>0</v>
      </c>
      <c r="BD80" s="626">
        <f t="shared" si="67"/>
        <v>0</v>
      </c>
      <c r="BE80" s="626">
        <f t="shared" si="68"/>
        <v>0</v>
      </c>
      <c r="BF80" s="625">
        <f t="array" ref="BF80">IFERROR(INDEX('TB-Pharmaceuticals'!$AE$41:$AE$60,MATCH($E80&amp;$F80,'TB-Pharmaceuticals'!$D$41:$D$60&amp;'TB-Pharmaceuticals'!$G$41:$G$60,0)),0)</f>
        <v>0</v>
      </c>
      <c r="BG80" s="626">
        <f t="shared" si="69"/>
        <v>0</v>
      </c>
      <c r="BH80" s="626">
        <f t="shared" si="70"/>
        <v>0</v>
      </c>
      <c r="BI80" s="626">
        <f t="shared" si="71"/>
        <v>0</v>
      </c>
      <c r="BK80" s="626"/>
      <c r="BL80" s="626"/>
      <c r="BM80" s="626"/>
      <c r="BN80" s="626"/>
      <c r="BO80" s="626"/>
      <c r="BP80" s="626"/>
      <c r="BQ80" s="626"/>
      <c r="BR80" s="626"/>
    </row>
    <row r="81" spans="1:70">
      <c r="A81" s="32" t="s">
        <v>571</v>
      </c>
      <c r="B81" s="32" t="s">
        <v>1739</v>
      </c>
      <c r="C81" s="619">
        <f>SETUP!$F$38</f>
        <v>0</v>
      </c>
      <c r="D81" s="31">
        <v>4.2</v>
      </c>
      <c r="E81" s="32" t="s">
        <v>431</v>
      </c>
      <c r="F81" s="32" t="s">
        <v>1301</v>
      </c>
      <c r="G81" s="625" t="str">
        <f t="array" ref="G81">IFERROR(INDEX('TB-Pharmaceuticals'!$K$41:$K$60,MATCH($E81&amp;$F81,'TB-Pharmaceuticals'!$D$41:$D$60&amp;'TB-Pharmaceuticals'!$G$41:$G$60,0)),"")</f>
        <v/>
      </c>
      <c r="H81" s="625" t="str">
        <f t="array" ref="H81">IFERROR(INDEX('TB-Pharmaceuticals'!$L$41:$L$60,MATCH($E81&amp;$F81,'TB-Pharmaceuticals'!$D$41:$D$60&amp;'TB-Pharmaceuticals'!$G$41:$G$60,0)),"")</f>
        <v/>
      </c>
      <c r="I81" s="625">
        <f t="array" ref="I81">IFERROR(INDEX('TB-Pharmaceuticals'!$M$41:$M$60,MATCH($E81&amp;$F81,'TB-Pharmaceuticals'!$D$41:$D$60&amp;'TB-Pharmaceuticals'!$G$41:$G$60,0)),0)</f>
        <v>0</v>
      </c>
      <c r="J81" s="625">
        <f t="array" ref="J81">IFERROR(INDEX('TB-Pharmaceuticals'!$N$41:$N$60,MATCH($E81&amp;$F81,'TB-Pharmaceuticals'!$D$41:$D$60&amp;'TB-Pharmaceuticals'!$G$41:$G$60,0)),0)</f>
        <v>0</v>
      </c>
      <c r="K81" s="626">
        <f t="shared" si="36"/>
        <v>0</v>
      </c>
      <c r="L81" s="626">
        <f t="shared" si="37"/>
        <v>0</v>
      </c>
      <c r="M81" s="626">
        <f t="shared" si="38"/>
        <v>0</v>
      </c>
      <c r="N81" s="625">
        <f t="array" ref="N81">IFERROR(INDEX('TB-Pharmaceuticals'!$O$41:$O$60,MATCH($E81&amp;$F81,'TB-Pharmaceuticals'!$D$41:$D$60&amp;'TB-Pharmaceuticals'!$G$41:$G$60,0)),0)</f>
        <v>0</v>
      </c>
      <c r="O81" s="626">
        <f t="shared" si="39"/>
        <v>0</v>
      </c>
      <c r="P81" s="626">
        <f t="shared" si="40"/>
        <v>0</v>
      </c>
      <c r="Q81" s="626">
        <f t="shared" si="41"/>
        <v>0</v>
      </c>
      <c r="R81" s="625">
        <f t="array" ref="R81">IFERROR(INDEX('TB-Pharmaceuticals'!$P$41:$P$60,MATCH($E81&amp;$F81,'TB-Pharmaceuticals'!$D$41:$D$60&amp;'TB-Pharmaceuticals'!$G$41:$G$60,0)),0)</f>
        <v>0</v>
      </c>
      <c r="S81" s="626">
        <f t="shared" si="42"/>
        <v>0</v>
      </c>
      <c r="T81" s="626">
        <f t="shared" si="43"/>
        <v>0</v>
      </c>
      <c r="U81" s="626">
        <f t="shared" si="44"/>
        <v>0</v>
      </c>
      <c r="V81" s="625">
        <f t="array" ref="V81">IFERROR(INDEX('TB-Pharmaceuticals'!$Q$41:$Q$60,MATCH($E81&amp;$F81,'TB-Pharmaceuticals'!$D$41:$D$60&amp;'TB-Pharmaceuticals'!$G$41:$G$60,0)),0)</f>
        <v>0</v>
      </c>
      <c r="W81" s="626">
        <f t="shared" si="45"/>
        <v>0</v>
      </c>
      <c r="X81" s="626">
        <f t="shared" si="46"/>
        <v>0</v>
      </c>
      <c r="Y81" s="626">
        <f t="shared" si="47"/>
        <v>0</v>
      </c>
      <c r="Z81" s="627"/>
      <c r="AA81" s="625">
        <f t="array" ref="AA81">IFERROR(INDEX('TB-Pharmaceuticals'!$T$41:$T$60,MATCH($E81&amp;$F81,'TB-Pharmaceuticals'!$D$41:$D$60&amp;'TB-Pharmaceuticals'!$G$41:$G$60,0)),0)</f>
        <v>0</v>
      </c>
      <c r="AB81" s="625">
        <f t="array" ref="AB81">IFERROR(INDEX('TB-Pharmaceuticals'!$U$41:$U$60,MATCH($E81&amp;$F81,'TB-Pharmaceuticals'!$D$41:$D$60&amp;'TB-Pharmaceuticals'!$G$41:$G$60,0)),0)</f>
        <v>0</v>
      </c>
      <c r="AC81" s="626">
        <f t="shared" si="48"/>
        <v>0</v>
      </c>
      <c r="AD81" s="626">
        <f t="shared" si="49"/>
        <v>0</v>
      </c>
      <c r="AE81" s="626">
        <f t="shared" si="50"/>
        <v>0</v>
      </c>
      <c r="AF81" s="625">
        <f t="array" ref="AF81">IFERROR(INDEX('TB-Pharmaceuticals'!$V$41:$V$60,MATCH($E81&amp;$F81,'TB-Pharmaceuticals'!$D$41:$D$60&amp;'TB-Pharmaceuticals'!$G$41:$G$60,0)),0)</f>
        <v>0</v>
      </c>
      <c r="AG81" s="626">
        <f t="shared" si="51"/>
        <v>0</v>
      </c>
      <c r="AH81" s="626">
        <f t="shared" si="52"/>
        <v>0</v>
      </c>
      <c r="AI81" s="626">
        <f t="shared" si="53"/>
        <v>0</v>
      </c>
      <c r="AJ81" s="625">
        <f t="array" ref="AJ81">IFERROR(INDEX('TB-Pharmaceuticals'!$W$41:$W$60,MATCH($E81&amp;$F81,'TB-Pharmaceuticals'!$D$41:$D$60&amp;'TB-Pharmaceuticals'!$G$41:$G$60,0)),0)</f>
        <v>0</v>
      </c>
      <c r="AK81" s="626">
        <f t="shared" si="54"/>
        <v>0</v>
      </c>
      <c r="AL81" s="626">
        <f t="shared" si="55"/>
        <v>0</v>
      </c>
      <c r="AM81" s="626">
        <f t="shared" si="56"/>
        <v>0</v>
      </c>
      <c r="AN81" s="625">
        <f t="array" ref="AN81">IFERROR(INDEX('TB-Pharmaceuticals'!$X$41:$X$60,MATCH($E81&amp;$F81,'TB-Pharmaceuticals'!$D$41:$D$60&amp;'TB-Pharmaceuticals'!$G$41:$G$60,0)),0)</f>
        <v>0</v>
      </c>
      <c r="AO81" s="626">
        <f t="shared" si="57"/>
        <v>0</v>
      </c>
      <c r="AP81" s="626">
        <f t="shared" si="58"/>
        <v>0</v>
      </c>
      <c r="AQ81" s="626">
        <f t="shared" si="59"/>
        <v>0</v>
      </c>
      <c r="AR81" s="627"/>
      <c r="AS81" s="625">
        <f t="array" ref="AS81">IFERROR(INDEX('TB-Pharmaceuticals'!$AA$41:$AA$60,MATCH($E81&amp;$F81,'TB-Pharmaceuticals'!$D$41:$D$60&amp;'TB-Pharmaceuticals'!$G$41:$G$60,0)),0)</f>
        <v>0</v>
      </c>
      <c r="AT81" s="625">
        <f t="array" ref="AT81">IFERROR(INDEX('TB-Pharmaceuticals'!$AB$41:$AB$60,MATCH($E81&amp;$F81,'TB-Pharmaceuticals'!$D$41:$D$60&amp;'TB-Pharmaceuticals'!$G$41:$G$60,0)),0)</f>
        <v>0</v>
      </c>
      <c r="AU81" s="626">
        <f t="shared" si="60"/>
        <v>0</v>
      </c>
      <c r="AV81" s="626">
        <f t="shared" si="61"/>
        <v>0</v>
      </c>
      <c r="AW81" s="626">
        <f t="shared" si="62"/>
        <v>0</v>
      </c>
      <c r="AX81" s="625">
        <f t="array" ref="AX81">IFERROR(INDEX('TB-Pharmaceuticals'!$AC$41:$AC$60,MATCH($E81&amp;$F81,'TB-Pharmaceuticals'!$D$41:$D$60&amp;'TB-Pharmaceuticals'!$G$41:$G$60,0)),0)</f>
        <v>0</v>
      </c>
      <c r="AY81" s="626">
        <f t="shared" si="63"/>
        <v>0</v>
      </c>
      <c r="AZ81" s="626">
        <f t="shared" si="64"/>
        <v>0</v>
      </c>
      <c r="BA81" s="626">
        <f t="shared" si="65"/>
        <v>0</v>
      </c>
      <c r="BB81" s="625">
        <f t="array" ref="BB81">IFERROR(INDEX('TB-Pharmaceuticals'!$AD$41:$AD$60,MATCH($E81&amp;$F81,'TB-Pharmaceuticals'!$D$41:$D$60&amp;'TB-Pharmaceuticals'!$G$41:$G$60,0)),0)</f>
        <v>0</v>
      </c>
      <c r="BC81" s="626">
        <f t="shared" si="66"/>
        <v>0</v>
      </c>
      <c r="BD81" s="626">
        <f t="shared" si="67"/>
        <v>0</v>
      </c>
      <c r="BE81" s="626">
        <f t="shared" si="68"/>
        <v>0</v>
      </c>
      <c r="BF81" s="625">
        <f t="array" ref="BF81">IFERROR(INDEX('TB-Pharmaceuticals'!$AE$41:$AE$60,MATCH($E81&amp;$F81,'TB-Pharmaceuticals'!$D$41:$D$60&amp;'TB-Pharmaceuticals'!$G$41:$G$60,0)),0)</f>
        <v>0</v>
      </c>
      <c r="BG81" s="626">
        <f t="shared" si="69"/>
        <v>0</v>
      </c>
      <c r="BH81" s="626">
        <f t="shared" si="70"/>
        <v>0</v>
      </c>
      <c r="BI81" s="626">
        <f t="shared" si="71"/>
        <v>0</v>
      </c>
      <c r="BK81" s="626"/>
      <c r="BL81" s="626"/>
      <c r="BM81" s="626"/>
      <c r="BN81" s="626"/>
      <c r="BO81" s="626"/>
      <c r="BP81" s="626"/>
      <c r="BQ81" s="626"/>
      <c r="BR81" s="626"/>
    </row>
    <row r="82" spans="1:70">
      <c r="A82" s="32" t="s">
        <v>571</v>
      </c>
      <c r="B82" s="32" t="s">
        <v>1739</v>
      </c>
      <c r="C82" s="619">
        <f>SETUP!$F$38</f>
        <v>0</v>
      </c>
      <c r="D82" s="31">
        <v>4.2</v>
      </c>
      <c r="E82" s="32" t="s">
        <v>303</v>
      </c>
      <c r="F82" s="32" t="s">
        <v>1302</v>
      </c>
      <c r="G82" s="625" t="str">
        <f t="array" ref="G82">IFERROR(INDEX('TB-Pharmaceuticals'!$K$41:$K$60,MATCH($E82&amp;$F82,'TB-Pharmaceuticals'!$D$41:$D$60&amp;'TB-Pharmaceuticals'!$G$41:$G$60,0)),"")</f>
        <v/>
      </c>
      <c r="H82" s="625" t="str">
        <f t="array" ref="H82">IFERROR(INDEX('TB-Pharmaceuticals'!$L$41:$L$60,MATCH($E82&amp;$F82,'TB-Pharmaceuticals'!$D$41:$D$60&amp;'TB-Pharmaceuticals'!$G$41:$G$60,0)),"")</f>
        <v/>
      </c>
      <c r="I82" s="625">
        <f t="array" ref="I82">IFERROR(INDEX('TB-Pharmaceuticals'!$M$41:$M$60,MATCH($E82&amp;$F82,'TB-Pharmaceuticals'!$D$41:$D$60&amp;'TB-Pharmaceuticals'!$G$41:$G$60,0)),0)</f>
        <v>0</v>
      </c>
      <c r="J82" s="625">
        <f t="array" ref="J82">IFERROR(INDEX('TB-Pharmaceuticals'!$N$41:$N$60,MATCH($E82&amp;$F82,'TB-Pharmaceuticals'!$D$41:$D$60&amp;'TB-Pharmaceuticals'!$G$41:$G$60,0)),0)</f>
        <v>0</v>
      </c>
      <c r="K82" s="626">
        <f t="shared" si="36"/>
        <v>0</v>
      </c>
      <c r="L82" s="626">
        <f t="shared" si="37"/>
        <v>0</v>
      </c>
      <c r="M82" s="626">
        <f t="shared" si="38"/>
        <v>0</v>
      </c>
      <c r="N82" s="625">
        <f t="array" ref="N82">IFERROR(INDEX('TB-Pharmaceuticals'!$O$41:$O$60,MATCH($E82&amp;$F82,'TB-Pharmaceuticals'!$D$41:$D$60&amp;'TB-Pharmaceuticals'!$G$41:$G$60,0)),0)</f>
        <v>0</v>
      </c>
      <c r="O82" s="626">
        <f t="shared" si="39"/>
        <v>0</v>
      </c>
      <c r="P82" s="626">
        <f t="shared" si="40"/>
        <v>0</v>
      </c>
      <c r="Q82" s="626">
        <f t="shared" si="41"/>
        <v>0</v>
      </c>
      <c r="R82" s="625">
        <f t="array" ref="R82">IFERROR(INDEX('TB-Pharmaceuticals'!$P$41:$P$60,MATCH($E82&amp;$F82,'TB-Pharmaceuticals'!$D$41:$D$60&amp;'TB-Pharmaceuticals'!$G$41:$G$60,0)),0)</f>
        <v>0</v>
      </c>
      <c r="S82" s="626">
        <f t="shared" si="42"/>
        <v>0</v>
      </c>
      <c r="T82" s="626">
        <f t="shared" si="43"/>
        <v>0</v>
      </c>
      <c r="U82" s="626">
        <f t="shared" si="44"/>
        <v>0</v>
      </c>
      <c r="V82" s="625">
        <f t="array" ref="V82">IFERROR(INDEX('TB-Pharmaceuticals'!$Q$41:$Q$60,MATCH($E82&amp;$F82,'TB-Pharmaceuticals'!$D$41:$D$60&amp;'TB-Pharmaceuticals'!$G$41:$G$60,0)),0)</f>
        <v>0</v>
      </c>
      <c r="W82" s="626">
        <f t="shared" si="45"/>
        <v>0</v>
      </c>
      <c r="X82" s="626">
        <f t="shared" si="46"/>
        <v>0</v>
      </c>
      <c r="Y82" s="626">
        <f t="shared" si="47"/>
        <v>0</v>
      </c>
      <c r="Z82" s="627"/>
      <c r="AA82" s="625">
        <f t="array" ref="AA82">IFERROR(INDEX('TB-Pharmaceuticals'!$T$41:$T$60,MATCH($E82&amp;$F82,'TB-Pharmaceuticals'!$D$41:$D$60&amp;'TB-Pharmaceuticals'!$G$41:$G$60,0)),0)</f>
        <v>0</v>
      </c>
      <c r="AB82" s="625">
        <f t="array" ref="AB82">IFERROR(INDEX('TB-Pharmaceuticals'!$U$41:$U$60,MATCH($E82&amp;$F82,'TB-Pharmaceuticals'!$D$41:$D$60&amp;'TB-Pharmaceuticals'!$G$41:$G$60,0)),0)</f>
        <v>0</v>
      </c>
      <c r="AC82" s="626">
        <f t="shared" si="48"/>
        <v>0</v>
      </c>
      <c r="AD82" s="626">
        <f t="shared" si="49"/>
        <v>0</v>
      </c>
      <c r="AE82" s="626">
        <f t="shared" si="50"/>
        <v>0</v>
      </c>
      <c r="AF82" s="625">
        <f t="array" ref="AF82">IFERROR(INDEX('TB-Pharmaceuticals'!$V$41:$V$60,MATCH($E82&amp;$F82,'TB-Pharmaceuticals'!$D$41:$D$60&amp;'TB-Pharmaceuticals'!$G$41:$G$60,0)),0)</f>
        <v>0</v>
      </c>
      <c r="AG82" s="626">
        <f t="shared" si="51"/>
        <v>0</v>
      </c>
      <c r="AH82" s="626">
        <f t="shared" si="52"/>
        <v>0</v>
      </c>
      <c r="AI82" s="626">
        <f t="shared" si="53"/>
        <v>0</v>
      </c>
      <c r="AJ82" s="625">
        <f t="array" ref="AJ82">IFERROR(INDEX('TB-Pharmaceuticals'!$W$41:$W$60,MATCH($E82&amp;$F82,'TB-Pharmaceuticals'!$D$41:$D$60&amp;'TB-Pharmaceuticals'!$G$41:$G$60,0)),0)</f>
        <v>0</v>
      </c>
      <c r="AK82" s="626">
        <f t="shared" si="54"/>
        <v>0</v>
      </c>
      <c r="AL82" s="626">
        <f t="shared" si="55"/>
        <v>0</v>
      </c>
      <c r="AM82" s="626">
        <f t="shared" si="56"/>
        <v>0</v>
      </c>
      <c r="AN82" s="625">
        <f t="array" ref="AN82">IFERROR(INDEX('TB-Pharmaceuticals'!$X$41:$X$60,MATCH($E82&amp;$F82,'TB-Pharmaceuticals'!$D$41:$D$60&amp;'TB-Pharmaceuticals'!$G$41:$G$60,0)),0)</f>
        <v>0</v>
      </c>
      <c r="AO82" s="626">
        <f t="shared" si="57"/>
        <v>0</v>
      </c>
      <c r="AP82" s="626">
        <f t="shared" si="58"/>
        <v>0</v>
      </c>
      <c r="AQ82" s="626">
        <f t="shared" si="59"/>
        <v>0</v>
      </c>
      <c r="AR82" s="627"/>
      <c r="AS82" s="625">
        <f t="array" ref="AS82">IFERROR(INDEX('TB-Pharmaceuticals'!$AA$41:$AA$60,MATCH($E82&amp;$F82,'TB-Pharmaceuticals'!$D$41:$D$60&amp;'TB-Pharmaceuticals'!$G$41:$G$60,0)),0)</f>
        <v>0</v>
      </c>
      <c r="AT82" s="625">
        <f t="array" ref="AT82">IFERROR(INDEX('TB-Pharmaceuticals'!$AB$41:$AB$60,MATCH($E82&amp;$F82,'TB-Pharmaceuticals'!$D$41:$D$60&amp;'TB-Pharmaceuticals'!$G$41:$G$60,0)),0)</f>
        <v>0</v>
      </c>
      <c r="AU82" s="626">
        <f t="shared" si="60"/>
        <v>0</v>
      </c>
      <c r="AV82" s="626">
        <f t="shared" si="61"/>
        <v>0</v>
      </c>
      <c r="AW82" s="626">
        <f t="shared" si="62"/>
        <v>0</v>
      </c>
      <c r="AX82" s="625">
        <f t="array" ref="AX82">IFERROR(INDEX('TB-Pharmaceuticals'!$AC$41:$AC$60,MATCH($E82&amp;$F82,'TB-Pharmaceuticals'!$D$41:$D$60&amp;'TB-Pharmaceuticals'!$G$41:$G$60,0)),0)</f>
        <v>0</v>
      </c>
      <c r="AY82" s="626">
        <f t="shared" si="63"/>
        <v>0</v>
      </c>
      <c r="AZ82" s="626">
        <f t="shared" si="64"/>
        <v>0</v>
      </c>
      <c r="BA82" s="626">
        <f t="shared" si="65"/>
        <v>0</v>
      </c>
      <c r="BB82" s="625">
        <f t="array" ref="BB82">IFERROR(INDEX('TB-Pharmaceuticals'!$AD$41:$AD$60,MATCH($E82&amp;$F82,'TB-Pharmaceuticals'!$D$41:$D$60&amp;'TB-Pharmaceuticals'!$G$41:$G$60,0)),0)</f>
        <v>0</v>
      </c>
      <c r="BC82" s="626">
        <f t="shared" si="66"/>
        <v>0</v>
      </c>
      <c r="BD82" s="626">
        <f t="shared" si="67"/>
        <v>0</v>
      </c>
      <c r="BE82" s="626">
        <f t="shared" si="68"/>
        <v>0</v>
      </c>
      <c r="BF82" s="625">
        <f t="array" ref="BF82">IFERROR(INDEX('TB-Pharmaceuticals'!$AE$41:$AE$60,MATCH($E82&amp;$F82,'TB-Pharmaceuticals'!$D$41:$D$60&amp;'TB-Pharmaceuticals'!$G$41:$G$60,0)),0)</f>
        <v>0</v>
      </c>
      <c r="BG82" s="626">
        <f t="shared" si="69"/>
        <v>0</v>
      </c>
      <c r="BH82" s="626">
        <f t="shared" si="70"/>
        <v>0</v>
      </c>
      <c r="BI82" s="626">
        <f t="shared" si="71"/>
        <v>0</v>
      </c>
      <c r="BK82" s="626"/>
      <c r="BL82" s="626"/>
      <c r="BM82" s="626"/>
      <c r="BN82" s="626"/>
      <c r="BO82" s="626"/>
      <c r="BP82" s="626"/>
      <c r="BQ82" s="626"/>
      <c r="BR82" s="626"/>
    </row>
    <row r="83" spans="1:70">
      <c r="A83" s="32" t="s">
        <v>571</v>
      </c>
      <c r="B83" s="32" t="s">
        <v>1739</v>
      </c>
      <c r="C83" s="619">
        <f>SETUP!$F$38</f>
        <v>0</v>
      </c>
      <c r="D83" s="31">
        <v>4.2</v>
      </c>
      <c r="E83" s="32" t="s">
        <v>303</v>
      </c>
      <c r="F83" s="32" t="s">
        <v>1303</v>
      </c>
      <c r="G83" s="625" t="str">
        <f t="array" ref="G83">IFERROR(INDEX('TB-Pharmaceuticals'!$K$41:$K$60,MATCH($E83&amp;$F83,'TB-Pharmaceuticals'!$D$41:$D$60&amp;'TB-Pharmaceuticals'!$G$41:$G$60,0)),"")</f>
        <v/>
      </c>
      <c r="H83" s="625" t="str">
        <f t="array" ref="H83">IFERROR(INDEX('TB-Pharmaceuticals'!$L$41:$L$60,MATCH($E83&amp;$F83,'TB-Pharmaceuticals'!$D$41:$D$60&amp;'TB-Pharmaceuticals'!$G$41:$G$60,0)),"")</f>
        <v/>
      </c>
      <c r="I83" s="625">
        <f t="array" ref="I83">IFERROR(INDEX('TB-Pharmaceuticals'!$M$41:$M$60,MATCH($E83&amp;$F83,'TB-Pharmaceuticals'!$D$41:$D$60&amp;'TB-Pharmaceuticals'!$G$41:$G$60,0)),0)</f>
        <v>0</v>
      </c>
      <c r="J83" s="625">
        <f t="array" ref="J83">IFERROR(INDEX('TB-Pharmaceuticals'!$N$41:$N$60,MATCH($E83&amp;$F83,'TB-Pharmaceuticals'!$D$41:$D$60&amp;'TB-Pharmaceuticals'!$G$41:$G$60,0)),0)</f>
        <v>0</v>
      </c>
      <c r="K83" s="626">
        <f t="shared" si="36"/>
        <v>0</v>
      </c>
      <c r="L83" s="626">
        <f t="shared" si="37"/>
        <v>0</v>
      </c>
      <c r="M83" s="626">
        <f t="shared" si="38"/>
        <v>0</v>
      </c>
      <c r="N83" s="625">
        <f t="array" ref="N83">IFERROR(INDEX('TB-Pharmaceuticals'!$O$41:$O$60,MATCH($E83&amp;$F83,'TB-Pharmaceuticals'!$D$41:$D$60&amp;'TB-Pharmaceuticals'!$G$41:$G$60,0)),0)</f>
        <v>0</v>
      </c>
      <c r="O83" s="626">
        <f t="shared" si="39"/>
        <v>0</v>
      </c>
      <c r="P83" s="626">
        <f t="shared" si="40"/>
        <v>0</v>
      </c>
      <c r="Q83" s="626">
        <f t="shared" si="41"/>
        <v>0</v>
      </c>
      <c r="R83" s="625">
        <f t="array" ref="R83">IFERROR(INDEX('TB-Pharmaceuticals'!$P$41:$P$60,MATCH($E83&amp;$F83,'TB-Pharmaceuticals'!$D$41:$D$60&amp;'TB-Pharmaceuticals'!$G$41:$G$60,0)),0)</f>
        <v>0</v>
      </c>
      <c r="S83" s="626">
        <f t="shared" si="42"/>
        <v>0</v>
      </c>
      <c r="T83" s="626">
        <f t="shared" si="43"/>
        <v>0</v>
      </c>
      <c r="U83" s="626">
        <f t="shared" si="44"/>
        <v>0</v>
      </c>
      <c r="V83" s="625">
        <f t="array" ref="V83">IFERROR(INDEX('TB-Pharmaceuticals'!$Q$41:$Q$60,MATCH($E83&amp;$F83,'TB-Pharmaceuticals'!$D$41:$D$60&amp;'TB-Pharmaceuticals'!$G$41:$G$60,0)),0)</f>
        <v>0</v>
      </c>
      <c r="W83" s="626">
        <f t="shared" si="45"/>
        <v>0</v>
      </c>
      <c r="X83" s="626">
        <f t="shared" si="46"/>
        <v>0</v>
      </c>
      <c r="Y83" s="626">
        <f t="shared" si="47"/>
        <v>0</v>
      </c>
      <c r="Z83" s="627"/>
      <c r="AA83" s="625">
        <f t="array" ref="AA83">IFERROR(INDEX('TB-Pharmaceuticals'!$T$41:$T$60,MATCH($E83&amp;$F83,'TB-Pharmaceuticals'!$D$41:$D$60&amp;'TB-Pharmaceuticals'!$G$41:$G$60,0)),0)</f>
        <v>0</v>
      </c>
      <c r="AB83" s="625">
        <f t="array" ref="AB83">IFERROR(INDEX('TB-Pharmaceuticals'!$U$41:$U$60,MATCH($E83&amp;$F83,'TB-Pharmaceuticals'!$D$41:$D$60&amp;'TB-Pharmaceuticals'!$G$41:$G$60,0)),0)</f>
        <v>0</v>
      </c>
      <c r="AC83" s="626">
        <f t="shared" si="48"/>
        <v>0</v>
      </c>
      <c r="AD83" s="626">
        <f t="shared" si="49"/>
        <v>0</v>
      </c>
      <c r="AE83" s="626">
        <f t="shared" si="50"/>
        <v>0</v>
      </c>
      <c r="AF83" s="625">
        <f t="array" ref="AF83">IFERROR(INDEX('TB-Pharmaceuticals'!$V$41:$V$60,MATCH($E83&amp;$F83,'TB-Pharmaceuticals'!$D$41:$D$60&amp;'TB-Pharmaceuticals'!$G$41:$G$60,0)),0)</f>
        <v>0</v>
      </c>
      <c r="AG83" s="626">
        <f t="shared" si="51"/>
        <v>0</v>
      </c>
      <c r="AH83" s="626">
        <f t="shared" si="52"/>
        <v>0</v>
      </c>
      <c r="AI83" s="626">
        <f t="shared" si="53"/>
        <v>0</v>
      </c>
      <c r="AJ83" s="625">
        <f t="array" ref="AJ83">IFERROR(INDEX('TB-Pharmaceuticals'!$W$41:$W$60,MATCH($E83&amp;$F83,'TB-Pharmaceuticals'!$D$41:$D$60&amp;'TB-Pharmaceuticals'!$G$41:$G$60,0)),0)</f>
        <v>0</v>
      </c>
      <c r="AK83" s="626">
        <f t="shared" si="54"/>
        <v>0</v>
      </c>
      <c r="AL83" s="626">
        <f t="shared" si="55"/>
        <v>0</v>
      </c>
      <c r="AM83" s="626">
        <f t="shared" si="56"/>
        <v>0</v>
      </c>
      <c r="AN83" s="625">
        <f t="array" ref="AN83">IFERROR(INDEX('TB-Pharmaceuticals'!$X$41:$X$60,MATCH($E83&amp;$F83,'TB-Pharmaceuticals'!$D$41:$D$60&amp;'TB-Pharmaceuticals'!$G$41:$G$60,0)),0)</f>
        <v>0</v>
      </c>
      <c r="AO83" s="626">
        <f t="shared" si="57"/>
        <v>0</v>
      </c>
      <c r="AP83" s="626">
        <f t="shared" si="58"/>
        <v>0</v>
      </c>
      <c r="AQ83" s="626">
        <f t="shared" si="59"/>
        <v>0</v>
      </c>
      <c r="AR83" s="627"/>
      <c r="AS83" s="625">
        <f t="array" ref="AS83">IFERROR(INDEX('TB-Pharmaceuticals'!$AA$41:$AA$60,MATCH($E83&amp;$F83,'TB-Pharmaceuticals'!$D$41:$D$60&amp;'TB-Pharmaceuticals'!$G$41:$G$60,0)),0)</f>
        <v>0</v>
      </c>
      <c r="AT83" s="625">
        <f t="array" ref="AT83">IFERROR(INDEX('TB-Pharmaceuticals'!$AB$41:$AB$60,MATCH($E83&amp;$F83,'TB-Pharmaceuticals'!$D$41:$D$60&amp;'TB-Pharmaceuticals'!$G$41:$G$60,0)),0)</f>
        <v>0</v>
      </c>
      <c r="AU83" s="626">
        <f t="shared" si="60"/>
        <v>0</v>
      </c>
      <c r="AV83" s="626">
        <f t="shared" si="61"/>
        <v>0</v>
      </c>
      <c r="AW83" s="626">
        <f t="shared" si="62"/>
        <v>0</v>
      </c>
      <c r="AX83" s="625">
        <f t="array" ref="AX83">IFERROR(INDEX('TB-Pharmaceuticals'!$AC$41:$AC$60,MATCH($E83&amp;$F83,'TB-Pharmaceuticals'!$D$41:$D$60&amp;'TB-Pharmaceuticals'!$G$41:$G$60,0)),0)</f>
        <v>0</v>
      </c>
      <c r="AY83" s="626">
        <f t="shared" si="63"/>
        <v>0</v>
      </c>
      <c r="AZ83" s="626">
        <f t="shared" si="64"/>
        <v>0</v>
      </c>
      <c r="BA83" s="626">
        <f t="shared" si="65"/>
        <v>0</v>
      </c>
      <c r="BB83" s="625">
        <f t="array" ref="BB83">IFERROR(INDEX('TB-Pharmaceuticals'!$AD$41:$AD$60,MATCH($E83&amp;$F83,'TB-Pharmaceuticals'!$D$41:$D$60&amp;'TB-Pharmaceuticals'!$G$41:$G$60,0)),0)</f>
        <v>0</v>
      </c>
      <c r="BC83" s="626">
        <f t="shared" si="66"/>
        <v>0</v>
      </c>
      <c r="BD83" s="626">
        <f t="shared" si="67"/>
        <v>0</v>
      </c>
      <c r="BE83" s="626">
        <f t="shared" si="68"/>
        <v>0</v>
      </c>
      <c r="BF83" s="625">
        <f t="array" ref="BF83">IFERROR(INDEX('TB-Pharmaceuticals'!$AE$41:$AE$60,MATCH($E83&amp;$F83,'TB-Pharmaceuticals'!$D$41:$D$60&amp;'TB-Pharmaceuticals'!$G$41:$G$60,0)),0)</f>
        <v>0</v>
      </c>
      <c r="BG83" s="626">
        <f t="shared" si="69"/>
        <v>0</v>
      </c>
      <c r="BH83" s="626">
        <f t="shared" si="70"/>
        <v>0</v>
      </c>
      <c r="BI83" s="626">
        <f t="shared" si="71"/>
        <v>0</v>
      </c>
      <c r="BK83" s="626"/>
      <c r="BL83" s="626"/>
      <c r="BM83" s="626"/>
      <c r="BN83" s="626"/>
      <c r="BO83" s="626"/>
      <c r="BP83" s="626"/>
      <c r="BQ83" s="626"/>
      <c r="BR83" s="626"/>
    </row>
    <row r="84" spans="1:70">
      <c r="A84" s="32" t="s">
        <v>571</v>
      </c>
      <c r="B84" s="32" t="s">
        <v>1739</v>
      </c>
      <c r="C84" s="619">
        <f>SETUP!$F$38</f>
        <v>0</v>
      </c>
      <c r="D84" s="31">
        <v>4.2</v>
      </c>
      <c r="E84" s="32" t="s">
        <v>433</v>
      </c>
      <c r="F84" s="32" t="s">
        <v>447</v>
      </c>
      <c r="G84" s="625" t="str">
        <f t="array" ref="G84">IFERROR(INDEX('TB-Pharmaceuticals'!$K$41:$K$60,MATCH($E84&amp;$F84,'TB-Pharmaceuticals'!$D$41:$D$60&amp;'TB-Pharmaceuticals'!$G$41:$G$60,0)),"")</f>
        <v/>
      </c>
      <c r="H84" s="625" t="str">
        <f t="array" ref="H84">IFERROR(INDEX('TB-Pharmaceuticals'!$L$41:$L$60,MATCH($E84&amp;$F84,'TB-Pharmaceuticals'!$D$41:$D$60&amp;'TB-Pharmaceuticals'!$G$41:$G$60,0)),"")</f>
        <v/>
      </c>
      <c r="I84" s="625">
        <f t="array" ref="I84">IFERROR(INDEX('TB-Pharmaceuticals'!$M$41:$M$60,MATCH($E84&amp;$F84,'TB-Pharmaceuticals'!$D$41:$D$60&amp;'TB-Pharmaceuticals'!$G$41:$G$60,0)),0)</f>
        <v>0</v>
      </c>
      <c r="J84" s="625">
        <f t="array" ref="J84">IFERROR(INDEX('TB-Pharmaceuticals'!$N$41:$N$60,MATCH($E84&amp;$F84,'TB-Pharmaceuticals'!$D$41:$D$60&amp;'TB-Pharmaceuticals'!$G$41:$G$60,0)),0)</f>
        <v>0</v>
      </c>
      <c r="K84" s="626">
        <f t="shared" si="36"/>
        <v>0</v>
      </c>
      <c r="L84" s="626">
        <f t="shared" si="37"/>
        <v>0</v>
      </c>
      <c r="M84" s="626">
        <f t="shared" si="38"/>
        <v>0</v>
      </c>
      <c r="N84" s="625">
        <f t="array" ref="N84">IFERROR(INDEX('TB-Pharmaceuticals'!$O$41:$O$60,MATCH($E84&amp;$F84,'TB-Pharmaceuticals'!$D$41:$D$60&amp;'TB-Pharmaceuticals'!$G$41:$G$60,0)),0)</f>
        <v>0</v>
      </c>
      <c r="O84" s="626">
        <f t="shared" si="39"/>
        <v>0</v>
      </c>
      <c r="P84" s="626">
        <f t="shared" si="40"/>
        <v>0</v>
      </c>
      <c r="Q84" s="626">
        <f t="shared" si="41"/>
        <v>0</v>
      </c>
      <c r="R84" s="625">
        <f t="array" ref="R84">IFERROR(INDEX('TB-Pharmaceuticals'!$P$41:$P$60,MATCH($E84&amp;$F84,'TB-Pharmaceuticals'!$D$41:$D$60&amp;'TB-Pharmaceuticals'!$G$41:$G$60,0)),0)</f>
        <v>0</v>
      </c>
      <c r="S84" s="626">
        <f t="shared" si="42"/>
        <v>0</v>
      </c>
      <c r="T84" s="626">
        <f t="shared" si="43"/>
        <v>0</v>
      </c>
      <c r="U84" s="626">
        <f t="shared" si="44"/>
        <v>0</v>
      </c>
      <c r="V84" s="625">
        <f t="array" ref="V84">IFERROR(INDEX('TB-Pharmaceuticals'!$Q$41:$Q$60,MATCH($E84&amp;$F84,'TB-Pharmaceuticals'!$D$41:$D$60&amp;'TB-Pharmaceuticals'!$G$41:$G$60,0)),0)</f>
        <v>0</v>
      </c>
      <c r="W84" s="626">
        <f t="shared" si="45"/>
        <v>0</v>
      </c>
      <c r="X84" s="626">
        <f t="shared" si="46"/>
        <v>0</v>
      </c>
      <c r="Y84" s="626">
        <f t="shared" si="47"/>
        <v>0</v>
      </c>
      <c r="Z84" s="627"/>
      <c r="AA84" s="625">
        <f t="array" ref="AA84">IFERROR(INDEX('TB-Pharmaceuticals'!$T$41:$T$60,MATCH($E84&amp;$F84,'TB-Pharmaceuticals'!$D$41:$D$60&amp;'TB-Pharmaceuticals'!$G$41:$G$60,0)),0)</f>
        <v>0</v>
      </c>
      <c r="AB84" s="625">
        <f t="array" ref="AB84">IFERROR(INDEX('TB-Pharmaceuticals'!$U$41:$U$60,MATCH($E84&amp;$F84,'TB-Pharmaceuticals'!$D$41:$D$60&amp;'TB-Pharmaceuticals'!$G$41:$G$60,0)),0)</f>
        <v>0</v>
      </c>
      <c r="AC84" s="626">
        <f t="shared" si="48"/>
        <v>0</v>
      </c>
      <c r="AD84" s="626">
        <f t="shared" si="49"/>
        <v>0</v>
      </c>
      <c r="AE84" s="626">
        <f t="shared" si="50"/>
        <v>0</v>
      </c>
      <c r="AF84" s="625">
        <f t="array" ref="AF84">IFERROR(INDEX('TB-Pharmaceuticals'!$V$41:$V$60,MATCH($E84&amp;$F84,'TB-Pharmaceuticals'!$D$41:$D$60&amp;'TB-Pharmaceuticals'!$G$41:$G$60,0)),0)</f>
        <v>0</v>
      </c>
      <c r="AG84" s="626">
        <f t="shared" si="51"/>
        <v>0</v>
      </c>
      <c r="AH84" s="626">
        <f t="shared" si="52"/>
        <v>0</v>
      </c>
      <c r="AI84" s="626">
        <f t="shared" si="53"/>
        <v>0</v>
      </c>
      <c r="AJ84" s="625">
        <f t="array" ref="AJ84">IFERROR(INDEX('TB-Pharmaceuticals'!$W$41:$W$60,MATCH($E84&amp;$F84,'TB-Pharmaceuticals'!$D$41:$D$60&amp;'TB-Pharmaceuticals'!$G$41:$G$60,0)),0)</f>
        <v>0</v>
      </c>
      <c r="AK84" s="626">
        <f t="shared" si="54"/>
        <v>0</v>
      </c>
      <c r="AL84" s="626">
        <f t="shared" si="55"/>
        <v>0</v>
      </c>
      <c r="AM84" s="626">
        <f t="shared" si="56"/>
        <v>0</v>
      </c>
      <c r="AN84" s="625">
        <f t="array" ref="AN84">IFERROR(INDEX('TB-Pharmaceuticals'!$X$41:$X$60,MATCH($E84&amp;$F84,'TB-Pharmaceuticals'!$D$41:$D$60&amp;'TB-Pharmaceuticals'!$G$41:$G$60,0)),0)</f>
        <v>0</v>
      </c>
      <c r="AO84" s="626">
        <f t="shared" si="57"/>
        <v>0</v>
      </c>
      <c r="AP84" s="626">
        <f t="shared" si="58"/>
        <v>0</v>
      </c>
      <c r="AQ84" s="626">
        <f t="shared" si="59"/>
        <v>0</v>
      </c>
      <c r="AR84" s="627"/>
      <c r="AS84" s="625">
        <f t="array" ref="AS84">IFERROR(INDEX('TB-Pharmaceuticals'!$AA$41:$AA$60,MATCH($E84&amp;$F84,'TB-Pharmaceuticals'!$D$41:$D$60&amp;'TB-Pharmaceuticals'!$G$41:$G$60,0)),0)</f>
        <v>0</v>
      </c>
      <c r="AT84" s="625">
        <f t="array" ref="AT84">IFERROR(INDEX('TB-Pharmaceuticals'!$AB$41:$AB$60,MATCH($E84&amp;$F84,'TB-Pharmaceuticals'!$D$41:$D$60&amp;'TB-Pharmaceuticals'!$G$41:$G$60,0)),0)</f>
        <v>0</v>
      </c>
      <c r="AU84" s="626">
        <f t="shared" si="60"/>
        <v>0</v>
      </c>
      <c r="AV84" s="626">
        <f t="shared" si="61"/>
        <v>0</v>
      </c>
      <c r="AW84" s="626">
        <f t="shared" si="62"/>
        <v>0</v>
      </c>
      <c r="AX84" s="625">
        <f t="array" ref="AX84">IFERROR(INDEX('TB-Pharmaceuticals'!$AC$41:$AC$60,MATCH($E84&amp;$F84,'TB-Pharmaceuticals'!$D$41:$D$60&amp;'TB-Pharmaceuticals'!$G$41:$G$60,0)),0)</f>
        <v>0</v>
      </c>
      <c r="AY84" s="626">
        <f t="shared" si="63"/>
        <v>0</v>
      </c>
      <c r="AZ84" s="626">
        <f t="shared" si="64"/>
        <v>0</v>
      </c>
      <c r="BA84" s="626">
        <f t="shared" si="65"/>
        <v>0</v>
      </c>
      <c r="BB84" s="625">
        <f t="array" ref="BB84">IFERROR(INDEX('TB-Pharmaceuticals'!$AD$41:$AD$60,MATCH($E84&amp;$F84,'TB-Pharmaceuticals'!$D$41:$D$60&amp;'TB-Pharmaceuticals'!$G$41:$G$60,0)),0)</f>
        <v>0</v>
      </c>
      <c r="BC84" s="626">
        <f t="shared" si="66"/>
        <v>0</v>
      </c>
      <c r="BD84" s="626">
        <f t="shared" si="67"/>
        <v>0</v>
      </c>
      <c r="BE84" s="626">
        <f t="shared" si="68"/>
        <v>0</v>
      </c>
      <c r="BF84" s="625">
        <f t="array" ref="BF84">IFERROR(INDEX('TB-Pharmaceuticals'!$AE$41:$AE$60,MATCH($E84&amp;$F84,'TB-Pharmaceuticals'!$D$41:$D$60&amp;'TB-Pharmaceuticals'!$G$41:$G$60,0)),0)</f>
        <v>0</v>
      </c>
      <c r="BG84" s="626">
        <f t="shared" si="69"/>
        <v>0</v>
      </c>
      <c r="BH84" s="626">
        <f t="shared" si="70"/>
        <v>0</v>
      </c>
      <c r="BI84" s="626">
        <f t="shared" si="71"/>
        <v>0</v>
      </c>
      <c r="BK84" s="626"/>
      <c r="BL84" s="626"/>
      <c r="BM84" s="626"/>
      <c r="BN84" s="626"/>
      <c r="BO84" s="626"/>
      <c r="BP84" s="626"/>
      <c r="BQ84" s="626"/>
      <c r="BR84" s="626"/>
    </row>
    <row r="85" spans="1:70">
      <c r="A85" s="32" t="s">
        <v>571</v>
      </c>
      <c r="B85" s="32" t="s">
        <v>1739</v>
      </c>
      <c r="C85" s="619">
        <f>SETUP!$F$38</f>
        <v>0</v>
      </c>
      <c r="D85" s="31">
        <v>4.2</v>
      </c>
      <c r="E85" s="32" t="s">
        <v>434</v>
      </c>
      <c r="F85" s="32" t="s">
        <v>1282</v>
      </c>
      <c r="G85" s="625" t="str">
        <f t="array" ref="G85">IFERROR(INDEX('TB-Pharmaceuticals'!$K$41:$K$60,MATCH($E85&amp;$F85,'TB-Pharmaceuticals'!$D$41:$D$60&amp;'TB-Pharmaceuticals'!$G$41:$G$60,0)),"")</f>
        <v/>
      </c>
      <c r="H85" s="625" t="str">
        <f t="array" ref="H85">IFERROR(INDEX('TB-Pharmaceuticals'!$L$41:$L$60,MATCH($E85&amp;$F85,'TB-Pharmaceuticals'!$D$41:$D$60&amp;'TB-Pharmaceuticals'!$G$41:$G$60,0)),"")</f>
        <v/>
      </c>
      <c r="I85" s="625">
        <f t="array" ref="I85">IFERROR(INDEX('TB-Pharmaceuticals'!$M$41:$M$60,MATCH($E85&amp;$F85,'TB-Pharmaceuticals'!$D$41:$D$60&amp;'TB-Pharmaceuticals'!$G$41:$G$60,0)),0)</f>
        <v>0</v>
      </c>
      <c r="J85" s="625">
        <f t="array" ref="J85">IFERROR(INDEX('TB-Pharmaceuticals'!$N$41:$N$60,MATCH($E85&amp;$F85,'TB-Pharmaceuticals'!$D$41:$D$60&amp;'TB-Pharmaceuticals'!$G$41:$G$60,0)),0)</f>
        <v>0</v>
      </c>
      <c r="K85" s="626">
        <f t="shared" si="36"/>
        <v>0</v>
      </c>
      <c r="L85" s="626">
        <f t="shared" si="37"/>
        <v>0</v>
      </c>
      <c r="M85" s="626">
        <f t="shared" si="38"/>
        <v>0</v>
      </c>
      <c r="N85" s="625">
        <f t="array" ref="N85">IFERROR(INDEX('TB-Pharmaceuticals'!$O$41:$O$60,MATCH($E85&amp;$F85,'TB-Pharmaceuticals'!$D$41:$D$60&amp;'TB-Pharmaceuticals'!$G$41:$G$60,0)),0)</f>
        <v>0</v>
      </c>
      <c r="O85" s="626">
        <f t="shared" si="39"/>
        <v>0</v>
      </c>
      <c r="P85" s="626">
        <f t="shared" si="40"/>
        <v>0</v>
      </c>
      <c r="Q85" s="626">
        <f t="shared" si="41"/>
        <v>0</v>
      </c>
      <c r="R85" s="625">
        <f t="array" ref="R85">IFERROR(INDEX('TB-Pharmaceuticals'!$P$41:$P$60,MATCH($E85&amp;$F85,'TB-Pharmaceuticals'!$D$41:$D$60&amp;'TB-Pharmaceuticals'!$G$41:$G$60,0)),0)</f>
        <v>0</v>
      </c>
      <c r="S85" s="626">
        <f t="shared" si="42"/>
        <v>0</v>
      </c>
      <c r="T85" s="626">
        <f t="shared" si="43"/>
        <v>0</v>
      </c>
      <c r="U85" s="626">
        <f t="shared" si="44"/>
        <v>0</v>
      </c>
      <c r="V85" s="625">
        <f t="array" ref="V85">IFERROR(INDEX('TB-Pharmaceuticals'!$Q$41:$Q$60,MATCH($E85&amp;$F85,'TB-Pharmaceuticals'!$D$41:$D$60&amp;'TB-Pharmaceuticals'!$G$41:$G$60,0)),0)</f>
        <v>0</v>
      </c>
      <c r="W85" s="626">
        <f t="shared" si="45"/>
        <v>0</v>
      </c>
      <c r="X85" s="626">
        <f t="shared" si="46"/>
        <v>0</v>
      </c>
      <c r="Y85" s="626">
        <f t="shared" si="47"/>
        <v>0</v>
      </c>
      <c r="Z85" s="627"/>
      <c r="AA85" s="625">
        <f t="array" ref="AA85">IFERROR(INDEX('TB-Pharmaceuticals'!$T$41:$T$60,MATCH($E85&amp;$F85,'TB-Pharmaceuticals'!$D$41:$D$60&amp;'TB-Pharmaceuticals'!$G$41:$G$60,0)),0)</f>
        <v>0</v>
      </c>
      <c r="AB85" s="625">
        <f t="array" ref="AB85">IFERROR(INDEX('TB-Pharmaceuticals'!$U$41:$U$60,MATCH($E85&amp;$F85,'TB-Pharmaceuticals'!$D$41:$D$60&amp;'TB-Pharmaceuticals'!$G$41:$G$60,0)),0)</f>
        <v>0</v>
      </c>
      <c r="AC85" s="626">
        <f t="shared" si="48"/>
        <v>0</v>
      </c>
      <c r="AD85" s="626">
        <f t="shared" si="49"/>
        <v>0</v>
      </c>
      <c r="AE85" s="626">
        <f t="shared" si="50"/>
        <v>0</v>
      </c>
      <c r="AF85" s="625">
        <f t="array" ref="AF85">IFERROR(INDEX('TB-Pharmaceuticals'!$V$41:$V$60,MATCH($E85&amp;$F85,'TB-Pharmaceuticals'!$D$41:$D$60&amp;'TB-Pharmaceuticals'!$G$41:$G$60,0)),0)</f>
        <v>0</v>
      </c>
      <c r="AG85" s="626">
        <f t="shared" si="51"/>
        <v>0</v>
      </c>
      <c r="AH85" s="626">
        <f t="shared" si="52"/>
        <v>0</v>
      </c>
      <c r="AI85" s="626">
        <f t="shared" si="53"/>
        <v>0</v>
      </c>
      <c r="AJ85" s="625">
        <f t="array" ref="AJ85">IFERROR(INDEX('TB-Pharmaceuticals'!$W$41:$W$60,MATCH($E85&amp;$F85,'TB-Pharmaceuticals'!$D$41:$D$60&amp;'TB-Pharmaceuticals'!$G$41:$G$60,0)),0)</f>
        <v>0</v>
      </c>
      <c r="AK85" s="626">
        <f t="shared" si="54"/>
        <v>0</v>
      </c>
      <c r="AL85" s="626">
        <f t="shared" si="55"/>
        <v>0</v>
      </c>
      <c r="AM85" s="626">
        <f t="shared" si="56"/>
        <v>0</v>
      </c>
      <c r="AN85" s="625">
        <f t="array" ref="AN85">IFERROR(INDEX('TB-Pharmaceuticals'!$X$41:$X$60,MATCH($E85&amp;$F85,'TB-Pharmaceuticals'!$D$41:$D$60&amp;'TB-Pharmaceuticals'!$G$41:$G$60,0)),0)</f>
        <v>0</v>
      </c>
      <c r="AO85" s="626">
        <f t="shared" si="57"/>
        <v>0</v>
      </c>
      <c r="AP85" s="626">
        <f t="shared" si="58"/>
        <v>0</v>
      </c>
      <c r="AQ85" s="626">
        <f t="shared" si="59"/>
        <v>0</v>
      </c>
      <c r="AR85" s="627"/>
      <c r="AS85" s="625">
        <f t="array" ref="AS85">IFERROR(INDEX('TB-Pharmaceuticals'!$AA$41:$AA$60,MATCH($E85&amp;$F85,'TB-Pharmaceuticals'!$D$41:$D$60&amp;'TB-Pharmaceuticals'!$G$41:$G$60,0)),0)</f>
        <v>0</v>
      </c>
      <c r="AT85" s="625">
        <f t="array" ref="AT85">IFERROR(INDEX('TB-Pharmaceuticals'!$AB$41:$AB$60,MATCH($E85&amp;$F85,'TB-Pharmaceuticals'!$D$41:$D$60&amp;'TB-Pharmaceuticals'!$G$41:$G$60,0)),0)</f>
        <v>0</v>
      </c>
      <c r="AU85" s="626">
        <f t="shared" si="60"/>
        <v>0</v>
      </c>
      <c r="AV85" s="626">
        <f t="shared" si="61"/>
        <v>0</v>
      </c>
      <c r="AW85" s="626">
        <f t="shared" si="62"/>
        <v>0</v>
      </c>
      <c r="AX85" s="625">
        <f t="array" ref="AX85">IFERROR(INDEX('TB-Pharmaceuticals'!$AC$41:$AC$60,MATCH($E85&amp;$F85,'TB-Pharmaceuticals'!$D$41:$D$60&amp;'TB-Pharmaceuticals'!$G$41:$G$60,0)),0)</f>
        <v>0</v>
      </c>
      <c r="AY85" s="626">
        <f t="shared" si="63"/>
        <v>0</v>
      </c>
      <c r="AZ85" s="626">
        <f t="shared" si="64"/>
        <v>0</v>
      </c>
      <c r="BA85" s="626">
        <f t="shared" si="65"/>
        <v>0</v>
      </c>
      <c r="BB85" s="625">
        <f t="array" ref="BB85">IFERROR(INDEX('TB-Pharmaceuticals'!$AD$41:$AD$60,MATCH($E85&amp;$F85,'TB-Pharmaceuticals'!$D$41:$D$60&amp;'TB-Pharmaceuticals'!$G$41:$G$60,0)),0)</f>
        <v>0</v>
      </c>
      <c r="BC85" s="626">
        <f t="shared" si="66"/>
        <v>0</v>
      </c>
      <c r="BD85" s="626">
        <f t="shared" si="67"/>
        <v>0</v>
      </c>
      <c r="BE85" s="626">
        <f t="shared" si="68"/>
        <v>0</v>
      </c>
      <c r="BF85" s="625">
        <f t="array" ref="BF85">IFERROR(INDEX('TB-Pharmaceuticals'!$AE$41:$AE$60,MATCH($E85&amp;$F85,'TB-Pharmaceuticals'!$D$41:$D$60&amp;'TB-Pharmaceuticals'!$G$41:$G$60,0)),0)</f>
        <v>0</v>
      </c>
      <c r="BG85" s="626">
        <f t="shared" si="69"/>
        <v>0</v>
      </c>
      <c r="BH85" s="626">
        <f t="shared" si="70"/>
        <v>0</v>
      </c>
      <c r="BI85" s="626">
        <f t="shared" si="71"/>
        <v>0</v>
      </c>
      <c r="BK85" s="626"/>
      <c r="BL85" s="626"/>
      <c r="BM85" s="626"/>
      <c r="BN85" s="626"/>
      <c r="BO85" s="626"/>
      <c r="BP85" s="626"/>
      <c r="BQ85" s="626"/>
      <c r="BR85" s="626"/>
    </row>
    <row r="86" spans="1:70">
      <c r="A86" s="32" t="s">
        <v>571</v>
      </c>
      <c r="B86" s="32" t="s">
        <v>1739</v>
      </c>
      <c r="C86" s="619">
        <f>SETUP!$F$38</f>
        <v>0</v>
      </c>
      <c r="D86" s="31">
        <v>4.2</v>
      </c>
      <c r="E86" s="32" t="s">
        <v>434</v>
      </c>
      <c r="F86" s="32" t="s">
        <v>1262</v>
      </c>
      <c r="G86" s="625" t="str">
        <f t="array" ref="G86">IFERROR(INDEX('TB-Pharmaceuticals'!$K$41:$K$60,MATCH($E86&amp;$F86,'TB-Pharmaceuticals'!$D$41:$D$60&amp;'TB-Pharmaceuticals'!$G$41:$G$60,0)),"")</f>
        <v/>
      </c>
      <c r="H86" s="625" t="str">
        <f t="array" ref="H86">IFERROR(INDEX('TB-Pharmaceuticals'!$L$41:$L$60,MATCH($E86&amp;$F86,'TB-Pharmaceuticals'!$D$41:$D$60&amp;'TB-Pharmaceuticals'!$G$41:$G$60,0)),"")</f>
        <v/>
      </c>
      <c r="I86" s="625">
        <f t="array" ref="I86">IFERROR(INDEX('TB-Pharmaceuticals'!$M$41:$M$60,MATCH($E86&amp;$F86,'TB-Pharmaceuticals'!$D$41:$D$60&amp;'TB-Pharmaceuticals'!$G$41:$G$60,0)),0)</f>
        <v>0</v>
      </c>
      <c r="J86" s="625">
        <f t="array" ref="J86">IFERROR(INDEX('TB-Pharmaceuticals'!$N$41:$N$60,MATCH($E86&amp;$F86,'TB-Pharmaceuticals'!$D$41:$D$60&amp;'TB-Pharmaceuticals'!$G$41:$G$60,0)),0)</f>
        <v>0</v>
      </c>
      <c r="K86" s="626">
        <f t="shared" si="36"/>
        <v>0</v>
      </c>
      <c r="L86" s="626">
        <f t="shared" si="37"/>
        <v>0</v>
      </c>
      <c r="M86" s="626">
        <f t="shared" si="38"/>
        <v>0</v>
      </c>
      <c r="N86" s="625">
        <f t="array" ref="N86">IFERROR(INDEX('TB-Pharmaceuticals'!$O$41:$O$60,MATCH($E86&amp;$F86,'TB-Pharmaceuticals'!$D$41:$D$60&amp;'TB-Pharmaceuticals'!$G$41:$G$60,0)),0)</f>
        <v>0</v>
      </c>
      <c r="O86" s="626">
        <f t="shared" si="39"/>
        <v>0</v>
      </c>
      <c r="P86" s="626">
        <f t="shared" si="40"/>
        <v>0</v>
      </c>
      <c r="Q86" s="626">
        <f t="shared" si="41"/>
        <v>0</v>
      </c>
      <c r="R86" s="625">
        <f t="array" ref="R86">IFERROR(INDEX('TB-Pharmaceuticals'!$P$41:$P$60,MATCH($E86&amp;$F86,'TB-Pharmaceuticals'!$D$41:$D$60&amp;'TB-Pharmaceuticals'!$G$41:$G$60,0)),0)</f>
        <v>0</v>
      </c>
      <c r="S86" s="626">
        <f t="shared" si="42"/>
        <v>0</v>
      </c>
      <c r="T86" s="626">
        <f t="shared" si="43"/>
        <v>0</v>
      </c>
      <c r="U86" s="626">
        <f t="shared" si="44"/>
        <v>0</v>
      </c>
      <c r="V86" s="625">
        <f t="array" ref="V86">IFERROR(INDEX('TB-Pharmaceuticals'!$Q$41:$Q$60,MATCH($E86&amp;$F86,'TB-Pharmaceuticals'!$D$41:$D$60&amp;'TB-Pharmaceuticals'!$G$41:$G$60,0)),0)</f>
        <v>0</v>
      </c>
      <c r="W86" s="626">
        <f t="shared" si="45"/>
        <v>0</v>
      </c>
      <c r="X86" s="626">
        <f t="shared" si="46"/>
        <v>0</v>
      </c>
      <c r="Y86" s="626">
        <f t="shared" si="47"/>
        <v>0</v>
      </c>
      <c r="Z86" s="627"/>
      <c r="AA86" s="625">
        <f t="array" ref="AA86">IFERROR(INDEX('TB-Pharmaceuticals'!$T$41:$T$60,MATCH($E86&amp;$F86,'TB-Pharmaceuticals'!$D$41:$D$60&amp;'TB-Pharmaceuticals'!$G$41:$G$60,0)),0)</f>
        <v>0</v>
      </c>
      <c r="AB86" s="625">
        <f t="array" ref="AB86">IFERROR(INDEX('TB-Pharmaceuticals'!$U$41:$U$60,MATCH($E86&amp;$F86,'TB-Pharmaceuticals'!$D$41:$D$60&amp;'TB-Pharmaceuticals'!$G$41:$G$60,0)),0)</f>
        <v>0</v>
      </c>
      <c r="AC86" s="626">
        <f t="shared" si="48"/>
        <v>0</v>
      </c>
      <c r="AD86" s="626">
        <f t="shared" si="49"/>
        <v>0</v>
      </c>
      <c r="AE86" s="626">
        <f t="shared" si="50"/>
        <v>0</v>
      </c>
      <c r="AF86" s="625">
        <f t="array" ref="AF86">IFERROR(INDEX('TB-Pharmaceuticals'!$V$41:$V$60,MATCH($E86&amp;$F86,'TB-Pharmaceuticals'!$D$41:$D$60&amp;'TB-Pharmaceuticals'!$G$41:$G$60,0)),0)</f>
        <v>0</v>
      </c>
      <c r="AG86" s="626">
        <f t="shared" si="51"/>
        <v>0</v>
      </c>
      <c r="AH86" s="626">
        <f t="shared" si="52"/>
        <v>0</v>
      </c>
      <c r="AI86" s="626">
        <f t="shared" si="53"/>
        <v>0</v>
      </c>
      <c r="AJ86" s="625">
        <f t="array" ref="AJ86">IFERROR(INDEX('TB-Pharmaceuticals'!$W$41:$W$60,MATCH($E86&amp;$F86,'TB-Pharmaceuticals'!$D$41:$D$60&amp;'TB-Pharmaceuticals'!$G$41:$G$60,0)),0)</f>
        <v>0</v>
      </c>
      <c r="AK86" s="626">
        <f t="shared" si="54"/>
        <v>0</v>
      </c>
      <c r="AL86" s="626">
        <f t="shared" si="55"/>
        <v>0</v>
      </c>
      <c r="AM86" s="626">
        <f t="shared" si="56"/>
        <v>0</v>
      </c>
      <c r="AN86" s="625">
        <f t="array" ref="AN86">IFERROR(INDEX('TB-Pharmaceuticals'!$X$41:$X$60,MATCH($E86&amp;$F86,'TB-Pharmaceuticals'!$D$41:$D$60&amp;'TB-Pharmaceuticals'!$G$41:$G$60,0)),0)</f>
        <v>0</v>
      </c>
      <c r="AO86" s="626">
        <f t="shared" si="57"/>
        <v>0</v>
      </c>
      <c r="AP86" s="626">
        <f t="shared" si="58"/>
        <v>0</v>
      </c>
      <c r="AQ86" s="626">
        <f t="shared" si="59"/>
        <v>0</v>
      </c>
      <c r="AR86" s="627"/>
      <c r="AS86" s="625">
        <f t="array" ref="AS86">IFERROR(INDEX('TB-Pharmaceuticals'!$AA$41:$AA$60,MATCH($E86&amp;$F86,'TB-Pharmaceuticals'!$D$41:$D$60&amp;'TB-Pharmaceuticals'!$G$41:$G$60,0)),0)</f>
        <v>0</v>
      </c>
      <c r="AT86" s="625">
        <f t="array" ref="AT86">IFERROR(INDEX('TB-Pharmaceuticals'!$AB$41:$AB$60,MATCH($E86&amp;$F86,'TB-Pharmaceuticals'!$D$41:$D$60&amp;'TB-Pharmaceuticals'!$G$41:$G$60,0)),0)</f>
        <v>0</v>
      </c>
      <c r="AU86" s="626">
        <f t="shared" si="60"/>
        <v>0</v>
      </c>
      <c r="AV86" s="626">
        <f t="shared" si="61"/>
        <v>0</v>
      </c>
      <c r="AW86" s="626">
        <f t="shared" si="62"/>
        <v>0</v>
      </c>
      <c r="AX86" s="625">
        <f t="array" ref="AX86">IFERROR(INDEX('TB-Pharmaceuticals'!$AC$41:$AC$60,MATCH($E86&amp;$F86,'TB-Pharmaceuticals'!$D$41:$D$60&amp;'TB-Pharmaceuticals'!$G$41:$G$60,0)),0)</f>
        <v>0</v>
      </c>
      <c r="AY86" s="626">
        <f t="shared" si="63"/>
        <v>0</v>
      </c>
      <c r="AZ86" s="626">
        <f t="shared" si="64"/>
        <v>0</v>
      </c>
      <c r="BA86" s="626">
        <f t="shared" si="65"/>
        <v>0</v>
      </c>
      <c r="BB86" s="625">
        <f t="array" ref="BB86">IFERROR(INDEX('TB-Pharmaceuticals'!$AD$41:$AD$60,MATCH($E86&amp;$F86,'TB-Pharmaceuticals'!$D$41:$D$60&amp;'TB-Pharmaceuticals'!$G$41:$G$60,0)),0)</f>
        <v>0</v>
      </c>
      <c r="BC86" s="626">
        <f t="shared" si="66"/>
        <v>0</v>
      </c>
      <c r="BD86" s="626">
        <f t="shared" si="67"/>
        <v>0</v>
      </c>
      <c r="BE86" s="626">
        <f t="shared" si="68"/>
        <v>0</v>
      </c>
      <c r="BF86" s="625">
        <f t="array" ref="BF86">IFERROR(INDEX('TB-Pharmaceuticals'!$AE$41:$AE$60,MATCH($E86&amp;$F86,'TB-Pharmaceuticals'!$D$41:$D$60&amp;'TB-Pharmaceuticals'!$G$41:$G$60,0)),0)</f>
        <v>0</v>
      </c>
      <c r="BG86" s="626">
        <f t="shared" si="69"/>
        <v>0</v>
      </c>
      <c r="BH86" s="626">
        <f t="shared" si="70"/>
        <v>0</v>
      </c>
      <c r="BI86" s="626">
        <f t="shared" si="71"/>
        <v>0</v>
      </c>
      <c r="BK86" s="626"/>
      <c r="BL86" s="626"/>
      <c r="BM86" s="626"/>
      <c r="BN86" s="626"/>
      <c r="BO86" s="626"/>
      <c r="BP86" s="626"/>
      <c r="BQ86" s="626"/>
      <c r="BR86" s="626"/>
    </row>
    <row r="87" spans="1:70">
      <c r="A87" s="32" t="s">
        <v>571</v>
      </c>
      <c r="B87" s="32" t="s">
        <v>1739</v>
      </c>
      <c r="C87" s="619">
        <f>SETUP!$F$38</f>
        <v>0</v>
      </c>
      <c r="D87" s="31">
        <v>4.2</v>
      </c>
      <c r="E87" s="32" t="s">
        <v>435</v>
      </c>
      <c r="F87" s="32" t="s">
        <v>448</v>
      </c>
      <c r="G87" s="625" t="str">
        <f t="array" ref="G87">IFERROR(INDEX('TB-Pharmaceuticals'!$K$41:$K$60,MATCH($E87&amp;$F87,'TB-Pharmaceuticals'!$D$41:$D$60&amp;'TB-Pharmaceuticals'!$G$41:$G$60,0)),"")</f>
        <v/>
      </c>
      <c r="H87" s="625" t="str">
        <f t="array" ref="H87">IFERROR(INDEX('TB-Pharmaceuticals'!$L$41:$L$60,MATCH($E87&amp;$F87,'TB-Pharmaceuticals'!$D$41:$D$60&amp;'TB-Pharmaceuticals'!$G$41:$G$60,0)),"")</f>
        <v/>
      </c>
      <c r="I87" s="625">
        <f t="array" ref="I87">IFERROR(INDEX('TB-Pharmaceuticals'!$M$41:$M$60,MATCH($E87&amp;$F87,'TB-Pharmaceuticals'!$D$41:$D$60&amp;'TB-Pharmaceuticals'!$G$41:$G$60,0)),0)</f>
        <v>0</v>
      </c>
      <c r="J87" s="625">
        <f t="array" ref="J87">IFERROR(INDEX('TB-Pharmaceuticals'!$N$41:$N$60,MATCH($E87&amp;$F87,'TB-Pharmaceuticals'!$D$41:$D$60&amp;'TB-Pharmaceuticals'!$G$41:$G$60,0)),0)</f>
        <v>0</v>
      </c>
      <c r="K87" s="626">
        <f t="shared" si="36"/>
        <v>0</v>
      </c>
      <c r="L87" s="626">
        <f t="shared" si="37"/>
        <v>0</v>
      </c>
      <c r="M87" s="626">
        <f t="shared" si="38"/>
        <v>0</v>
      </c>
      <c r="N87" s="625">
        <f t="array" ref="N87">IFERROR(INDEX('TB-Pharmaceuticals'!$O$41:$O$60,MATCH($E87&amp;$F87,'TB-Pharmaceuticals'!$D$41:$D$60&amp;'TB-Pharmaceuticals'!$G$41:$G$60,0)),0)</f>
        <v>0</v>
      </c>
      <c r="O87" s="626">
        <f t="shared" si="39"/>
        <v>0</v>
      </c>
      <c r="P87" s="626">
        <f t="shared" si="40"/>
        <v>0</v>
      </c>
      <c r="Q87" s="626">
        <f t="shared" si="41"/>
        <v>0</v>
      </c>
      <c r="R87" s="625">
        <f t="array" ref="R87">IFERROR(INDEX('TB-Pharmaceuticals'!$P$41:$P$60,MATCH($E87&amp;$F87,'TB-Pharmaceuticals'!$D$41:$D$60&amp;'TB-Pharmaceuticals'!$G$41:$G$60,0)),0)</f>
        <v>0</v>
      </c>
      <c r="S87" s="626">
        <f t="shared" si="42"/>
        <v>0</v>
      </c>
      <c r="T87" s="626">
        <f t="shared" si="43"/>
        <v>0</v>
      </c>
      <c r="U87" s="626">
        <f t="shared" si="44"/>
        <v>0</v>
      </c>
      <c r="V87" s="625">
        <f t="array" ref="V87">IFERROR(INDEX('TB-Pharmaceuticals'!$Q$41:$Q$60,MATCH($E87&amp;$F87,'TB-Pharmaceuticals'!$D$41:$D$60&amp;'TB-Pharmaceuticals'!$G$41:$G$60,0)),0)</f>
        <v>0</v>
      </c>
      <c r="W87" s="626">
        <f t="shared" si="45"/>
        <v>0</v>
      </c>
      <c r="X87" s="626">
        <f t="shared" si="46"/>
        <v>0</v>
      </c>
      <c r="Y87" s="626">
        <f t="shared" si="47"/>
        <v>0</v>
      </c>
      <c r="Z87" s="627"/>
      <c r="AA87" s="625">
        <f t="array" ref="AA87">IFERROR(INDEX('TB-Pharmaceuticals'!$T$41:$T$60,MATCH($E87&amp;$F87,'TB-Pharmaceuticals'!$D$41:$D$60&amp;'TB-Pharmaceuticals'!$G$41:$G$60,0)),0)</f>
        <v>0</v>
      </c>
      <c r="AB87" s="625">
        <f t="array" ref="AB87">IFERROR(INDEX('TB-Pharmaceuticals'!$U$41:$U$60,MATCH($E87&amp;$F87,'TB-Pharmaceuticals'!$D$41:$D$60&amp;'TB-Pharmaceuticals'!$G$41:$G$60,0)),0)</f>
        <v>0</v>
      </c>
      <c r="AC87" s="626">
        <f t="shared" si="48"/>
        <v>0</v>
      </c>
      <c r="AD87" s="626">
        <f t="shared" si="49"/>
        <v>0</v>
      </c>
      <c r="AE87" s="626">
        <f t="shared" si="50"/>
        <v>0</v>
      </c>
      <c r="AF87" s="625">
        <f t="array" ref="AF87">IFERROR(INDEX('TB-Pharmaceuticals'!$V$41:$V$60,MATCH($E87&amp;$F87,'TB-Pharmaceuticals'!$D$41:$D$60&amp;'TB-Pharmaceuticals'!$G$41:$G$60,0)),0)</f>
        <v>0</v>
      </c>
      <c r="AG87" s="626">
        <f t="shared" si="51"/>
        <v>0</v>
      </c>
      <c r="AH87" s="626">
        <f t="shared" si="52"/>
        <v>0</v>
      </c>
      <c r="AI87" s="626">
        <f t="shared" si="53"/>
        <v>0</v>
      </c>
      <c r="AJ87" s="625">
        <f t="array" ref="AJ87">IFERROR(INDEX('TB-Pharmaceuticals'!$W$41:$W$60,MATCH($E87&amp;$F87,'TB-Pharmaceuticals'!$D$41:$D$60&amp;'TB-Pharmaceuticals'!$G$41:$G$60,0)),0)</f>
        <v>0</v>
      </c>
      <c r="AK87" s="626">
        <f t="shared" si="54"/>
        <v>0</v>
      </c>
      <c r="AL87" s="626">
        <f t="shared" si="55"/>
        <v>0</v>
      </c>
      <c r="AM87" s="626">
        <f t="shared" si="56"/>
        <v>0</v>
      </c>
      <c r="AN87" s="625">
        <f t="array" ref="AN87">IFERROR(INDEX('TB-Pharmaceuticals'!$X$41:$X$60,MATCH($E87&amp;$F87,'TB-Pharmaceuticals'!$D$41:$D$60&amp;'TB-Pharmaceuticals'!$G$41:$G$60,0)),0)</f>
        <v>0</v>
      </c>
      <c r="AO87" s="626">
        <f t="shared" si="57"/>
        <v>0</v>
      </c>
      <c r="AP87" s="626">
        <f t="shared" si="58"/>
        <v>0</v>
      </c>
      <c r="AQ87" s="626">
        <f t="shared" si="59"/>
        <v>0</v>
      </c>
      <c r="AR87" s="627"/>
      <c r="AS87" s="625">
        <f t="array" ref="AS87">IFERROR(INDEX('TB-Pharmaceuticals'!$AA$41:$AA$60,MATCH($E87&amp;$F87,'TB-Pharmaceuticals'!$D$41:$D$60&amp;'TB-Pharmaceuticals'!$G$41:$G$60,0)),0)</f>
        <v>0</v>
      </c>
      <c r="AT87" s="625">
        <f t="array" ref="AT87">IFERROR(INDEX('TB-Pharmaceuticals'!$AB$41:$AB$60,MATCH($E87&amp;$F87,'TB-Pharmaceuticals'!$D$41:$D$60&amp;'TB-Pharmaceuticals'!$G$41:$G$60,0)),0)</f>
        <v>0</v>
      </c>
      <c r="AU87" s="626">
        <f t="shared" si="60"/>
        <v>0</v>
      </c>
      <c r="AV87" s="626">
        <f t="shared" si="61"/>
        <v>0</v>
      </c>
      <c r="AW87" s="626">
        <f t="shared" si="62"/>
        <v>0</v>
      </c>
      <c r="AX87" s="625">
        <f t="array" ref="AX87">IFERROR(INDEX('TB-Pharmaceuticals'!$AC$41:$AC$60,MATCH($E87&amp;$F87,'TB-Pharmaceuticals'!$D$41:$D$60&amp;'TB-Pharmaceuticals'!$G$41:$G$60,0)),0)</f>
        <v>0</v>
      </c>
      <c r="AY87" s="626">
        <f t="shared" si="63"/>
        <v>0</v>
      </c>
      <c r="AZ87" s="626">
        <f t="shared" si="64"/>
        <v>0</v>
      </c>
      <c r="BA87" s="626">
        <f t="shared" si="65"/>
        <v>0</v>
      </c>
      <c r="BB87" s="625">
        <f t="array" ref="BB87">IFERROR(INDEX('TB-Pharmaceuticals'!$AD$41:$AD$60,MATCH($E87&amp;$F87,'TB-Pharmaceuticals'!$D$41:$D$60&amp;'TB-Pharmaceuticals'!$G$41:$G$60,0)),0)</f>
        <v>0</v>
      </c>
      <c r="BC87" s="626">
        <f t="shared" si="66"/>
        <v>0</v>
      </c>
      <c r="BD87" s="626">
        <f t="shared" si="67"/>
        <v>0</v>
      </c>
      <c r="BE87" s="626">
        <f t="shared" si="68"/>
        <v>0</v>
      </c>
      <c r="BF87" s="625">
        <f t="array" ref="BF87">IFERROR(INDEX('TB-Pharmaceuticals'!$AE$41:$AE$60,MATCH($E87&amp;$F87,'TB-Pharmaceuticals'!$D$41:$D$60&amp;'TB-Pharmaceuticals'!$G$41:$G$60,0)),0)</f>
        <v>0</v>
      </c>
      <c r="BG87" s="626">
        <f t="shared" si="69"/>
        <v>0</v>
      </c>
      <c r="BH87" s="626">
        <f t="shared" si="70"/>
        <v>0</v>
      </c>
      <c r="BI87" s="626">
        <f t="shared" si="71"/>
        <v>0</v>
      </c>
      <c r="BK87" s="626"/>
      <c r="BL87" s="626"/>
      <c r="BM87" s="626"/>
      <c r="BN87" s="626"/>
      <c r="BO87" s="626"/>
      <c r="BP87" s="626"/>
      <c r="BQ87" s="626"/>
      <c r="BR87" s="626"/>
    </row>
    <row r="88" spans="1:70">
      <c r="A88" s="32" t="s">
        <v>571</v>
      </c>
      <c r="B88" s="32" t="s">
        <v>1739</v>
      </c>
      <c r="C88" s="619">
        <f>SETUP!$F$38</f>
        <v>0</v>
      </c>
      <c r="D88" s="31">
        <v>4.2</v>
      </c>
      <c r="E88" s="32" t="s">
        <v>435</v>
      </c>
      <c r="F88" s="32" t="s">
        <v>449</v>
      </c>
      <c r="G88" s="625" t="str">
        <f t="array" ref="G88">IFERROR(INDEX('TB-Pharmaceuticals'!$K$41:$K$60,MATCH($E88&amp;$F88,'TB-Pharmaceuticals'!$D$41:$D$60&amp;'TB-Pharmaceuticals'!$G$41:$G$60,0)),"")</f>
        <v/>
      </c>
      <c r="H88" s="625" t="str">
        <f t="array" ref="H88">IFERROR(INDEX('TB-Pharmaceuticals'!$L$41:$L$60,MATCH($E88&amp;$F88,'TB-Pharmaceuticals'!$D$41:$D$60&amp;'TB-Pharmaceuticals'!$G$41:$G$60,0)),"")</f>
        <v/>
      </c>
      <c r="I88" s="625">
        <f t="array" ref="I88">IFERROR(INDEX('TB-Pharmaceuticals'!$M$41:$M$60,MATCH($E88&amp;$F88,'TB-Pharmaceuticals'!$D$41:$D$60&amp;'TB-Pharmaceuticals'!$G$41:$G$60,0)),0)</f>
        <v>0</v>
      </c>
      <c r="J88" s="625">
        <f t="array" ref="J88">IFERROR(INDEX('TB-Pharmaceuticals'!$N$41:$N$60,MATCH($E88&amp;$F88,'TB-Pharmaceuticals'!$D$41:$D$60&amp;'TB-Pharmaceuticals'!$G$41:$G$60,0)),0)</f>
        <v>0</v>
      </c>
      <c r="K88" s="626">
        <f t="shared" si="36"/>
        <v>0</v>
      </c>
      <c r="L88" s="626">
        <f t="shared" si="37"/>
        <v>0</v>
      </c>
      <c r="M88" s="626">
        <f t="shared" si="38"/>
        <v>0</v>
      </c>
      <c r="N88" s="625">
        <f t="array" ref="N88">IFERROR(INDEX('TB-Pharmaceuticals'!$O$41:$O$60,MATCH($E88&amp;$F88,'TB-Pharmaceuticals'!$D$41:$D$60&amp;'TB-Pharmaceuticals'!$G$41:$G$60,0)),0)</f>
        <v>0</v>
      </c>
      <c r="O88" s="626">
        <f t="shared" si="39"/>
        <v>0</v>
      </c>
      <c r="P88" s="626">
        <f t="shared" si="40"/>
        <v>0</v>
      </c>
      <c r="Q88" s="626">
        <f t="shared" si="41"/>
        <v>0</v>
      </c>
      <c r="R88" s="625">
        <f t="array" ref="R88">IFERROR(INDEX('TB-Pharmaceuticals'!$P$41:$P$60,MATCH($E88&amp;$F88,'TB-Pharmaceuticals'!$D$41:$D$60&amp;'TB-Pharmaceuticals'!$G$41:$G$60,0)),0)</f>
        <v>0</v>
      </c>
      <c r="S88" s="626">
        <f t="shared" si="42"/>
        <v>0</v>
      </c>
      <c r="T88" s="626">
        <f t="shared" si="43"/>
        <v>0</v>
      </c>
      <c r="U88" s="626">
        <f t="shared" si="44"/>
        <v>0</v>
      </c>
      <c r="V88" s="625">
        <f t="array" ref="V88">IFERROR(INDEX('TB-Pharmaceuticals'!$Q$41:$Q$60,MATCH($E88&amp;$F88,'TB-Pharmaceuticals'!$D$41:$D$60&amp;'TB-Pharmaceuticals'!$G$41:$G$60,0)),0)</f>
        <v>0</v>
      </c>
      <c r="W88" s="626">
        <f t="shared" si="45"/>
        <v>0</v>
      </c>
      <c r="X88" s="626">
        <f t="shared" si="46"/>
        <v>0</v>
      </c>
      <c r="Y88" s="626">
        <f t="shared" si="47"/>
        <v>0</v>
      </c>
      <c r="Z88" s="627"/>
      <c r="AA88" s="625">
        <f t="array" ref="AA88">IFERROR(INDEX('TB-Pharmaceuticals'!$T$41:$T$60,MATCH($E88&amp;$F88,'TB-Pharmaceuticals'!$D$41:$D$60&amp;'TB-Pharmaceuticals'!$G$41:$G$60,0)),0)</f>
        <v>0</v>
      </c>
      <c r="AB88" s="625">
        <f t="array" ref="AB88">IFERROR(INDEX('TB-Pharmaceuticals'!$U$41:$U$60,MATCH($E88&amp;$F88,'TB-Pharmaceuticals'!$D$41:$D$60&amp;'TB-Pharmaceuticals'!$G$41:$G$60,0)),0)</f>
        <v>0</v>
      </c>
      <c r="AC88" s="626">
        <f t="shared" si="48"/>
        <v>0</v>
      </c>
      <c r="AD88" s="626">
        <f t="shared" si="49"/>
        <v>0</v>
      </c>
      <c r="AE88" s="626">
        <f t="shared" si="50"/>
        <v>0</v>
      </c>
      <c r="AF88" s="625">
        <f t="array" ref="AF88">IFERROR(INDEX('TB-Pharmaceuticals'!$V$41:$V$60,MATCH($E88&amp;$F88,'TB-Pharmaceuticals'!$D$41:$D$60&amp;'TB-Pharmaceuticals'!$G$41:$G$60,0)),0)</f>
        <v>0</v>
      </c>
      <c r="AG88" s="626">
        <f t="shared" si="51"/>
        <v>0</v>
      </c>
      <c r="AH88" s="626">
        <f t="shared" si="52"/>
        <v>0</v>
      </c>
      <c r="AI88" s="626">
        <f t="shared" si="53"/>
        <v>0</v>
      </c>
      <c r="AJ88" s="625">
        <f t="array" ref="AJ88">IFERROR(INDEX('TB-Pharmaceuticals'!$W$41:$W$60,MATCH($E88&amp;$F88,'TB-Pharmaceuticals'!$D$41:$D$60&amp;'TB-Pharmaceuticals'!$G$41:$G$60,0)),0)</f>
        <v>0</v>
      </c>
      <c r="AK88" s="626">
        <f t="shared" si="54"/>
        <v>0</v>
      </c>
      <c r="AL88" s="626">
        <f t="shared" si="55"/>
        <v>0</v>
      </c>
      <c r="AM88" s="626">
        <f t="shared" si="56"/>
        <v>0</v>
      </c>
      <c r="AN88" s="625">
        <f t="array" ref="AN88">IFERROR(INDEX('TB-Pharmaceuticals'!$X$41:$X$60,MATCH($E88&amp;$F88,'TB-Pharmaceuticals'!$D$41:$D$60&amp;'TB-Pharmaceuticals'!$G$41:$G$60,0)),0)</f>
        <v>0</v>
      </c>
      <c r="AO88" s="626">
        <f t="shared" si="57"/>
        <v>0</v>
      </c>
      <c r="AP88" s="626">
        <f t="shared" si="58"/>
        <v>0</v>
      </c>
      <c r="AQ88" s="626">
        <f t="shared" si="59"/>
        <v>0</v>
      </c>
      <c r="AR88" s="627"/>
      <c r="AS88" s="625">
        <f t="array" ref="AS88">IFERROR(INDEX('TB-Pharmaceuticals'!$AA$41:$AA$60,MATCH($E88&amp;$F88,'TB-Pharmaceuticals'!$D$41:$D$60&amp;'TB-Pharmaceuticals'!$G$41:$G$60,0)),0)</f>
        <v>0</v>
      </c>
      <c r="AT88" s="625">
        <f t="array" ref="AT88">IFERROR(INDEX('TB-Pharmaceuticals'!$AB$41:$AB$60,MATCH($E88&amp;$F88,'TB-Pharmaceuticals'!$D$41:$D$60&amp;'TB-Pharmaceuticals'!$G$41:$G$60,0)),0)</f>
        <v>0</v>
      </c>
      <c r="AU88" s="626">
        <f t="shared" si="60"/>
        <v>0</v>
      </c>
      <c r="AV88" s="626">
        <f t="shared" si="61"/>
        <v>0</v>
      </c>
      <c r="AW88" s="626">
        <f t="shared" si="62"/>
        <v>0</v>
      </c>
      <c r="AX88" s="625">
        <f t="array" ref="AX88">IFERROR(INDEX('TB-Pharmaceuticals'!$AC$41:$AC$60,MATCH($E88&amp;$F88,'TB-Pharmaceuticals'!$D$41:$D$60&amp;'TB-Pharmaceuticals'!$G$41:$G$60,0)),0)</f>
        <v>0</v>
      </c>
      <c r="AY88" s="626">
        <f t="shared" si="63"/>
        <v>0</v>
      </c>
      <c r="AZ88" s="626">
        <f t="shared" si="64"/>
        <v>0</v>
      </c>
      <c r="BA88" s="626">
        <f t="shared" si="65"/>
        <v>0</v>
      </c>
      <c r="BB88" s="625">
        <f t="array" ref="BB88">IFERROR(INDEX('TB-Pharmaceuticals'!$AD$41:$AD$60,MATCH($E88&amp;$F88,'TB-Pharmaceuticals'!$D$41:$D$60&amp;'TB-Pharmaceuticals'!$G$41:$G$60,0)),0)</f>
        <v>0</v>
      </c>
      <c r="BC88" s="626">
        <f t="shared" si="66"/>
        <v>0</v>
      </c>
      <c r="BD88" s="626">
        <f t="shared" si="67"/>
        <v>0</v>
      </c>
      <c r="BE88" s="626">
        <f t="shared" si="68"/>
        <v>0</v>
      </c>
      <c r="BF88" s="625">
        <f t="array" ref="BF88">IFERROR(INDEX('TB-Pharmaceuticals'!$AE$41:$AE$60,MATCH($E88&amp;$F88,'TB-Pharmaceuticals'!$D$41:$D$60&amp;'TB-Pharmaceuticals'!$G$41:$G$60,0)),0)</f>
        <v>0</v>
      </c>
      <c r="BG88" s="626">
        <f t="shared" si="69"/>
        <v>0</v>
      </c>
      <c r="BH88" s="626">
        <f t="shared" si="70"/>
        <v>0</v>
      </c>
      <c r="BI88" s="626">
        <f t="shared" si="71"/>
        <v>0</v>
      </c>
      <c r="BK88" s="626"/>
      <c r="BL88" s="626"/>
      <c r="BM88" s="626"/>
      <c r="BN88" s="626"/>
      <c r="BO88" s="626"/>
      <c r="BP88" s="626"/>
      <c r="BQ88" s="626"/>
      <c r="BR88" s="626"/>
    </row>
    <row r="89" spans="1:70">
      <c r="A89" s="32" t="s">
        <v>571</v>
      </c>
      <c r="B89" s="32" t="s">
        <v>1739</v>
      </c>
      <c r="C89" s="619">
        <f>SETUP!$F$38</f>
        <v>0</v>
      </c>
      <c r="D89" s="31">
        <v>4.2</v>
      </c>
      <c r="E89" s="32" t="s">
        <v>435</v>
      </c>
      <c r="F89" s="32" t="s">
        <v>450</v>
      </c>
      <c r="G89" s="625" t="str">
        <f t="array" ref="G89">IFERROR(INDEX('TB-Pharmaceuticals'!$K$41:$K$60,MATCH($E89&amp;$F89,'TB-Pharmaceuticals'!$D$41:$D$60&amp;'TB-Pharmaceuticals'!$G$41:$G$60,0)),"")</f>
        <v/>
      </c>
      <c r="H89" s="625" t="str">
        <f t="array" ref="H89">IFERROR(INDEX('TB-Pharmaceuticals'!$L$41:$L$60,MATCH($E89&amp;$F89,'TB-Pharmaceuticals'!$D$41:$D$60&amp;'TB-Pharmaceuticals'!$G$41:$G$60,0)),"")</f>
        <v/>
      </c>
      <c r="I89" s="625">
        <f t="array" ref="I89">IFERROR(INDEX('TB-Pharmaceuticals'!$M$41:$M$60,MATCH($E89&amp;$F89,'TB-Pharmaceuticals'!$D$41:$D$60&amp;'TB-Pharmaceuticals'!$G$41:$G$60,0)),0)</f>
        <v>0</v>
      </c>
      <c r="J89" s="625">
        <f t="array" ref="J89">IFERROR(INDEX('TB-Pharmaceuticals'!$N$41:$N$60,MATCH($E89&amp;$F89,'TB-Pharmaceuticals'!$D$41:$D$60&amp;'TB-Pharmaceuticals'!$G$41:$G$60,0)),0)</f>
        <v>0</v>
      </c>
      <c r="K89" s="626">
        <f t="shared" si="36"/>
        <v>0</v>
      </c>
      <c r="L89" s="626">
        <f t="shared" si="37"/>
        <v>0</v>
      </c>
      <c r="M89" s="626">
        <f t="shared" si="38"/>
        <v>0</v>
      </c>
      <c r="N89" s="625">
        <f t="array" ref="N89">IFERROR(INDEX('TB-Pharmaceuticals'!$O$41:$O$60,MATCH($E89&amp;$F89,'TB-Pharmaceuticals'!$D$41:$D$60&amp;'TB-Pharmaceuticals'!$G$41:$G$60,0)),0)</f>
        <v>0</v>
      </c>
      <c r="O89" s="626">
        <f t="shared" si="39"/>
        <v>0</v>
      </c>
      <c r="P89" s="626">
        <f t="shared" si="40"/>
        <v>0</v>
      </c>
      <c r="Q89" s="626">
        <f t="shared" si="41"/>
        <v>0</v>
      </c>
      <c r="R89" s="625">
        <f t="array" ref="R89">IFERROR(INDEX('TB-Pharmaceuticals'!$P$41:$P$60,MATCH($E89&amp;$F89,'TB-Pharmaceuticals'!$D$41:$D$60&amp;'TB-Pharmaceuticals'!$G$41:$G$60,0)),0)</f>
        <v>0</v>
      </c>
      <c r="S89" s="626">
        <f t="shared" si="42"/>
        <v>0</v>
      </c>
      <c r="T89" s="626">
        <f t="shared" si="43"/>
        <v>0</v>
      </c>
      <c r="U89" s="626">
        <f t="shared" si="44"/>
        <v>0</v>
      </c>
      <c r="V89" s="625">
        <f t="array" ref="V89">IFERROR(INDEX('TB-Pharmaceuticals'!$Q$41:$Q$60,MATCH($E89&amp;$F89,'TB-Pharmaceuticals'!$D$41:$D$60&amp;'TB-Pharmaceuticals'!$G$41:$G$60,0)),0)</f>
        <v>0</v>
      </c>
      <c r="W89" s="626">
        <f t="shared" si="45"/>
        <v>0</v>
      </c>
      <c r="X89" s="626">
        <f t="shared" si="46"/>
        <v>0</v>
      </c>
      <c r="Y89" s="626">
        <f t="shared" si="47"/>
        <v>0</v>
      </c>
      <c r="Z89" s="627"/>
      <c r="AA89" s="625">
        <f t="array" ref="AA89">IFERROR(INDEX('TB-Pharmaceuticals'!$T$41:$T$60,MATCH($E89&amp;$F89,'TB-Pharmaceuticals'!$D$41:$D$60&amp;'TB-Pharmaceuticals'!$G$41:$G$60,0)),0)</f>
        <v>0</v>
      </c>
      <c r="AB89" s="625">
        <f t="array" ref="AB89">IFERROR(INDEX('TB-Pharmaceuticals'!$U$41:$U$60,MATCH($E89&amp;$F89,'TB-Pharmaceuticals'!$D$41:$D$60&amp;'TB-Pharmaceuticals'!$G$41:$G$60,0)),0)</f>
        <v>0</v>
      </c>
      <c r="AC89" s="626">
        <f t="shared" si="48"/>
        <v>0</v>
      </c>
      <c r="AD89" s="626">
        <f t="shared" si="49"/>
        <v>0</v>
      </c>
      <c r="AE89" s="626">
        <f t="shared" si="50"/>
        <v>0</v>
      </c>
      <c r="AF89" s="625">
        <f t="array" ref="AF89">IFERROR(INDEX('TB-Pharmaceuticals'!$V$41:$V$60,MATCH($E89&amp;$F89,'TB-Pharmaceuticals'!$D$41:$D$60&amp;'TB-Pharmaceuticals'!$G$41:$G$60,0)),0)</f>
        <v>0</v>
      </c>
      <c r="AG89" s="626">
        <f t="shared" si="51"/>
        <v>0</v>
      </c>
      <c r="AH89" s="626">
        <f t="shared" si="52"/>
        <v>0</v>
      </c>
      <c r="AI89" s="626">
        <f t="shared" si="53"/>
        <v>0</v>
      </c>
      <c r="AJ89" s="625">
        <f t="array" ref="AJ89">IFERROR(INDEX('TB-Pharmaceuticals'!$W$41:$W$60,MATCH($E89&amp;$F89,'TB-Pharmaceuticals'!$D$41:$D$60&amp;'TB-Pharmaceuticals'!$G$41:$G$60,0)),0)</f>
        <v>0</v>
      </c>
      <c r="AK89" s="626">
        <f t="shared" si="54"/>
        <v>0</v>
      </c>
      <c r="AL89" s="626">
        <f t="shared" si="55"/>
        <v>0</v>
      </c>
      <c r="AM89" s="626">
        <f t="shared" si="56"/>
        <v>0</v>
      </c>
      <c r="AN89" s="625">
        <f t="array" ref="AN89">IFERROR(INDEX('TB-Pharmaceuticals'!$X$41:$X$60,MATCH($E89&amp;$F89,'TB-Pharmaceuticals'!$D$41:$D$60&amp;'TB-Pharmaceuticals'!$G$41:$G$60,0)),0)</f>
        <v>0</v>
      </c>
      <c r="AO89" s="626">
        <f t="shared" si="57"/>
        <v>0</v>
      </c>
      <c r="AP89" s="626">
        <f t="shared" si="58"/>
        <v>0</v>
      </c>
      <c r="AQ89" s="626">
        <f t="shared" si="59"/>
        <v>0</v>
      </c>
      <c r="AR89" s="627"/>
      <c r="AS89" s="625">
        <f t="array" ref="AS89">IFERROR(INDEX('TB-Pharmaceuticals'!$AA$41:$AA$60,MATCH($E89&amp;$F89,'TB-Pharmaceuticals'!$D$41:$D$60&amp;'TB-Pharmaceuticals'!$G$41:$G$60,0)),0)</f>
        <v>0</v>
      </c>
      <c r="AT89" s="625">
        <f t="array" ref="AT89">IFERROR(INDEX('TB-Pharmaceuticals'!$AB$41:$AB$60,MATCH($E89&amp;$F89,'TB-Pharmaceuticals'!$D$41:$D$60&amp;'TB-Pharmaceuticals'!$G$41:$G$60,0)),0)</f>
        <v>0</v>
      </c>
      <c r="AU89" s="626">
        <f t="shared" si="60"/>
        <v>0</v>
      </c>
      <c r="AV89" s="626">
        <f t="shared" si="61"/>
        <v>0</v>
      </c>
      <c r="AW89" s="626">
        <f t="shared" si="62"/>
        <v>0</v>
      </c>
      <c r="AX89" s="625">
        <f t="array" ref="AX89">IFERROR(INDEX('TB-Pharmaceuticals'!$AC$41:$AC$60,MATCH($E89&amp;$F89,'TB-Pharmaceuticals'!$D$41:$D$60&amp;'TB-Pharmaceuticals'!$G$41:$G$60,0)),0)</f>
        <v>0</v>
      </c>
      <c r="AY89" s="626">
        <f t="shared" si="63"/>
        <v>0</v>
      </c>
      <c r="AZ89" s="626">
        <f t="shared" si="64"/>
        <v>0</v>
      </c>
      <c r="BA89" s="626">
        <f t="shared" si="65"/>
        <v>0</v>
      </c>
      <c r="BB89" s="625">
        <f t="array" ref="BB89">IFERROR(INDEX('TB-Pharmaceuticals'!$AD$41:$AD$60,MATCH($E89&amp;$F89,'TB-Pharmaceuticals'!$D$41:$D$60&amp;'TB-Pharmaceuticals'!$G$41:$G$60,0)),0)</f>
        <v>0</v>
      </c>
      <c r="BC89" s="626">
        <f t="shared" si="66"/>
        <v>0</v>
      </c>
      <c r="BD89" s="626">
        <f t="shared" si="67"/>
        <v>0</v>
      </c>
      <c r="BE89" s="626">
        <f t="shared" si="68"/>
        <v>0</v>
      </c>
      <c r="BF89" s="625">
        <f t="array" ref="BF89">IFERROR(INDEX('TB-Pharmaceuticals'!$AE$41:$AE$60,MATCH($E89&amp;$F89,'TB-Pharmaceuticals'!$D$41:$D$60&amp;'TB-Pharmaceuticals'!$G$41:$G$60,0)),0)</f>
        <v>0</v>
      </c>
      <c r="BG89" s="626">
        <f t="shared" si="69"/>
        <v>0</v>
      </c>
      <c r="BH89" s="626">
        <f t="shared" si="70"/>
        <v>0</v>
      </c>
      <c r="BI89" s="626">
        <f t="shared" si="71"/>
        <v>0</v>
      </c>
      <c r="BK89" s="626"/>
      <c r="BL89" s="626"/>
      <c r="BM89" s="626"/>
      <c r="BN89" s="626"/>
      <c r="BO89" s="626"/>
      <c r="BP89" s="626"/>
      <c r="BQ89" s="626"/>
      <c r="BR89" s="626"/>
    </row>
    <row r="90" spans="1:70">
      <c r="A90" s="32" t="s">
        <v>571</v>
      </c>
      <c r="B90" s="32" t="s">
        <v>1739</v>
      </c>
      <c r="C90" s="619">
        <f>SETUP!$F$38</f>
        <v>0</v>
      </c>
      <c r="D90" s="31">
        <v>4.2</v>
      </c>
      <c r="E90" s="32" t="s">
        <v>435</v>
      </c>
      <c r="F90" s="32" t="s">
        <v>1304</v>
      </c>
      <c r="G90" s="625" t="str">
        <f t="array" ref="G90">IFERROR(INDEX('TB-Pharmaceuticals'!$K$41:$K$60,MATCH($E90&amp;$F90,'TB-Pharmaceuticals'!$D$41:$D$60&amp;'TB-Pharmaceuticals'!$G$41:$G$60,0)),"")</f>
        <v/>
      </c>
      <c r="H90" s="625" t="str">
        <f t="array" ref="H90">IFERROR(INDEX('TB-Pharmaceuticals'!$L$41:$L$60,MATCH($E90&amp;$F90,'TB-Pharmaceuticals'!$D$41:$D$60&amp;'TB-Pharmaceuticals'!$G$41:$G$60,0)),"")</f>
        <v/>
      </c>
      <c r="I90" s="625">
        <f t="array" ref="I90">IFERROR(INDEX('TB-Pharmaceuticals'!$M$41:$M$60,MATCH($E90&amp;$F90,'TB-Pharmaceuticals'!$D$41:$D$60&amp;'TB-Pharmaceuticals'!$G$41:$G$60,0)),0)</f>
        <v>0</v>
      </c>
      <c r="J90" s="625">
        <f t="array" ref="J90">IFERROR(INDEX('TB-Pharmaceuticals'!$N$41:$N$60,MATCH($E90&amp;$F90,'TB-Pharmaceuticals'!$D$41:$D$60&amp;'TB-Pharmaceuticals'!$G$41:$G$60,0)),0)</f>
        <v>0</v>
      </c>
      <c r="K90" s="626">
        <f t="shared" si="36"/>
        <v>0</v>
      </c>
      <c r="L90" s="626">
        <f t="shared" si="37"/>
        <v>0</v>
      </c>
      <c r="M90" s="626">
        <f t="shared" si="38"/>
        <v>0</v>
      </c>
      <c r="N90" s="625">
        <f t="array" ref="N90">IFERROR(INDEX('TB-Pharmaceuticals'!$O$41:$O$60,MATCH($E90&amp;$F90,'TB-Pharmaceuticals'!$D$41:$D$60&amp;'TB-Pharmaceuticals'!$G$41:$G$60,0)),0)</f>
        <v>0</v>
      </c>
      <c r="O90" s="626">
        <f t="shared" si="39"/>
        <v>0</v>
      </c>
      <c r="P90" s="626">
        <f t="shared" si="40"/>
        <v>0</v>
      </c>
      <c r="Q90" s="626">
        <f t="shared" si="41"/>
        <v>0</v>
      </c>
      <c r="R90" s="625">
        <f t="array" ref="R90">IFERROR(INDEX('TB-Pharmaceuticals'!$P$41:$P$60,MATCH($E90&amp;$F90,'TB-Pharmaceuticals'!$D$41:$D$60&amp;'TB-Pharmaceuticals'!$G$41:$G$60,0)),0)</f>
        <v>0</v>
      </c>
      <c r="S90" s="626">
        <f t="shared" si="42"/>
        <v>0</v>
      </c>
      <c r="T90" s="626">
        <f t="shared" si="43"/>
        <v>0</v>
      </c>
      <c r="U90" s="626">
        <f t="shared" si="44"/>
        <v>0</v>
      </c>
      <c r="V90" s="625">
        <f t="array" ref="V90">IFERROR(INDEX('TB-Pharmaceuticals'!$Q$41:$Q$60,MATCH($E90&amp;$F90,'TB-Pharmaceuticals'!$D$41:$D$60&amp;'TB-Pharmaceuticals'!$G$41:$G$60,0)),0)</f>
        <v>0</v>
      </c>
      <c r="W90" s="626">
        <f t="shared" si="45"/>
        <v>0</v>
      </c>
      <c r="X90" s="626">
        <f t="shared" si="46"/>
        <v>0</v>
      </c>
      <c r="Y90" s="626">
        <f t="shared" si="47"/>
        <v>0</v>
      </c>
      <c r="Z90" s="627"/>
      <c r="AA90" s="625">
        <f t="array" ref="AA90">IFERROR(INDEX('TB-Pharmaceuticals'!$T$41:$T$60,MATCH($E90&amp;$F90,'TB-Pharmaceuticals'!$D$41:$D$60&amp;'TB-Pharmaceuticals'!$G$41:$G$60,0)),0)</f>
        <v>0</v>
      </c>
      <c r="AB90" s="625">
        <f t="array" ref="AB90">IFERROR(INDEX('TB-Pharmaceuticals'!$U$41:$U$60,MATCH($E90&amp;$F90,'TB-Pharmaceuticals'!$D$41:$D$60&amp;'TB-Pharmaceuticals'!$G$41:$G$60,0)),0)</f>
        <v>0</v>
      </c>
      <c r="AC90" s="626">
        <f t="shared" si="48"/>
        <v>0</v>
      </c>
      <c r="AD90" s="626">
        <f t="shared" si="49"/>
        <v>0</v>
      </c>
      <c r="AE90" s="626">
        <f t="shared" si="50"/>
        <v>0</v>
      </c>
      <c r="AF90" s="625">
        <f t="array" ref="AF90">IFERROR(INDEX('TB-Pharmaceuticals'!$V$41:$V$60,MATCH($E90&amp;$F90,'TB-Pharmaceuticals'!$D$41:$D$60&amp;'TB-Pharmaceuticals'!$G$41:$G$60,0)),0)</f>
        <v>0</v>
      </c>
      <c r="AG90" s="626">
        <f t="shared" si="51"/>
        <v>0</v>
      </c>
      <c r="AH90" s="626">
        <f t="shared" si="52"/>
        <v>0</v>
      </c>
      <c r="AI90" s="626">
        <f t="shared" si="53"/>
        <v>0</v>
      </c>
      <c r="AJ90" s="625">
        <f t="array" ref="AJ90">IFERROR(INDEX('TB-Pharmaceuticals'!$W$41:$W$60,MATCH($E90&amp;$F90,'TB-Pharmaceuticals'!$D$41:$D$60&amp;'TB-Pharmaceuticals'!$G$41:$G$60,0)),0)</f>
        <v>0</v>
      </c>
      <c r="AK90" s="626">
        <f t="shared" si="54"/>
        <v>0</v>
      </c>
      <c r="AL90" s="626">
        <f t="shared" si="55"/>
        <v>0</v>
      </c>
      <c r="AM90" s="626">
        <f t="shared" si="56"/>
        <v>0</v>
      </c>
      <c r="AN90" s="625">
        <f t="array" ref="AN90">IFERROR(INDEX('TB-Pharmaceuticals'!$X$41:$X$60,MATCH($E90&amp;$F90,'TB-Pharmaceuticals'!$D$41:$D$60&amp;'TB-Pharmaceuticals'!$G$41:$G$60,0)),0)</f>
        <v>0</v>
      </c>
      <c r="AO90" s="626">
        <f t="shared" si="57"/>
        <v>0</v>
      </c>
      <c r="AP90" s="626">
        <f t="shared" si="58"/>
        <v>0</v>
      </c>
      <c r="AQ90" s="626">
        <f t="shared" si="59"/>
        <v>0</v>
      </c>
      <c r="AR90" s="627"/>
      <c r="AS90" s="625">
        <f t="array" ref="AS90">IFERROR(INDEX('TB-Pharmaceuticals'!$AA$41:$AA$60,MATCH($E90&amp;$F90,'TB-Pharmaceuticals'!$D$41:$D$60&amp;'TB-Pharmaceuticals'!$G$41:$G$60,0)),0)</f>
        <v>0</v>
      </c>
      <c r="AT90" s="625">
        <f t="array" ref="AT90">IFERROR(INDEX('TB-Pharmaceuticals'!$AB$41:$AB$60,MATCH($E90&amp;$F90,'TB-Pharmaceuticals'!$D$41:$D$60&amp;'TB-Pharmaceuticals'!$G$41:$G$60,0)),0)</f>
        <v>0</v>
      </c>
      <c r="AU90" s="626">
        <f t="shared" si="60"/>
        <v>0</v>
      </c>
      <c r="AV90" s="626">
        <f t="shared" si="61"/>
        <v>0</v>
      </c>
      <c r="AW90" s="626">
        <f t="shared" si="62"/>
        <v>0</v>
      </c>
      <c r="AX90" s="625">
        <f t="array" ref="AX90">IFERROR(INDEX('TB-Pharmaceuticals'!$AC$41:$AC$60,MATCH($E90&amp;$F90,'TB-Pharmaceuticals'!$D$41:$D$60&amp;'TB-Pharmaceuticals'!$G$41:$G$60,0)),0)</f>
        <v>0</v>
      </c>
      <c r="AY90" s="626">
        <f t="shared" si="63"/>
        <v>0</v>
      </c>
      <c r="AZ90" s="626">
        <f t="shared" si="64"/>
        <v>0</v>
      </c>
      <c r="BA90" s="626">
        <f t="shared" si="65"/>
        <v>0</v>
      </c>
      <c r="BB90" s="625">
        <f t="array" ref="BB90">IFERROR(INDEX('TB-Pharmaceuticals'!$AD$41:$AD$60,MATCH($E90&amp;$F90,'TB-Pharmaceuticals'!$D$41:$D$60&amp;'TB-Pharmaceuticals'!$G$41:$G$60,0)),0)</f>
        <v>0</v>
      </c>
      <c r="BC90" s="626">
        <f t="shared" si="66"/>
        <v>0</v>
      </c>
      <c r="BD90" s="626">
        <f t="shared" si="67"/>
        <v>0</v>
      </c>
      <c r="BE90" s="626">
        <f t="shared" si="68"/>
        <v>0</v>
      </c>
      <c r="BF90" s="625">
        <f t="array" ref="BF90">IFERROR(INDEX('TB-Pharmaceuticals'!$AE$41:$AE$60,MATCH($E90&amp;$F90,'TB-Pharmaceuticals'!$D$41:$D$60&amp;'TB-Pharmaceuticals'!$G$41:$G$60,0)),0)</f>
        <v>0</v>
      </c>
      <c r="BG90" s="626">
        <f t="shared" si="69"/>
        <v>0</v>
      </c>
      <c r="BH90" s="626">
        <f t="shared" si="70"/>
        <v>0</v>
      </c>
      <c r="BI90" s="626">
        <f t="shared" si="71"/>
        <v>0</v>
      </c>
      <c r="BK90" s="626"/>
      <c r="BL90" s="626"/>
      <c r="BM90" s="626"/>
      <c r="BN90" s="626"/>
      <c r="BO90" s="626"/>
      <c r="BP90" s="626"/>
      <c r="BQ90" s="626"/>
      <c r="BR90" s="626"/>
    </row>
    <row r="91" spans="1:70">
      <c r="A91" s="32" t="s">
        <v>571</v>
      </c>
      <c r="B91" s="32" t="s">
        <v>1739</v>
      </c>
      <c r="C91" s="619">
        <f>SETUP!$F$38</f>
        <v>0</v>
      </c>
      <c r="D91" s="31">
        <v>4.2</v>
      </c>
      <c r="E91" s="32" t="s">
        <v>1280</v>
      </c>
      <c r="F91" s="32" t="s">
        <v>1283</v>
      </c>
      <c r="G91" s="625" t="str">
        <f t="array" ref="G91">IFERROR(INDEX('TB-Pharmaceuticals'!$K$41:$K$60,MATCH($E91&amp;$F91,'TB-Pharmaceuticals'!$D$41:$D$60&amp;'TB-Pharmaceuticals'!$G$41:$G$60,0)),"")</f>
        <v/>
      </c>
      <c r="H91" s="625" t="str">
        <f t="array" ref="H91">IFERROR(INDEX('TB-Pharmaceuticals'!$L$41:$L$60,MATCH($E91&amp;$F91,'TB-Pharmaceuticals'!$D$41:$D$60&amp;'TB-Pharmaceuticals'!$G$41:$G$60,0)),"")</f>
        <v/>
      </c>
      <c r="I91" s="625">
        <f t="array" ref="I91">IFERROR(INDEX('TB-Pharmaceuticals'!$M$41:$M$60,MATCH($E91&amp;$F91,'TB-Pharmaceuticals'!$D$41:$D$60&amp;'TB-Pharmaceuticals'!$G$41:$G$60,0)),0)</f>
        <v>0</v>
      </c>
      <c r="J91" s="625">
        <f t="array" ref="J91">IFERROR(INDEX('TB-Pharmaceuticals'!$N$41:$N$60,MATCH($E91&amp;$F91,'TB-Pharmaceuticals'!$D$41:$D$60&amp;'TB-Pharmaceuticals'!$G$41:$G$60,0)),0)</f>
        <v>0</v>
      </c>
      <c r="K91" s="626">
        <f t="shared" si="36"/>
        <v>0</v>
      </c>
      <c r="L91" s="626">
        <f t="shared" si="37"/>
        <v>0</v>
      </c>
      <c r="M91" s="626">
        <f t="shared" si="38"/>
        <v>0</v>
      </c>
      <c r="N91" s="625">
        <f t="array" ref="N91">IFERROR(INDEX('TB-Pharmaceuticals'!$O$41:$O$60,MATCH($E91&amp;$F91,'TB-Pharmaceuticals'!$D$41:$D$60&amp;'TB-Pharmaceuticals'!$G$41:$G$60,0)),0)</f>
        <v>0</v>
      </c>
      <c r="O91" s="626">
        <f t="shared" si="39"/>
        <v>0</v>
      </c>
      <c r="P91" s="626">
        <f t="shared" si="40"/>
        <v>0</v>
      </c>
      <c r="Q91" s="626">
        <f t="shared" si="41"/>
        <v>0</v>
      </c>
      <c r="R91" s="625">
        <f t="array" ref="R91">IFERROR(INDEX('TB-Pharmaceuticals'!$P$41:$P$60,MATCH($E91&amp;$F91,'TB-Pharmaceuticals'!$D$41:$D$60&amp;'TB-Pharmaceuticals'!$G$41:$G$60,0)),0)</f>
        <v>0</v>
      </c>
      <c r="S91" s="626">
        <f t="shared" si="42"/>
        <v>0</v>
      </c>
      <c r="T91" s="626">
        <f t="shared" si="43"/>
        <v>0</v>
      </c>
      <c r="U91" s="626">
        <f t="shared" si="44"/>
        <v>0</v>
      </c>
      <c r="V91" s="625">
        <f t="array" ref="V91">IFERROR(INDEX('TB-Pharmaceuticals'!$Q$41:$Q$60,MATCH($E91&amp;$F91,'TB-Pharmaceuticals'!$D$41:$D$60&amp;'TB-Pharmaceuticals'!$G$41:$G$60,0)),0)</f>
        <v>0</v>
      </c>
      <c r="W91" s="626">
        <f t="shared" si="45"/>
        <v>0</v>
      </c>
      <c r="X91" s="626">
        <f t="shared" si="46"/>
        <v>0</v>
      </c>
      <c r="Y91" s="626">
        <f t="shared" si="47"/>
        <v>0</v>
      </c>
      <c r="Z91" s="627"/>
      <c r="AA91" s="625">
        <f t="array" ref="AA91">IFERROR(INDEX('TB-Pharmaceuticals'!$T$41:$T$60,MATCH($E91&amp;$F91,'TB-Pharmaceuticals'!$D$41:$D$60&amp;'TB-Pharmaceuticals'!$G$41:$G$60,0)),0)</f>
        <v>0</v>
      </c>
      <c r="AB91" s="625">
        <f t="array" ref="AB91">IFERROR(INDEX('TB-Pharmaceuticals'!$U$41:$U$60,MATCH($E91&amp;$F91,'TB-Pharmaceuticals'!$D$41:$D$60&amp;'TB-Pharmaceuticals'!$G$41:$G$60,0)),0)</f>
        <v>0</v>
      </c>
      <c r="AC91" s="626">
        <f t="shared" si="48"/>
        <v>0</v>
      </c>
      <c r="AD91" s="626">
        <f t="shared" si="49"/>
        <v>0</v>
      </c>
      <c r="AE91" s="626">
        <f t="shared" si="50"/>
        <v>0</v>
      </c>
      <c r="AF91" s="625">
        <f t="array" ref="AF91">IFERROR(INDEX('TB-Pharmaceuticals'!$V$41:$V$60,MATCH($E91&amp;$F91,'TB-Pharmaceuticals'!$D$41:$D$60&amp;'TB-Pharmaceuticals'!$G$41:$G$60,0)),0)</f>
        <v>0</v>
      </c>
      <c r="AG91" s="626">
        <f t="shared" si="51"/>
        <v>0</v>
      </c>
      <c r="AH91" s="626">
        <f t="shared" si="52"/>
        <v>0</v>
      </c>
      <c r="AI91" s="626">
        <f t="shared" si="53"/>
        <v>0</v>
      </c>
      <c r="AJ91" s="625">
        <f t="array" ref="AJ91">IFERROR(INDEX('TB-Pharmaceuticals'!$W$41:$W$60,MATCH($E91&amp;$F91,'TB-Pharmaceuticals'!$D$41:$D$60&amp;'TB-Pharmaceuticals'!$G$41:$G$60,0)),0)</f>
        <v>0</v>
      </c>
      <c r="AK91" s="626">
        <f t="shared" si="54"/>
        <v>0</v>
      </c>
      <c r="AL91" s="626">
        <f t="shared" si="55"/>
        <v>0</v>
      </c>
      <c r="AM91" s="626">
        <f t="shared" si="56"/>
        <v>0</v>
      </c>
      <c r="AN91" s="625">
        <f t="array" ref="AN91">IFERROR(INDEX('TB-Pharmaceuticals'!$X$41:$X$60,MATCH($E91&amp;$F91,'TB-Pharmaceuticals'!$D$41:$D$60&amp;'TB-Pharmaceuticals'!$G$41:$G$60,0)),0)</f>
        <v>0</v>
      </c>
      <c r="AO91" s="626">
        <f t="shared" si="57"/>
        <v>0</v>
      </c>
      <c r="AP91" s="626">
        <f t="shared" si="58"/>
        <v>0</v>
      </c>
      <c r="AQ91" s="626">
        <f t="shared" si="59"/>
        <v>0</v>
      </c>
      <c r="AR91" s="627"/>
      <c r="AS91" s="625">
        <f t="array" ref="AS91">IFERROR(INDEX('TB-Pharmaceuticals'!$AA$41:$AA$60,MATCH($E91&amp;$F91,'TB-Pharmaceuticals'!$D$41:$D$60&amp;'TB-Pharmaceuticals'!$G$41:$G$60,0)),0)</f>
        <v>0</v>
      </c>
      <c r="AT91" s="625">
        <f t="array" ref="AT91">IFERROR(INDEX('TB-Pharmaceuticals'!$AB$41:$AB$60,MATCH($E91&amp;$F91,'TB-Pharmaceuticals'!$D$41:$D$60&amp;'TB-Pharmaceuticals'!$G$41:$G$60,0)),0)</f>
        <v>0</v>
      </c>
      <c r="AU91" s="626">
        <f t="shared" si="60"/>
        <v>0</v>
      </c>
      <c r="AV91" s="626">
        <f t="shared" si="61"/>
        <v>0</v>
      </c>
      <c r="AW91" s="626">
        <f t="shared" si="62"/>
        <v>0</v>
      </c>
      <c r="AX91" s="625">
        <f t="array" ref="AX91">IFERROR(INDEX('TB-Pharmaceuticals'!$AC$41:$AC$60,MATCH($E91&amp;$F91,'TB-Pharmaceuticals'!$D$41:$D$60&amp;'TB-Pharmaceuticals'!$G$41:$G$60,0)),0)</f>
        <v>0</v>
      </c>
      <c r="AY91" s="626">
        <f t="shared" si="63"/>
        <v>0</v>
      </c>
      <c r="AZ91" s="626">
        <f t="shared" si="64"/>
        <v>0</v>
      </c>
      <c r="BA91" s="626">
        <f t="shared" si="65"/>
        <v>0</v>
      </c>
      <c r="BB91" s="625">
        <f t="array" ref="BB91">IFERROR(INDEX('TB-Pharmaceuticals'!$AD$41:$AD$60,MATCH($E91&amp;$F91,'TB-Pharmaceuticals'!$D$41:$D$60&amp;'TB-Pharmaceuticals'!$G$41:$G$60,0)),0)</f>
        <v>0</v>
      </c>
      <c r="BC91" s="626">
        <f t="shared" si="66"/>
        <v>0</v>
      </c>
      <c r="BD91" s="626">
        <f t="shared" si="67"/>
        <v>0</v>
      </c>
      <c r="BE91" s="626">
        <f t="shared" si="68"/>
        <v>0</v>
      </c>
      <c r="BF91" s="625">
        <f t="array" ref="BF91">IFERROR(INDEX('TB-Pharmaceuticals'!$AE$41:$AE$60,MATCH($E91&amp;$F91,'TB-Pharmaceuticals'!$D$41:$D$60&amp;'TB-Pharmaceuticals'!$G$41:$G$60,0)),0)</f>
        <v>0</v>
      </c>
      <c r="BG91" s="626">
        <f t="shared" si="69"/>
        <v>0</v>
      </c>
      <c r="BH91" s="626">
        <f t="shared" si="70"/>
        <v>0</v>
      </c>
      <c r="BI91" s="626">
        <f t="shared" si="71"/>
        <v>0</v>
      </c>
      <c r="BK91" s="626"/>
      <c r="BL91" s="626"/>
      <c r="BM91" s="626"/>
      <c r="BN91" s="626"/>
      <c r="BO91" s="626"/>
      <c r="BP91" s="626"/>
      <c r="BQ91" s="626"/>
      <c r="BR91" s="626"/>
    </row>
    <row r="92" spans="1:70">
      <c r="A92" s="32" t="s">
        <v>571</v>
      </c>
      <c r="B92" s="32" t="s">
        <v>1739</v>
      </c>
      <c r="C92" s="619">
        <f>SETUP!$F$38</f>
        <v>0</v>
      </c>
      <c r="D92" s="31">
        <v>4.2</v>
      </c>
      <c r="E92" s="32" t="s">
        <v>436</v>
      </c>
      <c r="F92" s="32" t="s">
        <v>1305</v>
      </c>
      <c r="G92" s="625" t="str">
        <f t="array" ref="G92">IFERROR(INDEX('TB-Pharmaceuticals'!$K$41:$K$60,MATCH($E92&amp;$F92,'TB-Pharmaceuticals'!$D$41:$D$60&amp;'TB-Pharmaceuticals'!$G$41:$G$60,0)),"")</f>
        <v/>
      </c>
      <c r="H92" s="625" t="str">
        <f t="array" ref="H92">IFERROR(INDEX('TB-Pharmaceuticals'!$L$41:$L$60,MATCH($E92&amp;$F92,'TB-Pharmaceuticals'!$D$41:$D$60&amp;'TB-Pharmaceuticals'!$G$41:$G$60,0)),"")</f>
        <v/>
      </c>
      <c r="I92" s="625">
        <f t="array" ref="I92">IFERROR(INDEX('TB-Pharmaceuticals'!$M$41:$M$60,MATCH($E92&amp;$F92,'TB-Pharmaceuticals'!$D$41:$D$60&amp;'TB-Pharmaceuticals'!$G$41:$G$60,0)),0)</f>
        <v>0</v>
      </c>
      <c r="J92" s="625">
        <f t="array" ref="J92">IFERROR(INDEX('TB-Pharmaceuticals'!$N$41:$N$60,MATCH($E92&amp;$F92,'TB-Pharmaceuticals'!$D$41:$D$60&amp;'TB-Pharmaceuticals'!$G$41:$G$60,0)),0)</f>
        <v>0</v>
      </c>
      <c r="K92" s="626">
        <f t="shared" si="36"/>
        <v>0</v>
      </c>
      <c r="L92" s="626">
        <f t="shared" si="37"/>
        <v>0</v>
      </c>
      <c r="M92" s="626">
        <f t="shared" si="38"/>
        <v>0</v>
      </c>
      <c r="N92" s="625">
        <f t="array" ref="N92">IFERROR(INDEX('TB-Pharmaceuticals'!$O$41:$O$60,MATCH($E92&amp;$F92,'TB-Pharmaceuticals'!$D$41:$D$60&amp;'TB-Pharmaceuticals'!$G$41:$G$60,0)),0)</f>
        <v>0</v>
      </c>
      <c r="O92" s="626">
        <f t="shared" si="39"/>
        <v>0</v>
      </c>
      <c r="P92" s="626">
        <f t="shared" si="40"/>
        <v>0</v>
      </c>
      <c r="Q92" s="626">
        <f t="shared" si="41"/>
        <v>0</v>
      </c>
      <c r="R92" s="625">
        <f t="array" ref="R92">IFERROR(INDEX('TB-Pharmaceuticals'!$P$41:$P$60,MATCH($E92&amp;$F92,'TB-Pharmaceuticals'!$D$41:$D$60&amp;'TB-Pharmaceuticals'!$G$41:$G$60,0)),0)</f>
        <v>0</v>
      </c>
      <c r="S92" s="626">
        <f t="shared" si="42"/>
        <v>0</v>
      </c>
      <c r="T92" s="626">
        <f t="shared" si="43"/>
        <v>0</v>
      </c>
      <c r="U92" s="626">
        <f t="shared" si="44"/>
        <v>0</v>
      </c>
      <c r="V92" s="625">
        <f t="array" ref="V92">IFERROR(INDEX('TB-Pharmaceuticals'!$Q$41:$Q$60,MATCH($E92&amp;$F92,'TB-Pharmaceuticals'!$D$41:$D$60&amp;'TB-Pharmaceuticals'!$G$41:$G$60,0)),0)</f>
        <v>0</v>
      </c>
      <c r="W92" s="626">
        <f t="shared" si="45"/>
        <v>0</v>
      </c>
      <c r="X92" s="626">
        <f t="shared" si="46"/>
        <v>0</v>
      </c>
      <c r="Y92" s="626">
        <f t="shared" si="47"/>
        <v>0</v>
      </c>
      <c r="Z92" s="627"/>
      <c r="AA92" s="625">
        <f t="array" ref="AA92">IFERROR(INDEX('TB-Pharmaceuticals'!$T$41:$T$60,MATCH($E92&amp;$F92,'TB-Pharmaceuticals'!$D$41:$D$60&amp;'TB-Pharmaceuticals'!$G$41:$G$60,0)),0)</f>
        <v>0</v>
      </c>
      <c r="AB92" s="625">
        <f t="array" ref="AB92">IFERROR(INDEX('TB-Pharmaceuticals'!$U$41:$U$60,MATCH($E92&amp;$F92,'TB-Pharmaceuticals'!$D$41:$D$60&amp;'TB-Pharmaceuticals'!$G$41:$G$60,0)),0)</f>
        <v>0</v>
      </c>
      <c r="AC92" s="626">
        <f t="shared" si="48"/>
        <v>0</v>
      </c>
      <c r="AD92" s="626">
        <f t="shared" si="49"/>
        <v>0</v>
      </c>
      <c r="AE92" s="626">
        <f t="shared" si="50"/>
        <v>0</v>
      </c>
      <c r="AF92" s="625">
        <f t="array" ref="AF92">IFERROR(INDEX('TB-Pharmaceuticals'!$V$41:$V$60,MATCH($E92&amp;$F92,'TB-Pharmaceuticals'!$D$41:$D$60&amp;'TB-Pharmaceuticals'!$G$41:$G$60,0)),0)</f>
        <v>0</v>
      </c>
      <c r="AG92" s="626">
        <f t="shared" si="51"/>
        <v>0</v>
      </c>
      <c r="AH92" s="626">
        <f t="shared" si="52"/>
        <v>0</v>
      </c>
      <c r="AI92" s="626">
        <f t="shared" si="53"/>
        <v>0</v>
      </c>
      <c r="AJ92" s="625">
        <f t="array" ref="AJ92">IFERROR(INDEX('TB-Pharmaceuticals'!$W$41:$W$60,MATCH($E92&amp;$F92,'TB-Pharmaceuticals'!$D$41:$D$60&amp;'TB-Pharmaceuticals'!$G$41:$G$60,0)),0)</f>
        <v>0</v>
      </c>
      <c r="AK92" s="626">
        <f t="shared" si="54"/>
        <v>0</v>
      </c>
      <c r="AL92" s="626">
        <f t="shared" si="55"/>
        <v>0</v>
      </c>
      <c r="AM92" s="626">
        <f t="shared" si="56"/>
        <v>0</v>
      </c>
      <c r="AN92" s="625">
        <f t="array" ref="AN92">IFERROR(INDEX('TB-Pharmaceuticals'!$X$41:$X$60,MATCH($E92&amp;$F92,'TB-Pharmaceuticals'!$D$41:$D$60&amp;'TB-Pharmaceuticals'!$G$41:$G$60,0)),0)</f>
        <v>0</v>
      </c>
      <c r="AO92" s="626">
        <f t="shared" si="57"/>
        <v>0</v>
      </c>
      <c r="AP92" s="626">
        <f t="shared" si="58"/>
        <v>0</v>
      </c>
      <c r="AQ92" s="626">
        <f t="shared" si="59"/>
        <v>0</v>
      </c>
      <c r="AR92" s="627"/>
      <c r="AS92" s="625">
        <f t="array" ref="AS92">IFERROR(INDEX('TB-Pharmaceuticals'!$AA$41:$AA$60,MATCH($E92&amp;$F92,'TB-Pharmaceuticals'!$D$41:$D$60&amp;'TB-Pharmaceuticals'!$G$41:$G$60,0)),0)</f>
        <v>0</v>
      </c>
      <c r="AT92" s="625">
        <f t="array" ref="AT92">IFERROR(INDEX('TB-Pharmaceuticals'!$AB$41:$AB$60,MATCH($E92&amp;$F92,'TB-Pharmaceuticals'!$D$41:$D$60&amp;'TB-Pharmaceuticals'!$G$41:$G$60,0)),0)</f>
        <v>0</v>
      </c>
      <c r="AU92" s="626">
        <f t="shared" si="60"/>
        <v>0</v>
      </c>
      <c r="AV92" s="626">
        <f t="shared" si="61"/>
        <v>0</v>
      </c>
      <c r="AW92" s="626">
        <f t="shared" si="62"/>
        <v>0</v>
      </c>
      <c r="AX92" s="625">
        <f t="array" ref="AX92">IFERROR(INDEX('TB-Pharmaceuticals'!$AC$41:$AC$60,MATCH($E92&amp;$F92,'TB-Pharmaceuticals'!$D$41:$D$60&amp;'TB-Pharmaceuticals'!$G$41:$G$60,0)),0)</f>
        <v>0</v>
      </c>
      <c r="AY92" s="626">
        <f t="shared" si="63"/>
        <v>0</v>
      </c>
      <c r="AZ92" s="626">
        <f t="shared" si="64"/>
        <v>0</v>
      </c>
      <c r="BA92" s="626">
        <f t="shared" si="65"/>
        <v>0</v>
      </c>
      <c r="BB92" s="625">
        <f t="array" ref="BB92">IFERROR(INDEX('TB-Pharmaceuticals'!$AD$41:$AD$60,MATCH($E92&amp;$F92,'TB-Pharmaceuticals'!$D$41:$D$60&amp;'TB-Pharmaceuticals'!$G$41:$G$60,0)),0)</f>
        <v>0</v>
      </c>
      <c r="BC92" s="626">
        <f t="shared" si="66"/>
        <v>0</v>
      </c>
      <c r="BD92" s="626">
        <f t="shared" si="67"/>
        <v>0</v>
      </c>
      <c r="BE92" s="626">
        <f t="shared" si="68"/>
        <v>0</v>
      </c>
      <c r="BF92" s="625">
        <f t="array" ref="BF92">IFERROR(INDEX('TB-Pharmaceuticals'!$AE$41:$AE$60,MATCH($E92&amp;$F92,'TB-Pharmaceuticals'!$D$41:$D$60&amp;'TB-Pharmaceuticals'!$G$41:$G$60,0)),0)</f>
        <v>0</v>
      </c>
      <c r="BG92" s="626">
        <f t="shared" si="69"/>
        <v>0</v>
      </c>
      <c r="BH92" s="626">
        <f t="shared" si="70"/>
        <v>0</v>
      </c>
      <c r="BI92" s="626">
        <f t="shared" si="71"/>
        <v>0</v>
      </c>
      <c r="BK92" s="626"/>
      <c r="BL92" s="626"/>
      <c r="BM92" s="626"/>
      <c r="BN92" s="626"/>
      <c r="BO92" s="626"/>
      <c r="BP92" s="626"/>
      <c r="BQ92" s="626"/>
      <c r="BR92" s="626"/>
    </row>
    <row r="93" spans="1:70">
      <c r="A93" s="32" t="s">
        <v>571</v>
      </c>
      <c r="B93" s="32" t="s">
        <v>1739</v>
      </c>
      <c r="C93" s="619">
        <f>SETUP!$F$38</f>
        <v>0</v>
      </c>
      <c r="D93" s="31">
        <v>4.2</v>
      </c>
      <c r="E93" s="32" t="s">
        <v>439</v>
      </c>
      <c r="F93" s="32" t="s">
        <v>441</v>
      </c>
      <c r="G93" s="625" t="str">
        <f t="array" ref="G93">IFERROR(INDEX('TB-Pharmaceuticals'!$K$41:$K$60,MATCH($E93&amp;$F93,'TB-Pharmaceuticals'!$D$41:$D$60&amp;'TB-Pharmaceuticals'!$G$41:$G$60,0)),"")</f>
        <v/>
      </c>
      <c r="H93" s="625" t="str">
        <f t="array" ref="H93">IFERROR(INDEX('TB-Pharmaceuticals'!$L$41:$L$60,MATCH($E93&amp;$F93,'TB-Pharmaceuticals'!$D$41:$D$60&amp;'TB-Pharmaceuticals'!$G$41:$G$60,0)),"")</f>
        <v/>
      </c>
      <c r="I93" s="625">
        <f t="array" ref="I93">IFERROR(INDEX('TB-Pharmaceuticals'!$M$41:$M$60,MATCH($E93&amp;$F93,'TB-Pharmaceuticals'!$D$41:$D$60&amp;'TB-Pharmaceuticals'!$G$41:$G$60,0)),0)</f>
        <v>0</v>
      </c>
      <c r="J93" s="625">
        <f t="array" ref="J93">IFERROR(INDEX('TB-Pharmaceuticals'!$N$41:$N$60,MATCH($E93&amp;$F93,'TB-Pharmaceuticals'!$D$41:$D$60&amp;'TB-Pharmaceuticals'!$G$41:$G$60,0)),0)</f>
        <v>0</v>
      </c>
      <c r="K93" s="626">
        <f t="shared" si="36"/>
        <v>0</v>
      </c>
      <c r="L93" s="626">
        <f t="shared" si="37"/>
        <v>0</v>
      </c>
      <c r="M93" s="626">
        <f t="shared" si="38"/>
        <v>0</v>
      </c>
      <c r="N93" s="625">
        <f t="array" ref="N93">IFERROR(INDEX('TB-Pharmaceuticals'!$O$41:$O$60,MATCH($E93&amp;$F93,'TB-Pharmaceuticals'!$D$41:$D$60&amp;'TB-Pharmaceuticals'!$G$41:$G$60,0)),0)</f>
        <v>0</v>
      </c>
      <c r="O93" s="626">
        <f t="shared" si="39"/>
        <v>0</v>
      </c>
      <c r="P93" s="626">
        <f t="shared" si="40"/>
        <v>0</v>
      </c>
      <c r="Q93" s="626">
        <f t="shared" si="41"/>
        <v>0</v>
      </c>
      <c r="R93" s="625">
        <f t="array" ref="R93">IFERROR(INDEX('TB-Pharmaceuticals'!$P$41:$P$60,MATCH($E93&amp;$F93,'TB-Pharmaceuticals'!$D$41:$D$60&amp;'TB-Pharmaceuticals'!$G$41:$G$60,0)),0)</f>
        <v>0</v>
      </c>
      <c r="S93" s="626">
        <f t="shared" si="42"/>
        <v>0</v>
      </c>
      <c r="T93" s="626">
        <f t="shared" si="43"/>
        <v>0</v>
      </c>
      <c r="U93" s="626">
        <f t="shared" si="44"/>
        <v>0</v>
      </c>
      <c r="V93" s="625">
        <f t="array" ref="V93">IFERROR(INDEX('TB-Pharmaceuticals'!$Q$41:$Q$60,MATCH($E93&amp;$F93,'TB-Pharmaceuticals'!$D$41:$D$60&amp;'TB-Pharmaceuticals'!$G$41:$G$60,0)),0)</f>
        <v>0</v>
      </c>
      <c r="W93" s="626">
        <f t="shared" si="45"/>
        <v>0</v>
      </c>
      <c r="X93" s="626">
        <f t="shared" si="46"/>
        <v>0</v>
      </c>
      <c r="Y93" s="626">
        <f t="shared" si="47"/>
        <v>0</v>
      </c>
      <c r="Z93" s="627"/>
      <c r="AA93" s="625">
        <f t="array" ref="AA93">IFERROR(INDEX('TB-Pharmaceuticals'!$T$41:$T$60,MATCH($E93&amp;$F93,'TB-Pharmaceuticals'!$D$41:$D$60&amp;'TB-Pharmaceuticals'!$G$41:$G$60,0)),0)</f>
        <v>0</v>
      </c>
      <c r="AB93" s="625">
        <f t="array" ref="AB93">IFERROR(INDEX('TB-Pharmaceuticals'!$U$41:$U$60,MATCH($E93&amp;$F93,'TB-Pharmaceuticals'!$D$41:$D$60&amp;'TB-Pharmaceuticals'!$G$41:$G$60,0)),0)</f>
        <v>0</v>
      </c>
      <c r="AC93" s="626">
        <f t="shared" si="48"/>
        <v>0</v>
      </c>
      <c r="AD93" s="626">
        <f t="shared" si="49"/>
        <v>0</v>
      </c>
      <c r="AE93" s="626">
        <f t="shared" si="50"/>
        <v>0</v>
      </c>
      <c r="AF93" s="625">
        <f t="array" ref="AF93">IFERROR(INDEX('TB-Pharmaceuticals'!$V$41:$V$60,MATCH($E93&amp;$F93,'TB-Pharmaceuticals'!$D$41:$D$60&amp;'TB-Pharmaceuticals'!$G$41:$G$60,0)),0)</f>
        <v>0</v>
      </c>
      <c r="AG93" s="626">
        <f t="shared" si="51"/>
        <v>0</v>
      </c>
      <c r="AH93" s="626">
        <f t="shared" si="52"/>
        <v>0</v>
      </c>
      <c r="AI93" s="626">
        <f t="shared" si="53"/>
        <v>0</v>
      </c>
      <c r="AJ93" s="625">
        <f t="array" ref="AJ93">IFERROR(INDEX('TB-Pharmaceuticals'!$W$41:$W$60,MATCH($E93&amp;$F93,'TB-Pharmaceuticals'!$D$41:$D$60&amp;'TB-Pharmaceuticals'!$G$41:$G$60,0)),0)</f>
        <v>0</v>
      </c>
      <c r="AK93" s="626">
        <f t="shared" si="54"/>
        <v>0</v>
      </c>
      <c r="AL93" s="626">
        <f t="shared" si="55"/>
        <v>0</v>
      </c>
      <c r="AM93" s="626">
        <f t="shared" si="56"/>
        <v>0</v>
      </c>
      <c r="AN93" s="625">
        <f t="array" ref="AN93">IFERROR(INDEX('TB-Pharmaceuticals'!$X$41:$X$60,MATCH($E93&amp;$F93,'TB-Pharmaceuticals'!$D$41:$D$60&amp;'TB-Pharmaceuticals'!$G$41:$G$60,0)),0)</f>
        <v>0</v>
      </c>
      <c r="AO93" s="626">
        <f t="shared" si="57"/>
        <v>0</v>
      </c>
      <c r="AP93" s="626">
        <f t="shared" si="58"/>
        <v>0</v>
      </c>
      <c r="AQ93" s="626">
        <f t="shared" si="59"/>
        <v>0</v>
      </c>
      <c r="AR93" s="627"/>
      <c r="AS93" s="625">
        <f t="array" ref="AS93">IFERROR(INDEX('TB-Pharmaceuticals'!$AA$41:$AA$60,MATCH($E93&amp;$F93,'TB-Pharmaceuticals'!$D$41:$D$60&amp;'TB-Pharmaceuticals'!$G$41:$G$60,0)),0)</f>
        <v>0</v>
      </c>
      <c r="AT93" s="625">
        <f t="array" ref="AT93">IFERROR(INDEX('TB-Pharmaceuticals'!$AB$41:$AB$60,MATCH($E93&amp;$F93,'TB-Pharmaceuticals'!$D$41:$D$60&amp;'TB-Pharmaceuticals'!$G$41:$G$60,0)),0)</f>
        <v>0</v>
      </c>
      <c r="AU93" s="626">
        <f t="shared" si="60"/>
        <v>0</v>
      </c>
      <c r="AV93" s="626">
        <f t="shared" si="61"/>
        <v>0</v>
      </c>
      <c r="AW93" s="626">
        <f t="shared" si="62"/>
        <v>0</v>
      </c>
      <c r="AX93" s="625">
        <f t="array" ref="AX93">IFERROR(INDEX('TB-Pharmaceuticals'!$AC$41:$AC$60,MATCH($E93&amp;$F93,'TB-Pharmaceuticals'!$D$41:$D$60&amp;'TB-Pharmaceuticals'!$G$41:$G$60,0)),0)</f>
        <v>0</v>
      </c>
      <c r="AY93" s="626">
        <f t="shared" si="63"/>
        <v>0</v>
      </c>
      <c r="AZ93" s="626">
        <f t="shared" si="64"/>
        <v>0</v>
      </c>
      <c r="BA93" s="626">
        <f t="shared" si="65"/>
        <v>0</v>
      </c>
      <c r="BB93" s="625">
        <f t="array" ref="BB93">IFERROR(INDEX('TB-Pharmaceuticals'!$AD$41:$AD$60,MATCH($E93&amp;$F93,'TB-Pharmaceuticals'!$D$41:$D$60&amp;'TB-Pharmaceuticals'!$G$41:$G$60,0)),0)</f>
        <v>0</v>
      </c>
      <c r="BC93" s="626">
        <f t="shared" si="66"/>
        <v>0</v>
      </c>
      <c r="BD93" s="626">
        <f t="shared" si="67"/>
        <v>0</v>
      </c>
      <c r="BE93" s="626">
        <f t="shared" si="68"/>
        <v>0</v>
      </c>
      <c r="BF93" s="625">
        <f t="array" ref="BF93">IFERROR(INDEX('TB-Pharmaceuticals'!$AE$41:$AE$60,MATCH($E93&amp;$F93,'TB-Pharmaceuticals'!$D$41:$D$60&amp;'TB-Pharmaceuticals'!$G$41:$G$60,0)),0)</f>
        <v>0</v>
      </c>
      <c r="BG93" s="626">
        <f t="shared" si="69"/>
        <v>0</v>
      </c>
      <c r="BH93" s="626">
        <f t="shared" si="70"/>
        <v>0</v>
      </c>
      <c r="BI93" s="626">
        <f t="shared" si="71"/>
        <v>0</v>
      </c>
      <c r="BK93" s="626"/>
      <c r="BL93" s="626"/>
      <c r="BM93" s="626"/>
      <c r="BN93" s="626"/>
      <c r="BO93" s="626"/>
      <c r="BP93" s="626"/>
      <c r="BQ93" s="626"/>
      <c r="BR93" s="626"/>
    </row>
    <row r="94" spans="1:70">
      <c r="A94" s="29" t="s">
        <v>571</v>
      </c>
      <c r="B94" s="29" t="s">
        <v>1739</v>
      </c>
      <c r="C94" s="619">
        <f>SETUP!$F$38</f>
        <v>0</v>
      </c>
      <c r="D94" s="25">
        <v>4.2</v>
      </c>
      <c r="E94" s="29" t="s">
        <v>1585</v>
      </c>
      <c r="F94" s="29" t="s">
        <v>454</v>
      </c>
      <c r="G94" s="625" t="str">
        <f t="array" ref="G94">IFERROR(INDEX('TB-Pharmaceuticals'!$K$41:$K$60,MATCH($E94&amp;$F94,'TB-Pharmaceuticals'!$D$41:$D$60&amp;'TB-Pharmaceuticals'!$G$41:$G$60,0)),"")</f>
        <v/>
      </c>
      <c r="H94" s="625" t="str">
        <f t="array" ref="H94">IFERROR(INDEX('TB-Pharmaceuticals'!$L$41:$L$60,MATCH($E94&amp;$F94,'TB-Pharmaceuticals'!$D$41:$D$60&amp;'TB-Pharmaceuticals'!$G$41:$G$60,0)),"")</f>
        <v/>
      </c>
      <c r="I94" s="625">
        <f t="array" ref="I94">IFERROR(INDEX('TB-Pharmaceuticals'!$M$41:$M$60,MATCH($E94&amp;$F94,'TB-Pharmaceuticals'!$D$41:$D$60&amp;'TB-Pharmaceuticals'!$G$41:$G$60,0)),0)</f>
        <v>0</v>
      </c>
      <c r="J94" s="625">
        <f t="array" ref="J94">IFERROR(INDEX('TB-Pharmaceuticals'!$N$41:$N$60,MATCH($E94&amp;$F94,'TB-Pharmaceuticals'!$D$41:$D$60&amp;'TB-Pharmaceuticals'!$G$41:$G$60,0)),0)</f>
        <v>0</v>
      </c>
      <c r="K94" s="626">
        <f t="shared" si="36"/>
        <v>0</v>
      </c>
      <c r="L94" s="626">
        <f t="shared" si="37"/>
        <v>0</v>
      </c>
      <c r="M94" s="626">
        <f t="shared" si="38"/>
        <v>0</v>
      </c>
      <c r="N94" s="625">
        <f t="array" ref="N94">IFERROR(INDEX('TB-Pharmaceuticals'!$O$41:$O$60,MATCH($E94&amp;$F94,'TB-Pharmaceuticals'!$D$41:$D$60&amp;'TB-Pharmaceuticals'!$G$41:$G$60,0)),0)</f>
        <v>0</v>
      </c>
      <c r="O94" s="626">
        <f t="shared" si="39"/>
        <v>0</v>
      </c>
      <c r="P94" s="626">
        <f t="shared" si="40"/>
        <v>0</v>
      </c>
      <c r="Q94" s="626">
        <f t="shared" si="41"/>
        <v>0</v>
      </c>
      <c r="R94" s="625">
        <f t="array" ref="R94">IFERROR(INDEX('TB-Pharmaceuticals'!$P$41:$P$60,MATCH($E94&amp;$F94,'TB-Pharmaceuticals'!$D$41:$D$60&amp;'TB-Pharmaceuticals'!$G$41:$G$60,0)),0)</f>
        <v>0</v>
      </c>
      <c r="S94" s="626">
        <f t="shared" si="42"/>
        <v>0</v>
      </c>
      <c r="T94" s="626">
        <f t="shared" si="43"/>
        <v>0</v>
      </c>
      <c r="U94" s="626">
        <f t="shared" si="44"/>
        <v>0</v>
      </c>
      <c r="V94" s="625">
        <f t="array" ref="V94">IFERROR(INDEX('TB-Pharmaceuticals'!$Q$41:$Q$60,MATCH($E94&amp;$F94,'TB-Pharmaceuticals'!$D$41:$D$60&amp;'TB-Pharmaceuticals'!$G$41:$G$60,0)),0)</f>
        <v>0</v>
      </c>
      <c r="W94" s="626">
        <f t="shared" si="45"/>
        <v>0</v>
      </c>
      <c r="X94" s="626">
        <f t="shared" si="46"/>
        <v>0</v>
      </c>
      <c r="Y94" s="626">
        <f t="shared" si="47"/>
        <v>0</v>
      </c>
      <c r="Z94" s="627"/>
      <c r="AA94" s="625">
        <f t="array" ref="AA94">IFERROR(INDEX('TB-Pharmaceuticals'!$T$41:$T$60,MATCH($E94&amp;$F94,'TB-Pharmaceuticals'!$D$41:$D$60&amp;'TB-Pharmaceuticals'!$G$41:$G$60,0)),0)</f>
        <v>0</v>
      </c>
      <c r="AB94" s="625">
        <f t="array" ref="AB94">IFERROR(INDEX('TB-Pharmaceuticals'!$U$41:$U$60,MATCH($E94&amp;$F94,'TB-Pharmaceuticals'!$D$41:$D$60&amp;'TB-Pharmaceuticals'!$G$41:$G$60,0)),0)</f>
        <v>0</v>
      </c>
      <c r="AC94" s="626">
        <f t="shared" si="48"/>
        <v>0</v>
      </c>
      <c r="AD94" s="626">
        <f t="shared" si="49"/>
        <v>0</v>
      </c>
      <c r="AE94" s="626">
        <f t="shared" si="50"/>
        <v>0</v>
      </c>
      <c r="AF94" s="625">
        <f t="array" ref="AF94">IFERROR(INDEX('TB-Pharmaceuticals'!$V$41:$V$60,MATCH($E94&amp;$F94,'TB-Pharmaceuticals'!$D$41:$D$60&amp;'TB-Pharmaceuticals'!$G$41:$G$60,0)),0)</f>
        <v>0</v>
      </c>
      <c r="AG94" s="626">
        <f t="shared" si="51"/>
        <v>0</v>
      </c>
      <c r="AH94" s="626">
        <f t="shared" si="52"/>
        <v>0</v>
      </c>
      <c r="AI94" s="626">
        <f t="shared" si="53"/>
        <v>0</v>
      </c>
      <c r="AJ94" s="625">
        <f t="array" ref="AJ94">IFERROR(INDEX('TB-Pharmaceuticals'!$W$41:$W$60,MATCH($E94&amp;$F94,'TB-Pharmaceuticals'!$D$41:$D$60&amp;'TB-Pharmaceuticals'!$G$41:$G$60,0)),0)</f>
        <v>0</v>
      </c>
      <c r="AK94" s="626">
        <f t="shared" si="54"/>
        <v>0</v>
      </c>
      <c r="AL94" s="626">
        <f t="shared" si="55"/>
        <v>0</v>
      </c>
      <c r="AM94" s="626">
        <f t="shared" si="56"/>
        <v>0</v>
      </c>
      <c r="AN94" s="625">
        <f t="array" ref="AN94">IFERROR(INDEX('TB-Pharmaceuticals'!$X$41:$X$60,MATCH($E94&amp;$F94,'TB-Pharmaceuticals'!$D$41:$D$60&amp;'TB-Pharmaceuticals'!$G$41:$G$60,0)),0)</f>
        <v>0</v>
      </c>
      <c r="AO94" s="626">
        <f t="shared" si="57"/>
        <v>0</v>
      </c>
      <c r="AP94" s="626">
        <f t="shared" si="58"/>
        <v>0</v>
      </c>
      <c r="AQ94" s="626">
        <f t="shared" si="59"/>
        <v>0</v>
      </c>
      <c r="AR94" s="627"/>
      <c r="AS94" s="625">
        <f t="array" ref="AS94">IFERROR(INDEX('TB-Pharmaceuticals'!$AA$41:$AA$60,MATCH($E94&amp;$F94,'TB-Pharmaceuticals'!$D$41:$D$60&amp;'TB-Pharmaceuticals'!$G$41:$G$60,0)),0)</f>
        <v>0</v>
      </c>
      <c r="AT94" s="625">
        <f t="array" ref="AT94">IFERROR(INDEX('TB-Pharmaceuticals'!$AB$41:$AB$60,MATCH($E94&amp;$F94,'TB-Pharmaceuticals'!$D$41:$D$60&amp;'TB-Pharmaceuticals'!$G$41:$G$60,0)),0)</f>
        <v>0</v>
      </c>
      <c r="AU94" s="626">
        <f t="shared" si="60"/>
        <v>0</v>
      </c>
      <c r="AV94" s="626">
        <f t="shared" si="61"/>
        <v>0</v>
      </c>
      <c r="AW94" s="626">
        <f t="shared" si="62"/>
        <v>0</v>
      </c>
      <c r="AX94" s="625">
        <f t="array" ref="AX94">IFERROR(INDEX('TB-Pharmaceuticals'!$AC$41:$AC$60,MATCH($E94&amp;$F94,'TB-Pharmaceuticals'!$D$41:$D$60&amp;'TB-Pharmaceuticals'!$G$41:$G$60,0)),0)</f>
        <v>0</v>
      </c>
      <c r="AY94" s="626">
        <f t="shared" si="63"/>
        <v>0</v>
      </c>
      <c r="AZ94" s="626">
        <f t="shared" si="64"/>
        <v>0</v>
      </c>
      <c r="BA94" s="626">
        <f t="shared" si="65"/>
        <v>0</v>
      </c>
      <c r="BB94" s="625">
        <f t="array" ref="BB94">IFERROR(INDEX('TB-Pharmaceuticals'!$AD$41:$AD$60,MATCH($E94&amp;$F94,'TB-Pharmaceuticals'!$D$41:$D$60&amp;'TB-Pharmaceuticals'!$G$41:$G$60,0)),0)</f>
        <v>0</v>
      </c>
      <c r="BC94" s="626">
        <f t="shared" si="66"/>
        <v>0</v>
      </c>
      <c r="BD94" s="626">
        <f t="shared" si="67"/>
        <v>0</v>
      </c>
      <c r="BE94" s="626">
        <f t="shared" si="68"/>
        <v>0</v>
      </c>
      <c r="BF94" s="625">
        <f t="array" ref="BF94">IFERROR(INDEX('TB-Pharmaceuticals'!$AE$41:$AE$60,MATCH($E94&amp;$F94,'TB-Pharmaceuticals'!$D$41:$D$60&amp;'TB-Pharmaceuticals'!$G$41:$G$60,0)),0)</f>
        <v>0</v>
      </c>
      <c r="BG94" s="626">
        <f t="shared" si="69"/>
        <v>0</v>
      </c>
      <c r="BH94" s="626">
        <f t="shared" si="70"/>
        <v>0</v>
      </c>
      <c r="BI94" s="626">
        <f t="shared" si="71"/>
        <v>0</v>
      </c>
      <c r="BK94" s="626"/>
      <c r="BL94" s="626"/>
      <c r="BM94" s="626"/>
      <c r="BN94" s="626"/>
      <c r="BO94" s="626"/>
      <c r="BP94" s="626"/>
      <c r="BQ94" s="626"/>
      <c r="BR94" s="626"/>
    </row>
    <row r="96" spans="1:70" s="28" customFormat="1">
      <c r="A96" s="2567" t="s">
        <v>1741</v>
      </c>
      <c r="B96" s="2567"/>
      <c r="C96" s="2567"/>
      <c r="D96" s="2567"/>
      <c r="E96" s="2567"/>
      <c r="F96" s="2567"/>
      <c r="G96" s="628"/>
      <c r="H96" s="628"/>
      <c r="I96" s="628"/>
      <c r="J96" s="628"/>
      <c r="K96" s="628"/>
      <c r="L96" s="628"/>
      <c r="M96" s="628"/>
      <c r="N96" s="628"/>
      <c r="O96" s="628"/>
      <c r="P96" s="628"/>
      <c r="Q96" s="628"/>
      <c r="R96" s="628"/>
      <c r="S96" s="628"/>
      <c r="T96" s="628"/>
      <c r="U96" s="628"/>
      <c r="V96" s="628"/>
      <c r="W96" s="628"/>
      <c r="X96" s="628"/>
      <c r="Y96" s="628"/>
      <c r="Z96" s="628"/>
      <c r="AA96" s="628"/>
      <c r="AB96" s="628"/>
      <c r="AC96" s="628"/>
      <c r="AD96" s="628"/>
      <c r="AE96" s="628"/>
      <c r="AF96" s="628"/>
      <c r="AG96" s="628"/>
      <c r="AH96" s="628"/>
      <c r="AI96" s="628"/>
      <c r="AJ96" s="628"/>
      <c r="AK96" s="628"/>
      <c r="AL96" s="628"/>
      <c r="AM96" s="628"/>
      <c r="AN96" s="628"/>
      <c r="AO96" s="628"/>
      <c r="AP96" s="628"/>
      <c r="AQ96" s="628"/>
      <c r="AR96" s="628"/>
      <c r="AS96" s="628"/>
      <c r="AT96" s="628"/>
      <c r="AU96" s="628"/>
      <c r="AV96" s="628"/>
      <c r="AW96" s="628"/>
      <c r="AX96" s="628"/>
      <c r="AY96" s="628"/>
      <c r="AZ96" s="628"/>
      <c r="BA96" s="628"/>
      <c r="BB96" s="628"/>
      <c r="BC96" s="628"/>
      <c r="BD96" s="628"/>
      <c r="BE96" s="628"/>
      <c r="BF96" s="628"/>
      <c r="BG96" s="628"/>
      <c r="BH96" s="628"/>
      <c r="BI96" s="628"/>
      <c r="BJ96" s="628"/>
      <c r="BK96" s="628"/>
      <c r="BL96" s="628"/>
      <c r="BM96" s="628"/>
      <c r="BN96" s="628"/>
      <c r="BO96" s="628"/>
      <c r="BP96" s="628"/>
      <c r="BQ96" s="628"/>
      <c r="BR96" s="628"/>
    </row>
    <row r="97" spans="1:70" s="22" customFormat="1">
      <c r="A97" s="395" t="s">
        <v>1545</v>
      </c>
      <c r="B97" s="395" t="s">
        <v>203</v>
      </c>
      <c r="C97" s="724" t="s">
        <v>459</v>
      </c>
      <c r="D97" s="395" t="s">
        <v>460</v>
      </c>
      <c r="E97" s="395" t="s">
        <v>461</v>
      </c>
      <c r="F97" s="395" t="s">
        <v>214</v>
      </c>
      <c r="G97" s="632" t="s">
        <v>462</v>
      </c>
      <c r="H97" s="632" t="s">
        <v>49</v>
      </c>
      <c r="I97" s="632" t="s">
        <v>463</v>
      </c>
      <c r="J97" s="632" t="s">
        <v>464</v>
      </c>
      <c r="K97" s="632" t="s">
        <v>465</v>
      </c>
      <c r="L97" s="725" t="s">
        <v>466</v>
      </c>
      <c r="M97" s="725" t="s">
        <v>467</v>
      </c>
      <c r="N97" s="632" t="s">
        <v>468</v>
      </c>
      <c r="O97" s="632" t="s">
        <v>469</v>
      </c>
      <c r="P97" s="725" t="s">
        <v>470</v>
      </c>
      <c r="Q97" s="725" t="s">
        <v>471</v>
      </c>
      <c r="R97" s="632" t="s">
        <v>472</v>
      </c>
      <c r="S97" s="632" t="s">
        <v>473</v>
      </c>
      <c r="T97" s="725" t="s">
        <v>474</v>
      </c>
      <c r="U97" s="725" t="s">
        <v>475</v>
      </c>
      <c r="V97" s="632" t="s">
        <v>476</v>
      </c>
      <c r="W97" s="632" t="s">
        <v>477</v>
      </c>
      <c r="X97" s="725" t="s">
        <v>478</v>
      </c>
      <c r="Y97" s="725" t="s">
        <v>479</v>
      </c>
      <c r="Z97" s="624"/>
      <c r="AA97" s="632" t="s">
        <v>480</v>
      </c>
      <c r="AB97" s="632" t="s">
        <v>481</v>
      </c>
      <c r="AC97" s="632" t="s">
        <v>482</v>
      </c>
      <c r="AD97" s="725" t="s">
        <v>483</v>
      </c>
      <c r="AE97" s="725" t="s">
        <v>484</v>
      </c>
      <c r="AF97" s="632" t="s">
        <v>485</v>
      </c>
      <c r="AG97" s="632" t="s">
        <v>486</v>
      </c>
      <c r="AH97" s="725" t="s">
        <v>487</v>
      </c>
      <c r="AI97" s="725" t="s">
        <v>488</v>
      </c>
      <c r="AJ97" s="632" t="s">
        <v>489</v>
      </c>
      <c r="AK97" s="632" t="s">
        <v>490</v>
      </c>
      <c r="AL97" s="725" t="s">
        <v>491</v>
      </c>
      <c r="AM97" s="725" t="s">
        <v>492</v>
      </c>
      <c r="AN97" s="632" t="s">
        <v>493</v>
      </c>
      <c r="AO97" s="632" t="s">
        <v>494</v>
      </c>
      <c r="AP97" s="725" t="s">
        <v>495</v>
      </c>
      <c r="AQ97" s="725" t="s">
        <v>496</v>
      </c>
      <c r="AR97" s="624"/>
      <c r="AS97" s="632" t="s">
        <v>497</v>
      </c>
      <c r="AT97" s="632" t="s">
        <v>498</v>
      </c>
      <c r="AU97" s="632" t="s">
        <v>499</v>
      </c>
      <c r="AV97" s="725" t="s">
        <v>500</v>
      </c>
      <c r="AW97" s="725" t="s">
        <v>501</v>
      </c>
      <c r="AX97" s="632" t="s">
        <v>502</v>
      </c>
      <c r="AY97" s="632" t="s">
        <v>503</v>
      </c>
      <c r="AZ97" s="725" t="s">
        <v>504</v>
      </c>
      <c r="BA97" s="725" t="s">
        <v>505</v>
      </c>
      <c r="BB97" s="632" t="s">
        <v>506</v>
      </c>
      <c r="BC97" s="632" t="s">
        <v>507</v>
      </c>
      <c r="BD97" s="725" t="s">
        <v>508</v>
      </c>
      <c r="BE97" s="725" t="s">
        <v>509</v>
      </c>
      <c r="BF97" s="632" t="s">
        <v>510</v>
      </c>
      <c r="BG97" s="632" t="s">
        <v>511</v>
      </c>
      <c r="BH97" s="725" t="s">
        <v>512</v>
      </c>
      <c r="BI97" s="725" t="s">
        <v>513</v>
      </c>
      <c r="BJ97" s="624"/>
      <c r="BK97" s="725" t="s">
        <v>514</v>
      </c>
      <c r="BL97" s="725" t="s">
        <v>515</v>
      </c>
      <c r="BM97" s="725" t="s">
        <v>516</v>
      </c>
      <c r="BN97" s="725" t="s">
        <v>517</v>
      </c>
      <c r="BO97" s="725" t="s">
        <v>518</v>
      </c>
      <c r="BP97" s="725" t="s">
        <v>519</v>
      </c>
      <c r="BQ97" s="725" t="s">
        <v>520</v>
      </c>
      <c r="BR97" s="725" t="s">
        <v>521</v>
      </c>
    </row>
    <row r="98" spans="1:70" s="27" customFormat="1">
      <c r="A98" s="29" t="s">
        <v>1761</v>
      </c>
      <c r="B98" s="29" t="s">
        <v>1740</v>
      </c>
      <c r="C98" s="619">
        <f>SETUP!$F$36</f>
        <v>0</v>
      </c>
      <c r="D98" s="25">
        <v>4.2</v>
      </c>
      <c r="E98" s="29" t="s">
        <v>1312</v>
      </c>
      <c r="F98" s="29" t="s">
        <v>1311</v>
      </c>
      <c r="G98" s="625" t="str">
        <f t="array" ref="G98">IFERROR(INDEX('TB-Pharmaceuticals'!$K$68:$K$103,MATCH($E98&amp;$F98,'TB-Pharmaceuticals'!$D$68:$D$103&amp;'TB-Pharmaceuticals'!$G$68:$G$103,0)),"")</f>
        <v/>
      </c>
      <c r="H98" s="625" t="str">
        <f t="array" ref="H98">IFERROR(INDEX('TB-Pharmaceuticals'!$L$68:$L$103,MATCH($E98&amp;$F98,'TB-Pharmaceuticals'!$D$68:$D$103&amp;'TB-Pharmaceuticals'!$G$68:$G$103,0)),"")</f>
        <v/>
      </c>
      <c r="I98" s="625">
        <f t="array" ref="I98">IFERROR(INDEX('TB-Pharmaceuticals'!$M$68:$M$103,MATCH($E98&amp;$F98,'TB-Pharmaceuticals'!$D$68:$D$103&amp;'TB-Pharmaceuticals'!$G$68:$G$103,0)),0)</f>
        <v>0</v>
      </c>
      <c r="J98" s="625">
        <f t="array" ref="J98">IFERROR(INDEX('TB-Pharmaceuticals'!$N$68:$N$103,MATCH($E98&amp;$F98,'TB-Pharmaceuticals'!$D$68:$D$103&amp;'TB-Pharmaceuticals'!$G$68:$G$103,0)),0)</f>
        <v>0</v>
      </c>
      <c r="K98" s="626">
        <f>IF(ISERROR($I98*J98),0,$I98*J98)</f>
        <v>0</v>
      </c>
      <c r="L98" s="626">
        <f>IF(C98="Upfront",J98,0)</f>
        <v>0</v>
      </c>
      <c r="M98" s="626">
        <f>IF(C98="Upfront",K98,0)</f>
        <v>0</v>
      </c>
      <c r="N98" s="625">
        <f t="array" ref="N98">IFERROR(INDEX('TB-Pharmaceuticals'!$O$68:$O$103,MATCH($E98&amp;$F98,'TB-Pharmaceuticals'!$D$68:$D$103&amp;'TB-Pharmaceuticals'!$G$68:$G$103,0)),0)</f>
        <v>0</v>
      </c>
      <c r="O98" s="626">
        <f>IF(ISERROR($I98*N98),0,$I98*N98)</f>
        <v>0</v>
      </c>
      <c r="P98" s="626">
        <f>IF(C98="Upfront",N98,0)</f>
        <v>0</v>
      </c>
      <c r="Q98" s="626">
        <f>IF(C98="Upfront",O98,0)</f>
        <v>0</v>
      </c>
      <c r="R98" s="625">
        <f t="array" ref="R98">IFERROR(INDEX('TB-Pharmaceuticals'!$P$68:$P$103,MATCH($E98&amp;$F98,'TB-Pharmaceuticals'!$D$68:$D$103&amp;'TB-Pharmaceuticals'!$G$68:$G$103,0)),0)</f>
        <v>0</v>
      </c>
      <c r="S98" s="626">
        <f>IF(ISERROR($I98*R98),0,$I98*R98)</f>
        <v>0</v>
      </c>
      <c r="T98" s="626">
        <f>IF(C98="Upfront",R98,IF(C98="At delivery",J98,0))</f>
        <v>0</v>
      </c>
      <c r="U98" s="626">
        <f>IF(C98="Upfront",S98,IF(C98="At delivery",K98,0))</f>
        <v>0</v>
      </c>
      <c r="V98" s="625">
        <f t="array" ref="V98">IFERROR(INDEX('TB-Pharmaceuticals'!$Q$68:$Q$103,MATCH($E98&amp;$F98,'TB-Pharmaceuticals'!$D$68:$D$103&amp;'TB-Pharmaceuticals'!$G$68:$G$103,0)),0)</f>
        <v>0</v>
      </c>
      <c r="W98" s="626">
        <f>IF(ISERROR($I98*V98),0,$I98*V98)</f>
        <v>0</v>
      </c>
      <c r="X98" s="626">
        <f>IF(C98="Upfront",V98,IF(C98="At delivery",N98,0))</f>
        <v>0</v>
      </c>
      <c r="Y98" s="626">
        <f>IF(C98="Upfront",W98,IF(C98="At delivery",O98,0))</f>
        <v>0</v>
      </c>
      <c r="Z98" s="629"/>
      <c r="AA98" s="625">
        <f t="array" ref="AA98">IFERROR(INDEX('TB-Pharmaceuticals'!$T$68:$T$103,MATCH($E98&amp;$F98,'TB-Pharmaceuticals'!$D$68:$D$103&amp;'TB-Pharmaceuticals'!$G$68:$G$103,0)),0)</f>
        <v>0</v>
      </c>
      <c r="AB98" s="625">
        <f t="array" ref="AB98">IFERROR(INDEX('TB-Pharmaceuticals'!$U$68:$U$103,MATCH($E98&amp;$F98,'TB-Pharmaceuticals'!$D$68:$D$103&amp;'TB-Pharmaceuticals'!$G$68:$G$103,0)),0)</f>
        <v>0</v>
      </c>
      <c r="AC98" s="626">
        <f>IF(ISERROR($AA98*AB98),0,$AA98*AB98)</f>
        <v>0</v>
      </c>
      <c r="AD98" s="626">
        <f>IF(C98="Upfront",AB98,IF(C98="At delivery",R98,0))</f>
        <v>0</v>
      </c>
      <c r="AE98" s="626">
        <f>IF(C98="Upfront",AC98,IF(C98="At delivery",S98,0))</f>
        <v>0</v>
      </c>
      <c r="AF98" s="625">
        <f t="array" ref="AF98">IFERROR(INDEX('TB-Pharmaceuticals'!$V$68:$V$103,MATCH($E98&amp;$F98,'TB-Pharmaceuticals'!$D$68:$D$103&amp;'TB-Pharmaceuticals'!$G$68:$G$103,0)),0)</f>
        <v>0</v>
      </c>
      <c r="AG98" s="626">
        <f>IF(ISERROR($AA98*AF98),0,$AA98*AF98)</f>
        <v>0</v>
      </c>
      <c r="AH98" s="626">
        <f>IF(C98="Upfront",AF98,IF(C98="At delivery",V98,0))</f>
        <v>0</v>
      </c>
      <c r="AI98" s="626">
        <f>IF(C98="Upfront",AG98,IF(C98="At delivery",W98,0))</f>
        <v>0</v>
      </c>
      <c r="AJ98" s="625">
        <f t="array" ref="AJ98">IFERROR(INDEX('TB-Pharmaceuticals'!$W$68:$W$103,MATCH($E98&amp;$F98,'TB-Pharmaceuticals'!$D$68:$D$103&amp;'TB-Pharmaceuticals'!$G$68:$G$103,0)),0)</f>
        <v>0</v>
      </c>
      <c r="AK98" s="626">
        <f>IF(ISERROR($AA98*AJ98),0,$AA98*AJ98)</f>
        <v>0</v>
      </c>
      <c r="AL98" s="626">
        <f>IF(C98="Upfront",AJ98,IF(C98="At delivery",AB98,0))</f>
        <v>0</v>
      </c>
      <c r="AM98" s="626">
        <f>IF(C98="Upfront",AK98,IF(C98="At delivery",AC98,0))</f>
        <v>0</v>
      </c>
      <c r="AN98" s="625">
        <f t="array" ref="AN98">IFERROR(INDEX('TB-Pharmaceuticals'!$X$68:$X$103,MATCH($E98&amp;$F98,'TB-Pharmaceuticals'!$D$68:$D$103&amp;'TB-Pharmaceuticals'!$G$68:$G$103,0)),0)</f>
        <v>0</v>
      </c>
      <c r="AO98" s="626">
        <f>IF(ISERROR($AA98*AN98),0,$AA98*AN98)</f>
        <v>0</v>
      </c>
      <c r="AP98" s="626">
        <f>IF(C98="Upfront",AN98,IF(C98="At delivery",AF98,0))</f>
        <v>0</v>
      </c>
      <c r="AQ98" s="626">
        <f>IF(C98="Upfront",AO98,IF(C98="At delivery",AG98,0))</f>
        <v>0</v>
      </c>
      <c r="AR98" s="629"/>
      <c r="AS98" s="625">
        <f t="array" ref="AS98">IFERROR(INDEX('TB-Pharmaceuticals'!$AA$68:$AA$103,MATCH($E98&amp;$F98,'TB-Pharmaceuticals'!$D$68:$D$103&amp;'TB-Pharmaceuticals'!$G$68:$G$103,0)),0)</f>
        <v>0</v>
      </c>
      <c r="AT98" s="625">
        <f t="array" ref="AT98">IFERROR(INDEX('TB-Pharmaceuticals'!$AB$68:$AB$103,MATCH($E98&amp;$F98,'TB-Pharmaceuticals'!$D$68:$D$103&amp;'TB-Pharmaceuticals'!$G$68:$G$103,0)),0)</f>
        <v>0</v>
      </c>
      <c r="AU98" s="626">
        <f>IF(ISERROR($AS98*AT98),0,$AS98*AT98)</f>
        <v>0</v>
      </c>
      <c r="AV98" s="626">
        <f>IF(C98="Upfront",AT98,IF(C98="At delivery",AJ98,0))</f>
        <v>0</v>
      </c>
      <c r="AW98" s="626">
        <f>IF(C98="Upfront",AU98,IF(C98="At delivery",AK98,0))</f>
        <v>0</v>
      </c>
      <c r="AX98" s="625">
        <f t="array" ref="AX98">IFERROR(INDEX('TB-Pharmaceuticals'!$AC$68:$AC$103,MATCH($E98&amp;$F98,'TB-Pharmaceuticals'!$D$68:$D$103&amp;'TB-Pharmaceuticals'!$G$68:$G$103,0)),0)</f>
        <v>0</v>
      </c>
      <c r="AY98" s="626">
        <f>IF(ISERROR($AS98*AX98),0,$AS98*AX98)</f>
        <v>0</v>
      </c>
      <c r="AZ98" s="626">
        <f>IF(C98="Upfront",AX98,IF(C98="At delivery",AN98,0))</f>
        <v>0</v>
      </c>
      <c r="BA98" s="626">
        <f>IF(C98="Upfront",AY98,IF(C98="At delivery",AO98,0))</f>
        <v>0</v>
      </c>
      <c r="BB98" s="625">
        <f t="array" ref="BB98">IFERROR(INDEX('TB-Pharmaceuticals'!$AD$68:$AD$103,MATCH($E98&amp;$F98,'TB-Pharmaceuticals'!$D$68:$D$103&amp;'TB-Pharmaceuticals'!$G$68:$G$103,0)),0)</f>
        <v>0</v>
      </c>
      <c r="BC98" s="626">
        <f>IF(ISERROR($AS98*BB98),0,$AS98*BB98)</f>
        <v>0</v>
      </c>
      <c r="BD98" s="626">
        <f>IF(C98="Upfront",BB98,IF(C98="At delivery",AT98,0))</f>
        <v>0</v>
      </c>
      <c r="BE98" s="626">
        <f>IF(C98="Upfront",BC98,IF(C98="At delivery",AU98,0))</f>
        <v>0</v>
      </c>
      <c r="BF98" s="625">
        <f t="array" ref="BF98">IFERROR(INDEX('TB-Pharmaceuticals'!$AE$68:$AE$103,MATCH($E98&amp;$F98,'TB-Pharmaceuticals'!$D$68:$D$103&amp;'TB-Pharmaceuticals'!$G$68:$G$103,0)),0)</f>
        <v>0</v>
      </c>
      <c r="BG98" s="626">
        <f>IF(ISERROR($AS98*BF98),0,$AS98*BF98)</f>
        <v>0</v>
      </c>
      <c r="BH98" s="626">
        <f>IF(C98="Upfront",BF98,IF(C98="At delivery",AX98,0))</f>
        <v>0</v>
      </c>
      <c r="BI98" s="626">
        <f>IF(C98="Upfront",BG98,IF(C98="At delivery",AY98,0))</f>
        <v>0</v>
      </c>
      <c r="BJ98" s="630"/>
      <c r="BK98" s="626"/>
      <c r="BL98" s="626"/>
      <c r="BM98" s="626"/>
      <c r="BN98" s="626"/>
      <c r="BO98" s="626"/>
      <c r="BP98" s="626"/>
      <c r="BQ98" s="626"/>
      <c r="BR98" s="626"/>
    </row>
    <row r="99" spans="1:70" s="27" customFormat="1">
      <c r="A99" s="29" t="s">
        <v>1761</v>
      </c>
      <c r="B99" s="29" t="s">
        <v>1740</v>
      </c>
      <c r="C99" s="619">
        <f>SETUP!$F$36</f>
        <v>0</v>
      </c>
      <c r="D99" s="25">
        <v>4.2</v>
      </c>
      <c r="E99" s="29" t="s">
        <v>297</v>
      </c>
      <c r="F99" s="29" t="s">
        <v>1260</v>
      </c>
      <c r="G99" s="625" t="str">
        <f t="array" ref="G99">IFERROR(INDEX('TB-Pharmaceuticals'!$K$68:$K$103,MATCH($E99&amp;$F99,'TB-Pharmaceuticals'!$D$68:$D$103&amp;'TB-Pharmaceuticals'!$G$68:$G$103,0)),"")</f>
        <v/>
      </c>
      <c r="H99" s="625" t="str">
        <f t="array" ref="H99">IFERROR(INDEX('TB-Pharmaceuticals'!$L$68:$L$103,MATCH($E99&amp;$F99,'TB-Pharmaceuticals'!$D$68:$D$103&amp;'TB-Pharmaceuticals'!$G$68:$G$103,0)),"")</f>
        <v/>
      </c>
      <c r="I99" s="625">
        <f t="array" ref="I99">IFERROR(INDEX('TB-Pharmaceuticals'!$M$68:$M$103,MATCH($E99&amp;$F99,'TB-Pharmaceuticals'!$D$68:$D$103&amp;'TB-Pharmaceuticals'!$G$68:$G$103,0)),0)</f>
        <v>0</v>
      </c>
      <c r="J99" s="625">
        <f t="array" ref="J99">IFERROR(INDEX('TB-Pharmaceuticals'!$N$68:$N$103,MATCH($E99&amp;$F99,'TB-Pharmaceuticals'!$D$68:$D$103&amp;'TB-Pharmaceuticals'!$G$68:$G$103,0)),0)</f>
        <v>0</v>
      </c>
      <c r="K99" s="626">
        <f t="shared" ref="K99:K105" si="72">IF(ISERROR($I99*J99),0,$I99*J99)</f>
        <v>0</v>
      </c>
      <c r="L99" s="626">
        <f t="shared" ref="L99:L105" si="73">IF(C99="Upfront",J99,0)</f>
        <v>0</v>
      </c>
      <c r="M99" s="626">
        <f t="shared" ref="M99:M105" si="74">IF(C99="Upfront",K99,0)</f>
        <v>0</v>
      </c>
      <c r="N99" s="625">
        <f t="array" ref="N99">IFERROR(INDEX('TB-Pharmaceuticals'!$O$68:$O$103,MATCH($E99&amp;$F99,'TB-Pharmaceuticals'!$D$68:$D$103&amp;'TB-Pharmaceuticals'!$G$68:$G$103,0)),0)</f>
        <v>0</v>
      </c>
      <c r="O99" s="626">
        <f t="shared" ref="O99:O105" si="75">IF(ISERROR($I99*N99),0,$I99*N99)</f>
        <v>0</v>
      </c>
      <c r="P99" s="626">
        <f t="shared" ref="P99:P105" si="76">IF(C99="Upfront",N99,0)</f>
        <v>0</v>
      </c>
      <c r="Q99" s="626">
        <f t="shared" ref="Q99:Q105" si="77">IF(C99="Upfront",O99,0)</f>
        <v>0</v>
      </c>
      <c r="R99" s="625">
        <f t="array" ref="R99">IFERROR(INDEX('TB-Pharmaceuticals'!$P$68:$P$103,MATCH($E99&amp;$F99,'TB-Pharmaceuticals'!$D$68:$D$103&amp;'TB-Pharmaceuticals'!$G$68:$G$103,0)),0)</f>
        <v>0</v>
      </c>
      <c r="S99" s="626">
        <f t="shared" ref="S99:S105" si="78">IF(ISERROR($I99*R99),0,$I99*R99)</f>
        <v>0</v>
      </c>
      <c r="T99" s="626">
        <f t="shared" ref="T99:T105" si="79">IF(C99="Upfront",R99,IF(C99="At delivery",J99,0))</f>
        <v>0</v>
      </c>
      <c r="U99" s="626">
        <f t="shared" ref="U99:U105" si="80">IF(C99="Upfront",S99,IF(C99="At delivery",K99,0))</f>
        <v>0</v>
      </c>
      <c r="V99" s="625">
        <f t="array" ref="V99">IFERROR(INDEX('TB-Pharmaceuticals'!$Q$68:$Q$103,MATCH($E99&amp;$F99,'TB-Pharmaceuticals'!$D$68:$D$103&amp;'TB-Pharmaceuticals'!$G$68:$G$103,0)),0)</f>
        <v>0</v>
      </c>
      <c r="W99" s="626">
        <f t="shared" ref="W99:W105" si="81">IF(ISERROR($I99*V99),0,$I99*V99)</f>
        <v>0</v>
      </c>
      <c r="X99" s="626">
        <f t="shared" ref="X99:X105" si="82">IF(C99="Upfront",V99,IF(C99="At delivery",N99,0))</f>
        <v>0</v>
      </c>
      <c r="Y99" s="626">
        <f t="shared" ref="Y99:Y105" si="83">IF(C99="Upfront",W99,IF(C99="At delivery",O99,0))</f>
        <v>0</v>
      </c>
      <c r="Z99" s="629"/>
      <c r="AA99" s="625">
        <f t="array" ref="AA99">IFERROR(INDEX('TB-Pharmaceuticals'!$T$68:$T$103,MATCH($E99&amp;$F99,'TB-Pharmaceuticals'!$D$68:$D$103&amp;'TB-Pharmaceuticals'!$G$68:$G$103,0)),0)</f>
        <v>0</v>
      </c>
      <c r="AB99" s="625">
        <f t="array" ref="AB99">IFERROR(INDEX('TB-Pharmaceuticals'!$U$68:$U$103,MATCH($E99&amp;$F99,'TB-Pharmaceuticals'!$D$68:$D$103&amp;'TB-Pharmaceuticals'!$G$68:$G$103,0)),0)</f>
        <v>0</v>
      </c>
      <c r="AC99" s="626">
        <f t="shared" ref="AC99:AC105" si="84">IF(ISERROR($AA99*AB99),0,$AA99*AB99)</f>
        <v>0</v>
      </c>
      <c r="AD99" s="626">
        <f t="shared" ref="AD99:AD105" si="85">IF(C99="Upfront",AB99,IF(C99="At delivery",R99,0))</f>
        <v>0</v>
      </c>
      <c r="AE99" s="626">
        <f t="shared" ref="AE99:AE105" si="86">IF(C99="Upfront",AC99,IF(C99="At delivery",S99,0))</f>
        <v>0</v>
      </c>
      <c r="AF99" s="625">
        <f t="array" ref="AF99">IFERROR(INDEX('TB-Pharmaceuticals'!$V$68:$V$103,MATCH($E99&amp;$F99,'TB-Pharmaceuticals'!$D$68:$D$103&amp;'TB-Pharmaceuticals'!$G$68:$G$103,0)),0)</f>
        <v>0</v>
      </c>
      <c r="AG99" s="626">
        <f t="shared" ref="AG99:AG105" si="87">IF(ISERROR($AA99*AF99),0,$AA99*AF99)</f>
        <v>0</v>
      </c>
      <c r="AH99" s="626">
        <f t="shared" ref="AH99:AH105" si="88">IF(C99="Upfront",AF99,IF(C99="At delivery",V99,0))</f>
        <v>0</v>
      </c>
      <c r="AI99" s="626">
        <f t="shared" ref="AI99:AI105" si="89">IF(C99="Upfront",AG99,IF(C99="At delivery",W99,0))</f>
        <v>0</v>
      </c>
      <c r="AJ99" s="625">
        <f t="array" ref="AJ99">IFERROR(INDEX('TB-Pharmaceuticals'!$W$68:$W$103,MATCH($E99&amp;$F99,'TB-Pharmaceuticals'!$D$68:$D$103&amp;'TB-Pharmaceuticals'!$G$68:$G$103,0)),0)</f>
        <v>0</v>
      </c>
      <c r="AK99" s="626">
        <f t="shared" ref="AK99:AK105" si="90">IF(ISERROR($AA99*AJ99),0,$AA99*AJ99)</f>
        <v>0</v>
      </c>
      <c r="AL99" s="626">
        <f t="shared" ref="AL99:AL105" si="91">IF(C99="Upfront",AJ99,IF(C99="At delivery",AB99,0))</f>
        <v>0</v>
      </c>
      <c r="AM99" s="626">
        <f t="shared" ref="AM99:AM105" si="92">IF(C99="Upfront",AK99,IF(C99="At delivery",AC99,0))</f>
        <v>0</v>
      </c>
      <c r="AN99" s="625">
        <f t="array" ref="AN99">IFERROR(INDEX('TB-Pharmaceuticals'!$X$68:$X$103,MATCH($E99&amp;$F99,'TB-Pharmaceuticals'!$D$68:$D$103&amp;'TB-Pharmaceuticals'!$G$68:$G$103,0)),0)</f>
        <v>0</v>
      </c>
      <c r="AO99" s="626">
        <f t="shared" ref="AO99:AO105" si="93">IF(ISERROR($AA99*AN99),0,$AA99*AN99)</f>
        <v>0</v>
      </c>
      <c r="AP99" s="626">
        <f t="shared" ref="AP99:AP105" si="94">IF(C99="Upfront",AN99,IF(C99="At delivery",AF99,0))</f>
        <v>0</v>
      </c>
      <c r="AQ99" s="626">
        <f t="shared" ref="AQ99:AQ105" si="95">IF(C99="Upfront",AO99,IF(C99="At delivery",AG99,0))</f>
        <v>0</v>
      </c>
      <c r="AR99" s="629"/>
      <c r="AS99" s="625">
        <f t="array" ref="AS99">IFERROR(INDEX('TB-Pharmaceuticals'!$AA$68:$AA$103,MATCH($E99&amp;$F99,'TB-Pharmaceuticals'!$D$68:$D$103&amp;'TB-Pharmaceuticals'!$G$68:$G$103,0)),0)</f>
        <v>0</v>
      </c>
      <c r="AT99" s="625">
        <f t="array" ref="AT99">IFERROR(INDEX('TB-Pharmaceuticals'!$AB$68:$AB$103,MATCH($E99&amp;$F99,'TB-Pharmaceuticals'!$D$68:$D$103&amp;'TB-Pharmaceuticals'!$G$68:$G$103,0)),0)</f>
        <v>0</v>
      </c>
      <c r="AU99" s="626">
        <f t="shared" ref="AU99:AU105" si="96">IF(ISERROR($AS99*AT99),0,$AS99*AT99)</f>
        <v>0</v>
      </c>
      <c r="AV99" s="626">
        <f t="shared" ref="AV99:AV105" si="97">IF(C99="Upfront",AT99,IF(C99="At delivery",AJ99,0))</f>
        <v>0</v>
      </c>
      <c r="AW99" s="626">
        <f t="shared" ref="AW99:AW105" si="98">IF(C99="Upfront",AU99,IF(C99="At delivery",AK99,0))</f>
        <v>0</v>
      </c>
      <c r="AX99" s="625">
        <f t="array" ref="AX99">IFERROR(INDEX('TB-Pharmaceuticals'!$AC$68:$AC$103,MATCH($E99&amp;$F99,'TB-Pharmaceuticals'!$D$68:$D$103&amp;'TB-Pharmaceuticals'!$G$68:$G$103,0)),0)</f>
        <v>0</v>
      </c>
      <c r="AY99" s="626">
        <f t="shared" ref="AY99:AY105" si="99">IF(ISERROR($AS99*AX99),0,$AS99*AX99)</f>
        <v>0</v>
      </c>
      <c r="AZ99" s="626">
        <f t="shared" ref="AZ99:AZ105" si="100">IF(C99="Upfront",AX99,IF(C99="At delivery",AN99,0))</f>
        <v>0</v>
      </c>
      <c r="BA99" s="626">
        <f t="shared" ref="BA99:BA105" si="101">IF(C99="Upfront",AY99,IF(C99="At delivery",AO99,0))</f>
        <v>0</v>
      </c>
      <c r="BB99" s="625">
        <f t="array" ref="BB99">IFERROR(INDEX('TB-Pharmaceuticals'!$AD$68:$AD$103,MATCH($E99&amp;$F99,'TB-Pharmaceuticals'!$D$68:$D$103&amp;'TB-Pharmaceuticals'!$G$68:$G$103,0)),0)</f>
        <v>0</v>
      </c>
      <c r="BC99" s="626">
        <f t="shared" ref="BC99:BC105" si="102">IF(ISERROR($AS99*BB99),0,$AS99*BB99)</f>
        <v>0</v>
      </c>
      <c r="BD99" s="626">
        <f t="shared" ref="BD99:BD105" si="103">IF(C99="Upfront",BB99,IF(C99="At delivery",AT99,0))</f>
        <v>0</v>
      </c>
      <c r="BE99" s="626">
        <f t="shared" ref="BE99:BE105" si="104">IF(C99="Upfront",BC99,IF(C99="At delivery",AU99,0))</f>
        <v>0</v>
      </c>
      <c r="BF99" s="625">
        <f t="array" ref="BF99">IFERROR(INDEX('TB-Pharmaceuticals'!$AE$68:$AE$103,MATCH($E99&amp;$F99,'TB-Pharmaceuticals'!$D$68:$D$103&amp;'TB-Pharmaceuticals'!$G$68:$G$103,0)),0)</f>
        <v>0</v>
      </c>
      <c r="BG99" s="626">
        <f t="shared" ref="BG99:BG105" si="105">IF(ISERROR($AS99*BF99),0,$AS99*BF99)</f>
        <v>0</v>
      </c>
      <c r="BH99" s="626">
        <f t="shared" ref="BH99:BH105" si="106">IF(C99="Upfront",BF99,IF(C99="At delivery",AX99,0))</f>
        <v>0</v>
      </c>
      <c r="BI99" s="626">
        <f t="shared" ref="BI99:BI105" si="107">IF(C99="Upfront",BG99,IF(C99="At delivery",AY99,0))</f>
        <v>0</v>
      </c>
      <c r="BJ99" s="630"/>
      <c r="BK99" s="626"/>
      <c r="BL99" s="626"/>
      <c r="BM99" s="626"/>
      <c r="BN99" s="626"/>
      <c r="BO99" s="626"/>
      <c r="BP99" s="626"/>
      <c r="BQ99" s="626"/>
      <c r="BR99" s="626"/>
    </row>
    <row r="100" spans="1:70" s="27" customFormat="1">
      <c r="A100" s="29" t="s">
        <v>1761</v>
      </c>
      <c r="B100" s="29" t="s">
        <v>1740</v>
      </c>
      <c r="C100" s="619">
        <f>SETUP!$F$36</f>
        <v>0</v>
      </c>
      <c r="D100" s="25">
        <v>4.2</v>
      </c>
      <c r="E100" s="29" t="s">
        <v>297</v>
      </c>
      <c r="F100" s="29" t="s">
        <v>1261</v>
      </c>
      <c r="G100" s="625" t="str">
        <f t="array" ref="G100">IFERROR(INDEX('TB-Pharmaceuticals'!$K$68:$K$103,MATCH($E100&amp;$F100,'TB-Pharmaceuticals'!$D$68:$D$103&amp;'TB-Pharmaceuticals'!$G$68:$G$103,0)),"")</f>
        <v/>
      </c>
      <c r="H100" s="625" t="str">
        <f t="array" ref="H100">IFERROR(INDEX('TB-Pharmaceuticals'!$L$68:$L$103,MATCH($E100&amp;$F100,'TB-Pharmaceuticals'!$D$68:$D$103&amp;'TB-Pharmaceuticals'!$G$68:$G$103,0)),"")</f>
        <v/>
      </c>
      <c r="I100" s="625">
        <f t="array" ref="I100">IFERROR(INDEX('TB-Pharmaceuticals'!$M$68:$M$103,MATCH($E100&amp;$F100,'TB-Pharmaceuticals'!$D$68:$D$103&amp;'TB-Pharmaceuticals'!$G$68:$G$103,0)),0)</f>
        <v>0</v>
      </c>
      <c r="J100" s="625">
        <f t="array" ref="J100">IFERROR(INDEX('TB-Pharmaceuticals'!$N$68:$N$103,MATCH($E100&amp;$F100,'TB-Pharmaceuticals'!$D$68:$D$103&amp;'TB-Pharmaceuticals'!$G$68:$G$103,0)),0)</f>
        <v>0</v>
      </c>
      <c r="K100" s="626">
        <f t="shared" si="72"/>
        <v>0</v>
      </c>
      <c r="L100" s="626">
        <f t="shared" si="73"/>
        <v>0</v>
      </c>
      <c r="M100" s="626">
        <f t="shared" si="74"/>
        <v>0</v>
      </c>
      <c r="N100" s="625">
        <f t="array" ref="N100">IFERROR(INDEX('TB-Pharmaceuticals'!$O$68:$O$103,MATCH($E100&amp;$F100,'TB-Pharmaceuticals'!$D$68:$D$103&amp;'TB-Pharmaceuticals'!$G$68:$G$103,0)),0)</f>
        <v>0</v>
      </c>
      <c r="O100" s="626">
        <f t="shared" si="75"/>
        <v>0</v>
      </c>
      <c r="P100" s="626">
        <f t="shared" si="76"/>
        <v>0</v>
      </c>
      <c r="Q100" s="626">
        <f t="shared" si="77"/>
        <v>0</v>
      </c>
      <c r="R100" s="625">
        <f t="array" ref="R100">IFERROR(INDEX('TB-Pharmaceuticals'!$P$68:$P$103,MATCH($E100&amp;$F100,'TB-Pharmaceuticals'!$D$68:$D$103&amp;'TB-Pharmaceuticals'!$G$68:$G$103,0)),0)</f>
        <v>0</v>
      </c>
      <c r="S100" s="626">
        <f t="shared" si="78"/>
        <v>0</v>
      </c>
      <c r="T100" s="626">
        <f t="shared" si="79"/>
        <v>0</v>
      </c>
      <c r="U100" s="626">
        <f t="shared" si="80"/>
        <v>0</v>
      </c>
      <c r="V100" s="625">
        <f t="array" ref="V100">IFERROR(INDEX('TB-Pharmaceuticals'!$Q$68:$Q$103,MATCH($E100&amp;$F100,'TB-Pharmaceuticals'!$D$68:$D$103&amp;'TB-Pharmaceuticals'!$G$68:$G$103,0)),0)</f>
        <v>0</v>
      </c>
      <c r="W100" s="626">
        <f t="shared" si="81"/>
        <v>0</v>
      </c>
      <c r="X100" s="626">
        <f t="shared" si="82"/>
        <v>0</v>
      </c>
      <c r="Y100" s="626">
        <f t="shared" si="83"/>
        <v>0</v>
      </c>
      <c r="Z100" s="629"/>
      <c r="AA100" s="625">
        <f t="array" ref="AA100">IFERROR(INDEX('TB-Pharmaceuticals'!$T$68:$T$103,MATCH($E100&amp;$F100,'TB-Pharmaceuticals'!$D$68:$D$103&amp;'TB-Pharmaceuticals'!$G$68:$G$103,0)),0)</f>
        <v>0</v>
      </c>
      <c r="AB100" s="625">
        <f t="array" ref="AB100">IFERROR(INDEX('TB-Pharmaceuticals'!$U$68:$U$103,MATCH($E100&amp;$F100,'TB-Pharmaceuticals'!$D$68:$D$103&amp;'TB-Pharmaceuticals'!$G$68:$G$103,0)),0)</f>
        <v>0</v>
      </c>
      <c r="AC100" s="626">
        <f t="shared" si="84"/>
        <v>0</v>
      </c>
      <c r="AD100" s="626">
        <f t="shared" si="85"/>
        <v>0</v>
      </c>
      <c r="AE100" s="626">
        <f t="shared" si="86"/>
        <v>0</v>
      </c>
      <c r="AF100" s="625">
        <f t="array" ref="AF100">IFERROR(INDEX('TB-Pharmaceuticals'!$V$68:$V$103,MATCH($E100&amp;$F100,'TB-Pharmaceuticals'!$D$68:$D$103&amp;'TB-Pharmaceuticals'!$G$68:$G$103,0)),0)</f>
        <v>0</v>
      </c>
      <c r="AG100" s="626">
        <f t="shared" si="87"/>
        <v>0</v>
      </c>
      <c r="AH100" s="626">
        <f t="shared" si="88"/>
        <v>0</v>
      </c>
      <c r="AI100" s="626">
        <f t="shared" si="89"/>
        <v>0</v>
      </c>
      <c r="AJ100" s="625">
        <f t="array" ref="AJ100">IFERROR(INDEX('TB-Pharmaceuticals'!$W$68:$W$103,MATCH($E100&amp;$F100,'TB-Pharmaceuticals'!$D$68:$D$103&amp;'TB-Pharmaceuticals'!$G$68:$G$103,0)),0)</f>
        <v>0</v>
      </c>
      <c r="AK100" s="626">
        <f t="shared" si="90"/>
        <v>0</v>
      </c>
      <c r="AL100" s="626">
        <f t="shared" si="91"/>
        <v>0</v>
      </c>
      <c r="AM100" s="626">
        <f t="shared" si="92"/>
        <v>0</v>
      </c>
      <c r="AN100" s="625">
        <f t="array" ref="AN100">IFERROR(INDEX('TB-Pharmaceuticals'!$X$68:$X$103,MATCH($E100&amp;$F100,'TB-Pharmaceuticals'!$D$68:$D$103&amp;'TB-Pharmaceuticals'!$G$68:$G$103,0)),0)</f>
        <v>0</v>
      </c>
      <c r="AO100" s="626">
        <f t="shared" si="93"/>
        <v>0</v>
      </c>
      <c r="AP100" s="626">
        <f t="shared" si="94"/>
        <v>0</v>
      </c>
      <c r="AQ100" s="626">
        <f t="shared" si="95"/>
        <v>0</v>
      </c>
      <c r="AR100" s="629"/>
      <c r="AS100" s="625">
        <f t="array" ref="AS100">IFERROR(INDEX('TB-Pharmaceuticals'!$AA$68:$AA$103,MATCH($E100&amp;$F100,'TB-Pharmaceuticals'!$D$68:$D$103&amp;'TB-Pharmaceuticals'!$G$68:$G$103,0)),0)</f>
        <v>0</v>
      </c>
      <c r="AT100" s="625">
        <f t="array" ref="AT100">IFERROR(INDEX('TB-Pharmaceuticals'!$AB$68:$AB$103,MATCH($E100&amp;$F100,'TB-Pharmaceuticals'!$D$68:$D$103&amp;'TB-Pharmaceuticals'!$G$68:$G$103,0)),0)</f>
        <v>0</v>
      </c>
      <c r="AU100" s="626">
        <f t="shared" si="96"/>
        <v>0</v>
      </c>
      <c r="AV100" s="626">
        <f t="shared" si="97"/>
        <v>0</v>
      </c>
      <c r="AW100" s="626">
        <f t="shared" si="98"/>
        <v>0</v>
      </c>
      <c r="AX100" s="625">
        <f t="array" ref="AX100">IFERROR(INDEX('TB-Pharmaceuticals'!$AC$68:$AC$103,MATCH($E100&amp;$F100,'TB-Pharmaceuticals'!$D$68:$D$103&amp;'TB-Pharmaceuticals'!$G$68:$G$103,0)),0)</f>
        <v>0</v>
      </c>
      <c r="AY100" s="626">
        <f t="shared" si="99"/>
        <v>0</v>
      </c>
      <c r="AZ100" s="626">
        <f t="shared" si="100"/>
        <v>0</v>
      </c>
      <c r="BA100" s="626">
        <f t="shared" si="101"/>
        <v>0</v>
      </c>
      <c r="BB100" s="625">
        <f t="array" ref="BB100">IFERROR(INDEX('TB-Pharmaceuticals'!$AD$68:$AD$103,MATCH($E100&amp;$F100,'TB-Pharmaceuticals'!$D$68:$D$103&amp;'TB-Pharmaceuticals'!$G$68:$G$103,0)),0)</f>
        <v>0</v>
      </c>
      <c r="BC100" s="626">
        <f t="shared" si="102"/>
        <v>0</v>
      </c>
      <c r="BD100" s="626">
        <f t="shared" si="103"/>
        <v>0</v>
      </c>
      <c r="BE100" s="626">
        <f t="shared" si="104"/>
        <v>0</v>
      </c>
      <c r="BF100" s="625">
        <f t="array" ref="BF100">IFERROR(INDEX('TB-Pharmaceuticals'!$AE$68:$AE$103,MATCH($E100&amp;$F100,'TB-Pharmaceuticals'!$D$68:$D$103&amp;'TB-Pharmaceuticals'!$G$68:$G$103,0)),0)</f>
        <v>0</v>
      </c>
      <c r="BG100" s="626">
        <f t="shared" si="105"/>
        <v>0</v>
      </c>
      <c r="BH100" s="626">
        <f t="shared" si="106"/>
        <v>0</v>
      </c>
      <c r="BI100" s="626">
        <f t="shared" si="107"/>
        <v>0</v>
      </c>
      <c r="BJ100" s="630"/>
      <c r="BK100" s="626"/>
      <c r="BL100" s="626"/>
      <c r="BM100" s="626"/>
      <c r="BN100" s="626"/>
      <c r="BO100" s="626"/>
      <c r="BP100" s="626"/>
      <c r="BQ100" s="626"/>
      <c r="BR100" s="626"/>
    </row>
    <row r="101" spans="1:70" s="27" customFormat="1">
      <c r="A101" s="29" t="s">
        <v>1761</v>
      </c>
      <c r="B101" s="29" t="s">
        <v>1740</v>
      </c>
      <c r="C101" s="619">
        <f>SETUP!$F$36</f>
        <v>0</v>
      </c>
      <c r="D101" s="25">
        <v>4.2</v>
      </c>
      <c r="E101" s="29" t="s">
        <v>297</v>
      </c>
      <c r="F101" s="29" t="s">
        <v>1306</v>
      </c>
      <c r="G101" s="625" t="str">
        <f t="array" ref="G101">IFERROR(INDEX('TB-Pharmaceuticals'!$K$68:$K$103,MATCH($E101&amp;$F101,'TB-Pharmaceuticals'!$D$68:$D$103&amp;'TB-Pharmaceuticals'!$G$68:$G$103,0)),"")</f>
        <v/>
      </c>
      <c r="H101" s="625" t="str">
        <f t="array" ref="H101">IFERROR(INDEX('TB-Pharmaceuticals'!$L$68:$L$103,MATCH($E101&amp;$F101,'TB-Pharmaceuticals'!$D$68:$D$103&amp;'TB-Pharmaceuticals'!$G$68:$G$103,0)),"")</f>
        <v/>
      </c>
      <c r="I101" s="625">
        <f t="array" ref="I101">IFERROR(INDEX('TB-Pharmaceuticals'!$M$68:$M$103,MATCH($E101&amp;$F101,'TB-Pharmaceuticals'!$D$68:$D$103&amp;'TB-Pharmaceuticals'!$G$68:$G$103,0)),0)</f>
        <v>0</v>
      </c>
      <c r="J101" s="625">
        <f t="array" ref="J101">IFERROR(INDEX('TB-Pharmaceuticals'!$N$68:$N$103,MATCH($E101&amp;$F101,'TB-Pharmaceuticals'!$D$68:$D$103&amp;'TB-Pharmaceuticals'!$G$68:$G$103,0)),0)</f>
        <v>0</v>
      </c>
      <c r="K101" s="626">
        <f t="shared" si="72"/>
        <v>0</v>
      </c>
      <c r="L101" s="626">
        <f t="shared" si="73"/>
        <v>0</v>
      </c>
      <c r="M101" s="626">
        <f t="shared" si="74"/>
        <v>0</v>
      </c>
      <c r="N101" s="625">
        <f t="array" ref="N101">IFERROR(INDEX('TB-Pharmaceuticals'!$O$68:$O$103,MATCH($E101&amp;$F101,'TB-Pharmaceuticals'!$D$68:$D$103&amp;'TB-Pharmaceuticals'!$G$68:$G$103,0)),0)</f>
        <v>0</v>
      </c>
      <c r="O101" s="626">
        <f t="shared" si="75"/>
        <v>0</v>
      </c>
      <c r="P101" s="626">
        <f t="shared" si="76"/>
        <v>0</v>
      </c>
      <c r="Q101" s="626">
        <f t="shared" si="77"/>
        <v>0</v>
      </c>
      <c r="R101" s="625">
        <f t="array" ref="R101">IFERROR(INDEX('TB-Pharmaceuticals'!$P$68:$P$103,MATCH($E101&amp;$F101,'TB-Pharmaceuticals'!$D$68:$D$103&amp;'TB-Pharmaceuticals'!$G$68:$G$103,0)),0)</f>
        <v>0</v>
      </c>
      <c r="S101" s="626">
        <f t="shared" si="78"/>
        <v>0</v>
      </c>
      <c r="T101" s="626">
        <f t="shared" si="79"/>
        <v>0</v>
      </c>
      <c r="U101" s="626">
        <f t="shared" si="80"/>
        <v>0</v>
      </c>
      <c r="V101" s="625">
        <f t="array" ref="V101">IFERROR(INDEX('TB-Pharmaceuticals'!$Q$68:$Q$103,MATCH($E101&amp;$F101,'TB-Pharmaceuticals'!$D$68:$D$103&amp;'TB-Pharmaceuticals'!$G$68:$G$103,0)),0)</f>
        <v>0</v>
      </c>
      <c r="W101" s="626">
        <f t="shared" si="81"/>
        <v>0</v>
      </c>
      <c r="X101" s="626">
        <f t="shared" si="82"/>
        <v>0</v>
      </c>
      <c r="Y101" s="626">
        <f t="shared" si="83"/>
        <v>0</v>
      </c>
      <c r="Z101" s="629"/>
      <c r="AA101" s="625">
        <f t="array" ref="AA101">IFERROR(INDEX('TB-Pharmaceuticals'!$T$68:$T$103,MATCH($E101&amp;$F101,'TB-Pharmaceuticals'!$D$68:$D$103&amp;'TB-Pharmaceuticals'!$G$68:$G$103,0)),0)</f>
        <v>0</v>
      </c>
      <c r="AB101" s="625">
        <f t="array" ref="AB101">IFERROR(INDEX('TB-Pharmaceuticals'!$U$68:$U$103,MATCH($E101&amp;$F101,'TB-Pharmaceuticals'!$D$68:$D$103&amp;'TB-Pharmaceuticals'!$G$68:$G$103,0)),0)</f>
        <v>0</v>
      </c>
      <c r="AC101" s="626">
        <f t="shared" si="84"/>
        <v>0</v>
      </c>
      <c r="AD101" s="626">
        <f t="shared" si="85"/>
        <v>0</v>
      </c>
      <c r="AE101" s="626">
        <f t="shared" si="86"/>
        <v>0</v>
      </c>
      <c r="AF101" s="625">
        <f t="array" ref="AF101">IFERROR(INDEX('TB-Pharmaceuticals'!$V$68:$V$103,MATCH($E101&amp;$F101,'TB-Pharmaceuticals'!$D$68:$D$103&amp;'TB-Pharmaceuticals'!$G$68:$G$103,0)),0)</f>
        <v>0</v>
      </c>
      <c r="AG101" s="626">
        <f t="shared" si="87"/>
        <v>0</v>
      </c>
      <c r="AH101" s="626">
        <f t="shared" si="88"/>
        <v>0</v>
      </c>
      <c r="AI101" s="626">
        <f t="shared" si="89"/>
        <v>0</v>
      </c>
      <c r="AJ101" s="625">
        <f t="array" ref="AJ101">IFERROR(INDEX('TB-Pharmaceuticals'!$W$68:$W$103,MATCH($E101&amp;$F101,'TB-Pharmaceuticals'!$D$68:$D$103&amp;'TB-Pharmaceuticals'!$G$68:$G$103,0)),0)</f>
        <v>0</v>
      </c>
      <c r="AK101" s="626">
        <f t="shared" si="90"/>
        <v>0</v>
      </c>
      <c r="AL101" s="626">
        <f t="shared" si="91"/>
        <v>0</v>
      </c>
      <c r="AM101" s="626">
        <f t="shared" si="92"/>
        <v>0</v>
      </c>
      <c r="AN101" s="625">
        <f t="array" ref="AN101">IFERROR(INDEX('TB-Pharmaceuticals'!$X$68:$X$103,MATCH($E101&amp;$F101,'TB-Pharmaceuticals'!$D$68:$D$103&amp;'TB-Pharmaceuticals'!$G$68:$G$103,0)),0)</f>
        <v>0</v>
      </c>
      <c r="AO101" s="626">
        <f t="shared" si="93"/>
        <v>0</v>
      </c>
      <c r="AP101" s="626">
        <f t="shared" si="94"/>
        <v>0</v>
      </c>
      <c r="AQ101" s="626">
        <f t="shared" si="95"/>
        <v>0</v>
      </c>
      <c r="AR101" s="629"/>
      <c r="AS101" s="625">
        <f t="array" ref="AS101">IFERROR(INDEX('TB-Pharmaceuticals'!$AA$68:$AA$103,MATCH($E101&amp;$F101,'TB-Pharmaceuticals'!$D$68:$D$103&amp;'TB-Pharmaceuticals'!$G$68:$G$103,0)),0)</f>
        <v>0</v>
      </c>
      <c r="AT101" s="625">
        <f t="array" ref="AT101">IFERROR(INDEX('TB-Pharmaceuticals'!$AB$68:$AB$103,MATCH($E101&amp;$F101,'TB-Pharmaceuticals'!$D$68:$D$103&amp;'TB-Pharmaceuticals'!$G$68:$G$103,0)),0)</f>
        <v>0</v>
      </c>
      <c r="AU101" s="626">
        <f t="shared" si="96"/>
        <v>0</v>
      </c>
      <c r="AV101" s="626">
        <f t="shared" si="97"/>
        <v>0</v>
      </c>
      <c r="AW101" s="626">
        <f t="shared" si="98"/>
        <v>0</v>
      </c>
      <c r="AX101" s="625">
        <f t="array" ref="AX101">IFERROR(INDEX('TB-Pharmaceuticals'!$AC$68:$AC$103,MATCH($E101&amp;$F101,'TB-Pharmaceuticals'!$D$68:$D$103&amp;'TB-Pharmaceuticals'!$G$68:$G$103,0)),0)</f>
        <v>0</v>
      </c>
      <c r="AY101" s="626">
        <f t="shared" si="99"/>
        <v>0</v>
      </c>
      <c r="AZ101" s="626">
        <f t="shared" si="100"/>
        <v>0</v>
      </c>
      <c r="BA101" s="626">
        <f t="shared" si="101"/>
        <v>0</v>
      </c>
      <c r="BB101" s="625">
        <f t="array" ref="BB101">IFERROR(INDEX('TB-Pharmaceuticals'!$AD$68:$AD$103,MATCH($E101&amp;$F101,'TB-Pharmaceuticals'!$D$68:$D$103&amp;'TB-Pharmaceuticals'!$G$68:$G$103,0)),0)</f>
        <v>0</v>
      </c>
      <c r="BC101" s="626">
        <f t="shared" si="102"/>
        <v>0</v>
      </c>
      <c r="BD101" s="626">
        <f t="shared" si="103"/>
        <v>0</v>
      </c>
      <c r="BE101" s="626">
        <f t="shared" si="104"/>
        <v>0</v>
      </c>
      <c r="BF101" s="625">
        <f t="array" ref="BF101">IFERROR(INDEX('TB-Pharmaceuticals'!$AE$68:$AE$103,MATCH($E101&amp;$F101,'TB-Pharmaceuticals'!$D$68:$D$103&amp;'TB-Pharmaceuticals'!$G$68:$G$103,0)),0)</f>
        <v>0</v>
      </c>
      <c r="BG101" s="626">
        <f t="shared" si="105"/>
        <v>0</v>
      </c>
      <c r="BH101" s="626">
        <f t="shared" si="106"/>
        <v>0</v>
      </c>
      <c r="BI101" s="626">
        <f t="shared" si="107"/>
        <v>0</v>
      </c>
      <c r="BJ101" s="630"/>
      <c r="BK101" s="626"/>
      <c r="BL101" s="626"/>
      <c r="BM101" s="626"/>
      <c r="BN101" s="626"/>
      <c r="BO101" s="626"/>
      <c r="BP101" s="626"/>
      <c r="BQ101" s="626"/>
      <c r="BR101" s="626"/>
    </row>
    <row r="102" spans="1:70" s="27" customFormat="1">
      <c r="A102" s="29" t="s">
        <v>1761</v>
      </c>
      <c r="B102" s="29" t="s">
        <v>1740</v>
      </c>
      <c r="C102" s="619">
        <f>SETUP!$F$36</f>
        <v>0</v>
      </c>
      <c r="D102" s="25">
        <v>4.2</v>
      </c>
      <c r="E102" s="29" t="s">
        <v>297</v>
      </c>
      <c r="F102" s="29" t="s">
        <v>1307</v>
      </c>
      <c r="G102" s="625" t="str">
        <f t="array" ref="G102">IFERROR(INDEX('TB-Pharmaceuticals'!$K$68:$K$103,MATCH($E102&amp;$F102,'TB-Pharmaceuticals'!$D$68:$D$103&amp;'TB-Pharmaceuticals'!$G$68:$G$103,0)),"")</f>
        <v/>
      </c>
      <c r="H102" s="625" t="str">
        <f t="array" ref="H102">IFERROR(INDEX('TB-Pharmaceuticals'!$L$68:$L$103,MATCH($E102&amp;$F102,'TB-Pharmaceuticals'!$D$68:$D$103&amp;'TB-Pharmaceuticals'!$G$68:$G$103,0)),"")</f>
        <v/>
      </c>
      <c r="I102" s="625">
        <f t="array" ref="I102">IFERROR(INDEX('TB-Pharmaceuticals'!$M$68:$M$103,MATCH($E102&amp;$F102,'TB-Pharmaceuticals'!$D$68:$D$103&amp;'TB-Pharmaceuticals'!$G$68:$G$103,0)),0)</f>
        <v>0</v>
      </c>
      <c r="J102" s="625">
        <f t="array" ref="J102">IFERROR(INDEX('TB-Pharmaceuticals'!$N$68:$N$103,MATCH($E102&amp;$F102,'TB-Pharmaceuticals'!$D$68:$D$103&amp;'TB-Pharmaceuticals'!$G$68:$G$103,0)),0)</f>
        <v>0</v>
      </c>
      <c r="K102" s="626">
        <f t="shared" si="72"/>
        <v>0</v>
      </c>
      <c r="L102" s="626">
        <f t="shared" si="73"/>
        <v>0</v>
      </c>
      <c r="M102" s="626">
        <f t="shared" si="74"/>
        <v>0</v>
      </c>
      <c r="N102" s="625">
        <f t="array" ref="N102">IFERROR(INDEX('TB-Pharmaceuticals'!$O$68:$O$103,MATCH($E102&amp;$F102,'TB-Pharmaceuticals'!$D$68:$D$103&amp;'TB-Pharmaceuticals'!$G$68:$G$103,0)),0)</f>
        <v>0</v>
      </c>
      <c r="O102" s="626">
        <f t="shared" si="75"/>
        <v>0</v>
      </c>
      <c r="P102" s="626">
        <f t="shared" si="76"/>
        <v>0</v>
      </c>
      <c r="Q102" s="626">
        <f t="shared" si="77"/>
        <v>0</v>
      </c>
      <c r="R102" s="625">
        <f t="array" ref="R102">IFERROR(INDEX('TB-Pharmaceuticals'!$P$68:$P$103,MATCH($E102&amp;$F102,'TB-Pharmaceuticals'!$D$68:$D$103&amp;'TB-Pharmaceuticals'!$G$68:$G$103,0)),0)</f>
        <v>0</v>
      </c>
      <c r="S102" s="626">
        <f t="shared" si="78"/>
        <v>0</v>
      </c>
      <c r="T102" s="626">
        <f t="shared" si="79"/>
        <v>0</v>
      </c>
      <c r="U102" s="626">
        <f t="shared" si="80"/>
        <v>0</v>
      </c>
      <c r="V102" s="625">
        <f t="array" ref="V102">IFERROR(INDEX('TB-Pharmaceuticals'!$Q$68:$Q$103,MATCH($E102&amp;$F102,'TB-Pharmaceuticals'!$D$68:$D$103&amp;'TB-Pharmaceuticals'!$G$68:$G$103,0)),0)</f>
        <v>0</v>
      </c>
      <c r="W102" s="626">
        <f t="shared" si="81"/>
        <v>0</v>
      </c>
      <c r="X102" s="626">
        <f t="shared" si="82"/>
        <v>0</v>
      </c>
      <c r="Y102" s="626">
        <f t="shared" si="83"/>
        <v>0</v>
      </c>
      <c r="Z102" s="629"/>
      <c r="AA102" s="625">
        <f t="array" ref="AA102">IFERROR(INDEX('TB-Pharmaceuticals'!$T$68:$T$103,MATCH($E102&amp;$F102,'TB-Pharmaceuticals'!$D$68:$D$103&amp;'TB-Pharmaceuticals'!$G$68:$G$103,0)),0)</f>
        <v>0</v>
      </c>
      <c r="AB102" s="625">
        <f t="array" ref="AB102">IFERROR(INDEX('TB-Pharmaceuticals'!$U$68:$U$103,MATCH($E102&amp;$F102,'TB-Pharmaceuticals'!$D$68:$D$103&amp;'TB-Pharmaceuticals'!$G$68:$G$103,0)),0)</f>
        <v>0</v>
      </c>
      <c r="AC102" s="626">
        <f t="shared" si="84"/>
        <v>0</v>
      </c>
      <c r="AD102" s="626">
        <f t="shared" si="85"/>
        <v>0</v>
      </c>
      <c r="AE102" s="626">
        <f t="shared" si="86"/>
        <v>0</v>
      </c>
      <c r="AF102" s="625">
        <f t="array" ref="AF102">IFERROR(INDEX('TB-Pharmaceuticals'!$V$68:$V$103,MATCH($E102&amp;$F102,'TB-Pharmaceuticals'!$D$68:$D$103&amp;'TB-Pharmaceuticals'!$G$68:$G$103,0)),0)</f>
        <v>0</v>
      </c>
      <c r="AG102" s="626">
        <f t="shared" si="87"/>
        <v>0</v>
      </c>
      <c r="AH102" s="626">
        <f t="shared" si="88"/>
        <v>0</v>
      </c>
      <c r="AI102" s="626">
        <f t="shared" si="89"/>
        <v>0</v>
      </c>
      <c r="AJ102" s="625">
        <f t="array" ref="AJ102">IFERROR(INDEX('TB-Pharmaceuticals'!$W$68:$W$103,MATCH($E102&amp;$F102,'TB-Pharmaceuticals'!$D$68:$D$103&amp;'TB-Pharmaceuticals'!$G$68:$G$103,0)),0)</f>
        <v>0</v>
      </c>
      <c r="AK102" s="626">
        <f t="shared" si="90"/>
        <v>0</v>
      </c>
      <c r="AL102" s="626">
        <f t="shared" si="91"/>
        <v>0</v>
      </c>
      <c r="AM102" s="626">
        <f t="shared" si="92"/>
        <v>0</v>
      </c>
      <c r="AN102" s="625">
        <f t="array" ref="AN102">IFERROR(INDEX('TB-Pharmaceuticals'!$X$68:$X$103,MATCH($E102&amp;$F102,'TB-Pharmaceuticals'!$D$68:$D$103&amp;'TB-Pharmaceuticals'!$G$68:$G$103,0)),0)</f>
        <v>0</v>
      </c>
      <c r="AO102" s="626">
        <f t="shared" si="93"/>
        <v>0</v>
      </c>
      <c r="AP102" s="626">
        <f t="shared" si="94"/>
        <v>0</v>
      </c>
      <c r="AQ102" s="626">
        <f t="shared" si="95"/>
        <v>0</v>
      </c>
      <c r="AR102" s="629"/>
      <c r="AS102" s="625">
        <f t="array" ref="AS102">IFERROR(INDEX('TB-Pharmaceuticals'!$AA$68:$AA$103,MATCH($E102&amp;$F102,'TB-Pharmaceuticals'!$D$68:$D$103&amp;'TB-Pharmaceuticals'!$G$68:$G$103,0)),0)</f>
        <v>0</v>
      </c>
      <c r="AT102" s="625">
        <f t="array" ref="AT102">IFERROR(INDEX('TB-Pharmaceuticals'!$AB$68:$AB$103,MATCH($E102&amp;$F102,'TB-Pharmaceuticals'!$D$68:$D$103&amp;'TB-Pharmaceuticals'!$G$68:$G$103,0)),0)</f>
        <v>0</v>
      </c>
      <c r="AU102" s="626">
        <f t="shared" si="96"/>
        <v>0</v>
      </c>
      <c r="AV102" s="626">
        <f t="shared" si="97"/>
        <v>0</v>
      </c>
      <c r="AW102" s="626">
        <f t="shared" si="98"/>
        <v>0</v>
      </c>
      <c r="AX102" s="625">
        <f t="array" ref="AX102">IFERROR(INDEX('TB-Pharmaceuticals'!$AC$68:$AC$103,MATCH($E102&amp;$F102,'TB-Pharmaceuticals'!$D$68:$D$103&amp;'TB-Pharmaceuticals'!$G$68:$G$103,0)),0)</f>
        <v>0</v>
      </c>
      <c r="AY102" s="626">
        <f t="shared" si="99"/>
        <v>0</v>
      </c>
      <c r="AZ102" s="626">
        <f t="shared" si="100"/>
        <v>0</v>
      </c>
      <c r="BA102" s="626">
        <f t="shared" si="101"/>
        <v>0</v>
      </c>
      <c r="BB102" s="625">
        <f t="array" ref="BB102">IFERROR(INDEX('TB-Pharmaceuticals'!$AD$68:$AD$103,MATCH($E102&amp;$F102,'TB-Pharmaceuticals'!$D$68:$D$103&amp;'TB-Pharmaceuticals'!$G$68:$G$103,0)),0)</f>
        <v>0</v>
      </c>
      <c r="BC102" s="626">
        <f t="shared" si="102"/>
        <v>0</v>
      </c>
      <c r="BD102" s="626">
        <f t="shared" si="103"/>
        <v>0</v>
      </c>
      <c r="BE102" s="626">
        <f t="shared" si="104"/>
        <v>0</v>
      </c>
      <c r="BF102" s="625">
        <f t="array" ref="BF102">IFERROR(INDEX('TB-Pharmaceuticals'!$AE$68:$AE$103,MATCH($E102&amp;$F102,'TB-Pharmaceuticals'!$D$68:$D$103&amp;'TB-Pharmaceuticals'!$G$68:$G$103,0)),0)</f>
        <v>0</v>
      </c>
      <c r="BG102" s="626">
        <f t="shared" si="105"/>
        <v>0</v>
      </c>
      <c r="BH102" s="626">
        <f t="shared" si="106"/>
        <v>0</v>
      </c>
      <c r="BI102" s="626">
        <f t="shared" si="107"/>
        <v>0</v>
      </c>
      <c r="BJ102" s="630"/>
      <c r="BK102" s="626"/>
      <c r="BL102" s="626"/>
      <c r="BM102" s="626"/>
      <c r="BN102" s="626"/>
      <c r="BO102" s="626"/>
      <c r="BP102" s="626"/>
      <c r="BQ102" s="626"/>
      <c r="BR102" s="626"/>
    </row>
    <row r="103" spans="1:70" s="27" customFormat="1">
      <c r="A103" s="29" t="s">
        <v>1761</v>
      </c>
      <c r="B103" s="29" t="s">
        <v>1740</v>
      </c>
      <c r="C103" s="619">
        <f>SETUP!$F$36</f>
        <v>0</v>
      </c>
      <c r="D103" s="25">
        <v>4.2</v>
      </c>
      <c r="E103" s="29" t="s">
        <v>297</v>
      </c>
      <c r="F103" s="29" t="s">
        <v>1308</v>
      </c>
      <c r="G103" s="625" t="str">
        <f t="array" ref="G103">IFERROR(INDEX('TB-Pharmaceuticals'!$K$68:$K$103,MATCH($E103&amp;$F103,'TB-Pharmaceuticals'!$D$68:$D$103&amp;'TB-Pharmaceuticals'!$G$68:$G$103,0)),"")</f>
        <v/>
      </c>
      <c r="H103" s="625" t="str">
        <f t="array" ref="H103">IFERROR(INDEX('TB-Pharmaceuticals'!$L$68:$L$103,MATCH($E103&amp;$F103,'TB-Pharmaceuticals'!$D$68:$D$103&amp;'TB-Pharmaceuticals'!$G$68:$G$103,0)),"")</f>
        <v/>
      </c>
      <c r="I103" s="625">
        <f t="array" ref="I103">IFERROR(INDEX('TB-Pharmaceuticals'!$M$68:$M$103,MATCH($E103&amp;$F103,'TB-Pharmaceuticals'!$D$68:$D$103&amp;'TB-Pharmaceuticals'!$G$68:$G$103,0)),0)</f>
        <v>0</v>
      </c>
      <c r="J103" s="625">
        <f t="array" ref="J103">IFERROR(INDEX('TB-Pharmaceuticals'!$N$68:$N$103,MATCH($E103&amp;$F103,'TB-Pharmaceuticals'!$D$68:$D$103&amp;'TB-Pharmaceuticals'!$G$68:$G$103,0)),0)</f>
        <v>0</v>
      </c>
      <c r="K103" s="626">
        <f t="shared" si="72"/>
        <v>0</v>
      </c>
      <c r="L103" s="626">
        <f t="shared" si="73"/>
        <v>0</v>
      </c>
      <c r="M103" s="626">
        <f t="shared" si="74"/>
        <v>0</v>
      </c>
      <c r="N103" s="625">
        <f t="array" ref="N103">IFERROR(INDEX('TB-Pharmaceuticals'!$O$68:$O$103,MATCH($E103&amp;$F103,'TB-Pharmaceuticals'!$D$68:$D$103&amp;'TB-Pharmaceuticals'!$G$68:$G$103,0)),0)</f>
        <v>0</v>
      </c>
      <c r="O103" s="626">
        <f t="shared" si="75"/>
        <v>0</v>
      </c>
      <c r="P103" s="626">
        <f t="shared" si="76"/>
        <v>0</v>
      </c>
      <c r="Q103" s="626">
        <f t="shared" si="77"/>
        <v>0</v>
      </c>
      <c r="R103" s="625">
        <f t="array" ref="R103">IFERROR(INDEX('TB-Pharmaceuticals'!$P$68:$P$103,MATCH($E103&amp;$F103,'TB-Pharmaceuticals'!$D$68:$D$103&amp;'TB-Pharmaceuticals'!$G$68:$G$103,0)),0)</f>
        <v>0</v>
      </c>
      <c r="S103" s="626">
        <f t="shared" si="78"/>
        <v>0</v>
      </c>
      <c r="T103" s="626">
        <f t="shared" si="79"/>
        <v>0</v>
      </c>
      <c r="U103" s="626">
        <f t="shared" si="80"/>
        <v>0</v>
      </c>
      <c r="V103" s="625">
        <f t="array" ref="V103">IFERROR(INDEX('TB-Pharmaceuticals'!$Q$68:$Q$103,MATCH($E103&amp;$F103,'TB-Pharmaceuticals'!$D$68:$D$103&amp;'TB-Pharmaceuticals'!$G$68:$G$103,0)),0)</f>
        <v>0</v>
      </c>
      <c r="W103" s="626">
        <f t="shared" si="81"/>
        <v>0</v>
      </c>
      <c r="X103" s="626">
        <f t="shared" si="82"/>
        <v>0</v>
      </c>
      <c r="Y103" s="626">
        <f t="shared" si="83"/>
        <v>0</v>
      </c>
      <c r="Z103" s="629"/>
      <c r="AA103" s="625">
        <f t="array" ref="AA103">IFERROR(INDEX('TB-Pharmaceuticals'!$T$68:$T$103,MATCH($E103&amp;$F103,'TB-Pharmaceuticals'!$D$68:$D$103&amp;'TB-Pharmaceuticals'!$G$68:$G$103,0)),0)</f>
        <v>0</v>
      </c>
      <c r="AB103" s="625">
        <f t="array" ref="AB103">IFERROR(INDEX('TB-Pharmaceuticals'!$U$68:$U$103,MATCH($E103&amp;$F103,'TB-Pharmaceuticals'!$D$68:$D$103&amp;'TB-Pharmaceuticals'!$G$68:$G$103,0)),0)</f>
        <v>0</v>
      </c>
      <c r="AC103" s="626">
        <f t="shared" si="84"/>
        <v>0</v>
      </c>
      <c r="AD103" s="626">
        <f t="shared" si="85"/>
        <v>0</v>
      </c>
      <c r="AE103" s="626">
        <f t="shared" si="86"/>
        <v>0</v>
      </c>
      <c r="AF103" s="625">
        <f t="array" ref="AF103">IFERROR(INDEX('TB-Pharmaceuticals'!$V$68:$V$103,MATCH($E103&amp;$F103,'TB-Pharmaceuticals'!$D$68:$D$103&amp;'TB-Pharmaceuticals'!$G$68:$G$103,0)),0)</f>
        <v>0</v>
      </c>
      <c r="AG103" s="626">
        <f t="shared" si="87"/>
        <v>0</v>
      </c>
      <c r="AH103" s="626">
        <f t="shared" si="88"/>
        <v>0</v>
      </c>
      <c r="AI103" s="626">
        <f t="shared" si="89"/>
        <v>0</v>
      </c>
      <c r="AJ103" s="625">
        <f t="array" ref="AJ103">IFERROR(INDEX('TB-Pharmaceuticals'!$W$68:$W$103,MATCH($E103&amp;$F103,'TB-Pharmaceuticals'!$D$68:$D$103&amp;'TB-Pharmaceuticals'!$G$68:$G$103,0)),0)</f>
        <v>0</v>
      </c>
      <c r="AK103" s="626">
        <f t="shared" si="90"/>
        <v>0</v>
      </c>
      <c r="AL103" s="626">
        <f t="shared" si="91"/>
        <v>0</v>
      </c>
      <c r="AM103" s="626">
        <f t="shared" si="92"/>
        <v>0</v>
      </c>
      <c r="AN103" s="625">
        <f t="array" ref="AN103">IFERROR(INDEX('TB-Pharmaceuticals'!$X$68:$X$103,MATCH($E103&amp;$F103,'TB-Pharmaceuticals'!$D$68:$D$103&amp;'TB-Pharmaceuticals'!$G$68:$G$103,0)),0)</f>
        <v>0</v>
      </c>
      <c r="AO103" s="626">
        <f t="shared" si="93"/>
        <v>0</v>
      </c>
      <c r="AP103" s="626">
        <f t="shared" si="94"/>
        <v>0</v>
      </c>
      <c r="AQ103" s="626">
        <f t="shared" si="95"/>
        <v>0</v>
      </c>
      <c r="AR103" s="629"/>
      <c r="AS103" s="625">
        <f t="array" ref="AS103">IFERROR(INDEX('TB-Pharmaceuticals'!$AA$68:$AA$103,MATCH($E103&amp;$F103,'TB-Pharmaceuticals'!$D$68:$D$103&amp;'TB-Pharmaceuticals'!$G$68:$G$103,0)),0)</f>
        <v>0</v>
      </c>
      <c r="AT103" s="625">
        <f t="array" ref="AT103">IFERROR(INDEX('TB-Pharmaceuticals'!$AB$68:$AB$103,MATCH($E103&amp;$F103,'TB-Pharmaceuticals'!$D$68:$D$103&amp;'TB-Pharmaceuticals'!$G$68:$G$103,0)),0)</f>
        <v>0</v>
      </c>
      <c r="AU103" s="626">
        <f t="shared" si="96"/>
        <v>0</v>
      </c>
      <c r="AV103" s="626">
        <f t="shared" si="97"/>
        <v>0</v>
      </c>
      <c r="AW103" s="626">
        <f t="shared" si="98"/>
        <v>0</v>
      </c>
      <c r="AX103" s="625">
        <f t="array" ref="AX103">IFERROR(INDEX('TB-Pharmaceuticals'!$AC$68:$AC$103,MATCH($E103&amp;$F103,'TB-Pharmaceuticals'!$D$68:$D$103&amp;'TB-Pharmaceuticals'!$G$68:$G$103,0)),0)</f>
        <v>0</v>
      </c>
      <c r="AY103" s="626">
        <f t="shared" si="99"/>
        <v>0</v>
      </c>
      <c r="AZ103" s="626">
        <f t="shared" si="100"/>
        <v>0</v>
      </c>
      <c r="BA103" s="626">
        <f t="shared" si="101"/>
        <v>0</v>
      </c>
      <c r="BB103" s="625">
        <f t="array" ref="BB103">IFERROR(INDEX('TB-Pharmaceuticals'!$AD$68:$AD$103,MATCH($E103&amp;$F103,'TB-Pharmaceuticals'!$D$68:$D$103&amp;'TB-Pharmaceuticals'!$G$68:$G$103,0)),0)</f>
        <v>0</v>
      </c>
      <c r="BC103" s="626">
        <f t="shared" si="102"/>
        <v>0</v>
      </c>
      <c r="BD103" s="626">
        <f t="shared" si="103"/>
        <v>0</v>
      </c>
      <c r="BE103" s="626">
        <f t="shared" si="104"/>
        <v>0</v>
      </c>
      <c r="BF103" s="625">
        <f t="array" ref="BF103">IFERROR(INDEX('TB-Pharmaceuticals'!$AE$68:$AE$103,MATCH($E103&amp;$F103,'TB-Pharmaceuticals'!$D$68:$D$103&amp;'TB-Pharmaceuticals'!$G$68:$G$103,0)),0)</f>
        <v>0</v>
      </c>
      <c r="BG103" s="626">
        <f t="shared" si="105"/>
        <v>0</v>
      </c>
      <c r="BH103" s="626">
        <f t="shared" si="106"/>
        <v>0</v>
      </c>
      <c r="BI103" s="626">
        <f t="shared" si="107"/>
        <v>0</v>
      </c>
      <c r="BJ103" s="630"/>
      <c r="BK103" s="626"/>
      <c r="BL103" s="626"/>
      <c r="BM103" s="626"/>
      <c r="BN103" s="626"/>
      <c r="BO103" s="626"/>
      <c r="BP103" s="626"/>
      <c r="BQ103" s="626"/>
      <c r="BR103" s="626"/>
    </row>
    <row r="104" spans="1:70" s="27" customFormat="1">
      <c r="A104" s="29" t="s">
        <v>1761</v>
      </c>
      <c r="B104" s="29" t="s">
        <v>1740</v>
      </c>
      <c r="C104" s="619">
        <f>SETUP!$F$36</f>
        <v>0</v>
      </c>
      <c r="D104" s="25">
        <v>4.2</v>
      </c>
      <c r="E104" s="29" t="s">
        <v>1281</v>
      </c>
      <c r="F104" s="29" t="s">
        <v>1284</v>
      </c>
      <c r="G104" s="625" t="str">
        <f t="array" ref="G104">IFERROR(INDEX('TB-Pharmaceuticals'!$K$68:$K$103,MATCH($E104&amp;$F104,'TB-Pharmaceuticals'!$D$68:$D$103&amp;'TB-Pharmaceuticals'!$G$68:$G$103,0)),"")</f>
        <v/>
      </c>
      <c r="H104" s="625" t="str">
        <f t="array" ref="H104">IFERROR(INDEX('TB-Pharmaceuticals'!$L$68:$L$103,MATCH($E104&amp;$F104,'TB-Pharmaceuticals'!$D$68:$D$103&amp;'TB-Pharmaceuticals'!$G$68:$G$103,0)),"")</f>
        <v/>
      </c>
      <c r="I104" s="625">
        <f t="array" ref="I104">IFERROR(INDEX('TB-Pharmaceuticals'!$M$68:$M$103,MATCH($E104&amp;$F104,'TB-Pharmaceuticals'!$D$68:$D$103&amp;'TB-Pharmaceuticals'!$G$68:$G$103,0)),0)</f>
        <v>0</v>
      </c>
      <c r="J104" s="625">
        <f t="array" ref="J104">IFERROR(INDEX('TB-Pharmaceuticals'!$N$68:$N$103,MATCH($E104&amp;$F104,'TB-Pharmaceuticals'!$D$68:$D$103&amp;'TB-Pharmaceuticals'!$G$68:$G$103,0)),0)</f>
        <v>0</v>
      </c>
      <c r="K104" s="626">
        <f t="shared" si="72"/>
        <v>0</v>
      </c>
      <c r="L104" s="626">
        <f t="shared" si="73"/>
        <v>0</v>
      </c>
      <c r="M104" s="626">
        <f t="shared" si="74"/>
        <v>0</v>
      </c>
      <c r="N104" s="625">
        <f t="array" ref="N104">IFERROR(INDEX('TB-Pharmaceuticals'!$O$68:$O$103,MATCH($E104&amp;$F104,'TB-Pharmaceuticals'!$D$68:$D$103&amp;'TB-Pharmaceuticals'!$G$68:$G$103,0)),0)</f>
        <v>0</v>
      </c>
      <c r="O104" s="626">
        <f t="shared" si="75"/>
        <v>0</v>
      </c>
      <c r="P104" s="626">
        <f t="shared" si="76"/>
        <v>0</v>
      </c>
      <c r="Q104" s="626">
        <f t="shared" si="77"/>
        <v>0</v>
      </c>
      <c r="R104" s="625">
        <f t="array" ref="R104">IFERROR(INDEX('TB-Pharmaceuticals'!$P$68:$P$103,MATCH($E104&amp;$F104,'TB-Pharmaceuticals'!$D$68:$D$103&amp;'TB-Pharmaceuticals'!$G$68:$G$103,0)),0)</f>
        <v>0</v>
      </c>
      <c r="S104" s="626">
        <f t="shared" si="78"/>
        <v>0</v>
      </c>
      <c r="T104" s="626">
        <f t="shared" si="79"/>
        <v>0</v>
      </c>
      <c r="U104" s="626">
        <f t="shared" si="80"/>
        <v>0</v>
      </c>
      <c r="V104" s="625">
        <f t="array" ref="V104">IFERROR(INDEX('TB-Pharmaceuticals'!$Q$68:$Q$103,MATCH($E104&amp;$F104,'TB-Pharmaceuticals'!$D$68:$D$103&amp;'TB-Pharmaceuticals'!$G$68:$G$103,0)),0)</f>
        <v>0</v>
      </c>
      <c r="W104" s="626">
        <f t="shared" si="81"/>
        <v>0</v>
      </c>
      <c r="X104" s="626">
        <f t="shared" si="82"/>
        <v>0</v>
      </c>
      <c r="Y104" s="626">
        <f t="shared" si="83"/>
        <v>0</v>
      </c>
      <c r="Z104" s="629"/>
      <c r="AA104" s="625">
        <f t="array" ref="AA104">IFERROR(INDEX('TB-Pharmaceuticals'!$T$68:$T$103,MATCH($E104&amp;$F104,'TB-Pharmaceuticals'!$D$68:$D$103&amp;'TB-Pharmaceuticals'!$G$68:$G$103,0)),0)</f>
        <v>0</v>
      </c>
      <c r="AB104" s="625">
        <f t="array" ref="AB104">IFERROR(INDEX('TB-Pharmaceuticals'!$U$68:$U$103,MATCH($E104&amp;$F104,'TB-Pharmaceuticals'!$D$68:$D$103&amp;'TB-Pharmaceuticals'!$G$68:$G$103,0)),0)</f>
        <v>0</v>
      </c>
      <c r="AC104" s="626">
        <f t="shared" si="84"/>
        <v>0</v>
      </c>
      <c r="AD104" s="626">
        <f t="shared" si="85"/>
        <v>0</v>
      </c>
      <c r="AE104" s="626">
        <f t="shared" si="86"/>
        <v>0</v>
      </c>
      <c r="AF104" s="625">
        <f t="array" ref="AF104">IFERROR(INDEX('TB-Pharmaceuticals'!$V$68:$V$103,MATCH($E104&amp;$F104,'TB-Pharmaceuticals'!$D$68:$D$103&amp;'TB-Pharmaceuticals'!$G$68:$G$103,0)),0)</f>
        <v>0</v>
      </c>
      <c r="AG104" s="626">
        <f t="shared" si="87"/>
        <v>0</v>
      </c>
      <c r="AH104" s="626">
        <f t="shared" si="88"/>
        <v>0</v>
      </c>
      <c r="AI104" s="626">
        <f t="shared" si="89"/>
        <v>0</v>
      </c>
      <c r="AJ104" s="625">
        <f t="array" ref="AJ104">IFERROR(INDEX('TB-Pharmaceuticals'!$W$68:$W$103,MATCH($E104&amp;$F104,'TB-Pharmaceuticals'!$D$68:$D$103&amp;'TB-Pharmaceuticals'!$G$68:$G$103,0)),0)</f>
        <v>0</v>
      </c>
      <c r="AK104" s="626">
        <f t="shared" si="90"/>
        <v>0</v>
      </c>
      <c r="AL104" s="626">
        <f t="shared" si="91"/>
        <v>0</v>
      </c>
      <c r="AM104" s="626">
        <f t="shared" si="92"/>
        <v>0</v>
      </c>
      <c r="AN104" s="625">
        <f t="array" ref="AN104">IFERROR(INDEX('TB-Pharmaceuticals'!$X$68:$X$103,MATCH($E104&amp;$F104,'TB-Pharmaceuticals'!$D$68:$D$103&amp;'TB-Pharmaceuticals'!$G$68:$G$103,0)),0)</f>
        <v>0</v>
      </c>
      <c r="AO104" s="626">
        <f t="shared" si="93"/>
        <v>0</v>
      </c>
      <c r="AP104" s="626">
        <f t="shared" si="94"/>
        <v>0</v>
      </c>
      <c r="AQ104" s="626">
        <f t="shared" si="95"/>
        <v>0</v>
      </c>
      <c r="AR104" s="629"/>
      <c r="AS104" s="625">
        <f t="array" ref="AS104">IFERROR(INDEX('TB-Pharmaceuticals'!$AA$68:$AA$103,MATCH($E104&amp;$F104,'TB-Pharmaceuticals'!$D$68:$D$103&amp;'TB-Pharmaceuticals'!$G$68:$G$103,0)),0)</f>
        <v>0</v>
      </c>
      <c r="AT104" s="625">
        <f t="array" ref="AT104">IFERROR(INDEX('TB-Pharmaceuticals'!$AB$68:$AB$103,MATCH($E104&amp;$F104,'TB-Pharmaceuticals'!$D$68:$D$103&amp;'TB-Pharmaceuticals'!$G$68:$G$103,0)),0)</f>
        <v>0</v>
      </c>
      <c r="AU104" s="626">
        <f t="shared" si="96"/>
        <v>0</v>
      </c>
      <c r="AV104" s="626">
        <f t="shared" si="97"/>
        <v>0</v>
      </c>
      <c r="AW104" s="626">
        <f t="shared" si="98"/>
        <v>0</v>
      </c>
      <c r="AX104" s="625">
        <f t="array" ref="AX104">IFERROR(INDEX('TB-Pharmaceuticals'!$AC$68:$AC$103,MATCH($E104&amp;$F104,'TB-Pharmaceuticals'!$D$68:$D$103&amp;'TB-Pharmaceuticals'!$G$68:$G$103,0)),0)</f>
        <v>0</v>
      </c>
      <c r="AY104" s="626">
        <f t="shared" si="99"/>
        <v>0</v>
      </c>
      <c r="AZ104" s="626">
        <f t="shared" si="100"/>
        <v>0</v>
      </c>
      <c r="BA104" s="626">
        <f t="shared" si="101"/>
        <v>0</v>
      </c>
      <c r="BB104" s="625">
        <f t="array" ref="BB104">IFERROR(INDEX('TB-Pharmaceuticals'!$AD$68:$AD$103,MATCH($E104&amp;$F104,'TB-Pharmaceuticals'!$D$68:$D$103&amp;'TB-Pharmaceuticals'!$G$68:$G$103,0)),0)</f>
        <v>0</v>
      </c>
      <c r="BC104" s="626">
        <f t="shared" si="102"/>
        <v>0</v>
      </c>
      <c r="BD104" s="626">
        <f t="shared" si="103"/>
        <v>0</v>
      </c>
      <c r="BE104" s="626">
        <f t="shared" si="104"/>
        <v>0</v>
      </c>
      <c r="BF104" s="625">
        <f t="array" ref="BF104">IFERROR(INDEX('TB-Pharmaceuticals'!$AE$68:$AE$103,MATCH($E104&amp;$F104,'TB-Pharmaceuticals'!$D$68:$D$103&amp;'TB-Pharmaceuticals'!$G$68:$G$103,0)),0)</f>
        <v>0</v>
      </c>
      <c r="BG104" s="626">
        <f t="shared" si="105"/>
        <v>0</v>
      </c>
      <c r="BH104" s="626">
        <f t="shared" si="106"/>
        <v>0</v>
      </c>
      <c r="BI104" s="626">
        <f t="shared" si="107"/>
        <v>0</v>
      </c>
      <c r="BJ104" s="630"/>
      <c r="BK104" s="626"/>
      <c r="BL104" s="626"/>
      <c r="BM104" s="626"/>
      <c r="BN104" s="626"/>
      <c r="BO104" s="626"/>
      <c r="BP104" s="626"/>
      <c r="BQ104" s="626"/>
      <c r="BR104" s="626"/>
    </row>
    <row r="105" spans="1:70" s="27" customFormat="1">
      <c r="A105" s="29" t="s">
        <v>1761</v>
      </c>
      <c r="B105" s="29" t="s">
        <v>1740</v>
      </c>
      <c r="C105" s="619">
        <f>SETUP!$F$36</f>
        <v>0</v>
      </c>
      <c r="D105" s="25">
        <v>4.2</v>
      </c>
      <c r="E105" s="29" t="s">
        <v>437</v>
      </c>
      <c r="F105" s="29" t="s">
        <v>1271</v>
      </c>
      <c r="G105" s="625" t="str">
        <f t="array" ref="G105">IFERROR(INDEX('TB-Pharmaceuticals'!$K$68:$K$103,MATCH($E105&amp;$F105,'TB-Pharmaceuticals'!$D$68:$D$103&amp;'TB-Pharmaceuticals'!$G$68:$G$103,0)),"")</f>
        <v/>
      </c>
      <c r="H105" s="625" t="str">
        <f t="array" ref="H105">IFERROR(INDEX('TB-Pharmaceuticals'!$L$68:$L$103,MATCH($E105&amp;$F105,'TB-Pharmaceuticals'!$D$68:$D$103&amp;'TB-Pharmaceuticals'!$G$68:$G$103,0)),"")</f>
        <v/>
      </c>
      <c r="I105" s="625">
        <f t="array" ref="I105">IFERROR(INDEX('TB-Pharmaceuticals'!$M$68:$M$103,MATCH($E105&amp;$F105,'TB-Pharmaceuticals'!$D$68:$D$103&amp;'TB-Pharmaceuticals'!$G$68:$G$103,0)),0)</f>
        <v>0</v>
      </c>
      <c r="J105" s="625">
        <f t="array" ref="J105">IFERROR(INDEX('TB-Pharmaceuticals'!$N$68:$N$103,MATCH($E105&amp;$F105,'TB-Pharmaceuticals'!$D$68:$D$103&amp;'TB-Pharmaceuticals'!$G$68:$G$103,0)),0)</f>
        <v>0</v>
      </c>
      <c r="K105" s="626">
        <f t="shared" si="72"/>
        <v>0</v>
      </c>
      <c r="L105" s="626">
        <f t="shared" si="73"/>
        <v>0</v>
      </c>
      <c r="M105" s="626">
        <f t="shared" si="74"/>
        <v>0</v>
      </c>
      <c r="N105" s="625">
        <f t="array" ref="N105">IFERROR(INDEX('TB-Pharmaceuticals'!$O$68:$O$103,MATCH($E105&amp;$F105,'TB-Pharmaceuticals'!$D$68:$D$103&amp;'TB-Pharmaceuticals'!$G$68:$G$103,0)),0)</f>
        <v>0</v>
      </c>
      <c r="O105" s="626">
        <f t="shared" si="75"/>
        <v>0</v>
      </c>
      <c r="P105" s="626">
        <f t="shared" si="76"/>
        <v>0</v>
      </c>
      <c r="Q105" s="626">
        <f t="shared" si="77"/>
        <v>0</v>
      </c>
      <c r="R105" s="625">
        <f t="array" ref="R105">IFERROR(INDEX('TB-Pharmaceuticals'!$P$68:$P$103,MATCH($E105&amp;$F105,'TB-Pharmaceuticals'!$D$68:$D$103&amp;'TB-Pharmaceuticals'!$G$68:$G$103,0)),0)</f>
        <v>0</v>
      </c>
      <c r="S105" s="626">
        <f t="shared" si="78"/>
        <v>0</v>
      </c>
      <c r="T105" s="626">
        <f t="shared" si="79"/>
        <v>0</v>
      </c>
      <c r="U105" s="626">
        <f t="shared" si="80"/>
        <v>0</v>
      </c>
      <c r="V105" s="625">
        <f t="array" ref="V105">IFERROR(INDEX('TB-Pharmaceuticals'!$Q$68:$Q$103,MATCH($E105&amp;$F105,'TB-Pharmaceuticals'!$D$68:$D$103&amp;'TB-Pharmaceuticals'!$G$68:$G$103,0)),0)</f>
        <v>0</v>
      </c>
      <c r="W105" s="626">
        <f t="shared" si="81"/>
        <v>0</v>
      </c>
      <c r="X105" s="626">
        <f t="shared" si="82"/>
        <v>0</v>
      </c>
      <c r="Y105" s="626">
        <f t="shared" si="83"/>
        <v>0</v>
      </c>
      <c r="Z105" s="629"/>
      <c r="AA105" s="625">
        <f t="array" ref="AA105">IFERROR(INDEX('TB-Pharmaceuticals'!$T$68:$T$103,MATCH($E105&amp;$F105,'TB-Pharmaceuticals'!$D$68:$D$103&amp;'TB-Pharmaceuticals'!$G$68:$G$103,0)),0)</f>
        <v>0</v>
      </c>
      <c r="AB105" s="625">
        <f t="array" ref="AB105">IFERROR(INDEX('TB-Pharmaceuticals'!$U$68:$U$103,MATCH($E105&amp;$F105,'TB-Pharmaceuticals'!$D$68:$D$103&amp;'TB-Pharmaceuticals'!$G$68:$G$103,0)),0)</f>
        <v>0</v>
      </c>
      <c r="AC105" s="626">
        <f t="shared" si="84"/>
        <v>0</v>
      </c>
      <c r="AD105" s="626">
        <f t="shared" si="85"/>
        <v>0</v>
      </c>
      <c r="AE105" s="626">
        <f t="shared" si="86"/>
        <v>0</v>
      </c>
      <c r="AF105" s="625">
        <f t="array" ref="AF105">IFERROR(INDEX('TB-Pharmaceuticals'!$V$68:$V$103,MATCH($E105&amp;$F105,'TB-Pharmaceuticals'!$D$68:$D$103&amp;'TB-Pharmaceuticals'!$G$68:$G$103,0)),0)</f>
        <v>0</v>
      </c>
      <c r="AG105" s="626">
        <f t="shared" si="87"/>
        <v>0</v>
      </c>
      <c r="AH105" s="626">
        <f t="shared" si="88"/>
        <v>0</v>
      </c>
      <c r="AI105" s="626">
        <f t="shared" si="89"/>
        <v>0</v>
      </c>
      <c r="AJ105" s="625">
        <f t="array" ref="AJ105">IFERROR(INDEX('TB-Pharmaceuticals'!$W$68:$W$103,MATCH($E105&amp;$F105,'TB-Pharmaceuticals'!$D$68:$D$103&amp;'TB-Pharmaceuticals'!$G$68:$G$103,0)),0)</f>
        <v>0</v>
      </c>
      <c r="AK105" s="626">
        <f t="shared" si="90"/>
        <v>0</v>
      </c>
      <c r="AL105" s="626">
        <f t="shared" si="91"/>
        <v>0</v>
      </c>
      <c r="AM105" s="626">
        <f t="shared" si="92"/>
        <v>0</v>
      </c>
      <c r="AN105" s="625">
        <f t="array" ref="AN105">IFERROR(INDEX('TB-Pharmaceuticals'!$X$68:$X$103,MATCH($E105&amp;$F105,'TB-Pharmaceuticals'!$D$68:$D$103&amp;'TB-Pharmaceuticals'!$G$68:$G$103,0)),0)</f>
        <v>0</v>
      </c>
      <c r="AO105" s="626">
        <f t="shared" si="93"/>
        <v>0</v>
      </c>
      <c r="AP105" s="626">
        <f t="shared" si="94"/>
        <v>0</v>
      </c>
      <c r="AQ105" s="626">
        <f t="shared" si="95"/>
        <v>0</v>
      </c>
      <c r="AR105" s="629"/>
      <c r="AS105" s="625">
        <f t="array" ref="AS105">IFERROR(INDEX('TB-Pharmaceuticals'!$AA$68:$AA$103,MATCH($E105&amp;$F105,'TB-Pharmaceuticals'!$D$68:$D$103&amp;'TB-Pharmaceuticals'!$G$68:$G$103,0)),0)</f>
        <v>0</v>
      </c>
      <c r="AT105" s="625">
        <f t="array" ref="AT105">IFERROR(INDEX('TB-Pharmaceuticals'!$AB$68:$AB$103,MATCH($E105&amp;$F105,'TB-Pharmaceuticals'!$D$68:$D$103&amp;'TB-Pharmaceuticals'!$G$68:$G$103,0)),0)</f>
        <v>0</v>
      </c>
      <c r="AU105" s="626">
        <f t="shared" si="96"/>
        <v>0</v>
      </c>
      <c r="AV105" s="626">
        <f t="shared" si="97"/>
        <v>0</v>
      </c>
      <c r="AW105" s="626">
        <f t="shared" si="98"/>
        <v>0</v>
      </c>
      <c r="AX105" s="625">
        <f t="array" ref="AX105">IFERROR(INDEX('TB-Pharmaceuticals'!$AC$68:$AC$103,MATCH($E105&amp;$F105,'TB-Pharmaceuticals'!$D$68:$D$103&amp;'TB-Pharmaceuticals'!$G$68:$G$103,0)),0)</f>
        <v>0</v>
      </c>
      <c r="AY105" s="626">
        <f t="shared" si="99"/>
        <v>0</v>
      </c>
      <c r="AZ105" s="626">
        <f t="shared" si="100"/>
        <v>0</v>
      </c>
      <c r="BA105" s="626">
        <f t="shared" si="101"/>
        <v>0</v>
      </c>
      <c r="BB105" s="625">
        <f t="array" ref="BB105">IFERROR(INDEX('TB-Pharmaceuticals'!$AD$68:$AD$103,MATCH($E105&amp;$F105,'TB-Pharmaceuticals'!$D$68:$D$103&amp;'TB-Pharmaceuticals'!$G$68:$G$103,0)),0)</f>
        <v>0</v>
      </c>
      <c r="BC105" s="626">
        <f t="shared" si="102"/>
        <v>0</v>
      </c>
      <c r="BD105" s="626">
        <f t="shared" si="103"/>
        <v>0</v>
      </c>
      <c r="BE105" s="626">
        <f t="shared" si="104"/>
        <v>0</v>
      </c>
      <c r="BF105" s="625">
        <f t="array" ref="BF105">IFERROR(INDEX('TB-Pharmaceuticals'!$AE$68:$AE$103,MATCH($E105&amp;$F105,'TB-Pharmaceuticals'!$D$68:$D$103&amp;'TB-Pharmaceuticals'!$G$68:$G$103,0)),0)</f>
        <v>0</v>
      </c>
      <c r="BG105" s="626">
        <f t="shared" si="105"/>
        <v>0</v>
      </c>
      <c r="BH105" s="626">
        <f t="shared" si="106"/>
        <v>0</v>
      </c>
      <c r="BI105" s="626">
        <f t="shared" si="107"/>
        <v>0</v>
      </c>
      <c r="BJ105" s="630"/>
      <c r="BK105" s="626"/>
      <c r="BL105" s="626"/>
      <c r="BM105" s="626"/>
      <c r="BN105" s="626"/>
      <c r="BO105" s="626"/>
      <c r="BP105" s="626"/>
      <c r="BQ105" s="626"/>
      <c r="BR105" s="626"/>
    </row>
    <row r="107" spans="1:70">
      <c r="A107" s="2567" t="s">
        <v>1743</v>
      </c>
      <c r="B107" s="2567"/>
      <c r="C107" s="2567"/>
      <c r="D107" s="2567"/>
      <c r="E107" s="2567"/>
      <c r="F107" s="2567"/>
      <c r="G107" s="628"/>
      <c r="H107" s="628"/>
      <c r="I107" s="628"/>
      <c r="J107" s="628"/>
      <c r="K107" s="628"/>
      <c r="L107" s="628"/>
      <c r="M107" s="628"/>
      <c r="N107" s="628"/>
      <c r="O107" s="628"/>
      <c r="P107" s="628"/>
      <c r="Q107" s="628"/>
      <c r="R107" s="628"/>
      <c r="S107" s="628"/>
      <c r="T107" s="628"/>
      <c r="U107" s="628"/>
      <c r="V107" s="628"/>
      <c r="W107" s="628"/>
      <c r="X107" s="628"/>
      <c r="Y107" s="628"/>
      <c r="Z107" s="628"/>
      <c r="AA107" s="628"/>
      <c r="AB107" s="628"/>
      <c r="AC107" s="628"/>
      <c r="AD107" s="628"/>
      <c r="AE107" s="628"/>
      <c r="AF107" s="628"/>
      <c r="AG107" s="628"/>
      <c r="AH107" s="628"/>
      <c r="AI107" s="628"/>
      <c r="AJ107" s="628"/>
      <c r="AK107" s="628"/>
      <c r="AL107" s="628"/>
      <c r="AM107" s="628"/>
      <c r="AN107" s="628"/>
      <c r="AO107" s="628"/>
      <c r="AP107" s="628"/>
      <c r="AQ107" s="628"/>
      <c r="AR107" s="628"/>
      <c r="AS107" s="628"/>
      <c r="AT107" s="628"/>
      <c r="AU107" s="628"/>
      <c r="AV107" s="628"/>
      <c r="AW107" s="628"/>
      <c r="AX107" s="628"/>
      <c r="AY107" s="628"/>
      <c r="AZ107" s="628"/>
      <c r="BA107" s="628"/>
      <c r="BB107" s="628"/>
      <c r="BC107" s="628"/>
      <c r="BD107" s="628"/>
      <c r="BE107" s="628"/>
      <c r="BF107" s="628"/>
      <c r="BG107" s="628"/>
      <c r="BH107" s="628"/>
      <c r="BI107" s="628"/>
      <c r="BJ107" s="628"/>
      <c r="BK107" s="628"/>
      <c r="BL107" s="628"/>
      <c r="BM107" s="628"/>
      <c r="BN107" s="628"/>
      <c r="BO107" s="628"/>
      <c r="BP107" s="628"/>
      <c r="BQ107" s="628"/>
      <c r="BR107" s="628"/>
    </row>
    <row r="108" spans="1:70">
      <c r="A108" s="24" t="s">
        <v>1545</v>
      </c>
      <c r="B108" s="24" t="s">
        <v>203</v>
      </c>
      <c r="C108" s="722" t="s">
        <v>459</v>
      </c>
      <c r="D108" s="24" t="s">
        <v>460</v>
      </c>
      <c r="E108" s="24" t="s">
        <v>461</v>
      </c>
      <c r="F108" s="24" t="s">
        <v>214</v>
      </c>
      <c r="G108" s="632" t="s">
        <v>462</v>
      </c>
      <c r="H108" s="632" t="s">
        <v>49</v>
      </c>
      <c r="I108" s="632" t="s">
        <v>463</v>
      </c>
      <c r="J108" s="632" t="s">
        <v>464</v>
      </c>
      <c r="K108" s="632" t="s">
        <v>465</v>
      </c>
      <c r="L108" s="725" t="s">
        <v>466</v>
      </c>
      <c r="M108" s="725" t="s">
        <v>467</v>
      </c>
      <c r="N108" s="632" t="s">
        <v>468</v>
      </c>
      <c r="O108" s="632" t="s">
        <v>469</v>
      </c>
      <c r="P108" s="725" t="s">
        <v>470</v>
      </c>
      <c r="Q108" s="725" t="s">
        <v>471</v>
      </c>
      <c r="R108" s="632" t="s">
        <v>472</v>
      </c>
      <c r="S108" s="632" t="s">
        <v>473</v>
      </c>
      <c r="T108" s="725" t="s">
        <v>474</v>
      </c>
      <c r="U108" s="725" t="s">
        <v>475</v>
      </c>
      <c r="V108" s="632" t="s">
        <v>476</v>
      </c>
      <c r="W108" s="632" t="s">
        <v>477</v>
      </c>
      <c r="X108" s="725" t="s">
        <v>478</v>
      </c>
      <c r="Y108" s="725" t="s">
        <v>479</v>
      </c>
      <c r="Z108" s="624"/>
      <c r="AA108" s="632" t="s">
        <v>480</v>
      </c>
      <c r="AB108" s="632" t="s">
        <v>481</v>
      </c>
      <c r="AC108" s="632" t="s">
        <v>482</v>
      </c>
      <c r="AD108" s="725" t="s">
        <v>483</v>
      </c>
      <c r="AE108" s="725" t="s">
        <v>484</v>
      </c>
      <c r="AF108" s="632" t="s">
        <v>485</v>
      </c>
      <c r="AG108" s="632" t="s">
        <v>486</v>
      </c>
      <c r="AH108" s="725" t="s">
        <v>487</v>
      </c>
      <c r="AI108" s="725" t="s">
        <v>488</v>
      </c>
      <c r="AJ108" s="632" t="s">
        <v>489</v>
      </c>
      <c r="AK108" s="632" t="s">
        <v>490</v>
      </c>
      <c r="AL108" s="725" t="s">
        <v>491</v>
      </c>
      <c r="AM108" s="725" t="s">
        <v>492</v>
      </c>
      <c r="AN108" s="632" t="s">
        <v>493</v>
      </c>
      <c r="AO108" s="632" t="s">
        <v>494</v>
      </c>
      <c r="AP108" s="725" t="s">
        <v>495</v>
      </c>
      <c r="AQ108" s="725" t="s">
        <v>496</v>
      </c>
      <c r="AR108" s="624"/>
      <c r="AS108" s="632" t="s">
        <v>497</v>
      </c>
      <c r="AT108" s="632" t="s">
        <v>498</v>
      </c>
      <c r="AU108" s="632" t="s">
        <v>499</v>
      </c>
      <c r="AV108" s="725" t="s">
        <v>500</v>
      </c>
      <c r="AW108" s="725" t="s">
        <v>501</v>
      </c>
      <c r="AX108" s="632" t="s">
        <v>502</v>
      </c>
      <c r="AY108" s="632" t="s">
        <v>503</v>
      </c>
      <c r="AZ108" s="725" t="s">
        <v>504</v>
      </c>
      <c r="BA108" s="725" t="s">
        <v>505</v>
      </c>
      <c r="BB108" s="632" t="s">
        <v>506</v>
      </c>
      <c r="BC108" s="632" t="s">
        <v>507</v>
      </c>
      <c r="BD108" s="725" t="s">
        <v>508</v>
      </c>
      <c r="BE108" s="725" t="s">
        <v>509</v>
      </c>
      <c r="BF108" s="632" t="s">
        <v>510</v>
      </c>
      <c r="BG108" s="632" t="s">
        <v>511</v>
      </c>
      <c r="BH108" s="725" t="s">
        <v>512</v>
      </c>
      <c r="BI108" s="725" t="s">
        <v>513</v>
      </c>
      <c r="BJ108" s="624"/>
      <c r="BK108" s="725" t="s">
        <v>514</v>
      </c>
      <c r="BL108" s="725" t="s">
        <v>515</v>
      </c>
      <c r="BM108" s="725" t="s">
        <v>516</v>
      </c>
      <c r="BN108" s="725" t="s">
        <v>517</v>
      </c>
      <c r="BO108" s="725" t="s">
        <v>518</v>
      </c>
      <c r="BP108" s="725" t="s">
        <v>519</v>
      </c>
      <c r="BQ108" s="725" t="s">
        <v>520</v>
      </c>
      <c r="BR108" s="725" t="s">
        <v>521</v>
      </c>
    </row>
    <row r="109" spans="1:70">
      <c r="A109" s="29" t="s">
        <v>1317</v>
      </c>
      <c r="B109" s="29" t="s">
        <v>1744</v>
      </c>
      <c r="C109" s="619">
        <f>SETUP!$F$39</f>
        <v>0</v>
      </c>
      <c r="D109" s="25">
        <v>4.5</v>
      </c>
      <c r="E109" s="26" t="s">
        <v>1321</v>
      </c>
      <c r="F109" s="26" t="s">
        <v>1322</v>
      </c>
      <c r="G109" s="625" t="str">
        <f t="array" ref="G109">IFERROR(INDEX(#REF!,MATCH($E109&amp;$F109,#REF!&amp;#REF!,0)),"")</f>
        <v/>
      </c>
      <c r="H109" s="625"/>
      <c r="I109" s="625">
        <f t="array" ref="I109">IFERROR(INDEX(#REF!,MATCH($E109&amp;$F109,#REF!&amp;#REF!,0)),0)</f>
        <v>0</v>
      </c>
      <c r="J109" s="625">
        <f t="array" ref="J109">IFERROR(INDEX(#REF!,MATCH($E109&amp;$F109,#REF!&amp;#REF!,0)),0)</f>
        <v>0</v>
      </c>
      <c r="K109" s="626">
        <f>IF(ISERROR($I109*J109),0,$I109*J109)</f>
        <v>0</v>
      </c>
      <c r="L109" s="626">
        <f>IF(C109="Upfront",J109,0)</f>
        <v>0</v>
      </c>
      <c r="M109" s="626">
        <f>IF(C109="Upfront",K109,0)</f>
        <v>0</v>
      </c>
      <c r="N109" s="625">
        <f t="array" ref="N109">IFERROR(INDEX(#REF!,MATCH($E109&amp;$F109,#REF!&amp;#REF!,0)),0)</f>
        <v>0</v>
      </c>
      <c r="O109" s="626">
        <f>IF(ISERROR($I109*N109),0,$I109*N109)</f>
        <v>0</v>
      </c>
      <c r="P109" s="626">
        <f>IF(C109="Upfront",N109,0)</f>
        <v>0</v>
      </c>
      <c r="Q109" s="626">
        <f>IF(C109="Upfront",O109,0)</f>
        <v>0</v>
      </c>
      <c r="R109" s="625">
        <f t="array" ref="R109">IFERROR(INDEX(#REF!,MATCH($E109&amp;$F109,#REF!&amp;#REF!,0)),0)</f>
        <v>0</v>
      </c>
      <c r="S109" s="626">
        <f>IF(ISERROR($I109*R109),0,$I109*R109)</f>
        <v>0</v>
      </c>
      <c r="T109" s="626">
        <f>IF(C109="Upfront",R109,IF(C109="At delivery",J109,0))</f>
        <v>0</v>
      </c>
      <c r="U109" s="626">
        <f>IF(C109="Upfront",S109,IF(C109="At delivery",K109,0))</f>
        <v>0</v>
      </c>
      <c r="V109" s="625">
        <f t="array" ref="V109">IFERROR(INDEX(#REF!,MATCH($E109&amp;$F109,#REF!&amp;#REF!,0)),0)</f>
        <v>0</v>
      </c>
      <c r="W109" s="626">
        <f>IF(ISERROR($I109*V109),0,$I109*V109)</f>
        <v>0</v>
      </c>
      <c r="X109" s="626">
        <f>IF(C109="Upfront",V109,IF(C109="At delivery",N109,0))</f>
        <v>0</v>
      </c>
      <c r="Y109" s="626">
        <f>IF(C109="Upfront",W109,IF(C109="At delivery",O109,0))</f>
        <v>0</v>
      </c>
      <c r="Z109" s="630"/>
      <c r="AA109" s="625">
        <f t="array" ref="AA109">IFERROR(INDEX(#REF!,MATCH($E109&amp;$F109,#REF!&amp;#REF!,0)),0)</f>
        <v>0</v>
      </c>
      <c r="AB109" s="625">
        <f t="array" ref="AB109">IFERROR(INDEX(#REF!,MATCH($E109&amp;$F109,#REF!&amp;#REF!,0)),0)</f>
        <v>0</v>
      </c>
      <c r="AC109" s="626">
        <f>IF(ISERROR($AA109*AB109),0,$AA109*AB109)</f>
        <v>0</v>
      </c>
      <c r="AD109" s="626">
        <f>IF(C109="Upfront",AB109,IF(C109="At delivery",R109,0))</f>
        <v>0</v>
      </c>
      <c r="AE109" s="626">
        <f>IF(C109="Upfront",AC109,IF(C109="At delivery",S109,0))</f>
        <v>0</v>
      </c>
      <c r="AF109" s="625">
        <f t="array" ref="AF109">IFERROR(INDEX(#REF!,MATCH($E109&amp;$F109,#REF!&amp;#REF!,0)),0)</f>
        <v>0</v>
      </c>
      <c r="AG109" s="626">
        <f>IF(ISERROR($AA109*AF109),0,$AA109*AF109)</f>
        <v>0</v>
      </c>
      <c r="AH109" s="626">
        <f>IF(C109="Upfront",AF109,IF(C109="At delivery",V109,0))</f>
        <v>0</v>
      </c>
      <c r="AI109" s="626">
        <f>IF(C109="Upfront",AG109,IF(C109="At delivery",W109,0))</f>
        <v>0</v>
      </c>
      <c r="AJ109" s="625">
        <f t="array" ref="AJ109">IFERROR(INDEX(#REF!,MATCH($E109&amp;$F109,#REF!&amp;#REF!,0)),0)</f>
        <v>0</v>
      </c>
      <c r="AK109" s="626">
        <f>IF(ISERROR($AA109*AJ109),0,$AA109*AJ109)</f>
        <v>0</v>
      </c>
      <c r="AL109" s="626">
        <f>IF(C109="Upfront",AJ109,IF(C109="At delivery",AB109,0))</f>
        <v>0</v>
      </c>
      <c r="AM109" s="626">
        <f>IF(C109="Upfront",AK109,IF(C109="At delivery",AC109,0))</f>
        <v>0</v>
      </c>
      <c r="AN109" s="625">
        <f t="array" ref="AN109">IFERROR(INDEX(#REF!,MATCH($E109&amp;$F109,#REF!&amp;#REF!,0)),0)</f>
        <v>0</v>
      </c>
      <c r="AO109" s="626">
        <f>IF(ISERROR($AA109*AN109),0,$AA109*AN109)</f>
        <v>0</v>
      </c>
      <c r="AP109" s="626">
        <f>IF(C109="Upfront",AN109,IF(C109="At delivery",AF109,0))</f>
        <v>0</v>
      </c>
      <c r="AQ109" s="626">
        <f>IF(C109="Upfront",AO109,IF(C109="At delivery",AG109,0))</f>
        <v>0</v>
      </c>
      <c r="AR109" s="630"/>
      <c r="AS109" s="625">
        <f t="array" ref="AS109">IFERROR(INDEX(#REF!,MATCH($E109&amp;$F109,#REF!&amp;#REF!,0)),0)</f>
        <v>0</v>
      </c>
      <c r="AT109" s="625">
        <f t="array" ref="AT109">IFERROR(INDEX(#REF!,MATCH($E109&amp;$F109,#REF!&amp;#REF!,0)),0)</f>
        <v>0</v>
      </c>
      <c r="AU109" s="626">
        <f>IF(ISERROR($AS109*AT109),0,$AS109*AT109)</f>
        <v>0</v>
      </c>
      <c r="AV109" s="626">
        <f>IF(C109="Upfront",AT109,IF(C109="At delivery",AJ109,0))</f>
        <v>0</v>
      </c>
      <c r="AW109" s="626">
        <f>IF(C109="Upfront",AU109,IF(C109="At delivery",AK109,0))</f>
        <v>0</v>
      </c>
      <c r="AX109" s="625">
        <f t="array" ref="AX109">IFERROR(INDEX(#REF!,MATCH($E109&amp;$F109,#REF!&amp;#REF!,0)),0)</f>
        <v>0</v>
      </c>
      <c r="AY109" s="626">
        <f>IF(ISERROR($AS109*AX109),0,$AS109*AX109)</f>
        <v>0</v>
      </c>
      <c r="AZ109" s="626">
        <f>IF(C109="Upfront",AX109,IF(C109="At delivery",AN109,0))</f>
        <v>0</v>
      </c>
      <c r="BA109" s="626">
        <f>IF(C109="Upfront",AY109,IF(C109="At delivery",AO109,0))</f>
        <v>0</v>
      </c>
      <c r="BB109" s="625">
        <f t="array" ref="BB109">IFERROR(INDEX(#REF!,MATCH($E109&amp;$F109,#REF!&amp;#REF!,0)),0)</f>
        <v>0</v>
      </c>
      <c r="BC109" s="626">
        <f>IF(ISERROR($AS109*BB109),0,$AS109*BB109)</f>
        <v>0</v>
      </c>
      <c r="BD109" s="626">
        <f>IF(C109="Upfront",BB109,IF(C109="At delivery",AT109,0))</f>
        <v>0</v>
      </c>
      <c r="BE109" s="626">
        <f>IF(C109="Upfront",BC109,IF(C109="At delivery",AU109,0))</f>
        <v>0</v>
      </c>
      <c r="BF109" s="625">
        <f t="array" ref="BF109">IFERROR(INDEX(#REF!,MATCH($E109&amp;$F109,#REF!&amp;#REF!,0)),0)</f>
        <v>0</v>
      </c>
      <c r="BG109" s="626">
        <f>IF(ISERROR($AS109*BF109),0,$AS109*BF109)</f>
        <v>0</v>
      </c>
      <c r="BH109" s="626">
        <f>IF(C109="Upfront",BF109,IF(C109="At delivery",AX109,0))</f>
        <v>0</v>
      </c>
      <c r="BI109" s="626">
        <f>IF(C109="Upfront",BG109,IF(C109="At delivery",AY109,0))</f>
        <v>0</v>
      </c>
      <c r="BJ109" s="630"/>
      <c r="BK109" s="625"/>
      <c r="BL109" s="625"/>
      <c r="BM109" s="625"/>
      <c r="BN109" s="625"/>
      <c r="BO109" s="625"/>
      <c r="BP109" s="625"/>
      <c r="BQ109" s="625"/>
      <c r="BR109" s="625"/>
    </row>
    <row r="110" spans="1:70">
      <c r="A110" s="29" t="s">
        <v>1317</v>
      </c>
      <c r="B110" s="29" t="s">
        <v>1744</v>
      </c>
      <c r="C110" s="619">
        <f>SETUP!$F$39</f>
        <v>0</v>
      </c>
      <c r="D110" s="25">
        <v>4.5</v>
      </c>
      <c r="E110" s="26" t="s">
        <v>1329</v>
      </c>
      <c r="F110" s="26" t="s">
        <v>1330</v>
      </c>
      <c r="G110" s="625" t="str">
        <f t="array" ref="G110">IFERROR(INDEX(#REF!,MATCH($E110&amp;$F110,#REF!&amp;#REF!,0)),"")</f>
        <v/>
      </c>
      <c r="H110" s="625"/>
      <c r="I110" s="625">
        <f t="array" ref="I110">IFERROR(INDEX(#REF!,MATCH($E110&amp;$F110,#REF!&amp;#REF!,0)),0)</f>
        <v>0</v>
      </c>
      <c r="J110" s="625">
        <f t="array" ref="J110">IFERROR(INDEX(#REF!,MATCH($E110&amp;$F110,#REF!&amp;#REF!,0)),0)</f>
        <v>0</v>
      </c>
      <c r="K110" s="626">
        <f t="shared" ref="K110:K173" si="108">IF(ISERROR($I110*J110),0,$I110*J110)</f>
        <v>0</v>
      </c>
      <c r="L110" s="626">
        <f t="shared" ref="L110:L173" si="109">IF(C110="Upfront",J110,0)</f>
        <v>0</v>
      </c>
      <c r="M110" s="626">
        <f t="shared" ref="M110:M173" si="110">IF(C110="Upfront",K110,0)</f>
        <v>0</v>
      </c>
      <c r="N110" s="625">
        <f t="array" ref="N110">IFERROR(INDEX(#REF!,MATCH($E110&amp;$F110,#REF!&amp;#REF!,0)),0)</f>
        <v>0</v>
      </c>
      <c r="O110" s="626">
        <f t="shared" ref="O110:O173" si="111">IF(ISERROR($I110*N110),0,$I110*N110)</f>
        <v>0</v>
      </c>
      <c r="P110" s="626">
        <f t="shared" ref="P110:P173" si="112">IF(C110="Upfront",N110,0)</f>
        <v>0</v>
      </c>
      <c r="Q110" s="626">
        <f t="shared" ref="Q110:Q173" si="113">IF(C110="Upfront",O110,0)</f>
        <v>0</v>
      </c>
      <c r="R110" s="625">
        <f t="array" ref="R110">IFERROR(INDEX(#REF!,MATCH($E110&amp;$F110,#REF!&amp;#REF!,0)),0)</f>
        <v>0</v>
      </c>
      <c r="S110" s="626">
        <f t="shared" ref="S110:S173" si="114">IF(ISERROR($I110*R110),0,$I110*R110)</f>
        <v>0</v>
      </c>
      <c r="T110" s="626">
        <f t="shared" ref="T110:T173" si="115">IF(C110="Upfront",R110,IF(C110="At delivery",J110,0))</f>
        <v>0</v>
      </c>
      <c r="U110" s="626">
        <f t="shared" ref="U110:U173" si="116">IF(C110="Upfront",S110,IF(C110="At delivery",K110,0))</f>
        <v>0</v>
      </c>
      <c r="V110" s="625">
        <f t="array" ref="V110">IFERROR(INDEX(#REF!,MATCH($E110&amp;$F110,#REF!&amp;#REF!,0)),0)</f>
        <v>0</v>
      </c>
      <c r="W110" s="626">
        <f t="shared" ref="W110:W173" si="117">IF(ISERROR($I110*V110),0,$I110*V110)</f>
        <v>0</v>
      </c>
      <c r="X110" s="626">
        <f t="shared" ref="X110:X173" si="118">IF(C110="Upfront",V110,IF(C110="At delivery",N110,0))</f>
        <v>0</v>
      </c>
      <c r="Y110" s="626">
        <f t="shared" ref="Y110:Y173" si="119">IF(C110="Upfront",W110,IF(C110="At delivery",O110,0))</f>
        <v>0</v>
      </c>
      <c r="Z110" s="630"/>
      <c r="AA110" s="625">
        <f t="array" ref="AA110">IFERROR(INDEX(#REF!,MATCH($E110&amp;$F110,#REF!&amp;#REF!,0)),0)</f>
        <v>0</v>
      </c>
      <c r="AB110" s="625">
        <f t="array" ref="AB110">IFERROR(INDEX(#REF!,MATCH($E110&amp;$F110,#REF!&amp;#REF!,0)),0)</f>
        <v>0</v>
      </c>
      <c r="AC110" s="626">
        <f t="shared" ref="AC110:AC173" si="120">IF(ISERROR($AA110*AB110),0,$AA110*AB110)</f>
        <v>0</v>
      </c>
      <c r="AD110" s="626">
        <f t="shared" ref="AD110:AD173" si="121">IF(C110="Upfront",AB110,IF(C110="At delivery",R110,0))</f>
        <v>0</v>
      </c>
      <c r="AE110" s="626">
        <f t="shared" ref="AE110:AE173" si="122">IF(C110="Upfront",AC110,IF(C110="At delivery",S110,0))</f>
        <v>0</v>
      </c>
      <c r="AF110" s="625">
        <f t="array" ref="AF110">IFERROR(INDEX(#REF!,MATCH($E110&amp;$F110,#REF!&amp;#REF!,0)),0)</f>
        <v>0</v>
      </c>
      <c r="AG110" s="626">
        <f t="shared" ref="AG110:AG173" si="123">IF(ISERROR($AA110*AF110),0,$AA110*AF110)</f>
        <v>0</v>
      </c>
      <c r="AH110" s="626">
        <f t="shared" ref="AH110:AH173" si="124">IF(C110="Upfront",AF110,IF(C110="At delivery",V110,0))</f>
        <v>0</v>
      </c>
      <c r="AI110" s="626">
        <f t="shared" ref="AI110:AI173" si="125">IF(C110="Upfront",AG110,IF(C110="At delivery",W110,0))</f>
        <v>0</v>
      </c>
      <c r="AJ110" s="625">
        <f t="array" ref="AJ110">IFERROR(INDEX(#REF!,MATCH($E110&amp;$F110,#REF!&amp;#REF!,0)),0)</f>
        <v>0</v>
      </c>
      <c r="AK110" s="626">
        <f t="shared" ref="AK110:AK173" si="126">IF(ISERROR($AA110*AJ110),0,$AA110*AJ110)</f>
        <v>0</v>
      </c>
      <c r="AL110" s="626">
        <f t="shared" ref="AL110:AL173" si="127">IF(C110="Upfront",AJ110,IF(C110="At delivery",AB110,0))</f>
        <v>0</v>
      </c>
      <c r="AM110" s="626">
        <f t="shared" ref="AM110:AM173" si="128">IF(C110="Upfront",AK110,IF(C110="At delivery",AC110,0))</f>
        <v>0</v>
      </c>
      <c r="AN110" s="625">
        <f t="array" ref="AN110">IFERROR(INDEX(#REF!,MATCH($E110&amp;$F110,#REF!&amp;#REF!,0)),0)</f>
        <v>0</v>
      </c>
      <c r="AO110" s="626">
        <f t="shared" ref="AO110:AO173" si="129">IF(ISERROR($AA110*AN110),0,$AA110*AN110)</f>
        <v>0</v>
      </c>
      <c r="AP110" s="626">
        <f t="shared" ref="AP110:AP173" si="130">IF(C110="Upfront",AN110,IF(C110="At delivery",AF110,0))</f>
        <v>0</v>
      </c>
      <c r="AQ110" s="626">
        <f t="shared" ref="AQ110:AQ173" si="131">IF(C110="Upfront",AO110,IF(C110="At delivery",AG110,0))</f>
        <v>0</v>
      </c>
      <c r="AR110" s="630"/>
      <c r="AS110" s="625">
        <f t="array" ref="AS110">IFERROR(INDEX(#REF!,MATCH($E110&amp;$F110,#REF!&amp;#REF!,0)),0)</f>
        <v>0</v>
      </c>
      <c r="AT110" s="625">
        <f t="array" ref="AT110">IFERROR(INDEX(#REF!,MATCH($E110&amp;$F110,#REF!&amp;#REF!,0)),0)</f>
        <v>0</v>
      </c>
      <c r="AU110" s="626">
        <f t="shared" ref="AU110:AU173" si="132">IF(ISERROR($AS110*AT110),0,$AS110*AT110)</f>
        <v>0</v>
      </c>
      <c r="AV110" s="626">
        <f t="shared" ref="AV110:AV173" si="133">IF(C110="Upfront",AT110,IF(C110="At delivery",AJ110,0))</f>
        <v>0</v>
      </c>
      <c r="AW110" s="626">
        <f t="shared" ref="AW110:AW173" si="134">IF(C110="Upfront",AU110,IF(C110="At delivery",AK110,0))</f>
        <v>0</v>
      </c>
      <c r="AX110" s="625">
        <f t="array" ref="AX110">IFERROR(INDEX(#REF!,MATCH($E110&amp;$F110,#REF!&amp;#REF!,0)),0)</f>
        <v>0</v>
      </c>
      <c r="AY110" s="626">
        <f t="shared" ref="AY110:AY173" si="135">IF(ISERROR($AS110*AX110),0,$AS110*AX110)</f>
        <v>0</v>
      </c>
      <c r="AZ110" s="626">
        <f t="shared" ref="AZ110:AZ173" si="136">IF(C110="Upfront",AX110,IF(C110="At delivery",AN110,0))</f>
        <v>0</v>
      </c>
      <c r="BA110" s="626">
        <f t="shared" ref="BA110:BA173" si="137">IF(C110="Upfront",AY110,IF(C110="At delivery",AO110,0))</f>
        <v>0</v>
      </c>
      <c r="BB110" s="625">
        <f t="array" ref="BB110">IFERROR(INDEX(#REF!,MATCH($E110&amp;$F110,#REF!&amp;#REF!,0)),0)</f>
        <v>0</v>
      </c>
      <c r="BC110" s="626">
        <f t="shared" ref="BC110:BC173" si="138">IF(ISERROR($AS110*BB110),0,$AS110*BB110)</f>
        <v>0</v>
      </c>
      <c r="BD110" s="626">
        <f t="shared" ref="BD110:BD173" si="139">IF(C110="Upfront",BB110,IF(C110="At delivery",AT110,0))</f>
        <v>0</v>
      </c>
      <c r="BE110" s="626">
        <f t="shared" ref="BE110:BE173" si="140">IF(C110="Upfront",BC110,IF(C110="At delivery",AU110,0))</f>
        <v>0</v>
      </c>
      <c r="BF110" s="625">
        <f t="array" ref="BF110">IFERROR(INDEX(#REF!,MATCH($E110&amp;$F110,#REF!&amp;#REF!,0)),0)</f>
        <v>0</v>
      </c>
      <c r="BG110" s="626">
        <f t="shared" ref="BG110:BG173" si="141">IF(ISERROR($AS110*BF110),0,$AS110*BF110)</f>
        <v>0</v>
      </c>
      <c r="BH110" s="626">
        <f t="shared" ref="BH110:BH173" si="142">IF(C110="Upfront",BF110,IF(C110="At delivery",AX110,0))</f>
        <v>0</v>
      </c>
      <c r="BI110" s="626">
        <f t="shared" ref="BI110:BI173" si="143">IF(C110="Upfront",BG110,IF(C110="At delivery",AY110,0))</f>
        <v>0</v>
      </c>
      <c r="BJ110" s="630"/>
      <c r="BK110" s="625"/>
      <c r="BL110" s="625"/>
      <c r="BM110" s="625"/>
      <c r="BN110" s="625"/>
      <c r="BO110" s="625"/>
      <c r="BP110" s="625"/>
      <c r="BQ110" s="625"/>
      <c r="BR110" s="625"/>
    </row>
    <row r="111" spans="1:70">
      <c r="A111" s="29" t="s">
        <v>1317</v>
      </c>
      <c r="B111" s="29" t="s">
        <v>1744</v>
      </c>
      <c r="C111" s="619">
        <f>SETUP!$F$39</f>
        <v>0</v>
      </c>
      <c r="D111" s="25">
        <v>4.5</v>
      </c>
      <c r="E111" s="26" t="s">
        <v>1329</v>
      </c>
      <c r="F111" s="26" t="s">
        <v>1331</v>
      </c>
      <c r="G111" s="625" t="str">
        <f t="array" ref="G111">IFERROR(INDEX(#REF!,MATCH($E111&amp;$F111,#REF!&amp;#REF!,0)),"")</f>
        <v/>
      </c>
      <c r="H111" s="625"/>
      <c r="I111" s="625">
        <f t="array" ref="I111">IFERROR(INDEX(#REF!,MATCH($E111&amp;$F111,#REF!&amp;#REF!,0)),0)</f>
        <v>0</v>
      </c>
      <c r="J111" s="625">
        <f t="array" ref="J111">IFERROR(INDEX(#REF!,MATCH($E111&amp;$F111,#REF!&amp;#REF!,0)),0)</f>
        <v>0</v>
      </c>
      <c r="K111" s="626">
        <f t="shared" si="108"/>
        <v>0</v>
      </c>
      <c r="L111" s="626">
        <f t="shared" si="109"/>
        <v>0</v>
      </c>
      <c r="M111" s="626">
        <f t="shared" si="110"/>
        <v>0</v>
      </c>
      <c r="N111" s="625">
        <f t="array" ref="N111">IFERROR(INDEX(#REF!,MATCH($E111&amp;$F111,#REF!&amp;#REF!,0)),0)</f>
        <v>0</v>
      </c>
      <c r="O111" s="626">
        <f t="shared" si="111"/>
        <v>0</v>
      </c>
      <c r="P111" s="626">
        <f t="shared" si="112"/>
        <v>0</v>
      </c>
      <c r="Q111" s="626">
        <f t="shared" si="113"/>
        <v>0</v>
      </c>
      <c r="R111" s="625">
        <f t="array" ref="R111">IFERROR(INDEX(#REF!,MATCH($E111&amp;$F111,#REF!&amp;#REF!,0)),0)</f>
        <v>0</v>
      </c>
      <c r="S111" s="626">
        <f t="shared" si="114"/>
        <v>0</v>
      </c>
      <c r="T111" s="626">
        <f t="shared" si="115"/>
        <v>0</v>
      </c>
      <c r="U111" s="626">
        <f t="shared" si="116"/>
        <v>0</v>
      </c>
      <c r="V111" s="625">
        <f t="array" ref="V111">IFERROR(INDEX(#REF!,MATCH($E111&amp;$F111,#REF!&amp;#REF!,0)),0)</f>
        <v>0</v>
      </c>
      <c r="W111" s="626">
        <f t="shared" si="117"/>
        <v>0</v>
      </c>
      <c r="X111" s="626">
        <f t="shared" si="118"/>
        <v>0</v>
      </c>
      <c r="Y111" s="626">
        <f t="shared" si="119"/>
        <v>0</v>
      </c>
      <c r="Z111" s="630"/>
      <c r="AA111" s="625">
        <f t="array" ref="AA111">IFERROR(INDEX(#REF!,MATCH($E111&amp;$F111,#REF!&amp;#REF!,0)),0)</f>
        <v>0</v>
      </c>
      <c r="AB111" s="625">
        <f t="array" ref="AB111">IFERROR(INDEX(#REF!,MATCH($E111&amp;$F111,#REF!&amp;#REF!,0)),0)</f>
        <v>0</v>
      </c>
      <c r="AC111" s="626">
        <f t="shared" si="120"/>
        <v>0</v>
      </c>
      <c r="AD111" s="626">
        <f t="shared" si="121"/>
        <v>0</v>
      </c>
      <c r="AE111" s="626">
        <f t="shared" si="122"/>
        <v>0</v>
      </c>
      <c r="AF111" s="625">
        <f t="array" ref="AF111">IFERROR(INDEX(#REF!,MATCH($E111&amp;$F111,#REF!&amp;#REF!,0)),0)</f>
        <v>0</v>
      </c>
      <c r="AG111" s="626">
        <f t="shared" si="123"/>
        <v>0</v>
      </c>
      <c r="AH111" s="626">
        <f t="shared" si="124"/>
        <v>0</v>
      </c>
      <c r="AI111" s="626">
        <f t="shared" si="125"/>
        <v>0</v>
      </c>
      <c r="AJ111" s="625">
        <f t="array" ref="AJ111">IFERROR(INDEX(#REF!,MATCH($E111&amp;$F111,#REF!&amp;#REF!,0)),0)</f>
        <v>0</v>
      </c>
      <c r="AK111" s="626">
        <f t="shared" si="126"/>
        <v>0</v>
      </c>
      <c r="AL111" s="626">
        <f t="shared" si="127"/>
        <v>0</v>
      </c>
      <c r="AM111" s="626">
        <f t="shared" si="128"/>
        <v>0</v>
      </c>
      <c r="AN111" s="625">
        <f t="array" ref="AN111">IFERROR(INDEX(#REF!,MATCH($E111&amp;$F111,#REF!&amp;#REF!,0)),0)</f>
        <v>0</v>
      </c>
      <c r="AO111" s="626">
        <f t="shared" si="129"/>
        <v>0</v>
      </c>
      <c r="AP111" s="626">
        <f t="shared" si="130"/>
        <v>0</v>
      </c>
      <c r="AQ111" s="626">
        <f t="shared" si="131"/>
        <v>0</v>
      </c>
      <c r="AR111" s="630"/>
      <c r="AS111" s="625">
        <f t="array" ref="AS111">IFERROR(INDEX(#REF!,MATCH($E111&amp;$F111,#REF!&amp;#REF!,0)),0)</f>
        <v>0</v>
      </c>
      <c r="AT111" s="625">
        <f t="array" ref="AT111">IFERROR(INDEX(#REF!,MATCH($E111&amp;$F111,#REF!&amp;#REF!,0)),0)</f>
        <v>0</v>
      </c>
      <c r="AU111" s="626">
        <f t="shared" si="132"/>
        <v>0</v>
      </c>
      <c r="AV111" s="626">
        <f t="shared" si="133"/>
        <v>0</v>
      </c>
      <c r="AW111" s="626">
        <f t="shared" si="134"/>
        <v>0</v>
      </c>
      <c r="AX111" s="625">
        <f t="array" ref="AX111">IFERROR(INDEX(#REF!,MATCH($E111&amp;$F111,#REF!&amp;#REF!,0)),0)</f>
        <v>0</v>
      </c>
      <c r="AY111" s="626">
        <f t="shared" si="135"/>
        <v>0</v>
      </c>
      <c r="AZ111" s="626">
        <f t="shared" si="136"/>
        <v>0</v>
      </c>
      <c r="BA111" s="626">
        <f t="shared" si="137"/>
        <v>0</v>
      </c>
      <c r="BB111" s="625">
        <f t="array" ref="BB111">IFERROR(INDEX(#REF!,MATCH($E111&amp;$F111,#REF!&amp;#REF!,0)),0)</f>
        <v>0</v>
      </c>
      <c r="BC111" s="626">
        <f t="shared" si="138"/>
        <v>0</v>
      </c>
      <c r="BD111" s="626">
        <f t="shared" si="139"/>
        <v>0</v>
      </c>
      <c r="BE111" s="626">
        <f t="shared" si="140"/>
        <v>0</v>
      </c>
      <c r="BF111" s="625">
        <f t="array" ref="BF111">IFERROR(INDEX(#REF!,MATCH($E111&amp;$F111,#REF!&amp;#REF!,0)),0)</f>
        <v>0</v>
      </c>
      <c r="BG111" s="626">
        <f t="shared" si="141"/>
        <v>0</v>
      </c>
      <c r="BH111" s="626">
        <f t="shared" si="142"/>
        <v>0</v>
      </c>
      <c r="BI111" s="626">
        <f t="shared" si="143"/>
        <v>0</v>
      </c>
      <c r="BJ111" s="630"/>
      <c r="BK111" s="625"/>
      <c r="BL111" s="625"/>
      <c r="BM111" s="625"/>
      <c r="BN111" s="625"/>
      <c r="BO111" s="625"/>
      <c r="BP111" s="625"/>
      <c r="BQ111" s="625"/>
      <c r="BR111" s="625"/>
    </row>
    <row r="112" spans="1:70">
      <c r="A112" s="29" t="s">
        <v>1317</v>
      </c>
      <c r="B112" s="29" t="s">
        <v>1744</v>
      </c>
      <c r="C112" s="619">
        <f>SETUP!$F$39</f>
        <v>0</v>
      </c>
      <c r="D112" s="25">
        <v>4.5</v>
      </c>
      <c r="E112" s="26" t="s">
        <v>1329</v>
      </c>
      <c r="F112" s="26" t="s">
        <v>1332</v>
      </c>
      <c r="G112" s="625" t="str">
        <f t="array" ref="G112">IFERROR(INDEX(#REF!,MATCH($E112&amp;$F112,#REF!&amp;#REF!,0)),"")</f>
        <v/>
      </c>
      <c r="H112" s="625"/>
      <c r="I112" s="625">
        <f t="array" ref="I112">IFERROR(INDEX(#REF!,MATCH($E112&amp;$F112,#REF!&amp;#REF!,0)),0)</f>
        <v>0</v>
      </c>
      <c r="J112" s="625">
        <f t="array" ref="J112">IFERROR(INDEX(#REF!,MATCH($E112&amp;$F112,#REF!&amp;#REF!,0)),0)</f>
        <v>0</v>
      </c>
      <c r="K112" s="626">
        <f t="shared" si="108"/>
        <v>0</v>
      </c>
      <c r="L112" s="626">
        <f t="shared" si="109"/>
        <v>0</v>
      </c>
      <c r="M112" s="626">
        <f t="shared" si="110"/>
        <v>0</v>
      </c>
      <c r="N112" s="625">
        <f t="array" ref="N112">IFERROR(INDEX(#REF!,MATCH($E112&amp;$F112,#REF!&amp;#REF!,0)),0)</f>
        <v>0</v>
      </c>
      <c r="O112" s="626">
        <f t="shared" si="111"/>
        <v>0</v>
      </c>
      <c r="P112" s="626">
        <f t="shared" si="112"/>
        <v>0</v>
      </c>
      <c r="Q112" s="626">
        <f t="shared" si="113"/>
        <v>0</v>
      </c>
      <c r="R112" s="625">
        <f t="array" ref="R112">IFERROR(INDEX(#REF!,MATCH($E112&amp;$F112,#REF!&amp;#REF!,0)),0)</f>
        <v>0</v>
      </c>
      <c r="S112" s="626">
        <f t="shared" si="114"/>
        <v>0</v>
      </c>
      <c r="T112" s="626">
        <f t="shared" si="115"/>
        <v>0</v>
      </c>
      <c r="U112" s="626">
        <f t="shared" si="116"/>
        <v>0</v>
      </c>
      <c r="V112" s="625">
        <f t="array" ref="V112">IFERROR(INDEX(#REF!,MATCH($E112&amp;$F112,#REF!&amp;#REF!,0)),0)</f>
        <v>0</v>
      </c>
      <c r="W112" s="626">
        <f t="shared" si="117"/>
        <v>0</v>
      </c>
      <c r="X112" s="626">
        <f t="shared" si="118"/>
        <v>0</v>
      </c>
      <c r="Y112" s="626">
        <f t="shared" si="119"/>
        <v>0</v>
      </c>
      <c r="Z112" s="630"/>
      <c r="AA112" s="625">
        <f t="array" ref="AA112">IFERROR(INDEX(#REF!,MATCH($E112&amp;$F112,#REF!&amp;#REF!,0)),0)</f>
        <v>0</v>
      </c>
      <c r="AB112" s="625">
        <f t="array" ref="AB112">IFERROR(INDEX(#REF!,MATCH($E112&amp;$F112,#REF!&amp;#REF!,0)),0)</f>
        <v>0</v>
      </c>
      <c r="AC112" s="626">
        <f t="shared" si="120"/>
        <v>0</v>
      </c>
      <c r="AD112" s="626">
        <f t="shared" si="121"/>
        <v>0</v>
      </c>
      <c r="AE112" s="626">
        <f t="shared" si="122"/>
        <v>0</v>
      </c>
      <c r="AF112" s="625">
        <f t="array" ref="AF112">IFERROR(INDEX(#REF!,MATCH($E112&amp;$F112,#REF!&amp;#REF!,0)),0)</f>
        <v>0</v>
      </c>
      <c r="AG112" s="626">
        <f t="shared" si="123"/>
        <v>0</v>
      </c>
      <c r="AH112" s="626">
        <f t="shared" si="124"/>
        <v>0</v>
      </c>
      <c r="AI112" s="626">
        <f t="shared" si="125"/>
        <v>0</v>
      </c>
      <c r="AJ112" s="625">
        <f t="array" ref="AJ112">IFERROR(INDEX(#REF!,MATCH($E112&amp;$F112,#REF!&amp;#REF!,0)),0)</f>
        <v>0</v>
      </c>
      <c r="AK112" s="626">
        <f t="shared" si="126"/>
        <v>0</v>
      </c>
      <c r="AL112" s="626">
        <f t="shared" si="127"/>
        <v>0</v>
      </c>
      <c r="AM112" s="626">
        <f t="shared" si="128"/>
        <v>0</v>
      </c>
      <c r="AN112" s="625">
        <f t="array" ref="AN112">IFERROR(INDEX(#REF!,MATCH($E112&amp;$F112,#REF!&amp;#REF!,0)),0)</f>
        <v>0</v>
      </c>
      <c r="AO112" s="626">
        <f t="shared" si="129"/>
        <v>0</v>
      </c>
      <c r="AP112" s="626">
        <f t="shared" si="130"/>
        <v>0</v>
      </c>
      <c r="AQ112" s="626">
        <f t="shared" si="131"/>
        <v>0</v>
      </c>
      <c r="AR112" s="630"/>
      <c r="AS112" s="625">
        <f t="array" ref="AS112">IFERROR(INDEX(#REF!,MATCH($E112&amp;$F112,#REF!&amp;#REF!,0)),0)</f>
        <v>0</v>
      </c>
      <c r="AT112" s="625">
        <f t="array" ref="AT112">IFERROR(INDEX(#REF!,MATCH($E112&amp;$F112,#REF!&amp;#REF!,0)),0)</f>
        <v>0</v>
      </c>
      <c r="AU112" s="626">
        <f t="shared" si="132"/>
        <v>0</v>
      </c>
      <c r="AV112" s="626">
        <f t="shared" si="133"/>
        <v>0</v>
      </c>
      <c r="AW112" s="626">
        <f t="shared" si="134"/>
        <v>0</v>
      </c>
      <c r="AX112" s="625">
        <f t="array" ref="AX112">IFERROR(INDEX(#REF!,MATCH($E112&amp;$F112,#REF!&amp;#REF!,0)),0)</f>
        <v>0</v>
      </c>
      <c r="AY112" s="626">
        <f t="shared" si="135"/>
        <v>0</v>
      </c>
      <c r="AZ112" s="626">
        <f t="shared" si="136"/>
        <v>0</v>
      </c>
      <c r="BA112" s="626">
        <f t="shared" si="137"/>
        <v>0</v>
      </c>
      <c r="BB112" s="625">
        <f t="array" ref="BB112">IFERROR(INDEX(#REF!,MATCH($E112&amp;$F112,#REF!&amp;#REF!,0)),0)</f>
        <v>0</v>
      </c>
      <c r="BC112" s="626">
        <f t="shared" si="138"/>
        <v>0</v>
      </c>
      <c r="BD112" s="626">
        <f t="shared" si="139"/>
        <v>0</v>
      </c>
      <c r="BE112" s="626">
        <f t="shared" si="140"/>
        <v>0</v>
      </c>
      <c r="BF112" s="625">
        <f t="array" ref="BF112">IFERROR(INDEX(#REF!,MATCH($E112&amp;$F112,#REF!&amp;#REF!,0)),0)</f>
        <v>0</v>
      </c>
      <c r="BG112" s="626">
        <f t="shared" si="141"/>
        <v>0</v>
      </c>
      <c r="BH112" s="626">
        <f t="shared" si="142"/>
        <v>0</v>
      </c>
      <c r="BI112" s="626">
        <f t="shared" si="143"/>
        <v>0</v>
      </c>
      <c r="BJ112" s="630"/>
      <c r="BK112" s="625"/>
      <c r="BL112" s="625"/>
      <c r="BM112" s="625"/>
      <c r="BN112" s="625"/>
      <c r="BO112" s="625"/>
      <c r="BP112" s="625"/>
      <c r="BQ112" s="625"/>
      <c r="BR112" s="625"/>
    </row>
    <row r="113" spans="1:70">
      <c r="A113" s="29" t="s">
        <v>1317</v>
      </c>
      <c r="B113" s="29" t="s">
        <v>1744</v>
      </c>
      <c r="C113" s="619">
        <f>SETUP!$F$39</f>
        <v>0</v>
      </c>
      <c r="D113" s="25">
        <v>4.5</v>
      </c>
      <c r="E113" s="26" t="s">
        <v>1329</v>
      </c>
      <c r="F113" s="26" t="s">
        <v>1333</v>
      </c>
      <c r="G113" s="625" t="str">
        <f t="array" ref="G113">IFERROR(INDEX(#REF!,MATCH($E113&amp;$F113,#REF!&amp;#REF!,0)),"")</f>
        <v/>
      </c>
      <c r="H113" s="625"/>
      <c r="I113" s="625">
        <f t="array" ref="I113">IFERROR(INDEX(#REF!,MATCH($E113&amp;$F113,#REF!&amp;#REF!,0)),0)</f>
        <v>0</v>
      </c>
      <c r="J113" s="625">
        <f t="array" ref="J113">IFERROR(INDEX(#REF!,MATCH($E113&amp;$F113,#REF!&amp;#REF!,0)),0)</f>
        <v>0</v>
      </c>
      <c r="K113" s="626">
        <f t="shared" si="108"/>
        <v>0</v>
      </c>
      <c r="L113" s="626">
        <f t="shared" si="109"/>
        <v>0</v>
      </c>
      <c r="M113" s="626">
        <f t="shared" si="110"/>
        <v>0</v>
      </c>
      <c r="N113" s="625">
        <f t="array" ref="N113">IFERROR(INDEX(#REF!,MATCH($E113&amp;$F113,#REF!&amp;#REF!,0)),0)</f>
        <v>0</v>
      </c>
      <c r="O113" s="626">
        <f t="shared" si="111"/>
        <v>0</v>
      </c>
      <c r="P113" s="626">
        <f t="shared" si="112"/>
        <v>0</v>
      </c>
      <c r="Q113" s="626">
        <f t="shared" si="113"/>
        <v>0</v>
      </c>
      <c r="R113" s="625">
        <f t="array" ref="R113">IFERROR(INDEX(#REF!,MATCH($E113&amp;$F113,#REF!&amp;#REF!,0)),0)</f>
        <v>0</v>
      </c>
      <c r="S113" s="626">
        <f t="shared" si="114"/>
        <v>0</v>
      </c>
      <c r="T113" s="626">
        <f t="shared" si="115"/>
        <v>0</v>
      </c>
      <c r="U113" s="626">
        <f t="shared" si="116"/>
        <v>0</v>
      </c>
      <c r="V113" s="625">
        <f t="array" ref="V113">IFERROR(INDEX(#REF!,MATCH($E113&amp;$F113,#REF!&amp;#REF!,0)),0)</f>
        <v>0</v>
      </c>
      <c r="W113" s="626">
        <f t="shared" si="117"/>
        <v>0</v>
      </c>
      <c r="X113" s="626">
        <f t="shared" si="118"/>
        <v>0</v>
      </c>
      <c r="Y113" s="626">
        <f t="shared" si="119"/>
        <v>0</v>
      </c>
      <c r="Z113" s="630"/>
      <c r="AA113" s="625">
        <f t="array" ref="AA113">IFERROR(INDEX(#REF!,MATCH($E113&amp;$F113,#REF!&amp;#REF!,0)),0)</f>
        <v>0</v>
      </c>
      <c r="AB113" s="625">
        <f t="array" ref="AB113">IFERROR(INDEX(#REF!,MATCH($E113&amp;$F113,#REF!&amp;#REF!,0)),0)</f>
        <v>0</v>
      </c>
      <c r="AC113" s="626">
        <f t="shared" si="120"/>
        <v>0</v>
      </c>
      <c r="AD113" s="626">
        <f t="shared" si="121"/>
        <v>0</v>
      </c>
      <c r="AE113" s="626">
        <f t="shared" si="122"/>
        <v>0</v>
      </c>
      <c r="AF113" s="625">
        <f t="array" ref="AF113">IFERROR(INDEX(#REF!,MATCH($E113&amp;$F113,#REF!&amp;#REF!,0)),0)</f>
        <v>0</v>
      </c>
      <c r="AG113" s="626">
        <f t="shared" si="123"/>
        <v>0</v>
      </c>
      <c r="AH113" s="626">
        <f t="shared" si="124"/>
        <v>0</v>
      </c>
      <c r="AI113" s="626">
        <f t="shared" si="125"/>
        <v>0</v>
      </c>
      <c r="AJ113" s="625">
        <f t="array" ref="AJ113">IFERROR(INDEX(#REF!,MATCH($E113&amp;$F113,#REF!&amp;#REF!,0)),0)</f>
        <v>0</v>
      </c>
      <c r="AK113" s="626">
        <f t="shared" si="126"/>
        <v>0</v>
      </c>
      <c r="AL113" s="626">
        <f t="shared" si="127"/>
        <v>0</v>
      </c>
      <c r="AM113" s="626">
        <f t="shared" si="128"/>
        <v>0</v>
      </c>
      <c r="AN113" s="625">
        <f t="array" ref="AN113">IFERROR(INDEX(#REF!,MATCH($E113&amp;$F113,#REF!&amp;#REF!,0)),0)</f>
        <v>0</v>
      </c>
      <c r="AO113" s="626">
        <f t="shared" si="129"/>
        <v>0</v>
      </c>
      <c r="AP113" s="626">
        <f t="shared" si="130"/>
        <v>0</v>
      </c>
      <c r="AQ113" s="626">
        <f t="shared" si="131"/>
        <v>0</v>
      </c>
      <c r="AR113" s="630"/>
      <c r="AS113" s="625">
        <f t="array" ref="AS113">IFERROR(INDEX(#REF!,MATCH($E113&amp;$F113,#REF!&amp;#REF!,0)),0)</f>
        <v>0</v>
      </c>
      <c r="AT113" s="625">
        <f t="array" ref="AT113">IFERROR(INDEX(#REF!,MATCH($E113&amp;$F113,#REF!&amp;#REF!,0)),0)</f>
        <v>0</v>
      </c>
      <c r="AU113" s="626">
        <f t="shared" si="132"/>
        <v>0</v>
      </c>
      <c r="AV113" s="626">
        <f t="shared" si="133"/>
        <v>0</v>
      </c>
      <c r="AW113" s="626">
        <f t="shared" si="134"/>
        <v>0</v>
      </c>
      <c r="AX113" s="625">
        <f t="array" ref="AX113">IFERROR(INDEX(#REF!,MATCH($E113&amp;$F113,#REF!&amp;#REF!,0)),0)</f>
        <v>0</v>
      </c>
      <c r="AY113" s="626">
        <f t="shared" si="135"/>
        <v>0</v>
      </c>
      <c r="AZ113" s="626">
        <f t="shared" si="136"/>
        <v>0</v>
      </c>
      <c r="BA113" s="626">
        <f t="shared" si="137"/>
        <v>0</v>
      </c>
      <c r="BB113" s="625">
        <f t="array" ref="BB113">IFERROR(INDEX(#REF!,MATCH($E113&amp;$F113,#REF!&amp;#REF!,0)),0)</f>
        <v>0</v>
      </c>
      <c r="BC113" s="626">
        <f t="shared" si="138"/>
        <v>0</v>
      </c>
      <c r="BD113" s="626">
        <f t="shared" si="139"/>
        <v>0</v>
      </c>
      <c r="BE113" s="626">
        <f t="shared" si="140"/>
        <v>0</v>
      </c>
      <c r="BF113" s="625">
        <f t="array" ref="BF113">IFERROR(INDEX(#REF!,MATCH($E113&amp;$F113,#REF!&amp;#REF!,0)),0)</f>
        <v>0</v>
      </c>
      <c r="BG113" s="626">
        <f t="shared" si="141"/>
        <v>0</v>
      </c>
      <c r="BH113" s="626">
        <f t="shared" si="142"/>
        <v>0</v>
      </c>
      <c r="BI113" s="626">
        <f t="shared" si="143"/>
        <v>0</v>
      </c>
      <c r="BJ113" s="630"/>
      <c r="BK113" s="625"/>
      <c r="BL113" s="625"/>
      <c r="BM113" s="625"/>
      <c r="BN113" s="625"/>
      <c r="BO113" s="625"/>
      <c r="BP113" s="625"/>
      <c r="BQ113" s="625"/>
      <c r="BR113" s="625"/>
    </row>
    <row r="114" spans="1:70">
      <c r="A114" s="29" t="s">
        <v>1317</v>
      </c>
      <c r="B114" s="29" t="s">
        <v>1744</v>
      </c>
      <c r="C114" s="619">
        <f>SETUP!$F$39</f>
        <v>0</v>
      </c>
      <c r="D114" s="25">
        <v>4.5</v>
      </c>
      <c r="E114" s="26" t="s">
        <v>1329</v>
      </c>
      <c r="F114" s="26" t="s">
        <v>1334</v>
      </c>
      <c r="G114" s="625" t="str">
        <f t="array" ref="G114">IFERROR(INDEX(#REF!,MATCH($E114&amp;$F114,#REF!&amp;#REF!,0)),"")</f>
        <v/>
      </c>
      <c r="H114" s="625"/>
      <c r="I114" s="625">
        <f t="array" ref="I114">IFERROR(INDEX(#REF!,MATCH($E114&amp;$F114,#REF!&amp;#REF!,0)),0)</f>
        <v>0</v>
      </c>
      <c r="J114" s="625">
        <f t="array" ref="J114">IFERROR(INDEX(#REF!,MATCH($E114&amp;$F114,#REF!&amp;#REF!,0)),0)</f>
        <v>0</v>
      </c>
      <c r="K114" s="626">
        <f t="shared" si="108"/>
        <v>0</v>
      </c>
      <c r="L114" s="626">
        <f t="shared" si="109"/>
        <v>0</v>
      </c>
      <c r="M114" s="626">
        <f t="shared" si="110"/>
        <v>0</v>
      </c>
      <c r="N114" s="625">
        <f t="array" ref="N114">IFERROR(INDEX(#REF!,MATCH($E114&amp;$F114,#REF!&amp;#REF!,0)),0)</f>
        <v>0</v>
      </c>
      <c r="O114" s="626">
        <f t="shared" si="111"/>
        <v>0</v>
      </c>
      <c r="P114" s="626">
        <f t="shared" si="112"/>
        <v>0</v>
      </c>
      <c r="Q114" s="626">
        <f t="shared" si="113"/>
        <v>0</v>
      </c>
      <c r="R114" s="625">
        <f t="array" ref="R114">IFERROR(INDEX(#REF!,MATCH($E114&amp;$F114,#REF!&amp;#REF!,0)),0)</f>
        <v>0</v>
      </c>
      <c r="S114" s="626">
        <f t="shared" si="114"/>
        <v>0</v>
      </c>
      <c r="T114" s="626">
        <f t="shared" si="115"/>
        <v>0</v>
      </c>
      <c r="U114" s="626">
        <f t="shared" si="116"/>
        <v>0</v>
      </c>
      <c r="V114" s="625">
        <f t="array" ref="V114">IFERROR(INDEX(#REF!,MATCH($E114&amp;$F114,#REF!&amp;#REF!,0)),0)</f>
        <v>0</v>
      </c>
      <c r="W114" s="626">
        <f t="shared" si="117"/>
        <v>0</v>
      </c>
      <c r="X114" s="626">
        <f t="shared" si="118"/>
        <v>0</v>
      </c>
      <c r="Y114" s="626">
        <f t="shared" si="119"/>
        <v>0</v>
      </c>
      <c r="Z114" s="630"/>
      <c r="AA114" s="625">
        <f t="array" ref="AA114">IFERROR(INDEX(#REF!,MATCH($E114&amp;$F114,#REF!&amp;#REF!,0)),0)</f>
        <v>0</v>
      </c>
      <c r="AB114" s="625">
        <f t="array" ref="AB114">IFERROR(INDEX(#REF!,MATCH($E114&amp;$F114,#REF!&amp;#REF!,0)),0)</f>
        <v>0</v>
      </c>
      <c r="AC114" s="626">
        <f t="shared" si="120"/>
        <v>0</v>
      </c>
      <c r="AD114" s="626">
        <f t="shared" si="121"/>
        <v>0</v>
      </c>
      <c r="AE114" s="626">
        <f t="shared" si="122"/>
        <v>0</v>
      </c>
      <c r="AF114" s="625">
        <f t="array" ref="AF114">IFERROR(INDEX(#REF!,MATCH($E114&amp;$F114,#REF!&amp;#REF!,0)),0)</f>
        <v>0</v>
      </c>
      <c r="AG114" s="626">
        <f t="shared" si="123"/>
        <v>0</v>
      </c>
      <c r="AH114" s="626">
        <f t="shared" si="124"/>
        <v>0</v>
      </c>
      <c r="AI114" s="626">
        <f t="shared" si="125"/>
        <v>0</v>
      </c>
      <c r="AJ114" s="625">
        <f t="array" ref="AJ114">IFERROR(INDEX(#REF!,MATCH($E114&amp;$F114,#REF!&amp;#REF!,0)),0)</f>
        <v>0</v>
      </c>
      <c r="AK114" s="626">
        <f t="shared" si="126"/>
        <v>0</v>
      </c>
      <c r="AL114" s="626">
        <f t="shared" si="127"/>
        <v>0</v>
      </c>
      <c r="AM114" s="626">
        <f t="shared" si="128"/>
        <v>0</v>
      </c>
      <c r="AN114" s="625">
        <f t="array" ref="AN114">IFERROR(INDEX(#REF!,MATCH($E114&amp;$F114,#REF!&amp;#REF!,0)),0)</f>
        <v>0</v>
      </c>
      <c r="AO114" s="626">
        <f t="shared" si="129"/>
        <v>0</v>
      </c>
      <c r="AP114" s="626">
        <f t="shared" si="130"/>
        <v>0</v>
      </c>
      <c r="AQ114" s="626">
        <f t="shared" si="131"/>
        <v>0</v>
      </c>
      <c r="AR114" s="630"/>
      <c r="AS114" s="625">
        <f t="array" ref="AS114">IFERROR(INDEX(#REF!,MATCH($E114&amp;$F114,#REF!&amp;#REF!,0)),0)</f>
        <v>0</v>
      </c>
      <c r="AT114" s="625">
        <f t="array" ref="AT114">IFERROR(INDEX(#REF!,MATCH($E114&amp;$F114,#REF!&amp;#REF!,0)),0)</f>
        <v>0</v>
      </c>
      <c r="AU114" s="626">
        <f t="shared" si="132"/>
        <v>0</v>
      </c>
      <c r="AV114" s="626">
        <f t="shared" si="133"/>
        <v>0</v>
      </c>
      <c r="AW114" s="626">
        <f t="shared" si="134"/>
        <v>0</v>
      </c>
      <c r="AX114" s="625">
        <f t="array" ref="AX114">IFERROR(INDEX(#REF!,MATCH($E114&amp;$F114,#REF!&amp;#REF!,0)),0)</f>
        <v>0</v>
      </c>
      <c r="AY114" s="626">
        <f t="shared" si="135"/>
        <v>0</v>
      </c>
      <c r="AZ114" s="626">
        <f t="shared" si="136"/>
        <v>0</v>
      </c>
      <c r="BA114" s="626">
        <f t="shared" si="137"/>
        <v>0</v>
      </c>
      <c r="BB114" s="625">
        <f t="array" ref="BB114">IFERROR(INDEX(#REF!,MATCH($E114&amp;$F114,#REF!&amp;#REF!,0)),0)</f>
        <v>0</v>
      </c>
      <c r="BC114" s="626">
        <f t="shared" si="138"/>
        <v>0</v>
      </c>
      <c r="BD114" s="626">
        <f t="shared" si="139"/>
        <v>0</v>
      </c>
      <c r="BE114" s="626">
        <f t="shared" si="140"/>
        <v>0</v>
      </c>
      <c r="BF114" s="625">
        <f t="array" ref="BF114">IFERROR(INDEX(#REF!,MATCH($E114&amp;$F114,#REF!&amp;#REF!,0)),0)</f>
        <v>0</v>
      </c>
      <c r="BG114" s="626">
        <f t="shared" si="141"/>
        <v>0</v>
      </c>
      <c r="BH114" s="626">
        <f t="shared" si="142"/>
        <v>0</v>
      </c>
      <c r="BI114" s="626">
        <f t="shared" si="143"/>
        <v>0</v>
      </c>
      <c r="BJ114" s="630"/>
      <c r="BK114" s="625"/>
      <c r="BL114" s="625"/>
      <c r="BM114" s="625"/>
      <c r="BN114" s="625"/>
      <c r="BO114" s="625"/>
      <c r="BP114" s="625"/>
      <c r="BQ114" s="625"/>
      <c r="BR114" s="625"/>
    </row>
    <row r="115" spans="1:70">
      <c r="A115" s="29" t="s">
        <v>1317</v>
      </c>
      <c r="B115" s="29" t="s">
        <v>1744</v>
      </c>
      <c r="C115" s="619">
        <f>SETUP!$F$39</f>
        <v>0</v>
      </c>
      <c r="D115" s="25">
        <v>4.5</v>
      </c>
      <c r="E115" s="26" t="s">
        <v>1329</v>
      </c>
      <c r="F115" s="26" t="s">
        <v>1335</v>
      </c>
      <c r="G115" s="625" t="str">
        <f t="array" ref="G115">IFERROR(INDEX(#REF!,MATCH($E115&amp;$F115,#REF!&amp;#REF!,0)),"")</f>
        <v/>
      </c>
      <c r="H115" s="625"/>
      <c r="I115" s="625">
        <f t="array" ref="I115">IFERROR(INDEX(#REF!,MATCH($E115&amp;$F115,#REF!&amp;#REF!,0)),0)</f>
        <v>0</v>
      </c>
      <c r="J115" s="625">
        <f t="array" ref="J115">IFERROR(INDEX(#REF!,MATCH($E115&amp;$F115,#REF!&amp;#REF!,0)),0)</f>
        <v>0</v>
      </c>
      <c r="K115" s="626">
        <f t="shared" si="108"/>
        <v>0</v>
      </c>
      <c r="L115" s="626">
        <f t="shared" si="109"/>
        <v>0</v>
      </c>
      <c r="M115" s="626">
        <f t="shared" si="110"/>
        <v>0</v>
      </c>
      <c r="N115" s="625">
        <f t="array" ref="N115">IFERROR(INDEX(#REF!,MATCH($E115&amp;$F115,#REF!&amp;#REF!,0)),0)</f>
        <v>0</v>
      </c>
      <c r="O115" s="626">
        <f t="shared" si="111"/>
        <v>0</v>
      </c>
      <c r="P115" s="626">
        <f t="shared" si="112"/>
        <v>0</v>
      </c>
      <c r="Q115" s="626">
        <f t="shared" si="113"/>
        <v>0</v>
      </c>
      <c r="R115" s="625">
        <f t="array" ref="R115">IFERROR(INDEX(#REF!,MATCH($E115&amp;$F115,#REF!&amp;#REF!,0)),0)</f>
        <v>0</v>
      </c>
      <c r="S115" s="626">
        <f t="shared" si="114"/>
        <v>0</v>
      </c>
      <c r="T115" s="626">
        <f t="shared" si="115"/>
        <v>0</v>
      </c>
      <c r="U115" s="626">
        <f t="shared" si="116"/>
        <v>0</v>
      </c>
      <c r="V115" s="625">
        <f t="array" ref="V115">IFERROR(INDEX(#REF!,MATCH($E115&amp;$F115,#REF!&amp;#REF!,0)),0)</f>
        <v>0</v>
      </c>
      <c r="W115" s="626">
        <f t="shared" si="117"/>
        <v>0</v>
      </c>
      <c r="X115" s="626">
        <f t="shared" si="118"/>
        <v>0</v>
      </c>
      <c r="Y115" s="626">
        <f t="shared" si="119"/>
        <v>0</v>
      </c>
      <c r="Z115" s="630"/>
      <c r="AA115" s="625">
        <f t="array" ref="AA115">IFERROR(INDEX(#REF!,MATCH($E115&amp;$F115,#REF!&amp;#REF!,0)),0)</f>
        <v>0</v>
      </c>
      <c r="AB115" s="625">
        <f t="array" ref="AB115">IFERROR(INDEX(#REF!,MATCH($E115&amp;$F115,#REF!&amp;#REF!,0)),0)</f>
        <v>0</v>
      </c>
      <c r="AC115" s="626">
        <f t="shared" si="120"/>
        <v>0</v>
      </c>
      <c r="AD115" s="626">
        <f t="shared" si="121"/>
        <v>0</v>
      </c>
      <c r="AE115" s="626">
        <f t="shared" si="122"/>
        <v>0</v>
      </c>
      <c r="AF115" s="625">
        <f t="array" ref="AF115">IFERROR(INDEX(#REF!,MATCH($E115&amp;$F115,#REF!&amp;#REF!,0)),0)</f>
        <v>0</v>
      </c>
      <c r="AG115" s="626">
        <f t="shared" si="123"/>
        <v>0</v>
      </c>
      <c r="AH115" s="626">
        <f t="shared" si="124"/>
        <v>0</v>
      </c>
      <c r="AI115" s="626">
        <f t="shared" si="125"/>
        <v>0</v>
      </c>
      <c r="AJ115" s="625">
        <f t="array" ref="AJ115">IFERROR(INDEX(#REF!,MATCH($E115&amp;$F115,#REF!&amp;#REF!,0)),0)</f>
        <v>0</v>
      </c>
      <c r="AK115" s="626">
        <f t="shared" si="126"/>
        <v>0</v>
      </c>
      <c r="AL115" s="626">
        <f t="shared" si="127"/>
        <v>0</v>
      </c>
      <c r="AM115" s="626">
        <f t="shared" si="128"/>
        <v>0</v>
      </c>
      <c r="AN115" s="625">
        <f t="array" ref="AN115">IFERROR(INDEX(#REF!,MATCH($E115&amp;$F115,#REF!&amp;#REF!,0)),0)</f>
        <v>0</v>
      </c>
      <c r="AO115" s="626">
        <f t="shared" si="129"/>
        <v>0</v>
      </c>
      <c r="AP115" s="626">
        <f t="shared" si="130"/>
        <v>0</v>
      </c>
      <c r="AQ115" s="626">
        <f t="shared" si="131"/>
        <v>0</v>
      </c>
      <c r="AR115" s="630"/>
      <c r="AS115" s="625">
        <f t="array" ref="AS115">IFERROR(INDEX(#REF!,MATCH($E115&amp;$F115,#REF!&amp;#REF!,0)),0)</f>
        <v>0</v>
      </c>
      <c r="AT115" s="625">
        <f t="array" ref="AT115">IFERROR(INDEX(#REF!,MATCH($E115&amp;$F115,#REF!&amp;#REF!,0)),0)</f>
        <v>0</v>
      </c>
      <c r="AU115" s="626">
        <f t="shared" si="132"/>
        <v>0</v>
      </c>
      <c r="AV115" s="626">
        <f t="shared" si="133"/>
        <v>0</v>
      </c>
      <c r="AW115" s="626">
        <f t="shared" si="134"/>
        <v>0</v>
      </c>
      <c r="AX115" s="625">
        <f t="array" ref="AX115">IFERROR(INDEX(#REF!,MATCH($E115&amp;$F115,#REF!&amp;#REF!,0)),0)</f>
        <v>0</v>
      </c>
      <c r="AY115" s="626">
        <f t="shared" si="135"/>
        <v>0</v>
      </c>
      <c r="AZ115" s="626">
        <f t="shared" si="136"/>
        <v>0</v>
      </c>
      <c r="BA115" s="626">
        <f t="shared" si="137"/>
        <v>0</v>
      </c>
      <c r="BB115" s="625">
        <f t="array" ref="BB115">IFERROR(INDEX(#REF!,MATCH($E115&amp;$F115,#REF!&amp;#REF!,0)),0)</f>
        <v>0</v>
      </c>
      <c r="BC115" s="626">
        <f t="shared" si="138"/>
        <v>0</v>
      </c>
      <c r="BD115" s="626">
        <f t="shared" si="139"/>
        <v>0</v>
      </c>
      <c r="BE115" s="626">
        <f t="shared" si="140"/>
        <v>0</v>
      </c>
      <c r="BF115" s="625">
        <f t="array" ref="BF115">IFERROR(INDEX(#REF!,MATCH($E115&amp;$F115,#REF!&amp;#REF!,0)),0)</f>
        <v>0</v>
      </c>
      <c r="BG115" s="626">
        <f t="shared" si="141"/>
        <v>0</v>
      </c>
      <c r="BH115" s="626">
        <f t="shared" si="142"/>
        <v>0</v>
      </c>
      <c r="BI115" s="626">
        <f t="shared" si="143"/>
        <v>0</v>
      </c>
      <c r="BJ115" s="630"/>
      <c r="BK115" s="625"/>
      <c r="BL115" s="625"/>
      <c r="BM115" s="625"/>
      <c r="BN115" s="625"/>
      <c r="BO115" s="625"/>
      <c r="BP115" s="625"/>
      <c r="BQ115" s="625"/>
      <c r="BR115" s="625"/>
    </row>
    <row r="116" spans="1:70">
      <c r="A116" s="29" t="s">
        <v>1317</v>
      </c>
      <c r="B116" s="29" t="s">
        <v>1744</v>
      </c>
      <c r="C116" s="619">
        <f>SETUP!$F$39</f>
        <v>0</v>
      </c>
      <c r="D116" s="25">
        <v>4.5</v>
      </c>
      <c r="E116" s="26" t="s">
        <v>1358</v>
      </c>
      <c r="F116" s="26" t="s">
        <v>1359</v>
      </c>
      <c r="G116" s="625" t="str">
        <f t="array" ref="G116">IFERROR(INDEX(#REF!,MATCH($E116&amp;$F116,#REF!&amp;#REF!,0)),"")</f>
        <v/>
      </c>
      <c r="H116" s="625"/>
      <c r="I116" s="625">
        <f t="array" ref="I116">IFERROR(INDEX(#REF!,MATCH($E116&amp;$F116,#REF!&amp;#REF!,0)),0)</f>
        <v>0</v>
      </c>
      <c r="J116" s="625">
        <f t="array" ref="J116">IFERROR(INDEX(#REF!,MATCH($E116&amp;$F116,#REF!&amp;#REF!,0)),0)</f>
        <v>0</v>
      </c>
      <c r="K116" s="626">
        <f t="shared" si="108"/>
        <v>0</v>
      </c>
      <c r="L116" s="626">
        <f t="shared" si="109"/>
        <v>0</v>
      </c>
      <c r="M116" s="626">
        <f t="shared" si="110"/>
        <v>0</v>
      </c>
      <c r="N116" s="625">
        <f t="array" ref="N116">IFERROR(INDEX(#REF!,MATCH($E116&amp;$F116,#REF!&amp;#REF!,0)),0)</f>
        <v>0</v>
      </c>
      <c r="O116" s="626">
        <f t="shared" si="111"/>
        <v>0</v>
      </c>
      <c r="P116" s="626">
        <f t="shared" si="112"/>
        <v>0</v>
      </c>
      <c r="Q116" s="626">
        <f t="shared" si="113"/>
        <v>0</v>
      </c>
      <c r="R116" s="625">
        <f t="array" ref="R116">IFERROR(INDEX(#REF!,MATCH($E116&amp;$F116,#REF!&amp;#REF!,0)),0)</f>
        <v>0</v>
      </c>
      <c r="S116" s="626">
        <f t="shared" si="114"/>
        <v>0</v>
      </c>
      <c r="T116" s="626">
        <f t="shared" si="115"/>
        <v>0</v>
      </c>
      <c r="U116" s="626">
        <f t="shared" si="116"/>
        <v>0</v>
      </c>
      <c r="V116" s="625">
        <f t="array" ref="V116">IFERROR(INDEX(#REF!,MATCH($E116&amp;$F116,#REF!&amp;#REF!,0)),0)</f>
        <v>0</v>
      </c>
      <c r="W116" s="626">
        <f t="shared" si="117"/>
        <v>0</v>
      </c>
      <c r="X116" s="626">
        <f t="shared" si="118"/>
        <v>0</v>
      </c>
      <c r="Y116" s="626">
        <f t="shared" si="119"/>
        <v>0</v>
      </c>
      <c r="Z116" s="630"/>
      <c r="AA116" s="625">
        <f t="array" ref="AA116">IFERROR(INDEX(#REF!,MATCH($E116&amp;$F116,#REF!&amp;#REF!,0)),0)</f>
        <v>0</v>
      </c>
      <c r="AB116" s="625">
        <f t="array" ref="AB116">IFERROR(INDEX(#REF!,MATCH($E116&amp;$F116,#REF!&amp;#REF!,0)),0)</f>
        <v>0</v>
      </c>
      <c r="AC116" s="626">
        <f t="shared" si="120"/>
        <v>0</v>
      </c>
      <c r="AD116" s="626">
        <f t="shared" si="121"/>
        <v>0</v>
      </c>
      <c r="AE116" s="626">
        <f t="shared" si="122"/>
        <v>0</v>
      </c>
      <c r="AF116" s="625">
        <f t="array" ref="AF116">IFERROR(INDEX(#REF!,MATCH($E116&amp;$F116,#REF!&amp;#REF!,0)),0)</f>
        <v>0</v>
      </c>
      <c r="AG116" s="626">
        <f t="shared" si="123"/>
        <v>0</v>
      </c>
      <c r="AH116" s="626">
        <f t="shared" si="124"/>
        <v>0</v>
      </c>
      <c r="AI116" s="626">
        <f t="shared" si="125"/>
        <v>0</v>
      </c>
      <c r="AJ116" s="625">
        <f t="array" ref="AJ116">IFERROR(INDEX(#REF!,MATCH($E116&amp;$F116,#REF!&amp;#REF!,0)),0)</f>
        <v>0</v>
      </c>
      <c r="AK116" s="626">
        <f t="shared" si="126"/>
        <v>0</v>
      </c>
      <c r="AL116" s="626">
        <f t="shared" si="127"/>
        <v>0</v>
      </c>
      <c r="AM116" s="626">
        <f t="shared" si="128"/>
        <v>0</v>
      </c>
      <c r="AN116" s="625">
        <f t="array" ref="AN116">IFERROR(INDEX(#REF!,MATCH($E116&amp;$F116,#REF!&amp;#REF!,0)),0)</f>
        <v>0</v>
      </c>
      <c r="AO116" s="626">
        <f t="shared" si="129"/>
        <v>0</v>
      </c>
      <c r="AP116" s="626">
        <f t="shared" si="130"/>
        <v>0</v>
      </c>
      <c r="AQ116" s="626">
        <f t="shared" si="131"/>
        <v>0</v>
      </c>
      <c r="AR116" s="630"/>
      <c r="AS116" s="625">
        <f t="array" ref="AS116">IFERROR(INDEX(#REF!,MATCH($E116&amp;$F116,#REF!&amp;#REF!,0)),0)</f>
        <v>0</v>
      </c>
      <c r="AT116" s="625">
        <f t="array" ref="AT116">IFERROR(INDEX(#REF!,MATCH($E116&amp;$F116,#REF!&amp;#REF!,0)),0)</f>
        <v>0</v>
      </c>
      <c r="AU116" s="626">
        <f t="shared" si="132"/>
        <v>0</v>
      </c>
      <c r="AV116" s="626">
        <f t="shared" si="133"/>
        <v>0</v>
      </c>
      <c r="AW116" s="626">
        <f t="shared" si="134"/>
        <v>0</v>
      </c>
      <c r="AX116" s="625">
        <f t="array" ref="AX116">IFERROR(INDEX(#REF!,MATCH($E116&amp;$F116,#REF!&amp;#REF!,0)),0)</f>
        <v>0</v>
      </c>
      <c r="AY116" s="626">
        <f t="shared" si="135"/>
        <v>0</v>
      </c>
      <c r="AZ116" s="626">
        <f t="shared" si="136"/>
        <v>0</v>
      </c>
      <c r="BA116" s="626">
        <f t="shared" si="137"/>
        <v>0</v>
      </c>
      <c r="BB116" s="625">
        <f t="array" ref="BB116">IFERROR(INDEX(#REF!,MATCH($E116&amp;$F116,#REF!&amp;#REF!,0)),0)</f>
        <v>0</v>
      </c>
      <c r="BC116" s="626">
        <f t="shared" si="138"/>
        <v>0</v>
      </c>
      <c r="BD116" s="626">
        <f t="shared" si="139"/>
        <v>0</v>
      </c>
      <c r="BE116" s="626">
        <f t="shared" si="140"/>
        <v>0</v>
      </c>
      <c r="BF116" s="625">
        <f t="array" ref="BF116">IFERROR(INDEX(#REF!,MATCH($E116&amp;$F116,#REF!&amp;#REF!,0)),0)</f>
        <v>0</v>
      </c>
      <c r="BG116" s="626">
        <f t="shared" si="141"/>
        <v>0</v>
      </c>
      <c r="BH116" s="626">
        <f t="shared" si="142"/>
        <v>0</v>
      </c>
      <c r="BI116" s="626">
        <f t="shared" si="143"/>
        <v>0</v>
      </c>
      <c r="BJ116" s="630"/>
      <c r="BK116" s="625"/>
      <c r="BL116" s="625"/>
      <c r="BM116" s="625"/>
      <c r="BN116" s="625"/>
      <c r="BO116" s="625"/>
      <c r="BP116" s="625"/>
      <c r="BQ116" s="625"/>
      <c r="BR116" s="625"/>
    </row>
    <row r="117" spans="1:70">
      <c r="A117" s="29" t="s">
        <v>1317</v>
      </c>
      <c r="B117" s="29" t="s">
        <v>1744</v>
      </c>
      <c r="C117" s="619">
        <f>SETUP!$F$39</f>
        <v>0</v>
      </c>
      <c r="D117" s="25">
        <v>4.5</v>
      </c>
      <c r="E117" s="26" t="s">
        <v>1358</v>
      </c>
      <c r="F117" s="26" t="s">
        <v>1360</v>
      </c>
      <c r="G117" s="625" t="str">
        <f t="array" ref="G117">IFERROR(INDEX(#REF!,MATCH($E117&amp;$F117,#REF!&amp;#REF!,0)),"")</f>
        <v/>
      </c>
      <c r="H117" s="625"/>
      <c r="I117" s="625">
        <f t="array" ref="I117">IFERROR(INDEX(#REF!,MATCH($E117&amp;$F117,#REF!&amp;#REF!,0)),0)</f>
        <v>0</v>
      </c>
      <c r="J117" s="625">
        <f t="array" ref="J117">IFERROR(INDEX(#REF!,MATCH($E117&amp;$F117,#REF!&amp;#REF!,0)),0)</f>
        <v>0</v>
      </c>
      <c r="K117" s="626">
        <f t="shared" si="108"/>
        <v>0</v>
      </c>
      <c r="L117" s="626">
        <f t="shared" si="109"/>
        <v>0</v>
      </c>
      <c r="M117" s="626">
        <f t="shared" si="110"/>
        <v>0</v>
      </c>
      <c r="N117" s="625">
        <f t="array" ref="N117">IFERROR(INDEX(#REF!,MATCH($E117&amp;$F117,#REF!&amp;#REF!,0)),0)</f>
        <v>0</v>
      </c>
      <c r="O117" s="626">
        <f t="shared" si="111"/>
        <v>0</v>
      </c>
      <c r="P117" s="626">
        <f t="shared" si="112"/>
        <v>0</v>
      </c>
      <c r="Q117" s="626">
        <f t="shared" si="113"/>
        <v>0</v>
      </c>
      <c r="R117" s="625">
        <f t="array" ref="R117">IFERROR(INDEX(#REF!,MATCH($E117&amp;$F117,#REF!&amp;#REF!,0)),0)</f>
        <v>0</v>
      </c>
      <c r="S117" s="626">
        <f t="shared" si="114"/>
        <v>0</v>
      </c>
      <c r="T117" s="626">
        <f t="shared" si="115"/>
        <v>0</v>
      </c>
      <c r="U117" s="626">
        <f t="shared" si="116"/>
        <v>0</v>
      </c>
      <c r="V117" s="625">
        <f t="array" ref="V117">IFERROR(INDEX(#REF!,MATCH($E117&amp;$F117,#REF!&amp;#REF!,0)),0)</f>
        <v>0</v>
      </c>
      <c r="W117" s="626">
        <f t="shared" si="117"/>
        <v>0</v>
      </c>
      <c r="X117" s="626">
        <f t="shared" si="118"/>
        <v>0</v>
      </c>
      <c r="Y117" s="626">
        <f t="shared" si="119"/>
        <v>0</v>
      </c>
      <c r="Z117" s="630"/>
      <c r="AA117" s="625">
        <f t="array" ref="AA117">IFERROR(INDEX(#REF!,MATCH($E117&amp;$F117,#REF!&amp;#REF!,0)),0)</f>
        <v>0</v>
      </c>
      <c r="AB117" s="625">
        <f t="array" ref="AB117">IFERROR(INDEX(#REF!,MATCH($E117&amp;$F117,#REF!&amp;#REF!,0)),0)</f>
        <v>0</v>
      </c>
      <c r="AC117" s="626">
        <f t="shared" si="120"/>
        <v>0</v>
      </c>
      <c r="AD117" s="626">
        <f t="shared" si="121"/>
        <v>0</v>
      </c>
      <c r="AE117" s="626">
        <f t="shared" si="122"/>
        <v>0</v>
      </c>
      <c r="AF117" s="625">
        <f t="array" ref="AF117">IFERROR(INDEX(#REF!,MATCH($E117&amp;$F117,#REF!&amp;#REF!,0)),0)</f>
        <v>0</v>
      </c>
      <c r="AG117" s="626">
        <f t="shared" si="123"/>
        <v>0</v>
      </c>
      <c r="AH117" s="626">
        <f t="shared" si="124"/>
        <v>0</v>
      </c>
      <c r="AI117" s="626">
        <f t="shared" si="125"/>
        <v>0</v>
      </c>
      <c r="AJ117" s="625">
        <f t="array" ref="AJ117">IFERROR(INDEX(#REF!,MATCH($E117&amp;$F117,#REF!&amp;#REF!,0)),0)</f>
        <v>0</v>
      </c>
      <c r="AK117" s="626">
        <f t="shared" si="126"/>
        <v>0</v>
      </c>
      <c r="AL117" s="626">
        <f t="shared" si="127"/>
        <v>0</v>
      </c>
      <c r="AM117" s="626">
        <f t="shared" si="128"/>
        <v>0</v>
      </c>
      <c r="AN117" s="625">
        <f t="array" ref="AN117">IFERROR(INDEX(#REF!,MATCH($E117&amp;$F117,#REF!&amp;#REF!,0)),0)</f>
        <v>0</v>
      </c>
      <c r="AO117" s="626">
        <f t="shared" si="129"/>
        <v>0</v>
      </c>
      <c r="AP117" s="626">
        <f t="shared" si="130"/>
        <v>0</v>
      </c>
      <c r="AQ117" s="626">
        <f t="shared" si="131"/>
        <v>0</v>
      </c>
      <c r="AR117" s="630"/>
      <c r="AS117" s="625">
        <f t="array" ref="AS117">IFERROR(INDEX(#REF!,MATCH($E117&amp;$F117,#REF!&amp;#REF!,0)),0)</f>
        <v>0</v>
      </c>
      <c r="AT117" s="625">
        <f t="array" ref="AT117">IFERROR(INDEX(#REF!,MATCH($E117&amp;$F117,#REF!&amp;#REF!,0)),0)</f>
        <v>0</v>
      </c>
      <c r="AU117" s="626">
        <f t="shared" si="132"/>
        <v>0</v>
      </c>
      <c r="AV117" s="626">
        <f t="shared" si="133"/>
        <v>0</v>
      </c>
      <c r="AW117" s="626">
        <f t="shared" si="134"/>
        <v>0</v>
      </c>
      <c r="AX117" s="625">
        <f t="array" ref="AX117">IFERROR(INDEX(#REF!,MATCH($E117&amp;$F117,#REF!&amp;#REF!,0)),0)</f>
        <v>0</v>
      </c>
      <c r="AY117" s="626">
        <f t="shared" si="135"/>
        <v>0</v>
      </c>
      <c r="AZ117" s="626">
        <f t="shared" si="136"/>
        <v>0</v>
      </c>
      <c r="BA117" s="626">
        <f t="shared" si="137"/>
        <v>0</v>
      </c>
      <c r="BB117" s="625">
        <f t="array" ref="BB117">IFERROR(INDEX(#REF!,MATCH($E117&amp;$F117,#REF!&amp;#REF!,0)),0)</f>
        <v>0</v>
      </c>
      <c r="BC117" s="626">
        <f t="shared" si="138"/>
        <v>0</v>
      </c>
      <c r="BD117" s="626">
        <f t="shared" si="139"/>
        <v>0</v>
      </c>
      <c r="BE117" s="626">
        <f t="shared" si="140"/>
        <v>0</v>
      </c>
      <c r="BF117" s="625">
        <f t="array" ref="BF117">IFERROR(INDEX(#REF!,MATCH($E117&amp;$F117,#REF!&amp;#REF!,0)),0)</f>
        <v>0</v>
      </c>
      <c r="BG117" s="626">
        <f t="shared" si="141"/>
        <v>0</v>
      </c>
      <c r="BH117" s="626">
        <f t="shared" si="142"/>
        <v>0</v>
      </c>
      <c r="BI117" s="626">
        <f t="shared" si="143"/>
        <v>0</v>
      </c>
      <c r="BJ117" s="630"/>
      <c r="BK117" s="625"/>
      <c r="BL117" s="625"/>
      <c r="BM117" s="625"/>
      <c r="BN117" s="625"/>
      <c r="BO117" s="625"/>
      <c r="BP117" s="625"/>
      <c r="BQ117" s="625"/>
      <c r="BR117" s="625"/>
    </row>
    <row r="118" spans="1:70">
      <c r="A118" s="29" t="s">
        <v>1317</v>
      </c>
      <c r="B118" s="29" t="s">
        <v>1744</v>
      </c>
      <c r="C118" s="619">
        <f>SETUP!$F$39</f>
        <v>0</v>
      </c>
      <c r="D118" s="25">
        <v>4.5</v>
      </c>
      <c r="E118" s="26" t="s">
        <v>1358</v>
      </c>
      <c r="F118" s="26" t="s">
        <v>1361</v>
      </c>
      <c r="G118" s="625" t="str">
        <f t="array" ref="G118">IFERROR(INDEX(#REF!,MATCH($E118&amp;$F118,#REF!&amp;#REF!,0)),"")</f>
        <v/>
      </c>
      <c r="H118" s="625"/>
      <c r="I118" s="625">
        <f t="array" ref="I118">IFERROR(INDEX(#REF!,MATCH($E118&amp;$F118,#REF!&amp;#REF!,0)),0)</f>
        <v>0</v>
      </c>
      <c r="J118" s="625">
        <f t="array" ref="J118">IFERROR(INDEX(#REF!,MATCH($E118&amp;$F118,#REF!&amp;#REF!,0)),0)</f>
        <v>0</v>
      </c>
      <c r="K118" s="626">
        <f t="shared" si="108"/>
        <v>0</v>
      </c>
      <c r="L118" s="626">
        <f t="shared" si="109"/>
        <v>0</v>
      </c>
      <c r="M118" s="626">
        <f t="shared" si="110"/>
        <v>0</v>
      </c>
      <c r="N118" s="625">
        <f t="array" ref="N118">IFERROR(INDEX(#REF!,MATCH($E118&amp;$F118,#REF!&amp;#REF!,0)),0)</f>
        <v>0</v>
      </c>
      <c r="O118" s="626">
        <f t="shared" si="111"/>
        <v>0</v>
      </c>
      <c r="P118" s="626">
        <f t="shared" si="112"/>
        <v>0</v>
      </c>
      <c r="Q118" s="626">
        <f t="shared" si="113"/>
        <v>0</v>
      </c>
      <c r="R118" s="625">
        <f t="array" ref="R118">IFERROR(INDEX(#REF!,MATCH($E118&amp;$F118,#REF!&amp;#REF!,0)),0)</f>
        <v>0</v>
      </c>
      <c r="S118" s="626">
        <f t="shared" si="114"/>
        <v>0</v>
      </c>
      <c r="T118" s="626">
        <f t="shared" si="115"/>
        <v>0</v>
      </c>
      <c r="U118" s="626">
        <f t="shared" si="116"/>
        <v>0</v>
      </c>
      <c r="V118" s="625">
        <f t="array" ref="V118">IFERROR(INDEX(#REF!,MATCH($E118&amp;$F118,#REF!&amp;#REF!,0)),0)</f>
        <v>0</v>
      </c>
      <c r="W118" s="626">
        <f t="shared" si="117"/>
        <v>0</v>
      </c>
      <c r="X118" s="626">
        <f t="shared" si="118"/>
        <v>0</v>
      </c>
      <c r="Y118" s="626">
        <f t="shared" si="119"/>
        <v>0</v>
      </c>
      <c r="Z118" s="630"/>
      <c r="AA118" s="625">
        <f t="array" ref="AA118">IFERROR(INDEX(#REF!,MATCH($E118&amp;$F118,#REF!&amp;#REF!,0)),0)</f>
        <v>0</v>
      </c>
      <c r="AB118" s="625">
        <f t="array" ref="AB118">IFERROR(INDEX(#REF!,MATCH($E118&amp;$F118,#REF!&amp;#REF!,0)),0)</f>
        <v>0</v>
      </c>
      <c r="AC118" s="626">
        <f t="shared" si="120"/>
        <v>0</v>
      </c>
      <c r="AD118" s="626">
        <f t="shared" si="121"/>
        <v>0</v>
      </c>
      <c r="AE118" s="626">
        <f t="shared" si="122"/>
        <v>0</v>
      </c>
      <c r="AF118" s="625">
        <f t="array" ref="AF118">IFERROR(INDEX(#REF!,MATCH($E118&amp;$F118,#REF!&amp;#REF!,0)),0)</f>
        <v>0</v>
      </c>
      <c r="AG118" s="626">
        <f t="shared" si="123"/>
        <v>0</v>
      </c>
      <c r="AH118" s="626">
        <f t="shared" si="124"/>
        <v>0</v>
      </c>
      <c r="AI118" s="626">
        <f t="shared" si="125"/>
        <v>0</v>
      </c>
      <c r="AJ118" s="625">
        <f t="array" ref="AJ118">IFERROR(INDEX(#REF!,MATCH($E118&amp;$F118,#REF!&amp;#REF!,0)),0)</f>
        <v>0</v>
      </c>
      <c r="AK118" s="626">
        <f t="shared" si="126"/>
        <v>0</v>
      </c>
      <c r="AL118" s="626">
        <f t="shared" si="127"/>
        <v>0</v>
      </c>
      <c r="AM118" s="626">
        <f t="shared" si="128"/>
        <v>0</v>
      </c>
      <c r="AN118" s="625">
        <f t="array" ref="AN118">IFERROR(INDEX(#REF!,MATCH($E118&amp;$F118,#REF!&amp;#REF!,0)),0)</f>
        <v>0</v>
      </c>
      <c r="AO118" s="626">
        <f t="shared" si="129"/>
        <v>0</v>
      </c>
      <c r="AP118" s="626">
        <f t="shared" si="130"/>
        <v>0</v>
      </c>
      <c r="AQ118" s="626">
        <f t="shared" si="131"/>
        <v>0</v>
      </c>
      <c r="AR118" s="630"/>
      <c r="AS118" s="625">
        <f t="array" ref="AS118">IFERROR(INDEX(#REF!,MATCH($E118&amp;$F118,#REF!&amp;#REF!,0)),0)</f>
        <v>0</v>
      </c>
      <c r="AT118" s="625">
        <f t="array" ref="AT118">IFERROR(INDEX(#REF!,MATCH($E118&amp;$F118,#REF!&amp;#REF!,0)),0)</f>
        <v>0</v>
      </c>
      <c r="AU118" s="626">
        <f t="shared" si="132"/>
        <v>0</v>
      </c>
      <c r="AV118" s="626">
        <f t="shared" si="133"/>
        <v>0</v>
      </c>
      <c r="AW118" s="626">
        <f t="shared" si="134"/>
        <v>0</v>
      </c>
      <c r="AX118" s="625">
        <f t="array" ref="AX118">IFERROR(INDEX(#REF!,MATCH($E118&amp;$F118,#REF!&amp;#REF!,0)),0)</f>
        <v>0</v>
      </c>
      <c r="AY118" s="626">
        <f t="shared" si="135"/>
        <v>0</v>
      </c>
      <c r="AZ118" s="626">
        <f t="shared" si="136"/>
        <v>0</v>
      </c>
      <c r="BA118" s="626">
        <f t="shared" si="137"/>
        <v>0</v>
      </c>
      <c r="BB118" s="625">
        <f t="array" ref="BB118">IFERROR(INDEX(#REF!,MATCH($E118&amp;$F118,#REF!&amp;#REF!,0)),0)</f>
        <v>0</v>
      </c>
      <c r="BC118" s="626">
        <f t="shared" si="138"/>
        <v>0</v>
      </c>
      <c r="BD118" s="626">
        <f t="shared" si="139"/>
        <v>0</v>
      </c>
      <c r="BE118" s="626">
        <f t="shared" si="140"/>
        <v>0</v>
      </c>
      <c r="BF118" s="625">
        <f t="array" ref="BF118">IFERROR(INDEX(#REF!,MATCH($E118&amp;$F118,#REF!&amp;#REF!,0)),0)</f>
        <v>0</v>
      </c>
      <c r="BG118" s="626">
        <f t="shared" si="141"/>
        <v>0</v>
      </c>
      <c r="BH118" s="626">
        <f t="shared" si="142"/>
        <v>0</v>
      </c>
      <c r="BI118" s="626">
        <f t="shared" si="143"/>
        <v>0</v>
      </c>
      <c r="BJ118" s="630"/>
      <c r="BK118" s="625"/>
      <c r="BL118" s="625"/>
      <c r="BM118" s="625"/>
      <c r="BN118" s="625"/>
      <c r="BO118" s="625"/>
      <c r="BP118" s="625"/>
      <c r="BQ118" s="625"/>
      <c r="BR118" s="625"/>
    </row>
    <row r="119" spans="1:70">
      <c r="A119" s="29" t="s">
        <v>1317</v>
      </c>
      <c r="B119" s="29" t="s">
        <v>1744</v>
      </c>
      <c r="C119" s="619">
        <f>SETUP!$F$39</f>
        <v>0</v>
      </c>
      <c r="D119" s="25">
        <v>4.5</v>
      </c>
      <c r="E119" s="26" t="s">
        <v>1358</v>
      </c>
      <c r="F119" s="26" t="s">
        <v>1362</v>
      </c>
      <c r="G119" s="625" t="str">
        <f t="array" ref="G119">IFERROR(INDEX(#REF!,MATCH($E119&amp;$F119,#REF!&amp;#REF!,0)),"")</f>
        <v/>
      </c>
      <c r="H119" s="625"/>
      <c r="I119" s="625">
        <f t="array" ref="I119">IFERROR(INDEX(#REF!,MATCH($E119&amp;$F119,#REF!&amp;#REF!,0)),0)</f>
        <v>0</v>
      </c>
      <c r="J119" s="625">
        <f t="array" ref="J119">IFERROR(INDEX(#REF!,MATCH($E119&amp;$F119,#REF!&amp;#REF!,0)),0)</f>
        <v>0</v>
      </c>
      <c r="K119" s="626">
        <f t="shared" si="108"/>
        <v>0</v>
      </c>
      <c r="L119" s="626">
        <f t="shared" si="109"/>
        <v>0</v>
      </c>
      <c r="M119" s="626">
        <f t="shared" si="110"/>
        <v>0</v>
      </c>
      <c r="N119" s="625">
        <f t="array" ref="N119">IFERROR(INDEX(#REF!,MATCH($E119&amp;$F119,#REF!&amp;#REF!,0)),0)</f>
        <v>0</v>
      </c>
      <c r="O119" s="626">
        <f t="shared" si="111"/>
        <v>0</v>
      </c>
      <c r="P119" s="626">
        <f t="shared" si="112"/>
        <v>0</v>
      </c>
      <c r="Q119" s="626">
        <f t="shared" si="113"/>
        <v>0</v>
      </c>
      <c r="R119" s="625">
        <f t="array" ref="R119">IFERROR(INDEX(#REF!,MATCH($E119&amp;$F119,#REF!&amp;#REF!,0)),0)</f>
        <v>0</v>
      </c>
      <c r="S119" s="626">
        <f t="shared" si="114"/>
        <v>0</v>
      </c>
      <c r="T119" s="626">
        <f t="shared" si="115"/>
        <v>0</v>
      </c>
      <c r="U119" s="626">
        <f t="shared" si="116"/>
        <v>0</v>
      </c>
      <c r="V119" s="625">
        <f t="array" ref="V119">IFERROR(INDEX(#REF!,MATCH($E119&amp;$F119,#REF!&amp;#REF!,0)),0)</f>
        <v>0</v>
      </c>
      <c r="W119" s="626">
        <f t="shared" si="117"/>
        <v>0</v>
      </c>
      <c r="X119" s="626">
        <f t="shared" si="118"/>
        <v>0</v>
      </c>
      <c r="Y119" s="626">
        <f t="shared" si="119"/>
        <v>0</v>
      </c>
      <c r="Z119" s="630"/>
      <c r="AA119" s="625">
        <f t="array" ref="AA119">IFERROR(INDEX(#REF!,MATCH($E119&amp;$F119,#REF!&amp;#REF!,0)),0)</f>
        <v>0</v>
      </c>
      <c r="AB119" s="625">
        <f t="array" ref="AB119">IFERROR(INDEX(#REF!,MATCH($E119&amp;$F119,#REF!&amp;#REF!,0)),0)</f>
        <v>0</v>
      </c>
      <c r="AC119" s="626">
        <f t="shared" si="120"/>
        <v>0</v>
      </c>
      <c r="AD119" s="626">
        <f t="shared" si="121"/>
        <v>0</v>
      </c>
      <c r="AE119" s="626">
        <f t="shared" si="122"/>
        <v>0</v>
      </c>
      <c r="AF119" s="625">
        <f t="array" ref="AF119">IFERROR(INDEX(#REF!,MATCH($E119&amp;$F119,#REF!&amp;#REF!,0)),0)</f>
        <v>0</v>
      </c>
      <c r="AG119" s="626">
        <f t="shared" si="123"/>
        <v>0</v>
      </c>
      <c r="AH119" s="626">
        <f t="shared" si="124"/>
        <v>0</v>
      </c>
      <c r="AI119" s="626">
        <f t="shared" si="125"/>
        <v>0</v>
      </c>
      <c r="AJ119" s="625">
        <f t="array" ref="AJ119">IFERROR(INDEX(#REF!,MATCH($E119&amp;$F119,#REF!&amp;#REF!,0)),0)</f>
        <v>0</v>
      </c>
      <c r="AK119" s="626">
        <f t="shared" si="126"/>
        <v>0</v>
      </c>
      <c r="AL119" s="626">
        <f t="shared" si="127"/>
        <v>0</v>
      </c>
      <c r="AM119" s="626">
        <f t="shared" si="128"/>
        <v>0</v>
      </c>
      <c r="AN119" s="625">
        <f t="array" ref="AN119">IFERROR(INDEX(#REF!,MATCH($E119&amp;$F119,#REF!&amp;#REF!,0)),0)</f>
        <v>0</v>
      </c>
      <c r="AO119" s="626">
        <f t="shared" si="129"/>
        <v>0</v>
      </c>
      <c r="AP119" s="626">
        <f t="shared" si="130"/>
        <v>0</v>
      </c>
      <c r="AQ119" s="626">
        <f t="shared" si="131"/>
        <v>0</v>
      </c>
      <c r="AR119" s="630"/>
      <c r="AS119" s="625">
        <f t="array" ref="AS119">IFERROR(INDEX(#REF!,MATCH($E119&amp;$F119,#REF!&amp;#REF!,0)),0)</f>
        <v>0</v>
      </c>
      <c r="AT119" s="625">
        <f t="array" ref="AT119">IFERROR(INDEX(#REF!,MATCH($E119&amp;$F119,#REF!&amp;#REF!,0)),0)</f>
        <v>0</v>
      </c>
      <c r="AU119" s="626">
        <f t="shared" si="132"/>
        <v>0</v>
      </c>
      <c r="AV119" s="626">
        <f t="shared" si="133"/>
        <v>0</v>
      </c>
      <c r="AW119" s="626">
        <f t="shared" si="134"/>
        <v>0</v>
      </c>
      <c r="AX119" s="625">
        <f t="array" ref="AX119">IFERROR(INDEX(#REF!,MATCH($E119&amp;$F119,#REF!&amp;#REF!,0)),0)</f>
        <v>0</v>
      </c>
      <c r="AY119" s="626">
        <f t="shared" si="135"/>
        <v>0</v>
      </c>
      <c r="AZ119" s="626">
        <f t="shared" si="136"/>
        <v>0</v>
      </c>
      <c r="BA119" s="626">
        <f t="shared" si="137"/>
        <v>0</v>
      </c>
      <c r="BB119" s="625">
        <f t="array" ref="BB119">IFERROR(INDEX(#REF!,MATCH($E119&amp;$F119,#REF!&amp;#REF!,0)),0)</f>
        <v>0</v>
      </c>
      <c r="BC119" s="626">
        <f t="shared" si="138"/>
        <v>0</v>
      </c>
      <c r="BD119" s="626">
        <f t="shared" si="139"/>
        <v>0</v>
      </c>
      <c r="BE119" s="626">
        <f t="shared" si="140"/>
        <v>0</v>
      </c>
      <c r="BF119" s="625">
        <f t="array" ref="BF119">IFERROR(INDEX(#REF!,MATCH($E119&amp;$F119,#REF!&amp;#REF!,0)),0)</f>
        <v>0</v>
      </c>
      <c r="BG119" s="626">
        <f t="shared" si="141"/>
        <v>0</v>
      </c>
      <c r="BH119" s="626">
        <f t="shared" si="142"/>
        <v>0</v>
      </c>
      <c r="BI119" s="626">
        <f t="shared" si="143"/>
        <v>0</v>
      </c>
      <c r="BJ119" s="630"/>
      <c r="BK119" s="625"/>
      <c r="BL119" s="625"/>
      <c r="BM119" s="625"/>
      <c r="BN119" s="625"/>
      <c r="BO119" s="625"/>
      <c r="BP119" s="625"/>
      <c r="BQ119" s="625"/>
      <c r="BR119" s="625"/>
    </row>
    <row r="120" spans="1:70">
      <c r="A120" s="29" t="s">
        <v>1317</v>
      </c>
      <c r="B120" s="29" t="s">
        <v>1744</v>
      </c>
      <c r="C120" s="619">
        <f>SETUP!$F$39</f>
        <v>0</v>
      </c>
      <c r="D120" s="25">
        <v>4.5</v>
      </c>
      <c r="E120" s="26" t="s">
        <v>1363</v>
      </c>
      <c r="F120" s="26" t="s">
        <v>1364</v>
      </c>
      <c r="G120" s="625" t="str">
        <f t="array" ref="G120">IFERROR(INDEX(#REF!,MATCH($E120&amp;$F120,#REF!&amp;#REF!,0)),"")</f>
        <v/>
      </c>
      <c r="H120" s="625"/>
      <c r="I120" s="625">
        <f t="array" ref="I120">IFERROR(INDEX(#REF!,MATCH($E120&amp;$F120,#REF!&amp;#REF!,0)),0)</f>
        <v>0</v>
      </c>
      <c r="J120" s="625">
        <f t="array" ref="J120">IFERROR(INDEX(#REF!,MATCH($E120&amp;$F120,#REF!&amp;#REF!,0)),0)</f>
        <v>0</v>
      </c>
      <c r="K120" s="626">
        <f t="shared" si="108"/>
        <v>0</v>
      </c>
      <c r="L120" s="626">
        <f t="shared" si="109"/>
        <v>0</v>
      </c>
      <c r="M120" s="626">
        <f t="shared" si="110"/>
        <v>0</v>
      </c>
      <c r="N120" s="625">
        <f t="array" ref="N120">IFERROR(INDEX(#REF!,MATCH($E120&amp;$F120,#REF!&amp;#REF!,0)),0)</f>
        <v>0</v>
      </c>
      <c r="O120" s="626">
        <f t="shared" si="111"/>
        <v>0</v>
      </c>
      <c r="P120" s="626">
        <f t="shared" si="112"/>
        <v>0</v>
      </c>
      <c r="Q120" s="626">
        <f t="shared" si="113"/>
        <v>0</v>
      </c>
      <c r="R120" s="625">
        <f t="array" ref="R120">IFERROR(INDEX(#REF!,MATCH($E120&amp;$F120,#REF!&amp;#REF!,0)),0)</f>
        <v>0</v>
      </c>
      <c r="S120" s="626">
        <f t="shared" si="114"/>
        <v>0</v>
      </c>
      <c r="T120" s="626">
        <f t="shared" si="115"/>
        <v>0</v>
      </c>
      <c r="U120" s="626">
        <f t="shared" si="116"/>
        <v>0</v>
      </c>
      <c r="V120" s="625">
        <f t="array" ref="V120">IFERROR(INDEX(#REF!,MATCH($E120&amp;$F120,#REF!&amp;#REF!,0)),0)</f>
        <v>0</v>
      </c>
      <c r="W120" s="626">
        <f t="shared" si="117"/>
        <v>0</v>
      </c>
      <c r="X120" s="626">
        <f t="shared" si="118"/>
        <v>0</v>
      </c>
      <c r="Y120" s="626">
        <f t="shared" si="119"/>
        <v>0</v>
      </c>
      <c r="Z120" s="630"/>
      <c r="AA120" s="625">
        <f t="array" ref="AA120">IFERROR(INDEX(#REF!,MATCH($E120&amp;$F120,#REF!&amp;#REF!,0)),0)</f>
        <v>0</v>
      </c>
      <c r="AB120" s="625">
        <f t="array" ref="AB120">IFERROR(INDEX(#REF!,MATCH($E120&amp;$F120,#REF!&amp;#REF!,0)),0)</f>
        <v>0</v>
      </c>
      <c r="AC120" s="626">
        <f t="shared" si="120"/>
        <v>0</v>
      </c>
      <c r="AD120" s="626">
        <f t="shared" si="121"/>
        <v>0</v>
      </c>
      <c r="AE120" s="626">
        <f t="shared" si="122"/>
        <v>0</v>
      </c>
      <c r="AF120" s="625">
        <f t="array" ref="AF120">IFERROR(INDEX(#REF!,MATCH($E120&amp;$F120,#REF!&amp;#REF!,0)),0)</f>
        <v>0</v>
      </c>
      <c r="AG120" s="626">
        <f t="shared" si="123"/>
        <v>0</v>
      </c>
      <c r="AH120" s="626">
        <f t="shared" si="124"/>
        <v>0</v>
      </c>
      <c r="AI120" s="626">
        <f t="shared" si="125"/>
        <v>0</v>
      </c>
      <c r="AJ120" s="625">
        <f t="array" ref="AJ120">IFERROR(INDEX(#REF!,MATCH($E120&amp;$F120,#REF!&amp;#REF!,0)),0)</f>
        <v>0</v>
      </c>
      <c r="AK120" s="626">
        <f t="shared" si="126"/>
        <v>0</v>
      </c>
      <c r="AL120" s="626">
        <f t="shared" si="127"/>
        <v>0</v>
      </c>
      <c r="AM120" s="626">
        <f t="shared" si="128"/>
        <v>0</v>
      </c>
      <c r="AN120" s="625">
        <f t="array" ref="AN120">IFERROR(INDEX(#REF!,MATCH($E120&amp;$F120,#REF!&amp;#REF!,0)),0)</f>
        <v>0</v>
      </c>
      <c r="AO120" s="626">
        <f t="shared" si="129"/>
        <v>0</v>
      </c>
      <c r="AP120" s="626">
        <f t="shared" si="130"/>
        <v>0</v>
      </c>
      <c r="AQ120" s="626">
        <f t="shared" si="131"/>
        <v>0</v>
      </c>
      <c r="AR120" s="630"/>
      <c r="AS120" s="625">
        <f t="array" ref="AS120">IFERROR(INDEX(#REF!,MATCH($E120&amp;$F120,#REF!&amp;#REF!,0)),0)</f>
        <v>0</v>
      </c>
      <c r="AT120" s="625">
        <f t="array" ref="AT120">IFERROR(INDEX(#REF!,MATCH($E120&amp;$F120,#REF!&amp;#REF!,0)),0)</f>
        <v>0</v>
      </c>
      <c r="AU120" s="626">
        <f t="shared" si="132"/>
        <v>0</v>
      </c>
      <c r="AV120" s="626">
        <f t="shared" si="133"/>
        <v>0</v>
      </c>
      <c r="AW120" s="626">
        <f t="shared" si="134"/>
        <v>0</v>
      </c>
      <c r="AX120" s="625">
        <f t="array" ref="AX120">IFERROR(INDEX(#REF!,MATCH($E120&amp;$F120,#REF!&amp;#REF!,0)),0)</f>
        <v>0</v>
      </c>
      <c r="AY120" s="626">
        <f t="shared" si="135"/>
        <v>0</v>
      </c>
      <c r="AZ120" s="626">
        <f t="shared" si="136"/>
        <v>0</v>
      </c>
      <c r="BA120" s="626">
        <f t="shared" si="137"/>
        <v>0</v>
      </c>
      <c r="BB120" s="625">
        <f t="array" ref="BB120">IFERROR(INDEX(#REF!,MATCH($E120&amp;$F120,#REF!&amp;#REF!,0)),0)</f>
        <v>0</v>
      </c>
      <c r="BC120" s="626">
        <f t="shared" si="138"/>
        <v>0</v>
      </c>
      <c r="BD120" s="626">
        <f t="shared" si="139"/>
        <v>0</v>
      </c>
      <c r="BE120" s="626">
        <f t="shared" si="140"/>
        <v>0</v>
      </c>
      <c r="BF120" s="625">
        <f t="array" ref="BF120">IFERROR(INDEX(#REF!,MATCH($E120&amp;$F120,#REF!&amp;#REF!,0)),0)</f>
        <v>0</v>
      </c>
      <c r="BG120" s="626">
        <f t="shared" si="141"/>
        <v>0</v>
      </c>
      <c r="BH120" s="626">
        <f t="shared" si="142"/>
        <v>0</v>
      </c>
      <c r="BI120" s="626">
        <f t="shared" si="143"/>
        <v>0</v>
      </c>
      <c r="BJ120" s="630"/>
      <c r="BK120" s="625"/>
      <c r="BL120" s="625"/>
      <c r="BM120" s="625"/>
      <c r="BN120" s="625"/>
      <c r="BO120" s="625"/>
      <c r="BP120" s="625"/>
      <c r="BQ120" s="625"/>
      <c r="BR120" s="625"/>
    </row>
    <row r="121" spans="1:70">
      <c r="A121" s="29" t="s">
        <v>1317</v>
      </c>
      <c r="B121" s="29" t="s">
        <v>1744</v>
      </c>
      <c r="C121" s="619">
        <f>SETUP!$F$39</f>
        <v>0</v>
      </c>
      <c r="D121" s="25">
        <v>4.5</v>
      </c>
      <c r="E121" s="26" t="s">
        <v>1365</v>
      </c>
      <c r="F121" s="26" t="s">
        <v>1366</v>
      </c>
      <c r="G121" s="625" t="str">
        <f t="array" ref="G121">IFERROR(INDEX(#REF!,MATCH($E121&amp;$F121,#REF!&amp;#REF!,0)),"")</f>
        <v/>
      </c>
      <c r="H121" s="625"/>
      <c r="I121" s="625">
        <f t="array" ref="I121">IFERROR(INDEX(#REF!,MATCH($E121&amp;$F121,#REF!&amp;#REF!,0)),0)</f>
        <v>0</v>
      </c>
      <c r="J121" s="625">
        <f t="array" ref="J121">IFERROR(INDEX(#REF!,MATCH($E121&amp;$F121,#REF!&amp;#REF!,0)),0)</f>
        <v>0</v>
      </c>
      <c r="K121" s="626">
        <f t="shared" si="108"/>
        <v>0</v>
      </c>
      <c r="L121" s="626">
        <f t="shared" si="109"/>
        <v>0</v>
      </c>
      <c r="M121" s="626">
        <f t="shared" si="110"/>
        <v>0</v>
      </c>
      <c r="N121" s="625">
        <f t="array" ref="N121">IFERROR(INDEX(#REF!,MATCH($E121&amp;$F121,#REF!&amp;#REF!,0)),0)</f>
        <v>0</v>
      </c>
      <c r="O121" s="626">
        <f t="shared" si="111"/>
        <v>0</v>
      </c>
      <c r="P121" s="626">
        <f t="shared" si="112"/>
        <v>0</v>
      </c>
      <c r="Q121" s="626">
        <f t="shared" si="113"/>
        <v>0</v>
      </c>
      <c r="R121" s="625">
        <f t="array" ref="R121">IFERROR(INDEX(#REF!,MATCH($E121&amp;$F121,#REF!&amp;#REF!,0)),0)</f>
        <v>0</v>
      </c>
      <c r="S121" s="626">
        <f t="shared" si="114"/>
        <v>0</v>
      </c>
      <c r="T121" s="626">
        <f t="shared" si="115"/>
        <v>0</v>
      </c>
      <c r="U121" s="626">
        <f t="shared" si="116"/>
        <v>0</v>
      </c>
      <c r="V121" s="625">
        <f t="array" ref="V121">IFERROR(INDEX(#REF!,MATCH($E121&amp;$F121,#REF!&amp;#REF!,0)),0)</f>
        <v>0</v>
      </c>
      <c r="W121" s="626">
        <f t="shared" si="117"/>
        <v>0</v>
      </c>
      <c r="X121" s="626">
        <f t="shared" si="118"/>
        <v>0</v>
      </c>
      <c r="Y121" s="626">
        <f t="shared" si="119"/>
        <v>0</v>
      </c>
      <c r="Z121" s="630"/>
      <c r="AA121" s="625">
        <f t="array" ref="AA121">IFERROR(INDEX(#REF!,MATCH($E121&amp;$F121,#REF!&amp;#REF!,0)),0)</f>
        <v>0</v>
      </c>
      <c r="AB121" s="625">
        <f t="array" ref="AB121">IFERROR(INDEX(#REF!,MATCH($E121&amp;$F121,#REF!&amp;#REF!,0)),0)</f>
        <v>0</v>
      </c>
      <c r="AC121" s="626">
        <f t="shared" si="120"/>
        <v>0</v>
      </c>
      <c r="AD121" s="626">
        <f t="shared" si="121"/>
        <v>0</v>
      </c>
      <c r="AE121" s="626">
        <f t="shared" si="122"/>
        <v>0</v>
      </c>
      <c r="AF121" s="625">
        <f t="array" ref="AF121">IFERROR(INDEX(#REF!,MATCH($E121&amp;$F121,#REF!&amp;#REF!,0)),0)</f>
        <v>0</v>
      </c>
      <c r="AG121" s="626">
        <f t="shared" si="123"/>
        <v>0</v>
      </c>
      <c r="AH121" s="626">
        <f t="shared" si="124"/>
        <v>0</v>
      </c>
      <c r="AI121" s="626">
        <f t="shared" si="125"/>
        <v>0</v>
      </c>
      <c r="AJ121" s="625">
        <f t="array" ref="AJ121">IFERROR(INDEX(#REF!,MATCH($E121&amp;$F121,#REF!&amp;#REF!,0)),0)</f>
        <v>0</v>
      </c>
      <c r="AK121" s="626">
        <f t="shared" si="126"/>
        <v>0</v>
      </c>
      <c r="AL121" s="626">
        <f t="shared" si="127"/>
        <v>0</v>
      </c>
      <c r="AM121" s="626">
        <f t="shared" si="128"/>
        <v>0</v>
      </c>
      <c r="AN121" s="625">
        <f t="array" ref="AN121">IFERROR(INDEX(#REF!,MATCH($E121&amp;$F121,#REF!&amp;#REF!,0)),0)</f>
        <v>0</v>
      </c>
      <c r="AO121" s="626">
        <f t="shared" si="129"/>
        <v>0</v>
      </c>
      <c r="AP121" s="626">
        <f t="shared" si="130"/>
        <v>0</v>
      </c>
      <c r="AQ121" s="626">
        <f t="shared" si="131"/>
        <v>0</v>
      </c>
      <c r="AR121" s="630"/>
      <c r="AS121" s="625">
        <f t="array" ref="AS121">IFERROR(INDEX(#REF!,MATCH($E121&amp;$F121,#REF!&amp;#REF!,0)),0)</f>
        <v>0</v>
      </c>
      <c r="AT121" s="625">
        <f t="array" ref="AT121">IFERROR(INDEX(#REF!,MATCH($E121&amp;$F121,#REF!&amp;#REF!,0)),0)</f>
        <v>0</v>
      </c>
      <c r="AU121" s="626">
        <f t="shared" si="132"/>
        <v>0</v>
      </c>
      <c r="AV121" s="626">
        <f t="shared" si="133"/>
        <v>0</v>
      </c>
      <c r="AW121" s="626">
        <f t="shared" si="134"/>
        <v>0</v>
      </c>
      <c r="AX121" s="625">
        <f t="array" ref="AX121">IFERROR(INDEX(#REF!,MATCH($E121&amp;$F121,#REF!&amp;#REF!,0)),0)</f>
        <v>0</v>
      </c>
      <c r="AY121" s="626">
        <f t="shared" si="135"/>
        <v>0</v>
      </c>
      <c r="AZ121" s="626">
        <f t="shared" si="136"/>
        <v>0</v>
      </c>
      <c r="BA121" s="626">
        <f t="shared" si="137"/>
        <v>0</v>
      </c>
      <c r="BB121" s="625">
        <f t="array" ref="BB121">IFERROR(INDEX(#REF!,MATCH($E121&amp;$F121,#REF!&amp;#REF!,0)),0)</f>
        <v>0</v>
      </c>
      <c r="BC121" s="626">
        <f t="shared" si="138"/>
        <v>0</v>
      </c>
      <c r="BD121" s="626">
        <f t="shared" si="139"/>
        <v>0</v>
      </c>
      <c r="BE121" s="626">
        <f t="shared" si="140"/>
        <v>0</v>
      </c>
      <c r="BF121" s="625">
        <f t="array" ref="BF121">IFERROR(INDEX(#REF!,MATCH($E121&amp;$F121,#REF!&amp;#REF!,0)),0)</f>
        <v>0</v>
      </c>
      <c r="BG121" s="626">
        <f t="shared" si="141"/>
        <v>0</v>
      </c>
      <c r="BH121" s="626">
        <f t="shared" si="142"/>
        <v>0</v>
      </c>
      <c r="BI121" s="626">
        <f t="shared" si="143"/>
        <v>0</v>
      </c>
      <c r="BJ121" s="630"/>
      <c r="BK121" s="625"/>
      <c r="BL121" s="625"/>
      <c r="BM121" s="625"/>
      <c r="BN121" s="625"/>
      <c r="BO121" s="625"/>
      <c r="BP121" s="625"/>
      <c r="BQ121" s="625"/>
      <c r="BR121" s="625"/>
    </row>
    <row r="122" spans="1:70">
      <c r="A122" s="29" t="s">
        <v>1317</v>
      </c>
      <c r="B122" s="29" t="s">
        <v>1744</v>
      </c>
      <c r="C122" s="619">
        <f>SETUP!$F$39</f>
        <v>0</v>
      </c>
      <c r="D122" s="25">
        <v>4.5</v>
      </c>
      <c r="E122" s="26" t="s">
        <v>181</v>
      </c>
      <c r="F122" s="26" t="s">
        <v>1140</v>
      </c>
      <c r="G122" s="625" t="str">
        <f t="array" ref="G122">IFERROR(INDEX(#REF!,MATCH($E122&amp;$F122,#REF!&amp;#REF!,0)),"")</f>
        <v/>
      </c>
      <c r="H122" s="625"/>
      <c r="I122" s="625">
        <f t="array" ref="I122">IFERROR(INDEX(#REF!,MATCH($E122&amp;$F122,#REF!&amp;#REF!,0)),0)</f>
        <v>0</v>
      </c>
      <c r="J122" s="625">
        <f t="array" ref="J122">IFERROR(INDEX(#REF!,MATCH($E122&amp;$F122,#REF!&amp;#REF!,0)),0)</f>
        <v>0</v>
      </c>
      <c r="K122" s="626">
        <f t="shared" si="108"/>
        <v>0</v>
      </c>
      <c r="L122" s="626">
        <f t="shared" si="109"/>
        <v>0</v>
      </c>
      <c r="M122" s="626">
        <f t="shared" si="110"/>
        <v>0</v>
      </c>
      <c r="N122" s="625">
        <f t="array" ref="N122">IFERROR(INDEX(#REF!,MATCH($E122&amp;$F122,#REF!&amp;#REF!,0)),0)</f>
        <v>0</v>
      </c>
      <c r="O122" s="626">
        <f t="shared" si="111"/>
        <v>0</v>
      </c>
      <c r="P122" s="626">
        <f t="shared" si="112"/>
        <v>0</v>
      </c>
      <c r="Q122" s="626">
        <f t="shared" si="113"/>
        <v>0</v>
      </c>
      <c r="R122" s="625">
        <f t="array" ref="R122">IFERROR(INDEX(#REF!,MATCH($E122&amp;$F122,#REF!&amp;#REF!,0)),0)</f>
        <v>0</v>
      </c>
      <c r="S122" s="626">
        <f t="shared" si="114"/>
        <v>0</v>
      </c>
      <c r="T122" s="626">
        <f t="shared" si="115"/>
        <v>0</v>
      </c>
      <c r="U122" s="626">
        <f t="shared" si="116"/>
        <v>0</v>
      </c>
      <c r="V122" s="625">
        <f t="array" ref="V122">IFERROR(INDEX(#REF!,MATCH($E122&amp;$F122,#REF!&amp;#REF!,0)),0)</f>
        <v>0</v>
      </c>
      <c r="W122" s="626">
        <f t="shared" si="117"/>
        <v>0</v>
      </c>
      <c r="X122" s="626">
        <f t="shared" si="118"/>
        <v>0</v>
      </c>
      <c r="Y122" s="626">
        <f t="shared" si="119"/>
        <v>0</v>
      </c>
      <c r="Z122" s="630"/>
      <c r="AA122" s="625">
        <f t="array" ref="AA122">IFERROR(INDEX(#REF!,MATCH($E122&amp;$F122,#REF!&amp;#REF!,0)),0)</f>
        <v>0</v>
      </c>
      <c r="AB122" s="625">
        <f t="array" ref="AB122">IFERROR(INDEX(#REF!,MATCH($E122&amp;$F122,#REF!&amp;#REF!,0)),0)</f>
        <v>0</v>
      </c>
      <c r="AC122" s="626">
        <f t="shared" si="120"/>
        <v>0</v>
      </c>
      <c r="AD122" s="626">
        <f t="shared" si="121"/>
        <v>0</v>
      </c>
      <c r="AE122" s="626">
        <f t="shared" si="122"/>
        <v>0</v>
      </c>
      <c r="AF122" s="625">
        <f t="array" ref="AF122">IFERROR(INDEX(#REF!,MATCH($E122&amp;$F122,#REF!&amp;#REF!,0)),0)</f>
        <v>0</v>
      </c>
      <c r="AG122" s="626">
        <f t="shared" si="123"/>
        <v>0</v>
      </c>
      <c r="AH122" s="626">
        <f t="shared" si="124"/>
        <v>0</v>
      </c>
      <c r="AI122" s="626">
        <f t="shared" si="125"/>
        <v>0</v>
      </c>
      <c r="AJ122" s="625">
        <f t="array" ref="AJ122">IFERROR(INDEX(#REF!,MATCH($E122&amp;$F122,#REF!&amp;#REF!,0)),0)</f>
        <v>0</v>
      </c>
      <c r="AK122" s="626">
        <f t="shared" si="126"/>
        <v>0</v>
      </c>
      <c r="AL122" s="626">
        <f t="shared" si="127"/>
        <v>0</v>
      </c>
      <c r="AM122" s="626">
        <f t="shared" si="128"/>
        <v>0</v>
      </c>
      <c r="AN122" s="625">
        <f t="array" ref="AN122">IFERROR(INDEX(#REF!,MATCH($E122&amp;$F122,#REF!&amp;#REF!,0)),0)</f>
        <v>0</v>
      </c>
      <c r="AO122" s="626">
        <f t="shared" si="129"/>
        <v>0</v>
      </c>
      <c r="AP122" s="626">
        <f t="shared" si="130"/>
        <v>0</v>
      </c>
      <c r="AQ122" s="626">
        <f t="shared" si="131"/>
        <v>0</v>
      </c>
      <c r="AR122" s="630"/>
      <c r="AS122" s="625">
        <f t="array" ref="AS122">IFERROR(INDEX(#REF!,MATCH($E122&amp;$F122,#REF!&amp;#REF!,0)),0)</f>
        <v>0</v>
      </c>
      <c r="AT122" s="625">
        <f t="array" ref="AT122">IFERROR(INDEX(#REF!,MATCH($E122&amp;$F122,#REF!&amp;#REF!,0)),0)</f>
        <v>0</v>
      </c>
      <c r="AU122" s="626">
        <f t="shared" si="132"/>
        <v>0</v>
      </c>
      <c r="AV122" s="626">
        <f t="shared" si="133"/>
        <v>0</v>
      </c>
      <c r="AW122" s="626">
        <f t="shared" si="134"/>
        <v>0</v>
      </c>
      <c r="AX122" s="625">
        <f t="array" ref="AX122">IFERROR(INDEX(#REF!,MATCH($E122&amp;$F122,#REF!&amp;#REF!,0)),0)</f>
        <v>0</v>
      </c>
      <c r="AY122" s="626">
        <f t="shared" si="135"/>
        <v>0</v>
      </c>
      <c r="AZ122" s="626">
        <f t="shared" si="136"/>
        <v>0</v>
      </c>
      <c r="BA122" s="626">
        <f t="shared" si="137"/>
        <v>0</v>
      </c>
      <c r="BB122" s="625">
        <f t="array" ref="BB122">IFERROR(INDEX(#REF!,MATCH($E122&amp;$F122,#REF!&amp;#REF!,0)),0)</f>
        <v>0</v>
      </c>
      <c r="BC122" s="626">
        <f t="shared" si="138"/>
        <v>0</v>
      </c>
      <c r="BD122" s="626">
        <f t="shared" si="139"/>
        <v>0</v>
      </c>
      <c r="BE122" s="626">
        <f t="shared" si="140"/>
        <v>0</v>
      </c>
      <c r="BF122" s="625">
        <f t="array" ref="BF122">IFERROR(INDEX(#REF!,MATCH($E122&amp;$F122,#REF!&amp;#REF!,0)),0)</f>
        <v>0</v>
      </c>
      <c r="BG122" s="626">
        <f t="shared" si="141"/>
        <v>0</v>
      </c>
      <c r="BH122" s="626">
        <f t="shared" si="142"/>
        <v>0</v>
      </c>
      <c r="BI122" s="626">
        <f t="shared" si="143"/>
        <v>0</v>
      </c>
      <c r="BJ122" s="630"/>
      <c r="BK122" s="625"/>
      <c r="BL122" s="625"/>
      <c r="BM122" s="625"/>
      <c r="BN122" s="625"/>
      <c r="BO122" s="625"/>
      <c r="BP122" s="625"/>
      <c r="BQ122" s="625"/>
      <c r="BR122" s="625"/>
    </row>
    <row r="123" spans="1:70">
      <c r="A123" s="29" t="s">
        <v>1317</v>
      </c>
      <c r="B123" s="29" t="s">
        <v>1744</v>
      </c>
      <c r="C123" s="619">
        <f>SETUP!$F$39</f>
        <v>0</v>
      </c>
      <c r="D123" s="25">
        <v>4.5</v>
      </c>
      <c r="E123" s="26" t="s">
        <v>1373</v>
      </c>
      <c r="F123" s="26" t="s">
        <v>1446</v>
      </c>
      <c r="G123" s="625" t="str">
        <f t="array" ref="G123">IFERROR(INDEX(#REF!,MATCH($E123&amp;$F123,#REF!&amp;#REF!,0)),"")</f>
        <v/>
      </c>
      <c r="H123" s="625"/>
      <c r="I123" s="625">
        <f t="array" ref="I123">IFERROR(INDEX(#REF!,MATCH($E123&amp;$F123,#REF!&amp;#REF!,0)),0)</f>
        <v>0</v>
      </c>
      <c r="J123" s="625">
        <f t="array" ref="J123">IFERROR(INDEX(#REF!,MATCH($E123&amp;$F123,#REF!&amp;#REF!,0)),0)</f>
        <v>0</v>
      </c>
      <c r="K123" s="626">
        <f t="shared" si="108"/>
        <v>0</v>
      </c>
      <c r="L123" s="626">
        <f t="shared" si="109"/>
        <v>0</v>
      </c>
      <c r="M123" s="626">
        <f t="shared" si="110"/>
        <v>0</v>
      </c>
      <c r="N123" s="625">
        <f t="array" ref="N123">IFERROR(INDEX(#REF!,MATCH($E123&amp;$F123,#REF!&amp;#REF!,0)),0)</f>
        <v>0</v>
      </c>
      <c r="O123" s="626">
        <f t="shared" si="111"/>
        <v>0</v>
      </c>
      <c r="P123" s="626">
        <f t="shared" si="112"/>
        <v>0</v>
      </c>
      <c r="Q123" s="626">
        <f t="shared" si="113"/>
        <v>0</v>
      </c>
      <c r="R123" s="625">
        <f t="array" ref="R123">IFERROR(INDEX(#REF!,MATCH($E123&amp;$F123,#REF!&amp;#REF!,0)),0)</f>
        <v>0</v>
      </c>
      <c r="S123" s="626">
        <f t="shared" si="114"/>
        <v>0</v>
      </c>
      <c r="T123" s="626">
        <f t="shared" si="115"/>
        <v>0</v>
      </c>
      <c r="U123" s="626">
        <f t="shared" si="116"/>
        <v>0</v>
      </c>
      <c r="V123" s="625">
        <f t="array" ref="V123">IFERROR(INDEX(#REF!,MATCH($E123&amp;$F123,#REF!&amp;#REF!,0)),0)</f>
        <v>0</v>
      </c>
      <c r="W123" s="626">
        <f t="shared" si="117"/>
        <v>0</v>
      </c>
      <c r="X123" s="626">
        <f t="shared" si="118"/>
        <v>0</v>
      </c>
      <c r="Y123" s="626">
        <f t="shared" si="119"/>
        <v>0</v>
      </c>
      <c r="Z123" s="630"/>
      <c r="AA123" s="625">
        <f t="array" ref="AA123">IFERROR(INDEX(#REF!,MATCH($E123&amp;$F123,#REF!&amp;#REF!,0)),0)</f>
        <v>0</v>
      </c>
      <c r="AB123" s="625">
        <f t="array" ref="AB123">IFERROR(INDEX(#REF!,MATCH($E123&amp;$F123,#REF!&amp;#REF!,0)),0)</f>
        <v>0</v>
      </c>
      <c r="AC123" s="626">
        <f t="shared" si="120"/>
        <v>0</v>
      </c>
      <c r="AD123" s="626">
        <f t="shared" si="121"/>
        <v>0</v>
      </c>
      <c r="AE123" s="626">
        <f t="shared" si="122"/>
        <v>0</v>
      </c>
      <c r="AF123" s="625">
        <f t="array" ref="AF123">IFERROR(INDEX(#REF!,MATCH($E123&amp;$F123,#REF!&amp;#REF!,0)),0)</f>
        <v>0</v>
      </c>
      <c r="AG123" s="626">
        <f t="shared" si="123"/>
        <v>0</v>
      </c>
      <c r="AH123" s="626">
        <f t="shared" si="124"/>
        <v>0</v>
      </c>
      <c r="AI123" s="626">
        <f t="shared" si="125"/>
        <v>0</v>
      </c>
      <c r="AJ123" s="625">
        <f t="array" ref="AJ123">IFERROR(INDEX(#REF!,MATCH($E123&amp;$F123,#REF!&amp;#REF!,0)),0)</f>
        <v>0</v>
      </c>
      <c r="AK123" s="626">
        <f t="shared" si="126"/>
        <v>0</v>
      </c>
      <c r="AL123" s="626">
        <f t="shared" si="127"/>
        <v>0</v>
      </c>
      <c r="AM123" s="626">
        <f t="shared" si="128"/>
        <v>0</v>
      </c>
      <c r="AN123" s="625">
        <f t="array" ref="AN123">IFERROR(INDEX(#REF!,MATCH($E123&amp;$F123,#REF!&amp;#REF!,0)),0)</f>
        <v>0</v>
      </c>
      <c r="AO123" s="626">
        <f t="shared" si="129"/>
        <v>0</v>
      </c>
      <c r="AP123" s="626">
        <f t="shared" si="130"/>
        <v>0</v>
      </c>
      <c r="AQ123" s="626">
        <f t="shared" si="131"/>
        <v>0</v>
      </c>
      <c r="AR123" s="630"/>
      <c r="AS123" s="625">
        <f t="array" ref="AS123">IFERROR(INDEX(#REF!,MATCH($E123&amp;$F123,#REF!&amp;#REF!,0)),0)</f>
        <v>0</v>
      </c>
      <c r="AT123" s="625">
        <f t="array" ref="AT123">IFERROR(INDEX(#REF!,MATCH($E123&amp;$F123,#REF!&amp;#REF!,0)),0)</f>
        <v>0</v>
      </c>
      <c r="AU123" s="626">
        <f t="shared" si="132"/>
        <v>0</v>
      </c>
      <c r="AV123" s="626">
        <f t="shared" si="133"/>
        <v>0</v>
      </c>
      <c r="AW123" s="626">
        <f t="shared" si="134"/>
        <v>0</v>
      </c>
      <c r="AX123" s="625">
        <f t="array" ref="AX123">IFERROR(INDEX(#REF!,MATCH($E123&amp;$F123,#REF!&amp;#REF!,0)),0)</f>
        <v>0</v>
      </c>
      <c r="AY123" s="626">
        <f t="shared" si="135"/>
        <v>0</v>
      </c>
      <c r="AZ123" s="626">
        <f t="shared" si="136"/>
        <v>0</v>
      </c>
      <c r="BA123" s="626">
        <f t="shared" si="137"/>
        <v>0</v>
      </c>
      <c r="BB123" s="625">
        <f t="array" ref="BB123">IFERROR(INDEX(#REF!,MATCH($E123&amp;$F123,#REF!&amp;#REF!,0)),0)</f>
        <v>0</v>
      </c>
      <c r="BC123" s="626">
        <f t="shared" si="138"/>
        <v>0</v>
      </c>
      <c r="BD123" s="626">
        <f t="shared" si="139"/>
        <v>0</v>
      </c>
      <c r="BE123" s="626">
        <f t="shared" si="140"/>
        <v>0</v>
      </c>
      <c r="BF123" s="625">
        <f t="array" ref="BF123">IFERROR(INDEX(#REF!,MATCH($E123&amp;$F123,#REF!&amp;#REF!,0)),0)</f>
        <v>0</v>
      </c>
      <c r="BG123" s="626">
        <f t="shared" si="141"/>
        <v>0</v>
      </c>
      <c r="BH123" s="626">
        <f t="shared" si="142"/>
        <v>0</v>
      </c>
      <c r="BI123" s="626">
        <f t="shared" si="143"/>
        <v>0</v>
      </c>
      <c r="BJ123" s="630"/>
      <c r="BK123" s="625"/>
      <c r="BL123" s="625"/>
      <c r="BM123" s="625"/>
      <c r="BN123" s="625"/>
      <c r="BO123" s="625"/>
      <c r="BP123" s="625"/>
      <c r="BQ123" s="625"/>
      <c r="BR123" s="625"/>
    </row>
    <row r="124" spans="1:70">
      <c r="A124" s="29" t="s">
        <v>1317</v>
      </c>
      <c r="B124" s="29" t="s">
        <v>1744</v>
      </c>
      <c r="C124" s="619">
        <f>SETUP!$F$39</f>
        <v>0</v>
      </c>
      <c r="D124" s="25">
        <v>4.5</v>
      </c>
      <c r="E124" s="26" t="s">
        <v>1373</v>
      </c>
      <c r="F124" s="26" t="s">
        <v>1745</v>
      </c>
      <c r="G124" s="625" t="str">
        <f t="array" ref="G124">IFERROR(INDEX(#REF!,MATCH($E124&amp;$F124,#REF!&amp;#REF!,0)),"")</f>
        <v/>
      </c>
      <c r="H124" s="625"/>
      <c r="I124" s="625">
        <f t="array" ref="I124">IFERROR(INDEX(#REF!,MATCH($E124&amp;$F124,#REF!&amp;#REF!,0)),0)</f>
        <v>0</v>
      </c>
      <c r="J124" s="625">
        <f t="array" ref="J124">IFERROR(INDEX(#REF!,MATCH($E124&amp;$F124,#REF!&amp;#REF!,0)),0)</f>
        <v>0</v>
      </c>
      <c r="K124" s="626">
        <f t="shared" si="108"/>
        <v>0</v>
      </c>
      <c r="L124" s="626">
        <f t="shared" si="109"/>
        <v>0</v>
      </c>
      <c r="M124" s="626">
        <f t="shared" si="110"/>
        <v>0</v>
      </c>
      <c r="N124" s="625">
        <f t="array" ref="N124">IFERROR(INDEX(#REF!,MATCH($E124&amp;$F124,#REF!&amp;#REF!,0)),0)</f>
        <v>0</v>
      </c>
      <c r="O124" s="626">
        <f t="shared" si="111"/>
        <v>0</v>
      </c>
      <c r="P124" s="626">
        <f t="shared" si="112"/>
        <v>0</v>
      </c>
      <c r="Q124" s="626">
        <f t="shared" si="113"/>
        <v>0</v>
      </c>
      <c r="R124" s="625">
        <f t="array" ref="R124">IFERROR(INDEX(#REF!,MATCH($E124&amp;$F124,#REF!&amp;#REF!,0)),0)</f>
        <v>0</v>
      </c>
      <c r="S124" s="626">
        <f t="shared" si="114"/>
        <v>0</v>
      </c>
      <c r="T124" s="626">
        <f t="shared" si="115"/>
        <v>0</v>
      </c>
      <c r="U124" s="626">
        <f t="shared" si="116"/>
        <v>0</v>
      </c>
      <c r="V124" s="625">
        <f t="array" ref="V124">IFERROR(INDEX(#REF!,MATCH($E124&amp;$F124,#REF!&amp;#REF!,0)),0)</f>
        <v>0</v>
      </c>
      <c r="W124" s="626">
        <f t="shared" si="117"/>
        <v>0</v>
      </c>
      <c r="X124" s="626">
        <f t="shared" si="118"/>
        <v>0</v>
      </c>
      <c r="Y124" s="626">
        <f t="shared" si="119"/>
        <v>0</v>
      </c>
      <c r="Z124" s="630"/>
      <c r="AA124" s="625">
        <f t="array" ref="AA124">IFERROR(INDEX(#REF!,MATCH($E124&amp;$F124,#REF!&amp;#REF!,0)),0)</f>
        <v>0</v>
      </c>
      <c r="AB124" s="625">
        <f t="array" ref="AB124">IFERROR(INDEX(#REF!,MATCH($E124&amp;$F124,#REF!&amp;#REF!,0)),0)</f>
        <v>0</v>
      </c>
      <c r="AC124" s="626">
        <f t="shared" si="120"/>
        <v>0</v>
      </c>
      <c r="AD124" s="626">
        <f t="shared" si="121"/>
        <v>0</v>
      </c>
      <c r="AE124" s="626">
        <f t="shared" si="122"/>
        <v>0</v>
      </c>
      <c r="AF124" s="625">
        <f t="array" ref="AF124">IFERROR(INDEX(#REF!,MATCH($E124&amp;$F124,#REF!&amp;#REF!,0)),0)</f>
        <v>0</v>
      </c>
      <c r="AG124" s="626">
        <f t="shared" si="123"/>
        <v>0</v>
      </c>
      <c r="AH124" s="626">
        <f t="shared" si="124"/>
        <v>0</v>
      </c>
      <c r="AI124" s="626">
        <f t="shared" si="125"/>
        <v>0</v>
      </c>
      <c r="AJ124" s="625">
        <f t="array" ref="AJ124">IFERROR(INDEX(#REF!,MATCH($E124&amp;$F124,#REF!&amp;#REF!,0)),0)</f>
        <v>0</v>
      </c>
      <c r="AK124" s="626">
        <f t="shared" si="126"/>
        <v>0</v>
      </c>
      <c r="AL124" s="626">
        <f t="shared" si="127"/>
        <v>0</v>
      </c>
      <c r="AM124" s="626">
        <f t="shared" si="128"/>
        <v>0</v>
      </c>
      <c r="AN124" s="625">
        <f t="array" ref="AN124">IFERROR(INDEX(#REF!,MATCH($E124&amp;$F124,#REF!&amp;#REF!,0)),0)</f>
        <v>0</v>
      </c>
      <c r="AO124" s="626">
        <f t="shared" si="129"/>
        <v>0</v>
      </c>
      <c r="AP124" s="626">
        <f t="shared" si="130"/>
        <v>0</v>
      </c>
      <c r="AQ124" s="626">
        <f t="shared" si="131"/>
        <v>0</v>
      </c>
      <c r="AR124" s="630"/>
      <c r="AS124" s="625">
        <f t="array" ref="AS124">IFERROR(INDEX(#REF!,MATCH($E124&amp;$F124,#REF!&amp;#REF!,0)),0)</f>
        <v>0</v>
      </c>
      <c r="AT124" s="625">
        <f t="array" ref="AT124">IFERROR(INDEX(#REF!,MATCH($E124&amp;$F124,#REF!&amp;#REF!,0)),0)</f>
        <v>0</v>
      </c>
      <c r="AU124" s="626">
        <f t="shared" si="132"/>
        <v>0</v>
      </c>
      <c r="AV124" s="626">
        <f t="shared" si="133"/>
        <v>0</v>
      </c>
      <c r="AW124" s="626">
        <f t="shared" si="134"/>
        <v>0</v>
      </c>
      <c r="AX124" s="625">
        <f t="array" ref="AX124">IFERROR(INDEX(#REF!,MATCH($E124&amp;$F124,#REF!&amp;#REF!,0)),0)</f>
        <v>0</v>
      </c>
      <c r="AY124" s="626">
        <f t="shared" si="135"/>
        <v>0</v>
      </c>
      <c r="AZ124" s="626">
        <f t="shared" si="136"/>
        <v>0</v>
      </c>
      <c r="BA124" s="626">
        <f t="shared" si="137"/>
        <v>0</v>
      </c>
      <c r="BB124" s="625">
        <f t="array" ref="BB124">IFERROR(INDEX(#REF!,MATCH($E124&amp;$F124,#REF!&amp;#REF!,0)),0)</f>
        <v>0</v>
      </c>
      <c r="BC124" s="626">
        <f t="shared" si="138"/>
        <v>0</v>
      </c>
      <c r="BD124" s="626">
        <f t="shared" si="139"/>
        <v>0</v>
      </c>
      <c r="BE124" s="626">
        <f t="shared" si="140"/>
        <v>0</v>
      </c>
      <c r="BF124" s="625">
        <f t="array" ref="BF124">IFERROR(INDEX(#REF!,MATCH($E124&amp;$F124,#REF!&amp;#REF!,0)),0)</f>
        <v>0</v>
      </c>
      <c r="BG124" s="626">
        <f t="shared" si="141"/>
        <v>0</v>
      </c>
      <c r="BH124" s="626">
        <f t="shared" si="142"/>
        <v>0</v>
      </c>
      <c r="BI124" s="626">
        <f t="shared" si="143"/>
        <v>0</v>
      </c>
      <c r="BJ124" s="630"/>
      <c r="BK124" s="625"/>
      <c r="BL124" s="625"/>
      <c r="BM124" s="625"/>
      <c r="BN124" s="625"/>
      <c r="BO124" s="625"/>
      <c r="BP124" s="625"/>
      <c r="BQ124" s="625"/>
      <c r="BR124" s="625"/>
    </row>
    <row r="125" spans="1:70">
      <c r="A125" s="29" t="s">
        <v>1317</v>
      </c>
      <c r="B125" s="29" t="s">
        <v>1744</v>
      </c>
      <c r="C125" s="619">
        <f>SETUP!$F$39</f>
        <v>0</v>
      </c>
      <c r="D125" s="25">
        <v>4.5</v>
      </c>
      <c r="E125" s="26" t="s">
        <v>1396</v>
      </c>
      <c r="F125" s="26" t="s">
        <v>1397</v>
      </c>
      <c r="G125" s="625" t="str">
        <f t="array" ref="G125">IFERROR(INDEX(#REF!,MATCH($E125&amp;$F125,#REF!&amp;#REF!,0)),"")</f>
        <v/>
      </c>
      <c r="H125" s="625"/>
      <c r="I125" s="625">
        <f t="array" ref="I125">IFERROR(INDEX(#REF!,MATCH($E125&amp;$F125,#REF!&amp;#REF!,0)),0)</f>
        <v>0</v>
      </c>
      <c r="J125" s="625">
        <f t="array" ref="J125">IFERROR(INDEX(#REF!,MATCH($E125&amp;$F125,#REF!&amp;#REF!,0)),0)</f>
        <v>0</v>
      </c>
      <c r="K125" s="626">
        <f t="shared" si="108"/>
        <v>0</v>
      </c>
      <c r="L125" s="626">
        <f t="shared" si="109"/>
        <v>0</v>
      </c>
      <c r="M125" s="626">
        <f t="shared" si="110"/>
        <v>0</v>
      </c>
      <c r="N125" s="625">
        <f t="array" ref="N125">IFERROR(INDEX(#REF!,MATCH($E125&amp;$F125,#REF!&amp;#REF!,0)),0)</f>
        <v>0</v>
      </c>
      <c r="O125" s="626">
        <f t="shared" si="111"/>
        <v>0</v>
      </c>
      <c r="P125" s="626">
        <f t="shared" si="112"/>
        <v>0</v>
      </c>
      <c r="Q125" s="626">
        <f t="shared" si="113"/>
        <v>0</v>
      </c>
      <c r="R125" s="625">
        <f t="array" ref="R125">IFERROR(INDEX(#REF!,MATCH($E125&amp;$F125,#REF!&amp;#REF!,0)),0)</f>
        <v>0</v>
      </c>
      <c r="S125" s="626">
        <f t="shared" si="114"/>
        <v>0</v>
      </c>
      <c r="T125" s="626">
        <f t="shared" si="115"/>
        <v>0</v>
      </c>
      <c r="U125" s="626">
        <f t="shared" si="116"/>
        <v>0</v>
      </c>
      <c r="V125" s="625">
        <f t="array" ref="V125">IFERROR(INDEX(#REF!,MATCH($E125&amp;$F125,#REF!&amp;#REF!,0)),0)</f>
        <v>0</v>
      </c>
      <c r="W125" s="626">
        <f t="shared" si="117"/>
        <v>0</v>
      </c>
      <c r="X125" s="626">
        <f t="shared" si="118"/>
        <v>0</v>
      </c>
      <c r="Y125" s="626">
        <f t="shared" si="119"/>
        <v>0</v>
      </c>
      <c r="Z125" s="630"/>
      <c r="AA125" s="625">
        <f t="array" ref="AA125">IFERROR(INDEX(#REF!,MATCH($E125&amp;$F125,#REF!&amp;#REF!,0)),0)</f>
        <v>0</v>
      </c>
      <c r="AB125" s="625">
        <f t="array" ref="AB125">IFERROR(INDEX(#REF!,MATCH($E125&amp;$F125,#REF!&amp;#REF!,0)),0)</f>
        <v>0</v>
      </c>
      <c r="AC125" s="626">
        <f t="shared" si="120"/>
        <v>0</v>
      </c>
      <c r="AD125" s="626">
        <f t="shared" si="121"/>
        <v>0</v>
      </c>
      <c r="AE125" s="626">
        <f t="shared" si="122"/>
        <v>0</v>
      </c>
      <c r="AF125" s="625">
        <f t="array" ref="AF125">IFERROR(INDEX(#REF!,MATCH($E125&amp;$F125,#REF!&amp;#REF!,0)),0)</f>
        <v>0</v>
      </c>
      <c r="AG125" s="626">
        <f t="shared" si="123"/>
        <v>0</v>
      </c>
      <c r="AH125" s="626">
        <f t="shared" si="124"/>
        <v>0</v>
      </c>
      <c r="AI125" s="626">
        <f t="shared" si="125"/>
        <v>0</v>
      </c>
      <c r="AJ125" s="625">
        <f t="array" ref="AJ125">IFERROR(INDEX(#REF!,MATCH($E125&amp;$F125,#REF!&amp;#REF!,0)),0)</f>
        <v>0</v>
      </c>
      <c r="AK125" s="626">
        <f t="shared" si="126"/>
        <v>0</v>
      </c>
      <c r="AL125" s="626">
        <f t="shared" si="127"/>
        <v>0</v>
      </c>
      <c r="AM125" s="626">
        <f t="shared" si="128"/>
        <v>0</v>
      </c>
      <c r="AN125" s="625">
        <f t="array" ref="AN125">IFERROR(INDEX(#REF!,MATCH($E125&amp;$F125,#REF!&amp;#REF!,0)),0)</f>
        <v>0</v>
      </c>
      <c r="AO125" s="626">
        <f t="shared" si="129"/>
        <v>0</v>
      </c>
      <c r="AP125" s="626">
        <f t="shared" si="130"/>
        <v>0</v>
      </c>
      <c r="AQ125" s="626">
        <f t="shared" si="131"/>
        <v>0</v>
      </c>
      <c r="AR125" s="630"/>
      <c r="AS125" s="625">
        <f t="array" ref="AS125">IFERROR(INDEX(#REF!,MATCH($E125&amp;$F125,#REF!&amp;#REF!,0)),0)</f>
        <v>0</v>
      </c>
      <c r="AT125" s="625">
        <f t="array" ref="AT125">IFERROR(INDEX(#REF!,MATCH($E125&amp;$F125,#REF!&amp;#REF!,0)),0)</f>
        <v>0</v>
      </c>
      <c r="AU125" s="626">
        <f t="shared" si="132"/>
        <v>0</v>
      </c>
      <c r="AV125" s="626">
        <f t="shared" si="133"/>
        <v>0</v>
      </c>
      <c r="AW125" s="626">
        <f t="shared" si="134"/>
        <v>0</v>
      </c>
      <c r="AX125" s="625">
        <f t="array" ref="AX125">IFERROR(INDEX(#REF!,MATCH($E125&amp;$F125,#REF!&amp;#REF!,0)),0)</f>
        <v>0</v>
      </c>
      <c r="AY125" s="626">
        <f t="shared" si="135"/>
        <v>0</v>
      </c>
      <c r="AZ125" s="626">
        <f t="shared" si="136"/>
        <v>0</v>
      </c>
      <c r="BA125" s="626">
        <f t="shared" si="137"/>
        <v>0</v>
      </c>
      <c r="BB125" s="625">
        <f t="array" ref="BB125">IFERROR(INDEX(#REF!,MATCH($E125&amp;$F125,#REF!&amp;#REF!,0)),0)</f>
        <v>0</v>
      </c>
      <c r="BC125" s="626">
        <f t="shared" si="138"/>
        <v>0</v>
      </c>
      <c r="BD125" s="626">
        <f t="shared" si="139"/>
        <v>0</v>
      </c>
      <c r="BE125" s="626">
        <f t="shared" si="140"/>
        <v>0</v>
      </c>
      <c r="BF125" s="625">
        <f t="array" ref="BF125">IFERROR(INDEX(#REF!,MATCH($E125&amp;$F125,#REF!&amp;#REF!,0)),0)</f>
        <v>0</v>
      </c>
      <c r="BG125" s="626">
        <f t="shared" si="141"/>
        <v>0</v>
      </c>
      <c r="BH125" s="626">
        <f t="shared" si="142"/>
        <v>0</v>
      </c>
      <c r="BI125" s="626">
        <f t="shared" si="143"/>
        <v>0</v>
      </c>
      <c r="BJ125" s="630"/>
      <c r="BK125" s="625"/>
      <c r="BL125" s="625"/>
      <c r="BM125" s="625"/>
      <c r="BN125" s="625"/>
      <c r="BO125" s="625"/>
      <c r="BP125" s="625"/>
      <c r="BQ125" s="625"/>
      <c r="BR125" s="625"/>
    </row>
    <row r="126" spans="1:70">
      <c r="A126" s="29" t="s">
        <v>1317</v>
      </c>
      <c r="B126" s="29" t="s">
        <v>1744</v>
      </c>
      <c r="C126" s="619">
        <f>SETUP!$F$39</f>
        <v>0</v>
      </c>
      <c r="D126" s="25">
        <v>4.7</v>
      </c>
      <c r="E126" s="26" t="s">
        <v>1318</v>
      </c>
      <c r="F126" s="26" t="s">
        <v>1403</v>
      </c>
      <c r="G126" s="625" t="str">
        <f t="array" ref="G126">IFERROR(INDEX(#REF!,MATCH($E126&amp;$F126,#REF!&amp;#REF!,0)),"")</f>
        <v/>
      </c>
      <c r="H126" s="625"/>
      <c r="I126" s="625">
        <f t="array" ref="I126">IFERROR(INDEX(#REF!,MATCH($E126&amp;$F126,#REF!&amp;#REF!,0)),0)</f>
        <v>0</v>
      </c>
      <c r="J126" s="625">
        <f t="array" ref="J126">IFERROR(INDEX(#REF!,MATCH($E126&amp;$F126,#REF!&amp;#REF!,0)),0)</f>
        <v>0</v>
      </c>
      <c r="K126" s="626">
        <f t="shared" si="108"/>
        <v>0</v>
      </c>
      <c r="L126" s="626">
        <f t="shared" si="109"/>
        <v>0</v>
      </c>
      <c r="M126" s="626">
        <f t="shared" si="110"/>
        <v>0</v>
      </c>
      <c r="N126" s="625">
        <f t="array" ref="N126">IFERROR(INDEX(#REF!,MATCH($E126&amp;$F126,#REF!&amp;#REF!,0)),0)</f>
        <v>0</v>
      </c>
      <c r="O126" s="626">
        <f t="shared" si="111"/>
        <v>0</v>
      </c>
      <c r="P126" s="626">
        <f t="shared" si="112"/>
        <v>0</v>
      </c>
      <c r="Q126" s="626">
        <f t="shared" si="113"/>
        <v>0</v>
      </c>
      <c r="R126" s="625">
        <f t="array" ref="R126">IFERROR(INDEX(#REF!,MATCH($E126&amp;$F126,#REF!&amp;#REF!,0)),0)</f>
        <v>0</v>
      </c>
      <c r="S126" s="626">
        <f t="shared" si="114"/>
        <v>0</v>
      </c>
      <c r="T126" s="626">
        <f t="shared" si="115"/>
        <v>0</v>
      </c>
      <c r="U126" s="626">
        <f t="shared" si="116"/>
        <v>0</v>
      </c>
      <c r="V126" s="625">
        <f t="array" ref="V126">IFERROR(INDEX(#REF!,MATCH($E126&amp;$F126,#REF!&amp;#REF!,0)),0)</f>
        <v>0</v>
      </c>
      <c r="W126" s="626">
        <f t="shared" si="117"/>
        <v>0</v>
      </c>
      <c r="X126" s="626">
        <f t="shared" si="118"/>
        <v>0</v>
      </c>
      <c r="Y126" s="626">
        <f t="shared" si="119"/>
        <v>0</v>
      </c>
      <c r="Z126" s="630"/>
      <c r="AA126" s="625">
        <f t="array" ref="AA126">IFERROR(INDEX(#REF!,MATCH($E126&amp;$F126,#REF!&amp;#REF!,0)),0)</f>
        <v>0</v>
      </c>
      <c r="AB126" s="625">
        <f t="array" ref="AB126">IFERROR(INDEX(#REF!,MATCH($E126&amp;$F126,#REF!&amp;#REF!,0)),0)</f>
        <v>0</v>
      </c>
      <c r="AC126" s="626">
        <f t="shared" si="120"/>
        <v>0</v>
      </c>
      <c r="AD126" s="626">
        <f t="shared" si="121"/>
        <v>0</v>
      </c>
      <c r="AE126" s="626">
        <f t="shared" si="122"/>
        <v>0</v>
      </c>
      <c r="AF126" s="625">
        <f t="array" ref="AF126">IFERROR(INDEX(#REF!,MATCH($E126&amp;$F126,#REF!&amp;#REF!,0)),0)</f>
        <v>0</v>
      </c>
      <c r="AG126" s="626">
        <f t="shared" si="123"/>
        <v>0</v>
      </c>
      <c r="AH126" s="626">
        <f t="shared" si="124"/>
        <v>0</v>
      </c>
      <c r="AI126" s="626">
        <f t="shared" si="125"/>
        <v>0</v>
      </c>
      <c r="AJ126" s="625">
        <f t="array" ref="AJ126">IFERROR(INDEX(#REF!,MATCH($E126&amp;$F126,#REF!&amp;#REF!,0)),0)</f>
        <v>0</v>
      </c>
      <c r="AK126" s="626">
        <f t="shared" si="126"/>
        <v>0</v>
      </c>
      <c r="AL126" s="626">
        <f t="shared" si="127"/>
        <v>0</v>
      </c>
      <c r="AM126" s="626">
        <f t="shared" si="128"/>
        <v>0</v>
      </c>
      <c r="AN126" s="625">
        <f t="array" ref="AN126">IFERROR(INDEX(#REF!,MATCH($E126&amp;$F126,#REF!&amp;#REF!,0)),0)</f>
        <v>0</v>
      </c>
      <c r="AO126" s="626">
        <f t="shared" si="129"/>
        <v>0</v>
      </c>
      <c r="AP126" s="626">
        <f t="shared" si="130"/>
        <v>0</v>
      </c>
      <c r="AQ126" s="626">
        <f t="shared" si="131"/>
        <v>0</v>
      </c>
      <c r="AR126" s="630"/>
      <c r="AS126" s="625">
        <f t="array" ref="AS126">IFERROR(INDEX(#REF!,MATCH($E126&amp;$F126,#REF!&amp;#REF!,0)),0)</f>
        <v>0</v>
      </c>
      <c r="AT126" s="625">
        <f t="array" ref="AT126">IFERROR(INDEX(#REF!,MATCH($E126&amp;$F126,#REF!&amp;#REF!,0)),0)</f>
        <v>0</v>
      </c>
      <c r="AU126" s="626">
        <f t="shared" si="132"/>
        <v>0</v>
      </c>
      <c r="AV126" s="626">
        <f t="shared" si="133"/>
        <v>0</v>
      </c>
      <c r="AW126" s="626">
        <f t="shared" si="134"/>
        <v>0</v>
      </c>
      <c r="AX126" s="625">
        <f t="array" ref="AX126">IFERROR(INDEX(#REF!,MATCH($E126&amp;$F126,#REF!&amp;#REF!,0)),0)</f>
        <v>0</v>
      </c>
      <c r="AY126" s="626">
        <f t="shared" si="135"/>
        <v>0</v>
      </c>
      <c r="AZ126" s="626">
        <f t="shared" si="136"/>
        <v>0</v>
      </c>
      <c r="BA126" s="626">
        <f t="shared" si="137"/>
        <v>0</v>
      </c>
      <c r="BB126" s="625">
        <f t="array" ref="BB126">IFERROR(INDEX(#REF!,MATCH($E126&amp;$F126,#REF!&amp;#REF!,0)),0)</f>
        <v>0</v>
      </c>
      <c r="BC126" s="626">
        <f t="shared" si="138"/>
        <v>0</v>
      </c>
      <c r="BD126" s="626">
        <f t="shared" si="139"/>
        <v>0</v>
      </c>
      <c r="BE126" s="626">
        <f t="shared" si="140"/>
        <v>0</v>
      </c>
      <c r="BF126" s="625">
        <f t="array" ref="BF126">IFERROR(INDEX(#REF!,MATCH($E126&amp;$F126,#REF!&amp;#REF!,0)),0)</f>
        <v>0</v>
      </c>
      <c r="BG126" s="626">
        <f t="shared" si="141"/>
        <v>0</v>
      </c>
      <c r="BH126" s="626">
        <f t="shared" si="142"/>
        <v>0</v>
      </c>
      <c r="BI126" s="626">
        <f t="shared" si="143"/>
        <v>0</v>
      </c>
      <c r="BJ126" s="630"/>
      <c r="BK126" s="625"/>
      <c r="BL126" s="625"/>
      <c r="BM126" s="625"/>
      <c r="BN126" s="625"/>
      <c r="BO126" s="625"/>
      <c r="BP126" s="625"/>
      <c r="BQ126" s="625"/>
      <c r="BR126" s="625"/>
    </row>
    <row r="127" spans="1:70">
      <c r="A127" s="29" t="s">
        <v>1317</v>
      </c>
      <c r="B127" s="29" t="s">
        <v>1744</v>
      </c>
      <c r="C127" s="619">
        <f>SETUP!$F$39</f>
        <v>0</v>
      </c>
      <c r="D127" s="25">
        <v>4.7</v>
      </c>
      <c r="E127" s="26" t="s">
        <v>1319</v>
      </c>
      <c r="F127" s="26" t="s">
        <v>1746</v>
      </c>
      <c r="G127" s="625" t="str">
        <f t="array" ref="G127">IFERROR(INDEX(#REF!,MATCH($E127&amp;$F127,#REF!&amp;#REF!,0)),"")</f>
        <v/>
      </c>
      <c r="H127" s="625"/>
      <c r="I127" s="625">
        <f t="array" ref="I127">IFERROR(INDEX(#REF!,MATCH($E127&amp;$F127,#REF!&amp;#REF!,0)),0)</f>
        <v>0</v>
      </c>
      <c r="J127" s="625">
        <f t="array" ref="J127">IFERROR(INDEX(#REF!,MATCH($E127&amp;$F127,#REF!&amp;#REF!,0)),0)</f>
        <v>0</v>
      </c>
      <c r="K127" s="626">
        <f t="shared" si="108"/>
        <v>0</v>
      </c>
      <c r="L127" s="626">
        <f t="shared" si="109"/>
        <v>0</v>
      </c>
      <c r="M127" s="626">
        <f t="shared" si="110"/>
        <v>0</v>
      </c>
      <c r="N127" s="625">
        <f t="array" ref="N127">IFERROR(INDEX(#REF!,MATCH($E127&amp;$F127,#REF!&amp;#REF!,0)),0)</f>
        <v>0</v>
      </c>
      <c r="O127" s="626">
        <f t="shared" si="111"/>
        <v>0</v>
      </c>
      <c r="P127" s="626">
        <f t="shared" si="112"/>
        <v>0</v>
      </c>
      <c r="Q127" s="626">
        <f t="shared" si="113"/>
        <v>0</v>
      </c>
      <c r="R127" s="625">
        <f t="array" ref="R127">IFERROR(INDEX(#REF!,MATCH($E127&amp;$F127,#REF!&amp;#REF!,0)),0)</f>
        <v>0</v>
      </c>
      <c r="S127" s="626">
        <f t="shared" si="114"/>
        <v>0</v>
      </c>
      <c r="T127" s="626">
        <f t="shared" si="115"/>
        <v>0</v>
      </c>
      <c r="U127" s="626">
        <f t="shared" si="116"/>
        <v>0</v>
      </c>
      <c r="V127" s="625">
        <f t="array" ref="V127">IFERROR(INDEX(#REF!,MATCH($E127&amp;$F127,#REF!&amp;#REF!,0)),0)</f>
        <v>0</v>
      </c>
      <c r="W127" s="626">
        <f t="shared" si="117"/>
        <v>0</v>
      </c>
      <c r="X127" s="626">
        <f t="shared" si="118"/>
        <v>0</v>
      </c>
      <c r="Y127" s="626">
        <f t="shared" si="119"/>
        <v>0</v>
      </c>
      <c r="Z127" s="630"/>
      <c r="AA127" s="625">
        <f t="array" ref="AA127">IFERROR(INDEX(#REF!,MATCH($E127&amp;$F127,#REF!&amp;#REF!,0)),0)</f>
        <v>0</v>
      </c>
      <c r="AB127" s="625">
        <f t="array" ref="AB127">IFERROR(INDEX(#REF!,MATCH($E127&amp;$F127,#REF!&amp;#REF!,0)),0)</f>
        <v>0</v>
      </c>
      <c r="AC127" s="626">
        <f t="shared" si="120"/>
        <v>0</v>
      </c>
      <c r="AD127" s="626">
        <f t="shared" si="121"/>
        <v>0</v>
      </c>
      <c r="AE127" s="626">
        <f t="shared" si="122"/>
        <v>0</v>
      </c>
      <c r="AF127" s="625">
        <f t="array" ref="AF127">IFERROR(INDEX(#REF!,MATCH($E127&amp;$F127,#REF!&amp;#REF!,0)),0)</f>
        <v>0</v>
      </c>
      <c r="AG127" s="626">
        <f t="shared" si="123"/>
        <v>0</v>
      </c>
      <c r="AH127" s="626">
        <f t="shared" si="124"/>
        <v>0</v>
      </c>
      <c r="AI127" s="626">
        <f t="shared" si="125"/>
        <v>0</v>
      </c>
      <c r="AJ127" s="625">
        <f t="array" ref="AJ127">IFERROR(INDEX(#REF!,MATCH($E127&amp;$F127,#REF!&amp;#REF!,0)),0)</f>
        <v>0</v>
      </c>
      <c r="AK127" s="626">
        <f t="shared" si="126"/>
        <v>0</v>
      </c>
      <c r="AL127" s="626">
        <f t="shared" si="127"/>
        <v>0</v>
      </c>
      <c r="AM127" s="626">
        <f t="shared" si="128"/>
        <v>0</v>
      </c>
      <c r="AN127" s="625">
        <f t="array" ref="AN127">IFERROR(INDEX(#REF!,MATCH($E127&amp;$F127,#REF!&amp;#REF!,0)),0)</f>
        <v>0</v>
      </c>
      <c r="AO127" s="626">
        <f t="shared" si="129"/>
        <v>0</v>
      </c>
      <c r="AP127" s="626">
        <f t="shared" si="130"/>
        <v>0</v>
      </c>
      <c r="AQ127" s="626">
        <f t="shared" si="131"/>
        <v>0</v>
      </c>
      <c r="AR127" s="630"/>
      <c r="AS127" s="625">
        <f t="array" ref="AS127">IFERROR(INDEX(#REF!,MATCH($E127&amp;$F127,#REF!&amp;#REF!,0)),0)</f>
        <v>0</v>
      </c>
      <c r="AT127" s="625">
        <f t="array" ref="AT127">IFERROR(INDEX(#REF!,MATCH($E127&amp;$F127,#REF!&amp;#REF!,0)),0)</f>
        <v>0</v>
      </c>
      <c r="AU127" s="626">
        <f t="shared" si="132"/>
        <v>0</v>
      </c>
      <c r="AV127" s="626">
        <f t="shared" si="133"/>
        <v>0</v>
      </c>
      <c r="AW127" s="626">
        <f t="shared" si="134"/>
        <v>0</v>
      </c>
      <c r="AX127" s="625">
        <f t="array" ref="AX127">IFERROR(INDEX(#REF!,MATCH($E127&amp;$F127,#REF!&amp;#REF!,0)),0)</f>
        <v>0</v>
      </c>
      <c r="AY127" s="626">
        <f t="shared" si="135"/>
        <v>0</v>
      </c>
      <c r="AZ127" s="626">
        <f t="shared" si="136"/>
        <v>0</v>
      </c>
      <c r="BA127" s="626">
        <f t="shared" si="137"/>
        <v>0</v>
      </c>
      <c r="BB127" s="625">
        <f t="array" ref="BB127">IFERROR(INDEX(#REF!,MATCH($E127&amp;$F127,#REF!&amp;#REF!,0)),0)</f>
        <v>0</v>
      </c>
      <c r="BC127" s="626">
        <f t="shared" si="138"/>
        <v>0</v>
      </c>
      <c r="BD127" s="626">
        <f t="shared" si="139"/>
        <v>0</v>
      </c>
      <c r="BE127" s="626">
        <f t="shared" si="140"/>
        <v>0</v>
      </c>
      <c r="BF127" s="625">
        <f t="array" ref="BF127">IFERROR(INDEX(#REF!,MATCH($E127&amp;$F127,#REF!&amp;#REF!,0)),0)</f>
        <v>0</v>
      </c>
      <c r="BG127" s="626">
        <f t="shared" si="141"/>
        <v>0</v>
      </c>
      <c r="BH127" s="626">
        <f t="shared" si="142"/>
        <v>0</v>
      </c>
      <c r="BI127" s="626">
        <f t="shared" si="143"/>
        <v>0</v>
      </c>
      <c r="BJ127" s="630"/>
      <c r="BK127" s="625"/>
      <c r="BL127" s="625"/>
      <c r="BM127" s="625"/>
      <c r="BN127" s="625"/>
      <c r="BO127" s="625"/>
      <c r="BP127" s="625"/>
      <c r="BQ127" s="625"/>
      <c r="BR127" s="625"/>
    </row>
    <row r="128" spans="1:70">
      <c r="A128" s="29" t="s">
        <v>1317</v>
      </c>
      <c r="B128" s="29" t="s">
        <v>1744</v>
      </c>
      <c r="C128" s="619">
        <f>SETUP!$F$39</f>
        <v>0</v>
      </c>
      <c r="D128" s="25">
        <v>4.7</v>
      </c>
      <c r="E128" s="26" t="s">
        <v>1320</v>
      </c>
      <c r="F128" s="26" t="s">
        <v>1404</v>
      </c>
      <c r="G128" s="625" t="str">
        <f t="array" ref="G128">IFERROR(INDEX(#REF!,MATCH($E128&amp;$F128,#REF!&amp;#REF!,0)),"")</f>
        <v/>
      </c>
      <c r="H128" s="625"/>
      <c r="I128" s="625">
        <f t="array" ref="I128">IFERROR(INDEX(#REF!,MATCH($E128&amp;$F128,#REF!&amp;#REF!,0)),0)</f>
        <v>0</v>
      </c>
      <c r="J128" s="625">
        <f t="array" ref="J128">IFERROR(INDEX(#REF!,MATCH($E128&amp;$F128,#REF!&amp;#REF!,0)),0)</f>
        <v>0</v>
      </c>
      <c r="K128" s="626">
        <f t="shared" si="108"/>
        <v>0</v>
      </c>
      <c r="L128" s="626">
        <f t="shared" si="109"/>
        <v>0</v>
      </c>
      <c r="M128" s="626">
        <f t="shared" si="110"/>
        <v>0</v>
      </c>
      <c r="N128" s="625">
        <f t="array" ref="N128">IFERROR(INDEX(#REF!,MATCH($E128&amp;$F128,#REF!&amp;#REF!,0)),0)</f>
        <v>0</v>
      </c>
      <c r="O128" s="626">
        <f t="shared" si="111"/>
        <v>0</v>
      </c>
      <c r="P128" s="626">
        <f t="shared" si="112"/>
        <v>0</v>
      </c>
      <c r="Q128" s="626">
        <f t="shared" si="113"/>
        <v>0</v>
      </c>
      <c r="R128" s="625">
        <f t="array" ref="R128">IFERROR(INDEX(#REF!,MATCH($E128&amp;$F128,#REF!&amp;#REF!,0)),0)</f>
        <v>0</v>
      </c>
      <c r="S128" s="626">
        <f t="shared" si="114"/>
        <v>0</v>
      </c>
      <c r="T128" s="626">
        <f t="shared" si="115"/>
        <v>0</v>
      </c>
      <c r="U128" s="626">
        <f t="shared" si="116"/>
        <v>0</v>
      </c>
      <c r="V128" s="625">
        <f t="array" ref="V128">IFERROR(INDEX(#REF!,MATCH($E128&amp;$F128,#REF!&amp;#REF!,0)),0)</f>
        <v>0</v>
      </c>
      <c r="W128" s="626">
        <f t="shared" si="117"/>
        <v>0</v>
      </c>
      <c r="X128" s="626">
        <f t="shared" si="118"/>
        <v>0</v>
      </c>
      <c r="Y128" s="626">
        <f t="shared" si="119"/>
        <v>0</v>
      </c>
      <c r="Z128" s="630"/>
      <c r="AA128" s="625">
        <f t="array" ref="AA128">IFERROR(INDEX(#REF!,MATCH($E128&amp;$F128,#REF!&amp;#REF!,0)),0)</f>
        <v>0</v>
      </c>
      <c r="AB128" s="625">
        <f t="array" ref="AB128">IFERROR(INDEX(#REF!,MATCH($E128&amp;$F128,#REF!&amp;#REF!,0)),0)</f>
        <v>0</v>
      </c>
      <c r="AC128" s="626">
        <f t="shared" si="120"/>
        <v>0</v>
      </c>
      <c r="AD128" s="626">
        <f t="shared" si="121"/>
        <v>0</v>
      </c>
      <c r="AE128" s="626">
        <f t="shared" si="122"/>
        <v>0</v>
      </c>
      <c r="AF128" s="625">
        <f t="array" ref="AF128">IFERROR(INDEX(#REF!,MATCH($E128&amp;$F128,#REF!&amp;#REF!,0)),0)</f>
        <v>0</v>
      </c>
      <c r="AG128" s="626">
        <f t="shared" si="123"/>
        <v>0</v>
      </c>
      <c r="AH128" s="626">
        <f t="shared" si="124"/>
        <v>0</v>
      </c>
      <c r="AI128" s="626">
        <f t="shared" si="125"/>
        <v>0</v>
      </c>
      <c r="AJ128" s="625">
        <f t="array" ref="AJ128">IFERROR(INDEX(#REF!,MATCH($E128&amp;$F128,#REF!&amp;#REF!,0)),0)</f>
        <v>0</v>
      </c>
      <c r="AK128" s="626">
        <f t="shared" si="126"/>
        <v>0</v>
      </c>
      <c r="AL128" s="626">
        <f t="shared" si="127"/>
        <v>0</v>
      </c>
      <c r="AM128" s="626">
        <f t="shared" si="128"/>
        <v>0</v>
      </c>
      <c r="AN128" s="625">
        <f t="array" ref="AN128">IFERROR(INDEX(#REF!,MATCH($E128&amp;$F128,#REF!&amp;#REF!,0)),0)</f>
        <v>0</v>
      </c>
      <c r="AO128" s="626">
        <f t="shared" si="129"/>
        <v>0</v>
      </c>
      <c r="AP128" s="626">
        <f t="shared" si="130"/>
        <v>0</v>
      </c>
      <c r="AQ128" s="626">
        <f t="shared" si="131"/>
        <v>0</v>
      </c>
      <c r="AR128" s="630"/>
      <c r="AS128" s="625">
        <f t="array" ref="AS128">IFERROR(INDEX(#REF!,MATCH($E128&amp;$F128,#REF!&amp;#REF!,0)),0)</f>
        <v>0</v>
      </c>
      <c r="AT128" s="625">
        <f t="array" ref="AT128">IFERROR(INDEX(#REF!,MATCH($E128&amp;$F128,#REF!&amp;#REF!,0)),0)</f>
        <v>0</v>
      </c>
      <c r="AU128" s="626">
        <f t="shared" si="132"/>
        <v>0</v>
      </c>
      <c r="AV128" s="626">
        <f t="shared" si="133"/>
        <v>0</v>
      </c>
      <c r="AW128" s="626">
        <f t="shared" si="134"/>
        <v>0</v>
      </c>
      <c r="AX128" s="625">
        <f t="array" ref="AX128">IFERROR(INDEX(#REF!,MATCH($E128&amp;$F128,#REF!&amp;#REF!,0)),0)</f>
        <v>0</v>
      </c>
      <c r="AY128" s="626">
        <f t="shared" si="135"/>
        <v>0</v>
      </c>
      <c r="AZ128" s="626">
        <f t="shared" si="136"/>
        <v>0</v>
      </c>
      <c r="BA128" s="626">
        <f t="shared" si="137"/>
        <v>0</v>
      </c>
      <c r="BB128" s="625">
        <f t="array" ref="BB128">IFERROR(INDEX(#REF!,MATCH($E128&amp;$F128,#REF!&amp;#REF!,0)),0)</f>
        <v>0</v>
      </c>
      <c r="BC128" s="626">
        <f t="shared" si="138"/>
        <v>0</v>
      </c>
      <c r="BD128" s="626">
        <f t="shared" si="139"/>
        <v>0</v>
      </c>
      <c r="BE128" s="626">
        <f t="shared" si="140"/>
        <v>0</v>
      </c>
      <c r="BF128" s="625">
        <f t="array" ref="BF128">IFERROR(INDEX(#REF!,MATCH($E128&amp;$F128,#REF!&amp;#REF!,0)),0)</f>
        <v>0</v>
      </c>
      <c r="BG128" s="626">
        <f t="shared" si="141"/>
        <v>0</v>
      </c>
      <c r="BH128" s="626">
        <f t="shared" si="142"/>
        <v>0</v>
      </c>
      <c r="BI128" s="626">
        <f t="shared" si="143"/>
        <v>0</v>
      </c>
      <c r="BJ128" s="630"/>
      <c r="BK128" s="625"/>
      <c r="BL128" s="625"/>
      <c r="BM128" s="625"/>
      <c r="BN128" s="625"/>
      <c r="BO128" s="625"/>
      <c r="BP128" s="625"/>
      <c r="BQ128" s="625"/>
      <c r="BR128" s="625"/>
    </row>
    <row r="129" spans="1:70">
      <c r="A129" s="29" t="s">
        <v>1317</v>
      </c>
      <c r="B129" s="29" t="s">
        <v>1744</v>
      </c>
      <c r="C129" s="619">
        <f>SETUP!$F$39</f>
        <v>0</v>
      </c>
      <c r="D129" s="25">
        <v>4.7</v>
      </c>
      <c r="E129" s="26" t="s">
        <v>1320</v>
      </c>
      <c r="F129" s="26" t="s">
        <v>1405</v>
      </c>
      <c r="G129" s="625" t="str">
        <f t="array" ref="G129">IFERROR(INDEX(#REF!,MATCH($E129&amp;$F129,#REF!&amp;#REF!,0)),"")</f>
        <v/>
      </c>
      <c r="H129" s="625"/>
      <c r="I129" s="625">
        <f t="array" ref="I129">IFERROR(INDEX(#REF!,MATCH($E129&amp;$F129,#REF!&amp;#REF!,0)),0)</f>
        <v>0</v>
      </c>
      <c r="J129" s="625">
        <f t="array" ref="J129">IFERROR(INDEX(#REF!,MATCH($E129&amp;$F129,#REF!&amp;#REF!,0)),0)</f>
        <v>0</v>
      </c>
      <c r="K129" s="626">
        <f t="shared" si="108"/>
        <v>0</v>
      </c>
      <c r="L129" s="626">
        <f t="shared" si="109"/>
        <v>0</v>
      </c>
      <c r="M129" s="626">
        <f t="shared" si="110"/>
        <v>0</v>
      </c>
      <c r="N129" s="625">
        <f t="array" ref="N129">IFERROR(INDEX(#REF!,MATCH($E129&amp;$F129,#REF!&amp;#REF!,0)),0)</f>
        <v>0</v>
      </c>
      <c r="O129" s="626">
        <f t="shared" si="111"/>
        <v>0</v>
      </c>
      <c r="P129" s="626">
        <f t="shared" si="112"/>
        <v>0</v>
      </c>
      <c r="Q129" s="626">
        <f t="shared" si="113"/>
        <v>0</v>
      </c>
      <c r="R129" s="625">
        <f t="array" ref="R129">IFERROR(INDEX(#REF!,MATCH($E129&amp;$F129,#REF!&amp;#REF!,0)),0)</f>
        <v>0</v>
      </c>
      <c r="S129" s="626">
        <f t="shared" si="114"/>
        <v>0</v>
      </c>
      <c r="T129" s="626">
        <f t="shared" si="115"/>
        <v>0</v>
      </c>
      <c r="U129" s="626">
        <f t="shared" si="116"/>
        <v>0</v>
      </c>
      <c r="V129" s="625">
        <f t="array" ref="V129">IFERROR(INDEX(#REF!,MATCH($E129&amp;$F129,#REF!&amp;#REF!,0)),0)</f>
        <v>0</v>
      </c>
      <c r="W129" s="626">
        <f t="shared" si="117"/>
        <v>0</v>
      </c>
      <c r="X129" s="626">
        <f t="shared" si="118"/>
        <v>0</v>
      </c>
      <c r="Y129" s="626">
        <f t="shared" si="119"/>
        <v>0</v>
      </c>
      <c r="Z129" s="630"/>
      <c r="AA129" s="625">
        <f t="array" ref="AA129">IFERROR(INDEX(#REF!,MATCH($E129&amp;$F129,#REF!&amp;#REF!,0)),0)</f>
        <v>0</v>
      </c>
      <c r="AB129" s="625">
        <f t="array" ref="AB129">IFERROR(INDEX(#REF!,MATCH($E129&amp;$F129,#REF!&amp;#REF!,0)),0)</f>
        <v>0</v>
      </c>
      <c r="AC129" s="626">
        <f t="shared" si="120"/>
        <v>0</v>
      </c>
      <c r="AD129" s="626">
        <f t="shared" si="121"/>
        <v>0</v>
      </c>
      <c r="AE129" s="626">
        <f t="shared" si="122"/>
        <v>0</v>
      </c>
      <c r="AF129" s="625">
        <f t="array" ref="AF129">IFERROR(INDEX(#REF!,MATCH($E129&amp;$F129,#REF!&amp;#REF!,0)),0)</f>
        <v>0</v>
      </c>
      <c r="AG129" s="626">
        <f t="shared" si="123"/>
        <v>0</v>
      </c>
      <c r="AH129" s="626">
        <f t="shared" si="124"/>
        <v>0</v>
      </c>
      <c r="AI129" s="626">
        <f t="shared" si="125"/>
        <v>0</v>
      </c>
      <c r="AJ129" s="625">
        <f t="array" ref="AJ129">IFERROR(INDEX(#REF!,MATCH($E129&amp;$F129,#REF!&amp;#REF!,0)),0)</f>
        <v>0</v>
      </c>
      <c r="AK129" s="626">
        <f t="shared" si="126"/>
        <v>0</v>
      </c>
      <c r="AL129" s="626">
        <f t="shared" si="127"/>
        <v>0</v>
      </c>
      <c r="AM129" s="626">
        <f t="shared" si="128"/>
        <v>0</v>
      </c>
      <c r="AN129" s="625">
        <f t="array" ref="AN129">IFERROR(INDEX(#REF!,MATCH($E129&amp;$F129,#REF!&amp;#REF!,0)),0)</f>
        <v>0</v>
      </c>
      <c r="AO129" s="626">
        <f t="shared" si="129"/>
        <v>0</v>
      </c>
      <c r="AP129" s="626">
        <f t="shared" si="130"/>
        <v>0</v>
      </c>
      <c r="AQ129" s="626">
        <f t="shared" si="131"/>
        <v>0</v>
      </c>
      <c r="AR129" s="630"/>
      <c r="AS129" s="625">
        <f t="array" ref="AS129">IFERROR(INDEX(#REF!,MATCH($E129&amp;$F129,#REF!&amp;#REF!,0)),0)</f>
        <v>0</v>
      </c>
      <c r="AT129" s="625">
        <f t="array" ref="AT129">IFERROR(INDEX(#REF!,MATCH($E129&amp;$F129,#REF!&amp;#REF!,0)),0)</f>
        <v>0</v>
      </c>
      <c r="AU129" s="626">
        <f t="shared" si="132"/>
        <v>0</v>
      </c>
      <c r="AV129" s="626">
        <f t="shared" si="133"/>
        <v>0</v>
      </c>
      <c r="AW129" s="626">
        <f t="shared" si="134"/>
        <v>0</v>
      </c>
      <c r="AX129" s="625">
        <f t="array" ref="AX129">IFERROR(INDEX(#REF!,MATCH($E129&amp;$F129,#REF!&amp;#REF!,0)),0)</f>
        <v>0</v>
      </c>
      <c r="AY129" s="626">
        <f t="shared" si="135"/>
        <v>0</v>
      </c>
      <c r="AZ129" s="626">
        <f t="shared" si="136"/>
        <v>0</v>
      </c>
      <c r="BA129" s="626">
        <f t="shared" si="137"/>
        <v>0</v>
      </c>
      <c r="BB129" s="625">
        <f t="array" ref="BB129">IFERROR(INDEX(#REF!,MATCH($E129&amp;$F129,#REF!&amp;#REF!,0)),0)</f>
        <v>0</v>
      </c>
      <c r="BC129" s="626">
        <f t="shared" si="138"/>
        <v>0</v>
      </c>
      <c r="BD129" s="626">
        <f t="shared" si="139"/>
        <v>0</v>
      </c>
      <c r="BE129" s="626">
        <f t="shared" si="140"/>
        <v>0</v>
      </c>
      <c r="BF129" s="625">
        <f t="array" ref="BF129">IFERROR(INDEX(#REF!,MATCH($E129&amp;$F129,#REF!&amp;#REF!,0)),0)</f>
        <v>0</v>
      </c>
      <c r="BG129" s="626">
        <f t="shared" si="141"/>
        <v>0</v>
      </c>
      <c r="BH129" s="626">
        <f t="shared" si="142"/>
        <v>0</v>
      </c>
      <c r="BI129" s="626">
        <f t="shared" si="143"/>
        <v>0</v>
      </c>
      <c r="BJ129" s="630"/>
      <c r="BK129" s="625"/>
      <c r="BL129" s="625"/>
      <c r="BM129" s="625"/>
      <c r="BN129" s="625"/>
      <c r="BO129" s="625"/>
      <c r="BP129" s="625"/>
      <c r="BQ129" s="625"/>
      <c r="BR129" s="625"/>
    </row>
    <row r="130" spans="1:70">
      <c r="A130" s="29" t="s">
        <v>1317</v>
      </c>
      <c r="B130" s="29" t="s">
        <v>1744</v>
      </c>
      <c r="C130" s="619">
        <f>SETUP!$F$39</f>
        <v>0</v>
      </c>
      <c r="D130" s="25">
        <v>4.7</v>
      </c>
      <c r="E130" s="26" t="s">
        <v>1320</v>
      </c>
      <c r="F130" s="26" t="s">
        <v>1406</v>
      </c>
      <c r="G130" s="625" t="str">
        <f t="array" ref="G130">IFERROR(INDEX(#REF!,MATCH($E130&amp;$F130,#REF!&amp;#REF!,0)),"")</f>
        <v/>
      </c>
      <c r="H130" s="625"/>
      <c r="I130" s="625">
        <f t="array" ref="I130">IFERROR(INDEX(#REF!,MATCH($E130&amp;$F130,#REF!&amp;#REF!,0)),0)</f>
        <v>0</v>
      </c>
      <c r="J130" s="625">
        <f t="array" ref="J130">IFERROR(INDEX(#REF!,MATCH($E130&amp;$F130,#REF!&amp;#REF!,0)),0)</f>
        <v>0</v>
      </c>
      <c r="K130" s="626">
        <f t="shared" si="108"/>
        <v>0</v>
      </c>
      <c r="L130" s="626">
        <f t="shared" si="109"/>
        <v>0</v>
      </c>
      <c r="M130" s="626">
        <f t="shared" si="110"/>
        <v>0</v>
      </c>
      <c r="N130" s="625">
        <f t="array" ref="N130">IFERROR(INDEX(#REF!,MATCH($E130&amp;$F130,#REF!&amp;#REF!,0)),0)</f>
        <v>0</v>
      </c>
      <c r="O130" s="626">
        <f t="shared" si="111"/>
        <v>0</v>
      </c>
      <c r="P130" s="626">
        <f t="shared" si="112"/>
        <v>0</v>
      </c>
      <c r="Q130" s="626">
        <f t="shared" si="113"/>
        <v>0</v>
      </c>
      <c r="R130" s="625">
        <f t="array" ref="R130">IFERROR(INDEX(#REF!,MATCH($E130&amp;$F130,#REF!&amp;#REF!,0)),0)</f>
        <v>0</v>
      </c>
      <c r="S130" s="626">
        <f t="shared" si="114"/>
        <v>0</v>
      </c>
      <c r="T130" s="626">
        <f t="shared" si="115"/>
        <v>0</v>
      </c>
      <c r="U130" s="626">
        <f t="shared" si="116"/>
        <v>0</v>
      </c>
      <c r="V130" s="625">
        <f t="array" ref="V130">IFERROR(INDEX(#REF!,MATCH($E130&amp;$F130,#REF!&amp;#REF!,0)),0)</f>
        <v>0</v>
      </c>
      <c r="W130" s="626">
        <f t="shared" si="117"/>
        <v>0</v>
      </c>
      <c r="X130" s="626">
        <f t="shared" si="118"/>
        <v>0</v>
      </c>
      <c r="Y130" s="626">
        <f t="shared" si="119"/>
        <v>0</v>
      </c>
      <c r="Z130" s="630"/>
      <c r="AA130" s="625">
        <f t="array" ref="AA130">IFERROR(INDEX(#REF!,MATCH($E130&amp;$F130,#REF!&amp;#REF!,0)),0)</f>
        <v>0</v>
      </c>
      <c r="AB130" s="625">
        <f t="array" ref="AB130">IFERROR(INDEX(#REF!,MATCH($E130&amp;$F130,#REF!&amp;#REF!,0)),0)</f>
        <v>0</v>
      </c>
      <c r="AC130" s="626">
        <f t="shared" si="120"/>
        <v>0</v>
      </c>
      <c r="AD130" s="626">
        <f t="shared" si="121"/>
        <v>0</v>
      </c>
      <c r="AE130" s="626">
        <f t="shared" si="122"/>
        <v>0</v>
      </c>
      <c r="AF130" s="625">
        <f t="array" ref="AF130">IFERROR(INDEX(#REF!,MATCH($E130&amp;$F130,#REF!&amp;#REF!,0)),0)</f>
        <v>0</v>
      </c>
      <c r="AG130" s="626">
        <f t="shared" si="123"/>
        <v>0</v>
      </c>
      <c r="AH130" s="626">
        <f t="shared" si="124"/>
        <v>0</v>
      </c>
      <c r="AI130" s="626">
        <f t="shared" si="125"/>
        <v>0</v>
      </c>
      <c r="AJ130" s="625">
        <f t="array" ref="AJ130">IFERROR(INDEX(#REF!,MATCH($E130&amp;$F130,#REF!&amp;#REF!,0)),0)</f>
        <v>0</v>
      </c>
      <c r="AK130" s="626">
        <f t="shared" si="126"/>
        <v>0</v>
      </c>
      <c r="AL130" s="626">
        <f t="shared" si="127"/>
        <v>0</v>
      </c>
      <c r="AM130" s="626">
        <f t="shared" si="128"/>
        <v>0</v>
      </c>
      <c r="AN130" s="625">
        <f t="array" ref="AN130">IFERROR(INDEX(#REF!,MATCH($E130&amp;$F130,#REF!&amp;#REF!,0)),0)</f>
        <v>0</v>
      </c>
      <c r="AO130" s="626">
        <f t="shared" si="129"/>
        <v>0</v>
      </c>
      <c r="AP130" s="626">
        <f t="shared" si="130"/>
        <v>0</v>
      </c>
      <c r="AQ130" s="626">
        <f t="shared" si="131"/>
        <v>0</v>
      </c>
      <c r="AR130" s="630"/>
      <c r="AS130" s="625">
        <f t="array" ref="AS130">IFERROR(INDEX(#REF!,MATCH($E130&amp;$F130,#REF!&amp;#REF!,0)),0)</f>
        <v>0</v>
      </c>
      <c r="AT130" s="625">
        <f t="array" ref="AT130">IFERROR(INDEX(#REF!,MATCH($E130&amp;$F130,#REF!&amp;#REF!,0)),0)</f>
        <v>0</v>
      </c>
      <c r="AU130" s="626">
        <f t="shared" si="132"/>
        <v>0</v>
      </c>
      <c r="AV130" s="626">
        <f t="shared" si="133"/>
        <v>0</v>
      </c>
      <c r="AW130" s="626">
        <f t="shared" si="134"/>
        <v>0</v>
      </c>
      <c r="AX130" s="625">
        <f t="array" ref="AX130">IFERROR(INDEX(#REF!,MATCH($E130&amp;$F130,#REF!&amp;#REF!,0)),0)</f>
        <v>0</v>
      </c>
      <c r="AY130" s="626">
        <f t="shared" si="135"/>
        <v>0</v>
      </c>
      <c r="AZ130" s="626">
        <f t="shared" si="136"/>
        <v>0</v>
      </c>
      <c r="BA130" s="626">
        <f t="shared" si="137"/>
        <v>0</v>
      </c>
      <c r="BB130" s="625">
        <f t="array" ref="BB130">IFERROR(INDEX(#REF!,MATCH($E130&amp;$F130,#REF!&amp;#REF!,0)),0)</f>
        <v>0</v>
      </c>
      <c r="BC130" s="626">
        <f t="shared" si="138"/>
        <v>0</v>
      </c>
      <c r="BD130" s="626">
        <f t="shared" si="139"/>
        <v>0</v>
      </c>
      <c r="BE130" s="626">
        <f t="shared" si="140"/>
        <v>0</v>
      </c>
      <c r="BF130" s="625">
        <f t="array" ref="BF130">IFERROR(INDEX(#REF!,MATCH($E130&amp;$F130,#REF!&amp;#REF!,0)),0)</f>
        <v>0</v>
      </c>
      <c r="BG130" s="626">
        <f t="shared" si="141"/>
        <v>0</v>
      </c>
      <c r="BH130" s="626">
        <f t="shared" si="142"/>
        <v>0</v>
      </c>
      <c r="BI130" s="626">
        <f t="shared" si="143"/>
        <v>0</v>
      </c>
      <c r="BJ130" s="630"/>
      <c r="BK130" s="625"/>
      <c r="BL130" s="625"/>
      <c r="BM130" s="625"/>
      <c r="BN130" s="625"/>
      <c r="BO130" s="625"/>
      <c r="BP130" s="625"/>
      <c r="BQ130" s="625"/>
      <c r="BR130" s="625"/>
    </row>
    <row r="131" spans="1:70">
      <c r="A131" s="29" t="s">
        <v>1317</v>
      </c>
      <c r="B131" s="29" t="s">
        <v>1744</v>
      </c>
      <c r="C131" s="619">
        <f>SETUP!$F$39</f>
        <v>0</v>
      </c>
      <c r="D131" s="25">
        <v>4.7</v>
      </c>
      <c r="E131" s="26" t="s">
        <v>1407</v>
      </c>
      <c r="F131" s="26" t="s">
        <v>1408</v>
      </c>
      <c r="G131" s="625" t="str">
        <f t="array" ref="G131">IFERROR(INDEX(#REF!,MATCH($E131&amp;$F131,#REF!&amp;#REF!,0)),"")</f>
        <v/>
      </c>
      <c r="H131" s="625"/>
      <c r="I131" s="625">
        <f t="array" ref="I131">IFERROR(INDEX(#REF!,MATCH($E131&amp;$F131,#REF!&amp;#REF!,0)),0)</f>
        <v>0</v>
      </c>
      <c r="J131" s="625">
        <f t="array" ref="J131">IFERROR(INDEX(#REF!,MATCH($E131&amp;$F131,#REF!&amp;#REF!,0)),0)</f>
        <v>0</v>
      </c>
      <c r="K131" s="626">
        <f t="shared" si="108"/>
        <v>0</v>
      </c>
      <c r="L131" s="626">
        <f t="shared" si="109"/>
        <v>0</v>
      </c>
      <c r="M131" s="626">
        <f t="shared" si="110"/>
        <v>0</v>
      </c>
      <c r="N131" s="625">
        <f t="array" ref="N131">IFERROR(INDEX(#REF!,MATCH($E131&amp;$F131,#REF!&amp;#REF!,0)),0)</f>
        <v>0</v>
      </c>
      <c r="O131" s="626">
        <f t="shared" si="111"/>
        <v>0</v>
      </c>
      <c r="P131" s="626">
        <f t="shared" si="112"/>
        <v>0</v>
      </c>
      <c r="Q131" s="626">
        <f t="shared" si="113"/>
        <v>0</v>
      </c>
      <c r="R131" s="625">
        <f t="array" ref="R131">IFERROR(INDEX(#REF!,MATCH($E131&amp;$F131,#REF!&amp;#REF!,0)),0)</f>
        <v>0</v>
      </c>
      <c r="S131" s="626">
        <f t="shared" si="114"/>
        <v>0</v>
      </c>
      <c r="T131" s="626">
        <f t="shared" si="115"/>
        <v>0</v>
      </c>
      <c r="U131" s="626">
        <f t="shared" si="116"/>
        <v>0</v>
      </c>
      <c r="V131" s="625">
        <f t="array" ref="V131">IFERROR(INDEX(#REF!,MATCH($E131&amp;$F131,#REF!&amp;#REF!,0)),0)</f>
        <v>0</v>
      </c>
      <c r="W131" s="626">
        <f t="shared" si="117"/>
        <v>0</v>
      </c>
      <c r="X131" s="626">
        <f t="shared" si="118"/>
        <v>0</v>
      </c>
      <c r="Y131" s="626">
        <f t="shared" si="119"/>
        <v>0</v>
      </c>
      <c r="Z131" s="630"/>
      <c r="AA131" s="625">
        <f t="array" ref="AA131">IFERROR(INDEX(#REF!,MATCH($E131&amp;$F131,#REF!&amp;#REF!,0)),0)</f>
        <v>0</v>
      </c>
      <c r="AB131" s="625">
        <f t="array" ref="AB131">IFERROR(INDEX(#REF!,MATCH($E131&amp;$F131,#REF!&amp;#REF!,0)),0)</f>
        <v>0</v>
      </c>
      <c r="AC131" s="626">
        <f t="shared" si="120"/>
        <v>0</v>
      </c>
      <c r="AD131" s="626">
        <f t="shared" si="121"/>
        <v>0</v>
      </c>
      <c r="AE131" s="626">
        <f t="shared" si="122"/>
        <v>0</v>
      </c>
      <c r="AF131" s="625">
        <f t="array" ref="AF131">IFERROR(INDEX(#REF!,MATCH($E131&amp;$F131,#REF!&amp;#REF!,0)),0)</f>
        <v>0</v>
      </c>
      <c r="AG131" s="626">
        <f t="shared" si="123"/>
        <v>0</v>
      </c>
      <c r="AH131" s="626">
        <f t="shared" si="124"/>
        <v>0</v>
      </c>
      <c r="AI131" s="626">
        <f t="shared" si="125"/>
        <v>0</v>
      </c>
      <c r="AJ131" s="625">
        <f t="array" ref="AJ131">IFERROR(INDEX(#REF!,MATCH($E131&amp;$F131,#REF!&amp;#REF!,0)),0)</f>
        <v>0</v>
      </c>
      <c r="AK131" s="626">
        <f t="shared" si="126"/>
        <v>0</v>
      </c>
      <c r="AL131" s="626">
        <f t="shared" si="127"/>
        <v>0</v>
      </c>
      <c r="AM131" s="626">
        <f t="shared" si="128"/>
        <v>0</v>
      </c>
      <c r="AN131" s="625">
        <f t="array" ref="AN131">IFERROR(INDEX(#REF!,MATCH($E131&amp;$F131,#REF!&amp;#REF!,0)),0)</f>
        <v>0</v>
      </c>
      <c r="AO131" s="626">
        <f t="shared" si="129"/>
        <v>0</v>
      </c>
      <c r="AP131" s="626">
        <f t="shared" si="130"/>
        <v>0</v>
      </c>
      <c r="AQ131" s="626">
        <f t="shared" si="131"/>
        <v>0</v>
      </c>
      <c r="AR131" s="630"/>
      <c r="AS131" s="625">
        <f t="array" ref="AS131">IFERROR(INDEX(#REF!,MATCH($E131&amp;$F131,#REF!&amp;#REF!,0)),0)</f>
        <v>0</v>
      </c>
      <c r="AT131" s="625">
        <f t="array" ref="AT131">IFERROR(INDEX(#REF!,MATCH($E131&amp;$F131,#REF!&amp;#REF!,0)),0)</f>
        <v>0</v>
      </c>
      <c r="AU131" s="626">
        <f t="shared" si="132"/>
        <v>0</v>
      </c>
      <c r="AV131" s="626">
        <f t="shared" si="133"/>
        <v>0</v>
      </c>
      <c r="AW131" s="626">
        <f t="shared" si="134"/>
        <v>0</v>
      </c>
      <c r="AX131" s="625">
        <f t="array" ref="AX131">IFERROR(INDEX(#REF!,MATCH($E131&amp;$F131,#REF!&amp;#REF!,0)),0)</f>
        <v>0</v>
      </c>
      <c r="AY131" s="626">
        <f t="shared" si="135"/>
        <v>0</v>
      </c>
      <c r="AZ131" s="626">
        <f t="shared" si="136"/>
        <v>0</v>
      </c>
      <c r="BA131" s="626">
        <f t="shared" si="137"/>
        <v>0</v>
      </c>
      <c r="BB131" s="625">
        <f t="array" ref="BB131">IFERROR(INDEX(#REF!,MATCH($E131&amp;$F131,#REF!&amp;#REF!,0)),0)</f>
        <v>0</v>
      </c>
      <c r="BC131" s="626">
        <f t="shared" si="138"/>
        <v>0</v>
      </c>
      <c r="BD131" s="626">
        <f t="shared" si="139"/>
        <v>0</v>
      </c>
      <c r="BE131" s="626">
        <f t="shared" si="140"/>
        <v>0</v>
      </c>
      <c r="BF131" s="625">
        <f t="array" ref="BF131">IFERROR(INDEX(#REF!,MATCH($E131&amp;$F131,#REF!&amp;#REF!,0)),0)</f>
        <v>0</v>
      </c>
      <c r="BG131" s="626">
        <f t="shared" si="141"/>
        <v>0</v>
      </c>
      <c r="BH131" s="626">
        <f t="shared" si="142"/>
        <v>0</v>
      </c>
      <c r="BI131" s="626">
        <f t="shared" si="143"/>
        <v>0</v>
      </c>
      <c r="BJ131" s="630"/>
      <c r="BK131" s="625"/>
      <c r="BL131" s="625"/>
      <c r="BM131" s="625"/>
      <c r="BN131" s="625"/>
      <c r="BO131" s="625"/>
      <c r="BP131" s="625"/>
      <c r="BQ131" s="625"/>
      <c r="BR131" s="625"/>
    </row>
    <row r="132" spans="1:70">
      <c r="A132" s="29" t="s">
        <v>1317</v>
      </c>
      <c r="B132" s="29" t="s">
        <v>1744</v>
      </c>
      <c r="C132" s="619">
        <f>SETUP!$F$39</f>
        <v>0</v>
      </c>
      <c r="D132" s="25">
        <v>4.7</v>
      </c>
      <c r="E132" s="26" t="s">
        <v>1323</v>
      </c>
      <c r="F132" s="26" t="s">
        <v>1409</v>
      </c>
      <c r="G132" s="625" t="str">
        <f t="array" ref="G132">IFERROR(INDEX(#REF!,MATCH($E132&amp;$F132,#REF!&amp;#REF!,0)),"")</f>
        <v/>
      </c>
      <c r="H132" s="625"/>
      <c r="I132" s="625">
        <f t="array" ref="I132">IFERROR(INDEX(#REF!,MATCH($E132&amp;$F132,#REF!&amp;#REF!,0)),0)</f>
        <v>0</v>
      </c>
      <c r="J132" s="625">
        <f t="array" ref="J132">IFERROR(INDEX(#REF!,MATCH($E132&amp;$F132,#REF!&amp;#REF!,0)),0)</f>
        <v>0</v>
      </c>
      <c r="K132" s="626">
        <f t="shared" si="108"/>
        <v>0</v>
      </c>
      <c r="L132" s="626">
        <f t="shared" si="109"/>
        <v>0</v>
      </c>
      <c r="M132" s="626">
        <f t="shared" si="110"/>
        <v>0</v>
      </c>
      <c r="N132" s="625">
        <f t="array" ref="N132">IFERROR(INDEX(#REF!,MATCH($E132&amp;$F132,#REF!&amp;#REF!,0)),0)</f>
        <v>0</v>
      </c>
      <c r="O132" s="626">
        <f t="shared" si="111"/>
        <v>0</v>
      </c>
      <c r="P132" s="626">
        <f t="shared" si="112"/>
        <v>0</v>
      </c>
      <c r="Q132" s="626">
        <f t="shared" si="113"/>
        <v>0</v>
      </c>
      <c r="R132" s="625">
        <f t="array" ref="R132">IFERROR(INDEX(#REF!,MATCH($E132&amp;$F132,#REF!&amp;#REF!,0)),0)</f>
        <v>0</v>
      </c>
      <c r="S132" s="626">
        <f t="shared" si="114"/>
        <v>0</v>
      </c>
      <c r="T132" s="626">
        <f t="shared" si="115"/>
        <v>0</v>
      </c>
      <c r="U132" s="626">
        <f t="shared" si="116"/>
        <v>0</v>
      </c>
      <c r="V132" s="625">
        <f t="array" ref="V132">IFERROR(INDEX(#REF!,MATCH($E132&amp;$F132,#REF!&amp;#REF!,0)),0)</f>
        <v>0</v>
      </c>
      <c r="W132" s="626">
        <f t="shared" si="117"/>
        <v>0</v>
      </c>
      <c r="X132" s="626">
        <f t="shared" si="118"/>
        <v>0</v>
      </c>
      <c r="Y132" s="626">
        <f t="shared" si="119"/>
        <v>0</v>
      </c>
      <c r="Z132" s="630"/>
      <c r="AA132" s="625">
        <f t="array" ref="AA132">IFERROR(INDEX(#REF!,MATCH($E132&amp;$F132,#REF!&amp;#REF!,0)),0)</f>
        <v>0</v>
      </c>
      <c r="AB132" s="625">
        <f t="array" ref="AB132">IFERROR(INDEX(#REF!,MATCH($E132&amp;$F132,#REF!&amp;#REF!,0)),0)</f>
        <v>0</v>
      </c>
      <c r="AC132" s="626">
        <f t="shared" si="120"/>
        <v>0</v>
      </c>
      <c r="AD132" s="626">
        <f t="shared" si="121"/>
        <v>0</v>
      </c>
      <c r="AE132" s="626">
        <f t="shared" si="122"/>
        <v>0</v>
      </c>
      <c r="AF132" s="625">
        <f t="array" ref="AF132">IFERROR(INDEX(#REF!,MATCH($E132&amp;$F132,#REF!&amp;#REF!,0)),0)</f>
        <v>0</v>
      </c>
      <c r="AG132" s="626">
        <f t="shared" si="123"/>
        <v>0</v>
      </c>
      <c r="AH132" s="626">
        <f t="shared" si="124"/>
        <v>0</v>
      </c>
      <c r="AI132" s="626">
        <f t="shared" si="125"/>
        <v>0</v>
      </c>
      <c r="AJ132" s="625">
        <f t="array" ref="AJ132">IFERROR(INDEX(#REF!,MATCH($E132&amp;$F132,#REF!&amp;#REF!,0)),0)</f>
        <v>0</v>
      </c>
      <c r="AK132" s="626">
        <f t="shared" si="126"/>
        <v>0</v>
      </c>
      <c r="AL132" s="626">
        <f t="shared" si="127"/>
        <v>0</v>
      </c>
      <c r="AM132" s="626">
        <f t="shared" si="128"/>
        <v>0</v>
      </c>
      <c r="AN132" s="625">
        <f t="array" ref="AN132">IFERROR(INDEX(#REF!,MATCH($E132&amp;$F132,#REF!&amp;#REF!,0)),0)</f>
        <v>0</v>
      </c>
      <c r="AO132" s="626">
        <f t="shared" si="129"/>
        <v>0</v>
      </c>
      <c r="AP132" s="626">
        <f t="shared" si="130"/>
        <v>0</v>
      </c>
      <c r="AQ132" s="626">
        <f t="shared" si="131"/>
        <v>0</v>
      </c>
      <c r="AR132" s="630"/>
      <c r="AS132" s="625">
        <f t="array" ref="AS132">IFERROR(INDEX(#REF!,MATCH($E132&amp;$F132,#REF!&amp;#REF!,0)),0)</f>
        <v>0</v>
      </c>
      <c r="AT132" s="625">
        <f t="array" ref="AT132">IFERROR(INDEX(#REF!,MATCH($E132&amp;$F132,#REF!&amp;#REF!,0)),0)</f>
        <v>0</v>
      </c>
      <c r="AU132" s="626">
        <f t="shared" si="132"/>
        <v>0</v>
      </c>
      <c r="AV132" s="626">
        <f t="shared" si="133"/>
        <v>0</v>
      </c>
      <c r="AW132" s="626">
        <f t="shared" si="134"/>
        <v>0</v>
      </c>
      <c r="AX132" s="625">
        <f t="array" ref="AX132">IFERROR(INDEX(#REF!,MATCH($E132&amp;$F132,#REF!&amp;#REF!,0)),0)</f>
        <v>0</v>
      </c>
      <c r="AY132" s="626">
        <f t="shared" si="135"/>
        <v>0</v>
      </c>
      <c r="AZ132" s="626">
        <f t="shared" si="136"/>
        <v>0</v>
      </c>
      <c r="BA132" s="626">
        <f t="shared" si="137"/>
        <v>0</v>
      </c>
      <c r="BB132" s="625">
        <f t="array" ref="BB132">IFERROR(INDEX(#REF!,MATCH($E132&amp;$F132,#REF!&amp;#REF!,0)),0)</f>
        <v>0</v>
      </c>
      <c r="BC132" s="626">
        <f t="shared" si="138"/>
        <v>0</v>
      </c>
      <c r="BD132" s="626">
        <f t="shared" si="139"/>
        <v>0</v>
      </c>
      <c r="BE132" s="626">
        <f t="shared" si="140"/>
        <v>0</v>
      </c>
      <c r="BF132" s="625">
        <f t="array" ref="BF132">IFERROR(INDEX(#REF!,MATCH($E132&amp;$F132,#REF!&amp;#REF!,0)),0)</f>
        <v>0</v>
      </c>
      <c r="BG132" s="626">
        <f t="shared" si="141"/>
        <v>0</v>
      </c>
      <c r="BH132" s="626">
        <f t="shared" si="142"/>
        <v>0</v>
      </c>
      <c r="BI132" s="626">
        <f t="shared" si="143"/>
        <v>0</v>
      </c>
      <c r="BJ132" s="630"/>
      <c r="BK132" s="625"/>
      <c r="BL132" s="625"/>
      <c r="BM132" s="625"/>
      <c r="BN132" s="625"/>
      <c r="BO132" s="625"/>
      <c r="BP132" s="625"/>
      <c r="BQ132" s="625"/>
      <c r="BR132" s="625"/>
    </row>
    <row r="133" spans="1:70">
      <c r="A133" s="29" t="s">
        <v>1317</v>
      </c>
      <c r="B133" s="29" t="s">
        <v>1744</v>
      </c>
      <c r="C133" s="619">
        <f>SETUP!$F$39</f>
        <v>0</v>
      </c>
      <c r="D133" s="25">
        <v>4.7</v>
      </c>
      <c r="E133" s="26" t="s">
        <v>1323</v>
      </c>
      <c r="F133" s="26" t="s">
        <v>1410</v>
      </c>
      <c r="G133" s="625" t="str">
        <f t="array" ref="G133">IFERROR(INDEX(#REF!,MATCH($E133&amp;$F133,#REF!&amp;#REF!,0)),"")</f>
        <v/>
      </c>
      <c r="H133" s="625"/>
      <c r="I133" s="625">
        <f t="array" ref="I133">IFERROR(INDEX(#REF!,MATCH($E133&amp;$F133,#REF!&amp;#REF!,0)),0)</f>
        <v>0</v>
      </c>
      <c r="J133" s="625">
        <f t="array" ref="J133">IFERROR(INDEX(#REF!,MATCH($E133&amp;$F133,#REF!&amp;#REF!,0)),0)</f>
        <v>0</v>
      </c>
      <c r="K133" s="626">
        <f t="shared" si="108"/>
        <v>0</v>
      </c>
      <c r="L133" s="626">
        <f t="shared" si="109"/>
        <v>0</v>
      </c>
      <c r="M133" s="626">
        <f t="shared" si="110"/>
        <v>0</v>
      </c>
      <c r="N133" s="625">
        <f t="array" ref="N133">IFERROR(INDEX(#REF!,MATCH($E133&amp;$F133,#REF!&amp;#REF!,0)),0)</f>
        <v>0</v>
      </c>
      <c r="O133" s="626">
        <f t="shared" si="111"/>
        <v>0</v>
      </c>
      <c r="P133" s="626">
        <f t="shared" si="112"/>
        <v>0</v>
      </c>
      <c r="Q133" s="626">
        <f t="shared" si="113"/>
        <v>0</v>
      </c>
      <c r="R133" s="625">
        <f t="array" ref="R133">IFERROR(INDEX(#REF!,MATCH($E133&amp;$F133,#REF!&amp;#REF!,0)),0)</f>
        <v>0</v>
      </c>
      <c r="S133" s="626">
        <f t="shared" si="114"/>
        <v>0</v>
      </c>
      <c r="T133" s="626">
        <f t="shared" si="115"/>
        <v>0</v>
      </c>
      <c r="U133" s="626">
        <f t="shared" si="116"/>
        <v>0</v>
      </c>
      <c r="V133" s="625">
        <f t="array" ref="V133">IFERROR(INDEX(#REF!,MATCH($E133&amp;$F133,#REF!&amp;#REF!,0)),0)</f>
        <v>0</v>
      </c>
      <c r="W133" s="626">
        <f t="shared" si="117"/>
        <v>0</v>
      </c>
      <c r="X133" s="626">
        <f t="shared" si="118"/>
        <v>0</v>
      </c>
      <c r="Y133" s="626">
        <f t="shared" si="119"/>
        <v>0</v>
      </c>
      <c r="Z133" s="630"/>
      <c r="AA133" s="625">
        <f t="array" ref="AA133">IFERROR(INDEX(#REF!,MATCH($E133&amp;$F133,#REF!&amp;#REF!,0)),0)</f>
        <v>0</v>
      </c>
      <c r="AB133" s="625">
        <f t="array" ref="AB133">IFERROR(INDEX(#REF!,MATCH($E133&amp;$F133,#REF!&amp;#REF!,0)),0)</f>
        <v>0</v>
      </c>
      <c r="AC133" s="626">
        <f t="shared" si="120"/>
        <v>0</v>
      </c>
      <c r="AD133" s="626">
        <f t="shared" si="121"/>
        <v>0</v>
      </c>
      <c r="AE133" s="626">
        <f t="shared" si="122"/>
        <v>0</v>
      </c>
      <c r="AF133" s="625">
        <f t="array" ref="AF133">IFERROR(INDEX(#REF!,MATCH($E133&amp;$F133,#REF!&amp;#REF!,0)),0)</f>
        <v>0</v>
      </c>
      <c r="AG133" s="626">
        <f t="shared" si="123"/>
        <v>0</v>
      </c>
      <c r="AH133" s="626">
        <f t="shared" si="124"/>
        <v>0</v>
      </c>
      <c r="AI133" s="626">
        <f t="shared" si="125"/>
        <v>0</v>
      </c>
      <c r="AJ133" s="625">
        <f t="array" ref="AJ133">IFERROR(INDEX(#REF!,MATCH($E133&amp;$F133,#REF!&amp;#REF!,0)),0)</f>
        <v>0</v>
      </c>
      <c r="AK133" s="626">
        <f t="shared" si="126"/>
        <v>0</v>
      </c>
      <c r="AL133" s="626">
        <f t="shared" si="127"/>
        <v>0</v>
      </c>
      <c r="AM133" s="626">
        <f t="shared" si="128"/>
        <v>0</v>
      </c>
      <c r="AN133" s="625">
        <f t="array" ref="AN133">IFERROR(INDEX(#REF!,MATCH($E133&amp;$F133,#REF!&amp;#REF!,0)),0)</f>
        <v>0</v>
      </c>
      <c r="AO133" s="626">
        <f t="shared" si="129"/>
        <v>0</v>
      </c>
      <c r="AP133" s="626">
        <f t="shared" si="130"/>
        <v>0</v>
      </c>
      <c r="AQ133" s="626">
        <f t="shared" si="131"/>
        <v>0</v>
      </c>
      <c r="AR133" s="630"/>
      <c r="AS133" s="625">
        <f t="array" ref="AS133">IFERROR(INDEX(#REF!,MATCH($E133&amp;$F133,#REF!&amp;#REF!,0)),0)</f>
        <v>0</v>
      </c>
      <c r="AT133" s="625">
        <f t="array" ref="AT133">IFERROR(INDEX(#REF!,MATCH($E133&amp;$F133,#REF!&amp;#REF!,0)),0)</f>
        <v>0</v>
      </c>
      <c r="AU133" s="626">
        <f t="shared" si="132"/>
        <v>0</v>
      </c>
      <c r="AV133" s="626">
        <f t="shared" si="133"/>
        <v>0</v>
      </c>
      <c r="AW133" s="626">
        <f t="shared" si="134"/>
        <v>0</v>
      </c>
      <c r="AX133" s="625">
        <f t="array" ref="AX133">IFERROR(INDEX(#REF!,MATCH($E133&amp;$F133,#REF!&amp;#REF!,0)),0)</f>
        <v>0</v>
      </c>
      <c r="AY133" s="626">
        <f t="shared" si="135"/>
        <v>0</v>
      </c>
      <c r="AZ133" s="626">
        <f t="shared" si="136"/>
        <v>0</v>
      </c>
      <c r="BA133" s="626">
        <f t="shared" si="137"/>
        <v>0</v>
      </c>
      <c r="BB133" s="625">
        <f t="array" ref="BB133">IFERROR(INDEX(#REF!,MATCH($E133&amp;$F133,#REF!&amp;#REF!,0)),0)</f>
        <v>0</v>
      </c>
      <c r="BC133" s="626">
        <f t="shared" si="138"/>
        <v>0</v>
      </c>
      <c r="BD133" s="626">
        <f t="shared" si="139"/>
        <v>0</v>
      </c>
      <c r="BE133" s="626">
        <f t="shared" si="140"/>
        <v>0</v>
      </c>
      <c r="BF133" s="625">
        <f t="array" ref="BF133">IFERROR(INDEX(#REF!,MATCH($E133&amp;$F133,#REF!&amp;#REF!,0)),0)</f>
        <v>0</v>
      </c>
      <c r="BG133" s="626">
        <f t="shared" si="141"/>
        <v>0</v>
      </c>
      <c r="BH133" s="626">
        <f t="shared" si="142"/>
        <v>0</v>
      </c>
      <c r="BI133" s="626">
        <f t="shared" si="143"/>
        <v>0</v>
      </c>
      <c r="BJ133" s="630"/>
      <c r="BK133" s="625"/>
      <c r="BL133" s="625"/>
      <c r="BM133" s="625"/>
      <c r="BN133" s="625"/>
      <c r="BO133" s="625"/>
      <c r="BP133" s="625"/>
      <c r="BQ133" s="625"/>
      <c r="BR133" s="625"/>
    </row>
    <row r="134" spans="1:70">
      <c r="A134" s="29" t="s">
        <v>1317</v>
      </c>
      <c r="B134" s="29" t="s">
        <v>1744</v>
      </c>
      <c r="C134" s="619">
        <f>SETUP!$F$39</f>
        <v>0</v>
      </c>
      <c r="D134" s="25">
        <v>4.7</v>
      </c>
      <c r="E134" s="26" t="s">
        <v>1323</v>
      </c>
      <c r="F134" s="26" t="s">
        <v>1411</v>
      </c>
      <c r="G134" s="625" t="str">
        <f t="array" ref="G134">IFERROR(INDEX(#REF!,MATCH($E134&amp;$F134,#REF!&amp;#REF!,0)),"")</f>
        <v/>
      </c>
      <c r="H134" s="625"/>
      <c r="I134" s="625">
        <f t="array" ref="I134">IFERROR(INDEX(#REF!,MATCH($E134&amp;$F134,#REF!&amp;#REF!,0)),0)</f>
        <v>0</v>
      </c>
      <c r="J134" s="625">
        <f t="array" ref="J134">IFERROR(INDEX(#REF!,MATCH($E134&amp;$F134,#REF!&amp;#REF!,0)),0)</f>
        <v>0</v>
      </c>
      <c r="K134" s="626">
        <f t="shared" si="108"/>
        <v>0</v>
      </c>
      <c r="L134" s="626">
        <f t="shared" si="109"/>
        <v>0</v>
      </c>
      <c r="M134" s="626">
        <f t="shared" si="110"/>
        <v>0</v>
      </c>
      <c r="N134" s="625">
        <f t="array" ref="N134">IFERROR(INDEX(#REF!,MATCH($E134&amp;$F134,#REF!&amp;#REF!,0)),0)</f>
        <v>0</v>
      </c>
      <c r="O134" s="626">
        <f t="shared" si="111"/>
        <v>0</v>
      </c>
      <c r="P134" s="626">
        <f t="shared" si="112"/>
        <v>0</v>
      </c>
      <c r="Q134" s="626">
        <f t="shared" si="113"/>
        <v>0</v>
      </c>
      <c r="R134" s="625">
        <f t="array" ref="R134">IFERROR(INDEX(#REF!,MATCH($E134&amp;$F134,#REF!&amp;#REF!,0)),0)</f>
        <v>0</v>
      </c>
      <c r="S134" s="626">
        <f t="shared" si="114"/>
        <v>0</v>
      </c>
      <c r="T134" s="626">
        <f t="shared" si="115"/>
        <v>0</v>
      </c>
      <c r="U134" s="626">
        <f t="shared" si="116"/>
        <v>0</v>
      </c>
      <c r="V134" s="625">
        <f t="array" ref="V134">IFERROR(INDEX(#REF!,MATCH($E134&amp;$F134,#REF!&amp;#REF!,0)),0)</f>
        <v>0</v>
      </c>
      <c r="W134" s="626">
        <f t="shared" si="117"/>
        <v>0</v>
      </c>
      <c r="X134" s="626">
        <f t="shared" si="118"/>
        <v>0</v>
      </c>
      <c r="Y134" s="626">
        <f t="shared" si="119"/>
        <v>0</v>
      </c>
      <c r="Z134" s="630"/>
      <c r="AA134" s="625">
        <f t="array" ref="AA134">IFERROR(INDEX(#REF!,MATCH($E134&amp;$F134,#REF!&amp;#REF!,0)),0)</f>
        <v>0</v>
      </c>
      <c r="AB134" s="625">
        <f t="array" ref="AB134">IFERROR(INDEX(#REF!,MATCH($E134&amp;$F134,#REF!&amp;#REF!,0)),0)</f>
        <v>0</v>
      </c>
      <c r="AC134" s="626">
        <f t="shared" si="120"/>
        <v>0</v>
      </c>
      <c r="AD134" s="626">
        <f t="shared" si="121"/>
        <v>0</v>
      </c>
      <c r="AE134" s="626">
        <f t="shared" si="122"/>
        <v>0</v>
      </c>
      <c r="AF134" s="625">
        <f t="array" ref="AF134">IFERROR(INDEX(#REF!,MATCH($E134&amp;$F134,#REF!&amp;#REF!,0)),0)</f>
        <v>0</v>
      </c>
      <c r="AG134" s="626">
        <f t="shared" si="123"/>
        <v>0</v>
      </c>
      <c r="AH134" s="626">
        <f t="shared" si="124"/>
        <v>0</v>
      </c>
      <c r="AI134" s="626">
        <f t="shared" si="125"/>
        <v>0</v>
      </c>
      <c r="AJ134" s="625">
        <f t="array" ref="AJ134">IFERROR(INDEX(#REF!,MATCH($E134&amp;$F134,#REF!&amp;#REF!,0)),0)</f>
        <v>0</v>
      </c>
      <c r="AK134" s="626">
        <f t="shared" si="126"/>
        <v>0</v>
      </c>
      <c r="AL134" s="626">
        <f t="shared" si="127"/>
        <v>0</v>
      </c>
      <c r="AM134" s="626">
        <f t="shared" si="128"/>
        <v>0</v>
      </c>
      <c r="AN134" s="625">
        <f t="array" ref="AN134">IFERROR(INDEX(#REF!,MATCH($E134&amp;$F134,#REF!&amp;#REF!,0)),0)</f>
        <v>0</v>
      </c>
      <c r="AO134" s="626">
        <f t="shared" si="129"/>
        <v>0</v>
      </c>
      <c r="AP134" s="626">
        <f t="shared" si="130"/>
        <v>0</v>
      </c>
      <c r="AQ134" s="626">
        <f t="shared" si="131"/>
        <v>0</v>
      </c>
      <c r="AR134" s="630"/>
      <c r="AS134" s="625">
        <f t="array" ref="AS134">IFERROR(INDEX(#REF!,MATCH($E134&amp;$F134,#REF!&amp;#REF!,0)),0)</f>
        <v>0</v>
      </c>
      <c r="AT134" s="625">
        <f t="array" ref="AT134">IFERROR(INDEX(#REF!,MATCH($E134&amp;$F134,#REF!&amp;#REF!,0)),0)</f>
        <v>0</v>
      </c>
      <c r="AU134" s="626">
        <f t="shared" si="132"/>
        <v>0</v>
      </c>
      <c r="AV134" s="626">
        <f t="shared" si="133"/>
        <v>0</v>
      </c>
      <c r="AW134" s="626">
        <f t="shared" si="134"/>
        <v>0</v>
      </c>
      <c r="AX134" s="625">
        <f t="array" ref="AX134">IFERROR(INDEX(#REF!,MATCH($E134&amp;$F134,#REF!&amp;#REF!,0)),0)</f>
        <v>0</v>
      </c>
      <c r="AY134" s="626">
        <f t="shared" si="135"/>
        <v>0</v>
      </c>
      <c r="AZ134" s="626">
        <f t="shared" si="136"/>
        <v>0</v>
      </c>
      <c r="BA134" s="626">
        <f t="shared" si="137"/>
        <v>0</v>
      </c>
      <c r="BB134" s="625">
        <f t="array" ref="BB134">IFERROR(INDEX(#REF!,MATCH($E134&amp;$F134,#REF!&amp;#REF!,0)),0)</f>
        <v>0</v>
      </c>
      <c r="BC134" s="626">
        <f t="shared" si="138"/>
        <v>0</v>
      </c>
      <c r="BD134" s="626">
        <f t="shared" si="139"/>
        <v>0</v>
      </c>
      <c r="BE134" s="626">
        <f t="shared" si="140"/>
        <v>0</v>
      </c>
      <c r="BF134" s="625">
        <f t="array" ref="BF134">IFERROR(INDEX(#REF!,MATCH($E134&amp;$F134,#REF!&amp;#REF!,0)),0)</f>
        <v>0</v>
      </c>
      <c r="BG134" s="626">
        <f t="shared" si="141"/>
        <v>0</v>
      </c>
      <c r="BH134" s="626">
        <f t="shared" si="142"/>
        <v>0</v>
      </c>
      <c r="BI134" s="626">
        <f t="shared" si="143"/>
        <v>0</v>
      </c>
      <c r="BJ134" s="630"/>
      <c r="BK134" s="625"/>
      <c r="BL134" s="625"/>
      <c r="BM134" s="625"/>
      <c r="BN134" s="625"/>
      <c r="BO134" s="625"/>
      <c r="BP134" s="625"/>
      <c r="BQ134" s="625"/>
      <c r="BR134" s="625"/>
    </row>
    <row r="135" spans="1:70">
      <c r="A135" s="29" t="s">
        <v>1317</v>
      </c>
      <c r="B135" s="29" t="s">
        <v>1744</v>
      </c>
      <c r="C135" s="619">
        <f>SETUP!$F$39</f>
        <v>0</v>
      </c>
      <c r="D135" s="25">
        <v>4.7</v>
      </c>
      <c r="E135" s="26" t="s">
        <v>1412</v>
      </c>
      <c r="F135" s="26" t="s">
        <v>1413</v>
      </c>
      <c r="G135" s="625" t="str">
        <f t="array" ref="G135">IFERROR(INDEX(#REF!,MATCH($E135&amp;$F135,#REF!&amp;#REF!,0)),"")</f>
        <v/>
      </c>
      <c r="H135" s="625"/>
      <c r="I135" s="625">
        <f t="array" ref="I135">IFERROR(INDEX(#REF!,MATCH($E135&amp;$F135,#REF!&amp;#REF!,0)),0)</f>
        <v>0</v>
      </c>
      <c r="J135" s="625">
        <f t="array" ref="J135">IFERROR(INDEX(#REF!,MATCH($E135&amp;$F135,#REF!&amp;#REF!,0)),0)</f>
        <v>0</v>
      </c>
      <c r="K135" s="626">
        <f t="shared" si="108"/>
        <v>0</v>
      </c>
      <c r="L135" s="626">
        <f t="shared" si="109"/>
        <v>0</v>
      </c>
      <c r="M135" s="626">
        <f t="shared" si="110"/>
        <v>0</v>
      </c>
      <c r="N135" s="625">
        <f t="array" ref="N135">IFERROR(INDEX(#REF!,MATCH($E135&amp;$F135,#REF!&amp;#REF!,0)),0)</f>
        <v>0</v>
      </c>
      <c r="O135" s="626">
        <f t="shared" si="111"/>
        <v>0</v>
      </c>
      <c r="P135" s="626">
        <f t="shared" si="112"/>
        <v>0</v>
      </c>
      <c r="Q135" s="626">
        <f t="shared" si="113"/>
        <v>0</v>
      </c>
      <c r="R135" s="625">
        <f t="array" ref="R135">IFERROR(INDEX(#REF!,MATCH($E135&amp;$F135,#REF!&amp;#REF!,0)),0)</f>
        <v>0</v>
      </c>
      <c r="S135" s="626">
        <f t="shared" si="114"/>
        <v>0</v>
      </c>
      <c r="T135" s="626">
        <f t="shared" si="115"/>
        <v>0</v>
      </c>
      <c r="U135" s="626">
        <f t="shared" si="116"/>
        <v>0</v>
      </c>
      <c r="V135" s="625">
        <f t="array" ref="V135">IFERROR(INDEX(#REF!,MATCH($E135&amp;$F135,#REF!&amp;#REF!,0)),0)</f>
        <v>0</v>
      </c>
      <c r="W135" s="626">
        <f t="shared" si="117"/>
        <v>0</v>
      </c>
      <c r="X135" s="626">
        <f t="shared" si="118"/>
        <v>0</v>
      </c>
      <c r="Y135" s="626">
        <f t="shared" si="119"/>
        <v>0</v>
      </c>
      <c r="Z135" s="630"/>
      <c r="AA135" s="625">
        <f t="array" ref="AA135">IFERROR(INDEX(#REF!,MATCH($E135&amp;$F135,#REF!&amp;#REF!,0)),0)</f>
        <v>0</v>
      </c>
      <c r="AB135" s="625">
        <f t="array" ref="AB135">IFERROR(INDEX(#REF!,MATCH($E135&amp;$F135,#REF!&amp;#REF!,0)),0)</f>
        <v>0</v>
      </c>
      <c r="AC135" s="626">
        <f t="shared" si="120"/>
        <v>0</v>
      </c>
      <c r="AD135" s="626">
        <f t="shared" si="121"/>
        <v>0</v>
      </c>
      <c r="AE135" s="626">
        <f t="shared" si="122"/>
        <v>0</v>
      </c>
      <c r="AF135" s="625">
        <f t="array" ref="AF135">IFERROR(INDEX(#REF!,MATCH($E135&amp;$F135,#REF!&amp;#REF!,0)),0)</f>
        <v>0</v>
      </c>
      <c r="AG135" s="626">
        <f t="shared" si="123"/>
        <v>0</v>
      </c>
      <c r="AH135" s="626">
        <f t="shared" si="124"/>
        <v>0</v>
      </c>
      <c r="AI135" s="626">
        <f t="shared" si="125"/>
        <v>0</v>
      </c>
      <c r="AJ135" s="625">
        <f t="array" ref="AJ135">IFERROR(INDEX(#REF!,MATCH($E135&amp;$F135,#REF!&amp;#REF!,0)),0)</f>
        <v>0</v>
      </c>
      <c r="AK135" s="626">
        <f t="shared" si="126"/>
        <v>0</v>
      </c>
      <c r="AL135" s="626">
        <f t="shared" si="127"/>
        <v>0</v>
      </c>
      <c r="AM135" s="626">
        <f t="shared" si="128"/>
        <v>0</v>
      </c>
      <c r="AN135" s="625">
        <f t="array" ref="AN135">IFERROR(INDEX(#REF!,MATCH($E135&amp;$F135,#REF!&amp;#REF!,0)),0)</f>
        <v>0</v>
      </c>
      <c r="AO135" s="626">
        <f t="shared" si="129"/>
        <v>0</v>
      </c>
      <c r="AP135" s="626">
        <f t="shared" si="130"/>
        <v>0</v>
      </c>
      <c r="AQ135" s="626">
        <f t="shared" si="131"/>
        <v>0</v>
      </c>
      <c r="AR135" s="630"/>
      <c r="AS135" s="625">
        <f t="array" ref="AS135">IFERROR(INDEX(#REF!,MATCH($E135&amp;$F135,#REF!&amp;#REF!,0)),0)</f>
        <v>0</v>
      </c>
      <c r="AT135" s="625">
        <f t="array" ref="AT135">IFERROR(INDEX(#REF!,MATCH($E135&amp;$F135,#REF!&amp;#REF!,0)),0)</f>
        <v>0</v>
      </c>
      <c r="AU135" s="626">
        <f t="shared" si="132"/>
        <v>0</v>
      </c>
      <c r="AV135" s="626">
        <f t="shared" si="133"/>
        <v>0</v>
      </c>
      <c r="AW135" s="626">
        <f t="shared" si="134"/>
        <v>0</v>
      </c>
      <c r="AX135" s="625">
        <f t="array" ref="AX135">IFERROR(INDEX(#REF!,MATCH($E135&amp;$F135,#REF!&amp;#REF!,0)),0)</f>
        <v>0</v>
      </c>
      <c r="AY135" s="626">
        <f t="shared" si="135"/>
        <v>0</v>
      </c>
      <c r="AZ135" s="626">
        <f t="shared" si="136"/>
        <v>0</v>
      </c>
      <c r="BA135" s="626">
        <f t="shared" si="137"/>
        <v>0</v>
      </c>
      <c r="BB135" s="625">
        <f t="array" ref="BB135">IFERROR(INDEX(#REF!,MATCH($E135&amp;$F135,#REF!&amp;#REF!,0)),0)</f>
        <v>0</v>
      </c>
      <c r="BC135" s="626">
        <f t="shared" si="138"/>
        <v>0</v>
      </c>
      <c r="BD135" s="626">
        <f t="shared" si="139"/>
        <v>0</v>
      </c>
      <c r="BE135" s="626">
        <f t="shared" si="140"/>
        <v>0</v>
      </c>
      <c r="BF135" s="625">
        <f t="array" ref="BF135">IFERROR(INDEX(#REF!,MATCH($E135&amp;$F135,#REF!&amp;#REF!,0)),0)</f>
        <v>0</v>
      </c>
      <c r="BG135" s="626">
        <f t="shared" si="141"/>
        <v>0</v>
      </c>
      <c r="BH135" s="626">
        <f t="shared" si="142"/>
        <v>0</v>
      </c>
      <c r="BI135" s="626">
        <f t="shared" si="143"/>
        <v>0</v>
      </c>
      <c r="BJ135" s="630"/>
      <c r="BK135" s="625"/>
      <c r="BL135" s="625"/>
      <c r="BM135" s="625"/>
      <c r="BN135" s="625"/>
      <c r="BO135" s="625"/>
      <c r="BP135" s="625"/>
      <c r="BQ135" s="625"/>
      <c r="BR135" s="625"/>
    </row>
    <row r="136" spans="1:70">
      <c r="A136" s="29" t="s">
        <v>1317</v>
      </c>
      <c r="B136" s="29" t="s">
        <v>1744</v>
      </c>
      <c r="C136" s="619">
        <f>SETUP!$F$39</f>
        <v>0</v>
      </c>
      <c r="D136" s="25">
        <v>4.7</v>
      </c>
      <c r="E136" s="26" t="s">
        <v>1324</v>
      </c>
      <c r="F136" s="26" t="s">
        <v>1325</v>
      </c>
      <c r="G136" s="625" t="str">
        <f t="array" ref="G136">IFERROR(INDEX(#REF!,MATCH($E136&amp;$F136,#REF!&amp;#REF!,0)),"")</f>
        <v/>
      </c>
      <c r="H136" s="625"/>
      <c r="I136" s="625">
        <f t="array" ref="I136">IFERROR(INDEX(#REF!,MATCH($E136&amp;$F136,#REF!&amp;#REF!,0)),0)</f>
        <v>0</v>
      </c>
      <c r="J136" s="625">
        <f t="array" ref="J136">IFERROR(INDEX(#REF!,MATCH($E136&amp;$F136,#REF!&amp;#REF!,0)),0)</f>
        <v>0</v>
      </c>
      <c r="K136" s="626">
        <f t="shared" si="108"/>
        <v>0</v>
      </c>
      <c r="L136" s="626">
        <f t="shared" si="109"/>
        <v>0</v>
      </c>
      <c r="M136" s="626">
        <f t="shared" si="110"/>
        <v>0</v>
      </c>
      <c r="N136" s="625">
        <f t="array" ref="N136">IFERROR(INDEX(#REF!,MATCH($E136&amp;$F136,#REF!&amp;#REF!,0)),0)</f>
        <v>0</v>
      </c>
      <c r="O136" s="626">
        <f t="shared" si="111"/>
        <v>0</v>
      </c>
      <c r="P136" s="626">
        <f t="shared" si="112"/>
        <v>0</v>
      </c>
      <c r="Q136" s="626">
        <f t="shared" si="113"/>
        <v>0</v>
      </c>
      <c r="R136" s="625">
        <f t="array" ref="R136">IFERROR(INDEX(#REF!,MATCH($E136&amp;$F136,#REF!&amp;#REF!,0)),0)</f>
        <v>0</v>
      </c>
      <c r="S136" s="626">
        <f t="shared" si="114"/>
        <v>0</v>
      </c>
      <c r="T136" s="626">
        <f t="shared" si="115"/>
        <v>0</v>
      </c>
      <c r="U136" s="626">
        <f t="shared" si="116"/>
        <v>0</v>
      </c>
      <c r="V136" s="625">
        <f t="array" ref="V136">IFERROR(INDEX(#REF!,MATCH($E136&amp;$F136,#REF!&amp;#REF!,0)),0)</f>
        <v>0</v>
      </c>
      <c r="W136" s="626">
        <f t="shared" si="117"/>
        <v>0</v>
      </c>
      <c r="X136" s="626">
        <f t="shared" si="118"/>
        <v>0</v>
      </c>
      <c r="Y136" s="626">
        <f t="shared" si="119"/>
        <v>0</v>
      </c>
      <c r="Z136" s="630"/>
      <c r="AA136" s="625">
        <f t="array" ref="AA136">IFERROR(INDEX(#REF!,MATCH($E136&amp;$F136,#REF!&amp;#REF!,0)),0)</f>
        <v>0</v>
      </c>
      <c r="AB136" s="625">
        <f t="array" ref="AB136">IFERROR(INDEX(#REF!,MATCH($E136&amp;$F136,#REF!&amp;#REF!,0)),0)</f>
        <v>0</v>
      </c>
      <c r="AC136" s="626">
        <f t="shared" si="120"/>
        <v>0</v>
      </c>
      <c r="AD136" s="626">
        <f t="shared" si="121"/>
        <v>0</v>
      </c>
      <c r="AE136" s="626">
        <f t="shared" si="122"/>
        <v>0</v>
      </c>
      <c r="AF136" s="625">
        <f t="array" ref="AF136">IFERROR(INDEX(#REF!,MATCH($E136&amp;$F136,#REF!&amp;#REF!,0)),0)</f>
        <v>0</v>
      </c>
      <c r="AG136" s="626">
        <f t="shared" si="123"/>
        <v>0</v>
      </c>
      <c r="AH136" s="626">
        <f t="shared" si="124"/>
        <v>0</v>
      </c>
      <c r="AI136" s="626">
        <f t="shared" si="125"/>
        <v>0</v>
      </c>
      <c r="AJ136" s="625">
        <f t="array" ref="AJ136">IFERROR(INDEX(#REF!,MATCH($E136&amp;$F136,#REF!&amp;#REF!,0)),0)</f>
        <v>0</v>
      </c>
      <c r="AK136" s="626">
        <f t="shared" si="126"/>
        <v>0</v>
      </c>
      <c r="AL136" s="626">
        <f t="shared" si="127"/>
        <v>0</v>
      </c>
      <c r="AM136" s="626">
        <f t="shared" si="128"/>
        <v>0</v>
      </c>
      <c r="AN136" s="625">
        <f t="array" ref="AN136">IFERROR(INDEX(#REF!,MATCH($E136&amp;$F136,#REF!&amp;#REF!,0)),0)</f>
        <v>0</v>
      </c>
      <c r="AO136" s="626">
        <f t="shared" si="129"/>
        <v>0</v>
      </c>
      <c r="AP136" s="626">
        <f t="shared" si="130"/>
        <v>0</v>
      </c>
      <c r="AQ136" s="626">
        <f t="shared" si="131"/>
        <v>0</v>
      </c>
      <c r="AR136" s="630"/>
      <c r="AS136" s="625">
        <f t="array" ref="AS136">IFERROR(INDEX(#REF!,MATCH($E136&amp;$F136,#REF!&amp;#REF!,0)),0)</f>
        <v>0</v>
      </c>
      <c r="AT136" s="625">
        <f t="array" ref="AT136">IFERROR(INDEX(#REF!,MATCH($E136&amp;$F136,#REF!&amp;#REF!,0)),0)</f>
        <v>0</v>
      </c>
      <c r="AU136" s="626">
        <f t="shared" si="132"/>
        <v>0</v>
      </c>
      <c r="AV136" s="626">
        <f t="shared" si="133"/>
        <v>0</v>
      </c>
      <c r="AW136" s="626">
        <f t="shared" si="134"/>
        <v>0</v>
      </c>
      <c r="AX136" s="625">
        <f t="array" ref="AX136">IFERROR(INDEX(#REF!,MATCH($E136&amp;$F136,#REF!&amp;#REF!,0)),0)</f>
        <v>0</v>
      </c>
      <c r="AY136" s="626">
        <f t="shared" si="135"/>
        <v>0</v>
      </c>
      <c r="AZ136" s="626">
        <f t="shared" si="136"/>
        <v>0</v>
      </c>
      <c r="BA136" s="626">
        <f t="shared" si="137"/>
        <v>0</v>
      </c>
      <c r="BB136" s="625">
        <f t="array" ref="BB136">IFERROR(INDEX(#REF!,MATCH($E136&amp;$F136,#REF!&amp;#REF!,0)),0)</f>
        <v>0</v>
      </c>
      <c r="BC136" s="626">
        <f t="shared" si="138"/>
        <v>0</v>
      </c>
      <c r="BD136" s="626">
        <f t="shared" si="139"/>
        <v>0</v>
      </c>
      <c r="BE136" s="626">
        <f t="shared" si="140"/>
        <v>0</v>
      </c>
      <c r="BF136" s="625">
        <f t="array" ref="BF136">IFERROR(INDEX(#REF!,MATCH($E136&amp;$F136,#REF!&amp;#REF!,0)),0)</f>
        <v>0</v>
      </c>
      <c r="BG136" s="626">
        <f t="shared" si="141"/>
        <v>0</v>
      </c>
      <c r="BH136" s="626">
        <f t="shared" si="142"/>
        <v>0</v>
      </c>
      <c r="BI136" s="626">
        <f t="shared" si="143"/>
        <v>0</v>
      </c>
      <c r="BJ136" s="630"/>
      <c r="BK136" s="625"/>
      <c r="BL136" s="625"/>
      <c r="BM136" s="625"/>
      <c r="BN136" s="625"/>
      <c r="BO136" s="625"/>
      <c r="BP136" s="625"/>
      <c r="BQ136" s="625"/>
      <c r="BR136" s="625"/>
    </row>
    <row r="137" spans="1:70">
      <c r="A137" s="29" t="s">
        <v>1317</v>
      </c>
      <c r="B137" s="29" t="s">
        <v>1744</v>
      </c>
      <c r="C137" s="619">
        <f>SETUP!$F$39</f>
        <v>0</v>
      </c>
      <c r="D137" s="25">
        <v>4.7</v>
      </c>
      <c r="E137" s="26" t="s">
        <v>1414</v>
      </c>
      <c r="F137" s="26" t="s">
        <v>1415</v>
      </c>
      <c r="G137" s="625" t="str">
        <f t="array" ref="G137">IFERROR(INDEX(#REF!,MATCH($E137&amp;$F137,#REF!&amp;#REF!,0)),"")</f>
        <v/>
      </c>
      <c r="H137" s="625"/>
      <c r="I137" s="625">
        <f t="array" ref="I137">IFERROR(INDEX(#REF!,MATCH($E137&amp;$F137,#REF!&amp;#REF!,0)),0)</f>
        <v>0</v>
      </c>
      <c r="J137" s="625">
        <f t="array" ref="J137">IFERROR(INDEX(#REF!,MATCH($E137&amp;$F137,#REF!&amp;#REF!,0)),0)</f>
        <v>0</v>
      </c>
      <c r="K137" s="626">
        <f t="shared" si="108"/>
        <v>0</v>
      </c>
      <c r="L137" s="626">
        <f t="shared" si="109"/>
        <v>0</v>
      </c>
      <c r="M137" s="626">
        <f t="shared" si="110"/>
        <v>0</v>
      </c>
      <c r="N137" s="625">
        <f t="array" ref="N137">IFERROR(INDEX(#REF!,MATCH($E137&amp;$F137,#REF!&amp;#REF!,0)),0)</f>
        <v>0</v>
      </c>
      <c r="O137" s="626">
        <f t="shared" si="111"/>
        <v>0</v>
      </c>
      <c r="P137" s="626">
        <f t="shared" si="112"/>
        <v>0</v>
      </c>
      <c r="Q137" s="626">
        <f t="shared" si="113"/>
        <v>0</v>
      </c>
      <c r="R137" s="625">
        <f t="array" ref="R137">IFERROR(INDEX(#REF!,MATCH($E137&amp;$F137,#REF!&amp;#REF!,0)),0)</f>
        <v>0</v>
      </c>
      <c r="S137" s="626">
        <f t="shared" si="114"/>
        <v>0</v>
      </c>
      <c r="T137" s="626">
        <f t="shared" si="115"/>
        <v>0</v>
      </c>
      <c r="U137" s="626">
        <f t="shared" si="116"/>
        <v>0</v>
      </c>
      <c r="V137" s="625">
        <f t="array" ref="V137">IFERROR(INDEX(#REF!,MATCH($E137&amp;$F137,#REF!&amp;#REF!,0)),0)</f>
        <v>0</v>
      </c>
      <c r="W137" s="626">
        <f t="shared" si="117"/>
        <v>0</v>
      </c>
      <c r="X137" s="626">
        <f t="shared" si="118"/>
        <v>0</v>
      </c>
      <c r="Y137" s="626">
        <f t="shared" si="119"/>
        <v>0</v>
      </c>
      <c r="Z137" s="630"/>
      <c r="AA137" s="625">
        <f t="array" ref="AA137">IFERROR(INDEX(#REF!,MATCH($E137&amp;$F137,#REF!&amp;#REF!,0)),0)</f>
        <v>0</v>
      </c>
      <c r="AB137" s="625">
        <f t="array" ref="AB137">IFERROR(INDEX(#REF!,MATCH($E137&amp;$F137,#REF!&amp;#REF!,0)),0)</f>
        <v>0</v>
      </c>
      <c r="AC137" s="626">
        <f t="shared" si="120"/>
        <v>0</v>
      </c>
      <c r="AD137" s="626">
        <f t="shared" si="121"/>
        <v>0</v>
      </c>
      <c r="AE137" s="626">
        <f t="shared" si="122"/>
        <v>0</v>
      </c>
      <c r="AF137" s="625">
        <f t="array" ref="AF137">IFERROR(INDEX(#REF!,MATCH($E137&amp;$F137,#REF!&amp;#REF!,0)),0)</f>
        <v>0</v>
      </c>
      <c r="AG137" s="626">
        <f t="shared" si="123"/>
        <v>0</v>
      </c>
      <c r="AH137" s="626">
        <f t="shared" si="124"/>
        <v>0</v>
      </c>
      <c r="AI137" s="626">
        <f t="shared" si="125"/>
        <v>0</v>
      </c>
      <c r="AJ137" s="625">
        <f t="array" ref="AJ137">IFERROR(INDEX(#REF!,MATCH($E137&amp;$F137,#REF!&amp;#REF!,0)),0)</f>
        <v>0</v>
      </c>
      <c r="AK137" s="626">
        <f t="shared" si="126"/>
        <v>0</v>
      </c>
      <c r="AL137" s="626">
        <f t="shared" si="127"/>
        <v>0</v>
      </c>
      <c r="AM137" s="626">
        <f t="shared" si="128"/>
        <v>0</v>
      </c>
      <c r="AN137" s="625">
        <f t="array" ref="AN137">IFERROR(INDEX(#REF!,MATCH($E137&amp;$F137,#REF!&amp;#REF!,0)),0)</f>
        <v>0</v>
      </c>
      <c r="AO137" s="626">
        <f t="shared" si="129"/>
        <v>0</v>
      </c>
      <c r="AP137" s="626">
        <f t="shared" si="130"/>
        <v>0</v>
      </c>
      <c r="AQ137" s="626">
        <f t="shared" si="131"/>
        <v>0</v>
      </c>
      <c r="AR137" s="630"/>
      <c r="AS137" s="625">
        <f t="array" ref="AS137">IFERROR(INDEX(#REF!,MATCH($E137&amp;$F137,#REF!&amp;#REF!,0)),0)</f>
        <v>0</v>
      </c>
      <c r="AT137" s="625">
        <f t="array" ref="AT137">IFERROR(INDEX(#REF!,MATCH($E137&amp;$F137,#REF!&amp;#REF!,0)),0)</f>
        <v>0</v>
      </c>
      <c r="AU137" s="626">
        <f t="shared" si="132"/>
        <v>0</v>
      </c>
      <c r="AV137" s="626">
        <f t="shared" si="133"/>
        <v>0</v>
      </c>
      <c r="AW137" s="626">
        <f t="shared" si="134"/>
        <v>0</v>
      </c>
      <c r="AX137" s="625">
        <f t="array" ref="AX137">IFERROR(INDEX(#REF!,MATCH($E137&amp;$F137,#REF!&amp;#REF!,0)),0)</f>
        <v>0</v>
      </c>
      <c r="AY137" s="626">
        <f t="shared" si="135"/>
        <v>0</v>
      </c>
      <c r="AZ137" s="626">
        <f t="shared" si="136"/>
        <v>0</v>
      </c>
      <c r="BA137" s="626">
        <f t="shared" si="137"/>
        <v>0</v>
      </c>
      <c r="BB137" s="625">
        <f t="array" ref="BB137">IFERROR(INDEX(#REF!,MATCH($E137&amp;$F137,#REF!&amp;#REF!,0)),0)</f>
        <v>0</v>
      </c>
      <c r="BC137" s="626">
        <f t="shared" si="138"/>
        <v>0</v>
      </c>
      <c r="BD137" s="626">
        <f t="shared" si="139"/>
        <v>0</v>
      </c>
      <c r="BE137" s="626">
        <f t="shared" si="140"/>
        <v>0</v>
      </c>
      <c r="BF137" s="625">
        <f t="array" ref="BF137">IFERROR(INDEX(#REF!,MATCH($E137&amp;$F137,#REF!&amp;#REF!,0)),0)</f>
        <v>0</v>
      </c>
      <c r="BG137" s="626">
        <f t="shared" si="141"/>
        <v>0</v>
      </c>
      <c r="BH137" s="626">
        <f t="shared" si="142"/>
        <v>0</v>
      </c>
      <c r="BI137" s="626">
        <f t="shared" si="143"/>
        <v>0</v>
      </c>
      <c r="BJ137" s="630"/>
      <c r="BK137" s="625"/>
      <c r="BL137" s="625"/>
      <c r="BM137" s="625"/>
      <c r="BN137" s="625"/>
      <c r="BO137" s="625"/>
      <c r="BP137" s="625"/>
      <c r="BQ137" s="625"/>
      <c r="BR137" s="625"/>
    </row>
    <row r="138" spans="1:70">
      <c r="A138" s="29" t="s">
        <v>1317</v>
      </c>
      <c r="B138" s="29" t="s">
        <v>1744</v>
      </c>
      <c r="C138" s="619">
        <f>SETUP!$F$39</f>
        <v>0</v>
      </c>
      <c r="D138" s="25">
        <v>4.7</v>
      </c>
      <c r="E138" s="26" t="s">
        <v>1416</v>
      </c>
      <c r="F138" s="26" t="s">
        <v>1417</v>
      </c>
      <c r="G138" s="625" t="str">
        <f t="array" ref="G138">IFERROR(INDEX(#REF!,MATCH($E138&amp;$F138,#REF!&amp;#REF!,0)),"")</f>
        <v/>
      </c>
      <c r="H138" s="625"/>
      <c r="I138" s="625">
        <f t="array" ref="I138">IFERROR(INDEX(#REF!,MATCH($E138&amp;$F138,#REF!&amp;#REF!,0)),0)</f>
        <v>0</v>
      </c>
      <c r="J138" s="625">
        <f t="array" ref="J138">IFERROR(INDEX(#REF!,MATCH($E138&amp;$F138,#REF!&amp;#REF!,0)),0)</f>
        <v>0</v>
      </c>
      <c r="K138" s="626">
        <f t="shared" si="108"/>
        <v>0</v>
      </c>
      <c r="L138" s="626">
        <f t="shared" si="109"/>
        <v>0</v>
      </c>
      <c r="M138" s="626">
        <f t="shared" si="110"/>
        <v>0</v>
      </c>
      <c r="N138" s="625">
        <f t="array" ref="N138">IFERROR(INDEX(#REF!,MATCH($E138&amp;$F138,#REF!&amp;#REF!,0)),0)</f>
        <v>0</v>
      </c>
      <c r="O138" s="626">
        <f t="shared" si="111"/>
        <v>0</v>
      </c>
      <c r="P138" s="626">
        <f t="shared" si="112"/>
        <v>0</v>
      </c>
      <c r="Q138" s="626">
        <f t="shared" si="113"/>
        <v>0</v>
      </c>
      <c r="R138" s="625">
        <f t="array" ref="R138">IFERROR(INDEX(#REF!,MATCH($E138&amp;$F138,#REF!&amp;#REF!,0)),0)</f>
        <v>0</v>
      </c>
      <c r="S138" s="626">
        <f t="shared" si="114"/>
        <v>0</v>
      </c>
      <c r="T138" s="626">
        <f t="shared" si="115"/>
        <v>0</v>
      </c>
      <c r="U138" s="626">
        <f t="shared" si="116"/>
        <v>0</v>
      </c>
      <c r="V138" s="625">
        <f t="array" ref="V138">IFERROR(INDEX(#REF!,MATCH($E138&amp;$F138,#REF!&amp;#REF!,0)),0)</f>
        <v>0</v>
      </c>
      <c r="W138" s="626">
        <f t="shared" si="117"/>
        <v>0</v>
      </c>
      <c r="X138" s="626">
        <f t="shared" si="118"/>
        <v>0</v>
      </c>
      <c r="Y138" s="626">
        <f t="shared" si="119"/>
        <v>0</v>
      </c>
      <c r="Z138" s="630"/>
      <c r="AA138" s="625">
        <f t="array" ref="AA138">IFERROR(INDEX(#REF!,MATCH($E138&amp;$F138,#REF!&amp;#REF!,0)),0)</f>
        <v>0</v>
      </c>
      <c r="AB138" s="625">
        <f t="array" ref="AB138">IFERROR(INDEX(#REF!,MATCH($E138&amp;$F138,#REF!&amp;#REF!,0)),0)</f>
        <v>0</v>
      </c>
      <c r="AC138" s="626">
        <f t="shared" si="120"/>
        <v>0</v>
      </c>
      <c r="AD138" s="626">
        <f t="shared" si="121"/>
        <v>0</v>
      </c>
      <c r="AE138" s="626">
        <f t="shared" si="122"/>
        <v>0</v>
      </c>
      <c r="AF138" s="625">
        <f t="array" ref="AF138">IFERROR(INDEX(#REF!,MATCH($E138&amp;$F138,#REF!&amp;#REF!,0)),0)</f>
        <v>0</v>
      </c>
      <c r="AG138" s="626">
        <f t="shared" si="123"/>
        <v>0</v>
      </c>
      <c r="AH138" s="626">
        <f t="shared" si="124"/>
        <v>0</v>
      </c>
      <c r="AI138" s="626">
        <f t="shared" si="125"/>
        <v>0</v>
      </c>
      <c r="AJ138" s="625">
        <f t="array" ref="AJ138">IFERROR(INDEX(#REF!,MATCH($E138&amp;$F138,#REF!&amp;#REF!,0)),0)</f>
        <v>0</v>
      </c>
      <c r="AK138" s="626">
        <f t="shared" si="126"/>
        <v>0</v>
      </c>
      <c r="AL138" s="626">
        <f t="shared" si="127"/>
        <v>0</v>
      </c>
      <c r="AM138" s="626">
        <f t="shared" si="128"/>
        <v>0</v>
      </c>
      <c r="AN138" s="625">
        <f t="array" ref="AN138">IFERROR(INDEX(#REF!,MATCH($E138&amp;$F138,#REF!&amp;#REF!,0)),0)</f>
        <v>0</v>
      </c>
      <c r="AO138" s="626">
        <f t="shared" si="129"/>
        <v>0</v>
      </c>
      <c r="AP138" s="626">
        <f t="shared" si="130"/>
        <v>0</v>
      </c>
      <c r="AQ138" s="626">
        <f t="shared" si="131"/>
        <v>0</v>
      </c>
      <c r="AR138" s="630"/>
      <c r="AS138" s="625">
        <f t="array" ref="AS138">IFERROR(INDEX(#REF!,MATCH($E138&amp;$F138,#REF!&amp;#REF!,0)),0)</f>
        <v>0</v>
      </c>
      <c r="AT138" s="625">
        <f t="array" ref="AT138">IFERROR(INDEX(#REF!,MATCH($E138&amp;$F138,#REF!&amp;#REF!,0)),0)</f>
        <v>0</v>
      </c>
      <c r="AU138" s="626">
        <f t="shared" si="132"/>
        <v>0</v>
      </c>
      <c r="AV138" s="626">
        <f t="shared" si="133"/>
        <v>0</v>
      </c>
      <c r="AW138" s="626">
        <f t="shared" si="134"/>
        <v>0</v>
      </c>
      <c r="AX138" s="625">
        <f t="array" ref="AX138">IFERROR(INDEX(#REF!,MATCH($E138&amp;$F138,#REF!&amp;#REF!,0)),0)</f>
        <v>0</v>
      </c>
      <c r="AY138" s="626">
        <f t="shared" si="135"/>
        <v>0</v>
      </c>
      <c r="AZ138" s="626">
        <f t="shared" si="136"/>
        <v>0</v>
      </c>
      <c r="BA138" s="626">
        <f t="shared" si="137"/>
        <v>0</v>
      </c>
      <c r="BB138" s="625">
        <f t="array" ref="BB138">IFERROR(INDEX(#REF!,MATCH($E138&amp;$F138,#REF!&amp;#REF!,0)),0)</f>
        <v>0</v>
      </c>
      <c r="BC138" s="626">
        <f t="shared" si="138"/>
        <v>0</v>
      </c>
      <c r="BD138" s="626">
        <f t="shared" si="139"/>
        <v>0</v>
      </c>
      <c r="BE138" s="626">
        <f t="shared" si="140"/>
        <v>0</v>
      </c>
      <c r="BF138" s="625">
        <f t="array" ref="BF138">IFERROR(INDEX(#REF!,MATCH($E138&amp;$F138,#REF!&amp;#REF!,0)),0)</f>
        <v>0</v>
      </c>
      <c r="BG138" s="626">
        <f t="shared" si="141"/>
        <v>0</v>
      </c>
      <c r="BH138" s="626">
        <f t="shared" si="142"/>
        <v>0</v>
      </c>
      <c r="BI138" s="626">
        <f t="shared" si="143"/>
        <v>0</v>
      </c>
      <c r="BJ138" s="630"/>
      <c r="BK138" s="625"/>
      <c r="BL138" s="625"/>
      <c r="BM138" s="625"/>
      <c r="BN138" s="625"/>
      <c r="BO138" s="625"/>
      <c r="BP138" s="625"/>
      <c r="BQ138" s="625"/>
      <c r="BR138" s="625"/>
    </row>
    <row r="139" spans="1:70">
      <c r="A139" s="29" t="s">
        <v>1317</v>
      </c>
      <c r="B139" s="29" t="s">
        <v>1744</v>
      </c>
      <c r="C139" s="619">
        <f>SETUP!$F$39</f>
        <v>0</v>
      </c>
      <c r="D139" s="25">
        <v>4.7</v>
      </c>
      <c r="E139" s="26" t="s">
        <v>1326</v>
      </c>
      <c r="F139" s="26" t="s">
        <v>1418</v>
      </c>
      <c r="G139" s="625" t="str">
        <f t="array" ref="G139">IFERROR(INDEX(#REF!,MATCH($E139&amp;$F139,#REF!&amp;#REF!,0)),"")</f>
        <v/>
      </c>
      <c r="H139" s="625"/>
      <c r="I139" s="625">
        <f t="array" ref="I139">IFERROR(INDEX(#REF!,MATCH($E139&amp;$F139,#REF!&amp;#REF!,0)),0)</f>
        <v>0</v>
      </c>
      <c r="J139" s="625">
        <f t="array" ref="J139">IFERROR(INDEX(#REF!,MATCH($E139&amp;$F139,#REF!&amp;#REF!,0)),0)</f>
        <v>0</v>
      </c>
      <c r="K139" s="626">
        <f t="shared" si="108"/>
        <v>0</v>
      </c>
      <c r="L139" s="626">
        <f t="shared" si="109"/>
        <v>0</v>
      </c>
      <c r="M139" s="626">
        <f t="shared" si="110"/>
        <v>0</v>
      </c>
      <c r="N139" s="625">
        <f t="array" ref="N139">IFERROR(INDEX(#REF!,MATCH($E139&amp;$F139,#REF!&amp;#REF!,0)),0)</f>
        <v>0</v>
      </c>
      <c r="O139" s="626">
        <f t="shared" si="111"/>
        <v>0</v>
      </c>
      <c r="P139" s="626">
        <f t="shared" si="112"/>
        <v>0</v>
      </c>
      <c r="Q139" s="626">
        <f t="shared" si="113"/>
        <v>0</v>
      </c>
      <c r="R139" s="625">
        <f t="array" ref="R139">IFERROR(INDEX(#REF!,MATCH($E139&amp;$F139,#REF!&amp;#REF!,0)),0)</f>
        <v>0</v>
      </c>
      <c r="S139" s="626">
        <f t="shared" si="114"/>
        <v>0</v>
      </c>
      <c r="T139" s="626">
        <f t="shared" si="115"/>
        <v>0</v>
      </c>
      <c r="U139" s="626">
        <f t="shared" si="116"/>
        <v>0</v>
      </c>
      <c r="V139" s="625">
        <f t="array" ref="V139">IFERROR(INDEX(#REF!,MATCH($E139&amp;$F139,#REF!&amp;#REF!,0)),0)</f>
        <v>0</v>
      </c>
      <c r="W139" s="626">
        <f t="shared" si="117"/>
        <v>0</v>
      </c>
      <c r="X139" s="626">
        <f t="shared" si="118"/>
        <v>0</v>
      </c>
      <c r="Y139" s="626">
        <f t="shared" si="119"/>
        <v>0</v>
      </c>
      <c r="Z139" s="630"/>
      <c r="AA139" s="625">
        <f t="array" ref="AA139">IFERROR(INDEX(#REF!,MATCH($E139&amp;$F139,#REF!&amp;#REF!,0)),0)</f>
        <v>0</v>
      </c>
      <c r="AB139" s="625">
        <f t="array" ref="AB139">IFERROR(INDEX(#REF!,MATCH($E139&amp;$F139,#REF!&amp;#REF!,0)),0)</f>
        <v>0</v>
      </c>
      <c r="AC139" s="626">
        <f t="shared" si="120"/>
        <v>0</v>
      </c>
      <c r="AD139" s="626">
        <f t="shared" si="121"/>
        <v>0</v>
      </c>
      <c r="AE139" s="626">
        <f t="shared" si="122"/>
        <v>0</v>
      </c>
      <c r="AF139" s="625">
        <f t="array" ref="AF139">IFERROR(INDEX(#REF!,MATCH($E139&amp;$F139,#REF!&amp;#REF!,0)),0)</f>
        <v>0</v>
      </c>
      <c r="AG139" s="626">
        <f t="shared" si="123"/>
        <v>0</v>
      </c>
      <c r="AH139" s="626">
        <f t="shared" si="124"/>
        <v>0</v>
      </c>
      <c r="AI139" s="626">
        <f t="shared" si="125"/>
        <v>0</v>
      </c>
      <c r="AJ139" s="625">
        <f t="array" ref="AJ139">IFERROR(INDEX(#REF!,MATCH($E139&amp;$F139,#REF!&amp;#REF!,0)),0)</f>
        <v>0</v>
      </c>
      <c r="AK139" s="626">
        <f t="shared" si="126"/>
        <v>0</v>
      </c>
      <c r="AL139" s="626">
        <f t="shared" si="127"/>
        <v>0</v>
      </c>
      <c r="AM139" s="626">
        <f t="shared" si="128"/>
        <v>0</v>
      </c>
      <c r="AN139" s="625">
        <f t="array" ref="AN139">IFERROR(INDEX(#REF!,MATCH($E139&amp;$F139,#REF!&amp;#REF!,0)),0)</f>
        <v>0</v>
      </c>
      <c r="AO139" s="626">
        <f t="shared" si="129"/>
        <v>0</v>
      </c>
      <c r="AP139" s="626">
        <f t="shared" si="130"/>
        <v>0</v>
      </c>
      <c r="AQ139" s="626">
        <f t="shared" si="131"/>
        <v>0</v>
      </c>
      <c r="AR139" s="630"/>
      <c r="AS139" s="625">
        <f t="array" ref="AS139">IFERROR(INDEX(#REF!,MATCH($E139&amp;$F139,#REF!&amp;#REF!,0)),0)</f>
        <v>0</v>
      </c>
      <c r="AT139" s="625">
        <f t="array" ref="AT139">IFERROR(INDEX(#REF!,MATCH($E139&amp;$F139,#REF!&amp;#REF!,0)),0)</f>
        <v>0</v>
      </c>
      <c r="AU139" s="626">
        <f t="shared" si="132"/>
        <v>0</v>
      </c>
      <c r="AV139" s="626">
        <f t="shared" si="133"/>
        <v>0</v>
      </c>
      <c r="AW139" s="626">
        <f t="shared" si="134"/>
        <v>0</v>
      </c>
      <c r="AX139" s="625">
        <f t="array" ref="AX139">IFERROR(INDEX(#REF!,MATCH($E139&amp;$F139,#REF!&amp;#REF!,0)),0)</f>
        <v>0</v>
      </c>
      <c r="AY139" s="626">
        <f t="shared" si="135"/>
        <v>0</v>
      </c>
      <c r="AZ139" s="626">
        <f t="shared" si="136"/>
        <v>0</v>
      </c>
      <c r="BA139" s="626">
        <f t="shared" si="137"/>
        <v>0</v>
      </c>
      <c r="BB139" s="625">
        <f t="array" ref="BB139">IFERROR(INDEX(#REF!,MATCH($E139&amp;$F139,#REF!&amp;#REF!,0)),0)</f>
        <v>0</v>
      </c>
      <c r="BC139" s="626">
        <f t="shared" si="138"/>
        <v>0</v>
      </c>
      <c r="BD139" s="626">
        <f t="shared" si="139"/>
        <v>0</v>
      </c>
      <c r="BE139" s="626">
        <f t="shared" si="140"/>
        <v>0</v>
      </c>
      <c r="BF139" s="625">
        <f t="array" ref="BF139">IFERROR(INDEX(#REF!,MATCH($E139&amp;$F139,#REF!&amp;#REF!,0)),0)</f>
        <v>0</v>
      </c>
      <c r="BG139" s="626">
        <f t="shared" si="141"/>
        <v>0</v>
      </c>
      <c r="BH139" s="626">
        <f t="shared" si="142"/>
        <v>0</v>
      </c>
      <c r="BI139" s="626">
        <f t="shared" si="143"/>
        <v>0</v>
      </c>
      <c r="BJ139" s="630"/>
      <c r="BK139" s="625"/>
      <c r="BL139" s="625"/>
      <c r="BM139" s="625"/>
      <c r="BN139" s="625"/>
      <c r="BO139" s="625"/>
      <c r="BP139" s="625"/>
      <c r="BQ139" s="625"/>
      <c r="BR139" s="625"/>
    </row>
    <row r="140" spans="1:70">
      <c r="A140" s="29" t="s">
        <v>1317</v>
      </c>
      <c r="B140" s="29" t="s">
        <v>1744</v>
      </c>
      <c r="C140" s="619">
        <f>SETUP!$F$39</f>
        <v>0</v>
      </c>
      <c r="D140" s="25">
        <v>4.7</v>
      </c>
      <c r="E140" s="26" t="s">
        <v>1419</v>
      </c>
      <c r="F140" s="26" t="s">
        <v>1420</v>
      </c>
      <c r="G140" s="625" t="str">
        <f t="array" ref="G140">IFERROR(INDEX(#REF!,MATCH($E140&amp;$F140,#REF!&amp;#REF!,0)),"")</f>
        <v/>
      </c>
      <c r="H140" s="625"/>
      <c r="I140" s="625">
        <f t="array" ref="I140">IFERROR(INDEX(#REF!,MATCH($E140&amp;$F140,#REF!&amp;#REF!,0)),0)</f>
        <v>0</v>
      </c>
      <c r="J140" s="625">
        <f t="array" ref="J140">IFERROR(INDEX(#REF!,MATCH($E140&amp;$F140,#REF!&amp;#REF!,0)),0)</f>
        <v>0</v>
      </c>
      <c r="K140" s="626">
        <f t="shared" si="108"/>
        <v>0</v>
      </c>
      <c r="L140" s="626">
        <f t="shared" si="109"/>
        <v>0</v>
      </c>
      <c r="M140" s="626">
        <f t="shared" si="110"/>
        <v>0</v>
      </c>
      <c r="N140" s="625">
        <f t="array" ref="N140">IFERROR(INDEX(#REF!,MATCH($E140&amp;$F140,#REF!&amp;#REF!,0)),0)</f>
        <v>0</v>
      </c>
      <c r="O140" s="626">
        <f t="shared" si="111"/>
        <v>0</v>
      </c>
      <c r="P140" s="626">
        <f t="shared" si="112"/>
        <v>0</v>
      </c>
      <c r="Q140" s="626">
        <f t="shared" si="113"/>
        <v>0</v>
      </c>
      <c r="R140" s="625">
        <f t="array" ref="R140">IFERROR(INDEX(#REF!,MATCH($E140&amp;$F140,#REF!&amp;#REF!,0)),0)</f>
        <v>0</v>
      </c>
      <c r="S140" s="626">
        <f t="shared" si="114"/>
        <v>0</v>
      </c>
      <c r="T140" s="626">
        <f t="shared" si="115"/>
        <v>0</v>
      </c>
      <c r="U140" s="626">
        <f t="shared" si="116"/>
        <v>0</v>
      </c>
      <c r="V140" s="625">
        <f t="array" ref="V140">IFERROR(INDEX(#REF!,MATCH($E140&amp;$F140,#REF!&amp;#REF!,0)),0)</f>
        <v>0</v>
      </c>
      <c r="W140" s="626">
        <f t="shared" si="117"/>
        <v>0</v>
      </c>
      <c r="X140" s="626">
        <f t="shared" si="118"/>
        <v>0</v>
      </c>
      <c r="Y140" s="626">
        <f t="shared" si="119"/>
        <v>0</v>
      </c>
      <c r="Z140" s="630"/>
      <c r="AA140" s="625">
        <f t="array" ref="AA140">IFERROR(INDEX(#REF!,MATCH($E140&amp;$F140,#REF!&amp;#REF!,0)),0)</f>
        <v>0</v>
      </c>
      <c r="AB140" s="625">
        <f t="array" ref="AB140">IFERROR(INDEX(#REF!,MATCH($E140&amp;$F140,#REF!&amp;#REF!,0)),0)</f>
        <v>0</v>
      </c>
      <c r="AC140" s="626">
        <f t="shared" si="120"/>
        <v>0</v>
      </c>
      <c r="AD140" s="626">
        <f t="shared" si="121"/>
        <v>0</v>
      </c>
      <c r="AE140" s="626">
        <f t="shared" si="122"/>
        <v>0</v>
      </c>
      <c r="AF140" s="625">
        <f t="array" ref="AF140">IFERROR(INDEX(#REF!,MATCH($E140&amp;$F140,#REF!&amp;#REF!,0)),0)</f>
        <v>0</v>
      </c>
      <c r="AG140" s="626">
        <f t="shared" si="123"/>
        <v>0</v>
      </c>
      <c r="AH140" s="626">
        <f t="shared" si="124"/>
        <v>0</v>
      </c>
      <c r="AI140" s="626">
        <f t="shared" si="125"/>
        <v>0</v>
      </c>
      <c r="AJ140" s="625">
        <f t="array" ref="AJ140">IFERROR(INDEX(#REF!,MATCH($E140&amp;$F140,#REF!&amp;#REF!,0)),0)</f>
        <v>0</v>
      </c>
      <c r="AK140" s="626">
        <f t="shared" si="126"/>
        <v>0</v>
      </c>
      <c r="AL140" s="626">
        <f t="shared" si="127"/>
        <v>0</v>
      </c>
      <c r="AM140" s="626">
        <f t="shared" si="128"/>
        <v>0</v>
      </c>
      <c r="AN140" s="625">
        <f t="array" ref="AN140">IFERROR(INDEX(#REF!,MATCH($E140&amp;$F140,#REF!&amp;#REF!,0)),0)</f>
        <v>0</v>
      </c>
      <c r="AO140" s="626">
        <f t="shared" si="129"/>
        <v>0</v>
      </c>
      <c r="AP140" s="626">
        <f t="shared" si="130"/>
        <v>0</v>
      </c>
      <c r="AQ140" s="626">
        <f t="shared" si="131"/>
        <v>0</v>
      </c>
      <c r="AR140" s="630"/>
      <c r="AS140" s="625">
        <f t="array" ref="AS140">IFERROR(INDEX(#REF!,MATCH($E140&amp;$F140,#REF!&amp;#REF!,0)),0)</f>
        <v>0</v>
      </c>
      <c r="AT140" s="625">
        <f t="array" ref="AT140">IFERROR(INDEX(#REF!,MATCH($E140&amp;$F140,#REF!&amp;#REF!,0)),0)</f>
        <v>0</v>
      </c>
      <c r="AU140" s="626">
        <f t="shared" si="132"/>
        <v>0</v>
      </c>
      <c r="AV140" s="626">
        <f t="shared" si="133"/>
        <v>0</v>
      </c>
      <c r="AW140" s="626">
        <f t="shared" si="134"/>
        <v>0</v>
      </c>
      <c r="AX140" s="625">
        <f t="array" ref="AX140">IFERROR(INDEX(#REF!,MATCH($E140&amp;$F140,#REF!&amp;#REF!,0)),0)</f>
        <v>0</v>
      </c>
      <c r="AY140" s="626">
        <f t="shared" si="135"/>
        <v>0</v>
      </c>
      <c r="AZ140" s="626">
        <f t="shared" si="136"/>
        <v>0</v>
      </c>
      <c r="BA140" s="626">
        <f t="shared" si="137"/>
        <v>0</v>
      </c>
      <c r="BB140" s="625">
        <f t="array" ref="BB140">IFERROR(INDEX(#REF!,MATCH($E140&amp;$F140,#REF!&amp;#REF!,0)),0)</f>
        <v>0</v>
      </c>
      <c r="BC140" s="626">
        <f t="shared" si="138"/>
        <v>0</v>
      </c>
      <c r="BD140" s="626">
        <f t="shared" si="139"/>
        <v>0</v>
      </c>
      <c r="BE140" s="626">
        <f t="shared" si="140"/>
        <v>0</v>
      </c>
      <c r="BF140" s="625">
        <f t="array" ref="BF140">IFERROR(INDEX(#REF!,MATCH($E140&amp;$F140,#REF!&amp;#REF!,0)),0)</f>
        <v>0</v>
      </c>
      <c r="BG140" s="626">
        <f t="shared" si="141"/>
        <v>0</v>
      </c>
      <c r="BH140" s="626">
        <f t="shared" si="142"/>
        <v>0</v>
      </c>
      <c r="BI140" s="626">
        <f t="shared" si="143"/>
        <v>0</v>
      </c>
      <c r="BJ140" s="630"/>
      <c r="BK140" s="625"/>
      <c r="BL140" s="625"/>
      <c r="BM140" s="625"/>
      <c r="BN140" s="625"/>
      <c r="BO140" s="625"/>
      <c r="BP140" s="625"/>
      <c r="BQ140" s="625"/>
      <c r="BR140" s="625"/>
    </row>
    <row r="141" spans="1:70">
      <c r="A141" s="29" t="s">
        <v>1317</v>
      </c>
      <c r="B141" s="29" t="s">
        <v>1744</v>
      </c>
      <c r="C141" s="619">
        <f>SETUP!$F$39</f>
        <v>0</v>
      </c>
      <c r="D141" s="25">
        <v>4.7</v>
      </c>
      <c r="E141" s="26" t="s">
        <v>1327</v>
      </c>
      <c r="F141" s="26" t="s">
        <v>1271</v>
      </c>
      <c r="G141" s="625" t="str">
        <f t="array" ref="G141">IFERROR(INDEX(#REF!,MATCH($E141&amp;$F141,#REF!&amp;#REF!,0)),"")</f>
        <v/>
      </c>
      <c r="H141" s="625"/>
      <c r="I141" s="625">
        <f t="array" ref="I141">IFERROR(INDEX(#REF!,MATCH($E141&amp;$F141,#REF!&amp;#REF!,0)),0)</f>
        <v>0</v>
      </c>
      <c r="J141" s="625">
        <f t="array" ref="J141">IFERROR(INDEX(#REF!,MATCH($E141&amp;$F141,#REF!&amp;#REF!,0)),0)</f>
        <v>0</v>
      </c>
      <c r="K141" s="626">
        <f t="shared" si="108"/>
        <v>0</v>
      </c>
      <c r="L141" s="626">
        <f t="shared" si="109"/>
        <v>0</v>
      </c>
      <c r="M141" s="626">
        <f t="shared" si="110"/>
        <v>0</v>
      </c>
      <c r="N141" s="625">
        <f t="array" ref="N141">IFERROR(INDEX(#REF!,MATCH($E141&amp;$F141,#REF!&amp;#REF!,0)),0)</f>
        <v>0</v>
      </c>
      <c r="O141" s="626">
        <f t="shared" si="111"/>
        <v>0</v>
      </c>
      <c r="P141" s="626">
        <f t="shared" si="112"/>
        <v>0</v>
      </c>
      <c r="Q141" s="626">
        <f t="shared" si="113"/>
        <v>0</v>
      </c>
      <c r="R141" s="625">
        <f t="array" ref="R141">IFERROR(INDEX(#REF!,MATCH($E141&amp;$F141,#REF!&amp;#REF!,0)),0)</f>
        <v>0</v>
      </c>
      <c r="S141" s="626">
        <f t="shared" si="114"/>
        <v>0</v>
      </c>
      <c r="T141" s="626">
        <f t="shared" si="115"/>
        <v>0</v>
      </c>
      <c r="U141" s="626">
        <f t="shared" si="116"/>
        <v>0</v>
      </c>
      <c r="V141" s="625">
        <f t="array" ref="V141">IFERROR(INDEX(#REF!,MATCH($E141&amp;$F141,#REF!&amp;#REF!,0)),0)</f>
        <v>0</v>
      </c>
      <c r="W141" s="626">
        <f t="shared" si="117"/>
        <v>0</v>
      </c>
      <c r="X141" s="626">
        <f t="shared" si="118"/>
        <v>0</v>
      </c>
      <c r="Y141" s="626">
        <f t="shared" si="119"/>
        <v>0</v>
      </c>
      <c r="Z141" s="630"/>
      <c r="AA141" s="625">
        <f t="array" ref="AA141">IFERROR(INDEX(#REF!,MATCH($E141&amp;$F141,#REF!&amp;#REF!,0)),0)</f>
        <v>0</v>
      </c>
      <c r="AB141" s="625">
        <f t="array" ref="AB141">IFERROR(INDEX(#REF!,MATCH($E141&amp;$F141,#REF!&amp;#REF!,0)),0)</f>
        <v>0</v>
      </c>
      <c r="AC141" s="626">
        <f t="shared" si="120"/>
        <v>0</v>
      </c>
      <c r="AD141" s="626">
        <f t="shared" si="121"/>
        <v>0</v>
      </c>
      <c r="AE141" s="626">
        <f t="shared" si="122"/>
        <v>0</v>
      </c>
      <c r="AF141" s="625">
        <f t="array" ref="AF141">IFERROR(INDEX(#REF!,MATCH($E141&amp;$F141,#REF!&amp;#REF!,0)),0)</f>
        <v>0</v>
      </c>
      <c r="AG141" s="626">
        <f t="shared" si="123"/>
        <v>0</v>
      </c>
      <c r="AH141" s="626">
        <f t="shared" si="124"/>
        <v>0</v>
      </c>
      <c r="AI141" s="626">
        <f t="shared" si="125"/>
        <v>0</v>
      </c>
      <c r="AJ141" s="625">
        <f t="array" ref="AJ141">IFERROR(INDEX(#REF!,MATCH($E141&amp;$F141,#REF!&amp;#REF!,0)),0)</f>
        <v>0</v>
      </c>
      <c r="AK141" s="626">
        <f t="shared" si="126"/>
        <v>0</v>
      </c>
      <c r="AL141" s="626">
        <f t="shared" si="127"/>
        <v>0</v>
      </c>
      <c r="AM141" s="626">
        <f t="shared" si="128"/>
        <v>0</v>
      </c>
      <c r="AN141" s="625">
        <f t="array" ref="AN141">IFERROR(INDEX(#REF!,MATCH($E141&amp;$F141,#REF!&amp;#REF!,0)),0)</f>
        <v>0</v>
      </c>
      <c r="AO141" s="626">
        <f t="shared" si="129"/>
        <v>0</v>
      </c>
      <c r="AP141" s="626">
        <f t="shared" si="130"/>
        <v>0</v>
      </c>
      <c r="AQ141" s="626">
        <f t="shared" si="131"/>
        <v>0</v>
      </c>
      <c r="AR141" s="630"/>
      <c r="AS141" s="625">
        <f t="array" ref="AS141">IFERROR(INDEX(#REF!,MATCH($E141&amp;$F141,#REF!&amp;#REF!,0)),0)</f>
        <v>0</v>
      </c>
      <c r="AT141" s="625">
        <f t="array" ref="AT141">IFERROR(INDEX(#REF!,MATCH($E141&amp;$F141,#REF!&amp;#REF!,0)),0)</f>
        <v>0</v>
      </c>
      <c r="AU141" s="626">
        <f t="shared" si="132"/>
        <v>0</v>
      </c>
      <c r="AV141" s="626">
        <f t="shared" si="133"/>
        <v>0</v>
      </c>
      <c r="AW141" s="626">
        <f t="shared" si="134"/>
        <v>0</v>
      </c>
      <c r="AX141" s="625">
        <f t="array" ref="AX141">IFERROR(INDEX(#REF!,MATCH($E141&amp;$F141,#REF!&amp;#REF!,0)),0)</f>
        <v>0</v>
      </c>
      <c r="AY141" s="626">
        <f t="shared" si="135"/>
        <v>0</v>
      </c>
      <c r="AZ141" s="626">
        <f t="shared" si="136"/>
        <v>0</v>
      </c>
      <c r="BA141" s="626">
        <f t="shared" si="137"/>
        <v>0</v>
      </c>
      <c r="BB141" s="625">
        <f t="array" ref="BB141">IFERROR(INDEX(#REF!,MATCH($E141&amp;$F141,#REF!&amp;#REF!,0)),0)</f>
        <v>0</v>
      </c>
      <c r="BC141" s="626">
        <f t="shared" si="138"/>
        <v>0</v>
      </c>
      <c r="BD141" s="626">
        <f t="shared" si="139"/>
        <v>0</v>
      </c>
      <c r="BE141" s="626">
        <f t="shared" si="140"/>
        <v>0</v>
      </c>
      <c r="BF141" s="625">
        <f t="array" ref="BF141">IFERROR(INDEX(#REF!,MATCH($E141&amp;$F141,#REF!&amp;#REF!,0)),0)</f>
        <v>0</v>
      </c>
      <c r="BG141" s="626">
        <f t="shared" si="141"/>
        <v>0</v>
      </c>
      <c r="BH141" s="626">
        <f t="shared" si="142"/>
        <v>0</v>
      </c>
      <c r="BI141" s="626">
        <f t="shared" si="143"/>
        <v>0</v>
      </c>
      <c r="BJ141" s="630"/>
      <c r="BK141" s="625"/>
      <c r="BL141" s="625"/>
      <c r="BM141" s="625"/>
      <c r="BN141" s="625"/>
      <c r="BO141" s="625"/>
      <c r="BP141" s="625"/>
      <c r="BQ141" s="625"/>
      <c r="BR141" s="625"/>
    </row>
    <row r="142" spans="1:70">
      <c r="A142" s="29" t="s">
        <v>1317</v>
      </c>
      <c r="B142" s="29" t="s">
        <v>1744</v>
      </c>
      <c r="C142" s="619">
        <f>SETUP!$F$39</f>
        <v>0</v>
      </c>
      <c r="D142" s="25">
        <v>4.7</v>
      </c>
      <c r="E142" s="26" t="s">
        <v>1327</v>
      </c>
      <c r="F142" s="26" t="s">
        <v>1421</v>
      </c>
      <c r="G142" s="625" t="str">
        <f t="array" ref="G142">IFERROR(INDEX(#REF!,MATCH($E142&amp;$F142,#REF!&amp;#REF!,0)),"")</f>
        <v/>
      </c>
      <c r="H142" s="625"/>
      <c r="I142" s="625">
        <f t="array" ref="I142">IFERROR(INDEX(#REF!,MATCH($E142&amp;$F142,#REF!&amp;#REF!,0)),0)</f>
        <v>0</v>
      </c>
      <c r="J142" s="625">
        <f t="array" ref="J142">IFERROR(INDEX(#REF!,MATCH($E142&amp;$F142,#REF!&amp;#REF!,0)),0)</f>
        <v>0</v>
      </c>
      <c r="K142" s="626">
        <f t="shared" si="108"/>
        <v>0</v>
      </c>
      <c r="L142" s="626">
        <f t="shared" si="109"/>
        <v>0</v>
      </c>
      <c r="M142" s="626">
        <f t="shared" si="110"/>
        <v>0</v>
      </c>
      <c r="N142" s="625">
        <f t="array" ref="N142">IFERROR(INDEX(#REF!,MATCH($E142&amp;$F142,#REF!&amp;#REF!,0)),0)</f>
        <v>0</v>
      </c>
      <c r="O142" s="626">
        <f t="shared" si="111"/>
        <v>0</v>
      </c>
      <c r="P142" s="626">
        <f t="shared" si="112"/>
        <v>0</v>
      </c>
      <c r="Q142" s="626">
        <f t="shared" si="113"/>
        <v>0</v>
      </c>
      <c r="R142" s="625">
        <f t="array" ref="R142">IFERROR(INDEX(#REF!,MATCH($E142&amp;$F142,#REF!&amp;#REF!,0)),0)</f>
        <v>0</v>
      </c>
      <c r="S142" s="626">
        <f t="shared" si="114"/>
        <v>0</v>
      </c>
      <c r="T142" s="626">
        <f t="shared" si="115"/>
        <v>0</v>
      </c>
      <c r="U142" s="626">
        <f t="shared" si="116"/>
        <v>0</v>
      </c>
      <c r="V142" s="625">
        <f t="array" ref="V142">IFERROR(INDEX(#REF!,MATCH($E142&amp;$F142,#REF!&amp;#REF!,0)),0)</f>
        <v>0</v>
      </c>
      <c r="W142" s="626">
        <f t="shared" si="117"/>
        <v>0</v>
      </c>
      <c r="X142" s="626">
        <f t="shared" si="118"/>
        <v>0</v>
      </c>
      <c r="Y142" s="626">
        <f t="shared" si="119"/>
        <v>0</v>
      </c>
      <c r="Z142" s="630"/>
      <c r="AA142" s="625">
        <f t="array" ref="AA142">IFERROR(INDEX(#REF!,MATCH($E142&amp;$F142,#REF!&amp;#REF!,0)),0)</f>
        <v>0</v>
      </c>
      <c r="AB142" s="625">
        <f t="array" ref="AB142">IFERROR(INDEX(#REF!,MATCH($E142&amp;$F142,#REF!&amp;#REF!,0)),0)</f>
        <v>0</v>
      </c>
      <c r="AC142" s="626">
        <f t="shared" si="120"/>
        <v>0</v>
      </c>
      <c r="AD142" s="626">
        <f t="shared" si="121"/>
        <v>0</v>
      </c>
      <c r="AE142" s="626">
        <f t="shared" si="122"/>
        <v>0</v>
      </c>
      <c r="AF142" s="625">
        <f t="array" ref="AF142">IFERROR(INDEX(#REF!,MATCH($E142&amp;$F142,#REF!&amp;#REF!,0)),0)</f>
        <v>0</v>
      </c>
      <c r="AG142" s="626">
        <f t="shared" si="123"/>
        <v>0</v>
      </c>
      <c r="AH142" s="626">
        <f t="shared" si="124"/>
        <v>0</v>
      </c>
      <c r="AI142" s="626">
        <f t="shared" si="125"/>
        <v>0</v>
      </c>
      <c r="AJ142" s="625">
        <f t="array" ref="AJ142">IFERROR(INDEX(#REF!,MATCH($E142&amp;$F142,#REF!&amp;#REF!,0)),0)</f>
        <v>0</v>
      </c>
      <c r="AK142" s="626">
        <f t="shared" si="126"/>
        <v>0</v>
      </c>
      <c r="AL142" s="626">
        <f t="shared" si="127"/>
        <v>0</v>
      </c>
      <c r="AM142" s="626">
        <f t="shared" si="128"/>
        <v>0</v>
      </c>
      <c r="AN142" s="625">
        <f t="array" ref="AN142">IFERROR(INDEX(#REF!,MATCH($E142&amp;$F142,#REF!&amp;#REF!,0)),0)</f>
        <v>0</v>
      </c>
      <c r="AO142" s="626">
        <f t="shared" si="129"/>
        <v>0</v>
      </c>
      <c r="AP142" s="626">
        <f t="shared" si="130"/>
        <v>0</v>
      </c>
      <c r="AQ142" s="626">
        <f t="shared" si="131"/>
        <v>0</v>
      </c>
      <c r="AR142" s="630"/>
      <c r="AS142" s="625">
        <f t="array" ref="AS142">IFERROR(INDEX(#REF!,MATCH($E142&amp;$F142,#REF!&amp;#REF!,0)),0)</f>
        <v>0</v>
      </c>
      <c r="AT142" s="625">
        <f t="array" ref="AT142">IFERROR(INDEX(#REF!,MATCH($E142&amp;$F142,#REF!&amp;#REF!,0)),0)</f>
        <v>0</v>
      </c>
      <c r="AU142" s="626">
        <f t="shared" si="132"/>
        <v>0</v>
      </c>
      <c r="AV142" s="626">
        <f t="shared" si="133"/>
        <v>0</v>
      </c>
      <c r="AW142" s="626">
        <f t="shared" si="134"/>
        <v>0</v>
      </c>
      <c r="AX142" s="625">
        <f t="array" ref="AX142">IFERROR(INDEX(#REF!,MATCH($E142&amp;$F142,#REF!&amp;#REF!,0)),0)</f>
        <v>0</v>
      </c>
      <c r="AY142" s="626">
        <f t="shared" si="135"/>
        <v>0</v>
      </c>
      <c r="AZ142" s="626">
        <f t="shared" si="136"/>
        <v>0</v>
      </c>
      <c r="BA142" s="626">
        <f t="shared" si="137"/>
        <v>0</v>
      </c>
      <c r="BB142" s="625">
        <f t="array" ref="BB142">IFERROR(INDEX(#REF!,MATCH($E142&amp;$F142,#REF!&amp;#REF!,0)),0)</f>
        <v>0</v>
      </c>
      <c r="BC142" s="626">
        <f t="shared" si="138"/>
        <v>0</v>
      </c>
      <c r="BD142" s="626">
        <f t="shared" si="139"/>
        <v>0</v>
      </c>
      <c r="BE142" s="626">
        <f t="shared" si="140"/>
        <v>0</v>
      </c>
      <c r="BF142" s="625">
        <f t="array" ref="BF142">IFERROR(INDEX(#REF!,MATCH($E142&amp;$F142,#REF!&amp;#REF!,0)),0)</f>
        <v>0</v>
      </c>
      <c r="BG142" s="626">
        <f t="shared" si="141"/>
        <v>0</v>
      </c>
      <c r="BH142" s="626">
        <f t="shared" si="142"/>
        <v>0</v>
      </c>
      <c r="BI142" s="626">
        <f t="shared" si="143"/>
        <v>0</v>
      </c>
      <c r="BJ142" s="630"/>
      <c r="BK142" s="625"/>
      <c r="BL142" s="625"/>
      <c r="BM142" s="625"/>
      <c r="BN142" s="625"/>
      <c r="BO142" s="625"/>
      <c r="BP142" s="625"/>
      <c r="BQ142" s="625"/>
      <c r="BR142" s="625"/>
    </row>
    <row r="143" spans="1:70">
      <c r="A143" s="29" t="s">
        <v>1317</v>
      </c>
      <c r="B143" s="29" t="s">
        <v>1744</v>
      </c>
      <c r="C143" s="619">
        <f>SETUP!$F$39</f>
        <v>0</v>
      </c>
      <c r="D143" s="25">
        <v>4.7</v>
      </c>
      <c r="E143" s="26" t="s">
        <v>1328</v>
      </c>
      <c r="F143" s="26" t="s">
        <v>1422</v>
      </c>
      <c r="G143" s="625" t="str">
        <f t="array" ref="G143">IFERROR(INDEX(#REF!,MATCH($E143&amp;$F143,#REF!&amp;#REF!,0)),"")</f>
        <v/>
      </c>
      <c r="H143" s="625"/>
      <c r="I143" s="625">
        <f t="array" ref="I143">IFERROR(INDEX(#REF!,MATCH($E143&amp;$F143,#REF!&amp;#REF!,0)),0)</f>
        <v>0</v>
      </c>
      <c r="J143" s="625">
        <f t="array" ref="J143">IFERROR(INDEX(#REF!,MATCH($E143&amp;$F143,#REF!&amp;#REF!,0)),0)</f>
        <v>0</v>
      </c>
      <c r="K143" s="626">
        <f t="shared" si="108"/>
        <v>0</v>
      </c>
      <c r="L143" s="626">
        <f t="shared" si="109"/>
        <v>0</v>
      </c>
      <c r="M143" s="626">
        <f t="shared" si="110"/>
        <v>0</v>
      </c>
      <c r="N143" s="625">
        <f t="array" ref="N143">IFERROR(INDEX(#REF!,MATCH($E143&amp;$F143,#REF!&amp;#REF!,0)),0)</f>
        <v>0</v>
      </c>
      <c r="O143" s="626">
        <f t="shared" si="111"/>
        <v>0</v>
      </c>
      <c r="P143" s="626">
        <f t="shared" si="112"/>
        <v>0</v>
      </c>
      <c r="Q143" s="626">
        <f t="shared" si="113"/>
        <v>0</v>
      </c>
      <c r="R143" s="625">
        <f t="array" ref="R143">IFERROR(INDEX(#REF!,MATCH($E143&amp;$F143,#REF!&amp;#REF!,0)),0)</f>
        <v>0</v>
      </c>
      <c r="S143" s="626">
        <f t="shared" si="114"/>
        <v>0</v>
      </c>
      <c r="T143" s="626">
        <f t="shared" si="115"/>
        <v>0</v>
      </c>
      <c r="U143" s="626">
        <f t="shared" si="116"/>
        <v>0</v>
      </c>
      <c r="V143" s="625">
        <f t="array" ref="V143">IFERROR(INDEX(#REF!,MATCH($E143&amp;$F143,#REF!&amp;#REF!,0)),0)</f>
        <v>0</v>
      </c>
      <c r="W143" s="626">
        <f t="shared" si="117"/>
        <v>0</v>
      </c>
      <c r="X143" s="626">
        <f t="shared" si="118"/>
        <v>0</v>
      </c>
      <c r="Y143" s="626">
        <f t="shared" si="119"/>
        <v>0</v>
      </c>
      <c r="Z143" s="630"/>
      <c r="AA143" s="625">
        <f t="array" ref="AA143">IFERROR(INDEX(#REF!,MATCH($E143&amp;$F143,#REF!&amp;#REF!,0)),0)</f>
        <v>0</v>
      </c>
      <c r="AB143" s="625">
        <f t="array" ref="AB143">IFERROR(INDEX(#REF!,MATCH($E143&amp;$F143,#REF!&amp;#REF!,0)),0)</f>
        <v>0</v>
      </c>
      <c r="AC143" s="626">
        <f t="shared" si="120"/>
        <v>0</v>
      </c>
      <c r="AD143" s="626">
        <f t="shared" si="121"/>
        <v>0</v>
      </c>
      <c r="AE143" s="626">
        <f t="shared" si="122"/>
        <v>0</v>
      </c>
      <c r="AF143" s="625">
        <f t="array" ref="AF143">IFERROR(INDEX(#REF!,MATCH($E143&amp;$F143,#REF!&amp;#REF!,0)),0)</f>
        <v>0</v>
      </c>
      <c r="AG143" s="626">
        <f t="shared" si="123"/>
        <v>0</v>
      </c>
      <c r="AH143" s="626">
        <f t="shared" si="124"/>
        <v>0</v>
      </c>
      <c r="AI143" s="626">
        <f t="shared" si="125"/>
        <v>0</v>
      </c>
      <c r="AJ143" s="625">
        <f t="array" ref="AJ143">IFERROR(INDEX(#REF!,MATCH($E143&amp;$F143,#REF!&amp;#REF!,0)),0)</f>
        <v>0</v>
      </c>
      <c r="AK143" s="626">
        <f t="shared" si="126"/>
        <v>0</v>
      </c>
      <c r="AL143" s="626">
        <f t="shared" si="127"/>
        <v>0</v>
      </c>
      <c r="AM143" s="626">
        <f t="shared" si="128"/>
        <v>0</v>
      </c>
      <c r="AN143" s="625">
        <f t="array" ref="AN143">IFERROR(INDEX(#REF!,MATCH($E143&amp;$F143,#REF!&amp;#REF!,0)),0)</f>
        <v>0</v>
      </c>
      <c r="AO143" s="626">
        <f t="shared" si="129"/>
        <v>0</v>
      </c>
      <c r="AP143" s="626">
        <f t="shared" si="130"/>
        <v>0</v>
      </c>
      <c r="AQ143" s="626">
        <f t="shared" si="131"/>
        <v>0</v>
      </c>
      <c r="AR143" s="630"/>
      <c r="AS143" s="625">
        <f t="array" ref="AS143">IFERROR(INDEX(#REF!,MATCH($E143&amp;$F143,#REF!&amp;#REF!,0)),0)</f>
        <v>0</v>
      </c>
      <c r="AT143" s="625">
        <f t="array" ref="AT143">IFERROR(INDEX(#REF!,MATCH($E143&amp;$F143,#REF!&amp;#REF!,0)),0)</f>
        <v>0</v>
      </c>
      <c r="AU143" s="626">
        <f t="shared" si="132"/>
        <v>0</v>
      </c>
      <c r="AV143" s="626">
        <f t="shared" si="133"/>
        <v>0</v>
      </c>
      <c r="AW143" s="626">
        <f t="shared" si="134"/>
        <v>0</v>
      </c>
      <c r="AX143" s="625">
        <f t="array" ref="AX143">IFERROR(INDEX(#REF!,MATCH($E143&amp;$F143,#REF!&amp;#REF!,0)),0)</f>
        <v>0</v>
      </c>
      <c r="AY143" s="626">
        <f t="shared" si="135"/>
        <v>0</v>
      </c>
      <c r="AZ143" s="626">
        <f t="shared" si="136"/>
        <v>0</v>
      </c>
      <c r="BA143" s="626">
        <f t="shared" si="137"/>
        <v>0</v>
      </c>
      <c r="BB143" s="625">
        <f t="array" ref="BB143">IFERROR(INDEX(#REF!,MATCH($E143&amp;$F143,#REF!&amp;#REF!,0)),0)</f>
        <v>0</v>
      </c>
      <c r="BC143" s="626">
        <f t="shared" si="138"/>
        <v>0</v>
      </c>
      <c r="BD143" s="626">
        <f t="shared" si="139"/>
        <v>0</v>
      </c>
      <c r="BE143" s="626">
        <f t="shared" si="140"/>
        <v>0</v>
      </c>
      <c r="BF143" s="625">
        <f t="array" ref="BF143">IFERROR(INDEX(#REF!,MATCH($E143&amp;$F143,#REF!&amp;#REF!,0)),0)</f>
        <v>0</v>
      </c>
      <c r="BG143" s="626">
        <f t="shared" si="141"/>
        <v>0</v>
      </c>
      <c r="BH143" s="626">
        <f t="shared" si="142"/>
        <v>0</v>
      </c>
      <c r="BI143" s="626">
        <f t="shared" si="143"/>
        <v>0</v>
      </c>
      <c r="BJ143" s="630"/>
      <c r="BK143" s="625"/>
      <c r="BL143" s="625"/>
      <c r="BM143" s="625"/>
      <c r="BN143" s="625"/>
      <c r="BO143" s="625"/>
      <c r="BP143" s="625"/>
      <c r="BQ143" s="625"/>
      <c r="BR143" s="625"/>
    </row>
    <row r="144" spans="1:70">
      <c r="A144" s="29" t="s">
        <v>1317</v>
      </c>
      <c r="B144" s="29" t="s">
        <v>1744</v>
      </c>
      <c r="C144" s="619">
        <f>SETUP!$F$39</f>
        <v>0</v>
      </c>
      <c r="D144" s="25">
        <v>4.7</v>
      </c>
      <c r="E144" s="26" t="s">
        <v>1328</v>
      </c>
      <c r="F144" s="26" t="s">
        <v>1423</v>
      </c>
      <c r="G144" s="625" t="str">
        <f t="array" ref="G144">IFERROR(INDEX(#REF!,MATCH($E144&amp;$F144,#REF!&amp;#REF!,0)),"")</f>
        <v/>
      </c>
      <c r="H144" s="625"/>
      <c r="I144" s="625">
        <f t="array" ref="I144">IFERROR(INDEX(#REF!,MATCH($E144&amp;$F144,#REF!&amp;#REF!,0)),0)</f>
        <v>0</v>
      </c>
      <c r="J144" s="625">
        <f t="array" ref="J144">IFERROR(INDEX(#REF!,MATCH($E144&amp;$F144,#REF!&amp;#REF!,0)),0)</f>
        <v>0</v>
      </c>
      <c r="K144" s="626">
        <f t="shared" si="108"/>
        <v>0</v>
      </c>
      <c r="L144" s="626">
        <f t="shared" si="109"/>
        <v>0</v>
      </c>
      <c r="M144" s="626">
        <f t="shared" si="110"/>
        <v>0</v>
      </c>
      <c r="N144" s="625">
        <f t="array" ref="N144">IFERROR(INDEX(#REF!,MATCH($E144&amp;$F144,#REF!&amp;#REF!,0)),0)</f>
        <v>0</v>
      </c>
      <c r="O144" s="626">
        <f t="shared" si="111"/>
        <v>0</v>
      </c>
      <c r="P144" s="626">
        <f t="shared" si="112"/>
        <v>0</v>
      </c>
      <c r="Q144" s="626">
        <f t="shared" si="113"/>
        <v>0</v>
      </c>
      <c r="R144" s="625">
        <f t="array" ref="R144">IFERROR(INDEX(#REF!,MATCH($E144&amp;$F144,#REF!&amp;#REF!,0)),0)</f>
        <v>0</v>
      </c>
      <c r="S144" s="626">
        <f t="shared" si="114"/>
        <v>0</v>
      </c>
      <c r="T144" s="626">
        <f t="shared" si="115"/>
        <v>0</v>
      </c>
      <c r="U144" s="626">
        <f t="shared" si="116"/>
        <v>0</v>
      </c>
      <c r="V144" s="625">
        <f t="array" ref="V144">IFERROR(INDEX(#REF!,MATCH($E144&amp;$F144,#REF!&amp;#REF!,0)),0)</f>
        <v>0</v>
      </c>
      <c r="W144" s="626">
        <f t="shared" si="117"/>
        <v>0</v>
      </c>
      <c r="X144" s="626">
        <f t="shared" si="118"/>
        <v>0</v>
      </c>
      <c r="Y144" s="626">
        <f t="shared" si="119"/>
        <v>0</v>
      </c>
      <c r="Z144" s="630"/>
      <c r="AA144" s="625">
        <f t="array" ref="AA144">IFERROR(INDEX(#REF!,MATCH($E144&amp;$F144,#REF!&amp;#REF!,0)),0)</f>
        <v>0</v>
      </c>
      <c r="AB144" s="625">
        <f t="array" ref="AB144">IFERROR(INDEX(#REF!,MATCH($E144&amp;$F144,#REF!&amp;#REF!,0)),0)</f>
        <v>0</v>
      </c>
      <c r="AC144" s="626">
        <f t="shared" si="120"/>
        <v>0</v>
      </c>
      <c r="AD144" s="626">
        <f t="shared" si="121"/>
        <v>0</v>
      </c>
      <c r="AE144" s="626">
        <f t="shared" si="122"/>
        <v>0</v>
      </c>
      <c r="AF144" s="625">
        <f t="array" ref="AF144">IFERROR(INDEX(#REF!,MATCH($E144&amp;$F144,#REF!&amp;#REF!,0)),0)</f>
        <v>0</v>
      </c>
      <c r="AG144" s="626">
        <f t="shared" si="123"/>
        <v>0</v>
      </c>
      <c r="AH144" s="626">
        <f t="shared" si="124"/>
        <v>0</v>
      </c>
      <c r="AI144" s="626">
        <f t="shared" si="125"/>
        <v>0</v>
      </c>
      <c r="AJ144" s="625">
        <f t="array" ref="AJ144">IFERROR(INDEX(#REF!,MATCH($E144&amp;$F144,#REF!&amp;#REF!,0)),0)</f>
        <v>0</v>
      </c>
      <c r="AK144" s="626">
        <f t="shared" si="126"/>
        <v>0</v>
      </c>
      <c r="AL144" s="626">
        <f t="shared" si="127"/>
        <v>0</v>
      </c>
      <c r="AM144" s="626">
        <f t="shared" si="128"/>
        <v>0</v>
      </c>
      <c r="AN144" s="625">
        <f t="array" ref="AN144">IFERROR(INDEX(#REF!,MATCH($E144&amp;$F144,#REF!&amp;#REF!,0)),0)</f>
        <v>0</v>
      </c>
      <c r="AO144" s="626">
        <f t="shared" si="129"/>
        <v>0</v>
      </c>
      <c r="AP144" s="626">
        <f t="shared" si="130"/>
        <v>0</v>
      </c>
      <c r="AQ144" s="626">
        <f t="shared" si="131"/>
        <v>0</v>
      </c>
      <c r="AR144" s="630"/>
      <c r="AS144" s="625">
        <f t="array" ref="AS144">IFERROR(INDEX(#REF!,MATCH($E144&amp;$F144,#REF!&amp;#REF!,0)),0)</f>
        <v>0</v>
      </c>
      <c r="AT144" s="625">
        <f t="array" ref="AT144">IFERROR(INDEX(#REF!,MATCH($E144&amp;$F144,#REF!&amp;#REF!,0)),0)</f>
        <v>0</v>
      </c>
      <c r="AU144" s="626">
        <f t="shared" si="132"/>
        <v>0</v>
      </c>
      <c r="AV144" s="626">
        <f t="shared" si="133"/>
        <v>0</v>
      </c>
      <c r="AW144" s="626">
        <f t="shared" si="134"/>
        <v>0</v>
      </c>
      <c r="AX144" s="625">
        <f t="array" ref="AX144">IFERROR(INDEX(#REF!,MATCH($E144&amp;$F144,#REF!&amp;#REF!,0)),0)</f>
        <v>0</v>
      </c>
      <c r="AY144" s="626">
        <f t="shared" si="135"/>
        <v>0</v>
      </c>
      <c r="AZ144" s="626">
        <f t="shared" si="136"/>
        <v>0</v>
      </c>
      <c r="BA144" s="626">
        <f t="shared" si="137"/>
        <v>0</v>
      </c>
      <c r="BB144" s="625">
        <f t="array" ref="BB144">IFERROR(INDEX(#REF!,MATCH($E144&amp;$F144,#REF!&amp;#REF!,0)),0)</f>
        <v>0</v>
      </c>
      <c r="BC144" s="626">
        <f t="shared" si="138"/>
        <v>0</v>
      </c>
      <c r="BD144" s="626">
        <f t="shared" si="139"/>
        <v>0</v>
      </c>
      <c r="BE144" s="626">
        <f t="shared" si="140"/>
        <v>0</v>
      </c>
      <c r="BF144" s="625">
        <f t="array" ref="BF144">IFERROR(INDEX(#REF!,MATCH($E144&amp;$F144,#REF!&amp;#REF!,0)),0)</f>
        <v>0</v>
      </c>
      <c r="BG144" s="626">
        <f t="shared" si="141"/>
        <v>0</v>
      </c>
      <c r="BH144" s="626">
        <f t="shared" si="142"/>
        <v>0</v>
      </c>
      <c r="BI144" s="626">
        <f t="shared" si="143"/>
        <v>0</v>
      </c>
      <c r="BJ144" s="630"/>
      <c r="BK144" s="625"/>
      <c r="BL144" s="625"/>
      <c r="BM144" s="625"/>
      <c r="BN144" s="625"/>
      <c r="BO144" s="625"/>
      <c r="BP144" s="625"/>
      <c r="BQ144" s="625"/>
      <c r="BR144" s="625"/>
    </row>
    <row r="145" spans="1:70">
      <c r="A145" s="29" t="s">
        <v>1317</v>
      </c>
      <c r="B145" s="29" t="s">
        <v>1744</v>
      </c>
      <c r="C145" s="619">
        <f>SETUP!$F$39</f>
        <v>0</v>
      </c>
      <c r="D145" s="25">
        <v>4.7</v>
      </c>
      <c r="E145" s="26" t="s">
        <v>1336</v>
      </c>
      <c r="F145" s="26" t="s">
        <v>1424</v>
      </c>
      <c r="G145" s="625" t="str">
        <f t="array" ref="G145">IFERROR(INDEX(#REF!,MATCH($E145&amp;$F145,#REF!&amp;#REF!,0)),"")</f>
        <v/>
      </c>
      <c r="H145" s="625"/>
      <c r="I145" s="625">
        <f t="array" ref="I145">IFERROR(INDEX(#REF!,MATCH($E145&amp;$F145,#REF!&amp;#REF!,0)),0)</f>
        <v>0</v>
      </c>
      <c r="J145" s="625">
        <f t="array" ref="J145">IFERROR(INDEX(#REF!,MATCH($E145&amp;$F145,#REF!&amp;#REF!,0)),0)</f>
        <v>0</v>
      </c>
      <c r="K145" s="626">
        <f t="shared" si="108"/>
        <v>0</v>
      </c>
      <c r="L145" s="626">
        <f t="shared" si="109"/>
        <v>0</v>
      </c>
      <c r="M145" s="626">
        <f t="shared" si="110"/>
        <v>0</v>
      </c>
      <c r="N145" s="625">
        <f t="array" ref="N145">IFERROR(INDEX(#REF!,MATCH($E145&amp;$F145,#REF!&amp;#REF!,0)),0)</f>
        <v>0</v>
      </c>
      <c r="O145" s="626">
        <f t="shared" si="111"/>
        <v>0</v>
      </c>
      <c r="P145" s="626">
        <f t="shared" si="112"/>
        <v>0</v>
      </c>
      <c r="Q145" s="626">
        <f t="shared" si="113"/>
        <v>0</v>
      </c>
      <c r="R145" s="625">
        <f t="array" ref="R145">IFERROR(INDEX(#REF!,MATCH($E145&amp;$F145,#REF!&amp;#REF!,0)),0)</f>
        <v>0</v>
      </c>
      <c r="S145" s="626">
        <f t="shared" si="114"/>
        <v>0</v>
      </c>
      <c r="T145" s="626">
        <f t="shared" si="115"/>
        <v>0</v>
      </c>
      <c r="U145" s="626">
        <f t="shared" si="116"/>
        <v>0</v>
      </c>
      <c r="V145" s="625">
        <f t="array" ref="V145">IFERROR(INDEX(#REF!,MATCH($E145&amp;$F145,#REF!&amp;#REF!,0)),0)</f>
        <v>0</v>
      </c>
      <c r="W145" s="626">
        <f t="shared" si="117"/>
        <v>0</v>
      </c>
      <c r="X145" s="626">
        <f t="shared" si="118"/>
        <v>0</v>
      </c>
      <c r="Y145" s="626">
        <f t="shared" si="119"/>
        <v>0</v>
      </c>
      <c r="Z145" s="630"/>
      <c r="AA145" s="625">
        <f t="array" ref="AA145">IFERROR(INDEX(#REF!,MATCH($E145&amp;$F145,#REF!&amp;#REF!,0)),0)</f>
        <v>0</v>
      </c>
      <c r="AB145" s="625">
        <f t="array" ref="AB145">IFERROR(INDEX(#REF!,MATCH($E145&amp;$F145,#REF!&amp;#REF!,0)),0)</f>
        <v>0</v>
      </c>
      <c r="AC145" s="626">
        <f t="shared" si="120"/>
        <v>0</v>
      </c>
      <c r="AD145" s="626">
        <f t="shared" si="121"/>
        <v>0</v>
      </c>
      <c r="AE145" s="626">
        <f t="shared" si="122"/>
        <v>0</v>
      </c>
      <c r="AF145" s="625">
        <f t="array" ref="AF145">IFERROR(INDEX(#REF!,MATCH($E145&amp;$F145,#REF!&amp;#REF!,0)),0)</f>
        <v>0</v>
      </c>
      <c r="AG145" s="626">
        <f t="shared" si="123"/>
        <v>0</v>
      </c>
      <c r="AH145" s="626">
        <f t="shared" si="124"/>
        <v>0</v>
      </c>
      <c r="AI145" s="626">
        <f t="shared" si="125"/>
        <v>0</v>
      </c>
      <c r="AJ145" s="625">
        <f t="array" ref="AJ145">IFERROR(INDEX(#REF!,MATCH($E145&amp;$F145,#REF!&amp;#REF!,0)),0)</f>
        <v>0</v>
      </c>
      <c r="AK145" s="626">
        <f t="shared" si="126"/>
        <v>0</v>
      </c>
      <c r="AL145" s="626">
        <f t="shared" si="127"/>
        <v>0</v>
      </c>
      <c r="AM145" s="626">
        <f t="shared" si="128"/>
        <v>0</v>
      </c>
      <c r="AN145" s="625">
        <f t="array" ref="AN145">IFERROR(INDEX(#REF!,MATCH($E145&amp;$F145,#REF!&amp;#REF!,0)),0)</f>
        <v>0</v>
      </c>
      <c r="AO145" s="626">
        <f t="shared" si="129"/>
        <v>0</v>
      </c>
      <c r="AP145" s="626">
        <f t="shared" si="130"/>
        <v>0</v>
      </c>
      <c r="AQ145" s="626">
        <f t="shared" si="131"/>
        <v>0</v>
      </c>
      <c r="AR145" s="630"/>
      <c r="AS145" s="625">
        <f t="array" ref="AS145">IFERROR(INDEX(#REF!,MATCH($E145&amp;$F145,#REF!&amp;#REF!,0)),0)</f>
        <v>0</v>
      </c>
      <c r="AT145" s="625">
        <f t="array" ref="AT145">IFERROR(INDEX(#REF!,MATCH($E145&amp;$F145,#REF!&amp;#REF!,0)),0)</f>
        <v>0</v>
      </c>
      <c r="AU145" s="626">
        <f t="shared" si="132"/>
        <v>0</v>
      </c>
      <c r="AV145" s="626">
        <f t="shared" si="133"/>
        <v>0</v>
      </c>
      <c r="AW145" s="626">
        <f t="shared" si="134"/>
        <v>0</v>
      </c>
      <c r="AX145" s="625">
        <f t="array" ref="AX145">IFERROR(INDEX(#REF!,MATCH($E145&amp;$F145,#REF!&amp;#REF!,0)),0)</f>
        <v>0</v>
      </c>
      <c r="AY145" s="626">
        <f t="shared" si="135"/>
        <v>0</v>
      </c>
      <c r="AZ145" s="626">
        <f t="shared" si="136"/>
        <v>0</v>
      </c>
      <c r="BA145" s="626">
        <f t="shared" si="137"/>
        <v>0</v>
      </c>
      <c r="BB145" s="625">
        <f t="array" ref="BB145">IFERROR(INDEX(#REF!,MATCH($E145&amp;$F145,#REF!&amp;#REF!,0)),0)</f>
        <v>0</v>
      </c>
      <c r="BC145" s="626">
        <f t="shared" si="138"/>
        <v>0</v>
      </c>
      <c r="BD145" s="626">
        <f t="shared" si="139"/>
        <v>0</v>
      </c>
      <c r="BE145" s="626">
        <f t="shared" si="140"/>
        <v>0</v>
      </c>
      <c r="BF145" s="625">
        <f t="array" ref="BF145">IFERROR(INDEX(#REF!,MATCH($E145&amp;$F145,#REF!&amp;#REF!,0)),0)</f>
        <v>0</v>
      </c>
      <c r="BG145" s="626">
        <f t="shared" si="141"/>
        <v>0</v>
      </c>
      <c r="BH145" s="626">
        <f t="shared" si="142"/>
        <v>0</v>
      </c>
      <c r="BI145" s="626">
        <f t="shared" si="143"/>
        <v>0</v>
      </c>
      <c r="BJ145" s="630"/>
      <c r="BK145" s="625"/>
      <c r="BL145" s="625"/>
      <c r="BM145" s="625"/>
      <c r="BN145" s="625"/>
      <c r="BO145" s="625"/>
      <c r="BP145" s="625"/>
      <c r="BQ145" s="625"/>
      <c r="BR145" s="625"/>
    </row>
    <row r="146" spans="1:70">
      <c r="A146" s="29" t="s">
        <v>1317</v>
      </c>
      <c r="B146" s="29" t="s">
        <v>1744</v>
      </c>
      <c r="C146" s="619">
        <f>SETUP!$F$39</f>
        <v>0</v>
      </c>
      <c r="D146" s="25">
        <v>4.7</v>
      </c>
      <c r="E146" s="26" t="s">
        <v>1337</v>
      </c>
      <c r="F146" s="26" t="s">
        <v>1425</v>
      </c>
      <c r="G146" s="625" t="str">
        <f t="array" ref="G146">IFERROR(INDEX(#REF!,MATCH($E146&amp;$F146,#REF!&amp;#REF!,0)),"")</f>
        <v/>
      </c>
      <c r="H146" s="625"/>
      <c r="I146" s="625">
        <f t="array" ref="I146">IFERROR(INDEX(#REF!,MATCH($E146&amp;$F146,#REF!&amp;#REF!,0)),0)</f>
        <v>0</v>
      </c>
      <c r="J146" s="625">
        <f t="array" ref="J146">IFERROR(INDEX(#REF!,MATCH($E146&amp;$F146,#REF!&amp;#REF!,0)),0)</f>
        <v>0</v>
      </c>
      <c r="K146" s="626">
        <f t="shared" si="108"/>
        <v>0</v>
      </c>
      <c r="L146" s="626">
        <f t="shared" si="109"/>
        <v>0</v>
      </c>
      <c r="M146" s="626">
        <f t="shared" si="110"/>
        <v>0</v>
      </c>
      <c r="N146" s="625">
        <f t="array" ref="N146">IFERROR(INDEX(#REF!,MATCH($E146&amp;$F146,#REF!&amp;#REF!,0)),0)</f>
        <v>0</v>
      </c>
      <c r="O146" s="626">
        <f t="shared" si="111"/>
        <v>0</v>
      </c>
      <c r="P146" s="626">
        <f t="shared" si="112"/>
        <v>0</v>
      </c>
      <c r="Q146" s="626">
        <f t="shared" si="113"/>
        <v>0</v>
      </c>
      <c r="R146" s="625">
        <f t="array" ref="R146">IFERROR(INDEX(#REF!,MATCH($E146&amp;$F146,#REF!&amp;#REF!,0)),0)</f>
        <v>0</v>
      </c>
      <c r="S146" s="626">
        <f t="shared" si="114"/>
        <v>0</v>
      </c>
      <c r="T146" s="626">
        <f t="shared" si="115"/>
        <v>0</v>
      </c>
      <c r="U146" s="626">
        <f t="shared" si="116"/>
        <v>0</v>
      </c>
      <c r="V146" s="625">
        <f t="array" ref="V146">IFERROR(INDEX(#REF!,MATCH($E146&amp;$F146,#REF!&amp;#REF!,0)),0)</f>
        <v>0</v>
      </c>
      <c r="W146" s="626">
        <f t="shared" si="117"/>
        <v>0</v>
      </c>
      <c r="X146" s="626">
        <f t="shared" si="118"/>
        <v>0</v>
      </c>
      <c r="Y146" s="626">
        <f t="shared" si="119"/>
        <v>0</v>
      </c>
      <c r="Z146" s="630"/>
      <c r="AA146" s="625">
        <f t="array" ref="AA146">IFERROR(INDEX(#REF!,MATCH($E146&amp;$F146,#REF!&amp;#REF!,0)),0)</f>
        <v>0</v>
      </c>
      <c r="AB146" s="625">
        <f t="array" ref="AB146">IFERROR(INDEX(#REF!,MATCH($E146&amp;$F146,#REF!&amp;#REF!,0)),0)</f>
        <v>0</v>
      </c>
      <c r="AC146" s="626">
        <f t="shared" si="120"/>
        <v>0</v>
      </c>
      <c r="AD146" s="626">
        <f t="shared" si="121"/>
        <v>0</v>
      </c>
      <c r="AE146" s="626">
        <f t="shared" si="122"/>
        <v>0</v>
      </c>
      <c r="AF146" s="625">
        <f t="array" ref="AF146">IFERROR(INDEX(#REF!,MATCH($E146&amp;$F146,#REF!&amp;#REF!,0)),0)</f>
        <v>0</v>
      </c>
      <c r="AG146" s="626">
        <f t="shared" si="123"/>
        <v>0</v>
      </c>
      <c r="AH146" s="626">
        <f t="shared" si="124"/>
        <v>0</v>
      </c>
      <c r="AI146" s="626">
        <f t="shared" si="125"/>
        <v>0</v>
      </c>
      <c r="AJ146" s="625">
        <f t="array" ref="AJ146">IFERROR(INDEX(#REF!,MATCH($E146&amp;$F146,#REF!&amp;#REF!,0)),0)</f>
        <v>0</v>
      </c>
      <c r="AK146" s="626">
        <f t="shared" si="126"/>
        <v>0</v>
      </c>
      <c r="AL146" s="626">
        <f t="shared" si="127"/>
        <v>0</v>
      </c>
      <c r="AM146" s="626">
        <f t="shared" si="128"/>
        <v>0</v>
      </c>
      <c r="AN146" s="625">
        <f t="array" ref="AN146">IFERROR(INDEX(#REF!,MATCH($E146&amp;$F146,#REF!&amp;#REF!,0)),0)</f>
        <v>0</v>
      </c>
      <c r="AO146" s="626">
        <f t="shared" si="129"/>
        <v>0</v>
      </c>
      <c r="AP146" s="626">
        <f t="shared" si="130"/>
        <v>0</v>
      </c>
      <c r="AQ146" s="626">
        <f t="shared" si="131"/>
        <v>0</v>
      </c>
      <c r="AR146" s="630"/>
      <c r="AS146" s="625">
        <f t="array" ref="AS146">IFERROR(INDEX(#REF!,MATCH($E146&amp;$F146,#REF!&amp;#REF!,0)),0)</f>
        <v>0</v>
      </c>
      <c r="AT146" s="625">
        <f t="array" ref="AT146">IFERROR(INDEX(#REF!,MATCH($E146&amp;$F146,#REF!&amp;#REF!,0)),0)</f>
        <v>0</v>
      </c>
      <c r="AU146" s="626">
        <f t="shared" si="132"/>
        <v>0</v>
      </c>
      <c r="AV146" s="626">
        <f t="shared" si="133"/>
        <v>0</v>
      </c>
      <c r="AW146" s="626">
        <f t="shared" si="134"/>
        <v>0</v>
      </c>
      <c r="AX146" s="625">
        <f t="array" ref="AX146">IFERROR(INDEX(#REF!,MATCH($E146&amp;$F146,#REF!&amp;#REF!,0)),0)</f>
        <v>0</v>
      </c>
      <c r="AY146" s="626">
        <f t="shared" si="135"/>
        <v>0</v>
      </c>
      <c r="AZ146" s="626">
        <f t="shared" si="136"/>
        <v>0</v>
      </c>
      <c r="BA146" s="626">
        <f t="shared" si="137"/>
        <v>0</v>
      </c>
      <c r="BB146" s="625">
        <f t="array" ref="BB146">IFERROR(INDEX(#REF!,MATCH($E146&amp;$F146,#REF!&amp;#REF!,0)),0)</f>
        <v>0</v>
      </c>
      <c r="BC146" s="626">
        <f t="shared" si="138"/>
        <v>0</v>
      </c>
      <c r="BD146" s="626">
        <f t="shared" si="139"/>
        <v>0</v>
      </c>
      <c r="BE146" s="626">
        <f t="shared" si="140"/>
        <v>0</v>
      </c>
      <c r="BF146" s="625">
        <f t="array" ref="BF146">IFERROR(INDEX(#REF!,MATCH($E146&amp;$F146,#REF!&amp;#REF!,0)),0)</f>
        <v>0</v>
      </c>
      <c r="BG146" s="626">
        <f t="shared" si="141"/>
        <v>0</v>
      </c>
      <c r="BH146" s="626">
        <f t="shared" si="142"/>
        <v>0</v>
      </c>
      <c r="BI146" s="626">
        <f t="shared" si="143"/>
        <v>0</v>
      </c>
      <c r="BJ146" s="630"/>
      <c r="BK146" s="625"/>
      <c r="BL146" s="625"/>
      <c r="BM146" s="625"/>
      <c r="BN146" s="625"/>
      <c r="BO146" s="625"/>
      <c r="BP146" s="625"/>
      <c r="BQ146" s="625"/>
      <c r="BR146" s="625"/>
    </row>
    <row r="147" spans="1:70">
      <c r="A147" s="29" t="s">
        <v>1317</v>
      </c>
      <c r="B147" s="29" t="s">
        <v>1744</v>
      </c>
      <c r="C147" s="619">
        <f>SETUP!$F$39</f>
        <v>0</v>
      </c>
      <c r="D147" s="25">
        <v>4.7</v>
      </c>
      <c r="E147" s="26" t="s">
        <v>1337</v>
      </c>
      <c r="F147" s="26" t="s">
        <v>1426</v>
      </c>
      <c r="G147" s="625" t="str">
        <f t="array" ref="G147">IFERROR(INDEX(#REF!,MATCH($E147&amp;$F147,#REF!&amp;#REF!,0)),"")</f>
        <v/>
      </c>
      <c r="H147" s="625"/>
      <c r="I147" s="625">
        <f t="array" ref="I147">IFERROR(INDEX(#REF!,MATCH($E147&amp;$F147,#REF!&amp;#REF!,0)),0)</f>
        <v>0</v>
      </c>
      <c r="J147" s="625">
        <f t="array" ref="J147">IFERROR(INDEX(#REF!,MATCH($E147&amp;$F147,#REF!&amp;#REF!,0)),0)</f>
        <v>0</v>
      </c>
      <c r="K147" s="626">
        <f t="shared" si="108"/>
        <v>0</v>
      </c>
      <c r="L147" s="626">
        <f t="shared" si="109"/>
        <v>0</v>
      </c>
      <c r="M147" s="626">
        <f t="shared" si="110"/>
        <v>0</v>
      </c>
      <c r="N147" s="625">
        <f t="array" ref="N147">IFERROR(INDEX(#REF!,MATCH($E147&amp;$F147,#REF!&amp;#REF!,0)),0)</f>
        <v>0</v>
      </c>
      <c r="O147" s="626">
        <f t="shared" si="111"/>
        <v>0</v>
      </c>
      <c r="P147" s="626">
        <f t="shared" si="112"/>
        <v>0</v>
      </c>
      <c r="Q147" s="626">
        <f t="shared" si="113"/>
        <v>0</v>
      </c>
      <c r="R147" s="625">
        <f t="array" ref="R147">IFERROR(INDEX(#REF!,MATCH($E147&amp;$F147,#REF!&amp;#REF!,0)),0)</f>
        <v>0</v>
      </c>
      <c r="S147" s="626">
        <f t="shared" si="114"/>
        <v>0</v>
      </c>
      <c r="T147" s="626">
        <f t="shared" si="115"/>
        <v>0</v>
      </c>
      <c r="U147" s="626">
        <f t="shared" si="116"/>
        <v>0</v>
      </c>
      <c r="V147" s="625">
        <f t="array" ref="V147">IFERROR(INDEX(#REF!,MATCH($E147&amp;$F147,#REF!&amp;#REF!,0)),0)</f>
        <v>0</v>
      </c>
      <c r="W147" s="626">
        <f t="shared" si="117"/>
        <v>0</v>
      </c>
      <c r="X147" s="626">
        <f t="shared" si="118"/>
        <v>0</v>
      </c>
      <c r="Y147" s="626">
        <f t="shared" si="119"/>
        <v>0</v>
      </c>
      <c r="Z147" s="630"/>
      <c r="AA147" s="625">
        <f t="array" ref="AA147">IFERROR(INDEX(#REF!,MATCH($E147&amp;$F147,#REF!&amp;#REF!,0)),0)</f>
        <v>0</v>
      </c>
      <c r="AB147" s="625">
        <f t="array" ref="AB147">IFERROR(INDEX(#REF!,MATCH($E147&amp;$F147,#REF!&amp;#REF!,0)),0)</f>
        <v>0</v>
      </c>
      <c r="AC147" s="626">
        <f t="shared" si="120"/>
        <v>0</v>
      </c>
      <c r="AD147" s="626">
        <f t="shared" si="121"/>
        <v>0</v>
      </c>
      <c r="AE147" s="626">
        <f t="shared" si="122"/>
        <v>0</v>
      </c>
      <c r="AF147" s="625">
        <f t="array" ref="AF147">IFERROR(INDEX(#REF!,MATCH($E147&amp;$F147,#REF!&amp;#REF!,0)),0)</f>
        <v>0</v>
      </c>
      <c r="AG147" s="626">
        <f t="shared" si="123"/>
        <v>0</v>
      </c>
      <c r="AH147" s="626">
        <f t="shared" si="124"/>
        <v>0</v>
      </c>
      <c r="AI147" s="626">
        <f t="shared" si="125"/>
        <v>0</v>
      </c>
      <c r="AJ147" s="625">
        <f t="array" ref="AJ147">IFERROR(INDEX(#REF!,MATCH($E147&amp;$F147,#REF!&amp;#REF!,0)),0)</f>
        <v>0</v>
      </c>
      <c r="AK147" s="626">
        <f t="shared" si="126"/>
        <v>0</v>
      </c>
      <c r="AL147" s="626">
        <f t="shared" si="127"/>
        <v>0</v>
      </c>
      <c r="AM147" s="626">
        <f t="shared" si="128"/>
        <v>0</v>
      </c>
      <c r="AN147" s="625">
        <f t="array" ref="AN147">IFERROR(INDEX(#REF!,MATCH($E147&amp;$F147,#REF!&amp;#REF!,0)),0)</f>
        <v>0</v>
      </c>
      <c r="AO147" s="626">
        <f t="shared" si="129"/>
        <v>0</v>
      </c>
      <c r="AP147" s="626">
        <f t="shared" si="130"/>
        <v>0</v>
      </c>
      <c r="AQ147" s="626">
        <f t="shared" si="131"/>
        <v>0</v>
      </c>
      <c r="AR147" s="630"/>
      <c r="AS147" s="625">
        <f t="array" ref="AS147">IFERROR(INDEX(#REF!,MATCH($E147&amp;$F147,#REF!&amp;#REF!,0)),0)</f>
        <v>0</v>
      </c>
      <c r="AT147" s="625">
        <f t="array" ref="AT147">IFERROR(INDEX(#REF!,MATCH($E147&amp;$F147,#REF!&amp;#REF!,0)),0)</f>
        <v>0</v>
      </c>
      <c r="AU147" s="626">
        <f t="shared" si="132"/>
        <v>0</v>
      </c>
      <c r="AV147" s="626">
        <f t="shared" si="133"/>
        <v>0</v>
      </c>
      <c r="AW147" s="626">
        <f t="shared" si="134"/>
        <v>0</v>
      </c>
      <c r="AX147" s="625">
        <f t="array" ref="AX147">IFERROR(INDEX(#REF!,MATCH($E147&amp;$F147,#REF!&amp;#REF!,0)),0)</f>
        <v>0</v>
      </c>
      <c r="AY147" s="626">
        <f t="shared" si="135"/>
        <v>0</v>
      </c>
      <c r="AZ147" s="626">
        <f t="shared" si="136"/>
        <v>0</v>
      </c>
      <c r="BA147" s="626">
        <f t="shared" si="137"/>
        <v>0</v>
      </c>
      <c r="BB147" s="625">
        <f t="array" ref="BB147">IFERROR(INDEX(#REF!,MATCH($E147&amp;$F147,#REF!&amp;#REF!,0)),0)</f>
        <v>0</v>
      </c>
      <c r="BC147" s="626">
        <f t="shared" si="138"/>
        <v>0</v>
      </c>
      <c r="BD147" s="626">
        <f t="shared" si="139"/>
        <v>0</v>
      </c>
      <c r="BE147" s="626">
        <f t="shared" si="140"/>
        <v>0</v>
      </c>
      <c r="BF147" s="625">
        <f t="array" ref="BF147">IFERROR(INDEX(#REF!,MATCH($E147&amp;$F147,#REF!&amp;#REF!,0)),0)</f>
        <v>0</v>
      </c>
      <c r="BG147" s="626">
        <f t="shared" si="141"/>
        <v>0</v>
      </c>
      <c r="BH147" s="626">
        <f t="shared" si="142"/>
        <v>0</v>
      </c>
      <c r="BI147" s="626">
        <f t="shared" si="143"/>
        <v>0</v>
      </c>
      <c r="BJ147" s="630"/>
      <c r="BK147" s="625"/>
      <c r="BL147" s="625"/>
      <c r="BM147" s="625"/>
      <c r="BN147" s="625"/>
      <c r="BO147" s="625"/>
      <c r="BP147" s="625"/>
      <c r="BQ147" s="625"/>
      <c r="BR147" s="625"/>
    </row>
    <row r="148" spans="1:70">
      <c r="A148" s="29" t="s">
        <v>1317</v>
      </c>
      <c r="B148" s="29" t="s">
        <v>1744</v>
      </c>
      <c r="C148" s="619">
        <f>SETUP!$F$39</f>
        <v>0</v>
      </c>
      <c r="D148" s="25">
        <v>4.7</v>
      </c>
      <c r="E148" s="26" t="s">
        <v>1338</v>
      </c>
      <c r="F148" s="26" t="s">
        <v>1427</v>
      </c>
      <c r="G148" s="625" t="str">
        <f t="array" ref="G148">IFERROR(INDEX(#REF!,MATCH($E148&amp;$F148,#REF!&amp;#REF!,0)),"")</f>
        <v/>
      </c>
      <c r="H148" s="625"/>
      <c r="I148" s="625">
        <f t="array" ref="I148">IFERROR(INDEX(#REF!,MATCH($E148&amp;$F148,#REF!&amp;#REF!,0)),0)</f>
        <v>0</v>
      </c>
      <c r="J148" s="625">
        <f t="array" ref="J148">IFERROR(INDEX(#REF!,MATCH($E148&amp;$F148,#REF!&amp;#REF!,0)),0)</f>
        <v>0</v>
      </c>
      <c r="K148" s="626">
        <f t="shared" si="108"/>
        <v>0</v>
      </c>
      <c r="L148" s="626">
        <f t="shared" si="109"/>
        <v>0</v>
      </c>
      <c r="M148" s="626">
        <f t="shared" si="110"/>
        <v>0</v>
      </c>
      <c r="N148" s="625">
        <f t="array" ref="N148">IFERROR(INDEX(#REF!,MATCH($E148&amp;$F148,#REF!&amp;#REF!,0)),0)</f>
        <v>0</v>
      </c>
      <c r="O148" s="626">
        <f t="shared" si="111"/>
        <v>0</v>
      </c>
      <c r="P148" s="626">
        <f t="shared" si="112"/>
        <v>0</v>
      </c>
      <c r="Q148" s="626">
        <f t="shared" si="113"/>
        <v>0</v>
      </c>
      <c r="R148" s="625">
        <f t="array" ref="R148">IFERROR(INDEX(#REF!,MATCH($E148&amp;$F148,#REF!&amp;#REF!,0)),0)</f>
        <v>0</v>
      </c>
      <c r="S148" s="626">
        <f t="shared" si="114"/>
        <v>0</v>
      </c>
      <c r="T148" s="626">
        <f t="shared" si="115"/>
        <v>0</v>
      </c>
      <c r="U148" s="626">
        <f t="shared" si="116"/>
        <v>0</v>
      </c>
      <c r="V148" s="625">
        <f t="array" ref="V148">IFERROR(INDEX(#REF!,MATCH($E148&amp;$F148,#REF!&amp;#REF!,0)),0)</f>
        <v>0</v>
      </c>
      <c r="W148" s="626">
        <f t="shared" si="117"/>
        <v>0</v>
      </c>
      <c r="X148" s="626">
        <f t="shared" si="118"/>
        <v>0</v>
      </c>
      <c r="Y148" s="626">
        <f t="shared" si="119"/>
        <v>0</v>
      </c>
      <c r="Z148" s="630"/>
      <c r="AA148" s="625">
        <f t="array" ref="AA148">IFERROR(INDEX(#REF!,MATCH($E148&amp;$F148,#REF!&amp;#REF!,0)),0)</f>
        <v>0</v>
      </c>
      <c r="AB148" s="625">
        <f t="array" ref="AB148">IFERROR(INDEX(#REF!,MATCH($E148&amp;$F148,#REF!&amp;#REF!,0)),0)</f>
        <v>0</v>
      </c>
      <c r="AC148" s="626">
        <f t="shared" si="120"/>
        <v>0</v>
      </c>
      <c r="AD148" s="626">
        <f t="shared" si="121"/>
        <v>0</v>
      </c>
      <c r="AE148" s="626">
        <f t="shared" si="122"/>
        <v>0</v>
      </c>
      <c r="AF148" s="625">
        <f t="array" ref="AF148">IFERROR(INDEX(#REF!,MATCH($E148&amp;$F148,#REF!&amp;#REF!,0)),0)</f>
        <v>0</v>
      </c>
      <c r="AG148" s="626">
        <f t="shared" si="123"/>
        <v>0</v>
      </c>
      <c r="AH148" s="626">
        <f t="shared" si="124"/>
        <v>0</v>
      </c>
      <c r="AI148" s="626">
        <f t="shared" si="125"/>
        <v>0</v>
      </c>
      <c r="AJ148" s="625">
        <f t="array" ref="AJ148">IFERROR(INDEX(#REF!,MATCH($E148&amp;$F148,#REF!&amp;#REF!,0)),0)</f>
        <v>0</v>
      </c>
      <c r="AK148" s="626">
        <f t="shared" si="126"/>
        <v>0</v>
      </c>
      <c r="AL148" s="626">
        <f t="shared" si="127"/>
        <v>0</v>
      </c>
      <c r="AM148" s="626">
        <f t="shared" si="128"/>
        <v>0</v>
      </c>
      <c r="AN148" s="625">
        <f t="array" ref="AN148">IFERROR(INDEX(#REF!,MATCH($E148&amp;$F148,#REF!&amp;#REF!,0)),0)</f>
        <v>0</v>
      </c>
      <c r="AO148" s="626">
        <f t="shared" si="129"/>
        <v>0</v>
      </c>
      <c r="AP148" s="626">
        <f t="shared" si="130"/>
        <v>0</v>
      </c>
      <c r="AQ148" s="626">
        <f t="shared" si="131"/>
        <v>0</v>
      </c>
      <c r="AR148" s="630"/>
      <c r="AS148" s="625">
        <f t="array" ref="AS148">IFERROR(INDEX(#REF!,MATCH($E148&amp;$F148,#REF!&amp;#REF!,0)),0)</f>
        <v>0</v>
      </c>
      <c r="AT148" s="625">
        <f t="array" ref="AT148">IFERROR(INDEX(#REF!,MATCH($E148&amp;$F148,#REF!&amp;#REF!,0)),0)</f>
        <v>0</v>
      </c>
      <c r="AU148" s="626">
        <f t="shared" si="132"/>
        <v>0</v>
      </c>
      <c r="AV148" s="626">
        <f t="shared" si="133"/>
        <v>0</v>
      </c>
      <c r="AW148" s="626">
        <f t="shared" si="134"/>
        <v>0</v>
      </c>
      <c r="AX148" s="625">
        <f t="array" ref="AX148">IFERROR(INDEX(#REF!,MATCH($E148&amp;$F148,#REF!&amp;#REF!,0)),0)</f>
        <v>0</v>
      </c>
      <c r="AY148" s="626">
        <f t="shared" si="135"/>
        <v>0</v>
      </c>
      <c r="AZ148" s="626">
        <f t="shared" si="136"/>
        <v>0</v>
      </c>
      <c r="BA148" s="626">
        <f t="shared" si="137"/>
        <v>0</v>
      </c>
      <c r="BB148" s="625">
        <f t="array" ref="BB148">IFERROR(INDEX(#REF!,MATCH($E148&amp;$F148,#REF!&amp;#REF!,0)),0)</f>
        <v>0</v>
      </c>
      <c r="BC148" s="626">
        <f t="shared" si="138"/>
        <v>0</v>
      </c>
      <c r="BD148" s="626">
        <f t="shared" si="139"/>
        <v>0</v>
      </c>
      <c r="BE148" s="626">
        <f t="shared" si="140"/>
        <v>0</v>
      </c>
      <c r="BF148" s="625">
        <f t="array" ref="BF148">IFERROR(INDEX(#REF!,MATCH($E148&amp;$F148,#REF!&amp;#REF!,0)),0)</f>
        <v>0</v>
      </c>
      <c r="BG148" s="626">
        <f t="shared" si="141"/>
        <v>0</v>
      </c>
      <c r="BH148" s="626">
        <f t="shared" si="142"/>
        <v>0</v>
      </c>
      <c r="BI148" s="626">
        <f t="shared" si="143"/>
        <v>0</v>
      </c>
      <c r="BJ148" s="630"/>
      <c r="BK148" s="625"/>
      <c r="BL148" s="625"/>
      <c r="BM148" s="625"/>
      <c r="BN148" s="625"/>
      <c r="BO148" s="625"/>
      <c r="BP148" s="625"/>
      <c r="BQ148" s="625"/>
      <c r="BR148" s="625"/>
    </row>
    <row r="149" spans="1:70">
      <c r="A149" s="29" t="s">
        <v>1317</v>
      </c>
      <c r="B149" s="29" t="s">
        <v>1744</v>
      </c>
      <c r="C149" s="619">
        <f>SETUP!$F$39</f>
        <v>0</v>
      </c>
      <c r="D149" s="25">
        <v>4.7</v>
      </c>
      <c r="E149" s="26" t="s">
        <v>1339</v>
      </c>
      <c r="F149" s="26" t="s">
        <v>1340</v>
      </c>
      <c r="G149" s="625" t="str">
        <f t="array" ref="G149">IFERROR(INDEX(#REF!,MATCH($E149&amp;$F149,#REF!&amp;#REF!,0)),"")</f>
        <v/>
      </c>
      <c r="H149" s="625"/>
      <c r="I149" s="625">
        <f t="array" ref="I149">IFERROR(INDEX(#REF!,MATCH($E149&amp;$F149,#REF!&amp;#REF!,0)),0)</f>
        <v>0</v>
      </c>
      <c r="J149" s="625">
        <f t="array" ref="J149">IFERROR(INDEX(#REF!,MATCH($E149&amp;$F149,#REF!&amp;#REF!,0)),0)</f>
        <v>0</v>
      </c>
      <c r="K149" s="626">
        <f t="shared" si="108"/>
        <v>0</v>
      </c>
      <c r="L149" s="626">
        <f t="shared" si="109"/>
        <v>0</v>
      </c>
      <c r="M149" s="626">
        <f t="shared" si="110"/>
        <v>0</v>
      </c>
      <c r="N149" s="625">
        <f t="array" ref="N149">IFERROR(INDEX(#REF!,MATCH($E149&amp;$F149,#REF!&amp;#REF!,0)),0)</f>
        <v>0</v>
      </c>
      <c r="O149" s="626">
        <f t="shared" si="111"/>
        <v>0</v>
      </c>
      <c r="P149" s="626">
        <f t="shared" si="112"/>
        <v>0</v>
      </c>
      <c r="Q149" s="626">
        <f t="shared" si="113"/>
        <v>0</v>
      </c>
      <c r="R149" s="625">
        <f t="array" ref="R149">IFERROR(INDEX(#REF!,MATCH($E149&amp;$F149,#REF!&amp;#REF!,0)),0)</f>
        <v>0</v>
      </c>
      <c r="S149" s="626">
        <f t="shared" si="114"/>
        <v>0</v>
      </c>
      <c r="T149" s="626">
        <f t="shared" si="115"/>
        <v>0</v>
      </c>
      <c r="U149" s="626">
        <f t="shared" si="116"/>
        <v>0</v>
      </c>
      <c r="V149" s="625">
        <f t="array" ref="V149">IFERROR(INDEX(#REF!,MATCH($E149&amp;$F149,#REF!&amp;#REF!,0)),0)</f>
        <v>0</v>
      </c>
      <c r="W149" s="626">
        <f t="shared" si="117"/>
        <v>0</v>
      </c>
      <c r="X149" s="626">
        <f t="shared" si="118"/>
        <v>0</v>
      </c>
      <c r="Y149" s="626">
        <f t="shared" si="119"/>
        <v>0</v>
      </c>
      <c r="Z149" s="630"/>
      <c r="AA149" s="625">
        <f t="array" ref="AA149">IFERROR(INDEX(#REF!,MATCH($E149&amp;$F149,#REF!&amp;#REF!,0)),0)</f>
        <v>0</v>
      </c>
      <c r="AB149" s="625">
        <f t="array" ref="AB149">IFERROR(INDEX(#REF!,MATCH($E149&amp;$F149,#REF!&amp;#REF!,0)),0)</f>
        <v>0</v>
      </c>
      <c r="AC149" s="626">
        <f t="shared" si="120"/>
        <v>0</v>
      </c>
      <c r="AD149" s="626">
        <f t="shared" si="121"/>
        <v>0</v>
      </c>
      <c r="AE149" s="626">
        <f t="shared" si="122"/>
        <v>0</v>
      </c>
      <c r="AF149" s="625">
        <f t="array" ref="AF149">IFERROR(INDEX(#REF!,MATCH($E149&amp;$F149,#REF!&amp;#REF!,0)),0)</f>
        <v>0</v>
      </c>
      <c r="AG149" s="626">
        <f t="shared" si="123"/>
        <v>0</v>
      </c>
      <c r="AH149" s="626">
        <f t="shared" si="124"/>
        <v>0</v>
      </c>
      <c r="AI149" s="626">
        <f t="shared" si="125"/>
        <v>0</v>
      </c>
      <c r="AJ149" s="625">
        <f t="array" ref="AJ149">IFERROR(INDEX(#REF!,MATCH($E149&amp;$F149,#REF!&amp;#REF!,0)),0)</f>
        <v>0</v>
      </c>
      <c r="AK149" s="626">
        <f t="shared" si="126"/>
        <v>0</v>
      </c>
      <c r="AL149" s="626">
        <f t="shared" si="127"/>
        <v>0</v>
      </c>
      <c r="AM149" s="626">
        <f t="shared" si="128"/>
        <v>0</v>
      </c>
      <c r="AN149" s="625">
        <f t="array" ref="AN149">IFERROR(INDEX(#REF!,MATCH($E149&amp;$F149,#REF!&amp;#REF!,0)),0)</f>
        <v>0</v>
      </c>
      <c r="AO149" s="626">
        <f t="shared" si="129"/>
        <v>0</v>
      </c>
      <c r="AP149" s="626">
        <f t="shared" si="130"/>
        <v>0</v>
      </c>
      <c r="AQ149" s="626">
        <f t="shared" si="131"/>
        <v>0</v>
      </c>
      <c r="AR149" s="630"/>
      <c r="AS149" s="625">
        <f t="array" ref="AS149">IFERROR(INDEX(#REF!,MATCH($E149&amp;$F149,#REF!&amp;#REF!,0)),0)</f>
        <v>0</v>
      </c>
      <c r="AT149" s="625">
        <f t="array" ref="AT149">IFERROR(INDEX(#REF!,MATCH($E149&amp;$F149,#REF!&amp;#REF!,0)),0)</f>
        <v>0</v>
      </c>
      <c r="AU149" s="626">
        <f t="shared" si="132"/>
        <v>0</v>
      </c>
      <c r="AV149" s="626">
        <f t="shared" si="133"/>
        <v>0</v>
      </c>
      <c r="AW149" s="626">
        <f t="shared" si="134"/>
        <v>0</v>
      </c>
      <c r="AX149" s="625">
        <f t="array" ref="AX149">IFERROR(INDEX(#REF!,MATCH($E149&amp;$F149,#REF!&amp;#REF!,0)),0)</f>
        <v>0</v>
      </c>
      <c r="AY149" s="626">
        <f t="shared" si="135"/>
        <v>0</v>
      </c>
      <c r="AZ149" s="626">
        <f t="shared" si="136"/>
        <v>0</v>
      </c>
      <c r="BA149" s="626">
        <f t="shared" si="137"/>
        <v>0</v>
      </c>
      <c r="BB149" s="625">
        <f t="array" ref="BB149">IFERROR(INDEX(#REF!,MATCH($E149&amp;$F149,#REF!&amp;#REF!,0)),0)</f>
        <v>0</v>
      </c>
      <c r="BC149" s="626">
        <f t="shared" si="138"/>
        <v>0</v>
      </c>
      <c r="BD149" s="626">
        <f t="shared" si="139"/>
        <v>0</v>
      </c>
      <c r="BE149" s="626">
        <f t="shared" si="140"/>
        <v>0</v>
      </c>
      <c r="BF149" s="625">
        <f t="array" ref="BF149">IFERROR(INDEX(#REF!,MATCH($E149&amp;$F149,#REF!&amp;#REF!,0)),0)</f>
        <v>0</v>
      </c>
      <c r="BG149" s="626">
        <f t="shared" si="141"/>
        <v>0</v>
      </c>
      <c r="BH149" s="626">
        <f t="shared" si="142"/>
        <v>0</v>
      </c>
      <c r="BI149" s="626">
        <f t="shared" si="143"/>
        <v>0</v>
      </c>
      <c r="BJ149" s="630"/>
      <c r="BK149" s="625"/>
      <c r="BL149" s="625"/>
      <c r="BM149" s="625"/>
      <c r="BN149" s="625"/>
      <c r="BO149" s="625"/>
      <c r="BP149" s="625"/>
      <c r="BQ149" s="625"/>
      <c r="BR149" s="625"/>
    </row>
    <row r="150" spans="1:70">
      <c r="A150" s="29" t="s">
        <v>1317</v>
      </c>
      <c r="B150" s="29" t="s">
        <v>1744</v>
      </c>
      <c r="C150" s="619">
        <f>SETUP!$F$39</f>
        <v>0</v>
      </c>
      <c r="D150" s="25">
        <v>4.7</v>
      </c>
      <c r="E150" s="26" t="s">
        <v>1339</v>
      </c>
      <c r="F150" s="26" t="s">
        <v>1341</v>
      </c>
      <c r="G150" s="625" t="str">
        <f t="array" ref="G150">IFERROR(INDEX(#REF!,MATCH($E150&amp;$F150,#REF!&amp;#REF!,0)),"")</f>
        <v/>
      </c>
      <c r="H150" s="625"/>
      <c r="I150" s="625">
        <f t="array" ref="I150">IFERROR(INDEX(#REF!,MATCH($E150&amp;$F150,#REF!&amp;#REF!,0)),0)</f>
        <v>0</v>
      </c>
      <c r="J150" s="625">
        <f t="array" ref="J150">IFERROR(INDEX(#REF!,MATCH($E150&amp;$F150,#REF!&amp;#REF!,0)),0)</f>
        <v>0</v>
      </c>
      <c r="K150" s="626">
        <f t="shared" si="108"/>
        <v>0</v>
      </c>
      <c r="L150" s="626">
        <f t="shared" si="109"/>
        <v>0</v>
      </c>
      <c r="M150" s="626">
        <f t="shared" si="110"/>
        <v>0</v>
      </c>
      <c r="N150" s="625">
        <f t="array" ref="N150">IFERROR(INDEX(#REF!,MATCH($E150&amp;$F150,#REF!&amp;#REF!,0)),0)</f>
        <v>0</v>
      </c>
      <c r="O150" s="626">
        <f t="shared" si="111"/>
        <v>0</v>
      </c>
      <c r="P150" s="626">
        <f t="shared" si="112"/>
        <v>0</v>
      </c>
      <c r="Q150" s="626">
        <f t="shared" si="113"/>
        <v>0</v>
      </c>
      <c r="R150" s="625">
        <f t="array" ref="R150">IFERROR(INDEX(#REF!,MATCH($E150&amp;$F150,#REF!&amp;#REF!,0)),0)</f>
        <v>0</v>
      </c>
      <c r="S150" s="626">
        <f t="shared" si="114"/>
        <v>0</v>
      </c>
      <c r="T150" s="626">
        <f t="shared" si="115"/>
        <v>0</v>
      </c>
      <c r="U150" s="626">
        <f t="shared" si="116"/>
        <v>0</v>
      </c>
      <c r="V150" s="625">
        <f t="array" ref="V150">IFERROR(INDEX(#REF!,MATCH($E150&amp;$F150,#REF!&amp;#REF!,0)),0)</f>
        <v>0</v>
      </c>
      <c r="W150" s="626">
        <f t="shared" si="117"/>
        <v>0</v>
      </c>
      <c r="X150" s="626">
        <f t="shared" si="118"/>
        <v>0</v>
      </c>
      <c r="Y150" s="626">
        <f t="shared" si="119"/>
        <v>0</v>
      </c>
      <c r="Z150" s="630"/>
      <c r="AA150" s="625">
        <f t="array" ref="AA150">IFERROR(INDEX(#REF!,MATCH($E150&amp;$F150,#REF!&amp;#REF!,0)),0)</f>
        <v>0</v>
      </c>
      <c r="AB150" s="625">
        <f t="array" ref="AB150">IFERROR(INDEX(#REF!,MATCH($E150&amp;$F150,#REF!&amp;#REF!,0)),0)</f>
        <v>0</v>
      </c>
      <c r="AC150" s="626">
        <f t="shared" si="120"/>
        <v>0</v>
      </c>
      <c r="AD150" s="626">
        <f t="shared" si="121"/>
        <v>0</v>
      </c>
      <c r="AE150" s="626">
        <f t="shared" si="122"/>
        <v>0</v>
      </c>
      <c r="AF150" s="625">
        <f t="array" ref="AF150">IFERROR(INDEX(#REF!,MATCH($E150&amp;$F150,#REF!&amp;#REF!,0)),0)</f>
        <v>0</v>
      </c>
      <c r="AG150" s="626">
        <f t="shared" si="123"/>
        <v>0</v>
      </c>
      <c r="AH150" s="626">
        <f t="shared" si="124"/>
        <v>0</v>
      </c>
      <c r="AI150" s="626">
        <f t="shared" si="125"/>
        <v>0</v>
      </c>
      <c r="AJ150" s="625">
        <f t="array" ref="AJ150">IFERROR(INDEX(#REF!,MATCH($E150&amp;$F150,#REF!&amp;#REF!,0)),0)</f>
        <v>0</v>
      </c>
      <c r="AK150" s="626">
        <f t="shared" si="126"/>
        <v>0</v>
      </c>
      <c r="AL150" s="626">
        <f t="shared" si="127"/>
        <v>0</v>
      </c>
      <c r="AM150" s="626">
        <f t="shared" si="128"/>
        <v>0</v>
      </c>
      <c r="AN150" s="625">
        <f t="array" ref="AN150">IFERROR(INDEX(#REF!,MATCH($E150&amp;$F150,#REF!&amp;#REF!,0)),0)</f>
        <v>0</v>
      </c>
      <c r="AO150" s="626">
        <f t="shared" si="129"/>
        <v>0</v>
      </c>
      <c r="AP150" s="626">
        <f t="shared" si="130"/>
        <v>0</v>
      </c>
      <c r="AQ150" s="626">
        <f t="shared" si="131"/>
        <v>0</v>
      </c>
      <c r="AR150" s="630"/>
      <c r="AS150" s="625">
        <f t="array" ref="AS150">IFERROR(INDEX(#REF!,MATCH($E150&amp;$F150,#REF!&amp;#REF!,0)),0)</f>
        <v>0</v>
      </c>
      <c r="AT150" s="625">
        <f t="array" ref="AT150">IFERROR(INDEX(#REF!,MATCH($E150&amp;$F150,#REF!&amp;#REF!,0)),0)</f>
        <v>0</v>
      </c>
      <c r="AU150" s="626">
        <f t="shared" si="132"/>
        <v>0</v>
      </c>
      <c r="AV150" s="626">
        <f t="shared" si="133"/>
        <v>0</v>
      </c>
      <c r="AW150" s="626">
        <f t="shared" si="134"/>
        <v>0</v>
      </c>
      <c r="AX150" s="625">
        <f t="array" ref="AX150">IFERROR(INDEX(#REF!,MATCH($E150&amp;$F150,#REF!&amp;#REF!,0)),0)</f>
        <v>0</v>
      </c>
      <c r="AY150" s="626">
        <f t="shared" si="135"/>
        <v>0</v>
      </c>
      <c r="AZ150" s="626">
        <f t="shared" si="136"/>
        <v>0</v>
      </c>
      <c r="BA150" s="626">
        <f t="shared" si="137"/>
        <v>0</v>
      </c>
      <c r="BB150" s="625">
        <f t="array" ref="BB150">IFERROR(INDEX(#REF!,MATCH($E150&amp;$F150,#REF!&amp;#REF!,0)),0)</f>
        <v>0</v>
      </c>
      <c r="BC150" s="626">
        <f t="shared" si="138"/>
        <v>0</v>
      </c>
      <c r="BD150" s="626">
        <f t="shared" si="139"/>
        <v>0</v>
      </c>
      <c r="BE150" s="626">
        <f t="shared" si="140"/>
        <v>0</v>
      </c>
      <c r="BF150" s="625">
        <f t="array" ref="BF150">IFERROR(INDEX(#REF!,MATCH($E150&amp;$F150,#REF!&amp;#REF!,0)),0)</f>
        <v>0</v>
      </c>
      <c r="BG150" s="626">
        <f t="shared" si="141"/>
        <v>0</v>
      </c>
      <c r="BH150" s="626">
        <f t="shared" si="142"/>
        <v>0</v>
      </c>
      <c r="BI150" s="626">
        <f t="shared" si="143"/>
        <v>0</v>
      </c>
      <c r="BJ150" s="630"/>
      <c r="BK150" s="625"/>
      <c r="BL150" s="625"/>
      <c r="BM150" s="625"/>
      <c r="BN150" s="625"/>
      <c r="BO150" s="625"/>
      <c r="BP150" s="625"/>
      <c r="BQ150" s="625"/>
      <c r="BR150" s="625"/>
    </row>
    <row r="151" spans="1:70">
      <c r="A151" s="29" t="s">
        <v>1317</v>
      </c>
      <c r="B151" s="29" t="s">
        <v>1744</v>
      </c>
      <c r="C151" s="619">
        <f>SETUP!$F$39</f>
        <v>0</v>
      </c>
      <c r="D151" s="25">
        <v>4.7</v>
      </c>
      <c r="E151" s="26" t="s">
        <v>1342</v>
      </c>
      <c r="F151" s="26" t="s">
        <v>1343</v>
      </c>
      <c r="G151" s="625" t="str">
        <f t="array" ref="G151">IFERROR(INDEX(#REF!,MATCH($E151&amp;$F151,#REF!&amp;#REF!,0)),"")</f>
        <v/>
      </c>
      <c r="H151" s="625"/>
      <c r="I151" s="625">
        <f t="array" ref="I151">IFERROR(INDEX(#REF!,MATCH($E151&amp;$F151,#REF!&amp;#REF!,0)),0)</f>
        <v>0</v>
      </c>
      <c r="J151" s="625">
        <f t="array" ref="J151">IFERROR(INDEX(#REF!,MATCH($E151&amp;$F151,#REF!&amp;#REF!,0)),0)</f>
        <v>0</v>
      </c>
      <c r="K151" s="626">
        <f t="shared" si="108"/>
        <v>0</v>
      </c>
      <c r="L151" s="626">
        <f t="shared" si="109"/>
        <v>0</v>
      </c>
      <c r="M151" s="626">
        <f t="shared" si="110"/>
        <v>0</v>
      </c>
      <c r="N151" s="625">
        <f t="array" ref="N151">IFERROR(INDEX(#REF!,MATCH($E151&amp;$F151,#REF!&amp;#REF!,0)),0)</f>
        <v>0</v>
      </c>
      <c r="O151" s="626">
        <f t="shared" si="111"/>
        <v>0</v>
      </c>
      <c r="P151" s="626">
        <f t="shared" si="112"/>
        <v>0</v>
      </c>
      <c r="Q151" s="626">
        <f t="shared" si="113"/>
        <v>0</v>
      </c>
      <c r="R151" s="625">
        <f t="array" ref="R151">IFERROR(INDEX(#REF!,MATCH($E151&amp;$F151,#REF!&amp;#REF!,0)),0)</f>
        <v>0</v>
      </c>
      <c r="S151" s="626">
        <f t="shared" si="114"/>
        <v>0</v>
      </c>
      <c r="T151" s="626">
        <f t="shared" si="115"/>
        <v>0</v>
      </c>
      <c r="U151" s="626">
        <f t="shared" si="116"/>
        <v>0</v>
      </c>
      <c r="V151" s="625">
        <f t="array" ref="V151">IFERROR(INDEX(#REF!,MATCH($E151&amp;$F151,#REF!&amp;#REF!,0)),0)</f>
        <v>0</v>
      </c>
      <c r="W151" s="626">
        <f t="shared" si="117"/>
        <v>0</v>
      </c>
      <c r="X151" s="626">
        <f t="shared" si="118"/>
        <v>0</v>
      </c>
      <c r="Y151" s="626">
        <f t="shared" si="119"/>
        <v>0</v>
      </c>
      <c r="Z151" s="630"/>
      <c r="AA151" s="625">
        <f t="array" ref="AA151">IFERROR(INDEX(#REF!,MATCH($E151&amp;$F151,#REF!&amp;#REF!,0)),0)</f>
        <v>0</v>
      </c>
      <c r="AB151" s="625">
        <f t="array" ref="AB151">IFERROR(INDEX(#REF!,MATCH($E151&amp;$F151,#REF!&amp;#REF!,0)),0)</f>
        <v>0</v>
      </c>
      <c r="AC151" s="626">
        <f t="shared" si="120"/>
        <v>0</v>
      </c>
      <c r="AD151" s="626">
        <f t="shared" si="121"/>
        <v>0</v>
      </c>
      <c r="AE151" s="626">
        <f t="shared" si="122"/>
        <v>0</v>
      </c>
      <c r="AF151" s="625">
        <f t="array" ref="AF151">IFERROR(INDEX(#REF!,MATCH($E151&amp;$F151,#REF!&amp;#REF!,0)),0)</f>
        <v>0</v>
      </c>
      <c r="AG151" s="626">
        <f t="shared" si="123"/>
        <v>0</v>
      </c>
      <c r="AH151" s="626">
        <f t="shared" si="124"/>
        <v>0</v>
      </c>
      <c r="AI151" s="626">
        <f t="shared" si="125"/>
        <v>0</v>
      </c>
      <c r="AJ151" s="625">
        <f t="array" ref="AJ151">IFERROR(INDEX(#REF!,MATCH($E151&amp;$F151,#REF!&amp;#REF!,0)),0)</f>
        <v>0</v>
      </c>
      <c r="AK151" s="626">
        <f t="shared" si="126"/>
        <v>0</v>
      </c>
      <c r="AL151" s="626">
        <f t="shared" si="127"/>
        <v>0</v>
      </c>
      <c r="AM151" s="626">
        <f t="shared" si="128"/>
        <v>0</v>
      </c>
      <c r="AN151" s="625">
        <f t="array" ref="AN151">IFERROR(INDEX(#REF!,MATCH($E151&amp;$F151,#REF!&amp;#REF!,0)),0)</f>
        <v>0</v>
      </c>
      <c r="AO151" s="626">
        <f t="shared" si="129"/>
        <v>0</v>
      </c>
      <c r="AP151" s="626">
        <f t="shared" si="130"/>
        <v>0</v>
      </c>
      <c r="AQ151" s="626">
        <f t="shared" si="131"/>
        <v>0</v>
      </c>
      <c r="AR151" s="630"/>
      <c r="AS151" s="625">
        <f t="array" ref="AS151">IFERROR(INDEX(#REF!,MATCH($E151&amp;$F151,#REF!&amp;#REF!,0)),0)</f>
        <v>0</v>
      </c>
      <c r="AT151" s="625">
        <f t="array" ref="AT151">IFERROR(INDEX(#REF!,MATCH($E151&amp;$F151,#REF!&amp;#REF!,0)),0)</f>
        <v>0</v>
      </c>
      <c r="AU151" s="626">
        <f t="shared" si="132"/>
        <v>0</v>
      </c>
      <c r="AV151" s="626">
        <f t="shared" si="133"/>
        <v>0</v>
      </c>
      <c r="AW151" s="626">
        <f t="shared" si="134"/>
        <v>0</v>
      </c>
      <c r="AX151" s="625">
        <f t="array" ref="AX151">IFERROR(INDEX(#REF!,MATCH($E151&amp;$F151,#REF!&amp;#REF!,0)),0)</f>
        <v>0</v>
      </c>
      <c r="AY151" s="626">
        <f t="shared" si="135"/>
        <v>0</v>
      </c>
      <c r="AZ151" s="626">
        <f t="shared" si="136"/>
        <v>0</v>
      </c>
      <c r="BA151" s="626">
        <f t="shared" si="137"/>
        <v>0</v>
      </c>
      <c r="BB151" s="625">
        <f t="array" ref="BB151">IFERROR(INDEX(#REF!,MATCH($E151&amp;$F151,#REF!&amp;#REF!,0)),0)</f>
        <v>0</v>
      </c>
      <c r="BC151" s="626">
        <f t="shared" si="138"/>
        <v>0</v>
      </c>
      <c r="BD151" s="626">
        <f t="shared" si="139"/>
        <v>0</v>
      </c>
      <c r="BE151" s="626">
        <f t="shared" si="140"/>
        <v>0</v>
      </c>
      <c r="BF151" s="625">
        <f t="array" ref="BF151">IFERROR(INDEX(#REF!,MATCH($E151&amp;$F151,#REF!&amp;#REF!,0)),0)</f>
        <v>0</v>
      </c>
      <c r="BG151" s="626">
        <f t="shared" si="141"/>
        <v>0</v>
      </c>
      <c r="BH151" s="626">
        <f t="shared" si="142"/>
        <v>0</v>
      </c>
      <c r="BI151" s="626">
        <f t="shared" si="143"/>
        <v>0</v>
      </c>
      <c r="BJ151" s="630"/>
      <c r="BK151" s="625"/>
      <c r="BL151" s="625"/>
      <c r="BM151" s="625"/>
      <c r="BN151" s="625"/>
      <c r="BO151" s="625"/>
      <c r="BP151" s="625"/>
      <c r="BQ151" s="625"/>
      <c r="BR151" s="625"/>
    </row>
    <row r="152" spans="1:70">
      <c r="A152" s="29" t="s">
        <v>1317</v>
      </c>
      <c r="B152" s="29" t="s">
        <v>1744</v>
      </c>
      <c r="C152" s="619">
        <f>SETUP!$F$39</f>
        <v>0</v>
      </c>
      <c r="D152" s="25">
        <v>4.7</v>
      </c>
      <c r="E152" s="26" t="s">
        <v>1342</v>
      </c>
      <c r="F152" s="26" t="s">
        <v>1344</v>
      </c>
      <c r="G152" s="625" t="str">
        <f t="array" ref="G152">IFERROR(INDEX(#REF!,MATCH($E152&amp;$F152,#REF!&amp;#REF!,0)),"")</f>
        <v/>
      </c>
      <c r="H152" s="625"/>
      <c r="I152" s="625">
        <f t="array" ref="I152">IFERROR(INDEX(#REF!,MATCH($E152&amp;$F152,#REF!&amp;#REF!,0)),0)</f>
        <v>0</v>
      </c>
      <c r="J152" s="625">
        <f t="array" ref="J152">IFERROR(INDEX(#REF!,MATCH($E152&amp;$F152,#REF!&amp;#REF!,0)),0)</f>
        <v>0</v>
      </c>
      <c r="K152" s="626">
        <f t="shared" si="108"/>
        <v>0</v>
      </c>
      <c r="L152" s="626">
        <f t="shared" si="109"/>
        <v>0</v>
      </c>
      <c r="M152" s="626">
        <f t="shared" si="110"/>
        <v>0</v>
      </c>
      <c r="N152" s="625">
        <f t="array" ref="N152">IFERROR(INDEX(#REF!,MATCH($E152&amp;$F152,#REF!&amp;#REF!,0)),0)</f>
        <v>0</v>
      </c>
      <c r="O152" s="626">
        <f t="shared" si="111"/>
        <v>0</v>
      </c>
      <c r="P152" s="626">
        <f t="shared" si="112"/>
        <v>0</v>
      </c>
      <c r="Q152" s="626">
        <f t="shared" si="113"/>
        <v>0</v>
      </c>
      <c r="R152" s="625">
        <f t="array" ref="R152">IFERROR(INDEX(#REF!,MATCH($E152&amp;$F152,#REF!&amp;#REF!,0)),0)</f>
        <v>0</v>
      </c>
      <c r="S152" s="626">
        <f t="shared" si="114"/>
        <v>0</v>
      </c>
      <c r="T152" s="626">
        <f t="shared" si="115"/>
        <v>0</v>
      </c>
      <c r="U152" s="626">
        <f t="shared" si="116"/>
        <v>0</v>
      </c>
      <c r="V152" s="625">
        <f t="array" ref="V152">IFERROR(INDEX(#REF!,MATCH($E152&amp;$F152,#REF!&amp;#REF!,0)),0)</f>
        <v>0</v>
      </c>
      <c r="W152" s="626">
        <f t="shared" si="117"/>
        <v>0</v>
      </c>
      <c r="X152" s="626">
        <f t="shared" si="118"/>
        <v>0</v>
      </c>
      <c r="Y152" s="626">
        <f t="shared" si="119"/>
        <v>0</v>
      </c>
      <c r="Z152" s="630"/>
      <c r="AA152" s="625">
        <f t="array" ref="AA152">IFERROR(INDEX(#REF!,MATCH($E152&amp;$F152,#REF!&amp;#REF!,0)),0)</f>
        <v>0</v>
      </c>
      <c r="AB152" s="625">
        <f t="array" ref="AB152">IFERROR(INDEX(#REF!,MATCH($E152&amp;$F152,#REF!&amp;#REF!,0)),0)</f>
        <v>0</v>
      </c>
      <c r="AC152" s="626">
        <f t="shared" si="120"/>
        <v>0</v>
      </c>
      <c r="AD152" s="626">
        <f t="shared" si="121"/>
        <v>0</v>
      </c>
      <c r="AE152" s="626">
        <f t="shared" si="122"/>
        <v>0</v>
      </c>
      <c r="AF152" s="625">
        <f t="array" ref="AF152">IFERROR(INDEX(#REF!,MATCH($E152&amp;$F152,#REF!&amp;#REF!,0)),0)</f>
        <v>0</v>
      </c>
      <c r="AG152" s="626">
        <f t="shared" si="123"/>
        <v>0</v>
      </c>
      <c r="AH152" s="626">
        <f t="shared" si="124"/>
        <v>0</v>
      </c>
      <c r="AI152" s="626">
        <f t="shared" si="125"/>
        <v>0</v>
      </c>
      <c r="AJ152" s="625">
        <f t="array" ref="AJ152">IFERROR(INDEX(#REF!,MATCH($E152&amp;$F152,#REF!&amp;#REF!,0)),0)</f>
        <v>0</v>
      </c>
      <c r="AK152" s="626">
        <f t="shared" si="126"/>
        <v>0</v>
      </c>
      <c r="AL152" s="626">
        <f t="shared" si="127"/>
        <v>0</v>
      </c>
      <c r="AM152" s="626">
        <f t="shared" si="128"/>
        <v>0</v>
      </c>
      <c r="AN152" s="625">
        <f t="array" ref="AN152">IFERROR(INDEX(#REF!,MATCH($E152&amp;$F152,#REF!&amp;#REF!,0)),0)</f>
        <v>0</v>
      </c>
      <c r="AO152" s="626">
        <f t="shared" si="129"/>
        <v>0</v>
      </c>
      <c r="AP152" s="626">
        <f t="shared" si="130"/>
        <v>0</v>
      </c>
      <c r="AQ152" s="626">
        <f t="shared" si="131"/>
        <v>0</v>
      </c>
      <c r="AR152" s="630"/>
      <c r="AS152" s="625">
        <f t="array" ref="AS152">IFERROR(INDEX(#REF!,MATCH($E152&amp;$F152,#REF!&amp;#REF!,0)),0)</f>
        <v>0</v>
      </c>
      <c r="AT152" s="625">
        <f t="array" ref="AT152">IFERROR(INDEX(#REF!,MATCH($E152&amp;$F152,#REF!&amp;#REF!,0)),0)</f>
        <v>0</v>
      </c>
      <c r="AU152" s="626">
        <f t="shared" si="132"/>
        <v>0</v>
      </c>
      <c r="AV152" s="626">
        <f t="shared" si="133"/>
        <v>0</v>
      </c>
      <c r="AW152" s="626">
        <f t="shared" si="134"/>
        <v>0</v>
      </c>
      <c r="AX152" s="625">
        <f t="array" ref="AX152">IFERROR(INDEX(#REF!,MATCH($E152&amp;$F152,#REF!&amp;#REF!,0)),0)</f>
        <v>0</v>
      </c>
      <c r="AY152" s="626">
        <f t="shared" si="135"/>
        <v>0</v>
      </c>
      <c r="AZ152" s="626">
        <f t="shared" si="136"/>
        <v>0</v>
      </c>
      <c r="BA152" s="626">
        <f t="shared" si="137"/>
        <v>0</v>
      </c>
      <c r="BB152" s="625">
        <f t="array" ref="BB152">IFERROR(INDEX(#REF!,MATCH($E152&amp;$F152,#REF!&amp;#REF!,0)),0)</f>
        <v>0</v>
      </c>
      <c r="BC152" s="626">
        <f t="shared" si="138"/>
        <v>0</v>
      </c>
      <c r="BD152" s="626">
        <f t="shared" si="139"/>
        <v>0</v>
      </c>
      <c r="BE152" s="626">
        <f t="shared" si="140"/>
        <v>0</v>
      </c>
      <c r="BF152" s="625">
        <f t="array" ref="BF152">IFERROR(INDEX(#REF!,MATCH($E152&amp;$F152,#REF!&amp;#REF!,0)),0)</f>
        <v>0</v>
      </c>
      <c r="BG152" s="626">
        <f t="shared" si="141"/>
        <v>0</v>
      </c>
      <c r="BH152" s="626">
        <f t="shared" si="142"/>
        <v>0</v>
      </c>
      <c r="BI152" s="626">
        <f t="shared" si="143"/>
        <v>0</v>
      </c>
      <c r="BJ152" s="630"/>
      <c r="BK152" s="625"/>
      <c r="BL152" s="625"/>
      <c r="BM152" s="625"/>
      <c r="BN152" s="625"/>
      <c r="BO152" s="625"/>
      <c r="BP152" s="625"/>
      <c r="BQ152" s="625"/>
      <c r="BR152" s="625"/>
    </row>
    <row r="153" spans="1:70">
      <c r="A153" s="29" t="s">
        <v>1317</v>
      </c>
      <c r="B153" s="29" t="s">
        <v>1744</v>
      </c>
      <c r="C153" s="619">
        <f>SETUP!$F$39</f>
        <v>0</v>
      </c>
      <c r="D153" s="25">
        <v>4.7</v>
      </c>
      <c r="E153" s="26" t="s">
        <v>1345</v>
      </c>
      <c r="F153" s="26" t="s">
        <v>1346</v>
      </c>
      <c r="G153" s="625" t="str">
        <f t="array" ref="G153">IFERROR(INDEX(#REF!,MATCH($E153&amp;$F153,#REF!&amp;#REF!,0)),"")</f>
        <v/>
      </c>
      <c r="H153" s="625"/>
      <c r="I153" s="625">
        <f t="array" ref="I153">IFERROR(INDEX(#REF!,MATCH($E153&amp;$F153,#REF!&amp;#REF!,0)),0)</f>
        <v>0</v>
      </c>
      <c r="J153" s="625">
        <f t="array" ref="J153">IFERROR(INDEX(#REF!,MATCH($E153&amp;$F153,#REF!&amp;#REF!,0)),0)</f>
        <v>0</v>
      </c>
      <c r="K153" s="626">
        <f t="shared" si="108"/>
        <v>0</v>
      </c>
      <c r="L153" s="626">
        <f t="shared" si="109"/>
        <v>0</v>
      </c>
      <c r="M153" s="626">
        <f t="shared" si="110"/>
        <v>0</v>
      </c>
      <c r="N153" s="625">
        <f t="array" ref="N153">IFERROR(INDEX(#REF!,MATCH($E153&amp;$F153,#REF!&amp;#REF!,0)),0)</f>
        <v>0</v>
      </c>
      <c r="O153" s="626">
        <f t="shared" si="111"/>
        <v>0</v>
      </c>
      <c r="P153" s="626">
        <f t="shared" si="112"/>
        <v>0</v>
      </c>
      <c r="Q153" s="626">
        <f t="shared" si="113"/>
        <v>0</v>
      </c>
      <c r="R153" s="625">
        <f t="array" ref="R153">IFERROR(INDEX(#REF!,MATCH($E153&amp;$F153,#REF!&amp;#REF!,0)),0)</f>
        <v>0</v>
      </c>
      <c r="S153" s="626">
        <f t="shared" si="114"/>
        <v>0</v>
      </c>
      <c r="T153" s="626">
        <f t="shared" si="115"/>
        <v>0</v>
      </c>
      <c r="U153" s="626">
        <f t="shared" si="116"/>
        <v>0</v>
      </c>
      <c r="V153" s="625">
        <f t="array" ref="V153">IFERROR(INDEX(#REF!,MATCH($E153&amp;$F153,#REF!&amp;#REF!,0)),0)</f>
        <v>0</v>
      </c>
      <c r="W153" s="626">
        <f t="shared" si="117"/>
        <v>0</v>
      </c>
      <c r="X153" s="626">
        <f t="shared" si="118"/>
        <v>0</v>
      </c>
      <c r="Y153" s="626">
        <f t="shared" si="119"/>
        <v>0</v>
      </c>
      <c r="Z153" s="630"/>
      <c r="AA153" s="625">
        <f t="array" ref="AA153">IFERROR(INDEX(#REF!,MATCH($E153&amp;$F153,#REF!&amp;#REF!,0)),0)</f>
        <v>0</v>
      </c>
      <c r="AB153" s="625">
        <f t="array" ref="AB153">IFERROR(INDEX(#REF!,MATCH($E153&amp;$F153,#REF!&amp;#REF!,0)),0)</f>
        <v>0</v>
      </c>
      <c r="AC153" s="626">
        <f t="shared" si="120"/>
        <v>0</v>
      </c>
      <c r="AD153" s="626">
        <f t="shared" si="121"/>
        <v>0</v>
      </c>
      <c r="AE153" s="626">
        <f t="shared" si="122"/>
        <v>0</v>
      </c>
      <c r="AF153" s="625">
        <f t="array" ref="AF153">IFERROR(INDEX(#REF!,MATCH($E153&amp;$F153,#REF!&amp;#REF!,0)),0)</f>
        <v>0</v>
      </c>
      <c r="AG153" s="626">
        <f t="shared" si="123"/>
        <v>0</v>
      </c>
      <c r="AH153" s="626">
        <f t="shared" si="124"/>
        <v>0</v>
      </c>
      <c r="AI153" s="626">
        <f t="shared" si="125"/>
        <v>0</v>
      </c>
      <c r="AJ153" s="625">
        <f t="array" ref="AJ153">IFERROR(INDEX(#REF!,MATCH($E153&amp;$F153,#REF!&amp;#REF!,0)),0)</f>
        <v>0</v>
      </c>
      <c r="AK153" s="626">
        <f t="shared" si="126"/>
        <v>0</v>
      </c>
      <c r="AL153" s="626">
        <f t="shared" si="127"/>
        <v>0</v>
      </c>
      <c r="AM153" s="626">
        <f t="shared" si="128"/>
        <v>0</v>
      </c>
      <c r="AN153" s="625">
        <f t="array" ref="AN153">IFERROR(INDEX(#REF!,MATCH($E153&amp;$F153,#REF!&amp;#REF!,0)),0)</f>
        <v>0</v>
      </c>
      <c r="AO153" s="626">
        <f t="shared" si="129"/>
        <v>0</v>
      </c>
      <c r="AP153" s="626">
        <f t="shared" si="130"/>
        <v>0</v>
      </c>
      <c r="AQ153" s="626">
        <f t="shared" si="131"/>
        <v>0</v>
      </c>
      <c r="AR153" s="630"/>
      <c r="AS153" s="625">
        <f t="array" ref="AS153">IFERROR(INDEX(#REF!,MATCH($E153&amp;$F153,#REF!&amp;#REF!,0)),0)</f>
        <v>0</v>
      </c>
      <c r="AT153" s="625">
        <f t="array" ref="AT153">IFERROR(INDEX(#REF!,MATCH($E153&amp;$F153,#REF!&amp;#REF!,0)),0)</f>
        <v>0</v>
      </c>
      <c r="AU153" s="626">
        <f t="shared" si="132"/>
        <v>0</v>
      </c>
      <c r="AV153" s="626">
        <f t="shared" si="133"/>
        <v>0</v>
      </c>
      <c r="AW153" s="626">
        <f t="shared" si="134"/>
        <v>0</v>
      </c>
      <c r="AX153" s="625">
        <f t="array" ref="AX153">IFERROR(INDEX(#REF!,MATCH($E153&amp;$F153,#REF!&amp;#REF!,0)),0)</f>
        <v>0</v>
      </c>
      <c r="AY153" s="626">
        <f t="shared" si="135"/>
        <v>0</v>
      </c>
      <c r="AZ153" s="626">
        <f t="shared" si="136"/>
        <v>0</v>
      </c>
      <c r="BA153" s="626">
        <f t="shared" si="137"/>
        <v>0</v>
      </c>
      <c r="BB153" s="625">
        <f t="array" ref="BB153">IFERROR(INDEX(#REF!,MATCH($E153&amp;$F153,#REF!&amp;#REF!,0)),0)</f>
        <v>0</v>
      </c>
      <c r="BC153" s="626">
        <f t="shared" si="138"/>
        <v>0</v>
      </c>
      <c r="BD153" s="626">
        <f t="shared" si="139"/>
        <v>0</v>
      </c>
      <c r="BE153" s="626">
        <f t="shared" si="140"/>
        <v>0</v>
      </c>
      <c r="BF153" s="625">
        <f t="array" ref="BF153">IFERROR(INDEX(#REF!,MATCH($E153&amp;$F153,#REF!&amp;#REF!,0)),0)</f>
        <v>0</v>
      </c>
      <c r="BG153" s="626">
        <f t="shared" si="141"/>
        <v>0</v>
      </c>
      <c r="BH153" s="626">
        <f t="shared" si="142"/>
        <v>0</v>
      </c>
      <c r="BI153" s="626">
        <f t="shared" si="143"/>
        <v>0</v>
      </c>
      <c r="BJ153" s="630"/>
      <c r="BK153" s="625"/>
      <c r="BL153" s="625"/>
      <c r="BM153" s="625"/>
      <c r="BN153" s="625"/>
      <c r="BO153" s="625"/>
      <c r="BP153" s="625"/>
      <c r="BQ153" s="625"/>
      <c r="BR153" s="625"/>
    </row>
    <row r="154" spans="1:70">
      <c r="A154" s="29" t="s">
        <v>1317</v>
      </c>
      <c r="B154" s="29" t="s">
        <v>1744</v>
      </c>
      <c r="C154" s="619">
        <f>SETUP!$F$39</f>
        <v>0</v>
      </c>
      <c r="D154" s="25">
        <v>4.7</v>
      </c>
      <c r="E154" s="26" t="s">
        <v>1347</v>
      </c>
      <c r="F154" s="26" t="s">
        <v>1348</v>
      </c>
      <c r="G154" s="625" t="str">
        <f t="array" ref="G154">IFERROR(INDEX(#REF!,MATCH($E154&amp;$F154,#REF!&amp;#REF!,0)),"")</f>
        <v/>
      </c>
      <c r="H154" s="625"/>
      <c r="I154" s="625">
        <f t="array" ref="I154">IFERROR(INDEX(#REF!,MATCH($E154&amp;$F154,#REF!&amp;#REF!,0)),0)</f>
        <v>0</v>
      </c>
      <c r="J154" s="625">
        <f t="array" ref="J154">IFERROR(INDEX(#REF!,MATCH($E154&amp;$F154,#REF!&amp;#REF!,0)),0)</f>
        <v>0</v>
      </c>
      <c r="K154" s="626">
        <f t="shared" si="108"/>
        <v>0</v>
      </c>
      <c r="L154" s="626">
        <f t="shared" si="109"/>
        <v>0</v>
      </c>
      <c r="M154" s="626">
        <f t="shared" si="110"/>
        <v>0</v>
      </c>
      <c r="N154" s="625">
        <f t="array" ref="N154">IFERROR(INDEX(#REF!,MATCH($E154&amp;$F154,#REF!&amp;#REF!,0)),0)</f>
        <v>0</v>
      </c>
      <c r="O154" s="626">
        <f t="shared" si="111"/>
        <v>0</v>
      </c>
      <c r="P154" s="626">
        <f t="shared" si="112"/>
        <v>0</v>
      </c>
      <c r="Q154" s="626">
        <f t="shared" si="113"/>
        <v>0</v>
      </c>
      <c r="R154" s="625">
        <f t="array" ref="R154">IFERROR(INDEX(#REF!,MATCH($E154&amp;$F154,#REF!&amp;#REF!,0)),0)</f>
        <v>0</v>
      </c>
      <c r="S154" s="626">
        <f t="shared" si="114"/>
        <v>0</v>
      </c>
      <c r="T154" s="626">
        <f t="shared" si="115"/>
        <v>0</v>
      </c>
      <c r="U154" s="626">
        <f t="shared" si="116"/>
        <v>0</v>
      </c>
      <c r="V154" s="625">
        <f t="array" ref="V154">IFERROR(INDEX(#REF!,MATCH($E154&amp;$F154,#REF!&amp;#REF!,0)),0)</f>
        <v>0</v>
      </c>
      <c r="W154" s="626">
        <f t="shared" si="117"/>
        <v>0</v>
      </c>
      <c r="X154" s="626">
        <f t="shared" si="118"/>
        <v>0</v>
      </c>
      <c r="Y154" s="626">
        <f t="shared" si="119"/>
        <v>0</v>
      </c>
      <c r="Z154" s="630"/>
      <c r="AA154" s="625">
        <f t="array" ref="AA154">IFERROR(INDEX(#REF!,MATCH($E154&amp;$F154,#REF!&amp;#REF!,0)),0)</f>
        <v>0</v>
      </c>
      <c r="AB154" s="625">
        <f t="array" ref="AB154">IFERROR(INDEX(#REF!,MATCH($E154&amp;$F154,#REF!&amp;#REF!,0)),0)</f>
        <v>0</v>
      </c>
      <c r="AC154" s="626">
        <f t="shared" si="120"/>
        <v>0</v>
      </c>
      <c r="AD154" s="626">
        <f t="shared" si="121"/>
        <v>0</v>
      </c>
      <c r="AE154" s="626">
        <f t="shared" si="122"/>
        <v>0</v>
      </c>
      <c r="AF154" s="625">
        <f t="array" ref="AF154">IFERROR(INDEX(#REF!,MATCH($E154&amp;$F154,#REF!&amp;#REF!,0)),0)</f>
        <v>0</v>
      </c>
      <c r="AG154" s="626">
        <f t="shared" si="123"/>
        <v>0</v>
      </c>
      <c r="AH154" s="626">
        <f t="shared" si="124"/>
        <v>0</v>
      </c>
      <c r="AI154" s="626">
        <f t="shared" si="125"/>
        <v>0</v>
      </c>
      <c r="AJ154" s="625">
        <f t="array" ref="AJ154">IFERROR(INDEX(#REF!,MATCH($E154&amp;$F154,#REF!&amp;#REF!,0)),0)</f>
        <v>0</v>
      </c>
      <c r="AK154" s="626">
        <f t="shared" si="126"/>
        <v>0</v>
      </c>
      <c r="AL154" s="626">
        <f t="shared" si="127"/>
        <v>0</v>
      </c>
      <c r="AM154" s="626">
        <f t="shared" si="128"/>
        <v>0</v>
      </c>
      <c r="AN154" s="625">
        <f t="array" ref="AN154">IFERROR(INDEX(#REF!,MATCH($E154&amp;$F154,#REF!&amp;#REF!,0)),0)</f>
        <v>0</v>
      </c>
      <c r="AO154" s="626">
        <f t="shared" si="129"/>
        <v>0</v>
      </c>
      <c r="AP154" s="626">
        <f t="shared" si="130"/>
        <v>0</v>
      </c>
      <c r="AQ154" s="626">
        <f t="shared" si="131"/>
        <v>0</v>
      </c>
      <c r="AR154" s="630"/>
      <c r="AS154" s="625">
        <f t="array" ref="AS154">IFERROR(INDEX(#REF!,MATCH($E154&amp;$F154,#REF!&amp;#REF!,0)),0)</f>
        <v>0</v>
      </c>
      <c r="AT154" s="625">
        <f t="array" ref="AT154">IFERROR(INDEX(#REF!,MATCH($E154&amp;$F154,#REF!&amp;#REF!,0)),0)</f>
        <v>0</v>
      </c>
      <c r="AU154" s="626">
        <f t="shared" si="132"/>
        <v>0</v>
      </c>
      <c r="AV154" s="626">
        <f t="shared" si="133"/>
        <v>0</v>
      </c>
      <c r="AW154" s="626">
        <f t="shared" si="134"/>
        <v>0</v>
      </c>
      <c r="AX154" s="625">
        <f t="array" ref="AX154">IFERROR(INDEX(#REF!,MATCH($E154&amp;$F154,#REF!&amp;#REF!,0)),0)</f>
        <v>0</v>
      </c>
      <c r="AY154" s="626">
        <f t="shared" si="135"/>
        <v>0</v>
      </c>
      <c r="AZ154" s="626">
        <f t="shared" si="136"/>
        <v>0</v>
      </c>
      <c r="BA154" s="626">
        <f t="shared" si="137"/>
        <v>0</v>
      </c>
      <c r="BB154" s="625">
        <f t="array" ref="BB154">IFERROR(INDEX(#REF!,MATCH($E154&amp;$F154,#REF!&amp;#REF!,0)),0)</f>
        <v>0</v>
      </c>
      <c r="BC154" s="626">
        <f t="shared" si="138"/>
        <v>0</v>
      </c>
      <c r="BD154" s="626">
        <f t="shared" si="139"/>
        <v>0</v>
      </c>
      <c r="BE154" s="626">
        <f t="shared" si="140"/>
        <v>0</v>
      </c>
      <c r="BF154" s="625">
        <f t="array" ref="BF154">IFERROR(INDEX(#REF!,MATCH($E154&amp;$F154,#REF!&amp;#REF!,0)),0)</f>
        <v>0</v>
      </c>
      <c r="BG154" s="626">
        <f t="shared" si="141"/>
        <v>0</v>
      </c>
      <c r="BH154" s="626">
        <f t="shared" si="142"/>
        <v>0</v>
      </c>
      <c r="BI154" s="626">
        <f t="shared" si="143"/>
        <v>0</v>
      </c>
      <c r="BJ154" s="630"/>
      <c r="BK154" s="625"/>
      <c r="BL154" s="625"/>
      <c r="BM154" s="625"/>
      <c r="BN154" s="625"/>
      <c r="BO154" s="625"/>
      <c r="BP154" s="625"/>
      <c r="BQ154" s="625"/>
      <c r="BR154" s="625"/>
    </row>
    <row r="155" spans="1:70">
      <c r="A155" s="29" t="s">
        <v>1317</v>
      </c>
      <c r="B155" s="29" t="s">
        <v>1744</v>
      </c>
      <c r="C155" s="619">
        <f>SETUP!$F$39</f>
        <v>0</v>
      </c>
      <c r="D155" s="25">
        <v>4.7</v>
      </c>
      <c r="E155" s="26" t="s">
        <v>1347</v>
      </c>
      <c r="F155" s="26" t="s">
        <v>1349</v>
      </c>
      <c r="G155" s="625" t="str">
        <f t="array" ref="G155">IFERROR(INDEX(#REF!,MATCH($E155&amp;$F155,#REF!&amp;#REF!,0)),"")</f>
        <v/>
      </c>
      <c r="H155" s="625"/>
      <c r="I155" s="625">
        <f t="array" ref="I155">IFERROR(INDEX(#REF!,MATCH($E155&amp;$F155,#REF!&amp;#REF!,0)),0)</f>
        <v>0</v>
      </c>
      <c r="J155" s="625">
        <f t="array" ref="J155">IFERROR(INDEX(#REF!,MATCH($E155&amp;$F155,#REF!&amp;#REF!,0)),0)</f>
        <v>0</v>
      </c>
      <c r="K155" s="626">
        <f t="shared" si="108"/>
        <v>0</v>
      </c>
      <c r="L155" s="626">
        <f t="shared" si="109"/>
        <v>0</v>
      </c>
      <c r="M155" s="626">
        <f t="shared" si="110"/>
        <v>0</v>
      </c>
      <c r="N155" s="625">
        <f t="array" ref="N155">IFERROR(INDEX(#REF!,MATCH($E155&amp;$F155,#REF!&amp;#REF!,0)),0)</f>
        <v>0</v>
      </c>
      <c r="O155" s="626">
        <f t="shared" si="111"/>
        <v>0</v>
      </c>
      <c r="P155" s="626">
        <f t="shared" si="112"/>
        <v>0</v>
      </c>
      <c r="Q155" s="626">
        <f t="shared" si="113"/>
        <v>0</v>
      </c>
      <c r="R155" s="625">
        <f t="array" ref="R155">IFERROR(INDEX(#REF!,MATCH($E155&amp;$F155,#REF!&amp;#REF!,0)),0)</f>
        <v>0</v>
      </c>
      <c r="S155" s="626">
        <f t="shared" si="114"/>
        <v>0</v>
      </c>
      <c r="T155" s="626">
        <f t="shared" si="115"/>
        <v>0</v>
      </c>
      <c r="U155" s="626">
        <f t="shared" si="116"/>
        <v>0</v>
      </c>
      <c r="V155" s="625">
        <f t="array" ref="V155">IFERROR(INDEX(#REF!,MATCH($E155&amp;$F155,#REF!&amp;#REF!,0)),0)</f>
        <v>0</v>
      </c>
      <c r="W155" s="626">
        <f t="shared" si="117"/>
        <v>0</v>
      </c>
      <c r="X155" s="626">
        <f t="shared" si="118"/>
        <v>0</v>
      </c>
      <c r="Y155" s="626">
        <f t="shared" si="119"/>
        <v>0</v>
      </c>
      <c r="Z155" s="630"/>
      <c r="AA155" s="625">
        <f t="array" ref="AA155">IFERROR(INDEX(#REF!,MATCH($E155&amp;$F155,#REF!&amp;#REF!,0)),0)</f>
        <v>0</v>
      </c>
      <c r="AB155" s="625">
        <f t="array" ref="AB155">IFERROR(INDEX(#REF!,MATCH($E155&amp;$F155,#REF!&amp;#REF!,0)),0)</f>
        <v>0</v>
      </c>
      <c r="AC155" s="626">
        <f t="shared" si="120"/>
        <v>0</v>
      </c>
      <c r="AD155" s="626">
        <f t="shared" si="121"/>
        <v>0</v>
      </c>
      <c r="AE155" s="626">
        <f t="shared" si="122"/>
        <v>0</v>
      </c>
      <c r="AF155" s="625">
        <f t="array" ref="AF155">IFERROR(INDEX(#REF!,MATCH($E155&amp;$F155,#REF!&amp;#REF!,0)),0)</f>
        <v>0</v>
      </c>
      <c r="AG155" s="626">
        <f t="shared" si="123"/>
        <v>0</v>
      </c>
      <c r="AH155" s="626">
        <f t="shared" si="124"/>
        <v>0</v>
      </c>
      <c r="AI155" s="626">
        <f t="shared" si="125"/>
        <v>0</v>
      </c>
      <c r="AJ155" s="625">
        <f t="array" ref="AJ155">IFERROR(INDEX(#REF!,MATCH($E155&amp;$F155,#REF!&amp;#REF!,0)),0)</f>
        <v>0</v>
      </c>
      <c r="AK155" s="626">
        <f t="shared" si="126"/>
        <v>0</v>
      </c>
      <c r="AL155" s="626">
        <f t="shared" si="127"/>
        <v>0</v>
      </c>
      <c r="AM155" s="626">
        <f t="shared" si="128"/>
        <v>0</v>
      </c>
      <c r="AN155" s="625">
        <f t="array" ref="AN155">IFERROR(INDEX(#REF!,MATCH($E155&amp;$F155,#REF!&amp;#REF!,0)),0)</f>
        <v>0</v>
      </c>
      <c r="AO155" s="626">
        <f t="shared" si="129"/>
        <v>0</v>
      </c>
      <c r="AP155" s="626">
        <f t="shared" si="130"/>
        <v>0</v>
      </c>
      <c r="AQ155" s="626">
        <f t="shared" si="131"/>
        <v>0</v>
      </c>
      <c r="AR155" s="630"/>
      <c r="AS155" s="625">
        <f t="array" ref="AS155">IFERROR(INDEX(#REF!,MATCH($E155&amp;$F155,#REF!&amp;#REF!,0)),0)</f>
        <v>0</v>
      </c>
      <c r="AT155" s="625">
        <f t="array" ref="AT155">IFERROR(INDEX(#REF!,MATCH($E155&amp;$F155,#REF!&amp;#REF!,0)),0)</f>
        <v>0</v>
      </c>
      <c r="AU155" s="626">
        <f t="shared" si="132"/>
        <v>0</v>
      </c>
      <c r="AV155" s="626">
        <f t="shared" si="133"/>
        <v>0</v>
      </c>
      <c r="AW155" s="626">
        <f t="shared" si="134"/>
        <v>0</v>
      </c>
      <c r="AX155" s="625">
        <f t="array" ref="AX155">IFERROR(INDEX(#REF!,MATCH($E155&amp;$F155,#REF!&amp;#REF!,0)),0)</f>
        <v>0</v>
      </c>
      <c r="AY155" s="626">
        <f t="shared" si="135"/>
        <v>0</v>
      </c>
      <c r="AZ155" s="626">
        <f t="shared" si="136"/>
        <v>0</v>
      </c>
      <c r="BA155" s="626">
        <f t="shared" si="137"/>
        <v>0</v>
      </c>
      <c r="BB155" s="625">
        <f t="array" ref="BB155">IFERROR(INDEX(#REF!,MATCH($E155&amp;$F155,#REF!&amp;#REF!,0)),0)</f>
        <v>0</v>
      </c>
      <c r="BC155" s="626">
        <f t="shared" si="138"/>
        <v>0</v>
      </c>
      <c r="BD155" s="626">
        <f t="shared" si="139"/>
        <v>0</v>
      </c>
      <c r="BE155" s="626">
        <f t="shared" si="140"/>
        <v>0</v>
      </c>
      <c r="BF155" s="625">
        <f t="array" ref="BF155">IFERROR(INDEX(#REF!,MATCH($E155&amp;$F155,#REF!&amp;#REF!,0)),0)</f>
        <v>0</v>
      </c>
      <c r="BG155" s="626">
        <f t="shared" si="141"/>
        <v>0</v>
      </c>
      <c r="BH155" s="626">
        <f t="shared" si="142"/>
        <v>0</v>
      </c>
      <c r="BI155" s="626">
        <f t="shared" si="143"/>
        <v>0</v>
      </c>
      <c r="BJ155" s="630"/>
      <c r="BK155" s="625"/>
      <c r="BL155" s="625"/>
      <c r="BM155" s="625"/>
      <c r="BN155" s="625"/>
      <c r="BO155" s="625"/>
      <c r="BP155" s="625"/>
      <c r="BQ155" s="625"/>
      <c r="BR155" s="625"/>
    </row>
    <row r="156" spans="1:70">
      <c r="A156" s="29" t="s">
        <v>1317</v>
      </c>
      <c r="B156" s="29" t="s">
        <v>1744</v>
      </c>
      <c r="C156" s="619">
        <f>SETUP!$F$39</f>
        <v>0</v>
      </c>
      <c r="D156" s="25">
        <v>4.7</v>
      </c>
      <c r="E156" s="26" t="s">
        <v>1347</v>
      </c>
      <c r="F156" s="26" t="s">
        <v>1350</v>
      </c>
      <c r="G156" s="625" t="str">
        <f t="array" ref="G156">IFERROR(INDEX(#REF!,MATCH($E156&amp;$F156,#REF!&amp;#REF!,0)),"")</f>
        <v/>
      </c>
      <c r="H156" s="625"/>
      <c r="I156" s="625">
        <f t="array" ref="I156">IFERROR(INDEX(#REF!,MATCH($E156&amp;$F156,#REF!&amp;#REF!,0)),0)</f>
        <v>0</v>
      </c>
      <c r="J156" s="625">
        <f t="array" ref="J156">IFERROR(INDEX(#REF!,MATCH($E156&amp;$F156,#REF!&amp;#REF!,0)),0)</f>
        <v>0</v>
      </c>
      <c r="K156" s="626">
        <f t="shared" si="108"/>
        <v>0</v>
      </c>
      <c r="L156" s="626">
        <f t="shared" si="109"/>
        <v>0</v>
      </c>
      <c r="M156" s="626">
        <f t="shared" si="110"/>
        <v>0</v>
      </c>
      <c r="N156" s="625">
        <f t="array" ref="N156">IFERROR(INDEX(#REF!,MATCH($E156&amp;$F156,#REF!&amp;#REF!,0)),0)</f>
        <v>0</v>
      </c>
      <c r="O156" s="626">
        <f t="shared" si="111"/>
        <v>0</v>
      </c>
      <c r="P156" s="626">
        <f t="shared" si="112"/>
        <v>0</v>
      </c>
      <c r="Q156" s="626">
        <f t="shared" si="113"/>
        <v>0</v>
      </c>
      <c r="R156" s="625">
        <f t="array" ref="R156">IFERROR(INDEX(#REF!,MATCH($E156&amp;$F156,#REF!&amp;#REF!,0)),0)</f>
        <v>0</v>
      </c>
      <c r="S156" s="626">
        <f t="shared" si="114"/>
        <v>0</v>
      </c>
      <c r="T156" s="626">
        <f t="shared" si="115"/>
        <v>0</v>
      </c>
      <c r="U156" s="626">
        <f t="shared" si="116"/>
        <v>0</v>
      </c>
      <c r="V156" s="625">
        <f t="array" ref="V156">IFERROR(INDEX(#REF!,MATCH($E156&amp;$F156,#REF!&amp;#REF!,0)),0)</f>
        <v>0</v>
      </c>
      <c r="W156" s="626">
        <f t="shared" si="117"/>
        <v>0</v>
      </c>
      <c r="X156" s="626">
        <f t="shared" si="118"/>
        <v>0</v>
      </c>
      <c r="Y156" s="626">
        <f t="shared" si="119"/>
        <v>0</v>
      </c>
      <c r="Z156" s="630"/>
      <c r="AA156" s="625">
        <f t="array" ref="AA156">IFERROR(INDEX(#REF!,MATCH($E156&amp;$F156,#REF!&amp;#REF!,0)),0)</f>
        <v>0</v>
      </c>
      <c r="AB156" s="625">
        <f t="array" ref="AB156">IFERROR(INDEX(#REF!,MATCH($E156&amp;$F156,#REF!&amp;#REF!,0)),0)</f>
        <v>0</v>
      </c>
      <c r="AC156" s="626">
        <f t="shared" si="120"/>
        <v>0</v>
      </c>
      <c r="AD156" s="626">
        <f t="shared" si="121"/>
        <v>0</v>
      </c>
      <c r="AE156" s="626">
        <f t="shared" si="122"/>
        <v>0</v>
      </c>
      <c r="AF156" s="625">
        <f t="array" ref="AF156">IFERROR(INDEX(#REF!,MATCH($E156&amp;$F156,#REF!&amp;#REF!,0)),0)</f>
        <v>0</v>
      </c>
      <c r="AG156" s="626">
        <f t="shared" si="123"/>
        <v>0</v>
      </c>
      <c r="AH156" s="626">
        <f t="shared" si="124"/>
        <v>0</v>
      </c>
      <c r="AI156" s="626">
        <f t="shared" si="125"/>
        <v>0</v>
      </c>
      <c r="AJ156" s="625">
        <f t="array" ref="AJ156">IFERROR(INDEX(#REF!,MATCH($E156&amp;$F156,#REF!&amp;#REF!,0)),0)</f>
        <v>0</v>
      </c>
      <c r="AK156" s="626">
        <f t="shared" si="126"/>
        <v>0</v>
      </c>
      <c r="AL156" s="626">
        <f t="shared" si="127"/>
        <v>0</v>
      </c>
      <c r="AM156" s="626">
        <f t="shared" si="128"/>
        <v>0</v>
      </c>
      <c r="AN156" s="625">
        <f t="array" ref="AN156">IFERROR(INDEX(#REF!,MATCH($E156&amp;$F156,#REF!&amp;#REF!,0)),0)</f>
        <v>0</v>
      </c>
      <c r="AO156" s="626">
        <f t="shared" si="129"/>
        <v>0</v>
      </c>
      <c r="AP156" s="626">
        <f t="shared" si="130"/>
        <v>0</v>
      </c>
      <c r="AQ156" s="626">
        <f t="shared" si="131"/>
        <v>0</v>
      </c>
      <c r="AR156" s="630"/>
      <c r="AS156" s="625">
        <f t="array" ref="AS156">IFERROR(INDEX(#REF!,MATCH($E156&amp;$F156,#REF!&amp;#REF!,0)),0)</f>
        <v>0</v>
      </c>
      <c r="AT156" s="625">
        <f t="array" ref="AT156">IFERROR(INDEX(#REF!,MATCH($E156&amp;$F156,#REF!&amp;#REF!,0)),0)</f>
        <v>0</v>
      </c>
      <c r="AU156" s="626">
        <f t="shared" si="132"/>
        <v>0</v>
      </c>
      <c r="AV156" s="626">
        <f t="shared" si="133"/>
        <v>0</v>
      </c>
      <c r="AW156" s="626">
        <f t="shared" si="134"/>
        <v>0</v>
      </c>
      <c r="AX156" s="625">
        <f t="array" ref="AX156">IFERROR(INDEX(#REF!,MATCH($E156&amp;$F156,#REF!&amp;#REF!,0)),0)</f>
        <v>0</v>
      </c>
      <c r="AY156" s="626">
        <f t="shared" si="135"/>
        <v>0</v>
      </c>
      <c r="AZ156" s="626">
        <f t="shared" si="136"/>
        <v>0</v>
      </c>
      <c r="BA156" s="626">
        <f t="shared" si="137"/>
        <v>0</v>
      </c>
      <c r="BB156" s="625">
        <f t="array" ref="BB156">IFERROR(INDEX(#REF!,MATCH($E156&amp;$F156,#REF!&amp;#REF!,0)),0)</f>
        <v>0</v>
      </c>
      <c r="BC156" s="626">
        <f t="shared" si="138"/>
        <v>0</v>
      </c>
      <c r="BD156" s="626">
        <f t="shared" si="139"/>
        <v>0</v>
      </c>
      <c r="BE156" s="626">
        <f t="shared" si="140"/>
        <v>0</v>
      </c>
      <c r="BF156" s="625">
        <f t="array" ref="BF156">IFERROR(INDEX(#REF!,MATCH($E156&amp;$F156,#REF!&amp;#REF!,0)),0)</f>
        <v>0</v>
      </c>
      <c r="BG156" s="626">
        <f t="shared" si="141"/>
        <v>0</v>
      </c>
      <c r="BH156" s="626">
        <f t="shared" si="142"/>
        <v>0</v>
      </c>
      <c r="BI156" s="626">
        <f t="shared" si="143"/>
        <v>0</v>
      </c>
      <c r="BJ156" s="630"/>
      <c r="BK156" s="625"/>
      <c r="BL156" s="625"/>
      <c r="BM156" s="625"/>
      <c r="BN156" s="625"/>
      <c r="BO156" s="625"/>
      <c r="BP156" s="625"/>
      <c r="BQ156" s="625"/>
      <c r="BR156" s="625"/>
    </row>
    <row r="157" spans="1:70">
      <c r="A157" s="29" t="s">
        <v>1317</v>
      </c>
      <c r="B157" s="29" t="s">
        <v>1744</v>
      </c>
      <c r="C157" s="619">
        <f>SETUP!$F$39</f>
        <v>0</v>
      </c>
      <c r="D157" s="25">
        <v>4.7</v>
      </c>
      <c r="E157" s="26" t="s">
        <v>1347</v>
      </c>
      <c r="F157" s="26" t="s">
        <v>1351</v>
      </c>
      <c r="G157" s="625" t="str">
        <f t="array" ref="G157">IFERROR(INDEX(#REF!,MATCH($E157&amp;$F157,#REF!&amp;#REF!,0)),"")</f>
        <v/>
      </c>
      <c r="H157" s="625"/>
      <c r="I157" s="625">
        <f t="array" ref="I157">IFERROR(INDEX(#REF!,MATCH($E157&amp;$F157,#REF!&amp;#REF!,0)),0)</f>
        <v>0</v>
      </c>
      <c r="J157" s="625">
        <f t="array" ref="J157">IFERROR(INDEX(#REF!,MATCH($E157&amp;$F157,#REF!&amp;#REF!,0)),0)</f>
        <v>0</v>
      </c>
      <c r="K157" s="626">
        <f t="shared" si="108"/>
        <v>0</v>
      </c>
      <c r="L157" s="626">
        <f t="shared" si="109"/>
        <v>0</v>
      </c>
      <c r="M157" s="626">
        <f t="shared" si="110"/>
        <v>0</v>
      </c>
      <c r="N157" s="625">
        <f t="array" ref="N157">IFERROR(INDEX(#REF!,MATCH($E157&amp;$F157,#REF!&amp;#REF!,0)),0)</f>
        <v>0</v>
      </c>
      <c r="O157" s="626">
        <f t="shared" si="111"/>
        <v>0</v>
      </c>
      <c r="P157" s="626">
        <f t="shared" si="112"/>
        <v>0</v>
      </c>
      <c r="Q157" s="626">
        <f t="shared" si="113"/>
        <v>0</v>
      </c>
      <c r="R157" s="625">
        <f t="array" ref="R157">IFERROR(INDEX(#REF!,MATCH($E157&amp;$F157,#REF!&amp;#REF!,0)),0)</f>
        <v>0</v>
      </c>
      <c r="S157" s="626">
        <f t="shared" si="114"/>
        <v>0</v>
      </c>
      <c r="T157" s="626">
        <f t="shared" si="115"/>
        <v>0</v>
      </c>
      <c r="U157" s="626">
        <f t="shared" si="116"/>
        <v>0</v>
      </c>
      <c r="V157" s="625">
        <f t="array" ref="V157">IFERROR(INDEX(#REF!,MATCH($E157&amp;$F157,#REF!&amp;#REF!,0)),0)</f>
        <v>0</v>
      </c>
      <c r="W157" s="626">
        <f t="shared" si="117"/>
        <v>0</v>
      </c>
      <c r="X157" s="626">
        <f t="shared" si="118"/>
        <v>0</v>
      </c>
      <c r="Y157" s="626">
        <f t="shared" si="119"/>
        <v>0</v>
      </c>
      <c r="Z157" s="630"/>
      <c r="AA157" s="625">
        <f t="array" ref="AA157">IFERROR(INDEX(#REF!,MATCH($E157&amp;$F157,#REF!&amp;#REF!,0)),0)</f>
        <v>0</v>
      </c>
      <c r="AB157" s="625">
        <f t="array" ref="AB157">IFERROR(INDEX(#REF!,MATCH($E157&amp;$F157,#REF!&amp;#REF!,0)),0)</f>
        <v>0</v>
      </c>
      <c r="AC157" s="626">
        <f t="shared" si="120"/>
        <v>0</v>
      </c>
      <c r="AD157" s="626">
        <f t="shared" si="121"/>
        <v>0</v>
      </c>
      <c r="AE157" s="626">
        <f t="shared" si="122"/>
        <v>0</v>
      </c>
      <c r="AF157" s="625">
        <f t="array" ref="AF157">IFERROR(INDEX(#REF!,MATCH($E157&amp;$F157,#REF!&amp;#REF!,0)),0)</f>
        <v>0</v>
      </c>
      <c r="AG157" s="626">
        <f t="shared" si="123"/>
        <v>0</v>
      </c>
      <c r="AH157" s="626">
        <f t="shared" si="124"/>
        <v>0</v>
      </c>
      <c r="AI157" s="626">
        <f t="shared" si="125"/>
        <v>0</v>
      </c>
      <c r="AJ157" s="625">
        <f t="array" ref="AJ157">IFERROR(INDEX(#REF!,MATCH($E157&amp;$F157,#REF!&amp;#REF!,0)),0)</f>
        <v>0</v>
      </c>
      <c r="AK157" s="626">
        <f t="shared" si="126"/>
        <v>0</v>
      </c>
      <c r="AL157" s="626">
        <f t="shared" si="127"/>
        <v>0</v>
      </c>
      <c r="AM157" s="626">
        <f t="shared" si="128"/>
        <v>0</v>
      </c>
      <c r="AN157" s="625">
        <f t="array" ref="AN157">IFERROR(INDEX(#REF!,MATCH($E157&amp;$F157,#REF!&amp;#REF!,0)),0)</f>
        <v>0</v>
      </c>
      <c r="AO157" s="626">
        <f t="shared" si="129"/>
        <v>0</v>
      </c>
      <c r="AP157" s="626">
        <f t="shared" si="130"/>
        <v>0</v>
      </c>
      <c r="AQ157" s="626">
        <f t="shared" si="131"/>
        <v>0</v>
      </c>
      <c r="AR157" s="630"/>
      <c r="AS157" s="625">
        <f t="array" ref="AS157">IFERROR(INDEX(#REF!,MATCH($E157&amp;$F157,#REF!&amp;#REF!,0)),0)</f>
        <v>0</v>
      </c>
      <c r="AT157" s="625">
        <f t="array" ref="AT157">IFERROR(INDEX(#REF!,MATCH($E157&amp;$F157,#REF!&amp;#REF!,0)),0)</f>
        <v>0</v>
      </c>
      <c r="AU157" s="626">
        <f t="shared" si="132"/>
        <v>0</v>
      </c>
      <c r="AV157" s="626">
        <f t="shared" si="133"/>
        <v>0</v>
      </c>
      <c r="AW157" s="626">
        <f t="shared" si="134"/>
        <v>0</v>
      </c>
      <c r="AX157" s="625">
        <f t="array" ref="AX157">IFERROR(INDEX(#REF!,MATCH($E157&amp;$F157,#REF!&amp;#REF!,0)),0)</f>
        <v>0</v>
      </c>
      <c r="AY157" s="626">
        <f t="shared" si="135"/>
        <v>0</v>
      </c>
      <c r="AZ157" s="626">
        <f t="shared" si="136"/>
        <v>0</v>
      </c>
      <c r="BA157" s="626">
        <f t="shared" si="137"/>
        <v>0</v>
      </c>
      <c r="BB157" s="625">
        <f t="array" ref="BB157">IFERROR(INDEX(#REF!,MATCH($E157&amp;$F157,#REF!&amp;#REF!,0)),0)</f>
        <v>0</v>
      </c>
      <c r="BC157" s="626">
        <f t="shared" si="138"/>
        <v>0</v>
      </c>
      <c r="BD157" s="626">
        <f t="shared" si="139"/>
        <v>0</v>
      </c>
      <c r="BE157" s="626">
        <f t="shared" si="140"/>
        <v>0</v>
      </c>
      <c r="BF157" s="625">
        <f t="array" ref="BF157">IFERROR(INDEX(#REF!,MATCH($E157&amp;$F157,#REF!&amp;#REF!,0)),0)</f>
        <v>0</v>
      </c>
      <c r="BG157" s="626">
        <f t="shared" si="141"/>
        <v>0</v>
      </c>
      <c r="BH157" s="626">
        <f t="shared" si="142"/>
        <v>0</v>
      </c>
      <c r="BI157" s="626">
        <f t="shared" si="143"/>
        <v>0</v>
      </c>
      <c r="BJ157" s="630"/>
      <c r="BK157" s="625"/>
      <c r="BL157" s="625"/>
      <c r="BM157" s="625"/>
      <c r="BN157" s="625"/>
      <c r="BO157" s="625"/>
      <c r="BP157" s="625"/>
      <c r="BQ157" s="625"/>
      <c r="BR157" s="625"/>
    </row>
    <row r="158" spans="1:70">
      <c r="A158" s="29" t="s">
        <v>1317</v>
      </c>
      <c r="B158" s="29" t="s">
        <v>1744</v>
      </c>
      <c r="C158" s="619">
        <f>SETUP!$F$39</f>
        <v>0</v>
      </c>
      <c r="D158" s="25">
        <v>4.7</v>
      </c>
      <c r="E158" s="26" t="s">
        <v>1352</v>
      </c>
      <c r="F158" s="26" t="s">
        <v>1353</v>
      </c>
      <c r="G158" s="625" t="str">
        <f t="array" ref="G158">IFERROR(INDEX(#REF!,MATCH($E158&amp;$F158,#REF!&amp;#REF!,0)),"")</f>
        <v/>
      </c>
      <c r="H158" s="625"/>
      <c r="I158" s="625">
        <f t="array" ref="I158">IFERROR(INDEX(#REF!,MATCH($E158&amp;$F158,#REF!&amp;#REF!,0)),0)</f>
        <v>0</v>
      </c>
      <c r="J158" s="625">
        <f t="array" ref="J158">IFERROR(INDEX(#REF!,MATCH($E158&amp;$F158,#REF!&amp;#REF!,0)),0)</f>
        <v>0</v>
      </c>
      <c r="K158" s="626">
        <f t="shared" si="108"/>
        <v>0</v>
      </c>
      <c r="L158" s="626">
        <f t="shared" si="109"/>
        <v>0</v>
      </c>
      <c r="M158" s="626">
        <f t="shared" si="110"/>
        <v>0</v>
      </c>
      <c r="N158" s="625">
        <f t="array" ref="N158">IFERROR(INDEX(#REF!,MATCH($E158&amp;$F158,#REF!&amp;#REF!,0)),0)</f>
        <v>0</v>
      </c>
      <c r="O158" s="626">
        <f t="shared" si="111"/>
        <v>0</v>
      </c>
      <c r="P158" s="626">
        <f t="shared" si="112"/>
        <v>0</v>
      </c>
      <c r="Q158" s="626">
        <f t="shared" si="113"/>
        <v>0</v>
      </c>
      <c r="R158" s="625">
        <f t="array" ref="R158">IFERROR(INDEX(#REF!,MATCH($E158&amp;$F158,#REF!&amp;#REF!,0)),0)</f>
        <v>0</v>
      </c>
      <c r="S158" s="626">
        <f t="shared" si="114"/>
        <v>0</v>
      </c>
      <c r="T158" s="626">
        <f t="shared" si="115"/>
        <v>0</v>
      </c>
      <c r="U158" s="626">
        <f t="shared" si="116"/>
        <v>0</v>
      </c>
      <c r="V158" s="625">
        <f t="array" ref="V158">IFERROR(INDEX(#REF!,MATCH($E158&amp;$F158,#REF!&amp;#REF!,0)),0)</f>
        <v>0</v>
      </c>
      <c r="W158" s="626">
        <f t="shared" si="117"/>
        <v>0</v>
      </c>
      <c r="X158" s="626">
        <f t="shared" si="118"/>
        <v>0</v>
      </c>
      <c r="Y158" s="626">
        <f t="shared" si="119"/>
        <v>0</v>
      </c>
      <c r="Z158" s="630"/>
      <c r="AA158" s="625">
        <f t="array" ref="AA158">IFERROR(INDEX(#REF!,MATCH($E158&amp;$F158,#REF!&amp;#REF!,0)),0)</f>
        <v>0</v>
      </c>
      <c r="AB158" s="625">
        <f t="array" ref="AB158">IFERROR(INDEX(#REF!,MATCH($E158&amp;$F158,#REF!&amp;#REF!,0)),0)</f>
        <v>0</v>
      </c>
      <c r="AC158" s="626">
        <f t="shared" si="120"/>
        <v>0</v>
      </c>
      <c r="AD158" s="626">
        <f t="shared" si="121"/>
        <v>0</v>
      </c>
      <c r="AE158" s="626">
        <f t="shared" si="122"/>
        <v>0</v>
      </c>
      <c r="AF158" s="625">
        <f t="array" ref="AF158">IFERROR(INDEX(#REF!,MATCH($E158&amp;$F158,#REF!&amp;#REF!,0)),0)</f>
        <v>0</v>
      </c>
      <c r="AG158" s="626">
        <f t="shared" si="123"/>
        <v>0</v>
      </c>
      <c r="AH158" s="626">
        <f t="shared" si="124"/>
        <v>0</v>
      </c>
      <c r="AI158" s="626">
        <f t="shared" si="125"/>
        <v>0</v>
      </c>
      <c r="AJ158" s="625">
        <f t="array" ref="AJ158">IFERROR(INDEX(#REF!,MATCH($E158&amp;$F158,#REF!&amp;#REF!,0)),0)</f>
        <v>0</v>
      </c>
      <c r="AK158" s="626">
        <f t="shared" si="126"/>
        <v>0</v>
      </c>
      <c r="AL158" s="626">
        <f t="shared" si="127"/>
        <v>0</v>
      </c>
      <c r="AM158" s="626">
        <f t="shared" si="128"/>
        <v>0</v>
      </c>
      <c r="AN158" s="625">
        <f t="array" ref="AN158">IFERROR(INDEX(#REF!,MATCH($E158&amp;$F158,#REF!&amp;#REF!,0)),0)</f>
        <v>0</v>
      </c>
      <c r="AO158" s="626">
        <f t="shared" si="129"/>
        <v>0</v>
      </c>
      <c r="AP158" s="626">
        <f t="shared" si="130"/>
        <v>0</v>
      </c>
      <c r="AQ158" s="626">
        <f t="shared" si="131"/>
        <v>0</v>
      </c>
      <c r="AR158" s="630"/>
      <c r="AS158" s="625">
        <f t="array" ref="AS158">IFERROR(INDEX(#REF!,MATCH($E158&amp;$F158,#REF!&amp;#REF!,0)),0)</f>
        <v>0</v>
      </c>
      <c r="AT158" s="625">
        <f t="array" ref="AT158">IFERROR(INDEX(#REF!,MATCH($E158&amp;$F158,#REF!&amp;#REF!,0)),0)</f>
        <v>0</v>
      </c>
      <c r="AU158" s="626">
        <f t="shared" si="132"/>
        <v>0</v>
      </c>
      <c r="AV158" s="626">
        <f t="shared" si="133"/>
        <v>0</v>
      </c>
      <c r="AW158" s="626">
        <f t="shared" si="134"/>
        <v>0</v>
      </c>
      <c r="AX158" s="625">
        <f t="array" ref="AX158">IFERROR(INDEX(#REF!,MATCH($E158&amp;$F158,#REF!&amp;#REF!,0)),0)</f>
        <v>0</v>
      </c>
      <c r="AY158" s="626">
        <f t="shared" si="135"/>
        <v>0</v>
      </c>
      <c r="AZ158" s="626">
        <f t="shared" si="136"/>
        <v>0</v>
      </c>
      <c r="BA158" s="626">
        <f t="shared" si="137"/>
        <v>0</v>
      </c>
      <c r="BB158" s="625">
        <f t="array" ref="BB158">IFERROR(INDEX(#REF!,MATCH($E158&amp;$F158,#REF!&amp;#REF!,0)),0)</f>
        <v>0</v>
      </c>
      <c r="BC158" s="626">
        <f t="shared" si="138"/>
        <v>0</v>
      </c>
      <c r="BD158" s="626">
        <f t="shared" si="139"/>
        <v>0</v>
      </c>
      <c r="BE158" s="626">
        <f t="shared" si="140"/>
        <v>0</v>
      </c>
      <c r="BF158" s="625">
        <f t="array" ref="BF158">IFERROR(INDEX(#REF!,MATCH($E158&amp;$F158,#REF!&amp;#REF!,0)),0)</f>
        <v>0</v>
      </c>
      <c r="BG158" s="626">
        <f t="shared" si="141"/>
        <v>0</v>
      </c>
      <c r="BH158" s="626">
        <f t="shared" si="142"/>
        <v>0</v>
      </c>
      <c r="BI158" s="626">
        <f t="shared" si="143"/>
        <v>0</v>
      </c>
      <c r="BJ158" s="630"/>
      <c r="BK158" s="625"/>
      <c r="BL158" s="625"/>
      <c r="BM158" s="625"/>
      <c r="BN158" s="625"/>
      <c r="BO158" s="625"/>
      <c r="BP158" s="625"/>
      <c r="BQ158" s="625"/>
      <c r="BR158" s="625"/>
    </row>
    <row r="159" spans="1:70">
      <c r="A159" s="29" t="s">
        <v>1317</v>
      </c>
      <c r="B159" s="29" t="s">
        <v>1744</v>
      </c>
      <c r="C159" s="619">
        <f>SETUP!$F$39</f>
        <v>0</v>
      </c>
      <c r="D159" s="25">
        <v>4.7</v>
      </c>
      <c r="E159" s="26" t="s">
        <v>1354</v>
      </c>
      <c r="F159" s="26" t="s">
        <v>1355</v>
      </c>
      <c r="G159" s="625" t="str">
        <f t="array" ref="G159">IFERROR(INDEX(#REF!,MATCH($E159&amp;$F159,#REF!&amp;#REF!,0)),"")</f>
        <v/>
      </c>
      <c r="H159" s="625"/>
      <c r="I159" s="625">
        <f t="array" ref="I159">IFERROR(INDEX(#REF!,MATCH($E159&amp;$F159,#REF!&amp;#REF!,0)),0)</f>
        <v>0</v>
      </c>
      <c r="J159" s="625">
        <f t="array" ref="J159">IFERROR(INDEX(#REF!,MATCH($E159&amp;$F159,#REF!&amp;#REF!,0)),0)</f>
        <v>0</v>
      </c>
      <c r="K159" s="626">
        <f t="shared" si="108"/>
        <v>0</v>
      </c>
      <c r="L159" s="626">
        <f t="shared" si="109"/>
        <v>0</v>
      </c>
      <c r="M159" s="626">
        <f t="shared" si="110"/>
        <v>0</v>
      </c>
      <c r="N159" s="625">
        <f t="array" ref="N159">IFERROR(INDEX(#REF!,MATCH($E159&amp;$F159,#REF!&amp;#REF!,0)),0)</f>
        <v>0</v>
      </c>
      <c r="O159" s="626">
        <f t="shared" si="111"/>
        <v>0</v>
      </c>
      <c r="P159" s="626">
        <f t="shared" si="112"/>
        <v>0</v>
      </c>
      <c r="Q159" s="626">
        <f t="shared" si="113"/>
        <v>0</v>
      </c>
      <c r="R159" s="625">
        <f t="array" ref="R159">IFERROR(INDEX(#REF!,MATCH($E159&amp;$F159,#REF!&amp;#REF!,0)),0)</f>
        <v>0</v>
      </c>
      <c r="S159" s="626">
        <f t="shared" si="114"/>
        <v>0</v>
      </c>
      <c r="T159" s="626">
        <f t="shared" si="115"/>
        <v>0</v>
      </c>
      <c r="U159" s="626">
        <f t="shared" si="116"/>
        <v>0</v>
      </c>
      <c r="V159" s="625">
        <f t="array" ref="V159">IFERROR(INDEX(#REF!,MATCH($E159&amp;$F159,#REF!&amp;#REF!,0)),0)</f>
        <v>0</v>
      </c>
      <c r="W159" s="626">
        <f t="shared" si="117"/>
        <v>0</v>
      </c>
      <c r="X159" s="626">
        <f t="shared" si="118"/>
        <v>0</v>
      </c>
      <c r="Y159" s="626">
        <f t="shared" si="119"/>
        <v>0</v>
      </c>
      <c r="Z159" s="630"/>
      <c r="AA159" s="625">
        <f t="array" ref="AA159">IFERROR(INDEX(#REF!,MATCH($E159&amp;$F159,#REF!&amp;#REF!,0)),0)</f>
        <v>0</v>
      </c>
      <c r="AB159" s="625">
        <f t="array" ref="AB159">IFERROR(INDEX(#REF!,MATCH($E159&amp;$F159,#REF!&amp;#REF!,0)),0)</f>
        <v>0</v>
      </c>
      <c r="AC159" s="626">
        <f t="shared" si="120"/>
        <v>0</v>
      </c>
      <c r="AD159" s="626">
        <f t="shared" si="121"/>
        <v>0</v>
      </c>
      <c r="AE159" s="626">
        <f t="shared" si="122"/>
        <v>0</v>
      </c>
      <c r="AF159" s="625">
        <f t="array" ref="AF159">IFERROR(INDEX(#REF!,MATCH($E159&amp;$F159,#REF!&amp;#REF!,0)),0)</f>
        <v>0</v>
      </c>
      <c r="AG159" s="626">
        <f t="shared" si="123"/>
        <v>0</v>
      </c>
      <c r="AH159" s="626">
        <f t="shared" si="124"/>
        <v>0</v>
      </c>
      <c r="AI159" s="626">
        <f t="shared" si="125"/>
        <v>0</v>
      </c>
      <c r="AJ159" s="625">
        <f t="array" ref="AJ159">IFERROR(INDEX(#REF!,MATCH($E159&amp;$F159,#REF!&amp;#REF!,0)),0)</f>
        <v>0</v>
      </c>
      <c r="AK159" s="626">
        <f t="shared" si="126"/>
        <v>0</v>
      </c>
      <c r="AL159" s="626">
        <f t="shared" si="127"/>
        <v>0</v>
      </c>
      <c r="AM159" s="626">
        <f t="shared" si="128"/>
        <v>0</v>
      </c>
      <c r="AN159" s="625">
        <f t="array" ref="AN159">IFERROR(INDEX(#REF!,MATCH($E159&amp;$F159,#REF!&amp;#REF!,0)),0)</f>
        <v>0</v>
      </c>
      <c r="AO159" s="626">
        <f t="shared" si="129"/>
        <v>0</v>
      </c>
      <c r="AP159" s="626">
        <f t="shared" si="130"/>
        <v>0</v>
      </c>
      <c r="AQ159" s="626">
        <f t="shared" si="131"/>
        <v>0</v>
      </c>
      <c r="AR159" s="630"/>
      <c r="AS159" s="625">
        <f t="array" ref="AS159">IFERROR(INDEX(#REF!,MATCH($E159&amp;$F159,#REF!&amp;#REF!,0)),0)</f>
        <v>0</v>
      </c>
      <c r="AT159" s="625">
        <f t="array" ref="AT159">IFERROR(INDEX(#REF!,MATCH($E159&amp;$F159,#REF!&amp;#REF!,0)),0)</f>
        <v>0</v>
      </c>
      <c r="AU159" s="626">
        <f t="shared" si="132"/>
        <v>0</v>
      </c>
      <c r="AV159" s="626">
        <f t="shared" si="133"/>
        <v>0</v>
      </c>
      <c r="AW159" s="626">
        <f t="shared" si="134"/>
        <v>0</v>
      </c>
      <c r="AX159" s="625">
        <f t="array" ref="AX159">IFERROR(INDEX(#REF!,MATCH($E159&amp;$F159,#REF!&amp;#REF!,0)),0)</f>
        <v>0</v>
      </c>
      <c r="AY159" s="626">
        <f t="shared" si="135"/>
        <v>0</v>
      </c>
      <c r="AZ159" s="626">
        <f t="shared" si="136"/>
        <v>0</v>
      </c>
      <c r="BA159" s="626">
        <f t="shared" si="137"/>
        <v>0</v>
      </c>
      <c r="BB159" s="625">
        <f t="array" ref="BB159">IFERROR(INDEX(#REF!,MATCH($E159&amp;$F159,#REF!&amp;#REF!,0)),0)</f>
        <v>0</v>
      </c>
      <c r="BC159" s="626">
        <f t="shared" si="138"/>
        <v>0</v>
      </c>
      <c r="BD159" s="626">
        <f t="shared" si="139"/>
        <v>0</v>
      </c>
      <c r="BE159" s="626">
        <f t="shared" si="140"/>
        <v>0</v>
      </c>
      <c r="BF159" s="625">
        <f t="array" ref="BF159">IFERROR(INDEX(#REF!,MATCH($E159&amp;$F159,#REF!&amp;#REF!,0)),0)</f>
        <v>0</v>
      </c>
      <c r="BG159" s="626">
        <f t="shared" si="141"/>
        <v>0</v>
      </c>
      <c r="BH159" s="626">
        <f t="shared" si="142"/>
        <v>0</v>
      </c>
      <c r="BI159" s="626">
        <f t="shared" si="143"/>
        <v>0</v>
      </c>
      <c r="BJ159" s="630"/>
      <c r="BK159" s="625"/>
      <c r="BL159" s="625"/>
      <c r="BM159" s="625"/>
      <c r="BN159" s="625"/>
      <c r="BO159" s="625"/>
      <c r="BP159" s="625"/>
      <c r="BQ159" s="625"/>
      <c r="BR159" s="625"/>
    </row>
    <row r="160" spans="1:70">
      <c r="A160" s="29" t="s">
        <v>1317</v>
      </c>
      <c r="B160" s="29" t="s">
        <v>1744</v>
      </c>
      <c r="C160" s="619">
        <f>SETUP!$F$39</f>
        <v>0</v>
      </c>
      <c r="D160" s="25">
        <v>4.7</v>
      </c>
      <c r="E160" s="26" t="s">
        <v>1354</v>
      </c>
      <c r="F160" s="26" t="s">
        <v>1356</v>
      </c>
      <c r="G160" s="625" t="str">
        <f t="array" ref="G160">IFERROR(INDEX(#REF!,MATCH($E160&amp;$F160,#REF!&amp;#REF!,0)),"")</f>
        <v/>
      </c>
      <c r="H160" s="625"/>
      <c r="I160" s="625">
        <f t="array" ref="I160">IFERROR(INDEX(#REF!,MATCH($E160&amp;$F160,#REF!&amp;#REF!,0)),0)</f>
        <v>0</v>
      </c>
      <c r="J160" s="625">
        <f t="array" ref="J160">IFERROR(INDEX(#REF!,MATCH($E160&amp;$F160,#REF!&amp;#REF!,0)),0)</f>
        <v>0</v>
      </c>
      <c r="K160" s="626">
        <f t="shared" si="108"/>
        <v>0</v>
      </c>
      <c r="L160" s="626">
        <f t="shared" si="109"/>
        <v>0</v>
      </c>
      <c r="M160" s="626">
        <f t="shared" si="110"/>
        <v>0</v>
      </c>
      <c r="N160" s="625">
        <f t="array" ref="N160">IFERROR(INDEX(#REF!,MATCH($E160&amp;$F160,#REF!&amp;#REF!,0)),0)</f>
        <v>0</v>
      </c>
      <c r="O160" s="626">
        <f t="shared" si="111"/>
        <v>0</v>
      </c>
      <c r="P160" s="626">
        <f t="shared" si="112"/>
        <v>0</v>
      </c>
      <c r="Q160" s="626">
        <f t="shared" si="113"/>
        <v>0</v>
      </c>
      <c r="R160" s="625">
        <f t="array" ref="R160">IFERROR(INDEX(#REF!,MATCH($E160&amp;$F160,#REF!&amp;#REF!,0)),0)</f>
        <v>0</v>
      </c>
      <c r="S160" s="626">
        <f t="shared" si="114"/>
        <v>0</v>
      </c>
      <c r="T160" s="626">
        <f t="shared" si="115"/>
        <v>0</v>
      </c>
      <c r="U160" s="626">
        <f t="shared" si="116"/>
        <v>0</v>
      </c>
      <c r="V160" s="625">
        <f t="array" ref="V160">IFERROR(INDEX(#REF!,MATCH($E160&amp;$F160,#REF!&amp;#REF!,0)),0)</f>
        <v>0</v>
      </c>
      <c r="W160" s="626">
        <f t="shared" si="117"/>
        <v>0</v>
      </c>
      <c r="X160" s="626">
        <f t="shared" si="118"/>
        <v>0</v>
      </c>
      <c r="Y160" s="626">
        <f t="shared" si="119"/>
        <v>0</v>
      </c>
      <c r="Z160" s="630"/>
      <c r="AA160" s="625">
        <f t="array" ref="AA160">IFERROR(INDEX(#REF!,MATCH($E160&amp;$F160,#REF!&amp;#REF!,0)),0)</f>
        <v>0</v>
      </c>
      <c r="AB160" s="625">
        <f t="array" ref="AB160">IFERROR(INDEX(#REF!,MATCH($E160&amp;$F160,#REF!&amp;#REF!,0)),0)</f>
        <v>0</v>
      </c>
      <c r="AC160" s="626">
        <f t="shared" si="120"/>
        <v>0</v>
      </c>
      <c r="AD160" s="626">
        <f t="shared" si="121"/>
        <v>0</v>
      </c>
      <c r="AE160" s="626">
        <f t="shared" si="122"/>
        <v>0</v>
      </c>
      <c r="AF160" s="625">
        <f t="array" ref="AF160">IFERROR(INDEX(#REF!,MATCH($E160&amp;$F160,#REF!&amp;#REF!,0)),0)</f>
        <v>0</v>
      </c>
      <c r="AG160" s="626">
        <f t="shared" si="123"/>
        <v>0</v>
      </c>
      <c r="AH160" s="626">
        <f t="shared" si="124"/>
        <v>0</v>
      </c>
      <c r="AI160" s="626">
        <f t="shared" si="125"/>
        <v>0</v>
      </c>
      <c r="AJ160" s="625">
        <f t="array" ref="AJ160">IFERROR(INDEX(#REF!,MATCH($E160&amp;$F160,#REF!&amp;#REF!,0)),0)</f>
        <v>0</v>
      </c>
      <c r="AK160" s="626">
        <f t="shared" si="126"/>
        <v>0</v>
      </c>
      <c r="AL160" s="626">
        <f t="shared" si="127"/>
        <v>0</v>
      </c>
      <c r="AM160" s="626">
        <f t="shared" si="128"/>
        <v>0</v>
      </c>
      <c r="AN160" s="625">
        <f t="array" ref="AN160">IFERROR(INDEX(#REF!,MATCH($E160&amp;$F160,#REF!&amp;#REF!,0)),0)</f>
        <v>0</v>
      </c>
      <c r="AO160" s="626">
        <f t="shared" si="129"/>
        <v>0</v>
      </c>
      <c r="AP160" s="626">
        <f t="shared" si="130"/>
        <v>0</v>
      </c>
      <c r="AQ160" s="626">
        <f t="shared" si="131"/>
        <v>0</v>
      </c>
      <c r="AR160" s="630"/>
      <c r="AS160" s="625">
        <f t="array" ref="AS160">IFERROR(INDEX(#REF!,MATCH($E160&amp;$F160,#REF!&amp;#REF!,0)),0)</f>
        <v>0</v>
      </c>
      <c r="AT160" s="625">
        <f t="array" ref="AT160">IFERROR(INDEX(#REF!,MATCH($E160&amp;$F160,#REF!&amp;#REF!,0)),0)</f>
        <v>0</v>
      </c>
      <c r="AU160" s="626">
        <f t="shared" si="132"/>
        <v>0</v>
      </c>
      <c r="AV160" s="626">
        <f t="shared" si="133"/>
        <v>0</v>
      </c>
      <c r="AW160" s="626">
        <f t="shared" si="134"/>
        <v>0</v>
      </c>
      <c r="AX160" s="625">
        <f t="array" ref="AX160">IFERROR(INDEX(#REF!,MATCH($E160&amp;$F160,#REF!&amp;#REF!,0)),0)</f>
        <v>0</v>
      </c>
      <c r="AY160" s="626">
        <f t="shared" si="135"/>
        <v>0</v>
      </c>
      <c r="AZ160" s="626">
        <f t="shared" si="136"/>
        <v>0</v>
      </c>
      <c r="BA160" s="626">
        <f t="shared" si="137"/>
        <v>0</v>
      </c>
      <c r="BB160" s="625">
        <f t="array" ref="BB160">IFERROR(INDEX(#REF!,MATCH($E160&amp;$F160,#REF!&amp;#REF!,0)),0)</f>
        <v>0</v>
      </c>
      <c r="BC160" s="626">
        <f t="shared" si="138"/>
        <v>0</v>
      </c>
      <c r="BD160" s="626">
        <f t="shared" si="139"/>
        <v>0</v>
      </c>
      <c r="BE160" s="626">
        <f t="shared" si="140"/>
        <v>0</v>
      </c>
      <c r="BF160" s="625">
        <f t="array" ref="BF160">IFERROR(INDEX(#REF!,MATCH($E160&amp;$F160,#REF!&amp;#REF!,0)),0)</f>
        <v>0</v>
      </c>
      <c r="BG160" s="626">
        <f t="shared" si="141"/>
        <v>0</v>
      </c>
      <c r="BH160" s="626">
        <f t="shared" si="142"/>
        <v>0</v>
      </c>
      <c r="BI160" s="626">
        <f t="shared" si="143"/>
        <v>0</v>
      </c>
      <c r="BJ160" s="630"/>
      <c r="BK160" s="625"/>
      <c r="BL160" s="625"/>
      <c r="BM160" s="625"/>
      <c r="BN160" s="625"/>
      <c r="BO160" s="625"/>
      <c r="BP160" s="625"/>
      <c r="BQ160" s="625"/>
      <c r="BR160" s="625"/>
    </row>
    <row r="161" spans="1:70">
      <c r="A161" s="29" t="s">
        <v>1317</v>
      </c>
      <c r="B161" s="29" t="s">
        <v>1744</v>
      </c>
      <c r="C161" s="619">
        <f>SETUP!$F$39</f>
        <v>0</v>
      </c>
      <c r="D161" s="25">
        <v>4.7</v>
      </c>
      <c r="E161" s="26" t="s">
        <v>1354</v>
      </c>
      <c r="F161" s="26" t="s">
        <v>1357</v>
      </c>
      <c r="G161" s="625" t="str">
        <f t="array" ref="G161">IFERROR(INDEX(#REF!,MATCH($E161&amp;$F161,#REF!&amp;#REF!,0)),"")</f>
        <v/>
      </c>
      <c r="H161" s="625"/>
      <c r="I161" s="625">
        <f t="array" ref="I161">IFERROR(INDEX(#REF!,MATCH($E161&amp;$F161,#REF!&amp;#REF!,0)),0)</f>
        <v>0</v>
      </c>
      <c r="J161" s="625">
        <f t="array" ref="J161">IFERROR(INDEX(#REF!,MATCH($E161&amp;$F161,#REF!&amp;#REF!,0)),0)</f>
        <v>0</v>
      </c>
      <c r="K161" s="626">
        <f t="shared" si="108"/>
        <v>0</v>
      </c>
      <c r="L161" s="626">
        <f t="shared" si="109"/>
        <v>0</v>
      </c>
      <c r="M161" s="626">
        <f t="shared" si="110"/>
        <v>0</v>
      </c>
      <c r="N161" s="625">
        <f t="array" ref="N161">IFERROR(INDEX(#REF!,MATCH($E161&amp;$F161,#REF!&amp;#REF!,0)),0)</f>
        <v>0</v>
      </c>
      <c r="O161" s="626">
        <f t="shared" si="111"/>
        <v>0</v>
      </c>
      <c r="P161" s="626">
        <f t="shared" si="112"/>
        <v>0</v>
      </c>
      <c r="Q161" s="626">
        <f t="shared" si="113"/>
        <v>0</v>
      </c>
      <c r="R161" s="625">
        <f t="array" ref="R161">IFERROR(INDEX(#REF!,MATCH($E161&amp;$F161,#REF!&amp;#REF!,0)),0)</f>
        <v>0</v>
      </c>
      <c r="S161" s="626">
        <f t="shared" si="114"/>
        <v>0</v>
      </c>
      <c r="T161" s="626">
        <f t="shared" si="115"/>
        <v>0</v>
      </c>
      <c r="U161" s="626">
        <f t="shared" si="116"/>
        <v>0</v>
      </c>
      <c r="V161" s="625">
        <f t="array" ref="V161">IFERROR(INDEX(#REF!,MATCH($E161&amp;$F161,#REF!&amp;#REF!,0)),0)</f>
        <v>0</v>
      </c>
      <c r="W161" s="626">
        <f t="shared" si="117"/>
        <v>0</v>
      </c>
      <c r="X161" s="626">
        <f t="shared" si="118"/>
        <v>0</v>
      </c>
      <c r="Y161" s="626">
        <f t="shared" si="119"/>
        <v>0</v>
      </c>
      <c r="Z161" s="630"/>
      <c r="AA161" s="625">
        <f t="array" ref="AA161">IFERROR(INDEX(#REF!,MATCH($E161&amp;$F161,#REF!&amp;#REF!,0)),0)</f>
        <v>0</v>
      </c>
      <c r="AB161" s="625">
        <f t="array" ref="AB161">IFERROR(INDEX(#REF!,MATCH($E161&amp;$F161,#REF!&amp;#REF!,0)),0)</f>
        <v>0</v>
      </c>
      <c r="AC161" s="626">
        <f t="shared" si="120"/>
        <v>0</v>
      </c>
      <c r="AD161" s="626">
        <f t="shared" si="121"/>
        <v>0</v>
      </c>
      <c r="AE161" s="626">
        <f t="shared" si="122"/>
        <v>0</v>
      </c>
      <c r="AF161" s="625">
        <f t="array" ref="AF161">IFERROR(INDEX(#REF!,MATCH($E161&amp;$F161,#REF!&amp;#REF!,0)),0)</f>
        <v>0</v>
      </c>
      <c r="AG161" s="626">
        <f t="shared" si="123"/>
        <v>0</v>
      </c>
      <c r="AH161" s="626">
        <f t="shared" si="124"/>
        <v>0</v>
      </c>
      <c r="AI161" s="626">
        <f t="shared" si="125"/>
        <v>0</v>
      </c>
      <c r="AJ161" s="625">
        <f t="array" ref="AJ161">IFERROR(INDEX(#REF!,MATCH($E161&amp;$F161,#REF!&amp;#REF!,0)),0)</f>
        <v>0</v>
      </c>
      <c r="AK161" s="626">
        <f t="shared" si="126"/>
        <v>0</v>
      </c>
      <c r="AL161" s="626">
        <f t="shared" si="127"/>
        <v>0</v>
      </c>
      <c r="AM161" s="626">
        <f t="shared" si="128"/>
        <v>0</v>
      </c>
      <c r="AN161" s="625">
        <f t="array" ref="AN161">IFERROR(INDEX(#REF!,MATCH($E161&amp;$F161,#REF!&amp;#REF!,0)),0)</f>
        <v>0</v>
      </c>
      <c r="AO161" s="626">
        <f t="shared" si="129"/>
        <v>0</v>
      </c>
      <c r="AP161" s="626">
        <f t="shared" si="130"/>
        <v>0</v>
      </c>
      <c r="AQ161" s="626">
        <f t="shared" si="131"/>
        <v>0</v>
      </c>
      <c r="AR161" s="630"/>
      <c r="AS161" s="625">
        <f t="array" ref="AS161">IFERROR(INDEX(#REF!,MATCH($E161&amp;$F161,#REF!&amp;#REF!,0)),0)</f>
        <v>0</v>
      </c>
      <c r="AT161" s="625">
        <f t="array" ref="AT161">IFERROR(INDEX(#REF!,MATCH($E161&amp;$F161,#REF!&amp;#REF!,0)),0)</f>
        <v>0</v>
      </c>
      <c r="AU161" s="626">
        <f t="shared" si="132"/>
        <v>0</v>
      </c>
      <c r="AV161" s="626">
        <f t="shared" si="133"/>
        <v>0</v>
      </c>
      <c r="AW161" s="626">
        <f t="shared" si="134"/>
        <v>0</v>
      </c>
      <c r="AX161" s="625">
        <f t="array" ref="AX161">IFERROR(INDEX(#REF!,MATCH($E161&amp;$F161,#REF!&amp;#REF!,0)),0)</f>
        <v>0</v>
      </c>
      <c r="AY161" s="626">
        <f t="shared" si="135"/>
        <v>0</v>
      </c>
      <c r="AZ161" s="626">
        <f t="shared" si="136"/>
        <v>0</v>
      </c>
      <c r="BA161" s="626">
        <f t="shared" si="137"/>
        <v>0</v>
      </c>
      <c r="BB161" s="625">
        <f t="array" ref="BB161">IFERROR(INDEX(#REF!,MATCH($E161&amp;$F161,#REF!&amp;#REF!,0)),0)</f>
        <v>0</v>
      </c>
      <c r="BC161" s="626">
        <f t="shared" si="138"/>
        <v>0</v>
      </c>
      <c r="BD161" s="626">
        <f t="shared" si="139"/>
        <v>0</v>
      </c>
      <c r="BE161" s="626">
        <f t="shared" si="140"/>
        <v>0</v>
      </c>
      <c r="BF161" s="625">
        <f t="array" ref="BF161">IFERROR(INDEX(#REF!,MATCH($E161&amp;$F161,#REF!&amp;#REF!,0)),0)</f>
        <v>0</v>
      </c>
      <c r="BG161" s="626">
        <f t="shared" si="141"/>
        <v>0</v>
      </c>
      <c r="BH161" s="626">
        <f t="shared" si="142"/>
        <v>0</v>
      </c>
      <c r="BI161" s="626">
        <f t="shared" si="143"/>
        <v>0</v>
      </c>
      <c r="BJ161" s="630"/>
      <c r="BK161" s="625"/>
      <c r="BL161" s="625"/>
      <c r="BM161" s="625"/>
      <c r="BN161" s="625"/>
      <c r="BO161" s="625"/>
      <c r="BP161" s="625"/>
      <c r="BQ161" s="625"/>
      <c r="BR161" s="625"/>
    </row>
    <row r="162" spans="1:70">
      <c r="A162" s="29" t="s">
        <v>1317</v>
      </c>
      <c r="B162" s="29" t="s">
        <v>1744</v>
      </c>
      <c r="C162" s="619">
        <f>SETUP!$F$39</f>
        <v>0</v>
      </c>
      <c r="D162" s="25">
        <v>4.7</v>
      </c>
      <c r="E162" s="26" t="s">
        <v>1367</v>
      </c>
      <c r="F162" s="26" t="s">
        <v>1368</v>
      </c>
      <c r="G162" s="625" t="str">
        <f t="array" ref="G162">IFERROR(INDEX(#REF!,MATCH($E162&amp;$F162,#REF!&amp;#REF!,0)),"")</f>
        <v/>
      </c>
      <c r="H162" s="625"/>
      <c r="I162" s="625">
        <f t="array" ref="I162">IFERROR(INDEX(#REF!,MATCH($E162&amp;$F162,#REF!&amp;#REF!,0)),0)</f>
        <v>0</v>
      </c>
      <c r="J162" s="625">
        <f t="array" ref="J162">IFERROR(INDEX(#REF!,MATCH($E162&amp;$F162,#REF!&amp;#REF!,0)),0)</f>
        <v>0</v>
      </c>
      <c r="K162" s="626">
        <f t="shared" si="108"/>
        <v>0</v>
      </c>
      <c r="L162" s="626">
        <f t="shared" si="109"/>
        <v>0</v>
      </c>
      <c r="M162" s="626">
        <f t="shared" si="110"/>
        <v>0</v>
      </c>
      <c r="N162" s="625">
        <f t="array" ref="N162">IFERROR(INDEX(#REF!,MATCH($E162&amp;$F162,#REF!&amp;#REF!,0)),0)</f>
        <v>0</v>
      </c>
      <c r="O162" s="626">
        <f t="shared" si="111"/>
        <v>0</v>
      </c>
      <c r="P162" s="626">
        <f t="shared" si="112"/>
        <v>0</v>
      </c>
      <c r="Q162" s="626">
        <f t="shared" si="113"/>
        <v>0</v>
      </c>
      <c r="R162" s="625">
        <f t="array" ref="R162">IFERROR(INDEX(#REF!,MATCH($E162&amp;$F162,#REF!&amp;#REF!,0)),0)</f>
        <v>0</v>
      </c>
      <c r="S162" s="626">
        <f t="shared" si="114"/>
        <v>0</v>
      </c>
      <c r="T162" s="626">
        <f t="shared" si="115"/>
        <v>0</v>
      </c>
      <c r="U162" s="626">
        <f t="shared" si="116"/>
        <v>0</v>
      </c>
      <c r="V162" s="625">
        <f t="array" ref="V162">IFERROR(INDEX(#REF!,MATCH($E162&amp;$F162,#REF!&amp;#REF!,0)),0)</f>
        <v>0</v>
      </c>
      <c r="W162" s="626">
        <f t="shared" si="117"/>
        <v>0</v>
      </c>
      <c r="X162" s="626">
        <f t="shared" si="118"/>
        <v>0</v>
      </c>
      <c r="Y162" s="626">
        <f t="shared" si="119"/>
        <v>0</v>
      </c>
      <c r="Z162" s="630"/>
      <c r="AA162" s="625">
        <f t="array" ref="AA162">IFERROR(INDEX(#REF!,MATCH($E162&amp;$F162,#REF!&amp;#REF!,0)),0)</f>
        <v>0</v>
      </c>
      <c r="AB162" s="625">
        <f t="array" ref="AB162">IFERROR(INDEX(#REF!,MATCH($E162&amp;$F162,#REF!&amp;#REF!,0)),0)</f>
        <v>0</v>
      </c>
      <c r="AC162" s="626">
        <f t="shared" si="120"/>
        <v>0</v>
      </c>
      <c r="AD162" s="626">
        <f t="shared" si="121"/>
        <v>0</v>
      </c>
      <c r="AE162" s="626">
        <f t="shared" si="122"/>
        <v>0</v>
      </c>
      <c r="AF162" s="625">
        <f t="array" ref="AF162">IFERROR(INDEX(#REF!,MATCH($E162&amp;$F162,#REF!&amp;#REF!,0)),0)</f>
        <v>0</v>
      </c>
      <c r="AG162" s="626">
        <f t="shared" si="123"/>
        <v>0</v>
      </c>
      <c r="AH162" s="626">
        <f t="shared" si="124"/>
        <v>0</v>
      </c>
      <c r="AI162" s="626">
        <f t="shared" si="125"/>
        <v>0</v>
      </c>
      <c r="AJ162" s="625">
        <f t="array" ref="AJ162">IFERROR(INDEX(#REF!,MATCH($E162&amp;$F162,#REF!&amp;#REF!,0)),0)</f>
        <v>0</v>
      </c>
      <c r="AK162" s="626">
        <f t="shared" si="126"/>
        <v>0</v>
      </c>
      <c r="AL162" s="626">
        <f t="shared" si="127"/>
        <v>0</v>
      </c>
      <c r="AM162" s="626">
        <f t="shared" si="128"/>
        <v>0</v>
      </c>
      <c r="AN162" s="625">
        <f t="array" ref="AN162">IFERROR(INDEX(#REF!,MATCH($E162&amp;$F162,#REF!&amp;#REF!,0)),0)</f>
        <v>0</v>
      </c>
      <c r="AO162" s="626">
        <f t="shared" si="129"/>
        <v>0</v>
      </c>
      <c r="AP162" s="626">
        <f t="shared" si="130"/>
        <v>0</v>
      </c>
      <c r="AQ162" s="626">
        <f t="shared" si="131"/>
        <v>0</v>
      </c>
      <c r="AR162" s="630"/>
      <c r="AS162" s="625">
        <f t="array" ref="AS162">IFERROR(INDEX(#REF!,MATCH($E162&amp;$F162,#REF!&amp;#REF!,0)),0)</f>
        <v>0</v>
      </c>
      <c r="AT162" s="625">
        <f t="array" ref="AT162">IFERROR(INDEX(#REF!,MATCH($E162&amp;$F162,#REF!&amp;#REF!,0)),0)</f>
        <v>0</v>
      </c>
      <c r="AU162" s="626">
        <f t="shared" si="132"/>
        <v>0</v>
      </c>
      <c r="AV162" s="626">
        <f t="shared" si="133"/>
        <v>0</v>
      </c>
      <c r="AW162" s="626">
        <f t="shared" si="134"/>
        <v>0</v>
      </c>
      <c r="AX162" s="625">
        <f t="array" ref="AX162">IFERROR(INDEX(#REF!,MATCH($E162&amp;$F162,#REF!&amp;#REF!,0)),0)</f>
        <v>0</v>
      </c>
      <c r="AY162" s="626">
        <f t="shared" si="135"/>
        <v>0</v>
      </c>
      <c r="AZ162" s="626">
        <f t="shared" si="136"/>
        <v>0</v>
      </c>
      <c r="BA162" s="626">
        <f t="shared" si="137"/>
        <v>0</v>
      </c>
      <c r="BB162" s="625">
        <f t="array" ref="BB162">IFERROR(INDEX(#REF!,MATCH($E162&amp;$F162,#REF!&amp;#REF!,0)),0)</f>
        <v>0</v>
      </c>
      <c r="BC162" s="626">
        <f t="shared" si="138"/>
        <v>0</v>
      </c>
      <c r="BD162" s="626">
        <f t="shared" si="139"/>
        <v>0</v>
      </c>
      <c r="BE162" s="626">
        <f t="shared" si="140"/>
        <v>0</v>
      </c>
      <c r="BF162" s="625">
        <f t="array" ref="BF162">IFERROR(INDEX(#REF!,MATCH($E162&amp;$F162,#REF!&amp;#REF!,0)),0)</f>
        <v>0</v>
      </c>
      <c r="BG162" s="626">
        <f t="shared" si="141"/>
        <v>0</v>
      </c>
      <c r="BH162" s="626">
        <f t="shared" si="142"/>
        <v>0</v>
      </c>
      <c r="BI162" s="626">
        <f t="shared" si="143"/>
        <v>0</v>
      </c>
      <c r="BJ162" s="630"/>
      <c r="BK162" s="625"/>
      <c r="BL162" s="625"/>
      <c r="BM162" s="625"/>
      <c r="BN162" s="625"/>
      <c r="BO162" s="625"/>
      <c r="BP162" s="625"/>
      <c r="BQ162" s="625"/>
      <c r="BR162" s="625"/>
    </row>
    <row r="163" spans="1:70">
      <c r="A163" s="29" t="s">
        <v>1317</v>
      </c>
      <c r="B163" s="29" t="s">
        <v>1744</v>
      </c>
      <c r="C163" s="619">
        <f>SETUP!$F$39</f>
        <v>0</v>
      </c>
      <c r="D163" s="25">
        <v>4.7</v>
      </c>
      <c r="E163" s="26" t="s">
        <v>1428</v>
      </c>
      <c r="F163" s="26" t="s">
        <v>1429</v>
      </c>
      <c r="G163" s="625" t="str">
        <f t="array" ref="G163">IFERROR(INDEX(#REF!,MATCH($E163&amp;$F163,#REF!&amp;#REF!,0)),"")</f>
        <v/>
      </c>
      <c r="H163" s="625"/>
      <c r="I163" s="625">
        <f t="array" ref="I163">IFERROR(INDEX(#REF!,MATCH($E163&amp;$F163,#REF!&amp;#REF!,0)),0)</f>
        <v>0</v>
      </c>
      <c r="J163" s="625">
        <f t="array" ref="J163">IFERROR(INDEX(#REF!,MATCH($E163&amp;$F163,#REF!&amp;#REF!,0)),0)</f>
        <v>0</v>
      </c>
      <c r="K163" s="626">
        <f t="shared" si="108"/>
        <v>0</v>
      </c>
      <c r="L163" s="626">
        <f t="shared" si="109"/>
        <v>0</v>
      </c>
      <c r="M163" s="626">
        <f t="shared" si="110"/>
        <v>0</v>
      </c>
      <c r="N163" s="625">
        <f t="array" ref="N163">IFERROR(INDEX(#REF!,MATCH($E163&amp;$F163,#REF!&amp;#REF!,0)),0)</f>
        <v>0</v>
      </c>
      <c r="O163" s="626">
        <f t="shared" si="111"/>
        <v>0</v>
      </c>
      <c r="P163" s="626">
        <f t="shared" si="112"/>
        <v>0</v>
      </c>
      <c r="Q163" s="626">
        <f t="shared" si="113"/>
        <v>0</v>
      </c>
      <c r="R163" s="625">
        <f t="array" ref="R163">IFERROR(INDEX(#REF!,MATCH($E163&amp;$F163,#REF!&amp;#REF!,0)),0)</f>
        <v>0</v>
      </c>
      <c r="S163" s="626">
        <f t="shared" si="114"/>
        <v>0</v>
      </c>
      <c r="T163" s="626">
        <f t="shared" si="115"/>
        <v>0</v>
      </c>
      <c r="U163" s="626">
        <f t="shared" si="116"/>
        <v>0</v>
      </c>
      <c r="V163" s="625">
        <f t="array" ref="V163">IFERROR(INDEX(#REF!,MATCH($E163&amp;$F163,#REF!&amp;#REF!,0)),0)</f>
        <v>0</v>
      </c>
      <c r="W163" s="626">
        <f t="shared" si="117"/>
        <v>0</v>
      </c>
      <c r="X163" s="626">
        <f t="shared" si="118"/>
        <v>0</v>
      </c>
      <c r="Y163" s="626">
        <f t="shared" si="119"/>
        <v>0</v>
      </c>
      <c r="Z163" s="630"/>
      <c r="AA163" s="625">
        <f t="array" ref="AA163">IFERROR(INDEX(#REF!,MATCH($E163&amp;$F163,#REF!&amp;#REF!,0)),0)</f>
        <v>0</v>
      </c>
      <c r="AB163" s="625">
        <f t="array" ref="AB163">IFERROR(INDEX(#REF!,MATCH($E163&amp;$F163,#REF!&amp;#REF!,0)),0)</f>
        <v>0</v>
      </c>
      <c r="AC163" s="626">
        <f t="shared" si="120"/>
        <v>0</v>
      </c>
      <c r="AD163" s="626">
        <f t="shared" si="121"/>
        <v>0</v>
      </c>
      <c r="AE163" s="626">
        <f t="shared" si="122"/>
        <v>0</v>
      </c>
      <c r="AF163" s="625">
        <f t="array" ref="AF163">IFERROR(INDEX(#REF!,MATCH($E163&amp;$F163,#REF!&amp;#REF!,0)),0)</f>
        <v>0</v>
      </c>
      <c r="AG163" s="626">
        <f t="shared" si="123"/>
        <v>0</v>
      </c>
      <c r="AH163" s="626">
        <f t="shared" si="124"/>
        <v>0</v>
      </c>
      <c r="AI163" s="626">
        <f t="shared" si="125"/>
        <v>0</v>
      </c>
      <c r="AJ163" s="625">
        <f t="array" ref="AJ163">IFERROR(INDEX(#REF!,MATCH($E163&amp;$F163,#REF!&amp;#REF!,0)),0)</f>
        <v>0</v>
      </c>
      <c r="AK163" s="626">
        <f t="shared" si="126"/>
        <v>0</v>
      </c>
      <c r="AL163" s="626">
        <f t="shared" si="127"/>
        <v>0</v>
      </c>
      <c r="AM163" s="626">
        <f t="shared" si="128"/>
        <v>0</v>
      </c>
      <c r="AN163" s="625">
        <f t="array" ref="AN163">IFERROR(INDEX(#REF!,MATCH($E163&amp;$F163,#REF!&amp;#REF!,0)),0)</f>
        <v>0</v>
      </c>
      <c r="AO163" s="626">
        <f t="shared" si="129"/>
        <v>0</v>
      </c>
      <c r="AP163" s="626">
        <f t="shared" si="130"/>
        <v>0</v>
      </c>
      <c r="AQ163" s="626">
        <f t="shared" si="131"/>
        <v>0</v>
      </c>
      <c r="AR163" s="630"/>
      <c r="AS163" s="625">
        <f t="array" ref="AS163">IFERROR(INDEX(#REF!,MATCH($E163&amp;$F163,#REF!&amp;#REF!,0)),0)</f>
        <v>0</v>
      </c>
      <c r="AT163" s="625">
        <f t="array" ref="AT163">IFERROR(INDEX(#REF!,MATCH($E163&amp;$F163,#REF!&amp;#REF!,0)),0)</f>
        <v>0</v>
      </c>
      <c r="AU163" s="626">
        <f t="shared" si="132"/>
        <v>0</v>
      </c>
      <c r="AV163" s="626">
        <f t="shared" si="133"/>
        <v>0</v>
      </c>
      <c r="AW163" s="626">
        <f t="shared" si="134"/>
        <v>0</v>
      </c>
      <c r="AX163" s="625">
        <f t="array" ref="AX163">IFERROR(INDEX(#REF!,MATCH($E163&amp;$F163,#REF!&amp;#REF!,0)),0)</f>
        <v>0</v>
      </c>
      <c r="AY163" s="626">
        <f t="shared" si="135"/>
        <v>0</v>
      </c>
      <c r="AZ163" s="626">
        <f t="shared" si="136"/>
        <v>0</v>
      </c>
      <c r="BA163" s="626">
        <f t="shared" si="137"/>
        <v>0</v>
      </c>
      <c r="BB163" s="625">
        <f t="array" ref="BB163">IFERROR(INDEX(#REF!,MATCH($E163&amp;$F163,#REF!&amp;#REF!,0)),0)</f>
        <v>0</v>
      </c>
      <c r="BC163" s="626">
        <f t="shared" si="138"/>
        <v>0</v>
      </c>
      <c r="BD163" s="626">
        <f t="shared" si="139"/>
        <v>0</v>
      </c>
      <c r="BE163" s="626">
        <f t="shared" si="140"/>
        <v>0</v>
      </c>
      <c r="BF163" s="625">
        <f t="array" ref="BF163">IFERROR(INDEX(#REF!,MATCH($E163&amp;$F163,#REF!&amp;#REF!,0)),0)</f>
        <v>0</v>
      </c>
      <c r="BG163" s="626">
        <f t="shared" si="141"/>
        <v>0</v>
      </c>
      <c r="BH163" s="626">
        <f t="shared" si="142"/>
        <v>0</v>
      </c>
      <c r="BI163" s="626">
        <f t="shared" si="143"/>
        <v>0</v>
      </c>
      <c r="BJ163" s="630"/>
      <c r="BK163" s="625"/>
      <c r="BL163" s="625"/>
      <c r="BM163" s="625"/>
      <c r="BN163" s="625"/>
      <c r="BO163" s="625"/>
      <c r="BP163" s="625"/>
      <c r="BQ163" s="625"/>
      <c r="BR163" s="625"/>
    </row>
    <row r="164" spans="1:70">
      <c r="A164" s="29" t="s">
        <v>1317</v>
      </c>
      <c r="B164" s="29" t="s">
        <v>1744</v>
      </c>
      <c r="C164" s="619">
        <f>SETUP!$F$39</f>
        <v>0</v>
      </c>
      <c r="D164" s="25">
        <v>4.7</v>
      </c>
      <c r="E164" s="26" t="s">
        <v>1369</v>
      </c>
      <c r="F164" s="26" t="s">
        <v>1430</v>
      </c>
      <c r="G164" s="625" t="str">
        <f t="array" ref="G164">IFERROR(INDEX(#REF!,MATCH($E164&amp;$F164,#REF!&amp;#REF!,0)),"")</f>
        <v/>
      </c>
      <c r="H164" s="625"/>
      <c r="I164" s="625">
        <f t="array" ref="I164">IFERROR(INDEX(#REF!,MATCH($E164&amp;$F164,#REF!&amp;#REF!,0)),0)</f>
        <v>0</v>
      </c>
      <c r="J164" s="625">
        <f t="array" ref="J164">IFERROR(INDEX(#REF!,MATCH($E164&amp;$F164,#REF!&amp;#REF!,0)),0)</f>
        <v>0</v>
      </c>
      <c r="K164" s="626">
        <f t="shared" si="108"/>
        <v>0</v>
      </c>
      <c r="L164" s="626">
        <f t="shared" si="109"/>
        <v>0</v>
      </c>
      <c r="M164" s="626">
        <f t="shared" si="110"/>
        <v>0</v>
      </c>
      <c r="N164" s="625">
        <f t="array" ref="N164">IFERROR(INDEX(#REF!,MATCH($E164&amp;$F164,#REF!&amp;#REF!,0)),0)</f>
        <v>0</v>
      </c>
      <c r="O164" s="626">
        <f t="shared" si="111"/>
        <v>0</v>
      </c>
      <c r="P164" s="626">
        <f t="shared" si="112"/>
        <v>0</v>
      </c>
      <c r="Q164" s="626">
        <f t="shared" si="113"/>
        <v>0</v>
      </c>
      <c r="R164" s="625">
        <f t="array" ref="R164">IFERROR(INDEX(#REF!,MATCH($E164&amp;$F164,#REF!&amp;#REF!,0)),0)</f>
        <v>0</v>
      </c>
      <c r="S164" s="626">
        <f t="shared" si="114"/>
        <v>0</v>
      </c>
      <c r="T164" s="626">
        <f t="shared" si="115"/>
        <v>0</v>
      </c>
      <c r="U164" s="626">
        <f t="shared" si="116"/>
        <v>0</v>
      </c>
      <c r="V164" s="625">
        <f t="array" ref="V164">IFERROR(INDEX(#REF!,MATCH($E164&amp;$F164,#REF!&amp;#REF!,0)),0)</f>
        <v>0</v>
      </c>
      <c r="W164" s="626">
        <f t="shared" si="117"/>
        <v>0</v>
      </c>
      <c r="X164" s="626">
        <f t="shared" si="118"/>
        <v>0</v>
      </c>
      <c r="Y164" s="626">
        <f t="shared" si="119"/>
        <v>0</v>
      </c>
      <c r="Z164" s="630"/>
      <c r="AA164" s="625">
        <f t="array" ref="AA164">IFERROR(INDEX(#REF!,MATCH($E164&amp;$F164,#REF!&amp;#REF!,0)),0)</f>
        <v>0</v>
      </c>
      <c r="AB164" s="625">
        <f t="array" ref="AB164">IFERROR(INDEX(#REF!,MATCH($E164&amp;$F164,#REF!&amp;#REF!,0)),0)</f>
        <v>0</v>
      </c>
      <c r="AC164" s="626">
        <f t="shared" si="120"/>
        <v>0</v>
      </c>
      <c r="AD164" s="626">
        <f t="shared" si="121"/>
        <v>0</v>
      </c>
      <c r="AE164" s="626">
        <f t="shared" si="122"/>
        <v>0</v>
      </c>
      <c r="AF164" s="625">
        <f t="array" ref="AF164">IFERROR(INDEX(#REF!,MATCH($E164&amp;$F164,#REF!&amp;#REF!,0)),0)</f>
        <v>0</v>
      </c>
      <c r="AG164" s="626">
        <f t="shared" si="123"/>
        <v>0</v>
      </c>
      <c r="AH164" s="626">
        <f t="shared" si="124"/>
        <v>0</v>
      </c>
      <c r="AI164" s="626">
        <f t="shared" si="125"/>
        <v>0</v>
      </c>
      <c r="AJ164" s="625">
        <f t="array" ref="AJ164">IFERROR(INDEX(#REF!,MATCH($E164&amp;$F164,#REF!&amp;#REF!,0)),0)</f>
        <v>0</v>
      </c>
      <c r="AK164" s="626">
        <f t="shared" si="126"/>
        <v>0</v>
      </c>
      <c r="AL164" s="626">
        <f t="shared" si="127"/>
        <v>0</v>
      </c>
      <c r="AM164" s="626">
        <f t="shared" si="128"/>
        <v>0</v>
      </c>
      <c r="AN164" s="625">
        <f t="array" ref="AN164">IFERROR(INDEX(#REF!,MATCH($E164&amp;$F164,#REF!&amp;#REF!,0)),0)</f>
        <v>0</v>
      </c>
      <c r="AO164" s="626">
        <f t="shared" si="129"/>
        <v>0</v>
      </c>
      <c r="AP164" s="626">
        <f t="shared" si="130"/>
        <v>0</v>
      </c>
      <c r="AQ164" s="626">
        <f t="shared" si="131"/>
        <v>0</v>
      </c>
      <c r="AR164" s="630"/>
      <c r="AS164" s="625">
        <f t="array" ref="AS164">IFERROR(INDEX(#REF!,MATCH($E164&amp;$F164,#REF!&amp;#REF!,0)),0)</f>
        <v>0</v>
      </c>
      <c r="AT164" s="625">
        <f t="array" ref="AT164">IFERROR(INDEX(#REF!,MATCH($E164&amp;$F164,#REF!&amp;#REF!,0)),0)</f>
        <v>0</v>
      </c>
      <c r="AU164" s="626">
        <f t="shared" si="132"/>
        <v>0</v>
      </c>
      <c r="AV164" s="626">
        <f t="shared" si="133"/>
        <v>0</v>
      </c>
      <c r="AW164" s="626">
        <f t="shared" si="134"/>
        <v>0</v>
      </c>
      <c r="AX164" s="625">
        <f t="array" ref="AX164">IFERROR(INDEX(#REF!,MATCH($E164&amp;$F164,#REF!&amp;#REF!,0)),0)</f>
        <v>0</v>
      </c>
      <c r="AY164" s="626">
        <f t="shared" si="135"/>
        <v>0</v>
      </c>
      <c r="AZ164" s="626">
        <f t="shared" si="136"/>
        <v>0</v>
      </c>
      <c r="BA164" s="626">
        <f t="shared" si="137"/>
        <v>0</v>
      </c>
      <c r="BB164" s="625">
        <f t="array" ref="BB164">IFERROR(INDEX(#REF!,MATCH($E164&amp;$F164,#REF!&amp;#REF!,0)),0)</f>
        <v>0</v>
      </c>
      <c r="BC164" s="626">
        <f t="shared" si="138"/>
        <v>0</v>
      </c>
      <c r="BD164" s="626">
        <f t="shared" si="139"/>
        <v>0</v>
      </c>
      <c r="BE164" s="626">
        <f t="shared" si="140"/>
        <v>0</v>
      </c>
      <c r="BF164" s="625">
        <f t="array" ref="BF164">IFERROR(INDEX(#REF!,MATCH($E164&amp;$F164,#REF!&amp;#REF!,0)),0)</f>
        <v>0</v>
      </c>
      <c r="BG164" s="626">
        <f t="shared" si="141"/>
        <v>0</v>
      </c>
      <c r="BH164" s="626">
        <f t="shared" si="142"/>
        <v>0</v>
      </c>
      <c r="BI164" s="626">
        <f t="shared" si="143"/>
        <v>0</v>
      </c>
      <c r="BJ164" s="630"/>
      <c r="BK164" s="625"/>
      <c r="BL164" s="625"/>
      <c r="BM164" s="625"/>
      <c r="BN164" s="625"/>
      <c r="BO164" s="625"/>
      <c r="BP164" s="625"/>
      <c r="BQ164" s="625"/>
      <c r="BR164" s="625"/>
    </row>
    <row r="165" spans="1:70">
      <c r="A165" s="29" t="s">
        <v>1317</v>
      </c>
      <c r="B165" s="29" t="s">
        <v>1744</v>
      </c>
      <c r="C165" s="619">
        <f>SETUP!$F$39</f>
        <v>0</v>
      </c>
      <c r="D165" s="25">
        <v>4.7</v>
      </c>
      <c r="E165" s="26" t="s">
        <v>1369</v>
      </c>
      <c r="F165" s="26" t="s">
        <v>1431</v>
      </c>
      <c r="G165" s="625" t="str">
        <f t="array" ref="G165">IFERROR(INDEX(#REF!,MATCH($E165&amp;$F165,#REF!&amp;#REF!,0)),"")</f>
        <v/>
      </c>
      <c r="H165" s="625"/>
      <c r="I165" s="625">
        <f t="array" ref="I165">IFERROR(INDEX(#REF!,MATCH($E165&amp;$F165,#REF!&amp;#REF!,0)),0)</f>
        <v>0</v>
      </c>
      <c r="J165" s="625">
        <f t="array" ref="J165">IFERROR(INDEX(#REF!,MATCH($E165&amp;$F165,#REF!&amp;#REF!,0)),0)</f>
        <v>0</v>
      </c>
      <c r="K165" s="626">
        <f t="shared" si="108"/>
        <v>0</v>
      </c>
      <c r="L165" s="626">
        <f t="shared" si="109"/>
        <v>0</v>
      </c>
      <c r="M165" s="626">
        <f t="shared" si="110"/>
        <v>0</v>
      </c>
      <c r="N165" s="625">
        <f t="array" ref="N165">IFERROR(INDEX(#REF!,MATCH($E165&amp;$F165,#REF!&amp;#REF!,0)),0)</f>
        <v>0</v>
      </c>
      <c r="O165" s="626">
        <f t="shared" si="111"/>
        <v>0</v>
      </c>
      <c r="P165" s="626">
        <f t="shared" si="112"/>
        <v>0</v>
      </c>
      <c r="Q165" s="626">
        <f t="shared" si="113"/>
        <v>0</v>
      </c>
      <c r="R165" s="625">
        <f t="array" ref="R165">IFERROR(INDEX(#REF!,MATCH($E165&amp;$F165,#REF!&amp;#REF!,0)),0)</f>
        <v>0</v>
      </c>
      <c r="S165" s="626">
        <f t="shared" si="114"/>
        <v>0</v>
      </c>
      <c r="T165" s="626">
        <f t="shared" si="115"/>
        <v>0</v>
      </c>
      <c r="U165" s="626">
        <f t="shared" si="116"/>
        <v>0</v>
      </c>
      <c r="V165" s="625">
        <f t="array" ref="V165">IFERROR(INDEX(#REF!,MATCH($E165&amp;$F165,#REF!&amp;#REF!,0)),0)</f>
        <v>0</v>
      </c>
      <c r="W165" s="626">
        <f t="shared" si="117"/>
        <v>0</v>
      </c>
      <c r="X165" s="626">
        <f t="shared" si="118"/>
        <v>0</v>
      </c>
      <c r="Y165" s="626">
        <f t="shared" si="119"/>
        <v>0</v>
      </c>
      <c r="Z165" s="630"/>
      <c r="AA165" s="625">
        <f t="array" ref="AA165">IFERROR(INDEX(#REF!,MATCH($E165&amp;$F165,#REF!&amp;#REF!,0)),0)</f>
        <v>0</v>
      </c>
      <c r="AB165" s="625">
        <f t="array" ref="AB165">IFERROR(INDEX(#REF!,MATCH($E165&amp;$F165,#REF!&amp;#REF!,0)),0)</f>
        <v>0</v>
      </c>
      <c r="AC165" s="626">
        <f t="shared" si="120"/>
        <v>0</v>
      </c>
      <c r="AD165" s="626">
        <f t="shared" si="121"/>
        <v>0</v>
      </c>
      <c r="AE165" s="626">
        <f t="shared" si="122"/>
        <v>0</v>
      </c>
      <c r="AF165" s="625">
        <f t="array" ref="AF165">IFERROR(INDEX(#REF!,MATCH($E165&amp;$F165,#REF!&amp;#REF!,0)),0)</f>
        <v>0</v>
      </c>
      <c r="AG165" s="626">
        <f t="shared" si="123"/>
        <v>0</v>
      </c>
      <c r="AH165" s="626">
        <f t="shared" si="124"/>
        <v>0</v>
      </c>
      <c r="AI165" s="626">
        <f t="shared" si="125"/>
        <v>0</v>
      </c>
      <c r="AJ165" s="625">
        <f t="array" ref="AJ165">IFERROR(INDEX(#REF!,MATCH($E165&amp;$F165,#REF!&amp;#REF!,0)),0)</f>
        <v>0</v>
      </c>
      <c r="AK165" s="626">
        <f t="shared" si="126"/>
        <v>0</v>
      </c>
      <c r="AL165" s="626">
        <f t="shared" si="127"/>
        <v>0</v>
      </c>
      <c r="AM165" s="626">
        <f t="shared" si="128"/>
        <v>0</v>
      </c>
      <c r="AN165" s="625">
        <f t="array" ref="AN165">IFERROR(INDEX(#REF!,MATCH($E165&amp;$F165,#REF!&amp;#REF!,0)),0)</f>
        <v>0</v>
      </c>
      <c r="AO165" s="626">
        <f t="shared" si="129"/>
        <v>0</v>
      </c>
      <c r="AP165" s="626">
        <f t="shared" si="130"/>
        <v>0</v>
      </c>
      <c r="AQ165" s="626">
        <f t="shared" si="131"/>
        <v>0</v>
      </c>
      <c r="AR165" s="630"/>
      <c r="AS165" s="625">
        <f t="array" ref="AS165">IFERROR(INDEX(#REF!,MATCH($E165&amp;$F165,#REF!&amp;#REF!,0)),0)</f>
        <v>0</v>
      </c>
      <c r="AT165" s="625">
        <f t="array" ref="AT165">IFERROR(INDEX(#REF!,MATCH($E165&amp;$F165,#REF!&amp;#REF!,0)),0)</f>
        <v>0</v>
      </c>
      <c r="AU165" s="626">
        <f t="shared" si="132"/>
        <v>0</v>
      </c>
      <c r="AV165" s="626">
        <f t="shared" si="133"/>
        <v>0</v>
      </c>
      <c r="AW165" s="626">
        <f t="shared" si="134"/>
        <v>0</v>
      </c>
      <c r="AX165" s="625">
        <f t="array" ref="AX165">IFERROR(INDEX(#REF!,MATCH($E165&amp;$F165,#REF!&amp;#REF!,0)),0)</f>
        <v>0</v>
      </c>
      <c r="AY165" s="626">
        <f t="shared" si="135"/>
        <v>0</v>
      </c>
      <c r="AZ165" s="626">
        <f t="shared" si="136"/>
        <v>0</v>
      </c>
      <c r="BA165" s="626">
        <f t="shared" si="137"/>
        <v>0</v>
      </c>
      <c r="BB165" s="625">
        <f t="array" ref="BB165">IFERROR(INDEX(#REF!,MATCH($E165&amp;$F165,#REF!&amp;#REF!,0)),0)</f>
        <v>0</v>
      </c>
      <c r="BC165" s="626">
        <f t="shared" si="138"/>
        <v>0</v>
      </c>
      <c r="BD165" s="626">
        <f t="shared" si="139"/>
        <v>0</v>
      </c>
      <c r="BE165" s="626">
        <f t="shared" si="140"/>
        <v>0</v>
      </c>
      <c r="BF165" s="625">
        <f t="array" ref="BF165">IFERROR(INDEX(#REF!,MATCH($E165&amp;$F165,#REF!&amp;#REF!,0)),0)</f>
        <v>0</v>
      </c>
      <c r="BG165" s="626">
        <f t="shared" si="141"/>
        <v>0</v>
      </c>
      <c r="BH165" s="626">
        <f t="shared" si="142"/>
        <v>0</v>
      </c>
      <c r="BI165" s="626">
        <f t="shared" si="143"/>
        <v>0</v>
      </c>
      <c r="BJ165" s="630"/>
      <c r="BK165" s="625"/>
      <c r="BL165" s="625"/>
      <c r="BM165" s="625"/>
      <c r="BN165" s="625"/>
      <c r="BO165" s="625"/>
      <c r="BP165" s="625"/>
      <c r="BQ165" s="625"/>
      <c r="BR165" s="625"/>
    </row>
    <row r="166" spans="1:70">
      <c r="A166" s="29" t="s">
        <v>1317</v>
      </c>
      <c r="B166" s="29" t="s">
        <v>1744</v>
      </c>
      <c r="C166" s="619">
        <f>SETUP!$F$39</f>
        <v>0</v>
      </c>
      <c r="D166" s="25">
        <v>4.7</v>
      </c>
      <c r="E166" s="26" t="s">
        <v>1432</v>
      </c>
      <c r="F166" s="26" t="s">
        <v>1433</v>
      </c>
      <c r="G166" s="625" t="str">
        <f t="array" ref="G166">IFERROR(INDEX(#REF!,MATCH($E166&amp;$F166,#REF!&amp;#REF!,0)),"")</f>
        <v/>
      </c>
      <c r="H166" s="625"/>
      <c r="I166" s="625">
        <f t="array" ref="I166">IFERROR(INDEX(#REF!,MATCH($E166&amp;$F166,#REF!&amp;#REF!,0)),0)</f>
        <v>0</v>
      </c>
      <c r="J166" s="625">
        <f t="array" ref="J166">IFERROR(INDEX(#REF!,MATCH($E166&amp;$F166,#REF!&amp;#REF!,0)),0)</f>
        <v>0</v>
      </c>
      <c r="K166" s="626">
        <f t="shared" si="108"/>
        <v>0</v>
      </c>
      <c r="L166" s="626">
        <f t="shared" si="109"/>
        <v>0</v>
      </c>
      <c r="M166" s="626">
        <f t="shared" si="110"/>
        <v>0</v>
      </c>
      <c r="N166" s="625">
        <f t="array" ref="N166">IFERROR(INDEX(#REF!,MATCH($E166&amp;$F166,#REF!&amp;#REF!,0)),0)</f>
        <v>0</v>
      </c>
      <c r="O166" s="626">
        <f t="shared" si="111"/>
        <v>0</v>
      </c>
      <c r="P166" s="626">
        <f t="shared" si="112"/>
        <v>0</v>
      </c>
      <c r="Q166" s="626">
        <f t="shared" si="113"/>
        <v>0</v>
      </c>
      <c r="R166" s="625">
        <f t="array" ref="R166">IFERROR(INDEX(#REF!,MATCH($E166&amp;$F166,#REF!&amp;#REF!,0)),0)</f>
        <v>0</v>
      </c>
      <c r="S166" s="626">
        <f t="shared" si="114"/>
        <v>0</v>
      </c>
      <c r="T166" s="626">
        <f t="shared" si="115"/>
        <v>0</v>
      </c>
      <c r="U166" s="626">
        <f t="shared" si="116"/>
        <v>0</v>
      </c>
      <c r="V166" s="625">
        <f t="array" ref="V166">IFERROR(INDEX(#REF!,MATCH($E166&amp;$F166,#REF!&amp;#REF!,0)),0)</f>
        <v>0</v>
      </c>
      <c r="W166" s="626">
        <f t="shared" si="117"/>
        <v>0</v>
      </c>
      <c r="X166" s="626">
        <f t="shared" si="118"/>
        <v>0</v>
      </c>
      <c r="Y166" s="626">
        <f t="shared" si="119"/>
        <v>0</v>
      </c>
      <c r="Z166" s="630"/>
      <c r="AA166" s="625">
        <f t="array" ref="AA166">IFERROR(INDEX(#REF!,MATCH($E166&amp;$F166,#REF!&amp;#REF!,0)),0)</f>
        <v>0</v>
      </c>
      <c r="AB166" s="625">
        <f t="array" ref="AB166">IFERROR(INDEX(#REF!,MATCH($E166&amp;$F166,#REF!&amp;#REF!,0)),0)</f>
        <v>0</v>
      </c>
      <c r="AC166" s="626">
        <f t="shared" si="120"/>
        <v>0</v>
      </c>
      <c r="AD166" s="626">
        <f t="shared" si="121"/>
        <v>0</v>
      </c>
      <c r="AE166" s="626">
        <f t="shared" si="122"/>
        <v>0</v>
      </c>
      <c r="AF166" s="625">
        <f t="array" ref="AF166">IFERROR(INDEX(#REF!,MATCH($E166&amp;$F166,#REF!&amp;#REF!,0)),0)</f>
        <v>0</v>
      </c>
      <c r="AG166" s="626">
        <f t="shared" si="123"/>
        <v>0</v>
      </c>
      <c r="AH166" s="626">
        <f t="shared" si="124"/>
        <v>0</v>
      </c>
      <c r="AI166" s="626">
        <f t="shared" si="125"/>
        <v>0</v>
      </c>
      <c r="AJ166" s="625">
        <f t="array" ref="AJ166">IFERROR(INDEX(#REF!,MATCH($E166&amp;$F166,#REF!&amp;#REF!,0)),0)</f>
        <v>0</v>
      </c>
      <c r="AK166" s="626">
        <f t="shared" si="126"/>
        <v>0</v>
      </c>
      <c r="AL166" s="626">
        <f t="shared" si="127"/>
        <v>0</v>
      </c>
      <c r="AM166" s="626">
        <f t="shared" si="128"/>
        <v>0</v>
      </c>
      <c r="AN166" s="625">
        <f t="array" ref="AN166">IFERROR(INDEX(#REF!,MATCH($E166&amp;$F166,#REF!&amp;#REF!,0)),0)</f>
        <v>0</v>
      </c>
      <c r="AO166" s="626">
        <f t="shared" si="129"/>
        <v>0</v>
      </c>
      <c r="AP166" s="626">
        <f t="shared" si="130"/>
        <v>0</v>
      </c>
      <c r="AQ166" s="626">
        <f t="shared" si="131"/>
        <v>0</v>
      </c>
      <c r="AR166" s="630"/>
      <c r="AS166" s="625">
        <f t="array" ref="AS166">IFERROR(INDEX(#REF!,MATCH($E166&amp;$F166,#REF!&amp;#REF!,0)),0)</f>
        <v>0</v>
      </c>
      <c r="AT166" s="625">
        <f t="array" ref="AT166">IFERROR(INDEX(#REF!,MATCH($E166&amp;$F166,#REF!&amp;#REF!,0)),0)</f>
        <v>0</v>
      </c>
      <c r="AU166" s="626">
        <f t="shared" si="132"/>
        <v>0</v>
      </c>
      <c r="AV166" s="626">
        <f t="shared" si="133"/>
        <v>0</v>
      </c>
      <c r="AW166" s="626">
        <f t="shared" si="134"/>
        <v>0</v>
      </c>
      <c r="AX166" s="625">
        <f t="array" ref="AX166">IFERROR(INDEX(#REF!,MATCH($E166&amp;$F166,#REF!&amp;#REF!,0)),0)</f>
        <v>0</v>
      </c>
      <c r="AY166" s="626">
        <f t="shared" si="135"/>
        <v>0</v>
      </c>
      <c r="AZ166" s="626">
        <f t="shared" si="136"/>
        <v>0</v>
      </c>
      <c r="BA166" s="626">
        <f t="shared" si="137"/>
        <v>0</v>
      </c>
      <c r="BB166" s="625">
        <f t="array" ref="BB166">IFERROR(INDEX(#REF!,MATCH($E166&amp;$F166,#REF!&amp;#REF!,0)),0)</f>
        <v>0</v>
      </c>
      <c r="BC166" s="626">
        <f t="shared" si="138"/>
        <v>0</v>
      </c>
      <c r="BD166" s="626">
        <f t="shared" si="139"/>
        <v>0</v>
      </c>
      <c r="BE166" s="626">
        <f t="shared" si="140"/>
        <v>0</v>
      </c>
      <c r="BF166" s="625">
        <f t="array" ref="BF166">IFERROR(INDEX(#REF!,MATCH($E166&amp;$F166,#REF!&amp;#REF!,0)),0)</f>
        <v>0</v>
      </c>
      <c r="BG166" s="626">
        <f t="shared" si="141"/>
        <v>0</v>
      </c>
      <c r="BH166" s="626">
        <f t="shared" si="142"/>
        <v>0</v>
      </c>
      <c r="BI166" s="626">
        <f t="shared" si="143"/>
        <v>0</v>
      </c>
      <c r="BJ166" s="630"/>
      <c r="BK166" s="625"/>
      <c r="BL166" s="625"/>
      <c r="BM166" s="625"/>
      <c r="BN166" s="625"/>
      <c r="BO166" s="625"/>
      <c r="BP166" s="625"/>
      <c r="BQ166" s="625"/>
      <c r="BR166" s="625"/>
    </row>
    <row r="167" spans="1:70">
      <c r="A167" s="29" t="s">
        <v>1317</v>
      </c>
      <c r="B167" s="29" t="s">
        <v>1744</v>
      </c>
      <c r="C167" s="619">
        <f>SETUP!$F$39</f>
        <v>0</v>
      </c>
      <c r="D167" s="25">
        <v>4.7</v>
      </c>
      <c r="E167" s="26" t="s">
        <v>1370</v>
      </c>
      <c r="F167" s="26" t="s">
        <v>1434</v>
      </c>
      <c r="G167" s="625" t="str">
        <f t="array" ref="G167">IFERROR(INDEX(#REF!,MATCH($E167&amp;$F167,#REF!&amp;#REF!,0)),"")</f>
        <v/>
      </c>
      <c r="H167" s="625"/>
      <c r="I167" s="625">
        <f t="array" ref="I167">IFERROR(INDEX(#REF!,MATCH($E167&amp;$F167,#REF!&amp;#REF!,0)),0)</f>
        <v>0</v>
      </c>
      <c r="J167" s="625">
        <f t="array" ref="J167">IFERROR(INDEX(#REF!,MATCH($E167&amp;$F167,#REF!&amp;#REF!,0)),0)</f>
        <v>0</v>
      </c>
      <c r="K167" s="626">
        <f t="shared" si="108"/>
        <v>0</v>
      </c>
      <c r="L167" s="626">
        <f t="shared" si="109"/>
        <v>0</v>
      </c>
      <c r="M167" s="626">
        <f t="shared" si="110"/>
        <v>0</v>
      </c>
      <c r="N167" s="625">
        <f t="array" ref="N167">IFERROR(INDEX(#REF!,MATCH($E167&amp;$F167,#REF!&amp;#REF!,0)),0)</f>
        <v>0</v>
      </c>
      <c r="O167" s="626">
        <f t="shared" si="111"/>
        <v>0</v>
      </c>
      <c r="P167" s="626">
        <f t="shared" si="112"/>
        <v>0</v>
      </c>
      <c r="Q167" s="626">
        <f t="shared" si="113"/>
        <v>0</v>
      </c>
      <c r="R167" s="625">
        <f t="array" ref="R167">IFERROR(INDEX(#REF!,MATCH($E167&amp;$F167,#REF!&amp;#REF!,0)),0)</f>
        <v>0</v>
      </c>
      <c r="S167" s="626">
        <f t="shared" si="114"/>
        <v>0</v>
      </c>
      <c r="T167" s="626">
        <f t="shared" si="115"/>
        <v>0</v>
      </c>
      <c r="U167" s="626">
        <f t="shared" si="116"/>
        <v>0</v>
      </c>
      <c r="V167" s="625">
        <f t="array" ref="V167">IFERROR(INDEX(#REF!,MATCH($E167&amp;$F167,#REF!&amp;#REF!,0)),0)</f>
        <v>0</v>
      </c>
      <c r="W167" s="626">
        <f t="shared" si="117"/>
        <v>0</v>
      </c>
      <c r="X167" s="626">
        <f t="shared" si="118"/>
        <v>0</v>
      </c>
      <c r="Y167" s="626">
        <f t="shared" si="119"/>
        <v>0</v>
      </c>
      <c r="Z167" s="630"/>
      <c r="AA167" s="625">
        <f t="array" ref="AA167">IFERROR(INDEX(#REF!,MATCH($E167&amp;$F167,#REF!&amp;#REF!,0)),0)</f>
        <v>0</v>
      </c>
      <c r="AB167" s="625">
        <f t="array" ref="AB167">IFERROR(INDEX(#REF!,MATCH($E167&amp;$F167,#REF!&amp;#REF!,0)),0)</f>
        <v>0</v>
      </c>
      <c r="AC167" s="626">
        <f t="shared" si="120"/>
        <v>0</v>
      </c>
      <c r="AD167" s="626">
        <f t="shared" si="121"/>
        <v>0</v>
      </c>
      <c r="AE167" s="626">
        <f t="shared" si="122"/>
        <v>0</v>
      </c>
      <c r="AF167" s="625">
        <f t="array" ref="AF167">IFERROR(INDEX(#REF!,MATCH($E167&amp;$F167,#REF!&amp;#REF!,0)),0)</f>
        <v>0</v>
      </c>
      <c r="AG167" s="626">
        <f t="shared" si="123"/>
        <v>0</v>
      </c>
      <c r="AH167" s="626">
        <f t="shared" si="124"/>
        <v>0</v>
      </c>
      <c r="AI167" s="626">
        <f t="shared" si="125"/>
        <v>0</v>
      </c>
      <c r="AJ167" s="625">
        <f t="array" ref="AJ167">IFERROR(INDEX(#REF!,MATCH($E167&amp;$F167,#REF!&amp;#REF!,0)),0)</f>
        <v>0</v>
      </c>
      <c r="AK167" s="626">
        <f t="shared" si="126"/>
        <v>0</v>
      </c>
      <c r="AL167" s="626">
        <f t="shared" si="127"/>
        <v>0</v>
      </c>
      <c r="AM167" s="626">
        <f t="shared" si="128"/>
        <v>0</v>
      </c>
      <c r="AN167" s="625">
        <f t="array" ref="AN167">IFERROR(INDEX(#REF!,MATCH($E167&amp;$F167,#REF!&amp;#REF!,0)),0)</f>
        <v>0</v>
      </c>
      <c r="AO167" s="626">
        <f t="shared" si="129"/>
        <v>0</v>
      </c>
      <c r="AP167" s="626">
        <f t="shared" si="130"/>
        <v>0</v>
      </c>
      <c r="AQ167" s="626">
        <f t="shared" si="131"/>
        <v>0</v>
      </c>
      <c r="AR167" s="630"/>
      <c r="AS167" s="625">
        <f t="array" ref="AS167">IFERROR(INDEX(#REF!,MATCH($E167&amp;$F167,#REF!&amp;#REF!,0)),0)</f>
        <v>0</v>
      </c>
      <c r="AT167" s="625">
        <f t="array" ref="AT167">IFERROR(INDEX(#REF!,MATCH($E167&amp;$F167,#REF!&amp;#REF!,0)),0)</f>
        <v>0</v>
      </c>
      <c r="AU167" s="626">
        <f t="shared" si="132"/>
        <v>0</v>
      </c>
      <c r="AV167" s="626">
        <f t="shared" si="133"/>
        <v>0</v>
      </c>
      <c r="AW167" s="626">
        <f t="shared" si="134"/>
        <v>0</v>
      </c>
      <c r="AX167" s="625">
        <f t="array" ref="AX167">IFERROR(INDEX(#REF!,MATCH($E167&amp;$F167,#REF!&amp;#REF!,0)),0)</f>
        <v>0</v>
      </c>
      <c r="AY167" s="626">
        <f t="shared" si="135"/>
        <v>0</v>
      </c>
      <c r="AZ167" s="626">
        <f t="shared" si="136"/>
        <v>0</v>
      </c>
      <c r="BA167" s="626">
        <f t="shared" si="137"/>
        <v>0</v>
      </c>
      <c r="BB167" s="625">
        <f t="array" ref="BB167">IFERROR(INDEX(#REF!,MATCH($E167&amp;$F167,#REF!&amp;#REF!,0)),0)</f>
        <v>0</v>
      </c>
      <c r="BC167" s="626">
        <f t="shared" si="138"/>
        <v>0</v>
      </c>
      <c r="BD167" s="626">
        <f t="shared" si="139"/>
        <v>0</v>
      </c>
      <c r="BE167" s="626">
        <f t="shared" si="140"/>
        <v>0</v>
      </c>
      <c r="BF167" s="625">
        <f t="array" ref="BF167">IFERROR(INDEX(#REF!,MATCH($E167&amp;$F167,#REF!&amp;#REF!,0)),0)</f>
        <v>0</v>
      </c>
      <c r="BG167" s="626">
        <f t="shared" si="141"/>
        <v>0</v>
      </c>
      <c r="BH167" s="626">
        <f t="shared" si="142"/>
        <v>0</v>
      </c>
      <c r="BI167" s="626">
        <f t="shared" si="143"/>
        <v>0</v>
      </c>
      <c r="BJ167" s="630"/>
      <c r="BK167" s="625"/>
      <c r="BL167" s="625"/>
      <c r="BM167" s="625"/>
      <c r="BN167" s="625"/>
      <c r="BO167" s="625"/>
      <c r="BP167" s="625"/>
      <c r="BQ167" s="625"/>
      <c r="BR167" s="625"/>
    </row>
    <row r="168" spans="1:70">
      <c r="A168" s="29" t="s">
        <v>1317</v>
      </c>
      <c r="B168" s="29" t="s">
        <v>1744</v>
      </c>
      <c r="C168" s="619">
        <f>SETUP!$F$39</f>
        <v>0</v>
      </c>
      <c r="D168" s="25">
        <v>4.7</v>
      </c>
      <c r="E168" s="26" t="s">
        <v>1435</v>
      </c>
      <c r="F168" s="26" t="s">
        <v>1436</v>
      </c>
      <c r="G168" s="625" t="str">
        <f t="array" ref="G168">IFERROR(INDEX(#REF!,MATCH($E168&amp;$F168,#REF!&amp;#REF!,0)),"")</f>
        <v/>
      </c>
      <c r="H168" s="625"/>
      <c r="I168" s="625">
        <f t="array" ref="I168">IFERROR(INDEX(#REF!,MATCH($E168&amp;$F168,#REF!&amp;#REF!,0)),0)</f>
        <v>0</v>
      </c>
      <c r="J168" s="625">
        <f t="array" ref="J168">IFERROR(INDEX(#REF!,MATCH($E168&amp;$F168,#REF!&amp;#REF!,0)),0)</f>
        <v>0</v>
      </c>
      <c r="K168" s="626">
        <f t="shared" si="108"/>
        <v>0</v>
      </c>
      <c r="L168" s="626">
        <f t="shared" si="109"/>
        <v>0</v>
      </c>
      <c r="M168" s="626">
        <f t="shared" si="110"/>
        <v>0</v>
      </c>
      <c r="N168" s="625">
        <f t="array" ref="N168">IFERROR(INDEX(#REF!,MATCH($E168&amp;$F168,#REF!&amp;#REF!,0)),0)</f>
        <v>0</v>
      </c>
      <c r="O168" s="626">
        <f t="shared" si="111"/>
        <v>0</v>
      </c>
      <c r="P168" s="626">
        <f t="shared" si="112"/>
        <v>0</v>
      </c>
      <c r="Q168" s="626">
        <f t="shared" si="113"/>
        <v>0</v>
      </c>
      <c r="R168" s="625">
        <f t="array" ref="R168">IFERROR(INDEX(#REF!,MATCH($E168&amp;$F168,#REF!&amp;#REF!,0)),0)</f>
        <v>0</v>
      </c>
      <c r="S168" s="626">
        <f t="shared" si="114"/>
        <v>0</v>
      </c>
      <c r="T168" s="626">
        <f t="shared" si="115"/>
        <v>0</v>
      </c>
      <c r="U168" s="626">
        <f t="shared" si="116"/>
        <v>0</v>
      </c>
      <c r="V168" s="625">
        <f t="array" ref="V168">IFERROR(INDEX(#REF!,MATCH($E168&amp;$F168,#REF!&amp;#REF!,0)),0)</f>
        <v>0</v>
      </c>
      <c r="W168" s="626">
        <f t="shared" si="117"/>
        <v>0</v>
      </c>
      <c r="X168" s="626">
        <f t="shared" si="118"/>
        <v>0</v>
      </c>
      <c r="Y168" s="626">
        <f t="shared" si="119"/>
        <v>0</v>
      </c>
      <c r="Z168" s="630"/>
      <c r="AA168" s="625">
        <f t="array" ref="AA168">IFERROR(INDEX(#REF!,MATCH($E168&amp;$F168,#REF!&amp;#REF!,0)),0)</f>
        <v>0</v>
      </c>
      <c r="AB168" s="625">
        <f t="array" ref="AB168">IFERROR(INDEX(#REF!,MATCH($E168&amp;$F168,#REF!&amp;#REF!,0)),0)</f>
        <v>0</v>
      </c>
      <c r="AC168" s="626">
        <f t="shared" si="120"/>
        <v>0</v>
      </c>
      <c r="AD168" s="626">
        <f t="shared" si="121"/>
        <v>0</v>
      </c>
      <c r="AE168" s="626">
        <f t="shared" si="122"/>
        <v>0</v>
      </c>
      <c r="AF168" s="625">
        <f t="array" ref="AF168">IFERROR(INDEX(#REF!,MATCH($E168&amp;$F168,#REF!&amp;#REF!,0)),0)</f>
        <v>0</v>
      </c>
      <c r="AG168" s="626">
        <f t="shared" si="123"/>
        <v>0</v>
      </c>
      <c r="AH168" s="626">
        <f t="shared" si="124"/>
        <v>0</v>
      </c>
      <c r="AI168" s="626">
        <f t="shared" si="125"/>
        <v>0</v>
      </c>
      <c r="AJ168" s="625">
        <f t="array" ref="AJ168">IFERROR(INDEX(#REF!,MATCH($E168&amp;$F168,#REF!&amp;#REF!,0)),0)</f>
        <v>0</v>
      </c>
      <c r="AK168" s="626">
        <f t="shared" si="126"/>
        <v>0</v>
      </c>
      <c r="AL168" s="626">
        <f t="shared" si="127"/>
        <v>0</v>
      </c>
      <c r="AM168" s="626">
        <f t="shared" si="128"/>
        <v>0</v>
      </c>
      <c r="AN168" s="625">
        <f t="array" ref="AN168">IFERROR(INDEX(#REF!,MATCH($E168&amp;$F168,#REF!&amp;#REF!,0)),0)</f>
        <v>0</v>
      </c>
      <c r="AO168" s="626">
        <f t="shared" si="129"/>
        <v>0</v>
      </c>
      <c r="AP168" s="626">
        <f t="shared" si="130"/>
        <v>0</v>
      </c>
      <c r="AQ168" s="626">
        <f t="shared" si="131"/>
        <v>0</v>
      </c>
      <c r="AR168" s="630"/>
      <c r="AS168" s="625">
        <f t="array" ref="AS168">IFERROR(INDEX(#REF!,MATCH($E168&amp;$F168,#REF!&amp;#REF!,0)),0)</f>
        <v>0</v>
      </c>
      <c r="AT168" s="625">
        <f t="array" ref="AT168">IFERROR(INDEX(#REF!,MATCH($E168&amp;$F168,#REF!&amp;#REF!,0)),0)</f>
        <v>0</v>
      </c>
      <c r="AU168" s="626">
        <f t="shared" si="132"/>
        <v>0</v>
      </c>
      <c r="AV168" s="626">
        <f t="shared" si="133"/>
        <v>0</v>
      </c>
      <c r="AW168" s="626">
        <f t="shared" si="134"/>
        <v>0</v>
      </c>
      <c r="AX168" s="625">
        <f t="array" ref="AX168">IFERROR(INDEX(#REF!,MATCH($E168&amp;$F168,#REF!&amp;#REF!,0)),0)</f>
        <v>0</v>
      </c>
      <c r="AY168" s="626">
        <f t="shared" si="135"/>
        <v>0</v>
      </c>
      <c r="AZ168" s="626">
        <f t="shared" si="136"/>
        <v>0</v>
      </c>
      <c r="BA168" s="626">
        <f t="shared" si="137"/>
        <v>0</v>
      </c>
      <c r="BB168" s="625">
        <f t="array" ref="BB168">IFERROR(INDEX(#REF!,MATCH($E168&amp;$F168,#REF!&amp;#REF!,0)),0)</f>
        <v>0</v>
      </c>
      <c r="BC168" s="626">
        <f t="shared" si="138"/>
        <v>0</v>
      </c>
      <c r="BD168" s="626">
        <f t="shared" si="139"/>
        <v>0</v>
      </c>
      <c r="BE168" s="626">
        <f t="shared" si="140"/>
        <v>0</v>
      </c>
      <c r="BF168" s="625">
        <f t="array" ref="BF168">IFERROR(INDEX(#REF!,MATCH($E168&amp;$F168,#REF!&amp;#REF!,0)),0)</f>
        <v>0</v>
      </c>
      <c r="BG168" s="626">
        <f t="shared" si="141"/>
        <v>0</v>
      </c>
      <c r="BH168" s="626">
        <f t="shared" si="142"/>
        <v>0</v>
      </c>
      <c r="BI168" s="626">
        <f t="shared" si="143"/>
        <v>0</v>
      </c>
      <c r="BJ168" s="630"/>
      <c r="BK168" s="625"/>
      <c r="BL168" s="625"/>
      <c r="BM168" s="625"/>
      <c r="BN168" s="625"/>
      <c r="BO168" s="625"/>
      <c r="BP168" s="625"/>
      <c r="BQ168" s="625"/>
      <c r="BR168" s="625"/>
    </row>
    <row r="169" spans="1:70">
      <c r="A169" s="29" t="s">
        <v>1317</v>
      </c>
      <c r="B169" s="29" t="s">
        <v>1744</v>
      </c>
      <c r="C169" s="619">
        <f>SETUP!$F$39</f>
        <v>0</v>
      </c>
      <c r="D169" s="25">
        <v>4.7</v>
      </c>
      <c r="E169" s="26" t="s">
        <v>1435</v>
      </c>
      <c r="F169" s="26" t="s">
        <v>1437</v>
      </c>
      <c r="G169" s="625" t="str">
        <f t="array" ref="G169">IFERROR(INDEX(#REF!,MATCH($E169&amp;$F169,#REF!&amp;#REF!,0)),"")</f>
        <v/>
      </c>
      <c r="H169" s="625"/>
      <c r="I169" s="625">
        <f t="array" ref="I169">IFERROR(INDEX(#REF!,MATCH($E169&amp;$F169,#REF!&amp;#REF!,0)),0)</f>
        <v>0</v>
      </c>
      <c r="J169" s="625">
        <f t="array" ref="J169">IFERROR(INDEX(#REF!,MATCH($E169&amp;$F169,#REF!&amp;#REF!,0)),0)</f>
        <v>0</v>
      </c>
      <c r="K169" s="626">
        <f t="shared" si="108"/>
        <v>0</v>
      </c>
      <c r="L169" s="626">
        <f t="shared" si="109"/>
        <v>0</v>
      </c>
      <c r="M169" s="626">
        <f t="shared" si="110"/>
        <v>0</v>
      </c>
      <c r="N169" s="625">
        <f t="array" ref="N169">IFERROR(INDEX(#REF!,MATCH($E169&amp;$F169,#REF!&amp;#REF!,0)),0)</f>
        <v>0</v>
      </c>
      <c r="O169" s="626">
        <f t="shared" si="111"/>
        <v>0</v>
      </c>
      <c r="P169" s="626">
        <f t="shared" si="112"/>
        <v>0</v>
      </c>
      <c r="Q169" s="626">
        <f t="shared" si="113"/>
        <v>0</v>
      </c>
      <c r="R169" s="625">
        <f t="array" ref="R169">IFERROR(INDEX(#REF!,MATCH($E169&amp;$F169,#REF!&amp;#REF!,0)),0)</f>
        <v>0</v>
      </c>
      <c r="S169" s="626">
        <f t="shared" si="114"/>
        <v>0</v>
      </c>
      <c r="T169" s="626">
        <f t="shared" si="115"/>
        <v>0</v>
      </c>
      <c r="U169" s="626">
        <f t="shared" si="116"/>
        <v>0</v>
      </c>
      <c r="V169" s="625">
        <f t="array" ref="V169">IFERROR(INDEX(#REF!,MATCH($E169&amp;$F169,#REF!&amp;#REF!,0)),0)</f>
        <v>0</v>
      </c>
      <c r="W169" s="626">
        <f t="shared" si="117"/>
        <v>0</v>
      </c>
      <c r="X169" s="626">
        <f t="shared" si="118"/>
        <v>0</v>
      </c>
      <c r="Y169" s="626">
        <f t="shared" si="119"/>
        <v>0</v>
      </c>
      <c r="Z169" s="630"/>
      <c r="AA169" s="625">
        <f t="array" ref="AA169">IFERROR(INDEX(#REF!,MATCH($E169&amp;$F169,#REF!&amp;#REF!,0)),0)</f>
        <v>0</v>
      </c>
      <c r="AB169" s="625">
        <f t="array" ref="AB169">IFERROR(INDEX(#REF!,MATCH($E169&amp;$F169,#REF!&amp;#REF!,0)),0)</f>
        <v>0</v>
      </c>
      <c r="AC169" s="626">
        <f t="shared" si="120"/>
        <v>0</v>
      </c>
      <c r="AD169" s="626">
        <f t="shared" si="121"/>
        <v>0</v>
      </c>
      <c r="AE169" s="626">
        <f t="shared" si="122"/>
        <v>0</v>
      </c>
      <c r="AF169" s="625">
        <f t="array" ref="AF169">IFERROR(INDEX(#REF!,MATCH($E169&amp;$F169,#REF!&amp;#REF!,0)),0)</f>
        <v>0</v>
      </c>
      <c r="AG169" s="626">
        <f t="shared" si="123"/>
        <v>0</v>
      </c>
      <c r="AH169" s="626">
        <f t="shared" si="124"/>
        <v>0</v>
      </c>
      <c r="AI169" s="626">
        <f t="shared" si="125"/>
        <v>0</v>
      </c>
      <c r="AJ169" s="625">
        <f t="array" ref="AJ169">IFERROR(INDEX(#REF!,MATCH($E169&amp;$F169,#REF!&amp;#REF!,0)),0)</f>
        <v>0</v>
      </c>
      <c r="AK169" s="626">
        <f t="shared" si="126"/>
        <v>0</v>
      </c>
      <c r="AL169" s="626">
        <f t="shared" si="127"/>
        <v>0</v>
      </c>
      <c r="AM169" s="626">
        <f t="shared" si="128"/>
        <v>0</v>
      </c>
      <c r="AN169" s="625">
        <f t="array" ref="AN169">IFERROR(INDEX(#REF!,MATCH($E169&amp;$F169,#REF!&amp;#REF!,0)),0)</f>
        <v>0</v>
      </c>
      <c r="AO169" s="626">
        <f t="shared" si="129"/>
        <v>0</v>
      </c>
      <c r="AP169" s="626">
        <f t="shared" si="130"/>
        <v>0</v>
      </c>
      <c r="AQ169" s="626">
        <f t="shared" si="131"/>
        <v>0</v>
      </c>
      <c r="AR169" s="630"/>
      <c r="AS169" s="625">
        <f t="array" ref="AS169">IFERROR(INDEX(#REF!,MATCH($E169&amp;$F169,#REF!&amp;#REF!,0)),0)</f>
        <v>0</v>
      </c>
      <c r="AT169" s="625">
        <f t="array" ref="AT169">IFERROR(INDEX(#REF!,MATCH($E169&amp;$F169,#REF!&amp;#REF!,0)),0)</f>
        <v>0</v>
      </c>
      <c r="AU169" s="626">
        <f t="shared" si="132"/>
        <v>0</v>
      </c>
      <c r="AV169" s="626">
        <f t="shared" si="133"/>
        <v>0</v>
      </c>
      <c r="AW169" s="626">
        <f t="shared" si="134"/>
        <v>0</v>
      </c>
      <c r="AX169" s="625">
        <f t="array" ref="AX169">IFERROR(INDEX(#REF!,MATCH($E169&amp;$F169,#REF!&amp;#REF!,0)),0)</f>
        <v>0</v>
      </c>
      <c r="AY169" s="626">
        <f t="shared" si="135"/>
        <v>0</v>
      </c>
      <c r="AZ169" s="626">
        <f t="shared" si="136"/>
        <v>0</v>
      </c>
      <c r="BA169" s="626">
        <f t="shared" si="137"/>
        <v>0</v>
      </c>
      <c r="BB169" s="625">
        <f t="array" ref="BB169">IFERROR(INDEX(#REF!,MATCH($E169&amp;$F169,#REF!&amp;#REF!,0)),0)</f>
        <v>0</v>
      </c>
      <c r="BC169" s="626">
        <f t="shared" si="138"/>
        <v>0</v>
      </c>
      <c r="BD169" s="626">
        <f t="shared" si="139"/>
        <v>0</v>
      </c>
      <c r="BE169" s="626">
        <f t="shared" si="140"/>
        <v>0</v>
      </c>
      <c r="BF169" s="625">
        <f t="array" ref="BF169">IFERROR(INDEX(#REF!,MATCH($E169&amp;$F169,#REF!&amp;#REF!,0)),0)</f>
        <v>0</v>
      </c>
      <c r="BG169" s="626">
        <f t="shared" si="141"/>
        <v>0</v>
      </c>
      <c r="BH169" s="626">
        <f t="shared" si="142"/>
        <v>0</v>
      </c>
      <c r="BI169" s="626">
        <f t="shared" si="143"/>
        <v>0</v>
      </c>
      <c r="BJ169" s="630"/>
      <c r="BK169" s="625"/>
      <c r="BL169" s="625"/>
      <c r="BM169" s="625"/>
      <c r="BN169" s="625"/>
      <c r="BO169" s="625"/>
      <c r="BP169" s="625"/>
      <c r="BQ169" s="625"/>
      <c r="BR169" s="625"/>
    </row>
    <row r="170" spans="1:70">
      <c r="A170" s="29" t="s">
        <v>1317</v>
      </c>
      <c r="B170" s="29" t="s">
        <v>1744</v>
      </c>
      <c r="C170" s="619">
        <f>SETUP!$F$39</f>
        <v>0</v>
      </c>
      <c r="D170" s="25">
        <v>4.7</v>
      </c>
      <c r="E170" s="26" t="s">
        <v>1435</v>
      </c>
      <c r="F170" s="26" t="s">
        <v>1438</v>
      </c>
      <c r="G170" s="625" t="str">
        <f t="array" ref="G170">IFERROR(INDEX(#REF!,MATCH($E170&amp;$F170,#REF!&amp;#REF!,0)),"")</f>
        <v/>
      </c>
      <c r="H170" s="625"/>
      <c r="I170" s="625">
        <f t="array" ref="I170">IFERROR(INDEX(#REF!,MATCH($E170&amp;$F170,#REF!&amp;#REF!,0)),0)</f>
        <v>0</v>
      </c>
      <c r="J170" s="625">
        <f t="array" ref="J170">IFERROR(INDEX(#REF!,MATCH($E170&amp;$F170,#REF!&amp;#REF!,0)),0)</f>
        <v>0</v>
      </c>
      <c r="K170" s="626">
        <f t="shared" si="108"/>
        <v>0</v>
      </c>
      <c r="L170" s="626">
        <f t="shared" si="109"/>
        <v>0</v>
      </c>
      <c r="M170" s="626">
        <f t="shared" si="110"/>
        <v>0</v>
      </c>
      <c r="N170" s="625">
        <f t="array" ref="N170">IFERROR(INDEX(#REF!,MATCH($E170&amp;$F170,#REF!&amp;#REF!,0)),0)</f>
        <v>0</v>
      </c>
      <c r="O170" s="626">
        <f t="shared" si="111"/>
        <v>0</v>
      </c>
      <c r="P170" s="626">
        <f t="shared" si="112"/>
        <v>0</v>
      </c>
      <c r="Q170" s="626">
        <f t="shared" si="113"/>
        <v>0</v>
      </c>
      <c r="R170" s="625">
        <f t="array" ref="R170">IFERROR(INDEX(#REF!,MATCH($E170&amp;$F170,#REF!&amp;#REF!,0)),0)</f>
        <v>0</v>
      </c>
      <c r="S170" s="626">
        <f t="shared" si="114"/>
        <v>0</v>
      </c>
      <c r="T170" s="626">
        <f t="shared" si="115"/>
        <v>0</v>
      </c>
      <c r="U170" s="626">
        <f t="shared" si="116"/>
        <v>0</v>
      </c>
      <c r="V170" s="625">
        <f t="array" ref="V170">IFERROR(INDEX(#REF!,MATCH($E170&amp;$F170,#REF!&amp;#REF!,0)),0)</f>
        <v>0</v>
      </c>
      <c r="W170" s="626">
        <f t="shared" si="117"/>
        <v>0</v>
      </c>
      <c r="X170" s="626">
        <f t="shared" si="118"/>
        <v>0</v>
      </c>
      <c r="Y170" s="626">
        <f t="shared" si="119"/>
        <v>0</v>
      </c>
      <c r="Z170" s="630"/>
      <c r="AA170" s="625">
        <f t="array" ref="AA170">IFERROR(INDEX(#REF!,MATCH($E170&amp;$F170,#REF!&amp;#REF!,0)),0)</f>
        <v>0</v>
      </c>
      <c r="AB170" s="625">
        <f t="array" ref="AB170">IFERROR(INDEX(#REF!,MATCH($E170&amp;$F170,#REF!&amp;#REF!,0)),0)</f>
        <v>0</v>
      </c>
      <c r="AC170" s="626">
        <f t="shared" si="120"/>
        <v>0</v>
      </c>
      <c r="AD170" s="626">
        <f t="shared" si="121"/>
        <v>0</v>
      </c>
      <c r="AE170" s="626">
        <f t="shared" si="122"/>
        <v>0</v>
      </c>
      <c r="AF170" s="625">
        <f t="array" ref="AF170">IFERROR(INDEX(#REF!,MATCH($E170&amp;$F170,#REF!&amp;#REF!,0)),0)</f>
        <v>0</v>
      </c>
      <c r="AG170" s="626">
        <f t="shared" si="123"/>
        <v>0</v>
      </c>
      <c r="AH170" s="626">
        <f t="shared" si="124"/>
        <v>0</v>
      </c>
      <c r="AI170" s="626">
        <f t="shared" si="125"/>
        <v>0</v>
      </c>
      <c r="AJ170" s="625">
        <f t="array" ref="AJ170">IFERROR(INDEX(#REF!,MATCH($E170&amp;$F170,#REF!&amp;#REF!,0)),0)</f>
        <v>0</v>
      </c>
      <c r="AK170" s="626">
        <f t="shared" si="126"/>
        <v>0</v>
      </c>
      <c r="AL170" s="626">
        <f t="shared" si="127"/>
        <v>0</v>
      </c>
      <c r="AM170" s="626">
        <f t="shared" si="128"/>
        <v>0</v>
      </c>
      <c r="AN170" s="625">
        <f t="array" ref="AN170">IFERROR(INDEX(#REF!,MATCH($E170&amp;$F170,#REF!&amp;#REF!,0)),0)</f>
        <v>0</v>
      </c>
      <c r="AO170" s="626">
        <f t="shared" si="129"/>
        <v>0</v>
      </c>
      <c r="AP170" s="626">
        <f t="shared" si="130"/>
        <v>0</v>
      </c>
      <c r="AQ170" s="626">
        <f t="shared" si="131"/>
        <v>0</v>
      </c>
      <c r="AR170" s="630"/>
      <c r="AS170" s="625">
        <f t="array" ref="AS170">IFERROR(INDEX(#REF!,MATCH($E170&amp;$F170,#REF!&amp;#REF!,0)),0)</f>
        <v>0</v>
      </c>
      <c r="AT170" s="625">
        <f t="array" ref="AT170">IFERROR(INDEX(#REF!,MATCH($E170&amp;$F170,#REF!&amp;#REF!,0)),0)</f>
        <v>0</v>
      </c>
      <c r="AU170" s="626">
        <f t="shared" si="132"/>
        <v>0</v>
      </c>
      <c r="AV170" s="626">
        <f t="shared" si="133"/>
        <v>0</v>
      </c>
      <c r="AW170" s="626">
        <f t="shared" si="134"/>
        <v>0</v>
      </c>
      <c r="AX170" s="625">
        <f t="array" ref="AX170">IFERROR(INDEX(#REF!,MATCH($E170&amp;$F170,#REF!&amp;#REF!,0)),0)</f>
        <v>0</v>
      </c>
      <c r="AY170" s="626">
        <f t="shared" si="135"/>
        <v>0</v>
      </c>
      <c r="AZ170" s="626">
        <f t="shared" si="136"/>
        <v>0</v>
      </c>
      <c r="BA170" s="626">
        <f t="shared" si="137"/>
        <v>0</v>
      </c>
      <c r="BB170" s="625">
        <f t="array" ref="BB170">IFERROR(INDEX(#REF!,MATCH($E170&amp;$F170,#REF!&amp;#REF!,0)),0)</f>
        <v>0</v>
      </c>
      <c r="BC170" s="626">
        <f t="shared" si="138"/>
        <v>0</v>
      </c>
      <c r="BD170" s="626">
        <f t="shared" si="139"/>
        <v>0</v>
      </c>
      <c r="BE170" s="626">
        <f t="shared" si="140"/>
        <v>0</v>
      </c>
      <c r="BF170" s="625">
        <f t="array" ref="BF170">IFERROR(INDEX(#REF!,MATCH($E170&amp;$F170,#REF!&amp;#REF!,0)),0)</f>
        <v>0</v>
      </c>
      <c r="BG170" s="626">
        <f t="shared" si="141"/>
        <v>0</v>
      </c>
      <c r="BH170" s="626">
        <f t="shared" si="142"/>
        <v>0</v>
      </c>
      <c r="BI170" s="626">
        <f t="shared" si="143"/>
        <v>0</v>
      </c>
      <c r="BJ170" s="630"/>
      <c r="BK170" s="625"/>
      <c r="BL170" s="625"/>
      <c r="BM170" s="625"/>
      <c r="BN170" s="625"/>
      <c r="BO170" s="625"/>
      <c r="BP170" s="625"/>
      <c r="BQ170" s="625"/>
      <c r="BR170" s="625"/>
    </row>
    <row r="171" spans="1:70">
      <c r="A171" s="29" t="s">
        <v>1317</v>
      </c>
      <c r="B171" s="29" t="s">
        <v>1744</v>
      </c>
      <c r="C171" s="619">
        <f>SETUP!$F$39</f>
        <v>0</v>
      </c>
      <c r="D171" s="25">
        <v>4.7</v>
      </c>
      <c r="E171" s="26" t="s">
        <v>1371</v>
      </c>
      <c r="F171" s="26" t="s">
        <v>1439</v>
      </c>
      <c r="G171" s="625" t="str">
        <f t="array" ref="G171">IFERROR(INDEX(#REF!,MATCH($E171&amp;$F171,#REF!&amp;#REF!,0)),"")</f>
        <v/>
      </c>
      <c r="H171" s="625"/>
      <c r="I171" s="625">
        <f t="array" ref="I171">IFERROR(INDEX(#REF!,MATCH($E171&amp;$F171,#REF!&amp;#REF!,0)),0)</f>
        <v>0</v>
      </c>
      <c r="J171" s="625">
        <f t="array" ref="J171">IFERROR(INDEX(#REF!,MATCH($E171&amp;$F171,#REF!&amp;#REF!,0)),0)</f>
        <v>0</v>
      </c>
      <c r="K171" s="626">
        <f t="shared" si="108"/>
        <v>0</v>
      </c>
      <c r="L171" s="626">
        <f t="shared" si="109"/>
        <v>0</v>
      </c>
      <c r="M171" s="626">
        <f t="shared" si="110"/>
        <v>0</v>
      </c>
      <c r="N171" s="625">
        <f t="array" ref="N171">IFERROR(INDEX(#REF!,MATCH($E171&amp;$F171,#REF!&amp;#REF!,0)),0)</f>
        <v>0</v>
      </c>
      <c r="O171" s="626">
        <f t="shared" si="111"/>
        <v>0</v>
      </c>
      <c r="P171" s="626">
        <f t="shared" si="112"/>
        <v>0</v>
      </c>
      <c r="Q171" s="626">
        <f t="shared" si="113"/>
        <v>0</v>
      </c>
      <c r="R171" s="625">
        <f t="array" ref="R171">IFERROR(INDEX(#REF!,MATCH($E171&amp;$F171,#REF!&amp;#REF!,0)),0)</f>
        <v>0</v>
      </c>
      <c r="S171" s="626">
        <f t="shared" si="114"/>
        <v>0</v>
      </c>
      <c r="T171" s="626">
        <f t="shared" si="115"/>
        <v>0</v>
      </c>
      <c r="U171" s="626">
        <f t="shared" si="116"/>
        <v>0</v>
      </c>
      <c r="V171" s="625">
        <f t="array" ref="V171">IFERROR(INDEX(#REF!,MATCH($E171&amp;$F171,#REF!&amp;#REF!,0)),0)</f>
        <v>0</v>
      </c>
      <c r="W171" s="626">
        <f t="shared" si="117"/>
        <v>0</v>
      </c>
      <c r="X171" s="626">
        <f t="shared" si="118"/>
        <v>0</v>
      </c>
      <c r="Y171" s="626">
        <f t="shared" si="119"/>
        <v>0</v>
      </c>
      <c r="Z171" s="630"/>
      <c r="AA171" s="625">
        <f t="array" ref="AA171">IFERROR(INDEX(#REF!,MATCH($E171&amp;$F171,#REF!&amp;#REF!,0)),0)</f>
        <v>0</v>
      </c>
      <c r="AB171" s="625">
        <f t="array" ref="AB171">IFERROR(INDEX(#REF!,MATCH($E171&amp;$F171,#REF!&amp;#REF!,0)),0)</f>
        <v>0</v>
      </c>
      <c r="AC171" s="626">
        <f t="shared" si="120"/>
        <v>0</v>
      </c>
      <c r="AD171" s="626">
        <f t="shared" si="121"/>
        <v>0</v>
      </c>
      <c r="AE171" s="626">
        <f t="shared" si="122"/>
        <v>0</v>
      </c>
      <c r="AF171" s="625">
        <f t="array" ref="AF171">IFERROR(INDEX(#REF!,MATCH($E171&amp;$F171,#REF!&amp;#REF!,0)),0)</f>
        <v>0</v>
      </c>
      <c r="AG171" s="626">
        <f t="shared" si="123"/>
        <v>0</v>
      </c>
      <c r="AH171" s="626">
        <f t="shared" si="124"/>
        <v>0</v>
      </c>
      <c r="AI171" s="626">
        <f t="shared" si="125"/>
        <v>0</v>
      </c>
      <c r="AJ171" s="625">
        <f t="array" ref="AJ171">IFERROR(INDEX(#REF!,MATCH($E171&amp;$F171,#REF!&amp;#REF!,0)),0)</f>
        <v>0</v>
      </c>
      <c r="AK171" s="626">
        <f t="shared" si="126"/>
        <v>0</v>
      </c>
      <c r="AL171" s="626">
        <f t="shared" si="127"/>
        <v>0</v>
      </c>
      <c r="AM171" s="626">
        <f t="shared" si="128"/>
        <v>0</v>
      </c>
      <c r="AN171" s="625">
        <f t="array" ref="AN171">IFERROR(INDEX(#REF!,MATCH($E171&amp;$F171,#REF!&amp;#REF!,0)),0)</f>
        <v>0</v>
      </c>
      <c r="AO171" s="626">
        <f t="shared" si="129"/>
        <v>0</v>
      </c>
      <c r="AP171" s="626">
        <f t="shared" si="130"/>
        <v>0</v>
      </c>
      <c r="AQ171" s="626">
        <f t="shared" si="131"/>
        <v>0</v>
      </c>
      <c r="AR171" s="630"/>
      <c r="AS171" s="625">
        <f t="array" ref="AS171">IFERROR(INDEX(#REF!,MATCH($E171&amp;$F171,#REF!&amp;#REF!,0)),0)</f>
        <v>0</v>
      </c>
      <c r="AT171" s="625">
        <f t="array" ref="AT171">IFERROR(INDEX(#REF!,MATCH($E171&amp;$F171,#REF!&amp;#REF!,0)),0)</f>
        <v>0</v>
      </c>
      <c r="AU171" s="626">
        <f t="shared" si="132"/>
        <v>0</v>
      </c>
      <c r="AV171" s="626">
        <f t="shared" si="133"/>
        <v>0</v>
      </c>
      <c r="AW171" s="626">
        <f t="shared" si="134"/>
        <v>0</v>
      </c>
      <c r="AX171" s="625">
        <f t="array" ref="AX171">IFERROR(INDEX(#REF!,MATCH($E171&amp;$F171,#REF!&amp;#REF!,0)),0)</f>
        <v>0</v>
      </c>
      <c r="AY171" s="626">
        <f t="shared" si="135"/>
        <v>0</v>
      </c>
      <c r="AZ171" s="626">
        <f t="shared" si="136"/>
        <v>0</v>
      </c>
      <c r="BA171" s="626">
        <f t="shared" si="137"/>
        <v>0</v>
      </c>
      <c r="BB171" s="625">
        <f t="array" ref="BB171">IFERROR(INDEX(#REF!,MATCH($E171&amp;$F171,#REF!&amp;#REF!,0)),0)</f>
        <v>0</v>
      </c>
      <c r="BC171" s="626">
        <f t="shared" si="138"/>
        <v>0</v>
      </c>
      <c r="BD171" s="626">
        <f t="shared" si="139"/>
        <v>0</v>
      </c>
      <c r="BE171" s="626">
        <f t="shared" si="140"/>
        <v>0</v>
      </c>
      <c r="BF171" s="625">
        <f t="array" ref="BF171">IFERROR(INDEX(#REF!,MATCH($E171&amp;$F171,#REF!&amp;#REF!,0)),0)</f>
        <v>0</v>
      </c>
      <c r="BG171" s="626">
        <f t="shared" si="141"/>
        <v>0</v>
      </c>
      <c r="BH171" s="626">
        <f t="shared" si="142"/>
        <v>0</v>
      </c>
      <c r="BI171" s="626">
        <f t="shared" si="143"/>
        <v>0</v>
      </c>
      <c r="BJ171" s="630"/>
      <c r="BK171" s="625"/>
      <c r="BL171" s="625"/>
      <c r="BM171" s="625"/>
      <c r="BN171" s="625"/>
      <c r="BO171" s="625"/>
      <c r="BP171" s="625"/>
      <c r="BQ171" s="625"/>
      <c r="BR171" s="625"/>
    </row>
    <row r="172" spans="1:70">
      <c r="A172" s="29" t="s">
        <v>1317</v>
      </c>
      <c r="B172" s="29" t="s">
        <v>1744</v>
      </c>
      <c r="C172" s="619">
        <f>SETUP!$F$39</f>
        <v>0</v>
      </c>
      <c r="D172" s="25">
        <v>4.7</v>
      </c>
      <c r="E172" s="26" t="s">
        <v>1371</v>
      </c>
      <c r="F172" s="26" t="s">
        <v>1440</v>
      </c>
      <c r="G172" s="625" t="str">
        <f t="array" ref="G172">IFERROR(INDEX(#REF!,MATCH($E172&amp;$F172,#REF!&amp;#REF!,0)),"")</f>
        <v/>
      </c>
      <c r="H172" s="625"/>
      <c r="I172" s="625">
        <f t="array" ref="I172">IFERROR(INDEX(#REF!,MATCH($E172&amp;$F172,#REF!&amp;#REF!,0)),0)</f>
        <v>0</v>
      </c>
      <c r="J172" s="625">
        <f t="array" ref="J172">IFERROR(INDEX(#REF!,MATCH($E172&amp;$F172,#REF!&amp;#REF!,0)),0)</f>
        <v>0</v>
      </c>
      <c r="K172" s="626">
        <f t="shared" si="108"/>
        <v>0</v>
      </c>
      <c r="L172" s="626">
        <f t="shared" si="109"/>
        <v>0</v>
      </c>
      <c r="M172" s="626">
        <f t="shared" si="110"/>
        <v>0</v>
      </c>
      <c r="N172" s="625">
        <f t="array" ref="N172">IFERROR(INDEX(#REF!,MATCH($E172&amp;$F172,#REF!&amp;#REF!,0)),0)</f>
        <v>0</v>
      </c>
      <c r="O172" s="626">
        <f t="shared" si="111"/>
        <v>0</v>
      </c>
      <c r="P172" s="626">
        <f t="shared" si="112"/>
        <v>0</v>
      </c>
      <c r="Q172" s="626">
        <f t="shared" si="113"/>
        <v>0</v>
      </c>
      <c r="R172" s="625">
        <f t="array" ref="R172">IFERROR(INDEX(#REF!,MATCH($E172&amp;$F172,#REF!&amp;#REF!,0)),0)</f>
        <v>0</v>
      </c>
      <c r="S172" s="626">
        <f t="shared" si="114"/>
        <v>0</v>
      </c>
      <c r="T172" s="626">
        <f t="shared" si="115"/>
        <v>0</v>
      </c>
      <c r="U172" s="626">
        <f t="shared" si="116"/>
        <v>0</v>
      </c>
      <c r="V172" s="625">
        <f t="array" ref="V172">IFERROR(INDEX(#REF!,MATCH($E172&amp;$F172,#REF!&amp;#REF!,0)),0)</f>
        <v>0</v>
      </c>
      <c r="W172" s="626">
        <f t="shared" si="117"/>
        <v>0</v>
      </c>
      <c r="X172" s="626">
        <f t="shared" si="118"/>
        <v>0</v>
      </c>
      <c r="Y172" s="626">
        <f t="shared" si="119"/>
        <v>0</v>
      </c>
      <c r="Z172" s="630"/>
      <c r="AA172" s="625">
        <f t="array" ref="AA172">IFERROR(INDEX(#REF!,MATCH($E172&amp;$F172,#REF!&amp;#REF!,0)),0)</f>
        <v>0</v>
      </c>
      <c r="AB172" s="625">
        <f t="array" ref="AB172">IFERROR(INDEX(#REF!,MATCH($E172&amp;$F172,#REF!&amp;#REF!,0)),0)</f>
        <v>0</v>
      </c>
      <c r="AC172" s="626">
        <f t="shared" si="120"/>
        <v>0</v>
      </c>
      <c r="AD172" s="626">
        <f t="shared" si="121"/>
        <v>0</v>
      </c>
      <c r="AE172" s="626">
        <f t="shared" si="122"/>
        <v>0</v>
      </c>
      <c r="AF172" s="625">
        <f t="array" ref="AF172">IFERROR(INDEX(#REF!,MATCH($E172&amp;$F172,#REF!&amp;#REF!,0)),0)</f>
        <v>0</v>
      </c>
      <c r="AG172" s="626">
        <f t="shared" si="123"/>
        <v>0</v>
      </c>
      <c r="AH172" s="626">
        <f t="shared" si="124"/>
        <v>0</v>
      </c>
      <c r="AI172" s="626">
        <f t="shared" si="125"/>
        <v>0</v>
      </c>
      <c r="AJ172" s="625">
        <f t="array" ref="AJ172">IFERROR(INDEX(#REF!,MATCH($E172&amp;$F172,#REF!&amp;#REF!,0)),0)</f>
        <v>0</v>
      </c>
      <c r="AK172" s="626">
        <f t="shared" si="126"/>
        <v>0</v>
      </c>
      <c r="AL172" s="626">
        <f t="shared" si="127"/>
        <v>0</v>
      </c>
      <c r="AM172" s="626">
        <f t="shared" si="128"/>
        <v>0</v>
      </c>
      <c r="AN172" s="625">
        <f t="array" ref="AN172">IFERROR(INDEX(#REF!,MATCH($E172&amp;$F172,#REF!&amp;#REF!,0)),0)</f>
        <v>0</v>
      </c>
      <c r="AO172" s="626">
        <f t="shared" si="129"/>
        <v>0</v>
      </c>
      <c r="AP172" s="626">
        <f t="shared" si="130"/>
        <v>0</v>
      </c>
      <c r="AQ172" s="626">
        <f t="shared" si="131"/>
        <v>0</v>
      </c>
      <c r="AR172" s="630"/>
      <c r="AS172" s="625">
        <f t="array" ref="AS172">IFERROR(INDEX(#REF!,MATCH($E172&amp;$F172,#REF!&amp;#REF!,0)),0)</f>
        <v>0</v>
      </c>
      <c r="AT172" s="625">
        <f t="array" ref="AT172">IFERROR(INDEX(#REF!,MATCH($E172&amp;$F172,#REF!&amp;#REF!,0)),0)</f>
        <v>0</v>
      </c>
      <c r="AU172" s="626">
        <f t="shared" si="132"/>
        <v>0</v>
      </c>
      <c r="AV172" s="626">
        <f t="shared" si="133"/>
        <v>0</v>
      </c>
      <c r="AW172" s="626">
        <f t="shared" si="134"/>
        <v>0</v>
      </c>
      <c r="AX172" s="625">
        <f t="array" ref="AX172">IFERROR(INDEX(#REF!,MATCH($E172&amp;$F172,#REF!&amp;#REF!,0)),0)</f>
        <v>0</v>
      </c>
      <c r="AY172" s="626">
        <f t="shared" si="135"/>
        <v>0</v>
      </c>
      <c r="AZ172" s="626">
        <f t="shared" si="136"/>
        <v>0</v>
      </c>
      <c r="BA172" s="626">
        <f t="shared" si="137"/>
        <v>0</v>
      </c>
      <c r="BB172" s="625">
        <f t="array" ref="BB172">IFERROR(INDEX(#REF!,MATCH($E172&amp;$F172,#REF!&amp;#REF!,0)),0)</f>
        <v>0</v>
      </c>
      <c r="BC172" s="626">
        <f t="shared" si="138"/>
        <v>0</v>
      </c>
      <c r="BD172" s="626">
        <f t="shared" si="139"/>
        <v>0</v>
      </c>
      <c r="BE172" s="626">
        <f t="shared" si="140"/>
        <v>0</v>
      </c>
      <c r="BF172" s="625">
        <f t="array" ref="BF172">IFERROR(INDEX(#REF!,MATCH($E172&amp;$F172,#REF!&amp;#REF!,0)),0)</f>
        <v>0</v>
      </c>
      <c r="BG172" s="626">
        <f t="shared" si="141"/>
        <v>0</v>
      </c>
      <c r="BH172" s="626">
        <f t="shared" si="142"/>
        <v>0</v>
      </c>
      <c r="BI172" s="626">
        <f t="shared" si="143"/>
        <v>0</v>
      </c>
      <c r="BJ172" s="630"/>
      <c r="BK172" s="625"/>
      <c r="BL172" s="625"/>
      <c r="BM172" s="625"/>
      <c r="BN172" s="625"/>
      <c r="BO172" s="625"/>
      <c r="BP172" s="625"/>
      <c r="BQ172" s="625"/>
      <c r="BR172" s="625"/>
    </row>
    <row r="173" spans="1:70">
      <c r="A173" s="29" t="s">
        <v>1317</v>
      </c>
      <c r="B173" s="29" t="s">
        <v>1744</v>
      </c>
      <c r="C173" s="619">
        <f>SETUP!$F$39</f>
        <v>0</v>
      </c>
      <c r="D173" s="25">
        <v>4.7</v>
      </c>
      <c r="E173" s="26" t="s">
        <v>1441</v>
      </c>
      <c r="F173" s="26" t="s">
        <v>1442</v>
      </c>
      <c r="G173" s="625" t="str">
        <f t="array" ref="G173">IFERROR(INDEX(#REF!,MATCH($E173&amp;$F173,#REF!&amp;#REF!,0)),"")</f>
        <v/>
      </c>
      <c r="H173" s="625"/>
      <c r="I173" s="625">
        <f t="array" ref="I173">IFERROR(INDEX(#REF!,MATCH($E173&amp;$F173,#REF!&amp;#REF!,0)),0)</f>
        <v>0</v>
      </c>
      <c r="J173" s="625">
        <f t="array" ref="J173">IFERROR(INDEX(#REF!,MATCH($E173&amp;$F173,#REF!&amp;#REF!,0)),0)</f>
        <v>0</v>
      </c>
      <c r="K173" s="626">
        <f t="shared" si="108"/>
        <v>0</v>
      </c>
      <c r="L173" s="626">
        <f t="shared" si="109"/>
        <v>0</v>
      </c>
      <c r="M173" s="626">
        <f t="shared" si="110"/>
        <v>0</v>
      </c>
      <c r="N173" s="625">
        <f t="array" ref="N173">IFERROR(INDEX(#REF!,MATCH($E173&amp;$F173,#REF!&amp;#REF!,0)),0)</f>
        <v>0</v>
      </c>
      <c r="O173" s="626">
        <f t="shared" si="111"/>
        <v>0</v>
      </c>
      <c r="P173" s="626">
        <f t="shared" si="112"/>
        <v>0</v>
      </c>
      <c r="Q173" s="626">
        <f t="shared" si="113"/>
        <v>0</v>
      </c>
      <c r="R173" s="625">
        <f t="array" ref="R173">IFERROR(INDEX(#REF!,MATCH($E173&amp;$F173,#REF!&amp;#REF!,0)),0)</f>
        <v>0</v>
      </c>
      <c r="S173" s="626">
        <f t="shared" si="114"/>
        <v>0</v>
      </c>
      <c r="T173" s="626">
        <f t="shared" si="115"/>
        <v>0</v>
      </c>
      <c r="U173" s="626">
        <f t="shared" si="116"/>
        <v>0</v>
      </c>
      <c r="V173" s="625">
        <f t="array" ref="V173">IFERROR(INDEX(#REF!,MATCH($E173&amp;$F173,#REF!&amp;#REF!,0)),0)</f>
        <v>0</v>
      </c>
      <c r="W173" s="626">
        <f t="shared" si="117"/>
        <v>0</v>
      </c>
      <c r="X173" s="626">
        <f t="shared" si="118"/>
        <v>0</v>
      </c>
      <c r="Y173" s="626">
        <f t="shared" si="119"/>
        <v>0</v>
      </c>
      <c r="Z173" s="630"/>
      <c r="AA173" s="625">
        <f t="array" ref="AA173">IFERROR(INDEX(#REF!,MATCH($E173&amp;$F173,#REF!&amp;#REF!,0)),0)</f>
        <v>0</v>
      </c>
      <c r="AB173" s="625">
        <f t="array" ref="AB173">IFERROR(INDEX(#REF!,MATCH($E173&amp;$F173,#REF!&amp;#REF!,0)),0)</f>
        <v>0</v>
      </c>
      <c r="AC173" s="626">
        <f t="shared" si="120"/>
        <v>0</v>
      </c>
      <c r="AD173" s="626">
        <f t="shared" si="121"/>
        <v>0</v>
      </c>
      <c r="AE173" s="626">
        <f t="shared" si="122"/>
        <v>0</v>
      </c>
      <c r="AF173" s="625">
        <f t="array" ref="AF173">IFERROR(INDEX(#REF!,MATCH($E173&amp;$F173,#REF!&amp;#REF!,0)),0)</f>
        <v>0</v>
      </c>
      <c r="AG173" s="626">
        <f t="shared" si="123"/>
        <v>0</v>
      </c>
      <c r="AH173" s="626">
        <f t="shared" si="124"/>
        <v>0</v>
      </c>
      <c r="AI173" s="626">
        <f t="shared" si="125"/>
        <v>0</v>
      </c>
      <c r="AJ173" s="625">
        <f t="array" ref="AJ173">IFERROR(INDEX(#REF!,MATCH($E173&amp;$F173,#REF!&amp;#REF!,0)),0)</f>
        <v>0</v>
      </c>
      <c r="AK173" s="626">
        <f t="shared" si="126"/>
        <v>0</v>
      </c>
      <c r="AL173" s="626">
        <f t="shared" si="127"/>
        <v>0</v>
      </c>
      <c r="AM173" s="626">
        <f t="shared" si="128"/>
        <v>0</v>
      </c>
      <c r="AN173" s="625">
        <f t="array" ref="AN173">IFERROR(INDEX(#REF!,MATCH($E173&amp;$F173,#REF!&amp;#REF!,0)),0)</f>
        <v>0</v>
      </c>
      <c r="AO173" s="626">
        <f t="shared" si="129"/>
        <v>0</v>
      </c>
      <c r="AP173" s="626">
        <f t="shared" si="130"/>
        <v>0</v>
      </c>
      <c r="AQ173" s="626">
        <f t="shared" si="131"/>
        <v>0</v>
      </c>
      <c r="AR173" s="630"/>
      <c r="AS173" s="625">
        <f t="array" ref="AS173">IFERROR(INDEX(#REF!,MATCH($E173&amp;$F173,#REF!&amp;#REF!,0)),0)</f>
        <v>0</v>
      </c>
      <c r="AT173" s="625">
        <f t="array" ref="AT173">IFERROR(INDEX(#REF!,MATCH($E173&amp;$F173,#REF!&amp;#REF!,0)),0)</f>
        <v>0</v>
      </c>
      <c r="AU173" s="626">
        <f t="shared" si="132"/>
        <v>0</v>
      </c>
      <c r="AV173" s="626">
        <f t="shared" si="133"/>
        <v>0</v>
      </c>
      <c r="AW173" s="626">
        <f t="shared" si="134"/>
        <v>0</v>
      </c>
      <c r="AX173" s="625">
        <f t="array" ref="AX173">IFERROR(INDEX(#REF!,MATCH($E173&amp;$F173,#REF!&amp;#REF!,0)),0)</f>
        <v>0</v>
      </c>
      <c r="AY173" s="626">
        <f t="shared" si="135"/>
        <v>0</v>
      </c>
      <c r="AZ173" s="626">
        <f t="shared" si="136"/>
        <v>0</v>
      </c>
      <c r="BA173" s="626">
        <f t="shared" si="137"/>
        <v>0</v>
      </c>
      <c r="BB173" s="625">
        <f t="array" ref="BB173">IFERROR(INDEX(#REF!,MATCH($E173&amp;$F173,#REF!&amp;#REF!,0)),0)</f>
        <v>0</v>
      </c>
      <c r="BC173" s="626">
        <f t="shared" si="138"/>
        <v>0</v>
      </c>
      <c r="BD173" s="626">
        <f t="shared" si="139"/>
        <v>0</v>
      </c>
      <c r="BE173" s="626">
        <f t="shared" si="140"/>
        <v>0</v>
      </c>
      <c r="BF173" s="625">
        <f t="array" ref="BF173">IFERROR(INDEX(#REF!,MATCH($E173&amp;$F173,#REF!&amp;#REF!,0)),0)</f>
        <v>0</v>
      </c>
      <c r="BG173" s="626">
        <f t="shared" si="141"/>
        <v>0</v>
      </c>
      <c r="BH173" s="626">
        <f t="shared" si="142"/>
        <v>0</v>
      </c>
      <c r="BI173" s="626">
        <f t="shared" si="143"/>
        <v>0</v>
      </c>
      <c r="BJ173" s="630"/>
      <c r="BK173" s="625"/>
      <c r="BL173" s="625"/>
      <c r="BM173" s="625"/>
      <c r="BN173" s="625"/>
      <c r="BO173" s="625"/>
      <c r="BP173" s="625"/>
      <c r="BQ173" s="625"/>
      <c r="BR173" s="625"/>
    </row>
    <row r="174" spans="1:70">
      <c r="A174" s="29" t="s">
        <v>1317</v>
      </c>
      <c r="B174" s="29" t="s">
        <v>1744</v>
      </c>
      <c r="C174" s="619">
        <f>SETUP!$F$39</f>
        <v>0</v>
      </c>
      <c r="D174" s="25">
        <v>4.7</v>
      </c>
      <c r="E174" s="26" t="s">
        <v>181</v>
      </c>
      <c r="F174" s="26" t="s">
        <v>1140</v>
      </c>
      <c r="G174" s="625" t="str">
        <f t="array" ref="G174">IFERROR(INDEX(#REF!,MATCH($E174&amp;$F174,#REF!&amp;#REF!,0)),"")</f>
        <v/>
      </c>
      <c r="H174" s="625"/>
      <c r="I174" s="625">
        <f t="array" ref="I174">IFERROR(INDEX(#REF!,MATCH($E174&amp;$F174,#REF!&amp;#REF!,0)),0)</f>
        <v>0</v>
      </c>
      <c r="J174" s="625">
        <f t="array" ref="J174">IFERROR(INDEX(#REF!,MATCH($E174&amp;$F174,#REF!&amp;#REF!,0)),0)</f>
        <v>0</v>
      </c>
      <c r="K174" s="626">
        <f t="shared" ref="K174:K201" si="144">IF(ISERROR($I174*J174),0,$I174*J174)</f>
        <v>0</v>
      </c>
      <c r="L174" s="626">
        <f t="shared" ref="L174:L201" si="145">IF(C174="Upfront",J174,0)</f>
        <v>0</v>
      </c>
      <c r="M174" s="626">
        <f t="shared" ref="M174:M201" si="146">IF(C174="Upfront",K174,0)</f>
        <v>0</v>
      </c>
      <c r="N174" s="625">
        <f t="array" ref="N174">IFERROR(INDEX(#REF!,MATCH($E174&amp;$F174,#REF!&amp;#REF!,0)),0)</f>
        <v>0</v>
      </c>
      <c r="O174" s="626">
        <f t="shared" ref="O174:O201" si="147">IF(ISERROR($I174*N174),0,$I174*N174)</f>
        <v>0</v>
      </c>
      <c r="P174" s="626">
        <f t="shared" ref="P174:P201" si="148">IF(C174="Upfront",N174,0)</f>
        <v>0</v>
      </c>
      <c r="Q174" s="626">
        <f t="shared" ref="Q174:Q201" si="149">IF(C174="Upfront",O174,0)</f>
        <v>0</v>
      </c>
      <c r="R174" s="625">
        <f t="array" ref="R174">IFERROR(INDEX(#REF!,MATCH($E174&amp;$F174,#REF!&amp;#REF!,0)),0)</f>
        <v>0</v>
      </c>
      <c r="S174" s="626">
        <f t="shared" ref="S174:S201" si="150">IF(ISERROR($I174*R174),0,$I174*R174)</f>
        <v>0</v>
      </c>
      <c r="T174" s="626">
        <f t="shared" ref="T174:T201" si="151">IF(C174="Upfront",R174,IF(C174="At delivery",J174,0))</f>
        <v>0</v>
      </c>
      <c r="U174" s="626">
        <f t="shared" ref="U174:U201" si="152">IF(C174="Upfront",S174,IF(C174="At delivery",K174,0))</f>
        <v>0</v>
      </c>
      <c r="V174" s="625">
        <f t="array" ref="V174">IFERROR(INDEX(#REF!,MATCH($E174&amp;$F174,#REF!&amp;#REF!,0)),0)</f>
        <v>0</v>
      </c>
      <c r="W174" s="626">
        <f t="shared" ref="W174:W201" si="153">IF(ISERROR($I174*V174),0,$I174*V174)</f>
        <v>0</v>
      </c>
      <c r="X174" s="626">
        <f t="shared" ref="X174:X201" si="154">IF(C174="Upfront",V174,IF(C174="At delivery",N174,0))</f>
        <v>0</v>
      </c>
      <c r="Y174" s="626">
        <f t="shared" ref="Y174:Y201" si="155">IF(C174="Upfront",W174,IF(C174="At delivery",O174,0))</f>
        <v>0</v>
      </c>
      <c r="Z174" s="630"/>
      <c r="AA174" s="625">
        <f t="array" ref="AA174">IFERROR(INDEX(#REF!,MATCH($E174&amp;$F174,#REF!&amp;#REF!,0)),0)</f>
        <v>0</v>
      </c>
      <c r="AB174" s="625">
        <f t="array" ref="AB174">IFERROR(INDEX(#REF!,MATCH($E174&amp;$F174,#REF!&amp;#REF!,0)),0)</f>
        <v>0</v>
      </c>
      <c r="AC174" s="626">
        <f t="shared" ref="AC174:AC201" si="156">IF(ISERROR($AA174*AB174),0,$AA174*AB174)</f>
        <v>0</v>
      </c>
      <c r="AD174" s="626">
        <f t="shared" ref="AD174:AD201" si="157">IF(C174="Upfront",AB174,IF(C174="At delivery",R174,0))</f>
        <v>0</v>
      </c>
      <c r="AE174" s="626">
        <f t="shared" ref="AE174:AE201" si="158">IF(C174="Upfront",AC174,IF(C174="At delivery",S174,0))</f>
        <v>0</v>
      </c>
      <c r="AF174" s="625">
        <f t="array" ref="AF174">IFERROR(INDEX(#REF!,MATCH($E174&amp;$F174,#REF!&amp;#REF!,0)),0)</f>
        <v>0</v>
      </c>
      <c r="AG174" s="626">
        <f t="shared" ref="AG174:AG201" si="159">IF(ISERROR($AA174*AF174),0,$AA174*AF174)</f>
        <v>0</v>
      </c>
      <c r="AH174" s="626">
        <f t="shared" ref="AH174:AH201" si="160">IF(C174="Upfront",AF174,IF(C174="At delivery",V174,0))</f>
        <v>0</v>
      </c>
      <c r="AI174" s="626">
        <f t="shared" ref="AI174:AI201" si="161">IF(C174="Upfront",AG174,IF(C174="At delivery",W174,0))</f>
        <v>0</v>
      </c>
      <c r="AJ174" s="625">
        <f t="array" ref="AJ174">IFERROR(INDEX(#REF!,MATCH($E174&amp;$F174,#REF!&amp;#REF!,0)),0)</f>
        <v>0</v>
      </c>
      <c r="AK174" s="626">
        <f t="shared" ref="AK174:AK201" si="162">IF(ISERROR($AA174*AJ174),0,$AA174*AJ174)</f>
        <v>0</v>
      </c>
      <c r="AL174" s="626">
        <f t="shared" ref="AL174:AL201" si="163">IF(C174="Upfront",AJ174,IF(C174="At delivery",AB174,0))</f>
        <v>0</v>
      </c>
      <c r="AM174" s="626">
        <f t="shared" ref="AM174:AM201" si="164">IF(C174="Upfront",AK174,IF(C174="At delivery",AC174,0))</f>
        <v>0</v>
      </c>
      <c r="AN174" s="625">
        <f t="array" ref="AN174">IFERROR(INDEX(#REF!,MATCH($E174&amp;$F174,#REF!&amp;#REF!,0)),0)</f>
        <v>0</v>
      </c>
      <c r="AO174" s="626">
        <f t="shared" ref="AO174:AO201" si="165">IF(ISERROR($AA174*AN174),0,$AA174*AN174)</f>
        <v>0</v>
      </c>
      <c r="AP174" s="626">
        <f t="shared" ref="AP174:AP201" si="166">IF(C174="Upfront",AN174,IF(C174="At delivery",AF174,0))</f>
        <v>0</v>
      </c>
      <c r="AQ174" s="626">
        <f t="shared" ref="AQ174:AQ201" si="167">IF(C174="Upfront",AO174,IF(C174="At delivery",AG174,0))</f>
        <v>0</v>
      </c>
      <c r="AR174" s="630"/>
      <c r="AS174" s="625">
        <f t="array" ref="AS174">IFERROR(INDEX(#REF!,MATCH($E174&amp;$F174,#REF!&amp;#REF!,0)),0)</f>
        <v>0</v>
      </c>
      <c r="AT174" s="625">
        <f t="array" ref="AT174">IFERROR(INDEX(#REF!,MATCH($E174&amp;$F174,#REF!&amp;#REF!,0)),0)</f>
        <v>0</v>
      </c>
      <c r="AU174" s="626">
        <f t="shared" ref="AU174:AU201" si="168">IF(ISERROR($AS174*AT174),0,$AS174*AT174)</f>
        <v>0</v>
      </c>
      <c r="AV174" s="626">
        <f t="shared" ref="AV174:AV201" si="169">IF(C174="Upfront",AT174,IF(C174="At delivery",AJ174,0))</f>
        <v>0</v>
      </c>
      <c r="AW174" s="626">
        <f t="shared" ref="AW174:AW201" si="170">IF(C174="Upfront",AU174,IF(C174="At delivery",AK174,0))</f>
        <v>0</v>
      </c>
      <c r="AX174" s="625">
        <f t="array" ref="AX174">IFERROR(INDEX(#REF!,MATCH($E174&amp;$F174,#REF!&amp;#REF!,0)),0)</f>
        <v>0</v>
      </c>
      <c r="AY174" s="626">
        <f t="shared" ref="AY174:AY201" si="171">IF(ISERROR($AS174*AX174),0,$AS174*AX174)</f>
        <v>0</v>
      </c>
      <c r="AZ174" s="626">
        <f t="shared" ref="AZ174:AZ201" si="172">IF(C174="Upfront",AX174,IF(C174="At delivery",AN174,0))</f>
        <v>0</v>
      </c>
      <c r="BA174" s="626">
        <f t="shared" ref="BA174:BA201" si="173">IF(C174="Upfront",AY174,IF(C174="At delivery",AO174,0))</f>
        <v>0</v>
      </c>
      <c r="BB174" s="625">
        <f t="array" ref="BB174">IFERROR(INDEX(#REF!,MATCH($E174&amp;$F174,#REF!&amp;#REF!,0)),0)</f>
        <v>0</v>
      </c>
      <c r="BC174" s="626">
        <f t="shared" ref="BC174:BC201" si="174">IF(ISERROR($AS174*BB174),0,$AS174*BB174)</f>
        <v>0</v>
      </c>
      <c r="BD174" s="626">
        <f t="shared" ref="BD174:BD201" si="175">IF(C174="Upfront",BB174,IF(C174="At delivery",AT174,0))</f>
        <v>0</v>
      </c>
      <c r="BE174" s="626">
        <f t="shared" ref="BE174:BE201" si="176">IF(C174="Upfront",BC174,IF(C174="At delivery",AU174,0))</f>
        <v>0</v>
      </c>
      <c r="BF174" s="625">
        <f t="array" ref="BF174">IFERROR(INDEX(#REF!,MATCH($E174&amp;$F174,#REF!&amp;#REF!,0)),0)</f>
        <v>0</v>
      </c>
      <c r="BG174" s="626">
        <f t="shared" ref="BG174:BG201" si="177">IF(ISERROR($AS174*BF174),0,$AS174*BF174)</f>
        <v>0</v>
      </c>
      <c r="BH174" s="626">
        <f t="shared" ref="BH174:BH201" si="178">IF(C174="Upfront",BF174,IF(C174="At delivery",AX174,0))</f>
        <v>0</v>
      </c>
      <c r="BI174" s="626">
        <f t="shared" ref="BI174:BI201" si="179">IF(C174="Upfront",BG174,IF(C174="At delivery",AY174,0))</f>
        <v>0</v>
      </c>
      <c r="BJ174" s="630"/>
      <c r="BK174" s="625"/>
      <c r="BL174" s="625"/>
      <c r="BM174" s="625"/>
      <c r="BN174" s="625"/>
      <c r="BO174" s="625"/>
      <c r="BP174" s="625"/>
      <c r="BQ174" s="625"/>
      <c r="BR174" s="625"/>
    </row>
    <row r="175" spans="1:70">
      <c r="A175" s="29" t="s">
        <v>1317</v>
      </c>
      <c r="B175" s="29" t="s">
        <v>1744</v>
      </c>
      <c r="C175" s="619">
        <f>SETUP!$F$39</f>
        <v>0</v>
      </c>
      <c r="D175" s="25">
        <v>4.7</v>
      </c>
      <c r="E175" s="26" t="s">
        <v>1372</v>
      </c>
      <c r="F175" s="26" t="s">
        <v>1443</v>
      </c>
      <c r="G175" s="625" t="str">
        <f t="array" ref="G175">IFERROR(INDEX(#REF!,MATCH($E175&amp;$F175,#REF!&amp;#REF!,0)),"")</f>
        <v/>
      </c>
      <c r="H175" s="625"/>
      <c r="I175" s="625">
        <f t="array" ref="I175">IFERROR(INDEX(#REF!,MATCH($E175&amp;$F175,#REF!&amp;#REF!,0)),0)</f>
        <v>0</v>
      </c>
      <c r="J175" s="625">
        <f t="array" ref="J175">IFERROR(INDEX(#REF!,MATCH($E175&amp;$F175,#REF!&amp;#REF!,0)),0)</f>
        <v>0</v>
      </c>
      <c r="K175" s="626">
        <f t="shared" si="144"/>
        <v>0</v>
      </c>
      <c r="L175" s="626">
        <f t="shared" si="145"/>
        <v>0</v>
      </c>
      <c r="M175" s="626">
        <f t="shared" si="146"/>
        <v>0</v>
      </c>
      <c r="N175" s="625">
        <f t="array" ref="N175">IFERROR(INDEX(#REF!,MATCH($E175&amp;$F175,#REF!&amp;#REF!,0)),0)</f>
        <v>0</v>
      </c>
      <c r="O175" s="626">
        <f t="shared" si="147"/>
        <v>0</v>
      </c>
      <c r="P175" s="626">
        <f t="shared" si="148"/>
        <v>0</v>
      </c>
      <c r="Q175" s="626">
        <f t="shared" si="149"/>
        <v>0</v>
      </c>
      <c r="R175" s="625">
        <f t="array" ref="R175">IFERROR(INDEX(#REF!,MATCH($E175&amp;$F175,#REF!&amp;#REF!,0)),0)</f>
        <v>0</v>
      </c>
      <c r="S175" s="626">
        <f t="shared" si="150"/>
        <v>0</v>
      </c>
      <c r="T175" s="626">
        <f t="shared" si="151"/>
        <v>0</v>
      </c>
      <c r="U175" s="626">
        <f t="shared" si="152"/>
        <v>0</v>
      </c>
      <c r="V175" s="625">
        <f t="array" ref="V175">IFERROR(INDEX(#REF!,MATCH($E175&amp;$F175,#REF!&amp;#REF!,0)),0)</f>
        <v>0</v>
      </c>
      <c r="W175" s="626">
        <f t="shared" si="153"/>
        <v>0</v>
      </c>
      <c r="X175" s="626">
        <f t="shared" si="154"/>
        <v>0</v>
      </c>
      <c r="Y175" s="626">
        <f t="shared" si="155"/>
        <v>0</v>
      </c>
      <c r="Z175" s="630"/>
      <c r="AA175" s="625">
        <f t="array" ref="AA175">IFERROR(INDEX(#REF!,MATCH($E175&amp;$F175,#REF!&amp;#REF!,0)),0)</f>
        <v>0</v>
      </c>
      <c r="AB175" s="625">
        <f t="array" ref="AB175">IFERROR(INDEX(#REF!,MATCH($E175&amp;$F175,#REF!&amp;#REF!,0)),0)</f>
        <v>0</v>
      </c>
      <c r="AC175" s="626">
        <f t="shared" si="156"/>
        <v>0</v>
      </c>
      <c r="AD175" s="626">
        <f t="shared" si="157"/>
        <v>0</v>
      </c>
      <c r="AE175" s="626">
        <f t="shared" si="158"/>
        <v>0</v>
      </c>
      <c r="AF175" s="625">
        <f t="array" ref="AF175">IFERROR(INDEX(#REF!,MATCH($E175&amp;$F175,#REF!&amp;#REF!,0)),0)</f>
        <v>0</v>
      </c>
      <c r="AG175" s="626">
        <f t="shared" si="159"/>
        <v>0</v>
      </c>
      <c r="AH175" s="626">
        <f t="shared" si="160"/>
        <v>0</v>
      </c>
      <c r="AI175" s="626">
        <f t="shared" si="161"/>
        <v>0</v>
      </c>
      <c r="AJ175" s="625">
        <f t="array" ref="AJ175">IFERROR(INDEX(#REF!,MATCH($E175&amp;$F175,#REF!&amp;#REF!,0)),0)</f>
        <v>0</v>
      </c>
      <c r="AK175" s="626">
        <f t="shared" si="162"/>
        <v>0</v>
      </c>
      <c r="AL175" s="626">
        <f t="shared" si="163"/>
        <v>0</v>
      </c>
      <c r="AM175" s="626">
        <f t="shared" si="164"/>
        <v>0</v>
      </c>
      <c r="AN175" s="625">
        <f t="array" ref="AN175">IFERROR(INDEX(#REF!,MATCH($E175&amp;$F175,#REF!&amp;#REF!,0)),0)</f>
        <v>0</v>
      </c>
      <c r="AO175" s="626">
        <f t="shared" si="165"/>
        <v>0</v>
      </c>
      <c r="AP175" s="626">
        <f t="shared" si="166"/>
        <v>0</v>
      </c>
      <c r="AQ175" s="626">
        <f t="shared" si="167"/>
        <v>0</v>
      </c>
      <c r="AR175" s="630"/>
      <c r="AS175" s="625">
        <f t="array" ref="AS175">IFERROR(INDEX(#REF!,MATCH($E175&amp;$F175,#REF!&amp;#REF!,0)),0)</f>
        <v>0</v>
      </c>
      <c r="AT175" s="625">
        <f t="array" ref="AT175">IFERROR(INDEX(#REF!,MATCH($E175&amp;$F175,#REF!&amp;#REF!,0)),0)</f>
        <v>0</v>
      </c>
      <c r="AU175" s="626">
        <f t="shared" si="168"/>
        <v>0</v>
      </c>
      <c r="AV175" s="626">
        <f t="shared" si="169"/>
        <v>0</v>
      </c>
      <c r="AW175" s="626">
        <f t="shared" si="170"/>
        <v>0</v>
      </c>
      <c r="AX175" s="625">
        <f t="array" ref="AX175">IFERROR(INDEX(#REF!,MATCH($E175&amp;$F175,#REF!&amp;#REF!,0)),0)</f>
        <v>0</v>
      </c>
      <c r="AY175" s="626">
        <f t="shared" si="171"/>
        <v>0</v>
      </c>
      <c r="AZ175" s="626">
        <f t="shared" si="172"/>
        <v>0</v>
      </c>
      <c r="BA175" s="626">
        <f t="shared" si="173"/>
        <v>0</v>
      </c>
      <c r="BB175" s="625">
        <f t="array" ref="BB175">IFERROR(INDEX(#REF!,MATCH($E175&amp;$F175,#REF!&amp;#REF!,0)),0)</f>
        <v>0</v>
      </c>
      <c r="BC175" s="626">
        <f t="shared" si="174"/>
        <v>0</v>
      </c>
      <c r="BD175" s="626">
        <f t="shared" si="175"/>
        <v>0</v>
      </c>
      <c r="BE175" s="626">
        <f t="shared" si="176"/>
        <v>0</v>
      </c>
      <c r="BF175" s="625">
        <f t="array" ref="BF175">IFERROR(INDEX(#REF!,MATCH($E175&amp;$F175,#REF!&amp;#REF!,0)),0)</f>
        <v>0</v>
      </c>
      <c r="BG175" s="626">
        <f t="shared" si="177"/>
        <v>0</v>
      </c>
      <c r="BH175" s="626">
        <f t="shared" si="178"/>
        <v>0</v>
      </c>
      <c r="BI175" s="626">
        <f t="shared" si="179"/>
        <v>0</v>
      </c>
      <c r="BJ175" s="630"/>
      <c r="BK175" s="625"/>
      <c r="BL175" s="625"/>
      <c r="BM175" s="625"/>
      <c r="BN175" s="625"/>
      <c r="BO175" s="625"/>
      <c r="BP175" s="625"/>
      <c r="BQ175" s="625"/>
      <c r="BR175" s="625"/>
    </row>
    <row r="176" spans="1:70">
      <c r="A176" s="29" t="s">
        <v>1317</v>
      </c>
      <c r="B176" s="29" t="s">
        <v>1744</v>
      </c>
      <c r="C176" s="619">
        <f>SETUP!$F$39</f>
        <v>0</v>
      </c>
      <c r="D176" s="25">
        <v>4.7</v>
      </c>
      <c r="E176" s="26" t="s">
        <v>1444</v>
      </c>
      <c r="F176" s="26" t="s">
        <v>1445</v>
      </c>
      <c r="G176" s="625" t="str">
        <f t="array" ref="G176">IFERROR(INDEX(#REF!,MATCH($E176&amp;$F176,#REF!&amp;#REF!,0)),"")</f>
        <v/>
      </c>
      <c r="H176" s="625"/>
      <c r="I176" s="625">
        <f t="array" ref="I176">IFERROR(INDEX(#REF!,MATCH($E176&amp;$F176,#REF!&amp;#REF!,0)),0)</f>
        <v>0</v>
      </c>
      <c r="J176" s="625">
        <f t="array" ref="J176">IFERROR(INDEX(#REF!,MATCH($E176&amp;$F176,#REF!&amp;#REF!,0)),0)</f>
        <v>0</v>
      </c>
      <c r="K176" s="626">
        <f t="shared" si="144"/>
        <v>0</v>
      </c>
      <c r="L176" s="626">
        <f t="shared" si="145"/>
        <v>0</v>
      </c>
      <c r="M176" s="626">
        <f t="shared" si="146"/>
        <v>0</v>
      </c>
      <c r="N176" s="625">
        <f t="array" ref="N176">IFERROR(INDEX(#REF!,MATCH($E176&amp;$F176,#REF!&amp;#REF!,0)),0)</f>
        <v>0</v>
      </c>
      <c r="O176" s="626">
        <f t="shared" si="147"/>
        <v>0</v>
      </c>
      <c r="P176" s="626">
        <f t="shared" si="148"/>
        <v>0</v>
      </c>
      <c r="Q176" s="626">
        <f t="shared" si="149"/>
        <v>0</v>
      </c>
      <c r="R176" s="625">
        <f t="array" ref="R176">IFERROR(INDEX(#REF!,MATCH($E176&amp;$F176,#REF!&amp;#REF!,0)),0)</f>
        <v>0</v>
      </c>
      <c r="S176" s="626">
        <f t="shared" si="150"/>
        <v>0</v>
      </c>
      <c r="T176" s="626">
        <f t="shared" si="151"/>
        <v>0</v>
      </c>
      <c r="U176" s="626">
        <f t="shared" si="152"/>
        <v>0</v>
      </c>
      <c r="V176" s="625">
        <f t="array" ref="V176">IFERROR(INDEX(#REF!,MATCH($E176&amp;$F176,#REF!&amp;#REF!,0)),0)</f>
        <v>0</v>
      </c>
      <c r="W176" s="626">
        <f t="shared" si="153"/>
        <v>0</v>
      </c>
      <c r="X176" s="626">
        <f t="shared" si="154"/>
        <v>0</v>
      </c>
      <c r="Y176" s="626">
        <f t="shared" si="155"/>
        <v>0</v>
      </c>
      <c r="Z176" s="630"/>
      <c r="AA176" s="625">
        <f t="array" ref="AA176">IFERROR(INDEX(#REF!,MATCH($E176&amp;$F176,#REF!&amp;#REF!,0)),0)</f>
        <v>0</v>
      </c>
      <c r="AB176" s="625">
        <f t="array" ref="AB176">IFERROR(INDEX(#REF!,MATCH($E176&amp;$F176,#REF!&amp;#REF!,0)),0)</f>
        <v>0</v>
      </c>
      <c r="AC176" s="626">
        <f t="shared" si="156"/>
        <v>0</v>
      </c>
      <c r="AD176" s="626">
        <f t="shared" si="157"/>
        <v>0</v>
      </c>
      <c r="AE176" s="626">
        <f t="shared" si="158"/>
        <v>0</v>
      </c>
      <c r="AF176" s="625">
        <f t="array" ref="AF176">IFERROR(INDEX(#REF!,MATCH($E176&amp;$F176,#REF!&amp;#REF!,0)),0)</f>
        <v>0</v>
      </c>
      <c r="AG176" s="626">
        <f t="shared" si="159"/>
        <v>0</v>
      </c>
      <c r="AH176" s="626">
        <f t="shared" si="160"/>
        <v>0</v>
      </c>
      <c r="AI176" s="626">
        <f t="shared" si="161"/>
        <v>0</v>
      </c>
      <c r="AJ176" s="625">
        <f t="array" ref="AJ176">IFERROR(INDEX(#REF!,MATCH($E176&amp;$F176,#REF!&amp;#REF!,0)),0)</f>
        <v>0</v>
      </c>
      <c r="AK176" s="626">
        <f t="shared" si="162"/>
        <v>0</v>
      </c>
      <c r="AL176" s="626">
        <f t="shared" si="163"/>
        <v>0</v>
      </c>
      <c r="AM176" s="626">
        <f t="shared" si="164"/>
        <v>0</v>
      </c>
      <c r="AN176" s="625">
        <f t="array" ref="AN176">IFERROR(INDEX(#REF!,MATCH($E176&amp;$F176,#REF!&amp;#REF!,0)),0)</f>
        <v>0</v>
      </c>
      <c r="AO176" s="626">
        <f t="shared" si="165"/>
        <v>0</v>
      </c>
      <c r="AP176" s="626">
        <f t="shared" si="166"/>
        <v>0</v>
      </c>
      <c r="AQ176" s="626">
        <f t="shared" si="167"/>
        <v>0</v>
      </c>
      <c r="AR176" s="630"/>
      <c r="AS176" s="625">
        <f t="array" ref="AS176">IFERROR(INDEX(#REF!,MATCH($E176&amp;$F176,#REF!&amp;#REF!,0)),0)</f>
        <v>0</v>
      </c>
      <c r="AT176" s="625">
        <f t="array" ref="AT176">IFERROR(INDEX(#REF!,MATCH($E176&amp;$F176,#REF!&amp;#REF!,0)),0)</f>
        <v>0</v>
      </c>
      <c r="AU176" s="626">
        <f t="shared" si="168"/>
        <v>0</v>
      </c>
      <c r="AV176" s="626">
        <f t="shared" si="169"/>
        <v>0</v>
      </c>
      <c r="AW176" s="626">
        <f t="shared" si="170"/>
        <v>0</v>
      </c>
      <c r="AX176" s="625">
        <f t="array" ref="AX176">IFERROR(INDEX(#REF!,MATCH($E176&amp;$F176,#REF!&amp;#REF!,0)),0)</f>
        <v>0</v>
      </c>
      <c r="AY176" s="626">
        <f t="shared" si="171"/>
        <v>0</v>
      </c>
      <c r="AZ176" s="626">
        <f t="shared" si="172"/>
        <v>0</v>
      </c>
      <c r="BA176" s="626">
        <f t="shared" si="173"/>
        <v>0</v>
      </c>
      <c r="BB176" s="625">
        <f t="array" ref="BB176">IFERROR(INDEX(#REF!,MATCH($E176&amp;$F176,#REF!&amp;#REF!,0)),0)</f>
        <v>0</v>
      </c>
      <c r="BC176" s="626">
        <f t="shared" si="174"/>
        <v>0</v>
      </c>
      <c r="BD176" s="626">
        <f t="shared" si="175"/>
        <v>0</v>
      </c>
      <c r="BE176" s="626">
        <f t="shared" si="176"/>
        <v>0</v>
      </c>
      <c r="BF176" s="625">
        <f t="array" ref="BF176">IFERROR(INDEX(#REF!,MATCH($E176&amp;$F176,#REF!&amp;#REF!,0)),0)</f>
        <v>0</v>
      </c>
      <c r="BG176" s="626">
        <f t="shared" si="177"/>
        <v>0</v>
      </c>
      <c r="BH176" s="626">
        <f t="shared" si="178"/>
        <v>0</v>
      </c>
      <c r="BI176" s="626">
        <f t="shared" si="179"/>
        <v>0</v>
      </c>
      <c r="BJ176" s="630"/>
      <c r="BK176" s="625"/>
      <c r="BL176" s="625"/>
      <c r="BM176" s="625"/>
      <c r="BN176" s="625"/>
      <c r="BO176" s="625"/>
      <c r="BP176" s="625"/>
      <c r="BQ176" s="625"/>
      <c r="BR176" s="625"/>
    </row>
    <row r="177" spans="1:70">
      <c r="A177" s="29" t="s">
        <v>1317</v>
      </c>
      <c r="B177" s="29" t="s">
        <v>1744</v>
      </c>
      <c r="C177" s="619">
        <f>SETUP!$F$39</f>
        <v>0</v>
      </c>
      <c r="D177" s="25">
        <v>4.7</v>
      </c>
      <c r="E177" s="26" t="s">
        <v>1444</v>
      </c>
      <c r="F177" s="26" t="s">
        <v>1406</v>
      </c>
      <c r="G177" s="625" t="str">
        <f t="array" ref="G177">IFERROR(INDEX(#REF!,MATCH($E177&amp;$F177,#REF!&amp;#REF!,0)),"")</f>
        <v/>
      </c>
      <c r="H177" s="625"/>
      <c r="I177" s="625">
        <f t="array" ref="I177">IFERROR(INDEX(#REF!,MATCH($E177&amp;$F177,#REF!&amp;#REF!,0)),0)</f>
        <v>0</v>
      </c>
      <c r="J177" s="625">
        <f t="array" ref="J177">IFERROR(INDEX(#REF!,MATCH($E177&amp;$F177,#REF!&amp;#REF!,0)),0)</f>
        <v>0</v>
      </c>
      <c r="K177" s="626">
        <f t="shared" si="144"/>
        <v>0</v>
      </c>
      <c r="L177" s="626">
        <f t="shared" si="145"/>
        <v>0</v>
      </c>
      <c r="M177" s="626">
        <f t="shared" si="146"/>
        <v>0</v>
      </c>
      <c r="N177" s="625">
        <f t="array" ref="N177">IFERROR(INDEX(#REF!,MATCH($E177&amp;$F177,#REF!&amp;#REF!,0)),0)</f>
        <v>0</v>
      </c>
      <c r="O177" s="626">
        <f t="shared" si="147"/>
        <v>0</v>
      </c>
      <c r="P177" s="626">
        <f t="shared" si="148"/>
        <v>0</v>
      </c>
      <c r="Q177" s="626">
        <f t="shared" si="149"/>
        <v>0</v>
      </c>
      <c r="R177" s="625">
        <f t="array" ref="R177">IFERROR(INDEX(#REF!,MATCH($E177&amp;$F177,#REF!&amp;#REF!,0)),0)</f>
        <v>0</v>
      </c>
      <c r="S177" s="626">
        <f t="shared" si="150"/>
        <v>0</v>
      </c>
      <c r="T177" s="626">
        <f t="shared" si="151"/>
        <v>0</v>
      </c>
      <c r="U177" s="626">
        <f t="shared" si="152"/>
        <v>0</v>
      </c>
      <c r="V177" s="625">
        <f t="array" ref="V177">IFERROR(INDEX(#REF!,MATCH($E177&amp;$F177,#REF!&amp;#REF!,0)),0)</f>
        <v>0</v>
      </c>
      <c r="W177" s="626">
        <f t="shared" si="153"/>
        <v>0</v>
      </c>
      <c r="X177" s="626">
        <f t="shared" si="154"/>
        <v>0</v>
      </c>
      <c r="Y177" s="626">
        <f t="shared" si="155"/>
        <v>0</v>
      </c>
      <c r="Z177" s="630"/>
      <c r="AA177" s="625">
        <f t="array" ref="AA177">IFERROR(INDEX(#REF!,MATCH($E177&amp;$F177,#REF!&amp;#REF!,0)),0)</f>
        <v>0</v>
      </c>
      <c r="AB177" s="625">
        <f t="array" ref="AB177">IFERROR(INDEX(#REF!,MATCH($E177&amp;$F177,#REF!&amp;#REF!,0)),0)</f>
        <v>0</v>
      </c>
      <c r="AC177" s="626">
        <f t="shared" si="156"/>
        <v>0</v>
      </c>
      <c r="AD177" s="626">
        <f t="shared" si="157"/>
        <v>0</v>
      </c>
      <c r="AE177" s="626">
        <f t="shared" si="158"/>
        <v>0</v>
      </c>
      <c r="AF177" s="625">
        <f t="array" ref="AF177">IFERROR(INDEX(#REF!,MATCH($E177&amp;$F177,#REF!&amp;#REF!,0)),0)</f>
        <v>0</v>
      </c>
      <c r="AG177" s="626">
        <f t="shared" si="159"/>
        <v>0</v>
      </c>
      <c r="AH177" s="626">
        <f t="shared" si="160"/>
        <v>0</v>
      </c>
      <c r="AI177" s="626">
        <f t="shared" si="161"/>
        <v>0</v>
      </c>
      <c r="AJ177" s="625">
        <f t="array" ref="AJ177">IFERROR(INDEX(#REF!,MATCH($E177&amp;$F177,#REF!&amp;#REF!,0)),0)</f>
        <v>0</v>
      </c>
      <c r="AK177" s="626">
        <f t="shared" si="162"/>
        <v>0</v>
      </c>
      <c r="AL177" s="626">
        <f t="shared" si="163"/>
        <v>0</v>
      </c>
      <c r="AM177" s="626">
        <f t="shared" si="164"/>
        <v>0</v>
      </c>
      <c r="AN177" s="625">
        <f t="array" ref="AN177">IFERROR(INDEX(#REF!,MATCH($E177&amp;$F177,#REF!&amp;#REF!,0)),0)</f>
        <v>0</v>
      </c>
      <c r="AO177" s="626">
        <f t="shared" si="165"/>
        <v>0</v>
      </c>
      <c r="AP177" s="626">
        <f t="shared" si="166"/>
        <v>0</v>
      </c>
      <c r="AQ177" s="626">
        <f t="shared" si="167"/>
        <v>0</v>
      </c>
      <c r="AR177" s="630"/>
      <c r="AS177" s="625">
        <f t="array" ref="AS177">IFERROR(INDEX(#REF!,MATCH($E177&amp;$F177,#REF!&amp;#REF!,0)),0)</f>
        <v>0</v>
      </c>
      <c r="AT177" s="625">
        <f t="array" ref="AT177">IFERROR(INDEX(#REF!,MATCH($E177&amp;$F177,#REF!&amp;#REF!,0)),0)</f>
        <v>0</v>
      </c>
      <c r="AU177" s="626">
        <f t="shared" si="168"/>
        <v>0</v>
      </c>
      <c r="AV177" s="626">
        <f t="shared" si="169"/>
        <v>0</v>
      </c>
      <c r="AW177" s="626">
        <f t="shared" si="170"/>
        <v>0</v>
      </c>
      <c r="AX177" s="625">
        <f t="array" ref="AX177">IFERROR(INDEX(#REF!,MATCH($E177&amp;$F177,#REF!&amp;#REF!,0)),0)</f>
        <v>0</v>
      </c>
      <c r="AY177" s="626">
        <f t="shared" si="171"/>
        <v>0</v>
      </c>
      <c r="AZ177" s="626">
        <f t="shared" si="172"/>
        <v>0</v>
      </c>
      <c r="BA177" s="626">
        <f t="shared" si="173"/>
        <v>0</v>
      </c>
      <c r="BB177" s="625">
        <f t="array" ref="BB177">IFERROR(INDEX(#REF!,MATCH($E177&amp;$F177,#REF!&amp;#REF!,0)),0)</f>
        <v>0</v>
      </c>
      <c r="BC177" s="626">
        <f t="shared" si="174"/>
        <v>0</v>
      </c>
      <c r="BD177" s="626">
        <f t="shared" si="175"/>
        <v>0</v>
      </c>
      <c r="BE177" s="626">
        <f t="shared" si="176"/>
        <v>0</v>
      </c>
      <c r="BF177" s="625">
        <f t="array" ref="BF177">IFERROR(INDEX(#REF!,MATCH($E177&amp;$F177,#REF!&amp;#REF!,0)),0)</f>
        <v>0</v>
      </c>
      <c r="BG177" s="626">
        <f t="shared" si="177"/>
        <v>0</v>
      </c>
      <c r="BH177" s="626">
        <f t="shared" si="178"/>
        <v>0</v>
      </c>
      <c r="BI177" s="626">
        <f t="shared" si="179"/>
        <v>0</v>
      </c>
      <c r="BJ177" s="630"/>
      <c r="BK177" s="625"/>
      <c r="BL177" s="625"/>
      <c r="BM177" s="625"/>
      <c r="BN177" s="625"/>
      <c r="BO177" s="625"/>
      <c r="BP177" s="625"/>
      <c r="BQ177" s="625"/>
      <c r="BR177" s="625"/>
    </row>
    <row r="178" spans="1:70">
      <c r="A178" s="29" t="s">
        <v>1317</v>
      </c>
      <c r="B178" s="29" t="s">
        <v>1744</v>
      </c>
      <c r="C178" s="619">
        <f>SETUP!$F$39</f>
        <v>0</v>
      </c>
      <c r="D178" s="25">
        <v>4.7</v>
      </c>
      <c r="E178" s="26" t="s">
        <v>1447</v>
      </c>
      <c r="F178" s="26" t="s">
        <v>1357</v>
      </c>
      <c r="G178" s="625" t="str">
        <f t="array" ref="G178">IFERROR(INDEX(#REF!,MATCH($E178&amp;$F178,#REF!&amp;#REF!,0)),"")</f>
        <v/>
      </c>
      <c r="H178" s="625"/>
      <c r="I178" s="625">
        <f t="array" ref="I178">IFERROR(INDEX(#REF!,MATCH($E178&amp;$F178,#REF!&amp;#REF!,0)),0)</f>
        <v>0</v>
      </c>
      <c r="J178" s="625">
        <f t="array" ref="J178">IFERROR(INDEX(#REF!,MATCH($E178&amp;$F178,#REF!&amp;#REF!,0)),0)</f>
        <v>0</v>
      </c>
      <c r="K178" s="626">
        <f t="shared" si="144"/>
        <v>0</v>
      </c>
      <c r="L178" s="626">
        <f t="shared" si="145"/>
        <v>0</v>
      </c>
      <c r="M178" s="626">
        <f t="shared" si="146"/>
        <v>0</v>
      </c>
      <c r="N178" s="625">
        <f t="array" ref="N178">IFERROR(INDEX(#REF!,MATCH($E178&amp;$F178,#REF!&amp;#REF!,0)),0)</f>
        <v>0</v>
      </c>
      <c r="O178" s="626">
        <f t="shared" si="147"/>
        <v>0</v>
      </c>
      <c r="P178" s="626">
        <f t="shared" si="148"/>
        <v>0</v>
      </c>
      <c r="Q178" s="626">
        <f t="shared" si="149"/>
        <v>0</v>
      </c>
      <c r="R178" s="625">
        <f t="array" ref="R178">IFERROR(INDEX(#REF!,MATCH($E178&amp;$F178,#REF!&amp;#REF!,0)),0)</f>
        <v>0</v>
      </c>
      <c r="S178" s="626">
        <f t="shared" si="150"/>
        <v>0</v>
      </c>
      <c r="T178" s="626">
        <f t="shared" si="151"/>
        <v>0</v>
      </c>
      <c r="U178" s="626">
        <f t="shared" si="152"/>
        <v>0</v>
      </c>
      <c r="V178" s="625">
        <f t="array" ref="V178">IFERROR(INDEX(#REF!,MATCH($E178&amp;$F178,#REF!&amp;#REF!,0)),0)</f>
        <v>0</v>
      </c>
      <c r="W178" s="626">
        <f t="shared" si="153"/>
        <v>0</v>
      </c>
      <c r="X178" s="626">
        <f t="shared" si="154"/>
        <v>0</v>
      </c>
      <c r="Y178" s="626">
        <f t="shared" si="155"/>
        <v>0</v>
      </c>
      <c r="Z178" s="630"/>
      <c r="AA178" s="625">
        <f t="array" ref="AA178">IFERROR(INDEX(#REF!,MATCH($E178&amp;$F178,#REF!&amp;#REF!,0)),0)</f>
        <v>0</v>
      </c>
      <c r="AB178" s="625">
        <f t="array" ref="AB178">IFERROR(INDEX(#REF!,MATCH($E178&amp;$F178,#REF!&amp;#REF!,0)),0)</f>
        <v>0</v>
      </c>
      <c r="AC178" s="626">
        <f t="shared" si="156"/>
        <v>0</v>
      </c>
      <c r="AD178" s="626">
        <f t="shared" si="157"/>
        <v>0</v>
      </c>
      <c r="AE178" s="626">
        <f t="shared" si="158"/>
        <v>0</v>
      </c>
      <c r="AF178" s="625">
        <f t="array" ref="AF178">IFERROR(INDEX(#REF!,MATCH($E178&amp;$F178,#REF!&amp;#REF!,0)),0)</f>
        <v>0</v>
      </c>
      <c r="AG178" s="626">
        <f t="shared" si="159"/>
        <v>0</v>
      </c>
      <c r="AH178" s="626">
        <f t="shared" si="160"/>
        <v>0</v>
      </c>
      <c r="AI178" s="626">
        <f t="shared" si="161"/>
        <v>0</v>
      </c>
      <c r="AJ178" s="625">
        <f t="array" ref="AJ178">IFERROR(INDEX(#REF!,MATCH($E178&amp;$F178,#REF!&amp;#REF!,0)),0)</f>
        <v>0</v>
      </c>
      <c r="AK178" s="626">
        <f t="shared" si="162"/>
        <v>0</v>
      </c>
      <c r="AL178" s="626">
        <f t="shared" si="163"/>
        <v>0</v>
      </c>
      <c r="AM178" s="626">
        <f t="shared" si="164"/>
        <v>0</v>
      </c>
      <c r="AN178" s="625">
        <f t="array" ref="AN178">IFERROR(INDEX(#REF!,MATCH($E178&amp;$F178,#REF!&amp;#REF!,0)),0)</f>
        <v>0</v>
      </c>
      <c r="AO178" s="626">
        <f t="shared" si="165"/>
        <v>0</v>
      </c>
      <c r="AP178" s="626">
        <f t="shared" si="166"/>
        <v>0</v>
      </c>
      <c r="AQ178" s="626">
        <f t="shared" si="167"/>
        <v>0</v>
      </c>
      <c r="AR178" s="630"/>
      <c r="AS178" s="625">
        <f t="array" ref="AS178">IFERROR(INDEX(#REF!,MATCH($E178&amp;$F178,#REF!&amp;#REF!,0)),0)</f>
        <v>0</v>
      </c>
      <c r="AT178" s="625">
        <f t="array" ref="AT178">IFERROR(INDEX(#REF!,MATCH($E178&amp;$F178,#REF!&amp;#REF!,0)),0)</f>
        <v>0</v>
      </c>
      <c r="AU178" s="626">
        <f t="shared" si="168"/>
        <v>0</v>
      </c>
      <c r="AV178" s="626">
        <f t="shared" si="169"/>
        <v>0</v>
      </c>
      <c r="AW178" s="626">
        <f t="shared" si="170"/>
        <v>0</v>
      </c>
      <c r="AX178" s="625">
        <f t="array" ref="AX178">IFERROR(INDEX(#REF!,MATCH($E178&amp;$F178,#REF!&amp;#REF!,0)),0)</f>
        <v>0</v>
      </c>
      <c r="AY178" s="626">
        <f t="shared" si="171"/>
        <v>0</v>
      </c>
      <c r="AZ178" s="626">
        <f t="shared" si="172"/>
        <v>0</v>
      </c>
      <c r="BA178" s="626">
        <f t="shared" si="173"/>
        <v>0</v>
      </c>
      <c r="BB178" s="625">
        <f t="array" ref="BB178">IFERROR(INDEX(#REF!,MATCH($E178&amp;$F178,#REF!&amp;#REF!,0)),0)</f>
        <v>0</v>
      </c>
      <c r="BC178" s="626">
        <f t="shared" si="174"/>
        <v>0</v>
      </c>
      <c r="BD178" s="626">
        <f t="shared" si="175"/>
        <v>0</v>
      </c>
      <c r="BE178" s="626">
        <f t="shared" si="176"/>
        <v>0</v>
      </c>
      <c r="BF178" s="625">
        <f t="array" ref="BF178">IFERROR(INDEX(#REF!,MATCH($E178&amp;$F178,#REF!&amp;#REF!,0)),0)</f>
        <v>0</v>
      </c>
      <c r="BG178" s="626">
        <f t="shared" si="177"/>
        <v>0</v>
      </c>
      <c r="BH178" s="626">
        <f t="shared" si="178"/>
        <v>0</v>
      </c>
      <c r="BI178" s="626">
        <f t="shared" si="179"/>
        <v>0</v>
      </c>
      <c r="BJ178" s="630"/>
      <c r="BK178" s="625"/>
      <c r="BL178" s="625"/>
      <c r="BM178" s="625"/>
      <c r="BN178" s="625"/>
      <c r="BO178" s="625"/>
      <c r="BP178" s="625"/>
      <c r="BQ178" s="625"/>
      <c r="BR178" s="625"/>
    </row>
    <row r="179" spans="1:70">
      <c r="A179" s="29" t="s">
        <v>1317</v>
      </c>
      <c r="B179" s="29" t="s">
        <v>1744</v>
      </c>
      <c r="C179" s="619">
        <f>SETUP!$F$39</f>
        <v>0</v>
      </c>
      <c r="D179" s="25">
        <v>4.7</v>
      </c>
      <c r="E179" s="26" t="s">
        <v>1374</v>
      </c>
      <c r="F179" s="26" t="s">
        <v>1375</v>
      </c>
      <c r="G179" s="625" t="str">
        <f t="array" ref="G179">IFERROR(INDEX(#REF!,MATCH($E179&amp;$F179,#REF!&amp;#REF!,0)),"")</f>
        <v/>
      </c>
      <c r="H179" s="625"/>
      <c r="I179" s="625">
        <f t="array" ref="I179">IFERROR(INDEX(#REF!,MATCH($E179&amp;$F179,#REF!&amp;#REF!,0)),0)</f>
        <v>0</v>
      </c>
      <c r="J179" s="625">
        <f t="array" ref="J179">IFERROR(INDEX(#REF!,MATCH($E179&amp;$F179,#REF!&amp;#REF!,0)),0)</f>
        <v>0</v>
      </c>
      <c r="K179" s="626">
        <f t="shared" si="144"/>
        <v>0</v>
      </c>
      <c r="L179" s="626">
        <f t="shared" si="145"/>
        <v>0</v>
      </c>
      <c r="M179" s="626">
        <f t="shared" si="146"/>
        <v>0</v>
      </c>
      <c r="N179" s="625">
        <f t="array" ref="N179">IFERROR(INDEX(#REF!,MATCH($E179&amp;$F179,#REF!&amp;#REF!,0)),0)</f>
        <v>0</v>
      </c>
      <c r="O179" s="626">
        <f t="shared" si="147"/>
        <v>0</v>
      </c>
      <c r="P179" s="626">
        <f t="shared" si="148"/>
        <v>0</v>
      </c>
      <c r="Q179" s="626">
        <f t="shared" si="149"/>
        <v>0</v>
      </c>
      <c r="R179" s="625">
        <f t="array" ref="R179">IFERROR(INDEX(#REF!,MATCH($E179&amp;$F179,#REF!&amp;#REF!,0)),0)</f>
        <v>0</v>
      </c>
      <c r="S179" s="626">
        <f t="shared" si="150"/>
        <v>0</v>
      </c>
      <c r="T179" s="626">
        <f t="shared" si="151"/>
        <v>0</v>
      </c>
      <c r="U179" s="626">
        <f t="shared" si="152"/>
        <v>0</v>
      </c>
      <c r="V179" s="625">
        <f t="array" ref="V179">IFERROR(INDEX(#REF!,MATCH($E179&amp;$F179,#REF!&amp;#REF!,0)),0)</f>
        <v>0</v>
      </c>
      <c r="W179" s="626">
        <f t="shared" si="153"/>
        <v>0</v>
      </c>
      <c r="X179" s="626">
        <f t="shared" si="154"/>
        <v>0</v>
      </c>
      <c r="Y179" s="626">
        <f t="shared" si="155"/>
        <v>0</v>
      </c>
      <c r="Z179" s="630"/>
      <c r="AA179" s="625">
        <f t="array" ref="AA179">IFERROR(INDEX(#REF!,MATCH($E179&amp;$F179,#REF!&amp;#REF!,0)),0)</f>
        <v>0</v>
      </c>
      <c r="AB179" s="625">
        <f t="array" ref="AB179">IFERROR(INDEX(#REF!,MATCH($E179&amp;$F179,#REF!&amp;#REF!,0)),0)</f>
        <v>0</v>
      </c>
      <c r="AC179" s="626">
        <f t="shared" si="156"/>
        <v>0</v>
      </c>
      <c r="AD179" s="626">
        <f t="shared" si="157"/>
        <v>0</v>
      </c>
      <c r="AE179" s="626">
        <f t="shared" si="158"/>
        <v>0</v>
      </c>
      <c r="AF179" s="625">
        <f t="array" ref="AF179">IFERROR(INDEX(#REF!,MATCH($E179&amp;$F179,#REF!&amp;#REF!,0)),0)</f>
        <v>0</v>
      </c>
      <c r="AG179" s="626">
        <f t="shared" si="159"/>
        <v>0</v>
      </c>
      <c r="AH179" s="626">
        <f t="shared" si="160"/>
        <v>0</v>
      </c>
      <c r="AI179" s="626">
        <f t="shared" si="161"/>
        <v>0</v>
      </c>
      <c r="AJ179" s="625">
        <f t="array" ref="AJ179">IFERROR(INDEX(#REF!,MATCH($E179&amp;$F179,#REF!&amp;#REF!,0)),0)</f>
        <v>0</v>
      </c>
      <c r="AK179" s="626">
        <f t="shared" si="162"/>
        <v>0</v>
      </c>
      <c r="AL179" s="626">
        <f t="shared" si="163"/>
        <v>0</v>
      </c>
      <c r="AM179" s="626">
        <f t="shared" si="164"/>
        <v>0</v>
      </c>
      <c r="AN179" s="625">
        <f t="array" ref="AN179">IFERROR(INDEX(#REF!,MATCH($E179&amp;$F179,#REF!&amp;#REF!,0)),0)</f>
        <v>0</v>
      </c>
      <c r="AO179" s="626">
        <f t="shared" si="165"/>
        <v>0</v>
      </c>
      <c r="AP179" s="626">
        <f t="shared" si="166"/>
        <v>0</v>
      </c>
      <c r="AQ179" s="626">
        <f t="shared" si="167"/>
        <v>0</v>
      </c>
      <c r="AR179" s="630"/>
      <c r="AS179" s="625">
        <f t="array" ref="AS179">IFERROR(INDEX(#REF!,MATCH($E179&amp;$F179,#REF!&amp;#REF!,0)),0)</f>
        <v>0</v>
      </c>
      <c r="AT179" s="625">
        <f t="array" ref="AT179">IFERROR(INDEX(#REF!,MATCH($E179&amp;$F179,#REF!&amp;#REF!,0)),0)</f>
        <v>0</v>
      </c>
      <c r="AU179" s="626">
        <f t="shared" si="168"/>
        <v>0</v>
      </c>
      <c r="AV179" s="626">
        <f t="shared" si="169"/>
        <v>0</v>
      </c>
      <c r="AW179" s="626">
        <f t="shared" si="170"/>
        <v>0</v>
      </c>
      <c r="AX179" s="625">
        <f t="array" ref="AX179">IFERROR(INDEX(#REF!,MATCH($E179&amp;$F179,#REF!&amp;#REF!,0)),0)</f>
        <v>0</v>
      </c>
      <c r="AY179" s="626">
        <f t="shared" si="171"/>
        <v>0</v>
      </c>
      <c r="AZ179" s="626">
        <f t="shared" si="172"/>
        <v>0</v>
      </c>
      <c r="BA179" s="626">
        <f t="shared" si="173"/>
        <v>0</v>
      </c>
      <c r="BB179" s="625">
        <f t="array" ref="BB179">IFERROR(INDEX(#REF!,MATCH($E179&amp;$F179,#REF!&amp;#REF!,0)),0)</f>
        <v>0</v>
      </c>
      <c r="BC179" s="626">
        <f t="shared" si="174"/>
        <v>0</v>
      </c>
      <c r="BD179" s="626">
        <f t="shared" si="175"/>
        <v>0</v>
      </c>
      <c r="BE179" s="626">
        <f t="shared" si="176"/>
        <v>0</v>
      </c>
      <c r="BF179" s="625">
        <f t="array" ref="BF179">IFERROR(INDEX(#REF!,MATCH($E179&amp;$F179,#REF!&amp;#REF!,0)),0)</f>
        <v>0</v>
      </c>
      <c r="BG179" s="626">
        <f t="shared" si="177"/>
        <v>0</v>
      </c>
      <c r="BH179" s="626">
        <f t="shared" si="178"/>
        <v>0</v>
      </c>
      <c r="BI179" s="626">
        <f t="shared" si="179"/>
        <v>0</v>
      </c>
      <c r="BJ179" s="630"/>
      <c r="BK179" s="625"/>
      <c r="BL179" s="625"/>
      <c r="BM179" s="625"/>
      <c r="BN179" s="625"/>
      <c r="BO179" s="625"/>
      <c r="BP179" s="625"/>
      <c r="BQ179" s="625"/>
      <c r="BR179" s="625"/>
    </row>
    <row r="180" spans="1:70">
      <c r="A180" s="29" t="s">
        <v>1317</v>
      </c>
      <c r="B180" s="29" t="s">
        <v>1744</v>
      </c>
      <c r="C180" s="619">
        <f>SETUP!$F$39</f>
        <v>0</v>
      </c>
      <c r="D180" s="25">
        <v>4.7</v>
      </c>
      <c r="E180" s="26" t="s">
        <v>1376</v>
      </c>
      <c r="F180" s="26" t="s">
        <v>1377</v>
      </c>
      <c r="G180" s="625" t="str">
        <f t="array" ref="G180">IFERROR(INDEX(#REF!,MATCH($E180&amp;$F180,#REF!&amp;#REF!,0)),"")</f>
        <v/>
      </c>
      <c r="H180" s="625"/>
      <c r="I180" s="625">
        <f t="array" ref="I180">IFERROR(INDEX(#REF!,MATCH($E180&amp;$F180,#REF!&amp;#REF!,0)),0)</f>
        <v>0</v>
      </c>
      <c r="J180" s="625">
        <f t="array" ref="J180">IFERROR(INDEX(#REF!,MATCH($E180&amp;$F180,#REF!&amp;#REF!,0)),0)</f>
        <v>0</v>
      </c>
      <c r="K180" s="626">
        <f t="shared" si="144"/>
        <v>0</v>
      </c>
      <c r="L180" s="626">
        <f t="shared" si="145"/>
        <v>0</v>
      </c>
      <c r="M180" s="626">
        <f t="shared" si="146"/>
        <v>0</v>
      </c>
      <c r="N180" s="625">
        <f t="array" ref="N180">IFERROR(INDEX(#REF!,MATCH($E180&amp;$F180,#REF!&amp;#REF!,0)),0)</f>
        <v>0</v>
      </c>
      <c r="O180" s="626">
        <f t="shared" si="147"/>
        <v>0</v>
      </c>
      <c r="P180" s="626">
        <f t="shared" si="148"/>
        <v>0</v>
      </c>
      <c r="Q180" s="626">
        <f t="shared" si="149"/>
        <v>0</v>
      </c>
      <c r="R180" s="625">
        <f t="array" ref="R180">IFERROR(INDEX(#REF!,MATCH($E180&amp;$F180,#REF!&amp;#REF!,0)),0)</f>
        <v>0</v>
      </c>
      <c r="S180" s="626">
        <f t="shared" si="150"/>
        <v>0</v>
      </c>
      <c r="T180" s="626">
        <f t="shared" si="151"/>
        <v>0</v>
      </c>
      <c r="U180" s="626">
        <f t="shared" si="152"/>
        <v>0</v>
      </c>
      <c r="V180" s="625">
        <f t="array" ref="V180">IFERROR(INDEX(#REF!,MATCH($E180&amp;$F180,#REF!&amp;#REF!,0)),0)</f>
        <v>0</v>
      </c>
      <c r="W180" s="626">
        <f t="shared" si="153"/>
        <v>0</v>
      </c>
      <c r="X180" s="626">
        <f t="shared" si="154"/>
        <v>0</v>
      </c>
      <c r="Y180" s="626">
        <f t="shared" si="155"/>
        <v>0</v>
      </c>
      <c r="Z180" s="630"/>
      <c r="AA180" s="625">
        <f t="array" ref="AA180">IFERROR(INDEX(#REF!,MATCH($E180&amp;$F180,#REF!&amp;#REF!,0)),0)</f>
        <v>0</v>
      </c>
      <c r="AB180" s="625">
        <f t="array" ref="AB180">IFERROR(INDEX(#REF!,MATCH($E180&amp;$F180,#REF!&amp;#REF!,0)),0)</f>
        <v>0</v>
      </c>
      <c r="AC180" s="626">
        <f t="shared" si="156"/>
        <v>0</v>
      </c>
      <c r="AD180" s="626">
        <f t="shared" si="157"/>
        <v>0</v>
      </c>
      <c r="AE180" s="626">
        <f t="shared" si="158"/>
        <v>0</v>
      </c>
      <c r="AF180" s="625">
        <f t="array" ref="AF180">IFERROR(INDEX(#REF!,MATCH($E180&amp;$F180,#REF!&amp;#REF!,0)),0)</f>
        <v>0</v>
      </c>
      <c r="AG180" s="626">
        <f t="shared" si="159"/>
        <v>0</v>
      </c>
      <c r="AH180" s="626">
        <f t="shared" si="160"/>
        <v>0</v>
      </c>
      <c r="AI180" s="626">
        <f t="shared" si="161"/>
        <v>0</v>
      </c>
      <c r="AJ180" s="625">
        <f t="array" ref="AJ180">IFERROR(INDEX(#REF!,MATCH($E180&amp;$F180,#REF!&amp;#REF!,0)),0)</f>
        <v>0</v>
      </c>
      <c r="AK180" s="626">
        <f t="shared" si="162"/>
        <v>0</v>
      </c>
      <c r="AL180" s="626">
        <f t="shared" si="163"/>
        <v>0</v>
      </c>
      <c r="AM180" s="626">
        <f t="shared" si="164"/>
        <v>0</v>
      </c>
      <c r="AN180" s="625">
        <f t="array" ref="AN180">IFERROR(INDEX(#REF!,MATCH($E180&amp;$F180,#REF!&amp;#REF!,0)),0)</f>
        <v>0</v>
      </c>
      <c r="AO180" s="626">
        <f t="shared" si="165"/>
        <v>0</v>
      </c>
      <c r="AP180" s="626">
        <f t="shared" si="166"/>
        <v>0</v>
      </c>
      <c r="AQ180" s="626">
        <f t="shared" si="167"/>
        <v>0</v>
      </c>
      <c r="AR180" s="630"/>
      <c r="AS180" s="625">
        <f t="array" ref="AS180">IFERROR(INDEX(#REF!,MATCH($E180&amp;$F180,#REF!&amp;#REF!,0)),0)</f>
        <v>0</v>
      </c>
      <c r="AT180" s="625">
        <f t="array" ref="AT180">IFERROR(INDEX(#REF!,MATCH($E180&amp;$F180,#REF!&amp;#REF!,0)),0)</f>
        <v>0</v>
      </c>
      <c r="AU180" s="626">
        <f t="shared" si="168"/>
        <v>0</v>
      </c>
      <c r="AV180" s="626">
        <f t="shared" si="169"/>
        <v>0</v>
      </c>
      <c r="AW180" s="626">
        <f t="shared" si="170"/>
        <v>0</v>
      </c>
      <c r="AX180" s="625">
        <f t="array" ref="AX180">IFERROR(INDEX(#REF!,MATCH($E180&amp;$F180,#REF!&amp;#REF!,0)),0)</f>
        <v>0</v>
      </c>
      <c r="AY180" s="626">
        <f t="shared" si="171"/>
        <v>0</v>
      </c>
      <c r="AZ180" s="626">
        <f t="shared" si="172"/>
        <v>0</v>
      </c>
      <c r="BA180" s="626">
        <f t="shared" si="173"/>
        <v>0</v>
      </c>
      <c r="BB180" s="625">
        <f t="array" ref="BB180">IFERROR(INDEX(#REF!,MATCH($E180&amp;$F180,#REF!&amp;#REF!,0)),0)</f>
        <v>0</v>
      </c>
      <c r="BC180" s="626">
        <f t="shared" si="174"/>
        <v>0</v>
      </c>
      <c r="BD180" s="626">
        <f t="shared" si="175"/>
        <v>0</v>
      </c>
      <c r="BE180" s="626">
        <f t="shared" si="176"/>
        <v>0</v>
      </c>
      <c r="BF180" s="625">
        <f t="array" ref="BF180">IFERROR(INDEX(#REF!,MATCH($E180&amp;$F180,#REF!&amp;#REF!,0)),0)</f>
        <v>0</v>
      </c>
      <c r="BG180" s="626">
        <f t="shared" si="177"/>
        <v>0</v>
      </c>
      <c r="BH180" s="626">
        <f t="shared" si="178"/>
        <v>0</v>
      </c>
      <c r="BI180" s="626">
        <f t="shared" si="179"/>
        <v>0</v>
      </c>
      <c r="BJ180" s="630"/>
      <c r="BK180" s="625"/>
      <c r="BL180" s="625"/>
      <c r="BM180" s="625"/>
      <c r="BN180" s="625"/>
      <c r="BO180" s="625"/>
      <c r="BP180" s="625"/>
      <c r="BQ180" s="625"/>
      <c r="BR180" s="625"/>
    </row>
    <row r="181" spans="1:70">
      <c r="A181" s="29" t="s">
        <v>1317</v>
      </c>
      <c r="B181" s="29" t="s">
        <v>1744</v>
      </c>
      <c r="C181" s="619">
        <f>SETUP!$F$39</f>
        <v>0</v>
      </c>
      <c r="D181" s="25">
        <v>4.7</v>
      </c>
      <c r="E181" s="26" t="s">
        <v>1376</v>
      </c>
      <c r="F181" s="26" t="s">
        <v>1378</v>
      </c>
      <c r="G181" s="625" t="str">
        <f t="array" ref="G181">IFERROR(INDEX(#REF!,MATCH($E181&amp;$F181,#REF!&amp;#REF!,0)),"")</f>
        <v/>
      </c>
      <c r="H181" s="625"/>
      <c r="I181" s="625">
        <f t="array" ref="I181">IFERROR(INDEX(#REF!,MATCH($E181&amp;$F181,#REF!&amp;#REF!,0)),0)</f>
        <v>0</v>
      </c>
      <c r="J181" s="625">
        <f t="array" ref="J181">IFERROR(INDEX(#REF!,MATCH($E181&amp;$F181,#REF!&amp;#REF!,0)),0)</f>
        <v>0</v>
      </c>
      <c r="K181" s="626">
        <f t="shared" si="144"/>
        <v>0</v>
      </c>
      <c r="L181" s="626">
        <f t="shared" si="145"/>
        <v>0</v>
      </c>
      <c r="M181" s="626">
        <f t="shared" si="146"/>
        <v>0</v>
      </c>
      <c r="N181" s="625">
        <f t="array" ref="N181">IFERROR(INDEX(#REF!,MATCH($E181&amp;$F181,#REF!&amp;#REF!,0)),0)</f>
        <v>0</v>
      </c>
      <c r="O181" s="626">
        <f t="shared" si="147"/>
        <v>0</v>
      </c>
      <c r="P181" s="626">
        <f t="shared" si="148"/>
        <v>0</v>
      </c>
      <c r="Q181" s="626">
        <f t="shared" si="149"/>
        <v>0</v>
      </c>
      <c r="R181" s="625">
        <f t="array" ref="R181">IFERROR(INDEX(#REF!,MATCH($E181&amp;$F181,#REF!&amp;#REF!,0)),0)</f>
        <v>0</v>
      </c>
      <c r="S181" s="626">
        <f t="shared" si="150"/>
        <v>0</v>
      </c>
      <c r="T181" s="626">
        <f t="shared" si="151"/>
        <v>0</v>
      </c>
      <c r="U181" s="626">
        <f t="shared" si="152"/>
        <v>0</v>
      </c>
      <c r="V181" s="625">
        <f t="array" ref="V181">IFERROR(INDEX(#REF!,MATCH($E181&amp;$F181,#REF!&amp;#REF!,0)),0)</f>
        <v>0</v>
      </c>
      <c r="W181" s="626">
        <f t="shared" si="153"/>
        <v>0</v>
      </c>
      <c r="X181" s="626">
        <f t="shared" si="154"/>
        <v>0</v>
      </c>
      <c r="Y181" s="626">
        <f t="shared" si="155"/>
        <v>0</v>
      </c>
      <c r="Z181" s="630"/>
      <c r="AA181" s="625">
        <f t="array" ref="AA181">IFERROR(INDEX(#REF!,MATCH($E181&amp;$F181,#REF!&amp;#REF!,0)),0)</f>
        <v>0</v>
      </c>
      <c r="AB181" s="625">
        <f t="array" ref="AB181">IFERROR(INDEX(#REF!,MATCH($E181&amp;$F181,#REF!&amp;#REF!,0)),0)</f>
        <v>0</v>
      </c>
      <c r="AC181" s="626">
        <f t="shared" si="156"/>
        <v>0</v>
      </c>
      <c r="AD181" s="626">
        <f t="shared" si="157"/>
        <v>0</v>
      </c>
      <c r="AE181" s="626">
        <f t="shared" si="158"/>
        <v>0</v>
      </c>
      <c r="AF181" s="625">
        <f t="array" ref="AF181">IFERROR(INDEX(#REF!,MATCH($E181&amp;$F181,#REF!&amp;#REF!,0)),0)</f>
        <v>0</v>
      </c>
      <c r="AG181" s="626">
        <f t="shared" si="159"/>
        <v>0</v>
      </c>
      <c r="AH181" s="626">
        <f t="shared" si="160"/>
        <v>0</v>
      </c>
      <c r="AI181" s="626">
        <f t="shared" si="161"/>
        <v>0</v>
      </c>
      <c r="AJ181" s="625">
        <f t="array" ref="AJ181">IFERROR(INDEX(#REF!,MATCH($E181&amp;$F181,#REF!&amp;#REF!,0)),0)</f>
        <v>0</v>
      </c>
      <c r="AK181" s="626">
        <f t="shared" si="162"/>
        <v>0</v>
      </c>
      <c r="AL181" s="626">
        <f t="shared" si="163"/>
        <v>0</v>
      </c>
      <c r="AM181" s="626">
        <f t="shared" si="164"/>
        <v>0</v>
      </c>
      <c r="AN181" s="625">
        <f t="array" ref="AN181">IFERROR(INDEX(#REF!,MATCH($E181&amp;$F181,#REF!&amp;#REF!,0)),0)</f>
        <v>0</v>
      </c>
      <c r="AO181" s="626">
        <f t="shared" si="165"/>
        <v>0</v>
      </c>
      <c r="AP181" s="626">
        <f t="shared" si="166"/>
        <v>0</v>
      </c>
      <c r="AQ181" s="626">
        <f t="shared" si="167"/>
        <v>0</v>
      </c>
      <c r="AR181" s="630"/>
      <c r="AS181" s="625">
        <f t="array" ref="AS181">IFERROR(INDEX(#REF!,MATCH($E181&amp;$F181,#REF!&amp;#REF!,0)),0)</f>
        <v>0</v>
      </c>
      <c r="AT181" s="625">
        <f t="array" ref="AT181">IFERROR(INDEX(#REF!,MATCH($E181&amp;$F181,#REF!&amp;#REF!,0)),0)</f>
        <v>0</v>
      </c>
      <c r="AU181" s="626">
        <f t="shared" si="168"/>
        <v>0</v>
      </c>
      <c r="AV181" s="626">
        <f t="shared" si="169"/>
        <v>0</v>
      </c>
      <c r="AW181" s="626">
        <f t="shared" si="170"/>
        <v>0</v>
      </c>
      <c r="AX181" s="625">
        <f t="array" ref="AX181">IFERROR(INDEX(#REF!,MATCH($E181&amp;$F181,#REF!&amp;#REF!,0)),0)</f>
        <v>0</v>
      </c>
      <c r="AY181" s="626">
        <f t="shared" si="171"/>
        <v>0</v>
      </c>
      <c r="AZ181" s="626">
        <f t="shared" si="172"/>
        <v>0</v>
      </c>
      <c r="BA181" s="626">
        <f t="shared" si="173"/>
        <v>0</v>
      </c>
      <c r="BB181" s="625">
        <f t="array" ref="BB181">IFERROR(INDEX(#REF!,MATCH($E181&amp;$F181,#REF!&amp;#REF!,0)),0)</f>
        <v>0</v>
      </c>
      <c r="BC181" s="626">
        <f t="shared" si="174"/>
        <v>0</v>
      </c>
      <c r="BD181" s="626">
        <f t="shared" si="175"/>
        <v>0</v>
      </c>
      <c r="BE181" s="626">
        <f t="shared" si="176"/>
        <v>0</v>
      </c>
      <c r="BF181" s="625">
        <f t="array" ref="BF181">IFERROR(INDEX(#REF!,MATCH($E181&amp;$F181,#REF!&amp;#REF!,0)),0)</f>
        <v>0</v>
      </c>
      <c r="BG181" s="626">
        <f t="shared" si="177"/>
        <v>0</v>
      </c>
      <c r="BH181" s="626">
        <f t="shared" si="178"/>
        <v>0</v>
      </c>
      <c r="BI181" s="626">
        <f t="shared" si="179"/>
        <v>0</v>
      </c>
      <c r="BJ181" s="630"/>
      <c r="BK181" s="625"/>
      <c r="BL181" s="625"/>
      <c r="BM181" s="625"/>
      <c r="BN181" s="625"/>
      <c r="BO181" s="625"/>
      <c r="BP181" s="625"/>
      <c r="BQ181" s="625"/>
      <c r="BR181" s="625"/>
    </row>
    <row r="182" spans="1:70">
      <c r="A182" s="29" t="s">
        <v>1317</v>
      </c>
      <c r="B182" s="29" t="s">
        <v>1744</v>
      </c>
      <c r="C182" s="619">
        <f>SETUP!$F$39</f>
        <v>0</v>
      </c>
      <c r="D182" s="25">
        <v>4.7</v>
      </c>
      <c r="E182" s="26" t="s">
        <v>1379</v>
      </c>
      <c r="F182" s="26" t="s">
        <v>1380</v>
      </c>
      <c r="G182" s="625" t="str">
        <f t="array" ref="G182">IFERROR(INDEX(#REF!,MATCH($E182&amp;$F182,#REF!&amp;#REF!,0)),"")</f>
        <v/>
      </c>
      <c r="H182" s="625"/>
      <c r="I182" s="625">
        <f t="array" ref="I182">IFERROR(INDEX(#REF!,MATCH($E182&amp;$F182,#REF!&amp;#REF!,0)),0)</f>
        <v>0</v>
      </c>
      <c r="J182" s="625">
        <f t="array" ref="J182">IFERROR(INDEX(#REF!,MATCH($E182&amp;$F182,#REF!&amp;#REF!,0)),0)</f>
        <v>0</v>
      </c>
      <c r="K182" s="626">
        <f t="shared" si="144"/>
        <v>0</v>
      </c>
      <c r="L182" s="626">
        <f t="shared" si="145"/>
        <v>0</v>
      </c>
      <c r="M182" s="626">
        <f t="shared" si="146"/>
        <v>0</v>
      </c>
      <c r="N182" s="625">
        <f t="array" ref="N182">IFERROR(INDEX(#REF!,MATCH($E182&amp;$F182,#REF!&amp;#REF!,0)),0)</f>
        <v>0</v>
      </c>
      <c r="O182" s="626">
        <f t="shared" si="147"/>
        <v>0</v>
      </c>
      <c r="P182" s="626">
        <f t="shared" si="148"/>
        <v>0</v>
      </c>
      <c r="Q182" s="626">
        <f t="shared" si="149"/>
        <v>0</v>
      </c>
      <c r="R182" s="625">
        <f t="array" ref="R182">IFERROR(INDEX(#REF!,MATCH($E182&amp;$F182,#REF!&amp;#REF!,0)),0)</f>
        <v>0</v>
      </c>
      <c r="S182" s="626">
        <f t="shared" si="150"/>
        <v>0</v>
      </c>
      <c r="T182" s="626">
        <f t="shared" si="151"/>
        <v>0</v>
      </c>
      <c r="U182" s="626">
        <f t="shared" si="152"/>
        <v>0</v>
      </c>
      <c r="V182" s="625">
        <f t="array" ref="V182">IFERROR(INDEX(#REF!,MATCH($E182&amp;$F182,#REF!&amp;#REF!,0)),0)</f>
        <v>0</v>
      </c>
      <c r="W182" s="626">
        <f t="shared" si="153"/>
        <v>0</v>
      </c>
      <c r="X182" s="626">
        <f t="shared" si="154"/>
        <v>0</v>
      </c>
      <c r="Y182" s="626">
        <f t="shared" si="155"/>
        <v>0</v>
      </c>
      <c r="Z182" s="630"/>
      <c r="AA182" s="625">
        <f t="array" ref="AA182">IFERROR(INDEX(#REF!,MATCH($E182&amp;$F182,#REF!&amp;#REF!,0)),0)</f>
        <v>0</v>
      </c>
      <c r="AB182" s="625">
        <f t="array" ref="AB182">IFERROR(INDEX(#REF!,MATCH($E182&amp;$F182,#REF!&amp;#REF!,0)),0)</f>
        <v>0</v>
      </c>
      <c r="AC182" s="626">
        <f t="shared" si="156"/>
        <v>0</v>
      </c>
      <c r="AD182" s="626">
        <f t="shared" si="157"/>
        <v>0</v>
      </c>
      <c r="AE182" s="626">
        <f t="shared" si="158"/>
        <v>0</v>
      </c>
      <c r="AF182" s="625">
        <f t="array" ref="AF182">IFERROR(INDEX(#REF!,MATCH($E182&amp;$F182,#REF!&amp;#REF!,0)),0)</f>
        <v>0</v>
      </c>
      <c r="AG182" s="626">
        <f t="shared" si="159"/>
        <v>0</v>
      </c>
      <c r="AH182" s="626">
        <f t="shared" si="160"/>
        <v>0</v>
      </c>
      <c r="AI182" s="626">
        <f t="shared" si="161"/>
        <v>0</v>
      </c>
      <c r="AJ182" s="625">
        <f t="array" ref="AJ182">IFERROR(INDEX(#REF!,MATCH($E182&amp;$F182,#REF!&amp;#REF!,0)),0)</f>
        <v>0</v>
      </c>
      <c r="AK182" s="626">
        <f t="shared" si="162"/>
        <v>0</v>
      </c>
      <c r="AL182" s="626">
        <f t="shared" si="163"/>
        <v>0</v>
      </c>
      <c r="AM182" s="626">
        <f t="shared" si="164"/>
        <v>0</v>
      </c>
      <c r="AN182" s="625">
        <f t="array" ref="AN182">IFERROR(INDEX(#REF!,MATCH($E182&amp;$F182,#REF!&amp;#REF!,0)),0)</f>
        <v>0</v>
      </c>
      <c r="AO182" s="626">
        <f t="shared" si="165"/>
        <v>0</v>
      </c>
      <c r="AP182" s="626">
        <f t="shared" si="166"/>
        <v>0</v>
      </c>
      <c r="AQ182" s="626">
        <f t="shared" si="167"/>
        <v>0</v>
      </c>
      <c r="AR182" s="630"/>
      <c r="AS182" s="625">
        <f t="array" ref="AS182">IFERROR(INDEX(#REF!,MATCH($E182&amp;$F182,#REF!&amp;#REF!,0)),0)</f>
        <v>0</v>
      </c>
      <c r="AT182" s="625">
        <f t="array" ref="AT182">IFERROR(INDEX(#REF!,MATCH($E182&amp;$F182,#REF!&amp;#REF!,0)),0)</f>
        <v>0</v>
      </c>
      <c r="AU182" s="626">
        <f t="shared" si="168"/>
        <v>0</v>
      </c>
      <c r="AV182" s="626">
        <f t="shared" si="169"/>
        <v>0</v>
      </c>
      <c r="AW182" s="626">
        <f t="shared" si="170"/>
        <v>0</v>
      </c>
      <c r="AX182" s="625">
        <f t="array" ref="AX182">IFERROR(INDEX(#REF!,MATCH($E182&amp;$F182,#REF!&amp;#REF!,0)),0)</f>
        <v>0</v>
      </c>
      <c r="AY182" s="626">
        <f t="shared" si="171"/>
        <v>0</v>
      </c>
      <c r="AZ182" s="626">
        <f t="shared" si="172"/>
        <v>0</v>
      </c>
      <c r="BA182" s="626">
        <f t="shared" si="173"/>
        <v>0</v>
      </c>
      <c r="BB182" s="625">
        <f t="array" ref="BB182">IFERROR(INDEX(#REF!,MATCH($E182&amp;$F182,#REF!&amp;#REF!,0)),0)</f>
        <v>0</v>
      </c>
      <c r="BC182" s="626">
        <f t="shared" si="174"/>
        <v>0</v>
      </c>
      <c r="BD182" s="626">
        <f t="shared" si="175"/>
        <v>0</v>
      </c>
      <c r="BE182" s="626">
        <f t="shared" si="176"/>
        <v>0</v>
      </c>
      <c r="BF182" s="625">
        <f t="array" ref="BF182">IFERROR(INDEX(#REF!,MATCH($E182&amp;$F182,#REF!&amp;#REF!,0)),0)</f>
        <v>0</v>
      </c>
      <c r="BG182" s="626">
        <f t="shared" si="177"/>
        <v>0</v>
      </c>
      <c r="BH182" s="626">
        <f t="shared" si="178"/>
        <v>0</v>
      </c>
      <c r="BI182" s="626">
        <f t="shared" si="179"/>
        <v>0</v>
      </c>
      <c r="BJ182" s="630"/>
      <c r="BK182" s="625"/>
      <c r="BL182" s="625"/>
      <c r="BM182" s="625"/>
      <c r="BN182" s="625"/>
      <c r="BO182" s="625"/>
      <c r="BP182" s="625"/>
      <c r="BQ182" s="625"/>
      <c r="BR182" s="625"/>
    </row>
    <row r="183" spans="1:70">
      <c r="A183" s="29" t="s">
        <v>1317</v>
      </c>
      <c r="B183" s="29" t="s">
        <v>1744</v>
      </c>
      <c r="C183" s="619">
        <f>SETUP!$F$39</f>
        <v>0</v>
      </c>
      <c r="D183" s="25">
        <v>4.7</v>
      </c>
      <c r="E183" s="26" t="s">
        <v>1379</v>
      </c>
      <c r="F183" s="26" t="s">
        <v>1381</v>
      </c>
      <c r="G183" s="625" t="str">
        <f t="array" ref="G183">IFERROR(INDEX(#REF!,MATCH($E183&amp;$F183,#REF!&amp;#REF!,0)),"")</f>
        <v/>
      </c>
      <c r="H183" s="625"/>
      <c r="I183" s="625">
        <f t="array" ref="I183">IFERROR(INDEX(#REF!,MATCH($E183&amp;$F183,#REF!&amp;#REF!,0)),0)</f>
        <v>0</v>
      </c>
      <c r="J183" s="625">
        <f t="array" ref="J183">IFERROR(INDEX(#REF!,MATCH($E183&amp;$F183,#REF!&amp;#REF!,0)),0)</f>
        <v>0</v>
      </c>
      <c r="K183" s="626">
        <f t="shared" si="144"/>
        <v>0</v>
      </c>
      <c r="L183" s="626">
        <f t="shared" si="145"/>
        <v>0</v>
      </c>
      <c r="M183" s="626">
        <f t="shared" si="146"/>
        <v>0</v>
      </c>
      <c r="N183" s="625">
        <f t="array" ref="N183">IFERROR(INDEX(#REF!,MATCH($E183&amp;$F183,#REF!&amp;#REF!,0)),0)</f>
        <v>0</v>
      </c>
      <c r="O183" s="626">
        <f t="shared" si="147"/>
        <v>0</v>
      </c>
      <c r="P183" s="626">
        <f t="shared" si="148"/>
        <v>0</v>
      </c>
      <c r="Q183" s="626">
        <f t="shared" si="149"/>
        <v>0</v>
      </c>
      <c r="R183" s="625">
        <f t="array" ref="R183">IFERROR(INDEX(#REF!,MATCH($E183&amp;$F183,#REF!&amp;#REF!,0)),0)</f>
        <v>0</v>
      </c>
      <c r="S183" s="626">
        <f t="shared" si="150"/>
        <v>0</v>
      </c>
      <c r="T183" s="626">
        <f t="shared" si="151"/>
        <v>0</v>
      </c>
      <c r="U183" s="626">
        <f t="shared" si="152"/>
        <v>0</v>
      </c>
      <c r="V183" s="625">
        <f t="array" ref="V183">IFERROR(INDEX(#REF!,MATCH($E183&amp;$F183,#REF!&amp;#REF!,0)),0)</f>
        <v>0</v>
      </c>
      <c r="W183" s="626">
        <f t="shared" si="153"/>
        <v>0</v>
      </c>
      <c r="X183" s="626">
        <f t="shared" si="154"/>
        <v>0</v>
      </c>
      <c r="Y183" s="626">
        <f t="shared" si="155"/>
        <v>0</v>
      </c>
      <c r="Z183" s="630"/>
      <c r="AA183" s="625">
        <f t="array" ref="AA183">IFERROR(INDEX(#REF!,MATCH($E183&amp;$F183,#REF!&amp;#REF!,0)),0)</f>
        <v>0</v>
      </c>
      <c r="AB183" s="625">
        <f t="array" ref="AB183">IFERROR(INDEX(#REF!,MATCH($E183&amp;$F183,#REF!&amp;#REF!,0)),0)</f>
        <v>0</v>
      </c>
      <c r="AC183" s="626">
        <f t="shared" si="156"/>
        <v>0</v>
      </c>
      <c r="AD183" s="626">
        <f t="shared" si="157"/>
        <v>0</v>
      </c>
      <c r="AE183" s="626">
        <f t="shared" si="158"/>
        <v>0</v>
      </c>
      <c r="AF183" s="625">
        <f t="array" ref="AF183">IFERROR(INDEX(#REF!,MATCH($E183&amp;$F183,#REF!&amp;#REF!,0)),0)</f>
        <v>0</v>
      </c>
      <c r="AG183" s="626">
        <f t="shared" si="159"/>
        <v>0</v>
      </c>
      <c r="AH183" s="626">
        <f t="shared" si="160"/>
        <v>0</v>
      </c>
      <c r="AI183" s="626">
        <f t="shared" si="161"/>
        <v>0</v>
      </c>
      <c r="AJ183" s="625">
        <f t="array" ref="AJ183">IFERROR(INDEX(#REF!,MATCH($E183&amp;$F183,#REF!&amp;#REF!,0)),0)</f>
        <v>0</v>
      </c>
      <c r="AK183" s="626">
        <f t="shared" si="162"/>
        <v>0</v>
      </c>
      <c r="AL183" s="626">
        <f t="shared" si="163"/>
        <v>0</v>
      </c>
      <c r="AM183" s="626">
        <f t="shared" si="164"/>
        <v>0</v>
      </c>
      <c r="AN183" s="625">
        <f t="array" ref="AN183">IFERROR(INDEX(#REF!,MATCH($E183&amp;$F183,#REF!&amp;#REF!,0)),0)</f>
        <v>0</v>
      </c>
      <c r="AO183" s="626">
        <f t="shared" si="165"/>
        <v>0</v>
      </c>
      <c r="AP183" s="626">
        <f t="shared" si="166"/>
        <v>0</v>
      </c>
      <c r="AQ183" s="626">
        <f t="shared" si="167"/>
        <v>0</v>
      </c>
      <c r="AR183" s="630"/>
      <c r="AS183" s="625">
        <f t="array" ref="AS183">IFERROR(INDEX(#REF!,MATCH($E183&amp;$F183,#REF!&amp;#REF!,0)),0)</f>
        <v>0</v>
      </c>
      <c r="AT183" s="625">
        <f t="array" ref="AT183">IFERROR(INDEX(#REF!,MATCH($E183&amp;$F183,#REF!&amp;#REF!,0)),0)</f>
        <v>0</v>
      </c>
      <c r="AU183" s="626">
        <f t="shared" si="168"/>
        <v>0</v>
      </c>
      <c r="AV183" s="626">
        <f t="shared" si="169"/>
        <v>0</v>
      </c>
      <c r="AW183" s="626">
        <f t="shared" si="170"/>
        <v>0</v>
      </c>
      <c r="AX183" s="625">
        <f t="array" ref="AX183">IFERROR(INDEX(#REF!,MATCH($E183&amp;$F183,#REF!&amp;#REF!,0)),0)</f>
        <v>0</v>
      </c>
      <c r="AY183" s="626">
        <f t="shared" si="171"/>
        <v>0</v>
      </c>
      <c r="AZ183" s="626">
        <f t="shared" si="172"/>
        <v>0</v>
      </c>
      <c r="BA183" s="626">
        <f t="shared" si="173"/>
        <v>0</v>
      </c>
      <c r="BB183" s="625">
        <f t="array" ref="BB183">IFERROR(INDEX(#REF!,MATCH($E183&amp;$F183,#REF!&amp;#REF!,0)),0)</f>
        <v>0</v>
      </c>
      <c r="BC183" s="626">
        <f t="shared" si="174"/>
        <v>0</v>
      </c>
      <c r="BD183" s="626">
        <f t="shared" si="175"/>
        <v>0</v>
      </c>
      <c r="BE183" s="626">
        <f t="shared" si="176"/>
        <v>0</v>
      </c>
      <c r="BF183" s="625">
        <f t="array" ref="BF183">IFERROR(INDEX(#REF!,MATCH($E183&amp;$F183,#REF!&amp;#REF!,0)),0)</f>
        <v>0</v>
      </c>
      <c r="BG183" s="626">
        <f t="shared" si="177"/>
        <v>0</v>
      </c>
      <c r="BH183" s="626">
        <f t="shared" si="178"/>
        <v>0</v>
      </c>
      <c r="BI183" s="626">
        <f t="shared" si="179"/>
        <v>0</v>
      </c>
      <c r="BJ183" s="630"/>
      <c r="BK183" s="625"/>
      <c r="BL183" s="625"/>
      <c r="BM183" s="625"/>
      <c r="BN183" s="625"/>
      <c r="BO183" s="625"/>
      <c r="BP183" s="625"/>
      <c r="BQ183" s="625"/>
      <c r="BR183" s="625"/>
    </row>
    <row r="184" spans="1:70">
      <c r="A184" s="29" t="s">
        <v>1317</v>
      </c>
      <c r="B184" s="29" t="s">
        <v>1744</v>
      </c>
      <c r="C184" s="619">
        <f>SETUP!$F$39</f>
        <v>0</v>
      </c>
      <c r="D184" s="25">
        <v>4.7</v>
      </c>
      <c r="E184" s="26" t="s">
        <v>1448</v>
      </c>
      <c r="F184" s="26" t="s">
        <v>1382</v>
      </c>
      <c r="G184" s="625" t="str">
        <f t="array" ref="G184">IFERROR(INDEX(#REF!,MATCH($E184&amp;$F184,#REF!&amp;#REF!,0)),"")</f>
        <v/>
      </c>
      <c r="H184" s="625"/>
      <c r="I184" s="625">
        <f t="array" ref="I184">IFERROR(INDEX(#REF!,MATCH($E184&amp;$F184,#REF!&amp;#REF!,0)),0)</f>
        <v>0</v>
      </c>
      <c r="J184" s="625">
        <f t="array" ref="J184">IFERROR(INDEX(#REF!,MATCH($E184&amp;$F184,#REF!&amp;#REF!,0)),0)</f>
        <v>0</v>
      </c>
      <c r="K184" s="626">
        <f t="shared" si="144"/>
        <v>0</v>
      </c>
      <c r="L184" s="626">
        <f t="shared" si="145"/>
        <v>0</v>
      </c>
      <c r="M184" s="626">
        <f t="shared" si="146"/>
        <v>0</v>
      </c>
      <c r="N184" s="625">
        <f t="array" ref="N184">IFERROR(INDEX(#REF!,MATCH($E184&amp;$F184,#REF!&amp;#REF!,0)),0)</f>
        <v>0</v>
      </c>
      <c r="O184" s="626">
        <f t="shared" si="147"/>
        <v>0</v>
      </c>
      <c r="P184" s="626">
        <f t="shared" si="148"/>
        <v>0</v>
      </c>
      <c r="Q184" s="626">
        <f t="shared" si="149"/>
        <v>0</v>
      </c>
      <c r="R184" s="625">
        <f t="array" ref="R184">IFERROR(INDEX(#REF!,MATCH($E184&amp;$F184,#REF!&amp;#REF!,0)),0)</f>
        <v>0</v>
      </c>
      <c r="S184" s="626">
        <f t="shared" si="150"/>
        <v>0</v>
      </c>
      <c r="T184" s="626">
        <f t="shared" si="151"/>
        <v>0</v>
      </c>
      <c r="U184" s="626">
        <f t="shared" si="152"/>
        <v>0</v>
      </c>
      <c r="V184" s="625">
        <f t="array" ref="V184">IFERROR(INDEX(#REF!,MATCH($E184&amp;$F184,#REF!&amp;#REF!,0)),0)</f>
        <v>0</v>
      </c>
      <c r="W184" s="626">
        <f t="shared" si="153"/>
        <v>0</v>
      </c>
      <c r="X184" s="626">
        <f t="shared" si="154"/>
        <v>0</v>
      </c>
      <c r="Y184" s="626">
        <f t="shared" si="155"/>
        <v>0</v>
      </c>
      <c r="Z184" s="630"/>
      <c r="AA184" s="625">
        <f t="array" ref="AA184">IFERROR(INDEX(#REF!,MATCH($E184&amp;$F184,#REF!&amp;#REF!,0)),0)</f>
        <v>0</v>
      </c>
      <c r="AB184" s="625">
        <f t="array" ref="AB184">IFERROR(INDEX(#REF!,MATCH($E184&amp;$F184,#REF!&amp;#REF!,0)),0)</f>
        <v>0</v>
      </c>
      <c r="AC184" s="626">
        <f t="shared" si="156"/>
        <v>0</v>
      </c>
      <c r="AD184" s="626">
        <f t="shared" si="157"/>
        <v>0</v>
      </c>
      <c r="AE184" s="626">
        <f t="shared" si="158"/>
        <v>0</v>
      </c>
      <c r="AF184" s="625">
        <f t="array" ref="AF184">IFERROR(INDEX(#REF!,MATCH($E184&amp;$F184,#REF!&amp;#REF!,0)),0)</f>
        <v>0</v>
      </c>
      <c r="AG184" s="626">
        <f t="shared" si="159"/>
        <v>0</v>
      </c>
      <c r="AH184" s="626">
        <f t="shared" si="160"/>
        <v>0</v>
      </c>
      <c r="AI184" s="626">
        <f t="shared" si="161"/>
        <v>0</v>
      </c>
      <c r="AJ184" s="625">
        <f t="array" ref="AJ184">IFERROR(INDEX(#REF!,MATCH($E184&amp;$F184,#REF!&amp;#REF!,0)),0)</f>
        <v>0</v>
      </c>
      <c r="AK184" s="626">
        <f t="shared" si="162"/>
        <v>0</v>
      </c>
      <c r="AL184" s="626">
        <f t="shared" si="163"/>
        <v>0</v>
      </c>
      <c r="AM184" s="626">
        <f t="shared" si="164"/>
        <v>0</v>
      </c>
      <c r="AN184" s="625">
        <f t="array" ref="AN184">IFERROR(INDEX(#REF!,MATCH($E184&amp;$F184,#REF!&amp;#REF!,0)),0)</f>
        <v>0</v>
      </c>
      <c r="AO184" s="626">
        <f t="shared" si="165"/>
        <v>0</v>
      </c>
      <c r="AP184" s="626">
        <f t="shared" si="166"/>
        <v>0</v>
      </c>
      <c r="AQ184" s="626">
        <f t="shared" si="167"/>
        <v>0</v>
      </c>
      <c r="AR184" s="630"/>
      <c r="AS184" s="625">
        <f t="array" ref="AS184">IFERROR(INDEX(#REF!,MATCH($E184&amp;$F184,#REF!&amp;#REF!,0)),0)</f>
        <v>0</v>
      </c>
      <c r="AT184" s="625">
        <f t="array" ref="AT184">IFERROR(INDEX(#REF!,MATCH($E184&amp;$F184,#REF!&amp;#REF!,0)),0)</f>
        <v>0</v>
      </c>
      <c r="AU184" s="626">
        <f t="shared" si="168"/>
        <v>0</v>
      </c>
      <c r="AV184" s="626">
        <f t="shared" si="169"/>
        <v>0</v>
      </c>
      <c r="AW184" s="626">
        <f t="shared" si="170"/>
        <v>0</v>
      </c>
      <c r="AX184" s="625">
        <f t="array" ref="AX184">IFERROR(INDEX(#REF!,MATCH($E184&amp;$F184,#REF!&amp;#REF!,0)),0)</f>
        <v>0</v>
      </c>
      <c r="AY184" s="626">
        <f t="shared" si="171"/>
        <v>0</v>
      </c>
      <c r="AZ184" s="626">
        <f t="shared" si="172"/>
        <v>0</v>
      </c>
      <c r="BA184" s="626">
        <f t="shared" si="173"/>
        <v>0</v>
      </c>
      <c r="BB184" s="625">
        <f t="array" ref="BB184">IFERROR(INDEX(#REF!,MATCH($E184&amp;$F184,#REF!&amp;#REF!,0)),0)</f>
        <v>0</v>
      </c>
      <c r="BC184" s="626">
        <f t="shared" si="174"/>
        <v>0</v>
      </c>
      <c r="BD184" s="626">
        <f t="shared" si="175"/>
        <v>0</v>
      </c>
      <c r="BE184" s="626">
        <f t="shared" si="176"/>
        <v>0</v>
      </c>
      <c r="BF184" s="625">
        <f t="array" ref="BF184">IFERROR(INDEX(#REF!,MATCH($E184&amp;$F184,#REF!&amp;#REF!,0)),0)</f>
        <v>0</v>
      </c>
      <c r="BG184" s="626">
        <f t="shared" si="177"/>
        <v>0</v>
      </c>
      <c r="BH184" s="626">
        <f t="shared" si="178"/>
        <v>0</v>
      </c>
      <c r="BI184" s="626">
        <f t="shared" si="179"/>
        <v>0</v>
      </c>
      <c r="BJ184" s="630"/>
      <c r="BK184" s="625"/>
      <c r="BL184" s="625"/>
      <c r="BM184" s="625"/>
      <c r="BN184" s="625"/>
      <c r="BO184" s="625"/>
      <c r="BP184" s="625"/>
      <c r="BQ184" s="625"/>
      <c r="BR184" s="625"/>
    </row>
    <row r="185" spans="1:70">
      <c r="A185" s="29" t="s">
        <v>1317</v>
      </c>
      <c r="B185" s="29" t="s">
        <v>1744</v>
      </c>
      <c r="C185" s="619">
        <f>SETUP!$F$39</f>
        <v>0</v>
      </c>
      <c r="D185" s="25">
        <v>4.7</v>
      </c>
      <c r="E185" s="26" t="s">
        <v>1449</v>
      </c>
      <c r="F185" s="26" t="s">
        <v>1383</v>
      </c>
      <c r="G185" s="625" t="str">
        <f t="array" ref="G185">IFERROR(INDEX(#REF!,MATCH($E185&amp;$F185,#REF!&amp;#REF!,0)),"")</f>
        <v/>
      </c>
      <c r="H185" s="625"/>
      <c r="I185" s="625">
        <f t="array" ref="I185">IFERROR(INDEX(#REF!,MATCH($E185&amp;$F185,#REF!&amp;#REF!,0)),0)</f>
        <v>0</v>
      </c>
      <c r="J185" s="625">
        <f t="array" ref="J185">IFERROR(INDEX(#REF!,MATCH($E185&amp;$F185,#REF!&amp;#REF!,0)),0)</f>
        <v>0</v>
      </c>
      <c r="K185" s="626">
        <f t="shared" si="144"/>
        <v>0</v>
      </c>
      <c r="L185" s="626">
        <f t="shared" si="145"/>
        <v>0</v>
      </c>
      <c r="M185" s="626">
        <f t="shared" si="146"/>
        <v>0</v>
      </c>
      <c r="N185" s="625">
        <f t="array" ref="N185">IFERROR(INDEX(#REF!,MATCH($E185&amp;$F185,#REF!&amp;#REF!,0)),0)</f>
        <v>0</v>
      </c>
      <c r="O185" s="626">
        <f t="shared" si="147"/>
        <v>0</v>
      </c>
      <c r="P185" s="626">
        <f t="shared" si="148"/>
        <v>0</v>
      </c>
      <c r="Q185" s="626">
        <f t="shared" si="149"/>
        <v>0</v>
      </c>
      <c r="R185" s="625">
        <f t="array" ref="R185">IFERROR(INDEX(#REF!,MATCH($E185&amp;$F185,#REF!&amp;#REF!,0)),0)</f>
        <v>0</v>
      </c>
      <c r="S185" s="626">
        <f t="shared" si="150"/>
        <v>0</v>
      </c>
      <c r="T185" s="626">
        <f t="shared" si="151"/>
        <v>0</v>
      </c>
      <c r="U185" s="626">
        <f t="shared" si="152"/>
        <v>0</v>
      </c>
      <c r="V185" s="625">
        <f t="array" ref="V185">IFERROR(INDEX(#REF!,MATCH($E185&amp;$F185,#REF!&amp;#REF!,0)),0)</f>
        <v>0</v>
      </c>
      <c r="W185" s="626">
        <f t="shared" si="153"/>
        <v>0</v>
      </c>
      <c r="X185" s="626">
        <f t="shared" si="154"/>
        <v>0</v>
      </c>
      <c r="Y185" s="626">
        <f t="shared" si="155"/>
        <v>0</v>
      </c>
      <c r="Z185" s="630"/>
      <c r="AA185" s="625">
        <f t="array" ref="AA185">IFERROR(INDEX(#REF!,MATCH($E185&amp;$F185,#REF!&amp;#REF!,0)),0)</f>
        <v>0</v>
      </c>
      <c r="AB185" s="625">
        <f t="array" ref="AB185">IFERROR(INDEX(#REF!,MATCH($E185&amp;$F185,#REF!&amp;#REF!,0)),0)</f>
        <v>0</v>
      </c>
      <c r="AC185" s="626">
        <f t="shared" si="156"/>
        <v>0</v>
      </c>
      <c r="AD185" s="626">
        <f t="shared" si="157"/>
        <v>0</v>
      </c>
      <c r="AE185" s="626">
        <f t="shared" si="158"/>
        <v>0</v>
      </c>
      <c r="AF185" s="625">
        <f t="array" ref="AF185">IFERROR(INDEX(#REF!,MATCH($E185&amp;$F185,#REF!&amp;#REF!,0)),0)</f>
        <v>0</v>
      </c>
      <c r="AG185" s="626">
        <f t="shared" si="159"/>
        <v>0</v>
      </c>
      <c r="AH185" s="626">
        <f t="shared" si="160"/>
        <v>0</v>
      </c>
      <c r="AI185" s="626">
        <f t="shared" si="161"/>
        <v>0</v>
      </c>
      <c r="AJ185" s="625">
        <f t="array" ref="AJ185">IFERROR(INDEX(#REF!,MATCH($E185&amp;$F185,#REF!&amp;#REF!,0)),0)</f>
        <v>0</v>
      </c>
      <c r="AK185" s="626">
        <f t="shared" si="162"/>
        <v>0</v>
      </c>
      <c r="AL185" s="626">
        <f t="shared" si="163"/>
        <v>0</v>
      </c>
      <c r="AM185" s="626">
        <f t="shared" si="164"/>
        <v>0</v>
      </c>
      <c r="AN185" s="625">
        <f t="array" ref="AN185">IFERROR(INDEX(#REF!,MATCH($E185&amp;$F185,#REF!&amp;#REF!,0)),0)</f>
        <v>0</v>
      </c>
      <c r="AO185" s="626">
        <f t="shared" si="165"/>
        <v>0</v>
      </c>
      <c r="AP185" s="626">
        <f t="shared" si="166"/>
        <v>0</v>
      </c>
      <c r="AQ185" s="626">
        <f t="shared" si="167"/>
        <v>0</v>
      </c>
      <c r="AR185" s="630"/>
      <c r="AS185" s="625">
        <f t="array" ref="AS185">IFERROR(INDEX(#REF!,MATCH($E185&amp;$F185,#REF!&amp;#REF!,0)),0)</f>
        <v>0</v>
      </c>
      <c r="AT185" s="625">
        <f t="array" ref="AT185">IFERROR(INDEX(#REF!,MATCH($E185&amp;$F185,#REF!&amp;#REF!,0)),0)</f>
        <v>0</v>
      </c>
      <c r="AU185" s="626">
        <f t="shared" si="168"/>
        <v>0</v>
      </c>
      <c r="AV185" s="626">
        <f t="shared" si="169"/>
        <v>0</v>
      </c>
      <c r="AW185" s="626">
        <f t="shared" si="170"/>
        <v>0</v>
      </c>
      <c r="AX185" s="625">
        <f t="array" ref="AX185">IFERROR(INDEX(#REF!,MATCH($E185&amp;$F185,#REF!&amp;#REF!,0)),0)</f>
        <v>0</v>
      </c>
      <c r="AY185" s="626">
        <f t="shared" si="171"/>
        <v>0</v>
      </c>
      <c r="AZ185" s="626">
        <f t="shared" si="172"/>
        <v>0</v>
      </c>
      <c r="BA185" s="626">
        <f t="shared" si="173"/>
        <v>0</v>
      </c>
      <c r="BB185" s="625">
        <f t="array" ref="BB185">IFERROR(INDEX(#REF!,MATCH($E185&amp;$F185,#REF!&amp;#REF!,0)),0)</f>
        <v>0</v>
      </c>
      <c r="BC185" s="626">
        <f t="shared" si="174"/>
        <v>0</v>
      </c>
      <c r="BD185" s="626">
        <f t="shared" si="175"/>
        <v>0</v>
      </c>
      <c r="BE185" s="626">
        <f t="shared" si="176"/>
        <v>0</v>
      </c>
      <c r="BF185" s="625">
        <f t="array" ref="BF185">IFERROR(INDEX(#REF!,MATCH($E185&amp;$F185,#REF!&amp;#REF!,0)),0)</f>
        <v>0</v>
      </c>
      <c r="BG185" s="626">
        <f t="shared" si="177"/>
        <v>0</v>
      </c>
      <c r="BH185" s="626">
        <f t="shared" si="178"/>
        <v>0</v>
      </c>
      <c r="BI185" s="626">
        <f t="shared" si="179"/>
        <v>0</v>
      </c>
      <c r="BJ185" s="630"/>
      <c r="BK185" s="625"/>
      <c r="BL185" s="625"/>
      <c r="BM185" s="625"/>
      <c r="BN185" s="625"/>
      <c r="BO185" s="625"/>
      <c r="BP185" s="625"/>
      <c r="BQ185" s="625"/>
      <c r="BR185" s="625"/>
    </row>
    <row r="186" spans="1:70">
      <c r="A186" s="29" t="s">
        <v>1317</v>
      </c>
      <c r="B186" s="29" t="s">
        <v>1744</v>
      </c>
      <c r="C186" s="619">
        <f>SETUP!$F$39</f>
        <v>0</v>
      </c>
      <c r="D186" s="25">
        <v>4.7</v>
      </c>
      <c r="E186" s="26" t="s">
        <v>1384</v>
      </c>
      <c r="F186" s="26" t="s">
        <v>1385</v>
      </c>
      <c r="G186" s="625" t="str">
        <f t="array" ref="G186">IFERROR(INDEX(#REF!,MATCH($E186&amp;$F186,#REF!&amp;#REF!,0)),"")</f>
        <v/>
      </c>
      <c r="H186" s="625"/>
      <c r="I186" s="625">
        <f t="array" ref="I186">IFERROR(INDEX(#REF!,MATCH($E186&amp;$F186,#REF!&amp;#REF!,0)),0)</f>
        <v>0</v>
      </c>
      <c r="J186" s="625">
        <f t="array" ref="J186">IFERROR(INDEX(#REF!,MATCH($E186&amp;$F186,#REF!&amp;#REF!,0)),0)</f>
        <v>0</v>
      </c>
      <c r="K186" s="626">
        <f t="shared" si="144"/>
        <v>0</v>
      </c>
      <c r="L186" s="626">
        <f t="shared" si="145"/>
        <v>0</v>
      </c>
      <c r="M186" s="626">
        <f t="shared" si="146"/>
        <v>0</v>
      </c>
      <c r="N186" s="625">
        <f t="array" ref="N186">IFERROR(INDEX(#REF!,MATCH($E186&amp;$F186,#REF!&amp;#REF!,0)),0)</f>
        <v>0</v>
      </c>
      <c r="O186" s="626">
        <f t="shared" si="147"/>
        <v>0</v>
      </c>
      <c r="P186" s="626">
        <f t="shared" si="148"/>
        <v>0</v>
      </c>
      <c r="Q186" s="626">
        <f t="shared" si="149"/>
        <v>0</v>
      </c>
      <c r="R186" s="625">
        <f t="array" ref="R186">IFERROR(INDEX(#REF!,MATCH($E186&amp;$F186,#REF!&amp;#REF!,0)),0)</f>
        <v>0</v>
      </c>
      <c r="S186" s="626">
        <f t="shared" si="150"/>
        <v>0</v>
      </c>
      <c r="T186" s="626">
        <f t="shared" si="151"/>
        <v>0</v>
      </c>
      <c r="U186" s="626">
        <f t="shared" si="152"/>
        <v>0</v>
      </c>
      <c r="V186" s="625">
        <f t="array" ref="V186">IFERROR(INDEX(#REF!,MATCH($E186&amp;$F186,#REF!&amp;#REF!,0)),0)</f>
        <v>0</v>
      </c>
      <c r="W186" s="626">
        <f t="shared" si="153"/>
        <v>0</v>
      </c>
      <c r="X186" s="626">
        <f t="shared" si="154"/>
        <v>0</v>
      </c>
      <c r="Y186" s="626">
        <f t="shared" si="155"/>
        <v>0</v>
      </c>
      <c r="Z186" s="630"/>
      <c r="AA186" s="625">
        <f t="array" ref="AA186">IFERROR(INDEX(#REF!,MATCH($E186&amp;$F186,#REF!&amp;#REF!,0)),0)</f>
        <v>0</v>
      </c>
      <c r="AB186" s="625">
        <f t="array" ref="AB186">IFERROR(INDEX(#REF!,MATCH($E186&amp;$F186,#REF!&amp;#REF!,0)),0)</f>
        <v>0</v>
      </c>
      <c r="AC186" s="626">
        <f t="shared" si="156"/>
        <v>0</v>
      </c>
      <c r="AD186" s="626">
        <f t="shared" si="157"/>
        <v>0</v>
      </c>
      <c r="AE186" s="626">
        <f t="shared" si="158"/>
        <v>0</v>
      </c>
      <c r="AF186" s="625">
        <f t="array" ref="AF186">IFERROR(INDEX(#REF!,MATCH($E186&amp;$F186,#REF!&amp;#REF!,0)),0)</f>
        <v>0</v>
      </c>
      <c r="AG186" s="626">
        <f t="shared" si="159"/>
        <v>0</v>
      </c>
      <c r="AH186" s="626">
        <f t="shared" si="160"/>
        <v>0</v>
      </c>
      <c r="AI186" s="626">
        <f t="shared" si="161"/>
        <v>0</v>
      </c>
      <c r="AJ186" s="625">
        <f t="array" ref="AJ186">IFERROR(INDEX(#REF!,MATCH($E186&amp;$F186,#REF!&amp;#REF!,0)),0)</f>
        <v>0</v>
      </c>
      <c r="AK186" s="626">
        <f t="shared" si="162"/>
        <v>0</v>
      </c>
      <c r="AL186" s="626">
        <f t="shared" si="163"/>
        <v>0</v>
      </c>
      <c r="AM186" s="626">
        <f t="shared" si="164"/>
        <v>0</v>
      </c>
      <c r="AN186" s="625">
        <f t="array" ref="AN186">IFERROR(INDEX(#REF!,MATCH($E186&amp;$F186,#REF!&amp;#REF!,0)),0)</f>
        <v>0</v>
      </c>
      <c r="AO186" s="626">
        <f t="shared" si="165"/>
        <v>0</v>
      </c>
      <c r="AP186" s="626">
        <f t="shared" si="166"/>
        <v>0</v>
      </c>
      <c r="AQ186" s="626">
        <f t="shared" si="167"/>
        <v>0</v>
      </c>
      <c r="AR186" s="630"/>
      <c r="AS186" s="625">
        <f t="array" ref="AS186">IFERROR(INDEX(#REF!,MATCH($E186&amp;$F186,#REF!&amp;#REF!,0)),0)</f>
        <v>0</v>
      </c>
      <c r="AT186" s="625">
        <f t="array" ref="AT186">IFERROR(INDEX(#REF!,MATCH($E186&amp;$F186,#REF!&amp;#REF!,0)),0)</f>
        <v>0</v>
      </c>
      <c r="AU186" s="626">
        <f t="shared" si="168"/>
        <v>0</v>
      </c>
      <c r="AV186" s="626">
        <f t="shared" si="169"/>
        <v>0</v>
      </c>
      <c r="AW186" s="626">
        <f t="shared" si="170"/>
        <v>0</v>
      </c>
      <c r="AX186" s="625">
        <f t="array" ref="AX186">IFERROR(INDEX(#REF!,MATCH($E186&amp;$F186,#REF!&amp;#REF!,0)),0)</f>
        <v>0</v>
      </c>
      <c r="AY186" s="626">
        <f t="shared" si="171"/>
        <v>0</v>
      </c>
      <c r="AZ186" s="626">
        <f t="shared" si="172"/>
        <v>0</v>
      </c>
      <c r="BA186" s="626">
        <f t="shared" si="173"/>
        <v>0</v>
      </c>
      <c r="BB186" s="625">
        <f t="array" ref="BB186">IFERROR(INDEX(#REF!,MATCH($E186&amp;$F186,#REF!&amp;#REF!,0)),0)</f>
        <v>0</v>
      </c>
      <c r="BC186" s="626">
        <f t="shared" si="174"/>
        <v>0</v>
      </c>
      <c r="BD186" s="626">
        <f t="shared" si="175"/>
        <v>0</v>
      </c>
      <c r="BE186" s="626">
        <f t="shared" si="176"/>
        <v>0</v>
      </c>
      <c r="BF186" s="625">
        <f t="array" ref="BF186">IFERROR(INDEX(#REF!,MATCH($E186&amp;$F186,#REF!&amp;#REF!,0)),0)</f>
        <v>0</v>
      </c>
      <c r="BG186" s="626">
        <f t="shared" si="177"/>
        <v>0</v>
      </c>
      <c r="BH186" s="626">
        <f t="shared" si="178"/>
        <v>0</v>
      </c>
      <c r="BI186" s="626">
        <f t="shared" si="179"/>
        <v>0</v>
      </c>
      <c r="BJ186" s="630"/>
      <c r="BK186" s="625"/>
      <c r="BL186" s="625"/>
      <c r="BM186" s="625"/>
      <c r="BN186" s="625"/>
      <c r="BO186" s="625"/>
      <c r="BP186" s="625"/>
      <c r="BQ186" s="625"/>
      <c r="BR186" s="625"/>
    </row>
    <row r="187" spans="1:70">
      <c r="A187" s="29" t="s">
        <v>1317</v>
      </c>
      <c r="B187" s="29" t="s">
        <v>1744</v>
      </c>
      <c r="C187" s="619">
        <f>SETUP!$F$39</f>
        <v>0</v>
      </c>
      <c r="D187" s="25">
        <v>4.7</v>
      </c>
      <c r="E187" s="26" t="s">
        <v>1450</v>
      </c>
      <c r="F187" s="26" t="s">
        <v>1386</v>
      </c>
      <c r="G187" s="625" t="str">
        <f t="array" ref="G187">IFERROR(INDEX(#REF!,MATCH($E187&amp;$F187,#REF!&amp;#REF!,0)),"")</f>
        <v/>
      </c>
      <c r="H187" s="625"/>
      <c r="I187" s="625">
        <f t="array" ref="I187">IFERROR(INDEX(#REF!,MATCH($E187&amp;$F187,#REF!&amp;#REF!,0)),0)</f>
        <v>0</v>
      </c>
      <c r="J187" s="625">
        <f t="array" ref="J187">IFERROR(INDEX(#REF!,MATCH($E187&amp;$F187,#REF!&amp;#REF!,0)),0)</f>
        <v>0</v>
      </c>
      <c r="K187" s="626">
        <f t="shared" si="144"/>
        <v>0</v>
      </c>
      <c r="L187" s="626">
        <f t="shared" si="145"/>
        <v>0</v>
      </c>
      <c r="M187" s="626">
        <f t="shared" si="146"/>
        <v>0</v>
      </c>
      <c r="N187" s="625">
        <f t="array" ref="N187">IFERROR(INDEX(#REF!,MATCH($E187&amp;$F187,#REF!&amp;#REF!,0)),0)</f>
        <v>0</v>
      </c>
      <c r="O187" s="626">
        <f t="shared" si="147"/>
        <v>0</v>
      </c>
      <c r="P187" s="626">
        <f t="shared" si="148"/>
        <v>0</v>
      </c>
      <c r="Q187" s="626">
        <f t="shared" si="149"/>
        <v>0</v>
      </c>
      <c r="R187" s="625">
        <f t="array" ref="R187">IFERROR(INDEX(#REF!,MATCH($E187&amp;$F187,#REF!&amp;#REF!,0)),0)</f>
        <v>0</v>
      </c>
      <c r="S187" s="626">
        <f t="shared" si="150"/>
        <v>0</v>
      </c>
      <c r="T187" s="626">
        <f t="shared" si="151"/>
        <v>0</v>
      </c>
      <c r="U187" s="626">
        <f t="shared" si="152"/>
        <v>0</v>
      </c>
      <c r="V187" s="625">
        <f t="array" ref="V187">IFERROR(INDEX(#REF!,MATCH($E187&amp;$F187,#REF!&amp;#REF!,0)),0)</f>
        <v>0</v>
      </c>
      <c r="W187" s="626">
        <f t="shared" si="153"/>
        <v>0</v>
      </c>
      <c r="X187" s="626">
        <f t="shared" si="154"/>
        <v>0</v>
      </c>
      <c r="Y187" s="626">
        <f t="shared" si="155"/>
        <v>0</v>
      </c>
      <c r="Z187" s="630"/>
      <c r="AA187" s="625">
        <f t="array" ref="AA187">IFERROR(INDEX(#REF!,MATCH($E187&amp;$F187,#REF!&amp;#REF!,0)),0)</f>
        <v>0</v>
      </c>
      <c r="AB187" s="625">
        <f t="array" ref="AB187">IFERROR(INDEX(#REF!,MATCH($E187&amp;$F187,#REF!&amp;#REF!,0)),0)</f>
        <v>0</v>
      </c>
      <c r="AC187" s="626">
        <f t="shared" si="156"/>
        <v>0</v>
      </c>
      <c r="AD187" s="626">
        <f t="shared" si="157"/>
        <v>0</v>
      </c>
      <c r="AE187" s="626">
        <f t="shared" si="158"/>
        <v>0</v>
      </c>
      <c r="AF187" s="625">
        <f t="array" ref="AF187">IFERROR(INDEX(#REF!,MATCH($E187&amp;$F187,#REF!&amp;#REF!,0)),0)</f>
        <v>0</v>
      </c>
      <c r="AG187" s="626">
        <f t="shared" si="159"/>
        <v>0</v>
      </c>
      <c r="AH187" s="626">
        <f t="shared" si="160"/>
        <v>0</v>
      </c>
      <c r="AI187" s="626">
        <f t="shared" si="161"/>
        <v>0</v>
      </c>
      <c r="AJ187" s="625">
        <f t="array" ref="AJ187">IFERROR(INDEX(#REF!,MATCH($E187&amp;$F187,#REF!&amp;#REF!,0)),0)</f>
        <v>0</v>
      </c>
      <c r="AK187" s="626">
        <f t="shared" si="162"/>
        <v>0</v>
      </c>
      <c r="AL187" s="626">
        <f t="shared" si="163"/>
        <v>0</v>
      </c>
      <c r="AM187" s="626">
        <f t="shared" si="164"/>
        <v>0</v>
      </c>
      <c r="AN187" s="625">
        <f t="array" ref="AN187">IFERROR(INDEX(#REF!,MATCH($E187&amp;$F187,#REF!&amp;#REF!,0)),0)</f>
        <v>0</v>
      </c>
      <c r="AO187" s="626">
        <f t="shared" si="165"/>
        <v>0</v>
      </c>
      <c r="AP187" s="626">
        <f t="shared" si="166"/>
        <v>0</v>
      </c>
      <c r="AQ187" s="626">
        <f t="shared" si="167"/>
        <v>0</v>
      </c>
      <c r="AR187" s="630"/>
      <c r="AS187" s="625">
        <f t="array" ref="AS187">IFERROR(INDEX(#REF!,MATCH($E187&amp;$F187,#REF!&amp;#REF!,0)),0)</f>
        <v>0</v>
      </c>
      <c r="AT187" s="625">
        <f t="array" ref="AT187">IFERROR(INDEX(#REF!,MATCH($E187&amp;$F187,#REF!&amp;#REF!,0)),0)</f>
        <v>0</v>
      </c>
      <c r="AU187" s="626">
        <f t="shared" si="168"/>
        <v>0</v>
      </c>
      <c r="AV187" s="626">
        <f t="shared" si="169"/>
        <v>0</v>
      </c>
      <c r="AW187" s="626">
        <f t="shared" si="170"/>
        <v>0</v>
      </c>
      <c r="AX187" s="625">
        <f t="array" ref="AX187">IFERROR(INDEX(#REF!,MATCH($E187&amp;$F187,#REF!&amp;#REF!,0)),0)</f>
        <v>0</v>
      </c>
      <c r="AY187" s="626">
        <f t="shared" si="171"/>
        <v>0</v>
      </c>
      <c r="AZ187" s="626">
        <f t="shared" si="172"/>
        <v>0</v>
      </c>
      <c r="BA187" s="626">
        <f t="shared" si="173"/>
        <v>0</v>
      </c>
      <c r="BB187" s="625">
        <f t="array" ref="BB187">IFERROR(INDEX(#REF!,MATCH($E187&amp;$F187,#REF!&amp;#REF!,0)),0)</f>
        <v>0</v>
      </c>
      <c r="BC187" s="626">
        <f t="shared" si="174"/>
        <v>0</v>
      </c>
      <c r="BD187" s="626">
        <f t="shared" si="175"/>
        <v>0</v>
      </c>
      <c r="BE187" s="626">
        <f t="shared" si="176"/>
        <v>0</v>
      </c>
      <c r="BF187" s="625">
        <f t="array" ref="BF187">IFERROR(INDEX(#REF!,MATCH($E187&amp;$F187,#REF!&amp;#REF!,0)),0)</f>
        <v>0</v>
      </c>
      <c r="BG187" s="626">
        <f t="shared" si="177"/>
        <v>0</v>
      </c>
      <c r="BH187" s="626">
        <f t="shared" si="178"/>
        <v>0</v>
      </c>
      <c r="BI187" s="626">
        <f t="shared" si="179"/>
        <v>0</v>
      </c>
      <c r="BJ187" s="630"/>
      <c r="BK187" s="625"/>
      <c r="BL187" s="625"/>
      <c r="BM187" s="625"/>
      <c r="BN187" s="625"/>
      <c r="BO187" s="625"/>
      <c r="BP187" s="625"/>
      <c r="BQ187" s="625"/>
      <c r="BR187" s="625"/>
    </row>
    <row r="188" spans="1:70">
      <c r="A188" s="29" t="s">
        <v>1317</v>
      </c>
      <c r="B188" s="29" t="s">
        <v>1744</v>
      </c>
      <c r="C188" s="619">
        <f>SETUP!$F$39</f>
        <v>0</v>
      </c>
      <c r="D188" s="25">
        <v>4.7</v>
      </c>
      <c r="E188" s="26" t="s">
        <v>1586</v>
      </c>
      <c r="F188" s="26" t="s">
        <v>1387</v>
      </c>
      <c r="G188" s="625" t="str">
        <f t="array" ref="G188">IFERROR(INDEX(#REF!,MATCH($E188&amp;$F188,#REF!&amp;#REF!,0)),"")</f>
        <v/>
      </c>
      <c r="H188" s="625"/>
      <c r="I188" s="625">
        <f t="array" ref="I188">IFERROR(INDEX(#REF!,MATCH($E188&amp;$F188,#REF!&amp;#REF!,0)),0)</f>
        <v>0</v>
      </c>
      <c r="J188" s="625">
        <f t="array" ref="J188">IFERROR(INDEX(#REF!,MATCH($E188&amp;$F188,#REF!&amp;#REF!,0)),0)</f>
        <v>0</v>
      </c>
      <c r="K188" s="626">
        <f t="shared" si="144"/>
        <v>0</v>
      </c>
      <c r="L188" s="626">
        <f t="shared" si="145"/>
        <v>0</v>
      </c>
      <c r="M188" s="626">
        <f t="shared" si="146"/>
        <v>0</v>
      </c>
      <c r="N188" s="625">
        <f t="array" ref="N188">IFERROR(INDEX(#REF!,MATCH($E188&amp;$F188,#REF!&amp;#REF!,0)),0)</f>
        <v>0</v>
      </c>
      <c r="O188" s="626">
        <f t="shared" si="147"/>
        <v>0</v>
      </c>
      <c r="P188" s="626">
        <f t="shared" si="148"/>
        <v>0</v>
      </c>
      <c r="Q188" s="626">
        <f t="shared" si="149"/>
        <v>0</v>
      </c>
      <c r="R188" s="625">
        <f t="array" ref="R188">IFERROR(INDEX(#REF!,MATCH($E188&amp;$F188,#REF!&amp;#REF!,0)),0)</f>
        <v>0</v>
      </c>
      <c r="S188" s="626">
        <f t="shared" si="150"/>
        <v>0</v>
      </c>
      <c r="T188" s="626">
        <f t="shared" si="151"/>
        <v>0</v>
      </c>
      <c r="U188" s="626">
        <f t="shared" si="152"/>
        <v>0</v>
      </c>
      <c r="V188" s="625">
        <f t="array" ref="V188">IFERROR(INDEX(#REF!,MATCH($E188&amp;$F188,#REF!&amp;#REF!,0)),0)</f>
        <v>0</v>
      </c>
      <c r="W188" s="626">
        <f t="shared" si="153"/>
        <v>0</v>
      </c>
      <c r="X188" s="626">
        <f t="shared" si="154"/>
        <v>0</v>
      </c>
      <c r="Y188" s="626">
        <f t="shared" si="155"/>
        <v>0</v>
      </c>
      <c r="Z188" s="630"/>
      <c r="AA188" s="625">
        <f t="array" ref="AA188">IFERROR(INDEX(#REF!,MATCH($E188&amp;$F188,#REF!&amp;#REF!,0)),0)</f>
        <v>0</v>
      </c>
      <c r="AB188" s="625">
        <f t="array" ref="AB188">IFERROR(INDEX(#REF!,MATCH($E188&amp;$F188,#REF!&amp;#REF!,0)),0)</f>
        <v>0</v>
      </c>
      <c r="AC188" s="626">
        <f t="shared" si="156"/>
        <v>0</v>
      </c>
      <c r="AD188" s="626">
        <f t="shared" si="157"/>
        <v>0</v>
      </c>
      <c r="AE188" s="626">
        <f t="shared" si="158"/>
        <v>0</v>
      </c>
      <c r="AF188" s="625">
        <f t="array" ref="AF188">IFERROR(INDEX(#REF!,MATCH($E188&amp;$F188,#REF!&amp;#REF!,0)),0)</f>
        <v>0</v>
      </c>
      <c r="AG188" s="626">
        <f t="shared" si="159"/>
        <v>0</v>
      </c>
      <c r="AH188" s="626">
        <f t="shared" si="160"/>
        <v>0</v>
      </c>
      <c r="AI188" s="626">
        <f t="shared" si="161"/>
        <v>0</v>
      </c>
      <c r="AJ188" s="625">
        <f t="array" ref="AJ188">IFERROR(INDEX(#REF!,MATCH($E188&amp;$F188,#REF!&amp;#REF!,0)),0)</f>
        <v>0</v>
      </c>
      <c r="AK188" s="626">
        <f t="shared" si="162"/>
        <v>0</v>
      </c>
      <c r="AL188" s="626">
        <f t="shared" si="163"/>
        <v>0</v>
      </c>
      <c r="AM188" s="626">
        <f t="shared" si="164"/>
        <v>0</v>
      </c>
      <c r="AN188" s="625">
        <f t="array" ref="AN188">IFERROR(INDEX(#REF!,MATCH($E188&amp;$F188,#REF!&amp;#REF!,0)),0)</f>
        <v>0</v>
      </c>
      <c r="AO188" s="626">
        <f t="shared" si="165"/>
        <v>0</v>
      </c>
      <c r="AP188" s="626">
        <f t="shared" si="166"/>
        <v>0</v>
      </c>
      <c r="AQ188" s="626">
        <f t="shared" si="167"/>
        <v>0</v>
      </c>
      <c r="AR188" s="630"/>
      <c r="AS188" s="625">
        <f t="array" ref="AS188">IFERROR(INDEX(#REF!,MATCH($E188&amp;$F188,#REF!&amp;#REF!,0)),0)</f>
        <v>0</v>
      </c>
      <c r="AT188" s="625">
        <f t="array" ref="AT188">IFERROR(INDEX(#REF!,MATCH($E188&amp;$F188,#REF!&amp;#REF!,0)),0)</f>
        <v>0</v>
      </c>
      <c r="AU188" s="626">
        <f t="shared" si="168"/>
        <v>0</v>
      </c>
      <c r="AV188" s="626">
        <f t="shared" si="169"/>
        <v>0</v>
      </c>
      <c r="AW188" s="626">
        <f t="shared" si="170"/>
        <v>0</v>
      </c>
      <c r="AX188" s="625">
        <f t="array" ref="AX188">IFERROR(INDEX(#REF!,MATCH($E188&amp;$F188,#REF!&amp;#REF!,0)),0)</f>
        <v>0</v>
      </c>
      <c r="AY188" s="626">
        <f t="shared" si="171"/>
        <v>0</v>
      </c>
      <c r="AZ188" s="626">
        <f t="shared" si="172"/>
        <v>0</v>
      </c>
      <c r="BA188" s="626">
        <f t="shared" si="173"/>
        <v>0</v>
      </c>
      <c r="BB188" s="625">
        <f t="array" ref="BB188">IFERROR(INDEX(#REF!,MATCH($E188&amp;$F188,#REF!&amp;#REF!,0)),0)</f>
        <v>0</v>
      </c>
      <c r="BC188" s="626">
        <f t="shared" si="174"/>
        <v>0</v>
      </c>
      <c r="BD188" s="626">
        <f t="shared" si="175"/>
        <v>0</v>
      </c>
      <c r="BE188" s="626">
        <f t="shared" si="176"/>
        <v>0</v>
      </c>
      <c r="BF188" s="625">
        <f t="array" ref="BF188">IFERROR(INDEX(#REF!,MATCH($E188&amp;$F188,#REF!&amp;#REF!,0)),0)</f>
        <v>0</v>
      </c>
      <c r="BG188" s="626">
        <f t="shared" si="177"/>
        <v>0</v>
      </c>
      <c r="BH188" s="626">
        <f t="shared" si="178"/>
        <v>0</v>
      </c>
      <c r="BI188" s="626">
        <f t="shared" si="179"/>
        <v>0</v>
      </c>
      <c r="BJ188" s="630"/>
      <c r="BK188" s="625"/>
      <c r="BL188" s="625"/>
      <c r="BM188" s="625"/>
      <c r="BN188" s="625"/>
      <c r="BO188" s="625"/>
      <c r="BP188" s="625"/>
      <c r="BQ188" s="625"/>
      <c r="BR188" s="625"/>
    </row>
    <row r="189" spans="1:70">
      <c r="A189" s="29" t="s">
        <v>1317</v>
      </c>
      <c r="B189" s="29" t="s">
        <v>1744</v>
      </c>
      <c r="C189" s="619">
        <f>SETUP!$F$39</f>
        <v>0</v>
      </c>
      <c r="D189" s="25">
        <v>4.7</v>
      </c>
      <c r="E189" s="26" t="s">
        <v>1388</v>
      </c>
      <c r="F189" s="26" t="s">
        <v>1389</v>
      </c>
      <c r="G189" s="625" t="str">
        <f t="array" ref="G189">IFERROR(INDEX(#REF!,MATCH($E189&amp;$F189,#REF!&amp;#REF!,0)),"")</f>
        <v/>
      </c>
      <c r="H189" s="625"/>
      <c r="I189" s="625">
        <f t="array" ref="I189">IFERROR(INDEX(#REF!,MATCH($E189&amp;$F189,#REF!&amp;#REF!,0)),0)</f>
        <v>0</v>
      </c>
      <c r="J189" s="625">
        <f t="array" ref="J189">IFERROR(INDEX(#REF!,MATCH($E189&amp;$F189,#REF!&amp;#REF!,0)),0)</f>
        <v>0</v>
      </c>
      <c r="K189" s="626">
        <f t="shared" si="144"/>
        <v>0</v>
      </c>
      <c r="L189" s="626">
        <f t="shared" si="145"/>
        <v>0</v>
      </c>
      <c r="M189" s="626">
        <f t="shared" si="146"/>
        <v>0</v>
      </c>
      <c r="N189" s="625">
        <f t="array" ref="N189">IFERROR(INDEX(#REF!,MATCH($E189&amp;$F189,#REF!&amp;#REF!,0)),0)</f>
        <v>0</v>
      </c>
      <c r="O189" s="626">
        <f t="shared" si="147"/>
        <v>0</v>
      </c>
      <c r="P189" s="626">
        <f t="shared" si="148"/>
        <v>0</v>
      </c>
      <c r="Q189" s="626">
        <f t="shared" si="149"/>
        <v>0</v>
      </c>
      <c r="R189" s="625">
        <f t="array" ref="R189">IFERROR(INDEX(#REF!,MATCH($E189&amp;$F189,#REF!&amp;#REF!,0)),0)</f>
        <v>0</v>
      </c>
      <c r="S189" s="626">
        <f t="shared" si="150"/>
        <v>0</v>
      </c>
      <c r="T189" s="626">
        <f t="shared" si="151"/>
        <v>0</v>
      </c>
      <c r="U189" s="626">
        <f t="shared" si="152"/>
        <v>0</v>
      </c>
      <c r="V189" s="625">
        <f t="array" ref="V189">IFERROR(INDEX(#REF!,MATCH($E189&amp;$F189,#REF!&amp;#REF!,0)),0)</f>
        <v>0</v>
      </c>
      <c r="W189" s="626">
        <f t="shared" si="153"/>
        <v>0</v>
      </c>
      <c r="X189" s="626">
        <f t="shared" si="154"/>
        <v>0</v>
      </c>
      <c r="Y189" s="626">
        <f t="shared" si="155"/>
        <v>0</v>
      </c>
      <c r="Z189" s="630"/>
      <c r="AA189" s="625">
        <f t="array" ref="AA189">IFERROR(INDEX(#REF!,MATCH($E189&amp;$F189,#REF!&amp;#REF!,0)),0)</f>
        <v>0</v>
      </c>
      <c r="AB189" s="625">
        <f t="array" ref="AB189">IFERROR(INDEX(#REF!,MATCH($E189&amp;$F189,#REF!&amp;#REF!,0)),0)</f>
        <v>0</v>
      </c>
      <c r="AC189" s="626">
        <f t="shared" si="156"/>
        <v>0</v>
      </c>
      <c r="AD189" s="626">
        <f t="shared" si="157"/>
        <v>0</v>
      </c>
      <c r="AE189" s="626">
        <f t="shared" si="158"/>
        <v>0</v>
      </c>
      <c r="AF189" s="625">
        <f t="array" ref="AF189">IFERROR(INDEX(#REF!,MATCH($E189&amp;$F189,#REF!&amp;#REF!,0)),0)</f>
        <v>0</v>
      </c>
      <c r="AG189" s="626">
        <f t="shared" si="159"/>
        <v>0</v>
      </c>
      <c r="AH189" s="626">
        <f t="shared" si="160"/>
        <v>0</v>
      </c>
      <c r="AI189" s="626">
        <f t="shared" si="161"/>
        <v>0</v>
      </c>
      <c r="AJ189" s="625">
        <f t="array" ref="AJ189">IFERROR(INDEX(#REF!,MATCH($E189&amp;$F189,#REF!&amp;#REF!,0)),0)</f>
        <v>0</v>
      </c>
      <c r="AK189" s="626">
        <f t="shared" si="162"/>
        <v>0</v>
      </c>
      <c r="AL189" s="626">
        <f t="shared" si="163"/>
        <v>0</v>
      </c>
      <c r="AM189" s="626">
        <f t="shared" si="164"/>
        <v>0</v>
      </c>
      <c r="AN189" s="625">
        <f t="array" ref="AN189">IFERROR(INDEX(#REF!,MATCH($E189&amp;$F189,#REF!&amp;#REF!,0)),0)</f>
        <v>0</v>
      </c>
      <c r="AO189" s="626">
        <f t="shared" si="165"/>
        <v>0</v>
      </c>
      <c r="AP189" s="626">
        <f t="shared" si="166"/>
        <v>0</v>
      </c>
      <c r="AQ189" s="626">
        <f t="shared" si="167"/>
        <v>0</v>
      </c>
      <c r="AR189" s="630"/>
      <c r="AS189" s="625">
        <f t="array" ref="AS189">IFERROR(INDEX(#REF!,MATCH($E189&amp;$F189,#REF!&amp;#REF!,0)),0)</f>
        <v>0</v>
      </c>
      <c r="AT189" s="625">
        <f t="array" ref="AT189">IFERROR(INDEX(#REF!,MATCH($E189&amp;$F189,#REF!&amp;#REF!,0)),0)</f>
        <v>0</v>
      </c>
      <c r="AU189" s="626">
        <f t="shared" si="168"/>
        <v>0</v>
      </c>
      <c r="AV189" s="626">
        <f t="shared" si="169"/>
        <v>0</v>
      </c>
      <c r="AW189" s="626">
        <f t="shared" si="170"/>
        <v>0</v>
      </c>
      <c r="AX189" s="625">
        <f t="array" ref="AX189">IFERROR(INDEX(#REF!,MATCH($E189&amp;$F189,#REF!&amp;#REF!,0)),0)</f>
        <v>0</v>
      </c>
      <c r="AY189" s="626">
        <f t="shared" si="171"/>
        <v>0</v>
      </c>
      <c r="AZ189" s="626">
        <f t="shared" si="172"/>
        <v>0</v>
      </c>
      <c r="BA189" s="626">
        <f t="shared" si="173"/>
        <v>0</v>
      </c>
      <c r="BB189" s="625">
        <f t="array" ref="BB189">IFERROR(INDEX(#REF!,MATCH($E189&amp;$F189,#REF!&amp;#REF!,0)),0)</f>
        <v>0</v>
      </c>
      <c r="BC189" s="626">
        <f t="shared" si="174"/>
        <v>0</v>
      </c>
      <c r="BD189" s="626">
        <f t="shared" si="175"/>
        <v>0</v>
      </c>
      <c r="BE189" s="626">
        <f t="shared" si="176"/>
        <v>0</v>
      </c>
      <c r="BF189" s="625">
        <f t="array" ref="BF189">IFERROR(INDEX(#REF!,MATCH($E189&amp;$F189,#REF!&amp;#REF!,0)),0)</f>
        <v>0</v>
      </c>
      <c r="BG189" s="626">
        <f t="shared" si="177"/>
        <v>0</v>
      </c>
      <c r="BH189" s="626">
        <f t="shared" si="178"/>
        <v>0</v>
      </c>
      <c r="BI189" s="626">
        <f t="shared" si="179"/>
        <v>0</v>
      </c>
      <c r="BJ189" s="630"/>
      <c r="BK189" s="625"/>
      <c r="BL189" s="625"/>
      <c r="BM189" s="625"/>
      <c r="BN189" s="625"/>
      <c r="BO189" s="625"/>
      <c r="BP189" s="625"/>
      <c r="BQ189" s="625"/>
      <c r="BR189" s="625"/>
    </row>
    <row r="190" spans="1:70">
      <c r="A190" s="29" t="s">
        <v>1317</v>
      </c>
      <c r="B190" s="29" t="s">
        <v>1744</v>
      </c>
      <c r="C190" s="619">
        <f>SETUP!$F$39</f>
        <v>0</v>
      </c>
      <c r="D190" s="25">
        <v>4.7</v>
      </c>
      <c r="E190" s="26" t="s">
        <v>1390</v>
      </c>
      <c r="F190" s="26" t="s">
        <v>1391</v>
      </c>
      <c r="G190" s="625" t="str">
        <f t="array" ref="G190">IFERROR(INDEX(#REF!,MATCH($E190&amp;$F190,#REF!&amp;#REF!,0)),"")</f>
        <v/>
      </c>
      <c r="H190" s="625"/>
      <c r="I190" s="625">
        <f t="array" ref="I190">IFERROR(INDEX(#REF!,MATCH($E190&amp;$F190,#REF!&amp;#REF!,0)),0)</f>
        <v>0</v>
      </c>
      <c r="J190" s="625">
        <f t="array" ref="J190">IFERROR(INDEX(#REF!,MATCH($E190&amp;$F190,#REF!&amp;#REF!,0)),0)</f>
        <v>0</v>
      </c>
      <c r="K190" s="626">
        <f t="shared" si="144"/>
        <v>0</v>
      </c>
      <c r="L190" s="626">
        <f t="shared" si="145"/>
        <v>0</v>
      </c>
      <c r="M190" s="626">
        <f t="shared" si="146"/>
        <v>0</v>
      </c>
      <c r="N190" s="625">
        <f t="array" ref="N190">IFERROR(INDEX(#REF!,MATCH($E190&amp;$F190,#REF!&amp;#REF!,0)),0)</f>
        <v>0</v>
      </c>
      <c r="O190" s="626">
        <f t="shared" si="147"/>
        <v>0</v>
      </c>
      <c r="P190" s="626">
        <f t="shared" si="148"/>
        <v>0</v>
      </c>
      <c r="Q190" s="626">
        <f t="shared" si="149"/>
        <v>0</v>
      </c>
      <c r="R190" s="625">
        <f t="array" ref="R190">IFERROR(INDEX(#REF!,MATCH($E190&amp;$F190,#REF!&amp;#REF!,0)),0)</f>
        <v>0</v>
      </c>
      <c r="S190" s="626">
        <f t="shared" si="150"/>
        <v>0</v>
      </c>
      <c r="T190" s="626">
        <f t="shared" si="151"/>
        <v>0</v>
      </c>
      <c r="U190" s="626">
        <f t="shared" si="152"/>
        <v>0</v>
      </c>
      <c r="V190" s="625">
        <f t="array" ref="V190">IFERROR(INDEX(#REF!,MATCH($E190&amp;$F190,#REF!&amp;#REF!,0)),0)</f>
        <v>0</v>
      </c>
      <c r="W190" s="626">
        <f t="shared" si="153"/>
        <v>0</v>
      </c>
      <c r="X190" s="626">
        <f t="shared" si="154"/>
        <v>0</v>
      </c>
      <c r="Y190" s="626">
        <f t="shared" si="155"/>
        <v>0</v>
      </c>
      <c r="Z190" s="630"/>
      <c r="AA190" s="625">
        <f t="array" ref="AA190">IFERROR(INDEX(#REF!,MATCH($E190&amp;$F190,#REF!&amp;#REF!,0)),0)</f>
        <v>0</v>
      </c>
      <c r="AB190" s="625">
        <f t="array" ref="AB190">IFERROR(INDEX(#REF!,MATCH($E190&amp;$F190,#REF!&amp;#REF!,0)),0)</f>
        <v>0</v>
      </c>
      <c r="AC190" s="626">
        <f t="shared" si="156"/>
        <v>0</v>
      </c>
      <c r="AD190" s="626">
        <f t="shared" si="157"/>
        <v>0</v>
      </c>
      <c r="AE190" s="626">
        <f t="shared" si="158"/>
        <v>0</v>
      </c>
      <c r="AF190" s="625">
        <f t="array" ref="AF190">IFERROR(INDEX(#REF!,MATCH($E190&amp;$F190,#REF!&amp;#REF!,0)),0)</f>
        <v>0</v>
      </c>
      <c r="AG190" s="626">
        <f t="shared" si="159"/>
        <v>0</v>
      </c>
      <c r="AH190" s="626">
        <f t="shared" si="160"/>
        <v>0</v>
      </c>
      <c r="AI190" s="626">
        <f t="shared" si="161"/>
        <v>0</v>
      </c>
      <c r="AJ190" s="625">
        <f t="array" ref="AJ190">IFERROR(INDEX(#REF!,MATCH($E190&amp;$F190,#REF!&amp;#REF!,0)),0)</f>
        <v>0</v>
      </c>
      <c r="AK190" s="626">
        <f t="shared" si="162"/>
        <v>0</v>
      </c>
      <c r="AL190" s="626">
        <f t="shared" si="163"/>
        <v>0</v>
      </c>
      <c r="AM190" s="626">
        <f t="shared" si="164"/>
        <v>0</v>
      </c>
      <c r="AN190" s="625">
        <f t="array" ref="AN190">IFERROR(INDEX(#REF!,MATCH($E190&amp;$F190,#REF!&amp;#REF!,0)),0)</f>
        <v>0</v>
      </c>
      <c r="AO190" s="626">
        <f t="shared" si="165"/>
        <v>0</v>
      </c>
      <c r="AP190" s="626">
        <f t="shared" si="166"/>
        <v>0</v>
      </c>
      <c r="AQ190" s="626">
        <f t="shared" si="167"/>
        <v>0</v>
      </c>
      <c r="AR190" s="630"/>
      <c r="AS190" s="625">
        <f t="array" ref="AS190">IFERROR(INDEX(#REF!,MATCH($E190&amp;$F190,#REF!&amp;#REF!,0)),0)</f>
        <v>0</v>
      </c>
      <c r="AT190" s="625">
        <f t="array" ref="AT190">IFERROR(INDEX(#REF!,MATCH($E190&amp;$F190,#REF!&amp;#REF!,0)),0)</f>
        <v>0</v>
      </c>
      <c r="AU190" s="626">
        <f t="shared" si="168"/>
        <v>0</v>
      </c>
      <c r="AV190" s="626">
        <f t="shared" si="169"/>
        <v>0</v>
      </c>
      <c r="AW190" s="626">
        <f t="shared" si="170"/>
        <v>0</v>
      </c>
      <c r="AX190" s="625">
        <f t="array" ref="AX190">IFERROR(INDEX(#REF!,MATCH($E190&amp;$F190,#REF!&amp;#REF!,0)),0)</f>
        <v>0</v>
      </c>
      <c r="AY190" s="626">
        <f t="shared" si="171"/>
        <v>0</v>
      </c>
      <c r="AZ190" s="626">
        <f t="shared" si="172"/>
        <v>0</v>
      </c>
      <c r="BA190" s="626">
        <f t="shared" si="173"/>
        <v>0</v>
      </c>
      <c r="BB190" s="625">
        <f t="array" ref="BB190">IFERROR(INDEX(#REF!,MATCH($E190&amp;$F190,#REF!&amp;#REF!,0)),0)</f>
        <v>0</v>
      </c>
      <c r="BC190" s="626">
        <f t="shared" si="174"/>
        <v>0</v>
      </c>
      <c r="BD190" s="626">
        <f t="shared" si="175"/>
        <v>0</v>
      </c>
      <c r="BE190" s="626">
        <f t="shared" si="176"/>
        <v>0</v>
      </c>
      <c r="BF190" s="625">
        <f t="array" ref="BF190">IFERROR(INDEX(#REF!,MATCH($E190&amp;$F190,#REF!&amp;#REF!,0)),0)</f>
        <v>0</v>
      </c>
      <c r="BG190" s="626">
        <f t="shared" si="177"/>
        <v>0</v>
      </c>
      <c r="BH190" s="626">
        <f t="shared" si="178"/>
        <v>0</v>
      </c>
      <c r="BI190" s="626">
        <f t="shared" si="179"/>
        <v>0</v>
      </c>
      <c r="BJ190" s="630"/>
      <c r="BK190" s="625"/>
      <c r="BL190" s="625"/>
      <c r="BM190" s="625"/>
      <c r="BN190" s="625"/>
      <c r="BO190" s="625"/>
      <c r="BP190" s="625"/>
      <c r="BQ190" s="625"/>
      <c r="BR190" s="625"/>
    </row>
    <row r="191" spans="1:70">
      <c r="A191" s="29" t="s">
        <v>1317</v>
      </c>
      <c r="B191" s="29" t="s">
        <v>1744</v>
      </c>
      <c r="C191" s="619">
        <f>SETUP!$F$39</f>
        <v>0</v>
      </c>
      <c r="D191" s="25">
        <v>4.7</v>
      </c>
      <c r="E191" s="26" t="s">
        <v>1451</v>
      </c>
      <c r="F191" s="26" t="s">
        <v>1392</v>
      </c>
      <c r="G191" s="625" t="str">
        <f t="array" ref="G191">IFERROR(INDEX(#REF!,MATCH($E191&amp;$F191,#REF!&amp;#REF!,0)),"")</f>
        <v/>
      </c>
      <c r="H191" s="625"/>
      <c r="I191" s="625">
        <f t="array" ref="I191">IFERROR(INDEX(#REF!,MATCH($E191&amp;$F191,#REF!&amp;#REF!,0)),0)</f>
        <v>0</v>
      </c>
      <c r="J191" s="625">
        <f t="array" ref="J191">IFERROR(INDEX(#REF!,MATCH($E191&amp;$F191,#REF!&amp;#REF!,0)),0)</f>
        <v>0</v>
      </c>
      <c r="K191" s="626">
        <f t="shared" si="144"/>
        <v>0</v>
      </c>
      <c r="L191" s="626">
        <f t="shared" si="145"/>
        <v>0</v>
      </c>
      <c r="M191" s="626">
        <f t="shared" si="146"/>
        <v>0</v>
      </c>
      <c r="N191" s="625">
        <f t="array" ref="N191">IFERROR(INDEX(#REF!,MATCH($E191&amp;$F191,#REF!&amp;#REF!,0)),0)</f>
        <v>0</v>
      </c>
      <c r="O191" s="626">
        <f t="shared" si="147"/>
        <v>0</v>
      </c>
      <c r="P191" s="626">
        <f t="shared" si="148"/>
        <v>0</v>
      </c>
      <c r="Q191" s="626">
        <f t="shared" si="149"/>
        <v>0</v>
      </c>
      <c r="R191" s="625">
        <f t="array" ref="R191">IFERROR(INDEX(#REF!,MATCH($E191&amp;$F191,#REF!&amp;#REF!,0)),0)</f>
        <v>0</v>
      </c>
      <c r="S191" s="626">
        <f t="shared" si="150"/>
        <v>0</v>
      </c>
      <c r="T191" s="626">
        <f t="shared" si="151"/>
        <v>0</v>
      </c>
      <c r="U191" s="626">
        <f t="shared" si="152"/>
        <v>0</v>
      </c>
      <c r="V191" s="625">
        <f t="array" ref="V191">IFERROR(INDEX(#REF!,MATCH($E191&amp;$F191,#REF!&amp;#REF!,0)),0)</f>
        <v>0</v>
      </c>
      <c r="W191" s="626">
        <f t="shared" si="153"/>
        <v>0</v>
      </c>
      <c r="X191" s="626">
        <f t="shared" si="154"/>
        <v>0</v>
      </c>
      <c r="Y191" s="626">
        <f t="shared" si="155"/>
        <v>0</v>
      </c>
      <c r="Z191" s="630"/>
      <c r="AA191" s="625">
        <f t="array" ref="AA191">IFERROR(INDEX(#REF!,MATCH($E191&amp;$F191,#REF!&amp;#REF!,0)),0)</f>
        <v>0</v>
      </c>
      <c r="AB191" s="625">
        <f t="array" ref="AB191">IFERROR(INDEX(#REF!,MATCH($E191&amp;$F191,#REF!&amp;#REF!,0)),0)</f>
        <v>0</v>
      </c>
      <c r="AC191" s="626">
        <f t="shared" si="156"/>
        <v>0</v>
      </c>
      <c r="AD191" s="626">
        <f t="shared" si="157"/>
        <v>0</v>
      </c>
      <c r="AE191" s="626">
        <f t="shared" si="158"/>
        <v>0</v>
      </c>
      <c r="AF191" s="625">
        <f t="array" ref="AF191">IFERROR(INDEX(#REF!,MATCH($E191&amp;$F191,#REF!&amp;#REF!,0)),0)</f>
        <v>0</v>
      </c>
      <c r="AG191" s="626">
        <f t="shared" si="159"/>
        <v>0</v>
      </c>
      <c r="AH191" s="626">
        <f t="shared" si="160"/>
        <v>0</v>
      </c>
      <c r="AI191" s="626">
        <f t="shared" si="161"/>
        <v>0</v>
      </c>
      <c r="AJ191" s="625">
        <f t="array" ref="AJ191">IFERROR(INDEX(#REF!,MATCH($E191&amp;$F191,#REF!&amp;#REF!,0)),0)</f>
        <v>0</v>
      </c>
      <c r="AK191" s="626">
        <f t="shared" si="162"/>
        <v>0</v>
      </c>
      <c r="AL191" s="626">
        <f t="shared" si="163"/>
        <v>0</v>
      </c>
      <c r="AM191" s="626">
        <f t="shared" si="164"/>
        <v>0</v>
      </c>
      <c r="AN191" s="625">
        <f t="array" ref="AN191">IFERROR(INDEX(#REF!,MATCH($E191&amp;$F191,#REF!&amp;#REF!,0)),0)</f>
        <v>0</v>
      </c>
      <c r="AO191" s="626">
        <f t="shared" si="165"/>
        <v>0</v>
      </c>
      <c r="AP191" s="626">
        <f t="shared" si="166"/>
        <v>0</v>
      </c>
      <c r="AQ191" s="626">
        <f t="shared" si="167"/>
        <v>0</v>
      </c>
      <c r="AR191" s="630"/>
      <c r="AS191" s="625">
        <f t="array" ref="AS191">IFERROR(INDEX(#REF!,MATCH($E191&amp;$F191,#REF!&amp;#REF!,0)),0)</f>
        <v>0</v>
      </c>
      <c r="AT191" s="625">
        <f t="array" ref="AT191">IFERROR(INDEX(#REF!,MATCH($E191&amp;$F191,#REF!&amp;#REF!,0)),0)</f>
        <v>0</v>
      </c>
      <c r="AU191" s="626">
        <f t="shared" si="168"/>
        <v>0</v>
      </c>
      <c r="AV191" s="626">
        <f t="shared" si="169"/>
        <v>0</v>
      </c>
      <c r="AW191" s="626">
        <f t="shared" si="170"/>
        <v>0</v>
      </c>
      <c r="AX191" s="625">
        <f t="array" ref="AX191">IFERROR(INDEX(#REF!,MATCH($E191&amp;$F191,#REF!&amp;#REF!,0)),0)</f>
        <v>0</v>
      </c>
      <c r="AY191" s="626">
        <f t="shared" si="171"/>
        <v>0</v>
      </c>
      <c r="AZ191" s="626">
        <f t="shared" si="172"/>
        <v>0</v>
      </c>
      <c r="BA191" s="626">
        <f t="shared" si="173"/>
        <v>0</v>
      </c>
      <c r="BB191" s="625">
        <f t="array" ref="BB191">IFERROR(INDEX(#REF!,MATCH($E191&amp;$F191,#REF!&amp;#REF!,0)),0)</f>
        <v>0</v>
      </c>
      <c r="BC191" s="626">
        <f t="shared" si="174"/>
        <v>0</v>
      </c>
      <c r="BD191" s="626">
        <f t="shared" si="175"/>
        <v>0</v>
      </c>
      <c r="BE191" s="626">
        <f t="shared" si="176"/>
        <v>0</v>
      </c>
      <c r="BF191" s="625">
        <f t="array" ref="BF191">IFERROR(INDEX(#REF!,MATCH($E191&amp;$F191,#REF!&amp;#REF!,0)),0)</f>
        <v>0</v>
      </c>
      <c r="BG191" s="626">
        <f t="shared" si="177"/>
        <v>0</v>
      </c>
      <c r="BH191" s="626">
        <f t="shared" si="178"/>
        <v>0</v>
      </c>
      <c r="BI191" s="626">
        <f t="shared" si="179"/>
        <v>0</v>
      </c>
      <c r="BJ191" s="630"/>
      <c r="BK191" s="625"/>
      <c r="BL191" s="625"/>
      <c r="BM191" s="625"/>
      <c r="BN191" s="625"/>
      <c r="BO191" s="625"/>
      <c r="BP191" s="625"/>
      <c r="BQ191" s="625"/>
      <c r="BR191" s="625"/>
    </row>
    <row r="192" spans="1:70">
      <c r="A192" s="29" t="s">
        <v>1317</v>
      </c>
      <c r="B192" s="29" t="s">
        <v>1744</v>
      </c>
      <c r="C192" s="619">
        <f>SETUP!$F$39</f>
        <v>0</v>
      </c>
      <c r="D192" s="25">
        <v>4.7</v>
      </c>
      <c r="E192" s="26" t="s">
        <v>837</v>
      </c>
      <c r="F192" s="26" t="s">
        <v>1140</v>
      </c>
      <c r="G192" s="625" t="str">
        <f t="array" ref="G192">IFERROR(INDEX(#REF!,MATCH($E192&amp;$F192,#REF!&amp;#REF!,0)),"")</f>
        <v/>
      </c>
      <c r="H192" s="625"/>
      <c r="I192" s="625">
        <f t="array" ref="I192">IFERROR(INDEX(#REF!,MATCH($E192&amp;$F192,#REF!&amp;#REF!,0)),0)</f>
        <v>0</v>
      </c>
      <c r="J192" s="625">
        <f t="array" ref="J192">IFERROR(INDEX(#REF!,MATCH($E192&amp;$F192,#REF!&amp;#REF!,0)),0)</f>
        <v>0</v>
      </c>
      <c r="K192" s="626">
        <f t="shared" si="144"/>
        <v>0</v>
      </c>
      <c r="L192" s="626">
        <f t="shared" si="145"/>
        <v>0</v>
      </c>
      <c r="M192" s="626">
        <f t="shared" si="146"/>
        <v>0</v>
      </c>
      <c r="N192" s="625">
        <f t="array" ref="N192">IFERROR(INDEX(#REF!,MATCH($E192&amp;$F192,#REF!&amp;#REF!,0)),0)</f>
        <v>0</v>
      </c>
      <c r="O192" s="626">
        <f t="shared" si="147"/>
        <v>0</v>
      </c>
      <c r="P192" s="626">
        <f t="shared" si="148"/>
        <v>0</v>
      </c>
      <c r="Q192" s="626">
        <f t="shared" si="149"/>
        <v>0</v>
      </c>
      <c r="R192" s="625">
        <f t="array" ref="R192">IFERROR(INDEX(#REF!,MATCH($E192&amp;$F192,#REF!&amp;#REF!,0)),0)</f>
        <v>0</v>
      </c>
      <c r="S192" s="626">
        <f t="shared" si="150"/>
        <v>0</v>
      </c>
      <c r="T192" s="626">
        <f t="shared" si="151"/>
        <v>0</v>
      </c>
      <c r="U192" s="626">
        <f t="shared" si="152"/>
        <v>0</v>
      </c>
      <c r="V192" s="625">
        <f t="array" ref="V192">IFERROR(INDEX(#REF!,MATCH($E192&amp;$F192,#REF!&amp;#REF!,0)),0)</f>
        <v>0</v>
      </c>
      <c r="W192" s="626">
        <f t="shared" si="153"/>
        <v>0</v>
      </c>
      <c r="X192" s="626">
        <f t="shared" si="154"/>
        <v>0</v>
      </c>
      <c r="Y192" s="626">
        <f t="shared" si="155"/>
        <v>0</v>
      </c>
      <c r="Z192" s="630"/>
      <c r="AA192" s="625">
        <f t="array" ref="AA192">IFERROR(INDEX(#REF!,MATCH($E192&amp;$F192,#REF!&amp;#REF!,0)),0)</f>
        <v>0</v>
      </c>
      <c r="AB192" s="625">
        <f t="array" ref="AB192">IFERROR(INDEX(#REF!,MATCH($E192&amp;$F192,#REF!&amp;#REF!,0)),0)</f>
        <v>0</v>
      </c>
      <c r="AC192" s="626">
        <f t="shared" si="156"/>
        <v>0</v>
      </c>
      <c r="AD192" s="626">
        <f t="shared" si="157"/>
        <v>0</v>
      </c>
      <c r="AE192" s="626">
        <f t="shared" si="158"/>
        <v>0</v>
      </c>
      <c r="AF192" s="625">
        <f t="array" ref="AF192">IFERROR(INDEX(#REF!,MATCH($E192&amp;$F192,#REF!&amp;#REF!,0)),0)</f>
        <v>0</v>
      </c>
      <c r="AG192" s="626">
        <f t="shared" si="159"/>
        <v>0</v>
      </c>
      <c r="AH192" s="626">
        <f t="shared" si="160"/>
        <v>0</v>
      </c>
      <c r="AI192" s="626">
        <f t="shared" si="161"/>
        <v>0</v>
      </c>
      <c r="AJ192" s="625">
        <f t="array" ref="AJ192">IFERROR(INDEX(#REF!,MATCH($E192&amp;$F192,#REF!&amp;#REF!,0)),0)</f>
        <v>0</v>
      </c>
      <c r="AK192" s="626">
        <f t="shared" si="162"/>
        <v>0</v>
      </c>
      <c r="AL192" s="626">
        <f t="shared" si="163"/>
        <v>0</v>
      </c>
      <c r="AM192" s="626">
        <f t="shared" si="164"/>
        <v>0</v>
      </c>
      <c r="AN192" s="625">
        <f t="array" ref="AN192">IFERROR(INDEX(#REF!,MATCH($E192&amp;$F192,#REF!&amp;#REF!,0)),0)</f>
        <v>0</v>
      </c>
      <c r="AO192" s="626">
        <f t="shared" si="165"/>
        <v>0</v>
      </c>
      <c r="AP192" s="626">
        <f t="shared" si="166"/>
        <v>0</v>
      </c>
      <c r="AQ192" s="626">
        <f t="shared" si="167"/>
        <v>0</v>
      </c>
      <c r="AR192" s="630"/>
      <c r="AS192" s="625">
        <f t="array" ref="AS192">IFERROR(INDEX(#REF!,MATCH($E192&amp;$F192,#REF!&amp;#REF!,0)),0)</f>
        <v>0</v>
      </c>
      <c r="AT192" s="625">
        <f t="array" ref="AT192">IFERROR(INDEX(#REF!,MATCH($E192&amp;$F192,#REF!&amp;#REF!,0)),0)</f>
        <v>0</v>
      </c>
      <c r="AU192" s="626">
        <f t="shared" si="168"/>
        <v>0</v>
      </c>
      <c r="AV192" s="626">
        <f t="shared" si="169"/>
        <v>0</v>
      </c>
      <c r="AW192" s="626">
        <f t="shared" si="170"/>
        <v>0</v>
      </c>
      <c r="AX192" s="625">
        <f t="array" ref="AX192">IFERROR(INDEX(#REF!,MATCH($E192&amp;$F192,#REF!&amp;#REF!,0)),0)</f>
        <v>0</v>
      </c>
      <c r="AY192" s="626">
        <f t="shared" si="171"/>
        <v>0</v>
      </c>
      <c r="AZ192" s="626">
        <f t="shared" si="172"/>
        <v>0</v>
      </c>
      <c r="BA192" s="626">
        <f t="shared" si="173"/>
        <v>0</v>
      </c>
      <c r="BB192" s="625">
        <f t="array" ref="BB192">IFERROR(INDEX(#REF!,MATCH($E192&amp;$F192,#REF!&amp;#REF!,0)),0)</f>
        <v>0</v>
      </c>
      <c r="BC192" s="626">
        <f t="shared" si="174"/>
        <v>0</v>
      </c>
      <c r="BD192" s="626">
        <f t="shared" si="175"/>
        <v>0</v>
      </c>
      <c r="BE192" s="626">
        <f t="shared" si="176"/>
        <v>0</v>
      </c>
      <c r="BF192" s="625">
        <f t="array" ref="BF192">IFERROR(INDEX(#REF!,MATCH($E192&amp;$F192,#REF!&amp;#REF!,0)),0)</f>
        <v>0</v>
      </c>
      <c r="BG192" s="626">
        <f t="shared" si="177"/>
        <v>0</v>
      </c>
      <c r="BH192" s="626">
        <f t="shared" si="178"/>
        <v>0</v>
      </c>
      <c r="BI192" s="626">
        <f t="shared" si="179"/>
        <v>0</v>
      </c>
      <c r="BJ192" s="630"/>
      <c r="BK192" s="625"/>
      <c r="BL192" s="625"/>
      <c r="BM192" s="625"/>
      <c r="BN192" s="625"/>
      <c r="BO192" s="625"/>
      <c r="BP192" s="625"/>
      <c r="BQ192" s="625"/>
      <c r="BR192" s="625"/>
    </row>
    <row r="193" spans="1:70">
      <c r="A193" s="29" t="s">
        <v>1317</v>
      </c>
      <c r="B193" s="29" t="s">
        <v>1744</v>
      </c>
      <c r="C193" s="619">
        <f>SETUP!$F$39</f>
        <v>0</v>
      </c>
      <c r="D193" s="25">
        <v>4.7</v>
      </c>
      <c r="E193" s="26" t="s">
        <v>1393</v>
      </c>
      <c r="F193" s="26" t="s">
        <v>1394</v>
      </c>
      <c r="G193" s="625" t="str">
        <f t="array" ref="G193">IFERROR(INDEX(#REF!,MATCH($E193&amp;$F193,#REF!&amp;#REF!,0)),"")</f>
        <v/>
      </c>
      <c r="H193" s="625"/>
      <c r="I193" s="625">
        <f t="array" ref="I193">IFERROR(INDEX(#REF!,MATCH($E193&amp;$F193,#REF!&amp;#REF!,0)),0)</f>
        <v>0</v>
      </c>
      <c r="J193" s="625">
        <f t="array" ref="J193">IFERROR(INDEX(#REF!,MATCH($E193&amp;$F193,#REF!&amp;#REF!,0)),0)</f>
        <v>0</v>
      </c>
      <c r="K193" s="626">
        <f t="shared" si="144"/>
        <v>0</v>
      </c>
      <c r="L193" s="626">
        <f t="shared" si="145"/>
        <v>0</v>
      </c>
      <c r="M193" s="626">
        <f t="shared" si="146"/>
        <v>0</v>
      </c>
      <c r="N193" s="625">
        <f t="array" ref="N193">IFERROR(INDEX(#REF!,MATCH($E193&amp;$F193,#REF!&amp;#REF!,0)),0)</f>
        <v>0</v>
      </c>
      <c r="O193" s="626">
        <f t="shared" si="147"/>
        <v>0</v>
      </c>
      <c r="P193" s="626">
        <f t="shared" si="148"/>
        <v>0</v>
      </c>
      <c r="Q193" s="626">
        <f t="shared" si="149"/>
        <v>0</v>
      </c>
      <c r="R193" s="625">
        <f t="array" ref="R193">IFERROR(INDEX(#REF!,MATCH($E193&amp;$F193,#REF!&amp;#REF!,0)),0)</f>
        <v>0</v>
      </c>
      <c r="S193" s="626">
        <f t="shared" si="150"/>
        <v>0</v>
      </c>
      <c r="T193" s="626">
        <f t="shared" si="151"/>
        <v>0</v>
      </c>
      <c r="U193" s="626">
        <f t="shared" si="152"/>
        <v>0</v>
      </c>
      <c r="V193" s="625">
        <f t="array" ref="V193">IFERROR(INDEX(#REF!,MATCH($E193&amp;$F193,#REF!&amp;#REF!,0)),0)</f>
        <v>0</v>
      </c>
      <c r="W193" s="626">
        <f t="shared" si="153"/>
        <v>0</v>
      </c>
      <c r="X193" s="626">
        <f t="shared" si="154"/>
        <v>0</v>
      </c>
      <c r="Y193" s="626">
        <f t="shared" si="155"/>
        <v>0</v>
      </c>
      <c r="Z193" s="630"/>
      <c r="AA193" s="625">
        <f t="array" ref="AA193">IFERROR(INDEX(#REF!,MATCH($E193&amp;$F193,#REF!&amp;#REF!,0)),0)</f>
        <v>0</v>
      </c>
      <c r="AB193" s="625">
        <f t="array" ref="AB193">IFERROR(INDEX(#REF!,MATCH($E193&amp;$F193,#REF!&amp;#REF!,0)),0)</f>
        <v>0</v>
      </c>
      <c r="AC193" s="626">
        <f t="shared" si="156"/>
        <v>0</v>
      </c>
      <c r="AD193" s="626">
        <f t="shared" si="157"/>
        <v>0</v>
      </c>
      <c r="AE193" s="626">
        <f t="shared" si="158"/>
        <v>0</v>
      </c>
      <c r="AF193" s="625">
        <f t="array" ref="AF193">IFERROR(INDEX(#REF!,MATCH($E193&amp;$F193,#REF!&amp;#REF!,0)),0)</f>
        <v>0</v>
      </c>
      <c r="AG193" s="626">
        <f t="shared" si="159"/>
        <v>0</v>
      </c>
      <c r="AH193" s="626">
        <f t="shared" si="160"/>
        <v>0</v>
      </c>
      <c r="AI193" s="626">
        <f t="shared" si="161"/>
        <v>0</v>
      </c>
      <c r="AJ193" s="625">
        <f t="array" ref="AJ193">IFERROR(INDEX(#REF!,MATCH($E193&amp;$F193,#REF!&amp;#REF!,0)),0)</f>
        <v>0</v>
      </c>
      <c r="AK193" s="626">
        <f t="shared" si="162"/>
        <v>0</v>
      </c>
      <c r="AL193" s="626">
        <f t="shared" si="163"/>
        <v>0</v>
      </c>
      <c r="AM193" s="626">
        <f t="shared" si="164"/>
        <v>0</v>
      </c>
      <c r="AN193" s="625">
        <f t="array" ref="AN193">IFERROR(INDEX(#REF!,MATCH($E193&amp;$F193,#REF!&amp;#REF!,0)),0)</f>
        <v>0</v>
      </c>
      <c r="AO193" s="626">
        <f t="shared" si="165"/>
        <v>0</v>
      </c>
      <c r="AP193" s="626">
        <f t="shared" si="166"/>
        <v>0</v>
      </c>
      <c r="AQ193" s="626">
        <f t="shared" si="167"/>
        <v>0</v>
      </c>
      <c r="AR193" s="630"/>
      <c r="AS193" s="625">
        <f t="array" ref="AS193">IFERROR(INDEX(#REF!,MATCH($E193&amp;$F193,#REF!&amp;#REF!,0)),0)</f>
        <v>0</v>
      </c>
      <c r="AT193" s="625">
        <f t="array" ref="AT193">IFERROR(INDEX(#REF!,MATCH($E193&amp;$F193,#REF!&amp;#REF!,0)),0)</f>
        <v>0</v>
      </c>
      <c r="AU193" s="626">
        <f t="shared" si="168"/>
        <v>0</v>
      </c>
      <c r="AV193" s="626">
        <f t="shared" si="169"/>
        <v>0</v>
      </c>
      <c r="AW193" s="626">
        <f t="shared" si="170"/>
        <v>0</v>
      </c>
      <c r="AX193" s="625">
        <f t="array" ref="AX193">IFERROR(INDEX(#REF!,MATCH($E193&amp;$F193,#REF!&amp;#REF!,0)),0)</f>
        <v>0</v>
      </c>
      <c r="AY193" s="626">
        <f t="shared" si="171"/>
        <v>0</v>
      </c>
      <c r="AZ193" s="626">
        <f t="shared" si="172"/>
        <v>0</v>
      </c>
      <c r="BA193" s="626">
        <f t="shared" si="173"/>
        <v>0</v>
      </c>
      <c r="BB193" s="625">
        <f t="array" ref="BB193">IFERROR(INDEX(#REF!,MATCH($E193&amp;$F193,#REF!&amp;#REF!,0)),0)</f>
        <v>0</v>
      </c>
      <c r="BC193" s="626">
        <f t="shared" si="174"/>
        <v>0</v>
      </c>
      <c r="BD193" s="626">
        <f t="shared" si="175"/>
        <v>0</v>
      </c>
      <c r="BE193" s="626">
        <f t="shared" si="176"/>
        <v>0</v>
      </c>
      <c r="BF193" s="625">
        <f t="array" ref="BF193">IFERROR(INDEX(#REF!,MATCH($E193&amp;$F193,#REF!&amp;#REF!,0)),0)</f>
        <v>0</v>
      </c>
      <c r="BG193" s="626">
        <f t="shared" si="177"/>
        <v>0</v>
      </c>
      <c r="BH193" s="626">
        <f t="shared" si="178"/>
        <v>0</v>
      </c>
      <c r="BI193" s="626">
        <f t="shared" si="179"/>
        <v>0</v>
      </c>
      <c r="BJ193" s="630"/>
      <c r="BK193" s="625"/>
      <c r="BL193" s="625"/>
      <c r="BM193" s="625"/>
      <c r="BN193" s="625"/>
      <c r="BO193" s="625"/>
      <c r="BP193" s="625"/>
      <c r="BQ193" s="625"/>
      <c r="BR193" s="625"/>
    </row>
    <row r="194" spans="1:70">
      <c r="A194" s="29" t="s">
        <v>1317</v>
      </c>
      <c r="B194" s="29" t="s">
        <v>1744</v>
      </c>
      <c r="C194" s="619">
        <f>SETUP!$F$39</f>
        <v>0</v>
      </c>
      <c r="D194" s="25">
        <v>4.7</v>
      </c>
      <c r="E194" s="26" t="s">
        <v>1393</v>
      </c>
      <c r="F194" s="26" t="s">
        <v>1395</v>
      </c>
      <c r="G194" s="625" t="str">
        <f t="array" ref="G194">IFERROR(INDEX(#REF!,MATCH($E194&amp;$F194,#REF!&amp;#REF!,0)),"")</f>
        <v/>
      </c>
      <c r="H194" s="625"/>
      <c r="I194" s="625">
        <f t="array" ref="I194">IFERROR(INDEX(#REF!,MATCH($E194&amp;$F194,#REF!&amp;#REF!,0)),0)</f>
        <v>0</v>
      </c>
      <c r="J194" s="625">
        <f t="array" ref="J194">IFERROR(INDEX(#REF!,MATCH($E194&amp;$F194,#REF!&amp;#REF!,0)),0)</f>
        <v>0</v>
      </c>
      <c r="K194" s="626">
        <f t="shared" si="144"/>
        <v>0</v>
      </c>
      <c r="L194" s="626">
        <f t="shared" si="145"/>
        <v>0</v>
      </c>
      <c r="M194" s="626">
        <f t="shared" si="146"/>
        <v>0</v>
      </c>
      <c r="N194" s="625">
        <f t="array" ref="N194">IFERROR(INDEX(#REF!,MATCH($E194&amp;$F194,#REF!&amp;#REF!,0)),0)</f>
        <v>0</v>
      </c>
      <c r="O194" s="626">
        <f t="shared" si="147"/>
        <v>0</v>
      </c>
      <c r="P194" s="626">
        <f t="shared" si="148"/>
        <v>0</v>
      </c>
      <c r="Q194" s="626">
        <f t="shared" si="149"/>
        <v>0</v>
      </c>
      <c r="R194" s="625">
        <f t="array" ref="R194">IFERROR(INDEX(#REF!,MATCH($E194&amp;$F194,#REF!&amp;#REF!,0)),0)</f>
        <v>0</v>
      </c>
      <c r="S194" s="626">
        <f t="shared" si="150"/>
        <v>0</v>
      </c>
      <c r="T194" s="626">
        <f t="shared" si="151"/>
        <v>0</v>
      </c>
      <c r="U194" s="626">
        <f t="shared" si="152"/>
        <v>0</v>
      </c>
      <c r="V194" s="625">
        <f t="array" ref="V194">IFERROR(INDEX(#REF!,MATCH($E194&amp;$F194,#REF!&amp;#REF!,0)),0)</f>
        <v>0</v>
      </c>
      <c r="W194" s="626">
        <f t="shared" si="153"/>
        <v>0</v>
      </c>
      <c r="X194" s="626">
        <f t="shared" si="154"/>
        <v>0</v>
      </c>
      <c r="Y194" s="626">
        <f t="shared" si="155"/>
        <v>0</v>
      </c>
      <c r="Z194" s="630"/>
      <c r="AA194" s="625">
        <f t="array" ref="AA194">IFERROR(INDEX(#REF!,MATCH($E194&amp;$F194,#REF!&amp;#REF!,0)),0)</f>
        <v>0</v>
      </c>
      <c r="AB194" s="625">
        <f t="array" ref="AB194">IFERROR(INDEX(#REF!,MATCH($E194&amp;$F194,#REF!&amp;#REF!,0)),0)</f>
        <v>0</v>
      </c>
      <c r="AC194" s="626">
        <f t="shared" si="156"/>
        <v>0</v>
      </c>
      <c r="AD194" s="626">
        <f t="shared" si="157"/>
        <v>0</v>
      </c>
      <c r="AE194" s="626">
        <f t="shared" si="158"/>
        <v>0</v>
      </c>
      <c r="AF194" s="625">
        <f t="array" ref="AF194">IFERROR(INDEX(#REF!,MATCH($E194&amp;$F194,#REF!&amp;#REF!,0)),0)</f>
        <v>0</v>
      </c>
      <c r="AG194" s="626">
        <f t="shared" si="159"/>
        <v>0</v>
      </c>
      <c r="AH194" s="626">
        <f t="shared" si="160"/>
        <v>0</v>
      </c>
      <c r="AI194" s="626">
        <f t="shared" si="161"/>
        <v>0</v>
      </c>
      <c r="AJ194" s="625">
        <f t="array" ref="AJ194">IFERROR(INDEX(#REF!,MATCH($E194&amp;$F194,#REF!&amp;#REF!,0)),0)</f>
        <v>0</v>
      </c>
      <c r="AK194" s="626">
        <f t="shared" si="162"/>
        <v>0</v>
      </c>
      <c r="AL194" s="626">
        <f t="shared" si="163"/>
        <v>0</v>
      </c>
      <c r="AM194" s="626">
        <f t="shared" si="164"/>
        <v>0</v>
      </c>
      <c r="AN194" s="625">
        <f t="array" ref="AN194">IFERROR(INDEX(#REF!,MATCH($E194&amp;$F194,#REF!&amp;#REF!,0)),0)</f>
        <v>0</v>
      </c>
      <c r="AO194" s="626">
        <f t="shared" si="165"/>
        <v>0</v>
      </c>
      <c r="AP194" s="626">
        <f t="shared" si="166"/>
        <v>0</v>
      </c>
      <c r="AQ194" s="626">
        <f t="shared" si="167"/>
        <v>0</v>
      </c>
      <c r="AR194" s="630"/>
      <c r="AS194" s="625">
        <f t="array" ref="AS194">IFERROR(INDEX(#REF!,MATCH($E194&amp;$F194,#REF!&amp;#REF!,0)),0)</f>
        <v>0</v>
      </c>
      <c r="AT194" s="625">
        <f t="array" ref="AT194">IFERROR(INDEX(#REF!,MATCH($E194&amp;$F194,#REF!&amp;#REF!,0)),0)</f>
        <v>0</v>
      </c>
      <c r="AU194" s="626">
        <f t="shared" si="168"/>
        <v>0</v>
      </c>
      <c r="AV194" s="626">
        <f t="shared" si="169"/>
        <v>0</v>
      </c>
      <c r="AW194" s="626">
        <f t="shared" si="170"/>
        <v>0</v>
      </c>
      <c r="AX194" s="625">
        <f t="array" ref="AX194">IFERROR(INDEX(#REF!,MATCH($E194&amp;$F194,#REF!&amp;#REF!,0)),0)</f>
        <v>0</v>
      </c>
      <c r="AY194" s="626">
        <f t="shared" si="171"/>
        <v>0</v>
      </c>
      <c r="AZ194" s="626">
        <f t="shared" si="172"/>
        <v>0</v>
      </c>
      <c r="BA194" s="626">
        <f t="shared" si="173"/>
        <v>0</v>
      </c>
      <c r="BB194" s="625">
        <f t="array" ref="BB194">IFERROR(INDEX(#REF!,MATCH($E194&amp;$F194,#REF!&amp;#REF!,0)),0)</f>
        <v>0</v>
      </c>
      <c r="BC194" s="626">
        <f t="shared" si="174"/>
        <v>0</v>
      </c>
      <c r="BD194" s="626">
        <f t="shared" si="175"/>
        <v>0</v>
      </c>
      <c r="BE194" s="626">
        <f t="shared" si="176"/>
        <v>0</v>
      </c>
      <c r="BF194" s="625">
        <f t="array" ref="BF194">IFERROR(INDEX(#REF!,MATCH($E194&amp;$F194,#REF!&amp;#REF!,0)),0)</f>
        <v>0</v>
      </c>
      <c r="BG194" s="626">
        <f t="shared" si="177"/>
        <v>0</v>
      </c>
      <c r="BH194" s="626">
        <f t="shared" si="178"/>
        <v>0</v>
      </c>
      <c r="BI194" s="626">
        <f t="shared" si="179"/>
        <v>0</v>
      </c>
      <c r="BJ194" s="630"/>
      <c r="BK194" s="625"/>
      <c r="BL194" s="625"/>
      <c r="BM194" s="625"/>
      <c r="BN194" s="625"/>
      <c r="BO194" s="625"/>
      <c r="BP194" s="625"/>
      <c r="BQ194" s="625"/>
      <c r="BR194" s="625"/>
    </row>
    <row r="195" spans="1:70">
      <c r="A195" s="29" t="s">
        <v>1317</v>
      </c>
      <c r="B195" s="29" t="s">
        <v>1744</v>
      </c>
      <c r="C195" s="619">
        <f>SETUP!$F$39</f>
        <v>0</v>
      </c>
      <c r="D195" s="25">
        <v>4.7</v>
      </c>
      <c r="E195" s="26" t="s">
        <v>1398</v>
      </c>
      <c r="F195" s="26" t="s">
        <v>1399</v>
      </c>
      <c r="G195" s="625" t="str">
        <f t="array" ref="G195">IFERROR(INDEX(#REF!,MATCH($E195&amp;$F195,#REF!&amp;#REF!,0)),"")</f>
        <v/>
      </c>
      <c r="H195" s="625"/>
      <c r="I195" s="625">
        <f t="array" ref="I195">IFERROR(INDEX(#REF!,MATCH($E195&amp;$F195,#REF!&amp;#REF!,0)),0)</f>
        <v>0</v>
      </c>
      <c r="J195" s="625">
        <f t="array" ref="J195">IFERROR(INDEX(#REF!,MATCH($E195&amp;$F195,#REF!&amp;#REF!,0)),0)</f>
        <v>0</v>
      </c>
      <c r="K195" s="626">
        <f t="shared" si="144"/>
        <v>0</v>
      </c>
      <c r="L195" s="626">
        <f t="shared" si="145"/>
        <v>0</v>
      </c>
      <c r="M195" s="626">
        <f t="shared" si="146"/>
        <v>0</v>
      </c>
      <c r="N195" s="625">
        <f t="array" ref="N195">IFERROR(INDEX(#REF!,MATCH($E195&amp;$F195,#REF!&amp;#REF!,0)),0)</f>
        <v>0</v>
      </c>
      <c r="O195" s="626">
        <f t="shared" si="147"/>
        <v>0</v>
      </c>
      <c r="P195" s="626">
        <f t="shared" si="148"/>
        <v>0</v>
      </c>
      <c r="Q195" s="626">
        <f t="shared" si="149"/>
        <v>0</v>
      </c>
      <c r="R195" s="625">
        <f t="array" ref="R195">IFERROR(INDEX(#REF!,MATCH($E195&amp;$F195,#REF!&amp;#REF!,0)),0)</f>
        <v>0</v>
      </c>
      <c r="S195" s="626">
        <f t="shared" si="150"/>
        <v>0</v>
      </c>
      <c r="T195" s="626">
        <f t="shared" si="151"/>
        <v>0</v>
      </c>
      <c r="U195" s="626">
        <f t="shared" si="152"/>
        <v>0</v>
      </c>
      <c r="V195" s="625">
        <f t="array" ref="V195">IFERROR(INDEX(#REF!,MATCH($E195&amp;$F195,#REF!&amp;#REF!,0)),0)</f>
        <v>0</v>
      </c>
      <c r="W195" s="626">
        <f t="shared" si="153"/>
        <v>0</v>
      </c>
      <c r="X195" s="626">
        <f t="shared" si="154"/>
        <v>0</v>
      </c>
      <c r="Y195" s="626">
        <f t="shared" si="155"/>
        <v>0</v>
      </c>
      <c r="Z195" s="630"/>
      <c r="AA195" s="625">
        <f t="array" ref="AA195">IFERROR(INDEX(#REF!,MATCH($E195&amp;$F195,#REF!&amp;#REF!,0)),0)</f>
        <v>0</v>
      </c>
      <c r="AB195" s="625">
        <f t="array" ref="AB195">IFERROR(INDEX(#REF!,MATCH($E195&amp;$F195,#REF!&amp;#REF!,0)),0)</f>
        <v>0</v>
      </c>
      <c r="AC195" s="626">
        <f t="shared" si="156"/>
        <v>0</v>
      </c>
      <c r="AD195" s="626">
        <f t="shared" si="157"/>
        <v>0</v>
      </c>
      <c r="AE195" s="626">
        <f t="shared" si="158"/>
        <v>0</v>
      </c>
      <c r="AF195" s="625">
        <f t="array" ref="AF195">IFERROR(INDEX(#REF!,MATCH($E195&amp;$F195,#REF!&amp;#REF!,0)),0)</f>
        <v>0</v>
      </c>
      <c r="AG195" s="626">
        <f t="shared" si="159"/>
        <v>0</v>
      </c>
      <c r="AH195" s="626">
        <f t="shared" si="160"/>
        <v>0</v>
      </c>
      <c r="AI195" s="626">
        <f t="shared" si="161"/>
        <v>0</v>
      </c>
      <c r="AJ195" s="625">
        <f t="array" ref="AJ195">IFERROR(INDEX(#REF!,MATCH($E195&amp;$F195,#REF!&amp;#REF!,0)),0)</f>
        <v>0</v>
      </c>
      <c r="AK195" s="626">
        <f t="shared" si="162"/>
        <v>0</v>
      </c>
      <c r="AL195" s="626">
        <f t="shared" si="163"/>
        <v>0</v>
      </c>
      <c r="AM195" s="626">
        <f t="shared" si="164"/>
        <v>0</v>
      </c>
      <c r="AN195" s="625">
        <f t="array" ref="AN195">IFERROR(INDEX(#REF!,MATCH($E195&amp;$F195,#REF!&amp;#REF!,0)),0)</f>
        <v>0</v>
      </c>
      <c r="AO195" s="626">
        <f t="shared" si="165"/>
        <v>0</v>
      </c>
      <c r="AP195" s="626">
        <f t="shared" si="166"/>
        <v>0</v>
      </c>
      <c r="AQ195" s="626">
        <f t="shared" si="167"/>
        <v>0</v>
      </c>
      <c r="AR195" s="630"/>
      <c r="AS195" s="625">
        <f t="array" ref="AS195">IFERROR(INDEX(#REF!,MATCH($E195&amp;$F195,#REF!&amp;#REF!,0)),0)</f>
        <v>0</v>
      </c>
      <c r="AT195" s="625">
        <f t="array" ref="AT195">IFERROR(INDEX(#REF!,MATCH($E195&amp;$F195,#REF!&amp;#REF!,0)),0)</f>
        <v>0</v>
      </c>
      <c r="AU195" s="626">
        <f t="shared" si="168"/>
        <v>0</v>
      </c>
      <c r="AV195" s="626">
        <f t="shared" si="169"/>
        <v>0</v>
      </c>
      <c r="AW195" s="626">
        <f t="shared" si="170"/>
        <v>0</v>
      </c>
      <c r="AX195" s="625">
        <f t="array" ref="AX195">IFERROR(INDEX(#REF!,MATCH($E195&amp;$F195,#REF!&amp;#REF!,0)),0)</f>
        <v>0</v>
      </c>
      <c r="AY195" s="626">
        <f t="shared" si="171"/>
        <v>0</v>
      </c>
      <c r="AZ195" s="626">
        <f t="shared" si="172"/>
        <v>0</v>
      </c>
      <c r="BA195" s="626">
        <f t="shared" si="173"/>
        <v>0</v>
      </c>
      <c r="BB195" s="625">
        <f t="array" ref="BB195">IFERROR(INDEX(#REF!,MATCH($E195&amp;$F195,#REF!&amp;#REF!,0)),0)</f>
        <v>0</v>
      </c>
      <c r="BC195" s="626">
        <f t="shared" si="174"/>
        <v>0</v>
      </c>
      <c r="BD195" s="626">
        <f t="shared" si="175"/>
        <v>0</v>
      </c>
      <c r="BE195" s="626">
        <f t="shared" si="176"/>
        <v>0</v>
      </c>
      <c r="BF195" s="625">
        <f t="array" ref="BF195">IFERROR(INDEX(#REF!,MATCH($E195&amp;$F195,#REF!&amp;#REF!,0)),0)</f>
        <v>0</v>
      </c>
      <c r="BG195" s="626">
        <f t="shared" si="177"/>
        <v>0</v>
      </c>
      <c r="BH195" s="626">
        <f t="shared" si="178"/>
        <v>0</v>
      </c>
      <c r="BI195" s="626">
        <f t="shared" si="179"/>
        <v>0</v>
      </c>
      <c r="BJ195" s="630"/>
      <c r="BK195" s="625"/>
      <c r="BL195" s="625"/>
      <c r="BM195" s="625"/>
      <c r="BN195" s="625"/>
      <c r="BO195" s="625"/>
      <c r="BP195" s="625"/>
      <c r="BQ195" s="625"/>
      <c r="BR195" s="625"/>
    </row>
    <row r="196" spans="1:70">
      <c r="A196" s="29" t="s">
        <v>1317</v>
      </c>
      <c r="B196" s="29" t="s">
        <v>1744</v>
      </c>
      <c r="C196" s="619">
        <f>SETUP!$F$39</f>
        <v>0</v>
      </c>
      <c r="D196" s="25">
        <v>4.7</v>
      </c>
      <c r="E196" s="26" t="s">
        <v>1400</v>
      </c>
      <c r="F196" s="26" t="s">
        <v>1401</v>
      </c>
      <c r="G196" s="625" t="str">
        <f t="array" ref="G196">IFERROR(INDEX(#REF!,MATCH($E196&amp;$F196,#REF!&amp;#REF!,0)),"")</f>
        <v/>
      </c>
      <c r="H196" s="625"/>
      <c r="I196" s="625">
        <f t="array" ref="I196">IFERROR(INDEX(#REF!,MATCH($E196&amp;$F196,#REF!&amp;#REF!,0)),0)</f>
        <v>0</v>
      </c>
      <c r="J196" s="625">
        <f t="array" ref="J196">IFERROR(INDEX(#REF!,MATCH($E196&amp;$F196,#REF!&amp;#REF!,0)),0)</f>
        <v>0</v>
      </c>
      <c r="K196" s="626">
        <f t="shared" si="144"/>
        <v>0</v>
      </c>
      <c r="L196" s="626">
        <f t="shared" si="145"/>
        <v>0</v>
      </c>
      <c r="M196" s="626">
        <f t="shared" si="146"/>
        <v>0</v>
      </c>
      <c r="N196" s="625">
        <f t="array" ref="N196">IFERROR(INDEX(#REF!,MATCH($E196&amp;$F196,#REF!&amp;#REF!,0)),0)</f>
        <v>0</v>
      </c>
      <c r="O196" s="626">
        <f t="shared" si="147"/>
        <v>0</v>
      </c>
      <c r="P196" s="626">
        <f t="shared" si="148"/>
        <v>0</v>
      </c>
      <c r="Q196" s="626">
        <f t="shared" si="149"/>
        <v>0</v>
      </c>
      <c r="R196" s="625">
        <f t="array" ref="R196">IFERROR(INDEX(#REF!,MATCH($E196&amp;$F196,#REF!&amp;#REF!,0)),0)</f>
        <v>0</v>
      </c>
      <c r="S196" s="626">
        <f t="shared" si="150"/>
        <v>0</v>
      </c>
      <c r="T196" s="626">
        <f t="shared" si="151"/>
        <v>0</v>
      </c>
      <c r="U196" s="626">
        <f t="shared" si="152"/>
        <v>0</v>
      </c>
      <c r="V196" s="625">
        <f t="array" ref="V196">IFERROR(INDEX(#REF!,MATCH($E196&amp;$F196,#REF!&amp;#REF!,0)),0)</f>
        <v>0</v>
      </c>
      <c r="W196" s="626">
        <f t="shared" si="153"/>
        <v>0</v>
      </c>
      <c r="X196" s="626">
        <f t="shared" si="154"/>
        <v>0</v>
      </c>
      <c r="Y196" s="626">
        <f t="shared" si="155"/>
        <v>0</v>
      </c>
      <c r="Z196" s="630"/>
      <c r="AA196" s="625">
        <f t="array" ref="AA196">IFERROR(INDEX(#REF!,MATCH($E196&amp;$F196,#REF!&amp;#REF!,0)),0)</f>
        <v>0</v>
      </c>
      <c r="AB196" s="625">
        <f t="array" ref="AB196">IFERROR(INDEX(#REF!,MATCH($E196&amp;$F196,#REF!&amp;#REF!,0)),0)</f>
        <v>0</v>
      </c>
      <c r="AC196" s="626">
        <f t="shared" si="156"/>
        <v>0</v>
      </c>
      <c r="AD196" s="626">
        <f t="shared" si="157"/>
        <v>0</v>
      </c>
      <c r="AE196" s="626">
        <f t="shared" si="158"/>
        <v>0</v>
      </c>
      <c r="AF196" s="625">
        <f t="array" ref="AF196">IFERROR(INDEX(#REF!,MATCH($E196&amp;$F196,#REF!&amp;#REF!,0)),0)</f>
        <v>0</v>
      </c>
      <c r="AG196" s="626">
        <f t="shared" si="159"/>
        <v>0</v>
      </c>
      <c r="AH196" s="626">
        <f t="shared" si="160"/>
        <v>0</v>
      </c>
      <c r="AI196" s="626">
        <f t="shared" si="161"/>
        <v>0</v>
      </c>
      <c r="AJ196" s="625">
        <f t="array" ref="AJ196">IFERROR(INDEX(#REF!,MATCH($E196&amp;$F196,#REF!&amp;#REF!,0)),0)</f>
        <v>0</v>
      </c>
      <c r="AK196" s="626">
        <f t="shared" si="162"/>
        <v>0</v>
      </c>
      <c r="AL196" s="626">
        <f t="shared" si="163"/>
        <v>0</v>
      </c>
      <c r="AM196" s="626">
        <f t="shared" si="164"/>
        <v>0</v>
      </c>
      <c r="AN196" s="625">
        <f t="array" ref="AN196">IFERROR(INDEX(#REF!,MATCH($E196&amp;$F196,#REF!&amp;#REF!,0)),0)</f>
        <v>0</v>
      </c>
      <c r="AO196" s="626">
        <f t="shared" si="165"/>
        <v>0</v>
      </c>
      <c r="AP196" s="626">
        <f t="shared" si="166"/>
        <v>0</v>
      </c>
      <c r="AQ196" s="626">
        <f t="shared" si="167"/>
        <v>0</v>
      </c>
      <c r="AR196" s="630"/>
      <c r="AS196" s="625">
        <f t="array" ref="AS196">IFERROR(INDEX(#REF!,MATCH($E196&amp;$F196,#REF!&amp;#REF!,0)),0)</f>
        <v>0</v>
      </c>
      <c r="AT196" s="625">
        <f t="array" ref="AT196">IFERROR(INDEX(#REF!,MATCH($E196&amp;$F196,#REF!&amp;#REF!,0)),0)</f>
        <v>0</v>
      </c>
      <c r="AU196" s="626">
        <f t="shared" si="168"/>
        <v>0</v>
      </c>
      <c r="AV196" s="626">
        <f t="shared" si="169"/>
        <v>0</v>
      </c>
      <c r="AW196" s="626">
        <f t="shared" si="170"/>
        <v>0</v>
      </c>
      <c r="AX196" s="625">
        <f t="array" ref="AX196">IFERROR(INDEX(#REF!,MATCH($E196&amp;$F196,#REF!&amp;#REF!,0)),0)</f>
        <v>0</v>
      </c>
      <c r="AY196" s="626">
        <f t="shared" si="171"/>
        <v>0</v>
      </c>
      <c r="AZ196" s="626">
        <f t="shared" si="172"/>
        <v>0</v>
      </c>
      <c r="BA196" s="626">
        <f t="shared" si="173"/>
        <v>0</v>
      </c>
      <c r="BB196" s="625">
        <f t="array" ref="BB196">IFERROR(INDEX(#REF!,MATCH($E196&amp;$F196,#REF!&amp;#REF!,0)),0)</f>
        <v>0</v>
      </c>
      <c r="BC196" s="626">
        <f t="shared" si="174"/>
        <v>0</v>
      </c>
      <c r="BD196" s="626">
        <f t="shared" si="175"/>
        <v>0</v>
      </c>
      <c r="BE196" s="626">
        <f t="shared" si="176"/>
        <v>0</v>
      </c>
      <c r="BF196" s="625">
        <f t="array" ref="BF196">IFERROR(INDEX(#REF!,MATCH($E196&amp;$F196,#REF!&amp;#REF!,0)),0)</f>
        <v>0</v>
      </c>
      <c r="BG196" s="626">
        <f t="shared" si="177"/>
        <v>0</v>
      </c>
      <c r="BH196" s="626">
        <f t="shared" si="178"/>
        <v>0</v>
      </c>
      <c r="BI196" s="626">
        <f t="shared" si="179"/>
        <v>0</v>
      </c>
      <c r="BJ196" s="630"/>
      <c r="BK196" s="625"/>
      <c r="BL196" s="625"/>
      <c r="BM196" s="625"/>
      <c r="BN196" s="625"/>
      <c r="BO196" s="625"/>
      <c r="BP196" s="625"/>
      <c r="BQ196" s="625"/>
      <c r="BR196" s="625"/>
    </row>
    <row r="197" spans="1:70">
      <c r="A197" s="29" t="s">
        <v>1317</v>
      </c>
      <c r="B197" s="29" t="s">
        <v>1744</v>
      </c>
      <c r="C197" s="619">
        <f>SETUP!$F$39</f>
        <v>0</v>
      </c>
      <c r="D197" s="25">
        <v>4.7</v>
      </c>
      <c r="E197" s="26" t="s">
        <v>442</v>
      </c>
      <c r="F197" s="26" t="s">
        <v>1402</v>
      </c>
      <c r="G197" s="625" t="str">
        <f t="array" ref="G197">IFERROR(INDEX(#REF!,MATCH($E197&amp;$F197,#REF!&amp;#REF!,0)),"")</f>
        <v/>
      </c>
      <c r="H197" s="625"/>
      <c r="I197" s="625">
        <f t="array" ref="I197">IFERROR(INDEX(#REF!,MATCH($E197&amp;$F197,#REF!&amp;#REF!,0)),0)</f>
        <v>0</v>
      </c>
      <c r="J197" s="625">
        <f t="array" ref="J197">IFERROR(INDEX(#REF!,MATCH($E197&amp;$F197,#REF!&amp;#REF!,0)),0)</f>
        <v>0</v>
      </c>
      <c r="K197" s="626">
        <f t="shared" si="144"/>
        <v>0</v>
      </c>
      <c r="L197" s="626">
        <f t="shared" si="145"/>
        <v>0</v>
      </c>
      <c r="M197" s="626">
        <f t="shared" si="146"/>
        <v>0</v>
      </c>
      <c r="N197" s="625">
        <f t="array" ref="N197">IFERROR(INDEX(#REF!,MATCH($E197&amp;$F197,#REF!&amp;#REF!,0)),0)</f>
        <v>0</v>
      </c>
      <c r="O197" s="626">
        <f t="shared" si="147"/>
        <v>0</v>
      </c>
      <c r="P197" s="626">
        <f t="shared" si="148"/>
        <v>0</v>
      </c>
      <c r="Q197" s="626">
        <f t="shared" si="149"/>
        <v>0</v>
      </c>
      <c r="R197" s="625">
        <f t="array" ref="R197">IFERROR(INDEX(#REF!,MATCH($E197&amp;$F197,#REF!&amp;#REF!,0)),0)</f>
        <v>0</v>
      </c>
      <c r="S197" s="626">
        <f t="shared" si="150"/>
        <v>0</v>
      </c>
      <c r="T197" s="626">
        <f t="shared" si="151"/>
        <v>0</v>
      </c>
      <c r="U197" s="626">
        <f t="shared" si="152"/>
        <v>0</v>
      </c>
      <c r="V197" s="625">
        <f t="array" ref="V197">IFERROR(INDEX(#REF!,MATCH($E197&amp;$F197,#REF!&amp;#REF!,0)),0)</f>
        <v>0</v>
      </c>
      <c r="W197" s="626">
        <f t="shared" si="153"/>
        <v>0</v>
      </c>
      <c r="X197" s="626">
        <f t="shared" si="154"/>
        <v>0</v>
      </c>
      <c r="Y197" s="626">
        <f t="shared" si="155"/>
        <v>0</v>
      </c>
      <c r="Z197" s="630"/>
      <c r="AA197" s="625">
        <f t="array" ref="AA197">IFERROR(INDEX(#REF!,MATCH($E197&amp;$F197,#REF!&amp;#REF!,0)),0)</f>
        <v>0</v>
      </c>
      <c r="AB197" s="625">
        <f t="array" ref="AB197">IFERROR(INDEX(#REF!,MATCH($E197&amp;$F197,#REF!&amp;#REF!,0)),0)</f>
        <v>0</v>
      </c>
      <c r="AC197" s="626">
        <f t="shared" si="156"/>
        <v>0</v>
      </c>
      <c r="AD197" s="626">
        <f t="shared" si="157"/>
        <v>0</v>
      </c>
      <c r="AE197" s="626">
        <f t="shared" si="158"/>
        <v>0</v>
      </c>
      <c r="AF197" s="625">
        <f t="array" ref="AF197">IFERROR(INDEX(#REF!,MATCH($E197&amp;$F197,#REF!&amp;#REF!,0)),0)</f>
        <v>0</v>
      </c>
      <c r="AG197" s="626">
        <f t="shared" si="159"/>
        <v>0</v>
      </c>
      <c r="AH197" s="626">
        <f t="shared" si="160"/>
        <v>0</v>
      </c>
      <c r="AI197" s="626">
        <f t="shared" si="161"/>
        <v>0</v>
      </c>
      <c r="AJ197" s="625">
        <f t="array" ref="AJ197">IFERROR(INDEX(#REF!,MATCH($E197&amp;$F197,#REF!&amp;#REF!,0)),0)</f>
        <v>0</v>
      </c>
      <c r="AK197" s="626">
        <f t="shared" si="162"/>
        <v>0</v>
      </c>
      <c r="AL197" s="626">
        <f t="shared" si="163"/>
        <v>0</v>
      </c>
      <c r="AM197" s="626">
        <f t="shared" si="164"/>
        <v>0</v>
      </c>
      <c r="AN197" s="625">
        <f t="array" ref="AN197">IFERROR(INDEX(#REF!,MATCH($E197&amp;$F197,#REF!&amp;#REF!,0)),0)</f>
        <v>0</v>
      </c>
      <c r="AO197" s="626">
        <f t="shared" si="165"/>
        <v>0</v>
      </c>
      <c r="AP197" s="626">
        <f t="shared" si="166"/>
        <v>0</v>
      </c>
      <c r="AQ197" s="626">
        <f t="shared" si="167"/>
        <v>0</v>
      </c>
      <c r="AR197" s="630"/>
      <c r="AS197" s="625">
        <f t="array" ref="AS197">IFERROR(INDEX(#REF!,MATCH($E197&amp;$F197,#REF!&amp;#REF!,0)),0)</f>
        <v>0</v>
      </c>
      <c r="AT197" s="625">
        <f t="array" ref="AT197">IFERROR(INDEX(#REF!,MATCH($E197&amp;$F197,#REF!&amp;#REF!,0)),0)</f>
        <v>0</v>
      </c>
      <c r="AU197" s="626">
        <f t="shared" si="168"/>
        <v>0</v>
      </c>
      <c r="AV197" s="626">
        <f t="shared" si="169"/>
        <v>0</v>
      </c>
      <c r="AW197" s="626">
        <f t="shared" si="170"/>
        <v>0</v>
      </c>
      <c r="AX197" s="625">
        <f t="array" ref="AX197">IFERROR(INDEX(#REF!,MATCH($E197&amp;$F197,#REF!&amp;#REF!,0)),0)</f>
        <v>0</v>
      </c>
      <c r="AY197" s="626">
        <f t="shared" si="171"/>
        <v>0</v>
      </c>
      <c r="AZ197" s="626">
        <f t="shared" si="172"/>
        <v>0</v>
      </c>
      <c r="BA197" s="626">
        <f t="shared" si="173"/>
        <v>0</v>
      </c>
      <c r="BB197" s="625">
        <f t="array" ref="BB197">IFERROR(INDEX(#REF!,MATCH($E197&amp;$F197,#REF!&amp;#REF!,0)),0)</f>
        <v>0</v>
      </c>
      <c r="BC197" s="626">
        <f t="shared" si="174"/>
        <v>0</v>
      </c>
      <c r="BD197" s="626">
        <f t="shared" si="175"/>
        <v>0</v>
      </c>
      <c r="BE197" s="626">
        <f t="shared" si="176"/>
        <v>0</v>
      </c>
      <c r="BF197" s="625">
        <f t="array" ref="BF197">IFERROR(INDEX(#REF!,MATCH($E197&amp;$F197,#REF!&amp;#REF!,0)),0)</f>
        <v>0</v>
      </c>
      <c r="BG197" s="626">
        <f t="shared" si="177"/>
        <v>0</v>
      </c>
      <c r="BH197" s="626">
        <f t="shared" si="178"/>
        <v>0</v>
      </c>
      <c r="BI197" s="626">
        <f t="shared" si="179"/>
        <v>0</v>
      </c>
      <c r="BJ197" s="630"/>
      <c r="BK197" s="625"/>
      <c r="BL197" s="625"/>
      <c r="BM197" s="625"/>
      <c r="BN197" s="625"/>
      <c r="BO197" s="625"/>
      <c r="BP197" s="625"/>
      <c r="BQ197" s="625"/>
      <c r="BR197" s="625"/>
    </row>
    <row r="198" spans="1:70">
      <c r="A198" s="29" t="s">
        <v>1317</v>
      </c>
      <c r="B198" s="29" t="s">
        <v>1744</v>
      </c>
      <c r="C198" s="619">
        <f>SETUP!$F$39</f>
        <v>0</v>
      </c>
      <c r="D198" s="25">
        <v>4.7</v>
      </c>
      <c r="E198" s="26" t="s">
        <v>442</v>
      </c>
      <c r="F198" s="26" t="s">
        <v>456</v>
      </c>
      <c r="G198" s="625" t="str">
        <f t="array" ref="G198">IFERROR(INDEX(#REF!,MATCH($E198&amp;$F198,#REF!&amp;#REF!,0)),"")</f>
        <v/>
      </c>
      <c r="H198" s="625"/>
      <c r="I198" s="625">
        <f t="array" ref="I198">IFERROR(INDEX(#REF!,MATCH($E198&amp;$F198,#REF!&amp;#REF!,0)),0)</f>
        <v>0</v>
      </c>
      <c r="J198" s="625">
        <f t="array" ref="J198">IFERROR(INDEX(#REF!,MATCH($E198&amp;$F198,#REF!&amp;#REF!,0)),0)</f>
        <v>0</v>
      </c>
      <c r="K198" s="626">
        <f t="shared" si="144"/>
        <v>0</v>
      </c>
      <c r="L198" s="626">
        <f t="shared" si="145"/>
        <v>0</v>
      </c>
      <c r="M198" s="626">
        <f t="shared" si="146"/>
        <v>0</v>
      </c>
      <c r="N198" s="625">
        <f t="array" ref="N198">IFERROR(INDEX(#REF!,MATCH($E198&amp;$F198,#REF!&amp;#REF!,0)),0)</f>
        <v>0</v>
      </c>
      <c r="O198" s="626">
        <f t="shared" si="147"/>
        <v>0</v>
      </c>
      <c r="P198" s="626">
        <f t="shared" si="148"/>
        <v>0</v>
      </c>
      <c r="Q198" s="626">
        <f t="shared" si="149"/>
        <v>0</v>
      </c>
      <c r="R198" s="625">
        <f t="array" ref="R198">IFERROR(INDEX(#REF!,MATCH($E198&amp;$F198,#REF!&amp;#REF!,0)),0)</f>
        <v>0</v>
      </c>
      <c r="S198" s="626">
        <f t="shared" si="150"/>
        <v>0</v>
      </c>
      <c r="T198" s="626">
        <f t="shared" si="151"/>
        <v>0</v>
      </c>
      <c r="U198" s="626">
        <f t="shared" si="152"/>
        <v>0</v>
      </c>
      <c r="V198" s="625">
        <f t="array" ref="V198">IFERROR(INDEX(#REF!,MATCH($E198&amp;$F198,#REF!&amp;#REF!,0)),0)</f>
        <v>0</v>
      </c>
      <c r="W198" s="626">
        <f t="shared" si="153"/>
        <v>0</v>
      </c>
      <c r="X198" s="626">
        <f t="shared" si="154"/>
        <v>0</v>
      </c>
      <c r="Y198" s="626">
        <f t="shared" si="155"/>
        <v>0</v>
      </c>
      <c r="Z198" s="630"/>
      <c r="AA198" s="625">
        <f t="array" ref="AA198">IFERROR(INDEX(#REF!,MATCH($E198&amp;$F198,#REF!&amp;#REF!,0)),0)</f>
        <v>0</v>
      </c>
      <c r="AB198" s="625">
        <f t="array" ref="AB198">IFERROR(INDEX(#REF!,MATCH($E198&amp;$F198,#REF!&amp;#REF!,0)),0)</f>
        <v>0</v>
      </c>
      <c r="AC198" s="626">
        <f t="shared" si="156"/>
        <v>0</v>
      </c>
      <c r="AD198" s="626">
        <f t="shared" si="157"/>
        <v>0</v>
      </c>
      <c r="AE198" s="626">
        <f t="shared" si="158"/>
        <v>0</v>
      </c>
      <c r="AF198" s="625">
        <f t="array" ref="AF198">IFERROR(INDEX(#REF!,MATCH($E198&amp;$F198,#REF!&amp;#REF!,0)),0)</f>
        <v>0</v>
      </c>
      <c r="AG198" s="626">
        <f t="shared" si="159"/>
        <v>0</v>
      </c>
      <c r="AH198" s="626">
        <f t="shared" si="160"/>
        <v>0</v>
      </c>
      <c r="AI198" s="626">
        <f t="shared" si="161"/>
        <v>0</v>
      </c>
      <c r="AJ198" s="625">
        <f t="array" ref="AJ198">IFERROR(INDEX(#REF!,MATCH($E198&amp;$F198,#REF!&amp;#REF!,0)),0)</f>
        <v>0</v>
      </c>
      <c r="AK198" s="626">
        <f t="shared" si="162"/>
        <v>0</v>
      </c>
      <c r="AL198" s="626">
        <f t="shared" si="163"/>
        <v>0</v>
      </c>
      <c r="AM198" s="626">
        <f t="shared" si="164"/>
        <v>0</v>
      </c>
      <c r="AN198" s="625">
        <f t="array" ref="AN198">IFERROR(INDEX(#REF!,MATCH($E198&amp;$F198,#REF!&amp;#REF!,0)),0)</f>
        <v>0</v>
      </c>
      <c r="AO198" s="626">
        <f t="shared" si="165"/>
        <v>0</v>
      </c>
      <c r="AP198" s="626">
        <f t="shared" si="166"/>
        <v>0</v>
      </c>
      <c r="AQ198" s="626">
        <f t="shared" si="167"/>
        <v>0</v>
      </c>
      <c r="AR198" s="630"/>
      <c r="AS198" s="625">
        <f t="array" ref="AS198">IFERROR(INDEX(#REF!,MATCH($E198&amp;$F198,#REF!&amp;#REF!,0)),0)</f>
        <v>0</v>
      </c>
      <c r="AT198" s="625">
        <f t="array" ref="AT198">IFERROR(INDEX(#REF!,MATCH($E198&amp;$F198,#REF!&amp;#REF!,0)),0)</f>
        <v>0</v>
      </c>
      <c r="AU198" s="626">
        <f t="shared" si="168"/>
        <v>0</v>
      </c>
      <c r="AV198" s="626">
        <f t="shared" si="169"/>
        <v>0</v>
      </c>
      <c r="AW198" s="626">
        <f t="shared" si="170"/>
        <v>0</v>
      </c>
      <c r="AX198" s="625">
        <f t="array" ref="AX198">IFERROR(INDEX(#REF!,MATCH($E198&amp;$F198,#REF!&amp;#REF!,0)),0)</f>
        <v>0</v>
      </c>
      <c r="AY198" s="626">
        <f t="shared" si="171"/>
        <v>0</v>
      </c>
      <c r="AZ198" s="626">
        <f t="shared" si="172"/>
        <v>0</v>
      </c>
      <c r="BA198" s="626">
        <f t="shared" si="173"/>
        <v>0</v>
      </c>
      <c r="BB198" s="625">
        <f t="array" ref="BB198">IFERROR(INDEX(#REF!,MATCH($E198&amp;$F198,#REF!&amp;#REF!,0)),0)</f>
        <v>0</v>
      </c>
      <c r="BC198" s="626">
        <f t="shared" si="174"/>
        <v>0</v>
      </c>
      <c r="BD198" s="626">
        <f t="shared" si="175"/>
        <v>0</v>
      </c>
      <c r="BE198" s="626">
        <f t="shared" si="176"/>
        <v>0</v>
      </c>
      <c r="BF198" s="625">
        <f t="array" ref="BF198">IFERROR(INDEX(#REF!,MATCH($E198&amp;$F198,#REF!&amp;#REF!,0)),0)</f>
        <v>0</v>
      </c>
      <c r="BG198" s="626">
        <f t="shared" si="177"/>
        <v>0</v>
      </c>
      <c r="BH198" s="626">
        <f t="shared" si="178"/>
        <v>0</v>
      </c>
      <c r="BI198" s="626">
        <f t="shared" si="179"/>
        <v>0</v>
      </c>
      <c r="BJ198" s="630"/>
      <c r="BK198" s="625"/>
      <c r="BL198" s="625"/>
      <c r="BM198" s="625"/>
      <c r="BN198" s="625"/>
      <c r="BO198" s="625"/>
      <c r="BP198" s="625"/>
      <c r="BQ198" s="625"/>
      <c r="BR198" s="625"/>
    </row>
    <row r="199" spans="1:70">
      <c r="A199" s="29" t="s">
        <v>1317</v>
      </c>
      <c r="B199" s="29" t="s">
        <v>1744</v>
      </c>
      <c r="C199" s="619">
        <f>SETUP!$F$39</f>
        <v>0</v>
      </c>
      <c r="D199" s="25">
        <v>4.7</v>
      </c>
      <c r="E199" s="26" t="s">
        <v>442</v>
      </c>
      <c r="F199" s="26" t="s">
        <v>457</v>
      </c>
      <c r="G199" s="625" t="str">
        <f t="array" ref="G199">IFERROR(INDEX(#REF!,MATCH($E199&amp;$F199,#REF!&amp;#REF!,0)),"")</f>
        <v/>
      </c>
      <c r="H199" s="625"/>
      <c r="I199" s="625">
        <f t="array" ref="I199">IFERROR(INDEX(#REF!,MATCH($E199&amp;$F199,#REF!&amp;#REF!,0)),0)</f>
        <v>0</v>
      </c>
      <c r="J199" s="625">
        <f t="array" ref="J199">IFERROR(INDEX(#REF!,MATCH($E199&amp;$F199,#REF!&amp;#REF!,0)),0)</f>
        <v>0</v>
      </c>
      <c r="K199" s="626">
        <f t="shared" si="144"/>
        <v>0</v>
      </c>
      <c r="L199" s="626">
        <f t="shared" si="145"/>
        <v>0</v>
      </c>
      <c r="M199" s="626">
        <f t="shared" si="146"/>
        <v>0</v>
      </c>
      <c r="N199" s="625">
        <f t="array" ref="N199">IFERROR(INDEX(#REF!,MATCH($E199&amp;$F199,#REF!&amp;#REF!,0)),0)</f>
        <v>0</v>
      </c>
      <c r="O199" s="626">
        <f t="shared" si="147"/>
        <v>0</v>
      </c>
      <c r="P199" s="626">
        <f t="shared" si="148"/>
        <v>0</v>
      </c>
      <c r="Q199" s="626">
        <f t="shared" si="149"/>
        <v>0</v>
      </c>
      <c r="R199" s="625">
        <f t="array" ref="R199">IFERROR(INDEX(#REF!,MATCH($E199&amp;$F199,#REF!&amp;#REF!,0)),0)</f>
        <v>0</v>
      </c>
      <c r="S199" s="626">
        <f t="shared" si="150"/>
        <v>0</v>
      </c>
      <c r="T199" s="626">
        <f t="shared" si="151"/>
        <v>0</v>
      </c>
      <c r="U199" s="626">
        <f t="shared" si="152"/>
        <v>0</v>
      </c>
      <c r="V199" s="625">
        <f t="array" ref="V199">IFERROR(INDEX(#REF!,MATCH($E199&amp;$F199,#REF!&amp;#REF!,0)),0)</f>
        <v>0</v>
      </c>
      <c r="W199" s="626">
        <f t="shared" si="153"/>
        <v>0</v>
      </c>
      <c r="X199" s="626">
        <f t="shared" si="154"/>
        <v>0</v>
      </c>
      <c r="Y199" s="626">
        <f t="shared" si="155"/>
        <v>0</v>
      </c>
      <c r="Z199" s="630"/>
      <c r="AA199" s="625">
        <f t="array" ref="AA199">IFERROR(INDEX(#REF!,MATCH($E199&amp;$F199,#REF!&amp;#REF!,0)),0)</f>
        <v>0</v>
      </c>
      <c r="AB199" s="625">
        <f t="array" ref="AB199">IFERROR(INDEX(#REF!,MATCH($E199&amp;$F199,#REF!&amp;#REF!,0)),0)</f>
        <v>0</v>
      </c>
      <c r="AC199" s="626">
        <f t="shared" si="156"/>
        <v>0</v>
      </c>
      <c r="AD199" s="626">
        <f t="shared" si="157"/>
        <v>0</v>
      </c>
      <c r="AE199" s="626">
        <f t="shared" si="158"/>
        <v>0</v>
      </c>
      <c r="AF199" s="625">
        <f t="array" ref="AF199">IFERROR(INDEX(#REF!,MATCH($E199&amp;$F199,#REF!&amp;#REF!,0)),0)</f>
        <v>0</v>
      </c>
      <c r="AG199" s="626">
        <f t="shared" si="159"/>
        <v>0</v>
      </c>
      <c r="AH199" s="626">
        <f t="shared" si="160"/>
        <v>0</v>
      </c>
      <c r="AI199" s="626">
        <f t="shared" si="161"/>
        <v>0</v>
      </c>
      <c r="AJ199" s="625">
        <f t="array" ref="AJ199">IFERROR(INDEX(#REF!,MATCH($E199&amp;$F199,#REF!&amp;#REF!,0)),0)</f>
        <v>0</v>
      </c>
      <c r="AK199" s="626">
        <f t="shared" si="162"/>
        <v>0</v>
      </c>
      <c r="AL199" s="626">
        <f t="shared" si="163"/>
        <v>0</v>
      </c>
      <c r="AM199" s="626">
        <f t="shared" si="164"/>
        <v>0</v>
      </c>
      <c r="AN199" s="625">
        <f t="array" ref="AN199">IFERROR(INDEX(#REF!,MATCH($E199&amp;$F199,#REF!&amp;#REF!,0)),0)</f>
        <v>0</v>
      </c>
      <c r="AO199" s="626">
        <f t="shared" si="165"/>
        <v>0</v>
      </c>
      <c r="AP199" s="626">
        <f t="shared" si="166"/>
        <v>0</v>
      </c>
      <c r="AQ199" s="626">
        <f t="shared" si="167"/>
        <v>0</v>
      </c>
      <c r="AR199" s="630"/>
      <c r="AS199" s="625">
        <f t="array" ref="AS199">IFERROR(INDEX(#REF!,MATCH($E199&amp;$F199,#REF!&amp;#REF!,0)),0)</f>
        <v>0</v>
      </c>
      <c r="AT199" s="625">
        <f t="array" ref="AT199">IFERROR(INDEX(#REF!,MATCH($E199&amp;$F199,#REF!&amp;#REF!,0)),0)</f>
        <v>0</v>
      </c>
      <c r="AU199" s="626">
        <f t="shared" si="168"/>
        <v>0</v>
      </c>
      <c r="AV199" s="626">
        <f t="shared" si="169"/>
        <v>0</v>
      </c>
      <c r="AW199" s="626">
        <f t="shared" si="170"/>
        <v>0</v>
      </c>
      <c r="AX199" s="625">
        <f t="array" ref="AX199">IFERROR(INDEX(#REF!,MATCH($E199&amp;$F199,#REF!&amp;#REF!,0)),0)</f>
        <v>0</v>
      </c>
      <c r="AY199" s="626">
        <f t="shared" si="171"/>
        <v>0</v>
      </c>
      <c r="AZ199" s="626">
        <f t="shared" si="172"/>
        <v>0</v>
      </c>
      <c r="BA199" s="626">
        <f t="shared" si="173"/>
        <v>0</v>
      </c>
      <c r="BB199" s="625">
        <f t="array" ref="BB199">IFERROR(INDEX(#REF!,MATCH($E199&amp;$F199,#REF!&amp;#REF!,0)),0)</f>
        <v>0</v>
      </c>
      <c r="BC199" s="626">
        <f t="shared" si="174"/>
        <v>0</v>
      </c>
      <c r="BD199" s="626">
        <f t="shared" si="175"/>
        <v>0</v>
      </c>
      <c r="BE199" s="626">
        <f t="shared" si="176"/>
        <v>0</v>
      </c>
      <c r="BF199" s="625">
        <f t="array" ref="BF199">IFERROR(INDEX(#REF!,MATCH($E199&amp;$F199,#REF!&amp;#REF!,0)),0)</f>
        <v>0</v>
      </c>
      <c r="BG199" s="626">
        <f t="shared" si="177"/>
        <v>0</v>
      </c>
      <c r="BH199" s="626">
        <f t="shared" si="178"/>
        <v>0</v>
      </c>
      <c r="BI199" s="626">
        <f t="shared" si="179"/>
        <v>0</v>
      </c>
      <c r="BJ199" s="630"/>
      <c r="BK199" s="625"/>
      <c r="BL199" s="625"/>
      <c r="BM199" s="625"/>
      <c r="BN199" s="625"/>
      <c r="BO199" s="625"/>
      <c r="BP199" s="625"/>
      <c r="BQ199" s="625"/>
      <c r="BR199" s="625"/>
    </row>
    <row r="200" spans="1:70">
      <c r="A200" s="29" t="s">
        <v>1317</v>
      </c>
      <c r="B200" s="29" t="s">
        <v>1744</v>
      </c>
      <c r="C200" s="619">
        <f>SETUP!$F$39</f>
        <v>0</v>
      </c>
      <c r="D200" s="25">
        <v>4.7</v>
      </c>
      <c r="E200" s="26" t="s">
        <v>442</v>
      </c>
      <c r="F200" s="26" t="s">
        <v>458</v>
      </c>
      <c r="G200" s="625" t="str">
        <f t="array" ref="G200">IFERROR(INDEX(#REF!,MATCH($E200&amp;$F200,#REF!&amp;#REF!,0)),"")</f>
        <v/>
      </c>
      <c r="H200" s="625"/>
      <c r="I200" s="625">
        <f t="array" ref="I200">IFERROR(INDEX(#REF!,MATCH($E200&amp;$F200,#REF!&amp;#REF!,0)),0)</f>
        <v>0</v>
      </c>
      <c r="J200" s="625">
        <f t="array" ref="J200">IFERROR(INDEX(#REF!,MATCH($E200&amp;$F200,#REF!&amp;#REF!,0)),0)</f>
        <v>0</v>
      </c>
      <c r="K200" s="626">
        <f t="shared" si="144"/>
        <v>0</v>
      </c>
      <c r="L200" s="626">
        <f t="shared" si="145"/>
        <v>0</v>
      </c>
      <c r="M200" s="626">
        <f t="shared" si="146"/>
        <v>0</v>
      </c>
      <c r="N200" s="625">
        <f t="array" ref="N200">IFERROR(INDEX(#REF!,MATCH($E200&amp;$F200,#REF!&amp;#REF!,0)),0)</f>
        <v>0</v>
      </c>
      <c r="O200" s="626">
        <f t="shared" si="147"/>
        <v>0</v>
      </c>
      <c r="P200" s="626">
        <f t="shared" si="148"/>
        <v>0</v>
      </c>
      <c r="Q200" s="626">
        <f t="shared" si="149"/>
        <v>0</v>
      </c>
      <c r="R200" s="625">
        <f t="array" ref="R200">IFERROR(INDEX(#REF!,MATCH($E200&amp;$F200,#REF!&amp;#REF!,0)),0)</f>
        <v>0</v>
      </c>
      <c r="S200" s="626">
        <f t="shared" si="150"/>
        <v>0</v>
      </c>
      <c r="T200" s="626">
        <f t="shared" si="151"/>
        <v>0</v>
      </c>
      <c r="U200" s="626">
        <f t="shared" si="152"/>
        <v>0</v>
      </c>
      <c r="V200" s="625">
        <f t="array" ref="V200">IFERROR(INDEX(#REF!,MATCH($E200&amp;$F200,#REF!&amp;#REF!,0)),0)</f>
        <v>0</v>
      </c>
      <c r="W200" s="626">
        <f t="shared" si="153"/>
        <v>0</v>
      </c>
      <c r="X200" s="626">
        <f t="shared" si="154"/>
        <v>0</v>
      </c>
      <c r="Y200" s="626">
        <f t="shared" si="155"/>
        <v>0</v>
      </c>
      <c r="Z200" s="630"/>
      <c r="AA200" s="625">
        <f t="array" ref="AA200">IFERROR(INDEX(#REF!,MATCH($E200&amp;$F200,#REF!&amp;#REF!,0)),0)</f>
        <v>0</v>
      </c>
      <c r="AB200" s="625">
        <f t="array" ref="AB200">IFERROR(INDEX(#REF!,MATCH($E200&amp;$F200,#REF!&amp;#REF!,0)),0)</f>
        <v>0</v>
      </c>
      <c r="AC200" s="626">
        <f t="shared" si="156"/>
        <v>0</v>
      </c>
      <c r="AD200" s="626">
        <f t="shared" si="157"/>
        <v>0</v>
      </c>
      <c r="AE200" s="626">
        <f t="shared" si="158"/>
        <v>0</v>
      </c>
      <c r="AF200" s="625">
        <f t="array" ref="AF200">IFERROR(INDEX(#REF!,MATCH($E200&amp;$F200,#REF!&amp;#REF!,0)),0)</f>
        <v>0</v>
      </c>
      <c r="AG200" s="626">
        <f t="shared" si="159"/>
        <v>0</v>
      </c>
      <c r="AH200" s="626">
        <f t="shared" si="160"/>
        <v>0</v>
      </c>
      <c r="AI200" s="626">
        <f t="shared" si="161"/>
        <v>0</v>
      </c>
      <c r="AJ200" s="625">
        <f t="array" ref="AJ200">IFERROR(INDEX(#REF!,MATCH($E200&amp;$F200,#REF!&amp;#REF!,0)),0)</f>
        <v>0</v>
      </c>
      <c r="AK200" s="626">
        <f t="shared" si="162"/>
        <v>0</v>
      </c>
      <c r="AL200" s="626">
        <f t="shared" si="163"/>
        <v>0</v>
      </c>
      <c r="AM200" s="626">
        <f t="shared" si="164"/>
        <v>0</v>
      </c>
      <c r="AN200" s="625">
        <f t="array" ref="AN200">IFERROR(INDEX(#REF!,MATCH($E200&amp;$F200,#REF!&amp;#REF!,0)),0)</f>
        <v>0</v>
      </c>
      <c r="AO200" s="626">
        <f t="shared" si="165"/>
        <v>0</v>
      </c>
      <c r="AP200" s="626">
        <f t="shared" si="166"/>
        <v>0</v>
      </c>
      <c r="AQ200" s="626">
        <f t="shared" si="167"/>
        <v>0</v>
      </c>
      <c r="AR200" s="630"/>
      <c r="AS200" s="625">
        <f t="array" ref="AS200">IFERROR(INDEX(#REF!,MATCH($E200&amp;$F200,#REF!&amp;#REF!,0)),0)</f>
        <v>0</v>
      </c>
      <c r="AT200" s="625">
        <f t="array" ref="AT200">IFERROR(INDEX(#REF!,MATCH($E200&amp;$F200,#REF!&amp;#REF!,0)),0)</f>
        <v>0</v>
      </c>
      <c r="AU200" s="626">
        <f t="shared" si="168"/>
        <v>0</v>
      </c>
      <c r="AV200" s="626">
        <f t="shared" si="169"/>
        <v>0</v>
      </c>
      <c r="AW200" s="626">
        <f t="shared" si="170"/>
        <v>0</v>
      </c>
      <c r="AX200" s="625">
        <f t="array" ref="AX200">IFERROR(INDEX(#REF!,MATCH($E200&amp;$F200,#REF!&amp;#REF!,0)),0)</f>
        <v>0</v>
      </c>
      <c r="AY200" s="626">
        <f t="shared" si="171"/>
        <v>0</v>
      </c>
      <c r="AZ200" s="626">
        <f t="shared" si="172"/>
        <v>0</v>
      </c>
      <c r="BA200" s="626">
        <f t="shared" si="173"/>
        <v>0</v>
      </c>
      <c r="BB200" s="625">
        <f t="array" ref="BB200">IFERROR(INDEX(#REF!,MATCH($E200&amp;$F200,#REF!&amp;#REF!,0)),0)</f>
        <v>0</v>
      </c>
      <c r="BC200" s="626">
        <f t="shared" si="174"/>
        <v>0</v>
      </c>
      <c r="BD200" s="626">
        <f t="shared" si="175"/>
        <v>0</v>
      </c>
      <c r="BE200" s="626">
        <f t="shared" si="176"/>
        <v>0</v>
      </c>
      <c r="BF200" s="625">
        <f t="array" ref="BF200">IFERROR(INDEX(#REF!,MATCH($E200&amp;$F200,#REF!&amp;#REF!,0)),0)</f>
        <v>0</v>
      </c>
      <c r="BG200" s="626">
        <f t="shared" si="177"/>
        <v>0</v>
      </c>
      <c r="BH200" s="626">
        <f t="shared" si="178"/>
        <v>0</v>
      </c>
      <c r="BI200" s="626">
        <f t="shared" si="179"/>
        <v>0</v>
      </c>
      <c r="BJ200" s="630"/>
      <c r="BK200" s="625"/>
      <c r="BL200" s="625"/>
      <c r="BM200" s="625"/>
      <c r="BN200" s="625"/>
      <c r="BO200" s="625"/>
      <c r="BP200" s="625"/>
      <c r="BQ200" s="625"/>
      <c r="BR200" s="625"/>
    </row>
    <row r="201" spans="1:70">
      <c r="A201" s="29" t="s">
        <v>1317</v>
      </c>
      <c r="B201" s="29" t="s">
        <v>1744</v>
      </c>
      <c r="C201" s="619">
        <f>SETUP!$F$39</f>
        <v>0</v>
      </c>
      <c r="D201" s="25">
        <v>4.7</v>
      </c>
      <c r="E201" s="26" t="s">
        <v>442</v>
      </c>
      <c r="F201" s="26" t="s">
        <v>455</v>
      </c>
      <c r="G201" s="625" t="str">
        <f t="array" ref="G201">IFERROR(INDEX(#REF!,MATCH($E201&amp;$F201,#REF!&amp;#REF!,0)),"")</f>
        <v/>
      </c>
      <c r="H201" s="625"/>
      <c r="I201" s="625">
        <f t="array" ref="I201">IFERROR(INDEX(#REF!,MATCH($E201&amp;$F201,#REF!&amp;#REF!,0)),0)</f>
        <v>0</v>
      </c>
      <c r="J201" s="625">
        <f t="array" ref="J201">IFERROR(INDEX(#REF!,MATCH($E201&amp;$F201,#REF!&amp;#REF!,0)),0)</f>
        <v>0</v>
      </c>
      <c r="K201" s="626">
        <f t="shared" si="144"/>
        <v>0</v>
      </c>
      <c r="L201" s="626">
        <f t="shared" si="145"/>
        <v>0</v>
      </c>
      <c r="M201" s="626">
        <f t="shared" si="146"/>
        <v>0</v>
      </c>
      <c r="N201" s="625">
        <f t="array" ref="N201">IFERROR(INDEX(#REF!,MATCH($E201&amp;$F201,#REF!&amp;#REF!,0)),0)</f>
        <v>0</v>
      </c>
      <c r="O201" s="626">
        <f t="shared" si="147"/>
        <v>0</v>
      </c>
      <c r="P201" s="626">
        <f t="shared" si="148"/>
        <v>0</v>
      </c>
      <c r="Q201" s="626">
        <f t="shared" si="149"/>
        <v>0</v>
      </c>
      <c r="R201" s="625">
        <f t="array" ref="R201">IFERROR(INDEX(#REF!,MATCH($E201&amp;$F201,#REF!&amp;#REF!,0)),0)</f>
        <v>0</v>
      </c>
      <c r="S201" s="626">
        <f t="shared" si="150"/>
        <v>0</v>
      </c>
      <c r="T201" s="626">
        <f t="shared" si="151"/>
        <v>0</v>
      </c>
      <c r="U201" s="626">
        <f t="shared" si="152"/>
        <v>0</v>
      </c>
      <c r="V201" s="625">
        <f t="array" ref="V201">IFERROR(INDEX(#REF!,MATCH($E201&amp;$F201,#REF!&amp;#REF!,0)),0)</f>
        <v>0</v>
      </c>
      <c r="W201" s="626">
        <f t="shared" si="153"/>
        <v>0</v>
      </c>
      <c r="X201" s="626">
        <f t="shared" si="154"/>
        <v>0</v>
      </c>
      <c r="Y201" s="626">
        <f t="shared" si="155"/>
        <v>0</v>
      </c>
      <c r="Z201" s="630"/>
      <c r="AA201" s="625">
        <f t="array" ref="AA201">IFERROR(INDEX(#REF!,MATCH($E201&amp;$F201,#REF!&amp;#REF!,0)),0)</f>
        <v>0</v>
      </c>
      <c r="AB201" s="625">
        <f t="array" ref="AB201">IFERROR(INDEX(#REF!,MATCH($E201&amp;$F201,#REF!&amp;#REF!,0)),0)</f>
        <v>0</v>
      </c>
      <c r="AC201" s="626">
        <f t="shared" si="156"/>
        <v>0</v>
      </c>
      <c r="AD201" s="626">
        <f t="shared" si="157"/>
        <v>0</v>
      </c>
      <c r="AE201" s="626">
        <f t="shared" si="158"/>
        <v>0</v>
      </c>
      <c r="AF201" s="625">
        <f t="array" ref="AF201">IFERROR(INDEX(#REF!,MATCH($E201&amp;$F201,#REF!&amp;#REF!,0)),0)</f>
        <v>0</v>
      </c>
      <c r="AG201" s="626">
        <f t="shared" si="159"/>
        <v>0</v>
      </c>
      <c r="AH201" s="626">
        <f t="shared" si="160"/>
        <v>0</v>
      </c>
      <c r="AI201" s="626">
        <f t="shared" si="161"/>
        <v>0</v>
      </c>
      <c r="AJ201" s="625">
        <f t="array" ref="AJ201">IFERROR(INDEX(#REF!,MATCH($E201&amp;$F201,#REF!&amp;#REF!,0)),0)</f>
        <v>0</v>
      </c>
      <c r="AK201" s="626">
        <f t="shared" si="162"/>
        <v>0</v>
      </c>
      <c r="AL201" s="626">
        <f t="shared" si="163"/>
        <v>0</v>
      </c>
      <c r="AM201" s="626">
        <f t="shared" si="164"/>
        <v>0</v>
      </c>
      <c r="AN201" s="625">
        <f t="array" ref="AN201">IFERROR(INDEX(#REF!,MATCH($E201&amp;$F201,#REF!&amp;#REF!,0)),0)</f>
        <v>0</v>
      </c>
      <c r="AO201" s="626">
        <f t="shared" si="165"/>
        <v>0</v>
      </c>
      <c r="AP201" s="626">
        <f t="shared" si="166"/>
        <v>0</v>
      </c>
      <c r="AQ201" s="626">
        <f t="shared" si="167"/>
        <v>0</v>
      </c>
      <c r="AR201" s="630"/>
      <c r="AS201" s="625">
        <f t="array" ref="AS201">IFERROR(INDEX(#REF!,MATCH($E201&amp;$F201,#REF!&amp;#REF!,0)),0)</f>
        <v>0</v>
      </c>
      <c r="AT201" s="625">
        <f t="array" ref="AT201">IFERROR(INDEX(#REF!,MATCH($E201&amp;$F201,#REF!&amp;#REF!,0)),0)</f>
        <v>0</v>
      </c>
      <c r="AU201" s="626">
        <f t="shared" si="168"/>
        <v>0</v>
      </c>
      <c r="AV201" s="626">
        <f t="shared" si="169"/>
        <v>0</v>
      </c>
      <c r="AW201" s="626">
        <f t="shared" si="170"/>
        <v>0</v>
      </c>
      <c r="AX201" s="625">
        <f t="array" ref="AX201">IFERROR(INDEX(#REF!,MATCH($E201&amp;$F201,#REF!&amp;#REF!,0)),0)</f>
        <v>0</v>
      </c>
      <c r="AY201" s="626">
        <f t="shared" si="171"/>
        <v>0</v>
      </c>
      <c r="AZ201" s="626">
        <f t="shared" si="172"/>
        <v>0</v>
      </c>
      <c r="BA201" s="626">
        <f t="shared" si="173"/>
        <v>0</v>
      </c>
      <c r="BB201" s="625">
        <f t="array" ref="BB201">IFERROR(INDEX(#REF!,MATCH($E201&amp;$F201,#REF!&amp;#REF!,0)),0)</f>
        <v>0</v>
      </c>
      <c r="BC201" s="626">
        <f t="shared" si="174"/>
        <v>0</v>
      </c>
      <c r="BD201" s="626">
        <f t="shared" si="175"/>
        <v>0</v>
      </c>
      <c r="BE201" s="626">
        <f t="shared" si="176"/>
        <v>0</v>
      </c>
      <c r="BF201" s="625">
        <f t="array" ref="BF201">IFERROR(INDEX(#REF!,MATCH($E201&amp;$F201,#REF!&amp;#REF!,0)),0)</f>
        <v>0</v>
      </c>
      <c r="BG201" s="626">
        <f t="shared" si="177"/>
        <v>0</v>
      </c>
      <c r="BH201" s="626">
        <f t="shared" si="178"/>
        <v>0</v>
      </c>
      <c r="BI201" s="626">
        <f t="shared" si="179"/>
        <v>0</v>
      </c>
      <c r="BJ201" s="630"/>
      <c r="BK201" s="625"/>
      <c r="BL201" s="625"/>
      <c r="BM201" s="625"/>
      <c r="BN201" s="625"/>
      <c r="BO201" s="625"/>
      <c r="BP201" s="625"/>
      <c r="BQ201" s="625"/>
      <c r="BR201" s="625"/>
    </row>
    <row r="203" spans="1:70">
      <c r="A203" s="2566" t="s">
        <v>1835</v>
      </c>
      <c r="B203" s="2566"/>
      <c r="C203" s="2566"/>
      <c r="D203" s="2566"/>
      <c r="E203" s="2566"/>
      <c r="F203" s="2566"/>
      <c r="G203" s="628"/>
      <c r="H203" s="628"/>
      <c r="I203" s="628"/>
      <c r="J203" s="628"/>
      <c r="K203" s="628"/>
      <c r="L203" s="628"/>
      <c r="M203" s="628"/>
      <c r="N203" s="628"/>
      <c r="O203" s="628"/>
      <c r="P203" s="628"/>
      <c r="Q203" s="628"/>
      <c r="R203" s="628"/>
      <c r="S203" s="628"/>
      <c r="T203" s="628"/>
      <c r="U203" s="628"/>
      <c r="V203" s="628"/>
      <c r="W203" s="628"/>
      <c r="X203" s="628"/>
      <c r="Y203" s="628"/>
      <c r="Z203" s="628"/>
      <c r="AA203" s="628"/>
      <c r="AB203" s="628"/>
      <c r="AC203" s="628"/>
      <c r="AD203" s="628"/>
      <c r="AE203" s="628"/>
      <c r="AF203" s="628"/>
      <c r="AG203" s="628"/>
      <c r="AH203" s="628"/>
      <c r="AI203" s="628"/>
      <c r="AJ203" s="628"/>
      <c r="AK203" s="628"/>
      <c r="AL203" s="628"/>
      <c r="AM203" s="628"/>
      <c r="AN203" s="628"/>
      <c r="AO203" s="628"/>
      <c r="AP203" s="628"/>
      <c r="AQ203" s="628"/>
      <c r="AR203" s="628"/>
      <c r="AS203" s="628"/>
      <c r="AT203" s="628"/>
      <c r="AU203" s="628"/>
      <c r="AV203" s="628"/>
      <c r="AW203" s="628"/>
      <c r="AX203" s="628"/>
      <c r="AY203" s="628"/>
      <c r="AZ203" s="628"/>
      <c r="BA203" s="628"/>
      <c r="BB203" s="628"/>
      <c r="BC203" s="628"/>
      <c r="BD203" s="628"/>
      <c r="BE203" s="628"/>
      <c r="BF203" s="628"/>
      <c r="BG203" s="628"/>
      <c r="BH203" s="628"/>
      <c r="BI203" s="628"/>
      <c r="BJ203" s="628"/>
      <c r="BK203" s="628"/>
      <c r="BL203" s="628"/>
      <c r="BM203" s="628"/>
      <c r="BN203" s="628"/>
      <c r="BO203" s="628"/>
      <c r="BP203" s="628"/>
      <c r="BQ203" s="628"/>
      <c r="BR203" s="628"/>
    </row>
    <row r="204" spans="1:70">
      <c r="A204" s="24" t="s">
        <v>1545</v>
      </c>
      <c r="B204" s="24" t="s">
        <v>203</v>
      </c>
      <c r="C204" s="722" t="s">
        <v>459</v>
      </c>
      <c r="D204" s="24" t="s">
        <v>460</v>
      </c>
      <c r="E204" s="24" t="s">
        <v>461</v>
      </c>
      <c r="F204" s="24" t="s">
        <v>214</v>
      </c>
      <c r="G204" s="672" t="s">
        <v>462</v>
      </c>
      <c r="H204" s="672" t="s">
        <v>49</v>
      </c>
      <c r="I204" s="672" t="s">
        <v>463</v>
      </c>
      <c r="J204" s="672" t="s">
        <v>464</v>
      </c>
      <c r="K204" s="672" t="s">
        <v>465</v>
      </c>
      <c r="L204" s="723" t="s">
        <v>466</v>
      </c>
      <c r="M204" s="723" t="s">
        <v>467</v>
      </c>
      <c r="N204" s="672" t="s">
        <v>468</v>
      </c>
      <c r="O204" s="672" t="s">
        <v>469</v>
      </c>
      <c r="P204" s="723" t="s">
        <v>470</v>
      </c>
      <c r="Q204" s="723" t="s">
        <v>471</v>
      </c>
      <c r="R204" s="672" t="s">
        <v>472</v>
      </c>
      <c r="S204" s="672" t="s">
        <v>473</v>
      </c>
      <c r="T204" s="723" t="s">
        <v>474</v>
      </c>
      <c r="U204" s="723" t="s">
        <v>475</v>
      </c>
      <c r="V204" s="672" t="s">
        <v>476</v>
      </c>
      <c r="W204" s="672" t="s">
        <v>477</v>
      </c>
      <c r="X204" s="723" t="s">
        <v>478</v>
      </c>
      <c r="Y204" s="723" t="s">
        <v>479</v>
      </c>
      <c r="Z204" s="632"/>
      <c r="AA204" s="672" t="s">
        <v>480</v>
      </c>
      <c r="AB204" s="672" t="s">
        <v>481</v>
      </c>
      <c r="AC204" s="672" t="s">
        <v>482</v>
      </c>
      <c r="AD204" s="723" t="s">
        <v>483</v>
      </c>
      <c r="AE204" s="723" t="s">
        <v>484</v>
      </c>
      <c r="AF204" s="672" t="s">
        <v>485</v>
      </c>
      <c r="AG204" s="672" t="s">
        <v>486</v>
      </c>
      <c r="AH204" s="723" t="s">
        <v>487</v>
      </c>
      <c r="AI204" s="723" t="s">
        <v>488</v>
      </c>
      <c r="AJ204" s="672" t="s">
        <v>489</v>
      </c>
      <c r="AK204" s="672" t="s">
        <v>490</v>
      </c>
      <c r="AL204" s="723" t="s">
        <v>491</v>
      </c>
      <c r="AM204" s="723" t="s">
        <v>492</v>
      </c>
      <c r="AN204" s="672" t="s">
        <v>493</v>
      </c>
      <c r="AO204" s="672" t="s">
        <v>494</v>
      </c>
      <c r="AP204" s="723" t="s">
        <v>495</v>
      </c>
      <c r="AQ204" s="723" t="s">
        <v>496</v>
      </c>
      <c r="AR204" s="632"/>
      <c r="AS204" s="672" t="s">
        <v>497</v>
      </c>
      <c r="AT204" s="672" t="s">
        <v>498</v>
      </c>
      <c r="AU204" s="672" t="s">
        <v>499</v>
      </c>
      <c r="AV204" s="723" t="s">
        <v>500</v>
      </c>
      <c r="AW204" s="723" t="s">
        <v>501</v>
      </c>
      <c r="AX204" s="672" t="s">
        <v>502</v>
      </c>
      <c r="AY204" s="672" t="s">
        <v>503</v>
      </c>
      <c r="AZ204" s="723" t="s">
        <v>504</v>
      </c>
      <c r="BA204" s="723" t="s">
        <v>505</v>
      </c>
      <c r="BB204" s="672" t="s">
        <v>506</v>
      </c>
      <c r="BC204" s="672" t="s">
        <v>507</v>
      </c>
      <c r="BD204" s="723" t="s">
        <v>508</v>
      </c>
      <c r="BE204" s="723" t="s">
        <v>509</v>
      </c>
      <c r="BF204" s="672" t="s">
        <v>510</v>
      </c>
      <c r="BG204" s="672" t="s">
        <v>511</v>
      </c>
      <c r="BH204" s="723" t="s">
        <v>512</v>
      </c>
      <c r="BI204" s="723" t="s">
        <v>513</v>
      </c>
      <c r="BJ204" s="632"/>
      <c r="BK204" s="723" t="s">
        <v>514</v>
      </c>
      <c r="BL204" s="723" t="s">
        <v>515</v>
      </c>
      <c r="BM204" s="723" t="s">
        <v>516</v>
      </c>
      <c r="BN204" s="723" t="s">
        <v>517</v>
      </c>
      <c r="BO204" s="723" t="s">
        <v>518</v>
      </c>
      <c r="BP204" s="723" t="s">
        <v>519</v>
      </c>
      <c r="BQ204" s="723" t="s">
        <v>520</v>
      </c>
      <c r="BR204" s="723" t="s">
        <v>521</v>
      </c>
    </row>
    <row r="205" spans="1:70">
      <c r="A205" s="29" t="s">
        <v>1588</v>
      </c>
      <c r="B205" s="29" t="s">
        <v>1835</v>
      </c>
      <c r="C205" s="619">
        <f>SETUP!$F$40</f>
        <v>0</v>
      </c>
      <c r="D205" s="25">
        <v>5.6</v>
      </c>
      <c r="E205" s="26" t="s">
        <v>1452</v>
      </c>
      <c r="F205" s="26" t="s">
        <v>1454</v>
      </c>
      <c r="G205" s="625" t="str">
        <f t="array" ref="G205">IFERROR(INDEX('TB-EQUIPMENT &amp; OTHER HPs'!$L$14:$L$61,MATCH($E205&amp;$F205,'TB-EQUIPMENT &amp; OTHER HPs'!$E$14:$E$61&amp;'TB-EQUIPMENT &amp; OTHER HPs'!$I$14:$I$61,0)),"")</f>
        <v/>
      </c>
      <c r="H205" s="625" t="str">
        <f t="array" ref="H205">IFERROR(INDEX('TB-EQUIPMENT &amp; OTHER HPs'!$M$14:$M$61,MATCH($E205&amp;$F205,'TB-EQUIPMENT &amp; OTHER HPs'!$E$14:$E$61&amp;'TB-EQUIPMENT &amp; OTHER HPs'!$I$14:$I$61,0)),"")</f>
        <v/>
      </c>
      <c r="I205" s="625">
        <f t="array" ref="I205">IFERROR(INDEX('TB-EQUIPMENT &amp; OTHER HPs'!$N$14:$N$61,MATCH($E205&amp;$F205,'TB-EQUIPMENT &amp; OTHER HPs'!$E$14:$E$61&amp;'TB-EQUIPMENT &amp; OTHER HPs'!$I$14:$I$61,0)),0)</f>
        <v>0</v>
      </c>
      <c r="J205" s="625">
        <f t="array" ref="J205">IFERROR(INDEX('TB-EQUIPMENT &amp; OTHER HPs'!$O$14:$O$61,MATCH($E205&amp;$F205,'TB-EQUIPMENT &amp; OTHER HPs'!$E$14:$E$61&amp;'TB-EQUIPMENT &amp; OTHER HPs'!$I$14:$I$61,0)),0)</f>
        <v>0</v>
      </c>
      <c r="K205" s="626">
        <f>IF(ISERROR($I205*J205),0,$I205*J205)</f>
        <v>0</v>
      </c>
      <c r="L205" s="626">
        <f>IF(C205="Upfront",J205,0)</f>
        <v>0</v>
      </c>
      <c r="M205" s="626">
        <f>IF(C205="Upfront",K205,0)</f>
        <v>0</v>
      </c>
      <c r="N205" s="625">
        <f t="array" ref="N205">IFERROR(INDEX('TB-EQUIPMENT &amp; OTHER HPs'!$P$14:$P$61,MATCH($E205&amp;$F205,'TB-EQUIPMENT &amp; OTHER HPs'!$E$14:$E$61&amp;'TB-EQUIPMENT &amp; OTHER HPs'!$I$14:$I$61,0)),0)</f>
        <v>0</v>
      </c>
      <c r="O205" s="626">
        <f>IF(ISERROR($I205*N205),0,$I205*N205)</f>
        <v>0</v>
      </c>
      <c r="P205" s="626">
        <f>IF(C205="Upfront",N205,0)</f>
        <v>0</v>
      </c>
      <c r="Q205" s="626">
        <f>IF(C205="Upfront",O205,0)</f>
        <v>0</v>
      </c>
      <c r="R205" s="625">
        <f t="array" ref="R205">IFERROR(INDEX('TB-EQUIPMENT &amp; OTHER HPs'!$Q$14:$Q$61,MATCH($E205&amp;$F205,'TB-EQUIPMENT &amp; OTHER HPs'!$E$14:$E$61&amp;'TB-EQUIPMENT &amp; OTHER HPs'!$I$14:$I$61,0)),0)</f>
        <v>0</v>
      </c>
      <c r="S205" s="626">
        <f>IF(ISERROR($I205*R205),0,$I205*R205)</f>
        <v>0</v>
      </c>
      <c r="T205" s="626">
        <f>IF(C205="Upfront",R205,IF(C205="At delivery",J205,0))</f>
        <v>0</v>
      </c>
      <c r="U205" s="626">
        <f>IF(C205="Upfront",S205,IF(C205="At delivery",K205,0))</f>
        <v>0</v>
      </c>
      <c r="V205" s="625">
        <f t="array" ref="V205">IFERROR(INDEX('TB-EQUIPMENT &amp; OTHER HPs'!$R$14:$R$61,MATCH($E205&amp;$F205,'TB-EQUIPMENT &amp; OTHER HPs'!$E$14:$E$61&amp;'TB-EQUIPMENT &amp; OTHER HPs'!$I$14:$I$61,0)),0)</f>
        <v>0</v>
      </c>
      <c r="W205" s="626">
        <f>IF(ISERROR($I205*V205),0,$I205*V205)</f>
        <v>0</v>
      </c>
      <c r="X205" s="626">
        <f>IF(C205="Upfront",V205,IF(C205="At delivery",N205,0))</f>
        <v>0</v>
      </c>
      <c r="Y205" s="626">
        <f>IF(C205="Upfront",W205,IF(C205="At delivery",O205,0))</f>
        <v>0</v>
      </c>
      <c r="Z205" s="630"/>
      <c r="AA205" s="625">
        <f t="array" ref="AA205">IFERROR(INDEX('TB-EQUIPMENT &amp; OTHER HPs'!$U$14:$U$61,MATCH($E205&amp;$F205,'TB-EQUIPMENT &amp; OTHER HPs'!$E$14:$E$61&amp;'TB-EQUIPMENT &amp; OTHER HPs'!$I$14:$I$61,0)),0)</f>
        <v>0</v>
      </c>
      <c r="AB205" s="625">
        <f t="array" ref="AB205">IFERROR(INDEX('TB-EQUIPMENT &amp; OTHER HPs'!$V$14:$V$61,MATCH($E205&amp;$F205,'TB-EQUIPMENT &amp; OTHER HPs'!$E$14:$E$61&amp;'TB-EQUIPMENT &amp; OTHER HPs'!$I$14:$I$61,0)),0)</f>
        <v>0</v>
      </c>
      <c r="AC205" s="626">
        <f>IF(ISERROR($AA205*AB205),0,$AA205*AB205)</f>
        <v>0</v>
      </c>
      <c r="AD205" s="626">
        <f>IF(C205="Upfront",AB205,IF(C205="At delivery",R205,0))</f>
        <v>0</v>
      </c>
      <c r="AE205" s="626">
        <f>IF(C205="Upfront",AC205,IF(C205="At delivery",S205,0))</f>
        <v>0</v>
      </c>
      <c r="AF205" s="625">
        <f t="array" ref="AF205">IFERROR(INDEX('TB-EQUIPMENT &amp; OTHER HPs'!$W$14:$W$61,MATCH($E205&amp;$F205,'TB-EQUIPMENT &amp; OTHER HPs'!$E$14:$E$61&amp;'TB-EQUIPMENT &amp; OTHER HPs'!$I$14:$I$61,0)),0)</f>
        <v>0</v>
      </c>
      <c r="AG205" s="626">
        <f>IF(ISERROR($AA205*AF205),0,$AA205*AF205)</f>
        <v>0</v>
      </c>
      <c r="AH205" s="626">
        <f>IF(C205="Upfront",AF205,IF(C205="At delivery",V205,0))</f>
        <v>0</v>
      </c>
      <c r="AI205" s="626">
        <f>IF(C205="Upfront",AG205,IF(C205="At delivery",W205,0))</f>
        <v>0</v>
      </c>
      <c r="AJ205" s="625">
        <f t="array" ref="AJ205">IFERROR(INDEX('TB-EQUIPMENT &amp; OTHER HPs'!$X$14:$X$61,MATCH($E205&amp;$F205,'TB-EQUIPMENT &amp; OTHER HPs'!$E$14:$E$61&amp;'TB-EQUIPMENT &amp; OTHER HPs'!$I$14:$I$61,0)),0)</f>
        <v>0</v>
      </c>
      <c r="AK205" s="626">
        <f>IF(ISERROR($AA205*AJ205),0,$AA205*AJ205)</f>
        <v>0</v>
      </c>
      <c r="AL205" s="626">
        <f>IF(C205="Upfront",AJ205,IF(C205="At delivery",AB205,0))</f>
        <v>0</v>
      </c>
      <c r="AM205" s="626">
        <f>IF(C205="Upfront",AK205,IF(C205="At delivery",AC205,0))</f>
        <v>0</v>
      </c>
      <c r="AN205" s="625">
        <f t="array" ref="AN205">IFERROR(INDEX('TB-EQUIPMENT &amp; OTHER HPs'!$Y$14:$Y$61,MATCH($E205&amp;$F205,'TB-EQUIPMENT &amp; OTHER HPs'!$E$14:$E$61&amp;'TB-EQUIPMENT &amp; OTHER HPs'!$I$14:$I$61,0)),0)</f>
        <v>0</v>
      </c>
      <c r="AO205" s="626">
        <f>IF(ISERROR($AA205*AN205),0,$AA205*AN205)</f>
        <v>0</v>
      </c>
      <c r="AP205" s="626">
        <f>IF(C205="Upfront",AN205,IF(C205="At delivery",AF205,0))</f>
        <v>0</v>
      </c>
      <c r="AQ205" s="626">
        <f>IF(C205="Upfront",AO205,IF(C205="At delivery",AG205,0))</f>
        <v>0</v>
      </c>
      <c r="AR205" s="630"/>
      <c r="AS205" s="625">
        <f t="array" ref="AS205">IFERROR(INDEX('TB-EQUIPMENT &amp; OTHER HPs'!$AB$14:$AB$61,MATCH($E205&amp;$F205,'TB-EQUIPMENT &amp; OTHER HPs'!$E$14:$E$61&amp;'TB-EQUIPMENT &amp; OTHER HPs'!$I$14:$I$61,0)),0)</f>
        <v>0</v>
      </c>
      <c r="AT205" s="625">
        <f t="array" ref="AT205">IFERROR(INDEX('TB-EQUIPMENT &amp; OTHER HPs'!$AC$14:$AC$61,MATCH($E205&amp;$F205,'TB-EQUIPMENT &amp; OTHER HPs'!$E$14:$E$61&amp;'TB-EQUIPMENT &amp; OTHER HPs'!$I$14:$I$61,0)),0)</f>
        <v>0</v>
      </c>
      <c r="AU205" s="626">
        <f>IF(ISERROR($AS205*AT205),0,$AS205*AT205)</f>
        <v>0</v>
      </c>
      <c r="AV205" s="626">
        <f>IF(C205="Upfront",AT205,IF(C205="At delivery",AJ205,0))</f>
        <v>0</v>
      </c>
      <c r="AW205" s="626">
        <f>IF(C205="Upfront",AU205,IF(C205="At delivery",AK205,0))</f>
        <v>0</v>
      </c>
      <c r="AX205" s="625">
        <f t="array" ref="AX205">IFERROR(INDEX('TB-EQUIPMENT &amp; OTHER HPs'!$AD$14:$AD$61,MATCH($E205&amp;$F205,'TB-EQUIPMENT &amp; OTHER HPs'!$E$14:$E$61&amp;'TB-EQUIPMENT &amp; OTHER HPs'!$I$14:$I$61,0)),0)</f>
        <v>0</v>
      </c>
      <c r="AY205" s="626">
        <f>IF(ISERROR($AS205*AX205),0,$AS205*AX205)</f>
        <v>0</v>
      </c>
      <c r="AZ205" s="626">
        <f>IF(C205="Upfront",AX205,IF(C205="At delivery",AN205,0))</f>
        <v>0</v>
      </c>
      <c r="BA205" s="626">
        <f>IF(C205="Upfront",AY205,IF(C205="At delivery",AO205,0))</f>
        <v>0</v>
      </c>
      <c r="BB205" s="625">
        <f t="array" ref="BB205">IFERROR(INDEX('TB-EQUIPMENT &amp; OTHER HPs'!$AE$14:$AE$61,MATCH($E205&amp;$F205,'TB-EQUIPMENT &amp; OTHER HPs'!$E$14:$E$61&amp;'TB-EQUIPMENT &amp; OTHER HPs'!$I$14:$I$61,0)),0)</f>
        <v>0</v>
      </c>
      <c r="BC205" s="626">
        <f>IF(ISERROR($AS205*BB205),0,$AS205*BB205)</f>
        <v>0</v>
      </c>
      <c r="BD205" s="626">
        <f>IF(C205="Upfront",BB205,IF(C205="At delivery",AT205,0))</f>
        <v>0</v>
      </c>
      <c r="BE205" s="626">
        <f>IF(C205="Upfront",BC205,IF(C205="At delivery",AU205,0))</f>
        <v>0</v>
      </c>
      <c r="BF205" s="625">
        <f t="array" ref="BF205">IFERROR(INDEX('TB-EQUIPMENT &amp; OTHER HPs'!$AF$14:$AF$61,MATCH($E205&amp;$F205,'TB-EQUIPMENT &amp; OTHER HPs'!$E$14:$E$61&amp;'TB-EQUIPMENT &amp; OTHER HPs'!$I$14:$I$61,0)),0)</f>
        <v>0</v>
      </c>
      <c r="BG205" s="626">
        <f>IF(ISERROR($AS205*BF205),0,$AS205*BF205)</f>
        <v>0</v>
      </c>
      <c r="BH205" s="626">
        <f>IF(C205="Upfront",BF205,IF(C205="At delivery",AX205,0))</f>
        <v>0</v>
      </c>
      <c r="BI205" s="626">
        <f>IF(C205="Upfront",BG205,IF(C205="At delivery",AY205,0))</f>
        <v>0</v>
      </c>
      <c r="BJ205" s="630"/>
      <c r="BK205" s="625"/>
      <c r="BL205" s="625"/>
      <c r="BM205" s="625"/>
      <c r="BN205" s="625"/>
      <c r="BO205" s="625"/>
      <c r="BP205" s="625"/>
      <c r="BQ205" s="625"/>
      <c r="BR205" s="625"/>
    </row>
    <row r="206" spans="1:70">
      <c r="A206" s="29" t="s">
        <v>1588</v>
      </c>
      <c r="B206" s="29" t="s">
        <v>1835</v>
      </c>
      <c r="C206" s="619">
        <f>SETUP!$F$40</f>
        <v>0</v>
      </c>
      <c r="D206" s="25">
        <v>5.6</v>
      </c>
      <c r="E206" s="26" t="s">
        <v>1452</v>
      </c>
      <c r="F206" s="26" t="s">
        <v>1455</v>
      </c>
      <c r="G206" s="625" t="str">
        <f t="array" ref="G206">IFERROR(INDEX('TB-EQUIPMENT &amp; OTHER HPs'!$L$14:$L$61,MATCH($E206&amp;$F206,'TB-EQUIPMENT &amp; OTHER HPs'!$E$14:$E$61&amp;'TB-EQUIPMENT &amp; OTHER HPs'!$I$14:$I$61,0)),"")</f>
        <v/>
      </c>
      <c r="H206" s="625" t="str">
        <f t="array" ref="H206">IFERROR(INDEX('TB-EQUIPMENT &amp; OTHER HPs'!$M$14:$M$61,MATCH($E206&amp;$F206,'TB-EQUIPMENT &amp; OTHER HPs'!$E$14:$E$61&amp;'TB-EQUIPMENT &amp; OTHER HPs'!$I$14:$I$61,0)),"")</f>
        <v/>
      </c>
      <c r="I206" s="625">
        <f t="array" ref="I206">IFERROR(INDEX('TB-EQUIPMENT &amp; OTHER HPs'!$N$14:$N$61,MATCH($E206&amp;$F206,'TB-EQUIPMENT &amp; OTHER HPs'!$E$14:$E$61&amp;'TB-EQUIPMENT &amp; OTHER HPs'!$I$14:$I$61,0)),0)</f>
        <v>0</v>
      </c>
      <c r="J206" s="625">
        <f t="array" ref="J206">IFERROR(INDEX('TB-EQUIPMENT &amp; OTHER HPs'!$O$14:$O$61,MATCH($E206&amp;$F206,'TB-EQUIPMENT &amp; OTHER HPs'!$E$14:$E$61&amp;'TB-EQUIPMENT &amp; OTHER HPs'!$I$14:$I$61,0)),0)</f>
        <v>0</v>
      </c>
      <c r="K206" s="626">
        <f t="shared" ref="K206:K211" si="180">IF(ISERROR($I206*J206),0,$I206*J206)</f>
        <v>0</v>
      </c>
      <c r="L206" s="626">
        <f t="shared" ref="L206:L211" si="181">IF(C206="Upfront",J206,0)</f>
        <v>0</v>
      </c>
      <c r="M206" s="626">
        <f t="shared" ref="M206:M211" si="182">IF(C206="Upfront",K206,0)</f>
        <v>0</v>
      </c>
      <c r="N206" s="625">
        <f t="array" ref="N206">IFERROR(INDEX('TB-EQUIPMENT &amp; OTHER HPs'!$P$14:$P$61,MATCH($E206&amp;$F206,'TB-EQUIPMENT &amp; OTHER HPs'!$E$14:$E$61&amp;'TB-EQUIPMENT &amp; OTHER HPs'!$I$14:$I$61,0)),0)</f>
        <v>0</v>
      </c>
      <c r="O206" s="626">
        <f t="shared" ref="O206:O211" si="183">IF(ISERROR($I206*N206),0,$I206*N206)</f>
        <v>0</v>
      </c>
      <c r="P206" s="626">
        <f t="shared" ref="P206:P211" si="184">IF(C206="Upfront",N206,0)</f>
        <v>0</v>
      </c>
      <c r="Q206" s="626">
        <f t="shared" ref="Q206:Q211" si="185">IF(C206="Upfront",O206,0)</f>
        <v>0</v>
      </c>
      <c r="R206" s="625">
        <f t="array" ref="R206">IFERROR(INDEX('TB-EQUIPMENT &amp; OTHER HPs'!$Q$14:$Q$61,MATCH($E206&amp;$F206,'TB-EQUIPMENT &amp; OTHER HPs'!$E$14:$E$61&amp;'TB-EQUIPMENT &amp; OTHER HPs'!$I$14:$I$61,0)),0)</f>
        <v>0</v>
      </c>
      <c r="S206" s="626">
        <f t="shared" ref="S206:S211" si="186">IF(ISERROR($I206*R206),0,$I206*R206)</f>
        <v>0</v>
      </c>
      <c r="T206" s="626">
        <f t="shared" ref="T206:T211" si="187">IF(C206="Upfront",R206,IF(C206="At delivery",J206,0))</f>
        <v>0</v>
      </c>
      <c r="U206" s="626">
        <f t="shared" ref="U206:U211" si="188">IF(C206="Upfront",S206,IF(C206="At delivery",K206,0))</f>
        <v>0</v>
      </c>
      <c r="V206" s="625">
        <f t="array" ref="V206">IFERROR(INDEX('TB-EQUIPMENT &amp; OTHER HPs'!$R$14:$R$61,MATCH($E206&amp;$F206,'TB-EQUIPMENT &amp; OTHER HPs'!$E$14:$E$61&amp;'TB-EQUIPMENT &amp; OTHER HPs'!$I$14:$I$61,0)),0)</f>
        <v>0</v>
      </c>
      <c r="W206" s="626">
        <f t="shared" ref="W206:W211" si="189">IF(ISERROR($I206*V206),0,$I206*V206)</f>
        <v>0</v>
      </c>
      <c r="X206" s="626">
        <f t="shared" ref="X206:X211" si="190">IF(C206="Upfront",V206,IF(C206="At delivery",N206,0))</f>
        <v>0</v>
      </c>
      <c r="Y206" s="626">
        <f t="shared" ref="Y206:Y211" si="191">IF(C206="Upfront",W206,IF(C206="At delivery",O206,0))</f>
        <v>0</v>
      </c>
      <c r="Z206" s="630"/>
      <c r="AA206" s="625">
        <f t="array" ref="AA206">IFERROR(INDEX('TB-EQUIPMENT &amp; OTHER HPs'!$U$14:$U$61,MATCH($E206&amp;$F206,'TB-EQUIPMENT &amp; OTHER HPs'!$E$14:$E$61&amp;'TB-EQUIPMENT &amp; OTHER HPs'!$I$14:$I$61,0)),0)</f>
        <v>0</v>
      </c>
      <c r="AB206" s="625">
        <f t="array" ref="AB206">IFERROR(INDEX('TB-EQUIPMENT &amp; OTHER HPs'!$V$14:$V$61,MATCH($E206&amp;$F206,'TB-EQUIPMENT &amp; OTHER HPs'!$E$14:$E$61&amp;'TB-EQUIPMENT &amp; OTHER HPs'!$I$14:$I$61,0)),0)</f>
        <v>0</v>
      </c>
      <c r="AC206" s="626">
        <f t="shared" ref="AC206:AC211" si="192">IF(ISERROR($AA206*AB206),0,$AA206*AB206)</f>
        <v>0</v>
      </c>
      <c r="AD206" s="626">
        <f t="shared" ref="AD206:AD211" si="193">IF(C206="Upfront",AB206,IF(C206="At delivery",R206,0))</f>
        <v>0</v>
      </c>
      <c r="AE206" s="626">
        <f t="shared" ref="AE206:AE211" si="194">IF(C206="Upfront",AC206,IF(C206="At delivery",S206,0))</f>
        <v>0</v>
      </c>
      <c r="AF206" s="625">
        <f t="array" ref="AF206">IFERROR(INDEX('TB-EQUIPMENT &amp; OTHER HPs'!$W$14:$W$61,MATCH($E206&amp;$F206,'TB-EQUIPMENT &amp; OTHER HPs'!$E$14:$E$61&amp;'TB-EQUIPMENT &amp; OTHER HPs'!$I$14:$I$61,0)),0)</f>
        <v>0</v>
      </c>
      <c r="AG206" s="626">
        <f t="shared" ref="AG206:AG211" si="195">IF(ISERROR($AA206*AF206),0,$AA206*AF206)</f>
        <v>0</v>
      </c>
      <c r="AH206" s="626">
        <f t="shared" ref="AH206:AH211" si="196">IF(C206="Upfront",AF206,IF(C206="At delivery",V206,0))</f>
        <v>0</v>
      </c>
      <c r="AI206" s="626">
        <f t="shared" ref="AI206:AI211" si="197">IF(C206="Upfront",AG206,IF(C206="At delivery",W206,0))</f>
        <v>0</v>
      </c>
      <c r="AJ206" s="625">
        <f t="array" ref="AJ206">IFERROR(INDEX('TB-EQUIPMENT &amp; OTHER HPs'!$X$14:$X$61,MATCH($E206&amp;$F206,'TB-EQUIPMENT &amp; OTHER HPs'!$E$14:$E$61&amp;'TB-EQUIPMENT &amp; OTHER HPs'!$I$14:$I$61,0)),0)</f>
        <v>0</v>
      </c>
      <c r="AK206" s="626">
        <f t="shared" ref="AK206:AK211" si="198">IF(ISERROR($AA206*AJ206),0,$AA206*AJ206)</f>
        <v>0</v>
      </c>
      <c r="AL206" s="626">
        <f t="shared" ref="AL206:AL211" si="199">IF(C206="Upfront",AJ206,IF(C206="At delivery",AB206,0))</f>
        <v>0</v>
      </c>
      <c r="AM206" s="626">
        <f t="shared" ref="AM206:AM211" si="200">IF(C206="Upfront",AK206,IF(C206="At delivery",AC206,0))</f>
        <v>0</v>
      </c>
      <c r="AN206" s="625">
        <f t="array" ref="AN206">IFERROR(INDEX('TB-EQUIPMENT &amp; OTHER HPs'!$Y$14:$Y$61,MATCH($E206&amp;$F206,'TB-EQUIPMENT &amp; OTHER HPs'!$E$14:$E$61&amp;'TB-EQUIPMENT &amp; OTHER HPs'!$I$14:$I$61,0)),0)</f>
        <v>0</v>
      </c>
      <c r="AO206" s="626">
        <f t="shared" ref="AO206:AO211" si="201">IF(ISERROR($AA206*AN206),0,$AA206*AN206)</f>
        <v>0</v>
      </c>
      <c r="AP206" s="626">
        <f t="shared" ref="AP206:AP211" si="202">IF(C206="Upfront",AN206,IF(C206="At delivery",AF206,0))</f>
        <v>0</v>
      </c>
      <c r="AQ206" s="626">
        <f t="shared" ref="AQ206:AQ211" si="203">IF(C206="Upfront",AO206,IF(C206="At delivery",AG206,0))</f>
        <v>0</v>
      </c>
      <c r="AR206" s="630"/>
      <c r="AS206" s="625">
        <f t="array" ref="AS206">IFERROR(INDEX('TB-EQUIPMENT &amp; OTHER HPs'!$AB$14:$AB$61,MATCH($E206&amp;$F206,'TB-EQUIPMENT &amp; OTHER HPs'!$E$14:$E$61&amp;'TB-EQUIPMENT &amp; OTHER HPs'!$I$14:$I$61,0)),0)</f>
        <v>0</v>
      </c>
      <c r="AT206" s="625">
        <f t="array" ref="AT206">IFERROR(INDEX('TB-EQUIPMENT &amp; OTHER HPs'!$AC$14:$AC$61,MATCH($E206&amp;$F206,'TB-EQUIPMENT &amp; OTHER HPs'!$E$14:$E$61&amp;'TB-EQUIPMENT &amp; OTHER HPs'!$I$14:$I$61,0)),0)</f>
        <v>0</v>
      </c>
      <c r="AU206" s="626">
        <f t="shared" ref="AU206:AU211" si="204">IF(ISERROR($AS206*AT206),0,$AS206*AT206)</f>
        <v>0</v>
      </c>
      <c r="AV206" s="626">
        <f t="shared" ref="AV206:AV211" si="205">IF(C206="Upfront",AT206,IF(C206="At delivery",AJ206,0))</f>
        <v>0</v>
      </c>
      <c r="AW206" s="626">
        <f t="shared" ref="AW206:AW211" si="206">IF(C206="Upfront",AU206,IF(C206="At delivery",AK206,0))</f>
        <v>0</v>
      </c>
      <c r="AX206" s="625">
        <f t="array" ref="AX206">IFERROR(INDEX('TB-EQUIPMENT &amp; OTHER HPs'!$AD$14:$AD$61,MATCH($E206&amp;$F206,'TB-EQUIPMENT &amp; OTHER HPs'!$E$14:$E$61&amp;'TB-EQUIPMENT &amp; OTHER HPs'!$I$14:$I$61,0)),0)</f>
        <v>0</v>
      </c>
      <c r="AY206" s="626">
        <f t="shared" ref="AY206:AY211" si="207">IF(ISERROR($AS206*AX206),0,$AS206*AX206)</f>
        <v>0</v>
      </c>
      <c r="AZ206" s="626">
        <f t="shared" ref="AZ206:AZ211" si="208">IF(C206="Upfront",AX206,IF(C206="At delivery",AN206,0))</f>
        <v>0</v>
      </c>
      <c r="BA206" s="626">
        <f t="shared" ref="BA206:BA211" si="209">IF(C206="Upfront",AY206,IF(C206="At delivery",AO206,0))</f>
        <v>0</v>
      </c>
      <c r="BB206" s="625">
        <f t="array" ref="BB206">IFERROR(INDEX('TB-EQUIPMENT &amp; OTHER HPs'!$AE$14:$AE$61,MATCH($E206&amp;$F206,'TB-EQUIPMENT &amp; OTHER HPs'!$E$14:$E$61&amp;'TB-EQUIPMENT &amp; OTHER HPs'!$I$14:$I$61,0)),0)</f>
        <v>0</v>
      </c>
      <c r="BC206" s="626">
        <f t="shared" ref="BC206:BC211" si="210">IF(ISERROR($AS206*BB206),0,$AS206*BB206)</f>
        <v>0</v>
      </c>
      <c r="BD206" s="626">
        <f t="shared" ref="BD206:BD211" si="211">IF(C206="Upfront",BB206,IF(C206="At delivery",AT206,0))</f>
        <v>0</v>
      </c>
      <c r="BE206" s="626">
        <f t="shared" ref="BE206:BE211" si="212">IF(C206="Upfront",BC206,IF(C206="At delivery",AU206,0))</f>
        <v>0</v>
      </c>
      <c r="BF206" s="625">
        <f t="array" ref="BF206">IFERROR(INDEX('TB-EQUIPMENT &amp; OTHER HPs'!$AF$14:$AF$61,MATCH($E206&amp;$F206,'TB-EQUIPMENT &amp; OTHER HPs'!$E$14:$E$61&amp;'TB-EQUIPMENT &amp; OTHER HPs'!$I$14:$I$61,0)),0)</f>
        <v>0</v>
      </c>
      <c r="BG206" s="626">
        <f t="shared" ref="BG206:BG211" si="213">IF(ISERROR($AS206*BF206),0,$AS206*BF206)</f>
        <v>0</v>
      </c>
      <c r="BH206" s="626">
        <f t="shared" ref="BH206:BH211" si="214">IF(C206="Upfront",BF206,IF(C206="At delivery",AX206,0))</f>
        <v>0</v>
      </c>
      <c r="BI206" s="626">
        <f t="shared" ref="BI206:BI211" si="215">IF(C206="Upfront",BG206,IF(C206="At delivery",AY206,0))</f>
        <v>0</v>
      </c>
      <c r="BJ206" s="630"/>
      <c r="BK206" s="625"/>
      <c r="BL206" s="625"/>
      <c r="BM206" s="625"/>
      <c r="BN206" s="625"/>
      <c r="BO206" s="625"/>
      <c r="BP206" s="625"/>
      <c r="BQ206" s="625"/>
      <c r="BR206" s="625"/>
    </row>
    <row r="207" spans="1:70">
      <c r="A207" s="29" t="s">
        <v>1588</v>
      </c>
      <c r="B207" s="29" t="s">
        <v>1835</v>
      </c>
      <c r="C207" s="619">
        <f>SETUP!$F$40</f>
        <v>0</v>
      </c>
      <c r="D207" s="25">
        <v>5.6</v>
      </c>
      <c r="E207" s="26" t="s">
        <v>1453</v>
      </c>
      <c r="F207" s="26" t="s">
        <v>1140</v>
      </c>
      <c r="G207" s="625" t="str">
        <f t="array" ref="G207">IFERROR(INDEX('TB-EQUIPMENT &amp; OTHER HPs'!$L$14:$L$61,MATCH($E207&amp;$F207,'TB-EQUIPMENT &amp; OTHER HPs'!$E$14:$E$61&amp;'TB-EQUIPMENT &amp; OTHER HPs'!$I$14:$I$61,0)),"")</f>
        <v/>
      </c>
      <c r="H207" s="625" t="str">
        <f t="array" ref="H207">IFERROR(INDEX('TB-EQUIPMENT &amp; OTHER HPs'!$M$14:$M$61,MATCH($E207&amp;$F207,'TB-EQUIPMENT &amp; OTHER HPs'!$E$14:$E$61&amp;'TB-EQUIPMENT &amp; OTHER HPs'!$I$14:$I$61,0)),"")</f>
        <v/>
      </c>
      <c r="I207" s="625">
        <f t="array" ref="I207">IFERROR(INDEX('TB-EQUIPMENT &amp; OTHER HPs'!$N$14:$N$61,MATCH($E207&amp;$F207,'TB-EQUIPMENT &amp; OTHER HPs'!$E$14:$E$61&amp;'TB-EQUIPMENT &amp; OTHER HPs'!$I$14:$I$61,0)),0)</f>
        <v>0</v>
      </c>
      <c r="J207" s="625">
        <f t="array" ref="J207">IFERROR(INDEX('TB-EQUIPMENT &amp; OTHER HPs'!$O$14:$O$61,MATCH($E207&amp;$F207,'TB-EQUIPMENT &amp; OTHER HPs'!$E$14:$E$61&amp;'TB-EQUIPMENT &amp; OTHER HPs'!$I$14:$I$61,0)),0)</f>
        <v>0</v>
      </c>
      <c r="K207" s="626">
        <f t="shared" si="180"/>
        <v>0</v>
      </c>
      <c r="L207" s="626">
        <f t="shared" si="181"/>
        <v>0</v>
      </c>
      <c r="M207" s="626">
        <f t="shared" si="182"/>
        <v>0</v>
      </c>
      <c r="N207" s="625">
        <f t="array" ref="N207">IFERROR(INDEX('TB-EQUIPMENT &amp; OTHER HPs'!$P$14:$P$61,MATCH($E207&amp;$F207,'TB-EQUIPMENT &amp; OTHER HPs'!$E$14:$E$61&amp;'TB-EQUIPMENT &amp; OTHER HPs'!$I$14:$I$61,0)),0)</f>
        <v>0</v>
      </c>
      <c r="O207" s="626">
        <f t="shared" si="183"/>
        <v>0</v>
      </c>
      <c r="P207" s="626">
        <f t="shared" si="184"/>
        <v>0</v>
      </c>
      <c r="Q207" s="626">
        <f t="shared" si="185"/>
        <v>0</v>
      </c>
      <c r="R207" s="625">
        <f t="array" ref="R207">IFERROR(INDEX('TB-EQUIPMENT &amp; OTHER HPs'!$Q$14:$Q$61,MATCH($E207&amp;$F207,'TB-EQUIPMENT &amp; OTHER HPs'!$E$14:$E$61&amp;'TB-EQUIPMENT &amp; OTHER HPs'!$I$14:$I$61,0)),0)</f>
        <v>0</v>
      </c>
      <c r="S207" s="626">
        <f t="shared" si="186"/>
        <v>0</v>
      </c>
      <c r="T207" s="626">
        <f t="shared" si="187"/>
        <v>0</v>
      </c>
      <c r="U207" s="626">
        <f t="shared" si="188"/>
        <v>0</v>
      </c>
      <c r="V207" s="625">
        <f t="array" ref="V207">IFERROR(INDEX('TB-EQUIPMENT &amp; OTHER HPs'!$R$14:$R$61,MATCH($E207&amp;$F207,'TB-EQUIPMENT &amp; OTHER HPs'!$E$14:$E$61&amp;'TB-EQUIPMENT &amp; OTHER HPs'!$I$14:$I$61,0)),0)</f>
        <v>0</v>
      </c>
      <c r="W207" s="626">
        <f t="shared" si="189"/>
        <v>0</v>
      </c>
      <c r="X207" s="626">
        <f t="shared" si="190"/>
        <v>0</v>
      </c>
      <c r="Y207" s="626">
        <f t="shared" si="191"/>
        <v>0</v>
      </c>
      <c r="Z207" s="630"/>
      <c r="AA207" s="625">
        <f t="array" ref="AA207">IFERROR(INDEX('TB-EQUIPMENT &amp; OTHER HPs'!$U$14:$U$61,MATCH($E207&amp;$F207,'TB-EQUIPMENT &amp; OTHER HPs'!$E$14:$E$61&amp;'TB-EQUIPMENT &amp; OTHER HPs'!$I$14:$I$61,0)),0)</f>
        <v>0</v>
      </c>
      <c r="AB207" s="625">
        <f t="array" ref="AB207">IFERROR(INDEX('TB-EQUIPMENT &amp; OTHER HPs'!$V$14:$V$61,MATCH($E207&amp;$F207,'TB-EQUIPMENT &amp; OTHER HPs'!$E$14:$E$61&amp;'TB-EQUIPMENT &amp; OTHER HPs'!$I$14:$I$61,0)),0)</f>
        <v>0</v>
      </c>
      <c r="AC207" s="626">
        <f t="shared" si="192"/>
        <v>0</v>
      </c>
      <c r="AD207" s="626">
        <f t="shared" si="193"/>
        <v>0</v>
      </c>
      <c r="AE207" s="626">
        <f t="shared" si="194"/>
        <v>0</v>
      </c>
      <c r="AF207" s="625">
        <f t="array" ref="AF207">IFERROR(INDEX('TB-EQUIPMENT &amp; OTHER HPs'!$W$14:$W$61,MATCH($E207&amp;$F207,'TB-EQUIPMENT &amp; OTHER HPs'!$E$14:$E$61&amp;'TB-EQUIPMENT &amp; OTHER HPs'!$I$14:$I$61,0)),0)</f>
        <v>0</v>
      </c>
      <c r="AG207" s="626">
        <f t="shared" si="195"/>
        <v>0</v>
      </c>
      <c r="AH207" s="626">
        <f t="shared" si="196"/>
        <v>0</v>
      </c>
      <c r="AI207" s="626">
        <f t="shared" si="197"/>
        <v>0</v>
      </c>
      <c r="AJ207" s="625">
        <f t="array" ref="AJ207">IFERROR(INDEX('TB-EQUIPMENT &amp; OTHER HPs'!$X$14:$X$61,MATCH($E207&amp;$F207,'TB-EQUIPMENT &amp; OTHER HPs'!$E$14:$E$61&amp;'TB-EQUIPMENT &amp; OTHER HPs'!$I$14:$I$61,0)),0)</f>
        <v>0</v>
      </c>
      <c r="AK207" s="626">
        <f t="shared" si="198"/>
        <v>0</v>
      </c>
      <c r="AL207" s="626">
        <f t="shared" si="199"/>
        <v>0</v>
      </c>
      <c r="AM207" s="626">
        <f t="shared" si="200"/>
        <v>0</v>
      </c>
      <c r="AN207" s="625">
        <f t="array" ref="AN207">IFERROR(INDEX('TB-EQUIPMENT &amp; OTHER HPs'!$Y$14:$Y$61,MATCH($E207&amp;$F207,'TB-EQUIPMENT &amp; OTHER HPs'!$E$14:$E$61&amp;'TB-EQUIPMENT &amp; OTHER HPs'!$I$14:$I$61,0)),0)</f>
        <v>0</v>
      </c>
      <c r="AO207" s="626">
        <f t="shared" si="201"/>
        <v>0</v>
      </c>
      <c r="AP207" s="626">
        <f t="shared" si="202"/>
        <v>0</v>
      </c>
      <c r="AQ207" s="626">
        <f t="shared" si="203"/>
        <v>0</v>
      </c>
      <c r="AR207" s="630"/>
      <c r="AS207" s="625">
        <f t="array" ref="AS207">IFERROR(INDEX('TB-EQUIPMENT &amp; OTHER HPs'!$AB$14:$AB$61,MATCH($E207&amp;$F207,'TB-EQUIPMENT &amp; OTHER HPs'!$E$14:$E$61&amp;'TB-EQUIPMENT &amp; OTHER HPs'!$I$14:$I$61,0)),0)</f>
        <v>0</v>
      </c>
      <c r="AT207" s="625">
        <f t="array" ref="AT207">IFERROR(INDEX('TB-EQUIPMENT &amp; OTHER HPs'!$AC$14:$AC$61,MATCH($E207&amp;$F207,'TB-EQUIPMENT &amp; OTHER HPs'!$E$14:$E$61&amp;'TB-EQUIPMENT &amp; OTHER HPs'!$I$14:$I$61,0)),0)</f>
        <v>0</v>
      </c>
      <c r="AU207" s="626">
        <f t="shared" si="204"/>
        <v>0</v>
      </c>
      <c r="AV207" s="626">
        <f t="shared" si="205"/>
        <v>0</v>
      </c>
      <c r="AW207" s="626">
        <f t="shared" si="206"/>
        <v>0</v>
      </c>
      <c r="AX207" s="625">
        <f t="array" ref="AX207">IFERROR(INDEX('TB-EQUIPMENT &amp; OTHER HPs'!$AD$14:$AD$61,MATCH($E207&amp;$F207,'TB-EQUIPMENT &amp; OTHER HPs'!$E$14:$E$61&amp;'TB-EQUIPMENT &amp; OTHER HPs'!$I$14:$I$61,0)),0)</f>
        <v>0</v>
      </c>
      <c r="AY207" s="626">
        <f t="shared" si="207"/>
        <v>0</v>
      </c>
      <c r="AZ207" s="626">
        <f t="shared" si="208"/>
        <v>0</v>
      </c>
      <c r="BA207" s="626">
        <f t="shared" si="209"/>
        <v>0</v>
      </c>
      <c r="BB207" s="625">
        <f t="array" ref="BB207">IFERROR(INDEX('TB-EQUIPMENT &amp; OTHER HPs'!$AE$14:$AE$61,MATCH($E207&amp;$F207,'TB-EQUIPMENT &amp; OTHER HPs'!$E$14:$E$61&amp;'TB-EQUIPMENT &amp; OTHER HPs'!$I$14:$I$61,0)),0)</f>
        <v>0</v>
      </c>
      <c r="BC207" s="626">
        <f t="shared" si="210"/>
        <v>0</v>
      </c>
      <c r="BD207" s="626">
        <f t="shared" si="211"/>
        <v>0</v>
      </c>
      <c r="BE207" s="626">
        <f t="shared" si="212"/>
        <v>0</v>
      </c>
      <c r="BF207" s="625">
        <f t="array" ref="BF207">IFERROR(INDEX('TB-EQUIPMENT &amp; OTHER HPs'!$AF$14:$AF$61,MATCH($E207&amp;$F207,'TB-EQUIPMENT &amp; OTHER HPs'!$E$14:$E$61&amp;'TB-EQUIPMENT &amp; OTHER HPs'!$I$14:$I$61,0)),0)</f>
        <v>0</v>
      </c>
      <c r="BG207" s="626">
        <f t="shared" si="213"/>
        <v>0</v>
      </c>
      <c r="BH207" s="626">
        <f t="shared" si="214"/>
        <v>0</v>
      </c>
      <c r="BI207" s="626">
        <f t="shared" si="215"/>
        <v>0</v>
      </c>
      <c r="BJ207" s="630"/>
      <c r="BK207" s="625"/>
      <c r="BL207" s="625"/>
      <c r="BM207" s="625"/>
      <c r="BN207" s="625"/>
      <c r="BO207" s="625"/>
      <c r="BP207" s="625"/>
      <c r="BQ207" s="625"/>
      <c r="BR207" s="625"/>
    </row>
    <row r="208" spans="1:70">
      <c r="A208" s="29" t="s">
        <v>1588</v>
      </c>
      <c r="B208" s="29" t="s">
        <v>1835</v>
      </c>
      <c r="C208" s="619">
        <f>SETUP!$F$40</f>
        <v>0</v>
      </c>
      <c r="D208" s="25">
        <v>6.3</v>
      </c>
      <c r="E208" s="26" t="s">
        <v>1165</v>
      </c>
      <c r="F208" s="26" t="s">
        <v>1168</v>
      </c>
      <c r="G208" s="625" t="str">
        <f t="array" ref="G208">IFERROR(INDEX('TB-EQUIPMENT &amp; OTHER HPs'!$L$14:$L$61,MATCH($E208&amp;$F208,'TB-EQUIPMENT &amp; OTHER HPs'!$E$14:$E$61&amp;'TB-EQUIPMENT &amp; OTHER HPs'!$I$14:$I$61,0)),"")</f>
        <v/>
      </c>
      <c r="H208" s="625" t="str">
        <f t="array" ref="H208">IFERROR(INDEX('TB-EQUIPMENT &amp; OTHER HPs'!$M$14:$M$61,MATCH($E208&amp;$F208,'TB-EQUIPMENT &amp; OTHER HPs'!$E$14:$E$61&amp;'TB-EQUIPMENT &amp; OTHER HPs'!$I$14:$I$61,0)),"")</f>
        <v/>
      </c>
      <c r="I208" s="625">
        <f t="array" ref="I208">IFERROR(INDEX('TB-EQUIPMENT &amp; OTHER HPs'!$N$14:$N$61,MATCH($E208&amp;$F208,'TB-EQUIPMENT &amp; OTHER HPs'!$E$14:$E$61&amp;'TB-EQUIPMENT &amp; OTHER HPs'!$I$14:$I$61,0)),0)</f>
        <v>0</v>
      </c>
      <c r="J208" s="625">
        <f t="array" ref="J208">IFERROR(INDEX('TB-EQUIPMENT &amp; OTHER HPs'!$O$14:$O$61,MATCH($E208&amp;$F208,'TB-EQUIPMENT &amp; OTHER HPs'!$E$14:$E$61&amp;'TB-EQUIPMENT &amp; OTHER HPs'!$I$14:$I$61,0)),0)</f>
        <v>0</v>
      </c>
      <c r="K208" s="626">
        <f t="shared" si="180"/>
        <v>0</v>
      </c>
      <c r="L208" s="626">
        <f t="shared" si="181"/>
        <v>0</v>
      </c>
      <c r="M208" s="626">
        <f t="shared" si="182"/>
        <v>0</v>
      </c>
      <c r="N208" s="625">
        <f t="array" ref="N208">IFERROR(INDEX('TB-EQUIPMENT &amp; OTHER HPs'!$P$14:$P$61,MATCH($E208&amp;$F208,'TB-EQUIPMENT &amp; OTHER HPs'!$E$14:$E$61&amp;'TB-EQUIPMENT &amp; OTHER HPs'!$I$14:$I$61,0)),0)</f>
        <v>0</v>
      </c>
      <c r="O208" s="626">
        <f t="shared" si="183"/>
        <v>0</v>
      </c>
      <c r="P208" s="626">
        <f t="shared" si="184"/>
        <v>0</v>
      </c>
      <c r="Q208" s="626">
        <f t="shared" si="185"/>
        <v>0</v>
      </c>
      <c r="R208" s="625">
        <f t="array" ref="R208">IFERROR(INDEX('TB-EQUIPMENT &amp; OTHER HPs'!$Q$14:$Q$61,MATCH($E208&amp;$F208,'TB-EQUIPMENT &amp; OTHER HPs'!$E$14:$E$61&amp;'TB-EQUIPMENT &amp; OTHER HPs'!$I$14:$I$61,0)),0)</f>
        <v>0</v>
      </c>
      <c r="S208" s="626">
        <f t="shared" si="186"/>
        <v>0</v>
      </c>
      <c r="T208" s="626">
        <f t="shared" si="187"/>
        <v>0</v>
      </c>
      <c r="U208" s="626">
        <f t="shared" si="188"/>
        <v>0</v>
      </c>
      <c r="V208" s="625">
        <f t="array" ref="V208">IFERROR(INDEX('TB-EQUIPMENT &amp; OTHER HPs'!$R$14:$R$61,MATCH($E208&amp;$F208,'TB-EQUIPMENT &amp; OTHER HPs'!$E$14:$E$61&amp;'TB-EQUIPMENT &amp; OTHER HPs'!$I$14:$I$61,0)),0)</f>
        <v>0</v>
      </c>
      <c r="W208" s="626">
        <f t="shared" si="189"/>
        <v>0</v>
      </c>
      <c r="X208" s="626">
        <f t="shared" si="190"/>
        <v>0</v>
      </c>
      <c r="Y208" s="626">
        <f t="shared" si="191"/>
        <v>0</v>
      </c>
      <c r="Z208" s="630"/>
      <c r="AA208" s="625">
        <f t="array" ref="AA208">IFERROR(INDEX('TB-EQUIPMENT &amp; OTHER HPs'!$U$14:$U$61,MATCH($E208&amp;$F208,'TB-EQUIPMENT &amp; OTHER HPs'!$E$14:$E$61&amp;'TB-EQUIPMENT &amp; OTHER HPs'!$I$14:$I$61,0)),0)</f>
        <v>0</v>
      </c>
      <c r="AB208" s="625">
        <f t="array" ref="AB208">IFERROR(INDEX('TB-EQUIPMENT &amp; OTHER HPs'!$V$14:$V$61,MATCH($E208&amp;$F208,'TB-EQUIPMENT &amp; OTHER HPs'!$E$14:$E$61&amp;'TB-EQUIPMENT &amp; OTHER HPs'!$I$14:$I$61,0)),0)</f>
        <v>0</v>
      </c>
      <c r="AC208" s="626">
        <f t="shared" si="192"/>
        <v>0</v>
      </c>
      <c r="AD208" s="626">
        <f t="shared" si="193"/>
        <v>0</v>
      </c>
      <c r="AE208" s="626">
        <f t="shared" si="194"/>
        <v>0</v>
      </c>
      <c r="AF208" s="625">
        <f t="array" ref="AF208">IFERROR(INDEX('TB-EQUIPMENT &amp; OTHER HPs'!$W$14:$W$61,MATCH($E208&amp;$F208,'TB-EQUIPMENT &amp; OTHER HPs'!$E$14:$E$61&amp;'TB-EQUIPMENT &amp; OTHER HPs'!$I$14:$I$61,0)),0)</f>
        <v>0</v>
      </c>
      <c r="AG208" s="626">
        <f t="shared" si="195"/>
        <v>0</v>
      </c>
      <c r="AH208" s="626">
        <f t="shared" si="196"/>
        <v>0</v>
      </c>
      <c r="AI208" s="626">
        <f t="shared" si="197"/>
        <v>0</v>
      </c>
      <c r="AJ208" s="625">
        <f t="array" ref="AJ208">IFERROR(INDEX('TB-EQUIPMENT &amp; OTHER HPs'!$X$14:$X$61,MATCH($E208&amp;$F208,'TB-EQUIPMENT &amp; OTHER HPs'!$E$14:$E$61&amp;'TB-EQUIPMENT &amp; OTHER HPs'!$I$14:$I$61,0)),0)</f>
        <v>0</v>
      </c>
      <c r="AK208" s="626">
        <f t="shared" si="198"/>
        <v>0</v>
      </c>
      <c r="AL208" s="626">
        <f t="shared" si="199"/>
        <v>0</v>
      </c>
      <c r="AM208" s="626">
        <f t="shared" si="200"/>
        <v>0</v>
      </c>
      <c r="AN208" s="625">
        <f t="array" ref="AN208">IFERROR(INDEX('TB-EQUIPMENT &amp; OTHER HPs'!$Y$14:$Y$61,MATCH($E208&amp;$F208,'TB-EQUIPMENT &amp; OTHER HPs'!$E$14:$E$61&amp;'TB-EQUIPMENT &amp; OTHER HPs'!$I$14:$I$61,0)),0)</f>
        <v>0</v>
      </c>
      <c r="AO208" s="626">
        <f t="shared" si="201"/>
        <v>0</v>
      </c>
      <c r="AP208" s="626">
        <f t="shared" si="202"/>
        <v>0</v>
      </c>
      <c r="AQ208" s="626">
        <f t="shared" si="203"/>
        <v>0</v>
      </c>
      <c r="AR208" s="630"/>
      <c r="AS208" s="625">
        <f t="array" ref="AS208">IFERROR(INDEX('TB-EQUIPMENT &amp; OTHER HPs'!$AB$14:$AB$61,MATCH($E208&amp;$F208,'TB-EQUIPMENT &amp; OTHER HPs'!$E$14:$E$61&amp;'TB-EQUIPMENT &amp; OTHER HPs'!$I$14:$I$61,0)),0)</f>
        <v>0</v>
      </c>
      <c r="AT208" s="625">
        <f t="array" ref="AT208">IFERROR(INDEX('TB-EQUIPMENT &amp; OTHER HPs'!$AC$14:$AC$61,MATCH($E208&amp;$F208,'TB-EQUIPMENT &amp; OTHER HPs'!$E$14:$E$61&amp;'TB-EQUIPMENT &amp; OTHER HPs'!$I$14:$I$61,0)),0)</f>
        <v>0</v>
      </c>
      <c r="AU208" s="626">
        <f t="shared" si="204"/>
        <v>0</v>
      </c>
      <c r="AV208" s="626">
        <f t="shared" si="205"/>
        <v>0</v>
      </c>
      <c r="AW208" s="626">
        <f t="shared" si="206"/>
        <v>0</v>
      </c>
      <c r="AX208" s="625">
        <f t="array" ref="AX208">IFERROR(INDEX('TB-EQUIPMENT &amp; OTHER HPs'!$AD$14:$AD$61,MATCH($E208&amp;$F208,'TB-EQUIPMENT &amp; OTHER HPs'!$E$14:$E$61&amp;'TB-EQUIPMENT &amp; OTHER HPs'!$I$14:$I$61,0)),0)</f>
        <v>0</v>
      </c>
      <c r="AY208" s="626">
        <f t="shared" si="207"/>
        <v>0</v>
      </c>
      <c r="AZ208" s="626">
        <f t="shared" si="208"/>
        <v>0</v>
      </c>
      <c r="BA208" s="626">
        <f t="shared" si="209"/>
        <v>0</v>
      </c>
      <c r="BB208" s="625">
        <f t="array" ref="BB208">IFERROR(INDEX('TB-EQUIPMENT &amp; OTHER HPs'!$AE$14:$AE$61,MATCH($E208&amp;$F208,'TB-EQUIPMENT &amp; OTHER HPs'!$E$14:$E$61&amp;'TB-EQUIPMENT &amp; OTHER HPs'!$I$14:$I$61,0)),0)</f>
        <v>0</v>
      </c>
      <c r="BC208" s="626">
        <f t="shared" si="210"/>
        <v>0</v>
      </c>
      <c r="BD208" s="626">
        <f t="shared" si="211"/>
        <v>0</v>
      </c>
      <c r="BE208" s="626">
        <f t="shared" si="212"/>
        <v>0</v>
      </c>
      <c r="BF208" s="625">
        <f t="array" ref="BF208">IFERROR(INDEX('TB-EQUIPMENT &amp; OTHER HPs'!$AF$14:$AF$61,MATCH($E208&amp;$F208,'TB-EQUIPMENT &amp; OTHER HPs'!$E$14:$E$61&amp;'TB-EQUIPMENT &amp; OTHER HPs'!$I$14:$I$61,0)),0)</f>
        <v>0</v>
      </c>
      <c r="BG208" s="626">
        <f t="shared" si="213"/>
        <v>0</v>
      </c>
      <c r="BH208" s="626">
        <f t="shared" si="214"/>
        <v>0</v>
      </c>
      <c r="BI208" s="626">
        <f t="shared" si="215"/>
        <v>0</v>
      </c>
      <c r="BJ208" s="630"/>
      <c r="BK208" s="625"/>
      <c r="BL208" s="625"/>
      <c r="BM208" s="625"/>
      <c r="BN208" s="625"/>
      <c r="BO208" s="625"/>
      <c r="BP208" s="625"/>
      <c r="BQ208" s="625"/>
      <c r="BR208" s="625"/>
    </row>
    <row r="209" spans="1:70">
      <c r="A209" s="29" t="s">
        <v>1588</v>
      </c>
      <c r="B209" s="29" t="s">
        <v>1835</v>
      </c>
      <c r="C209" s="619">
        <f>SETUP!$F$40</f>
        <v>0</v>
      </c>
      <c r="D209" s="25">
        <v>6.3</v>
      </c>
      <c r="E209" s="26" t="s">
        <v>1165</v>
      </c>
      <c r="F209" s="26" t="s">
        <v>1169</v>
      </c>
      <c r="G209" s="625" t="str">
        <f t="array" ref="G209">IFERROR(INDEX('TB-EQUIPMENT &amp; OTHER HPs'!$L$14:$L$61,MATCH($E209&amp;$F209,'TB-EQUIPMENT &amp; OTHER HPs'!$E$14:$E$61&amp;'TB-EQUIPMENT &amp; OTHER HPs'!$I$14:$I$61,0)),"")</f>
        <v/>
      </c>
      <c r="H209" s="625" t="str">
        <f t="array" ref="H209">IFERROR(INDEX('TB-EQUIPMENT &amp; OTHER HPs'!$M$14:$M$61,MATCH($E209&amp;$F209,'TB-EQUIPMENT &amp; OTHER HPs'!$E$14:$E$61&amp;'TB-EQUIPMENT &amp; OTHER HPs'!$I$14:$I$61,0)),"")</f>
        <v/>
      </c>
      <c r="I209" s="625">
        <f t="array" ref="I209">IFERROR(INDEX('TB-EQUIPMENT &amp; OTHER HPs'!$N$14:$N$61,MATCH($E209&amp;$F209,'TB-EQUIPMENT &amp; OTHER HPs'!$E$14:$E$61&amp;'TB-EQUIPMENT &amp; OTHER HPs'!$I$14:$I$61,0)),0)</f>
        <v>0</v>
      </c>
      <c r="J209" s="625">
        <f t="array" ref="J209">IFERROR(INDEX('TB-EQUIPMENT &amp; OTHER HPs'!$O$14:$O$61,MATCH($E209&amp;$F209,'TB-EQUIPMENT &amp; OTHER HPs'!$E$14:$E$61&amp;'TB-EQUIPMENT &amp; OTHER HPs'!$I$14:$I$61,0)),0)</f>
        <v>0</v>
      </c>
      <c r="K209" s="626">
        <f t="shared" si="180"/>
        <v>0</v>
      </c>
      <c r="L209" s="626">
        <f t="shared" si="181"/>
        <v>0</v>
      </c>
      <c r="M209" s="626">
        <f t="shared" si="182"/>
        <v>0</v>
      </c>
      <c r="N209" s="625">
        <f t="array" ref="N209">IFERROR(INDEX('TB-EQUIPMENT &amp; OTHER HPs'!$P$14:$P$61,MATCH($E209&amp;$F209,'TB-EQUIPMENT &amp; OTHER HPs'!$E$14:$E$61&amp;'TB-EQUIPMENT &amp; OTHER HPs'!$I$14:$I$61,0)),0)</f>
        <v>0</v>
      </c>
      <c r="O209" s="626">
        <f t="shared" si="183"/>
        <v>0</v>
      </c>
      <c r="P209" s="626">
        <f t="shared" si="184"/>
        <v>0</v>
      </c>
      <c r="Q209" s="626">
        <f t="shared" si="185"/>
        <v>0</v>
      </c>
      <c r="R209" s="625">
        <f t="array" ref="R209">IFERROR(INDEX('TB-EQUIPMENT &amp; OTHER HPs'!$Q$14:$Q$61,MATCH($E209&amp;$F209,'TB-EQUIPMENT &amp; OTHER HPs'!$E$14:$E$61&amp;'TB-EQUIPMENT &amp; OTHER HPs'!$I$14:$I$61,0)),0)</f>
        <v>0</v>
      </c>
      <c r="S209" s="626">
        <f t="shared" si="186"/>
        <v>0</v>
      </c>
      <c r="T209" s="626">
        <f t="shared" si="187"/>
        <v>0</v>
      </c>
      <c r="U209" s="626">
        <f t="shared" si="188"/>
        <v>0</v>
      </c>
      <c r="V209" s="625">
        <f t="array" ref="V209">IFERROR(INDEX('TB-EQUIPMENT &amp; OTHER HPs'!$R$14:$R$61,MATCH($E209&amp;$F209,'TB-EQUIPMENT &amp; OTHER HPs'!$E$14:$E$61&amp;'TB-EQUIPMENT &amp; OTHER HPs'!$I$14:$I$61,0)),0)</f>
        <v>0</v>
      </c>
      <c r="W209" s="626">
        <f t="shared" si="189"/>
        <v>0</v>
      </c>
      <c r="X209" s="626">
        <f t="shared" si="190"/>
        <v>0</v>
      </c>
      <c r="Y209" s="626">
        <f t="shared" si="191"/>
        <v>0</v>
      </c>
      <c r="Z209" s="630"/>
      <c r="AA209" s="625">
        <f t="array" ref="AA209">IFERROR(INDEX('TB-EQUIPMENT &amp; OTHER HPs'!$U$14:$U$61,MATCH($E209&amp;$F209,'TB-EQUIPMENT &amp; OTHER HPs'!$E$14:$E$61&amp;'TB-EQUIPMENT &amp; OTHER HPs'!$I$14:$I$61,0)),0)</f>
        <v>0</v>
      </c>
      <c r="AB209" s="625">
        <f t="array" ref="AB209">IFERROR(INDEX('TB-EQUIPMENT &amp; OTHER HPs'!$V$14:$V$61,MATCH($E209&amp;$F209,'TB-EQUIPMENT &amp; OTHER HPs'!$E$14:$E$61&amp;'TB-EQUIPMENT &amp; OTHER HPs'!$I$14:$I$61,0)),0)</f>
        <v>0</v>
      </c>
      <c r="AC209" s="626">
        <f t="shared" si="192"/>
        <v>0</v>
      </c>
      <c r="AD209" s="626">
        <f t="shared" si="193"/>
        <v>0</v>
      </c>
      <c r="AE209" s="626">
        <f t="shared" si="194"/>
        <v>0</v>
      </c>
      <c r="AF209" s="625">
        <f t="array" ref="AF209">IFERROR(INDEX('TB-EQUIPMENT &amp; OTHER HPs'!$W$14:$W$61,MATCH($E209&amp;$F209,'TB-EQUIPMENT &amp; OTHER HPs'!$E$14:$E$61&amp;'TB-EQUIPMENT &amp; OTHER HPs'!$I$14:$I$61,0)),0)</f>
        <v>0</v>
      </c>
      <c r="AG209" s="626">
        <f t="shared" si="195"/>
        <v>0</v>
      </c>
      <c r="AH209" s="626">
        <f t="shared" si="196"/>
        <v>0</v>
      </c>
      <c r="AI209" s="626">
        <f t="shared" si="197"/>
        <v>0</v>
      </c>
      <c r="AJ209" s="625">
        <f t="array" ref="AJ209">IFERROR(INDEX('TB-EQUIPMENT &amp; OTHER HPs'!$X$14:$X$61,MATCH($E209&amp;$F209,'TB-EQUIPMENT &amp; OTHER HPs'!$E$14:$E$61&amp;'TB-EQUIPMENT &amp; OTHER HPs'!$I$14:$I$61,0)),0)</f>
        <v>0</v>
      </c>
      <c r="AK209" s="626">
        <f t="shared" si="198"/>
        <v>0</v>
      </c>
      <c r="AL209" s="626">
        <f t="shared" si="199"/>
        <v>0</v>
      </c>
      <c r="AM209" s="626">
        <f t="shared" si="200"/>
        <v>0</v>
      </c>
      <c r="AN209" s="625">
        <f t="array" ref="AN209">IFERROR(INDEX('TB-EQUIPMENT &amp; OTHER HPs'!$Y$14:$Y$61,MATCH($E209&amp;$F209,'TB-EQUIPMENT &amp; OTHER HPs'!$E$14:$E$61&amp;'TB-EQUIPMENT &amp; OTHER HPs'!$I$14:$I$61,0)),0)</f>
        <v>0</v>
      </c>
      <c r="AO209" s="626">
        <f t="shared" si="201"/>
        <v>0</v>
      </c>
      <c r="AP209" s="626">
        <f t="shared" si="202"/>
        <v>0</v>
      </c>
      <c r="AQ209" s="626">
        <f t="shared" si="203"/>
        <v>0</v>
      </c>
      <c r="AR209" s="630"/>
      <c r="AS209" s="625">
        <f t="array" ref="AS209">IFERROR(INDEX('TB-EQUIPMENT &amp; OTHER HPs'!$AB$14:$AB$61,MATCH($E209&amp;$F209,'TB-EQUIPMENT &amp; OTHER HPs'!$E$14:$E$61&amp;'TB-EQUIPMENT &amp; OTHER HPs'!$I$14:$I$61,0)),0)</f>
        <v>0</v>
      </c>
      <c r="AT209" s="625">
        <f t="array" ref="AT209">IFERROR(INDEX('TB-EQUIPMENT &amp; OTHER HPs'!$AC$14:$AC$61,MATCH($E209&amp;$F209,'TB-EQUIPMENT &amp; OTHER HPs'!$E$14:$E$61&amp;'TB-EQUIPMENT &amp; OTHER HPs'!$I$14:$I$61,0)),0)</f>
        <v>0</v>
      </c>
      <c r="AU209" s="626">
        <f t="shared" si="204"/>
        <v>0</v>
      </c>
      <c r="AV209" s="626">
        <f t="shared" si="205"/>
        <v>0</v>
      </c>
      <c r="AW209" s="626">
        <f t="shared" si="206"/>
        <v>0</v>
      </c>
      <c r="AX209" s="625">
        <f t="array" ref="AX209">IFERROR(INDEX('TB-EQUIPMENT &amp; OTHER HPs'!$AD$14:$AD$61,MATCH($E209&amp;$F209,'TB-EQUIPMENT &amp; OTHER HPs'!$E$14:$E$61&amp;'TB-EQUIPMENT &amp; OTHER HPs'!$I$14:$I$61,0)),0)</f>
        <v>0</v>
      </c>
      <c r="AY209" s="626">
        <f t="shared" si="207"/>
        <v>0</v>
      </c>
      <c r="AZ209" s="626">
        <f t="shared" si="208"/>
        <v>0</v>
      </c>
      <c r="BA209" s="626">
        <f t="shared" si="209"/>
        <v>0</v>
      </c>
      <c r="BB209" s="625">
        <f t="array" ref="BB209">IFERROR(INDEX('TB-EQUIPMENT &amp; OTHER HPs'!$AE$14:$AE$61,MATCH($E209&amp;$F209,'TB-EQUIPMENT &amp; OTHER HPs'!$E$14:$E$61&amp;'TB-EQUIPMENT &amp; OTHER HPs'!$I$14:$I$61,0)),0)</f>
        <v>0</v>
      </c>
      <c r="BC209" s="626">
        <f t="shared" si="210"/>
        <v>0</v>
      </c>
      <c r="BD209" s="626">
        <f t="shared" si="211"/>
        <v>0</v>
      </c>
      <c r="BE209" s="626">
        <f t="shared" si="212"/>
        <v>0</v>
      </c>
      <c r="BF209" s="625">
        <f t="array" ref="BF209">IFERROR(INDEX('TB-EQUIPMENT &amp; OTHER HPs'!$AF$14:$AF$61,MATCH($E209&amp;$F209,'TB-EQUIPMENT &amp; OTHER HPs'!$E$14:$E$61&amp;'TB-EQUIPMENT &amp; OTHER HPs'!$I$14:$I$61,0)),0)</f>
        <v>0</v>
      </c>
      <c r="BG209" s="626">
        <f t="shared" si="213"/>
        <v>0</v>
      </c>
      <c r="BH209" s="626">
        <f t="shared" si="214"/>
        <v>0</v>
      </c>
      <c r="BI209" s="626">
        <f t="shared" si="215"/>
        <v>0</v>
      </c>
      <c r="BJ209" s="630"/>
      <c r="BK209" s="625"/>
      <c r="BL209" s="625"/>
      <c r="BM209" s="625"/>
      <c r="BN209" s="625"/>
      <c r="BO209" s="625"/>
      <c r="BP209" s="625"/>
      <c r="BQ209" s="625"/>
      <c r="BR209" s="625"/>
    </row>
    <row r="210" spans="1:70">
      <c r="A210" s="29" t="s">
        <v>1588</v>
      </c>
      <c r="B210" s="29" t="s">
        <v>1835</v>
      </c>
      <c r="C210" s="619">
        <f>SETUP!$F$40</f>
        <v>0</v>
      </c>
      <c r="D210" s="25">
        <v>6.3</v>
      </c>
      <c r="E210" s="26" t="s">
        <v>1166</v>
      </c>
      <c r="F210" s="26" t="s">
        <v>1140</v>
      </c>
      <c r="G210" s="625" t="str">
        <f t="array" ref="G210">IFERROR(INDEX('TB-EQUIPMENT &amp; OTHER HPs'!$L$14:$L$61,MATCH($E210&amp;$F210,'TB-EQUIPMENT &amp; OTHER HPs'!$E$14:$E$61&amp;'TB-EQUIPMENT &amp; OTHER HPs'!$I$14:$I$61,0)),"")</f>
        <v/>
      </c>
      <c r="H210" s="625" t="str">
        <f t="array" ref="H210">IFERROR(INDEX('TB-EQUIPMENT &amp; OTHER HPs'!$M$14:$M$61,MATCH($E210&amp;$F210,'TB-EQUIPMENT &amp; OTHER HPs'!$E$14:$E$61&amp;'TB-EQUIPMENT &amp; OTHER HPs'!$I$14:$I$61,0)),"")</f>
        <v/>
      </c>
      <c r="I210" s="625">
        <f t="array" ref="I210">IFERROR(INDEX('TB-EQUIPMENT &amp; OTHER HPs'!$N$14:$N$61,MATCH($E210&amp;$F210,'TB-EQUIPMENT &amp; OTHER HPs'!$E$14:$E$61&amp;'TB-EQUIPMENT &amp; OTHER HPs'!$I$14:$I$61,0)),0)</f>
        <v>0</v>
      </c>
      <c r="J210" s="625">
        <f t="array" ref="J210">IFERROR(INDEX('TB-EQUIPMENT &amp; OTHER HPs'!$O$14:$O$61,MATCH($E210&amp;$F210,'TB-EQUIPMENT &amp; OTHER HPs'!$E$14:$E$61&amp;'TB-EQUIPMENT &amp; OTHER HPs'!$I$14:$I$61,0)),0)</f>
        <v>0</v>
      </c>
      <c r="K210" s="626">
        <f t="shared" si="180"/>
        <v>0</v>
      </c>
      <c r="L210" s="626">
        <f t="shared" si="181"/>
        <v>0</v>
      </c>
      <c r="M210" s="626">
        <f t="shared" si="182"/>
        <v>0</v>
      </c>
      <c r="N210" s="625">
        <f t="array" ref="N210">IFERROR(INDEX('TB-EQUIPMENT &amp; OTHER HPs'!$P$14:$P$61,MATCH($E210&amp;$F210,'TB-EQUIPMENT &amp; OTHER HPs'!$E$14:$E$61&amp;'TB-EQUIPMENT &amp; OTHER HPs'!$I$14:$I$61,0)),0)</f>
        <v>0</v>
      </c>
      <c r="O210" s="626">
        <f t="shared" si="183"/>
        <v>0</v>
      </c>
      <c r="P210" s="626">
        <f t="shared" si="184"/>
        <v>0</v>
      </c>
      <c r="Q210" s="626">
        <f t="shared" si="185"/>
        <v>0</v>
      </c>
      <c r="R210" s="625">
        <f t="array" ref="R210">IFERROR(INDEX('TB-EQUIPMENT &amp; OTHER HPs'!$Q$14:$Q$61,MATCH($E210&amp;$F210,'TB-EQUIPMENT &amp; OTHER HPs'!$E$14:$E$61&amp;'TB-EQUIPMENT &amp; OTHER HPs'!$I$14:$I$61,0)),0)</f>
        <v>0</v>
      </c>
      <c r="S210" s="626">
        <f t="shared" si="186"/>
        <v>0</v>
      </c>
      <c r="T210" s="626">
        <f t="shared" si="187"/>
        <v>0</v>
      </c>
      <c r="U210" s="626">
        <f t="shared" si="188"/>
        <v>0</v>
      </c>
      <c r="V210" s="625">
        <f t="array" ref="V210">IFERROR(INDEX('TB-EQUIPMENT &amp; OTHER HPs'!$R$14:$R$61,MATCH($E210&amp;$F210,'TB-EQUIPMENT &amp; OTHER HPs'!$E$14:$E$61&amp;'TB-EQUIPMENT &amp; OTHER HPs'!$I$14:$I$61,0)),0)</f>
        <v>0</v>
      </c>
      <c r="W210" s="626">
        <f t="shared" si="189"/>
        <v>0</v>
      </c>
      <c r="X210" s="626">
        <f t="shared" si="190"/>
        <v>0</v>
      </c>
      <c r="Y210" s="626">
        <f t="shared" si="191"/>
        <v>0</v>
      </c>
      <c r="Z210" s="630"/>
      <c r="AA210" s="625">
        <f t="array" ref="AA210">IFERROR(INDEX('TB-EQUIPMENT &amp; OTHER HPs'!$U$14:$U$61,MATCH($E210&amp;$F210,'TB-EQUIPMENT &amp; OTHER HPs'!$E$14:$E$61&amp;'TB-EQUIPMENT &amp; OTHER HPs'!$I$14:$I$61,0)),0)</f>
        <v>0</v>
      </c>
      <c r="AB210" s="625">
        <f t="array" ref="AB210">IFERROR(INDEX('TB-EQUIPMENT &amp; OTHER HPs'!$V$14:$V$61,MATCH($E210&amp;$F210,'TB-EQUIPMENT &amp; OTHER HPs'!$E$14:$E$61&amp;'TB-EQUIPMENT &amp; OTHER HPs'!$I$14:$I$61,0)),0)</f>
        <v>0</v>
      </c>
      <c r="AC210" s="626">
        <f t="shared" si="192"/>
        <v>0</v>
      </c>
      <c r="AD210" s="626">
        <f t="shared" si="193"/>
        <v>0</v>
      </c>
      <c r="AE210" s="626">
        <f t="shared" si="194"/>
        <v>0</v>
      </c>
      <c r="AF210" s="625">
        <f t="array" ref="AF210">IFERROR(INDEX('TB-EQUIPMENT &amp; OTHER HPs'!$W$14:$W$61,MATCH($E210&amp;$F210,'TB-EQUIPMENT &amp; OTHER HPs'!$E$14:$E$61&amp;'TB-EQUIPMENT &amp; OTHER HPs'!$I$14:$I$61,0)),0)</f>
        <v>0</v>
      </c>
      <c r="AG210" s="626">
        <f t="shared" si="195"/>
        <v>0</v>
      </c>
      <c r="AH210" s="626">
        <f t="shared" si="196"/>
        <v>0</v>
      </c>
      <c r="AI210" s="626">
        <f t="shared" si="197"/>
        <v>0</v>
      </c>
      <c r="AJ210" s="625">
        <f t="array" ref="AJ210">IFERROR(INDEX('TB-EQUIPMENT &amp; OTHER HPs'!$X$14:$X$61,MATCH($E210&amp;$F210,'TB-EQUIPMENT &amp; OTHER HPs'!$E$14:$E$61&amp;'TB-EQUIPMENT &amp; OTHER HPs'!$I$14:$I$61,0)),0)</f>
        <v>0</v>
      </c>
      <c r="AK210" s="626">
        <f t="shared" si="198"/>
        <v>0</v>
      </c>
      <c r="AL210" s="626">
        <f t="shared" si="199"/>
        <v>0</v>
      </c>
      <c r="AM210" s="626">
        <f t="shared" si="200"/>
        <v>0</v>
      </c>
      <c r="AN210" s="625">
        <f t="array" ref="AN210">IFERROR(INDEX('TB-EQUIPMENT &amp; OTHER HPs'!$Y$14:$Y$61,MATCH($E210&amp;$F210,'TB-EQUIPMENT &amp; OTHER HPs'!$E$14:$E$61&amp;'TB-EQUIPMENT &amp; OTHER HPs'!$I$14:$I$61,0)),0)</f>
        <v>0</v>
      </c>
      <c r="AO210" s="626">
        <f t="shared" si="201"/>
        <v>0</v>
      </c>
      <c r="AP210" s="626">
        <f t="shared" si="202"/>
        <v>0</v>
      </c>
      <c r="AQ210" s="626">
        <f t="shared" si="203"/>
        <v>0</v>
      </c>
      <c r="AR210" s="630"/>
      <c r="AS210" s="625">
        <f t="array" ref="AS210">IFERROR(INDEX('TB-EQUIPMENT &amp; OTHER HPs'!$AB$14:$AB$61,MATCH($E210&amp;$F210,'TB-EQUIPMENT &amp; OTHER HPs'!$E$14:$E$61&amp;'TB-EQUIPMENT &amp; OTHER HPs'!$I$14:$I$61,0)),0)</f>
        <v>0</v>
      </c>
      <c r="AT210" s="625">
        <f t="array" ref="AT210">IFERROR(INDEX('TB-EQUIPMENT &amp; OTHER HPs'!$AC$14:$AC$61,MATCH($E210&amp;$F210,'TB-EQUIPMENT &amp; OTHER HPs'!$E$14:$E$61&amp;'TB-EQUIPMENT &amp; OTHER HPs'!$I$14:$I$61,0)),0)</f>
        <v>0</v>
      </c>
      <c r="AU210" s="626">
        <f t="shared" si="204"/>
        <v>0</v>
      </c>
      <c r="AV210" s="626">
        <f t="shared" si="205"/>
        <v>0</v>
      </c>
      <c r="AW210" s="626">
        <f t="shared" si="206"/>
        <v>0</v>
      </c>
      <c r="AX210" s="625">
        <f t="array" ref="AX210">IFERROR(INDEX('TB-EQUIPMENT &amp; OTHER HPs'!$AD$14:$AD$61,MATCH($E210&amp;$F210,'TB-EQUIPMENT &amp; OTHER HPs'!$E$14:$E$61&amp;'TB-EQUIPMENT &amp; OTHER HPs'!$I$14:$I$61,0)),0)</f>
        <v>0</v>
      </c>
      <c r="AY210" s="626">
        <f t="shared" si="207"/>
        <v>0</v>
      </c>
      <c r="AZ210" s="626">
        <f t="shared" si="208"/>
        <v>0</v>
      </c>
      <c r="BA210" s="626">
        <f t="shared" si="209"/>
        <v>0</v>
      </c>
      <c r="BB210" s="625">
        <f t="array" ref="BB210">IFERROR(INDEX('TB-EQUIPMENT &amp; OTHER HPs'!$AE$14:$AE$61,MATCH($E210&amp;$F210,'TB-EQUIPMENT &amp; OTHER HPs'!$E$14:$E$61&amp;'TB-EQUIPMENT &amp; OTHER HPs'!$I$14:$I$61,0)),0)</f>
        <v>0</v>
      </c>
      <c r="BC210" s="626">
        <f t="shared" si="210"/>
        <v>0</v>
      </c>
      <c r="BD210" s="626">
        <f t="shared" si="211"/>
        <v>0</v>
      </c>
      <c r="BE210" s="626">
        <f t="shared" si="212"/>
        <v>0</v>
      </c>
      <c r="BF210" s="625">
        <f t="array" ref="BF210">IFERROR(INDEX('TB-EQUIPMENT &amp; OTHER HPs'!$AF$14:$AF$61,MATCH($E210&amp;$F210,'TB-EQUIPMENT &amp; OTHER HPs'!$E$14:$E$61&amp;'TB-EQUIPMENT &amp; OTHER HPs'!$I$14:$I$61,0)),0)</f>
        <v>0</v>
      </c>
      <c r="BG210" s="626">
        <f t="shared" si="213"/>
        <v>0</v>
      </c>
      <c r="BH210" s="626">
        <f t="shared" si="214"/>
        <v>0</v>
      </c>
      <c r="BI210" s="626">
        <f t="shared" si="215"/>
        <v>0</v>
      </c>
      <c r="BJ210" s="630"/>
      <c r="BK210" s="625"/>
      <c r="BL210" s="625"/>
      <c r="BM210" s="625"/>
      <c r="BN210" s="625"/>
      <c r="BO210" s="625"/>
      <c r="BP210" s="625"/>
      <c r="BQ210" s="625"/>
      <c r="BR210" s="625"/>
    </row>
    <row r="211" spans="1:70">
      <c r="A211" s="29" t="s">
        <v>1588</v>
      </c>
      <c r="B211" s="29" t="s">
        <v>1835</v>
      </c>
      <c r="C211" s="619">
        <f>SETUP!$F$40</f>
        <v>0</v>
      </c>
      <c r="D211" s="25">
        <v>6.3</v>
      </c>
      <c r="E211" s="26" t="s">
        <v>1167</v>
      </c>
      <c r="F211" s="26" t="s">
        <v>1140</v>
      </c>
      <c r="G211" s="625" t="str">
        <f t="array" ref="G211">IFERROR(INDEX('TB-EQUIPMENT &amp; OTHER HPs'!$L$14:$L$61,MATCH($E211&amp;$F211,'TB-EQUIPMENT &amp; OTHER HPs'!$E$14:$E$61&amp;'TB-EQUIPMENT &amp; OTHER HPs'!$I$14:$I$61,0)),"")</f>
        <v/>
      </c>
      <c r="H211" s="625" t="str">
        <f t="array" ref="H211">IFERROR(INDEX('TB-EQUIPMENT &amp; OTHER HPs'!$M$14:$M$61,MATCH($E211&amp;$F211,'TB-EQUIPMENT &amp; OTHER HPs'!$E$14:$E$61&amp;'TB-EQUIPMENT &amp; OTHER HPs'!$I$14:$I$61,0)),"")</f>
        <v/>
      </c>
      <c r="I211" s="625">
        <f t="array" ref="I211">IFERROR(INDEX('TB-EQUIPMENT &amp; OTHER HPs'!$N$14:$N$61,MATCH($E211&amp;$F211,'TB-EQUIPMENT &amp; OTHER HPs'!$E$14:$E$61&amp;'TB-EQUIPMENT &amp; OTHER HPs'!$I$14:$I$61,0)),0)</f>
        <v>0</v>
      </c>
      <c r="J211" s="625">
        <f t="array" ref="J211">IFERROR(INDEX('TB-EQUIPMENT &amp; OTHER HPs'!$O$14:$O$61,MATCH($E211&amp;$F211,'TB-EQUIPMENT &amp; OTHER HPs'!$E$14:$E$61&amp;'TB-EQUIPMENT &amp; OTHER HPs'!$I$14:$I$61,0)),0)</f>
        <v>0</v>
      </c>
      <c r="K211" s="626">
        <f t="shared" si="180"/>
        <v>0</v>
      </c>
      <c r="L211" s="626">
        <f t="shared" si="181"/>
        <v>0</v>
      </c>
      <c r="M211" s="626">
        <f t="shared" si="182"/>
        <v>0</v>
      </c>
      <c r="N211" s="625">
        <f t="array" ref="N211">IFERROR(INDEX('TB-EQUIPMENT &amp; OTHER HPs'!$P$14:$P$61,MATCH($E211&amp;$F211,'TB-EQUIPMENT &amp; OTHER HPs'!$E$14:$E$61&amp;'TB-EQUIPMENT &amp; OTHER HPs'!$I$14:$I$61,0)),0)</f>
        <v>0</v>
      </c>
      <c r="O211" s="626">
        <f t="shared" si="183"/>
        <v>0</v>
      </c>
      <c r="P211" s="626">
        <f t="shared" si="184"/>
        <v>0</v>
      </c>
      <c r="Q211" s="626">
        <f t="shared" si="185"/>
        <v>0</v>
      </c>
      <c r="R211" s="625">
        <f t="array" ref="R211">IFERROR(INDEX('TB-EQUIPMENT &amp; OTHER HPs'!$Q$14:$Q$61,MATCH($E211&amp;$F211,'TB-EQUIPMENT &amp; OTHER HPs'!$E$14:$E$61&amp;'TB-EQUIPMENT &amp; OTHER HPs'!$I$14:$I$61,0)),0)</f>
        <v>0</v>
      </c>
      <c r="S211" s="626">
        <f t="shared" si="186"/>
        <v>0</v>
      </c>
      <c r="T211" s="626">
        <f t="shared" si="187"/>
        <v>0</v>
      </c>
      <c r="U211" s="626">
        <f t="shared" si="188"/>
        <v>0</v>
      </c>
      <c r="V211" s="625">
        <f t="array" ref="V211">IFERROR(INDEX('TB-EQUIPMENT &amp; OTHER HPs'!$R$14:$R$61,MATCH($E211&amp;$F211,'TB-EQUIPMENT &amp; OTHER HPs'!$E$14:$E$61&amp;'TB-EQUIPMENT &amp; OTHER HPs'!$I$14:$I$61,0)),0)</f>
        <v>0</v>
      </c>
      <c r="W211" s="626">
        <f t="shared" si="189"/>
        <v>0</v>
      </c>
      <c r="X211" s="626">
        <f t="shared" si="190"/>
        <v>0</v>
      </c>
      <c r="Y211" s="626">
        <f t="shared" si="191"/>
        <v>0</v>
      </c>
      <c r="Z211" s="630"/>
      <c r="AA211" s="625">
        <f t="array" ref="AA211">IFERROR(INDEX('TB-EQUIPMENT &amp; OTHER HPs'!$U$14:$U$61,MATCH($E211&amp;$F211,'TB-EQUIPMENT &amp; OTHER HPs'!$E$14:$E$61&amp;'TB-EQUIPMENT &amp; OTHER HPs'!$I$14:$I$61,0)),0)</f>
        <v>0</v>
      </c>
      <c r="AB211" s="625">
        <f t="array" ref="AB211">IFERROR(INDEX('TB-EQUIPMENT &amp; OTHER HPs'!$V$14:$V$61,MATCH($E211&amp;$F211,'TB-EQUIPMENT &amp; OTHER HPs'!$E$14:$E$61&amp;'TB-EQUIPMENT &amp; OTHER HPs'!$I$14:$I$61,0)),0)</f>
        <v>0</v>
      </c>
      <c r="AC211" s="626">
        <f t="shared" si="192"/>
        <v>0</v>
      </c>
      <c r="AD211" s="626">
        <f t="shared" si="193"/>
        <v>0</v>
      </c>
      <c r="AE211" s="626">
        <f t="shared" si="194"/>
        <v>0</v>
      </c>
      <c r="AF211" s="625">
        <f t="array" ref="AF211">IFERROR(INDEX('TB-EQUIPMENT &amp; OTHER HPs'!$W$14:$W$61,MATCH($E211&amp;$F211,'TB-EQUIPMENT &amp; OTHER HPs'!$E$14:$E$61&amp;'TB-EQUIPMENT &amp; OTHER HPs'!$I$14:$I$61,0)),0)</f>
        <v>0</v>
      </c>
      <c r="AG211" s="626">
        <f t="shared" si="195"/>
        <v>0</v>
      </c>
      <c r="AH211" s="626">
        <f t="shared" si="196"/>
        <v>0</v>
      </c>
      <c r="AI211" s="626">
        <f t="shared" si="197"/>
        <v>0</v>
      </c>
      <c r="AJ211" s="625">
        <f t="array" ref="AJ211">IFERROR(INDEX('TB-EQUIPMENT &amp; OTHER HPs'!$X$14:$X$61,MATCH($E211&amp;$F211,'TB-EQUIPMENT &amp; OTHER HPs'!$E$14:$E$61&amp;'TB-EQUIPMENT &amp; OTHER HPs'!$I$14:$I$61,0)),0)</f>
        <v>0</v>
      </c>
      <c r="AK211" s="626">
        <f t="shared" si="198"/>
        <v>0</v>
      </c>
      <c r="AL211" s="626">
        <f t="shared" si="199"/>
        <v>0</v>
      </c>
      <c r="AM211" s="626">
        <f t="shared" si="200"/>
        <v>0</v>
      </c>
      <c r="AN211" s="625">
        <f t="array" ref="AN211">IFERROR(INDEX('TB-EQUIPMENT &amp; OTHER HPs'!$Y$14:$Y$61,MATCH($E211&amp;$F211,'TB-EQUIPMENT &amp; OTHER HPs'!$E$14:$E$61&amp;'TB-EQUIPMENT &amp; OTHER HPs'!$I$14:$I$61,0)),0)</f>
        <v>0</v>
      </c>
      <c r="AO211" s="626">
        <f t="shared" si="201"/>
        <v>0</v>
      </c>
      <c r="AP211" s="626">
        <f t="shared" si="202"/>
        <v>0</v>
      </c>
      <c r="AQ211" s="626">
        <f t="shared" si="203"/>
        <v>0</v>
      </c>
      <c r="AR211" s="630"/>
      <c r="AS211" s="625">
        <f t="array" ref="AS211">IFERROR(INDEX('TB-EQUIPMENT &amp; OTHER HPs'!$AB$14:$AB$61,MATCH($E211&amp;$F211,'TB-EQUIPMENT &amp; OTHER HPs'!$E$14:$E$61&amp;'TB-EQUIPMENT &amp; OTHER HPs'!$I$14:$I$61,0)),0)</f>
        <v>0</v>
      </c>
      <c r="AT211" s="625">
        <f t="array" ref="AT211">IFERROR(INDEX('TB-EQUIPMENT &amp; OTHER HPs'!$AC$14:$AC$61,MATCH($E211&amp;$F211,'TB-EQUIPMENT &amp; OTHER HPs'!$E$14:$E$61&amp;'TB-EQUIPMENT &amp; OTHER HPs'!$I$14:$I$61,0)),0)</f>
        <v>0</v>
      </c>
      <c r="AU211" s="626">
        <f t="shared" si="204"/>
        <v>0</v>
      </c>
      <c r="AV211" s="626">
        <f t="shared" si="205"/>
        <v>0</v>
      </c>
      <c r="AW211" s="626">
        <f t="shared" si="206"/>
        <v>0</v>
      </c>
      <c r="AX211" s="625">
        <f t="array" ref="AX211">IFERROR(INDEX('TB-EQUIPMENT &amp; OTHER HPs'!$AD$14:$AD$61,MATCH($E211&amp;$F211,'TB-EQUIPMENT &amp; OTHER HPs'!$E$14:$E$61&amp;'TB-EQUIPMENT &amp; OTHER HPs'!$I$14:$I$61,0)),0)</f>
        <v>0</v>
      </c>
      <c r="AY211" s="626">
        <f t="shared" si="207"/>
        <v>0</v>
      </c>
      <c r="AZ211" s="626">
        <f t="shared" si="208"/>
        <v>0</v>
      </c>
      <c r="BA211" s="626">
        <f t="shared" si="209"/>
        <v>0</v>
      </c>
      <c r="BB211" s="625">
        <f t="array" ref="BB211">IFERROR(INDEX('TB-EQUIPMENT &amp; OTHER HPs'!$AE$14:$AE$61,MATCH($E211&amp;$F211,'TB-EQUIPMENT &amp; OTHER HPs'!$E$14:$E$61&amp;'TB-EQUIPMENT &amp; OTHER HPs'!$I$14:$I$61,0)),0)</f>
        <v>0</v>
      </c>
      <c r="BC211" s="626">
        <f t="shared" si="210"/>
        <v>0</v>
      </c>
      <c r="BD211" s="626">
        <f t="shared" si="211"/>
        <v>0</v>
      </c>
      <c r="BE211" s="626">
        <f t="shared" si="212"/>
        <v>0</v>
      </c>
      <c r="BF211" s="625">
        <f t="array" ref="BF211">IFERROR(INDEX('TB-EQUIPMENT &amp; OTHER HPs'!$AF$14:$AF$61,MATCH($E211&amp;$F211,'TB-EQUIPMENT &amp; OTHER HPs'!$E$14:$E$61&amp;'TB-EQUIPMENT &amp; OTHER HPs'!$I$14:$I$61,0)),0)</f>
        <v>0</v>
      </c>
      <c r="BG211" s="626">
        <f t="shared" si="213"/>
        <v>0</v>
      </c>
      <c r="BH211" s="626">
        <f t="shared" si="214"/>
        <v>0</v>
      </c>
      <c r="BI211" s="626">
        <f t="shared" si="215"/>
        <v>0</v>
      </c>
      <c r="BJ211" s="630"/>
      <c r="BK211" s="625"/>
      <c r="BL211" s="625"/>
      <c r="BM211" s="625"/>
      <c r="BN211" s="625"/>
      <c r="BO211" s="625"/>
      <c r="BP211" s="625"/>
      <c r="BQ211" s="625"/>
      <c r="BR211" s="625"/>
    </row>
    <row r="212" spans="1:70">
      <c r="A212" s="29"/>
      <c r="B212" s="29"/>
      <c r="C212" s="619"/>
      <c r="D212" s="25"/>
      <c r="E212" s="26"/>
      <c r="F212" s="26"/>
      <c r="G212" s="625"/>
      <c r="H212" s="625"/>
      <c r="I212" s="625"/>
      <c r="J212" s="625"/>
      <c r="K212" s="626"/>
      <c r="L212" s="626"/>
      <c r="M212" s="626"/>
      <c r="N212" s="625"/>
      <c r="O212" s="626"/>
      <c r="P212" s="626"/>
      <c r="Q212" s="626"/>
      <c r="R212" s="625"/>
      <c r="S212" s="626"/>
      <c r="T212" s="626"/>
      <c r="U212" s="626"/>
      <c r="V212" s="625"/>
      <c r="W212" s="626"/>
      <c r="X212" s="626"/>
      <c r="Y212" s="626"/>
      <c r="Z212" s="630"/>
      <c r="AA212" s="625"/>
      <c r="AB212" s="625"/>
      <c r="AC212" s="625"/>
      <c r="AD212" s="626"/>
      <c r="AE212" s="626"/>
      <c r="AF212" s="625"/>
      <c r="AG212" s="625"/>
      <c r="AH212" s="626"/>
      <c r="AI212" s="626"/>
      <c r="AJ212" s="625"/>
      <c r="AK212" s="625"/>
      <c r="AL212" s="626"/>
      <c r="AM212" s="626"/>
      <c r="AN212" s="625"/>
      <c r="AO212" s="625"/>
      <c r="AP212" s="626"/>
      <c r="AQ212" s="626"/>
      <c r="AR212" s="630"/>
      <c r="AS212" s="625"/>
      <c r="AT212" s="625"/>
      <c r="AU212" s="625"/>
      <c r="AV212" s="626"/>
      <c r="AW212" s="626"/>
      <c r="AX212" s="625"/>
      <c r="AY212" s="625"/>
      <c r="AZ212" s="626"/>
      <c r="BA212" s="626"/>
      <c r="BB212" s="625"/>
      <c r="BC212" s="625"/>
      <c r="BD212" s="626"/>
      <c r="BE212" s="626"/>
      <c r="BF212" s="625"/>
      <c r="BG212" s="625"/>
      <c r="BH212" s="626"/>
      <c r="BI212" s="626"/>
      <c r="BJ212" s="630"/>
      <c r="BK212" s="625"/>
      <c r="BL212" s="625"/>
      <c r="BM212" s="625"/>
      <c r="BN212" s="625"/>
      <c r="BO212" s="625"/>
      <c r="BP212" s="625"/>
      <c r="BQ212" s="625"/>
      <c r="BR212" s="625"/>
    </row>
    <row r="213" spans="1:70">
      <c r="A213" s="2566" t="s">
        <v>1836</v>
      </c>
      <c r="B213" s="2566"/>
      <c r="C213" s="2566"/>
      <c r="D213" s="2566"/>
      <c r="E213" s="2566"/>
      <c r="F213" s="2566"/>
      <c r="G213" s="628"/>
      <c r="H213" s="628"/>
      <c r="I213" s="628"/>
      <c r="J213" s="628"/>
      <c r="K213" s="628"/>
      <c r="L213" s="628"/>
      <c r="M213" s="628"/>
      <c r="N213" s="628"/>
      <c r="O213" s="628"/>
      <c r="P213" s="628"/>
      <c r="Q213" s="628"/>
      <c r="R213" s="628"/>
      <c r="S213" s="628"/>
      <c r="T213" s="628"/>
      <c r="U213" s="628"/>
      <c r="V213" s="628"/>
      <c r="W213" s="628"/>
      <c r="X213" s="628"/>
      <c r="Y213" s="628"/>
      <c r="Z213" s="628"/>
      <c r="AA213" s="628"/>
      <c r="AB213" s="628"/>
      <c r="AC213" s="628"/>
      <c r="AD213" s="628"/>
      <c r="AE213" s="628"/>
      <c r="AF213" s="628"/>
      <c r="AG213" s="628"/>
      <c r="AH213" s="628"/>
      <c r="AI213" s="628"/>
      <c r="AJ213" s="628"/>
      <c r="AK213" s="628"/>
      <c r="AL213" s="628"/>
      <c r="AM213" s="628"/>
      <c r="AN213" s="628"/>
      <c r="AO213" s="628"/>
      <c r="AP213" s="628"/>
      <c r="AQ213" s="628"/>
      <c r="AR213" s="628"/>
      <c r="AS213" s="628"/>
      <c r="AT213" s="628"/>
      <c r="AU213" s="628"/>
      <c r="AV213" s="628"/>
      <c r="AW213" s="628"/>
      <c r="AX213" s="628"/>
      <c r="AY213" s="628"/>
      <c r="AZ213" s="628"/>
      <c r="BA213" s="628"/>
      <c r="BB213" s="628"/>
      <c r="BC213" s="628"/>
      <c r="BD213" s="628"/>
      <c r="BE213" s="628"/>
      <c r="BF213" s="628"/>
      <c r="BG213" s="628"/>
      <c r="BH213" s="628"/>
      <c r="BI213" s="628"/>
      <c r="BJ213" s="628"/>
      <c r="BK213" s="628"/>
      <c r="BL213" s="628"/>
      <c r="BM213" s="628"/>
      <c r="BN213" s="628"/>
      <c r="BO213" s="628"/>
      <c r="BP213" s="628"/>
      <c r="BQ213" s="628"/>
      <c r="BR213" s="628"/>
    </row>
    <row r="214" spans="1:70">
      <c r="A214" s="24" t="s">
        <v>1545</v>
      </c>
      <c r="B214" s="24" t="s">
        <v>203</v>
      </c>
      <c r="C214" s="722" t="s">
        <v>459</v>
      </c>
      <c r="D214" s="24" t="s">
        <v>460</v>
      </c>
      <c r="E214" s="24" t="s">
        <v>461</v>
      </c>
      <c r="F214" s="24" t="s">
        <v>214</v>
      </c>
      <c r="G214" s="672" t="s">
        <v>462</v>
      </c>
      <c r="H214" s="672" t="s">
        <v>49</v>
      </c>
      <c r="I214" s="672" t="s">
        <v>463</v>
      </c>
      <c r="J214" s="672" t="s">
        <v>464</v>
      </c>
      <c r="K214" s="672" t="s">
        <v>465</v>
      </c>
      <c r="L214" s="723" t="s">
        <v>466</v>
      </c>
      <c r="M214" s="723" t="s">
        <v>467</v>
      </c>
      <c r="N214" s="672" t="s">
        <v>468</v>
      </c>
      <c r="O214" s="672" t="s">
        <v>469</v>
      </c>
      <c r="P214" s="723" t="s">
        <v>470</v>
      </c>
      <c r="Q214" s="723" t="s">
        <v>471</v>
      </c>
      <c r="R214" s="672" t="s">
        <v>472</v>
      </c>
      <c r="S214" s="672" t="s">
        <v>473</v>
      </c>
      <c r="T214" s="723" t="s">
        <v>474</v>
      </c>
      <c r="U214" s="723" t="s">
        <v>475</v>
      </c>
      <c r="V214" s="672" t="s">
        <v>476</v>
      </c>
      <c r="W214" s="672" t="s">
        <v>477</v>
      </c>
      <c r="X214" s="723" t="s">
        <v>478</v>
      </c>
      <c r="Y214" s="723" t="s">
        <v>479</v>
      </c>
      <c r="Z214" s="632"/>
      <c r="AA214" s="672" t="s">
        <v>480</v>
      </c>
      <c r="AB214" s="672" t="s">
        <v>481</v>
      </c>
      <c r="AC214" s="672" t="s">
        <v>482</v>
      </c>
      <c r="AD214" s="723" t="s">
        <v>483</v>
      </c>
      <c r="AE214" s="723" t="s">
        <v>484</v>
      </c>
      <c r="AF214" s="672" t="s">
        <v>485</v>
      </c>
      <c r="AG214" s="672" t="s">
        <v>486</v>
      </c>
      <c r="AH214" s="723" t="s">
        <v>487</v>
      </c>
      <c r="AI214" s="723" t="s">
        <v>488</v>
      </c>
      <c r="AJ214" s="672" t="s">
        <v>489</v>
      </c>
      <c r="AK214" s="672" t="s">
        <v>490</v>
      </c>
      <c r="AL214" s="723" t="s">
        <v>491</v>
      </c>
      <c r="AM214" s="723" t="s">
        <v>492</v>
      </c>
      <c r="AN214" s="672" t="s">
        <v>493</v>
      </c>
      <c r="AO214" s="672" t="s">
        <v>494</v>
      </c>
      <c r="AP214" s="723" t="s">
        <v>495</v>
      </c>
      <c r="AQ214" s="723" t="s">
        <v>496</v>
      </c>
      <c r="AR214" s="632"/>
      <c r="AS214" s="672" t="s">
        <v>497</v>
      </c>
      <c r="AT214" s="672" t="s">
        <v>498</v>
      </c>
      <c r="AU214" s="672" t="s">
        <v>499</v>
      </c>
      <c r="AV214" s="723" t="s">
        <v>500</v>
      </c>
      <c r="AW214" s="723" t="s">
        <v>501</v>
      </c>
      <c r="AX214" s="672" t="s">
        <v>502</v>
      </c>
      <c r="AY214" s="672" t="s">
        <v>503</v>
      </c>
      <c r="AZ214" s="723" t="s">
        <v>504</v>
      </c>
      <c r="BA214" s="723" t="s">
        <v>505</v>
      </c>
      <c r="BB214" s="672" t="s">
        <v>506</v>
      </c>
      <c r="BC214" s="672" t="s">
        <v>507</v>
      </c>
      <c r="BD214" s="723" t="s">
        <v>508</v>
      </c>
      <c r="BE214" s="723" t="s">
        <v>509</v>
      </c>
      <c r="BF214" s="672" t="s">
        <v>510</v>
      </c>
      <c r="BG214" s="672" t="s">
        <v>511</v>
      </c>
      <c r="BH214" s="723" t="s">
        <v>512</v>
      </c>
      <c r="BI214" s="723" t="s">
        <v>513</v>
      </c>
      <c r="BJ214" s="632"/>
      <c r="BK214" s="723" t="s">
        <v>514</v>
      </c>
      <c r="BL214" s="723" t="s">
        <v>515</v>
      </c>
      <c r="BM214" s="723" t="s">
        <v>516</v>
      </c>
      <c r="BN214" s="723" t="s">
        <v>517</v>
      </c>
      <c r="BO214" s="723" t="s">
        <v>518</v>
      </c>
      <c r="BP214" s="723" t="s">
        <v>519</v>
      </c>
      <c r="BQ214" s="723" t="s">
        <v>520</v>
      </c>
      <c r="BR214" s="723" t="s">
        <v>521</v>
      </c>
    </row>
    <row r="215" spans="1:70">
      <c r="A215" s="29" t="s">
        <v>1748</v>
      </c>
      <c r="B215" s="29" t="s">
        <v>1836</v>
      </c>
      <c r="C215" s="619">
        <f>SETUP!$F$41</f>
        <v>0</v>
      </c>
      <c r="D215" s="25">
        <v>5.4</v>
      </c>
      <c r="E215" s="26" t="s">
        <v>1750</v>
      </c>
      <c r="F215" s="26" t="s">
        <v>1503</v>
      </c>
      <c r="G215" s="625" t="str">
        <f t="array" ref="G215">IFERROR(INDEX('TB-EQUIPMENT &amp; OTHER HPs'!$L$69:$L$84,MATCH($E215&amp;$F215,'TB-EQUIPMENT &amp; OTHER HPs'!$E$69:$E$84&amp;'TB-EQUIPMENT &amp; OTHER HPs'!$I$69:$I$84,0)),"")</f>
        <v/>
      </c>
      <c r="H215" s="625" t="str">
        <f t="array" ref="H215">IFERROR(INDEX('TB-EQUIPMENT &amp; OTHER HPs'!$M$69:$M$84,MATCH($E215&amp;$F215,'TB-EQUIPMENT &amp; OTHER HPs'!$E$69:$E$84&amp;'TB-EQUIPMENT &amp; OTHER HPs'!$I$69:$I$84,0)),"")</f>
        <v/>
      </c>
      <c r="I215" s="625">
        <f t="array" ref="I215">IFERROR(INDEX('TB-EQUIPMENT &amp; OTHER HPs'!$N$69:$N$84,MATCH($E215&amp;$F215,'TB-EQUIPMENT &amp; OTHER HPs'!$E$69:$E$84&amp;'TB-EQUIPMENT &amp; OTHER HPs'!$I$69:$I$84,0)),0)</f>
        <v>0</v>
      </c>
      <c r="J215" s="625">
        <f t="array" ref="J215">IFERROR(INDEX('TB-EQUIPMENT &amp; OTHER HPs'!$O$69:$O$84,MATCH($E215&amp;$F215,'TB-EQUIPMENT &amp; OTHER HPs'!$E$69:$E$84&amp;'TB-EQUIPMENT &amp; OTHER HPs'!$I$69:$I$84,0)),0)</f>
        <v>0</v>
      </c>
      <c r="K215" s="626">
        <f>IF(ISERROR($I215*J215),0,$I215*J215)</f>
        <v>0</v>
      </c>
      <c r="L215" s="626">
        <f>IF(C215="Upfront",J215,0)</f>
        <v>0</v>
      </c>
      <c r="M215" s="626">
        <f>IF(C215="Upfront",K215,0)</f>
        <v>0</v>
      </c>
      <c r="N215" s="625">
        <f t="array" ref="N215">IFERROR(INDEX('TB-EQUIPMENT &amp; OTHER HPs'!$P$69:$P$84,MATCH($E215&amp;$F215,'TB-EQUIPMENT &amp; OTHER HPs'!$E$69:$E$84&amp;'TB-EQUIPMENT &amp; OTHER HPs'!$I$69:$I$84,0)),0)</f>
        <v>0</v>
      </c>
      <c r="O215" s="626">
        <f>IF(ISERROR($I215*N215),0,$I215*N215)</f>
        <v>0</v>
      </c>
      <c r="P215" s="626">
        <f>IF(C215="Upfront",N215,0)</f>
        <v>0</v>
      </c>
      <c r="Q215" s="626">
        <f>IF(C215="Upfront",O215,0)</f>
        <v>0</v>
      </c>
      <c r="R215" s="625">
        <f t="array" ref="R215">IFERROR(INDEX('TB-EQUIPMENT &amp; OTHER HPs'!$Q$69:$Q$84,MATCH($E215&amp;$F215,'TB-EQUIPMENT &amp; OTHER HPs'!$E$69:$E$84&amp;'TB-EQUIPMENT &amp; OTHER HPs'!$I$69:$I$84,0)),0)</f>
        <v>0</v>
      </c>
      <c r="S215" s="626">
        <f>IF(ISERROR($I215*R215),0,$I215*R215)</f>
        <v>0</v>
      </c>
      <c r="T215" s="626">
        <f>IF(C215="Upfront",R215,IF(C215="At delivery",J215,0))</f>
        <v>0</v>
      </c>
      <c r="U215" s="626">
        <f>IF(C215="Upfront",S215,IF(C215="At delivery",K215,0))</f>
        <v>0</v>
      </c>
      <c r="V215" s="625">
        <f t="array" ref="V215">IFERROR(INDEX('TB-EQUIPMENT &amp; OTHER HPs'!$R$69:$R$84,MATCH($E215&amp;$F215,'TB-EQUIPMENT &amp; OTHER HPs'!$E$69:$E$84&amp;'TB-EQUIPMENT &amp; OTHER HPs'!$I$69:$I$84,0)),0)</f>
        <v>0</v>
      </c>
      <c r="W215" s="626">
        <f>IF(ISERROR($I215*V215),0,$I215*V215)</f>
        <v>0</v>
      </c>
      <c r="X215" s="626">
        <f>IF(C215="Upfront",V215,IF(C215="At delivery",N215,0))</f>
        <v>0</v>
      </c>
      <c r="Y215" s="626">
        <f>IF(C215="Upfront",W215,IF(C215="At delivery",O215,0))</f>
        <v>0</v>
      </c>
      <c r="Z215" s="630"/>
      <c r="AA215" s="625">
        <f t="array" ref="AA215">IFERROR(INDEX('TB-EQUIPMENT &amp; OTHER HPs'!$U$69:$U$84,MATCH($E215&amp;$F215,'TB-EQUIPMENT &amp; OTHER HPs'!$E$69:$E$84&amp;'TB-EQUIPMENT &amp; OTHER HPs'!$I$69:$I$84,0)),0)</f>
        <v>0</v>
      </c>
      <c r="AB215" s="625">
        <f t="array" ref="AB215">IFERROR(INDEX('TB-EQUIPMENT &amp; OTHER HPs'!$V$69:$V$84,MATCH($E215&amp;$F215,'TB-EQUIPMENT &amp; OTHER HPs'!$E$69:$E$84&amp;'TB-EQUIPMENT &amp; OTHER HPs'!$I$69:$I$84,0)),0)</f>
        <v>0</v>
      </c>
      <c r="AC215" s="626">
        <f>IF(ISERROR($AA215*AB215),0,$AA215*AB215)</f>
        <v>0</v>
      </c>
      <c r="AD215" s="626">
        <f>IF(C215="Upfront",AB215,IF(C215="At delivery",R215,0))</f>
        <v>0</v>
      </c>
      <c r="AE215" s="626">
        <f>IF(C215="Upfront",AC215,IF(C215="At delivery",S215,0))</f>
        <v>0</v>
      </c>
      <c r="AF215" s="625">
        <f t="array" ref="AF215">IFERROR(INDEX('TB-EQUIPMENT &amp; OTHER HPs'!$W$69:$W$84,MATCH($E215&amp;$F215,'TB-EQUIPMENT &amp; OTHER HPs'!$E$69:$E$84&amp;'TB-EQUIPMENT &amp; OTHER HPs'!$I$69:$I$84,0)),0)</f>
        <v>0</v>
      </c>
      <c r="AG215" s="626">
        <f>IF(ISERROR($AA215*AF215),0,$AA215*AF215)</f>
        <v>0</v>
      </c>
      <c r="AH215" s="626">
        <f>IF(C215="Upfront",AF215,IF(C215="At delivery",V215,0))</f>
        <v>0</v>
      </c>
      <c r="AI215" s="626">
        <f>IF(C215="Upfront",AG215,IF(C215="At delivery",W215,0))</f>
        <v>0</v>
      </c>
      <c r="AJ215" s="625">
        <f t="array" ref="AJ215">IFERROR(INDEX('TB-EQUIPMENT &amp; OTHER HPs'!$X$69:$X$84,MATCH($E215&amp;$F215,'TB-EQUIPMENT &amp; OTHER HPs'!$E$69:$E$84&amp;'TB-EQUIPMENT &amp; OTHER HPs'!$I$69:$I$84,0)),0)</f>
        <v>0</v>
      </c>
      <c r="AK215" s="626">
        <f>IF(ISERROR($AA215*AJ215),0,$AA215*AJ215)</f>
        <v>0</v>
      </c>
      <c r="AL215" s="626">
        <f>IF(C215="Upfront",AJ215,IF(C215="At delivery",AB215,0))</f>
        <v>0</v>
      </c>
      <c r="AM215" s="626">
        <f>IF(C215="Upfront",AK215,IF(C215="At delivery",AC215,0))</f>
        <v>0</v>
      </c>
      <c r="AN215" s="625">
        <f t="array" ref="AN215">IFERROR(INDEX('TB-EQUIPMENT &amp; OTHER HPs'!$Y$69:$Y$84,MATCH($E215&amp;$F215,'TB-EQUIPMENT &amp; OTHER HPs'!$E$69:$E$84&amp;'TB-EQUIPMENT &amp; OTHER HPs'!$I$69:$I$84,0)),0)</f>
        <v>0</v>
      </c>
      <c r="AO215" s="626">
        <f>IF(ISERROR($AA215*AN215),0,$AA215*AN215)</f>
        <v>0</v>
      </c>
      <c r="AP215" s="626">
        <f>IF(C215="Upfront",AN215,IF(C215="At delivery",AF215,0))</f>
        <v>0</v>
      </c>
      <c r="AQ215" s="626">
        <f>IF(C215="Upfront",AO215,IF(C215="At delivery",AG215,0))</f>
        <v>0</v>
      </c>
      <c r="AR215" s="630"/>
      <c r="AS215" s="625">
        <f t="array" ref="AS215">IFERROR(INDEX('TB-EQUIPMENT &amp; OTHER HPs'!$AB$69:$AB$84,MATCH($E215&amp;$F215,'TB-EQUIPMENT &amp; OTHER HPs'!$E$69:$E$84&amp;'TB-EQUIPMENT &amp; OTHER HPs'!$I$69:$I$84,0)),0)</f>
        <v>0</v>
      </c>
      <c r="AT215" s="625">
        <f t="array" ref="AT215">IFERROR(INDEX('TB-EQUIPMENT &amp; OTHER HPs'!$AC$69:$AC$84,MATCH($E215&amp;$F215,'TB-EQUIPMENT &amp; OTHER HPs'!$E$69:$E$84&amp;'TB-EQUIPMENT &amp; OTHER HPs'!$I$69:$I$84,0)),0)</f>
        <v>0</v>
      </c>
      <c r="AU215" s="626">
        <f>IF(ISERROR($AS215*AT215),0,$AS215*AT215)</f>
        <v>0</v>
      </c>
      <c r="AV215" s="626">
        <f>IF(C215="Upfront",AT215,IF(C215="At delivery",AJ215,0))</f>
        <v>0</v>
      </c>
      <c r="AW215" s="626">
        <f>IF(C215="Upfront",AU215,IF(C215="At delivery",AK215,0))</f>
        <v>0</v>
      </c>
      <c r="AX215" s="625">
        <f t="array" ref="AX215">IFERROR(INDEX('TB-EQUIPMENT &amp; OTHER HPs'!$AD$69:$AD$84,MATCH($E215&amp;$F215,'TB-EQUIPMENT &amp; OTHER HPs'!$E$69:$E$84&amp;'TB-EQUIPMENT &amp; OTHER HPs'!$I$69:$I$84,0)),0)</f>
        <v>0</v>
      </c>
      <c r="AY215" s="626">
        <f>IF(ISERROR($AS215*AX215),0,$AS215*AX215)</f>
        <v>0</v>
      </c>
      <c r="AZ215" s="626">
        <f>IF(C215="Upfront",AX215,IF(C215="At delivery",AN215,0))</f>
        <v>0</v>
      </c>
      <c r="BA215" s="626">
        <f>IF(C215="Upfront",AY215,IF(C215="At delivery",AO215,0))</f>
        <v>0</v>
      </c>
      <c r="BB215" s="625">
        <f t="array" ref="BB215">IFERROR(INDEX('TB-EQUIPMENT &amp; OTHER HPs'!$AE$69:$AE$84,MATCH($E215&amp;$F215,'TB-EQUIPMENT &amp; OTHER HPs'!$E$69:$E$84&amp;'TB-EQUIPMENT &amp; OTHER HPs'!$I$69:$I$84,0)),0)</f>
        <v>0</v>
      </c>
      <c r="BC215" s="626">
        <f>IF(ISERROR($AS215*BB215),0,$AS215*BB215)</f>
        <v>0</v>
      </c>
      <c r="BD215" s="626">
        <f>IF(C215="Upfront",BB215,IF(C215="At delivery",AT215,0))</f>
        <v>0</v>
      </c>
      <c r="BE215" s="626">
        <f>IF(C215="Upfront",BC215,IF(C215="At delivery",AU215,0))</f>
        <v>0</v>
      </c>
      <c r="BF215" s="625">
        <f t="array" ref="BF215">IFERROR(INDEX('TB-EQUIPMENT &amp; OTHER HPs'!$AF$69:$AF$84,MATCH($E215&amp;$F215,'TB-EQUIPMENT &amp; OTHER HPs'!$E$69:$E$84&amp;'TB-EQUIPMENT &amp; OTHER HPs'!$I$69:$I$84,0)),0)</f>
        <v>0</v>
      </c>
      <c r="BG215" s="626">
        <f>IF(ISERROR($AS215*BF215),0,$AS215*BF215)</f>
        <v>0</v>
      </c>
      <c r="BH215" s="626">
        <f>IF(C215="Upfront",BF215,IF(C215="At delivery",AX215,0))</f>
        <v>0</v>
      </c>
      <c r="BI215" s="626">
        <f>IF(C215="Upfront",BG215,IF(C215="At delivery",AY215,0))</f>
        <v>0</v>
      </c>
      <c r="BJ215" s="630"/>
      <c r="BK215" s="625"/>
      <c r="BL215" s="625"/>
      <c r="BM215" s="625"/>
      <c r="BN215" s="625"/>
      <c r="BO215" s="625"/>
      <c r="BP215" s="625"/>
      <c r="BQ215" s="625"/>
      <c r="BR215" s="625"/>
    </row>
    <row r="216" spans="1:70">
      <c r="A216" s="29" t="s">
        <v>1748</v>
      </c>
      <c r="B216" s="29" t="s">
        <v>1836</v>
      </c>
      <c r="C216" s="619">
        <f>SETUP!$F$41</f>
        <v>0</v>
      </c>
      <c r="D216" s="25">
        <v>5.4</v>
      </c>
      <c r="E216" s="26" t="s">
        <v>1750</v>
      </c>
      <c r="F216" s="26" t="s">
        <v>1140</v>
      </c>
      <c r="G216" s="625" t="str">
        <f t="array" ref="G216">IFERROR(INDEX('TB-EQUIPMENT &amp; OTHER HPs'!$L$69:$L$84,MATCH($E216&amp;$F216,'TB-EQUIPMENT &amp; OTHER HPs'!$E$69:$E$84&amp;'TB-EQUIPMENT &amp; OTHER HPs'!$I$69:$I$84,0)),"")</f>
        <v/>
      </c>
      <c r="H216" s="625" t="str">
        <f t="array" ref="H216">IFERROR(INDEX('TB-EQUIPMENT &amp; OTHER HPs'!$M$69:$M$84,MATCH($E216&amp;$F216,'TB-EQUIPMENT &amp; OTHER HPs'!$E$69:$E$84&amp;'TB-EQUIPMENT &amp; OTHER HPs'!$I$69:$I$84,0)),"")</f>
        <v/>
      </c>
      <c r="I216" s="625">
        <f t="array" ref="I216">IFERROR(INDEX('TB-EQUIPMENT &amp; OTHER HPs'!$N$69:$N$84,MATCH($E216&amp;$F216,'TB-EQUIPMENT &amp; OTHER HPs'!$E$69:$E$84&amp;'TB-EQUIPMENT &amp; OTHER HPs'!$I$69:$I$84,0)),0)</f>
        <v>0</v>
      </c>
      <c r="J216" s="625">
        <f t="array" ref="J216">IFERROR(INDEX('TB-EQUIPMENT &amp; OTHER HPs'!$O$69:$O$84,MATCH($E216&amp;$F216,'TB-EQUIPMENT &amp; OTHER HPs'!$E$69:$E$84&amp;'TB-EQUIPMENT &amp; OTHER HPs'!$I$69:$I$84,0)),0)</f>
        <v>0</v>
      </c>
      <c r="K216" s="626">
        <f t="shared" ref="K216:K234" si="216">IF(ISERROR($I216*J216),0,$I216*J216)</f>
        <v>0</v>
      </c>
      <c r="L216" s="626">
        <f t="shared" ref="L216:L234" si="217">IF(C216="Upfront",J216,0)</f>
        <v>0</v>
      </c>
      <c r="M216" s="626">
        <f t="shared" ref="M216:M234" si="218">IF(C216="Upfront",K216,0)</f>
        <v>0</v>
      </c>
      <c r="N216" s="625">
        <f t="array" ref="N216">IFERROR(INDEX('TB-EQUIPMENT &amp; OTHER HPs'!$P$69:$P$84,MATCH($E216&amp;$F216,'TB-EQUIPMENT &amp; OTHER HPs'!$E$69:$E$84&amp;'TB-EQUIPMENT &amp; OTHER HPs'!$I$69:$I$84,0)),0)</f>
        <v>0</v>
      </c>
      <c r="O216" s="626">
        <f t="shared" ref="O216:O234" si="219">IF(ISERROR($I216*N216),0,$I216*N216)</f>
        <v>0</v>
      </c>
      <c r="P216" s="626">
        <f t="shared" ref="P216:P234" si="220">IF(C216="Upfront",N216,0)</f>
        <v>0</v>
      </c>
      <c r="Q216" s="626">
        <f t="shared" ref="Q216:Q234" si="221">IF(C216="Upfront",O216,0)</f>
        <v>0</v>
      </c>
      <c r="R216" s="625">
        <f t="array" ref="R216">IFERROR(INDEX('TB-EQUIPMENT &amp; OTHER HPs'!$Q$69:$Q$84,MATCH($E216&amp;$F216,'TB-EQUIPMENT &amp; OTHER HPs'!$E$69:$E$84&amp;'TB-EQUIPMENT &amp; OTHER HPs'!$I$69:$I$84,0)),0)</f>
        <v>0</v>
      </c>
      <c r="S216" s="626">
        <f t="shared" ref="S216:S234" si="222">IF(ISERROR($I216*R216),0,$I216*R216)</f>
        <v>0</v>
      </c>
      <c r="T216" s="626">
        <f t="shared" ref="T216:T234" si="223">IF(C216="Upfront",R216,IF(C216="At delivery",J216,0))</f>
        <v>0</v>
      </c>
      <c r="U216" s="626">
        <f t="shared" ref="U216:U234" si="224">IF(C216="Upfront",S216,IF(C216="At delivery",K216,0))</f>
        <v>0</v>
      </c>
      <c r="V216" s="625">
        <f t="array" ref="V216">IFERROR(INDEX('TB-EQUIPMENT &amp; OTHER HPs'!$R$69:$R$84,MATCH($E216&amp;$F216,'TB-EQUIPMENT &amp; OTHER HPs'!$E$69:$E$84&amp;'TB-EQUIPMENT &amp; OTHER HPs'!$I$69:$I$84,0)),0)</f>
        <v>0</v>
      </c>
      <c r="W216" s="626">
        <f t="shared" ref="W216:W234" si="225">IF(ISERROR($I216*V216),0,$I216*V216)</f>
        <v>0</v>
      </c>
      <c r="X216" s="626">
        <f t="shared" ref="X216:X234" si="226">IF(C216="Upfront",V216,IF(C216="At delivery",N216,0))</f>
        <v>0</v>
      </c>
      <c r="Y216" s="626">
        <f t="shared" ref="Y216:Y234" si="227">IF(C216="Upfront",W216,IF(C216="At delivery",O216,0))</f>
        <v>0</v>
      </c>
      <c r="Z216" s="630"/>
      <c r="AA216" s="625">
        <f t="array" ref="AA216">IFERROR(INDEX('TB-EQUIPMENT &amp; OTHER HPs'!$U$69:$U$84,MATCH($E216&amp;$F216,'TB-EQUIPMENT &amp; OTHER HPs'!$E$69:$E$84&amp;'TB-EQUIPMENT &amp; OTHER HPs'!$I$69:$I$84,0)),0)</f>
        <v>0</v>
      </c>
      <c r="AB216" s="625">
        <f t="array" ref="AB216">IFERROR(INDEX('TB-EQUIPMENT &amp; OTHER HPs'!$V$69:$V$84,MATCH($E216&amp;$F216,'TB-EQUIPMENT &amp; OTHER HPs'!$E$69:$E$84&amp;'TB-EQUIPMENT &amp; OTHER HPs'!$I$69:$I$84,0)),0)</f>
        <v>0</v>
      </c>
      <c r="AC216" s="626">
        <f t="shared" ref="AC216:AC234" si="228">IF(ISERROR($AA216*AB216),0,$AA216*AB216)</f>
        <v>0</v>
      </c>
      <c r="AD216" s="626">
        <f t="shared" ref="AD216:AD234" si="229">IF(C216="Upfront",AB216,IF(C216="At delivery",R216,0))</f>
        <v>0</v>
      </c>
      <c r="AE216" s="626">
        <f t="shared" ref="AE216:AE234" si="230">IF(C216="Upfront",AC216,IF(C216="At delivery",S216,0))</f>
        <v>0</v>
      </c>
      <c r="AF216" s="625">
        <f t="array" ref="AF216">IFERROR(INDEX('TB-EQUIPMENT &amp; OTHER HPs'!$W$69:$W$84,MATCH($E216&amp;$F216,'TB-EQUIPMENT &amp; OTHER HPs'!$E$69:$E$84&amp;'TB-EQUIPMENT &amp; OTHER HPs'!$I$69:$I$84,0)),0)</f>
        <v>0</v>
      </c>
      <c r="AG216" s="626">
        <f t="shared" ref="AG216:AG234" si="231">IF(ISERROR($AA216*AF216),0,$AA216*AF216)</f>
        <v>0</v>
      </c>
      <c r="AH216" s="626">
        <f t="shared" ref="AH216:AH234" si="232">IF(C216="Upfront",AF216,IF(C216="At delivery",V216,0))</f>
        <v>0</v>
      </c>
      <c r="AI216" s="626">
        <f t="shared" ref="AI216:AI234" si="233">IF(C216="Upfront",AG216,IF(C216="At delivery",W216,0))</f>
        <v>0</v>
      </c>
      <c r="AJ216" s="625">
        <f t="array" ref="AJ216">IFERROR(INDEX('TB-EQUIPMENT &amp; OTHER HPs'!$X$69:$X$84,MATCH($E216&amp;$F216,'TB-EQUIPMENT &amp; OTHER HPs'!$E$69:$E$84&amp;'TB-EQUIPMENT &amp; OTHER HPs'!$I$69:$I$84,0)),0)</f>
        <v>0</v>
      </c>
      <c r="AK216" s="626">
        <f t="shared" ref="AK216:AK234" si="234">IF(ISERROR($AA216*AJ216),0,$AA216*AJ216)</f>
        <v>0</v>
      </c>
      <c r="AL216" s="626">
        <f t="shared" ref="AL216:AL234" si="235">IF(C216="Upfront",AJ216,IF(C216="At delivery",AB216,0))</f>
        <v>0</v>
      </c>
      <c r="AM216" s="626">
        <f t="shared" ref="AM216:AM234" si="236">IF(C216="Upfront",AK216,IF(C216="At delivery",AC216,0))</f>
        <v>0</v>
      </c>
      <c r="AN216" s="625">
        <f t="array" ref="AN216">IFERROR(INDEX('TB-EQUIPMENT &amp; OTHER HPs'!$Y$69:$Y$84,MATCH($E216&amp;$F216,'TB-EQUIPMENT &amp; OTHER HPs'!$E$69:$E$84&amp;'TB-EQUIPMENT &amp; OTHER HPs'!$I$69:$I$84,0)),0)</f>
        <v>0</v>
      </c>
      <c r="AO216" s="626">
        <f t="shared" ref="AO216:AO234" si="237">IF(ISERROR($AA216*AN216),0,$AA216*AN216)</f>
        <v>0</v>
      </c>
      <c r="AP216" s="626">
        <f t="shared" ref="AP216:AP234" si="238">IF(C216="Upfront",AN216,IF(C216="At delivery",AF216,0))</f>
        <v>0</v>
      </c>
      <c r="AQ216" s="626">
        <f t="shared" ref="AQ216:AQ234" si="239">IF(C216="Upfront",AO216,IF(C216="At delivery",AG216,0))</f>
        <v>0</v>
      </c>
      <c r="AR216" s="630"/>
      <c r="AS216" s="625">
        <f t="array" ref="AS216">IFERROR(INDEX('TB-EQUIPMENT &amp; OTHER HPs'!$AB$69:$AB$84,MATCH($E216&amp;$F216,'TB-EQUIPMENT &amp; OTHER HPs'!$E$69:$E$84&amp;'TB-EQUIPMENT &amp; OTHER HPs'!$I$69:$I$84,0)),0)</f>
        <v>0</v>
      </c>
      <c r="AT216" s="625">
        <f t="array" ref="AT216">IFERROR(INDEX('TB-EQUIPMENT &amp; OTHER HPs'!$AC$69:$AC$84,MATCH($E216&amp;$F216,'TB-EQUIPMENT &amp; OTHER HPs'!$E$69:$E$84&amp;'TB-EQUIPMENT &amp; OTHER HPs'!$I$69:$I$84,0)),0)</f>
        <v>0</v>
      </c>
      <c r="AU216" s="626">
        <f t="shared" ref="AU216:AU234" si="240">IF(ISERROR($AS216*AT216),0,$AS216*AT216)</f>
        <v>0</v>
      </c>
      <c r="AV216" s="626">
        <f t="shared" ref="AV216:AV234" si="241">IF(C216="Upfront",AT216,IF(C216="At delivery",AJ216,0))</f>
        <v>0</v>
      </c>
      <c r="AW216" s="626">
        <f t="shared" ref="AW216:AW234" si="242">IF(C216="Upfront",AU216,IF(C216="At delivery",AK216,0))</f>
        <v>0</v>
      </c>
      <c r="AX216" s="625">
        <f t="array" ref="AX216">IFERROR(INDEX('TB-EQUIPMENT &amp; OTHER HPs'!$AD$69:$AD$84,MATCH($E216&amp;$F216,'TB-EQUIPMENT &amp; OTHER HPs'!$E$69:$E$84&amp;'TB-EQUIPMENT &amp; OTHER HPs'!$I$69:$I$84,0)),0)</f>
        <v>0</v>
      </c>
      <c r="AY216" s="626">
        <f t="shared" ref="AY216:AY234" si="243">IF(ISERROR($AS216*AX216),0,$AS216*AX216)</f>
        <v>0</v>
      </c>
      <c r="AZ216" s="626">
        <f t="shared" ref="AZ216:AZ234" si="244">IF(C216="Upfront",AX216,IF(C216="At delivery",AN216,0))</f>
        <v>0</v>
      </c>
      <c r="BA216" s="626">
        <f t="shared" ref="BA216:BA234" si="245">IF(C216="Upfront",AY216,IF(C216="At delivery",AO216,0))</f>
        <v>0</v>
      </c>
      <c r="BB216" s="625">
        <f t="array" ref="BB216">IFERROR(INDEX('TB-EQUIPMENT &amp; OTHER HPs'!$AE$69:$AE$84,MATCH($E216&amp;$F216,'TB-EQUIPMENT &amp; OTHER HPs'!$E$69:$E$84&amp;'TB-EQUIPMENT &amp; OTHER HPs'!$I$69:$I$84,0)),0)</f>
        <v>0</v>
      </c>
      <c r="BC216" s="626">
        <f t="shared" ref="BC216:BC234" si="246">IF(ISERROR($AS216*BB216),0,$AS216*BB216)</f>
        <v>0</v>
      </c>
      <c r="BD216" s="626">
        <f t="shared" ref="BD216:BD234" si="247">IF(C216="Upfront",BB216,IF(C216="At delivery",AT216,0))</f>
        <v>0</v>
      </c>
      <c r="BE216" s="626">
        <f t="shared" ref="BE216:BE234" si="248">IF(C216="Upfront",BC216,IF(C216="At delivery",AU216,0))</f>
        <v>0</v>
      </c>
      <c r="BF216" s="625">
        <f t="array" ref="BF216">IFERROR(INDEX('TB-EQUIPMENT &amp; OTHER HPs'!$AF$69:$AF$84,MATCH($E216&amp;$F216,'TB-EQUIPMENT &amp; OTHER HPs'!$E$69:$E$84&amp;'TB-EQUIPMENT &amp; OTHER HPs'!$I$69:$I$84,0)),0)</f>
        <v>0</v>
      </c>
      <c r="BG216" s="626">
        <f t="shared" ref="BG216:BG234" si="249">IF(ISERROR($AS216*BF216),0,$AS216*BF216)</f>
        <v>0</v>
      </c>
      <c r="BH216" s="626">
        <f t="shared" ref="BH216:BH234" si="250">IF(C216="Upfront",BF216,IF(C216="At delivery",AX216,0))</f>
        <v>0</v>
      </c>
      <c r="BI216" s="626">
        <f t="shared" ref="BI216:BI234" si="251">IF(C216="Upfront",BG216,IF(C216="At delivery",AY216,0))</f>
        <v>0</v>
      </c>
      <c r="BJ216" s="630"/>
      <c r="BK216" s="625"/>
      <c r="BL216" s="625"/>
      <c r="BM216" s="625"/>
      <c r="BN216" s="625"/>
      <c r="BO216" s="625"/>
      <c r="BP216" s="625"/>
      <c r="BQ216" s="625"/>
      <c r="BR216" s="625"/>
    </row>
    <row r="217" spans="1:70">
      <c r="A217" s="29" t="s">
        <v>1748</v>
      </c>
      <c r="B217" s="29" t="s">
        <v>1836</v>
      </c>
      <c r="C217" s="619">
        <f>SETUP!$F$41</f>
        <v>0</v>
      </c>
      <c r="D217" s="25">
        <v>5.4</v>
      </c>
      <c r="E217" s="26" t="s">
        <v>573</v>
      </c>
      <c r="F217" s="26" t="s">
        <v>1713</v>
      </c>
      <c r="G217" s="625" t="str">
        <f t="array" ref="G217">IFERROR(INDEX('TB-EQUIPMENT &amp; OTHER HPs'!$L$69:$L$84,MATCH($E217&amp;$F217,'TB-EQUIPMENT &amp; OTHER HPs'!$E$69:$E$84&amp;'TB-EQUIPMENT &amp; OTHER HPs'!$I$69:$I$84,0)),"")</f>
        <v/>
      </c>
      <c r="H217" s="625" t="str">
        <f t="array" ref="H217">IFERROR(INDEX('TB-EQUIPMENT &amp; OTHER HPs'!$M$69:$M$84,MATCH($E217&amp;$F217,'TB-EQUIPMENT &amp; OTHER HPs'!$E$69:$E$84&amp;'TB-EQUIPMENT &amp; OTHER HPs'!$I$69:$I$84,0)),"")</f>
        <v/>
      </c>
      <c r="I217" s="625">
        <f t="array" ref="I217">IFERROR(INDEX('TB-EQUIPMENT &amp; OTHER HPs'!$N$69:$N$84,MATCH($E217&amp;$F217,'TB-EQUIPMENT &amp; OTHER HPs'!$E$69:$E$84&amp;'TB-EQUIPMENT &amp; OTHER HPs'!$I$69:$I$84,0)),0)</f>
        <v>0</v>
      </c>
      <c r="J217" s="625">
        <f t="array" ref="J217">IFERROR(INDEX('TB-EQUIPMENT &amp; OTHER HPs'!$O$69:$O$84,MATCH($E217&amp;$F217,'TB-EQUIPMENT &amp; OTHER HPs'!$E$69:$E$84&amp;'TB-EQUIPMENT &amp; OTHER HPs'!$I$69:$I$84,0)),0)</f>
        <v>0</v>
      </c>
      <c r="K217" s="626">
        <f t="shared" si="216"/>
        <v>0</v>
      </c>
      <c r="L217" s="626">
        <f t="shared" si="217"/>
        <v>0</v>
      </c>
      <c r="M217" s="626">
        <f t="shared" si="218"/>
        <v>0</v>
      </c>
      <c r="N217" s="625">
        <f t="array" ref="N217">IFERROR(INDEX('TB-EQUIPMENT &amp; OTHER HPs'!$P$69:$P$84,MATCH($E217&amp;$F217,'TB-EQUIPMENT &amp; OTHER HPs'!$E$69:$E$84&amp;'TB-EQUIPMENT &amp; OTHER HPs'!$I$69:$I$84,0)),0)</f>
        <v>0</v>
      </c>
      <c r="O217" s="626">
        <f t="shared" si="219"/>
        <v>0</v>
      </c>
      <c r="P217" s="626">
        <f t="shared" si="220"/>
        <v>0</v>
      </c>
      <c r="Q217" s="626">
        <f t="shared" si="221"/>
        <v>0</v>
      </c>
      <c r="R217" s="625">
        <f t="array" ref="R217">IFERROR(INDEX('TB-EQUIPMENT &amp; OTHER HPs'!$Q$69:$Q$84,MATCH($E217&amp;$F217,'TB-EQUIPMENT &amp; OTHER HPs'!$E$69:$E$84&amp;'TB-EQUIPMENT &amp; OTHER HPs'!$I$69:$I$84,0)),0)</f>
        <v>0</v>
      </c>
      <c r="S217" s="626">
        <f t="shared" si="222"/>
        <v>0</v>
      </c>
      <c r="T217" s="626">
        <f t="shared" si="223"/>
        <v>0</v>
      </c>
      <c r="U217" s="626">
        <f t="shared" si="224"/>
        <v>0</v>
      </c>
      <c r="V217" s="625">
        <f t="array" ref="V217">IFERROR(INDEX('TB-EQUIPMENT &amp; OTHER HPs'!$R$69:$R$84,MATCH($E217&amp;$F217,'TB-EQUIPMENT &amp; OTHER HPs'!$E$69:$E$84&amp;'TB-EQUIPMENT &amp; OTHER HPs'!$I$69:$I$84,0)),0)</f>
        <v>0</v>
      </c>
      <c r="W217" s="626">
        <f t="shared" si="225"/>
        <v>0</v>
      </c>
      <c r="X217" s="626">
        <f t="shared" si="226"/>
        <v>0</v>
      </c>
      <c r="Y217" s="626">
        <f t="shared" si="227"/>
        <v>0</v>
      </c>
      <c r="Z217" s="630"/>
      <c r="AA217" s="625">
        <f t="array" ref="AA217">IFERROR(INDEX('TB-EQUIPMENT &amp; OTHER HPs'!$U$69:$U$84,MATCH($E217&amp;$F217,'TB-EQUIPMENT &amp; OTHER HPs'!$E$69:$E$84&amp;'TB-EQUIPMENT &amp; OTHER HPs'!$I$69:$I$84,0)),0)</f>
        <v>0</v>
      </c>
      <c r="AB217" s="625">
        <f t="array" ref="AB217">IFERROR(INDEX('TB-EQUIPMENT &amp; OTHER HPs'!$V$69:$V$84,MATCH($E217&amp;$F217,'TB-EQUIPMENT &amp; OTHER HPs'!$E$69:$E$84&amp;'TB-EQUIPMENT &amp; OTHER HPs'!$I$69:$I$84,0)),0)</f>
        <v>0</v>
      </c>
      <c r="AC217" s="626">
        <f t="shared" si="228"/>
        <v>0</v>
      </c>
      <c r="AD217" s="626">
        <f t="shared" si="229"/>
        <v>0</v>
      </c>
      <c r="AE217" s="626">
        <f t="shared" si="230"/>
        <v>0</v>
      </c>
      <c r="AF217" s="625">
        <f t="array" ref="AF217">IFERROR(INDEX('TB-EQUIPMENT &amp; OTHER HPs'!$W$69:$W$84,MATCH($E217&amp;$F217,'TB-EQUIPMENT &amp; OTHER HPs'!$E$69:$E$84&amp;'TB-EQUIPMENT &amp; OTHER HPs'!$I$69:$I$84,0)),0)</f>
        <v>0</v>
      </c>
      <c r="AG217" s="626">
        <f t="shared" si="231"/>
        <v>0</v>
      </c>
      <c r="AH217" s="626">
        <f t="shared" si="232"/>
        <v>0</v>
      </c>
      <c r="AI217" s="626">
        <f t="shared" si="233"/>
        <v>0</v>
      </c>
      <c r="AJ217" s="625">
        <f t="array" ref="AJ217">IFERROR(INDEX('TB-EQUIPMENT &amp; OTHER HPs'!$X$69:$X$84,MATCH($E217&amp;$F217,'TB-EQUIPMENT &amp; OTHER HPs'!$E$69:$E$84&amp;'TB-EQUIPMENT &amp; OTHER HPs'!$I$69:$I$84,0)),0)</f>
        <v>0</v>
      </c>
      <c r="AK217" s="626">
        <f t="shared" si="234"/>
        <v>0</v>
      </c>
      <c r="AL217" s="626">
        <f t="shared" si="235"/>
        <v>0</v>
      </c>
      <c r="AM217" s="626">
        <f t="shared" si="236"/>
        <v>0</v>
      </c>
      <c r="AN217" s="625">
        <f t="array" ref="AN217">IFERROR(INDEX('TB-EQUIPMENT &amp; OTHER HPs'!$Y$69:$Y$84,MATCH($E217&amp;$F217,'TB-EQUIPMENT &amp; OTHER HPs'!$E$69:$E$84&amp;'TB-EQUIPMENT &amp; OTHER HPs'!$I$69:$I$84,0)),0)</f>
        <v>0</v>
      </c>
      <c r="AO217" s="626">
        <f t="shared" si="237"/>
        <v>0</v>
      </c>
      <c r="AP217" s="626">
        <f t="shared" si="238"/>
        <v>0</v>
      </c>
      <c r="AQ217" s="626">
        <f t="shared" si="239"/>
        <v>0</v>
      </c>
      <c r="AR217" s="630"/>
      <c r="AS217" s="625">
        <f t="array" ref="AS217">IFERROR(INDEX('TB-EQUIPMENT &amp; OTHER HPs'!$AB$69:$AB$84,MATCH($E217&amp;$F217,'TB-EQUIPMENT &amp; OTHER HPs'!$E$69:$E$84&amp;'TB-EQUIPMENT &amp; OTHER HPs'!$I$69:$I$84,0)),0)</f>
        <v>0</v>
      </c>
      <c r="AT217" s="625">
        <f t="array" ref="AT217">IFERROR(INDEX('TB-EQUIPMENT &amp; OTHER HPs'!$AC$69:$AC$84,MATCH($E217&amp;$F217,'TB-EQUIPMENT &amp; OTHER HPs'!$E$69:$E$84&amp;'TB-EQUIPMENT &amp; OTHER HPs'!$I$69:$I$84,0)),0)</f>
        <v>0</v>
      </c>
      <c r="AU217" s="626">
        <f t="shared" si="240"/>
        <v>0</v>
      </c>
      <c r="AV217" s="626">
        <f t="shared" si="241"/>
        <v>0</v>
      </c>
      <c r="AW217" s="626">
        <f t="shared" si="242"/>
        <v>0</v>
      </c>
      <c r="AX217" s="625">
        <f t="array" ref="AX217">IFERROR(INDEX('TB-EQUIPMENT &amp; OTHER HPs'!$AD$69:$AD$84,MATCH($E217&amp;$F217,'TB-EQUIPMENT &amp; OTHER HPs'!$E$69:$E$84&amp;'TB-EQUIPMENT &amp; OTHER HPs'!$I$69:$I$84,0)),0)</f>
        <v>0</v>
      </c>
      <c r="AY217" s="626">
        <f t="shared" si="243"/>
        <v>0</v>
      </c>
      <c r="AZ217" s="626">
        <f t="shared" si="244"/>
        <v>0</v>
      </c>
      <c r="BA217" s="626">
        <f t="shared" si="245"/>
        <v>0</v>
      </c>
      <c r="BB217" s="625">
        <f t="array" ref="BB217">IFERROR(INDEX('TB-EQUIPMENT &amp; OTHER HPs'!$AE$69:$AE$84,MATCH($E217&amp;$F217,'TB-EQUIPMENT &amp; OTHER HPs'!$E$69:$E$84&amp;'TB-EQUIPMENT &amp; OTHER HPs'!$I$69:$I$84,0)),0)</f>
        <v>0</v>
      </c>
      <c r="BC217" s="626">
        <f t="shared" si="246"/>
        <v>0</v>
      </c>
      <c r="BD217" s="626">
        <f t="shared" si="247"/>
        <v>0</v>
      </c>
      <c r="BE217" s="626">
        <f t="shared" si="248"/>
        <v>0</v>
      </c>
      <c r="BF217" s="625">
        <f t="array" ref="BF217">IFERROR(INDEX('TB-EQUIPMENT &amp; OTHER HPs'!$AF$69:$AF$84,MATCH($E217&amp;$F217,'TB-EQUIPMENT &amp; OTHER HPs'!$E$69:$E$84&amp;'TB-EQUIPMENT &amp; OTHER HPs'!$I$69:$I$84,0)),0)</f>
        <v>0</v>
      </c>
      <c r="BG217" s="626">
        <f t="shared" si="249"/>
        <v>0</v>
      </c>
      <c r="BH217" s="626">
        <f t="shared" si="250"/>
        <v>0</v>
      </c>
      <c r="BI217" s="626">
        <f t="shared" si="251"/>
        <v>0</v>
      </c>
      <c r="BJ217" s="630"/>
      <c r="BK217" s="625"/>
      <c r="BL217" s="625"/>
      <c r="BM217" s="625"/>
      <c r="BN217" s="625"/>
      <c r="BO217" s="625"/>
      <c r="BP217" s="625"/>
      <c r="BQ217" s="625"/>
      <c r="BR217" s="625"/>
    </row>
    <row r="218" spans="1:70">
      <c r="A218" s="29" t="s">
        <v>1748</v>
      </c>
      <c r="B218" s="29" t="s">
        <v>1836</v>
      </c>
      <c r="C218" s="619">
        <f>SETUP!$F$41</f>
        <v>0</v>
      </c>
      <c r="D218" s="25">
        <v>5.4</v>
      </c>
      <c r="E218" s="26" t="s">
        <v>573</v>
      </c>
      <c r="F218" s="26" t="s">
        <v>1751</v>
      </c>
      <c r="G218" s="625" t="str">
        <f t="array" ref="G218">IFERROR(INDEX('TB-EQUIPMENT &amp; OTHER HPs'!$L$69:$L$84,MATCH($E218&amp;$F218,'TB-EQUIPMENT &amp; OTHER HPs'!$E$69:$E$84&amp;'TB-EQUIPMENT &amp; OTHER HPs'!$I$69:$I$84,0)),"")</f>
        <v/>
      </c>
      <c r="H218" s="625" t="str">
        <f t="array" ref="H218">IFERROR(INDEX('TB-EQUIPMENT &amp; OTHER HPs'!$M$69:$M$84,MATCH($E218&amp;$F218,'TB-EQUIPMENT &amp; OTHER HPs'!$E$69:$E$84&amp;'TB-EQUIPMENT &amp; OTHER HPs'!$I$69:$I$84,0)),"")</f>
        <v/>
      </c>
      <c r="I218" s="625">
        <f t="array" ref="I218">IFERROR(INDEX('TB-EQUIPMENT &amp; OTHER HPs'!$N$69:$N$84,MATCH($E218&amp;$F218,'TB-EQUIPMENT &amp; OTHER HPs'!$E$69:$E$84&amp;'TB-EQUIPMENT &amp; OTHER HPs'!$I$69:$I$84,0)),0)</f>
        <v>0</v>
      </c>
      <c r="J218" s="625">
        <f t="array" ref="J218">IFERROR(INDEX('TB-EQUIPMENT &amp; OTHER HPs'!$O$69:$O$84,MATCH($E218&amp;$F218,'TB-EQUIPMENT &amp; OTHER HPs'!$E$69:$E$84&amp;'TB-EQUIPMENT &amp; OTHER HPs'!$I$69:$I$84,0)),0)</f>
        <v>0</v>
      </c>
      <c r="K218" s="626">
        <f t="shared" si="216"/>
        <v>0</v>
      </c>
      <c r="L218" s="626">
        <f t="shared" si="217"/>
        <v>0</v>
      </c>
      <c r="M218" s="626">
        <f t="shared" si="218"/>
        <v>0</v>
      </c>
      <c r="N218" s="625">
        <f t="array" ref="N218">IFERROR(INDEX('TB-EQUIPMENT &amp; OTHER HPs'!$P$69:$P$84,MATCH($E218&amp;$F218,'TB-EQUIPMENT &amp; OTHER HPs'!$E$69:$E$84&amp;'TB-EQUIPMENT &amp; OTHER HPs'!$I$69:$I$84,0)),0)</f>
        <v>0</v>
      </c>
      <c r="O218" s="626">
        <f t="shared" si="219"/>
        <v>0</v>
      </c>
      <c r="P218" s="626">
        <f t="shared" si="220"/>
        <v>0</v>
      </c>
      <c r="Q218" s="626">
        <f t="shared" si="221"/>
        <v>0</v>
      </c>
      <c r="R218" s="625">
        <f t="array" ref="R218">IFERROR(INDEX('TB-EQUIPMENT &amp; OTHER HPs'!$Q$69:$Q$84,MATCH($E218&amp;$F218,'TB-EQUIPMENT &amp; OTHER HPs'!$E$69:$E$84&amp;'TB-EQUIPMENT &amp; OTHER HPs'!$I$69:$I$84,0)),0)</f>
        <v>0</v>
      </c>
      <c r="S218" s="626">
        <f t="shared" si="222"/>
        <v>0</v>
      </c>
      <c r="T218" s="626">
        <f t="shared" si="223"/>
        <v>0</v>
      </c>
      <c r="U218" s="626">
        <f t="shared" si="224"/>
        <v>0</v>
      </c>
      <c r="V218" s="625">
        <f t="array" ref="V218">IFERROR(INDEX('TB-EQUIPMENT &amp; OTHER HPs'!$R$69:$R$84,MATCH($E218&amp;$F218,'TB-EQUIPMENT &amp; OTHER HPs'!$E$69:$E$84&amp;'TB-EQUIPMENT &amp; OTHER HPs'!$I$69:$I$84,0)),0)</f>
        <v>0</v>
      </c>
      <c r="W218" s="626">
        <f t="shared" si="225"/>
        <v>0</v>
      </c>
      <c r="X218" s="626">
        <f t="shared" si="226"/>
        <v>0</v>
      </c>
      <c r="Y218" s="626">
        <f t="shared" si="227"/>
        <v>0</v>
      </c>
      <c r="Z218" s="630"/>
      <c r="AA218" s="625">
        <f t="array" ref="AA218">IFERROR(INDEX('TB-EQUIPMENT &amp; OTHER HPs'!$U$69:$U$84,MATCH($E218&amp;$F218,'TB-EQUIPMENT &amp; OTHER HPs'!$E$69:$E$84&amp;'TB-EQUIPMENT &amp; OTHER HPs'!$I$69:$I$84,0)),0)</f>
        <v>0</v>
      </c>
      <c r="AB218" s="625">
        <f t="array" ref="AB218">IFERROR(INDEX('TB-EQUIPMENT &amp; OTHER HPs'!$V$69:$V$84,MATCH($E218&amp;$F218,'TB-EQUIPMENT &amp; OTHER HPs'!$E$69:$E$84&amp;'TB-EQUIPMENT &amp; OTHER HPs'!$I$69:$I$84,0)),0)</f>
        <v>0</v>
      </c>
      <c r="AC218" s="626">
        <f t="shared" si="228"/>
        <v>0</v>
      </c>
      <c r="AD218" s="626">
        <f t="shared" si="229"/>
        <v>0</v>
      </c>
      <c r="AE218" s="626">
        <f t="shared" si="230"/>
        <v>0</v>
      </c>
      <c r="AF218" s="625">
        <f t="array" ref="AF218">IFERROR(INDEX('TB-EQUIPMENT &amp; OTHER HPs'!$W$69:$W$84,MATCH($E218&amp;$F218,'TB-EQUIPMENT &amp; OTHER HPs'!$E$69:$E$84&amp;'TB-EQUIPMENT &amp; OTHER HPs'!$I$69:$I$84,0)),0)</f>
        <v>0</v>
      </c>
      <c r="AG218" s="626">
        <f t="shared" si="231"/>
        <v>0</v>
      </c>
      <c r="AH218" s="626">
        <f t="shared" si="232"/>
        <v>0</v>
      </c>
      <c r="AI218" s="626">
        <f t="shared" si="233"/>
        <v>0</v>
      </c>
      <c r="AJ218" s="625">
        <f t="array" ref="AJ218">IFERROR(INDEX('TB-EQUIPMENT &amp; OTHER HPs'!$X$69:$X$84,MATCH($E218&amp;$F218,'TB-EQUIPMENT &amp; OTHER HPs'!$E$69:$E$84&amp;'TB-EQUIPMENT &amp; OTHER HPs'!$I$69:$I$84,0)),0)</f>
        <v>0</v>
      </c>
      <c r="AK218" s="626">
        <f t="shared" si="234"/>
        <v>0</v>
      </c>
      <c r="AL218" s="626">
        <f t="shared" si="235"/>
        <v>0</v>
      </c>
      <c r="AM218" s="626">
        <f t="shared" si="236"/>
        <v>0</v>
      </c>
      <c r="AN218" s="625">
        <f t="array" ref="AN218">IFERROR(INDEX('TB-EQUIPMENT &amp; OTHER HPs'!$Y$69:$Y$84,MATCH($E218&amp;$F218,'TB-EQUIPMENT &amp; OTHER HPs'!$E$69:$E$84&amp;'TB-EQUIPMENT &amp; OTHER HPs'!$I$69:$I$84,0)),0)</f>
        <v>0</v>
      </c>
      <c r="AO218" s="626">
        <f t="shared" si="237"/>
        <v>0</v>
      </c>
      <c r="AP218" s="626">
        <f t="shared" si="238"/>
        <v>0</v>
      </c>
      <c r="AQ218" s="626">
        <f t="shared" si="239"/>
        <v>0</v>
      </c>
      <c r="AR218" s="630"/>
      <c r="AS218" s="625">
        <f t="array" ref="AS218">IFERROR(INDEX('TB-EQUIPMENT &amp; OTHER HPs'!$AB$69:$AB$84,MATCH($E218&amp;$F218,'TB-EQUIPMENT &amp; OTHER HPs'!$E$69:$E$84&amp;'TB-EQUIPMENT &amp; OTHER HPs'!$I$69:$I$84,0)),0)</f>
        <v>0</v>
      </c>
      <c r="AT218" s="625">
        <f t="array" ref="AT218">IFERROR(INDEX('TB-EQUIPMENT &amp; OTHER HPs'!$AC$69:$AC$84,MATCH($E218&amp;$F218,'TB-EQUIPMENT &amp; OTHER HPs'!$E$69:$E$84&amp;'TB-EQUIPMENT &amp; OTHER HPs'!$I$69:$I$84,0)),0)</f>
        <v>0</v>
      </c>
      <c r="AU218" s="626">
        <f t="shared" si="240"/>
        <v>0</v>
      </c>
      <c r="AV218" s="626">
        <f t="shared" si="241"/>
        <v>0</v>
      </c>
      <c r="AW218" s="626">
        <f t="shared" si="242"/>
        <v>0</v>
      </c>
      <c r="AX218" s="625">
        <f t="array" ref="AX218">IFERROR(INDEX('TB-EQUIPMENT &amp; OTHER HPs'!$AD$69:$AD$84,MATCH($E218&amp;$F218,'TB-EQUIPMENT &amp; OTHER HPs'!$E$69:$E$84&amp;'TB-EQUIPMENT &amp; OTHER HPs'!$I$69:$I$84,0)),0)</f>
        <v>0</v>
      </c>
      <c r="AY218" s="626">
        <f t="shared" si="243"/>
        <v>0</v>
      </c>
      <c r="AZ218" s="626">
        <f t="shared" si="244"/>
        <v>0</v>
      </c>
      <c r="BA218" s="626">
        <f t="shared" si="245"/>
        <v>0</v>
      </c>
      <c r="BB218" s="625">
        <f t="array" ref="BB218">IFERROR(INDEX('TB-EQUIPMENT &amp; OTHER HPs'!$AE$69:$AE$84,MATCH($E218&amp;$F218,'TB-EQUIPMENT &amp; OTHER HPs'!$E$69:$E$84&amp;'TB-EQUIPMENT &amp; OTHER HPs'!$I$69:$I$84,0)),0)</f>
        <v>0</v>
      </c>
      <c r="BC218" s="626">
        <f t="shared" si="246"/>
        <v>0</v>
      </c>
      <c r="BD218" s="626">
        <f t="shared" si="247"/>
        <v>0</v>
      </c>
      <c r="BE218" s="626">
        <f t="shared" si="248"/>
        <v>0</v>
      </c>
      <c r="BF218" s="625">
        <f t="array" ref="BF218">IFERROR(INDEX('TB-EQUIPMENT &amp; OTHER HPs'!$AF$69:$AF$84,MATCH($E218&amp;$F218,'TB-EQUIPMENT &amp; OTHER HPs'!$E$69:$E$84&amp;'TB-EQUIPMENT &amp; OTHER HPs'!$I$69:$I$84,0)),0)</f>
        <v>0</v>
      </c>
      <c r="BG218" s="626">
        <f t="shared" si="249"/>
        <v>0</v>
      </c>
      <c r="BH218" s="626">
        <f t="shared" si="250"/>
        <v>0</v>
      </c>
      <c r="BI218" s="626">
        <f t="shared" si="251"/>
        <v>0</v>
      </c>
      <c r="BJ218" s="630"/>
      <c r="BK218" s="625"/>
      <c r="BL218" s="625"/>
      <c r="BM218" s="625"/>
      <c r="BN218" s="625"/>
      <c r="BO218" s="625"/>
      <c r="BP218" s="625"/>
      <c r="BQ218" s="625"/>
      <c r="BR218" s="625"/>
    </row>
    <row r="219" spans="1:70">
      <c r="A219" s="29" t="s">
        <v>1748</v>
      </c>
      <c r="B219" s="29" t="s">
        <v>1836</v>
      </c>
      <c r="C219" s="619">
        <f>SETUP!$F$41</f>
        <v>0</v>
      </c>
      <c r="D219" s="25">
        <v>5.4</v>
      </c>
      <c r="E219" s="26" t="s">
        <v>573</v>
      </c>
      <c r="F219" s="26" t="s">
        <v>1752</v>
      </c>
      <c r="G219" s="625" t="str">
        <f t="array" ref="G219">IFERROR(INDEX('TB-EQUIPMENT &amp; OTHER HPs'!$L$69:$L$84,MATCH($E219&amp;$F219,'TB-EQUIPMENT &amp; OTHER HPs'!$E$69:$E$84&amp;'TB-EQUIPMENT &amp; OTHER HPs'!$I$69:$I$84,0)),"")</f>
        <v/>
      </c>
      <c r="H219" s="625" t="str">
        <f t="array" ref="H219">IFERROR(INDEX('TB-EQUIPMENT &amp; OTHER HPs'!$M$69:$M$84,MATCH($E219&amp;$F219,'TB-EQUIPMENT &amp; OTHER HPs'!$E$69:$E$84&amp;'TB-EQUIPMENT &amp; OTHER HPs'!$I$69:$I$84,0)),"")</f>
        <v/>
      </c>
      <c r="I219" s="625">
        <f t="array" ref="I219">IFERROR(INDEX('TB-EQUIPMENT &amp; OTHER HPs'!$N$69:$N$84,MATCH($E219&amp;$F219,'TB-EQUIPMENT &amp; OTHER HPs'!$E$69:$E$84&amp;'TB-EQUIPMENT &amp; OTHER HPs'!$I$69:$I$84,0)),0)</f>
        <v>0</v>
      </c>
      <c r="J219" s="625">
        <f t="array" ref="J219">IFERROR(INDEX('TB-EQUIPMENT &amp; OTHER HPs'!$O$69:$O$84,MATCH($E219&amp;$F219,'TB-EQUIPMENT &amp; OTHER HPs'!$E$69:$E$84&amp;'TB-EQUIPMENT &amp; OTHER HPs'!$I$69:$I$84,0)),0)</f>
        <v>0</v>
      </c>
      <c r="K219" s="626">
        <f t="shared" si="216"/>
        <v>0</v>
      </c>
      <c r="L219" s="626">
        <f t="shared" si="217"/>
        <v>0</v>
      </c>
      <c r="M219" s="626">
        <f t="shared" si="218"/>
        <v>0</v>
      </c>
      <c r="N219" s="625">
        <f t="array" ref="N219">IFERROR(INDEX('TB-EQUIPMENT &amp; OTHER HPs'!$P$69:$P$84,MATCH($E219&amp;$F219,'TB-EQUIPMENT &amp; OTHER HPs'!$E$69:$E$84&amp;'TB-EQUIPMENT &amp; OTHER HPs'!$I$69:$I$84,0)),0)</f>
        <v>0</v>
      </c>
      <c r="O219" s="626">
        <f t="shared" si="219"/>
        <v>0</v>
      </c>
      <c r="P219" s="626">
        <f t="shared" si="220"/>
        <v>0</v>
      </c>
      <c r="Q219" s="626">
        <f t="shared" si="221"/>
        <v>0</v>
      </c>
      <c r="R219" s="625">
        <f t="array" ref="R219">IFERROR(INDEX('TB-EQUIPMENT &amp; OTHER HPs'!$Q$69:$Q$84,MATCH($E219&amp;$F219,'TB-EQUIPMENT &amp; OTHER HPs'!$E$69:$E$84&amp;'TB-EQUIPMENT &amp; OTHER HPs'!$I$69:$I$84,0)),0)</f>
        <v>0</v>
      </c>
      <c r="S219" s="626">
        <f t="shared" si="222"/>
        <v>0</v>
      </c>
      <c r="T219" s="626">
        <f t="shared" si="223"/>
        <v>0</v>
      </c>
      <c r="U219" s="626">
        <f t="shared" si="224"/>
        <v>0</v>
      </c>
      <c r="V219" s="625">
        <f t="array" ref="V219">IFERROR(INDEX('TB-EQUIPMENT &amp; OTHER HPs'!$R$69:$R$84,MATCH($E219&amp;$F219,'TB-EQUIPMENT &amp; OTHER HPs'!$E$69:$E$84&amp;'TB-EQUIPMENT &amp; OTHER HPs'!$I$69:$I$84,0)),0)</f>
        <v>0</v>
      </c>
      <c r="W219" s="626">
        <f t="shared" si="225"/>
        <v>0</v>
      </c>
      <c r="X219" s="626">
        <f t="shared" si="226"/>
        <v>0</v>
      </c>
      <c r="Y219" s="626">
        <f t="shared" si="227"/>
        <v>0</v>
      </c>
      <c r="Z219" s="630"/>
      <c r="AA219" s="625">
        <f t="array" ref="AA219">IFERROR(INDEX('TB-EQUIPMENT &amp; OTHER HPs'!$U$69:$U$84,MATCH($E219&amp;$F219,'TB-EQUIPMENT &amp; OTHER HPs'!$E$69:$E$84&amp;'TB-EQUIPMENT &amp; OTHER HPs'!$I$69:$I$84,0)),0)</f>
        <v>0</v>
      </c>
      <c r="AB219" s="625">
        <f t="array" ref="AB219">IFERROR(INDEX('TB-EQUIPMENT &amp; OTHER HPs'!$V$69:$V$84,MATCH($E219&amp;$F219,'TB-EQUIPMENT &amp; OTHER HPs'!$E$69:$E$84&amp;'TB-EQUIPMENT &amp; OTHER HPs'!$I$69:$I$84,0)),0)</f>
        <v>0</v>
      </c>
      <c r="AC219" s="626">
        <f t="shared" si="228"/>
        <v>0</v>
      </c>
      <c r="AD219" s="626">
        <f t="shared" si="229"/>
        <v>0</v>
      </c>
      <c r="AE219" s="626">
        <f t="shared" si="230"/>
        <v>0</v>
      </c>
      <c r="AF219" s="625">
        <f t="array" ref="AF219">IFERROR(INDEX('TB-EQUIPMENT &amp; OTHER HPs'!$W$69:$W$84,MATCH($E219&amp;$F219,'TB-EQUIPMENT &amp; OTHER HPs'!$E$69:$E$84&amp;'TB-EQUIPMENT &amp; OTHER HPs'!$I$69:$I$84,0)),0)</f>
        <v>0</v>
      </c>
      <c r="AG219" s="626">
        <f t="shared" si="231"/>
        <v>0</v>
      </c>
      <c r="AH219" s="626">
        <f t="shared" si="232"/>
        <v>0</v>
      </c>
      <c r="AI219" s="626">
        <f t="shared" si="233"/>
        <v>0</v>
      </c>
      <c r="AJ219" s="625">
        <f t="array" ref="AJ219">IFERROR(INDEX('TB-EQUIPMENT &amp; OTHER HPs'!$X$69:$X$84,MATCH($E219&amp;$F219,'TB-EQUIPMENT &amp; OTHER HPs'!$E$69:$E$84&amp;'TB-EQUIPMENT &amp; OTHER HPs'!$I$69:$I$84,0)),0)</f>
        <v>0</v>
      </c>
      <c r="AK219" s="626">
        <f t="shared" si="234"/>
        <v>0</v>
      </c>
      <c r="AL219" s="626">
        <f t="shared" si="235"/>
        <v>0</v>
      </c>
      <c r="AM219" s="626">
        <f t="shared" si="236"/>
        <v>0</v>
      </c>
      <c r="AN219" s="625">
        <f t="array" ref="AN219">IFERROR(INDEX('TB-EQUIPMENT &amp; OTHER HPs'!$Y$69:$Y$84,MATCH($E219&amp;$F219,'TB-EQUIPMENT &amp; OTHER HPs'!$E$69:$E$84&amp;'TB-EQUIPMENT &amp; OTHER HPs'!$I$69:$I$84,0)),0)</f>
        <v>0</v>
      </c>
      <c r="AO219" s="626">
        <f t="shared" si="237"/>
        <v>0</v>
      </c>
      <c r="AP219" s="626">
        <f t="shared" si="238"/>
        <v>0</v>
      </c>
      <c r="AQ219" s="626">
        <f t="shared" si="239"/>
        <v>0</v>
      </c>
      <c r="AR219" s="630"/>
      <c r="AS219" s="625">
        <f t="array" ref="AS219">IFERROR(INDEX('TB-EQUIPMENT &amp; OTHER HPs'!$AB$69:$AB$84,MATCH($E219&amp;$F219,'TB-EQUIPMENT &amp; OTHER HPs'!$E$69:$E$84&amp;'TB-EQUIPMENT &amp; OTHER HPs'!$I$69:$I$84,0)),0)</f>
        <v>0</v>
      </c>
      <c r="AT219" s="625">
        <f t="array" ref="AT219">IFERROR(INDEX('TB-EQUIPMENT &amp; OTHER HPs'!$AC$69:$AC$84,MATCH($E219&amp;$F219,'TB-EQUIPMENT &amp; OTHER HPs'!$E$69:$E$84&amp;'TB-EQUIPMENT &amp; OTHER HPs'!$I$69:$I$84,0)),0)</f>
        <v>0</v>
      </c>
      <c r="AU219" s="626">
        <f t="shared" si="240"/>
        <v>0</v>
      </c>
      <c r="AV219" s="626">
        <f t="shared" si="241"/>
        <v>0</v>
      </c>
      <c r="AW219" s="626">
        <f t="shared" si="242"/>
        <v>0</v>
      </c>
      <c r="AX219" s="625">
        <f t="array" ref="AX219">IFERROR(INDEX('TB-EQUIPMENT &amp; OTHER HPs'!$AD$69:$AD$84,MATCH($E219&amp;$F219,'TB-EQUIPMENT &amp; OTHER HPs'!$E$69:$E$84&amp;'TB-EQUIPMENT &amp; OTHER HPs'!$I$69:$I$84,0)),0)</f>
        <v>0</v>
      </c>
      <c r="AY219" s="626">
        <f t="shared" si="243"/>
        <v>0</v>
      </c>
      <c r="AZ219" s="626">
        <f t="shared" si="244"/>
        <v>0</v>
      </c>
      <c r="BA219" s="626">
        <f t="shared" si="245"/>
        <v>0</v>
      </c>
      <c r="BB219" s="625">
        <f t="array" ref="BB219">IFERROR(INDEX('TB-EQUIPMENT &amp; OTHER HPs'!$AE$69:$AE$84,MATCH($E219&amp;$F219,'TB-EQUIPMENT &amp; OTHER HPs'!$E$69:$E$84&amp;'TB-EQUIPMENT &amp; OTHER HPs'!$I$69:$I$84,0)),0)</f>
        <v>0</v>
      </c>
      <c r="BC219" s="626">
        <f t="shared" si="246"/>
        <v>0</v>
      </c>
      <c r="BD219" s="626">
        <f t="shared" si="247"/>
        <v>0</v>
      </c>
      <c r="BE219" s="626">
        <f t="shared" si="248"/>
        <v>0</v>
      </c>
      <c r="BF219" s="625">
        <f t="array" ref="BF219">IFERROR(INDEX('TB-EQUIPMENT &amp; OTHER HPs'!$AF$69:$AF$84,MATCH($E219&amp;$F219,'TB-EQUIPMENT &amp; OTHER HPs'!$E$69:$E$84&amp;'TB-EQUIPMENT &amp; OTHER HPs'!$I$69:$I$84,0)),0)</f>
        <v>0</v>
      </c>
      <c r="BG219" s="626">
        <f t="shared" si="249"/>
        <v>0</v>
      </c>
      <c r="BH219" s="626">
        <f t="shared" si="250"/>
        <v>0</v>
      </c>
      <c r="BI219" s="626">
        <f t="shared" si="251"/>
        <v>0</v>
      </c>
      <c r="BJ219" s="630"/>
      <c r="BK219" s="625"/>
      <c r="BL219" s="625"/>
      <c r="BM219" s="625"/>
      <c r="BN219" s="625"/>
      <c r="BO219" s="625"/>
      <c r="BP219" s="625"/>
      <c r="BQ219" s="625"/>
      <c r="BR219" s="625"/>
    </row>
    <row r="220" spans="1:70">
      <c r="A220" s="29" t="s">
        <v>1748</v>
      </c>
      <c r="B220" s="29" t="s">
        <v>1836</v>
      </c>
      <c r="C220" s="619">
        <f>SETUP!$F$41</f>
        <v>0</v>
      </c>
      <c r="D220" s="25">
        <v>5.4</v>
      </c>
      <c r="E220" s="26" t="s">
        <v>573</v>
      </c>
      <c r="F220" s="26" t="s">
        <v>1753</v>
      </c>
      <c r="G220" s="625" t="str">
        <f t="array" ref="G220">IFERROR(INDEX('TB-EQUIPMENT &amp; OTHER HPs'!$L$69:$L$84,MATCH($E220&amp;$F220,'TB-EQUIPMENT &amp; OTHER HPs'!$E$69:$E$84&amp;'TB-EQUIPMENT &amp; OTHER HPs'!$I$69:$I$84,0)),"")</f>
        <v/>
      </c>
      <c r="H220" s="625" t="str">
        <f t="array" ref="H220">IFERROR(INDEX('TB-EQUIPMENT &amp; OTHER HPs'!$M$69:$M$84,MATCH($E220&amp;$F220,'TB-EQUIPMENT &amp; OTHER HPs'!$E$69:$E$84&amp;'TB-EQUIPMENT &amp; OTHER HPs'!$I$69:$I$84,0)),"")</f>
        <v/>
      </c>
      <c r="I220" s="625">
        <f t="array" ref="I220">IFERROR(INDEX('TB-EQUIPMENT &amp; OTHER HPs'!$N$69:$N$84,MATCH($E220&amp;$F220,'TB-EQUIPMENT &amp; OTHER HPs'!$E$69:$E$84&amp;'TB-EQUIPMENT &amp; OTHER HPs'!$I$69:$I$84,0)),0)</f>
        <v>0</v>
      </c>
      <c r="J220" s="625">
        <f t="array" ref="J220">IFERROR(INDEX('TB-EQUIPMENT &amp; OTHER HPs'!$O$69:$O$84,MATCH($E220&amp;$F220,'TB-EQUIPMENT &amp; OTHER HPs'!$E$69:$E$84&amp;'TB-EQUIPMENT &amp; OTHER HPs'!$I$69:$I$84,0)),0)</f>
        <v>0</v>
      </c>
      <c r="K220" s="626">
        <f t="shared" si="216"/>
        <v>0</v>
      </c>
      <c r="L220" s="626">
        <f t="shared" si="217"/>
        <v>0</v>
      </c>
      <c r="M220" s="626">
        <f t="shared" si="218"/>
        <v>0</v>
      </c>
      <c r="N220" s="625">
        <f t="array" ref="N220">IFERROR(INDEX('TB-EQUIPMENT &amp; OTHER HPs'!$P$69:$P$84,MATCH($E220&amp;$F220,'TB-EQUIPMENT &amp; OTHER HPs'!$E$69:$E$84&amp;'TB-EQUIPMENT &amp; OTHER HPs'!$I$69:$I$84,0)),0)</f>
        <v>0</v>
      </c>
      <c r="O220" s="626">
        <f t="shared" si="219"/>
        <v>0</v>
      </c>
      <c r="P220" s="626">
        <f t="shared" si="220"/>
        <v>0</v>
      </c>
      <c r="Q220" s="626">
        <f t="shared" si="221"/>
        <v>0</v>
      </c>
      <c r="R220" s="625">
        <f t="array" ref="R220">IFERROR(INDEX('TB-EQUIPMENT &amp; OTHER HPs'!$Q$69:$Q$84,MATCH($E220&amp;$F220,'TB-EQUIPMENT &amp; OTHER HPs'!$E$69:$E$84&amp;'TB-EQUIPMENT &amp; OTHER HPs'!$I$69:$I$84,0)),0)</f>
        <v>0</v>
      </c>
      <c r="S220" s="626">
        <f t="shared" si="222"/>
        <v>0</v>
      </c>
      <c r="T220" s="626">
        <f t="shared" si="223"/>
        <v>0</v>
      </c>
      <c r="U220" s="626">
        <f t="shared" si="224"/>
        <v>0</v>
      </c>
      <c r="V220" s="625">
        <f t="array" ref="V220">IFERROR(INDEX('TB-EQUIPMENT &amp; OTHER HPs'!$R$69:$R$84,MATCH($E220&amp;$F220,'TB-EQUIPMENT &amp; OTHER HPs'!$E$69:$E$84&amp;'TB-EQUIPMENT &amp; OTHER HPs'!$I$69:$I$84,0)),0)</f>
        <v>0</v>
      </c>
      <c r="W220" s="626">
        <f t="shared" si="225"/>
        <v>0</v>
      </c>
      <c r="X220" s="626">
        <f t="shared" si="226"/>
        <v>0</v>
      </c>
      <c r="Y220" s="626">
        <f t="shared" si="227"/>
        <v>0</v>
      </c>
      <c r="Z220" s="630"/>
      <c r="AA220" s="625">
        <f t="array" ref="AA220">IFERROR(INDEX('TB-EQUIPMENT &amp; OTHER HPs'!$U$69:$U$84,MATCH($E220&amp;$F220,'TB-EQUIPMENT &amp; OTHER HPs'!$E$69:$E$84&amp;'TB-EQUIPMENT &amp; OTHER HPs'!$I$69:$I$84,0)),0)</f>
        <v>0</v>
      </c>
      <c r="AB220" s="625">
        <f t="array" ref="AB220">IFERROR(INDEX('TB-EQUIPMENT &amp; OTHER HPs'!$V$69:$V$84,MATCH($E220&amp;$F220,'TB-EQUIPMENT &amp; OTHER HPs'!$E$69:$E$84&amp;'TB-EQUIPMENT &amp; OTHER HPs'!$I$69:$I$84,0)),0)</f>
        <v>0</v>
      </c>
      <c r="AC220" s="626">
        <f t="shared" si="228"/>
        <v>0</v>
      </c>
      <c r="AD220" s="626">
        <f t="shared" si="229"/>
        <v>0</v>
      </c>
      <c r="AE220" s="626">
        <f t="shared" si="230"/>
        <v>0</v>
      </c>
      <c r="AF220" s="625">
        <f t="array" ref="AF220">IFERROR(INDEX('TB-EQUIPMENT &amp; OTHER HPs'!$W$69:$W$84,MATCH($E220&amp;$F220,'TB-EQUIPMENT &amp; OTHER HPs'!$E$69:$E$84&amp;'TB-EQUIPMENT &amp; OTHER HPs'!$I$69:$I$84,0)),0)</f>
        <v>0</v>
      </c>
      <c r="AG220" s="626">
        <f t="shared" si="231"/>
        <v>0</v>
      </c>
      <c r="AH220" s="626">
        <f t="shared" si="232"/>
        <v>0</v>
      </c>
      <c r="AI220" s="626">
        <f t="shared" si="233"/>
        <v>0</v>
      </c>
      <c r="AJ220" s="625">
        <f t="array" ref="AJ220">IFERROR(INDEX('TB-EQUIPMENT &amp; OTHER HPs'!$X$69:$X$84,MATCH($E220&amp;$F220,'TB-EQUIPMENT &amp; OTHER HPs'!$E$69:$E$84&amp;'TB-EQUIPMENT &amp; OTHER HPs'!$I$69:$I$84,0)),0)</f>
        <v>0</v>
      </c>
      <c r="AK220" s="626">
        <f t="shared" si="234"/>
        <v>0</v>
      </c>
      <c r="AL220" s="626">
        <f t="shared" si="235"/>
        <v>0</v>
      </c>
      <c r="AM220" s="626">
        <f t="shared" si="236"/>
        <v>0</v>
      </c>
      <c r="AN220" s="625">
        <f t="array" ref="AN220">IFERROR(INDEX('TB-EQUIPMENT &amp; OTHER HPs'!$Y$69:$Y$84,MATCH($E220&amp;$F220,'TB-EQUIPMENT &amp; OTHER HPs'!$E$69:$E$84&amp;'TB-EQUIPMENT &amp; OTHER HPs'!$I$69:$I$84,0)),0)</f>
        <v>0</v>
      </c>
      <c r="AO220" s="626">
        <f t="shared" si="237"/>
        <v>0</v>
      </c>
      <c r="AP220" s="626">
        <f t="shared" si="238"/>
        <v>0</v>
      </c>
      <c r="AQ220" s="626">
        <f t="shared" si="239"/>
        <v>0</v>
      </c>
      <c r="AR220" s="630"/>
      <c r="AS220" s="625">
        <f t="array" ref="AS220">IFERROR(INDEX('TB-EQUIPMENT &amp; OTHER HPs'!$AB$69:$AB$84,MATCH($E220&amp;$F220,'TB-EQUIPMENT &amp; OTHER HPs'!$E$69:$E$84&amp;'TB-EQUIPMENT &amp; OTHER HPs'!$I$69:$I$84,0)),0)</f>
        <v>0</v>
      </c>
      <c r="AT220" s="625">
        <f t="array" ref="AT220">IFERROR(INDEX('TB-EQUIPMENT &amp; OTHER HPs'!$AC$69:$AC$84,MATCH($E220&amp;$F220,'TB-EQUIPMENT &amp; OTHER HPs'!$E$69:$E$84&amp;'TB-EQUIPMENT &amp; OTHER HPs'!$I$69:$I$84,0)),0)</f>
        <v>0</v>
      </c>
      <c r="AU220" s="626">
        <f t="shared" si="240"/>
        <v>0</v>
      </c>
      <c r="AV220" s="626">
        <f t="shared" si="241"/>
        <v>0</v>
      </c>
      <c r="AW220" s="626">
        <f t="shared" si="242"/>
        <v>0</v>
      </c>
      <c r="AX220" s="625">
        <f t="array" ref="AX220">IFERROR(INDEX('TB-EQUIPMENT &amp; OTHER HPs'!$AD$69:$AD$84,MATCH($E220&amp;$F220,'TB-EQUIPMENT &amp; OTHER HPs'!$E$69:$E$84&amp;'TB-EQUIPMENT &amp; OTHER HPs'!$I$69:$I$84,0)),0)</f>
        <v>0</v>
      </c>
      <c r="AY220" s="626">
        <f t="shared" si="243"/>
        <v>0</v>
      </c>
      <c r="AZ220" s="626">
        <f t="shared" si="244"/>
        <v>0</v>
      </c>
      <c r="BA220" s="626">
        <f t="shared" si="245"/>
        <v>0</v>
      </c>
      <c r="BB220" s="625">
        <f t="array" ref="BB220">IFERROR(INDEX('TB-EQUIPMENT &amp; OTHER HPs'!$AE$69:$AE$84,MATCH($E220&amp;$F220,'TB-EQUIPMENT &amp; OTHER HPs'!$E$69:$E$84&amp;'TB-EQUIPMENT &amp; OTHER HPs'!$I$69:$I$84,0)),0)</f>
        <v>0</v>
      </c>
      <c r="BC220" s="626">
        <f t="shared" si="246"/>
        <v>0</v>
      </c>
      <c r="BD220" s="626">
        <f t="shared" si="247"/>
        <v>0</v>
      </c>
      <c r="BE220" s="626">
        <f t="shared" si="248"/>
        <v>0</v>
      </c>
      <c r="BF220" s="625">
        <f t="array" ref="BF220">IFERROR(INDEX('TB-EQUIPMENT &amp; OTHER HPs'!$AF$69:$AF$84,MATCH($E220&amp;$F220,'TB-EQUIPMENT &amp; OTHER HPs'!$E$69:$E$84&amp;'TB-EQUIPMENT &amp; OTHER HPs'!$I$69:$I$84,0)),0)</f>
        <v>0</v>
      </c>
      <c r="BG220" s="626">
        <f t="shared" si="249"/>
        <v>0</v>
      </c>
      <c r="BH220" s="626">
        <f t="shared" si="250"/>
        <v>0</v>
      </c>
      <c r="BI220" s="626">
        <f t="shared" si="251"/>
        <v>0</v>
      </c>
      <c r="BJ220" s="630"/>
      <c r="BK220" s="625"/>
      <c r="BL220" s="625"/>
      <c r="BM220" s="625"/>
      <c r="BN220" s="625"/>
      <c r="BO220" s="625"/>
      <c r="BP220" s="625"/>
      <c r="BQ220" s="625"/>
      <c r="BR220" s="625"/>
    </row>
    <row r="221" spans="1:70">
      <c r="A221" s="29" t="s">
        <v>1748</v>
      </c>
      <c r="B221" s="29" t="s">
        <v>1836</v>
      </c>
      <c r="C221" s="619">
        <f>SETUP!$F$41</f>
        <v>0</v>
      </c>
      <c r="D221" s="25">
        <v>5.4</v>
      </c>
      <c r="E221" s="26" t="s">
        <v>1490</v>
      </c>
      <c r="F221" s="26" t="s">
        <v>1140</v>
      </c>
      <c r="G221" s="625" t="str">
        <f t="array" ref="G221">IFERROR(INDEX('TB-EQUIPMENT &amp; OTHER HPs'!$L$69:$L$84,MATCH($E221&amp;$F221,'TB-EQUIPMENT &amp; OTHER HPs'!$E$69:$E$84&amp;'TB-EQUIPMENT &amp; OTHER HPs'!$I$69:$I$84,0)),"")</f>
        <v/>
      </c>
      <c r="H221" s="625" t="str">
        <f t="array" ref="H221">IFERROR(INDEX('TB-EQUIPMENT &amp; OTHER HPs'!$M$69:$M$84,MATCH($E221&amp;$F221,'TB-EQUIPMENT &amp; OTHER HPs'!$E$69:$E$84&amp;'TB-EQUIPMENT &amp; OTHER HPs'!$I$69:$I$84,0)),"")</f>
        <v/>
      </c>
      <c r="I221" s="625">
        <f t="array" ref="I221">IFERROR(INDEX('TB-EQUIPMENT &amp; OTHER HPs'!$N$69:$N$84,MATCH($E221&amp;$F221,'TB-EQUIPMENT &amp; OTHER HPs'!$E$69:$E$84&amp;'TB-EQUIPMENT &amp; OTHER HPs'!$I$69:$I$84,0)),0)</f>
        <v>0</v>
      </c>
      <c r="J221" s="625">
        <f t="array" ref="J221">IFERROR(INDEX('TB-EQUIPMENT &amp; OTHER HPs'!$O$69:$O$84,MATCH($E221&amp;$F221,'TB-EQUIPMENT &amp; OTHER HPs'!$E$69:$E$84&amp;'TB-EQUIPMENT &amp; OTHER HPs'!$I$69:$I$84,0)),0)</f>
        <v>0</v>
      </c>
      <c r="K221" s="626">
        <f t="shared" si="216"/>
        <v>0</v>
      </c>
      <c r="L221" s="626">
        <f t="shared" si="217"/>
        <v>0</v>
      </c>
      <c r="M221" s="626">
        <f t="shared" si="218"/>
        <v>0</v>
      </c>
      <c r="N221" s="625">
        <f t="array" ref="N221">IFERROR(INDEX('TB-EQUIPMENT &amp; OTHER HPs'!$P$69:$P$84,MATCH($E221&amp;$F221,'TB-EQUIPMENT &amp; OTHER HPs'!$E$69:$E$84&amp;'TB-EQUIPMENT &amp; OTHER HPs'!$I$69:$I$84,0)),0)</f>
        <v>0</v>
      </c>
      <c r="O221" s="626">
        <f t="shared" si="219"/>
        <v>0</v>
      </c>
      <c r="P221" s="626">
        <f t="shared" si="220"/>
        <v>0</v>
      </c>
      <c r="Q221" s="626">
        <f t="shared" si="221"/>
        <v>0</v>
      </c>
      <c r="R221" s="625">
        <f t="array" ref="R221">IFERROR(INDEX('TB-EQUIPMENT &amp; OTHER HPs'!$Q$69:$Q$84,MATCH($E221&amp;$F221,'TB-EQUIPMENT &amp; OTHER HPs'!$E$69:$E$84&amp;'TB-EQUIPMENT &amp; OTHER HPs'!$I$69:$I$84,0)),0)</f>
        <v>0</v>
      </c>
      <c r="S221" s="626">
        <f t="shared" si="222"/>
        <v>0</v>
      </c>
      <c r="T221" s="626">
        <f t="shared" si="223"/>
        <v>0</v>
      </c>
      <c r="U221" s="626">
        <f t="shared" si="224"/>
        <v>0</v>
      </c>
      <c r="V221" s="625">
        <f t="array" ref="V221">IFERROR(INDEX('TB-EQUIPMENT &amp; OTHER HPs'!$R$69:$R$84,MATCH($E221&amp;$F221,'TB-EQUIPMENT &amp; OTHER HPs'!$E$69:$E$84&amp;'TB-EQUIPMENT &amp; OTHER HPs'!$I$69:$I$84,0)),0)</f>
        <v>0</v>
      </c>
      <c r="W221" s="626">
        <f t="shared" si="225"/>
        <v>0</v>
      </c>
      <c r="X221" s="626">
        <f t="shared" si="226"/>
        <v>0</v>
      </c>
      <c r="Y221" s="626">
        <f t="shared" si="227"/>
        <v>0</v>
      </c>
      <c r="Z221" s="630"/>
      <c r="AA221" s="625">
        <f t="array" ref="AA221">IFERROR(INDEX('TB-EQUIPMENT &amp; OTHER HPs'!$U$69:$U$84,MATCH($E221&amp;$F221,'TB-EQUIPMENT &amp; OTHER HPs'!$E$69:$E$84&amp;'TB-EQUIPMENT &amp; OTHER HPs'!$I$69:$I$84,0)),0)</f>
        <v>0</v>
      </c>
      <c r="AB221" s="625">
        <f t="array" ref="AB221">IFERROR(INDEX('TB-EQUIPMENT &amp; OTHER HPs'!$V$69:$V$84,MATCH($E221&amp;$F221,'TB-EQUIPMENT &amp; OTHER HPs'!$E$69:$E$84&amp;'TB-EQUIPMENT &amp; OTHER HPs'!$I$69:$I$84,0)),0)</f>
        <v>0</v>
      </c>
      <c r="AC221" s="626">
        <f t="shared" si="228"/>
        <v>0</v>
      </c>
      <c r="AD221" s="626">
        <f t="shared" si="229"/>
        <v>0</v>
      </c>
      <c r="AE221" s="626">
        <f t="shared" si="230"/>
        <v>0</v>
      </c>
      <c r="AF221" s="625">
        <f t="array" ref="AF221">IFERROR(INDEX('TB-EQUIPMENT &amp; OTHER HPs'!$W$69:$W$84,MATCH($E221&amp;$F221,'TB-EQUIPMENT &amp; OTHER HPs'!$E$69:$E$84&amp;'TB-EQUIPMENT &amp; OTHER HPs'!$I$69:$I$84,0)),0)</f>
        <v>0</v>
      </c>
      <c r="AG221" s="626">
        <f t="shared" si="231"/>
        <v>0</v>
      </c>
      <c r="AH221" s="626">
        <f t="shared" si="232"/>
        <v>0</v>
      </c>
      <c r="AI221" s="626">
        <f t="shared" si="233"/>
        <v>0</v>
      </c>
      <c r="AJ221" s="625">
        <f t="array" ref="AJ221">IFERROR(INDEX('TB-EQUIPMENT &amp; OTHER HPs'!$X$69:$X$84,MATCH($E221&amp;$F221,'TB-EQUIPMENT &amp; OTHER HPs'!$E$69:$E$84&amp;'TB-EQUIPMENT &amp; OTHER HPs'!$I$69:$I$84,0)),0)</f>
        <v>0</v>
      </c>
      <c r="AK221" s="626">
        <f t="shared" si="234"/>
        <v>0</v>
      </c>
      <c r="AL221" s="626">
        <f t="shared" si="235"/>
        <v>0</v>
      </c>
      <c r="AM221" s="626">
        <f t="shared" si="236"/>
        <v>0</v>
      </c>
      <c r="AN221" s="625">
        <f t="array" ref="AN221">IFERROR(INDEX('TB-EQUIPMENT &amp; OTHER HPs'!$Y$69:$Y$84,MATCH($E221&amp;$F221,'TB-EQUIPMENT &amp; OTHER HPs'!$E$69:$E$84&amp;'TB-EQUIPMENT &amp; OTHER HPs'!$I$69:$I$84,0)),0)</f>
        <v>0</v>
      </c>
      <c r="AO221" s="626">
        <f t="shared" si="237"/>
        <v>0</v>
      </c>
      <c r="AP221" s="626">
        <f t="shared" si="238"/>
        <v>0</v>
      </c>
      <c r="AQ221" s="626">
        <f t="shared" si="239"/>
        <v>0</v>
      </c>
      <c r="AR221" s="630"/>
      <c r="AS221" s="625">
        <f t="array" ref="AS221">IFERROR(INDEX('TB-EQUIPMENT &amp; OTHER HPs'!$AB$69:$AB$84,MATCH($E221&amp;$F221,'TB-EQUIPMENT &amp; OTHER HPs'!$E$69:$E$84&amp;'TB-EQUIPMENT &amp; OTHER HPs'!$I$69:$I$84,0)),0)</f>
        <v>0</v>
      </c>
      <c r="AT221" s="625">
        <f t="array" ref="AT221">IFERROR(INDEX('TB-EQUIPMENT &amp; OTHER HPs'!$AC$69:$AC$84,MATCH($E221&amp;$F221,'TB-EQUIPMENT &amp; OTHER HPs'!$E$69:$E$84&amp;'TB-EQUIPMENT &amp; OTHER HPs'!$I$69:$I$84,0)),0)</f>
        <v>0</v>
      </c>
      <c r="AU221" s="626">
        <f t="shared" si="240"/>
        <v>0</v>
      </c>
      <c r="AV221" s="626">
        <f t="shared" si="241"/>
        <v>0</v>
      </c>
      <c r="AW221" s="626">
        <f t="shared" si="242"/>
        <v>0</v>
      </c>
      <c r="AX221" s="625">
        <f t="array" ref="AX221">IFERROR(INDEX('TB-EQUIPMENT &amp; OTHER HPs'!$AD$69:$AD$84,MATCH($E221&amp;$F221,'TB-EQUIPMENT &amp; OTHER HPs'!$E$69:$E$84&amp;'TB-EQUIPMENT &amp; OTHER HPs'!$I$69:$I$84,0)),0)</f>
        <v>0</v>
      </c>
      <c r="AY221" s="626">
        <f t="shared" si="243"/>
        <v>0</v>
      </c>
      <c r="AZ221" s="626">
        <f t="shared" si="244"/>
        <v>0</v>
      </c>
      <c r="BA221" s="626">
        <f t="shared" si="245"/>
        <v>0</v>
      </c>
      <c r="BB221" s="625">
        <f t="array" ref="BB221">IFERROR(INDEX('TB-EQUIPMENT &amp; OTHER HPs'!$AE$69:$AE$84,MATCH($E221&amp;$F221,'TB-EQUIPMENT &amp; OTHER HPs'!$E$69:$E$84&amp;'TB-EQUIPMENT &amp; OTHER HPs'!$I$69:$I$84,0)),0)</f>
        <v>0</v>
      </c>
      <c r="BC221" s="626">
        <f t="shared" si="246"/>
        <v>0</v>
      </c>
      <c r="BD221" s="626">
        <f t="shared" si="247"/>
        <v>0</v>
      </c>
      <c r="BE221" s="626">
        <f t="shared" si="248"/>
        <v>0</v>
      </c>
      <c r="BF221" s="625">
        <f t="array" ref="BF221">IFERROR(INDEX('TB-EQUIPMENT &amp; OTHER HPs'!$AF$69:$AF$84,MATCH($E221&amp;$F221,'TB-EQUIPMENT &amp; OTHER HPs'!$E$69:$E$84&amp;'TB-EQUIPMENT &amp; OTHER HPs'!$I$69:$I$84,0)),0)</f>
        <v>0</v>
      </c>
      <c r="BG221" s="626">
        <f t="shared" si="249"/>
        <v>0</v>
      </c>
      <c r="BH221" s="626">
        <f t="shared" si="250"/>
        <v>0</v>
      </c>
      <c r="BI221" s="626">
        <f t="shared" si="251"/>
        <v>0</v>
      </c>
      <c r="BJ221" s="630"/>
      <c r="BK221" s="625"/>
      <c r="BL221" s="625"/>
      <c r="BM221" s="625"/>
      <c r="BN221" s="625"/>
      <c r="BO221" s="625"/>
      <c r="BP221" s="625"/>
      <c r="BQ221" s="625"/>
      <c r="BR221" s="625"/>
    </row>
    <row r="222" spans="1:70">
      <c r="A222" s="29" t="s">
        <v>1748</v>
      </c>
      <c r="B222" s="29" t="s">
        <v>1836</v>
      </c>
      <c r="C222" s="619">
        <f>SETUP!$F$41</f>
        <v>0</v>
      </c>
      <c r="D222" s="25">
        <v>5.4</v>
      </c>
      <c r="E222" s="26" t="s">
        <v>330</v>
      </c>
      <c r="F222" s="26" t="s">
        <v>1491</v>
      </c>
      <c r="G222" s="625" t="str">
        <f t="array" ref="G222">IFERROR(INDEX('TB-EQUIPMENT &amp; OTHER HPs'!$L$69:$L$84,MATCH($E222&amp;$F222,'TB-EQUIPMENT &amp; OTHER HPs'!$E$69:$E$84&amp;'TB-EQUIPMENT &amp; OTHER HPs'!$I$69:$I$84,0)),"")</f>
        <v/>
      </c>
      <c r="H222" s="625" t="str">
        <f t="array" ref="H222">IFERROR(INDEX('TB-EQUIPMENT &amp; OTHER HPs'!$M$69:$M$84,MATCH($E222&amp;$F222,'TB-EQUIPMENT &amp; OTHER HPs'!$E$69:$E$84&amp;'TB-EQUIPMENT &amp; OTHER HPs'!$I$69:$I$84,0)),"")</f>
        <v/>
      </c>
      <c r="I222" s="625">
        <f t="array" ref="I222">IFERROR(INDEX('TB-EQUIPMENT &amp; OTHER HPs'!$N$69:$N$84,MATCH($E222&amp;$F222,'TB-EQUIPMENT &amp; OTHER HPs'!$E$69:$E$84&amp;'TB-EQUIPMENT &amp; OTHER HPs'!$I$69:$I$84,0)),0)</f>
        <v>0</v>
      </c>
      <c r="J222" s="625">
        <f t="array" ref="J222">IFERROR(INDEX('TB-EQUIPMENT &amp; OTHER HPs'!$O$69:$O$84,MATCH($E222&amp;$F222,'TB-EQUIPMENT &amp; OTHER HPs'!$E$69:$E$84&amp;'TB-EQUIPMENT &amp; OTHER HPs'!$I$69:$I$84,0)),0)</f>
        <v>0</v>
      </c>
      <c r="K222" s="626">
        <f t="shared" si="216"/>
        <v>0</v>
      </c>
      <c r="L222" s="626">
        <f t="shared" si="217"/>
        <v>0</v>
      </c>
      <c r="M222" s="626">
        <f t="shared" si="218"/>
        <v>0</v>
      </c>
      <c r="N222" s="625">
        <f t="array" ref="N222">IFERROR(INDEX('TB-EQUIPMENT &amp; OTHER HPs'!$P$69:$P$84,MATCH($E222&amp;$F222,'TB-EQUIPMENT &amp; OTHER HPs'!$E$69:$E$84&amp;'TB-EQUIPMENT &amp; OTHER HPs'!$I$69:$I$84,0)),0)</f>
        <v>0</v>
      </c>
      <c r="O222" s="626">
        <f t="shared" si="219"/>
        <v>0</v>
      </c>
      <c r="P222" s="626">
        <f t="shared" si="220"/>
        <v>0</v>
      </c>
      <c r="Q222" s="626">
        <f t="shared" si="221"/>
        <v>0</v>
      </c>
      <c r="R222" s="625">
        <f t="array" ref="R222">IFERROR(INDEX('TB-EQUIPMENT &amp; OTHER HPs'!$Q$69:$Q$84,MATCH($E222&amp;$F222,'TB-EQUIPMENT &amp; OTHER HPs'!$E$69:$E$84&amp;'TB-EQUIPMENT &amp; OTHER HPs'!$I$69:$I$84,0)),0)</f>
        <v>0</v>
      </c>
      <c r="S222" s="626">
        <f t="shared" si="222"/>
        <v>0</v>
      </c>
      <c r="T222" s="626">
        <f t="shared" si="223"/>
        <v>0</v>
      </c>
      <c r="U222" s="626">
        <f t="shared" si="224"/>
        <v>0</v>
      </c>
      <c r="V222" s="625">
        <f t="array" ref="V222">IFERROR(INDEX('TB-EQUIPMENT &amp; OTHER HPs'!$R$69:$R$84,MATCH($E222&amp;$F222,'TB-EQUIPMENT &amp; OTHER HPs'!$E$69:$E$84&amp;'TB-EQUIPMENT &amp; OTHER HPs'!$I$69:$I$84,0)),0)</f>
        <v>0</v>
      </c>
      <c r="W222" s="626">
        <f t="shared" si="225"/>
        <v>0</v>
      </c>
      <c r="X222" s="626">
        <f t="shared" si="226"/>
        <v>0</v>
      </c>
      <c r="Y222" s="626">
        <f t="shared" si="227"/>
        <v>0</v>
      </c>
      <c r="Z222" s="630"/>
      <c r="AA222" s="625">
        <f t="array" ref="AA222">IFERROR(INDEX('TB-EQUIPMENT &amp; OTHER HPs'!$U$69:$U$84,MATCH($E222&amp;$F222,'TB-EQUIPMENT &amp; OTHER HPs'!$E$69:$E$84&amp;'TB-EQUIPMENT &amp; OTHER HPs'!$I$69:$I$84,0)),0)</f>
        <v>0</v>
      </c>
      <c r="AB222" s="625">
        <f t="array" ref="AB222">IFERROR(INDEX('TB-EQUIPMENT &amp; OTHER HPs'!$V$69:$V$84,MATCH($E222&amp;$F222,'TB-EQUIPMENT &amp; OTHER HPs'!$E$69:$E$84&amp;'TB-EQUIPMENT &amp; OTHER HPs'!$I$69:$I$84,0)),0)</f>
        <v>0</v>
      </c>
      <c r="AC222" s="626">
        <f t="shared" si="228"/>
        <v>0</v>
      </c>
      <c r="AD222" s="626">
        <f t="shared" si="229"/>
        <v>0</v>
      </c>
      <c r="AE222" s="626">
        <f t="shared" si="230"/>
        <v>0</v>
      </c>
      <c r="AF222" s="625">
        <f t="array" ref="AF222">IFERROR(INDEX('TB-EQUIPMENT &amp; OTHER HPs'!$W$69:$W$84,MATCH($E222&amp;$F222,'TB-EQUIPMENT &amp; OTHER HPs'!$E$69:$E$84&amp;'TB-EQUIPMENT &amp; OTHER HPs'!$I$69:$I$84,0)),0)</f>
        <v>0</v>
      </c>
      <c r="AG222" s="626">
        <f t="shared" si="231"/>
        <v>0</v>
      </c>
      <c r="AH222" s="626">
        <f t="shared" si="232"/>
        <v>0</v>
      </c>
      <c r="AI222" s="626">
        <f t="shared" si="233"/>
        <v>0</v>
      </c>
      <c r="AJ222" s="625">
        <f t="array" ref="AJ222">IFERROR(INDEX('TB-EQUIPMENT &amp; OTHER HPs'!$X$69:$X$84,MATCH($E222&amp;$F222,'TB-EQUIPMENT &amp; OTHER HPs'!$E$69:$E$84&amp;'TB-EQUIPMENT &amp; OTHER HPs'!$I$69:$I$84,0)),0)</f>
        <v>0</v>
      </c>
      <c r="AK222" s="626">
        <f t="shared" si="234"/>
        <v>0</v>
      </c>
      <c r="AL222" s="626">
        <f t="shared" si="235"/>
        <v>0</v>
      </c>
      <c r="AM222" s="626">
        <f t="shared" si="236"/>
        <v>0</v>
      </c>
      <c r="AN222" s="625">
        <f t="array" ref="AN222">IFERROR(INDEX('TB-EQUIPMENT &amp; OTHER HPs'!$Y$69:$Y$84,MATCH($E222&amp;$F222,'TB-EQUIPMENT &amp; OTHER HPs'!$E$69:$E$84&amp;'TB-EQUIPMENT &amp; OTHER HPs'!$I$69:$I$84,0)),0)</f>
        <v>0</v>
      </c>
      <c r="AO222" s="626">
        <f t="shared" si="237"/>
        <v>0</v>
      </c>
      <c r="AP222" s="626">
        <f t="shared" si="238"/>
        <v>0</v>
      </c>
      <c r="AQ222" s="626">
        <f t="shared" si="239"/>
        <v>0</v>
      </c>
      <c r="AR222" s="630"/>
      <c r="AS222" s="625">
        <f t="array" ref="AS222">IFERROR(INDEX('TB-EQUIPMENT &amp; OTHER HPs'!$AB$69:$AB$84,MATCH($E222&amp;$F222,'TB-EQUIPMENT &amp; OTHER HPs'!$E$69:$E$84&amp;'TB-EQUIPMENT &amp; OTHER HPs'!$I$69:$I$84,0)),0)</f>
        <v>0</v>
      </c>
      <c r="AT222" s="625">
        <f t="array" ref="AT222">IFERROR(INDEX('TB-EQUIPMENT &amp; OTHER HPs'!$AC$69:$AC$84,MATCH($E222&amp;$F222,'TB-EQUIPMENT &amp; OTHER HPs'!$E$69:$E$84&amp;'TB-EQUIPMENT &amp; OTHER HPs'!$I$69:$I$84,0)),0)</f>
        <v>0</v>
      </c>
      <c r="AU222" s="626">
        <f t="shared" si="240"/>
        <v>0</v>
      </c>
      <c r="AV222" s="626">
        <f t="shared" si="241"/>
        <v>0</v>
      </c>
      <c r="AW222" s="626">
        <f t="shared" si="242"/>
        <v>0</v>
      </c>
      <c r="AX222" s="625">
        <f t="array" ref="AX222">IFERROR(INDEX('TB-EQUIPMENT &amp; OTHER HPs'!$AD$69:$AD$84,MATCH($E222&amp;$F222,'TB-EQUIPMENT &amp; OTHER HPs'!$E$69:$E$84&amp;'TB-EQUIPMENT &amp; OTHER HPs'!$I$69:$I$84,0)),0)</f>
        <v>0</v>
      </c>
      <c r="AY222" s="626">
        <f t="shared" si="243"/>
        <v>0</v>
      </c>
      <c r="AZ222" s="626">
        <f t="shared" si="244"/>
        <v>0</v>
      </c>
      <c r="BA222" s="626">
        <f t="shared" si="245"/>
        <v>0</v>
      </c>
      <c r="BB222" s="625">
        <f t="array" ref="BB222">IFERROR(INDEX('TB-EQUIPMENT &amp; OTHER HPs'!$AE$69:$AE$84,MATCH($E222&amp;$F222,'TB-EQUIPMENT &amp; OTHER HPs'!$E$69:$E$84&amp;'TB-EQUIPMENT &amp; OTHER HPs'!$I$69:$I$84,0)),0)</f>
        <v>0</v>
      </c>
      <c r="BC222" s="626">
        <f t="shared" si="246"/>
        <v>0</v>
      </c>
      <c r="BD222" s="626">
        <f t="shared" si="247"/>
        <v>0</v>
      </c>
      <c r="BE222" s="626">
        <f t="shared" si="248"/>
        <v>0</v>
      </c>
      <c r="BF222" s="625">
        <f t="array" ref="BF222">IFERROR(INDEX('TB-EQUIPMENT &amp; OTHER HPs'!$AF$69:$AF$84,MATCH($E222&amp;$F222,'TB-EQUIPMENT &amp; OTHER HPs'!$E$69:$E$84&amp;'TB-EQUIPMENT &amp; OTHER HPs'!$I$69:$I$84,0)),0)</f>
        <v>0</v>
      </c>
      <c r="BG222" s="626">
        <f t="shared" si="249"/>
        <v>0</v>
      </c>
      <c r="BH222" s="626">
        <f t="shared" si="250"/>
        <v>0</v>
      </c>
      <c r="BI222" s="626">
        <f t="shared" si="251"/>
        <v>0</v>
      </c>
      <c r="BJ222" s="630"/>
      <c r="BK222" s="625"/>
      <c r="BL222" s="625"/>
      <c r="BM222" s="625"/>
      <c r="BN222" s="625"/>
      <c r="BO222" s="625"/>
      <c r="BP222" s="625"/>
      <c r="BQ222" s="625"/>
      <c r="BR222" s="625"/>
    </row>
    <row r="223" spans="1:70">
      <c r="A223" s="29" t="s">
        <v>1749</v>
      </c>
      <c r="B223" s="29" t="s">
        <v>1836</v>
      </c>
      <c r="C223" s="619">
        <f>SETUP!$F$41</f>
        <v>0</v>
      </c>
      <c r="D223" s="25">
        <v>6.4</v>
      </c>
      <c r="E223" s="26" t="s">
        <v>1456</v>
      </c>
      <c r="F223" s="26" t="s">
        <v>1457</v>
      </c>
      <c r="G223" s="625" t="str">
        <f t="array" ref="G223">IFERROR(INDEX('TB-EQUIPMENT &amp; OTHER HPs'!$L$69:$L$84,MATCH($E223&amp;$F223,'TB-EQUIPMENT &amp; OTHER HPs'!$E$69:$E$84&amp;'TB-EQUIPMENT &amp; OTHER HPs'!$I$69:$I$84,0)),"")</f>
        <v/>
      </c>
      <c r="H223" s="625" t="str">
        <f t="array" ref="H223">IFERROR(INDEX('TB-EQUIPMENT &amp; OTHER HPs'!$M$69:$M$84,MATCH($E223&amp;$F223,'TB-EQUIPMENT &amp; OTHER HPs'!$E$69:$E$84&amp;'TB-EQUIPMENT &amp; OTHER HPs'!$I$69:$I$84,0)),"")</f>
        <v/>
      </c>
      <c r="I223" s="625">
        <f t="array" ref="I223">IFERROR(INDEX('TB-EQUIPMENT &amp; OTHER HPs'!$N$69:$N$84,MATCH($E223&amp;$F223,'TB-EQUIPMENT &amp; OTHER HPs'!$E$69:$E$84&amp;'TB-EQUIPMENT &amp; OTHER HPs'!$I$69:$I$84,0)),0)</f>
        <v>0</v>
      </c>
      <c r="J223" s="625">
        <f t="array" ref="J223">IFERROR(INDEX('TB-EQUIPMENT &amp; OTHER HPs'!$O$69:$O$84,MATCH($E223&amp;$F223,'TB-EQUIPMENT &amp; OTHER HPs'!$E$69:$E$84&amp;'TB-EQUIPMENT &amp; OTHER HPs'!$I$69:$I$84,0)),0)</f>
        <v>0</v>
      </c>
      <c r="K223" s="626">
        <f t="shared" si="216"/>
        <v>0</v>
      </c>
      <c r="L223" s="626">
        <f t="shared" si="217"/>
        <v>0</v>
      </c>
      <c r="M223" s="626">
        <f t="shared" si="218"/>
        <v>0</v>
      </c>
      <c r="N223" s="625">
        <f t="array" ref="N223">IFERROR(INDEX('TB-EQUIPMENT &amp; OTHER HPs'!$P$69:$P$84,MATCH($E223&amp;$F223,'TB-EQUIPMENT &amp; OTHER HPs'!$E$69:$E$84&amp;'TB-EQUIPMENT &amp; OTHER HPs'!$I$69:$I$84,0)),0)</f>
        <v>0</v>
      </c>
      <c r="O223" s="626">
        <f t="shared" si="219"/>
        <v>0</v>
      </c>
      <c r="P223" s="626">
        <f t="shared" si="220"/>
        <v>0</v>
      </c>
      <c r="Q223" s="626">
        <f t="shared" si="221"/>
        <v>0</v>
      </c>
      <c r="R223" s="625">
        <f t="array" ref="R223">IFERROR(INDEX('TB-EQUIPMENT &amp; OTHER HPs'!$Q$69:$Q$84,MATCH($E223&amp;$F223,'TB-EQUIPMENT &amp; OTHER HPs'!$E$69:$E$84&amp;'TB-EQUIPMENT &amp; OTHER HPs'!$I$69:$I$84,0)),0)</f>
        <v>0</v>
      </c>
      <c r="S223" s="626">
        <f t="shared" si="222"/>
        <v>0</v>
      </c>
      <c r="T223" s="626">
        <f t="shared" si="223"/>
        <v>0</v>
      </c>
      <c r="U223" s="626">
        <f t="shared" si="224"/>
        <v>0</v>
      </c>
      <c r="V223" s="625">
        <f t="array" ref="V223">IFERROR(INDEX('TB-EQUIPMENT &amp; OTHER HPs'!$R$69:$R$84,MATCH($E223&amp;$F223,'TB-EQUIPMENT &amp; OTHER HPs'!$E$69:$E$84&amp;'TB-EQUIPMENT &amp; OTHER HPs'!$I$69:$I$84,0)),0)</f>
        <v>0</v>
      </c>
      <c r="W223" s="626">
        <f t="shared" si="225"/>
        <v>0</v>
      </c>
      <c r="X223" s="626">
        <f t="shared" si="226"/>
        <v>0</v>
      </c>
      <c r="Y223" s="626">
        <f t="shared" si="227"/>
        <v>0</v>
      </c>
      <c r="Z223" s="630"/>
      <c r="AA223" s="625">
        <f t="array" ref="AA223">IFERROR(INDEX('TB-EQUIPMENT &amp; OTHER HPs'!$U$69:$U$84,MATCH($E223&amp;$F223,'TB-EQUIPMENT &amp; OTHER HPs'!$E$69:$E$84&amp;'TB-EQUIPMENT &amp; OTHER HPs'!$I$69:$I$84,0)),0)</f>
        <v>0</v>
      </c>
      <c r="AB223" s="625">
        <f t="array" ref="AB223">IFERROR(INDEX('TB-EQUIPMENT &amp; OTHER HPs'!$V$69:$V$84,MATCH($E223&amp;$F223,'TB-EQUIPMENT &amp; OTHER HPs'!$E$69:$E$84&amp;'TB-EQUIPMENT &amp; OTHER HPs'!$I$69:$I$84,0)),0)</f>
        <v>0</v>
      </c>
      <c r="AC223" s="626">
        <f t="shared" si="228"/>
        <v>0</v>
      </c>
      <c r="AD223" s="626">
        <f t="shared" si="229"/>
        <v>0</v>
      </c>
      <c r="AE223" s="626">
        <f t="shared" si="230"/>
        <v>0</v>
      </c>
      <c r="AF223" s="625">
        <f t="array" ref="AF223">IFERROR(INDEX('TB-EQUIPMENT &amp; OTHER HPs'!$W$69:$W$84,MATCH($E223&amp;$F223,'TB-EQUIPMENT &amp; OTHER HPs'!$E$69:$E$84&amp;'TB-EQUIPMENT &amp; OTHER HPs'!$I$69:$I$84,0)),0)</f>
        <v>0</v>
      </c>
      <c r="AG223" s="626">
        <f t="shared" si="231"/>
        <v>0</v>
      </c>
      <c r="AH223" s="626">
        <f t="shared" si="232"/>
        <v>0</v>
      </c>
      <c r="AI223" s="626">
        <f t="shared" si="233"/>
        <v>0</v>
      </c>
      <c r="AJ223" s="625">
        <f t="array" ref="AJ223">IFERROR(INDEX('TB-EQUIPMENT &amp; OTHER HPs'!$X$69:$X$84,MATCH($E223&amp;$F223,'TB-EQUIPMENT &amp; OTHER HPs'!$E$69:$E$84&amp;'TB-EQUIPMENT &amp; OTHER HPs'!$I$69:$I$84,0)),0)</f>
        <v>0</v>
      </c>
      <c r="AK223" s="626">
        <f t="shared" si="234"/>
        <v>0</v>
      </c>
      <c r="AL223" s="626">
        <f t="shared" si="235"/>
        <v>0</v>
      </c>
      <c r="AM223" s="626">
        <f t="shared" si="236"/>
        <v>0</v>
      </c>
      <c r="AN223" s="625">
        <f t="array" ref="AN223">IFERROR(INDEX('TB-EQUIPMENT &amp; OTHER HPs'!$Y$69:$Y$84,MATCH($E223&amp;$F223,'TB-EQUIPMENT &amp; OTHER HPs'!$E$69:$E$84&amp;'TB-EQUIPMENT &amp; OTHER HPs'!$I$69:$I$84,0)),0)</f>
        <v>0</v>
      </c>
      <c r="AO223" s="626">
        <f t="shared" si="237"/>
        <v>0</v>
      </c>
      <c r="AP223" s="626">
        <f t="shared" si="238"/>
        <v>0</v>
      </c>
      <c r="AQ223" s="626">
        <f t="shared" si="239"/>
        <v>0</v>
      </c>
      <c r="AR223" s="630"/>
      <c r="AS223" s="625">
        <f t="array" ref="AS223">IFERROR(INDEX('TB-EQUIPMENT &amp; OTHER HPs'!$AB$69:$AB$84,MATCH($E223&amp;$F223,'TB-EQUIPMENT &amp; OTHER HPs'!$E$69:$E$84&amp;'TB-EQUIPMENT &amp; OTHER HPs'!$I$69:$I$84,0)),0)</f>
        <v>0</v>
      </c>
      <c r="AT223" s="625">
        <f t="array" ref="AT223">IFERROR(INDEX('TB-EQUIPMENT &amp; OTHER HPs'!$AC$69:$AC$84,MATCH($E223&amp;$F223,'TB-EQUIPMENT &amp; OTHER HPs'!$E$69:$E$84&amp;'TB-EQUIPMENT &amp; OTHER HPs'!$I$69:$I$84,0)),0)</f>
        <v>0</v>
      </c>
      <c r="AU223" s="626">
        <f t="shared" si="240"/>
        <v>0</v>
      </c>
      <c r="AV223" s="626">
        <f t="shared" si="241"/>
        <v>0</v>
      </c>
      <c r="AW223" s="626">
        <f t="shared" si="242"/>
        <v>0</v>
      </c>
      <c r="AX223" s="625">
        <f t="array" ref="AX223">IFERROR(INDEX('TB-EQUIPMENT &amp; OTHER HPs'!$AD$69:$AD$84,MATCH($E223&amp;$F223,'TB-EQUIPMENT &amp; OTHER HPs'!$E$69:$E$84&amp;'TB-EQUIPMENT &amp; OTHER HPs'!$I$69:$I$84,0)),0)</f>
        <v>0</v>
      </c>
      <c r="AY223" s="626">
        <f t="shared" si="243"/>
        <v>0</v>
      </c>
      <c r="AZ223" s="626">
        <f t="shared" si="244"/>
        <v>0</v>
      </c>
      <c r="BA223" s="626">
        <f t="shared" si="245"/>
        <v>0</v>
      </c>
      <c r="BB223" s="625">
        <f t="array" ref="BB223">IFERROR(INDEX('TB-EQUIPMENT &amp; OTHER HPs'!$AE$69:$AE$84,MATCH($E223&amp;$F223,'TB-EQUIPMENT &amp; OTHER HPs'!$E$69:$E$84&amp;'TB-EQUIPMENT &amp; OTHER HPs'!$I$69:$I$84,0)),0)</f>
        <v>0</v>
      </c>
      <c r="BC223" s="626">
        <f t="shared" si="246"/>
        <v>0</v>
      </c>
      <c r="BD223" s="626">
        <f t="shared" si="247"/>
        <v>0</v>
      </c>
      <c r="BE223" s="626">
        <f t="shared" si="248"/>
        <v>0</v>
      </c>
      <c r="BF223" s="625">
        <f t="array" ref="BF223">IFERROR(INDEX('TB-EQUIPMENT &amp; OTHER HPs'!$AF$69:$AF$84,MATCH($E223&amp;$F223,'TB-EQUIPMENT &amp; OTHER HPs'!$E$69:$E$84&amp;'TB-EQUIPMENT &amp; OTHER HPs'!$I$69:$I$84,0)),0)</f>
        <v>0</v>
      </c>
      <c r="BG223" s="626">
        <f t="shared" si="249"/>
        <v>0</v>
      </c>
      <c r="BH223" s="626">
        <f t="shared" si="250"/>
        <v>0</v>
      </c>
      <c r="BI223" s="626">
        <f t="shared" si="251"/>
        <v>0</v>
      </c>
      <c r="BJ223" s="630"/>
      <c r="BK223" s="625"/>
      <c r="BL223" s="625"/>
      <c r="BM223" s="625"/>
      <c r="BN223" s="625"/>
      <c r="BO223" s="625"/>
      <c r="BP223" s="625"/>
      <c r="BQ223" s="625"/>
      <c r="BR223" s="625"/>
    </row>
    <row r="224" spans="1:70">
      <c r="A224" s="29" t="s">
        <v>1749</v>
      </c>
      <c r="B224" s="29" t="s">
        <v>1836</v>
      </c>
      <c r="C224" s="619">
        <f>SETUP!$F$41</f>
        <v>0</v>
      </c>
      <c r="D224" s="25">
        <v>6.4</v>
      </c>
      <c r="E224" s="26" t="s">
        <v>1456</v>
      </c>
      <c r="F224" s="26" t="s">
        <v>1458</v>
      </c>
      <c r="G224" s="625" t="str">
        <f t="array" ref="G224">IFERROR(INDEX('TB-EQUIPMENT &amp; OTHER HPs'!$L$69:$L$84,MATCH($E224&amp;$F224,'TB-EQUIPMENT &amp; OTHER HPs'!$E$69:$E$84&amp;'TB-EQUIPMENT &amp; OTHER HPs'!$I$69:$I$84,0)),"")</f>
        <v/>
      </c>
      <c r="H224" s="625" t="str">
        <f t="array" ref="H224">IFERROR(INDEX('TB-EQUIPMENT &amp; OTHER HPs'!$M$69:$M$84,MATCH($E224&amp;$F224,'TB-EQUIPMENT &amp; OTHER HPs'!$E$69:$E$84&amp;'TB-EQUIPMENT &amp; OTHER HPs'!$I$69:$I$84,0)),"")</f>
        <v/>
      </c>
      <c r="I224" s="625">
        <f t="array" ref="I224">IFERROR(INDEX('TB-EQUIPMENT &amp; OTHER HPs'!$N$69:$N$84,MATCH($E224&amp;$F224,'TB-EQUIPMENT &amp; OTHER HPs'!$E$69:$E$84&amp;'TB-EQUIPMENT &amp; OTHER HPs'!$I$69:$I$84,0)),0)</f>
        <v>0</v>
      </c>
      <c r="J224" s="625">
        <f t="array" ref="J224">IFERROR(INDEX('TB-EQUIPMENT &amp; OTHER HPs'!$O$69:$O$84,MATCH($E224&amp;$F224,'TB-EQUIPMENT &amp; OTHER HPs'!$E$69:$E$84&amp;'TB-EQUIPMENT &amp; OTHER HPs'!$I$69:$I$84,0)),0)</f>
        <v>0</v>
      </c>
      <c r="K224" s="626">
        <f t="shared" ref="K224:K232" si="252">IF(ISERROR($I224*J224),0,$I224*J224)</f>
        <v>0</v>
      </c>
      <c r="L224" s="626">
        <f t="shared" ref="L224:L232" si="253">IF(C224="Upfront",J224,0)</f>
        <v>0</v>
      </c>
      <c r="M224" s="626">
        <f t="shared" ref="M224:M232" si="254">IF(C224="Upfront",K224,0)</f>
        <v>0</v>
      </c>
      <c r="N224" s="625">
        <f t="array" ref="N224">IFERROR(INDEX('TB-EQUIPMENT &amp; OTHER HPs'!$P$69:$P$84,MATCH($E224&amp;$F224,'TB-EQUIPMENT &amp; OTHER HPs'!$E$69:$E$84&amp;'TB-EQUIPMENT &amp; OTHER HPs'!$I$69:$I$84,0)),0)</f>
        <v>0</v>
      </c>
      <c r="O224" s="626">
        <f t="shared" ref="O224:O232" si="255">IF(ISERROR($I224*N224),0,$I224*N224)</f>
        <v>0</v>
      </c>
      <c r="P224" s="626">
        <f t="shared" ref="P224:P232" si="256">IF(C224="Upfront",N224,0)</f>
        <v>0</v>
      </c>
      <c r="Q224" s="626">
        <f t="shared" ref="Q224:Q232" si="257">IF(C224="Upfront",O224,0)</f>
        <v>0</v>
      </c>
      <c r="R224" s="625">
        <f t="array" ref="R224">IFERROR(INDEX('TB-EQUIPMENT &amp; OTHER HPs'!$Q$69:$Q$84,MATCH($E224&amp;$F224,'TB-EQUIPMENT &amp; OTHER HPs'!$E$69:$E$84&amp;'TB-EQUIPMENT &amp; OTHER HPs'!$I$69:$I$84,0)),0)</f>
        <v>0</v>
      </c>
      <c r="S224" s="626">
        <f t="shared" ref="S224:S232" si="258">IF(ISERROR($I224*R224),0,$I224*R224)</f>
        <v>0</v>
      </c>
      <c r="T224" s="626">
        <f t="shared" ref="T224:T232" si="259">IF(C224="Upfront",R224,IF(C224="At delivery",J224,0))</f>
        <v>0</v>
      </c>
      <c r="U224" s="626">
        <f t="shared" ref="U224:U232" si="260">IF(C224="Upfront",S224,IF(C224="At delivery",K224,0))</f>
        <v>0</v>
      </c>
      <c r="V224" s="625">
        <f t="array" ref="V224">IFERROR(INDEX('TB-EQUIPMENT &amp; OTHER HPs'!$R$69:$R$84,MATCH($E224&amp;$F224,'TB-EQUIPMENT &amp; OTHER HPs'!$E$69:$E$84&amp;'TB-EQUIPMENT &amp; OTHER HPs'!$I$69:$I$84,0)),0)</f>
        <v>0</v>
      </c>
      <c r="W224" s="626">
        <f t="shared" ref="W224:W232" si="261">IF(ISERROR($I224*V224),0,$I224*V224)</f>
        <v>0</v>
      </c>
      <c r="X224" s="626">
        <f t="shared" ref="X224:X232" si="262">IF(C224="Upfront",V224,IF(C224="At delivery",N224,0))</f>
        <v>0</v>
      </c>
      <c r="Y224" s="626">
        <f t="shared" ref="Y224:Y232" si="263">IF(C224="Upfront",W224,IF(C224="At delivery",O224,0))</f>
        <v>0</v>
      </c>
      <c r="Z224" s="630"/>
      <c r="AA224" s="625">
        <f t="array" ref="AA224">IFERROR(INDEX('TB-EQUIPMENT &amp; OTHER HPs'!$U$69:$U$84,MATCH($E224&amp;$F224,'TB-EQUIPMENT &amp; OTHER HPs'!$E$69:$E$84&amp;'TB-EQUIPMENT &amp; OTHER HPs'!$I$69:$I$84,0)),0)</f>
        <v>0</v>
      </c>
      <c r="AB224" s="625">
        <f t="array" ref="AB224">IFERROR(INDEX('TB-EQUIPMENT &amp; OTHER HPs'!$V$69:$V$84,MATCH($E224&amp;$F224,'TB-EQUIPMENT &amp; OTHER HPs'!$E$69:$E$84&amp;'TB-EQUIPMENT &amp; OTHER HPs'!$I$69:$I$84,0)),0)</f>
        <v>0</v>
      </c>
      <c r="AC224" s="626">
        <f t="shared" ref="AC224:AC232" si="264">IF(ISERROR($AA224*AB224),0,$AA224*AB224)</f>
        <v>0</v>
      </c>
      <c r="AD224" s="626">
        <f t="shared" ref="AD224:AD232" si="265">IF(C224="Upfront",AB224,IF(C224="At delivery",R224,0))</f>
        <v>0</v>
      </c>
      <c r="AE224" s="626">
        <f t="shared" ref="AE224:AE232" si="266">IF(C224="Upfront",AC224,IF(C224="At delivery",S224,0))</f>
        <v>0</v>
      </c>
      <c r="AF224" s="625">
        <f t="array" ref="AF224">IFERROR(INDEX('TB-EQUIPMENT &amp; OTHER HPs'!$W$69:$W$84,MATCH($E224&amp;$F224,'TB-EQUIPMENT &amp; OTHER HPs'!$E$69:$E$84&amp;'TB-EQUIPMENT &amp; OTHER HPs'!$I$69:$I$84,0)),0)</f>
        <v>0</v>
      </c>
      <c r="AG224" s="626">
        <f t="shared" ref="AG224:AG232" si="267">IF(ISERROR($AA224*AF224),0,$AA224*AF224)</f>
        <v>0</v>
      </c>
      <c r="AH224" s="626">
        <f t="shared" ref="AH224:AH232" si="268">IF(C224="Upfront",AF224,IF(C224="At delivery",V224,0))</f>
        <v>0</v>
      </c>
      <c r="AI224" s="626">
        <f t="shared" ref="AI224:AI232" si="269">IF(C224="Upfront",AG224,IF(C224="At delivery",W224,0))</f>
        <v>0</v>
      </c>
      <c r="AJ224" s="625">
        <f t="array" ref="AJ224">IFERROR(INDEX('TB-EQUIPMENT &amp; OTHER HPs'!$X$69:$X$84,MATCH($E224&amp;$F224,'TB-EQUIPMENT &amp; OTHER HPs'!$E$69:$E$84&amp;'TB-EQUIPMENT &amp; OTHER HPs'!$I$69:$I$84,0)),0)</f>
        <v>0</v>
      </c>
      <c r="AK224" s="626">
        <f t="shared" ref="AK224:AK232" si="270">IF(ISERROR($AA224*AJ224),0,$AA224*AJ224)</f>
        <v>0</v>
      </c>
      <c r="AL224" s="626">
        <f t="shared" ref="AL224:AL232" si="271">IF(C224="Upfront",AJ224,IF(C224="At delivery",AB224,0))</f>
        <v>0</v>
      </c>
      <c r="AM224" s="626">
        <f t="shared" ref="AM224:AM232" si="272">IF(C224="Upfront",AK224,IF(C224="At delivery",AC224,0))</f>
        <v>0</v>
      </c>
      <c r="AN224" s="625">
        <f t="array" ref="AN224">IFERROR(INDEX('TB-EQUIPMENT &amp; OTHER HPs'!$Y$69:$Y$84,MATCH($E224&amp;$F224,'TB-EQUIPMENT &amp; OTHER HPs'!$E$69:$E$84&amp;'TB-EQUIPMENT &amp; OTHER HPs'!$I$69:$I$84,0)),0)</f>
        <v>0</v>
      </c>
      <c r="AO224" s="626">
        <f t="shared" ref="AO224:AO232" si="273">IF(ISERROR($AA224*AN224),0,$AA224*AN224)</f>
        <v>0</v>
      </c>
      <c r="AP224" s="626">
        <f t="shared" ref="AP224:AP232" si="274">IF(C224="Upfront",AN224,IF(C224="At delivery",AF224,0))</f>
        <v>0</v>
      </c>
      <c r="AQ224" s="626">
        <f t="shared" ref="AQ224:AQ232" si="275">IF(C224="Upfront",AO224,IF(C224="At delivery",AG224,0))</f>
        <v>0</v>
      </c>
      <c r="AR224" s="630"/>
      <c r="AS224" s="625">
        <f t="array" ref="AS224">IFERROR(INDEX('TB-EQUIPMENT &amp; OTHER HPs'!$AB$69:$AB$84,MATCH($E224&amp;$F224,'TB-EQUIPMENT &amp; OTHER HPs'!$E$69:$E$84&amp;'TB-EQUIPMENT &amp; OTHER HPs'!$I$69:$I$84,0)),0)</f>
        <v>0</v>
      </c>
      <c r="AT224" s="625">
        <f t="array" ref="AT224">IFERROR(INDEX('TB-EQUIPMENT &amp; OTHER HPs'!$AC$69:$AC$84,MATCH($E224&amp;$F224,'TB-EQUIPMENT &amp; OTHER HPs'!$E$69:$E$84&amp;'TB-EQUIPMENT &amp; OTHER HPs'!$I$69:$I$84,0)),0)</f>
        <v>0</v>
      </c>
      <c r="AU224" s="626">
        <f t="shared" ref="AU224:AU232" si="276">IF(ISERROR($AS224*AT224),0,$AS224*AT224)</f>
        <v>0</v>
      </c>
      <c r="AV224" s="626">
        <f t="shared" ref="AV224:AV232" si="277">IF(C224="Upfront",AT224,IF(C224="At delivery",AJ224,0))</f>
        <v>0</v>
      </c>
      <c r="AW224" s="626">
        <f t="shared" ref="AW224:AW232" si="278">IF(C224="Upfront",AU224,IF(C224="At delivery",AK224,0))</f>
        <v>0</v>
      </c>
      <c r="AX224" s="625">
        <f t="array" ref="AX224">IFERROR(INDEX('TB-EQUIPMENT &amp; OTHER HPs'!$AD$69:$AD$84,MATCH($E224&amp;$F224,'TB-EQUIPMENT &amp; OTHER HPs'!$E$69:$E$84&amp;'TB-EQUIPMENT &amp; OTHER HPs'!$I$69:$I$84,0)),0)</f>
        <v>0</v>
      </c>
      <c r="AY224" s="626">
        <f t="shared" ref="AY224:AY232" si="279">IF(ISERROR($AS224*AX224),0,$AS224*AX224)</f>
        <v>0</v>
      </c>
      <c r="AZ224" s="626">
        <f t="shared" ref="AZ224:AZ232" si="280">IF(C224="Upfront",AX224,IF(C224="At delivery",AN224,0))</f>
        <v>0</v>
      </c>
      <c r="BA224" s="626">
        <f t="shared" ref="BA224:BA232" si="281">IF(C224="Upfront",AY224,IF(C224="At delivery",AO224,0))</f>
        <v>0</v>
      </c>
      <c r="BB224" s="625">
        <f t="array" ref="BB224">IFERROR(INDEX('TB-EQUIPMENT &amp; OTHER HPs'!$AE$69:$AE$84,MATCH($E224&amp;$F224,'TB-EQUIPMENT &amp; OTHER HPs'!$E$69:$E$84&amp;'TB-EQUIPMENT &amp; OTHER HPs'!$I$69:$I$84,0)),0)</f>
        <v>0</v>
      </c>
      <c r="BC224" s="626">
        <f t="shared" ref="BC224:BC232" si="282">IF(ISERROR($AS224*BB224),0,$AS224*BB224)</f>
        <v>0</v>
      </c>
      <c r="BD224" s="626">
        <f t="shared" ref="BD224:BD232" si="283">IF(C224="Upfront",BB224,IF(C224="At delivery",AT224,0))</f>
        <v>0</v>
      </c>
      <c r="BE224" s="626">
        <f t="shared" ref="BE224:BE232" si="284">IF(C224="Upfront",BC224,IF(C224="At delivery",AU224,0))</f>
        <v>0</v>
      </c>
      <c r="BF224" s="625">
        <f t="array" ref="BF224">IFERROR(INDEX('TB-EQUIPMENT &amp; OTHER HPs'!$AF$69:$AF$84,MATCH($E224&amp;$F224,'TB-EQUIPMENT &amp; OTHER HPs'!$E$69:$E$84&amp;'TB-EQUIPMENT &amp; OTHER HPs'!$I$69:$I$84,0)),0)</f>
        <v>0</v>
      </c>
      <c r="BG224" s="626">
        <f t="shared" ref="BG224:BG232" si="285">IF(ISERROR($AS224*BF224),0,$AS224*BF224)</f>
        <v>0</v>
      </c>
      <c r="BH224" s="626">
        <f t="shared" ref="BH224:BH232" si="286">IF(C224="Upfront",BF224,IF(C224="At delivery",AX224,0))</f>
        <v>0</v>
      </c>
      <c r="BI224" s="626">
        <f t="shared" ref="BI224:BI232" si="287">IF(C224="Upfront",BG224,IF(C224="At delivery",AY224,0))</f>
        <v>0</v>
      </c>
      <c r="BJ224" s="630"/>
      <c r="BK224" s="625"/>
      <c r="BL224" s="625"/>
      <c r="BM224" s="625"/>
      <c r="BN224" s="625"/>
      <c r="BO224" s="625"/>
      <c r="BP224" s="625"/>
      <c r="BQ224" s="625"/>
      <c r="BR224" s="625"/>
    </row>
    <row r="225" spans="1:70">
      <c r="A225" s="29" t="s">
        <v>1749</v>
      </c>
      <c r="B225" s="29" t="s">
        <v>1836</v>
      </c>
      <c r="C225" s="619">
        <f>SETUP!$F$41</f>
        <v>0</v>
      </c>
      <c r="D225" s="25">
        <v>6.4</v>
      </c>
      <c r="E225" s="26" t="s">
        <v>1456</v>
      </c>
      <c r="F225" s="26" t="s">
        <v>1459</v>
      </c>
      <c r="G225" s="625" t="str">
        <f t="array" ref="G225">IFERROR(INDEX('TB-EQUIPMENT &amp; OTHER HPs'!$L$69:$L$84,MATCH($E225&amp;$F225,'TB-EQUIPMENT &amp; OTHER HPs'!$E$69:$E$84&amp;'TB-EQUIPMENT &amp; OTHER HPs'!$I$69:$I$84,0)),"")</f>
        <v/>
      </c>
      <c r="H225" s="625" t="str">
        <f t="array" ref="H225">IFERROR(INDEX('TB-EQUIPMENT &amp; OTHER HPs'!$M$69:$M$84,MATCH($E225&amp;$F225,'TB-EQUIPMENT &amp; OTHER HPs'!$E$69:$E$84&amp;'TB-EQUIPMENT &amp; OTHER HPs'!$I$69:$I$84,0)),"")</f>
        <v/>
      </c>
      <c r="I225" s="625">
        <f t="array" ref="I225">IFERROR(INDEX('TB-EQUIPMENT &amp; OTHER HPs'!$N$69:$N$84,MATCH($E225&amp;$F225,'TB-EQUIPMENT &amp; OTHER HPs'!$E$69:$E$84&amp;'TB-EQUIPMENT &amp; OTHER HPs'!$I$69:$I$84,0)),0)</f>
        <v>0</v>
      </c>
      <c r="J225" s="625">
        <f t="array" ref="J225">IFERROR(INDEX('TB-EQUIPMENT &amp; OTHER HPs'!$O$69:$O$84,MATCH($E225&amp;$F225,'TB-EQUIPMENT &amp; OTHER HPs'!$E$69:$E$84&amp;'TB-EQUIPMENT &amp; OTHER HPs'!$I$69:$I$84,0)),0)</f>
        <v>0</v>
      </c>
      <c r="K225" s="626">
        <f t="shared" si="252"/>
        <v>0</v>
      </c>
      <c r="L225" s="626">
        <f t="shared" si="253"/>
        <v>0</v>
      </c>
      <c r="M225" s="626">
        <f t="shared" si="254"/>
        <v>0</v>
      </c>
      <c r="N225" s="625">
        <f t="array" ref="N225">IFERROR(INDEX('TB-EQUIPMENT &amp; OTHER HPs'!$P$69:$P$84,MATCH($E225&amp;$F225,'TB-EQUIPMENT &amp; OTHER HPs'!$E$69:$E$84&amp;'TB-EQUIPMENT &amp; OTHER HPs'!$I$69:$I$84,0)),0)</f>
        <v>0</v>
      </c>
      <c r="O225" s="626">
        <f t="shared" si="255"/>
        <v>0</v>
      </c>
      <c r="P225" s="626">
        <f t="shared" si="256"/>
        <v>0</v>
      </c>
      <c r="Q225" s="626">
        <f t="shared" si="257"/>
        <v>0</v>
      </c>
      <c r="R225" s="625">
        <f t="array" ref="R225">IFERROR(INDEX('TB-EQUIPMENT &amp; OTHER HPs'!$Q$69:$Q$84,MATCH($E225&amp;$F225,'TB-EQUIPMENT &amp; OTHER HPs'!$E$69:$E$84&amp;'TB-EQUIPMENT &amp; OTHER HPs'!$I$69:$I$84,0)),0)</f>
        <v>0</v>
      </c>
      <c r="S225" s="626">
        <f t="shared" si="258"/>
        <v>0</v>
      </c>
      <c r="T225" s="626">
        <f t="shared" si="259"/>
        <v>0</v>
      </c>
      <c r="U225" s="626">
        <f t="shared" si="260"/>
        <v>0</v>
      </c>
      <c r="V225" s="625">
        <f t="array" ref="V225">IFERROR(INDEX('TB-EQUIPMENT &amp; OTHER HPs'!$R$69:$R$84,MATCH($E225&amp;$F225,'TB-EQUIPMENT &amp; OTHER HPs'!$E$69:$E$84&amp;'TB-EQUIPMENT &amp; OTHER HPs'!$I$69:$I$84,0)),0)</f>
        <v>0</v>
      </c>
      <c r="W225" s="626">
        <f t="shared" si="261"/>
        <v>0</v>
      </c>
      <c r="X225" s="626">
        <f t="shared" si="262"/>
        <v>0</v>
      </c>
      <c r="Y225" s="626">
        <f t="shared" si="263"/>
        <v>0</v>
      </c>
      <c r="Z225" s="630"/>
      <c r="AA225" s="625">
        <f t="array" ref="AA225">IFERROR(INDEX('TB-EQUIPMENT &amp; OTHER HPs'!$U$69:$U$84,MATCH($E225&amp;$F225,'TB-EQUIPMENT &amp; OTHER HPs'!$E$69:$E$84&amp;'TB-EQUIPMENT &amp; OTHER HPs'!$I$69:$I$84,0)),0)</f>
        <v>0</v>
      </c>
      <c r="AB225" s="625">
        <f t="array" ref="AB225">IFERROR(INDEX('TB-EQUIPMENT &amp; OTHER HPs'!$V$69:$V$84,MATCH($E225&amp;$F225,'TB-EQUIPMENT &amp; OTHER HPs'!$E$69:$E$84&amp;'TB-EQUIPMENT &amp; OTHER HPs'!$I$69:$I$84,0)),0)</f>
        <v>0</v>
      </c>
      <c r="AC225" s="626">
        <f t="shared" si="264"/>
        <v>0</v>
      </c>
      <c r="AD225" s="626">
        <f t="shared" si="265"/>
        <v>0</v>
      </c>
      <c r="AE225" s="626">
        <f t="shared" si="266"/>
        <v>0</v>
      </c>
      <c r="AF225" s="625">
        <f t="array" ref="AF225">IFERROR(INDEX('TB-EQUIPMENT &amp; OTHER HPs'!$W$69:$W$84,MATCH($E225&amp;$F225,'TB-EQUIPMENT &amp; OTHER HPs'!$E$69:$E$84&amp;'TB-EQUIPMENT &amp; OTHER HPs'!$I$69:$I$84,0)),0)</f>
        <v>0</v>
      </c>
      <c r="AG225" s="626">
        <f t="shared" si="267"/>
        <v>0</v>
      </c>
      <c r="AH225" s="626">
        <f t="shared" si="268"/>
        <v>0</v>
      </c>
      <c r="AI225" s="626">
        <f t="shared" si="269"/>
        <v>0</v>
      </c>
      <c r="AJ225" s="625">
        <f t="array" ref="AJ225">IFERROR(INDEX('TB-EQUIPMENT &amp; OTHER HPs'!$X$69:$X$84,MATCH($E225&amp;$F225,'TB-EQUIPMENT &amp; OTHER HPs'!$E$69:$E$84&amp;'TB-EQUIPMENT &amp; OTHER HPs'!$I$69:$I$84,0)),0)</f>
        <v>0</v>
      </c>
      <c r="AK225" s="626">
        <f t="shared" si="270"/>
        <v>0</v>
      </c>
      <c r="AL225" s="626">
        <f t="shared" si="271"/>
        <v>0</v>
      </c>
      <c r="AM225" s="626">
        <f t="shared" si="272"/>
        <v>0</v>
      </c>
      <c r="AN225" s="625">
        <f t="array" ref="AN225">IFERROR(INDEX('TB-EQUIPMENT &amp; OTHER HPs'!$Y$69:$Y$84,MATCH($E225&amp;$F225,'TB-EQUIPMENT &amp; OTHER HPs'!$E$69:$E$84&amp;'TB-EQUIPMENT &amp; OTHER HPs'!$I$69:$I$84,0)),0)</f>
        <v>0</v>
      </c>
      <c r="AO225" s="626">
        <f t="shared" si="273"/>
        <v>0</v>
      </c>
      <c r="AP225" s="626">
        <f t="shared" si="274"/>
        <v>0</v>
      </c>
      <c r="AQ225" s="626">
        <f t="shared" si="275"/>
        <v>0</v>
      </c>
      <c r="AR225" s="630"/>
      <c r="AS225" s="625">
        <f t="array" ref="AS225">IFERROR(INDEX('TB-EQUIPMENT &amp; OTHER HPs'!$AB$69:$AB$84,MATCH($E225&amp;$F225,'TB-EQUIPMENT &amp; OTHER HPs'!$E$69:$E$84&amp;'TB-EQUIPMENT &amp; OTHER HPs'!$I$69:$I$84,0)),0)</f>
        <v>0</v>
      </c>
      <c r="AT225" s="625">
        <f t="array" ref="AT225">IFERROR(INDEX('TB-EQUIPMENT &amp; OTHER HPs'!$AC$69:$AC$84,MATCH($E225&amp;$F225,'TB-EQUIPMENT &amp; OTHER HPs'!$E$69:$E$84&amp;'TB-EQUIPMENT &amp; OTHER HPs'!$I$69:$I$84,0)),0)</f>
        <v>0</v>
      </c>
      <c r="AU225" s="626">
        <f t="shared" si="276"/>
        <v>0</v>
      </c>
      <c r="AV225" s="626">
        <f t="shared" si="277"/>
        <v>0</v>
      </c>
      <c r="AW225" s="626">
        <f t="shared" si="278"/>
        <v>0</v>
      </c>
      <c r="AX225" s="625">
        <f t="array" ref="AX225">IFERROR(INDEX('TB-EQUIPMENT &amp; OTHER HPs'!$AD$69:$AD$84,MATCH($E225&amp;$F225,'TB-EQUIPMENT &amp; OTHER HPs'!$E$69:$E$84&amp;'TB-EQUIPMENT &amp; OTHER HPs'!$I$69:$I$84,0)),0)</f>
        <v>0</v>
      </c>
      <c r="AY225" s="626">
        <f t="shared" si="279"/>
        <v>0</v>
      </c>
      <c r="AZ225" s="626">
        <f t="shared" si="280"/>
        <v>0</v>
      </c>
      <c r="BA225" s="626">
        <f t="shared" si="281"/>
        <v>0</v>
      </c>
      <c r="BB225" s="625">
        <f t="array" ref="BB225">IFERROR(INDEX('TB-EQUIPMENT &amp; OTHER HPs'!$AE$69:$AE$84,MATCH($E225&amp;$F225,'TB-EQUIPMENT &amp; OTHER HPs'!$E$69:$E$84&amp;'TB-EQUIPMENT &amp; OTHER HPs'!$I$69:$I$84,0)),0)</f>
        <v>0</v>
      </c>
      <c r="BC225" s="626">
        <f t="shared" si="282"/>
        <v>0</v>
      </c>
      <c r="BD225" s="626">
        <f t="shared" si="283"/>
        <v>0</v>
      </c>
      <c r="BE225" s="626">
        <f t="shared" si="284"/>
        <v>0</v>
      </c>
      <c r="BF225" s="625">
        <f t="array" ref="BF225">IFERROR(INDEX('TB-EQUIPMENT &amp; OTHER HPs'!$AF$69:$AF$84,MATCH($E225&amp;$F225,'TB-EQUIPMENT &amp; OTHER HPs'!$E$69:$E$84&amp;'TB-EQUIPMENT &amp; OTHER HPs'!$I$69:$I$84,0)),0)</f>
        <v>0</v>
      </c>
      <c r="BG225" s="626">
        <f t="shared" si="285"/>
        <v>0</v>
      </c>
      <c r="BH225" s="626">
        <f t="shared" si="286"/>
        <v>0</v>
      </c>
      <c r="BI225" s="626">
        <f t="shared" si="287"/>
        <v>0</v>
      </c>
      <c r="BJ225" s="630"/>
      <c r="BK225" s="625"/>
      <c r="BL225" s="625"/>
      <c r="BM225" s="625"/>
      <c r="BN225" s="625"/>
      <c r="BO225" s="625"/>
      <c r="BP225" s="625"/>
      <c r="BQ225" s="625"/>
      <c r="BR225" s="625"/>
    </row>
    <row r="226" spans="1:70">
      <c r="A226" s="29" t="s">
        <v>1749</v>
      </c>
      <c r="B226" s="29" t="s">
        <v>1836</v>
      </c>
      <c r="C226" s="619">
        <f>SETUP!$F$41</f>
        <v>0</v>
      </c>
      <c r="D226" s="25">
        <v>6.4</v>
      </c>
      <c r="E226" s="26" t="s">
        <v>1456</v>
      </c>
      <c r="F226" s="26" t="s">
        <v>1460</v>
      </c>
      <c r="G226" s="625" t="str">
        <f t="array" ref="G226">IFERROR(INDEX('TB-EQUIPMENT &amp; OTHER HPs'!$L$69:$L$84,MATCH($E226&amp;$F226,'TB-EQUIPMENT &amp; OTHER HPs'!$E$69:$E$84&amp;'TB-EQUIPMENT &amp; OTHER HPs'!$I$69:$I$84,0)),"")</f>
        <v/>
      </c>
      <c r="H226" s="625" t="str">
        <f t="array" ref="H226">IFERROR(INDEX('TB-EQUIPMENT &amp; OTHER HPs'!$M$69:$M$84,MATCH($E226&amp;$F226,'TB-EQUIPMENT &amp; OTHER HPs'!$E$69:$E$84&amp;'TB-EQUIPMENT &amp; OTHER HPs'!$I$69:$I$84,0)),"")</f>
        <v/>
      </c>
      <c r="I226" s="625">
        <f t="array" ref="I226">IFERROR(INDEX('TB-EQUIPMENT &amp; OTHER HPs'!$N$69:$N$84,MATCH($E226&amp;$F226,'TB-EQUIPMENT &amp; OTHER HPs'!$E$69:$E$84&amp;'TB-EQUIPMENT &amp; OTHER HPs'!$I$69:$I$84,0)),0)</f>
        <v>0</v>
      </c>
      <c r="J226" s="625">
        <f t="array" ref="J226">IFERROR(INDEX('TB-EQUIPMENT &amp; OTHER HPs'!$O$69:$O$84,MATCH($E226&amp;$F226,'TB-EQUIPMENT &amp; OTHER HPs'!$E$69:$E$84&amp;'TB-EQUIPMENT &amp; OTHER HPs'!$I$69:$I$84,0)),0)</f>
        <v>0</v>
      </c>
      <c r="K226" s="626">
        <f t="shared" si="252"/>
        <v>0</v>
      </c>
      <c r="L226" s="626">
        <f t="shared" si="253"/>
        <v>0</v>
      </c>
      <c r="M226" s="626">
        <f t="shared" si="254"/>
        <v>0</v>
      </c>
      <c r="N226" s="625">
        <f t="array" ref="N226">IFERROR(INDEX('TB-EQUIPMENT &amp; OTHER HPs'!$P$69:$P$84,MATCH($E226&amp;$F226,'TB-EQUIPMENT &amp; OTHER HPs'!$E$69:$E$84&amp;'TB-EQUIPMENT &amp; OTHER HPs'!$I$69:$I$84,0)),0)</f>
        <v>0</v>
      </c>
      <c r="O226" s="626">
        <f t="shared" si="255"/>
        <v>0</v>
      </c>
      <c r="P226" s="626">
        <f t="shared" si="256"/>
        <v>0</v>
      </c>
      <c r="Q226" s="626">
        <f t="shared" si="257"/>
        <v>0</v>
      </c>
      <c r="R226" s="625">
        <f t="array" ref="R226">IFERROR(INDEX('TB-EQUIPMENT &amp; OTHER HPs'!$Q$69:$Q$84,MATCH($E226&amp;$F226,'TB-EQUIPMENT &amp; OTHER HPs'!$E$69:$E$84&amp;'TB-EQUIPMENT &amp; OTHER HPs'!$I$69:$I$84,0)),0)</f>
        <v>0</v>
      </c>
      <c r="S226" s="626">
        <f t="shared" si="258"/>
        <v>0</v>
      </c>
      <c r="T226" s="626">
        <f t="shared" si="259"/>
        <v>0</v>
      </c>
      <c r="U226" s="626">
        <f t="shared" si="260"/>
        <v>0</v>
      </c>
      <c r="V226" s="625">
        <f t="array" ref="V226">IFERROR(INDEX('TB-EQUIPMENT &amp; OTHER HPs'!$R$69:$R$84,MATCH($E226&amp;$F226,'TB-EQUIPMENT &amp; OTHER HPs'!$E$69:$E$84&amp;'TB-EQUIPMENT &amp; OTHER HPs'!$I$69:$I$84,0)),0)</f>
        <v>0</v>
      </c>
      <c r="W226" s="626">
        <f t="shared" si="261"/>
        <v>0</v>
      </c>
      <c r="X226" s="626">
        <f t="shared" si="262"/>
        <v>0</v>
      </c>
      <c r="Y226" s="626">
        <f t="shared" si="263"/>
        <v>0</v>
      </c>
      <c r="Z226" s="630"/>
      <c r="AA226" s="625">
        <f t="array" ref="AA226">IFERROR(INDEX('TB-EQUIPMENT &amp; OTHER HPs'!$U$69:$U$84,MATCH($E226&amp;$F226,'TB-EQUIPMENT &amp; OTHER HPs'!$E$69:$E$84&amp;'TB-EQUIPMENT &amp; OTHER HPs'!$I$69:$I$84,0)),0)</f>
        <v>0</v>
      </c>
      <c r="AB226" s="625">
        <f t="array" ref="AB226">IFERROR(INDEX('TB-EQUIPMENT &amp; OTHER HPs'!$V$69:$V$84,MATCH($E226&amp;$F226,'TB-EQUIPMENT &amp; OTHER HPs'!$E$69:$E$84&amp;'TB-EQUIPMENT &amp; OTHER HPs'!$I$69:$I$84,0)),0)</f>
        <v>0</v>
      </c>
      <c r="AC226" s="626">
        <f t="shared" si="264"/>
        <v>0</v>
      </c>
      <c r="AD226" s="626">
        <f t="shared" si="265"/>
        <v>0</v>
      </c>
      <c r="AE226" s="626">
        <f t="shared" si="266"/>
        <v>0</v>
      </c>
      <c r="AF226" s="625">
        <f t="array" ref="AF226">IFERROR(INDEX('TB-EQUIPMENT &amp; OTHER HPs'!$W$69:$W$84,MATCH($E226&amp;$F226,'TB-EQUIPMENT &amp; OTHER HPs'!$E$69:$E$84&amp;'TB-EQUIPMENT &amp; OTHER HPs'!$I$69:$I$84,0)),0)</f>
        <v>0</v>
      </c>
      <c r="AG226" s="626">
        <f t="shared" si="267"/>
        <v>0</v>
      </c>
      <c r="AH226" s="626">
        <f t="shared" si="268"/>
        <v>0</v>
      </c>
      <c r="AI226" s="626">
        <f t="shared" si="269"/>
        <v>0</v>
      </c>
      <c r="AJ226" s="625">
        <f t="array" ref="AJ226">IFERROR(INDEX('TB-EQUIPMENT &amp; OTHER HPs'!$X$69:$X$84,MATCH($E226&amp;$F226,'TB-EQUIPMENT &amp; OTHER HPs'!$E$69:$E$84&amp;'TB-EQUIPMENT &amp; OTHER HPs'!$I$69:$I$84,0)),0)</f>
        <v>0</v>
      </c>
      <c r="AK226" s="626">
        <f t="shared" si="270"/>
        <v>0</v>
      </c>
      <c r="AL226" s="626">
        <f t="shared" si="271"/>
        <v>0</v>
      </c>
      <c r="AM226" s="626">
        <f t="shared" si="272"/>
        <v>0</v>
      </c>
      <c r="AN226" s="625">
        <f t="array" ref="AN226">IFERROR(INDEX('TB-EQUIPMENT &amp; OTHER HPs'!$Y$69:$Y$84,MATCH($E226&amp;$F226,'TB-EQUIPMENT &amp; OTHER HPs'!$E$69:$E$84&amp;'TB-EQUIPMENT &amp; OTHER HPs'!$I$69:$I$84,0)),0)</f>
        <v>0</v>
      </c>
      <c r="AO226" s="626">
        <f t="shared" si="273"/>
        <v>0</v>
      </c>
      <c r="AP226" s="626">
        <f t="shared" si="274"/>
        <v>0</v>
      </c>
      <c r="AQ226" s="626">
        <f t="shared" si="275"/>
        <v>0</v>
      </c>
      <c r="AR226" s="630"/>
      <c r="AS226" s="625">
        <f t="array" ref="AS226">IFERROR(INDEX('TB-EQUIPMENT &amp; OTHER HPs'!$AB$69:$AB$84,MATCH($E226&amp;$F226,'TB-EQUIPMENT &amp; OTHER HPs'!$E$69:$E$84&amp;'TB-EQUIPMENT &amp; OTHER HPs'!$I$69:$I$84,0)),0)</f>
        <v>0</v>
      </c>
      <c r="AT226" s="625">
        <f t="array" ref="AT226">IFERROR(INDEX('TB-EQUIPMENT &amp; OTHER HPs'!$AC$69:$AC$84,MATCH($E226&amp;$F226,'TB-EQUIPMENT &amp; OTHER HPs'!$E$69:$E$84&amp;'TB-EQUIPMENT &amp; OTHER HPs'!$I$69:$I$84,0)),0)</f>
        <v>0</v>
      </c>
      <c r="AU226" s="626">
        <f t="shared" si="276"/>
        <v>0</v>
      </c>
      <c r="AV226" s="626">
        <f t="shared" si="277"/>
        <v>0</v>
      </c>
      <c r="AW226" s="626">
        <f t="shared" si="278"/>
        <v>0</v>
      </c>
      <c r="AX226" s="625">
        <f t="array" ref="AX226">IFERROR(INDEX('TB-EQUIPMENT &amp; OTHER HPs'!$AD$69:$AD$84,MATCH($E226&amp;$F226,'TB-EQUIPMENT &amp; OTHER HPs'!$E$69:$E$84&amp;'TB-EQUIPMENT &amp; OTHER HPs'!$I$69:$I$84,0)),0)</f>
        <v>0</v>
      </c>
      <c r="AY226" s="626">
        <f t="shared" si="279"/>
        <v>0</v>
      </c>
      <c r="AZ226" s="626">
        <f t="shared" si="280"/>
        <v>0</v>
      </c>
      <c r="BA226" s="626">
        <f t="shared" si="281"/>
        <v>0</v>
      </c>
      <c r="BB226" s="625">
        <f t="array" ref="BB226">IFERROR(INDEX('TB-EQUIPMENT &amp; OTHER HPs'!$AE$69:$AE$84,MATCH($E226&amp;$F226,'TB-EQUIPMENT &amp; OTHER HPs'!$E$69:$E$84&amp;'TB-EQUIPMENT &amp; OTHER HPs'!$I$69:$I$84,0)),0)</f>
        <v>0</v>
      </c>
      <c r="BC226" s="626">
        <f t="shared" si="282"/>
        <v>0</v>
      </c>
      <c r="BD226" s="626">
        <f t="shared" si="283"/>
        <v>0</v>
      </c>
      <c r="BE226" s="626">
        <f t="shared" si="284"/>
        <v>0</v>
      </c>
      <c r="BF226" s="625">
        <f t="array" ref="BF226">IFERROR(INDEX('TB-EQUIPMENT &amp; OTHER HPs'!$AF$69:$AF$84,MATCH($E226&amp;$F226,'TB-EQUIPMENT &amp; OTHER HPs'!$E$69:$E$84&amp;'TB-EQUIPMENT &amp; OTHER HPs'!$I$69:$I$84,0)),0)</f>
        <v>0</v>
      </c>
      <c r="BG226" s="626">
        <f t="shared" si="285"/>
        <v>0</v>
      </c>
      <c r="BH226" s="626">
        <f t="shared" si="286"/>
        <v>0</v>
      </c>
      <c r="BI226" s="626">
        <f t="shared" si="287"/>
        <v>0</v>
      </c>
      <c r="BJ226" s="630"/>
      <c r="BK226" s="625"/>
      <c r="BL226" s="625"/>
      <c r="BM226" s="625"/>
      <c r="BN226" s="625"/>
      <c r="BO226" s="625"/>
      <c r="BP226" s="625"/>
      <c r="BQ226" s="625"/>
      <c r="BR226" s="625"/>
    </row>
    <row r="227" spans="1:70">
      <c r="A227" s="29" t="s">
        <v>1749</v>
      </c>
      <c r="B227" s="29" t="s">
        <v>1836</v>
      </c>
      <c r="C227" s="619">
        <f>SETUP!$F$41</f>
        <v>0</v>
      </c>
      <c r="D227" s="25">
        <v>6.4</v>
      </c>
      <c r="E227" s="26" t="s">
        <v>1456</v>
      </c>
      <c r="F227" s="26" t="s">
        <v>1460</v>
      </c>
      <c r="G227" s="625" t="str">
        <f t="array" ref="G227">IFERROR(INDEX('TB-EQUIPMENT &amp; OTHER HPs'!$L$69:$L$84,MATCH($E227&amp;$F227,'TB-EQUIPMENT &amp; OTHER HPs'!$E$69:$E$84&amp;'TB-EQUIPMENT &amp; OTHER HPs'!$I$69:$I$84,0)),"")</f>
        <v/>
      </c>
      <c r="H227" s="625" t="str">
        <f t="array" ref="H227">IFERROR(INDEX('TB-EQUIPMENT &amp; OTHER HPs'!$M$69:$M$84,MATCH($E227&amp;$F227,'TB-EQUIPMENT &amp; OTHER HPs'!$E$69:$E$84&amp;'TB-EQUIPMENT &amp; OTHER HPs'!$I$69:$I$84,0)),"")</f>
        <v/>
      </c>
      <c r="I227" s="625">
        <f t="array" ref="I227">IFERROR(INDEX('TB-EQUIPMENT &amp; OTHER HPs'!$N$69:$N$84,MATCH($E227&amp;$F227,'TB-EQUIPMENT &amp; OTHER HPs'!$E$69:$E$84&amp;'TB-EQUIPMENT &amp; OTHER HPs'!$I$69:$I$84,0)),0)</f>
        <v>0</v>
      </c>
      <c r="J227" s="625">
        <f t="array" ref="J227">IFERROR(INDEX('TB-EQUIPMENT &amp; OTHER HPs'!$O$69:$O$84,MATCH($E227&amp;$F227,'TB-EQUIPMENT &amp; OTHER HPs'!$E$69:$E$84&amp;'TB-EQUIPMENT &amp; OTHER HPs'!$I$69:$I$84,0)),0)</f>
        <v>0</v>
      </c>
      <c r="K227" s="626">
        <f t="shared" si="252"/>
        <v>0</v>
      </c>
      <c r="L227" s="626">
        <f t="shared" si="253"/>
        <v>0</v>
      </c>
      <c r="M227" s="626">
        <f t="shared" si="254"/>
        <v>0</v>
      </c>
      <c r="N227" s="625">
        <f t="array" ref="N227">IFERROR(INDEX('TB-EQUIPMENT &amp; OTHER HPs'!$P$69:$P$84,MATCH($E227&amp;$F227,'TB-EQUIPMENT &amp; OTHER HPs'!$E$69:$E$84&amp;'TB-EQUIPMENT &amp; OTHER HPs'!$I$69:$I$84,0)),0)</f>
        <v>0</v>
      </c>
      <c r="O227" s="626">
        <f t="shared" si="255"/>
        <v>0</v>
      </c>
      <c r="P227" s="626">
        <f t="shared" si="256"/>
        <v>0</v>
      </c>
      <c r="Q227" s="626">
        <f t="shared" si="257"/>
        <v>0</v>
      </c>
      <c r="R227" s="625">
        <f t="array" ref="R227">IFERROR(INDEX('TB-EQUIPMENT &amp; OTHER HPs'!$Q$69:$Q$84,MATCH($E227&amp;$F227,'TB-EQUIPMENT &amp; OTHER HPs'!$E$69:$E$84&amp;'TB-EQUIPMENT &amp; OTHER HPs'!$I$69:$I$84,0)),0)</f>
        <v>0</v>
      </c>
      <c r="S227" s="626">
        <f t="shared" si="258"/>
        <v>0</v>
      </c>
      <c r="T227" s="626">
        <f t="shared" si="259"/>
        <v>0</v>
      </c>
      <c r="U227" s="626">
        <f t="shared" si="260"/>
        <v>0</v>
      </c>
      <c r="V227" s="625">
        <f t="array" ref="V227">IFERROR(INDEX('TB-EQUIPMENT &amp; OTHER HPs'!$R$69:$R$84,MATCH($E227&amp;$F227,'TB-EQUIPMENT &amp; OTHER HPs'!$E$69:$E$84&amp;'TB-EQUIPMENT &amp; OTHER HPs'!$I$69:$I$84,0)),0)</f>
        <v>0</v>
      </c>
      <c r="W227" s="626">
        <f t="shared" si="261"/>
        <v>0</v>
      </c>
      <c r="X227" s="626">
        <f t="shared" si="262"/>
        <v>0</v>
      </c>
      <c r="Y227" s="626">
        <f t="shared" si="263"/>
        <v>0</v>
      </c>
      <c r="Z227" s="630"/>
      <c r="AA227" s="625">
        <f t="array" ref="AA227">IFERROR(INDEX('TB-EQUIPMENT &amp; OTHER HPs'!$U$69:$U$84,MATCH($E227&amp;$F227,'TB-EQUIPMENT &amp; OTHER HPs'!$E$69:$E$84&amp;'TB-EQUIPMENT &amp; OTHER HPs'!$I$69:$I$84,0)),0)</f>
        <v>0</v>
      </c>
      <c r="AB227" s="625">
        <f t="array" ref="AB227">IFERROR(INDEX('TB-EQUIPMENT &amp; OTHER HPs'!$V$69:$V$84,MATCH($E227&amp;$F227,'TB-EQUIPMENT &amp; OTHER HPs'!$E$69:$E$84&amp;'TB-EQUIPMENT &amp; OTHER HPs'!$I$69:$I$84,0)),0)</f>
        <v>0</v>
      </c>
      <c r="AC227" s="626">
        <f t="shared" si="264"/>
        <v>0</v>
      </c>
      <c r="AD227" s="626">
        <f t="shared" si="265"/>
        <v>0</v>
      </c>
      <c r="AE227" s="626">
        <f t="shared" si="266"/>
        <v>0</v>
      </c>
      <c r="AF227" s="625">
        <f t="array" ref="AF227">IFERROR(INDEX('TB-EQUIPMENT &amp; OTHER HPs'!$W$69:$W$84,MATCH($E227&amp;$F227,'TB-EQUIPMENT &amp; OTHER HPs'!$E$69:$E$84&amp;'TB-EQUIPMENT &amp; OTHER HPs'!$I$69:$I$84,0)),0)</f>
        <v>0</v>
      </c>
      <c r="AG227" s="626">
        <f t="shared" si="267"/>
        <v>0</v>
      </c>
      <c r="AH227" s="626">
        <f t="shared" si="268"/>
        <v>0</v>
      </c>
      <c r="AI227" s="626">
        <f t="shared" si="269"/>
        <v>0</v>
      </c>
      <c r="AJ227" s="625">
        <f t="array" ref="AJ227">IFERROR(INDEX('TB-EQUIPMENT &amp; OTHER HPs'!$X$69:$X$84,MATCH($E227&amp;$F227,'TB-EQUIPMENT &amp; OTHER HPs'!$E$69:$E$84&amp;'TB-EQUIPMENT &amp; OTHER HPs'!$I$69:$I$84,0)),0)</f>
        <v>0</v>
      </c>
      <c r="AK227" s="626">
        <f t="shared" si="270"/>
        <v>0</v>
      </c>
      <c r="AL227" s="626">
        <f t="shared" si="271"/>
        <v>0</v>
      </c>
      <c r="AM227" s="626">
        <f t="shared" si="272"/>
        <v>0</v>
      </c>
      <c r="AN227" s="625">
        <f t="array" ref="AN227">IFERROR(INDEX('TB-EQUIPMENT &amp; OTHER HPs'!$Y$69:$Y$84,MATCH($E227&amp;$F227,'TB-EQUIPMENT &amp; OTHER HPs'!$E$69:$E$84&amp;'TB-EQUIPMENT &amp; OTHER HPs'!$I$69:$I$84,0)),0)</f>
        <v>0</v>
      </c>
      <c r="AO227" s="626">
        <f t="shared" si="273"/>
        <v>0</v>
      </c>
      <c r="AP227" s="626">
        <f t="shared" si="274"/>
        <v>0</v>
      </c>
      <c r="AQ227" s="626">
        <f t="shared" si="275"/>
        <v>0</v>
      </c>
      <c r="AR227" s="630"/>
      <c r="AS227" s="625">
        <f t="array" ref="AS227">IFERROR(INDEX('TB-EQUIPMENT &amp; OTHER HPs'!$AB$69:$AB$84,MATCH($E227&amp;$F227,'TB-EQUIPMENT &amp; OTHER HPs'!$E$69:$E$84&amp;'TB-EQUIPMENT &amp; OTHER HPs'!$I$69:$I$84,0)),0)</f>
        <v>0</v>
      </c>
      <c r="AT227" s="625">
        <f t="array" ref="AT227">IFERROR(INDEX('TB-EQUIPMENT &amp; OTHER HPs'!$AC$69:$AC$84,MATCH($E227&amp;$F227,'TB-EQUIPMENT &amp; OTHER HPs'!$E$69:$E$84&amp;'TB-EQUIPMENT &amp; OTHER HPs'!$I$69:$I$84,0)),0)</f>
        <v>0</v>
      </c>
      <c r="AU227" s="626">
        <f t="shared" si="276"/>
        <v>0</v>
      </c>
      <c r="AV227" s="626">
        <f t="shared" si="277"/>
        <v>0</v>
      </c>
      <c r="AW227" s="626">
        <f t="shared" si="278"/>
        <v>0</v>
      </c>
      <c r="AX227" s="625">
        <f t="array" ref="AX227">IFERROR(INDEX('TB-EQUIPMENT &amp; OTHER HPs'!$AD$69:$AD$84,MATCH($E227&amp;$F227,'TB-EQUIPMENT &amp; OTHER HPs'!$E$69:$E$84&amp;'TB-EQUIPMENT &amp; OTHER HPs'!$I$69:$I$84,0)),0)</f>
        <v>0</v>
      </c>
      <c r="AY227" s="626">
        <f t="shared" si="279"/>
        <v>0</v>
      </c>
      <c r="AZ227" s="626">
        <f t="shared" si="280"/>
        <v>0</v>
      </c>
      <c r="BA227" s="626">
        <f t="shared" si="281"/>
        <v>0</v>
      </c>
      <c r="BB227" s="625">
        <f t="array" ref="BB227">IFERROR(INDEX('TB-EQUIPMENT &amp; OTHER HPs'!$AE$69:$AE$84,MATCH($E227&amp;$F227,'TB-EQUIPMENT &amp; OTHER HPs'!$E$69:$E$84&amp;'TB-EQUIPMENT &amp; OTHER HPs'!$I$69:$I$84,0)),0)</f>
        <v>0</v>
      </c>
      <c r="BC227" s="626">
        <f t="shared" si="282"/>
        <v>0</v>
      </c>
      <c r="BD227" s="626">
        <f t="shared" si="283"/>
        <v>0</v>
      </c>
      <c r="BE227" s="626">
        <f t="shared" si="284"/>
        <v>0</v>
      </c>
      <c r="BF227" s="625">
        <f t="array" ref="BF227">IFERROR(INDEX('TB-EQUIPMENT &amp; OTHER HPs'!$AF$69:$AF$84,MATCH($E227&amp;$F227,'TB-EQUIPMENT &amp; OTHER HPs'!$E$69:$E$84&amp;'TB-EQUIPMENT &amp; OTHER HPs'!$I$69:$I$84,0)),0)</f>
        <v>0</v>
      </c>
      <c r="BG227" s="626">
        <f t="shared" si="285"/>
        <v>0</v>
      </c>
      <c r="BH227" s="626">
        <f t="shared" si="286"/>
        <v>0</v>
      </c>
      <c r="BI227" s="626">
        <f t="shared" si="287"/>
        <v>0</v>
      </c>
      <c r="BJ227" s="630"/>
      <c r="BK227" s="625"/>
      <c r="BL227" s="625"/>
      <c r="BM227" s="625"/>
      <c r="BN227" s="625"/>
      <c r="BO227" s="625"/>
      <c r="BP227" s="625"/>
      <c r="BQ227" s="625"/>
      <c r="BR227" s="625"/>
    </row>
    <row r="228" spans="1:70">
      <c r="A228" s="29" t="s">
        <v>1749</v>
      </c>
      <c r="B228" s="29" t="s">
        <v>1836</v>
      </c>
      <c r="C228" s="619">
        <f>SETUP!$F$41</f>
        <v>0</v>
      </c>
      <c r="D228" s="25">
        <v>6.4</v>
      </c>
      <c r="E228" s="26" t="s">
        <v>1456</v>
      </c>
      <c r="F228" s="26" t="s">
        <v>1461</v>
      </c>
      <c r="G228" s="625" t="str">
        <f t="array" ref="G228">IFERROR(INDEX('TB-EQUIPMENT &amp; OTHER HPs'!$L$69:$L$84,MATCH($E228&amp;$F228,'TB-EQUIPMENT &amp; OTHER HPs'!$E$69:$E$84&amp;'TB-EQUIPMENT &amp; OTHER HPs'!$I$69:$I$84,0)),"")</f>
        <v/>
      </c>
      <c r="H228" s="625" t="str">
        <f t="array" ref="H228">IFERROR(INDEX('TB-EQUIPMENT &amp; OTHER HPs'!$M$69:$M$84,MATCH($E228&amp;$F228,'TB-EQUIPMENT &amp; OTHER HPs'!$E$69:$E$84&amp;'TB-EQUIPMENT &amp; OTHER HPs'!$I$69:$I$84,0)),"")</f>
        <v/>
      </c>
      <c r="I228" s="625">
        <f t="array" ref="I228">IFERROR(INDEX('TB-EQUIPMENT &amp; OTHER HPs'!$N$69:$N$84,MATCH($E228&amp;$F228,'TB-EQUIPMENT &amp; OTHER HPs'!$E$69:$E$84&amp;'TB-EQUIPMENT &amp; OTHER HPs'!$I$69:$I$84,0)),0)</f>
        <v>0</v>
      </c>
      <c r="J228" s="625">
        <f t="array" ref="J228">IFERROR(INDEX('TB-EQUIPMENT &amp; OTHER HPs'!$O$69:$O$84,MATCH($E228&amp;$F228,'TB-EQUIPMENT &amp; OTHER HPs'!$E$69:$E$84&amp;'TB-EQUIPMENT &amp; OTHER HPs'!$I$69:$I$84,0)),0)</f>
        <v>0</v>
      </c>
      <c r="K228" s="626">
        <f t="shared" si="252"/>
        <v>0</v>
      </c>
      <c r="L228" s="626">
        <f t="shared" si="253"/>
        <v>0</v>
      </c>
      <c r="M228" s="626">
        <f t="shared" si="254"/>
        <v>0</v>
      </c>
      <c r="N228" s="625">
        <f t="array" ref="N228">IFERROR(INDEX('TB-EQUIPMENT &amp; OTHER HPs'!$P$69:$P$84,MATCH($E228&amp;$F228,'TB-EQUIPMENT &amp; OTHER HPs'!$E$69:$E$84&amp;'TB-EQUIPMENT &amp; OTHER HPs'!$I$69:$I$84,0)),0)</f>
        <v>0</v>
      </c>
      <c r="O228" s="626">
        <f t="shared" si="255"/>
        <v>0</v>
      </c>
      <c r="P228" s="626">
        <f t="shared" si="256"/>
        <v>0</v>
      </c>
      <c r="Q228" s="626">
        <f t="shared" si="257"/>
        <v>0</v>
      </c>
      <c r="R228" s="625">
        <f t="array" ref="R228">IFERROR(INDEX('TB-EQUIPMENT &amp; OTHER HPs'!$Q$69:$Q$84,MATCH($E228&amp;$F228,'TB-EQUIPMENT &amp; OTHER HPs'!$E$69:$E$84&amp;'TB-EQUIPMENT &amp; OTHER HPs'!$I$69:$I$84,0)),0)</f>
        <v>0</v>
      </c>
      <c r="S228" s="626">
        <f t="shared" si="258"/>
        <v>0</v>
      </c>
      <c r="T228" s="626">
        <f t="shared" si="259"/>
        <v>0</v>
      </c>
      <c r="U228" s="626">
        <f t="shared" si="260"/>
        <v>0</v>
      </c>
      <c r="V228" s="625">
        <f t="array" ref="V228">IFERROR(INDEX('TB-EQUIPMENT &amp; OTHER HPs'!$R$69:$R$84,MATCH($E228&amp;$F228,'TB-EQUIPMENT &amp; OTHER HPs'!$E$69:$E$84&amp;'TB-EQUIPMENT &amp; OTHER HPs'!$I$69:$I$84,0)),0)</f>
        <v>0</v>
      </c>
      <c r="W228" s="626">
        <f t="shared" si="261"/>
        <v>0</v>
      </c>
      <c r="X228" s="626">
        <f t="shared" si="262"/>
        <v>0</v>
      </c>
      <c r="Y228" s="626">
        <f t="shared" si="263"/>
        <v>0</v>
      </c>
      <c r="Z228" s="630"/>
      <c r="AA228" s="625">
        <f t="array" ref="AA228">IFERROR(INDEX('TB-EQUIPMENT &amp; OTHER HPs'!$U$69:$U$84,MATCH($E228&amp;$F228,'TB-EQUIPMENT &amp; OTHER HPs'!$E$69:$E$84&amp;'TB-EQUIPMENT &amp; OTHER HPs'!$I$69:$I$84,0)),0)</f>
        <v>0</v>
      </c>
      <c r="AB228" s="625">
        <f t="array" ref="AB228">IFERROR(INDEX('TB-EQUIPMENT &amp; OTHER HPs'!$V$69:$V$84,MATCH($E228&amp;$F228,'TB-EQUIPMENT &amp; OTHER HPs'!$E$69:$E$84&amp;'TB-EQUIPMENT &amp; OTHER HPs'!$I$69:$I$84,0)),0)</f>
        <v>0</v>
      </c>
      <c r="AC228" s="626">
        <f t="shared" si="264"/>
        <v>0</v>
      </c>
      <c r="AD228" s="626">
        <f t="shared" si="265"/>
        <v>0</v>
      </c>
      <c r="AE228" s="626">
        <f t="shared" si="266"/>
        <v>0</v>
      </c>
      <c r="AF228" s="625">
        <f t="array" ref="AF228">IFERROR(INDEX('TB-EQUIPMENT &amp; OTHER HPs'!$W$69:$W$84,MATCH($E228&amp;$F228,'TB-EQUIPMENT &amp; OTHER HPs'!$E$69:$E$84&amp;'TB-EQUIPMENT &amp; OTHER HPs'!$I$69:$I$84,0)),0)</f>
        <v>0</v>
      </c>
      <c r="AG228" s="626">
        <f t="shared" si="267"/>
        <v>0</v>
      </c>
      <c r="AH228" s="626">
        <f t="shared" si="268"/>
        <v>0</v>
      </c>
      <c r="AI228" s="626">
        <f t="shared" si="269"/>
        <v>0</v>
      </c>
      <c r="AJ228" s="625">
        <f t="array" ref="AJ228">IFERROR(INDEX('TB-EQUIPMENT &amp; OTHER HPs'!$X$69:$X$84,MATCH($E228&amp;$F228,'TB-EQUIPMENT &amp; OTHER HPs'!$E$69:$E$84&amp;'TB-EQUIPMENT &amp; OTHER HPs'!$I$69:$I$84,0)),0)</f>
        <v>0</v>
      </c>
      <c r="AK228" s="626">
        <f t="shared" si="270"/>
        <v>0</v>
      </c>
      <c r="AL228" s="626">
        <f t="shared" si="271"/>
        <v>0</v>
      </c>
      <c r="AM228" s="626">
        <f t="shared" si="272"/>
        <v>0</v>
      </c>
      <c r="AN228" s="625">
        <f t="array" ref="AN228">IFERROR(INDEX('TB-EQUIPMENT &amp; OTHER HPs'!$Y$69:$Y$84,MATCH($E228&amp;$F228,'TB-EQUIPMENT &amp; OTHER HPs'!$E$69:$E$84&amp;'TB-EQUIPMENT &amp; OTHER HPs'!$I$69:$I$84,0)),0)</f>
        <v>0</v>
      </c>
      <c r="AO228" s="626">
        <f t="shared" si="273"/>
        <v>0</v>
      </c>
      <c r="AP228" s="626">
        <f t="shared" si="274"/>
        <v>0</v>
      </c>
      <c r="AQ228" s="626">
        <f t="shared" si="275"/>
        <v>0</v>
      </c>
      <c r="AR228" s="630"/>
      <c r="AS228" s="625">
        <f t="array" ref="AS228">IFERROR(INDEX('TB-EQUIPMENT &amp; OTHER HPs'!$AB$69:$AB$84,MATCH($E228&amp;$F228,'TB-EQUIPMENT &amp; OTHER HPs'!$E$69:$E$84&amp;'TB-EQUIPMENT &amp; OTHER HPs'!$I$69:$I$84,0)),0)</f>
        <v>0</v>
      </c>
      <c r="AT228" s="625">
        <f t="array" ref="AT228">IFERROR(INDEX('TB-EQUIPMENT &amp; OTHER HPs'!$AC$69:$AC$84,MATCH($E228&amp;$F228,'TB-EQUIPMENT &amp; OTHER HPs'!$E$69:$E$84&amp;'TB-EQUIPMENT &amp; OTHER HPs'!$I$69:$I$84,0)),0)</f>
        <v>0</v>
      </c>
      <c r="AU228" s="626">
        <f t="shared" si="276"/>
        <v>0</v>
      </c>
      <c r="AV228" s="626">
        <f t="shared" si="277"/>
        <v>0</v>
      </c>
      <c r="AW228" s="626">
        <f t="shared" si="278"/>
        <v>0</v>
      </c>
      <c r="AX228" s="625">
        <f t="array" ref="AX228">IFERROR(INDEX('TB-EQUIPMENT &amp; OTHER HPs'!$AD$69:$AD$84,MATCH($E228&amp;$F228,'TB-EQUIPMENT &amp; OTHER HPs'!$E$69:$E$84&amp;'TB-EQUIPMENT &amp; OTHER HPs'!$I$69:$I$84,0)),0)</f>
        <v>0</v>
      </c>
      <c r="AY228" s="626">
        <f t="shared" si="279"/>
        <v>0</v>
      </c>
      <c r="AZ228" s="626">
        <f t="shared" si="280"/>
        <v>0</v>
      </c>
      <c r="BA228" s="626">
        <f t="shared" si="281"/>
        <v>0</v>
      </c>
      <c r="BB228" s="625">
        <f t="array" ref="BB228">IFERROR(INDEX('TB-EQUIPMENT &amp; OTHER HPs'!$AE$69:$AE$84,MATCH($E228&amp;$F228,'TB-EQUIPMENT &amp; OTHER HPs'!$E$69:$E$84&amp;'TB-EQUIPMENT &amp; OTHER HPs'!$I$69:$I$84,0)),0)</f>
        <v>0</v>
      </c>
      <c r="BC228" s="626">
        <f t="shared" si="282"/>
        <v>0</v>
      </c>
      <c r="BD228" s="626">
        <f t="shared" si="283"/>
        <v>0</v>
      </c>
      <c r="BE228" s="626">
        <f t="shared" si="284"/>
        <v>0</v>
      </c>
      <c r="BF228" s="625">
        <f t="array" ref="BF228">IFERROR(INDEX('TB-EQUIPMENT &amp; OTHER HPs'!$AF$69:$AF$84,MATCH($E228&amp;$F228,'TB-EQUIPMENT &amp; OTHER HPs'!$E$69:$E$84&amp;'TB-EQUIPMENT &amp; OTHER HPs'!$I$69:$I$84,0)),0)</f>
        <v>0</v>
      </c>
      <c r="BG228" s="626">
        <f t="shared" si="285"/>
        <v>0</v>
      </c>
      <c r="BH228" s="626">
        <f t="shared" si="286"/>
        <v>0</v>
      </c>
      <c r="BI228" s="626">
        <f t="shared" si="287"/>
        <v>0</v>
      </c>
      <c r="BJ228" s="630"/>
      <c r="BK228" s="625"/>
      <c r="BL228" s="625"/>
      <c r="BM228" s="625"/>
      <c r="BN228" s="625"/>
      <c r="BO228" s="625"/>
      <c r="BP228" s="625"/>
      <c r="BQ228" s="625"/>
      <c r="BR228" s="625"/>
    </row>
    <row r="229" spans="1:70">
      <c r="A229" s="29" t="s">
        <v>1749</v>
      </c>
      <c r="B229" s="29" t="s">
        <v>1836</v>
      </c>
      <c r="C229" s="619">
        <f>SETUP!$F$41</f>
        <v>0</v>
      </c>
      <c r="D229" s="25">
        <v>6.4</v>
      </c>
      <c r="E229" s="26" t="s">
        <v>1456</v>
      </c>
      <c r="F229" s="26" t="s">
        <v>326</v>
      </c>
      <c r="G229" s="625" t="str">
        <f t="array" ref="G229">IFERROR(INDEX('TB-EQUIPMENT &amp; OTHER HPs'!$L$69:$L$84,MATCH($E229&amp;$F229,'TB-EQUIPMENT &amp; OTHER HPs'!$E$69:$E$84&amp;'TB-EQUIPMENT &amp; OTHER HPs'!$I$69:$I$84,0)),"")</f>
        <v/>
      </c>
      <c r="H229" s="625" t="str">
        <f t="array" ref="H229">IFERROR(INDEX('TB-EQUIPMENT &amp; OTHER HPs'!$M$69:$M$84,MATCH($E229&amp;$F229,'TB-EQUIPMENT &amp; OTHER HPs'!$E$69:$E$84&amp;'TB-EQUIPMENT &amp; OTHER HPs'!$I$69:$I$84,0)),"")</f>
        <v/>
      </c>
      <c r="I229" s="625">
        <f t="array" ref="I229">IFERROR(INDEX('TB-EQUIPMENT &amp; OTHER HPs'!$N$69:$N$84,MATCH($E229&amp;$F229,'TB-EQUIPMENT &amp; OTHER HPs'!$E$69:$E$84&amp;'TB-EQUIPMENT &amp; OTHER HPs'!$I$69:$I$84,0)),0)</f>
        <v>0</v>
      </c>
      <c r="J229" s="625">
        <f t="array" ref="J229">IFERROR(INDEX('TB-EQUIPMENT &amp; OTHER HPs'!$O$69:$O$84,MATCH($E229&amp;$F229,'TB-EQUIPMENT &amp; OTHER HPs'!$E$69:$E$84&amp;'TB-EQUIPMENT &amp; OTHER HPs'!$I$69:$I$84,0)),0)</f>
        <v>0</v>
      </c>
      <c r="K229" s="626">
        <f t="shared" si="252"/>
        <v>0</v>
      </c>
      <c r="L229" s="626">
        <f t="shared" si="253"/>
        <v>0</v>
      </c>
      <c r="M229" s="626">
        <f t="shared" si="254"/>
        <v>0</v>
      </c>
      <c r="N229" s="625">
        <f t="array" ref="N229">IFERROR(INDEX('TB-EQUIPMENT &amp; OTHER HPs'!$P$69:$P$84,MATCH($E229&amp;$F229,'TB-EQUIPMENT &amp; OTHER HPs'!$E$69:$E$84&amp;'TB-EQUIPMENT &amp; OTHER HPs'!$I$69:$I$84,0)),0)</f>
        <v>0</v>
      </c>
      <c r="O229" s="626">
        <f t="shared" si="255"/>
        <v>0</v>
      </c>
      <c r="P229" s="626">
        <f t="shared" si="256"/>
        <v>0</v>
      </c>
      <c r="Q229" s="626">
        <f t="shared" si="257"/>
        <v>0</v>
      </c>
      <c r="R229" s="625">
        <f t="array" ref="R229">IFERROR(INDEX('TB-EQUIPMENT &amp; OTHER HPs'!$Q$69:$Q$84,MATCH($E229&amp;$F229,'TB-EQUIPMENT &amp; OTHER HPs'!$E$69:$E$84&amp;'TB-EQUIPMENT &amp; OTHER HPs'!$I$69:$I$84,0)),0)</f>
        <v>0</v>
      </c>
      <c r="S229" s="626">
        <f t="shared" si="258"/>
        <v>0</v>
      </c>
      <c r="T229" s="626">
        <f t="shared" si="259"/>
        <v>0</v>
      </c>
      <c r="U229" s="626">
        <f t="shared" si="260"/>
        <v>0</v>
      </c>
      <c r="V229" s="625">
        <f t="array" ref="V229">IFERROR(INDEX('TB-EQUIPMENT &amp; OTHER HPs'!$R$69:$R$84,MATCH($E229&amp;$F229,'TB-EQUIPMENT &amp; OTHER HPs'!$E$69:$E$84&amp;'TB-EQUIPMENT &amp; OTHER HPs'!$I$69:$I$84,0)),0)</f>
        <v>0</v>
      </c>
      <c r="W229" s="626">
        <f t="shared" si="261"/>
        <v>0</v>
      </c>
      <c r="X229" s="626">
        <f t="shared" si="262"/>
        <v>0</v>
      </c>
      <c r="Y229" s="626">
        <f t="shared" si="263"/>
        <v>0</v>
      </c>
      <c r="Z229" s="630"/>
      <c r="AA229" s="625">
        <f t="array" ref="AA229">IFERROR(INDEX('TB-EQUIPMENT &amp; OTHER HPs'!$U$69:$U$84,MATCH($E229&amp;$F229,'TB-EQUIPMENT &amp; OTHER HPs'!$E$69:$E$84&amp;'TB-EQUIPMENT &amp; OTHER HPs'!$I$69:$I$84,0)),0)</f>
        <v>0</v>
      </c>
      <c r="AB229" s="625">
        <f t="array" ref="AB229">IFERROR(INDEX('TB-EQUIPMENT &amp; OTHER HPs'!$V$69:$V$84,MATCH($E229&amp;$F229,'TB-EQUIPMENT &amp; OTHER HPs'!$E$69:$E$84&amp;'TB-EQUIPMENT &amp; OTHER HPs'!$I$69:$I$84,0)),0)</f>
        <v>0</v>
      </c>
      <c r="AC229" s="626">
        <f t="shared" si="264"/>
        <v>0</v>
      </c>
      <c r="AD229" s="626">
        <f t="shared" si="265"/>
        <v>0</v>
      </c>
      <c r="AE229" s="626">
        <f t="shared" si="266"/>
        <v>0</v>
      </c>
      <c r="AF229" s="625">
        <f t="array" ref="AF229">IFERROR(INDEX('TB-EQUIPMENT &amp; OTHER HPs'!$W$69:$W$84,MATCH($E229&amp;$F229,'TB-EQUIPMENT &amp; OTHER HPs'!$E$69:$E$84&amp;'TB-EQUIPMENT &amp; OTHER HPs'!$I$69:$I$84,0)),0)</f>
        <v>0</v>
      </c>
      <c r="AG229" s="626">
        <f t="shared" si="267"/>
        <v>0</v>
      </c>
      <c r="AH229" s="626">
        <f t="shared" si="268"/>
        <v>0</v>
      </c>
      <c r="AI229" s="626">
        <f t="shared" si="269"/>
        <v>0</v>
      </c>
      <c r="AJ229" s="625">
        <f t="array" ref="AJ229">IFERROR(INDEX('TB-EQUIPMENT &amp; OTHER HPs'!$X$69:$X$84,MATCH($E229&amp;$F229,'TB-EQUIPMENT &amp; OTHER HPs'!$E$69:$E$84&amp;'TB-EQUIPMENT &amp; OTHER HPs'!$I$69:$I$84,0)),0)</f>
        <v>0</v>
      </c>
      <c r="AK229" s="626">
        <f t="shared" si="270"/>
        <v>0</v>
      </c>
      <c r="AL229" s="626">
        <f t="shared" si="271"/>
        <v>0</v>
      </c>
      <c r="AM229" s="626">
        <f t="shared" si="272"/>
        <v>0</v>
      </c>
      <c r="AN229" s="625">
        <f t="array" ref="AN229">IFERROR(INDEX('TB-EQUIPMENT &amp; OTHER HPs'!$Y$69:$Y$84,MATCH($E229&amp;$F229,'TB-EQUIPMENT &amp; OTHER HPs'!$E$69:$E$84&amp;'TB-EQUIPMENT &amp; OTHER HPs'!$I$69:$I$84,0)),0)</f>
        <v>0</v>
      </c>
      <c r="AO229" s="626">
        <f t="shared" si="273"/>
        <v>0</v>
      </c>
      <c r="AP229" s="626">
        <f t="shared" si="274"/>
        <v>0</v>
      </c>
      <c r="AQ229" s="626">
        <f t="shared" si="275"/>
        <v>0</v>
      </c>
      <c r="AR229" s="630"/>
      <c r="AS229" s="625">
        <f t="array" ref="AS229">IFERROR(INDEX('TB-EQUIPMENT &amp; OTHER HPs'!$AB$69:$AB$84,MATCH($E229&amp;$F229,'TB-EQUIPMENT &amp; OTHER HPs'!$E$69:$E$84&amp;'TB-EQUIPMENT &amp; OTHER HPs'!$I$69:$I$84,0)),0)</f>
        <v>0</v>
      </c>
      <c r="AT229" s="625">
        <f t="array" ref="AT229">IFERROR(INDEX('TB-EQUIPMENT &amp; OTHER HPs'!$AC$69:$AC$84,MATCH($E229&amp;$F229,'TB-EQUIPMENT &amp; OTHER HPs'!$E$69:$E$84&amp;'TB-EQUIPMENT &amp; OTHER HPs'!$I$69:$I$84,0)),0)</f>
        <v>0</v>
      </c>
      <c r="AU229" s="626">
        <f t="shared" si="276"/>
        <v>0</v>
      </c>
      <c r="AV229" s="626">
        <f t="shared" si="277"/>
        <v>0</v>
      </c>
      <c r="AW229" s="626">
        <f t="shared" si="278"/>
        <v>0</v>
      </c>
      <c r="AX229" s="625">
        <f t="array" ref="AX229">IFERROR(INDEX('TB-EQUIPMENT &amp; OTHER HPs'!$AD$69:$AD$84,MATCH($E229&amp;$F229,'TB-EQUIPMENT &amp; OTHER HPs'!$E$69:$E$84&amp;'TB-EQUIPMENT &amp; OTHER HPs'!$I$69:$I$84,0)),0)</f>
        <v>0</v>
      </c>
      <c r="AY229" s="626">
        <f t="shared" si="279"/>
        <v>0</v>
      </c>
      <c r="AZ229" s="626">
        <f t="shared" si="280"/>
        <v>0</v>
      </c>
      <c r="BA229" s="626">
        <f t="shared" si="281"/>
        <v>0</v>
      </c>
      <c r="BB229" s="625">
        <f t="array" ref="BB229">IFERROR(INDEX('TB-EQUIPMENT &amp; OTHER HPs'!$AE$69:$AE$84,MATCH($E229&amp;$F229,'TB-EQUIPMENT &amp; OTHER HPs'!$E$69:$E$84&amp;'TB-EQUIPMENT &amp; OTHER HPs'!$I$69:$I$84,0)),0)</f>
        <v>0</v>
      </c>
      <c r="BC229" s="626">
        <f t="shared" si="282"/>
        <v>0</v>
      </c>
      <c r="BD229" s="626">
        <f t="shared" si="283"/>
        <v>0</v>
      </c>
      <c r="BE229" s="626">
        <f t="shared" si="284"/>
        <v>0</v>
      </c>
      <c r="BF229" s="625">
        <f t="array" ref="BF229">IFERROR(INDEX('TB-EQUIPMENT &amp; OTHER HPs'!$AF$69:$AF$84,MATCH($E229&amp;$F229,'TB-EQUIPMENT &amp; OTHER HPs'!$E$69:$E$84&amp;'TB-EQUIPMENT &amp; OTHER HPs'!$I$69:$I$84,0)),0)</f>
        <v>0</v>
      </c>
      <c r="BG229" s="626">
        <f t="shared" si="285"/>
        <v>0</v>
      </c>
      <c r="BH229" s="626">
        <f t="shared" si="286"/>
        <v>0</v>
      </c>
      <c r="BI229" s="626">
        <f t="shared" si="287"/>
        <v>0</v>
      </c>
      <c r="BJ229" s="630"/>
      <c r="BK229" s="625"/>
      <c r="BL229" s="625"/>
      <c r="BM229" s="625"/>
      <c r="BN229" s="625"/>
      <c r="BO229" s="625"/>
      <c r="BP229" s="625"/>
      <c r="BQ229" s="625"/>
      <c r="BR229" s="625"/>
    </row>
    <row r="230" spans="1:70">
      <c r="A230" s="29" t="s">
        <v>1749</v>
      </c>
      <c r="B230" s="29" t="s">
        <v>1836</v>
      </c>
      <c r="C230" s="619">
        <f>SETUP!$F$41</f>
        <v>0</v>
      </c>
      <c r="D230" s="25">
        <v>6.4</v>
      </c>
      <c r="E230" s="26" t="s">
        <v>1456</v>
      </c>
      <c r="F230" s="26" t="s">
        <v>218</v>
      </c>
      <c r="G230" s="625" t="str">
        <f t="array" ref="G230">IFERROR(INDEX('TB-EQUIPMENT &amp; OTHER HPs'!$L$69:$L$84,MATCH($E230&amp;$F230,'TB-EQUIPMENT &amp; OTHER HPs'!$E$69:$E$84&amp;'TB-EQUIPMENT &amp; OTHER HPs'!$I$69:$I$84,0)),"")</f>
        <v/>
      </c>
      <c r="H230" s="625" t="str">
        <f t="array" ref="H230">IFERROR(INDEX('TB-EQUIPMENT &amp; OTHER HPs'!$M$69:$M$84,MATCH($E230&amp;$F230,'TB-EQUIPMENT &amp; OTHER HPs'!$E$69:$E$84&amp;'TB-EQUIPMENT &amp; OTHER HPs'!$I$69:$I$84,0)),"")</f>
        <v/>
      </c>
      <c r="I230" s="625">
        <f t="array" ref="I230">IFERROR(INDEX('TB-EQUIPMENT &amp; OTHER HPs'!$N$69:$N$84,MATCH($E230&amp;$F230,'TB-EQUIPMENT &amp; OTHER HPs'!$E$69:$E$84&amp;'TB-EQUIPMENT &amp; OTHER HPs'!$I$69:$I$84,0)),0)</f>
        <v>0</v>
      </c>
      <c r="J230" s="625">
        <f t="array" ref="J230">IFERROR(INDEX('TB-EQUIPMENT &amp; OTHER HPs'!$O$69:$O$84,MATCH($E230&amp;$F230,'TB-EQUIPMENT &amp; OTHER HPs'!$E$69:$E$84&amp;'TB-EQUIPMENT &amp; OTHER HPs'!$I$69:$I$84,0)),0)</f>
        <v>0</v>
      </c>
      <c r="K230" s="626">
        <f t="shared" si="252"/>
        <v>0</v>
      </c>
      <c r="L230" s="626">
        <f t="shared" si="253"/>
        <v>0</v>
      </c>
      <c r="M230" s="626">
        <f t="shared" si="254"/>
        <v>0</v>
      </c>
      <c r="N230" s="625">
        <f t="array" ref="N230">IFERROR(INDEX('TB-EQUIPMENT &amp; OTHER HPs'!$P$69:$P$84,MATCH($E230&amp;$F230,'TB-EQUIPMENT &amp; OTHER HPs'!$E$69:$E$84&amp;'TB-EQUIPMENT &amp; OTHER HPs'!$I$69:$I$84,0)),0)</f>
        <v>0</v>
      </c>
      <c r="O230" s="626">
        <f t="shared" si="255"/>
        <v>0</v>
      </c>
      <c r="P230" s="626">
        <f t="shared" si="256"/>
        <v>0</v>
      </c>
      <c r="Q230" s="626">
        <f t="shared" si="257"/>
        <v>0</v>
      </c>
      <c r="R230" s="625">
        <f t="array" ref="R230">IFERROR(INDEX('TB-EQUIPMENT &amp; OTHER HPs'!$Q$69:$Q$84,MATCH($E230&amp;$F230,'TB-EQUIPMENT &amp; OTHER HPs'!$E$69:$E$84&amp;'TB-EQUIPMENT &amp; OTHER HPs'!$I$69:$I$84,0)),0)</f>
        <v>0</v>
      </c>
      <c r="S230" s="626">
        <f t="shared" si="258"/>
        <v>0</v>
      </c>
      <c r="T230" s="626">
        <f t="shared" si="259"/>
        <v>0</v>
      </c>
      <c r="U230" s="626">
        <f t="shared" si="260"/>
        <v>0</v>
      </c>
      <c r="V230" s="625">
        <f t="array" ref="V230">IFERROR(INDEX('TB-EQUIPMENT &amp; OTHER HPs'!$R$69:$R$84,MATCH($E230&amp;$F230,'TB-EQUIPMENT &amp; OTHER HPs'!$E$69:$E$84&amp;'TB-EQUIPMENT &amp; OTHER HPs'!$I$69:$I$84,0)),0)</f>
        <v>0</v>
      </c>
      <c r="W230" s="626">
        <f t="shared" si="261"/>
        <v>0</v>
      </c>
      <c r="X230" s="626">
        <f t="shared" si="262"/>
        <v>0</v>
      </c>
      <c r="Y230" s="626">
        <f t="shared" si="263"/>
        <v>0</v>
      </c>
      <c r="Z230" s="630"/>
      <c r="AA230" s="625">
        <f t="array" ref="AA230">IFERROR(INDEX('TB-EQUIPMENT &amp; OTHER HPs'!$U$69:$U$84,MATCH($E230&amp;$F230,'TB-EQUIPMENT &amp; OTHER HPs'!$E$69:$E$84&amp;'TB-EQUIPMENT &amp; OTHER HPs'!$I$69:$I$84,0)),0)</f>
        <v>0</v>
      </c>
      <c r="AB230" s="625">
        <f t="array" ref="AB230">IFERROR(INDEX('TB-EQUIPMENT &amp; OTHER HPs'!$V$69:$V$84,MATCH($E230&amp;$F230,'TB-EQUIPMENT &amp; OTHER HPs'!$E$69:$E$84&amp;'TB-EQUIPMENT &amp; OTHER HPs'!$I$69:$I$84,0)),0)</f>
        <v>0</v>
      </c>
      <c r="AC230" s="626">
        <f t="shared" si="264"/>
        <v>0</v>
      </c>
      <c r="AD230" s="626">
        <f t="shared" si="265"/>
        <v>0</v>
      </c>
      <c r="AE230" s="626">
        <f t="shared" si="266"/>
        <v>0</v>
      </c>
      <c r="AF230" s="625">
        <f t="array" ref="AF230">IFERROR(INDEX('TB-EQUIPMENT &amp; OTHER HPs'!$W$69:$W$84,MATCH($E230&amp;$F230,'TB-EQUIPMENT &amp; OTHER HPs'!$E$69:$E$84&amp;'TB-EQUIPMENT &amp; OTHER HPs'!$I$69:$I$84,0)),0)</f>
        <v>0</v>
      </c>
      <c r="AG230" s="626">
        <f t="shared" si="267"/>
        <v>0</v>
      </c>
      <c r="AH230" s="626">
        <f t="shared" si="268"/>
        <v>0</v>
      </c>
      <c r="AI230" s="626">
        <f t="shared" si="269"/>
        <v>0</v>
      </c>
      <c r="AJ230" s="625">
        <f t="array" ref="AJ230">IFERROR(INDEX('TB-EQUIPMENT &amp; OTHER HPs'!$X$69:$X$84,MATCH($E230&amp;$F230,'TB-EQUIPMENT &amp; OTHER HPs'!$E$69:$E$84&amp;'TB-EQUIPMENT &amp; OTHER HPs'!$I$69:$I$84,0)),0)</f>
        <v>0</v>
      </c>
      <c r="AK230" s="626">
        <f t="shared" si="270"/>
        <v>0</v>
      </c>
      <c r="AL230" s="626">
        <f t="shared" si="271"/>
        <v>0</v>
      </c>
      <c r="AM230" s="626">
        <f t="shared" si="272"/>
        <v>0</v>
      </c>
      <c r="AN230" s="625">
        <f t="array" ref="AN230">IFERROR(INDEX('TB-EQUIPMENT &amp; OTHER HPs'!$Y$69:$Y$84,MATCH($E230&amp;$F230,'TB-EQUIPMENT &amp; OTHER HPs'!$E$69:$E$84&amp;'TB-EQUIPMENT &amp; OTHER HPs'!$I$69:$I$84,0)),0)</f>
        <v>0</v>
      </c>
      <c r="AO230" s="626">
        <f t="shared" si="273"/>
        <v>0</v>
      </c>
      <c r="AP230" s="626">
        <f t="shared" si="274"/>
        <v>0</v>
      </c>
      <c r="AQ230" s="626">
        <f t="shared" si="275"/>
        <v>0</v>
      </c>
      <c r="AR230" s="630"/>
      <c r="AS230" s="625">
        <f t="array" ref="AS230">IFERROR(INDEX('TB-EQUIPMENT &amp; OTHER HPs'!$AB$69:$AB$84,MATCH($E230&amp;$F230,'TB-EQUIPMENT &amp; OTHER HPs'!$E$69:$E$84&amp;'TB-EQUIPMENT &amp; OTHER HPs'!$I$69:$I$84,0)),0)</f>
        <v>0</v>
      </c>
      <c r="AT230" s="625">
        <f t="array" ref="AT230">IFERROR(INDEX('TB-EQUIPMENT &amp; OTHER HPs'!$AC$69:$AC$84,MATCH($E230&amp;$F230,'TB-EQUIPMENT &amp; OTHER HPs'!$E$69:$E$84&amp;'TB-EQUIPMENT &amp; OTHER HPs'!$I$69:$I$84,0)),0)</f>
        <v>0</v>
      </c>
      <c r="AU230" s="626">
        <f t="shared" si="276"/>
        <v>0</v>
      </c>
      <c r="AV230" s="626">
        <f t="shared" si="277"/>
        <v>0</v>
      </c>
      <c r="AW230" s="626">
        <f t="shared" si="278"/>
        <v>0</v>
      </c>
      <c r="AX230" s="625">
        <f t="array" ref="AX230">IFERROR(INDEX('TB-EQUIPMENT &amp; OTHER HPs'!$AD$69:$AD$84,MATCH($E230&amp;$F230,'TB-EQUIPMENT &amp; OTHER HPs'!$E$69:$E$84&amp;'TB-EQUIPMENT &amp; OTHER HPs'!$I$69:$I$84,0)),0)</f>
        <v>0</v>
      </c>
      <c r="AY230" s="626">
        <f t="shared" si="279"/>
        <v>0</v>
      </c>
      <c r="AZ230" s="626">
        <f t="shared" si="280"/>
        <v>0</v>
      </c>
      <c r="BA230" s="626">
        <f t="shared" si="281"/>
        <v>0</v>
      </c>
      <c r="BB230" s="625">
        <f t="array" ref="BB230">IFERROR(INDEX('TB-EQUIPMENT &amp; OTHER HPs'!$AE$69:$AE$84,MATCH($E230&amp;$F230,'TB-EQUIPMENT &amp; OTHER HPs'!$E$69:$E$84&amp;'TB-EQUIPMENT &amp; OTHER HPs'!$I$69:$I$84,0)),0)</f>
        <v>0</v>
      </c>
      <c r="BC230" s="626">
        <f t="shared" si="282"/>
        <v>0</v>
      </c>
      <c r="BD230" s="626">
        <f t="shared" si="283"/>
        <v>0</v>
      </c>
      <c r="BE230" s="626">
        <f t="shared" si="284"/>
        <v>0</v>
      </c>
      <c r="BF230" s="625">
        <f t="array" ref="BF230">IFERROR(INDEX('TB-EQUIPMENT &amp; OTHER HPs'!$AF$69:$AF$84,MATCH($E230&amp;$F230,'TB-EQUIPMENT &amp; OTHER HPs'!$E$69:$E$84&amp;'TB-EQUIPMENT &amp; OTHER HPs'!$I$69:$I$84,0)),0)</f>
        <v>0</v>
      </c>
      <c r="BG230" s="626">
        <f t="shared" si="285"/>
        <v>0</v>
      </c>
      <c r="BH230" s="626">
        <f t="shared" si="286"/>
        <v>0</v>
      </c>
      <c r="BI230" s="626">
        <f t="shared" si="287"/>
        <v>0</v>
      </c>
      <c r="BJ230" s="630"/>
      <c r="BK230" s="625"/>
      <c r="BL230" s="625"/>
      <c r="BM230" s="625"/>
      <c r="BN230" s="625"/>
      <c r="BO230" s="625"/>
      <c r="BP230" s="625"/>
      <c r="BQ230" s="625"/>
      <c r="BR230" s="625"/>
    </row>
    <row r="231" spans="1:70">
      <c r="A231" s="29" t="s">
        <v>1749</v>
      </c>
      <c r="B231" s="29" t="s">
        <v>1836</v>
      </c>
      <c r="C231" s="619">
        <f>SETUP!$F$41</f>
        <v>0</v>
      </c>
      <c r="D231" s="25">
        <v>6.4</v>
      </c>
      <c r="E231" s="26" t="s">
        <v>1456</v>
      </c>
      <c r="F231" s="26" t="s">
        <v>201</v>
      </c>
      <c r="G231" s="625" t="str">
        <f t="array" ref="G231">IFERROR(INDEX('TB-EQUIPMENT &amp; OTHER HPs'!$L$69:$L$84,MATCH($E231&amp;$F231,'TB-EQUIPMENT &amp; OTHER HPs'!$E$69:$E$84&amp;'TB-EQUIPMENT &amp; OTHER HPs'!$I$69:$I$84,0)),"")</f>
        <v/>
      </c>
      <c r="H231" s="625" t="str">
        <f t="array" ref="H231">IFERROR(INDEX('TB-EQUIPMENT &amp; OTHER HPs'!$M$69:$M$84,MATCH($E231&amp;$F231,'TB-EQUIPMENT &amp; OTHER HPs'!$E$69:$E$84&amp;'TB-EQUIPMENT &amp; OTHER HPs'!$I$69:$I$84,0)),"")</f>
        <v/>
      </c>
      <c r="I231" s="625">
        <f t="array" ref="I231">IFERROR(INDEX('TB-EQUIPMENT &amp; OTHER HPs'!$N$69:$N$84,MATCH($E231&amp;$F231,'TB-EQUIPMENT &amp; OTHER HPs'!$E$69:$E$84&amp;'TB-EQUIPMENT &amp; OTHER HPs'!$I$69:$I$84,0)),0)</f>
        <v>0</v>
      </c>
      <c r="J231" s="625">
        <f t="array" ref="J231">IFERROR(INDEX('TB-EQUIPMENT &amp; OTHER HPs'!$O$69:$O$84,MATCH($E231&amp;$F231,'TB-EQUIPMENT &amp; OTHER HPs'!$E$69:$E$84&amp;'TB-EQUIPMENT &amp; OTHER HPs'!$I$69:$I$84,0)),0)</f>
        <v>0</v>
      </c>
      <c r="K231" s="626">
        <f t="shared" si="252"/>
        <v>0</v>
      </c>
      <c r="L231" s="626">
        <f t="shared" si="253"/>
        <v>0</v>
      </c>
      <c r="M231" s="626">
        <f t="shared" si="254"/>
        <v>0</v>
      </c>
      <c r="N231" s="625">
        <f t="array" ref="N231">IFERROR(INDEX('TB-EQUIPMENT &amp; OTHER HPs'!$P$69:$P$84,MATCH($E231&amp;$F231,'TB-EQUIPMENT &amp; OTHER HPs'!$E$69:$E$84&amp;'TB-EQUIPMENT &amp; OTHER HPs'!$I$69:$I$84,0)),0)</f>
        <v>0</v>
      </c>
      <c r="O231" s="626">
        <f t="shared" si="255"/>
        <v>0</v>
      </c>
      <c r="P231" s="626">
        <f t="shared" si="256"/>
        <v>0</v>
      </c>
      <c r="Q231" s="626">
        <f t="shared" si="257"/>
        <v>0</v>
      </c>
      <c r="R231" s="625">
        <f t="array" ref="R231">IFERROR(INDEX('TB-EQUIPMENT &amp; OTHER HPs'!$Q$69:$Q$84,MATCH($E231&amp;$F231,'TB-EQUIPMENT &amp; OTHER HPs'!$E$69:$E$84&amp;'TB-EQUIPMENT &amp; OTHER HPs'!$I$69:$I$84,0)),0)</f>
        <v>0</v>
      </c>
      <c r="S231" s="626">
        <f t="shared" si="258"/>
        <v>0</v>
      </c>
      <c r="T231" s="626">
        <f t="shared" si="259"/>
        <v>0</v>
      </c>
      <c r="U231" s="626">
        <f t="shared" si="260"/>
        <v>0</v>
      </c>
      <c r="V231" s="625">
        <f t="array" ref="V231">IFERROR(INDEX('TB-EQUIPMENT &amp; OTHER HPs'!$R$69:$R$84,MATCH($E231&amp;$F231,'TB-EQUIPMENT &amp; OTHER HPs'!$E$69:$E$84&amp;'TB-EQUIPMENT &amp; OTHER HPs'!$I$69:$I$84,0)),0)</f>
        <v>0</v>
      </c>
      <c r="W231" s="626">
        <f t="shared" si="261"/>
        <v>0</v>
      </c>
      <c r="X231" s="626">
        <f t="shared" si="262"/>
        <v>0</v>
      </c>
      <c r="Y231" s="626">
        <f t="shared" si="263"/>
        <v>0</v>
      </c>
      <c r="Z231" s="630"/>
      <c r="AA231" s="625">
        <f t="array" ref="AA231">IFERROR(INDEX('TB-EQUIPMENT &amp; OTHER HPs'!$U$69:$U$84,MATCH($E231&amp;$F231,'TB-EQUIPMENT &amp; OTHER HPs'!$E$69:$E$84&amp;'TB-EQUIPMENT &amp; OTHER HPs'!$I$69:$I$84,0)),0)</f>
        <v>0</v>
      </c>
      <c r="AB231" s="625">
        <f t="array" ref="AB231">IFERROR(INDEX('TB-EQUIPMENT &amp; OTHER HPs'!$V$69:$V$84,MATCH($E231&amp;$F231,'TB-EQUIPMENT &amp; OTHER HPs'!$E$69:$E$84&amp;'TB-EQUIPMENT &amp; OTHER HPs'!$I$69:$I$84,0)),0)</f>
        <v>0</v>
      </c>
      <c r="AC231" s="626">
        <f t="shared" si="264"/>
        <v>0</v>
      </c>
      <c r="AD231" s="626">
        <f t="shared" si="265"/>
        <v>0</v>
      </c>
      <c r="AE231" s="626">
        <f t="shared" si="266"/>
        <v>0</v>
      </c>
      <c r="AF231" s="625">
        <f t="array" ref="AF231">IFERROR(INDEX('TB-EQUIPMENT &amp; OTHER HPs'!$W$69:$W$84,MATCH($E231&amp;$F231,'TB-EQUIPMENT &amp; OTHER HPs'!$E$69:$E$84&amp;'TB-EQUIPMENT &amp; OTHER HPs'!$I$69:$I$84,0)),0)</f>
        <v>0</v>
      </c>
      <c r="AG231" s="626">
        <f t="shared" si="267"/>
        <v>0</v>
      </c>
      <c r="AH231" s="626">
        <f t="shared" si="268"/>
        <v>0</v>
      </c>
      <c r="AI231" s="626">
        <f t="shared" si="269"/>
        <v>0</v>
      </c>
      <c r="AJ231" s="625">
        <f t="array" ref="AJ231">IFERROR(INDEX('TB-EQUIPMENT &amp; OTHER HPs'!$X$69:$X$84,MATCH($E231&amp;$F231,'TB-EQUIPMENT &amp; OTHER HPs'!$E$69:$E$84&amp;'TB-EQUIPMENT &amp; OTHER HPs'!$I$69:$I$84,0)),0)</f>
        <v>0</v>
      </c>
      <c r="AK231" s="626">
        <f t="shared" si="270"/>
        <v>0</v>
      </c>
      <c r="AL231" s="626">
        <f t="shared" si="271"/>
        <v>0</v>
      </c>
      <c r="AM231" s="626">
        <f t="shared" si="272"/>
        <v>0</v>
      </c>
      <c r="AN231" s="625">
        <f t="array" ref="AN231">IFERROR(INDEX('TB-EQUIPMENT &amp; OTHER HPs'!$Y$69:$Y$84,MATCH($E231&amp;$F231,'TB-EQUIPMENT &amp; OTHER HPs'!$E$69:$E$84&amp;'TB-EQUIPMENT &amp; OTHER HPs'!$I$69:$I$84,0)),0)</f>
        <v>0</v>
      </c>
      <c r="AO231" s="626">
        <f t="shared" si="273"/>
        <v>0</v>
      </c>
      <c r="AP231" s="626">
        <f t="shared" si="274"/>
        <v>0</v>
      </c>
      <c r="AQ231" s="626">
        <f t="shared" si="275"/>
        <v>0</v>
      </c>
      <c r="AR231" s="630"/>
      <c r="AS231" s="625">
        <f t="array" ref="AS231">IFERROR(INDEX('TB-EQUIPMENT &amp; OTHER HPs'!$AB$69:$AB$84,MATCH($E231&amp;$F231,'TB-EQUIPMENT &amp; OTHER HPs'!$E$69:$E$84&amp;'TB-EQUIPMENT &amp; OTHER HPs'!$I$69:$I$84,0)),0)</f>
        <v>0</v>
      </c>
      <c r="AT231" s="625">
        <f t="array" ref="AT231">IFERROR(INDEX('TB-EQUIPMENT &amp; OTHER HPs'!$AC$69:$AC$84,MATCH($E231&amp;$F231,'TB-EQUIPMENT &amp; OTHER HPs'!$E$69:$E$84&amp;'TB-EQUIPMENT &amp; OTHER HPs'!$I$69:$I$84,0)),0)</f>
        <v>0</v>
      </c>
      <c r="AU231" s="626">
        <f t="shared" si="276"/>
        <v>0</v>
      </c>
      <c r="AV231" s="626">
        <f t="shared" si="277"/>
        <v>0</v>
      </c>
      <c r="AW231" s="626">
        <f t="shared" si="278"/>
        <v>0</v>
      </c>
      <c r="AX231" s="625">
        <f t="array" ref="AX231">IFERROR(INDEX('TB-EQUIPMENT &amp; OTHER HPs'!$AD$69:$AD$84,MATCH($E231&amp;$F231,'TB-EQUIPMENT &amp; OTHER HPs'!$E$69:$E$84&amp;'TB-EQUIPMENT &amp; OTHER HPs'!$I$69:$I$84,0)),0)</f>
        <v>0</v>
      </c>
      <c r="AY231" s="626">
        <f t="shared" si="279"/>
        <v>0</v>
      </c>
      <c r="AZ231" s="626">
        <f t="shared" si="280"/>
        <v>0</v>
      </c>
      <c r="BA231" s="626">
        <f t="shared" si="281"/>
        <v>0</v>
      </c>
      <c r="BB231" s="625">
        <f t="array" ref="BB231">IFERROR(INDEX('TB-EQUIPMENT &amp; OTHER HPs'!$AE$69:$AE$84,MATCH($E231&amp;$F231,'TB-EQUIPMENT &amp; OTHER HPs'!$E$69:$E$84&amp;'TB-EQUIPMENT &amp; OTHER HPs'!$I$69:$I$84,0)),0)</f>
        <v>0</v>
      </c>
      <c r="BC231" s="626">
        <f t="shared" si="282"/>
        <v>0</v>
      </c>
      <c r="BD231" s="626">
        <f t="shared" si="283"/>
        <v>0</v>
      </c>
      <c r="BE231" s="626">
        <f t="shared" si="284"/>
        <v>0</v>
      </c>
      <c r="BF231" s="625">
        <f t="array" ref="BF231">IFERROR(INDEX('TB-EQUIPMENT &amp; OTHER HPs'!$AF$69:$AF$84,MATCH($E231&amp;$F231,'TB-EQUIPMENT &amp; OTHER HPs'!$E$69:$E$84&amp;'TB-EQUIPMENT &amp; OTHER HPs'!$I$69:$I$84,0)),0)</f>
        <v>0</v>
      </c>
      <c r="BG231" s="626">
        <f t="shared" si="285"/>
        <v>0</v>
      </c>
      <c r="BH231" s="626">
        <f t="shared" si="286"/>
        <v>0</v>
      </c>
      <c r="BI231" s="626">
        <f t="shared" si="287"/>
        <v>0</v>
      </c>
      <c r="BJ231" s="630"/>
      <c r="BK231" s="625"/>
      <c r="BL231" s="625"/>
      <c r="BM231" s="625"/>
      <c r="BN231" s="625"/>
      <c r="BO231" s="625"/>
      <c r="BP231" s="625"/>
      <c r="BQ231" s="625"/>
      <c r="BR231" s="625"/>
    </row>
    <row r="232" spans="1:70">
      <c r="A232" s="29" t="s">
        <v>1749</v>
      </c>
      <c r="B232" s="29" t="s">
        <v>1836</v>
      </c>
      <c r="C232" s="619">
        <f>SETUP!$F$41</f>
        <v>0</v>
      </c>
      <c r="D232" s="25">
        <v>6.4</v>
      </c>
      <c r="E232" s="26" t="s">
        <v>1456</v>
      </c>
      <c r="F232" s="26" t="s">
        <v>200</v>
      </c>
      <c r="G232" s="625" t="str">
        <f t="array" ref="G232">IFERROR(INDEX('TB-EQUIPMENT &amp; OTHER HPs'!$L$69:$L$84,MATCH($E232&amp;$F232,'TB-EQUIPMENT &amp; OTHER HPs'!$E$69:$E$84&amp;'TB-EQUIPMENT &amp; OTHER HPs'!$I$69:$I$84,0)),"")</f>
        <v/>
      </c>
      <c r="H232" s="625" t="str">
        <f t="array" ref="H232">IFERROR(INDEX('TB-EQUIPMENT &amp; OTHER HPs'!$M$69:$M$84,MATCH($E232&amp;$F232,'TB-EQUIPMENT &amp; OTHER HPs'!$E$69:$E$84&amp;'TB-EQUIPMENT &amp; OTHER HPs'!$I$69:$I$84,0)),"")</f>
        <v/>
      </c>
      <c r="I232" s="625">
        <f t="array" ref="I232">IFERROR(INDEX('TB-EQUIPMENT &amp; OTHER HPs'!$N$69:$N$84,MATCH($E232&amp;$F232,'TB-EQUIPMENT &amp; OTHER HPs'!$E$69:$E$84&amp;'TB-EQUIPMENT &amp; OTHER HPs'!$I$69:$I$84,0)),0)</f>
        <v>0</v>
      </c>
      <c r="J232" s="625">
        <f t="array" ref="J232">IFERROR(INDEX('TB-EQUIPMENT &amp; OTHER HPs'!$O$69:$O$84,MATCH($E232&amp;$F232,'TB-EQUIPMENT &amp; OTHER HPs'!$E$69:$E$84&amp;'TB-EQUIPMENT &amp; OTHER HPs'!$I$69:$I$84,0)),0)</f>
        <v>0</v>
      </c>
      <c r="K232" s="626">
        <f t="shared" si="252"/>
        <v>0</v>
      </c>
      <c r="L232" s="626">
        <f t="shared" si="253"/>
        <v>0</v>
      </c>
      <c r="M232" s="626">
        <f t="shared" si="254"/>
        <v>0</v>
      </c>
      <c r="N232" s="625">
        <f t="array" ref="N232">IFERROR(INDEX('TB-EQUIPMENT &amp; OTHER HPs'!$P$69:$P$84,MATCH($E232&amp;$F232,'TB-EQUIPMENT &amp; OTHER HPs'!$E$69:$E$84&amp;'TB-EQUIPMENT &amp; OTHER HPs'!$I$69:$I$84,0)),0)</f>
        <v>0</v>
      </c>
      <c r="O232" s="626">
        <f t="shared" si="255"/>
        <v>0</v>
      </c>
      <c r="P232" s="626">
        <f t="shared" si="256"/>
        <v>0</v>
      </c>
      <c r="Q232" s="626">
        <f t="shared" si="257"/>
        <v>0</v>
      </c>
      <c r="R232" s="625">
        <f t="array" ref="R232">IFERROR(INDEX('TB-EQUIPMENT &amp; OTHER HPs'!$Q$69:$Q$84,MATCH($E232&amp;$F232,'TB-EQUIPMENT &amp; OTHER HPs'!$E$69:$E$84&amp;'TB-EQUIPMENT &amp; OTHER HPs'!$I$69:$I$84,0)),0)</f>
        <v>0</v>
      </c>
      <c r="S232" s="626">
        <f t="shared" si="258"/>
        <v>0</v>
      </c>
      <c r="T232" s="626">
        <f t="shared" si="259"/>
        <v>0</v>
      </c>
      <c r="U232" s="626">
        <f t="shared" si="260"/>
        <v>0</v>
      </c>
      <c r="V232" s="625">
        <f t="array" ref="V232">IFERROR(INDEX('TB-EQUIPMENT &amp; OTHER HPs'!$R$69:$R$84,MATCH($E232&amp;$F232,'TB-EQUIPMENT &amp; OTHER HPs'!$E$69:$E$84&amp;'TB-EQUIPMENT &amp; OTHER HPs'!$I$69:$I$84,0)),0)</f>
        <v>0</v>
      </c>
      <c r="W232" s="626">
        <f t="shared" si="261"/>
        <v>0</v>
      </c>
      <c r="X232" s="626">
        <f t="shared" si="262"/>
        <v>0</v>
      </c>
      <c r="Y232" s="626">
        <f t="shared" si="263"/>
        <v>0</v>
      </c>
      <c r="Z232" s="630"/>
      <c r="AA232" s="625">
        <f t="array" ref="AA232">IFERROR(INDEX('TB-EQUIPMENT &amp; OTHER HPs'!$U$69:$U$84,MATCH($E232&amp;$F232,'TB-EQUIPMENT &amp; OTHER HPs'!$E$69:$E$84&amp;'TB-EQUIPMENT &amp; OTHER HPs'!$I$69:$I$84,0)),0)</f>
        <v>0</v>
      </c>
      <c r="AB232" s="625">
        <f t="array" ref="AB232">IFERROR(INDEX('TB-EQUIPMENT &amp; OTHER HPs'!$V$69:$V$84,MATCH($E232&amp;$F232,'TB-EQUIPMENT &amp; OTHER HPs'!$E$69:$E$84&amp;'TB-EQUIPMENT &amp; OTHER HPs'!$I$69:$I$84,0)),0)</f>
        <v>0</v>
      </c>
      <c r="AC232" s="626">
        <f t="shared" si="264"/>
        <v>0</v>
      </c>
      <c r="AD232" s="626">
        <f t="shared" si="265"/>
        <v>0</v>
      </c>
      <c r="AE232" s="626">
        <f t="shared" si="266"/>
        <v>0</v>
      </c>
      <c r="AF232" s="625">
        <f t="array" ref="AF232">IFERROR(INDEX('TB-EQUIPMENT &amp; OTHER HPs'!$W$69:$W$84,MATCH($E232&amp;$F232,'TB-EQUIPMENT &amp; OTHER HPs'!$E$69:$E$84&amp;'TB-EQUIPMENT &amp; OTHER HPs'!$I$69:$I$84,0)),0)</f>
        <v>0</v>
      </c>
      <c r="AG232" s="626">
        <f t="shared" si="267"/>
        <v>0</v>
      </c>
      <c r="AH232" s="626">
        <f t="shared" si="268"/>
        <v>0</v>
      </c>
      <c r="AI232" s="626">
        <f t="shared" si="269"/>
        <v>0</v>
      </c>
      <c r="AJ232" s="625">
        <f t="array" ref="AJ232">IFERROR(INDEX('TB-EQUIPMENT &amp; OTHER HPs'!$X$69:$X$84,MATCH($E232&amp;$F232,'TB-EQUIPMENT &amp; OTHER HPs'!$E$69:$E$84&amp;'TB-EQUIPMENT &amp; OTHER HPs'!$I$69:$I$84,0)),0)</f>
        <v>0</v>
      </c>
      <c r="AK232" s="626">
        <f t="shared" si="270"/>
        <v>0</v>
      </c>
      <c r="AL232" s="626">
        <f t="shared" si="271"/>
        <v>0</v>
      </c>
      <c r="AM232" s="626">
        <f t="shared" si="272"/>
        <v>0</v>
      </c>
      <c r="AN232" s="625">
        <f t="array" ref="AN232">IFERROR(INDEX('TB-EQUIPMENT &amp; OTHER HPs'!$Y$69:$Y$84,MATCH($E232&amp;$F232,'TB-EQUIPMENT &amp; OTHER HPs'!$E$69:$E$84&amp;'TB-EQUIPMENT &amp; OTHER HPs'!$I$69:$I$84,0)),0)</f>
        <v>0</v>
      </c>
      <c r="AO232" s="626">
        <f t="shared" si="273"/>
        <v>0</v>
      </c>
      <c r="AP232" s="626">
        <f t="shared" si="274"/>
        <v>0</v>
      </c>
      <c r="AQ232" s="626">
        <f t="shared" si="275"/>
        <v>0</v>
      </c>
      <c r="AR232" s="630"/>
      <c r="AS232" s="625">
        <f t="array" ref="AS232">IFERROR(INDEX('TB-EQUIPMENT &amp; OTHER HPs'!$AB$69:$AB$84,MATCH($E232&amp;$F232,'TB-EQUIPMENT &amp; OTHER HPs'!$E$69:$E$84&amp;'TB-EQUIPMENT &amp; OTHER HPs'!$I$69:$I$84,0)),0)</f>
        <v>0</v>
      </c>
      <c r="AT232" s="625">
        <f t="array" ref="AT232">IFERROR(INDEX('TB-EQUIPMENT &amp; OTHER HPs'!$AC$69:$AC$84,MATCH($E232&amp;$F232,'TB-EQUIPMENT &amp; OTHER HPs'!$E$69:$E$84&amp;'TB-EQUIPMENT &amp; OTHER HPs'!$I$69:$I$84,0)),0)</f>
        <v>0</v>
      </c>
      <c r="AU232" s="626">
        <f t="shared" si="276"/>
        <v>0</v>
      </c>
      <c r="AV232" s="626">
        <f t="shared" si="277"/>
        <v>0</v>
      </c>
      <c r="AW232" s="626">
        <f t="shared" si="278"/>
        <v>0</v>
      </c>
      <c r="AX232" s="625">
        <f t="array" ref="AX232">IFERROR(INDEX('TB-EQUIPMENT &amp; OTHER HPs'!$AD$69:$AD$84,MATCH($E232&amp;$F232,'TB-EQUIPMENT &amp; OTHER HPs'!$E$69:$E$84&amp;'TB-EQUIPMENT &amp; OTHER HPs'!$I$69:$I$84,0)),0)</f>
        <v>0</v>
      </c>
      <c r="AY232" s="626">
        <f t="shared" si="279"/>
        <v>0</v>
      </c>
      <c r="AZ232" s="626">
        <f t="shared" si="280"/>
        <v>0</v>
      </c>
      <c r="BA232" s="626">
        <f t="shared" si="281"/>
        <v>0</v>
      </c>
      <c r="BB232" s="625">
        <f t="array" ref="BB232">IFERROR(INDEX('TB-EQUIPMENT &amp; OTHER HPs'!$AE$69:$AE$84,MATCH($E232&amp;$F232,'TB-EQUIPMENT &amp; OTHER HPs'!$E$69:$E$84&amp;'TB-EQUIPMENT &amp; OTHER HPs'!$I$69:$I$84,0)),0)</f>
        <v>0</v>
      </c>
      <c r="BC232" s="626">
        <f t="shared" si="282"/>
        <v>0</v>
      </c>
      <c r="BD232" s="626">
        <f t="shared" si="283"/>
        <v>0</v>
      </c>
      <c r="BE232" s="626">
        <f t="shared" si="284"/>
        <v>0</v>
      </c>
      <c r="BF232" s="625">
        <f t="array" ref="BF232">IFERROR(INDEX('TB-EQUIPMENT &amp; OTHER HPs'!$AF$69:$AF$84,MATCH($E232&amp;$F232,'TB-EQUIPMENT &amp; OTHER HPs'!$E$69:$E$84&amp;'TB-EQUIPMENT &amp; OTHER HPs'!$I$69:$I$84,0)),0)</f>
        <v>0</v>
      </c>
      <c r="BG232" s="626">
        <f t="shared" si="285"/>
        <v>0</v>
      </c>
      <c r="BH232" s="626">
        <f t="shared" si="286"/>
        <v>0</v>
      </c>
      <c r="BI232" s="626">
        <f t="shared" si="287"/>
        <v>0</v>
      </c>
      <c r="BJ232" s="630"/>
      <c r="BK232" s="625"/>
      <c r="BL232" s="625"/>
      <c r="BM232" s="625"/>
      <c r="BN232" s="625"/>
      <c r="BO232" s="625"/>
      <c r="BP232" s="625"/>
      <c r="BQ232" s="625"/>
      <c r="BR232" s="625"/>
    </row>
    <row r="233" spans="1:70">
      <c r="A233" s="29" t="s">
        <v>1749</v>
      </c>
      <c r="B233" s="29" t="s">
        <v>1836</v>
      </c>
      <c r="C233" s="619">
        <f>SETUP!$F$41</f>
        <v>0</v>
      </c>
      <c r="D233" s="25">
        <v>6.4</v>
      </c>
      <c r="E233" s="26" t="s">
        <v>1462</v>
      </c>
      <c r="F233" s="26" t="s">
        <v>1140</v>
      </c>
      <c r="G233" s="625" t="str">
        <f t="array" ref="G233">IFERROR(INDEX('TB-EQUIPMENT &amp; OTHER HPs'!$L$69:$L$84,MATCH($E233&amp;$F233,'TB-EQUIPMENT &amp; OTHER HPs'!$E$69:$E$84&amp;'TB-EQUIPMENT &amp; OTHER HPs'!$I$69:$I$84,0)),"")</f>
        <v/>
      </c>
      <c r="H233" s="625" t="str">
        <f t="array" ref="H233">IFERROR(INDEX('TB-EQUIPMENT &amp; OTHER HPs'!$M$69:$M$84,MATCH($E233&amp;$F233,'TB-EQUIPMENT &amp; OTHER HPs'!$E$69:$E$84&amp;'TB-EQUIPMENT &amp; OTHER HPs'!$I$69:$I$84,0)),"")</f>
        <v/>
      </c>
      <c r="I233" s="625">
        <f t="array" ref="I233">IFERROR(INDEX('TB-EQUIPMENT &amp; OTHER HPs'!$N$69:$N$84,MATCH($E233&amp;$F233,'TB-EQUIPMENT &amp; OTHER HPs'!$E$69:$E$84&amp;'TB-EQUIPMENT &amp; OTHER HPs'!$I$69:$I$84,0)),0)</f>
        <v>0</v>
      </c>
      <c r="J233" s="625">
        <f t="array" ref="J233">IFERROR(INDEX('TB-EQUIPMENT &amp; OTHER HPs'!$O$69:$O$84,MATCH($E233&amp;$F233,'TB-EQUIPMENT &amp; OTHER HPs'!$E$69:$E$84&amp;'TB-EQUIPMENT &amp; OTHER HPs'!$I$69:$I$84,0)),0)</f>
        <v>0</v>
      </c>
      <c r="K233" s="626">
        <f t="shared" si="216"/>
        <v>0</v>
      </c>
      <c r="L233" s="626">
        <f t="shared" si="217"/>
        <v>0</v>
      </c>
      <c r="M233" s="626">
        <f t="shared" si="218"/>
        <v>0</v>
      </c>
      <c r="N233" s="625">
        <f t="array" ref="N233">IFERROR(INDEX('TB-EQUIPMENT &amp; OTHER HPs'!$P$69:$P$84,MATCH($E233&amp;$F233,'TB-EQUIPMENT &amp; OTHER HPs'!$E$69:$E$84&amp;'TB-EQUIPMENT &amp; OTHER HPs'!$I$69:$I$84,0)),0)</f>
        <v>0</v>
      </c>
      <c r="O233" s="626">
        <f t="shared" si="219"/>
        <v>0</v>
      </c>
      <c r="P233" s="626">
        <f t="shared" si="220"/>
        <v>0</v>
      </c>
      <c r="Q233" s="626">
        <f t="shared" si="221"/>
        <v>0</v>
      </c>
      <c r="R233" s="625">
        <f t="array" ref="R233">IFERROR(INDEX('TB-EQUIPMENT &amp; OTHER HPs'!$Q$69:$Q$84,MATCH($E233&amp;$F233,'TB-EQUIPMENT &amp; OTHER HPs'!$E$69:$E$84&amp;'TB-EQUIPMENT &amp; OTHER HPs'!$I$69:$I$84,0)),0)</f>
        <v>0</v>
      </c>
      <c r="S233" s="626">
        <f t="shared" si="222"/>
        <v>0</v>
      </c>
      <c r="T233" s="626">
        <f t="shared" si="223"/>
        <v>0</v>
      </c>
      <c r="U233" s="626">
        <f t="shared" si="224"/>
        <v>0</v>
      </c>
      <c r="V233" s="625">
        <f t="array" ref="V233">IFERROR(INDEX('TB-EQUIPMENT &amp; OTHER HPs'!$R$69:$R$84,MATCH($E233&amp;$F233,'TB-EQUIPMENT &amp; OTHER HPs'!$E$69:$E$84&amp;'TB-EQUIPMENT &amp; OTHER HPs'!$I$69:$I$84,0)),0)</f>
        <v>0</v>
      </c>
      <c r="W233" s="626">
        <f t="shared" si="225"/>
        <v>0</v>
      </c>
      <c r="X233" s="626">
        <f t="shared" si="226"/>
        <v>0</v>
      </c>
      <c r="Y233" s="626">
        <f t="shared" si="227"/>
        <v>0</v>
      </c>
      <c r="Z233" s="630"/>
      <c r="AA233" s="625">
        <f t="array" ref="AA233">IFERROR(INDEX('TB-EQUIPMENT &amp; OTHER HPs'!$U$69:$U$84,MATCH($E233&amp;$F233,'TB-EQUIPMENT &amp; OTHER HPs'!$E$69:$E$84&amp;'TB-EQUIPMENT &amp; OTHER HPs'!$I$69:$I$84,0)),0)</f>
        <v>0</v>
      </c>
      <c r="AB233" s="625">
        <f t="array" ref="AB233">IFERROR(INDEX('TB-EQUIPMENT &amp; OTHER HPs'!$V$69:$V$84,MATCH($E233&amp;$F233,'TB-EQUIPMENT &amp; OTHER HPs'!$E$69:$E$84&amp;'TB-EQUIPMENT &amp; OTHER HPs'!$I$69:$I$84,0)),0)</f>
        <v>0</v>
      </c>
      <c r="AC233" s="626">
        <f t="shared" si="228"/>
        <v>0</v>
      </c>
      <c r="AD233" s="626">
        <f t="shared" si="229"/>
        <v>0</v>
      </c>
      <c r="AE233" s="626">
        <f t="shared" si="230"/>
        <v>0</v>
      </c>
      <c r="AF233" s="625">
        <f t="array" ref="AF233">IFERROR(INDEX('TB-EQUIPMENT &amp; OTHER HPs'!$W$69:$W$84,MATCH($E233&amp;$F233,'TB-EQUIPMENT &amp; OTHER HPs'!$E$69:$E$84&amp;'TB-EQUIPMENT &amp; OTHER HPs'!$I$69:$I$84,0)),0)</f>
        <v>0</v>
      </c>
      <c r="AG233" s="626">
        <f t="shared" si="231"/>
        <v>0</v>
      </c>
      <c r="AH233" s="626">
        <f t="shared" si="232"/>
        <v>0</v>
      </c>
      <c r="AI233" s="626">
        <f t="shared" si="233"/>
        <v>0</v>
      </c>
      <c r="AJ233" s="625">
        <f t="array" ref="AJ233">IFERROR(INDEX('TB-EQUIPMENT &amp; OTHER HPs'!$X$69:$X$84,MATCH($E233&amp;$F233,'TB-EQUIPMENT &amp; OTHER HPs'!$E$69:$E$84&amp;'TB-EQUIPMENT &amp; OTHER HPs'!$I$69:$I$84,0)),0)</f>
        <v>0</v>
      </c>
      <c r="AK233" s="626">
        <f t="shared" si="234"/>
        <v>0</v>
      </c>
      <c r="AL233" s="626">
        <f t="shared" si="235"/>
        <v>0</v>
      </c>
      <c r="AM233" s="626">
        <f t="shared" si="236"/>
        <v>0</v>
      </c>
      <c r="AN233" s="625">
        <f t="array" ref="AN233">IFERROR(INDEX('TB-EQUIPMENT &amp; OTHER HPs'!$Y$69:$Y$84,MATCH($E233&amp;$F233,'TB-EQUIPMENT &amp; OTHER HPs'!$E$69:$E$84&amp;'TB-EQUIPMENT &amp; OTHER HPs'!$I$69:$I$84,0)),0)</f>
        <v>0</v>
      </c>
      <c r="AO233" s="626">
        <f t="shared" si="237"/>
        <v>0</v>
      </c>
      <c r="AP233" s="626">
        <f t="shared" si="238"/>
        <v>0</v>
      </c>
      <c r="AQ233" s="626">
        <f t="shared" si="239"/>
        <v>0</v>
      </c>
      <c r="AR233" s="630"/>
      <c r="AS233" s="625">
        <f t="array" ref="AS233">IFERROR(INDEX('TB-EQUIPMENT &amp; OTHER HPs'!$AB$69:$AB$84,MATCH($E233&amp;$F233,'TB-EQUIPMENT &amp; OTHER HPs'!$E$69:$E$84&amp;'TB-EQUIPMENT &amp; OTHER HPs'!$I$69:$I$84,0)),0)</f>
        <v>0</v>
      </c>
      <c r="AT233" s="625">
        <f t="array" ref="AT233">IFERROR(INDEX('TB-EQUIPMENT &amp; OTHER HPs'!$AC$69:$AC$84,MATCH($E233&amp;$F233,'TB-EQUIPMENT &amp; OTHER HPs'!$E$69:$E$84&amp;'TB-EQUIPMENT &amp; OTHER HPs'!$I$69:$I$84,0)),0)</f>
        <v>0</v>
      </c>
      <c r="AU233" s="626">
        <f t="shared" si="240"/>
        <v>0</v>
      </c>
      <c r="AV233" s="626">
        <f t="shared" si="241"/>
        <v>0</v>
      </c>
      <c r="AW233" s="626">
        <f t="shared" si="242"/>
        <v>0</v>
      </c>
      <c r="AX233" s="625">
        <f t="array" ref="AX233">IFERROR(INDEX('TB-EQUIPMENT &amp; OTHER HPs'!$AD$69:$AD$84,MATCH($E233&amp;$F233,'TB-EQUIPMENT &amp; OTHER HPs'!$E$69:$E$84&amp;'TB-EQUIPMENT &amp; OTHER HPs'!$I$69:$I$84,0)),0)</f>
        <v>0</v>
      </c>
      <c r="AY233" s="626">
        <f t="shared" si="243"/>
        <v>0</v>
      </c>
      <c r="AZ233" s="626">
        <f t="shared" si="244"/>
        <v>0</v>
      </c>
      <c r="BA233" s="626">
        <f t="shared" si="245"/>
        <v>0</v>
      </c>
      <c r="BB233" s="625">
        <f t="array" ref="BB233">IFERROR(INDEX('TB-EQUIPMENT &amp; OTHER HPs'!$AE$69:$AE$84,MATCH($E233&amp;$F233,'TB-EQUIPMENT &amp; OTHER HPs'!$E$69:$E$84&amp;'TB-EQUIPMENT &amp; OTHER HPs'!$I$69:$I$84,0)),0)</f>
        <v>0</v>
      </c>
      <c r="BC233" s="626">
        <f t="shared" si="246"/>
        <v>0</v>
      </c>
      <c r="BD233" s="626">
        <f t="shared" si="247"/>
        <v>0</v>
      </c>
      <c r="BE233" s="626">
        <f t="shared" si="248"/>
        <v>0</v>
      </c>
      <c r="BF233" s="625">
        <f t="array" ref="BF233">IFERROR(INDEX('TB-EQUIPMENT &amp; OTHER HPs'!$AF$69:$AF$84,MATCH($E233&amp;$F233,'TB-EQUIPMENT &amp; OTHER HPs'!$E$69:$E$84&amp;'TB-EQUIPMENT &amp; OTHER HPs'!$I$69:$I$84,0)),0)</f>
        <v>0</v>
      </c>
      <c r="BG233" s="626">
        <f t="shared" si="249"/>
        <v>0</v>
      </c>
      <c r="BH233" s="626">
        <f t="shared" si="250"/>
        <v>0</v>
      </c>
      <c r="BI233" s="626">
        <f t="shared" si="251"/>
        <v>0</v>
      </c>
      <c r="BJ233" s="630"/>
      <c r="BK233" s="625"/>
      <c r="BL233" s="625"/>
      <c r="BM233" s="625"/>
      <c r="BN233" s="625"/>
      <c r="BO233" s="625"/>
      <c r="BP233" s="625"/>
      <c r="BQ233" s="625"/>
      <c r="BR233" s="625"/>
    </row>
    <row r="234" spans="1:70">
      <c r="A234" s="29" t="s">
        <v>1749</v>
      </c>
      <c r="B234" s="29" t="s">
        <v>1836</v>
      </c>
      <c r="C234" s="619">
        <f>SETUP!$F$41</f>
        <v>0</v>
      </c>
      <c r="D234" s="25">
        <v>6.4</v>
      </c>
      <c r="E234" s="26" t="s">
        <v>1463</v>
      </c>
      <c r="F234" s="26" t="s">
        <v>1140</v>
      </c>
      <c r="G234" s="625" t="str">
        <f t="array" ref="G234">IFERROR(INDEX('TB-EQUIPMENT &amp; OTHER HPs'!$L$69:$L$84,MATCH($E234&amp;$F234,'TB-EQUIPMENT &amp; OTHER HPs'!$E$69:$E$84&amp;'TB-EQUIPMENT &amp; OTHER HPs'!$I$69:$I$84,0)),"")</f>
        <v/>
      </c>
      <c r="H234" s="625" t="str">
        <f t="array" ref="H234">IFERROR(INDEX('TB-EQUIPMENT &amp; OTHER HPs'!$M$69:$M$84,MATCH($E234&amp;$F234,'TB-EQUIPMENT &amp; OTHER HPs'!$E$69:$E$84&amp;'TB-EQUIPMENT &amp; OTHER HPs'!$I$69:$I$84,0)),"")</f>
        <v/>
      </c>
      <c r="I234" s="625">
        <f t="array" ref="I234">IFERROR(INDEX('TB-EQUIPMENT &amp; OTHER HPs'!$N$69:$N$84,MATCH($E234&amp;$F234,'TB-EQUIPMENT &amp; OTHER HPs'!$E$69:$E$84&amp;'TB-EQUIPMENT &amp; OTHER HPs'!$I$69:$I$84,0)),0)</f>
        <v>0</v>
      </c>
      <c r="J234" s="625">
        <f t="array" ref="J234">IFERROR(INDEX('TB-EQUIPMENT &amp; OTHER HPs'!$O$69:$O$84,MATCH($E234&amp;$F234,'TB-EQUIPMENT &amp; OTHER HPs'!$E$69:$E$84&amp;'TB-EQUIPMENT &amp; OTHER HPs'!$I$69:$I$84,0)),0)</f>
        <v>0</v>
      </c>
      <c r="K234" s="626">
        <f t="shared" si="216"/>
        <v>0</v>
      </c>
      <c r="L234" s="626">
        <f t="shared" si="217"/>
        <v>0</v>
      </c>
      <c r="M234" s="626">
        <f t="shared" si="218"/>
        <v>0</v>
      </c>
      <c r="N234" s="625">
        <f t="array" ref="N234">IFERROR(INDEX('TB-EQUIPMENT &amp; OTHER HPs'!$P$69:$P$84,MATCH($E234&amp;$F234,'TB-EQUIPMENT &amp; OTHER HPs'!$E$69:$E$84&amp;'TB-EQUIPMENT &amp; OTHER HPs'!$I$69:$I$84,0)),0)</f>
        <v>0</v>
      </c>
      <c r="O234" s="626">
        <f t="shared" si="219"/>
        <v>0</v>
      </c>
      <c r="P234" s="626">
        <f t="shared" si="220"/>
        <v>0</v>
      </c>
      <c r="Q234" s="626">
        <f t="shared" si="221"/>
        <v>0</v>
      </c>
      <c r="R234" s="625">
        <f t="array" ref="R234">IFERROR(INDEX('TB-EQUIPMENT &amp; OTHER HPs'!$Q$69:$Q$84,MATCH($E234&amp;$F234,'TB-EQUIPMENT &amp; OTHER HPs'!$E$69:$E$84&amp;'TB-EQUIPMENT &amp; OTHER HPs'!$I$69:$I$84,0)),0)</f>
        <v>0</v>
      </c>
      <c r="S234" s="626">
        <f t="shared" si="222"/>
        <v>0</v>
      </c>
      <c r="T234" s="626">
        <f t="shared" si="223"/>
        <v>0</v>
      </c>
      <c r="U234" s="626">
        <f t="shared" si="224"/>
        <v>0</v>
      </c>
      <c r="V234" s="625">
        <f t="array" ref="V234">IFERROR(INDEX('TB-EQUIPMENT &amp; OTHER HPs'!$R$69:$R$84,MATCH($E234&amp;$F234,'TB-EQUIPMENT &amp; OTHER HPs'!$E$69:$E$84&amp;'TB-EQUIPMENT &amp; OTHER HPs'!$I$69:$I$84,0)),0)</f>
        <v>0</v>
      </c>
      <c r="W234" s="626">
        <f t="shared" si="225"/>
        <v>0</v>
      </c>
      <c r="X234" s="626">
        <f t="shared" si="226"/>
        <v>0</v>
      </c>
      <c r="Y234" s="626">
        <f t="shared" si="227"/>
        <v>0</v>
      </c>
      <c r="Z234" s="630"/>
      <c r="AA234" s="625">
        <f t="array" ref="AA234">IFERROR(INDEX('TB-EQUIPMENT &amp; OTHER HPs'!$U$69:$U$84,MATCH($E234&amp;$F234,'TB-EQUIPMENT &amp; OTHER HPs'!$E$69:$E$84&amp;'TB-EQUIPMENT &amp; OTHER HPs'!$I$69:$I$84,0)),0)</f>
        <v>0</v>
      </c>
      <c r="AB234" s="625">
        <f t="array" ref="AB234">IFERROR(INDEX('TB-EQUIPMENT &amp; OTHER HPs'!$V$69:$V$84,MATCH($E234&amp;$F234,'TB-EQUIPMENT &amp; OTHER HPs'!$E$69:$E$84&amp;'TB-EQUIPMENT &amp; OTHER HPs'!$I$69:$I$84,0)),0)</f>
        <v>0</v>
      </c>
      <c r="AC234" s="626">
        <f t="shared" si="228"/>
        <v>0</v>
      </c>
      <c r="AD234" s="626">
        <f t="shared" si="229"/>
        <v>0</v>
      </c>
      <c r="AE234" s="626">
        <f t="shared" si="230"/>
        <v>0</v>
      </c>
      <c r="AF234" s="625">
        <f t="array" ref="AF234">IFERROR(INDEX('TB-EQUIPMENT &amp; OTHER HPs'!$W$69:$W$84,MATCH($E234&amp;$F234,'TB-EQUIPMENT &amp; OTHER HPs'!$E$69:$E$84&amp;'TB-EQUIPMENT &amp; OTHER HPs'!$I$69:$I$84,0)),0)</f>
        <v>0</v>
      </c>
      <c r="AG234" s="626">
        <f t="shared" si="231"/>
        <v>0</v>
      </c>
      <c r="AH234" s="626">
        <f t="shared" si="232"/>
        <v>0</v>
      </c>
      <c r="AI234" s="626">
        <f t="shared" si="233"/>
        <v>0</v>
      </c>
      <c r="AJ234" s="625">
        <f t="array" ref="AJ234">IFERROR(INDEX('TB-EQUIPMENT &amp; OTHER HPs'!$X$69:$X$84,MATCH($E234&amp;$F234,'TB-EQUIPMENT &amp; OTHER HPs'!$E$69:$E$84&amp;'TB-EQUIPMENT &amp; OTHER HPs'!$I$69:$I$84,0)),0)</f>
        <v>0</v>
      </c>
      <c r="AK234" s="626">
        <f t="shared" si="234"/>
        <v>0</v>
      </c>
      <c r="AL234" s="626">
        <f t="shared" si="235"/>
        <v>0</v>
      </c>
      <c r="AM234" s="626">
        <f t="shared" si="236"/>
        <v>0</v>
      </c>
      <c r="AN234" s="625">
        <f t="array" ref="AN234">IFERROR(INDEX('TB-EQUIPMENT &amp; OTHER HPs'!$Y$69:$Y$84,MATCH($E234&amp;$F234,'TB-EQUIPMENT &amp; OTHER HPs'!$E$69:$E$84&amp;'TB-EQUIPMENT &amp; OTHER HPs'!$I$69:$I$84,0)),0)</f>
        <v>0</v>
      </c>
      <c r="AO234" s="626">
        <f t="shared" si="237"/>
        <v>0</v>
      </c>
      <c r="AP234" s="626">
        <f t="shared" si="238"/>
        <v>0</v>
      </c>
      <c r="AQ234" s="626">
        <f t="shared" si="239"/>
        <v>0</v>
      </c>
      <c r="AR234" s="630"/>
      <c r="AS234" s="625">
        <f t="array" ref="AS234">IFERROR(INDEX('TB-EQUIPMENT &amp; OTHER HPs'!$AB$69:$AB$84,MATCH($E234&amp;$F234,'TB-EQUIPMENT &amp; OTHER HPs'!$E$69:$E$84&amp;'TB-EQUIPMENT &amp; OTHER HPs'!$I$69:$I$84,0)),0)</f>
        <v>0</v>
      </c>
      <c r="AT234" s="625">
        <f t="array" ref="AT234">IFERROR(INDEX('TB-EQUIPMENT &amp; OTHER HPs'!$AC$69:$AC$84,MATCH($E234&amp;$F234,'TB-EQUIPMENT &amp; OTHER HPs'!$E$69:$E$84&amp;'TB-EQUIPMENT &amp; OTHER HPs'!$I$69:$I$84,0)),0)</f>
        <v>0</v>
      </c>
      <c r="AU234" s="626">
        <f t="shared" si="240"/>
        <v>0</v>
      </c>
      <c r="AV234" s="626">
        <f t="shared" si="241"/>
        <v>0</v>
      </c>
      <c r="AW234" s="626">
        <f t="shared" si="242"/>
        <v>0</v>
      </c>
      <c r="AX234" s="625">
        <f t="array" ref="AX234">IFERROR(INDEX('TB-EQUIPMENT &amp; OTHER HPs'!$AD$69:$AD$84,MATCH($E234&amp;$F234,'TB-EQUIPMENT &amp; OTHER HPs'!$E$69:$E$84&amp;'TB-EQUIPMENT &amp; OTHER HPs'!$I$69:$I$84,0)),0)</f>
        <v>0</v>
      </c>
      <c r="AY234" s="626">
        <f t="shared" si="243"/>
        <v>0</v>
      </c>
      <c r="AZ234" s="626">
        <f t="shared" si="244"/>
        <v>0</v>
      </c>
      <c r="BA234" s="626">
        <f t="shared" si="245"/>
        <v>0</v>
      </c>
      <c r="BB234" s="625">
        <f t="array" ref="BB234">IFERROR(INDEX('TB-EQUIPMENT &amp; OTHER HPs'!$AE$69:$AE$84,MATCH($E234&amp;$F234,'TB-EQUIPMENT &amp; OTHER HPs'!$E$69:$E$84&amp;'TB-EQUIPMENT &amp; OTHER HPs'!$I$69:$I$84,0)),0)</f>
        <v>0</v>
      </c>
      <c r="BC234" s="626">
        <f t="shared" si="246"/>
        <v>0</v>
      </c>
      <c r="BD234" s="626">
        <f t="shared" si="247"/>
        <v>0</v>
      </c>
      <c r="BE234" s="626">
        <f t="shared" si="248"/>
        <v>0</v>
      </c>
      <c r="BF234" s="625">
        <f t="array" ref="BF234">IFERROR(INDEX('TB-EQUIPMENT &amp; OTHER HPs'!$AF$69:$AF$84,MATCH($E234&amp;$F234,'TB-EQUIPMENT &amp; OTHER HPs'!$E$69:$E$84&amp;'TB-EQUIPMENT &amp; OTHER HPs'!$I$69:$I$84,0)),0)</f>
        <v>0</v>
      </c>
      <c r="BG234" s="626">
        <f t="shared" si="249"/>
        <v>0</v>
      </c>
      <c r="BH234" s="626">
        <f t="shared" si="250"/>
        <v>0</v>
      </c>
      <c r="BI234" s="626">
        <f t="shared" si="251"/>
        <v>0</v>
      </c>
      <c r="BJ234" s="630"/>
      <c r="BK234" s="625"/>
      <c r="BL234" s="625"/>
      <c r="BM234" s="625"/>
      <c r="BN234" s="625"/>
      <c r="BO234" s="625"/>
      <c r="BP234" s="625"/>
      <c r="BQ234" s="625"/>
      <c r="BR234" s="625"/>
    </row>
    <row r="235" spans="1:70">
      <c r="A235" s="29"/>
      <c r="B235" s="29"/>
      <c r="C235" s="619"/>
      <c r="D235" s="25"/>
      <c r="E235" s="26"/>
      <c r="F235" s="26"/>
      <c r="G235" s="625"/>
      <c r="H235" s="625"/>
      <c r="I235" s="625"/>
      <c r="J235" s="625"/>
      <c r="K235" s="626"/>
      <c r="L235" s="626"/>
      <c r="M235" s="626"/>
      <c r="N235" s="625"/>
      <c r="O235" s="626"/>
      <c r="P235" s="626"/>
      <c r="Q235" s="626"/>
      <c r="R235" s="625"/>
      <c r="S235" s="626"/>
      <c r="T235" s="626"/>
      <c r="U235" s="626"/>
      <c r="V235" s="625"/>
      <c r="W235" s="626"/>
      <c r="X235" s="626"/>
      <c r="Y235" s="626"/>
      <c r="Z235" s="630"/>
      <c r="AA235" s="625"/>
      <c r="AB235" s="625"/>
      <c r="AC235" s="625"/>
      <c r="AD235" s="626"/>
      <c r="AE235" s="626"/>
      <c r="AF235" s="625"/>
      <c r="AG235" s="625"/>
      <c r="AH235" s="626"/>
      <c r="AI235" s="626"/>
      <c r="AJ235" s="625"/>
      <c r="AK235" s="625"/>
      <c r="AL235" s="626"/>
      <c r="AM235" s="626"/>
      <c r="AN235" s="625"/>
      <c r="AO235" s="625"/>
      <c r="AP235" s="626"/>
      <c r="AQ235" s="626"/>
      <c r="AR235" s="630"/>
      <c r="AS235" s="625"/>
      <c r="AT235" s="625"/>
      <c r="AU235" s="625"/>
      <c r="AV235" s="626"/>
      <c r="AW235" s="626"/>
      <c r="AX235" s="625"/>
      <c r="AY235" s="625"/>
      <c r="AZ235" s="626"/>
      <c r="BA235" s="626"/>
      <c r="BB235" s="625"/>
      <c r="BC235" s="625"/>
      <c r="BD235" s="626"/>
      <c r="BE235" s="626"/>
      <c r="BF235" s="625"/>
      <c r="BG235" s="625"/>
      <c r="BH235" s="626"/>
      <c r="BI235" s="626"/>
      <c r="BJ235" s="630"/>
      <c r="BK235" s="625"/>
      <c r="BL235" s="625"/>
      <c r="BM235" s="625"/>
      <c r="BN235" s="625"/>
      <c r="BO235" s="625"/>
      <c r="BP235" s="625"/>
      <c r="BQ235" s="625"/>
      <c r="BR235" s="625"/>
    </row>
    <row r="236" spans="1:70">
      <c r="A236" s="2566" t="s">
        <v>1837</v>
      </c>
      <c r="B236" s="2566"/>
      <c r="C236" s="2566"/>
      <c r="D236" s="2566"/>
      <c r="E236" s="2566"/>
      <c r="F236" s="2566"/>
      <c r="G236" s="628"/>
      <c r="H236" s="628"/>
      <c r="I236" s="628"/>
      <c r="J236" s="628"/>
      <c r="K236" s="628"/>
      <c r="L236" s="628"/>
      <c r="M236" s="628"/>
      <c r="N236" s="628"/>
      <c r="O236" s="628"/>
      <c r="P236" s="628"/>
      <c r="Q236" s="628"/>
      <c r="R236" s="628"/>
      <c r="S236" s="628"/>
      <c r="T236" s="628"/>
      <c r="U236" s="628"/>
      <c r="V236" s="628"/>
      <c r="W236" s="628"/>
      <c r="X236" s="628"/>
      <c r="Y236" s="628"/>
      <c r="Z236" s="628"/>
      <c r="AA236" s="628"/>
      <c r="AB236" s="628"/>
      <c r="AC236" s="628"/>
      <c r="AD236" s="628"/>
      <c r="AE236" s="628"/>
      <c r="AF236" s="628"/>
      <c r="AG236" s="628"/>
      <c r="AH236" s="628"/>
      <c r="AI236" s="628"/>
      <c r="AJ236" s="628"/>
      <c r="AK236" s="628"/>
      <c r="AL236" s="628"/>
      <c r="AM236" s="628"/>
      <c r="AN236" s="628"/>
      <c r="AO236" s="628"/>
      <c r="AP236" s="628"/>
      <c r="AQ236" s="628"/>
      <c r="AR236" s="628"/>
      <c r="AS236" s="628"/>
      <c r="AT236" s="628"/>
      <c r="AU236" s="628"/>
      <c r="AV236" s="628"/>
      <c r="AW236" s="628"/>
      <c r="AX236" s="628"/>
      <c r="AY236" s="628"/>
      <c r="AZ236" s="628"/>
      <c r="BA236" s="628"/>
      <c r="BB236" s="628"/>
      <c r="BC236" s="628"/>
      <c r="BD236" s="628"/>
      <c r="BE236" s="628"/>
      <c r="BF236" s="628"/>
      <c r="BG236" s="628"/>
      <c r="BH236" s="628"/>
      <c r="BI236" s="628"/>
      <c r="BJ236" s="628"/>
      <c r="BK236" s="628"/>
      <c r="BL236" s="628"/>
      <c r="BM236" s="628"/>
      <c r="BN236" s="628"/>
      <c r="BO236" s="628"/>
      <c r="BP236" s="628"/>
      <c r="BQ236" s="628"/>
      <c r="BR236" s="628"/>
    </row>
    <row r="237" spans="1:70">
      <c r="A237" s="24" t="s">
        <v>1545</v>
      </c>
      <c r="B237" s="24" t="s">
        <v>203</v>
      </c>
      <c r="C237" s="722" t="s">
        <v>459</v>
      </c>
      <c r="D237" s="24" t="s">
        <v>460</v>
      </c>
      <c r="E237" s="24" t="s">
        <v>461</v>
      </c>
      <c r="F237" s="24" t="s">
        <v>214</v>
      </c>
      <c r="G237" s="672" t="s">
        <v>462</v>
      </c>
      <c r="H237" s="672" t="s">
        <v>49</v>
      </c>
      <c r="I237" s="672" t="s">
        <v>463</v>
      </c>
      <c r="J237" s="672" t="s">
        <v>464</v>
      </c>
      <c r="K237" s="672" t="s">
        <v>465</v>
      </c>
      <c r="L237" s="723" t="s">
        <v>466</v>
      </c>
      <c r="M237" s="723" t="s">
        <v>467</v>
      </c>
      <c r="N237" s="672" t="s">
        <v>468</v>
      </c>
      <c r="O237" s="672" t="s">
        <v>469</v>
      </c>
      <c r="P237" s="723" t="s">
        <v>470</v>
      </c>
      <c r="Q237" s="723" t="s">
        <v>471</v>
      </c>
      <c r="R237" s="672" t="s">
        <v>472</v>
      </c>
      <c r="S237" s="672" t="s">
        <v>473</v>
      </c>
      <c r="T237" s="723" t="s">
        <v>474</v>
      </c>
      <c r="U237" s="723" t="s">
        <v>475</v>
      </c>
      <c r="V237" s="672" t="s">
        <v>476</v>
      </c>
      <c r="W237" s="672" t="s">
        <v>477</v>
      </c>
      <c r="X237" s="723" t="s">
        <v>478</v>
      </c>
      <c r="Y237" s="723" t="s">
        <v>479</v>
      </c>
      <c r="Z237" s="632"/>
      <c r="AA237" s="672" t="s">
        <v>480</v>
      </c>
      <c r="AB237" s="672" t="s">
        <v>481</v>
      </c>
      <c r="AC237" s="672" t="s">
        <v>482</v>
      </c>
      <c r="AD237" s="723" t="s">
        <v>483</v>
      </c>
      <c r="AE237" s="723" t="s">
        <v>484</v>
      </c>
      <c r="AF237" s="672" t="s">
        <v>485</v>
      </c>
      <c r="AG237" s="672" t="s">
        <v>486</v>
      </c>
      <c r="AH237" s="723" t="s">
        <v>487</v>
      </c>
      <c r="AI237" s="723" t="s">
        <v>488</v>
      </c>
      <c r="AJ237" s="672" t="s">
        <v>489</v>
      </c>
      <c r="AK237" s="672" t="s">
        <v>490</v>
      </c>
      <c r="AL237" s="723" t="s">
        <v>491</v>
      </c>
      <c r="AM237" s="723" t="s">
        <v>492</v>
      </c>
      <c r="AN237" s="672" t="s">
        <v>493</v>
      </c>
      <c r="AO237" s="672" t="s">
        <v>494</v>
      </c>
      <c r="AP237" s="723" t="s">
        <v>495</v>
      </c>
      <c r="AQ237" s="723" t="s">
        <v>496</v>
      </c>
      <c r="AR237" s="632"/>
      <c r="AS237" s="672" t="s">
        <v>497</v>
      </c>
      <c r="AT237" s="672" t="s">
        <v>498</v>
      </c>
      <c r="AU237" s="672" t="s">
        <v>499</v>
      </c>
      <c r="AV237" s="723" t="s">
        <v>500</v>
      </c>
      <c r="AW237" s="723" t="s">
        <v>501</v>
      </c>
      <c r="AX237" s="672" t="s">
        <v>502</v>
      </c>
      <c r="AY237" s="672" t="s">
        <v>503</v>
      </c>
      <c r="AZ237" s="723" t="s">
        <v>504</v>
      </c>
      <c r="BA237" s="723" t="s">
        <v>505</v>
      </c>
      <c r="BB237" s="672" t="s">
        <v>506</v>
      </c>
      <c r="BC237" s="672" t="s">
        <v>507</v>
      </c>
      <c r="BD237" s="723" t="s">
        <v>508</v>
      </c>
      <c r="BE237" s="723" t="s">
        <v>509</v>
      </c>
      <c r="BF237" s="672" t="s">
        <v>510</v>
      </c>
      <c r="BG237" s="672" t="s">
        <v>511</v>
      </c>
      <c r="BH237" s="723" t="s">
        <v>512</v>
      </c>
      <c r="BI237" s="723" t="s">
        <v>513</v>
      </c>
      <c r="BJ237" s="632"/>
      <c r="BK237" s="723" t="s">
        <v>514</v>
      </c>
      <c r="BL237" s="723" t="s">
        <v>515</v>
      </c>
      <c r="BM237" s="723" t="s">
        <v>516</v>
      </c>
      <c r="BN237" s="723" t="s">
        <v>517</v>
      </c>
      <c r="BO237" s="723" t="s">
        <v>518</v>
      </c>
      <c r="BP237" s="723" t="s">
        <v>519</v>
      </c>
      <c r="BQ237" s="723" t="s">
        <v>520</v>
      </c>
      <c r="BR237" s="723" t="s">
        <v>521</v>
      </c>
    </row>
    <row r="238" spans="1:70">
      <c r="A238" s="29" t="s">
        <v>1754</v>
      </c>
      <c r="B238" s="29" t="s">
        <v>1837</v>
      </c>
      <c r="C238" s="619">
        <f>SETUP!$F$43</f>
        <v>0</v>
      </c>
      <c r="D238" s="25">
        <v>5.4</v>
      </c>
      <c r="E238" s="26" t="s">
        <v>1471</v>
      </c>
      <c r="F238" s="26" t="s">
        <v>1140</v>
      </c>
      <c r="G238" s="625" t="str">
        <f t="array" ref="G238">IFERROR(INDEX('TB-EQUIPMENT &amp; OTHER HPs'!$L$91:$L$130,MATCH($E238&amp;$F238,'TB-EQUIPMENT &amp; OTHER HPs'!$E$91:$E$130&amp;'TB-EQUIPMENT &amp; OTHER HPs'!$I$91:$I$130,0)),"")</f>
        <v/>
      </c>
      <c r="H238" s="625" t="str">
        <f t="array" ref="H238">IFERROR(INDEX('TB-EQUIPMENT &amp; OTHER HPs'!$M$91:$M$130,MATCH($E238&amp;$F238,'TB-EQUIPMENT &amp; OTHER HPs'!$E$91:$E$130&amp;'TB-EQUIPMENT &amp; OTHER HPs'!$I$91:$I$130,0)),"")</f>
        <v/>
      </c>
      <c r="I238" s="625">
        <f t="array" ref="I238">IFERROR(INDEX('TB-EQUIPMENT &amp; OTHER HPs'!$N$91:$N$130,MATCH($E238&amp;$F238,'TB-EQUIPMENT &amp; OTHER HPs'!$E$91:$E$130&amp;'TB-EQUIPMENT &amp; OTHER HPs'!$I$91:$I$130,0)),0)</f>
        <v>0</v>
      </c>
      <c r="J238" s="625">
        <f t="array" ref="J238">IFERROR(INDEX('TB-EQUIPMENT &amp; OTHER HPs'!$O$91:$O$130,MATCH($E238&amp;$F238,'TB-EQUIPMENT &amp; OTHER HPs'!$E$91:$E$130&amp;'TB-EQUIPMENT &amp; OTHER HPs'!$I$91:$I$130,0)),0)</f>
        <v>0</v>
      </c>
      <c r="K238" s="626">
        <f>IF(ISERROR($I238*J238),0,$I238*J238)</f>
        <v>0</v>
      </c>
      <c r="L238" s="626">
        <f>IF(C238="Upfront",J238,0)</f>
        <v>0</v>
      </c>
      <c r="M238" s="626">
        <f>IF(C238="Upfront",K238,0)</f>
        <v>0</v>
      </c>
      <c r="N238" s="625">
        <f t="array" ref="N238">IFERROR(INDEX('TB-EQUIPMENT &amp; OTHER HPs'!$P$91:$P$130,MATCH($E238&amp;$F238,'TB-EQUIPMENT &amp; OTHER HPs'!$E$91:$E$130&amp;'TB-EQUIPMENT &amp; OTHER HPs'!$I$91:$I$130,0)),0)</f>
        <v>0</v>
      </c>
      <c r="O238" s="626">
        <f>IF(ISERROR($I238*N238),0,$I238*N238)</f>
        <v>0</v>
      </c>
      <c r="P238" s="626">
        <f>IF(C238="Upfront",N238,0)</f>
        <v>0</v>
      </c>
      <c r="Q238" s="626">
        <f>IF(C238="Upfront",O238,0)</f>
        <v>0</v>
      </c>
      <c r="R238" s="625">
        <f t="array" ref="R238">IFERROR(INDEX('TB-EQUIPMENT &amp; OTHER HPs'!$Q$91:$Q$130,MATCH($E238&amp;$F238,'TB-EQUIPMENT &amp; OTHER HPs'!$E$91:$E$130&amp;'TB-EQUIPMENT &amp; OTHER HPs'!$I$91:$I$130,0)),0)</f>
        <v>0</v>
      </c>
      <c r="S238" s="626">
        <f>IF(ISERROR($I238*R238),0,$I238*R238)</f>
        <v>0</v>
      </c>
      <c r="T238" s="626">
        <f>IF(C238="Upfront",R238,IF(C238="At delivery",J238,0))</f>
        <v>0</v>
      </c>
      <c r="U238" s="626">
        <f>IF(C238="Upfront",S238,IF(C238="At delivery",K238,0))</f>
        <v>0</v>
      </c>
      <c r="V238" s="625">
        <f t="array" ref="V238">IFERROR(INDEX('TB-EQUIPMENT &amp; OTHER HPs'!$R$91:$R$130,MATCH($E238&amp;$F238,'TB-EQUIPMENT &amp; OTHER HPs'!$E$91:$E$130&amp;'TB-EQUIPMENT &amp; OTHER HPs'!$I$91:$I$130,0)),0)</f>
        <v>0</v>
      </c>
      <c r="W238" s="626">
        <f>IF(ISERROR($I238*V238),0,$I238*V238)</f>
        <v>0</v>
      </c>
      <c r="X238" s="626">
        <f>IF(C238="Upfront",V238,IF(C238="At delivery",N238,0))</f>
        <v>0</v>
      </c>
      <c r="Y238" s="626">
        <f>IF(C238="Upfront",W238,IF(C238="At delivery",O238,0))</f>
        <v>0</v>
      </c>
      <c r="Z238" s="630"/>
      <c r="AA238" s="625">
        <f t="array" ref="AA238">IFERROR(INDEX('TB-EQUIPMENT &amp; OTHER HPs'!$U$91:$U$130,MATCH($E238&amp;$F238,'TB-EQUIPMENT &amp; OTHER HPs'!$E$91:$E$130&amp;'TB-EQUIPMENT &amp; OTHER HPs'!$I$91:$I$130,0)),0)</f>
        <v>0</v>
      </c>
      <c r="AB238" s="625">
        <f t="array" ref="AB238">IFERROR(INDEX('TB-EQUIPMENT &amp; OTHER HPs'!$V$91:$V$130,MATCH($E238&amp;$F238,'TB-EQUIPMENT &amp; OTHER HPs'!$E$91:$E$130&amp;'TB-EQUIPMENT &amp; OTHER HPs'!$I$91:$I$130,0)),0)</f>
        <v>0</v>
      </c>
      <c r="AC238" s="626">
        <f>IF(ISERROR($AA238*AB238),0,$AA238*AB238)</f>
        <v>0</v>
      </c>
      <c r="AD238" s="626">
        <f>IF(C238="Upfront",AB238,IF(C238="At delivery",R238,0))</f>
        <v>0</v>
      </c>
      <c r="AE238" s="626">
        <f>IF(C238="Upfront",AC238,IF(C238="At delivery",S238,0))</f>
        <v>0</v>
      </c>
      <c r="AF238" s="625">
        <f t="array" ref="AF238">IFERROR(INDEX('TB-EQUIPMENT &amp; OTHER HPs'!$W$91:$W$130,MATCH($E238&amp;$F238,'TB-EQUIPMENT &amp; OTHER HPs'!$E$91:$E$130&amp;'TB-EQUIPMENT &amp; OTHER HPs'!$I$91:$I$130,0)),0)</f>
        <v>0</v>
      </c>
      <c r="AG238" s="626">
        <f>IF(ISERROR($AA238*AF238),0,$AA238*AF238)</f>
        <v>0</v>
      </c>
      <c r="AH238" s="626">
        <f>IF(C238="Upfront",AF238,IF(C238="At delivery",V238,0))</f>
        <v>0</v>
      </c>
      <c r="AI238" s="626">
        <f>IF(C238="Upfront",AG238,IF(C238="At delivery",W238,0))</f>
        <v>0</v>
      </c>
      <c r="AJ238" s="625">
        <f t="array" ref="AJ238">IFERROR(INDEX('TB-EQUIPMENT &amp; OTHER HPs'!$X$91:$X$130,MATCH($E238&amp;$F238,'TB-EQUIPMENT &amp; OTHER HPs'!$E$91:$E$130&amp;'TB-EQUIPMENT &amp; OTHER HPs'!$I$91:$I$130,0)),0)</f>
        <v>0</v>
      </c>
      <c r="AK238" s="626">
        <f>IF(ISERROR($AA238*AJ238),0,$AA238*AJ238)</f>
        <v>0</v>
      </c>
      <c r="AL238" s="626">
        <f>IF(C238="Upfront",AJ238,IF(C238="At delivery",AB238,0))</f>
        <v>0</v>
      </c>
      <c r="AM238" s="626">
        <f>IF(C238="Upfront",AK238,IF(C238="At delivery",AC238,0))</f>
        <v>0</v>
      </c>
      <c r="AN238" s="625">
        <f t="array" ref="AN238">IFERROR(INDEX('TB-EQUIPMENT &amp; OTHER HPs'!$Y$91:$Y$130,MATCH($E238&amp;$F238,'TB-EQUIPMENT &amp; OTHER HPs'!$E$91:$E$130&amp;'TB-EQUIPMENT &amp; OTHER HPs'!$I$91:$I$130,0)),0)</f>
        <v>0</v>
      </c>
      <c r="AO238" s="626">
        <f>IF(ISERROR($AA238*AN238),0,$AA238*AN238)</f>
        <v>0</v>
      </c>
      <c r="AP238" s="626">
        <f>IF(C238="Upfront",AN238,IF(C238="At delivery",AF238,0))</f>
        <v>0</v>
      </c>
      <c r="AQ238" s="626">
        <f>IF(C238="Upfront",AO238,IF(C238="At delivery",AG238,0))</f>
        <v>0</v>
      </c>
      <c r="AR238" s="630"/>
      <c r="AS238" s="625">
        <f t="array" ref="AS238">IFERROR(INDEX('TB-EQUIPMENT &amp; OTHER HPs'!$AB$91:$AB$130,MATCH($E238&amp;$F238,'TB-EQUIPMENT &amp; OTHER HPs'!$E$91:$E$130&amp;'TB-EQUIPMENT &amp; OTHER HPs'!$I$91:$I$130,0)),0)</f>
        <v>0</v>
      </c>
      <c r="AT238" s="625">
        <f t="array" ref="AT238">IFERROR(INDEX('TB-EQUIPMENT &amp; OTHER HPs'!$AC$91:$AC$130,MATCH($E238&amp;$F238,'TB-EQUIPMENT &amp; OTHER HPs'!$E$91:$E$130&amp;'TB-EQUIPMENT &amp; OTHER HPs'!$I$91:$I$130,0)),0)</f>
        <v>0</v>
      </c>
      <c r="AU238" s="626">
        <f>IF(ISERROR($AS238*AT238),0,$AS238*AT238)</f>
        <v>0</v>
      </c>
      <c r="AV238" s="626">
        <f>IF(C238="Upfront",AT238,IF(C238="At delivery",AJ238,0))</f>
        <v>0</v>
      </c>
      <c r="AW238" s="626">
        <f>IF(C238="Upfront",AU238,IF(C238="At delivery",AK238,0))</f>
        <v>0</v>
      </c>
      <c r="AX238" s="625">
        <f t="array" ref="AX238">IFERROR(INDEX('TB-EQUIPMENT &amp; OTHER HPs'!$AD$91:$AD$130,MATCH($E238&amp;$F238,'TB-EQUIPMENT &amp; OTHER HPs'!$E$91:$E$130&amp;'TB-EQUIPMENT &amp; OTHER HPs'!$I$91:$I$130,0)),0)</f>
        <v>0</v>
      </c>
      <c r="AY238" s="626">
        <f>IF(ISERROR($AS238*AX238),0,$AS238*AX238)</f>
        <v>0</v>
      </c>
      <c r="AZ238" s="626">
        <f>IF(C238="Upfront",AX238,IF(C238="At delivery",AN238,0))</f>
        <v>0</v>
      </c>
      <c r="BA238" s="626">
        <f>IF(C238="Upfront",AY238,IF(C238="At delivery",AO238,0))</f>
        <v>0</v>
      </c>
      <c r="BB238" s="625">
        <f t="array" ref="BB238">IFERROR(INDEX('TB-EQUIPMENT &amp; OTHER HPs'!$AE$91:$AE$130,MATCH($E238&amp;$F238,'TB-EQUIPMENT &amp; OTHER HPs'!$E$91:$E$130&amp;'TB-EQUIPMENT &amp; OTHER HPs'!$I$91:$I$130,0)),0)</f>
        <v>0</v>
      </c>
      <c r="BC238" s="626">
        <f>IF(ISERROR($AS238*BB238),0,$AS238*BB238)</f>
        <v>0</v>
      </c>
      <c r="BD238" s="626">
        <f>IF(C238="Upfront",BB238,IF(C238="At delivery",AT238,0))</f>
        <v>0</v>
      </c>
      <c r="BE238" s="626">
        <f>IF(C238="Upfront",BC238,IF(C238="At delivery",AU238,0))</f>
        <v>0</v>
      </c>
      <c r="BF238" s="625">
        <f t="array" ref="BF238">IFERROR(INDEX('TB-EQUIPMENT &amp; OTHER HPs'!$AF$91:$AF$130,MATCH($E238&amp;$F238,'TB-EQUIPMENT &amp; OTHER HPs'!$E$91:$E$130&amp;'TB-EQUIPMENT &amp; OTHER HPs'!$I$91:$I$130,0)),0)</f>
        <v>0</v>
      </c>
      <c r="BG238" s="626">
        <f>IF(ISERROR($AS238*BF238),0,$AS238*BF238)</f>
        <v>0</v>
      </c>
      <c r="BH238" s="626">
        <f>IF(C238="Upfront",BF238,IF(C238="At delivery",AX238,0))</f>
        <v>0</v>
      </c>
      <c r="BI238" s="626">
        <f>IF(C238="Upfront",BG238,IF(C238="At delivery",AY238,0))</f>
        <v>0</v>
      </c>
      <c r="BJ238" s="630"/>
      <c r="BK238" s="625"/>
      <c r="BL238" s="625"/>
      <c r="BM238" s="625"/>
      <c r="BN238" s="625"/>
      <c r="BO238" s="625"/>
      <c r="BP238" s="625"/>
      <c r="BQ238" s="625"/>
      <c r="BR238" s="625"/>
    </row>
    <row r="239" spans="1:70">
      <c r="A239" s="29" t="s">
        <v>1754</v>
      </c>
      <c r="B239" s="29" t="s">
        <v>1837</v>
      </c>
      <c r="C239" s="619">
        <f>SETUP!$F$43</f>
        <v>0</v>
      </c>
      <c r="D239" s="25">
        <v>5.4</v>
      </c>
      <c r="E239" s="26" t="s">
        <v>1472</v>
      </c>
      <c r="F239" s="26" t="s">
        <v>1140</v>
      </c>
      <c r="G239" s="625" t="str">
        <f t="array" ref="G239">IFERROR(INDEX('TB-EQUIPMENT &amp; OTHER HPs'!$L$91:$L$130,MATCH($E239&amp;$F239,'TB-EQUIPMENT &amp; OTHER HPs'!$E$91:$E$130&amp;'TB-EQUIPMENT &amp; OTHER HPs'!$I$91:$I$130,0)),"")</f>
        <v/>
      </c>
      <c r="H239" s="625" t="str">
        <f t="array" ref="H239">IFERROR(INDEX('TB-EQUIPMENT &amp; OTHER HPs'!$M$91:$M$130,MATCH($E239&amp;$F239,'TB-EQUIPMENT &amp; OTHER HPs'!$E$91:$E$130&amp;'TB-EQUIPMENT &amp; OTHER HPs'!$I$91:$I$130,0)),"")</f>
        <v/>
      </c>
      <c r="I239" s="625">
        <f t="array" ref="I239">IFERROR(INDEX('TB-EQUIPMENT &amp; OTHER HPs'!$N$91:$N$130,MATCH($E239&amp;$F239,'TB-EQUIPMENT &amp; OTHER HPs'!$E$91:$E$130&amp;'TB-EQUIPMENT &amp; OTHER HPs'!$I$91:$I$130,0)),0)</f>
        <v>0</v>
      </c>
      <c r="J239" s="625">
        <f t="array" ref="J239">IFERROR(INDEX('TB-EQUIPMENT &amp; OTHER HPs'!$O$91:$O$130,MATCH($E239&amp;$F239,'TB-EQUIPMENT &amp; OTHER HPs'!$E$91:$E$130&amp;'TB-EQUIPMENT &amp; OTHER HPs'!$I$91:$I$130,0)),0)</f>
        <v>0</v>
      </c>
      <c r="K239" s="626">
        <f t="shared" ref="K239:K266" si="288">IF(ISERROR($I239*J239),0,$I239*J239)</f>
        <v>0</v>
      </c>
      <c r="L239" s="626">
        <f t="shared" ref="L239:L266" si="289">IF(C239="Upfront",J239,0)</f>
        <v>0</v>
      </c>
      <c r="M239" s="626">
        <f t="shared" ref="M239:M266" si="290">IF(C239="Upfront",K239,0)</f>
        <v>0</v>
      </c>
      <c r="N239" s="625">
        <f t="array" ref="N239">IFERROR(INDEX('TB-EQUIPMENT &amp; OTHER HPs'!$P$91:$P$130,MATCH($E239&amp;$F239,'TB-EQUIPMENT &amp; OTHER HPs'!$E$91:$E$130&amp;'TB-EQUIPMENT &amp; OTHER HPs'!$I$91:$I$130,0)),0)</f>
        <v>0</v>
      </c>
      <c r="O239" s="626">
        <f t="shared" ref="O239:O266" si="291">IF(ISERROR($I239*N239),0,$I239*N239)</f>
        <v>0</v>
      </c>
      <c r="P239" s="626">
        <f t="shared" ref="P239:P266" si="292">IF(C239="Upfront",N239,0)</f>
        <v>0</v>
      </c>
      <c r="Q239" s="626">
        <f t="shared" ref="Q239:Q266" si="293">IF(C239="Upfront",O239,0)</f>
        <v>0</v>
      </c>
      <c r="R239" s="625">
        <f t="array" ref="R239">IFERROR(INDEX('TB-EQUIPMENT &amp; OTHER HPs'!$Q$91:$Q$130,MATCH($E239&amp;$F239,'TB-EQUIPMENT &amp; OTHER HPs'!$E$91:$E$130&amp;'TB-EQUIPMENT &amp; OTHER HPs'!$I$91:$I$130,0)),0)</f>
        <v>0</v>
      </c>
      <c r="S239" s="626">
        <f t="shared" ref="S239:S266" si="294">IF(ISERROR($I239*R239),0,$I239*R239)</f>
        <v>0</v>
      </c>
      <c r="T239" s="626">
        <f t="shared" ref="T239:T266" si="295">IF(C239="Upfront",R239,IF(C239="At delivery",J239,0))</f>
        <v>0</v>
      </c>
      <c r="U239" s="626">
        <f t="shared" ref="U239:U266" si="296">IF(C239="Upfront",S239,IF(C239="At delivery",K239,0))</f>
        <v>0</v>
      </c>
      <c r="V239" s="625">
        <f t="array" ref="V239">IFERROR(INDEX('TB-EQUIPMENT &amp; OTHER HPs'!$R$91:$R$130,MATCH($E239&amp;$F239,'TB-EQUIPMENT &amp; OTHER HPs'!$E$91:$E$130&amp;'TB-EQUIPMENT &amp; OTHER HPs'!$I$91:$I$130,0)),0)</f>
        <v>0</v>
      </c>
      <c r="W239" s="626">
        <f t="shared" ref="W239:W266" si="297">IF(ISERROR($I239*V239),0,$I239*V239)</f>
        <v>0</v>
      </c>
      <c r="X239" s="626">
        <f t="shared" ref="X239:X266" si="298">IF(C239="Upfront",V239,IF(C239="At delivery",N239,0))</f>
        <v>0</v>
      </c>
      <c r="Y239" s="626">
        <f t="shared" ref="Y239:Y266" si="299">IF(C239="Upfront",W239,IF(C239="At delivery",O239,0))</f>
        <v>0</v>
      </c>
      <c r="Z239" s="630"/>
      <c r="AA239" s="625">
        <f t="array" ref="AA239">IFERROR(INDEX('TB-EQUIPMENT &amp; OTHER HPs'!$U$91:$U$130,MATCH($E239&amp;$F239,'TB-EQUIPMENT &amp; OTHER HPs'!$E$91:$E$130&amp;'TB-EQUIPMENT &amp; OTHER HPs'!$I$91:$I$130,0)),0)</f>
        <v>0</v>
      </c>
      <c r="AB239" s="625">
        <f t="array" ref="AB239">IFERROR(INDEX('TB-EQUIPMENT &amp; OTHER HPs'!$V$91:$V$130,MATCH($E239&amp;$F239,'TB-EQUIPMENT &amp; OTHER HPs'!$E$91:$E$130&amp;'TB-EQUIPMENT &amp; OTHER HPs'!$I$91:$I$130,0)),0)</f>
        <v>0</v>
      </c>
      <c r="AC239" s="626">
        <f t="shared" ref="AC239:AC266" si="300">IF(ISERROR($AA239*AB239),0,$AA239*AB239)</f>
        <v>0</v>
      </c>
      <c r="AD239" s="626">
        <f t="shared" ref="AD239:AD266" si="301">IF(C239="Upfront",AB239,IF(C239="At delivery",R239,0))</f>
        <v>0</v>
      </c>
      <c r="AE239" s="626">
        <f t="shared" ref="AE239:AE266" si="302">IF(C239="Upfront",AC239,IF(C239="At delivery",S239,0))</f>
        <v>0</v>
      </c>
      <c r="AF239" s="625">
        <f t="array" ref="AF239">IFERROR(INDEX('TB-EQUIPMENT &amp; OTHER HPs'!$W$91:$W$130,MATCH($E239&amp;$F239,'TB-EQUIPMENT &amp; OTHER HPs'!$E$91:$E$130&amp;'TB-EQUIPMENT &amp; OTHER HPs'!$I$91:$I$130,0)),0)</f>
        <v>0</v>
      </c>
      <c r="AG239" s="626">
        <f t="shared" ref="AG239:AG266" si="303">IF(ISERROR($AA239*AF239),0,$AA239*AF239)</f>
        <v>0</v>
      </c>
      <c r="AH239" s="626">
        <f t="shared" ref="AH239:AH266" si="304">IF(C239="Upfront",AF239,IF(C239="At delivery",V239,0))</f>
        <v>0</v>
      </c>
      <c r="AI239" s="626">
        <f t="shared" ref="AI239:AI266" si="305">IF(C239="Upfront",AG239,IF(C239="At delivery",W239,0))</f>
        <v>0</v>
      </c>
      <c r="AJ239" s="625">
        <f t="array" ref="AJ239">IFERROR(INDEX('TB-EQUIPMENT &amp; OTHER HPs'!$X$91:$X$130,MATCH($E239&amp;$F239,'TB-EQUIPMENT &amp; OTHER HPs'!$E$91:$E$130&amp;'TB-EQUIPMENT &amp; OTHER HPs'!$I$91:$I$130,0)),0)</f>
        <v>0</v>
      </c>
      <c r="AK239" s="626">
        <f t="shared" ref="AK239:AK266" si="306">IF(ISERROR($AA239*AJ239),0,$AA239*AJ239)</f>
        <v>0</v>
      </c>
      <c r="AL239" s="626">
        <f t="shared" ref="AL239:AL266" si="307">IF(C239="Upfront",AJ239,IF(C239="At delivery",AB239,0))</f>
        <v>0</v>
      </c>
      <c r="AM239" s="626">
        <f t="shared" ref="AM239:AM266" si="308">IF(C239="Upfront",AK239,IF(C239="At delivery",AC239,0))</f>
        <v>0</v>
      </c>
      <c r="AN239" s="625">
        <f t="array" ref="AN239">IFERROR(INDEX('TB-EQUIPMENT &amp; OTHER HPs'!$Y$91:$Y$130,MATCH($E239&amp;$F239,'TB-EQUIPMENT &amp; OTHER HPs'!$E$91:$E$130&amp;'TB-EQUIPMENT &amp; OTHER HPs'!$I$91:$I$130,0)),0)</f>
        <v>0</v>
      </c>
      <c r="AO239" s="626">
        <f t="shared" ref="AO239:AO266" si="309">IF(ISERROR($AA239*AN239),0,$AA239*AN239)</f>
        <v>0</v>
      </c>
      <c r="AP239" s="626">
        <f t="shared" ref="AP239:AP266" si="310">IF(C239="Upfront",AN239,IF(C239="At delivery",AF239,0))</f>
        <v>0</v>
      </c>
      <c r="AQ239" s="626">
        <f t="shared" ref="AQ239:AQ266" si="311">IF(C239="Upfront",AO239,IF(C239="At delivery",AG239,0))</f>
        <v>0</v>
      </c>
      <c r="AR239" s="630"/>
      <c r="AS239" s="625">
        <f t="array" ref="AS239">IFERROR(INDEX('TB-EQUIPMENT &amp; OTHER HPs'!$AB$91:$AB$130,MATCH($E239&amp;$F239,'TB-EQUIPMENT &amp; OTHER HPs'!$E$91:$E$130&amp;'TB-EQUIPMENT &amp; OTHER HPs'!$I$91:$I$130,0)),0)</f>
        <v>0</v>
      </c>
      <c r="AT239" s="625">
        <f t="array" ref="AT239">IFERROR(INDEX('TB-EQUIPMENT &amp; OTHER HPs'!$AC$91:$AC$130,MATCH($E239&amp;$F239,'TB-EQUIPMENT &amp; OTHER HPs'!$E$91:$E$130&amp;'TB-EQUIPMENT &amp; OTHER HPs'!$I$91:$I$130,0)),0)</f>
        <v>0</v>
      </c>
      <c r="AU239" s="626">
        <f t="shared" ref="AU239:AU266" si="312">IF(ISERROR($AS239*AT239),0,$AS239*AT239)</f>
        <v>0</v>
      </c>
      <c r="AV239" s="626">
        <f t="shared" ref="AV239:AV266" si="313">IF(C239="Upfront",AT239,IF(C239="At delivery",AJ239,0))</f>
        <v>0</v>
      </c>
      <c r="AW239" s="626">
        <f t="shared" ref="AW239:AW266" si="314">IF(C239="Upfront",AU239,IF(C239="At delivery",AK239,0))</f>
        <v>0</v>
      </c>
      <c r="AX239" s="625">
        <f t="array" ref="AX239">IFERROR(INDEX('TB-EQUIPMENT &amp; OTHER HPs'!$AD$91:$AD$130,MATCH($E239&amp;$F239,'TB-EQUIPMENT &amp; OTHER HPs'!$E$91:$E$130&amp;'TB-EQUIPMENT &amp; OTHER HPs'!$I$91:$I$130,0)),0)</f>
        <v>0</v>
      </c>
      <c r="AY239" s="626">
        <f t="shared" ref="AY239:AY266" si="315">IF(ISERROR($AS239*AX239),0,$AS239*AX239)</f>
        <v>0</v>
      </c>
      <c r="AZ239" s="626">
        <f t="shared" ref="AZ239:AZ266" si="316">IF(C239="Upfront",AX239,IF(C239="At delivery",AN239,0))</f>
        <v>0</v>
      </c>
      <c r="BA239" s="626">
        <f t="shared" ref="BA239:BA266" si="317">IF(C239="Upfront",AY239,IF(C239="At delivery",AO239,0))</f>
        <v>0</v>
      </c>
      <c r="BB239" s="625">
        <f t="array" ref="BB239">IFERROR(INDEX('TB-EQUIPMENT &amp; OTHER HPs'!$AE$91:$AE$130,MATCH($E239&amp;$F239,'TB-EQUIPMENT &amp; OTHER HPs'!$E$91:$E$130&amp;'TB-EQUIPMENT &amp; OTHER HPs'!$I$91:$I$130,0)),0)</f>
        <v>0</v>
      </c>
      <c r="BC239" s="626">
        <f t="shared" ref="BC239:BC266" si="318">IF(ISERROR($AS239*BB239),0,$AS239*BB239)</f>
        <v>0</v>
      </c>
      <c r="BD239" s="626">
        <f t="shared" ref="BD239:BD266" si="319">IF(C239="Upfront",BB239,IF(C239="At delivery",AT239,0))</f>
        <v>0</v>
      </c>
      <c r="BE239" s="626">
        <f t="shared" ref="BE239:BE266" si="320">IF(C239="Upfront",BC239,IF(C239="At delivery",AU239,0))</f>
        <v>0</v>
      </c>
      <c r="BF239" s="625">
        <f t="array" ref="BF239">IFERROR(INDEX('TB-EQUIPMENT &amp; OTHER HPs'!$AF$91:$AF$130,MATCH($E239&amp;$F239,'TB-EQUIPMENT &amp; OTHER HPs'!$E$91:$E$130&amp;'TB-EQUIPMENT &amp; OTHER HPs'!$I$91:$I$130,0)),0)</f>
        <v>0</v>
      </c>
      <c r="BG239" s="626">
        <f t="shared" ref="BG239:BG266" si="321">IF(ISERROR($AS239*BF239),0,$AS239*BF239)</f>
        <v>0</v>
      </c>
      <c r="BH239" s="626">
        <f t="shared" ref="BH239:BH266" si="322">IF(C239="Upfront",BF239,IF(C239="At delivery",AX239,0))</f>
        <v>0</v>
      </c>
      <c r="BI239" s="626">
        <f t="shared" ref="BI239:BI266" si="323">IF(C239="Upfront",BG239,IF(C239="At delivery",AY239,0))</f>
        <v>0</v>
      </c>
      <c r="BJ239" s="630"/>
      <c r="BK239" s="625"/>
      <c r="BL239" s="625"/>
      <c r="BM239" s="625"/>
      <c r="BN239" s="625"/>
      <c r="BO239" s="625"/>
      <c r="BP239" s="625"/>
      <c r="BQ239" s="625"/>
      <c r="BR239" s="625"/>
    </row>
    <row r="240" spans="1:70">
      <c r="A240" s="29" t="s">
        <v>1754</v>
      </c>
      <c r="B240" s="29" t="s">
        <v>1837</v>
      </c>
      <c r="C240" s="619">
        <f>SETUP!$F$43</f>
        <v>0</v>
      </c>
      <c r="D240" s="25">
        <v>5.4</v>
      </c>
      <c r="E240" s="26" t="s">
        <v>1473</v>
      </c>
      <c r="F240" s="26" t="s">
        <v>1140</v>
      </c>
      <c r="G240" s="625" t="str">
        <f t="array" ref="G240">IFERROR(INDEX('TB-EQUIPMENT &amp; OTHER HPs'!$L$91:$L$130,MATCH($E240&amp;$F240,'TB-EQUIPMENT &amp; OTHER HPs'!$E$91:$E$130&amp;'TB-EQUIPMENT &amp; OTHER HPs'!$I$91:$I$130,0)),"")</f>
        <v/>
      </c>
      <c r="H240" s="625" t="str">
        <f t="array" ref="H240">IFERROR(INDEX('TB-EQUIPMENT &amp; OTHER HPs'!$M$91:$M$130,MATCH($E240&amp;$F240,'TB-EQUIPMENT &amp; OTHER HPs'!$E$91:$E$130&amp;'TB-EQUIPMENT &amp; OTHER HPs'!$I$91:$I$130,0)),"")</f>
        <v/>
      </c>
      <c r="I240" s="625">
        <f t="array" ref="I240">IFERROR(INDEX('TB-EQUIPMENT &amp; OTHER HPs'!$N$91:$N$130,MATCH($E240&amp;$F240,'TB-EQUIPMENT &amp; OTHER HPs'!$E$91:$E$130&amp;'TB-EQUIPMENT &amp; OTHER HPs'!$I$91:$I$130,0)),0)</f>
        <v>0</v>
      </c>
      <c r="J240" s="625">
        <f t="array" ref="J240">IFERROR(INDEX('TB-EQUIPMENT &amp; OTHER HPs'!$O$91:$O$130,MATCH($E240&amp;$F240,'TB-EQUIPMENT &amp; OTHER HPs'!$E$91:$E$130&amp;'TB-EQUIPMENT &amp; OTHER HPs'!$I$91:$I$130,0)),0)</f>
        <v>0</v>
      </c>
      <c r="K240" s="626">
        <f t="shared" si="288"/>
        <v>0</v>
      </c>
      <c r="L240" s="626">
        <f t="shared" si="289"/>
        <v>0</v>
      </c>
      <c r="M240" s="626">
        <f t="shared" si="290"/>
        <v>0</v>
      </c>
      <c r="N240" s="625">
        <f t="array" ref="N240">IFERROR(INDEX('TB-EQUIPMENT &amp; OTHER HPs'!$P$91:$P$130,MATCH($E240&amp;$F240,'TB-EQUIPMENT &amp; OTHER HPs'!$E$91:$E$130&amp;'TB-EQUIPMENT &amp; OTHER HPs'!$I$91:$I$130,0)),0)</f>
        <v>0</v>
      </c>
      <c r="O240" s="626">
        <f t="shared" si="291"/>
        <v>0</v>
      </c>
      <c r="P240" s="626">
        <f t="shared" si="292"/>
        <v>0</v>
      </c>
      <c r="Q240" s="626">
        <f t="shared" si="293"/>
        <v>0</v>
      </c>
      <c r="R240" s="625">
        <f t="array" ref="R240">IFERROR(INDEX('TB-EQUIPMENT &amp; OTHER HPs'!$Q$91:$Q$130,MATCH($E240&amp;$F240,'TB-EQUIPMENT &amp; OTHER HPs'!$E$91:$E$130&amp;'TB-EQUIPMENT &amp; OTHER HPs'!$I$91:$I$130,0)),0)</f>
        <v>0</v>
      </c>
      <c r="S240" s="626">
        <f t="shared" si="294"/>
        <v>0</v>
      </c>
      <c r="T240" s="626">
        <f t="shared" si="295"/>
        <v>0</v>
      </c>
      <c r="U240" s="626">
        <f t="shared" si="296"/>
        <v>0</v>
      </c>
      <c r="V240" s="625">
        <f t="array" ref="V240">IFERROR(INDEX('TB-EQUIPMENT &amp; OTHER HPs'!$R$91:$R$130,MATCH($E240&amp;$F240,'TB-EQUIPMENT &amp; OTHER HPs'!$E$91:$E$130&amp;'TB-EQUIPMENT &amp; OTHER HPs'!$I$91:$I$130,0)),0)</f>
        <v>0</v>
      </c>
      <c r="W240" s="626">
        <f t="shared" si="297"/>
        <v>0</v>
      </c>
      <c r="X240" s="626">
        <f t="shared" si="298"/>
        <v>0</v>
      </c>
      <c r="Y240" s="626">
        <f t="shared" si="299"/>
        <v>0</v>
      </c>
      <c r="Z240" s="630"/>
      <c r="AA240" s="625">
        <f t="array" ref="AA240">IFERROR(INDEX('TB-EQUIPMENT &amp; OTHER HPs'!$U$91:$U$130,MATCH($E240&amp;$F240,'TB-EQUIPMENT &amp; OTHER HPs'!$E$91:$E$130&amp;'TB-EQUIPMENT &amp; OTHER HPs'!$I$91:$I$130,0)),0)</f>
        <v>0</v>
      </c>
      <c r="AB240" s="625">
        <f t="array" ref="AB240">IFERROR(INDEX('TB-EQUIPMENT &amp; OTHER HPs'!$V$91:$V$130,MATCH($E240&amp;$F240,'TB-EQUIPMENT &amp; OTHER HPs'!$E$91:$E$130&amp;'TB-EQUIPMENT &amp; OTHER HPs'!$I$91:$I$130,0)),0)</f>
        <v>0</v>
      </c>
      <c r="AC240" s="626">
        <f t="shared" si="300"/>
        <v>0</v>
      </c>
      <c r="AD240" s="626">
        <f t="shared" si="301"/>
        <v>0</v>
      </c>
      <c r="AE240" s="626">
        <f t="shared" si="302"/>
        <v>0</v>
      </c>
      <c r="AF240" s="625">
        <f t="array" ref="AF240">IFERROR(INDEX('TB-EQUIPMENT &amp; OTHER HPs'!$W$91:$W$130,MATCH($E240&amp;$F240,'TB-EQUIPMENT &amp; OTHER HPs'!$E$91:$E$130&amp;'TB-EQUIPMENT &amp; OTHER HPs'!$I$91:$I$130,0)),0)</f>
        <v>0</v>
      </c>
      <c r="AG240" s="626">
        <f t="shared" si="303"/>
        <v>0</v>
      </c>
      <c r="AH240" s="626">
        <f t="shared" si="304"/>
        <v>0</v>
      </c>
      <c r="AI240" s="626">
        <f t="shared" si="305"/>
        <v>0</v>
      </c>
      <c r="AJ240" s="625">
        <f t="array" ref="AJ240">IFERROR(INDEX('TB-EQUIPMENT &amp; OTHER HPs'!$X$91:$X$130,MATCH($E240&amp;$F240,'TB-EQUIPMENT &amp; OTHER HPs'!$E$91:$E$130&amp;'TB-EQUIPMENT &amp; OTHER HPs'!$I$91:$I$130,0)),0)</f>
        <v>0</v>
      </c>
      <c r="AK240" s="626">
        <f t="shared" si="306"/>
        <v>0</v>
      </c>
      <c r="AL240" s="626">
        <f t="shared" si="307"/>
        <v>0</v>
      </c>
      <c r="AM240" s="626">
        <f t="shared" si="308"/>
        <v>0</v>
      </c>
      <c r="AN240" s="625">
        <f t="array" ref="AN240">IFERROR(INDEX('TB-EQUIPMENT &amp; OTHER HPs'!$Y$91:$Y$130,MATCH($E240&amp;$F240,'TB-EQUIPMENT &amp; OTHER HPs'!$E$91:$E$130&amp;'TB-EQUIPMENT &amp; OTHER HPs'!$I$91:$I$130,0)),0)</f>
        <v>0</v>
      </c>
      <c r="AO240" s="626">
        <f t="shared" si="309"/>
        <v>0</v>
      </c>
      <c r="AP240" s="626">
        <f t="shared" si="310"/>
        <v>0</v>
      </c>
      <c r="AQ240" s="626">
        <f t="shared" si="311"/>
        <v>0</v>
      </c>
      <c r="AR240" s="630"/>
      <c r="AS240" s="625">
        <f t="array" ref="AS240">IFERROR(INDEX('TB-EQUIPMENT &amp; OTHER HPs'!$AB$91:$AB$130,MATCH($E240&amp;$F240,'TB-EQUIPMENT &amp; OTHER HPs'!$E$91:$E$130&amp;'TB-EQUIPMENT &amp; OTHER HPs'!$I$91:$I$130,0)),0)</f>
        <v>0</v>
      </c>
      <c r="AT240" s="625">
        <f t="array" ref="AT240">IFERROR(INDEX('TB-EQUIPMENT &amp; OTHER HPs'!$AC$91:$AC$130,MATCH($E240&amp;$F240,'TB-EQUIPMENT &amp; OTHER HPs'!$E$91:$E$130&amp;'TB-EQUIPMENT &amp; OTHER HPs'!$I$91:$I$130,0)),0)</f>
        <v>0</v>
      </c>
      <c r="AU240" s="626">
        <f t="shared" si="312"/>
        <v>0</v>
      </c>
      <c r="AV240" s="626">
        <f t="shared" si="313"/>
        <v>0</v>
      </c>
      <c r="AW240" s="626">
        <f t="shared" si="314"/>
        <v>0</v>
      </c>
      <c r="AX240" s="625">
        <f t="array" ref="AX240">IFERROR(INDEX('TB-EQUIPMENT &amp; OTHER HPs'!$AD$91:$AD$130,MATCH($E240&amp;$F240,'TB-EQUIPMENT &amp; OTHER HPs'!$E$91:$E$130&amp;'TB-EQUIPMENT &amp; OTHER HPs'!$I$91:$I$130,0)),0)</f>
        <v>0</v>
      </c>
      <c r="AY240" s="626">
        <f t="shared" si="315"/>
        <v>0</v>
      </c>
      <c r="AZ240" s="626">
        <f t="shared" si="316"/>
        <v>0</v>
      </c>
      <c r="BA240" s="626">
        <f t="shared" si="317"/>
        <v>0</v>
      </c>
      <c r="BB240" s="625">
        <f t="array" ref="BB240">IFERROR(INDEX('TB-EQUIPMENT &amp; OTHER HPs'!$AE$91:$AE$130,MATCH($E240&amp;$F240,'TB-EQUIPMENT &amp; OTHER HPs'!$E$91:$E$130&amp;'TB-EQUIPMENT &amp; OTHER HPs'!$I$91:$I$130,0)),0)</f>
        <v>0</v>
      </c>
      <c r="BC240" s="626">
        <f t="shared" si="318"/>
        <v>0</v>
      </c>
      <c r="BD240" s="626">
        <f t="shared" si="319"/>
        <v>0</v>
      </c>
      <c r="BE240" s="626">
        <f t="shared" si="320"/>
        <v>0</v>
      </c>
      <c r="BF240" s="625">
        <f t="array" ref="BF240">IFERROR(INDEX('TB-EQUIPMENT &amp; OTHER HPs'!$AF$91:$AF$130,MATCH($E240&amp;$F240,'TB-EQUIPMENT &amp; OTHER HPs'!$E$91:$E$130&amp;'TB-EQUIPMENT &amp; OTHER HPs'!$I$91:$I$130,0)),0)</f>
        <v>0</v>
      </c>
      <c r="BG240" s="626">
        <f t="shared" si="321"/>
        <v>0</v>
      </c>
      <c r="BH240" s="626">
        <f t="shared" si="322"/>
        <v>0</v>
      </c>
      <c r="BI240" s="626">
        <f t="shared" si="323"/>
        <v>0</v>
      </c>
      <c r="BJ240" s="630"/>
      <c r="BK240" s="625"/>
      <c r="BL240" s="625"/>
      <c r="BM240" s="625"/>
      <c r="BN240" s="625"/>
      <c r="BO240" s="625"/>
      <c r="BP240" s="625"/>
      <c r="BQ240" s="625"/>
      <c r="BR240" s="625"/>
    </row>
    <row r="241" spans="1:70">
      <c r="A241" s="29" t="s">
        <v>1754</v>
      </c>
      <c r="B241" s="29" t="s">
        <v>1837</v>
      </c>
      <c r="C241" s="619">
        <f>SETUP!$F$43</f>
        <v>0</v>
      </c>
      <c r="D241" s="25">
        <v>5.6</v>
      </c>
      <c r="E241" s="26" t="s">
        <v>1469</v>
      </c>
      <c r="F241" s="26" t="s">
        <v>1140</v>
      </c>
      <c r="G241" s="625" t="str">
        <f t="array" ref="G241">IFERROR(INDEX('TB-EQUIPMENT &amp; OTHER HPs'!$L$91:$L$130,MATCH($E241&amp;$F241,'TB-EQUIPMENT &amp; OTHER HPs'!$E$91:$E$130&amp;'TB-EQUIPMENT &amp; OTHER HPs'!$I$91:$I$130,0)),"")</f>
        <v/>
      </c>
      <c r="H241" s="625" t="str">
        <f t="array" ref="H241">IFERROR(INDEX('TB-EQUIPMENT &amp; OTHER HPs'!$M$91:$M$130,MATCH($E241&amp;$F241,'TB-EQUIPMENT &amp; OTHER HPs'!$E$91:$E$130&amp;'TB-EQUIPMENT &amp; OTHER HPs'!$I$91:$I$130,0)),"")</f>
        <v/>
      </c>
      <c r="I241" s="625">
        <f t="array" ref="I241">IFERROR(INDEX('TB-EQUIPMENT &amp; OTHER HPs'!$N$91:$N$130,MATCH($E241&amp;$F241,'TB-EQUIPMENT &amp; OTHER HPs'!$E$91:$E$130&amp;'TB-EQUIPMENT &amp; OTHER HPs'!$I$91:$I$130,0)),0)</f>
        <v>0</v>
      </c>
      <c r="J241" s="625">
        <f t="array" ref="J241">IFERROR(INDEX('TB-EQUIPMENT &amp; OTHER HPs'!$O$91:$O$130,MATCH($E241&amp;$F241,'TB-EQUIPMENT &amp; OTHER HPs'!$E$91:$E$130&amp;'TB-EQUIPMENT &amp; OTHER HPs'!$I$91:$I$130,0)),0)</f>
        <v>0</v>
      </c>
      <c r="K241" s="626">
        <f t="shared" si="288"/>
        <v>0</v>
      </c>
      <c r="L241" s="626">
        <f t="shared" si="289"/>
        <v>0</v>
      </c>
      <c r="M241" s="626">
        <f t="shared" si="290"/>
        <v>0</v>
      </c>
      <c r="N241" s="625">
        <f t="array" ref="N241">IFERROR(INDEX('TB-EQUIPMENT &amp; OTHER HPs'!$P$91:$P$130,MATCH($E241&amp;$F241,'TB-EQUIPMENT &amp; OTHER HPs'!$E$91:$E$130&amp;'TB-EQUIPMENT &amp; OTHER HPs'!$I$91:$I$130,0)),0)</f>
        <v>0</v>
      </c>
      <c r="O241" s="626">
        <f t="shared" si="291"/>
        <v>0</v>
      </c>
      <c r="P241" s="626">
        <f t="shared" si="292"/>
        <v>0</v>
      </c>
      <c r="Q241" s="626">
        <f t="shared" si="293"/>
        <v>0</v>
      </c>
      <c r="R241" s="625">
        <f t="array" ref="R241">IFERROR(INDEX('TB-EQUIPMENT &amp; OTHER HPs'!$Q$91:$Q$130,MATCH($E241&amp;$F241,'TB-EQUIPMENT &amp; OTHER HPs'!$E$91:$E$130&amp;'TB-EQUIPMENT &amp; OTHER HPs'!$I$91:$I$130,0)),0)</f>
        <v>0</v>
      </c>
      <c r="S241" s="626">
        <f t="shared" si="294"/>
        <v>0</v>
      </c>
      <c r="T241" s="626">
        <f t="shared" si="295"/>
        <v>0</v>
      </c>
      <c r="U241" s="626">
        <f t="shared" si="296"/>
        <v>0</v>
      </c>
      <c r="V241" s="625">
        <f t="array" ref="V241">IFERROR(INDEX('TB-EQUIPMENT &amp; OTHER HPs'!$R$91:$R$130,MATCH($E241&amp;$F241,'TB-EQUIPMENT &amp; OTHER HPs'!$E$91:$E$130&amp;'TB-EQUIPMENT &amp; OTHER HPs'!$I$91:$I$130,0)),0)</f>
        <v>0</v>
      </c>
      <c r="W241" s="626">
        <f t="shared" si="297"/>
        <v>0</v>
      </c>
      <c r="X241" s="626">
        <f t="shared" si="298"/>
        <v>0</v>
      </c>
      <c r="Y241" s="626">
        <f t="shared" si="299"/>
        <v>0</v>
      </c>
      <c r="Z241" s="630"/>
      <c r="AA241" s="625">
        <f t="array" ref="AA241">IFERROR(INDEX('TB-EQUIPMENT &amp; OTHER HPs'!$U$91:$U$130,MATCH($E241&amp;$F241,'TB-EQUIPMENT &amp; OTHER HPs'!$E$91:$E$130&amp;'TB-EQUIPMENT &amp; OTHER HPs'!$I$91:$I$130,0)),0)</f>
        <v>0</v>
      </c>
      <c r="AB241" s="625">
        <f t="array" ref="AB241">IFERROR(INDEX('TB-EQUIPMENT &amp; OTHER HPs'!$V$91:$V$130,MATCH($E241&amp;$F241,'TB-EQUIPMENT &amp; OTHER HPs'!$E$91:$E$130&amp;'TB-EQUIPMENT &amp; OTHER HPs'!$I$91:$I$130,0)),0)</f>
        <v>0</v>
      </c>
      <c r="AC241" s="626">
        <f t="shared" si="300"/>
        <v>0</v>
      </c>
      <c r="AD241" s="626">
        <f t="shared" si="301"/>
        <v>0</v>
      </c>
      <c r="AE241" s="626">
        <f t="shared" si="302"/>
        <v>0</v>
      </c>
      <c r="AF241" s="625">
        <f t="array" ref="AF241">IFERROR(INDEX('TB-EQUIPMENT &amp; OTHER HPs'!$W$91:$W$130,MATCH($E241&amp;$F241,'TB-EQUIPMENT &amp; OTHER HPs'!$E$91:$E$130&amp;'TB-EQUIPMENT &amp; OTHER HPs'!$I$91:$I$130,0)),0)</f>
        <v>0</v>
      </c>
      <c r="AG241" s="626">
        <f t="shared" si="303"/>
        <v>0</v>
      </c>
      <c r="AH241" s="626">
        <f t="shared" si="304"/>
        <v>0</v>
      </c>
      <c r="AI241" s="626">
        <f t="shared" si="305"/>
        <v>0</v>
      </c>
      <c r="AJ241" s="625">
        <f t="array" ref="AJ241">IFERROR(INDEX('TB-EQUIPMENT &amp; OTHER HPs'!$X$91:$X$130,MATCH($E241&amp;$F241,'TB-EQUIPMENT &amp; OTHER HPs'!$E$91:$E$130&amp;'TB-EQUIPMENT &amp; OTHER HPs'!$I$91:$I$130,0)),0)</f>
        <v>0</v>
      </c>
      <c r="AK241" s="626">
        <f t="shared" si="306"/>
        <v>0</v>
      </c>
      <c r="AL241" s="626">
        <f t="shared" si="307"/>
        <v>0</v>
      </c>
      <c r="AM241" s="626">
        <f t="shared" si="308"/>
        <v>0</v>
      </c>
      <c r="AN241" s="625">
        <f t="array" ref="AN241">IFERROR(INDEX('TB-EQUIPMENT &amp; OTHER HPs'!$Y$91:$Y$130,MATCH($E241&amp;$F241,'TB-EQUIPMENT &amp; OTHER HPs'!$E$91:$E$130&amp;'TB-EQUIPMENT &amp; OTHER HPs'!$I$91:$I$130,0)),0)</f>
        <v>0</v>
      </c>
      <c r="AO241" s="626">
        <f t="shared" si="309"/>
        <v>0</v>
      </c>
      <c r="AP241" s="626">
        <f t="shared" si="310"/>
        <v>0</v>
      </c>
      <c r="AQ241" s="626">
        <f t="shared" si="311"/>
        <v>0</v>
      </c>
      <c r="AR241" s="630"/>
      <c r="AS241" s="625">
        <f t="array" ref="AS241">IFERROR(INDEX('TB-EQUIPMENT &amp; OTHER HPs'!$AB$91:$AB$130,MATCH($E241&amp;$F241,'TB-EQUIPMENT &amp; OTHER HPs'!$E$91:$E$130&amp;'TB-EQUIPMENT &amp; OTHER HPs'!$I$91:$I$130,0)),0)</f>
        <v>0</v>
      </c>
      <c r="AT241" s="625">
        <f t="array" ref="AT241">IFERROR(INDEX('TB-EQUIPMENT &amp; OTHER HPs'!$AC$91:$AC$130,MATCH($E241&amp;$F241,'TB-EQUIPMENT &amp; OTHER HPs'!$E$91:$E$130&amp;'TB-EQUIPMENT &amp; OTHER HPs'!$I$91:$I$130,0)),0)</f>
        <v>0</v>
      </c>
      <c r="AU241" s="626">
        <f t="shared" si="312"/>
        <v>0</v>
      </c>
      <c r="AV241" s="626">
        <f t="shared" si="313"/>
        <v>0</v>
      </c>
      <c r="AW241" s="626">
        <f t="shared" si="314"/>
        <v>0</v>
      </c>
      <c r="AX241" s="625">
        <f t="array" ref="AX241">IFERROR(INDEX('TB-EQUIPMENT &amp; OTHER HPs'!$AD$91:$AD$130,MATCH($E241&amp;$F241,'TB-EQUIPMENT &amp; OTHER HPs'!$E$91:$E$130&amp;'TB-EQUIPMENT &amp; OTHER HPs'!$I$91:$I$130,0)),0)</f>
        <v>0</v>
      </c>
      <c r="AY241" s="626">
        <f t="shared" si="315"/>
        <v>0</v>
      </c>
      <c r="AZ241" s="626">
        <f t="shared" si="316"/>
        <v>0</v>
      </c>
      <c r="BA241" s="626">
        <f t="shared" si="317"/>
        <v>0</v>
      </c>
      <c r="BB241" s="625">
        <f t="array" ref="BB241">IFERROR(INDEX('TB-EQUIPMENT &amp; OTHER HPs'!$AE$91:$AE$130,MATCH($E241&amp;$F241,'TB-EQUIPMENT &amp; OTHER HPs'!$E$91:$E$130&amp;'TB-EQUIPMENT &amp; OTHER HPs'!$I$91:$I$130,0)),0)</f>
        <v>0</v>
      </c>
      <c r="BC241" s="626">
        <f t="shared" si="318"/>
        <v>0</v>
      </c>
      <c r="BD241" s="626">
        <f t="shared" si="319"/>
        <v>0</v>
      </c>
      <c r="BE241" s="626">
        <f t="shared" si="320"/>
        <v>0</v>
      </c>
      <c r="BF241" s="625">
        <f t="array" ref="BF241">IFERROR(INDEX('TB-EQUIPMENT &amp; OTHER HPs'!$AF$91:$AF$130,MATCH($E241&amp;$F241,'TB-EQUIPMENT &amp; OTHER HPs'!$E$91:$E$130&amp;'TB-EQUIPMENT &amp; OTHER HPs'!$I$91:$I$130,0)),0)</f>
        <v>0</v>
      </c>
      <c r="BG241" s="626">
        <f t="shared" si="321"/>
        <v>0</v>
      </c>
      <c r="BH241" s="626">
        <f t="shared" si="322"/>
        <v>0</v>
      </c>
      <c r="BI241" s="626">
        <f t="shared" si="323"/>
        <v>0</v>
      </c>
      <c r="BJ241" s="630"/>
      <c r="BK241" s="625"/>
      <c r="BL241" s="625"/>
      <c r="BM241" s="625"/>
      <c r="BN241" s="625"/>
      <c r="BO241" s="625"/>
      <c r="BP241" s="625"/>
      <c r="BQ241" s="625"/>
      <c r="BR241" s="625"/>
    </row>
    <row r="242" spans="1:70">
      <c r="A242" s="29" t="s">
        <v>1754</v>
      </c>
      <c r="B242" s="29" t="s">
        <v>1837</v>
      </c>
      <c r="C242" s="619">
        <f>SETUP!$F$43</f>
        <v>0</v>
      </c>
      <c r="D242" s="25">
        <v>5.6</v>
      </c>
      <c r="E242" s="26" t="s">
        <v>1464</v>
      </c>
      <c r="F242" s="26" t="s">
        <v>1140</v>
      </c>
      <c r="G242" s="625" t="str">
        <f t="array" ref="G242">IFERROR(INDEX('TB-EQUIPMENT &amp; OTHER HPs'!$L$91:$L$130,MATCH($E242&amp;$F242,'TB-EQUIPMENT &amp; OTHER HPs'!$E$91:$E$130&amp;'TB-EQUIPMENT &amp; OTHER HPs'!$I$91:$I$130,0)),"")</f>
        <v/>
      </c>
      <c r="H242" s="625" t="str">
        <f t="array" ref="H242">IFERROR(INDEX('TB-EQUIPMENT &amp; OTHER HPs'!$M$91:$M$130,MATCH($E242&amp;$F242,'TB-EQUIPMENT &amp; OTHER HPs'!$E$91:$E$130&amp;'TB-EQUIPMENT &amp; OTHER HPs'!$I$91:$I$130,0)),"")</f>
        <v/>
      </c>
      <c r="I242" s="625">
        <f t="array" ref="I242">IFERROR(INDEX('TB-EQUIPMENT &amp; OTHER HPs'!$N$91:$N$130,MATCH($E242&amp;$F242,'TB-EQUIPMENT &amp; OTHER HPs'!$E$91:$E$130&amp;'TB-EQUIPMENT &amp; OTHER HPs'!$I$91:$I$130,0)),0)</f>
        <v>0</v>
      </c>
      <c r="J242" s="625">
        <f t="array" ref="J242">IFERROR(INDEX('TB-EQUIPMENT &amp; OTHER HPs'!$O$91:$O$130,MATCH($E242&amp;$F242,'TB-EQUIPMENT &amp; OTHER HPs'!$E$91:$E$130&amp;'TB-EQUIPMENT &amp; OTHER HPs'!$I$91:$I$130,0)),0)</f>
        <v>0</v>
      </c>
      <c r="K242" s="626">
        <f t="shared" si="288"/>
        <v>0</v>
      </c>
      <c r="L242" s="626">
        <f t="shared" si="289"/>
        <v>0</v>
      </c>
      <c r="M242" s="626">
        <f t="shared" si="290"/>
        <v>0</v>
      </c>
      <c r="N242" s="625">
        <f t="array" ref="N242">IFERROR(INDEX('TB-EQUIPMENT &amp; OTHER HPs'!$P$91:$P$130,MATCH($E242&amp;$F242,'TB-EQUIPMENT &amp; OTHER HPs'!$E$91:$E$130&amp;'TB-EQUIPMENT &amp; OTHER HPs'!$I$91:$I$130,0)),0)</f>
        <v>0</v>
      </c>
      <c r="O242" s="626">
        <f t="shared" si="291"/>
        <v>0</v>
      </c>
      <c r="P242" s="626">
        <f t="shared" si="292"/>
        <v>0</v>
      </c>
      <c r="Q242" s="626">
        <f t="shared" si="293"/>
        <v>0</v>
      </c>
      <c r="R242" s="625">
        <f t="array" ref="R242">IFERROR(INDEX('TB-EQUIPMENT &amp; OTHER HPs'!$Q$91:$Q$130,MATCH($E242&amp;$F242,'TB-EQUIPMENT &amp; OTHER HPs'!$E$91:$E$130&amp;'TB-EQUIPMENT &amp; OTHER HPs'!$I$91:$I$130,0)),0)</f>
        <v>0</v>
      </c>
      <c r="S242" s="626">
        <f t="shared" si="294"/>
        <v>0</v>
      </c>
      <c r="T242" s="626">
        <f t="shared" si="295"/>
        <v>0</v>
      </c>
      <c r="U242" s="626">
        <f t="shared" si="296"/>
        <v>0</v>
      </c>
      <c r="V242" s="625">
        <f t="array" ref="V242">IFERROR(INDEX('TB-EQUIPMENT &amp; OTHER HPs'!$R$91:$R$130,MATCH($E242&amp;$F242,'TB-EQUIPMENT &amp; OTHER HPs'!$E$91:$E$130&amp;'TB-EQUIPMENT &amp; OTHER HPs'!$I$91:$I$130,0)),0)</f>
        <v>0</v>
      </c>
      <c r="W242" s="626">
        <f t="shared" si="297"/>
        <v>0</v>
      </c>
      <c r="X242" s="626">
        <f t="shared" si="298"/>
        <v>0</v>
      </c>
      <c r="Y242" s="626">
        <f t="shared" si="299"/>
        <v>0</v>
      </c>
      <c r="Z242" s="630"/>
      <c r="AA242" s="625">
        <f t="array" ref="AA242">IFERROR(INDEX('TB-EQUIPMENT &amp; OTHER HPs'!$U$91:$U$130,MATCH($E242&amp;$F242,'TB-EQUIPMENT &amp; OTHER HPs'!$E$91:$E$130&amp;'TB-EQUIPMENT &amp; OTHER HPs'!$I$91:$I$130,0)),0)</f>
        <v>0</v>
      </c>
      <c r="AB242" s="625">
        <f t="array" ref="AB242">IFERROR(INDEX('TB-EQUIPMENT &amp; OTHER HPs'!$V$91:$V$130,MATCH($E242&amp;$F242,'TB-EQUIPMENT &amp; OTHER HPs'!$E$91:$E$130&amp;'TB-EQUIPMENT &amp; OTHER HPs'!$I$91:$I$130,0)),0)</f>
        <v>0</v>
      </c>
      <c r="AC242" s="626">
        <f t="shared" si="300"/>
        <v>0</v>
      </c>
      <c r="AD242" s="626">
        <f t="shared" si="301"/>
        <v>0</v>
      </c>
      <c r="AE242" s="626">
        <f t="shared" si="302"/>
        <v>0</v>
      </c>
      <c r="AF242" s="625">
        <f t="array" ref="AF242">IFERROR(INDEX('TB-EQUIPMENT &amp; OTHER HPs'!$W$91:$W$130,MATCH($E242&amp;$F242,'TB-EQUIPMENT &amp; OTHER HPs'!$E$91:$E$130&amp;'TB-EQUIPMENT &amp; OTHER HPs'!$I$91:$I$130,0)),0)</f>
        <v>0</v>
      </c>
      <c r="AG242" s="626">
        <f t="shared" si="303"/>
        <v>0</v>
      </c>
      <c r="AH242" s="626">
        <f t="shared" si="304"/>
        <v>0</v>
      </c>
      <c r="AI242" s="626">
        <f t="shared" si="305"/>
        <v>0</v>
      </c>
      <c r="AJ242" s="625">
        <f t="array" ref="AJ242">IFERROR(INDEX('TB-EQUIPMENT &amp; OTHER HPs'!$X$91:$X$130,MATCH($E242&amp;$F242,'TB-EQUIPMENT &amp; OTHER HPs'!$E$91:$E$130&amp;'TB-EQUIPMENT &amp; OTHER HPs'!$I$91:$I$130,0)),0)</f>
        <v>0</v>
      </c>
      <c r="AK242" s="626">
        <f t="shared" si="306"/>
        <v>0</v>
      </c>
      <c r="AL242" s="626">
        <f t="shared" si="307"/>
        <v>0</v>
      </c>
      <c r="AM242" s="626">
        <f t="shared" si="308"/>
        <v>0</v>
      </c>
      <c r="AN242" s="625">
        <f t="array" ref="AN242">IFERROR(INDEX('TB-EQUIPMENT &amp; OTHER HPs'!$Y$91:$Y$130,MATCH($E242&amp;$F242,'TB-EQUIPMENT &amp; OTHER HPs'!$E$91:$E$130&amp;'TB-EQUIPMENT &amp; OTHER HPs'!$I$91:$I$130,0)),0)</f>
        <v>0</v>
      </c>
      <c r="AO242" s="626">
        <f t="shared" si="309"/>
        <v>0</v>
      </c>
      <c r="AP242" s="626">
        <f t="shared" si="310"/>
        <v>0</v>
      </c>
      <c r="AQ242" s="626">
        <f t="shared" si="311"/>
        <v>0</v>
      </c>
      <c r="AR242" s="630"/>
      <c r="AS242" s="625">
        <f t="array" ref="AS242">IFERROR(INDEX('TB-EQUIPMENT &amp; OTHER HPs'!$AB$91:$AB$130,MATCH($E242&amp;$F242,'TB-EQUIPMENT &amp; OTHER HPs'!$E$91:$E$130&amp;'TB-EQUIPMENT &amp; OTHER HPs'!$I$91:$I$130,0)),0)</f>
        <v>0</v>
      </c>
      <c r="AT242" s="625">
        <f t="array" ref="AT242">IFERROR(INDEX('TB-EQUIPMENT &amp; OTHER HPs'!$AC$91:$AC$130,MATCH($E242&amp;$F242,'TB-EQUIPMENT &amp; OTHER HPs'!$E$91:$E$130&amp;'TB-EQUIPMENT &amp; OTHER HPs'!$I$91:$I$130,0)),0)</f>
        <v>0</v>
      </c>
      <c r="AU242" s="626">
        <f t="shared" si="312"/>
        <v>0</v>
      </c>
      <c r="AV242" s="626">
        <f t="shared" si="313"/>
        <v>0</v>
      </c>
      <c r="AW242" s="626">
        <f t="shared" si="314"/>
        <v>0</v>
      </c>
      <c r="AX242" s="625">
        <f t="array" ref="AX242">IFERROR(INDEX('TB-EQUIPMENT &amp; OTHER HPs'!$AD$91:$AD$130,MATCH($E242&amp;$F242,'TB-EQUIPMENT &amp; OTHER HPs'!$E$91:$E$130&amp;'TB-EQUIPMENT &amp; OTHER HPs'!$I$91:$I$130,0)),0)</f>
        <v>0</v>
      </c>
      <c r="AY242" s="626">
        <f t="shared" si="315"/>
        <v>0</v>
      </c>
      <c r="AZ242" s="626">
        <f t="shared" si="316"/>
        <v>0</v>
      </c>
      <c r="BA242" s="626">
        <f t="shared" si="317"/>
        <v>0</v>
      </c>
      <c r="BB242" s="625">
        <f t="array" ref="BB242">IFERROR(INDEX('TB-EQUIPMENT &amp; OTHER HPs'!$AE$91:$AE$130,MATCH($E242&amp;$F242,'TB-EQUIPMENT &amp; OTHER HPs'!$E$91:$E$130&amp;'TB-EQUIPMENT &amp; OTHER HPs'!$I$91:$I$130,0)),0)</f>
        <v>0</v>
      </c>
      <c r="BC242" s="626">
        <f t="shared" si="318"/>
        <v>0</v>
      </c>
      <c r="BD242" s="626">
        <f t="shared" si="319"/>
        <v>0</v>
      </c>
      <c r="BE242" s="626">
        <f t="shared" si="320"/>
        <v>0</v>
      </c>
      <c r="BF242" s="625">
        <f t="array" ref="BF242">IFERROR(INDEX('TB-EQUIPMENT &amp; OTHER HPs'!$AF$91:$AF$130,MATCH($E242&amp;$F242,'TB-EQUIPMENT &amp; OTHER HPs'!$E$91:$E$130&amp;'TB-EQUIPMENT &amp; OTHER HPs'!$I$91:$I$130,0)),0)</f>
        <v>0</v>
      </c>
      <c r="BG242" s="626">
        <f t="shared" si="321"/>
        <v>0</v>
      </c>
      <c r="BH242" s="626">
        <f t="shared" si="322"/>
        <v>0</v>
      </c>
      <c r="BI242" s="626">
        <f t="shared" si="323"/>
        <v>0</v>
      </c>
      <c r="BJ242" s="630"/>
      <c r="BK242" s="625"/>
      <c r="BL242" s="625"/>
      <c r="BM242" s="625"/>
      <c r="BN242" s="625"/>
      <c r="BO242" s="625"/>
      <c r="BP242" s="625"/>
      <c r="BQ242" s="625"/>
      <c r="BR242" s="625"/>
    </row>
    <row r="243" spans="1:70">
      <c r="A243" s="29" t="s">
        <v>1754</v>
      </c>
      <c r="B243" s="29" t="s">
        <v>1837</v>
      </c>
      <c r="C243" s="619">
        <f>SETUP!$F$43</f>
        <v>0</v>
      </c>
      <c r="D243" s="25">
        <v>5.6</v>
      </c>
      <c r="E243" s="26" t="s">
        <v>331</v>
      </c>
      <c r="F243" s="26" t="s">
        <v>1468</v>
      </c>
      <c r="G243" s="625" t="str">
        <f t="array" ref="G243">IFERROR(INDEX('TB-EQUIPMENT &amp; OTHER HPs'!$L$91:$L$130,MATCH($E243&amp;$F243,'TB-EQUIPMENT &amp; OTHER HPs'!$E$91:$E$130&amp;'TB-EQUIPMENT &amp; OTHER HPs'!$I$91:$I$130,0)),"")</f>
        <v/>
      </c>
      <c r="H243" s="625" t="str">
        <f t="array" ref="H243">IFERROR(INDEX('TB-EQUIPMENT &amp; OTHER HPs'!$M$91:$M$130,MATCH($E243&amp;$F243,'TB-EQUIPMENT &amp; OTHER HPs'!$E$91:$E$130&amp;'TB-EQUIPMENT &amp; OTHER HPs'!$I$91:$I$130,0)),"")</f>
        <v/>
      </c>
      <c r="I243" s="625">
        <f t="array" ref="I243">IFERROR(INDEX('TB-EQUIPMENT &amp; OTHER HPs'!$N$91:$N$130,MATCH($E243&amp;$F243,'TB-EQUIPMENT &amp; OTHER HPs'!$E$91:$E$130&amp;'TB-EQUIPMENT &amp; OTHER HPs'!$I$91:$I$130,0)),0)</f>
        <v>0</v>
      </c>
      <c r="J243" s="625">
        <f t="array" ref="J243">IFERROR(INDEX('TB-EQUIPMENT &amp; OTHER HPs'!$O$91:$O$130,MATCH($E243&amp;$F243,'TB-EQUIPMENT &amp; OTHER HPs'!$E$91:$E$130&amp;'TB-EQUIPMENT &amp; OTHER HPs'!$I$91:$I$130,0)),0)</f>
        <v>0</v>
      </c>
      <c r="K243" s="626">
        <f t="shared" si="288"/>
        <v>0</v>
      </c>
      <c r="L243" s="626">
        <f t="shared" si="289"/>
        <v>0</v>
      </c>
      <c r="M243" s="626">
        <f t="shared" si="290"/>
        <v>0</v>
      </c>
      <c r="N243" s="625">
        <f t="array" ref="N243">IFERROR(INDEX('TB-EQUIPMENT &amp; OTHER HPs'!$P$91:$P$130,MATCH($E243&amp;$F243,'TB-EQUIPMENT &amp; OTHER HPs'!$E$91:$E$130&amp;'TB-EQUIPMENT &amp; OTHER HPs'!$I$91:$I$130,0)),0)</f>
        <v>0</v>
      </c>
      <c r="O243" s="626">
        <f t="shared" si="291"/>
        <v>0</v>
      </c>
      <c r="P243" s="626">
        <f t="shared" si="292"/>
        <v>0</v>
      </c>
      <c r="Q243" s="626">
        <f t="shared" si="293"/>
        <v>0</v>
      </c>
      <c r="R243" s="625">
        <f t="array" ref="R243">IFERROR(INDEX('TB-EQUIPMENT &amp; OTHER HPs'!$Q$91:$Q$130,MATCH($E243&amp;$F243,'TB-EQUIPMENT &amp; OTHER HPs'!$E$91:$E$130&amp;'TB-EQUIPMENT &amp; OTHER HPs'!$I$91:$I$130,0)),0)</f>
        <v>0</v>
      </c>
      <c r="S243" s="626">
        <f t="shared" si="294"/>
        <v>0</v>
      </c>
      <c r="T243" s="626">
        <f t="shared" si="295"/>
        <v>0</v>
      </c>
      <c r="U243" s="626">
        <f t="shared" si="296"/>
        <v>0</v>
      </c>
      <c r="V243" s="625">
        <f t="array" ref="V243">IFERROR(INDEX('TB-EQUIPMENT &amp; OTHER HPs'!$R$91:$R$130,MATCH($E243&amp;$F243,'TB-EQUIPMENT &amp; OTHER HPs'!$E$91:$E$130&amp;'TB-EQUIPMENT &amp; OTHER HPs'!$I$91:$I$130,0)),0)</f>
        <v>0</v>
      </c>
      <c r="W243" s="626">
        <f t="shared" si="297"/>
        <v>0</v>
      </c>
      <c r="X243" s="626">
        <f t="shared" si="298"/>
        <v>0</v>
      </c>
      <c r="Y243" s="626">
        <f t="shared" si="299"/>
        <v>0</v>
      </c>
      <c r="Z243" s="630"/>
      <c r="AA243" s="625">
        <f t="array" ref="AA243">IFERROR(INDEX('TB-EQUIPMENT &amp; OTHER HPs'!$U$91:$U$130,MATCH($E243&amp;$F243,'TB-EQUIPMENT &amp; OTHER HPs'!$E$91:$E$130&amp;'TB-EQUIPMENT &amp; OTHER HPs'!$I$91:$I$130,0)),0)</f>
        <v>0</v>
      </c>
      <c r="AB243" s="625">
        <f t="array" ref="AB243">IFERROR(INDEX('TB-EQUIPMENT &amp; OTHER HPs'!$V$91:$V$130,MATCH($E243&amp;$F243,'TB-EQUIPMENT &amp; OTHER HPs'!$E$91:$E$130&amp;'TB-EQUIPMENT &amp; OTHER HPs'!$I$91:$I$130,0)),0)</f>
        <v>0</v>
      </c>
      <c r="AC243" s="626">
        <f t="shared" si="300"/>
        <v>0</v>
      </c>
      <c r="AD243" s="626">
        <f t="shared" si="301"/>
        <v>0</v>
      </c>
      <c r="AE243" s="626">
        <f t="shared" si="302"/>
        <v>0</v>
      </c>
      <c r="AF243" s="625">
        <f t="array" ref="AF243">IFERROR(INDEX('TB-EQUIPMENT &amp; OTHER HPs'!$W$91:$W$130,MATCH($E243&amp;$F243,'TB-EQUIPMENT &amp; OTHER HPs'!$E$91:$E$130&amp;'TB-EQUIPMENT &amp; OTHER HPs'!$I$91:$I$130,0)),0)</f>
        <v>0</v>
      </c>
      <c r="AG243" s="626">
        <f t="shared" si="303"/>
        <v>0</v>
      </c>
      <c r="AH243" s="626">
        <f t="shared" si="304"/>
        <v>0</v>
      </c>
      <c r="AI243" s="626">
        <f t="shared" si="305"/>
        <v>0</v>
      </c>
      <c r="AJ243" s="625">
        <f t="array" ref="AJ243">IFERROR(INDEX('TB-EQUIPMENT &amp; OTHER HPs'!$X$91:$X$130,MATCH($E243&amp;$F243,'TB-EQUIPMENT &amp; OTHER HPs'!$E$91:$E$130&amp;'TB-EQUIPMENT &amp; OTHER HPs'!$I$91:$I$130,0)),0)</f>
        <v>0</v>
      </c>
      <c r="AK243" s="626">
        <f t="shared" si="306"/>
        <v>0</v>
      </c>
      <c r="AL243" s="626">
        <f t="shared" si="307"/>
        <v>0</v>
      </c>
      <c r="AM243" s="626">
        <f t="shared" si="308"/>
        <v>0</v>
      </c>
      <c r="AN243" s="625">
        <f t="array" ref="AN243">IFERROR(INDEX('TB-EQUIPMENT &amp; OTHER HPs'!$Y$91:$Y$130,MATCH($E243&amp;$F243,'TB-EQUIPMENT &amp; OTHER HPs'!$E$91:$E$130&amp;'TB-EQUIPMENT &amp; OTHER HPs'!$I$91:$I$130,0)),0)</f>
        <v>0</v>
      </c>
      <c r="AO243" s="626">
        <f t="shared" si="309"/>
        <v>0</v>
      </c>
      <c r="AP243" s="626">
        <f t="shared" si="310"/>
        <v>0</v>
      </c>
      <c r="AQ243" s="626">
        <f t="shared" si="311"/>
        <v>0</v>
      </c>
      <c r="AR243" s="630"/>
      <c r="AS243" s="625">
        <f t="array" ref="AS243">IFERROR(INDEX('TB-EQUIPMENT &amp; OTHER HPs'!$AB$91:$AB$130,MATCH($E243&amp;$F243,'TB-EQUIPMENT &amp; OTHER HPs'!$E$91:$E$130&amp;'TB-EQUIPMENT &amp; OTHER HPs'!$I$91:$I$130,0)),0)</f>
        <v>0</v>
      </c>
      <c r="AT243" s="625">
        <f t="array" ref="AT243">IFERROR(INDEX('TB-EQUIPMENT &amp; OTHER HPs'!$AC$91:$AC$130,MATCH($E243&amp;$F243,'TB-EQUIPMENT &amp; OTHER HPs'!$E$91:$E$130&amp;'TB-EQUIPMENT &amp; OTHER HPs'!$I$91:$I$130,0)),0)</f>
        <v>0</v>
      </c>
      <c r="AU243" s="626">
        <f t="shared" si="312"/>
        <v>0</v>
      </c>
      <c r="AV243" s="626">
        <f t="shared" si="313"/>
        <v>0</v>
      </c>
      <c r="AW243" s="626">
        <f t="shared" si="314"/>
        <v>0</v>
      </c>
      <c r="AX243" s="625">
        <f t="array" ref="AX243">IFERROR(INDEX('TB-EQUIPMENT &amp; OTHER HPs'!$AD$91:$AD$130,MATCH($E243&amp;$F243,'TB-EQUIPMENT &amp; OTHER HPs'!$E$91:$E$130&amp;'TB-EQUIPMENT &amp; OTHER HPs'!$I$91:$I$130,0)),0)</f>
        <v>0</v>
      </c>
      <c r="AY243" s="626">
        <f t="shared" si="315"/>
        <v>0</v>
      </c>
      <c r="AZ243" s="626">
        <f t="shared" si="316"/>
        <v>0</v>
      </c>
      <c r="BA243" s="626">
        <f t="shared" si="317"/>
        <v>0</v>
      </c>
      <c r="BB243" s="625">
        <f t="array" ref="BB243">IFERROR(INDEX('TB-EQUIPMENT &amp; OTHER HPs'!$AE$91:$AE$130,MATCH($E243&amp;$F243,'TB-EQUIPMENT &amp; OTHER HPs'!$E$91:$E$130&amp;'TB-EQUIPMENT &amp; OTHER HPs'!$I$91:$I$130,0)),0)</f>
        <v>0</v>
      </c>
      <c r="BC243" s="626">
        <f t="shared" si="318"/>
        <v>0</v>
      </c>
      <c r="BD243" s="626">
        <f t="shared" si="319"/>
        <v>0</v>
      </c>
      <c r="BE243" s="626">
        <f t="shared" si="320"/>
        <v>0</v>
      </c>
      <c r="BF243" s="625">
        <f t="array" ref="BF243">IFERROR(INDEX('TB-EQUIPMENT &amp; OTHER HPs'!$AF$91:$AF$130,MATCH($E243&amp;$F243,'TB-EQUIPMENT &amp; OTHER HPs'!$E$91:$E$130&amp;'TB-EQUIPMENT &amp; OTHER HPs'!$I$91:$I$130,0)),0)</f>
        <v>0</v>
      </c>
      <c r="BG243" s="626">
        <f t="shared" si="321"/>
        <v>0</v>
      </c>
      <c r="BH243" s="626">
        <f t="shared" si="322"/>
        <v>0</v>
      </c>
      <c r="BI243" s="626">
        <f t="shared" si="323"/>
        <v>0</v>
      </c>
      <c r="BJ243" s="630"/>
      <c r="BK243" s="625"/>
      <c r="BL243" s="625"/>
      <c r="BM243" s="625"/>
      <c r="BN243" s="625"/>
      <c r="BO243" s="625"/>
      <c r="BP243" s="625"/>
      <c r="BQ243" s="625"/>
      <c r="BR243" s="625"/>
    </row>
    <row r="244" spans="1:70">
      <c r="A244" s="29" t="s">
        <v>1754</v>
      </c>
      <c r="B244" s="29" t="s">
        <v>1837</v>
      </c>
      <c r="C244" s="619">
        <f>SETUP!$F$43</f>
        <v>0</v>
      </c>
      <c r="D244" s="25">
        <v>5.6</v>
      </c>
      <c r="E244" s="26" t="s">
        <v>331</v>
      </c>
      <c r="F244" s="26" t="s">
        <v>856</v>
      </c>
      <c r="G244" s="625" t="str">
        <f t="array" ref="G244">IFERROR(INDEX('TB-EQUIPMENT &amp; OTHER HPs'!$L$91:$L$130,MATCH($E244&amp;$F244,'TB-EQUIPMENT &amp; OTHER HPs'!$E$91:$E$130&amp;'TB-EQUIPMENT &amp; OTHER HPs'!$I$91:$I$130,0)),"")</f>
        <v/>
      </c>
      <c r="H244" s="625" t="str">
        <f t="array" ref="H244">IFERROR(INDEX('TB-EQUIPMENT &amp; OTHER HPs'!$M$91:$M$130,MATCH($E244&amp;$F244,'TB-EQUIPMENT &amp; OTHER HPs'!$E$91:$E$130&amp;'TB-EQUIPMENT &amp; OTHER HPs'!$I$91:$I$130,0)),"")</f>
        <v/>
      </c>
      <c r="I244" s="625">
        <f t="array" ref="I244">IFERROR(INDEX('TB-EQUIPMENT &amp; OTHER HPs'!$N$91:$N$130,MATCH($E244&amp;$F244,'TB-EQUIPMENT &amp; OTHER HPs'!$E$91:$E$130&amp;'TB-EQUIPMENT &amp; OTHER HPs'!$I$91:$I$130,0)),0)</f>
        <v>0</v>
      </c>
      <c r="J244" s="625">
        <f t="array" ref="J244">IFERROR(INDEX('TB-EQUIPMENT &amp; OTHER HPs'!$O$91:$O$130,MATCH($E244&amp;$F244,'TB-EQUIPMENT &amp; OTHER HPs'!$E$91:$E$130&amp;'TB-EQUIPMENT &amp; OTHER HPs'!$I$91:$I$130,0)),0)</f>
        <v>0</v>
      </c>
      <c r="K244" s="626">
        <f t="shared" si="288"/>
        <v>0</v>
      </c>
      <c r="L244" s="626">
        <f t="shared" si="289"/>
        <v>0</v>
      </c>
      <c r="M244" s="626">
        <f t="shared" si="290"/>
        <v>0</v>
      </c>
      <c r="N244" s="625">
        <f t="array" ref="N244">IFERROR(INDEX('TB-EQUIPMENT &amp; OTHER HPs'!$P$91:$P$130,MATCH($E244&amp;$F244,'TB-EQUIPMENT &amp; OTHER HPs'!$E$91:$E$130&amp;'TB-EQUIPMENT &amp; OTHER HPs'!$I$91:$I$130,0)),0)</f>
        <v>0</v>
      </c>
      <c r="O244" s="626">
        <f t="shared" si="291"/>
        <v>0</v>
      </c>
      <c r="P244" s="626">
        <f t="shared" si="292"/>
        <v>0</v>
      </c>
      <c r="Q244" s="626">
        <f t="shared" si="293"/>
        <v>0</v>
      </c>
      <c r="R244" s="625">
        <f t="array" ref="R244">IFERROR(INDEX('TB-EQUIPMENT &amp; OTHER HPs'!$Q$91:$Q$130,MATCH($E244&amp;$F244,'TB-EQUIPMENT &amp; OTHER HPs'!$E$91:$E$130&amp;'TB-EQUIPMENT &amp; OTHER HPs'!$I$91:$I$130,0)),0)</f>
        <v>0</v>
      </c>
      <c r="S244" s="626">
        <f t="shared" si="294"/>
        <v>0</v>
      </c>
      <c r="T244" s="626">
        <f t="shared" si="295"/>
        <v>0</v>
      </c>
      <c r="U244" s="626">
        <f t="shared" si="296"/>
        <v>0</v>
      </c>
      <c r="V244" s="625">
        <f t="array" ref="V244">IFERROR(INDEX('TB-EQUIPMENT &amp; OTHER HPs'!$R$91:$R$130,MATCH($E244&amp;$F244,'TB-EQUIPMENT &amp; OTHER HPs'!$E$91:$E$130&amp;'TB-EQUIPMENT &amp; OTHER HPs'!$I$91:$I$130,0)),0)</f>
        <v>0</v>
      </c>
      <c r="W244" s="626">
        <f t="shared" si="297"/>
        <v>0</v>
      </c>
      <c r="X244" s="626">
        <f t="shared" si="298"/>
        <v>0</v>
      </c>
      <c r="Y244" s="626">
        <f t="shared" si="299"/>
        <v>0</v>
      </c>
      <c r="Z244" s="630"/>
      <c r="AA244" s="625">
        <f t="array" ref="AA244">IFERROR(INDEX('TB-EQUIPMENT &amp; OTHER HPs'!$U$91:$U$130,MATCH($E244&amp;$F244,'TB-EQUIPMENT &amp; OTHER HPs'!$E$91:$E$130&amp;'TB-EQUIPMENT &amp; OTHER HPs'!$I$91:$I$130,0)),0)</f>
        <v>0</v>
      </c>
      <c r="AB244" s="625">
        <f t="array" ref="AB244">IFERROR(INDEX('TB-EQUIPMENT &amp; OTHER HPs'!$V$91:$V$130,MATCH($E244&amp;$F244,'TB-EQUIPMENT &amp; OTHER HPs'!$E$91:$E$130&amp;'TB-EQUIPMENT &amp; OTHER HPs'!$I$91:$I$130,0)),0)</f>
        <v>0</v>
      </c>
      <c r="AC244" s="626">
        <f t="shared" si="300"/>
        <v>0</v>
      </c>
      <c r="AD244" s="626">
        <f t="shared" si="301"/>
        <v>0</v>
      </c>
      <c r="AE244" s="626">
        <f t="shared" si="302"/>
        <v>0</v>
      </c>
      <c r="AF244" s="625">
        <f t="array" ref="AF244">IFERROR(INDEX('TB-EQUIPMENT &amp; OTHER HPs'!$W$91:$W$130,MATCH($E244&amp;$F244,'TB-EQUIPMENT &amp; OTHER HPs'!$E$91:$E$130&amp;'TB-EQUIPMENT &amp; OTHER HPs'!$I$91:$I$130,0)),0)</f>
        <v>0</v>
      </c>
      <c r="AG244" s="626">
        <f t="shared" si="303"/>
        <v>0</v>
      </c>
      <c r="AH244" s="626">
        <f t="shared" si="304"/>
        <v>0</v>
      </c>
      <c r="AI244" s="626">
        <f t="shared" si="305"/>
        <v>0</v>
      </c>
      <c r="AJ244" s="625">
        <f t="array" ref="AJ244">IFERROR(INDEX('TB-EQUIPMENT &amp; OTHER HPs'!$X$91:$X$130,MATCH($E244&amp;$F244,'TB-EQUIPMENT &amp; OTHER HPs'!$E$91:$E$130&amp;'TB-EQUIPMENT &amp; OTHER HPs'!$I$91:$I$130,0)),0)</f>
        <v>0</v>
      </c>
      <c r="AK244" s="626">
        <f t="shared" si="306"/>
        <v>0</v>
      </c>
      <c r="AL244" s="626">
        <f t="shared" si="307"/>
        <v>0</v>
      </c>
      <c r="AM244" s="626">
        <f t="shared" si="308"/>
        <v>0</v>
      </c>
      <c r="AN244" s="625">
        <f t="array" ref="AN244">IFERROR(INDEX('TB-EQUIPMENT &amp; OTHER HPs'!$Y$91:$Y$130,MATCH($E244&amp;$F244,'TB-EQUIPMENT &amp; OTHER HPs'!$E$91:$E$130&amp;'TB-EQUIPMENT &amp; OTHER HPs'!$I$91:$I$130,0)),0)</f>
        <v>0</v>
      </c>
      <c r="AO244" s="626">
        <f t="shared" si="309"/>
        <v>0</v>
      </c>
      <c r="AP244" s="626">
        <f t="shared" si="310"/>
        <v>0</v>
      </c>
      <c r="AQ244" s="626">
        <f t="shared" si="311"/>
        <v>0</v>
      </c>
      <c r="AR244" s="630"/>
      <c r="AS244" s="625">
        <f t="array" ref="AS244">IFERROR(INDEX('TB-EQUIPMENT &amp; OTHER HPs'!$AB$91:$AB$130,MATCH($E244&amp;$F244,'TB-EQUIPMENT &amp; OTHER HPs'!$E$91:$E$130&amp;'TB-EQUIPMENT &amp; OTHER HPs'!$I$91:$I$130,0)),0)</f>
        <v>0</v>
      </c>
      <c r="AT244" s="625">
        <f t="array" ref="AT244">IFERROR(INDEX('TB-EQUIPMENT &amp; OTHER HPs'!$AC$91:$AC$130,MATCH($E244&amp;$F244,'TB-EQUIPMENT &amp; OTHER HPs'!$E$91:$E$130&amp;'TB-EQUIPMENT &amp; OTHER HPs'!$I$91:$I$130,0)),0)</f>
        <v>0</v>
      </c>
      <c r="AU244" s="626">
        <f t="shared" si="312"/>
        <v>0</v>
      </c>
      <c r="AV244" s="626">
        <f t="shared" si="313"/>
        <v>0</v>
      </c>
      <c r="AW244" s="626">
        <f t="shared" si="314"/>
        <v>0</v>
      </c>
      <c r="AX244" s="625">
        <f t="array" ref="AX244">IFERROR(INDEX('TB-EQUIPMENT &amp; OTHER HPs'!$AD$91:$AD$130,MATCH($E244&amp;$F244,'TB-EQUIPMENT &amp; OTHER HPs'!$E$91:$E$130&amp;'TB-EQUIPMENT &amp; OTHER HPs'!$I$91:$I$130,0)),0)</f>
        <v>0</v>
      </c>
      <c r="AY244" s="626">
        <f t="shared" si="315"/>
        <v>0</v>
      </c>
      <c r="AZ244" s="626">
        <f t="shared" si="316"/>
        <v>0</v>
      </c>
      <c r="BA244" s="626">
        <f t="shared" si="317"/>
        <v>0</v>
      </c>
      <c r="BB244" s="625">
        <f t="array" ref="BB244">IFERROR(INDEX('TB-EQUIPMENT &amp; OTHER HPs'!$AE$91:$AE$130,MATCH($E244&amp;$F244,'TB-EQUIPMENT &amp; OTHER HPs'!$E$91:$E$130&amp;'TB-EQUIPMENT &amp; OTHER HPs'!$I$91:$I$130,0)),0)</f>
        <v>0</v>
      </c>
      <c r="BC244" s="626">
        <f t="shared" si="318"/>
        <v>0</v>
      </c>
      <c r="BD244" s="626">
        <f t="shared" si="319"/>
        <v>0</v>
      </c>
      <c r="BE244" s="626">
        <f t="shared" si="320"/>
        <v>0</v>
      </c>
      <c r="BF244" s="625">
        <f t="array" ref="BF244">IFERROR(INDEX('TB-EQUIPMENT &amp; OTHER HPs'!$AF$91:$AF$130,MATCH($E244&amp;$F244,'TB-EQUIPMENT &amp; OTHER HPs'!$E$91:$E$130&amp;'TB-EQUIPMENT &amp; OTHER HPs'!$I$91:$I$130,0)),0)</f>
        <v>0</v>
      </c>
      <c r="BG244" s="626">
        <f t="shared" si="321"/>
        <v>0</v>
      </c>
      <c r="BH244" s="626">
        <f t="shared" si="322"/>
        <v>0</v>
      </c>
      <c r="BI244" s="626">
        <f t="shared" si="323"/>
        <v>0</v>
      </c>
      <c r="BJ244" s="630"/>
      <c r="BK244" s="625"/>
      <c r="BL244" s="625"/>
      <c r="BM244" s="625"/>
      <c r="BN244" s="625"/>
      <c r="BO244" s="625"/>
      <c r="BP244" s="625"/>
      <c r="BQ244" s="625"/>
      <c r="BR244" s="625"/>
    </row>
    <row r="245" spans="1:70">
      <c r="A245" s="29" t="s">
        <v>1754</v>
      </c>
      <c r="B245" s="29" t="s">
        <v>1837</v>
      </c>
      <c r="C245" s="619">
        <f>SETUP!$F$43</f>
        <v>0</v>
      </c>
      <c r="D245" s="25">
        <v>5.6</v>
      </c>
      <c r="E245" s="26" t="s">
        <v>331</v>
      </c>
      <c r="F245" s="26" t="s">
        <v>853</v>
      </c>
      <c r="G245" s="625" t="str">
        <f t="array" ref="G245">IFERROR(INDEX('TB-EQUIPMENT &amp; OTHER HPs'!$L$91:$L$130,MATCH($E245&amp;$F245,'TB-EQUIPMENT &amp; OTHER HPs'!$E$91:$E$130&amp;'TB-EQUIPMENT &amp; OTHER HPs'!$I$91:$I$130,0)),"")</f>
        <v/>
      </c>
      <c r="H245" s="625" t="str">
        <f t="array" ref="H245">IFERROR(INDEX('TB-EQUIPMENT &amp; OTHER HPs'!$M$91:$M$130,MATCH($E245&amp;$F245,'TB-EQUIPMENT &amp; OTHER HPs'!$E$91:$E$130&amp;'TB-EQUIPMENT &amp; OTHER HPs'!$I$91:$I$130,0)),"")</f>
        <v/>
      </c>
      <c r="I245" s="625">
        <f t="array" ref="I245">IFERROR(INDEX('TB-EQUIPMENT &amp; OTHER HPs'!$N$91:$N$130,MATCH($E245&amp;$F245,'TB-EQUIPMENT &amp; OTHER HPs'!$E$91:$E$130&amp;'TB-EQUIPMENT &amp; OTHER HPs'!$I$91:$I$130,0)),0)</f>
        <v>0</v>
      </c>
      <c r="J245" s="625">
        <f t="array" ref="J245">IFERROR(INDEX('TB-EQUIPMENT &amp; OTHER HPs'!$O$91:$O$130,MATCH($E245&amp;$F245,'TB-EQUIPMENT &amp; OTHER HPs'!$E$91:$E$130&amp;'TB-EQUIPMENT &amp; OTHER HPs'!$I$91:$I$130,0)),0)</f>
        <v>0</v>
      </c>
      <c r="K245" s="626">
        <f t="shared" si="288"/>
        <v>0</v>
      </c>
      <c r="L245" s="626">
        <f t="shared" si="289"/>
        <v>0</v>
      </c>
      <c r="M245" s="626">
        <f t="shared" si="290"/>
        <v>0</v>
      </c>
      <c r="N245" s="625">
        <f t="array" ref="N245">IFERROR(INDEX('TB-EQUIPMENT &amp; OTHER HPs'!$P$91:$P$130,MATCH($E245&amp;$F245,'TB-EQUIPMENT &amp; OTHER HPs'!$E$91:$E$130&amp;'TB-EQUIPMENT &amp; OTHER HPs'!$I$91:$I$130,0)),0)</f>
        <v>0</v>
      </c>
      <c r="O245" s="626">
        <f t="shared" si="291"/>
        <v>0</v>
      </c>
      <c r="P245" s="626">
        <f t="shared" si="292"/>
        <v>0</v>
      </c>
      <c r="Q245" s="626">
        <f t="shared" si="293"/>
        <v>0</v>
      </c>
      <c r="R245" s="625">
        <f t="array" ref="R245">IFERROR(INDEX('TB-EQUIPMENT &amp; OTHER HPs'!$Q$91:$Q$130,MATCH($E245&amp;$F245,'TB-EQUIPMENT &amp; OTHER HPs'!$E$91:$E$130&amp;'TB-EQUIPMENT &amp; OTHER HPs'!$I$91:$I$130,0)),0)</f>
        <v>0</v>
      </c>
      <c r="S245" s="626">
        <f t="shared" si="294"/>
        <v>0</v>
      </c>
      <c r="T245" s="626">
        <f t="shared" si="295"/>
        <v>0</v>
      </c>
      <c r="U245" s="626">
        <f t="shared" si="296"/>
        <v>0</v>
      </c>
      <c r="V245" s="625">
        <f t="array" ref="V245">IFERROR(INDEX('TB-EQUIPMENT &amp; OTHER HPs'!$R$91:$R$130,MATCH($E245&amp;$F245,'TB-EQUIPMENT &amp; OTHER HPs'!$E$91:$E$130&amp;'TB-EQUIPMENT &amp; OTHER HPs'!$I$91:$I$130,0)),0)</f>
        <v>0</v>
      </c>
      <c r="W245" s="626">
        <f t="shared" si="297"/>
        <v>0</v>
      </c>
      <c r="X245" s="626">
        <f t="shared" si="298"/>
        <v>0</v>
      </c>
      <c r="Y245" s="626">
        <f t="shared" si="299"/>
        <v>0</v>
      </c>
      <c r="Z245" s="630"/>
      <c r="AA245" s="625">
        <f t="array" ref="AA245">IFERROR(INDEX('TB-EQUIPMENT &amp; OTHER HPs'!$U$91:$U$130,MATCH($E245&amp;$F245,'TB-EQUIPMENT &amp; OTHER HPs'!$E$91:$E$130&amp;'TB-EQUIPMENT &amp; OTHER HPs'!$I$91:$I$130,0)),0)</f>
        <v>0</v>
      </c>
      <c r="AB245" s="625">
        <f t="array" ref="AB245">IFERROR(INDEX('TB-EQUIPMENT &amp; OTHER HPs'!$V$91:$V$130,MATCH($E245&amp;$F245,'TB-EQUIPMENT &amp; OTHER HPs'!$E$91:$E$130&amp;'TB-EQUIPMENT &amp; OTHER HPs'!$I$91:$I$130,0)),0)</f>
        <v>0</v>
      </c>
      <c r="AC245" s="626">
        <f t="shared" si="300"/>
        <v>0</v>
      </c>
      <c r="AD245" s="626">
        <f t="shared" si="301"/>
        <v>0</v>
      </c>
      <c r="AE245" s="626">
        <f t="shared" si="302"/>
        <v>0</v>
      </c>
      <c r="AF245" s="625">
        <f t="array" ref="AF245">IFERROR(INDEX('TB-EQUIPMENT &amp; OTHER HPs'!$W$91:$W$130,MATCH($E245&amp;$F245,'TB-EQUIPMENT &amp; OTHER HPs'!$E$91:$E$130&amp;'TB-EQUIPMENT &amp; OTHER HPs'!$I$91:$I$130,0)),0)</f>
        <v>0</v>
      </c>
      <c r="AG245" s="626">
        <f t="shared" si="303"/>
        <v>0</v>
      </c>
      <c r="AH245" s="626">
        <f t="shared" si="304"/>
        <v>0</v>
      </c>
      <c r="AI245" s="626">
        <f t="shared" si="305"/>
        <v>0</v>
      </c>
      <c r="AJ245" s="625">
        <f t="array" ref="AJ245">IFERROR(INDEX('TB-EQUIPMENT &amp; OTHER HPs'!$X$91:$X$130,MATCH($E245&amp;$F245,'TB-EQUIPMENT &amp; OTHER HPs'!$E$91:$E$130&amp;'TB-EQUIPMENT &amp; OTHER HPs'!$I$91:$I$130,0)),0)</f>
        <v>0</v>
      </c>
      <c r="AK245" s="626">
        <f t="shared" si="306"/>
        <v>0</v>
      </c>
      <c r="AL245" s="626">
        <f t="shared" si="307"/>
        <v>0</v>
      </c>
      <c r="AM245" s="626">
        <f t="shared" si="308"/>
        <v>0</v>
      </c>
      <c r="AN245" s="625">
        <f t="array" ref="AN245">IFERROR(INDEX('TB-EQUIPMENT &amp; OTHER HPs'!$Y$91:$Y$130,MATCH($E245&amp;$F245,'TB-EQUIPMENT &amp; OTHER HPs'!$E$91:$E$130&amp;'TB-EQUIPMENT &amp; OTHER HPs'!$I$91:$I$130,0)),0)</f>
        <v>0</v>
      </c>
      <c r="AO245" s="626">
        <f t="shared" si="309"/>
        <v>0</v>
      </c>
      <c r="AP245" s="626">
        <f t="shared" si="310"/>
        <v>0</v>
      </c>
      <c r="AQ245" s="626">
        <f t="shared" si="311"/>
        <v>0</v>
      </c>
      <c r="AR245" s="630"/>
      <c r="AS245" s="625">
        <f t="array" ref="AS245">IFERROR(INDEX('TB-EQUIPMENT &amp; OTHER HPs'!$AB$91:$AB$130,MATCH($E245&amp;$F245,'TB-EQUIPMENT &amp; OTHER HPs'!$E$91:$E$130&amp;'TB-EQUIPMENT &amp; OTHER HPs'!$I$91:$I$130,0)),0)</f>
        <v>0</v>
      </c>
      <c r="AT245" s="625">
        <f t="array" ref="AT245">IFERROR(INDEX('TB-EQUIPMENT &amp; OTHER HPs'!$AC$91:$AC$130,MATCH($E245&amp;$F245,'TB-EQUIPMENT &amp; OTHER HPs'!$E$91:$E$130&amp;'TB-EQUIPMENT &amp; OTHER HPs'!$I$91:$I$130,0)),0)</f>
        <v>0</v>
      </c>
      <c r="AU245" s="626">
        <f t="shared" si="312"/>
        <v>0</v>
      </c>
      <c r="AV245" s="626">
        <f t="shared" si="313"/>
        <v>0</v>
      </c>
      <c r="AW245" s="626">
        <f t="shared" si="314"/>
        <v>0</v>
      </c>
      <c r="AX245" s="625">
        <f t="array" ref="AX245">IFERROR(INDEX('TB-EQUIPMENT &amp; OTHER HPs'!$AD$91:$AD$130,MATCH($E245&amp;$F245,'TB-EQUIPMENT &amp; OTHER HPs'!$E$91:$E$130&amp;'TB-EQUIPMENT &amp; OTHER HPs'!$I$91:$I$130,0)),0)</f>
        <v>0</v>
      </c>
      <c r="AY245" s="626">
        <f t="shared" si="315"/>
        <v>0</v>
      </c>
      <c r="AZ245" s="626">
        <f t="shared" si="316"/>
        <v>0</v>
      </c>
      <c r="BA245" s="626">
        <f t="shared" si="317"/>
        <v>0</v>
      </c>
      <c r="BB245" s="625">
        <f t="array" ref="BB245">IFERROR(INDEX('TB-EQUIPMENT &amp; OTHER HPs'!$AE$91:$AE$130,MATCH($E245&amp;$F245,'TB-EQUIPMENT &amp; OTHER HPs'!$E$91:$E$130&amp;'TB-EQUIPMENT &amp; OTHER HPs'!$I$91:$I$130,0)),0)</f>
        <v>0</v>
      </c>
      <c r="BC245" s="626">
        <f t="shared" si="318"/>
        <v>0</v>
      </c>
      <c r="BD245" s="626">
        <f t="shared" si="319"/>
        <v>0</v>
      </c>
      <c r="BE245" s="626">
        <f t="shared" si="320"/>
        <v>0</v>
      </c>
      <c r="BF245" s="625">
        <f t="array" ref="BF245">IFERROR(INDEX('TB-EQUIPMENT &amp; OTHER HPs'!$AF$91:$AF$130,MATCH($E245&amp;$F245,'TB-EQUIPMENT &amp; OTHER HPs'!$E$91:$E$130&amp;'TB-EQUIPMENT &amp; OTHER HPs'!$I$91:$I$130,0)),0)</f>
        <v>0</v>
      </c>
      <c r="BG245" s="626">
        <f t="shared" si="321"/>
        <v>0</v>
      </c>
      <c r="BH245" s="626">
        <f t="shared" si="322"/>
        <v>0</v>
      </c>
      <c r="BI245" s="626">
        <f t="shared" si="323"/>
        <v>0</v>
      </c>
      <c r="BJ245" s="630"/>
      <c r="BK245" s="625"/>
      <c r="BL245" s="625"/>
      <c r="BM245" s="625"/>
      <c r="BN245" s="625"/>
      <c r="BO245" s="625"/>
      <c r="BP245" s="625"/>
      <c r="BQ245" s="625"/>
      <c r="BR245" s="625"/>
    </row>
    <row r="246" spans="1:70">
      <c r="A246" s="29" t="s">
        <v>1754</v>
      </c>
      <c r="B246" s="29" t="s">
        <v>1837</v>
      </c>
      <c r="C246" s="619">
        <f>SETUP!$F$43</f>
        <v>0</v>
      </c>
      <c r="D246" s="25">
        <v>5.6</v>
      </c>
      <c r="E246" s="26" t="s">
        <v>331</v>
      </c>
      <c r="F246" s="26" t="s">
        <v>854</v>
      </c>
      <c r="G246" s="625" t="str">
        <f t="array" ref="G246">IFERROR(INDEX('TB-EQUIPMENT &amp; OTHER HPs'!$L$91:$L$130,MATCH($E246&amp;$F246,'TB-EQUIPMENT &amp; OTHER HPs'!$E$91:$E$130&amp;'TB-EQUIPMENT &amp; OTHER HPs'!$I$91:$I$130,0)),"")</f>
        <v/>
      </c>
      <c r="H246" s="625" t="str">
        <f t="array" ref="H246">IFERROR(INDEX('TB-EQUIPMENT &amp; OTHER HPs'!$M$91:$M$130,MATCH($E246&amp;$F246,'TB-EQUIPMENT &amp; OTHER HPs'!$E$91:$E$130&amp;'TB-EQUIPMENT &amp; OTHER HPs'!$I$91:$I$130,0)),"")</f>
        <v/>
      </c>
      <c r="I246" s="625">
        <f t="array" ref="I246">IFERROR(INDEX('TB-EQUIPMENT &amp; OTHER HPs'!$N$91:$N$130,MATCH($E246&amp;$F246,'TB-EQUIPMENT &amp; OTHER HPs'!$E$91:$E$130&amp;'TB-EQUIPMENT &amp; OTHER HPs'!$I$91:$I$130,0)),0)</f>
        <v>0</v>
      </c>
      <c r="J246" s="625">
        <f t="array" ref="J246">IFERROR(INDEX('TB-EQUIPMENT &amp; OTHER HPs'!$O$91:$O$130,MATCH($E246&amp;$F246,'TB-EQUIPMENT &amp; OTHER HPs'!$E$91:$E$130&amp;'TB-EQUIPMENT &amp; OTHER HPs'!$I$91:$I$130,0)),0)</f>
        <v>0</v>
      </c>
      <c r="K246" s="626">
        <f t="shared" si="288"/>
        <v>0</v>
      </c>
      <c r="L246" s="626">
        <f t="shared" si="289"/>
        <v>0</v>
      </c>
      <c r="M246" s="626">
        <f t="shared" si="290"/>
        <v>0</v>
      </c>
      <c r="N246" s="625">
        <f t="array" ref="N246">IFERROR(INDEX('TB-EQUIPMENT &amp; OTHER HPs'!$P$91:$P$130,MATCH($E246&amp;$F246,'TB-EQUIPMENT &amp; OTHER HPs'!$E$91:$E$130&amp;'TB-EQUIPMENT &amp; OTHER HPs'!$I$91:$I$130,0)),0)</f>
        <v>0</v>
      </c>
      <c r="O246" s="626">
        <f t="shared" si="291"/>
        <v>0</v>
      </c>
      <c r="P246" s="626">
        <f t="shared" si="292"/>
        <v>0</v>
      </c>
      <c r="Q246" s="626">
        <f t="shared" si="293"/>
        <v>0</v>
      </c>
      <c r="R246" s="625">
        <f t="array" ref="R246">IFERROR(INDEX('TB-EQUIPMENT &amp; OTHER HPs'!$Q$91:$Q$130,MATCH($E246&amp;$F246,'TB-EQUIPMENT &amp; OTHER HPs'!$E$91:$E$130&amp;'TB-EQUIPMENT &amp; OTHER HPs'!$I$91:$I$130,0)),0)</f>
        <v>0</v>
      </c>
      <c r="S246" s="626">
        <f t="shared" si="294"/>
        <v>0</v>
      </c>
      <c r="T246" s="626">
        <f t="shared" si="295"/>
        <v>0</v>
      </c>
      <c r="U246" s="626">
        <f t="shared" si="296"/>
        <v>0</v>
      </c>
      <c r="V246" s="625">
        <f t="array" ref="V246">IFERROR(INDEX('TB-EQUIPMENT &amp; OTHER HPs'!$R$91:$R$130,MATCH($E246&amp;$F246,'TB-EQUIPMENT &amp; OTHER HPs'!$E$91:$E$130&amp;'TB-EQUIPMENT &amp; OTHER HPs'!$I$91:$I$130,0)),0)</f>
        <v>0</v>
      </c>
      <c r="W246" s="626">
        <f t="shared" si="297"/>
        <v>0</v>
      </c>
      <c r="X246" s="626">
        <f t="shared" si="298"/>
        <v>0</v>
      </c>
      <c r="Y246" s="626">
        <f t="shared" si="299"/>
        <v>0</v>
      </c>
      <c r="Z246" s="630"/>
      <c r="AA246" s="625">
        <f t="array" ref="AA246">IFERROR(INDEX('TB-EQUIPMENT &amp; OTHER HPs'!$U$91:$U$130,MATCH($E246&amp;$F246,'TB-EQUIPMENT &amp; OTHER HPs'!$E$91:$E$130&amp;'TB-EQUIPMENT &amp; OTHER HPs'!$I$91:$I$130,0)),0)</f>
        <v>0</v>
      </c>
      <c r="AB246" s="625">
        <f t="array" ref="AB246">IFERROR(INDEX('TB-EQUIPMENT &amp; OTHER HPs'!$V$91:$V$130,MATCH($E246&amp;$F246,'TB-EQUIPMENT &amp; OTHER HPs'!$E$91:$E$130&amp;'TB-EQUIPMENT &amp; OTHER HPs'!$I$91:$I$130,0)),0)</f>
        <v>0</v>
      </c>
      <c r="AC246" s="626">
        <f t="shared" si="300"/>
        <v>0</v>
      </c>
      <c r="AD246" s="626">
        <f t="shared" si="301"/>
        <v>0</v>
      </c>
      <c r="AE246" s="626">
        <f t="shared" si="302"/>
        <v>0</v>
      </c>
      <c r="AF246" s="625">
        <f t="array" ref="AF246">IFERROR(INDEX('TB-EQUIPMENT &amp; OTHER HPs'!$W$91:$W$130,MATCH($E246&amp;$F246,'TB-EQUIPMENT &amp; OTHER HPs'!$E$91:$E$130&amp;'TB-EQUIPMENT &amp; OTHER HPs'!$I$91:$I$130,0)),0)</f>
        <v>0</v>
      </c>
      <c r="AG246" s="626">
        <f t="shared" si="303"/>
        <v>0</v>
      </c>
      <c r="AH246" s="626">
        <f t="shared" si="304"/>
        <v>0</v>
      </c>
      <c r="AI246" s="626">
        <f t="shared" si="305"/>
        <v>0</v>
      </c>
      <c r="AJ246" s="625">
        <f t="array" ref="AJ246">IFERROR(INDEX('TB-EQUIPMENT &amp; OTHER HPs'!$X$91:$X$130,MATCH($E246&amp;$F246,'TB-EQUIPMENT &amp; OTHER HPs'!$E$91:$E$130&amp;'TB-EQUIPMENT &amp; OTHER HPs'!$I$91:$I$130,0)),0)</f>
        <v>0</v>
      </c>
      <c r="AK246" s="626">
        <f t="shared" si="306"/>
        <v>0</v>
      </c>
      <c r="AL246" s="626">
        <f t="shared" si="307"/>
        <v>0</v>
      </c>
      <c r="AM246" s="626">
        <f t="shared" si="308"/>
        <v>0</v>
      </c>
      <c r="AN246" s="625">
        <f t="array" ref="AN246">IFERROR(INDEX('TB-EQUIPMENT &amp; OTHER HPs'!$Y$91:$Y$130,MATCH($E246&amp;$F246,'TB-EQUIPMENT &amp; OTHER HPs'!$E$91:$E$130&amp;'TB-EQUIPMENT &amp; OTHER HPs'!$I$91:$I$130,0)),0)</f>
        <v>0</v>
      </c>
      <c r="AO246" s="626">
        <f t="shared" si="309"/>
        <v>0</v>
      </c>
      <c r="AP246" s="626">
        <f t="shared" si="310"/>
        <v>0</v>
      </c>
      <c r="AQ246" s="626">
        <f t="shared" si="311"/>
        <v>0</v>
      </c>
      <c r="AR246" s="630"/>
      <c r="AS246" s="625">
        <f t="array" ref="AS246">IFERROR(INDEX('TB-EQUIPMENT &amp; OTHER HPs'!$AB$91:$AB$130,MATCH($E246&amp;$F246,'TB-EQUIPMENT &amp; OTHER HPs'!$E$91:$E$130&amp;'TB-EQUIPMENT &amp; OTHER HPs'!$I$91:$I$130,0)),0)</f>
        <v>0</v>
      </c>
      <c r="AT246" s="625">
        <f t="array" ref="AT246">IFERROR(INDEX('TB-EQUIPMENT &amp; OTHER HPs'!$AC$91:$AC$130,MATCH($E246&amp;$F246,'TB-EQUIPMENT &amp; OTHER HPs'!$E$91:$E$130&amp;'TB-EQUIPMENT &amp; OTHER HPs'!$I$91:$I$130,0)),0)</f>
        <v>0</v>
      </c>
      <c r="AU246" s="626">
        <f t="shared" si="312"/>
        <v>0</v>
      </c>
      <c r="AV246" s="626">
        <f t="shared" si="313"/>
        <v>0</v>
      </c>
      <c r="AW246" s="626">
        <f t="shared" si="314"/>
        <v>0</v>
      </c>
      <c r="AX246" s="625">
        <f t="array" ref="AX246">IFERROR(INDEX('TB-EQUIPMENT &amp; OTHER HPs'!$AD$91:$AD$130,MATCH($E246&amp;$F246,'TB-EQUIPMENT &amp; OTHER HPs'!$E$91:$E$130&amp;'TB-EQUIPMENT &amp; OTHER HPs'!$I$91:$I$130,0)),0)</f>
        <v>0</v>
      </c>
      <c r="AY246" s="626">
        <f t="shared" si="315"/>
        <v>0</v>
      </c>
      <c r="AZ246" s="626">
        <f t="shared" si="316"/>
        <v>0</v>
      </c>
      <c r="BA246" s="626">
        <f t="shared" si="317"/>
        <v>0</v>
      </c>
      <c r="BB246" s="625">
        <f t="array" ref="BB246">IFERROR(INDEX('TB-EQUIPMENT &amp; OTHER HPs'!$AE$91:$AE$130,MATCH($E246&amp;$F246,'TB-EQUIPMENT &amp; OTHER HPs'!$E$91:$E$130&amp;'TB-EQUIPMENT &amp; OTHER HPs'!$I$91:$I$130,0)),0)</f>
        <v>0</v>
      </c>
      <c r="BC246" s="626">
        <f t="shared" si="318"/>
        <v>0</v>
      </c>
      <c r="BD246" s="626">
        <f t="shared" si="319"/>
        <v>0</v>
      </c>
      <c r="BE246" s="626">
        <f t="shared" si="320"/>
        <v>0</v>
      </c>
      <c r="BF246" s="625">
        <f t="array" ref="BF246">IFERROR(INDEX('TB-EQUIPMENT &amp; OTHER HPs'!$AF$91:$AF$130,MATCH($E246&amp;$F246,'TB-EQUIPMENT &amp; OTHER HPs'!$E$91:$E$130&amp;'TB-EQUIPMENT &amp; OTHER HPs'!$I$91:$I$130,0)),0)</f>
        <v>0</v>
      </c>
      <c r="BG246" s="626">
        <f t="shared" si="321"/>
        <v>0</v>
      </c>
      <c r="BH246" s="626">
        <f t="shared" si="322"/>
        <v>0</v>
      </c>
      <c r="BI246" s="626">
        <f t="shared" si="323"/>
        <v>0</v>
      </c>
      <c r="BJ246" s="630"/>
      <c r="BK246" s="625"/>
      <c r="BL246" s="625"/>
      <c r="BM246" s="625"/>
      <c r="BN246" s="625"/>
      <c r="BO246" s="625"/>
      <c r="BP246" s="625"/>
      <c r="BQ246" s="625"/>
      <c r="BR246" s="625"/>
    </row>
    <row r="247" spans="1:70">
      <c r="A247" s="29" t="s">
        <v>1754</v>
      </c>
      <c r="B247" s="29" t="s">
        <v>1837</v>
      </c>
      <c r="C247" s="619">
        <f>SETUP!$F$43</f>
        <v>0</v>
      </c>
      <c r="D247" s="25">
        <v>5.6</v>
      </c>
      <c r="E247" s="26" t="s">
        <v>331</v>
      </c>
      <c r="F247" s="26" t="s">
        <v>855</v>
      </c>
      <c r="G247" s="625" t="str">
        <f t="array" ref="G247">IFERROR(INDEX('TB-EQUIPMENT &amp; OTHER HPs'!$L$91:$L$130,MATCH($E247&amp;$F247,'TB-EQUIPMENT &amp; OTHER HPs'!$E$91:$E$130&amp;'TB-EQUIPMENT &amp; OTHER HPs'!$I$91:$I$130,0)),"")</f>
        <v/>
      </c>
      <c r="H247" s="625" t="str">
        <f t="array" ref="H247">IFERROR(INDEX('TB-EQUIPMENT &amp; OTHER HPs'!$M$91:$M$130,MATCH($E247&amp;$F247,'TB-EQUIPMENT &amp; OTHER HPs'!$E$91:$E$130&amp;'TB-EQUIPMENT &amp; OTHER HPs'!$I$91:$I$130,0)),"")</f>
        <v/>
      </c>
      <c r="I247" s="625">
        <f t="array" ref="I247">IFERROR(INDEX('TB-EQUIPMENT &amp; OTHER HPs'!$N$91:$N$130,MATCH($E247&amp;$F247,'TB-EQUIPMENT &amp; OTHER HPs'!$E$91:$E$130&amp;'TB-EQUIPMENT &amp; OTHER HPs'!$I$91:$I$130,0)),0)</f>
        <v>0</v>
      </c>
      <c r="J247" s="625">
        <f t="array" ref="J247">IFERROR(INDEX('TB-EQUIPMENT &amp; OTHER HPs'!$O$91:$O$130,MATCH($E247&amp;$F247,'TB-EQUIPMENT &amp; OTHER HPs'!$E$91:$E$130&amp;'TB-EQUIPMENT &amp; OTHER HPs'!$I$91:$I$130,0)),0)</f>
        <v>0</v>
      </c>
      <c r="K247" s="626">
        <f t="shared" ref="K247" si="324">IF(ISERROR($I247*J247),0,$I247*J247)</f>
        <v>0</v>
      </c>
      <c r="L247" s="626">
        <f t="shared" ref="L247" si="325">IF(C247="Upfront",J247,0)</f>
        <v>0</v>
      </c>
      <c r="M247" s="626">
        <f t="shared" ref="M247" si="326">IF(C247="Upfront",K247,0)</f>
        <v>0</v>
      </c>
      <c r="N247" s="625">
        <f t="array" ref="N247">IFERROR(INDEX('TB-EQUIPMENT &amp; OTHER HPs'!$P$91:$P$130,MATCH($E247&amp;$F247,'TB-EQUIPMENT &amp; OTHER HPs'!$E$91:$E$130&amp;'TB-EQUIPMENT &amp; OTHER HPs'!$I$91:$I$130,0)),0)</f>
        <v>0</v>
      </c>
      <c r="O247" s="626">
        <f t="shared" ref="O247" si="327">IF(ISERROR($I247*N247),0,$I247*N247)</f>
        <v>0</v>
      </c>
      <c r="P247" s="626">
        <f t="shared" ref="P247" si="328">IF(C247="Upfront",N247,0)</f>
        <v>0</v>
      </c>
      <c r="Q247" s="626">
        <f t="shared" ref="Q247" si="329">IF(C247="Upfront",O247,0)</f>
        <v>0</v>
      </c>
      <c r="R247" s="625">
        <f t="array" ref="R247">IFERROR(INDEX('TB-EQUIPMENT &amp; OTHER HPs'!$Q$91:$Q$130,MATCH($E247&amp;$F247,'TB-EQUIPMENT &amp; OTHER HPs'!$E$91:$E$130&amp;'TB-EQUIPMENT &amp; OTHER HPs'!$I$91:$I$130,0)),0)</f>
        <v>0</v>
      </c>
      <c r="S247" s="626">
        <f t="shared" ref="S247" si="330">IF(ISERROR($I247*R247),0,$I247*R247)</f>
        <v>0</v>
      </c>
      <c r="T247" s="626">
        <f t="shared" ref="T247" si="331">IF(C247="Upfront",R247,IF(C247="At delivery",J247,0))</f>
        <v>0</v>
      </c>
      <c r="U247" s="626">
        <f t="shared" ref="U247" si="332">IF(C247="Upfront",S247,IF(C247="At delivery",K247,0))</f>
        <v>0</v>
      </c>
      <c r="V247" s="625">
        <f t="array" ref="V247">IFERROR(INDEX('TB-EQUIPMENT &amp; OTHER HPs'!$R$91:$R$130,MATCH($E247&amp;$F247,'TB-EQUIPMENT &amp; OTHER HPs'!$E$91:$E$130&amp;'TB-EQUIPMENT &amp; OTHER HPs'!$I$91:$I$130,0)),0)</f>
        <v>0</v>
      </c>
      <c r="W247" s="626">
        <f t="shared" ref="W247" si="333">IF(ISERROR($I247*V247),0,$I247*V247)</f>
        <v>0</v>
      </c>
      <c r="X247" s="626">
        <f t="shared" ref="X247" si="334">IF(C247="Upfront",V247,IF(C247="At delivery",N247,0))</f>
        <v>0</v>
      </c>
      <c r="Y247" s="626">
        <f t="shared" ref="Y247" si="335">IF(C247="Upfront",W247,IF(C247="At delivery",O247,0))</f>
        <v>0</v>
      </c>
      <c r="Z247" s="630"/>
      <c r="AA247" s="625">
        <f t="array" ref="AA247">IFERROR(INDEX('TB-EQUIPMENT &amp; OTHER HPs'!$U$91:$U$130,MATCH($E247&amp;$F247,'TB-EQUIPMENT &amp; OTHER HPs'!$E$91:$E$130&amp;'TB-EQUIPMENT &amp; OTHER HPs'!$I$91:$I$130,0)),0)</f>
        <v>0</v>
      </c>
      <c r="AB247" s="625">
        <f t="array" ref="AB247">IFERROR(INDEX('TB-EQUIPMENT &amp; OTHER HPs'!$V$91:$V$130,MATCH($E247&amp;$F247,'TB-EQUIPMENT &amp; OTHER HPs'!$E$91:$E$130&amp;'TB-EQUIPMENT &amp; OTHER HPs'!$I$91:$I$130,0)),0)</f>
        <v>0</v>
      </c>
      <c r="AC247" s="626">
        <f t="shared" ref="AC247" si="336">IF(ISERROR($AA247*AB247),0,$AA247*AB247)</f>
        <v>0</v>
      </c>
      <c r="AD247" s="626">
        <f t="shared" ref="AD247" si="337">IF(C247="Upfront",AB247,IF(C247="At delivery",R247,0))</f>
        <v>0</v>
      </c>
      <c r="AE247" s="626">
        <f t="shared" ref="AE247" si="338">IF(C247="Upfront",AC247,IF(C247="At delivery",S247,0))</f>
        <v>0</v>
      </c>
      <c r="AF247" s="625">
        <f t="array" ref="AF247">IFERROR(INDEX('TB-EQUIPMENT &amp; OTHER HPs'!$W$91:$W$130,MATCH($E247&amp;$F247,'TB-EQUIPMENT &amp; OTHER HPs'!$E$91:$E$130&amp;'TB-EQUIPMENT &amp; OTHER HPs'!$I$91:$I$130,0)),0)</f>
        <v>0</v>
      </c>
      <c r="AG247" s="626">
        <f t="shared" ref="AG247" si="339">IF(ISERROR($AA247*AF247),0,$AA247*AF247)</f>
        <v>0</v>
      </c>
      <c r="AH247" s="626">
        <f t="shared" ref="AH247" si="340">IF(C247="Upfront",AF247,IF(C247="At delivery",V247,0))</f>
        <v>0</v>
      </c>
      <c r="AI247" s="626">
        <f t="shared" ref="AI247" si="341">IF(C247="Upfront",AG247,IF(C247="At delivery",W247,0))</f>
        <v>0</v>
      </c>
      <c r="AJ247" s="625">
        <f t="array" ref="AJ247">IFERROR(INDEX('TB-EQUIPMENT &amp; OTHER HPs'!$X$91:$X$130,MATCH($E247&amp;$F247,'TB-EQUIPMENT &amp; OTHER HPs'!$E$91:$E$130&amp;'TB-EQUIPMENT &amp; OTHER HPs'!$I$91:$I$130,0)),0)</f>
        <v>0</v>
      </c>
      <c r="AK247" s="626">
        <f t="shared" ref="AK247" si="342">IF(ISERROR($AA247*AJ247),0,$AA247*AJ247)</f>
        <v>0</v>
      </c>
      <c r="AL247" s="626">
        <f t="shared" ref="AL247" si="343">IF(C247="Upfront",AJ247,IF(C247="At delivery",AB247,0))</f>
        <v>0</v>
      </c>
      <c r="AM247" s="626">
        <f t="shared" ref="AM247" si="344">IF(C247="Upfront",AK247,IF(C247="At delivery",AC247,0))</f>
        <v>0</v>
      </c>
      <c r="AN247" s="625">
        <f t="array" ref="AN247">IFERROR(INDEX('TB-EQUIPMENT &amp; OTHER HPs'!$Y$91:$Y$130,MATCH($E247&amp;$F247,'TB-EQUIPMENT &amp; OTHER HPs'!$E$91:$E$130&amp;'TB-EQUIPMENT &amp; OTHER HPs'!$I$91:$I$130,0)),0)</f>
        <v>0</v>
      </c>
      <c r="AO247" s="626">
        <f t="shared" ref="AO247" si="345">IF(ISERROR($AA247*AN247),0,$AA247*AN247)</f>
        <v>0</v>
      </c>
      <c r="AP247" s="626">
        <f t="shared" ref="AP247" si="346">IF(C247="Upfront",AN247,IF(C247="At delivery",AF247,0))</f>
        <v>0</v>
      </c>
      <c r="AQ247" s="626">
        <f t="shared" ref="AQ247" si="347">IF(C247="Upfront",AO247,IF(C247="At delivery",AG247,0))</f>
        <v>0</v>
      </c>
      <c r="AR247" s="630"/>
      <c r="AS247" s="625">
        <f t="array" ref="AS247">IFERROR(INDEX('TB-EQUIPMENT &amp; OTHER HPs'!$AB$91:$AB$130,MATCH($E247&amp;$F247,'TB-EQUIPMENT &amp; OTHER HPs'!$E$91:$E$130&amp;'TB-EQUIPMENT &amp; OTHER HPs'!$I$91:$I$130,0)),0)</f>
        <v>0</v>
      </c>
      <c r="AT247" s="625">
        <f t="array" ref="AT247">IFERROR(INDEX('TB-EQUIPMENT &amp; OTHER HPs'!$AC$91:$AC$130,MATCH($E247&amp;$F247,'TB-EQUIPMENT &amp; OTHER HPs'!$E$91:$E$130&amp;'TB-EQUIPMENT &amp; OTHER HPs'!$I$91:$I$130,0)),0)</f>
        <v>0</v>
      </c>
      <c r="AU247" s="626">
        <f t="shared" ref="AU247" si="348">IF(ISERROR($AS247*AT247),0,$AS247*AT247)</f>
        <v>0</v>
      </c>
      <c r="AV247" s="626">
        <f t="shared" ref="AV247" si="349">IF(C247="Upfront",AT247,IF(C247="At delivery",AJ247,0))</f>
        <v>0</v>
      </c>
      <c r="AW247" s="626">
        <f t="shared" ref="AW247" si="350">IF(C247="Upfront",AU247,IF(C247="At delivery",AK247,0))</f>
        <v>0</v>
      </c>
      <c r="AX247" s="625">
        <f t="array" ref="AX247">IFERROR(INDEX('TB-EQUIPMENT &amp; OTHER HPs'!$AD$91:$AD$130,MATCH($E247&amp;$F247,'TB-EQUIPMENT &amp; OTHER HPs'!$E$91:$E$130&amp;'TB-EQUIPMENT &amp; OTHER HPs'!$I$91:$I$130,0)),0)</f>
        <v>0</v>
      </c>
      <c r="AY247" s="626">
        <f t="shared" ref="AY247" si="351">IF(ISERROR($AS247*AX247),0,$AS247*AX247)</f>
        <v>0</v>
      </c>
      <c r="AZ247" s="626">
        <f t="shared" ref="AZ247" si="352">IF(C247="Upfront",AX247,IF(C247="At delivery",AN247,0))</f>
        <v>0</v>
      </c>
      <c r="BA247" s="626">
        <f t="shared" ref="BA247" si="353">IF(C247="Upfront",AY247,IF(C247="At delivery",AO247,0))</f>
        <v>0</v>
      </c>
      <c r="BB247" s="625">
        <f t="array" ref="BB247">IFERROR(INDEX('TB-EQUIPMENT &amp; OTHER HPs'!$AE$91:$AE$130,MATCH($E247&amp;$F247,'TB-EQUIPMENT &amp; OTHER HPs'!$E$91:$E$130&amp;'TB-EQUIPMENT &amp; OTHER HPs'!$I$91:$I$130,0)),0)</f>
        <v>0</v>
      </c>
      <c r="BC247" s="626">
        <f t="shared" ref="BC247" si="354">IF(ISERROR($AS247*BB247),0,$AS247*BB247)</f>
        <v>0</v>
      </c>
      <c r="BD247" s="626">
        <f t="shared" ref="BD247" si="355">IF(C247="Upfront",BB247,IF(C247="At delivery",AT247,0))</f>
        <v>0</v>
      </c>
      <c r="BE247" s="626">
        <f t="shared" ref="BE247" si="356">IF(C247="Upfront",BC247,IF(C247="At delivery",AU247,0))</f>
        <v>0</v>
      </c>
      <c r="BF247" s="625">
        <f t="array" ref="BF247">IFERROR(INDEX('TB-EQUIPMENT &amp; OTHER HPs'!$AF$91:$AF$130,MATCH($E247&amp;$F247,'TB-EQUIPMENT &amp; OTHER HPs'!$E$91:$E$130&amp;'TB-EQUIPMENT &amp; OTHER HPs'!$I$91:$I$130,0)),0)</f>
        <v>0</v>
      </c>
      <c r="BG247" s="626">
        <f t="shared" ref="BG247" si="357">IF(ISERROR($AS247*BF247),0,$AS247*BF247)</f>
        <v>0</v>
      </c>
      <c r="BH247" s="626">
        <f t="shared" ref="BH247" si="358">IF(C247="Upfront",BF247,IF(C247="At delivery",AX247,0))</f>
        <v>0</v>
      </c>
      <c r="BI247" s="626">
        <f t="shared" ref="BI247" si="359">IF(C247="Upfront",BG247,IF(C247="At delivery",AY247,0))</f>
        <v>0</v>
      </c>
      <c r="BJ247" s="630"/>
      <c r="BK247" s="625"/>
      <c r="BL247" s="625"/>
      <c r="BM247" s="625"/>
      <c r="BN247" s="625"/>
      <c r="BO247" s="625"/>
      <c r="BP247" s="625"/>
      <c r="BQ247" s="625"/>
      <c r="BR247" s="625"/>
    </row>
    <row r="248" spans="1:70">
      <c r="A248" s="29" t="s">
        <v>1754</v>
      </c>
      <c r="B248" s="29" t="s">
        <v>1837</v>
      </c>
      <c r="C248" s="619">
        <f>SETUP!$F$43</f>
        <v>0</v>
      </c>
      <c r="D248" s="25">
        <v>5.6</v>
      </c>
      <c r="E248" s="26" t="s">
        <v>331</v>
      </c>
      <c r="F248" s="26" t="s">
        <v>6890</v>
      </c>
      <c r="G248" s="625" t="str">
        <f t="array" ref="G248">IFERROR(INDEX('TB-EQUIPMENT &amp; OTHER HPs'!$L$91:$L$130,MATCH($E248&amp;$F248,'TB-EQUIPMENT &amp; OTHER HPs'!$E$91:$E$130&amp;'TB-EQUIPMENT &amp; OTHER HPs'!$I$91:$I$130,0)),"")</f>
        <v/>
      </c>
      <c r="H248" s="625" t="str">
        <f t="array" ref="H248">IFERROR(INDEX('TB-EQUIPMENT &amp; OTHER HPs'!$M$91:$M$130,MATCH($E248&amp;$F248,'TB-EQUIPMENT &amp; OTHER HPs'!$E$91:$E$130&amp;'TB-EQUIPMENT &amp; OTHER HPs'!$I$91:$I$130,0)),"")</f>
        <v/>
      </c>
      <c r="I248" s="625">
        <f t="array" ref="I248">IFERROR(INDEX('TB-EQUIPMENT &amp; OTHER HPs'!$N$91:$N$130,MATCH($E248&amp;$F248,'TB-EQUIPMENT &amp; OTHER HPs'!$E$91:$E$130&amp;'TB-EQUIPMENT &amp; OTHER HPs'!$I$91:$I$130,0)),0)</f>
        <v>0</v>
      </c>
      <c r="J248" s="625">
        <f t="array" ref="J248">IFERROR(INDEX('TB-EQUIPMENT &amp; OTHER HPs'!$O$91:$O$130,MATCH($E248&amp;$F248,'TB-EQUIPMENT &amp; OTHER HPs'!$E$91:$E$130&amp;'TB-EQUIPMENT &amp; OTHER HPs'!$I$91:$I$130,0)),0)</f>
        <v>0</v>
      </c>
      <c r="K248" s="626">
        <f t="shared" si="288"/>
        <v>0</v>
      </c>
      <c r="L248" s="626">
        <f t="shared" si="289"/>
        <v>0</v>
      </c>
      <c r="M248" s="626">
        <f t="shared" si="290"/>
        <v>0</v>
      </c>
      <c r="N248" s="625">
        <f t="array" ref="N248">IFERROR(INDEX('TB-EQUIPMENT &amp; OTHER HPs'!$P$91:$P$130,MATCH($E248&amp;$F248,'TB-EQUIPMENT &amp; OTHER HPs'!$E$91:$E$130&amp;'TB-EQUIPMENT &amp; OTHER HPs'!$I$91:$I$130,0)),0)</f>
        <v>0</v>
      </c>
      <c r="O248" s="626">
        <f t="shared" si="291"/>
        <v>0</v>
      </c>
      <c r="P248" s="626">
        <f t="shared" si="292"/>
        <v>0</v>
      </c>
      <c r="Q248" s="626">
        <f t="shared" si="293"/>
        <v>0</v>
      </c>
      <c r="R248" s="625">
        <f t="array" ref="R248">IFERROR(INDEX('TB-EQUIPMENT &amp; OTHER HPs'!$Q$91:$Q$130,MATCH($E248&amp;$F248,'TB-EQUIPMENT &amp; OTHER HPs'!$E$91:$E$130&amp;'TB-EQUIPMENT &amp; OTHER HPs'!$I$91:$I$130,0)),0)</f>
        <v>0</v>
      </c>
      <c r="S248" s="626">
        <f t="shared" si="294"/>
        <v>0</v>
      </c>
      <c r="T248" s="626">
        <f t="shared" si="295"/>
        <v>0</v>
      </c>
      <c r="U248" s="626">
        <f t="shared" si="296"/>
        <v>0</v>
      </c>
      <c r="V248" s="625">
        <f t="array" ref="V248">IFERROR(INDEX('TB-EQUIPMENT &amp; OTHER HPs'!$R$91:$R$130,MATCH($E248&amp;$F248,'TB-EQUIPMENT &amp; OTHER HPs'!$E$91:$E$130&amp;'TB-EQUIPMENT &amp; OTHER HPs'!$I$91:$I$130,0)),0)</f>
        <v>0</v>
      </c>
      <c r="W248" s="626">
        <f t="shared" si="297"/>
        <v>0</v>
      </c>
      <c r="X248" s="626">
        <f t="shared" si="298"/>
        <v>0</v>
      </c>
      <c r="Y248" s="626">
        <f t="shared" si="299"/>
        <v>0</v>
      </c>
      <c r="Z248" s="630"/>
      <c r="AA248" s="625">
        <f t="array" ref="AA248">IFERROR(INDEX('TB-EQUIPMENT &amp; OTHER HPs'!$U$91:$U$130,MATCH($E248&amp;$F248,'TB-EQUIPMENT &amp; OTHER HPs'!$E$91:$E$130&amp;'TB-EQUIPMENT &amp; OTHER HPs'!$I$91:$I$130,0)),0)</f>
        <v>0</v>
      </c>
      <c r="AB248" s="625">
        <f t="array" ref="AB248">IFERROR(INDEX('TB-EQUIPMENT &amp; OTHER HPs'!$V$91:$V$130,MATCH($E248&amp;$F248,'TB-EQUIPMENT &amp; OTHER HPs'!$E$91:$E$130&amp;'TB-EQUIPMENT &amp; OTHER HPs'!$I$91:$I$130,0)),0)</f>
        <v>0</v>
      </c>
      <c r="AC248" s="626">
        <f t="shared" si="300"/>
        <v>0</v>
      </c>
      <c r="AD248" s="626">
        <f t="shared" si="301"/>
        <v>0</v>
      </c>
      <c r="AE248" s="626">
        <f t="shared" si="302"/>
        <v>0</v>
      </c>
      <c r="AF248" s="625">
        <f t="array" ref="AF248">IFERROR(INDEX('TB-EQUIPMENT &amp; OTHER HPs'!$W$91:$W$130,MATCH($E248&amp;$F248,'TB-EQUIPMENT &amp; OTHER HPs'!$E$91:$E$130&amp;'TB-EQUIPMENT &amp; OTHER HPs'!$I$91:$I$130,0)),0)</f>
        <v>0</v>
      </c>
      <c r="AG248" s="626">
        <f t="shared" si="303"/>
        <v>0</v>
      </c>
      <c r="AH248" s="626">
        <f t="shared" si="304"/>
        <v>0</v>
      </c>
      <c r="AI248" s="626">
        <f t="shared" si="305"/>
        <v>0</v>
      </c>
      <c r="AJ248" s="625">
        <f t="array" ref="AJ248">IFERROR(INDEX('TB-EQUIPMENT &amp; OTHER HPs'!$X$91:$X$130,MATCH($E248&amp;$F248,'TB-EQUIPMENT &amp; OTHER HPs'!$E$91:$E$130&amp;'TB-EQUIPMENT &amp; OTHER HPs'!$I$91:$I$130,0)),0)</f>
        <v>0</v>
      </c>
      <c r="AK248" s="626">
        <f t="shared" si="306"/>
        <v>0</v>
      </c>
      <c r="AL248" s="626">
        <f t="shared" si="307"/>
        <v>0</v>
      </c>
      <c r="AM248" s="626">
        <f t="shared" si="308"/>
        <v>0</v>
      </c>
      <c r="AN248" s="625">
        <f t="array" ref="AN248">IFERROR(INDEX('TB-EQUIPMENT &amp; OTHER HPs'!$Y$91:$Y$130,MATCH($E248&amp;$F248,'TB-EQUIPMENT &amp; OTHER HPs'!$E$91:$E$130&amp;'TB-EQUIPMENT &amp; OTHER HPs'!$I$91:$I$130,0)),0)</f>
        <v>0</v>
      </c>
      <c r="AO248" s="626">
        <f t="shared" si="309"/>
        <v>0</v>
      </c>
      <c r="AP248" s="626">
        <f t="shared" si="310"/>
        <v>0</v>
      </c>
      <c r="AQ248" s="626">
        <f t="shared" si="311"/>
        <v>0</v>
      </c>
      <c r="AR248" s="630"/>
      <c r="AS248" s="625">
        <f t="array" ref="AS248">IFERROR(INDEX('TB-EQUIPMENT &amp; OTHER HPs'!$AB$91:$AB$130,MATCH($E248&amp;$F248,'TB-EQUIPMENT &amp; OTHER HPs'!$E$91:$E$130&amp;'TB-EQUIPMENT &amp; OTHER HPs'!$I$91:$I$130,0)),0)</f>
        <v>0</v>
      </c>
      <c r="AT248" s="625">
        <f t="array" ref="AT248">IFERROR(INDEX('TB-EQUIPMENT &amp; OTHER HPs'!$AC$91:$AC$130,MATCH($E248&amp;$F248,'TB-EQUIPMENT &amp; OTHER HPs'!$E$91:$E$130&amp;'TB-EQUIPMENT &amp; OTHER HPs'!$I$91:$I$130,0)),0)</f>
        <v>0</v>
      </c>
      <c r="AU248" s="626">
        <f t="shared" si="312"/>
        <v>0</v>
      </c>
      <c r="AV248" s="626">
        <f t="shared" si="313"/>
        <v>0</v>
      </c>
      <c r="AW248" s="626">
        <f t="shared" si="314"/>
        <v>0</v>
      </c>
      <c r="AX248" s="625">
        <f t="array" ref="AX248">IFERROR(INDEX('TB-EQUIPMENT &amp; OTHER HPs'!$AD$91:$AD$130,MATCH($E248&amp;$F248,'TB-EQUIPMENT &amp; OTHER HPs'!$E$91:$E$130&amp;'TB-EQUIPMENT &amp; OTHER HPs'!$I$91:$I$130,0)),0)</f>
        <v>0</v>
      </c>
      <c r="AY248" s="626">
        <f t="shared" si="315"/>
        <v>0</v>
      </c>
      <c r="AZ248" s="626">
        <f t="shared" si="316"/>
        <v>0</v>
      </c>
      <c r="BA248" s="626">
        <f t="shared" si="317"/>
        <v>0</v>
      </c>
      <c r="BB248" s="625">
        <f t="array" ref="BB248">IFERROR(INDEX('TB-EQUIPMENT &amp; OTHER HPs'!$AE$91:$AE$130,MATCH($E248&amp;$F248,'TB-EQUIPMENT &amp; OTHER HPs'!$E$91:$E$130&amp;'TB-EQUIPMENT &amp; OTHER HPs'!$I$91:$I$130,0)),0)</f>
        <v>0</v>
      </c>
      <c r="BC248" s="626">
        <f t="shared" si="318"/>
        <v>0</v>
      </c>
      <c r="BD248" s="626">
        <f t="shared" si="319"/>
        <v>0</v>
      </c>
      <c r="BE248" s="626">
        <f t="shared" si="320"/>
        <v>0</v>
      </c>
      <c r="BF248" s="625">
        <f t="array" ref="BF248">IFERROR(INDEX('TB-EQUIPMENT &amp; OTHER HPs'!$AF$91:$AF$130,MATCH($E248&amp;$F248,'TB-EQUIPMENT &amp; OTHER HPs'!$E$91:$E$130&amp;'TB-EQUIPMENT &amp; OTHER HPs'!$I$91:$I$130,0)),0)</f>
        <v>0</v>
      </c>
      <c r="BG248" s="626">
        <f t="shared" si="321"/>
        <v>0</v>
      </c>
      <c r="BH248" s="626">
        <f t="shared" si="322"/>
        <v>0</v>
      </c>
      <c r="BI248" s="626">
        <f t="shared" si="323"/>
        <v>0</v>
      </c>
      <c r="BJ248" s="630"/>
      <c r="BK248" s="625"/>
      <c r="BL248" s="625"/>
      <c r="BM248" s="625"/>
      <c r="BN248" s="625"/>
      <c r="BO248" s="625"/>
      <c r="BP248" s="625"/>
      <c r="BQ248" s="625"/>
      <c r="BR248" s="625"/>
    </row>
    <row r="249" spans="1:70">
      <c r="A249" s="29" t="s">
        <v>1754</v>
      </c>
      <c r="B249" s="29" t="s">
        <v>1837</v>
      </c>
      <c r="C249" s="619">
        <f>SETUP!$F$43</f>
        <v>0</v>
      </c>
      <c r="D249" s="25">
        <v>5.6</v>
      </c>
      <c r="E249" s="26" t="s">
        <v>1470</v>
      </c>
      <c r="F249" s="26" t="s">
        <v>1140</v>
      </c>
      <c r="G249" s="625" t="str">
        <f t="array" ref="G249">IFERROR(INDEX('TB-EQUIPMENT &amp; OTHER HPs'!$L$91:$L$130,MATCH($E249&amp;$F249,'TB-EQUIPMENT &amp; OTHER HPs'!$E$91:$E$130&amp;'TB-EQUIPMENT &amp; OTHER HPs'!$I$91:$I$130,0)),"")</f>
        <v/>
      </c>
      <c r="H249" s="625" t="str">
        <f t="array" ref="H249">IFERROR(INDEX('TB-EQUIPMENT &amp; OTHER HPs'!$M$91:$M$130,MATCH($E249&amp;$F249,'TB-EQUIPMENT &amp; OTHER HPs'!$E$91:$E$130&amp;'TB-EQUIPMENT &amp; OTHER HPs'!$I$91:$I$130,0)),"")</f>
        <v/>
      </c>
      <c r="I249" s="625">
        <f t="array" ref="I249">IFERROR(INDEX('TB-EQUIPMENT &amp; OTHER HPs'!$N$91:$N$130,MATCH($E249&amp;$F249,'TB-EQUIPMENT &amp; OTHER HPs'!$E$91:$E$130&amp;'TB-EQUIPMENT &amp; OTHER HPs'!$I$91:$I$130,0)),0)</f>
        <v>0</v>
      </c>
      <c r="J249" s="625">
        <f t="array" ref="J249">IFERROR(INDEX('TB-EQUIPMENT &amp; OTHER HPs'!$O$91:$O$130,MATCH($E249&amp;$F249,'TB-EQUIPMENT &amp; OTHER HPs'!$E$91:$E$130&amp;'TB-EQUIPMENT &amp; OTHER HPs'!$I$91:$I$130,0)),0)</f>
        <v>0</v>
      </c>
      <c r="K249" s="626">
        <f t="shared" si="288"/>
        <v>0</v>
      </c>
      <c r="L249" s="626">
        <f t="shared" si="289"/>
        <v>0</v>
      </c>
      <c r="M249" s="626">
        <f t="shared" si="290"/>
        <v>0</v>
      </c>
      <c r="N249" s="625">
        <f t="array" ref="N249">IFERROR(INDEX('TB-EQUIPMENT &amp; OTHER HPs'!$P$91:$P$130,MATCH($E249&amp;$F249,'TB-EQUIPMENT &amp; OTHER HPs'!$E$91:$E$130&amp;'TB-EQUIPMENT &amp; OTHER HPs'!$I$91:$I$130,0)),0)</f>
        <v>0</v>
      </c>
      <c r="O249" s="626">
        <f t="shared" si="291"/>
        <v>0</v>
      </c>
      <c r="P249" s="626">
        <f t="shared" si="292"/>
        <v>0</v>
      </c>
      <c r="Q249" s="626">
        <f t="shared" si="293"/>
        <v>0</v>
      </c>
      <c r="R249" s="625">
        <f t="array" ref="R249">IFERROR(INDEX('TB-EQUIPMENT &amp; OTHER HPs'!$Q$91:$Q$130,MATCH($E249&amp;$F249,'TB-EQUIPMENT &amp; OTHER HPs'!$E$91:$E$130&amp;'TB-EQUIPMENT &amp; OTHER HPs'!$I$91:$I$130,0)),0)</f>
        <v>0</v>
      </c>
      <c r="S249" s="626">
        <f t="shared" si="294"/>
        <v>0</v>
      </c>
      <c r="T249" s="626">
        <f t="shared" si="295"/>
        <v>0</v>
      </c>
      <c r="U249" s="626">
        <f t="shared" si="296"/>
        <v>0</v>
      </c>
      <c r="V249" s="625">
        <f t="array" ref="V249">IFERROR(INDEX('TB-EQUIPMENT &amp; OTHER HPs'!$R$91:$R$130,MATCH($E249&amp;$F249,'TB-EQUIPMENT &amp; OTHER HPs'!$E$91:$E$130&amp;'TB-EQUIPMENT &amp; OTHER HPs'!$I$91:$I$130,0)),0)</f>
        <v>0</v>
      </c>
      <c r="W249" s="626">
        <f t="shared" si="297"/>
        <v>0</v>
      </c>
      <c r="X249" s="626">
        <f t="shared" si="298"/>
        <v>0</v>
      </c>
      <c r="Y249" s="626">
        <f t="shared" si="299"/>
        <v>0</v>
      </c>
      <c r="Z249" s="630"/>
      <c r="AA249" s="625">
        <f t="array" ref="AA249">IFERROR(INDEX('TB-EQUIPMENT &amp; OTHER HPs'!$U$91:$U$130,MATCH($E249&amp;$F249,'TB-EQUIPMENT &amp; OTHER HPs'!$E$91:$E$130&amp;'TB-EQUIPMENT &amp; OTHER HPs'!$I$91:$I$130,0)),0)</f>
        <v>0</v>
      </c>
      <c r="AB249" s="625">
        <f t="array" ref="AB249">IFERROR(INDEX('TB-EQUIPMENT &amp; OTHER HPs'!$V$91:$V$130,MATCH($E249&amp;$F249,'TB-EQUIPMENT &amp; OTHER HPs'!$E$91:$E$130&amp;'TB-EQUIPMENT &amp; OTHER HPs'!$I$91:$I$130,0)),0)</f>
        <v>0</v>
      </c>
      <c r="AC249" s="626">
        <f t="shared" si="300"/>
        <v>0</v>
      </c>
      <c r="AD249" s="626">
        <f t="shared" si="301"/>
        <v>0</v>
      </c>
      <c r="AE249" s="626">
        <f t="shared" si="302"/>
        <v>0</v>
      </c>
      <c r="AF249" s="625">
        <f t="array" ref="AF249">IFERROR(INDEX('TB-EQUIPMENT &amp; OTHER HPs'!$W$91:$W$130,MATCH($E249&amp;$F249,'TB-EQUIPMENT &amp; OTHER HPs'!$E$91:$E$130&amp;'TB-EQUIPMENT &amp; OTHER HPs'!$I$91:$I$130,0)),0)</f>
        <v>0</v>
      </c>
      <c r="AG249" s="626">
        <f t="shared" si="303"/>
        <v>0</v>
      </c>
      <c r="AH249" s="626">
        <f t="shared" si="304"/>
        <v>0</v>
      </c>
      <c r="AI249" s="626">
        <f t="shared" si="305"/>
        <v>0</v>
      </c>
      <c r="AJ249" s="625">
        <f t="array" ref="AJ249">IFERROR(INDEX('TB-EQUIPMENT &amp; OTHER HPs'!$X$91:$X$130,MATCH($E249&amp;$F249,'TB-EQUIPMENT &amp; OTHER HPs'!$E$91:$E$130&amp;'TB-EQUIPMENT &amp; OTHER HPs'!$I$91:$I$130,0)),0)</f>
        <v>0</v>
      </c>
      <c r="AK249" s="626">
        <f t="shared" si="306"/>
        <v>0</v>
      </c>
      <c r="AL249" s="626">
        <f t="shared" si="307"/>
        <v>0</v>
      </c>
      <c r="AM249" s="626">
        <f t="shared" si="308"/>
        <v>0</v>
      </c>
      <c r="AN249" s="625">
        <f t="array" ref="AN249">IFERROR(INDEX('TB-EQUIPMENT &amp; OTHER HPs'!$Y$91:$Y$130,MATCH($E249&amp;$F249,'TB-EQUIPMENT &amp; OTHER HPs'!$E$91:$E$130&amp;'TB-EQUIPMENT &amp; OTHER HPs'!$I$91:$I$130,0)),0)</f>
        <v>0</v>
      </c>
      <c r="AO249" s="626">
        <f t="shared" si="309"/>
        <v>0</v>
      </c>
      <c r="AP249" s="626">
        <f t="shared" si="310"/>
        <v>0</v>
      </c>
      <c r="AQ249" s="626">
        <f t="shared" si="311"/>
        <v>0</v>
      </c>
      <c r="AR249" s="630"/>
      <c r="AS249" s="625">
        <f t="array" ref="AS249">IFERROR(INDEX('TB-EQUIPMENT &amp; OTHER HPs'!$AB$91:$AB$130,MATCH($E249&amp;$F249,'TB-EQUIPMENT &amp; OTHER HPs'!$E$91:$E$130&amp;'TB-EQUIPMENT &amp; OTHER HPs'!$I$91:$I$130,0)),0)</f>
        <v>0</v>
      </c>
      <c r="AT249" s="625">
        <f t="array" ref="AT249">IFERROR(INDEX('TB-EQUIPMENT &amp; OTHER HPs'!$AC$91:$AC$130,MATCH($E249&amp;$F249,'TB-EQUIPMENT &amp; OTHER HPs'!$E$91:$E$130&amp;'TB-EQUIPMENT &amp; OTHER HPs'!$I$91:$I$130,0)),0)</f>
        <v>0</v>
      </c>
      <c r="AU249" s="626">
        <f t="shared" si="312"/>
        <v>0</v>
      </c>
      <c r="AV249" s="626">
        <f t="shared" si="313"/>
        <v>0</v>
      </c>
      <c r="AW249" s="626">
        <f t="shared" si="314"/>
        <v>0</v>
      </c>
      <c r="AX249" s="625">
        <f t="array" ref="AX249">IFERROR(INDEX('TB-EQUIPMENT &amp; OTHER HPs'!$AD$91:$AD$130,MATCH($E249&amp;$F249,'TB-EQUIPMENT &amp; OTHER HPs'!$E$91:$E$130&amp;'TB-EQUIPMENT &amp; OTHER HPs'!$I$91:$I$130,0)),0)</f>
        <v>0</v>
      </c>
      <c r="AY249" s="626">
        <f t="shared" si="315"/>
        <v>0</v>
      </c>
      <c r="AZ249" s="626">
        <f t="shared" si="316"/>
        <v>0</v>
      </c>
      <c r="BA249" s="626">
        <f t="shared" si="317"/>
        <v>0</v>
      </c>
      <c r="BB249" s="625">
        <f t="array" ref="BB249">IFERROR(INDEX('TB-EQUIPMENT &amp; OTHER HPs'!$AE$91:$AE$130,MATCH($E249&amp;$F249,'TB-EQUIPMENT &amp; OTHER HPs'!$E$91:$E$130&amp;'TB-EQUIPMENT &amp; OTHER HPs'!$I$91:$I$130,0)),0)</f>
        <v>0</v>
      </c>
      <c r="BC249" s="626">
        <f t="shared" si="318"/>
        <v>0</v>
      </c>
      <c r="BD249" s="626">
        <f t="shared" si="319"/>
        <v>0</v>
      </c>
      <c r="BE249" s="626">
        <f t="shared" si="320"/>
        <v>0</v>
      </c>
      <c r="BF249" s="625">
        <f t="array" ref="BF249">IFERROR(INDEX('TB-EQUIPMENT &amp; OTHER HPs'!$AF$91:$AF$130,MATCH($E249&amp;$F249,'TB-EQUIPMENT &amp; OTHER HPs'!$E$91:$E$130&amp;'TB-EQUIPMENT &amp; OTHER HPs'!$I$91:$I$130,0)),0)</f>
        <v>0</v>
      </c>
      <c r="BG249" s="626">
        <f t="shared" si="321"/>
        <v>0</v>
      </c>
      <c r="BH249" s="626">
        <f t="shared" si="322"/>
        <v>0</v>
      </c>
      <c r="BI249" s="626">
        <f t="shared" si="323"/>
        <v>0</v>
      </c>
      <c r="BJ249" s="630"/>
      <c r="BK249" s="625"/>
      <c r="BL249" s="625"/>
      <c r="BM249" s="625"/>
      <c r="BN249" s="625"/>
      <c r="BO249" s="625"/>
      <c r="BP249" s="625"/>
      <c r="BQ249" s="625"/>
      <c r="BR249" s="625"/>
    </row>
    <row r="250" spans="1:70">
      <c r="A250" s="29" t="s">
        <v>1754</v>
      </c>
      <c r="B250" s="29" t="s">
        <v>1837</v>
      </c>
      <c r="C250" s="619">
        <f>SETUP!$F$43</f>
        <v>0</v>
      </c>
      <c r="D250" s="25">
        <v>5.6</v>
      </c>
      <c r="E250" s="26" t="s">
        <v>1465</v>
      </c>
      <c r="F250" s="26" t="s">
        <v>1140</v>
      </c>
      <c r="G250" s="625" t="str">
        <f t="array" ref="G250">IFERROR(INDEX('TB-EQUIPMENT &amp; OTHER HPs'!$L$91:$L$130,MATCH($E250&amp;$F250,'TB-EQUIPMENT &amp; OTHER HPs'!$E$91:$E$130&amp;'TB-EQUIPMENT &amp; OTHER HPs'!$I$91:$I$130,0)),"")</f>
        <v/>
      </c>
      <c r="H250" s="625" t="str">
        <f t="array" ref="H250">IFERROR(INDEX('TB-EQUIPMENT &amp; OTHER HPs'!$M$91:$M$130,MATCH($E250&amp;$F250,'TB-EQUIPMENT &amp; OTHER HPs'!$E$91:$E$130&amp;'TB-EQUIPMENT &amp; OTHER HPs'!$I$91:$I$130,0)),"")</f>
        <v/>
      </c>
      <c r="I250" s="625">
        <f t="array" ref="I250">IFERROR(INDEX('TB-EQUIPMENT &amp; OTHER HPs'!$N$91:$N$130,MATCH($E250&amp;$F250,'TB-EQUIPMENT &amp; OTHER HPs'!$E$91:$E$130&amp;'TB-EQUIPMENT &amp; OTHER HPs'!$I$91:$I$130,0)),0)</f>
        <v>0</v>
      </c>
      <c r="J250" s="625">
        <f t="array" ref="J250">IFERROR(INDEX('TB-EQUIPMENT &amp; OTHER HPs'!$O$91:$O$130,MATCH($E250&amp;$F250,'TB-EQUIPMENT &amp; OTHER HPs'!$E$91:$E$130&amp;'TB-EQUIPMENT &amp; OTHER HPs'!$I$91:$I$130,0)),0)</f>
        <v>0</v>
      </c>
      <c r="K250" s="626">
        <f t="shared" si="288"/>
        <v>0</v>
      </c>
      <c r="L250" s="626">
        <f t="shared" si="289"/>
        <v>0</v>
      </c>
      <c r="M250" s="626">
        <f t="shared" si="290"/>
        <v>0</v>
      </c>
      <c r="N250" s="625">
        <f t="array" ref="N250">IFERROR(INDEX('TB-EQUIPMENT &amp; OTHER HPs'!$P$91:$P$130,MATCH($E250&amp;$F250,'TB-EQUIPMENT &amp; OTHER HPs'!$E$91:$E$130&amp;'TB-EQUIPMENT &amp; OTHER HPs'!$I$91:$I$130,0)),0)</f>
        <v>0</v>
      </c>
      <c r="O250" s="626">
        <f t="shared" si="291"/>
        <v>0</v>
      </c>
      <c r="P250" s="626">
        <f t="shared" si="292"/>
        <v>0</v>
      </c>
      <c r="Q250" s="626">
        <f t="shared" si="293"/>
        <v>0</v>
      </c>
      <c r="R250" s="625">
        <f t="array" ref="R250">IFERROR(INDEX('TB-EQUIPMENT &amp; OTHER HPs'!$Q$91:$Q$130,MATCH($E250&amp;$F250,'TB-EQUIPMENT &amp; OTHER HPs'!$E$91:$E$130&amp;'TB-EQUIPMENT &amp; OTHER HPs'!$I$91:$I$130,0)),0)</f>
        <v>0</v>
      </c>
      <c r="S250" s="626">
        <f t="shared" si="294"/>
        <v>0</v>
      </c>
      <c r="T250" s="626">
        <f t="shared" si="295"/>
        <v>0</v>
      </c>
      <c r="U250" s="626">
        <f t="shared" si="296"/>
        <v>0</v>
      </c>
      <c r="V250" s="625">
        <f t="array" ref="V250">IFERROR(INDEX('TB-EQUIPMENT &amp; OTHER HPs'!$R$91:$R$130,MATCH($E250&amp;$F250,'TB-EQUIPMENT &amp; OTHER HPs'!$E$91:$E$130&amp;'TB-EQUIPMENT &amp; OTHER HPs'!$I$91:$I$130,0)),0)</f>
        <v>0</v>
      </c>
      <c r="W250" s="626">
        <f t="shared" si="297"/>
        <v>0</v>
      </c>
      <c r="X250" s="626">
        <f t="shared" si="298"/>
        <v>0</v>
      </c>
      <c r="Y250" s="626">
        <f t="shared" si="299"/>
        <v>0</v>
      </c>
      <c r="Z250" s="630"/>
      <c r="AA250" s="625">
        <f t="array" ref="AA250">IFERROR(INDEX('TB-EQUIPMENT &amp; OTHER HPs'!$U$91:$U$130,MATCH($E250&amp;$F250,'TB-EQUIPMENT &amp; OTHER HPs'!$E$91:$E$130&amp;'TB-EQUIPMENT &amp; OTHER HPs'!$I$91:$I$130,0)),0)</f>
        <v>0</v>
      </c>
      <c r="AB250" s="625">
        <f t="array" ref="AB250">IFERROR(INDEX('TB-EQUIPMENT &amp; OTHER HPs'!$V$91:$V$130,MATCH($E250&amp;$F250,'TB-EQUIPMENT &amp; OTHER HPs'!$E$91:$E$130&amp;'TB-EQUIPMENT &amp; OTHER HPs'!$I$91:$I$130,0)),0)</f>
        <v>0</v>
      </c>
      <c r="AC250" s="626">
        <f t="shared" si="300"/>
        <v>0</v>
      </c>
      <c r="AD250" s="626">
        <f t="shared" si="301"/>
        <v>0</v>
      </c>
      <c r="AE250" s="626">
        <f t="shared" si="302"/>
        <v>0</v>
      </c>
      <c r="AF250" s="625">
        <f t="array" ref="AF250">IFERROR(INDEX('TB-EQUIPMENT &amp; OTHER HPs'!$W$91:$W$130,MATCH($E250&amp;$F250,'TB-EQUIPMENT &amp; OTHER HPs'!$E$91:$E$130&amp;'TB-EQUIPMENT &amp; OTHER HPs'!$I$91:$I$130,0)),0)</f>
        <v>0</v>
      </c>
      <c r="AG250" s="626">
        <f t="shared" si="303"/>
        <v>0</v>
      </c>
      <c r="AH250" s="626">
        <f t="shared" si="304"/>
        <v>0</v>
      </c>
      <c r="AI250" s="626">
        <f t="shared" si="305"/>
        <v>0</v>
      </c>
      <c r="AJ250" s="625">
        <f t="array" ref="AJ250">IFERROR(INDEX('TB-EQUIPMENT &amp; OTHER HPs'!$X$91:$X$130,MATCH($E250&amp;$F250,'TB-EQUIPMENT &amp; OTHER HPs'!$E$91:$E$130&amp;'TB-EQUIPMENT &amp; OTHER HPs'!$I$91:$I$130,0)),0)</f>
        <v>0</v>
      </c>
      <c r="AK250" s="626">
        <f t="shared" si="306"/>
        <v>0</v>
      </c>
      <c r="AL250" s="626">
        <f t="shared" si="307"/>
        <v>0</v>
      </c>
      <c r="AM250" s="626">
        <f t="shared" si="308"/>
        <v>0</v>
      </c>
      <c r="AN250" s="625">
        <f t="array" ref="AN250">IFERROR(INDEX('TB-EQUIPMENT &amp; OTHER HPs'!$Y$91:$Y$130,MATCH($E250&amp;$F250,'TB-EQUIPMENT &amp; OTHER HPs'!$E$91:$E$130&amp;'TB-EQUIPMENT &amp; OTHER HPs'!$I$91:$I$130,0)),0)</f>
        <v>0</v>
      </c>
      <c r="AO250" s="626">
        <f t="shared" si="309"/>
        <v>0</v>
      </c>
      <c r="AP250" s="626">
        <f t="shared" si="310"/>
        <v>0</v>
      </c>
      <c r="AQ250" s="626">
        <f t="shared" si="311"/>
        <v>0</v>
      </c>
      <c r="AR250" s="630"/>
      <c r="AS250" s="625">
        <f t="array" ref="AS250">IFERROR(INDEX('TB-EQUIPMENT &amp; OTHER HPs'!$AB$91:$AB$130,MATCH($E250&amp;$F250,'TB-EQUIPMENT &amp; OTHER HPs'!$E$91:$E$130&amp;'TB-EQUIPMENT &amp; OTHER HPs'!$I$91:$I$130,0)),0)</f>
        <v>0</v>
      </c>
      <c r="AT250" s="625">
        <f t="array" ref="AT250">IFERROR(INDEX('TB-EQUIPMENT &amp; OTHER HPs'!$AC$91:$AC$130,MATCH($E250&amp;$F250,'TB-EQUIPMENT &amp; OTHER HPs'!$E$91:$E$130&amp;'TB-EQUIPMENT &amp; OTHER HPs'!$I$91:$I$130,0)),0)</f>
        <v>0</v>
      </c>
      <c r="AU250" s="626">
        <f t="shared" si="312"/>
        <v>0</v>
      </c>
      <c r="AV250" s="626">
        <f t="shared" si="313"/>
        <v>0</v>
      </c>
      <c r="AW250" s="626">
        <f t="shared" si="314"/>
        <v>0</v>
      </c>
      <c r="AX250" s="625">
        <f t="array" ref="AX250">IFERROR(INDEX('TB-EQUIPMENT &amp; OTHER HPs'!$AD$91:$AD$130,MATCH($E250&amp;$F250,'TB-EQUIPMENT &amp; OTHER HPs'!$E$91:$E$130&amp;'TB-EQUIPMENT &amp; OTHER HPs'!$I$91:$I$130,0)),0)</f>
        <v>0</v>
      </c>
      <c r="AY250" s="626">
        <f t="shared" si="315"/>
        <v>0</v>
      </c>
      <c r="AZ250" s="626">
        <f t="shared" si="316"/>
        <v>0</v>
      </c>
      <c r="BA250" s="626">
        <f t="shared" si="317"/>
        <v>0</v>
      </c>
      <c r="BB250" s="625">
        <f t="array" ref="BB250">IFERROR(INDEX('TB-EQUIPMENT &amp; OTHER HPs'!$AE$91:$AE$130,MATCH($E250&amp;$F250,'TB-EQUIPMENT &amp; OTHER HPs'!$E$91:$E$130&amp;'TB-EQUIPMENT &amp; OTHER HPs'!$I$91:$I$130,0)),0)</f>
        <v>0</v>
      </c>
      <c r="BC250" s="626">
        <f t="shared" si="318"/>
        <v>0</v>
      </c>
      <c r="BD250" s="626">
        <f t="shared" si="319"/>
        <v>0</v>
      </c>
      <c r="BE250" s="626">
        <f t="shared" si="320"/>
        <v>0</v>
      </c>
      <c r="BF250" s="625">
        <f t="array" ref="BF250">IFERROR(INDEX('TB-EQUIPMENT &amp; OTHER HPs'!$AF$91:$AF$130,MATCH($E250&amp;$F250,'TB-EQUIPMENT &amp; OTHER HPs'!$E$91:$E$130&amp;'TB-EQUIPMENT &amp; OTHER HPs'!$I$91:$I$130,0)),0)</f>
        <v>0</v>
      </c>
      <c r="BG250" s="626">
        <f t="shared" si="321"/>
        <v>0</v>
      </c>
      <c r="BH250" s="626">
        <f t="shared" si="322"/>
        <v>0</v>
      </c>
      <c r="BI250" s="626">
        <f t="shared" si="323"/>
        <v>0</v>
      </c>
      <c r="BJ250" s="630"/>
      <c r="BK250" s="625"/>
      <c r="BL250" s="625"/>
      <c r="BM250" s="625"/>
      <c r="BN250" s="625"/>
      <c r="BO250" s="625"/>
      <c r="BP250" s="625"/>
      <c r="BQ250" s="625"/>
      <c r="BR250" s="625"/>
    </row>
    <row r="251" spans="1:70">
      <c r="A251" s="29" t="s">
        <v>1754</v>
      </c>
      <c r="B251" s="29" t="s">
        <v>1837</v>
      </c>
      <c r="C251" s="619">
        <f>SETUP!$F$43</f>
        <v>0</v>
      </c>
      <c r="D251" s="25">
        <v>5.6</v>
      </c>
      <c r="E251" s="26" t="s">
        <v>1474</v>
      </c>
      <c r="F251" s="26" t="s">
        <v>1140</v>
      </c>
      <c r="G251" s="625" t="str">
        <f t="array" ref="G251">IFERROR(INDEX('TB-EQUIPMENT &amp; OTHER HPs'!$L$91:$L$130,MATCH($E251&amp;$F251,'TB-EQUIPMENT &amp; OTHER HPs'!$E$91:$E$130&amp;'TB-EQUIPMENT &amp; OTHER HPs'!$I$91:$I$130,0)),"")</f>
        <v/>
      </c>
      <c r="H251" s="625" t="str">
        <f t="array" ref="H251">IFERROR(INDEX('TB-EQUIPMENT &amp; OTHER HPs'!$M$91:$M$130,MATCH($E251&amp;$F251,'TB-EQUIPMENT &amp; OTHER HPs'!$E$91:$E$130&amp;'TB-EQUIPMENT &amp; OTHER HPs'!$I$91:$I$130,0)),"")</f>
        <v/>
      </c>
      <c r="I251" s="625">
        <f t="array" ref="I251">IFERROR(INDEX('TB-EQUIPMENT &amp; OTHER HPs'!$N$91:$N$130,MATCH($E251&amp;$F251,'TB-EQUIPMENT &amp; OTHER HPs'!$E$91:$E$130&amp;'TB-EQUIPMENT &amp; OTHER HPs'!$I$91:$I$130,0)),0)</f>
        <v>0</v>
      </c>
      <c r="J251" s="625">
        <f t="array" ref="J251">IFERROR(INDEX('TB-EQUIPMENT &amp; OTHER HPs'!$O$91:$O$130,MATCH($E251&amp;$F251,'TB-EQUIPMENT &amp; OTHER HPs'!$E$91:$E$130&amp;'TB-EQUIPMENT &amp; OTHER HPs'!$I$91:$I$130,0)),0)</f>
        <v>0</v>
      </c>
      <c r="K251" s="626">
        <f t="shared" si="288"/>
        <v>0</v>
      </c>
      <c r="L251" s="626">
        <f t="shared" si="289"/>
        <v>0</v>
      </c>
      <c r="M251" s="626">
        <f t="shared" si="290"/>
        <v>0</v>
      </c>
      <c r="N251" s="625">
        <f t="array" ref="N251">IFERROR(INDEX('TB-EQUIPMENT &amp; OTHER HPs'!$P$91:$P$130,MATCH($E251&amp;$F251,'TB-EQUIPMENT &amp; OTHER HPs'!$E$91:$E$130&amp;'TB-EQUIPMENT &amp; OTHER HPs'!$I$91:$I$130,0)),0)</f>
        <v>0</v>
      </c>
      <c r="O251" s="626">
        <f t="shared" si="291"/>
        <v>0</v>
      </c>
      <c r="P251" s="626">
        <f t="shared" si="292"/>
        <v>0</v>
      </c>
      <c r="Q251" s="626">
        <f t="shared" si="293"/>
        <v>0</v>
      </c>
      <c r="R251" s="625">
        <f t="array" ref="R251">IFERROR(INDEX('TB-EQUIPMENT &amp; OTHER HPs'!$Q$91:$Q$130,MATCH($E251&amp;$F251,'TB-EQUIPMENT &amp; OTHER HPs'!$E$91:$E$130&amp;'TB-EQUIPMENT &amp; OTHER HPs'!$I$91:$I$130,0)),0)</f>
        <v>0</v>
      </c>
      <c r="S251" s="626">
        <f t="shared" si="294"/>
        <v>0</v>
      </c>
      <c r="T251" s="626">
        <f t="shared" si="295"/>
        <v>0</v>
      </c>
      <c r="U251" s="626">
        <f t="shared" si="296"/>
        <v>0</v>
      </c>
      <c r="V251" s="625">
        <f t="array" ref="V251">IFERROR(INDEX('TB-EQUIPMENT &amp; OTHER HPs'!$R$91:$R$130,MATCH($E251&amp;$F251,'TB-EQUIPMENT &amp; OTHER HPs'!$E$91:$E$130&amp;'TB-EQUIPMENT &amp; OTHER HPs'!$I$91:$I$130,0)),0)</f>
        <v>0</v>
      </c>
      <c r="W251" s="626">
        <f t="shared" si="297"/>
        <v>0</v>
      </c>
      <c r="X251" s="626">
        <f t="shared" si="298"/>
        <v>0</v>
      </c>
      <c r="Y251" s="626">
        <f t="shared" si="299"/>
        <v>0</v>
      </c>
      <c r="Z251" s="630"/>
      <c r="AA251" s="625">
        <f t="array" ref="AA251">IFERROR(INDEX('TB-EQUIPMENT &amp; OTHER HPs'!$U$91:$U$130,MATCH($E251&amp;$F251,'TB-EQUIPMENT &amp; OTHER HPs'!$E$91:$E$130&amp;'TB-EQUIPMENT &amp; OTHER HPs'!$I$91:$I$130,0)),0)</f>
        <v>0</v>
      </c>
      <c r="AB251" s="625">
        <f t="array" ref="AB251">IFERROR(INDEX('TB-EQUIPMENT &amp; OTHER HPs'!$V$91:$V$130,MATCH($E251&amp;$F251,'TB-EQUIPMENT &amp; OTHER HPs'!$E$91:$E$130&amp;'TB-EQUIPMENT &amp; OTHER HPs'!$I$91:$I$130,0)),0)</f>
        <v>0</v>
      </c>
      <c r="AC251" s="626">
        <f t="shared" si="300"/>
        <v>0</v>
      </c>
      <c r="AD251" s="626">
        <f t="shared" si="301"/>
        <v>0</v>
      </c>
      <c r="AE251" s="626">
        <f t="shared" si="302"/>
        <v>0</v>
      </c>
      <c r="AF251" s="625">
        <f t="array" ref="AF251">IFERROR(INDEX('TB-EQUIPMENT &amp; OTHER HPs'!$W$91:$W$130,MATCH($E251&amp;$F251,'TB-EQUIPMENT &amp; OTHER HPs'!$E$91:$E$130&amp;'TB-EQUIPMENT &amp; OTHER HPs'!$I$91:$I$130,0)),0)</f>
        <v>0</v>
      </c>
      <c r="AG251" s="626">
        <f t="shared" si="303"/>
        <v>0</v>
      </c>
      <c r="AH251" s="626">
        <f t="shared" si="304"/>
        <v>0</v>
      </c>
      <c r="AI251" s="626">
        <f t="shared" si="305"/>
        <v>0</v>
      </c>
      <c r="AJ251" s="625">
        <f t="array" ref="AJ251">IFERROR(INDEX('TB-EQUIPMENT &amp; OTHER HPs'!$X$91:$X$130,MATCH($E251&amp;$F251,'TB-EQUIPMENT &amp; OTHER HPs'!$E$91:$E$130&amp;'TB-EQUIPMENT &amp; OTHER HPs'!$I$91:$I$130,0)),0)</f>
        <v>0</v>
      </c>
      <c r="AK251" s="626">
        <f t="shared" si="306"/>
        <v>0</v>
      </c>
      <c r="AL251" s="626">
        <f t="shared" si="307"/>
        <v>0</v>
      </c>
      <c r="AM251" s="626">
        <f t="shared" si="308"/>
        <v>0</v>
      </c>
      <c r="AN251" s="625">
        <f t="array" ref="AN251">IFERROR(INDEX('TB-EQUIPMENT &amp; OTHER HPs'!$Y$91:$Y$130,MATCH($E251&amp;$F251,'TB-EQUIPMENT &amp; OTHER HPs'!$E$91:$E$130&amp;'TB-EQUIPMENT &amp; OTHER HPs'!$I$91:$I$130,0)),0)</f>
        <v>0</v>
      </c>
      <c r="AO251" s="626">
        <f t="shared" si="309"/>
        <v>0</v>
      </c>
      <c r="AP251" s="626">
        <f t="shared" si="310"/>
        <v>0</v>
      </c>
      <c r="AQ251" s="626">
        <f t="shared" si="311"/>
        <v>0</v>
      </c>
      <c r="AR251" s="630"/>
      <c r="AS251" s="625">
        <f t="array" ref="AS251">IFERROR(INDEX('TB-EQUIPMENT &amp; OTHER HPs'!$AB$91:$AB$130,MATCH($E251&amp;$F251,'TB-EQUIPMENT &amp; OTHER HPs'!$E$91:$E$130&amp;'TB-EQUIPMENT &amp; OTHER HPs'!$I$91:$I$130,0)),0)</f>
        <v>0</v>
      </c>
      <c r="AT251" s="625">
        <f t="array" ref="AT251">IFERROR(INDEX('TB-EQUIPMENT &amp; OTHER HPs'!$AC$91:$AC$130,MATCH($E251&amp;$F251,'TB-EQUIPMENT &amp; OTHER HPs'!$E$91:$E$130&amp;'TB-EQUIPMENT &amp; OTHER HPs'!$I$91:$I$130,0)),0)</f>
        <v>0</v>
      </c>
      <c r="AU251" s="626">
        <f t="shared" si="312"/>
        <v>0</v>
      </c>
      <c r="AV251" s="626">
        <f t="shared" si="313"/>
        <v>0</v>
      </c>
      <c r="AW251" s="626">
        <f t="shared" si="314"/>
        <v>0</v>
      </c>
      <c r="AX251" s="625">
        <f t="array" ref="AX251">IFERROR(INDEX('TB-EQUIPMENT &amp; OTHER HPs'!$AD$91:$AD$130,MATCH($E251&amp;$F251,'TB-EQUIPMENT &amp; OTHER HPs'!$E$91:$E$130&amp;'TB-EQUIPMENT &amp; OTHER HPs'!$I$91:$I$130,0)),0)</f>
        <v>0</v>
      </c>
      <c r="AY251" s="626">
        <f t="shared" si="315"/>
        <v>0</v>
      </c>
      <c r="AZ251" s="626">
        <f t="shared" si="316"/>
        <v>0</v>
      </c>
      <c r="BA251" s="626">
        <f t="shared" si="317"/>
        <v>0</v>
      </c>
      <c r="BB251" s="625">
        <f t="array" ref="BB251">IFERROR(INDEX('TB-EQUIPMENT &amp; OTHER HPs'!$AE$91:$AE$130,MATCH($E251&amp;$F251,'TB-EQUIPMENT &amp; OTHER HPs'!$E$91:$E$130&amp;'TB-EQUIPMENT &amp; OTHER HPs'!$I$91:$I$130,0)),0)</f>
        <v>0</v>
      </c>
      <c r="BC251" s="626">
        <f t="shared" si="318"/>
        <v>0</v>
      </c>
      <c r="BD251" s="626">
        <f t="shared" si="319"/>
        <v>0</v>
      </c>
      <c r="BE251" s="626">
        <f t="shared" si="320"/>
        <v>0</v>
      </c>
      <c r="BF251" s="625">
        <f t="array" ref="BF251">IFERROR(INDEX('TB-EQUIPMENT &amp; OTHER HPs'!$AF$91:$AF$130,MATCH($E251&amp;$F251,'TB-EQUIPMENT &amp; OTHER HPs'!$E$91:$E$130&amp;'TB-EQUIPMENT &amp; OTHER HPs'!$I$91:$I$130,0)),0)</f>
        <v>0</v>
      </c>
      <c r="BG251" s="626">
        <f t="shared" si="321"/>
        <v>0</v>
      </c>
      <c r="BH251" s="626">
        <f t="shared" si="322"/>
        <v>0</v>
      </c>
      <c r="BI251" s="626">
        <f t="shared" si="323"/>
        <v>0</v>
      </c>
      <c r="BJ251" s="630"/>
      <c r="BK251" s="625"/>
      <c r="BL251" s="625"/>
      <c r="BM251" s="625"/>
      <c r="BN251" s="625"/>
      <c r="BO251" s="625"/>
      <c r="BP251" s="625"/>
      <c r="BQ251" s="625"/>
      <c r="BR251" s="625"/>
    </row>
    <row r="252" spans="1:70">
      <c r="A252" s="29" t="s">
        <v>1754</v>
      </c>
      <c r="B252" s="29" t="s">
        <v>1837</v>
      </c>
      <c r="C252" s="619">
        <f>SETUP!$F$43</f>
        <v>0</v>
      </c>
      <c r="D252" s="25">
        <v>5.6</v>
      </c>
      <c r="E252" s="26" t="s">
        <v>1475</v>
      </c>
      <c r="F252" s="26" t="s">
        <v>1140</v>
      </c>
      <c r="G252" s="625" t="str">
        <f t="array" ref="G252">IFERROR(INDEX('TB-EQUIPMENT &amp; OTHER HPs'!$L$91:$L$130,MATCH($E252&amp;$F252,'TB-EQUIPMENT &amp; OTHER HPs'!$E$91:$E$130&amp;'TB-EQUIPMENT &amp; OTHER HPs'!$I$91:$I$130,0)),"")</f>
        <v/>
      </c>
      <c r="H252" s="625" t="str">
        <f t="array" ref="H252">IFERROR(INDEX('TB-EQUIPMENT &amp; OTHER HPs'!$M$91:$M$130,MATCH($E252&amp;$F252,'TB-EQUIPMENT &amp; OTHER HPs'!$E$91:$E$130&amp;'TB-EQUIPMENT &amp; OTHER HPs'!$I$91:$I$130,0)),"")</f>
        <v/>
      </c>
      <c r="I252" s="625">
        <f t="array" ref="I252">IFERROR(INDEX('TB-EQUIPMENT &amp; OTHER HPs'!$N$91:$N$130,MATCH($E252&amp;$F252,'TB-EQUIPMENT &amp; OTHER HPs'!$E$91:$E$130&amp;'TB-EQUIPMENT &amp; OTHER HPs'!$I$91:$I$130,0)),0)</f>
        <v>0</v>
      </c>
      <c r="J252" s="625">
        <f t="array" ref="J252">IFERROR(INDEX('TB-EQUIPMENT &amp; OTHER HPs'!$O$91:$O$130,MATCH($E252&amp;$F252,'TB-EQUIPMENT &amp; OTHER HPs'!$E$91:$E$130&amp;'TB-EQUIPMENT &amp; OTHER HPs'!$I$91:$I$130,0)),0)</f>
        <v>0</v>
      </c>
      <c r="K252" s="626">
        <f t="shared" si="288"/>
        <v>0</v>
      </c>
      <c r="L252" s="626">
        <f t="shared" si="289"/>
        <v>0</v>
      </c>
      <c r="M252" s="626">
        <f t="shared" si="290"/>
        <v>0</v>
      </c>
      <c r="N252" s="625">
        <f t="array" ref="N252">IFERROR(INDEX('TB-EQUIPMENT &amp; OTHER HPs'!$P$91:$P$130,MATCH($E252&amp;$F252,'TB-EQUIPMENT &amp; OTHER HPs'!$E$91:$E$130&amp;'TB-EQUIPMENT &amp; OTHER HPs'!$I$91:$I$130,0)),0)</f>
        <v>0</v>
      </c>
      <c r="O252" s="626">
        <f t="shared" si="291"/>
        <v>0</v>
      </c>
      <c r="P252" s="626">
        <f t="shared" si="292"/>
        <v>0</v>
      </c>
      <c r="Q252" s="626">
        <f t="shared" si="293"/>
        <v>0</v>
      </c>
      <c r="R252" s="625">
        <f t="array" ref="R252">IFERROR(INDEX('TB-EQUIPMENT &amp; OTHER HPs'!$Q$91:$Q$130,MATCH($E252&amp;$F252,'TB-EQUIPMENT &amp; OTHER HPs'!$E$91:$E$130&amp;'TB-EQUIPMENT &amp; OTHER HPs'!$I$91:$I$130,0)),0)</f>
        <v>0</v>
      </c>
      <c r="S252" s="626">
        <f t="shared" si="294"/>
        <v>0</v>
      </c>
      <c r="T252" s="626">
        <f t="shared" si="295"/>
        <v>0</v>
      </c>
      <c r="U252" s="626">
        <f t="shared" si="296"/>
        <v>0</v>
      </c>
      <c r="V252" s="625">
        <f t="array" ref="V252">IFERROR(INDEX('TB-EQUIPMENT &amp; OTHER HPs'!$R$91:$R$130,MATCH($E252&amp;$F252,'TB-EQUIPMENT &amp; OTHER HPs'!$E$91:$E$130&amp;'TB-EQUIPMENT &amp; OTHER HPs'!$I$91:$I$130,0)),0)</f>
        <v>0</v>
      </c>
      <c r="W252" s="626">
        <f t="shared" si="297"/>
        <v>0</v>
      </c>
      <c r="X252" s="626">
        <f t="shared" si="298"/>
        <v>0</v>
      </c>
      <c r="Y252" s="626">
        <f t="shared" si="299"/>
        <v>0</v>
      </c>
      <c r="Z252" s="630"/>
      <c r="AA252" s="625">
        <f t="array" ref="AA252">IFERROR(INDEX('TB-EQUIPMENT &amp; OTHER HPs'!$U$91:$U$130,MATCH($E252&amp;$F252,'TB-EQUIPMENT &amp; OTHER HPs'!$E$91:$E$130&amp;'TB-EQUIPMENT &amp; OTHER HPs'!$I$91:$I$130,0)),0)</f>
        <v>0</v>
      </c>
      <c r="AB252" s="625">
        <f t="array" ref="AB252">IFERROR(INDEX('TB-EQUIPMENT &amp; OTHER HPs'!$V$91:$V$130,MATCH($E252&amp;$F252,'TB-EQUIPMENT &amp; OTHER HPs'!$E$91:$E$130&amp;'TB-EQUIPMENT &amp; OTHER HPs'!$I$91:$I$130,0)),0)</f>
        <v>0</v>
      </c>
      <c r="AC252" s="626">
        <f t="shared" si="300"/>
        <v>0</v>
      </c>
      <c r="AD252" s="626">
        <f t="shared" si="301"/>
        <v>0</v>
      </c>
      <c r="AE252" s="626">
        <f t="shared" si="302"/>
        <v>0</v>
      </c>
      <c r="AF252" s="625">
        <f t="array" ref="AF252">IFERROR(INDEX('TB-EQUIPMENT &amp; OTHER HPs'!$W$91:$W$130,MATCH($E252&amp;$F252,'TB-EQUIPMENT &amp; OTHER HPs'!$E$91:$E$130&amp;'TB-EQUIPMENT &amp; OTHER HPs'!$I$91:$I$130,0)),0)</f>
        <v>0</v>
      </c>
      <c r="AG252" s="626">
        <f t="shared" si="303"/>
        <v>0</v>
      </c>
      <c r="AH252" s="626">
        <f t="shared" si="304"/>
        <v>0</v>
      </c>
      <c r="AI252" s="626">
        <f t="shared" si="305"/>
        <v>0</v>
      </c>
      <c r="AJ252" s="625">
        <f t="array" ref="AJ252">IFERROR(INDEX('TB-EQUIPMENT &amp; OTHER HPs'!$X$91:$X$130,MATCH($E252&amp;$F252,'TB-EQUIPMENT &amp; OTHER HPs'!$E$91:$E$130&amp;'TB-EQUIPMENT &amp; OTHER HPs'!$I$91:$I$130,0)),0)</f>
        <v>0</v>
      </c>
      <c r="AK252" s="626">
        <f t="shared" si="306"/>
        <v>0</v>
      </c>
      <c r="AL252" s="626">
        <f t="shared" si="307"/>
        <v>0</v>
      </c>
      <c r="AM252" s="626">
        <f t="shared" si="308"/>
        <v>0</v>
      </c>
      <c r="AN252" s="625">
        <f t="array" ref="AN252">IFERROR(INDEX('TB-EQUIPMENT &amp; OTHER HPs'!$Y$91:$Y$130,MATCH($E252&amp;$F252,'TB-EQUIPMENT &amp; OTHER HPs'!$E$91:$E$130&amp;'TB-EQUIPMENT &amp; OTHER HPs'!$I$91:$I$130,0)),0)</f>
        <v>0</v>
      </c>
      <c r="AO252" s="626">
        <f t="shared" si="309"/>
        <v>0</v>
      </c>
      <c r="AP252" s="626">
        <f t="shared" si="310"/>
        <v>0</v>
      </c>
      <c r="AQ252" s="626">
        <f t="shared" si="311"/>
        <v>0</v>
      </c>
      <c r="AR252" s="630"/>
      <c r="AS252" s="625">
        <f t="array" ref="AS252">IFERROR(INDEX('TB-EQUIPMENT &amp; OTHER HPs'!$AB$91:$AB$130,MATCH($E252&amp;$F252,'TB-EQUIPMENT &amp; OTHER HPs'!$E$91:$E$130&amp;'TB-EQUIPMENT &amp; OTHER HPs'!$I$91:$I$130,0)),0)</f>
        <v>0</v>
      </c>
      <c r="AT252" s="625">
        <f t="array" ref="AT252">IFERROR(INDEX('TB-EQUIPMENT &amp; OTHER HPs'!$AC$91:$AC$130,MATCH($E252&amp;$F252,'TB-EQUIPMENT &amp; OTHER HPs'!$E$91:$E$130&amp;'TB-EQUIPMENT &amp; OTHER HPs'!$I$91:$I$130,0)),0)</f>
        <v>0</v>
      </c>
      <c r="AU252" s="626">
        <f t="shared" si="312"/>
        <v>0</v>
      </c>
      <c r="AV252" s="626">
        <f t="shared" si="313"/>
        <v>0</v>
      </c>
      <c r="AW252" s="626">
        <f t="shared" si="314"/>
        <v>0</v>
      </c>
      <c r="AX252" s="625">
        <f t="array" ref="AX252">IFERROR(INDEX('TB-EQUIPMENT &amp; OTHER HPs'!$AD$91:$AD$130,MATCH($E252&amp;$F252,'TB-EQUIPMENT &amp; OTHER HPs'!$E$91:$E$130&amp;'TB-EQUIPMENT &amp; OTHER HPs'!$I$91:$I$130,0)),0)</f>
        <v>0</v>
      </c>
      <c r="AY252" s="626">
        <f t="shared" si="315"/>
        <v>0</v>
      </c>
      <c r="AZ252" s="626">
        <f t="shared" si="316"/>
        <v>0</v>
      </c>
      <c r="BA252" s="626">
        <f t="shared" si="317"/>
        <v>0</v>
      </c>
      <c r="BB252" s="625">
        <f t="array" ref="BB252">IFERROR(INDEX('TB-EQUIPMENT &amp; OTHER HPs'!$AE$91:$AE$130,MATCH($E252&amp;$F252,'TB-EQUIPMENT &amp; OTHER HPs'!$E$91:$E$130&amp;'TB-EQUIPMENT &amp; OTHER HPs'!$I$91:$I$130,0)),0)</f>
        <v>0</v>
      </c>
      <c r="BC252" s="626">
        <f t="shared" si="318"/>
        <v>0</v>
      </c>
      <c r="BD252" s="626">
        <f t="shared" si="319"/>
        <v>0</v>
      </c>
      <c r="BE252" s="626">
        <f t="shared" si="320"/>
        <v>0</v>
      </c>
      <c r="BF252" s="625">
        <f t="array" ref="BF252">IFERROR(INDEX('TB-EQUIPMENT &amp; OTHER HPs'!$AF$91:$AF$130,MATCH($E252&amp;$F252,'TB-EQUIPMENT &amp; OTHER HPs'!$E$91:$E$130&amp;'TB-EQUIPMENT &amp; OTHER HPs'!$I$91:$I$130,0)),0)</f>
        <v>0</v>
      </c>
      <c r="BG252" s="626">
        <f t="shared" si="321"/>
        <v>0</v>
      </c>
      <c r="BH252" s="626">
        <f t="shared" si="322"/>
        <v>0</v>
      </c>
      <c r="BI252" s="626">
        <f t="shared" si="323"/>
        <v>0</v>
      </c>
      <c r="BJ252" s="630"/>
      <c r="BK252" s="625"/>
      <c r="BL252" s="625"/>
      <c r="BM252" s="625"/>
      <c r="BN252" s="625"/>
      <c r="BO252" s="625"/>
      <c r="BP252" s="625"/>
      <c r="BQ252" s="625"/>
      <c r="BR252" s="625"/>
    </row>
    <row r="253" spans="1:70">
      <c r="A253" s="29" t="s">
        <v>1754</v>
      </c>
      <c r="B253" s="29" t="s">
        <v>1837</v>
      </c>
      <c r="C253" s="619">
        <f>SETUP!$F$43</f>
        <v>0</v>
      </c>
      <c r="D253" s="25">
        <v>5.6</v>
      </c>
      <c r="E253" s="26" t="s">
        <v>1476</v>
      </c>
      <c r="F253" s="26" t="s">
        <v>1477</v>
      </c>
      <c r="G253" s="625" t="str">
        <f t="array" ref="G253">IFERROR(INDEX('TB-EQUIPMENT &amp; OTHER HPs'!$L$91:$L$130,MATCH($E253&amp;$F253,'TB-EQUIPMENT &amp; OTHER HPs'!$E$91:$E$130&amp;'TB-EQUIPMENT &amp; OTHER HPs'!$I$91:$I$130,0)),"")</f>
        <v/>
      </c>
      <c r="H253" s="625" t="str">
        <f t="array" ref="H253">IFERROR(INDEX('TB-EQUIPMENT &amp; OTHER HPs'!$M$91:$M$130,MATCH($E253&amp;$F253,'TB-EQUIPMENT &amp; OTHER HPs'!$E$91:$E$130&amp;'TB-EQUIPMENT &amp; OTHER HPs'!$I$91:$I$130,0)),"")</f>
        <v/>
      </c>
      <c r="I253" s="625">
        <f t="array" ref="I253">IFERROR(INDEX('TB-EQUIPMENT &amp; OTHER HPs'!$N$91:$N$130,MATCH($E253&amp;$F253,'TB-EQUIPMENT &amp; OTHER HPs'!$E$91:$E$130&amp;'TB-EQUIPMENT &amp; OTHER HPs'!$I$91:$I$130,0)),0)</f>
        <v>0</v>
      </c>
      <c r="J253" s="625">
        <f t="array" ref="J253">IFERROR(INDEX('TB-EQUIPMENT &amp; OTHER HPs'!$O$91:$O$130,MATCH($E253&amp;$F253,'TB-EQUIPMENT &amp; OTHER HPs'!$E$91:$E$130&amp;'TB-EQUIPMENT &amp; OTHER HPs'!$I$91:$I$130,0)),0)</f>
        <v>0</v>
      </c>
      <c r="K253" s="626">
        <f t="shared" si="288"/>
        <v>0</v>
      </c>
      <c r="L253" s="626">
        <f t="shared" si="289"/>
        <v>0</v>
      </c>
      <c r="M253" s="626">
        <f t="shared" si="290"/>
        <v>0</v>
      </c>
      <c r="N253" s="625">
        <f t="array" ref="N253">IFERROR(INDEX('TB-EQUIPMENT &amp; OTHER HPs'!$P$91:$P$130,MATCH($E253&amp;$F253,'TB-EQUIPMENT &amp; OTHER HPs'!$E$91:$E$130&amp;'TB-EQUIPMENT &amp; OTHER HPs'!$I$91:$I$130,0)),0)</f>
        <v>0</v>
      </c>
      <c r="O253" s="626">
        <f t="shared" si="291"/>
        <v>0</v>
      </c>
      <c r="P253" s="626">
        <f t="shared" si="292"/>
        <v>0</v>
      </c>
      <c r="Q253" s="626">
        <f t="shared" si="293"/>
        <v>0</v>
      </c>
      <c r="R253" s="625">
        <f t="array" ref="R253">IFERROR(INDEX('TB-EQUIPMENT &amp; OTHER HPs'!$Q$91:$Q$130,MATCH($E253&amp;$F253,'TB-EQUIPMENT &amp; OTHER HPs'!$E$91:$E$130&amp;'TB-EQUIPMENT &amp; OTHER HPs'!$I$91:$I$130,0)),0)</f>
        <v>0</v>
      </c>
      <c r="S253" s="626">
        <f t="shared" si="294"/>
        <v>0</v>
      </c>
      <c r="T253" s="626">
        <f t="shared" si="295"/>
        <v>0</v>
      </c>
      <c r="U253" s="626">
        <f t="shared" si="296"/>
        <v>0</v>
      </c>
      <c r="V253" s="625">
        <f t="array" ref="V253">IFERROR(INDEX('TB-EQUIPMENT &amp; OTHER HPs'!$R$91:$R$130,MATCH($E253&amp;$F253,'TB-EQUIPMENT &amp; OTHER HPs'!$E$91:$E$130&amp;'TB-EQUIPMENT &amp; OTHER HPs'!$I$91:$I$130,0)),0)</f>
        <v>0</v>
      </c>
      <c r="W253" s="626">
        <f t="shared" si="297"/>
        <v>0</v>
      </c>
      <c r="X253" s="626">
        <f t="shared" si="298"/>
        <v>0</v>
      </c>
      <c r="Y253" s="626">
        <f t="shared" si="299"/>
        <v>0</v>
      </c>
      <c r="Z253" s="630"/>
      <c r="AA253" s="625">
        <f t="array" ref="AA253">IFERROR(INDEX('TB-EQUIPMENT &amp; OTHER HPs'!$U$91:$U$130,MATCH($E253&amp;$F253,'TB-EQUIPMENT &amp; OTHER HPs'!$E$91:$E$130&amp;'TB-EQUIPMENT &amp; OTHER HPs'!$I$91:$I$130,0)),0)</f>
        <v>0</v>
      </c>
      <c r="AB253" s="625">
        <f t="array" ref="AB253">IFERROR(INDEX('TB-EQUIPMENT &amp; OTHER HPs'!$V$91:$V$130,MATCH($E253&amp;$F253,'TB-EQUIPMENT &amp; OTHER HPs'!$E$91:$E$130&amp;'TB-EQUIPMENT &amp; OTHER HPs'!$I$91:$I$130,0)),0)</f>
        <v>0</v>
      </c>
      <c r="AC253" s="626">
        <f t="shared" si="300"/>
        <v>0</v>
      </c>
      <c r="AD253" s="626">
        <f t="shared" si="301"/>
        <v>0</v>
      </c>
      <c r="AE253" s="626">
        <f t="shared" si="302"/>
        <v>0</v>
      </c>
      <c r="AF253" s="625">
        <f t="array" ref="AF253">IFERROR(INDEX('TB-EQUIPMENT &amp; OTHER HPs'!$W$91:$W$130,MATCH($E253&amp;$F253,'TB-EQUIPMENT &amp; OTHER HPs'!$E$91:$E$130&amp;'TB-EQUIPMENT &amp; OTHER HPs'!$I$91:$I$130,0)),0)</f>
        <v>0</v>
      </c>
      <c r="AG253" s="626">
        <f t="shared" si="303"/>
        <v>0</v>
      </c>
      <c r="AH253" s="626">
        <f t="shared" si="304"/>
        <v>0</v>
      </c>
      <c r="AI253" s="626">
        <f t="shared" si="305"/>
        <v>0</v>
      </c>
      <c r="AJ253" s="625">
        <f t="array" ref="AJ253">IFERROR(INDEX('TB-EQUIPMENT &amp; OTHER HPs'!$X$91:$X$130,MATCH($E253&amp;$F253,'TB-EQUIPMENT &amp; OTHER HPs'!$E$91:$E$130&amp;'TB-EQUIPMENT &amp; OTHER HPs'!$I$91:$I$130,0)),0)</f>
        <v>0</v>
      </c>
      <c r="AK253" s="626">
        <f t="shared" si="306"/>
        <v>0</v>
      </c>
      <c r="AL253" s="626">
        <f t="shared" si="307"/>
        <v>0</v>
      </c>
      <c r="AM253" s="626">
        <f t="shared" si="308"/>
        <v>0</v>
      </c>
      <c r="AN253" s="625">
        <f t="array" ref="AN253">IFERROR(INDEX('TB-EQUIPMENT &amp; OTHER HPs'!$Y$91:$Y$130,MATCH($E253&amp;$F253,'TB-EQUIPMENT &amp; OTHER HPs'!$E$91:$E$130&amp;'TB-EQUIPMENT &amp; OTHER HPs'!$I$91:$I$130,0)),0)</f>
        <v>0</v>
      </c>
      <c r="AO253" s="626">
        <f t="shared" si="309"/>
        <v>0</v>
      </c>
      <c r="AP253" s="626">
        <f t="shared" si="310"/>
        <v>0</v>
      </c>
      <c r="AQ253" s="626">
        <f t="shared" si="311"/>
        <v>0</v>
      </c>
      <c r="AR253" s="630"/>
      <c r="AS253" s="625">
        <f t="array" ref="AS253">IFERROR(INDEX('TB-EQUIPMENT &amp; OTHER HPs'!$AB$91:$AB$130,MATCH($E253&amp;$F253,'TB-EQUIPMENT &amp; OTHER HPs'!$E$91:$E$130&amp;'TB-EQUIPMENT &amp; OTHER HPs'!$I$91:$I$130,0)),0)</f>
        <v>0</v>
      </c>
      <c r="AT253" s="625">
        <f t="array" ref="AT253">IFERROR(INDEX('TB-EQUIPMENT &amp; OTHER HPs'!$AC$91:$AC$130,MATCH($E253&amp;$F253,'TB-EQUIPMENT &amp; OTHER HPs'!$E$91:$E$130&amp;'TB-EQUIPMENT &amp; OTHER HPs'!$I$91:$I$130,0)),0)</f>
        <v>0</v>
      </c>
      <c r="AU253" s="626">
        <f t="shared" si="312"/>
        <v>0</v>
      </c>
      <c r="AV253" s="626">
        <f t="shared" si="313"/>
        <v>0</v>
      </c>
      <c r="AW253" s="626">
        <f t="shared" si="314"/>
        <v>0</v>
      </c>
      <c r="AX253" s="625">
        <f t="array" ref="AX253">IFERROR(INDEX('TB-EQUIPMENT &amp; OTHER HPs'!$AD$91:$AD$130,MATCH($E253&amp;$F253,'TB-EQUIPMENT &amp; OTHER HPs'!$E$91:$E$130&amp;'TB-EQUIPMENT &amp; OTHER HPs'!$I$91:$I$130,0)),0)</f>
        <v>0</v>
      </c>
      <c r="AY253" s="626">
        <f t="shared" si="315"/>
        <v>0</v>
      </c>
      <c r="AZ253" s="626">
        <f t="shared" si="316"/>
        <v>0</v>
      </c>
      <c r="BA253" s="626">
        <f t="shared" si="317"/>
        <v>0</v>
      </c>
      <c r="BB253" s="625">
        <f t="array" ref="BB253">IFERROR(INDEX('TB-EQUIPMENT &amp; OTHER HPs'!$AE$91:$AE$130,MATCH($E253&amp;$F253,'TB-EQUIPMENT &amp; OTHER HPs'!$E$91:$E$130&amp;'TB-EQUIPMENT &amp; OTHER HPs'!$I$91:$I$130,0)),0)</f>
        <v>0</v>
      </c>
      <c r="BC253" s="626">
        <f t="shared" si="318"/>
        <v>0</v>
      </c>
      <c r="BD253" s="626">
        <f t="shared" si="319"/>
        <v>0</v>
      </c>
      <c r="BE253" s="626">
        <f t="shared" si="320"/>
        <v>0</v>
      </c>
      <c r="BF253" s="625">
        <f t="array" ref="BF253">IFERROR(INDEX('TB-EQUIPMENT &amp; OTHER HPs'!$AF$91:$AF$130,MATCH($E253&amp;$F253,'TB-EQUIPMENT &amp; OTHER HPs'!$E$91:$E$130&amp;'TB-EQUIPMENT &amp; OTHER HPs'!$I$91:$I$130,0)),0)</f>
        <v>0</v>
      </c>
      <c r="BG253" s="626">
        <f t="shared" si="321"/>
        <v>0</v>
      </c>
      <c r="BH253" s="626">
        <f t="shared" si="322"/>
        <v>0</v>
      </c>
      <c r="BI253" s="626">
        <f t="shared" si="323"/>
        <v>0</v>
      </c>
      <c r="BJ253" s="630"/>
      <c r="BK253" s="625"/>
      <c r="BL253" s="625"/>
      <c r="BM253" s="625"/>
      <c r="BN253" s="625"/>
      <c r="BO253" s="625"/>
      <c r="BP253" s="625"/>
      <c r="BQ253" s="625"/>
      <c r="BR253" s="625"/>
    </row>
    <row r="254" spans="1:70">
      <c r="A254" s="29" t="s">
        <v>1754</v>
      </c>
      <c r="B254" s="29" t="s">
        <v>1837</v>
      </c>
      <c r="C254" s="619">
        <f>SETUP!$F$43</f>
        <v>0</v>
      </c>
      <c r="D254" s="25">
        <v>5.6</v>
      </c>
      <c r="E254" s="26" t="s">
        <v>1476</v>
      </c>
      <c r="F254" s="26" t="s">
        <v>1478</v>
      </c>
      <c r="G254" s="625" t="str">
        <f t="array" ref="G254">IFERROR(INDEX('TB-EQUIPMENT &amp; OTHER HPs'!$L$91:$L$130,MATCH($E254&amp;$F254,'TB-EQUIPMENT &amp; OTHER HPs'!$E$91:$E$130&amp;'TB-EQUIPMENT &amp; OTHER HPs'!$I$91:$I$130,0)),"")</f>
        <v/>
      </c>
      <c r="H254" s="625" t="str">
        <f t="array" ref="H254">IFERROR(INDEX('TB-EQUIPMENT &amp; OTHER HPs'!$M$91:$M$130,MATCH($E254&amp;$F254,'TB-EQUIPMENT &amp; OTHER HPs'!$E$91:$E$130&amp;'TB-EQUIPMENT &amp; OTHER HPs'!$I$91:$I$130,0)),"")</f>
        <v/>
      </c>
      <c r="I254" s="625">
        <f t="array" ref="I254">IFERROR(INDEX('TB-EQUIPMENT &amp; OTHER HPs'!$N$91:$N$130,MATCH($E254&amp;$F254,'TB-EQUIPMENT &amp; OTHER HPs'!$E$91:$E$130&amp;'TB-EQUIPMENT &amp; OTHER HPs'!$I$91:$I$130,0)),0)</f>
        <v>0</v>
      </c>
      <c r="J254" s="625">
        <f t="array" ref="J254">IFERROR(INDEX('TB-EQUIPMENT &amp; OTHER HPs'!$O$91:$O$130,MATCH($E254&amp;$F254,'TB-EQUIPMENT &amp; OTHER HPs'!$E$91:$E$130&amp;'TB-EQUIPMENT &amp; OTHER HPs'!$I$91:$I$130,0)),0)</f>
        <v>0</v>
      </c>
      <c r="K254" s="626">
        <f t="shared" si="288"/>
        <v>0</v>
      </c>
      <c r="L254" s="626">
        <f t="shared" si="289"/>
        <v>0</v>
      </c>
      <c r="M254" s="626">
        <f t="shared" si="290"/>
        <v>0</v>
      </c>
      <c r="N254" s="625">
        <f t="array" ref="N254">IFERROR(INDEX('TB-EQUIPMENT &amp; OTHER HPs'!$P$91:$P$130,MATCH($E254&amp;$F254,'TB-EQUIPMENT &amp; OTHER HPs'!$E$91:$E$130&amp;'TB-EQUIPMENT &amp; OTHER HPs'!$I$91:$I$130,0)),0)</f>
        <v>0</v>
      </c>
      <c r="O254" s="626">
        <f t="shared" si="291"/>
        <v>0</v>
      </c>
      <c r="P254" s="626">
        <f t="shared" si="292"/>
        <v>0</v>
      </c>
      <c r="Q254" s="626">
        <f t="shared" si="293"/>
        <v>0</v>
      </c>
      <c r="R254" s="625">
        <f t="array" ref="R254">IFERROR(INDEX('TB-EQUIPMENT &amp; OTHER HPs'!$Q$91:$Q$130,MATCH($E254&amp;$F254,'TB-EQUIPMENT &amp; OTHER HPs'!$E$91:$E$130&amp;'TB-EQUIPMENT &amp; OTHER HPs'!$I$91:$I$130,0)),0)</f>
        <v>0</v>
      </c>
      <c r="S254" s="626">
        <f t="shared" si="294"/>
        <v>0</v>
      </c>
      <c r="T254" s="626">
        <f t="shared" si="295"/>
        <v>0</v>
      </c>
      <c r="U254" s="626">
        <f t="shared" si="296"/>
        <v>0</v>
      </c>
      <c r="V254" s="625">
        <f t="array" ref="V254">IFERROR(INDEX('TB-EQUIPMENT &amp; OTHER HPs'!$R$91:$R$130,MATCH($E254&amp;$F254,'TB-EQUIPMENT &amp; OTHER HPs'!$E$91:$E$130&amp;'TB-EQUIPMENT &amp; OTHER HPs'!$I$91:$I$130,0)),0)</f>
        <v>0</v>
      </c>
      <c r="W254" s="626">
        <f t="shared" si="297"/>
        <v>0</v>
      </c>
      <c r="X254" s="626">
        <f t="shared" si="298"/>
        <v>0</v>
      </c>
      <c r="Y254" s="626">
        <f t="shared" si="299"/>
        <v>0</v>
      </c>
      <c r="Z254" s="630"/>
      <c r="AA254" s="625">
        <f t="array" ref="AA254">IFERROR(INDEX('TB-EQUIPMENT &amp; OTHER HPs'!$U$91:$U$130,MATCH($E254&amp;$F254,'TB-EQUIPMENT &amp; OTHER HPs'!$E$91:$E$130&amp;'TB-EQUIPMENT &amp; OTHER HPs'!$I$91:$I$130,0)),0)</f>
        <v>0</v>
      </c>
      <c r="AB254" s="625">
        <f t="array" ref="AB254">IFERROR(INDEX('TB-EQUIPMENT &amp; OTHER HPs'!$V$91:$V$130,MATCH($E254&amp;$F254,'TB-EQUIPMENT &amp; OTHER HPs'!$E$91:$E$130&amp;'TB-EQUIPMENT &amp; OTHER HPs'!$I$91:$I$130,0)),0)</f>
        <v>0</v>
      </c>
      <c r="AC254" s="626">
        <f t="shared" si="300"/>
        <v>0</v>
      </c>
      <c r="AD254" s="626">
        <f t="shared" si="301"/>
        <v>0</v>
      </c>
      <c r="AE254" s="626">
        <f t="shared" si="302"/>
        <v>0</v>
      </c>
      <c r="AF254" s="625">
        <f t="array" ref="AF254">IFERROR(INDEX('TB-EQUIPMENT &amp; OTHER HPs'!$W$91:$W$130,MATCH($E254&amp;$F254,'TB-EQUIPMENT &amp; OTHER HPs'!$E$91:$E$130&amp;'TB-EQUIPMENT &amp; OTHER HPs'!$I$91:$I$130,0)),0)</f>
        <v>0</v>
      </c>
      <c r="AG254" s="626">
        <f t="shared" si="303"/>
        <v>0</v>
      </c>
      <c r="AH254" s="626">
        <f t="shared" si="304"/>
        <v>0</v>
      </c>
      <c r="AI254" s="626">
        <f t="shared" si="305"/>
        <v>0</v>
      </c>
      <c r="AJ254" s="625">
        <f t="array" ref="AJ254">IFERROR(INDEX('TB-EQUIPMENT &amp; OTHER HPs'!$X$91:$X$130,MATCH($E254&amp;$F254,'TB-EQUIPMENT &amp; OTHER HPs'!$E$91:$E$130&amp;'TB-EQUIPMENT &amp; OTHER HPs'!$I$91:$I$130,0)),0)</f>
        <v>0</v>
      </c>
      <c r="AK254" s="626">
        <f t="shared" si="306"/>
        <v>0</v>
      </c>
      <c r="AL254" s="626">
        <f t="shared" si="307"/>
        <v>0</v>
      </c>
      <c r="AM254" s="626">
        <f t="shared" si="308"/>
        <v>0</v>
      </c>
      <c r="AN254" s="625">
        <f t="array" ref="AN254">IFERROR(INDEX('TB-EQUIPMENT &amp; OTHER HPs'!$Y$91:$Y$130,MATCH($E254&amp;$F254,'TB-EQUIPMENT &amp; OTHER HPs'!$E$91:$E$130&amp;'TB-EQUIPMENT &amp; OTHER HPs'!$I$91:$I$130,0)),0)</f>
        <v>0</v>
      </c>
      <c r="AO254" s="626">
        <f t="shared" si="309"/>
        <v>0</v>
      </c>
      <c r="AP254" s="626">
        <f t="shared" si="310"/>
        <v>0</v>
      </c>
      <c r="AQ254" s="626">
        <f t="shared" si="311"/>
        <v>0</v>
      </c>
      <c r="AR254" s="630"/>
      <c r="AS254" s="625">
        <f t="array" ref="AS254">IFERROR(INDEX('TB-EQUIPMENT &amp; OTHER HPs'!$AB$91:$AB$130,MATCH($E254&amp;$F254,'TB-EQUIPMENT &amp; OTHER HPs'!$E$91:$E$130&amp;'TB-EQUIPMENT &amp; OTHER HPs'!$I$91:$I$130,0)),0)</f>
        <v>0</v>
      </c>
      <c r="AT254" s="625">
        <f t="array" ref="AT254">IFERROR(INDEX('TB-EQUIPMENT &amp; OTHER HPs'!$AC$91:$AC$130,MATCH($E254&amp;$F254,'TB-EQUIPMENT &amp; OTHER HPs'!$E$91:$E$130&amp;'TB-EQUIPMENT &amp; OTHER HPs'!$I$91:$I$130,0)),0)</f>
        <v>0</v>
      </c>
      <c r="AU254" s="626">
        <f t="shared" si="312"/>
        <v>0</v>
      </c>
      <c r="AV254" s="626">
        <f t="shared" si="313"/>
        <v>0</v>
      </c>
      <c r="AW254" s="626">
        <f t="shared" si="314"/>
        <v>0</v>
      </c>
      <c r="AX254" s="625">
        <f t="array" ref="AX254">IFERROR(INDEX('TB-EQUIPMENT &amp; OTHER HPs'!$AD$91:$AD$130,MATCH($E254&amp;$F254,'TB-EQUIPMENT &amp; OTHER HPs'!$E$91:$E$130&amp;'TB-EQUIPMENT &amp; OTHER HPs'!$I$91:$I$130,0)),0)</f>
        <v>0</v>
      </c>
      <c r="AY254" s="626">
        <f t="shared" si="315"/>
        <v>0</v>
      </c>
      <c r="AZ254" s="626">
        <f t="shared" si="316"/>
        <v>0</v>
      </c>
      <c r="BA254" s="626">
        <f t="shared" si="317"/>
        <v>0</v>
      </c>
      <c r="BB254" s="625">
        <f t="array" ref="BB254">IFERROR(INDEX('TB-EQUIPMENT &amp; OTHER HPs'!$AE$91:$AE$130,MATCH($E254&amp;$F254,'TB-EQUIPMENT &amp; OTHER HPs'!$E$91:$E$130&amp;'TB-EQUIPMENT &amp; OTHER HPs'!$I$91:$I$130,0)),0)</f>
        <v>0</v>
      </c>
      <c r="BC254" s="626">
        <f t="shared" si="318"/>
        <v>0</v>
      </c>
      <c r="BD254" s="626">
        <f t="shared" si="319"/>
        <v>0</v>
      </c>
      <c r="BE254" s="626">
        <f t="shared" si="320"/>
        <v>0</v>
      </c>
      <c r="BF254" s="625">
        <f t="array" ref="BF254">IFERROR(INDEX('TB-EQUIPMENT &amp; OTHER HPs'!$AF$91:$AF$130,MATCH($E254&amp;$F254,'TB-EQUIPMENT &amp; OTHER HPs'!$E$91:$E$130&amp;'TB-EQUIPMENT &amp; OTHER HPs'!$I$91:$I$130,0)),0)</f>
        <v>0</v>
      </c>
      <c r="BG254" s="626">
        <f t="shared" si="321"/>
        <v>0</v>
      </c>
      <c r="BH254" s="626">
        <f t="shared" si="322"/>
        <v>0</v>
      </c>
      <c r="BI254" s="626">
        <f t="shared" si="323"/>
        <v>0</v>
      </c>
      <c r="BJ254" s="630"/>
      <c r="BK254" s="625"/>
      <c r="BL254" s="625"/>
      <c r="BM254" s="625"/>
      <c r="BN254" s="625"/>
      <c r="BO254" s="625"/>
      <c r="BP254" s="625"/>
      <c r="BQ254" s="625"/>
      <c r="BR254" s="625"/>
    </row>
    <row r="255" spans="1:70">
      <c r="A255" s="29" t="s">
        <v>1754</v>
      </c>
      <c r="B255" s="29" t="s">
        <v>1837</v>
      </c>
      <c r="C255" s="619">
        <f>SETUP!$F$43</f>
        <v>0</v>
      </c>
      <c r="D255" s="25">
        <v>5.6</v>
      </c>
      <c r="E255" s="26" t="s">
        <v>1476</v>
      </c>
      <c r="F255" s="26" t="s">
        <v>1479</v>
      </c>
      <c r="G255" s="625" t="str">
        <f t="array" ref="G255">IFERROR(INDEX('TB-EQUIPMENT &amp; OTHER HPs'!$L$91:$L$130,MATCH($E255&amp;$F255,'TB-EQUIPMENT &amp; OTHER HPs'!$E$91:$E$130&amp;'TB-EQUIPMENT &amp; OTHER HPs'!$I$91:$I$130,0)),"")</f>
        <v/>
      </c>
      <c r="H255" s="625" t="str">
        <f t="array" ref="H255">IFERROR(INDEX('TB-EQUIPMENT &amp; OTHER HPs'!$M$91:$M$130,MATCH($E255&amp;$F255,'TB-EQUIPMENT &amp; OTHER HPs'!$E$91:$E$130&amp;'TB-EQUIPMENT &amp; OTHER HPs'!$I$91:$I$130,0)),"")</f>
        <v/>
      </c>
      <c r="I255" s="625">
        <f t="array" ref="I255">IFERROR(INDEX('TB-EQUIPMENT &amp; OTHER HPs'!$N$91:$N$130,MATCH($E255&amp;$F255,'TB-EQUIPMENT &amp; OTHER HPs'!$E$91:$E$130&amp;'TB-EQUIPMENT &amp; OTHER HPs'!$I$91:$I$130,0)),0)</f>
        <v>0</v>
      </c>
      <c r="J255" s="625">
        <f t="array" ref="J255">IFERROR(INDEX('TB-EQUIPMENT &amp; OTHER HPs'!$O$91:$O$130,MATCH($E255&amp;$F255,'TB-EQUIPMENT &amp; OTHER HPs'!$E$91:$E$130&amp;'TB-EQUIPMENT &amp; OTHER HPs'!$I$91:$I$130,0)),0)</f>
        <v>0</v>
      </c>
      <c r="K255" s="626">
        <f t="shared" si="288"/>
        <v>0</v>
      </c>
      <c r="L255" s="626">
        <f t="shared" si="289"/>
        <v>0</v>
      </c>
      <c r="M255" s="626">
        <f t="shared" si="290"/>
        <v>0</v>
      </c>
      <c r="N255" s="625">
        <f t="array" ref="N255">IFERROR(INDEX('TB-EQUIPMENT &amp; OTHER HPs'!$P$91:$P$130,MATCH($E255&amp;$F255,'TB-EQUIPMENT &amp; OTHER HPs'!$E$91:$E$130&amp;'TB-EQUIPMENT &amp; OTHER HPs'!$I$91:$I$130,0)),0)</f>
        <v>0</v>
      </c>
      <c r="O255" s="626">
        <f t="shared" si="291"/>
        <v>0</v>
      </c>
      <c r="P255" s="626">
        <f t="shared" si="292"/>
        <v>0</v>
      </c>
      <c r="Q255" s="626">
        <f t="shared" si="293"/>
        <v>0</v>
      </c>
      <c r="R255" s="625">
        <f t="array" ref="R255">IFERROR(INDEX('TB-EQUIPMENT &amp; OTHER HPs'!$Q$91:$Q$130,MATCH($E255&amp;$F255,'TB-EQUIPMENT &amp; OTHER HPs'!$E$91:$E$130&amp;'TB-EQUIPMENT &amp; OTHER HPs'!$I$91:$I$130,0)),0)</f>
        <v>0</v>
      </c>
      <c r="S255" s="626">
        <f t="shared" si="294"/>
        <v>0</v>
      </c>
      <c r="T255" s="626">
        <f t="shared" si="295"/>
        <v>0</v>
      </c>
      <c r="U255" s="626">
        <f t="shared" si="296"/>
        <v>0</v>
      </c>
      <c r="V255" s="625">
        <f t="array" ref="V255">IFERROR(INDEX('TB-EQUIPMENT &amp; OTHER HPs'!$R$91:$R$130,MATCH($E255&amp;$F255,'TB-EQUIPMENT &amp; OTHER HPs'!$E$91:$E$130&amp;'TB-EQUIPMENT &amp; OTHER HPs'!$I$91:$I$130,0)),0)</f>
        <v>0</v>
      </c>
      <c r="W255" s="626">
        <f t="shared" si="297"/>
        <v>0</v>
      </c>
      <c r="X255" s="626">
        <f t="shared" si="298"/>
        <v>0</v>
      </c>
      <c r="Y255" s="626">
        <f t="shared" si="299"/>
        <v>0</v>
      </c>
      <c r="Z255" s="630"/>
      <c r="AA255" s="625">
        <f t="array" ref="AA255">IFERROR(INDEX('TB-EQUIPMENT &amp; OTHER HPs'!$U$91:$U$130,MATCH($E255&amp;$F255,'TB-EQUIPMENT &amp; OTHER HPs'!$E$91:$E$130&amp;'TB-EQUIPMENT &amp; OTHER HPs'!$I$91:$I$130,0)),0)</f>
        <v>0</v>
      </c>
      <c r="AB255" s="625">
        <f t="array" ref="AB255">IFERROR(INDEX('TB-EQUIPMENT &amp; OTHER HPs'!$V$91:$V$130,MATCH($E255&amp;$F255,'TB-EQUIPMENT &amp; OTHER HPs'!$E$91:$E$130&amp;'TB-EQUIPMENT &amp; OTHER HPs'!$I$91:$I$130,0)),0)</f>
        <v>0</v>
      </c>
      <c r="AC255" s="626">
        <f t="shared" si="300"/>
        <v>0</v>
      </c>
      <c r="AD255" s="626">
        <f t="shared" si="301"/>
        <v>0</v>
      </c>
      <c r="AE255" s="626">
        <f t="shared" si="302"/>
        <v>0</v>
      </c>
      <c r="AF255" s="625">
        <f t="array" ref="AF255">IFERROR(INDEX('TB-EQUIPMENT &amp; OTHER HPs'!$W$91:$W$130,MATCH($E255&amp;$F255,'TB-EQUIPMENT &amp; OTHER HPs'!$E$91:$E$130&amp;'TB-EQUIPMENT &amp; OTHER HPs'!$I$91:$I$130,0)),0)</f>
        <v>0</v>
      </c>
      <c r="AG255" s="626">
        <f t="shared" si="303"/>
        <v>0</v>
      </c>
      <c r="AH255" s="626">
        <f t="shared" si="304"/>
        <v>0</v>
      </c>
      <c r="AI255" s="626">
        <f t="shared" si="305"/>
        <v>0</v>
      </c>
      <c r="AJ255" s="625">
        <f t="array" ref="AJ255">IFERROR(INDEX('TB-EQUIPMENT &amp; OTHER HPs'!$X$91:$X$130,MATCH($E255&amp;$F255,'TB-EQUIPMENT &amp; OTHER HPs'!$E$91:$E$130&amp;'TB-EQUIPMENT &amp; OTHER HPs'!$I$91:$I$130,0)),0)</f>
        <v>0</v>
      </c>
      <c r="AK255" s="626">
        <f t="shared" si="306"/>
        <v>0</v>
      </c>
      <c r="AL255" s="626">
        <f t="shared" si="307"/>
        <v>0</v>
      </c>
      <c r="AM255" s="626">
        <f t="shared" si="308"/>
        <v>0</v>
      </c>
      <c r="AN255" s="625">
        <f t="array" ref="AN255">IFERROR(INDEX('TB-EQUIPMENT &amp; OTHER HPs'!$Y$91:$Y$130,MATCH($E255&amp;$F255,'TB-EQUIPMENT &amp; OTHER HPs'!$E$91:$E$130&amp;'TB-EQUIPMENT &amp; OTHER HPs'!$I$91:$I$130,0)),0)</f>
        <v>0</v>
      </c>
      <c r="AO255" s="626">
        <f t="shared" si="309"/>
        <v>0</v>
      </c>
      <c r="AP255" s="626">
        <f t="shared" si="310"/>
        <v>0</v>
      </c>
      <c r="AQ255" s="626">
        <f t="shared" si="311"/>
        <v>0</v>
      </c>
      <c r="AR255" s="630"/>
      <c r="AS255" s="625">
        <f t="array" ref="AS255">IFERROR(INDEX('TB-EQUIPMENT &amp; OTHER HPs'!$AB$91:$AB$130,MATCH($E255&amp;$F255,'TB-EQUIPMENT &amp; OTHER HPs'!$E$91:$E$130&amp;'TB-EQUIPMENT &amp; OTHER HPs'!$I$91:$I$130,0)),0)</f>
        <v>0</v>
      </c>
      <c r="AT255" s="625">
        <f t="array" ref="AT255">IFERROR(INDEX('TB-EQUIPMENT &amp; OTHER HPs'!$AC$91:$AC$130,MATCH($E255&amp;$F255,'TB-EQUIPMENT &amp; OTHER HPs'!$E$91:$E$130&amp;'TB-EQUIPMENT &amp; OTHER HPs'!$I$91:$I$130,0)),0)</f>
        <v>0</v>
      </c>
      <c r="AU255" s="626">
        <f t="shared" si="312"/>
        <v>0</v>
      </c>
      <c r="AV255" s="626">
        <f t="shared" si="313"/>
        <v>0</v>
      </c>
      <c r="AW255" s="626">
        <f t="shared" si="314"/>
        <v>0</v>
      </c>
      <c r="AX255" s="625">
        <f t="array" ref="AX255">IFERROR(INDEX('TB-EQUIPMENT &amp; OTHER HPs'!$AD$91:$AD$130,MATCH($E255&amp;$F255,'TB-EQUIPMENT &amp; OTHER HPs'!$E$91:$E$130&amp;'TB-EQUIPMENT &amp; OTHER HPs'!$I$91:$I$130,0)),0)</f>
        <v>0</v>
      </c>
      <c r="AY255" s="626">
        <f t="shared" si="315"/>
        <v>0</v>
      </c>
      <c r="AZ255" s="626">
        <f t="shared" si="316"/>
        <v>0</v>
      </c>
      <c r="BA255" s="626">
        <f t="shared" si="317"/>
        <v>0</v>
      </c>
      <c r="BB255" s="625">
        <f t="array" ref="BB255">IFERROR(INDEX('TB-EQUIPMENT &amp; OTHER HPs'!$AE$91:$AE$130,MATCH($E255&amp;$F255,'TB-EQUIPMENT &amp; OTHER HPs'!$E$91:$E$130&amp;'TB-EQUIPMENT &amp; OTHER HPs'!$I$91:$I$130,0)),0)</f>
        <v>0</v>
      </c>
      <c r="BC255" s="626">
        <f t="shared" si="318"/>
        <v>0</v>
      </c>
      <c r="BD255" s="626">
        <f t="shared" si="319"/>
        <v>0</v>
      </c>
      <c r="BE255" s="626">
        <f t="shared" si="320"/>
        <v>0</v>
      </c>
      <c r="BF255" s="625">
        <f t="array" ref="BF255">IFERROR(INDEX('TB-EQUIPMENT &amp; OTHER HPs'!$AF$91:$AF$130,MATCH($E255&amp;$F255,'TB-EQUIPMENT &amp; OTHER HPs'!$E$91:$E$130&amp;'TB-EQUIPMENT &amp; OTHER HPs'!$I$91:$I$130,0)),0)</f>
        <v>0</v>
      </c>
      <c r="BG255" s="626">
        <f t="shared" si="321"/>
        <v>0</v>
      </c>
      <c r="BH255" s="626">
        <f t="shared" si="322"/>
        <v>0</v>
      </c>
      <c r="BI255" s="626">
        <f t="shared" si="323"/>
        <v>0</v>
      </c>
      <c r="BJ255" s="630"/>
      <c r="BK255" s="625"/>
      <c r="BL255" s="625"/>
      <c r="BM255" s="625"/>
      <c r="BN255" s="625"/>
      <c r="BO255" s="625"/>
      <c r="BP255" s="625"/>
      <c r="BQ255" s="625"/>
      <c r="BR255" s="625"/>
    </row>
    <row r="256" spans="1:70">
      <c r="A256" s="29" t="s">
        <v>1754</v>
      </c>
      <c r="B256" s="29" t="s">
        <v>1837</v>
      </c>
      <c r="C256" s="619">
        <f>SETUP!$F$43</f>
        <v>0</v>
      </c>
      <c r="D256" s="25">
        <v>5.6</v>
      </c>
      <c r="E256" s="26" t="s">
        <v>1476</v>
      </c>
      <c r="F256" s="26" t="s">
        <v>1480</v>
      </c>
      <c r="G256" s="625" t="str">
        <f t="array" ref="G256">IFERROR(INDEX('TB-EQUIPMENT &amp; OTHER HPs'!$L$91:$L$130,MATCH($E256&amp;$F256,'TB-EQUIPMENT &amp; OTHER HPs'!$E$91:$E$130&amp;'TB-EQUIPMENT &amp; OTHER HPs'!$I$91:$I$130,0)),"")</f>
        <v/>
      </c>
      <c r="H256" s="625" t="str">
        <f t="array" ref="H256">IFERROR(INDEX('TB-EQUIPMENT &amp; OTHER HPs'!$M$91:$M$130,MATCH($E256&amp;$F256,'TB-EQUIPMENT &amp; OTHER HPs'!$E$91:$E$130&amp;'TB-EQUIPMENT &amp; OTHER HPs'!$I$91:$I$130,0)),"")</f>
        <v/>
      </c>
      <c r="I256" s="625">
        <f t="array" ref="I256">IFERROR(INDEX('TB-EQUIPMENT &amp; OTHER HPs'!$N$91:$N$130,MATCH($E256&amp;$F256,'TB-EQUIPMENT &amp; OTHER HPs'!$E$91:$E$130&amp;'TB-EQUIPMENT &amp; OTHER HPs'!$I$91:$I$130,0)),0)</f>
        <v>0</v>
      </c>
      <c r="J256" s="625">
        <f t="array" ref="J256">IFERROR(INDEX('TB-EQUIPMENT &amp; OTHER HPs'!$O$91:$O$130,MATCH($E256&amp;$F256,'TB-EQUIPMENT &amp; OTHER HPs'!$E$91:$E$130&amp;'TB-EQUIPMENT &amp; OTHER HPs'!$I$91:$I$130,0)),0)</f>
        <v>0</v>
      </c>
      <c r="K256" s="626">
        <f t="shared" si="288"/>
        <v>0</v>
      </c>
      <c r="L256" s="626">
        <f t="shared" si="289"/>
        <v>0</v>
      </c>
      <c r="M256" s="626">
        <f t="shared" si="290"/>
        <v>0</v>
      </c>
      <c r="N256" s="625">
        <f t="array" ref="N256">IFERROR(INDEX('TB-EQUIPMENT &amp; OTHER HPs'!$P$91:$P$130,MATCH($E256&amp;$F256,'TB-EQUIPMENT &amp; OTHER HPs'!$E$91:$E$130&amp;'TB-EQUIPMENT &amp; OTHER HPs'!$I$91:$I$130,0)),0)</f>
        <v>0</v>
      </c>
      <c r="O256" s="626">
        <f t="shared" si="291"/>
        <v>0</v>
      </c>
      <c r="P256" s="626">
        <f t="shared" si="292"/>
        <v>0</v>
      </c>
      <c r="Q256" s="626">
        <f t="shared" si="293"/>
        <v>0</v>
      </c>
      <c r="R256" s="625">
        <f t="array" ref="R256">IFERROR(INDEX('TB-EQUIPMENT &amp; OTHER HPs'!$Q$91:$Q$130,MATCH($E256&amp;$F256,'TB-EQUIPMENT &amp; OTHER HPs'!$E$91:$E$130&amp;'TB-EQUIPMENT &amp; OTHER HPs'!$I$91:$I$130,0)),0)</f>
        <v>0</v>
      </c>
      <c r="S256" s="626">
        <f t="shared" si="294"/>
        <v>0</v>
      </c>
      <c r="T256" s="626">
        <f t="shared" si="295"/>
        <v>0</v>
      </c>
      <c r="U256" s="626">
        <f t="shared" si="296"/>
        <v>0</v>
      </c>
      <c r="V256" s="625">
        <f t="array" ref="V256">IFERROR(INDEX('TB-EQUIPMENT &amp; OTHER HPs'!$R$91:$R$130,MATCH($E256&amp;$F256,'TB-EQUIPMENT &amp; OTHER HPs'!$E$91:$E$130&amp;'TB-EQUIPMENT &amp; OTHER HPs'!$I$91:$I$130,0)),0)</f>
        <v>0</v>
      </c>
      <c r="W256" s="626">
        <f t="shared" si="297"/>
        <v>0</v>
      </c>
      <c r="X256" s="626">
        <f t="shared" si="298"/>
        <v>0</v>
      </c>
      <c r="Y256" s="626">
        <f t="shared" si="299"/>
        <v>0</v>
      </c>
      <c r="Z256" s="630"/>
      <c r="AA256" s="625">
        <f t="array" ref="AA256">IFERROR(INDEX('TB-EQUIPMENT &amp; OTHER HPs'!$U$91:$U$130,MATCH($E256&amp;$F256,'TB-EQUIPMENT &amp; OTHER HPs'!$E$91:$E$130&amp;'TB-EQUIPMENT &amp; OTHER HPs'!$I$91:$I$130,0)),0)</f>
        <v>0</v>
      </c>
      <c r="AB256" s="625">
        <f t="array" ref="AB256">IFERROR(INDEX('TB-EQUIPMENT &amp; OTHER HPs'!$V$91:$V$130,MATCH($E256&amp;$F256,'TB-EQUIPMENT &amp; OTHER HPs'!$E$91:$E$130&amp;'TB-EQUIPMENT &amp; OTHER HPs'!$I$91:$I$130,0)),0)</f>
        <v>0</v>
      </c>
      <c r="AC256" s="626">
        <f t="shared" si="300"/>
        <v>0</v>
      </c>
      <c r="AD256" s="626">
        <f t="shared" si="301"/>
        <v>0</v>
      </c>
      <c r="AE256" s="626">
        <f t="shared" si="302"/>
        <v>0</v>
      </c>
      <c r="AF256" s="625">
        <f t="array" ref="AF256">IFERROR(INDEX('TB-EQUIPMENT &amp; OTHER HPs'!$W$91:$W$130,MATCH($E256&amp;$F256,'TB-EQUIPMENT &amp; OTHER HPs'!$E$91:$E$130&amp;'TB-EQUIPMENT &amp; OTHER HPs'!$I$91:$I$130,0)),0)</f>
        <v>0</v>
      </c>
      <c r="AG256" s="626">
        <f t="shared" si="303"/>
        <v>0</v>
      </c>
      <c r="AH256" s="626">
        <f t="shared" si="304"/>
        <v>0</v>
      </c>
      <c r="AI256" s="626">
        <f t="shared" si="305"/>
        <v>0</v>
      </c>
      <c r="AJ256" s="625">
        <f t="array" ref="AJ256">IFERROR(INDEX('TB-EQUIPMENT &amp; OTHER HPs'!$X$91:$X$130,MATCH($E256&amp;$F256,'TB-EQUIPMENT &amp; OTHER HPs'!$E$91:$E$130&amp;'TB-EQUIPMENT &amp; OTHER HPs'!$I$91:$I$130,0)),0)</f>
        <v>0</v>
      </c>
      <c r="AK256" s="626">
        <f t="shared" si="306"/>
        <v>0</v>
      </c>
      <c r="AL256" s="626">
        <f t="shared" si="307"/>
        <v>0</v>
      </c>
      <c r="AM256" s="626">
        <f t="shared" si="308"/>
        <v>0</v>
      </c>
      <c r="AN256" s="625">
        <f t="array" ref="AN256">IFERROR(INDEX('TB-EQUIPMENT &amp; OTHER HPs'!$Y$91:$Y$130,MATCH($E256&amp;$F256,'TB-EQUIPMENT &amp; OTHER HPs'!$E$91:$E$130&amp;'TB-EQUIPMENT &amp; OTHER HPs'!$I$91:$I$130,0)),0)</f>
        <v>0</v>
      </c>
      <c r="AO256" s="626">
        <f t="shared" si="309"/>
        <v>0</v>
      </c>
      <c r="AP256" s="626">
        <f t="shared" si="310"/>
        <v>0</v>
      </c>
      <c r="AQ256" s="626">
        <f t="shared" si="311"/>
        <v>0</v>
      </c>
      <c r="AR256" s="630"/>
      <c r="AS256" s="625">
        <f t="array" ref="AS256">IFERROR(INDEX('TB-EQUIPMENT &amp; OTHER HPs'!$AB$91:$AB$130,MATCH($E256&amp;$F256,'TB-EQUIPMENT &amp; OTHER HPs'!$E$91:$E$130&amp;'TB-EQUIPMENT &amp; OTHER HPs'!$I$91:$I$130,0)),0)</f>
        <v>0</v>
      </c>
      <c r="AT256" s="625">
        <f t="array" ref="AT256">IFERROR(INDEX('TB-EQUIPMENT &amp; OTHER HPs'!$AC$91:$AC$130,MATCH($E256&amp;$F256,'TB-EQUIPMENT &amp; OTHER HPs'!$E$91:$E$130&amp;'TB-EQUIPMENT &amp; OTHER HPs'!$I$91:$I$130,0)),0)</f>
        <v>0</v>
      </c>
      <c r="AU256" s="626">
        <f t="shared" si="312"/>
        <v>0</v>
      </c>
      <c r="AV256" s="626">
        <f t="shared" si="313"/>
        <v>0</v>
      </c>
      <c r="AW256" s="626">
        <f t="shared" si="314"/>
        <v>0</v>
      </c>
      <c r="AX256" s="625">
        <f t="array" ref="AX256">IFERROR(INDEX('TB-EQUIPMENT &amp; OTHER HPs'!$AD$91:$AD$130,MATCH($E256&amp;$F256,'TB-EQUIPMENT &amp; OTHER HPs'!$E$91:$E$130&amp;'TB-EQUIPMENT &amp; OTHER HPs'!$I$91:$I$130,0)),0)</f>
        <v>0</v>
      </c>
      <c r="AY256" s="626">
        <f t="shared" si="315"/>
        <v>0</v>
      </c>
      <c r="AZ256" s="626">
        <f t="shared" si="316"/>
        <v>0</v>
      </c>
      <c r="BA256" s="626">
        <f t="shared" si="317"/>
        <v>0</v>
      </c>
      <c r="BB256" s="625">
        <f t="array" ref="BB256">IFERROR(INDEX('TB-EQUIPMENT &amp; OTHER HPs'!$AE$91:$AE$130,MATCH($E256&amp;$F256,'TB-EQUIPMENT &amp; OTHER HPs'!$E$91:$E$130&amp;'TB-EQUIPMENT &amp; OTHER HPs'!$I$91:$I$130,0)),0)</f>
        <v>0</v>
      </c>
      <c r="BC256" s="626">
        <f t="shared" si="318"/>
        <v>0</v>
      </c>
      <c r="BD256" s="626">
        <f t="shared" si="319"/>
        <v>0</v>
      </c>
      <c r="BE256" s="626">
        <f t="shared" si="320"/>
        <v>0</v>
      </c>
      <c r="BF256" s="625">
        <f t="array" ref="BF256">IFERROR(INDEX('TB-EQUIPMENT &amp; OTHER HPs'!$AF$91:$AF$130,MATCH($E256&amp;$F256,'TB-EQUIPMENT &amp; OTHER HPs'!$E$91:$E$130&amp;'TB-EQUIPMENT &amp; OTHER HPs'!$I$91:$I$130,0)),0)</f>
        <v>0</v>
      </c>
      <c r="BG256" s="626">
        <f t="shared" si="321"/>
        <v>0</v>
      </c>
      <c r="BH256" s="626">
        <f t="shared" si="322"/>
        <v>0</v>
      </c>
      <c r="BI256" s="626">
        <f t="shared" si="323"/>
        <v>0</v>
      </c>
      <c r="BJ256" s="630"/>
      <c r="BK256" s="625"/>
      <c r="BL256" s="625"/>
      <c r="BM256" s="625"/>
      <c r="BN256" s="625"/>
      <c r="BO256" s="625"/>
      <c r="BP256" s="625"/>
      <c r="BQ256" s="625"/>
      <c r="BR256" s="625"/>
    </row>
    <row r="257" spans="1:70">
      <c r="A257" s="29" t="s">
        <v>1754</v>
      </c>
      <c r="B257" s="29" t="s">
        <v>1837</v>
      </c>
      <c r="C257" s="619">
        <f>SETUP!$F$43</f>
        <v>0</v>
      </c>
      <c r="D257" s="25">
        <v>5.6</v>
      </c>
      <c r="E257" s="26" t="s">
        <v>1476</v>
      </c>
      <c r="F257" s="26" t="s">
        <v>1481</v>
      </c>
      <c r="G257" s="625" t="str">
        <f t="array" ref="G257">IFERROR(INDEX('TB-EQUIPMENT &amp; OTHER HPs'!$L$91:$L$130,MATCH($E257&amp;$F257,'TB-EQUIPMENT &amp; OTHER HPs'!$E$91:$E$130&amp;'TB-EQUIPMENT &amp; OTHER HPs'!$I$91:$I$130,0)),"")</f>
        <v/>
      </c>
      <c r="H257" s="625" t="str">
        <f t="array" ref="H257">IFERROR(INDEX('TB-EQUIPMENT &amp; OTHER HPs'!$M$91:$M$130,MATCH($E257&amp;$F257,'TB-EQUIPMENT &amp; OTHER HPs'!$E$91:$E$130&amp;'TB-EQUIPMENT &amp; OTHER HPs'!$I$91:$I$130,0)),"")</f>
        <v/>
      </c>
      <c r="I257" s="625">
        <f t="array" ref="I257">IFERROR(INDEX('TB-EQUIPMENT &amp; OTHER HPs'!$N$91:$N$130,MATCH($E257&amp;$F257,'TB-EQUIPMENT &amp; OTHER HPs'!$E$91:$E$130&amp;'TB-EQUIPMENT &amp; OTHER HPs'!$I$91:$I$130,0)),0)</f>
        <v>0</v>
      </c>
      <c r="J257" s="625">
        <f t="array" ref="J257">IFERROR(INDEX('TB-EQUIPMENT &amp; OTHER HPs'!$O$91:$O$130,MATCH($E257&amp;$F257,'TB-EQUIPMENT &amp; OTHER HPs'!$E$91:$E$130&amp;'TB-EQUIPMENT &amp; OTHER HPs'!$I$91:$I$130,0)),0)</f>
        <v>0</v>
      </c>
      <c r="K257" s="626">
        <f t="shared" si="288"/>
        <v>0</v>
      </c>
      <c r="L257" s="626">
        <f t="shared" si="289"/>
        <v>0</v>
      </c>
      <c r="M257" s="626">
        <f t="shared" si="290"/>
        <v>0</v>
      </c>
      <c r="N257" s="625">
        <f t="array" ref="N257">IFERROR(INDEX('TB-EQUIPMENT &amp; OTHER HPs'!$P$91:$P$130,MATCH($E257&amp;$F257,'TB-EQUIPMENT &amp; OTHER HPs'!$E$91:$E$130&amp;'TB-EQUIPMENT &amp; OTHER HPs'!$I$91:$I$130,0)),0)</f>
        <v>0</v>
      </c>
      <c r="O257" s="626">
        <f t="shared" si="291"/>
        <v>0</v>
      </c>
      <c r="P257" s="626">
        <f t="shared" si="292"/>
        <v>0</v>
      </c>
      <c r="Q257" s="626">
        <f t="shared" si="293"/>
        <v>0</v>
      </c>
      <c r="R257" s="625">
        <f t="array" ref="R257">IFERROR(INDEX('TB-EQUIPMENT &amp; OTHER HPs'!$Q$91:$Q$130,MATCH($E257&amp;$F257,'TB-EQUIPMENT &amp; OTHER HPs'!$E$91:$E$130&amp;'TB-EQUIPMENT &amp; OTHER HPs'!$I$91:$I$130,0)),0)</f>
        <v>0</v>
      </c>
      <c r="S257" s="626">
        <f t="shared" si="294"/>
        <v>0</v>
      </c>
      <c r="T257" s="626">
        <f t="shared" si="295"/>
        <v>0</v>
      </c>
      <c r="U257" s="626">
        <f t="shared" si="296"/>
        <v>0</v>
      </c>
      <c r="V257" s="625">
        <f t="array" ref="V257">IFERROR(INDEX('TB-EQUIPMENT &amp; OTHER HPs'!$R$91:$R$130,MATCH($E257&amp;$F257,'TB-EQUIPMENT &amp; OTHER HPs'!$E$91:$E$130&amp;'TB-EQUIPMENT &amp; OTHER HPs'!$I$91:$I$130,0)),0)</f>
        <v>0</v>
      </c>
      <c r="W257" s="626">
        <f t="shared" si="297"/>
        <v>0</v>
      </c>
      <c r="X257" s="626">
        <f t="shared" si="298"/>
        <v>0</v>
      </c>
      <c r="Y257" s="626">
        <f t="shared" si="299"/>
        <v>0</v>
      </c>
      <c r="Z257" s="630"/>
      <c r="AA257" s="625">
        <f t="array" ref="AA257">IFERROR(INDEX('TB-EQUIPMENT &amp; OTHER HPs'!$U$91:$U$130,MATCH($E257&amp;$F257,'TB-EQUIPMENT &amp; OTHER HPs'!$E$91:$E$130&amp;'TB-EQUIPMENT &amp; OTHER HPs'!$I$91:$I$130,0)),0)</f>
        <v>0</v>
      </c>
      <c r="AB257" s="625">
        <f t="array" ref="AB257">IFERROR(INDEX('TB-EQUIPMENT &amp; OTHER HPs'!$V$91:$V$130,MATCH($E257&amp;$F257,'TB-EQUIPMENT &amp; OTHER HPs'!$E$91:$E$130&amp;'TB-EQUIPMENT &amp; OTHER HPs'!$I$91:$I$130,0)),0)</f>
        <v>0</v>
      </c>
      <c r="AC257" s="626">
        <f t="shared" si="300"/>
        <v>0</v>
      </c>
      <c r="AD257" s="626">
        <f t="shared" si="301"/>
        <v>0</v>
      </c>
      <c r="AE257" s="626">
        <f t="shared" si="302"/>
        <v>0</v>
      </c>
      <c r="AF257" s="625">
        <f t="array" ref="AF257">IFERROR(INDEX('TB-EQUIPMENT &amp; OTHER HPs'!$W$91:$W$130,MATCH($E257&amp;$F257,'TB-EQUIPMENT &amp; OTHER HPs'!$E$91:$E$130&amp;'TB-EQUIPMENT &amp; OTHER HPs'!$I$91:$I$130,0)),0)</f>
        <v>0</v>
      </c>
      <c r="AG257" s="626">
        <f t="shared" si="303"/>
        <v>0</v>
      </c>
      <c r="AH257" s="626">
        <f t="shared" si="304"/>
        <v>0</v>
      </c>
      <c r="AI257" s="626">
        <f t="shared" si="305"/>
        <v>0</v>
      </c>
      <c r="AJ257" s="625">
        <f t="array" ref="AJ257">IFERROR(INDEX('TB-EQUIPMENT &amp; OTHER HPs'!$X$91:$X$130,MATCH($E257&amp;$F257,'TB-EQUIPMENT &amp; OTHER HPs'!$E$91:$E$130&amp;'TB-EQUIPMENT &amp; OTHER HPs'!$I$91:$I$130,0)),0)</f>
        <v>0</v>
      </c>
      <c r="AK257" s="626">
        <f t="shared" si="306"/>
        <v>0</v>
      </c>
      <c r="AL257" s="626">
        <f t="shared" si="307"/>
        <v>0</v>
      </c>
      <c r="AM257" s="626">
        <f t="shared" si="308"/>
        <v>0</v>
      </c>
      <c r="AN257" s="625">
        <f t="array" ref="AN257">IFERROR(INDEX('TB-EQUIPMENT &amp; OTHER HPs'!$Y$91:$Y$130,MATCH($E257&amp;$F257,'TB-EQUIPMENT &amp; OTHER HPs'!$E$91:$E$130&amp;'TB-EQUIPMENT &amp; OTHER HPs'!$I$91:$I$130,0)),0)</f>
        <v>0</v>
      </c>
      <c r="AO257" s="626">
        <f t="shared" si="309"/>
        <v>0</v>
      </c>
      <c r="AP257" s="626">
        <f t="shared" si="310"/>
        <v>0</v>
      </c>
      <c r="AQ257" s="626">
        <f t="shared" si="311"/>
        <v>0</v>
      </c>
      <c r="AR257" s="630"/>
      <c r="AS257" s="625">
        <f t="array" ref="AS257">IFERROR(INDEX('TB-EQUIPMENT &amp; OTHER HPs'!$AB$91:$AB$130,MATCH($E257&amp;$F257,'TB-EQUIPMENT &amp; OTHER HPs'!$E$91:$E$130&amp;'TB-EQUIPMENT &amp; OTHER HPs'!$I$91:$I$130,0)),0)</f>
        <v>0</v>
      </c>
      <c r="AT257" s="625">
        <f t="array" ref="AT257">IFERROR(INDEX('TB-EQUIPMENT &amp; OTHER HPs'!$AC$91:$AC$130,MATCH($E257&amp;$F257,'TB-EQUIPMENT &amp; OTHER HPs'!$E$91:$E$130&amp;'TB-EQUIPMENT &amp; OTHER HPs'!$I$91:$I$130,0)),0)</f>
        <v>0</v>
      </c>
      <c r="AU257" s="626">
        <f t="shared" si="312"/>
        <v>0</v>
      </c>
      <c r="AV257" s="626">
        <f t="shared" si="313"/>
        <v>0</v>
      </c>
      <c r="AW257" s="626">
        <f t="shared" si="314"/>
        <v>0</v>
      </c>
      <c r="AX257" s="625">
        <f t="array" ref="AX257">IFERROR(INDEX('TB-EQUIPMENT &amp; OTHER HPs'!$AD$91:$AD$130,MATCH($E257&amp;$F257,'TB-EQUIPMENT &amp; OTHER HPs'!$E$91:$E$130&amp;'TB-EQUIPMENT &amp; OTHER HPs'!$I$91:$I$130,0)),0)</f>
        <v>0</v>
      </c>
      <c r="AY257" s="626">
        <f t="shared" si="315"/>
        <v>0</v>
      </c>
      <c r="AZ257" s="626">
        <f t="shared" si="316"/>
        <v>0</v>
      </c>
      <c r="BA257" s="626">
        <f t="shared" si="317"/>
        <v>0</v>
      </c>
      <c r="BB257" s="625">
        <f t="array" ref="BB257">IFERROR(INDEX('TB-EQUIPMENT &amp; OTHER HPs'!$AE$91:$AE$130,MATCH($E257&amp;$F257,'TB-EQUIPMENT &amp; OTHER HPs'!$E$91:$E$130&amp;'TB-EQUIPMENT &amp; OTHER HPs'!$I$91:$I$130,0)),0)</f>
        <v>0</v>
      </c>
      <c r="BC257" s="626">
        <f t="shared" si="318"/>
        <v>0</v>
      </c>
      <c r="BD257" s="626">
        <f t="shared" si="319"/>
        <v>0</v>
      </c>
      <c r="BE257" s="626">
        <f t="shared" si="320"/>
        <v>0</v>
      </c>
      <c r="BF257" s="625">
        <f t="array" ref="BF257">IFERROR(INDEX('TB-EQUIPMENT &amp; OTHER HPs'!$AF$91:$AF$130,MATCH($E257&amp;$F257,'TB-EQUIPMENT &amp; OTHER HPs'!$E$91:$E$130&amp;'TB-EQUIPMENT &amp; OTHER HPs'!$I$91:$I$130,0)),0)</f>
        <v>0</v>
      </c>
      <c r="BG257" s="626">
        <f t="shared" si="321"/>
        <v>0</v>
      </c>
      <c r="BH257" s="626">
        <f t="shared" si="322"/>
        <v>0</v>
      </c>
      <c r="BI257" s="626">
        <f t="shared" si="323"/>
        <v>0</v>
      </c>
      <c r="BJ257" s="630"/>
      <c r="BK257" s="625"/>
      <c r="BL257" s="625"/>
      <c r="BM257" s="625"/>
      <c r="BN257" s="625"/>
      <c r="BO257" s="625"/>
      <c r="BP257" s="625"/>
      <c r="BQ257" s="625"/>
      <c r="BR257" s="625"/>
    </row>
    <row r="258" spans="1:70">
      <c r="A258" s="29" t="s">
        <v>1754</v>
      </c>
      <c r="B258" s="29" t="s">
        <v>1837</v>
      </c>
      <c r="C258" s="619">
        <f>SETUP!$F$43</f>
        <v>0</v>
      </c>
      <c r="D258" s="25">
        <v>5.6</v>
      </c>
      <c r="E258" s="26" t="s">
        <v>1476</v>
      </c>
      <c r="F258" s="26" t="s">
        <v>1482</v>
      </c>
      <c r="G258" s="625" t="str">
        <f t="array" ref="G258">IFERROR(INDEX('TB-EQUIPMENT &amp; OTHER HPs'!$L$91:$L$130,MATCH($E258&amp;$F258,'TB-EQUIPMENT &amp; OTHER HPs'!$E$91:$E$130&amp;'TB-EQUIPMENT &amp; OTHER HPs'!$I$91:$I$130,0)),"")</f>
        <v/>
      </c>
      <c r="H258" s="625" t="str">
        <f t="array" ref="H258">IFERROR(INDEX('TB-EQUIPMENT &amp; OTHER HPs'!$M$91:$M$130,MATCH($E258&amp;$F258,'TB-EQUIPMENT &amp; OTHER HPs'!$E$91:$E$130&amp;'TB-EQUIPMENT &amp; OTHER HPs'!$I$91:$I$130,0)),"")</f>
        <v/>
      </c>
      <c r="I258" s="625">
        <f t="array" ref="I258">IFERROR(INDEX('TB-EQUIPMENT &amp; OTHER HPs'!$N$91:$N$130,MATCH($E258&amp;$F258,'TB-EQUIPMENT &amp; OTHER HPs'!$E$91:$E$130&amp;'TB-EQUIPMENT &amp; OTHER HPs'!$I$91:$I$130,0)),0)</f>
        <v>0</v>
      </c>
      <c r="J258" s="625">
        <f t="array" ref="J258">IFERROR(INDEX('TB-EQUIPMENT &amp; OTHER HPs'!$O$91:$O$130,MATCH($E258&amp;$F258,'TB-EQUIPMENT &amp; OTHER HPs'!$E$91:$E$130&amp;'TB-EQUIPMENT &amp; OTHER HPs'!$I$91:$I$130,0)),0)</f>
        <v>0</v>
      </c>
      <c r="K258" s="626">
        <f t="shared" si="288"/>
        <v>0</v>
      </c>
      <c r="L258" s="626">
        <f t="shared" si="289"/>
        <v>0</v>
      </c>
      <c r="M258" s="626">
        <f t="shared" si="290"/>
        <v>0</v>
      </c>
      <c r="N258" s="625">
        <f t="array" ref="N258">IFERROR(INDEX('TB-EQUIPMENT &amp; OTHER HPs'!$P$91:$P$130,MATCH($E258&amp;$F258,'TB-EQUIPMENT &amp; OTHER HPs'!$E$91:$E$130&amp;'TB-EQUIPMENT &amp; OTHER HPs'!$I$91:$I$130,0)),0)</f>
        <v>0</v>
      </c>
      <c r="O258" s="626">
        <f t="shared" si="291"/>
        <v>0</v>
      </c>
      <c r="P258" s="626">
        <f t="shared" si="292"/>
        <v>0</v>
      </c>
      <c r="Q258" s="626">
        <f t="shared" si="293"/>
        <v>0</v>
      </c>
      <c r="R258" s="625">
        <f t="array" ref="R258">IFERROR(INDEX('TB-EQUIPMENT &amp; OTHER HPs'!$Q$91:$Q$130,MATCH($E258&amp;$F258,'TB-EQUIPMENT &amp; OTHER HPs'!$E$91:$E$130&amp;'TB-EQUIPMENT &amp; OTHER HPs'!$I$91:$I$130,0)),0)</f>
        <v>0</v>
      </c>
      <c r="S258" s="626">
        <f t="shared" si="294"/>
        <v>0</v>
      </c>
      <c r="T258" s="626">
        <f t="shared" si="295"/>
        <v>0</v>
      </c>
      <c r="U258" s="626">
        <f t="shared" si="296"/>
        <v>0</v>
      </c>
      <c r="V258" s="625">
        <f t="array" ref="V258">IFERROR(INDEX('TB-EQUIPMENT &amp; OTHER HPs'!$R$91:$R$130,MATCH($E258&amp;$F258,'TB-EQUIPMENT &amp; OTHER HPs'!$E$91:$E$130&amp;'TB-EQUIPMENT &amp; OTHER HPs'!$I$91:$I$130,0)),0)</f>
        <v>0</v>
      </c>
      <c r="W258" s="626">
        <f t="shared" si="297"/>
        <v>0</v>
      </c>
      <c r="X258" s="626">
        <f t="shared" si="298"/>
        <v>0</v>
      </c>
      <c r="Y258" s="626">
        <f t="shared" si="299"/>
        <v>0</v>
      </c>
      <c r="Z258" s="630"/>
      <c r="AA258" s="625">
        <f t="array" ref="AA258">IFERROR(INDEX('TB-EQUIPMENT &amp; OTHER HPs'!$U$91:$U$130,MATCH($E258&amp;$F258,'TB-EQUIPMENT &amp; OTHER HPs'!$E$91:$E$130&amp;'TB-EQUIPMENT &amp; OTHER HPs'!$I$91:$I$130,0)),0)</f>
        <v>0</v>
      </c>
      <c r="AB258" s="625">
        <f t="array" ref="AB258">IFERROR(INDEX('TB-EQUIPMENT &amp; OTHER HPs'!$V$91:$V$130,MATCH($E258&amp;$F258,'TB-EQUIPMENT &amp; OTHER HPs'!$E$91:$E$130&amp;'TB-EQUIPMENT &amp; OTHER HPs'!$I$91:$I$130,0)),0)</f>
        <v>0</v>
      </c>
      <c r="AC258" s="626">
        <f t="shared" si="300"/>
        <v>0</v>
      </c>
      <c r="AD258" s="626">
        <f t="shared" si="301"/>
        <v>0</v>
      </c>
      <c r="AE258" s="626">
        <f t="shared" si="302"/>
        <v>0</v>
      </c>
      <c r="AF258" s="625">
        <f t="array" ref="AF258">IFERROR(INDEX('TB-EQUIPMENT &amp; OTHER HPs'!$W$91:$W$130,MATCH($E258&amp;$F258,'TB-EQUIPMENT &amp; OTHER HPs'!$E$91:$E$130&amp;'TB-EQUIPMENT &amp; OTHER HPs'!$I$91:$I$130,0)),0)</f>
        <v>0</v>
      </c>
      <c r="AG258" s="626">
        <f t="shared" si="303"/>
        <v>0</v>
      </c>
      <c r="AH258" s="626">
        <f t="shared" si="304"/>
        <v>0</v>
      </c>
      <c r="AI258" s="626">
        <f t="shared" si="305"/>
        <v>0</v>
      </c>
      <c r="AJ258" s="625">
        <f t="array" ref="AJ258">IFERROR(INDEX('TB-EQUIPMENT &amp; OTHER HPs'!$X$91:$X$130,MATCH($E258&amp;$F258,'TB-EQUIPMENT &amp; OTHER HPs'!$E$91:$E$130&amp;'TB-EQUIPMENT &amp; OTHER HPs'!$I$91:$I$130,0)),0)</f>
        <v>0</v>
      </c>
      <c r="AK258" s="626">
        <f t="shared" si="306"/>
        <v>0</v>
      </c>
      <c r="AL258" s="626">
        <f t="shared" si="307"/>
        <v>0</v>
      </c>
      <c r="AM258" s="626">
        <f t="shared" si="308"/>
        <v>0</v>
      </c>
      <c r="AN258" s="625">
        <f t="array" ref="AN258">IFERROR(INDEX('TB-EQUIPMENT &amp; OTHER HPs'!$Y$91:$Y$130,MATCH($E258&amp;$F258,'TB-EQUIPMENT &amp; OTHER HPs'!$E$91:$E$130&amp;'TB-EQUIPMENT &amp; OTHER HPs'!$I$91:$I$130,0)),0)</f>
        <v>0</v>
      </c>
      <c r="AO258" s="626">
        <f t="shared" si="309"/>
        <v>0</v>
      </c>
      <c r="AP258" s="626">
        <f t="shared" si="310"/>
        <v>0</v>
      </c>
      <c r="AQ258" s="626">
        <f t="shared" si="311"/>
        <v>0</v>
      </c>
      <c r="AR258" s="630"/>
      <c r="AS258" s="625">
        <f t="array" ref="AS258">IFERROR(INDEX('TB-EQUIPMENT &amp; OTHER HPs'!$AB$91:$AB$130,MATCH($E258&amp;$F258,'TB-EQUIPMENT &amp; OTHER HPs'!$E$91:$E$130&amp;'TB-EQUIPMENT &amp; OTHER HPs'!$I$91:$I$130,0)),0)</f>
        <v>0</v>
      </c>
      <c r="AT258" s="625">
        <f t="array" ref="AT258">IFERROR(INDEX('TB-EQUIPMENT &amp; OTHER HPs'!$AC$91:$AC$130,MATCH($E258&amp;$F258,'TB-EQUIPMENT &amp; OTHER HPs'!$E$91:$E$130&amp;'TB-EQUIPMENT &amp; OTHER HPs'!$I$91:$I$130,0)),0)</f>
        <v>0</v>
      </c>
      <c r="AU258" s="626">
        <f t="shared" si="312"/>
        <v>0</v>
      </c>
      <c r="AV258" s="626">
        <f t="shared" si="313"/>
        <v>0</v>
      </c>
      <c r="AW258" s="626">
        <f t="shared" si="314"/>
        <v>0</v>
      </c>
      <c r="AX258" s="625">
        <f t="array" ref="AX258">IFERROR(INDEX('TB-EQUIPMENT &amp; OTHER HPs'!$AD$91:$AD$130,MATCH($E258&amp;$F258,'TB-EQUIPMENT &amp; OTHER HPs'!$E$91:$E$130&amp;'TB-EQUIPMENT &amp; OTHER HPs'!$I$91:$I$130,0)),0)</f>
        <v>0</v>
      </c>
      <c r="AY258" s="626">
        <f t="shared" si="315"/>
        <v>0</v>
      </c>
      <c r="AZ258" s="626">
        <f t="shared" si="316"/>
        <v>0</v>
      </c>
      <c r="BA258" s="626">
        <f t="shared" si="317"/>
        <v>0</v>
      </c>
      <c r="BB258" s="625">
        <f t="array" ref="BB258">IFERROR(INDEX('TB-EQUIPMENT &amp; OTHER HPs'!$AE$91:$AE$130,MATCH($E258&amp;$F258,'TB-EQUIPMENT &amp; OTHER HPs'!$E$91:$E$130&amp;'TB-EQUIPMENT &amp; OTHER HPs'!$I$91:$I$130,0)),0)</f>
        <v>0</v>
      </c>
      <c r="BC258" s="626">
        <f t="shared" si="318"/>
        <v>0</v>
      </c>
      <c r="BD258" s="626">
        <f t="shared" si="319"/>
        <v>0</v>
      </c>
      <c r="BE258" s="626">
        <f t="shared" si="320"/>
        <v>0</v>
      </c>
      <c r="BF258" s="625">
        <f t="array" ref="BF258">IFERROR(INDEX('TB-EQUIPMENT &amp; OTHER HPs'!$AF$91:$AF$130,MATCH($E258&amp;$F258,'TB-EQUIPMENT &amp; OTHER HPs'!$E$91:$E$130&amp;'TB-EQUIPMENT &amp; OTHER HPs'!$I$91:$I$130,0)),0)</f>
        <v>0</v>
      </c>
      <c r="BG258" s="626">
        <f t="shared" si="321"/>
        <v>0</v>
      </c>
      <c r="BH258" s="626">
        <f t="shared" si="322"/>
        <v>0</v>
      </c>
      <c r="BI258" s="626">
        <f t="shared" si="323"/>
        <v>0</v>
      </c>
      <c r="BJ258" s="630"/>
      <c r="BK258" s="625"/>
      <c r="BL258" s="625"/>
      <c r="BM258" s="625"/>
      <c r="BN258" s="625"/>
      <c r="BO258" s="625"/>
      <c r="BP258" s="625"/>
      <c r="BQ258" s="625"/>
      <c r="BR258" s="625"/>
    </row>
    <row r="259" spans="1:70">
      <c r="A259" s="29" t="s">
        <v>1754</v>
      </c>
      <c r="B259" s="29" t="s">
        <v>1837</v>
      </c>
      <c r="C259" s="619">
        <f>SETUP!$F$43</f>
        <v>0</v>
      </c>
      <c r="D259" s="25">
        <v>5.6</v>
      </c>
      <c r="E259" s="26" t="s">
        <v>1476</v>
      </c>
      <c r="F259" s="26" t="s">
        <v>1140</v>
      </c>
      <c r="G259" s="625" t="str">
        <f t="array" ref="G259">IFERROR(INDEX('TB-EQUIPMENT &amp; OTHER HPs'!$L$91:$L$130,MATCH($E259&amp;$F259,'TB-EQUIPMENT &amp; OTHER HPs'!$E$91:$E$130&amp;'TB-EQUIPMENT &amp; OTHER HPs'!$I$91:$I$130,0)),"")</f>
        <v/>
      </c>
      <c r="H259" s="625" t="str">
        <f t="array" ref="H259">IFERROR(INDEX('TB-EQUIPMENT &amp; OTHER HPs'!$M$91:$M$130,MATCH($E259&amp;$F259,'TB-EQUIPMENT &amp; OTHER HPs'!$E$91:$E$130&amp;'TB-EQUIPMENT &amp; OTHER HPs'!$I$91:$I$130,0)),"")</f>
        <v/>
      </c>
      <c r="I259" s="625">
        <f t="array" ref="I259">IFERROR(INDEX('TB-EQUIPMENT &amp; OTHER HPs'!$N$91:$N$130,MATCH($E259&amp;$F259,'TB-EQUIPMENT &amp; OTHER HPs'!$E$91:$E$130&amp;'TB-EQUIPMENT &amp; OTHER HPs'!$I$91:$I$130,0)),0)</f>
        <v>0</v>
      </c>
      <c r="J259" s="625">
        <f t="array" ref="J259">IFERROR(INDEX('TB-EQUIPMENT &amp; OTHER HPs'!$O$91:$O$130,MATCH($E259&amp;$F259,'TB-EQUIPMENT &amp; OTHER HPs'!$E$91:$E$130&amp;'TB-EQUIPMENT &amp; OTHER HPs'!$I$91:$I$130,0)),0)</f>
        <v>0</v>
      </c>
      <c r="K259" s="626">
        <f t="shared" si="288"/>
        <v>0</v>
      </c>
      <c r="L259" s="626">
        <f t="shared" si="289"/>
        <v>0</v>
      </c>
      <c r="M259" s="626">
        <f t="shared" si="290"/>
        <v>0</v>
      </c>
      <c r="N259" s="625">
        <f t="array" ref="N259">IFERROR(INDEX('TB-EQUIPMENT &amp; OTHER HPs'!$P$91:$P$130,MATCH($E259&amp;$F259,'TB-EQUIPMENT &amp; OTHER HPs'!$E$91:$E$130&amp;'TB-EQUIPMENT &amp; OTHER HPs'!$I$91:$I$130,0)),0)</f>
        <v>0</v>
      </c>
      <c r="O259" s="626">
        <f t="shared" si="291"/>
        <v>0</v>
      </c>
      <c r="P259" s="626">
        <f t="shared" si="292"/>
        <v>0</v>
      </c>
      <c r="Q259" s="626">
        <f t="shared" si="293"/>
        <v>0</v>
      </c>
      <c r="R259" s="625">
        <f t="array" ref="R259">IFERROR(INDEX('TB-EQUIPMENT &amp; OTHER HPs'!$Q$91:$Q$130,MATCH($E259&amp;$F259,'TB-EQUIPMENT &amp; OTHER HPs'!$E$91:$E$130&amp;'TB-EQUIPMENT &amp; OTHER HPs'!$I$91:$I$130,0)),0)</f>
        <v>0</v>
      </c>
      <c r="S259" s="626">
        <f t="shared" si="294"/>
        <v>0</v>
      </c>
      <c r="T259" s="626">
        <f t="shared" si="295"/>
        <v>0</v>
      </c>
      <c r="U259" s="626">
        <f t="shared" si="296"/>
        <v>0</v>
      </c>
      <c r="V259" s="625">
        <f t="array" ref="V259">IFERROR(INDEX('TB-EQUIPMENT &amp; OTHER HPs'!$R$91:$R$130,MATCH($E259&amp;$F259,'TB-EQUIPMENT &amp; OTHER HPs'!$E$91:$E$130&amp;'TB-EQUIPMENT &amp; OTHER HPs'!$I$91:$I$130,0)),0)</f>
        <v>0</v>
      </c>
      <c r="W259" s="626">
        <f t="shared" si="297"/>
        <v>0</v>
      </c>
      <c r="X259" s="626">
        <f t="shared" si="298"/>
        <v>0</v>
      </c>
      <c r="Y259" s="626">
        <f t="shared" si="299"/>
        <v>0</v>
      </c>
      <c r="Z259" s="630"/>
      <c r="AA259" s="625">
        <f t="array" ref="AA259">IFERROR(INDEX('TB-EQUIPMENT &amp; OTHER HPs'!$U$91:$U$130,MATCH($E259&amp;$F259,'TB-EQUIPMENT &amp; OTHER HPs'!$E$91:$E$130&amp;'TB-EQUIPMENT &amp; OTHER HPs'!$I$91:$I$130,0)),0)</f>
        <v>0</v>
      </c>
      <c r="AB259" s="625">
        <f t="array" ref="AB259">IFERROR(INDEX('TB-EQUIPMENT &amp; OTHER HPs'!$V$91:$V$130,MATCH($E259&amp;$F259,'TB-EQUIPMENT &amp; OTHER HPs'!$E$91:$E$130&amp;'TB-EQUIPMENT &amp; OTHER HPs'!$I$91:$I$130,0)),0)</f>
        <v>0</v>
      </c>
      <c r="AC259" s="626">
        <f t="shared" si="300"/>
        <v>0</v>
      </c>
      <c r="AD259" s="626">
        <f t="shared" si="301"/>
        <v>0</v>
      </c>
      <c r="AE259" s="626">
        <f t="shared" si="302"/>
        <v>0</v>
      </c>
      <c r="AF259" s="625">
        <f t="array" ref="AF259">IFERROR(INDEX('TB-EQUIPMENT &amp; OTHER HPs'!$W$91:$W$130,MATCH($E259&amp;$F259,'TB-EQUIPMENT &amp; OTHER HPs'!$E$91:$E$130&amp;'TB-EQUIPMENT &amp; OTHER HPs'!$I$91:$I$130,0)),0)</f>
        <v>0</v>
      </c>
      <c r="AG259" s="626">
        <f t="shared" si="303"/>
        <v>0</v>
      </c>
      <c r="AH259" s="626">
        <f t="shared" si="304"/>
        <v>0</v>
      </c>
      <c r="AI259" s="626">
        <f t="shared" si="305"/>
        <v>0</v>
      </c>
      <c r="AJ259" s="625">
        <f t="array" ref="AJ259">IFERROR(INDEX('TB-EQUIPMENT &amp; OTHER HPs'!$X$91:$X$130,MATCH($E259&amp;$F259,'TB-EQUIPMENT &amp; OTHER HPs'!$E$91:$E$130&amp;'TB-EQUIPMENT &amp; OTHER HPs'!$I$91:$I$130,0)),0)</f>
        <v>0</v>
      </c>
      <c r="AK259" s="626">
        <f t="shared" si="306"/>
        <v>0</v>
      </c>
      <c r="AL259" s="626">
        <f t="shared" si="307"/>
        <v>0</v>
      </c>
      <c r="AM259" s="626">
        <f t="shared" si="308"/>
        <v>0</v>
      </c>
      <c r="AN259" s="625">
        <f t="array" ref="AN259">IFERROR(INDEX('TB-EQUIPMENT &amp; OTHER HPs'!$Y$91:$Y$130,MATCH($E259&amp;$F259,'TB-EQUIPMENT &amp; OTHER HPs'!$E$91:$E$130&amp;'TB-EQUIPMENT &amp; OTHER HPs'!$I$91:$I$130,0)),0)</f>
        <v>0</v>
      </c>
      <c r="AO259" s="626">
        <f t="shared" si="309"/>
        <v>0</v>
      </c>
      <c r="AP259" s="626">
        <f t="shared" si="310"/>
        <v>0</v>
      </c>
      <c r="AQ259" s="626">
        <f t="shared" si="311"/>
        <v>0</v>
      </c>
      <c r="AR259" s="630"/>
      <c r="AS259" s="625">
        <f t="array" ref="AS259">IFERROR(INDEX('TB-EQUIPMENT &amp; OTHER HPs'!$AB$91:$AB$130,MATCH($E259&amp;$F259,'TB-EQUIPMENT &amp; OTHER HPs'!$E$91:$E$130&amp;'TB-EQUIPMENT &amp; OTHER HPs'!$I$91:$I$130,0)),0)</f>
        <v>0</v>
      </c>
      <c r="AT259" s="625">
        <f t="array" ref="AT259">IFERROR(INDEX('TB-EQUIPMENT &amp; OTHER HPs'!$AC$91:$AC$130,MATCH($E259&amp;$F259,'TB-EQUIPMENT &amp; OTHER HPs'!$E$91:$E$130&amp;'TB-EQUIPMENT &amp; OTHER HPs'!$I$91:$I$130,0)),0)</f>
        <v>0</v>
      </c>
      <c r="AU259" s="626">
        <f t="shared" si="312"/>
        <v>0</v>
      </c>
      <c r="AV259" s="626">
        <f t="shared" si="313"/>
        <v>0</v>
      </c>
      <c r="AW259" s="626">
        <f t="shared" si="314"/>
        <v>0</v>
      </c>
      <c r="AX259" s="625">
        <f t="array" ref="AX259">IFERROR(INDEX('TB-EQUIPMENT &amp; OTHER HPs'!$AD$91:$AD$130,MATCH($E259&amp;$F259,'TB-EQUIPMENT &amp; OTHER HPs'!$E$91:$E$130&amp;'TB-EQUIPMENT &amp; OTHER HPs'!$I$91:$I$130,0)),0)</f>
        <v>0</v>
      </c>
      <c r="AY259" s="626">
        <f t="shared" si="315"/>
        <v>0</v>
      </c>
      <c r="AZ259" s="626">
        <f t="shared" si="316"/>
        <v>0</v>
      </c>
      <c r="BA259" s="626">
        <f t="shared" si="317"/>
        <v>0</v>
      </c>
      <c r="BB259" s="625">
        <f t="array" ref="BB259">IFERROR(INDEX('TB-EQUIPMENT &amp; OTHER HPs'!$AE$91:$AE$130,MATCH($E259&amp;$F259,'TB-EQUIPMENT &amp; OTHER HPs'!$E$91:$E$130&amp;'TB-EQUIPMENT &amp; OTHER HPs'!$I$91:$I$130,0)),0)</f>
        <v>0</v>
      </c>
      <c r="BC259" s="626">
        <f t="shared" si="318"/>
        <v>0</v>
      </c>
      <c r="BD259" s="626">
        <f t="shared" si="319"/>
        <v>0</v>
      </c>
      <c r="BE259" s="626">
        <f t="shared" si="320"/>
        <v>0</v>
      </c>
      <c r="BF259" s="625">
        <f t="array" ref="BF259">IFERROR(INDEX('TB-EQUIPMENT &amp; OTHER HPs'!$AF$91:$AF$130,MATCH($E259&amp;$F259,'TB-EQUIPMENT &amp; OTHER HPs'!$E$91:$E$130&amp;'TB-EQUIPMENT &amp; OTHER HPs'!$I$91:$I$130,0)),0)</f>
        <v>0</v>
      </c>
      <c r="BG259" s="626">
        <f t="shared" si="321"/>
        <v>0</v>
      </c>
      <c r="BH259" s="626">
        <f t="shared" si="322"/>
        <v>0</v>
      </c>
      <c r="BI259" s="626">
        <f t="shared" si="323"/>
        <v>0</v>
      </c>
      <c r="BJ259" s="630"/>
      <c r="BK259" s="625"/>
      <c r="BL259" s="625"/>
      <c r="BM259" s="625"/>
      <c r="BN259" s="625"/>
      <c r="BO259" s="625"/>
      <c r="BP259" s="625"/>
      <c r="BQ259" s="625"/>
      <c r="BR259" s="625"/>
    </row>
    <row r="260" spans="1:70">
      <c r="A260" s="29" t="s">
        <v>1754</v>
      </c>
      <c r="B260" s="29" t="s">
        <v>1837</v>
      </c>
      <c r="C260" s="619">
        <f>SETUP!$F$43</f>
        <v>0</v>
      </c>
      <c r="D260" s="25">
        <v>6.4</v>
      </c>
      <c r="E260" s="26" t="s">
        <v>322</v>
      </c>
      <c r="F260" s="26" t="s">
        <v>1483</v>
      </c>
      <c r="G260" s="625" t="str">
        <f t="array" ref="G260">IFERROR(INDEX('TB-EQUIPMENT &amp; OTHER HPs'!$L$91:$L$130,MATCH($E260&amp;$F260,'TB-EQUIPMENT &amp; OTHER HPs'!$E$91:$E$130&amp;'TB-EQUIPMENT &amp; OTHER HPs'!$I$91:$I$130,0)),"")</f>
        <v/>
      </c>
      <c r="H260" s="625" t="str">
        <f t="array" ref="H260">IFERROR(INDEX('TB-EQUIPMENT &amp; OTHER HPs'!$M$91:$M$130,MATCH($E260&amp;$F260,'TB-EQUIPMENT &amp; OTHER HPs'!$E$91:$E$130&amp;'TB-EQUIPMENT &amp; OTHER HPs'!$I$91:$I$130,0)),"")</f>
        <v/>
      </c>
      <c r="I260" s="625">
        <f t="array" ref="I260">IFERROR(INDEX('TB-EQUIPMENT &amp; OTHER HPs'!$N$91:$N$130,MATCH($E260&amp;$F260,'TB-EQUIPMENT &amp; OTHER HPs'!$E$91:$E$130&amp;'TB-EQUIPMENT &amp; OTHER HPs'!$I$91:$I$130,0)),0)</f>
        <v>0</v>
      </c>
      <c r="J260" s="625">
        <f t="array" ref="J260">IFERROR(INDEX('TB-EQUIPMENT &amp; OTHER HPs'!$O$91:$O$130,MATCH($E260&amp;$F260,'TB-EQUIPMENT &amp; OTHER HPs'!$E$91:$E$130&amp;'TB-EQUIPMENT &amp; OTHER HPs'!$I$91:$I$130,0)),0)</f>
        <v>0</v>
      </c>
      <c r="K260" s="626">
        <f t="shared" si="288"/>
        <v>0</v>
      </c>
      <c r="L260" s="626">
        <f t="shared" si="289"/>
        <v>0</v>
      </c>
      <c r="M260" s="626">
        <f t="shared" si="290"/>
        <v>0</v>
      </c>
      <c r="N260" s="625">
        <f t="array" ref="N260">IFERROR(INDEX('TB-EQUIPMENT &amp; OTHER HPs'!$P$91:$P$130,MATCH($E260&amp;$F260,'TB-EQUIPMENT &amp; OTHER HPs'!$E$91:$E$130&amp;'TB-EQUIPMENT &amp; OTHER HPs'!$I$91:$I$130,0)),0)</f>
        <v>0</v>
      </c>
      <c r="O260" s="626">
        <f t="shared" si="291"/>
        <v>0</v>
      </c>
      <c r="P260" s="626">
        <f t="shared" si="292"/>
        <v>0</v>
      </c>
      <c r="Q260" s="626">
        <f t="shared" si="293"/>
        <v>0</v>
      </c>
      <c r="R260" s="625">
        <f t="array" ref="R260">IFERROR(INDEX('TB-EQUIPMENT &amp; OTHER HPs'!$Q$91:$Q$130,MATCH($E260&amp;$F260,'TB-EQUIPMENT &amp; OTHER HPs'!$E$91:$E$130&amp;'TB-EQUIPMENT &amp; OTHER HPs'!$I$91:$I$130,0)),0)</f>
        <v>0</v>
      </c>
      <c r="S260" s="626">
        <f t="shared" si="294"/>
        <v>0</v>
      </c>
      <c r="T260" s="626">
        <f t="shared" si="295"/>
        <v>0</v>
      </c>
      <c r="U260" s="626">
        <f t="shared" si="296"/>
        <v>0</v>
      </c>
      <c r="V260" s="625">
        <f t="array" ref="V260">IFERROR(INDEX('TB-EQUIPMENT &amp; OTHER HPs'!$R$91:$R$130,MATCH($E260&amp;$F260,'TB-EQUIPMENT &amp; OTHER HPs'!$E$91:$E$130&amp;'TB-EQUIPMENT &amp; OTHER HPs'!$I$91:$I$130,0)),0)</f>
        <v>0</v>
      </c>
      <c r="W260" s="626">
        <f t="shared" si="297"/>
        <v>0</v>
      </c>
      <c r="X260" s="626">
        <f t="shared" si="298"/>
        <v>0</v>
      </c>
      <c r="Y260" s="626">
        <f t="shared" si="299"/>
        <v>0</v>
      </c>
      <c r="Z260" s="630"/>
      <c r="AA260" s="625">
        <f t="array" ref="AA260">IFERROR(INDEX('TB-EQUIPMENT &amp; OTHER HPs'!$U$91:$U$130,MATCH($E260&amp;$F260,'TB-EQUIPMENT &amp; OTHER HPs'!$E$91:$E$130&amp;'TB-EQUIPMENT &amp; OTHER HPs'!$I$91:$I$130,0)),0)</f>
        <v>0</v>
      </c>
      <c r="AB260" s="625">
        <f t="array" ref="AB260">IFERROR(INDEX('TB-EQUIPMENT &amp; OTHER HPs'!$V$91:$V$130,MATCH($E260&amp;$F260,'TB-EQUIPMENT &amp; OTHER HPs'!$E$91:$E$130&amp;'TB-EQUIPMENT &amp; OTHER HPs'!$I$91:$I$130,0)),0)</f>
        <v>0</v>
      </c>
      <c r="AC260" s="626">
        <f t="shared" si="300"/>
        <v>0</v>
      </c>
      <c r="AD260" s="626">
        <f t="shared" si="301"/>
        <v>0</v>
      </c>
      <c r="AE260" s="626">
        <f t="shared" si="302"/>
        <v>0</v>
      </c>
      <c r="AF260" s="625">
        <f t="array" ref="AF260">IFERROR(INDEX('TB-EQUIPMENT &amp; OTHER HPs'!$W$91:$W$130,MATCH($E260&amp;$F260,'TB-EQUIPMENT &amp; OTHER HPs'!$E$91:$E$130&amp;'TB-EQUIPMENT &amp; OTHER HPs'!$I$91:$I$130,0)),0)</f>
        <v>0</v>
      </c>
      <c r="AG260" s="626">
        <f t="shared" si="303"/>
        <v>0</v>
      </c>
      <c r="AH260" s="626">
        <f t="shared" si="304"/>
        <v>0</v>
      </c>
      <c r="AI260" s="626">
        <f t="shared" si="305"/>
        <v>0</v>
      </c>
      <c r="AJ260" s="625">
        <f t="array" ref="AJ260">IFERROR(INDEX('TB-EQUIPMENT &amp; OTHER HPs'!$X$91:$X$130,MATCH($E260&amp;$F260,'TB-EQUIPMENT &amp; OTHER HPs'!$E$91:$E$130&amp;'TB-EQUIPMENT &amp; OTHER HPs'!$I$91:$I$130,0)),0)</f>
        <v>0</v>
      </c>
      <c r="AK260" s="626">
        <f t="shared" si="306"/>
        <v>0</v>
      </c>
      <c r="AL260" s="626">
        <f t="shared" si="307"/>
        <v>0</v>
      </c>
      <c r="AM260" s="626">
        <f t="shared" si="308"/>
        <v>0</v>
      </c>
      <c r="AN260" s="625">
        <f t="array" ref="AN260">IFERROR(INDEX('TB-EQUIPMENT &amp; OTHER HPs'!$Y$91:$Y$130,MATCH($E260&amp;$F260,'TB-EQUIPMENT &amp; OTHER HPs'!$E$91:$E$130&amp;'TB-EQUIPMENT &amp; OTHER HPs'!$I$91:$I$130,0)),0)</f>
        <v>0</v>
      </c>
      <c r="AO260" s="626">
        <f t="shared" si="309"/>
        <v>0</v>
      </c>
      <c r="AP260" s="626">
        <f t="shared" si="310"/>
        <v>0</v>
      </c>
      <c r="AQ260" s="626">
        <f t="shared" si="311"/>
        <v>0</v>
      </c>
      <c r="AR260" s="630"/>
      <c r="AS260" s="625">
        <f t="array" ref="AS260">IFERROR(INDEX('TB-EQUIPMENT &amp; OTHER HPs'!$AB$91:$AB$130,MATCH($E260&amp;$F260,'TB-EQUIPMENT &amp; OTHER HPs'!$E$91:$E$130&amp;'TB-EQUIPMENT &amp; OTHER HPs'!$I$91:$I$130,0)),0)</f>
        <v>0</v>
      </c>
      <c r="AT260" s="625">
        <f t="array" ref="AT260">IFERROR(INDEX('TB-EQUIPMENT &amp; OTHER HPs'!$AC$91:$AC$130,MATCH($E260&amp;$F260,'TB-EQUIPMENT &amp; OTHER HPs'!$E$91:$E$130&amp;'TB-EQUIPMENT &amp; OTHER HPs'!$I$91:$I$130,0)),0)</f>
        <v>0</v>
      </c>
      <c r="AU260" s="626">
        <f t="shared" si="312"/>
        <v>0</v>
      </c>
      <c r="AV260" s="626">
        <f t="shared" si="313"/>
        <v>0</v>
      </c>
      <c r="AW260" s="626">
        <f t="shared" si="314"/>
        <v>0</v>
      </c>
      <c r="AX260" s="625">
        <f t="array" ref="AX260">IFERROR(INDEX('TB-EQUIPMENT &amp; OTHER HPs'!$AD$91:$AD$130,MATCH($E260&amp;$F260,'TB-EQUIPMENT &amp; OTHER HPs'!$E$91:$E$130&amp;'TB-EQUIPMENT &amp; OTHER HPs'!$I$91:$I$130,0)),0)</f>
        <v>0</v>
      </c>
      <c r="AY260" s="626">
        <f t="shared" si="315"/>
        <v>0</v>
      </c>
      <c r="AZ260" s="626">
        <f t="shared" si="316"/>
        <v>0</v>
      </c>
      <c r="BA260" s="626">
        <f t="shared" si="317"/>
        <v>0</v>
      </c>
      <c r="BB260" s="625">
        <f t="array" ref="BB260">IFERROR(INDEX('TB-EQUIPMENT &amp; OTHER HPs'!$AE$91:$AE$130,MATCH($E260&amp;$F260,'TB-EQUIPMENT &amp; OTHER HPs'!$E$91:$E$130&amp;'TB-EQUIPMENT &amp; OTHER HPs'!$I$91:$I$130,0)),0)</f>
        <v>0</v>
      </c>
      <c r="BC260" s="626">
        <f t="shared" si="318"/>
        <v>0</v>
      </c>
      <c r="BD260" s="626">
        <f t="shared" si="319"/>
        <v>0</v>
      </c>
      <c r="BE260" s="626">
        <f t="shared" si="320"/>
        <v>0</v>
      </c>
      <c r="BF260" s="625">
        <f t="array" ref="BF260">IFERROR(INDEX('TB-EQUIPMENT &amp; OTHER HPs'!$AF$91:$AF$130,MATCH($E260&amp;$F260,'TB-EQUIPMENT &amp; OTHER HPs'!$E$91:$E$130&amp;'TB-EQUIPMENT &amp; OTHER HPs'!$I$91:$I$130,0)),0)</f>
        <v>0</v>
      </c>
      <c r="BG260" s="626">
        <f t="shared" si="321"/>
        <v>0</v>
      </c>
      <c r="BH260" s="626">
        <f t="shared" si="322"/>
        <v>0</v>
      </c>
      <c r="BI260" s="626">
        <f t="shared" si="323"/>
        <v>0</v>
      </c>
      <c r="BJ260" s="630"/>
      <c r="BK260" s="625"/>
      <c r="BL260" s="625"/>
      <c r="BM260" s="625"/>
      <c r="BN260" s="625"/>
      <c r="BO260" s="625"/>
      <c r="BP260" s="625"/>
      <c r="BQ260" s="625"/>
      <c r="BR260" s="625"/>
    </row>
    <row r="261" spans="1:70">
      <c r="A261" s="29" t="s">
        <v>1754</v>
      </c>
      <c r="B261" s="29" t="s">
        <v>1837</v>
      </c>
      <c r="C261" s="619">
        <f>SETUP!$F$43</f>
        <v>0</v>
      </c>
      <c r="D261" s="25">
        <v>6.4</v>
      </c>
      <c r="E261" s="26" t="s">
        <v>322</v>
      </c>
      <c r="F261" s="26" t="s">
        <v>1484</v>
      </c>
      <c r="G261" s="625" t="str">
        <f t="array" ref="G261">IFERROR(INDEX('TB-EQUIPMENT &amp; OTHER HPs'!$L$91:$L$130,MATCH($E261&amp;$F261,'TB-EQUIPMENT &amp; OTHER HPs'!$E$91:$E$130&amp;'TB-EQUIPMENT &amp; OTHER HPs'!$I$91:$I$130,0)),"")</f>
        <v/>
      </c>
      <c r="H261" s="625" t="str">
        <f t="array" ref="H261">IFERROR(INDEX('TB-EQUIPMENT &amp; OTHER HPs'!$M$91:$M$130,MATCH($E261&amp;$F261,'TB-EQUIPMENT &amp; OTHER HPs'!$E$91:$E$130&amp;'TB-EQUIPMENT &amp; OTHER HPs'!$I$91:$I$130,0)),"")</f>
        <v/>
      </c>
      <c r="I261" s="625">
        <f t="array" ref="I261">IFERROR(INDEX('TB-EQUIPMENT &amp; OTHER HPs'!$N$91:$N$130,MATCH($E261&amp;$F261,'TB-EQUIPMENT &amp; OTHER HPs'!$E$91:$E$130&amp;'TB-EQUIPMENT &amp; OTHER HPs'!$I$91:$I$130,0)),0)</f>
        <v>0</v>
      </c>
      <c r="J261" s="625">
        <f t="array" ref="J261">IFERROR(INDEX('TB-EQUIPMENT &amp; OTHER HPs'!$O$91:$O$130,MATCH($E261&amp;$F261,'TB-EQUIPMENT &amp; OTHER HPs'!$E$91:$E$130&amp;'TB-EQUIPMENT &amp; OTHER HPs'!$I$91:$I$130,0)),0)</f>
        <v>0</v>
      </c>
      <c r="K261" s="626">
        <f t="shared" si="288"/>
        <v>0</v>
      </c>
      <c r="L261" s="626">
        <f t="shared" si="289"/>
        <v>0</v>
      </c>
      <c r="M261" s="626">
        <f t="shared" si="290"/>
        <v>0</v>
      </c>
      <c r="N261" s="625">
        <f t="array" ref="N261">IFERROR(INDEX('TB-EQUIPMENT &amp; OTHER HPs'!$P$91:$P$130,MATCH($E261&amp;$F261,'TB-EQUIPMENT &amp; OTHER HPs'!$E$91:$E$130&amp;'TB-EQUIPMENT &amp; OTHER HPs'!$I$91:$I$130,0)),0)</f>
        <v>0</v>
      </c>
      <c r="O261" s="626">
        <f t="shared" si="291"/>
        <v>0</v>
      </c>
      <c r="P261" s="626">
        <f t="shared" si="292"/>
        <v>0</v>
      </c>
      <c r="Q261" s="626">
        <f t="shared" si="293"/>
        <v>0</v>
      </c>
      <c r="R261" s="625">
        <f t="array" ref="R261">IFERROR(INDEX('TB-EQUIPMENT &amp; OTHER HPs'!$Q$91:$Q$130,MATCH($E261&amp;$F261,'TB-EQUIPMENT &amp; OTHER HPs'!$E$91:$E$130&amp;'TB-EQUIPMENT &amp; OTHER HPs'!$I$91:$I$130,0)),0)</f>
        <v>0</v>
      </c>
      <c r="S261" s="626">
        <f t="shared" si="294"/>
        <v>0</v>
      </c>
      <c r="T261" s="626">
        <f t="shared" si="295"/>
        <v>0</v>
      </c>
      <c r="U261" s="626">
        <f t="shared" si="296"/>
        <v>0</v>
      </c>
      <c r="V261" s="625">
        <f t="array" ref="V261">IFERROR(INDEX('TB-EQUIPMENT &amp; OTHER HPs'!$R$91:$R$130,MATCH($E261&amp;$F261,'TB-EQUIPMENT &amp; OTHER HPs'!$E$91:$E$130&amp;'TB-EQUIPMENT &amp; OTHER HPs'!$I$91:$I$130,0)),0)</f>
        <v>0</v>
      </c>
      <c r="W261" s="626">
        <f t="shared" si="297"/>
        <v>0</v>
      </c>
      <c r="X261" s="626">
        <f t="shared" si="298"/>
        <v>0</v>
      </c>
      <c r="Y261" s="626">
        <f t="shared" si="299"/>
        <v>0</v>
      </c>
      <c r="Z261" s="630"/>
      <c r="AA261" s="625">
        <f t="array" ref="AA261">IFERROR(INDEX('TB-EQUIPMENT &amp; OTHER HPs'!$U$91:$U$130,MATCH($E261&amp;$F261,'TB-EQUIPMENT &amp; OTHER HPs'!$E$91:$E$130&amp;'TB-EQUIPMENT &amp; OTHER HPs'!$I$91:$I$130,0)),0)</f>
        <v>0</v>
      </c>
      <c r="AB261" s="625">
        <f t="array" ref="AB261">IFERROR(INDEX('TB-EQUIPMENT &amp; OTHER HPs'!$V$91:$V$130,MATCH($E261&amp;$F261,'TB-EQUIPMENT &amp; OTHER HPs'!$E$91:$E$130&amp;'TB-EQUIPMENT &amp; OTHER HPs'!$I$91:$I$130,0)),0)</f>
        <v>0</v>
      </c>
      <c r="AC261" s="626">
        <f t="shared" si="300"/>
        <v>0</v>
      </c>
      <c r="AD261" s="626">
        <f t="shared" si="301"/>
        <v>0</v>
      </c>
      <c r="AE261" s="626">
        <f t="shared" si="302"/>
        <v>0</v>
      </c>
      <c r="AF261" s="625">
        <f t="array" ref="AF261">IFERROR(INDEX('TB-EQUIPMENT &amp; OTHER HPs'!$W$91:$W$130,MATCH($E261&amp;$F261,'TB-EQUIPMENT &amp; OTHER HPs'!$E$91:$E$130&amp;'TB-EQUIPMENT &amp; OTHER HPs'!$I$91:$I$130,0)),0)</f>
        <v>0</v>
      </c>
      <c r="AG261" s="626">
        <f t="shared" si="303"/>
        <v>0</v>
      </c>
      <c r="AH261" s="626">
        <f t="shared" si="304"/>
        <v>0</v>
      </c>
      <c r="AI261" s="626">
        <f t="shared" si="305"/>
        <v>0</v>
      </c>
      <c r="AJ261" s="625">
        <f t="array" ref="AJ261">IFERROR(INDEX('TB-EQUIPMENT &amp; OTHER HPs'!$X$91:$X$130,MATCH($E261&amp;$F261,'TB-EQUIPMENT &amp; OTHER HPs'!$E$91:$E$130&amp;'TB-EQUIPMENT &amp; OTHER HPs'!$I$91:$I$130,0)),0)</f>
        <v>0</v>
      </c>
      <c r="AK261" s="626">
        <f t="shared" si="306"/>
        <v>0</v>
      </c>
      <c r="AL261" s="626">
        <f t="shared" si="307"/>
        <v>0</v>
      </c>
      <c r="AM261" s="626">
        <f t="shared" si="308"/>
        <v>0</v>
      </c>
      <c r="AN261" s="625">
        <f t="array" ref="AN261">IFERROR(INDEX('TB-EQUIPMENT &amp; OTHER HPs'!$Y$91:$Y$130,MATCH($E261&amp;$F261,'TB-EQUIPMENT &amp; OTHER HPs'!$E$91:$E$130&amp;'TB-EQUIPMENT &amp; OTHER HPs'!$I$91:$I$130,0)),0)</f>
        <v>0</v>
      </c>
      <c r="AO261" s="626">
        <f t="shared" si="309"/>
        <v>0</v>
      </c>
      <c r="AP261" s="626">
        <f t="shared" si="310"/>
        <v>0</v>
      </c>
      <c r="AQ261" s="626">
        <f t="shared" si="311"/>
        <v>0</v>
      </c>
      <c r="AR261" s="630"/>
      <c r="AS261" s="625">
        <f t="array" ref="AS261">IFERROR(INDEX('TB-EQUIPMENT &amp; OTHER HPs'!$AB$91:$AB$130,MATCH($E261&amp;$F261,'TB-EQUIPMENT &amp; OTHER HPs'!$E$91:$E$130&amp;'TB-EQUIPMENT &amp; OTHER HPs'!$I$91:$I$130,0)),0)</f>
        <v>0</v>
      </c>
      <c r="AT261" s="625">
        <f t="array" ref="AT261">IFERROR(INDEX('TB-EQUIPMENT &amp; OTHER HPs'!$AC$91:$AC$130,MATCH($E261&amp;$F261,'TB-EQUIPMENT &amp; OTHER HPs'!$E$91:$E$130&amp;'TB-EQUIPMENT &amp; OTHER HPs'!$I$91:$I$130,0)),0)</f>
        <v>0</v>
      </c>
      <c r="AU261" s="626">
        <f t="shared" si="312"/>
        <v>0</v>
      </c>
      <c r="AV261" s="626">
        <f t="shared" si="313"/>
        <v>0</v>
      </c>
      <c r="AW261" s="626">
        <f t="shared" si="314"/>
        <v>0</v>
      </c>
      <c r="AX261" s="625">
        <f t="array" ref="AX261">IFERROR(INDEX('TB-EQUIPMENT &amp; OTHER HPs'!$AD$91:$AD$130,MATCH($E261&amp;$F261,'TB-EQUIPMENT &amp; OTHER HPs'!$E$91:$E$130&amp;'TB-EQUIPMENT &amp; OTHER HPs'!$I$91:$I$130,0)),0)</f>
        <v>0</v>
      </c>
      <c r="AY261" s="626">
        <f t="shared" si="315"/>
        <v>0</v>
      </c>
      <c r="AZ261" s="626">
        <f t="shared" si="316"/>
        <v>0</v>
      </c>
      <c r="BA261" s="626">
        <f t="shared" si="317"/>
        <v>0</v>
      </c>
      <c r="BB261" s="625">
        <f t="array" ref="BB261">IFERROR(INDEX('TB-EQUIPMENT &amp; OTHER HPs'!$AE$91:$AE$130,MATCH($E261&amp;$F261,'TB-EQUIPMENT &amp; OTHER HPs'!$E$91:$E$130&amp;'TB-EQUIPMENT &amp; OTHER HPs'!$I$91:$I$130,0)),0)</f>
        <v>0</v>
      </c>
      <c r="BC261" s="626">
        <f t="shared" si="318"/>
        <v>0</v>
      </c>
      <c r="BD261" s="626">
        <f t="shared" si="319"/>
        <v>0</v>
      </c>
      <c r="BE261" s="626">
        <f t="shared" si="320"/>
        <v>0</v>
      </c>
      <c r="BF261" s="625">
        <f t="array" ref="BF261">IFERROR(INDEX('TB-EQUIPMENT &amp; OTHER HPs'!$AF$91:$AF$130,MATCH($E261&amp;$F261,'TB-EQUIPMENT &amp; OTHER HPs'!$E$91:$E$130&amp;'TB-EQUIPMENT &amp; OTHER HPs'!$I$91:$I$130,0)),0)</f>
        <v>0</v>
      </c>
      <c r="BG261" s="626">
        <f t="shared" si="321"/>
        <v>0</v>
      </c>
      <c r="BH261" s="626">
        <f t="shared" si="322"/>
        <v>0</v>
      </c>
      <c r="BI261" s="626">
        <f t="shared" si="323"/>
        <v>0</v>
      </c>
      <c r="BJ261" s="630"/>
      <c r="BK261" s="625"/>
      <c r="BL261" s="625"/>
      <c r="BM261" s="625"/>
      <c r="BN261" s="625"/>
      <c r="BO261" s="625"/>
      <c r="BP261" s="625"/>
      <c r="BQ261" s="625"/>
      <c r="BR261" s="625"/>
    </row>
    <row r="262" spans="1:70">
      <c r="A262" s="29" t="s">
        <v>1754</v>
      </c>
      <c r="B262" s="29" t="s">
        <v>1837</v>
      </c>
      <c r="C262" s="619">
        <f>SETUP!$F$43</f>
        <v>0</v>
      </c>
      <c r="D262" s="25">
        <v>6.4</v>
      </c>
      <c r="E262" s="26" t="s">
        <v>322</v>
      </c>
      <c r="F262" s="26" t="s">
        <v>1485</v>
      </c>
      <c r="G262" s="625" t="str">
        <f t="array" ref="G262">IFERROR(INDEX('TB-EQUIPMENT &amp; OTHER HPs'!$L$91:$L$130,MATCH($E262&amp;$F262,'TB-EQUIPMENT &amp; OTHER HPs'!$E$91:$E$130&amp;'TB-EQUIPMENT &amp; OTHER HPs'!$I$91:$I$130,0)),"")</f>
        <v/>
      </c>
      <c r="H262" s="625" t="str">
        <f t="array" ref="H262">IFERROR(INDEX('TB-EQUIPMENT &amp; OTHER HPs'!$M$91:$M$130,MATCH($E262&amp;$F262,'TB-EQUIPMENT &amp; OTHER HPs'!$E$91:$E$130&amp;'TB-EQUIPMENT &amp; OTHER HPs'!$I$91:$I$130,0)),"")</f>
        <v/>
      </c>
      <c r="I262" s="625">
        <f t="array" ref="I262">IFERROR(INDEX('TB-EQUIPMENT &amp; OTHER HPs'!$N$91:$N$130,MATCH($E262&amp;$F262,'TB-EQUIPMENT &amp; OTHER HPs'!$E$91:$E$130&amp;'TB-EQUIPMENT &amp; OTHER HPs'!$I$91:$I$130,0)),0)</f>
        <v>0</v>
      </c>
      <c r="J262" s="625">
        <f t="array" ref="J262">IFERROR(INDEX('TB-EQUIPMENT &amp; OTHER HPs'!$O$91:$O$130,MATCH($E262&amp;$F262,'TB-EQUIPMENT &amp; OTHER HPs'!$E$91:$E$130&amp;'TB-EQUIPMENT &amp; OTHER HPs'!$I$91:$I$130,0)),0)</f>
        <v>0</v>
      </c>
      <c r="K262" s="626">
        <f t="shared" si="288"/>
        <v>0</v>
      </c>
      <c r="L262" s="626">
        <f t="shared" si="289"/>
        <v>0</v>
      </c>
      <c r="M262" s="626">
        <f t="shared" si="290"/>
        <v>0</v>
      </c>
      <c r="N262" s="625">
        <f t="array" ref="N262">IFERROR(INDEX('TB-EQUIPMENT &amp; OTHER HPs'!$P$91:$P$130,MATCH($E262&amp;$F262,'TB-EQUIPMENT &amp; OTHER HPs'!$E$91:$E$130&amp;'TB-EQUIPMENT &amp; OTHER HPs'!$I$91:$I$130,0)),0)</f>
        <v>0</v>
      </c>
      <c r="O262" s="626">
        <f t="shared" si="291"/>
        <v>0</v>
      </c>
      <c r="P262" s="626">
        <f t="shared" si="292"/>
        <v>0</v>
      </c>
      <c r="Q262" s="626">
        <f t="shared" si="293"/>
        <v>0</v>
      </c>
      <c r="R262" s="625">
        <f t="array" ref="R262">IFERROR(INDEX('TB-EQUIPMENT &amp; OTHER HPs'!$Q$91:$Q$130,MATCH($E262&amp;$F262,'TB-EQUIPMENT &amp; OTHER HPs'!$E$91:$E$130&amp;'TB-EQUIPMENT &amp; OTHER HPs'!$I$91:$I$130,0)),0)</f>
        <v>0</v>
      </c>
      <c r="S262" s="626">
        <f t="shared" si="294"/>
        <v>0</v>
      </c>
      <c r="T262" s="626">
        <f t="shared" si="295"/>
        <v>0</v>
      </c>
      <c r="U262" s="626">
        <f t="shared" si="296"/>
        <v>0</v>
      </c>
      <c r="V262" s="625">
        <f t="array" ref="V262">IFERROR(INDEX('TB-EQUIPMENT &amp; OTHER HPs'!$R$91:$R$130,MATCH($E262&amp;$F262,'TB-EQUIPMENT &amp; OTHER HPs'!$E$91:$E$130&amp;'TB-EQUIPMENT &amp; OTHER HPs'!$I$91:$I$130,0)),0)</f>
        <v>0</v>
      </c>
      <c r="W262" s="626">
        <f t="shared" si="297"/>
        <v>0</v>
      </c>
      <c r="X262" s="626">
        <f t="shared" si="298"/>
        <v>0</v>
      </c>
      <c r="Y262" s="626">
        <f t="shared" si="299"/>
        <v>0</v>
      </c>
      <c r="Z262" s="630"/>
      <c r="AA262" s="625">
        <f t="array" ref="AA262">IFERROR(INDEX('TB-EQUIPMENT &amp; OTHER HPs'!$U$91:$U$130,MATCH($E262&amp;$F262,'TB-EQUIPMENT &amp; OTHER HPs'!$E$91:$E$130&amp;'TB-EQUIPMENT &amp; OTHER HPs'!$I$91:$I$130,0)),0)</f>
        <v>0</v>
      </c>
      <c r="AB262" s="625">
        <f t="array" ref="AB262">IFERROR(INDEX('TB-EQUIPMENT &amp; OTHER HPs'!$V$91:$V$130,MATCH($E262&amp;$F262,'TB-EQUIPMENT &amp; OTHER HPs'!$E$91:$E$130&amp;'TB-EQUIPMENT &amp; OTHER HPs'!$I$91:$I$130,0)),0)</f>
        <v>0</v>
      </c>
      <c r="AC262" s="626">
        <f t="shared" si="300"/>
        <v>0</v>
      </c>
      <c r="AD262" s="626">
        <f t="shared" si="301"/>
        <v>0</v>
      </c>
      <c r="AE262" s="626">
        <f t="shared" si="302"/>
        <v>0</v>
      </c>
      <c r="AF262" s="625">
        <f t="array" ref="AF262">IFERROR(INDEX('TB-EQUIPMENT &amp; OTHER HPs'!$W$91:$W$130,MATCH($E262&amp;$F262,'TB-EQUIPMENT &amp; OTHER HPs'!$E$91:$E$130&amp;'TB-EQUIPMENT &amp; OTHER HPs'!$I$91:$I$130,0)),0)</f>
        <v>0</v>
      </c>
      <c r="AG262" s="626">
        <f t="shared" si="303"/>
        <v>0</v>
      </c>
      <c r="AH262" s="626">
        <f t="shared" si="304"/>
        <v>0</v>
      </c>
      <c r="AI262" s="626">
        <f t="shared" si="305"/>
        <v>0</v>
      </c>
      <c r="AJ262" s="625">
        <f t="array" ref="AJ262">IFERROR(INDEX('TB-EQUIPMENT &amp; OTHER HPs'!$X$91:$X$130,MATCH($E262&amp;$F262,'TB-EQUIPMENT &amp; OTHER HPs'!$E$91:$E$130&amp;'TB-EQUIPMENT &amp; OTHER HPs'!$I$91:$I$130,0)),0)</f>
        <v>0</v>
      </c>
      <c r="AK262" s="626">
        <f t="shared" si="306"/>
        <v>0</v>
      </c>
      <c r="AL262" s="626">
        <f t="shared" si="307"/>
        <v>0</v>
      </c>
      <c r="AM262" s="626">
        <f t="shared" si="308"/>
        <v>0</v>
      </c>
      <c r="AN262" s="625">
        <f t="array" ref="AN262">IFERROR(INDEX('TB-EQUIPMENT &amp; OTHER HPs'!$Y$91:$Y$130,MATCH($E262&amp;$F262,'TB-EQUIPMENT &amp; OTHER HPs'!$E$91:$E$130&amp;'TB-EQUIPMENT &amp; OTHER HPs'!$I$91:$I$130,0)),0)</f>
        <v>0</v>
      </c>
      <c r="AO262" s="626">
        <f t="shared" si="309"/>
        <v>0</v>
      </c>
      <c r="AP262" s="626">
        <f t="shared" si="310"/>
        <v>0</v>
      </c>
      <c r="AQ262" s="626">
        <f t="shared" si="311"/>
        <v>0</v>
      </c>
      <c r="AR262" s="630"/>
      <c r="AS262" s="625">
        <f t="array" ref="AS262">IFERROR(INDEX('TB-EQUIPMENT &amp; OTHER HPs'!$AB$91:$AB$130,MATCH($E262&amp;$F262,'TB-EQUIPMENT &amp; OTHER HPs'!$E$91:$E$130&amp;'TB-EQUIPMENT &amp; OTHER HPs'!$I$91:$I$130,0)),0)</f>
        <v>0</v>
      </c>
      <c r="AT262" s="625">
        <f t="array" ref="AT262">IFERROR(INDEX('TB-EQUIPMENT &amp; OTHER HPs'!$AC$91:$AC$130,MATCH($E262&amp;$F262,'TB-EQUIPMENT &amp; OTHER HPs'!$E$91:$E$130&amp;'TB-EQUIPMENT &amp; OTHER HPs'!$I$91:$I$130,0)),0)</f>
        <v>0</v>
      </c>
      <c r="AU262" s="626">
        <f t="shared" si="312"/>
        <v>0</v>
      </c>
      <c r="AV262" s="626">
        <f t="shared" si="313"/>
        <v>0</v>
      </c>
      <c r="AW262" s="626">
        <f t="shared" si="314"/>
        <v>0</v>
      </c>
      <c r="AX262" s="625">
        <f t="array" ref="AX262">IFERROR(INDEX('TB-EQUIPMENT &amp; OTHER HPs'!$AD$91:$AD$130,MATCH($E262&amp;$F262,'TB-EQUIPMENT &amp; OTHER HPs'!$E$91:$E$130&amp;'TB-EQUIPMENT &amp; OTHER HPs'!$I$91:$I$130,0)),0)</f>
        <v>0</v>
      </c>
      <c r="AY262" s="626">
        <f t="shared" si="315"/>
        <v>0</v>
      </c>
      <c r="AZ262" s="626">
        <f t="shared" si="316"/>
        <v>0</v>
      </c>
      <c r="BA262" s="626">
        <f t="shared" si="317"/>
        <v>0</v>
      </c>
      <c r="BB262" s="625">
        <f t="array" ref="BB262">IFERROR(INDEX('TB-EQUIPMENT &amp; OTHER HPs'!$AE$91:$AE$130,MATCH($E262&amp;$F262,'TB-EQUIPMENT &amp; OTHER HPs'!$E$91:$E$130&amp;'TB-EQUIPMENT &amp; OTHER HPs'!$I$91:$I$130,0)),0)</f>
        <v>0</v>
      </c>
      <c r="BC262" s="626">
        <f t="shared" si="318"/>
        <v>0</v>
      </c>
      <c r="BD262" s="626">
        <f t="shared" si="319"/>
        <v>0</v>
      </c>
      <c r="BE262" s="626">
        <f t="shared" si="320"/>
        <v>0</v>
      </c>
      <c r="BF262" s="625">
        <f t="array" ref="BF262">IFERROR(INDEX('TB-EQUIPMENT &amp; OTHER HPs'!$AF$91:$AF$130,MATCH($E262&amp;$F262,'TB-EQUIPMENT &amp; OTHER HPs'!$E$91:$E$130&amp;'TB-EQUIPMENT &amp; OTHER HPs'!$I$91:$I$130,0)),0)</f>
        <v>0</v>
      </c>
      <c r="BG262" s="626">
        <f t="shared" si="321"/>
        <v>0</v>
      </c>
      <c r="BH262" s="626">
        <f t="shared" si="322"/>
        <v>0</v>
      </c>
      <c r="BI262" s="626">
        <f t="shared" si="323"/>
        <v>0</v>
      </c>
      <c r="BJ262" s="630"/>
      <c r="BK262" s="625"/>
      <c r="BL262" s="625"/>
      <c r="BM262" s="625"/>
      <c r="BN262" s="625"/>
      <c r="BO262" s="625"/>
      <c r="BP262" s="625"/>
      <c r="BQ262" s="625"/>
      <c r="BR262" s="625"/>
    </row>
    <row r="263" spans="1:70">
      <c r="A263" s="29" t="s">
        <v>1754</v>
      </c>
      <c r="B263" s="29" t="s">
        <v>1837</v>
      </c>
      <c r="C263" s="619">
        <f>SETUP!$F$43</f>
        <v>0</v>
      </c>
      <c r="D263" s="25">
        <v>6.4</v>
      </c>
      <c r="E263" s="26" t="s">
        <v>322</v>
      </c>
      <c r="F263" s="26" t="s">
        <v>1140</v>
      </c>
      <c r="G263" s="625" t="str">
        <f t="array" ref="G263">IFERROR(INDEX('TB-EQUIPMENT &amp; OTHER HPs'!$L$91:$L$130,MATCH($E263&amp;$F263,'TB-EQUIPMENT &amp; OTHER HPs'!$E$91:$E$130&amp;'TB-EQUIPMENT &amp; OTHER HPs'!$I$91:$I$130,0)),"")</f>
        <v/>
      </c>
      <c r="H263" s="625" t="str">
        <f t="array" ref="H263">IFERROR(INDEX('TB-EQUIPMENT &amp; OTHER HPs'!$M$91:$M$130,MATCH($E263&amp;$F263,'TB-EQUIPMENT &amp; OTHER HPs'!$E$91:$E$130&amp;'TB-EQUIPMENT &amp; OTHER HPs'!$I$91:$I$130,0)),"")</f>
        <v/>
      </c>
      <c r="I263" s="625">
        <f t="array" ref="I263">IFERROR(INDEX('TB-EQUIPMENT &amp; OTHER HPs'!$N$91:$N$130,MATCH($E263&amp;$F263,'TB-EQUIPMENT &amp; OTHER HPs'!$E$91:$E$130&amp;'TB-EQUIPMENT &amp; OTHER HPs'!$I$91:$I$130,0)),0)</f>
        <v>0</v>
      </c>
      <c r="J263" s="625">
        <f t="array" ref="J263">IFERROR(INDEX('TB-EQUIPMENT &amp; OTHER HPs'!$O$91:$O$130,MATCH($E263&amp;$F263,'TB-EQUIPMENT &amp; OTHER HPs'!$E$91:$E$130&amp;'TB-EQUIPMENT &amp; OTHER HPs'!$I$91:$I$130,0)),0)</f>
        <v>0</v>
      </c>
      <c r="K263" s="626">
        <f t="shared" si="288"/>
        <v>0</v>
      </c>
      <c r="L263" s="626">
        <f t="shared" si="289"/>
        <v>0</v>
      </c>
      <c r="M263" s="626">
        <f t="shared" si="290"/>
        <v>0</v>
      </c>
      <c r="N263" s="625">
        <f t="array" ref="N263">IFERROR(INDEX('TB-EQUIPMENT &amp; OTHER HPs'!$P$91:$P$130,MATCH($E263&amp;$F263,'TB-EQUIPMENT &amp; OTHER HPs'!$E$91:$E$130&amp;'TB-EQUIPMENT &amp; OTHER HPs'!$I$91:$I$130,0)),0)</f>
        <v>0</v>
      </c>
      <c r="O263" s="626">
        <f t="shared" si="291"/>
        <v>0</v>
      </c>
      <c r="P263" s="626">
        <f t="shared" si="292"/>
        <v>0</v>
      </c>
      <c r="Q263" s="626">
        <f t="shared" si="293"/>
        <v>0</v>
      </c>
      <c r="R263" s="625">
        <f t="array" ref="R263">IFERROR(INDEX('TB-EQUIPMENT &amp; OTHER HPs'!$Q$91:$Q$130,MATCH($E263&amp;$F263,'TB-EQUIPMENT &amp; OTHER HPs'!$E$91:$E$130&amp;'TB-EQUIPMENT &amp; OTHER HPs'!$I$91:$I$130,0)),0)</f>
        <v>0</v>
      </c>
      <c r="S263" s="626">
        <f t="shared" si="294"/>
        <v>0</v>
      </c>
      <c r="T263" s="626">
        <f t="shared" si="295"/>
        <v>0</v>
      </c>
      <c r="U263" s="626">
        <f t="shared" si="296"/>
        <v>0</v>
      </c>
      <c r="V263" s="625">
        <f t="array" ref="V263">IFERROR(INDEX('TB-EQUIPMENT &amp; OTHER HPs'!$R$91:$R$130,MATCH($E263&amp;$F263,'TB-EQUIPMENT &amp; OTHER HPs'!$E$91:$E$130&amp;'TB-EQUIPMENT &amp; OTHER HPs'!$I$91:$I$130,0)),0)</f>
        <v>0</v>
      </c>
      <c r="W263" s="626">
        <f t="shared" si="297"/>
        <v>0</v>
      </c>
      <c r="X263" s="626">
        <f t="shared" si="298"/>
        <v>0</v>
      </c>
      <c r="Y263" s="626">
        <f t="shared" si="299"/>
        <v>0</v>
      </c>
      <c r="Z263" s="630"/>
      <c r="AA263" s="625">
        <f t="array" ref="AA263">IFERROR(INDEX('TB-EQUIPMENT &amp; OTHER HPs'!$U$91:$U$130,MATCH($E263&amp;$F263,'TB-EQUIPMENT &amp; OTHER HPs'!$E$91:$E$130&amp;'TB-EQUIPMENT &amp; OTHER HPs'!$I$91:$I$130,0)),0)</f>
        <v>0</v>
      </c>
      <c r="AB263" s="625">
        <f t="array" ref="AB263">IFERROR(INDEX('TB-EQUIPMENT &amp; OTHER HPs'!$V$91:$V$130,MATCH($E263&amp;$F263,'TB-EQUIPMENT &amp; OTHER HPs'!$E$91:$E$130&amp;'TB-EQUIPMENT &amp; OTHER HPs'!$I$91:$I$130,0)),0)</f>
        <v>0</v>
      </c>
      <c r="AC263" s="626">
        <f t="shared" si="300"/>
        <v>0</v>
      </c>
      <c r="AD263" s="626">
        <f t="shared" si="301"/>
        <v>0</v>
      </c>
      <c r="AE263" s="626">
        <f t="shared" si="302"/>
        <v>0</v>
      </c>
      <c r="AF263" s="625">
        <f t="array" ref="AF263">IFERROR(INDEX('TB-EQUIPMENT &amp; OTHER HPs'!$W$91:$W$130,MATCH($E263&amp;$F263,'TB-EQUIPMENT &amp; OTHER HPs'!$E$91:$E$130&amp;'TB-EQUIPMENT &amp; OTHER HPs'!$I$91:$I$130,0)),0)</f>
        <v>0</v>
      </c>
      <c r="AG263" s="626">
        <f t="shared" si="303"/>
        <v>0</v>
      </c>
      <c r="AH263" s="626">
        <f t="shared" si="304"/>
        <v>0</v>
      </c>
      <c r="AI263" s="626">
        <f t="shared" si="305"/>
        <v>0</v>
      </c>
      <c r="AJ263" s="625">
        <f t="array" ref="AJ263">IFERROR(INDEX('TB-EQUIPMENT &amp; OTHER HPs'!$X$91:$X$130,MATCH($E263&amp;$F263,'TB-EQUIPMENT &amp; OTHER HPs'!$E$91:$E$130&amp;'TB-EQUIPMENT &amp; OTHER HPs'!$I$91:$I$130,0)),0)</f>
        <v>0</v>
      </c>
      <c r="AK263" s="626">
        <f t="shared" si="306"/>
        <v>0</v>
      </c>
      <c r="AL263" s="626">
        <f t="shared" si="307"/>
        <v>0</v>
      </c>
      <c r="AM263" s="626">
        <f t="shared" si="308"/>
        <v>0</v>
      </c>
      <c r="AN263" s="625">
        <f t="array" ref="AN263">IFERROR(INDEX('TB-EQUIPMENT &amp; OTHER HPs'!$Y$91:$Y$130,MATCH($E263&amp;$F263,'TB-EQUIPMENT &amp; OTHER HPs'!$E$91:$E$130&amp;'TB-EQUIPMENT &amp; OTHER HPs'!$I$91:$I$130,0)),0)</f>
        <v>0</v>
      </c>
      <c r="AO263" s="626">
        <f t="shared" si="309"/>
        <v>0</v>
      </c>
      <c r="AP263" s="626">
        <f t="shared" si="310"/>
        <v>0</v>
      </c>
      <c r="AQ263" s="626">
        <f t="shared" si="311"/>
        <v>0</v>
      </c>
      <c r="AR263" s="630"/>
      <c r="AS263" s="625">
        <f t="array" ref="AS263">IFERROR(INDEX('TB-EQUIPMENT &amp; OTHER HPs'!$AB$91:$AB$130,MATCH($E263&amp;$F263,'TB-EQUIPMENT &amp; OTHER HPs'!$E$91:$E$130&amp;'TB-EQUIPMENT &amp; OTHER HPs'!$I$91:$I$130,0)),0)</f>
        <v>0</v>
      </c>
      <c r="AT263" s="625">
        <f t="array" ref="AT263">IFERROR(INDEX('TB-EQUIPMENT &amp; OTHER HPs'!$AC$91:$AC$130,MATCH($E263&amp;$F263,'TB-EQUIPMENT &amp; OTHER HPs'!$E$91:$E$130&amp;'TB-EQUIPMENT &amp; OTHER HPs'!$I$91:$I$130,0)),0)</f>
        <v>0</v>
      </c>
      <c r="AU263" s="626">
        <f t="shared" si="312"/>
        <v>0</v>
      </c>
      <c r="AV263" s="626">
        <f t="shared" si="313"/>
        <v>0</v>
      </c>
      <c r="AW263" s="626">
        <f t="shared" si="314"/>
        <v>0</v>
      </c>
      <c r="AX263" s="625">
        <f t="array" ref="AX263">IFERROR(INDEX('TB-EQUIPMENT &amp; OTHER HPs'!$AD$91:$AD$130,MATCH($E263&amp;$F263,'TB-EQUIPMENT &amp; OTHER HPs'!$E$91:$E$130&amp;'TB-EQUIPMENT &amp; OTHER HPs'!$I$91:$I$130,0)),0)</f>
        <v>0</v>
      </c>
      <c r="AY263" s="626">
        <f t="shared" si="315"/>
        <v>0</v>
      </c>
      <c r="AZ263" s="626">
        <f t="shared" si="316"/>
        <v>0</v>
      </c>
      <c r="BA263" s="626">
        <f t="shared" si="317"/>
        <v>0</v>
      </c>
      <c r="BB263" s="625">
        <f t="array" ref="BB263">IFERROR(INDEX('TB-EQUIPMENT &amp; OTHER HPs'!$AE$91:$AE$130,MATCH($E263&amp;$F263,'TB-EQUIPMENT &amp; OTHER HPs'!$E$91:$E$130&amp;'TB-EQUIPMENT &amp; OTHER HPs'!$I$91:$I$130,0)),0)</f>
        <v>0</v>
      </c>
      <c r="BC263" s="626">
        <f t="shared" si="318"/>
        <v>0</v>
      </c>
      <c r="BD263" s="626">
        <f t="shared" si="319"/>
        <v>0</v>
      </c>
      <c r="BE263" s="626">
        <f t="shared" si="320"/>
        <v>0</v>
      </c>
      <c r="BF263" s="625">
        <f t="array" ref="BF263">IFERROR(INDEX('TB-EQUIPMENT &amp; OTHER HPs'!$AF$91:$AF$130,MATCH($E263&amp;$F263,'TB-EQUIPMENT &amp; OTHER HPs'!$E$91:$E$130&amp;'TB-EQUIPMENT &amp; OTHER HPs'!$I$91:$I$130,0)),0)</f>
        <v>0</v>
      </c>
      <c r="BG263" s="626">
        <f t="shared" si="321"/>
        <v>0</v>
      </c>
      <c r="BH263" s="626">
        <f t="shared" si="322"/>
        <v>0</v>
      </c>
      <c r="BI263" s="626">
        <f t="shared" si="323"/>
        <v>0</v>
      </c>
      <c r="BJ263" s="630"/>
      <c r="BK263" s="625"/>
      <c r="BL263" s="625"/>
      <c r="BM263" s="625"/>
      <c r="BN263" s="625"/>
      <c r="BO263" s="625"/>
      <c r="BP263" s="625"/>
      <c r="BQ263" s="625"/>
      <c r="BR263" s="625"/>
    </row>
    <row r="264" spans="1:70">
      <c r="A264" s="29" t="s">
        <v>1754</v>
      </c>
      <c r="B264" s="29" t="s">
        <v>1837</v>
      </c>
      <c r="C264" s="619">
        <f>SETUP!$F$43</f>
        <v>0</v>
      </c>
      <c r="D264" s="25">
        <v>6.4</v>
      </c>
      <c r="E264" s="26" t="s">
        <v>323</v>
      </c>
      <c r="F264" s="26" t="s">
        <v>1140</v>
      </c>
      <c r="G264" s="625" t="str">
        <f t="array" ref="G264">IFERROR(INDEX('TB-EQUIPMENT &amp; OTHER HPs'!$L$91:$L$130,MATCH($E264&amp;$F264,'TB-EQUIPMENT &amp; OTHER HPs'!$E$91:$E$130&amp;'TB-EQUIPMENT &amp; OTHER HPs'!$I$91:$I$130,0)),"")</f>
        <v/>
      </c>
      <c r="H264" s="625" t="str">
        <f t="array" ref="H264">IFERROR(INDEX('TB-EQUIPMENT &amp; OTHER HPs'!$M$91:$M$130,MATCH($E264&amp;$F264,'TB-EQUIPMENT &amp; OTHER HPs'!$E$91:$E$130&amp;'TB-EQUIPMENT &amp; OTHER HPs'!$I$91:$I$130,0)),"")</f>
        <v/>
      </c>
      <c r="I264" s="625">
        <f t="array" ref="I264">IFERROR(INDEX('TB-EQUIPMENT &amp; OTHER HPs'!$N$91:$N$130,MATCH($E264&amp;$F264,'TB-EQUIPMENT &amp; OTHER HPs'!$E$91:$E$130&amp;'TB-EQUIPMENT &amp; OTHER HPs'!$I$91:$I$130,0)),0)</f>
        <v>0</v>
      </c>
      <c r="J264" s="625">
        <f t="array" ref="J264">IFERROR(INDEX('TB-EQUIPMENT &amp; OTHER HPs'!$O$91:$O$130,MATCH($E264&amp;$F264,'TB-EQUIPMENT &amp; OTHER HPs'!$E$91:$E$130&amp;'TB-EQUIPMENT &amp; OTHER HPs'!$I$91:$I$130,0)),0)</f>
        <v>0</v>
      </c>
      <c r="K264" s="626">
        <f t="shared" si="288"/>
        <v>0</v>
      </c>
      <c r="L264" s="626">
        <f t="shared" si="289"/>
        <v>0</v>
      </c>
      <c r="M264" s="626">
        <f t="shared" si="290"/>
        <v>0</v>
      </c>
      <c r="N264" s="625">
        <f t="array" ref="N264">IFERROR(INDEX('TB-EQUIPMENT &amp; OTHER HPs'!$P$91:$P$130,MATCH($E264&amp;$F264,'TB-EQUIPMENT &amp; OTHER HPs'!$E$91:$E$130&amp;'TB-EQUIPMENT &amp; OTHER HPs'!$I$91:$I$130,0)),0)</f>
        <v>0</v>
      </c>
      <c r="O264" s="626">
        <f t="shared" si="291"/>
        <v>0</v>
      </c>
      <c r="P264" s="626">
        <f t="shared" si="292"/>
        <v>0</v>
      </c>
      <c r="Q264" s="626">
        <f t="shared" si="293"/>
        <v>0</v>
      </c>
      <c r="R264" s="625">
        <f t="array" ref="R264">IFERROR(INDEX('TB-EQUIPMENT &amp; OTHER HPs'!$Q$91:$Q$130,MATCH($E264&amp;$F264,'TB-EQUIPMENT &amp; OTHER HPs'!$E$91:$E$130&amp;'TB-EQUIPMENT &amp; OTHER HPs'!$I$91:$I$130,0)),0)</f>
        <v>0</v>
      </c>
      <c r="S264" s="626">
        <f t="shared" si="294"/>
        <v>0</v>
      </c>
      <c r="T264" s="626">
        <f t="shared" si="295"/>
        <v>0</v>
      </c>
      <c r="U264" s="626">
        <f t="shared" si="296"/>
        <v>0</v>
      </c>
      <c r="V264" s="625">
        <f t="array" ref="V264">IFERROR(INDEX('TB-EQUIPMENT &amp; OTHER HPs'!$R$91:$R$130,MATCH($E264&amp;$F264,'TB-EQUIPMENT &amp; OTHER HPs'!$E$91:$E$130&amp;'TB-EQUIPMENT &amp; OTHER HPs'!$I$91:$I$130,0)),0)</f>
        <v>0</v>
      </c>
      <c r="W264" s="626">
        <f t="shared" si="297"/>
        <v>0</v>
      </c>
      <c r="X264" s="626">
        <f t="shared" si="298"/>
        <v>0</v>
      </c>
      <c r="Y264" s="626">
        <f t="shared" si="299"/>
        <v>0</v>
      </c>
      <c r="Z264" s="630"/>
      <c r="AA264" s="625">
        <f t="array" ref="AA264">IFERROR(INDEX('TB-EQUIPMENT &amp; OTHER HPs'!$U$91:$U$130,MATCH($E264&amp;$F264,'TB-EQUIPMENT &amp; OTHER HPs'!$E$91:$E$130&amp;'TB-EQUIPMENT &amp; OTHER HPs'!$I$91:$I$130,0)),0)</f>
        <v>0</v>
      </c>
      <c r="AB264" s="625">
        <f t="array" ref="AB264">IFERROR(INDEX('TB-EQUIPMENT &amp; OTHER HPs'!$V$91:$V$130,MATCH($E264&amp;$F264,'TB-EQUIPMENT &amp; OTHER HPs'!$E$91:$E$130&amp;'TB-EQUIPMENT &amp; OTHER HPs'!$I$91:$I$130,0)),0)</f>
        <v>0</v>
      </c>
      <c r="AC264" s="626">
        <f t="shared" si="300"/>
        <v>0</v>
      </c>
      <c r="AD264" s="626">
        <f t="shared" si="301"/>
        <v>0</v>
      </c>
      <c r="AE264" s="626">
        <f t="shared" si="302"/>
        <v>0</v>
      </c>
      <c r="AF264" s="625">
        <f t="array" ref="AF264">IFERROR(INDEX('TB-EQUIPMENT &amp; OTHER HPs'!$W$91:$W$130,MATCH($E264&amp;$F264,'TB-EQUIPMENT &amp; OTHER HPs'!$E$91:$E$130&amp;'TB-EQUIPMENT &amp; OTHER HPs'!$I$91:$I$130,0)),0)</f>
        <v>0</v>
      </c>
      <c r="AG264" s="626">
        <f t="shared" si="303"/>
        <v>0</v>
      </c>
      <c r="AH264" s="626">
        <f t="shared" si="304"/>
        <v>0</v>
      </c>
      <c r="AI264" s="626">
        <f t="shared" si="305"/>
        <v>0</v>
      </c>
      <c r="AJ264" s="625">
        <f t="array" ref="AJ264">IFERROR(INDEX('TB-EQUIPMENT &amp; OTHER HPs'!$X$91:$X$130,MATCH($E264&amp;$F264,'TB-EQUIPMENT &amp; OTHER HPs'!$E$91:$E$130&amp;'TB-EQUIPMENT &amp; OTHER HPs'!$I$91:$I$130,0)),0)</f>
        <v>0</v>
      </c>
      <c r="AK264" s="626">
        <f t="shared" si="306"/>
        <v>0</v>
      </c>
      <c r="AL264" s="626">
        <f t="shared" si="307"/>
        <v>0</v>
      </c>
      <c r="AM264" s="626">
        <f t="shared" si="308"/>
        <v>0</v>
      </c>
      <c r="AN264" s="625">
        <f t="array" ref="AN264">IFERROR(INDEX('TB-EQUIPMENT &amp; OTHER HPs'!$Y$91:$Y$130,MATCH($E264&amp;$F264,'TB-EQUIPMENT &amp; OTHER HPs'!$E$91:$E$130&amp;'TB-EQUIPMENT &amp; OTHER HPs'!$I$91:$I$130,0)),0)</f>
        <v>0</v>
      </c>
      <c r="AO264" s="626">
        <f t="shared" si="309"/>
        <v>0</v>
      </c>
      <c r="AP264" s="626">
        <f t="shared" si="310"/>
        <v>0</v>
      </c>
      <c r="AQ264" s="626">
        <f t="shared" si="311"/>
        <v>0</v>
      </c>
      <c r="AR264" s="630"/>
      <c r="AS264" s="625">
        <f t="array" ref="AS264">IFERROR(INDEX('TB-EQUIPMENT &amp; OTHER HPs'!$AB$91:$AB$130,MATCH($E264&amp;$F264,'TB-EQUIPMENT &amp; OTHER HPs'!$E$91:$E$130&amp;'TB-EQUIPMENT &amp; OTHER HPs'!$I$91:$I$130,0)),0)</f>
        <v>0</v>
      </c>
      <c r="AT264" s="625">
        <f t="array" ref="AT264">IFERROR(INDEX('TB-EQUIPMENT &amp; OTHER HPs'!$AC$91:$AC$130,MATCH($E264&amp;$F264,'TB-EQUIPMENT &amp; OTHER HPs'!$E$91:$E$130&amp;'TB-EQUIPMENT &amp; OTHER HPs'!$I$91:$I$130,0)),0)</f>
        <v>0</v>
      </c>
      <c r="AU264" s="626">
        <f t="shared" si="312"/>
        <v>0</v>
      </c>
      <c r="AV264" s="626">
        <f t="shared" si="313"/>
        <v>0</v>
      </c>
      <c r="AW264" s="626">
        <f t="shared" si="314"/>
        <v>0</v>
      </c>
      <c r="AX264" s="625">
        <f t="array" ref="AX264">IFERROR(INDEX('TB-EQUIPMENT &amp; OTHER HPs'!$AD$91:$AD$130,MATCH($E264&amp;$F264,'TB-EQUIPMENT &amp; OTHER HPs'!$E$91:$E$130&amp;'TB-EQUIPMENT &amp; OTHER HPs'!$I$91:$I$130,0)),0)</f>
        <v>0</v>
      </c>
      <c r="AY264" s="626">
        <f t="shared" si="315"/>
        <v>0</v>
      </c>
      <c r="AZ264" s="626">
        <f t="shared" si="316"/>
        <v>0</v>
      </c>
      <c r="BA264" s="626">
        <f t="shared" si="317"/>
        <v>0</v>
      </c>
      <c r="BB264" s="625">
        <f t="array" ref="BB264">IFERROR(INDEX('TB-EQUIPMENT &amp; OTHER HPs'!$AE$91:$AE$130,MATCH($E264&amp;$F264,'TB-EQUIPMENT &amp; OTHER HPs'!$E$91:$E$130&amp;'TB-EQUIPMENT &amp; OTHER HPs'!$I$91:$I$130,0)),0)</f>
        <v>0</v>
      </c>
      <c r="BC264" s="626">
        <f t="shared" si="318"/>
        <v>0</v>
      </c>
      <c r="BD264" s="626">
        <f t="shared" si="319"/>
        <v>0</v>
      </c>
      <c r="BE264" s="626">
        <f t="shared" si="320"/>
        <v>0</v>
      </c>
      <c r="BF264" s="625">
        <f t="array" ref="BF264">IFERROR(INDEX('TB-EQUIPMENT &amp; OTHER HPs'!$AF$91:$AF$130,MATCH($E264&amp;$F264,'TB-EQUIPMENT &amp; OTHER HPs'!$E$91:$E$130&amp;'TB-EQUIPMENT &amp; OTHER HPs'!$I$91:$I$130,0)),0)</f>
        <v>0</v>
      </c>
      <c r="BG264" s="626">
        <f t="shared" si="321"/>
        <v>0</v>
      </c>
      <c r="BH264" s="626">
        <f t="shared" si="322"/>
        <v>0</v>
      </c>
      <c r="BI264" s="626">
        <f t="shared" si="323"/>
        <v>0</v>
      </c>
      <c r="BJ264" s="630"/>
      <c r="BK264" s="625"/>
      <c r="BL264" s="625"/>
      <c r="BM264" s="625"/>
      <c r="BN264" s="625"/>
      <c r="BO264" s="625"/>
      <c r="BP264" s="625"/>
      <c r="BQ264" s="625"/>
      <c r="BR264" s="625"/>
    </row>
    <row r="265" spans="1:70">
      <c r="A265" s="29" t="s">
        <v>1754</v>
      </c>
      <c r="B265" s="29" t="s">
        <v>1837</v>
      </c>
      <c r="C265" s="619">
        <f>SETUP!$F$43</f>
        <v>0</v>
      </c>
      <c r="D265" s="25">
        <v>6.6</v>
      </c>
      <c r="E265" s="26" t="s">
        <v>1466</v>
      </c>
      <c r="F265" s="26" t="s">
        <v>1140</v>
      </c>
      <c r="G265" s="625" t="str">
        <f t="array" ref="G265">IFERROR(INDEX('TB-EQUIPMENT &amp; OTHER HPs'!$L$91:$L$130,MATCH($E265&amp;$F265,'TB-EQUIPMENT &amp; OTHER HPs'!$E$91:$E$130&amp;'TB-EQUIPMENT &amp; OTHER HPs'!$I$91:$I$130,0)),"")</f>
        <v/>
      </c>
      <c r="H265" s="625" t="str">
        <f t="array" ref="H265">IFERROR(INDEX('TB-EQUIPMENT &amp; OTHER HPs'!$M$91:$M$130,MATCH($E265&amp;$F265,'TB-EQUIPMENT &amp; OTHER HPs'!$E$91:$E$130&amp;'TB-EQUIPMENT &amp; OTHER HPs'!$I$91:$I$130,0)),"")</f>
        <v/>
      </c>
      <c r="I265" s="625">
        <f t="array" ref="I265">IFERROR(INDEX('TB-EQUIPMENT &amp; OTHER HPs'!$N$91:$N$130,MATCH($E265&amp;$F265,'TB-EQUIPMENT &amp; OTHER HPs'!$E$91:$E$130&amp;'TB-EQUIPMENT &amp; OTHER HPs'!$I$91:$I$130,0)),0)</f>
        <v>0</v>
      </c>
      <c r="J265" s="625">
        <f t="array" ref="J265">IFERROR(INDEX('TB-EQUIPMENT &amp; OTHER HPs'!$O$91:$O$130,MATCH($E265&amp;$F265,'TB-EQUIPMENT &amp; OTHER HPs'!$E$91:$E$130&amp;'TB-EQUIPMENT &amp; OTHER HPs'!$I$91:$I$130,0)),0)</f>
        <v>0</v>
      </c>
      <c r="K265" s="626">
        <f t="shared" si="288"/>
        <v>0</v>
      </c>
      <c r="L265" s="626">
        <f t="shared" si="289"/>
        <v>0</v>
      </c>
      <c r="M265" s="626">
        <f t="shared" si="290"/>
        <v>0</v>
      </c>
      <c r="N265" s="625">
        <f t="array" ref="N265">IFERROR(INDEX('TB-EQUIPMENT &amp; OTHER HPs'!$P$91:$P$130,MATCH($E265&amp;$F265,'TB-EQUIPMENT &amp; OTHER HPs'!$E$91:$E$130&amp;'TB-EQUIPMENT &amp; OTHER HPs'!$I$91:$I$130,0)),0)</f>
        <v>0</v>
      </c>
      <c r="O265" s="626">
        <f t="shared" si="291"/>
        <v>0</v>
      </c>
      <c r="P265" s="626">
        <f t="shared" si="292"/>
        <v>0</v>
      </c>
      <c r="Q265" s="626">
        <f t="shared" si="293"/>
        <v>0</v>
      </c>
      <c r="R265" s="625">
        <f t="array" ref="R265">IFERROR(INDEX('TB-EQUIPMENT &amp; OTHER HPs'!$Q$91:$Q$130,MATCH($E265&amp;$F265,'TB-EQUIPMENT &amp; OTHER HPs'!$E$91:$E$130&amp;'TB-EQUIPMENT &amp; OTHER HPs'!$I$91:$I$130,0)),0)</f>
        <v>0</v>
      </c>
      <c r="S265" s="626">
        <f t="shared" si="294"/>
        <v>0</v>
      </c>
      <c r="T265" s="626">
        <f t="shared" si="295"/>
        <v>0</v>
      </c>
      <c r="U265" s="626">
        <f t="shared" si="296"/>
        <v>0</v>
      </c>
      <c r="V265" s="625">
        <f t="array" ref="V265">IFERROR(INDEX('TB-EQUIPMENT &amp; OTHER HPs'!$R$91:$R$130,MATCH($E265&amp;$F265,'TB-EQUIPMENT &amp; OTHER HPs'!$E$91:$E$130&amp;'TB-EQUIPMENT &amp; OTHER HPs'!$I$91:$I$130,0)),0)</f>
        <v>0</v>
      </c>
      <c r="W265" s="626">
        <f t="shared" si="297"/>
        <v>0</v>
      </c>
      <c r="X265" s="626">
        <f t="shared" si="298"/>
        <v>0</v>
      </c>
      <c r="Y265" s="626">
        <f t="shared" si="299"/>
        <v>0</v>
      </c>
      <c r="Z265" s="630"/>
      <c r="AA265" s="625">
        <f t="array" ref="AA265">IFERROR(INDEX('TB-EQUIPMENT &amp; OTHER HPs'!$U$91:$U$130,MATCH($E265&amp;$F265,'TB-EQUIPMENT &amp; OTHER HPs'!$E$91:$E$130&amp;'TB-EQUIPMENT &amp; OTHER HPs'!$I$91:$I$130,0)),0)</f>
        <v>0</v>
      </c>
      <c r="AB265" s="625">
        <f t="array" ref="AB265">IFERROR(INDEX('TB-EQUIPMENT &amp; OTHER HPs'!$V$91:$V$130,MATCH($E265&amp;$F265,'TB-EQUIPMENT &amp; OTHER HPs'!$E$91:$E$130&amp;'TB-EQUIPMENT &amp; OTHER HPs'!$I$91:$I$130,0)),0)</f>
        <v>0</v>
      </c>
      <c r="AC265" s="626">
        <f t="shared" si="300"/>
        <v>0</v>
      </c>
      <c r="AD265" s="626">
        <f t="shared" si="301"/>
        <v>0</v>
      </c>
      <c r="AE265" s="626">
        <f t="shared" si="302"/>
        <v>0</v>
      </c>
      <c r="AF265" s="625">
        <f t="array" ref="AF265">IFERROR(INDEX('TB-EQUIPMENT &amp; OTHER HPs'!$W$91:$W$130,MATCH($E265&amp;$F265,'TB-EQUIPMENT &amp; OTHER HPs'!$E$91:$E$130&amp;'TB-EQUIPMENT &amp; OTHER HPs'!$I$91:$I$130,0)),0)</f>
        <v>0</v>
      </c>
      <c r="AG265" s="626">
        <f t="shared" si="303"/>
        <v>0</v>
      </c>
      <c r="AH265" s="626">
        <f t="shared" si="304"/>
        <v>0</v>
      </c>
      <c r="AI265" s="626">
        <f t="shared" si="305"/>
        <v>0</v>
      </c>
      <c r="AJ265" s="625">
        <f t="array" ref="AJ265">IFERROR(INDEX('TB-EQUIPMENT &amp; OTHER HPs'!$X$91:$X$130,MATCH($E265&amp;$F265,'TB-EQUIPMENT &amp; OTHER HPs'!$E$91:$E$130&amp;'TB-EQUIPMENT &amp; OTHER HPs'!$I$91:$I$130,0)),0)</f>
        <v>0</v>
      </c>
      <c r="AK265" s="626">
        <f t="shared" si="306"/>
        <v>0</v>
      </c>
      <c r="AL265" s="626">
        <f t="shared" si="307"/>
        <v>0</v>
      </c>
      <c r="AM265" s="626">
        <f t="shared" si="308"/>
        <v>0</v>
      </c>
      <c r="AN265" s="625">
        <f t="array" ref="AN265">IFERROR(INDEX('TB-EQUIPMENT &amp; OTHER HPs'!$Y$91:$Y$130,MATCH($E265&amp;$F265,'TB-EQUIPMENT &amp; OTHER HPs'!$E$91:$E$130&amp;'TB-EQUIPMENT &amp; OTHER HPs'!$I$91:$I$130,0)),0)</f>
        <v>0</v>
      </c>
      <c r="AO265" s="626">
        <f t="shared" si="309"/>
        <v>0</v>
      </c>
      <c r="AP265" s="626">
        <f t="shared" si="310"/>
        <v>0</v>
      </c>
      <c r="AQ265" s="626">
        <f t="shared" si="311"/>
        <v>0</v>
      </c>
      <c r="AR265" s="630"/>
      <c r="AS265" s="625">
        <f t="array" ref="AS265">IFERROR(INDEX('TB-EQUIPMENT &amp; OTHER HPs'!$AB$91:$AB$130,MATCH($E265&amp;$F265,'TB-EQUIPMENT &amp; OTHER HPs'!$E$91:$E$130&amp;'TB-EQUIPMENT &amp; OTHER HPs'!$I$91:$I$130,0)),0)</f>
        <v>0</v>
      </c>
      <c r="AT265" s="625">
        <f t="array" ref="AT265">IFERROR(INDEX('TB-EQUIPMENT &amp; OTHER HPs'!$AC$91:$AC$130,MATCH($E265&amp;$F265,'TB-EQUIPMENT &amp; OTHER HPs'!$E$91:$E$130&amp;'TB-EQUIPMENT &amp; OTHER HPs'!$I$91:$I$130,0)),0)</f>
        <v>0</v>
      </c>
      <c r="AU265" s="626">
        <f t="shared" si="312"/>
        <v>0</v>
      </c>
      <c r="AV265" s="626">
        <f t="shared" si="313"/>
        <v>0</v>
      </c>
      <c r="AW265" s="626">
        <f t="shared" si="314"/>
        <v>0</v>
      </c>
      <c r="AX265" s="625">
        <f t="array" ref="AX265">IFERROR(INDEX('TB-EQUIPMENT &amp; OTHER HPs'!$AD$91:$AD$130,MATCH($E265&amp;$F265,'TB-EQUIPMENT &amp; OTHER HPs'!$E$91:$E$130&amp;'TB-EQUIPMENT &amp; OTHER HPs'!$I$91:$I$130,0)),0)</f>
        <v>0</v>
      </c>
      <c r="AY265" s="626">
        <f t="shared" si="315"/>
        <v>0</v>
      </c>
      <c r="AZ265" s="626">
        <f t="shared" si="316"/>
        <v>0</v>
      </c>
      <c r="BA265" s="626">
        <f t="shared" si="317"/>
        <v>0</v>
      </c>
      <c r="BB265" s="625">
        <f t="array" ref="BB265">IFERROR(INDEX('TB-EQUIPMENT &amp; OTHER HPs'!$AE$91:$AE$130,MATCH($E265&amp;$F265,'TB-EQUIPMENT &amp; OTHER HPs'!$E$91:$E$130&amp;'TB-EQUIPMENT &amp; OTHER HPs'!$I$91:$I$130,0)),0)</f>
        <v>0</v>
      </c>
      <c r="BC265" s="626">
        <f t="shared" si="318"/>
        <v>0</v>
      </c>
      <c r="BD265" s="626">
        <f t="shared" si="319"/>
        <v>0</v>
      </c>
      <c r="BE265" s="626">
        <f t="shared" si="320"/>
        <v>0</v>
      </c>
      <c r="BF265" s="625">
        <f t="array" ref="BF265">IFERROR(INDEX('TB-EQUIPMENT &amp; OTHER HPs'!$AF$91:$AF$130,MATCH($E265&amp;$F265,'TB-EQUIPMENT &amp; OTHER HPs'!$E$91:$E$130&amp;'TB-EQUIPMENT &amp; OTHER HPs'!$I$91:$I$130,0)),0)</f>
        <v>0</v>
      </c>
      <c r="BG265" s="626">
        <f t="shared" si="321"/>
        <v>0</v>
      </c>
      <c r="BH265" s="626">
        <f t="shared" si="322"/>
        <v>0</v>
      </c>
      <c r="BI265" s="626">
        <f t="shared" si="323"/>
        <v>0</v>
      </c>
      <c r="BJ265" s="630"/>
      <c r="BK265" s="625"/>
      <c r="BL265" s="625"/>
      <c r="BM265" s="625"/>
      <c r="BN265" s="625"/>
      <c r="BO265" s="625"/>
      <c r="BP265" s="625"/>
      <c r="BQ265" s="625"/>
      <c r="BR265" s="625"/>
    </row>
    <row r="266" spans="1:70">
      <c r="A266" s="29" t="s">
        <v>1754</v>
      </c>
      <c r="B266" s="29" t="s">
        <v>1837</v>
      </c>
      <c r="C266" s="619">
        <f>SETUP!$F$43</f>
        <v>0</v>
      </c>
      <c r="D266" s="25">
        <v>6.6</v>
      </c>
      <c r="E266" s="26" t="s">
        <v>1467</v>
      </c>
      <c r="F266" s="26" t="s">
        <v>1140</v>
      </c>
      <c r="G266" s="625" t="str">
        <f t="array" ref="G266">IFERROR(INDEX('TB-EQUIPMENT &amp; OTHER HPs'!$L$91:$L$130,MATCH($E266&amp;$F266,'TB-EQUIPMENT &amp; OTHER HPs'!$E$91:$E$130&amp;'TB-EQUIPMENT &amp; OTHER HPs'!$I$91:$I$130,0)),"")</f>
        <v/>
      </c>
      <c r="H266" s="625" t="str">
        <f t="array" ref="H266">IFERROR(INDEX('TB-EQUIPMENT &amp; OTHER HPs'!$M$91:$M$130,MATCH($E266&amp;$F266,'TB-EQUIPMENT &amp; OTHER HPs'!$E$91:$E$130&amp;'TB-EQUIPMENT &amp; OTHER HPs'!$I$91:$I$130,0)),"")</f>
        <v/>
      </c>
      <c r="I266" s="625">
        <f t="array" ref="I266">IFERROR(INDEX('TB-EQUIPMENT &amp; OTHER HPs'!$N$91:$N$130,MATCH($E266&amp;$F266,'TB-EQUIPMENT &amp; OTHER HPs'!$E$91:$E$130&amp;'TB-EQUIPMENT &amp; OTHER HPs'!$I$91:$I$130,0)),0)</f>
        <v>0</v>
      </c>
      <c r="J266" s="625">
        <f t="array" ref="J266">IFERROR(INDEX('TB-EQUIPMENT &amp; OTHER HPs'!$O$91:$O$130,MATCH($E266&amp;$F266,'TB-EQUIPMENT &amp; OTHER HPs'!$E$91:$E$130&amp;'TB-EQUIPMENT &amp; OTHER HPs'!$I$91:$I$130,0)),0)</f>
        <v>0</v>
      </c>
      <c r="K266" s="626">
        <f t="shared" si="288"/>
        <v>0</v>
      </c>
      <c r="L266" s="626">
        <f t="shared" si="289"/>
        <v>0</v>
      </c>
      <c r="M266" s="626">
        <f t="shared" si="290"/>
        <v>0</v>
      </c>
      <c r="N266" s="625">
        <f t="array" ref="N266">IFERROR(INDEX('TB-EQUIPMENT &amp; OTHER HPs'!$P$91:$P$130,MATCH($E266&amp;$F266,'TB-EQUIPMENT &amp; OTHER HPs'!$E$91:$E$130&amp;'TB-EQUIPMENT &amp; OTHER HPs'!$I$91:$I$130,0)),0)</f>
        <v>0</v>
      </c>
      <c r="O266" s="626">
        <f t="shared" si="291"/>
        <v>0</v>
      </c>
      <c r="P266" s="626">
        <f t="shared" si="292"/>
        <v>0</v>
      </c>
      <c r="Q266" s="626">
        <f t="shared" si="293"/>
        <v>0</v>
      </c>
      <c r="R266" s="625">
        <f t="array" ref="R266">IFERROR(INDEX('TB-EQUIPMENT &amp; OTHER HPs'!$Q$91:$Q$130,MATCH($E266&amp;$F266,'TB-EQUIPMENT &amp; OTHER HPs'!$E$91:$E$130&amp;'TB-EQUIPMENT &amp; OTHER HPs'!$I$91:$I$130,0)),0)</f>
        <v>0</v>
      </c>
      <c r="S266" s="626">
        <f t="shared" si="294"/>
        <v>0</v>
      </c>
      <c r="T266" s="626">
        <f t="shared" si="295"/>
        <v>0</v>
      </c>
      <c r="U266" s="626">
        <f t="shared" si="296"/>
        <v>0</v>
      </c>
      <c r="V266" s="625">
        <f t="array" ref="V266">IFERROR(INDEX('TB-EQUIPMENT &amp; OTHER HPs'!$R$91:$R$130,MATCH($E266&amp;$F266,'TB-EQUIPMENT &amp; OTHER HPs'!$E$91:$E$130&amp;'TB-EQUIPMENT &amp; OTHER HPs'!$I$91:$I$130,0)),0)</f>
        <v>0</v>
      </c>
      <c r="W266" s="626">
        <f t="shared" si="297"/>
        <v>0</v>
      </c>
      <c r="X266" s="626">
        <f t="shared" si="298"/>
        <v>0</v>
      </c>
      <c r="Y266" s="626">
        <f t="shared" si="299"/>
        <v>0</v>
      </c>
      <c r="Z266" s="630"/>
      <c r="AA266" s="625">
        <f t="array" ref="AA266">IFERROR(INDEX('TB-EQUIPMENT &amp; OTHER HPs'!$U$91:$U$130,MATCH($E266&amp;$F266,'TB-EQUIPMENT &amp; OTHER HPs'!$E$91:$E$130&amp;'TB-EQUIPMENT &amp; OTHER HPs'!$I$91:$I$130,0)),0)</f>
        <v>0</v>
      </c>
      <c r="AB266" s="625">
        <f t="array" ref="AB266">IFERROR(INDEX('TB-EQUIPMENT &amp; OTHER HPs'!$V$91:$V$130,MATCH($E266&amp;$F266,'TB-EQUIPMENT &amp; OTHER HPs'!$E$91:$E$130&amp;'TB-EQUIPMENT &amp; OTHER HPs'!$I$91:$I$130,0)),0)</f>
        <v>0</v>
      </c>
      <c r="AC266" s="626">
        <f t="shared" si="300"/>
        <v>0</v>
      </c>
      <c r="AD266" s="626">
        <f t="shared" si="301"/>
        <v>0</v>
      </c>
      <c r="AE266" s="626">
        <f t="shared" si="302"/>
        <v>0</v>
      </c>
      <c r="AF266" s="625">
        <f t="array" ref="AF266">IFERROR(INDEX('TB-EQUIPMENT &amp; OTHER HPs'!$W$91:$W$130,MATCH($E266&amp;$F266,'TB-EQUIPMENT &amp; OTHER HPs'!$E$91:$E$130&amp;'TB-EQUIPMENT &amp; OTHER HPs'!$I$91:$I$130,0)),0)</f>
        <v>0</v>
      </c>
      <c r="AG266" s="626">
        <f t="shared" si="303"/>
        <v>0</v>
      </c>
      <c r="AH266" s="626">
        <f t="shared" si="304"/>
        <v>0</v>
      </c>
      <c r="AI266" s="626">
        <f t="shared" si="305"/>
        <v>0</v>
      </c>
      <c r="AJ266" s="625">
        <f t="array" ref="AJ266">IFERROR(INDEX('TB-EQUIPMENT &amp; OTHER HPs'!$X$91:$X$130,MATCH($E266&amp;$F266,'TB-EQUIPMENT &amp; OTHER HPs'!$E$91:$E$130&amp;'TB-EQUIPMENT &amp; OTHER HPs'!$I$91:$I$130,0)),0)</f>
        <v>0</v>
      </c>
      <c r="AK266" s="626">
        <f t="shared" si="306"/>
        <v>0</v>
      </c>
      <c r="AL266" s="626">
        <f t="shared" si="307"/>
        <v>0</v>
      </c>
      <c r="AM266" s="626">
        <f t="shared" si="308"/>
        <v>0</v>
      </c>
      <c r="AN266" s="625">
        <f t="array" ref="AN266">IFERROR(INDEX('TB-EQUIPMENT &amp; OTHER HPs'!$Y$91:$Y$130,MATCH($E266&amp;$F266,'TB-EQUIPMENT &amp; OTHER HPs'!$E$91:$E$130&amp;'TB-EQUIPMENT &amp; OTHER HPs'!$I$91:$I$130,0)),0)</f>
        <v>0</v>
      </c>
      <c r="AO266" s="626">
        <f t="shared" si="309"/>
        <v>0</v>
      </c>
      <c r="AP266" s="626">
        <f t="shared" si="310"/>
        <v>0</v>
      </c>
      <c r="AQ266" s="626">
        <f t="shared" si="311"/>
        <v>0</v>
      </c>
      <c r="AR266" s="630"/>
      <c r="AS266" s="625">
        <f t="array" ref="AS266">IFERROR(INDEX('TB-EQUIPMENT &amp; OTHER HPs'!$AB$91:$AB$130,MATCH($E266&amp;$F266,'TB-EQUIPMENT &amp; OTHER HPs'!$E$91:$E$130&amp;'TB-EQUIPMENT &amp; OTHER HPs'!$I$91:$I$130,0)),0)</f>
        <v>0</v>
      </c>
      <c r="AT266" s="625">
        <f t="array" ref="AT266">IFERROR(INDEX('TB-EQUIPMENT &amp; OTHER HPs'!$AC$91:$AC$130,MATCH($E266&amp;$F266,'TB-EQUIPMENT &amp; OTHER HPs'!$E$91:$E$130&amp;'TB-EQUIPMENT &amp; OTHER HPs'!$I$91:$I$130,0)),0)</f>
        <v>0</v>
      </c>
      <c r="AU266" s="626">
        <f t="shared" si="312"/>
        <v>0</v>
      </c>
      <c r="AV266" s="626">
        <f t="shared" si="313"/>
        <v>0</v>
      </c>
      <c r="AW266" s="626">
        <f t="shared" si="314"/>
        <v>0</v>
      </c>
      <c r="AX266" s="625">
        <f t="array" ref="AX266">IFERROR(INDEX('TB-EQUIPMENT &amp; OTHER HPs'!$AD$91:$AD$130,MATCH($E266&amp;$F266,'TB-EQUIPMENT &amp; OTHER HPs'!$E$91:$E$130&amp;'TB-EQUIPMENT &amp; OTHER HPs'!$I$91:$I$130,0)),0)</f>
        <v>0</v>
      </c>
      <c r="AY266" s="626">
        <f t="shared" si="315"/>
        <v>0</v>
      </c>
      <c r="AZ266" s="626">
        <f t="shared" si="316"/>
        <v>0</v>
      </c>
      <c r="BA266" s="626">
        <f t="shared" si="317"/>
        <v>0</v>
      </c>
      <c r="BB266" s="625">
        <f t="array" ref="BB266">IFERROR(INDEX('TB-EQUIPMENT &amp; OTHER HPs'!$AE$91:$AE$130,MATCH($E266&amp;$F266,'TB-EQUIPMENT &amp; OTHER HPs'!$E$91:$E$130&amp;'TB-EQUIPMENT &amp; OTHER HPs'!$I$91:$I$130,0)),0)</f>
        <v>0</v>
      </c>
      <c r="BC266" s="626">
        <f t="shared" si="318"/>
        <v>0</v>
      </c>
      <c r="BD266" s="626">
        <f t="shared" si="319"/>
        <v>0</v>
      </c>
      <c r="BE266" s="626">
        <f t="shared" si="320"/>
        <v>0</v>
      </c>
      <c r="BF266" s="625">
        <f t="array" ref="BF266">IFERROR(INDEX('TB-EQUIPMENT &amp; OTHER HPs'!$AF$91:$AF$130,MATCH($E266&amp;$F266,'TB-EQUIPMENT &amp; OTHER HPs'!$E$91:$E$130&amp;'TB-EQUIPMENT &amp; OTHER HPs'!$I$91:$I$130,0)),0)</f>
        <v>0</v>
      </c>
      <c r="BG266" s="626">
        <f t="shared" si="321"/>
        <v>0</v>
      </c>
      <c r="BH266" s="626">
        <f t="shared" si="322"/>
        <v>0</v>
      </c>
      <c r="BI266" s="626">
        <f t="shared" si="323"/>
        <v>0</v>
      </c>
      <c r="BJ266" s="630"/>
      <c r="BK266" s="625"/>
      <c r="BL266" s="625"/>
      <c r="BM266" s="625"/>
      <c r="BN266" s="625"/>
      <c r="BO266" s="625"/>
      <c r="BP266" s="625"/>
      <c r="BQ266" s="625"/>
      <c r="BR266" s="625"/>
    </row>
    <row r="267" spans="1:70">
      <c r="A267" s="29"/>
      <c r="B267" s="29"/>
      <c r="C267" s="619"/>
      <c r="D267" s="25"/>
      <c r="E267" s="26"/>
      <c r="F267" s="26"/>
      <c r="G267" s="625"/>
      <c r="H267" s="625"/>
      <c r="I267" s="625"/>
      <c r="J267" s="625"/>
      <c r="K267" s="626"/>
      <c r="L267" s="626"/>
      <c r="M267" s="626"/>
      <c r="N267" s="625"/>
      <c r="O267" s="626"/>
      <c r="P267" s="626"/>
      <c r="Q267" s="626"/>
      <c r="R267" s="625"/>
      <c r="S267" s="626"/>
      <c r="T267" s="626"/>
      <c r="U267" s="626"/>
      <c r="V267" s="625"/>
      <c r="W267" s="626"/>
      <c r="X267" s="626"/>
      <c r="Y267" s="626"/>
      <c r="Z267" s="630"/>
      <c r="AA267" s="625"/>
      <c r="AB267" s="625"/>
      <c r="AC267" s="625"/>
      <c r="AD267" s="626"/>
      <c r="AE267" s="626"/>
      <c r="AF267" s="625"/>
      <c r="AG267" s="625"/>
      <c r="AH267" s="626"/>
      <c r="AI267" s="626"/>
      <c r="AJ267" s="625"/>
      <c r="AK267" s="625"/>
      <c r="AL267" s="626"/>
      <c r="AM267" s="626"/>
      <c r="AN267" s="625"/>
      <c r="AO267" s="625"/>
      <c r="AP267" s="626"/>
      <c r="AQ267" s="626"/>
      <c r="AR267" s="630"/>
      <c r="AS267" s="625"/>
      <c r="AT267" s="625"/>
      <c r="AU267" s="625"/>
      <c r="AV267" s="626"/>
      <c r="AW267" s="626"/>
      <c r="AX267" s="625"/>
      <c r="AY267" s="625"/>
      <c r="AZ267" s="626"/>
      <c r="BA267" s="626"/>
      <c r="BB267" s="625"/>
      <c r="BC267" s="625"/>
      <c r="BD267" s="626"/>
      <c r="BE267" s="626"/>
      <c r="BF267" s="625"/>
      <c r="BG267" s="625"/>
      <c r="BH267" s="626"/>
      <c r="BI267" s="626"/>
      <c r="BJ267" s="630"/>
      <c r="BK267" s="625"/>
      <c r="BL267" s="625"/>
      <c r="BM267" s="625"/>
      <c r="BN267" s="625"/>
      <c r="BO267" s="625"/>
      <c r="BP267" s="625"/>
      <c r="BQ267" s="625"/>
      <c r="BR267" s="625"/>
    </row>
    <row r="268" spans="1:70">
      <c r="A268" s="2566" t="s">
        <v>1838</v>
      </c>
      <c r="B268" s="2566"/>
      <c r="C268" s="2566"/>
      <c r="D268" s="2566"/>
      <c r="E268" s="2566"/>
      <c r="F268" s="2566"/>
      <c r="G268" s="628"/>
      <c r="H268" s="628"/>
      <c r="I268" s="628"/>
      <c r="J268" s="628"/>
      <c r="K268" s="628"/>
      <c r="L268" s="628"/>
      <c r="M268" s="628"/>
      <c r="N268" s="628"/>
      <c r="O268" s="628"/>
      <c r="P268" s="628"/>
      <c r="Q268" s="628"/>
      <c r="R268" s="628"/>
      <c r="S268" s="628"/>
      <c r="T268" s="628"/>
      <c r="U268" s="628"/>
      <c r="V268" s="628"/>
      <c r="W268" s="628"/>
      <c r="X268" s="628"/>
      <c r="Y268" s="628"/>
      <c r="Z268" s="628"/>
      <c r="AA268" s="628"/>
      <c r="AB268" s="628"/>
      <c r="AC268" s="628"/>
      <c r="AD268" s="628"/>
      <c r="AE268" s="628"/>
      <c r="AF268" s="628"/>
      <c r="AG268" s="628"/>
      <c r="AH268" s="628"/>
      <c r="AI268" s="628"/>
      <c r="AJ268" s="628"/>
      <c r="AK268" s="628"/>
      <c r="AL268" s="628"/>
      <c r="AM268" s="628"/>
      <c r="AN268" s="628"/>
      <c r="AO268" s="628"/>
      <c r="AP268" s="628"/>
      <c r="AQ268" s="628"/>
      <c r="AR268" s="628"/>
      <c r="AS268" s="628"/>
      <c r="AT268" s="628"/>
      <c r="AU268" s="628"/>
      <c r="AV268" s="628"/>
      <c r="AW268" s="628"/>
      <c r="AX268" s="628"/>
      <c r="AY268" s="628"/>
      <c r="AZ268" s="628"/>
      <c r="BA268" s="628"/>
      <c r="BB268" s="628"/>
      <c r="BC268" s="628"/>
      <c r="BD268" s="628"/>
      <c r="BE268" s="628"/>
      <c r="BF268" s="628"/>
      <c r="BG268" s="628"/>
      <c r="BH268" s="628"/>
      <c r="BI268" s="628"/>
      <c r="BJ268" s="628"/>
      <c r="BK268" s="628"/>
      <c r="BL268" s="628"/>
      <c r="BM268" s="628"/>
      <c r="BN268" s="628"/>
      <c r="BO268" s="628"/>
      <c r="BP268" s="628"/>
      <c r="BQ268" s="628"/>
      <c r="BR268" s="628"/>
    </row>
    <row r="269" spans="1:70">
      <c r="A269" s="24" t="s">
        <v>1545</v>
      </c>
      <c r="B269" s="24" t="s">
        <v>203</v>
      </c>
      <c r="C269" s="722" t="s">
        <v>459</v>
      </c>
      <c r="D269" s="24" t="s">
        <v>460</v>
      </c>
      <c r="E269" s="24" t="s">
        <v>461</v>
      </c>
      <c r="F269" s="24" t="s">
        <v>214</v>
      </c>
      <c r="G269" s="672" t="s">
        <v>462</v>
      </c>
      <c r="H269" s="672" t="s">
        <v>49</v>
      </c>
      <c r="I269" s="672" t="s">
        <v>463</v>
      </c>
      <c r="J269" s="672" t="s">
        <v>464</v>
      </c>
      <c r="K269" s="672" t="s">
        <v>465</v>
      </c>
      <c r="L269" s="723" t="s">
        <v>466</v>
      </c>
      <c r="M269" s="723" t="s">
        <v>467</v>
      </c>
      <c r="N269" s="672" t="s">
        <v>468</v>
      </c>
      <c r="O269" s="672" t="s">
        <v>469</v>
      </c>
      <c r="P269" s="723" t="s">
        <v>470</v>
      </c>
      <c r="Q269" s="723" t="s">
        <v>471</v>
      </c>
      <c r="R269" s="672" t="s">
        <v>472</v>
      </c>
      <c r="S269" s="672" t="s">
        <v>473</v>
      </c>
      <c r="T269" s="723" t="s">
        <v>474</v>
      </c>
      <c r="U269" s="723" t="s">
        <v>475</v>
      </c>
      <c r="V269" s="672" t="s">
        <v>476</v>
      </c>
      <c r="W269" s="672" t="s">
        <v>477</v>
      </c>
      <c r="X269" s="723" t="s">
        <v>478</v>
      </c>
      <c r="Y269" s="723" t="s">
        <v>479</v>
      </c>
      <c r="Z269" s="632"/>
      <c r="AA269" s="672" t="s">
        <v>480</v>
      </c>
      <c r="AB269" s="672" t="s">
        <v>481</v>
      </c>
      <c r="AC269" s="672" t="s">
        <v>482</v>
      </c>
      <c r="AD269" s="723" t="s">
        <v>483</v>
      </c>
      <c r="AE269" s="723" t="s">
        <v>484</v>
      </c>
      <c r="AF269" s="672" t="s">
        <v>485</v>
      </c>
      <c r="AG269" s="672" t="s">
        <v>486</v>
      </c>
      <c r="AH269" s="723" t="s">
        <v>487</v>
      </c>
      <c r="AI269" s="723" t="s">
        <v>488</v>
      </c>
      <c r="AJ269" s="672" t="s">
        <v>489</v>
      </c>
      <c r="AK269" s="672" t="s">
        <v>490</v>
      </c>
      <c r="AL269" s="723" t="s">
        <v>491</v>
      </c>
      <c r="AM269" s="723" t="s">
        <v>492</v>
      </c>
      <c r="AN269" s="672" t="s">
        <v>493</v>
      </c>
      <c r="AO269" s="672" t="s">
        <v>494</v>
      </c>
      <c r="AP269" s="723" t="s">
        <v>495</v>
      </c>
      <c r="AQ269" s="723" t="s">
        <v>496</v>
      </c>
      <c r="AR269" s="632"/>
      <c r="AS269" s="672" t="s">
        <v>497</v>
      </c>
      <c r="AT269" s="672" t="s">
        <v>498</v>
      </c>
      <c r="AU269" s="672" t="s">
        <v>499</v>
      </c>
      <c r="AV269" s="723" t="s">
        <v>500</v>
      </c>
      <c r="AW269" s="723" t="s">
        <v>501</v>
      </c>
      <c r="AX269" s="672" t="s">
        <v>502</v>
      </c>
      <c r="AY269" s="672" t="s">
        <v>503</v>
      </c>
      <c r="AZ269" s="723" t="s">
        <v>504</v>
      </c>
      <c r="BA269" s="723" t="s">
        <v>505</v>
      </c>
      <c r="BB269" s="672" t="s">
        <v>506</v>
      </c>
      <c r="BC269" s="672" t="s">
        <v>507</v>
      </c>
      <c r="BD269" s="723" t="s">
        <v>508</v>
      </c>
      <c r="BE269" s="723" t="s">
        <v>509</v>
      </c>
      <c r="BF269" s="672" t="s">
        <v>510</v>
      </c>
      <c r="BG269" s="672" t="s">
        <v>511</v>
      </c>
      <c r="BH269" s="723" t="s">
        <v>512</v>
      </c>
      <c r="BI269" s="723" t="s">
        <v>513</v>
      </c>
      <c r="BJ269" s="632"/>
      <c r="BK269" s="723" t="s">
        <v>514</v>
      </c>
      <c r="BL269" s="723" t="s">
        <v>515</v>
      </c>
      <c r="BM269" s="723" t="s">
        <v>516</v>
      </c>
      <c r="BN269" s="723" t="s">
        <v>517</v>
      </c>
      <c r="BO269" s="723" t="s">
        <v>518</v>
      </c>
      <c r="BP269" s="723" t="s">
        <v>519</v>
      </c>
      <c r="BQ269" s="723" t="s">
        <v>520</v>
      </c>
      <c r="BR269" s="723" t="s">
        <v>521</v>
      </c>
    </row>
    <row r="270" spans="1:70">
      <c r="A270" s="29" t="s">
        <v>1756</v>
      </c>
      <c r="B270" s="29" t="s">
        <v>1838</v>
      </c>
      <c r="C270" s="619">
        <f>SETUP!$F$44</f>
        <v>0</v>
      </c>
      <c r="D270" s="25">
        <v>5.7</v>
      </c>
      <c r="E270" s="26" t="s">
        <v>944</v>
      </c>
      <c r="F270" s="26" t="s">
        <v>1140</v>
      </c>
      <c r="G270" s="625" t="str">
        <f t="array" ref="G270">IFERROR(INDEX('TB-EQUIPMENT &amp; OTHER HPs'!$L$138:$L$175,MATCH($E270&amp;$F270,'TB-EQUIPMENT &amp; OTHER HPs'!$E$138:$E$175&amp;'TB-EQUIPMENT &amp; OTHER HPs'!$I$138:$I$175,0)),"")</f>
        <v/>
      </c>
      <c r="H270" s="625" t="str">
        <f t="array" ref="H270">IFERROR(INDEX('TB-EQUIPMENT &amp; OTHER HPs'!$M$138:$M$175,MATCH($E270&amp;$F270,'TB-EQUIPMENT &amp; OTHER HPs'!$E$138:$E$175&amp;'TB-EQUIPMENT &amp; OTHER HPs'!$I$138:$I$175,0)),"")</f>
        <v/>
      </c>
      <c r="I270" s="625">
        <f t="array" ref="I270">IFERROR(INDEX('TB-EQUIPMENT &amp; OTHER HPs'!$N$138:$N$175,MATCH($E270&amp;$F270,'TB-EQUIPMENT &amp; OTHER HPs'!$E$138:$E$175&amp;'TB-EQUIPMENT &amp; OTHER HPs'!$I$138:$I$175,0)),0)</f>
        <v>0</v>
      </c>
      <c r="J270" s="625">
        <f t="array" ref="J270">IFERROR(INDEX('TB-EQUIPMENT &amp; OTHER HPs'!$O$138:$O$175,MATCH($E270&amp;$F270,'TB-EQUIPMENT &amp; OTHER HPs'!$E$138:$E$175&amp;'TB-EQUIPMENT &amp; OTHER HPs'!$I$138:$I$175,0)),0)</f>
        <v>0</v>
      </c>
      <c r="K270" s="626">
        <f>IF(ISERROR($I270*J270),0,$I270*J270)</f>
        <v>0</v>
      </c>
      <c r="L270" s="626">
        <f>IF(C270="Upfront",J270,0)</f>
        <v>0</v>
      </c>
      <c r="M270" s="626">
        <f>IF(C270="Upfront",K270,0)</f>
        <v>0</v>
      </c>
      <c r="N270" s="625">
        <f t="array" ref="N270">IFERROR(INDEX('TB-EQUIPMENT &amp; OTHER HPs'!$P$138:$P$175,MATCH($E270&amp;$F270,'TB-EQUIPMENT &amp; OTHER HPs'!$E$138:$E$175&amp;'TB-EQUIPMENT &amp; OTHER HPs'!$I$138:$I$175,0)),0)</f>
        <v>0</v>
      </c>
      <c r="O270" s="626">
        <f>IF(ISERROR($I270*N270),0,$I270*N270)</f>
        <v>0</v>
      </c>
      <c r="P270" s="626">
        <f>IF(C270="Upfront",N270,0)</f>
        <v>0</v>
      </c>
      <c r="Q270" s="626">
        <f>IF(C270="Upfront",O270,0)</f>
        <v>0</v>
      </c>
      <c r="R270" s="625">
        <f t="array" ref="R270">IFERROR(INDEX('TB-EQUIPMENT &amp; OTHER HPs'!$Q$138:$Q$175,MATCH($E270&amp;$F270,'TB-EQUIPMENT &amp; OTHER HPs'!$E$138:$E$175&amp;'TB-EQUIPMENT &amp; OTHER HPs'!$I$138:$I$175,0)),0)</f>
        <v>0</v>
      </c>
      <c r="S270" s="626">
        <f>IF(ISERROR($I270*R270),0,$I270*R270)</f>
        <v>0</v>
      </c>
      <c r="T270" s="626">
        <f>IF(C270="Upfront",R270,IF(C270="At delivery",J270,0))</f>
        <v>0</v>
      </c>
      <c r="U270" s="626">
        <f>IF(C270="Upfront",S270,IF(C270="At delivery",K270,0))</f>
        <v>0</v>
      </c>
      <c r="V270" s="625">
        <f t="array" ref="V270">IFERROR(INDEX('TB-EQUIPMENT &amp; OTHER HPs'!$R$138:$R$175,MATCH($E270&amp;$F270,'TB-EQUIPMENT &amp; OTHER HPs'!$E$138:$E$175&amp;'TB-EQUIPMENT &amp; OTHER HPs'!$I$138:$I$175,0)),0)</f>
        <v>0</v>
      </c>
      <c r="W270" s="626">
        <f>IF(ISERROR($I270*V270),0,$I270*V270)</f>
        <v>0</v>
      </c>
      <c r="X270" s="626">
        <f>IF(C270="Upfront",V270,IF(C270="At delivery",N270,0))</f>
        <v>0</v>
      </c>
      <c r="Y270" s="626">
        <f>IF(C270="Upfront",W270,IF(C270="At delivery",O270,0))</f>
        <v>0</v>
      </c>
      <c r="Z270" s="630"/>
      <c r="AA270" s="625">
        <f t="array" ref="AA270">IFERROR(INDEX('TB-EQUIPMENT &amp; OTHER HPs'!$U$138:$U$175,MATCH($E270&amp;$F270,'TB-EQUIPMENT &amp; OTHER HPs'!$E$138:$E$175&amp;'TB-EQUIPMENT &amp; OTHER HPs'!$I$138:$I$175,0)),0)</f>
        <v>0</v>
      </c>
      <c r="AB270" s="625">
        <f t="array" ref="AB270">IFERROR(INDEX('TB-EQUIPMENT &amp; OTHER HPs'!$V$138:$V$175,MATCH($E270&amp;$F270,'TB-EQUIPMENT &amp; OTHER HPs'!$E$138:$E$175&amp;'TB-EQUIPMENT &amp; OTHER HPs'!$I$138:$I$175,0)),0)</f>
        <v>0</v>
      </c>
      <c r="AC270" s="626">
        <f>IF(ISERROR($AA270*AB270),0,$AA270*AB270)</f>
        <v>0</v>
      </c>
      <c r="AD270" s="626">
        <f>IF(C270="Upfront",AB270,IF(C270="At delivery",R270,0))</f>
        <v>0</v>
      </c>
      <c r="AE270" s="626">
        <f>IF(C270="Upfront",AC270,IF(C270="At delivery",S270,0))</f>
        <v>0</v>
      </c>
      <c r="AF270" s="625">
        <f t="array" ref="AF270">IFERROR(INDEX('TB-EQUIPMENT &amp; OTHER HPs'!$W$138:$W$175,MATCH($E270&amp;$F270,'TB-EQUIPMENT &amp; OTHER HPs'!$E$138:$E$175&amp;'TB-EQUIPMENT &amp; OTHER HPs'!$I$138:$I$175,0)),0)</f>
        <v>0</v>
      </c>
      <c r="AG270" s="626">
        <f>IF(ISERROR($AA270*AF270),0,$AA270*AF270)</f>
        <v>0</v>
      </c>
      <c r="AH270" s="626">
        <f>IF(C270="Upfront",AF270,IF(C270="At delivery",V270,0))</f>
        <v>0</v>
      </c>
      <c r="AI270" s="626">
        <f>IF(C270="Upfront",AG270,IF(C270="At delivery",W270,0))</f>
        <v>0</v>
      </c>
      <c r="AJ270" s="625">
        <f t="array" ref="AJ270">IFERROR(INDEX('TB-EQUIPMENT &amp; OTHER HPs'!$X$138:$X$175,MATCH($E270&amp;$F270,'TB-EQUIPMENT &amp; OTHER HPs'!$E$138:$E$175&amp;'TB-EQUIPMENT &amp; OTHER HPs'!$I$138:$I$175,0)),0)</f>
        <v>0</v>
      </c>
      <c r="AK270" s="626">
        <f>IF(ISERROR($AA270*AJ270),0,$AA270*AJ270)</f>
        <v>0</v>
      </c>
      <c r="AL270" s="626">
        <f>IF(C270="Upfront",AJ270,IF(C270="At delivery",AB270,0))</f>
        <v>0</v>
      </c>
      <c r="AM270" s="626">
        <f>IF(C270="Upfront",AK270,IF(C270="At delivery",AC270,0))</f>
        <v>0</v>
      </c>
      <c r="AN270" s="625">
        <f t="array" ref="AN270">IFERROR(INDEX('TB-EQUIPMENT &amp; OTHER HPs'!$Y$138:$Y$175,MATCH($E270&amp;$F270,'TB-EQUIPMENT &amp; OTHER HPs'!$E$138:$E$175&amp;'TB-EQUIPMENT &amp; OTHER HPs'!$I$138:$I$175,0)),0)</f>
        <v>0</v>
      </c>
      <c r="AO270" s="626">
        <f>IF(ISERROR($AA270*AN270),0,$AA270*AN270)</f>
        <v>0</v>
      </c>
      <c r="AP270" s="626">
        <f>IF(C270="Upfront",AN270,IF(C270="At delivery",AF270,0))</f>
        <v>0</v>
      </c>
      <c r="AQ270" s="626">
        <f>IF(C270="Upfront",AO270,IF(C270="At delivery",AG270,0))</f>
        <v>0</v>
      </c>
      <c r="AR270" s="630"/>
      <c r="AS270" s="625">
        <f t="array" ref="AS270">IFERROR(INDEX('TB-EQUIPMENT &amp; OTHER HPs'!$AB$138:$AB$175,MATCH($E270&amp;$F270,'TB-EQUIPMENT &amp; OTHER HPs'!$E$138:$E$175&amp;'TB-EQUIPMENT &amp; OTHER HPs'!$I$138:$I$175,0)),0)</f>
        <v>0</v>
      </c>
      <c r="AT270" s="625">
        <f t="array" ref="AT270">IFERROR(INDEX('TB-EQUIPMENT &amp; OTHER HPs'!$AC$138:$AC$175,MATCH($E270&amp;$F270,'TB-EQUIPMENT &amp; OTHER HPs'!$E$138:$E$175&amp;'TB-EQUIPMENT &amp; OTHER HPs'!$I$138:$I$175,0)),0)</f>
        <v>0</v>
      </c>
      <c r="AU270" s="626">
        <f>IF(ISERROR($AS270*AT270),0,$AS270*AT270)</f>
        <v>0</v>
      </c>
      <c r="AV270" s="626">
        <f>IF(C270="Upfront",AT270,IF(C270="At delivery",AJ270,0))</f>
        <v>0</v>
      </c>
      <c r="AW270" s="626">
        <f>IF(C270="Upfront",AU270,IF(C270="At delivery",AK270,0))</f>
        <v>0</v>
      </c>
      <c r="AX270" s="625">
        <f t="array" ref="AX270">IFERROR(INDEX('TB-EQUIPMENT &amp; OTHER HPs'!$AD$138:$AD$175,MATCH($E270&amp;$F270,'TB-EQUIPMENT &amp; OTHER HPs'!$E$138:$E$175&amp;'TB-EQUIPMENT &amp; OTHER HPs'!$I$138:$I$175,0)),0)</f>
        <v>0</v>
      </c>
      <c r="AY270" s="626">
        <f>IF(ISERROR($AS270*AX270),0,$AS270*AX270)</f>
        <v>0</v>
      </c>
      <c r="AZ270" s="626">
        <f>IF(C270="Upfront",AX270,IF(C270="At delivery",AN270,0))</f>
        <v>0</v>
      </c>
      <c r="BA270" s="626">
        <f>IF(C270="Upfront",AY270,IF(C270="At delivery",AO270,0))</f>
        <v>0</v>
      </c>
      <c r="BB270" s="625">
        <f t="array" ref="BB270">IFERROR(INDEX('TB-EQUIPMENT &amp; OTHER HPs'!$AE$138:$AE$175,MATCH($E270&amp;$F270,'TB-EQUIPMENT &amp; OTHER HPs'!$E$138:$E$175&amp;'TB-EQUIPMENT &amp; OTHER HPs'!$I$138:$I$175,0)),0)</f>
        <v>0</v>
      </c>
      <c r="BC270" s="626">
        <f>IF(ISERROR($AS270*BB270),0,$AS270*BB270)</f>
        <v>0</v>
      </c>
      <c r="BD270" s="626">
        <f>IF(C270="Upfront",BB270,IF(C270="At delivery",AT270,0))</f>
        <v>0</v>
      </c>
      <c r="BE270" s="626">
        <f>IF(C270="Upfront",BC270,IF(C270="At delivery",AU270,0))</f>
        <v>0</v>
      </c>
      <c r="BF270" s="625">
        <f t="array" ref="BF270">IFERROR(INDEX('TB-EQUIPMENT &amp; OTHER HPs'!$AF$138:$AF$175,MATCH($E270&amp;$F270,'TB-EQUIPMENT &amp; OTHER HPs'!$E$138:$E$175&amp;'TB-EQUIPMENT &amp; OTHER HPs'!$I$138:$I$175,0)),0)</f>
        <v>0</v>
      </c>
      <c r="BG270" s="626">
        <f>IF(ISERROR($AS270*BF270),0,$AS270*BF270)</f>
        <v>0</v>
      </c>
      <c r="BH270" s="626">
        <f>IF(C270="Upfront",BF270,IF(C270="At delivery",AX270,0))</f>
        <v>0</v>
      </c>
      <c r="BI270" s="626">
        <f>IF(C270="Upfront",BG270,IF(C270="At delivery",AY270,0))</f>
        <v>0</v>
      </c>
      <c r="BJ270" s="630"/>
      <c r="BK270" s="625"/>
      <c r="BL270" s="625"/>
      <c r="BM270" s="625"/>
      <c r="BN270" s="625"/>
      <c r="BO270" s="625"/>
      <c r="BP270" s="625"/>
      <c r="BQ270" s="625"/>
      <c r="BR270" s="625"/>
    </row>
    <row r="271" spans="1:70">
      <c r="A271" s="29" t="s">
        <v>1756</v>
      </c>
      <c r="B271" s="29" t="s">
        <v>1838</v>
      </c>
      <c r="C271" s="619">
        <f>SETUP!$F$44</f>
        <v>0</v>
      </c>
      <c r="D271" s="25">
        <v>5.8</v>
      </c>
      <c r="E271" s="26" t="s">
        <v>1220</v>
      </c>
      <c r="F271" s="26" t="s">
        <v>1140</v>
      </c>
      <c r="G271" s="625" t="str">
        <f t="array" ref="G271">IFERROR(INDEX('TB-EQUIPMENT &amp; OTHER HPs'!$L$138:$L$175,MATCH($E271&amp;$F271,'TB-EQUIPMENT &amp; OTHER HPs'!$E$138:$E$175&amp;'TB-EQUIPMENT &amp; OTHER HPs'!$I$138:$I$175,0)),"")</f>
        <v/>
      </c>
      <c r="H271" s="625" t="str">
        <f t="array" ref="H271">IFERROR(INDEX('TB-EQUIPMENT &amp; OTHER HPs'!$M$138:$M$175,MATCH($E271&amp;$F271,'TB-EQUIPMENT &amp; OTHER HPs'!$E$138:$E$175&amp;'TB-EQUIPMENT &amp; OTHER HPs'!$I$138:$I$175,0)),"")</f>
        <v/>
      </c>
      <c r="I271" s="625">
        <f t="array" ref="I271">IFERROR(INDEX('TB-EQUIPMENT &amp; OTHER HPs'!$N$138:$N$175,MATCH($E271&amp;$F271,'TB-EQUIPMENT &amp; OTHER HPs'!$E$138:$E$175&amp;'TB-EQUIPMENT &amp; OTHER HPs'!$I$138:$I$175,0)),0)</f>
        <v>0</v>
      </c>
      <c r="J271" s="625">
        <f t="array" ref="J271">IFERROR(INDEX('TB-EQUIPMENT &amp; OTHER HPs'!$O$138:$O$175,MATCH($E271&amp;$F271,'TB-EQUIPMENT &amp; OTHER HPs'!$E$138:$E$175&amp;'TB-EQUIPMENT &amp; OTHER HPs'!$I$138:$I$175,0)),0)</f>
        <v>0</v>
      </c>
      <c r="K271" s="626">
        <f t="shared" ref="K271:K338" si="360">IF(ISERROR($I271*J271),0,$I271*J271)</f>
        <v>0</v>
      </c>
      <c r="L271" s="626">
        <f t="shared" ref="L271:L338" si="361">IF(C271="Upfront",J271,0)</f>
        <v>0</v>
      </c>
      <c r="M271" s="626">
        <f t="shared" ref="M271:M338" si="362">IF(C271="Upfront",K271,0)</f>
        <v>0</v>
      </c>
      <c r="N271" s="625">
        <f t="array" ref="N271">IFERROR(INDEX('TB-EQUIPMENT &amp; OTHER HPs'!$P$138:$P$175,MATCH($E271&amp;$F271,'TB-EQUIPMENT &amp; OTHER HPs'!$E$138:$E$175&amp;'TB-EQUIPMENT &amp; OTHER HPs'!$I$138:$I$175,0)),0)</f>
        <v>0</v>
      </c>
      <c r="O271" s="626">
        <f t="shared" ref="O271:O338" si="363">IF(ISERROR($I271*N271),0,$I271*N271)</f>
        <v>0</v>
      </c>
      <c r="P271" s="626">
        <f t="shared" ref="P271:P338" si="364">IF(C271="Upfront",N271,0)</f>
        <v>0</v>
      </c>
      <c r="Q271" s="626">
        <f t="shared" ref="Q271:Q338" si="365">IF(C271="Upfront",O271,0)</f>
        <v>0</v>
      </c>
      <c r="R271" s="625">
        <f t="array" ref="R271">IFERROR(INDEX('TB-EQUIPMENT &amp; OTHER HPs'!$Q$138:$Q$175,MATCH($E271&amp;$F271,'TB-EQUIPMENT &amp; OTHER HPs'!$E$138:$E$175&amp;'TB-EQUIPMENT &amp; OTHER HPs'!$I$138:$I$175,0)),0)</f>
        <v>0</v>
      </c>
      <c r="S271" s="626">
        <f t="shared" ref="S271:S338" si="366">IF(ISERROR($I271*R271),0,$I271*R271)</f>
        <v>0</v>
      </c>
      <c r="T271" s="626">
        <f t="shared" ref="T271:T338" si="367">IF(C271="Upfront",R271,IF(C271="At delivery",J271,0))</f>
        <v>0</v>
      </c>
      <c r="U271" s="626">
        <f t="shared" ref="U271:U338" si="368">IF(C271="Upfront",S271,IF(C271="At delivery",K271,0))</f>
        <v>0</v>
      </c>
      <c r="V271" s="625">
        <f t="array" ref="V271">IFERROR(INDEX('TB-EQUIPMENT &amp; OTHER HPs'!$R$138:$R$175,MATCH($E271&amp;$F271,'TB-EQUIPMENT &amp; OTHER HPs'!$E$138:$E$175&amp;'TB-EQUIPMENT &amp; OTHER HPs'!$I$138:$I$175,0)),0)</f>
        <v>0</v>
      </c>
      <c r="W271" s="626">
        <f t="shared" ref="W271:W338" si="369">IF(ISERROR($I271*V271),0,$I271*V271)</f>
        <v>0</v>
      </c>
      <c r="X271" s="626">
        <f t="shared" ref="X271:X338" si="370">IF(C271="Upfront",V271,IF(C271="At delivery",N271,0))</f>
        <v>0</v>
      </c>
      <c r="Y271" s="626">
        <f t="shared" ref="Y271:Y338" si="371">IF(C271="Upfront",W271,IF(C271="At delivery",O271,0))</f>
        <v>0</v>
      </c>
      <c r="Z271" s="630"/>
      <c r="AA271" s="625">
        <f t="array" ref="AA271">IFERROR(INDEX('TB-EQUIPMENT &amp; OTHER HPs'!$U$138:$U$175,MATCH($E271&amp;$F271,'TB-EQUIPMENT &amp; OTHER HPs'!$E$138:$E$175&amp;'TB-EQUIPMENT &amp; OTHER HPs'!$I$138:$I$175,0)),0)</f>
        <v>0</v>
      </c>
      <c r="AB271" s="625">
        <f t="array" ref="AB271">IFERROR(INDEX('TB-EQUIPMENT &amp; OTHER HPs'!$V$138:$V$175,MATCH($E271&amp;$F271,'TB-EQUIPMENT &amp; OTHER HPs'!$E$138:$E$175&amp;'TB-EQUIPMENT &amp; OTHER HPs'!$I$138:$I$175,0)),0)</f>
        <v>0</v>
      </c>
      <c r="AC271" s="626">
        <f t="shared" ref="AC271:AC338" si="372">IF(ISERROR($AA271*AB271),0,$AA271*AB271)</f>
        <v>0</v>
      </c>
      <c r="AD271" s="626">
        <f t="shared" ref="AD271:AD338" si="373">IF(C271="Upfront",AB271,IF(C271="At delivery",R271,0))</f>
        <v>0</v>
      </c>
      <c r="AE271" s="626">
        <f t="shared" ref="AE271:AE338" si="374">IF(C271="Upfront",AC271,IF(C271="At delivery",S271,0))</f>
        <v>0</v>
      </c>
      <c r="AF271" s="625">
        <f t="array" ref="AF271">IFERROR(INDEX('TB-EQUIPMENT &amp; OTHER HPs'!$W$138:$W$175,MATCH($E271&amp;$F271,'TB-EQUIPMENT &amp; OTHER HPs'!$E$138:$E$175&amp;'TB-EQUIPMENT &amp; OTHER HPs'!$I$138:$I$175,0)),0)</f>
        <v>0</v>
      </c>
      <c r="AG271" s="626">
        <f t="shared" ref="AG271:AG338" si="375">IF(ISERROR($AA271*AF271),0,$AA271*AF271)</f>
        <v>0</v>
      </c>
      <c r="AH271" s="626">
        <f t="shared" ref="AH271:AH338" si="376">IF(C271="Upfront",AF271,IF(C271="At delivery",V271,0))</f>
        <v>0</v>
      </c>
      <c r="AI271" s="626">
        <f t="shared" ref="AI271:AI338" si="377">IF(C271="Upfront",AG271,IF(C271="At delivery",W271,0))</f>
        <v>0</v>
      </c>
      <c r="AJ271" s="625">
        <f t="array" ref="AJ271">IFERROR(INDEX('TB-EQUIPMENT &amp; OTHER HPs'!$X$138:$X$175,MATCH($E271&amp;$F271,'TB-EQUIPMENT &amp; OTHER HPs'!$E$138:$E$175&amp;'TB-EQUIPMENT &amp; OTHER HPs'!$I$138:$I$175,0)),0)</f>
        <v>0</v>
      </c>
      <c r="AK271" s="626">
        <f t="shared" ref="AK271:AK338" si="378">IF(ISERROR($AA271*AJ271),0,$AA271*AJ271)</f>
        <v>0</v>
      </c>
      <c r="AL271" s="626">
        <f t="shared" ref="AL271:AL338" si="379">IF(C271="Upfront",AJ271,IF(C271="At delivery",AB271,0))</f>
        <v>0</v>
      </c>
      <c r="AM271" s="626">
        <f t="shared" ref="AM271:AM338" si="380">IF(C271="Upfront",AK271,IF(C271="At delivery",AC271,0))</f>
        <v>0</v>
      </c>
      <c r="AN271" s="625">
        <f t="array" ref="AN271">IFERROR(INDEX('TB-EQUIPMENT &amp; OTHER HPs'!$Y$138:$Y$175,MATCH($E271&amp;$F271,'TB-EQUIPMENT &amp; OTHER HPs'!$E$138:$E$175&amp;'TB-EQUIPMENT &amp; OTHER HPs'!$I$138:$I$175,0)),0)</f>
        <v>0</v>
      </c>
      <c r="AO271" s="626">
        <f t="shared" ref="AO271:AO338" si="381">IF(ISERROR($AA271*AN271),0,$AA271*AN271)</f>
        <v>0</v>
      </c>
      <c r="AP271" s="626">
        <f t="shared" ref="AP271:AP338" si="382">IF(C271="Upfront",AN271,IF(C271="At delivery",AF271,0))</f>
        <v>0</v>
      </c>
      <c r="AQ271" s="626">
        <f t="shared" ref="AQ271:AQ338" si="383">IF(C271="Upfront",AO271,IF(C271="At delivery",AG271,0))</f>
        <v>0</v>
      </c>
      <c r="AR271" s="630"/>
      <c r="AS271" s="625">
        <f t="array" ref="AS271">IFERROR(INDEX('TB-EQUIPMENT &amp; OTHER HPs'!$AB$138:$AB$175,MATCH($E271&amp;$F271,'TB-EQUIPMENT &amp; OTHER HPs'!$E$138:$E$175&amp;'TB-EQUIPMENT &amp; OTHER HPs'!$I$138:$I$175,0)),0)</f>
        <v>0</v>
      </c>
      <c r="AT271" s="625">
        <f t="array" ref="AT271">IFERROR(INDEX('TB-EQUIPMENT &amp; OTHER HPs'!$AC$138:$AC$175,MATCH($E271&amp;$F271,'TB-EQUIPMENT &amp; OTHER HPs'!$E$138:$E$175&amp;'TB-EQUIPMENT &amp; OTHER HPs'!$I$138:$I$175,0)),0)</f>
        <v>0</v>
      </c>
      <c r="AU271" s="626">
        <f t="shared" ref="AU271:AU338" si="384">IF(ISERROR($AS271*AT271),0,$AS271*AT271)</f>
        <v>0</v>
      </c>
      <c r="AV271" s="626">
        <f t="shared" ref="AV271:AV338" si="385">IF(C271="Upfront",AT271,IF(C271="At delivery",AJ271,0))</f>
        <v>0</v>
      </c>
      <c r="AW271" s="626">
        <f t="shared" ref="AW271:AW338" si="386">IF(C271="Upfront",AU271,IF(C271="At delivery",AK271,0))</f>
        <v>0</v>
      </c>
      <c r="AX271" s="625">
        <f t="array" ref="AX271">IFERROR(INDEX('TB-EQUIPMENT &amp; OTHER HPs'!$AD$138:$AD$175,MATCH($E271&amp;$F271,'TB-EQUIPMENT &amp; OTHER HPs'!$E$138:$E$175&amp;'TB-EQUIPMENT &amp; OTHER HPs'!$I$138:$I$175,0)),0)</f>
        <v>0</v>
      </c>
      <c r="AY271" s="626">
        <f t="shared" ref="AY271:AY338" si="387">IF(ISERROR($AS271*AX271),0,$AS271*AX271)</f>
        <v>0</v>
      </c>
      <c r="AZ271" s="626">
        <f t="shared" ref="AZ271:AZ338" si="388">IF(C271="Upfront",AX271,IF(C271="At delivery",AN271,0))</f>
        <v>0</v>
      </c>
      <c r="BA271" s="626">
        <f t="shared" ref="BA271:BA338" si="389">IF(C271="Upfront",AY271,IF(C271="At delivery",AO271,0))</f>
        <v>0</v>
      </c>
      <c r="BB271" s="625">
        <f t="array" ref="BB271">IFERROR(INDEX('TB-EQUIPMENT &amp; OTHER HPs'!$AE$138:$AE$175,MATCH($E271&amp;$F271,'TB-EQUIPMENT &amp; OTHER HPs'!$E$138:$E$175&amp;'TB-EQUIPMENT &amp; OTHER HPs'!$I$138:$I$175,0)),0)</f>
        <v>0</v>
      </c>
      <c r="BC271" s="626">
        <f t="shared" ref="BC271:BC338" si="390">IF(ISERROR($AS271*BB271),0,$AS271*BB271)</f>
        <v>0</v>
      </c>
      <c r="BD271" s="626">
        <f t="shared" ref="BD271:BD338" si="391">IF(C271="Upfront",BB271,IF(C271="At delivery",AT271,0))</f>
        <v>0</v>
      </c>
      <c r="BE271" s="626">
        <f t="shared" ref="BE271:BE338" si="392">IF(C271="Upfront",BC271,IF(C271="At delivery",AU271,0))</f>
        <v>0</v>
      </c>
      <c r="BF271" s="625">
        <f t="array" ref="BF271">IFERROR(INDEX('TB-EQUIPMENT &amp; OTHER HPs'!$AF$138:$AF$175,MATCH($E271&amp;$F271,'TB-EQUIPMENT &amp; OTHER HPs'!$E$138:$E$175&amp;'TB-EQUIPMENT &amp; OTHER HPs'!$I$138:$I$175,0)),0)</f>
        <v>0</v>
      </c>
      <c r="BG271" s="626">
        <f t="shared" ref="BG271:BG338" si="393">IF(ISERROR($AS271*BF271),0,$AS271*BF271)</f>
        <v>0</v>
      </c>
      <c r="BH271" s="626">
        <f t="shared" ref="BH271:BH338" si="394">IF(C271="Upfront",BF271,IF(C271="At delivery",AX271,0))</f>
        <v>0</v>
      </c>
      <c r="BI271" s="626">
        <f t="shared" ref="BI271:BI338" si="395">IF(C271="Upfront",BG271,IF(C271="At delivery",AY271,0))</f>
        <v>0</v>
      </c>
      <c r="BJ271" s="630"/>
      <c r="BK271" s="625"/>
      <c r="BL271" s="625"/>
      <c r="BM271" s="625"/>
      <c r="BN271" s="625"/>
      <c r="BO271" s="625"/>
      <c r="BP271" s="625"/>
      <c r="BQ271" s="625"/>
      <c r="BR271" s="625"/>
    </row>
    <row r="272" spans="1:70">
      <c r="A272" s="29" t="s">
        <v>1756</v>
      </c>
      <c r="B272" s="29" t="s">
        <v>1838</v>
      </c>
      <c r="C272" s="619">
        <f>SETUP!$F$44</f>
        <v>0</v>
      </c>
      <c r="D272" s="25">
        <v>5.8</v>
      </c>
      <c r="E272" s="26" t="s">
        <v>1488</v>
      </c>
      <c r="F272" s="26" t="s">
        <v>1140</v>
      </c>
      <c r="G272" s="625" t="str">
        <f t="array" ref="G272">IFERROR(INDEX('TB-EQUIPMENT &amp; OTHER HPs'!$L$138:$L$175,MATCH($E272&amp;$F272,'TB-EQUIPMENT &amp; OTHER HPs'!$E$138:$E$175&amp;'TB-EQUIPMENT &amp; OTHER HPs'!$I$138:$I$175,0)),"")</f>
        <v/>
      </c>
      <c r="H272" s="625" t="str">
        <f t="array" ref="H272">IFERROR(INDEX('TB-EQUIPMENT &amp; OTHER HPs'!$M$138:$M$175,MATCH($E272&amp;$F272,'TB-EQUIPMENT &amp; OTHER HPs'!$E$138:$E$175&amp;'TB-EQUIPMENT &amp; OTHER HPs'!$I$138:$I$175,0)),"")</f>
        <v/>
      </c>
      <c r="I272" s="625">
        <f t="array" ref="I272">IFERROR(INDEX('TB-EQUIPMENT &amp; OTHER HPs'!$N$138:$N$175,MATCH($E272&amp;$F272,'TB-EQUIPMENT &amp; OTHER HPs'!$E$138:$E$175&amp;'TB-EQUIPMENT &amp; OTHER HPs'!$I$138:$I$175,0)),0)</f>
        <v>0</v>
      </c>
      <c r="J272" s="625">
        <f t="array" ref="J272">IFERROR(INDEX('TB-EQUIPMENT &amp; OTHER HPs'!$O$138:$O$175,MATCH($E272&amp;$F272,'TB-EQUIPMENT &amp; OTHER HPs'!$E$138:$E$175&amp;'TB-EQUIPMENT &amp; OTHER HPs'!$I$138:$I$175,0)),0)</f>
        <v>0</v>
      </c>
      <c r="K272" s="626">
        <f t="shared" si="360"/>
        <v>0</v>
      </c>
      <c r="L272" s="626">
        <f t="shared" si="361"/>
        <v>0</v>
      </c>
      <c r="M272" s="626">
        <f t="shared" si="362"/>
        <v>0</v>
      </c>
      <c r="N272" s="625">
        <f t="array" ref="N272">IFERROR(INDEX('TB-EQUIPMENT &amp; OTHER HPs'!$P$138:$P$175,MATCH($E272&amp;$F272,'TB-EQUIPMENT &amp; OTHER HPs'!$E$138:$E$175&amp;'TB-EQUIPMENT &amp; OTHER HPs'!$I$138:$I$175,0)),0)</f>
        <v>0</v>
      </c>
      <c r="O272" s="626">
        <f t="shared" si="363"/>
        <v>0</v>
      </c>
      <c r="P272" s="626">
        <f t="shared" si="364"/>
        <v>0</v>
      </c>
      <c r="Q272" s="626">
        <f t="shared" si="365"/>
        <v>0</v>
      </c>
      <c r="R272" s="625">
        <f t="array" ref="R272">IFERROR(INDEX('TB-EQUIPMENT &amp; OTHER HPs'!$Q$138:$Q$175,MATCH($E272&amp;$F272,'TB-EQUIPMENT &amp; OTHER HPs'!$E$138:$E$175&amp;'TB-EQUIPMENT &amp; OTHER HPs'!$I$138:$I$175,0)),0)</f>
        <v>0</v>
      </c>
      <c r="S272" s="626">
        <f t="shared" si="366"/>
        <v>0</v>
      </c>
      <c r="T272" s="626">
        <f t="shared" si="367"/>
        <v>0</v>
      </c>
      <c r="U272" s="626">
        <f t="shared" si="368"/>
        <v>0</v>
      </c>
      <c r="V272" s="625">
        <f t="array" ref="V272">IFERROR(INDEX('TB-EQUIPMENT &amp; OTHER HPs'!$R$138:$R$175,MATCH($E272&amp;$F272,'TB-EQUIPMENT &amp; OTHER HPs'!$E$138:$E$175&amp;'TB-EQUIPMENT &amp; OTHER HPs'!$I$138:$I$175,0)),0)</f>
        <v>0</v>
      </c>
      <c r="W272" s="626">
        <f t="shared" si="369"/>
        <v>0</v>
      </c>
      <c r="X272" s="626">
        <f t="shared" si="370"/>
        <v>0</v>
      </c>
      <c r="Y272" s="626">
        <f t="shared" si="371"/>
        <v>0</v>
      </c>
      <c r="Z272" s="630"/>
      <c r="AA272" s="625">
        <f t="array" ref="AA272">IFERROR(INDEX('TB-EQUIPMENT &amp; OTHER HPs'!$U$138:$U$175,MATCH($E272&amp;$F272,'TB-EQUIPMENT &amp; OTHER HPs'!$E$138:$E$175&amp;'TB-EQUIPMENT &amp; OTHER HPs'!$I$138:$I$175,0)),0)</f>
        <v>0</v>
      </c>
      <c r="AB272" s="625">
        <f t="array" ref="AB272">IFERROR(INDEX('TB-EQUIPMENT &amp; OTHER HPs'!$V$138:$V$175,MATCH($E272&amp;$F272,'TB-EQUIPMENT &amp; OTHER HPs'!$E$138:$E$175&amp;'TB-EQUIPMENT &amp; OTHER HPs'!$I$138:$I$175,0)),0)</f>
        <v>0</v>
      </c>
      <c r="AC272" s="626">
        <f t="shared" si="372"/>
        <v>0</v>
      </c>
      <c r="AD272" s="626">
        <f t="shared" si="373"/>
        <v>0</v>
      </c>
      <c r="AE272" s="626">
        <f t="shared" si="374"/>
        <v>0</v>
      </c>
      <c r="AF272" s="625">
        <f t="array" ref="AF272">IFERROR(INDEX('TB-EQUIPMENT &amp; OTHER HPs'!$W$138:$W$175,MATCH($E272&amp;$F272,'TB-EQUIPMENT &amp; OTHER HPs'!$E$138:$E$175&amp;'TB-EQUIPMENT &amp; OTHER HPs'!$I$138:$I$175,0)),0)</f>
        <v>0</v>
      </c>
      <c r="AG272" s="626">
        <f t="shared" si="375"/>
        <v>0</v>
      </c>
      <c r="AH272" s="626">
        <f t="shared" si="376"/>
        <v>0</v>
      </c>
      <c r="AI272" s="626">
        <f t="shared" si="377"/>
        <v>0</v>
      </c>
      <c r="AJ272" s="625">
        <f t="array" ref="AJ272">IFERROR(INDEX('TB-EQUIPMENT &amp; OTHER HPs'!$X$138:$X$175,MATCH($E272&amp;$F272,'TB-EQUIPMENT &amp; OTHER HPs'!$E$138:$E$175&amp;'TB-EQUIPMENT &amp; OTHER HPs'!$I$138:$I$175,0)),0)</f>
        <v>0</v>
      </c>
      <c r="AK272" s="626">
        <f t="shared" si="378"/>
        <v>0</v>
      </c>
      <c r="AL272" s="626">
        <f t="shared" si="379"/>
        <v>0</v>
      </c>
      <c r="AM272" s="626">
        <f t="shared" si="380"/>
        <v>0</v>
      </c>
      <c r="AN272" s="625">
        <f t="array" ref="AN272">IFERROR(INDEX('TB-EQUIPMENT &amp; OTHER HPs'!$Y$138:$Y$175,MATCH($E272&amp;$F272,'TB-EQUIPMENT &amp; OTHER HPs'!$E$138:$E$175&amp;'TB-EQUIPMENT &amp; OTHER HPs'!$I$138:$I$175,0)),0)</f>
        <v>0</v>
      </c>
      <c r="AO272" s="626">
        <f t="shared" si="381"/>
        <v>0</v>
      </c>
      <c r="AP272" s="626">
        <f t="shared" si="382"/>
        <v>0</v>
      </c>
      <c r="AQ272" s="626">
        <f t="shared" si="383"/>
        <v>0</v>
      </c>
      <c r="AR272" s="630"/>
      <c r="AS272" s="625">
        <f t="array" ref="AS272">IFERROR(INDEX('TB-EQUIPMENT &amp; OTHER HPs'!$AB$138:$AB$175,MATCH($E272&amp;$F272,'TB-EQUIPMENT &amp; OTHER HPs'!$E$138:$E$175&amp;'TB-EQUIPMENT &amp; OTHER HPs'!$I$138:$I$175,0)),0)</f>
        <v>0</v>
      </c>
      <c r="AT272" s="625">
        <f t="array" ref="AT272">IFERROR(INDEX('TB-EQUIPMENT &amp; OTHER HPs'!$AC$138:$AC$175,MATCH($E272&amp;$F272,'TB-EQUIPMENT &amp; OTHER HPs'!$E$138:$E$175&amp;'TB-EQUIPMENT &amp; OTHER HPs'!$I$138:$I$175,0)),0)</f>
        <v>0</v>
      </c>
      <c r="AU272" s="626">
        <f t="shared" si="384"/>
        <v>0</v>
      </c>
      <c r="AV272" s="626">
        <f t="shared" si="385"/>
        <v>0</v>
      </c>
      <c r="AW272" s="626">
        <f t="shared" si="386"/>
        <v>0</v>
      </c>
      <c r="AX272" s="625">
        <f t="array" ref="AX272">IFERROR(INDEX('TB-EQUIPMENT &amp; OTHER HPs'!$AD$138:$AD$175,MATCH($E272&amp;$F272,'TB-EQUIPMENT &amp; OTHER HPs'!$E$138:$E$175&amp;'TB-EQUIPMENT &amp; OTHER HPs'!$I$138:$I$175,0)),0)</f>
        <v>0</v>
      </c>
      <c r="AY272" s="626">
        <f t="shared" si="387"/>
        <v>0</v>
      </c>
      <c r="AZ272" s="626">
        <f t="shared" si="388"/>
        <v>0</v>
      </c>
      <c r="BA272" s="626">
        <f t="shared" si="389"/>
        <v>0</v>
      </c>
      <c r="BB272" s="625">
        <f t="array" ref="BB272">IFERROR(INDEX('TB-EQUIPMENT &amp; OTHER HPs'!$AE$138:$AE$175,MATCH($E272&amp;$F272,'TB-EQUIPMENT &amp; OTHER HPs'!$E$138:$E$175&amp;'TB-EQUIPMENT &amp; OTHER HPs'!$I$138:$I$175,0)),0)</f>
        <v>0</v>
      </c>
      <c r="BC272" s="626">
        <f t="shared" si="390"/>
        <v>0</v>
      </c>
      <c r="BD272" s="626">
        <f t="shared" si="391"/>
        <v>0</v>
      </c>
      <c r="BE272" s="626">
        <f t="shared" si="392"/>
        <v>0</v>
      </c>
      <c r="BF272" s="625">
        <f t="array" ref="BF272">IFERROR(INDEX('TB-EQUIPMENT &amp; OTHER HPs'!$AF$138:$AF$175,MATCH($E272&amp;$F272,'TB-EQUIPMENT &amp; OTHER HPs'!$E$138:$E$175&amp;'TB-EQUIPMENT &amp; OTHER HPs'!$I$138:$I$175,0)),0)</f>
        <v>0</v>
      </c>
      <c r="BG272" s="626">
        <f t="shared" si="393"/>
        <v>0</v>
      </c>
      <c r="BH272" s="626">
        <f t="shared" si="394"/>
        <v>0</v>
      </c>
      <c r="BI272" s="626">
        <f t="shared" si="395"/>
        <v>0</v>
      </c>
      <c r="BJ272" s="630"/>
      <c r="BK272" s="625"/>
      <c r="BL272" s="625"/>
      <c r="BM272" s="625"/>
      <c r="BN272" s="625"/>
      <c r="BO272" s="625"/>
      <c r="BP272" s="625"/>
      <c r="BQ272" s="625"/>
      <c r="BR272" s="625"/>
    </row>
    <row r="273" spans="1:70">
      <c r="A273" s="29" t="s">
        <v>1756</v>
      </c>
      <c r="B273" s="29" t="s">
        <v>1838</v>
      </c>
      <c r="C273" s="619">
        <f>SETUP!$F$44</f>
        <v>0</v>
      </c>
      <c r="D273" s="25">
        <v>5.8</v>
      </c>
      <c r="E273" s="26" t="s">
        <v>1214</v>
      </c>
      <c r="F273" s="26" t="s">
        <v>1140</v>
      </c>
      <c r="G273" s="625" t="str">
        <f t="array" ref="G273">IFERROR(INDEX('TB-EQUIPMENT &amp; OTHER HPs'!$L$138:$L$175,MATCH($E273&amp;$F273,'TB-EQUIPMENT &amp; OTHER HPs'!$E$138:$E$175&amp;'TB-EQUIPMENT &amp; OTHER HPs'!$I$138:$I$175,0)),"")</f>
        <v/>
      </c>
      <c r="H273" s="625" t="str">
        <f t="array" ref="H273">IFERROR(INDEX('TB-EQUIPMENT &amp; OTHER HPs'!$M$138:$M$175,MATCH($E273&amp;$F273,'TB-EQUIPMENT &amp; OTHER HPs'!$E$138:$E$175&amp;'TB-EQUIPMENT &amp; OTHER HPs'!$I$138:$I$175,0)),"")</f>
        <v/>
      </c>
      <c r="I273" s="625">
        <f t="array" ref="I273">IFERROR(INDEX('TB-EQUIPMENT &amp; OTHER HPs'!$N$138:$N$175,MATCH($E273&amp;$F273,'TB-EQUIPMENT &amp; OTHER HPs'!$E$138:$E$175&amp;'TB-EQUIPMENT &amp; OTHER HPs'!$I$138:$I$175,0)),0)</f>
        <v>0</v>
      </c>
      <c r="J273" s="625">
        <f t="array" ref="J273">IFERROR(INDEX('TB-EQUIPMENT &amp; OTHER HPs'!$O$138:$O$175,MATCH($E273&amp;$F273,'TB-EQUIPMENT &amp; OTHER HPs'!$E$138:$E$175&amp;'TB-EQUIPMENT &amp; OTHER HPs'!$I$138:$I$175,0)),0)</f>
        <v>0</v>
      </c>
      <c r="K273" s="626">
        <f t="shared" si="360"/>
        <v>0</v>
      </c>
      <c r="L273" s="626">
        <f t="shared" si="361"/>
        <v>0</v>
      </c>
      <c r="M273" s="626">
        <f t="shared" si="362"/>
        <v>0</v>
      </c>
      <c r="N273" s="625">
        <f t="array" ref="N273">IFERROR(INDEX('TB-EQUIPMENT &amp; OTHER HPs'!$P$138:$P$175,MATCH($E273&amp;$F273,'TB-EQUIPMENT &amp; OTHER HPs'!$E$138:$E$175&amp;'TB-EQUIPMENT &amp; OTHER HPs'!$I$138:$I$175,0)),0)</f>
        <v>0</v>
      </c>
      <c r="O273" s="626">
        <f t="shared" si="363"/>
        <v>0</v>
      </c>
      <c r="P273" s="626">
        <f t="shared" si="364"/>
        <v>0</v>
      </c>
      <c r="Q273" s="626">
        <f t="shared" si="365"/>
        <v>0</v>
      </c>
      <c r="R273" s="625">
        <f t="array" ref="R273">IFERROR(INDEX('TB-EQUIPMENT &amp; OTHER HPs'!$Q$138:$Q$175,MATCH($E273&amp;$F273,'TB-EQUIPMENT &amp; OTHER HPs'!$E$138:$E$175&amp;'TB-EQUIPMENT &amp; OTHER HPs'!$I$138:$I$175,0)),0)</f>
        <v>0</v>
      </c>
      <c r="S273" s="626">
        <f t="shared" si="366"/>
        <v>0</v>
      </c>
      <c r="T273" s="626">
        <f t="shared" si="367"/>
        <v>0</v>
      </c>
      <c r="U273" s="626">
        <f t="shared" si="368"/>
        <v>0</v>
      </c>
      <c r="V273" s="625">
        <f t="array" ref="V273">IFERROR(INDEX('TB-EQUIPMENT &amp; OTHER HPs'!$R$138:$R$175,MATCH($E273&amp;$F273,'TB-EQUIPMENT &amp; OTHER HPs'!$E$138:$E$175&amp;'TB-EQUIPMENT &amp; OTHER HPs'!$I$138:$I$175,0)),0)</f>
        <v>0</v>
      </c>
      <c r="W273" s="626">
        <f t="shared" si="369"/>
        <v>0</v>
      </c>
      <c r="X273" s="626">
        <f t="shared" si="370"/>
        <v>0</v>
      </c>
      <c r="Y273" s="626">
        <f t="shared" si="371"/>
        <v>0</v>
      </c>
      <c r="Z273" s="630"/>
      <c r="AA273" s="625">
        <f t="array" ref="AA273">IFERROR(INDEX('TB-EQUIPMENT &amp; OTHER HPs'!$U$138:$U$175,MATCH($E273&amp;$F273,'TB-EQUIPMENT &amp; OTHER HPs'!$E$138:$E$175&amp;'TB-EQUIPMENT &amp; OTHER HPs'!$I$138:$I$175,0)),0)</f>
        <v>0</v>
      </c>
      <c r="AB273" s="625">
        <f t="array" ref="AB273">IFERROR(INDEX('TB-EQUIPMENT &amp; OTHER HPs'!$V$138:$V$175,MATCH($E273&amp;$F273,'TB-EQUIPMENT &amp; OTHER HPs'!$E$138:$E$175&amp;'TB-EQUIPMENT &amp; OTHER HPs'!$I$138:$I$175,0)),0)</f>
        <v>0</v>
      </c>
      <c r="AC273" s="626">
        <f t="shared" si="372"/>
        <v>0</v>
      </c>
      <c r="AD273" s="626">
        <f t="shared" si="373"/>
        <v>0</v>
      </c>
      <c r="AE273" s="626">
        <f t="shared" si="374"/>
        <v>0</v>
      </c>
      <c r="AF273" s="625">
        <f t="array" ref="AF273">IFERROR(INDEX('TB-EQUIPMENT &amp; OTHER HPs'!$W$138:$W$175,MATCH($E273&amp;$F273,'TB-EQUIPMENT &amp; OTHER HPs'!$E$138:$E$175&amp;'TB-EQUIPMENT &amp; OTHER HPs'!$I$138:$I$175,0)),0)</f>
        <v>0</v>
      </c>
      <c r="AG273" s="626">
        <f t="shared" si="375"/>
        <v>0</v>
      </c>
      <c r="AH273" s="626">
        <f t="shared" si="376"/>
        <v>0</v>
      </c>
      <c r="AI273" s="626">
        <f t="shared" si="377"/>
        <v>0</v>
      </c>
      <c r="AJ273" s="625">
        <f t="array" ref="AJ273">IFERROR(INDEX('TB-EQUIPMENT &amp; OTHER HPs'!$X$138:$X$175,MATCH($E273&amp;$F273,'TB-EQUIPMENT &amp; OTHER HPs'!$E$138:$E$175&amp;'TB-EQUIPMENT &amp; OTHER HPs'!$I$138:$I$175,0)),0)</f>
        <v>0</v>
      </c>
      <c r="AK273" s="626">
        <f t="shared" si="378"/>
        <v>0</v>
      </c>
      <c r="AL273" s="626">
        <f t="shared" si="379"/>
        <v>0</v>
      </c>
      <c r="AM273" s="626">
        <f t="shared" si="380"/>
        <v>0</v>
      </c>
      <c r="AN273" s="625">
        <f t="array" ref="AN273">IFERROR(INDEX('TB-EQUIPMENT &amp; OTHER HPs'!$Y$138:$Y$175,MATCH($E273&amp;$F273,'TB-EQUIPMENT &amp; OTHER HPs'!$E$138:$E$175&amp;'TB-EQUIPMENT &amp; OTHER HPs'!$I$138:$I$175,0)),0)</f>
        <v>0</v>
      </c>
      <c r="AO273" s="626">
        <f t="shared" si="381"/>
        <v>0</v>
      </c>
      <c r="AP273" s="626">
        <f t="shared" si="382"/>
        <v>0</v>
      </c>
      <c r="AQ273" s="626">
        <f t="shared" si="383"/>
        <v>0</v>
      </c>
      <c r="AR273" s="630"/>
      <c r="AS273" s="625">
        <f t="array" ref="AS273">IFERROR(INDEX('TB-EQUIPMENT &amp; OTHER HPs'!$AB$138:$AB$175,MATCH($E273&amp;$F273,'TB-EQUIPMENT &amp; OTHER HPs'!$E$138:$E$175&amp;'TB-EQUIPMENT &amp; OTHER HPs'!$I$138:$I$175,0)),0)</f>
        <v>0</v>
      </c>
      <c r="AT273" s="625">
        <f t="array" ref="AT273">IFERROR(INDEX('TB-EQUIPMENT &amp; OTHER HPs'!$AC$138:$AC$175,MATCH($E273&amp;$F273,'TB-EQUIPMENT &amp; OTHER HPs'!$E$138:$E$175&amp;'TB-EQUIPMENT &amp; OTHER HPs'!$I$138:$I$175,0)),0)</f>
        <v>0</v>
      </c>
      <c r="AU273" s="626">
        <f t="shared" si="384"/>
        <v>0</v>
      </c>
      <c r="AV273" s="626">
        <f t="shared" si="385"/>
        <v>0</v>
      </c>
      <c r="AW273" s="626">
        <f t="shared" si="386"/>
        <v>0</v>
      </c>
      <c r="AX273" s="625">
        <f t="array" ref="AX273">IFERROR(INDEX('TB-EQUIPMENT &amp; OTHER HPs'!$AD$138:$AD$175,MATCH($E273&amp;$F273,'TB-EQUIPMENT &amp; OTHER HPs'!$E$138:$E$175&amp;'TB-EQUIPMENT &amp; OTHER HPs'!$I$138:$I$175,0)),0)</f>
        <v>0</v>
      </c>
      <c r="AY273" s="626">
        <f t="shared" si="387"/>
        <v>0</v>
      </c>
      <c r="AZ273" s="626">
        <f t="shared" si="388"/>
        <v>0</v>
      </c>
      <c r="BA273" s="626">
        <f t="shared" si="389"/>
        <v>0</v>
      </c>
      <c r="BB273" s="625">
        <f t="array" ref="BB273">IFERROR(INDEX('TB-EQUIPMENT &amp; OTHER HPs'!$AE$138:$AE$175,MATCH($E273&amp;$F273,'TB-EQUIPMENT &amp; OTHER HPs'!$E$138:$E$175&amp;'TB-EQUIPMENT &amp; OTHER HPs'!$I$138:$I$175,0)),0)</f>
        <v>0</v>
      </c>
      <c r="BC273" s="626">
        <f t="shared" si="390"/>
        <v>0</v>
      </c>
      <c r="BD273" s="626">
        <f t="shared" si="391"/>
        <v>0</v>
      </c>
      <c r="BE273" s="626">
        <f t="shared" si="392"/>
        <v>0</v>
      </c>
      <c r="BF273" s="625">
        <f t="array" ref="BF273">IFERROR(INDEX('TB-EQUIPMENT &amp; OTHER HPs'!$AF$138:$AF$175,MATCH($E273&amp;$F273,'TB-EQUIPMENT &amp; OTHER HPs'!$E$138:$E$175&amp;'TB-EQUIPMENT &amp; OTHER HPs'!$I$138:$I$175,0)),0)</f>
        <v>0</v>
      </c>
      <c r="BG273" s="626">
        <f t="shared" si="393"/>
        <v>0</v>
      </c>
      <c r="BH273" s="626">
        <f t="shared" si="394"/>
        <v>0</v>
      </c>
      <c r="BI273" s="626">
        <f t="shared" si="395"/>
        <v>0</v>
      </c>
      <c r="BJ273" s="630"/>
      <c r="BK273" s="625"/>
      <c r="BL273" s="625"/>
      <c r="BM273" s="625"/>
      <c r="BN273" s="625"/>
      <c r="BO273" s="625"/>
      <c r="BP273" s="625"/>
      <c r="BQ273" s="625"/>
      <c r="BR273" s="625"/>
    </row>
    <row r="274" spans="1:70">
      <c r="A274" s="29" t="s">
        <v>1756</v>
      </c>
      <c r="B274" s="29" t="s">
        <v>1838</v>
      </c>
      <c r="C274" s="619">
        <f>SETUP!$F$44</f>
        <v>0</v>
      </c>
      <c r="D274" s="25">
        <v>5.8</v>
      </c>
      <c r="E274" s="26" t="s">
        <v>1215</v>
      </c>
      <c r="F274" s="26" t="s">
        <v>1140</v>
      </c>
      <c r="G274" s="625" t="str">
        <f t="array" ref="G274">IFERROR(INDEX('TB-EQUIPMENT &amp; OTHER HPs'!$L$138:$L$175,MATCH($E274&amp;$F274,'TB-EQUIPMENT &amp; OTHER HPs'!$E$138:$E$175&amp;'TB-EQUIPMENT &amp; OTHER HPs'!$I$138:$I$175,0)),"")</f>
        <v/>
      </c>
      <c r="H274" s="625" t="str">
        <f t="array" ref="H274">IFERROR(INDEX('TB-EQUIPMENT &amp; OTHER HPs'!$M$138:$M$175,MATCH($E274&amp;$F274,'TB-EQUIPMENT &amp; OTHER HPs'!$E$138:$E$175&amp;'TB-EQUIPMENT &amp; OTHER HPs'!$I$138:$I$175,0)),"")</f>
        <v/>
      </c>
      <c r="I274" s="625">
        <f t="array" ref="I274">IFERROR(INDEX('TB-EQUIPMENT &amp; OTHER HPs'!$N$138:$N$175,MATCH($E274&amp;$F274,'TB-EQUIPMENT &amp; OTHER HPs'!$E$138:$E$175&amp;'TB-EQUIPMENT &amp; OTHER HPs'!$I$138:$I$175,0)),0)</f>
        <v>0</v>
      </c>
      <c r="J274" s="625">
        <f t="array" ref="J274">IFERROR(INDEX('TB-EQUIPMENT &amp; OTHER HPs'!$O$138:$O$175,MATCH($E274&amp;$F274,'TB-EQUIPMENT &amp; OTHER HPs'!$E$138:$E$175&amp;'TB-EQUIPMENT &amp; OTHER HPs'!$I$138:$I$175,0)),0)</f>
        <v>0</v>
      </c>
      <c r="K274" s="626">
        <f t="shared" si="360"/>
        <v>0</v>
      </c>
      <c r="L274" s="626">
        <f t="shared" si="361"/>
        <v>0</v>
      </c>
      <c r="M274" s="626">
        <f t="shared" si="362"/>
        <v>0</v>
      </c>
      <c r="N274" s="625">
        <f t="array" ref="N274">IFERROR(INDEX('TB-EQUIPMENT &amp; OTHER HPs'!$P$138:$P$175,MATCH($E274&amp;$F274,'TB-EQUIPMENT &amp; OTHER HPs'!$E$138:$E$175&amp;'TB-EQUIPMENT &amp; OTHER HPs'!$I$138:$I$175,0)),0)</f>
        <v>0</v>
      </c>
      <c r="O274" s="626">
        <f t="shared" si="363"/>
        <v>0</v>
      </c>
      <c r="P274" s="626">
        <f t="shared" si="364"/>
        <v>0</v>
      </c>
      <c r="Q274" s="626">
        <f t="shared" si="365"/>
        <v>0</v>
      </c>
      <c r="R274" s="625">
        <f t="array" ref="R274">IFERROR(INDEX('TB-EQUIPMENT &amp; OTHER HPs'!$Q$138:$Q$175,MATCH($E274&amp;$F274,'TB-EQUIPMENT &amp; OTHER HPs'!$E$138:$E$175&amp;'TB-EQUIPMENT &amp; OTHER HPs'!$I$138:$I$175,0)),0)</f>
        <v>0</v>
      </c>
      <c r="S274" s="626">
        <f t="shared" si="366"/>
        <v>0</v>
      </c>
      <c r="T274" s="626">
        <f t="shared" si="367"/>
        <v>0</v>
      </c>
      <c r="U274" s="626">
        <f t="shared" si="368"/>
        <v>0</v>
      </c>
      <c r="V274" s="625">
        <f t="array" ref="V274">IFERROR(INDEX('TB-EQUIPMENT &amp; OTHER HPs'!$R$138:$R$175,MATCH($E274&amp;$F274,'TB-EQUIPMENT &amp; OTHER HPs'!$E$138:$E$175&amp;'TB-EQUIPMENT &amp; OTHER HPs'!$I$138:$I$175,0)),0)</f>
        <v>0</v>
      </c>
      <c r="W274" s="626">
        <f t="shared" si="369"/>
        <v>0</v>
      </c>
      <c r="X274" s="626">
        <f t="shared" si="370"/>
        <v>0</v>
      </c>
      <c r="Y274" s="626">
        <f t="shared" si="371"/>
        <v>0</v>
      </c>
      <c r="Z274" s="630"/>
      <c r="AA274" s="625">
        <f t="array" ref="AA274">IFERROR(INDEX('TB-EQUIPMENT &amp; OTHER HPs'!$U$138:$U$175,MATCH($E274&amp;$F274,'TB-EQUIPMENT &amp; OTHER HPs'!$E$138:$E$175&amp;'TB-EQUIPMENT &amp; OTHER HPs'!$I$138:$I$175,0)),0)</f>
        <v>0</v>
      </c>
      <c r="AB274" s="625">
        <f t="array" ref="AB274">IFERROR(INDEX('TB-EQUIPMENT &amp; OTHER HPs'!$V$138:$V$175,MATCH($E274&amp;$F274,'TB-EQUIPMENT &amp; OTHER HPs'!$E$138:$E$175&amp;'TB-EQUIPMENT &amp; OTHER HPs'!$I$138:$I$175,0)),0)</f>
        <v>0</v>
      </c>
      <c r="AC274" s="626">
        <f t="shared" si="372"/>
        <v>0</v>
      </c>
      <c r="AD274" s="626">
        <f t="shared" si="373"/>
        <v>0</v>
      </c>
      <c r="AE274" s="626">
        <f t="shared" si="374"/>
        <v>0</v>
      </c>
      <c r="AF274" s="625">
        <f t="array" ref="AF274">IFERROR(INDEX('TB-EQUIPMENT &amp; OTHER HPs'!$W$138:$W$175,MATCH($E274&amp;$F274,'TB-EQUIPMENT &amp; OTHER HPs'!$E$138:$E$175&amp;'TB-EQUIPMENT &amp; OTHER HPs'!$I$138:$I$175,0)),0)</f>
        <v>0</v>
      </c>
      <c r="AG274" s="626">
        <f t="shared" si="375"/>
        <v>0</v>
      </c>
      <c r="AH274" s="626">
        <f t="shared" si="376"/>
        <v>0</v>
      </c>
      <c r="AI274" s="626">
        <f t="shared" si="377"/>
        <v>0</v>
      </c>
      <c r="AJ274" s="625">
        <f t="array" ref="AJ274">IFERROR(INDEX('TB-EQUIPMENT &amp; OTHER HPs'!$X$138:$X$175,MATCH($E274&amp;$F274,'TB-EQUIPMENT &amp; OTHER HPs'!$E$138:$E$175&amp;'TB-EQUIPMENT &amp; OTHER HPs'!$I$138:$I$175,0)),0)</f>
        <v>0</v>
      </c>
      <c r="AK274" s="626">
        <f t="shared" si="378"/>
        <v>0</v>
      </c>
      <c r="AL274" s="626">
        <f t="shared" si="379"/>
        <v>0</v>
      </c>
      <c r="AM274" s="626">
        <f t="shared" si="380"/>
        <v>0</v>
      </c>
      <c r="AN274" s="625">
        <f t="array" ref="AN274">IFERROR(INDEX('TB-EQUIPMENT &amp; OTHER HPs'!$Y$138:$Y$175,MATCH($E274&amp;$F274,'TB-EQUIPMENT &amp; OTHER HPs'!$E$138:$E$175&amp;'TB-EQUIPMENT &amp; OTHER HPs'!$I$138:$I$175,0)),0)</f>
        <v>0</v>
      </c>
      <c r="AO274" s="626">
        <f t="shared" si="381"/>
        <v>0</v>
      </c>
      <c r="AP274" s="626">
        <f t="shared" si="382"/>
        <v>0</v>
      </c>
      <c r="AQ274" s="626">
        <f t="shared" si="383"/>
        <v>0</v>
      </c>
      <c r="AR274" s="630"/>
      <c r="AS274" s="625">
        <f t="array" ref="AS274">IFERROR(INDEX('TB-EQUIPMENT &amp; OTHER HPs'!$AB$138:$AB$175,MATCH($E274&amp;$F274,'TB-EQUIPMENT &amp; OTHER HPs'!$E$138:$E$175&amp;'TB-EQUIPMENT &amp; OTHER HPs'!$I$138:$I$175,0)),0)</f>
        <v>0</v>
      </c>
      <c r="AT274" s="625">
        <f t="array" ref="AT274">IFERROR(INDEX('TB-EQUIPMENT &amp; OTHER HPs'!$AC$138:$AC$175,MATCH($E274&amp;$F274,'TB-EQUIPMENT &amp; OTHER HPs'!$E$138:$E$175&amp;'TB-EQUIPMENT &amp; OTHER HPs'!$I$138:$I$175,0)),0)</f>
        <v>0</v>
      </c>
      <c r="AU274" s="626">
        <f t="shared" si="384"/>
        <v>0</v>
      </c>
      <c r="AV274" s="626">
        <f t="shared" si="385"/>
        <v>0</v>
      </c>
      <c r="AW274" s="626">
        <f t="shared" si="386"/>
        <v>0</v>
      </c>
      <c r="AX274" s="625">
        <f t="array" ref="AX274">IFERROR(INDEX('TB-EQUIPMENT &amp; OTHER HPs'!$AD$138:$AD$175,MATCH($E274&amp;$F274,'TB-EQUIPMENT &amp; OTHER HPs'!$E$138:$E$175&amp;'TB-EQUIPMENT &amp; OTHER HPs'!$I$138:$I$175,0)),0)</f>
        <v>0</v>
      </c>
      <c r="AY274" s="626">
        <f t="shared" si="387"/>
        <v>0</v>
      </c>
      <c r="AZ274" s="626">
        <f t="shared" si="388"/>
        <v>0</v>
      </c>
      <c r="BA274" s="626">
        <f t="shared" si="389"/>
        <v>0</v>
      </c>
      <c r="BB274" s="625">
        <f t="array" ref="BB274">IFERROR(INDEX('TB-EQUIPMENT &amp; OTHER HPs'!$AE$138:$AE$175,MATCH($E274&amp;$F274,'TB-EQUIPMENT &amp; OTHER HPs'!$E$138:$E$175&amp;'TB-EQUIPMENT &amp; OTHER HPs'!$I$138:$I$175,0)),0)</f>
        <v>0</v>
      </c>
      <c r="BC274" s="626">
        <f t="shared" si="390"/>
        <v>0</v>
      </c>
      <c r="BD274" s="626">
        <f t="shared" si="391"/>
        <v>0</v>
      </c>
      <c r="BE274" s="626">
        <f t="shared" si="392"/>
        <v>0</v>
      </c>
      <c r="BF274" s="625">
        <f t="array" ref="BF274">IFERROR(INDEX('TB-EQUIPMENT &amp; OTHER HPs'!$AF$138:$AF$175,MATCH($E274&amp;$F274,'TB-EQUIPMENT &amp; OTHER HPs'!$E$138:$E$175&amp;'TB-EQUIPMENT &amp; OTHER HPs'!$I$138:$I$175,0)),0)</f>
        <v>0</v>
      </c>
      <c r="BG274" s="626">
        <f t="shared" si="393"/>
        <v>0</v>
      </c>
      <c r="BH274" s="626">
        <f t="shared" si="394"/>
        <v>0</v>
      </c>
      <c r="BI274" s="626">
        <f t="shared" si="395"/>
        <v>0</v>
      </c>
      <c r="BJ274" s="630"/>
      <c r="BK274" s="625"/>
      <c r="BL274" s="625"/>
      <c r="BM274" s="625"/>
      <c r="BN274" s="625"/>
      <c r="BO274" s="625"/>
      <c r="BP274" s="625"/>
      <c r="BQ274" s="625"/>
      <c r="BR274" s="625"/>
    </row>
    <row r="275" spans="1:70">
      <c r="A275" s="29" t="s">
        <v>1756</v>
      </c>
      <c r="B275" s="29" t="s">
        <v>1838</v>
      </c>
      <c r="C275" s="619">
        <f>SETUP!$F$44</f>
        <v>0</v>
      </c>
      <c r="D275" s="25">
        <v>5.8</v>
      </c>
      <c r="E275" s="26" t="s">
        <v>1216</v>
      </c>
      <c r="F275" s="26" t="s">
        <v>1140</v>
      </c>
      <c r="G275" s="625" t="str">
        <f t="array" ref="G275">IFERROR(INDEX('TB-EQUIPMENT &amp; OTHER HPs'!$L$138:$L$175,MATCH($E275&amp;$F275,'TB-EQUIPMENT &amp; OTHER HPs'!$E$138:$E$175&amp;'TB-EQUIPMENT &amp; OTHER HPs'!$I$138:$I$175,0)),"")</f>
        <v/>
      </c>
      <c r="H275" s="625" t="str">
        <f t="array" ref="H275">IFERROR(INDEX('TB-EQUIPMENT &amp; OTHER HPs'!$M$138:$M$175,MATCH($E275&amp;$F275,'TB-EQUIPMENT &amp; OTHER HPs'!$E$138:$E$175&amp;'TB-EQUIPMENT &amp; OTHER HPs'!$I$138:$I$175,0)),"")</f>
        <v/>
      </c>
      <c r="I275" s="625">
        <f t="array" ref="I275">IFERROR(INDEX('TB-EQUIPMENT &amp; OTHER HPs'!$N$138:$N$175,MATCH($E275&amp;$F275,'TB-EQUIPMENT &amp; OTHER HPs'!$E$138:$E$175&amp;'TB-EQUIPMENT &amp; OTHER HPs'!$I$138:$I$175,0)),0)</f>
        <v>0</v>
      </c>
      <c r="J275" s="625">
        <f t="array" ref="J275">IFERROR(INDEX('TB-EQUIPMENT &amp; OTHER HPs'!$O$138:$O$175,MATCH($E275&amp;$F275,'TB-EQUIPMENT &amp; OTHER HPs'!$E$138:$E$175&amp;'TB-EQUIPMENT &amp; OTHER HPs'!$I$138:$I$175,0)),0)</f>
        <v>0</v>
      </c>
      <c r="K275" s="626">
        <f t="shared" si="360"/>
        <v>0</v>
      </c>
      <c r="L275" s="626">
        <f t="shared" si="361"/>
        <v>0</v>
      </c>
      <c r="M275" s="626">
        <f t="shared" si="362"/>
        <v>0</v>
      </c>
      <c r="N275" s="625">
        <f t="array" ref="N275">IFERROR(INDEX('TB-EQUIPMENT &amp; OTHER HPs'!$P$138:$P$175,MATCH($E275&amp;$F275,'TB-EQUIPMENT &amp; OTHER HPs'!$E$138:$E$175&amp;'TB-EQUIPMENT &amp; OTHER HPs'!$I$138:$I$175,0)),0)</f>
        <v>0</v>
      </c>
      <c r="O275" s="626">
        <f t="shared" si="363"/>
        <v>0</v>
      </c>
      <c r="P275" s="626">
        <f t="shared" si="364"/>
        <v>0</v>
      </c>
      <c r="Q275" s="626">
        <f t="shared" si="365"/>
        <v>0</v>
      </c>
      <c r="R275" s="625">
        <f t="array" ref="R275">IFERROR(INDEX('TB-EQUIPMENT &amp; OTHER HPs'!$Q$138:$Q$175,MATCH($E275&amp;$F275,'TB-EQUIPMENT &amp; OTHER HPs'!$E$138:$E$175&amp;'TB-EQUIPMENT &amp; OTHER HPs'!$I$138:$I$175,0)),0)</f>
        <v>0</v>
      </c>
      <c r="S275" s="626">
        <f t="shared" si="366"/>
        <v>0</v>
      </c>
      <c r="T275" s="626">
        <f t="shared" si="367"/>
        <v>0</v>
      </c>
      <c r="U275" s="626">
        <f t="shared" si="368"/>
        <v>0</v>
      </c>
      <c r="V275" s="625">
        <f t="array" ref="V275">IFERROR(INDEX('TB-EQUIPMENT &amp; OTHER HPs'!$R$138:$R$175,MATCH($E275&amp;$F275,'TB-EQUIPMENT &amp; OTHER HPs'!$E$138:$E$175&amp;'TB-EQUIPMENT &amp; OTHER HPs'!$I$138:$I$175,0)),0)</f>
        <v>0</v>
      </c>
      <c r="W275" s="626">
        <f t="shared" si="369"/>
        <v>0</v>
      </c>
      <c r="X275" s="626">
        <f t="shared" si="370"/>
        <v>0</v>
      </c>
      <c r="Y275" s="626">
        <f t="shared" si="371"/>
        <v>0</v>
      </c>
      <c r="AA275" s="625">
        <f t="array" ref="AA275">IFERROR(INDEX('TB-EQUIPMENT &amp; OTHER HPs'!$U$138:$U$175,MATCH($E275&amp;$F275,'TB-EQUIPMENT &amp; OTHER HPs'!$E$138:$E$175&amp;'TB-EQUIPMENT &amp; OTHER HPs'!$I$138:$I$175,0)),0)</f>
        <v>0</v>
      </c>
      <c r="AB275" s="625">
        <f t="array" ref="AB275">IFERROR(INDEX('TB-EQUIPMENT &amp; OTHER HPs'!$V$138:$V$175,MATCH($E275&amp;$F275,'TB-EQUIPMENT &amp; OTHER HPs'!$E$138:$E$175&amp;'TB-EQUIPMENT &amp; OTHER HPs'!$I$138:$I$175,0)),0)</f>
        <v>0</v>
      </c>
      <c r="AC275" s="626">
        <f t="shared" si="372"/>
        <v>0</v>
      </c>
      <c r="AD275" s="626">
        <f t="shared" si="373"/>
        <v>0</v>
      </c>
      <c r="AE275" s="626">
        <f t="shared" si="374"/>
        <v>0</v>
      </c>
      <c r="AF275" s="625">
        <f t="array" ref="AF275">IFERROR(INDEX('TB-EQUIPMENT &amp; OTHER HPs'!$W$138:$W$175,MATCH($E275&amp;$F275,'TB-EQUIPMENT &amp; OTHER HPs'!$E$138:$E$175&amp;'TB-EQUIPMENT &amp; OTHER HPs'!$I$138:$I$175,0)),0)</f>
        <v>0</v>
      </c>
      <c r="AG275" s="626">
        <f t="shared" si="375"/>
        <v>0</v>
      </c>
      <c r="AH275" s="626">
        <f t="shared" si="376"/>
        <v>0</v>
      </c>
      <c r="AI275" s="626">
        <f t="shared" si="377"/>
        <v>0</v>
      </c>
      <c r="AJ275" s="625">
        <f t="array" ref="AJ275">IFERROR(INDEX('TB-EQUIPMENT &amp; OTHER HPs'!$X$138:$X$175,MATCH($E275&amp;$F275,'TB-EQUIPMENT &amp; OTHER HPs'!$E$138:$E$175&amp;'TB-EQUIPMENT &amp; OTHER HPs'!$I$138:$I$175,0)),0)</f>
        <v>0</v>
      </c>
      <c r="AK275" s="626">
        <f t="shared" si="378"/>
        <v>0</v>
      </c>
      <c r="AL275" s="626">
        <f t="shared" si="379"/>
        <v>0</v>
      </c>
      <c r="AM275" s="626">
        <f t="shared" si="380"/>
        <v>0</v>
      </c>
      <c r="AN275" s="625">
        <f t="array" ref="AN275">IFERROR(INDEX('TB-EQUIPMENT &amp; OTHER HPs'!$Y$138:$Y$175,MATCH($E275&amp;$F275,'TB-EQUIPMENT &amp; OTHER HPs'!$E$138:$E$175&amp;'TB-EQUIPMENT &amp; OTHER HPs'!$I$138:$I$175,0)),0)</f>
        <v>0</v>
      </c>
      <c r="AO275" s="626">
        <f t="shared" si="381"/>
        <v>0</v>
      </c>
      <c r="AP275" s="626">
        <f t="shared" si="382"/>
        <v>0</v>
      </c>
      <c r="AQ275" s="626">
        <f t="shared" si="383"/>
        <v>0</v>
      </c>
      <c r="AR275" s="630"/>
      <c r="AS275" s="625">
        <f t="array" ref="AS275">IFERROR(INDEX('TB-EQUIPMENT &amp; OTHER HPs'!$AB$138:$AB$175,MATCH($E275&amp;$F275,'TB-EQUIPMENT &amp; OTHER HPs'!$E$138:$E$175&amp;'TB-EQUIPMENT &amp; OTHER HPs'!$I$138:$I$175,0)),0)</f>
        <v>0</v>
      </c>
      <c r="AT275" s="625">
        <f t="array" ref="AT275">IFERROR(INDEX('TB-EQUIPMENT &amp; OTHER HPs'!$AC$138:$AC$175,MATCH($E275&amp;$F275,'TB-EQUIPMENT &amp; OTHER HPs'!$E$138:$E$175&amp;'TB-EQUIPMENT &amp; OTHER HPs'!$I$138:$I$175,0)),0)</f>
        <v>0</v>
      </c>
      <c r="AU275" s="626">
        <f t="shared" si="384"/>
        <v>0</v>
      </c>
      <c r="AV275" s="626">
        <f t="shared" si="385"/>
        <v>0</v>
      </c>
      <c r="AW275" s="626">
        <f t="shared" si="386"/>
        <v>0</v>
      </c>
      <c r="AX275" s="625">
        <f t="array" ref="AX275">IFERROR(INDEX('TB-EQUIPMENT &amp; OTHER HPs'!$AD$138:$AD$175,MATCH($E275&amp;$F275,'TB-EQUIPMENT &amp; OTHER HPs'!$E$138:$E$175&amp;'TB-EQUIPMENT &amp; OTHER HPs'!$I$138:$I$175,0)),0)</f>
        <v>0</v>
      </c>
      <c r="AY275" s="626">
        <f t="shared" si="387"/>
        <v>0</v>
      </c>
      <c r="AZ275" s="626">
        <f t="shared" si="388"/>
        <v>0</v>
      </c>
      <c r="BA275" s="626">
        <f t="shared" si="389"/>
        <v>0</v>
      </c>
      <c r="BB275" s="625">
        <f t="array" ref="BB275">IFERROR(INDEX('TB-EQUIPMENT &amp; OTHER HPs'!$AE$138:$AE$175,MATCH($E275&amp;$F275,'TB-EQUIPMENT &amp; OTHER HPs'!$E$138:$E$175&amp;'TB-EQUIPMENT &amp; OTHER HPs'!$I$138:$I$175,0)),0)</f>
        <v>0</v>
      </c>
      <c r="BC275" s="626">
        <f t="shared" si="390"/>
        <v>0</v>
      </c>
      <c r="BD275" s="626">
        <f t="shared" si="391"/>
        <v>0</v>
      </c>
      <c r="BE275" s="626">
        <f t="shared" si="392"/>
        <v>0</v>
      </c>
      <c r="BF275" s="625">
        <f t="array" ref="BF275">IFERROR(INDEX('TB-EQUIPMENT &amp; OTHER HPs'!$AF$138:$AF$175,MATCH($E275&amp;$F275,'TB-EQUIPMENT &amp; OTHER HPs'!$E$138:$E$175&amp;'TB-EQUIPMENT &amp; OTHER HPs'!$I$138:$I$175,0)),0)</f>
        <v>0</v>
      </c>
      <c r="BG275" s="626">
        <f t="shared" si="393"/>
        <v>0</v>
      </c>
      <c r="BH275" s="626">
        <f t="shared" si="394"/>
        <v>0</v>
      </c>
      <c r="BI275" s="626">
        <f t="shared" si="395"/>
        <v>0</v>
      </c>
      <c r="BJ275" s="630"/>
      <c r="BK275" s="625"/>
      <c r="BL275" s="625"/>
      <c r="BM275" s="625"/>
      <c r="BN275" s="625"/>
      <c r="BO275" s="625"/>
      <c r="BP275" s="625"/>
      <c r="BQ275" s="625"/>
      <c r="BR275" s="625"/>
    </row>
    <row r="276" spans="1:70">
      <c r="A276" s="29" t="s">
        <v>1756</v>
      </c>
      <c r="B276" s="29" t="s">
        <v>1838</v>
      </c>
      <c r="C276" s="619">
        <f>SETUP!$F$44</f>
        <v>0</v>
      </c>
      <c r="D276" s="25">
        <v>5.8</v>
      </c>
      <c r="E276" s="26" t="s">
        <v>1217</v>
      </c>
      <c r="F276" s="26" t="s">
        <v>1140</v>
      </c>
      <c r="G276" s="625" t="str">
        <f t="array" ref="G276">IFERROR(INDEX('TB-EQUIPMENT &amp; OTHER HPs'!$L$138:$L$175,MATCH($E276&amp;$F276,'TB-EQUIPMENT &amp; OTHER HPs'!$E$138:$E$175&amp;'TB-EQUIPMENT &amp; OTHER HPs'!$I$138:$I$175,0)),"")</f>
        <v/>
      </c>
      <c r="H276" s="625" t="str">
        <f t="array" ref="H276">IFERROR(INDEX('TB-EQUIPMENT &amp; OTHER HPs'!$M$138:$M$175,MATCH($E276&amp;$F276,'TB-EQUIPMENT &amp; OTHER HPs'!$E$138:$E$175&amp;'TB-EQUIPMENT &amp; OTHER HPs'!$I$138:$I$175,0)),"")</f>
        <v/>
      </c>
      <c r="I276" s="625">
        <f t="array" ref="I276">IFERROR(INDEX('TB-EQUIPMENT &amp; OTHER HPs'!$N$138:$N$175,MATCH($E276&amp;$F276,'TB-EQUIPMENT &amp; OTHER HPs'!$E$138:$E$175&amp;'TB-EQUIPMENT &amp; OTHER HPs'!$I$138:$I$175,0)),0)</f>
        <v>0</v>
      </c>
      <c r="J276" s="625">
        <f t="array" ref="J276">IFERROR(INDEX('TB-EQUIPMENT &amp; OTHER HPs'!$O$138:$O$175,MATCH($E276&amp;$F276,'TB-EQUIPMENT &amp; OTHER HPs'!$E$138:$E$175&amp;'TB-EQUIPMENT &amp; OTHER HPs'!$I$138:$I$175,0)),0)</f>
        <v>0</v>
      </c>
      <c r="K276" s="626">
        <f t="shared" si="360"/>
        <v>0</v>
      </c>
      <c r="L276" s="626">
        <f t="shared" si="361"/>
        <v>0</v>
      </c>
      <c r="M276" s="626">
        <f t="shared" si="362"/>
        <v>0</v>
      </c>
      <c r="N276" s="625">
        <f t="array" ref="N276">IFERROR(INDEX('TB-EQUIPMENT &amp; OTHER HPs'!$P$138:$P$175,MATCH($E276&amp;$F276,'TB-EQUIPMENT &amp; OTHER HPs'!$E$138:$E$175&amp;'TB-EQUIPMENT &amp; OTHER HPs'!$I$138:$I$175,0)),0)</f>
        <v>0</v>
      </c>
      <c r="O276" s="626">
        <f t="shared" si="363"/>
        <v>0</v>
      </c>
      <c r="P276" s="626">
        <f t="shared" si="364"/>
        <v>0</v>
      </c>
      <c r="Q276" s="626">
        <f t="shared" si="365"/>
        <v>0</v>
      </c>
      <c r="R276" s="625">
        <f t="array" ref="R276">IFERROR(INDEX('TB-EQUIPMENT &amp; OTHER HPs'!$Q$138:$Q$175,MATCH($E276&amp;$F276,'TB-EQUIPMENT &amp; OTHER HPs'!$E$138:$E$175&amp;'TB-EQUIPMENT &amp; OTHER HPs'!$I$138:$I$175,0)),0)</f>
        <v>0</v>
      </c>
      <c r="S276" s="626">
        <f t="shared" si="366"/>
        <v>0</v>
      </c>
      <c r="T276" s="626">
        <f t="shared" si="367"/>
        <v>0</v>
      </c>
      <c r="U276" s="626">
        <f t="shared" si="368"/>
        <v>0</v>
      </c>
      <c r="V276" s="625">
        <f t="array" ref="V276">IFERROR(INDEX('TB-EQUIPMENT &amp; OTHER HPs'!$R$138:$R$175,MATCH($E276&amp;$F276,'TB-EQUIPMENT &amp; OTHER HPs'!$E$138:$E$175&amp;'TB-EQUIPMENT &amp; OTHER HPs'!$I$138:$I$175,0)),0)</f>
        <v>0</v>
      </c>
      <c r="W276" s="626">
        <f t="shared" si="369"/>
        <v>0</v>
      </c>
      <c r="X276" s="626">
        <f t="shared" si="370"/>
        <v>0</v>
      </c>
      <c r="Y276" s="626">
        <f t="shared" si="371"/>
        <v>0</v>
      </c>
      <c r="AA276" s="625">
        <f t="array" ref="AA276">IFERROR(INDEX('TB-EQUIPMENT &amp; OTHER HPs'!$U$138:$U$175,MATCH($E276&amp;$F276,'TB-EQUIPMENT &amp; OTHER HPs'!$E$138:$E$175&amp;'TB-EQUIPMENT &amp; OTHER HPs'!$I$138:$I$175,0)),0)</f>
        <v>0</v>
      </c>
      <c r="AB276" s="625">
        <f t="array" ref="AB276">IFERROR(INDEX('TB-EQUIPMENT &amp; OTHER HPs'!$V$138:$V$175,MATCH($E276&amp;$F276,'TB-EQUIPMENT &amp; OTHER HPs'!$E$138:$E$175&amp;'TB-EQUIPMENT &amp; OTHER HPs'!$I$138:$I$175,0)),0)</f>
        <v>0</v>
      </c>
      <c r="AC276" s="626">
        <f t="shared" si="372"/>
        <v>0</v>
      </c>
      <c r="AD276" s="626">
        <f t="shared" si="373"/>
        <v>0</v>
      </c>
      <c r="AE276" s="626">
        <f t="shared" si="374"/>
        <v>0</v>
      </c>
      <c r="AF276" s="625">
        <f t="array" ref="AF276">IFERROR(INDEX('TB-EQUIPMENT &amp; OTHER HPs'!$W$138:$W$175,MATCH($E276&amp;$F276,'TB-EQUIPMENT &amp; OTHER HPs'!$E$138:$E$175&amp;'TB-EQUIPMENT &amp; OTHER HPs'!$I$138:$I$175,0)),0)</f>
        <v>0</v>
      </c>
      <c r="AG276" s="626">
        <f t="shared" si="375"/>
        <v>0</v>
      </c>
      <c r="AH276" s="626">
        <f t="shared" si="376"/>
        <v>0</v>
      </c>
      <c r="AI276" s="626">
        <f t="shared" si="377"/>
        <v>0</v>
      </c>
      <c r="AJ276" s="625">
        <f t="array" ref="AJ276">IFERROR(INDEX('TB-EQUIPMENT &amp; OTHER HPs'!$X$138:$X$175,MATCH($E276&amp;$F276,'TB-EQUIPMENT &amp; OTHER HPs'!$E$138:$E$175&amp;'TB-EQUIPMENT &amp; OTHER HPs'!$I$138:$I$175,0)),0)</f>
        <v>0</v>
      </c>
      <c r="AK276" s="626">
        <f t="shared" si="378"/>
        <v>0</v>
      </c>
      <c r="AL276" s="626">
        <f t="shared" si="379"/>
        <v>0</v>
      </c>
      <c r="AM276" s="626">
        <f t="shared" si="380"/>
        <v>0</v>
      </c>
      <c r="AN276" s="625">
        <f t="array" ref="AN276">IFERROR(INDEX('TB-EQUIPMENT &amp; OTHER HPs'!$Y$138:$Y$175,MATCH($E276&amp;$F276,'TB-EQUIPMENT &amp; OTHER HPs'!$E$138:$E$175&amp;'TB-EQUIPMENT &amp; OTHER HPs'!$I$138:$I$175,0)),0)</f>
        <v>0</v>
      </c>
      <c r="AO276" s="626">
        <f t="shared" si="381"/>
        <v>0</v>
      </c>
      <c r="AP276" s="626">
        <f t="shared" si="382"/>
        <v>0</v>
      </c>
      <c r="AQ276" s="626">
        <f t="shared" si="383"/>
        <v>0</v>
      </c>
      <c r="AR276" s="630"/>
      <c r="AS276" s="625">
        <f t="array" ref="AS276">IFERROR(INDEX('TB-EQUIPMENT &amp; OTHER HPs'!$AB$138:$AB$175,MATCH($E276&amp;$F276,'TB-EQUIPMENT &amp; OTHER HPs'!$E$138:$E$175&amp;'TB-EQUIPMENT &amp; OTHER HPs'!$I$138:$I$175,0)),0)</f>
        <v>0</v>
      </c>
      <c r="AT276" s="625">
        <f t="array" ref="AT276">IFERROR(INDEX('TB-EQUIPMENT &amp; OTHER HPs'!$AC$138:$AC$175,MATCH($E276&amp;$F276,'TB-EQUIPMENT &amp; OTHER HPs'!$E$138:$E$175&amp;'TB-EQUIPMENT &amp; OTHER HPs'!$I$138:$I$175,0)),0)</f>
        <v>0</v>
      </c>
      <c r="AU276" s="626">
        <f t="shared" si="384"/>
        <v>0</v>
      </c>
      <c r="AV276" s="626">
        <f t="shared" si="385"/>
        <v>0</v>
      </c>
      <c r="AW276" s="626">
        <f t="shared" si="386"/>
        <v>0</v>
      </c>
      <c r="AX276" s="625">
        <f t="array" ref="AX276">IFERROR(INDEX('TB-EQUIPMENT &amp; OTHER HPs'!$AD$138:$AD$175,MATCH($E276&amp;$F276,'TB-EQUIPMENT &amp; OTHER HPs'!$E$138:$E$175&amp;'TB-EQUIPMENT &amp; OTHER HPs'!$I$138:$I$175,0)),0)</f>
        <v>0</v>
      </c>
      <c r="AY276" s="626">
        <f t="shared" si="387"/>
        <v>0</v>
      </c>
      <c r="AZ276" s="626">
        <f t="shared" si="388"/>
        <v>0</v>
      </c>
      <c r="BA276" s="626">
        <f t="shared" si="389"/>
        <v>0</v>
      </c>
      <c r="BB276" s="625">
        <f t="array" ref="BB276">IFERROR(INDEX('TB-EQUIPMENT &amp; OTHER HPs'!$AE$138:$AE$175,MATCH($E276&amp;$F276,'TB-EQUIPMENT &amp; OTHER HPs'!$E$138:$E$175&amp;'TB-EQUIPMENT &amp; OTHER HPs'!$I$138:$I$175,0)),0)</f>
        <v>0</v>
      </c>
      <c r="BC276" s="626">
        <f t="shared" si="390"/>
        <v>0</v>
      </c>
      <c r="BD276" s="626">
        <f t="shared" si="391"/>
        <v>0</v>
      </c>
      <c r="BE276" s="626">
        <f t="shared" si="392"/>
        <v>0</v>
      </c>
      <c r="BF276" s="625">
        <f t="array" ref="BF276">IFERROR(INDEX('TB-EQUIPMENT &amp; OTHER HPs'!$AF$138:$AF$175,MATCH($E276&amp;$F276,'TB-EQUIPMENT &amp; OTHER HPs'!$E$138:$E$175&amp;'TB-EQUIPMENT &amp; OTHER HPs'!$I$138:$I$175,0)),0)</f>
        <v>0</v>
      </c>
      <c r="BG276" s="626">
        <f t="shared" si="393"/>
        <v>0</v>
      </c>
      <c r="BH276" s="626">
        <f t="shared" si="394"/>
        <v>0</v>
      </c>
      <c r="BI276" s="626">
        <f t="shared" si="395"/>
        <v>0</v>
      </c>
      <c r="BJ276" s="630"/>
      <c r="BK276" s="625"/>
      <c r="BL276" s="625"/>
      <c r="BM276" s="625"/>
      <c r="BN276" s="625"/>
      <c r="BO276" s="625"/>
      <c r="BP276" s="625"/>
      <c r="BQ276" s="625"/>
      <c r="BR276" s="625"/>
    </row>
    <row r="277" spans="1:70">
      <c r="A277" s="29" t="s">
        <v>1756</v>
      </c>
      <c r="B277" s="29" t="s">
        <v>1838</v>
      </c>
      <c r="C277" s="619">
        <f>SETUP!$F$44</f>
        <v>0</v>
      </c>
      <c r="D277" s="25">
        <v>5.8</v>
      </c>
      <c r="E277" s="26" t="s">
        <v>1218</v>
      </c>
      <c r="F277" s="26" t="s">
        <v>1140</v>
      </c>
      <c r="G277" s="625" t="str">
        <f t="array" ref="G277">IFERROR(INDEX('TB-EQUIPMENT &amp; OTHER HPs'!$L$138:$L$175,MATCH($E277&amp;$F277,'TB-EQUIPMENT &amp; OTHER HPs'!$E$138:$E$175&amp;'TB-EQUIPMENT &amp; OTHER HPs'!$I$138:$I$175,0)),"")</f>
        <v/>
      </c>
      <c r="H277" s="625" t="str">
        <f t="array" ref="H277">IFERROR(INDEX('TB-EQUIPMENT &amp; OTHER HPs'!$M$138:$M$175,MATCH($E277&amp;$F277,'TB-EQUIPMENT &amp; OTHER HPs'!$E$138:$E$175&amp;'TB-EQUIPMENT &amp; OTHER HPs'!$I$138:$I$175,0)),"")</f>
        <v/>
      </c>
      <c r="I277" s="625">
        <f t="array" ref="I277">IFERROR(INDEX('TB-EQUIPMENT &amp; OTHER HPs'!$N$138:$N$175,MATCH($E277&amp;$F277,'TB-EQUIPMENT &amp; OTHER HPs'!$E$138:$E$175&amp;'TB-EQUIPMENT &amp; OTHER HPs'!$I$138:$I$175,0)),0)</f>
        <v>0</v>
      </c>
      <c r="J277" s="625">
        <f t="array" ref="J277">IFERROR(INDEX('TB-EQUIPMENT &amp; OTHER HPs'!$O$138:$O$175,MATCH($E277&amp;$F277,'TB-EQUIPMENT &amp; OTHER HPs'!$E$138:$E$175&amp;'TB-EQUIPMENT &amp; OTHER HPs'!$I$138:$I$175,0)),0)</f>
        <v>0</v>
      </c>
      <c r="K277" s="626">
        <f t="shared" si="360"/>
        <v>0</v>
      </c>
      <c r="L277" s="626">
        <f t="shared" si="361"/>
        <v>0</v>
      </c>
      <c r="M277" s="626">
        <f t="shared" si="362"/>
        <v>0</v>
      </c>
      <c r="N277" s="625">
        <f t="array" ref="N277">IFERROR(INDEX('TB-EQUIPMENT &amp; OTHER HPs'!$P$138:$P$175,MATCH($E277&amp;$F277,'TB-EQUIPMENT &amp; OTHER HPs'!$E$138:$E$175&amp;'TB-EQUIPMENT &amp; OTHER HPs'!$I$138:$I$175,0)),0)</f>
        <v>0</v>
      </c>
      <c r="O277" s="626">
        <f t="shared" si="363"/>
        <v>0</v>
      </c>
      <c r="P277" s="626">
        <f t="shared" si="364"/>
        <v>0</v>
      </c>
      <c r="Q277" s="626">
        <f t="shared" si="365"/>
        <v>0</v>
      </c>
      <c r="R277" s="625">
        <f t="array" ref="R277">IFERROR(INDEX('TB-EQUIPMENT &amp; OTHER HPs'!$Q$138:$Q$175,MATCH($E277&amp;$F277,'TB-EQUIPMENT &amp; OTHER HPs'!$E$138:$E$175&amp;'TB-EQUIPMENT &amp; OTHER HPs'!$I$138:$I$175,0)),0)</f>
        <v>0</v>
      </c>
      <c r="S277" s="626">
        <f t="shared" si="366"/>
        <v>0</v>
      </c>
      <c r="T277" s="626">
        <f t="shared" si="367"/>
        <v>0</v>
      </c>
      <c r="U277" s="626">
        <f t="shared" si="368"/>
        <v>0</v>
      </c>
      <c r="V277" s="625">
        <f t="array" ref="V277">IFERROR(INDEX('TB-EQUIPMENT &amp; OTHER HPs'!$R$138:$R$175,MATCH($E277&amp;$F277,'TB-EQUIPMENT &amp; OTHER HPs'!$E$138:$E$175&amp;'TB-EQUIPMENT &amp; OTHER HPs'!$I$138:$I$175,0)),0)</f>
        <v>0</v>
      </c>
      <c r="W277" s="626">
        <f t="shared" si="369"/>
        <v>0</v>
      </c>
      <c r="X277" s="626">
        <f t="shared" si="370"/>
        <v>0</v>
      </c>
      <c r="Y277" s="626">
        <f t="shared" si="371"/>
        <v>0</v>
      </c>
      <c r="AA277" s="625">
        <f t="array" ref="AA277">IFERROR(INDEX('TB-EQUIPMENT &amp; OTHER HPs'!$U$138:$U$175,MATCH($E277&amp;$F277,'TB-EQUIPMENT &amp; OTHER HPs'!$E$138:$E$175&amp;'TB-EQUIPMENT &amp; OTHER HPs'!$I$138:$I$175,0)),0)</f>
        <v>0</v>
      </c>
      <c r="AB277" s="625">
        <f t="array" ref="AB277">IFERROR(INDEX('TB-EQUIPMENT &amp; OTHER HPs'!$V$138:$V$175,MATCH($E277&amp;$F277,'TB-EQUIPMENT &amp; OTHER HPs'!$E$138:$E$175&amp;'TB-EQUIPMENT &amp; OTHER HPs'!$I$138:$I$175,0)),0)</f>
        <v>0</v>
      </c>
      <c r="AC277" s="626">
        <f t="shared" si="372"/>
        <v>0</v>
      </c>
      <c r="AD277" s="626">
        <f t="shared" si="373"/>
        <v>0</v>
      </c>
      <c r="AE277" s="626">
        <f t="shared" si="374"/>
        <v>0</v>
      </c>
      <c r="AF277" s="625">
        <f t="array" ref="AF277">IFERROR(INDEX('TB-EQUIPMENT &amp; OTHER HPs'!$W$138:$W$175,MATCH($E277&amp;$F277,'TB-EQUIPMENT &amp; OTHER HPs'!$E$138:$E$175&amp;'TB-EQUIPMENT &amp; OTHER HPs'!$I$138:$I$175,0)),0)</f>
        <v>0</v>
      </c>
      <c r="AG277" s="626">
        <f t="shared" si="375"/>
        <v>0</v>
      </c>
      <c r="AH277" s="626">
        <f t="shared" si="376"/>
        <v>0</v>
      </c>
      <c r="AI277" s="626">
        <f t="shared" si="377"/>
        <v>0</v>
      </c>
      <c r="AJ277" s="625">
        <f t="array" ref="AJ277">IFERROR(INDEX('TB-EQUIPMENT &amp; OTHER HPs'!$X$138:$X$175,MATCH($E277&amp;$F277,'TB-EQUIPMENT &amp; OTHER HPs'!$E$138:$E$175&amp;'TB-EQUIPMENT &amp; OTHER HPs'!$I$138:$I$175,0)),0)</f>
        <v>0</v>
      </c>
      <c r="AK277" s="626">
        <f t="shared" si="378"/>
        <v>0</v>
      </c>
      <c r="AL277" s="626">
        <f t="shared" si="379"/>
        <v>0</v>
      </c>
      <c r="AM277" s="626">
        <f t="shared" si="380"/>
        <v>0</v>
      </c>
      <c r="AN277" s="625">
        <f t="array" ref="AN277">IFERROR(INDEX('TB-EQUIPMENT &amp; OTHER HPs'!$Y$138:$Y$175,MATCH($E277&amp;$F277,'TB-EQUIPMENT &amp; OTHER HPs'!$E$138:$E$175&amp;'TB-EQUIPMENT &amp; OTHER HPs'!$I$138:$I$175,0)),0)</f>
        <v>0</v>
      </c>
      <c r="AO277" s="626">
        <f t="shared" si="381"/>
        <v>0</v>
      </c>
      <c r="AP277" s="626">
        <f t="shared" si="382"/>
        <v>0</v>
      </c>
      <c r="AQ277" s="626">
        <f t="shared" si="383"/>
        <v>0</v>
      </c>
      <c r="AR277" s="630"/>
      <c r="AS277" s="625">
        <f t="array" ref="AS277">IFERROR(INDEX('TB-EQUIPMENT &amp; OTHER HPs'!$AB$138:$AB$175,MATCH($E277&amp;$F277,'TB-EQUIPMENT &amp; OTHER HPs'!$E$138:$E$175&amp;'TB-EQUIPMENT &amp; OTHER HPs'!$I$138:$I$175,0)),0)</f>
        <v>0</v>
      </c>
      <c r="AT277" s="625">
        <f t="array" ref="AT277">IFERROR(INDEX('TB-EQUIPMENT &amp; OTHER HPs'!$AC$138:$AC$175,MATCH($E277&amp;$F277,'TB-EQUIPMENT &amp; OTHER HPs'!$E$138:$E$175&amp;'TB-EQUIPMENT &amp; OTHER HPs'!$I$138:$I$175,0)),0)</f>
        <v>0</v>
      </c>
      <c r="AU277" s="626">
        <f t="shared" si="384"/>
        <v>0</v>
      </c>
      <c r="AV277" s="626">
        <f t="shared" si="385"/>
        <v>0</v>
      </c>
      <c r="AW277" s="626">
        <f t="shared" si="386"/>
        <v>0</v>
      </c>
      <c r="AX277" s="625">
        <f t="array" ref="AX277">IFERROR(INDEX('TB-EQUIPMENT &amp; OTHER HPs'!$AD$138:$AD$175,MATCH($E277&amp;$F277,'TB-EQUIPMENT &amp; OTHER HPs'!$E$138:$E$175&amp;'TB-EQUIPMENT &amp; OTHER HPs'!$I$138:$I$175,0)),0)</f>
        <v>0</v>
      </c>
      <c r="AY277" s="626">
        <f t="shared" si="387"/>
        <v>0</v>
      </c>
      <c r="AZ277" s="626">
        <f t="shared" si="388"/>
        <v>0</v>
      </c>
      <c r="BA277" s="626">
        <f t="shared" si="389"/>
        <v>0</v>
      </c>
      <c r="BB277" s="625">
        <f t="array" ref="BB277">IFERROR(INDEX('TB-EQUIPMENT &amp; OTHER HPs'!$AE$138:$AE$175,MATCH($E277&amp;$F277,'TB-EQUIPMENT &amp; OTHER HPs'!$E$138:$E$175&amp;'TB-EQUIPMENT &amp; OTHER HPs'!$I$138:$I$175,0)),0)</f>
        <v>0</v>
      </c>
      <c r="BC277" s="626">
        <f t="shared" si="390"/>
        <v>0</v>
      </c>
      <c r="BD277" s="626">
        <f t="shared" si="391"/>
        <v>0</v>
      </c>
      <c r="BE277" s="626">
        <f t="shared" si="392"/>
        <v>0</v>
      </c>
      <c r="BF277" s="625">
        <f t="array" ref="BF277">IFERROR(INDEX('TB-EQUIPMENT &amp; OTHER HPs'!$AF$138:$AF$175,MATCH($E277&amp;$F277,'TB-EQUIPMENT &amp; OTHER HPs'!$E$138:$E$175&amp;'TB-EQUIPMENT &amp; OTHER HPs'!$I$138:$I$175,0)),0)</f>
        <v>0</v>
      </c>
      <c r="BG277" s="626">
        <f t="shared" si="393"/>
        <v>0</v>
      </c>
      <c r="BH277" s="626">
        <f t="shared" si="394"/>
        <v>0</v>
      </c>
      <c r="BI277" s="626">
        <f t="shared" si="395"/>
        <v>0</v>
      </c>
      <c r="BJ277" s="630"/>
      <c r="BK277" s="625"/>
      <c r="BL277" s="625"/>
      <c r="BM277" s="625"/>
      <c r="BN277" s="625"/>
      <c r="BO277" s="625"/>
      <c r="BP277" s="625"/>
      <c r="BQ277" s="625"/>
      <c r="BR277" s="625"/>
    </row>
    <row r="278" spans="1:70">
      <c r="A278" s="29" t="s">
        <v>1756</v>
      </c>
      <c r="B278" s="29" t="s">
        <v>1838</v>
      </c>
      <c r="C278" s="619">
        <f>SETUP!$F$44</f>
        <v>0</v>
      </c>
      <c r="D278" s="25">
        <v>5.8</v>
      </c>
      <c r="E278" s="26" t="s">
        <v>1219</v>
      </c>
      <c r="F278" s="26" t="s">
        <v>1140</v>
      </c>
      <c r="G278" s="625" t="str">
        <f t="array" ref="G278">IFERROR(INDEX('TB-EQUIPMENT &amp; OTHER HPs'!$L$138:$L$175,MATCH($E278&amp;$F278,'TB-EQUIPMENT &amp; OTHER HPs'!$E$138:$E$175&amp;'TB-EQUIPMENT &amp; OTHER HPs'!$I$138:$I$175,0)),"")</f>
        <v/>
      </c>
      <c r="H278" s="625" t="str">
        <f t="array" ref="H278">IFERROR(INDEX('TB-EQUIPMENT &amp; OTHER HPs'!$M$138:$M$175,MATCH($E278&amp;$F278,'TB-EQUIPMENT &amp; OTHER HPs'!$E$138:$E$175&amp;'TB-EQUIPMENT &amp; OTHER HPs'!$I$138:$I$175,0)),"")</f>
        <v/>
      </c>
      <c r="I278" s="625">
        <f t="array" ref="I278">IFERROR(INDEX('TB-EQUIPMENT &amp; OTHER HPs'!$N$138:$N$175,MATCH($E278&amp;$F278,'TB-EQUIPMENT &amp; OTHER HPs'!$E$138:$E$175&amp;'TB-EQUIPMENT &amp; OTHER HPs'!$I$138:$I$175,0)),0)</f>
        <v>0</v>
      </c>
      <c r="J278" s="625">
        <f t="array" ref="J278">IFERROR(INDEX('TB-EQUIPMENT &amp; OTHER HPs'!$O$138:$O$175,MATCH($E278&amp;$F278,'TB-EQUIPMENT &amp; OTHER HPs'!$E$138:$E$175&amp;'TB-EQUIPMENT &amp; OTHER HPs'!$I$138:$I$175,0)),0)</f>
        <v>0</v>
      </c>
      <c r="K278" s="626">
        <f t="shared" si="360"/>
        <v>0</v>
      </c>
      <c r="L278" s="626">
        <f t="shared" si="361"/>
        <v>0</v>
      </c>
      <c r="M278" s="626">
        <f t="shared" si="362"/>
        <v>0</v>
      </c>
      <c r="N278" s="625">
        <f t="array" ref="N278">IFERROR(INDEX('TB-EQUIPMENT &amp; OTHER HPs'!$P$138:$P$175,MATCH($E278&amp;$F278,'TB-EQUIPMENT &amp; OTHER HPs'!$E$138:$E$175&amp;'TB-EQUIPMENT &amp; OTHER HPs'!$I$138:$I$175,0)),0)</f>
        <v>0</v>
      </c>
      <c r="O278" s="626">
        <f t="shared" si="363"/>
        <v>0</v>
      </c>
      <c r="P278" s="626">
        <f t="shared" si="364"/>
        <v>0</v>
      </c>
      <c r="Q278" s="626">
        <f t="shared" si="365"/>
        <v>0</v>
      </c>
      <c r="R278" s="625">
        <f t="array" ref="R278">IFERROR(INDEX('TB-EQUIPMENT &amp; OTHER HPs'!$Q$138:$Q$175,MATCH($E278&amp;$F278,'TB-EQUIPMENT &amp; OTHER HPs'!$E$138:$E$175&amp;'TB-EQUIPMENT &amp; OTHER HPs'!$I$138:$I$175,0)),0)</f>
        <v>0</v>
      </c>
      <c r="S278" s="626">
        <f t="shared" si="366"/>
        <v>0</v>
      </c>
      <c r="T278" s="626">
        <f t="shared" si="367"/>
        <v>0</v>
      </c>
      <c r="U278" s="626">
        <f t="shared" si="368"/>
        <v>0</v>
      </c>
      <c r="V278" s="625">
        <f t="array" ref="V278">IFERROR(INDEX('TB-EQUIPMENT &amp; OTHER HPs'!$R$138:$R$175,MATCH($E278&amp;$F278,'TB-EQUIPMENT &amp; OTHER HPs'!$E$138:$E$175&amp;'TB-EQUIPMENT &amp; OTHER HPs'!$I$138:$I$175,0)),0)</f>
        <v>0</v>
      </c>
      <c r="W278" s="626">
        <f t="shared" si="369"/>
        <v>0</v>
      </c>
      <c r="X278" s="626">
        <f t="shared" si="370"/>
        <v>0</v>
      </c>
      <c r="Y278" s="626">
        <f t="shared" si="371"/>
        <v>0</v>
      </c>
      <c r="AA278" s="625">
        <f t="array" ref="AA278">IFERROR(INDEX('TB-EQUIPMENT &amp; OTHER HPs'!$U$138:$U$175,MATCH($E278&amp;$F278,'TB-EQUIPMENT &amp; OTHER HPs'!$E$138:$E$175&amp;'TB-EQUIPMENT &amp; OTHER HPs'!$I$138:$I$175,0)),0)</f>
        <v>0</v>
      </c>
      <c r="AB278" s="625">
        <f t="array" ref="AB278">IFERROR(INDEX('TB-EQUIPMENT &amp; OTHER HPs'!$V$138:$V$175,MATCH($E278&amp;$F278,'TB-EQUIPMENT &amp; OTHER HPs'!$E$138:$E$175&amp;'TB-EQUIPMENT &amp; OTHER HPs'!$I$138:$I$175,0)),0)</f>
        <v>0</v>
      </c>
      <c r="AC278" s="626">
        <f t="shared" si="372"/>
        <v>0</v>
      </c>
      <c r="AD278" s="626">
        <f t="shared" si="373"/>
        <v>0</v>
      </c>
      <c r="AE278" s="626">
        <f t="shared" si="374"/>
        <v>0</v>
      </c>
      <c r="AF278" s="625">
        <f t="array" ref="AF278">IFERROR(INDEX('TB-EQUIPMENT &amp; OTHER HPs'!$W$138:$W$175,MATCH($E278&amp;$F278,'TB-EQUIPMENT &amp; OTHER HPs'!$E$138:$E$175&amp;'TB-EQUIPMENT &amp; OTHER HPs'!$I$138:$I$175,0)),0)</f>
        <v>0</v>
      </c>
      <c r="AG278" s="626">
        <f t="shared" si="375"/>
        <v>0</v>
      </c>
      <c r="AH278" s="626">
        <f t="shared" si="376"/>
        <v>0</v>
      </c>
      <c r="AI278" s="626">
        <f t="shared" si="377"/>
        <v>0</v>
      </c>
      <c r="AJ278" s="625">
        <f t="array" ref="AJ278">IFERROR(INDEX('TB-EQUIPMENT &amp; OTHER HPs'!$X$138:$X$175,MATCH($E278&amp;$F278,'TB-EQUIPMENT &amp; OTHER HPs'!$E$138:$E$175&amp;'TB-EQUIPMENT &amp; OTHER HPs'!$I$138:$I$175,0)),0)</f>
        <v>0</v>
      </c>
      <c r="AK278" s="626">
        <f t="shared" si="378"/>
        <v>0</v>
      </c>
      <c r="AL278" s="626">
        <f t="shared" si="379"/>
        <v>0</v>
      </c>
      <c r="AM278" s="626">
        <f t="shared" si="380"/>
        <v>0</v>
      </c>
      <c r="AN278" s="625">
        <f t="array" ref="AN278">IFERROR(INDEX('TB-EQUIPMENT &amp; OTHER HPs'!$Y$138:$Y$175,MATCH($E278&amp;$F278,'TB-EQUIPMENT &amp; OTHER HPs'!$E$138:$E$175&amp;'TB-EQUIPMENT &amp; OTHER HPs'!$I$138:$I$175,0)),0)</f>
        <v>0</v>
      </c>
      <c r="AO278" s="626">
        <f t="shared" si="381"/>
        <v>0</v>
      </c>
      <c r="AP278" s="626">
        <f t="shared" si="382"/>
        <v>0</v>
      </c>
      <c r="AQ278" s="626">
        <f t="shared" si="383"/>
        <v>0</v>
      </c>
      <c r="AR278" s="630"/>
      <c r="AS278" s="625">
        <f t="array" ref="AS278">IFERROR(INDEX('TB-EQUIPMENT &amp; OTHER HPs'!$AB$138:$AB$175,MATCH($E278&amp;$F278,'TB-EQUIPMENT &amp; OTHER HPs'!$E$138:$E$175&amp;'TB-EQUIPMENT &amp; OTHER HPs'!$I$138:$I$175,0)),0)</f>
        <v>0</v>
      </c>
      <c r="AT278" s="625">
        <f t="array" ref="AT278">IFERROR(INDEX('TB-EQUIPMENT &amp; OTHER HPs'!$AC$138:$AC$175,MATCH($E278&amp;$F278,'TB-EQUIPMENT &amp; OTHER HPs'!$E$138:$E$175&amp;'TB-EQUIPMENT &amp; OTHER HPs'!$I$138:$I$175,0)),0)</f>
        <v>0</v>
      </c>
      <c r="AU278" s="626">
        <f t="shared" si="384"/>
        <v>0</v>
      </c>
      <c r="AV278" s="626">
        <f t="shared" si="385"/>
        <v>0</v>
      </c>
      <c r="AW278" s="626">
        <f t="shared" si="386"/>
        <v>0</v>
      </c>
      <c r="AX278" s="625">
        <f t="array" ref="AX278">IFERROR(INDEX('TB-EQUIPMENT &amp; OTHER HPs'!$AD$138:$AD$175,MATCH($E278&amp;$F278,'TB-EQUIPMENT &amp; OTHER HPs'!$E$138:$E$175&amp;'TB-EQUIPMENT &amp; OTHER HPs'!$I$138:$I$175,0)),0)</f>
        <v>0</v>
      </c>
      <c r="AY278" s="626">
        <f t="shared" si="387"/>
        <v>0</v>
      </c>
      <c r="AZ278" s="626">
        <f t="shared" si="388"/>
        <v>0</v>
      </c>
      <c r="BA278" s="626">
        <f t="shared" si="389"/>
        <v>0</v>
      </c>
      <c r="BB278" s="625">
        <f t="array" ref="BB278">IFERROR(INDEX('TB-EQUIPMENT &amp; OTHER HPs'!$AE$138:$AE$175,MATCH($E278&amp;$F278,'TB-EQUIPMENT &amp; OTHER HPs'!$E$138:$E$175&amp;'TB-EQUIPMENT &amp; OTHER HPs'!$I$138:$I$175,0)),0)</f>
        <v>0</v>
      </c>
      <c r="BC278" s="626">
        <f t="shared" si="390"/>
        <v>0</v>
      </c>
      <c r="BD278" s="626">
        <f t="shared" si="391"/>
        <v>0</v>
      </c>
      <c r="BE278" s="626">
        <f t="shared" si="392"/>
        <v>0</v>
      </c>
      <c r="BF278" s="625">
        <f t="array" ref="BF278">IFERROR(INDEX('TB-EQUIPMENT &amp; OTHER HPs'!$AF$138:$AF$175,MATCH($E278&amp;$F278,'TB-EQUIPMENT &amp; OTHER HPs'!$E$138:$E$175&amp;'TB-EQUIPMENT &amp; OTHER HPs'!$I$138:$I$175,0)),0)</f>
        <v>0</v>
      </c>
      <c r="BG278" s="626">
        <f t="shared" si="393"/>
        <v>0</v>
      </c>
      <c r="BH278" s="626">
        <f t="shared" si="394"/>
        <v>0</v>
      </c>
      <c r="BI278" s="626">
        <f t="shared" si="395"/>
        <v>0</v>
      </c>
      <c r="BJ278" s="630"/>
      <c r="BK278" s="625"/>
      <c r="BL278" s="625"/>
      <c r="BM278" s="625"/>
      <c r="BN278" s="625"/>
      <c r="BO278" s="625"/>
      <c r="BP278" s="625"/>
      <c r="BQ278" s="625"/>
      <c r="BR278" s="625"/>
    </row>
    <row r="279" spans="1:70">
      <c r="A279" s="29" t="s">
        <v>1757</v>
      </c>
      <c r="B279" s="29" t="s">
        <v>1838</v>
      </c>
      <c r="C279" s="619">
        <f>SETUP!$F$44</f>
        <v>0</v>
      </c>
      <c r="D279" s="25">
        <v>5.8</v>
      </c>
      <c r="E279" s="26" t="s">
        <v>1486</v>
      </c>
      <c r="F279" s="26" t="s">
        <v>1140</v>
      </c>
      <c r="G279" s="625" t="str">
        <f t="array" ref="G279">IFERROR(INDEX('TB-EQUIPMENT &amp; OTHER HPs'!$L$138:$L$175,MATCH($E279&amp;$F279,'TB-EQUIPMENT &amp; OTHER HPs'!$E$138:$E$175&amp;'TB-EQUIPMENT &amp; OTHER HPs'!$I$138:$I$175,0)),"")</f>
        <v/>
      </c>
      <c r="H279" s="625" t="str">
        <f t="array" ref="H279">IFERROR(INDEX('TB-EQUIPMENT &amp; OTHER HPs'!$M$138:$M$175,MATCH($E279&amp;$F279,'TB-EQUIPMENT &amp; OTHER HPs'!$E$138:$E$175&amp;'TB-EQUIPMENT &amp; OTHER HPs'!$I$138:$I$175,0)),"")</f>
        <v/>
      </c>
      <c r="I279" s="625">
        <f t="array" ref="I279">IFERROR(INDEX('TB-EQUIPMENT &amp; OTHER HPs'!$N$138:$N$175,MATCH($E279&amp;$F279,'TB-EQUIPMENT &amp; OTHER HPs'!$E$138:$E$175&amp;'TB-EQUIPMENT &amp; OTHER HPs'!$I$138:$I$175,0)),0)</f>
        <v>0</v>
      </c>
      <c r="J279" s="625">
        <f t="array" ref="J279">IFERROR(INDEX('TB-EQUIPMENT &amp; OTHER HPs'!$O$138:$O$175,MATCH($E279&amp;$F279,'TB-EQUIPMENT &amp; OTHER HPs'!$E$138:$E$175&amp;'TB-EQUIPMENT &amp; OTHER HPs'!$I$138:$I$175,0)),0)</f>
        <v>0</v>
      </c>
      <c r="K279" s="626">
        <f t="shared" si="360"/>
        <v>0</v>
      </c>
      <c r="L279" s="626">
        <f t="shared" si="361"/>
        <v>0</v>
      </c>
      <c r="M279" s="626">
        <f t="shared" si="362"/>
        <v>0</v>
      </c>
      <c r="N279" s="625">
        <f t="array" ref="N279">IFERROR(INDEX('TB-EQUIPMENT &amp; OTHER HPs'!$P$138:$P$175,MATCH($E279&amp;$F279,'TB-EQUIPMENT &amp; OTHER HPs'!$E$138:$E$175&amp;'TB-EQUIPMENT &amp; OTHER HPs'!$I$138:$I$175,0)),0)</f>
        <v>0</v>
      </c>
      <c r="O279" s="626">
        <f t="shared" si="363"/>
        <v>0</v>
      </c>
      <c r="P279" s="626">
        <f t="shared" si="364"/>
        <v>0</v>
      </c>
      <c r="Q279" s="626">
        <f t="shared" si="365"/>
        <v>0</v>
      </c>
      <c r="R279" s="625">
        <f t="array" ref="R279">IFERROR(INDEX('TB-EQUIPMENT &amp; OTHER HPs'!$Q$138:$Q$175,MATCH($E279&amp;$F279,'TB-EQUIPMENT &amp; OTHER HPs'!$E$138:$E$175&amp;'TB-EQUIPMENT &amp; OTHER HPs'!$I$138:$I$175,0)),0)</f>
        <v>0</v>
      </c>
      <c r="S279" s="626">
        <f t="shared" si="366"/>
        <v>0</v>
      </c>
      <c r="T279" s="626">
        <f t="shared" si="367"/>
        <v>0</v>
      </c>
      <c r="U279" s="626">
        <f t="shared" si="368"/>
        <v>0</v>
      </c>
      <c r="V279" s="625">
        <f t="array" ref="V279">IFERROR(INDEX('TB-EQUIPMENT &amp; OTHER HPs'!$R$138:$R$175,MATCH($E279&amp;$F279,'TB-EQUIPMENT &amp; OTHER HPs'!$E$138:$E$175&amp;'TB-EQUIPMENT &amp; OTHER HPs'!$I$138:$I$175,0)),0)</f>
        <v>0</v>
      </c>
      <c r="W279" s="626">
        <f t="shared" si="369"/>
        <v>0</v>
      </c>
      <c r="X279" s="626">
        <f t="shared" si="370"/>
        <v>0</v>
      </c>
      <c r="Y279" s="626">
        <f t="shared" si="371"/>
        <v>0</v>
      </c>
      <c r="AA279" s="625">
        <f t="array" ref="AA279">IFERROR(INDEX('TB-EQUIPMENT &amp; OTHER HPs'!$U$138:$U$175,MATCH($E279&amp;$F279,'TB-EQUIPMENT &amp; OTHER HPs'!$E$138:$E$175&amp;'TB-EQUIPMENT &amp; OTHER HPs'!$I$138:$I$175,0)),0)</f>
        <v>0</v>
      </c>
      <c r="AB279" s="625">
        <f t="array" ref="AB279">IFERROR(INDEX('TB-EQUIPMENT &amp; OTHER HPs'!$V$138:$V$175,MATCH($E279&amp;$F279,'TB-EQUIPMENT &amp; OTHER HPs'!$E$138:$E$175&amp;'TB-EQUIPMENT &amp; OTHER HPs'!$I$138:$I$175,0)),0)</f>
        <v>0</v>
      </c>
      <c r="AC279" s="626">
        <f t="shared" si="372"/>
        <v>0</v>
      </c>
      <c r="AD279" s="626">
        <f t="shared" si="373"/>
        <v>0</v>
      </c>
      <c r="AE279" s="626">
        <f t="shared" si="374"/>
        <v>0</v>
      </c>
      <c r="AF279" s="625">
        <f t="array" ref="AF279">IFERROR(INDEX('TB-EQUIPMENT &amp; OTHER HPs'!$W$138:$W$175,MATCH($E279&amp;$F279,'TB-EQUIPMENT &amp; OTHER HPs'!$E$138:$E$175&amp;'TB-EQUIPMENT &amp; OTHER HPs'!$I$138:$I$175,0)),0)</f>
        <v>0</v>
      </c>
      <c r="AG279" s="626">
        <f t="shared" si="375"/>
        <v>0</v>
      </c>
      <c r="AH279" s="626">
        <f t="shared" si="376"/>
        <v>0</v>
      </c>
      <c r="AI279" s="626">
        <f t="shared" si="377"/>
        <v>0</v>
      </c>
      <c r="AJ279" s="625">
        <f t="array" ref="AJ279">IFERROR(INDEX('TB-EQUIPMENT &amp; OTHER HPs'!$X$138:$X$175,MATCH($E279&amp;$F279,'TB-EQUIPMENT &amp; OTHER HPs'!$E$138:$E$175&amp;'TB-EQUIPMENT &amp; OTHER HPs'!$I$138:$I$175,0)),0)</f>
        <v>0</v>
      </c>
      <c r="AK279" s="626">
        <f t="shared" si="378"/>
        <v>0</v>
      </c>
      <c r="AL279" s="626">
        <f t="shared" si="379"/>
        <v>0</v>
      </c>
      <c r="AM279" s="626">
        <f t="shared" si="380"/>
        <v>0</v>
      </c>
      <c r="AN279" s="625">
        <f t="array" ref="AN279">IFERROR(INDEX('TB-EQUIPMENT &amp; OTHER HPs'!$Y$138:$Y$175,MATCH($E279&amp;$F279,'TB-EQUIPMENT &amp; OTHER HPs'!$E$138:$E$175&amp;'TB-EQUIPMENT &amp; OTHER HPs'!$I$138:$I$175,0)),0)</f>
        <v>0</v>
      </c>
      <c r="AO279" s="626">
        <f t="shared" si="381"/>
        <v>0</v>
      </c>
      <c r="AP279" s="626">
        <f t="shared" si="382"/>
        <v>0</v>
      </c>
      <c r="AQ279" s="626">
        <f t="shared" si="383"/>
        <v>0</v>
      </c>
      <c r="AR279" s="630"/>
      <c r="AS279" s="625">
        <f t="array" ref="AS279">IFERROR(INDEX('TB-EQUIPMENT &amp; OTHER HPs'!$AB$138:$AB$175,MATCH($E279&amp;$F279,'TB-EQUIPMENT &amp; OTHER HPs'!$E$138:$E$175&amp;'TB-EQUIPMENT &amp; OTHER HPs'!$I$138:$I$175,0)),0)</f>
        <v>0</v>
      </c>
      <c r="AT279" s="625">
        <f t="array" ref="AT279">IFERROR(INDEX('TB-EQUIPMENT &amp; OTHER HPs'!$AC$138:$AC$175,MATCH($E279&amp;$F279,'TB-EQUIPMENT &amp; OTHER HPs'!$E$138:$E$175&amp;'TB-EQUIPMENT &amp; OTHER HPs'!$I$138:$I$175,0)),0)</f>
        <v>0</v>
      </c>
      <c r="AU279" s="626">
        <f t="shared" si="384"/>
        <v>0</v>
      </c>
      <c r="AV279" s="626">
        <f t="shared" si="385"/>
        <v>0</v>
      </c>
      <c r="AW279" s="626">
        <f t="shared" si="386"/>
        <v>0</v>
      </c>
      <c r="AX279" s="625">
        <f t="array" ref="AX279">IFERROR(INDEX('TB-EQUIPMENT &amp; OTHER HPs'!$AD$138:$AD$175,MATCH($E279&amp;$F279,'TB-EQUIPMENT &amp; OTHER HPs'!$E$138:$E$175&amp;'TB-EQUIPMENT &amp; OTHER HPs'!$I$138:$I$175,0)),0)</f>
        <v>0</v>
      </c>
      <c r="AY279" s="626">
        <f t="shared" si="387"/>
        <v>0</v>
      </c>
      <c r="AZ279" s="626">
        <f t="shared" si="388"/>
        <v>0</v>
      </c>
      <c r="BA279" s="626">
        <f t="shared" si="389"/>
        <v>0</v>
      </c>
      <c r="BB279" s="625">
        <f t="array" ref="BB279">IFERROR(INDEX('TB-EQUIPMENT &amp; OTHER HPs'!$AE$138:$AE$175,MATCH($E279&amp;$F279,'TB-EQUIPMENT &amp; OTHER HPs'!$E$138:$E$175&amp;'TB-EQUIPMENT &amp; OTHER HPs'!$I$138:$I$175,0)),0)</f>
        <v>0</v>
      </c>
      <c r="BC279" s="626">
        <f t="shared" si="390"/>
        <v>0</v>
      </c>
      <c r="BD279" s="626">
        <f t="shared" si="391"/>
        <v>0</v>
      </c>
      <c r="BE279" s="626">
        <f t="shared" si="392"/>
        <v>0</v>
      </c>
      <c r="BF279" s="625">
        <f t="array" ref="BF279">IFERROR(INDEX('TB-EQUIPMENT &amp; OTHER HPs'!$AF$138:$AF$175,MATCH($E279&amp;$F279,'TB-EQUIPMENT &amp; OTHER HPs'!$E$138:$E$175&amp;'TB-EQUIPMENT &amp; OTHER HPs'!$I$138:$I$175,0)),0)</f>
        <v>0</v>
      </c>
      <c r="BG279" s="626">
        <f t="shared" si="393"/>
        <v>0</v>
      </c>
      <c r="BH279" s="626">
        <f t="shared" si="394"/>
        <v>0</v>
      </c>
      <c r="BI279" s="626">
        <f t="shared" si="395"/>
        <v>0</v>
      </c>
      <c r="BJ279" s="630"/>
      <c r="BK279" s="625"/>
      <c r="BL279" s="625"/>
      <c r="BM279" s="625"/>
      <c r="BN279" s="625"/>
      <c r="BO279" s="625"/>
      <c r="BP279" s="625"/>
      <c r="BQ279" s="625"/>
      <c r="BR279" s="625"/>
    </row>
    <row r="280" spans="1:70">
      <c r="A280" s="29" t="s">
        <v>1757</v>
      </c>
      <c r="B280" s="29" t="s">
        <v>1838</v>
      </c>
      <c r="C280" s="619">
        <f>SETUP!$F$44</f>
        <v>0</v>
      </c>
      <c r="D280" s="25">
        <v>5.8</v>
      </c>
      <c r="E280" s="26" t="s">
        <v>1487</v>
      </c>
      <c r="F280" s="26" t="s">
        <v>1140</v>
      </c>
      <c r="G280" s="625" t="str">
        <f t="array" ref="G280">IFERROR(INDEX('TB-EQUIPMENT &amp; OTHER HPs'!$L$138:$L$175,MATCH($E280&amp;$F280,'TB-EQUIPMENT &amp; OTHER HPs'!$E$138:$E$175&amp;'TB-EQUIPMENT &amp; OTHER HPs'!$I$138:$I$175,0)),"")</f>
        <v/>
      </c>
      <c r="H280" s="625" t="str">
        <f t="array" ref="H280">IFERROR(INDEX('TB-EQUIPMENT &amp; OTHER HPs'!$M$138:$M$175,MATCH($E280&amp;$F280,'TB-EQUIPMENT &amp; OTHER HPs'!$E$138:$E$175&amp;'TB-EQUIPMENT &amp; OTHER HPs'!$I$138:$I$175,0)),"")</f>
        <v/>
      </c>
      <c r="I280" s="625">
        <f t="array" ref="I280">IFERROR(INDEX('TB-EQUIPMENT &amp; OTHER HPs'!$N$138:$N$175,MATCH($E280&amp;$F280,'TB-EQUIPMENT &amp; OTHER HPs'!$E$138:$E$175&amp;'TB-EQUIPMENT &amp; OTHER HPs'!$I$138:$I$175,0)),0)</f>
        <v>0</v>
      </c>
      <c r="J280" s="625">
        <f t="array" ref="J280">IFERROR(INDEX('TB-EQUIPMENT &amp; OTHER HPs'!$O$138:$O$175,MATCH($E280&amp;$F280,'TB-EQUIPMENT &amp; OTHER HPs'!$E$138:$E$175&amp;'TB-EQUIPMENT &amp; OTHER HPs'!$I$138:$I$175,0)),0)</f>
        <v>0</v>
      </c>
      <c r="K280" s="626">
        <f t="shared" si="360"/>
        <v>0</v>
      </c>
      <c r="L280" s="626">
        <f t="shared" si="361"/>
        <v>0</v>
      </c>
      <c r="M280" s="626">
        <f t="shared" si="362"/>
        <v>0</v>
      </c>
      <c r="N280" s="625">
        <f t="array" ref="N280">IFERROR(INDEX('TB-EQUIPMENT &amp; OTHER HPs'!$P$138:$P$175,MATCH($E280&amp;$F280,'TB-EQUIPMENT &amp; OTHER HPs'!$E$138:$E$175&amp;'TB-EQUIPMENT &amp; OTHER HPs'!$I$138:$I$175,0)),0)</f>
        <v>0</v>
      </c>
      <c r="O280" s="626">
        <f t="shared" si="363"/>
        <v>0</v>
      </c>
      <c r="P280" s="626">
        <f t="shared" si="364"/>
        <v>0</v>
      </c>
      <c r="Q280" s="626">
        <f t="shared" si="365"/>
        <v>0</v>
      </c>
      <c r="R280" s="625">
        <f t="array" ref="R280">IFERROR(INDEX('TB-EQUIPMENT &amp; OTHER HPs'!$Q$138:$Q$175,MATCH($E280&amp;$F280,'TB-EQUIPMENT &amp; OTHER HPs'!$E$138:$E$175&amp;'TB-EQUIPMENT &amp; OTHER HPs'!$I$138:$I$175,0)),0)</f>
        <v>0</v>
      </c>
      <c r="S280" s="626">
        <f t="shared" si="366"/>
        <v>0</v>
      </c>
      <c r="T280" s="626">
        <f t="shared" si="367"/>
        <v>0</v>
      </c>
      <c r="U280" s="626">
        <f t="shared" si="368"/>
        <v>0</v>
      </c>
      <c r="V280" s="625">
        <f t="array" ref="V280">IFERROR(INDEX('TB-EQUIPMENT &amp; OTHER HPs'!$R$138:$R$175,MATCH($E280&amp;$F280,'TB-EQUIPMENT &amp; OTHER HPs'!$E$138:$E$175&amp;'TB-EQUIPMENT &amp; OTHER HPs'!$I$138:$I$175,0)),0)</f>
        <v>0</v>
      </c>
      <c r="W280" s="626">
        <f t="shared" si="369"/>
        <v>0</v>
      </c>
      <c r="X280" s="626">
        <f t="shared" si="370"/>
        <v>0</v>
      </c>
      <c r="Y280" s="626">
        <f t="shared" si="371"/>
        <v>0</v>
      </c>
      <c r="AA280" s="625">
        <f t="array" ref="AA280">IFERROR(INDEX('TB-EQUIPMENT &amp; OTHER HPs'!$U$138:$U$175,MATCH($E280&amp;$F280,'TB-EQUIPMENT &amp; OTHER HPs'!$E$138:$E$175&amp;'TB-EQUIPMENT &amp; OTHER HPs'!$I$138:$I$175,0)),0)</f>
        <v>0</v>
      </c>
      <c r="AB280" s="625">
        <f t="array" ref="AB280">IFERROR(INDEX('TB-EQUIPMENT &amp; OTHER HPs'!$V$138:$V$175,MATCH($E280&amp;$F280,'TB-EQUIPMENT &amp; OTHER HPs'!$E$138:$E$175&amp;'TB-EQUIPMENT &amp; OTHER HPs'!$I$138:$I$175,0)),0)</f>
        <v>0</v>
      </c>
      <c r="AC280" s="626">
        <f t="shared" si="372"/>
        <v>0</v>
      </c>
      <c r="AD280" s="626">
        <f t="shared" si="373"/>
        <v>0</v>
      </c>
      <c r="AE280" s="626">
        <f t="shared" si="374"/>
        <v>0</v>
      </c>
      <c r="AF280" s="625">
        <f t="array" ref="AF280">IFERROR(INDEX('TB-EQUIPMENT &amp; OTHER HPs'!$W$138:$W$175,MATCH($E280&amp;$F280,'TB-EQUIPMENT &amp; OTHER HPs'!$E$138:$E$175&amp;'TB-EQUIPMENT &amp; OTHER HPs'!$I$138:$I$175,0)),0)</f>
        <v>0</v>
      </c>
      <c r="AG280" s="626">
        <f t="shared" si="375"/>
        <v>0</v>
      </c>
      <c r="AH280" s="626">
        <f t="shared" si="376"/>
        <v>0</v>
      </c>
      <c r="AI280" s="626">
        <f t="shared" si="377"/>
        <v>0</v>
      </c>
      <c r="AJ280" s="625">
        <f t="array" ref="AJ280">IFERROR(INDEX('TB-EQUIPMENT &amp; OTHER HPs'!$X$138:$X$175,MATCH($E280&amp;$F280,'TB-EQUIPMENT &amp; OTHER HPs'!$E$138:$E$175&amp;'TB-EQUIPMENT &amp; OTHER HPs'!$I$138:$I$175,0)),0)</f>
        <v>0</v>
      </c>
      <c r="AK280" s="626">
        <f t="shared" si="378"/>
        <v>0</v>
      </c>
      <c r="AL280" s="626">
        <f t="shared" si="379"/>
        <v>0</v>
      </c>
      <c r="AM280" s="626">
        <f t="shared" si="380"/>
        <v>0</v>
      </c>
      <c r="AN280" s="625">
        <f t="array" ref="AN280">IFERROR(INDEX('TB-EQUIPMENT &amp; OTHER HPs'!$Y$138:$Y$175,MATCH($E280&amp;$F280,'TB-EQUIPMENT &amp; OTHER HPs'!$E$138:$E$175&amp;'TB-EQUIPMENT &amp; OTHER HPs'!$I$138:$I$175,0)),0)</f>
        <v>0</v>
      </c>
      <c r="AO280" s="626">
        <f t="shared" si="381"/>
        <v>0</v>
      </c>
      <c r="AP280" s="626">
        <f t="shared" si="382"/>
        <v>0</v>
      </c>
      <c r="AQ280" s="626">
        <f t="shared" si="383"/>
        <v>0</v>
      </c>
      <c r="AR280" s="630"/>
      <c r="AS280" s="625">
        <f t="array" ref="AS280">IFERROR(INDEX('TB-EQUIPMENT &amp; OTHER HPs'!$AB$138:$AB$175,MATCH($E280&amp;$F280,'TB-EQUIPMENT &amp; OTHER HPs'!$E$138:$E$175&amp;'TB-EQUIPMENT &amp; OTHER HPs'!$I$138:$I$175,0)),0)</f>
        <v>0</v>
      </c>
      <c r="AT280" s="625">
        <f t="array" ref="AT280">IFERROR(INDEX('TB-EQUIPMENT &amp; OTHER HPs'!$AC$138:$AC$175,MATCH($E280&amp;$F280,'TB-EQUIPMENT &amp; OTHER HPs'!$E$138:$E$175&amp;'TB-EQUIPMENT &amp; OTHER HPs'!$I$138:$I$175,0)),0)</f>
        <v>0</v>
      </c>
      <c r="AU280" s="626">
        <f t="shared" si="384"/>
        <v>0</v>
      </c>
      <c r="AV280" s="626">
        <f t="shared" si="385"/>
        <v>0</v>
      </c>
      <c r="AW280" s="626">
        <f t="shared" si="386"/>
        <v>0</v>
      </c>
      <c r="AX280" s="625">
        <f t="array" ref="AX280">IFERROR(INDEX('TB-EQUIPMENT &amp; OTHER HPs'!$AD$138:$AD$175,MATCH($E280&amp;$F280,'TB-EQUIPMENT &amp; OTHER HPs'!$E$138:$E$175&amp;'TB-EQUIPMENT &amp; OTHER HPs'!$I$138:$I$175,0)),0)</f>
        <v>0</v>
      </c>
      <c r="AY280" s="626">
        <f t="shared" si="387"/>
        <v>0</v>
      </c>
      <c r="AZ280" s="626">
        <f t="shared" si="388"/>
        <v>0</v>
      </c>
      <c r="BA280" s="626">
        <f t="shared" si="389"/>
        <v>0</v>
      </c>
      <c r="BB280" s="625">
        <f t="array" ref="BB280">IFERROR(INDEX('TB-EQUIPMENT &amp; OTHER HPs'!$AE$138:$AE$175,MATCH($E280&amp;$F280,'TB-EQUIPMENT &amp; OTHER HPs'!$E$138:$E$175&amp;'TB-EQUIPMENT &amp; OTHER HPs'!$I$138:$I$175,0)),0)</f>
        <v>0</v>
      </c>
      <c r="BC280" s="626">
        <f t="shared" si="390"/>
        <v>0</v>
      </c>
      <c r="BD280" s="626">
        <f t="shared" si="391"/>
        <v>0</v>
      </c>
      <c r="BE280" s="626">
        <f t="shared" si="392"/>
        <v>0</v>
      </c>
      <c r="BF280" s="625">
        <f t="array" ref="BF280">IFERROR(INDEX('TB-EQUIPMENT &amp; OTHER HPs'!$AF$138:$AF$175,MATCH($E280&amp;$F280,'TB-EQUIPMENT &amp; OTHER HPs'!$E$138:$E$175&amp;'TB-EQUIPMENT &amp; OTHER HPs'!$I$138:$I$175,0)),0)</f>
        <v>0</v>
      </c>
      <c r="BG280" s="626">
        <f t="shared" si="393"/>
        <v>0</v>
      </c>
      <c r="BH280" s="626">
        <f t="shared" si="394"/>
        <v>0</v>
      </c>
      <c r="BI280" s="626">
        <f t="shared" si="395"/>
        <v>0</v>
      </c>
      <c r="BJ280" s="630"/>
      <c r="BK280" s="625"/>
      <c r="BL280" s="625"/>
      <c r="BM280" s="625"/>
      <c r="BN280" s="625"/>
      <c r="BO280" s="625"/>
      <c r="BP280" s="625"/>
      <c r="BQ280" s="625"/>
      <c r="BR280" s="625"/>
    </row>
    <row r="281" spans="1:70">
      <c r="A281" s="29" t="s">
        <v>1757</v>
      </c>
      <c r="B281" s="29" t="s">
        <v>1838</v>
      </c>
      <c r="C281" s="619">
        <f>SETUP!$F$44</f>
        <v>0</v>
      </c>
      <c r="D281" s="25">
        <v>5.8</v>
      </c>
      <c r="E281" s="26" t="s">
        <v>1489</v>
      </c>
      <c r="F281" s="26" t="s">
        <v>1140</v>
      </c>
      <c r="G281" s="625" t="str">
        <f t="array" ref="G281">IFERROR(INDEX('TB-EQUIPMENT &amp; OTHER HPs'!$L$138:$L$175,MATCH($E281&amp;$F281,'TB-EQUIPMENT &amp; OTHER HPs'!$E$138:$E$175&amp;'TB-EQUIPMENT &amp; OTHER HPs'!$I$138:$I$175,0)),"")</f>
        <v/>
      </c>
      <c r="H281" s="625" t="str">
        <f t="array" ref="H281">IFERROR(INDEX('TB-EQUIPMENT &amp; OTHER HPs'!$M$138:$M$175,MATCH($E281&amp;$F281,'TB-EQUIPMENT &amp; OTHER HPs'!$E$138:$E$175&amp;'TB-EQUIPMENT &amp; OTHER HPs'!$I$138:$I$175,0)),"")</f>
        <v/>
      </c>
      <c r="I281" s="625">
        <f t="array" ref="I281">IFERROR(INDEX('TB-EQUIPMENT &amp; OTHER HPs'!$N$138:$N$175,MATCH($E281&amp;$F281,'TB-EQUIPMENT &amp; OTHER HPs'!$E$138:$E$175&amp;'TB-EQUIPMENT &amp; OTHER HPs'!$I$138:$I$175,0)),0)</f>
        <v>0</v>
      </c>
      <c r="J281" s="625">
        <f t="array" ref="J281">IFERROR(INDEX('TB-EQUIPMENT &amp; OTHER HPs'!$O$138:$O$175,MATCH($E281&amp;$F281,'TB-EQUIPMENT &amp; OTHER HPs'!$E$138:$E$175&amp;'TB-EQUIPMENT &amp; OTHER HPs'!$I$138:$I$175,0)),0)</f>
        <v>0</v>
      </c>
      <c r="K281" s="626">
        <f t="shared" si="360"/>
        <v>0</v>
      </c>
      <c r="L281" s="626">
        <f t="shared" si="361"/>
        <v>0</v>
      </c>
      <c r="M281" s="626">
        <f t="shared" si="362"/>
        <v>0</v>
      </c>
      <c r="N281" s="625">
        <f t="array" ref="N281">IFERROR(INDEX('TB-EQUIPMENT &amp; OTHER HPs'!$P$138:$P$175,MATCH($E281&amp;$F281,'TB-EQUIPMENT &amp; OTHER HPs'!$E$138:$E$175&amp;'TB-EQUIPMENT &amp; OTHER HPs'!$I$138:$I$175,0)),0)</f>
        <v>0</v>
      </c>
      <c r="O281" s="626">
        <f t="shared" si="363"/>
        <v>0</v>
      </c>
      <c r="P281" s="626">
        <f t="shared" si="364"/>
        <v>0</v>
      </c>
      <c r="Q281" s="626">
        <f t="shared" si="365"/>
        <v>0</v>
      </c>
      <c r="R281" s="625">
        <f t="array" ref="R281">IFERROR(INDEX('TB-EQUIPMENT &amp; OTHER HPs'!$Q$138:$Q$175,MATCH($E281&amp;$F281,'TB-EQUIPMENT &amp; OTHER HPs'!$E$138:$E$175&amp;'TB-EQUIPMENT &amp; OTHER HPs'!$I$138:$I$175,0)),0)</f>
        <v>0</v>
      </c>
      <c r="S281" s="626">
        <f t="shared" si="366"/>
        <v>0</v>
      </c>
      <c r="T281" s="626">
        <f t="shared" si="367"/>
        <v>0</v>
      </c>
      <c r="U281" s="626">
        <f t="shared" si="368"/>
        <v>0</v>
      </c>
      <c r="V281" s="625">
        <f t="array" ref="V281">IFERROR(INDEX('TB-EQUIPMENT &amp; OTHER HPs'!$R$138:$R$175,MATCH($E281&amp;$F281,'TB-EQUIPMENT &amp; OTHER HPs'!$E$138:$E$175&amp;'TB-EQUIPMENT &amp; OTHER HPs'!$I$138:$I$175,0)),0)</f>
        <v>0</v>
      </c>
      <c r="W281" s="626">
        <f t="shared" si="369"/>
        <v>0</v>
      </c>
      <c r="X281" s="626">
        <f t="shared" si="370"/>
        <v>0</v>
      </c>
      <c r="Y281" s="626">
        <f t="shared" si="371"/>
        <v>0</v>
      </c>
      <c r="AA281" s="625">
        <f t="array" ref="AA281">IFERROR(INDEX('TB-EQUIPMENT &amp; OTHER HPs'!$U$138:$U$175,MATCH($E281&amp;$F281,'TB-EQUIPMENT &amp; OTHER HPs'!$E$138:$E$175&amp;'TB-EQUIPMENT &amp; OTHER HPs'!$I$138:$I$175,0)),0)</f>
        <v>0</v>
      </c>
      <c r="AB281" s="625">
        <f t="array" ref="AB281">IFERROR(INDEX('TB-EQUIPMENT &amp; OTHER HPs'!$V$138:$V$175,MATCH($E281&amp;$F281,'TB-EQUIPMENT &amp; OTHER HPs'!$E$138:$E$175&amp;'TB-EQUIPMENT &amp; OTHER HPs'!$I$138:$I$175,0)),0)</f>
        <v>0</v>
      </c>
      <c r="AC281" s="626">
        <f t="shared" si="372"/>
        <v>0</v>
      </c>
      <c r="AD281" s="626">
        <f t="shared" si="373"/>
        <v>0</v>
      </c>
      <c r="AE281" s="626">
        <f t="shared" si="374"/>
        <v>0</v>
      </c>
      <c r="AF281" s="625">
        <f t="array" ref="AF281">IFERROR(INDEX('TB-EQUIPMENT &amp; OTHER HPs'!$W$138:$W$175,MATCH($E281&amp;$F281,'TB-EQUIPMENT &amp; OTHER HPs'!$E$138:$E$175&amp;'TB-EQUIPMENT &amp; OTHER HPs'!$I$138:$I$175,0)),0)</f>
        <v>0</v>
      </c>
      <c r="AG281" s="626">
        <f t="shared" si="375"/>
        <v>0</v>
      </c>
      <c r="AH281" s="626">
        <f t="shared" si="376"/>
        <v>0</v>
      </c>
      <c r="AI281" s="626">
        <f t="shared" si="377"/>
        <v>0</v>
      </c>
      <c r="AJ281" s="625">
        <f t="array" ref="AJ281">IFERROR(INDEX('TB-EQUIPMENT &amp; OTHER HPs'!$X$138:$X$175,MATCH($E281&amp;$F281,'TB-EQUIPMENT &amp; OTHER HPs'!$E$138:$E$175&amp;'TB-EQUIPMENT &amp; OTHER HPs'!$I$138:$I$175,0)),0)</f>
        <v>0</v>
      </c>
      <c r="AK281" s="626">
        <f t="shared" si="378"/>
        <v>0</v>
      </c>
      <c r="AL281" s="626">
        <f t="shared" si="379"/>
        <v>0</v>
      </c>
      <c r="AM281" s="626">
        <f t="shared" si="380"/>
        <v>0</v>
      </c>
      <c r="AN281" s="625">
        <f t="array" ref="AN281">IFERROR(INDEX('TB-EQUIPMENT &amp; OTHER HPs'!$Y$138:$Y$175,MATCH($E281&amp;$F281,'TB-EQUIPMENT &amp; OTHER HPs'!$E$138:$E$175&amp;'TB-EQUIPMENT &amp; OTHER HPs'!$I$138:$I$175,0)),0)</f>
        <v>0</v>
      </c>
      <c r="AO281" s="626">
        <f t="shared" si="381"/>
        <v>0</v>
      </c>
      <c r="AP281" s="626">
        <f t="shared" si="382"/>
        <v>0</v>
      </c>
      <c r="AQ281" s="626">
        <f t="shared" si="383"/>
        <v>0</v>
      </c>
      <c r="AR281" s="630"/>
      <c r="AS281" s="625">
        <f t="array" ref="AS281">IFERROR(INDEX('TB-EQUIPMENT &amp; OTHER HPs'!$AB$138:$AB$175,MATCH($E281&amp;$F281,'TB-EQUIPMENT &amp; OTHER HPs'!$E$138:$E$175&amp;'TB-EQUIPMENT &amp; OTHER HPs'!$I$138:$I$175,0)),0)</f>
        <v>0</v>
      </c>
      <c r="AT281" s="625">
        <f t="array" ref="AT281">IFERROR(INDEX('TB-EQUIPMENT &amp; OTHER HPs'!$AC$138:$AC$175,MATCH($E281&amp;$F281,'TB-EQUIPMENT &amp; OTHER HPs'!$E$138:$E$175&amp;'TB-EQUIPMENT &amp; OTHER HPs'!$I$138:$I$175,0)),0)</f>
        <v>0</v>
      </c>
      <c r="AU281" s="626">
        <f t="shared" si="384"/>
        <v>0</v>
      </c>
      <c r="AV281" s="626">
        <f t="shared" si="385"/>
        <v>0</v>
      </c>
      <c r="AW281" s="626">
        <f t="shared" si="386"/>
        <v>0</v>
      </c>
      <c r="AX281" s="625">
        <f t="array" ref="AX281">IFERROR(INDEX('TB-EQUIPMENT &amp; OTHER HPs'!$AD$138:$AD$175,MATCH($E281&amp;$F281,'TB-EQUIPMENT &amp; OTHER HPs'!$E$138:$E$175&amp;'TB-EQUIPMENT &amp; OTHER HPs'!$I$138:$I$175,0)),0)</f>
        <v>0</v>
      </c>
      <c r="AY281" s="626">
        <f t="shared" si="387"/>
        <v>0</v>
      </c>
      <c r="AZ281" s="626">
        <f t="shared" si="388"/>
        <v>0</v>
      </c>
      <c r="BA281" s="626">
        <f t="shared" si="389"/>
        <v>0</v>
      </c>
      <c r="BB281" s="625">
        <f t="array" ref="BB281">IFERROR(INDEX('TB-EQUIPMENT &amp; OTHER HPs'!$AE$138:$AE$175,MATCH($E281&amp;$F281,'TB-EQUIPMENT &amp; OTHER HPs'!$E$138:$E$175&amp;'TB-EQUIPMENT &amp; OTHER HPs'!$I$138:$I$175,0)),0)</f>
        <v>0</v>
      </c>
      <c r="BC281" s="626">
        <f t="shared" si="390"/>
        <v>0</v>
      </c>
      <c r="BD281" s="626">
        <f t="shared" si="391"/>
        <v>0</v>
      </c>
      <c r="BE281" s="626">
        <f t="shared" si="392"/>
        <v>0</v>
      </c>
      <c r="BF281" s="625">
        <f t="array" ref="BF281">IFERROR(INDEX('TB-EQUIPMENT &amp; OTHER HPs'!$AF$138:$AF$175,MATCH($E281&amp;$F281,'TB-EQUIPMENT &amp; OTHER HPs'!$E$138:$E$175&amp;'TB-EQUIPMENT &amp; OTHER HPs'!$I$138:$I$175,0)),0)</f>
        <v>0</v>
      </c>
      <c r="BG281" s="626">
        <f t="shared" si="393"/>
        <v>0</v>
      </c>
      <c r="BH281" s="626">
        <f t="shared" si="394"/>
        <v>0</v>
      </c>
      <c r="BI281" s="626">
        <f t="shared" si="395"/>
        <v>0</v>
      </c>
      <c r="BJ281" s="630"/>
      <c r="BK281" s="625"/>
      <c r="BL281" s="625"/>
      <c r="BM281" s="625"/>
      <c r="BN281" s="625"/>
      <c r="BO281" s="625"/>
      <c r="BP281" s="625"/>
      <c r="BQ281" s="625"/>
      <c r="BR281" s="625"/>
    </row>
    <row r="282" spans="1:70">
      <c r="A282" s="29" t="s">
        <v>1757</v>
      </c>
      <c r="B282" s="29" t="s">
        <v>1838</v>
      </c>
      <c r="C282" s="619">
        <f>SETUP!$F$44</f>
        <v>0</v>
      </c>
      <c r="D282" s="25">
        <v>6.5</v>
      </c>
      <c r="E282" s="26" t="s">
        <v>215</v>
      </c>
      <c r="F282" s="26" t="s">
        <v>218</v>
      </c>
      <c r="G282" s="625" t="str">
        <f t="array" ref="G282">IFERROR(INDEX('TB-EQUIPMENT &amp; OTHER HPs'!$L$138:$L$175,MATCH($E282&amp;$F282,'TB-EQUIPMENT &amp; OTHER HPs'!$E$138:$E$175&amp;'TB-EQUIPMENT &amp; OTHER HPs'!$I$138:$I$175,0)),"")</f>
        <v/>
      </c>
      <c r="H282" s="625" t="str">
        <f t="array" ref="H282">IFERROR(INDEX('TB-EQUIPMENT &amp; OTHER HPs'!$M$138:$M$175,MATCH($E282&amp;$F282,'TB-EQUIPMENT &amp; OTHER HPs'!$E$138:$E$175&amp;'TB-EQUIPMENT &amp; OTHER HPs'!$I$138:$I$175,0)),"")</f>
        <v/>
      </c>
      <c r="I282" s="625">
        <f t="array" ref="I282">IFERROR(INDEX('TB-EQUIPMENT &amp; OTHER HPs'!$N$138:$N$175,MATCH($E282&amp;$F282,'TB-EQUIPMENT &amp; OTHER HPs'!$E$138:$E$175&amp;'TB-EQUIPMENT &amp; OTHER HPs'!$I$138:$I$175,0)),0)</f>
        <v>0</v>
      </c>
      <c r="J282" s="625">
        <f t="array" ref="J282">IFERROR(INDEX('TB-EQUIPMENT &amp; OTHER HPs'!$O$138:$O$175,MATCH($E282&amp;$F282,'TB-EQUIPMENT &amp; OTHER HPs'!$E$138:$E$175&amp;'TB-EQUIPMENT &amp; OTHER HPs'!$I$138:$I$175,0)),0)</f>
        <v>0</v>
      </c>
      <c r="K282" s="626">
        <f t="shared" si="360"/>
        <v>0</v>
      </c>
      <c r="L282" s="626">
        <f t="shared" si="361"/>
        <v>0</v>
      </c>
      <c r="M282" s="626">
        <f t="shared" si="362"/>
        <v>0</v>
      </c>
      <c r="N282" s="625">
        <f t="array" ref="N282">IFERROR(INDEX('TB-EQUIPMENT &amp; OTHER HPs'!$P$138:$P$175,MATCH($E282&amp;$F282,'TB-EQUIPMENT &amp; OTHER HPs'!$E$138:$E$175&amp;'TB-EQUIPMENT &amp; OTHER HPs'!$I$138:$I$175,0)),0)</f>
        <v>0</v>
      </c>
      <c r="O282" s="626">
        <f t="shared" si="363"/>
        <v>0</v>
      </c>
      <c r="P282" s="626">
        <f t="shared" si="364"/>
        <v>0</v>
      </c>
      <c r="Q282" s="626">
        <f t="shared" si="365"/>
        <v>0</v>
      </c>
      <c r="R282" s="625">
        <f t="array" ref="R282">IFERROR(INDEX('TB-EQUIPMENT &amp; OTHER HPs'!$Q$138:$Q$175,MATCH($E282&amp;$F282,'TB-EQUIPMENT &amp; OTHER HPs'!$E$138:$E$175&amp;'TB-EQUIPMENT &amp; OTHER HPs'!$I$138:$I$175,0)),0)</f>
        <v>0</v>
      </c>
      <c r="S282" s="626">
        <f t="shared" si="366"/>
        <v>0</v>
      </c>
      <c r="T282" s="626">
        <f t="shared" si="367"/>
        <v>0</v>
      </c>
      <c r="U282" s="626">
        <f t="shared" si="368"/>
        <v>0</v>
      </c>
      <c r="V282" s="625">
        <f t="array" ref="V282">IFERROR(INDEX('TB-EQUIPMENT &amp; OTHER HPs'!$R$138:$R$175,MATCH($E282&amp;$F282,'TB-EQUIPMENT &amp; OTHER HPs'!$E$138:$E$175&amp;'TB-EQUIPMENT &amp; OTHER HPs'!$I$138:$I$175,0)),0)</f>
        <v>0</v>
      </c>
      <c r="W282" s="626">
        <f t="shared" si="369"/>
        <v>0</v>
      </c>
      <c r="X282" s="626">
        <f t="shared" si="370"/>
        <v>0</v>
      </c>
      <c r="Y282" s="626">
        <f t="shared" si="371"/>
        <v>0</v>
      </c>
      <c r="AA282" s="625">
        <f t="array" ref="AA282">IFERROR(INDEX('TB-EQUIPMENT &amp; OTHER HPs'!$U$138:$U$175,MATCH($E282&amp;$F282,'TB-EQUIPMENT &amp; OTHER HPs'!$E$138:$E$175&amp;'TB-EQUIPMENT &amp; OTHER HPs'!$I$138:$I$175,0)),0)</f>
        <v>0</v>
      </c>
      <c r="AB282" s="625">
        <f t="array" ref="AB282">IFERROR(INDEX('TB-EQUIPMENT &amp; OTHER HPs'!$V$138:$V$175,MATCH($E282&amp;$F282,'TB-EQUIPMENT &amp; OTHER HPs'!$E$138:$E$175&amp;'TB-EQUIPMENT &amp; OTHER HPs'!$I$138:$I$175,0)),0)</f>
        <v>0</v>
      </c>
      <c r="AC282" s="626">
        <f t="shared" si="372"/>
        <v>0</v>
      </c>
      <c r="AD282" s="626">
        <f t="shared" si="373"/>
        <v>0</v>
      </c>
      <c r="AE282" s="626">
        <f t="shared" si="374"/>
        <v>0</v>
      </c>
      <c r="AF282" s="625">
        <f t="array" ref="AF282">IFERROR(INDEX('TB-EQUIPMENT &amp; OTHER HPs'!$W$138:$W$175,MATCH($E282&amp;$F282,'TB-EQUIPMENT &amp; OTHER HPs'!$E$138:$E$175&amp;'TB-EQUIPMENT &amp; OTHER HPs'!$I$138:$I$175,0)),0)</f>
        <v>0</v>
      </c>
      <c r="AG282" s="626">
        <f t="shared" si="375"/>
        <v>0</v>
      </c>
      <c r="AH282" s="626">
        <f t="shared" si="376"/>
        <v>0</v>
      </c>
      <c r="AI282" s="626">
        <f t="shared" si="377"/>
        <v>0</v>
      </c>
      <c r="AJ282" s="625">
        <f t="array" ref="AJ282">IFERROR(INDEX('TB-EQUIPMENT &amp; OTHER HPs'!$X$138:$X$175,MATCH($E282&amp;$F282,'TB-EQUIPMENT &amp; OTHER HPs'!$E$138:$E$175&amp;'TB-EQUIPMENT &amp; OTHER HPs'!$I$138:$I$175,0)),0)</f>
        <v>0</v>
      </c>
      <c r="AK282" s="626">
        <f t="shared" si="378"/>
        <v>0</v>
      </c>
      <c r="AL282" s="626">
        <f t="shared" si="379"/>
        <v>0</v>
      </c>
      <c r="AM282" s="626">
        <f t="shared" si="380"/>
        <v>0</v>
      </c>
      <c r="AN282" s="625">
        <f t="array" ref="AN282">IFERROR(INDEX('TB-EQUIPMENT &amp; OTHER HPs'!$Y$138:$Y$175,MATCH($E282&amp;$F282,'TB-EQUIPMENT &amp; OTHER HPs'!$E$138:$E$175&amp;'TB-EQUIPMENT &amp; OTHER HPs'!$I$138:$I$175,0)),0)</f>
        <v>0</v>
      </c>
      <c r="AO282" s="626">
        <f t="shared" si="381"/>
        <v>0</v>
      </c>
      <c r="AP282" s="626">
        <f t="shared" si="382"/>
        <v>0</v>
      </c>
      <c r="AQ282" s="626">
        <f t="shared" si="383"/>
        <v>0</v>
      </c>
      <c r="AR282" s="630"/>
      <c r="AS282" s="625">
        <f t="array" ref="AS282">IFERROR(INDEX('TB-EQUIPMENT &amp; OTHER HPs'!$AB$138:$AB$175,MATCH($E282&amp;$F282,'TB-EQUIPMENT &amp; OTHER HPs'!$E$138:$E$175&amp;'TB-EQUIPMENT &amp; OTHER HPs'!$I$138:$I$175,0)),0)</f>
        <v>0</v>
      </c>
      <c r="AT282" s="625">
        <f t="array" ref="AT282">IFERROR(INDEX('TB-EQUIPMENT &amp; OTHER HPs'!$AC$138:$AC$175,MATCH($E282&amp;$F282,'TB-EQUIPMENT &amp; OTHER HPs'!$E$138:$E$175&amp;'TB-EQUIPMENT &amp; OTHER HPs'!$I$138:$I$175,0)),0)</f>
        <v>0</v>
      </c>
      <c r="AU282" s="626">
        <f t="shared" si="384"/>
        <v>0</v>
      </c>
      <c r="AV282" s="626">
        <f t="shared" si="385"/>
        <v>0</v>
      </c>
      <c r="AW282" s="626">
        <f t="shared" si="386"/>
        <v>0</v>
      </c>
      <c r="AX282" s="625">
        <f t="array" ref="AX282">IFERROR(INDEX('TB-EQUIPMENT &amp; OTHER HPs'!$AD$138:$AD$175,MATCH($E282&amp;$F282,'TB-EQUIPMENT &amp; OTHER HPs'!$E$138:$E$175&amp;'TB-EQUIPMENT &amp; OTHER HPs'!$I$138:$I$175,0)),0)</f>
        <v>0</v>
      </c>
      <c r="AY282" s="626">
        <f t="shared" si="387"/>
        <v>0</v>
      </c>
      <c r="AZ282" s="626">
        <f t="shared" si="388"/>
        <v>0</v>
      </c>
      <c r="BA282" s="626">
        <f t="shared" si="389"/>
        <v>0</v>
      </c>
      <c r="BB282" s="625">
        <f t="array" ref="BB282">IFERROR(INDEX('TB-EQUIPMENT &amp; OTHER HPs'!$AE$138:$AE$175,MATCH($E282&amp;$F282,'TB-EQUIPMENT &amp; OTHER HPs'!$E$138:$E$175&amp;'TB-EQUIPMENT &amp; OTHER HPs'!$I$138:$I$175,0)),0)</f>
        <v>0</v>
      </c>
      <c r="BC282" s="626">
        <f t="shared" si="390"/>
        <v>0</v>
      </c>
      <c r="BD282" s="626">
        <f t="shared" si="391"/>
        <v>0</v>
      </c>
      <c r="BE282" s="626">
        <f t="shared" si="392"/>
        <v>0</v>
      </c>
      <c r="BF282" s="625">
        <f t="array" ref="BF282">IFERROR(INDEX('TB-EQUIPMENT &amp; OTHER HPs'!$AF$138:$AF$175,MATCH($E282&amp;$F282,'TB-EQUIPMENT &amp; OTHER HPs'!$E$138:$E$175&amp;'TB-EQUIPMENT &amp; OTHER HPs'!$I$138:$I$175,0)),0)</f>
        <v>0</v>
      </c>
      <c r="BG282" s="626">
        <f t="shared" si="393"/>
        <v>0</v>
      </c>
      <c r="BH282" s="626">
        <f t="shared" si="394"/>
        <v>0</v>
      </c>
      <c r="BI282" s="626">
        <f t="shared" si="395"/>
        <v>0</v>
      </c>
      <c r="BJ282" s="630"/>
      <c r="BK282" s="625"/>
      <c r="BL282" s="625"/>
      <c r="BM282" s="625"/>
      <c r="BN282" s="625"/>
      <c r="BO282" s="625"/>
      <c r="BP282" s="625"/>
      <c r="BQ282" s="625"/>
      <c r="BR282" s="625"/>
    </row>
    <row r="283" spans="1:70">
      <c r="A283" s="29" t="s">
        <v>1757</v>
      </c>
      <c r="B283" s="29" t="s">
        <v>1838</v>
      </c>
      <c r="C283" s="619">
        <f>SETUP!$F$44</f>
        <v>0</v>
      </c>
      <c r="D283" s="25">
        <v>6.5</v>
      </c>
      <c r="E283" s="26" t="s">
        <v>216</v>
      </c>
      <c r="F283" s="26" t="s">
        <v>218</v>
      </c>
      <c r="G283" s="625" t="str">
        <f t="array" ref="G283">IFERROR(INDEX('TB-EQUIPMENT &amp; OTHER HPs'!$L$138:$L$175,MATCH($E283&amp;$F283,'TB-EQUIPMENT &amp; OTHER HPs'!$E$138:$E$175&amp;'TB-EQUIPMENT &amp; OTHER HPs'!$I$138:$I$175,0)),"")</f>
        <v/>
      </c>
      <c r="H283" s="625" t="str">
        <f t="array" ref="H283">IFERROR(INDEX('TB-EQUIPMENT &amp; OTHER HPs'!$M$138:$M$175,MATCH($E283&amp;$F283,'TB-EQUIPMENT &amp; OTHER HPs'!$E$138:$E$175&amp;'TB-EQUIPMENT &amp; OTHER HPs'!$I$138:$I$175,0)),"")</f>
        <v/>
      </c>
      <c r="I283" s="625">
        <f t="array" ref="I283">IFERROR(INDEX('TB-EQUIPMENT &amp; OTHER HPs'!$N$138:$N$175,MATCH($E283&amp;$F283,'TB-EQUIPMENT &amp; OTHER HPs'!$E$138:$E$175&amp;'TB-EQUIPMENT &amp; OTHER HPs'!$I$138:$I$175,0)),0)</f>
        <v>0</v>
      </c>
      <c r="J283" s="625">
        <f t="array" ref="J283">IFERROR(INDEX('TB-EQUIPMENT &amp; OTHER HPs'!$O$138:$O$175,MATCH($E283&amp;$F283,'TB-EQUIPMENT &amp; OTHER HPs'!$E$138:$E$175&amp;'TB-EQUIPMENT &amp; OTHER HPs'!$I$138:$I$175,0)),0)</f>
        <v>0</v>
      </c>
      <c r="K283" s="626">
        <f t="shared" si="360"/>
        <v>0</v>
      </c>
      <c r="L283" s="626">
        <f t="shared" si="361"/>
        <v>0</v>
      </c>
      <c r="M283" s="626">
        <f t="shared" si="362"/>
        <v>0</v>
      </c>
      <c r="N283" s="625">
        <f t="array" ref="N283">IFERROR(INDEX('TB-EQUIPMENT &amp; OTHER HPs'!$P$138:$P$175,MATCH($E283&amp;$F283,'TB-EQUIPMENT &amp; OTHER HPs'!$E$138:$E$175&amp;'TB-EQUIPMENT &amp; OTHER HPs'!$I$138:$I$175,0)),0)</f>
        <v>0</v>
      </c>
      <c r="O283" s="626">
        <f t="shared" si="363"/>
        <v>0</v>
      </c>
      <c r="P283" s="626">
        <f t="shared" si="364"/>
        <v>0</v>
      </c>
      <c r="Q283" s="626">
        <f t="shared" si="365"/>
        <v>0</v>
      </c>
      <c r="R283" s="625">
        <f t="array" ref="R283">IFERROR(INDEX('TB-EQUIPMENT &amp; OTHER HPs'!$Q$138:$Q$175,MATCH($E283&amp;$F283,'TB-EQUIPMENT &amp; OTHER HPs'!$E$138:$E$175&amp;'TB-EQUIPMENT &amp; OTHER HPs'!$I$138:$I$175,0)),0)</f>
        <v>0</v>
      </c>
      <c r="S283" s="626">
        <f t="shared" si="366"/>
        <v>0</v>
      </c>
      <c r="T283" s="626">
        <f t="shared" si="367"/>
        <v>0</v>
      </c>
      <c r="U283" s="626">
        <f t="shared" si="368"/>
        <v>0</v>
      </c>
      <c r="V283" s="625">
        <f t="array" ref="V283">IFERROR(INDEX('TB-EQUIPMENT &amp; OTHER HPs'!$R$138:$R$175,MATCH($E283&amp;$F283,'TB-EQUIPMENT &amp; OTHER HPs'!$E$138:$E$175&amp;'TB-EQUIPMENT &amp; OTHER HPs'!$I$138:$I$175,0)),0)</f>
        <v>0</v>
      </c>
      <c r="W283" s="626">
        <f t="shared" si="369"/>
        <v>0</v>
      </c>
      <c r="X283" s="626">
        <f t="shared" si="370"/>
        <v>0</v>
      </c>
      <c r="Y283" s="626">
        <f t="shared" si="371"/>
        <v>0</v>
      </c>
      <c r="AA283" s="625">
        <f t="array" ref="AA283">IFERROR(INDEX('TB-EQUIPMENT &amp; OTHER HPs'!$U$138:$U$175,MATCH($E283&amp;$F283,'TB-EQUIPMENT &amp; OTHER HPs'!$E$138:$E$175&amp;'TB-EQUIPMENT &amp; OTHER HPs'!$I$138:$I$175,0)),0)</f>
        <v>0</v>
      </c>
      <c r="AB283" s="625">
        <f t="array" ref="AB283">IFERROR(INDEX('TB-EQUIPMENT &amp; OTHER HPs'!$V$138:$V$175,MATCH($E283&amp;$F283,'TB-EQUIPMENT &amp; OTHER HPs'!$E$138:$E$175&amp;'TB-EQUIPMENT &amp; OTHER HPs'!$I$138:$I$175,0)),0)</f>
        <v>0</v>
      </c>
      <c r="AC283" s="626">
        <f t="shared" si="372"/>
        <v>0</v>
      </c>
      <c r="AD283" s="626">
        <f t="shared" si="373"/>
        <v>0</v>
      </c>
      <c r="AE283" s="626">
        <f t="shared" si="374"/>
        <v>0</v>
      </c>
      <c r="AF283" s="625">
        <f t="array" ref="AF283">IFERROR(INDEX('TB-EQUIPMENT &amp; OTHER HPs'!$W$138:$W$175,MATCH($E283&amp;$F283,'TB-EQUIPMENT &amp; OTHER HPs'!$E$138:$E$175&amp;'TB-EQUIPMENT &amp; OTHER HPs'!$I$138:$I$175,0)),0)</f>
        <v>0</v>
      </c>
      <c r="AG283" s="626">
        <f t="shared" si="375"/>
        <v>0</v>
      </c>
      <c r="AH283" s="626">
        <f t="shared" si="376"/>
        <v>0</v>
      </c>
      <c r="AI283" s="626">
        <f t="shared" si="377"/>
        <v>0</v>
      </c>
      <c r="AJ283" s="625">
        <f t="array" ref="AJ283">IFERROR(INDEX('TB-EQUIPMENT &amp; OTHER HPs'!$X$138:$X$175,MATCH($E283&amp;$F283,'TB-EQUIPMENT &amp; OTHER HPs'!$E$138:$E$175&amp;'TB-EQUIPMENT &amp; OTHER HPs'!$I$138:$I$175,0)),0)</f>
        <v>0</v>
      </c>
      <c r="AK283" s="626">
        <f t="shared" si="378"/>
        <v>0</v>
      </c>
      <c r="AL283" s="626">
        <f t="shared" si="379"/>
        <v>0</v>
      </c>
      <c r="AM283" s="626">
        <f t="shared" si="380"/>
        <v>0</v>
      </c>
      <c r="AN283" s="625">
        <f t="array" ref="AN283">IFERROR(INDEX('TB-EQUIPMENT &amp; OTHER HPs'!$Y$138:$Y$175,MATCH($E283&amp;$F283,'TB-EQUIPMENT &amp; OTHER HPs'!$E$138:$E$175&amp;'TB-EQUIPMENT &amp; OTHER HPs'!$I$138:$I$175,0)),0)</f>
        <v>0</v>
      </c>
      <c r="AO283" s="626">
        <f t="shared" si="381"/>
        <v>0</v>
      </c>
      <c r="AP283" s="626">
        <f t="shared" si="382"/>
        <v>0</v>
      </c>
      <c r="AQ283" s="626">
        <f t="shared" si="383"/>
        <v>0</v>
      </c>
      <c r="AR283" s="630"/>
      <c r="AS283" s="625">
        <f t="array" ref="AS283">IFERROR(INDEX('TB-EQUIPMENT &amp; OTHER HPs'!$AB$138:$AB$175,MATCH($E283&amp;$F283,'TB-EQUIPMENT &amp; OTHER HPs'!$E$138:$E$175&amp;'TB-EQUIPMENT &amp; OTHER HPs'!$I$138:$I$175,0)),0)</f>
        <v>0</v>
      </c>
      <c r="AT283" s="625">
        <f t="array" ref="AT283">IFERROR(INDEX('TB-EQUIPMENT &amp; OTHER HPs'!$AC$138:$AC$175,MATCH($E283&amp;$F283,'TB-EQUIPMENT &amp; OTHER HPs'!$E$138:$E$175&amp;'TB-EQUIPMENT &amp; OTHER HPs'!$I$138:$I$175,0)),0)</f>
        <v>0</v>
      </c>
      <c r="AU283" s="626">
        <f t="shared" si="384"/>
        <v>0</v>
      </c>
      <c r="AV283" s="626">
        <f t="shared" si="385"/>
        <v>0</v>
      </c>
      <c r="AW283" s="626">
        <f t="shared" si="386"/>
        <v>0</v>
      </c>
      <c r="AX283" s="625">
        <f t="array" ref="AX283">IFERROR(INDEX('TB-EQUIPMENT &amp; OTHER HPs'!$AD$138:$AD$175,MATCH($E283&amp;$F283,'TB-EQUIPMENT &amp; OTHER HPs'!$E$138:$E$175&amp;'TB-EQUIPMENT &amp; OTHER HPs'!$I$138:$I$175,0)),0)</f>
        <v>0</v>
      </c>
      <c r="AY283" s="626">
        <f t="shared" si="387"/>
        <v>0</v>
      </c>
      <c r="AZ283" s="626">
        <f t="shared" si="388"/>
        <v>0</v>
      </c>
      <c r="BA283" s="626">
        <f t="shared" si="389"/>
        <v>0</v>
      </c>
      <c r="BB283" s="625">
        <f t="array" ref="BB283">IFERROR(INDEX('TB-EQUIPMENT &amp; OTHER HPs'!$AE$138:$AE$175,MATCH($E283&amp;$F283,'TB-EQUIPMENT &amp; OTHER HPs'!$E$138:$E$175&amp;'TB-EQUIPMENT &amp; OTHER HPs'!$I$138:$I$175,0)),0)</f>
        <v>0</v>
      </c>
      <c r="BC283" s="626">
        <f t="shared" si="390"/>
        <v>0</v>
      </c>
      <c r="BD283" s="626">
        <f t="shared" si="391"/>
        <v>0</v>
      </c>
      <c r="BE283" s="626">
        <f t="shared" si="392"/>
        <v>0</v>
      </c>
      <c r="BF283" s="625">
        <f t="array" ref="BF283">IFERROR(INDEX('TB-EQUIPMENT &amp; OTHER HPs'!$AF$138:$AF$175,MATCH($E283&amp;$F283,'TB-EQUIPMENT &amp; OTHER HPs'!$E$138:$E$175&amp;'TB-EQUIPMENT &amp; OTHER HPs'!$I$138:$I$175,0)),0)</f>
        <v>0</v>
      </c>
      <c r="BG283" s="626">
        <f t="shared" si="393"/>
        <v>0</v>
      </c>
      <c r="BH283" s="626">
        <f t="shared" si="394"/>
        <v>0</v>
      </c>
      <c r="BI283" s="626">
        <f t="shared" si="395"/>
        <v>0</v>
      </c>
      <c r="BJ283" s="630"/>
      <c r="BK283" s="625"/>
      <c r="BL283" s="625"/>
      <c r="BM283" s="625"/>
      <c r="BN283" s="625"/>
      <c r="BO283" s="625"/>
      <c r="BP283" s="625"/>
      <c r="BQ283" s="625"/>
      <c r="BR283" s="625"/>
    </row>
    <row r="284" spans="1:70">
      <c r="A284" s="29" t="s">
        <v>1757</v>
      </c>
      <c r="B284" s="29" t="s">
        <v>1838</v>
      </c>
      <c r="C284" s="619">
        <f>SETUP!$F$44</f>
        <v>0</v>
      </c>
      <c r="D284" s="25">
        <v>6.5</v>
      </c>
      <c r="E284" s="26" t="s">
        <v>217</v>
      </c>
      <c r="F284" s="26" t="s">
        <v>218</v>
      </c>
      <c r="G284" s="625" t="str">
        <f t="array" ref="G284">IFERROR(INDEX('TB-EQUIPMENT &amp; OTHER HPs'!$L$138:$L$175,MATCH($E284&amp;$F284,'TB-EQUIPMENT &amp; OTHER HPs'!$E$138:$E$175&amp;'TB-EQUIPMENT &amp; OTHER HPs'!$I$138:$I$175,0)),"")</f>
        <v/>
      </c>
      <c r="H284" s="625" t="str">
        <f t="array" ref="H284">IFERROR(INDEX('TB-EQUIPMENT &amp; OTHER HPs'!$M$138:$M$175,MATCH($E284&amp;$F284,'TB-EQUIPMENT &amp; OTHER HPs'!$E$138:$E$175&amp;'TB-EQUIPMENT &amp; OTHER HPs'!$I$138:$I$175,0)),"")</f>
        <v/>
      </c>
      <c r="I284" s="625">
        <f t="array" ref="I284">IFERROR(INDEX('TB-EQUIPMENT &amp; OTHER HPs'!$N$138:$N$175,MATCH($E284&amp;$F284,'TB-EQUIPMENT &amp; OTHER HPs'!$E$138:$E$175&amp;'TB-EQUIPMENT &amp; OTHER HPs'!$I$138:$I$175,0)),0)</f>
        <v>0</v>
      </c>
      <c r="J284" s="625">
        <f t="array" ref="J284">IFERROR(INDEX('TB-EQUIPMENT &amp; OTHER HPs'!$O$138:$O$175,MATCH($E284&amp;$F284,'TB-EQUIPMENT &amp; OTHER HPs'!$E$138:$E$175&amp;'TB-EQUIPMENT &amp; OTHER HPs'!$I$138:$I$175,0)),0)</f>
        <v>0</v>
      </c>
      <c r="K284" s="626">
        <f t="shared" si="360"/>
        <v>0</v>
      </c>
      <c r="L284" s="626">
        <f t="shared" si="361"/>
        <v>0</v>
      </c>
      <c r="M284" s="626">
        <f t="shared" si="362"/>
        <v>0</v>
      </c>
      <c r="N284" s="625">
        <f t="array" ref="N284">IFERROR(INDEX('TB-EQUIPMENT &amp; OTHER HPs'!$P$138:$P$175,MATCH($E284&amp;$F284,'TB-EQUIPMENT &amp; OTHER HPs'!$E$138:$E$175&amp;'TB-EQUIPMENT &amp; OTHER HPs'!$I$138:$I$175,0)),0)</f>
        <v>0</v>
      </c>
      <c r="O284" s="626">
        <f t="shared" si="363"/>
        <v>0</v>
      </c>
      <c r="P284" s="626">
        <f t="shared" si="364"/>
        <v>0</v>
      </c>
      <c r="Q284" s="626">
        <f t="shared" si="365"/>
        <v>0</v>
      </c>
      <c r="R284" s="625">
        <f t="array" ref="R284">IFERROR(INDEX('TB-EQUIPMENT &amp; OTHER HPs'!$Q$138:$Q$175,MATCH($E284&amp;$F284,'TB-EQUIPMENT &amp; OTHER HPs'!$E$138:$E$175&amp;'TB-EQUIPMENT &amp; OTHER HPs'!$I$138:$I$175,0)),0)</f>
        <v>0</v>
      </c>
      <c r="S284" s="626">
        <f t="shared" si="366"/>
        <v>0</v>
      </c>
      <c r="T284" s="626">
        <f t="shared" si="367"/>
        <v>0</v>
      </c>
      <c r="U284" s="626">
        <f t="shared" si="368"/>
        <v>0</v>
      </c>
      <c r="V284" s="625">
        <f t="array" ref="V284">IFERROR(INDEX('TB-EQUIPMENT &amp; OTHER HPs'!$R$138:$R$175,MATCH($E284&amp;$F284,'TB-EQUIPMENT &amp; OTHER HPs'!$E$138:$E$175&amp;'TB-EQUIPMENT &amp; OTHER HPs'!$I$138:$I$175,0)),0)</f>
        <v>0</v>
      </c>
      <c r="W284" s="626">
        <f t="shared" si="369"/>
        <v>0</v>
      </c>
      <c r="X284" s="626">
        <f t="shared" si="370"/>
        <v>0</v>
      </c>
      <c r="Y284" s="626">
        <f t="shared" si="371"/>
        <v>0</v>
      </c>
      <c r="AA284" s="625">
        <f t="array" ref="AA284">IFERROR(INDEX('TB-EQUIPMENT &amp; OTHER HPs'!$U$138:$U$175,MATCH($E284&amp;$F284,'TB-EQUIPMENT &amp; OTHER HPs'!$E$138:$E$175&amp;'TB-EQUIPMENT &amp; OTHER HPs'!$I$138:$I$175,0)),0)</f>
        <v>0</v>
      </c>
      <c r="AB284" s="625">
        <f t="array" ref="AB284">IFERROR(INDEX('TB-EQUIPMENT &amp; OTHER HPs'!$V$138:$V$175,MATCH($E284&amp;$F284,'TB-EQUIPMENT &amp; OTHER HPs'!$E$138:$E$175&amp;'TB-EQUIPMENT &amp; OTHER HPs'!$I$138:$I$175,0)),0)</f>
        <v>0</v>
      </c>
      <c r="AC284" s="626">
        <f t="shared" si="372"/>
        <v>0</v>
      </c>
      <c r="AD284" s="626">
        <f t="shared" si="373"/>
        <v>0</v>
      </c>
      <c r="AE284" s="626">
        <f t="shared" si="374"/>
        <v>0</v>
      </c>
      <c r="AF284" s="625">
        <f t="array" ref="AF284">IFERROR(INDEX('TB-EQUIPMENT &amp; OTHER HPs'!$W$138:$W$175,MATCH($E284&amp;$F284,'TB-EQUIPMENT &amp; OTHER HPs'!$E$138:$E$175&amp;'TB-EQUIPMENT &amp; OTHER HPs'!$I$138:$I$175,0)),0)</f>
        <v>0</v>
      </c>
      <c r="AG284" s="626">
        <f t="shared" si="375"/>
        <v>0</v>
      </c>
      <c r="AH284" s="626">
        <f t="shared" si="376"/>
        <v>0</v>
      </c>
      <c r="AI284" s="626">
        <f t="shared" si="377"/>
        <v>0</v>
      </c>
      <c r="AJ284" s="625">
        <f t="array" ref="AJ284">IFERROR(INDEX('TB-EQUIPMENT &amp; OTHER HPs'!$X$138:$X$175,MATCH($E284&amp;$F284,'TB-EQUIPMENT &amp; OTHER HPs'!$E$138:$E$175&amp;'TB-EQUIPMENT &amp; OTHER HPs'!$I$138:$I$175,0)),0)</f>
        <v>0</v>
      </c>
      <c r="AK284" s="626">
        <f t="shared" si="378"/>
        <v>0</v>
      </c>
      <c r="AL284" s="626">
        <f t="shared" si="379"/>
        <v>0</v>
      </c>
      <c r="AM284" s="626">
        <f t="shared" si="380"/>
        <v>0</v>
      </c>
      <c r="AN284" s="625">
        <f t="array" ref="AN284">IFERROR(INDEX('TB-EQUIPMENT &amp; OTHER HPs'!$Y$138:$Y$175,MATCH($E284&amp;$F284,'TB-EQUIPMENT &amp; OTHER HPs'!$E$138:$E$175&amp;'TB-EQUIPMENT &amp; OTHER HPs'!$I$138:$I$175,0)),0)</f>
        <v>0</v>
      </c>
      <c r="AO284" s="626">
        <f t="shared" si="381"/>
        <v>0</v>
      </c>
      <c r="AP284" s="626">
        <f t="shared" si="382"/>
        <v>0</v>
      </c>
      <c r="AQ284" s="626">
        <f t="shared" si="383"/>
        <v>0</v>
      </c>
      <c r="AR284" s="630"/>
      <c r="AS284" s="625">
        <f t="array" ref="AS284">IFERROR(INDEX('TB-EQUIPMENT &amp; OTHER HPs'!$AB$138:$AB$175,MATCH($E284&amp;$F284,'TB-EQUIPMENT &amp; OTHER HPs'!$E$138:$E$175&amp;'TB-EQUIPMENT &amp; OTHER HPs'!$I$138:$I$175,0)),0)</f>
        <v>0</v>
      </c>
      <c r="AT284" s="625">
        <f t="array" ref="AT284">IFERROR(INDEX('TB-EQUIPMENT &amp; OTHER HPs'!$AC$138:$AC$175,MATCH($E284&amp;$F284,'TB-EQUIPMENT &amp; OTHER HPs'!$E$138:$E$175&amp;'TB-EQUIPMENT &amp; OTHER HPs'!$I$138:$I$175,0)),0)</f>
        <v>0</v>
      </c>
      <c r="AU284" s="626">
        <f t="shared" si="384"/>
        <v>0</v>
      </c>
      <c r="AV284" s="626">
        <f t="shared" si="385"/>
        <v>0</v>
      </c>
      <c r="AW284" s="626">
        <f t="shared" si="386"/>
        <v>0</v>
      </c>
      <c r="AX284" s="625">
        <f t="array" ref="AX284">IFERROR(INDEX('TB-EQUIPMENT &amp; OTHER HPs'!$AD$138:$AD$175,MATCH($E284&amp;$F284,'TB-EQUIPMENT &amp; OTHER HPs'!$E$138:$E$175&amp;'TB-EQUIPMENT &amp; OTHER HPs'!$I$138:$I$175,0)),0)</f>
        <v>0</v>
      </c>
      <c r="AY284" s="626">
        <f t="shared" si="387"/>
        <v>0</v>
      </c>
      <c r="AZ284" s="626">
        <f t="shared" si="388"/>
        <v>0</v>
      </c>
      <c r="BA284" s="626">
        <f t="shared" si="389"/>
        <v>0</v>
      </c>
      <c r="BB284" s="625">
        <f t="array" ref="BB284">IFERROR(INDEX('TB-EQUIPMENT &amp; OTHER HPs'!$AE$138:$AE$175,MATCH($E284&amp;$F284,'TB-EQUIPMENT &amp; OTHER HPs'!$E$138:$E$175&amp;'TB-EQUIPMENT &amp; OTHER HPs'!$I$138:$I$175,0)),0)</f>
        <v>0</v>
      </c>
      <c r="BC284" s="626">
        <f t="shared" si="390"/>
        <v>0</v>
      </c>
      <c r="BD284" s="626">
        <f t="shared" si="391"/>
        <v>0</v>
      </c>
      <c r="BE284" s="626">
        <f t="shared" si="392"/>
        <v>0</v>
      </c>
      <c r="BF284" s="625">
        <f t="array" ref="BF284">IFERROR(INDEX('TB-EQUIPMENT &amp; OTHER HPs'!$AF$138:$AF$175,MATCH($E284&amp;$F284,'TB-EQUIPMENT &amp; OTHER HPs'!$E$138:$E$175&amp;'TB-EQUIPMENT &amp; OTHER HPs'!$I$138:$I$175,0)),0)</f>
        <v>0</v>
      </c>
      <c r="BG284" s="626">
        <f t="shared" si="393"/>
        <v>0</v>
      </c>
      <c r="BH284" s="626">
        <f t="shared" si="394"/>
        <v>0</v>
      </c>
      <c r="BI284" s="626">
        <f t="shared" si="395"/>
        <v>0</v>
      </c>
      <c r="BJ284" s="630"/>
      <c r="BK284" s="625"/>
      <c r="BL284" s="625"/>
      <c r="BM284" s="625"/>
      <c r="BN284" s="625"/>
      <c r="BO284" s="625"/>
      <c r="BP284" s="625"/>
      <c r="BQ284" s="625"/>
      <c r="BR284" s="625"/>
    </row>
    <row r="285" spans="1:70">
      <c r="A285" s="29" t="s">
        <v>1757</v>
      </c>
      <c r="B285" s="29" t="s">
        <v>1838</v>
      </c>
      <c r="C285" s="619">
        <f>SETUP!$F$44</f>
        <v>0</v>
      </c>
      <c r="D285" s="25">
        <v>6.5</v>
      </c>
      <c r="E285" s="26" t="s">
        <v>219</v>
      </c>
      <c r="F285" s="26" t="s">
        <v>218</v>
      </c>
      <c r="G285" s="625" t="str">
        <f t="array" ref="G285">IFERROR(INDEX('TB-EQUIPMENT &amp; OTHER HPs'!$L$138:$L$175,MATCH($E285&amp;$F285,'TB-EQUIPMENT &amp; OTHER HPs'!$E$138:$E$175&amp;'TB-EQUIPMENT &amp; OTHER HPs'!$I$138:$I$175,0)),"")</f>
        <v/>
      </c>
      <c r="H285" s="625" t="str">
        <f t="array" ref="H285">IFERROR(INDEX('TB-EQUIPMENT &amp; OTHER HPs'!$M$138:$M$175,MATCH($E285&amp;$F285,'TB-EQUIPMENT &amp; OTHER HPs'!$E$138:$E$175&amp;'TB-EQUIPMENT &amp; OTHER HPs'!$I$138:$I$175,0)),"")</f>
        <v/>
      </c>
      <c r="I285" s="625">
        <f t="array" ref="I285">IFERROR(INDEX('TB-EQUIPMENT &amp; OTHER HPs'!$N$138:$N$175,MATCH($E285&amp;$F285,'TB-EQUIPMENT &amp; OTHER HPs'!$E$138:$E$175&amp;'TB-EQUIPMENT &amp; OTHER HPs'!$I$138:$I$175,0)),0)</f>
        <v>0</v>
      </c>
      <c r="J285" s="625">
        <f t="array" ref="J285">IFERROR(INDEX('TB-EQUIPMENT &amp; OTHER HPs'!$O$138:$O$175,MATCH($E285&amp;$F285,'TB-EQUIPMENT &amp; OTHER HPs'!$E$138:$E$175&amp;'TB-EQUIPMENT &amp; OTHER HPs'!$I$138:$I$175,0)),0)</f>
        <v>0</v>
      </c>
      <c r="K285" s="626">
        <f t="shared" si="360"/>
        <v>0</v>
      </c>
      <c r="L285" s="626">
        <f t="shared" si="361"/>
        <v>0</v>
      </c>
      <c r="M285" s="626">
        <f t="shared" si="362"/>
        <v>0</v>
      </c>
      <c r="N285" s="625">
        <f t="array" ref="N285">IFERROR(INDEX('TB-EQUIPMENT &amp; OTHER HPs'!$P$138:$P$175,MATCH($E285&amp;$F285,'TB-EQUIPMENT &amp; OTHER HPs'!$E$138:$E$175&amp;'TB-EQUIPMENT &amp; OTHER HPs'!$I$138:$I$175,0)),0)</f>
        <v>0</v>
      </c>
      <c r="O285" s="626">
        <f t="shared" si="363"/>
        <v>0</v>
      </c>
      <c r="P285" s="626">
        <f t="shared" si="364"/>
        <v>0</v>
      </c>
      <c r="Q285" s="626">
        <f t="shared" si="365"/>
        <v>0</v>
      </c>
      <c r="R285" s="625">
        <f t="array" ref="R285">IFERROR(INDEX('TB-EQUIPMENT &amp; OTHER HPs'!$Q$138:$Q$175,MATCH($E285&amp;$F285,'TB-EQUIPMENT &amp; OTHER HPs'!$E$138:$E$175&amp;'TB-EQUIPMENT &amp; OTHER HPs'!$I$138:$I$175,0)),0)</f>
        <v>0</v>
      </c>
      <c r="S285" s="626">
        <f t="shared" si="366"/>
        <v>0</v>
      </c>
      <c r="T285" s="626">
        <f t="shared" si="367"/>
        <v>0</v>
      </c>
      <c r="U285" s="626">
        <f t="shared" si="368"/>
        <v>0</v>
      </c>
      <c r="V285" s="625">
        <f t="array" ref="V285">IFERROR(INDEX('TB-EQUIPMENT &amp; OTHER HPs'!$R$138:$R$175,MATCH($E285&amp;$F285,'TB-EQUIPMENT &amp; OTHER HPs'!$E$138:$E$175&amp;'TB-EQUIPMENT &amp; OTHER HPs'!$I$138:$I$175,0)),0)</f>
        <v>0</v>
      </c>
      <c r="W285" s="626">
        <f t="shared" si="369"/>
        <v>0</v>
      </c>
      <c r="X285" s="626">
        <f t="shared" si="370"/>
        <v>0</v>
      </c>
      <c r="Y285" s="626">
        <f t="shared" si="371"/>
        <v>0</v>
      </c>
      <c r="AA285" s="625">
        <f t="array" ref="AA285">IFERROR(INDEX('TB-EQUIPMENT &amp; OTHER HPs'!$U$138:$U$175,MATCH($E285&amp;$F285,'TB-EQUIPMENT &amp; OTHER HPs'!$E$138:$E$175&amp;'TB-EQUIPMENT &amp; OTHER HPs'!$I$138:$I$175,0)),0)</f>
        <v>0</v>
      </c>
      <c r="AB285" s="625">
        <f t="array" ref="AB285">IFERROR(INDEX('TB-EQUIPMENT &amp; OTHER HPs'!$V$138:$V$175,MATCH($E285&amp;$F285,'TB-EQUIPMENT &amp; OTHER HPs'!$E$138:$E$175&amp;'TB-EQUIPMENT &amp; OTHER HPs'!$I$138:$I$175,0)),0)</f>
        <v>0</v>
      </c>
      <c r="AC285" s="626">
        <f t="shared" si="372"/>
        <v>0</v>
      </c>
      <c r="AD285" s="626">
        <f t="shared" si="373"/>
        <v>0</v>
      </c>
      <c r="AE285" s="626">
        <f t="shared" si="374"/>
        <v>0</v>
      </c>
      <c r="AF285" s="625">
        <f t="array" ref="AF285">IFERROR(INDEX('TB-EQUIPMENT &amp; OTHER HPs'!$W$138:$W$175,MATCH($E285&amp;$F285,'TB-EQUIPMENT &amp; OTHER HPs'!$E$138:$E$175&amp;'TB-EQUIPMENT &amp; OTHER HPs'!$I$138:$I$175,0)),0)</f>
        <v>0</v>
      </c>
      <c r="AG285" s="626">
        <f t="shared" si="375"/>
        <v>0</v>
      </c>
      <c r="AH285" s="626">
        <f t="shared" si="376"/>
        <v>0</v>
      </c>
      <c r="AI285" s="626">
        <f t="shared" si="377"/>
        <v>0</v>
      </c>
      <c r="AJ285" s="625">
        <f t="array" ref="AJ285">IFERROR(INDEX('TB-EQUIPMENT &amp; OTHER HPs'!$X$138:$X$175,MATCH($E285&amp;$F285,'TB-EQUIPMENT &amp; OTHER HPs'!$E$138:$E$175&amp;'TB-EQUIPMENT &amp; OTHER HPs'!$I$138:$I$175,0)),0)</f>
        <v>0</v>
      </c>
      <c r="AK285" s="626">
        <f t="shared" si="378"/>
        <v>0</v>
      </c>
      <c r="AL285" s="626">
        <f t="shared" si="379"/>
        <v>0</v>
      </c>
      <c r="AM285" s="626">
        <f t="shared" si="380"/>
        <v>0</v>
      </c>
      <c r="AN285" s="625">
        <f t="array" ref="AN285">IFERROR(INDEX('TB-EQUIPMENT &amp; OTHER HPs'!$Y$138:$Y$175,MATCH($E285&amp;$F285,'TB-EQUIPMENT &amp; OTHER HPs'!$E$138:$E$175&amp;'TB-EQUIPMENT &amp; OTHER HPs'!$I$138:$I$175,0)),0)</f>
        <v>0</v>
      </c>
      <c r="AO285" s="626">
        <f t="shared" si="381"/>
        <v>0</v>
      </c>
      <c r="AP285" s="626">
        <f t="shared" si="382"/>
        <v>0</v>
      </c>
      <c r="AQ285" s="626">
        <f t="shared" si="383"/>
        <v>0</v>
      </c>
      <c r="AR285" s="630"/>
      <c r="AS285" s="625">
        <f t="array" ref="AS285">IFERROR(INDEX('TB-EQUIPMENT &amp; OTHER HPs'!$AB$138:$AB$175,MATCH($E285&amp;$F285,'TB-EQUIPMENT &amp; OTHER HPs'!$E$138:$E$175&amp;'TB-EQUIPMENT &amp; OTHER HPs'!$I$138:$I$175,0)),0)</f>
        <v>0</v>
      </c>
      <c r="AT285" s="625">
        <f t="array" ref="AT285">IFERROR(INDEX('TB-EQUIPMENT &amp; OTHER HPs'!$AC$138:$AC$175,MATCH($E285&amp;$F285,'TB-EQUIPMENT &amp; OTHER HPs'!$E$138:$E$175&amp;'TB-EQUIPMENT &amp; OTHER HPs'!$I$138:$I$175,0)),0)</f>
        <v>0</v>
      </c>
      <c r="AU285" s="626">
        <f t="shared" si="384"/>
        <v>0</v>
      </c>
      <c r="AV285" s="626">
        <f t="shared" si="385"/>
        <v>0</v>
      </c>
      <c r="AW285" s="626">
        <f t="shared" si="386"/>
        <v>0</v>
      </c>
      <c r="AX285" s="625">
        <f t="array" ref="AX285">IFERROR(INDEX('TB-EQUIPMENT &amp; OTHER HPs'!$AD$138:$AD$175,MATCH($E285&amp;$F285,'TB-EQUIPMENT &amp; OTHER HPs'!$E$138:$E$175&amp;'TB-EQUIPMENT &amp; OTHER HPs'!$I$138:$I$175,0)),0)</f>
        <v>0</v>
      </c>
      <c r="AY285" s="626">
        <f t="shared" si="387"/>
        <v>0</v>
      </c>
      <c r="AZ285" s="626">
        <f t="shared" si="388"/>
        <v>0</v>
      </c>
      <c r="BA285" s="626">
        <f t="shared" si="389"/>
        <v>0</v>
      </c>
      <c r="BB285" s="625">
        <f t="array" ref="BB285">IFERROR(INDEX('TB-EQUIPMENT &amp; OTHER HPs'!$AE$138:$AE$175,MATCH($E285&amp;$F285,'TB-EQUIPMENT &amp; OTHER HPs'!$E$138:$E$175&amp;'TB-EQUIPMENT &amp; OTHER HPs'!$I$138:$I$175,0)),0)</f>
        <v>0</v>
      </c>
      <c r="BC285" s="626">
        <f t="shared" si="390"/>
        <v>0</v>
      </c>
      <c r="BD285" s="626">
        <f t="shared" si="391"/>
        <v>0</v>
      </c>
      <c r="BE285" s="626">
        <f t="shared" si="392"/>
        <v>0</v>
      </c>
      <c r="BF285" s="625">
        <f t="array" ref="BF285">IFERROR(INDEX('TB-EQUIPMENT &amp; OTHER HPs'!$AF$138:$AF$175,MATCH($E285&amp;$F285,'TB-EQUIPMENT &amp; OTHER HPs'!$E$138:$E$175&amp;'TB-EQUIPMENT &amp; OTHER HPs'!$I$138:$I$175,0)),0)</f>
        <v>0</v>
      </c>
      <c r="BG285" s="626">
        <f t="shared" si="393"/>
        <v>0</v>
      </c>
      <c r="BH285" s="626">
        <f t="shared" si="394"/>
        <v>0</v>
      </c>
      <c r="BI285" s="626">
        <f t="shared" si="395"/>
        <v>0</v>
      </c>
      <c r="BJ285" s="630"/>
      <c r="BK285" s="625"/>
      <c r="BL285" s="625"/>
      <c r="BM285" s="625"/>
      <c r="BN285" s="625"/>
      <c r="BO285" s="625"/>
      <c r="BP285" s="625"/>
      <c r="BQ285" s="625"/>
      <c r="BR285" s="625"/>
    </row>
    <row r="286" spans="1:70">
      <c r="A286" s="29" t="s">
        <v>1757</v>
      </c>
      <c r="B286" s="29" t="s">
        <v>1838</v>
      </c>
      <c r="C286" s="619">
        <f>SETUP!$F$44</f>
        <v>0</v>
      </c>
      <c r="D286" s="25">
        <v>6.5</v>
      </c>
      <c r="E286" s="26" t="s">
        <v>220</v>
      </c>
      <c r="F286" s="26" t="s">
        <v>218</v>
      </c>
      <c r="G286" s="625" t="str">
        <f t="array" ref="G286">IFERROR(INDEX('TB-EQUIPMENT &amp; OTHER HPs'!$L$138:$L$175,MATCH($E286&amp;$F286,'TB-EQUIPMENT &amp; OTHER HPs'!$E$138:$E$175&amp;'TB-EQUIPMENT &amp; OTHER HPs'!$I$138:$I$175,0)),"")</f>
        <v/>
      </c>
      <c r="H286" s="625" t="str">
        <f t="array" ref="H286">IFERROR(INDEX('TB-EQUIPMENT &amp; OTHER HPs'!$M$138:$M$175,MATCH($E286&amp;$F286,'TB-EQUIPMENT &amp; OTHER HPs'!$E$138:$E$175&amp;'TB-EQUIPMENT &amp; OTHER HPs'!$I$138:$I$175,0)),"")</f>
        <v/>
      </c>
      <c r="I286" s="625">
        <f t="array" ref="I286">IFERROR(INDEX('TB-EQUIPMENT &amp; OTHER HPs'!$N$138:$N$175,MATCH($E286&amp;$F286,'TB-EQUIPMENT &amp; OTHER HPs'!$E$138:$E$175&amp;'TB-EQUIPMENT &amp; OTHER HPs'!$I$138:$I$175,0)),0)</f>
        <v>0</v>
      </c>
      <c r="J286" s="625">
        <f t="array" ref="J286">IFERROR(INDEX('TB-EQUIPMENT &amp; OTHER HPs'!$O$138:$O$175,MATCH($E286&amp;$F286,'TB-EQUIPMENT &amp; OTHER HPs'!$E$138:$E$175&amp;'TB-EQUIPMENT &amp; OTHER HPs'!$I$138:$I$175,0)),0)</f>
        <v>0</v>
      </c>
      <c r="K286" s="626">
        <f t="shared" si="360"/>
        <v>0</v>
      </c>
      <c r="L286" s="626">
        <f t="shared" si="361"/>
        <v>0</v>
      </c>
      <c r="M286" s="626">
        <f t="shared" si="362"/>
        <v>0</v>
      </c>
      <c r="N286" s="625">
        <f t="array" ref="N286">IFERROR(INDEX('TB-EQUIPMENT &amp; OTHER HPs'!$P$138:$P$175,MATCH($E286&amp;$F286,'TB-EQUIPMENT &amp; OTHER HPs'!$E$138:$E$175&amp;'TB-EQUIPMENT &amp; OTHER HPs'!$I$138:$I$175,0)),0)</f>
        <v>0</v>
      </c>
      <c r="O286" s="626">
        <f t="shared" si="363"/>
        <v>0</v>
      </c>
      <c r="P286" s="626">
        <f t="shared" si="364"/>
        <v>0</v>
      </c>
      <c r="Q286" s="626">
        <f t="shared" si="365"/>
        <v>0</v>
      </c>
      <c r="R286" s="625">
        <f t="array" ref="R286">IFERROR(INDEX('TB-EQUIPMENT &amp; OTHER HPs'!$Q$138:$Q$175,MATCH($E286&amp;$F286,'TB-EQUIPMENT &amp; OTHER HPs'!$E$138:$E$175&amp;'TB-EQUIPMENT &amp; OTHER HPs'!$I$138:$I$175,0)),0)</f>
        <v>0</v>
      </c>
      <c r="S286" s="626">
        <f t="shared" si="366"/>
        <v>0</v>
      </c>
      <c r="T286" s="626">
        <f t="shared" si="367"/>
        <v>0</v>
      </c>
      <c r="U286" s="626">
        <f t="shared" si="368"/>
        <v>0</v>
      </c>
      <c r="V286" s="625">
        <f t="array" ref="V286">IFERROR(INDEX('TB-EQUIPMENT &amp; OTHER HPs'!$R$138:$R$175,MATCH($E286&amp;$F286,'TB-EQUIPMENT &amp; OTHER HPs'!$E$138:$E$175&amp;'TB-EQUIPMENT &amp; OTHER HPs'!$I$138:$I$175,0)),0)</f>
        <v>0</v>
      </c>
      <c r="W286" s="626">
        <f t="shared" si="369"/>
        <v>0</v>
      </c>
      <c r="X286" s="626">
        <f t="shared" si="370"/>
        <v>0</v>
      </c>
      <c r="Y286" s="626">
        <f t="shared" si="371"/>
        <v>0</v>
      </c>
      <c r="AA286" s="625">
        <f t="array" ref="AA286">IFERROR(INDEX('TB-EQUIPMENT &amp; OTHER HPs'!$U$138:$U$175,MATCH($E286&amp;$F286,'TB-EQUIPMENT &amp; OTHER HPs'!$E$138:$E$175&amp;'TB-EQUIPMENT &amp; OTHER HPs'!$I$138:$I$175,0)),0)</f>
        <v>0</v>
      </c>
      <c r="AB286" s="625">
        <f t="array" ref="AB286">IFERROR(INDEX('TB-EQUIPMENT &amp; OTHER HPs'!$V$138:$V$175,MATCH($E286&amp;$F286,'TB-EQUIPMENT &amp; OTHER HPs'!$E$138:$E$175&amp;'TB-EQUIPMENT &amp; OTHER HPs'!$I$138:$I$175,0)),0)</f>
        <v>0</v>
      </c>
      <c r="AC286" s="626">
        <f t="shared" si="372"/>
        <v>0</v>
      </c>
      <c r="AD286" s="626">
        <f t="shared" si="373"/>
        <v>0</v>
      </c>
      <c r="AE286" s="626">
        <f t="shared" si="374"/>
        <v>0</v>
      </c>
      <c r="AF286" s="625">
        <f t="array" ref="AF286">IFERROR(INDEX('TB-EQUIPMENT &amp; OTHER HPs'!$W$138:$W$175,MATCH($E286&amp;$F286,'TB-EQUIPMENT &amp; OTHER HPs'!$E$138:$E$175&amp;'TB-EQUIPMENT &amp; OTHER HPs'!$I$138:$I$175,0)),0)</f>
        <v>0</v>
      </c>
      <c r="AG286" s="626">
        <f t="shared" si="375"/>
        <v>0</v>
      </c>
      <c r="AH286" s="626">
        <f t="shared" si="376"/>
        <v>0</v>
      </c>
      <c r="AI286" s="626">
        <f t="shared" si="377"/>
        <v>0</v>
      </c>
      <c r="AJ286" s="625">
        <f t="array" ref="AJ286">IFERROR(INDEX('TB-EQUIPMENT &amp; OTHER HPs'!$X$138:$X$175,MATCH($E286&amp;$F286,'TB-EQUIPMENT &amp; OTHER HPs'!$E$138:$E$175&amp;'TB-EQUIPMENT &amp; OTHER HPs'!$I$138:$I$175,0)),0)</f>
        <v>0</v>
      </c>
      <c r="AK286" s="626">
        <f t="shared" si="378"/>
        <v>0</v>
      </c>
      <c r="AL286" s="626">
        <f t="shared" si="379"/>
        <v>0</v>
      </c>
      <c r="AM286" s="626">
        <f t="shared" si="380"/>
        <v>0</v>
      </c>
      <c r="AN286" s="625">
        <f t="array" ref="AN286">IFERROR(INDEX('TB-EQUIPMENT &amp; OTHER HPs'!$Y$138:$Y$175,MATCH($E286&amp;$F286,'TB-EQUIPMENT &amp; OTHER HPs'!$E$138:$E$175&amp;'TB-EQUIPMENT &amp; OTHER HPs'!$I$138:$I$175,0)),0)</f>
        <v>0</v>
      </c>
      <c r="AO286" s="626">
        <f t="shared" si="381"/>
        <v>0</v>
      </c>
      <c r="AP286" s="626">
        <f t="shared" si="382"/>
        <v>0</v>
      </c>
      <c r="AQ286" s="626">
        <f t="shared" si="383"/>
        <v>0</v>
      </c>
      <c r="AR286" s="630"/>
      <c r="AS286" s="625">
        <f t="array" ref="AS286">IFERROR(INDEX('TB-EQUIPMENT &amp; OTHER HPs'!$AB$138:$AB$175,MATCH($E286&amp;$F286,'TB-EQUIPMENT &amp; OTHER HPs'!$E$138:$E$175&amp;'TB-EQUIPMENT &amp; OTHER HPs'!$I$138:$I$175,0)),0)</f>
        <v>0</v>
      </c>
      <c r="AT286" s="625">
        <f t="array" ref="AT286">IFERROR(INDEX('TB-EQUIPMENT &amp; OTHER HPs'!$AC$138:$AC$175,MATCH($E286&amp;$F286,'TB-EQUIPMENT &amp; OTHER HPs'!$E$138:$E$175&amp;'TB-EQUIPMENT &amp; OTHER HPs'!$I$138:$I$175,0)),0)</f>
        <v>0</v>
      </c>
      <c r="AU286" s="626">
        <f t="shared" si="384"/>
        <v>0</v>
      </c>
      <c r="AV286" s="626">
        <f t="shared" si="385"/>
        <v>0</v>
      </c>
      <c r="AW286" s="626">
        <f t="shared" si="386"/>
        <v>0</v>
      </c>
      <c r="AX286" s="625">
        <f t="array" ref="AX286">IFERROR(INDEX('TB-EQUIPMENT &amp; OTHER HPs'!$AD$138:$AD$175,MATCH($E286&amp;$F286,'TB-EQUIPMENT &amp; OTHER HPs'!$E$138:$E$175&amp;'TB-EQUIPMENT &amp; OTHER HPs'!$I$138:$I$175,0)),0)</f>
        <v>0</v>
      </c>
      <c r="AY286" s="626">
        <f t="shared" si="387"/>
        <v>0</v>
      </c>
      <c r="AZ286" s="626">
        <f t="shared" si="388"/>
        <v>0</v>
      </c>
      <c r="BA286" s="626">
        <f t="shared" si="389"/>
        <v>0</v>
      </c>
      <c r="BB286" s="625">
        <f t="array" ref="BB286">IFERROR(INDEX('TB-EQUIPMENT &amp; OTHER HPs'!$AE$138:$AE$175,MATCH($E286&amp;$F286,'TB-EQUIPMENT &amp; OTHER HPs'!$E$138:$E$175&amp;'TB-EQUIPMENT &amp; OTHER HPs'!$I$138:$I$175,0)),0)</f>
        <v>0</v>
      </c>
      <c r="BC286" s="626">
        <f t="shared" si="390"/>
        <v>0</v>
      </c>
      <c r="BD286" s="626">
        <f t="shared" si="391"/>
        <v>0</v>
      </c>
      <c r="BE286" s="626">
        <f t="shared" si="392"/>
        <v>0</v>
      </c>
      <c r="BF286" s="625">
        <f t="array" ref="BF286">IFERROR(INDEX('TB-EQUIPMENT &amp; OTHER HPs'!$AF$138:$AF$175,MATCH($E286&amp;$F286,'TB-EQUIPMENT &amp; OTHER HPs'!$E$138:$E$175&amp;'TB-EQUIPMENT &amp; OTHER HPs'!$I$138:$I$175,0)),0)</f>
        <v>0</v>
      </c>
      <c r="BG286" s="626">
        <f t="shared" si="393"/>
        <v>0</v>
      </c>
      <c r="BH286" s="626">
        <f t="shared" si="394"/>
        <v>0</v>
      </c>
      <c r="BI286" s="626">
        <f t="shared" si="395"/>
        <v>0</v>
      </c>
      <c r="BJ286" s="630"/>
      <c r="BK286" s="625"/>
      <c r="BL286" s="625"/>
      <c r="BM286" s="625"/>
      <c r="BN286" s="625"/>
      <c r="BO286" s="625"/>
      <c r="BP286" s="625"/>
      <c r="BQ286" s="625"/>
      <c r="BR286" s="625"/>
    </row>
    <row r="287" spans="1:70">
      <c r="A287" s="29" t="s">
        <v>1757</v>
      </c>
      <c r="B287" s="29" t="s">
        <v>1838</v>
      </c>
      <c r="C287" s="619">
        <f>SETUP!$F$44</f>
        <v>0</v>
      </c>
      <c r="D287" s="25">
        <v>6.5</v>
      </c>
      <c r="E287" s="26" t="s">
        <v>1861</v>
      </c>
      <c r="F287" s="26" t="s">
        <v>218</v>
      </c>
      <c r="G287" s="625" t="str">
        <f t="array" ref="G287">IFERROR(INDEX('TB-EQUIPMENT &amp; OTHER HPs'!$L$138:$L$175,MATCH($E287&amp;$F287,'TB-EQUIPMENT &amp; OTHER HPs'!$E$138:$E$175&amp;'TB-EQUIPMENT &amp; OTHER HPs'!$I$138:$I$175,0)),"")</f>
        <v/>
      </c>
      <c r="H287" s="625" t="str">
        <f t="array" ref="H287">IFERROR(INDEX('TB-EQUIPMENT &amp; OTHER HPs'!$M$138:$M$175,MATCH($E287&amp;$F287,'TB-EQUIPMENT &amp; OTHER HPs'!$E$138:$E$175&amp;'TB-EQUIPMENT &amp; OTHER HPs'!$I$138:$I$175,0)),"")</f>
        <v/>
      </c>
      <c r="I287" s="625">
        <f t="array" ref="I287">IFERROR(INDEX('TB-EQUIPMENT &amp; OTHER HPs'!$N$138:$N$175,MATCH($E287&amp;$F287,'TB-EQUIPMENT &amp; OTHER HPs'!$E$138:$E$175&amp;'TB-EQUIPMENT &amp; OTHER HPs'!$I$138:$I$175,0)),0)</f>
        <v>0</v>
      </c>
      <c r="J287" s="625">
        <f t="array" ref="J287">IFERROR(INDEX('TB-EQUIPMENT &amp; OTHER HPs'!$O$138:$O$175,MATCH($E287&amp;$F287,'TB-EQUIPMENT &amp; OTHER HPs'!$E$138:$E$175&amp;'TB-EQUIPMENT &amp; OTHER HPs'!$I$138:$I$175,0)),0)</f>
        <v>0</v>
      </c>
      <c r="K287" s="626">
        <f t="shared" si="360"/>
        <v>0</v>
      </c>
      <c r="L287" s="626">
        <f t="shared" si="361"/>
        <v>0</v>
      </c>
      <c r="M287" s="626">
        <f t="shared" si="362"/>
        <v>0</v>
      </c>
      <c r="N287" s="625">
        <f t="array" ref="N287">IFERROR(INDEX('TB-EQUIPMENT &amp; OTHER HPs'!$P$138:$P$175,MATCH($E287&amp;$F287,'TB-EQUIPMENT &amp; OTHER HPs'!$E$138:$E$175&amp;'TB-EQUIPMENT &amp; OTHER HPs'!$I$138:$I$175,0)),0)</f>
        <v>0</v>
      </c>
      <c r="O287" s="626">
        <f t="shared" si="363"/>
        <v>0</v>
      </c>
      <c r="P287" s="626">
        <f t="shared" si="364"/>
        <v>0</v>
      </c>
      <c r="Q287" s="626">
        <f t="shared" si="365"/>
        <v>0</v>
      </c>
      <c r="R287" s="625">
        <f t="array" ref="R287">IFERROR(INDEX('TB-EQUIPMENT &amp; OTHER HPs'!$Q$138:$Q$175,MATCH($E287&amp;$F287,'TB-EQUIPMENT &amp; OTHER HPs'!$E$138:$E$175&amp;'TB-EQUIPMENT &amp; OTHER HPs'!$I$138:$I$175,0)),0)</f>
        <v>0</v>
      </c>
      <c r="S287" s="626">
        <f t="shared" si="366"/>
        <v>0</v>
      </c>
      <c r="T287" s="626">
        <f t="shared" si="367"/>
        <v>0</v>
      </c>
      <c r="U287" s="626">
        <f t="shared" si="368"/>
        <v>0</v>
      </c>
      <c r="V287" s="625">
        <f t="array" ref="V287">IFERROR(INDEX('TB-EQUIPMENT &amp; OTHER HPs'!$R$138:$R$175,MATCH($E287&amp;$F287,'TB-EQUIPMENT &amp; OTHER HPs'!$E$138:$E$175&amp;'TB-EQUIPMENT &amp; OTHER HPs'!$I$138:$I$175,0)),0)</f>
        <v>0</v>
      </c>
      <c r="W287" s="626">
        <f t="shared" si="369"/>
        <v>0</v>
      </c>
      <c r="X287" s="626">
        <f t="shared" si="370"/>
        <v>0</v>
      </c>
      <c r="Y287" s="626">
        <f t="shared" si="371"/>
        <v>0</v>
      </c>
      <c r="AA287" s="625">
        <f t="array" ref="AA287">IFERROR(INDEX('TB-EQUIPMENT &amp; OTHER HPs'!$U$138:$U$175,MATCH($E287&amp;$F287,'TB-EQUIPMENT &amp; OTHER HPs'!$E$138:$E$175&amp;'TB-EQUIPMENT &amp; OTHER HPs'!$I$138:$I$175,0)),0)</f>
        <v>0</v>
      </c>
      <c r="AB287" s="625">
        <f t="array" ref="AB287">IFERROR(INDEX('TB-EQUIPMENT &amp; OTHER HPs'!$V$138:$V$175,MATCH($E287&amp;$F287,'TB-EQUIPMENT &amp; OTHER HPs'!$E$138:$E$175&amp;'TB-EQUIPMENT &amp; OTHER HPs'!$I$138:$I$175,0)),0)</f>
        <v>0</v>
      </c>
      <c r="AC287" s="626">
        <f t="shared" si="372"/>
        <v>0</v>
      </c>
      <c r="AD287" s="626">
        <f t="shared" si="373"/>
        <v>0</v>
      </c>
      <c r="AE287" s="626">
        <f t="shared" si="374"/>
        <v>0</v>
      </c>
      <c r="AF287" s="625">
        <f t="array" ref="AF287">IFERROR(INDEX('TB-EQUIPMENT &amp; OTHER HPs'!$W$138:$W$175,MATCH($E287&amp;$F287,'TB-EQUIPMENT &amp; OTHER HPs'!$E$138:$E$175&amp;'TB-EQUIPMENT &amp; OTHER HPs'!$I$138:$I$175,0)),0)</f>
        <v>0</v>
      </c>
      <c r="AG287" s="626">
        <f t="shared" si="375"/>
        <v>0</v>
      </c>
      <c r="AH287" s="626">
        <f t="shared" si="376"/>
        <v>0</v>
      </c>
      <c r="AI287" s="626">
        <f t="shared" si="377"/>
        <v>0</v>
      </c>
      <c r="AJ287" s="625">
        <f t="array" ref="AJ287">IFERROR(INDEX('TB-EQUIPMENT &amp; OTHER HPs'!$X$138:$X$175,MATCH($E287&amp;$F287,'TB-EQUIPMENT &amp; OTHER HPs'!$E$138:$E$175&amp;'TB-EQUIPMENT &amp; OTHER HPs'!$I$138:$I$175,0)),0)</f>
        <v>0</v>
      </c>
      <c r="AK287" s="626">
        <f t="shared" si="378"/>
        <v>0</v>
      </c>
      <c r="AL287" s="626">
        <f t="shared" si="379"/>
        <v>0</v>
      </c>
      <c r="AM287" s="626">
        <f t="shared" si="380"/>
        <v>0</v>
      </c>
      <c r="AN287" s="625">
        <f t="array" ref="AN287">IFERROR(INDEX('TB-EQUIPMENT &amp; OTHER HPs'!$Y$138:$Y$175,MATCH($E287&amp;$F287,'TB-EQUIPMENT &amp; OTHER HPs'!$E$138:$E$175&amp;'TB-EQUIPMENT &amp; OTHER HPs'!$I$138:$I$175,0)),0)</f>
        <v>0</v>
      </c>
      <c r="AO287" s="626">
        <f t="shared" si="381"/>
        <v>0</v>
      </c>
      <c r="AP287" s="626">
        <f t="shared" si="382"/>
        <v>0</v>
      </c>
      <c r="AQ287" s="626">
        <f t="shared" si="383"/>
        <v>0</v>
      </c>
      <c r="AR287" s="630"/>
      <c r="AS287" s="625">
        <f t="array" ref="AS287">IFERROR(INDEX('TB-EQUIPMENT &amp; OTHER HPs'!$AB$138:$AB$175,MATCH($E287&amp;$F287,'TB-EQUIPMENT &amp; OTHER HPs'!$E$138:$E$175&amp;'TB-EQUIPMENT &amp; OTHER HPs'!$I$138:$I$175,0)),0)</f>
        <v>0</v>
      </c>
      <c r="AT287" s="625">
        <f t="array" ref="AT287">IFERROR(INDEX('TB-EQUIPMENT &amp; OTHER HPs'!$AC$138:$AC$175,MATCH($E287&amp;$F287,'TB-EQUIPMENT &amp; OTHER HPs'!$E$138:$E$175&amp;'TB-EQUIPMENT &amp; OTHER HPs'!$I$138:$I$175,0)),0)</f>
        <v>0</v>
      </c>
      <c r="AU287" s="626">
        <f t="shared" si="384"/>
        <v>0</v>
      </c>
      <c r="AV287" s="626">
        <f t="shared" si="385"/>
        <v>0</v>
      </c>
      <c r="AW287" s="626">
        <f t="shared" si="386"/>
        <v>0</v>
      </c>
      <c r="AX287" s="625">
        <f t="array" ref="AX287">IFERROR(INDEX('TB-EQUIPMENT &amp; OTHER HPs'!$AD$138:$AD$175,MATCH($E287&amp;$F287,'TB-EQUIPMENT &amp; OTHER HPs'!$E$138:$E$175&amp;'TB-EQUIPMENT &amp; OTHER HPs'!$I$138:$I$175,0)),0)</f>
        <v>0</v>
      </c>
      <c r="AY287" s="626">
        <f t="shared" si="387"/>
        <v>0</v>
      </c>
      <c r="AZ287" s="626">
        <f t="shared" si="388"/>
        <v>0</v>
      </c>
      <c r="BA287" s="626">
        <f t="shared" si="389"/>
        <v>0</v>
      </c>
      <c r="BB287" s="625">
        <f t="array" ref="BB287">IFERROR(INDEX('TB-EQUIPMENT &amp; OTHER HPs'!$AE$138:$AE$175,MATCH($E287&amp;$F287,'TB-EQUIPMENT &amp; OTHER HPs'!$E$138:$E$175&amp;'TB-EQUIPMENT &amp; OTHER HPs'!$I$138:$I$175,0)),0)</f>
        <v>0</v>
      </c>
      <c r="BC287" s="626">
        <f t="shared" si="390"/>
        <v>0</v>
      </c>
      <c r="BD287" s="626">
        <f t="shared" si="391"/>
        <v>0</v>
      </c>
      <c r="BE287" s="626">
        <f t="shared" si="392"/>
        <v>0</v>
      </c>
      <c r="BF287" s="625">
        <f t="array" ref="BF287">IFERROR(INDEX('TB-EQUIPMENT &amp; OTHER HPs'!$AF$138:$AF$175,MATCH($E287&amp;$F287,'TB-EQUIPMENT &amp; OTHER HPs'!$E$138:$E$175&amp;'TB-EQUIPMENT &amp; OTHER HPs'!$I$138:$I$175,0)),0)</f>
        <v>0</v>
      </c>
      <c r="BG287" s="626">
        <f t="shared" si="393"/>
        <v>0</v>
      </c>
      <c r="BH287" s="626">
        <f t="shared" si="394"/>
        <v>0</v>
      </c>
      <c r="BI287" s="626">
        <f t="shared" si="395"/>
        <v>0</v>
      </c>
      <c r="BJ287" s="630"/>
      <c r="BK287" s="625"/>
      <c r="BL287" s="625"/>
      <c r="BM287" s="625"/>
      <c r="BN287" s="625"/>
      <c r="BO287" s="625"/>
      <c r="BP287" s="625"/>
      <c r="BQ287" s="625"/>
      <c r="BR287" s="625"/>
    </row>
    <row r="288" spans="1:70">
      <c r="A288" s="29" t="s">
        <v>1757</v>
      </c>
      <c r="B288" s="29" t="s">
        <v>1838</v>
      </c>
      <c r="C288" s="619">
        <f>SETUP!$F$44</f>
        <v>0</v>
      </c>
      <c r="D288" s="25">
        <v>6.5</v>
      </c>
      <c r="E288" s="26" t="s">
        <v>202</v>
      </c>
      <c r="F288" s="26" t="s">
        <v>218</v>
      </c>
      <c r="G288" s="625" t="str">
        <f t="array" ref="G288">IFERROR(INDEX('TB-EQUIPMENT &amp; OTHER HPs'!$L$138:$L$175,MATCH($E288&amp;$F288,'TB-EQUIPMENT &amp; OTHER HPs'!$E$138:$E$175&amp;'TB-EQUIPMENT &amp; OTHER HPs'!$I$138:$I$175,0)),"")</f>
        <v/>
      </c>
      <c r="H288" s="625" t="str">
        <f t="array" ref="H288">IFERROR(INDEX('TB-EQUIPMENT &amp; OTHER HPs'!$M$138:$M$175,MATCH($E288&amp;$F288,'TB-EQUIPMENT &amp; OTHER HPs'!$E$138:$E$175&amp;'TB-EQUIPMENT &amp; OTHER HPs'!$I$138:$I$175,0)),"")</f>
        <v/>
      </c>
      <c r="I288" s="625">
        <f t="array" ref="I288">IFERROR(INDEX('TB-EQUIPMENT &amp; OTHER HPs'!$N$138:$N$175,MATCH($E288&amp;$F288,'TB-EQUIPMENT &amp; OTHER HPs'!$E$138:$E$175&amp;'TB-EQUIPMENT &amp; OTHER HPs'!$I$138:$I$175,0)),0)</f>
        <v>0</v>
      </c>
      <c r="J288" s="625">
        <f t="array" ref="J288">IFERROR(INDEX('TB-EQUIPMENT &amp; OTHER HPs'!$O$138:$O$175,MATCH($E288&amp;$F288,'TB-EQUIPMENT &amp; OTHER HPs'!$E$138:$E$175&amp;'TB-EQUIPMENT &amp; OTHER HPs'!$I$138:$I$175,0)),0)</f>
        <v>0</v>
      </c>
      <c r="K288" s="626">
        <f t="shared" si="360"/>
        <v>0</v>
      </c>
      <c r="L288" s="626">
        <f t="shared" si="361"/>
        <v>0</v>
      </c>
      <c r="M288" s="626">
        <f t="shared" si="362"/>
        <v>0</v>
      </c>
      <c r="N288" s="625">
        <f t="array" ref="N288">IFERROR(INDEX('TB-EQUIPMENT &amp; OTHER HPs'!$P$138:$P$175,MATCH($E288&amp;$F288,'TB-EQUIPMENT &amp; OTHER HPs'!$E$138:$E$175&amp;'TB-EQUIPMENT &amp; OTHER HPs'!$I$138:$I$175,0)),0)</f>
        <v>0</v>
      </c>
      <c r="O288" s="626">
        <f t="shared" si="363"/>
        <v>0</v>
      </c>
      <c r="P288" s="626">
        <f t="shared" si="364"/>
        <v>0</v>
      </c>
      <c r="Q288" s="626">
        <f t="shared" si="365"/>
        <v>0</v>
      </c>
      <c r="R288" s="625">
        <f t="array" ref="R288">IFERROR(INDEX('TB-EQUIPMENT &amp; OTHER HPs'!$Q$138:$Q$175,MATCH($E288&amp;$F288,'TB-EQUIPMENT &amp; OTHER HPs'!$E$138:$E$175&amp;'TB-EQUIPMENT &amp; OTHER HPs'!$I$138:$I$175,0)),0)</f>
        <v>0</v>
      </c>
      <c r="S288" s="626">
        <f t="shared" si="366"/>
        <v>0</v>
      </c>
      <c r="T288" s="626">
        <f t="shared" si="367"/>
        <v>0</v>
      </c>
      <c r="U288" s="626">
        <f t="shared" si="368"/>
        <v>0</v>
      </c>
      <c r="V288" s="625">
        <f t="array" ref="V288">IFERROR(INDEX('TB-EQUIPMENT &amp; OTHER HPs'!$R$138:$R$175,MATCH($E288&amp;$F288,'TB-EQUIPMENT &amp; OTHER HPs'!$E$138:$E$175&amp;'TB-EQUIPMENT &amp; OTHER HPs'!$I$138:$I$175,0)),0)</f>
        <v>0</v>
      </c>
      <c r="W288" s="626">
        <f t="shared" si="369"/>
        <v>0</v>
      </c>
      <c r="X288" s="626">
        <f t="shared" si="370"/>
        <v>0</v>
      </c>
      <c r="Y288" s="626">
        <f t="shared" si="371"/>
        <v>0</v>
      </c>
      <c r="AA288" s="625">
        <f t="array" ref="AA288">IFERROR(INDEX('TB-EQUIPMENT &amp; OTHER HPs'!$U$138:$U$175,MATCH($E288&amp;$F288,'TB-EQUIPMENT &amp; OTHER HPs'!$E$138:$E$175&amp;'TB-EQUIPMENT &amp; OTHER HPs'!$I$138:$I$175,0)),0)</f>
        <v>0</v>
      </c>
      <c r="AB288" s="625">
        <f t="array" ref="AB288">IFERROR(INDEX('TB-EQUIPMENT &amp; OTHER HPs'!$V$138:$V$175,MATCH($E288&amp;$F288,'TB-EQUIPMENT &amp; OTHER HPs'!$E$138:$E$175&amp;'TB-EQUIPMENT &amp; OTHER HPs'!$I$138:$I$175,0)),0)</f>
        <v>0</v>
      </c>
      <c r="AC288" s="626">
        <f t="shared" si="372"/>
        <v>0</v>
      </c>
      <c r="AD288" s="626">
        <f t="shared" si="373"/>
        <v>0</v>
      </c>
      <c r="AE288" s="626">
        <f t="shared" si="374"/>
        <v>0</v>
      </c>
      <c r="AF288" s="625">
        <f t="array" ref="AF288">IFERROR(INDEX('TB-EQUIPMENT &amp; OTHER HPs'!$W$138:$W$175,MATCH($E288&amp;$F288,'TB-EQUIPMENT &amp; OTHER HPs'!$E$138:$E$175&amp;'TB-EQUIPMENT &amp; OTHER HPs'!$I$138:$I$175,0)),0)</f>
        <v>0</v>
      </c>
      <c r="AG288" s="626">
        <f t="shared" si="375"/>
        <v>0</v>
      </c>
      <c r="AH288" s="626">
        <f t="shared" si="376"/>
        <v>0</v>
      </c>
      <c r="AI288" s="626">
        <f t="shared" si="377"/>
        <v>0</v>
      </c>
      <c r="AJ288" s="625">
        <f t="array" ref="AJ288">IFERROR(INDEX('TB-EQUIPMENT &amp; OTHER HPs'!$X$138:$X$175,MATCH($E288&amp;$F288,'TB-EQUIPMENT &amp; OTHER HPs'!$E$138:$E$175&amp;'TB-EQUIPMENT &amp; OTHER HPs'!$I$138:$I$175,0)),0)</f>
        <v>0</v>
      </c>
      <c r="AK288" s="626">
        <f t="shared" si="378"/>
        <v>0</v>
      </c>
      <c r="AL288" s="626">
        <f t="shared" si="379"/>
        <v>0</v>
      </c>
      <c r="AM288" s="626">
        <f t="shared" si="380"/>
        <v>0</v>
      </c>
      <c r="AN288" s="625">
        <f t="array" ref="AN288">IFERROR(INDEX('TB-EQUIPMENT &amp; OTHER HPs'!$Y$138:$Y$175,MATCH($E288&amp;$F288,'TB-EQUIPMENT &amp; OTHER HPs'!$E$138:$E$175&amp;'TB-EQUIPMENT &amp; OTHER HPs'!$I$138:$I$175,0)),0)</f>
        <v>0</v>
      </c>
      <c r="AO288" s="626">
        <f t="shared" si="381"/>
        <v>0</v>
      </c>
      <c r="AP288" s="626">
        <f t="shared" si="382"/>
        <v>0</v>
      </c>
      <c r="AQ288" s="626">
        <f t="shared" si="383"/>
        <v>0</v>
      </c>
      <c r="AR288" s="630"/>
      <c r="AS288" s="625">
        <f t="array" ref="AS288">IFERROR(INDEX('TB-EQUIPMENT &amp; OTHER HPs'!$AB$138:$AB$175,MATCH($E288&amp;$F288,'TB-EQUIPMENT &amp; OTHER HPs'!$E$138:$E$175&amp;'TB-EQUIPMENT &amp; OTHER HPs'!$I$138:$I$175,0)),0)</f>
        <v>0</v>
      </c>
      <c r="AT288" s="625">
        <f t="array" ref="AT288">IFERROR(INDEX('TB-EQUIPMENT &amp; OTHER HPs'!$AC$138:$AC$175,MATCH($E288&amp;$F288,'TB-EQUIPMENT &amp; OTHER HPs'!$E$138:$E$175&amp;'TB-EQUIPMENT &amp; OTHER HPs'!$I$138:$I$175,0)),0)</f>
        <v>0</v>
      </c>
      <c r="AU288" s="626">
        <f t="shared" si="384"/>
        <v>0</v>
      </c>
      <c r="AV288" s="626">
        <f t="shared" si="385"/>
        <v>0</v>
      </c>
      <c r="AW288" s="626">
        <f t="shared" si="386"/>
        <v>0</v>
      </c>
      <c r="AX288" s="625">
        <f t="array" ref="AX288">IFERROR(INDEX('TB-EQUIPMENT &amp; OTHER HPs'!$AD$138:$AD$175,MATCH($E288&amp;$F288,'TB-EQUIPMENT &amp; OTHER HPs'!$E$138:$E$175&amp;'TB-EQUIPMENT &amp; OTHER HPs'!$I$138:$I$175,0)),0)</f>
        <v>0</v>
      </c>
      <c r="AY288" s="626">
        <f t="shared" si="387"/>
        <v>0</v>
      </c>
      <c r="AZ288" s="626">
        <f t="shared" si="388"/>
        <v>0</v>
      </c>
      <c r="BA288" s="626">
        <f t="shared" si="389"/>
        <v>0</v>
      </c>
      <c r="BB288" s="625">
        <f t="array" ref="BB288">IFERROR(INDEX('TB-EQUIPMENT &amp; OTHER HPs'!$AE$138:$AE$175,MATCH($E288&amp;$F288,'TB-EQUIPMENT &amp; OTHER HPs'!$E$138:$E$175&amp;'TB-EQUIPMENT &amp; OTHER HPs'!$I$138:$I$175,0)),0)</f>
        <v>0</v>
      </c>
      <c r="BC288" s="626">
        <f t="shared" si="390"/>
        <v>0</v>
      </c>
      <c r="BD288" s="626">
        <f t="shared" si="391"/>
        <v>0</v>
      </c>
      <c r="BE288" s="626">
        <f t="shared" si="392"/>
        <v>0</v>
      </c>
      <c r="BF288" s="625">
        <f t="array" ref="BF288">IFERROR(INDEX('TB-EQUIPMENT &amp; OTHER HPs'!$AF$138:$AF$175,MATCH($E288&amp;$F288,'TB-EQUIPMENT &amp; OTHER HPs'!$E$138:$E$175&amp;'TB-EQUIPMENT &amp; OTHER HPs'!$I$138:$I$175,0)),0)</f>
        <v>0</v>
      </c>
      <c r="BG288" s="626">
        <f t="shared" si="393"/>
        <v>0</v>
      </c>
      <c r="BH288" s="626">
        <f t="shared" si="394"/>
        <v>0</v>
      </c>
      <c r="BI288" s="626">
        <f t="shared" si="395"/>
        <v>0</v>
      </c>
      <c r="BJ288" s="630"/>
      <c r="BK288" s="625"/>
      <c r="BL288" s="625"/>
      <c r="BM288" s="625"/>
      <c r="BN288" s="625"/>
      <c r="BO288" s="625"/>
      <c r="BP288" s="625"/>
      <c r="BQ288" s="625"/>
      <c r="BR288" s="625"/>
    </row>
    <row r="289" spans="1:70">
      <c r="A289" s="29" t="s">
        <v>1757</v>
      </c>
      <c r="B289" s="29" t="s">
        <v>1838</v>
      </c>
      <c r="C289" s="619">
        <f>SETUP!$F$44</f>
        <v>0</v>
      </c>
      <c r="D289" s="25">
        <v>6.5</v>
      </c>
      <c r="E289" s="26" t="s">
        <v>222</v>
      </c>
      <c r="F289" s="26" t="s">
        <v>218</v>
      </c>
      <c r="G289" s="625" t="str">
        <f t="array" ref="G289">IFERROR(INDEX('TB-EQUIPMENT &amp; OTHER HPs'!$L$138:$L$175,MATCH($E289&amp;$F289,'TB-EQUIPMENT &amp; OTHER HPs'!$E$138:$E$175&amp;'TB-EQUIPMENT &amp; OTHER HPs'!$I$138:$I$175,0)),"")</f>
        <v/>
      </c>
      <c r="H289" s="625" t="str">
        <f t="array" ref="H289">IFERROR(INDEX('TB-EQUIPMENT &amp; OTHER HPs'!$M$138:$M$175,MATCH($E289&amp;$F289,'TB-EQUIPMENT &amp; OTHER HPs'!$E$138:$E$175&amp;'TB-EQUIPMENT &amp; OTHER HPs'!$I$138:$I$175,0)),"")</f>
        <v/>
      </c>
      <c r="I289" s="625">
        <f t="array" ref="I289">IFERROR(INDEX('TB-EQUIPMENT &amp; OTHER HPs'!$N$138:$N$175,MATCH($E289&amp;$F289,'TB-EQUIPMENT &amp; OTHER HPs'!$E$138:$E$175&amp;'TB-EQUIPMENT &amp; OTHER HPs'!$I$138:$I$175,0)),0)</f>
        <v>0</v>
      </c>
      <c r="J289" s="625">
        <f t="array" ref="J289">IFERROR(INDEX('TB-EQUIPMENT &amp; OTHER HPs'!$O$138:$O$175,MATCH($E289&amp;$F289,'TB-EQUIPMENT &amp; OTHER HPs'!$E$138:$E$175&amp;'TB-EQUIPMENT &amp; OTHER HPs'!$I$138:$I$175,0)),0)</f>
        <v>0</v>
      </c>
      <c r="K289" s="626">
        <f t="shared" si="360"/>
        <v>0</v>
      </c>
      <c r="L289" s="626">
        <f t="shared" si="361"/>
        <v>0</v>
      </c>
      <c r="M289" s="626">
        <f t="shared" si="362"/>
        <v>0</v>
      </c>
      <c r="N289" s="625">
        <f t="array" ref="N289">IFERROR(INDEX('TB-EQUIPMENT &amp; OTHER HPs'!$P$138:$P$175,MATCH($E289&amp;$F289,'TB-EQUIPMENT &amp; OTHER HPs'!$E$138:$E$175&amp;'TB-EQUIPMENT &amp; OTHER HPs'!$I$138:$I$175,0)),0)</f>
        <v>0</v>
      </c>
      <c r="O289" s="626">
        <f t="shared" si="363"/>
        <v>0</v>
      </c>
      <c r="P289" s="626">
        <f t="shared" si="364"/>
        <v>0</v>
      </c>
      <c r="Q289" s="626">
        <f t="shared" si="365"/>
        <v>0</v>
      </c>
      <c r="R289" s="625">
        <f t="array" ref="R289">IFERROR(INDEX('TB-EQUIPMENT &amp; OTHER HPs'!$Q$138:$Q$175,MATCH($E289&amp;$F289,'TB-EQUIPMENT &amp; OTHER HPs'!$E$138:$E$175&amp;'TB-EQUIPMENT &amp; OTHER HPs'!$I$138:$I$175,0)),0)</f>
        <v>0</v>
      </c>
      <c r="S289" s="626">
        <f t="shared" si="366"/>
        <v>0</v>
      </c>
      <c r="T289" s="626">
        <f t="shared" si="367"/>
        <v>0</v>
      </c>
      <c r="U289" s="626">
        <f t="shared" si="368"/>
        <v>0</v>
      </c>
      <c r="V289" s="625">
        <f t="array" ref="V289">IFERROR(INDEX('TB-EQUIPMENT &amp; OTHER HPs'!$R$138:$R$175,MATCH($E289&amp;$F289,'TB-EQUIPMENT &amp; OTHER HPs'!$E$138:$E$175&amp;'TB-EQUIPMENT &amp; OTHER HPs'!$I$138:$I$175,0)),0)</f>
        <v>0</v>
      </c>
      <c r="W289" s="626">
        <f t="shared" si="369"/>
        <v>0</v>
      </c>
      <c r="X289" s="626">
        <f t="shared" si="370"/>
        <v>0</v>
      </c>
      <c r="Y289" s="626">
        <f t="shared" si="371"/>
        <v>0</v>
      </c>
      <c r="AA289" s="625">
        <f t="array" ref="AA289">IFERROR(INDEX('TB-EQUIPMENT &amp; OTHER HPs'!$U$138:$U$175,MATCH($E289&amp;$F289,'TB-EQUIPMENT &amp; OTHER HPs'!$E$138:$E$175&amp;'TB-EQUIPMENT &amp; OTHER HPs'!$I$138:$I$175,0)),0)</f>
        <v>0</v>
      </c>
      <c r="AB289" s="625">
        <f t="array" ref="AB289">IFERROR(INDEX('TB-EQUIPMENT &amp; OTHER HPs'!$V$138:$V$175,MATCH($E289&amp;$F289,'TB-EQUIPMENT &amp; OTHER HPs'!$E$138:$E$175&amp;'TB-EQUIPMENT &amp; OTHER HPs'!$I$138:$I$175,0)),0)</f>
        <v>0</v>
      </c>
      <c r="AC289" s="626">
        <f t="shared" si="372"/>
        <v>0</v>
      </c>
      <c r="AD289" s="626">
        <f t="shared" si="373"/>
        <v>0</v>
      </c>
      <c r="AE289" s="626">
        <f t="shared" si="374"/>
        <v>0</v>
      </c>
      <c r="AF289" s="625">
        <f t="array" ref="AF289">IFERROR(INDEX('TB-EQUIPMENT &amp; OTHER HPs'!$W$138:$W$175,MATCH($E289&amp;$F289,'TB-EQUIPMENT &amp; OTHER HPs'!$E$138:$E$175&amp;'TB-EQUIPMENT &amp; OTHER HPs'!$I$138:$I$175,0)),0)</f>
        <v>0</v>
      </c>
      <c r="AG289" s="626">
        <f t="shared" si="375"/>
        <v>0</v>
      </c>
      <c r="AH289" s="626">
        <f t="shared" si="376"/>
        <v>0</v>
      </c>
      <c r="AI289" s="626">
        <f t="shared" si="377"/>
        <v>0</v>
      </c>
      <c r="AJ289" s="625">
        <f t="array" ref="AJ289">IFERROR(INDEX('TB-EQUIPMENT &amp; OTHER HPs'!$X$138:$X$175,MATCH($E289&amp;$F289,'TB-EQUIPMENT &amp; OTHER HPs'!$E$138:$E$175&amp;'TB-EQUIPMENT &amp; OTHER HPs'!$I$138:$I$175,0)),0)</f>
        <v>0</v>
      </c>
      <c r="AK289" s="626">
        <f t="shared" si="378"/>
        <v>0</v>
      </c>
      <c r="AL289" s="626">
        <f t="shared" si="379"/>
        <v>0</v>
      </c>
      <c r="AM289" s="626">
        <f t="shared" si="380"/>
        <v>0</v>
      </c>
      <c r="AN289" s="625">
        <f t="array" ref="AN289">IFERROR(INDEX('TB-EQUIPMENT &amp; OTHER HPs'!$Y$138:$Y$175,MATCH($E289&amp;$F289,'TB-EQUIPMENT &amp; OTHER HPs'!$E$138:$E$175&amp;'TB-EQUIPMENT &amp; OTHER HPs'!$I$138:$I$175,0)),0)</f>
        <v>0</v>
      </c>
      <c r="AO289" s="626">
        <f t="shared" si="381"/>
        <v>0</v>
      </c>
      <c r="AP289" s="626">
        <f t="shared" si="382"/>
        <v>0</v>
      </c>
      <c r="AQ289" s="626">
        <f t="shared" si="383"/>
        <v>0</v>
      </c>
      <c r="AR289" s="630"/>
      <c r="AS289" s="625">
        <f t="array" ref="AS289">IFERROR(INDEX('TB-EQUIPMENT &amp; OTHER HPs'!$AB$138:$AB$175,MATCH($E289&amp;$F289,'TB-EQUIPMENT &amp; OTHER HPs'!$E$138:$E$175&amp;'TB-EQUIPMENT &amp; OTHER HPs'!$I$138:$I$175,0)),0)</f>
        <v>0</v>
      </c>
      <c r="AT289" s="625">
        <f t="array" ref="AT289">IFERROR(INDEX('TB-EQUIPMENT &amp; OTHER HPs'!$AC$138:$AC$175,MATCH($E289&amp;$F289,'TB-EQUIPMENT &amp; OTHER HPs'!$E$138:$E$175&amp;'TB-EQUIPMENT &amp; OTHER HPs'!$I$138:$I$175,0)),0)</f>
        <v>0</v>
      </c>
      <c r="AU289" s="626">
        <f t="shared" si="384"/>
        <v>0</v>
      </c>
      <c r="AV289" s="626">
        <f t="shared" si="385"/>
        <v>0</v>
      </c>
      <c r="AW289" s="626">
        <f t="shared" si="386"/>
        <v>0</v>
      </c>
      <c r="AX289" s="625">
        <f t="array" ref="AX289">IFERROR(INDEX('TB-EQUIPMENT &amp; OTHER HPs'!$AD$138:$AD$175,MATCH($E289&amp;$F289,'TB-EQUIPMENT &amp; OTHER HPs'!$E$138:$E$175&amp;'TB-EQUIPMENT &amp; OTHER HPs'!$I$138:$I$175,0)),0)</f>
        <v>0</v>
      </c>
      <c r="AY289" s="626">
        <f t="shared" si="387"/>
        <v>0</v>
      </c>
      <c r="AZ289" s="626">
        <f t="shared" si="388"/>
        <v>0</v>
      </c>
      <c r="BA289" s="626">
        <f t="shared" si="389"/>
        <v>0</v>
      </c>
      <c r="BB289" s="625">
        <f t="array" ref="BB289">IFERROR(INDEX('TB-EQUIPMENT &amp; OTHER HPs'!$AE$138:$AE$175,MATCH($E289&amp;$F289,'TB-EQUIPMENT &amp; OTHER HPs'!$E$138:$E$175&amp;'TB-EQUIPMENT &amp; OTHER HPs'!$I$138:$I$175,0)),0)</f>
        <v>0</v>
      </c>
      <c r="BC289" s="626">
        <f t="shared" si="390"/>
        <v>0</v>
      </c>
      <c r="BD289" s="626">
        <f t="shared" si="391"/>
        <v>0</v>
      </c>
      <c r="BE289" s="626">
        <f t="shared" si="392"/>
        <v>0</v>
      </c>
      <c r="BF289" s="625">
        <f t="array" ref="BF289">IFERROR(INDEX('TB-EQUIPMENT &amp; OTHER HPs'!$AF$138:$AF$175,MATCH($E289&amp;$F289,'TB-EQUIPMENT &amp; OTHER HPs'!$E$138:$E$175&amp;'TB-EQUIPMENT &amp; OTHER HPs'!$I$138:$I$175,0)),0)</f>
        <v>0</v>
      </c>
      <c r="BG289" s="626">
        <f t="shared" si="393"/>
        <v>0</v>
      </c>
      <c r="BH289" s="626">
        <f t="shared" si="394"/>
        <v>0</v>
      </c>
      <c r="BI289" s="626">
        <f t="shared" si="395"/>
        <v>0</v>
      </c>
      <c r="BJ289" s="630"/>
      <c r="BK289" s="625"/>
      <c r="BL289" s="625"/>
      <c r="BM289" s="625"/>
      <c r="BN289" s="625"/>
      <c r="BO289" s="625"/>
      <c r="BP289" s="625"/>
      <c r="BQ289" s="625"/>
      <c r="BR289" s="625"/>
    </row>
    <row r="290" spans="1:70">
      <c r="A290" s="29" t="s">
        <v>1757</v>
      </c>
      <c r="B290" s="29" t="s">
        <v>1838</v>
      </c>
      <c r="C290" s="619">
        <f>SETUP!$F$44</f>
        <v>0</v>
      </c>
      <c r="D290" s="25">
        <v>6.5</v>
      </c>
      <c r="E290" s="26" t="s">
        <v>223</v>
      </c>
      <c r="F290" s="26" t="s">
        <v>218</v>
      </c>
      <c r="G290" s="625" t="str">
        <f t="array" ref="G290">IFERROR(INDEX('TB-EQUIPMENT &amp; OTHER HPs'!$L$138:$L$175,MATCH($E290&amp;$F290,'TB-EQUIPMENT &amp; OTHER HPs'!$E$138:$E$175&amp;'TB-EQUIPMENT &amp; OTHER HPs'!$I$138:$I$175,0)),"")</f>
        <v/>
      </c>
      <c r="H290" s="625" t="str">
        <f t="array" ref="H290">IFERROR(INDEX('TB-EQUIPMENT &amp; OTHER HPs'!$M$138:$M$175,MATCH($E290&amp;$F290,'TB-EQUIPMENT &amp; OTHER HPs'!$E$138:$E$175&amp;'TB-EQUIPMENT &amp; OTHER HPs'!$I$138:$I$175,0)),"")</f>
        <v/>
      </c>
      <c r="I290" s="625">
        <f t="array" ref="I290">IFERROR(INDEX('TB-EQUIPMENT &amp; OTHER HPs'!$N$138:$N$175,MATCH($E290&amp;$F290,'TB-EQUIPMENT &amp; OTHER HPs'!$E$138:$E$175&amp;'TB-EQUIPMENT &amp; OTHER HPs'!$I$138:$I$175,0)),0)</f>
        <v>0</v>
      </c>
      <c r="J290" s="625">
        <f t="array" ref="J290">IFERROR(INDEX('TB-EQUIPMENT &amp; OTHER HPs'!$O$138:$O$175,MATCH($E290&amp;$F290,'TB-EQUIPMENT &amp; OTHER HPs'!$E$138:$E$175&amp;'TB-EQUIPMENT &amp; OTHER HPs'!$I$138:$I$175,0)),0)</f>
        <v>0</v>
      </c>
      <c r="K290" s="626">
        <f t="shared" si="360"/>
        <v>0</v>
      </c>
      <c r="L290" s="626">
        <f t="shared" si="361"/>
        <v>0</v>
      </c>
      <c r="M290" s="626">
        <f t="shared" si="362"/>
        <v>0</v>
      </c>
      <c r="N290" s="625">
        <f t="array" ref="N290">IFERROR(INDEX('TB-EQUIPMENT &amp; OTHER HPs'!$P$138:$P$175,MATCH($E290&amp;$F290,'TB-EQUIPMENT &amp; OTHER HPs'!$E$138:$E$175&amp;'TB-EQUIPMENT &amp; OTHER HPs'!$I$138:$I$175,0)),0)</f>
        <v>0</v>
      </c>
      <c r="O290" s="626">
        <f t="shared" si="363"/>
        <v>0</v>
      </c>
      <c r="P290" s="626">
        <f t="shared" si="364"/>
        <v>0</v>
      </c>
      <c r="Q290" s="626">
        <f t="shared" si="365"/>
        <v>0</v>
      </c>
      <c r="R290" s="625">
        <f t="array" ref="R290">IFERROR(INDEX('TB-EQUIPMENT &amp; OTHER HPs'!$Q$138:$Q$175,MATCH($E290&amp;$F290,'TB-EQUIPMENT &amp; OTHER HPs'!$E$138:$E$175&amp;'TB-EQUIPMENT &amp; OTHER HPs'!$I$138:$I$175,0)),0)</f>
        <v>0</v>
      </c>
      <c r="S290" s="626">
        <f t="shared" si="366"/>
        <v>0</v>
      </c>
      <c r="T290" s="626">
        <f t="shared" si="367"/>
        <v>0</v>
      </c>
      <c r="U290" s="626">
        <f t="shared" si="368"/>
        <v>0</v>
      </c>
      <c r="V290" s="625">
        <f t="array" ref="V290">IFERROR(INDEX('TB-EQUIPMENT &amp; OTHER HPs'!$R$138:$R$175,MATCH($E290&amp;$F290,'TB-EQUIPMENT &amp; OTHER HPs'!$E$138:$E$175&amp;'TB-EQUIPMENT &amp; OTHER HPs'!$I$138:$I$175,0)),0)</f>
        <v>0</v>
      </c>
      <c r="W290" s="626">
        <f t="shared" si="369"/>
        <v>0</v>
      </c>
      <c r="X290" s="626">
        <f t="shared" si="370"/>
        <v>0</v>
      </c>
      <c r="Y290" s="626">
        <f t="shared" si="371"/>
        <v>0</v>
      </c>
      <c r="AA290" s="625">
        <f t="array" ref="AA290">IFERROR(INDEX('TB-EQUIPMENT &amp; OTHER HPs'!$U$138:$U$175,MATCH($E290&amp;$F290,'TB-EQUIPMENT &amp; OTHER HPs'!$E$138:$E$175&amp;'TB-EQUIPMENT &amp; OTHER HPs'!$I$138:$I$175,0)),0)</f>
        <v>0</v>
      </c>
      <c r="AB290" s="625">
        <f t="array" ref="AB290">IFERROR(INDEX('TB-EQUIPMENT &amp; OTHER HPs'!$V$138:$V$175,MATCH($E290&amp;$F290,'TB-EQUIPMENT &amp; OTHER HPs'!$E$138:$E$175&amp;'TB-EQUIPMENT &amp; OTHER HPs'!$I$138:$I$175,0)),0)</f>
        <v>0</v>
      </c>
      <c r="AC290" s="626">
        <f t="shared" si="372"/>
        <v>0</v>
      </c>
      <c r="AD290" s="626">
        <f t="shared" si="373"/>
        <v>0</v>
      </c>
      <c r="AE290" s="626">
        <f t="shared" si="374"/>
        <v>0</v>
      </c>
      <c r="AF290" s="625">
        <f t="array" ref="AF290">IFERROR(INDEX('TB-EQUIPMENT &amp; OTHER HPs'!$W$138:$W$175,MATCH($E290&amp;$F290,'TB-EQUIPMENT &amp; OTHER HPs'!$E$138:$E$175&amp;'TB-EQUIPMENT &amp; OTHER HPs'!$I$138:$I$175,0)),0)</f>
        <v>0</v>
      </c>
      <c r="AG290" s="626">
        <f t="shared" si="375"/>
        <v>0</v>
      </c>
      <c r="AH290" s="626">
        <f t="shared" si="376"/>
        <v>0</v>
      </c>
      <c r="AI290" s="626">
        <f t="shared" si="377"/>
        <v>0</v>
      </c>
      <c r="AJ290" s="625">
        <f t="array" ref="AJ290">IFERROR(INDEX('TB-EQUIPMENT &amp; OTHER HPs'!$X$138:$X$175,MATCH($E290&amp;$F290,'TB-EQUIPMENT &amp; OTHER HPs'!$E$138:$E$175&amp;'TB-EQUIPMENT &amp; OTHER HPs'!$I$138:$I$175,0)),0)</f>
        <v>0</v>
      </c>
      <c r="AK290" s="626">
        <f t="shared" si="378"/>
        <v>0</v>
      </c>
      <c r="AL290" s="626">
        <f t="shared" si="379"/>
        <v>0</v>
      </c>
      <c r="AM290" s="626">
        <f t="shared" si="380"/>
        <v>0</v>
      </c>
      <c r="AN290" s="625">
        <f t="array" ref="AN290">IFERROR(INDEX('TB-EQUIPMENT &amp; OTHER HPs'!$Y$138:$Y$175,MATCH($E290&amp;$F290,'TB-EQUIPMENT &amp; OTHER HPs'!$E$138:$E$175&amp;'TB-EQUIPMENT &amp; OTHER HPs'!$I$138:$I$175,0)),0)</f>
        <v>0</v>
      </c>
      <c r="AO290" s="626">
        <f t="shared" si="381"/>
        <v>0</v>
      </c>
      <c r="AP290" s="626">
        <f t="shared" si="382"/>
        <v>0</v>
      </c>
      <c r="AQ290" s="626">
        <f t="shared" si="383"/>
        <v>0</v>
      </c>
      <c r="AR290" s="630"/>
      <c r="AS290" s="625">
        <f t="array" ref="AS290">IFERROR(INDEX('TB-EQUIPMENT &amp; OTHER HPs'!$AB$138:$AB$175,MATCH($E290&amp;$F290,'TB-EQUIPMENT &amp; OTHER HPs'!$E$138:$E$175&amp;'TB-EQUIPMENT &amp; OTHER HPs'!$I$138:$I$175,0)),0)</f>
        <v>0</v>
      </c>
      <c r="AT290" s="625">
        <f t="array" ref="AT290">IFERROR(INDEX('TB-EQUIPMENT &amp; OTHER HPs'!$AC$138:$AC$175,MATCH($E290&amp;$F290,'TB-EQUIPMENT &amp; OTHER HPs'!$E$138:$E$175&amp;'TB-EQUIPMENT &amp; OTHER HPs'!$I$138:$I$175,0)),0)</f>
        <v>0</v>
      </c>
      <c r="AU290" s="626">
        <f t="shared" si="384"/>
        <v>0</v>
      </c>
      <c r="AV290" s="626">
        <f t="shared" si="385"/>
        <v>0</v>
      </c>
      <c r="AW290" s="626">
        <f t="shared" si="386"/>
        <v>0</v>
      </c>
      <c r="AX290" s="625">
        <f t="array" ref="AX290">IFERROR(INDEX('TB-EQUIPMENT &amp; OTHER HPs'!$AD$138:$AD$175,MATCH($E290&amp;$F290,'TB-EQUIPMENT &amp; OTHER HPs'!$E$138:$E$175&amp;'TB-EQUIPMENT &amp; OTHER HPs'!$I$138:$I$175,0)),0)</f>
        <v>0</v>
      </c>
      <c r="AY290" s="626">
        <f t="shared" si="387"/>
        <v>0</v>
      </c>
      <c r="AZ290" s="626">
        <f t="shared" si="388"/>
        <v>0</v>
      </c>
      <c r="BA290" s="626">
        <f t="shared" si="389"/>
        <v>0</v>
      </c>
      <c r="BB290" s="625">
        <f t="array" ref="BB290">IFERROR(INDEX('TB-EQUIPMENT &amp; OTHER HPs'!$AE$138:$AE$175,MATCH($E290&amp;$F290,'TB-EQUIPMENT &amp; OTHER HPs'!$E$138:$E$175&amp;'TB-EQUIPMENT &amp; OTHER HPs'!$I$138:$I$175,0)),0)</f>
        <v>0</v>
      </c>
      <c r="BC290" s="626">
        <f t="shared" si="390"/>
        <v>0</v>
      </c>
      <c r="BD290" s="626">
        <f t="shared" si="391"/>
        <v>0</v>
      </c>
      <c r="BE290" s="626">
        <f t="shared" si="392"/>
        <v>0</v>
      </c>
      <c r="BF290" s="625">
        <f t="array" ref="BF290">IFERROR(INDEX('TB-EQUIPMENT &amp; OTHER HPs'!$AF$138:$AF$175,MATCH($E290&amp;$F290,'TB-EQUIPMENT &amp; OTHER HPs'!$E$138:$E$175&amp;'TB-EQUIPMENT &amp; OTHER HPs'!$I$138:$I$175,0)),0)</f>
        <v>0</v>
      </c>
      <c r="BG290" s="626">
        <f t="shared" si="393"/>
        <v>0</v>
      </c>
      <c r="BH290" s="626">
        <f t="shared" si="394"/>
        <v>0</v>
      </c>
      <c r="BI290" s="626">
        <f t="shared" si="395"/>
        <v>0</v>
      </c>
      <c r="BJ290" s="630"/>
      <c r="BK290" s="625"/>
      <c r="BL290" s="625"/>
      <c r="BM290" s="625"/>
      <c r="BN290" s="625"/>
      <c r="BO290" s="625"/>
      <c r="BP290" s="625"/>
      <c r="BQ290" s="625"/>
      <c r="BR290" s="625"/>
    </row>
    <row r="291" spans="1:70">
      <c r="A291" s="29" t="s">
        <v>1757</v>
      </c>
      <c r="B291" s="29" t="s">
        <v>1838</v>
      </c>
      <c r="C291" s="619">
        <f>SETUP!$F$44</f>
        <v>0</v>
      </c>
      <c r="D291" s="25">
        <v>6.5</v>
      </c>
      <c r="E291" s="26" t="s">
        <v>224</v>
      </c>
      <c r="F291" s="26" t="s">
        <v>218</v>
      </c>
      <c r="G291" s="625" t="str">
        <f t="array" ref="G291">IFERROR(INDEX('TB-EQUIPMENT &amp; OTHER HPs'!$L$138:$L$175,MATCH($E291&amp;$F291,'TB-EQUIPMENT &amp; OTHER HPs'!$E$138:$E$175&amp;'TB-EQUIPMENT &amp; OTHER HPs'!$I$138:$I$175,0)),"")</f>
        <v/>
      </c>
      <c r="H291" s="625" t="str">
        <f t="array" ref="H291">IFERROR(INDEX('TB-EQUIPMENT &amp; OTHER HPs'!$M$138:$M$175,MATCH($E291&amp;$F291,'TB-EQUIPMENT &amp; OTHER HPs'!$E$138:$E$175&amp;'TB-EQUIPMENT &amp; OTHER HPs'!$I$138:$I$175,0)),"")</f>
        <v/>
      </c>
      <c r="I291" s="625">
        <f t="array" ref="I291">IFERROR(INDEX('TB-EQUIPMENT &amp; OTHER HPs'!$N$138:$N$175,MATCH($E291&amp;$F291,'TB-EQUIPMENT &amp; OTHER HPs'!$E$138:$E$175&amp;'TB-EQUIPMENT &amp; OTHER HPs'!$I$138:$I$175,0)),0)</f>
        <v>0</v>
      </c>
      <c r="J291" s="625">
        <f t="array" ref="J291">IFERROR(INDEX('TB-EQUIPMENT &amp; OTHER HPs'!$O$138:$O$175,MATCH($E291&amp;$F291,'TB-EQUIPMENT &amp; OTHER HPs'!$E$138:$E$175&amp;'TB-EQUIPMENT &amp; OTHER HPs'!$I$138:$I$175,0)),0)</f>
        <v>0</v>
      </c>
      <c r="K291" s="626">
        <f t="shared" si="360"/>
        <v>0</v>
      </c>
      <c r="L291" s="626">
        <f t="shared" si="361"/>
        <v>0</v>
      </c>
      <c r="M291" s="626">
        <f t="shared" si="362"/>
        <v>0</v>
      </c>
      <c r="N291" s="625">
        <f t="array" ref="N291">IFERROR(INDEX('TB-EQUIPMENT &amp; OTHER HPs'!$P$138:$P$175,MATCH($E291&amp;$F291,'TB-EQUIPMENT &amp; OTHER HPs'!$E$138:$E$175&amp;'TB-EQUIPMENT &amp; OTHER HPs'!$I$138:$I$175,0)),0)</f>
        <v>0</v>
      </c>
      <c r="O291" s="626">
        <f t="shared" si="363"/>
        <v>0</v>
      </c>
      <c r="P291" s="626">
        <f t="shared" si="364"/>
        <v>0</v>
      </c>
      <c r="Q291" s="626">
        <f t="shared" si="365"/>
        <v>0</v>
      </c>
      <c r="R291" s="625">
        <f t="array" ref="R291">IFERROR(INDEX('TB-EQUIPMENT &amp; OTHER HPs'!$Q$138:$Q$175,MATCH($E291&amp;$F291,'TB-EQUIPMENT &amp; OTHER HPs'!$E$138:$E$175&amp;'TB-EQUIPMENT &amp; OTHER HPs'!$I$138:$I$175,0)),0)</f>
        <v>0</v>
      </c>
      <c r="S291" s="626">
        <f t="shared" si="366"/>
        <v>0</v>
      </c>
      <c r="T291" s="626">
        <f t="shared" si="367"/>
        <v>0</v>
      </c>
      <c r="U291" s="626">
        <f t="shared" si="368"/>
        <v>0</v>
      </c>
      <c r="V291" s="625">
        <f t="array" ref="V291">IFERROR(INDEX('TB-EQUIPMENT &amp; OTHER HPs'!$R$138:$R$175,MATCH($E291&amp;$F291,'TB-EQUIPMENT &amp; OTHER HPs'!$E$138:$E$175&amp;'TB-EQUIPMENT &amp; OTHER HPs'!$I$138:$I$175,0)),0)</f>
        <v>0</v>
      </c>
      <c r="W291" s="626">
        <f t="shared" si="369"/>
        <v>0</v>
      </c>
      <c r="X291" s="626">
        <f t="shared" si="370"/>
        <v>0</v>
      </c>
      <c r="Y291" s="626">
        <f t="shared" si="371"/>
        <v>0</v>
      </c>
      <c r="AA291" s="625">
        <f t="array" ref="AA291">IFERROR(INDEX('TB-EQUIPMENT &amp; OTHER HPs'!$U$138:$U$175,MATCH($E291&amp;$F291,'TB-EQUIPMENT &amp; OTHER HPs'!$E$138:$E$175&amp;'TB-EQUIPMENT &amp; OTHER HPs'!$I$138:$I$175,0)),0)</f>
        <v>0</v>
      </c>
      <c r="AB291" s="625">
        <f t="array" ref="AB291">IFERROR(INDEX('TB-EQUIPMENT &amp; OTHER HPs'!$V$138:$V$175,MATCH($E291&amp;$F291,'TB-EQUIPMENT &amp; OTHER HPs'!$E$138:$E$175&amp;'TB-EQUIPMENT &amp; OTHER HPs'!$I$138:$I$175,0)),0)</f>
        <v>0</v>
      </c>
      <c r="AC291" s="626">
        <f t="shared" si="372"/>
        <v>0</v>
      </c>
      <c r="AD291" s="626">
        <f t="shared" si="373"/>
        <v>0</v>
      </c>
      <c r="AE291" s="626">
        <f t="shared" si="374"/>
        <v>0</v>
      </c>
      <c r="AF291" s="625">
        <f t="array" ref="AF291">IFERROR(INDEX('TB-EQUIPMENT &amp; OTHER HPs'!$W$138:$W$175,MATCH($E291&amp;$F291,'TB-EQUIPMENT &amp; OTHER HPs'!$E$138:$E$175&amp;'TB-EQUIPMENT &amp; OTHER HPs'!$I$138:$I$175,0)),0)</f>
        <v>0</v>
      </c>
      <c r="AG291" s="626">
        <f t="shared" si="375"/>
        <v>0</v>
      </c>
      <c r="AH291" s="626">
        <f t="shared" si="376"/>
        <v>0</v>
      </c>
      <c r="AI291" s="626">
        <f t="shared" si="377"/>
        <v>0</v>
      </c>
      <c r="AJ291" s="625">
        <f t="array" ref="AJ291">IFERROR(INDEX('TB-EQUIPMENT &amp; OTHER HPs'!$X$138:$X$175,MATCH($E291&amp;$F291,'TB-EQUIPMENT &amp; OTHER HPs'!$E$138:$E$175&amp;'TB-EQUIPMENT &amp; OTHER HPs'!$I$138:$I$175,0)),0)</f>
        <v>0</v>
      </c>
      <c r="AK291" s="626">
        <f t="shared" si="378"/>
        <v>0</v>
      </c>
      <c r="AL291" s="626">
        <f t="shared" si="379"/>
        <v>0</v>
      </c>
      <c r="AM291" s="626">
        <f t="shared" si="380"/>
        <v>0</v>
      </c>
      <c r="AN291" s="625">
        <f t="array" ref="AN291">IFERROR(INDEX('TB-EQUIPMENT &amp; OTHER HPs'!$Y$138:$Y$175,MATCH($E291&amp;$F291,'TB-EQUIPMENT &amp; OTHER HPs'!$E$138:$E$175&amp;'TB-EQUIPMENT &amp; OTHER HPs'!$I$138:$I$175,0)),0)</f>
        <v>0</v>
      </c>
      <c r="AO291" s="626">
        <f t="shared" si="381"/>
        <v>0</v>
      </c>
      <c r="AP291" s="626">
        <f t="shared" si="382"/>
        <v>0</v>
      </c>
      <c r="AQ291" s="626">
        <f t="shared" si="383"/>
        <v>0</v>
      </c>
      <c r="AR291" s="630"/>
      <c r="AS291" s="625">
        <f t="array" ref="AS291">IFERROR(INDEX('TB-EQUIPMENT &amp; OTHER HPs'!$AB$138:$AB$175,MATCH($E291&amp;$F291,'TB-EQUIPMENT &amp; OTHER HPs'!$E$138:$E$175&amp;'TB-EQUIPMENT &amp; OTHER HPs'!$I$138:$I$175,0)),0)</f>
        <v>0</v>
      </c>
      <c r="AT291" s="625">
        <f t="array" ref="AT291">IFERROR(INDEX('TB-EQUIPMENT &amp; OTHER HPs'!$AC$138:$AC$175,MATCH($E291&amp;$F291,'TB-EQUIPMENT &amp; OTHER HPs'!$E$138:$E$175&amp;'TB-EQUIPMENT &amp; OTHER HPs'!$I$138:$I$175,0)),0)</f>
        <v>0</v>
      </c>
      <c r="AU291" s="626">
        <f t="shared" si="384"/>
        <v>0</v>
      </c>
      <c r="AV291" s="626">
        <f t="shared" si="385"/>
        <v>0</v>
      </c>
      <c r="AW291" s="626">
        <f t="shared" si="386"/>
        <v>0</v>
      </c>
      <c r="AX291" s="625">
        <f t="array" ref="AX291">IFERROR(INDEX('TB-EQUIPMENT &amp; OTHER HPs'!$AD$138:$AD$175,MATCH($E291&amp;$F291,'TB-EQUIPMENT &amp; OTHER HPs'!$E$138:$E$175&amp;'TB-EQUIPMENT &amp; OTHER HPs'!$I$138:$I$175,0)),0)</f>
        <v>0</v>
      </c>
      <c r="AY291" s="626">
        <f t="shared" si="387"/>
        <v>0</v>
      </c>
      <c r="AZ291" s="626">
        <f t="shared" si="388"/>
        <v>0</v>
      </c>
      <c r="BA291" s="626">
        <f t="shared" si="389"/>
        <v>0</v>
      </c>
      <c r="BB291" s="625">
        <f t="array" ref="BB291">IFERROR(INDEX('TB-EQUIPMENT &amp; OTHER HPs'!$AE$138:$AE$175,MATCH($E291&amp;$F291,'TB-EQUIPMENT &amp; OTHER HPs'!$E$138:$E$175&amp;'TB-EQUIPMENT &amp; OTHER HPs'!$I$138:$I$175,0)),0)</f>
        <v>0</v>
      </c>
      <c r="BC291" s="626">
        <f t="shared" si="390"/>
        <v>0</v>
      </c>
      <c r="BD291" s="626">
        <f t="shared" si="391"/>
        <v>0</v>
      </c>
      <c r="BE291" s="626">
        <f t="shared" si="392"/>
        <v>0</v>
      </c>
      <c r="BF291" s="625">
        <f t="array" ref="BF291">IFERROR(INDEX('TB-EQUIPMENT &amp; OTHER HPs'!$AF$138:$AF$175,MATCH($E291&amp;$F291,'TB-EQUIPMENT &amp; OTHER HPs'!$E$138:$E$175&amp;'TB-EQUIPMENT &amp; OTHER HPs'!$I$138:$I$175,0)),0)</f>
        <v>0</v>
      </c>
      <c r="BG291" s="626">
        <f t="shared" si="393"/>
        <v>0</v>
      </c>
      <c r="BH291" s="626">
        <f t="shared" si="394"/>
        <v>0</v>
      </c>
      <c r="BI291" s="626">
        <f t="shared" si="395"/>
        <v>0</v>
      </c>
      <c r="BJ291" s="630"/>
      <c r="BK291" s="625"/>
      <c r="BL291" s="625"/>
      <c r="BM291" s="625"/>
      <c r="BN291" s="625"/>
      <c r="BO291" s="625"/>
      <c r="BP291" s="625"/>
      <c r="BQ291" s="625"/>
      <c r="BR291" s="625"/>
    </row>
    <row r="292" spans="1:70">
      <c r="A292" s="29" t="s">
        <v>1757</v>
      </c>
      <c r="B292" s="29" t="s">
        <v>1838</v>
      </c>
      <c r="C292" s="619">
        <f>SETUP!$F$44</f>
        <v>0</v>
      </c>
      <c r="D292" s="25">
        <v>6.5</v>
      </c>
      <c r="E292" s="26" t="s">
        <v>225</v>
      </c>
      <c r="F292" s="26" t="s">
        <v>218</v>
      </c>
      <c r="G292" s="625" t="str">
        <f t="array" ref="G292">IFERROR(INDEX('TB-EQUIPMENT &amp; OTHER HPs'!$L$138:$L$175,MATCH($E292&amp;$F292,'TB-EQUIPMENT &amp; OTHER HPs'!$E$138:$E$175&amp;'TB-EQUIPMENT &amp; OTHER HPs'!$I$138:$I$175,0)),"")</f>
        <v/>
      </c>
      <c r="H292" s="625" t="str">
        <f t="array" ref="H292">IFERROR(INDEX('TB-EQUIPMENT &amp; OTHER HPs'!$M$138:$M$175,MATCH($E292&amp;$F292,'TB-EQUIPMENT &amp; OTHER HPs'!$E$138:$E$175&amp;'TB-EQUIPMENT &amp; OTHER HPs'!$I$138:$I$175,0)),"")</f>
        <v/>
      </c>
      <c r="I292" s="625">
        <f t="array" ref="I292">IFERROR(INDEX('TB-EQUIPMENT &amp; OTHER HPs'!$N$138:$N$175,MATCH($E292&amp;$F292,'TB-EQUIPMENT &amp; OTHER HPs'!$E$138:$E$175&amp;'TB-EQUIPMENT &amp; OTHER HPs'!$I$138:$I$175,0)),0)</f>
        <v>0</v>
      </c>
      <c r="J292" s="625">
        <f t="array" ref="J292">IFERROR(INDEX('TB-EQUIPMENT &amp; OTHER HPs'!$O$138:$O$175,MATCH($E292&amp;$F292,'TB-EQUIPMENT &amp; OTHER HPs'!$E$138:$E$175&amp;'TB-EQUIPMENT &amp; OTHER HPs'!$I$138:$I$175,0)),0)</f>
        <v>0</v>
      </c>
      <c r="K292" s="626">
        <f t="shared" si="360"/>
        <v>0</v>
      </c>
      <c r="L292" s="626">
        <f t="shared" si="361"/>
        <v>0</v>
      </c>
      <c r="M292" s="626">
        <f t="shared" si="362"/>
        <v>0</v>
      </c>
      <c r="N292" s="625">
        <f t="array" ref="N292">IFERROR(INDEX('TB-EQUIPMENT &amp; OTHER HPs'!$P$138:$P$175,MATCH($E292&amp;$F292,'TB-EQUIPMENT &amp; OTHER HPs'!$E$138:$E$175&amp;'TB-EQUIPMENT &amp; OTHER HPs'!$I$138:$I$175,0)),0)</f>
        <v>0</v>
      </c>
      <c r="O292" s="626">
        <f t="shared" si="363"/>
        <v>0</v>
      </c>
      <c r="P292" s="626">
        <f t="shared" si="364"/>
        <v>0</v>
      </c>
      <c r="Q292" s="626">
        <f t="shared" si="365"/>
        <v>0</v>
      </c>
      <c r="R292" s="625">
        <f t="array" ref="R292">IFERROR(INDEX('TB-EQUIPMENT &amp; OTHER HPs'!$Q$138:$Q$175,MATCH($E292&amp;$F292,'TB-EQUIPMENT &amp; OTHER HPs'!$E$138:$E$175&amp;'TB-EQUIPMENT &amp; OTHER HPs'!$I$138:$I$175,0)),0)</f>
        <v>0</v>
      </c>
      <c r="S292" s="626">
        <f t="shared" si="366"/>
        <v>0</v>
      </c>
      <c r="T292" s="626">
        <f t="shared" si="367"/>
        <v>0</v>
      </c>
      <c r="U292" s="626">
        <f t="shared" si="368"/>
        <v>0</v>
      </c>
      <c r="V292" s="625">
        <f t="array" ref="V292">IFERROR(INDEX('TB-EQUIPMENT &amp; OTHER HPs'!$R$138:$R$175,MATCH($E292&amp;$F292,'TB-EQUIPMENT &amp; OTHER HPs'!$E$138:$E$175&amp;'TB-EQUIPMENT &amp; OTHER HPs'!$I$138:$I$175,0)),0)</f>
        <v>0</v>
      </c>
      <c r="W292" s="626">
        <f t="shared" si="369"/>
        <v>0</v>
      </c>
      <c r="X292" s="626">
        <f t="shared" si="370"/>
        <v>0</v>
      </c>
      <c r="Y292" s="626">
        <f t="shared" si="371"/>
        <v>0</v>
      </c>
      <c r="AA292" s="625">
        <f t="array" ref="AA292">IFERROR(INDEX('TB-EQUIPMENT &amp; OTHER HPs'!$U$138:$U$175,MATCH($E292&amp;$F292,'TB-EQUIPMENT &amp; OTHER HPs'!$E$138:$E$175&amp;'TB-EQUIPMENT &amp; OTHER HPs'!$I$138:$I$175,0)),0)</f>
        <v>0</v>
      </c>
      <c r="AB292" s="625">
        <f t="array" ref="AB292">IFERROR(INDEX('TB-EQUIPMENT &amp; OTHER HPs'!$V$138:$V$175,MATCH($E292&amp;$F292,'TB-EQUIPMENT &amp; OTHER HPs'!$E$138:$E$175&amp;'TB-EQUIPMENT &amp; OTHER HPs'!$I$138:$I$175,0)),0)</f>
        <v>0</v>
      </c>
      <c r="AC292" s="626">
        <f t="shared" si="372"/>
        <v>0</v>
      </c>
      <c r="AD292" s="626">
        <f t="shared" si="373"/>
        <v>0</v>
      </c>
      <c r="AE292" s="626">
        <f t="shared" si="374"/>
        <v>0</v>
      </c>
      <c r="AF292" s="625">
        <f t="array" ref="AF292">IFERROR(INDEX('TB-EQUIPMENT &amp; OTHER HPs'!$W$138:$W$175,MATCH($E292&amp;$F292,'TB-EQUIPMENT &amp; OTHER HPs'!$E$138:$E$175&amp;'TB-EQUIPMENT &amp; OTHER HPs'!$I$138:$I$175,0)),0)</f>
        <v>0</v>
      </c>
      <c r="AG292" s="626">
        <f t="shared" si="375"/>
        <v>0</v>
      </c>
      <c r="AH292" s="626">
        <f t="shared" si="376"/>
        <v>0</v>
      </c>
      <c r="AI292" s="626">
        <f t="shared" si="377"/>
        <v>0</v>
      </c>
      <c r="AJ292" s="625">
        <f t="array" ref="AJ292">IFERROR(INDEX('TB-EQUIPMENT &amp; OTHER HPs'!$X$138:$X$175,MATCH($E292&amp;$F292,'TB-EQUIPMENT &amp; OTHER HPs'!$E$138:$E$175&amp;'TB-EQUIPMENT &amp; OTHER HPs'!$I$138:$I$175,0)),0)</f>
        <v>0</v>
      </c>
      <c r="AK292" s="626">
        <f t="shared" si="378"/>
        <v>0</v>
      </c>
      <c r="AL292" s="626">
        <f t="shared" si="379"/>
        <v>0</v>
      </c>
      <c r="AM292" s="626">
        <f t="shared" si="380"/>
        <v>0</v>
      </c>
      <c r="AN292" s="625">
        <f t="array" ref="AN292">IFERROR(INDEX('TB-EQUIPMENT &amp; OTHER HPs'!$Y$138:$Y$175,MATCH($E292&amp;$F292,'TB-EQUIPMENT &amp; OTHER HPs'!$E$138:$E$175&amp;'TB-EQUIPMENT &amp; OTHER HPs'!$I$138:$I$175,0)),0)</f>
        <v>0</v>
      </c>
      <c r="AO292" s="626">
        <f t="shared" si="381"/>
        <v>0</v>
      </c>
      <c r="AP292" s="626">
        <f t="shared" si="382"/>
        <v>0</v>
      </c>
      <c r="AQ292" s="626">
        <f t="shared" si="383"/>
        <v>0</v>
      </c>
      <c r="AR292" s="630"/>
      <c r="AS292" s="625">
        <f t="array" ref="AS292">IFERROR(INDEX('TB-EQUIPMENT &amp; OTHER HPs'!$AB$138:$AB$175,MATCH($E292&amp;$F292,'TB-EQUIPMENT &amp; OTHER HPs'!$E$138:$E$175&amp;'TB-EQUIPMENT &amp; OTHER HPs'!$I$138:$I$175,0)),0)</f>
        <v>0</v>
      </c>
      <c r="AT292" s="625">
        <f t="array" ref="AT292">IFERROR(INDEX('TB-EQUIPMENT &amp; OTHER HPs'!$AC$138:$AC$175,MATCH($E292&amp;$F292,'TB-EQUIPMENT &amp; OTHER HPs'!$E$138:$E$175&amp;'TB-EQUIPMENT &amp; OTHER HPs'!$I$138:$I$175,0)),0)</f>
        <v>0</v>
      </c>
      <c r="AU292" s="626">
        <f t="shared" si="384"/>
        <v>0</v>
      </c>
      <c r="AV292" s="626">
        <f t="shared" si="385"/>
        <v>0</v>
      </c>
      <c r="AW292" s="626">
        <f t="shared" si="386"/>
        <v>0</v>
      </c>
      <c r="AX292" s="625">
        <f t="array" ref="AX292">IFERROR(INDEX('TB-EQUIPMENT &amp; OTHER HPs'!$AD$138:$AD$175,MATCH($E292&amp;$F292,'TB-EQUIPMENT &amp; OTHER HPs'!$E$138:$E$175&amp;'TB-EQUIPMENT &amp; OTHER HPs'!$I$138:$I$175,0)),0)</f>
        <v>0</v>
      </c>
      <c r="AY292" s="626">
        <f t="shared" si="387"/>
        <v>0</v>
      </c>
      <c r="AZ292" s="626">
        <f t="shared" si="388"/>
        <v>0</v>
      </c>
      <c r="BA292" s="626">
        <f t="shared" si="389"/>
        <v>0</v>
      </c>
      <c r="BB292" s="625">
        <f t="array" ref="BB292">IFERROR(INDEX('TB-EQUIPMENT &amp; OTHER HPs'!$AE$138:$AE$175,MATCH($E292&amp;$F292,'TB-EQUIPMENT &amp; OTHER HPs'!$E$138:$E$175&amp;'TB-EQUIPMENT &amp; OTHER HPs'!$I$138:$I$175,0)),0)</f>
        <v>0</v>
      </c>
      <c r="BC292" s="626">
        <f t="shared" si="390"/>
        <v>0</v>
      </c>
      <c r="BD292" s="626">
        <f t="shared" si="391"/>
        <v>0</v>
      </c>
      <c r="BE292" s="626">
        <f t="shared" si="392"/>
        <v>0</v>
      </c>
      <c r="BF292" s="625">
        <f t="array" ref="BF292">IFERROR(INDEX('TB-EQUIPMENT &amp; OTHER HPs'!$AF$138:$AF$175,MATCH($E292&amp;$F292,'TB-EQUIPMENT &amp; OTHER HPs'!$E$138:$E$175&amp;'TB-EQUIPMENT &amp; OTHER HPs'!$I$138:$I$175,0)),0)</f>
        <v>0</v>
      </c>
      <c r="BG292" s="626">
        <f t="shared" si="393"/>
        <v>0</v>
      </c>
      <c r="BH292" s="626">
        <f t="shared" si="394"/>
        <v>0</v>
      </c>
      <c r="BI292" s="626">
        <f t="shared" si="395"/>
        <v>0</v>
      </c>
      <c r="BJ292" s="630"/>
      <c r="BK292" s="625"/>
      <c r="BL292" s="625"/>
      <c r="BM292" s="625"/>
      <c r="BN292" s="625"/>
      <c r="BO292" s="625"/>
      <c r="BP292" s="625"/>
      <c r="BQ292" s="625"/>
      <c r="BR292" s="625"/>
    </row>
    <row r="293" spans="1:70">
      <c r="A293" s="29" t="s">
        <v>1757</v>
      </c>
      <c r="B293" s="29" t="s">
        <v>1838</v>
      </c>
      <c r="C293" s="619">
        <f>SETUP!$F$44</f>
        <v>0</v>
      </c>
      <c r="D293" s="25">
        <v>6.5</v>
      </c>
      <c r="E293" s="26" t="s">
        <v>1862</v>
      </c>
      <c r="F293" s="26" t="s">
        <v>218</v>
      </c>
      <c r="G293" s="625" t="str">
        <f t="array" ref="G293">IFERROR(INDEX('TB-EQUIPMENT &amp; OTHER HPs'!$L$138:$L$175,MATCH($E293&amp;$F293,'TB-EQUIPMENT &amp; OTHER HPs'!$E$138:$E$175&amp;'TB-EQUIPMENT &amp; OTHER HPs'!$I$138:$I$175,0)),"")</f>
        <v/>
      </c>
      <c r="H293" s="625" t="str">
        <f t="array" ref="H293">IFERROR(INDEX('TB-EQUIPMENT &amp; OTHER HPs'!$M$138:$M$175,MATCH($E293&amp;$F293,'TB-EQUIPMENT &amp; OTHER HPs'!$E$138:$E$175&amp;'TB-EQUIPMENT &amp; OTHER HPs'!$I$138:$I$175,0)),"")</f>
        <v/>
      </c>
      <c r="I293" s="625">
        <f t="array" ref="I293">IFERROR(INDEX('TB-EQUIPMENT &amp; OTHER HPs'!$N$138:$N$175,MATCH($E293&amp;$F293,'TB-EQUIPMENT &amp; OTHER HPs'!$E$138:$E$175&amp;'TB-EQUIPMENT &amp; OTHER HPs'!$I$138:$I$175,0)),0)</f>
        <v>0</v>
      </c>
      <c r="J293" s="625">
        <f t="array" ref="J293">IFERROR(INDEX('TB-EQUIPMENT &amp; OTHER HPs'!$O$138:$O$175,MATCH($E293&amp;$F293,'TB-EQUIPMENT &amp; OTHER HPs'!$E$138:$E$175&amp;'TB-EQUIPMENT &amp; OTHER HPs'!$I$138:$I$175,0)),0)</f>
        <v>0</v>
      </c>
      <c r="K293" s="626">
        <f t="shared" si="360"/>
        <v>0</v>
      </c>
      <c r="L293" s="626">
        <f t="shared" si="361"/>
        <v>0</v>
      </c>
      <c r="M293" s="626">
        <f t="shared" si="362"/>
        <v>0</v>
      </c>
      <c r="N293" s="625">
        <f t="array" ref="N293">IFERROR(INDEX('TB-EQUIPMENT &amp; OTHER HPs'!$P$138:$P$175,MATCH($E293&amp;$F293,'TB-EQUIPMENT &amp; OTHER HPs'!$E$138:$E$175&amp;'TB-EQUIPMENT &amp; OTHER HPs'!$I$138:$I$175,0)),0)</f>
        <v>0</v>
      </c>
      <c r="O293" s="626">
        <f t="shared" si="363"/>
        <v>0</v>
      </c>
      <c r="P293" s="626">
        <f t="shared" si="364"/>
        <v>0</v>
      </c>
      <c r="Q293" s="626">
        <f t="shared" si="365"/>
        <v>0</v>
      </c>
      <c r="R293" s="625">
        <f t="array" ref="R293">IFERROR(INDEX('TB-EQUIPMENT &amp; OTHER HPs'!$Q$138:$Q$175,MATCH($E293&amp;$F293,'TB-EQUIPMENT &amp; OTHER HPs'!$E$138:$E$175&amp;'TB-EQUIPMENT &amp; OTHER HPs'!$I$138:$I$175,0)),0)</f>
        <v>0</v>
      </c>
      <c r="S293" s="626">
        <f t="shared" si="366"/>
        <v>0</v>
      </c>
      <c r="T293" s="626">
        <f t="shared" si="367"/>
        <v>0</v>
      </c>
      <c r="U293" s="626">
        <f t="shared" si="368"/>
        <v>0</v>
      </c>
      <c r="V293" s="625">
        <f t="array" ref="V293">IFERROR(INDEX('TB-EQUIPMENT &amp; OTHER HPs'!$R$138:$R$175,MATCH($E293&amp;$F293,'TB-EQUIPMENT &amp; OTHER HPs'!$E$138:$E$175&amp;'TB-EQUIPMENT &amp; OTHER HPs'!$I$138:$I$175,0)),0)</f>
        <v>0</v>
      </c>
      <c r="W293" s="626">
        <f t="shared" si="369"/>
        <v>0</v>
      </c>
      <c r="X293" s="626">
        <f t="shared" si="370"/>
        <v>0</v>
      </c>
      <c r="Y293" s="626">
        <f t="shared" si="371"/>
        <v>0</v>
      </c>
      <c r="AA293" s="625">
        <f t="array" ref="AA293">IFERROR(INDEX('TB-EQUIPMENT &amp; OTHER HPs'!$U$138:$U$175,MATCH($E293&amp;$F293,'TB-EQUIPMENT &amp; OTHER HPs'!$E$138:$E$175&amp;'TB-EQUIPMENT &amp; OTHER HPs'!$I$138:$I$175,0)),0)</f>
        <v>0</v>
      </c>
      <c r="AB293" s="625">
        <f t="array" ref="AB293">IFERROR(INDEX('TB-EQUIPMENT &amp; OTHER HPs'!$V$138:$V$175,MATCH($E293&amp;$F293,'TB-EQUIPMENT &amp; OTHER HPs'!$E$138:$E$175&amp;'TB-EQUIPMENT &amp; OTHER HPs'!$I$138:$I$175,0)),0)</f>
        <v>0</v>
      </c>
      <c r="AC293" s="626">
        <f t="shared" si="372"/>
        <v>0</v>
      </c>
      <c r="AD293" s="626">
        <f t="shared" si="373"/>
        <v>0</v>
      </c>
      <c r="AE293" s="626">
        <f t="shared" si="374"/>
        <v>0</v>
      </c>
      <c r="AF293" s="625">
        <f t="array" ref="AF293">IFERROR(INDEX('TB-EQUIPMENT &amp; OTHER HPs'!$W$138:$W$175,MATCH($E293&amp;$F293,'TB-EQUIPMENT &amp; OTHER HPs'!$E$138:$E$175&amp;'TB-EQUIPMENT &amp; OTHER HPs'!$I$138:$I$175,0)),0)</f>
        <v>0</v>
      </c>
      <c r="AG293" s="626">
        <f t="shared" si="375"/>
        <v>0</v>
      </c>
      <c r="AH293" s="626">
        <f t="shared" si="376"/>
        <v>0</v>
      </c>
      <c r="AI293" s="626">
        <f t="shared" si="377"/>
        <v>0</v>
      </c>
      <c r="AJ293" s="625">
        <f t="array" ref="AJ293">IFERROR(INDEX('TB-EQUIPMENT &amp; OTHER HPs'!$X$138:$X$175,MATCH($E293&amp;$F293,'TB-EQUIPMENT &amp; OTHER HPs'!$E$138:$E$175&amp;'TB-EQUIPMENT &amp; OTHER HPs'!$I$138:$I$175,0)),0)</f>
        <v>0</v>
      </c>
      <c r="AK293" s="626">
        <f t="shared" si="378"/>
        <v>0</v>
      </c>
      <c r="AL293" s="626">
        <f t="shared" si="379"/>
        <v>0</v>
      </c>
      <c r="AM293" s="626">
        <f t="shared" si="380"/>
        <v>0</v>
      </c>
      <c r="AN293" s="625">
        <f t="array" ref="AN293">IFERROR(INDEX('TB-EQUIPMENT &amp; OTHER HPs'!$Y$138:$Y$175,MATCH($E293&amp;$F293,'TB-EQUIPMENT &amp; OTHER HPs'!$E$138:$E$175&amp;'TB-EQUIPMENT &amp; OTHER HPs'!$I$138:$I$175,0)),0)</f>
        <v>0</v>
      </c>
      <c r="AO293" s="626">
        <f t="shared" si="381"/>
        <v>0</v>
      </c>
      <c r="AP293" s="626">
        <f t="shared" si="382"/>
        <v>0</v>
      </c>
      <c r="AQ293" s="626">
        <f t="shared" si="383"/>
        <v>0</v>
      </c>
      <c r="AR293" s="630"/>
      <c r="AS293" s="625">
        <f t="array" ref="AS293">IFERROR(INDEX('TB-EQUIPMENT &amp; OTHER HPs'!$AB$138:$AB$175,MATCH($E293&amp;$F293,'TB-EQUIPMENT &amp; OTHER HPs'!$E$138:$E$175&amp;'TB-EQUIPMENT &amp; OTHER HPs'!$I$138:$I$175,0)),0)</f>
        <v>0</v>
      </c>
      <c r="AT293" s="625">
        <f t="array" ref="AT293">IFERROR(INDEX('TB-EQUIPMENT &amp; OTHER HPs'!$AC$138:$AC$175,MATCH($E293&amp;$F293,'TB-EQUIPMENT &amp; OTHER HPs'!$E$138:$E$175&amp;'TB-EQUIPMENT &amp; OTHER HPs'!$I$138:$I$175,0)),0)</f>
        <v>0</v>
      </c>
      <c r="AU293" s="626">
        <f t="shared" si="384"/>
        <v>0</v>
      </c>
      <c r="AV293" s="626">
        <f t="shared" si="385"/>
        <v>0</v>
      </c>
      <c r="AW293" s="626">
        <f t="shared" si="386"/>
        <v>0</v>
      </c>
      <c r="AX293" s="625">
        <f t="array" ref="AX293">IFERROR(INDEX('TB-EQUIPMENT &amp; OTHER HPs'!$AD$138:$AD$175,MATCH($E293&amp;$F293,'TB-EQUIPMENT &amp; OTHER HPs'!$E$138:$E$175&amp;'TB-EQUIPMENT &amp; OTHER HPs'!$I$138:$I$175,0)),0)</f>
        <v>0</v>
      </c>
      <c r="AY293" s="626">
        <f t="shared" si="387"/>
        <v>0</v>
      </c>
      <c r="AZ293" s="626">
        <f t="shared" si="388"/>
        <v>0</v>
      </c>
      <c r="BA293" s="626">
        <f t="shared" si="389"/>
        <v>0</v>
      </c>
      <c r="BB293" s="625">
        <f t="array" ref="BB293">IFERROR(INDEX('TB-EQUIPMENT &amp; OTHER HPs'!$AE$138:$AE$175,MATCH($E293&amp;$F293,'TB-EQUIPMENT &amp; OTHER HPs'!$E$138:$E$175&amp;'TB-EQUIPMENT &amp; OTHER HPs'!$I$138:$I$175,0)),0)</f>
        <v>0</v>
      </c>
      <c r="BC293" s="626">
        <f t="shared" si="390"/>
        <v>0</v>
      </c>
      <c r="BD293" s="626">
        <f t="shared" si="391"/>
        <v>0</v>
      </c>
      <c r="BE293" s="626">
        <f t="shared" si="392"/>
        <v>0</v>
      </c>
      <c r="BF293" s="625">
        <f t="array" ref="BF293">IFERROR(INDEX('TB-EQUIPMENT &amp; OTHER HPs'!$AF$138:$AF$175,MATCH($E293&amp;$F293,'TB-EQUIPMENT &amp; OTHER HPs'!$E$138:$E$175&amp;'TB-EQUIPMENT &amp; OTHER HPs'!$I$138:$I$175,0)),0)</f>
        <v>0</v>
      </c>
      <c r="BG293" s="626">
        <f t="shared" si="393"/>
        <v>0</v>
      </c>
      <c r="BH293" s="626">
        <f t="shared" si="394"/>
        <v>0</v>
      </c>
      <c r="BI293" s="626">
        <f t="shared" si="395"/>
        <v>0</v>
      </c>
      <c r="BJ293" s="630"/>
      <c r="BK293" s="625"/>
      <c r="BL293" s="625"/>
      <c r="BM293" s="625"/>
      <c r="BN293" s="625"/>
      <c r="BO293" s="625"/>
      <c r="BP293" s="625"/>
      <c r="BQ293" s="625"/>
      <c r="BR293" s="625"/>
    </row>
    <row r="294" spans="1:70">
      <c r="A294" s="29" t="s">
        <v>1757</v>
      </c>
      <c r="B294" s="29" t="s">
        <v>1838</v>
      </c>
      <c r="C294" s="619">
        <f>SETUP!$F$44</f>
        <v>0</v>
      </c>
      <c r="D294" s="25">
        <v>6.5</v>
      </c>
      <c r="E294" s="26" t="s">
        <v>324</v>
      </c>
      <c r="F294" s="26" t="s">
        <v>1140</v>
      </c>
      <c r="G294" s="625" t="str">
        <f t="array" ref="G294">IFERROR(INDEX('TB-EQUIPMENT &amp; OTHER HPs'!$L$138:$L$175,MATCH($E294&amp;$F294,'TB-EQUIPMENT &amp; OTHER HPs'!$E$138:$E$175&amp;'TB-EQUIPMENT &amp; OTHER HPs'!$I$138:$I$175,0)),"")</f>
        <v/>
      </c>
      <c r="H294" s="625" t="str">
        <f t="array" ref="H294">IFERROR(INDEX('TB-EQUIPMENT &amp; OTHER HPs'!$M$138:$M$175,MATCH($E294&amp;$F294,'TB-EQUIPMENT &amp; OTHER HPs'!$E$138:$E$175&amp;'TB-EQUIPMENT &amp; OTHER HPs'!$I$138:$I$175,0)),"")</f>
        <v/>
      </c>
      <c r="I294" s="625">
        <f t="array" ref="I294">IFERROR(INDEX('TB-EQUIPMENT &amp; OTHER HPs'!$N$138:$N$175,MATCH($E294&amp;$F294,'TB-EQUIPMENT &amp; OTHER HPs'!$E$138:$E$175&amp;'TB-EQUIPMENT &amp; OTHER HPs'!$I$138:$I$175,0)),0)</f>
        <v>0</v>
      </c>
      <c r="J294" s="625">
        <f t="array" ref="J294">IFERROR(INDEX('TB-EQUIPMENT &amp; OTHER HPs'!$O$138:$O$175,MATCH($E294&amp;$F294,'TB-EQUIPMENT &amp; OTHER HPs'!$E$138:$E$175&amp;'TB-EQUIPMENT &amp; OTHER HPs'!$I$138:$I$175,0)),0)</f>
        <v>0</v>
      </c>
      <c r="K294" s="626">
        <f t="shared" si="360"/>
        <v>0</v>
      </c>
      <c r="L294" s="626">
        <f t="shared" si="361"/>
        <v>0</v>
      </c>
      <c r="M294" s="626">
        <f t="shared" si="362"/>
        <v>0</v>
      </c>
      <c r="N294" s="625">
        <f t="array" ref="N294">IFERROR(INDEX('TB-EQUIPMENT &amp; OTHER HPs'!$P$138:$P$175,MATCH($E294&amp;$F294,'TB-EQUIPMENT &amp; OTHER HPs'!$E$138:$E$175&amp;'TB-EQUIPMENT &amp; OTHER HPs'!$I$138:$I$175,0)),0)</f>
        <v>0</v>
      </c>
      <c r="O294" s="626">
        <f t="shared" si="363"/>
        <v>0</v>
      </c>
      <c r="P294" s="626">
        <f t="shared" si="364"/>
        <v>0</v>
      </c>
      <c r="Q294" s="626">
        <f t="shared" si="365"/>
        <v>0</v>
      </c>
      <c r="R294" s="625">
        <f t="array" ref="R294">IFERROR(INDEX('TB-EQUIPMENT &amp; OTHER HPs'!$Q$138:$Q$175,MATCH($E294&amp;$F294,'TB-EQUIPMENT &amp; OTHER HPs'!$E$138:$E$175&amp;'TB-EQUIPMENT &amp; OTHER HPs'!$I$138:$I$175,0)),0)</f>
        <v>0</v>
      </c>
      <c r="S294" s="626">
        <f t="shared" si="366"/>
        <v>0</v>
      </c>
      <c r="T294" s="626">
        <f t="shared" si="367"/>
        <v>0</v>
      </c>
      <c r="U294" s="626">
        <f t="shared" si="368"/>
        <v>0</v>
      </c>
      <c r="V294" s="625">
        <f t="array" ref="V294">IFERROR(INDEX('TB-EQUIPMENT &amp; OTHER HPs'!$R$138:$R$175,MATCH($E294&amp;$F294,'TB-EQUIPMENT &amp; OTHER HPs'!$E$138:$E$175&amp;'TB-EQUIPMENT &amp; OTHER HPs'!$I$138:$I$175,0)),0)</f>
        <v>0</v>
      </c>
      <c r="W294" s="626">
        <f t="shared" si="369"/>
        <v>0</v>
      </c>
      <c r="X294" s="626">
        <f t="shared" si="370"/>
        <v>0</v>
      </c>
      <c r="Y294" s="626">
        <f t="shared" si="371"/>
        <v>0</v>
      </c>
      <c r="AA294" s="625">
        <f t="array" ref="AA294">IFERROR(INDEX('TB-EQUIPMENT &amp; OTHER HPs'!$U$138:$U$175,MATCH($E294&amp;$F294,'TB-EQUIPMENT &amp; OTHER HPs'!$E$138:$E$175&amp;'TB-EQUIPMENT &amp; OTHER HPs'!$I$138:$I$175,0)),0)</f>
        <v>0</v>
      </c>
      <c r="AB294" s="625">
        <f t="array" ref="AB294">IFERROR(INDEX('TB-EQUIPMENT &amp; OTHER HPs'!$V$138:$V$175,MATCH($E294&amp;$F294,'TB-EQUIPMENT &amp; OTHER HPs'!$E$138:$E$175&amp;'TB-EQUIPMENT &amp; OTHER HPs'!$I$138:$I$175,0)),0)</f>
        <v>0</v>
      </c>
      <c r="AC294" s="626">
        <f t="shared" si="372"/>
        <v>0</v>
      </c>
      <c r="AD294" s="626">
        <f t="shared" si="373"/>
        <v>0</v>
      </c>
      <c r="AE294" s="626">
        <f t="shared" si="374"/>
        <v>0</v>
      </c>
      <c r="AF294" s="625">
        <f t="array" ref="AF294">IFERROR(INDEX('TB-EQUIPMENT &amp; OTHER HPs'!$W$138:$W$175,MATCH($E294&amp;$F294,'TB-EQUIPMENT &amp; OTHER HPs'!$E$138:$E$175&amp;'TB-EQUIPMENT &amp; OTHER HPs'!$I$138:$I$175,0)),0)</f>
        <v>0</v>
      </c>
      <c r="AG294" s="626">
        <f t="shared" si="375"/>
        <v>0</v>
      </c>
      <c r="AH294" s="626">
        <f t="shared" si="376"/>
        <v>0</v>
      </c>
      <c r="AI294" s="626">
        <f t="shared" si="377"/>
        <v>0</v>
      </c>
      <c r="AJ294" s="625">
        <f t="array" ref="AJ294">IFERROR(INDEX('TB-EQUIPMENT &amp; OTHER HPs'!$X$138:$X$175,MATCH($E294&amp;$F294,'TB-EQUIPMENT &amp; OTHER HPs'!$E$138:$E$175&amp;'TB-EQUIPMENT &amp; OTHER HPs'!$I$138:$I$175,0)),0)</f>
        <v>0</v>
      </c>
      <c r="AK294" s="626">
        <f t="shared" si="378"/>
        <v>0</v>
      </c>
      <c r="AL294" s="626">
        <f t="shared" si="379"/>
        <v>0</v>
      </c>
      <c r="AM294" s="626">
        <f t="shared" si="380"/>
        <v>0</v>
      </c>
      <c r="AN294" s="625">
        <f t="array" ref="AN294">IFERROR(INDEX('TB-EQUIPMENT &amp; OTHER HPs'!$Y$138:$Y$175,MATCH($E294&amp;$F294,'TB-EQUIPMENT &amp; OTHER HPs'!$E$138:$E$175&amp;'TB-EQUIPMENT &amp; OTHER HPs'!$I$138:$I$175,0)),0)</f>
        <v>0</v>
      </c>
      <c r="AO294" s="626">
        <f t="shared" si="381"/>
        <v>0</v>
      </c>
      <c r="AP294" s="626">
        <f t="shared" si="382"/>
        <v>0</v>
      </c>
      <c r="AQ294" s="626">
        <f t="shared" si="383"/>
        <v>0</v>
      </c>
      <c r="AR294" s="630"/>
      <c r="AS294" s="625">
        <f t="array" ref="AS294">IFERROR(INDEX('TB-EQUIPMENT &amp; OTHER HPs'!$AB$138:$AB$175,MATCH($E294&amp;$F294,'TB-EQUIPMENT &amp; OTHER HPs'!$E$138:$E$175&amp;'TB-EQUIPMENT &amp; OTHER HPs'!$I$138:$I$175,0)),0)</f>
        <v>0</v>
      </c>
      <c r="AT294" s="625">
        <f t="array" ref="AT294">IFERROR(INDEX('TB-EQUIPMENT &amp; OTHER HPs'!$AC$138:$AC$175,MATCH($E294&amp;$F294,'TB-EQUIPMENT &amp; OTHER HPs'!$E$138:$E$175&amp;'TB-EQUIPMENT &amp; OTHER HPs'!$I$138:$I$175,0)),0)</f>
        <v>0</v>
      </c>
      <c r="AU294" s="626">
        <f t="shared" si="384"/>
        <v>0</v>
      </c>
      <c r="AV294" s="626">
        <f t="shared" si="385"/>
        <v>0</v>
      </c>
      <c r="AW294" s="626">
        <f t="shared" si="386"/>
        <v>0</v>
      </c>
      <c r="AX294" s="625">
        <f t="array" ref="AX294">IFERROR(INDEX('TB-EQUIPMENT &amp; OTHER HPs'!$AD$138:$AD$175,MATCH($E294&amp;$F294,'TB-EQUIPMENT &amp; OTHER HPs'!$E$138:$E$175&amp;'TB-EQUIPMENT &amp; OTHER HPs'!$I$138:$I$175,0)),0)</f>
        <v>0</v>
      </c>
      <c r="AY294" s="626">
        <f t="shared" si="387"/>
        <v>0</v>
      </c>
      <c r="AZ294" s="626">
        <f t="shared" si="388"/>
        <v>0</v>
      </c>
      <c r="BA294" s="626">
        <f t="shared" si="389"/>
        <v>0</v>
      </c>
      <c r="BB294" s="625">
        <f t="array" ref="BB294">IFERROR(INDEX('TB-EQUIPMENT &amp; OTHER HPs'!$AE$138:$AE$175,MATCH($E294&amp;$F294,'TB-EQUIPMENT &amp; OTHER HPs'!$E$138:$E$175&amp;'TB-EQUIPMENT &amp; OTHER HPs'!$I$138:$I$175,0)),0)</f>
        <v>0</v>
      </c>
      <c r="BC294" s="626">
        <f t="shared" si="390"/>
        <v>0</v>
      </c>
      <c r="BD294" s="626">
        <f t="shared" si="391"/>
        <v>0</v>
      </c>
      <c r="BE294" s="626">
        <f t="shared" si="392"/>
        <v>0</v>
      </c>
      <c r="BF294" s="625">
        <f t="array" ref="BF294">IFERROR(INDEX('TB-EQUIPMENT &amp; OTHER HPs'!$AF$138:$AF$175,MATCH($E294&amp;$F294,'TB-EQUIPMENT &amp; OTHER HPs'!$E$138:$E$175&amp;'TB-EQUIPMENT &amp; OTHER HPs'!$I$138:$I$175,0)),0)</f>
        <v>0</v>
      </c>
      <c r="BG294" s="626">
        <f t="shared" si="393"/>
        <v>0</v>
      </c>
      <c r="BH294" s="626">
        <f t="shared" si="394"/>
        <v>0</v>
      </c>
      <c r="BI294" s="626">
        <f t="shared" si="395"/>
        <v>0</v>
      </c>
      <c r="BJ294" s="630"/>
      <c r="BK294" s="625"/>
      <c r="BL294" s="625"/>
      <c r="BM294" s="625"/>
      <c r="BN294" s="625"/>
      <c r="BO294" s="625"/>
      <c r="BP294" s="625"/>
      <c r="BQ294" s="625"/>
      <c r="BR294" s="625"/>
    </row>
    <row r="295" spans="1:70">
      <c r="A295" s="29" t="s">
        <v>1757</v>
      </c>
      <c r="B295" s="29" t="s">
        <v>1838</v>
      </c>
      <c r="C295" s="619">
        <f>SETUP!$F$44</f>
        <v>0</v>
      </c>
      <c r="D295" s="25">
        <v>6.5</v>
      </c>
      <c r="E295" s="26" t="s">
        <v>226</v>
      </c>
      <c r="F295" s="26" t="s">
        <v>326</v>
      </c>
      <c r="G295" s="625" t="str">
        <f t="array" ref="G295">IFERROR(INDEX('TB-EQUIPMENT &amp; OTHER HPs'!$L$138:$L$175,MATCH($E295&amp;$F295,'TB-EQUIPMENT &amp; OTHER HPs'!$E$138:$E$175&amp;'TB-EQUIPMENT &amp; OTHER HPs'!$I$138:$I$175,0)),"")</f>
        <v/>
      </c>
      <c r="H295" s="625" t="str">
        <f t="array" ref="H295">IFERROR(INDEX('TB-EQUIPMENT &amp; OTHER HPs'!$M$138:$M$175,MATCH($E295&amp;$F295,'TB-EQUIPMENT &amp; OTHER HPs'!$E$138:$E$175&amp;'TB-EQUIPMENT &amp; OTHER HPs'!$I$138:$I$175,0)),"")</f>
        <v/>
      </c>
      <c r="I295" s="625">
        <f t="array" ref="I295">IFERROR(INDEX('TB-EQUIPMENT &amp; OTHER HPs'!$N$138:$N$175,MATCH($E295&amp;$F295,'TB-EQUIPMENT &amp; OTHER HPs'!$E$138:$E$175&amp;'TB-EQUIPMENT &amp; OTHER HPs'!$I$138:$I$175,0)),0)</f>
        <v>0</v>
      </c>
      <c r="J295" s="625">
        <f t="array" ref="J295">IFERROR(INDEX('TB-EQUIPMENT &amp; OTHER HPs'!$O$138:$O$175,MATCH($E295&amp;$F295,'TB-EQUIPMENT &amp; OTHER HPs'!$E$138:$E$175&amp;'TB-EQUIPMENT &amp; OTHER HPs'!$I$138:$I$175,0)),0)</f>
        <v>0</v>
      </c>
      <c r="K295" s="626">
        <f t="shared" si="360"/>
        <v>0</v>
      </c>
      <c r="L295" s="626">
        <f t="shared" si="361"/>
        <v>0</v>
      </c>
      <c r="M295" s="626">
        <f t="shared" si="362"/>
        <v>0</v>
      </c>
      <c r="N295" s="625">
        <f t="array" ref="N295">IFERROR(INDEX('TB-EQUIPMENT &amp; OTHER HPs'!$P$138:$P$175,MATCH($E295&amp;$F295,'TB-EQUIPMENT &amp; OTHER HPs'!$E$138:$E$175&amp;'TB-EQUIPMENT &amp; OTHER HPs'!$I$138:$I$175,0)),0)</f>
        <v>0</v>
      </c>
      <c r="O295" s="626">
        <f t="shared" si="363"/>
        <v>0</v>
      </c>
      <c r="P295" s="626">
        <f t="shared" si="364"/>
        <v>0</v>
      </c>
      <c r="Q295" s="626">
        <f t="shared" si="365"/>
        <v>0</v>
      </c>
      <c r="R295" s="625">
        <f t="array" ref="R295">IFERROR(INDEX('TB-EQUIPMENT &amp; OTHER HPs'!$Q$138:$Q$175,MATCH($E295&amp;$F295,'TB-EQUIPMENT &amp; OTHER HPs'!$E$138:$E$175&amp;'TB-EQUIPMENT &amp; OTHER HPs'!$I$138:$I$175,0)),0)</f>
        <v>0</v>
      </c>
      <c r="S295" s="626">
        <f t="shared" si="366"/>
        <v>0</v>
      </c>
      <c r="T295" s="626">
        <f t="shared" si="367"/>
        <v>0</v>
      </c>
      <c r="U295" s="626">
        <f t="shared" si="368"/>
        <v>0</v>
      </c>
      <c r="V295" s="625">
        <f t="array" ref="V295">IFERROR(INDEX('TB-EQUIPMENT &amp; OTHER HPs'!$R$138:$R$175,MATCH($E295&amp;$F295,'TB-EQUIPMENT &amp; OTHER HPs'!$E$138:$E$175&amp;'TB-EQUIPMENT &amp; OTHER HPs'!$I$138:$I$175,0)),0)</f>
        <v>0</v>
      </c>
      <c r="W295" s="626">
        <f t="shared" si="369"/>
        <v>0</v>
      </c>
      <c r="X295" s="626">
        <f t="shared" si="370"/>
        <v>0</v>
      </c>
      <c r="Y295" s="626">
        <f t="shared" si="371"/>
        <v>0</v>
      </c>
      <c r="AA295" s="625">
        <f t="array" ref="AA295">IFERROR(INDEX('TB-EQUIPMENT &amp; OTHER HPs'!$U$138:$U$175,MATCH($E295&amp;$F295,'TB-EQUIPMENT &amp; OTHER HPs'!$E$138:$E$175&amp;'TB-EQUIPMENT &amp; OTHER HPs'!$I$138:$I$175,0)),0)</f>
        <v>0</v>
      </c>
      <c r="AB295" s="625">
        <f t="array" ref="AB295">IFERROR(INDEX('TB-EQUIPMENT &amp; OTHER HPs'!$V$138:$V$175,MATCH($E295&amp;$F295,'TB-EQUIPMENT &amp; OTHER HPs'!$E$138:$E$175&amp;'TB-EQUIPMENT &amp; OTHER HPs'!$I$138:$I$175,0)),0)</f>
        <v>0</v>
      </c>
      <c r="AC295" s="626">
        <f t="shared" si="372"/>
        <v>0</v>
      </c>
      <c r="AD295" s="626">
        <f t="shared" si="373"/>
        <v>0</v>
      </c>
      <c r="AE295" s="626">
        <f t="shared" si="374"/>
        <v>0</v>
      </c>
      <c r="AF295" s="625">
        <f t="array" ref="AF295">IFERROR(INDEX('TB-EQUIPMENT &amp; OTHER HPs'!$W$138:$W$175,MATCH($E295&amp;$F295,'TB-EQUIPMENT &amp; OTHER HPs'!$E$138:$E$175&amp;'TB-EQUIPMENT &amp; OTHER HPs'!$I$138:$I$175,0)),0)</f>
        <v>0</v>
      </c>
      <c r="AG295" s="626">
        <f t="shared" si="375"/>
        <v>0</v>
      </c>
      <c r="AH295" s="626">
        <f t="shared" si="376"/>
        <v>0</v>
      </c>
      <c r="AI295" s="626">
        <f t="shared" si="377"/>
        <v>0</v>
      </c>
      <c r="AJ295" s="625">
        <f t="array" ref="AJ295">IFERROR(INDEX('TB-EQUIPMENT &amp; OTHER HPs'!$X$138:$X$175,MATCH($E295&amp;$F295,'TB-EQUIPMENT &amp; OTHER HPs'!$E$138:$E$175&amp;'TB-EQUIPMENT &amp; OTHER HPs'!$I$138:$I$175,0)),0)</f>
        <v>0</v>
      </c>
      <c r="AK295" s="626">
        <f t="shared" si="378"/>
        <v>0</v>
      </c>
      <c r="AL295" s="626">
        <f t="shared" si="379"/>
        <v>0</v>
      </c>
      <c r="AM295" s="626">
        <f t="shared" si="380"/>
        <v>0</v>
      </c>
      <c r="AN295" s="625">
        <f t="array" ref="AN295">IFERROR(INDEX('TB-EQUIPMENT &amp; OTHER HPs'!$Y$138:$Y$175,MATCH($E295&amp;$F295,'TB-EQUIPMENT &amp; OTHER HPs'!$E$138:$E$175&amp;'TB-EQUIPMENT &amp; OTHER HPs'!$I$138:$I$175,0)),0)</f>
        <v>0</v>
      </c>
      <c r="AO295" s="626">
        <f t="shared" si="381"/>
        <v>0</v>
      </c>
      <c r="AP295" s="626">
        <f t="shared" si="382"/>
        <v>0</v>
      </c>
      <c r="AQ295" s="626">
        <f t="shared" si="383"/>
        <v>0</v>
      </c>
      <c r="AR295" s="630"/>
      <c r="AS295" s="625">
        <f t="array" ref="AS295">IFERROR(INDEX('TB-EQUIPMENT &amp; OTHER HPs'!$AB$138:$AB$175,MATCH($E295&amp;$F295,'TB-EQUIPMENT &amp; OTHER HPs'!$E$138:$E$175&amp;'TB-EQUIPMENT &amp; OTHER HPs'!$I$138:$I$175,0)),0)</f>
        <v>0</v>
      </c>
      <c r="AT295" s="625">
        <f t="array" ref="AT295">IFERROR(INDEX('TB-EQUIPMENT &amp; OTHER HPs'!$AC$138:$AC$175,MATCH($E295&amp;$F295,'TB-EQUIPMENT &amp; OTHER HPs'!$E$138:$E$175&amp;'TB-EQUIPMENT &amp; OTHER HPs'!$I$138:$I$175,0)),0)</f>
        <v>0</v>
      </c>
      <c r="AU295" s="626">
        <f t="shared" si="384"/>
        <v>0</v>
      </c>
      <c r="AV295" s="626">
        <f t="shared" si="385"/>
        <v>0</v>
      </c>
      <c r="AW295" s="626">
        <f t="shared" si="386"/>
        <v>0</v>
      </c>
      <c r="AX295" s="625">
        <f t="array" ref="AX295">IFERROR(INDEX('TB-EQUIPMENT &amp; OTHER HPs'!$AD$138:$AD$175,MATCH($E295&amp;$F295,'TB-EQUIPMENT &amp; OTHER HPs'!$E$138:$E$175&amp;'TB-EQUIPMENT &amp; OTHER HPs'!$I$138:$I$175,0)),0)</f>
        <v>0</v>
      </c>
      <c r="AY295" s="626">
        <f t="shared" si="387"/>
        <v>0</v>
      </c>
      <c r="AZ295" s="626">
        <f t="shared" si="388"/>
        <v>0</v>
      </c>
      <c r="BA295" s="626">
        <f t="shared" si="389"/>
        <v>0</v>
      </c>
      <c r="BB295" s="625">
        <f t="array" ref="BB295">IFERROR(INDEX('TB-EQUIPMENT &amp; OTHER HPs'!$AE$138:$AE$175,MATCH($E295&amp;$F295,'TB-EQUIPMENT &amp; OTHER HPs'!$E$138:$E$175&amp;'TB-EQUIPMENT &amp; OTHER HPs'!$I$138:$I$175,0)),0)</f>
        <v>0</v>
      </c>
      <c r="BC295" s="626">
        <f t="shared" si="390"/>
        <v>0</v>
      </c>
      <c r="BD295" s="626">
        <f t="shared" si="391"/>
        <v>0</v>
      </c>
      <c r="BE295" s="626">
        <f t="shared" si="392"/>
        <v>0</v>
      </c>
      <c r="BF295" s="625">
        <f t="array" ref="BF295">IFERROR(INDEX('TB-EQUIPMENT &amp; OTHER HPs'!$AF$138:$AF$175,MATCH($E295&amp;$F295,'TB-EQUIPMENT &amp; OTHER HPs'!$E$138:$E$175&amp;'TB-EQUIPMENT &amp; OTHER HPs'!$I$138:$I$175,0)),0)</f>
        <v>0</v>
      </c>
      <c r="BG295" s="626">
        <f t="shared" si="393"/>
        <v>0</v>
      </c>
      <c r="BH295" s="626">
        <f t="shared" si="394"/>
        <v>0</v>
      </c>
      <c r="BI295" s="626">
        <f t="shared" si="395"/>
        <v>0</v>
      </c>
      <c r="BJ295" s="630"/>
      <c r="BK295" s="625"/>
      <c r="BL295" s="625"/>
      <c r="BM295" s="625"/>
      <c r="BN295" s="625"/>
      <c r="BO295" s="625"/>
      <c r="BP295" s="625"/>
      <c r="BQ295" s="625"/>
      <c r="BR295" s="625"/>
    </row>
    <row r="296" spans="1:70">
      <c r="A296" s="29" t="s">
        <v>1757</v>
      </c>
      <c r="B296" s="29" t="s">
        <v>1838</v>
      </c>
      <c r="C296" s="619">
        <f>SETUP!$F$44</f>
        <v>0</v>
      </c>
      <c r="D296" s="25">
        <v>6.5</v>
      </c>
      <c r="E296" s="26" t="s">
        <v>226</v>
      </c>
      <c r="F296" s="26" t="s">
        <v>218</v>
      </c>
      <c r="G296" s="625" t="str">
        <f t="array" ref="G296">IFERROR(INDEX('TB-EQUIPMENT &amp; OTHER HPs'!$L$138:$L$175,MATCH($E296&amp;$F296,'TB-EQUIPMENT &amp; OTHER HPs'!$E$138:$E$175&amp;'TB-EQUIPMENT &amp; OTHER HPs'!$I$138:$I$175,0)),"")</f>
        <v/>
      </c>
      <c r="H296" s="625" t="str">
        <f t="array" ref="H296">IFERROR(INDEX('TB-EQUIPMENT &amp; OTHER HPs'!$M$138:$M$175,MATCH($E296&amp;$F296,'TB-EQUIPMENT &amp; OTHER HPs'!$E$138:$E$175&amp;'TB-EQUIPMENT &amp; OTHER HPs'!$I$138:$I$175,0)),"")</f>
        <v/>
      </c>
      <c r="I296" s="625">
        <f t="array" ref="I296">IFERROR(INDEX('TB-EQUIPMENT &amp; OTHER HPs'!$N$138:$N$175,MATCH($E296&amp;$F296,'TB-EQUIPMENT &amp; OTHER HPs'!$E$138:$E$175&amp;'TB-EQUIPMENT &amp; OTHER HPs'!$I$138:$I$175,0)),0)</f>
        <v>0</v>
      </c>
      <c r="J296" s="625">
        <f t="array" ref="J296">IFERROR(INDEX('TB-EQUIPMENT &amp; OTHER HPs'!$O$138:$O$175,MATCH($E296&amp;$F296,'TB-EQUIPMENT &amp; OTHER HPs'!$E$138:$E$175&amp;'TB-EQUIPMENT &amp; OTHER HPs'!$I$138:$I$175,0)),0)</f>
        <v>0</v>
      </c>
      <c r="K296" s="626">
        <f t="shared" si="360"/>
        <v>0</v>
      </c>
      <c r="L296" s="626">
        <f t="shared" si="361"/>
        <v>0</v>
      </c>
      <c r="M296" s="626">
        <f t="shared" si="362"/>
        <v>0</v>
      </c>
      <c r="N296" s="625">
        <f t="array" ref="N296">IFERROR(INDEX('TB-EQUIPMENT &amp; OTHER HPs'!$P$138:$P$175,MATCH($E296&amp;$F296,'TB-EQUIPMENT &amp; OTHER HPs'!$E$138:$E$175&amp;'TB-EQUIPMENT &amp; OTHER HPs'!$I$138:$I$175,0)),0)</f>
        <v>0</v>
      </c>
      <c r="O296" s="626">
        <f t="shared" si="363"/>
        <v>0</v>
      </c>
      <c r="P296" s="626">
        <f t="shared" si="364"/>
        <v>0</v>
      </c>
      <c r="Q296" s="626">
        <f t="shared" si="365"/>
        <v>0</v>
      </c>
      <c r="R296" s="625">
        <f t="array" ref="R296">IFERROR(INDEX('TB-EQUIPMENT &amp; OTHER HPs'!$Q$138:$Q$175,MATCH($E296&amp;$F296,'TB-EQUIPMENT &amp; OTHER HPs'!$E$138:$E$175&amp;'TB-EQUIPMENT &amp; OTHER HPs'!$I$138:$I$175,0)),0)</f>
        <v>0</v>
      </c>
      <c r="S296" s="626">
        <f t="shared" si="366"/>
        <v>0</v>
      </c>
      <c r="T296" s="626">
        <f t="shared" si="367"/>
        <v>0</v>
      </c>
      <c r="U296" s="626">
        <f t="shared" si="368"/>
        <v>0</v>
      </c>
      <c r="V296" s="625">
        <f t="array" ref="V296">IFERROR(INDEX('TB-EQUIPMENT &amp; OTHER HPs'!$R$138:$R$175,MATCH($E296&amp;$F296,'TB-EQUIPMENT &amp; OTHER HPs'!$E$138:$E$175&amp;'TB-EQUIPMENT &amp; OTHER HPs'!$I$138:$I$175,0)),0)</f>
        <v>0</v>
      </c>
      <c r="W296" s="626">
        <f t="shared" si="369"/>
        <v>0</v>
      </c>
      <c r="X296" s="626">
        <f t="shared" si="370"/>
        <v>0</v>
      </c>
      <c r="Y296" s="626">
        <f t="shared" si="371"/>
        <v>0</v>
      </c>
      <c r="AA296" s="625">
        <f t="array" ref="AA296">IFERROR(INDEX('TB-EQUIPMENT &amp; OTHER HPs'!$U$138:$U$175,MATCH($E296&amp;$F296,'TB-EQUIPMENT &amp; OTHER HPs'!$E$138:$E$175&amp;'TB-EQUIPMENT &amp; OTHER HPs'!$I$138:$I$175,0)),0)</f>
        <v>0</v>
      </c>
      <c r="AB296" s="625">
        <f t="array" ref="AB296">IFERROR(INDEX('TB-EQUIPMENT &amp; OTHER HPs'!$V$138:$V$175,MATCH($E296&amp;$F296,'TB-EQUIPMENT &amp; OTHER HPs'!$E$138:$E$175&amp;'TB-EQUIPMENT &amp; OTHER HPs'!$I$138:$I$175,0)),0)</f>
        <v>0</v>
      </c>
      <c r="AC296" s="626">
        <f t="shared" si="372"/>
        <v>0</v>
      </c>
      <c r="AD296" s="626">
        <f t="shared" si="373"/>
        <v>0</v>
      </c>
      <c r="AE296" s="626">
        <f t="shared" si="374"/>
        <v>0</v>
      </c>
      <c r="AF296" s="625">
        <f t="array" ref="AF296">IFERROR(INDEX('TB-EQUIPMENT &amp; OTHER HPs'!$W$138:$W$175,MATCH($E296&amp;$F296,'TB-EQUIPMENT &amp; OTHER HPs'!$E$138:$E$175&amp;'TB-EQUIPMENT &amp; OTHER HPs'!$I$138:$I$175,0)),0)</f>
        <v>0</v>
      </c>
      <c r="AG296" s="626">
        <f t="shared" si="375"/>
        <v>0</v>
      </c>
      <c r="AH296" s="626">
        <f t="shared" si="376"/>
        <v>0</v>
      </c>
      <c r="AI296" s="626">
        <f t="shared" si="377"/>
        <v>0</v>
      </c>
      <c r="AJ296" s="625">
        <f t="array" ref="AJ296">IFERROR(INDEX('TB-EQUIPMENT &amp; OTHER HPs'!$X$138:$X$175,MATCH($E296&amp;$F296,'TB-EQUIPMENT &amp; OTHER HPs'!$E$138:$E$175&amp;'TB-EQUIPMENT &amp; OTHER HPs'!$I$138:$I$175,0)),0)</f>
        <v>0</v>
      </c>
      <c r="AK296" s="626">
        <f t="shared" si="378"/>
        <v>0</v>
      </c>
      <c r="AL296" s="626">
        <f t="shared" si="379"/>
        <v>0</v>
      </c>
      <c r="AM296" s="626">
        <f t="shared" si="380"/>
        <v>0</v>
      </c>
      <c r="AN296" s="625">
        <f t="array" ref="AN296">IFERROR(INDEX('TB-EQUIPMENT &amp; OTHER HPs'!$Y$138:$Y$175,MATCH($E296&amp;$F296,'TB-EQUIPMENT &amp; OTHER HPs'!$E$138:$E$175&amp;'TB-EQUIPMENT &amp; OTHER HPs'!$I$138:$I$175,0)),0)</f>
        <v>0</v>
      </c>
      <c r="AO296" s="626">
        <f t="shared" si="381"/>
        <v>0</v>
      </c>
      <c r="AP296" s="626">
        <f t="shared" si="382"/>
        <v>0</v>
      </c>
      <c r="AQ296" s="626">
        <f t="shared" si="383"/>
        <v>0</v>
      </c>
      <c r="AR296" s="630"/>
      <c r="AS296" s="625">
        <f t="array" ref="AS296">IFERROR(INDEX('TB-EQUIPMENT &amp; OTHER HPs'!$AB$138:$AB$175,MATCH($E296&amp;$F296,'TB-EQUIPMENT &amp; OTHER HPs'!$E$138:$E$175&amp;'TB-EQUIPMENT &amp; OTHER HPs'!$I$138:$I$175,0)),0)</f>
        <v>0</v>
      </c>
      <c r="AT296" s="625">
        <f t="array" ref="AT296">IFERROR(INDEX('TB-EQUIPMENT &amp; OTHER HPs'!$AC$138:$AC$175,MATCH($E296&amp;$F296,'TB-EQUIPMENT &amp; OTHER HPs'!$E$138:$E$175&amp;'TB-EQUIPMENT &amp; OTHER HPs'!$I$138:$I$175,0)),0)</f>
        <v>0</v>
      </c>
      <c r="AU296" s="626">
        <f t="shared" si="384"/>
        <v>0</v>
      </c>
      <c r="AV296" s="626">
        <f t="shared" si="385"/>
        <v>0</v>
      </c>
      <c r="AW296" s="626">
        <f t="shared" si="386"/>
        <v>0</v>
      </c>
      <c r="AX296" s="625">
        <f t="array" ref="AX296">IFERROR(INDEX('TB-EQUIPMENT &amp; OTHER HPs'!$AD$138:$AD$175,MATCH($E296&amp;$F296,'TB-EQUIPMENT &amp; OTHER HPs'!$E$138:$E$175&amp;'TB-EQUIPMENT &amp; OTHER HPs'!$I$138:$I$175,0)),0)</f>
        <v>0</v>
      </c>
      <c r="AY296" s="626">
        <f t="shared" si="387"/>
        <v>0</v>
      </c>
      <c r="AZ296" s="626">
        <f t="shared" si="388"/>
        <v>0</v>
      </c>
      <c r="BA296" s="626">
        <f t="shared" si="389"/>
        <v>0</v>
      </c>
      <c r="BB296" s="625">
        <f t="array" ref="BB296">IFERROR(INDEX('TB-EQUIPMENT &amp; OTHER HPs'!$AE$138:$AE$175,MATCH($E296&amp;$F296,'TB-EQUIPMENT &amp; OTHER HPs'!$E$138:$E$175&amp;'TB-EQUIPMENT &amp; OTHER HPs'!$I$138:$I$175,0)),0)</f>
        <v>0</v>
      </c>
      <c r="BC296" s="626">
        <f t="shared" si="390"/>
        <v>0</v>
      </c>
      <c r="BD296" s="626">
        <f t="shared" si="391"/>
        <v>0</v>
      </c>
      <c r="BE296" s="626">
        <f t="shared" si="392"/>
        <v>0</v>
      </c>
      <c r="BF296" s="625">
        <f t="array" ref="BF296">IFERROR(INDEX('TB-EQUIPMENT &amp; OTHER HPs'!$AF$138:$AF$175,MATCH($E296&amp;$F296,'TB-EQUIPMENT &amp; OTHER HPs'!$E$138:$E$175&amp;'TB-EQUIPMENT &amp; OTHER HPs'!$I$138:$I$175,0)),0)</f>
        <v>0</v>
      </c>
      <c r="BG296" s="626">
        <f t="shared" si="393"/>
        <v>0</v>
      </c>
      <c r="BH296" s="626">
        <f t="shared" si="394"/>
        <v>0</v>
      </c>
      <c r="BI296" s="626">
        <f t="shared" si="395"/>
        <v>0</v>
      </c>
      <c r="BJ296" s="630"/>
      <c r="BK296" s="625"/>
      <c r="BL296" s="625"/>
      <c r="BM296" s="625"/>
      <c r="BN296" s="625"/>
      <c r="BO296" s="625"/>
      <c r="BP296" s="625"/>
      <c r="BQ296" s="625"/>
      <c r="BR296" s="625"/>
    </row>
    <row r="297" spans="1:70">
      <c r="A297" s="29" t="s">
        <v>1757</v>
      </c>
      <c r="B297" s="29" t="s">
        <v>1838</v>
      </c>
      <c r="C297" s="619">
        <f>SETUP!$F$44</f>
        <v>0</v>
      </c>
      <c r="D297" s="25">
        <v>6.5</v>
      </c>
      <c r="E297" s="26" t="s">
        <v>329</v>
      </c>
      <c r="F297" s="26" t="s">
        <v>1140</v>
      </c>
      <c r="G297" s="625" t="str">
        <f t="array" ref="G297">IFERROR(INDEX('TB-EQUIPMENT &amp; OTHER HPs'!$L$138:$L$175,MATCH($E297&amp;$F297,'TB-EQUIPMENT &amp; OTHER HPs'!$E$138:$E$175&amp;'TB-EQUIPMENT &amp; OTHER HPs'!$I$138:$I$175,0)),"")</f>
        <v/>
      </c>
      <c r="H297" s="625" t="str">
        <f t="array" ref="H297">IFERROR(INDEX('TB-EQUIPMENT &amp; OTHER HPs'!$M$138:$M$175,MATCH($E297&amp;$F297,'TB-EQUIPMENT &amp; OTHER HPs'!$E$138:$E$175&amp;'TB-EQUIPMENT &amp; OTHER HPs'!$I$138:$I$175,0)),"")</f>
        <v/>
      </c>
      <c r="I297" s="625">
        <f t="array" ref="I297">IFERROR(INDEX('TB-EQUIPMENT &amp; OTHER HPs'!$N$138:$N$175,MATCH($E297&amp;$F297,'TB-EQUIPMENT &amp; OTHER HPs'!$E$138:$E$175&amp;'TB-EQUIPMENT &amp; OTHER HPs'!$I$138:$I$175,0)),0)</f>
        <v>0</v>
      </c>
      <c r="J297" s="625">
        <f t="array" ref="J297">IFERROR(INDEX('TB-EQUIPMENT &amp; OTHER HPs'!$O$138:$O$175,MATCH($E297&amp;$F297,'TB-EQUIPMENT &amp; OTHER HPs'!$E$138:$E$175&amp;'TB-EQUIPMENT &amp; OTHER HPs'!$I$138:$I$175,0)),0)</f>
        <v>0</v>
      </c>
      <c r="K297" s="626">
        <f t="shared" si="360"/>
        <v>0</v>
      </c>
      <c r="L297" s="626">
        <f t="shared" si="361"/>
        <v>0</v>
      </c>
      <c r="M297" s="626">
        <f t="shared" si="362"/>
        <v>0</v>
      </c>
      <c r="N297" s="625">
        <f t="array" ref="N297">IFERROR(INDEX('TB-EQUIPMENT &amp; OTHER HPs'!$P$138:$P$175,MATCH($E297&amp;$F297,'TB-EQUIPMENT &amp; OTHER HPs'!$E$138:$E$175&amp;'TB-EQUIPMENT &amp; OTHER HPs'!$I$138:$I$175,0)),0)</f>
        <v>0</v>
      </c>
      <c r="O297" s="626">
        <f t="shared" si="363"/>
        <v>0</v>
      </c>
      <c r="P297" s="626">
        <f t="shared" si="364"/>
        <v>0</v>
      </c>
      <c r="Q297" s="626">
        <f t="shared" si="365"/>
        <v>0</v>
      </c>
      <c r="R297" s="625">
        <f t="array" ref="R297">IFERROR(INDEX('TB-EQUIPMENT &amp; OTHER HPs'!$Q$138:$Q$175,MATCH($E297&amp;$F297,'TB-EQUIPMENT &amp; OTHER HPs'!$E$138:$E$175&amp;'TB-EQUIPMENT &amp; OTHER HPs'!$I$138:$I$175,0)),0)</f>
        <v>0</v>
      </c>
      <c r="S297" s="626">
        <f t="shared" si="366"/>
        <v>0</v>
      </c>
      <c r="T297" s="626">
        <f t="shared" si="367"/>
        <v>0</v>
      </c>
      <c r="U297" s="626">
        <f t="shared" si="368"/>
        <v>0</v>
      </c>
      <c r="V297" s="625">
        <f t="array" ref="V297">IFERROR(INDEX('TB-EQUIPMENT &amp; OTHER HPs'!$R$138:$R$175,MATCH($E297&amp;$F297,'TB-EQUIPMENT &amp; OTHER HPs'!$E$138:$E$175&amp;'TB-EQUIPMENT &amp; OTHER HPs'!$I$138:$I$175,0)),0)</f>
        <v>0</v>
      </c>
      <c r="W297" s="626">
        <f t="shared" si="369"/>
        <v>0</v>
      </c>
      <c r="X297" s="626">
        <f t="shared" si="370"/>
        <v>0</v>
      </c>
      <c r="Y297" s="626">
        <f t="shared" si="371"/>
        <v>0</v>
      </c>
      <c r="AA297" s="625">
        <f t="array" ref="AA297">IFERROR(INDEX('TB-EQUIPMENT &amp; OTHER HPs'!$U$138:$U$175,MATCH($E297&amp;$F297,'TB-EQUIPMENT &amp; OTHER HPs'!$E$138:$E$175&amp;'TB-EQUIPMENT &amp; OTHER HPs'!$I$138:$I$175,0)),0)</f>
        <v>0</v>
      </c>
      <c r="AB297" s="625">
        <f t="array" ref="AB297">IFERROR(INDEX('TB-EQUIPMENT &amp; OTHER HPs'!$V$138:$V$175,MATCH($E297&amp;$F297,'TB-EQUIPMENT &amp; OTHER HPs'!$E$138:$E$175&amp;'TB-EQUIPMENT &amp; OTHER HPs'!$I$138:$I$175,0)),0)</f>
        <v>0</v>
      </c>
      <c r="AC297" s="626">
        <f t="shared" si="372"/>
        <v>0</v>
      </c>
      <c r="AD297" s="626">
        <f t="shared" si="373"/>
        <v>0</v>
      </c>
      <c r="AE297" s="626">
        <f t="shared" si="374"/>
        <v>0</v>
      </c>
      <c r="AF297" s="625">
        <f t="array" ref="AF297">IFERROR(INDEX('TB-EQUIPMENT &amp; OTHER HPs'!$W$138:$W$175,MATCH($E297&amp;$F297,'TB-EQUIPMENT &amp; OTHER HPs'!$E$138:$E$175&amp;'TB-EQUIPMENT &amp; OTHER HPs'!$I$138:$I$175,0)),0)</f>
        <v>0</v>
      </c>
      <c r="AG297" s="626">
        <f t="shared" si="375"/>
        <v>0</v>
      </c>
      <c r="AH297" s="626">
        <f t="shared" si="376"/>
        <v>0</v>
      </c>
      <c r="AI297" s="626">
        <f t="shared" si="377"/>
        <v>0</v>
      </c>
      <c r="AJ297" s="625">
        <f t="array" ref="AJ297">IFERROR(INDEX('TB-EQUIPMENT &amp; OTHER HPs'!$X$138:$X$175,MATCH($E297&amp;$F297,'TB-EQUIPMENT &amp; OTHER HPs'!$E$138:$E$175&amp;'TB-EQUIPMENT &amp; OTHER HPs'!$I$138:$I$175,0)),0)</f>
        <v>0</v>
      </c>
      <c r="AK297" s="626">
        <f t="shared" si="378"/>
        <v>0</v>
      </c>
      <c r="AL297" s="626">
        <f t="shared" si="379"/>
        <v>0</v>
      </c>
      <c r="AM297" s="626">
        <f t="shared" si="380"/>
        <v>0</v>
      </c>
      <c r="AN297" s="625">
        <f t="array" ref="AN297">IFERROR(INDEX('TB-EQUIPMENT &amp; OTHER HPs'!$Y$138:$Y$175,MATCH($E297&amp;$F297,'TB-EQUIPMENT &amp; OTHER HPs'!$E$138:$E$175&amp;'TB-EQUIPMENT &amp; OTHER HPs'!$I$138:$I$175,0)),0)</f>
        <v>0</v>
      </c>
      <c r="AO297" s="626">
        <f t="shared" si="381"/>
        <v>0</v>
      </c>
      <c r="AP297" s="626">
        <f t="shared" si="382"/>
        <v>0</v>
      </c>
      <c r="AQ297" s="626">
        <f t="shared" si="383"/>
        <v>0</v>
      </c>
      <c r="AR297" s="630"/>
      <c r="AS297" s="625">
        <f t="array" ref="AS297">IFERROR(INDEX('TB-EQUIPMENT &amp; OTHER HPs'!$AB$138:$AB$175,MATCH($E297&amp;$F297,'TB-EQUIPMENT &amp; OTHER HPs'!$E$138:$E$175&amp;'TB-EQUIPMENT &amp; OTHER HPs'!$I$138:$I$175,0)),0)</f>
        <v>0</v>
      </c>
      <c r="AT297" s="625">
        <f t="array" ref="AT297">IFERROR(INDEX('TB-EQUIPMENT &amp; OTHER HPs'!$AC$138:$AC$175,MATCH($E297&amp;$F297,'TB-EQUIPMENT &amp; OTHER HPs'!$E$138:$E$175&amp;'TB-EQUIPMENT &amp; OTHER HPs'!$I$138:$I$175,0)),0)</f>
        <v>0</v>
      </c>
      <c r="AU297" s="626">
        <f t="shared" si="384"/>
        <v>0</v>
      </c>
      <c r="AV297" s="626">
        <f t="shared" si="385"/>
        <v>0</v>
      </c>
      <c r="AW297" s="626">
        <f t="shared" si="386"/>
        <v>0</v>
      </c>
      <c r="AX297" s="625">
        <f t="array" ref="AX297">IFERROR(INDEX('TB-EQUIPMENT &amp; OTHER HPs'!$AD$138:$AD$175,MATCH($E297&amp;$F297,'TB-EQUIPMENT &amp; OTHER HPs'!$E$138:$E$175&amp;'TB-EQUIPMENT &amp; OTHER HPs'!$I$138:$I$175,0)),0)</f>
        <v>0</v>
      </c>
      <c r="AY297" s="626">
        <f t="shared" si="387"/>
        <v>0</v>
      </c>
      <c r="AZ297" s="626">
        <f t="shared" si="388"/>
        <v>0</v>
      </c>
      <c r="BA297" s="626">
        <f t="shared" si="389"/>
        <v>0</v>
      </c>
      <c r="BB297" s="625">
        <f t="array" ref="BB297">IFERROR(INDEX('TB-EQUIPMENT &amp; OTHER HPs'!$AE$138:$AE$175,MATCH($E297&amp;$F297,'TB-EQUIPMENT &amp; OTHER HPs'!$E$138:$E$175&amp;'TB-EQUIPMENT &amp; OTHER HPs'!$I$138:$I$175,0)),0)</f>
        <v>0</v>
      </c>
      <c r="BC297" s="626">
        <f t="shared" si="390"/>
        <v>0</v>
      </c>
      <c r="BD297" s="626">
        <f t="shared" si="391"/>
        <v>0</v>
      </c>
      <c r="BE297" s="626">
        <f t="shared" si="392"/>
        <v>0</v>
      </c>
      <c r="BF297" s="625">
        <f t="array" ref="BF297">IFERROR(INDEX('TB-EQUIPMENT &amp; OTHER HPs'!$AF$138:$AF$175,MATCH($E297&amp;$F297,'TB-EQUIPMENT &amp; OTHER HPs'!$E$138:$E$175&amp;'TB-EQUIPMENT &amp; OTHER HPs'!$I$138:$I$175,0)),0)</f>
        <v>0</v>
      </c>
      <c r="BG297" s="626">
        <f t="shared" si="393"/>
        <v>0</v>
      </c>
      <c r="BH297" s="626">
        <f t="shared" si="394"/>
        <v>0</v>
      </c>
      <c r="BI297" s="626">
        <f t="shared" si="395"/>
        <v>0</v>
      </c>
      <c r="BJ297" s="630"/>
      <c r="BK297" s="625"/>
      <c r="BL297" s="625"/>
      <c r="BM297" s="625"/>
      <c r="BN297" s="625"/>
      <c r="BO297" s="625"/>
      <c r="BP297" s="625"/>
      <c r="BQ297" s="625"/>
      <c r="BR297" s="625"/>
    </row>
    <row r="298" spans="1:70">
      <c r="A298" s="29" t="s">
        <v>1757</v>
      </c>
      <c r="B298" s="29" t="s">
        <v>1838</v>
      </c>
      <c r="C298" s="619">
        <f>SETUP!$F$44</f>
        <v>0</v>
      </c>
      <c r="D298" s="25">
        <v>6.5</v>
      </c>
      <c r="E298" s="26" t="s">
        <v>317</v>
      </c>
      <c r="F298" s="26" t="s">
        <v>1140</v>
      </c>
      <c r="G298" s="625" t="str">
        <f t="array" ref="G298">IFERROR(INDEX('TB-EQUIPMENT &amp; OTHER HPs'!$L$138:$L$175,MATCH($E298&amp;$F298,'TB-EQUIPMENT &amp; OTHER HPs'!$E$138:$E$175&amp;'TB-EQUIPMENT &amp; OTHER HPs'!$I$138:$I$175,0)),"")</f>
        <v/>
      </c>
      <c r="H298" s="625" t="str">
        <f t="array" ref="H298">IFERROR(INDEX('TB-EQUIPMENT &amp; OTHER HPs'!$M$138:$M$175,MATCH($E298&amp;$F298,'TB-EQUIPMENT &amp; OTHER HPs'!$E$138:$E$175&amp;'TB-EQUIPMENT &amp; OTHER HPs'!$I$138:$I$175,0)),"")</f>
        <v/>
      </c>
      <c r="I298" s="625">
        <f t="array" ref="I298">IFERROR(INDEX('TB-EQUIPMENT &amp; OTHER HPs'!$N$138:$N$175,MATCH($E298&amp;$F298,'TB-EQUIPMENT &amp; OTHER HPs'!$E$138:$E$175&amp;'TB-EQUIPMENT &amp; OTHER HPs'!$I$138:$I$175,0)),0)</f>
        <v>0</v>
      </c>
      <c r="J298" s="625">
        <f t="array" ref="J298">IFERROR(INDEX('TB-EQUIPMENT &amp; OTHER HPs'!$O$138:$O$175,MATCH($E298&amp;$F298,'TB-EQUIPMENT &amp; OTHER HPs'!$E$138:$E$175&amp;'TB-EQUIPMENT &amp; OTHER HPs'!$I$138:$I$175,0)),0)</f>
        <v>0</v>
      </c>
      <c r="K298" s="626">
        <f t="shared" si="360"/>
        <v>0</v>
      </c>
      <c r="L298" s="626">
        <f t="shared" si="361"/>
        <v>0</v>
      </c>
      <c r="M298" s="626">
        <f t="shared" si="362"/>
        <v>0</v>
      </c>
      <c r="N298" s="625">
        <f t="array" ref="N298">IFERROR(INDEX('TB-EQUIPMENT &amp; OTHER HPs'!$P$138:$P$175,MATCH($E298&amp;$F298,'TB-EQUIPMENT &amp; OTHER HPs'!$E$138:$E$175&amp;'TB-EQUIPMENT &amp; OTHER HPs'!$I$138:$I$175,0)),0)</f>
        <v>0</v>
      </c>
      <c r="O298" s="626">
        <f t="shared" si="363"/>
        <v>0</v>
      </c>
      <c r="P298" s="626">
        <f t="shared" si="364"/>
        <v>0</v>
      </c>
      <c r="Q298" s="626">
        <f t="shared" si="365"/>
        <v>0</v>
      </c>
      <c r="R298" s="625">
        <f t="array" ref="R298">IFERROR(INDEX('TB-EQUIPMENT &amp; OTHER HPs'!$Q$138:$Q$175,MATCH($E298&amp;$F298,'TB-EQUIPMENT &amp; OTHER HPs'!$E$138:$E$175&amp;'TB-EQUIPMENT &amp; OTHER HPs'!$I$138:$I$175,0)),0)</f>
        <v>0</v>
      </c>
      <c r="S298" s="626">
        <f t="shared" si="366"/>
        <v>0</v>
      </c>
      <c r="T298" s="626">
        <f t="shared" si="367"/>
        <v>0</v>
      </c>
      <c r="U298" s="626">
        <f t="shared" si="368"/>
        <v>0</v>
      </c>
      <c r="V298" s="625">
        <f t="array" ref="V298">IFERROR(INDEX('TB-EQUIPMENT &amp; OTHER HPs'!$R$138:$R$175,MATCH($E298&amp;$F298,'TB-EQUIPMENT &amp; OTHER HPs'!$E$138:$E$175&amp;'TB-EQUIPMENT &amp; OTHER HPs'!$I$138:$I$175,0)),0)</f>
        <v>0</v>
      </c>
      <c r="W298" s="626">
        <f t="shared" si="369"/>
        <v>0</v>
      </c>
      <c r="X298" s="626">
        <f t="shared" si="370"/>
        <v>0</v>
      </c>
      <c r="Y298" s="626">
        <f t="shared" si="371"/>
        <v>0</v>
      </c>
      <c r="AA298" s="625">
        <f t="array" ref="AA298">IFERROR(INDEX('TB-EQUIPMENT &amp; OTHER HPs'!$U$138:$U$175,MATCH($E298&amp;$F298,'TB-EQUIPMENT &amp; OTHER HPs'!$E$138:$E$175&amp;'TB-EQUIPMENT &amp; OTHER HPs'!$I$138:$I$175,0)),0)</f>
        <v>0</v>
      </c>
      <c r="AB298" s="625">
        <f t="array" ref="AB298">IFERROR(INDEX('TB-EQUIPMENT &amp; OTHER HPs'!$V$138:$V$175,MATCH($E298&amp;$F298,'TB-EQUIPMENT &amp; OTHER HPs'!$E$138:$E$175&amp;'TB-EQUIPMENT &amp; OTHER HPs'!$I$138:$I$175,0)),0)</f>
        <v>0</v>
      </c>
      <c r="AC298" s="626">
        <f t="shared" si="372"/>
        <v>0</v>
      </c>
      <c r="AD298" s="626">
        <f t="shared" si="373"/>
        <v>0</v>
      </c>
      <c r="AE298" s="626">
        <f t="shared" si="374"/>
        <v>0</v>
      </c>
      <c r="AF298" s="625">
        <f t="array" ref="AF298">IFERROR(INDEX('TB-EQUIPMENT &amp; OTHER HPs'!$W$138:$W$175,MATCH($E298&amp;$F298,'TB-EQUIPMENT &amp; OTHER HPs'!$E$138:$E$175&amp;'TB-EQUIPMENT &amp; OTHER HPs'!$I$138:$I$175,0)),0)</f>
        <v>0</v>
      </c>
      <c r="AG298" s="626">
        <f t="shared" si="375"/>
        <v>0</v>
      </c>
      <c r="AH298" s="626">
        <f t="shared" si="376"/>
        <v>0</v>
      </c>
      <c r="AI298" s="626">
        <f t="shared" si="377"/>
        <v>0</v>
      </c>
      <c r="AJ298" s="625">
        <f t="array" ref="AJ298">IFERROR(INDEX('TB-EQUIPMENT &amp; OTHER HPs'!$X$138:$X$175,MATCH($E298&amp;$F298,'TB-EQUIPMENT &amp; OTHER HPs'!$E$138:$E$175&amp;'TB-EQUIPMENT &amp; OTHER HPs'!$I$138:$I$175,0)),0)</f>
        <v>0</v>
      </c>
      <c r="AK298" s="626">
        <f t="shared" si="378"/>
        <v>0</v>
      </c>
      <c r="AL298" s="626">
        <f t="shared" si="379"/>
        <v>0</v>
      </c>
      <c r="AM298" s="626">
        <f t="shared" si="380"/>
        <v>0</v>
      </c>
      <c r="AN298" s="625">
        <f t="array" ref="AN298">IFERROR(INDEX('TB-EQUIPMENT &amp; OTHER HPs'!$Y$138:$Y$175,MATCH($E298&amp;$F298,'TB-EQUIPMENT &amp; OTHER HPs'!$E$138:$E$175&amp;'TB-EQUIPMENT &amp; OTHER HPs'!$I$138:$I$175,0)),0)</f>
        <v>0</v>
      </c>
      <c r="AO298" s="626">
        <f t="shared" si="381"/>
        <v>0</v>
      </c>
      <c r="AP298" s="626">
        <f t="shared" si="382"/>
        <v>0</v>
      </c>
      <c r="AQ298" s="626">
        <f t="shared" si="383"/>
        <v>0</v>
      </c>
      <c r="AR298" s="630"/>
      <c r="AS298" s="625">
        <f t="array" ref="AS298">IFERROR(INDEX('TB-EQUIPMENT &amp; OTHER HPs'!$AB$138:$AB$175,MATCH($E298&amp;$F298,'TB-EQUIPMENT &amp; OTHER HPs'!$E$138:$E$175&amp;'TB-EQUIPMENT &amp; OTHER HPs'!$I$138:$I$175,0)),0)</f>
        <v>0</v>
      </c>
      <c r="AT298" s="625">
        <f t="array" ref="AT298">IFERROR(INDEX('TB-EQUIPMENT &amp; OTHER HPs'!$AC$138:$AC$175,MATCH($E298&amp;$F298,'TB-EQUIPMENT &amp; OTHER HPs'!$E$138:$E$175&amp;'TB-EQUIPMENT &amp; OTHER HPs'!$I$138:$I$175,0)),0)</f>
        <v>0</v>
      </c>
      <c r="AU298" s="626">
        <f t="shared" si="384"/>
        <v>0</v>
      </c>
      <c r="AV298" s="626">
        <f t="shared" si="385"/>
        <v>0</v>
      </c>
      <c r="AW298" s="626">
        <f t="shared" si="386"/>
        <v>0</v>
      </c>
      <c r="AX298" s="625">
        <f t="array" ref="AX298">IFERROR(INDEX('TB-EQUIPMENT &amp; OTHER HPs'!$AD$138:$AD$175,MATCH($E298&amp;$F298,'TB-EQUIPMENT &amp; OTHER HPs'!$E$138:$E$175&amp;'TB-EQUIPMENT &amp; OTHER HPs'!$I$138:$I$175,0)),0)</f>
        <v>0</v>
      </c>
      <c r="AY298" s="626">
        <f t="shared" si="387"/>
        <v>0</v>
      </c>
      <c r="AZ298" s="626">
        <f t="shared" si="388"/>
        <v>0</v>
      </c>
      <c r="BA298" s="626">
        <f t="shared" si="389"/>
        <v>0</v>
      </c>
      <c r="BB298" s="625">
        <f t="array" ref="BB298">IFERROR(INDEX('TB-EQUIPMENT &amp; OTHER HPs'!$AE$138:$AE$175,MATCH($E298&amp;$F298,'TB-EQUIPMENT &amp; OTHER HPs'!$E$138:$E$175&amp;'TB-EQUIPMENT &amp; OTHER HPs'!$I$138:$I$175,0)),0)</f>
        <v>0</v>
      </c>
      <c r="BC298" s="626">
        <f t="shared" si="390"/>
        <v>0</v>
      </c>
      <c r="BD298" s="626">
        <f t="shared" si="391"/>
        <v>0</v>
      </c>
      <c r="BE298" s="626">
        <f t="shared" si="392"/>
        <v>0</v>
      </c>
      <c r="BF298" s="625">
        <f t="array" ref="BF298">IFERROR(INDEX('TB-EQUIPMENT &amp; OTHER HPs'!$AF$138:$AF$175,MATCH($E298&amp;$F298,'TB-EQUIPMENT &amp; OTHER HPs'!$E$138:$E$175&amp;'TB-EQUIPMENT &amp; OTHER HPs'!$I$138:$I$175,0)),0)</f>
        <v>0</v>
      </c>
      <c r="BG298" s="626">
        <f t="shared" si="393"/>
        <v>0</v>
      </c>
      <c r="BH298" s="626">
        <f t="shared" si="394"/>
        <v>0</v>
      </c>
      <c r="BI298" s="626">
        <f t="shared" si="395"/>
        <v>0</v>
      </c>
      <c r="BJ298" s="630"/>
      <c r="BK298" s="625"/>
      <c r="BL298" s="625"/>
      <c r="BM298" s="625"/>
      <c r="BN298" s="625"/>
      <c r="BO298" s="625"/>
      <c r="BP298" s="625"/>
      <c r="BQ298" s="625"/>
      <c r="BR298" s="625"/>
    </row>
    <row r="299" spans="1:70">
      <c r="A299" s="29" t="s">
        <v>1757</v>
      </c>
      <c r="B299" s="29" t="s">
        <v>1838</v>
      </c>
      <c r="C299" s="619">
        <f>SETUP!$F$44</f>
        <v>0</v>
      </c>
      <c r="D299" s="25">
        <v>6.5</v>
      </c>
      <c r="E299" s="26" t="s">
        <v>325</v>
      </c>
      <c r="F299" s="26" t="s">
        <v>1140</v>
      </c>
      <c r="G299" s="625" t="str">
        <f t="array" ref="G299">IFERROR(INDEX('TB-EQUIPMENT &amp; OTHER HPs'!$L$138:$L$175,MATCH($E299&amp;$F299,'TB-EQUIPMENT &amp; OTHER HPs'!$E$138:$E$175&amp;'TB-EQUIPMENT &amp; OTHER HPs'!$I$138:$I$175,0)),"")</f>
        <v/>
      </c>
      <c r="H299" s="625" t="str">
        <f t="array" ref="H299">IFERROR(INDEX('TB-EQUIPMENT &amp; OTHER HPs'!$M$138:$M$175,MATCH($E299&amp;$F299,'TB-EQUIPMENT &amp; OTHER HPs'!$E$138:$E$175&amp;'TB-EQUIPMENT &amp; OTHER HPs'!$I$138:$I$175,0)),"")</f>
        <v/>
      </c>
      <c r="I299" s="625">
        <f t="array" ref="I299">IFERROR(INDEX('TB-EQUIPMENT &amp; OTHER HPs'!$N$138:$N$175,MATCH($E299&amp;$F299,'TB-EQUIPMENT &amp; OTHER HPs'!$E$138:$E$175&amp;'TB-EQUIPMENT &amp; OTHER HPs'!$I$138:$I$175,0)),0)</f>
        <v>0</v>
      </c>
      <c r="J299" s="625">
        <f t="array" ref="J299">IFERROR(INDEX('TB-EQUIPMENT &amp; OTHER HPs'!$O$138:$O$175,MATCH($E299&amp;$F299,'TB-EQUIPMENT &amp; OTHER HPs'!$E$138:$E$175&amp;'TB-EQUIPMENT &amp; OTHER HPs'!$I$138:$I$175,0)),0)</f>
        <v>0</v>
      </c>
      <c r="K299" s="626">
        <f t="shared" si="360"/>
        <v>0</v>
      </c>
      <c r="L299" s="626">
        <f t="shared" si="361"/>
        <v>0</v>
      </c>
      <c r="M299" s="626">
        <f t="shared" si="362"/>
        <v>0</v>
      </c>
      <c r="N299" s="625">
        <f t="array" ref="N299">IFERROR(INDEX('TB-EQUIPMENT &amp; OTHER HPs'!$P$138:$P$175,MATCH($E299&amp;$F299,'TB-EQUIPMENT &amp; OTHER HPs'!$E$138:$E$175&amp;'TB-EQUIPMENT &amp; OTHER HPs'!$I$138:$I$175,0)),0)</f>
        <v>0</v>
      </c>
      <c r="O299" s="626">
        <f t="shared" si="363"/>
        <v>0</v>
      </c>
      <c r="P299" s="626">
        <f t="shared" si="364"/>
        <v>0</v>
      </c>
      <c r="Q299" s="626">
        <f t="shared" si="365"/>
        <v>0</v>
      </c>
      <c r="R299" s="625">
        <f t="array" ref="R299">IFERROR(INDEX('TB-EQUIPMENT &amp; OTHER HPs'!$Q$138:$Q$175,MATCH($E299&amp;$F299,'TB-EQUIPMENT &amp; OTHER HPs'!$E$138:$E$175&amp;'TB-EQUIPMENT &amp; OTHER HPs'!$I$138:$I$175,0)),0)</f>
        <v>0</v>
      </c>
      <c r="S299" s="626">
        <f t="shared" si="366"/>
        <v>0</v>
      </c>
      <c r="T299" s="626">
        <f t="shared" si="367"/>
        <v>0</v>
      </c>
      <c r="U299" s="626">
        <f t="shared" si="368"/>
        <v>0</v>
      </c>
      <c r="V299" s="625">
        <f t="array" ref="V299">IFERROR(INDEX('TB-EQUIPMENT &amp; OTHER HPs'!$R$138:$R$175,MATCH($E299&amp;$F299,'TB-EQUIPMENT &amp; OTHER HPs'!$E$138:$E$175&amp;'TB-EQUIPMENT &amp; OTHER HPs'!$I$138:$I$175,0)),0)</f>
        <v>0</v>
      </c>
      <c r="W299" s="626">
        <f t="shared" si="369"/>
        <v>0</v>
      </c>
      <c r="X299" s="626">
        <f t="shared" si="370"/>
        <v>0</v>
      </c>
      <c r="Y299" s="626">
        <f t="shared" si="371"/>
        <v>0</v>
      </c>
      <c r="AA299" s="625">
        <f t="array" ref="AA299">IFERROR(INDEX('TB-EQUIPMENT &amp; OTHER HPs'!$U$138:$U$175,MATCH($E299&amp;$F299,'TB-EQUIPMENT &amp; OTHER HPs'!$E$138:$E$175&amp;'TB-EQUIPMENT &amp; OTHER HPs'!$I$138:$I$175,0)),0)</f>
        <v>0</v>
      </c>
      <c r="AB299" s="625">
        <f t="array" ref="AB299">IFERROR(INDEX('TB-EQUIPMENT &amp; OTHER HPs'!$V$138:$V$175,MATCH($E299&amp;$F299,'TB-EQUIPMENT &amp; OTHER HPs'!$E$138:$E$175&amp;'TB-EQUIPMENT &amp; OTHER HPs'!$I$138:$I$175,0)),0)</f>
        <v>0</v>
      </c>
      <c r="AC299" s="626">
        <f t="shared" si="372"/>
        <v>0</v>
      </c>
      <c r="AD299" s="626">
        <f t="shared" si="373"/>
        <v>0</v>
      </c>
      <c r="AE299" s="626">
        <f t="shared" si="374"/>
        <v>0</v>
      </c>
      <c r="AF299" s="625">
        <f t="array" ref="AF299">IFERROR(INDEX('TB-EQUIPMENT &amp; OTHER HPs'!$W$138:$W$175,MATCH($E299&amp;$F299,'TB-EQUIPMENT &amp; OTHER HPs'!$E$138:$E$175&amp;'TB-EQUIPMENT &amp; OTHER HPs'!$I$138:$I$175,0)),0)</f>
        <v>0</v>
      </c>
      <c r="AG299" s="626">
        <f t="shared" si="375"/>
        <v>0</v>
      </c>
      <c r="AH299" s="626">
        <f t="shared" si="376"/>
        <v>0</v>
      </c>
      <c r="AI299" s="626">
        <f t="shared" si="377"/>
        <v>0</v>
      </c>
      <c r="AJ299" s="625">
        <f t="array" ref="AJ299">IFERROR(INDEX('TB-EQUIPMENT &amp; OTHER HPs'!$X$138:$X$175,MATCH($E299&amp;$F299,'TB-EQUIPMENT &amp; OTHER HPs'!$E$138:$E$175&amp;'TB-EQUIPMENT &amp; OTHER HPs'!$I$138:$I$175,0)),0)</f>
        <v>0</v>
      </c>
      <c r="AK299" s="626">
        <f t="shared" si="378"/>
        <v>0</v>
      </c>
      <c r="AL299" s="626">
        <f t="shared" si="379"/>
        <v>0</v>
      </c>
      <c r="AM299" s="626">
        <f t="shared" si="380"/>
        <v>0</v>
      </c>
      <c r="AN299" s="625">
        <f t="array" ref="AN299">IFERROR(INDEX('TB-EQUIPMENT &amp; OTHER HPs'!$Y$138:$Y$175,MATCH($E299&amp;$F299,'TB-EQUIPMENT &amp; OTHER HPs'!$E$138:$E$175&amp;'TB-EQUIPMENT &amp; OTHER HPs'!$I$138:$I$175,0)),0)</f>
        <v>0</v>
      </c>
      <c r="AO299" s="626">
        <f t="shared" si="381"/>
        <v>0</v>
      </c>
      <c r="AP299" s="626">
        <f t="shared" si="382"/>
        <v>0</v>
      </c>
      <c r="AQ299" s="626">
        <f t="shared" si="383"/>
        <v>0</v>
      </c>
      <c r="AR299" s="630"/>
      <c r="AS299" s="625">
        <f t="array" ref="AS299">IFERROR(INDEX('TB-EQUIPMENT &amp; OTHER HPs'!$AB$138:$AB$175,MATCH($E299&amp;$F299,'TB-EQUIPMENT &amp; OTHER HPs'!$E$138:$E$175&amp;'TB-EQUIPMENT &amp; OTHER HPs'!$I$138:$I$175,0)),0)</f>
        <v>0</v>
      </c>
      <c r="AT299" s="625">
        <f t="array" ref="AT299">IFERROR(INDEX('TB-EQUIPMENT &amp; OTHER HPs'!$AC$138:$AC$175,MATCH($E299&amp;$F299,'TB-EQUIPMENT &amp; OTHER HPs'!$E$138:$E$175&amp;'TB-EQUIPMENT &amp; OTHER HPs'!$I$138:$I$175,0)),0)</f>
        <v>0</v>
      </c>
      <c r="AU299" s="626">
        <f t="shared" si="384"/>
        <v>0</v>
      </c>
      <c r="AV299" s="626">
        <f t="shared" si="385"/>
        <v>0</v>
      </c>
      <c r="AW299" s="626">
        <f t="shared" si="386"/>
        <v>0</v>
      </c>
      <c r="AX299" s="625">
        <f t="array" ref="AX299">IFERROR(INDEX('TB-EQUIPMENT &amp; OTHER HPs'!$AD$138:$AD$175,MATCH($E299&amp;$F299,'TB-EQUIPMENT &amp; OTHER HPs'!$E$138:$E$175&amp;'TB-EQUIPMENT &amp; OTHER HPs'!$I$138:$I$175,0)),0)</f>
        <v>0</v>
      </c>
      <c r="AY299" s="626">
        <f t="shared" si="387"/>
        <v>0</v>
      </c>
      <c r="AZ299" s="626">
        <f t="shared" si="388"/>
        <v>0</v>
      </c>
      <c r="BA299" s="626">
        <f t="shared" si="389"/>
        <v>0</v>
      </c>
      <c r="BB299" s="625">
        <f t="array" ref="BB299">IFERROR(INDEX('TB-EQUIPMENT &amp; OTHER HPs'!$AE$138:$AE$175,MATCH($E299&amp;$F299,'TB-EQUIPMENT &amp; OTHER HPs'!$E$138:$E$175&amp;'TB-EQUIPMENT &amp; OTHER HPs'!$I$138:$I$175,0)),0)</f>
        <v>0</v>
      </c>
      <c r="BC299" s="626">
        <f t="shared" si="390"/>
        <v>0</v>
      </c>
      <c r="BD299" s="626">
        <f t="shared" si="391"/>
        <v>0</v>
      </c>
      <c r="BE299" s="626">
        <f t="shared" si="392"/>
        <v>0</v>
      </c>
      <c r="BF299" s="625">
        <f t="array" ref="BF299">IFERROR(INDEX('TB-EQUIPMENT &amp; OTHER HPs'!$AF$138:$AF$175,MATCH($E299&amp;$F299,'TB-EQUIPMENT &amp; OTHER HPs'!$E$138:$E$175&amp;'TB-EQUIPMENT &amp; OTHER HPs'!$I$138:$I$175,0)),0)</f>
        <v>0</v>
      </c>
      <c r="BG299" s="626">
        <f t="shared" si="393"/>
        <v>0</v>
      </c>
      <c r="BH299" s="626">
        <f t="shared" si="394"/>
        <v>0</v>
      </c>
      <c r="BI299" s="626">
        <f t="shared" si="395"/>
        <v>0</v>
      </c>
      <c r="BJ299" s="630"/>
      <c r="BK299" s="625"/>
      <c r="BL299" s="625"/>
      <c r="BM299" s="625"/>
      <c r="BN299" s="625"/>
      <c r="BO299" s="625"/>
      <c r="BP299" s="625"/>
      <c r="BQ299" s="625"/>
      <c r="BR299" s="625"/>
    </row>
    <row r="300" spans="1:70">
      <c r="A300" s="29" t="s">
        <v>1757</v>
      </c>
      <c r="B300" s="29" t="s">
        <v>1838</v>
      </c>
      <c r="C300" s="619">
        <f>SETUP!$F$44</f>
        <v>0</v>
      </c>
      <c r="D300" s="25">
        <v>6.6</v>
      </c>
      <c r="E300" s="26" t="s">
        <v>215</v>
      </c>
      <c r="F300" s="26" t="s">
        <v>201</v>
      </c>
      <c r="G300" s="625" t="str">
        <f t="array" ref="G300">IFERROR(INDEX('TB-EQUIPMENT &amp; OTHER HPs'!$L$138:$L$175,MATCH($E300&amp;$F300,'TB-EQUIPMENT &amp; OTHER HPs'!$E$138:$E$175&amp;'TB-EQUIPMENT &amp; OTHER HPs'!$I$138:$I$175,0)),"")</f>
        <v/>
      </c>
      <c r="H300" s="625" t="str">
        <f t="array" ref="H300">IFERROR(INDEX('TB-EQUIPMENT &amp; OTHER HPs'!$M$138:$M$175,MATCH($E300&amp;$F300,'TB-EQUIPMENT &amp; OTHER HPs'!$E$138:$E$175&amp;'TB-EQUIPMENT &amp; OTHER HPs'!$I$138:$I$175,0)),"")</f>
        <v/>
      </c>
      <c r="I300" s="625">
        <f t="array" ref="I300">IFERROR(INDEX('TB-EQUIPMENT &amp; OTHER HPs'!$N$138:$N$175,MATCH($E300&amp;$F300,'TB-EQUIPMENT &amp; OTHER HPs'!$E$138:$E$175&amp;'TB-EQUIPMENT &amp; OTHER HPs'!$I$138:$I$175,0)),0)</f>
        <v>0</v>
      </c>
      <c r="J300" s="625">
        <f t="array" ref="J300">IFERROR(INDEX('TB-EQUIPMENT &amp; OTHER HPs'!$O$138:$O$175,MATCH($E300&amp;$F300,'TB-EQUIPMENT &amp; OTHER HPs'!$E$138:$E$175&amp;'TB-EQUIPMENT &amp; OTHER HPs'!$I$138:$I$175,0)),0)</f>
        <v>0</v>
      </c>
      <c r="K300" s="626">
        <f t="shared" si="360"/>
        <v>0</v>
      </c>
      <c r="L300" s="626">
        <f t="shared" si="361"/>
        <v>0</v>
      </c>
      <c r="M300" s="626">
        <f t="shared" si="362"/>
        <v>0</v>
      </c>
      <c r="N300" s="625">
        <f t="array" ref="N300">IFERROR(INDEX('TB-EQUIPMENT &amp; OTHER HPs'!$P$138:$P$175,MATCH($E300&amp;$F300,'TB-EQUIPMENT &amp; OTHER HPs'!$E$138:$E$175&amp;'TB-EQUIPMENT &amp; OTHER HPs'!$I$138:$I$175,0)),0)</f>
        <v>0</v>
      </c>
      <c r="O300" s="626">
        <f t="shared" si="363"/>
        <v>0</v>
      </c>
      <c r="P300" s="626">
        <f t="shared" si="364"/>
        <v>0</v>
      </c>
      <c r="Q300" s="626">
        <f t="shared" si="365"/>
        <v>0</v>
      </c>
      <c r="R300" s="625">
        <f t="array" ref="R300">IFERROR(INDEX('TB-EQUIPMENT &amp; OTHER HPs'!$Q$138:$Q$175,MATCH($E300&amp;$F300,'TB-EQUIPMENT &amp; OTHER HPs'!$E$138:$E$175&amp;'TB-EQUIPMENT &amp; OTHER HPs'!$I$138:$I$175,0)),0)</f>
        <v>0</v>
      </c>
      <c r="S300" s="626">
        <f t="shared" si="366"/>
        <v>0</v>
      </c>
      <c r="T300" s="626">
        <f t="shared" si="367"/>
        <v>0</v>
      </c>
      <c r="U300" s="626">
        <f t="shared" si="368"/>
        <v>0</v>
      </c>
      <c r="V300" s="625">
        <f t="array" ref="V300">IFERROR(INDEX('TB-EQUIPMENT &amp; OTHER HPs'!$R$138:$R$175,MATCH($E300&amp;$F300,'TB-EQUIPMENT &amp; OTHER HPs'!$E$138:$E$175&amp;'TB-EQUIPMENT &amp; OTHER HPs'!$I$138:$I$175,0)),0)</f>
        <v>0</v>
      </c>
      <c r="W300" s="626">
        <f t="shared" si="369"/>
        <v>0</v>
      </c>
      <c r="X300" s="626">
        <f t="shared" si="370"/>
        <v>0</v>
      </c>
      <c r="Y300" s="626">
        <f t="shared" si="371"/>
        <v>0</v>
      </c>
      <c r="AA300" s="625">
        <f t="array" ref="AA300">IFERROR(INDEX('TB-EQUIPMENT &amp; OTHER HPs'!$U$138:$U$175,MATCH($E300&amp;$F300,'TB-EQUIPMENT &amp; OTHER HPs'!$E$138:$E$175&amp;'TB-EQUIPMENT &amp; OTHER HPs'!$I$138:$I$175,0)),0)</f>
        <v>0</v>
      </c>
      <c r="AB300" s="625">
        <f t="array" ref="AB300">IFERROR(INDEX('TB-EQUIPMENT &amp; OTHER HPs'!$V$138:$V$175,MATCH($E300&amp;$F300,'TB-EQUIPMENT &amp; OTHER HPs'!$E$138:$E$175&amp;'TB-EQUIPMENT &amp; OTHER HPs'!$I$138:$I$175,0)),0)</f>
        <v>0</v>
      </c>
      <c r="AC300" s="626">
        <f t="shared" si="372"/>
        <v>0</v>
      </c>
      <c r="AD300" s="626">
        <f t="shared" si="373"/>
        <v>0</v>
      </c>
      <c r="AE300" s="626">
        <f t="shared" si="374"/>
        <v>0</v>
      </c>
      <c r="AF300" s="625">
        <f t="array" ref="AF300">IFERROR(INDEX('TB-EQUIPMENT &amp; OTHER HPs'!$W$138:$W$175,MATCH($E300&amp;$F300,'TB-EQUIPMENT &amp; OTHER HPs'!$E$138:$E$175&amp;'TB-EQUIPMENT &amp; OTHER HPs'!$I$138:$I$175,0)),0)</f>
        <v>0</v>
      </c>
      <c r="AG300" s="626">
        <f t="shared" si="375"/>
        <v>0</v>
      </c>
      <c r="AH300" s="626">
        <f t="shared" si="376"/>
        <v>0</v>
      </c>
      <c r="AI300" s="626">
        <f t="shared" si="377"/>
        <v>0</v>
      </c>
      <c r="AJ300" s="625">
        <f t="array" ref="AJ300">IFERROR(INDEX('TB-EQUIPMENT &amp; OTHER HPs'!$X$138:$X$175,MATCH($E300&amp;$F300,'TB-EQUIPMENT &amp; OTHER HPs'!$E$138:$E$175&amp;'TB-EQUIPMENT &amp; OTHER HPs'!$I$138:$I$175,0)),0)</f>
        <v>0</v>
      </c>
      <c r="AK300" s="626">
        <f t="shared" si="378"/>
        <v>0</v>
      </c>
      <c r="AL300" s="626">
        <f t="shared" si="379"/>
        <v>0</v>
      </c>
      <c r="AM300" s="626">
        <f t="shared" si="380"/>
        <v>0</v>
      </c>
      <c r="AN300" s="625">
        <f t="array" ref="AN300">IFERROR(INDEX('TB-EQUIPMENT &amp; OTHER HPs'!$Y$138:$Y$175,MATCH($E300&amp;$F300,'TB-EQUIPMENT &amp; OTHER HPs'!$E$138:$E$175&amp;'TB-EQUIPMENT &amp; OTHER HPs'!$I$138:$I$175,0)),0)</f>
        <v>0</v>
      </c>
      <c r="AO300" s="626">
        <f t="shared" si="381"/>
        <v>0</v>
      </c>
      <c r="AP300" s="626">
        <f t="shared" si="382"/>
        <v>0</v>
      </c>
      <c r="AQ300" s="626">
        <f t="shared" si="383"/>
        <v>0</v>
      </c>
      <c r="AR300" s="630"/>
      <c r="AS300" s="625">
        <f t="array" ref="AS300">IFERROR(INDEX('TB-EQUIPMENT &amp; OTHER HPs'!$AB$138:$AB$175,MATCH($E300&amp;$F300,'TB-EQUIPMENT &amp; OTHER HPs'!$E$138:$E$175&amp;'TB-EQUIPMENT &amp; OTHER HPs'!$I$138:$I$175,0)),0)</f>
        <v>0</v>
      </c>
      <c r="AT300" s="625">
        <f t="array" ref="AT300">IFERROR(INDEX('TB-EQUIPMENT &amp; OTHER HPs'!$AC$138:$AC$175,MATCH($E300&amp;$F300,'TB-EQUIPMENT &amp; OTHER HPs'!$E$138:$E$175&amp;'TB-EQUIPMENT &amp; OTHER HPs'!$I$138:$I$175,0)),0)</f>
        <v>0</v>
      </c>
      <c r="AU300" s="626">
        <f t="shared" si="384"/>
        <v>0</v>
      </c>
      <c r="AV300" s="626">
        <f t="shared" si="385"/>
        <v>0</v>
      </c>
      <c r="AW300" s="626">
        <f t="shared" si="386"/>
        <v>0</v>
      </c>
      <c r="AX300" s="625">
        <f t="array" ref="AX300">IFERROR(INDEX('TB-EQUIPMENT &amp; OTHER HPs'!$AD$138:$AD$175,MATCH($E300&amp;$F300,'TB-EQUIPMENT &amp; OTHER HPs'!$E$138:$E$175&amp;'TB-EQUIPMENT &amp; OTHER HPs'!$I$138:$I$175,0)),0)</f>
        <v>0</v>
      </c>
      <c r="AY300" s="626">
        <f t="shared" si="387"/>
        <v>0</v>
      </c>
      <c r="AZ300" s="626">
        <f t="shared" si="388"/>
        <v>0</v>
      </c>
      <c r="BA300" s="626">
        <f t="shared" si="389"/>
        <v>0</v>
      </c>
      <c r="BB300" s="625">
        <f t="array" ref="BB300">IFERROR(INDEX('TB-EQUIPMENT &amp; OTHER HPs'!$AE$138:$AE$175,MATCH($E300&amp;$F300,'TB-EQUIPMENT &amp; OTHER HPs'!$E$138:$E$175&amp;'TB-EQUIPMENT &amp; OTHER HPs'!$I$138:$I$175,0)),0)</f>
        <v>0</v>
      </c>
      <c r="BC300" s="626">
        <f t="shared" si="390"/>
        <v>0</v>
      </c>
      <c r="BD300" s="626">
        <f t="shared" si="391"/>
        <v>0</v>
      </c>
      <c r="BE300" s="626">
        <f t="shared" si="392"/>
        <v>0</v>
      </c>
      <c r="BF300" s="625">
        <f t="array" ref="BF300">IFERROR(INDEX('TB-EQUIPMENT &amp; OTHER HPs'!$AF$138:$AF$175,MATCH($E300&amp;$F300,'TB-EQUIPMENT &amp; OTHER HPs'!$E$138:$E$175&amp;'TB-EQUIPMENT &amp; OTHER HPs'!$I$138:$I$175,0)),0)</f>
        <v>0</v>
      </c>
      <c r="BG300" s="626">
        <f t="shared" si="393"/>
        <v>0</v>
      </c>
      <c r="BH300" s="626">
        <f t="shared" si="394"/>
        <v>0</v>
      </c>
      <c r="BI300" s="626">
        <f t="shared" si="395"/>
        <v>0</v>
      </c>
      <c r="BJ300" s="630"/>
      <c r="BK300" s="625"/>
      <c r="BL300" s="625"/>
      <c r="BM300" s="625"/>
      <c r="BN300" s="625"/>
      <c r="BO300" s="625"/>
      <c r="BP300" s="625"/>
      <c r="BQ300" s="625"/>
      <c r="BR300" s="625"/>
    </row>
    <row r="301" spans="1:70">
      <c r="A301" s="29" t="s">
        <v>1757</v>
      </c>
      <c r="B301" s="29" t="s">
        <v>1838</v>
      </c>
      <c r="C301" s="619">
        <f>SETUP!$F$44</f>
        <v>0</v>
      </c>
      <c r="D301" s="25">
        <v>6.6</v>
      </c>
      <c r="E301" s="26" t="s">
        <v>215</v>
      </c>
      <c r="F301" s="26" t="s">
        <v>200</v>
      </c>
      <c r="G301" s="625" t="str">
        <f t="array" ref="G301">IFERROR(INDEX('TB-EQUIPMENT &amp; OTHER HPs'!$L$138:$L$175,MATCH($E301&amp;$F301,'TB-EQUIPMENT &amp; OTHER HPs'!$E$138:$E$175&amp;'TB-EQUIPMENT &amp; OTHER HPs'!$I$138:$I$175,0)),"")</f>
        <v/>
      </c>
      <c r="H301" s="625" t="str">
        <f t="array" ref="H301">IFERROR(INDEX('TB-EQUIPMENT &amp; OTHER HPs'!$M$138:$M$175,MATCH($E301&amp;$F301,'TB-EQUIPMENT &amp; OTHER HPs'!$E$138:$E$175&amp;'TB-EQUIPMENT &amp; OTHER HPs'!$I$138:$I$175,0)),"")</f>
        <v/>
      </c>
      <c r="I301" s="625">
        <f t="array" ref="I301">IFERROR(INDEX('TB-EQUIPMENT &amp; OTHER HPs'!$N$138:$N$175,MATCH($E301&amp;$F301,'TB-EQUIPMENT &amp; OTHER HPs'!$E$138:$E$175&amp;'TB-EQUIPMENT &amp; OTHER HPs'!$I$138:$I$175,0)),0)</f>
        <v>0</v>
      </c>
      <c r="J301" s="625">
        <f t="array" ref="J301">IFERROR(INDEX('TB-EQUIPMENT &amp; OTHER HPs'!$O$138:$O$175,MATCH($E301&amp;$F301,'TB-EQUIPMENT &amp; OTHER HPs'!$E$138:$E$175&amp;'TB-EQUIPMENT &amp; OTHER HPs'!$I$138:$I$175,0)),0)</f>
        <v>0</v>
      </c>
      <c r="K301" s="626">
        <f t="shared" si="360"/>
        <v>0</v>
      </c>
      <c r="L301" s="626">
        <f t="shared" si="361"/>
        <v>0</v>
      </c>
      <c r="M301" s="626">
        <f t="shared" si="362"/>
        <v>0</v>
      </c>
      <c r="N301" s="625">
        <f t="array" ref="N301">IFERROR(INDEX('TB-EQUIPMENT &amp; OTHER HPs'!$P$138:$P$175,MATCH($E301&amp;$F301,'TB-EQUIPMENT &amp; OTHER HPs'!$E$138:$E$175&amp;'TB-EQUIPMENT &amp; OTHER HPs'!$I$138:$I$175,0)),0)</f>
        <v>0</v>
      </c>
      <c r="O301" s="626">
        <f t="shared" si="363"/>
        <v>0</v>
      </c>
      <c r="P301" s="626">
        <f t="shared" si="364"/>
        <v>0</v>
      </c>
      <c r="Q301" s="626">
        <f t="shared" si="365"/>
        <v>0</v>
      </c>
      <c r="R301" s="625">
        <f t="array" ref="R301">IFERROR(INDEX('TB-EQUIPMENT &amp; OTHER HPs'!$Q$138:$Q$175,MATCH($E301&amp;$F301,'TB-EQUIPMENT &amp; OTHER HPs'!$E$138:$E$175&amp;'TB-EQUIPMENT &amp; OTHER HPs'!$I$138:$I$175,0)),0)</f>
        <v>0</v>
      </c>
      <c r="S301" s="626">
        <f t="shared" si="366"/>
        <v>0</v>
      </c>
      <c r="T301" s="626">
        <f t="shared" si="367"/>
        <v>0</v>
      </c>
      <c r="U301" s="626">
        <f t="shared" si="368"/>
        <v>0</v>
      </c>
      <c r="V301" s="625">
        <f t="array" ref="V301">IFERROR(INDEX('TB-EQUIPMENT &amp; OTHER HPs'!$R$138:$R$175,MATCH($E301&amp;$F301,'TB-EQUIPMENT &amp; OTHER HPs'!$E$138:$E$175&amp;'TB-EQUIPMENT &amp; OTHER HPs'!$I$138:$I$175,0)),0)</f>
        <v>0</v>
      </c>
      <c r="W301" s="626">
        <f t="shared" si="369"/>
        <v>0</v>
      </c>
      <c r="X301" s="626">
        <f t="shared" si="370"/>
        <v>0</v>
      </c>
      <c r="Y301" s="626">
        <f t="shared" si="371"/>
        <v>0</v>
      </c>
      <c r="AA301" s="625">
        <f t="array" ref="AA301">IFERROR(INDEX('TB-EQUIPMENT &amp; OTHER HPs'!$U$138:$U$175,MATCH($E301&amp;$F301,'TB-EQUIPMENT &amp; OTHER HPs'!$E$138:$E$175&amp;'TB-EQUIPMENT &amp; OTHER HPs'!$I$138:$I$175,0)),0)</f>
        <v>0</v>
      </c>
      <c r="AB301" s="625">
        <f t="array" ref="AB301">IFERROR(INDEX('TB-EQUIPMENT &amp; OTHER HPs'!$V$138:$V$175,MATCH($E301&amp;$F301,'TB-EQUIPMENT &amp; OTHER HPs'!$E$138:$E$175&amp;'TB-EQUIPMENT &amp; OTHER HPs'!$I$138:$I$175,0)),0)</f>
        <v>0</v>
      </c>
      <c r="AC301" s="626">
        <f t="shared" si="372"/>
        <v>0</v>
      </c>
      <c r="AD301" s="626">
        <f t="shared" si="373"/>
        <v>0</v>
      </c>
      <c r="AE301" s="626">
        <f t="shared" si="374"/>
        <v>0</v>
      </c>
      <c r="AF301" s="625">
        <f t="array" ref="AF301">IFERROR(INDEX('TB-EQUIPMENT &amp; OTHER HPs'!$W$138:$W$175,MATCH($E301&amp;$F301,'TB-EQUIPMENT &amp; OTHER HPs'!$E$138:$E$175&amp;'TB-EQUIPMENT &amp; OTHER HPs'!$I$138:$I$175,0)),0)</f>
        <v>0</v>
      </c>
      <c r="AG301" s="626">
        <f t="shared" si="375"/>
        <v>0</v>
      </c>
      <c r="AH301" s="626">
        <f t="shared" si="376"/>
        <v>0</v>
      </c>
      <c r="AI301" s="626">
        <f t="shared" si="377"/>
        <v>0</v>
      </c>
      <c r="AJ301" s="625">
        <f t="array" ref="AJ301">IFERROR(INDEX('TB-EQUIPMENT &amp; OTHER HPs'!$X$138:$X$175,MATCH($E301&amp;$F301,'TB-EQUIPMENT &amp; OTHER HPs'!$E$138:$E$175&amp;'TB-EQUIPMENT &amp; OTHER HPs'!$I$138:$I$175,0)),0)</f>
        <v>0</v>
      </c>
      <c r="AK301" s="626">
        <f t="shared" si="378"/>
        <v>0</v>
      </c>
      <c r="AL301" s="626">
        <f t="shared" si="379"/>
        <v>0</v>
      </c>
      <c r="AM301" s="626">
        <f t="shared" si="380"/>
        <v>0</v>
      </c>
      <c r="AN301" s="625">
        <f t="array" ref="AN301">IFERROR(INDEX('TB-EQUIPMENT &amp; OTHER HPs'!$Y$138:$Y$175,MATCH($E301&amp;$F301,'TB-EQUIPMENT &amp; OTHER HPs'!$E$138:$E$175&amp;'TB-EQUIPMENT &amp; OTHER HPs'!$I$138:$I$175,0)),0)</f>
        <v>0</v>
      </c>
      <c r="AO301" s="626">
        <f t="shared" si="381"/>
        <v>0</v>
      </c>
      <c r="AP301" s="626">
        <f t="shared" si="382"/>
        <v>0</v>
      </c>
      <c r="AQ301" s="626">
        <f t="shared" si="383"/>
        <v>0</v>
      </c>
      <c r="AR301" s="630"/>
      <c r="AS301" s="625">
        <f t="array" ref="AS301">IFERROR(INDEX('TB-EQUIPMENT &amp; OTHER HPs'!$AB$138:$AB$175,MATCH($E301&amp;$F301,'TB-EQUIPMENT &amp; OTHER HPs'!$E$138:$E$175&amp;'TB-EQUIPMENT &amp; OTHER HPs'!$I$138:$I$175,0)),0)</f>
        <v>0</v>
      </c>
      <c r="AT301" s="625">
        <f t="array" ref="AT301">IFERROR(INDEX('TB-EQUIPMENT &amp; OTHER HPs'!$AC$138:$AC$175,MATCH($E301&amp;$F301,'TB-EQUIPMENT &amp; OTHER HPs'!$E$138:$E$175&amp;'TB-EQUIPMENT &amp; OTHER HPs'!$I$138:$I$175,0)),0)</f>
        <v>0</v>
      </c>
      <c r="AU301" s="626">
        <f t="shared" si="384"/>
        <v>0</v>
      </c>
      <c r="AV301" s="626">
        <f t="shared" si="385"/>
        <v>0</v>
      </c>
      <c r="AW301" s="626">
        <f t="shared" si="386"/>
        <v>0</v>
      </c>
      <c r="AX301" s="625">
        <f t="array" ref="AX301">IFERROR(INDEX('TB-EQUIPMENT &amp; OTHER HPs'!$AD$138:$AD$175,MATCH($E301&amp;$F301,'TB-EQUIPMENT &amp; OTHER HPs'!$E$138:$E$175&amp;'TB-EQUIPMENT &amp; OTHER HPs'!$I$138:$I$175,0)),0)</f>
        <v>0</v>
      </c>
      <c r="AY301" s="626">
        <f t="shared" si="387"/>
        <v>0</v>
      </c>
      <c r="AZ301" s="626">
        <f t="shared" si="388"/>
        <v>0</v>
      </c>
      <c r="BA301" s="626">
        <f t="shared" si="389"/>
        <v>0</v>
      </c>
      <c r="BB301" s="625">
        <f t="array" ref="BB301">IFERROR(INDEX('TB-EQUIPMENT &amp; OTHER HPs'!$AE$138:$AE$175,MATCH($E301&amp;$F301,'TB-EQUIPMENT &amp; OTHER HPs'!$E$138:$E$175&amp;'TB-EQUIPMENT &amp; OTHER HPs'!$I$138:$I$175,0)),0)</f>
        <v>0</v>
      </c>
      <c r="BC301" s="626">
        <f t="shared" si="390"/>
        <v>0</v>
      </c>
      <c r="BD301" s="626">
        <f t="shared" si="391"/>
        <v>0</v>
      </c>
      <c r="BE301" s="626">
        <f t="shared" si="392"/>
        <v>0</v>
      </c>
      <c r="BF301" s="625">
        <f t="array" ref="BF301">IFERROR(INDEX('TB-EQUIPMENT &amp; OTHER HPs'!$AF$138:$AF$175,MATCH($E301&amp;$F301,'TB-EQUIPMENT &amp; OTHER HPs'!$E$138:$E$175&amp;'TB-EQUIPMENT &amp; OTHER HPs'!$I$138:$I$175,0)),0)</f>
        <v>0</v>
      </c>
      <c r="BG301" s="626">
        <f t="shared" si="393"/>
        <v>0</v>
      </c>
      <c r="BH301" s="626">
        <f t="shared" si="394"/>
        <v>0</v>
      </c>
      <c r="BI301" s="626">
        <f t="shared" si="395"/>
        <v>0</v>
      </c>
      <c r="BJ301" s="630"/>
      <c r="BK301" s="625"/>
      <c r="BL301" s="625"/>
      <c r="BM301" s="625"/>
      <c r="BN301" s="625"/>
      <c r="BO301" s="625"/>
      <c r="BP301" s="625"/>
      <c r="BQ301" s="625"/>
      <c r="BR301" s="625"/>
    </row>
    <row r="302" spans="1:70">
      <c r="A302" s="29" t="s">
        <v>1757</v>
      </c>
      <c r="B302" s="29" t="s">
        <v>1838</v>
      </c>
      <c r="C302" s="619">
        <f>SETUP!$F$44</f>
        <v>0</v>
      </c>
      <c r="D302" s="25">
        <v>6.6</v>
      </c>
      <c r="E302" s="26" t="s">
        <v>216</v>
      </c>
      <c r="F302" s="26" t="s">
        <v>201</v>
      </c>
      <c r="G302" s="625" t="str">
        <f t="array" ref="G302">IFERROR(INDEX('TB-EQUIPMENT &amp; OTHER HPs'!$L$138:$L$175,MATCH($E302&amp;$F302,'TB-EQUIPMENT &amp; OTHER HPs'!$E$138:$E$175&amp;'TB-EQUIPMENT &amp; OTHER HPs'!$I$138:$I$175,0)),"")</f>
        <v/>
      </c>
      <c r="H302" s="625" t="str">
        <f t="array" ref="H302">IFERROR(INDEX('TB-EQUIPMENT &amp; OTHER HPs'!$M$138:$M$175,MATCH($E302&amp;$F302,'TB-EQUIPMENT &amp; OTHER HPs'!$E$138:$E$175&amp;'TB-EQUIPMENT &amp; OTHER HPs'!$I$138:$I$175,0)),"")</f>
        <v/>
      </c>
      <c r="I302" s="625">
        <f t="array" ref="I302">IFERROR(INDEX('TB-EQUIPMENT &amp; OTHER HPs'!$N$138:$N$175,MATCH($E302&amp;$F302,'TB-EQUIPMENT &amp; OTHER HPs'!$E$138:$E$175&amp;'TB-EQUIPMENT &amp; OTHER HPs'!$I$138:$I$175,0)),0)</f>
        <v>0</v>
      </c>
      <c r="J302" s="625">
        <f t="array" ref="J302">IFERROR(INDEX('TB-EQUIPMENT &amp; OTHER HPs'!$O$138:$O$175,MATCH($E302&amp;$F302,'TB-EQUIPMENT &amp; OTHER HPs'!$E$138:$E$175&amp;'TB-EQUIPMENT &amp; OTHER HPs'!$I$138:$I$175,0)),0)</f>
        <v>0</v>
      </c>
      <c r="K302" s="626">
        <f t="shared" si="360"/>
        <v>0</v>
      </c>
      <c r="L302" s="626">
        <f t="shared" si="361"/>
        <v>0</v>
      </c>
      <c r="M302" s="626">
        <f t="shared" si="362"/>
        <v>0</v>
      </c>
      <c r="N302" s="625">
        <f t="array" ref="N302">IFERROR(INDEX('TB-EQUIPMENT &amp; OTHER HPs'!$P$138:$P$175,MATCH($E302&amp;$F302,'TB-EQUIPMENT &amp; OTHER HPs'!$E$138:$E$175&amp;'TB-EQUIPMENT &amp; OTHER HPs'!$I$138:$I$175,0)),0)</f>
        <v>0</v>
      </c>
      <c r="O302" s="626">
        <f t="shared" si="363"/>
        <v>0</v>
      </c>
      <c r="P302" s="626">
        <f t="shared" si="364"/>
        <v>0</v>
      </c>
      <c r="Q302" s="626">
        <f t="shared" si="365"/>
        <v>0</v>
      </c>
      <c r="R302" s="625">
        <f t="array" ref="R302">IFERROR(INDEX('TB-EQUIPMENT &amp; OTHER HPs'!$Q$138:$Q$175,MATCH($E302&amp;$F302,'TB-EQUIPMENT &amp; OTHER HPs'!$E$138:$E$175&amp;'TB-EQUIPMENT &amp; OTHER HPs'!$I$138:$I$175,0)),0)</f>
        <v>0</v>
      </c>
      <c r="S302" s="626">
        <f t="shared" si="366"/>
        <v>0</v>
      </c>
      <c r="T302" s="626">
        <f t="shared" si="367"/>
        <v>0</v>
      </c>
      <c r="U302" s="626">
        <f t="shared" si="368"/>
        <v>0</v>
      </c>
      <c r="V302" s="625">
        <f t="array" ref="V302">IFERROR(INDEX('TB-EQUIPMENT &amp; OTHER HPs'!$R$138:$R$175,MATCH($E302&amp;$F302,'TB-EQUIPMENT &amp; OTHER HPs'!$E$138:$E$175&amp;'TB-EQUIPMENT &amp; OTHER HPs'!$I$138:$I$175,0)),0)</f>
        <v>0</v>
      </c>
      <c r="W302" s="626">
        <f t="shared" si="369"/>
        <v>0</v>
      </c>
      <c r="X302" s="626">
        <f t="shared" si="370"/>
        <v>0</v>
      </c>
      <c r="Y302" s="626">
        <f t="shared" si="371"/>
        <v>0</v>
      </c>
      <c r="AA302" s="625">
        <f t="array" ref="AA302">IFERROR(INDEX('TB-EQUIPMENT &amp; OTHER HPs'!$U$138:$U$175,MATCH($E302&amp;$F302,'TB-EQUIPMENT &amp; OTHER HPs'!$E$138:$E$175&amp;'TB-EQUIPMENT &amp; OTHER HPs'!$I$138:$I$175,0)),0)</f>
        <v>0</v>
      </c>
      <c r="AB302" s="625">
        <f t="array" ref="AB302">IFERROR(INDEX('TB-EQUIPMENT &amp; OTHER HPs'!$V$138:$V$175,MATCH($E302&amp;$F302,'TB-EQUIPMENT &amp; OTHER HPs'!$E$138:$E$175&amp;'TB-EQUIPMENT &amp; OTHER HPs'!$I$138:$I$175,0)),0)</f>
        <v>0</v>
      </c>
      <c r="AC302" s="626">
        <f t="shared" si="372"/>
        <v>0</v>
      </c>
      <c r="AD302" s="626">
        <f t="shared" si="373"/>
        <v>0</v>
      </c>
      <c r="AE302" s="626">
        <f t="shared" si="374"/>
        <v>0</v>
      </c>
      <c r="AF302" s="625">
        <f t="array" ref="AF302">IFERROR(INDEX('TB-EQUIPMENT &amp; OTHER HPs'!$W$138:$W$175,MATCH($E302&amp;$F302,'TB-EQUIPMENT &amp; OTHER HPs'!$E$138:$E$175&amp;'TB-EQUIPMENT &amp; OTHER HPs'!$I$138:$I$175,0)),0)</f>
        <v>0</v>
      </c>
      <c r="AG302" s="626">
        <f t="shared" si="375"/>
        <v>0</v>
      </c>
      <c r="AH302" s="626">
        <f t="shared" si="376"/>
        <v>0</v>
      </c>
      <c r="AI302" s="626">
        <f t="shared" si="377"/>
        <v>0</v>
      </c>
      <c r="AJ302" s="625">
        <f t="array" ref="AJ302">IFERROR(INDEX('TB-EQUIPMENT &amp; OTHER HPs'!$X$138:$X$175,MATCH($E302&amp;$F302,'TB-EQUIPMENT &amp; OTHER HPs'!$E$138:$E$175&amp;'TB-EQUIPMENT &amp; OTHER HPs'!$I$138:$I$175,0)),0)</f>
        <v>0</v>
      </c>
      <c r="AK302" s="626">
        <f t="shared" si="378"/>
        <v>0</v>
      </c>
      <c r="AL302" s="626">
        <f t="shared" si="379"/>
        <v>0</v>
      </c>
      <c r="AM302" s="626">
        <f t="shared" si="380"/>
        <v>0</v>
      </c>
      <c r="AN302" s="625">
        <f t="array" ref="AN302">IFERROR(INDEX('TB-EQUIPMENT &amp; OTHER HPs'!$Y$138:$Y$175,MATCH($E302&amp;$F302,'TB-EQUIPMENT &amp; OTHER HPs'!$E$138:$E$175&amp;'TB-EQUIPMENT &amp; OTHER HPs'!$I$138:$I$175,0)),0)</f>
        <v>0</v>
      </c>
      <c r="AO302" s="626">
        <f t="shared" si="381"/>
        <v>0</v>
      </c>
      <c r="AP302" s="626">
        <f t="shared" si="382"/>
        <v>0</v>
      </c>
      <c r="AQ302" s="626">
        <f t="shared" si="383"/>
        <v>0</v>
      </c>
      <c r="AR302" s="630"/>
      <c r="AS302" s="625">
        <f t="array" ref="AS302">IFERROR(INDEX('TB-EQUIPMENT &amp; OTHER HPs'!$AB$138:$AB$175,MATCH($E302&amp;$F302,'TB-EQUIPMENT &amp; OTHER HPs'!$E$138:$E$175&amp;'TB-EQUIPMENT &amp; OTHER HPs'!$I$138:$I$175,0)),0)</f>
        <v>0</v>
      </c>
      <c r="AT302" s="625">
        <f t="array" ref="AT302">IFERROR(INDEX('TB-EQUIPMENT &amp; OTHER HPs'!$AC$138:$AC$175,MATCH($E302&amp;$F302,'TB-EQUIPMENT &amp; OTHER HPs'!$E$138:$E$175&amp;'TB-EQUIPMENT &amp; OTHER HPs'!$I$138:$I$175,0)),0)</f>
        <v>0</v>
      </c>
      <c r="AU302" s="626">
        <f t="shared" si="384"/>
        <v>0</v>
      </c>
      <c r="AV302" s="626">
        <f t="shared" si="385"/>
        <v>0</v>
      </c>
      <c r="AW302" s="626">
        <f t="shared" si="386"/>
        <v>0</v>
      </c>
      <c r="AX302" s="625">
        <f t="array" ref="AX302">IFERROR(INDEX('TB-EQUIPMENT &amp; OTHER HPs'!$AD$138:$AD$175,MATCH($E302&amp;$F302,'TB-EQUIPMENT &amp; OTHER HPs'!$E$138:$E$175&amp;'TB-EQUIPMENT &amp; OTHER HPs'!$I$138:$I$175,0)),0)</f>
        <v>0</v>
      </c>
      <c r="AY302" s="626">
        <f t="shared" si="387"/>
        <v>0</v>
      </c>
      <c r="AZ302" s="626">
        <f t="shared" si="388"/>
        <v>0</v>
      </c>
      <c r="BA302" s="626">
        <f t="shared" si="389"/>
        <v>0</v>
      </c>
      <c r="BB302" s="625">
        <f t="array" ref="BB302">IFERROR(INDEX('TB-EQUIPMENT &amp; OTHER HPs'!$AE$138:$AE$175,MATCH($E302&amp;$F302,'TB-EQUIPMENT &amp; OTHER HPs'!$E$138:$E$175&amp;'TB-EQUIPMENT &amp; OTHER HPs'!$I$138:$I$175,0)),0)</f>
        <v>0</v>
      </c>
      <c r="BC302" s="626">
        <f t="shared" si="390"/>
        <v>0</v>
      </c>
      <c r="BD302" s="626">
        <f t="shared" si="391"/>
        <v>0</v>
      </c>
      <c r="BE302" s="626">
        <f t="shared" si="392"/>
        <v>0</v>
      </c>
      <c r="BF302" s="625">
        <f t="array" ref="BF302">IFERROR(INDEX('TB-EQUIPMENT &amp; OTHER HPs'!$AF$138:$AF$175,MATCH($E302&amp;$F302,'TB-EQUIPMENT &amp; OTHER HPs'!$E$138:$E$175&amp;'TB-EQUIPMENT &amp; OTHER HPs'!$I$138:$I$175,0)),0)</f>
        <v>0</v>
      </c>
      <c r="BG302" s="626">
        <f t="shared" si="393"/>
        <v>0</v>
      </c>
      <c r="BH302" s="626">
        <f t="shared" si="394"/>
        <v>0</v>
      </c>
      <c r="BI302" s="626">
        <f t="shared" si="395"/>
        <v>0</v>
      </c>
      <c r="BJ302" s="630"/>
      <c r="BK302" s="625"/>
      <c r="BL302" s="625"/>
      <c r="BM302" s="625"/>
      <c r="BN302" s="625"/>
      <c r="BO302" s="625"/>
      <c r="BP302" s="625"/>
      <c r="BQ302" s="625"/>
      <c r="BR302" s="625"/>
    </row>
    <row r="303" spans="1:70">
      <c r="A303" s="29" t="s">
        <v>1757</v>
      </c>
      <c r="B303" s="29" t="s">
        <v>1838</v>
      </c>
      <c r="C303" s="619">
        <f>SETUP!$F$44</f>
        <v>0</v>
      </c>
      <c r="D303" s="25">
        <v>6.6</v>
      </c>
      <c r="E303" s="26" t="s">
        <v>216</v>
      </c>
      <c r="F303" s="26" t="s">
        <v>200</v>
      </c>
      <c r="G303" s="625" t="str">
        <f t="array" ref="G303">IFERROR(INDEX('TB-EQUIPMENT &amp; OTHER HPs'!$L$138:$L$175,MATCH($E303&amp;$F303,'TB-EQUIPMENT &amp; OTHER HPs'!$E$138:$E$175&amp;'TB-EQUIPMENT &amp; OTHER HPs'!$I$138:$I$175,0)),"")</f>
        <v/>
      </c>
      <c r="H303" s="625" t="str">
        <f t="array" ref="H303">IFERROR(INDEX('TB-EQUIPMENT &amp; OTHER HPs'!$M$138:$M$175,MATCH($E303&amp;$F303,'TB-EQUIPMENT &amp; OTHER HPs'!$E$138:$E$175&amp;'TB-EQUIPMENT &amp; OTHER HPs'!$I$138:$I$175,0)),"")</f>
        <v/>
      </c>
      <c r="I303" s="625">
        <f t="array" ref="I303">IFERROR(INDEX('TB-EQUIPMENT &amp; OTHER HPs'!$N$138:$N$175,MATCH($E303&amp;$F303,'TB-EQUIPMENT &amp; OTHER HPs'!$E$138:$E$175&amp;'TB-EQUIPMENT &amp; OTHER HPs'!$I$138:$I$175,0)),0)</f>
        <v>0</v>
      </c>
      <c r="J303" s="625">
        <f t="array" ref="J303">IFERROR(INDEX('TB-EQUIPMENT &amp; OTHER HPs'!$O$138:$O$175,MATCH($E303&amp;$F303,'TB-EQUIPMENT &amp; OTHER HPs'!$E$138:$E$175&amp;'TB-EQUIPMENT &amp; OTHER HPs'!$I$138:$I$175,0)),0)</f>
        <v>0</v>
      </c>
      <c r="K303" s="626">
        <f t="shared" si="360"/>
        <v>0</v>
      </c>
      <c r="L303" s="626">
        <f t="shared" si="361"/>
        <v>0</v>
      </c>
      <c r="M303" s="626">
        <f t="shared" si="362"/>
        <v>0</v>
      </c>
      <c r="N303" s="625">
        <f t="array" ref="N303">IFERROR(INDEX('TB-EQUIPMENT &amp; OTHER HPs'!$P$138:$P$175,MATCH($E303&amp;$F303,'TB-EQUIPMENT &amp; OTHER HPs'!$E$138:$E$175&amp;'TB-EQUIPMENT &amp; OTHER HPs'!$I$138:$I$175,0)),0)</f>
        <v>0</v>
      </c>
      <c r="O303" s="626">
        <f t="shared" si="363"/>
        <v>0</v>
      </c>
      <c r="P303" s="626">
        <f t="shared" si="364"/>
        <v>0</v>
      </c>
      <c r="Q303" s="626">
        <f t="shared" si="365"/>
        <v>0</v>
      </c>
      <c r="R303" s="625">
        <f t="array" ref="R303">IFERROR(INDEX('TB-EQUIPMENT &amp; OTHER HPs'!$Q$138:$Q$175,MATCH($E303&amp;$F303,'TB-EQUIPMENT &amp; OTHER HPs'!$E$138:$E$175&amp;'TB-EQUIPMENT &amp; OTHER HPs'!$I$138:$I$175,0)),0)</f>
        <v>0</v>
      </c>
      <c r="S303" s="626">
        <f t="shared" si="366"/>
        <v>0</v>
      </c>
      <c r="T303" s="626">
        <f t="shared" si="367"/>
        <v>0</v>
      </c>
      <c r="U303" s="626">
        <f t="shared" si="368"/>
        <v>0</v>
      </c>
      <c r="V303" s="625">
        <f t="array" ref="V303">IFERROR(INDEX('TB-EQUIPMENT &amp; OTHER HPs'!$R$138:$R$175,MATCH($E303&amp;$F303,'TB-EQUIPMENT &amp; OTHER HPs'!$E$138:$E$175&amp;'TB-EQUIPMENT &amp; OTHER HPs'!$I$138:$I$175,0)),0)</f>
        <v>0</v>
      </c>
      <c r="W303" s="626">
        <f t="shared" si="369"/>
        <v>0</v>
      </c>
      <c r="X303" s="626">
        <f t="shared" si="370"/>
        <v>0</v>
      </c>
      <c r="Y303" s="626">
        <f t="shared" si="371"/>
        <v>0</v>
      </c>
      <c r="AA303" s="625">
        <f t="array" ref="AA303">IFERROR(INDEX('TB-EQUIPMENT &amp; OTHER HPs'!$U$138:$U$175,MATCH($E303&amp;$F303,'TB-EQUIPMENT &amp; OTHER HPs'!$E$138:$E$175&amp;'TB-EQUIPMENT &amp; OTHER HPs'!$I$138:$I$175,0)),0)</f>
        <v>0</v>
      </c>
      <c r="AB303" s="625">
        <f t="array" ref="AB303">IFERROR(INDEX('TB-EQUIPMENT &amp; OTHER HPs'!$V$138:$V$175,MATCH($E303&amp;$F303,'TB-EQUIPMENT &amp; OTHER HPs'!$E$138:$E$175&amp;'TB-EQUIPMENT &amp; OTHER HPs'!$I$138:$I$175,0)),0)</f>
        <v>0</v>
      </c>
      <c r="AC303" s="626">
        <f t="shared" si="372"/>
        <v>0</v>
      </c>
      <c r="AD303" s="626">
        <f t="shared" si="373"/>
        <v>0</v>
      </c>
      <c r="AE303" s="626">
        <f t="shared" si="374"/>
        <v>0</v>
      </c>
      <c r="AF303" s="625">
        <f t="array" ref="AF303">IFERROR(INDEX('TB-EQUIPMENT &amp; OTHER HPs'!$W$138:$W$175,MATCH($E303&amp;$F303,'TB-EQUIPMENT &amp; OTHER HPs'!$E$138:$E$175&amp;'TB-EQUIPMENT &amp; OTHER HPs'!$I$138:$I$175,0)),0)</f>
        <v>0</v>
      </c>
      <c r="AG303" s="626">
        <f t="shared" si="375"/>
        <v>0</v>
      </c>
      <c r="AH303" s="626">
        <f t="shared" si="376"/>
        <v>0</v>
      </c>
      <c r="AI303" s="626">
        <f t="shared" si="377"/>
        <v>0</v>
      </c>
      <c r="AJ303" s="625">
        <f t="array" ref="AJ303">IFERROR(INDEX('TB-EQUIPMENT &amp; OTHER HPs'!$X$138:$X$175,MATCH($E303&amp;$F303,'TB-EQUIPMENT &amp; OTHER HPs'!$E$138:$E$175&amp;'TB-EQUIPMENT &amp; OTHER HPs'!$I$138:$I$175,0)),0)</f>
        <v>0</v>
      </c>
      <c r="AK303" s="626">
        <f t="shared" si="378"/>
        <v>0</v>
      </c>
      <c r="AL303" s="626">
        <f t="shared" si="379"/>
        <v>0</v>
      </c>
      <c r="AM303" s="626">
        <f t="shared" si="380"/>
        <v>0</v>
      </c>
      <c r="AN303" s="625">
        <f t="array" ref="AN303">IFERROR(INDEX('TB-EQUIPMENT &amp; OTHER HPs'!$Y$138:$Y$175,MATCH($E303&amp;$F303,'TB-EQUIPMENT &amp; OTHER HPs'!$E$138:$E$175&amp;'TB-EQUIPMENT &amp; OTHER HPs'!$I$138:$I$175,0)),0)</f>
        <v>0</v>
      </c>
      <c r="AO303" s="626">
        <f t="shared" si="381"/>
        <v>0</v>
      </c>
      <c r="AP303" s="626">
        <f t="shared" si="382"/>
        <v>0</v>
      </c>
      <c r="AQ303" s="626">
        <f t="shared" si="383"/>
        <v>0</v>
      </c>
      <c r="AR303" s="630"/>
      <c r="AS303" s="625">
        <f t="array" ref="AS303">IFERROR(INDEX('TB-EQUIPMENT &amp; OTHER HPs'!$AB$138:$AB$175,MATCH($E303&amp;$F303,'TB-EQUIPMENT &amp; OTHER HPs'!$E$138:$E$175&amp;'TB-EQUIPMENT &amp; OTHER HPs'!$I$138:$I$175,0)),0)</f>
        <v>0</v>
      </c>
      <c r="AT303" s="625">
        <f t="array" ref="AT303">IFERROR(INDEX('TB-EQUIPMENT &amp; OTHER HPs'!$AC$138:$AC$175,MATCH($E303&amp;$F303,'TB-EQUIPMENT &amp; OTHER HPs'!$E$138:$E$175&amp;'TB-EQUIPMENT &amp; OTHER HPs'!$I$138:$I$175,0)),0)</f>
        <v>0</v>
      </c>
      <c r="AU303" s="626">
        <f t="shared" si="384"/>
        <v>0</v>
      </c>
      <c r="AV303" s="626">
        <f t="shared" si="385"/>
        <v>0</v>
      </c>
      <c r="AW303" s="626">
        <f t="shared" si="386"/>
        <v>0</v>
      </c>
      <c r="AX303" s="625">
        <f t="array" ref="AX303">IFERROR(INDEX('TB-EQUIPMENT &amp; OTHER HPs'!$AD$138:$AD$175,MATCH($E303&amp;$F303,'TB-EQUIPMENT &amp; OTHER HPs'!$E$138:$E$175&amp;'TB-EQUIPMENT &amp; OTHER HPs'!$I$138:$I$175,0)),0)</f>
        <v>0</v>
      </c>
      <c r="AY303" s="626">
        <f t="shared" si="387"/>
        <v>0</v>
      </c>
      <c r="AZ303" s="626">
        <f t="shared" si="388"/>
        <v>0</v>
      </c>
      <c r="BA303" s="626">
        <f t="shared" si="389"/>
        <v>0</v>
      </c>
      <c r="BB303" s="625">
        <f t="array" ref="BB303">IFERROR(INDEX('TB-EQUIPMENT &amp; OTHER HPs'!$AE$138:$AE$175,MATCH($E303&amp;$F303,'TB-EQUIPMENT &amp; OTHER HPs'!$E$138:$E$175&amp;'TB-EQUIPMENT &amp; OTHER HPs'!$I$138:$I$175,0)),0)</f>
        <v>0</v>
      </c>
      <c r="BC303" s="626">
        <f t="shared" si="390"/>
        <v>0</v>
      </c>
      <c r="BD303" s="626">
        <f t="shared" si="391"/>
        <v>0</v>
      </c>
      <c r="BE303" s="626">
        <f t="shared" si="392"/>
        <v>0</v>
      </c>
      <c r="BF303" s="625">
        <f t="array" ref="BF303">IFERROR(INDEX('TB-EQUIPMENT &amp; OTHER HPs'!$AF$138:$AF$175,MATCH($E303&amp;$F303,'TB-EQUIPMENT &amp; OTHER HPs'!$E$138:$E$175&amp;'TB-EQUIPMENT &amp; OTHER HPs'!$I$138:$I$175,0)),0)</f>
        <v>0</v>
      </c>
      <c r="BG303" s="626">
        <f t="shared" si="393"/>
        <v>0</v>
      </c>
      <c r="BH303" s="626">
        <f t="shared" si="394"/>
        <v>0</v>
      </c>
      <c r="BI303" s="626">
        <f t="shared" si="395"/>
        <v>0</v>
      </c>
      <c r="BJ303" s="630"/>
      <c r="BK303" s="625"/>
      <c r="BL303" s="625"/>
      <c r="BM303" s="625"/>
      <c r="BN303" s="625"/>
      <c r="BO303" s="625"/>
      <c r="BP303" s="625"/>
      <c r="BQ303" s="625"/>
      <c r="BR303" s="625"/>
    </row>
    <row r="304" spans="1:70">
      <c r="A304" s="29" t="s">
        <v>1757</v>
      </c>
      <c r="B304" s="29" t="s">
        <v>1838</v>
      </c>
      <c r="C304" s="619">
        <f>SETUP!$F$44</f>
        <v>0</v>
      </c>
      <c r="D304" s="25">
        <v>6.6</v>
      </c>
      <c r="E304" s="26" t="s">
        <v>217</v>
      </c>
      <c r="F304" s="26" t="s">
        <v>201</v>
      </c>
      <c r="G304" s="625" t="str">
        <f t="array" ref="G304">IFERROR(INDEX('TB-EQUIPMENT &amp; OTHER HPs'!$L$138:$L$175,MATCH($E304&amp;$F304,'TB-EQUIPMENT &amp; OTHER HPs'!$E$138:$E$175&amp;'TB-EQUIPMENT &amp; OTHER HPs'!$I$138:$I$175,0)),"")</f>
        <v/>
      </c>
      <c r="H304" s="625" t="str">
        <f t="array" ref="H304">IFERROR(INDEX('TB-EQUIPMENT &amp; OTHER HPs'!$M$138:$M$175,MATCH($E304&amp;$F304,'TB-EQUIPMENT &amp; OTHER HPs'!$E$138:$E$175&amp;'TB-EQUIPMENT &amp; OTHER HPs'!$I$138:$I$175,0)),"")</f>
        <v/>
      </c>
      <c r="I304" s="625">
        <f t="array" ref="I304">IFERROR(INDEX('TB-EQUIPMENT &amp; OTHER HPs'!$N$138:$N$175,MATCH($E304&amp;$F304,'TB-EQUIPMENT &amp; OTHER HPs'!$E$138:$E$175&amp;'TB-EQUIPMENT &amp; OTHER HPs'!$I$138:$I$175,0)),0)</f>
        <v>0</v>
      </c>
      <c r="J304" s="625">
        <f t="array" ref="J304">IFERROR(INDEX('TB-EQUIPMENT &amp; OTHER HPs'!$O$138:$O$175,MATCH($E304&amp;$F304,'TB-EQUIPMENT &amp; OTHER HPs'!$E$138:$E$175&amp;'TB-EQUIPMENT &amp; OTHER HPs'!$I$138:$I$175,0)),0)</f>
        <v>0</v>
      </c>
      <c r="K304" s="626">
        <f t="shared" si="360"/>
        <v>0</v>
      </c>
      <c r="L304" s="626">
        <f t="shared" si="361"/>
        <v>0</v>
      </c>
      <c r="M304" s="626">
        <f t="shared" si="362"/>
        <v>0</v>
      </c>
      <c r="N304" s="625">
        <f t="array" ref="N304">IFERROR(INDEX('TB-EQUIPMENT &amp; OTHER HPs'!$P$138:$P$175,MATCH($E304&amp;$F304,'TB-EQUIPMENT &amp; OTHER HPs'!$E$138:$E$175&amp;'TB-EQUIPMENT &amp; OTHER HPs'!$I$138:$I$175,0)),0)</f>
        <v>0</v>
      </c>
      <c r="O304" s="626">
        <f t="shared" si="363"/>
        <v>0</v>
      </c>
      <c r="P304" s="626">
        <f t="shared" si="364"/>
        <v>0</v>
      </c>
      <c r="Q304" s="626">
        <f t="shared" si="365"/>
        <v>0</v>
      </c>
      <c r="R304" s="625">
        <f t="array" ref="R304">IFERROR(INDEX('TB-EQUIPMENT &amp; OTHER HPs'!$Q$138:$Q$175,MATCH($E304&amp;$F304,'TB-EQUIPMENT &amp; OTHER HPs'!$E$138:$E$175&amp;'TB-EQUIPMENT &amp; OTHER HPs'!$I$138:$I$175,0)),0)</f>
        <v>0</v>
      </c>
      <c r="S304" s="626">
        <f t="shared" si="366"/>
        <v>0</v>
      </c>
      <c r="T304" s="626">
        <f t="shared" si="367"/>
        <v>0</v>
      </c>
      <c r="U304" s="626">
        <f t="shared" si="368"/>
        <v>0</v>
      </c>
      <c r="V304" s="625">
        <f t="array" ref="V304">IFERROR(INDEX('TB-EQUIPMENT &amp; OTHER HPs'!$R$138:$R$175,MATCH($E304&amp;$F304,'TB-EQUIPMENT &amp; OTHER HPs'!$E$138:$E$175&amp;'TB-EQUIPMENT &amp; OTHER HPs'!$I$138:$I$175,0)),0)</f>
        <v>0</v>
      </c>
      <c r="W304" s="626">
        <f t="shared" si="369"/>
        <v>0</v>
      </c>
      <c r="X304" s="626">
        <f t="shared" si="370"/>
        <v>0</v>
      </c>
      <c r="Y304" s="626">
        <f t="shared" si="371"/>
        <v>0</v>
      </c>
      <c r="AA304" s="625">
        <f t="array" ref="AA304">IFERROR(INDEX('TB-EQUIPMENT &amp; OTHER HPs'!$U$138:$U$175,MATCH($E304&amp;$F304,'TB-EQUIPMENT &amp; OTHER HPs'!$E$138:$E$175&amp;'TB-EQUIPMENT &amp; OTHER HPs'!$I$138:$I$175,0)),0)</f>
        <v>0</v>
      </c>
      <c r="AB304" s="625">
        <f t="array" ref="AB304">IFERROR(INDEX('TB-EQUIPMENT &amp; OTHER HPs'!$V$138:$V$175,MATCH($E304&amp;$F304,'TB-EQUIPMENT &amp; OTHER HPs'!$E$138:$E$175&amp;'TB-EQUIPMENT &amp; OTHER HPs'!$I$138:$I$175,0)),0)</f>
        <v>0</v>
      </c>
      <c r="AC304" s="626">
        <f t="shared" si="372"/>
        <v>0</v>
      </c>
      <c r="AD304" s="626">
        <f t="shared" si="373"/>
        <v>0</v>
      </c>
      <c r="AE304" s="626">
        <f t="shared" si="374"/>
        <v>0</v>
      </c>
      <c r="AF304" s="625">
        <f t="array" ref="AF304">IFERROR(INDEX('TB-EQUIPMENT &amp; OTHER HPs'!$W$138:$W$175,MATCH($E304&amp;$F304,'TB-EQUIPMENT &amp; OTHER HPs'!$E$138:$E$175&amp;'TB-EQUIPMENT &amp; OTHER HPs'!$I$138:$I$175,0)),0)</f>
        <v>0</v>
      </c>
      <c r="AG304" s="626">
        <f t="shared" si="375"/>
        <v>0</v>
      </c>
      <c r="AH304" s="626">
        <f t="shared" si="376"/>
        <v>0</v>
      </c>
      <c r="AI304" s="626">
        <f t="shared" si="377"/>
        <v>0</v>
      </c>
      <c r="AJ304" s="625">
        <f t="array" ref="AJ304">IFERROR(INDEX('TB-EQUIPMENT &amp; OTHER HPs'!$X$138:$X$175,MATCH($E304&amp;$F304,'TB-EQUIPMENT &amp; OTHER HPs'!$E$138:$E$175&amp;'TB-EQUIPMENT &amp; OTHER HPs'!$I$138:$I$175,0)),0)</f>
        <v>0</v>
      </c>
      <c r="AK304" s="626">
        <f t="shared" si="378"/>
        <v>0</v>
      </c>
      <c r="AL304" s="626">
        <f t="shared" si="379"/>
        <v>0</v>
      </c>
      <c r="AM304" s="626">
        <f t="shared" si="380"/>
        <v>0</v>
      </c>
      <c r="AN304" s="625">
        <f t="array" ref="AN304">IFERROR(INDEX('TB-EQUIPMENT &amp; OTHER HPs'!$Y$138:$Y$175,MATCH($E304&amp;$F304,'TB-EQUIPMENT &amp; OTHER HPs'!$E$138:$E$175&amp;'TB-EQUIPMENT &amp; OTHER HPs'!$I$138:$I$175,0)),0)</f>
        <v>0</v>
      </c>
      <c r="AO304" s="626">
        <f t="shared" si="381"/>
        <v>0</v>
      </c>
      <c r="AP304" s="626">
        <f t="shared" si="382"/>
        <v>0</v>
      </c>
      <c r="AQ304" s="626">
        <f t="shared" si="383"/>
        <v>0</v>
      </c>
      <c r="AR304" s="630"/>
      <c r="AS304" s="625">
        <f t="array" ref="AS304">IFERROR(INDEX('TB-EQUIPMENT &amp; OTHER HPs'!$AB$138:$AB$175,MATCH($E304&amp;$F304,'TB-EQUIPMENT &amp; OTHER HPs'!$E$138:$E$175&amp;'TB-EQUIPMENT &amp; OTHER HPs'!$I$138:$I$175,0)),0)</f>
        <v>0</v>
      </c>
      <c r="AT304" s="625">
        <f t="array" ref="AT304">IFERROR(INDEX('TB-EQUIPMENT &amp; OTHER HPs'!$AC$138:$AC$175,MATCH($E304&amp;$F304,'TB-EQUIPMENT &amp; OTHER HPs'!$E$138:$E$175&amp;'TB-EQUIPMENT &amp; OTHER HPs'!$I$138:$I$175,0)),0)</f>
        <v>0</v>
      </c>
      <c r="AU304" s="626">
        <f t="shared" si="384"/>
        <v>0</v>
      </c>
      <c r="AV304" s="626">
        <f t="shared" si="385"/>
        <v>0</v>
      </c>
      <c r="AW304" s="626">
        <f t="shared" si="386"/>
        <v>0</v>
      </c>
      <c r="AX304" s="625">
        <f t="array" ref="AX304">IFERROR(INDEX('TB-EQUIPMENT &amp; OTHER HPs'!$AD$138:$AD$175,MATCH($E304&amp;$F304,'TB-EQUIPMENT &amp; OTHER HPs'!$E$138:$E$175&amp;'TB-EQUIPMENT &amp; OTHER HPs'!$I$138:$I$175,0)),0)</f>
        <v>0</v>
      </c>
      <c r="AY304" s="626">
        <f t="shared" si="387"/>
        <v>0</v>
      </c>
      <c r="AZ304" s="626">
        <f t="shared" si="388"/>
        <v>0</v>
      </c>
      <c r="BA304" s="626">
        <f t="shared" si="389"/>
        <v>0</v>
      </c>
      <c r="BB304" s="625">
        <f t="array" ref="BB304">IFERROR(INDEX('TB-EQUIPMENT &amp; OTHER HPs'!$AE$138:$AE$175,MATCH($E304&amp;$F304,'TB-EQUIPMENT &amp; OTHER HPs'!$E$138:$E$175&amp;'TB-EQUIPMENT &amp; OTHER HPs'!$I$138:$I$175,0)),0)</f>
        <v>0</v>
      </c>
      <c r="BC304" s="626">
        <f t="shared" si="390"/>
        <v>0</v>
      </c>
      <c r="BD304" s="626">
        <f t="shared" si="391"/>
        <v>0</v>
      </c>
      <c r="BE304" s="626">
        <f t="shared" si="392"/>
        <v>0</v>
      </c>
      <c r="BF304" s="625">
        <f t="array" ref="BF304">IFERROR(INDEX('TB-EQUIPMENT &amp; OTHER HPs'!$AF$138:$AF$175,MATCH($E304&amp;$F304,'TB-EQUIPMENT &amp; OTHER HPs'!$E$138:$E$175&amp;'TB-EQUIPMENT &amp; OTHER HPs'!$I$138:$I$175,0)),0)</f>
        <v>0</v>
      </c>
      <c r="BG304" s="626">
        <f t="shared" si="393"/>
        <v>0</v>
      </c>
      <c r="BH304" s="626">
        <f t="shared" si="394"/>
        <v>0</v>
      </c>
      <c r="BI304" s="626">
        <f t="shared" si="395"/>
        <v>0</v>
      </c>
      <c r="BJ304" s="630"/>
      <c r="BK304" s="625"/>
      <c r="BL304" s="625"/>
      <c r="BM304" s="625"/>
      <c r="BN304" s="625"/>
      <c r="BO304" s="625"/>
      <c r="BP304" s="625"/>
      <c r="BQ304" s="625"/>
      <c r="BR304" s="625"/>
    </row>
    <row r="305" spans="1:70">
      <c r="A305" s="29" t="s">
        <v>1757</v>
      </c>
      <c r="B305" s="29" t="s">
        <v>1838</v>
      </c>
      <c r="C305" s="619">
        <f>SETUP!$F$44</f>
        <v>0</v>
      </c>
      <c r="D305" s="25">
        <v>6.6</v>
      </c>
      <c r="E305" s="26" t="s">
        <v>217</v>
      </c>
      <c r="F305" s="26" t="s">
        <v>200</v>
      </c>
      <c r="G305" s="625" t="str">
        <f t="array" ref="G305">IFERROR(INDEX('TB-EQUIPMENT &amp; OTHER HPs'!$L$138:$L$175,MATCH($E305&amp;$F305,'TB-EQUIPMENT &amp; OTHER HPs'!$E$138:$E$175&amp;'TB-EQUIPMENT &amp; OTHER HPs'!$I$138:$I$175,0)),"")</f>
        <v/>
      </c>
      <c r="H305" s="625" t="str">
        <f t="array" ref="H305">IFERROR(INDEX('TB-EQUIPMENT &amp; OTHER HPs'!$M$138:$M$175,MATCH($E305&amp;$F305,'TB-EQUIPMENT &amp; OTHER HPs'!$E$138:$E$175&amp;'TB-EQUIPMENT &amp; OTHER HPs'!$I$138:$I$175,0)),"")</f>
        <v/>
      </c>
      <c r="I305" s="625">
        <f t="array" ref="I305">IFERROR(INDEX('TB-EQUIPMENT &amp; OTHER HPs'!$N$138:$N$175,MATCH($E305&amp;$F305,'TB-EQUIPMENT &amp; OTHER HPs'!$E$138:$E$175&amp;'TB-EQUIPMENT &amp; OTHER HPs'!$I$138:$I$175,0)),0)</f>
        <v>0</v>
      </c>
      <c r="J305" s="625">
        <f t="array" ref="J305">IFERROR(INDEX('TB-EQUIPMENT &amp; OTHER HPs'!$O$138:$O$175,MATCH($E305&amp;$F305,'TB-EQUIPMENT &amp; OTHER HPs'!$E$138:$E$175&amp;'TB-EQUIPMENT &amp; OTHER HPs'!$I$138:$I$175,0)),0)</f>
        <v>0</v>
      </c>
      <c r="K305" s="626">
        <f t="shared" si="360"/>
        <v>0</v>
      </c>
      <c r="L305" s="626">
        <f t="shared" si="361"/>
        <v>0</v>
      </c>
      <c r="M305" s="626">
        <f t="shared" si="362"/>
        <v>0</v>
      </c>
      <c r="N305" s="625">
        <f t="array" ref="N305">IFERROR(INDEX('TB-EQUIPMENT &amp; OTHER HPs'!$P$138:$P$175,MATCH($E305&amp;$F305,'TB-EQUIPMENT &amp; OTHER HPs'!$E$138:$E$175&amp;'TB-EQUIPMENT &amp; OTHER HPs'!$I$138:$I$175,0)),0)</f>
        <v>0</v>
      </c>
      <c r="O305" s="626">
        <f t="shared" si="363"/>
        <v>0</v>
      </c>
      <c r="P305" s="626">
        <f t="shared" si="364"/>
        <v>0</v>
      </c>
      <c r="Q305" s="626">
        <f t="shared" si="365"/>
        <v>0</v>
      </c>
      <c r="R305" s="625">
        <f t="array" ref="R305">IFERROR(INDEX('TB-EQUIPMENT &amp; OTHER HPs'!$Q$138:$Q$175,MATCH($E305&amp;$F305,'TB-EQUIPMENT &amp; OTHER HPs'!$E$138:$E$175&amp;'TB-EQUIPMENT &amp; OTHER HPs'!$I$138:$I$175,0)),0)</f>
        <v>0</v>
      </c>
      <c r="S305" s="626">
        <f t="shared" si="366"/>
        <v>0</v>
      </c>
      <c r="T305" s="626">
        <f t="shared" si="367"/>
        <v>0</v>
      </c>
      <c r="U305" s="626">
        <f t="shared" si="368"/>
        <v>0</v>
      </c>
      <c r="V305" s="625">
        <f t="array" ref="V305">IFERROR(INDEX('TB-EQUIPMENT &amp; OTHER HPs'!$R$138:$R$175,MATCH($E305&amp;$F305,'TB-EQUIPMENT &amp; OTHER HPs'!$E$138:$E$175&amp;'TB-EQUIPMENT &amp; OTHER HPs'!$I$138:$I$175,0)),0)</f>
        <v>0</v>
      </c>
      <c r="W305" s="626">
        <f t="shared" si="369"/>
        <v>0</v>
      </c>
      <c r="X305" s="626">
        <f t="shared" si="370"/>
        <v>0</v>
      </c>
      <c r="Y305" s="626">
        <f t="shared" si="371"/>
        <v>0</v>
      </c>
      <c r="AA305" s="625">
        <f t="array" ref="AA305">IFERROR(INDEX('TB-EQUIPMENT &amp; OTHER HPs'!$U$138:$U$175,MATCH($E305&amp;$F305,'TB-EQUIPMENT &amp; OTHER HPs'!$E$138:$E$175&amp;'TB-EQUIPMENT &amp; OTHER HPs'!$I$138:$I$175,0)),0)</f>
        <v>0</v>
      </c>
      <c r="AB305" s="625">
        <f t="array" ref="AB305">IFERROR(INDEX('TB-EQUIPMENT &amp; OTHER HPs'!$V$138:$V$175,MATCH($E305&amp;$F305,'TB-EQUIPMENT &amp; OTHER HPs'!$E$138:$E$175&amp;'TB-EQUIPMENT &amp; OTHER HPs'!$I$138:$I$175,0)),0)</f>
        <v>0</v>
      </c>
      <c r="AC305" s="626">
        <f t="shared" si="372"/>
        <v>0</v>
      </c>
      <c r="AD305" s="626">
        <f t="shared" si="373"/>
        <v>0</v>
      </c>
      <c r="AE305" s="626">
        <f t="shared" si="374"/>
        <v>0</v>
      </c>
      <c r="AF305" s="625">
        <f t="array" ref="AF305">IFERROR(INDEX('TB-EQUIPMENT &amp; OTHER HPs'!$W$138:$W$175,MATCH($E305&amp;$F305,'TB-EQUIPMENT &amp; OTHER HPs'!$E$138:$E$175&amp;'TB-EQUIPMENT &amp; OTHER HPs'!$I$138:$I$175,0)),0)</f>
        <v>0</v>
      </c>
      <c r="AG305" s="626">
        <f t="shared" si="375"/>
        <v>0</v>
      </c>
      <c r="AH305" s="626">
        <f t="shared" si="376"/>
        <v>0</v>
      </c>
      <c r="AI305" s="626">
        <f t="shared" si="377"/>
        <v>0</v>
      </c>
      <c r="AJ305" s="625">
        <f t="array" ref="AJ305">IFERROR(INDEX('TB-EQUIPMENT &amp; OTHER HPs'!$X$138:$X$175,MATCH($E305&amp;$F305,'TB-EQUIPMENT &amp; OTHER HPs'!$E$138:$E$175&amp;'TB-EQUIPMENT &amp; OTHER HPs'!$I$138:$I$175,0)),0)</f>
        <v>0</v>
      </c>
      <c r="AK305" s="626">
        <f t="shared" si="378"/>
        <v>0</v>
      </c>
      <c r="AL305" s="626">
        <f t="shared" si="379"/>
        <v>0</v>
      </c>
      <c r="AM305" s="626">
        <f t="shared" si="380"/>
        <v>0</v>
      </c>
      <c r="AN305" s="625">
        <f t="array" ref="AN305">IFERROR(INDEX('TB-EQUIPMENT &amp; OTHER HPs'!$Y$138:$Y$175,MATCH($E305&amp;$F305,'TB-EQUIPMENT &amp; OTHER HPs'!$E$138:$E$175&amp;'TB-EQUIPMENT &amp; OTHER HPs'!$I$138:$I$175,0)),0)</f>
        <v>0</v>
      </c>
      <c r="AO305" s="626">
        <f t="shared" si="381"/>
        <v>0</v>
      </c>
      <c r="AP305" s="626">
        <f t="shared" si="382"/>
        <v>0</v>
      </c>
      <c r="AQ305" s="626">
        <f t="shared" si="383"/>
        <v>0</v>
      </c>
      <c r="AR305" s="630"/>
      <c r="AS305" s="625">
        <f t="array" ref="AS305">IFERROR(INDEX('TB-EQUIPMENT &amp; OTHER HPs'!$AB$138:$AB$175,MATCH($E305&amp;$F305,'TB-EQUIPMENT &amp; OTHER HPs'!$E$138:$E$175&amp;'TB-EQUIPMENT &amp; OTHER HPs'!$I$138:$I$175,0)),0)</f>
        <v>0</v>
      </c>
      <c r="AT305" s="625">
        <f t="array" ref="AT305">IFERROR(INDEX('TB-EQUIPMENT &amp; OTHER HPs'!$AC$138:$AC$175,MATCH($E305&amp;$F305,'TB-EQUIPMENT &amp; OTHER HPs'!$E$138:$E$175&amp;'TB-EQUIPMENT &amp; OTHER HPs'!$I$138:$I$175,0)),0)</f>
        <v>0</v>
      </c>
      <c r="AU305" s="626">
        <f t="shared" si="384"/>
        <v>0</v>
      </c>
      <c r="AV305" s="626">
        <f t="shared" si="385"/>
        <v>0</v>
      </c>
      <c r="AW305" s="626">
        <f t="shared" si="386"/>
        <v>0</v>
      </c>
      <c r="AX305" s="625">
        <f t="array" ref="AX305">IFERROR(INDEX('TB-EQUIPMENT &amp; OTHER HPs'!$AD$138:$AD$175,MATCH($E305&amp;$F305,'TB-EQUIPMENT &amp; OTHER HPs'!$E$138:$E$175&amp;'TB-EQUIPMENT &amp; OTHER HPs'!$I$138:$I$175,0)),0)</f>
        <v>0</v>
      </c>
      <c r="AY305" s="626">
        <f t="shared" si="387"/>
        <v>0</v>
      </c>
      <c r="AZ305" s="626">
        <f t="shared" si="388"/>
        <v>0</v>
      </c>
      <c r="BA305" s="626">
        <f t="shared" si="389"/>
        <v>0</v>
      </c>
      <c r="BB305" s="625">
        <f t="array" ref="BB305">IFERROR(INDEX('TB-EQUIPMENT &amp; OTHER HPs'!$AE$138:$AE$175,MATCH($E305&amp;$F305,'TB-EQUIPMENT &amp; OTHER HPs'!$E$138:$E$175&amp;'TB-EQUIPMENT &amp; OTHER HPs'!$I$138:$I$175,0)),0)</f>
        <v>0</v>
      </c>
      <c r="BC305" s="626">
        <f t="shared" si="390"/>
        <v>0</v>
      </c>
      <c r="BD305" s="626">
        <f t="shared" si="391"/>
        <v>0</v>
      </c>
      <c r="BE305" s="626">
        <f t="shared" si="392"/>
        <v>0</v>
      </c>
      <c r="BF305" s="625">
        <f t="array" ref="BF305">IFERROR(INDEX('TB-EQUIPMENT &amp; OTHER HPs'!$AF$138:$AF$175,MATCH($E305&amp;$F305,'TB-EQUIPMENT &amp; OTHER HPs'!$E$138:$E$175&amp;'TB-EQUIPMENT &amp; OTHER HPs'!$I$138:$I$175,0)),0)</f>
        <v>0</v>
      </c>
      <c r="BG305" s="626">
        <f t="shared" si="393"/>
        <v>0</v>
      </c>
      <c r="BH305" s="626">
        <f t="shared" si="394"/>
        <v>0</v>
      </c>
      <c r="BI305" s="626">
        <f t="shared" si="395"/>
        <v>0</v>
      </c>
      <c r="BJ305" s="630"/>
      <c r="BK305" s="625"/>
      <c r="BL305" s="625"/>
      <c r="BM305" s="625"/>
      <c r="BN305" s="625"/>
      <c r="BO305" s="625"/>
      <c r="BP305" s="625"/>
      <c r="BQ305" s="625"/>
      <c r="BR305" s="625"/>
    </row>
    <row r="306" spans="1:70">
      <c r="A306" s="29" t="s">
        <v>1757</v>
      </c>
      <c r="B306" s="29" t="s">
        <v>1838</v>
      </c>
      <c r="C306" s="619">
        <f>SETUP!$F$44</f>
        <v>0</v>
      </c>
      <c r="D306" s="25">
        <v>6.6</v>
      </c>
      <c r="E306" s="26" t="s">
        <v>220</v>
      </c>
      <c r="F306" s="26" t="s">
        <v>201</v>
      </c>
      <c r="G306" s="625" t="str">
        <f t="array" ref="G306">IFERROR(INDEX('TB-EQUIPMENT &amp; OTHER HPs'!$L$138:$L$175,MATCH($E306&amp;$F306,'TB-EQUIPMENT &amp; OTHER HPs'!$E$138:$E$175&amp;'TB-EQUIPMENT &amp; OTHER HPs'!$I$138:$I$175,0)),"")</f>
        <v/>
      </c>
      <c r="H306" s="625" t="str">
        <f t="array" ref="H306">IFERROR(INDEX('TB-EQUIPMENT &amp; OTHER HPs'!$M$138:$M$175,MATCH($E306&amp;$F306,'TB-EQUIPMENT &amp; OTHER HPs'!$E$138:$E$175&amp;'TB-EQUIPMENT &amp; OTHER HPs'!$I$138:$I$175,0)),"")</f>
        <v/>
      </c>
      <c r="I306" s="625">
        <f t="array" ref="I306">IFERROR(INDEX('TB-EQUIPMENT &amp; OTHER HPs'!$N$138:$N$175,MATCH($E306&amp;$F306,'TB-EQUIPMENT &amp; OTHER HPs'!$E$138:$E$175&amp;'TB-EQUIPMENT &amp; OTHER HPs'!$I$138:$I$175,0)),0)</f>
        <v>0</v>
      </c>
      <c r="J306" s="625">
        <f t="array" ref="J306">IFERROR(INDEX('TB-EQUIPMENT &amp; OTHER HPs'!$O$138:$O$175,MATCH($E306&amp;$F306,'TB-EQUIPMENT &amp; OTHER HPs'!$E$138:$E$175&amp;'TB-EQUIPMENT &amp; OTHER HPs'!$I$138:$I$175,0)),0)</f>
        <v>0</v>
      </c>
      <c r="K306" s="626">
        <f t="shared" si="360"/>
        <v>0</v>
      </c>
      <c r="L306" s="626">
        <f t="shared" si="361"/>
        <v>0</v>
      </c>
      <c r="M306" s="626">
        <f t="shared" si="362"/>
        <v>0</v>
      </c>
      <c r="N306" s="625">
        <f t="array" ref="N306">IFERROR(INDEX('TB-EQUIPMENT &amp; OTHER HPs'!$P$138:$P$175,MATCH($E306&amp;$F306,'TB-EQUIPMENT &amp; OTHER HPs'!$E$138:$E$175&amp;'TB-EQUIPMENT &amp; OTHER HPs'!$I$138:$I$175,0)),0)</f>
        <v>0</v>
      </c>
      <c r="O306" s="626">
        <f t="shared" si="363"/>
        <v>0</v>
      </c>
      <c r="P306" s="626">
        <f t="shared" si="364"/>
        <v>0</v>
      </c>
      <c r="Q306" s="626">
        <f t="shared" si="365"/>
        <v>0</v>
      </c>
      <c r="R306" s="625">
        <f t="array" ref="R306">IFERROR(INDEX('TB-EQUIPMENT &amp; OTHER HPs'!$Q$138:$Q$175,MATCH($E306&amp;$F306,'TB-EQUIPMENT &amp; OTHER HPs'!$E$138:$E$175&amp;'TB-EQUIPMENT &amp; OTHER HPs'!$I$138:$I$175,0)),0)</f>
        <v>0</v>
      </c>
      <c r="S306" s="626">
        <f t="shared" si="366"/>
        <v>0</v>
      </c>
      <c r="T306" s="626">
        <f t="shared" si="367"/>
        <v>0</v>
      </c>
      <c r="U306" s="626">
        <f t="shared" si="368"/>
        <v>0</v>
      </c>
      <c r="V306" s="625">
        <f t="array" ref="V306">IFERROR(INDEX('TB-EQUIPMENT &amp; OTHER HPs'!$R$138:$R$175,MATCH($E306&amp;$F306,'TB-EQUIPMENT &amp; OTHER HPs'!$E$138:$E$175&amp;'TB-EQUIPMENT &amp; OTHER HPs'!$I$138:$I$175,0)),0)</f>
        <v>0</v>
      </c>
      <c r="W306" s="626">
        <f t="shared" si="369"/>
        <v>0</v>
      </c>
      <c r="X306" s="626">
        <f t="shared" si="370"/>
        <v>0</v>
      </c>
      <c r="Y306" s="626">
        <f t="shared" si="371"/>
        <v>0</v>
      </c>
      <c r="AA306" s="625">
        <f t="array" ref="AA306">IFERROR(INDEX('TB-EQUIPMENT &amp; OTHER HPs'!$U$138:$U$175,MATCH($E306&amp;$F306,'TB-EQUIPMENT &amp; OTHER HPs'!$E$138:$E$175&amp;'TB-EQUIPMENT &amp; OTHER HPs'!$I$138:$I$175,0)),0)</f>
        <v>0</v>
      </c>
      <c r="AB306" s="625">
        <f t="array" ref="AB306">IFERROR(INDEX('TB-EQUIPMENT &amp; OTHER HPs'!$V$138:$V$175,MATCH($E306&amp;$F306,'TB-EQUIPMENT &amp; OTHER HPs'!$E$138:$E$175&amp;'TB-EQUIPMENT &amp; OTHER HPs'!$I$138:$I$175,0)),0)</f>
        <v>0</v>
      </c>
      <c r="AC306" s="626">
        <f t="shared" si="372"/>
        <v>0</v>
      </c>
      <c r="AD306" s="626">
        <f t="shared" si="373"/>
        <v>0</v>
      </c>
      <c r="AE306" s="626">
        <f t="shared" si="374"/>
        <v>0</v>
      </c>
      <c r="AF306" s="625">
        <f t="array" ref="AF306">IFERROR(INDEX('TB-EQUIPMENT &amp; OTHER HPs'!$W$138:$W$175,MATCH($E306&amp;$F306,'TB-EQUIPMENT &amp; OTHER HPs'!$E$138:$E$175&amp;'TB-EQUIPMENT &amp; OTHER HPs'!$I$138:$I$175,0)),0)</f>
        <v>0</v>
      </c>
      <c r="AG306" s="626">
        <f t="shared" si="375"/>
        <v>0</v>
      </c>
      <c r="AH306" s="626">
        <f t="shared" si="376"/>
        <v>0</v>
      </c>
      <c r="AI306" s="626">
        <f t="shared" si="377"/>
        <v>0</v>
      </c>
      <c r="AJ306" s="625">
        <f t="array" ref="AJ306">IFERROR(INDEX('TB-EQUIPMENT &amp; OTHER HPs'!$X$138:$X$175,MATCH($E306&amp;$F306,'TB-EQUIPMENT &amp; OTHER HPs'!$E$138:$E$175&amp;'TB-EQUIPMENT &amp; OTHER HPs'!$I$138:$I$175,0)),0)</f>
        <v>0</v>
      </c>
      <c r="AK306" s="626">
        <f t="shared" si="378"/>
        <v>0</v>
      </c>
      <c r="AL306" s="626">
        <f t="shared" si="379"/>
        <v>0</v>
      </c>
      <c r="AM306" s="626">
        <f t="shared" si="380"/>
        <v>0</v>
      </c>
      <c r="AN306" s="625">
        <f t="array" ref="AN306">IFERROR(INDEX('TB-EQUIPMENT &amp; OTHER HPs'!$Y$138:$Y$175,MATCH($E306&amp;$F306,'TB-EQUIPMENT &amp; OTHER HPs'!$E$138:$E$175&amp;'TB-EQUIPMENT &amp; OTHER HPs'!$I$138:$I$175,0)),0)</f>
        <v>0</v>
      </c>
      <c r="AO306" s="626">
        <f t="shared" si="381"/>
        <v>0</v>
      </c>
      <c r="AP306" s="626">
        <f t="shared" si="382"/>
        <v>0</v>
      </c>
      <c r="AQ306" s="626">
        <f t="shared" si="383"/>
        <v>0</v>
      </c>
      <c r="AR306" s="630"/>
      <c r="AS306" s="625">
        <f t="array" ref="AS306">IFERROR(INDEX('TB-EQUIPMENT &amp; OTHER HPs'!$AB$138:$AB$175,MATCH($E306&amp;$F306,'TB-EQUIPMENT &amp; OTHER HPs'!$E$138:$E$175&amp;'TB-EQUIPMENT &amp; OTHER HPs'!$I$138:$I$175,0)),0)</f>
        <v>0</v>
      </c>
      <c r="AT306" s="625">
        <f t="array" ref="AT306">IFERROR(INDEX('TB-EQUIPMENT &amp; OTHER HPs'!$AC$138:$AC$175,MATCH($E306&amp;$F306,'TB-EQUIPMENT &amp; OTHER HPs'!$E$138:$E$175&amp;'TB-EQUIPMENT &amp; OTHER HPs'!$I$138:$I$175,0)),0)</f>
        <v>0</v>
      </c>
      <c r="AU306" s="626">
        <f t="shared" si="384"/>
        <v>0</v>
      </c>
      <c r="AV306" s="626">
        <f t="shared" si="385"/>
        <v>0</v>
      </c>
      <c r="AW306" s="626">
        <f t="shared" si="386"/>
        <v>0</v>
      </c>
      <c r="AX306" s="625">
        <f t="array" ref="AX306">IFERROR(INDEX('TB-EQUIPMENT &amp; OTHER HPs'!$AD$138:$AD$175,MATCH($E306&amp;$F306,'TB-EQUIPMENT &amp; OTHER HPs'!$E$138:$E$175&amp;'TB-EQUIPMENT &amp; OTHER HPs'!$I$138:$I$175,0)),0)</f>
        <v>0</v>
      </c>
      <c r="AY306" s="626">
        <f t="shared" si="387"/>
        <v>0</v>
      </c>
      <c r="AZ306" s="626">
        <f t="shared" si="388"/>
        <v>0</v>
      </c>
      <c r="BA306" s="626">
        <f t="shared" si="389"/>
        <v>0</v>
      </c>
      <c r="BB306" s="625">
        <f t="array" ref="BB306">IFERROR(INDEX('TB-EQUIPMENT &amp; OTHER HPs'!$AE$138:$AE$175,MATCH($E306&amp;$F306,'TB-EQUIPMENT &amp; OTHER HPs'!$E$138:$E$175&amp;'TB-EQUIPMENT &amp; OTHER HPs'!$I$138:$I$175,0)),0)</f>
        <v>0</v>
      </c>
      <c r="BC306" s="626">
        <f t="shared" si="390"/>
        <v>0</v>
      </c>
      <c r="BD306" s="626">
        <f t="shared" si="391"/>
        <v>0</v>
      </c>
      <c r="BE306" s="626">
        <f t="shared" si="392"/>
        <v>0</v>
      </c>
      <c r="BF306" s="625">
        <f t="array" ref="BF306">IFERROR(INDEX('TB-EQUIPMENT &amp; OTHER HPs'!$AF$138:$AF$175,MATCH($E306&amp;$F306,'TB-EQUIPMENT &amp; OTHER HPs'!$E$138:$E$175&amp;'TB-EQUIPMENT &amp; OTHER HPs'!$I$138:$I$175,0)),0)</f>
        <v>0</v>
      </c>
      <c r="BG306" s="626">
        <f t="shared" si="393"/>
        <v>0</v>
      </c>
      <c r="BH306" s="626">
        <f t="shared" si="394"/>
        <v>0</v>
      </c>
      <c r="BI306" s="626">
        <f t="shared" si="395"/>
        <v>0</v>
      </c>
      <c r="BJ306" s="630"/>
      <c r="BK306" s="625"/>
      <c r="BL306" s="625"/>
      <c r="BM306" s="625"/>
      <c r="BN306" s="625"/>
      <c r="BO306" s="625"/>
      <c r="BP306" s="625"/>
      <c r="BQ306" s="625"/>
      <c r="BR306" s="625"/>
    </row>
    <row r="307" spans="1:70">
      <c r="A307" s="29" t="s">
        <v>1757</v>
      </c>
      <c r="B307" s="29" t="s">
        <v>1838</v>
      </c>
      <c r="C307" s="619">
        <f>SETUP!$F$44</f>
        <v>0</v>
      </c>
      <c r="D307" s="25">
        <v>6.6</v>
      </c>
      <c r="E307" s="26" t="s">
        <v>220</v>
      </c>
      <c r="F307" s="26" t="s">
        <v>200</v>
      </c>
      <c r="G307" s="625" t="str">
        <f t="array" ref="G307">IFERROR(INDEX('TB-EQUIPMENT &amp; OTHER HPs'!$L$138:$L$175,MATCH($E307&amp;$F307,'TB-EQUIPMENT &amp; OTHER HPs'!$E$138:$E$175&amp;'TB-EQUIPMENT &amp; OTHER HPs'!$I$138:$I$175,0)),"")</f>
        <v/>
      </c>
      <c r="H307" s="625" t="str">
        <f t="array" ref="H307">IFERROR(INDEX('TB-EQUIPMENT &amp; OTHER HPs'!$M$138:$M$175,MATCH($E307&amp;$F307,'TB-EQUIPMENT &amp; OTHER HPs'!$E$138:$E$175&amp;'TB-EQUIPMENT &amp; OTHER HPs'!$I$138:$I$175,0)),"")</f>
        <v/>
      </c>
      <c r="I307" s="625">
        <f t="array" ref="I307">IFERROR(INDEX('TB-EQUIPMENT &amp; OTHER HPs'!$N$138:$N$175,MATCH($E307&amp;$F307,'TB-EQUIPMENT &amp; OTHER HPs'!$E$138:$E$175&amp;'TB-EQUIPMENT &amp; OTHER HPs'!$I$138:$I$175,0)),0)</f>
        <v>0</v>
      </c>
      <c r="J307" s="625">
        <f t="array" ref="J307">IFERROR(INDEX('TB-EQUIPMENT &amp; OTHER HPs'!$O$138:$O$175,MATCH($E307&amp;$F307,'TB-EQUIPMENT &amp; OTHER HPs'!$E$138:$E$175&amp;'TB-EQUIPMENT &amp; OTHER HPs'!$I$138:$I$175,0)),0)</f>
        <v>0</v>
      </c>
      <c r="K307" s="626">
        <f t="shared" si="360"/>
        <v>0</v>
      </c>
      <c r="L307" s="626">
        <f t="shared" si="361"/>
        <v>0</v>
      </c>
      <c r="M307" s="626">
        <f t="shared" si="362"/>
        <v>0</v>
      </c>
      <c r="N307" s="625">
        <f t="array" ref="N307">IFERROR(INDEX('TB-EQUIPMENT &amp; OTHER HPs'!$P$138:$P$175,MATCH($E307&amp;$F307,'TB-EQUIPMENT &amp; OTHER HPs'!$E$138:$E$175&amp;'TB-EQUIPMENT &amp; OTHER HPs'!$I$138:$I$175,0)),0)</f>
        <v>0</v>
      </c>
      <c r="O307" s="626">
        <f t="shared" si="363"/>
        <v>0</v>
      </c>
      <c r="P307" s="626">
        <f t="shared" si="364"/>
        <v>0</v>
      </c>
      <c r="Q307" s="626">
        <f t="shared" si="365"/>
        <v>0</v>
      </c>
      <c r="R307" s="625">
        <f t="array" ref="R307">IFERROR(INDEX('TB-EQUIPMENT &amp; OTHER HPs'!$Q$138:$Q$175,MATCH($E307&amp;$F307,'TB-EQUIPMENT &amp; OTHER HPs'!$E$138:$E$175&amp;'TB-EQUIPMENT &amp; OTHER HPs'!$I$138:$I$175,0)),0)</f>
        <v>0</v>
      </c>
      <c r="S307" s="626">
        <f t="shared" si="366"/>
        <v>0</v>
      </c>
      <c r="T307" s="626">
        <f t="shared" si="367"/>
        <v>0</v>
      </c>
      <c r="U307" s="626">
        <f t="shared" si="368"/>
        <v>0</v>
      </c>
      <c r="V307" s="625">
        <f t="array" ref="V307">IFERROR(INDEX('TB-EQUIPMENT &amp; OTHER HPs'!$R$138:$R$175,MATCH($E307&amp;$F307,'TB-EQUIPMENT &amp; OTHER HPs'!$E$138:$E$175&amp;'TB-EQUIPMENT &amp; OTHER HPs'!$I$138:$I$175,0)),0)</f>
        <v>0</v>
      </c>
      <c r="W307" s="626">
        <f t="shared" si="369"/>
        <v>0</v>
      </c>
      <c r="X307" s="626">
        <f t="shared" si="370"/>
        <v>0</v>
      </c>
      <c r="Y307" s="626">
        <f t="shared" si="371"/>
        <v>0</v>
      </c>
      <c r="AA307" s="625">
        <f t="array" ref="AA307">IFERROR(INDEX('TB-EQUIPMENT &amp; OTHER HPs'!$U$138:$U$175,MATCH($E307&amp;$F307,'TB-EQUIPMENT &amp; OTHER HPs'!$E$138:$E$175&amp;'TB-EQUIPMENT &amp; OTHER HPs'!$I$138:$I$175,0)),0)</f>
        <v>0</v>
      </c>
      <c r="AB307" s="625">
        <f t="array" ref="AB307">IFERROR(INDEX('TB-EQUIPMENT &amp; OTHER HPs'!$V$138:$V$175,MATCH($E307&amp;$F307,'TB-EQUIPMENT &amp; OTHER HPs'!$E$138:$E$175&amp;'TB-EQUIPMENT &amp; OTHER HPs'!$I$138:$I$175,0)),0)</f>
        <v>0</v>
      </c>
      <c r="AC307" s="626">
        <f t="shared" si="372"/>
        <v>0</v>
      </c>
      <c r="AD307" s="626">
        <f t="shared" si="373"/>
        <v>0</v>
      </c>
      <c r="AE307" s="626">
        <f t="shared" si="374"/>
        <v>0</v>
      </c>
      <c r="AF307" s="625">
        <f t="array" ref="AF307">IFERROR(INDEX('TB-EQUIPMENT &amp; OTHER HPs'!$W$138:$W$175,MATCH($E307&amp;$F307,'TB-EQUIPMENT &amp; OTHER HPs'!$E$138:$E$175&amp;'TB-EQUIPMENT &amp; OTHER HPs'!$I$138:$I$175,0)),0)</f>
        <v>0</v>
      </c>
      <c r="AG307" s="626">
        <f t="shared" si="375"/>
        <v>0</v>
      </c>
      <c r="AH307" s="626">
        <f t="shared" si="376"/>
        <v>0</v>
      </c>
      <c r="AI307" s="626">
        <f t="shared" si="377"/>
        <v>0</v>
      </c>
      <c r="AJ307" s="625">
        <f t="array" ref="AJ307">IFERROR(INDEX('TB-EQUIPMENT &amp; OTHER HPs'!$X$138:$X$175,MATCH($E307&amp;$F307,'TB-EQUIPMENT &amp; OTHER HPs'!$E$138:$E$175&amp;'TB-EQUIPMENT &amp; OTHER HPs'!$I$138:$I$175,0)),0)</f>
        <v>0</v>
      </c>
      <c r="AK307" s="626">
        <f t="shared" si="378"/>
        <v>0</v>
      </c>
      <c r="AL307" s="626">
        <f t="shared" si="379"/>
        <v>0</v>
      </c>
      <c r="AM307" s="626">
        <f t="shared" si="380"/>
        <v>0</v>
      </c>
      <c r="AN307" s="625">
        <f t="array" ref="AN307">IFERROR(INDEX('TB-EQUIPMENT &amp; OTHER HPs'!$Y$138:$Y$175,MATCH($E307&amp;$F307,'TB-EQUIPMENT &amp; OTHER HPs'!$E$138:$E$175&amp;'TB-EQUIPMENT &amp; OTHER HPs'!$I$138:$I$175,0)),0)</f>
        <v>0</v>
      </c>
      <c r="AO307" s="626">
        <f t="shared" si="381"/>
        <v>0</v>
      </c>
      <c r="AP307" s="626">
        <f t="shared" si="382"/>
        <v>0</v>
      </c>
      <c r="AQ307" s="626">
        <f t="shared" si="383"/>
        <v>0</v>
      </c>
      <c r="AR307" s="630"/>
      <c r="AS307" s="625">
        <f t="array" ref="AS307">IFERROR(INDEX('TB-EQUIPMENT &amp; OTHER HPs'!$AB$138:$AB$175,MATCH($E307&amp;$F307,'TB-EQUIPMENT &amp; OTHER HPs'!$E$138:$E$175&amp;'TB-EQUIPMENT &amp; OTHER HPs'!$I$138:$I$175,0)),0)</f>
        <v>0</v>
      </c>
      <c r="AT307" s="625">
        <f t="array" ref="AT307">IFERROR(INDEX('TB-EQUIPMENT &amp; OTHER HPs'!$AC$138:$AC$175,MATCH($E307&amp;$F307,'TB-EQUIPMENT &amp; OTHER HPs'!$E$138:$E$175&amp;'TB-EQUIPMENT &amp; OTHER HPs'!$I$138:$I$175,0)),0)</f>
        <v>0</v>
      </c>
      <c r="AU307" s="626">
        <f t="shared" si="384"/>
        <v>0</v>
      </c>
      <c r="AV307" s="626">
        <f t="shared" si="385"/>
        <v>0</v>
      </c>
      <c r="AW307" s="626">
        <f t="shared" si="386"/>
        <v>0</v>
      </c>
      <c r="AX307" s="625">
        <f t="array" ref="AX307">IFERROR(INDEX('TB-EQUIPMENT &amp; OTHER HPs'!$AD$138:$AD$175,MATCH($E307&amp;$F307,'TB-EQUIPMENT &amp; OTHER HPs'!$E$138:$E$175&amp;'TB-EQUIPMENT &amp; OTHER HPs'!$I$138:$I$175,0)),0)</f>
        <v>0</v>
      </c>
      <c r="AY307" s="626">
        <f t="shared" si="387"/>
        <v>0</v>
      </c>
      <c r="AZ307" s="626">
        <f t="shared" si="388"/>
        <v>0</v>
      </c>
      <c r="BA307" s="626">
        <f t="shared" si="389"/>
        <v>0</v>
      </c>
      <c r="BB307" s="625">
        <f t="array" ref="BB307">IFERROR(INDEX('TB-EQUIPMENT &amp; OTHER HPs'!$AE$138:$AE$175,MATCH($E307&amp;$F307,'TB-EQUIPMENT &amp; OTHER HPs'!$E$138:$E$175&amp;'TB-EQUIPMENT &amp; OTHER HPs'!$I$138:$I$175,0)),0)</f>
        <v>0</v>
      </c>
      <c r="BC307" s="626">
        <f t="shared" si="390"/>
        <v>0</v>
      </c>
      <c r="BD307" s="626">
        <f t="shared" si="391"/>
        <v>0</v>
      </c>
      <c r="BE307" s="626">
        <f t="shared" si="392"/>
        <v>0</v>
      </c>
      <c r="BF307" s="625">
        <f t="array" ref="BF307">IFERROR(INDEX('TB-EQUIPMENT &amp; OTHER HPs'!$AF$138:$AF$175,MATCH($E307&amp;$F307,'TB-EQUIPMENT &amp; OTHER HPs'!$E$138:$E$175&amp;'TB-EQUIPMENT &amp; OTHER HPs'!$I$138:$I$175,0)),0)</f>
        <v>0</v>
      </c>
      <c r="BG307" s="626">
        <f t="shared" si="393"/>
        <v>0</v>
      </c>
      <c r="BH307" s="626">
        <f t="shared" si="394"/>
        <v>0</v>
      </c>
      <c r="BI307" s="626">
        <f t="shared" si="395"/>
        <v>0</v>
      </c>
      <c r="BJ307" s="630"/>
      <c r="BK307" s="625"/>
      <c r="BL307" s="625"/>
      <c r="BM307" s="625"/>
      <c r="BN307" s="625"/>
      <c r="BO307" s="625"/>
      <c r="BP307" s="625"/>
      <c r="BQ307" s="625"/>
      <c r="BR307" s="625"/>
    </row>
    <row r="308" spans="1:70">
      <c r="A308" s="29" t="s">
        <v>1757</v>
      </c>
      <c r="B308" s="29" t="s">
        <v>1838</v>
      </c>
      <c r="C308" s="619">
        <f>SETUP!$F$44</f>
        <v>0</v>
      </c>
      <c r="D308" s="25">
        <v>6.6</v>
      </c>
      <c r="E308" s="26" t="s">
        <v>1245</v>
      </c>
      <c r="F308" s="26" t="s">
        <v>201</v>
      </c>
      <c r="G308" s="625" t="str">
        <f t="array" ref="G308">IFERROR(INDEX('TB-EQUIPMENT &amp; OTHER HPs'!$L$138:$L$175,MATCH($E308&amp;$F308,'TB-EQUIPMENT &amp; OTHER HPs'!$E$138:$E$175&amp;'TB-EQUIPMENT &amp; OTHER HPs'!$I$138:$I$175,0)),"")</f>
        <v/>
      </c>
      <c r="H308" s="625" t="str">
        <f t="array" ref="H308">IFERROR(INDEX('TB-EQUIPMENT &amp; OTHER HPs'!$M$138:$M$175,MATCH($E308&amp;$F308,'TB-EQUIPMENT &amp; OTHER HPs'!$E$138:$E$175&amp;'TB-EQUIPMENT &amp; OTHER HPs'!$I$138:$I$175,0)),"")</f>
        <v/>
      </c>
      <c r="I308" s="625">
        <f t="array" ref="I308">IFERROR(INDEX('TB-EQUIPMENT &amp; OTHER HPs'!$N$138:$N$175,MATCH($E308&amp;$F308,'TB-EQUIPMENT &amp; OTHER HPs'!$E$138:$E$175&amp;'TB-EQUIPMENT &amp; OTHER HPs'!$I$138:$I$175,0)),0)</f>
        <v>0</v>
      </c>
      <c r="J308" s="625">
        <f t="array" ref="J308">IFERROR(INDEX('TB-EQUIPMENT &amp; OTHER HPs'!$O$138:$O$175,MATCH($E308&amp;$F308,'TB-EQUIPMENT &amp; OTHER HPs'!$E$138:$E$175&amp;'TB-EQUIPMENT &amp; OTHER HPs'!$I$138:$I$175,0)),0)</f>
        <v>0</v>
      </c>
      <c r="K308" s="626">
        <f t="shared" si="360"/>
        <v>0</v>
      </c>
      <c r="L308" s="626">
        <f t="shared" si="361"/>
        <v>0</v>
      </c>
      <c r="M308" s="626">
        <f t="shared" si="362"/>
        <v>0</v>
      </c>
      <c r="N308" s="625">
        <f t="array" ref="N308">IFERROR(INDEX('TB-EQUIPMENT &amp; OTHER HPs'!$P$138:$P$175,MATCH($E308&amp;$F308,'TB-EQUIPMENT &amp; OTHER HPs'!$E$138:$E$175&amp;'TB-EQUIPMENT &amp; OTHER HPs'!$I$138:$I$175,0)),0)</f>
        <v>0</v>
      </c>
      <c r="O308" s="626">
        <f t="shared" si="363"/>
        <v>0</v>
      </c>
      <c r="P308" s="626">
        <f t="shared" si="364"/>
        <v>0</v>
      </c>
      <c r="Q308" s="626">
        <f t="shared" si="365"/>
        <v>0</v>
      </c>
      <c r="R308" s="625">
        <f t="array" ref="R308">IFERROR(INDEX('TB-EQUIPMENT &amp; OTHER HPs'!$Q$138:$Q$175,MATCH($E308&amp;$F308,'TB-EQUIPMENT &amp; OTHER HPs'!$E$138:$E$175&amp;'TB-EQUIPMENT &amp; OTHER HPs'!$I$138:$I$175,0)),0)</f>
        <v>0</v>
      </c>
      <c r="S308" s="626">
        <f t="shared" si="366"/>
        <v>0</v>
      </c>
      <c r="T308" s="626">
        <f t="shared" si="367"/>
        <v>0</v>
      </c>
      <c r="U308" s="626">
        <f t="shared" si="368"/>
        <v>0</v>
      </c>
      <c r="V308" s="625">
        <f t="array" ref="V308">IFERROR(INDEX('TB-EQUIPMENT &amp; OTHER HPs'!$R$138:$R$175,MATCH($E308&amp;$F308,'TB-EQUIPMENT &amp; OTHER HPs'!$E$138:$E$175&amp;'TB-EQUIPMENT &amp; OTHER HPs'!$I$138:$I$175,0)),0)</f>
        <v>0</v>
      </c>
      <c r="W308" s="626">
        <f t="shared" si="369"/>
        <v>0</v>
      </c>
      <c r="X308" s="626">
        <f t="shared" si="370"/>
        <v>0</v>
      </c>
      <c r="Y308" s="626">
        <f t="shared" si="371"/>
        <v>0</v>
      </c>
      <c r="AA308" s="625">
        <f t="array" ref="AA308">IFERROR(INDEX('TB-EQUIPMENT &amp; OTHER HPs'!$U$138:$U$175,MATCH($E308&amp;$F308,'TB-EQUIPMENT &amp; OTHER HPs'!$E$138:$E$175&amp;'TB-EQUIPMENT &amp; OTHER HPs'!$I$138:$I$175,0)),0)</f>
        <v>0</v>
      </c>
      <c r="AB308" s="625">
        <f t="array" ref="AB308">IFERROR(INDEX('TB-EQUIPMENT &amp; OTHER HPs'!$V$138:$V$175,MATCH($E308&amp;$F308,'TB-EQUIPMENT &amp; OTHER HPs'!$E$138:$E$175&amp;'TB-EQUIPMENT &amp; OTHER HPs'!$I$138:$I$175,0)),0)</f>
        <v>0</v>
      </c>
      <c r="AC308" s="626">
        <f t="shared" si="372"/>
        <v>0</v>
      </c>
      <c r="AD308" s="626">
        <f t="shared" si="373"/>
        <v>0</v>
      </c>
      <c r="AE308" s="626">
        <f t="shared" si="374"/>
        <v>0</v>
      </c>
      <c r="AF308" s="625">
        <f t="array" ref="AF308">IFERROR(INDEX('TB-EQUIPMENT &amp; OTHER HPs'!$W$138:$W$175,MATCH($E308&amp;$F308,'TB-EQUIPMENT &amp; OTHER HPs'!$E$138:$E$175&amp;'TB-EQUIPMENT &amp; OTHER HPs'!$I$138:$I$175,0)),0)</f>
        <v>0</v>
      </c>
      <c r="AG308" s="626">
        <f t="shared" si="375"/>
        <v>0</v>
      </c>
      <c r="AH308" s="626">
        <f t="shared" si="376"/>
        <v>0</v>
      </c>
      <c r="AI308" s="626">
        <f t="shared" si="377"/>
        <v>0</v>
      </c>
      <c r="AJ308" s="625">
        <f t="array" ref="AJ308">IFERROR(INDEX('TB-EQUIPMENT &amp; OTHER HPs'!$X$138:$X$175,MATCH($E308&amp;$F308,'TB-EQUIPMENT &amp; OTHER HPs'!$E$138:$E$175&amp;'TB-EQUIPMENT &amp; OTHER HPs'!$I$138:$I$175,0)),0)</f>
        <v>0</v>
      </c>
      <c r="AK308" s="626">
        <f t="shared" si="378"/>
        <v>0</v>
      </c>
      <c r="AL308" s="626">
        <f t="shared" si="379"/>
        <v>0</v>
      </c>
      <c r="AM308" s="626">
        <f t="shared" si="380"/>
        <v>0</v>
      </c>
      <c r="AN308" s="625">
        <f t="array" ref="AN308">IFERROR(INDEX('TB-EQUIPMENT &amp; OTHER HPs'!$Y$138:$Y$175,MATCH($E308&amp;$F308,'TB-EQUIPMENT &amp; OTHER HPs'!$E$138:$E$175&amp;'TB-EQUIPMENT &amp; OTHER HPs'!$I$138:$I$175,0)),0)</f>
        <v>0</v>
      </c>
      <c r="AO308" s="626">
        <f t="shared" si="381"/>
        <v>0</v>
      </c>
      <c r="AP308" s="626">
        <f t="shared" si="382"/>
        <v>0</v>
      </c>
      <c r="AQ308" s="626">
        <f t="shared" si="383"/>
        <v>0</v>
      </c>
      <c r="AR308" s="630"/>
      <c r="AS308" s="625">
        <f t="array" ref="AS308">IFERROR(INDEX('TB-EQUIPMENT &amp; OTHER HPs'!$AB$138:$AB$175,MATCH($E308&amp;$F308,'TB-EQUIPMENT &amp; OTHER HPs'!$E$138:$E$175&amp;'TB-EQUIPMENT &amp; OTHER HPs'!$I$138:$I$175,0)),0)</f>
        <v>0</v>
      </c>
      <c r="AT308" s="625">
        <f t="array" ref="AT308">IFERROR(INDEX('TB-EQUIPMENT &amp; OTHER HPs'!$AC$138:$AC$175,MATCH($E308&amp;$F308,'TB-EQUIPMENT &amp; OTHER HPs'!$E$138:$E$175&amp;'TB-EQUIPMENT &amp; OTHER HPs'!$I$138:$I$175,0)),0)</f>
        <v>0</v>
      </c>
      <c r="AU308" s="626">
        <f t="shared" si="384"/>
        <v>0</v>
      </c>
      <c r="AV308" s="626">
        <f t="shared" si="385"/>
        <v>0</v>
      </c>
      <c r="AW308" s="626">
        <f t="shared" si="386"/>
        <v>0</v>
      </c>
      <c r="AX308" s="625">
        <f t="array" ref="AX308">IFERROR(INDEX('TB-EQUIPMENT &amp; OTHER HPs'!$AD$138:$AD$175,MATCH($E308&amp;$F308,'TB-EQUIPMENT &amp; OTHER HPs'!$E$138:$E$175&amp;'TB-EQUIPMENT &amp; OTHER HPs'!$I$138:$I$175,0)),0)</f>
        <v>0</v>
      </c>
      <c r="AY308" s="626">
        <f t="shared" si="387"/>
        <v>0</v>
      </c>
      <c r="AZ308" s="626">
        <f t="shared" si="388"/>
        <v>0</v>
      </c>
      <c r="BA308" s="626">
        <f t="shared" si="389"/>
        <v>0</v>
      </c>
      <c r="BB308" s="625">
        <f t="array" ref="BB308">IFERROR(INDEX('TB-EQUIPMENT &amp; OTHER HPs'!$AE$138:$AE$175,MATCH($E308&amp;$F308,'TB-EQUIPMENT &amp; OTHER HPs'!$E$138:$E$175&amp;'TB-EQUIPMENT &amp; OTHER HPs'!$I$138:$I$175,0)),0)</f>
        <v>0</v>
      </c>
      <c r="BC308" s="626">
        <f t="shared" si="390"/>
        <v>0</v>
      </c>
      <c r="BD308" s="626">
        <f t="shared" si="391"/>
        <v>0</v>
      </c>
      <c r="BE308" s="626">
        <f t="shared" si="392"/>
        <v>0</v>
      </c>
      <c r="BF308" s="625">
        <f t="array" ref="BF308">IFERROR(INDEX('TB-EQUIPMENT &amp; OTHER HPs'!$AF$138:$AF$175,MATCH($E308&amp;$F308,'TB-EQUIPMENT &amp; OTHER HPs'!$E$138:$E$175&amp;'TB-EQUIPMENT &amp; OTHER HPs'!$I$138:$I$175,0)),0)</f>
        <v>0</v>
      </c>
      <c r="BG308" s="626">
        <f t="shared" si="393"/>
        <v>0</v>
      </c>
      <c r="BH308" s="626">
        <f t="shared" si="394"/>
        <v>0</v>
      </c>
      <c r="BI308" s="626">
        <f t="shared" si="395"/>
        <v>0</v>
      </c>
      <c r="BJ308" s="630"/>
      <c r="BK308" s="625"/>
      <c r="BL308" s="625"/>
      <c r="BM308" s="625"/>
      <c r="BN308" s="625"/>
      <c r="BO308" s="625"/>
      <c r="BP308" s="625"/>
      <c r="BQ308" s="625"/>
      <c r="BR308" s="625"/>
    </row>
    <row r="309" spans="1:70">
      <c r="A309" s="29" t="s">
        <v>1757</v>
      </c>
      <c r="B309" s="29" t="s">
        <v>1838</v>
      </c>
      <c r="C309" s="619">
        <f>SETUP!$F$44</f>
        <v>0</v>
      </c>
      <c r="D309" s="25">
        <v>6.6</v>
      </c>
      <c r="E309" s="26" t="s">
        <v>1245</v>
      </c>
      <c r="F309" s="26" t="s">
        <v>200</v>
      </c>
      <c r="G309" s="625" t="str">
        <f t="array" ref="G309">IFERROR(INDEX('TB-EQUIPMENT &amp; OTHER HPs'!$L$138:$L$175,MATCH($E309&amp;$F309,'TB-EQUIPMENT &amp; OTHER HPs'!$E$138:$E$175&amp;'TB-EQUIPMENT &amp; OTHER HPs'!$I$138:$I$175,0)),"")</f>
        <v/>
      </c>
      <c r="H309" s="625" t="str">
        <f t="array" ref="H309">IFERROR(INDEX('TB-EQUIPMENT &amp; OTHER HPs'!$M$138:$M$175,MATCH($E309&amp;$F309,'TB-EQUIPMENT &amp; OTHER HPs'!$E$138:$E$175&amp;'TB-EQUIPMENT &amp; OTHER HPs'!$I$138:$I$175,0)),"")</f>
        <v/>
      </c>
      <c r="I309" s="625">
        <f t="array" ref="I309">IFERROR(INDEX('TB-EQUIPMENT &amp; OTHER HPs'!$N$138:$N$175,MATCH($E309&amp;$F309,'TB-EQUIPMENT &amp; OTHER HPs'!$E$138:$E$175&amp;'TB-EQUIPMENT &amp; OTHER HPs'!$I$138:$I$175,0)),0)</f>
        <v>0</v>
      </c>
      <c r="J309" s="625">
        <f t="array" ref="J309">IFERROR(INDEX('TB-EQUIPMENT &amp; OTHER HPs'!$O$138:$O$175,MATCH($E309&amp;$F309,'TB-EQUIPMENT &amp; OTHER HPs'!$E$138:$E$175&amp;'TB-EQUIPMENT &amp; OTHER HPs'!$I$138:$I$175,0)),0)</f>
        <v>0</v>
      </c>
      <c r="K309" s="626">
        <f t="shared" si="360"/>
        <v>0</v>
      </c>
      <c r="L309" s="626">
        <f t="shared" si="361"/>
        <v>0</v>
      </c>
      <c r="M309" s="626">
        <f t="shared" si="362"/>
        <v>0</v>
      </c>
      <c r="N309" s="625">
        <f t="array" ref="N309">IFERROR(INDEX('TB-EQUIPMENT &amp; OTHER HPs'!$P$138:$P$175,MATCH($E309&amp;$F309,'TB-EQUIPMENT &amp; OTHER HPs'!$E$138:$E$175&amp;'TB-EQUIPMENT &amp; OTHER HPs'!$I$138:$I$175,0)),0)</f>
        <v>0</v>
      </c>
      <c r="O309" s="626">
        <f t="shared" si="363"/>
        <v>0</v>
      </c>
      <c r="P309" s="626">
        <f t="shared" si="364"/>
        <v>0</v>
      </c>
      <c r="Q309" s="626">
        <f t="shared" si="365"/>
        <v>0</v>
      </c>
      <c r="R309" s="625">
        <f t="array" ref="R309">IFERROR(INDEX('TB-EQUIPMENT &amp; OTHER HPs'!$Q$138:$Q$175,MATCH($E309&amp;$F309,'TB-EQUIPMENT &amp; OTHER HPs'!$E$138:$E$175&amp;'TB-EQUIPMENT &amp; OTHER HPs'!$I$138:$I$175,0)),0)</f>
        <v>0</v>
      </c>
      <c r="S309" s="626">
        <f t="shared" si="366"/>
        <v>0</v>
      </c>
      <c r="T309" s="626">
        <f t="shared" si="367"/>
        <v>0</v>
      </c>
      <c r="U309" s="626">
        <f t="shared" si="368"/>
        <v>0</v>
      </c>
      <c r="V309" s="625">
        <f t="array" ref="V309">IFERROR(INDEX('TB-EQUIPMENT &amp; OTHER HPs'!$R$138:$R$175,MATCH($E309&amp;$F309,'TB-EQUIPMENT &amp; OTHER HPs'!$E$138:$E$175&amp;'TB-EQUIPMENT &amp; OTHER HPs'!$I$138:$I$175,0)),0)</f>
        <v>0</v>
      </c>
      <c r="W309" s="626">
        <f t="shared" si="369"/>
        <v>0</v>
      </c>
      <c r="X309" s="626">
        <f t="shared" si="370"/>
        <v>0</v>
      </c>
      <c r="Y309" s="626">
        <f t="shared" si="371"/>
        <v>0</v>
      </c>
      <c r="AA309" s="625">
        <f t="array" ref="AA309">IFERROR(INDEX('TB-EQUIPMENT &amp; OTHER HPs'!$U$138:$U$175,MATCH($E309&amp;$F309,'TB-EQUIPMENT &amp; OTHER HPs'!$E$138:$E$175&amp;'TB-EQUIPMENT &amp; OTHER HPs'!$I$138:$I$175,0)),0)</f>
        <v>0</v>
      </c>
      <c r="AB309" s="625">
        <f t="array" ref="AB309">IFERROR(INDEX('TB-EQUIPMENT &amp; OTHER HPs'!$V$138:$V$175,MATCH($E309&amp;$F309,'TB-EQUIPMENT &amp; OTHER HPs'!$E$138:$E$175&amp;'TB-EQUIPMENT &amp; OTHER HPs'!$I$138:$I$175,0)),0)</f>
        <v>0</v>
      </c>
      <c r="AC309" s="626">
        <f t="shared" si="372"/>
        <v>0</v>
      </c>
      <c r="AD309" s="626">
        <f t="shared" si="373"/>
        <v>0</v>
      </c>
      <c r="AE309" s="626">
        <f t="shared" si="374"/>
        <v>0</v>
      </c>
      <c r="AF309" s="625">
        <f t="array" ref="AF309">IFERROR(INDEX('TB-EQUIPMENT &amp; OTHER HPs'!$W$138:$W$175,MATCH($E309&amp;$F309,'TB-EQUIPMENT &amp; OTHER HPs'!$E$138:$E$175&amp;'TB-EQUIPMENT &amp; OTHER HPs'!$I$138:$I$175,0)),0)</f>
        <v>0</v>
      </c>
      <c r="AG309" s="626">
        <f t="shared" si="375"/>
        <v>0</v>
      </c>
      <c r="AH309" s="626">
        <f t="shared" si="376"/>
        <v>0</v>
      </c>
      <c r="AI309" s="626">
        <f t="shared" si="377"/>
        <v>0</v>
      </c>
      <c r="AJ309" s="625">
        <f t="array" ref="AJ309">IFERROR(INDEX('TB-EQUIPMENT &amp; OTHER HPs'!$X$138:$X$175,MATCH($E309&amp;$F309,'TB-EQUIPMENT &amp; OTHER HPs'!$E$138:$E$175&amp;'TB-EQUIPMENT &amp; OTHER HPs'!$I$138:$I$175,0)),0)</f>
        <v>0</v>
      </c>
      <c r="AK309" s="626">
        <f t="shared" si="378"/>
        <v>0</v>
      </c>
      <c r="AL309" s="626">
        <f t="shared" si="379"/>
        <v>0</v>
      </c>
      <c r="AM309" s="626">
        <f t="shared" si="380"/>
        <v>0</v>
      </c>
      <c r="AN309" s="625">
        <f t="array" ref="AN309">IFERROR(INDEX('TB-EQUIPMENT &amp; OTHER HPs'!$Y$138:$Y$175,MATCH($E309&amp;$F309,'TB-EQUIPMENT &amp; OTHER HPs'!$E$138:$E$175&amp;'TB-EQUIPMENT &amp; OTHER HPs'!$I$138:$I$175,0)),0)</f>
        <v>0</v>
      </c>
      <c r="AO309" s="626">
        <f t="shared" si="381"/>
        <v>0</v>
      </c>
      <c r="AP309" s="626">
        <f t="shared" si="382"/>
        <v>0</v>
      </c>
      <c r="AQ309" s="626">
        <f t="shared" si="383"/>
        <v>0</v>
      </c>
      <c r="AR309" s="630"/>
      <c r="AS309" s="625">
        <f t="array" ref="AS309">IFERROR(INDEX('TB-EQUIPMENT &amp; OTHER HPs'!$AB$138:$AB$175,MATCH($E309&amp;$F309,'TB-EQUIPMENT &amp; OTHER HPs'!$E$138:$E$175&amp;'TB-EQUIPMENT &amp; OTHER HPs'!$I$138:$I$175,0)),0)</f>
        <v>0</v>
      </c>
      <c r="AT309" s="625">
        <f t="array" ref="AT309">IFERROR(INDEX('TB-EQUIPMENT &amp; OTHER HPs'!$AC$138:$AC$175,MATCH($E309&amp;$F309,'TB-EQUIPMENT &amp; OTHER HPs'!$E$138:$E$175&amp;'TB-EQUIPMENT &amp; OTHER HPs'!$I$138:$I$175,0)),0)</f>
        <v>0</v>
      </c>
      <c r="AU309" s="626">
        <f t="shared" si="384"/>
        <v>0</v>
      </c>
      <c r="AV309" s="626">
        <f t="shared" si="385"/>
        <v>0</v>
      </c>
      <c r="AW309" s="626">
        <f t="shared" si="386"/>
        <v>0</v>
      </c>
      <c r="AX309" s="625">
        <f t="array" ref="AX309">IFERROR(INDEX('TB-EQUIPMENT &amp; OTHER HPs'!$AD$138:$AD$175,MATCH($E309&amp;$F309,'TB-EQUIPMENT &amp; OTHER HPs'!$E$138:$E$175&amp;'TB-EQUIPMENT &amp; OTHER HPs'!$I$138:$I$175,0)),0)</f>
        <v>0</v>
      </c>
      <c r="AY309" s="626">
        <f t="shared" si="387"/>
        <v>0</v>
      </c>
      <c r="AZ309" s="626">
        <f t="shared" si="388"/>
        <v>0</v>
      </c>
      <c r="BA309" s="626">
        <f t="shared" si="389"/>
        <v>0</v>
      </c>
      <c r="BB309" s="625">
        <f t="array" ref="BB309">IFERROR(INDEX('TB-EQUIPMENT &amp; OTHER HPs'!$AE$138:$AE$175,MATCH($E309&amp;$F309,'TB-EQUIPMENT &amp; OTHER HPs'!$E$138:$E$175&amp;'TB-EQUIPMENT &amp; OTHER HPs'!$I$138:$I$175,0)),0)</f>
        <v>0</v>
      </c>
      <c r="BC309" s="626">
        <f t="shared" si="390"/>
        <v>0</v>
      </c>
      <c r="BD309" s="626">
        <f t="shared" si="391"/>
        <v>0</v>
      </c>
      <c r="BE309" s="626">
        <f t="shared" si="392"/>
        <v>0</v>
      </c>
      <c r="BF309" s="625">
        <f t="array" ref="BF309">IFERROR(INDEX('TB-EQUIPMENT &amp; OTHER HPs'!$AF$138:$AF$175,MATCH($E309&amp;$F309,'TB-EQUIPMENT &amp; OTHER HPs'!$E$138:$E$175&amp;'TB-EQUIPMENT &amp; OTHER HPs'!$I$138:$I$175,0)),0)</f>
        <v>0</v>
      </c>
      <c r="BG309" s="626">
        <f t="shared" si="393"/>
        <v>0</v>
      </c>
      <c r="BH309" s="626">
        <f t="shared" si="394"/>
        <v>0</v>
      </c>
      <c r="BI309" s="626">
        <f t="shared" si="395"/>
        <v>0</v>
      </c>
      <c r="BJ309" s="630"/>
      <c r="BK309" s="625"/>
      <c r="BL309" s="625"/>
      <c r="BM309" s="625"/>
      <c r="BN309" s="625"/>
      <c r="BO309" s="625"/>
      <c r="BP309" s="625"/>
      <c r="BQ309" s="625"/>
      <c r="BR309" s="625"/>
    </row>
    <row r="310" spans="1:70">
      <c r="A310" s="29" t="s">
        <v>1757</v>
      </c>
      <c r="B310" s="29" t="s">
        <v>1838</v>
      </c>
      <c r="C310" s="619">
        <f>SETUP!$F$44</f>
        <v>0</v>
      </c>
      <c r="D310" s="25">
        <v>6.6</v>
      </c>
      <c r="E310" s="26" t="s">
        <v>202</v>
      </c>
      <c r="F310" s="26" t="s">
        <v>201</v>
      </c>
      <c r="G310" s="625" t="str">
        <f t="array" ref="G310">IFERROR(INDEX('TB-EQUIPMENT &amp; OTHER HPs'!$L$138:$L$175,MATCH($E310&amp;$F310,'TB-EQUIPMENT &amp; OTHER HPs'!$E$138:$E$175&amp;'TB-EQUIPMENT &amp; OTHER HPs'!$I$138:$I$175,0)),"")</f>
        <v/>
      </c>
      <c r="H310" s="625" t="str">
        <f t="array" ref="H310">IFERROR(INDEX('TB-EQUIPMENT &amp; OTHER HPs'!$M$138:$M$175,MATCH($E310&amp;$F310,'TB-EQUIPMENT &amp; OTHER HPs'!$E$138:$E$175&amp;'TB-EQUIPMENT &amp; OTHER HPs'!$I$138:$I$175,0)),"")</f>
        <v/>
      </c>
      <c r="I310" s="625">
        <f t="array" ref="I310">IFERROR(INDEX('TB-EQUIPMENT &amp; OTHER HPs'!$N$138:$N$175,MATCH($E310&amp;$F310,'TB-EQUIPMENT &amp; OTHER HPs'!$E$138:$E$175&amp;'TB-EQUIPMENT &amp; OTHER HPs'!$I$138:$I$175,0)),0)</f>
        <v>0</v>
      </c>
      <c r="J310" s="625">
        <f t="array" ref="J310">IFERROR(INDEX('TB-EQUIPMENT &amp; OTHER HPs'!$O$138:$O$175,MATCH($E310&amp;$F310,'TB-EQUIPMENT &amp; OTHER HPs'!$E$138:$E$175&amp;'TB-EQUIPMENT &amp; OTHER HPs'!$I$138:$I$175,0)),0)</f>
        <v>0</v>
      </c>
      <c r="K310" s="626">
        <f t="shared" si="360"/>
        <v>0</v>
      </c>
      <c r="L310" s="626">
        <f t="shared" si="361"/>
        <v>0</v>
      </c>
      <c r="M310" s="626">
        <f t="shared" si="362"/>
        <v>0</v>
      </c>
      <c r="N310" s="625">
        <f t="array" ref="N310">IFERROR(INDEX('TB-EQUIPMENT &amp; OTHER HPs'!$P$138:$P$175,MATCH($E310&amp;$F310,'TB-EQUIPMENT &amp; OTHER HPs'!$E$138:$E$175&amp;'TB-EQUIPMENT &amp; OTHER HPs'!$I$138:$I$175,0)),0)</f>
        <v>0</v>
      </c>
      <c r="O310" s="626">
        <f t="shared" si="363"/>
        <v>0</v>
      </c>
      <c r="P310" s="626">
        <f t="shared" si="364"/>
        <v>0</v>
      </c>
      <c r="Q310" s="626">
        <f t="shared" si="365"/>
        <v>0</v>
      </c>
      <c r="R310" s="625">
        <f t="array" ref="R310">IFERROR(INDEX('TB-EQUIPMENT &amp; OTHER HPs'!$Q$138:$Q$175,MATCH($E310&amp;$F310,'TB-EQUIPMENT &amp; OTHER HPs'!$E$138:$E$175&amp;'TB-EQUIPMENT &amp; OTHER HPs'!$I$138:$I$175,0)),0)</f>
        <v>0</v>
      </c>
      <c r="S310" s="626">
        <f t="shared" si="366"/>
        <v>0</v>
      </c>
      <c r="T310" s="626">
        <f t="shared" si="367"/>
        <v>0</v>
      </c>
      <c r="U310" s="626">
        <f t="shared" si="368"/>
        <v>0</v>
      </c>
      <c r="V310" s="625">
        <f t="array" ref="V310">IFERROR(INDEX('TB-EQUIPMENT &amp; OTHER HPs'!$R$138:$R$175,MATCH($E310&amp;$F310,'TB-EQUIPMENT &amp; OTHER HPs'!$E$138:$E$175&amp;'TB-EQUIPMENT &amp; OTHER HPs'!$I$138:$I$175,0)),0)</f>
        <v>0</v>
      </c>
      <c r="W310" s="626">
        <f t="shared" si="369"/>
        <v>0</v>
      </c>
      <c r="X310" s="626">
        <f t="shared" si="370"/>
        <v>0</v>
      </c>
      <c r="Y310" s="626">
        <f t="shared" si="371"/>
        <v>0</v>
      </c>
      <c r="AA310" s="625">
        <f t="array" ref="AA310">IFERROR(INDEX('TB-EQUIPMENT &amp; OTHER HPs'!$U$138:$U$175,MATCH($E310&amp;$F310,'TB-EQUIPMENT &amp; OTHER HPs'!$E$138:$E$175&amp;'TB-EQUIPMENT &amp; OTHER HPs'!$I$138:$I$175,0)),0)</f>
        <v>0</v>
      </c>
      <c r="AB310" s="625">
        <f t="array" ref="AB310">IFERROR(INDEX('TB-EQUIPMENT &amp; OTHER HPs'!$V$138:$V$175,MATCH($E310&amp;$F310,'TB-EQUIPMENT &amp; OTHER HPs'!$E$138:$E$175&amp;'TB-EQUIPMENT &amp; OTHER HPs'!$I$138:$I$175,0)),0)</f>
        <v>0</v>
      </c>
      <c r="AC310" s="626">
        <f t="shared" si="372"/>
        <v>0</v>
      </c>
      <c r="AD310" s="626">
        <f t="shared" si="373"/>
        <v>0</v>
      </c>
      <c r="AE310" s="626">
        <f t="shared" si="374"/>
        <v>0</v>
      </c>
      <c r="AF310" s="625">
        <f t="array" ref="AF310">IFERROR(INDEX('TB-EQUIPMENT &amp; OTHER HPs'!$W$138:$W$175,MATCH($E310&amp;$F310,'TB-EQUIPMENT &amp; OTHER HPs'!$E$138:$E$175&amp;'TB-EQUIPMENT &amp; OTHER HPs'!$I$138:$I$175,0)),0)</f>
        <v>0</v>
      </c>
      <c r="AG310" s="626">
        <f t="shared" si="375"/>
        <v>0</v>
      </c>
      <c r="AH310" s="626">
        <f t="shared" si="376"/>
        <v>0</v>
      </c>
      <c r="AI310" s="626">
        <f t="shared" si="377"/>
        <v>0</v>
      </c>
      <c r="AJ310" s="625">
        <f t="array" ref="AJ310">IFERROR(INDEX('TB-EQUIPMENT &amp; OTHER HPs'!$X$138:$X$175,MATCH($E310&amp;$F310,'TB-EQUIPMENT &amp; OTHER HPs'!$E$138:$E$175&amp;'TB-EQUIPMENT &amp; OTHER HPs'!$I$138:$I$175,0)),0)</f>
        <v>0</v>
      </c>
      <c r="AK310" s="626">
        <f t="shared" si="378"/>
        <v>0</v>
      </c>
      <c r="AL310" s="626">
        <f t="shared" si="379"/>
        <v>0</v>
      </c>
      <c r="AM310" s="626">
        <f t="shared" si="380"/>
        <v>0</v>
      </c>
      <c r="AN310" s="625">
        <f t="array" ref="AN310">IFERROR(INDEX('TB-EQUIPMENT &amp; OTHER HPs'!$Y$138:$Y$175,MATCH($E310&amp;$F310,'TB-EQUIPMENT &amp; OTHER HPs'!$E$138:$E$175&amp;'TB-EQUIPMENT &amp; OTHER HPs'!$I$138:$I$175,0)),0)</f>
        <v>0</v>
      </c>
      <c r="AO310" s="626">
        <f t="shared" si="381"/>
        <v>0</v>
      </c>
      <c r="AP310" s="626">
        <f t="shared" si="382"/>
        <v>0</v>
      </c>
      <c r="AQ310" s="626">
        <f t="shared" si="383"/>
        <v>0</v>
      </c>
      <c r="AR310" s="630"/>
      <c r="AS310" s="625">
        <f t="array" ref="AS310">IFERROR(INDEX('TB-EQUIPMENT &amp; OTHER HPs'!$AB$138:$AB$175,MATCH($E310&amp;$F310,'TB-EQUIPMENT &amp; OTHER HPs'!$E$138:$E$175&amp;'TB-EQUIPMENT &amp; OTHER HPs'!$I$138:$I$175,0)),0)</f>
        <v>0</v>
      </c>
      <c r="AT310" s="625">
        <f t="array" ref="AT310">IFERROR(INDEX('TB-EQUIPMENT &amp; OTHER HPs'!$AC$138:$AC$175,MATCH($E310&amp;$F310,'TB-EQUIPMENT &amp; OTHER HPs'!$E$138:$E$175&amp;'TB-EQUIPMENT &amp; OTHER HPs'!$I$138:$I$175,0)),0)</f>
        <v>0</v>
      </c>
      <c r="AU310" s="626">
        <f t="shared" si="384"/>
        <v>0</v>
      </c>
      <c r="AV310" s="626">
        <f t="shared" si="385"/>
        <v>0</v>
      </c>
      <c r="AW310" s="626">
        <f t="shared" si="386"/>
        <v>0</v>
      </c>
      <c r="AX310" s="625">
        <f t="array" ref="AX310">IFERROR(INDEX('TB-EQUIPMENT &amp; OTHER HPs'!$AD$138:$AD$175,MATCH($E310&amp;$F310,'TB-EQUIPMENT &amp; OTHER HPs'!$E$138:$E$175&amp;'TB-EQUIPMENT &amp; OTHER HPs'!$I$138:$I$175,0)),0)</f>
        <v>0</v>
      </c>
      <c r="AY310" s="626">
        <f t="shared" si="387"/>
        <v>0</v>
      </c>
      <c r="AZ310" s="626">
        <f t="shared" si="388"/>
        <v>0</v>
      </c>
      <c r="BA310" s="626">
        <f t="shared" si="389"/>
        <v>0</v>
      </c>
      <c r="BB310" s="625">
        <f t="array" ref="BB310">IFERROR(INDEX('TB-EQUIPMENT &amp; OTHER HPs'!$AE$138:$AE$175,MATCH($E310&amp;$F310,'TB-EQUIPMENT &amp; OTHER HPs'!$E$138:$E$175&amp;'TB-EQUIPMENT &amp; OTHER HPs'!$I$138:$I$175,0)),0)</f>
        <v>0</v>
      </c>
      <c r="BC310" s="626">
        <f t="shared" si="390"/>
        <v>0</v>
      </c>
      <c r="BD310" s="626">
        <f t="shared" si="391"/>
        <v>0</v>
      </c>
      <c r="BE310" s="626">
        <f t="shared" si="392"/>
        <v>0</v>
      </c>
      <c r="BF310" s="625">
        <f t="array" ref="BF310">IFERROR(INDEX('TB-EQUIPMENT &amp; OTHER HPs'!$AF$138:$AF$175,MATCH($E310&amp;$F310,'TB-EQUIPMENT &amp; OTHER HPs'!$E$138:$E$175&amp;'TB-EQUIPMENT &amp; OTHER HPs'!$I$138:$I$175,0)),0)</f>
        <v>0</v>
      </c>
      <c r="BG310" s="626">
        <f t="shared" si="393"/>
        <v>0</v>
      </c>
      <c r="BH310" s="626">
        <f t="shared" si="394"/>
        <v>0</v>
      </c>
      <c r="BI310" s="626">
        <f t="shared" si="395"/>
        <v>0</v>
      </c>
      <c r="BJ310" s="630"/>
      <c r="BK310" s="625"/>
      <c r="BL310" s="625"/>
      <c r="BM310" s="625"/>
      <c r="BN310" s="625"/>
      <c r="BO310" s="625"/>
      <c r="BP310" s="625"/>
      <c r="BQ310" s="625"/>
      <c r="BR310" s="625"/>
    </row>
    <row r="311" spans="1:70">
      <c r="A311" s="29" t="s">
        <v>1757</v>
      </c>
      <c r="B311" s="29" t="s">
        <v>1838</v>
      </c>
      <c r="C311" s="619">
        <f>SETUP!$F$44</f>
        <v>0</v>
      </c>
      <c r="D311" s="25">
        <v>6.6</v>
      </c>
      <c r="E311" s="26" t="s">
        <v>202</v>
      </c>
      <c r="F311" s="26" t="s">
        <v>200</v>
      </c>
      <c r="G311" s="625" t="str">
        <f t="array" ref="G311">IFERROR(INDEX('TB-EQUIPMENT &amp; OTHER HPs'!$L$138:$L$175,MATCH($E311&amp;$F311,'TB-EQUIPMENT &amp; OTHER HPs'!$E$138:$E$175&amp;'TB-EQUIPMENT &amp; OTHER HPs'!$I$138:$I$175,0)),"")</f>
        <v/>
      </c>
      <c r="H311" s="625" t="str">
        <f t="array" ref="H311">IFERROR(INDEX('TB-EQUIPMENT &amp; OTHER HPs'!$M$138:$M$175,MATCH($E311&amp;$F311,'TB-EQUIPMENT &amp; OTHER HPs'!$E$138:$E$175&amp;'TB-EQUIPMENT &amp; OTHER HPs'!$I$138:$I$175,0)),"")</f>
        <v/>
      </c>
      <c r="I311" s="625">
        <f t="array" ref="I311">IFERROR(INDEX('TB-EQUIPMENT &amp; OTHER HPs'!$N$138:$N$175,MATCH($E311&amp;$F311,'TB-EQUIPMENT &amp; OTHER HPs'!$E$138:$E$175&amp;'TB-EQUIPMENT &amp; OTHER HPs'!$I$138:$I$175,0)),0)</f>
        <v>0</v>
      </c>
      <c r="J311" s="625">
        <f t="array" ref="J311">IFERROR(INDEX('TB-EQUIPMENT &amp; OTHER HPs'!$O$138:$O$175,MATCH($E311&amp;$F311,'TB-EQUIPMENT &amp; OTHER HPs'!$E$138:$E$175&amp;'TB-EQUIPMENT &amp; OTHER HPs'!$I$138:$I$175,0)),0)</f>
        <v>0</v>
      </c>
      <c r="K311" s="626">
        <f t="shared" si="360"/>
        <v>0</v>
      </c>
      <c r="L311" s="626">
        <f t="shared" si="361"/>
        <v>0</v>
      </c>
      <c r="M311" s="626">
        <f t="shared" si="362"/>
        <v>0</v>
      </c>
      <c r="N311" s="625">
        <f t="array" ref="N311">IFERROR(INDEX('TB-EQUIPMENT &amp; OTHER HPs'!$P$138:$P$175,MATCH($E311&amp;$F311,'TB-EQUIPMENT &amp; OTHER HPs'!$E$138:$E$175&amp;'TB-EQUIPMENT &amp; OTHER HPs'!$I$138:$I$175,0)),0)</f>
        <v>0</v>
      </c>
      <c r="O311" s="626">
        <f t="shared" si="363"/>
        <v>0</v>
      </c>
      <c r="P311" s="626">
        <f t="shared" si="364"/>
        <v>0</v>
      </c>
      <c r="Q311" s="626">
        <f t="shared" si="365"/>
        <v>0</v>
      </c>
      <c r="R311" s="625">
        <f t="array" ref="R311">IFERROR(INDEX('TB-EQUIPMENT &amp; OTHER HPs'!$Q$138:$Q$175,MATCH($E311&amp;$F311,'TB-EQUIPMENT &amp; OTHER HPs'!$E$138:$E$175&amp;'TB-EQUIPMENT &amp; OTHER HPs'!$I$138:$I$175,0)),0)</f>
        <v>0</v>
      </c>
      <c r="S311" s="626">
        <f t="shared" si="366"/>
        <v>0</v>
      </c>
      <c r="T311" s="626">
        <f t="shared" si="367"/>
        <v>0</v>
      </c>
      <c r="U311" s="626">
        <f t="shared" si="368"/>
        <v>0</v>
      </c>
      <c r="V311" s="625">
        <f t="array" ref="V311">IFERROR(INDEX('TB-EQUIPMENT &amp; OTHER HPs'!$R$138:$R$175,MATCH($E311&amp;$F311,'TB-EQUIPMENT &amp; OTHER HPs'!$E$138:$E$175&amp;'TB-EQUIPMENT &amp; OTHER HPs'!$I$138:$I$175,0)),0)</f>
        <v>0</v>
      </c>
      <c r="W311" s="626">
        <f t="shared" si="369"/>
        <v>0</v>
      </c>
      <c r="X311" s="626">
        <f t="shared" si="370"/>
        <v>0</v>
      </c>
      <c r="Y311" s="626">
        <f t="shared" si="371"/>
        <v>0</v>
      </c>
      <c r="AA311" s="625">
        <f t="array" ref="AA311">IFERROR(INDEX('TB-EQUIPMENT &amp; OTHER HPs'!$U$138:$U$175,MATCH($E311&amp;$F311,'TB-EQUIPMENT &amp; OTHER HPs'!$E$138:$E$175&amp;'TB-EQUIPMENT &amp; OTHER HPs'!$I$138:$I$175,0)),0)</f>
        <v>0</v>
      </c>
      <c r="AB311" s="625">
        <f t="array" ref="AB311">IFERROR(INDEX('TB-EQUIPMENT &amp; OTHER HPs'!$V$138:$V$175,MATCH($E311&amp;$F311,'TB-EQUIPMENT &amp; OTHER HPs'!$E$138:$E$175&amp;'TB-EQUIPMENT &amp; OTHER HPs'!$I$138:$I$175,0)),0)</f>
        <v>0</v>
      </c>
      <c r="AC311" s="626">
        <f t="shared" si="372"/>
        <v>0</v>
      </c>
      <c r="AD311" s="626">
        <f t="shared" si="373"/>
        <v>0</v>
      </c>
      <c r="AE311" s="626">
        <f t="shared" si="374"/>
        <v>0</v>
      </c>
      <c r="AF311" s="625">
        <f t="array" ref="AF311">IFERROR(INDEX('TB-EQUIPMENT &amp; OTHER HPs'!$W$138:$W$175,MATCH($E311&amp;$F311,'TB-EQUIPMENT &amp; OTHER HPs'!$E$138:$E$175&amp;'TB-EQUIPMENT &amp; OTHER HPs'!$I$138:$I$175,0)),0)</f>
        <v>0</v>
      </c>
      <c r="AG311" s="626">
        <f t="shared" si="375"/>
        <v>0</v>
      </c>
      <c r="AH311" s="626">
        <f t="shared" si="376"/>
        <v>0</v>
      </c>
      <c r="AI311" s="626">
        <f t="shared" si="377"/>
        <v>0</v>
      </c>
      <c r="AJ311" s="625">
        <f t="array" ref="AJ311">IFERROR(INDEX('TB-EQUIPMENT &amp; OTHER HPs'!$X$138:$X$175,MATCH($E311&amp;$F311,'TB-EQUIPMENT &amp; OTHER HPs'!$E$138:$E$175&amp;'TB-EQUIPMENT &amp; OTHER HPs'!$I$138:$I$175,0)),0)</f>
        <v>0</v>
      </c>
      <c r="AK311" s="626">
        <f t="shared" si="378"/>
        <v>0</v>
      </c>
      <c r="AL311" s="626">
        <f t="shared" si="379"/>
        <v>0</v>
      </c>
      <c r="AM311" s="626">
        <f t="shared" si="380"/>
        <v>0</v>
      </c>
      <c r="AN311" s="625">
        <f t="array" ref="AN311">IFERROR(INDEX('TB-EQUIPMENT &amp; OTHER HPs'!$Y$138:$Y$175,MATCH($E311&amp;$F311,'TB-EQUIPMENT &amp; OTHER HPs'!$E$138:$E$175&amp;'TB-EQUIPMENT &amp; OTHER HPs'!$I$138:$I$175,0)),0)</f>
        <v>0</v>
      </c>
      <c r="AO311" s="626">
        <f t="shared" si="381"/>
        <v>0</v>
      </c>
      <c r="AP311" s="626">
        <f t="shared" si="382"/>
        <v>0</v>
      </c>
      <c r="AQ311" s="626">
        <f t="shared" si="383"/>
        <v>0</v>
      </c>
      <c r="AR311" s="630"/>
      <c r="AS311" s="625">
        <f t="array" ref="AS311">IFERROR(INDEX('TB-EQUIPMENT &amp; OTHER HPs'!$AB$138:$AB$175,MATCH($E311&amp;$F311,'TB-EQUIPMENT &amp; OTHER HPs'!$E$138:$E$175&amp;'TB-EQUIPMENT &amp; OTHER HPs'!$I$138:$I$175,0)),0)</f>
        <v>0</v>
      </c>
      <c r="AT311" s="625">
        <f t="array" ref="AT311">IFERROR(INDEX('TB-EQUIPMENT &amp; OTHER HPs'!$AC$138:$AC$175,MATCH($E311&amp;$F311,'TB-EQUIPMENT &amp; OTHER HPs'!$E$138:$E$175&amp;'TB-EQUIPMENT &amp; OTHER HPs'!$I$138:$I$175,0)),0)</f>
        <v>0</v>
      </c>
      <c r="AU311" s="626">
        <f t="shared" si="384"/>
        <v>0</v>
      </c>
      <c r="AV311" s="626">
        <f t="shared" si="385"/>
        <v>0</v>
      </c>
      <c r="AW311" s="626">
        <f t="shared" si="386"/>
        <v>0</v>
      </c>
      <c r="AX311" s="625">
        <f t="array" ref="AX311">IFERROR(INDEX('TB-EQUIPMENT &amp; OTHER HPs'!$AD$138:$AD$175,MATCH($E311&amp;$F311,'TB-EQUIPMENT &amp; OTHER HPs'!$E$138:$E$175&amp;'TB-EQUIPMENT &amp; OTHER HPs'!$I$138:$I$175,0)),0)</f>
        <v>0</v>
      </c>
      <c r="AY311" s="626">
        <f t="shared" si="387"/>
        <v>0</v>
      </c>
      <c r="AZ311" s="626">
        <f t="shared" si="388"/>
        <v>0</v>
      </c>
      <c r="BA311" s="626">
        <f t="shared" si="389"/>
        <v>0</v>
      </c>
      <c r="BB311" s="625">
        <f t="array" ref="BB311">IFERROR(INDEX('TB-EQUIPMENT &amp; OTHER HPs'!$AE$138:$AE$175,MATCH($E311&amp;$F311,'TB-EQUIPMENT &amp; OTHER HPs'!$E$138:$E$175&amp;'TB-EQUIPMENT &amp; OTHER HPs'!$I$138:$I$175,0)),0)</f>
        <v>0</v>
      </c>
      <c r="BC311" s="626">
        <f t="shared" si="390"/>
        <v>0</v>
      </c>
      <c r="BD311" s="626">
        <f t="shared" si="391"/>
        <v>0</v>
      </c>
      <c r="BE311" s="626">
        <f t="shared" si="392"/>
        <v>0</v>
      </c>
      <c r="BF311" s="625">
        <f t="array" ref="BF311">IFERROR(INDEX('TB-EQUIPMENT &amp; OTHER HPs'!$AF$138:$AF$175,MATCH($E311&amp;$F311,'TB-EQUIPMENT &amp; OTHER HPs'!$E$138:$E$175&amp;'TB-EQUIPMENT &amp; OTHER HPs'!$I$138:$I$175,0)),0)</f>
        <v>0</v>
      </c>
      <c r="BG311" s="626">
        <f t="shared" si="393"/>
        <v>0</v>
      </c>
      <c r="BH311" s="626">
        <f t="shared" si="394"/>
        <v>0</v>
      </c>
      <c r="BI311" s="626">
        <f t="shared" si="395"/>
        <v>0</v>
      </c>
      <c r="BJ311" s="630"/>
      <c r="BK311" s="625"/>
      <c r="BL311" s="625"/>
      <c r="BM311" s="625"/>
      <c r="BN311" s="625"/>
      <c r="BO311" s="625"/>
      <c r="BP311" s="625"/>
      <c r="BQ311" s="625"/>
      <c r="BR311" s="625"/>
    </row>
    <row r="312" spans="1:70">
      <c r="A312" s="29" t="s">
        <v>1757</v>
      </c>
      <c r="B312" s="29" t="s">
        <v>1838</v>
      </c>
      <c r="C312" s="619">
        <f>SETUP!$F$44</f>
        <v>0</v>
      </c>
      <c r="D312" s="25">
        <v>6.6</v>
      </c>
      <c r="E312" s="26" t="s">
        <v>1230</v>
      </c>
      <c r="F312" s="26" t="s">
        <v>201</v>
      </c>
      <c r="G312" s="625" t="str">
        <f t="array" ref="G312">IFERROR(INDEX('TB-EQUIPMENT &amp; OTHER HPs'!$L$138:$L$175,MATCH($E312&amp;$F312,'TB-EQUIPMENT &amp; OTHER HPs'!$E$138:$E$175&amp;'TB-EQUIPMENT &amp; OTHER HPs'!$I$138:$I$175,0)),"")</f>
        <v/>
      </c>
      <c r="H312" s="625" t="str">
        <f t="array" ref="H312">IFERROR(INDEX('TB-EQUIPMENT &amp; OTHER HPs'!$M$138:$M$175,MATCH($E312&amp;$F312,'TB-EQUIPMENT &amp; OTHER HPs'!$E$138:$E$175&amp;'TB-EQUIPMENT &amp; OTHER HPs'!$I$138:$I$175,0)),"")</f>
        <v/>
      </c>
      <c r="I312" s="625">
        <f t="array" ref="I312">IFERROR(INDEX('TB-EQUIPMENT &amp; OTHER HPs'!$N$138:$N$175,MATCH($E312&amp;$F312,'TB-EQUIPMENT &amp; OTHER HPs'!$E$138:$E$175&amp;'TB-EQUIPMENT &amp; OTHER HPs'!$I$138:$I$175,0)),0)</f>
        <v>0</v>
      </c>
      <c r="J312" s="625">
        <f t="array" ref="J312">IFERROR(INDEX('TB-EQUIPMENT &amp; OTHER HPs'!$O$138:$O$175,MATCH($E312&amp;$F312,'TB-EQUIPMENT &amp; OTHER HPs'!$E$138:$E$175&amp;'TB-EQUIPMENT &amp; OTHER HPs'!$I$138:$I$175,0)),0)</f>
        <v>0</v>
      </c>
      <c r="K312" s="626">
        <f t="shared" si="360"/>
        <v>0</v>
      </c>
      <c r="L312" s="626">
        <f t="shared" si="361"/>
        <v>0</v>
      </c>
      <c r="M312" s="626">
        <f t="shared" si="362"/>
        <v>0</v>
      </c>
      <c r="N312" s="625">
        <f t="array" ref="N312">IFERROR(INDEX('TB-EQUIPMENT &amp; OTHER HPs'!$P$138:$P$175,MATCH($E312&amp;$F312,'TB-EQUIPMENT &amp; OTHER HPs'!$E$138:$E$175&amp;'TB-EQUIPMENT &amp; OTHER HPs'!$I$138:$I$175,0)),0)</f>
        <v>0</v>
      </c>
      <c r="O312" s="626">
        <f t="shared" si="363"/>
        <v>0</v>
      </c>
      <c r="P312" s="626">
        <f t="shared" si="364"/>
        <v>0</v>
      </c>
      <c r="Q312" s="626">
        <f t="shared" si="365"/>
        <v>0</v>
      </c>
      <c r="R312" s="625">
        <f t="array" ref="R312">IFERROR(INDEX('TB-EQUIPMENT &amp; OTHER HPs'!$Q$138:$Q$175,MATCH($E312&amp;$F312,'TB-EQUIPMENT &amp; OTHER HPs'!$E$138:$E$175&amp;'TB-EQUIPMENT &amp; OTHER HPs'!$I$138:$I$175,0)),0)</f>
        <v>0</v>
      </c>
      <c r="S312" s="626">
        <f t="shared" si="366"/>
        <v>0</v>
      </c>
      <c r="T312" s="626">
        <f t="shared" si="367"/>
        <v>0</v>
      </c>
      <c r="U312" s="626">
        <f t="shared" si="368"/>
        <v>0</v>
      </c>
      <c r="V312" s="625">
        <f t="array" ref="V312">IFERROR(INDEX('TB-EQUIPMENT &amp; OTHER HPs'!$R$138:$R$175,MATCH($E312&amp;$F312,'TB-EQUIPMENT &amp; OTHER HPs'!$E$138:$E$175&amp;'TB-EQUIPMENT &amp; OTHER HPs'!$I$138:$I$175,0)),0)</f>
        <v>0</v>
      </c>
      <c r="W312" s="626">
        <f t="shared" si="369"/>
        <v>0</v>
      </c>
      <c r="X312" s="626">
        <f t="shared" si="370"/>
        <v>0</v>
      </c>
      <c r="Y312" s="626">
        <f t="shared" si="371"/>
        <v>0</v>
      </c>
      <c r="AA312" s="625">
        <f t="array" ref="AA312">IFERROR(INDEX('TB-EQUIPMENT &amp; OTHER HPs'!$U$138:$U$175,MATCH($E312&amp;$F312,'TB-EQUIPMENT &amp; OTHER HPs'!$E$138:$E$175&amp;'TB-EQUIPMENT &amp; OTHER HPs'!$I$138:$I$175,0)),0)</f>
        <v>0</v>
      </c>
      <c r="AB312" s="625">
        <f t="array" ref="AB312">IFERROR(INDEX('TB-EQUIPMENT &amp; OTHER HPs'!$V$138:$V$175,MATCH($E312&amp;$F312,'TB-EQUIPMENT &amp; OTHER HPs'!$E$138:$E$175&amp;'TB-EQUIPMENT &amp; OTHER HPs'!$I$138:$I$175,0)),0)</f>
        <v>0</v>
      </c>
      <c r="AC312" s="626">
        <f t="shared" si="372"/>
        <v>0</v>
      </c>
      <c r="AD312" s="626">
        <f t="shared" si="373"/>
        <v>0</v>
      </c>
      <c r="AE312" s="626">
        <f t="shared" si="374"/>
        <v>0</v>
      </c>
      <c r="AF312" s="625">
        <f t="array" ref="AF312">IFERROR(INDEX('TB-EQUIPMENT &amp; OTHER HPs'!$W$138:$W$175,MATCH($E312&amp;$F312,'TB-EQUIPMENT &amp; OTHER HPs'!$E$138:$E$175&amp;'TB-EQUIPMENT &amp; OTHER HPs'!$I$138:$I$175,0)),0)</f>
        <v>0</v>
      </c>
      <c r="AG312" s="626">
        <f t="shared" si="375"/>
        <v>0</v>
      </c>
      <c r="AH312" s="626">
        <f t="shared" si="376"/>
        <v>0</v>
      </c>
      <c r="AI312" s="626">
        <f t="shared" si="377"/>
        <v>0</v>
      </c>
      <c r="AJ312" s="625">
        <f t="array" ref="AJ312">IFERROR(INDEX('TB-EQUIPMENT &amp; OTHER HPs'!$X$138:$X$175,MATCH($E312&amp;$F312,'TB-EQUIPMENT &amp; OTHER HPs'!$E$138:$E$175&amp;'TB-EQUIPMENT &amp; OTHER HPs'!$I$138:$I$175,0)),0)</f>
        <v>0</v>
      </c>
      <c r="AK312" s="626">
        <f t="shared" si="378"/>
        <v>0</v>
      </c>
      <c r="AL312" s="626">
        <f t="shared" si="379"/>
        <v>0</v>
      </c>
      <c r="AM312" s="626">
        <f t="shared" si="380"/>
        <v>0</v>
      </c>
      <c r="AN312" s="625">
        <f t="array" ref="AN312">IFERROR(INDEX('TB-EQUIPMENT &amp; OTHER HPs'!$Y$138:$Y$175,MATCH($E312&amp;$F312,'TB-EQUIPMENT &amp; OTHER HPs'!$E$138:$E$175&amp;'TB-EQUIPMENT &amp; OTHER HPs'!$I$138:$I$175,0)),0)</f>
        <v>0</v>
      </c>
      <c r="AO312" s="626">
        <f t="shared" si="381"/>
        <v>0</v>
      </c>
      <c r="AP312" s="626">
        <f t="shared" si="382"/>
        <v>0</v>
      </c>
      <c r="AQ312" s="626">
        <f t="shared" si="383"/>
        <v>0</v>
      </c>
      <c r="AR312" s="630"/>
      <c r="AS312" s="625">
        <f t="array" ref="AS312">IFERROR(INDEX('TB-EQUIPMENT &amp; OTHER HPs'!$AB$138:$AB$175,MATCH($E312&amp;$F312,'TB-EQUIPMENT &amp; OTHER HPs'!$E$138:$E$175&amp;'TB-EQUIPMENT &amp; OTHER HPs'!$I$138:$I$175,0)),0)</f>
        <v>0</v>
      </c>
      <c r="AT312" s="625">
        <f t="array" ref="AT312">IFERROR(INDEX('TB-EQUIPMENT &amp; OTHER HPs'!$AC$138:$AC$175,MATCH($E312&amp;$F312,'TB-EQUIPMENT &amp; OTHER HPs'!$E$138:$E$175&amp;'TB-EQUIPMENT &amp; OTHER HPs'!$I$138:$I$175,0)),0)</f>
        <v>0</v>
      </c>
      <c r="AU312" s="626">
        <f t="shared" si="384"/>
        <v>0</v>
      </c>
      <c r="AV312" s="626">
        <f t="shared" si="385"/>
        <v>0</v>
      </c>
      <c r="AW312" s="626">
        <f t="shared" si="386"/>
        <v>0</v>
      </c>
      <c r="AX312" s="625">
        <f t="array" ref="AX312">IFERROR(INDEX('TB-EQUIPMENT &amp; OTHER HPs'!$AD$138:$AD$175,MATCH($E312&amp;$F312,'TB-EQUIPMENT &amp; OTHER HPs'!$E$138:$E$175&amp;'TB-EQUIPMENT &amp; OTHER HPs'!$I$138:$I$175,0)),0)</f>
        <v>0</v>
      </c>
      <c r="AY312" s="626">
        <f t="shared" si="387"/>
        <v>0</v>
      </c>
      <c r="AZ312" s="626">
        <f t="shared" si="388"/>
        <v>0</v>
      </c>
      <c r="BA312" s="626">
        <f t="shared" si="389"/>
        <v>0</v>
      </c>
      <c r="BB312" s="625">
        <f t="array" ref="BB312">IFERROR(INDEX('TB-EQUIPMENT &amp; OTHER HPs'!$AE$138:$AE$175,MATCH($E312&amp;$F312,'TB-EQUIPMENT &amp; OTHER HPs'!$E$138:$E$175&amp;'TB-EQUIPMENT &amp; OTHER HPs'!$I$138:$I$175,0)),0)</f>
        <v>0</v>
      </c>
      <c r="BC312" s="626">
        <f t="shared" si="390"/>
        <v>0</v>
      </c>
      <c r="BD312" s="626">
        <f t="shared" si="391"/>
        <v>0</v>
      </c>
      <c r="BE312" s="626">
        <f t="shared" si="392"/>
        <v>0</v>
      </c>
      <c r="BF312" s="625">
        <f t="array" ref="BF312">IFERROR(INDEX('TB-EQUIPMENT &amp; OTHER HPs'!$AF$138:$AF$175,MATCH($E312&amp;$F312,'TB-EQUIPMENT &amp; OTHER HPs'!$E$138:$E$175&amp;'TB-EQUIPMENT &amp; OTHER HPs'!$I$138:$I$175,0)),0)</f>
        <v>0</v>
      </c>
      <c r="BG312" s="626">
        <f t="shared" si="393"/>
        <v>0</v>
      </c>
      <c r="BH312" s="626">
        <f t="shared" si="394"/>
        <v>0</v>
      </c>
      <c r="BI312" s="626">
        <f t="shared" si="395"/>
        <v>0</v>
      </c>
      <c r="BJ312" s="630"/>
      <c r="BK312" s="625"/>
      <c r="BL312" s="625"/>
      <c r="BM312" s="625"/>
      <c r="BN312" s="625"/>
      <c r="BO312" s="625"/>
      <c r="BP312" s="625"/>
      <c r="BQ312" s="625"/>
      <c r="BR312" s="625"/>
    </row>
    <row r="313" spans="1:70">
      <c r="A313" s="29" t="s">
        <v>1757</v>
      </c>
      <c r="B313" s="29" t="s">
        <v>1838</v>
      </c>
      <c r="C313" s="619">
        <f>SETUP!$F$44</f>
        <v>0</v>
      </c>
      <c r="D313" s="25">
        <v>6.6</v>
      </c>
      <c r="E313" s="26" t="s">
        <v>1230</v>
      </c>
      <c r="F313" s="26" t="s">
        <v>200</v>
      </c>
      <c r="G313" s="625" t="str">
        <f t="array" ref="G313">IFERROR(INDEX('TB-EQUIPMENT &amp; OTHER HPs'!$L$138:$L$175,MATCH($E313&amp;$F313,'TB-EQUIPMENT &amp; OTHER HPs'!$E$138:$E$175&amp;'TB-EQUIPMENT &amp; OTHER HPs'!$I$138:$I$175,0)),"")</f>
        <v/>
      </c>
      <c r="H313" s="625" t="str">
        <f t="array" ref="H313">IFERROR(INDEX('TB-EQUIPMENT &amp; OTHER HPs'!$M$138:$M$175,MATCH($E313&amp;$F313,'TB-EQUIPMENT &amp; OTHER HPs'!$E$138:$E$175&amp;'TB-EQUIPMENT &amp; OTHER HPs'!$I$138:$I$175,0)),"")</f>
        <v/>
      </c>
      <c r="I313" s="625">
        <f t="array" ref="I313">IFERROR(INDEX('TB-EQUIPMENT &amp; OTHER HPs'!$N$138:$N$175,MATCH($E313&amp;$F313,'TB-EQUIPMENT &amp; OTHER HPs'!$E$138:$E$175&amp;'TB-EQUIPMENT &amp; OTHER HPs'!$I$138:$I$175,0)),0)</f>
        <v>0</v>
      </c>
      <c r="J313" s="625">
        <f t="array" ref="J313">IFERROR(INDEX('TB-EQUIPMENT &amp; OTHER HPs'!$O$138:$O$175,MATCH($E313&amp;$F313,'TB-EQUIPMENT &amp; OTHER HPs'!$E$138:$E$175&amp;'TB-EQUIPMENT &amp; OTHER HPs'!$I$138:$I$175,0)),0)</f>
        <v>0</v>
      </c>
      <c r="K313" s="626">
        <f t="shared" si="360"/>
        <v>0</v>
      </c>
      <c r="L313" s="626">
        <f t="shared" si="361"/>
        <v>0</v>
      </c>
      <c r="M313" s="626">
        <f t="shared" si="362"/>
        <v>0</v>
      </c>
      <c r="N313" s="625">
        <f t="array" ref="N313">IFERROR(INDEX('TB-EQUIPMENT &amp; OTHER HPs'!$P$138:$P$175,MATCH($E313&amp;$F313,'TB-EQUIPMENT &amp; OTHER HPs'!$E$138:$E$175&amp;'TB-EQUIPMENT &amp; OTHER HPs'!$I$138:$I$175,0)),0)</f>
        <v>0</v>
      </c>
      <c r="O313" s="626">
        <f t="shared" si="363"/>
        <v>0</v>
      </c>
      <c r="P313" s="626">
        <f t="shared" si="364"/>
        <v>0</v>
      </c>
      <c r="Q313" s="626">
        <f t="shared" si="365"/>
        <v>0</v>
      </c>
      <c r="R313" s="625">
        <f t="array" ref="R313">IFERROR(INDEX('TB-EQUIPMENT &amp; OTHER HPs'!$Q$138:$Q$175,MATCH($E313&amp;$F313,'TB-EQUIPMENT &amp; OTHER HPs'!$E$138:$E$175&amp;'TB-EQUIPMENT &amp; OTHER HPs'!$I$138:$I$175,0)),0)</f>
        <v>0</v>
      </c>
      <c r="S313" s="626">
        <f t="shared" si="366"/>
        <v>0</v>
      </c>
      <c r="T313" s="626">
        <f t="shared" si="367"/>
        <v>0</v>
      </c>
      <c r="U313" s="626">
        <f t="shared" si="368"/>
        <v>0</v>
      </c>
      <c r="V313" s="625">
        <f t="array" ref="V313">IFERROR(INDEX('TB-EQUIPMENT &amp; OTHER HPs'!$R$138:$R$175,MATCH($E313&amp;$F313,'TB-EQUIPMENT &amp; OTHER HPs'!$E$138:$E$175&amp;'TB-EQUIPMENT &amp; OTHER HPs'!$I$138:$I$175,0)),0)</f>
        <v>0</v>
      </c>
      <c r="W313" s="626">
        <f t="shared" si="369"/>
        <v>0</v>
      </c>
      <c r="X313" s="626">
        <f t="shared" si="370"/>
        <v>0</v>
      </c>
      <c r="Y313" s="626">
        <f t="shared" si="371"/>
        <v>0</v>
      </c>
      <c r="AA313" s="625">
        <f t="array" ref="AA313">IFERROR(INDEX('TB-EQUIPMENT &amp; OTHER HPs'!$U$138:$U$175,MATCH($E313&amp;$F313,'TB-EQUIPMENT &amp; OTHER HPs'!$E$138:$E$175&amp;'TB-EQUIPMENT &amp; OTHER HPs'!$I$138:$I$175,0)),0)</f>
        <v>0</v>
      </c>
      <c r="AB313" s="625">
        <f t="array" ref="AB313">IFERROR(INDEX('TB-EQUIPMENT &amp; OTHER HPs'!$V$138:$V$175,MATCH($E313&amp;$F313,'TB-EQUIPMENT &amp; OTHER HPs'!$E$138:$E$175&amp;'TB-EQUIPMENT &amp; OTHER HPs'!$I$138:$I$175,0)),0)</f>
        <v>0</v>
      </c>
      <c r="AC313" s="626">
        <f t="shared" si="372"/>
        <v>0</v>
      </c>
      <c r="AD313" s="626">
        <f t="shared" si="373"/>
        <v>0</v>
      </c>
      <c r="AE313" s="626">
        <f t="shared" si="374"/>
        <v>0</v>
      </c>
      <c r="AF313" s="625">
        <f t="array" ref="AF313">IFERROR(INDEX('TB-EQUIPMENT &amp; OTHER HPs'!$W$138:$W$175,MATCH($E313&amp;$F313,'TB-EQUIPMENT &amp; OTHER HPs'!$E$138:$E$175&amp;'TB-EQUIPMENT &amp; OTHER HPs'!$I$138:$I$175,0)),0)</f>
        <v>0</v>
      </c>
      <c r="AG313" s="626">
        <f t="shared" si="375"/>
        <v>0</v>
      </c>
      <c r="AH313" s="626">
        <f t="shared" si="376"/>
        <v>0</v>
      </c>
      <c r="AI313" s="626">
        <f t="shared" si="377"/>
        <v>0</v>
      </c>
      <c r="AJ313" s="625">
        <f t="array" ref="AJ313">IFERROR(INDEX('TB-EQUIPMENT &amp; OTHER HPs'!$X$138:$X$175,MATCH($E313&amp;$F313,'TB-EQUIPMENT &amp; OTHER HPs'!$E$138:$E$175&amp;'TB-EQUIPMENT &amp; OTHER HPs'!$I$138:$I$175,0)),0)</f>
        <v>0</v>
      </c>
      <c r="AK313" s="626">
        <f t="shared" si="378"/>
        <v>0</v>
      </c>
      <c r="AL313" s="626">
        <f t="shared" si="379"/>
        <v>0</v>
      </c>
      <c r="AM313" s="626">
        <f t="shared" si="380"/>
        <v>0</v>
      </c>
      <c r="AN313" s="625">
        <f t="array" ref="AN313">IFERROR(INDEX('TB-EQUIPMENT &amp; OTHER HPs'!$Y$138:$Y$175,MATCH($E313&amp;$F313,'TB-EQUIPMENT &amp; OTHER HPs'!$E$138:$E$175&amp;'TB-EQUIPMENT &amp; OTHER HPs'!$I$138:$I$175,0)),0)</f>
        <v>0</v>
      </c>
      <c r="AO313" s="626">
        <f t="shared" si="381"/>
        <v>0</v>
      </c>
      <c r="AP313" s="626">
        <f t="shared" si="382"/>
        <v>0</v>
      </c>
      <c r="AQ313" s="626">
        <f t="shared" si="383"/>
        <v>0</v>
      </c>
      <c r="AR313" s="630"/>
      <c r="AS313" s="625">
        <f t="array" ref="AS313">IFERROR(INDEX('TB-EQUIPMENT &amp; OTHER HPs'!$AB$138:$AB$175,MATCH($E313&amp;$F313,'TB-EQUIPMENT &amp; OTHER HPs'!$E$138:$E$175&amp;'TB-EQUIPMENT &amp; OTHER HPs'!$I$138:$I$175,0)),0)</f>
        <v>0</v>
      </c>
      <c r="AT313" s="625">
        <f t="array" ref="AT313">IFERROR(INDEX('TB-EQUIPMENT &amp; OTHER HPs'!$AC$138:$AC$175,MATCH($E313&amp;$F313,'TB-EQUIPMENT &amp; OTHER HPs'!$E$138:$E$175&amp;'TB-EQUIPMENT &amp; OTHER HPs'!$I$138:$I$175,0)),0)</f>
        <v>0</v>
      </c>
      <c r="AU313" s="626">
        <f t="shared" si="384"/>
        <v>0</v>
      </c>
      <c r="AV313" s="626">
        <f t="shared" si="385"/>
        <v>0</v>
      </c>
      <c r="AW313" s="626">
        <f t="shared" si="386"/>
        <v>0</v>
      </c>
      <c r="AX313" s="625">
        <f t="array" ref="AX313">IFERROR(INDEX('TB-EQUIPMENT &amp; OTHER HPs'!$AD$138:$AD$175,MATCH($E313&amp;$F313,'TB-EQUIPMENT &amp; OTHER HPs'!$E$138:$E$175&amp;'TB-EQUIPMENT &amp; OTHER HPs'!$I$138:$I$175,0)),0)</f>
        <v>0</v>
      </c>
      <c r="AY313" s="626">
        <f t="shared" si="387"/>
        <v>0</v>
      </c>
      <c r="AZ313" s="626">
        <f t="shared" si="388"/>
        <v>0</v>
      </c>
      <c r="BA313" s="626">
        <f t="shared" si="389"/>
        <v>0</v>
      </c>
      <c r="BB313" s="625">
        <f t="array" ref="BB313">IFERROR(INDEX('TB-EQUIPMENT &amp; OTHER HPs'!$AE$138:$AE$175,MATCH($E313&amp;$F313,'TB-EQUIPMENT &amp; OTHER HPs'!$E$138:$E$175&amp;'TB-EQUIPMENT &amp; OTHER HPs'!$I$138:$I$175,0)),0)</f>
        <v>0</v>
      </c>
      <c r="BC313" s="626">
        <f t="shared" si="390"/>
        <v>0</v>
      </c>
      <c r="BD313" s="626">
        <f t="shared" si="391"/>
        <v>0</v>
      </c>
      <c r="BE313" s="626">
        <f t="shared" si="392"/>
        <v>0</v>
      </c>
      <c r="BF313" s="625">
        <f t="array" ref="BF313">IFERROR(INDEX('TB-EQUIPMENT &amp; OTHER HPs'!$AF$138:$AF$175,MATCH($E313&amp;$F313,'TB-EQUIPMENT &amp; OTHER HPs'!$E$138:$E$175&amp;'TB-EQUIPMENT &amp; OTHER HPs'!$I$138:$I$175,0)),0)</f>
        <v>0</v>
      </c>
      <c r="BG313" s="626">
        <f t="shared" si="393"/>
        <v>0</v>
      </c>
      <c r="BH313" s="626">
        <f t="shared" si="394"/>
        <v>0</v>
      </c>
      <c r="BI313" s="626">
        <f t="shared" si="395"/>
        <v>0</v>
      </c>
      <c r="BJ313" s="630"/>
      <c r="BK313" s="625"/>
      <c r="BL313" s="625"/>
      <c r="BM313" s="625"/>
      <c r="BN313" s="625"/>
      <c r="BO313" s="625"/>
      <c r="BP313" s="625"/>
      <c r="BQ313" s="625"/>
      <c r="BR313" s="625"/>
    </row>
    <row r="314" spans="1:70">
      <c r="A314" s="29" t="s">
        <v>1757</v>
      </c>
      <c r="B314" s="29" t="s">
        <v>1838</v>
      </c>
      <c r="C314" s="619">
        <f>SETUP!$F$44</f>
        <v>0</v>
      </c>
      <c r="D314" s="25">
        <v>6.6</v>
      </c>
      <c r="E314" s="26" t="s">
        <v>1230</v>
      </c>
      <c r="F314" s="26" t="s">
        <v>201</v>
      </c>
      <c r="G314" s="625" t="str">
        <f t="array" ref="G314">IFERROR(INDEX('TB-EQUIPMENT &amp; OTHER HPs'!$L$138:$L$175,MATCH($E314&amp;$F314,'TB-EQUIPMENT &amp; OTHER HPs'!$E$138:$E$175&amp;'TB-EQUIPMENT &amp; OTHER HPs'!$I$138:$I$175,0)),"")</f>
        <v/>
      </c>
      <c r="H314" s="625" t="str">
        <f t="array" ref="H314">IFERROR(INDEX('TB-EQUIPMENT &amp; OTHER HPs'!$M$138:$M$175,MATCH($E314&amp;$F314,'TB-EQUIPMENT &amp; OTHER HPs'!$E$138:$E$175&amp;'TB-EQUIPMENT &amp; OTHER HPs'!$I$138:$I$175,0)),"")</f>
        <v/>
      </c>
      <c r="I314" s="625">
        <f t="array" ref="I314">IFERROR(INDEX('TB-EQUIPMENT &amp; OTHER HPs'!$N$138:$N$175,MATCH($E314&amp;$F314,'TB-EQUIPMENT &amp; OTHER HPs'!$E$138:$E$175&amp;'TB-EQUIPMENT &amp; OTHER HPs'!$I$138:$I$175,0)),0)</f>
        <v>0</v>
      </c>
      <c r="J314" s="625">
        <f t="array" ref="J314">IFERROR(INDEX('TB-EQUIPMENT &amp; OTHER HPs'!$O$138:$O$175,MATCH($E314&amp;$F314,'TB-EQUIPMENT &amp; OTHER HPs'!$E$138:$E$175&amp;'TB-EQUIPMENT &amp; OTHER HPs'!$I$138:$I$175,0)),0)</f>
        <v>0</v>
      </c>
      <c r="K314" s="626">
        <f t="shared" si="360"/>
        <v>0</v>
      </c>
      <c r="L314" s="626">
        <f t="shared" si="361"/>
        <v>0</v>
      </c>
      <c r="M314" s="626">
        <f t="shared" si="362"/>
        <v>0</v>
      </c>
      <c r="N314" s="625">
        <f t="array" ref="N314">IFERROR(INDEX('TB-EQUIPMENT &amp; OTHER HPs'!$P$138:$P$175,MATCH($E314&amp;$F314,'TB-EQUIPMENT &amp; OTHER HPs'!$E$138:$E$175&amp;'TB-EQUIPMENT &amp; OTHER HPs'!$I$138:$I$175,0)),0)</f>
        <v>0</v>
      </c>
      <c r="O314" s="626">
        <f t="shared" si="363"/>
        <v>0</v>
      </c>
      <c r="P314" s="626">
        <f t="shared" si="364"/>
        <v>0</v>
      </c>
      <c r="Q314" s="626">
        <f t="shared" si="365"/>
        <v>0</v>
      </c>
      <c r="R314" s="625">
        <f t="array" ref="R314">IFERROR(INDEX('TB-EQUIPMENT &amp; OTHER HPs'!$Q$138:$Q$175,MATCH($E314&amp;$F314,'TB-EQUIPMENT &amp; OTHER HPs'!$E$138:$E$175&amp;'TB-EQUIPMENT &amp; OTHER HPs'!$I$138:$I$175,0)),0)</f>
        <v>0</v>
      </c>
      <c r="S314" s="626">
        <f t="shared" si="366"/>
        <v>0</v>
      </c>
      <c r="T314" s="626">
        <f t="shared" si="367"/>
        <v>0</v>
      </c>
      <c r="U314" s="626">
        <f t="shared" si="368"/>
        <v>0</v>
      </c>
      <c r="V314" s="625">
        <f t="array" ref="V314">IFERROR(INDEX('TB-EQUIPMENT &amp; OTHER HPs'!$R$138:$R$175,MATCH($E314&amp;$F314,'TB-EQUIPMENT &amp; OTHER HPs'!$E$138:$E$175&amp;'TB-EQUIPMENT &amp; OTHER HPs'!$I$138:$I$175,0)),0)</f>
        <v>0</v>
      </c>
      <c r="W314" s="626">
        <f t="shared" si="369"/>
        <v>0</v>
      </c>
      <c r="X314" s="626">
        <f t="shared" si="370"/>
        <v>0</v>
      </c>
      <c r="Y314" s="626">
        <f t="shared" si="371"/>
        <v>0</v>
      </c>
      <c r="AA314" s="625">
        <f t="array" ref="AA314">IFERROR(INDEX('TB-EQUIPMENT &amp; OTHER HPs'!$U$138:$U$175,MATCH($E314&amp;$F314,'TB-EQUIPMENT &amp; OTHER HPs'!$E$138:$E$175&amp;'TB-EQUIPMENT &amp; OTHER HPs'!$I$138:$I$175,0)),0)</f>
        <v>0</v>
      </c>
      <c r="AB314" s="625">
        <f t="array" ref="AB314">IFERROR(INDEX('TB-EQUIPMENT &amp; OTHER HPs'!$V$138:$V$175,MATCH($E314&amp;$F314,'TB-EQUIPMENT &amp; OTHER HPs'!$E$138:$E$175&amp;'TB-EQUIPMENT &amp; OTHER HPs'!$I$138:$I$175,0)),0)</f>
        <v>0</v>
      </c>
      <c r="AC314" s="626">
        <f t="shared" si="372"/>
        <v>0</v>
      </c>
      <c r="AD314" s="626">
        <f t="shared" si="373"/>
        <v>0</v>
      </c>
      <c r="AE314" s="626">
        <f t="shared" si="374"/>
        <v>0</v>
      </c>
      <c r="AF314" s="625">
        <f t="array" ref="AF314">IFERROR(INDEX('TB-EQUIPMENT &amp; OTHER HPs'!$W$138:$W$175,MATCH($E314&amp;$F314,'TB-EQUIPMENT &amp; OTHER HPs'!$E$138:$E$175&amp;'TB-EQUIPMENT &amp; OTHER HPs'!$I$138:$I$175,0)),0)</f>
        <v>0</v>
      </c>
      <c r="AG314" s="626">
        <f t="shared" si="375"/>
        <v>0</v>
      </c>
      <c r="AH314" s="626">
        <f t="shared" si="376"/>
        <v>0</v>
      </c>
      <c r="AI314" s="626">
        <f t="shared" si="377"/>
        <v>0</v>
      </c>
      <c r="AJ314" s="625">
        <f t="array" ref="AJ314">IFERROR(INDEX('TB-EQUIPMENT &amp; OTHER HPs'!$X$138:$X$175,MATCH($E314&amp;$F314,'TB-EQUIPMENT &amp; OTHER HPs'!$E$138:$E$175&amp;'TB-EQUIPMENT &amp; OTHER HPs'!$I$138:$I$175,0)),0)</f>
        <v>0</v>
      </c>
      <c r="AK314" s="626">
        <f t="shared" si="378"/>
        <v>0</v>
      </c>
      <c r="AL314" s="626">
        <f t="shared" si="379"/>
        <v>0</v>
      </c>
      <c r="AM314" s="626">
        <f t="shared" si="380"/>
        <v>0</v>
      </c>
      <c r="AN314" s="625">
        <f t="array" ref="AN314">IFERROR(INDEX('TB-EQUIPMENT &amp; OTHER HPs'!$Y$138:$Y$175,MATCH($E314&amp;$F314,'TB-EQUIPMENT &amp; OTHER HPs'!$E$138:$E$175&amp;'TB-EQUIPMENT &amp; OTHER HPs'!$I$138:$I$175,0)),0)</f>
        <v>0</v>
      </c>
      <c r="AO314" s="626">
        <f t="shared" si="381"/>
        <v>0</v>
      </c>
      <c r="AP314" s="626">
        <f t="shared" si="382"/>
        <v>0</v>
      </c>
      <c r="AQ314" s="626">
        <f t="shared" si="383"/>
        <v>0</v>
      </c>
      <c r="AR314" s="630"/>
      <c r="AS314" s="625">
        <f t="array" ref="AS314">IFERROR(INDEX('TB-EQUIPMENT &amp; OTHER HPs'!$AB$138:$AB$175,MATCH($E314&amp;$F314,'TB-EQUIPMENT &amp; OTHER HPs'!$E$138:$E$175&amp;'TB-EQUIPMENT &amp; OTHER HPs'!$I$138:$I$175,0)),0)</f>
        <v>0</v>
      </c>
      <c r="AT314" s="625">
        <f t="array" ref="AT314">IFERROR(INDEX('TB-EQUIPMENT &amp; OTHER HPs'!$AC$138:$AC$175,MATCH($E314&amp;$F314,'TB-EQUIPMENT &amp; OTHER HPs'!$E$138:$E$175&amp;'TB-EQUIPMENT &amp; OTHER HPs'!$I$138:$I$175,0)),0)</f>
        <v>0</v>
      </c>
      <c r="AU314" s="626">
        <f t="shared" si="384"/>
        <v>0</v>
      </c>
      <c r="AV314" s="626">
        <f t="shared" si="385"/>
        <v>0</v>
      </c>
      <c r="AW314" s="626">
        <f t="shared" si="386"/>
        <v>0</v>
      </c>
      <c r="AX314" s="625">
        <f t="array" ref="AX314">IFERROR(INDEX('TB-EQUIPMENT &amp; OTHER HPs'!$AD$138:$AD$175,MATCH($E314&amp;$F314,'TB-EQUIPMENT &amp; OTHER HPs'!$E$138:$E$175&amp;'TB-EQUIPMENT &amp; OTHER HPs'!$I$138:$I$175,0)),0)</f>
        <v>0</v>
      </c>
      <c r="AY314" s="626">
        <f t="shared" si="387"/>
        <v>0</v>
      </c>
      <c r="AZ314" s="626">
        <f t="shared" si="388"/>
        <v>0</v>
      </c>
      <c r="BA314" s="626">
        <f t="shared" si="389"/>
        <v>0</v>
      </c>
      <c r="BB314" s="625">
        <f t="array" ref="BB314">IFERROR(INDEX('TB-EQUIPMENT &amp; OTHER HPs'!$AE$138:$AE$175,MATCH($E314&amp;$F314,'TB-EQUIPMENT &amp; OTHER HPs'!$E$138:$E$175&amp;'TB-EQUIPMENT &amp; OTHER HPs'!$I$138:$I$175,0)),0)</f>
        <v>0</v>
      </c>
      <c r="BC314" s="626">
        <f t="shared" si="390"/>
        <v>0</v>
      </c>
      <c r="BD314" s="626">
        <f t="shared" si="391"/>
        <v>0</v>
      </c>
      <c r="BE314" s="626">
        <f t="shared" si="392"/>
        <v>0</v>
      </c>
      <c r="BF314" s="625">
        <f t="array" ref="BF314">IFERROR(INDEX('TB-EQUIPMENT &amp; OTHER HPs'!$AF$138:$AF$175,MATCH($E314&amp;$F314,'TB-EQUIPMENT &amp; OTHER HPs'!$E$138:$E$175&amp;'TB-EQUIPMENT &amp; OTHER HPs'!$I$138:$I$175,0)),0)</f>
        <v>0</v>
      </c>
      <c r="BG314" s="626">
        <f t="shared" si="393"/>
        <v>0</v>
      </c>
      <c r="BH314" s="626">
        <f t="shared" si="394"/>
        <v>0</v>
      </c>
      <c r="BI314" s="626">
        <f t="shared" si="395"/>
        <v>0</v>
      </c>
      <c r="BJ314" s="630"/>
      <c r="BK314" s="625"/>
      <c r="BL314" s="625"/>
      <c r="BM314" s="625"/>
      <c r="BN314" s="625"/>
      <c r="BO314" s="625"/>
      <c r="BP314" s="625"/>
      <c r="BQ314" s="625"/>
      <c r="BR314" s="625"/>
    </row>
    <row r="315" spans="1:70">
      <c r="A315" s="29" t="s">
        <v>1757</v>
      </c>
      <c r="B315" s="29" t="s">
        <v>1838</v>
      </c>
      <c r="C315" s="619">
        <f>SETUP!$F$44</f>
        <v>0</v>
      </c>
      <c r="D315" s="25">
        <v>6.6</v>
      </c>
      <c r="E315" s="26" t="s">
        <v>1230</v>
      </c>
      <c r="F315" s="26" t="s">
        <v>200</v>
      </c>
      <c r="G315" s="625" t="str">
        <f t="array" ref="G315">IFERROR(INDEX('TB-EQUIPMENT &amp; OTHER HPs'!$L$138:$L$175,MATCH($E315&amp;$F315,'TB-EQUIPMENT &amp; OTHER HPs'!$E$138:$E$175&amp;'TB-EQUIPMENT &amp; OTHER HPs'!$I$138:$I$175,0)),"")</f>
        <v/>
      </c>
      <c r="H315" s="625" t="str">
        <f t="array" ref="H315">IFERROR(INDEX('TB-EQUIPMENT &amp; OTHER HPs'!$M$138:$M$175,MATCH($E315&amp;$F315,'TB-EQUIPMENT &amp; OTHER HPs'!$E$138:$E$175&amp;'TB-EQUIPMENT &amp; OTHER HPs'!$I$138:$I$175,0)),"")</f>
        <v/>
      </c>
      <c r="I315" s="625">
        <f t="array" ref="I315">IFERROR(INDEX('TB-EQUIPMENT &amp; OTHER HPs'!$N$138:$N$175,MATCH($E315&amp;$F315,'TB-EQUIPMENT &amp; OTHER HPs'!$E$138:$E$175&amp;'TB-EQUIPMENT &amp; OTHER HPs'!$I$138:$I$175,0)),0)</f>
        <v>0</v>
      </c>
      <c r="J315" s="625">
        <f t="array" ref="J315">IFERROR(INDEX('TB-EQUIPMENT &amp; OTHER HPs'!$O$138:$O$175,MATCH($E315&amp;$F315,'TB-EQUIPMENT &amp; OTHER HPs'!$E$138:$E$175&amp;'TB-EQUIPMENT &amp; OTHER HPs'!$I$138:$I$175,0)),0)</f>
        <v>0</v>
      </c>
      <c r="K315" s="626">
        <f t="shared" si="360"/>
        <v>0</v>
      </c>
      <c r="L315" s="626">
        <f t="shared" si="361"/>
        <v>0</v>
      </c>
      <c r="M315" s="626">
        <f t="shared" si="362"/>
        <v>0</v>
      </c>
      <c r="N315" s="625">
        <f t="array" ref="N315">IFERROR(INDEX('TB-EQUIPMENT &amp; OTHER HPs'!$P$138:$P$175,MATCH($E315&amp;$F315,'TB-EQUIPMENT &amp; OTHER HPs'!$E$138:$E$175&amp;'TB-EQUIPMENT &amp; OTHER HPs'!$I$138:$I$175,0)),0)</f>
        <v>0</v>
      </c>
      <c r="O315" s="626">
        <f t="shared" si="363"/>
        <v>0</v>
      </c>
      <c r="P315" s="626">
        <f t="shared" si="364"/>
        <v>0</v>
      </c>
      <c r="Q315" s="626">
        <f t="shared" si="365"/>
        <v>0</v>
      </c>
      <c r="R315" s="625">
        <f t="array" ref="R315">IFERROR(INDEX('TB-EQUIPMENT &amp; OTHER HPs'!$Q$138:$Q$175,MATCH($E315&amp;$F315,'TB-EQUIPMENT &amp; OTHER HPs'!$E$138:$E$175&amp;'TB-EQUIPMENT &amp; OTHER HPs'!$I$138:$I$175,0)),0)</f>
        <v>0</v>
      </c>
      <c r="S315" s="626">
        <f t="shared" si="366"/>
        <v>0</v>
      </c>
      <c r="T315" s="626">
        <f t="shared" si="367"/>
        <v>0</v>
      </c>
      <c r="U315" s="626">
        <f t="shared" si="368"/>
        <v>0</v>
      </c>
      <c r="V315" s="625">
        <f t="array" ref="V315">IFERROR(INDEX('TB-EQUIPMENT &amp; OTHER HPs'!$R$138:$R$175,MATCH($E315&amp;$F315,'TB-EQUIPMENT &amp; OTHER HPs'!$E$138:$E$175&amp;'TB-EQUIPMENT &amp; OTHER HPs'!$I$138:$I$175,0)),0)</f>
        <v>0</v>
      </c>
      <c r="W315" s="626">
        <f t="shared" si="369"/>
        <v>0</v>
      </c>
      <c r="X315" s="626">
        <f t="shared" si="370"/>
        <v>0</v>
      </c>
      <c r="Y315" s="626">
        <f t="shared" si="371"/>
        <v>0</v>
      </c>
      <c r="AA315" s="625">
        <f t="array" ref="AA315">IFERROR(INDEX('TB-EQUIPMENT &amp; OTHER HPs'!$U$138:$U$175,MATCH($E315&amp;$F315,'TB-EQUIPMENT &amp; OTHER HPs'!$E$138:$E$175&amp;'TB-EQUIPMENT &amp; OTHER HPs'!$I$138:$I$175,0)),0)</f>
        <v>0</v>
      </c>
      <c r="AB315" s="625">
        <f t="array" ref="AB315">IFERROR(INDEX('TB-EQUIPMENT &amp; OTHER HPs'!$V$138:$V$175,MATCH($E315&amp;$F315,'TB-EQUIPMENT &amp; OTHER HPs'!$E$138:$E$175&amp;'TB-EQUIPMENT &amp; OTHER HPs'!$I$138:$I$175,0)),0)</f>
        <v>0</v>
      </c>
      <c r="AC315" s="626">
        <f t="shared" si="372"/>
        <v>0</v>
      </c>
      <c r="AD315" s="626">
        <f t="shared" si="373"/>
        <v>0</v>
      </c>
      <c r="AE315" s="626">
        <f t="shared" si="374"/>
        <v>0</v>
      </c>
      <c r="AF315" s="625">
        <f t="array" ref="AF315">IFERROR(INDEX('TB-EQUIPMENT &amp; OTHER HPs'!$W$138:$W$175,MATCH($E315&amp;$F315,'TB-EQUIPMENT &amp; OTHER HPs'!$E$138:$E$175&amp;'TB-EQUIPMENT &amp; OTHER HPs'!$I$138:$I$175,0)),0)</f>
        <v>0</v>
      </c>
      <c r="AG315" s="626">
        <f t="shared" si="375"/>
        <v>0</v>
      </c>
      <c r="AH315" s="626">
        <f t="shared" si="376"/>
        <v>0</v>
      </c>
      <c r="AI315" s="626">
        <f t="shared" si="377"/>
        <v>0</v>
      </c>
      <c r="AJ315" s="625">
        <f t="array" ref="AJ315">IFERROR(INDEX('TB-EQUIPMENT &amp; OTHER HPs'!$X$138:$X$175,MATCH($E315&amp;$F315,'TB-EQUIPMENT &amp; OTHER HPs'!$E$138:$E$175&amp;'TB-EQUIPMENT &amp; OTHER HPs'!$I$138:$I$175,0)),0)</f>
        <v>0</v>
      </c>
      <c r="AK315" s="626">
        <f t="shared" si="378"/>
        <v>0</v>
      </c>
      <c r="AL315" s="626">
        <f t="shared" si="379"/>
        <v>0</v>
      </c>
      <c r="AM315" s="626">
        <f t="shared" si="380"/>
        <v>0</v>
      </c>
      <c r="AN315" s="625">
        <f t="array" ref="AN315">IFERROR(INDEX('TB-EQUIPMENT &amp; OTHER HPs'!$Y$138:$Y$175,MATCH($E315&amp;$F315,'TB-EQUIPMENT &amp; OTHER HPs'!$E$138:$E$175&amp;'TB-EQUIPMENT &amp; OTHER HPs'!$I$138:$I$175,0)),0)</f>
        <v>0</v>
      </c>
      <c r="AO315" s="626">
        <f t="shared" si="381"/>
        <v>0</v>
      </c>
      <c r="AP315" s="626">
        <f t="shared" si="382"/>
        <v>0</v>
      </c>
      <c r="AQ315" s="626">
        <f t="shared" si="383"/>
        <v>0</v>
      </c>
      <c r="AR315" s="630"/>
      <c r="AS315" s="625">
        <f t="array" ref="AS315">IFERROR(INDEX('TB-EQUIPMENT &amp; OTHER HPs'!$AB$138:$AB$175,MATCH($E315&amp;$F315,'TB-EQUIPMENT &amp; OTHER HPs'!$E$138:$E$175&amp;'TB-EQUIPMENT &amp; OTHER HPs'!$I$138:$I$175,0)),0)</f>
        <v>0</v>
      </c>
      <c r="AT315" s="625">
        <f t="array" ref="AT315">IFERROR(INDEX('TB-EQUIPMENT &amp; OTHER HPs'!$AC$138:$AC$175,MATCH($E315&amp;$F315,'TB-EQUIPMENT &amp; OTHER HPs'!$E$138:$E$175&amp;'TB-EQUIPMENT &amp; OTHER HPs'!$I$138:$I$175,0)),0)</f>
        <v>0</v>
      </c>
      <c r="AU315" s="626">
        <f t="shared" si="384"/>
        <v>0</v>
      </c>
      <c r="AV315" s="626">
        <f t="shared" si="385"/>
        <v>0</v>
      </c>
      <c r="AW315" s="626">
        <f t="shared" si="386"/>
        <v>0</v>
      </c>
      <c r="AX315" s="625">
        <f t="array" ref="AX315">IFERROR(INDEX('TB-EQUIPMENT &amp; OTHER HPs'!$AD$138:$AD$175,MATCH($E315&amp;$F315,'TB-EQUIPMENT &amp; OTHER HPs'!$E$138:$E$175&amp;'TB-EQUIPMENT &amp; OTHER HPs'!$I$138:$I$175,0)),0)</f>
        <v>0</v>
      </c>
      <c r="AY315" s="626">
        <f t="shared" si="387"/>
        <v>0</v>
      </c>
      <c r="AZ315" s="626">
        <f t="shared" si="388"/>
        <v>0</v>
      </c>
      <c r="BA315" s="626">
        <f t="shared" si="389"/>
        <v>0</v>
      </c>
      <c r="BB315" s="625">
        <f t="array" ref="BB315">IFERROR(INDEX('TB-EQUIPMENT &amp; OTHER HPs'!$AE$138:$AE$175,MATCH($E315&amp;$F315,'TB-EQUIPMENT &amp; OTHER HPs'!$E$138:$E$175&amp;'TB-EQUIPMENT &amp; OTHER HPs'!$I$138:$I$175,0)),0)</f>
        <v>0</v>
      </c>
      <c r="BC315" s="626">
        <f t="shared" si="390"/>
        <v>0</v>
      </c>
      <c r="BD315" s="626">
        <f t="shared" si="391"/>
        <v>0</v>
      </c>
      <c r="BE315" s="626">
        <f t="shared" si="392"/>
        <v>0</v>
      </c>
      <c r="BF315" s="625">
        <f t="array" ref="BF315">IFERROR(INDEX('TB-EQUIPMENT &amp; OTHER HPs'!$AF$138:$AF$175,MATCH($E315&amp;$F315,'TB-EQUIPMENT &amp; OTHER HPs'!$E$138:$E$175&amp;'TB-EQUIPMENT &amp; OTHER HPs'!$I$138:$I$175,0)),0)</f>
        <v>0</v>
      </c>
      <c r="BG315" s="626">
        <f t="shared" si="393"/>
        <v>0</v>
      </c>
      <c r="BH315" s="626">
        <f t="shared" si="394"/>
        <v>0</v>
      </c>
      <c r="BI315" s="626">
        <f t="shared" si="395"/>
        <v>0</v>
      </c>
      <c r="BJ315" s="630"/>
      <c r="BK315" s="625"/>
      <c r="BL315" s="625"/>
      <c r="BM315" s="625"/>
      <c r="BN315" s="625"/>
      <c r="BO315" s="625"/>
      <c r="BP315" s="625"/>
      <c r="BQ315" s="625"/>
      <c r="BR315" s="625"/>
    </row>
    <row r="316" spans="1:70">
      <c r="A316" s="29" t="s">
        <v>1757</v>
      </c>
      <c r="B316" s="29" t="s">
        <v>1838</v>
      </c>
      <c r="C316" s="619">
        <f>SETUP!$F$44</f>
        <v>0</v>
      </c>
      <c r="D316" s="25">
        <v>6.6</v>
      </c>
      <c r="E316" s="26" t="s">
        <v>223</v>
      </c>
      <c r="F316" s="26" t="s">
        <v>201</v>
      </c>
      <c r="G316" s="625" t="str">
        <f t="array" ref="G316">IFERROR(INDEX('TB-EQUIPMENT &amp; OTHER HPs'!$L$138:$L$175,MATCH($E316&amp;$F316,'TB-EQUIPMENT &amp; OTHER HPs'!$E$138:$E$175&amp;'TB-EQUIPMENT &amp; OTHER HPs'!$I$138:$I$175,0)),"")</f>
        <v/>
      </c>
      <c r="H316" s="625" t="str">
        <f t="array" ref="H316">IFERROR(INDEX('TB-EQUIPMENT &amp; OTHER HPs'!$M$138:$M$175,MATCH($E316&amp;$F316,'TB-EQUIPMENT &amp; OTHER HPs'!$E$138:$E$175&amp;'TB-EQUIPMENT &amp; OTHER HPs'!$I$138:$I$175,0)),"")</f>
        <v/>
      </c>
      <c r="I316" s="625">
        <f t="array" ref="I316">IFERROR(INDEX('TB-EQUIPMENT &amp; OTHER HPs'!$N$138:$N$175,MATCH($E316&amp;$F316,'TB-EQUIPMENT &amp; OTHER HPs'!$E$138:$E$175&amp;'TB-EQUIPMENT &amp; OTHER HPs'!$I$138:$I$175,0)),0)</f>
        <v>0</v>
      </c>
      <c r="J316" s="625">
        <f t="array" ref="J316">IFERROR(INDEX('TB-EQUIPMENT &amp; OTHER HPs'!$O$138:$O$175,MATCH($E316&amp;$F316,'TB-EQUIPMENT &amp; OTHER HPs'!$E$138:$E$175&amp;'TB-EQUIPMENT &amp; OTHER HPs'!$I$138:$I$175,0)),0)</f>
        <v>0</v>
      </c>
      <c r="K316" s="626">
        <f t="shared" si="360"/>
        <v>0</v>
      </c>
      <c r="L316" s="626">
        <f t="shared" si="361"/>
        <v>0</v>
      </c>
      <c r="M316" s="626">
        <f t="shared" si="362"/>
        <v>0</v>
      </c>
      <c r="N316" s="625">
        <f t="array" ref="N316">IFERROR(INDEX('TB-EQUIPMENT &amp; OTHER HPs'!$P$138:$P$175,MATCH($E316&amp;$F316,'TB-EQUIPMENT &amp; OTHER HPs'!$E$138:$E$175&amp;'TB-EQUIPMENT &amp; OTHER HPs'!$I$138:$I$175,0)),0)</f>
        <v>0</v>
      </c>
      <c r="O316" s="626">
        <f t="shared" si="363"/>
        <v>0</v>
      </c>
      <c r="P316" s="626">
        <f t="shared" si="364"/>
        <v>0</v>
      </c>
      <c r="Q316" s="626">
        <f t="shared" si="365"/>
        <v>0</v>
      </c>
      <c r="R316" s="625">
        <f t="array" ref="R316">IFERROR(INDEX('TB-EQUIPMENT &amp; OTHER HPs'!$Q$138:$Q$175,MATCH($E316&amp;$F316,'TB-EQUIPMENT &amp; OTHER HPs'!$E$138:$E$175&amp;'TB-EQUIPMENT &amp; OTHER HPs'!$I$138:$I$175,0)),0)</f>
        <v>0</v>
      </c>
      <c r="S316" s="626">
        <f t="shared" si="366"/>
        <v>0</v>
      </c>
      <c r="T316" s="626">
        <f t="shared" si="367"/>
        <v>0</v>
      </c>
      <c r="U316" s="626">
        <f t="shared" si="368"/>
        <v>0</v>
      </c>
      <c r="V316" s="625">
        <f t="array" ref="V316">IFERROR(INDEX('TB-EQUIPMENT &amp; OTHER HPs'!$R$138:$R$175,MATCH($E316&amp;$F316,'TB-EQUIPMENT &amp; OTHER HPs'!$E$138:$E$175&amp;'TB-EQUIPMENT &amp; OTHER HPs'!$I$138:$I$175,0)),0)</f>
        <v>0</v>
      </c>
      <c r="W316" s="626">
        <f t="shared" si="369"/>
        <v>0</v>
      </c>
      <c r="X316" s="626">
        <f t="shared" si="370"/>
        <v>0</v>
      </c>
      <c r="Y316" s="626">
        <f t="shared" si="371"/>
        <v>0</v>
      </c>
      <c r="AA316" s="625">
        <f t="array" ref="AA316">IFERROR(INDEX('TB-EQUIPMENT &amp; OTHER HPs'!$U$138:$U$175,MATCH($E316&amp;$F316,'TB-EQUIPMENT &amp; OTHER HPs'!$E$138:$E$175&amp;'TB-EQUIPMENT &amp; OTHER HPs'!$I$138:$I$175,0)),0)</f>
        <v>0</v>
      </c>
      <c r="AB316" s="625">
        <f t="array" ref="AB316">IFERROR(INDEX('TB-EQUIPMENT &amp; OTHER HPs'!$V$138:$V$175,MATCH($E316&amp;$F316,'TB-EQUIPMENT &amp; OTHER HPs'!$E$138:$E$175&amp;'TB-EQUIPMENT &amp; OTHER HPs'!$I$138:$I$175,0)),0)</f>
        <v>0</v>
      </c>
      <c r="AC316" s="626">
        <f t="shared" si="372"/>
        <v>0</v>
      </c>
      <c r="AD316" s="626">
        <f t="shared" si="373"/>
        <v>0</v>
      </c>
      <c r="AE316" s="626">
        <f t="shared" si="374"/>
        <v>0</v>
      </c>
      <c r="AF316" s="625">
        <f t="array" ref="AF316">IFERROR(INDEX('TB-EQUIPMENT &amp; OTHER HPs'!$W$138:$W$175,MATCH($E316&amp;$F316,'TB-EQUIPMENT &amp; OTHER HPs'!$E$138:$E$175&amp;'TB-EQUIPMENT &amp; OTHER HPs'!$I$138:$I$175,0)),0)</f>
        <v>0</v>
      </c>
      <c r="AG316" s="626">
        <f t="shared" si="375"/>
        <v>0</v>
      </c>
      <c r="AH316" s="626">
        <f t="shared" si="376"/>
        <v>0</v>
      </c>
      <c r="AI316" s="626">
        <f t="shared" si="377"/>
        <v>0</v>
      </c>
      <c r="AJ316" s="625">
        <f t="array" ref="AJ316">IFERROR(INDEX('TB-EQUIPMENT &amp; OTHER HPs'!$X$138:$X$175,MATCH($E316&amp;$F316,'TB-EQUIPMENT &amp; OTHER HPs'!$E$138:$E$175&amp;'TB-EQUIPMENT &amp; OTHER HPs'!$I$138:$I$175,0)),0)</f>
        <v>0</v>
      </c>
      <c r="AK316" s="626">
        <f t="shared" si="378"/>
        <v>0</v>
      </c>
      <c r="AL316" s="626">
        <f t="shared" si="379"/>
        <v>0</v>
      </c>
      <c r="AM316" s="626">
        <f t="shared" si="380"/>
        <v>0</v>
      </c>
      <c r="AN316" s="625">
        <f t="array" ref="AN316">IFERROR(INDEX('TB-EQUIPMENT &amp; OTHER HPs'!$Y$138:$Y$175,MATCH($E316&amp;$F316,'TB-EQUIPMENT &amp; OTHER HPs'!$E$138:$E$175&amp;'TB-EQUIPMENT &amp; OTHER HPs'!$I$138:$I$175,0)),0)</f>
        <v>0</v>
      </c>
      <c r="AO316" s="626">
        <f t="shared" si="381"/>
        <v>0</v>
      </c>
      <c r="AP316" s="626">
        <f t="shared" si="382"/>
        <v>0</v>
      </c>
      <c r="AQ316" s="626">
        <f t="shared" si="383"/>
        <v>0</v>
      </c>
      <c r="AR316" s="630"/>
      <c r="AS316" s="625">
        <f t="array" ref="AS316">IFERROR(INDEX('TB-EQUIPMENT &amp; OTHER HPs'!$AB$138:$AB$175,MATCH($E316&amp;$F316,'TB-EQUIPMENT &amp; OTHER HPs'!$E$138:$E$175&amp;'TB-EQUIPMENT &amp; OTHER HPs'!$I$138:$I$175,0)),0)</f>
        <v>0</v>
      </c>
      <c r="AT316" s="625">
        <f t="array" ref="AT316">IFERROR(INDEX('TB-EQUIPMENT &amp; OTHER HPs'!$AC$138:$AC$175,MATCH($E316&amp;$F316,'TB-EQUIPMENT &amp; OTHER HPs'!$E$138:$E$175&amp;'TB-EQUIPMENT &amp; OTHER HPs'!$I$138:$I$175,0)),0)</f>
        <v>0</v>
      </c>
      <c r="AU316" s="626">
        <f t="shared" si="384"/>
        <v>0</v>
      </c>
      <c r="AV316" s="626">
        <f t="shared" si="385"/>
        <v>0</v>
      </c>
      <c r="AW316" s="626">
        <f t="shared" si="386"/>
        <v>0</v>
      </c>
      <c r="AX316" s="625">
        <f t="array" ref="AX316">IFERROR(INDEX('TB-EQUIPMENT &amp; OTHER HPs'!$AD$138:$AD$175,MATCH($E316&amp;$F316,'TB-EQUIPMENT &amp; OTHER HPs'!$E$138:$E$175&amp;'TB-EQUIPMENT &amp; OTHER HPs'!$I$138:$I$175,0)),0)</f>
        <v>0</v>
      </c>
      <c r="AY316" s="626">
        <f t="shared" si="387"/>
        <v>0</v>
      </c>
      <c r="AZ316" s="626">
        <f t="shared" si="388"/>
        <v>0</v>
      </c>
      <c r="BA316" s="626">
        <f t="shared" si="389"/>
        <v>0</v>
      </c>
      <c r="BB316" s="625">
        <f t="array" ref="BB316">IFERROR(INDEX('TB-EQUIPMENT &amp; OTHER HPs'!$AE$138:$AE$175,MATCH($E316&amp;$F316,'TB-EQUIPMENT &amp; OTHER HPs'!$E$138:$E$175&amp;'TB-EQUIPMENT &amp; OTHER HPs'!$I$138:$I$175,0)),0)</f>
        <v>0</v>
      </c>
      <c r="BC316" s="626">
        <f t="shared" si="390"/>
        <v>0</v>
      </c>
      <c r="BD316" s="626">
        <f t="shared" si="391"/>
        <v>0</v>
      </c>
      <c r="BE316" s="626">
        <f t="shared" si="392"/>
        <v>0</v>
      </c>
      <c r="BF316" s="625">
        <f t="array" ref="BF316">IFERROR(INDEX('TB-EQUIPMENT &amp; OTHER HPs'!$AF$138:$AF$175,MATCH($E316&amp;$F316,'TB-EQUIPMENT &amp; OTHER HPs'!$E$138:$E$175&amp;'TB-EQUIPMENT &amp; OTHER HPs'!$I$138:$I$175,0)),0)</f>
        <v>0</v>
      </c>
      <c r="BG316" s="626">
        <f t="shared" si="393"/>
        <v>0</v>
      </c>
      <c r="BH316" s="626">
        <f t="shared" si="394"/>
        <v>0</v>
      </c>
      <c r="BI316" s="626">
        <f t="shared" si="395"/>
        <v>0</v>
      </c>
      <c r="BJ316" s="630"/>
      <c r="BK316" s="625"/>
      <c r="BL316" s="625"/>
      <c r="BM316" s="625"/>
      <c r="BN316" s="625"/>
      <c r="BO316" s="625"/>
      <c r="BP316" s="625"/>
      <c r="BQ316" s="625"/>
      <c r="BR316" s="625"/>
    </row>
    <row r="317" spans="1:70">
      <c r="A317" s="29" t="s">
        <v>1757</v>
      </c>
      <c r="B317" s="29" t="s">
        <v>1838</v>
      </c>
      <c r="C317" s="619">
        <f>SETUP!$F$44</f>
        <v>0</v>
      </c>
      <c r="D317" s="25">
        <v>6.6</v>
      </c>
      <c r="E317" s="26" t="s">
        <v>223</v>
      </c>
      <c r="F317" s="26" t="s">
        <v>200</v>
      </c>
      <c r="G317" s="625" t="str">
        <f t="array" ref="G317">IFERROR(INDEX('TB-EQUIPMENT &amp; OTHER HPs'!$L$138:$L$175,MATCH($E317&amp;$F317,'TB-EQUIPMENT &amp; OTHER HPs'!$E$138:$E$175&amp;'TB-EQUIPMENT &amp; OTHER HPs'!$I$138:$I$175,0)),"")</f>
        <v/>
      </c>
      <c r="H317" s="625" t="str">
        <f t="array" ref="H317">IFERROR(INDEX('TB-EQUIPMENT &amp; OTHER HPs'!$M$138:$M$175,MATCH($E317&amp;$F317,'TB-EQUIPMENT &amp; OTHER HPs'!$E$138:$E$175&amp;'TB-EQUIPMENT &amp; OTHER HPs'!$I$138:$I$175,0)),"")</f>
        <v/>
      </c>
      <c r="I317" s="625">
        <f t="array" ref="I317">IFERROR(INDEX('TB-EQUIPMENT &amp; OTHER HPs'!$N$138:$N$175,MATCH($E317&amp;$F317,'TB-EQUIPMENT &amp; OTHER HPs'!$E$138:$E$175&amp;'TB-EQUIPMENT &amp; OTHER HPs'!$I$138:$I$175,0)),0)</f>
        <v>0</v>
      </c>
      <c r="J317" s="625">
        <f t="array" ref="J317">IFERROR(INDEX('TB-EQUIPMENT &amp; OTHER HPs'!$O$138:$O$175,MATCH($E317&amp;$F317,'TB-EQUIPMENT &amp; OTHER HPs'!$E$138:$E$175&amp;'TB-EQUIPMENT &amp; OTHER HPs'!$I$138:$I$175,0)),0)</f>
        <v>0</v>
      </c>
      <c r="K317" s="626">
        <f t="shared" si="360"/>
        <v>0</v>
      </c>
      <c r="L317" s="626">
        <f t="shared" si="361"/>
        <v>0</v>
      </c>
      <c r="M317" s="626">
        <f t="shared" si="362"/>
        <v>0</v>
      </c>
      <c r="N317" s="625">
        <f t="array" ref="N317">IFERROR(INDEX('TB-EQUIPMENT &amp; OTHER HPs'!$P$138:$P$175,MATCH($E317&amp;$F317,'TB-EQUIPMENT &amp; OTHER HPs'!$E$138:$E$175&amp;'TB-EQUIPMENT &amp; OTHER HPs'!$I$138:$I$175,0)),0)</f>
        <v>0</v>
      </c>
      <c r="O317" s="626">
        <f t="shared" si="363"/>
        <v>0</v>
      </c>
      <c r="P317" s="626">
        <f t="shared" si="364"/>
        <v>0</v>
      </c>
      <c r="Q317" s="626">
        <f t="shared" si="365"/>
        <v>0</v>
      </c>
      <c r="R317" s="625">
        <f t="array" ref="R317">IFERROR(INDEX('TB-EQUIPMENT &amp; OTHER HPs'!$Q$138:$Q$175,MATCH($E317&amp;$F317,'TB-EQUIPMENT &amp; OTHER HPs'!$E$138:$E$175&amp;'TB-EQUIPMENT &amp; OTHER HPs'!$I$138:$I$175,0)),0)</f>
        <v>0</v>
      </c>
      <c r="S317" s="626">
        <f t="shared" si="366"/>
        <v>0</v>
      </c>
      <c r="T317" s="626">
        <f t="shared" si="367"/>
        <v>0</v>
      </c>
      <c r="U317" s="626">
        <f t="shared" si="368"/>
        <v>0</v>
      </c>
      <c r="V317" s="625">
        <f t="array" ref="V317">IFERROR(INDEX('TB-EQUIPMENT &amp; OTHER HPs'!$R$138:$R$175,MATCH($E317&amp;$F317,'TB-EQUIPMENT &amp; OTHER HPs'!$E$138:$E$175&amp;'TB-EQUIPMENT &amp; OTHER HPs'!$I$138:$I$175,0)),0)</f>
        <v>0</v>
      </c>
      <c r="W317" s="626">
        <f t="shared" si="369"/>
        <v>0</v>
      </c>
      <c r="X317" s="626">
        <f t="shared" si="370"/>
        <v>0</v>
      </c>
      <c r="Y317" s="626">
        <f t="shared" si="371"/>
        <v>0</v>
      </c>
      <c r="AA317" s="625">
        <f t="array" ref="AA317">IFERROR(INDEX('TB-EQUIPMENT &amp; OTHER HPs'!$U$138:$U$175,MATCH($E317&amp;$F317,'TB-EQUIPMENT &amp; OTHER HPs'!$E$138:$E$175&amp;'TB-EQUIPMENT &amp; OTHER HPs'!$I$138:$I$175,0)),0)</f>
        <v>0</v>
      </c>
      <c r="AB317" s="625">
        <f t="array" ref="AB317">IFERROR(INDEX('TB-EQUIPMENT &amp; OTHER HPs'!$V$138:$V$175,MATCH($E317&amp;$F317,'TB-EQUIPMENT &amp; OTHER HPs'!$E$138:$E$175&amp;'TB-EQUIPMENT &amp; OTHER HPs'!$I$138:$I$175,0)),0)</f>
        <v>0</v>
      </c>
      <c r="AC317" s="626">
        <f t="shared" si="372"/>
        <v>0</v>
      </c>
      <c r="AD317" s="626">
        <f t="shared" si="373"/>
        <v>0</v>
      </c>
      <c r="AE317" s="626">
        <f t="shared" si="374"/>
        <v>0</v>
      </c>
      <c r="AF317" s="625">
        <f t="array" ref="AF317">IFERROR(INDEX('TB-EQUIPMENT &amp; OTHER HPs'!$W$138:$W$175,MATCH($E317&amp;$F317,'TB-EQUIPMENT &amp; OTHER HPs'!$E$138:$E$175&amp;'TB-EQUIPMENT &amp; OTHER HPs'!$I$138:$I$175,0)),0)</f>
        <v>0</v>
      </c>
      <c r="AG317" s="626">
        <f t="shared" si="375"/>
        <v>0</v>
      </c>
      <c r="AH317" s="626">
        <f t="shared" si="376"/>
        <v>0</v>
      </c>
      <c r="AI317" s="626">
        <f t="shared" si="377"/>
        <v>0</v>
      </c>
      <c r="AJ317" s="625">
        <f t="array" ref="AJ317">IFERROR(INDEX('TB-EQUIPMENT &amp; OTHER HPs'!$X$138:$X$175,MATCH($E317&amp;$F317,'TB-EQUIPMENT &amp; OTHER HPs'!$E$138:$E$175&amp;'TB-EQUIPMENT &amp; OTHER HPs'!$I$138:$I$175,0)),0)</f>
        <v>0</v>
      </c>
      <c r="AK317" s="626">
        <f t="shared" si="378"/>
        <v>0</v>
      </c>
      <c r="AL317" s="626">
        <f t="shared" si="379"/>
        <v>0</v>
      </c>
      <c r="AM317" s="626">
        <f t="shared" si="380"/>
        <v>0</v>
      </c>
      <c r="AN317" s="625">
        <f t="array" ref="AN317">IFERROR(INDEX('TB-EQUIPMENT &amp; OTHER HPs'!$Y$138:$Y$175,MATCH($E317&amp;$F317,'TB-EQUIPMENT &amp; OTHER HPs'!$E$138:$E$175&amp;'TB-EQUIPMENT &amp; OTHER HPs'!$I$138:$I$175,0)),0)</f>
        <v>0</v>
      </c>
      <c r="AO317" s="626">
        <f t="shared" si="381"/>
        <v>0</v>
      </c>
      <c r="AP317" s="626">
        <f t="shared" si="382"/>
        <v>0</v>
      </c>
      <c r="AQ317" s="626">
        <f t="shared" si="383"/>
        <v>0</v>
      </c>
      <c r="AR317" s="630"/>
      <c r="AS317" s="625">
        <f t="array" ref="AS317">IFERROR(INDEX('TB-EQUIPMENT &amp; OTHER HPs'!$AB$138:$AB$175,MATCH($E317&amp;$F317,'TB-EQUIPMENT &amp; OTHER HPs'!$E$138:$E$175&amp;'TB-EQUIPMENT &amp; OTHER HPs'!$I$138:$I$175,0)),0)</f>
        <v>0</v>
      </c>
      <c r="AT317" s="625">
        <f t="array" ref="AT317">IFERROR(INDEX('TB-EQUIPMENT &amp; OTHER HPs'!$AC$138:$AC$175,MATCH($E317&amp;$F317,'TB-EQUIPMENT &amp; OTHER HPs'!$E$138:$E$175&amp;'TB-EQUIPMENT &amp; OTHER HPs'!$I$138:$I$175,0)),0)</f>
        <v>0</v>
      </c>
      <c r="AU317" s="626">
        <f t="shared" si="384"/>
        <v>0</v>
      </c>
      <c r="AV317" s="626">
        <f t="shared" si="385"/>
        <v>0</v>
      </c>
      <c r="AW317" s="626">
        <f t="shared" si="386"/>
        <v>0</v>
      </c>
      <c r="AX317" s="625">
        <f t="array" ref="AX317">IFERROR(INDEX('TB-EQUIPMENT &amp; OTHER HPs'!$AD$138:$AD$175,MATCH($E317&amp;$F317,'TB-EQUIPMENT &amp; OTHER HPs'!$E$138:$E$175&amp;'TB-EQUIPMENT &amp; OTHER HPs'!$I$138:$I$175,0)),0)</f>
        <v>0</v>
      </c>
      <c r="AY317" s="626">
        <f t="shared" si="387"/>
        <v>0</v>
      </c>
      <c r="AZ317" s="626">
        <f t="shared" si="388"/>
        <v>0</v>
      </c>
      <c r="BA317" s="626">
        <f t="shared" si="389"/>
        <v>0</v>
      </c>
      <c r="BB317" s="625">
        <f t="array" ref="BB317">IFERROR(INDEX('TB-EQUIPMENT &amp; OTHER HPs'!$AE$138:$AE$175,MATCH($E317&amp;$F317,'TB-EQUIPMENT &amp; OTHER HPs'!$E$138:$E$175&amp;'TB-EQUIPMENT &amp; OTHER HPs'!$I$138:$I$175,0)),0)</f>
        <v>0</v>
      </c>
      <c r="BC317" s="626">
        <f t="shared" si="390"/>
        <v>0</v>
      </c>
      <c r="BD317" s="626">
        <f t="shared" si="391"/>
        <v>0</v>
      </c>
      <c r="BE317" s="626">
        <f t="shared" si="392"/>
        <v>0</v>
      </c>
      <c r="BF317" s="625">
        <f t="array" ref="BF317">IFERROR(INDEX('TB-EQUIPMENT &amp; OTHER HPs'!$AF$138:$AF$175,MATCH($E317&amp;$F317,'TB-EQUIPMENT &amp; OTHER HPs'!$E$138:$E$175&amp;'TB-EQUIPMENT &amp; OTHER HPs'!$I$138:$I$175,0)),0)</f>
        <v>0</v>
      </c>
      <c r="BG317" s="626">
        <f t="shared" si="393"/>
        <v>0</v>
      </c>
      <c r="BH317" s="626">
        <f t="shared" si="394"/>
        <v>0</v>
      </c>
      <c r="BI317" s="626">
        <f t="shared" si="395"/>
        <v>0</v>
      </c>
      <c r="BJ317" s="630"/>
      <c r="BK317" s="625"/>
      <c r="BL317" s="625"/>
      <c r="BM317" s="625"/>
      <c r="BN317" s="625"/>
      <c r="BO317" s="625"/>
      <c r="BP317" s="625"/>
      <c r="BQ317" s="625"/>
      <c r="BR317" s="625"/>
    </row>
    <row r="318" spans="1:70">
      <c r="A318" s="29" t="s">
        <v>1757</v>
      </c>
      <c r="B318" s="29" t="s">
        <v>1838</v>
      </c>
      <c r="C318" s="619">
        <f>SETUP!$F$44</f>
        <v>0</v>
      </c>
      <c r="D318" s="25">
        <v>6.6</v>
      </c>
      <c r="E318" s="26" t="s">
        <v>224</v>
      </c>
      <c r="F318" s="26" t="s">
        <v>201</v>
      </c>
      <c r="G318" s="625" t="str">
        <f t="array" ref="G318">IFERROR(INDEX('TB-EQUIPMENT &amp; OTHER HPs'!$L$138:$L$175,MATCH($E318&amp;$F318,'TB-EQUIPMENT &amp; OTHER HPs'!$E$138:$E$175&amp;'TB-EQUIPMENT &amp; OTHER HPs'!$I$138:$I$175,0)),"")</f>
        <v/>
      </c>
      <c r="H318" s="625" t="str">
        <f t="array" ref="H318">IFERROR(INDEX('TB-EQUIPMENT &amp; OTHER HPs'!$M$138:$M$175,MATCH($E318&amp;$F318,'TB-EQUIPMENT &amp; OTHER HPs'!$E$138:$E$175&amp;'TB-EQUIPMENT &amp; OTHER HPs'!$I$138:$I$175,0)),"")</f>
        <v/>
      </c>
      <c r="I318" s="625">
        <f t="array" ref="I318">IFERROR(INDEX('TB-EQUIPMENT &amp; OTHER HPs'!$N$138:$N$175,MATCH($E318&amp;$F318,'TB-EQUIPMENT &amp; OTHER HPs'!$E$138:$E$175&amp;'TB-EQUIPMENT &amp; OTHER HPs'!$I$138:$I$175,0)),0)</f>
        <v>0</v>
      </c>
      <c r="J318" s="625">
        <f t="array" ref="J318">IFERROR(INDEX('TB-EQUIPMENT &amp; OTHER HPs'!$O$138:$O$175,MATCH($E318&amp;$F318,'TB-EQUIPMENT &amp; OTHER HPs'!$E$138:$E$175&amp;'TB-EQUIPMENT &amp; OTHER HPs'!$I$138:$I$175,0)),0)</f>
        <v>0</v>
      </c>
      <c r="K318" s="626">
        <f t="shared" si="360"/>
        <v>0</v>
      </c>
      <c r="L318" s="626">
        <f t="shared" si="361"/>
        <v>0</v>
      </c>
      <c r="M318" s="626">
        <f t="shared" si="362"/>
        <v>0</v>
      </c>
      <c r="N318" s="625">
        <f t="array" ref="N318">IFERROR(INDEX('TB-EQUIPMENT &amp; OTHER HPs'!$P$138:$P$175,MATCH($E318&amp;$F318,'TB-EQUIPMENT &amp; OTHER HPs'!$E$138:$E$175&amp;'TB-EQUIPMENT &amp; OTHER HPs'!$I$138:$I$175,0)),0)</f>
        <v>0</v>
      </c>
      <c r="O318" s="626">
        <f t="shared" si="363"/>
        <v>0</v>
      </c>
      <c r="P318" s="626">
        <f t="shared" si="364"/>
        <v>0</v>
      </c>
      <c r="Q318" s="626">
        <f t="shared" si="365"/>
        <v>0</v>
      </c>
      <c r="R318" s="625">
        <f t="array" ref="R318">IFERROR(INDEX('TB-EQUIPMENT &amp; OTHER HPs'!$Q$138:$Q$175,MATCH($E318&amp;$F318,'TB-EQUIPMENT &amp; OTHER HPs'!$E$138:$E$175&amp;'TB-EQUIPMENT &amp; OTHER HPs'!$I$138:$I$175,0)),0)</f>
        <v>0</v>
      </c>
      <c r="S318" s="626">
        <f t="shared" si="366"/>
        <v>0</v>
      </c>
      <c r="T318" s="626">
        <f t="shared" si="367"/>
        <v>0</v>
      </c>
      <c r="U318" s="626">
        <f t="shared" si="368"/>
        <v>0</v>
      </c>
      <c r="V318" s="625">
        <f t="array" ref="V318">IFERROR(INDEX('TB-EQUIPMENT &amp; OTHER HPs'!$R$138:$R$175,MATCH($E318&amp;$F318,'TB-EQUIPMENT &amp; OTHER HPs'!$E$138:$E$175&amp;'TB-EQUIPMENT &amp; OTHER HPs'!$I$138:$I$175,0)),0)</f>
        <v>0</v>
      </c>
      <c r="W318" s="626">
        <f t="shared" si="369"/>
        <v>0</v>
      </c>
      <c r="X318" s="626">
        <f t="shared" si="370"/>
        <v>0</v>
      </c>
      <c r="Y318" s="626">
        <f t="shared" si="371"/>
        <v>0</v>
      </c>
      <c r="AA318" s="625">
        <f t="array" ref="AA318">IFERROR(INDEX('TB-EQUIPMENT &amp; OTHER HPs'!$U$138:$U$175,MATCH($E318&amp;$F318,'TB-EQUIPMENT &amp; OTHER HPs'!$E$138:$E$175&amp;'TB-EQUIPMENT &amp; OTHER HPs'!$I$138:$I$175,0)),0)</f>
        <v>0</v>
      </c>
      <c r="AB318" s="625">
        <f t="array" ref="AB318">IFERROR(INDEX('TB-EQUIPMENT &amp; OTHER HPs'!$V$138:$V$175,MATCH($E318&amp;$F318,'TB-EQUIPMENT &amp; OTHER HPs'!$E$138:$E$175&amp;'TB-EQUIPMENT &amp; OTHER HPs'!$I$138:$I$175,0)),0)</f>
        <v>0</v>
      </c>
      <c r="AC318" s="626">
        <f t="shared" si="372"/>
        <v>0</v>
      </c>
      <c r="AD318" s="626">
        <f t="shared" si="373"/>
        <v>0</v>
      </c>
      <c r="AE318" s="626">
        <f t="shared" si="374"/>
        <v>0</v>
      </c>
      <c r="AF318" s="625">
        <f t="array" ref="AF318">IFERROR(INDEX('TB-EQUIPMENT &amp; OTHER HPs'!$W$138:$W$175,MATCH($E318&amp;$F318,'TB-EQUIPMENT &amp; OTHER HPs'!$E$138:$E$175&amp;'TB-EQUIPMENT &amp; OTHER HPs'!$I$138:$I$175,0)),0)</f>
        <v>0</v>
      </c>
      <c r="AG318" s="626">
        <f t="shared" si="375"/>
        <v>0</v>
      </c>
      <c r="AH318" s="626">
        <f t="shared" si="376"/>
        <v>0</v>
      </c>
      <c r="AI318" s="626">
        <f t="shared" si="377"/>
        <v>0</v>
      </c>
      <c r="AJ318" s="625">
        <f t="array" ref="AJ318">IFERROR(INDEX('TB-EQUIPMENT &amp; OTHER HPs'!$X$138:$X$175,MATCH($E318&amp;$F318,'TB-EQUIPMENT &amp; OTHER HPs'!$E$138:$E$175&amp;'TB-EQUIPMENT &amp; OTHER HPs'!$I$138:$I$175,0)),0)</f>
        <v>0</v>
      </c>
      <c r="AK318" s="626">
        <f t="shared" si="378"/>
        <v>0</v>
      </c>
      <c r="AL318" s="626">
        <f t="shared" si="379"/>
        <v>0</v>
      </c>
      <c r="AM318" s="626">
        <f t="shared" si="380"/>
        <v>0</v>
      </c>
      <c r="AN318" s="625">
        <f t="array" ref="AN318">IFERROR(INDEX('TB-EQUIPMENT &amp; OTHER HPs'!$Y$138:$Y$175,MATCH($E318&amp;$F318,'TB-EQUIPMENT &amp; OTHER HPs'!$E$138:$E$175&amp;'TB-EQUIPMENT &amp; OTHER HPs'!$I$138:$I$175,0)),0)</f>
        <v>0</v>
      </c>
      <c r="AO318" s="626">
        <f t="shared" si="381"/>
        <v>0</v>
      </c>
      <c r="AP318" s="626">
        <f t="shared" si="382"/>
        <v>0</v>
      </c>
      <c r="AQ318" s="626">
        <f t="shared" si="383"/>
        <v>0</v>
      </c>
      <c r="AR318" s="630"/>
      <c r="AS318" s="625">
        <f t="array" ref="AS318">IFERROR(INDEX('TB-EQUIPMENT &amp; OTHER HPs'!$AB$138:$AB$175,MATCH($E318&amp;$F318,'TB-EQUIPMENT &amp; OTHER HPs'!$E$138:$E$175&amp;'TB-EQUIPMENT &amp; OTHER HPs'!$I$138:$I$175,0)),0)</f>
        <v>0</v>
      </c>
      <c r="AT318" s="625">
        <f t="array" ref="AT318">IFERROR(INDEX('TB-EQUIPMENT &amp; OTHER HPs'!$AC$138:$AC$175,MATCH($E318&amp;$F318,'TB-EQUIPMENT &amp; OTHER HPs'!$E$138:$E$175&amp;'TB-EQUIPMENT &amp; OTHER HPs'!$I$138:$I$175,0)),0)</f>
        <v>0</v>
      </c>
      <c r="AU318" s="626">
        <f t="shared" si="384"/>
        <v>0</v>
      </c>
      <c r="AV318" s="626">
        <f t="shared" si="385"/>
        <v>0</v>
      </c>
      <c r="AW318" s="626">
        <f t="shared" si="386"/>
        <v>0</v>
      </c>
      <c r="AX318" s="625">
        <f t="array" ref="AX318">IFERROR(INDEX('TB-EQUIPMENT &amp; OTHER HPs'!$AD$138:$AD$175,MATCH($E318&amp;$F318,'TB-EQUIPMENT &amp; OTHER HPs'!$E$138:$E$175&amp;'TB-EQUIPMENT &amp; OTHER HPs'!$I$138:$I$175,0)),0)</f>
        <v>0</v>
      </c>
      <c r="AY318" s="626">
        <f t="shared" si="387"/>
        <v>0</v>
      </c>
      <c r="AZ318" s="626">
        <f t="shared" si="388"/>
        <v>0</v>
      </c>
      <c r="BA318" s="626">
        <f t="shared" si="389"/>
        <v>0</v>
      </c>
      <c r="BB318" s="625">
        <f t="array" ref="BB318">IFERROR(INDEX('TB-EQUIPMENT &amp; OTHER HPs'!$AE$138:$AE$175,MATCH($E318&amp;$F318,'TB-EQUIPMENT &amp; OTHER HPs'!$E$138:$E$175&amp;'TB-EQUIPMENT &amp; OTHER HPs'!$I$138:$I$175,0)),0)</f>
        <v>0</v>
      </c>
      <c r="BC318" s="626">
        <f t="shared" si="390"/>
        <v>0</v>
      </c>
      <c r="BD318" s="626">
        <f t="shared" si="391"/>
        <v>0</v>
      </c>
      <c r="BE318" s="626">
        <f t="shared" si="392"/>
        <v>0</v>
      </c>
      <c r="BF318" s="625">
        <f t="array" ref="BF318">IFERROR(INDEX('TB-EQUIPMENT &amp; OTHER HPs'!$AF$138:$AF$175,MATCH($E318&amp;$F318,'TB-EQUIPMENT &amp; OTHER HPs'!$E$138:$E$175&amp;'TB-EQUIPMENT &amp; OTHER HPs'!$I$138:$I$175,0)),0)</f>
        <v>0</v>
      </c>
      <c r="BG318" s="626">
        <f t="shared" si="393"/>
        <v>0</v>
      </c>
      <c r="BH318" s="626">
        <f t="shared" si="394"/>
        <v>0</v>
      </c>
      <c r="BI318" s="626">
        <f t="shared" si="395"/>
        <v>0</v>
      </c>
      <c r="BJ318" s="630"/>
      <c r="BK318" s="625"/>
      <c r="BL318" s="625"/>
      <c r="BM318" s="625"/>
      <c r="BN318" s="625"/>
      <c r="BO318" s="625"/>
      <c r="BP318" s="625"/>
      <c r="BQ318" s="625"/>
      <c r="BR318" s="625"/>
    </row>
    <row r="319" spans="1:70">
      <c r="A319" s="29" t="s">
        <v>1757</v>
      </c>
      <c r="B319" s="29" t="s">
        <v>1838</v>
      </c>
      <c r="C319" s="619">
        <f>SETUP!$F$44</f>
        <v>0</v>
      </c>
      <c r="D319" s="25">
        <v>6.6</v>
      </c>
      <c r="E319" s="26" t="s">
        <v>224</v>
      </c>
      <c r="F319" s="26" t="s">
        <v>200</v>
      </c>
      <c r="G319" s="625" t="str">
        <f t="array" ref="G319">IFERROR(INDEX('TB-EQUIPMENT &amp; OTHER HPs'!$L$138:$L$175,MATCH($E319&amp;$F319,'TB-EQUIPMENT &amp; OTHER HPs'!$E$138:$E$175&amp;'TB-EQUIPMENT &amp; OTHER HPs'!$I$138:$I$175,0)),"")</f>
        <v/>
      </c>
      <c r="H319" s="625" t="str">
        <f t="array" ref="H319">IFERROR(INDEX('TB-EQUIPMENT &amp; OTHER HPs'!$M$138:$M$175,MATCH($E319&amp;$F319,'TB-EQUIPMENT &amp; OTHER HPs'!$E$138:$E$175&amp;'TB-EQUIPMENT &amp; OTHER HPs'!$I$138:$I$175,0)),"")</f>
        <v/>
      </c>
      <c r="I319" s="625">
        <f t="array" ref="I319">IFERROR(INDEX('TB-EQUIPMENT &amp; OTHER HPs'!$N$138:$N$175,MATCH($E319&amp;$F319,'TB-EQUIPMENT &amp; OTHER HPs'!$E$138:$E$175&amp;'TB-EQUIPMENT &amp; OTHER HPs'!$I$138:$I$175,0)),0)</f>
        <v>0</v>
      </c>
      <c r="J319" s="625">
        <f t="array" ref="J319">IFERROR(INDEX('TB-EQUIPMENT &amp; OTHER HPs'!$O$138:$O$175,MATCH($E319&amp;$F319,'TB-EQUIPMENT &amp; OTHER HPs'!$E$138:$E$175&amp;'TB-EQUIPMENT &amp; OTHER HPs'!$I$138:$I$175,0)),0)</f>
        <v>0</v>
      </c>
      <c r="K319" s="626">
        <f t="shared" si="360"/>
        <v>0</v>
      </c>
      <c r="L319" s="626">
        <f t="shared" si="361"/>
        <v>0</v>
      </c>
      <c r="M319" s="626">
        <f t="shared" si="362"/>
        <v>0</v>
      </c>
      <c r="N319" s="625">
        <f t="array" ref="N319">IFERROR(INDEX('TB-EQUIPMENT &amp; OTHER HPs'!$P$138:$P$175,MATCH($E319&amp;$F319,'TB-EQUIPMENT &amp; OTHER HPs'!$E$138:$E$175&amp;'TB-EQUIPMENT &amp; OTHER HPs'!$I$138:$I$175,0)),0)</f>
        <v>0</v>
      </c>
      <c r="O319" s="626">
        <f t="shared" si="363"/>
        <v>0</v>
      </c>
      <c r="P319" s="626">
        <f t="shared" si="364"/>
        <v>0</v>
      </c>
      <c r="Q319" s="626">
        <f t="shared" si="365"/>
        <v>0</v>
      </c>
      <c r="R319" s="625">
        <f t="array" ref="R319">IFERROR(INDEX('TB-EQUIPMENT &amp; OTHER HPs'!$Q$138:$Q$175,MATCH($E319&amp;$F319,'TB-EQUIPMENT &amp; OTHER HPs'!$E$138:$E$175&amp;'TB-EQUIPMENT &amp; OTHER HPs'!$I$138:$I$175,0)),0)</f>
        <v>0</v>
      </c>
      <c r="S319" s="626">
        <f t="shared" si="366"/>
        <v>0</v>
      </c>
      <c r="T319" s="626">
        <f t="shared" si="367"/>
        <v>0</v>
      </c>
      <c r="U319" s="626">
        <f t="shared" si="368"/>
        <v>0</v>
      </c>
      <c r="V319" s="625">
        <f t="array" ref="V319">IFERROR(INDEX('TB-EQUIPMENT &amp; OTHER HPs'!$R$138:$R$175,MATCH($E319&amp;$F319,'TB-EQUIPMENT &amp; OTHER HPs'!$E$138:$E$175&amp;'TB-EQUIPMENT &amp; OTHER HPs'!$I$138:$I$175,0)),0)</f>
        <v>0</v>
      </c>
      <c r="W319" s="626">
        <f t="shared" si="369"/>
        <v>0</v>
      </c>
      <c r="X319" s="626">
        <f t="shared" si="370"/>
        <v>0</v>
      </c>
      <c r="Y319" s="626">
        <f t="shared" si="371"/>
        <v>0</v>
      </c>
      <c r="AA319" s="625">
        <f t="array" ref="AA319">IFERROR(INDEX('TB-EQUIPMENT &amp; OTHER HPs'!$U$138:$U$175,MATCH($E319&amp;$F319,'TB-EQUIPMENT &amp; OTHER HPs'!$E$138:$E$175&amp;'TB-EQUIPMENT &amp; OTHER HPs'!$I$138:$I$175,0)),0)</f>
        <v>0</v>
      </c>
      <c r="AB319" s="625">
        <f t="array" ref="AB319">IFERROR(INDEX('TB-EQUIPMENT &amp; OTHER HPs'!$V$138:$V$175,MATCH($E319&amp;$F319,'TB-EQUIPMENT &amp; OTHER HPs'!$E$138:$E$175&amp;'TB-EQUIPMENT &amp; OTHER HPs'!$I$138:$I$175,0)),0)</f>
        <v>0</v>
      </c>
      <c r="AC319" s="626">
        <f t="shared" si="372"/>
        <v>0</v>
      </c>
      <c r="AD319" s="626">
        <f t="shared" si="373"/>
        <v>0</v>
      </c>
      <c r="AE319" s="626">
        <f t="shared" si="374"/>
        <v>0</v>
      </c>
      <c r="AF319" s="625">
        <f t="array" ref="AF319">IFERROR(INDEX('TB-EQUIPMENT &amp; OTHER HPs'!$W$138:$W$175,MATCH($E319&amp;$F319,'TB-EQUIPMENT &amp; OTHER HPs'!$E$138:$E$175&amp;'TB-EQUIPMENT &amp; OTHER HPs'!$I$138:$I$175,0)),0)</f>
        <v>0</v>
      </c>
      <c r="AG319" s="626">
        <f t="shared" si="375"/>
        <v>0</v>
      </c>
      <c r="AH319" s="626">
        <f t="shared" si="376"/>
        <v>0</v>
      </c>
      <c r="AI319" s="626">
        <f t="shared" si="377"/>
        <v>0</v>
      </c>
      <c r="AJ319" s="625">
        <f t="array" ref="AJ319">IFERROR(INDEX('TB-EQUIPMENT &amp; OTHER HPs'!$X$138:$X$175,MATCH($E319&amp;$F319,'TB-EQUIPMENT &amp; OTHER HPs'!$E$138:$E$175&amp;'TB-EQUIPMENT &amp; OTHER HPs'!$I$138:$I$175,0)),0)</f>
        <v>0</v>
      </c>
      <c r="AK319" s="626">
        <f t="shared" si="378"/>
        <v>0</v>
      </c>
      <c r="AL319" s="626">
        <f t="shared" si="379"/>
        <v>0</v>
      </c>
      <c r="AM319" s="626">
        <f t="shared" si="380"/>
        <v>0</v>
      </c>
      <c r="AN319" s="625">
        <f t="array" ref="AN319">IFERROR(INDEX('TB-EQUIPMENT &amp; OTHER HPs'!$Y$138:$Y$175,MATCH($E319&amp;$F319,'TB-EQUIPMENT &amp; OTHER HPs'!$E$138:$E$175&amp;'TB-EQUIPMENT &amp; OTHER HPs'!$I$138:$I$175,0)),0)</f>
        <v>0</v>
      </c>
      <c r="AO319" s="626">
        <f t="shared" si="381"/>
        <v>0</v>
      </c>
      <c r="AP319" s="626">
        <f t="shared" si="382"/>
        <v>0</v>
      </c>
      <c r="AQ319" s="626">
        <f t="shared" si="383"/>
        <v>0</v>
      </c>
      <c r="AR319" s="630"/>
      <c r="AS319" s="625">
        <f t="array" ref="AS319">IFERROR(INDEX('TB-EQUIPMENT &amp; OTHER HPs'!$AB$138:$AB$175,MATCH($E319&amp;$F319,'TB-EQUIPMENT &amp; OTHER HPs'!$E$138:$E$175&amp;'TB-EQUIPMENT &amp; OTHER HPs'!$I$138:$I$175,0)),0)</f>
        <v>0</v>
      </c>
      <c r="AT319" s="625">
        <f t="array" ref="AT319">IFERROR(INDEX('TB-EQUIPMENT &amp; OTHER HPs'!$AC$138:$AC$175,MATCH($E319&amp;$F319,'TB-EQUIPMENT &amp; OTHER HPs'!$E$138:$E$175&amp;'TB-EQUIPMENT &amp; OTHER HPs'!$I$138:$I$175,0)),0)</f>
        <v>0</v>
      </c>
      <c r="AU319" s="626">
        <f t="shared" si="384"/>
        <v>0</v>
      </c>
      <c r="AV319" s="626">
        <f t="shared" si="385"/>
        <v>0</v>
      </c>
      <c r="AW319" s="626">
        <f t="shared" si="386"/>
        <v>0</v>
      </c>
      <c r="AX319" s="625">
        <f t="array" ref="AX319">IFERROR(INDEX('TB-EQUIPMENT &amp; OTHER HPs'!$AD$138:$AD$175,MATCH($E319&amp;$F319,'TB-EQUIPMENT &amp; OTHER HPs'!$E$138:$E$175&amp;'TB-EQUIPMENT &amp; OTHER HPs'!$I$138:$I$175,0)),0)</f>
        <v>0</v>
      </c>
      <c r="AY319" s="626">
        <f t="shared" si="387"/>
        <v>0</v>
      </c>
      <c r="AZ319" s="626">
        <f t="shared" si="388"/>
        <v>0</v>
      </c>
      <c r="BA319" s="626">
        <f t="shared" si="389"/>
        <v>0</v>
      </c>
      <c r="BB319" s="625">
        <f t="array" ref="BB319">IFERROR(INDEX('TB-EQUIPMENT &amp; OTHER HPs'!$AE$138:$AE$175,MATCH($E319&amp;$F319,'TB-EQUIPMENT &amp; OTHER HPs'!$E$138:$E$175&amp;'TB-EQUIPMENT &amp; OTHER HPs'!$I$138:$I$175,0)),0)</f>
        <v>0</v>
      </c>
      <c r="BC319" s="626">
        <f t="shared" si="390"/>
        <v>0</v>
      </c>
      <c r="BD319" s="626">
        <f t="shared" si="391"/>
        <v>0</v>
      </c>
      <c r="BE319" s="626">
        <f t="shared" si="392"/>
        <v>0</v>
      </c>
      <c r="BF319" s="625">
        <f t="array" ref="BF319">IFERROR(INDEX('TB-EQUIPMENT &amp; OTHER HPs'!$AF$138:$AF$175,MATCH($E319&amp;$F319,'TB-EQUIPMENT &amp; OTHER HPs'!$E$138:$E$175&amp;'TB-EQUIPMENT &amp; OTHER HPs'!$I$138:$I$175,0)),0)</f>
        <v>0</v>
      </c>
      <c r="BG319" s="626">
        <f t="shared" si="393"/>
        <v>0</v>
      </c>
      <c r="BH319" s="626">
        <f t="shared" si="394"/>
        <v>0</v>
      </c>
      <c r="BI319" s="626">
        <f t="shared" si="395"/>
        <v>0</v>
      </c>
      <c r="BJ319" s="630"/>
      <c r="BK319" s="625"/>
      <c r="BL319" s="625"/>
      <c r="BM319" s="625"/>
      <c r="BN319" s="625"/>
      <c r="BO319" s="625"/>
      <c r="BP319" s="625"/>
      <c r="BQ319" s="625"/>
      <c r="BR319" s="625"/>
    </row>
    <row r="320" spans="1:70">
      <c r="A320" s="29" t="s">
        <v>1757</v>
      </c>
      <c r="B320" s="29" t="s">
        <v>1838</v>
      </c>
      <c r="C320" s="619">
        <f>SETUP!$F$44</f>
        <v>0</v>
      </c>
      <c r="D320" s="25">
        <v>6.6</v>
      </c>
      <c r="E320" s="26" t="s">
        <v>225</v>
      </c>
      <c r="F320" s="26" t="s">
        <v>201</v>
      </c>
      <c r="G320" s="625" t="str">
        <f t="array" ref="G320">IFERROR(INDEX('TB-EQUIPMENT &amp; OTHER HPs'!$L$138:$L$175,MATCH($E320&amp;$F320,'TB-EQUIPMENT &amp; OTHER HPs'!$E$138:$E$175&amp;'TB-EQUIPMENT &amp; OTHER HPs'!$I$138:$I$175,0)),"")</f>
        <v/>
      </c>
      <c r="H320" s="625" t="str">
        <f t="array" ref="H320">IFERROR(INDEX('TB-EQUIPMENT &amp; OTHER HPs'!$M$138:$M$175,MATCH($E320&amp;$F320,'TB-EQUIPMENT &amp; OTHER HPs'!$E$138:$E$175&amp;'TB-EQUIPMENT &amp; OTHER HPs'!$I$138:$I$175,0)),"")</f>
        <v/>
      </c>
      <c r="I320" s="625">
        <f t="array" ref="I320">IFERROR(INDEX('TB-EQUIPMENT &amp; OTHER HPs'!$N$138:$N$175,MATCH($E320&amp;$F320,'TB-EQUIPMENT &amp; OTHER HPs'!$E$138:$E$175&amp;'TB-EQUIPMENT &amp; OTHER HPs'!$I$138:$I$175,0)),0)</f>
        <v>0</v>
      </c>
      <c r="J320" s="625">
        <f t="array" ref="J320">IFERROR(INDEX('TB-EQUIPMENT &amp; OTHER HPs'!$O$138:$O$175,MATCH($E320&amp;$F320,'TB-EQUIPMENT &amp; OTHER HPs'!$E$138:$E$175&amp;'TB-EQUIPMENT &amp; OTHER HPs'!$I$138:$I$175,0)),0)</f>
        <v>0</v>
      </c>
      <c r="K320" s="626">
        <f t="shared" si="360"/>
        <v>0</v>
      </c>
      <c r="L320" s="626">
        <f t="shared" si="361"/>
        <v>0</v>
      </c>
      <c r="M320" s="626">
        <f t="shared" si="362"/>
        <v>0</v>
      </c>
      <c r="N320" s="625">
        <f t="array" ref="N320">IFERROR(INDEX('TB-EQUIPMENT &amp; OTHER HPs'!$P$138:$P$175,MATCH($E320&amp;$F320,'TB-EQUIPMENT &amp; OTHER HPs'!$E$138:$E$175&amp;'TB-EQUIPMENT &amp; OTHER HPs'!$I$138:$I$175,0)),0)</f>
        <v>0</v>
      </c>
      <c r="O320" s="626">
        <f t="shared" si="363"/>
        <v>0</v>
      </c>
      <c r="P320" s="626">
        <f t="shared" si="364"/>
        <v>0</v>
      </c>
      <c r="Q320" s="626">
        <f t="shared" si="365"/>
        <v>0</v>
      </c>
      <c r="R320" s="625">
        <f t="array" ref="R320">IFERROR(INDEX('TB-EQUIPMENT &amp; OTHER HPs'!$Q$138:$Q$175,MATCH($E320&amp;$F320,'TB-EQUIPMENT &amp; OTHER HPs'!$E$138:$E$175&amp;'TB-EQUIPMENT &amp; OTHER HPs'!$I$138:$I$175,0)),0)</f>
        <v>0</v>
      </c>
      <c r="S320" s="626">
        <f t="shared" si="366"/>
        <v>0</v>
      </c>
      <c r="T320" s="626">
        <f t="shared" si="367"/>
        <v>0</v>
      </c>
      <c r="U320" s="626">
        <f t="shared" si="368"/>
        <v>0</v>
      </c>
      <c r="V320" s="625">
        <f t="array" ref="V320">IFERROR(INDEX('TB-EQUIPMENT &amp; OTHER HPs'!$R$138:$R$175,MATCH($E320&amp;$F320,'TB-EQUIPMENT &amp; OTHER HPs'!$E$138:$E$175&amp;'TB-EQUIPMENT &amp; OTHER HPs'!$I$138:$I$175,0)),0)</f>
        <v>0</v>
      </c>
      <c r="W320" s="626">
        <f t="shared" si="369"/>
        <v>0</v>
      </c>
      <c r="X320" s="626">
        <f t="shared" si="370"/>
        <v>0</v>
      </c>
      <c r="Y320" s="626">
        <f t="shared" si="371"/>
        <v>0</v>
      </c>
      <c r="AA320" s="625">
        <f t="array" ref="AA320">IFERROR(INDEX('TB-EQUIPMENT &amp; OTHER HPs'!$U$138:$U$175,MATCH($E320&amp;$F320,'TB-EQUIPMENT &amp; OTHER HPs'!$E$138:$E$175&amp;'TB-EQUIPMENT &amp; OTHER HPs'!$I$138:$I$175,0)),0)</f>
        <v>0</v>
      </c>
      <c r="AB320" s="625">
        <f t="array" ref="AB320">IFERROR(INDEX('TB-EQUIPMENT &amp; OTHER HPs'!$V$138:$V$175,MATCH($E320&amp;$F320,'TB-EQUIPMENT &amp; OTHER HPs'!$E$138:$E$175&amp;'TB-EQUIPMENT &amp; OTHER HPs'!$I$138:$I$175,0)),0)</f>
        <v>0</v>
      </c>
      <c r="AC320" s="626">
        <f t="shared" si="372"/>
        <v>0</v>
      </c>
      <c r="AD320" s="626">
        <f t="shared" si="373"/>
        <v>0</v>
      </c>
      <c r="AE320" s="626">
        <f t="shared" si="374"/>
        <v>0</v>
      </c>
      <c r="AF320" s="625">
        <f t="array" ref="AF320">IFERROR(INDEX('TB-EQUIPMENT &amp; OTHER HPs'!$W$138:$W$175,MATCH($E320&amp;$F320,'TB-EQUIPMENT &amp; OTHER HPs'!$E$138:$E$175&amp;'TB-EQUIPMENT &amp; OTHER HPs'!$I$138:$I$175,0)),0)</f>
        <v>0</v>
      </c>
      <c r="AG320" s="626">
        <f t="shared" si="375"/>
        <v>0</v>
      </c>
      <c r="AH320" s="626">
        <f t="shared" si="376"/>
        <v>0</v>
      </c>
      <c r="AI320" s="626">
        <f t="shared" si="377"/>
        <v>0</v>
      </c>
      <c r="AJ320" s="625">
        <f t="array" ref="AJ320">IFERROR(INDEX('TB-EQUIPMENT &amp; OTHER HPs'!$X$138:$X$175,MATCH($E320&amp;$F320,'TB-EQUIPMENT &amp; OTHER HPs'!$E$138:$E$175&amp;'TB-EQUIPMENT &amp; OTHER HPs'!$I$138:$I$175,0)),0)</f>
        <v>0</v>
      </c>
      <c r="AK320" s="626">
        <f t="shared" si="378"/>
        <v>0</v>
      </c>
      <c r="AL320" s="626">
        <f t="shared" si="379"/>
        <v>0</v>
      </c>
      <c r="AM320" s="626">
        <f t="shared" si="380"/>
        <v>0</v>
      </c>
      <c r="AN320" s="625">
        <f t="array" ref="AN320">IFERROR(INDEX('TB-EQUIPMENT &amp; OTHER HPs'!$Y$138:$Y$175,MATCH($E320&amp;$F320,'TB-EQUIPMENT &amp; OTHER HPs'!$E$138:$E$175&amp;'TB-EQUIPMENT &amp; OTHER HPs'!$I$138:$I$175,0)),0)</f>
        <v>0</v>
      </c>
      <c r="AO320" s="626">
        <f t="shared" si="381"/>
        <v>0</v>
      </c>
      <c r="AP320" s="626">
        <f t="shared" si="382"/>
        <v>0</v>
      </c>
      <c r="AQ320" s="626">
        <f t="shared" si="383"/>
        <v>0</v>
      </c>
      <c r="AR320" s="630"/>
      <c r="AS320" s="625">
        <f t="array" ref="AS320">IFERROR(INDEX('TB-EQUIPMENT &amp; OTHER HPs'!$AB$138:$AB$175,MATCH($E320&amp;$F320,'TB-EQUIPMENT &amp; OTHER HPs'!$E$138:$E$175&amp;'TB-EQUIPMENT &amp; OTHER HPs'!$I$138:$I$175,0)),0)</f>
        <v>0</v>
      </c>
      <c r="AT320" s="625">
        <f t="array" ref="AT320">IFERROR(INDEX('TB-EQUIPMENT &amp; OTHER HPs'!$AC$138:$AC$175,MATCH($E320&amp;$F320,'TB-EQUIPMENT &amp; OTHER HPs'!$E$138:$E$175&amp;'TB-EQUIPMENT &amp; OTHER HPs'!$I$138:$I$175,0)),0)</f>
        <v>0</v>
      </c>
      <c r="AU320" s="626">
        <f t="shared" si="384"/>
        <v>0</v>
      </c>
      <c r="AV320" s="626">
        <f t="shared" si="385"/>
        <v>0</v>
      </c>
      <c r="AW320" s="626">
        <f t="shared" si="386"/>
        <v>0</v>
      </c>
      <c r="AX320" s="625">
        <f t="array" ref="AX320">IFERROR(INDEX('TB-EQUIPMENT &amp; OTHER HPs'!$AD$138:$AD$175,MATCH($E320&amp;$F320,'TB-EQUIPMENT &amp; OTHER HPs'!$E$138:$E$175&amp;'TB-EQUIPMENT &amp; OTHER HPs'!$I$138:$I$175,0)),0)</f>
        <v>0</v>
      </c>
      <c r="AY320" s="626">
        <f t="shared" si="387"/>
        <v>0</v>
      </c>
      <c r="AZ320" s="626">
        <f t="shared" si="388"/>
        <v>0</v>
      </c>
      <c r="BA320" s="626">
        <f t="shared" si="389"/>
        <v>0</v>
      </c>
      <c r="BB320" s="625">
        <f t="array" ref="BB320">IFERROR(INDEX('TB-EQUIPMENT &amp; OTHER HPs'!$AE$138:$AE$175,MATCH($E320&amp;$F320,'TB-EQUIPMENT &amp; OTHER HPs'!$E$138:$E$175&amp;'TB-EQUIPMENT &amp; OTHER HPs'!$I$138:$I$175,0)),0)</f>
        <v>0</v>
      </c>
      <c r="BC320" s="626">
        <f t="shared" si="390"/>
        <v>0</v>
      </c>
      <c r="BD320" s="626">
        <f t="shared" si="391"/>
        <v>0</v>
      </c>
      <c r="BE320" s="626">
        <f t="shared" si="392"/>
        <v>0</v>
      </c>
      <c r="BF320" s="625">
        <f t="array" ref="BF320">IFERROR(INDEX('TB-EQUIPMENT &amp; OTHER HPs'!$AF$138:$AF$175,MATCH($E320&amp;$F320,'TB-EQUIPMENT &amp; OTHER HPs'!$E$138:$E$175&amp;'TB-EQUIPMENT &amp; OTHER HPs'!$I$138:$I$175,0)),0)</f>
        <v>0</v>
      </c>
      <c r="BG320" s="626">
        <f t="shared" si="393"/>
        <v>0</v>
      </c>
      <c r="BH320" s="626">
        <f t="shared" si="394"/>
        <v>0</v>
      </c>
      <c r="BI320" s="626">
        <f t="shared" si="395"/>
        <v>0</v>
      </c>
      <c r="BJ320" s="630"/>
      <c r="BK320" s="625"/>
      <c r="BL320" s="625"/>
      <c r="BM320" s="625"/>
      <c r="BN320" s="625"/>
      <c r="BO320" s="625"/>
      <c r="BP320" s="625"/>
      <c r="BQ320" s="625"/>
      <c r="BR320" s="625"/>
    </row>
    <row r="321" spans="1:70">
      <c r="A321" s="29" t="s">
        <v>1757</v>
      </c>
      <c r="B321" s="29" t="s">
        <v>1838</v>
      </c>
      <c r="C321" s="619">
        <f>SETUP!$F$44</f>
        <v>0</v>
      </c>
      <c r="D321" s="25">
        <v>6.6</v>
      </c>
      <c r="E321" s="26" t="s">
        <v>225</v>
      </c>
      <c r="F321" s="26" t="s">
        <v>200</v>
      </c>
      <c r="G321" s="625" t="str">
        <f t="array" ref="G321">IFERROR(INDEX('TB-EQUIPMENT &amp; OTHER HPs'!$L$138:$L$175,MATCH($E321&amp;$F321,'TB-EQUIPMENT &amp; OTHER HPs'!$E$138:$E$175&amp;'TB-EQUIPMENT &amp; OTHER HPs'!$I$138:$I$175,0)),"")</f>
        <v/>
      </c>
      <c r="H321" s="625" t="str">
        <f t="array" ref="H321">IFERROR(INDEX('TB-EQUIPMENT &amp; OTHER HPs'!$M$138:$M$175,MATCH($E321&amp;$F321,'TB-EQUIPMENT &amp; OTHER HPs'!$E$138:$E$175&amp;'TB-EQUIPMENT &amp; OTHER HPs'!$I$138:$I$175,0)),"")</f>
        <v/>
      </c>
      <c r="I321" s="625">
        <f t="array" ref="I321">IFERROR(INDEX('TB-EQUIPMENT &amp; OTHER HPs'!$N$138:$N$175,MATCH($E321&amp;$F321,'TB-EQUIPMENT &amp; OTHER HPs'!$E$138:$E$175&amp;'TB-EQUIPMENT &amp; OTHER HPs'!$I$138:$I$175,0)),0)</f>
        <v>0</v>
      </c>
      <c r="J321" s="625">
        <f t="array" ref="J321">IFERROR(INDEX('TB-EQUIPMENT &amp; OTHER HPs'!$O$138:$O$175,MATCH($E321&amp;$F321,'TB-EQUIPMENT &amp; OTHER HPs'!$E$138:$E$175&amp;'TB-EQUIPMENT &amp; OTHER HPs'!$I$138:$I$175,0)),0)</f>
        <v>0</v>
      </c>
      <c r="K321" s="626">
        <f t="shared" si="360"/>
        <v>0</v>
      </c>
      <c r="L321" s="626">
        <f t="shared" si="361"/>
        <v>0</v>
      </c>
      <c r="M321" s="626">
        <f t="shared" si="362"/>
        <v>0</v>
      </c>
      <c r="N321" s="625">
        <f t="array" ref="N321">IFERROR(INDEX('TB-EQUIPMENT &amp; OTHER HPs'!$P$138:$P$175,MATCH($E321&amp;$F321,'TB-EQUIPMENT &amp; OTHER HPs'!$E$138:$E$175&amp;'TB-EQUIPMENT &amp; OTHER HPs'!$I$138:$I$175,0)),0)</f>
        <v>0</v>
      </c>
      <c r="O321" s="626">
        <f t="shared" si="363"/>
        <v>0</v>
      </c>
      <c r="P321" s="626">
        <f t="shared" si="364"/>
        <v>0</v>
      </c>
      <c r="Q321" s="626">
        <f t="shared" si="365"/>
        <v>0</v>
      </c>
      <c r="R321" s="625">
        <f t="array" ref="R321">IFERROR(INDEX('TB-EQUIPMENT &amp; OTHER HPs'!$Q$138:$Q$175,MATCH($E321&amp;$F321,'TB-EQUIPMENT &amp; OTHER HPs'!$E$138:$E$175&amp;'TB-EQUIPMENT &amp; OTHER HPs'!$I$138:$I$175,0)),0)</f>
        <v>0</v>
      </c>
      <c r="S321" s="626">
        <f t="shared" si="366"/>
        <v>0</v>
      </c>
      <c r="T321" s="626">
        <f t="shared" si="367"/>
        <v>0</v>
      </c>
      <c r="U321" s="626">
        <f t="shared" si="368"/>
        <v>0</v>
      </c>
      <c r="V321" s="625">
        <f t="array" ref="V321">IFERROR(INDEX('TB-EQUIPMENT &amp; OTHER HPs'!$R$138:$R$175,MATCH($E321&amp;$F321,'TB-EQUIPMENT &amp; OTHER HPs'!$E$138:$E$175&amp;'TB-EQUIPMENT &amp; OTHER HPs'!$I$138:$I$175,0)),0)</f>
        <v>0</v>
      </c>
      <c r="W321" s="626">
        <f t="shared" si="369"/>
        <v>0</v>
      </c>
      <c r="X321" s="626">
        <f t="shared" si="370"/>
        <v>0</v>
      </c>
      <c r="Y321" s="626">
        <f t="shared" si="371"/>
        <v>0</v>
      </c>
      <c r="AA321" s="625">
        <f t="array" ref="AA321">IFERROR(INDEX('TB-EQUIPMENT &amp; OTHER HPs'!$U$138:$U$175,MATCH($E321&amp;$F321,'TB-EQUIPMENT &amp; OTHER HPs'!$E$138:$E$175&amp;'TB-EQUIPMENT &amp; OTHER HPs'!$I$138:$I$175,0)),0)</f>
        <v>0</v>
      </c>
      <c r="AB321" s="625">
        <f t="array" ref="AB321">IFERROR(INDEX('TB-EQUIPMENT &amp; OTHER HPs'!$V$138:$V$175,MATCH($E321&amp;$F321,'TB-EQUIPMENT &amp; OTHER HPs'!$E$138:$E$175&amp;'TB-EQUIPMENT &amp; OTHER HPs'!$I$138:$I$175,0)),0)</f>
        <v>0</v>
      </c>
      <c r="AC321" s="626">
        <f t="shared" si="372"/>
        <v>0</v>
      </c>
      <c r="AD321" s="626">
        <f t="shared" si="373"/>
        <v>0</v>
      </c>
      <c r="AE321" s="626">
        <f t="shared" si="374"/>
        <v>0</v>
      </c>
      <c r="AF321" s="625">
        <f t="array" ref="AF321">IFERROR(INDEX('TB-EQUIPMENT &amp; OTHER HPs'!$W$138:$W$175,MATCH($E321&amp;$F321,'TB-EQUIPMENT &amp; OTHER HPs'!$E$138:$E$175&amp;'TB-EQUIPMENT &amp; OTHER HPs'!$I$138:$I$175,0)),0)</f>
        <v>0</v>
      </c>
      <c r="AG321" s="626">
        <f t="shared" si="375"/>
        <v>0</v>
      </c>
      <c r="AH321" s="626">
        <f t="shared" si="376"/>
        <v>0</v>
      </c>
      <c r="AI321" s="626">
        <f t="shared" si="377"/>
        <v>0</v>
      </c>
      <c r="AJ321" s="625">
        <f t="array" ref="AJ321">IFERROR(INDEX('TB-EQUIPMENT &amp; OTHER HPs'!$X$138:$X$175,MATCH($E321&amp;$F321,'TB-EQUIPMENT &amp; OTHER HPs'!$E$138:$E$175&amp;'TB-EQUIPMENT &amp; OTHER HPs'!$I$138:$I$175,0)),0)</f>
        <v>0</v>
      </c>
      <c r="AK321" s="626">
        <f t="shared" si="378"/>
        <v>0</v>
      </c>
      <c r="AL321" s="626">
        <f t="shared" si="379"/>
        <v>0</v>
      </c>
      <c r="AM321" s="626">
        <f t="shared" si="380"/>
        <v>0</v>
      </c>
      <c r="AN321" s="625">
        <f t="array" ref="AN321">IFERROR(INDEX('TB-EQUIPMENT &amp; OTHER HPs'!$Y$138:$Y$175,MATCH($E321&amp;$F321,'TB-EQUIPMENT &amp; OTHER HPs'!$E$138:$E$175&amp;'TB-EQUIPMENT &amp; OTHER HPs'!$I$138:$I$175,0)),0)</f>
        <v>0</v>
      </c>
      <c r="AO321" s="626">
        <f t="shared" si="381"/>
        <v>0</v>
      </c>
      <c r="AP321" s="626">
        <f t="shared" si="382"/>
        <v>0</v>
      </c>
      <c r="AQ321" s="626">
        <f t="shared" si="383"/>
        <v>0</v>
      </c>
      <c r="AR321" s="630"/>
      <c r="AS321" s="625">
        <f t="array" ref="AS321">IFERROR(INDEX('TB-EQUIPMENT &amp; OTHER HPs'!$AB$138:$AB$175,MATCH($E321&amp;$F321,'TB-EQUIPMENT &amp; OTHER HPs'!$E$138:$E$175&amp;'TB-EQUIPMENT &amp; OTHER HPs'!$I$138:$I$175,0)),0)</f>
        <v>0</v>
      </c>
      <c r="AT321" s="625">
        <f t="array" ref="AT321">IFERROR(INDEX('TB-EQUIPMENT &amp; OTHER HPs'!$AC$138:$AC$175,MATCH($E321&amp;$F321,'TB-EQUIPMENT &amp; OTHER HPs'!$E$138:$E$175&amp;'TB-EQUIPMENT &amp; OTHER HPs'!$I$138:$I$175,0)),0)</f>
        <v>0</v>
      </c>
      <c r="AU321" s="626">
        <f t="shared" si="384"/>
        <v>0</v>
      </c>
      <c r="AV321" s="626">
        <f t="shared" si="385"/>
        <v>0</v>
      </c>
      <c r="AW321" s="626">
        <f t="shared" si="386"/>
        <v>0</v>
      </c>
      <c r="AX321" s="625">
        <f t="array" ref="AX321">IFERROR(INDEX('TB-EQUIPMENT &amp; OTHER HPs'!$AD$138:$AD$175,MATCH($E321&amp;$F321,'TB-EQUIPMENT &amp; OTHER HPs'!$E$138:$E$175&amp;'TB-EQUIPMENT &amp; OTHER HPs'!$I$138:$I$175,0)),0)</f>
        <v>0</v>
      </c>
      <c r="AY321" s="626">
        <f t="shared" si="387"/>
        <v>0</v>
      </c>
      <c r="AZ321" s="626">
        <f t="shared" si="388"/>
        <v>0</v>
      </c>
      <c r="BA321" s="626">
        <f t="shared" si="389"/>
        <v>0</v>
      </c>
      <c r="BB321" s="625">
        <f t="array" ref="BB321">IFERROR(INDEX('TB-EQUIPMENT &amp; OTHER HPs'!$AE$138:$AE$175,MATCH($E321&amp;$F321,'TB-EQUIPMENT &amp; OTHER HPs'!$E$138:$E$175&amp;'TB-EQUIPMENT &amp; OTHER HPs'!$I$138:$I$175,0)),0)</f>
        <v>0</v>
      </c>
      <c r="BC321" s="626">
        <f t="shared" si="390"/>
        <v>0</v>
      </c>
      <c r="BD321" s="626">
        <f t="shared" si="391"/>
        <v>0</v>
      </c>
      <c r="BE321" s="626">
        <f t="shared" si="392"/>
        <v>0</v>
      </c>
      <c r="BF321" s="625">
        <f t="array" ref="BF321">IFERROR(INDEX('TB-EQUIPMENT &amp; OTHER HPs'!$AF$138:$AF$175,MATCH($E321&amp;$F321,'TB-EQUIPMENT &amp; OTHER HPs'!$E$138:$E$175&amp;'TB-EQUIPMENT &amp; OTHER HPs'!$I$138:$I$175,0)),0)</f>
        <v>0</v>
      </c>
      <c r="BG321" s="626">
        <f t="shared" si="393"/>
        <v>0</v>
      </c>
      <c r="BH321" s="626">
        <f t="shared" si="394"/>
        <v>0</v>
      </c>
      <c r="BI321" s="626">
        <f t="shared" si="395"/>
        <v>0</v>
      </c>
      <c r="BJ321" s="630"/>
      <c r="BK321" s="625"/>
      <c r="BL321" s="625"/>
      <c r="BM321" s="625"/>
      <c r="BN321" s="625"/>
      <c r="BO321" s="625"/>
      <c r="BP321" s="625"/>
      <c r="BQ321" s="625"/>
      <c r="BR321" s="625"/>
    </row>
    <row r="322" spans="1:70">
      <c r="A322" s="29" t="s">
        <v>1757</v>
      </c>
      <c r="B322" s="29" t="s">
        <v>1838</v>
      </c>
      <c r="C322" s="619">
        <f>SETUP!$F$44</f>
        <v>0</v>
      </c>
      <c r="D322" s="25">
        <v>6.6</v>
      </c>
      <c r="E322" s="26" t="s">
        <v>1210</v>
      </c>
      <c r="F322" s="26" t="s">
        <v>1140</v>
      </c>
      <c r="G322" s="625" t="str">
        <f t="array" ref="G322">IFERROR(INDEX('TB-EQUIPMENT &amp; OTHER HPs'!$L$138:$L$175,MATCH($E322&amp;$F322,'TB-EQUIPMENT &amp; OTHER HPs'!$E$138:$E$175&amp;'TB-EQUIPMENT &amp; OTHER HPs'!$I$138:$I$175,0)),"")</f>
        <v/>
      </c>
      <c r="H322" s="625" t="str">
        <f t="array" ref="H322">IFERROR(INDEX('TB-EQUIPMENT &amp; OTHER HPs'!$M$138:$M$175,MATCH($E322&amp;$F322,'TB-EQUIPMENT &amp; OTHER HPs'!$E$138:$E$175&amp;'TB-EQUIPMENT &amp; OTHER HPs'!$I$138:$I$175,0)),"")</f>
        <v/>
      </c>
      <c r="I322" s="625">
        <f t="array" ref="I322">IFERROR(INDEX('TB-EQUIPMENT &amp; OTHER HPs'!$N$138:$N$175,MATCH($E322&amp;$F322,'TB-EQUIPMENT &amp; OTHER HPs'!$E$138:$E$175&amp;'TB-EQUIPMENT &amp; OTHER HPs'!$I$138:$I$175,0)),0)</f>
        <v>0</v>
      </c>
      <c r="J322" s="625">
        <f t="array" ref="J322">IFERROR(INDEX('TB-EQUIPMENT &amp; OTHER HPs'!$O$138:$O$175,MATCH($E322&amp;$F322,'TB-EQUIPMENT &amp; OTHER HPs'!$E$138:$E$175&amp;'TB-EQUIPMENT &amp; OTHER HPs'!$I$138:$I$175,0)),0)</f>
        <v>0</v>
      </c>
      <c r="K322" s="626">
        <f t="shared" si="360"/>
        <v>0</v>
      </c>
      <c r="L322" s="626">
        <f t="shared" si="361"/>
        <v>0</v>
      </c>
      <c r="M322" s="626">
        <f t="shared" si="362"/>
        <v>0</v>
      </c>
      <c r="N322" s="625">
        <f t="array" ref="N322">IFERROR(INDEX('TB-EQUIPMENT &amp; OTHER HPs'!$P$138:$P$175,MATCH($E322&amp;$F322,'TB-EQUIPMENT &amp; OTHER HPs'!$E$138:$E$175&amp;'TB-EQUIPMENT &amp; OTHER HPs'!$I$138:$I$175,0)),0)</f>
        <v>0</v>
      </c>
      <c r="O322" s="626">
        <f t="shared" si="363"/>
        <v>0</v>
      </c>
      <c r="P322" s="626">
        <f t="shared" si="364"/>
        <v>0</v>
      </c>
      <c r="Q322" s="626">
        <f t="shared" si="365"/>
        <v>0</v>
      </c>
      <c r="R322" s="625">
        <f t="array" ref="R322">IFERROR(INDEX('TB-EQUIPMENT &amp; OTHER HPs'!$Q$138:$Q$175,MATCH($E322&amp;$F322,'TB-EQUIPMENT &amp; OTHER HPs'!$E$138:$E$175&amp;'TB-EQUIPMENT &amp; OTHER HPs'!$I$138:$I$175,0)),0)</f>
        <v>0</v>
      </c>
      <c r="S322" s="626">
        <f t="shared" si="366"/>
        <v>0</v>
      </c>
      <c r="T322" s="626">
        <f t="shared" si="367"/>
        <v>0</v>
      </c>
      <c r="U322" s="626">
        <f t="shared" si="368"/>
        <v>0</v>
      </c>
      <c r="V322" s="625">
        <f t="array" ref="V322">IFERROR(INDEX('TB-EQUIPMENT &amp; OTHER HPs'!$R$138:$R$175,MATCH($E322&amp;$F322,'TB-EQUIPMENT &amp; OTHER HPs'!$E$138:$E$175&amp;'TB-EQUIPMENT &amp; OTHER HPs'!$I$138:$I$175,0)),0)</f>
        <v>0</v>
      </c>
      <c r="W322" s="626">
        <f t="shared" si="369"/>
        <v>0</v>
      </c>
      <c r="X322" s="626">
        <f t="shared" si="370"/>
        <v>0</v>
      </c>
      <c r="Y322" s="626">
        <f t="shared" si="371"/>
        <v>0</v>
      </c>
      <c r="AA322" s="625">
        <f t="array" ref="AA322">IFERROR(INDEX('TB-EQUIPMENT &amp; OTHER HPs'!$U$138:$U$175,MATCH($E322&amp;$F322,'TB-EQUIPMENT &amp; OTHER HPs'!$E$138:$E$175&amp;'TB-EQUIPMENT &amp; OTHER HPs'!$I$138:$I$175,0)),0)</f>
        <v>0</v>
      </c>
      <c r="AB322" s="625">
        <f t="array" ref="AB322">IFERROR(INDEX('TB-EQUIPMENT &amp; OTHER HPs'!$V$138:$V$175,MATCH($E322&amp;$F322,'TB-EQUIPMENT &amp; OTHER HPs'!$E$138:$E$175&amp;'TB-EQUIPMENT &amp; OTHER HPs'!$I$138:$I$175,0)),0)</f>
        <v>0</v>
      </c>
      <c r="AC322" s="626">
        <f t="shared" si="372"/>
        <v>0</v>
      </c>
      <c r="AD322" s="626">
        <f t="shared" si="373"/>
        <v>0</v>
      </c>
      <c r="AE322" s="626">
        <f t="shared" si="374"/>
        <v>0</v>
      </c>
      <c r="AF322" s="625">
        <f t="array" ref="AF322">IFERROR(INDEX('TB-EQUIPMENT &amp; OTHER HPs'!$W$138:$W$175,MATCH($E322&amp;$F322,'TB-EQUIPMENT &amp; OTHER HPs'!$E$138:$E$175&amp;'TB-EQUIPMENT &amp; OTHER HPs'!$I$138:$I$175,0)),0)</f>
        <v>0</v>
      </c>
      <c r="AG322" s="626">
        <f t="shared" si="375"/>
        <v>0</v>
      </c>
      <c r="AH322" s="626">
        <f t="shared" si="376"/>
        <v>0</v>
      </c>
      <c r="AI322" s="626">
        <f t="shared" si="377"/>
        <v>0</v>
      </c>
      <c r="AJ322" s="625">
        <f t="array" ref="AJ322">IFERROR(INDEX('TB-EQUIPMENT &amp; OTHER HPs'!$X$138:$X$175,MATCH($E322&amp;$F322,'TB-EQUIPMENT &amp; OTHER HPs'!$E$138:$E$175&amp;'TB-EQUIPMENT &amp; OTHER HPs'!$I$138:$I$175,0)),0)</f>
        <v>0</v>
      </c>
      <c r="AK322" s="626">
        <f t="shared" si="378"/>
        <v>0</v>
      </c>
      <c r="AL322" s="626">
        <f t="shared" si="379"/>
        <v>0</v>
      </c>
      <c r="AM322" s="626">
        <f t="shared" si="380"/>
        <v>0</v>
      </c>
      <c r="AN322" s="625">
        <f t="array" ref="AN322">IFERROR(INDEX('TB-EQUIPMENT &amp; OTHER HPs'!$Y$138:$Y$175,MATCH($E322&amp;$F322,'TB-EQUIPMENT &amp; OTHER HPs'!$E$138:$E$175&amp;'TB-EQUIPMENT &amp; OTHER HPs'!$I$138:$I$175,0)),0)</f>
        <v>0</v>
      </c>
      <c r="AO322" s="626">
        <f t="shared" si="381"/>
        <v>0</v>
      </c>
      <c r="AP322" s="626">
        <f t="shared" si="382"/>
        <v>0</v>
      </c>
      <c r="AQ322" s="626">
        <f t="shared" si="383"/>
        <v>0</v>
      </c>
      <c r="AR322" s="630"/>
      <c r="AS322" s="625">
        <f t="array" ref="AS322">IFERROR(INDEX('TB-EQUIPMENT &amp; OTHER HPs'!$AB$138:$AB$175,MATCH($E322&amp;$F322,'TB-EQUIPMENT &amp; OTHER HPs'!$E$138:$E$175&amp;'TB-EQUIPMENT &amp; OTHER HPs'!$I$138:$I$175,0)),0)</f>
        <v>0</v>
      </c>
      <c r="AT322" s="625">
        <f t="array" ref="AT322">IFERROR(INDEX('TB-EQUIPMENT &amp; OTHER HPs'!$AC$138:$AC$175,MATCH($E322&amp;$F322,'TB-EQUIPMENT &amp; OTHER HPs'!$E$138:$E$175&amp;'TB-EQUIPMENT &amp; OTHER HPs'!$I$138:$I$175,0)),0)</f>
        <v>0</v>
      </c>
      <c r="AU322" s="626">
        <f t="shared" si="384"/>
        <v>0</v>
      </c>
      <c r="AV322" s="626">
        <f t="shared" si="385"/>
        <v>0</v>
      </c>
      <c r="AW322" s="626">
        <f t="shared" si="386"/>
        <v>0</v>
      </c>
      <c r="AX322" s="625">
        <f t="array" ref="AX322">IFERROR(INDEX('TB-EQUIPMENT &amp; OTHER HPs'!$AD$138:$AD$175,MATCH($E322&amp;$F322,'TB-EQUIPMENT &amp; OTHER HPs'!$E$138:$E$175&amp;'TB-EQUIPMENT &amp; OTHER HPs'!$I$138:$I$175,0)),0)</f>
        <v>0</v>
      </c>
      <c r="AY322" s="626">
        <f t="shared" si="387"/>
        <v>0</v>
      </c>
      <c r="AZ322" s="626">
        <f t="shared" si="388"/>
        <v>0</v>
      </c>
      <c r="BA322" s="626">
        <f t="shared" si="389"/>
        <v>0</v>
      </c>
      <c r="BB322" s="625">
        <f t="array" ref="BB322">IFERROR(INDEX('TB-EQUIPMENT &amp; OTHER HPs'!$AE$138:$AE$175,MATCH($E322&amp;$F322,'TB-EQUIPMENT &amp; OTHER HPs'!$E$138:$E$175&amp;'TB-EQUIPMENT &amp; OTHER HPs'!$I$138:$I$175,0)),0)</f>
        <v>0</v>
      </c>
      <c r="BC322" s="626">
        <f t="shared" si="390"/>
        <v>0</v>
      </c>
      <c r="BD322" s="626">
        <f t="shared" si="391"/>
        <v>0</v>
      </c>
      <c r="BE322" s="626">
        <f t="shared" si="392"/>
        <v>0</v>
      </c>
      <c r="BF322" s="625">
        <f t="array" ref="BF322">IFERROR(INDEX('TB-EQUIPMENT &amp; OTHER HPs'!$AF$138:$AF$175,MATCH($E322&amp;$F322,'TB-EQUIPMENT &amp; OTHER HPs'!$E$138:$E$175&amp;'TB-EQUIPMENT &amp; OTHER HPs'!$I$138:$I$175,0)),0)</f>
        <v>0</v>
      </c>
      <c r="BG322" s="626">
        <f t="shared" si="393"/>
        <v>0</v>
      </c>
      <c r="BH322" s="626">
        <f t="shared" si="394"/>
        <v>0</v>
      </c>
      <c r="BI322" s="626">
        <f t="shared" si="395"/>
        <v>0</v>
      </c>
      <c r="BJ322" s="630"/>
      <c r="BK322" s="625"/>
      <c r="BL322" s="625"/>
      <c r="BM322" s="625"/>
      <c r="BN322" s="625"/>
      <c r="BO322" s="625"/>
      <c r="BP322" s="625"/>
      <c r="BQ322" s="625"/>
      <c r="BR322" s="625"/>
    </row>
    <row r="323" spans="1:70">
      <c r="A323" s="29" t="s">
        <v>1757</v>
      </c>
      <c r="B323" s="29" t="s">
        <v>1838</v>
      </c>
      <c r="C323" s="619">
        <f>SETUP!$F$44</f>
        <v>0</v>
      </c>
      <c r="D323" s="25">
        <v>6.6</v>
      </c>
      <c r="E323" s="26" t="s">
        <v>1211</v>
      </c>
      <c r="F323" s="26" t="s">
        <v>1140</v>
      </c>
      <c r="G323" s="625" t="str">
        <f t="array" ref="G323">IFERROR(INDEX('TB-EQUIPMENT &amp; OTHER HPs'!$L$138:$L$175,MATCH($E323&amp;$F323,'TB-EQUIPMENT &amp; OTHER HPs'!$E$138:$E$175&amp;'TB-EQUIPMENT &amp; OTHER HPs'!$I$138:$I$175,0)),"")</f>
        <v/>
      </c>
      <c r="H323" s="625" t="str">
        <f t="array" ref="H323">IFERROR(INDEX('TB-EQUIPMENT &amp; OTHER HPs'!$M$138:$M$175,MATCH($E323&amp;$F323,'TB-EQUIPMENT &amp; OTHER HPs'!$E$138:$E$175&amp;'TB-EQUIPMENT &amp; OTHER HPs'!$I$138:$I$175,0)),"")</f>
        <v/>
      </c>
      <c r="I323" s="625">
        <f t="array" ref="I323">IFERROR(INDEX('TB-EQUIPMENT &amp; OTHER HPs'!$N$138:$N$175,MATCH($E323&amp;$F323,'TB-EQUIPMENT &amp; OTHER HPs'!$E$138:$E$175&amp;'TB-EQUIPMENT &amp; OTHER HPs'!$I$138:$I$175,0)),0)</f>
        <v>0</v>
      </c>
      <c r="J323" s="625">
        <f t="array" ref="J323">IFERROR(INDEX('TB-EQUIPMENT &amp; OTHER HPs'!$O$138:$O$175,MATCH($E323&amp;$F323,'TB-EQUIPMENT &amp; OTHER HPs'!$E$138:$E$175&amp;'TB-EQUIPMENT &amp; OTHER HPs'!$I$138:$I$175,0)),0)</f>
        <v>0</v>
      </c>
      <c r="K323" s="626">
        <f t="shared" si="360"/>
        <v>0</v>
      </c>
      <c r="L323" s="626">
        <f t="shared" si="361"/>
        <v>0</v>
      </c>
      <c r="M323" s="626">
        <f t="shared" si="362"/>
        <v>0</v>
      </c>
      <c r="N323" s="625">
        <f t="array" ref="N323">IFERROR(INDEX('TB-EQUIPMENT &amp; OTHER HPs'!$P$138:$P$175,MATCH($E323&amp;$F323,'TB-EQUIPMENT &amp; OTHER HPs'!$E$138:$E$175&amp;'TB-EQUIPMENT &amp; OTHER HPs'!$I$138:$I$175,0)),0)</f>
        <v>0</v>
      </c>
      <c r="O323" s="626">
        <f t="shared" si="363"/>
        <v>0</v>
      </c>
      <c r="P323" s="626">
        <f t="shared" si="364"/>
        <v>0</v>
      </c>
      <c r="Q323" s="626">
        <f t="shared" si="365"/>
        <v>0</v>
      </c>
      <c r="R323" s="625">
        <f t="array" ref="R323">IFERROR(INDEX('TB-EQUIPMENT &amp; OTHER HPs'!$Q$138:$Q$175,MATCH($E323&amp;$F323,'TB-EQUIPMENT &amp; OTHER HPs'!$E$138:$E$175&amp;'TB-EQUIPMENT &amp; OTHER HPs'!$I$138:$I$175,0)),0)</f>
        <v>0</v>
      </c>
      <c r="S323" s="626">
        <f t="shared" si="366"/>
        <v>0</v>
      </c>
      <c r="T323" s="626">
        <f t="shared" si="367"/>
        <v>0</v>
      </c>
      <c r="U323" s="626">
        <f t="shared" si="368"/>
        <v>0</v>
      </c>
      <c r="V323" s="625">
        <f t="array" ref="V323">IFERROR(INDEX('TB-EQUIPMENT &amp; OTHER HPs'!$R$138:$R$175,MATCH($E323&amp;$F323,'TB-EQUIPMENT &amp; OTHER HPs'!$E$138:$E$175&amp;'TB-EQUIPMENT &amp; OTHER HPs'!$I$138:$I$175,0)),0)</f>
        <v>0</v>
      </c>
      <c r="W323" s="626">
        <f t="shared" si="369"/>
        <v>0</v>
      </c>
      <c r="X323" s="626">
        <f t="shared" si="370"/>
        <v>0</v>
      </c>
      <c r="Y323" s="626">
        <f t="shared" si="371"/>
        <v>0</v>
      </c>
      <c r="AA323" s="625">
        <f t="array" ref="AA323">IFERROR(INDEX('TB-EQUIPMENT &amp; OTHER HPs'!$U$138:$U$175,MATCH($E323&amp;$F323,'TB-EQUIPMENT &amp; OTHER HPs'!$E$138:$E$175&amp;'TB-EQUIPMENT &amp; OTHER HPs'!$I$138:$I$175,0)),0)</f>
        <v>0</v>
      </c>
      <c r="AB323" s="625">
        <f t="array" ref="AB323">IFERROR(INDEX('TB-EQUIPMENT &amp; OTHER HPs'!$V$138:$V$175,MATCH($E323&amp;$F323,'TB-EQUIPMENT &amp; OTHER HPs'!$E$138:$E$175&amp;'TB-EQUIPMENT &amp; OTHER HPs'!$I$138:$I$175,0)),0)</f>
        <v>0</v>
      </c>
      <c r="AC323" s="626">
        <f t="shared" si="372"/>
        <v>0</v>
      </c>
      <c r="AD323" s="626">
        <f t="shared" si="373"/>
        <v>0</v>
      </c>
      <c r="AE323" s="626">
        <f t="shared" si="374"/>
        <v>0</v>
      </c>
      <c r="AF323" s="625">
        <f t="array" ref="AF323">IFERROR(INDEX('TB-EQUIPMENT &amp; OTHER HPs'!$W$138:$W$175,MATCH($E323&amp;$F323,'TB-EQUIPMENT &amp; OTHER HPs'!$E$138:$E$175&amp;'TB-EQUIPMENT &amp; OTHER HPs'!$I$138:$I$175,0)),0)</f>
        <v>0</v>
      </c>
      <c r="AG323" s="626">
        <f t="shared" si="375"/>
        <v>0</v>
      </c>
      <c r="AH323" s="626">
        <f t="shared" si="376"/>
        <v>0</v>
      </c>
      <c r="AI323" s="626">
        <f t="shared" si="377"/>
        <v>0</v>
      </c>
      <c r="AJ323" s="625">
        <f t="array" ref="AJ323">IFERROR(INDEX('TB-EQUIPMENT &amp; OTHER HPs'!$X$138:$X$175,MATCH($E323&amp;$F323,'TB-EQUIPMENT &amp; OTHER HPs'!$E$138:$E$175&amp;'TB-EQUIPMENT &amp; OTHER HPs'!$I$138:$I$175,0)),0)</f>
        <v>0</v>
      </c>
      <c r="AK323" s="626">
        <f t="shared" si="378"/>
        <v>0</v>
      </c>
      <c r="AL323" s="626">
        <f t="shared" si="379"/>
        <v>0</v>
      </c>
      <c r="AM323" s="626">
        <f t="shared" si="380"/>
        <v>0</v>
      </c>
      <c r="AN323" s="625">
        <f t="array" ref="AN323">IFERROR(INDEX('TB-EQUIPMENT &amp; OTHER HPs'!$Y$138:$Y$175,MATCH($E323&amp;$F323,'TB-EQUIPMENT &amp; OTHER HPs'!$E$138:$E$175&amp;'TB-EQUIPMENT &amp; OTHER HPs'!$I$138:$I$175,0)),0)</f>
        <v>0</v>
      </c>
      <c r="AO323" s="626">
        <f t="shared" si="381"/>
        <v>0</v>
      </c>
      <c r="AP323" s="626">
        <f t="shared" si="382"/>
        <v>0</v>
      </c>
      <c r="AQ323" s="626">
        <f t="shared" si="383"/>
        <v>0</v>
      </c>
      <c r="AR323" s="630"/>
      <c r="AS323" s="625">
        <f t="array" ref="AS323">IFERROR(INDEX('TB-EQUIPMENT &amp; OTHER HPs'!$AB$138:$AB$175,MATCH($E323&amp;$F323,'TB-EQUIPMENT &amp; OTHER HPs'!$E$138:$E$175&amp;'TB-EQUIPMENT &amp; OTHER HPs'!$I$138:$I$175,0)),0)</f>
        <v>0</v>
      </c>
      <c r="AT323" s="625">
        <f t="array" ref="AT323">IFERROR(INDEX('TB-EQUIPMENT &amp; OTHER HPs'!$AC$138:$AC$175,MATCH($E323&amp;$F323,'TB-EQUIPMENT &amp; OTHER HPs'!$E$138:$E$175&amp;'TB-EQUIPMENT &amp; OTHER HPs'!$I$138:$I$175,0)),0)</f>
        <v>0</v>
      </c>
      <c r="AU323" s="626">
        <f t="shared" si="384"/>
        <v>0</v>
      </c>
      <c r="AV323" s="626">
        <f t="shared" si="385"/>
        <v>0</v>
      </c>
      <c r="AW323" s="626">
        <f t="shared" si="386"/>
        <v>0</v>
      </c>
      <c r="AX323" s="625">
        <f t="array" ref="AX323">IFERROR(INDEX('TB-EQUIPMENT &amp; OTHER HPs'!$AD$138:$AD$175,MATCH($E323&amp;$F323,'TB-EQUIPMENT &amp; OTHER HPs'!$E$138:$E$175&amp;'TB-EQUIPMENT &amp; OTHER HPs'!$I$138:$I$175,0)),0)</f>
        <v>0</v>
      </c>
      <c r="AY323" s="626">
        <f t="shared" si="387"/>
        <v>0</v>
      </c>
      <c r="AZ323" s="626">
        <f t="shared" si="388"/>
        <v>0</v>
      </c>
      <c r="BA323" s="626">
        <f t="shared" si="389"/>
        <v>0</v>
      </c>
      <c r="BB323" s="625">
        <f t="array" ref="BB323">IFERROR(INDEX('TB-EQUIPMENT &amp; OTHER HPs'!$AE$138:$AE$175,MATCH($E323&amp;$F323,'TB-EQUIPMENT &amp; OTHER HPs'!$E$138:$E$175&amp;'TB-EQUIPMENT &amp; OTHER HPs'!$I$138:$I$175,0)),0)</f>
        <v>0</v>
      </c>
      <c r="BC323" s="626">
        <f t="shared" si="390"/>
        <v>0</v>
      </c>
      <c r="BD323" s="626">
        <f t="shared" si="391"/>
        <v>0</v>
      </c>
      <c r="BE323" s="626">
        <f t="shared" si="392"/>
        <v>0</v>
      </c>
      <c r="BF323" s="625">
        <f t="array" ref="BF323">IFERROR(INDEX('TB-EQUIPMENT &amp; OTHER HPs'!$AF$138:$AF$175,MATCH($E323&amp;$F323,'TB-EQUIPMENT &amp; OTHER HPs'!$E$138:$E$175&amp;'TB-EQUIPMENT &amp; OTHER HPs'!$I$138:$I$175,0)),0)</f>
        <v>0</v>
      </c>
      <c r="BG323" s="626">
        <f t="shared" si="393"/>
        <v>0</v>
      </c>
      <c r="BH323" s="626">
        <f t="shared" si="394"/>
        <v>0</v>
      </c>
      <c r="BI323" s="626">
        <f t="shared" si="395"/>
        <v>0</v>
      </c>
      <c r="BJ323" s="630"/>
      <c r="BK323" s="625"/>
      <c r="BL323" s="625"/>
      <c r="BM323" s="625"/>
      <c r="BN323" s="625"/>
      <c r="BO323" s="625"/>
      <c r="BP323" s="625"/>
      <c r="BQ323" s="625"/>
      <c r="BR323" s="625"/>
    </row>
    <row r="324" spans="1:70">
      <c r="A324" s="29" t="s">
        <v>1757</v>
      </c>
      <c r="B324" s="29" t="s">
        <v>1838</v>
      </c>
      <c r="C324" s="619">
        <f>SETUP!$F$44</f>
        <v>0</v>
      </c>
      <c r="D324" s="25">
        <v>6.6</v>
      </c>
      <c r="E324" s="26" t="s">
        <v>1226</v>
      </c>
      <c r="F324" s="26" t="s">
        <v>1140</v>
      </c>
      <c r="G324" s="625" t="str">
        <f t="array" ref="G324">IFERROR(INDEX('TB-EQUIPMENT &amp; OTHER HPs'!$L$138:$L$175,MATCH($E324&amp;$F324,'TB-EQUIPMENT &amp; OTHER HPs'!$E$138:$E$175&amp;'TB-EQUIPMENT &amp; OTHER HPs'!$I$138:$I$175,0)),"")</f>
        <v/>
      </c>
      <c r="H324" s="625" t="str">
        <f t="array" ref="H324">IFERROR(INDEX('TB-EQUIPMENT &amp; OTHER HPs'!$M$138:$M$175,MATCH($E324&amp;$F324,'TB-EQUIPMENT &amp; OTHER HPs'!$E$138:$E$175&amp;'TB-EQUIPMENT &amp; OTHER HPs'!$I$138:$I$175,0)),"")</f>
        <v/>
      </c>
      <c r="I324" s="625">
        <f t="array" ref="I324">IFERROR(INDEX('TB-EQUIPMENT &amp; OTHER HPs'!$N$138:$N$175,MATCH($E324&amp;$F324,'TB-EQUIPMENT &amp; OTHER HPs'!$E$138:$E$175&amp;'TB-EQUIPMENT &amp; OTHER HPs'!$I$138:$I$175,0)),0)</f>
        <v>0</v>
      </c>
      <c r="J324" s="625">
        <f t="array" ref="J324">IFERROR(INDEX('TB-EQUIPMENT &amp; OTHER HPs'!$O$138:$O$175,MATCH($E324&amp;$F324,'TB-EQUIPMENT &amp; OTHER HPs'!$E$138:$E$175&amp;'TB-EQUIPMENT &amp; OTHER HPs'!$I$138:$I$175,0)),0)</f>
        <v>0</v>
      </c>
      <c r="K324" s="626">
        <f t="shared" si="360"/>
        <v>0</v>
      </c>
      <c r="L324" s="626">
        <f t="shared" si="361"/>
        <v>0</v>
      </c>
      <c r="M324" s="626">
        <f t="shared" si="362"/>
        <v>0</v>
      </c>
      <c r="N324" s="625">
        <f t="array" ref="N324">IFERROR(INDEX('TB-EQUIPMENT &amp; OTHER HPs'!$P$138:$P$175,MATCH($E324&amp;$F324,'TB-EQUIPMENT &amp; OTHER HPs'!$E$138:$E$175&amp;'TB-EQUIPMENT &amp; OTHER HPs'!$I$138:$I$175,0)),0)</f>
        <v>0</v>
      </c>
      <c r="O324" s="626">
        <f t="shared" si="363"/>
        <v>0</v>
      </c>
      <c r="P324" s="626">
        <f t="shared" si="364"/>
        <v>0</v>
      </c>
      <c r="Q324" s="626">
        <f t="shared" si="365"/>
        <v>0</v>
      </c>
      <c r="R324" s="625">
        <f t="array" ref="R324">IFERROR(INDEX('TB-EQUIPMENT &amp; OTHER HPs'!$Q$138:$Q$175,MATCH($E324&amp;$F324,'TB-EQUIPMENT &amp; OTHER HPs'!$E$138:$E$175&amp;'TB-EQUIPMENT &amp; OTHER HPs'!$I$138:$I$175,0)),0)</f>
        <v>0</v>
      </c>
      <c r="S324" s="626">
        <f t="shared" si="366"/>
        <v>0</v>
      </c>
      <c r="T324" s="626">
        <f t="shared" si="367"/>
        <v>0</v>
      </c>
      <c r="U324" s="626">
        <f t="shared" si="368"/>
        <v>0</v>
      </c>
      <c r="V324" s="625">
        <f t="array" ref="V324">IFERROR(INDEX('TB-EQUIPMENT &amp; OTHER HPs'!$R$138:$R$175,MATCH($E324&amp;$F324,'TB-EQUIPMENT &amp; OTHER HPs'!$E$138:$E$175&amp;'TB-EQUIPMENT &amp; OTHER HPs'!$I$138:$I$175,0)),0)</f>
        <v>0</v>
      </c>
      <c r="W324" s="626">
        <f t="shared" si="369"/>
        <v>0</v>
      </c>
      <c r="X324" s="626">
        <f t="shared" si="370"/>
        <v>0</v>
      </c>
      <c r="Y324" s="626">
        <f t="shared" si="371"/>
        <v>0</v>
      </c>
      <c r="AA324" s="625">
        <f t="array" ref="AA324">IFERROR(INDEX('TB-EQUIPMENT &amp; OTHER HPs'!$U$138:$U$175,MATCH($E324&amp;$F324,'TB-EQUIPMENT &amp; OTHER HPs'!$E$138:$E$175&amp;'TB-EQUIPMENT &amp; OTHER HPs'!$I$138:$I$175,0)),0)</f>
        <v>0</v>
      </c>
      <c r="AB324" s="625">
        <f t="array" ref="AB324">IFERROR(INDEX('TB-EQUIPMENT &amp; OTHER HPs'!$V$138:$V$175,MATCH($E324&amp;$F324,'TB-EQUIPMENT &amp; OTHER HPs'!$E$138:$E$175&amp;'TB-EQUIPMENT &amp; OTHER HPs'!$I$138:$I$175,0)),0)</f>
        <v>0</v>
      </c>
      <c r="AC324" s="626">
        <f t="shared" si="372"/>
        <v>0</v>
      </c>
      <c r="AD324" s="626">
        <f t="shared" si="373"/>
        <v>0</v>
      </c>
      <c r="AE324" s="626">
        <f t="shared" si="374"/>
        <v>0</v>
      </c>
      <c r="AF324" s="625">
        <f t="array" ref="AF324">IFERROR(INDEX('TB-EQUIPMENT &amp; OTHER HPs'!$W$138:$W$175,MATCH($E324&amp;$F324,'TB-EQUIPMENT &amp; OTHER HPs'!$E$138:$E$175&amp;'TB-EQUIPMENT &amp; OTHER HPs'!$I$138:$I$175,0)),0)</f>
        <v>0</v>
      </c>
      <c r="AG324" s="626">
        <f t="shared" si="375"/>
        <v>0</v>
      </c>
      <c r="AH324" s="626">
        <f t="shared" si="376"/>
        <v>0</v>
      </c>
      <c r="AI324" s="626">
        <f t="shared" si="377"/>
        <v>0</v>
      </c>
      <c r="AJ324" s="625">
        <f t="array" ref="AJ324">IFERROR(INDEX('TB-EQUIPMENT &amp; OTHER HPs'!$X$138:$X$175,MATCH($E324&amp;$F324,'TB-EQUIPMENT &amp; OTHER HPs'!$E$138:$E$175&amp;'TB-EQUIPMENT &amp; OTHER HPs'!$I$138:$I$175,0)),0)</f>
        <v>0</v>
      </c>
      <c r="AK324" s="626">
        <f t="shared" si="378"/>
        <v>0</v>
      </c>
      <c r="AL324" s="626">
        <f t="shared" si="379"/>
        <v>0</v>
      </c>
      <c r="AM324" s="626">
        <f t="shared" si="380"/>
        <v>0</v>
      </c>
      <c r="AN324" s="625">
        <f t="array" ref="AN324">IFERROR(INDEX('TB-EQUIPMENT &amp; OTHER HPs'!$Y$138:$Y$175,MATCH($E324&amp;$F324,'TB-EQUIPMENT &amp; OTHER HPs'!$E$138:$E$175&amp;'TB-EQUIPMENT &amp; OTHER HPs'!$I$138:$I$175,0)),0)</f>
        <v>0</v>
      </c>
      <c r="AO324" s="626">
        <f t="shared" si="381"/>
        <v>0</v>
      </c>
      <c r="AP324" s="626">
        <f t="shared" si="382"/>
        <v>0</v>
      </c>
      <c r="AQ324" s="626">
        <f t="shared" si="383"/>
        <v>0</v>
      </c>
      <c r="AR324" s="630"/>
      <c r="AS324" s="625">
        <f t="array" ref="AS324">IFERROR(INDEX('TB-EQUIPMENT &amp; OTHER HPs'!$AB$138:$AB$175,MATCH($E324&amp;$F324,'TB-EQUIPMENT &amp; OTHER HPs'!$E$138:$E$175&amp;'TB-EQUIPMENT &amp; OTHER HPs'!$I$138:$I$175,0)),0)</f>
        <v>0</v>
      </c>
      <c r="AT324" s="625">
        <f t="array" ref="AT324">IFERROR(INDEX('TB-EQUIPMENT &amp; OTHER HPs'!$AC$138:$AC$175,MATCH($E324&amp;$F324,'TB-EQUIPMENT &amp; OTHER HPs'!$E$138:$E$175&amp;'TB-EQUIPMENT &amp; OTHER HPs'!$I$138:$I$175,0)),0)</f>
        <v>0</v>
      </c>
      <c r="AU324" s="626">
        <f t="shared" si="384"/>
        <v>0</v>
      </c>
      <c r="AV324" s="626">
        <f t="shared" si="385"/>
        <v>0</v>
      </c>
      <c r="AW324" s="626">
        <f t="shared" si="386"/>
        <v>0</v>
      </c>
      <c r="AX324" s="625">
        <f t="array" ref="AX324">IFERROR(INDEX('TB-EQUIPMENT &amp; OTHER HPs'!$AD$138:$AD$175,MATCH($E324&amp;$F324,'TB-EQUIPMENT &amp; OTHER HPs'!$E$138:$E$175&amp;'TB-EQUIPMENT &amp; OTHER HPs'!$I$138:$I$175,0)),0)</f>
        <v>0</v>
      </c>
      <c r="AY324" s="626">
        <f t="shared" si="387"/>
        <v>0</v>
      </c>
      <c r="AZ324" s="626">
        <f t="shared" si="388"/>
        <v>0</v>
      </c>
      <c r="BA324" s="626">
        <f t="shared" si="389"/>
        <v>0</v>
      </c>
      <c r="BB324" s="625">
        <f t="array" ref="BB324">IFERROR(INDEX('TB-EQUIPMENT &amp; OTHER HPs'!$AE$138:$AE$175,MATCH($E324&amp;$F324,'TB-EQUIPMENT &amp; OTHER HPs'!$E$138:$E$175&amp;'TB-EQUIPMENT &amp; OTHER HPs'!$I$138:$I$175,0)),0)</f>
        <v>0</v>
      </c>
      <c r="BC324" s="626">
        <f t="shared" si="390"/>
        <v>0</v>
      </c>
      <c r="BD324" s="626">
        <f t="shared" si="391"/>
        <v>0</v>
      </c>
      <c r="BE324" s="626">
        <f t="shared" si="392"/>
        <v>0</v>
      </c>
      <c r="BF324" s="625">
        <f t="array" ref="BF324">IFERROR(INDEX('TB-EQUIPMENT &amp; OTHER HPs'!$AF$138:$AF$175,MATCH($E324&amp;$F324,'TB-EQUIPMENT &amp; OTHER HPs'!$E$138:$E$175&amp;'TB-EQUIPMENT &amp; OTHER HPs'!$I$138:$I$175,0)),0)</f>
        <v>0</v>
      </c>
      <c r="BG324" s="626">
        <f t="shared" si="393"/>
        <v>0</v>
      </c>
      <c r="BH324" s="626">
        <f t="shared" si="394"/>
        <v>0</v>
      </c>
      <c r="BI324" s="626">
        <f t="shared" si="395"/>
        <v>0</v>
      </c>
      <c r="BJ324" s="630"/>
      <c r="BK324" s="625"/>
      <c r="BL324" s="625"/>
      <c r="BM324" s="625"/>
      <c r="BN324" s="625"/>
      <c r="BO324" s="625"/>
      <c r="BP324" s="625"/>
      <c r="BQ324" s="625"/>
      <c r="BR324" s="625"/>
    </row>
    <row r="325" spans="1:70">
      <c r="A325" s="29" t="s">
        <v>1757</v>
      </c>
      <c r="B325" s="29" t="s">
        <v>1838</v>
      </c>
      <c r="C325" s="619">
        <f>SETUP!$F$44</f>
        <v>0</v>
      </c>
      <c r="D325" s="25">
        <v>6.6</v>
      </c>
      <c r="E325" s="26" t="s">
        <v>328</v>
      </c>
      <c r="F325" s="26" t="s">
        <v>1140</v>
      </c>
      <c r="G325" s="625" t="str">
        <f t="array" ref="G325">IFERROR(INDEX('TB-EQUIPMENT &amp; OTHER HPs'!$L$138:$L$175,MATCH($E325&amp;$F325,'TB-EQUIPMENT &amp; OTHER HPs'!$E$138:$E$175&amp;'TB-EQUIPMENT &amp; OTHER HPs'!$I$138:$I$175,0)),"")</f>
        <v/>
      </c>
      <c r="H325" s="625" t="str">
        <f t="array" ref="H325">IFERROR(INDEX('TB-EQUIPMENT &amp; OTHER HPs'!$M$138:$M$175,MATCH($E325&amp;$F325,'TB-EQUIPMENT &amp; OTHER HPs'!$E$138:$E$175&amp;'TB-EQUIPMENT &amp; OTHER HPs'!$I$138:$I$175,0)),"")</f>
        <v/>
      </c>
      <c r="I325" s="625">
        <f t="array" ref="I325">IFERROR(INDEX('TB-EQUIPMENT &amp; OTHER HPs'!$N$138:$N$175,MATCH($E325&amp;$F325,'TB-EQUIPMENT &amp; OTHER HPs'!$E$138:$E$175&amp;'TB-EQUIPMENT &amp; OTHER HPs'!$I$138:$I$175,0)),0)</f>
        <v>0</v>
      </c>
      <c r="J325" s="625">
        <f t="array" ref="J325">IFERROR(INDEX('TB-EQUIPMENT &amp; OTHER HPs'!$O$138:$O$175,MATCH($E325&amp;$F325,'TB-EQUIPMENT &amp; OTHER HPs'!$E$138:$E$175&amp;'TB-EQUIPMENT &amp; OTHER HPs'!$I$138:$I$175,0)),0)</f>
        <v>0</v>
      </c>
      <c r="K325" s="626">
        <f t="shared" si="360"/>
        <v>0</v>
      </c>
      <c r="L325" s="626">
        <f t="shared" si="361"/>
        <v>0</v>
      </c>
      <c r="M325" s="626">
        <f t="shared" si="362"/>
        <v>0</v>
      </c>
      <c r="N325" s="625">
        <f t="array" ref="N325">IFERROR(INDEX('TB-EQUIPMENT &amp; OTHER HPs'!$P$138:$P$175,MATCH($E325&amp;$F325,'TB-EQUIPMENT &amp; OTHER HPs'!$E$138:$E$175&amp;'TB-EQUIPMENT &amp; OTHER HPs'!$I$138:$I$175,0)),0)</f>
        <v>0</v>
      </c>
      <c r="O325" s="626">
        <f t="shared" si="363"/>
        <v>0</v>
      </c>
      <c r="P325" s="626">
        <f t="shared" si="364"/>
        <v>0</v>
      </c>
      <c r="Q325" s="626">
        <f t="shared" si="365"/>
        <v>0</v>
      </c>
      <c r="R325" s="625">
        <f t="array" ref="R325">IFERROR(INDEX('TB-EQUIPMENT &amp; OTHER HPs'!$Q$138:$Q$175,MATCH($E325&amp;$F325,'TB-EQUIPMENT &amp; OTHER HPs'!$E$138:$E$175&amp;'TB-EQUIPMENT &amp; OTHER HPs'!$I$138:$I$175,0)),0)</f>
        <v>0</v>
      </c>
      <c r="S325" s="626">
        <f t="shared" si="366"/>
        <v>0</v>
      </c>
      <c r="T325" s="626">
        <f t="shared" si="367"/>
        <v>0</v>
      </c>
      <c r="U325" s="626">
        <f t="shared" si="368"/>
        <v>0</v>
      </c>
      <c r="V325" s="625">
        <f t="array" ref="V325">IFERROR(INDEX('TB-EQUIPMENT &amp; OTHER HPs'!$R$138:$R$175,MATCH($E325&amp;$F325,'TB-EQUIPMENT &amp; OTHER HPs'!$E$138:$E$175&amp;'TB-EQUIPMENT &amp; OTHER HPs'!$I$138:$I$175,0)),0)</f>
        <v>0</v>
      </c>
      <c r="W325" s="626">
        <f t="shared" si="369"/>
        <v>0</v>
      </c>
      <c r="X325" s="626">
        <f t="shared" si="370"/>
        <v>0</v>
      </c>
      <c r="Y325" s="626">
        <f t="shared" si="371"/>
        <v>0</v>
      </c>
      <c r="AA325" s="625">
        <f t="array" ref="AA325">IFERROR(INDEX('TB-EQUIPMENT &amp; OTHER HPs'!$U$138:$U$175,MATCH($E325&amp;$F325,'TB-EQUIPMENT &amp; OTHER HPs'!$E$138:$E$175&amp;'TB-EQUIPMENT &amp; OTHER HPs'!$I$138:$I$175,0)),0)</f>
        <v>0</v>
      </c>
      <c r="AB325" s="625">
        <f t="array" ref="AB325">IFERROR(INDEX('TB-EQUIPMENT &amp; OTHER HPs'!$V$138:$V$175,MATCH($E325&amp;$F325,'TB-EQUIPMENT &amp; OTHER HPs'!$E$138:$E$175&amp;'TB-EQUIPMENT &amp; OTHER HPs'!$I$138:$I$175,0)),0)</f>
        <v>0</v>
      </c>
      <c r="AC325" s="626">
        <f t="shared" si="372"/>
        <v>0</v>
      </c>
      <c r="AD325" s="626">
        <f t="shared" si="373"/>
        <v>0</v>
      </c>
      <c r="AE325" s="626">
        <f t="shared" si="374"/>
        <v>0</v>
      </c>
      <c r="AF325" s="625">
        <f t="array" ref="AF325">IFERROR(INDEX('TB-EQUIPMENT &amp; OTHER HPs'!$W$138:$W$175,MATCH($E325&amp;$F325,'TB-EQUIPMENT &amp; OTHER HPs'!$E$138:$E$175&amp;'TB-EQUIPMENT &amp; OTHER HPs'!$I$138:$I$175,0)),0)</f>
        <v>0</v>
      </c>
      <c r="AG325" s="626">
        <f t="shared" si="375"/>
        <v>0</v>
      </c>
      <c r="AH325" s="626">
        <f t="shared" si="376"/>
        <v>0</v>
      </c>
      <c r="AI325" s="626">
        <f t="shared" si="377"/>
        <v>0</v>
      </c>
      <c r="AJ325" s="625">
        <f t="array" ref="AJ325">IFERROR(INDEX('TB-EQUIPMENT &amp; OTHER HPs'!$X$138:$X$175,MATCH($E325&amp;$F325,'TB-EQUIPMENT &amp; OTHER HPs'!$E$138:$E$175&amp;'TB-EQUIPMENT &amp; OTHER HPs'!$I$138:$I$175,0)),0)</f>
        <v>0</v>
      </c>
      <c r="AK325" s="626">
        <f t="shared" si="378"/>
        <v>0</v>
      </c>
      <c r="AL325" s="626">
        <f t="shared" si="379"/>
        <v>0</v>
      </c>
      <c r="AM325" s="626">
        <f t="shared" si="380"/>
        <v>0</v>
      </c>
      <c r="AN325" s="625">
        <f t="array" ref="AN325">IFERROR(INDEX('TB-EQUIPMENT &amp; OTHER HPs'!$Y$138:$Y$175,MATCH($E325&amp;$F325,'TB-EQUIPMENT &amp; OTHER HPs'!$E$138:$E$175&amp;'TB-EQUIPMENT &amp; OTHER HPs'!$I$138:$I$175,0)),0)</f>
        <v>0</v>
      </c>
      <c r="AO325" s="626">
        <f t="shared" si="381"/>
        <v>0</v>
      </c>
      <c r="AP325" s="626">
        <f t="shared" si="382"/>
        <v>0</v>
      </c>
      <c r="AQ325" s="626">
        <f t="shared" si="383"/>
        <v>0</v>
      </c>
      <c r="AR325" s="630"/>
      <c r="AS325" s="625">
        <f t="array" ref="AS325">IFERROR(INDEX('TB-EQUIPMENT &amp; OTHER HPs'!$AB$138:$AB$175,MATCH($E325&amp;$F325,'TB-EQUIPMENT &amp; OTHER HPs'!$E$138:$E$175&amp;'TB-EQUIPMENT &amp; OTHER HPs'!$I$138:$I$175,0)),0)</f>
        <v>0</v>
      </c>
      <c r="AT325" s="625">
        <f t="array" ref="AT325">IFERROR(INDEX('TB-EQUIPMENT &amp; OTHER HPs'!$AC$138:$AC$175,MATCH($E325&amp;$F325,'TB-EQUIPMENT &amp; OTHER HPs'!$E$138:$E$175&amp;'TB-EQUIPMENT &amp; OTHER HPs'!$I$138:$I$175,0)),0)</f>
        <v>0</v>
      </c>
      <c r="AU325" s="626">
        <f t="shared" si="384"/>
        <v>0</v>
      </c>
      <c r="AV325" s="626">
        <f t="shared" si="385"/>
        <v>0</v>
      </c>
      <c r="AW325" s="626">
        <f t="shared" si="386"/>
        <v>0</v>
      </c>
      <c r="AX325" s="625">
        <f t="array" ref="AX325">IFERROR(INDEX('TB-EQUIPMENT &amp; OTHER HPs'!$AD$138:$AD$175,MATCH($E325&amp;$F325,'TB-EQUIPMENT &amp; OTHER HPs'!$E$138:$E$175&amp;'TB-EQUIPMENT &amp; OTHER HPs'!$I$138:$I$175,0)),0)</f>
        <v>0</v>
      </c>
      <c r="AY325" s="626">
        <f t="shared" si="387"/>
        <v>0</v>
      </c>
      <c r="AZ325" s="626">
        <f t="shared" si="388"/>
        <v>0</v>
      </c>
      <c r="BA325" s="626">
        <f t="shared" si="389"/>
        <v>0</v>
      </c>
      <c r="BB325" s="625">
        <f t="array" ref="BB325">IFERROR(INDEX('TB-EQUIPMENT &amp; OTHER HPs'!$AE$138:$AE$175,MATCH($E325&amp;$F325,'TB-EQUIPMENT &amp; OTHER HPs'!$E$138:$E$175&amp;'TB-EQUIPMENT &amp; OTHER HPs'!$I$138:$I$175,0)),0)</f>
        <v>0</v>
      </c>
      <c r="BC325" s="626">
        <f t="shared" si="390"/>
        <v>0</v>
      </c>
      <c r="BD325" s="626">
        <f t="shared" si="391"/>
        <v>0</v>
      </c>
      <c r="BE325" s="626">
        <f t="shared" si="392"/>
        <v>0</v>
      </c>
      <c r="BF325" s="625">
        <f t="array" ref="BF325">IFERROR(INDEX('TB-EQUIPMENT &amp; OTHER HPs'!$AF$138:$AF$175,MATCH($E325&amp;$F325,'TB-EQUIPMENT &amp; OTHER HPs'!$E$138:$E$175&amp;'TB-EQUIPMENT &amp; OTHER HPs'!$I$138:$I$175,0)),0)</f>
        <v>0</v>
      </c>
      <c r="BG325" s="626">
        <f t="shared" si="393"/>
        <v>0</v>
      </c>
      <c r="BH325" s="626">
        <f t="shared" si="394"/>
        <v>0</v>
      </c>
      <c r="BI325" s="626">
        <f t="shared" si="395"/>
        <v>0</v>
      </c>
      <c r="BJ325" s="630"/>
      <c r="BK325" s="625"/>
      <c r="BL325" s="625"/>
      <c r="BM325" s="625"/>
      <c r="BN325" s="625"/>
      <c r="BO325" s="625"/>
      <c r="BP325" s="625"/>
      <c r="BQ325" s="625"/>
      <c r="BR325" s="625"/>
    </row>
    <row r="326" spans="1:70">
      <c r="A326" s="29" t="s">
        <v>1757</v>
      </c>
      <c r="B326" s="29" t="s">
        <v>1838</v>
      </c>
      <c r="C326" s="619">
        <f>SETUP!$F$44</f>
        <v>0</v>
      </c>
      <c r="D326" s="25">
        <v>6.6</v>
      </c>
      <c r="E326" s="26" t="s">
        <v>327</v>
      </c>
      <c r="F326" s="26" t="s">
        <v>1140</v>
      </c>
      <c r="G326" s="625" t="str">
        <f t="array" ref="G326">IFERROR(INDEX('TB-EQUIPMENT &amp; OTHER HPs'!$L$138:$L$175,MATCH($E326&amp;$F326,'TB-EQUIPMENT &amp; OTHER HPs'!$E$138:$E$175&amp;'TB-EQUIPMENT &amp; OTHER HPs'!$I$138:$I$175,0)),"")</f>
        <v/>
      </c>
      <c r="H326" s="625" t="str">
        <f t="array" ref="H326">IFERROR(INDEX('TB-EQUIPMENT &amp; OTHER HPs'!$M$138:$M$175,MATCH($E326&amp;$F326,'TB-EQUIPMENT &amp; OTHER HPs'!$E$138:$E$175&amp;'TB-EQUIPMENT &amp; OTHER HPs'!$I$138:$I$175,0)),"")</f>
        <v/>
      </c>
      <c r="I326" s="625">
        <f t="array" ref="I326">IFERROR(INDEX('TB-EQUIPMENT &amp; OTHER HPs'!$N$138:$N$175,MATCH($E326&amp;$F326,'TB-EQUIPMENT &amp; OTHER HPs'!$E$138:$E$175&amp;'TB-EQUIPMENT &amp; OTHER HPs'!$I$138:$I$175,0)),0)</f>
        <v>0</v>
      </c>
      <c r="J326" s="625">
        <f t="array" ref="J326">IFERROR(INDEX('TB-EQUIPMENT &amp; OTHER HPs'!$O$138:$O$175,MATCH($E326&amp;$F326,'TB-EQUIPMENT &amp; OTHER HPs'!$E$138:$E$175&amp;'TB-EQUIPMENT &amp; OTHER HPs'!$I$138:$I$175,0)),0)</f>
        <v>0</v>
      </c>
      <c r="K326" s="626">
        <f t="shared" si="360"/>
        <v>0</v>
      </c>
      <c r="L326" s="626">
        <f t="shared" si="361"/>
        <v>0</v>
      </c>
      <c r="M326" s="626">
        <f t="shared" si="362"/>
        <v>0</v>
      </c>
      <c r="N326" s="625">
        <f t="array" ref="N326">IFERROR(INDEX('TB-EQUIPMENT &amp; OTHER HPs'!$P$138:$P$175,MATCH($E326&amp;$F326,'TB-EQUIPMENT &amp; OTHER HPs'!$E$138:$E$175&amp;'TB-EQUIPMENT &amp; OTHER HPs'!$I$138:$I$175,0)),0)</f>
        <v>0</v>
      </c>
      <c r="O326" s="626">
        <f t="shared" si="363"/>
        <v>0</v>
      </c>
      <c r="P326" s="626">
        <f t="shared" si="364"/>
        <v>0</v>
      </c>
      <c r="Q326" s="626">
        <f t="shared" si="365"/>
        <v>0</v>
      </c>
      <c r="R326" s="625">
        <f t="array" ref="R326">IFERROR(INDEX('TB-EQUIPMENT &amp; OTHER HPs'!$Q$138:$Q$175,MATCH($E326&amp;$F326,'TB-EQUIPMENT &amp; OTHER HPs'!$E$138:$E$175&amp;'TB-EQUIPMENT &amp; OTHER HPs'!$I$138:$I$175,0)),0)</f>
        <v>0</v>
      </c>
      <c r="S326" s="626">
        <f t="shared" si="366"/>
        <v>0</v>
      </c>
      <c r="T326" s="626">
        <f t="shared" si="367"/>
        <v>0</v>
      </c>
      <c r="U326" s="626">
        <f t="shared" si="368"/>
        <v>0</v>
      </c>
      <c r="V326" s="625">
        <f t="array" ref="V326">IFERROR(INDEX('TB-EQUIPMENT &amp; OTHER HPs'!$R$138:$R$175,MATCH($E326&amp;$F326,'TB-EQUIPMENT &amp; OTHER HPs'!$E$138:$E$175&amp;'TB-EQUIPMENT &amp; OTHER HPs'!$I$138:$I$175,0)),0)</f>
        <v>0</v>
      </c>
      <c r="W326" s="626">
        <f t="shared" si="369"/>
        <v>0</v>
      </c>
      <c r="X326" s="626">
        <f t="shared" si="370"/>
        <v>0</v>
      </c>
      <c r="Y326" s="626">
        <f t="shared" si="371"/>
        <v>0</v>
      </c>
      <c r="AA326" s="625">
        <f t="array" ref="AA326">IFERROR(INDEX('TB-EQUIPMENT &amp; OTHER HPs'!$U$138:$U$175,MATCH($E326&amp;$F326,'TB-EQUIPMENT &amp; OTHER HPs'!$E$138:$E$175&amp;'TB-EQUIPMENT &amp; OTHER HPs'!$I$138:$I$175,0)),0)</f>
        <v>0</v>
      </c>
      <c r="AB326" s="625">
        <f t="array" ref="AB326">IFERROR(INDEX('TB-EQUIPMENT &amp; OTHER HPs'!$V$138:$V$175,MATCH($E326&amp;$F326,'TB-EQUIPMENT &amp; OTHER HPs'!$E$138:$E$175&amp;'TB-EQUIPMENT &amp; OTHER HPs'!$I$138:$I$175,0)),0)</f>
        <v>0</v>
      </c>
      <c r="AC326" s="626">
        <f t="shared" si="372"/>
        <v>0</v>
      </c>
      <c r="AD326" s="626">
        <f t="shared" si="373"/>
        <v>0</v>
      </c>
      <c r="AE326" s="626">
        <f t="shared" si="374"/>
        <v>0</v>
      </c>
      <c r="AF326" s="625">
        <f t="array" ref="AF326">IFERROR(INDEX('TB-EQUIPMENT &amp; OTHER HPs'!$W$138:$W$175,MATCH($E326&amp;$F326,'TB-EQUIPMENT &amp; OTHER HPs'!$E$138:$E$175&amp;'TB-EQUIPMENT &amp; OTHER HPs'!$I$138:$I$175,0)),0)</f>
        <v>0</v>
      </c>
      <c r="AG326" s="626">
        <f t="shared" si="375"/>
        <v>0</v>
      </c>
      <c r="AH326" s="626">
        <f t="shared" si="376"/>
        <v>0</v>
      </c>
      <c r="AI326" s="626">
        <f t="shared" si="377"/>
        <v>0</v>
      </c>
      <c r="AJ326" s="625">
        <f t="array" ref="AJ326">IFERROR(INDEX('TB-EQUIPMENT &amp; OTHER HPs'!$X$138:$X$175,MATCH($E326&amp;$F326,'TB-EQUIPMENT &amp; OTHER HPs'!$E$138:$E$175&amp;'TB-EQUIPMENT &amp; OTHER HPs'!$I$138:$I$175,0)),0)</f>
        <v>0</v>
      </c>
      <c r="AK326" s="626">
        <f t="shared" si="378"/>
        <v>0</v>
      </c>
      <c r="AL326" s="626">
        <f t="shared" si="379"/>
        <v>0</v>
      </c>
      <c r="AM326" s="626">
        <f t="shared" si="380"/>
        <v>0</v>
      </c>
      <c r="AN326" s="625">
        <f t="array" ref="AN326">IFERROR(INDEX('TB-EQUIPMENT &amp; OTHER HPs'!$Y$138:$Y$175,MATCH($E326&amp;$F326,'TB-EQUIPMENT &amp; OTHER HPs'!$E$138:$E$175&amp;'TB-EQUIPMENT &amp; OTHER HPs'!$I$138:$I$175,0)),0)</f>
        <v>0</v>
      </c>
      <c r="AO326" s="626">
        <f t="shared" si="381"/>
        <v>0</v>
      </c>
      <c r="AP326" s="626">
        <f t="shared" si="382"/>
        <v>0</v>
      </c>
      <c r="AQ326" s="626">
        <f t="shared" si="383"/>
        <v>0</v>
      </c>
      <c r="AR326" s="630"/>
      <c r="AS326" s="625">
        <f t="array" ref="AS326">IFERROR(INDEX('TB-EQUIPMENT &amp; OTHER HPs'!$AB$138:$AB$175,MATCH($E326&amp;$F326,'TB-EQUIPMENT &amp; OTHER HPs'!$E$138:$E$175&amp;'TB-EQUIPMENT &amp; OTHER HPs'!$I$138:$I$175,0)),0)</f>
        <v>0</v>
      </c>
      <c r="AT326" s="625">
        <f t="array" ref="AT326">IFERROR(INDEX('TB-EQUIPMENT &amp; OTHER HPs'!$AC$138:$AC$175,MATCH($E326&amp;$F326,'TB-EQUIPMENT &amp; OTHER HPs'!$E$138:$E$175&amp;'TB-EQUIPMENT &amp; OTHER HPs'!$I$138:$I$175,0)),0)</f>
        <v>0</v>
      </c>
      <c r="AU326" s="626">
        <f t="shared" si="384"/>
        <v>0</v>
      </c>
      <c r="AV326" s="626">
        <f t="shared" si="385"/>
        <v>0</v>
      </c>
      <c r="AW326" s="626">
        <f t="shared" si="386"/>
        <v>0</v>
      </c>
      <c r="AX326" s="625">
        <f t="array" ref="AX326">IFERROR(INDEX('TB-EQUIPMENT &amp; OTHER HPs'!$AD$138:$AD$175,MATCH($E326&amp;$F326,'TB-EQUIPMENT &amp; OTHER HPs'!$E$138:$E$175&amp;'TB-EQUIPMENT &amp; OTHER HPs'!$I$138:$I$175,0)),0)</f>
        <v>0</v>
      </c>
      <c r="AY326" s="626">
        <f t="shared" si="387"/>
        <v>0</v>
      </c>
      <c r="AZ326" s="626">
        <f t="shared" si="388"/>
        <v>0</v>
      </c>
      <c r="BA326" s="626">
        <f t="shared" si="389"/>
        <v>0</v>
      </c>
      <c r="BB326" s="625">
        <f t="array" ref="BB326">IFERROR(INDEX('TB-EQUIPMENT &amp; OTHER HPs'!$AE$138:$AE$175,MATCH($E326&amp;$F326,'TB-EQUIPMENT &amp; OTHER HPs'!$E$138:$E$175&amp;'TB-EQUIPMENT &amp; OTHER HPs'!$I$138:$I$175,0)),0)</f>
        <v>0</v>
      </c>
      <c r="BC326" s="626">
        <f t="shared" si="390"/>
        <v>0</v>
      </c>
      <c r="BD326" s="626">
        <f t="shared" si="391"/>
        <v>0</v>
      </c>
      <c r="BE326" s="626">
        <f t="shared" si="392"/>
        <v>0</v>
      </c>
      <c r="BF326" s="625">
        <f t="array" ref="BF326">IFERROR(INDEX('TB-EQUIPMENT &amp; OTHER HPs'!$AF$138:$AF$175,MATCH($E326&amp;$F326,'TB-EQUIPMENT &amp; OTHER HPs'!$E$138:$E$175&amp;'TB-EQUIPMENT &amp; OTHER HPs'!$I$138:$I$175,0)),0)</f>
        <v>0</v>
      </c>
      <c r="BG326" s="626">
        <f t="shared" si="393"/>
        <v>0</v>
      </c>
      <c r="BH326" s="626">
        <f t="shared" si="394"/>
        <v>0</v>
      </c>
      <c r="BI326" s="626">
        <f t="shared" si="395"/>
        <v>0</v>
      </c>
      <c r="BJ326" s="630"/>
      <c r="BK326" s="625"/>
      <c r="BL326" s="625"/>
      <c r="BM326" s="625"/>
      <c r="BN326" s="625"/>
      <c r="BO326" s="625"/>
      <c r="BP326" s="625"/>
      <c r="BQ326" s="625"/>
      <c r="BR326" s="625"/>
    </row>
    <row r="327" spans="1:70">
      <c r="A327" s="29" t="s">
        <v>1759</v>
      </c>
      <c r="B327" s="29" t="s">
        <v>1838</v>
      </c>
      <c r="C327" s="619">
        <f>SETUP!$F$44</f>
        <v>0</v>
      </c>
      <c r="D327" s="25">
        <v>5.6</v>
      </c>
      <c r="E327" s="26" t="s">
        <v>1229</v>
      </c>
      <c r="F327" s="26" t="s">
        <v>1140</v>
      </c>
      <c r="G327" s="625" t="str">
        <f t="array" ref="G327">IFERROR(INDEX('TB-EQUIPMENT &amp; OTHER HPs'!$L$138:$L$175,MATCH($E327&amp;$F327,'TB-EQUIPMENT &amp; OTHER HPs'!$E$138:$E$175&amp;'TB-EQUIPMENT &amp; OTHER HPs'!$I$138:$I$175,0)),"")</f>
        <v/>
      </c>
      <c r="H327" s="625" t="str">
        <f t="array" ref="H327">IFERROR(INDEX('TB-EQUIPMENT &amp; OTHER HPs'!$M$138:$M$175,MATCH($E327&amp;$F327,'TB-EQUIPMENT &amp; OTHER HPs'!$E$138:$E$175&amp;'TB-EQUIPMENT &amp; OTHER HPs'!$I$138:$I$175,0)),"")</f>
        <v/>
      </c>
      <c r="I327" s="625">
        <f t="array" ref="I327">IFERROR(INDEX('TB-EQUIPMENT &amp; OTHER HPs'!$N$138:$N$175,MATCH($E327&amp;$F327,'TB-EQUIPMENT &amp; OTHER HPs'!$E$138:$E$175&amp;'TB-EQUIPMENT &amp; OTHER HPs'!$I$138:$I$175,0)),0)</f>
        <v>0</v>
      </c>
      <c r="J327" s="625">
        <f t="array" ref="J327">IFERROR(INDEX('TB-EQUIPMENT &amp; OTHER HPs'!$O$138:$O$175,MATCH($E327&amp;$F327,'TB-EQUIPMENT &amp; OTHER HPs'!$E$138:$E$175&amp;'TB-EQUIPMENT &amp; OTHER HPs'!$I$138:$I$175,0)),0)</f>
        <v>0</v>
      </c>
      <c r="K327" s="626">
        <f t="shared" si="360"/>
        <v>0</v>
      </c>
      <c r="L327" s="626">
        <f t="shared" si="361"/>
        <v>0</v>
      </c>
      <c r="M327" s="626">
        <f t="shared" si="362"/>
        <v>0</v>
      </c>
      <c r="N327" s="625">
        <f t="array" ref="N327">IFERROR(INDEX('TB-EQUIPMENT &amp; OTHER HPs'!$P$138:$P$175,MATCH($E327&amp;$F327,'TB-EQUIPMENT &amp; OTHER HPs'!$E$138:$E$175&amp;'TB-EQUIPMENT &amp; OTHER HPs'!$I$138:$I$175,0)),0)</f>
        <v>0</v>
      </c>
      <c r="O327" s="626">
        <f t="shared" si="363"/>
        <v>0</v>
      </c>
      <c r="P327" s="626">
        <f t="shared" si="364"/>
        <v>0</v>
      </c>
      <c r="Q327" s="626">
        <f t="shared" si="365"/>
        <v>0</v>
      </c>
      <c r="R327" s="625">
        <f t="array" ref="R327">IFERROR(INDEX('TB-EQUIPMENT &amp; OTHER HPs'!$Q$138:$Q$175,MATCH($E327&amp;$F327,'TB-EQUIPMENT &amp; OTHER HPs'!$E$138:$E$175&amp;'TB-EQUIPMENT &amp; OTHER HPs'!$I$138:$I$175,0)),0)</f>
        <v>0</v>
      </c>
      <c r="S327" s="626">
        <f t="shared" si="366"/>
        <v>0</v>
      </c>
      <c r="T327" s="626">
        <f t="shared" si="367"/>
        <v>0</v>
      </c>
      <c r="U327" s="626">
        <f t="shared" si="368"/>
        <v>0</v>
      </c>
      <c r="V327" s="625">
        <f t="array" ref="V327">IFERROR(INDEX('TB-EQUIPMENT &amp; OTHER HPs'!$R$138:$R$175,MATCH($E327&amp;$F327,'TB-EQUIPMENT &amp; OTHER HPs'!$E$138:$E$175&amp;'TB-EQUIPMENT &amp; OTHER HPs'!$I$138:$I$175,0)),0)</f>
        <v>0</v>
      </c>
      <c r="W327" s="626">
        <f t="shared" si="369"/>
        <v>0</v>
      </c>
      <c r="X327" s="626">
        <f t="shared" si="370"/>
        <v>0</v>
      </c>
      <c r="Y327" s="626">
        <f t="shared" si="371"/>
        <v>0</v>
      </c>
      <c r="AA327" s="625">
        <f t="array" ref="AA327">IFERROR(INDEX('TB-EQUIPMENT &amp; OTHER HPs'!$U$138:$U$175,MATCH($E327&amp;$F327,'TB-EQUIPMENT &amp; OTHER HPs'!$E$138:$E$175&amp;'TB-EQUIPMENT &amp; OTHER HPs'!$I$138:$I$175,0)),0)</f>
        <v>0</v>
      </c>
      <c r="AB327" s="625">
        <f t="array" ref="AB327">IFERROR(INDEX('TB-EQUIPMENT &amp; OTHER HPs'!$V$138:$V$175,MATCH($E327&amp;$F327,'TB-EQUIPMENT &amp; OTHER HPs'!$E$138:$E$175&amp;'TB-EQUIPMENT &amp; OTHER HPs'!$I$138:$I$175,0)),0)</f>
        <v>0</v>
      </c>
      <c r="AC327" s="626">
        <f t="shared" si="372"/>
        <v>0</v>
      </c>
      <c r="AD327" s="626">
        <f t="shared" si="373"/>
        <v>0</v>
      </c>
      <c r="AE327" s="626">
        <f t="shared" si="374"/>
        <v>0</v>
      </c>
      <c r="AF327" s="625">
        <f t="array" ref="AF327">IFERROR(INDEX('TB-EQUIPMENT &amp; OTHER HPs'!$W$138:$W$175,MATCH($E327&amp;$F327,'TB-EQUIPMENT &amp; OTHER HPs'!$E$138:$E$175&amp;'TB-EQUIPMENT &amp; OTHER HPs'!$I$138:$I$175,0)),0)</f>
        <v>0</v>
      </c>
      <c r="AG327" s="626">
        <f t="shared" si="375"/>
        <v>0</v>
      </c>
      <c r="AH327" s="626">
        <f t="shared" si="376"/>
        <v>0</v>
      </c>
      <c r="AI327" s="626">
        <f t="shared" si="377"/>
        <v>0</v>
      </c>
      <c r="AJ327" s="625">
        <f t="array" ref="AJ327">IFERROR(INDEX('TB-EQUIPMENT &amp; OTHER HPs'!$X$138:$X$175,MATCH($E327&amp;$F327,'TB-EQUIPMENT &amp; OTHER HPs'!$E$138:$E$175&amp;'TB-EQUIPMENT &amp; OTHER HPs'!$I$138:$I$175,0)),0)</f>
        <v>0</v>
      </c>
      <c r="AK327" s="626">
        <f t="shared" si="378"/>
        <v>0</v>
      </c>
      <c r="AL327" s="626">
        <f t="shared" si="379"/>
        <v>0</v>
      </c>
      <c r="AM327" s="626">
        <f t="shared" si="380"/>
        <v>0</v>
      </c>
      <c r="AN327" s="625">
        <f t="array" ref="AN327">IFERROR(INDEX('TB-EQUIPMENT &amp; OTHER HPs'!$Y$138:$Y$175,MATCH($E327&amp;$F327,'TB-EQUIPMENT &amp; OTHER HPs'!$E$138:$E$175&amp;'TB-EQUIPMENT &amp; OTHER HPs'!$I$138:$I$175,0)),0)</f>
        <v>0</v>
      </c>
      <c r="AO327" s="626">
        <f t="shared" si="381"/>
        <v>0</v>
      </c>
      <c r="AP327" s="626">
        <f t="shared" si="382"/>
        <v>0</v>
      </c>
      <c r="AQ327" s="626">
        <f t="shared" si="383"/>
        <v>0</v>
      </c>
      <c r="AR327" s="630"/>
      <c r="AS327" s="625">
        <f t="array" ref="AS327">IFERROR(INDEX('TB-EQUIPMENT &amp; OTHER HPs'!$AB$138:$AB$175,MATCH($E327&amp;$F327,'TB-EQUIPMENT &amp; OTHER HPs'!$E$138:$E$175&amp;'TB-EQUIPMENT &amp; OTHER HPs'!$I$138:$I$175,0)),0)</f>
        <v>0</v>
      </c>
      <c r="AT327" s="625">
        <f t="array" ref="AT327">IFERROR(INDEX('TB-EQUIPMENT &amp; OTHER HPs'!$AC$138:$AC$175,MATCH($E327&amp;$F327,'TB-EQUIPMENT &amp; OTHER HPs'!$E$138:$E$175&amp;'TB-EQUIPMENT &amp; OTHER HPs'!$I$138:$I$175,0)),0)</f>
        <v>0</v>
      </c>
      <c r="AU327" s="626">
        <f t="shared" si="384"/>
        <v>0</v>
      </c>
      <c r="AV327" s="626">
        <f t="shared" si="385"/>
        <v>0</v>
      </c>
      <c r="AW327" s="626">
        <f t="shared" si="386"/>
        <v>0</v>
      </c>
      <c r="AX327" s="625">
        <f t="array" ref="AX327">IFERROR(INDEX('TB-EQUIPMENT &amp; OTHER HPs'!$AD$138:$AD$175,MATCH($E327&amp;$F327,'TB-EQUIPMENT &amp; OTHER HPs'!$E$138:$E$175&amp;'TB-EQUIPMENT &amp; OTHER HPs'!$I$138:$I$175,0)),0)</f>
        <v>0</v>
      </c>
      <c r="AY327" s="626">
        <f t="shared" si="387"/>
        <v>0</v>
      </c>
      <c r="AZ327" s="626">
        <f t="shared" si="388"/>
        <v>0</v>
      </c>
      <c r="BA327" s="626">
        <f t="shared" si="389"/>
        <v>0</v>
      </c>
      <c r="BB327" s="625">
        <f t="array" ref="BB327">IFERROR(INDEX('TB-EQUIPMENT &amp; OTHER HPs'!$AE$138:$AE$175,MATCH($E327&amp;$F327,'TB-EQUIPMENT &amp; OTHER HPs'!$E$138:$E$175&amp;'TB-EQUIPMENT &amp; OTHER HPs'!$I$138:$I$175,0)),0)</f>
        <v>0</v>
      </c>
      <c r="BC327" s="626">
        <f t="shared" si="390"/>
        <v>0</v>
      </c>
      <c r="BD327" s="626">
        <f t="shared" si="391"/>
        <v>0</v>
      </c>
      <c r="BE327" s="626">
        <f t="shared" si="392"/>
        <v>0</v>
      </c>
      <c r="BF327" s="625">
        <f t="array" ref="BF327">IFERROR(INDEX('TB-EQUIPMENT &amp; OTHER HPs'!$AF$138:$AF$175,MATCH($E327&amp;$F327,'TB-EQUIPMENT &amp; OTHER HPs'!$E$138:$E$175&amp;'TB-EQUIPMENT &amp; OTHER HPs'!$I$138:$I$175,0)),0)</f>
        <v>0</v>
      </c>
      <c r="BG327" s="626">
        <f t="shared" si="393"/>
        <v>0</v>
      </c>
      <c r="BH327" s="626">
        <f t="shared" si="394"/>
        <v>0</v>
      </c>
      <c r="BI327" s="626">
        <f t="shared" si="395"/>
        <v>0</v>
      </c>
      <c r="BJ327" s="630"/>
      <c r="BK327" s="625"/>
      <c r="BL327" s="625"/>
      <c r="BM327" s="625"/>
      <c r="BN327" s="625"/>
      <c r="BO327" s="625"/>
      <c r="BP327" s="625"/>
      <c r="BQ327" s="625"/>
      <c r="BR327" s="625"/>
    </row>
    <row r="328" spans="1:70">
      <c r="A328" s="29" t="s">
        <v>1758</v>
      </c>
      <c r="B328" s="29" t="s">
        <v>1838</v>
      </c>
      <c r="C328" s="619">
        <f>SETUP!$F$44</f>
        <v>0</v>
      </c>
      <c r="D328" s="25">
        <v>6.6</v>
      </c>
      <c r="E328" s="26" t="s">
        <v>1212</v>
      </c>
      <c r="F328" s="26" t="s">
        <v>1140</v>
      </c>
      <c r="G328" s="625" t="str">
        <f t="array" ref="G328">IFERROR(INDEX('TB-EQUIPMENT &amp; OTHER HPs'!$L$138:$L$175,MATCH($E328&amp;$F328,'TB-EQUIPMENT &amp; OTHER HPs'!$E$138:$E$175&amp;'TB-EQUIPMENT &amp; OTHER HPs'!$I$138:$I$175,0)),"")</f>
        <v/>
      </c>
      <c r="H328" s="625" t="str">
        <f t="array" ref="H328">IFERROR(INDEX('TB-EQUIPMENT &amp; OTHER HPs'!$M$138:$M$175,MATCH($E328&amp;$F328,'TB-EQUIPMENT &amp; OTHER HPs'!$E$138:$E$175&amp;'TB-EQUIPMENT &amp; OTHER HPs'!$I$138:$I$175,0)),"")</f>
        <v/>
      </c>
      <c r="I328" s="625">
        <f t="array" ref="I328">IFERROR(INDEX('TB-EQUIPMENT &amp; OTHER HPs'!$N$138:$N$175,MATCH($E328&amp;$F328,'TB-EQUIPMENT &amp; OTHER HPs'!$E$138:$E$175&amp;'TB-EQUIPMENT &amp; OTHER HPs'!$I$138:$I$175,0)),0)</f>
        <v>0</v>
      </c>
      <c r="J328" s="625">
        <f t="array" ref="J328">IFERROR(INDEX('TB-EQUIPMENT &amp; OTHER HPs'!$O$138:$O$175,MATCH($E328&amp;$F328,'TB-EQUIPMENT &amp; OTHER HPs'!$E$138:$E$175&amp;'TB-EQUIPMENT &amp; OTHER HPs'!$I$138:$I$175,0)),0)</f>
        <v>0</v>
      </c>
      <c r="K328" s="626">
        <f t="shared" si="360"/>
        <v>0</v>
      </c>
      <c r="L328" s="626">
        <f t="shared" si="361"/>
        <v>0</v>
      </c>
      <c r="M328" s="626">
        <f t="shared" si="362"/>
        <v>0</v>
      </c>
      <c r="N328" s="625">
        <f t="array" ref="N328">IFERROR(INDEX('TB-EQUIPMENT &amp; OTHER HPs'!$P$138:$P$175,MATCH($E328&amp;$F328,'TB-EQUIPMENT &amp; OTHER HPs'!$E$138:$E$175&amp;'TB-EQUIPMENT &amp; OTHER HPs'!$I$138:$I$175,0)),0)</f>
        <v>0</v>
      </c>
      <c r="O328" s="626">
        <f t="shared" si="363"/>
        <v>0</v>
      </c>
      <c r="P328" s="626">
        <f t="shared" si="364"/>
        <v>0</v>
      </c>
      <c r="Q328" s="626">
        <f t="shared" si="365"/>
        <v>0</v>
      </c>
      <c r="R328" s="625">
        <f t="array" ref="R328">IFERROR(INDEX('TB-EQUIPMENT &amp; OTHER HPs'!$Q$138:$Q$175,MATCH($E328&amp;$F328,'TB-EQUIPMENT &amp; OTHER HPs'!$E$138:$E$175&amp;'TB-EQUIPMENT &amp; OTHER HPs'!$I$138:$I$175,0)),0)</f>
        <v>0</v>
      </c>
      <c r="S328" s="626">
        <f t="shared" si="366"/>
        <v>0</v>
      </c>
      <c r="T328" s="626">
        <f t="shared" si="367"/>
        <v>0</v>
      </c>
      <c r="U328" s="626">
        <f t="shared" si="368"/>
        <v>0</v>
      </c>
      <c r="V328" s="625">
        <f t="array" ref="V328">IFERROR(INDEX('TB-EQUIPMENT &amp; OTHER HPs'!$R$138:$R$175,MATCH($E328&amp;$F328,'TB-EQUIPMENT &amp; OTHER HPs'!$E$138:$E$175&amp;'TB-EQUIPMENT &amp; OTHER HPs'!$I$138:$I$175,0)),0)</f>
        <v>0</v>
      </c>
      <c r="W328" s="626">
        <f t="shared" si="369"/>
        <v>0</v>
      </c>
      <c r="X328" s="626">
        <f t="shared" si="370"/>
        <v>0</v>
      </c>
      <c r="Y328" s="626">
        <f t="shared" si="371"/>
        <v>0</v>
      </c>
      <c r="AA328" s="625">
        <f t="array" ref="AA328">IFERROR(INDEX('TB-EQUIPMENT &amp; OTHER HPs'!$U$138:$U$175,MATCH($E328&amp;$F328,'TB-EQUIPMENT &amp; OTHER HPs'!$E$138:$E$175&amp;'TB-EQUIPMENT &amp; OTHER HPs'!$I$138:$I$175,0)),0)</f>
        <v>0</v>
      </c>
      <c r="AB328" s="625">
        <f t="array" ref="AB328">IFERROR(INDEX('TB-EQUIPMENT &amp; OTHER HPs'!$V$138:$V$175,MATCH($E328&amp;$F328,'TB-EQUIPMENT &amp; OTHER HPs'!$E$138:$E$175&amp;'TB-EQUIPMENT &amp; OTHER HPs'!$I$138:$I$175,0)),0)</f>
        <v>0</v>
      </c>
      <c r="AC328" s="626">
        <f t="shared" si="372"/>
        <v>0</v>
      </c>
      <c r="AD328" s="626">
        <f t="shared" si="373"/>
        <v>0</v>
      </c>
      <c r="AE328" s="626">
        <f t="shared" si="374"/>
        <v>0</v>
      </c>
      <c r="AF328" s="625">
        <f t="array" ref="AF328">IFERROR(INDEX('TB-EQUIPMENT &amp; OTHER HPs'!$W$138:$W$175,MATCH($E328&amp;$F328,'TB-EQUIPMENT &amp; OTHER HPs'!$E$138:$E$175&amp;'TB-EQUIPMENT &amp; OTHER HPs'!$I$138:$I$175,0)),0)</f>
        <v>0</v>
      </c>
      <c r="AG328" s="626">
        <f t="shared" si="375"/>
        <v>0</v>
      </c>
      <c r="AH328" s="626">
        <f t="shared" si="376"/>
        <v>0</v>
      </c>
      <c r="AI328" s="626">
        <f t="shared" si="377"/>
        <v>0</v>
      </c>
      <c r="AJ328" s="625">
        <f t="array" ref="AJ328">IFERROR(INDEX('TB-EQUIPMENT &amp; OTHER HPs'!$X$138:$X$175,MATCH($E328&amp;$F328,'TB-EQUIPMENT &amp; OTHER HPs'!$E$138:$E$175&amp;'TB-EQUIPMENT &amp; OTHER HPs'!$I$138:$I$175,0)),0)</f>
        <v>0</v>
      </c>
      <c r="AK328" s="626">
        <f t="shared" si="378"/>
        <v>0</v>
      </c>
      <c r="AL328" s="626">
        <f t="shared" si="379"/>
        <v>0</v>
      </c>
      <c r="AM328" s="626">
        <f t="shared" si="380"/>
        <v>0</v>
      </c>
      <c r="AN328" s="625">
        <f t="array" ref="AN328">IFERROR(INDEX('TB-EQUIPMENT &amp; OTHER HPs'!$Y$138:$Y$175,MATCH($E328&amp;$F328,'TB-EQUIPMENT &amp; OTHER HPs'!$E$138:$E$175&amp;'TB-EQUIPMENT &amp; OTHER HPs'!$I$138:$I$175,0)),0)</f>
        <v>0</v>
      </c>
      <c r="AO328" s="626">
        <f t="shared" si="381"/>
        <v>0</v>
      </c>
      <c r="AP328" s="626">
        <f t="shared" si="382"/>
        <v>0</v>
      </c>
      <c r="AQ328" s="626">
        <f t="shared" si="383"/>
        <v>0</v>
      </c>
      <c r="AR328" s="630"/>
      <c r="AS328" s="625">
        <f t="array" ref="AS328">IFERROR(INDEX('TB-EQUIPMENT &amp; OTHER HPs'!$AB$138:$AB$175,MATCH($E328&amp;$F328,'TB-EQUIPMENT &amp; OTHER HPs'!$E$138:$E$175&amp;'TB-EQUIPMENT &amp; OTHER HPs'!$I$138:$I$175,0)),0)</f>
        <v>0</v>
      </c>
      <c r="AT328" s="625">
        <f t="array" ref="AT328">IFERROR(INDEX('TB-EQUIPMENT &amp; OTHER HPs'!$AC$138:$AC$175,MATCH($E328&amp;$F328,'TB-EQUIPMENT &amp; OTHER HPs'!$E$138:$E$175&amp;'TB-EQUIPMENT &amp; OTHER HPs'!$I$138:$I$175,0)),0)</f>
        <v>0</v>
      </c>
      <c r="AU328" s="626">
        <f t="shared" si="384"/>
        <v>0</v>
      </c>
      <c r="AV328" s="626">
        <f t="shared" si="385"/>
        <v>0</v>
      </c>
      <c r="AW328" s="626">
        <f t="shared" si="386"/>
        <v>0</v>
      </c>
      <c r="AX328" s="625">
        <f t="array" ref="AX328">IFERROR(INDEX('TB-EQUIPMENT &amp; OTHER HPs'!$AD$138:$AD$175,MATCH($E328&amp;$F328,'TB-EQUIPMENT &amp; OTHER HPs'!$E$138:$E$175&amp;'TB-EQUIPMENT &amp; OTHER HPs'!$I$138:$I$175,0)),0)</f>
        <v>0</v>
      </c>
      <c r="AY328" s="626">
        <f t="shared" si="387"/>
        <v>0</v>
      </c>
      <c r="AZ328" s="626">
        <f t="shared" si="388"/>
        <v>0</v>
      </c>
      <c r="BA328" s="626">
        <f t="shared" si="389"/>
        <v>0</v>
      </c>
      <c r="BB328" s="625">
        <f t="array" ref="BB328">IFERROR(INDEX('TB-EQUIPMENT &amp; OTHER HPs'!$AE$138:$AE$175,MATCH($E328&amp;$F328,'TB-EQUIPMENT &amp; OTHER HPs'!$E$138:$E$175&amp;'TB-EQUIPMENT &amp; OTHER HPs'!$I$138:$I$175,0)),0)</f>
        <v>0</v>
      </c>
      <c r="BC328" s="626">
        <f t="shared" si="390"/>
        <v>0</v>
      </c>
      <c r="BD328" s="626">
        <f t="shared" si="391"/>
        <v>0</v>
      </c>
      <c r="BE328" s="626">
        <f t="shared" si="392"/>
        <v>0</v>
      </c>
      <c r="BF328" s="625">
        <f t="array" ref="BF328">IFERROR(INDEX('TB-EQUIPMENT &amp; OTHER HPs'!$AF$138:$AF$175,MATCH($E328&amp;$F328,'TB-EQUIPMENT &amp; OTHER HPs'!$E$138:$E$175&amp;'TB-EQUIPMENT &amp; OTHER HPs'!$I$138:$I$175,0)),0)</f>
        <v>0</v>
      </c>
      <c r="BG328" s="626">
        <f t="shared" si="393"/>
        <v>0</v>
      </c>
      <c r="BH328" s="626">
        <f t="shared" si="394"/>
        <v>0</v>
      </c>
      <c r="BI328" s="626">
        <f t="shared" si="395"/>
        <v>0</v>
      </c>
      <c r="BJ328" s="630"/>
      <c r="BK328" s="625"/>
      <c r="BL328" s="625"/>
      <c r="BM328" s="625"/>
      <c r="BN328" s="625"/>
      <c r="BO328" s="625"/>
      <c r="BP328" s="625"/>
      <c r="BQ328" s="625"/>
      <c r="BR328" s="625"/>
    </row>
    <row r="329" spans="1:70">
      <c r="A329" s="29" t="s">
        <v>1758</v>
      </c>
      <c r="B329" s="29" t="s">
        <v>1838</v>
      </c>
      <c r="C329" s="619">
        <f>SETUP!$F$44</f>
        <v>0</v>
      </c>
      <c r="D329" s="25">
        <v>6.6</v>
      </c>
      <c r="E329" s="26" t="s">
        <v>1213</v>
      </c>
      <c r="F329" s="26" t="s">
        <v>1140</v>
      </c>
      <c r="G329" s="625" t="str">
        <f t="array" ref="G329">IFERROR(INDEX('TB-EQUIPMENT &amp; OTHER HPs'!$L$138:$L$175,MATCH($E329&amp;$F329,'TB-EQUIPMENT &amp; OTHER HPs'!$E$138:$E$175&amp;'TB-EQUIPMENT &amp; OTHER HPs'!$I$138:$I$175,0)),"")</f>
        <v/>
      </c>
      <c r="H329" s="625" t="str">
        <f t="array" ref="H329">IFERROR(INDEX('TB-EQUIPMENT &amp; OTHER HPs'!$M$138:$M$175,MATCH($E329&amp;$F329,'TB-EQUIPMENT &amp; OTHER HPs'!$E$138:$E$175&amp;'TB-EQUIPMENT &amp; OTHER HPs'!$I$138:$I$175,0)),"")</f>
        <v/>
      </c>
      <c r="I329" s="625">
        <f t="array" ref="I329">IFERROR(INDEX('TB-EQUIPMENT &amp; OTHER HPs'!$N$138:$N$175,MATCH($E329&amp;$F329,'TB-EQUIPMENT &amp; OTHER HPs'!$E$138:$E$175&amp;'TB-EQUIPMENT &amp; OTHER HPs'!$I$138:$I$175,0)),0)</f>
        <v>0</v>
      </c>
      <c r="J329" s="625">
        <f t="array" ref="J329">IFERROR(INDEX('TB-EQUIPMENT &amp; OTHER HPs'!$O$138:$O$175,MATCH($E329&amp;$F329,'TB-EQUIPMENT &amp; OTHER HPs'!$E$138:$E$175&amp;'TB-EQUIPMENT &amp; OTHER HPs'!$I$138:$I$175,0)),0)</f>
        <v>0</v>
      </c>
      <c r="K329" s="626">
        <f t="shared" si="360"/>
        <v>0</v>
      </c>
      <c r="L329" s="626">
        <f t="shared" si="361"/>
        <v>0</v>
      </c>
      <c r="M329" s="626">
        <f t="shared" si="362"/>
        <v>0</v>
      </c>
      <c r="N329" s="625">
        <f t="array" ref="N329">IFERROR(INDEX('TB-EQUIPMENT &amp; OTHER HPs'!$P$138:$P$175,MATCH($E329&amp;$F329,'TB-EQUIPMENT &amp; OTHER HPs'!$E$138:$E$175&amp;'TB-EQUIPMENT &amp; OTHER HPs'!$I$138:$I$175,0)),0)</f>
        <v>0</v>
      </c>
      <c r="O329" s="626">
        <f t="shared" si="363"/>
        <v>0</v>
      </c>
      <c r="P329" s="626">
        <f t="shared" si="364"/>
        <v>0</v>
      </c>
      <c r="Q329" s="626">
        <f t="shared" si="365"/>
        <v>0</v>
      </c>
      <c r="R329" s="625">
        <f t="array" ref="R329">IFERROR(INDEX('TB-EQUIPMENT &amp; OTHER HPs'!$Q$138:$Q$175,MATCH($E329&amp;$F329,'TB-EQUIPMENT &amp; OTHER HPs'!$E$138:$E$175&amp;'TB-EQUIPMENT &amp; OTHER HPs'!$I$138:$I$175,0)),0)</f>
        <v>0</v>
      </c>
      <c r="S329" s="626">
        <f t="shared" si="366"/>
        <v>0</v>
      </c>
      <c r="T329" s="626">
        <f t="shared" si="367"/>
        <v>0</v>
      </c>
      <c r="U329" s="626">
        <f t="shared" si="368"/>
        <v>0</v>
      </c>
      <c r="V329" s="625">
        <f t="array" ref="V329">IFERROR(INDEX('TB-EQUIPMENT &amp; OTHER HPs'!$R$138:$R$175,MATCH($E329&amp;$F329,'TB-EQUIPMENT &amp; OTHER HPs'!$E$138:$E$175&amp;'TB-EQUIPMENT &amp; OTHER HPs'!$I$138:$I$175,0)),0)</f>
        <v>0</v>
      </c>
      <c r="W329" s="626">
        <f t="shared" si="369"/>
        <v>0</v>
      </c>
      <c r="X329" s="626">
        <f t="shared" si="370"/>
        <v>0</v>
      </c>
      <c r="Y329" s="626">
        <f t="shared" si="371"/>
        <v>0</v>
      </c>
      <c r="AA329" s="625">
        <f t="array" ref="AA329">IFERROR(INDEX('TB-EQUIPMENT &amp; OTHER HPs'!$U$138:$U$175,MATCH($E329&amp;$F329,'TB-EQUIPMENT &amp; OTHER HPs'!$E$138:$E$175&amp;'TB-EQUIPMENT &amp; OTHER HPs'!$I$138:$I$175,0)),0)</f>
        <v>0</v>
      </c>
      <c r="AB329" s="625">
        <f t="array" ref="AB329">IFERROR(INDEX('TB-EQUIPMENT &amp; OTHER HPs'!$V$138:$V$175,MATCH($E329&amp;$F329,'TB-EQUIPMENT &amp; OTHER HPs'!$E$138:$E$175&amp;'TB-EQUIPMENT &amp; OTHER HPs'!$I$138:$I$175,0)),0)</f>
        <v>0</v>
      </c>
      <c r="AC329" s="626">
        <f t="shared" si="372"/>
        <v>0</v>
      </c>
      <c r="AD329" s="626">
        <f t="shared" si="373"/>
        <v>0</v>
      </c>
      <c r="AE329" s="626">
        <f t="shared" si="374"/>
        <v>0</v>
      </c>
      <c r="AF329" s="625">
        <f t="array" ref="AF329">IFERROR(INDEX('TB-EQUIPMENT &amp; OTHER HPs'!$W$138:$W$175,MATCH($E329&amp;$F329,'TB-EQUIPMENT &amp; OTHER HPs'!$E$138:$E$175&amp;'TB-EQUIPMENT &amp; OTHER HPs'!$I$138:$I$175,0)),0)</f>
        <v>0</v>
      </c>
      <c r="AG329" s="626">
        <f t="shared" si="375"/>
        <v>0</v>
      </c>
      <c r="AH329" s="626">
        <f t="shared" si="376"/>
        <v>0</v>
      </c>
      <c r="AI329" s="626">
        <f t="shared" si="377"/>
        <v>0</v>
      </c>
      <c r="AJ329" s="625">
        <f t="array" ref="AJ329">IFERROR(INDEX('TB-EQUIPMENT &amp; OTHER HPs'!$X$138:$X$175,MATCH($E329&amp;$F329,'TB-EQUIPMENT &amp; OTHER HPs'!$E$138:$E$175&amp;'TB-EQUIPMENT &amp; OTHER HPs'!$I$138:$I$175,0)),0)</f>
        <v>0</v>
      </c>
      <c r="AK329" s="626">
        <f t="shared" si="378"/>
        <v>0</v>
      </c>
      <c r="AL329" s="626">
        <f t="shared" si="379"/>
        <v>0</v>
      </c>
      <c r="AM329" s="626">
        <f t="shared" si="380"/>
        <v>0</v>
      </c>
      <c r="AN329" s="625">
        <f t="array" ref="AN329">IFERROR(INDEX('TB-EQUIPMENT &amp; OTHER HPs'!$Y$138:$Y$175,MATCH($E329&amp;$F329,'TB-EQUIPMENT &amp; OTHER HPs'!$E$138:$E$175&amp;'TB-EQUIPMENT &amp; OTHER HPs'!$I$138:$I$175,0)),0)</f>
        <v>0</v>
      </c>
      <c r="AO329" s="626">
        <f t="shared" si="381"/>
        <v>0</v>
      </c>
      <c r="AP329" s="626">
        <f t="shared" si="382"/>
        <v>0</v>
      </c>
      <c r="AQ329" s="626">
        <f t="shared" si="383"/>
        <v>0</v>
      </c>
      <c r="AR329" s="630"/>
      <c r="AS329" s="625">
        <f t="array" ref="AS329">IFERROR(INDEX('TB-EQUIPMENT &amp; OTHER HPs'!$AB$138:$AB$175,MATCH($E329&amp;$F329,'TB-EQUIPMENT &amp; OTHER HPs'!$E$138:$E$175&amp;'TB-EQUIPMENT &amp; OTHER HPs'!$I$138:$I$175,0)),0)</f>
        <v>0</v>
      </c>
      <c r="AT329" s="625">
        <f t="array" ref="AT329">IFERROR(INDEX('TB-EQUIPMENT &amp; OTHER HPs'!$AC$138:$AC$175,MATCH($E329&amp;$F329,'TB-EQUIPMENT &amp; OTHER HPs'!$E$138:$E$175&amp;'TB-EQUIPMENT &amp; OTHER HPs'!$I$138:$I$175,0)),0)</f>
        <v>0</v>
      </c>
      <c r="AU329" s="626">
        <f t="shared" si="384"/>
        <v>0</v>
      </c>
      <c r="AV329" s="626">
        <f t="shared" si="385"/>
        <v>0</v>
      </c>
      <c r="AW329" s="626">
        <f t="shared" si="386"/>
        <v>0</v>
      </c>
      <c r="AX329" s="625">
        <f t="array" ref="AX329">IFERROR(INDEX('TB-EQUIPMENT &amp; OTHER HPs'!$AD$138:$AD$175,MATCH($E329&amp;$F329,'TB-EQUIPMENT &amp; OTHER HPs'!$E$138:$E$175&amp;'TB-EQUIPMENT &amp; OTHER HPs'!$I$138:$I$175,0)),0)</f>
        <v>0</v>
      </c>
      <c r="AY329" s="626">
        <f t="shared" si="387"/>
        <v>0</v>
      </c>
      <c r="AZ329" s="626">
        <f t="shared" si="388"/>
        <v>0</v>
      </c>
      <c r="BA329" s="626">
        <f t="shared" si="389"/>
        <v>0</v>
      </c>
      <c r="BB329" s="625">
        <f t="array" ref="BB329">IFERROR(INDEX('TB-EQUIPMENT &amp; OTHER HPs'!$AE$138:$AE$175,MATCH($E329&amp;$F329,'TB-EQUIPMENT &amp; OTHER HPs'!$E$138:$E$175&amp;'TB-EQUIPMENT &amp; OTHER HPs'!$I$138:$I$175,0)),0)</f>
        <v>0</v>
      </c>
      <c r="BC329" s="626">
        <f t="shared" si="390"/>
        <v>0</v>
      </c>
      <c r="BD329" s="626">
        <f t="shared" si="391"/>
        <v>0</v>
      </c>
      <c r="BE329" s="626">
        <f t="shared" si="392"/>
        <v>0</v>
      </c>
      <c r="BF329" s="625">
        <f t="array" ref="BF329">IFERROR(INDEX('TB-EQUIPMENT &amp; OTHER HPs'!$AF$138:$AF$175,MATCH($E329&amp;$F329,'TB-EQUIPMENT &amp; OTHER HPs'!$E$138:$E$175&amp;'TB-EQUIPMENT &amp; OTHER HPs'!$I$138:$I$175,0)),0)</f>
        <v>0</v>
      </c>
      <c r="BG329" s="626">
        <f t="shared" si="393"/>
        <v>0</v>
      </c>
      <c r="BH329" s="626">
        <f t="shared" si="394"/>
        <v>0</v>
      </c>
      <c r="BI329" s="626">
        <f t="shared" si="395"/>
        <v>0</v>
      </c>
      <c r="BJ329" s="630"/>
      <c r="BK329" s="625"/>
      <c r="BL329" s="625"/>
      <c r="BM329" s="625"/>
      <c r="BN329" s="625"/>
      <c r="BO329" s="625"/>
      <c r="BP329" s="625"/>
      <c r="BQ329" s="625"/>
      <c r="BR329" s="625"/>
    </row>
    <row r="330" spans="1:70">
      <c r="A330" s="29" t="s">
        <v>1758</v>
      </c>
      <c r="B330" s="29" t="s">
        <v>1838</v>
      </c>
      <c r="C330" s="619">
        <f>SETUP!$F$44</f>
        <v>0</v>
      </c>
      <c r="D330" s="25">
        <v>6.5</v>
      </c>
      <c r="E330" t="s">
        <v>1245</v>
      </c>
      <c r="F330" s="26" t="s">
        <v>218</v>
      </c>
      <c r="G330" s="625" t="str">
        <f t="array" ref="G330">IFERROR(INDEX('TB-EQUIPMENT &amp; OTHER HPs'!$L$138:$L$175,MATCH($E330&amp;$F330,'TB-EQUIPMENT &amp; OTHER HPs'!$E$138:$E$175&amp;'TB-EQUIPMENT &amp; OTHER HPs'!$I$138:$I$175,0)),"")</f>
        <v/>
      </c>
      <c r="H330" s="625" t="str">
        <f t="array" ref="H330">IFERROR(INDEX('TB-EQUIPMENT &amp; OTHER HPs'!$M$138:$M$175,MATCH($E330&amp;$F330,'TB-EQUIPMENT &amp; OTHER HPs'!$E$138:$E$175&amp;'TB-EQUIPMENT &amp; OTHER HPs'!$I$138:$I$175,0)),"")</f>
        <v/>
      </c>
      <c r="I330" s="625">
        <f t="array" ref="I330">IFERROR(INDEX('TB-EQUIPMENT &amp; OTHER HPs'!$N$138:$N$175,MATCH($E330&amp;$F330,'TB-EQUIPMENT &amp; OTHER HPs'!$E$138:$E$175&amp;'TB-EQUIPMENT &amp; OTHER HPs'!$I$138:$I$175,0)),0)</f>
        <v>0</v>
      </c>
      <c r="J330" s="625">
        <f t="array" ref="J330">IFERROR(INDEX('TB-EQUIPMENT &amp; OTHER HPs'!$O$138:$O$175,MATCH($E330&amp;$F330,'TB-EQUIPMENT &amp; OTHER HPs'!$E$138:$E$175&amp;'TB-EQUIPMENT &amp; OTHER HPs'!$I$138:$I$175,0)),0)</f>
        <v>0</v>
      </c>
      <c r="K330" s="626">
        <f t="shared" si="360"/>
        <v>0</v>
      </c>
      <c r="L330" s="626">
        <f t="shared" si="361"/>
        <v>0</v>
      </c>
      <c r="M330" s="626">
        <f t="shared" si="362"/>
        <v>0</v>
      </c>
      <c r="N330" s="625">
        <f t="array" ref="N330">IFERROR(INDEX('TB-EQUIPMENT &amp; OTHER HPs'!$P$138:$P$175,MATCH($E330&amp;$F330,'TB-EQUIPMENT &amp; OTHER HPs'!$E$138:$E$175&amp;'TB-EQUIPMENT &amp; OTHER HPs'!$I$138:$I$175,0)),0)</f>
        <v>0</v>
      </c>
      <c r="O330" s="626">
        <f t="shared" si="363"/>
        <v>0</v>
      </c>
      <c r="P330" s="626">
        <f t="shared" si="364"/>
        <v>0</v>
      </c>
      <c r="Q330" s="626">
        <f t="shared" si="365"/>
        <v>0</v>
      </c>
      <c r="R330" s="625">
        <f t="array" ref="R330">IFERROR(INDEX('TB-EQUIPMENT &amp; OTHER HPs'!$Q$138:$Q$175,MATCH($E330&amp;$F330,'TB-EQUIPMENT &amp; OTHER HPs'!$E$138:$E$175&amp;'TB-EQUIPMENT &amp; OTHER HPs'!$I$138:$I$175,0)),0)</f>
        <v>0</v>
      </c>
      <c r="S330" s="626">
        <f t="shared" si="366"/>
        <v>0</v>
      </c>
      <c r="T330" s="626">
        <f t="shared" si="367"/>
        <v>0</v>
      </c>
      <c r="U330" s="626">
        <f t="shared" si="368"/>
        <v>0</v>
      </c>
      <c r="V330" s="625">
        <f t="array" ref="V330">IFERROR(INDEX('TB-EQUIPMENT &amp; OTHER HPs'!$R$138:$R$175,MATCH($E330&amp;$F330,'TB-EQUIPMENT &amp; OTHER HPs'!$E$138:$E$175&amp;'TB-EQUIPMENT &amp; OTHER HPs'!$I$138:$I$175,0)),0)</f>
        <v>0</v>
      </c>
      <c r="W330" s="626">
        <f t="shared" si="369"/>
        <v>0</v>
      </c>
      <c r="X330" s="626">
        <f t="shared" si="370"/>
        <v>0</v>
      </c>
      <c r="Y330" s="626">
        <f t="shared" si="371"/>
        <v>0</v>
      </c>
      <c r="AA330" s="625">
        <f t="array" ref="AA330">IFERROR(INDEX('TB-EQUIPMENT &amp; OTHER HPs'!$U$138:$U$175,MATCH($E330&amp;$F330,'TB-EQUIPMENT &amp; OTHER HPs'!$E$138:$E$175&amp;'TB-EQUIPMENT &amp; OTHER HPs'!$I$138:$I$175,0)),0)</f>
        <v>0</v>
      </c>
      <c r="AB330" s="625">
        <f t="array" ref="AB330">IFERROR(INDEX('TB-EQUIPMENT &amp; OTHER HPs'!$V$138:$V$175,MATCH($E330&amp;$F330,'TB-EQUIPMENT &amp; OTHER HPs'!$E$138:$E$175&amp;'TB-EQUIPMENT &amp; OTHER HPs'!$I$138:$I$175,0)),0)</f>
        <v>0</v>
      </c>
      <c r="AC330" s="626">
        <f t="shared" si="372"/>
        <v>0</v>
      </c>
      <c r="AD330" s="626">
        <f t="shared" si="373"/>
        <v>0</v>
      </c>
      <c r="AE330" s="626">
        <f t="shared" si="374"/>
        <v>0</v>
      </c>
      <c r="AF330" s="625">
        <f t="array" ref="AF330">IFERROR(INDEX('TB-EQUIPMENT &amp; OTHER HPs'!$W$138:$W$175,MATCH($E330&amp;$F330,'TB-EQUIPMENT &amp; OTHER HPs'!$E$138:$E$175&amp;'TB-EQUIPMENT &amp; OTHER HPs'!$I$138:$I$175,0)),0)</f>
        <v>0</v>
      </c>
      <c r="AG330" s="626">
        <f t="shared" si="375"/>
        <v>0</v>
      </c>
      <c r="AH330" s="626">
        <f t="shared" si="376"/>
        <v>0</v>
      </c>
      <c r="AI330" s="626">
        <f t="shared" si="377"/>
        <v>0</v>
      </c>
      <c r="AJ330" s="625">
        <f t="array" ref="AJ330">IFERROR(INDEX('TB-EQUIPMENT &amp; OTHER HPs'!$X$138:$X$175,MATCH($E330&amp;$F330,'TB-EQUIPMENT &amp; OTHER HPs'!$E$138:$E$175&amp;'TB-EQUIPMENT &amp; OTHER HPs'!$I$138:$I$175,0)),0)</f>
        <v>0</v>
      </c>
      <c r="AK330" s="626">
        <f t="shared" si="378"/>
        <v>0</v>
      </c>
      <c r="AL330" s="626">
        <f t="shared" si="379"/>
        <v>0</v>
      </c>
      <c r="AM330" s="626">
        <f t="shared" si="380"/>
        <v>0</v>
      </c>
      <c r="AN330" s="625">
        <f t="array" ref="AN330">IFERROR(INDEX('TB-EQUIPMENT &amp; OTHER HPs'!$Y$138:$Y$175,MATCH($E330&amp;$F330,'TB-EQUIPMENT &amp; OTHER HPs'!$E$138:$E$175&amp;'TB-EQUIPMENT &amp; OTHER HPs'!$I$138:$I$175,0)),0)</f>
        <v>0</v>
      </c>
      <c r="AO330" s="626">
        <f t="shared" si="381"/>
        <v>0</v>
      </c>
      <c r="AP330" s="626">
        <f t="shared" si="382"/>
        <v>0</v>
      </c>
      <c r="AQ330" s="626">
        <f t="shared" si="383"/>
        <v>0</v>
      </c>
      <c r="AR330" s="630"/>
      <c r="AS330" s="625">
        <f t="array" ref="AS330">IFERROR(INDEX('TB-EQUIPMENT &amp; OTHER HPs'!$AB$138:$AB$175,MATCH($E330&amp;$F330,'TB-EQUIPMENT &amp; OTHER HPs'!$E$138:$E$175&amp;'TB-EQUIPMENT &amp; OTHER HPs'!$I$138:$I$175,0)),0)</f>
        <v>0</v>
      </c>
      <c r="AT330" s="625">
        <f t="array" ref="AT330">IFERROR(INDEX('TB-EQUIPMENT &amp; OTHER HPs'!$AC$138:$AC$175,MATCH($E330&amp;$F330,'TB-EQUIPMENT &amp; OTHER HPs'!$E$138:$E$175&amp;'TB-EQUIPMENT &amp; OTHER HPs'!$I$138:$I$175,0)),0)</f>
        <v>0</v>
      </c>
      <c r="AU330" s="626">
        <f t="shared" si="384"/>
        <v>0</v>
      </c>
      <c r="AV330" s="626">
        <f t="shared" si="385"/>
        <v>0</v>
      </c>
      <c r="AW330" s="626">
        <f t="shared" si="386"/>
        <v>0</v>
      </c>
      <c r="AX330" s="625">
        <f t="array" ref="AX330">IFERROR(INDEX('TB-EQUIPMENT &amp; OTHER HPs'!$AD$138:$AD$175,MATCH($E330&amp;$F330,'TB-EQUIPMENT &amp; OTHER HPs'!$E$138:$E$175&amp;'TB-EQUIPMENT &amp; OTHER HPs'!$I$138:$I$175,0)),0)</f>
        <v>0</v>
      </c>
      <c r="AY330" s="626">
        <f t="shared" si="387"/>
        <v>0</v>
      </c>
      <c r="AZ330" s="626">
        <f t="shared" si="388"/>
        <v>0</v>
      </c>
      <c r="BA330" s="626">
        <f t="shared" si="389"/>
        <v>0</v>
      </c>
      <c r="BB330" s="625">
        <f t="array" ref="BB330">IFERROR(INDEX('TB-EQUIPMENT &amp; OTHER HPs'!$AE$138:$AE$175,MATCH($E330&amp;$F330,'TB-EQUIPMENT &amp; OTHER HPs'!$E$138:$E$175&amp;'TB-EQUIPMENT &amp; OTHER HPs'!$I$138:$I$175,0)),0)</f>
        <v>0</v>
      </c>
      <c r="BC330" s="626">
        <f t="shared" si="390"/>
        <v>0</v>
      </c>
      <c r="BD330" s="626">
        <f t="shared" si="391"/>
        <v>0</v>
      </c>
      <c r="BE330" s="626">
        <f t="shared" si="392"/>
        <v>0</v>
      </c>
      <c r="BF330" s="625">
        <f t="array" ref="BF330">IFERROR(INDEX('TB-EQUIPMENT &amp; OTHER HPs'!$AF$138:$AF$175,MATCH($E330&amp;$F330,'TB-EQUIPMENT &amp; OTHER HPs'!$E$138:$E$175&amp;'TB-EQUIPMENT &amp; OTHER HPs'!$I$138:$I$175,0)),0)</f>
        <v>0</v>
      </c>
      <c r="BG330" s="626">
        <f t="shared" si="393"/>
        <v>0</v>
      </c>
      <c r="BH330" s="626">
        <f t="shared" si="394"/>
        <v>0</v>
      </c>
      <c r="BI330" s="626">
        <f t="shared" si="395"/>
        <v>0</v>
      </c>
      <c r="BJ330" s="630"/>
      <c r="BK330" s="625"/>
      <c r="BL330" s="625"/>
      <c r="BM330" s="625"/>
      <c r="BN330" s="625"/>
      <c r="BO330" s="625"/>
      <c r="BP330" s="625"/>
      <c r="BQ330" s="625"/>
      <c r="BR330" s="625"/>
    </row>
    <row r="331" spans="1:70">
      <c r="A331" s="29" t="s">
        <v>1758</v>
      </c>
      <c r="B331" s="29" t="s">
        <v>1838</v>
      </c>
      <c r="C331" s="619">
        <f>SETUP!$F$44</f>
        <v>0</v>
      </c>
      <c r="D331" s="25">
        <v>6.6</v>
      </c>
      <c r="E331" s="26" t="s">
        <v>1221</v>
      </c>
      <c r="F331" s="26" t="s">
        <v>201</v>
      </c>
      <c r="G331" s="625" t="str">
        <f t="array" ref="G331">IFERROR(INDEX('TB-EQUIPMENT &amp; OTHER HPs'!$L$138:$L$175,MATCH($E331&amp;$F331,'TB-EQUIPMENT &amp; OTHER HPs'!$E$138:$E$175&amp;'TB-EQUIPMENT &amp; OTHER HPs'!$I$138:$I$175,0)),"")</f>
        <v/>
      </c>
      <c r="H331" s="625" t="str">
        <f t="array" ref="H331">IFERROR(INDEX('TB-EQUIPMENT &amp; OTHER HPs'!$M$138:$M$175,MATCH($E331&amp;$F331,'TB-EQUIPMENT &amp; OTHER HPs'!$E$138:$E$175&amp;'TB-EQUIPMENT &amp; OTHER HPs'!$I$138:$I$175,0)),"")</f>
        <v/>
      </c>
      <c r="I331" s="625">
        <f t="array" ref="I331">IFERROR(INDEX('TB-EQUIPMENT &amp; OTHER HPs'!$N$138:$N$175,MATCH($E331&amp;$F331,'TB-EQUIPMENT &amp; OTHER HPs'!$E$138:$E$175&amp;'TB-EQUIPMENT &amp; OTHER HPs'!$I$138:$I$175,0)),0)</f>
        <v>0</v>
      </c>
      <c r="J331" s="625">
        <f t="array" ref="J331">IFERROR(INDEX('TB-EQUIPMENT &amp; OTHER HPs'!$O$138:$O$175,MATCH($E331&amp;$F331,'TB-EQUIPMENT &amp; OTHER HPs'!$E$138:$E$175&amp;'TB-EQUIPMENT &amp; OTHER HPs'!$I$138:$I$175,0)),0)</f>
        <v>0</v>
      </c>
      <c r="K331" s="626">
        <f>IF(ISERROR($I331*J331),0,$I331*J331)</f>
        <v>0</v>
      </c>
      <c r="L331" s="626">
        <f>IF(C331="Upfront",J331,0)</f>
        <v>0</v>
      </c>
      <c r="M331" s="626">
        <f>IF(C331="Upfront",K331,0)</f>
        <v>0</v>
      </c>
      <c r="N331" s="625">
        <f t="array" ref="N331">IFERROR(INDEX('TB-EQUIPMENT &amp; OTHER HPs'!$P$138:$P$175,MATCH($E331&amp;$F331,'TB-EQUIPMENT &amp; OTHER HPs'!$E$138:$E$175&amp;'TB-EQUIPMENT &amp; OTHER HPs'!$I$138:$I$175,0)),0)</f>
        <v>0</v>
      </c>
      <c r="O331" s="626">
        <f>IF(ISERROR($I331*N331),0,$I331*N331)</f>
        <v>0</v>
      </c>
      <c r="P331" s="626">
        <f>IF(C331="Upfront",N331,0)</f>
        <v>0</v>
      </c>
      <c r="Q331" s="626">
        <f>IF(C331="Upfront",O331,0)</f>
        <v>0</v>
      </c>
      <c r="R331" s="625">
        <f t="array" ref="R331">IFERROR(INDEX('TB-EQUIPMENT &amp; OTHER HPs'!$Q$138:$Q$175,MATCH($E331&amp;$F331,'TB-EQUIPMENT &amp; OTHER HPs'!$E$138:$E$175&amp;'TB-EQUIPMENT &amp; OTHER HPs'!$I$138:$I$175,0)),0)</f>
        <v>0</v>
      </c>
      <c r="S331" s="626">
        <f>IF(ISERROR($I331*R331),0,$I331*R331)</f>
        <v>0</v>
      </c>
      <c r="T331" s="626">
        <f>IF(C331="Upfront",R331,IF(C331="At delivery",J331,0))</f>
        <v>0</v>
      </c>
      <c r="U331" s="626">
        <f>IF(C331="Upfront",S331,IF(C331="At delivery",K331,0))</f>
        <v>0</v>
      </c>
      <c r="V331" s="625">
        <f t="array" ref="V331">IFERROR(INDEX('TB-EQUIPMENT &amp; OTHER HPs'!$R$138:$R$175,MATCH($E331&amp;$F331,'TB-EQUIPMENT &amp; OTHER HPs'!$E$138:$E$175&amp;'TB-EQUIPMENT &amp; OTHER HPs'!$I$138:$I$175,0)),0)</f>
        <v>0</v>
      </c>
      <c r="W331" s="626">
        <f>IF(ISERROR($I331*V331),0,$I331*V331)</f>
        <v>0</v>
      </c>
      <c r="X331" s="626">
        <f>IF(C331="Upfront",V331,IF(C331="At delivery",N331,0))</f>
        <v>0</v>
      </c>
      <c r="Y331" s="626">
        <f>IF(C331="Upfront",W331,IF(C331="At delivery",O331,0))</f>
        <v>0</v>
      </c>
      <c r="AA331" s="625">
        <f t="array" ref="AA331">IFERROR(INDEX('TB-EQUIPMENT &amp; OTHER HPs'!$U$138:$U$175,MATCH($E331&amp;$F331,'TB-EQUIPMENT &amp; OTHER HPs'!$E$138:$E$175&amp;'TB-EQUIPMENT &amp; OTHER HPs'!$I$138:$I$175,0)),0)</f>
        <v>0</v>
      </c>
      <c r="AB331" s="625">
        <f t="array" ref="AB331">IFERROR(INDEX('TB-EQUIPMENT &amp; OTHER HPs'!$V$138:$V$175,MATCH($E331&amp;$F331,'TB-EQUIPMENT &amp; OTHER HPs'!$E$138:$E$175&amp;'TB-EQUIPMENT &amp; OTHER HPs'!$I$138:$I$175,0)),0)</f>
        <v>0</v>
      </c>
      <c r="AC331" s="626">
        <f>IF(ISERROR($AA331*AB331),0,$AA331*AB331)</f>
        <v>0</v>
      </c>
      <c r="AD331" s="626">
        <f>IF(C331="Upfront",AB331,IF(C331="At delivery",R331,0))</f>
        <v>0</v>
      </c>
      <c r="AE331" s="626">
        <f>IF(C331="Upfront",AC331,IF(C331="At delivery",S331,0))</f>
        <v>0</v>
      </c>
      <c r="AF331" s="625">
        <f t="array" ref="AF331">IFERROR(INDEX('TB-EQUIPMENT &amp; OTHER HPs'!$W$138:$W$175,MATCH($E331&amp;$F331,'TB-EQUIPMENT &amp; OTHER HPs'!$E$138:$E$175&amp;'TB-EQUIPMENT &amp; OTHER HPs'!$I$138:$I$175,0)),0)</f>
        <v>0</v>
      </c>
      <c r="AG331" s="626">
        <f>IF(ISERROR($AA331*AF331),0,$AA331*AF331)</f>
        <v>0</v>
      </c>
      <c r="AH331" s="626">
        <f>IF(C331="Upfront",AF331,IF(C331="At delivery",V331,0))</f>
        <v>0</v>
      </c>
      <c r="AI331" s="626">
        <f>IF(C331="Upfront",AG331,IF(C331="At delivery",W331,0))</f>
        <v>0</v>
      </c>
      <c r="AJ331" s="625">
        <f t="array" ref="AJ331">IFERROR(INDEX('TB-EQUIPMENT &amp; OTHER HPs'!$X$138:$X$175,MATCH($E331&amp;$F331,'TB-EQUIPMENT &amp; OTHER HPs'!$E$138:$E$175&amp;'TB-EQUIPMENT &amp; OTHER HPs'!$I$138:$I$175,0)),0)</f>
        <v>0</v>
      </c>
      <c r="AK331" s="626">
        <f>IF(ISERROR($AA331*AJ331),0,$AA331*AJ331)</f>
        <v>0</v>
      </c>
      <c r="AL331" s="626">
        <f>IF(C331="Upfront",AJ331,IF(C331="At delivery",AB331,0))</f>
        <v>0</v>
      </c>
      <c r="AM331" s="626">
        <f>IF(C331="Upfront",AK331,IF(C331="At delivery",AC331,0))</f>
        <v>0</v>
      </c>
      <c r="AN331" s="625">
        <f t="array" ref="AN331">IFERROR(INDEX('TB-EQUIPMENT &amp; OTHER HPs'!$Y$138:$Y$175,MATCH($E331&amp;$F331,'TB-EQUIPMENT &amp; OTHER HPs'!$E$138:$E$175&amp;'TB-EQUIPMENT &amp; OTHER HPs'!$I$138:$I$175,0)),0)</f>
        <v>0</v>
      </c>
      <c r="AO331" s="626">
        <f>IF(ISERROR($AA331*AN331),0,$AA331*AN331)</f>
        <v>0</v>
      </c>
      <c r="AP331" s="626">
        <f>IF(C331="Upfront",AN331,IF(C331="At delivery",AF331,0))</f>
        <v>0</v>
      </c>
      <c r="AQ331" s="626">
        <f>IF(C331="Upfront",AO331,IF(C331="At delivery",AG331,0))</f>
        <v>0</v>
      </c>
      <c r="AR331" s="630"/>
      <c r="AS331" s="625">
        <f t="array" ref="AS331">IFERROR(INDEX('TB-EQUIPMENT &amp; OTHER HPs'!$AB$138:$AB$175,MATCH($E331&amp;$F331,'TB-EQUIPMENT &amp; OTHER HPs'!$E$138:$E$175&amp;'TB-EQUIPMENT &amp; OTHER HPs'!$I$138:$I$175,0)),0)</f>
        <v>0</v>
      </c>
      <c r="AT331" s="625">
        <f t="array" ref="AT331">IFERROR(INDEX('TB-EQUIPMENT &amp; OTHER HPs'!$AC$138:$AC$175,MATCH($E331&amp;$F331,'TB-EQUIPMENT &amp; OTHER HPs'!$E$138:$E$175&amp;'TB-EQUIPMENT &amp; OTHER HPs'!$I$138:$I$175,0)),0)</f>
        <v>0</v>
      </c>
      <c r="AU331" s="626">
        <f>IF(ISERROR($AS331*AT331),0,$AS331*AT331)</f>
        <v>0</v>
      </c>
      <c r="AV331" s="626">
        <f>IF(C331="Upfront",AT331,IF(C331="At delivery",AJ331,0))</f>
        <v>0</v>
      </c>
      <c r="AW331" s="626">
        <f>IF(C331="Upfront",AU331,IF(C331="At delivery",AK331,0))</f>
        <v>0</v>
      </c>
      <c r="AX331" s="625">
        <f t="array" ref="AX331">IFERROR(INDEX('TB-EQUIPMENT &amp; OTHER HPs'!$AD$138:$AD$175,MATCH($E331&amp;$F331,'TB-EQUIPMENT &amp; OTHER HPs'!$E$138:$E$175&amp;'TB-EQUIPMENT &amp; OTHER HPs'!$I$138:$I$175,0)),0)</f>
        <v>0</v>
      </c>
      <c r="AY331" s="626">
        <f>IF(ISERROR($AS331*AX331),0,$AS331*AX331)</f>
        <v>0</v>
      </c>
      <c r="AZ331" s="626">
        <f>IF(C331="Upfront",AX331,IF(C331="At delivery",AN331,0))</f>
        <v>0</v>
      </c>
      <c r="BA331" s="626">
        <f>IF(C331="Upfront",AY331,IF(C331="At delivery",AO331,0))</f>
        <v>0</v>
      </c>
      <c r="BB331" s="625">
        <f t="array" ref="BB331">IFERROR(INDEX('TB-EQUIPMENT &amp; OTHER HPs'!$AE$138:$AE$175,MATCH($E331&amp;$F331,'TB-EQUIPMENT &amp; OTHER HPs'!$E$138:$E$175&amp;'TB-EQUIPMENT &amp; OTHER HPs'!$I$138:$I$175,0)),0)</f>
        <v>0</v>
      </c>
      <c r="BC331" s="626">
        <f>IF(ISERROR($AS331*BB331),0,$AS331*BB331)</f>
        <v>0</v>
      </c>
      <c r="BD331" s="626">
        <f>IF(C331="Upfront",BB331,IF(C331="At delivery",AT331,0))</f>
        <v>0</v>
      </c>
      <c r="BE331" s="626">
        <f>IF(C331="Upfront",BC331,IF(C331="At delivery",AU331,0))</f>
        <v>0</v>
      </c>
      <c r="BF331" s="625">
        <f t="array" ref="BF331">IFERROR(INDEX('TB-EQUIPMENT &amp; OTHER HPs'!$AF$138:$AF$175,MATCH($E331&amp;$F331,'TB-EQUIPMENT &amp; OTHER HPs'!$E$138:$E$175&amp;'TB-EQUIPMENT &amp; OTHER HPs'!$I$138:$I$175,0)),0)</f>
        <v>0</v>
      </c>
      <c r="BG331" s="626">
        <f>IF(ISERROR($AS331*BF331),0,$AS331*BF331)</f>
        <v>0</v>
      </c>
      <c r="BH331" s="626">
        <f>IF(C331="Upfront",BF331,IF(C331="At delivery",AX331,0))</f>
        <v>0</v>
      </c>
      <c r="BI331" s="626">
        <f>IF(C331="Upfront",BG331,IF(C331="At delivery",AY331,0))</f>
        <v>0</v>
      </c>
      <c r="BJ331" s="630"/>
      <c r="BK331" s="625"/>
      <c r="BL331" s="625"/>
      <c r="BM331" s="625"/>
      <c r="BN331" s="625"/>
      <c r="BO331" s="625"/>
      <c r="BP331" s="625"/>
      <c r="BQ331" s="625"/>
      <c r="BR331" s="625"/>
    </row>
    <row r="332" spans="1:70">
      <c r="A332" s="29" t="s">
        <v>1758</v>
      </c>
      <c r="B332" s="29" t="s">
        <v>1838</v>
      </c>
      <c r="C332" s="619">
        <f>SETUP!$F$44</f>
        <v>0</v>
      </c>
      <c r="D332" s="25">
        <v>6.6</v>
      </c>
      <c r="E332" s="26" t="s">
        <v>1221</v>
      </c>
      <c r="F332" s="26" t="s">
        <v>200</v>
      </c>
      <c r="G332" s="625" t="str">
        <f t="array" ref="G332">IFERROR(INDEX('TB-EQUIPMENT &amp; OTHER HPs'!$L$138:$L$175,MATCH($E332&amp;$F332,'TB-EQUIPMENT &amp; OTHER HPs'!$E$138:$E$175&amp;'TB-EQUIPMENT &amp; OTHER HPs'!$I$138:$I$175,0)),"")</f>
        <v/>
      </c>
      <c r="H332" s="625" t="str">
        <f t="array" ref="H332">IFERROR(INDEX('TB-EQUIPMENT &amp; OTHER HPs'!$M$138:$M$175,MATCH($E332&amp;$F332,'TB-EQUIPMENT &amp; OTHER HPs'!$E$138:$E$175&amp;'TB-EQUIPMENT &amp; OTHER HPs'!$I$138:$I$175,0)),"")</f>
        <v/>
      </c>
      <c r="I332" s="625">
        <f t="array" ref="I332">IFERROR(INDEX('TB-EQUIPMENT &amp; OTHER HPs'!$N$138:$N$175,MATCH($E332&amp;$F332,'TB-EQUIPMENT &amp; OTHER HPs'!$E$138:$E$175&amp;'TB-EQUIPMENT &amp; OTHER HPs'!$I$138:$I$175,0)),0)</f>
        <v>0</v>
      </c>
      <c r="J332" s="625">
        <f t="array" ref="J332">IFERROR(INDEX('TB-EQUIPMENT &amp; OTHER HPs'!$O$138:$O$175,MATCH($E332&amp;$F332,'TB-EQUIPMENT &amp; OTHER HPs'!$E$138:$E$175&amp;'TB-EQUIPMENT &amp; OTHER HPs'!$I$138:$I$175,0)),0)</f>
        <v>0</v>
      </c>
      <c r="K332" s="626">
        <f>IF(ISERROR($I332*J332),0,$I332*J332)</f>
        <v>0</v>
      </c>
      <c r="L332" s="626">
        <f>IF(C332="Upfront",J332,0)</f>
        <v>0</v>
      </c>
      <c r="M332" s="626">
        <f>IF(C332="Upfront",K332,0)</f>
        <v>0</v>
      </c>
      <c r="N332" s="625">
        <f t="array" ref="N332">IFERROR(INDEX('TB-EQUIPMENT &amp; OTHER HPs'!$P$138:$P$175,MATCH($E332&amp;$F332,'TB-EQUIPMENT &amp; OTHER HPs'!$E$138:$E$175&amp;'TB-EQUIPMENT &amp; OTHER HPs'!$I$138:$I$175,0)),0)</f>
        <v>0</v>
      </c>
      <c r="O332" s="626">
        <f>IF(ISERROR($I332*N332),0,$I332*N332)</f>
        <v>0</v>
      </c>
      <c r="P332" s="626">
        <f>IF(C332="Upfront",N332,0)</f>
        <v>0</v>
      </c>
      <c r="Q332" s="626">
        <f>IF(C332="Upfront",O332,0)</f>
        <v>0</v>
      </c>
      <c r="R332" s="625">
        <f t="array" ref="R332">IFERROR(INDEX('TB-EQUIPMENT &amp; OTHER HPs'!$Q$138:$Q$175,MATCH($E332&amp;$F332,'TB-EQUIPMENT &amp; OTHER HPs'!$E$138:$E$175&amp;'TB-EQUIPMENT &amp; OTHER HPs'!$I$138:$I$175,0)),0)</f>
        <v>0</v>
      </c>
      <c r="S332" s="626">
        <f>IF(ISERROR($I332*R332),0,$I332*R332)</f>
        <v>0</v>
      </c>
      <c r="T332" s="626">
        <f>IF(C332="Upfront",R332,IF(C332="At delivery",J332,0))</f>
        <v>0</v>
      </c>
      <c r="U332" s="626">
        <f>IF(C332="Upfront",S332,IF(C332="At delivery",K332,0))</f>
        <v>0</v>
      </c>
      <c r="V332" s="625">
        <f t="array" ref="V332">IFERROR(INDEX('TB-EQUIPMENT &amp; OTHER HPs'!$R$138:$R$175,MATCH($E332&amp;$F332,'TB-EQUIPMENT &amp; OTHER HPs'!$E$138:$E$175&amp;'TB-EQUIPMENT &amp; OTHER HPs'!$I$138:$I$175,0)),0)</f>
        <v>0</v>
      </c>
      <c r="W332" s="626">
        <f>IF(ISERROR($I332*V332),0,$I332*V332)</f>
        <v>0</v>
      </c>
      <c r="X332" s="626">
        <f>IF(C332="Upfront",V332,IF(C332="At delivery",N332,0))</f>
        <v>0</v>
      </c>
      <c r="Y332" s="626">
        <f>IF(C332="Upfront",W332,IF(C332="At delivery",O332,0))</f>
        <v>0</v>
      </c>
      <c r="AA332" s="625">
        <f t="array" ref="AA332">IFERROR(INDEX('TB-EQUIPMENT &amp; OTHER HPs'!$U$138:$U$175,MATCH($E332&amp;$F332,'TB-EQUIPMENT &amp; OTHER HPs'!$E$138:$E$175&amp;'TB-EQUIPMENT &amp; OTHER HPs'!$I$138:$I$175,0)),0)</f>
        <v>0</v>
      </c>
      <c r="AB332" s="625">
        <f t="array" ref="AB332">IFERROR(INDEX('TB-EQUIPMENT &amp; OTHER HPs'!$V$138:$V$175,MATCH($E332&amp;$F332,'TB-EQUIPMENT &amp; OTHER HPs'!$E$138:$E$175&amp;'TB-EQUIPMENT &amp; OTHER HPs'!$I$138:$I$175,0)),0)</f>
        <v>0</v>
      </c>
      <c r="AC332" s="626">
        <f>IF(ISERROR($AA332*AB332),0,$AA332*AB332)</f>
        <v>0</v>
      </c>
      <c r="AD332" s="626">
        <f>IF(C332="Upfront",AB332,IF(C332="At delivery",R332,0))</f>
        <v>0</v>
      </c>
      <c r="AE332" s="626">
        <f>IF(C332="Upfront",AC332,IF(C332="At delivery",S332,0))</f>
        <v>0</v>
      </c>
      <c r="AF332" s="625">
        <f t="array" ref="AF332">IFERROR(INDEX('TB-EQUIPMENT &amp; OTHER HPs'!$W$138:$W$175,MATCH($E332&amp;$F332,'TB-EQUIPMENT &amp; OTHER HPs'!$E$138:$E$175&amp;'TB-EQUIPMENT &amp; OTHER HPs'!$I$138:$I$175,0)),0)</f>
        <v>0</v>
      </c>
      <c r="AG332" s="626">
        <f>IF(ISERROR($AA332*AF332),0,$AA332*AF332)</f>
        <v>0</v>
      </c>
      <c r="AH332" s="626">
        <f>IF(C332="Upfront",AF332,IF(C332="At delivery",V332,0))</f>
        <v>0</v>
      </c>
      <c r="AI332" s="626">
        <f>IF(C332="Upfront",AG332,IF(C332="At delivery",W332,0))</f>
        <v>0</v>
      </c>
      <c r="AJ332" s="625">
        <f t="array" ref="AJ332">IFERROR(INDEX('TB-EQUIPMENT &amp; OTHER HPs'!$X$138:$X$175,MATCH($E332&amp;$F332,'TB-EQUIPMENT &amp; OTHER HPs'!$E$138:$E$175&amp;'TB-EQUIPMENT &amp; OTHER HPs'!$I$138:$I$175,0)),0)</f>
        <v>0</v>
      </c>
      <c r="AK332" s="626">
        <f>IF(ISERROR($AA332*AJ332),0,$AA332*AJ332)</f>
        <v>0</v>
      </c>
      <c r="AL332" s="626">
        <f>IF(C332="Upfront",AJ332,IF(C332="At delivery",AB332,0))</f>
        <v>0</v>
      </c>
      <c r="AM332" s="626">
        <f>IF(C332="Upfront",AK332,IF(C332="At delivery",AC332,0))</f>
        <v>0</v>
      </c>
      <c r="AN332" s="625">
        <f t="array" ref="AN332">IFERROR(INDEX('TB-EQUIPMENT &amp; OTHER HPs'!$Y$138:$Y$175,MATCH($E332&amp;$F332,'TB-EQUIPMENT &amp; OTHER HPs'!$E$138:$E$175&amp;'TB-EQUIPMENT &amp; OTHER HPs'!$I$138:$I$175,0)),0)</f>
        <v>0</v>
      </c>
      <c r="AO332" s="626">
        <f>IF(ISERROR($AA332*AN332),0,$AA332*AN332)</f>
        <v>0</v>
      </c>
      <c r="AP332" s="626">
        <f>IF(C332="Upfront",AN332,IF(C332="At delivery",AF332,0))</f>
        <v>0</v>
      </c>
      <c r="AQ332" s="626">
        <f>IF(C332="Upfront",AO332,IF(C332="At delivery",AG332,0))</f>
        <v>0</v>
      </c>
      <c r="AR332" s="630"/>
      <c r="AS332" s="625">
        <f t="array" ref="AS332">IFERROR(INDEX('TB-EQUIPMENT &amp; OTHER HPs'!$AB$138:$AB$175,MATCH($E332&amp;$F332,'TB-EQUIPMENT &amp; OTHER HPs'!$E$138:$E$175&amp;'TB-EQUIPMENT &amp; OTHER HPs'!$I$138:$I$175,0)),0)</f>
        <v>0</v>
      </c>
      <c r="AT332" s="625">
        <f t="array" ref="AT332">IFERROR(INDEX('TB-EQUIPMENT &amp; OTHER HPs'!$AC$138:$AC$175,MATCH($E332&amp;$F332,'TB-EQUIPMENT &amp; OTHER HPs'!$E$138:$E$175&amp;'TB-EQUIPMENT &amp; OTHER HPs'!$I$138:$I$175,0)),0)</f>
        <v>0</v>
      </c>
      <c r="AU332" s="626">
        <f>IF(ISERROR($AS332*AT332),0,$AS332*AT332)</f>
        <v>0</v>
      </c>
      <c r="AV332" s="626">
        <f>IF(C332="Upfront",AT332,IF(C332="At delivery",AJ332,0))</f>
        <v>0</v>
      </c>
      <c r="AW332" s="626">
        <f>IF(C332="Upfront",AU332,IF(C332="At delivery",AK332,0))</f>
        <v>0</v>
      </c>
      <c r="AX332" s="625">
        <f t="array" ref="AX332">IFERROR(INDEX('TB-EQUIPMENT &amp; OTHER HPs'!$AD$138:$AD$175,MATCH($E332&amp;$F332,'TB-EQUIPMENT &amp; OTHER HPs'!$E$138:$E$175&amp;'TB-EQUIPMENT &amp; OTHER HPs'!$I$138:$I$175,0)),0)</f>
        <v>0</v>
      </c>
      <c r="AY332" s="626">
        <f>IF(ISERROR($AS332*AX332),0,$AS332*AX332)</f>
        <v>0</v>
      </c>
      <c r="AZ332" s="626">
        <f>IF(C332="Upfront",AX332,IF(C332="At delivery",AN332,0))</f>
        <v>0</v>
      </c>
      <c r="BA332" s="626">
        <f>IF(C332="Upfront",AY332,IF(C332="At delivery",AO332,0))</f>
        <v>0</v>
      </c>
      <c r="BB332" s="625">
        <f t="array" ref="BB332">IFERROR(INDEX('TB-EQUIPMENT &amp; OTHER HPs'!$AE$138:$AE$175,MATCH($E332&amp;$F332,'TB-EQUIPMENT &amp; OTHER HPs'!$E$138:$E$175&amp;'TB-EQUIPMENT &amp; OTHER HPs'!$I$138:$I$175,0)),0)</f>
        <v>0</v>
      </c>
      <c r="BC332" s="626">
        <f>IF(ISERROR($AS332*BB332),0,$AS332*BB332)</f>
        <v>0</v>
      </c>
      <c r="BD332" s="626">
        <f>IF(C332="Upfront",BB332,IF(C332="At delivery",AT332,0))</f>
        <v>0</v>
      </c>
      <c r="BE332" s="626">
        <f>IF(C332="Upfront",BC332,IF(C332="At delivery",AU332,0))</f>
        <v>0</v>
      </c>
      <c r="BF332" s="625">
        <f t="array" ref="BF332">IFERROR(INDEX('TB-EQUIPMENT &amp; OTHER HPs'!$AF$138:$AF$175,MATCH($E332&amp;$F332,'TB-EQUIPMENT &amp; OTHER HPs'!$E$138:$E$175&amp;'TB-EQUIPMENT &amp; OTHER HPs'!$I$138:$I$175,0)),0)</f>
        <v>0</v>
      </c>
      <c r="BG332" s="626">
        <f>IF(ISERROR($AS332*BF332),0,$AS332*BF332)</f>
        <v>0</v>
      </c>
      <c r="BH332" s="626">
        <f>IF(C332="Upfront",BF332,IF(C332="At delivery",AX332,0))</f>
        <v>0</v>
      </c>
      <c r="BI332" s="626">
        <f>IF(C332="Upfront",BG332,IF(C332="At delivery",AY332,0))</f>
        <v>0</v>
      </c>
      <c r="BJ332" s="630"/>
      <c r="BK332" s="625"/>
      <c r="BL332" s="625"/>
      <c r="BM332" s="625"/>
      <c r="BN332" s="625"/>
      <c r="BO332" s="625"/>
      <c r="BP332" s="625"/>
      <c r="BQ332" s="625"/>
      <c r="BR332" s="625"/>
    </row>
    <row r="333" spans="1:70">
      <c r="A333" s="29" t="s">
        <v>1758</v>
      </c>
      <c r="B333" s="29" t="s">
        <v>1838</v>
      </c>
      <c r="C333" s="619">
        <f>SETUP!$F$44</f>
        <v>0</v>
      </c>
      <c r="D333" s="25">
        <v>6.5</v>
      </c>
      <c r="E333" s="26" t="s">
        <v>1493</v>
      </c>
      <c r="F333" s="26" t="s">
        <v>218</v>
      </c>
      <c r="G333" s="625" t="str">
        <f t="array" ref="G333">IFERROR(INDEX('TB-EQUIPMENT &amp; OTHER HPs'!$L$138:$L$175,MATCH($E333&amp;$F333,'TB-EQUIPMENT &amp; OTHER HPs'!$E$138:$E$175&amp;'TB-EQUIPMENT &amp; OTHER HPs'!$I$138:$I$175,0)),"")</f>
        <v/>
      </c>
      <c r="H333" s="625" t="str">
        <f t="array" ref="H333">IFERROR(INDEX('TB-EQUIPMENT &amp; OTHER HPs'!$M$138:$M$175,MATCH($E333&amp;$F333,'TB-EQUIPMENT &amp; OTHER HPs'!$E$138:$E$175&amp;'TB-EQUIPMENT &amp; OTHER HPs'!$I$138:$I$175,0)),"")</f>
        <v/>
      </c>
      <c r="I333" s="625">
        <f t="array" ref="I333">IFERROR(INDEX('TB-EQUIPMENT &amp; OTHER HPs'!$N$138:$N$175,MATCH($E333&amp;$F333,'TB-EQUIPMENT &amp; OTHER HPs'!$E$138:$E$175&amp;'TB-EQUIPMENT &amp; OTHER HPs'!$I$138:$I$175,0)),0)</f>
        <v>0</v>
      </c>
      <c r="J333" s="625">
        <f t="array" ref="J333">IFERROR(INDEX('TB-EQUIPMENT &amp; OTHER HPs'!$O$138:$O$175,MATCH($E333&amp;$F333,'TB-EQUIPMENT &amp; OTHER HPs'!$E$138:$E$175&amp;'TB-EQUIPMENT &amp; OTHER HPs'!$I$138:$I$175,0)),0)</f>
        <v>0</v>
      </c>
      <c r="K333" s="626">
        <f t="shared" si="360"/>
        <v>0</v>
      </c>
      <c r="L333" s="626">
        <f t="shared" si="361"/>
        <v>0</v>
      </c>
      <c r="M333" s="626">
        <f t="shared" si="362"/>
        <v>0</v>
      </c>
      <c r="N333" s="625">
        <f t="array" ref="N333">IFERROR(INDEX('TB-EQUIPMENT &amp; OTHER HPs'!$P$138:$P$175,MATCH($E333&amp;$F333,'TB-EQUIPMENT &amp; OTHER HPs'!$E$138:$E$175&amp;'TB-EQUIPMENT &amp; OTHER HPs'!$I$138:$I$175,0)),0)</f>
        <v>0</v>
      </c>
      <c r="O333" s="626">
        <f t="shared" si="363"/>
        <v>0</v>
      </c>
      <c r="P333" s="626">
        <f t="shared" si="364"/>
        <v>0</v>
      </c>
      <c r="Q333" s="626">
        <f t="shared" si="365"/>
        <v>0</v>
      </c>
      <c r="R333" s="625">
        <f t="array" ref="R333">IFERROR(INDEX('TB-EQUIPMENT &amp; OTHER HPs'!$Q$138:$Q$175,MATCH($E333&amp;$F333,'TB-EQUIPMENT &amp; OTHER HPs'!$E$138:$E$175&amp;'TB-EQUIPMENT &amp; OTHER HPs'!$I$138:$I$175,0)),0)</f>
        <v>0</v>
      </c>
      <c r="S333" s="626">
        <f t="shared" si="366"/>
        <v>0</v>
      </c>
      <c r="T333" s="626">
        <f t="shared" si="367"/>
        <v>0</v>
      </c>
      <c r="U333" s="626">
        <f t="shared" si="368"/>
        <v>0</v>
      </c>
      <c r="V333" s="625">
        <f t="array" ref="V333">IFERROR(INDEX('TB-EQUIPMENT &amp; OTHER HPs'!$R$138:$R$175,MATCH($E333&amp;$F333,'TB-EQUIPMENT &amp; OTHER HPs'!$E$138:$E$175&amp;'TB-EQUIPMENT &amp; OTHER HPs'!$I$138:$I$175,0)),0)</f>
        <v>0</v>
      </c>
      <c r="W333" s="626">
        <f t="shared" si="369"/>
        <v>0</v>
      </c>
      <c r="X333" s="626">
        <f t="shared" si="370"/>
        <v>0</v>
      </c>
      <c r="Y333" s="626">
        <f t="shared" si="371"/>
        <v>0</v>
      </c>
      <c r="AA333" s="625">
        <f t="array" ref="AA333">IFERROR(INDEX('TB-EQUIPMENT &amp; OTHER HPs'!$U$138:$U$175,MATCH($E333&amp;$F333,'TB-EQUIPMENT &amp; OTHER HPs'!$E$138:$E$175&amp;'TB-EQUIPMENT &amp; OTHER HPs'!$I$138:$I$175,0)),0)</f>
        <v>0</v>
      </c>
      <c r="AB333" s="625">
        <f t="array" ref="AB333">IFERROR(INDEX('TB-EQUIPMENT &amp; OTHER HPs'!$V$138:$V$175,MATCH($E333&amp;$F333,'TB-EQUIPMENT &amp; OTHER HPs'!$E$138:$E$175&amp;'TB-EQUIPMENT &amp; OTHER HPs'!$I$138:$I$175,0)),0)</f>
        <v>0</v>
      </c>
      <c r="AC333" s="626">
        <f t="shared" si="372"/>
        <v>0</v>
      </c>
      <c r="AD333" s="626">
        <f t="shared" si="373"/>
        <v>0</v>
      </c>
      <c r="AE333" s="626">
        <f t="shared" si="374"/>
        <v>0</v>
      </c>
      <c r="AF333" s="625">
        <f t="array" ref="AF333">IFERROR(INDEX('TB-EQUIPMENT &amp; OTHER HPs'!$W$138:$W$175,MATCH($E333&amp;$F333,'TB-EQUIPMENT &amp; OTHER HPs'!$E$138:$E$175&amp;'TB-EQUIPMENT &amp; OTHER HPs'!$I$138:$I$175,0)),0)</f>
        <v>0</v>
      </c>
      <c r="AG333" s="626">
        <f t="shared" si="375"/>
        <v>0</v>
      </c>
      <c r="AH333" s="626">
        <f t="shared" si="376"/>
        <v>0</v>
      </c>
      <c r="AI333" s="626">
        <f t="shared" si="377"/>
        <v>0</v>
      </c>
      <c r="AJ333" s="625">
        <f t="array" ref="AJ333">IFERROR(INDEX('TB-EQUIPMENT &amp; OTHER HPs'!$X$138:$X$175,MATCH($E333&amp;$F333,'TB-EQUIPMENT &amp; OTHER HPs'!$E$138:$E$175&amp;'TB-EQUIPMENT &amp; OTHER HPs'!$I$138:$I$175,0)),0)</f>
        <v>0</v>
      </c>
      <c r="AK333" s="626">
        <f t="shared" si="378"/>
        <v>0</v>
      </c>
      <c r="AL333" s="626">
        <f t="shared" si="379"/>
        <v>0</v>
      </c>
      <c r="AM333" s="626">
        <f t="shared" si="380"/>
        <v>0</v>
      </c>
      <c r="AN333" s="625">
        <f t="array" ref="AN333">IFERROR(INDEX('TB-EQUIPMENT &amp; OTHER HPs'!$Y$138:$Y$175,MATCH($E333&amp;$F333,'TB-EQUIPMENT &amp; OTHER HPs'!$E$138:$E$175&amp;'TB-EQUIPMENT &amp; OTHER HPs'!$I$138:$I$175,0)),0)</f>
        <v>0</v>
      </c>
      <c r="AO333" s="626">
        <f t="shared" si="381"/>
        <v>0</v>
      </c>
      <c r="AP333" s="626">
        <f t="shared" si="382"/>
        <v>0</v>
      </c>
      <c r="AQ333" s="626">
        <f t="shared" si="383"/>
        <v>0</v>
      </c>
      <c r="AR333" s="630"/>
      <c r="AS333" s="625">
        <f t="array" ref="AS333">IFERROR(INDEX('TB-EQUIPMENT &amp; OTHER HPs'!$AB$138:$AB$175,MATCH($E333&amp;$F333,'TB-EQUIPMENT &amp; OTHER HPs'!$E$138:$E$175&amp;'TB-EQUIPMENT &amp; OTHER HPs'!$I$138:$I$175,0)),0)</f>
        <v>0</v>
      </c>
      <c r="AT333" s="625">
        <f t="array" ref="AT333">IFERROR(INDEX('TB-EQUIPMENT &amp; OTHER HPs'!$AC$138:$AC$175,MATCH($E333&amp;$F333,'TB-EQUIPMENT &amp; OTHER HPs'!$E$138:$E$175&amp;'TB-EQUIPMENT &amp; OTHER HPs'!$I$138:$I$175,0)),0)</f>
        <v>0</v>
      </c>
      <c r="AU333" s="626">
        <f t="shared" si="384"/>
        <v>0</v>
      </c>
      <c r="AV333" s="626">
        <f t="shared" si="385"/>
        <v>0</v>
      </c>
      <c r="AW333" s="626">
        <f t="shared" si="386"/>
        <v>0</v>
      </c>
      <c r="AX333" s="625">
        <f t="array" ref="AX333">IFERROR(INDEX('TB-EQUIPMENT &amp; OTHER HPs'!$AD$138:$AD$175,MATCH($E333&amp;$F333,'TB-EQUIPMENT &amp; OTHER HPs'!$E$138:$E$175&amp;'TB-EQUIPMENT &amp; OTHER HPs'!$I$138:$I$175,0)),0)</f>
        <v>0</v>
      </c>
      <c r="AY333" s="626">
        <f t="shared" si="387"/>
        <v>0</v>
      </c>
      <c r="AZ333" s="626">
        <f t="shared" si="388"/>
        <v>0</v>
      </c>
      <c r="BA333" s="626">
        <f t="shared" si="389"/>
        <v>0</v>
      </c>
      <c r="BB333" s="625">
        <f t="array" ref="BB333">IFERROR(INDEX('TB-EQUIPMENT &amp; OTHER HPs'!$AE$138:$AE$175,MATCH($E333&amp;$F333,'TB-EQUIPMENT &amp; OTHER HPs'!$E$138:$E$175&amp;'TB-EQUIPMENT &amp; OTHER HPs'!$I$138:$I$175,0)),0)</f>
        <v>0</v>
      </c>
      <c r="BC333" s="626">
        <f t="shared" si="390"/>
        <v>0</v>
      </c>
      <c r="BD333" s="626">
        <f t="shared" si="391"/>
        <v>0</v>
      </c>
      <c r="BE333" s="626">
        <f t="shared" si="392"/>
        <v>0</v>
      </c>
      <c r="BF333" s="625">
        <f t="array" ref="BF333">IFERROR(INDEX('TB-EQUIPMENT &amp; OTHER HPs'!$AF$138:$AF$175,MATCH($E333&amp;$F333,'TB-EQUIPMENT &amp; OTHER HPs'!$E$138:$E$175&amp;'TB-EQUIPMENT &amp; OTHER HPs'!$I$138:$I$175,0)),0)</f>
        <v>0</v>
      </c>
      <c r="BG333" s="626">
        <f t="shared" si="393"/>
        <v>0</v>
      </c>
      <c r="BH333" s="626">
        <f t="shared" si="394"/>
        <v>0</v>
      </c>
      <c r="BI333" s="626">
        <f t="shared" si="395"/>
        <v>0</v>
      </c>
      <c r="BJ333" s="630"/>
      <c r="BK333" s="625"/>
      <c r="BL333" s="625"/>
      <c r="BM333" s="625"/>
      <c r="BN333" s="625"/>
      <c r="BO333" s="625"/>
      <c r="BP333" s="625"/>
      <c r="BQ333" s="625"/>
      <c r="BR333" s="625"/>
    </row>
    <row r="334" spans="1:70">
      <c r="A334" s="29" t="s">
        <v>1758</v>
      </c>
      <c r="B334" s="29" t="s">
        <v>1838</v>
      </c>
      <c r="C334" s="619">
        <f>SETUP!$F$44</f>
        <v>0</v>
      </c>
      <c r="D334" s="25">
        <v>6.6</v>
      </c>
      <c r="E334" s="26" t="s">
        <v>1493</v>
      </c>
      <c r="F334" s="26" t="s">
        <v>201</v>
      </c>
      <c r="G334" s="625" t="str">
        <f t="array" ref="G334">IFERROR(INDEX('TB-EQUIPMENT &amp; OTHER HPs'!$L$138:$L$175,MATCH($E334&amp;$F334,'TB-EQUIPMENT &amp; OTHER HPs'!$E$138:$E$175&amp;'TB-EQUIPMENT &amp; OTHER HPs'!$I$138:$I$175,0)),"")</f>
        <v/>
      </c>
      <c r="H334" s="625" t="str">
        <f t="array" ref="H334">IFERROR(INDEX('TB-EQUIPMENT &amp; OTHER HPs'!$M$138:$M$175,MATCH($E334&amp;$F334,'TB-EQUIPMENT &amp; OTHER HPs'!$E$138:$E$175&amp;'TB-EQUIPMENT &amp; OTHER HPs'!$I$138:$I$175,0)),"")</f>
        <v/>
      </c>
      <c r="I334" s="625">
        <f t="array" ref="I334">IFERROR(INDEX('TB-EQUIPMENT &amp; OTHER HPs'!$N$138:$N$175,MATCH($E334&amp;$F334,'TB-EQUIPMENT &amp; OTHER HPs'!$E$138:$E$175&amp;'TB-EQUIPMENT &amp; OTHER HPs'!$I$138:$I$175,0)),0)</f>
        <v>0</v>
      </c>
      <c r="J334" s="625">
        <f t="array" ref="J334">IFERROR(INDEX('TB-EQUIPMENT &amp; OTHER HPs'!$O$138:$O$175,MATCH($E334&amp;$F334,'TB-EQUIPMENT &amp; OTHER HPs'!$E$138:$E$175&amp;'TB-EQUIPMENT &amp; OTHER HPs'!$I$138:$I$175,0)),0)</f>
        <v>0</v>
      </c>
      <c r="K334" s="626">
        <f>IF(ISERROR($I334*J334),0,$I334*J334)</f>
        <v>0</v>
      </c>
      <c r="L334" s="626">
        <f>IF(C334="Upfront",J334,0)</f>
        <v>0</v>
      </c>
      <c r="M334" s="626">
        <f>IF(C334="Upfront",K334,0)</f>
        <v>0</v>
      </c>
      <c r="N334" s="625">
        <f t="array" ref="N334">IFERROR(INDEX('TB-EQUIPMENT &amp; OTHER HPs'!$P$138:$P$175,MATCH($E334&amp;$F334,'TB-EQUIPMENT &amp; OTHER HPs'!$E$138:$E$175&amp;'TB-EQUIPMENT &amp; OTHER HPs'!$I$138:$I$175,0)),0)</f>
        <v>0</v>
      </c>
      <c r="O334" s="626">
        <f>IF(ISERROR($I334*N334),0,$I334*N334)</f>
        <v>0</v>
      </c>
      <c r="P334" s="626">
        <f>IF(C334="Upfront",N334,0)</f>
        <v>0</v>
      </c>
      <c r="Q334" s="626">
        <f>IF(C334="Upfront",O334,0)</f>
        <v>0</v>
      </c>
      <c r="R334" s="625">
        <f t="array" ref="R334">IFERROR(INDEX('TB-EQUIPMENT &amp; OTHER HPs'!$Q$138:$Q$175,MATCH($E334&amp;$F334,'TB-EQUIPMENT &amp; OTHER HPs'!$E$138:$E$175&amp;'TB-EQUIPMENT &amp; OTHER HPs'!$I$138:$I$175,0)),0)</f>
        <v>0</v>
      </c>
      <c r="S334" s="626">
        <f>IF(ISERROR($I334*R334),0,$I334*R334)</f>
        <v>0</v>
      </c>
      <c r="T334" s="626">
        <f>IF(C334="Upfront",R334,IF(C334="At delivery",J334,0))</f>
        <v>0</v>
      </c>
      <c r="U334" s="626">
        <f>IF(C334="Upfront",S334,IF(C334="At delivery",K334,0))</f>
        <v>0</v>
      </c>
      <c r="V334" s="625">
        <f t="array" ref="V334">IFERROR(INDEX('TB-EQUIPMENT &amp; OTHER HPs'!$R$138:$R$175,MATCH($E334&amp;$F334,'TB-EQUIPMENT &amp; OTHER HPs'!$E$138:$E$175&amp;'TB-EQUIPMENT &amp; OTHER HPs'!$I$138:$I$175,0)),0)</f>
        <v>0</v>
      </c>
      <c r="W334" s="626">
        <f>IF(ISERROR($I334*V334),0,$I334*V334)</f>
        <v>0</v>
      </c>
      <c r="X334" s="626">
        <f>IF(C334="Upfront",V334,IF(C334="At delivery",N334,0))</f>
        <v>0</v>
      </c>
      <c r="Y334" s="626">
        <f>IF(C334="Upfront",W334,IF(C334="At delivery",O334,0))</f>
        <v>0</v>
      </c>
      <c r="AA334" s="625">
        <f t="array" ref="AA334">IFERROR(INDEX('TB-EQUIPMENT &amp; OTHER HPs'!$U$138:$U$175,MATCH($E334&amp;$F334,'TB-EQUIPMENT &amp; OTHER HPs'!$E$138:$E$175&amp;'TB-EQUIPMENT &amp; OTHER HPs'!$I$138:$I$175,0)),0)</f>
        <v>0</v>
      </c>
      <c r="AB334" s="625">
        <f t="array" ref="AB334">IFERROR(INDEX('TB-EQUIPMENT &amp; OTHER HPs'!$V$138:$V$175,MATCH($E334&amp;$F334,'TB-EQUIPMENT &amp; OTHER HPs'!$E$138:$E$175&amp;'TB-EQUIPMENT &amp; OTHER HPs'!$I$138:$I$175,0)),0)</f>
        <v>0</v>
      </c>
      <c r="AC334" s="626">
        <f>IF(ISERROR($AA334*AB334),0,$AA334*AB334)</f>
        <v>0</v>
      </c>
      <c r="AD334" s="626">
        <f>IF(C334="Upfront",AB334,IF(C334="At delivery",R334,0))</f>
        <v>0</v>
      </c>
      <c r="AE334" s="626">
        <f>IF(C334="Upfront",AC334,IF(C334="At delivery",S334,0))</f>
        <v>0</v>
      </c>
      <c r="AF334" s="625">
        <f t="array" ref="AF334">IFERROR(INDEX('TB-EQUIPMENT &amp; OTHER HPs'!$W$138:$W$175,MATCH($E334&amp;$F334,'TB-EQUIPMENT &amp; OTHER HPs'!$E$138:$E$175&amp;'TB-EQUIPMENT &amp; OTHER HPs'!$I$138:$I$175,0)),0)</f>
        <v>0</v>
      </c>
      <c r="AG334" s="626">
        <f>IF(ISERROR($AA334*AF334),0,$AA334*AF334)</f>
        <v>0</v>
      </c>
      <c r="AH334" s="626">
        <f>IF(C334="Upfront",AF334,IF(C334="At delivery",V334,0))</f>
        <v>0</v>
      </c>
      <c r="AI334" s="626">
        <f>IF(C334="Upfront",AG334,IF(C334="At delivery",W334,0))</f>
        <v>0</v>
      </c>
      <c r="AJ334" s="625">
        <f t="array" ref="AJ334">IFERROR(INDEX('TB-EQUIPMENT &amp; OTHER HPs'!$X$138:$X$175,MATCH($E334&amp;$F334,'TB-EQUIPMENT &amp; OTHER HPs'!$E$138:$E$175&amp;'TB-EQUIPMENT &amp; OTHER HPs'!$I$138:$I$175,0)),0)</f>
        <v>0</v>
      </c>
      <c r="AK334" s="626">
        <f>IF(ISERROR($AA334*AJ334),0,$AA334*AJ334)</f>
        <v>0</v>
      </c>
      <c r="AL334" s="626">
        <f>IF(C334="Upfront",AJ334,IF(C334="At delivery",AB334,0))</f>
        <v>0</v>
      </c>
      <c r="AM334" s="626">
        <f>IF(C334="Upfront",AK334,IF(C334="At delivery",AC334,0))</f>
        <v>0</v>
      </c>
      <c r="AN334" s="625">
        <f t="array" ref="AN334">IFERROR(INDEX('TB-EQUIPMENT &amp; OTHER HPs'!$Y$138:$Y$175,MATCH($E334&amp;$F334,'TB-EQUIPMENT &amp; OTHER HPs'!$E$138:$E$175&amp;'TB-EQUIPMENT &amp; OTHER HPs'!$I$138:$I$175,0)),0)</f>
        <v>0</v>
      </c>
      <c r="AO334" s="626">
        <f>IF(ISERROR($AA334*AN334),0,$AA334*AN334)</f>
        <v>0</v>
      </c>
      <c r="AP334" s="626">
        <f>IF(C334="Upfront",AN334,IF(C334="At delivery",AF334,0))</f>
        <v>0</v>
      </c>
      <c r="AQ334" s="626">
        <f>IF(C334="Upfront",AO334,IF(C334="At delivery",AG334,0))</f>
        <v>0</v>
      </c>
      <c r="AR334" s="630"/>
      <c r="AS334" s="625">
        <f t="array" ref="AS334">IFERROR(INDEX('TB-EQUIPMENT &amp; OTHER HPs'!$AB$138:$AB$175,MATCH($E334&amp;$F334,'TB-EQUIPMENT &amp; OTHER HPs'!$E$138:$E$175&amp;'TB-EQUIPMENT &amp; OTHER HPs'!$I$138:$I$175,0)),0)</f>
        <v>0</v>
      </c>
      <c r="AT334" s="625">
        <f t="array" ref="AT334">IFERROR(INDEX('TB-EQUIPMENT &amp; OTHER HPs'!$AC$138:$AC$175,MATCH($E334&amp;$F334,'TB-EQUIPMENT &amp; OTHER HPs'!$E$138:$E$175&amp;'TB-EQUIPMENT &amp; OTHER HPs'!$I$138:$I$175,0)),0)</f>
        <v>0</v>
      </c>
      <c r="AU334" s="626">
        <f>IF(ISERROR($AS334*AT334),0,$AS334*AT334)</f>
        <v>0</v>
      </c>
      <c r="AV334" s="626">
        <f>IF(C334="Upfront",AT334,IF(C334="At delivery",AJ334,0))</f>
        <v>0</v>
      </c>
      <c r="AW334" s="626">
        <f>IF(C334="Upfront",AU334,IF(C334="At delivery",AK334,0))</f>
        <v>0</v>
      </c>
      <c r="AX334" s="625">
        <f t="array" ref="AX334">IFERROR(INDEX('TB-EQUIPMENT &amp; OTHER HPs'!$AD$138:$AD$175,MATCH($E334&amp;$F334,'TB-EQUIPMENT &amp; OTHER HPs'!$E$138:$E$175&amp;'TB-EQUIPMENT &amp; OTHER HPs'!$I$138:$I$175,0)),0)</f>
        <v>0</v>
      </c>
      <c r="AY334" s="626">
        <f>IF(ISERROR($AS334*AX334),0,$AS334*AX334)</f>
        <v>0</v>
      </c>
      <c r="AZ334" s="626">
        <f>IF(C334="Upfront",AX334,IF(C334="At delivery",AN334,0))</f>
        <v>0</v>
      </c>
      <c r="BA334" s="626">
        <f>IF(C334="Upfront",AY334,IF(C334="At delivery",AO334,0))</f>
        <v>0</v>
      </c>
      <c r="BB334" s="625">
        <f t="array" ref="BB334">IFERROR(INDEX('TB-EQUIPMENT &amp; OTHER HPs'!$AE$138:$AE$175,MATCH($E334&amp;$F334,'TB-EQUIPMENT &amp; OTHER HPs'!$E$138:$E$175&amp;'TB-EQUIPMENT &amp; OTHER HPs'!$I$138:$I$175,0)),0)</f>
        <v>0</v>
      </c>
      <c r="BC334" s="626">
        <f>IF(ISERROR($AS334*BB334),0,$AS334*BB334)</f>
        <v>0</v>
      </c>
      <c r="BD334" s="626">
        <f>IF(C334="Upfront",BB334,IF(C334="At delivery",AT334,0))</f>
        <v>0</v>
      </c>
      <c r="BE334" s="626">
        <f>IF(C334="Upfront",BC334,IF(C334="At delivery",AU334,0))</f>
        <v>0</v>
      </c>
      <c r="BF334" s="625">
        <f t="array" ref="BF334">IFERROR(INDEX('TB-EQUIPMENT &amp; OTHER HPs'!$AF$138:$AF$175,MATCH($E334&amp;$F334,'TB-EQUIPMENT &amp; OTHER HPs'!$E$138:$E$175&amp;'TB-EQUIPMENT &amp; OTHER HPs'!$I$138:$I$175,0)),0)</f>
        <v>0</v>
      </c>
      <c r="BG334" s="626">
        <f>IF(ISERROR($AS334*BF334),0,$AS334*BF334)</f>
        <v>0</v>
      </c>
      <c r="BH334" s="626">
        <f>IF(C334="Upfront",BF334,IF(C334="At delivery",AX334,0))</f>
        <v>0</v>
      </c>
      <c r="BI334" s="626">
        <f>IF(C334="Upfront",BG334,IF(C334="At delivery",AY334,0))</f>
        <v>0</v>
      </c>
      <c r="BJ334" s="630"/>
      <c r="BK334" s="625"/>
      <c r="BL334" s="625"/>
      <c r="BM334" s="625"/>
      <c r="BN334" s="625"/>
      <c r="BO334" s="625"/>
      <c r="BP334" s="625"/>
      <c r="BQ334" s="625"/>
      <c r="BR334" s="625"/>
    </row>
    <row r="335" spans="1:70">
      <c r="A335" s="29" t="s">
        <v>1758</v>
      </c>
      <c r="B335" s="29" t="s">
        <v>1838</v>
      </c>
      <c r="C335" s="619">
        <f>SETUP!$F$44</f>
        <v>0</v>
      </c>
      <c r="D335" s="25">
        <v>6.6</v>
      </c>
      <c r="E335" s="26" t="s">
        <v>1493</v>
      </c>
      <c r="F335" s="26" t="s">
        <v>200</v>
      </c>
      <c r="G335" s="625" t="str">
        <f t="array" ref="G335">IFERROR(INDEX('TB-EQUIPMENT &amp; OTHER HPs'!$L$138:$L$175,MATCH($E335&amp;$F335,'TB-EQUIPMENT &amp; OTHER HPs'!$E$138:$E$175&amp;'TB-EQUIPMENT &amp; OTHER HPs'!$I$138:$I$175,0)),"")</f>
        <v/>
      </c>
      <c r="H335" s="625" t="str">
        <f t="array" ref="H335">IFERROR(INDEX('TB-EQUIPMENT &amp; OTHER HPs'!$M$138:$M$175,MATCH($E335&amp;$F335,'TB-EQUIPMENT &amp; OTHER HPs'!$E$138:$E$175&amp;'TB-EQUIPMENT &amp; OTHER HPs'!$I$138:$I$175,0)),"")</f>
        <v/>
      </c>
      <c r="I335" s="625">
        <f t="array" ref="I335">IFERROR(INDEX('TB-EQUIPMENT &amp; OTHER HPs'!$N$138:$N$175,MATCH($E335&amp;$F335,'TB-EQUIPMENT &amp; OTHER HPs'!$E$138:$E$175&amp;'TB-EQUIPMENT &amp; OTHER HPs'!$I$138:$I$175,0)),0)</f>
        <v>0</v>
      </c>
      <c r="J335" s="625">
        <f t="array" ref="J335">IFERROR(INDEX('TB-EQUIPMENT &amp; OTHER HPs'!$O$138:$O$175,MATCH($E335&amp;$F335,'TB-EQUIPMENT &amp; OTHER HPs'!$E$138:$E$175&amp;'TB-EQUIPMENT &amp; OTHER HPs'!$I$138:$I$175,0)),0)</f>
        <v>0</v>
      </c>
      <c r="K335" s="626">
        <f>IF(ISERROR($I335*J335),0,$I335*J335)</f>
        <v>0</v>
      </c>
      <c r="L335" s="626">
        <f>IF(C335="Upfront",J335,0)</f>
        <v>0</v>
      </c>
      <c r="M335" s="626">
        <f>IF(C335="Upfront",K335,0)</f>
        <v>0</v>
      </c>
      <c r="N335" s="625">
        <f t="array" ref="N335">IFERROR(INDEX('TB-EQUIPMENT &amp; OTHER HPs'!$P$138:$P$175,MATCH($E335&amp;$F335,'TB-EQUIPMENT &amp; OTHER HPs'!$E$138:$E$175&amp;'TB-EQUIPMENT &amp; OTHER HPs'!$I$138:$I$175,0)),0)</f>
        <v>0</v>
      </c>
      <c r="O335" s="626">
        <f>IF(ISERROR($I335*N335),0,$I335*N335)</f>
        <v>0</v>
      </c>
      <c r="P335" s="626">
        <f>IF(C335="Upfront",N335,0)</f>
        <v>0</v>
      </c>
      <c r="Q335" s="626">
        <f>IF(C335="Upfront",O335,0)</f>
        <v>0</v>
      </c>
      <c r="R335" s="625">
        <f t="array" ref="R335">IFERROR(INDEX('TB-EQUIPMENT &amp; OTHER HPs'!$Q$138:$Q$175,MATCH($E335&amp;$F335,'TB-EQUIPMENT &amp; OTHER HPs'!$E$138:$E$175&amp;'TB-EQUIPMENT &amp; OTHER HPs'!$I$138:$I$175,0)),0)</f>
        <v>0</v>
      </c>
      <c r="S335" s="626">
        <f>IF(ISERROR($I335*R335),0,$I335*R335)</f>
        <v>0</v>
      </c>
      <c r="T335" s="626">
        <f>IF(C335="Upfront",R335,IF(C335="At delivery",J335,0))</f>
        <v>0</v>
      </c>
      <c r="U335" s="626">
        <f>IF(C335="Upfront",S335,IF(C335="At delivery",K335,0))</f>
        <v>0</v>
      </c>
      <c r="V335" s="625">
        <f t="array" ref="V335">IFERROR(INDEX('TB-EQUIPMENT &amp; OTHER HPs'!$R$138:$R$175,MATCH($E335&amp;$F335,'TB-EQUIPMENT &amp; OTHER HPs'!$E$138:$E$175&amp;'TB-EQUIPMENT &amp; OTHER HPs'!$I$138:$I$175,0)),0)</f>
        <v>0</v>
      </c>
      <c r="W335" s="626">
        <f>IF(ISERROR($I335*V335),0,$I335*V335)</f>
        <v>0</v>
      </c>
      <c r="X335" s="626">
        <f>IF(C335="Upfront",V335,IF(C335="At delivery",N335,0))</f>
        <v>0</v>
      </c>
      <c r="Y335" s="626">
        <f>IF(C335="Upfront",W335,IF(C335="At delivery",O335,0))</f>
        <v>0</v>
      </c>
      <c r="AA335" s="625">
        <f t="array" ref="AA335">IFERROR(INDEX('TB-EQUIPMENT &amp; OTHER HPs'!$U$138:$U$175,MATCH($E335&amp;$F335,'TB-EQUIPMENT &amp; OTHER HPs'!$E$138:$E$175&amp;'TB-EQUIPMENT &amp; OTHER HPs'!$I$138:$I$175,0)),0)</f>
        <v>0</v>
      </c>
      <c r="AB335" s="625">
        <f t="array" ref="AB335">IFERROR(INDEX('TB-EQUIPMENT &amp; OTHER HPs'!$V$138:$V$175,MATCH($E335&amp;$F335,'TB-EQUIPMENT &amp; OTHER HPs'!$E$138:$E$175&amp;'TB-EQUIPMENT &amp; OTHER HPs'!$I$138:$I$175,0)),0)</f>
        <v>0</v>
      </c>
      <c r="AC335" s="626">
        <f>IF(ISERROR($AA335*AB335),0,$AA335*AB335)</f>
        <v>0</v>
      </c>
      <c r="AD335" s="626">
        <f>IF(C335="Upfront",AB335,IF(C335="At delivery",R335,0))</f>
        <v>0</v>
      </c>
      <c r="AE335" s="626">
        <f>IF(C335="Upfront",AC335,IF(C335="At delivery",S335,0))</f>
        <v>0</v>
      </c>
      <c r="AF335" s="625">
        <f t="array" ref="AF335">IFERROR(INDEX('TB-EQUIPMENT &amp; OTHER HPs'!$W$138:$W$175,MATCH($E335&amp;$F335,'TB-EQUIPMENT &amp; OTHER HPs'!$E$138:$E$175&amp;'TB-EQUIPMENT &amp; OTHER HPs'!$I$138:$I$175,0)),0)</f>
        <v>0</v>
      </c>
      <c r="AG335" s="626">
        <f>IF(ISERROR($AA335*AF335),0,$AA335*AF335)</f>
        <v>0</v>
      </c>
      <c r="AH335" s="626">
        <f>IF(C335="Upfront",AF335,IF(C335="At delivery",V335,0))</f>
        <v>0</v>
      </c>
      <c r="AI335" s="626">
        <f>IF(C335="Upfront",AG335,IF(C335="At delivery",W335,0))</f>
        <v>0</v>
      </c>
      <c r="AJ335" s="625">
        <f t="array" ref="AJ335">IFERROR(INDEX('TB-EQUIPMENT &amp; OTHER HPs'!$X$138:$X$175,MATCH($E335&amp;$F335,'TB-EQUIPMENT &amp; OTHER HPs'!$E$138:$E$175&amp;'TB-EQUIPMENT &amp; OTHER HPs'!$I$138:$I$175,0)),0)</f>
        <v>0</v>
      </c>
      <c r="AK335" s="626">
        <f>IF(ISERROR($AA335*AJ335),0,$AA335*AJ335)</f>
        <v>0</v>
      </c>
      <c r="AL335" s="626">
        <f>IF(C335="Upfront",AJ335,IF(C335="At delivery",AB335,0))</f>
        <v>0</v>
      </c>
      <c r="AM335" s="626">
        <f>IF(C335="Upfront",AK335,IF(C335="At delivery",AC335,0))</f>
        <v>0</v>
      </c>
      <c r="AN335" s="625">
        <f t="array" ref="AN335">IFERROR(INDEX('TB-EQUIPMENT &amp; OTHER HPs'!$Y$138:$Y$175,MATCH($E335&amp;$F335,'TB-EQUIPMENT &amp; OTHER HPs'!$E$138:$E$175&amp;'TB-EQUIPMENT &amp; OTHER HPs'!$I$138:$I$175,0)),0)</f>
        <v>0</v>
      </c>
      <c r="AO335" s="626">
        <f>IF(ISERROR($AA335*AN335),0,$AA335*AN335)</f>
        <v>0</v>
      </c>
      <c r="AP335" s="626">
        <f>IF(C335="Upfront",AN335,IF(C335="At delivery",AF335,0))</f>
        <v>0</v>
      </c>
      <c r="AQ335" s="626">
        <f>IF(C335="Upfront",AO335,IF(C335="At delivery",AG335,0))</f>
        <v>0</v>
      </c>
      <c r="AR335" s="630"/>
      <c r="AS335" s="625">
        <f t="array" ref="AS335">IFERROR(INDEX('TB-EQUIPMENT &amp; OTHER HPs'!$AB$138:$AB$175,MATCH($E335&amp;$F335,'TB-EQUIPMENT &amp; OTHER HPs'!$E$138:$E$175&amp;'TB-EQUIPMENT &amp; OTHER HPs'!$I$138:$I$175,0)),0)</f>
        <v>0</v>
      </c>
      <c r="AT335" s="625">
        <f t="array" ref="AT335">IFERROR(INDEX('TB-EQUIPMENT &amp; OTHER HPs'!$AC$138:$AC$175,MATCH($E335&amp;$F335,'TB-EQUIPMENT &amp; OTHER HPs'!$E$138:$E$175&amp;'TB-EQUIPMENT &amp; OTHER HPs'!$I$138:$I$175,0)),0)</f>
        <v>0</v>
      </c>
      <c r="AU335" s="626">
        <f>IF(ISERROR($AS335*AT335),0,$AS335*AT335)</f>
        <v>0</v>
      </c>
      <c r="AV335" s="626">
        <f>IF(C335="Upfront",AT335,IF(C335="At delivery",AJ335,0))</f>
        <v>0</v>
      </c>
      <c r="AW335" s="626">
        <f>IF(C335="Upfront",AU335,IF(C335="At delivery",AK335,0))</f>
        <v>0</v>
      </c>
      <c r="AX335" s="625">
        <f t="array" ref="AX335">IFERROR(INDEX('TB-EQUIPMENT &amp; OTHER HPs'!$AD$138:$AD$175,MATCH($E335&amp;$F335,'TB-EQUIPMENT &amp; OTHER HPs'!$E$138:$E$175&amp;'TB-EQUIPMENT &amp; OTHER HPs'!$I$138:$I$175,0)),0)</f>
        <v>0</v>
      </c>
      <c r="AY335" s="626">
        <f>IF(ISERROR($AS335*AX335),0,$AS335*AX335)</f>
        <v>0</v>
      </c>
      <c r="AZ335" s="626">
        <f>IF(C335="Upfront",AX335,IF(C335="At delivery",AN335,0))</f>
        <v>0</v>
      </c>
      <c r="BA335" s="626">
        <f>IF(C335="Upfront",AY335,IF(C335="At delivery",AO335,0))</f>
        <v>0</v>
      </c>
      <c r="BB335" s="625">
        <f t="array" ref="BB335">IFERROR(INDEX('TB-EQUIPMENT &amp; OTHER HPs'!$AE$138:$AE$175,MATCH($E335&amp;$F335,'TB-EQUIPMENT &amp; OTHER HPs'!$E$138:$E$175&amp;'TB-EQUIPMENT &amp; OTHER HPs'!$I$138:$I$175,0)),0)</f>
        <v>0</v>
      </c>
      <c r="BC335" s="626">
        <f>IF(ISERROR($AS335*BB335),0,$AS335*BB335)</f>
        <v>0</v>
      </c>
      <c r="BD335" s="626">
        <f>IF(C335="Upfront",BB335,IF(C335="At delivery",AT335,0))</f>
        <v>0</v>
      </c>
      <c r="BE335" s="626">
        <f>IF(C335="Upfront",BC335,IF(C335="At delivery",AU335,0))</f>
        <v>0</v>
      </c>
      <c r="BF335" s="625">
        <f t="array" ref="BF335">IFERROR(INDEX('TB-EQUIPMENT &amp; OTHER HPs'!$AF$138:$AF$175,MATCH($E335&amp;$F335,'TB-EQUIPMENT &amp; OTHER HPs'!$E$138:$E$175&amp;'TB-EQUIPMENT &amp; OTHER HPs'!$I$138:$I$175,0)),0)</f>
        <v>0</v>
      </c>
      <c r="BG335" s="626">
        <f>IF(ISERROR($AS335*BF335),0,$AS335*BF335)</f>
        <v>0</v>
      </c>
      <c r="BH335" s="626">
        <f>IF(C335="Upfront",BF335,IF(C335="At delivery",AX335,0))</f>
        <v>0</v>
      </c>
      <c r="BI335" s="626">
        <f>IF(C335="Upfront",BG335,IF(C335="At delivery",AY335,0))</f>
        <v>0</v>
      </c>
      <c r="BJ335" s="630"/>
      <c r="BK335" s="625"/>
      <c r="BL335" s="625"/>
      <c r="BM335" s="625"/>
      <c r="BN335" s="625"/>
      <c r="BO335" s="625"/>
      <c r="BP335" s="625"/>
      <c r="BQ335" s="625"/>
      <c r="BR335" s="625"/>
    </row>
    <row r="336" spans="1:70">
      <c r="A336" s="29" t="s">
        <v>1758</v>
      </c>
      <c r="B336" s="29" t="s">
        <v>1838</v>
      </c>
      <c r="C336" s="619">
        <f>SETUP!$F$44</f>
        <v>0</v>
      </c>
      <c r="D336" s="25">
        <v>6.6</v>
      </c>
      <c r="E336" s="26" t="s">
        <v>1494</v>
      </c>
      <c r="F336" s="26" t="s">
        <v>1495</v>
      </c>
      <c r="G336" s="625" t="str">
        <f t="array" ref="G336">IFERROR(INDEX('TB-EQUIPMENT &amp; OTHER HPs'!$L$138:$L$175,MATCH($E336&amp;$F336,'TB-EQUIPMENT &amp; OTHER HPs'!$E$138:$E$175&amp;'TB-EQUIPMENT &amp; OTHER HPs'!$I$138:$I$175,0)),"")</f>
        <v/>
      </c>
      <c r="H336" s="625" t="str">
        <f t="array" ref="H336">IFERROR(INDEX('TB-EQUIPMENT &amp; OTHER HPs'!$M$138:$M$175,MATCH($E336&amp;$F336,'TB-EQUIPMENT &amp; OTHER HPs'!$E$138:$E$175&amp;'TB-EQUIPMENT &amp; OTHER HPs'!$I$138:$I$175,0)),"")</f>
        <v/>
      </c>
      <c r="I336" s="625">
        <f t="array" ref="I336">IFERROR(INDEX('TB-EQUIPMENT &amp; OTHER HPs'!$N$138:$N$175,MATCH($E336&amp;$F336,'TB-EQUIPMENT &amp; OTHER HPs'!$E$138:$E$175&amp;'TB-EQUIPMENT &amp; OTHER HPs'!$I$138:$I$175,0)),0)</f>
        <v>0</v>
      </c>
      <c r="J336" s="625">
        <f t="array" ref="J336">IFERROR(INDEX('TB-EQUIPMENT &amp; OTHER HPs'!$O$138:$O$175,MATCH($E336&amp;$F336,'TB-EQUIPMENT &amp; OTHER HPs'!$E$138:$E$175&amp;'TB-EQUIPMENT &amp; OTHER HPs'!$I$138:$I$175,0)),0)</f>
        <v>0</v>
      </c>
      <c r="K336" s="626">
        <f t="shared" si="360"/>
        <v>0</v>
      </c>
      <c r="L336" s="626">
        <f t="shared" si="361"/>
        <v>0</v>
      </c>
      <c r="M336" s="626">
        <f t="shared" si="362"/>
        <v>0</v>
      </c>
      <c r="N336" s="625">
        <f t="array" ref="N336">IFERROR(INDEX('TB-EQUIPMENT &amp; OTHER HPs'!$P$138:$P$175,MATCH($E336&amp;$F336,'TB-EQUIPMENT &amp; OTHER HPs'!$E$138:$E$175&amp;'TB-EQUIPMENT &amp; OTHER HPs'!$I$138:$I$175,0)),0)</f>
        <v>0</v>
      </c>
      <c r="O336" s="626">
        <f t="shared" si="363"/>
        <v>0</v>
      </c>
      <c r="P336" s="626">
        <f t="shared" si="364"/>
        <v>0</v>
      </c>
      <c r="Q336" s="626">
        <f t="shared" si="365"/>
        <v>0</v>
      </c>
      <c r="R336" s="625">
        <f t="array" ref="R336">IFERROR(INDEX('TB-EQUIPMENT &amp; OTHER HPs'!$Q$138:$Q$175,MATCH($E336&amp;$F336,'TB-EQUIPMENT &amp; OTHER HPs'!$E$138:$E$175&amp;'TB-EQUIPMENT &amp; OTHER HPs'!$I$138:$I$175,0)),0)</f>
        <v>0</v>
      </c>
      <c r="S336" s="626">
        <f t="shared" si="366"/>
        <v>0</v>
      </c>
      <c r="T336" s="626">
        <f t="shared" si="367"/>
        <v>0</v>
      </c>
      <c r="U336" s="626">
        <f t="shared" si="368"/>
        <v>0</v>
      </c>
      <c r="V336" s="625">
        <f t="array" ref="V336">IFERROR(INDEX('TB-EQUIPMENT &amp; OTHER HPs'!$R$138:$R$175,MATCH($E336&amp;$F336,'TB-EQUIPMENT &amp; OTHER HPs'!$E$138:$E$175&amp;'TB-EQUIPMENT &amp; OTHER HPs'!$I$138:$I$175,0)),0)</f>
        <v>0</v>
      </c>
      <c r="W336" s="626">
        <f t="shared" si="369"/>
        <v>0</v>
      </c>
      <c r="X336" s="626">
        <f t="shared" si="370"/>
        <v>0</v>
      </c>
      <c r="Y336" s="626">
        <f t="shared" si="371"/>
        <v>0</v>
      </c>
      <c r="AA336" s="625">
        <f t="array" ref="AA336">IFERROR(INDEX('TB-EQUIPMENT &amp; OTHER HPs'!$U$138:$U$175,MATCH($E336&amp;$F336,'TB-EQUIPMENT &amp; OTHER HPs'!$E$138:$E$175&amp;'TB-EQUIPMENT &amp; OTHER HPs'!$I$138:$I$175,0)),0)</f>
        <v>0</v>
      </c>
      <c r="AB336" s="625">
        <f t="array" ref="AB336">IFERROR(INDEX('TB-EQUIPMENT &amp; OTHER HPs'!$V$138:$V$175,MATCH($E336&amp;$F336,'TB-EQUIPMENT &amp; OTHER HPs'!$E$138:$E$175&amp;'TB-EQUIPMENT &amp; OTHER HPs'!$I$138:$I$175,0)),0)</f>
        <v>0</v>
      </c>
      <c r="AC336" s="626">
        <f t="shared" si="372"/>
        <v>0</v>
      </c>
      <c r="AD336" s="626">
        <f t="shared" si="373"/>
        <v>0</v>
      </c>
      <c r="AE336" s="626">
        <f t="shared" si="374"/>
        <v>0</v>
      </c>
      <c r="AF336" s="625">
        <f t="array" ref="AF336">IFERROR(INDEX('TB-EQUIPMENT &amp; OTHER HPs'!$W$138:$W$175,MATCH($E336&amp;$F336,'TB-EQUIPMENT &amp; OTHER HPs'!$E$138:$E$175&amp;'TB-EQUIPMENT &amp; OTHER HPs'!$I$138:$I$175,0)),0)</f>
        <v>0</v>
      </c>
      <c r="AG336" s="626">
        <f t="shared" si="375"/>
        <v>0</v>
      </c>
      <c r="AH336" s="626">
        <f t="shared" si="376"/>
        <v>0</v>
      </c>
      <c r="AI336" s="626">
        <f t="shared" si="377"/>
        <v>0</v>
      </c>
      <c r="AJ336" s="625">
        <f t="array" ref="AJ336">IFERROR(INDEX('TB-EQUIPMENT &amp; OTHER HPs'!$X$138:$X$175,MATCH($E336&amp;$F336,'TB-EQUIPMENT &amp; OTHER HPs'!$E$138:$E$175&amp;'TB-EQUIPMENT &amp; OTHER HPs'!$I$138:$I$175,0)),0)</f>
        <v>0</v>
      </c>
      <c r="AK336" s="626">
        <f t="shared" si="378"/>
        <v>0</v>
      </c>
      <c r="AL336" s="626">
        <f t="shared" si="379"/>
        <v>0</v>
      </c>
      <c r="AM336" s="626">
        <f t="shared" si="380"/>
        <v>0</v>
      </c>
      <c r="AN336" s="625">
        <f t="array" ref="AN336">IFERROR(INDEX('TB-EQUIPMENT &amp; OTHER HPs'!$Y$138:$Y$175,MATCH($E336&amp;$F336,'TB-EQUIPMENT &amp; OTHER HPs'!$E$138:$E$175&amp;'TB-EQUIPMENT &amp; OTHER HPs'!$I$138:$I$175,0)),0)</f>
        <v>0</v>
      </c>
      <c r="AO336" s="626">
        <f t="shared" si="381"/>
        <v>0</v>
      </c>
      <c r="AP336" s="626">
        <f t="shared" si="382"/>
        <v>0</v>
      </c>
      <c r="AQ336" s="626">
        <f t="shared" si="383"/>
        <v>0</v>
      </c>
      <c r="AR336" s="630"/>
      <c r="AS336" s="625">
        <f t="array" ref="AS336">IFERROR(INDEX('TB-EQUIPMENT &amp; OTHER HPs'!$AB$138:$AB$175,MATCH($E336&amp;$F336,'TB-EQUIPMENT &amp; OTHER HPs'!$E$138:$E$175&amp;'TB-EQUIPMENT &amp; OTHER HPs'!$I$138:$I$175,0)),0)</f>
        <v>0</v>
      </c>
      <c r="AT336" s="625">
        <f t="array" ref="AT336">IFERROR(INDEX('TB-EQUIPMENT &amp; OTHER HPs'!$AC$138:$AC$175,MATCH($E336&amp;$F336,'TB-EQUIPMENT &amp; OTHER HPs'!$E$138:$E$175&amp;'TB-EQUIPMENT &amp; OTHER HPs'!$I$138:$I$175,0)),0)</f>
        <v>0</v>
      </c>
      <c r="AU336" s="626">
        <f t="shared" si="384"/>
        <v>0</v>
      </c>
      <c r="AV336" s="626">
        <f t="shared" si="385"/>
        <v>0</v>
      </c>
      <c r="AW336" s="626">
        <f t="shared" si="386"/>
        <v>0</v>
      </c>
      <c r="AX336" s="625">
        <f t="array" ref="AX336">IFERROR(INDEX('TB-EQUIPMENT &amp; OTHER HPs'!$AD$138:$AD$175,MATCH($E336&amp;$F336,'TB-EQUIPMENT &amp; OTHER HPs'!$E$138:$E$175&amp;'TB-EQUIPMENT &amp; OTHER HPs'!$I$138:$I$175,0)),0)</f>
        <v>0</v>
      </c>
      <c r="AY336" s="626">
        <f t="shared" si="387"/>
        <v>0</v>
      </c>
      <c r="AZ336" s="626">
        <f t="shared" si="388"/>
        <v>0</v>
      </c>
      <c r="BA336" s="626">
        <f t="shared" si="389"/>
        <v>0</v>
      </c>
      <c r="BB336" s="625">
        <f t="array" ref="BB336">IFERROR(INDEX('TB-EQUIPMENT &amp; OTHER HPs'!$AE$138:$AE$175,MATCH($E336&amp;$F336,'TB-EQUIPMENT &amp; OTHER HPs'!$E$138:$E$175&amp;'TB-EQUIPMENT &amp; OTHER HPs'!$I$138:$I$175,0)),0)</f>
        <v>0</v>
      </c>
      <c r="BC336" s="626">
        <f t="shared" si="390"/>
        <v>0</v>
      </c>
      <c r="BD336" s="626">
        <f t="shared" si="391"/>
        <v>0</v>
      </c>
      <c r="BE336" s="626">
        <f t="shared" si="392"/>
        <v>0</v>
      </c>
      <c r="BF336" s="625">
        <f t="array" ref="BF336">IFERROR(INDEX('TB-EQUIPMENT &amp; OTHER HPs'!$AF$138:$AF$175,MATCH($E336&amp;$F336,'TB-EQUIPMENT &amp; OTHER HPs'!$E$138:$E$175&amp;'TB-EQUIPMENT &amp; OTHER HPs'!$I$138:$I$175,0)),0)</f>
        <v>0</v>
      </c>
      <c r="BG336" s="626">
        <f t="shared" si="393"/>
        <v>0</v>
      </c>
      <c r="BH336" s="626">
        <f t="shared" si="394"/>
        <v>0</v>
      </c>
      <c r="BI336" s="626">
        <f t="shared" si="395"/>
        <v>0</v>
      </c>
      <c r="BJ336" s="630"/>
      <c r="BK336" s="625"/>
      <c r="BL336" s="625"/>
      <c r="BM336" s="625"/>
      <c r="BN336" s="625"/>
      <c r="BO336" s="625"/>
      <c r="BP336" s="625"/>
      <c r="BQ336" s="625"/>
      <c r="BR336" s="625"/>
    </row>
    <row r="337" spans="1:70">
      <c r="A337" s="29" t="s">
        <v>1758</v>
      </c>
      <c r="B337" s="29" t="s">
        <v>1838</v>
      </c>
      <c r="C337" s="619">
        <f>SETUP!$F$44</f>
        <v>0</v>
      </c>
      <c r="D337" s="25">
        <v>6.6</v>
      </c>
      <c r="E337" s="26" t="s">
        <v>1494</v>
      </c>
      <c r="F337" s="26" t="s">
        <v>1496</v>
      </c>
      <c r="G337" s="625" t="str">
        <f t="array" ref="G337">IFERROR(INDEX('TB-EQUIPMENT &amp; OTHER HPs'!$L$138:$L$175,MATCH($E337&amp;$F337,'TB-EQUIPMENT &amp; OTHER HPs'!$E$138:$E$175&amp;'TB-EQUIPMENT &amp; OTHER HPs'!$I$138:$I$175,0)),"")</f>
        <v/>
      </c>
      <c r="H337" s="625" t="str">
        <f t="array" ref="H337">IFERROR(INDEX('TB-EQUIPMENT &amp; OTHER HPs'!$M$138:$M$175,MATCH($E337&amp;$F337,'TB-EQUIPMENT &amp; OTHER HPs'!$E$138:$E$175&amp;'TB-EQUIPMENT &amp; OTHER HPs'!$I$138:$I$175,0)),"")</f>
        <v/>
      </c>
      <c r="I337" s="625">
        <f t="array" ref="I337">IFERROR(INDEX('TB-EQUIPMENT &amp; OTHER HPs'!$N$138:$N$175,MATCH($E337&amp;$F337,'TB-EQUIPMENT &amp; OTHER HPs'!$E$138:$E$175&amp;'TB-EQUIPMENT &amp; OTHER HPs'!$I$138:$I$175,0)),0)</f>
        <v>0</v>
      </c>
      <c r="J337" s="625">
        <f t="array" ref="J337">IFERROR(INDEX('TB-EQUIPMENT &amp; OTHER HPs'!$O$138:$O$175,MATCH($E337&amp;$F337,'TB-EQUIPMENT &amp; OTHER HPs'!$E$138:$E$175&amp;'TB-EQUIPMENT &amp; OTHER HPs'!$I$138:$I$175,0)),0)</f>
        <v>0</v>
      </c>
      <c r="K337" s="626">
        <f t="shared" si="360"/>
        <v>0</v>
      </c>
      <c r="L337" s="626">
        <f t="shared" si="361"/>
        <v>0</v>
      </c>
      <c r="M337" s="626">
        <f t="shared" si="362"/>
        <v>0</v>
      </c>
      <c r="N337" s="625">
        <f t="array" ref="N337">IFERROR(INDEX('TB-EQUIPMENT &amp; OTHER HPs'!$P$138:$P$175,MATCH($E337&amp;$F337,'TB-EQUIPMENT &amp; OTHER HPs'!$E$138:$E$175&amp;'TB-EQUIPMENT &amp; OTHER HPs'!$I$138:$I$175,0)),0)</f>
        <v>0</v>
      </c>
      <c r="O337" s="626">
        <f t="shared" si="363"/>
        <v>0</v>
      </c>
      <c r="P337" s="626">
        <f t="shared" si="364"/>
        <v>0</v>
      </c>
      <c r="Q337" s="626">
        <f t="shared" si="365"/>
        <v>0</v>
      </c>
      <c r="R337" s="625">
        <f t="array" ref="R337">IFERROR(INDEX('TB-EQUIPMENT &amp; OTHER HPs'!$Q$138:$Q$175,MATCH($E337&amp;$F337,'TB-EQUIPMENT &amp; OTHER HPs'!$E$138:$E$175&amp;'TB-EQUIPMENT &amp; OTHER HPs'!$I$138:$I$175,0)),0)</f>
        <v>0</v>
      </c>
      <c r="S337" s="626">
        <f t="shared" si="366"/>
        <v>0</v>
      </c>
      <c r="T337" s="626">
        <f t="shared" si="367"/>
        <v>0</v>
      </c>
      <c r="U337" s="626">
        <f t="shared" si="368"/>
        <v>0</v>
      </c>
      <c r="V337" s="625">
        <f t="array" ref="V337">IFERROR(INDEX('TB-EQUIPMENT &amp; OTHER HPs'!$R$138:$R$175,MATCH($E337&amp;$F337,'TB-EQUIPMENT &amp; OTHER HPs'!$E$138:$E$175&amp;'TB-EQUIPMENT &amp; OTHER HPs'!$I$138:$I$175,0)),0)</f>
        <v>0</v>
      </c>
      <c r="W337" s="626">
        <f t="shared" si="369"/>
        <v>0</v>
      </c>
      <c r="X337" s="626">
        <f t="shared" si="370"/>
        <v>0</v>
      </c>
      <c r="Y337" s="626">
        <f t="shared" si="371"/>
        <v>0</v>
      </c>
      <c r="AA337" s="625">
        <f t="array" ref="AA337">IFERROR(INDEX('TB-EQUIPMENT &amp; OTHER HPs'!$U$138:$U$175,MATCH($E337&amp;$F337,'TB-EQUIPMENT &amp; OTHER HPs'!$E$138:$E$175&amp;'TB-EQUIPMENT &amp; OTHER HPs'!$I$138:$I$175,0)),0)</f>
        <v>0</v>
      </c>
      <c r="AB337" s="625">
        <f t="array" ref="AB337">IFERROR(INDEX('TB-EQUIPMENT &amp; OTHER HPs'!$V$138:$V$175,MATCH($E337&amp;$F337,'TB-EQUIPMENT &amp; OTHER HPs'!$E$138:$E$175&amp;'TB-EQUIPMENT &amp; OTHER HPs'!$I$138:$I$175,0)),0)</f>
        <v>0</v>
      </c>
      <c r="AC337" s="626">
        <f t="shared" si="372"/>
        <v>0</v>
      </c>
      <c r="AD337" s="626">
        <f t="shared" si="373"/>
        <v>0</v>
      </c>
      <c r="AE337" s="626">
        <f t="shared" si="374"/>
        <v>0</v>
      </c>
      <c r="AF337" s="625">
        <f t="array" ref="AF337">IFERROR(INDEX('TB-EQUIPMENT &amp; OTHER HPs'!$W$138:$W$175,MATCH($E337&amp;$F337,'TB-EQUIPMENT &amp; OTHER HPs'!$E$138:$E$175&amp;'TB-EQUIPMENT &amp; OTHER HPs'!$I$138:$I$175,0)),0)</f>
        <v>0</v>
      </c>
      <c r="AG337" s="626">
        <f t="shared" si="375"/>
        <v>0</v>
      </c>
      <c r="AH337" s="626">
        <f t="shared" si="376"/>
        <v>0</v>
      </c>
      <c r="AI337" s="626">
        <f t="shared" si="377"/>
        <v>0</v>
      </c>
      <c r="AJ337" s="625">
        <f t="array" ref="AJ337">IFERROR(INDEX('TB-EQUIPMENT &amp; OTHER HPs'!$X$138:$X$175,MATCH($E337&amp;$F337,'TB-EQUIPMENT &amp; OTHER HPs'!$E$138:$E$175&amp;'TB-EQUIPMENT &amp; OTHER HPs'!$I$138:$I$175,0)),0)</f>
        <v>0</v>
      </c>
      <c r="AK337" s="626">
        <f t="shared" si="378"/>
        <v>0</v>
      </c>
      <c r="AL337" s="626">
        <f t="shared" si="379"/>
        <v>0</v>
      </c>
      <c r="AM337" s="626">
        <f t="shared" si="380"/>
        <v>0</v>
      </c>
      <c r="AN337" s="625">
        <f t="array" ref="AN337">IFERROR(INDEX('TB-EQUIPMENT &amp; OTHER HPs'!$Y$138:$Y$175,MATCH($E337&amp;$F337,'TB-EQUIPMENT &amp; OTHER HPs'!$E$138:$E$175&amp;'TB-EQUIPMENT &amp; OTHER HPs'!$I$138:$I$175,0)),0)</f>
        <v>0</v>
      </c>
      <c r="AO337" s="626">
        <f t="shared" si="381"/>
        <v>0</v>
      </c>
      <c r="AP337" s="626">
        <f t="shared" si="382"/>
        <v>0</v>
      </c>
      <c r="AQ337" s="626">
        <f t="shared" si="383"/>
        <v>0</v>
      </c>
      <c r="AR337" s="630"/>
      <c r="AS337" s="625">
        <f t="array" ref="AS337">IFERROR(INDEX('TB-EQUIPMENT &amp; OTHER HPs'!$AB$138:$AB$175,MATCH($E337&amp;$F337,'TB-EQUIPMENT &amp; OTHER HPs'!$E$138:$E$175&amp;'TB-EQUIPMENT &amp; OTHER HPs'!$I$138:$I$175,0)),0)</f>
        <v>0</v>
      </c>
      <c r="AT337" s="625">
        <f t="array" ref="AT337">IFERROR(INDEX('TB-EQUIPMENT &amp; OTHER HPs'!$AC$138:$AC$175,MATCH($E337&amp;$F337,'TB-EQUIPMENT &amp; OTHER HPs'!$E$138:$E$175&amp;'TB-EQUIPMENT &amp; OTHER HPs'!$I$138:$I$175,0)),0)</f>
        <v>0</v>
      </c>
      <c r="AU337" s="626">
        <f t="shared" si="384"/>
        <v>0</v>
      </c>
      <c r="AV337" s="626">
        <f t="shared" si="385"/>
        <v>0</v>
      </c>
      <c r="AW337" s="626">
        <f t="shared" si="386"/>
        <v>0</v>
      </c>
      <c r="AX337" s="625">
        <f t="array" ref="AX337">IFERROR(INDEX('TB-EQUIPMENT &amp; OTHER HPs'!$AD$138:$AD$175,MATCH($E337&amp;$F337,'TB-EQUIPMENT &amp; OTHER HPs'!$E$138:$E$175&amp;'TB-EQUIPMENT &amp; OTHER HPs'!$I$138:$I$175,0)),0)</f>
        <v>0</v>
      </c>
      <c r="AY337" s="626">
        <f t="shared" si="387"/>
        <v>0</v>
      </c>
      <c r="AZ337" s="626">
        <f t="shared" si="388"/>
        <v>0</v>
      </c>
      <c r="BA337" s="626">
        <f t="shared" si="389"/>
        <v>0</v>
      </c>
      <c r="BB337" s="625">
        <f t="array" ref="BB337">IFERROR(INDEX('TB-EQUIPMENT &amp; OTHER HPs'!$AE$138:$AE$175,MATCH($E337&amp;$F337,'TB-EQUIPMENT &amp; OTHER HPs'!$E$138:$E$175&amp;'TB-EQUIPMENT &amp; OTHER HPs'!$I$138:$I$175,0)),0)</f>
        <v>0</v>
      </c>
      <c r="BC337" s="626">
        <f t="shared" si="390"/>
        <v>0</v>
      </c>
      <c r="BD337" s="626">
        <f t="shared" si="391"/>
        <v>0</v>
      </c>
      <c r="BE337" s="626">
        <f t="shared" si="392"/>
        <v>0</v>
      </c>
      <c r="BF337" s="625">
        <f t="array" ref="BF337">IFERROR(INDEX('TB-EQUIPMENT &amp; OTHER HPs'!$AF$138:$AF$175,MATCH($E337&amp;$F337,'TB-EQUIPMENT &amp; OTHER HPs'!$E$138:$E$175&amp;'TB-EQUIPMENT &amp; OTHER HPs'!$I$138:$I$175,0)),0)</f>
        <v>0</v>
      </c>
      <c r="BG337" s="626">
        <f t="shared" si="393"/>
        <v>0</v>
      </c>
      <c r="BH337" s="626">
        <f t="shared" si="394"/>
        <v>0</v>
      </c>
      <c r="BI337" s="626">
        <f t="shared" si="395"/>
        <v>0</v>
      </c>
      <c r="BJ337" s="630"/>
      <c r="BK337" s="625"/>
      <c r="BL337" s="625"/>
      <c r="BM337" s="625"/>
      <c r="BN337" s="625"/>
      <c r="BO337" s="625"/>
      <c r="BP337" s="625"/>
      <c r="BQ337" s="625"/>
      <c r="BR337" s="625"/>
    </row>
    <row r="338" spans="1:70">
      <c r="A338" s="29" t="s">
        <v>1758</v>
      </c>
      <c r="B338" s="29" t="s">
        <v>1838</v>
      </c>
      <c r="C338" s="619">
        <f>SETUP!$F$44</f>
        <v>0</v>
      </c>
      <c r="D338" s="25">
        <v>6.6</v>
      </c>
      <c r="E338" s="26" t="s">
        <v>1494</v>
      </c>
      <c r="F338" s="26" t="s">
        <v>1497</v>
      </c>
      <c r="G338" s="625" t="str">
        <f t="array" ref="G338">IFERROR(INDEX('TB-EQUIPMENT &amp; OTHER HPs'!$L$138:$L$175,MATCH($E338&amp;$F338,'TB-EQUIPMENT &amp; OTHER HPs'!$E$138:$E$175&amp;'TB-EQUIPMENT &amp; OTHER HPs'!$I$138:$I$175,0)),"")</f>
        <v/>
      </c>
      <c r="H338" s="625" t="str">
        <f t="array" ref="H338">IFERROR(INDEX('TB-EQUIPMENT &amp; OTHER HPs'!$M$138:$M$175,MATCH($E338&amp;$F338,'TB-EQUIPMENT &amp; OTHER HPs'!$E$138:$E$175&amp;'TB-EQUIPMENT &amp; OTHER HPs'!$I$138:$I$175,0)),"")</f>
        <v/>
      </c>
      <c r="I338" s="625">
        <f t="array" ref="I338">IFERROR(INDEX('TB-EQUIPMENT &amp; OTHER HPs'!$N$138:$N$175,MATCH($E338&amp;$F338,'TB-EQUIPMENT &amp; OTHER HPs'!$E$138:$E$175&amp;'TB-EQUIPMENT &amp; OTHER HPs'!$I$138:$I$175,0)),0)</f>
        <v>0</v>
      </c>
      <c r="J338" s="625">
        <f t="array" ref="J338">IFERROR(INDEX('TB-EQUIPMENT &amp; OTHER HPs'!$O$138:$O$175,MATCH($E338&amp;$F338,'TB-EQUIPMENT &amp; OTHER HPs'!$E$138:$E$175&amp;'TB-EQUIPMENT &amp; OTHER HPs'!$I$138:$I$175,0)),0)</f>
        <v>0</v>
      </c>
      <c r="K338" s="626">
        <f t="shared" si="360"/>
        <v>0</v>
      </c>
      <c r="L338" s="626">
        <f t="shared" si="361"/>
        <v>0</v>
      </c>
      <c r="M338" s="626">
        <f t="shared" si="362"/>
        <v>0</v>
      </c>
      <c r="N338" s="625">
        <f t="array" ref="N338">IFERROR(INDEX('TB-EQUIPMENT &amp; OTHER HPs'!$P$138:$P$175,MATCH($E338&amp;$F338,'TB-EQUIPMENT &amp; OTHER HPs'!$E$138:$E$175&amp;'TB-EQUIPMENT &amp; OTHER HPs'!$I$138:$I$175,0)),0)</f>
        <v>0</v>
      </c>
      <c r="O338" s="626">
        <f t="shared" si="363"/>
        <v>0</v>
      </c>
      <c r="P338" s="626">
        <f t="shared" si="364"/>
        <v>0</v>
      </c>
      <c r="Q338" s="626">
        <f t="shared" si="365"/>
        <v>0</v>
      </c>
      <c r="R338" s="625">
        <f t="array" ref="R338">IFERROR(INDEX('TB-EQUIPMENT &amp; OTHER HPs'!$Q$138:$Q$175,MATCH($E338&amp;$F338,'TB-EQUIPMENT &amp; OTHER HPs'!$E$138:$E$175&amp;'TB-EQUIPMENT &amp; OTHER HPs'!$I$138:$I$175,0)),0)</f>
        <v>0</v>
      </c>
      <c r="S338" s="626">
        <f t="shared" si="366"/>
        <v>0</v>
      </c>
      <c r="T338" s="626">
        <f t="shared" si="367"/>
        <v>0</v>
      </c>
      <c r="U338" s="626">
        <f t="shared" si="368"/>
        <v>0</v>
      </c>
      <c r="V338" s="625">
        <f t="array" ref="V338">IFERROR(INDEX('TB-EQUIPMENT &amp; OTHER HPs'!$R$138:$R$175,MATCH($E338&amp;$F338,'TB-EQUIPMENT &amp; OTHER HPs'!$E$138:$E$175&amp;'TB-EQUIPMENT &amp; OTHER HPs'!$I$138:$I$175,0)),0)</f>
        <v>0</v>
      </c>
      <c r="W338" s="626">
        <f t="shared" si="369"/>
        <v>0</v>
      </c>
      <c r="X338" s="626">
        <f t="shared" si="370"/>
        <v>0</v>
      </c>
      <c r="Y338" s="626">
        <f t="shared" si="371"/>
        <v>0</v>
      </c>
      <c r="AA338" s="625">
        <f t="array" ref="AA338">IFERROR(INDEX('TB-EQUIPMENT &amp; OTHER HPs'!$U$138:$U$175,MATCH($E338&amp;$F338,'TB-EQUIPMENT &amp; OTHER HPs'!$E$138:$E$175&amp;'TB-EQUIPMENT &amp; OTHER HPs'!$I$138:$I$175,0)),0)</f>
        <v>0</v>
      </c>
      <c r="AB338" s="625">
        <f t="array" ref="AB338">IFERROR(INDEX('TB-EQUIPMENT &amp; OTHER HPs'!$V$138:$V$175,MATCH($E338&amp;$F338,'TB-EQUIPMENT &amp; OTHER HPs'!$E$138:$E$175&amp;'TB-EQUIPMENT &amp; OTHER HPs'!$I$138:$I$175,0)),0)</f>
        <v>0</v>
      </c>
      <c r="AC338" s="626">
        <f t="shared" si="372"/>
        <v>0</v>
      </c>
      <c r="AD338" s="626">
        <f t="shared" si="373"/>
        <v>0</v>
      </c>
      <c r="AE338" s="626">
        <f t="shared" si="374"/>
        <v>0</v>
      </c>
      <c r="AF338" s="625">
        <f t="array" ref="AF338">IFERROR(INDEX('TB-EQUIPMENT &amp; OTHER HPs'!$W$138:$W$175,MATCH($E338&amp;$F338,'TB-EQUIPMENT &amp; OTHER HPs'!$E$138:$E$175&amp;'TB-EQUIPMENT &amp; OTHER HPs'!$I$138:$I$175,0)),0)</f>
        <v>0</v>
      </c>
      <c r="AG338" s="626">
        <f t="shared" si="375"/>
        <v>0</v>
      </c>
      <c r="AH338" s="626">
        <f t="shared" si="376"/>
        <v>0</v>
      </c>
      <c r="AI338" s="626">
        <f t="shared" si="377"/>
        <v>0</v>
      </c>
      <c r="AJ338" s="625">
        <f t="array" ref="AJ338">IFERROR(INDEX('TB-EQUIPMENT &amp; OTHER HPs'!$X$138:$X$175,MATCH($E338&amp;$F338,'TB-EQUIPMENT &amp; OTHER HPs'!$E$138:$E$175&amp;'TB-EQUIPMENT &amp; OTHER HPs'!$I$138:$I$175,0)),0)</f>
        <v>0</v>
      </c>
      <c r="AK338" s="626">
        <f t="shared" si="378"/>
        <v>0</v>
      </c>
      <c r="AL338" s="626">
        <f t="shared" si="379"/>
        <v>0</v>
      </c>
      <c r="AM338" s="626">
        <f t="shared" si="380"/>
        <v>0</v>
      </c>
      <c r="AN338" s="625">
        <f t="array" ref="AN338">IFERROR(INDEX('TB-EQUIPMENT &amp; OTHER HPs'!$Y$138:$Y$175,MATCH($E338&amp;$F338,'TB-EQUIPMENT &amp; OTHER HPs'!$E$138:$E$175&amp;'TB-EQUIPMENT &amp; OTHER HPs'!$I$138:$I$175,0)),0)</f>
        <v>0</v>
      </c>
      <c r="AO338" s="626">
        <f t="shared" si="381"/>
        <v>0</v>
      </c>
      <c r="AP338" s="626">
        <f t="shared" si="382"/>
        <v>0</v>
      </c>
      <c r="AQ338" s="626">
        <f t="shared" si="383"/>
        <v>0</v>
      </c>
      <c r="AR338" s="630"/>
      <c r="AS338" s="625">
        <f t="array" ref="AS338">IFERROR(INDEX('TB-EQUIPMENT &amp; OTHER HPs'!$AB$138:$AB$175,MATCH($E338&amp;$F338,'TB-EQUIPMENT &amp; OTHER HPs'!$E$138:$E$175&amp;'TB-EQUIPMENT &amp; OTHER HPs'!$I$138:$I$175,0)),0)</f>
        <v>0</v>
      </c>
      <c r="AT338" s="625">
        <f t="array" ref="AT338">IFERROR(INDEX('TB-EQUIPMENT &amp; OTHER HPs'!$AC$138:$AC$175,MATCH($E338&amp;$F338,'TB-EQUIPMENT &amp; OTHER HPs'!$E$138:$E$175&amp;'TB-EQUIPMENT &amp; OTHER HPs'!$I$138:$I$175,0)),0)</f>
        <v>0</v>
      </c>
      <c r="AU338" s="626">
        <f t="shared" si="384"/>
        <v>0</v>
      </c>
      <c r="AV338" s="626">
        <f t="shared" si="385"/>
        <v>0</v>
      </c>
      <c r="AW338" s="626">
        <f t="shared" si="386"/>
        <v>0</v>
      </c>
      <c r="AX338" s="625">
        <f t="array" ref="AX338">IFERROR(INDEX('TB-EQUIPMENT &amp; OTHER HPs'!$AD$138:$AD$175,MATCH($E338&amp;$F338,'TB-EQUIPMENT &amp; OTHER HPs'!$E$138:$E$175&amp;'TB-EQUIPMENT &amp; OTHER HPs'!$I$138:$I$175,0)),0)</f>
        <v>0</v>
      </c>
      <c r="AY338" s="626">
        <f t="shared" si="387"/>
        <v>0</v>
      </c>
      <c r="AZ338" s="626">
        <f t="shared" si="388"/>
        <v>0</v>
      </c>
      <c r="BA338" s="626">
        <f t="shared" si="389"/>
        <v>0</v>
      </c>
      <c r="BB338" s="625">
        <f t="array" ref="BB338">IFERROR(INDEX('TB-EQUIPMENT &amp; OTHER HPs'!$AE$138:$AE$175,MATCH($E338&amp;$F338,'TB-EQUIPMENT &amp; OTHER HPs'!$E$138:$E$175&amp;'TB-EQUIPMENT &amp; OTHER HPs'!$I$138:$I$175,0)),0)</f>
        <v>0</v>
      </c>
      <c r="BC338" s="626">
        <f t="shared" si="390"/>
        <v>0</v>
      </c>
      <c r="BD338" s="626">
        <f t="shared" si="391"/>
        <v>0</v>
      </c>
      <c r="BE338" s="626">
        <f t="shared" si="392"/>
        <v>0</v>
      </c>
      <c r="BF338" s="625">
        <f t="array" ref="BF338">IFERROR(INDEX('TB-EQUIPMENT &amp; OTHER HPs'!$AF$138:$AF$175,MATCH($E338&amp;$F338,'TB-EQUIPMENT &amp; OTHER HPs'!$E$138:$E$175&amp;'TB-EQUIPMENT &amp; OTHER HPs'!$I$138:$I$175,0)),0)</f>
        <v>0</v>
      </c>
      <c r="BG338" s="626">
        <f t="shared" si="393"/>
        <v>0</v>
      </c>
      <c r="BH338" s="626">
        <f t="shared" si="394"/>
        <v>0</v>
      </c>
      <c r="BI338" s="626">
        <f t="shared" si="395"/>
        <v>0</v>
      </c>
      <c r="BJ338" s="630"/>
      <c r="BK338" s="625"/>
      <c r="BL338" s="625"/>
      <c r="BM338" s="625"/>
      <c r="BN338" s="625"/>
      <c r="BO338" s="625"/>
      <c r="BP338" s="625"/>
      <c r="BQ338" s="625"/>
      <c r="BR338" s="625"/>
    </row>
    <row r="339" spans="1:70">
      <c r="A339" s="29" t="s">
        <v>1758</v>
      </c>
      <c r="B339" s="29" t="s">
        <v>1838</v>
      </c>
      <c r="C339" s="619">
        <f>SETUP!$F$44</f>
        <v>0</v>
      </c>
      <c r="D339" s="25">
        <v>6.6</v>
      </c>
      <c r="E339" s="26" t="s">
        <v>1494</v>
      </c>
      <c r="F339" s="26" t="s">
        <v>1498</v>
      </c>
      <c r="G339" s="625" t="str">
        <f t="array" ref="G339">IFERROR(INDEX('TB-EQUIPMENT &amp; OTHER HPs'!$L$138:$L$175,MATCH($E339&amp;$F339,'TB-EQUIPMENT &amp; OTHER HPs'!$E$138:$E$175&amp;'TB-EQUIPMENT &amp; OTHER HPs'!$I$138:$I$175,0)),"")</f>
        <v/>
      </c>
      <c r="H339" s="625" t="str">
        <f t="array" ref="H339">IFERROR(INDEX('TB-EQUIPMENT &amp; OTHER HPs'!$M$138:$M$175,MATCH($E339&amp;$F339,'TB-EQUIPMENT &amp; OTHER HPs'!$E$138:$E$175&amp;'TB-EQUIPMENT &amp; OTHER HPs'!$I$138:$I$175,0)),"")</f>
        <v/>
      </c>
      <c r="I339" s="625">
        <f t="array" ref="I339">IFERROR(INDEX('TB-EQUIPMENT &amp; OTHER HPs'!$N$138:$N$175,MATCH($E339&amp;$F339,'TB-EQUIPMENT &amp; OTHER HPs'!$E$138:$E$175&amp;'TB-EQUIPMENT &amp; OTHER HPs'!$I$138:$I$175,0)),0)</f>
        <v>0</v>
      </c>
      <c r="J339" s="625">
        <f t="array" ref="J339">IFERROR(INDEX('TB-EQUIPMENT &amp; OTHER HPs'!$O$138:$O$175,MATCH($E339&amp;$F339,'TB-EQUIPMENT &amp; OTHER HPs'!$E$138:$E$175&amp;'TB-EQUIPMENT &amp; OTHER HPs'!$I$138:$I$175,0)),0)</f>
        <v>0</v>
      </c>
      <c r="K339" s="626">
        <f t="shared" ref="K339:K387" si="396">IF(ISERROR($I339*J339),0,$I339*J339)</f>
        <v>0</v>
      </c>
      <c r="L339" s="626">
        <f t="shared" ref="L339:L387" si="397">IF(C339="Upfront",J339,0)</f>
        <v>0</v>
      </c>
      <c r="M339" s="626">
        <f t="shared" ref="M339:M387" si="398">IF(C339="Upfront",K339,0)</f>
        <v>0</v>
      </c>
      <c r="N339" s="625">
        <f t="array" ref="N339">IFERROR(INDEX('TB-EQUIPMENT &amp; OTHER HPs'!$P$138:$P$175,MATCH($E339&amp;$F339,'TB-EQUIPMENT &amp; OTHER HPs'!$E$138:$E$175&amp;'TB-EQUIPMENT &amp; OTHER HPs'!$I$138:$I$175,0)),0)</f>
        <v>0</v>
      </c>
      <c r="O339" s="626">
        <f t="shared" ref="O339:O387" si="399">IF(ISERROR($I339*N339),0,$I339*N339)</f>
        <v>0</v>
      </c>
      <c r="P339" s="626">
        <f t="shared" ref="P339:P387" si="400">IF(C339="Upfront",N339,0)</f>
        <v>0</v>
      </c>
      <c r="Q339" s="626">
        <f t="shared" ref="Q339:Q387" si="401">IF(C339="Upfront",O339,0)</f>
        <v>0</v>
      </c>
      <c r="R339" s="625">
        <f t="array" ref="R339">IFERROR(INDEX('TB-EQUIPMENT &amp; OTHER HPs'!$Q$138:$Q$175,MATCH($E339&amp;$F339,'TB-EQUIPMENT &amp; OTHER HPs'!$E$138:$E$175&amp;'TB-EQUIPMENT &amp; OTHER HPs'!$I$138:$I$175,0)),0)</f>
        <v>0</v>
      </c>
      <c r="S339" s="626">
        <f t="shared" ref="S339:S387" si="402">IF(ISERROR($I339*R339),0,$I339*R339)</f>
        <v>0</v>
      </c>
      <c r="T339" s="626">
        <f t="shared" ref="T339:T387" si="403">IF(C339="Upfront",R339,IF(C339="At delivery",J339,0))</f>
        <v>0</v>
      </c>
      <c r="U339" s="626">
        <f t="shared" ref="U339:U387" si="404">IF(C339="Upfront",S339,IF(C339="At delivery",K339,0))</f>
        <v>0</v>
      </c>
      <c r="V339" s="625">
        <f t="array" ref="V339">IFERROR(INDEX('TB-EQUIPMENT &amp; OTHER HPs'!$R$138:$R$175,MATCH($E339&amp;$F339,'TB-EQUIPMENT &amp; OTHER HPs'!$E$138:$E$175&amp;'TB-EQUIPMENT &amp; OTHER HPs'!$I$138:$I$175,0)),0)</f>
        <v>0</v>
      </c>
      <c r="W339" s="626">
        <f t="shared" ref="W339:W387" si="405">IF(ISERROR($I339*V339),0,$I339*V339)</f>
        <v>0</v>
      </c>
      <c r="X339" s="626">
        <f t="shared" ref="X339:X387" si="406">IF(C339="Upfront",V339,IF(C339="At delivery",N339,0))</f>
        <v>0</v>
      </c>
      <c r="Y339" s="626">
        <f t="shared" ref="Y339:Y387" si="407">IF(C339="Upfront",W339,IF(C339="At delivery",O339,0))</f>
        <v>0</v>
      </c>
      <c r="AA339" s="625">
        <f t="array" ref="AA339">IFERROR(INDEX('TB-EQUIPMENT &amp; OTHER HPs'!$U$138:$U$175,MATCH($E339&amp;$F339,'TB-EQUIPMENT &amp; OTHER HPs'!$E$138:$E$175&amp;'TB-EQUIPMENT &amp; OTHER HPs'!$I$138:$I$175,0)),0)</f>
        <v>0</v>
      </c>
      <c r="AB339" s="625">
        <f t="array" ref="AB339">IFERROR(INDEX('TB-EQUIPMENT &amp; OTHER HPs'!$V$138:$V$175,MATCH($E339&amp;$F339,'TB-EQUIPMENT &amp; OTHER HPs'!$E$138:$E$175&amp;'TB-EQUIPMENT &amp; OTHER HPs'!$I$138:$I$175,0)),0)</f>
        <v>0</v>
      </c>
      <c r="AC339" s="626">
        <f t="shared" ref="AC339:AC387" si="408">IF(ISERROR($AA339*AB339),0,$AA339*AB339)</f>
        <v>0</v>
      </c>
      <c r="AD339" s="626">
        <f t="shared" ref="AD339:AD387" si="409">IF(C339="Upfront",AB339,IF(C339="At delivery",R339,0))</f>
        <v>0</v>
      </c>
      <c r="AE339" s="626">
        <f t="shared" ref="AE339:AE387" si="410">IF(C339="Upfront",AC339,IF(C339="At delivery",S339,0))</f>
        <v>0</v>
      </c>
      <c r="AF339" s="625">
        <f t="array" ref="AF339">IFERROR(INDEX('TB-EQUIPMENT &amp; OTHER HPs'!$W$138:$W$175,MATCH($E339&amp;$F339,'TB-EQUIPMENT &amp; OTHER HPs'!$E$138:$E$175&amp;'TB-EQUIPMENT &amp; OTHER HPs'!$I$138:$I$175,0)),0)</f>
        <v>0</v>
      </c>
      <c r="AG339" s="626">
        <f t="shared" ref="AG339:AG387" si="411">IF(ISERROR($AA339*AF339),0,$AA339*AF339)</f>
        <v>0</v>
      </c>
      <c r="AH339" s="626">
        <f t="shared" ref="AH339:AH387" si="412">IF(C339="Upfront",AF339,IF(C339="At delivery",V339,0))</f>
        <v>0</v>
      </c>
      <c r="AI339" s="626">
        <f t="shared" ref="AI339:AI387" si="413">IF(C339="Upfront",AG339,IF(C339="At delivery",W339,0))</f>
        <v>0</v>
      </c>
      <c r="AJ339" s="625">
        <f t="array" ref="AJ339">IFERROR(INDEX('TB-EQUIPMENT &amp; OTHER HPs'!$X$138:$X$175,MATCH($E339&amp;$F339,'TB-EQUIPMENT &amp; OTHER HPs'!$E$138:$E$175&amp;'TB-EQUIPMENT &amp; OTHER HPs'!$I$138:$I$175,0)),0)</f>
        <v>0</v>
      </c>
      <c r="AK339" s="626">
        <f t="shared" ref="AK339:AK387" si="414">IF(ISERROR($AA339*AJ339),0,$AA339*AJ339)</f>
        <v>0</v>
      </c>
      <c r="AL339" s="626">
        <f t="shared" ref="AL339:AL387" si="415">IF(C339="Upfront",AJ339,IF(C339="At delivery",AB339,0))</f>
        <v>0</v>
      </c>
      <c r="AM339" s="626">
        <f t="shared" ref="AM339:AM387" si="416">IF(C339="Upfront",AK339,IF(C339="At delivery",AC339,0))</f>
        <v>0</v>
      </c>
      <c r="AN339" s="625">
        <f t="array" ref="AN339">IFERROR(INDEX('TB-EQUIPMENT &amp; OTHER HPs'!$Y$138:$Y$175,MATCH($E339&amp;$F339,'TB-EQUIPMENT &amp; OTHER HPs'!$E$138:$E$175&amp;'TB-EQUIPMENT &amp; OTHER HPs'!$I$138:$I$175,0)),0)</f>
        <v>0</v>
      </c>
      <c r="AO339" s="626">
        <f t="shared" ref="AO339:AO387" si="417">IF(ISERROR($AA339*AN339),0,$AA339*AN339)</f>
        <v>0</v>
      </c>
      <c r="AP339" s="626">
        <f t="shared" ref="AP339:AP387" si="418">IF(C339="Upfront",AN339,IF(C339="At delivery",AF339,0))</f>
        <v>0</v>
      </c>
      <c r="AQ339" s="626">
        <f t="shared" ref="AQ339:AQ387" si="419">IF(C339="Upfront",AO339,IF(C339="At delivery",AG339,0))</f>
        <v>0</v>
      </c>
      <c r="AR339" s="630"/>
      <c r="AS339" s="625">
        <f t="array" ref="AS339">IFERROR(INDEX('TB-EQUIPMENT &amp; OTHER HPs'!$AB$138:$AB$175,MATCH($E339&amp;$F339,'TB-EQUIPMENT &amp; OTHER HPs'!$E$138:$E$175&amp;'TB-EQUIPMENT &amp; OTHER HPs'!$I$138:$I$175,0)),0)</f>
        <v>0</v>
      </c>
      <c r="AT339" s="625">
        <f t="array" ref="AT339">IFERROR(INDEX('TB-EQUIPMENT &amp; OTHER HPs'!$AC$138:$AC$175,MATCH($E339&amp;$F339,'TB-EQUIPMENT &amp; OTHER HPs'!$E$138:$E$175&amp;'TB-EQUIPMENT &amp; OTHER HPs'!$I$138:$I$175,0)),0)</f>
        <v>0</v>
      </c>
      <c r="AU339" s="626">
        <f t="shared" ref="AU339:AU387" si="420">IF(ISERROR($AS339*AT339),0,$AS339*AT339)</f>
        <v>0</v>
      </c>
      <c r="AV339" s="626">
        <f t="shared" ref="AV339:AV387" si="421">IF(C339="Upfront",AT339,IF(C339="At delivery",AJ339,0))</f>
        <v>0</v>
      </c>
      <c r="AW339" s="626">
        <f t="shared" ref="AW339:AW387" si="422">IF(C339="Upfront",AU339,IF(C339="At delivery",AK339,0))</f>
        <v>0</v>
      </c>
      <c r="AX339" s="625">
        <f t="array" ref="AX339">IFERROR(INDEX('TB-EQUIPMENT &amp; OTHER HPs'!$AD$138:$AD$175,MATCH($E339&amp;$F339,'TB-EQUIPMENT &amp; OTHER HPs'!$E$138:$E$175&amp;'TB-EQUIPMENT &amp; OTHER HPs'!$I$138:$I$175,0)),0)</f>
        <v>0</v>
      </c>
      <c r="AY339" s="626">
        <f t="shared" ref="AY339:AY387" si="423">IF(ISERROR($AS339*AX339),0,$AS339*AX339)</f>
        <v>0</v>
      </c>
      <c r="AZ339" s="626">
        <f t="shared" ref="AZ339:AZ387" si="424">IF(C339="Upfront",AX339,IF(C339="At delivery",AN339,0))</f>
        <v>0</v>
      </c>
      <c r="BA339" s="626">
        <f t="shared" ref="BA339:BA387" si="425">IF(C339="Upfront",AY339,IF(C339="At delivery",AO339,0))</f>
        <v>0</v>
      </c>
      <c r="BB339" s="625">
        <f t="array" ref="BB339">IFERROR(INDEX('TB-EQUIPMENT &amp; OTHER HPs'!$AE$138:$AE$175,MATCH($E339&amp;$F339,'TB-EQUIPMENT &amp; OTHER HPs'!$E$138:$E$175&amp;'TB-EQUIPMENT &amp; OTHER HPs'!$I$138:$I$175,0)),0)</f>
        <v>0</v>
      </c>
      <c r="BC339" s="626">
        <f t="shared" ref="BC339:BC387" si="426">IF(ISERROR($AS339*BB339),0,$AS339*BB339)</f>
        <v>0</v>
      </c>
      <c r="BD339" s="626">
        <f t="shared" ref="BD339:BD387" si="427">IF(C339="Upfront",BB339,IF(C339="At delivery",AT339,0))</f>
        <v>0</v>
      </c>
      <c r="BE339" s="626">
        <f t="shared" ref="BE339:BE387" si="428">IF(C339="Upfront",BC339,IF(C339="At delivery",AU339,0))</f>
        <v>0</v>
      </c>
      <c r="BF339" s="625">
        <f t="array" ref="BF339">IFERROR(INDEX('TB-EQUIPMENT &amp; OTHER HPs'!$AF$138:$AF$175,MATCH($E339&amp;$F339,'TB-EQUIPMENT &amp; OTHER HPs'!$E$138:$E$175&amp;'TB-EQUIPMENT &amp; OTHER HPs'!$I$138:$I$175,0)),0)</f>
        <v>0</v>
      </c>
      <c r="BG339" s="626">
        <f t="shared" ref="BG339:BG387" si="429">IF(ISERROR($AS339*BF339),0,$AS339*BF339)</f>
        <v>0</v>
      </c>
      <c r="BH339" s="626">
        <f t="shared" ref="BH339:BH387" si="430">IF(C339="Upfront",BF339,IF(C339="At delivery",AX339,0))</f>
        <v>0</v>
      </c>
      <c r="BI339" s="626">
        <f t="shared" ref="BI339:BI387" si="431">IF(C339="Upfront",BG339,IF(C339="At delivery",AY339,0))</f>
        <v>0</v>
      </c>
      <c r="BJ339" s="630"/>
      <c r="BK339" s="625"/>
      <c r="BL339" s="625"/>
      <c r="BM339" s="625"/>
      <c r="BN339" s="625"/>
      <c r="BO339" s="625"/>
      <c r="BP339" s="625"/>
      <c r="BQ339" s="625"/>
      <c r="BR339" s="625"/>
    </row>
    <row r="340" spans="1:70">
      <c r="A340" s="29" t="s">
        <v>1758</v>
      </c>
      <c r="B340" s="29" t="s">
        <v>1838</v>
      </c>
      <c r="C340" s="619">
        <f>SETUP!$F$44</f>
        <v>0</v>
      </c>
      <c r="D340" s="25">
        <v>6.6</v>
      </c>
      <c r="E340" s="26" t="s">
        <v>1494</v>
      </c>
      <c r="F340" s="26" t="s">
        <v>1499</v>
      </c>
      <c r="G340" s="625" t="str">
        <f t="array" ref="G340">IFERROR(INDEX('TB-EQUIPMENT &amp; OTHER HPs'!$L$138:$L$175,MATCH($E340&amp;$F340,'TB-EQUIPMENT &amp; OTHER HPs'!$E$138:$E$175&amp;'TB-EQUIPMENT &amp; OTHER HPs'!$I$138:$I$175,0)),"")</f>
        <v/>
      </c>
      <c r="H340" s="625" t="str">
        <f t="array" ref="H340">IFERROR(INDEX('TB-EQUIPMENT &amp; OTHER HPs'!$M$138:$M$175,MATCH($E340&amp;$F340,'TB-EQUIPMENT &amp; OTHER HPs'!$E$138:$E$175&amp;'TB-EQUIPMENT &amp; OTHER HPs'!$I$138:$I$175,0)),"")</f>
        <v/>
      </c>
      <c r="I340" s="625">
        <f t="array" ref="I340">IFERROR(INDEX('TB-EQUIPMENT &amp; OTHER HPs'!$N$138:$N$175,MATCH($E340&amp;$F340,'TB-EQUIPMENT &amp; OTHER HPs'!$E$138:$E$175&amp;'TB-EQUIPMENT &amp; OTHER HPs'!$I$138:$I$175,0)),0)</f>
        <v>0</v>
      </c>
      <c r="J340" s="625">
        <f t="array" ref="J340">IFERROR(INDEX('TB-EQUIPMENT &amp; OTHER HPs'!$O$138:$O$175,MATCH($E340&amp;$F340,'TB-EQUIPMENT &amp; OTHER HPs'!$E$138:$E$175&amp;'TB-EQUIPMENT &amp; OTHER HPs'!$I$138:$I$175,0)),0)</f>
        <v>0</v>
      </c>
      <c r="K340" s="626">
        <f t="shared" si="396"/>
        <v>0</v>
      </c>
      <c r="L340" s="626">
        <f t="shared" si="397"/>
        <v>0</v>
      </c>
      <c r="M340" s="626">
        <f t="shared" si="398"/>
        <v>0</v>
      </c>
      <c r="N340" s="625">
        <f t="array" ref="N340">IFERROR(INDEX('TB-EQUIPMENT &amp; OTHER HPs'!$P$138:$P$175,MATCH($E340&amp;$F340,'TB-EQUIPMENT &amp; OTHER HPs'!$E$138:$E$175&amp;'TB-EQUIPMENT &amp; OTHER HPs'!$I$138:$I$175,0)),0)</f>
        <v>0</v>
      </c>
      <c r="O340" s="626">
        <f t="shared" si="399"/>
        <v>0</v>
      </c>
      <c r="P340" s="626">
        <f t="shared" si="400"/>
        <v>0</v>
      </c>
      <c r="Q340" s="626">
        <f t="shared" si="401"/>
        <v>0</v>
      </c>
      <c r="R340" s="625">
        <f t="array" ref="R340">IFERROR(INDEX('TB-EQUIPMENT &amp; OTHER HPs'!$Q$138:$Q$175,MATCH($E340&amp;$F340,'TB-EQUIPMENT &amp; OTHER HPs'!$E$138:$E$175&amp;'TB-EQUIPMENT &amp; OTHER HPs'!$I$138:$I$175,0)),0)</f>
        <v>0</v>
      </c>
      <c r="S340" s="626">
        <f t="shared" si="402"/>
        <v>0</v>
      </c>
      <c r="T340" s="626">
        <f t="shared" si="403"/>
        <v>0</v>
      </c>
      <c r="U340" s="626">
        <f t="shared" si="404"/>
        <v>0</v>
      </c>
      <c r="V340" s="625">
        <f t="array" ref="V340">IFERROR(INDEX('TB-EQUIPMENT &amp; OTHER HPs'!$R$138:$R$175,MATCH($E340&amp;$F340,'TB-EQUIPMENT &amp; OTHER HPs'!$E$138:$E$175&amp;'TB-EQUIPMENT &amp; OTHER HPs'!$I$138:$I$175,0)),0)</f>
        <v>0</v>
      </c>
      <c r="W340" s="626">
        <f t="shared" si="405"/>
        <v>0</v>
      </c>
      <c r="X340" s="626">
        <f t="shared" si="406"/>
        <v>0</v>
      </c>
      <c r="Y340" s="626">
        <f t="shared" si="407"/>
        <v>0</v>
      </c>
      <c r="AA340" s="625">
        <f t="array" ref="AA340">IFERROR(INDEX('TB-EQUIPMENT &amp; OTHER HPs'!$U$138:$U$175,MATCH($E340&amp;$F340,'TB-EQUIPMENT &amp; OTHER HPs'!$E$138:$E$175&amp;'TB-EQUIPMENT &amp; OTHER HPs'!$I$138:$I$175,0)),0)</f>
        <v>0</v>
      </c>
      <c r="AB340" s="625">
        <f t="array" ref="AB340">IFERROR(INDEX('TB-EQUIPMENT &amp; OTHER HPs'!$V$138:$V$175,MATCH($E340&amp;$F340,'TB-EQUIPMENT &amp; OTHER HPs'!$E$138:$E$175&amp;'TB-EQUIPMENT &amp; OTHER HPs'!$I$138:$I$175,0)),0)</f>
        <v>0</v>
      </c>
      <c r="AC340" s="626">
        <f t="shared" si="408"/>
        <v>0</v>
      </c>
      <c r="AD340" s="626">
        <f t="shared" si="409"/>
        <v>0</v>
      </c>
      <c r="AE340" s="626">
        <f t="shared" si="410"/>
        <v>0</v>
      </c>
      <c r="AF340" s="625">
        <f t="array" ref="AF340">IFERROR(INDEX('TB-EQUIPMENT &amp; OTHER HPs'!$W$138:$W$175,MATCH($E340&amp;$F340,'TB-EQUIPMENT &amp; OTHER HPs'!$E$138:$E$175&amp;'TB-EQUIPMENT &amp; OTHER HPs'!$I$138:$I$175,0)),0)</f>
        <v>0</v>
      </c>
      <c r="AG340" s="626">
        <f t="shared" si="411"/>
        <v>0</v>
      </c>
      <c r="AH340" s="626">
        <f t="shared" si="412"/>
        <v>0</v>
      </c>
      <c r="AI340" s="626">
        <f t="shared" si="413"/>
        <v>0</v>
      </c>
      <c r="AJ340" s="625">
        <f t="array" ref="AJ340">IFERROR(INDEX('TB-EQUIPMENT &amp; OTHER HPs'!$X$138:$X$175,MATCH($E340&amp;$F340,'TB-EQUIPMENT &amp; OTHER HPs'!$E$138:$E$175&amp;'TB-EQUIPMENT &amp; OTHER HPs'!$I$138:$I$175,0)),0)</f>
        <v>0</v>
      </c>
      <c r="AK340" s="626">
        <f t="shared" si="414"/>
        <v>0</v>
      </c>
      <c r="AL340" s="626">
        <f t="shared" si="415"/>
        <v>0</v>
      </c>
      <c r="AM340" s="626">
        <f t="shared" si="416"/>
        <v>0</v>
      </c>
      <c r="AN340" s="625">
        <f t="array" ref="AN340">IFERROR(INDEX('TB-EQUIPMENT &amp; OTHER HPs'!$Y$138:$Y$175,MATCH($E340&amp;$F340,'TB-EQUIPMENT &amp; OTHER HPs'!$E$138:$E$175&amp;'TB-EQUIPMENT &amp; OTHER HPs'!$I$138:$I$175,0)),0)</f>
        <v>0</v>
      </c>
      <c r="AO340" s="626">
        <f t="shared" si="417"/>
        <v>0</v>
      </c>
      <c r="AP340" s="626">
        <f t="shared" si="418"/>
        <v>0</v>
      </c>
      <c r="AQ340" s="626">
        <f t="shared" si="419"/>
        <v>0</v>
      </c>
      <c r="AR340" s="630"/>
      <c r="AS340" s="625">
        <f t="array" ref="AS340">IFERROR(INDEX('TB-EQUIPMENT &amp; OTHER HPs'!$AB$138:$AB$175,MATCH($E340&amp;$F340,'TB-EQUIPMENT &amp; OTHER HPs'!$E$138:$E$175&amp;'TB-EQUIPMENT &amp; OTHER HPs'!$I$138:$I$175,0)),0)</f>
        <v>0</v>
      </c>
      <c r="AT340" s="625">
        <f t="array" ref="AT340">IFERROR(INDEX('TB-EQUIPMENT &amp; OTHER HPs'!$AC$138:$AC$175,MATCH($E340&amp;$F340,'TB-EQUIPMENT &amp; OTHER HPs'!$E$138:$E$175&amp;'TB-EQUIPMENT &amp; OTHER HPs'!$I$138:$I$175,0)),0)</f>
        <v>0</v>
      </c>
      <c r="AU340" s="626">
        <f t="shared" si="420"/>
        <v>0</v>
      </c>
      <c r="AV340" s="626">
        <f t="shared" si="421"/>
        <v>0</v>
      </c>
      <c r="AW340" s="626">
        <f t="shared" si="422"/>
        <v>0</v>
      </c>
      <c r="AX340" s="625">
        <f t="array" ref="AX340">IFERROR(INDEX('TB-EQUIPMENT &amp; OTHER HPs'!$AD$138:$AD$175,MATCH($E340&amp;$F340,'TB-EQUIPMENT &amp; OTHER HPs'!$E$138:$E$175&amp;'TB-EQUIPMENT &amp; OTHER HPs'!$I$138:$I$175,0)),0)</f>
        <v>0</v>
      </c>
      <c r="AY340" s="626">
        <f t="shared" si="423"/>
        <v>0</v>
      </c>
      <c r="AZ340" s="626">
        <f t="shared" si="424"/>
        <v>0</v>
      </c>
      <c r="BA340" s="626">
        <f t="shared" si="425"/>
        <v>0</v>
      </c>
      <c r="BB340" s="625">
        <f t="array" ref="BB340">IFERROR(INDEX('TB-EQUIPMENT &amp; OTHER HPs'!$AE$138:$AE$175,MATCH($E340&amp;$F340,'TB-EQUIPMENT &amp; OTHER HPs'!$E$138:$E$175&amp;'TB-EQUIPMENT &amp; OTHER HPs'!$I$138:$I$175,0)),0)</f>
        <v>0</v>
      </c>
      <c r="BC340" s="626">
        <f t="shared" si="426"/>
        <v>0</v>
      </c>
      <c r="BD340" s="626">
        <f t="shared" si="427"/>
        <v>0</v>
      </c>
      <c r="BE340" s="626">
        <f t="shared" si="428"/>
        <v>0</v>
      </c>
      <c r="BF340" s="625">
        <f t="array" ref="BF340">IFERROR(INDEX('TB-EQUIPMENT &amp; OTHER HPs'!$AF$138:$AF$175,MATCH($E340&amp;$F340,'TB-EQUIPMENT &amp; OTHER HPs'!$E$138:$E$175&amp;'TB-EQUIPMENT &amp; OTHER HPs'!$I$138:$I$175,0)),0)</f>
        <v>0</v>
      </c>
      <c r="BG340" s="626">
        <f t="shared" si="429"/>
        <v>0</v>
      </c>
      <c r="BH340" s="626">
        <f t="shared" si="430"/>
        <v>0</v>
      </c>
      <c r="BI340" s="626">
        <f t="shared" si="431"/>
        <v>0</v>
      </c>
      <c r="BJ340" s="630"/>
      <c r="BK340" s="625"/>
      <c r="BL340" s="625"/>
      <c r="BM340" s="625"/>
      <c r="BN340" s="625"/>
      <c r="BO340" s="625"/>
      <c r="BP340" s="625"/>
      <c r="BQ340" s="625"/>
      <c r="BR340" s="625"/>
    </row>
    <row r="341" spans="1:70">
      <c r="A341" s="29" t="s">
        <v>1758</v>
      </c>
      <c r="B341" s="29" t="s">
        <v>1838</v>
      </c>
      <c r="C341" s="619">
        <f>SETUP!$F$44</f>
        <v>0</v>
      </c>
      <c r="D341" s="25">
        <v>6.6</v>
      </c>
      <c r="E341" s="26" t="s">
        <v>1494</v>
      </c>
      <c r="F341" s="26" t="s">
        <v>1500</v>
      </c>
      <c r="G341" s="625" t="str">
        <f t="array" ref="G341">IFERROR(INDEX('TB-EQUIPMENT &amp; OTHER HPs'!$L$138:$L$175,MATCH($E341&amp;$F341,'TB-EQUIPMENT &amp; OTHER HPs'!$E$138:$E$175&amp;'TB-EQUIPMENT &amp; OTHER HPs'!$I$138:$I$175,0)),"")</f>
        <v/>
      </c>
      <c r="H341" s="625" t="str">
        <f t="array" ref="H341">IFERROR(INDEX('TB-EQUIPMENT &amp; OTHER HPs'!$M$138:$M$175,MATCH($E341&amp;$F341,'TB-EQUIPMENT &amp; OTHER HPs'!$E$138:$E$175&amp;'TB-EQUIPMENT &amp; OTHER HPs'!$I$138:$I$175,0)),"")</f>
        <v/>
      </c>
      <c r="I341" s="625">
        <f t="array" ref="I341">IFERROR(INDEX('TB-EQUIPMENT &amp; OTHER HPs'!$N$138:$N$175,MATCH($E341&amp;$F341,'TB-EQUIPMENT &amp; OTHER HPs'!$E$138:$E$175&amp;'TB-EQUIPMENT &amp; OTHER HPs'!$I$138:$I$175,0)),0)</f>
        <v>0</v>
      </c>
      <c r="J341" s="625">
        <f t="array" ref="J341">IFERROR(INDEX('TB-EQUIPMENT &amp; OTHER HPs'!$O$138:$O$175,MATCH($E341&amp;$F341,'TB-EQUIPMENT &amp; OTHER HPs'!$E$138:$E$175&amp;'TB-EQUIPMENT &amp; OTHER HPs'!$I$138:$I$175,0)),0)</f>
        <v>0</v>
      </c>
      <c r="K341" s="626">
        <f t="shared" si="396"/>
        <v>0</v>
      </c>
      <c r="L341" s="626">
        <f t="shared" si="397"/>
        <v>0</v>
      </c>
      <c r="M341" s="626">
        <f t="shared" si="398"/>
        <v>0</v>
      </c>
      <c r="N341" s="625">
        <f t="array" ref="N341">IFERROR(INDEX('TB-EQUIPMENT &amp; OTHER HPs'!$P$138:$P$175,MATCH($E341&amp;$F341,'TB-EQUIPMENT &amp; OTHER HPs'!$E$138:$E$175&amp;'TB-EQUIPMENT &amp; OTHER HPs'!$I$138:$I$175,0)),0)</f>
        <v>0</v>
      </c>
      <c r="O341" s="626">
        <f t="shared" si="399"/>
        <v>0</v>
      </c>
      <c r="P341" s="626">
        <f t="shared" si="400"/>
        <v>0</v>
      </c>
      <c r="Q341" s="626">
        <f t="shared" si="401"/>
        <v>0</v>
      </c>
      <c r="R341" s="625">
        <f t="array" ref="R341">IFERROR(INDEX('TB-EQUIPMENT &amp; OTHER HPs'!$Q$138:$Q$175,MATCH($E341&amp;$F341,'TB-EQUIPMENT &amp; OTHER HPs'!$E$138:$E$175&amp;'TB-EQUIPMENT &amp; OTHER HPs'!$I$138:$I$175,0)),0)</f>
        <v>0</v>
      </c>
      <c r="S341" s="626">
        <f t="shared" si="402"/>
        <v>0</v>
      </c>
      <c r="T341" s="626">
        <f t="shared" si="403"/>
        <v>0</v>
      </c>
      <c r="U341" s="626">
        <f t="shared" si="404"/>
        <v>0</v>
      </c>
      <c r="V341" s="625">
        <f t="array" ref="V341">IFERROR(INDEX('TB-EQUIPMENT &amp; OTHER HPs'!$R$138:$R$175,MATCH($E341&amp;$F341,'TB-EQUIPMENT &amp; OTHER HPs'!$E$138:$E$175&amp;'TB-EQUIPMENT &amp; OTHER HPs'!$I$138:$I$175,0)),0)</f>
        <v>0</v>
      </c>
      <c r="W341" s="626">
        <f t="shared" si="405"/>
        <v>0</v>
      </c>
      <c r="X341" s="626">
        <f t="shared" si="406"/>
        <v>0</v>
      </c>
      <c r="Y341" s="626">
        <f t="shared" si="407"/>
        <v>0</v>
      </c>
      <c r="AA341" s="625">
        <f t="array" ref="AA341">IFERROR(INDEX('TB-EQUIPMENT &amp; OTHER HPs'!$U$138:$U$175,MATCH($E341&amp;$F341,'TB-EQUIPMENT &amp; OTHER HPs'!$E$138:$E$175&amp;'TB-EQUIPMENT &amp; OTHER HPs'!$I$138:$I$175,0)),0)</f>
        <v>0</v>
      </c>
      <c r="AB341" s="625">
        <f t="array" ref="AB341">IFERROR(INDEX('TB-EQUIPMENT &amp; OTHER HPs'!$V$138:$V$175,MATCH($E341&amp;$F341,'TB-EQUIPMENT &amp; OTHER HPs'!$E$138:$E$175&amp;'TB-EQUIPMENT &amp; OTHER HPs'!$I$138:$I$175,0)),0)</f>
        <v>0</v>
      </c>
      <c r="AC341" s="626">
        <f t="shared" si="408"/>
        <v>0</v>
      </c>
      <c r="AD341" s="626">
        <f t="shared" si="409"/>
        <v>0</v>
      </c>
      <c r="AE341" s="626">
        <f t="shared" si="410"/>
        <v>0</v>
      </c>
      <c r="AF341" s="625">
        <f t="array" ref="AF341">IFERROR(INDEX('TB-EQUIPMENT &amp; OTHER HPs'!$W$138:$W$175,MATCH($E341&amp;$F341,'TB-EQUIPMENT &amp; OTHER HPs'!$E$138:$E$175&amp;'TB-EQUIPMENT &amp; OTHER HPs'!$I$138:$I$175,0)),0)</f>
        <v>0</v>
      </c>
      <c r="AG341" s="626">
        <f t="shared" si="411"/>
        <v>0</v>
      </c>
      <c r="AH341" s="626">
        <f t="shared" si="412"/>
        <v>0</v>
      </c>
      <c r="AI341" s="626">
        <f t="shared" si="413"/>
        <v>0</v>
      </c>
      <c r="AJ341" s="625">
        <f t="array" ref="AJ341">IFERROR(INDEX('TB-EQUIPMENT &amp; OTHER HPs'!$X$138:$X$175,MATCH($E341&amp;$F341,'TB-EQUIPMENT &amp; OTHER HPs'!$E$138:$E$175&amp;'TB-EQUIPMENT &amp; OTHER HPs'!$I$138:$I$175,0)),0)</f>
        <v>0</v>
      </c>
      <c r="AK341" s="626">
        <f t="shared" si="414"/>
        <v>0</v>
      </c>
      <c r="AL341" s="626">
        <f t="shared" si="415"/>
        <v>0</v>
      </c>
      <c r="AM341" s="626">
        <f t="shared" si="416"/>
        <v>0</v>
      </c>
      <c r="AN341" s="625">
        <f t="array" ref="AN341">IFERROR(INDEX('TB-EQUIPMENT &amp; OTHER HPs'!$Y$138:$Y$175,MATCH($E341&amp;$F341,'TB-EQUIPMENT &amp; OTHER HPs'!$E$138:$E$175&amp;'TB-EQUIPMENT &amp; OTHER HPs'!$I$138:$I$175,0)),0)</f>
        <v>0</v>
      </c>
      <c r="AO341" s="626">
        <f t="shared" si="417"/>
        <v>0</v>
      </c>
      <c r="AP341" s="626">
        <f t="shared" si="418"/>
        <v>0</v>
      </c>
      <c r="AQ341" s="626">
        <f t="shared" si="419"/>
        <v>0</v>
      </c>
      <c r="AR341" s="630"/>
      <c r="AS341" s="625">
        <f t="array" ref="AS341">IFERROR(INDEX('TB-EQUIPMENT &amp; OTHER HPs'!$AB$138:$AB$175,MATCH($E341&amp;$F341,'TB-EQUIPMENT &amp; OTHER HPs'!$E$138:$E$175&amp;'TB-EQUIPMENT &amp; OTHER HPs'!$I$138:$I$175,0)),0)</f>
        <v>0</v>
      </c>
      <c r="AT341" s="625">
        <f t="array" ref="AT341">IFERROR(INDEX('TB-EQUIPMENT &amp; OTHER HPs'!$AC$138:$AC$175,MATCH($E341&amp;$F341,'TB-EQUIPMENT &amp; OTHER HPs'!$E$138:$E$175&amp;'TB-EQUIPMENT &amp; OTHER HPs'!$I$138:$I$175,0)),0)</f>
        <v>0</v>
      </c>
      <c r="AU341" s="626">
        <f t="shared" si="420"/>
        <v>0</v>
      </c>
      <c r="AV341" s="626">
        <f t="shared" si="421"/>
        <v>0</v>
      </c>
      <c r="AW341" s="626">
        <f t="shared" si="422"/>
        <v>0</v>
      </c>
      <c r="AX341" s="625">
        <f t="array" ref="AX341">IFERROR(INDEX('TB-EQUIPMENT &amp; OTHER HPs'!$AD$138:$AD$175,MATCH($E341&amp;$F341,'TB-EQUIPMENT &amp; OTHER HPs'!$E$138:$E$175&amp;'TB-EQUIPMENT &amp; OTHER HPs'!$I$138:$I$175,0)),0)</f>
        <v>0</v>
      </c>
      <c r="AY341" s="626">
        <f t="shared" si="423"/>
        <v>0</v>
      </c>
      <c r="AZ341" s="626">
        <f t="shared" si="424"/>
        <v>0</v>
      </c>
      <c r="BA341" s="626">
        <f t="shared" si="425"/>
        <v>0</v>
      </c>
      <c r="BB341" s="625">
        <f t="array" ref="BB341">IFERROR(INDEX('TB-EQUIPMENT &amp; OTHER HPs'!$AE$138:$AE$175,MATCH($E341&amp;$F341,'TB-EQUIPMENT &amp; OTHER HPs'!$E$138:$E$175&amp;'TB-EQUIPMENT &amp; OTHER HPs'!$I$138:$I$175,0)),0)</f>
        <v>0</v>
      </c>
      <c r="BC341" s="626">
        <f t="shared" si="426"/>
        <v>0</v>
      </c>
      <c r="BD341" s="626">
        <f t="shared" si="427"/>
        <v>0</v>
      </c>
      <c r="BE341" s="626">
        <f t="shared" si="428"/>
        <v>0</v>
      </c>
      <c r="BF341" s="625">
        <f t="array" ref="BF341">IFERROR(INDEX('TB-EQUIPMENT &amp; OTHER HPs'!$AF$138:$AF$175,MATCH($E341&amp;$F341,'TB-EQUIPMENT &amp; OTHER HPs'!$E$138:$E$175&amp;'TB-EQUIPMENT &amp; OTHER HPs'!$I$138:$I$175,0)),0)</f>
        <v>0</v>
      </c>
      <c r="BG341" s="626">
        <f t="shared" si="429"/>
        <v>0</v>
      </c>
      <c r="BH341" s="626">
        <f t="shared" si="430"/>
        <v>0</v>
      </c>
      <c r="BI341" s="626">
        <f t="shared" si="431"/>
        <v>0</v>
      </c>
      <c r="BJ341" s="630"/>
      <c r="BK341" s="625"/>
      <c r="BL341" s="625"/>
      <c r="BM341" s="625"/>
      <c r="BN341" s="625"/>
      <c r="BO341" s="625"/>
      <c r="BP341" s="625"/>
      <c r="BQ341" s="625"/>
      <c r="BR341" s="625"/>
    </row>
    <row r="342" spans="1:70">
      <c r="A342" s="29" t="s">
        <v>1758</v>
      </c>
      <c r="B342" s="29" t="s">
        <v>1838</v>
      </c>
      <c r="C342" s="619">
        <f>SETUP!$F$44</f>
        <v>0</v>
      </c>
      <c r="D342" s="25">
        <v>6.6</v>
      </c>
      <c r="E342" s="26" t="s">
        <v>1494</v>
      </c>
      <c r="F342" s="26" t="s">
        <v>1501</v>
      </c>
      <c r="G342" s="625" t="str">
        <f t="array" ref="G342">IFERROR(INDEX('TB-EQUIPMENT &amp; OTHER HPs'!$L$138:$L$175,MATCH($E342&amp;$F342,'TB-EQUIPMENT &amp; OTHER HPs'!$E$138:$E$175&amp;'TB-EQUIPMENT &amp; OTHER HPs'!$I$138:$I$175,0)),"")</f>
        <v/>
      </c>
      <c r="H342" s="625" t="str">
        <f t="array" ref="H342">IFERROR(INDEX('TB-EQUIPMENT &amp; OTHER HPs'!$M$138:$M$175,MATCH($E342&amp;$F342,'TB-EQUIPMENT &amp; OTHER HPs'!$E$138:$E$175&amp;'TB-EQUIPMENT &amp; OTHER HPs'!$I$138:$I$175,0)),"")</f>
        <v/>
      </c>
      <c r="I342" s="625">
        <f t="array" ref="I342">IFERROR(INDEX('TB-EQUIPMENT &amp; OTHER HPs'!$N$138:$N$175,MATCH($E342&amp;$F342,'TB-EQUIPMENT &amp; OTHER HPs'!$E$138:$E$175&amp;'TB-EQUIPMENT &amp; OTHER HPs'!$I$138:$I$175,0)),0)</f>
        <v>0</v>
      </c>
      <c r="J342" s="625">
        <f t="array" ref="J342">IFERROR(INDEX('TB-EQUIPMENT &amp; OTHER HPs'!$O$138:$O$175,MATCH($E342&amp;$F342,'TB-EQUIPMENT &amp; OTHER HPs'!$E$138:$E$175&amp;'TB-EQUIPMENT &amp; OTHER HPs'!$I$138:$I$175,0)),0)</f>
        <v>0</v>
      </c>
      <c r="K342" s="626">
        <f>IF(ISERROR($I342*J342),0,$I342*J342)</f>
        <v>0</v>
      </c>
      <c r="L342" s="626">
        <f>IF(C342="Upfront",J342,0)</f>
        <v>0</v>
      </c>
      <c r="M342" s="626">
        <f>IF(C342="Upfront",K342,0)</f>
        <v>0</v>
      </c>
      <c r="N342" s="625">
        <f t="array" ref="N342">IFERROR(INDEX('TB-EQUIPMENT &amp; OTHER HPs'!$P$138:$P$175,MATCH($E342&amp;$F342,'TB-EQUIPMENT &amp; OTHER HPs'!$E$138:$E$175&amp;'TB-EQUIPMENT &amp; OTHER HPs'!$I$138:$I$175,0)),0)</f>
        <v>0</v>
      </c>
      <c r="O342" s="626">
        <f>IF(ISERROR($I342*N342),0,$I342*N342)</f>
        <v>0</v>
      </c>
      <c r="P342" s="626">
        <f>IF(C342="Upfront",N342,0)</f>
        <v>0</v>
      </c>
      <c r="Q342" s="626">
        <f>IF(C342="Upfront",O342,0)</f>
        <v>0</v>
      </c>
      <c r="R342" s="625">
        <f t="array" ref="R342">IFERROR(INDEX('TB-EQUIPMENT &amp; OTHER HPs'!$Q$138:$Q$175,MATCH($E342&amp;$F342,'TB-EQUIPMENT &amp; OTHER HPs'!$E$138:$E$175&amp;'TB-EQUIPMENT &amp; OTHER HPs'!$I$138:$I$175,0)),0)</f>
        <v>0</v>
      </c>
      <c r="S342" s="626">
        <f>IF(ISERROR($I342*R342),0,$I342*R342)</f>
        <v>0</v>
      </c>
      <c r="T342" s="626">
        <f>IF(C342="Upfront",R342,IF(C342="At delivery",J342,0))</f>
        <v>0</v>
      </c>
      <c r="U342" s="626">
        <f>IF(C342="Upfront",S342,IF(C342="At delivery",K342,0))</f>
        <v>0</v>
      </c>
      <c r="V342" s="625">
        <f t="array" ref="V342">IFERROR(INDEX('TB-EQUIPMENT &amp; OTHER HPs'!$R$138:$R$175,MATCH($E342&amp;$F342,'TB-EQUIPMENT &amp; OTHER HPs'!$E$138:$E$175&amp;'TB-EQUIPMENT &amp; OTHER HPs'!$I$138:$I$175,0)),0)</f>
        <v>0</v>
      </c>
      <c r="W342" s="626">
        <f>IF(ISERROR($I342*V342),0,$I342*V342)</f>
        <v>0</v>
      </c>
      <c r="X342" s="626">
        <f>IF(C342="Upfront",V342,IF(C342="At delivery",N342,0))</f>
        <v>0</v>
      </c>
      <c r="Y342" s="626">
        <f>IF(C342="Upfront",W342,IF(C342="At delivery",O342,0))</f>
        <v>0</v>
      </c>
      <c r="AA342" s="625">
        <f t="array" ref="AA342">IFERROR(INDEX('TB-EQUIPMENT &amp; OTHER HPs'!$U$138:$U$175,MATCH($E342&amp;$F342,'TB-EQUIPMENT &amp; OTHER HPs'!$E$138:$E$175&amp;'TB-EQUIPMENT &amp; OTHER HPs'!$I$138:$I$175,0)),0)</f>
        <v>0</v>
      </c>
      <c r="AB342" s="625">
        <f t="array" ref="AB342">IFERROR(INDEX('TB-EQUIPMENT &amp; OTHER HPs'!$V$138:$V$175,MATCH($E342&amp;$F342,'TB-EQUIPMENT &amp; OTHER HPs'!$E$138:$E$175&amp;'TB-EQUIPMENT &amp; OTHER HPs'!$I$138:$I$175,0)),0)</f>
        <v>0</v>
      </c>
      <c r="AC342" s="626">
        <f>IF(ISERROR($AA342*AB342),0,$AA342*AB342)</f>
        <v>0</v>
      </c>
      <c r="AD342" s="626">
        <f>IF(C342="Upfront",AB342,IF(C342="At delivery",R342,0))</f>
        <v>0</v>
      </c>
      <c r="AE342" s="626">
        <f>IF(C342="Upfront",AC342,IF(C342="At delivery",S342,0))</f>
        <v>0</v>
      </c>
      <c r="AF342" s="625">
        <f t="array" ref="AF342">IFERROR(INDEX('TB-EQUIPMENT &amp; OTHER HPs'!$W$138:$W$175,MATCH($E342&amp;$F342,'TB-EQUIPMENT &amp; OTHER HPs'!$E$138:$E$175&amp;'TB-EQUIPMENT &amp; OTHER HPs'!$I$138:$I$175,0)),0)</f>
        <v>0</v>
      </c>
      <c r="AG342" s="626">
        <f>IF(ISERROR($AA342*AF342),0,$AA342*AF342)</f>
        <v>0</v>
      </c>
      <c r="AH342" s="626">
        <f>IF(C342="Upfront",AF342,IF(C342="At delivery",V342,0))</f>
        <v>0</v>
      </c>
      <c r="AI342" s="626">
        <f>IF(C342="Upfront",AG342,IF(C342="At delivery",W342,0))</f>
        <v>0</v>
      </c>
      <c r="AJ342" s="625">
        <f t="array" ref="AJ342">IFERROR(INDEX('TB-EQUIPMENT &amp; OTHER HPs'!$X$138:$X$175,MATCH($E342&amp;$F342,'TB-EQUIPMENT &amp; OTHER HPs'!$E$138:$E$175&amp;'TB-EQUIPMENT &amp; OTHER HPs'!$I$138:$I$175,0)),0)</f>
        <v>0</v>
      </c>
      <c r="AK342" s="626">
        <f>IF(ISERROR($AA342*AJ342),0,$AA342*AJ342)</f>
        <v>0</v>
      </c>
      <c r="AL342" s="626">
        <f>IF(C342="Upfront",AJ342,IF(C342="At delivery",AB342,0))</f>
        <v>0</v>
      </c>
      <c r="AM342" s="626">
        <f>IF(C342="Upfront",AK342,IF(C342="At delivery",AC342,0))</f>
        <v>0</v>
      </c>
      <c r="AN342" s="625">
        <f t="array" ref="AN342">IFERROR(INDEX('TB-EQUIPMENT &amp; OTHER HPs'!$Y$138:$Y$175,MATCH($E342&amp;$F342,'TB-EQUIPMENT &amp; OTHER HPs'!$E$138:$E$175&amp;'TB-EQUIPMENT &amp; OTHER HPs'!$I$138:$I$175,0)),0)</f>
        <v>0</v>
      </c>
      <c r="AO342" s="626">
        <f>IF(ISERROR($AA342*AN342),0,$AA342*AN342)</f>
        <v>0</v>
      </c>
      <c r="AP342" s="626">
        <f>IF(C342="Upfront",AN342,IF(C342="At delivery",AF342,0))</f>
        <v>0</v>
      </c>
      <c r="AQ342" s="626">
        <f>IF(C342="Upfront",AO342,IF(C342="At delivery",AG342,0))</f>
        <v>0</v>
      </c>
      <c r="AR342" s="630"/>
      <c r="AS342" s="625">
        <f t="array" ref="AS342">IFERROR(INDEX('TB-EQUIPMENT &amp; OTHER HPs'!$AB$138:$AB$175,MATCH($E342&amp;$F342,'TB-EQUIPMENT &amp; OTHER HPs'!$E$138:$E$175&amp;'TB-EQUIPMENT &amp; OTHER HPs'!$I$138:$I$175,0)),0)</f>
        <v>0</v>
      </c>
      <c r="AT342" s="625">
        <f t="array" ref="AT342">IFERROR(INDEX('TB-EQUIPMENT &amp; OTHER HPs'!$AC$138:$AC$175,MATCH($E342&amp;$F342,'TB-EQUIPMENT &amp; OTHER HPs'!$E$138:$E$175&amp;'TB-EQUIPMENT &amp; OTHER HPs'!$I$138:$I$175,0)),0)</f>
        <v>0</v>
      </c>
      <c r="AU342" s="626">
        <f>IF(ISERROR($AS342*AT342),0,$AS342*AT342)</f>
        <v>0</v>
      </c>
      <c r="AV342" s="626">
        <f>IF(C342="Upfront",AT342,IF(C342="At delivery",AJ342,0))</f>
        <v>0</v>
      </c>
      <c r="AW342" s="626">
        <f>IF(C342="Upfront",AU342,IF(C342="At delivery",AK342,0))</f>
        <v>0</v>
      </c>
      <c r="AX342" s="625">
        <f t="array" ref="AX342">IFERROR(INDEX('TB-EQUIPMENT &amp; OTHER HPs'!$AD$138:$AD$175,MATCH($E342&amp;$F342,'TB-EQUIPMENT &amp; OTHER HPs'!$E$138:$E$175&amp;'TB-EQUIPMENT &amp; OTHER HPs'!$I$138:$I$175,0)),0)</f>
        <v>0</v>
      </c>
      <c r="AY342" s="626">
        <f>IF(ISERROR($AS342*AX342),0,$AS342*AX342)</f>
        <v>0</v>
      </c>
      <c r="AZ342" s="626">
        <f>IF(C342="Upfront",AX342,IF(C342="At delivery",AN342,0))</f>
        <v>0</v>
      </c>
      <c r="BA342" s="626">
        <f>IF(C342="Upfront",AY342,IF(C342="At delivery",AO342,0))</f>
        <v>0</v>
      </c>
      <c r="BB342" s="625">
        <f t="array" ref="BB342">IFERROR(INDEX('TB-EQUIPMENT &amp; OTHER HPs'!$AE$138:$AE$175,MATCH($E342&amp;$F342,'TB-EQUIPMENT &amp; OTHER HPs'!$E$138:$E$175&amp;'TB-EQUIPMENT &amp; OTHER HPs'!$I$138:$I$175,0)),0)</f>
        <v>0</v>
      </c>
      <c r="BC342" s="626">
        <f>IF(ISERROR($AS342*BB342),0,$AS342*BB342)</f>
        <v>0</v>
      </c>
      <c r="BD342" s="626">
        <f>IF(C342="Upfront",BB342,IF(C342="At delivery",AT342,0))</f>
        <v>0</v>
      </c>
      <c r="BE342" s="626">
        <f>IF(C342="Upfront",BC342,IF(C342="At delivery",AU342,0))</f>
        <v>0</v>
      </c>
      <c r="BF342" s="625">
        <f t="array" ref="BF342">IFERROR(INDEX('TB-EQUIPMENT &amp; OTHER HPs'!$AF$138:$AF$175,MATCH($E342&amp;$F342,'TB-EQUIPMENT &amp; OTHER HPs'!$E$138:$E$175&amp;'TB-EQUIPMENT &amp; OTHER HPs'!$I$138:$I$175,0)),0)</f>
        <v>0</v>
      </c>
      <c r="BG342" s="626">
        <f>IF(ISERROR($AS342*BF342),0,$AS342*BF342)</f>
        <v>0</v>
      </c>
      <c r="BH342" s="626">
        <f>IF(C342="Upfront",BF342,IF(C342="At delivery",AX342,0))</f>
        <v>0</v>
      </c>
      <c r="BI342" s="626">
        <f>IF(C342="Upfront",BG342,IF(C342="At delivery",AY342,0))</f>
        <v>0</v>
      </c>
      <c r="BJ342" s="630"/>
      <c r="BK342" s="625"/>
      <c r="BL342" s="625"/>
      <c r="BM342" s="625"/>
      <c r="BN342" s="625"/>
      <c r="BO342" s="625"/>
      <c r="BP342" s="625"/>
      <c r="BQ342" s="625"/>
      <c r="BR342" s="625"/>
    </row>
    <row r="343" spans="1:70">
      <c r="A343" s="29" t="s">
        <v>1758</v>
      </c>
      <c r="B343" s="29" t="s">
        <v>1838</v>
      </c>
      <c r="C343" s="619">
        <f>SETUP!$F$44</f>
        <v>0</v>
      </c>
      <c r="D343" s="25">
        <v>6.5</v>
      </c>
      <c r="E343" s="26" t="s">
        <v>1494</v>
      </c>
      <c r="F343" s="26" t="s">
        <v>218</v>
      </c>
      <c r="G343" s="625" t="str">
        <f t="array" ref="G343">IFERROR(INDEX('TB-EQUIPMENT &amp; OTHER HPs'!$L$138:$L$175,MATCH($E343&amp;$F343,'TB-EQUIPMENT &amp; OTHER HPs'!$E$138:$E$175&amp;'TB-EQUIPMENT &amp; OTHER HPs'!$I$138:$I$175,0)),"")</f>
        <v/>
      </c>
      <c r="H343" s="625" t="str">
        <f t="array" ref="H343">IFERROR(INDEX('TB-EQUIPMENT &amp; OTHER HPs'!$M$138:$M$175,MATCH($E343&amp;$F343,'TB-EQUIPMENT &amp; OTHER HPs'!$E$138:$E$175&amp;'TB-EQUIPMENT &amp; OTHER HPs'!$I$138:$I$175,0)),"")</f>
        <v/>
      </c>
      <c r="I343" s="625">
        <f t="array" ref="I343">IFERROR(INDEX('TB-EQUIPMENT &amp; OTHER HPs'!$N$138:$N$175,MATCH($E343&amp;$F343,'TB-EQUIPMENT &amp; OTHER HPs'!$E$138:$E$175&amp;'TB-EQUIPMENT &amp; OTHER HPs'!$I$138:$I$175,0)),0)</f>
        <v>0</v>
      </c>
      <c r="J343" s="625">
        <f t="array" ref="J343">IFERROR(INDEX('TB-EQUIPMENT &amp; OTHER HPs'!$O$138:$O$175,MATCH($E343&amp;$F343,'TB-EQUIPMENT &amp; OTHER HPs'!$E$138:$E$175&amp;'TB-EQUIPMENT &amp; OTHER HPs'!$I$138:$I$175,0)),0)</f>
        <v>0</v>
      </c>
      <c r="K343" s="626">
        <f>IF(ISERROR($I343*J343),0,$I343*J343)</f>
        <v>0</v>
      </c>
      <c r="L343" s="626">
        <f>IF(C343="Upfront",J343,0)</f>
        <v>0</v>
      </c>
      <c r="M343" s="626">
        <f>IF(C343="Upfront",K343,0)</f>
        <v>0</v>
      </c>
      <c r="N343" s="625">
        <f t="array" ref="N343">IFERROR(INDEX('TB-EQUIPMENT &amp; OTHER HPs'!$P$138:$P$175,MATCH($E343&amp;$F343,'TB-EQUIPMENT &amp; OTHER HPs'!$E$138:$E$175&amp;'TB-EQUIPMENT &amp; OTHER HPs'!$I$138:$I$175,0)),0)</f>
        <v>0</v>
      </c>
      <c r="O343" s="626">
        <f>IF(ISERROR($I343*N343),0,$I343*N343)</f>
        <v>0</v>
      </c>
      <c r="P343" s="626">
        <f>IF(C343="Upfront",N343,0)</f>
        <v>0</v>
      </c>
      <c r="Q343" s="626">
        <f>IF(C343="Upfront",O343,0)</f>
        <v>0</v>
      </c>
      <c r="R343" s="625">
        <f t="array" ref="R343">IFERROR(INDEX('TB-EQUIPMENT &amp; OTHER HPs'!$Q$138:$Q$175,MATCH($E343&amp;$F343,'TB-EQUIPMENT &amp; OTHER HPs'!$E$138:$E$175&amp;'TB-EQUIPMENT &amp; OTHER HPs'!$I$138:$I$175,0)),0)</f>
        <v>0</v>
      </c>
      <c r="S343" s="626">
        <f>IF(ISERROR($I343*R343),0,$I343*R343)</f>
        <v>0</v>
      </c>
      <c r="T343" s="626">
        <f>IF(C343="Upfront",R343,IF(C343="At delivery",J343,0))</f>
        <v>0</v>
      </c>
      <c r="U343" s="626">
        <f>IF(C343="Upfront",S343,IF(C343="At delivery",K343,0))</f>
        <v>0</v>
      </c>
      <c r="V343" s="625">
        <f t="array" ref="V343">IFERROR(INDEX('TB-EQUIPMENT &amp; OTHER HPs'!$R$138:$R$175,MATCH($E343&amp;$F343,'TB-EQUIPMENT &amp; OTHER HPs'!$E$138:$E$175&amp;'TB-EQUIPMENT &amp; OTHER HPs'!$I$138:$I$175,0)),0)</f>
        <v>0</v>
      </c>
      <c r="W343" s="626">
        <f>IF(ISERROR($I343*V343),0,$I343*V343)</f>
        <v>0</v>
      </c>
      <c r="X343" s="626">
        <f>IF(C343="Upfront",V343,IF(C343="At delivery",N343,0))</f>
        <v>0</v>
      </c>
      <c r="Y343" s="626">
        <f>IF(C343="Upfront",W343,IF(C343="At delivery",O343,0))</f>
        <v>0</v>
      </c>
      <c r="AA343" s="625">
        <f t="array" ref="AA343">IFERROR(INDEX('TB-EQUIPMENT &amp; OTHER HPs'!$U$138:$U$175,MATCH($E343&amp;$F343,'TB-EQUIPMENT &amp; OTHER HPs'!$E$138:$E$175&amp;'TB-EQUIPMENT &amp; OTHER HPs'!$I$138:$I$175,0)),0)</f>
        <v>0</v>
      </c>
      <c r="AB343" s="625">
        <f t="array" ref="AB343">IFERROR(INDEX('TB-EQUIPMENT &amp; OTHER HPs'!$V$138:$V$175,MATCH($E343&amp;$F343,'TB-EQUIPMENT &amp; OTHER HPs'!$E$138:$E$175&amp;'TB-EQUIPMENT &amp; OTHER HPs'!$I$138:$I$175,0)),0)</f>
        <v>0</v>
      </c>
      <c r="AC343" s="626">
        <f>IF(ISERROR($AA343*AB343),0,$AA343*AB343)</f>
        <v>0</v>
      </c>
      <c r="AD343" s="626">
        <f>IF(C343="Upfront",AB343,IF(C343="At delivery",R343,0))</f>
        <v>0</v>
      </c>
      <c r="AE343" s="626">
        <f>IF(C343="Upfront",AC343,IF(C343="At delivery",S343,0))</f>
        <v>0</v>
      </c>
      <c r="AF343" s="625">
        <f t="array" ref="AF343">IFERROR(INDEX('TB-EQUIPMENT &amp; OTHER HPs'!$W$138:$W$175,MATCH($E343&amp;$F343,'TB-EQUIPMENT &amp; OTHER HPs'!$E$138:$E$175&amp;'TB-EQUIPMENT &amp; OTHER HPs'!$I$138:$I$175,0)),0)</f>
        <v>0</v>
      </c>
      <c r="AG343" s="626">
        <f>IF(ISERROR($AA343*AF343),0,$AA343*AF343)</f>
        <v>0</v>
      </c>
      <c r="AH343" s="626">
        <f>IF(C343="Upfront",AF343,IF(C343="At delivery",V343,0))</f>
        <v>0</v>
      </c>
      <c r="AI343" s="626">
        <f>IF(C343="Upfront",AG343,IF(C343="At delivery",W343,0))</f>
        <v>0</v>
      </c>
      <c r="AJ343" s="625">
        <f t="array" ref="AJ343">IFERROR(INDEX('TB-EQUIPMENT &amp; OTHER HPs'!$X$138:$X$175,MATCH($E343&amp;$F343,'TB-EQUIPMENT &amp; OTHER HPs'!$E$138:$E$175&amp;'TB-EQUIPMENT &amp; OTHER HPs'!$I$138:$I$175,0)),0)</f>
        <v>0</v>
      </c>
      <c r="AK343" s="626">
        <f>IF(ISERROR($AA343*AJ343),0,$AA343*AJ343)</f>
        <v>0</v>
      </c>
      <c r="AL343" s="626">
        <f>IF(C343="Upfront",AJ343,IF(C343="At delivery",AB343,0))</f>
        <v>0</v>
      </c>
      <c r="AM343" s="626">
        <f>IF(C343="Upfront",AK343,IF(C343="At delivery",AC343,0))</f>
        <v>0</v>
      </c>
      <c r="AN343" s="625">
        <f t="array" ref="AN343">IFERROR(INDEX('TB-EQUIPMENT &amp; OTHER HPs'!$Y$138:$Y$175,MATCH($E343&amp;$F343,'TB-EQUIPMENT &amp; OTHER HPs'!$E$138:$E$175&amp;'TB-EQUIPMENT &amp; OTHER HPs'!$I$138:$I$175,0)),0)</f>
        <v>0</v>
      </c>
      <c r="AO343" s="626">
        <f>IF(ISERROR($AA343*AN343),0,$AA343*AN343)</f>
        <v>0</v>
      </c>
      <c r="AP343" s="626">
        <f>IF(C343="Upfront",AN343,IF(C343="At delivery",AF343,0))</f>
        <v>0</v>
      </c>
      <c r="AQ343" s="626">
        <f>IF(C343="Upfront",AO343,IF(C343="At delivery",AG343,0))</f>
        <v>0</v>
      </c>
      <c r="AR343" s="630"/>
      <c r="AS343" s="625">
        <f t="array" ref="AS343">IFERROR(INDEX('TB-EQUIPMENT &amp; OTHER HPs'!$AB$138:$AB$175,MATCH($E343&amp;$F343,'TB-EQUIPMENT &amp; OTHER HPs'!$E$138:$E$175&amp;'TB-EQUIPMENT &amp; OTHER HPs'!$I$138:$I$175,0)),0)</f>
        <v>0</v>
      </c>
      <c r="AT343" s="625">
        <f t="array" ref="AT343">IFERROR(INDEX('TB-EQUIPMENT &amp; OTHER HPs'!$AC$138:$AC$175,MATCH($E343&amp;$F343,'TB-EQUIPMENT &amp; OTHER HPs'!$E$138:$E$175&amp;'TB-EQUIPMENT &amp; OTHER HPs'!$I$138:$I$175,0)),0)</f>
        <v>0</v>
      </c>
      <c r="AU343" s="626">
        <f>IF(ISERROR($AS343*AT343),0,$AS343*AT343)</f>
        <v>0</v>
      </c>
      <c r="AV343" s="626">
        <f>IF(C343="Upfront",AT343,IF(C343="At delivery",AJ343,0))</f>
        <v>0</v>
      </c>
      <c r="AW343" s="626">
        <f>IF(C343="Upfront",AU343,IF(C343="At delivery",AK343,0))</f>
        <v>0</v>
      </c>
      <c r="AX343" s="625">
        <f t="array" ref="AX343">IFERROR(INDEX('TB-EQUIPMENT &amp; OTHER HPs'!$AD$138:$AD$175,MATCH($E343&amp;$F343,'TB-EQUIPMENT &amp; OTHER HPs'!$E$138:$E$175&amp;'TB-EQUIPMENT &amp; OTHER HPs'!$I$138:$I$175,0)),0)</f>
        <v>0</v>
      </c>
      <c r="AY343" s="626">
        <f>IF(ISERROR($AS343*AX343),0,$AS343*AX343)</f>
        <v>0</v>
      </c>
      <c r="AZ343" s="626">
        <f>IF(C343="Upfront",AX343,IF(C343="At delivery",AN343,0))</f>
        <v>0</v>
      </c>
      <c r="BA343" s="626">
        <f>IF(C343="Upfront",AY343,IF(C343="At delivery",AO343,0))</f>
        <v>0</v>
      </c>
      <c r="BB343" s="625">
        <f t="array" ref="BB343">IFERROR(INDEX('TB-EQUIPMENT &amp; OTHER HPs'!$AE$138:$AE$175,MATCH($E343&amp;$F343,'TB-EQUIPMENT &amp; OTHER HPs'!$E$138:$E$175&amp;'TB-EQUIPMENT &amp; OTHER HPs'!$I$138:$I$175,0)),0)</f>
        <v>0</v>
      </c>
      <c r="BC343" s="626">
        <f>IF(ISERROR($AS343*BB343),0,$AS343*BB343)</f>
        <v>0</v>
      </c>
      <c r="BD343" s="626">
        <f>IF(C343="Upfront",BB343,IF(C343="At delivery",AT343,0))</f>
        <v>0</v>
      </c>
      <c r="BE343" s="626">
        <f>IF(C343="Upfront",BC343,IF(C343="At delivery",AU343,0))</f>
        <v>0</v>
      </c>
      <c r="BF343" s="625">
        <f t="array" ref="BF343">IFERROR(INDEX('TB-EQUIPMENT &amp; OTHER HPs'!$AF$138:$AF$175,MATCH($E343&amp;$F343,'TB-EQUIPMENT &amp; OTHER HPs'!$E$138:$E$175&amp;'TB-EQUIPMENT &amp; OTHER HPs'!$I$138:$I$175,0)),0)</f>
        <v>0</v>
      </c>
      <c r="BG343" s="626">
        <f>IF(ISERROR($AS343*BF343),0,$AS343*BF343)</f>
        <v>0</v>
      </c>
      <c r="BH343" s="626">
        <f>IF(C343="Upfront",BF343,IF(C343="At delivery",AX343,0))</f>
        <v>0</v>
      </c>
      <c r="BI343" s="626">
        <f>IF(C343="Upfront",BG343,IF(C343="At delivery",AY343,0))</f>
        <v>0</v>
      </c>
      <c r="BJ343" s="630"/>
      <c r="BK343" s="625"/>
      <c r="BL343" s="625"/>
      <c r="BM343" s="625"/>
      <c r="BN343" s="625"/>
      <c r="BO343" s="625"/>
      <c r="BP343" s="625"/>
      <c r="BQ343" s="625"/>
      <c r="BR343" s="625"/>
    </row>
    <row r="344" spans="1:70">
      <c r="A344" s="29" t="s">
        <v>1758</v>
      </c>
      <c r="B344" s="29" t="s">
        <v>1838</v>
      </c>
      <c r="C344" s="619">
        <f>SETUP!$F$44</f>
        <v>0</v>
      </c>
      <c r="D344" s="25">
        <v>6.6</v>
      </c>
      <c r="E344" s="26" t="s">
        <v>1494</v>
      </c>
      <c r="F344" s="26" t="s">
        <v>201</v>
      </c>
      <c r="G344" s="625" t="str">
        <f t="array" ref="G344">IFERROR(INDEX('TB-EQUIPMENT &amp; OTHER HPs'!$L$138:$L$175,MATCH($E344&amp;$F344,'TB-EQUIPMENT &amp; OTHER HPs'!$E$138:$E$175&amp;'TB-EQUIPMENT &amp; OTHER HPs'!$I$138:$I$175,0)),"")</f>
        <v/>
      </c>
      <c r="H344" s="625" t="str">
        <f t="array" ref="H344">IFERROR(INDEX('TB-EQUIPMENT &amp; OTHER HPs'!$M$138:$M$175,MATCH($E344&amp;$F344,'TB-EQUIPMENT &amp; OTHER HPs'!$E$138:$E$175&amp;'TB-EQUIPMENT &amp; OTHER HPs'!$I$138:$I$175,0)),"")</f>
        <v/>
      </c>
      <c r="I344" s="625">
        <f t="array" ref="I344">IFERROR(INDEX('TB-EQUIPMENT &amp; OTHER HPs'!$N$138:$N$175,MATCH($E344&amp;$F344,'TB-EQUIPMENT &amp; OTHER HPs'!$E$138:$E$175&amp;'TB-EQUIPMENT &amp; OTHER HPs'!$I$138:$I$175,0)),0)</f>
        <v>0</v>
      </c>
      <c r="J344" s="625">
        <f t="array" ref="J344">IFERROR(INDEX('TB-EQUIPMENT &amp; OTHER HPs'!$O$138:$O$175,MATCH($E344&amp;$F344,'TB-EQUIPMENT &amp; OTHER HPs'!$E$138:$E$175&amp;'TB-EQUIPMENT &amp; OTHER HPs'!$I$138:$I$175,0)),0)</f>
        <v>0</v>
      </c>
      <c r="K344" s="626">
        <f>IF(ISERROR($I344*J344),0,$I344*J344)</f>
        <v>0</v>
      </c>
      <c r="L344" s="626">
        <f>IF(C344="Upfront",J344,0)</f>
        <v>0</v>
      </c>
      <c r="M344" s="626">
        <f>IF(C344="Upfront",K344,0)</f>
        <v>0</v>
      </c>
      <c r="N344" s="625">
        <f t="array" ref="N344">IFERROR(INDEX('TB-EQUIPMENT &amp; OTHER HPs'!$P$138:$P$175,MATCH($E344&amp;$F344,'TB-EQUIPMENT &amp; OTHER HPs'!$E$138:$E$175&amp;'TB-EQUIPMENT &amp; OTHER HPs'!$I$138:$I$175,0)),0)</f>
        <v>0</v>
      </c>
      <c r="O344" s="626">
        <f>IF(ISERROR($I344*N344),0,$I344*N344)</f>
        <v>0</v>
      </c>
      <c r="P344" s="626">
        <f>IF(C344="Upfront",N344,0)</f>
        <v>0</v>
      </c>
      <c r="Q344" s="626">
        <f>IF(C344="Upfront",O344,0)</f>
        <v>0</v>
      </c>
      <c r="R344" s="625">
        <f t="array" ref="R344">IFERROR(INDEX('TB-EQUIPMENT &amp; OTHER HPs'!$Q$138:$Q$175,MATCH($E344&amp;$F344,'TB-EQUIPMENT &amp; OTHER HPs'!$E$138:$E$175&amp;'TB-EQUIPMENT &amp; OTHER HPs'!$I$138:$I$175,0)),0)</f>
        <v>0</v>
      </c>
      <c r="S344" s="626">
        <f>IF(ISERROR($I344*R344),0,$I344*R344)</f>
        <v>0</v>
      </c>
      <c r="T344" s="626">
        <f>IF(C344="Upfront",R344,IF(C344="At delivery",J344,0))</f>
        <v>0</v>
      </c>
      <c r="U344" s="626">
        <f>IF(C344="Upfront",S344,IF(C344="At delivery",K344,0))</f>
        <v>0</v>
      </c>
      <c r="V344" s="625">
        <f t="array" ref="V344">IFERROR(INDEX('TB-EQUIPMENT &amp; OTHER HPs'!$R$138:$R$175,MATCH($E344&amp;$F344,'TB-EQUIPMENT &amp; OTHER HPs'!$E$138:$E$175&amp;'TB-EQUIPMENT &amp; OTHER HPs'!$I$138:$I$175,0)),0)</f>
        <v>0</v>
      </c>
      <c r="W344" s="626">
        <f>IF(ISERROR($I344*V344),0,$I344*V344)</f>
        <v>0</v>
      </c>
      <c r="X344" s="626">
        <f>IF(C344="Upfront",V344,IF(C344="At delivery",N344,0))</f>
        <v>0</v>
      </c>
      <c r="Y344" s="626">
        <f>IF(C344="Upfront",W344,IF(C344="At delivery",O344,0))</f>
        <v>0</v>
      </c>
      <c r="AA344" s="625">
        <f t="array" ref="AA344">IFERROR(INDEX('TB-EQUIPMENT &amp; OTHER HPs'!$U$138:$U$175,MATCH($E344&amp;$F344,'TB-EQUIPMENT &amp; OTHER HPs'!$E$138:$E$175&amp;'TB-EQUIPMENT &amp; OTHER HPs'!$I$138:$I$175,0)),0)</f>
        <v>0</v>
      </c>
      <c r="AB344" s="625">
        <f t="array" ref="AB344">IFERROR(INDEX('TB-EQUIPMENT &amp; OTHER HPs'!$V$138:$V$175,MATCH($E344&amp;$F344,'TB-EQUIPMENT &amp; OTHER HPs'!$E$138:$E$175&amp;'TB-EQUIPMENT &amp; OTHER HPs'!$I$138:$I$175,0)),0)</f>
        <v>0</v>
      </c>
      <c r="AC344" s="626">
        <f>IF(ISERROR($AA344*AB344),0,$AA344*AB344)</f>
        <v>0</v>
      </c>
      <c r="AD344" s="626">
        <f>IF(C344="Upfront",AB344,IF(C344="At delivery",R344,0))</f>
        <v>0</v>
      </c>
      <c r="AE344" s="626">
        <f>IF(C344="Upfront",AC344,IF(C344="At delivery",S344,0))</f>
        <v>0</v>
      </c>
      <c r="AF344" s="625">
        <f t="array" ref="AF344">IFERROR(INDEX('TB-EQUIPMENT &amp; OTHER HPs'!$W$138:$W$175,MATCH($E344&amp;$F344,'TB-EQUIPMENT &amp; OTHER HPs'!$E$138:$E$175&amp;'TB-EQUIPMENT &amp; OTHER HPs'!$I$138:$I$175,0)),0)</f>
        <v>0</v>
      </c>
      <c r="AG344" s="626">
        <f>IF(ISERROR($AA344*AF344),0,$AA344*AF344)</f>
        <v>0</v>
      </c>
      <c r="AH344" s="626">
        <f>IF(C344="Upfront",AF344,IF(C344="At delivery",V344,0))</f>
        <v>0</v>
      </c>
      <c r="AI344" s="626">
        <f>IF(C344="Upfront",AG344,IF(C344="At delivery",W344,0))</f>
        <v>0</v>
      </c>
      <c r="AJ344" s="625">
        <f t="array" ref="AJ344">IFERROR(INDEX('TB-EQUIPMENT &amp; OTHER HPs'!$X$138:$X$175,MATCH($E344&amp;$F344,'TB-EQUIPMENT &amp; OTHER HPs'!$E$138:$E$175&amp;'TB-EQUIPMENT &amp; OTHER HPs'!$I$138:$I$175,0)),0)</f>
        <v>0</v>
      </c>
      <c r="AK344" s="626">
        <f>IF(ISERROR($AA344*AJ344),0,$AA344*AJ344)</f>
        <v>0</v>
      </c>
      <c r="AL344" s="626">
        <f>IF(C344="Upfront",AJ344,IF(C344="At delivery",AB344,0))</f>
        <v>0</v>
      </c>
      <c r="AM344" s="626">
        <f>IF(C344="Upfront",AK344,IF(C344="At delivery",AC344,0))</f>
        <v>0</v>
      </c>
      <c r="AN344" s="625">
        <f t="array" ref="AN344">IFERROR(INDEX('TB-EQUIPMENT &amp; OTHER HPs'!$Y$138:$Y$175,MATCH($E344&amp;$F344,'TB-EQUIPMENT &amp; OTHER HPs'!$E$138:$E$175&amp;'TB-EQUIPMENT &amp; OTHER HPs'!$I$138:$I$175,0)),0)</f>
        <v>0</v>
      </c>
      <c r="AO344" s="626">
        <f>IF(ISERROR($AA344*AN344),0,$AA344*AN344)</f>
        <v>0</v>
      </c>
      <c r="AP344" s="626">
        <f>IF(C344="Upfront",AN344,IF(C344="At delivery",AF344,0))</f>
        <v>0</v>
      </c>
      <c r="AQ344" s="626">
        <f>IF(C344="Upfront",AO344,IF(C344="At delivery",AG344,0))</f>
        <v>0</v>
      </c>
      <c r="AR344" s="630"/>
      <c r="AS344" s="625">
        <f t="array" ref="AS344">IFERROR(INDEX('TB-EQUIPMENT &amp; OTHER HPs'!$AB$138:$AB$175,MATCH($E344&amp;$F344,'TB-EQUIPMENT &amp; OTHER HPs'!$E$138:$E$175&amp;'TB-EQUIPMENT &amp; OTHER HPs'!$I$138:$I$175,0)),0)</f>
        <v>0</v>
      </c>
      <c r="AT344" s="625">
        <f t="array" ref="AT344">IFERROR(INDEX('TB-EQUIPMENT &amp; OTHER HPs'!$AC$138:$AC$175,MATCH($E344&amp;$F344,'TB-EQUIPMENT &amp; OTHER HPs'!$E$138:$E$175&amp;'TB-EQUIPMENT &amp; OTHER HPs'!$I$138:$I$175,0)),0)</f>
        <v>0</v>
      </c>
      <c r="AU344" s="626">
        <f>IF(ISERROR($AS344*AT344),0,$AS344*AT344)</f>
        <v>0</v>
      </c>
      <c r="AV344" s="626">
        <f>IF(C344="Upfront",AT344,IF(C344="At delivery",AJ344,0))</f>
        <v>0</v>
      </c>
      <c r="AW344" s="626">
        <f>IF(C344="Upfront",AU344,IF(C344="At delivery",AK344,0))</f>
        <v>0</v>
      </c>
      <c r="AX344" s="625">
        <f t="array" ref="AX344">IFERROR(INDEX('TB-EQUIPMENT &amp; OTHER HPs'!$AD$138:$AD$175,MATCH($E344&amp;$F344,'TB-EQUIPMENT &amp; OTHER HPs'!$E$138:$E$175&amp;'TB-EQUIPMENT &amp; OTHER HPs'!$I$138:$I$175,0)),0)</f>
        <v>0</v>
      </c>
      <c r="AY344" s="626">
        <f>IF(ISERROR($AS344*AX344),0,$AS344*AX344)</f>
        <v>0</v>
      </c>
      <c r="AZ344" s="626">
        <f>IF(C344="Upfront",AX344,IF(C344="At delivery",AN344,0))</f>
        <v>0</v>
      </c>
      <c r="BA344" s="626">
        <f>IF(C344="Upfront",AY344,IF(C344="At delivery",AO344,0))</f>
        <v>0</v>
      </c>
      <c r="BB344" s="625">
        <f t="array" ref="BB344">IFERROR(INDEX('TB-EQUIPMENT &amp; OTHER HPs'!$AE$138:$AE$175,MATCH($E344&amp;$F344,'TB-EQUIPMENT &amp; OTHER HPs'!$E$138:$E$175&amp;'TB-EQUIPMENT &amp; OTHER HPs'!$I$138:$I$175,0)),0)</f>
        <v>0</v>
      </c>
      <c r="BC344" s="626">
        <f>IF(ISERROR($AS344*BB344),0,$AS344*BB344)</f>
        <v>0</v>
      </c>
      <c r="BD344" s="626">
        <f>IF(C344="Upfront",BB344,IF(C344="At delivery",AT344,0))</f>
        <v>0</v>
      </c>
      <c r="BE344" s="626">
        <f>IF(C344="Upfront",BC344,IF(C344="At delivery",AU344,0))</f>
        <v>0</v>
      </c>
      <c r="BF344" s="625">
        <f t="array" ref="BF344">IFERROR(INDEX('TB-EQUIPMENT &amp; OTHER HPs'!$AF$138:$AF$175,MATCH($E344&amp;$F344,'TB-EQUIPMENT &amp; OTHER HPs'!$E$138:$E$175&amp;'TB-EQUIPMENT &amp; OTHER HPs'!$I$138:$I$175,0)),0)</f>
        <v>0</v>
      </c>
      <c r="BG344" s="626">
        <f>IF(ISERROR($AS344*BF344),0,$AS344*BF344)</f>
        <v>0</v>
      </c>
      <c r="BH344" s="626">
        <f>IF(C344="Upfront",BF344,IF(C344="At delivery",AX344,0))</f>
        <v>0</v>
      </c>
      <c r="BI344" s="626">
        <f>IF(C344="Upfront",BG344,IF(C344="At delivery",AY344,0))</f>
        <v>0</v>
      </c>
      <c r="BJ344" s="630"/>
      <c r="BK344" s="625"/>
      <c r="BL344" s="625"/>
      <c r="BM344" s="625"/>
      <c r="BN344" s="625"/>
      <c r="BO344" s="625"/>
      <c r="BP344" s="625"/>
      <c r="BQ344" s="625"/>
      <c r="BR344" s="625"/>
    </row>
    <row r="345" spans="1:70">
      <c r="A345" s="29" t="s">
        <v>1758</v>
      </c>
      <c r="B345" s="29" t="s">
        <v>1838</v>
      </c>
      <c r="C345" s="619">
        <f>SETUP!$F$44</f>
        <v>0</v>
      </c>
      <c r="D345" s="25">
        <v>6.6</v>
      </c>
      <c r="E345" s="26" t="s">
        <v>1494</v>
      </c>
      <c r="F345" s="26" t="s">
        <v>200</v>
      </c>
      <c r="G345" s="625" t="str">
        <f t="array" ref="G345">IFERROR(INDEX('TB-EQUIPMENT &amp; OTHER HPs'!$L$138:$L$175,MATCH($E345&amp;$F345,'TB-EQUIPMENT &amp; OTHER HPs'!$E$138:$E$175&amp;'TB-EQUIPMENT &amp; OTHER HPs'!$I$138:$I$175,0)),"")</f>
        <v/>
      </c>
      <c r="H345" s="625" t="str">
        <f t="array" ref="H345">IFERROR(INDEX('TB-EQUIPMENT &amp; OTHER HPs'!$M$138:$M$175,MATCH($E345&amp;$F345,'TB-EQUIPMENT &amp; OTHER HPs'!$E$138:$E$175&amp;'TB-EQUIPMENT &amp; OTHER HPs'!$I$138:$I$175,0)),"")</f>
        <v/>
      </c>
      <c r="I345" s="625">
        <f t="array" ref="I345">IFERROR(INDEX('TB-EQUIPMENT &amp; OTHER HPs'!$N$138:$N$175,MATCH($E345&amp;$F345,'TB-EQUIPMENT &amp; OTHER HPs'!$E$138:$E$175&amp;'TB-EQUIPMENT &amp; OTHER HPs'!$I$138:$I$175,0)),0)</f>
        <v>0</v>
      </c>
      <c r="J345" s="625">
        <f t="array" ref="J345">IFERROR(INDEX('TB-EQUIPMENT &amp; OTHER HPs'!$O$138:$O$175,MATCH($E345&amp;$F345,'TB-EQUIPMENT &amp; OTHER HPs'!$E$138:$E$175&amp;'TB-EQUIPMENT &amp; OTHER HPs'!$I$138:$I$175,0)),0)</f>
        <v>0</v>
      </c>
      <c r="K345" s="626">
        <f t="shared" si="396"/>
        <v>0</v>
      </c>
      <c r="L345" s="626">
        <f t="shared" si="397"/>
        <v>0</v>
      </c>
      <c r="M345" s="626">
        <f t="shared" si="398"/>
        <v>0</v>
      </c>
      <c r="N345" s="625">
        <f t="array" ref="N345">IFERROR(INDEX('TB-EQUIPMENT &amp; OTHER HPs'!$P$138:$P$175,MATCH($E345&amp;$F345,'TB-EQUIPMENT &amp; OTHER HPs'!$E$138:$E$175&amp;'TB-EQUIPMENT &amp; OTHER HPs'!$I$138:$I$175,0)),0)</f>
        <v>0</v>
      </c>
      <c r="O345" s="626">
        <f t="shared" si="399"/>
        <v>0</v>
      </c>
      <c r="P345" s="626">
        <f t="shared" si="400"/>
        <v>0</v>
      </c>
      <c r="Q345" s="626">
        <f t="shared" si="401"/>
        <v>0</v>
      </c>
      <c r="R345" s="625">
        <f t="array" ref="R345">IFERROR(INDEX('TB-EQUIPMENT &amp; OTHER HPs'!$Q$138:$Q$175,MATCH($E345&amp;$F345,'TB-EQUIPMENT &amp; OTHER HPs'!$E$138:$E$175&amp;'TB-EQUIPMENT &amp; OTHER HPs'!$I$138:$I$175,0)),0)</f>
        <v>0</v>
      </c>
      <c r="S345" s="626">
        <f t="shared" si="402"/>
        <v>0</v>
      </c>
      <c r="T345" s="626">
        <f t="shared" si="403"/>
        <v>0</v>
      </c>
      <c r="U345" s="626">
        <f t="shared" si="404"/>
        <v>0</v>
      </c>
      <c r="V345" s="625">
        <f t="array" ref="V345">IFERROR(INDEX('TB-EQUIPMENT &amp; OTHER HPs'!$R$138:$R$175,MATCH($E345&amp;$F345,'TB-EQUIPMENT &amp; OTHER HPs'!$E$138:$E$175&amp;'TB-EQUIPMENT &amp; OTHER HPs'!$I$138:$I$175,0)),0)</f>
        <v>0</v>
      </c>
      <c r="W345" s="626">
        <f t="shared" si="405"/>
        <v>0</v>
      </c>
      <c r="X345" s="626">
        <f t="shared" si="406"/>
        <v>0</v>
      </c>
      <c r="Y345" s="626">
        <f t="shared" si="407"/>
        <v>0</v>
      </c>
      <c r="AA345" s="625">
        <f t="array" ref="AA345">IFERROR(INDEX('TB-EQUIPMENT &amp; OTHER HPs'!$U$138:$U$175,MATCH($E345&amp;$F345,'TB-EQUIPMENT &amp; OTHER HPs'!$E$138:$E$175&amp;'TB-EQUIPMENT &amp; OTHER HPs'!$I$138:$I$175,0)),0)</f>
        <v>0</v>
      </c>
      <c r="AB345" s="625">
        <f t="array" ref="AB345">IFERROR(INDEX('TB-EQUIPMENT &amp; OTHER HPs'!$V$138:$V$175,MATCH($E345&amp;$F345,'TB-EQUIPMENT &amp; OTHER HPs'!$E$138:$E$175&amp;'TB-EQUIPMENT &amp; OTHER HPs'!$I$138:$I$175,0)),0)</f>
        <v>0</v>
      </c>
      <c r="AC345" s="626">
        <f t="shared" si="408"/>
        <v>0</v>
      </c>
      <c r="AD345" s="626">
        <f t="shared" si="409"/>
        <v>0</v>
      </c>
      <c r="AE345" s="626">
        <f t="shared" si="410"/>
        <v>0</v>
      </c>
      <c r="AF345" s="625">
        <f t="array" ref="AF345">IFERROR(INDEX('TB-EQUIPMENT &amp; OTHER HPs'!$W$138:$W$175,MATCH($E345&amp;$F345,'TB-EQUIPMENT &amp; OTHER HPs'!$E$138:$E$175&amp;'TB-EQUIPMENT &amp; OTHER HPs'!$I$138:$I$175,0)),0)</f>
        <v>0</v>
      </c>
      <c r="AG345" s="626">
        <f t="shared" si="411"/>
        <v>0</v>
      </c>
      <c r="AH345" s="626">
        <f t="shared" si="412"/>
        <v>0</v>
      </c>
      <c r="AI345" s="626">
        <f t="shared" si="413"/>
        <v>0</v>
      </c>
      <c r="AJ345" s="625">
        <f t="array" ref="AJ345">IFERROR(INDEX('TB-EQUIPMENT &amp; OTHER HPs'!$X$138:$X$175,MATCH($E345&amp;$F345,'TB-EQUIPMENT &amp; OTHER HPs'!$E$138:$E$175&amp;'TB-EQUIPMENT &amp; OTHER HPs'!$I$138:$I$175,0)),0)</f>
        <v>0</v>
      </c>
      <c r="AK345" s="626">
        <f t="shared" si="414"/>
        <v>0</v>
      </c>
      <c r="AL345" s="626">
        <f t="shared" si="415"/>
        <v>0</v>
      </c>
      <c r="AM345" s="626">
        <f t="shared" si="416"/>
        <v>0</v>
      </c>
      <c r="AN345" s="625">
        <f t="array" ref="AN345">IFERROR(INDEX('TB-EQUIPMENT &amp; OTHER HPs'!$Y$138:$Y$175,MATCH($E345&amp;$F345,'TB-EQUIPMENT &amp; OTHER HPs'!$E$138:$E$175&amp;'TB-EQUIPMENT &amp; OTHER HPs'!$I$138:$I$175,0)),0)</f>
        <v>0</v>
      </c>
      <c r="AO345" s="626">
        <f t="shared" si="417"/>
        <v>0</v>
      </c>
      <c r="AP345" s="626">
        <f t="shared" si="418"/>
        <v>0</v>
      </c>
      <c r="AQ345" s="626">
        <f t="shared" si="419"/>
        <v>0</v>
      </c>
      <c r="AR345" s="630"/>
      <c r="AS345" s="625">
        <f t="array" ref="AS345">IFERROR(INDEX('TB-EQUIPMENT &amp; OTHER HPs'!$AB$138:$AB$175,MATCH($E345&amp;$F345,'TB-EQUIPMENT &amp; OTHER HPs'!$E$138:$E$175&amp;'TB-EQUIPMENT &amp; OTHER HPs'!$I$138:$I$175,0)),0)</f>
        <v>0</v>
      </c>
      <c r="AT345" s="625">
        <f t="array" ref="AT345">IFERROR(INDEX('TB-EQUIPMENT &amp; OTHER HPs'!$AC$138:$AC$175,MATCH($E345&amp;$F345,'TB-EQUIPMENT &amp; OTHER HPs'!$E$138:$E$175&amp;'TB-EQUIPMENT &amp; OTHER HPs'!$I$138:$I$175,0)),0)</f>
        <v>0</v>
      </c>
      <c r="AU345" s="626">
        <f t="shared" si="420"/>
        <v>0</v>
      </c>
      <c r="AV345" s="626">
        <f t="shared" si="421"/>
        <v>0</v>
      </c>
      <c r="AW345" s="626">
        <f t="shared" si="422"/>
        <v>0</v>
      </c>
      <c r="AX345" s="625">
        <f t="array" ref="AX345">IFERROR(INDEX('TB-EQUIPMENT &amp; OTHER HPs'!$AD$138:$AD$175,MATCH($E345&amp;$F345,'TB-EQUIPMENT &amp; OTHER HPs'!$E$138:$E$175&amp;'TB-EQUIPMENT &amp; OTHER HPs'!$I$138:$I$175,0)),0)</f>
        <v>0</v>
      </c>
      <c r="AY345" s="626">
        <f t="shared" si="423"/>
        <v>0</v>
      </c>
      <c r="AZ345" s="626">
        <f t="shared" si="424"/>
        <v>0</v>
      </c>
      <c r="BA345" s="626">
        <f t="shared" si="425"/>
        <v>0</v>
      </c>
      <c r="BB345" s="625">
        <f t="array" ref="BB345">IFERROR(INDEX('TB-EQUIPMENT &amp; OTHER HPs'!$AE$138:$AE$175,MATCH($E345&amp;$F345,'TB-EQUIPMENT &amp; OTHER HPs'!$E$138:$E$175&amp;'TB-EQUIPMENT &amp; OTHER HPs'!$I$138:$I$175,0)),0)</f>
        <v>0</v>
      </c>
      <c r="BC345" s="626">
        <f t="shared" si="426"/>
        <v>0</v>
      </c>
      <c r="BD345" s="626">
        <f t="shared" si="427"/>
        <v>0</v>
      </c>
      <c r="BE345" s="626">
        <f t="shared" si="428"/>
        <v>0</v>
      </c>
      <c r="BF345" s="625">
        <f t="array" ref="BF345">IFERROR(INDEX('TB-EQUIPMENT &amp; OTHER HPs'!$AF$138:$AF$175,MATCH($E345&amp;$F345,'TB-EQUIPMENT &amp; OTHER HPs'!$E$138:$E$175&amp;'TB-EQUIPMENT &amp; OTHER HPs'!$I$138:$I$175,0)),0)</f>
        <v>0</v>
      </c>
      <c r="BG345" s="626">
        <f t="shared" si="429"/>
        <v>0</v>
      </c>
      <c r="BH345" s="626">
        <f t="shared" si="430"/>
        <v>0</v>
      </c>
      <c r="BI345" s="626">
        <f t="shared" si="431"/>
        <v>0</v>
      </c>
      <c r="BJ345" s="630"/>
      <c r="BK345" s="625"/>
      <c r="BL345" s="625"/>
      <c r="BM345" s="625"/>
      <c r="BN345" s="625"/>
      <c r="BO345" s="625"/>
      <c r="BP345" s="625"/>
      <c r="BQ345" s="625"/>
      <c r="BR345" s="625"/>
    </row>
    <row r="346" spans="1:70">
      <c r="A346" s="29" t="s">
        <v>1758</v>
      </c>
      <c r="B346" s="29" t="s">
        <v>1838</v>
      </c>
      <c r="C346" s="619">
        <f>SETUP!$F$44</f>
        <v>0</v>
      </c>
      <c r="D346" s="25">
        <v>6.5</v>
      </c>
      <c r="E346" s="26" t="s">
        <v>1502</v>
      </c>
      <c r="F346" s="26" t="s">
        <v>218</v>
      </c>
      <c r="G346" s="625" t="str">
        <f t="array" ref="G346">IFERROR(INDEX('TB-EQUIPMENT &amp; OTHER HPs'!$L$138:$L$175,MATCH($E346&amp;$F346,'TB-EQUIPMENT &amp; OTHER HPs'!$E$138:$E$175&amp;'TB-EQUIPMENT &amp; OTHER HPs'!$I$138:$I$175,0)),"")</f>
        <v/>
      </c>
      <c r="H346" s="625" t="str">
        <f t="array" ref="H346">IFERROR(INDEX('TB-EQUIPMENT &amp; OTHER HPs'!$M$138:$M$175,MATCH($E346&amp;$F346,'TB-EQUIPMENT &amp; OTHER HPs'!$E$138:$E$175&amp;'TB-EQUIPMENT &amp; OTHER HPs'!$I$138:$I$175,0)),"")</f>
        <v/>
      </c>
      <c r="I346" s="625">
        <f t="array" ref="I346">IFERROR(INDEX('TB-EQUIPMENT &amp; OTHER HPs'!$N$138:$N$175,MATCH($E346&amp;$F346,'TB-EQUIPMENT &amp; OTHER HPs'!$E$138:$E$175&amp;'TB-EQUIPMENT &amp; OTHER HPs'!$I$138:$I$175,0)),0)</f>
        <v>0</v>
      </c>
      <c r="J346" s="625">
        <f t="array" ref="J346">IFERROR(INDEX('TB-EQUIPMENT &amp; OTHER HPs'!$O$138:$O$175,MATCH($E346&amp;$F346,'TB-EQUIPMENT &amp; OTHER HPs'!$E$138:$E$175&amp;'TB-EQUIPMENT &amp; OTHER HPs'!$I$138:$I$175,0)),0)</f>
        <v>0</v>
      </c>
      <c r="K346" s="626">
        <f t="shared" si="396"/>
        <v>0</v>
      </c>
      <c r="L346" s="626">
        <f t="shared" si="397"/>
        <v>0</v>
      </c>
      <c r="M346" s="626">
        <f t="shared" si="398"/>
        <v>0</v>
      </c>
      <c r="N346" s="625">
        <f t="array" ref="N346">IFERROR(INDEX('TB-EQUIPMENT &amp; OTHER HPs'!$P$138:$P$175,MATCH($E346&amp;$F346,'TB-EQUIPMENT &amp; OTHER HPs'!$E$138:$E$175&amp;'TB-EQUIPMENT &amp; OTHER HPs'!$I$138:$I$175,0)),0)</f>
        <v>0</v>
      </c>
      <c r="O346" s="626">
        <f t="shared" si="399"/>
        <v>0</v>
      </c>
      <c r="P346" s="626">
        <f t="shared" si="400"/>
        <v>0</v>
      </c>
      <c r="Q346" s="626">
        <f t="shared" si="401"/>
        <v>0</v>
      </c>
      <c r="R346" s="625">
        <f t="array" ref="R346">IFERROR(INDEX('TB-EQUIPMENT &amp; OTHER HPs'!$Q$138:$Q$175,MATCH($E346&amp;$F346,'TB-EQUIPMENT &amp; OTHER HPs'!$E$138:$E$175&amp;'TB-EQUIPMENT &amp; OTHER HPs'!$I$138:$I$175,0)),0)</f>
        <v>0</v>
      </c>
      <c r="S346" s="626">
        <f t="shared" si="402"/>
        <v>0</v>
      </c>
      <c r="T346" s="626">
        <f t="shared" si="403"/>
        <v>0</v>
      </c>
      <c r="U346" s="626">
        <f t="shared" si="404"/>
        <v>0</v>
      </c>
      <c r="V346" s="625">
        <f t="array" ref="V346">IFERROR(INDEX('TB-EQUIPMENT &amp; OTHER HPs'!$R$138:$R$175,MATCH($E346&amp;$F346,'TB-EQUIPMENT &amp; OTHER HPs'!$E$138:$E$175&amp;'TB-EQUIPMENT &amp; OTHER HPs'!$I$138:$I$175,0)),0)</f>
        <v>0</v>
      </c>
      <c r="W346" s="626">
        <f t="shared" si="405"/>
        <v>0</v>
      </c>
      <c r="X346" s="626">
        <f t="shared" si="406"/>
        <v>0</v>
      </c>
      <c r="Y346" s="626">
        <f t="shared" si="407"/>
        <v>0</v>
      </c>
      <c r="AA346" s="625">
        <f t="array" ref="AA346">IFERROR(INDEX('TB-EQUIPMENT &amp; OTHER HPs'!$U$138:$U$175,MATCH($E346&amp;$F346,'TB-EQUIPMENT &amp; OTHER HPs'!$E$138:$E$175&amp;'TB-EQUIPMENT &amp; OTHER HPs'!$I$138:$I$175,0)),0)</f>
        <v>0</v>
      </c>
      <c r="AB346" s="625">
        <f t="array" ref="AB346">IFERROR(INDEX('TB-EQUIPMENT &amp; OTHER HPs'!$V$138:$V$175,MATCH($E346&amp;$F346,'TB-EQUIPMENT &amp; OTHER HPs'!$E$138:$E$175&amp;'TB-EQUIPMENT &amp; OTHER HPs'!$I$138:$I$175,0)),0)</f>
        <v>0</v>
      </c>
      <c r="AC346" s="626">
        <f t="shared" si="408"/>
        <v>0</v>
      </c>
      <c r="AD346" s="626">
        <f t="shared" si="409"/>
        <v>0</v>
      </c>
      <c r="AE346" s="626">
        <f t="shared" si="410"/>
        <v>0</v>
      </c>
      <c r="AF346" s="625">
        <f t="array" ref="AF346">IFERROR(INDEX('TB-EQUIPMENT &amp; OTHER HPs'!$W$138:$W$175,MATCH($E346&amp;$F346,'TB-EQUIPMENT &amp; OTHER HPs'!$E$138:$E$175&amp;'TB-EQUIPMENT &amp; OTHER HPs'!$I$138:$I$175,0)),0)</f>
        <v>0</v>
      </c>
      <c r="AG346" s="626">
        <f t="shared" si="411"/>
        <v>0</v>
      </c>
      <c r="AH346" s="626">
        <f t="shared" si="412"/>
        <v>0</v>
      </c>
      <c r="AI346" s="626">
        <f t="shared" si="413"/>
        <v>0</v>
      </c>
      <c r="AJ346" s="625">
        <f t="array" ref="AJ346">IFERROR(INDEX('TB-EQUIPMENT &amp; OTHER HPs'!$X$138:$X$175,MATCH($E346&amp;$F346,'TB-EQUIPMENT &amp; OTHER HPs'!$E$138:$E$175&amp;'TB-EQUIPMENT &amp; OTHER HPs'!$I$138:$I$175,0)),0)</f>
        <v>0</v>
      </c>
      <c r="AK346" s="626">
        <f t="shared" si="414"/>
        <v>0</v>
      </c>
      <c r="AL346" s="626">
        <f t="shared" si="415"/>
        <v>0</v>
      </c>
      <c r="AM346" s="626">
        <f t="shared" si="416"/>
        <v>0</v>
      </c>
      <c r="AN346" s="625">
        <f t="array" ref="AN346">IFERROR(INDEX('TB-EQUIPMENT &amp; OTHER HPs'!$Y$138:$Y$175,MATCH($E346&amp;$F346,'TB-EQUIPMENT &amp; OTHER HPs'!$E$138:$E$175&amp;'TB-EQUIPMENT &amp; OTHER HPs'!$I$138:$I$175,0)),0)</f>
        <v>0</v>
      </c>
      <c r="AO346" s="626">
        <f t="shared" si="417"/>
        <v>0</v>
      </c>
      <c r="AP346" s="626">
        <f t="shared" si="418"/>
        <v>0</v>
      </c>
      <c r="AQ346" s="626">
        <f t="shared" si="419"/>
        <v>0</v>
      </c>
      <c r="AR346" s="630"/>
      <c r="AS346" s="625">
        <f t="array" ref="AS346">IFERROR(INDEX('TB-EQUIPMENT &amp; OTHER HPs'!$AB$138:$AB$175,MATCH($E346&amp;$F346,'TB-EQUIPMENT &amp; OTHER HPs'!$E$138:$E$175&amp;'TB-EQUIPMENT &amp; OTHER HPs'!$I$138:$I$175,0)),0)</f>
        <v>0</v>
      </c>
      <c r="AT346" s="625">
        <f t="array" ref="AT346">IFERROR(INDEX('TB-EQUIPMENT &amp; OTHER HPs'!$AC$138:$AC$175,MATCH($E346&amp;$F346,'TB-EQUIPMENT &amp; OTHER HPs'!$E$138:$E$175&amp;'TB-EQUIPMENT &amp; OTHER HPs'!$I$138:$I$175,0)),0)</f>
        <v>0</v>
      </c>
      <c r="AU346" s="626">
        <f t="shared" si="420"/>
        <v>0</v>
      </c>
      <c r="AV346" s="626">
        <f t="shared" si="421"/>
        <v>0</v>
      </c>
      <c r="AW346" s="626">
        <f t="shared" si="422"/>
        <v>0</v>
      </c>
      <c r="AX346" s="625">
        <f t="array" ref="AX346">IFERROR(INDEX('TB-EQUIPMENT &amp; OTHER HPs'!$AD$138:$AD$175,MATCH($E346&amp;$F346,'TB-EQUIPMENT &amp; OTHER HPs'!$E$138:$E$175&amp;'TB-EQUIPMENT &amp; OTHER HPs'!$I$138:$I$175,0)),0)</f>
        <v>0</v>
      </c>
      <c r="AY346" s="626">
        <f t="shared" si="423"/>
        <v>0</v>
      </c>
      <c r="AZ346" s="626">
        <f t="shared" si="424"/>
        <v>0</v>
      </c>
      <c r="BA346" s="626">
        <f t="shared" si="425"/>
        <v>0</v>
      </c>
      <c r="BB346" s="625">
        <f t="array" ref="BB346">IFERROR(INDEX('TB-EQUIPMENT &amp; OTHER HPs'!$AE$138:$AE$175,MATCH($E346&amp;$F346,'TB-EQUIPMENT &amp; OTHER HPs'!$E$138:$E$175&amp;'TB-EQUIPMENT &amp; OTHER HPs'!$I$138:$I$175,0)),0)</f>
        <v>0</v>
      </c>
      <c r="BC346" s="626">
        <f t="shared" si="426"/>
        <v>0</v>
      </c>
      <c r="BD346" s="626">
        <f t="shared" si="427"/>
        <v>0</v>
      </c>
      <c r="BE346" s="626">
        <f t="shared" si="428"/>
        <v>0</v>
      </c>
      <c r="BF346" s="625">
        <f t="array" ref="BF346">IFERROR(INDEX('TB-EQUIPMENT &amp; OTHER HPs'!$AF$138:$AF$175,MATCH($E346&amp;$F346,'TB-EQUIPMENT &amp; OTHER HPs'!$E$138:$E$175&amp;'TB-EQUIPMENT &amp; OTHER HPs'!$I$138:$I$175,0)),0)</f>
        <v>0</v>
      </c>
      <c r="BG346" s="626">
        <f t="shared" si="429"/>
        <v>0</v>
      </c>
      <c r="BH346" s="626">
        <f t="shared" si="430"/>
        <v>0</v>
      </c>
      <c r="BI346" s="626">
        <f t="shared" si="431"/>
        <v>0</v>
      </c>
      <c r="BJ346" s="630"/>
      <c r="BK346" s="625"/>
      <c r="BL346" s="625"/>
      <c r="BM346" s="625"/>
      <c r="BN346" s="625"/>
      <c r="BO346" s="625"/>
      <c r="BP346" s="625"/>
      <c r="BQ346" s="625"/>
      <c r="BR346" s="625"/>
    </row>
    <row r="347" spans="1:70">
      <c r="A347" s="29" t="s">
        <v>1758</v>
      </c>
      <c r="B347" s="29" t="s">
        <v>1838</v>
      </c>
      <c r="C347" s="619">
        <f>SETUP!$F$44</f>
        <v>0</v>
      </c>
      <c r="D347" s="25">
        <v>6.6</v>
      </c>
      <c r="E347" s="26" t="s">
        <v>1502</v>
      </c>
      <c r="F347" s="26" t="s">
        <v>201</v>
      </c>
      <c r="G347" s="625" t="str">
        <f t="array" ref="G347">IFERROR(INDEX('TB-EQUIPMENT &amp; OTHER HPs'!$L$138:$L$175,MATCH($E347&amp;$F347,'TB-EQUIPMENT &amp; OTHER HPs'!$E$138:$E$175&amp;'TB-EQUIPMENT &amp; OTHER HPs'!$I$138:$I$175,0)),"")</f>
        <v/>
      </c>
      <c r="H347" s="625" t="str">
        <f t="array" ref="H347">IFERROR(INDEX('TB-EQUIPMENT &amp; OTHER HPs'!$M$138:$M$175,MATCH($E347&amp;$F347,'TB-EQUIPMENT &amp; OTHER HPs'!$E$138:$E$175&amp;'TB-EQUIPMENT &amp; OTHER HPs'!$I$138:$I$175,0)),"")</f>
        <v/>
      </c>
      <c r="I347" s="625">
        <f t="array" ref="I347">IFERROR(INDEX('TB-EQUIPMENT &amp; OTHER HPs'!$N$138:$N$175,MATCH($E347&amp;$F347,'TB-EQUIPMENT &amp; OTHER HPs'!$E$138:$E$175&amp;'TB-EQUIPMENT &amp; OTHER HPs'!$I$138:$I$175,0)),0)</f>
        <v>0</v>
      </c>
      <c r="J347" s="625">
        <f t="array" ref="J347">IFERROR(INDEX('TB-EQUIPMENT &amp; OTHER HPs'!$O$138:$O$175,MATCH($E347&amp;$F347,'TB-EQUIPMENT &amp; OTHER HPs'!$E$138:$E$175&amp;'TB-EQUIPMENT &amp; OTHER HPs'!$I$138:$I$175,0)),0)</f>
        <v>0</v>
      </c>
      <c r="K347" s="626">
        <f>IF(ISERROR($I347*J347),0,$I347*J347)</f>
        <v>0</v>
      </c>
      <c r="L347" s="626">
        <f>IF(C347="Upfront",J347,0)</f>
        <v>0</v>
      </c>
      <c r="M347" s="626">
        <f>IF(C347="Upfront",K347,0)</f>
        <v>0</v>
      </c>
      <c r="N347" s="625">
        <f t="array" ref="N347">IFERROR(INDEX('TB-EQUIPMENT &amp; OTHER HPs'!$P$138:$P$175,MATCH($E347&amp;$F347,'TB-EQUIPMENT &amp; OTHER HPs'!$E$138:$E$175&amp;'TB-EQUIPMENT &amp; OTHER HPs'!$I$138:$I$175,0)),0)</f>
        <v>0</v>
      </c>
      <c r="O347" s="626">
        <f>IF(ISERROR($I347*N347),0,$I347*N347)</f>
        <v>0</v>
      </c>
      <c r="P347" s="626">
        <f>IF(C347="Upfront",N347,0)</f>
        <v>0</v>
      </c>
      <c r="Q347" s="626">
        <f>IF(C347="Upfront",O347,0)</f>
        <v>0</v>
      </c>
      <c r="R347" s="625">
        <f t="array" ref="R347">IFERROR(INDEX('TB-EQUIPMENT &amp; OTHER HPs'!$Q$138:$Q$175,MATCH($E347&amp;$F347,'TB-EQUIPMENT &amp; OTHER HPs'!$E$138:$E$175&amp;'TB-EQUIPMENT &amp; OTHER HPs'!$I$138:$I$175,0)),0)</f>
        <v>0</v>
      </c>
      <c r="S347" s="626">
        <f>IF(ISERROR($I347*R347),0,$I347*R347)</f>
        <v>0</v>
      </c>
      <c r="T347" s="626">
        <f>IF(C347="Upfront",R347,IF(C347="At delivery",J347,0))</f>
        <v>0</v>
      </c>
      <c r="U347" s="626">
        <f>IF(C347="Upfront",S347,IF(C347="At delivery",K347,0))</f>
        <v>0</v>
      </c>
      <c r="V347" s="625">
        <f t="array" ref="V347">IFERROR(INDEX('TB-EQUIPMENT &amp; OTHER HPs'!$R$138:$R$175,MATCH($E347&amp;$F347,'TB-EQUIPMENT &amp; OTHER HPs'!$E$138:$E$175&amp;'TB-EQUIPMENT &amp; OTHER HPs'!$I$138:$I$175,0)),0)</f>
        <v>0</v>
      </c>
      <c r="W347" s="626">
        <f>IF(ISERROR($I347*V347),0,$I347*V347)</f>
        <v>0</v>
      </c>
      <c r="X347" s="626">
        <f>IF(C347="Upfront",V347,IF(C347="At delivery",N347,0))</f>
        <v>0</v>
      </c>
      <c r="Y347" s="626">
        <f>IF(C347="Upfront",W347,IF(C347="At delivery",O347,0))</f>
        <v>0</v>
      </c>
      <c r="AA347" s="625">
        <f t="array" ref="AA347">IFERROR(INDEX('TB-EQUIPMENT &amp; OTHER HPs'!$U$138:$U$175,MATCH($E347&amp;$F347,'TB-EQUIPMENT &amp; OTHER HPs'!$E$138:$E$175&amp;'TB-EQUIPMENT &amp; OTHER HPs'!$I$138:$I$175,0)),0)</f>
        <v>0</v>
      </c>
      <c r="AB347" s="625">
        <f t="array" ref="AB347">IFERROR(INDEX('TB-EQUIPMENT &amp; OTHER HPs'!$V$138:$V$175,MATCH($E347&amp;$F347,'TB-EQUIPMENT &amp; OTHER HPs'!$E$138:$E$175&amp;'TB-EQUIPMENT &amp; OTHER HPs'!$I$138:$I$175,0)),0)</f>
        <v>0</v>
      </c>
      <c r="AC347" s="626">
        <f>IF(ISERROR($AA347*AB347),0,$AA347*AB347)</f>
        <v>0</v>
      </c>
      <c r="AD347" s="626">
        <f>IF(C347="Upfront",AB347,IF(C347="At delivery",R347,0))</f>
        <v>0</v>
      </c>
      <c r="AE347" s="626">
        <f>IF(C347="Upfront",AC347,IF(C347="At delivery",S347,0))</f>
        <v>0</v>
      </c>
      <c r="AF347" s="625">
        <f t="array" ref="AF347">IFERROR(INDEX('TB-EQUIPMENT &amp; OTHER HPs'!$W$138:$W$175,MATCH($E347&amp;$F347,'TB-EQUIPMENT &amp; OTHER HPs'!$E$138:$E$175&amp;'TB-EQUIPMENT &amp; OTHER HPs'!$I$138:$I$175,0)),0)</f>
        <v>0</v>
      </c>
      <c r="AG347" s="626">
        <f>IF(ISERROR($AA347*AF347),0,$AA347*AF347)</f>
        <v>0</v>
      </c>
      <c r="AH347" s="626">
        <f>IF(C347="Upfront",AF347,IF(C347="At delivery",V347,0))</f>
        <v>0</v>
      </c>
      <c r="AI347" s="626">
        <f>IF(C347="Upfront",AG347,IF(C347="At delivery",W347,0))</f>
        <v>0</v>
      </c>
      <c r="AJ347" s="625">
        <f t="array" ref="AJ347">IFERROR(INDEX('TB-EQUIPMENT &amp; OTHER HPs'!$X$138:$X$175,MATCH($E347&amp;$F347,'TB-EQUIPMENT &amp; OTHER HPs'!$E$138:$E$175&amp;'TB-EQUIPMENT &amp; OTHER HPs'!$I$138:$I$175,0)),0)</f>
        <v>0</v>
      </c>
      <c r="AK347" s="626">
        <f>IF(ISERROR($AA347*AJ347),0,$AA347*AJ347)</f>
        <v>0</v>
      </c>
      <c r="AL347" s="626">
        <f>IF(C347="Upfront",AJ347,IF(C347="At delivery",AB347,0))</f>
        <v>0</v>
      </c>
      <c r="AM347" s="626">
        <f>IF(C347="Upfront",AK347,IF(C347="At delivery",AC347,0))</f>
        <v>0</v>
      </c>
      <c r="AN347" s="625">
        <f t="array" ref="AN347">IFERROR(INDEX('TB-EQUIPMENT &amp; OTHER HPs'!$Y$138:$Y$175,MATCH($E347&amp;$F347,'TB-EQUIPMENT &amp; OTHER HPs'!$E$138:$E$175&amp;'TB-EQUIPMENT &amp; OTHER HPs'!$I$138:$I$175,0)),0)</f>
        <v>0</v>
      </c>
      <c r="AO347" s="626">
        <f>IF(ISERROR($AA347*AN347),0,$AA347*AN347)</f>
        <v>0</v>
      </c>
      <c r="AP347" s="626">
        <f>IF(C347="Upfront",AN347,IF(C347="At delivery",AF347,0))</f>
        <v>0</v>
      </c>
      <c r="AQ347" s="626">
        <f>IF(C347="Upfront",AO347,IF(C347="At delivery",AG347,0))</f>
        <v>0</v>
      </c>
      <c r="AR347" s="630"/>
      <c r="AS347" s="625">
        <f t="array" ref="AS347">IFERROR(INDEX('TB-EQUIPMENT &amp; OTHER HPs'!$AB$138:$AB$175,MATCH($E347&amp;$F347,'TB-EQUIPMENT &amp; OTHER HPs'!$E$138:$E$175&amp;'TB-EQUIPMENT &amp; OTHER HPs'!$I$138:$I$175,0)),0)</f>
        <v>0</v>
      </c>
      <c r="AT347" s="625">
        <f t="array" ref="AT347">IFERROR(INDEX('TB-EQUIPMENT &amp; OTHER HPs'!$AC$138:$AC$175,MATCH($E347&amp;$F347,'TB-EQUIPMENT &amp; OTHER HPs'!$E$138:$E$175&amp;'TB-EQUIPMENT &amp; OTHER HPs'!$I$138:$I$175,0)),0)</f>
        <v>0</v>
      </c>
      <c r="AU347" s="626">
        <f>IF(ISERROR($AS347*AT347),0,$AS347*AT347)</f>
        <v>0</v>
      </c>
      <c r="AV347" s="626">
        <f>IF(C347="Upfront",AT347,IF(C347="At delivery",AJ347,0))</f>
        <v>0</v>
      </c>
      <c r="AW347" s="626">
        <f>IF(C347="Upfront",AU347,IF(C347="At delivery",AK347,0))</f>
        <v>0</v>
      </c>
      <c r="AX347" s="625">
        <f t="array" ref="AX347">IFERROR(INDEX('TB-EQUIPMENT &amp; OTHER HPs'!$AD$138:$AD$175,MATCH($E347&amp;$F347,'TB-EQUIPMENT &amp; OTHER HPs'!$E$138:$E$175&amp;'TB-EQUIPMENT &amp; OTHER HPs'!$I$138:$I$175,0)),0)</f>
        <v>0</v>
      </c>
      <c r="AY347" s="626">
        <f>IF(ISERROR($AS347*AX347),0,$AS347*AX347)</f>
        <v>0</v>
      </c>
      <c r="AZ347" s="626">
        <f>IF(C347="Upfront",AX347,IF(C347="At delivery",AN347,0))</f>
        <v>0</v>
      </c>
      <c r="BA347" s="626">
        <f>IF(C347="Upfront",AY347,IF(C347="At delivery",AO347,0))</f>
        <v>0</v>
      </c>
      <c r="BB347" s="625">
        <f t="array" ref="BB347">IFERROR(INDEX('TB-EQUIPMENT &amp; OTHER HPs'!$AE$138:$AE$175,MATCH($E347&amp;$F347,'TB-EQUIPMENT &amp; OTHER HPs'!$E$138:$E$175&amp;'TB-EQUIPMENT &amp; OTHER HPs'!$I$138:$I$175,0)),0)</f>
        <v>0</v>
      </c>
      <c r="BC347" s="626">
        <f>IF(ISERROR($AS347*BB347),0,$AS347*BB347)</f>
        <v>0</v>
      </c>
      <c r="BD347" s="626">
        <f>IF(C347="Upfront",BB347,IF(C347="At delivery",AT347,0))</f>
        <v>0</v>
      </c>
      <c r="BE347" s="626">
        <f>IF(C347="Upfront",BC347,IF(C347="At delivery",AU347,0))</f>
        <v>0</v>
      </c>
      <c r="BF347" s="625">
        <f t="array" ref="BF347">IFERROR(INDEX('TB-EQUIPMENT &amp; OTHER HPs'!$AF$138:$AF$175,MATCH($E347&amp;$F347,'TB-EQUIPMENT &amp; OTHER HPs'!$E$138:$E$175&amp;'TB-EQUIPMENT &amp; OTHER HPs'!$I$138:$I$175,0)),0)</f>
        <v>0</v>
      </c>
      <c r="BG347" s="626">
        <f>IF(ISERROR($AS347*BF347),0,$AS347*BF347)</f>
        <v>0</v>
      </c>
      <c r="BH347" s="626">
        <f>IF(C347="Upfront",BF347,IF(C347="At delivery",AX347,0))</f>
        <v>0</v>
      </c>
      <c r="BI347" s="626">
        <f>IF(C347="Upfront",BG347,IF(C347="At delivery",AY347,0))</f>
        <v>0</v>
      </c>
      <c r="BJ347" s="630"/>
      <c r="BK347" s="625"/>
      <c r="BL347" s="625"/>
      <c r="BM347" s="625"/>
      <c r="BN347" s="625"/>
      <c r="BO347" s="625"/>
      <c r="BP347" s="625"/>
      <c r="BQ347" s="625"/>
      <c r="BR347" s="625"/>
    </row>
    <row r="348" spans="1:70">
      <c r="A348" s="29" t="s">
        <v>1758</v>
      </c>
      <c r="B348" s="29" t="s">
        <v>1838</v>
      </c>
      <c r="C348" s="619">
        <f>SETUP!$F$44</f>
        <v>0</v>
      </c>
      <c r="D348" s="25">
        <v>6.6</v>
      </c>
      <c r="E348" s="26" t="s">
        <v>1502</v>
      </c>
      <c r="F348" s="26" t="s">
        <v>200</v>
      </c>
      <c r="G348" s="625" t="str">
        <f t="array" ref="G348">IFERROR(INDEX('TB-EQUIPMENT &amp; OTHER HPs'!$L$138:$L$175,MATCH($E348&amp;$F348,'TB-EQUIPMENT &amp; OTHER HPs'!$E$138:$E$175&amp;'TB-EQUIPMENT &amp; OTHER HPs'!$I$138:$I$175,0)),"")</f>
        <v/>
      </c>
      <c r="H348" s="625" t="str">
        <f t="array" ref="H348">IFERROR(INDEX('TB-EQUIPMENT &amp; OTHER HPs'!$M$138:$M$175,MATCH($E348&amp;$F348,'TB-EQUIPMENT &amp; OTHER HPs'!$E$138:$E$175&amp;'TB-EQUIPMENT &amp; OTHER HPs'!$I$138:$I$175,0)),"")</f>
        <v/>
      </c>
      <c r="I348" s="625">
        <f t="array" ref="I348">IFERROR(INDEX('TB-EQUIPMENT &amp; OTHER HPs'!$N$138:$N$175,MATCH($E348&amp;$F348,'TB-EQUIPMENT &amp; OTHER HPs'!$E$138:$E$175&amp;'TB-EQUIPMENT &amp; OTHER HPs'!$I$138:$I$175,0)),0)</f>
        <v>0</v>
      </c>
      <c r="J348" s="625">
        <f t="array" ref="J348">IFERROR(INDEX('TB-EQUIPMENT &amp; OTHER HPs'!$O$138:$O$175,MATCH($E348&amp;$F348,'TB-EQUIPMENT &amp; OTHER HPs'!$E$138:$E$175&amp;'TB-EQUIPMENT &amp; OTHER HPs'!$I$138:$I$175,0)),0)</f>
        <v>0</v>
      </c>
      <c r="K348" s="626">
        <f>IF(ISERROR($I348*J348),0,$I348*J348)</f>
        <v>0</v>
      </c>
      <c r="L348" s="626">
        <f>IF(C348="Upfront",J348,0)</f>
        <v>0</v>
      </c>
      <c r="M348" s="626">
        <f>IF(C348="Upfront",K348,0)</f>
        <v>0</v>
      </c>
      <c r="N348" s="625">
        <f t="array" ref="N348">IFERROR(INDEX('TB-EQUIPMENT &amp; OTHER HPs'!$P$138:$P$175,MATCH($E348&amp;$F348,'TB-EQUIPMENT &amp; OTHER HPs'!$E$138:$E$175&amp;'TB-EQUIPMENT &amp; OTHER HPs'!$I$138:$I$175,0)),0)</f>
        <v>0</v>
      </c>
      <c r="O348" s="626">
        <f>IF(ISERROR($I348*N348),0,$I348*N348)</f>
        <v>0</v>
      </c>
      <c r="P348" s="626">
        <f>IF(C348="Upfront",N348,0)</f>
        <v>0</v>
      </c>
      <c r="Q348" s="626">
        <f>IF(C348="Upfront",O348,0)</f>
        <v>0</v>
      </c>
      <c r="R348" s="625">
        <f t="array" ref="R348">IFERROR(INDEX('TB-EQUIPMENT &amp; OTHER HPs'!$Q$138:$Q$175,MATCH($E348&amp;$F348,'TB-EQUIPMENT &amp; OTHER HPs'!$E$138:$E$175&amp;'TB-EQUIPMENT &amp; OTHER HPs'!$I$138:$I$175,0)),0)</f>
        <v>0</v>
      </c>
      <c r="S348" s="626">
        <f>IF(ISERROR($I348*R348),0,$I348*R348)</f>
        <v>0</v>
      </c>
      <c r="T348" s="626">
        <f>IF(C348="Upfront",R348,IF(C348="At delivery",J348,0))</f>
        <v>0</v>
      </c>
      <c r="U348" s="626">
        <f>IF(C348="Upfront",S348,IF(C348="At delivery",K348,0))</f>
        <v>0</v>
      </c>
      <c r="V348" s="625">
        <f t="array" ref="V348">IFERROR(INDEX('TB-EQUIPMENT &amp; OTHER HPs'!$R$138:$R$175,MATCH($E348&amp;$F348,'TB-EQUIPMENT &amp; OTHER HPs'!$E$138:$E$175&amp;'TB-EQUIPMENT &amp; OTHER HPs'!$I$138:$I$175,0)),0)</f>
        <v>0</v>
      </c>
      <c r="W348" s="626">
        <f>IF(ISERROR($I348*V348),0,$I348*V348)</f>
        <v>0</v>
      </c>
      <c r="X348" s="626">
        <f>IF(C348="Upfront",V348,IF(C348="At delivery",N348,0))</f>
        <v>0</v>
      </c>
      <c r="Y348" s="626">
        <f>IF(C348="Upfront",W348,IF(C348="At delivery",O348,0))</f>
        <v>0</v>
      </c>
      <c r="AA348" s="625">
        <f t="array" ref="AA348">IFERROR(INDEX('TB-EQUIPMENT &amp; OTHER HPs'!$U$138:$U$175,MATCH($E348&amp;$F348,'TB-EQUIPMENT &amp; OTHER HPs'!$E$138:$E$175&amp;'TB-EQUIPMENT &amp; OTHER HPs'!$I$138:$I$175,0)),0)</f>
        <v>0</v>
      </c>
      <c r="AB348" s="625">
        <f t="array" ref="AB348">IFERROR(INDEX('TB-EQUIPMENT &amp; OTHER HPs'!$V$138:$V$175,MATCH($E348&amp;$F348,'TB-EQUIPMENT &amp; OTHER HPs'!$E$138:$E$175&amp;'TB-EQUIPMENT &amp; OTHER HPs'!$I$138:$I$175,0)),0)</f>
        <v>0</v>
      </c>
      <c r="AC348" s="626">
        <f>IF(ISERROR($AA348*AB348),0,$AA348*AB348)</f>
        <v>0</v>
      </c>
      <c r="AD348" s="626">
        <f>IF(C348="Upfront",AB348,IF(C348="At delivery",R348,0))</f>
        <v>0</v>
      </c>
      <c r="AE348" s="626">
        <f>IF(C348="Upfront",AC348,IF(C348="At delivery",S348,0))</f>
        <v>0</v>
      </c>
      <c r="AF348" s="625">
        <f t="array" ref="AF348">IFERROR(INDEX('TB-EQUIPMENT &amp; OTHER HPs'!$W$138:$W$175,MATCH($E348&amp;$F348,'TB-EQUIPMENT &amp; OTHER HPs'!$E$138:$E$175&amp;'TB-EQUIPMENT &amp; OTHER HPs'!$I$138:$I$175,0)),0)</f>
        <v>0</v>
      </c>
      <c r="AG348" s="626">
        <f>IF(ISERROR($AA348*AF348),0,$AA348*AF348)</f>
        <v>0</v>
      </c>
      <c r="AH348" s="626">
        <f>IF(C348="Upfront",AF348,IF(C348="At delivery",V348,0))</f>
        <v>0</v>
      </c>
      <c r="AI348" s="626">
        <f>IF(C348="Upfront",AG348,IF(C348="At delivery",W348,0))</f>
        <v>0</v>
      </c>
      <c r="AJ348" s="625">
        <f t="array" ref="AJ348">IFERROR(INDEX('TB-EQUIPMENT &amp; OTHER HPs'!$X$138:$X$175,MATCH($E348&amp;$F348,'TB-EQUIPMENT &amp; OTHER HPs'!$E$138:$E$175&amp;'TB-EQUIPMENT &amp; OTHER HPs'!$I$138:$I$175,0)),0)</f>
        <v>0</v>
      </c>
      <c r="AK348" s="626">
        <f>IF(ISERROR($AA348*AJ348),0,$AA348*AJ348)</f>
        <v>0</v>
      </c>
      <c r="AL348" s="626">
        <f>IF(C348="Upfront",AJ348,IF(C348="At delivery",AB348,0))</f>
        <v>0</v>
      </c>
      <c r="AM348" s="626">
        <f>IF(C348="Upfront",AK348,IF(C348="At delivery",AC348,0))</f>
        <v>0</v>
      </c>
      <c r="AN348" s="625">
        <f t="array" ref="AN348">IFERROR(INDEX('TB-EQUIPMENT &amp; OTHER HPs'!$Y$138:$Y$175,MATCH($E348&amp;$F348,'TB-EQUIPMENT &amp; OTHER HPs'!$E$138:$E$175&amp;'TB-EQUIPMENT &amp; OTHER HPs'!$I$138:$I$175,0)),0)</f>
        <v>0</v>
      </c>
      <c r="AO348" s="626">
        <f>IF(ISERROR($AA348*AN348),0,$AA348*AN348)</f>
        <v>0</v>
      </c>
      <c r="AP348" s="626">
        <f>IF(C348="Upfront",AN348,IF(C348="At delivery",AF348,0))</f>
        <v>0</v>
      </c>
      <c r="AQ348" s="626">
        <f>IF(C348="Upfront",AO348,IF(C348="At delivery",AG348,0))</f>
        <v>0</v>
      </c>
      <c r="AR348" s="630"/>
      <c r="AS348" s="625">
        <f t="array" ref="AS348">IFERROR(INDEX('TB-EQUIPMENT &amp; OTHER HPs'!$AB$138:$AB$175,MATCH($E348&amp;$F348,'TB-EQUIPMENT &amp; OTHER HPs'!$E$138:$E$175&amp;'TB-EQUIPMENT &amp; OTHER HPs'!$I$138:$I$175,0)),0)</f>
        <v>0</v>
      </c>
      <c r="AT348" s="625">
        <f t="array" ref="AT348">IFERROR(INDEX('TB-EQUIPMENT &amp; OTHER HPs'!$AC$138:$AC$175,MATCH($E348&amp;$F348,'TB-EQUIPMENT &amp; OTHER HPs'!$E$138:$E$175&amp;'TB-EQUIPMENT &amp; OTHER HPs'!$I$138:$I$175,0)),0)</f>
        <v>0</v>
      </c>
      <c r="AU348" s="626">
        <f>IF(ISERROR($AS348*AT348),0,$AS348*AT348)</f>
        <v>0</v>
      </c>
      <c r="AV348" s="626">
        <f>IF(C348="Upfront",AT348,IF(C348="At delivery",AJ348,0))</f>
        <v>0</v>
      </c>
      <c r="AW348" s="626">
        <f>IF(C348="Upfront",AU348,IF(C348="At delivery",AK348,0))</f>
        <v>0</v>
      </c>
      <c r="AX348" s="625">
        <f t="array" ref="AX348">IFERROR(INDEX('TB-EQUIPMENT &amp; OTHER HPs'!$AD$138:$AD$175,MATCH($E348&amp;$F348,'TB-EQUIPMENT &amp; OTHER HPs'!$E$138:$E$175&amp;'TB-EQUIPMENT &amp; OTHER HPs'!$I$138:$I$175,0)),0)</f>
        <v>0</v>
      </c>
      <c r="AY348" s="626">
        <f>IF(ISERROR($AS348*AX348),0,$AS348*AX348)</f>
        <v>0</v>
      </c>
      <c r="AZ348" s="626">
        <f>IF(C348="Upfront",AX348,IF(C348="At delivery",AN348,0))</f>
        <v>0</v>
      </c>
      <c r="BA348" s="626">
        <f>IF(C348="Upfront",AY348,IF(C348="At delivery",AO348,0))</f>
        <v>0</v>
      </c>
      <c r="BB348" s="625">
        <f t="array" ref="BB348">IFERROR(INDEX('TB-EQUIPMENT &amp; OTHER HPs'!$AE$138:$AE$175,MATCH($E348&amp;$F348,'TB-EQUIPMENT &amp; OTHER HPs'!$E$138:$E$175&amp;'TB-EQUIPMENT &amp; OTHER HPs'!$I$138:$I$175,0)),0)</f>
        <v>0</v>
      </c>
      <c r="BC348" s="626">
        <f>IF(ISERROR($AS348*BB348),0,$AS348*BB348)</f>
        <v>0</v>
      </c>
      <c r="BD348" s="626">
        <f>IF(C348="Upfront",BB348,IF(C348="At delivery",AT348,0))</f>
        <v>0</v>
      </c>
      <c r="BE348" s="626">
        <f>IF(C348="Upfront",BC348,IF(C348="At delivery",AU348,0))</f>
        <v>0</v>
      </c>
      <c r="BF348" s="625">
        <f t="array" ref="BF348">IFERROR(INDEX('TB-EQUIPMENT &amp; OTHER HPs'!$AF$138:$AF$175,MATCH($E348&amp;$F348,'TB-EQUIPMENT &amp; OTHER HPs'!$E$138:$E$175&amp;'TB-EQUIPMENT &amp; OTHER HPs'!$I$138:$I$175,0)),0)</f>
        <v>0</v>
      </c>
      <c r="BG348" s="626">
        <f>IF(ISERROR($AS348*BF348),0,$AS348*BF348)</f>
        <v>0</v>
      </c>
      <c r="BH348" s="626">
        <f>IF(C348="Upfront",BF348,IF(C348="At delivery",AX348,0))</f>
        <v>0</v>
      </c>
      <c r="BI348" s="626">
        <f>IF(C348="Upfront",BG348,IF(C348="At delivery",AY348,0))</f>
        <v>0</v>
      </c>
      <c r="BJ348" s="630"/>
      <c r="BK348" s="625"/>
      <c r="BL348" s="625"/>
      <c r="BM348" s="625"/>
      <c r="BN348" s="625"/>
      <c r="BO348" s="625"/>
      <c r="BP348" s="625"/>
      <c r="BQ348" s="625"/>
      <c r="BR348" s="625"/>
    </row>
    <row r="349" spans="1:70">
      <c r="A349" s="29" t="s">
        <v>1760</v>
      </c>
      <c r="B349" s="29" t="s">
        <v>1838</v>
      </c>
      <c r="C349" s="619">
        <f>SETUP!$F$44</f>
        <v>0</v>
      </c>
      <c r="D349" s="25">
        <v>5.6</v>
      </c>
      <c r="E349" s="26" t="s">
        <v>1243</v>
      </c>
      <c r="F349" s="26" t="s">
        <v>1140</v>
      </c>
      <c r="G349" s="625" t="str">
        <f t="array" ref="G349">IFERROR(INDEX('TB-EQUIPMENT &amp; OTHER HPs'!$L$138:$L$175,MATCH($E349&amp;$F349,'TB-EQUIPMENT &amp; OTHER HPs'!$E$138:$E$175&amp;'TB-EQUIPMENT &amp; OTHER HPs'!$I$138:$I$175,0)),"")</f>
        <v/>
      </c>
      <c r="H349" s="625" t="str">
        <f t="array" ref="H349">IFERROR(INDEX('TB-EQUIPMENT &amp; OTHER HPs'!$M$138:$M$175,MATCH($E349&amp;$F349,'TB-EQUIPMENT &amp; OTHER HPs'!$E$138:$E$175&amp;'TB-EQUIPMENT &amp; OTHER HPs'!$I$138:$I$175,0)),"")</f>
        <v/>
      </c>
      <c r="I349" s="625">
        <f t="array" ref="I349">IFERROR(INDEX('TB-EQUIPMENT &amp; OTHER HPs'!$N$138:$N$175,MATCH($E349&amp;$F349,'TB-EQUIPMENT &amp; OTHER HPs'!$E$138:$E$175&amp;'TB-EQUIPMENT &amp; OTHER HPs'!$I$138:$I$175,0)),0)</f>
        <v>0</v>
      </c>
      <c r="J349" s="625">
        <f t="array" ref="J349">IFERROR(INDEX('TB-EQUIPMENT &amp; OTHER HPs'!$O$138:$O$175,MATCH($E349&amp;$F349,'TB-EQUIPMENT &amp; OTHER HPs'!$E$138:$E$175&amp;'TB-EQUIPMENT &amp; OTHER HPs'!$I$138:$I$175,0)),0)</f>
        <v>0</v>
      </c>
      <c r="K349" s="626">
        <f t="shared" si="396"/>
        <v>0</v>
      </c>
      <c r="L349" s="626">
        <f t="shared" si="397"/>
        <v>0</v>
      </c>
      <c r="M349" s="626">
        <f t="shared" si="398"/>
        <v>0</v>
      </c>
      <c r="N349" s="625">
        <f t="array" ref="N349">IFERROR(INDEX('TB-EQUIPMENT &amp; OTHER HPs'!$P$138:$P$175,MATCH($E349&amp;$F349,'TB-EQUIPMENT &amp; OTHER HPs'!$E$138:$E$175&amp;'TB-EQUIPMENT &amp; OTHER HPs'!$I$138:$I$175,0)),0)</f>
        <v>0</v>
      </c>
      <c r="O349" s="626">
        <f t="shared" si="399"/>
        <v>0</v>
      </c>
      <c r="P349" s="626">
        <f t="shared" si="400"/>
        <v>0</v>
      </c>
      <c r="Q349" s="626">
        <f t="shared" si="401"/>
        <v>0</v>
      </c>
      <c r="R349" s="625">
        <f t="array" ref="R349">IFERROR(INDEX('TB-EQUIPMENT &amp; OTHER HPs'!$Q$138:$Q$175,MATCH($E349&amp;$F349,'TB-EQUIPMENT &amp; OTHER HPs'!$E$138:$E$175&amp;'TB-EQUIPMENT &amp; OTHER HPs'!$I$138:$I$175,0)),0)</f>
        <v>0</v>
      </c>
      <c r="S349" s="626">
        <f t="shared" si="402"/>
        <v>0</v>
      </c>
      <c r="T349" s="626">
        <f t="shared" si="403"/>
        <v>0</v>
      </c>
      <c r="U349" s="626">
        <f t="shared" si="404"/>
        <v>0</v>
      </c>
      <c r="V349" s="625">
        <f t="array" ref="V349">IFERROR(INDEX('TB-EQUIPMENT &amp; OTHER HPs'!$R$138:$R$175,MATCH($E349&amp;$F349,'TB-EQUIPMENT &amp; OTHER HPs'!$E$138:$E$175&amp;'TB-EQUIPMENT &amp; OTHER HPs'!$I$138:$I$175,0)),0)</f>
        <v>0</v>
      </c>
      <c r="W349" s="626">
        <f t="shared" si="405"/>
        <v>0</v>
      </c>
      <c r="X349" s="626">
        <f t="shared" si="406"/>
        <v>0</v>
      </c>
      <c r="Y349" s="626">
        <f t="shared" si="407"/>
        <v>0</v>
      </c>
      <c r="AA349" s="625">
        <f t="array" ref="AA349">IFERROR(INDEX('TB-EQUIPMENT &amp; OTHER HPs'!$U$138:$U$175,MATCH($E349&amp;$F349,'TB-EQUIPMENT &amp; OTHER HPs'!$E$138:$E$175&amp;'TB-EQUIPMENT &amp; OTHER HPs'!$I$138:$I$175,0)),0)</f>
        <v>0</v>
      </c>
      <c r="AB349" s="625">
        <f t="array" ref="AB349">IFERROR(INDEX('TB-EQUIPMENT &amp; OTHER HPs'!$V$138:$V$175,MATCH($E349&amp;$F349,'TB-EQUIPMENT &amp; OTHER HPs'!$E$138:$E$175&amp;'TB-EQUIPMENT &amp; OTHER HPs'!$I$138:$I$175,0)),0)</f>
        <v>0</v>
      </c>
      <c r="AC349" s="626">
        <f t="shared" si="408"/>
        <v>0</v>
      </c>
      <c r="AD349" s="626">
        <f t="shared" si="409"/>
        <v>0</v>
      </c>
      <c r="AE349" s="626">
        <f t="shared" si="410"/>
        <v>0</v>
      </c>
      <c r="AF349" s="625">
        <f t="array" ref="AF349">IFERROR(INDEX('TB-EQUIPMENT &amp; OTHER HPs'!$W$138:$W$175,MATCH($E349&amp;$F349,'TB-EQUIPMENT &amp; OTHER HPs'!$E$138:$E$175&amp;'TB-EQUIPMENT &amp; OTHER HPs'!$I$138:$I$175,0)),0)</f>
        <v>0</v>
      </c>
      <c r="AG349" s="626">
        <f t="shared" si="411"/>
        <v>0</v>
      </c>
      <c r="AH349" s="626">
        <f t="shared" si="412"/>
        <v>0</v>
      </c>
      <c r="AI349" s="626">
        <f t="shared" si="413"/>
        <v>0</v>
      </c>
      <c r="AJ349" s="625">
        <f t="array" ref="AJ349">IFERROR(INDEX('TB-EQUIPMENT &amp; OTHER HPs'!$X$138:$X$175,MATCH($E349&amp;$F349,'TB-EQUIPMENT &amp; OTHER HPs'!$E$138:$E$175&amp;'TB-EQUIPMENT &amp; OTHER HPs'!$I$138:$I$175,0)),0)</f>
        <v>0</v>
      </c>
      <c r="AK349" s="626">
        <f t="shared" si="414"/>
        <v>0</v>
      </c>
      <c r="AL349" s="626">
        <f t="shared" si="415"/>
        <v>0</v>
      </c>
      <c r="AM349" s="626">
        <f t="shared" si="416"/>
        <v>0</v>
      </c>
      <c r="AN349" s="625">
        <f t="array" ref="AN349">IFERROR(INDEX('TB-EQUIPMENT &amp; OTHER HPs'!$Y$138:$Y$175,MATCH($E349&amp;$F349,'TB-EQUIPMENT &amp; OTHER HPs'!$E$138:$E$175&amp;'TB-EQUIPMENT &amp; OTHER HPs'!$I$138:$I$175,0)),0)</f>
        <v>0</v>
      </c>
      <c r="AO349" s="626">
        <f t="shared" si="417"/>
        <v>0</v>
      </c>
      <c r="AP349" s="626">
        <f t="shared" si="418"/>
        <v>0</v>
      </c>
      <c r="AQ349" s="626">
        <f t="shared" si="419"/>
        <v>0</v>
      </c>
      <c r="AR349" s="630"/>
      <c r="AS349" s="625">
        <f t="array" ref="AS349">IFERROR(INDEX('TB-EQUIPMENT &amp; OTHER HPs'!$AB$138:$AB$175,MATCH($E349&amp;$F349,'TB-EQUIPMENT &amp; OTHER HPs'!$E$138:$E$175&amp;'TB-EQUIPMENT &amp; OTHER HPs'!$I$138:$I$175,0)),0)</f>
        <v>0</v>
      </c>
      <c r="AT349" s="625">
        <f t="array" ref="AT349">IFERROR(INDEX('TB-EQUIPMENT &amp; OTHER HPs'!$AC$138:$AC$175,MATCH($E349&amp;$F349,'TB-EQUIPMENT &amp; OTHER HPs'!$E$138:$E$175&amp;'TB-EQUIPMENT &amp; OTHER HPs'!$I$138:$I$175,0)),0)</f>
        <v>0</v>
      </c>
      <c r="AU349" s="626">
        <f t="shared" si="420"/>
        <v>0</v>
      </c>
      <c r="AV349" s="626">
        <f t="shared" si="421"/>
        <v>0</v>
      </c>
      <c r="AW349" s="626">
        <f t="shared" si="422"/>
        <v>0</v>
      </c>
      <c r="AX349" s="625">
        <f t="array" ref="AX349">IFERROR(INDEX('TB-EQUIPMENT &amp; OTHER HPs'!$AD$138:$AD$175,MATCH($E349&amp;$F349,'TB-EQUIPMENT &amp; OTHER HPs'!$E$138:$E$175&amp;'TB-EQUIPMENT &amp; OTHER HPs'!$I$138:$I$175,0)),0)</f>
        <v>0</v>
      </c>
      <c r="AY349" s="626">
        <f t="shared" si="423"/>
        <v>0</v>
      </c>
      <c r="AZ349" s="626">
        <f t="shared" si="424"/>
        <v>0</v>
      </c>
      <c r="BA349" s="626">
        <f t="shared" si="425"/>
        <v>0</v>
      </c>
      <c r="BB349" s="625">
        <f t="array" ref="BB349">IFERROR(INDEX('TB-EQUIPMENT &amp; OTHER HPs'!$AE$138:$AE$175,MATCH($E349&amp;$F349,'TB-EQUIPMENT &amp; OTHER HPs'!$E$138:$E$175&amp;'TB-EQUIPMENT &amp; OTHER HPs'!$I$138:$I$175,0)),0)</f>
        <v>0</v>
      </c>
      <c r="BC349" s="626">
        <f t="shared" si="426"/>
        <v>0</v>
      </c>
      <c r="BD349" s="626">
        <f t="shared" si="427"/>
        <v>0</v>
      </c>
      <c r="BE349" s="626">
        <f t="shared" si="428"/>
        <v>0</v>
      </c>
      <c r="BF349" s="625">
        <f t="array" ref="BF349">IFERROR(INDEX('TB-EQUIPMENT &amp; OTHER HPs'!$AF$138:$AF$175,MATCH($E349&amp;$F349,'TB-EQUIPMENT &amp; OTHER HPs'!$E$138:$E$175&amp;'TB-EQUIPMENT &amp; OTHER HPs'!$I$138:$I$175,0)),0)</f>
        <v>0</v>
      </c>
      <c r="BG349" s="626">
        <f t="shared" si="429"/>
        <v>0</v>
      </c>
      <c r="BH349" s="626">
        <f t="shared" si="430"/>
        <v>0</v>
      </c>
      <c r="BI349" s="626">
        <f t="shared" si="431"/>
        <v>0</v>
      </c>
      <c r="BJ349" s="630"/>
      <c r="BK349" s="625"/>
      <c r="BL349" s="625"/>
      <c r="BM349" s="625"/>
      <c r="BN349" s="625"/>
      <c r="BO349" s="625"/>
      <c r="BP349" s="625"/>
      <c r="BQ349" s="625"/>
      <c r="BR349" s="625"/>
    </row>
    <row r="350" spans="1:70">
      <c r="A350" s="29" t="s">
        <v>1760</v>
      </c>
      <c r="B350" s="29" t="s">
        <v>1838</v>
      </c>
      <c r="C350" s="619">
        <f>SETUP!$F$44</f>
        <v>0</v>
      </c>
      <c r="D350" s="25">
        <v>5.6</v>
      </c>
      <c r="E350" s="26" t="s">
        <v>1222</v>
      </c>
      <c r="F350" s="26" t="s">
        <v>1140</v>
      </c>
      <c r="G350" s="625" t="str">
        <f t="array" ref="G350">IFERROR(INDEX('TB-EQUIPMENT &amp; OTHER HPs'!$L$138:$L$175,MATCH($E350&amp;$F350,'TB-EQUIPMENT &amp; OTHER HPs'!$E$138:$E$175&amp;'TB-EQUIPMENT &amp; OTHER HPs'!$I$138:$I$175,0)),"")</f>
        <v/>
      </c>
      <c r="H350" s="625" t="str">
        <f t="array" ref="H350">IFERROR(INDEX('TB-EQUIPMENT &amp; OTHER HPs'!$M$138:$M$175,MATCH($E350&amp;$F350,'TB-EQUIPMENT &amp; OTHER HPs'!$E$138:$E$175&amp;'TB-EQUIPMENT &amp; OTHER HPs'!$I$138:$I$175,0)),"")</f>
        <v/>
      </c>
      <c r="I350" s="625">
        <f t="array" ref="I350">IFERROR(INDEX('TB-EQUIPMENT &amp; OTHER HPs'!$N$138:$N$175,MATCH($E350&amp;$F350,'TB-EQUIPMENT &amp; OTHER HPs'!$E$138:$E$175&amp;'TB-EQUIPMENT &amp; OTHER HPs'!$I$138:$I$175,0)),0)</f>
        <v>0</v>
      </c>
      <c r="J350" s="625">
        <f t="array" ref="J350">IFERROR(INDEX('TB-EQUIPMENT &amp; OTHER HPs'!$O$138:$O$175,MATCH($E350&amp;$F350,'TB-EQUIPMENT &amp; OTHER HPs'!$E$138:$E$175&amp;'TB-EQUIPMENT &amp; OTHER HPs'!$I$138:$I$175,0)),0)</f>
        <v>0</v>
      </c>
      <c r="K350" s="626">
        <f t="shared" si="396"/>
        <v>0</v>
      </c>
      <c r="L350" s="626">
        <f t="shared" si="397"/>
        <v>0</v>
      </c>
      <c r="M350" s="626">
        <f t="shared" si="398"/>
        <v>0</v>
      </c>
      <c r="N350" s="625">
        <f t="array" ref="N350">IFERROR(INDEX('TB-EQUIPMENT &amp; OTHER HPs'!$P$138:$P$175,MATCH($E350&amp;$F350,'TB-EQUIPMENT &amp; OTHER HPs'!$E$138:$E$175&amp;'TB-EQUIPMENT &amp; OTHER HPs'!$I$138:$I$175,0)),0)</f>
        <v>0</v>
      </c>
      <c r="O350" s="626">
        <f t="shared" si="399"/>
        <v>0</v>
      </c>
      <c r="P350" s="626">
        <f t="shared" si="400"/>
        <v>0</v>
      </c>
      <c r="Q350" s="626">
        <f t="shared" si="401"/>
        <v>0</v>
      </c>
      <c r="R350" s="625">
        <f t="array" ref="R350">IFERROR(INDEX('TB-EQUIPMENT &amp; OTHER HPs'!$Q$138:$Q$175,MATCH($E350&amp;$F350,'TB-EQUIPMENT &amp; OTHER HPs'!$E$138:$E$175&amp;'TB-EQUIPMENT &amp; OTHER HPs'!$I$138:$I$175,0)),0)</f>
        <v>0</v>
      </c>
      <c r="S350" s="626">
        <f t="shared" si="402"/>
        <v>0</v>
      </c>
      <c r="T350" s="626">
        <f t="shared" si="403"/>
        <v>0</v>
      </c>
      <c r="U350" s="626">
        <f t="shared" si="404"/>
        <v>0</v>
      </c>
      <c r="V350" s="625">
        <f t="array" ref="V350">IFERROR(INDEX('TB-EQUIPMENT &amp; OTHER HPs'!$R$138:$R$175,MATCH($E350&amp;$F350,'TB-EQUIPMENT &amp; OTHER HPs'!$E$138:$E$175&amp;'TB-EQUIPMENT &amp; OTHER HPs'!$I$138:$I$175,0)),0)</f>
        <v>0</v>
      </c>
      <c r="W350" s="626">
        <f t="shared" si="405"/>
        <v>0</v>
      </c>
      <c r="X350" s="626">
        <f t="shared" si="406"/>
        <v>0</v>
      </c>
      <c r="Y350" s="626">
        <f t="shared" si="407"/>
        <v>0</v>
      </c>
      <c r="AA350" s="625">
        <f t="array" ref="AA350">IFERROR(INDEX('TB-EQUIPMENT &amp; OTHER HPs'!$U$138:$U$175,MATCH($E350&amp;$F350,'TB-EQUIPMENT &amp; OTHER HPs'!$E$138:$E$175&amp;'TB-EQUIPMENT &amp; OTHER HPs'!$I$138:$I$175,0)),0)</f>
        <v>0</v>
      </c>
      <c r="AB350" s="625">
        <f t="array" ref="AB350">IFERROR(INDEX('TB-EQUIPMENT &amp; OTHER HPs'!$V$138:$V$175,MATCH($E350&amp;$F350,'TB-EQUIPMENT &amp; OTHER HPs'!$E$138:$E$175&amp;'TB-EQUIPMENT &amp; OTHER HPs'!$I$138:$I$175,0)),0)</f>
        <v>0</v>
      </c>
      <c r="AC350" s="626">
        <f t="shared" si="408"/>
        <v>0</v>
      </c>
      <c r="AD350" s="626">
        <f t="shared" si="409"/>
        <v>0</v>
      </c>
      <c r="AE350" s="626">
        <f t="shared" si="410"/>
        <v>0</v>
      </c>
      <c r="AF350" s="625">
        <f t="array" ref="AF350">IFERROR(INDEX('TB-EQUIPMENT &amp; OTHER HPs'!$W$138:$W$175,MATCH($E350&amp;$F350,'TB-EQUIPMENT &amp; OTHER HPs'!$E$138:$E$175&amp;'TB-EQUIPMENT &amp; OTHER HPs'!$I$138:$I$175,0)),0)</f>
        <v>0</v>
      </c>
      <c r="AG350" s="626">
        <f t="shared" si="411"/>
        <v>0</v>
      </c>
      <c r="AH350" s="626">
        <f t="shared" si="412"/>
        <v>0</v>
      </c>
      <c r="AI350" s="626">
        <f t="shared" si="413"/>
        <v>0</v>
      </c>
      <c r="AJ350" s="625">
        <f t="array" ref="AJ350">IFERROR(INDEX('TB-EQUIPMENT &amp; OTHER HPs'!$X$138:$X$175,MATCH($E350&amp;$F350,'TB-EQUIPMENT &amp; OTHER HPs'!$E$138:$E$175&amp;'TB-EQUIPMENT &amp; OTHER HPs'!$I$138:$I$175,0)),0)</f>
        <v>0</v>
      </c>
      <c r="AK350" s="626">
        <f t="shared" si="414"/>
        <v>0</v>
      </c>
      <c r="AL350" s="626">
        <f t="shared" si="415"/>
        <v>0</v>
      </c>
      <c r="AM350" s="626">
        <f t="shared" si="416"/>
        <v>0</v>
      </c>
      <c r="AN350" s="625">
        <f t="array" ref="AN350">IFERROR(INDEX('TB-EQUIPMENT &amp; OTHER HPs'!$Y$138:$Y$175,MATCH($E350&amp;$F350,'TB-EQUIPMENT &amp; OTHER HPs'!$E$138:$E$175&amp;'TB-EQUIPMENT &amp; OTHER HPs'!$I$138:$I$175,0)),0)</f>
        <v>0</v>
      </c>
      <c r="AO350" s="626">
        <f t="shared" si="417"/>
        <v>0</v>
      </c>
      <c r="AP350" s="626">
        <f t="shared" si="418"/>
        <v>0</v>
      </c>
      <c r="AQ350" s="626">
        <f t="shared" si="419"/>
        <v>0</v>
      </c>
      <c r="AR350" s="630"/>
      <c r="AS350" s="625">
        <f t="array" ref="AS350">IFERROR(INDEX('TB-EQUIPMENT &amp; OTHER HPs'!$AB$138:$AB$175,MATCH($E350&amp;$F350,'TB-EQUIPMENT &amp; OTHER HPs'!$E$138:$E$175&amp;'TB-EQUIPMENT &amp; OTHER HPs'!$I$138:$I$175,0)),0)</f>
        <v>0</v>
      </c>
      <c r="AT350" s="625">
        <f t="array" ref="AT350">IFERROR(INDEX('TB-EQUIPMENT &amp; OTHER HPs'!$AC$138:$AC$175,MATCH($E350&amp;$F350,'TB-EQUIPMENT &amp; OTHER HPs'!$E$138:$E$175&amp;'TB-EQUIPMENT &amp; OTHER HPs'!$I$138:$I$175,0)),0)</f>
        <v>0</v>
      </c>
      <c r="AU350" s="626">
        <f t="shared" si="420"/>
        <v>0</v>
      </c>
      <c r="AV350" s="626">
        <f t="shared" si="421"/>
        <v>0</v>
      </c>
      <c r="AW350" s="626">
        <f t="shared" si="422"/>
        <v>0</v>
      </c>
      <c r="AX350" s="625">
        <f t="array" ref="AX350">IFERROR(INDEX('TB-EQUIPMENT &amp; OTHER HPs'!$AD$138:$AD$175,MATCH($E350&amp;$F350,'TB-EQUIPMENT &amp; OTHER HPs'!$E$138:$E$175&amp;'TB-EQUIPMENT &amp; OTHER HPs'!$I$138:$I$175,0)),0)</f>
        <v>0</v>
      </c>
      <c r="AY350" s="626">
        <f t="shared" si="423"/>
        <v>0</v>
      </c>
      <c r="AZ350" s="626">
        <f t="shared" si="424"/>
        <v>0</v>
      </c>
      <c r="BA350" s="626">
        <f t="shared" si="425"/>
        <v>0</v>
      </c>
      <c r="BB350" s="625">
        <f t="array" ref="BB350">IFERROR(INDEX('TB-EQUIPMENT &amp; OTHER HPs'!$AE$138:$AE$175,MATCH($E350&amp;$F350,'TB-EQUIPMENT &amp; OTHER HPs'!$E$138:$E$175&amp;'TB-EQUIPMENT &amp; OTHER HPs'!$I$138:$I$175,0)),0)</f>
        <v>0</v>
      </c>
      <c r="BC350" s="626">
        <f t="shared" si="426"/>
        <v>0</v>
      </c>
      <c r="BD350" s="626">
        <f t="shared" si="427"/>
        <v>0</v>
      </c>
      <c r="BE350" s="626">
        <f t="shared" si="428"/>
        <v>0</v>
      </c>
      <c r="BF350" s="625">
        <f t="array" ref="BF350">IFERROR(INDEX('TB-EQUIPMENT &amp; OTHER HPs'!$AF$138:$AF$175,MATCH($E350&amp;$F350,'TB-EQUIPMENT &amp; OTHER HPs'!$E$138:$E$175&amp;'TB-EQUIPMENT &amp; OTHER HPs'!$I$138:$I$175,0)),0)</f>
        <v>0</v>
      </c>
      <c r="BG350" s="626">
        <f t="shared" si="429"/>
        <v>0</v>
      </c>
      <c r="BH350" s="626">
        <f t="shared" si="430"/>
        <v>0</v>
      </c>
      <c r="BI350" s="626">
        <f t="shared" si="431"/>
        <v>0</v>
      </c>
      <c r="BJ350" s="630"/>
      <c r="BK350" s="625"/>
      <c r="BL350" s="625"/>
      <c r="BM350" s="625"/>
      <c r="BN350" s="625"/>
      <c r="BO350" s="625"/>
      <c r="BP350" s="625"/>
      <c r="BQ350" s="625"/>
      <c r="BR350" s="625"/>
    </row>
    <row r="351" spans="1:70">
      <c r="A351" s="29" t="s">
        <v>1760</v>
      </c>
      <c r="B351" s="29" t="s">
        <v>1838</v>
      </c>
      <c r="C351" s="619">
        <f>SETUP!$F$44</f>
        <v>0</v>
      </c>
      <c r="D351" s="25">
        <v>5.6</v>
      </c>
      <c r="E351" s="26" t="s">
        <v>1223</v>
      </c>
      <c r="F351" s="26" t="s">
        <v>1140</v>
      </c>
      <c r="G351" s="625" t="str">
        <f t="array" ref="G351">IFERROR(INDEX('TB-EQUIPMENT &amp; OTHER HPs'!$L$138:$L$175,MATCH($E351&amp;$F351,'TB-EQUIPMENT &amp; OTHER HPs'!$E$138:$E$175&amp;'TB-EQUIPMENT &amp; OTHER HPs'!$I$138:$I$175,0)),"")</f>
        <v/>
      </c>
      <c r="H351" s="625" t="str">
        <f t="array" ref="H351">IFERROR(INDEX('TB-EQUIPMENT &amp; OTHER HPs'!$M$138:$M$175,MATCH($E351&amp;$F351,'TB-EQUIPMENT &amp; OTHER HPs'!$E$138:$E$175&amp;'TB-EQUIPMENT &amp; OTHER HPs'!$I$138:$I$175,0)),"")</f>
        <v/>
      </c>
      <c r="I351" s="625">
        <f t="array" ref="I351">IFERROR(INDEX('TB-EQUIPMENT &amp; OTHER HPs'!$N$138:$N$175,MATCH($E351&amp;$F351,'TB-EQUIPMENT &amp; OTHER HPs'!$E$138:$E$175&amp;'TB-EQUIPMENT &amp; OTHER HPs'!$I$138:$I$175,0)),0)</f>
        <v>0</v>
      </c>
      <c r="J351" s="625">
        <f t="array" ref="J351">IFERROR(INDEX('TB-EQUIPMENT &amp; OTHER HPs'!$O$138:$O$175,MATCH($E351&amp;$F351,'TB-EQUIPMENT &amp; OTHER HPs'!$E$138:$E$175&amp;'TB-EQUIPMENT &amp; OTHER HPs'!$I$138:$I$175,0)),0)</f>
        <v>0</v>
      </c>
      <c r="K351" s="626">
        <f t="shared" si="396"/>
        <v>0</v>
      </c>
      <c r="L351" s="626">
        <f t="shared" si="397"/>
        <v>0</v>
      </c>
      <c r="M351" s="626">
        <f t="shared" si="398"/>
        <v>0</v>
      </c>
      <c r="N351" s="625">
        <f t="array" ref="N351">IFERROR(INDEX('TB-EQUIPMENT &amp; OTHER HPs'!$P$138:$P$175,MATCH($E351&amp;$F351,'TB-EQUIPMENT &amp; OTHER HPs'!$E$138:$E$175&amp;'TB-EQUIPMENT &amp; OTHER HPs'!$I$138:$I$175,0)),0)</f>
        <v>0</v>
      </c>
      <c r="O351" s="626">
        <f t="shared" si="399"/>
        <v>0</v>
      </c>
      <c r="P351" s="626">
        <f t="shared" si="400"/>
        <v>0</v>
      </c>
      <c r="Q351" s="626">
        <f t="shared" si="401"/>
        <v>0</v>
      </c>
      <c r="R351" s="625">
        <f t="array" ref="R351">IFERROR(INDEX('TB-EQUIPMENT &amp; OTHER HPs'!$Q$138:$Q$175,MATCH($E351&amp;$F351,'TB-EQUIPMENT &amp; OTHER HPs'!$E$138:$E$175&amp;'TB-EQUIPMENT &amp; OTHER HPs'!$I$138:$I$175,0)),0)</f>
        <v>0</v>
      </c>
      <c r="S351" s="626">
        <f t="shared" si="402"/>
        <v>0</v>
      </c>
      <c r="T351" s="626">
        <f t="shared" si="403"/>
        <v>0</v>
      </c>
      <c r="U351" s="626">
        <f t="shared" si="404"/>
        <v>0</v>
      </c>
      <c r="V351" s="625">
        <f t="array" ref="V351">IFERROR(INDEX('TB-EQUIPMENT &amp; OTHER HPs'!$R$138:$R$175,MATCH($E351&amp;$F351,'TB-EQUIPMENT &amp; OTHER HPs'!$E$138:$E$175&amp;'TB-EQUIPMENT &amp; OTHER HPs'!$I$138:$I$175,0)),0)</f>
        <v>0</v>
      </c>
      <c r="W351" s="626">
        <f t="shared" si="405"/>
        <v>0</v>
      </c>
      <c r="X351" s="626">
        <f t="shared" si="406"/>
        <v>0</v>
      </c>
      <c r="Y351" s="626">
        <f t="shared" si="407"/>
        <v>0</v>
      </c>
      <c r="AA351" s="625">
        <f t="array" ref="AA351">IFERROR(INDEX('TB-EQUIPMENT &amp; OTHER HPs'!$U$138:$U$175,MATCH($E351&amp;$F351,'TB-EQUIPMENT &amp; OTHER HPs'!$E$138:$E$175&amp;'TB-EQUIPMENT &amp; OTHER HPs'!$I$138:$I$175,0)),0)</f>
        <v>0</v>
      </c>
      <c r="AB351" s="625">
        <f t="array" ref="AB351">IFERROR(INDEX('TB-EQUIPMENT &amp; OTHER HPs'!$V$138:$V$175,MATCH($E351&amp;$F351,'TB-EQUIPMENT &amp; OTHER HPs'!$E$138:$E$175&amp;'TB-EQUIPMENT &amp; OTHER HPs'!$I$138:$I$175,0)),0)</f>
        <v>0</v>
      </c>
      <c r="AC351" s="626">
        <f t="shared" si="408"/>
        <v>0</v>
      </c>
      <c r="AD351" s="626">
        <f t="shared" si="409"/>
        <v>0</v>
      </c>
      <c r="AE351" s="626">
        <f t="shared" si="410"/>
        <v>0</v>
      </c>
      <c r="AF351" s="625">
        <f t="array" ref="AF351">IFERROR(INDEX('TB-EQUIPMENT &amp; OTHER HPs'!$W$138:$W$175,MATCH($E351&amp;$F351,'TB-EQUIPMENT &amp; OTHER HPs'!$E$138:$E$175&amp;'TB-EQUIPMENT &amp; OTHER HPs'!$I$138:$I$175,0)),0)</f>
        <v>0</v>
      </c>
      <c r="AG351" s="626">
        <f t="shared" si="411"/>
        <v>0</v>
      </c>
      <c r="AH351" s="626">
        <f t="shared" si="412"/>
        <v>0</v>
      </c>
      <c r="AI351" s="626">
        <f t="shared" si="413"/>
        <v>0</v>
      </c>
      <c r="AJ351" s="625">
        <f t="array" ref="AJ351">IFERROR(INDEX('TB-EQUIPMENT &amp; OTHER HPs'!$X$138:$X$175,MATCH($E351&amp;$F351,'TB-EQUIPMENT &amp; OTHER HPs'!$E$138:$E$175&amp;'TB-EQUIPMENT &amp; OTHER HPs'!$I$138:$I$175,0)),0)</f>
        <v>0</v>
      </c>
      <c r="AK351" s="626">
        <f t="shared" si="414"/>
        <v>0</v>
      </c>
      <c r="AL351" s="626">
        <f t="shared" si="415"/>
        <v>0</v>
      </c>
      <c r="AM351" s="626">
        <f t="shared" si="416"/>
        <v>0</v>
      </c>
      <c r="AN351" s="625">
        <f t="array" ref="AN351">IFERROR(INDEX('TB-EQUIPMENT &amp; OTHER HPs'!$Y$138:$Y$175,MATCH($E351&amp;$F351,'TB-EQUIPMENT &amp; OTHER HPs'!$E$138:$E$175&amp;'TB-EQUIPMENT &amp; OTHER HPs'!$I$138:$I$175,0)),0)</f>
        <v>0</v>
      </c>
      <c r="AO351" s="626">
        <f t="shared" si="417"/>
        <v>0</v>
      </c>
      <c r="AP351" s="626">
        <f t="shared" si="418"/>
        <v>0</v>
      </c>
      <c r="AQ351" s="626">
        <f t="shared" si="419"/>
        <v>0</v>
      </c>
      <c r="AR351" s="630"/>
      <c r="AS351" s="625">
        <f t="array" ref="AS351">IFERROR(INDEX('TB-EQUIPMENT &amp; OTHER HPs'!$AB$138:$AB$175,MATCH($E351&amp;$F351,'TB-EQUIPMENT &amp; OTHER HPs'!$E$138:$E$175&amp;'TB-EQUIPMENT &amp; OTHER HPs'!$I$138:$I$175,0)),0)</f>
        <v>0</v>
      </c>
      <c r="AT351" s="625">
        <f t="array" ref="AT351">IFERROR(INDEX('TB-EQUIPMENT &amp; OTHER HPs'!$AC$138:$AC$175,MATCH($E351&amp;$F351,'TB-EQUIPMENT &amp; OTHER HPs'!$E$138:$E$175&amp;'TB-EQUIPMENT &amp; OTHER HPs'!$I$138:$I$175,0)),0)</f>
        <v>0</v>
      </c>
      <c r="AU351" s="626">
        <f t="shared" si="420"/>
        <v>0</v>
      </c>
      <c r="AV351" s="626">
        <f t="shared" si="421"/>
        <v>0</v>
      </c>
      <c r="AW351" s="626">
        <f t="shared" si="422"/>
        <v>0</v>
      </c>
      <c r="AX351" s="625">
        <f t="array" ref="AX351">IFERROR(INDEX('TB-EQUIPMENT &amp; OTHER HPs'!$AD$138:$AD$175,MATCH($E351&amp;$F351,'TB-EQUIPMENT &amp; OTHER HPs'!$E$138:$E$175&amp;'TB-EQUIPMENT &amp; OTHER HPs'!$I$138:$I$175,0)),0)</f>
        <v>0</v>
      </c>
      <c r="AY351" s="626">
        <f t="shared" si="423"/>
        <v>0</v>
      </c>
      <c r="AZ351" s="626">
        <f t="shared" si="424"/>
        <v>0</v>
      </c>
      <c r="BA351" s="626">
        <f t="shared" si="425"/>
        <v>0</v>
      </c>
      <c r="BB351" s="625">
        <f t="array" ref="BB351">IFERROR(INDEX('TB-EQUIPMENT &amp; OTHER HPs'!$AE$138:$AE$175,MATCH($E351&amp;$F351,'TB-EQUIPMENT &amp; OTHER HPs'!$E$138:$E$175&amp;'TB-EQUIPMENT &amp; OTHER HPs'!$I$138:$I$175,0)),0)</f>
        <v>0</v>
      </c>
      <c r="BC351" s="626">
        <f t="shared" si="426"/>
        <v>0</v>
      </c>
      <c r="BD351" s="626">
        <f t="shared" si="427"/>
        <v>0</v>
      </c>
      <c r="BE351" s="626">
        <f t="shared" si="428"/>
        <v>0</v>
      </c>
      <c r="BF351" s="625">
        <f t="array" ref="BF351">IFERROR(INDEX('TB-EQUIPMENT &amp; OTHER HPs'!$AF$138:$AF$175,MATCH($E351&amp;$F351,'TB-EQUIPMENT &amp; OTHER HPs'!$E$138:$E$175&amp;'TB-EQUIPMENT &amp; OTHER HPs'!$I$138:$I$175,0)),0)</f>
        <v>0</v>
      </c>
      <c r="BG351" s="626">
        <f t="shared" si="429"/>
        <v>0</v>
      </c>
      <c r="BH351" s="626">
        <f t="shared" si="430"/>
        <v>0</v>
      </c>
      <c r="BI351" s="626">
        <f t="shared" si="431"/>
        <v>0</v>
      </c>
      <c r="BJ351" s="630"/>
      <c r="BK351" s="625"/>
      <c r="BL351" s="625"/>
      <c r="BM351" s="625"/>
      <c r="BN351" s="625"/>
      <c r="BO351" s="625"/>
      <c r="BP351" s="625"/>
      <c r="BQ351" s="625"/>
      <c r="BR351" s="625"/>
    </row>
    <row r="352" spans="1:70">
      <c r="A352" s="29" t="s">
        <v>1760</v>
      </c>
      <c r="B352" s="29" t="s">
        <v>1838</v>
      </c>
      <c r="C352" s="619">
        <f>SETUP!$F$44</f>
        <v>0</v>
      </c>
      <c r="D352" s="25">
        <v>5.6</v>
      </c>
      <c r="E352" s="26" t="s">
        <v>1224</v>
      </c>
      <c r="F352" s="26" t="s">
        <v>1140</v>
      </c>
      <c r="G352" s="625" t="str">
        <f t="array" ref="G352">IFERROR(INDEX('TB-EQUIPMENT &amp; OTHER HPs'!$L$138:$L$175,MATCH($E352&amp;$F352,'TB-EQUIPMENT &amp; OTHER HPs'!$E$138:$E$175&amp;'TB-EQUIPMENT &amp; OTHER HPs'!$I$138:$I$175,0)),"")</f>
        <v/>
      </c>
      <c r="H352" s="625" t="str">
        <f t="array" ref="H352">IFERROR(INDEX('TB-EQUIPMENT &amp; OTHER HPs'!$M$138:$M$175,MATCH($E352&amp;$F352,'TB-EQUIPMENT &amp; OTHER HPs'!$E$138:$E$175&amp;'TB-EQUIPMENT &amp; OTHER HPs'!$I$138:$I$175,0)),"")</f>
        <v/>
      </c>
      <c r="I352" s="625">
        <f t="array" ref="I352">IFERROR(INDEX('TB-EQUIPMENT &amp; OTHER HPs'!$N$138:$N$175,MATCH($E352&amp;$F352,'TB-EQUIPMENT &amp; OTHER HPs'!$E$138:$E$175&amp;'TB-EQUIPMENT &amp; OTHER HPs'!$I$138:$I$175,0)),0)</f>
        <v>0</v>
      </c>
      <c r="J352" s="625">
        <f t="array" ref="J352">IFERROR(INDEX('TB-EQUIPMENT &amp; OTHER HPs'!$O$138:$O$175,MATCH($E352&amp;$F352,'TB-EQUIPMENT &amp; OTHER HPs'!$E$138:$E$175&amp;'TB-EQUIPMENT &amp; OTHER HPs'!$I$138:$I$175,0)),0)</f>
        <v>0</v>
      </c>
      <c r="K352" s="626">
        <f t="shared" si="396"/>
        <v>0</v>
      </c>
      <c r="L352" s="626">
        <f t="shared" si="397"/>
        <v>0</v>
      </c>
      <c r="M352" s="626">
        <f t="shared" si="398"/>
        <v>0</v>
      </c>
      <c r="N352" s="625">
        <f t="array" ref="N352">IFERROR(INDEX('TB-EQUIPMENT &amp; OTHER HPs'!$P$138:$P$175,MATCH($E352&amp;$F352,'TB-EQUIPMENT &amp; OTHER HPs'!$E$138:$E$175&amp;'TB-EQUIPMENT &amp; OTHER HPs'!$I$138:$I$175,0)),0)</f>
        <v>0</v>
      </c>
      <c r="O352" s="626">
        <f t="shared" si="399"/>
        <v>0</v>
      </c>
      <c r="P352" s="626">
        <f t="shared" si="400"/>
        <v>0</v>
      </c>
      <c r="Q352" s="626">
        <f t="shared" si="401"/>
        <v>0</v>
      </c>
      <c r="R352" s="625">
        <f t="array" ref="R352">IFERROR(INDEX('TB-EQUIPMENT &amp; OTHER HPs'!$Q$138:$Q$175,MATCH($E352&amp;$F352,'TB-EQUIPMENT &amp; OTHER HPs'!$E$138:$E$175&amp;'TB-EQUIPMENT &amp; OTHER HPs'!$I$138:$I$175,0)),0)</f>
        <v>0</v>
      </c>
      <c r="S352" s="626">
        <f t="shared" si="402"/>
        <v>0</v>
      </c>
      <c r="T352" s="626">
        <f t="shared" si="403"/>
        <v>0</v>
      </c>
      <c r="U352" s="626">
        <f t="shared" si="404"/>
        <v>0</v>
      </c>
      <c r="V352" s="625">
        <f t="array" ref="V352">IFERROR(INDEX('TB-EQUIPMENT &amp; OTHER HPs'!$R$138:$R$175,MATCH($E352&amp;$F352,'TB-EQUIPMENT &amp; OTHER HPs'!$E$138:$E$175&amp;'TB-EQUIPMENT &amp; OTHER HPs'!$I$138:$I$175,0)),0)</f>
        <v>0</v>
      </c>
      <c r="W352" s="626">
        <f t="shared" si="405"/>
        <v>0</v>
      </c>
      <c r="X352" s="626">
        <f t="shared" si="406"/>
        <v>0</v>
      </c>
      <c r="Y352" s="626">
        <f t="shared" si="407"/>
        <v>0</v>
      </c>
      <c r="AA352" s="625">
        <f t="array" ref="AA352">IFERROR(INDEX('TB-EQUIPMENT &amp; OTHER HPs'!$U$138:$U$175,MATCH($E352&amp;$F352,'TB-EQUIPMENT &amp; OTHER HPs'!$E$138:$E$175&amp;'TB-EQUIPMENT &amp; OTHER HPs'!$I$138:$I$175,0)),0)</f>
        <v>0</v>
      </c>
      <c r="AB352" s="625">
        <f t="array" ref="AB352">IFERROR(INDEX('TB-EQUIPMENT &amp; OTHER HPs'!$V$138:$V$175,MATCH($E352&amp;$F352,'TB-EQUIPMENT &amp; OTHER HPs'!$E$138:$E$175&amp;'TB-EQUIPMENT &amp; OTHER HPs'!$I$138:$I$175,0)),0)</f>
        <v>0</v>
      </c>
      <c r="AC352" s="626">
        <f t="shared" si="408"/>
        <v>0</v>
      </c>
      <c r="AD352" s="626">
        <f t="shared" si="409"/>
        <v>0</v>
      </c>
      <c r="AE352" s="626">
        <f t="shared" si="410"/>
        <v>0</v>
      </c>
      <c r="AF352" s="625">
        <f t="array" ref="AF352">IFERROR(INDEX('TB-EQUIPMENT &amp; OTHER HPs'!$W$138:$W$175,MATCH($E352&amp;$F352,'TB-EQUIPMENT &amp; OTHER HPs'!$E$138:$E$175&amp;'TB-EQUIPMENT &amp; OTHER HPs'!$I$138:$I$175,0)),0)</f>
        <v>0</v>
      </c>
      <c r="AG352" s="626">
        <f t="shared" si="411"/>
        <v>0</v>
      </c>
      <c r="AH352" s="626">
        <f t="shared" si="412"/>
        <v>0</v>
      </c>
      <c r="AI352" s="626">
        <f t="shared" si="413"/>
        <v>0</v>
      </c>
      <c r="AJ352" s="625">
        <f t="array" ref="AJ352">IFERROR(INDEX('TB-EQUIPMENT &amp; OTHER HPs'!$X$138:$X$175,MATCH($E352&amp;$F352,'TB-EQUIPMENT &amp; OTHER HPs'!$E$138:$E$175&amp;'TB-EQUIPMENT &amp; OTHER HPs'!$I$138:$I$175,0)),0)</f>
        <v>0</v>
      </c>
      <c r="AK352" s="626">
        <f t="shared" si="414"/>
        <v>0</v>
      </c>
      <c r="AL352" s="626">
        <f t="shared" si="415"/>
        <v>0</v>
      </c>
      <c r="AM352" s="626">
        <f t="shared" si="416"/>
        <v>0</v>
      </c>
      <c r="AN352" s="625">
        <f t="array" ref="AN352">IFERROR(INDEX('TB-EQUIPMENT &amp; OTHER HPs'!$Y$138:$Y$175,MATCH($E352&amp;$F352,'TB-EQUIPMENT &amp; OTHER HPs'!$E$138:$E$175&amp;'TB-EQUIPMENT &amp; OTHER HPs'!$I$138:$I$175,0)),0)</f>
        <v>0</v>
      </c>
      <c r="AO352" s="626">
        <f t="shared" si="417"/>
        <v>0</v>
      </c>
      <c r="AP352" s="626">
        <f t="shared" si="418"/>
        <v>0</v>
      </c>
      <c r="AQ352" s="626">
        <f t="shared" si="419"/>
        <v>0</v>
      </c>
      <c r="AR352" s="630"/>
      <c r="AS352" s="625">
        <f t="array" ref="AS352">IFERROR(INDEX('TB-EQUIPMENT &amp; OTHER HPs'!$AB$138:$AB$175,MATCH($E352&amp;$F352,'TB-EQUIPMENT &amp; OTHER HPs'!$E$138:$E$175&amp;'TB-EQUIPMENT &amp; OTHER HPs'!$I$138:$I$175,0)),0)</f>
        <v>0</v>
      </c>
      <c r="AT352" s="625">
        <f t="array" ref="AT352">IFERROR(INDEX('TB-EQUIPMENT &amp; OTHER HPs'!$AC$138:$AC$175,MATCH($E352&amp;$F352,'TB-EQUIPMENT &amp; OTHER HPs'!$E$138:$E$175&amp;'TB-EQUIPMENT &amp; OTHER HPs'!$I$138:$I$175,0)),0)</f>
        <v>0</v>
      </c>
      <c r="AU352" s="626">
        <f t="shared" si="420"/>
        <v>0</v>
      </c>
      <c r="AV352" s="626">
        <f t="shared" si="421"/>
        <v>0</v>
      </c>
      <c r="AW352" s="626">
        <f t="shared" si="422"/>
        <v>0</v>
      </c>
      <c r="AX352" s="625">
        <f t="array" ref="AX352">IFERROR(INDEX('TB-EQUIPMENT &amp; OTHER HPs'!$AD$138:$AD$175,MATCH($E352&amp;$F352,'TB-EQUIPMENT &amp; OTHER HPs'!$E$138:$E$175&amp;'TB-EQUIPMENT &amp; OTHER HPs'!$I$138:$I$175,0)),0)</f>
        <v>0</v>
      </c>
      <c r="AY352" s="626">
        <f t="shared" si="423"/>
        <v>0</v>
      </c>
      <c r="AZ352" s="626">
        <f t="shared" si="424"/>
        <v>0</v>
      </c>
      <c r="BA352" s="626">
        <f t="shared" si="425"/>
        <v>0</v>
      </c>
      <c r="BB352" s="625">
        <f t="array" ref="BB352">IFERROR(INDEX('TB-EQUIPMENT &amp; OTHER HPs'!$AE$138:$AE$175,MATCH($E352&amp;$F352,'TB-EQUIPMENT &amp; OTHER HPs'!$E$138:$E$175&amp;'TB-EQUIPMENT &amp; OTHER HPs'!$I$138:$I$175,0)),0)</f>
        <v>0</v>
      </c>
      <c r="BC352" s="626">
        <f t="shared" si="426"/>
        <v>0</v>
      </c>
      <c r="BD352" s="626">
        <f t="shared" si="427"/>
        <v>0</v>
      </c>
      <c r="BE352" s="626">
        <f t="shared" si="428"/>
        <v>0</v>
      </c>
      <c r="BF352" s="625">
        <f t="array" ref="BF352">IFERROR(INDEX('TB-EQUIPMENT &amp; OTHER HPs'!$AF$138:$AF$175,MATCH($E352&amp;$F352,'TB-EQUIPMENT &amp; OTHER HPs'!$E$138:$E$175&amp;'TB-EQUIPMENT &amp; OTHER HPs'!$I$138:$I$175,0)),0)</f>
        <v>0</v>
      </c>
      <c r="BG352" s="626">
        <f t="shared" si="429"/>
        <v>0</v>
      </c>
      <c r="BH352" s="626">
        <f t="shared" si="430"/>
        <v>0</v>
      </c>
      <c r="BI352" s="626">
        <f t="shared" si="431"/>
        <v>0</v>
      </c>
      <c r="BJ352" s="630"/>
      <c r="BK352" s="625"/>
      <c r="BL352" s="625"/>
      <c r="BM352" s="625"/>
      <c r="BN352" s="625"/>
      <c r="BO352" s="625"/>
      <c r="BP352" s="625"/>
      <c r="BQ352" s="625"/>
      <c r="BR352" s="625"/>
    </row>
    <row r="353" spans="1:70">
      <c r="A353" s="29" t="s">
        <v>1760</v>
      </c>
      <c r="B353" s="29" t="s">
        <v>1838</v>
      </c>
      <c r="C353" s="619">
        <f>SETUP!$F$44</f>
        <v>0</v>
      </c>
      <c r="D353" s="25">
        <v>5.6</v>
      </c>
      <c r="E353" s="26" t="s">
        <v>1225</v>
      </c>
      <c r="F353" s="26" t="s">
        <v>1140</v>
      </c>
      <c r="G353" s="625" t="str">
        <f t="array" ref="G353">IFERROR(INDEX('TB-EQUIPMENT &amp; OTHER HPs'!$L$138:$L$175,MATCH($E353&amp;$F353,'TB-EQUIPMENT &amp; OTHER HPs'!$E$138:$E$175&amp;'TB-EQUIPMENT &amp; OTHER HPs'!$I$138:$I$175,0)),"")</f>
        <v/>
      </c>
      <c r="H353" s="625" t="str">
        <f t="array" ref="H353">IFERROR(INDEX('TB-EQUIPMENT &amp; OTHER HPs'!$M$138:$M$175,MATCH($E353&amp;$F353,'TB-EQUIPMENT &amp; OTHER HPs'!$E$138:$E$175&amp;'TB-EQUIPMENT &amp; OTHER HPs'!$I$138:$I$175,0)),"")</f>
        <v/>
      </c>
      <c r="I353" s="625">
        <f t="array" ref="I353">IFERROR(INDEX('TB-EQUIPMENT &amp; OTHER HPs'!$N$138:$N$175,MATCH($E353&amp;$F353,'TB-EQUIPMENT &amp; OTHER HPs'!$E$138:$E$175&amp;'TB-EQUIPMENT &amp; OTHER HPs'!$I$138:$I$175,0)),0)</f>
        <v>0</v>
      </c>
      <c r="J353" s="625">
        <f t="array" ref="J353">IFERROR(INDEX('TB-EQUIPMENT &amp; OTHER HPs'!$O$138:$O$175,MATCH($E353&amp;$F353,'TB-EQUIPMENT &amp; OTHER HPs'!$E$138:$E$175&amp;'TB-EQUIPMENT &amp; OTHER HPs'!$I$138:$I$175,0)),0)</f>
        <v>0</v>
      </c>
      <c r="K353" s="626">
        <f t="shared" si="396"/>
        <v>0</v>
      </c>
      <c r="L353" s="626">
        <f t="shared" si="397"/>
        <v>0</v>
      </c>
      <c r="M353" s="626">
        <f t="shared" si="398"/>
        <v>0</v>
      </c>
      <c r="N353" s="625">
        <f t="array" ref="N353">IFERROR(INDEX('TB-EQUIPMENT &amp; OTHER HPs'!$P$138:$P$175,MATCH($E353&amp;$F353,'TB-EQUIPMENT &amp; OTHER HPs'!$E$138:$E$175&amp;'TB-EQUIPMENT &amp; OTHER HPs'!$I$138:$I$175,0)),0)</f>
        <v>0</v>
      </c>
      <c r="O353" s="626">
        <f t="shared" si="399"/>
        <v>0</v>
      </c>
      <c r="P353" s="626">
        <f t="shared" si="400"/>
        <v>0</v>
      </c>
      <c r="Q353" s="626">
        <f t="shared" si="401"/>
        <v>0</v>
      </c>
      <c r="R353" s="625">
        <f t="array" ref="R353">IFERROR(INDEX('TB-EQUIPMENT &amp; OTHER HPs'!$Q$138:$Q$175,MATCH($E353&amp;$F353,'TB-EQUIPMENT &amp; OTHER HPs'!$E$138:$E$175&amp;'TB-EQUIPMENT &amp; OTHER HPs'!$I$138:$I$175,0)),0)</f>
        <v>0</v>
      </c>
      <c r="S353" s="626">
        <f t="shared" si="402"/>
        <v>0</v>
      </c>
      <c r="T353" s="626">
        <f t="shared" si="403"/>
        <v>0</v>
      </c>
      <c r="U353" s="626">
        <f t="shared" si="404"/>
        <v>0</v>
      </c>
      <c r="V353" s="625">
        <f t="array" ref="V353">IFERROR(INDEX('TB-EQUIPMENT &amp; OTHER HPs'!$R$138:$R$175,MATCH($E353&amp;$F353,'TB-EQUIPMENT &amp; OTHER HPs'!$E$138:$E$175&amp;'TB-EQUIPMENT &amp; OTHER HPs'!$I$138:$I$175,0)),0)</f>
        <v>0</v>
      </c>
      <c r="W353" s="626">
        <f t="shared" si="405"/>
        <v>0</v>
      </c>
      <c r="X353" s="626">
        <f t="shared" si="406"/>
        <v>0</v>
      </c>
      <c r="Y353" s="626">
        <f t="shared" si="407"/>
        <v>0</v>
      </c>
      <c r="AA353" s="625">
        <f t="array" ref="AA353">IFERROR(INDEX('TB-EQUIPMENT &amp; OTHER HPs'!$U$138:$U$175,MATCH($E353&amp;$F353,'TB-EQUIPMENT &amp; OTHER HPs'!$E$138:$E$175&amp;'TB-EQUIPMENT &amp; OTHER HPs'!$I$138:$I$175,0)),0)</f>
        <v>0</v>
      </c>
      <c r="AB353" s="625">
        <f t="array" ref="AB353">IFERROR(INDEX('TB-EQUIPMENT &amp; OTHER HPs'!$V$138:$V$175,MATCH($E353&amp;$F353,'TB-EQUIPMENT &amp; OTHER HPs'!$E$138:$E$175&amp;'TB-EQUIPMENT &amp; OTHER HPs'!$I$138:$I$175,0)),0)</f>
        <v>0</v>
      </c>
      <c r="AC353" s="626">
        <f t="shared" si="408"/>
        <v>0</v>
      </c>
      <c r="AD353" s="626">
        <f t="shared" si="409"/>
        <v>0</v>
      </c>
      <c r="AE353" s="626">
        <f t="shared" si="410"/>
        <v>0</v>
      </c>
      <c r="AF353" s="625">
        <f t="array" ref="AF353">IFERROR(INDEX('TB-EQUIPMENT &amp; OTHER HPs'!$W$138:$W$175,MATCH($E353&amp;$F353,'TB-EQUIPMENT &amp; OTHER HPs'!$E$138:$E$175&amp;'TB-EQUIPMENT &amp; OTHER HPs'!$I$138:$I$175,0)),0)</f>
        <v>0</v>
      </c>
      <c r="AG353" s="626">
        <f t="shared" si="411"/>
        <v>0</v>
      </c>
      <c r="AH353" s="626">
        <f t="shared" si="412"/>
        <v>0</v>
      </c>
      <c r="AI353" s="626">
        <f t="shared" si="413"/>
        <v>0</v>
      </c>
      <c r="AJ353" s="625">
        <f t="array" ref="AJ353">IFERROR(INDEX('TB-EQUIPMENT &amp; OTHER HPs'!$X$138:$X$175,MATCH($E353&amp;$F353,'TB-EQUIPMENT &amp; OTHER HPs'!$E$138:$E$175&amp;'TB-EQUIPMENT &amp; OTHER HPs'!$I$138:$I$175,0)),0)</f>
        <v>0</v>
      </c>
      <c r="AK353" s="626">
        <f t="shared" si="414"/>
        <v>0</v>
      </c>
      <c r="AL353" s="626">
        <f t="shared" si="415"/>
        <v>0</v>
      </c>
      <c r="AM353" s="626">
        <f t="shared" si="416"/>
        <v>0</v>
      </c>
      <c r="AN353" s="625">
        <f t="array" ref="AN353">IFERROR(INDEX('TB-EQUIPMENT &amp; OTHER HPs'!$Y$138:$Y$175,MATCH($E353&amp;$F353,'TB-EQUIPMENT &amp; OTHER HPs'!$E$138:$E$175&amp;'TB-EQUIPMENT &amp; OTHER HPs'!$I$138:$I$175,0)),0)</f>
        <v>0</v>
      </c>
      <c r="AO353" s="626">
        <f t="shared" si="417"/>
        <v>0</v>
      </c>
      <c r="AP353" s="626">
        <f t="shared" si="418"/>
        <v>0</v>
      </c>
      <c r="AQ353" s="626">
        <f t="shared" si="419"/>
        <v>0</v>
      </c>
      <c r="AR353" s="630"/>
      <c r="AS353" s="625">
        <f t="array" ref="AS353">IFERROR(INDEX('TB-EQUIPMENT &amp; OTHER HPs'!$AB$138:$AB$175,MATCH($E353&amp;$F353,'TB-EQUIPMENT &amp; OTHER HPs'!$E$138:$E$175&amp;'TB-EQUIPMENT &amp; OTHER HPs'!$I$138:$I$175,0)),0)</f>
        <v>0</v>
      </c>
      <c r="AT353" s="625">
        <f t="array" ref="AT353">IFERROR(INDEX('TB-EQUIPMENT &amp; OTHER HPs'!$AC$138:$AC$175,MATCH($E353&amp;$F353,'TB-EQUIPMENT &amp; OTHER HPs'!$E$138:$E$175&amp;'TB-EQUIPMENT &amp; OTHER HPs'!$I$138:$I$175,0)),0)</f>
        <v>0</v>
      </c>
      <c r="AU353" s="626">
        <f t="shared" si="420"/>
        <v>0</v>
      </c>
      <c r="AV353" s="626">
        <f t="shared" si="421"/>
        <v>0</v>
      </c>
      <c r="AW353" s="626">
        <f t="shared" si="422"/>
        <v>0</v>
      </c>
      <c r="AX353" s="625">
        <f t="array" ref="AX353">IFERROR(INDEX('TB-EQUIPMENT &amp; OTHER HPs'!$AD$138:$AD$175,MATCH($E353&amp;$F353,'TB-EQUIPMENT &amp; OTHER HPs'!$E$138:$E$175&amp;'TB-EQUIPMENT &amp; OTHER HPs'!$I$138:$I$175,0)),0)</f>
        <v>0</v>
      </c>
      <c r="AY353" s="626">
        <f t="shared" si="423"/>
        <v>0</v>
      </c>
      <c r="AZ353" s="626">
        <f t="shared" si="424"/>
        <v>0</v>
      </c>
      <c r="BA353" s="626">
        <f t="shared" si="425"/>
        <v>0</v>
      </c>
      <c r="BB353" s="625">
        <f t="array" ref="BB353">IFERROR(INDEX('TB-EQUIPMENT &amp; OTHER HPs'!$AE$138:$AE$175,MATCH($E353&amp;$F353,'TB-EQUIPMENT &amp; OTHER HPs'!$E$138:$E$175&amp;'TB-EQUIPMENT &amp; OTHER HPs'!$I$138:$I$175,0)),0)</f>
        <v>0</v>
      </c>
      <c r="BC353" s="626">
        <f t="shared" si="426"/>
        <v>0</v>
      </c>
      <c r="BD353" s="626">
        <f t="shared" si="427"/>
        <v>0</v>
      </c>
      <c r="BE353" s="626">
        <f t="shared" si="428"/>
        <v>0</v>
      </c>
      <c r="BF353" s="625">
        <f t="array" ref="BF353">IFERROR(INDEX('TB-EQUIPMENT &amp; OTHER HPs'!$AF$138:$AF$175,MATCH($E353&amp;$F353,'TB-EQUIPMENT &amp; OTHER HPs'!$E$138:$E$175&amp;'TB-EQUIPMENT &amp; OTHER HPs'!$I$138:$I$175,0)),0)</f>
        <v>0</v>
      </c>
      <c r="BG353" s="626">
        <f t="shared" si="429"/>
        <v>0</v>
      </c>
      <c r="BH353" s="626">
        <f t="shared" si="430"/>
        <v>0</v>
      </c>
      <c r="BI353" s="626">
        <f t="shared" si="431"/>
        <v>0</v>
      </c>
      <c r="BJ353" s="630"/>
      <c r="BK353" s="625"/>
      <c r="BL353" s="625"/>
      <c r="BM353" s="625"/>
      <c r="BN353" s="625"/>
      <c r="BO353" s="625"/>
      <c r="BP353" s="625"/>
      <c r="BQ353" s="625"/>
      <c r="BR353" s="625"/>
    </row>
    <row r="354" spans="1:70">
      <c r="A354" s="29" t="s">
        <v>1760</v>
      </c>
      <c r="B354" s="29" t="s">
        <v>1838</v>
      </c>
      <c r="C354" s="619">
        <f>SETUP!$F$44</f>
        <v>0</v>
      </c>
      <c r="D354" s="25">
        <v>5.6</v>
      </c>
      <c r="E354" s="26" t="s">
        <v>1227</v>
      </c>
      <c r="F354" s="26" t="s">
        <v>1140</v>
      </c>
      <c r="G354" s="625" t="str">
        <f t="array" ref="G354">IFERROR(INDEX('TB-EQUIPMENT &amp; OTHER HPs'!$L$138:$L$175,MATCH($E354&amp;$F354,'TB-EQUIPMENT &amp; OTHER HPs'!$E$138:$E$175&amp;'TB-EQUIPMENT &amp; OTHER HPs'!$I$138:$I$175,0)),"")</f>
        <v/>
      </c>
      <c r="H354" s="625" t="str">
        <f t="array" ref="H354">IFERROR(INDEX('TB-EQUIPMENT &amp; OTHER HPs'!$M$138:$M$175,MATCH($E354&amp;$F354,'TB-EQUIPMENT &amp; OTHER HPs'!$E$138:$E$175&amp;'TB-EQUIPMENT &amp; OTHER HPs'!$I$138:$I$175,0)),"")</f>
        <v/>
      </c>
      <c r="I354" s="625">
        <f t="array" ref="I354">IFERROR(INDEX('TB-EQUIPMENT &amp; OTHER HPs'!$N$138:$N$175,MATCH($E354&amp;$F354,'TB-EQUIPMENT &amp; OTHER HPs'!$E$138:$E$175&amp;'TB-EQUIPMENT &amp; OTHER HPs'!$I$138:$I$175,0)),0)</f>
        <v>0</v>
      </c>
      <c r="J354" s="625">
        <f t="array" ref="J354">IFERROR(INDEX('TB-EQUIPMENT &amp; OTHER HPs'!$O$138:$O$175,MATCH($E354&amp;$F354,'TB-EQUIPMENT &amp; OTHER HPs'!$E$138:$E$175&amp;'TB-EQUIPMENT &amp; OTHER HPs'!$I$138:$I$175,0)),0)</f>
        <v>0</v>
      </c>
      <c r="K354" s="626">
        <f t="shared" si="396"/>
        <v>0</v>
      </c>
      <c r="L354" s="626">
        <f t="shared" si="397"/>
        <v>0</v>
      </c>
      <c r="M354" s="626">
        <f t="shared" si="398"/>
        <v>0</v>
      </c>
      <c r="N354" s="625">
        <f t="array" ref="N354">IFERROR(INDEX('TB-EQUIPMENT &amp; OTHER HPs'!$P$138:$P$175,MATCH($E354&amp;$F354,'TB-EQUIPMENT &amp; OTHER HPs'!$E$138:$E$175&amp;'TB-EQUIPMENT &amp; OTHER HPs'!$I$138:$I$175,0)),0)</f>
        <v>0</v>
      </c>
      <c r="O354" s="626">
        <f t="shared" si="399"/>
        <v>0</v>
      </c>
      <c r="P354" s="626">
        <f t="shared" si="400"/>
        <v>0</v>
      </c>
      <c r="Q354" s="626">
        <f t="shared" si="401"/>
        <v>0</v>
      </c>
      <c r="R354" s="625">
        <f t="array" ref="R354">IFERROR(INDEX('TB-EQUIPMENT &amp; OTHER HPs'!$Q$138:$Q$175,MATCH($E354&amp;$F354,'TB-EQUIPMENT &amp; OTHER HPs'!$E$138:$E$175&amp;'TB-EQUIPMENT &amp; OTHER HPs'!$I$138:$I$175,0)),0)</f>
        <v>0</v>
      </c>
      <c r="S354" s="626">
        <f t="shared" si="402"/>
        <v>0</v>
      </c>
      <c r="T354" s="626">
        <f t="shared" si="403"/>
        <v>0</v>
      </c>
      <c r="U354" s="626">
        <f t="shared" si="404"/>
        <v>0</v>
      </c>
      <c r="V354" s="625">
        <f t="array" ref="V354">IFERROR(INDEX('TB-EQUIPMENT &amp; OTHER HPs'!$R$138:$R$175,MATCH($E354&amp;$F354,'TB-EQUIPMENT &amp; OTHER HPs'!$E$138:$E$175&amp;'TB-EQUIPMENT &amp; OTHER HPs'!$I$138:$I$175,0)),0)</f>
        <v>0</v>
      </c>
      <c r="W354" s="626">
        <f t="shared" si="405"/>
        <v>0</v>
      </c>
      <c r="X354" s="626">
        <f t="shared" si="406"/>
        <v>0</v>
      </c>
      <c r="Y354" s="626">
        <f t="shared" si="407"/>
        <v>0</v>
      </c>
      <c r="AA354" s="625">
        <f t="array" ref="AA354">IFERROR(INDEX('TB-EQUIPMENT &amp; OTHER HPs'!$U$138:$U$175,MATCH($E354&amp;$F354,'TB-EQUIPMENT &amp; OTHER HPs'!$E$138:$E$175&amp;'TB-EQUIPMENT &amp; OTHER HPs'!$I$138:$I$175,0)),0)</f>
        <v>0</v>
      </c>
      <c r="AB354" s="625">
        <f t="array" ref="AB354">IFERROR(INDEX('TB-EQUIPMENT &amp; OTHER HPs'!$V$138:$V$175,MATCH($E354&amp;$F354,'TB-EQUIPMENT &amp; OTHER HPs'!$E$138:$E$175&amp;'TB-EQUIPMENT &amp; OTHER HPs'!$I$138:$I$175,0)),0)</f>
        <v>0</v>
      </c>
      <c r="AC354" s="626">
        <f t="shared" si="408"/>
        <v>0</v>
      </c>
      <c r="AD354" s="626">
        <f t="shared" si="409"/>
        <v>0</v>
      </c>
      <c r="AE354" s="626">
        <f t="shared" si="410"/>
        <v>0</v>
      </c>
      <c r="AF354" s="625">
        <f t="array" ref="AF354">IFERROR(INDEX('TB-EQUIPMENT &amp; OTHER HPs'!$W$138:$W$175,MATCH($E354&amp;$F354,'TB-EQUIPMENT &amp; OTHER HPs'!$E$138:$E$175&amp;'TB-EQUIPMENT &amp; OTHER HPs'!$I$138:$I$175,0)),0)</f>
        <v>0</v>
      </c>
      <c r="AG354" s="626">
        <f t="shared" si="411"/>
        <v>0</v>
      </c>
      <c r="AH354" s="626">
        <f t="shared" si="412"/>
        <v>0</v>
      </c>
      <c r="AI354" s="626">
        <f t="shared" si="413"/>
        <v>0</v>
      </c>
      <c r="AJ354" s="625">
        <f t="array" ref="AJ354">IFERROR(INDEX('TB-EQUIPMENT &amp; OTHER HPs'!$X$138:$X$175,MATCH($E354&amp;$F354,'TB-EQUIPMENT &amp; OTHER HPs'!$E$138:$E$175&amp;'TB-EQUIPMENT &amp; OTHER HPs'!$I$138:$I$175,0)),0)</f>
        <v>0</v>
      </c>
      <c r="AK354" s="626">
        <f t="shared" si="414"/>
        <v>0</v>
      </c>
      <c r="AL354" s="626">
        <f t="shared" si="415"/>
        <v>0</v>
      </c>
      <c r="AM354" s="626">
        <f t="shared" si="416"/>
        <v>0</v>
      </c>
      <c r="AN354" s="625">
        <f t="array" ref="AN354">IFERROR(INDEX('TB-EQUIPMENT &amp; OTHER HPs'!$Y$138:$Y$175,MATCH($E354&amp;$F354,'TB-EQUIPMENT &amp; OTHER HPs'!$E$138:$E$175&amp;'TB-EQUIPMENT &amp; OTHER HPs'!$I$138:$I$175,0)),0)</f>
        <v>0</v>
      </c>
      <c r="AO354" s="626">
        <f t="shared" si="417"/>
        <v>0</v>
      </c>
      <c r="AP354" s="626">
        <f t="shared" si="418"/>
        <v>0</v>
      </c>
      <c r="AQ354" s="626">
        <f t="shared" si="419"/>
        <v>0</v>
      </c>
      <c r="AR354" s="630"/>
      <c r="AS354" s="625">
        <f t="array" ref="AS354">IFERROR(INDEX('TB-EQUIPMENT &amp; OTHER HPs'!$AB$138:$AB$175,MATCH($E354&amp;$F354,'TB-EQUIPMENT &amp; OTHER HPs'!$E$138:$E$175&amp;'TB-EQUIPMENT &amp; OTHER HPs'!$I$138:$I$175,0)),0)</f>
        <v>0</v>
      </c>
      <c r="AT354" s="625">
        <f t="array" ref="AT354">IFERROR(INDEX('TB-EQUIPMENT &amp; OTHER HPs'!$AC$138:$AC$175,MATCH($E354&amp;$F354,'TB-EQUIPMENT &amp; OTHER HPs'!$E$138:$E$175&amp;'TB-EQUIPMENT &amp; OTHER HPs'!$I$138:$I$175,0)),0)</f>
        <v>0</v>
      </c>
      <c r="AU354" s="626">
        <f t="shared" si="420"/>
        <v>0</v>
      </c>
      <c r="AV354" s="626">
        <f t="shared" si="421"/>
        <v>0</v>
      </c>
      <c r="AW354" s="626">
        <f t="shared" si="422"/>
        <v>0</v>
      </c>
      <c r="AX354" s="625">
        <f t="array" ref="AX354">IFERROR(INDEX('TB-EQUIPMENT &amp; OTHER HPs'!$AD$138:$AD$175,MATCH($E354&amp;$F354,'TB-EQUIPMENT &amp; OTHER HPs'!$E$138:$E$175&amp;'TB-EQUIPMENT &amp; OTHER HPs'!$I$138:$I$175,0)),0)</f>
        <v>0</v>
      </c>
      <c r="AY354" s="626">
        <f t="shared" si="423"/>
        <v>0</v>
      </c>
      <c r="AZ354" s="626">
        <f t="shared" si="424"/>
        <v>0</v>
      </c>
      <c r="BA354" s="626">
        <f t="shared" si="425"/>
        <v>0</v>
      </c>
      <c r="BB354" s="625">
        <f t="array" ref="BB354">IFERROR(INDEX('TB-EQUIPMENT &amp; OTHER HPs'!$AE$138:$AE$175,MATCH($E354&amp;$F354,'TB-EQUIPMENT &amp; OTHER HPs'!$E$138:$E$175&amp;'TB-EQUIPMENT &amp; OTHER HPs'!$I$138:$I$175,0)),0)</f>
        <v>0</v>
      </c>
      <c r="BC354" s="626">
        <f t="shared" si="426"/>
        <v>0</v>
      </c>
      <c r="BD354" s="626">
        <f t="shared" si="427"/>
        <v>0</v>
      </c>
      <c r="BE354" s="626">
        <f t="shared" si="428"/>
        <v>0</v>
      </c>
      <c r="BF354" s="625">
        <f t="array" ref="BF354">IFERROR(INDEX('TB-EQUIPMENT &amp; OTHER HPs'!$AF$138:$AF$175,MATCH($E354&amp;$F354,'TB-EQUIPMENT &amp; OTHER HPs'!$E$138:$E$175&amp;'TB-EQUIPMENT &amp; OTHER HPs'!$I$138:$I$175,0)),0)</f>
        <v>0</v>
      </c>
      <c r="BG354" s="626">
        <f t="shared" si="429"/>
        <v>0</v>
      </c>
      <c r="BH354" s="626">
        <f t="shared" si="430"/>
        <v>0</v>
      </c>
      <c r="BI354" s="626">
        <f t="shared" si="431"/>
        <v>0</v>
      </c>
      <c r="BJ354" s="630"/>
      <c r="BK354" s="625"/>
      <c r="BL354" s="625"/>
      <c r="BM354" s="625"/>
      <c r="BN354" s="625"/>
      <c r="BO354" s="625"/>
      <c r="BP354" s="625"/>
      <c r="BQ354" s="625"/>
      <c r="BR354" s="625"/>
    </row>
    <row r="355" spans="1:70">
      <c r="A355" s="29" t="s">
        <v>1760</v>
      </c>
      <c r="B355" s="29" t="s">
        <v>1838</v>
      </c>
      <c r="C355" s="619">
        <f>SETUP!$F$44</f>
        <v>0</v>
      </c>
      <c r="D355" s="25">
        <v>5.6</v>
      </c>
      <c r="E355" s="26" t="s">
        <v>1492</v>
      </c>
      <c r="F355" s="26" t="s">
        <v>1140</v>
      </c>
      <c r="G355" s="625" t="str">
        <f t="array" ref="G355">IFERROR(INDEX('TB-EQUIPMENT &amp; OTHER HPs'!$L$138:$L$175,MATCH($E355&amp;$F355,'TB-EQUIPMENT &amp; OTHER HPs'!$E$138:$E$175&amp;'TB-EQUIPMENT &amp; OTHER HPs'!$I$138:$I$175,0)),"")</f>
        <v/>
      </c>
      <c r="H355" s="625" t="str">
        <f t="array" ref="H355">IFERROR(INDEX('TB-EQUIPMENT &amp; OTHER HPs'!$M$138:$M$175,MATCH($E355&amp;$F355,'TB-EQUIPMENT &amp; OTHER HPs'!$E$138:$E$175&amp;'TB-EQUIPMENT &amp; OTHER HPs'!$I$138:$I$175,0)),"")</f>
        <v/>
      </c>
      <c r="I355" s="625">
        <f t="array" ref="I355">IFERROR(INDEX('TB-EQUIPMENT &amp; OTHER HPs'!$N$138:$N$175,MATCH($E355&amp;$F355,'TB-EQUIPMENT &amp; OTHER HPs'!$E$138:$E$175&amp;'TB-EQUIPMENT &amp; OTHER HPs'!$I$138:$I$175,0)),0)</f>
        <v>0</v>
      </c>
      <c r="J355" s="625">
        <f t="array" ref="J355">IFERROR(INDEX('TB-EQUIPMENT &amp; OTHER HPs'!$O$138:$O$175,MATCH($E355&amp;$F355,'TB-EQUIPMENT &amp; OTHER HPs'!$E$138:$E$175&amp;'TB-EQUIPMENT &amp; OTHER HPs'!$I$138:$I$175,0)),0)</f>
        <v>0</v>
      </c>
      <c r="K355" s="626">
        <f t="shared" si="396"/>
        <v>0</v>
      </c>
      <c r="L355" s="626">
        <f t="shared" si="397"/>
        <v>0</v>
      </c>
      <c r="M355" s="626">
        <f t="shared" si="398"/>
        <v>0</v>
      </c>
      <c r="N355" s="625">
        <f t="array" ref="N355">IFERROR(INDEX('TB-EQUIPMENT &amp; OTHER HPs'!$P$138:$P$175,MATCH($E355&amp;$F355,'TB-EQUIPMENT &amp; OTHER HPs'!$E$138:$E$175&amp;'TB-EQUIPMENT &amp; OTHER HPs'!$I$138:$I$175,0)),0)</f>
        <v>0</v>
      </c>
      <c r="O355" s="626">
        <f t="shared" si="399"/>
        <v>0</v>
      </c>
      <c r="P355" s="626">
        <f t="shared" si="400"/>
        <v>0</v>
      </c>
      <c r="Q355" s="626">
        <f t="shared" si="401"/>
        <v>0</v>
      </c>
      <c r="R355" s="625">
        <f t="array" ref="R355">IFERROR(INDEX('TB-EQUIPMENT &amp; OTHER HPs'!$Q$138:$Q$175,MATCH($E355&amp;$F355,'TB-EQUIPMENT &amp; OTHER HPs'!$E$138:$E$175&amp;'TB-EQUIPMENT &amp; OTHER HPs'!$I$138:$I$175,0)),0)</f>
        <v>0</v>
      </c>
      <c r="S355" s="626">
        <f t="shared" si="402"/>
        <v>0</v>
      </c>
      <c r="T355" s="626">
        <f t="shared" si="403"/>
        <v>0</v>
      </c>
      <c r="U355" s="626">
        <f t="shared" si="404"/>
        <v>0</v>
      </c>
      <c r="V355" s="625">
        <f t="array" ref="V355">IFERROR(INDEX('TB-EQUIPMENT &amp; OTHER HPs'!$R$138:$R$175,MATCH($E355&amp;$F355,'TB-EQUIPMENT &amp; OTHER HPs'!$E$138:$E$175&amp;'TB-EQUIPMENT &amp; OTHER HPs'!$I$138:$I$175,0)),0)</f>
        <v>0</v>
      </c>
      <c r="W355" s="626">
        <f t="shared" si="405"/>
        <v>0</v>
      </c>
      <c r="X355" s="626">
        <f t="shared" si="406"/>
        <v>0</v>
      </c>
      <c r="Y355" s="626">
        <f t="shared" si="407"/>
        <v>0</v>
      </c>
      <c r="AA355" s="625">
        <f t="array" ref="AA355">IFERROR(INDEX('TB-EQUIPMENT &amp; OTHER HPs'!$U$138:$U$175,MATCH($E355&amp;$F355,'TB-EQUIPMENT &amp; OTHER HPs'!$E$138:$E$175&amp;'TB-EQUIPMENT &amp; OTHER HPs'!$I$138:$I$175,0)),0)</f>
        <v>0</v>
      </c>
      <c r="AB355" s="625">
        <f t="array" ref="AB355">IFERROR(INDEX('TB-EQUIPMENT &amp; OTHER HPs'!$V$138:$V$175,MATCH($E355&amp;$F355,'TB-EQUIPMENT &amp; OTHER HPs'!$E$138:$E$175&amp;'TB-EQUIPMENT &amp; OTHER HPs'!$I$138:$I$175,0)),0)</f>
        <v>0</v>
      </c>
      <c r="AC355" s="626">
        <f t="shared" si="408"/>
        <v>0</v>
      </c>
      <c r="AD355" s="626">
        <f t="shared" si="409"/>
        <v>0</v>
      </c>
      <c r="AE355" s="626">
        <f t="shared" si="410"/>
        <v>0</v>
      </c>
      <c r="AF355" s="625">
        <f t="array" ref="AF355">IFERROR(INDEX('TB-EQUIPMENT &amp; OTHER HPs'!$W$138:$W$175,MATCH($E355&amp;$F355,'TB-EQUIPMENT &amp; OTHER HPs'!$E$138:$E$175&amp;'TB-EQUIPMENT &amp; OTHER HPs'!$I$138:$I$175,0)),0)</f>
        <v>0</v>
      </c>
      <c r="AG355" s="626">
        <f t="shared" si="411"/>
        <v>0</v>
      </c>
      <c r="AH355" s="626">
        <f t="shared" si="412"/>
        <v>0</v>
      </c>
      <c r="AI355" s="626">
        <f t="shared" si="413"/>
        <v>0</v>
      </c>
      <c r="AJ355" s="625">
        <f t="array" ref="AJ355">IFERROR(INDEX('TB-EQUIPMENT &amp; OTHER HPs'!$X$138:$X$175,MATCH($E355&amp;$F355,'TB-EQUIPMENT &amp; OTHER HPs'!$E$138:$E$175&amp;'TB-EQUIPMENT &amp; OTHER HPs'!$I$138:$I$175,0)),0)</f>
        <v>0</v>
      </c>
      <c r="AK355" s="626">
        <f t="shared" si="414"/>
        <v>0</v>
      </c>
      <c r="AL355" s="626">
        <f t="shared" si="415"/>
        <v>0</v>
      </c>
      <c r="AM355" s="626">
        <f t="shared" si="416"/>
        <v>0</v>
      </c>
      <c r="AN355" s="625">
        <f t="array" ref="AN355">IFERROR(INDEX('TB-EQUIPMENT &amp; OTHER HPs'!$Y$138:$Y$175,MATCH($E355&amp;$F355,'TB-EQUIPMENT &amp; OTHER HPs'!$E$138:$E$175&amp;'TB-EQUIPMENT &amp; OTHER HPs'!$I$138:$I$175,0)),0)</f>
        <v>0</v>
      </c>
      <c r="AO355" s="626">
        <f t="shared" si="417"/>
        <v>0</v>
      </c>
      <c r="AP355" s="626">
        <f t="shared" si="418"/>
        <v>0</v>
      </c>
      <c r="AQ355" s="626">
        <f t="shared" si="419"/>
        <v>0</v>
      </c>
      <c r="AR355" s="630"/>
      <c r="AS355" s="625">
        <f t="array" ref="AS355">IFERROR(INDEX('TB-EQUIPMENT &amp; OTHER HPs'!$AB$138:$AB$175,MATCH($E355&amp;$F355,'TB-EQUIPMENT &amp; OTHER HPs'!$E$138:$E$175&amp;'TB-EQUIPMENT &amp; OTHER HPs'!$I$138:$I$175,0)),0)</f>
        <v>0</v>
      </c>
      <c r="AT355" s="625">
        <f t="array" ref="AT355">IFERROR(INDEX('TB-EQUIPMENT &amp; OTHER HPs'!$AC$138:$AC$175,MATCH($E355&amp;$F355,'TB-EQUIPMENT &amp; OTHER HPs'!$E$138:$E$175&amp;'TB-EQUIPMENT &amp; OTHER HPs'!$I$138:$I$175,0)),0)</f>
        <v>0</v>
      </c>
      <c r="AU355" s="626">
        <f t="shared" si="420"/>
        <v>0</v>
      </c>
      <c r="AV355" s="626">
        <f t="shared" si="421"/>
        <v>0</v>
      </c>
      <c r="AW355" s="626">
        <f t="shared" si="422"/>
        <v>0</v>
      </c>
      <c r="AX355" s="625">
        <f t="array" ref="AX355">IFERROR(INDEX('TB-EQUIPMENT &amp; OTHER HPs'!$AD$138:$AD$175,MATCH($E355&amp;$F355,'TB-EQUIPMENT &amp; OTHER HPs'!$E$138:$E$175&amp;'TB-EQUIPMENT &amp; OTHER HPs'!$I$138:$I$175,0)),0)</f>
        <v>0</v>
      </c>
      <c r="AY355" s="626">
        <f t="shared" si="423"/>
        <v>0</v>
      </c>
      <c r="AZ355" s="626">
        <f t="shared" si="424"/>
        <v>0</v>
      </c>
      <c r="BA355" s="626">
        <f t="shared" si="425"/>
        <v>0</v>
      </c>
      <c r="BB355" s="625">
        <f t="array" ref="BB355">IFERROR(INDEX('TB-EQUIPMENT &amp; OTHER HPs'!$AE$138:$AE$175,MATCH($E355&amp;$F355,'TB-EQUIPMENT &amp; OTHER HPs'!$E$138:$E$175&amp;'TB-EQUIPMENT &amp; OTHER HPs'!$I$138:$I$175,0)),0)</f>
        <v>0</v>
      </c>
      <c r="BC355" s="626">
        <f t="shared" si="426"/>
        <v>0</v>
      </c>
      <c r="BD355" s="626">
        <f t="shared" si="427"/>
        <v>0</v>
      </c>
      <c r="BE355" s="626">
        <f t="shared" si="428"/>
        <v>0</v>
      </c>
      <c r="BF355" s="625">
        <f t="array" ref="BF355">IFERROR(INDEX('TB-EQUIPMENT &amp; OTHER HPs'!$AF$138:$AF$175,MATCH($E355&amp;$F355,'TB-EQUIPMENT &amp; OTHER HPs'!$E$138:$E$175&amp;'TB-EQUIPMENT &amp; OTHER HPs'!$I$138:$I$175,0)),0)</f>
        <v>0</v>
      </c>
      <c r="BG355" s="626">
        <f t="shared" si="429"/>
        <v>0</v>
      </c>
      <c r="BH355" s="626">
        <f t="shared" si="430"/>
        <v>0</v>
      </c>
      <c r="BI355" s="626">
        <f t="shared" si="431"/>
        <v>0</v>
      </c>
      <c r="BJ355" s="630"/>
      <c r="BK355" s="625"/>
      <c r="BL355" s="625"/>
      <c r="BM355" s="625"/>
      <c r="BN355" s="625"/>
      <c r="BO355" s="625"/>
      <c r="BP355" s="625"/>
      <c r="BQ355" s="625"/>
      <c r="BR355" s="625"/>
    </row>
    <row r="356" spans="1:70">
      <c r="A356" s="29" t="s">
        <v>1755</v>
      </c>
      <c r="B356" s="29" t="s">
        <v>1838</v>
      </c>
      <c r="C356" s="619">
        <f>SETUP!$F$44</f>
        <v>0</v>
      </c>
      <c r="D356" s="25">
        <v>5.4</v>
      </c>
      <c r="E356" s="26" t="s">
        <v>205</v>
      </c>
      <c r="F356" s="26" t="s">
        <v>825</v>
      </c>
      <c r="G356" s="625" t="str">
        <f t="array" ref="G356">IFERROR(INDEX('TB-EQUIPMENT &amp; OTHER HPs'!$L$138:$L$175,MATCH($E356&amp;$F356,'TB-EQUIPMENT &amp; OTHER HPs'!$E$138:$E$175&amp;'TB-EQUIPMENT &amp; OTHER HPs'!$I$138:$I$175,0)),"")</f>
        <v/>
      </c>
      <c r="H356" s="625" t="str">
        <f t="array" ref="H356">IFERROR(INDEX('TB-EQUIPMENT &amp; OTHER HPs'!$M$138:$M$175,MATCH($E356&amp;$F356,'TB-EQUIPMENT &amp; OTHER HPs'!$E$138:$E$175&amp;'TB-EQUIPMENT &amp; OTHER HPs'!$I$138:$I$175,0)),"")</f>
        <v/>
      </c>
      <c r="I356" s="625">
        <f t="array" ref="I356">IFERROR(INDEX('TB-EQUIPMENT &amp; OTHER HPs'!$N$138:$N$175,MATCH($E356&amp;$F356,'TB-EQUIPMENT &amp; OTHER HPs'!$E$138:$E$175&amp;'TB-EQUIPMENT &amp; OTHER HPs'!$I$138:$I$175,0)),0)</f>
        <v>0</v>
      </c>
      <c r="J356" s="625">
        <f t="array" ref="J356">IFERROR(INDEX('TB-EQUIPMENT &amp; OTHER HPs'!$O$138:$O$175,MATCH($E356&amp;$F356,'TB-EQUIPMENT &amp; OTHER HPs'!$E$138:$E$175&amp;'TB-EQUIPMENT &amp; OTHER HPs'!$I$138:$I$175,0)),0)</f>
        <v>0</v>
      </c>
      <c r="K356" s="626">
        <f t="shared" si="396"/>
        <v>0</v>
      </c>
      <c r="L356" s="626">
        <f t="shared" si="397"/>
        <v>0</v>
      </c>
      <c r="M356" s="626">
        <f t="shared" si="398"/>
        <v>0</v>
      </c>
      <c r="N356" s="625">
        <f t="array" ref="N356">IFERROR(INDEX('TB-EQUIPMENT &amp; OTHER HPs'!$P$138:$P$175,MATCH($E356&amp;$F356,'TB-EQUIPMENT &amp; OTHER HPs'!$E$138:$E$175&amp;'TB-EQUIPMENT &amp; OTHER HPs'!$I$138:$I$175,0)),0)</f>
        <v>0</v>
      </c>
      <c r="O356" s="626">
        <f t="shared" si="399"/>
        <v>0</v>
      </c>
      <c r="P356" s="626">
        <f t="shared" si="400"/>
        <v>0</v>
      </c>
      <c r="Q356" s="626">
        <f t="shared" si="401"/>
        <v>0</v>
      </c>
      <c r="R356" s="625">
        <f t="array" ref="R356">IFERROR(INDEX('TB-EQUIPMENT &amp; OTHER HPs'!$Q$138:$Q$175,MATCH($E356&amp;$F356,'TB-EQUIPMENT &amp; OTHER HPs'!$E$138:$E$175&amp;'TB-EQUIPMENT &amp; OTHER HPs'!$I$138:$I$175,0)),0)</f>
        <v>0</v>
      </c>
      <c r="S356" s="626">
        <f t="shared" si="402"/>
        <v>0</v>
      </c>
      <c r="T356" s="626">
        <f t="shared" si="403"/>
        <v>0</v>
      </c>
      <c r="U356" s="626">
        <f t="shared" si="404"/>
        <v>0</v>
      </c>
      <c r="V356" s="625">
        <f t="array" ref="V356">IFERROR(INDEX('TB-EQUIPMENT &amp; OTHER HPs'!$R$138:$R$175,MATCH($E356&amp;$F356,'TB-EQUIPMENT &amp; OTHER HPs'!$E$138:$E$175&amp;'TB-EQUIPMENT &amp; OTHER HPs'!$I$138:$I$175,0)),0)</f>
        <v>0</v>
      </c>
      <c r="W356" s="626">
        <f t="shared" si="405"/>
        <v>0</v>
      </c>
      <c r="X356" s="626">
        <f t="shared" si="406"/>
        <v>0</v>
      </c>
      <c r="Y356" s="626">
        <f t="shared" si="407"/>
        <v>0</v>
      </c>
      <c r="AA356" s="625">
        <f t="array" ref="AA356">IFERROR(INDEX('TB-EQUIPMENT &amp; OTHER HPs'!$U$138:$U$175,MATCH($E356&amp;$F356,'TB-EQUIPMENT &amp; OTHER HPs'!$E$138:$E$175&amp;'TB-EQUIPMENT &amp; OTHER HPs'!$I$138:$I$175,0)),0)</f>
        <v>0</v>
      </c>
      <c r="AB356" s="625">
        <f t="array" ref="AB356">IFERROR(INDEX('TB-EQUIPMENT &amp; OTHER HPs'!$V$138:$V$175,MATCH($E356&amp;$F356,'TB-EQUIPMENT &amp; OTHER HPs'!$E$138:$E$175&amp;'TB-EQUIPMENT &amp; OTHER HPs'!$I$138:$I$175,0)),0)</f>
        <v>0</v>
      </c>
      <c r="AC356" s="626">
        <f t="shared" si="408"/>
        <v>0</v>
      </c>
      <c r="AD356" s="626">
        <f t="shared" si="409"/>
        <v>0</v>
      </c>
      <c r="AE356" s="626">
        <f t="shared" si="410"/>
        <v>0</v>
      </c>
      <c r="AF356" s="625">
        <f t="array" ref="AF356">IFERROR(INDEX('TB-EQUIPMENT &amp; OTHER HPs'!$W$138:$W$175,MATCH($E356&amp;$F356,'TB-EQUIPMENT &amp; OTHER HPs'!$E$138:$E$175&amp;'TB-EQUIPMENT &amp; OTHER HPs'!$I$138:$I$175,0)),0)</f>
        <v>0</v>
      </c>
      <c r="AG356" s="626">
        <f t="shared" si="411"/>
        <v>0</v>
      </c>
      <c r="AH356" s="626">
        <f t="shared" si="412"/>
        <v>0</v>
      </c>
      <c r="AI356" s="626">
        <f t="shared" si="413"/>
        <v>0</v>
      </c>
      <c r="AJ356" s="625">
        <f t="array" ref="AJ356">IFERROR(INDEX('TB-EQUIPMENT &amp; OTHER HPs'!$X$138:$X$175,MATCH($E356&amp;$F356,'TB-EQUIPMENT &amp; OTHER HPs'!$E$138:$E$175&amp;'TB-EQUIPMENT &amp; OTHER HPs'!$I$138:$I$175,0)),0)</f>
        <v>0</v>
      </c>
      <c r="AK356" s="626">
        <f t="shared" si="414"/>
        <v>0</v>
      </c>
      <c r="AL356" s="626">
        <f t="shared" si="415"/>
        <v>0</v>
      </c>
      <c r="AM356" s="626">
        <f t="shared" si="416"/>
        <v>0</v>
      </c>
      <c r="AN356" s="625">
        <f t="array" ref="AN356">IFERROR(INDEX('TB-EQUIPMENT &amp; OTHER HPs'!$Y$138:$Y$175,MATCH($E356&amp;$F356,'TB-EQUIPMENT &amp; OTHER HPs'!$E$138:$E$175&amp;'TB-EQUIPMENT &amp; OTHER HPs'!$I$138:$I$175,0)),0)</f>
        <v>0</v>
      </c>
      <c r="AO356" s="626">
        <f t="shared" si="417"/>
        <v>0</v>
      </c>
      <c r="AP356" s="626">
        <f t="shared" si="418"/>
        <v>0</v>
      </c>
      <c r="AQ356" s="626">
        <f t="shared" si="419"/>
        <v>0</v>
      </c>
      <c r="AR356" s="630"/>
      <c r="AS356" s="625">
        <f t="array" ref="AS356">IFERROR(INDEX('TB-EQUIPMENT &amp; OTHER HPs'!$AB$138:$AB$175,MATCH($E356&amp;$F356,'TB-EQUIPMENT &amp; OTHER HPs'!$E$138:$E$175&amp;'TB-EQUIPMENT &amp; OTHER HPs'!$I$138:$I$175,0)),0)</f>
        <v>0</v>
      </c>
      <c r="AT356" s="625">
        <f t="array" ref="AT356">IFERROR(INDEX('TB-EQUIPMENT &amp; OTHER HPs'!$AC$138:$AC$175,MATCH($E356&amp;$F356,'TB-EQUIPMENT &amp; OTHER HPs'!$E$138:$E$175&amp;'TB-EQUIPMENT &amp; OTHER HPs'!$I$138:$I$175,0)),0)</f>
        <v>0</v>
      </c>
      <c r="AU356" s="626">
        <f t="shared" si="420"/>
        <v>0</v>
      </c>
      <c r="AV356" s="626">
        <f t="shared" si="421"/>
        <v>0</v>
      </c>
      <c r="AW356" s="626">
        <f t="shared" si="422"/>
        <v>0</v>
      </c>
      <c r="AX356" s="625">
        <f t="array" ref="AX356">IFERROR(INDEX('TB-EQUIPMENT &amp; OTHER HPs'!$AD$138:$AD$175,MATCH($E356&amp;$F356,'TB-EQUIPMENT &amp; OTHER HPs'!$E$138:$E$175&amp;'TB-EQUIPMENT &amp; OTHER HPs'!$I$138:$I$175,0)),0)</f>
        <v>0</v>
      </c>
      <c r="AY356" s="626">
        <f t="shared" si="423"/>
        <v>0</v>
      </c>
      <c r="AZ356" s="626">
        <f t="shared" si="424"/>
        <v>0</v>
      </c>
      <c r="BA356" s="626">
        <f t="shared" si="425"/>
        <v>0</v>
      </c>
      <c r="BB356" s="625">
        <f t="array" ref="BB356">IFERROR(INDEX('TB-EQUIPMENT &amp; OTHER HPs'!$AE$138:$AE$175,MATCH($E356&amp;$F356,'TB-EQUIPMENT &amp; OTHER HPs'!$E$138:$E$175&amp;'TB-EQUIPMENT &amp; OTHER HPs'!$I$138:$I$175,0)),0)</f>
        <v>0</v>
      </c>
      <c r="BC356" s="626">
        <f t="shared" si="426"/>
        <v>0</v>
      </c>
      <c r="BD356" s="626">
        <f t="shared" si="427"/>
        <v>0</v>
      </c>
      <c r="BE356" s="626">
        <f t="shared" si="428"/>
        <v>0</v>
      </c>
      <c r="BF356" s="625">
        <f t="array" ref="BF356">IFERROR(INDEX('TB-EQUIPMENT &amp; OTHER HPs'!$AF$138:$AF$175,MATCH($E356&amp;$F356,'TB-EQUIPMENT &amp; OTHER HPs'!$E$138:$E$175&amp;'TB-EQUIPMENT &amp; OTHER HPs'!$I$138:$I$175,0)),0)</f>
        <v>0</v>
      </c>
      <c r="BG356" s="626">
        <f t="shared" si="429"/>
        <v>0</v>
      </c>
      <c r="BH356" s="626">
        <f t="shared" si="430"/>
        <v>0</v>
      </c>
      <c r="BI356" s="626">
        <f t="shared" si="431"/>
        <v>0</v>
      </c>
      <c r="BJ356" s="630"/>
      <c r="BK356" s="625"/>
      <c r="BL356" s="625"/>
      <c r="BM356" s="625"/>
      <c r="BN356" s="625"/>
      <c r="BO356" s="625"/>
      <c r="BP356" s="625"/>
      <c r="BQ356" s="625"/>
      <c r="BR356" s="625"/>
    </row>
    <row r="357" spans="1:70">
      <c r="A357" s="29" t="s">
        <v>1755</v>
      </c>
      <c r="B357" s="29" t="s">
        <v>1838</v>
      </c>
      <c r="C357" s="619">
        <f>SETUP!$F$44</f>
        <v>0</v>
      </c>
      <c r="D357" s="25">
        <v>5.4</v>
      </c>
      <c r="E357" s="26" t="s">
        <v>205</v>
      </c>
      <c r="F357" s="26" t="s">
        <v>1506</v>
      </c>
      <c r="G357" s="625" t="str">
        <f t="array" ref="G357">IFERROR(INDEX('TB-EQUIPMENT &amp; OTHER HPs'!$L$138:$L$175,MATCH($E357&amp;$F357,'TB-EQUIPMENT &amp; OTHER HPs'!$E$138:$E$175&amp;'TB-EQUIPMENT &amp; OTHER HPs'!$I$138:$I$175,0)),"")</f>
        <v/>
      </c>
      <c r="H357" s="625" t="str">
        <f t="array" ref="H357">IFERROR(INDEX('TB-EQUIPMENT &amp; OTHER HPs'!$M$138:$M$175,MATCH($E357&amp;$F357,'TB-EQUIPMENT &amp; OTHER HPs'!$E$138:$E$175&amp;'TB-EQUIPMENT &amp; OTHER HPs'!$I$138:$I$175,0)),"")</f>
        <v/>
      </c>
      <c r="I357" s="625">
        <f t="array" ref="I357">IFERROR(INDEX('TB-EQUIPMENT &amp; OTHER HPs'!$N$138:$N$175,MATCH($E357&amp;$F357,'TB-EQUIPMENT &amp; OTHER HPs'!$E$138:$E$175&amp;'TB-EQUIPMENT &amp; OTHER HPs'!$I$138:$I$175,0)),0)</f>
        <v>0</v>
      </c>
      <c r="J357" s="625">
        <f t="array" ref="J357">IFERROR(INDEX('TB-EQUIPMENT &amp; OTHER HPs'!$O$138:$O$175,MATCH($E357&amp;$F357,'TB-EQUIPMENT &amp; OTHER HPs'!$E$138:$E$175&amp;'TB-EQUIPMENT &amp; OTHER HPs'!$I$138:$I$175,0)),0)</f>
        <v>0</v>
      </c>
      <c r="K357" s="626">
        <f t="shared" si="396"/>
        <v>0</v>
      </c>
      <c r="L357" s="626">
        <f t="shared" si="397"/>
        <v>0</v>
      </c>
      <c r="M357" s="626">
        <f t="shared" si="398"/>
        <v>0</v>
      </c>
      <c r="N357" s="625">
        <f t="array" ref="N357">IFERROR(INDEX('TB-EQUIPMENT &amp; OTHER HPs'!$P$138:$P$175,MATCH($E357&amp;$F357,'TB-EQUIPMENT &amp; OTHER HPs'!$E$138:$E$175&amp;'TB-EQUIPMENT &amp; OTHER HPs'!$I$138:$I$175,0)),0)</f>
        <v>0</v>
      </c>
      <c r="O357" s="626">
        <f t="shared" si="399"/>
        <v>0</v>
      </c>
      <c r="P357" s="626">
        <f t="shared" si="400"/>
        <v>0</v>
      </c>
      <c r="Q357" s="626">
        <f t="shared" si="401"/>
        <v>0</v>
      </c>
      <c r="R357" s="625">
        <f t="array" ref="R357">IFERROR(INDEX('TB-EQUIPMENT &amp; OTHER HPs'!$Q$138:$Q$175,MATCH($E357&amp;$F357,'TB-EQUIPMENT &amp; OTHER HPs'!$E$138:$E$175&amp;'TB-EQUIPMENT &amp; OTHER HPs'!$I$138:$I$175,0)),0)</f>
        <v>0</v>
      </c>
      <c r="S357" s="626">
        <f t="shared" si="402"/>
        <v>0</v>
      </c>
      <c r="T357" s="626">
        <f t="shared" si="403"/>
        <v>0</v>
      </c>
      <c r="U357" s="626">
        <f t="shared" si="404"/>
        <v>0</v>
      </c>
      <c r="V357" s="625">
        <f t="array" ref="V357">IFERROR(INDEX('TB-EQUIPMENT &amp; OTHER HPs'!$R$138:$R$175,MATCH($E357&amp;$F357,'TB-EQUIPMENT &amp; OTHER HPs'!$E$138:$E$175&amp;'TB-EQUIPMENT &amp; OTHER HPs'!$I$138:$I$175,0)),0)</f>
        <v>0</v>
      </c>
      <c r="W357" s="626">
        <f t="shared" si="405"/>
        <v>0</v>
      </c>
      <c r="X357" s="626">
        <f t="shared" si="406"/>
        <v>0</v>
      </c>
      <c r="Y357" s="626">
        <f t="shared" si="407"/>
        <v>0</v>
      </c>
      <c r="AA357" s="625">
        <f t="array" ref="AA357">IFERROR(INDEX('TB-EQUIPMENT &amp; OTHER HPs'!$U$138:$U$175,MATCH($E357&amp;$F357,'TB-EQUIPMENT &amp; OTHER HPs'!$E$138:$E$175&amp;'TB-EQUIPMENT &amp; OTHER HPs'!$I$138:$I$175,0)),0)</f>
        <v>0</v>
      </c>
      <c r="AB357" s="625">
        <f t="array" ref="AB357">IFERROR(INDEX('TB-EQUIPMENT &amp; OTHER HPs'!$V$138:$V$175,MATCH($E357&amp;$F357,'TB-EQUIPMENT &amp; OTHER HPs'!$E$138:$E$175&amp;'TB-EQUIPMENT &amp; OTHER HPs'!$I$138:$I$175,0)),0)</f>
        <v>0</v>
      </c>
      <c r="AC357" s="626">
        <f t="shared" si="408"/>
        <v>0</v>
      </c>
      <c r="AD357" s="626">
        <f t="shared" si="409"/>
        <v>0</v>
      </c>
      <c r="AE357" s="626">
        <f t="shared" si="410"/>
        <v>0</v>
      </c>
      <c r="AF357" s="625">
        <f t="array" ref="AF357">IFERROR(INDEX('TB-EQUIPMENT &amp; OTHER HPs'!$W$138:$W$175,MATCH($E357&amp;$F357,'TB-EQUIPMENT &amp; OTHER HPs'!$E$138:$E$175&amp;'TB-EQUIPMENT &amp; OTHER HPs'!$I$138:$I$175,0)),0)</f>
        <v>0</v>
      </c>
      <c r="AG357" s="626">
        <f t="shared" si="411"/>
        <v>0</v>
      </c>
      <c r="AH357" s="626">
        <f t="shared" si="412"/>
        <v>0</v>
      </c>
      <c r="AI357" s="626">
        <f t="shared" si="413"/>
        <v>0</v>
      </c>
      <c r="AJ357" s="625">
        <f t="array" ref="AJ357">IFERROR(INDEX('TB-EQUIPMENT &amp; OTHER HPs'!$X$138:$X$175,MATCH($E357&amp;$F357,'TB-EQUIPMENT &amp; OTHER HPs'!$E$138:$E$175&amp;'TB-EQUIPMENT &amp; OTHER HPs'!$I$138:$I$175,0)),0)</f>
        <v>0</v>
      </c>
      <c r="AK357" s="626">
        <f t="shared" si="414"/>
        <v>0</v>
      </c>
      <c r="AL357" s="626">
        <f t="shared" si="415"/>
        <v>0</v>
      </c>
      <c r="AM357" s="626">
        <f t="shared" si="416"/>
        <v>0</v>
      </c>
      <c r="AN357" s="625">
        <f t="array" ref="AN357">IFERROR(INDEX('TB-EQUIPMENT &amp; OTHER HPs'!$Y$138:$Y$175,MATCH($E357&amp;$F357,'TB-EQUIPMENT &amp; OTHER HPs'!$E$138:$E$175&amp;'TB-EQUIPMENT &amp; OTHER HPs'!$I$138:$I$175,0)),0)</f>
        <v>0</v>
      </c>
      <c r="AO357" s="626">
        <f t="shared" si="417"/>
        <v>0</v>
      </c>
      <c r="AP357" s="626">
        <f t="shared" si="418"/>
        <v>0</v>
      </c>
      <c r="AQ357" s="626">
        <f t="shared" si="419"/>
        <v>0</v>
      </c>
      <c r="AR357" s="630"/>
      <c r="AS357" s="625">
        <f t="array" ref="AS357">IFERROR(INDEX('TB-EQUIPMENT &amp; OTHER HPs'!$AB$138:$AB$175,MATCH($E357&amp;$F357,'TB-EQUIPMENT &amp; OTHER HPs'!$E$138:$E$175&amp;'TB-EQUIPMENT &amp; OTHER HPs'!$I$138:$I$175,0)),0)</f>
        <v>0</v>
      </c>
      <c r="AT357" s="625">
        <f t="array" ref="AT357">IFERROR(INDEX('TB-EQUIPMENT &amp; OTHER HPs'!$AC$138:$AC$175,MATCH($E357&amp;$F357,'TB-EQUIPMENT &amp; OTHER HPs'!$E$138:$E$175&amp;'TB-EQUIPMENT &amp; OTHER HPs'!$I$138:$I$175,0)),0)</f>
        <v>0</v>
      </c>
      <c r="AU357" s="626">
        <f t="shared" si="420"/>
        <v>0</v>
      </c>
      <c r="AV357" s="626">
        <f t="shared" si="421"/>
        <v>0</v>
      </c>
      <c r="AW357" s="626">
        <f t="shared" si="422"/>
        <v>0</v>
      </c>
      <c r="AX357" s="625">
        <f t="array" ref="AX357">IFERROR(INDEX('TB-EQUIPMENT &amp; OTHER HPs'!$AD$138:$AD$175,MATCH($E357&amp;$F357,'TB-EQUIPMENT &amp; OTHER HPs'!$E$138:$E$175&amp;'TB-EQUIPMENT &amp; OTHER HPs'!$I$138:$I$175,0)),0)</f>
        <v>0</v>
      </c>
      <c r="AY357" s="626">
        <f t="shared" si="423"/>
        <v>0</v>
      </c>
      <c r="AZ357" s="626">
        <f t="shared" si="424"/>
        <v>0</v>
      </c>
      <c r="BA357" s="626">
        <f t="shared" si="425"/>
        <v>0</v>
      </c>
      <c r="BB357" s="625">
        <f t="array" ref="BB357">IFERROR(INDEX('TB-EQUIPMENT &amp; OTHER HPs'!$AE$138:$AE$175,MATCH($E357&amp;$F357,'TB-EQUIPMENT &amp; OTHER HPs'!$E$138:$E$175&amp;'TB-EQUIPMENT &amp; OTHER HPs'!$I$138:$I$175,0)),0)</f>
        <v>0</v>
      </c>
      <c r="BC357" s="626">
        <f t="shared" si="426"/>
        <v>0</v>
      </c>
      <c r="BD357" s="626">
        <f t="shared" si="427"/>
        <v>0</v>
      </c>
      <c r="BE357" s="626">
        <f t="shared" si="428"/>
        <v>0</v>
      </c>
      <c r="BF357" s="625">
        <f t="array" ref="BF357">IFERROR(INDEX('TB-EQUIPMENT &amp; OTHER HPs'!$AF$138:$AF$175,MATCH($E357&amp;$F357,'TB-EQUIPMENT &amp; OTHER HPs'!$E$138:$E$175&amp;'TB-EQUIPMENT &amp; OTHER HPs'!$I$138:$I$175,0)),0)</f>
        <v>0</v>
      </c>
      <c r="BG357" s="626">
        <f t="shared" si="429"/>
        <v>0</v>
      </c>
      <c r="BH357" s="626">
        <f t="shared" si="430"/>
        <v>0</v>
      </c>
      <c r="BI357" s="626">
        <f t="shared" si="431"/>
        <v>0</v>
      </c>
      <c r="BJ357" s="630"/>
      <c r="BK357" s="625"/>
      <c r="BL357" s="625"/>
      <c r="BM357" s="625"/>
      <c r="BN357" s="625"/>
      <c r="BO357" s="625"/>
      <c r="BP357" s="625"/>
      <c r="BQ357" s="625"/>
      <c r="BR357" s="625"/>
    </row>
    <row r="358" spans="1:70">
      <c r="A358" s="29" t="s">
        <v>1755</v>
      </c>
      <c r="B358" s="29" t="s">
        <v>1838</v>
      </c>
      <c r="C358" s="619">
        <f>SETUP!$F$44</f>
        <v>0</v>
      </c>
      <c r="D358" s="25">
        <v>5.4</v>
      </c>
      <c r="E358" s="26" t="s">
        <v>205</v>
      </c>
      <c r="F358" s="26" t="s">
        <v>1507</v>
      </c>
      <c r="G358" s="625" t="str">
        <f t="array" ref="G358">IFERROR(INDEX('TB-EQUIPMENT &amp; OTHER HPs'!$L$138:$L$175,MATCH($E358&amp;$F358,'TB-EQUIPMENT &amp; OTHER HPs'!$E$138:$E$175&amp;'TB-EQUIPMENT &amp; OTHER HPs'!$I$138:$I$175,0)),"")</f>
        <v/>
      </c>
      <c r="H358" s="625" t="str">
        <f t="array" ref="H358">IFERROR(INDEX('TB-EQUIPMENT &amp; OTHER HPs'!$M$138:$M$175,MATCH($E358&amp;$F358,'TB-EQUIPMENT &amp; OTHER HPs'!$E$138:$E$175&amp;'TB-EQUIPMENT &amp; OTHER HPs'!$I$138:$I$175,0)),"")</f>
        <v/>
      </c>
      <c r="I358" s="625">
        <f t="array" ref="I358">IFERROR(INDEX('TB-EQUIPMENT &amp; OTHER HPs'!$N$138:$N$175,MATCH($E358&amp;$F358,'TB-EQUIPMENT &amp; OTHER HPs'!$E$138:$E$175&amp;'TB-EQUIPMENT &amp; OTHER HPs'!$I$138:$I$175,0)),0)</f>
        <v>0</v>
      </c>
      <c r="J358" s="625">
        <f t="array" ref="J358">IFERROR(INDEX('TB-EQUIPMENT &amp; OTHER HPs'!$O$138:$O$175,MATCH($E358&amp;$F358,'TB-EQUIPMENT &amp; OTHER HPs'!$E$138:$E$175&amp;'TB-EQUIPMENT &amp; OTHER HPs'!$I$138:$I$175,0)),0)</f>
        <v>0</v>
      </c>
      <c r="K358" s="626">
        <f t="shared" si="396"/>
        <v>0</v>
      </c>
      <c r="L358" s="626">
        <f t="shared" si="397"/>
        <v>0</v>
      </c>
      <c r="M358" s="626">
        <f t="shared" si="398"/>
        <v>0</v>
      </c>
      <c r="N358" s="625">
        <f t="array" ref="N358">IFERROR(INDEX('TB-EQUIPMENT &amp; OTHER HPs'!$P$138:$P$175,MATCH($E358&amp;$F358,'TB-EQUIPMENT &amp; OTHER HPs'!$E$138:$E$175&amp;'TB-EQUIPMENT &amp; OTHER HPs'!$I$138:$I$175,0)),0)</f>
        <v>0</v>
      </c>
      <c r="O358" s="626">
        <f t="shared" si="399"/>
        <v>0</v>
      </c>
      <c r="P358" s="626">
        <f t="shared" si="400"/>
        <v>0</v>
      </c>
      <c r="Q358" s="626">
        <f t="shared" si="401"/>
        <v>0</v>
      </c>
      <c r="R358" s="625">
        <f t="array" ref="R358">IFERROR(INDEX('TB-EQUIPMENT &amp; OTHER HPs'!$Q$138:$Q$175,MATCH($E358&amp;$F358,'TB-EQUIPMENT &amp; OTHER HPs'!$E$138:$E$175&amp;'TB-EQUIPMENT &amp; OTHER HPs'!$I$138:$I$175,0)),0)</f>
        <v>0</v>
      </c>
      <c r="S358" s="626">
        <f t="shared" si="402"/>
        <v>0</v>
      </c>
      <c r="T358" s="626">
        <f t="shared" si="403"/>
        <v>0</v>
      </c>
      <c r="U358" s="626">
        <f t="shared" si="404"/>
        <v>0</v>
      </c>
      <c r="V358" s="625">
        <f t="array" ref="V358">IFERROR(INDEX('TB-EQUIPMENT &amp; OTHER HPs'!$R$138:$R$175,MATCH($E358&amp;$F358,'TB-EQUIPMENT &amp; OTHER HPs'!$E$138:$E$175&amp;'TB-EQUIPMENT &amp; OTHER HPs'!$I$138:$I$175,0)),0)</f>
        <v>0</v>
      </c>
      <c r="W358" s="626">
        <f t="shared" si="405"/>
        <v>0</v>
      </c>
      <c r="X358" s="626">
        <f t="shared" si="406"/>
        <v>0</v>
      </c>
      <c r="Y358" s="626">
        <f t="shared" si="407"/>
        <v>0</v>
      </c>
      <c r="AA358" s="625">
        <f t="array" ref="AA358">IFERROR(INDEX('TB-EQUIPMENT &amp; OTHER HPs'!$U$138:$U$175,MATCH($E358&amp;$F358,'TB-EQUIPMENT &amp; OTHER HPs'!$E$138:$E$175&amp;'TB-EQUIPMENT &amp; OTHER HPs'!$I$138:$I$175,0)),0)</f>
        <v>0</v>
      </c>
      <c r="AB358" s="625">
        <f t="array" ref="AB358">IFERROR(INDEX('TB-EQUIPMENT &amp; OTHER HPs'!$V$138:$V$175,MATCH($E358&amp;$F358,'TB-EQUIPMENT &amp; OTHER HPs'!$E$138:$E$175&amp;'TB-EQUIPMENT &amp; OTHER HPs'!$I$138:$I$175,0)),0)</f>
        <v>0</v>
      </c>
      <c r="AC358" s="626">
        <f t="shared" si="408"/>
        <v>0</v>
      </c>
      <c r="AD358" s="626">
        <f t="shared" si="409"/>
        <v>0</v>
      </c>
      <c r="AE358" s="626">
        <f t="shared" si="410"/>
        <v>0</v>
      </c>
      <c r="AF358" s="625">
        <f t="array" ref="AF358">IFERROR(INDEX('TB-EQUIPMENT &amp; OTHER HPs'!$W$138:$W$175,MATCH($E358&amp;$F358,'TB-EQUIPMENT &amp; OTHER HPs'!$E$138:$E$175&amp;'TB-EQUIPMENT &amp; OTHER HPs'!$I$138:$I$175,0)),0)</f>
        <v>0</v>
      </c>
      <c r="AG358" s="626">
        <f t="shared" si="411"/>
        <v>0</v>
      </c>
      <c r="AH358" s="626">
        <f t="shared" si="412"/>
        <v>0</v>
      </c>
      <c r="AI358" s="626">
        <f t="shared" si="413"/>
        <v>0</v>
      </c>
      <c r="AJ358" s="625">
        <f t="array" ref="AJ358">IFERROR(INDEX('TB-EQUIPMENT &amp; OTHER HPs'!$X$138:$X$175,MATCH($E358&amp;$F358,'TB-EQUIPMENT &amp; OTHER HPs'!$E$138:$E$175&amp;'TB-EQUIPMENT &amp; OTHER HPs'!$I$138:$I$175,0)),0)</f>
        <v>0</v>
      </c>
      <c r="AK358" s="626">
        <f t="shared" si="414"/>
        <v>0</v>
      </c>
      <c r="AL358" s="626">
        <f t="shared" si="415"/>
        <v>0</v>
      </c>
      <c r="AM358" s="626">
        <f t="shared" si="416"/>
        <v>0</v>
      </c>
      <c r="AN358" s="625">
        <f t="array" ref="AN358">IFERROR(INDEX('TB-EQUIPMENT &amp; OTHER HPs'!$Y$138:$Y$175,MATCH($E358&amp;$F358,'TB-EQUIPMENT &amp; OTHER HPs'!$E$138:$E$175&amp;'TB-EQUIPMENT &amp; OTHER HPs'!$I$138:$I$175,0)),0)</f>
        <v>0</v>
      </c>
      <c r="AO358" s="626">
        <f t="shared" si="417"/>
        <v>0</v>
      </c>
      <c r="AP358" s="626">
        <f t="shared" si="418"/>
        <v>0</v>
      </c>
      <c r="AQ358" s="626">
        <f t="shared" si="419"/>
        <v>0</v>
      </c>
      <c r="AR358" s="630"/>
      <c r="AS358" s="625">
        <f t="array" ref="AS358">IFERROR(INDEX('TB-EQUIPMENT &amp; OTHER HPs'!$AB$138:$AB$175,MATCH($E358&amp;$F358,'TB-EQUIPMENT &amp; OTHER HPs'!$E$138:$E$175&amp;'TB-EQUIPMENT &amp; OTHER HPs'!$I$138:$I$175,0)),0)</f>
        <v>0</v>
      </c>
      <c r="AT358" s="625">
        <f t="array" ref="AT358">IFERROR(INDEX('TB-EQUIPMENT &amp; OTHER HPs'!$AC$138:$AC$175,MATCH($E358&amp;$F358,'TB-EQUIPMENT &amp; OTHER HPs'!$E$138:$E$175&amp;'TB-EQUIPMENT &amp; OTHER HPs'!$I$138:$I$175,0)),0)</f>
        <v>0</v>
      </c>
      <c r="AU358" s="626">
        <f t="shared" si="420"/>
        <v>0</v>
      </c>
      <c r="AV358" s="626">
        <f t="shared" si="421"/>
        <v>0</v>
      </c>
      <c r="AW358" s="626">
        <f t="shared" si="422"/>
        <v>0</v>
      </c>
      <c r="AX358" s="625">
        <f t="array" ref="AX358">IFERROR(INDEX('TB-EQUIPMENT &amp; OTHER HPs'!$AD$138:$AD$175,MATCH($E358&amp;$F358,'TB-EQUIPMENT &amp; OTHER HPs'!$E$138:$E$175&amp;'TB-EQUIPMENT &amp; OTHER HPs'!$I$138:$I$175,0)),0)</f>
        <v>0</v>
      </c>
      <c r="AY358" s="626">
        <f t="shared" si="423"/>
        <v>0</v>
      </c>
      <c r="AZ358" s="626">
        <f t="shared" si="424"/>
        <v>0</v>
      </c>
      <c r="BA358" s="626">
        <f t="shared" si="425"/>
        <v>0</v>
      </c>
      <c r="BB358" s="625">
        <f t="array" ref="BB358">IFERROR(INDEX('TB-EQUIPMENT &amp; OTHER HPs'!$AE$138:$AE$175,MATCH($E358&amp;$F358,'TB-EQUIPMENT &amp; OTHER HPs'!$E$138:$E$175&amp;'TB-EQUIPMENT &amp; OTHER HPs'!$I$138:$I$175,0)),0)</f>
        <v>0</v>
      </c>
      <c r="BC358" s="626">
        <f t="shared" si="426"/>
        <v>0</v>
      </c>
      <c r="BD358" s="626">
        <f t="shared" si="427"/>
        <v>0</v>
      </c>
      <c r="BE358" s="626">
        <f t="shared" si="428"/>
        <v>0</v>
      </c>
      <c r="BF358" s="625">
        <f t="array" ref="BF358">IFERROR(INDEX('TB-EQUIPMENT &amp; OTHER HPs'!$AF$138:$AF$175,MATCH($E358&amp;$F358,'TB-EQUIPMENT &amp; OTHER HPs'!$E$138:$E$175&amp;'TB-EQUIPMENT &amp; OTHER HPs'!$I$138:$I$175,0)),0)</f>
        <v>0</v>
      </c>
      <c r="BG358" s="626">
        <f t="shared" si="429"/>
        <v>0</v>
      </c>
      <c r="BH358" s="626">
        <f t="shared" si="430"/>
        <v>0</v>
      </c>
      <c r="BI358" s="626">
        <f t="shared" si="431"/>
        <v>0</v>
      </c>
      <c r="BJ358" s="630"/>
      <c r="BK358" s="625"/>
      <c r="BL358" s="625"/>
      <c r="BM358" s="625"/>
      <c r="BN358" s="625"/>
      <c r="BO358" s="625"/>
      <c r="BP358" s="625"/>
      <c r="BQ358" s="625"/>
      <c r="BR358" s="625"/>
    </row>
    <row r="359" spans="1:70">
      <c r="A359" s="29" t="s">
        <v>1755</v>
      </c>
      <c r="B359" s="29" t="s">
        <v>1838</v>
      </c>
      <c r="C359" s="619">
        <f>SETUP!$F$44</f>
        <v>0</v>
      </c>
      <c r="D359" s="25">
        <v>5.4</v>
      </c>
      <c r="E359" s="26" t="s">
        <v>205</v>
      </c>
      <c r="F359" s="26" t="s">
        <v>826</v>
      </c>
      <c r="G359" s="625" t="str">
        <f t="array" ref="G359">IFERROR(INDEX('TB-EQUIPMENT &amp; OTHER HPs'!$L$138:$L$175,MATCH($E359&amp;$F359,'TB-EQUIPMENT &amp; OTHER HPs'!$E$138:$E$175&amp;'TB-EQUIPMENT &amp; OTHER HPs'!$I$138:$I$175,0)),"")</f>
        <v/>
      </c>
      <c r="H359" s="625" t="str">
        <f t="array" ref="H359">IFERROR(INDEX('TB-EQUIPMENT &amp; OTHER HPs'!$M$138:$M$175,MATCH($E359&amp;$F359,'TB-EQUIPMENT &amp; OTHER HPs'!$E$138:$E$175&amp;'TB-EQUIPMENT &amp; OTHER HPs'!$I$138:$I$175,0)),"")</f>
        <v/>
      </c>
      <c r="I359" s="625">
        <f t="array" ref="I359">IFERROR(INDEX('TB-EQUIPMENT &amp; OTHER HPs'!$N$138:$N$175,MATCH($E359&amp;$F359,'TB-EQUIPMENT &amp; OTHER HPs'!$E$138:$E$175&amp;'TB-EQUIPMENT &amp; OTHER HPs'!$I$138:$I$175,0)),0)</f>
        <v>0</v>
      </c>
      <c r="J359" s="625">
        <f t="array" ref="J359">IFERROR(INDEX('TB-EQUIPMENT &amp; OTHER HPs'!$O$138:$O$175,MATCH($E359&amp;$F359,'TB-EQUIPMENT &amp; OTHER HPs'!$E$138:$E$175&amp;'TB-EQUIPMENT &amp; OTHER HPs'!$I$138:$I$175,0)),0)</f>
        <v>0</v>
      </c>
      <c r="K359" s="626">
        <f t="shared" si="396"/>
        <v>0</v>
      </c>
      <c r="L359" s="626">
        <f t="shared" si="397"/>
        <v>0</v>
      </c>
      <c r="M359" s="626">
        <f t="shared" si="398"/>
        <v>0</v>
      </c>
      <c r="N359" s="625">
        <f t="array" ref="N359">IFERROR(INDEX('TB-EQUIPMENT &amp; OTHER HPs'!$P$138:$P$175,MATCH($E359&amp;$F359,'TB-EQUIPMENT &amp; OTHER HPs'!$E$138:$E$175&amp;'TB-EQUIPMENT &amp; OTHER HPs'!$I$138:$I$175,0)),0)</f>
        <v>0</v>
      </c>
      <c r="O359" s="626">
        <f t="shared" si="399"/>
        <v>0</v>
      </c>
      <c r="P359" s="626">
        <f t="shared" si="400"/>
        <v>0</v>
      </c>
      <c r="Q359" s="626">
        <f t="shared" si="401"/>
        <v>0</v>
      </c>
      <c r="R359" s="625">
        <f t="array" ref="R359">IFERROR(INDEX('TB-EQUIPMENT &amp; OTHER HPs'!$Q$138:$Q$175,MATCH($E359&amp;$F359,'TB-EQUIPMENT &amp; OTHER HPs'!$E$138:$E$175&amp;'TB-EQUIPMENT &amp; OTHER HPs'!$I$138:$I$175,0)),0)</f>
        <v>0</v>
      </c>
      <c r="S359" s="626">
        <f t="shared" si="402"/>
        <v>0</v>
      </c>
      <c r="T359" s="626">
        <f t="shared" si="403"/>
        <v>0</v>
      </c>
      <c r="U359" s="626">
        <f t="shared" si="404"/>
        <v>0</v>
      </c>
      <c r="V359" s="625">
        <f t="array" ref="V359">IFERROR(INDEX('TB-EQUIPMENT &amp; OTHER HPs'!$R$138:$R$175,MATCH($E359&amp;$F359,'TB-EQUIPMENT &amp; OTHER HPs'!$E$138:$E$175&amp;'TB-EQUIPMENT &amp; OTHER HPs'!$I$138:$I$175,0)),0)</f>
        <v>0</v>
      </c>
      <c r="W359" s="626">
        <f t="shared" si="405"/>
        <v>0</v>
      </c>
      <c r="X359" s="626">
        <f t="shared" si="406"/>
        <v>0</v>
      </c>
      <c r="Y359" s="626">
        <f t="shared" si="407"/>
        <v>0</v>
      </c>
      <c r="AA359" s="625">
        <f t="array" ref="AA359">IFERROR(INDEX('TB-EQUIPMENT &amp; OTHER HPs'!$U$138:$U$175,MATCH($E359&amp;$F359,'TB-EQUIPMENT &amp; OTHER HPs'!$E$138:$E$175&amp;'TB-EQUIPMENT &amp; OTHER HPs'!$I$138:$I$175,0)),0)</f>
        <v>0</v>
      </c>
      <c r="AB359" s="625">
        <f t="array" ref="AB359">IFERROR(INDEX('TB-EQUIPMENT &amp; OTHER HPs'!$V$138:$V$175,MATCH($E359&amp;$F359,'TB-EQUIPMENT &amp; OTHER HPs'!$E$138:$E$175&amp;'TB-EQUIPMENT &amp; OTHER HPs'!$I$138:$I$175,0)),0)</f>
        <v>0</v>
      </c>
      <c r="AC359" s="626">
        <f t="shared" si="408"/>
        <v>0</v>
      </c>
      <c r="AD359" s="626">
        <f t="shared" si="409"/>
        <v>0</v>
      </c>
      <c r="AE359" s="626">
        <f t="shared" si="410"/>
        <v>0</v>
      </c>
      <c r="AF359" s="625">
        <f t="array" ref="AF359">IFERROR(INDEX('TB-EQUIPMENT &amp; OTHER HPs'!$W$138:$W$175,MATCH($E359&amp;$F359,'TB-EQUIPMENT &amp; OTHER HPs'!$E$138:$E$175&amp;'TB-EQUIPMENT &amp; OTHER HPs'!$I$138:$I$175,0)),0)</f>
        <v>0</v>
      </c>
      <c r="AG359" s="626">
        <f t="shared" si="411"/>
        <v>0</v>
      </c>
      <c r="AH359" s="626">
        <f t="shared" si="412"/>
        <v>0</v>
      </c>
      <c r="AI359" s="626">
        <f t="shared" si="413"/>
        <v>0</v>
      </c>
      <c r="AJ359" s="625">
        <f t="array" ref="AJ359">IFERROR(INDEX('TB-EQUIPMENT &amp; OTHER HPs'!$X$138:$X$175,MATCH($E359&amp;$F359,'TB-EQUIPMENT &amp; OTHER HPs'!$E$138:$E$175&amp;'TB-EQUIPMENT &amp; OTHER HPs'!$I$138:$I$175,0)),0)</f>
        <v>0</v>
      </c>
      <c r="AK359" s="626">
        <f t="shared" si="414"/>
        <v>0</v>
      </c>
      <c r="AL359" s="626">
        <f t="shared" si="415"/>
        <v>0</v>
      </c>
      <c r="AM359" s="626">
        <f t="shared" si="416"/>
        <v>0</v>
      </c>
      <c r="AN359" s="625">
        <f t="array" ref="AN359">IFERROR(INDEX('TB-EQUIPMENT &amp; OTHER HPs'!$Y$138:$Y$175,MATCH($E359&amp;$F359,'TB-EQUIPMENT &amp; OTHER HPs'!$E$138:$E$175&amp;'TB-EQUIPMENT &amp; OTHER HPs'!$I$138:$I$175,0)),0)</f>
        <v>0</v>
      </c>
      <c r="AO359" s="626">
        <f t="shared" si="417"/>
        <v>0</v>
      </c>
      <c r="AP359" s="626">
        <f t="shared" si="418"/>
        <v>0</v>
      </c>
      <c r="AQ359" s="626">
        <f t="shared" si="419"/>
        <v>0</v>
      </c>
      <c r="AR359" s="630"/>
      <c r="AS359" s="625">
        <f t="array" ref="AS359">IFERROR(INDEX('TB-EQUIPMENT &amp; OTHER HPs'!$AB$138:$AB$175,MATCH($E359&amp;$F359,'TB-EQUIPMENT &amp; OTHER HPs'!$E$138:$E$175&amp;'TB-EQUIPMENT &amp; OTHER HPs'!$I$138:$I$175,0)),0)</f>
        <v>0</v>
      </c>
      <c r="AT359" s="625">
        <f t="array" ref="AT359">IFERROR(INDEX('TB-EQUIPMENT &amp; OTHER HPs'!$AC$138:$AC$175,MATCH($E359&amp;$F359,'TB-EQUIPMENT &amp; OTHER HPs'!$E$138:$E$175&amp;'TB-EQUIPMENT &amp; OTHER HPs'!$I$138:$I$175,0)),0)</f>
        <v>0</v>
      </c>
      <c r="AU359" s="626">
        <f t="shared" si="420"/>
        <v>0</v>
      </c>
      <c r="AV359" s="626">
        <f t="shared" si="421"/>
        <v>0</v>
      </c>
      <c r="AW359" s="626">
        <f t="shared" si="422"/>
        <v>0</v>
      </c>
      <c r="AX359" s="625">
        <f t="array" ref="AX359">IFERROR(INDEX('TB-EQUIPMENT &amp; OTHER HPs'!$AD$138:$AD$175,MATCH($E359&amp;$F359,'TB-EQUIPMENT &amp; OTHER HPs'!$E$138:$E$175&amp;'TB-EQUIPMENT &amp; OTHER HPs'!$I$138:$I$175,0)),0)</f>
        <v>0</v>
      </c>
      <c r="AY359" s="626">
        <f t="shared" si="423"/>
        <v>0</v>
      </c>
      <c r="AZ359" s="626">
        <f t="shared" si="424"/>
        <v>0</v>
      </c>
      <c r="BA359" s="626">
        <f t="shared" si="425"/>
        <v>0</v>
      </c>
      <c r="BB359" s="625">
        <f t="array" ref="BB359">IFERROR(INDEX('TB-EQUIPMENT &amp; OTHER HPs'!$AE$138:$AE$175,MATCH($E359&amp;$F359,'TB-EQUIPMENT &amp; OTHER HPs'!$E$138:$E$175&amp;'TB-EQUIPMENT &amp; OTHER HPs'!$I$138:$I$175,0)),0)</f>
        <v>0</v>
      </c>
      <c r="BC359" s="626">
        <f t="shared" si="426"/>
        <v>0</v>
      </c>
      <c r="BD359" s="626">
        <f t="shared" si="427"/>
        <v>0</v>
      </c>
      <c r="BE359" s="626">
        <f t="shared" si="428"/>
        <v>0</v>
      </c>
      <c r="BF359" s="625">
        <f t="array" ref="BF359">IFERROR(INDEX('TB-EQUIPMENT &amp; OTHER HPs'!$AF$138:$AF$175,MATCH($E359&amp;$F359,'TB-EQUIPMENT &amp; OTHER HPs'!$E$138:$E$175&amp;'TB-EQUIPMENT &amp; OTHER HPs'!$I$138:$I$175,0)),0)</f>
        <v>0</v>
      </c>
      <c r="BG359" s="626">
        <f t="shared" si="429"/>
        <v>0</v>
      </c>
      <c r="BH359" s="626">
        <f t="shared" si="430"/>
        <v>0</v>
      </c>
      <c r="BI359" s="626">
        <f t="shared" si="431"/>
        <v>0</v>
      </c>
      <c r="BJ359" s="630"/>
      <c r="BK359" s="625"/>
      <c r="BL359" s="625"/>
      <c r="BM359" s="625"/>
      <c r="BN359" s="625"/>
      <c r="BO359" s="625"/>
      <c r="BP359" s="625"/>
      <c r="BQ359" s="625"/>
      <c r="BR359" s="625"/>
    </row>
    <row r="360" spans="1:70">
      <c r="A360" s="29" t="s">
        <v>1755</v>
      </c>
      <c r="B360" s="29" t="s">
        <v>1838</v>
      </c>
      <c r="C360" s="619">
        <f>SETUP!$F$44</f>
        <v>0</v>
      </c>
      <c r="D360" s="25">
        <v>5.4</v>
      </c>
      <c r="E360" s="26" t="s">
        <v>205</v>
      </c>
      <c r="F360" s="26" t="s">
        <v>1508</v>
      </c>
      <c r="G360" s="625" t="str">
        <f t="array" ref="G360">IFERROR(INDEX('TB-EQUIPMENT &amp; OTHER HPs'!$L$138:$L$175,MATCH($E360&amp;$F360,'TB-EQUIPMENT &amp; OTHER HPs'!$E$138:$E$175&amp;'TB-EQUIPMENT &amp; OTHER HPs'!$I$138:$I$175,0)),"")</f>
        <v/>
      </c>
      <c r="H360" s="625" t="str">
        <f t="array" ref="H360">IFERROR(INDEX('TB-EQUIPMENT &amp; OTHER HPs'!$M$138:$M$175,MATCH($E360&amp;$F360,'TB-EQUIPMENT &amp; OTHER HPs'!$E$138:$E$175&amp;'TB-EQUIPMENT &amp; OTHER HPs'!$I$138:$I$175,0)),"")</f>
        <v/>
      </c>
      <c r="I360" s="625">
        <f t="array" ref="I360">IFERROR(INDEX('TB-EQUIPMENT &amp; OTHER HPs'!$N$138:$N$175,MATCH($E360&amp;$F360,'TB-EQUIPMENT &amp; OTHER HPs'!$E$138:$E$175&amp;'TB-EQUIPMENT &amp; OTHER HPs'!$I$138:$I$175,0)),0)</f>
        <v>0</v>
      </c>
      <c r="J360" s="625">
        <f t="array" ref="J360">IFERROR(INDEX('TB-EQUIPMENT &amp; OTHER HPs'!$O$138:$O$175,MATCH($E360&amp;$F360,'TB-EQUIPMENT &amp; OTHER HPs'!$E$138:$E$175&amp;'TB-EQUIPMENT &amp; OTHER HPs'!$I$138:$I$175,0)),0)</f>
        <v>0</v>
      </c>
      <c r="K360" s="626">
        <f t="shared" si="396"/>
        <v>0</v>
      </c>
      <c r="L360" s="626">
        <f t="shared" si="397"/>
        <v>0</v>
      </c>
      <c r="M360" s="626">
        <f t="shared" si="398"/>
        <v>0</v>
      </c>
      <c r="N360" s="625">
        <f t="array" ref="N360">IFERROR(INDEX('TB-EQUIPMENT &amp; OTHER HPs'!$P$138:$P$175,MATCH($E360&amp;$F360,'TB-EQUIPMENT &amp; OTHER HPs'!$E$138:$E$175&amp;'TB-EQUIPMENT &amp; OTHER HPs'!$I$138:$I$175,0)),0)</f>
        <v>0</v>
      </c>
      <c r="O360" s="626">
        <f t="shared" si="399"/>
        <v>0</v>
      </c>
      <c r="P360" s="626">
        <f t="shared" si="400"/>
        <v>0</v>
      </c>
      <c r="Q360" s="626">
        <f t="shared" si="401"/>
        <v>0</v>
      </c>
      <c r="R360" s="625">
        <f t="array" ref="R360">IFERROR(INDEX('TB-EQUIPMENT &amp; OTHER HPs'!$Q$138:$Q$175,MATCH($E360&amp;$F360,'TB-EQUIPMENT &amp; OTHER HPs'!$E$138:$E$175&amp;'TB-EQUIPMENT &amp; OTHER HPs'!$I$138:$I$175,0)),0)</f>
        <v>0</v>
      </c>
      <c r="S360" s="626">
        <f t="shared" si="402"/>
        <v>0</v>
      </c>
      <c r="T360" s="626">
        <f t="shared" si="403"/>
        <v>0</v>
      </c>
      <c r="U360" s="626">
        <f t="shared" si="404"/>
        <v>0</v>
      </c>
      <c r="V360" s="625">
        <f t="array" ref="V360">IFERROR(INDEX('TB-EQUIPMENT &amp; OTHER HPs'!$R$138:$R$175,MATCH($E360&amp;$F360,'TB-EQUIPMENT &amp; OTHER HPs'!$E$138:$E$175&amp;'TB-EQUIPMENT &amp; OTHER HPs'!$I$138:$I$175,0)),0)</f>
        <v>0</v>
      </c>
      <c r="W360" s="626">
        <f t="shared" si="405"/>
        <v>0</v>
      </c>
      <c r="X360" s="626">
        <f t="shared" si="406"/>
        <v>0</v>
      </c>
      <c r="Y360" s="626">
        <f t="shared" si="407"/>
        <v>0</v>
      </c>
      <c r="AA360" s="625">
        <f t="array" ref="AA360">IFERROR(INDEX('TB-EQUIPMENT &amp; OTHER HPs'!$U$138:$U$175,MATCH($E360&amp;$F360,'TB-EQUIPMENT &amp; OTHER HPs'!$E$138:$E$175&amp;'TB-EQUIPMENT &amp; OTHER HPs'!$I$138:$I$175,0)),0)</f>
        <v>0</v>
      </c>
      <c r="AB360" s="625">
        <f t="array" ref="AB360">IFERROR(INDEX('TB-EQUIPMENT &amp; OTHER HPs'!$V$138:$V$175,MATCH($E360&amp;$F360,'TB-EQUIPMENT &amp; OTHER HPs'!$E$138:$E$175&amp;'TB-EQUIPMENT &amp; OTHER HPs'!$I$138:$I$175,0)),0)</f>
        <v>0</v>
      </c>
      <c r="AC360" s="626">
        <f t="shared" si="408"/>
        <v>0</v>
      </c>
      <c r="AD360" s="626">
        <f t="shared" si="409"/>
        <v>0</v>
      </c>
      <c r="AE360" s="626">
        <f t="shared" si="410"/>
        <v>0</v>
      </c>
      <c r="AF360" s="625">
        <f t="array" ref="AF360">IFERROR(INDEX('TB-EQUIPMENT &amp; OTHER HPs'!$W$138:$W$175,MATCH($E360&amp;$F360,'TB-EQUIPMENT &amp; OTHER HPs'!$E$138:$E$175&amp;'TB-EQUIPMENT &amp; OTHER HPs'!$I$138:$I$175,0)),0)</f>
        <v>0</v>
      </c>
      <c r="AG360" s="626">
        <f t="shared" si="411"/>
        <v>0</v>
      </c>
      <c r="AH360" s="626">
        <f t="shared" si="412"/>
        <v>0</v>
      </c>
      <c r="AI360" s="626">
        <f t="shared" si="413"/>
        <v>0</v>
      </c>
      <c r="AJ360" s="625">
        <f t="array" ref="AJ360">IFERROR(INDEX('TB-EQUIPMENT &amp; OTHER HPs'!$X$138:$X$175,MATCH($E360&amp;$F360,'TB-EQUIPMENT &amp; OTHER HPs'!$E$138:$E$175&amp;'TB-EQUIPMENT &amp; OTHER HPs'!$I$138:$I$175,0)),0)</f>
        <v>0</v>
      </c>
      <c r="AK360" s="626">
        <f t="shared" si="414"/>
        <v>0</v>
      </c>
      <c r="AL360" s="626">
        <f t="shared" si="415"/>
        <v>0</v>
      </c>
      <c r="AM360" s="626">
        <f t="shared" si="416"/>
        <v>0</v>
      </c>
      <c r="AN360" s="625">
        <f t="array" ref="AN360">IFERROR(INDEX('TB-EQUIPMENT &amp; OTHER HPs'!$Y$138:$Y$175,MATCH($E360&amp;$F360,'TB-EQUIPMENT &amp; OTHER HPs'!$E$138:$E$175&amp;'TB-EQUIPMENT &amp; OTHER HPs'!$I$138:$I$175,0)),0)</f>
        <v>0</v>
      </c>
      <c r="AO360" s="626">
        <f t="shared" si="417"/>
        <v>0</v>
      </c>
      <c r="AP360" s="626">
        <f t="shared" si="418"/>
        <v>0</v>
      </c>
      <c r="AQ360" s="626">
        <f t="shared" si="419"/>
        <v>0</v>
      </c>
      <c r="AR360" s="630"/>
      <c r="AS360" s="625">
        <f t="array" ref="AS360">IFERROR(INDEX('TB-EQUIPMENT &amp; OTHER HPs'!$AB$138:$AB$175,MATCH($E360&amp;$F360,'TB-EQUIPMENT &amp; OTHER HPs'!$E$138:$E$175&amp;'TB-EQUIPMENT &amp; OTHER HPs'!$I$138:$I$175,0)),0)</f>
        <v>0</v>
      </c>
      <c r="AT360" s="625">
        <f t="array" ref="AT360">IFERROR(INDEX('TB-EQUIPMENT &amp; OTHER HPs'!$AC$138:$AC$175,MATCH($E360&amp;$F360,'TB-EQUIPMENT &amp; OTHER HPs'!$E$138:$E$175&amp;'TB-EQUIPMENT &amp; OTHER HPs'!$I$138:$I$175,0)),0)</f>
        <v>0</v>
      </c>
      <c r="AU360" s="626">
        <f t="shared" si="420"/>
        <v>0</v>
      </c>
      <c r="AV360" s="626">
        <f t="shared" si="421"/>
        <v>0</v>
      </c>
      <c r="AW360" s="626">
        <f t="shared" si="422"/>
        <v>0</v>
      </c>
      <c r="AX360" s="625">
        <f t="array" ref="AX360">IFERROR(INDEX('TB-EQUIPMENT &amp; OTHER HPs'!$AD$138:$AD$175,MATCH($E360&amp;$F360,'TB-EQUIPMENT &amp; OTHER HPs'!$E$138:$E$175&amp;'TB-EQUIPMENT &amp; OTHER HPs'!$I$138:$I$175,0)),0)</f>
        <v>0</v>
      </c>
      <c r="AY360" s="626">
        <f t="shared" si="423"/>
        <v>0</v>
      </c>
      <c r="AZ360" s="626">
        <f t="shared" si="424"/>
        <v>0</v>
      </c>
      <c r="BA360" s="626">
        <f t="shared" si="425"/>
        <v>0</v>
      </c>
      <c r="BB360" s="625">
        <f t="array" ref="BB360">IFERROR(INDEX('TB-EQUIPMENT &amp; OTHER HPs'!$AE$138:$AE$175,MATCH($E360&amp;$F360,'TB-EQUIPMENT &amp; OTHER HPs'!$E$138:$E$175&amp;'TB-EQUIPMENT &amp; OTHER HPs'!$I$138:$I$175,0)),0)</f>
        <v>0</v>
      </c>
      <c r="BC360" s="626">
        <f t="shared" si="426"/>
        <v>0</v>
      </c>
      <c r="BD360" s="626">
        <f t="shared" si="427"/>
        <v>0</v>
      </c>
      <c r="BE360" s="626">
        <f t="shared" si="428"/>
        <v>0</v>
      </c>
      <c r="BF360" s="625">
        <f t="array" ref="BF360">IFERROR(INDEX('TB-EQUIPMENT &amp; OTHER HPs'!$AF$138:$AF$175,MATCH($E360&amp;$F360,'TB-EQUIPMENT &amp; OTHER HPs'!$E$138:$E$175&amp;'TB-EQUIPMENT &amp; OTHER HPs'!$I$138:$I$175,0)),0)</f>
        <v>0</v>
      </c>
      <c r="BG360" s="626">
        <f t="shared" si="429"/>
        <v>0</v>
      </c>
      <c r="BH360" s="626">
        <f t="shared" si="430"/>
        <v>0</v>
      </c>
      <c r="BI360" s="626">
        <f t="shared" si="431"/>
        <v>0</v>
      </c>
      <c r="BJ360" s="630"/>
      <c r="BK360" s="625"/>
      <c r="BL360" s="625"/>
      <c r="BM360" s="625"/>
      <c r="BN360" s="625"/>
      <c r="BO360" s="625"/>
      <c r="BP360" s="625"/>
      <c r="BQ360" s="625"/>
      <c r="BR360" s="625"/>
    </row>
    <row r="361" spans="1:70">
      <c r="A361" s="29" t="s">
        <v>1755</v>
      </c>
      <c r="B361" s="29" t="s">
        <v>1838</v>
      </c>
      <c r="C361" s="619">
        <f>SETUP!$F$44</f>
        <v>0</v>
      </c>
      <c r="D361" s="25">
        <v>5.4</v>
      </c>
      <c r="E361" s="26" t="s">
        <v>205</v>
      </c>
      <c r="F361" s="26" t="s">
        <v>1509</v>
      </c>
      <c r="G361" s="625" t="str">
        <f t="array" ref="G361">IFERROR(INDEX('TB-EQUIPMENT &amp; OTHER HPs'!$L$138:$L$175,MATCH($E361&amp;$F361,'TB-EQUIPMENT &amp; OTHER HPs'!$E$138:$E$175&amp;'TB-EQUIPMENT &amp; OTHER HPs'!$I$138:$I$175,0)),"")</f>
        <v/>
      </c>
      <c r="H361" s="625" t="str">
        <f t="array" ref="H361">IFERROR(INDEX('TB-EQUIPMENT &amp; OTHER HPs'!$M$138:$M$175,MATCH($E361&amp;$F361,'TB-EQUIPMENT &amp; OTHER HPs'!$E$138:$E$175&amp;'TB-EQUIPMENT &amp; OTHER HPs'!$I$138:$I$175,0)),"")</f>
        <v/>
      </c>
      <c r="I361" s="625">
        <f t="array" ref="I361">IFERROR(INDEX('TB-EQUIPMENT &amp; OTHER HPs'!$N$138:$N$175,MATCH($E361&amp;$F361,'TB-EQUIPMENT &amp; OTHER HPs'!$E$138:$E$175&amp;'TB-EQUIPMENT &amp; OTHER HPs'!$I$138:$I$175,0)),0)</f>
        <v>0</v>
      </c>
      <c r="J361" s="625">
        <f t="array" ref="J361">IFERROR(INDEX('TB-EQUIPMENT &amp; OTHER HPs'!$O$138:$O$175,MATCH($E361&amp;$F361,'TB-EQUIPMENT &amp; OTHER HPs'!$E$138:$E$175&amp;'TB-EQUIPMENT &amp; OTHER HPs'!$I$138:$I$175,0)),0)</f>
        <v>0</v>
      </c>
      <c r="K361" s="626">
        <f t="shared" si="396"/>
        <v>0</v>
      </c>
      <c r="L361" s="626">
        <f t="shared" si="397"/>
        <v>0</v>
      </c>
      <c r="M361" s="626">
        <f t="shared" si="398"/>
        <v>0</v>
      </c>
      <c r="N361" s="625">
        <f t="array" ref="N361">IFERROR(INDEX('TB-EQUIPMENT &amp; OTHER HPs'!$P$138:$P$175,MATCH($E361&amp;$F361,'TB-EQUIPMENT &amp; OTHER HPs'!$E$138:$E$175&amp;'TB-EQUIPMENT &amp; OTHER HPs'!$I$138:$I$175,0)),0)</f>
        <v>0</v>
      </c>
      <c r="O361" s="626">
        <f t="shared" si="399"/>
        <v>0</v>
      </c>
      <c r="P361" s="626">
        <f t="shared" si="400"/>
        <v>0</v>
      </c>
      <c r="Q361" s="626">
        <f t="shared" si="401"/>
        <v>0</v>
      </c>
      <c r="R361" s="625">
        <f t="array" ref="R361">IFERROR(INDEX('TB-EQUIPMENT &amp; OTHER HPs'!$Q$138:$Q$175,MATCH($E361&amp;$F361,'TB-EQUIPMENT &amp; OTHER HPs'!$E$138:$E$175&amp;'TB-EQUIPMENT &amp; OTHER HPs'!$I$138:$I$175,0)),0)</f>
        <v>0</v>
      </c>
      <c r="S361" s="626">
        <f t="shared" si="402"/>
        <v>0</v>
      </c>
      <c r="T361" s="626">
        <f t="shared" si="403"/>
        <v>0</v>
      </c>
      <c r="U361" s="626">
        <f t="shared" si="404"/>
        <v>0</v>
      </c>
      <c r="V361" s="625">
        <f t="array" ref="V361">IFERROR(INDEX('TB-EQUIPMENT &amp; OTHER HPs'!$R$138:$R$175,MATCH($E361&amp;$F361,'TB-EQUIPMENT &amp; OTHER HPs'!$E$138:$E$175&amp;'TB-EQUIPMENT &amp; OTHER HPs'!$I$138:$I$175,0)),0)</f>
        <v>0</v>
      </c>
      <c r="W361" s="626">
        <f t="shared" si="405"/>
        <v>0</v>
      </c>
      <c r="X361" s="626">
        <f t="shared" si="406"/>
        <v>0</v>
      </c>
      <c r="Y361" s="626">
        <f t="shared" si="407"/>
        <v>0</v>
      </c>
      <c r="AA361" s="625">
        <f t="array" ref="AA361">IFERROR(INDEX('TB-EQUIPMENT &amp; OTHER HPs'!$U$138:$U$175,MATCH($E361&amp;$F361,'TB-EQUIPMENT &amp; OTHER HPs'!$E$138:$E$175&amp;'TB-EQUIPMENT &amp; OTHER HPs'!$I$138:$I$175,0)),0)</f>
        <v>0</v>
      </c>
      <c r="AB361" s="625">
        <f t="array" ref="AB361">IFERROR(INDEX('TB-EQUIPMENT &amp; OTHER HPs'!$V$138:$V$175,MATCH($E361&amp;$F361,'TB-EQUIPMENT &amp; OTHER HPs'!$E$138:$E$175&amp;'TB-EQUIPMENT &amp; OTHER HPs'!$I$138:$I$175,0)),0)</f>
        <v>0</v>
      </c>
      <c r="AC361" s="626">
        <f t="shared" si="408"/>
        <v>0</v>
      </c>
      <c r="AD361" s="626">
        <f t="shared" si="409"/>
        <v>0</v>
      </c>
      <c r="AE361" s="626">
        <f t="shared" si="410"/>
        <v>0</v>
      </c>
      <c r="AF361" s="625">
        <f t="array" ref="AF361">IFERROR(INDEX('TB-EQUIPMENT &amp; OTHER HPs'!$W$138:$W$175,MATCH($E361&amp;$F361,'TB-EQUIPMENT &amp; OTHER HPs'!$E$138:$E$175&amp;'TB-EQUIPMENT &amp; OTHER HPs'!$I$138:$I$175,0)),0)</f>
        <v>0</v>
      </c>
      <c r="AG361" s="626">
        <f t="shared" si="411"/>
        <v>0</v>
      </c>
      <c r="AH361" s="626">
        <f t="shared" si="412"/>
        <v>0</v>
      </c>
      <c r="AI361" s="626">
        <f t="shared" si="413"/>
        <v>0</v>
      </c>
      <c r="AJ361" s="625">
        <f t="array" ref="AJ361">IFERROR(INDEX('TB-EQUIPMENT &amp; OTHER HPs'!$X$138:$X$175,MATCH($E361&amp;$F361,'TB-EQUIPMENT &amp; OTHER HPs'!$E$138:$E$175&amp;'TB-EQUIPMENT &amp; OTHER HPs'!$I$138:$I$175,0)),0)</f>
        <v>0</v>
      </c>
      <c r="AK361" s="626">
        <f t="shared" si="414"/>
        <v>0</v>
      </c>
      <c r="AL361" s="626">
        <f t="shared" si="415"/>
        <v>0</v>
      </c>
      <c r="AM361" s="626">
        <f t="shared" si="416"/>
        <v>0</v>
      </c>
      <c r="AN361" s="625">
        <f t="array" ref="AN361">IFERROR(INDEX('TB-EQUIPMENT &amp; OTHER HPs'!$Y$138:$Y$175,MATCH($E361&amp;$F361,'TB-EQUIPMENT &amp; OTHER HPs'!$E$138:$E$175&amp;'TB-EQUIPMENT &amp; OTHER HPs'!$I$138:$I$175,0)),0)</f>
        <v>0</v>
      </c>
      <c r="AO361" s="626">
        <f t="shared" si="417"/>
        <v>0</v>
      </c>
      <c r="AP361" s="626">
        <f t="shared" si="418"/>
        <v>0</v>
      </c>
      <c r="AQ361" s="626">
        <f t="shared" si="419"/>
        <v>0</v>
      </c>
      <c r="AR361" s="630"/>
      <c r="AS361" s="625">
        <f t="array" ref="AS361">IFERROR(INDEX('TB-EQUIPMENT &amp; OTHER HPs'!$AB$138:$AB$175,MATCH($E361&amp;$F361,'TB-EQUIPMENT &amp; OTHER HPs'!$E$138:$E$175&amp;'TB-EQUIPMENT &amp; OTHER HPs'!$I$138:$I$175,0)),0)</f>
        <v>0</v>
      </c>
      <c r="AT361" s="625">
        <f t="array" ref="AT361">IFERROR(INDEX('TB-EQUIPMENT &amp; OTHER HPs'!$AC$138:$AC$175,MATCH($E361&amp;$F361,'TB-EQUIPMENT &amp; OTHER HPs'!$E$138:$E$175&amp;'TB-EQUIPMENT &amp; OTHER HPs'!$I$138:$I$175,0)),0)</f>
        <v>0</v>
      </c>
      <c r="AU361" s="626">
        <f t="shared" si="420"/>
        <v>0</v>
      </c>
      <c r="AV361" s="626">
        <f t="shared" si="421"/>
        <v>0</v>
      </c>
      <c r="AW361" s="626">
        <f t="shared" si="422"/>
        <v>0</v>
      </c>
      <c r="AX361" s="625">
        <f t="array" ref="AX361">IFERROR(INDEX('TB-EQUIPMENT &amp; OTHER HPs'!$AD$138:$AD$175,MATCH($E361&amp;$F361,'TB-EQUIPMENT &amp; OTHER HPs'!$E$138:$E$175&amp;'TB-EQUIPMENT &amp; OTHER HPs'!$I$138:$I$175,0)),0)</f>
        <v>0</v>
      </c>
      <c r="AY361" s="626">
        <f t="shared" si="423"/>
        <v>0</v>
      </c>
      <c r="AZ361" s="626">
        <f t="shared" si="424"/>
        <v>0</v>
      </c>
      <c r="BA361" s="626">
        <f t="shared" si="425"/>
        <v>0</v>
      </c>
      <c r="BB361" s="625">
        <f t="array" ref="BB361">IFERROR(INDEX('TB-EQUIPMENT &amp; OTHER HPs'!$AE$138:$AE$175,MATCH($E361&amp;$F361,'TB-EQUIPMENT &amp; OTHER HPs'!$E$138:$E$175&amp;'TB-EQUIPMENT &amp; OTHER HPs'!$I$138:$I$175,0)),0)</f>
        <v>0</v>
      </c>
      <c r="BC361" s="626">
        <f t="shared" si="426"/>
        <v>0</v>
      </c>
      <c r="BD361" s="626">
        <f t="shared" si="427"/>
        <v>0</v>
      </c>
      <c r="BE361" s="626">
        <f t="shared" si="428"/>
        <v>0</v>
      </c>
      <c r="BF361" s="625">
        <f t="array" ref="BF361">IFERROR(INDEX('TB-EQUIPMENT &amp; OTHER HPs'!$AF$138:$AF$175,MATCH($E361&amp;$F361,'TB-EQUIPMENT &amp; OTHER HPs'!$E$138:$E$175&amp;'TB-EQUIPMENT &amp; OTHER HPs'!$I$138:$I$175,0)),0)</f>
        <v>0</v>
      </c>
      <c r="BG361" s="626">
        <f t="shared" si="429"/>
        <v>0</v>
      </c>
      <c r="BH361" s="626">
        <f t="shared" si="430"/>
        <v>0</v>
      </c>
      <c r="BI361" s="626">
        <f t="shared" si="431"/>
        <v>0</v>
      </c>
      <c r="BJ361" s="630"/>
      <c r="BK361" s="625"/>
      <c r="BL361" s="625"/>
      <c r="BM361" s="625"/>
      <c r="BN361" s="625"/>
      <c r="BO361" s="625"/>
      <c r="BP361" s="625"/>
      <c r="BQ361" s="625"/>
      <c r="BR361" s="625"/>
    </row>
    <row r="362" spans="1:70">
      <c r="A362" s="29" t="s">
        <v>1755</v>
      </c>
      <c r="B362" s="29" t="s">
        <v>1838</v>
      </c>
      <c r="C362" s="619">
        <f>SETUP!$F$44</f>
        <v>0</v>
      </c>
      <c r="D362" s="25">
        <v>5.4</v>
      </c>
      <c r="E362" s="26" t="s">
        <v>205</v>
      </c>
      <c r="F362" s="26" t="s">
        <v>1510</v>
      </c>
      <c r="G362" s="625" t="str">
        <f t="array" ref="G362">IFERROR(INDEX('TB-EQUIPMENT &amp; OTHER HPs'!$L$138:$L$175,MATCH($E362&amp;$F362,'TB-EQUIPMENT &amp; OTHER HPs'!$E$138:$E$175&amp;'TB-EQUIPMENT &amp; OTHER HPs'!$I$138:$I$175,0)),"")</f>
        <v/>
      </c>
      <c r="H362" s="625" t="str">
        <f t="array" ref="H362">IFERROR(INDEX('TB-EQUIPMENT &amp; OTHER HPs'!$M$138:$M$175,MATCH($E362&amp;$F362,'TB-EQUIPMENT &amp; OTHER HPs'!$E$138:$E$175&amp;'TB-EQUIPMENT &amp; OTHER HPs'!$I$138:$I$175,0)),"")</f>
        <v/>
      </c>
      <c r="I362" s="625">
        <f t="array" ref="I362">IFERROR(INDEX('TB-EQUIPMENT &amp; OTHER HPs'!$N$138:$N$175,MATCH($E362&amp;$F362,'TB-EQUIPMENT &amp; OTHER HPs'!$E$138:$E$175&amp;'TB-EQUIPMENT &amp; OTHER HPs'!$I$138:$I$175,0)),0)</f>
        <v>0</v>
      </c>
      <c r="J362" s="625">
        <f t="array" ref="J362">IFERROR(INDEX('TB-EQUIPMENT &amp; OTHER HPs'!$O$138:$O$175,MATCH($E362&amp;$F362,'TB-EQUIPMENT &amp; OTHER HPs'!$E$138:$E$175&amp;'TB-EQUIPMENT &amp; OTHER HPs'!$I$138:$I$175,0)),0)</f>
        <v>0</v>
      </c>
      <c r="K362" s="626">
        <f t="shared" si="396"/>
        <v>0</v>
      </c>
      <c r="L362" s="626">
        <f t="shared" si="397"/>
        <v>0</v>
      </c>
      <c r="M362" s="626">
        <f t="shared" si="398"/>
        <v>0</v>
      </c>
      <c r="N362" s="625">
        <f t="array" ref="N362">IFERROR(INDEX('TB-EQUIPMENT &amp; OTHER HPs'!$P$138:$P$175,MATCH($E362&amp;$F362,'TB-EQUIPMENT &amp; OTHER HPs'!$E$138:$E$175&amp;'TB-EQUIPMENT &amp; OTHER HPs'!$I$138:$I$175,0)),0)</f>
        <v>0</v>
      </c>
      <c r="O362" s="626">
        <f t="shared" si="399"/>
        <v>0</v>
      </c>
      <c r="P362" s="626">
        <f t="shared" si="400"/>
        <v>0</v>
      </c>
      <c r="Q362" s="626">
        <f t="shared" si="401"/>
        <v>0</v>
      </c>
      <c r="R362" s="625">
        <f t="array" ref="R362">IFERROR(INDEX('TB-EQUIPMENT &amp; OTHER HPs'!$Q$138:$Q$175,MATCH($E362&amp;$F362,'TB-EQUIPMENT &amp; OTHER HPs'!$E$138:$E$175&amp;'TB-EQUIPMENT &amp; OTHER HPs'!$I$138:$I$175,0)),0)</f>
        <v>0</v>
      </c>
      <c r="S362" s="626">
        <f t="shared" si="402"/>
        <v>0</v>
      </c>
      <c r="T362" s="626">
        <f t="shared" si="403"/>
        <v>0</v>
      </c>
      <c r="U362" s="626">
        <f t="shared" si="404"/>
        <v>0</v>
      </c>
      <c r="V362" s="625">
        <f t="array" ref="V362">IFERROR(INDEX('TB-EQUIPMENT &amp; OTHER HPs'!$R$138:$R$175,MATCH($E362&amp;$F362,'TB-EQUIPMENT &amp; OTHER HPs'!$E$138:$E$175&amp;'TB-EQUIPMENT &amp; OTHER HPs'!$I$138:$I$175,0)),0)</f>
        <v>0</v>
      </c>
      <c r="W362" s="626">
        <f t="shared" si="405"/>
        <v>0</v>
      </c>
      <c r="X362" s="626">
        <f t="shared" si="406"/>
        <v>0</v>
      </c>
      <c r="Y362" s="626">
        <f t="shared" si="407"/>
        <v>0</v>
      </c>
      <c r="AA362" s="625">
        <f t="array" ref="AA362">IFERROR(INDEX('TB-EQUIPMENT &amp; OTHER HPs'!$U$138:$U$175,MATCH($E362&amp;$F362,'TB-EQUIPMENT &amp; OTHER HPs'!$E$138:$E$175&amp;'TB-EQUIPMENT &amp; OTHER HPs'!$I$138:$I$175,0)),0)</f>
        <v>0</v>
      </c>
      <c r="AB362" s="625">
        <f t="array" ref="AB362">IFERROR(INDEX('TB-EQUIPMENT &amp; OTHER HPs'!$V$138:$V$175,MATCH($E362&amp;$F362,'TB-EQUIPMENT &amp; OTHER HPs'!$E$138:$E$175&amp;'TB-EQUIPMENT &amp; OTHER HPs'!$I$138:$I$175,0)),0)</f>
        <v>0</v>
      </c>
      <c r="AC362" s="626">
        <f t="shared" si="408"/>
        <v>0</v>
      </c>
      <c r="AD362" s="626">
        <f t="shared" si="409"/>
        <v>0</v>
      </c>
      <c r="AE362" s="626">
        <f t="shared" si="410"/>
        <v>0</v>
      </c>
      <c r="AF362" s="625">
        <f t="array" ref="AF362">IFERROR(INDEX('TB-EQUIPMENT &amp; OTHER HPs'!$W$138:$W$175,MATCH($E362&amp;$F362,'TB-EQUIPMENT &amp; OTHER HPs'!$E$138:$E$175&amp;'TB-EQUIPMENT &amp; OTHER HPs'!$I$138:$I$175,0)),0)</f>
        <v>0</v>
      </c>
      <c r="AG362" s="626">
        <f t="shared" si="411"/>
        <v>0</v>
      </c>
      <c r="AH362" s="626">
        <f t="shared" si="412"/>
        <v>0</v>
      </c>
      <c r="AI362" s="626">
        <f t="shared" si="413"/>
        <v>0</v>
      </c>
      <c r="AJ362" s="625">
        <f t="array" ref="AJ362">IFERROR(INDEX('TB-EQUIPMENT &amp; OTHER HPs'!$X$138:$X$175,MATCH($E362&amp;$F362,'TB-EQUIPMENT &amp; OTHER HPs'!$E$138:$E$175&amp;'TB-EQUIPMENT &amp; OTHER HPs'!$I$138:$I$175,0)),0)</f>
        <v>0</v>
      </c>
      <c r="AK362" s="626">
        <f t="shared" si="414"/>
        <v>0</v>
      </c>
      <c r="AL362" s="626">
        <f t="shared" si="415"/>
        <v>0</v>
      </c>
      <c r="AM362" s="626">
        <f t="shared" si="416"/>
        <v>0</v>
      </c>
      <c r="AN362" s="625">
        <f t="array" ref="AN362">IFERROR(INDEX('TB-EQUIPMENT &amp; OTHER HPs'!$Y$138:$Y$175,MATCH($E362&amp;$F362,'TB-EQUIPMENT &amp; OTHER HPs'!$E$138:$E$175&amp;'TB-EQUIPMENT &amp; OTHER HPs'!$I$138:$I$175,0)),0)</f>
        <v>0</v>
      </c>
      <c r="AO362" s="626">
        <f t="shared" si="417"/>
        <v>0</v>
      </c>
      <c r="AP362" s="626">
        <f t="shared" si="418"/>
        <v>0</v>
      </c>
      <c r="AQ362" s="626">
        <f t="shared" si="419"/>
        <v>0</v>
      </c>
      <c r="AR362" s="630"/>
      <c r="AS362" s="625">
        <f t="array" ref="AS362">IFERROR(INDEX('TB-EQUIPMENT &amp; OTHER HPs'!$AB$138:$AB$175,MATCH($E362&amp;$F362,'TB-EQUIPMENT &amp; OTHER HPs'!$E$138:$E$175&amp;'TB-EQUIPMENT &amp; OTHER HPs'!$I$138:$I$175,0)),0)</f>
        <v>0</v>
      </c>
      <c r="AT362" s="625">
        <f t="array" ref="AT362">IFERROR(INDEX('TB-EQUIPMENT &amp; OTHER HPs'!$AC$138:$AC$175,MATCH($E362&amp;$F362,'TB-EQUIPMENT &amp; OTHER HPs'!$E$138:$E$175&amp;'TB-EQUIPMENT &amp; OTHER HPs'!$I$138:$I$175,0)),0)</f>
        <v>0</v>
      </c>
      <c r="AU362" s="626">
        <f t="shared" si="420"/>
        <v>0</v>
      </c>
      <c r="AV362" s="626">
        <f t="shared" si="421"/>
        <v>0</v>
      </c>
      <c r="AW362" s="626">
        <f t="shared" si="422"/>
        <v>0</v>
      </c>
      <c r="AX362" s="625">
        <f t="array" ref="AX362">IFERROR(INDEX('TB-EQUIPMENT &amp; OTHER HPs'!$AD$138:$AD$175,MATCH($E362&amp;$F362,'TB-EQUIPMENT &amp; OTHER HPs'!$E$138:$E$175&amp;'TB-EQUIPMENT &amp; OTHER HPs'!$I$138:$I$175,0)),0)</f>
        <v>0</v>
      </c>
      <c r="AY362" s="626">
        <f t="shared" si="423"/>
        <v>0</v>
      </c>
      <c r="AZ362" s="626">
        <f t="shared" si="424"/>
        <v>0</v>
      </c>
      <c r="BA362" s="626">
        <f t="shared" si="425"/>
        <v>0</v>
      </c>
      <c r="BB362" s="625">
        <f t="array" ref="BB362">IFERROR(INDEX('TB-EQUIPMENT &amp; OTHER HPs'!$AE$138:$AE$175,MATCH($E362&amp;$F362,'TB-EQUIPMENT &amp; OTHER HPs'!$E$138:$E$175&amp;'TB-EQUIPMENT &amp; OTHER HPs'!$I$138:$I$175,0)),0)</f>
        <v>0</v>
      </c>
      <c r="BC362" s="626">
        <f t="shared" si="426"/>
        <v>0</v>
      </c>
      <c r="BD362" s="626">
        <f t="shared" si="427"/>
        <v>0</v>
      </c>
      <c r="BE362" s="626">
        <f t="shared" si="428"/>
        <v>0</v>
      </c>
      <c r="BF362" s="625">
        <f t="array" ref="BF362">IFERROR(INDEX('TB-EQUIPMENT &amp; OTHER HPs'!$AF$138:$AF$175,MATCH($E362&amp;$F362,'TB-EQUIPMENT &amp; OTHER HPs'!$E$138:$E$175&amp;'TB-EQUIPMENT &amp; OTHER HPs'!$I$138:$I$175,0)),0)</f>
        <v>0</v>
      </c>
      <c r="BG362" s="626">
        <f t="shared" si="429"/>
        <v>0</v>
      </c>
      <c r="BH362" s="626">
        <f t="shared" si="430"/>
        <v>0</v>
      </c>
      <c r="BI362" s="626">
        <f t="shared" si="431"/>
        <v>0</v>
      </c>
      <c r="BJ362" s="630"/>
      <c r="BK362" s="625"/>
      <c r="BL362" s="625"/>
      <c r="BM362" s="625"/>
      <c r="BN362" s="625"/>
      <c r="BO362" s="625"/>
      <c r="BP362" s="625"/>
      <c r="BQ362" s="625"/>
      <c r="BR362" s="625"/>
    </row>
    <row r="363" spans="1:70">
      <c r="A363" s="29" t="s">
        <v>1755</v>
      </c>
      <c r="B363" s="29" t="s">
        <v>1838</v>
      </c>
      <c r="C363" s="619">
        <f>SETUP!$F$44</f>
        <v>0</v>
      </c>
      <c r="D363" s="25">
        <v>5.4</v>
      </c>
      <c r="E363" s="26" t="s">
        <v>205</v>
      </c>
      <c r="F363" s="26" t="s">
        <v>1511</v>
      </c>
      <c r="G363" s="625" t="str">
        <f t="array" ref="G363">IFERROR(INDEX('TB-EQUIPMENT &amp; OTHER HPs'!$L$138:$L$175,MATCH($E363&amp;$F363,'TB-EQUIPMENT &amp; OTHER HPs'!$E$138:$E$175&amp;'TB-EQUIPMENT &amp; OTHER HPs'!$I$138:$I$175,0)),"")</f>
        <v/>
      </c>
      <c r="H363" s="625" t="str">
        <f t="array" ref="H363">IFERROR(INDEX('TB-EQUIPMENT &amp; OTHER HPs'!$M$138:$M$175,MATCH($E363&amp;$F363,'TB-EQUIPMENT &amp; OTHER HPs'!$E$138:$E$175&amp;'TB-EQUIPMENT &amp; OTHER HPs'!$I$138:$I$175,0)),"")</f>
        <v/>
      </c>
      <c r="I363" s="625">
        <f t="array" ref="I363">IFERROR(INDEX('TB-EQUIPMENT &amp; OTHER HPs'!$N$138:$N$175,MATCH($E363&amp;$F363,'TB-EQUIPMENT &amp; OTHER HPs'!$E$138:$E$175&amp;'TB-EQUIPMENT &amp; OTHER HPs'!$I$138:$I$175,0)),0)</f>
        <v>0</v>
      </c>
      <c r="J363" s="625">
        <f t="array" ref="J363">IFERROR(INDEX('TB-EQUIPMENT &amp; OTHER HPs'!$O$138:$O$175,MATCH($E363&amp;$F363,'TB-EQUIPMENT &amp; OTHER HPs'!$E$138:$E$175&amp;'TB-EQUIPMENT &amp; OTHER HPs'!$I$138:$I$175,0)),0)</f>
        <v>0</v>
      </c>
      <c r="K363" s="626">
        <f t="shared" si="396"/>
        <v>0</v>
      </c>
      <c r="L363" s="626">
        <f t="shared" si="397"/>
        <v>0</v>
      </c>
      <c r="M363" s="626">
        <f t="shared" si="398"/>
        <v>0</v>
      </c>
      <c r="N363" s="625">
        <f t="array" ref="N363">IFERROR(INDEX('TB-EQUIPMENT &amp; OTHER HPs'!$P$138:$P$175,MATCH($E363&amp;$F363,'TB-EQUIPMENT &amp; OTHER HPs'!$E$138:$E$175&amp;'TB-EQUIPMENT &amp; OTHER HPs'!$I$138:$I$175,0)),0)</f>
        <v>0</v>
      </c>
      <c r="O363" s="626">
        <f t="shared" si="399"/>
        <v>0</v>
      </c>
      <c r="P363" s="626">
        <f t="shared" si="400"/>
        <v>0</v>
      </c>
      <c r="Q363" s="626">
        <f t="shared" si="401"/>
        <v>0</v>
      </c>
      <c r="R363" s="625">
        <f t="array" ref="R363">IFERROR(INDEX('TB-EQUIPMENT &amp; OTHER HPs'!$Q$138:$Q$175,MATCH($E363&amp;$F363,'TB-EQUIPMENT &amp; OTHER HPs'!$E$138:$E$175&amp;'TB-EQUIPMENT &amp; OTHER HPs'!$I$138:$I$175,0)),0)</f>
        <v>0</v>
      </c>
      <c r="S363" s="626">
        <f t="shared" si="402"/>
        <v>0</v>
      </c>
      <c r="T363" s="626">
        <f t="shared" si="403"/>
        <v>0</v>
      </c>
      <c r="U363" s="626">
        <f t="shared" si="404"/>
        <v>0</v>
      </c>
      <c r="V363" s="625">
        <f t="array" ref="V363">IFERROR(INDEX('TB-EQUIPMENT &amp; OTHER HPs'!$R$138:$R$175,MATCH($E363&amp;$F363,'TB-EQUIPMENT &amp; OTHER HPs'!$E$138:$E$175&amp;'TB-EQUIPMENT &amp; OTHER HPs'!$I$138:$I$175,0)),0)</f>
        <v>0</v>
      </c>
      <c r="W363" s="626">
        <f t="shared" si="405"/>
        <v>0</v>
      </c>
      <c r="X363" s="626">
        <f t="shared" si="406"/>
        <v>0</v>
      </c>
      <c r="Y363" s="626">
        <f t="shared" si="407"/>
        <v>0</v>
      </c>
      <c r="AA363" s="625">
        <f t="array" ref="AA363">IFERROR(INDEX('TB-EQUIPMENT &amp; OTHER HPs'!$U$138:$U$175,MATCH($E363&amp;$F363,'TB-EQUIPMENT &amp; OTHER HPs'!$E$138:$E$175&amp;'TB-EQUIPMENT &amp; OTHER HPs'!$I$138:$I$175,0)),0)</f>
        <v>0</v>
      </c>
      <c r="AB363" s="625">
        <f t="array" ref="AB363">IFERROR(INDEX('TB-EQUIPMENT &amp; OTHER HPs'!$V$138:$V$175,MATCH($E363&amp;$F363,'TB-EQUIPMENT &amp; OTHER HPs'!$E$138:$E$175&amp;'TB-EQUIPMENT &amp; OTHER HPs'!$I$138:$I$175,0)),0)</f>
        <v>0</v>
      </c>
      <c r="AC363" s="626">
        <f t="shared" si="408"/>
        <v>0</v>
      </c>
      <c r="AD363" s="626">
        <f t="shared" si="409"/>
        <v>0</v>
      </c>
      <c r="AE363" s="626">
        <f t="shared" si="410"/>
        <v>0</v>
      </c>
      <c r="AF363" s="625">
        <f t="array" ref="AF363">IFERROR(INDEX('TB-EQUIPMENT &amp; OTHER HPs'!$W$138:$W$175,MATCH($E363&amp;$F363,'TB-EQUIPMENT &amp; OTHER HPs'!$E$138:$E$175&amp;'TB-EQUIPMENT &amp; OTHER HPs'!$I$138:$I$175,0)),0)</f>
        <v>0</v>
      </c>
      <c r="AG363" s="626">
        <f t="shared" si="411"/>
        <v>0</v>
      </c>
      <c r="AH363" s="626">
        <f t="shared" si="412"/>
        <v>0</v>
      </c>
      <c r="AI363" s="626">
        <f t="shared" si="413"/>
        <v>0</v>
      </c>
      <c r="AJ363" s="625">
        <f t="array" ref="AJ363">IFERROR(INDEX('TB-EQUIPMENT &amp; OTHER HPs'!$X$138:$X$175,MATCH($E363&amp;$F363,'TB-EQUIPMENT &amp; OTHER HPs'!$E$138:$E$175&amp;'TB-EQUIPMENT &amp; OTHER HPs'!$I$138:$I$175,0)),0)</f>
        <v>0</v>
      </c>
      <c r="AK363" s="626">
        <f t="shared" si="414"/>
        <v>0</v>
      </c>
      <c r="AL363" s="626">
        <f t="shared" si="415"/>
        <v>0</v>
      </c>
      <c r="AM363" s="626">
        <f t="shared" si="416"/>
        <v>0</v>
      </c>
      <c r="AN363" s="625">
        <f t="array" ref="AN363">IFERROR(INDEX('TB-EQUIPMENT &amp; OTHER HPs'!$Y$138:$Y$175,MATCH($E363&amp;$F363,'TB-EQUIPMENT &amp; OTHER HPs'!$E$138:$E$175&amp;'TB-EQUIPMENT &amp; OTHER HPs'!$I$138:$I$175,0)),0)</f>
        <v>0</v>
      </c>
      <c r="AO363" s="626">
        <f t="shared" si="417"/>
        <v>0</v>
      </c>
      <c r="AP363" s="626">
        <f t="shared" si="418"/>
        <v>0</v>
      </c>
      <c r="AQ363" s="626">
        <f t="shared" si="419"/>
        <v>0</v>
      </c>
      <c r="AR363" s="630"/>
      <c r="AS363" s="625">
        <f t="array" ref="AS363">IFERROR(INDEX('TB-EQUIPMENT &amp; OTHER HPs'!$AB$138:$AB$175,MATCH($E363&amp;$F363,'TB-EQUIPMENT &amp; OTHER HPs'!$E$138:$E$175&amp;'TB-EQUIPMENT &amp; OTHER HPs'!$I$138:$I$175,0)),0)</f>
        <v>0</v>
      </c>
      <c r="AT363" s="625">
        <f t="array" ref="AT363">IFERROR(INDEX('TB-EQUIPMENT &amp; OTHER HPs'!$AC$138:$AC$175,MATCH($E363&amp;$F363,'TB-EQUIPMENT &amp; OTHER HPs'!$E$138:$E$175&amp;'TB-EQUIPMENT &amp; OTHER HPs'!$I$138:$I$175,0)),0)</f>
        <v>0</v>
      </c>
      <c r="AU363" s="626">
        <f t="shared" si="420"/>
        <v>0</v>
      </c>
      <c r="AV363" s="626">
        <f t="shared" si="421"/>
        <v>0</v>
      </c>
      <c r="AW363" s="626">
        <f t="shared" si="422"/>
        <v>0</v>
      </c>
      <c r="AX363" s="625">
        <f t="array" ref="AX363">IFERROR(INDEX('TB-EQUIPMENT &amp; OTHER HPs'!$AD$138:$AD$175,MATCH($E363&amp;$F363,'TB-EQUIPMENT &amp; OTHER HPs'!$E$138:$E$175&amp;'TB-EQUIPMENT &amp; OTHER HPs'!$I$138:$I$175,0)),0)</f>
        <v>0</v>
      </c>
      <c r="AY363" s="626">
        <f t="shared" si="423"/>
        <v>0</v>
      </c>
      <c r="AZ363" s="626">
        <f t="shared" si="424"/>
        <v>0</v>
      </c>
      <c r="BA363" s="626">
        <f t="shared" si="425"/>
        <v>0</v>
      </c>
      <c r="BB363" s="625">
        <f t="array" ref="BB363">IFERROR(INDEX('TB-EQUIPMENT &amp; OTHER HPs'!$AE$138:$AE$175,MATCH($E363&amp;$F363,'TB-EQUIPMENT &amp; OTHER HPs'!$E$138:$E$175&amp;'TB-EQUIPMENT &amp; OTHER HPs'!$I$138:$I$175,0)),0)</f>
        <v>0</v>
      </c>
      <c r="BC363" s="626">
        <f t="shared" si="426"/>
        <v>0</v>
      </c>
      <c r="BD363" s="626">
        <f t="shared" si="427"/>
        <v>0</v>
      </c>
      <c r="BE363" s="626">
        <f t="shared" si="428"/>
        <v>0</v>
      </c>
      <c r="BF363" s="625">
        <f t="array" ref="BF363">IFERROR(INDEX('TB-EQUIPMENT &amp; OTHER HPs'!$AF$138:$AF$175,MATCH($E363&amp;$F363,'TB-EQUIPMENT &amp; OTHER HPs'!$E$138:$E$175&amp;'TB-EQUIPMENT &amp; OTHER HPs'!$I$138:$I$175,0)),0)</f>
        <v>0</v>
      </c>
      <c r="BG363" s="626">
        <f t="shared" si="429"/>
        <v>0</v>
      </c>
      <c r="BH363" s="626">
        <f t="shared" si="430"/>
        <v>0</v>
      </c>
      <c r="BI363" s="626">
        <f t="shared" si="431"/>
        <v>0</v>
      </c>
      <c r="BJ363" s="630"/>
      <c r="BK363" s="625"/>
      <c r="BL363" s="625"/>
      <c r="BM363" s="625"/>
      <c r="BN363" s="625"/>
      <c r="BO363" s="625"/>
      <c r="BP363" s="625"/>
      <c r="BQ363" s="625"/>
      <c r="BR363" s="625"/>
    </row>
    <row r="364" spans="1:70">
      <c r="A364" s="29" t="s">
        <v>1755</v>
      </c>
      <c r="B364" s="29" t="s">
        <v>1838</v>
      </c>
      <c r="C364" s="619">
        <f>SETUP!$F$44</f>
        <v>0</v>
      </c>
      <c r="D364" s="25">
        <v>5.4</v>
      </c>
      <c r="E364" s="26" t="s">
        <v>205</v>
      </c>
      <c r="F364" s="26" t="s">
        <v>1512</v>
      </c>
      <c r="G364" s="625" t="str">
        <f t="array" ref="G364">IFERROR(INDEX('TB-EQUIPMENT &amp; OTHER HPs'!$L$138:$L$175,MATCH($E364&amp;$F364,'TB-EQUIPMENT &amp; OTHER HPs'!$E$138:$E$175&amp;'TB-EQUIPMENT &amp; OTHER HPs'!$I$138:$I$175,0)),"")</f>
        <v/>
      </c>
      <c r="H364" s="625" t="str">
        <f t="array" ref="H364">IFERROR(INDEX('TB-EQUIPMENT &amp; OTHER HPs'!$M$138:$M$175,MATCH($E364&amp;$F364,'TB-EQUIPMENT &amp; OTHER HPs'!$E$138:$E$175&amp;'TB-EQUIPMENT &amp; OTHER HPs'!$I$138:$I$175,0)),"")</f>
        <v/>
      </c>
      <c r="I364" s="625">
        <f t="array" ref="I364">IFERROR(INDEX('TB-EQUIPMENT &amp; OTHER HPs'!$N$138:$N$175,MATCH($E364&amp;$F364,'TB-EQUIPMENT &amp; OTHER HPs'!$E$138:$E$175&amp;'TB-EQUIPMENT &amp; OTHER HPs'!$I$138:$I$175,0)),0)</f>
        <v>0</v>
      </c>
      <c r="J364" s="625">
        <f t="array" ref="J364">IFERROR(INDEX('TB-EQUIPMENT &amp; OTHER HPs'!$O$138:$O$175,MATCH($E364&amp;$F364,'TB-EQUIPMENT &amp; OTHER HPs'!$E$138:$E$175&amp;'TB-EQUIPMENT &amp; OTHER HPs'!$I$138:$I$175,0)),0)</f>
        <v>0</v>
      </c>
      <c r="K364" s="626">
        <f t="shared" si="396"/>
        <v>0</v>
      </c>
      <c r="L364" s="626">
        <f t="shared" si="397"/>
        <v>0</v>
      </c>
      <c r="M364" s="626">
        <f t="shared" si="398"/>
        <v>0</v>
      </c>
      <c r="N364" s="625">
        <f t="array" ref="N364">IFERROR(INDEX('TB-EQUIPMENT &amp; OTHER HPs'!$P$138:$P$175,MATCH($E364&amp;$F364,'TB-EQUIPMENT &amp; OTHER HPs'!$E$138:$E$175&amp;'TB-EQUIPMENT &amp; OTHER HPs'!$I$138:$I$175,0)),0)</f>
        <v>0</v>
      </c>
      <c r="O364" s="626">
        <f t="shared" si="399"/>
        <v>0</v>
      </c>
      <c r="P364" s="626">
        <f t="shared" si="400"/>
        <v>0</v>
      </c>
      <c r="Q364" s="626">
        <f t="shared" si="401"/>
        <v>0</v>
      </c>
      <c r="R364" s="625">
        <f t="array" ref="R364">IFERROR(INDEX('TB-EQUIPMENT &amp; OTHER HPs'!$Q$138:$Q$175,MATCH($E364&amp;$F364,'TB-EQUIPMENT &amp; OTHER HPs'!$E$138:$E$175&amp;'TB-EQUIPMENT &amp; OTHER HPs'!$I$138:$I$175,0)),0)</f>
        <v>0</v>
      </c>
      <c r="S364" s="626">
        <f t="shared" si="402"/>
        <v>0</v>
      </c>
      <c r="T364" s="626">
        <f t="shared" si="403"/>
        <v>0</v>
      </c>
      <c r="U364" s="626">
        <f t="shared" si="404"/>
        <v>0</v>
      </c>
      <c r="V364" s="625">
        <f t="array" ref="V364">IFERROR(INDEX('TB-EQUIPMENT &amp; OTHER HPs'!$R$138:$R$175,MATCH($E364&amp;$F364,'TB-EQUIPMENT &amp; OTHER HPs'!$E$138:$E$175&amp;'TB-EQUIPMENT &amp; OTHER HPs'!$I$138:$I$175,0)),0)</f>
        <v>0</v>
      </c>
      <c r="W364" s="626">
        <f t="shared" si="405"/>
        <v>0</v>
      </c>
      <c r="X364" s="626">
        <f t="shared" si="406"/>
        <v>0</v>
      </c>
      <c r="Y364" s="626">
        <f t="shared" si="407"/>
        <v>0</v>
      </c>
      <c r="AA364" s="625">
        <f t="array" ref="AA364">IFERROR(INDEX('TB-EQUIPMENT &amp; OTHER HPs'!$U$138:$U$175,MATCH($E364&amp;$F364,'TB-EQUIPMENT &amp; OTHER HPs'!$E$138:$E$175&amp;'TB-EQUIPMENT &amp; OTHER HPs'!$I$138:$I$175,0)),0)</f>
        <v>0</v>
      </c>
      <c r="AB364" s="625">
        <f t="array" ref="AB364">IFERROR(INDEX('TB-EQUIPMENT &amp; OTHER HPs'!$V$138:$V$175,MATCH($E364&amp;$F364,'TB-EQUIPMENT &amp; OTHER HPs'!$E$138:$E$175&amp;'TB-EQUIPMENT &amp; OTHER HPs'!$I$138:$I$175,0)),0)</f>
        <v>0</v>
      </c>
      <c r="AC364" s="626">
        <f t="shared" si="408"/>
        <v>0</v>
      </c>
      <c r="AD364" s="626">
        <f t="shared" si="409"/>
        <v>0</v>
      </c>
      <c r="AE364" s="626">
        <f t="shared" si="410"/>
        <v>0</v>
      </c>
      <c r="AF364" s="625">
        <f t="array" ref="AF364">IFERROR(INDEX('TB-EQUIPMENT &amp; OTHER HPs'!$W$138:$W$175,MATCH($E364&amp;$F364,'TB-EQUIPMENT &amp; OTHER HPs'!$E$138:$E$175&amp;'TB-EQUIPMENT &amp; OTHER HPs'!$I$138:$I$175,0)),0)</f>
        <v>0</v>
      </c>
      <c r="AG364" s="626">
        <f t="shared" si="411"/>
        <v>0</v>
      </c>
      <c r="AH364" s="626">
        <f t="shared" si="412"/>
        <v>0</v>
      </c>
      <c r="AI364" s="626">
        <f t="shared" si="413"/>
        <v>0</v>
      </c>
      <c r="AJ364" s="625">
        <f t="array" ref="AJ364">IFERROR(INDEX('TB-EQUIPMENT &amp; OTHER HPs'!$X$138:$X$175,MATCH($E364&amp;$F364,'TB-EQUIPMENT &amp; OTHER HPs'!$E$138:$E$175&amp;'TB-EQUIPMENT &amp; OTHER HPs'!$I$138:$I$175,0)),0)</f>
        <v>0</v>
      </c>
      <c r="AK364" s="626">
        <f t="shared" si="414"/>
        <v>0</v>
      </c>
      <c r="AL364" s="626">
        <f t="shared" si="415"/>
        <v>0</v>
      </c>
      <c r="AM364" s="626">
        <f t="shared" si="416"/>
        <v>0</v>
      </c>
      <c r="AN364" s="625">
        <f t="array" ref="AN364">IFERROR(INDEX('TB-EQUIPMENT &amp; OTHER HPs'!$Y$138:$Y$175,MATCH($E364&amp;$F364,'TB-EQUIPMENT &amp; OTHER HPs'!$E$138:$E$175&amp;'TB-EQUIPMENT &amp; OTHER HPs'!$I$138:$I$175,0)),0)</f>
        <v>0</v>
      </c>
      <c r="AO364" s="626">
        <f t="shared" si="417"/>
        <v>0</v>
      </c>
      <c r="AP364" s="626">
        <f t="shared" si="418"/>
        <v>0</v>
      </c>
      <c r="AQ364" s="626">
        <f t="shared" si="419"/>
        <v>0</v>
      </c>
      <c r="AR364" s="630"/>
      <c r="AS364" s="625">
        <f t="array" ref="AS364">IFERROR(INDEX('TB-EQUIPMENT &amp; OTHER HPs'!$AB$138:$AB$175,MATCH($E364&amp;$F364,'TB-EQUIPMENT &amp; OTHER HPs'!$E$138:$E$175&amp;'TB-EQUIPMENT &amp; OTHER HPs'!$I$138:$I$175,0)),0)</f>
        <v>0</v>
      </c>
      <c r="AT364" s="625">
        <f t="array" ref="AT364">IFERROR(INDEX('TB-EQUIPMENT &amp; OTHER HPs'!$AC$138:$AC$175,MATCH($E364&amp;$F364,'TB-EQUIPMENT &amp; OTHER HPs'!$E$138:$E$175&amp;'TB-EQUIPMENT &amp; OTHER HPs'!$I$138:$I$175,0)),0)</f>
        <v>0</v>
      </c>
      <c r="AU364" s="626">
        <f t="shared" si="420"/>
        <v>0</v>
      </c>
      <c r="AV364" s="626">
        <f t="shared" si="421"/>
        <v>0</v>
      </c>
      <c r="AW364" s="626">
        <f t="shared" si="422"/>
        <v>0</v>
      </c>
      <c r="AX364" s="625">
        <f t="array" ref="AX364">IFERROR(INDEX('TB-EQUIPMENT &amp; OTHER HPs'!$AD$138:$AD$175,MATCH($E364&amp;$F364,'TB-EQUIPMENT &amp; OTHER HPs'!$E$138:$E$175&amp;'TB-EQUIPMENT &amp; OTHER HPs'!$I$138:$I$175,0)),0)</f>
        <v>0</v>
      </c>
      <c r="AY364" s="626">
        <f t="shared" si="423"/>
        <v>0</v>
      </c>
      <c r="AZ364" s="626">
        <f t="shared" si="424"/>
        <v>0</v>
      </c>
      <c r="BA364" s="626">
        <f t="shared" si="425"/>
        <v>0</v>
      </c>
      <c r="BB364" s="625">
        <f t="array" ref="BB364">IFERROR(INDEX('TB-EQUIPMENT &amp; OTHER HPs'!$AE$138:$AE$175,MATCH($E364&amp;$F364,'TB-EQUIPMENT &amp; OTHER HPs'!$E$138:$E$175&amp;'TB-EQUIPMENT &amp; OTHER HPs'!$I$138:$I$175,0)),0)</f>
        <v>0</v>
      </c>
      <c r="BC364" s="626">
        <f t="shared" si="426"/>
        <v>0</v>
      </c>
      <c r="BD364" s="626">
        <f t="shared" si="427"/>
        <v>0</v>
      </c>
      <c r="BE364" s="626">
        <f t="shared" si="428"/>
        <v>0</v>
      </c>
      <c r="BF364" s="625">
        <f t="array" ref="BF364">IFERROR(INDEX('TB-EQUIPMENT &amp; OTHER HPs'!$AF$138:$AF$175,MATCH($E364&amp;$F364,'TB-EQUIPMENT &amp; OTHER HPs'!$E$138:$E$175&amp;'TB-EQUIPMENT &amp; OTHER HPs'!$I$138:$I$175,0)),0)</f>
        <v>0</v>
      </c>
      <c r="BG364" s="626">
        <f t="shared" si="429"/>
        <v>0</v>
      </c>
      <c r="BH364" s="626">
        <f t="shared" si="430"/>
        <v>0</v>
      </c>
      <c r="BI364" s="626">
        <f t="shared" si="431"/>
        <v>0</v>
      </c>
      <c r="BJ364" s="630"/>
      <c r="BK364" s="625"/>
      <c r="BL364" s="625"/>
      <c r="BM364" s="625"/>
      <c r="BN364" s="625"/>
      <c r="BO364" s="625"/>
      <c r="BP364" s="625"/>
      <c r="BQ364" s="625"/>
      <c r="BR364" s="625"/>
    </row>
    <row r="365" spans="1:70">
      <c r="A365" s="29" t="s">
        <v>1755</v>
      </c>
      <c r="B365" s="29" t="s">
        <v>1838</v>
      </c>
      <c r="C365" s="619">
        <f>SETUP!$F$44</f>
        <v>0</v>
      </c>
      <c r="D365" s="25">
        <v>5.4</v>
      </c>
      <c r="E365" s="26" t="s">
        <v>205</v>
      </c>
      <c r="F365" s="26" t="s">
        <v>1513</v>
      </c>
      <c r="G365" s="625" t="str">
        <f t="array" ref="G365">IFERROR(INDEX('TB-EQUIPMENT &amp; OTHER HPs'!$L$138:$L$175,MATCH($E365&amp;$F365,'TB-EQUIPMENT &amp; OTHER HPs'!$E$138:$E$175&amp;'TB-EQUIPMENT &amp; OTHER HPs'!$I$138:$I$175,0)),"")</f>
        <v/>
      </c>
      <c r="H365" s="625" t="str">
        <f t="array" ref="H365">IFERROR(INDEX('TB-EQUIPMENT &amp; OTHER HPs'!$M$138:$M$175,MATCH($E365&amp;$F365,'TB-EQUIPMENT &amp; OTHER HPs'!$E$138:$E$175&amp;'TB-EQUIPMENT &amp; OTHER HPs'!$I$138:$I$175,0)),"")</f>
        <v/>
      </c>
      <c r="I365" s="625">
        <f t="array" ref="I365">IFERROR(INDEX('TB-EQUIPMENT &amp; OTHER HPs'!$N$138:$N$175,MATCH($E365&amp;$F365,'TB-EQUIPMENT &amp; OTHER HPs'!$E$138:$E$175&amp;'TB-EQUIPMENT &amp; OTHER HPs'!$I$138:$I$175,0)),0)</f>
        <v>0</v>
      </c>
      <c r="J365" s="625">
        <f t="array" ref="J365">IFERROR(INDEX('TB-EQUIPMENT &amp; OTHER HPs'!$O$138:$O$175,MATCH($E365&amp;$F365,'TB-EQUIPMENT &amp; OTHER HPs'!$E$138:$E$175&amp;'TB-EQUIPMENT &amp; OTHER HPs'!$I$138:$I$175,0)),0)</f>
        <v>0</v>
      </c>
      <c r="K365" s="626">
        <f t="shared" si="396"/>
        <v>0</v>
      </c>
      <c r="L365" s="626">
        <f t="shared" si="397"/>
        <v>0</v>
      </c>
      <c r="M365" s="626">
        <f t="shared" si="398"/>
        <v>0</v>
      </c>
      <c r="N365" s="625">
        <f t="array" ref="N365">IFERROR(INDEX('TB-EQUIPMENT &amp; OTHER HPs'!$P$138:$P$175,MATCH($E365&amp;$F365,'TB-EQUIPMENT &amp; OTHER HPs'!$E$138:$E$175&amp;'TB-EQUIPMENT &amp; OTHER HPs'!$I$138:$I$175,0)),0)</f>
        <v>0</v>
      </c>
      <c r="O365" s="626">
        <f t="shared" si="399"/>
        <v>0</v>
      </c>
      <c r="P365" s="626">
        <f t="shared" si="400"/>
        <v>0</v>
      </c>
      <c r="Q365" s="626">
        <f t="shared" si="401"/>
        <v>0</v>
      </c>
      <c r="R365" s="625">
        <f t="array" ref="R365">IFERROR(INDEX('TB-EQUIPMENT &amp; OTHER HPs'!$Q$138:$Q$175,MATCH($E365&amp;$F365,'TB-EQUIPMENT &amp; OTHER HPs'!$E$138:$E$175&amp;'TB-EQUIPMENT &amp; OTHER HPs'!$I$138:$I$175,0)),0)</f>
        <v>0</v>
      </c>
      <c r="S365" s="626">
        <f t="shared" si="402"/>
        <v>0</v>
      </c>
      <c r="T365" s="626">
        <f t="shared" si="403"/>
        <v>0</v>
      </c>
      <c r="U365" s="626">
        <f t="shared" si="404"/>
        <v>0</v>
      </c>
      <c r="V365" s="625">
        <f t="array" ref="V365">IFERROR(INDEX('TB-EQUIPMENT &amp; OTHER HPs'!$R$138:$R$175,MATCH($E365&amp;$F365,'TB-EQUIPMENT &amp; OTHER HPs'!$E$138:$E$175&amp;'TB-EQUIPMENT &amp; OTHER HPs'!$I$138:$I$175,0)),0)</f>
        <v>0</v>
      </c>
      <c r="W365" s="626">
        <f t="shared" si="405"/>
        <v>0</v>
      </c>
      <c r="X365" s="626">
        <f t="shared" si="406"/>
        <v>0</v>
      </c>
      <c r="Y365" s="626">
        <f t="shared" si="407"/>
        <v>0</v>
      </c>
      <c r="AA365" s="625">
        <f t="array" ref="AA365">IFERROR(INDEX('TB-EQUIPMENT &amp; OTHER HPs'!$U$138:$U$175,MATCH($E365&amp;$F365,'TB-EQUIPMENT &amp; OTHER HPs'!$E$138:$E$175&amp;'TB-EQUIPMENT &amp; OTHER HPs'!$I$138:$I$175,0)),0)</f>
        <v>0</v>
      </c>
      <c r="AB365" s="625">
        <f t="array" ref="AB365">IFERROR(INDEX('TB-EQUIPMENT &amp; OTHER HPs'!$V$138:$V$175,MATCH($E365&amp;$F365,'TB-EQUIPMENT &amp; OTHER HPs'!$E$138:$E$175&amp;'TB-EQUIPMENT &amp; OTHER HPs'!$I$138:$I$175,0)),0)</f>
        <v>0</v>
      </c>
      <c r="AC365" s="626">
        <f t="shared" si="408"/>
        <v>0</v>
      </c>
      <c r="AD365" s="626">
        <f t="shared" si="409"/>
        <v>0</v>
      </c>
      <c r="AE365" s="626">
        <f t="shared" si="410"/>
        <v>0</v>
      </c>
      <c r="AF365" s="625">
        <f t="array" ref="AF365">IFERROR(INDEX('TB-EQUIPMENT &amp; OTHER HPs'!$W$138:$W$175,MATCH($E365&amp;$F365,'TB-EQUIPMENT &amp; OTHER HPs'!$E$138:$E$175&amp;'TB-EQUIPMENT &amp; OTHER HPs'!$I$138:$I$175,0)),0)</f>
        <v>0</v>
      </c>
      <c r="AG365" s="626">
        <f t="shared" si="411"/>
        <v>0</v>
      </c>
      <c r="AH365" s="626">
        <f t="shared" si="412"/>
        <v>0</v>
      </c>
      <c r="AI365" s="626">
        <f t="shared" si="413"/>
        <v>0</v>
      </c>
      <c r="AJ365" s="625">
        <f t="array" ref="AJ365">IFERROR(INDEX('TB-EQUIPMENT &amp; OTHER HPs'!$X$138:$X$175,MATCH($E365&amp;$F365,'TB-EQUIPMENT &amp; OTHER HPs'!$E$138:$E$175&amp;'TB-EQUIPMENT &amp; OTHER HPs'!$I$138:$I$175,0)),0)</f>
        <v>0</v>
      </c>
      <c r="AK365" s="626">
        <f t="shared" si="414"/>
        <v>0</v>
      </c>
      <c r="AL365" s="626">
        <f t="shared" si="415"/>
        <v>0</v>
      </c>
      <c r="AM365" s="626">
        <f t="shared" si="416"/>
        <v>0</v>
      </c>
      <c r="AN365" s="625">
        <f t="array" ref="AN365">IFERROR(INDEX('TB-EQUIPMENT &amp; OTHER HPs'!$Y$138:$Y$175,MATCH($E365&amp;$F365,'TB-EQUIPMENT &amp; OTHER HPs'!$E$138:$E$175&amp;'TB-EQUIPMENT &amp; OTHER HPs'!$I$138:$I$175,0)),0)</f>
        <v>0</v>
      </c>
      <c r="AO365" s="626">
        <f t="shared" si="417"/>
        <v>0</v>
      </c>
      <c r="AP365" s="626">
        <f t="shared" si="418"/>
        <v>0</v>
      </c>
      <c r="AQ365" s="626">
        <f t="shared" si="419"/>
        <v>0</v>
      </c>
      <c r="AR365" s="630"/>
      <c r="AS365" s="625">
        <f t="array" ref="AS365">IFERROR(INDEX('TB-EQUIPMENT &amp; OTHER HPs'!$AB$138:$AB$175,MATCH($E365&amp;$F365,'TB-EQUIPMENT &amp; OTHER HPs'!$E$138:$E$175&amp;'TB-EQUIPMENT &amp; OTHER HPs'!$I$138:$I$175,0)),0)</f>
        <v>0</v>
      </c>
      <c r="AT365" s="625">
        <f t="array" ref="AT365">IFERROR(INDEX('TB-EQUIPMENT &amp; OTHER HPs'!$AC$138:$AC$175,MATCH($E365&amp;$F365,'TB-EQUIPMENT &amp; OTHER HPs'!$E$138:$E$175&amp;'TB-EQUIPMENT &amp; OTHER HPs'!$I$138:$I$175,0)),0)</f>
        <v>0</v>
      </c>
      <c r="AU365" s="626">
        <f t="shared" si="420"/>
        <v>0</v>
      </c>
      <c r="AV365" s="626">
        <f t="shared" si="421"/>
        <v>0</v>
      </c>
      <c r="AW365" s="626">
        <f t="shared" si="422"/>
        <v>0</v>
      </c>
      <c r="AX365" s="625">
        <f t="array" ref="AX365">IFERROR(INDEX('TB-EQUIPMENT &amp; OTHER HPs'!$AD$138:$AD$175,MATCH($E365&amp;$F365,'TB-EQUIPMENT &amp; OTHER HPs'!$E$138:$E$175&amp;'TB-EQUIPMENT &amp; OTHER HPs'!$I$138:$I$175,0)),0)</f>
        <v>0</v>
      </c>
      <c r="AY365" s="626">
        <f t="shared" si="423"/>
        <v>0</v>
      </c>
      <c r="AZ365" s="626">
        <f t="shared" si="424"/>
        <v>0</v>
      </c>
      <c r="BA365" s="626">
        <f t="shared" si="425"/>
        <v>0</v>
      </c>
      <c r="BB365" s="625">
        <f t="array" ref="BB365">IFERROR(INDEX('TB-EQUIPMENT &amp; OTHER HPs'!$AE$138:$AE$175,MATCH($E365&amp;$F365,'TB-EQUIPMENT &amp; OTHER HPs'!$E$138:$E$175&amp;'TB-EQUIPMENT &amp; OTHER HPs'!$I$138:$I$175,0)),0)</f>
        <v>0</v>
      </c>
      <c r="BC365" s="626">
        <f t="shared" si="426"/>
        <v>0</v>
      </c>
      <c r="BD365" s="626">
        <f t="shared" si="427"/>
        <v>0</v>
      </c>
      <c r="BE365" s="626">
        <f t="shared" si="428"/>
        <v>0</v>
      </c>
      <c r="BF365" s="625">
        <f t="array" ref="BF365">IFERROR(INDEX('TB-EQUIPMENT &amp; OTHER HPs'!$AF$138:$AF$175,MATCH($E365&amp;$F365,'TB-EQUIPMENT &amp; OTHER HPs'!$E$138:$E$175&amp;'TB-EQUIPMENT &amp; OTHER HPs'!$I$138:$I$175,0)),0)</f>
        <v>0</v>
      </c>
      <c r="BG365" s="626">
        <f t="shared" si="429"/>
        <v>0</v>
      </c>
      <c r="BH365" s="626">
        <f t="shared" si="430"/>
        <v>0</v>
      </c>
      <c r="BI365" s="626">
        <f t="shared" si="431"/>
        <v>0</v>
      </c>
      <c r="BJ365" s="630"/>
      <c r="BK365" s="625"/>
      <c r="BL365" s="625"/>
      <c r="BM365" s="625"/>
      <c r="BN365" s="625"/>
      <c r="BO365" s="625"/>
      <c r="BP365" s="625"/>
      <c r="BQ365" s="625"/>
      <c r="BR365" s="625"/>
    </row>
    <row r="366" spans="1:70">
      <c r="A366" s="29" t="s">
        <v>1755</v>
      </c>
      <c r="B366" s="29" t="s">
        <v>1838</v>
      </c>
      <c r="C366" s="619">
        <f>SETUP!$F$44</f>
        <v>0</v>
      </c>
      <c r="D366" s="25">
        <v>5.4</v>
      </c>
      <c r="E366" s="26" t="s">
        <v>205</v>
      </c>
      <c r="F366" s="26" t="s">
        <v>1514</v>
      </c>
      <c r="G366" s="625" t="str">
        <f t="array" ref="G366">IFERROR(INDEX('TB-EQUIPMENT &amp; OTHER HPs'!$L$138:$L$175,MATCH($E366&amp;$F366,'TB-EQUIPMENT &amp; OTHER HPs'!$E$138:$E$175&amp;'TB-EQUIPMENT &amp; OTHER HPs'!$I$138:$I$175,0)),"")</f>
        <v/>
      </c>
      <c r="H366" s="625" t="str">
        <f t="array" ref="H366">IFERROR(INDEX('TB-EQUIPMENT &amp; OTHER HPs'!$M$138:$M$175,MATCH($E366&amp;$F366,'TB-EQUIPMENT &amp; OTHER HPs'!$E$138:$E$175&amp;'TB-EQUIPMENT &amp; OTHER HPs'!$I$138:$I$175,0)),"")</f>
        <v/>
      </c>
      <c r="I366" s="625">
        <f t="array" ref="I366">IFERROR(INDEX('TB-EQUIPMENT &amp; OTHER HPs'!$N$138:$N$175,MATCH($E366&amp;$F366,'TB-EQUIPMENT &amp; OTHER HPs'!$E$138:$E$175&amp;'TB-EQUIPMENT &amp; OTHER HPs'!$I$138:$I$175,0)),0)</f>
        <v>0</v>
      </c>
      <c r="J366" s="625">
        <f t="array" ref="J366">IFERROR(INDEX('TB-EQUIPMENT &amp; OTHER HPs'!$O$138:$O$175,MATCH($E366&amp;$F366,'TB-EQUIPMENT &amp; OTHER HPs'!$E$138:$E$175&amp;'TB-EQUIPMENT &amp; OTHER HPs'!$I$138:$I$175,0)),0)</f>
        <v>0</v>
      </c>
      <c r="K366" s="626">
        <f t="shared" si="396"/>
        <v>0</v>
      </c>
      <c r="L366" s="626">
        <f t="shared" si="397"/>
        <v>0</v>
      </c>
      <c r="M366" s="626">
        <f t="shared" si="398"/>
        <v>0</v>
      </c>
      <c r="N366" s="625">
        <f t="array" ref="N366">IFERROR(INDEX('TB-EQUIPMENT &amp; OTHER HPs'!$P$138:$P$175,MATCH($E366&amp;$F366,'TB-EQUIPMENT &amp; OTHER HPs'!$E$138:$E$175&amp;'TB-EQUIPMENT &amp; OTHER HPs'!$I$138:$I$175,0)),0)</f>
        <v>0</v>
      </c>
      <c r="O366" s="626">
        <f t="shared" si="399"/>
        <v>0</v>
      </c>
      <c r="P366" s="626">
        <f t="shared" si="400"/>
        <v>0</v>
      </c>
      <c r="Q366" s="626">
        <f t="shared" si="401"/>
        <v>0</v>
      </c>
      <c r="R366" s="625">
        <f t="array" ref="R366">IFERROR(INDEX('TB-EQUIPMENT &amp; OTHER HPs'!$Q$138:$Q$175,MATCH($E366&amp;$F366,'TB-EQUIPMENT &amp; OTHER HPs'!$E$138:$E$175&amp;'TB-EQUIPMENT &amp; OTHER HPs'!$I$138:$I$175,0)),0)</f>
        <v>0</v>
      </c>
      <c r="S366" s="626">
        <f t="shared" si="402"/>
        <v>0</v>
      </c>
      <c r="T366" s="626">
        <f t="shared" si="403"/>
        <v>0</v>
      </c>
      <c r="U366" s="626">
        <f t="shared" si="404"/>
        <v>0</v>
      </c>
      <c r="V366" s="625">
        <f t="array" ref="V366">IFERROR(INDEX('TB-EQUIPMENT &amp; OTHER HPs'!$R$138:$R$175,MATCH($E366&amp;$F366,'TB-EQUIPMENT &amp; OTHER HPs'!$E$138:$E$175&amp;'TB-EQUIPMENT &amp; OTHER HPs'!$I$138:$I$175,0)),0)</f>
        <v>0</v>
      </c>
      <c r="W366" s="626">
        <f t="shared" si="405"/>
        <v>0</v>
      </c>
      <c r="X366" s="626">
        <f t="shared" si="406"/>
        <v>0</v>
      </c>
      <c r="Y366" s="626">
        <f t="shared" si="407"/>
        <v>0</v>
      </c>
      <c r="AA366" s="625">
        <f t="array" ref="AA366">IFERROR(INDEX('TB-EQUIPMENT &amp; OTHER HPs'!$U$138:$U$175,MATCH($E366&amp;$F366,'TB-EQUIPMENT &amp; OTHER HPs'!$E$138:$E$175&amp;'TB-EQUIPMENT &amp; OTHER HPs'!$I$138:$I$175,0)),0)</f>
        <v>0</v>
      </c>
      <c r="AB366" s="625">
        <f t="array" ref="AB366">IFERROR(INDEX('TB-EQUIPMENT &amp; OTHER HPs'!$V$138:$V$175,MATCH($E366&amp;$F366,'TB-EQUIPMENT &amp; OTHER HPs'!$E$138:$E$175&amp;'TB-EQUIPMENT &amp; OTHER HPs'!$I$138:$I$175,0)),0)</f>
        <v>0</v>
      </c>
      <c r="AC366" s="626">
        <f t="shared" si="408"/>
        <v>0</v>
      </c>
      <c r="AD366" s="626">
        <f t="shared" si="409"/>
        <v>0</v>
      </c>
      <c r="AE366" s="626">
        <f t="shared" si="410"/>
        <v>0</v>
      </c>
      <c r="AF366" s="625">
        <f t="array" ref="AF366">IFERROR(INDEX('TB-EQUIPMENT &amp; OTHER HPs'!$W$138:$W$175,MATCH($E366&amp;$F366,'TB-EQUIPMENT &amp; OTHER HPs'!$E$138:$E$175&amp;'TB-EQUIPMENT &amp; OTHER HPs'!$I$138:$I$175,0)),0)</f>
        <v>0</v>
      </c>
      <c r="AG366" s="626">
        <f t="shared" si="411"/>
        <v>0</v>
      </c>
      <c r="AH366" s="626">
        <f t="shared" si="412"/>
        <v>0</v>
      </c>
      <c r="AI366" s="626">
        <f t="shared" si="413"/>
        <v>0</v>
      </c>
      <c r="AJ366" s="625">
        <f t="array" ref="AJ366">IFERROR(INDEX('TB-EQUIPMENT &amp; OTHER HPs'!$X$138:$X$175,MATCH($E366&amp;$F366,'TB-EQUIPMENT &amp; OTHER HPs'!$E$138:$E$175&amp;'TB-EQUIPMENT &amp; OTHER HPs'!$I$138:$I$175,0)),0)</f>
        <v>0</v>
      </c>
      <c r="AK366" s="626">
        <f t="shared" si="414"/>
        <v>0</v>
      </c>
      <c r="AL366" s="626">
        <f t="shared" si="415"/>
        <v>0</v>
      </c>
      <c r="AM366" s="626">
        <f t="shared" si="416"/>
        <v>0</v>
      </c>
      <c r="AN366" s="625">
        <f t="array" ref="AN366">IFERROR(INDEX('TB-EQUIPMENT &amp; OTHER HPs'!$Y$138:$Y$175,MATCH($E366&amp;$F366,'TB-EQUIPMENT &amp; OTHER HPs'!$E$138:$E$175&amp;'TB-EQUIPMENT &amp; OTHER HPs'!$I$138:$I$175,0)),0)</f>
        <v>0</v>
      </c>
      <c r="AO366" s="626">
        <f t="shared" si="417"/>
        <v>0</v>
      </c>
      <c r="AP366" s="626">
        <f t="shared" si="418"/>
        <v>0</v>
      </c>
      <c r="AQ366" s="626">
        <f t="shared" si="419"/>
        <v>0</v>
      </c>
      <c r="AR366" s="630"/>
      <c r="AS366" s="625">
        <f t="array" ref="AS366">IFERROR(INDEX('TB-EQUIPMENT &amp; OTHER HPs'!$AB$138:$AB$175,MATCH($E366&amp;$F366,'TB-EQUIPMENT &amp; OTHER HPs'!$E$138:$E$175&amp;'TB-EQUIPMENT &amp; OTHER HPs'!$I$138:$I$175,0)),0)</f>
        <v>0</v>
      </c>
      <c r="AT366" s="625">
        <f t="array" ref="AT366">IFERROR(INDEX('TB-EQUIPMENT &amp; OTHER HPs'!$AC$138:$AC$175,MATCH($E366&amp;$F366,'TB-EQUIPMENT &amp; OTHER HPs'!$E$138:$E$175&amp;'TB-EQUIPMENT &amp; OTHER HPs'!$I$138:$I$175,0)),0)</f>
        <v>0</v>
      </c>
      <c r="AU366" s="626">
        <f t="shared" si="420"/>
        <v>0</v>
      </c>
      <c r="AV366" s="626">
        <f t="shared" si="421"/>
        <v>0</v>
      </c>
      <c r="AW366" s="626">
        <f t="shared" si="422"/>
        <v>0</v>
      </c>
      <c r="AX366" s="625">
        <f t="array" ref="AX366">IFERROR(INDEX('TB-EQUIPMENT &amp; OTHER HPs'!$AD$138:$AD$175,MATCH($E366&amp;$F366,'TB-EQUIPMENT &amp; OTHER HPs'!$E$138:$E$175&amp;'TB-EQUIPMENT &amp; OTHER HPs'!$I$138:$I$175,0)),0)</f>
        <v>0</v>
      </c>
      <c r="AY366" s="626">
        <f t="shared" si="423"/>
        <v>0</v>
      </c>
      <c r="AZ366" s="626">
        <f t="shared" si="424"/>
        <v>0</v>
      </c>
      <c r="BA366" s="626">
        <f t="shared" si="425"/>
        <v>0</v>
      </c>
      <c r="BB366" s="625">
        <f t="array" ref="BB366">IFERROR(INDEX('TB-EQUIPMENT &amp; OTHER HPs'!$AE$138:$AE$175,MATCH($E366&amp;$F366,'TB-EQUIPMENT &amp; OTHER HPs'!$E$138:$E$175&amp;'TB-EQUIPMENT &amp; OTHER HPs'!$I$138:$I$175,0)),0)</f>
        <v>0</v>
      </c>
      <c r="BC366" s="626">
        <f t="shared" si="426"/>
        <v>0</v>
      </c>
      <c r="BD366" s="626">
        <f t="shared" si="427"/>
        <v>0</v>
      </c>
      <c r="BE366" s="626">
        <f t="shared" si="428"/>
        <v>0</v>
      </c>
      <c r="BF366" s="625">
        <f t="array" ref="BF366">IFERROR(INDEX('TB-EQUIPMENT &amp; OTHER HPs'!$AF$138:$AF$175,MATCH($E366&amp;$F366,'TB-EQUIPMENT &amp; OTHER HPs'!$E$138:$E$175&amp;'TB-EQUIPMENT &amp; OTHER HPs'!$I$138:$I$175,0)),0)</f>
        <v>0</v>
      </c>
      <c r="BG366" s="626">
        <f t="shared" si="429"/>
        <v>0</v>
      </c>
      <c r="BH366" s="626">
        <f t="shared" si="430"/>
        <v>0</v>
      </c>
      <c r="BI366" s="626">
        <f t="shared" si="431"/>
        <v>0</v>
      </c>
      <c r="BJ366" s="630"/>
      <c r="BK366" s="625"/>
      <c r="BL366" s="625"/>
      <c r="BM366" s="625"/>
      <c r="BN366" s="625"/>
      <c r="BO366" s="625"/>
      <c r="BP366" s="625"/>
      <c r="BQ366" s="625"/>
      <c r="BR366" s="625"/>
    </row>
    <row r="367" spans="1:70">
      <c r="A367" s="29" t="s">
        <v>1755</v>
      </c>
      <c r="B367" s="29" t="s">
        <v>1838</v>
      </c>
      <c r="C367" s="619">
        <f>SETUP!$F$44</f>
        <v>0</v>
      </c>
      <c r="D367" s="25">
        <v>5.4</v>
      </c>
      <c r="E367" s="26" t="s">
        <v>205</v>
      </c>
      <c r="F367" s="26" t="s">
        <v>1515</v>
      </c>
      <c r="G367" s="625" t="str">
        <f t="array" ref="G367">IFERROR(INDEX('TB-EQUIPMENT &amp; OTHER HPs'!$L$138:$L$175,MATCH($E367&amp;$F367,'TB-EQUIPMENT &amp; OTHER HPs'!$E$138:$E$175&amp;'TB-EQUIPMENT &amp; OTHER HPs'!$I$138:$I$175,0)),"")</f>
        <v/>
      </c>
      <c r="H367" s="625" t="str">
        <f t="array" ref="H367">IFERROR(INDEX('TB-EQUIPMENT &amp; OTHER HPs'!$M$138:$M$175,MATCH($E367&amp;$F367,'TB-EQUIPMENT &amp; OTHER HPs'!$E$138:$E$175&amp;'TB-EQUIPMENT &amp; OTHER HPs'!$I$138:$I$175,0)),"")</f>
        <v/>
      </c>
      <c r="I367" s="625">
        <f t="array" ref="I367">IFERROR(INDEX('TB-EQUIPMENT &amp; OTHER HPs'!$N$138:$N$175,MATCH($E367&amp;$F367,'TB-EQUIPMENT &amp; OTHER HPs'!$E$138:$E$175&amp;'TB-EQUIPMENT &amp; OTHER HPs'!$I$138:$I$175,0)),0)</f>
        <v>0</v>
      </c>
      <c r="J367" s="625">
        <f t="array" ref="J367">IFERROR(INDEX('TB-EQUIPMENT &amp; OTHER HPs'!$O$138:$O$175,MATCH($E367&amp;$F367,'TB-EQUIPMENT &amp; OTHER HPs'!$E$138:$E$175&amp;'TB-EQUIPMENT &amp; OTHER HPs'!$I$138:$I$175,0)),0)</f>
        <v>0</v>
      </c>
      <c r="K367" s="626">
        <f t="shared" si="396"/>
        <v>0</v>
      </c>
      <c r="L367" s="626">
        <f t="shared" si="397"/>
        <v>0</v>
      </c>
      <c r="M367" s="626">
        <f t="shared" si="398"/>
        <v>0</v>
      </c>
      <c r="N367" s="625">
        <f t="array" ref="N367">IFERROR(INDEX('TB-EQUIPMENT &amp; OTHER HPs'!$P$138:$P$175,MATCH($E367&amp;$F367,'TB-EQUIPMENT &amp; OTHER HPs'!$E$138:$E$175&amp;'TB-EQUIPMENT &amp; OTHER HPs'!$I$138:$I$175,0)),0)</f>
        <v>0</v>
      </c>
      <c r="O367" s="626">
        <f t="shared" si="399"/>
        <v>0</v>
      </c>
      <c r="P367" s="626">
        <f t="shared" si="400"/>
        <v>0</v>
      </c>
      <c r="Q367" s="626">
        <f t="shared" si="401"/>
        <v>0</v>
      </c>
      <c r="R367" s="625">
        <f t="array" ref="R367">IFERROR(INDEX('TB-EQUIPMENT &amp; OTHER HPs'!$Q$138:$Q$175,MATCH($E367&amp;$F367,'TB-EQUIPMENT &amp; OTHER HPs'!$E$138:$E$175&amp;'TB-EQUIPMENT &amp; OTHER HPs'!$I$138:$I$175,0)),0)</f>
        <v>0</v>
      </c>
      <c r="S367" s="626">
        <f t="shared" si="402"/>
        <v>0</v>
      </c>
      <c r="T367" s="626">
        <f t="shared" si="403"/>
        <v>0</v>
      </c>
      <c r="U367" s="626">
        <f t="shared" si="404"/>
        <v>0</v>
      </c>
      <c r="V367" s="625">
        <f t="array" ref="V367">IFERROR(INDEX('TB-EQUIPMENT &amp; OTHER HPs'!$R$138:$R$175,MATCH($E367&amp;$F367,'TB-EQUIPMENT &amp; OTHER HPs'!$E$138:$E$175&amp;'TB-EQUIPMENT &amp; OTHER HPs'!$I$138:$I$175,0)),0)</f>
        <v>0</v>
      </c>
      <c r="W367" s="626">
        <f t="shared" si="405"/>
        <v>0</v>
      </c>
      <c r="X367" s="626">
        <f t="shared" si="406"/>
        <v>0</v>
      </c>
      <c r="Y367" s="626">
        <f t="shared" si="407"/>
        <v>0</v>
      </c>
      <c r="AA367" s="625">
        <f t="array" ref="AA367">IFERROR(INDEX('TB-EQUIPMENT &amp; OTHER HPs'!$U$138:$U$175,MATCH($E367&amp;$F367,'TB-EQUIPMENT &amp; OTHER HPs'!$E$138:$E$175&amp;'TB-EQUIPMENT &amp; OTHER HPs'!$I$138:$I$175,0)),0)</f>
        <v>0</v>
      </c>
      <c r="AB367" s="625">
        <f t="array" ref="AB367">IFERROR(INDEX('TB-EQUIPMENT &amp; OTHER HPs'!$V$138:$V$175,MATCH($E367&amp;$F367,'TB-EQUIPMENT &amp; OTHER HPs'!$E$138:$E$175&amp;'TB-EQUIPMENT &amp; OTHER HPs'!$I$138:$I$175,0)),0)</f>
        <v>0</v>
      </c>
      <c r="AC367" s="626">
        <f t="shared" si="408"/>
        <v>0</v>
      </c>
      <c r="AD367" s="626">
        <f t="shared" si="409"/>
        <v>0</v>
      </c>
      <c r="AE367" s="626">
        <f t="shared" si="410"/>
        <v>0</v>
      </c>
      <c r="AF367" s="625">
        <f t="array" ref="AF367">IFERROR(INDEX('TB-EQUIPMENT &amp; OTHER HPs'!$W$138:$W$175,MATCH($E367&amp;$F367,'TB-EQUIPMENT &amp; OTHER HPs'!$E$138:$E$175&amp;'TB-EQUIPMENT &amp; OTHER HPs'!$I$138:$I$175,0)),0)</f>
        <v>0</v>
      </c>
      <c r="AG367" s="626">
        <f t="shared" si="411"/>
        <v>0</v>
      </c>
      <c r="AH367" s="626">
        <f t="shared" si="412"/>
        <v>0</v>
      </c>
      <c r="AI367" s="626">
        <f t="shared" si="413"/>
        <v>0</v>
      </c>
      <c r="AJ367" s="625">
        <f t="array" ref="AJ367">IFERROR(INDEX('TB-EQUIPMENT &amp; OTHER HPs'!$X$138:$X$175,MATCH($E367&amp;$F367,'TB-EQUIPMENT &amp; OTHER HPs'!$E$138:$E$175&amp;'TB-EQUIPMENT &amp; OTHER HPs'!$I$138:$I$175,0)),0)</f>
        <v>0</v>
      </c>
      <c r="AK367" s="626">
        <f t="shared" si="414"/>
        <v>0</v>
      </c>
      <c r="AL367" s="626">
        <f t="shared" si="415"/>
        <v>0</v>
      </c>
      <c r="AM367" s="626">
        <f t="shared" si="416"/>
        <v>0</v>
      </c>
      <c r="AN367" s="625">
        <f t="array" ref="AN367">IFERROR(INDEX('TB-EQUIPMENT &amp; OTHER HPs'!$Y$138:$Y$175,MATCH($E367&amp;$F367,'TB-EQUIPMENT &amp; OTHER HPs'!$E$138:$E$175&amp;'TB-EQUIPMENT &amp; OTHER HPs'!$I$138:$I$175,0)),0)</f>
        <v>0</v>
      </c>
      <c r="AO367" s="626">
        <f t="shared" si="417"/>
        <v>0</v>
      </c>
      <c r="AP367" s="626">
        <f t="shared" si="418"/>
        <v>0</v>
      </c>
      <c r="AQ367" s="626">
        <f t="shared" si="419"/>
        <v>0</v>
      </c>
      <c r="AR367" s="630"/>
      <c r="AS367" s="625">
        <f t="array" ref="AS367">IFERROR(INDEX('TB-EQUIPMENT &amp; OTHER HPs'!$AB$138:$AB$175,MATCH($E367&amp;$F367,'TB-EQUIPMENT &amp; OTHER HPs'!$E$138:$E$175&amp;'TB-EQUIPMENT &amp; OTHER HPs'!$I$138:$I$175,0)),0)</f>
        <v>0</v>
      </c>
      <c r="AT367" s="625">
        <f t="array" ref="AT367">IFERROR(INDEX('TB-EQUIPMENT &amp; OTHER HPs'!$AC$138:$AC$175,MATCH($E367&amp;$F367,'TB-EQUIPMENT &amp; OTHER HPs'!$E$138:$E$175&amp;'TB-EQUIPMENT &amp; OTHER HPs'!$I$138:$I$175,0)),0)</f>
        <v>0</v>
      </c>
      <c r="AU367" s="626">
        <f t="shared" si="420"/>
        <v>0</v>
      </c>
      <c r="AV367" s="626">
        <f t="shared" si="421"/>
        <v>0</v>
      </c>
      <c r="AW367" s="626">
        <f t="shared" si="422"/>
        <v>0</v>
      </c>
      <c r="AX367" s="625">
        <f t="array" ref="AX367">IFERROR(INDEX('TB-EQUIPMENT &amp; OTHER HPs'!$AD$138:$AD$175,MATCH($E367&amp;$F367,'TB-EQUIPMENT &amp; OTHER HPs'!$E$138:$E$175&amp;'TB-EQUIPMENT &amp; OTHER HPs'!$I$138:$I$175,0)),0)</f>
        <v>0</v>
      </c>
      <c r="AY367" s="626">
        <f t="shared" si="423"/>
        <v>0</v>
      </c>
      <c r="AZ367" s="626">
        <f t="shared" si="424"/>
        <v>0</v>
      </c>
      <c r="BA367" s="626">
        <f t="shared" si="425"/>
        <v>0</v>
      </c>
      <c r="BB367" s="625">
        <f t="array" ref="BB367">IFERROR(INDEX('TB-EQUIPMENT &amp; OTHER HPs'!$AE$138:$AE$175,MATCH($E367&amp;$F367,'TB-EQUIPMENT &amp; OTHER HPs'!$E$138:$E$175&amp;'TB-EQUIPMENT &amp; OTHER HPs'!$I$138:$I$175,0)),0)</f>
        <v>0</v>
      </c>
      <c r="BC367" s="626">
        <f t="shared" si="426"/>
        <v>0</v>
      </c>
      <c r="BD367" s="626">
        <f t="shared" si="427"/>
        <v>0</v>
      </c>
      <c r="BE367" s="626">
        <f t="shared" si="428"/>
        <v>0</v>
      </c>
      <c r="BF367" s="625">
        <f t="array" ref="BF367">IFERROR(INDEX('TB-EQUIPMENT &amp; OTHER HPs'!$AF$138:$AF$175,MATCH($E367&amp;$F367,'TB-EQUIPMENT &amp; OTHER HPs'!$E$138:$E$175&amp;'TB-EQUIPMENT &amp; OTHER HPs'!$I$138:$I$175,0)),0)</f>
        <v>0</v>
      </c>
      <c r="BG367" s="626">
        <f t="shared" si="429"/>
        <v>0</v>
      </c>
      <c r="BH367" s="626">
        <f t="shared" si="430"/>
        <v>0</v>
      </c>
      <c r="BI367" s="626">
        <f t="shared" si="431"/>
        <v>0</v>
      </c>
      <c r="BJ367" s="630"/>
      <c r="BK367" s="625"/>
      <c r="BL367" s="625"/>
      <c r="BM367" s="625"/>
      <c r="BN367" s="625"/>
      <c r="BO367" s="625"/>
      <c r="BP367" s="625"/>
      <c r="BQ367" s="625"/>
      <c r="BR367" s="625"/>
    </row>
    <row r="368" spans="1:70">
      <c r="A368" s="29" t="s">
        <v>1755</v>
      </c>
      <c r="B368" s="29" t="s">
        <v>1838</v>
      </c>
      <c r="C368" s="619">
        <f>SETUP!$F$44</f>
        <v>0</v>
      </c>
      <c r="D368" s="25">
        <v>5.4</v>
      </c>
      <c r="E368" s="26" t="s">
        <v>205</v>
      </c>
      <c r="F368" s="26" t="s">
        <v>827</v>
      </c>
      <c r="G368" s="625" t="str">
        <f t="array" ref="G368">IFERROR(INDEX('TB-EQUIPMENT &amp; OTHER HPs'!$L$138:$L$175,MATCH($E368&amp;$F368,'TB-EQUIPMENT &amp; OTHER HPs'!$E$138:$E$175&amp;'TB-EQUIPMENT &amp; OTHER HPs'!$I$138:$I$175,0)),"")</f>
        <v/>
      </c>
      <c r="H368" s="625" t="str">
        <f t="array" ref="H368">IFERROR(INDEX('TB-EQUIPMENT &amp; OTHER HPs'!$M$138:$M$175,MATCH($E368&amp;$F368,'TB-EQUIPMENT &amp; OTHER HPs'!$E$138:$E$175&amp;'TB-EQUIPMENT &amp; OTHER HPs'!$I$138:$I$175,0)),"")</f>
        <v/>
      </c>
      <c r="I368" s="625">
        <f t="array" ref="I368">IFERROR(INDEX('TB-EQUIPMENT &amp; OTHER HPs'!$N$138:$N$175,MATCH($E368&amp;$F368,'TB-EQUIPMENT &amp; OTHER HPs'!$E$138:$E$175&amp;'TB-EQUIPMENT &amp; OTHER HPs'!$I$138:$I$175,0)),0)</f>
        <v>0</v>
      </c>
      <c r="J368" s="625">
        <f t="array" ref="J368">IFERROR(INDEX('TB-EQUIPMENT &amp; OTHER HPs'!$O$138:$O$175,MATCH($E368&amp;$F368,'TB-EQUIPMENT &amp; OTHER HPs'!$E$138:$E$175&amp;'TB-EQUIPMENT &amp; OTHER HPs'!$I$138:$I$175,0)),0)</f>
        <v>0</v>
      </c>
      <c r="K368" s="626">
        <f t="shared" si="396"/>
        <v>0</v>
      </c>
      <c r="L368" s="626">
        <f t="shared" si="397"/>
        <v>0</v>
      </c>
      <c r="M368" s="626">
        <f t="shared" si="398"/>
        <v>0</v>
      </c>
      <c r="N368" s="625">
        <f t="array" ref="N368">IFERROR(INDEX('TB-EQUIPMENT &amp; OTHER HPs'!$P$138:$P$175,MATCH($E368&amp;$F368,'TB-EQUIPMENT &amp; OTHER HPs'!$E$138:$E$175&amp;'TB-EQUIPMENT &amp; OTHER HPs'!$I$138:$I$175,0)),0)</f>
        <v>0</v>
      </c>
      <c r="O368" s="626">
        <f t="shared" si="399"/>
        <v>0</v>
      </c>
      <c r="P368" s="626">
        <f t="shared" si="400"/>
        <v>0</v>
      </c>
      <c r="Q368" s="626">
        <f t="shared" si="401"/>
        <v>0</v>
      </c>
      <c r="R368" s="625">
        <f t="array" ref="R368">IFERROR(INDEX('TB-EQUIPMENT &amp; OTHER HPs'!$Q$138:$Q$175,MATCH($E368&amp;$F368,'TB-EQUIPMENT &amp; OTHER HPs'!$E$138:$E$175&amp;'TB-EQUIPMENT &amp; OTHER HPs'!$I$138:$I$175,0)),0)</f>
        <v>0</v>
      </c>
      <c r="S368" s="626">
        <f t="shared" si="402"/>
        <v>0</v>
      </c>
      <c r="T368" s="626">
        <f t="shared" si="403"/>
        <v>0</v>
      </c>
      <c r="U368" s="626">
        <f t="shared" si="404"/>
        <v>0</v>
      </c>
      <c r="V368" s="625">
        <f t="array" ref="V368">IFERROR(INDEX('TB-EQUIPMENT &amp; OTHER HPs'!$R$138:$R$175,MATCH($E368&amp;$F368,'TB-EQUIPMENT &amp; OTHER HPs'!$E$138:$E$175&amp;'TB-EQUIPMENT &amp; OTHER HPs'!$I$138:$I$175,0)),0)</f>
        <v>0</v>
      </c>
      <c r="W368" s="626">
        <f t="shared" si="405"/>
        <v>0</v>
      </c>
      <c r="X368" s="626">
        <f t="shared" si="406"/>
        <v>0</v>
      </c>
      <c r="Y368" s="626">
        <f t="shared" si="407"/>
        <v>0</v>
      </c>
      <c r="AA368" s="625">
        <f t="array" ref="AA368">IFERROR(INDEX('TB-EQUIPMENT &amp; OTHER HPs'!$U$138:$U$175,MATCH($E368&amp;$F368,'TB-EQUIPMENT &amp; OTHER HPs'!$E$138:$E$175&amp;'TB-EQUIPMENT &amp; OTHER HPs'!$I$138:$I$175,0)),0)</f>
        <v>0</v>
      </c>
      <c r="AB368" s="625">
        <f t="array" ref="AB368">IFERROR(INDEX('TB-EQUIPMENT &amp; OTHER HPs'!$V$138:$V$175,MATCH($E368&amp;$F368,'TB-EQUIPMENT &amp; OTHER HPs'!$E$138:$E$175&amp;'TB-EQUIPMENT &amp; OTHER HPs'!$I$138:$I$175,0)),0)</f>
        <v>0</v>
      </c>
      <c r="AC368" s="626">
        <f t="shared" si="408"/>
        <v>0</v>
      </c>
      <c r="AD368" s="626">
        <f t="shared" si="409"/>
        <v>0</v>
      </c>
      <c r="AE368" s="626">
        <f t="shared" si="410"/>
        <v>0</v>
      </c>
      <c r="AF368" s="625">
        <f t="array" ref="AF368">IFERROR(INDEX('TB-EQUIPMENT &amp; OTHER HPs'!$W$138:$W$175,MATCH($E368&amp;$F368,'TB-EQUIPMENT &amp; OTHER HPs'!$E$138:$E$175&amp;'TB-EQUIPMENT &amp; OTHER HPs'!$I$138:$I$175,0)),0)</f>
        <v>0</v>
      </c>
      <c r="AG368" s="626">
        <f t="shared" si="411"/>
        <v>0</v>
      </c>
      <c r="AH368" s="626">
        <f t="shared" si="412"/>
        <v>0</v>
      </c>
      <c r="AI368" s="626">
        <f t="shared" si="413"/>
        <v>0</v>
      </c>
      <c r="AJ368" s="625">
        <f t="array" ref="AJ368">IFERROR(INDEX('TB-EQUIPMENT &amp; OTHER HPs'!$X$138:$X$175,MATCH($E368&amp;$F368,'TB-EQUIPMENT &amp; OTHER HPs'!$E$138:$E$175&amp;'TB-EQUIPMENT &amp; OTHER HPs'!$I$138:$I$175,0)),0)</f>
        <v>0</v>
      </c>
      <c r="AK368" s="626">
        <f t="shared" si="414"/>
        <v>0</v>
      </c>
      <c r="AL368" s="626">
        <f t="shared" si="415"/>
        <v>0</v>
      </c>
      <c r="AM368" s="626">
        <f t="shared" si="416"/>
        <v>0</v>
      </c>
      <c r="AN368" s="625">
        <f t="array" ref="AN368">IFERROR(INDEX('TB-EQUIPMENT &amp; OTHER HPs'!$Y$138:$Y$175,MATCH($E368&amp;$F368,'TB-EQUIPMENT &amp; OTHER HPs'!$E$138:$E$175&amp;'TB-EQUIPMENT &amp; OTHER HPs'!$I$138:$I$175,0)),0)</f>
        <v>0</v>
      </c>
      <c r="AO368" s="626">
        <f t="shared" si="417"/>
        <v>0</v>
      </c>
      <c r="AP368" s="626">
        <f t="shared" si="418"/>
        <v>0</v>
      </c>
      <c r="AQ368" s="626">
        <f t="shared" si="419"/>
        <v>0</v>
      </c>
      <c r="AR368" s="630"/>
      <c r="AS368" s="625">
        <f t="array" ref="AS368">IFERROR(INDEX('TB-EQUIPMENT &amp; OTHER HPs'!$AB$138:$AB$175,MATCH($E368&amp;$F368,'TB-EQUIPMENT &amp; OTHER HPs'!$E$138:$E$175&amp;'TB-EQUIPMENT &amp; OTHER HPs'!$I$138:$I$175,0)),0)</f>
        <v>0</v>
      </c>
      <c r="AT368" s="625">
        <f t="array" ref="AT368">IFERROR(INDEX('TB-EQUIPMENT &amp; OTHER HPs'!$AC$138:$AC$175,MATCH($E368&amp;$F368,'TB-EQUIPMENT &amp; OTHER HPs'!$E$138:$E$175&amp;'TB-EQUIPMENT &amp; OTHER HPs'!$I$138:$I$175,0)),0)</f>
        <v>0</v>
      </c>
      <c r="AU368" s="626">
        <f t="shared" si="420"/>
        <v>0</v>
      </c>
      <c r="AV368" s="626">
        <f t="shared" si="421"/>
        <v>0</v>
      </c>
      <c r="AW368" s="626">
        <f t="shared" si="422"/>
        <v>0</v>
      </c>
      <c r="AX368" s="625">
        <f t="array" ref="AX368">IFERROR(INDEX('TB-EQUIPMENT &amp; OTHER HPs'!$AD$138:$AD$175,MATCH($E368&amp;$F368,'TB-EQUIPMENT &amp; OTHER HPs'!$E$138:$E$175&amp;'TB-EQUIPMENT &amp; OTHER HPs'!$I$138:$I$175,0)),0)</f>
        <v>0</v>
      </c>
      <c r="AY368" s="626">
        <f t="shared" si="423"/>
        <v>0</v>
      </c>
      <c r="AZ368" s="626">
        <f t="shared" si="424"/>
        <v>0</v>
      </c>
      <c r="BA368" s="626">
        <f t="shared" si="425"/>
        <v>0</v>
      </c>
      <c r="BB368" s="625">
        <f t="array" ref="BB368">IFERROR(INDEX('TB-EQUIPMENT &amp; OTHER HPs'!$AE$138:$AE$175,MATCH($E368&amp;$F368,'TB-EQUIPMENT &amp; OTHER HPs'!$E$138:$E$175&amp;'TB-EQUIPMENT &amp; OTHER HPs'!$I$138:$I$175,0)),0)</f>
        <v>0</v>
      </c>
      <c r="BC368" s="626">
        <f t="shared" si="426"/>
        <v>0</v>
      </c>
      <c r="BD368" s="626">
        <f t="shared" si="427"/>
        <v>0</v>
      </c>
      <c r="BE368" s="626">
        <f t="shared" si="428"/>
        <v>0</v>
      </c>
      <c r="BF368" s="625">
        <f t="array" ref="BF368">IFERROR(INDEX('TB-EQUIPMENT &amp; OTHER HPs'!$AF$138:$AF$175,MATCH($E368&amp;$F368,'TB-EQUIPMENT &amp; OTHER HPs'!$E$138:$E$175&amp;'TB-EQUIPMENT &amp; OTHER HPs'!$I$138:$I$175,0)),0)</f>
        <v>0</v>
      </c>
      <c r="BG368" s="626">
        <f t="shared" si="429"/>
        <v>0</v>
      </c>
      <c r="BH368" s="626">
        <f t="shared" si="430"/>
        <v>0</v>
      </c>
      <c r="BI368" s="626">
        <f t="shared" si="431"/>
        <v>0</v>
      </c>
      <c r="BJ368" s="630"/>
      <c r="BK368" s="625"/>
      <c r="BL368" s="625"/>
      <c r="BM368" s="625"/>
      <c r="BN368" s="625"/>
      <c r="BO368" s="625"/>
      <c r="BP368" s="625"/>
      <c r="BQ368" s="625"/>
      <c r="BR368" s="625"/>
    </row>
    <row r="369" spans="1:70">
      <c r="A369" s="29" t="s">
        <v>1755</v>
      </c>
      <c r="B369" s="29" t="s">
        <v>1838</v>
      </c>
      <c r="C369" s="619">
        <f>SETUP!$F$44</f>
        <v>0</v>
      </c>
      <c r="D369" s="25">
        <v>5.4</v>
      </c>
      <c r="E369" s="26" t="s">
        <v>205</v>
      </c>
      <c r="F369" s="26" t="s">
        <v>1516</v>
      </c>
      <c r="G369" s="625" t="str">
        <f t="array" ref="G369">IFERROR(INDEX('TB-EQUIPMENT &amp; OTHER HPs'!$L$138:$L$175,MATCH($E369&amp;$F369,'TB-EQUIPMENT &amp; OTHER HPs'!$E$138:$E$175&amp;'TB-EQUIPMENT &amp; OTHER HPs'!$I$138:$I$175,0)),"")</f>
        <v/>
      </c>
      <c r="H369" s="625" t="str">
        <f t="array" ref="H369">IFERROR(INDEX('TB-EQUIPMENT &amp; OTHER HPs'!$M$138:$M$175,MATCH($E369&amp;$F369,'TB-EQUIPMENT &amp; OTHER HPs'!$E$138:$E$175&amp;'TB-EQUIPMENT &amp; OTHER HPs'!$I$138:$I$175,0)),"")</f>
        <v/>
      </c>
      <c r="I369" s="625">
        <f t="array" ref="I369">IFERROR(INDEX('TB-EQUIPMENT &amp; OTHER HPs'!$N$138:$N$175,MATCH($E369&amp;$F369,'TB-EQUIPMENT &amp; OTHER HPs'!$E$138:$E$175&amp;'TB-EQUIPMENT &amp; OTHER HPs'!$I$138:$I$175,0)),0)</f>
        <v>0</v>
      </c>
      <c r="J369" s="625">
        <f t="array" ref="J369">IFERROR(INDEX('TB-EQUIPMENT &amp; OTHER HPs'!$O$138:$O$175,MATCH($E369&amp;$F369,'TB-EQUIPMENT &amp; OTHER HPs'!$E$138:$E$175&amp;'TB-EQUIPMENT &amp; OTHER HPs'!$I$138:$I$175,0)),0)</f>
        <v>0</v>
      </c>
      <c r="K369" s="626">
        <f t="shared" si="396"/>
        <v>0</v>
      </c>
      <c r="L369" s="626">
        <f t="shared" si="397"/>
        <v>0</v>
      </c>
      <c r="M369" s="626">
        <f t="shared" si="398"/>
        <v>0</v>
      </c>
      <c r="N369" s="625">
        <f t="array" ref="N369">IFERROR(INDEX('TB-EQUIPMENT &amp; OTHER HPs'!$P$138:$P$175,MATCH($E369&amp;$F369,'TB-EQUIPMENT &amp; OTHER HPs'!$E$138:$E$175&amp;'TB-EQUIPMENT &amp; OTHER HPs'!$I$138:$I$175,0)),0)</f>
        <v>0</v>
      </c>
      <c r="O369" s="626">
        <f t="shared" si="399"/>
        <v>0</v>
      </c>
      <c r="P369" s="626">
        <f t="shared" si="400"/>
        <v>0</v>
      </c>
      <c r="Q369" s="626">
        <f t="shared" si="401"/>
        <v>0</v>
      </c>
      <c r="R369" s="625">
        <f t="array" ref="R369">IFERROR(INDEX('TB-EQUIPMENT &amp; OTHER HPs'!$Q$138:$Q$175,MATCH($E369&amp;$F369,'TB-EQUIPMENT &amp; OTHER HPs'!$E$138:$E$175&amp;'TB-EQUIPMENT &amp; OTHER HPs'!$I$138:$I$175,0)),0)</f>
        <v>0</v>
      </c>
      <c r="S369" s="626">
        <f t="shared" si="402"/>
        <v>0</v>
      </c>
      <c r="T369" s="626">
        <f t="shared" si="403"/>
        <v>0</v>
      </c>
      <c r="U369" s="626">
        <f t="shared" si="404"/>
        <v>0</v>
      </c>
      <c r="V369" s="625">
        <f t="array" ref="V369">IFERROR(INDEX('TB-EQUIPMENT &amp; OTHER HPs'!$R$138:$R$175,MATCH($E369&amp;$F369,'TB-EQUIPMENT &amp; OTHER HPs'!$E$138:$E$175&amp;'TB-EQUIPMENT &amp; OTHER HPs'!$I$138:$I$175,0)),0)</f>
        <v>0</v>
      </c>
      <c r="W369" s="626">
        <f t="shared" si="405"/>
        <v>0</v>
      </c>
      <c r="X369" s="626">
        <f t="shared" si="406"/>
        <v>0</v>
      </c>
      <c r="Y369" s="626">
        <f t="shared" si="407"/>
        <v>0</v>
      </c>
      <c r="AA369" s="625">
        <f t="array" ref="AA369">IFERROR(INDEX('TB-EQUIPMENT &amp; OTHER HPs'!$U$138:$U$175,MATCH($E369&amp;$F369,'TB-EQUIPMENT &amp; OTHER HPs'!$E$138:$E$175&amp;'TB-EQUIPMENT &amp; OTHER HPs'!$I$138:$I$175,0)),0)</f>
        <v>0</v>
      </c>
      <c r="AB369" s="625">
        <f t="array" ref="AB369">IFERROR(INDEX('TB-EQUIPMENT &amp; OTHER HPs'!$V$138:$V$175,MATCH($E369&amp;$F369,'TB-EQUIPMENT &amp; OTHER HPs'!$E$138:$E$175&amp;'TB-EQUIPMENT &amp; OTHER HPs'!$I$138:$I$175,0)),0)</f>
        <v>0</v>
      </c>
      <c r="AC369" s="626">
        <f t="shared" si="408"/>
        <v>0</v>
      </c>
      <c r="AD369" s="626">
        <f t="shared" si="409"/>
        <v>0</v>
      </c>
      <c r="AE369" s="626">
        <f t="shared" si="410"/>
        <v>0</v>
      </c>
      <c r="AF369" s="625">
        <f t="array" ref="AF369">IFERROR(INDEX('TB-EQUIPMENT &amp; OTHER HPs'!$W$138:$W$175,MATCH($E369&amp;$F369,'TB-EQUIPMENT &amp; OTHER HPs'!$E$138:$E$175&amp;'TB-EQUIPMENT &amp; OTHER HPs'!$I$138:$I$175,0)),0)</f>
        <v>0</v>
      </c>
      <c r="AG369" s="626">
        <f t="shared" si="411"/>
        <v>0</v>
      </c>
      <c r="AH369" s="626">
        <f t="shared" si="412"/>
        <v>0</v>
      </c>
      <c r="AI369" s="626">
        <f t="shared" si="413"/>
        <v>0</v>
      </c>
      <c r="AJ369" s="625">
        <f t="array" ref="AJ369">IFERROR(INDEX('TB-EQUIPMENT &amp; OTHER HPs'!$X$138:$X$175,MATCH($E369&amp;$F369,'TB-EQUIPMENT &amp; OTHER HPs'!$E$138:$E$175&amp;'TB-EQUIPMENT &amp; OTHER HPs'!$I$138:$I$175,0)),0)</f>
        <v>0</v>
      </c>
      <c r="AK369" s="626">
        <f t="shared" si="414"/>
        <v>0</v>
      </c>
      <c r="AL369" s="626">
        <f t="shared" si="415"/>
        <v>0</v>
      </c>
      <c r="AM369" s="626">
        <f t="shared" si="416"/>
        <v>0</v>
      </c>
      <c r="AN369" s="625">
        <f t="array" ref="AN369">IFERROR(INDEX('TB-EQUIPMENT &amp; OTHER HPs'!$Y$138:$Y$175,MATCH($E369&amp;$F369,'TB-EQUIPMENT &amp; OTHER HPs'!$E$138:$E$175&amp;'TB-EQUIPMENT &amp; OTHER HPs'!$I$138:$I$175,0)),0)</f>
        <v>0</v>
      </c>
      <c r="AO369" s="626">
        <f t="shared" si="417"/>
        <v>0</v>
      </c>
      <c r="AP369" s="626">
        <f t="shared" si="418"/>
        <v>0</v>
      </c>
      <c r="AQ369" s="626">
        <f t="shared" si="419"/>
        <v>0</v>
      </c>
      <c r="AR369" s="630"/>
      <c r="AS369" s="625">
        <f t="array" ref="AS369">IFERROR(INDEX('TB-EQUIPMENT &amp; OTHER HPs'!$AB$138:$AB$175,MATCH($E369&amp;$F369,'TB-EQUIPMENT &amp; OTHER HPs'!$E$138:$E$175&amp;'TB-EQUIPMENT &amp; OTHER HPs'!$I$138:$I$175,0)),0)</f>
        <v>0</v>
      </c>
      <c r="AT369" s="625">
        <f t="array" ref="AT369">IFERROR(INDEX('TB-EQUIPMENT &amp; OTHER HPs'!$AC$138:$AC$175,MATCH($E369&amp;$F369,'TB-EQUIPMENT &amp; OTHER HPs'!$E$138:$E$175&amp;'TB-EQUIPMENT &amp; OTHER HPs'!$I$138:$I$175,0)),0)</f>
        <v>0</v>
      </c>
      <c r="AU369" s="626">
        <f t="shared" si="420"/>
        <v>0</v>
      </c>
      <c r="AV369" s="626">
        <f t="shared" si="421"/>
        <v>0</v>
      </c>
      <c r="AW369" s="626">
        <f t="shared" si="422"/>
        <v>0</v>
      </c>
      <c r="AX369" s="625">
        <f t="array" ref="AX369">IFERROR(INDEX('TB-EQUIPMENT &amp; OTHER HPs'!$AD$138:$AD$175,MATCH($E369&amp;$F369,'TB-EQUIPMENT &amp; OTHER HPs'!$E$138:$E$175&amp;'TB-EQUIPMENT &amp; OTHER HPs'!$I$138:$I$175,0)),0)</f>
        <v>0</v>
      </c>
      <c r="AY369" s="626">
        <f t="shared" si="423"/>
        <v>0</v>
      </c>
      <c r="AZ369" s="626">
        <f t="shared" si="424"/>
        <v>0</v>
      </c>
      <c r="BA369" s="626">
        <f t="shared" si="425"/>
        <v>0</v>
      </c>
      <c r="BB369" s="625">
        <f t="array" ref="BB369">IFERROR(INDEX('TB-EQUIPMENT &amp; OTHER HPs'!$AE$138:$AE$175,MATCH($E369&amp;$F369,'TB-EQUIPMENT &amp; OTHER HPs'!$E$138:$E$175&amp;'TB-EQUIPMENT &amp; OTHER HPs'!$I$138:$I$175,0)),0)</f>
        <v>0</v>
      </c>
      <c r="BC369" s="626">
        <f t="shared" si="426"/>
        <v>0</v>
      </c>
      <c r="BD369" s="626">
        <f t="shared" si="427"/>
        <v>0</v>
      </c>
      <c r="BE369" s="626">
        <f t="shared" si="428"/>
        <v>0</v>
      </c>
      <c r="BF369" s="625">
        <f t="array" ref="BF369">IFERROR(INDEX('TB-EQUIPMENT &amp; OTHER HPs'!$AF$138:$AF$175,MATCH($E369&amp;$F369,'TB-EQUIPMENT &amp; OTHER HPs'!$E$138:$E$175&amp;'TB-EQUIPMENT &amp; OTHER HPs'!$I$138:$I$175,0)),0)</f>
        <v>0</v>
      </c>
      <c r="BG369" s="626">
        <f t="shared" si="429"/>
        <v>0</v>
      </c>
      <c r="BH369" s="626">
        <f t="shared" si="430"/>
        <v>0</v>
      </c>
      <c r="BI369" s="626">
        <f t="shared" si="431"/>
        <v>0</v>
      </c>
      <c r="BJ369" s="630"/>
      <c r="BK369" s="625"/>
      <c r="BL369" s="625"/>
      <c r="BM369" s="625"/>
      <c r="BN369" s="625"/>
      <c r="BO369" s="625"/>
      <c r="BP369" s="625"/>
      <c r="BQ369" s="625"/>
      <c r="BR369" s="625"/>
    </row>
    <row r="370" spans="1:70">
      <c r="A370" s="29" t="s">
        <v>1755</v>
      </c>
      <c r="B370" s="29" t="s">
        <v>1838</v>
      </c>
      <c r="C370" s="619">
        <f>SETUP!$F$44</f>
        <v>0</v>
      </c>
      <c r="D370" s="25">
        <v>5.4</v>
      </c>
      <c r="E370" s="26" t="s">
        <v>205</v>
      </c>
      <c r="F370" s="26" t="s">
        <v>1517</v>
      </c>
      <c r="G370" s="625" t="str">
        <f t="array" ref="G370">IFERROR(INDEX('TB-EQUIPMENT &amp; OTHER HPs'!$L$138:$L$175,MATCH($E370&amp;$F370,'TB-EQUIPMENT &amp; OTHER HPs'!$E$138:$E$175&amp;'TB-EQUIPMENT &amp; OTHER HPs'!$I$138:$I$175,0)),"")</f>
        <v/>
      </c>
      <c r="H370" s="625" t="str">
        <f t="array" ref="H370">IFERROR(INDEX('TB-EQUIPMENT &amp; OTHER HPs'!$M$138:$M$175,MATCH($E370&amp;$F370,'TB-EQUIPMENT &amp; OTHER HPs'!$E$138:$E$175&amp;'TB-EQUIPMENT &amp; OTHER HPs'!$I$138:$I$175,0)),"")</f>
        <v/>
      </c>
      <c r="I370" s="625">
        <f t="array" ref="I370">IFERROR(INDEX('TB-EQUIPMENT &amp; OTHER HPs'!$N$138:$N$175,MATCH($E370&amp;$F370,'TB-EQUIPMENT &amp; OTHER HPs'!$E$138:$E$175&amp;'TB-EQUIPMENT &amp; OTHER HPs'!$I$138:$I$175,0)),0)</f>
        <v>0</v>
      </c>
      <c r="J370" s="625">
        <f t="array" ref="J370">IFERROR(INDEX('TB-EQUIPMENT &amp; OTHER HPs'!$O$138:$O$175,MATCH($E370&amp;$F370,'TB-EQUIPMENT &amp; OTHER HPs'!$E$138:$E$175&amp;'TB-EQUIPMENT &amp; OTHER HPs'!$I$138:$I$175,0)),0)</f>
        <v>0</v>
      </c>
      <c r="K370" s="626">
        <f t="shared" si="396"/>
        <v>0</v>
      </c>
      <c r="L370" s="626">
        <f t="shared" si="397"/>
        <v>0</v>
      </c>
      <c r="M370" s="626">
        <f t="shared" si="398"/>
        <v>0</v>
      </c>
      <c r="N370" s="625">
        <f t="array" ref="N370">IFERROR(INDEX('TB-EQUIPMENT &amp; OTHER HPs'!$P$138:$P$175,MATCH($E370&amp;$F370,'TB-EQUIPMENT &amp; OTHER HPs'!$E$138:$E$175&amp;'TB-EQUIPMENT &amp; OTHER HPs'!$I$138:$I$175,0)),0)</f>
        <v>0</v>
      </c>
      <c r="O370" s="626">
        <f t="shared" si="399"/>
        <v>0</v>
      </c>
      <c r="P370" s="626">
        <f t="shared" si="400"/>
        <v>0</v>
      </c>
      <c r="Q370" s="626">
        <f t="shared" si="401"/>
        <v>0</v>
      </c>
      <c r="R370" s="625">
        <f t="array" ref="R370">IFERROR(INDEX('TB-EQUIPMENT &amp; OTHER HPs'!$Q$138:$Q$175,MATCH($E370&amp;$F370,'TB-EQUIPMENT &amp; OTHER HPs'!$E$138:$E$175&amp;'TB-EQUIPMENT &amp; OTHER HPs'!$I$138:$I$175,0)),0)</f>
        <v>0</v>
      </c>
      <c r="S370" s="626">
        <f t="shared" si="402"/>
        <v>0</v>
      </c>
      <c r="T370" s="626">
        <f t="shared" si="403"/>
        <v>0</v>
      </c>
      <c r="U370" s="626">
        <f t="shared" si="404"/>
        <v>0</v>
      </c>
      <c r="V370" s="625">
        <f t="array" ref="V370">IFERROR(INDEX('TB-EQUIPMENT &amp; OTHER HPs'!$R$138:$R$175,MATCH($E370&amp;$F370,'TB-EQUIPMENT &amp; OTHER HPs'!$E$138:$E$175&amp;'TB-EQUIPMENT &amp; OTHER HPs'!$I$138:$I$175,0)),0)</f>
        <v>0</v>
      </c>
      <c r="W370" s="626">
        <f t="shared" si="405"/>
        <v>0</v>
      </c>
      <c r="X370" s="626">
        <f t="shared" si="406"/>
        <v>0</v>
      </c>
      <c r="Y370" s="626">
        <f t="shared" si="407"/>
        <v>0</v>
      </c>
      <c r="AA370" s="625">
        <f t="array" ref="AA370">IFERROR(INDEX('TB-EQUIPMENT &amp; OTHER HPs'!$U$138:$U$175,MATCH($E370&amp;$F370,'TB-EQUIPMENT &amp; OTHER HPs'!$E$138:$E$175&amp;'TB-EQUIPMENT &amp; OTHER HPs'!$I$138:$I$175,0)),0)</f>
        <v>0</v>
      </c>
      <c r="AB370" s="625">
        <f t="array" ref="AB370">IFERROR(INDEX('TB-EQUIPMENT &amp; OTHER HPs'!$V$138:$V$175,MATCH($E370&amp;$F370,'TB-EQUIPMENT &amp; OTHER HPs'!$E$138:$E$175&amp;'TB-EQUIPMENT &amp; OTHER HPs'!$I$138:$I$175,0)),0)</f>
        <v>0</v>
      </c>
      <c r="AC370" s="626">
        <f t="shared" si="408"/>
        <v>0</v>
      </c>
      <c r="AD370" s="626">
        <f t="shared" si="409"/>
        <v>0</v>
      </c>
      <c r="AE370" s="626">
        <f t="shared" si="410"/>
        <v>0</v>
      </c>
      <c r="AF370" s="625">
        <f t="array" ref="AF370">IFERROR(INDEX('TB-EQUIPMENT &amp; OTHER HPs'!$W$138:$W$175,MATCH($E370&amp;$F370,'TB-EQUIPMENT &amp; OTHER HPs'!$E$138:$E$175&amp;'TB-EQUIPMENT &amp; OTHER HPs'!$I$138:$I$175,0)),0)</f>
        <v>0</v>
      </c>
      <c r="AG370" s="626">
        <f t="shared" si="411"/>
        <v>0</v>
      </c>
      <c r="AH370" s="626">
        <f t="shared" si="412"/>
        <v>0</v>
      </c>
      <c r="AI370" s="626">
        <f t="shared" si="413"/>
        <v>0</v>
      </c>
      <c r="AJ370" s="625">
        <f t="array" ref="AJ370">IFERROR(INDEX('TB-EQUIPMENT &amp; OTHER HPs'!$X$138:$X$175,MATCH($E370&amp;$F370,'TB-EQUIPMENT &amp; OTHER HPs'!$E$138:$E$175&amp;'TB-EQUIPMENT &amp; OTHER HPs'!$I$138:$I$175,0)),0)</f>
        <v>0</v>
      </c>
      <c r="AK370" s="626">
        <f t="shared" si="414"/>
        <v>0</v>
      </c>
      <c r="AL370" s="626">
        <f t="shared" si="415"/>
        <v>0</v>
      </c>
      <c r="AM370" s="626">
        <f t="shared" si="416"/>
        <v>0</v>
      </c>
      <c r="AN370" s="625">
        <f t="array" ref="AN370">IFERROR(INDEX('TB-EQUIPMENT &amp; OTHER HPs'!$Y$138:$Y$175,MATCH($E370&amp;$F370,'TB-EQUIPMENT &amp; OTHER HPs'!$E$138:$E$175&amp;'TB-EQUIPMENT &amp; OTHER HPs'!$I$138:$I$175,0)),0)</f>
        <v>0</v>
      </c>
      <c r="AO370" s="626">
        <f t="shared" si="417"/>
        <v>0</v>
      </c>
      <c r="AP370" s="626">
        <f t="shared" si="418"/>
        <v>0</v>
      </c>
      <c r="AQ370" s="626">
        <f t="shared" si="419"/>
        <v>0</v>
      </c>
      <c r="AR370" s="630"/>
      <c r="AS370" s="625">
        <f t="array" ref="AS370">IFERROR(INDEX('TB-EQUIPMENT &amp; OTHER HPs'!$AB$138:$AB$175,MATCH($E370&amp;$F370,'TB-EQUIPMENT &amp; OTHER HPs'!$E$138:$E$175&amp;'TB-EQUIPMENT &amp; OTHER HPs'!$I$138:$I$175,0)),0)</f>
        <v>0</v>
      </c>
      <c r="AT370" s="625">
        <f t="array" ref="AT370">IFERROR(INDEX('TB-EQUIPMENT &amp; OTHER HPs'!$AC$138:$AC$175,MATCH($E370&amp;$F370,'TB-EQUIPMENT &amp; OTHER HPs'!$E$138:$E$175&amp;'TB-EQUIPMENT &amp; OTHER HPs'!$I$138:$I$175,0)),0)</f>
        <v>0</v>
      </c>
      <c r="AU370" s="626">
        <f t="shared" si="420"/>
        <v>0</v>
      </c>
      <c r="AV370" s="626">
        <f t="shared" si="421"/>
        <v>0</v>
      </c>
      <c r="AW370" s="626">
        <f t="shared" si="422"/>
        <v>0</v>
      </c>
      <c r="AX370" s="625">
        <f t="array" ref="AX370">IFERROR(INDEX('TB-EQUIPMENT &amp; OTHER HPs'!$AD$138:$AD$175,MATCH($E370&amp;$F370,'TB-EQUIPMENT &amp; OTHER HPs'!$E$138:$E$175&amp;'TB-EQUIPMENT &amp; OTHER HPs'!$I$138:$I$175,0)),0)</f>
        <v>0</v>
      </c>
      <c r="AY370" s="626">
        <f t="shared" si="423"/>
        <v>0</v>
      </c>
      <c r="AZ370" s="626">
        <f t="shared" si="424"/>
        <v>0</v>
      </c>
      <c r="BA370" s="626">
        <f t="shared" si="425"/>
        <v>0</v>
      </c>
      <c r="BB370" s="625">
        <f t="array" ref="BB370">IFERROR(INDEX('TB-EQUIPMENT &amp; OTHER HPs'!$AE$138:$AE$175,MATCH($E370&amp;$F370,'TB-EQUIPMENT &amp; OTHER HPs'!$E$138:$E$175&amp;'TB-EQUIPMENT &amp; OTHER HPs'!$I$138:$I$175,0)),0)</f>
        <v>0</v>
      </c>
      <c r="BC370" s="626">
        <f t="shared" si="426"/>
        <v>0</v>
      </c>
      <c r="BD370" s="626">
        <f t="shared" si="427"/>
        <v>0</v>
      </c>
      <c r="BE370" s="626">
        <f t="shared" si="428"/>
        <v>0</v>
      </c>
      <c r="BF370" s="625">
        <f t="array" ref="BF370">IFERROR(INDEX('TB-EQUIPMENT &amp; OTHER HPs'!$AF$138:$AF$175,MATCH($E370&amp;$F370,'TB-EQUIPMENT &amp; OTHER HPs'!$E$138:$E$175&amp;'TB-EQUIPMENT &amp; OTHER HPs'!$I$138:$I$175,0)),0)</f>
        <v>0</v>
      </c>
      <c r="BG370" s="626">
        <f t="shared" si="429"/>
        <v>0</v>
      </c>
      <c r="BH370" s="626">
        <f t="shared" si="430"/>
        <v>0</v>
      </c>
      <c r="BI370" s="626">
        <f t="shared" si="431"/>
        <v>0</v>
      </c>
      <c r="BJ370" s="630"/>
      <c r="BK370" s="625"/>
      <c r="BL370" s="625"/>
      <c r="BM370" s="625"/>
      <c r="BN370" s="625"/>
      <c r="BO370" s="625"/>
      <c r="BP370" s="625"/>
      <c r="BQ370" s="625"/>
      <c r="BR370" s="625"/>
    </row>
    <row r="371" spans="1:70">
      <c r="A371" s="29" t="s">
        <v>1755</v>
      </c>
      <c r="B371" s="29" t="s">
        <v>1838</v>
      </c>
      <c r="C371" s="619">
        <f>SETUP!$F$44</f>
        <v>0</v>
      </c>
      <c r="D371" s="25">
        <v>5.4</v>
      </c>
      <c r="E371" s="26" t="s">
        <v>205</v>
      </c>
      <c r="F371" s="26" t="s">
        <v>1518</v>
      </c>
      <c r="G371" s="625" t="str">
        <f t="array" ref="G371">IFERROR(INDEX('TB-EQUIPMENT &amp; OTHER HPs'!$L$138:$L$175,MATCH($E371&amp;$F371,'TB-EQUIPMENT &amp; OTHER HPs'!$E$138:$E$175&amp;'TB-EQUIPMENT &amp; OTHER HPs'!$I$138:$I$175,0)),"")</f>
        <v/>
      </c>
      <c r="H371" s="625" t="str">
        <f t="array" ref="H371">IFERROR(INDEX('TB-EQUIPMENT &amp; OTHER HPs'!$M$138:$M$175,MATCH($E371&amp;$F371,'TB-EQUIPMENT &amp; OTHER HPs'!$E$138:$E$175&amp;'TB-EQUIPMENT &amp; OTHER HPs'!$I$138:$I$175,0)),"")</f>
        <v/>
      </c>
      <c r="I371" s="625">
        <f t="array" ref="I371">IFERROR(INDEX('TB-EQUIPMENT &amp; OTHER HPs'!$N$138:$N$175,MATCH($E371&amp;$F371,'TB-EQUIPMENT &amp; OTHER HPs'!$E$138:$E$175&amp;'TB-EQUIPMENT &amp; OTHER HPs'!$I$138:$I$175,0)),0)</f>
        <v>0</v>
      </c>
      <c r="J371" s="625">
        <f t="array" ref="J371">IFERROR(INDEX('TB-EQUIPMENT &amp; OTHER HPs'!$O$138:$O$175,MATCH($E371&amp;$F371,'TB-EQUIPMENT &amp; OTHER HPs'!$E$138:$E$175&amp;'TB-EQUIPMENT &amp; OTHER HPs'!$I$138:$I$175,0)),0)</f>
        <v>0</v>
      </c>
      <c r="K371" s="626">
        <f t="shared" si="396"/>
        <v>0</v>
      </c>
      <c r="L371" s="626">
        <f t="shared" si="397"/>
        <v>0</v>
      </c>
      <c r="M371" s="626">
        <f t="shared" si="398"/>
        <v>0</v>
      </c>
      <c r="N371" s="625">
        <f t="array" ref="N371">IFERROR(INDEX('TB-EQUIPMENT &amp; OTHER HPs'!$P$138:$P$175,MATCH($E371&amp;$F371,'TB-EQUIPMENT &amp; OTHER HPs'!$E$138:$E$175&amp;'TB-EQUIPMENT &amp; OTHER HPs'!$I$138:$I$175,0)),0)</f>
        <v>0</v>
      </c>
      <c r="O371" s="626">
        <f t="shared" si="399"/>
        <v>0</v>
      </c>
      <c r="P371" s="626">
        <f t="shared" si="400"/>
        <v>0</v>
      </c>
      <c r="Q371" s="626">
        <f t="shared" si="401"/>
        <v>0</v>
      </c>
      <c r="R371" s="625">
        <f t="array" ref="R371">IFERROR(INDEX('TB-EQUIPMENT &amp; OTHER HPs'!$Q$138:$Q$175,MATCH($E371&amp;$F371,'TB-EQUIPMENT &amp; OTHER HPs'!$E$138:$E$175&amp;'TB-EQUIPMENT &amp; OTHER HPs'!$I$138:$I$175,0)),0)</f>
        <v>0</v>
      </c>
      <c r="S371" s="626">
        <f t="shared" si="402"/>
        <v>0</v>
      </c>
      <c r="T371" s="626">
        <f t="shared" si="403"/>
        <v>0</v>
      </c>
      <c r="U371" s="626">
        <f t="shared" si="404"/>
        <v>0</v>
      </c>
      <c r="V371" s="625">
        <f t="array" ref="V371">IFERROR(INDEX('TB-EQUIPMENT &amp; OTHER HPs'!$R$138:$R$175,MATCH($E371&amp;$F371,'TB-EQUIPMENT &amp; OTHER HPs'!$E$138:$E$175&amp;'TB-EQUIPMENT &amp; OTHER HPs'!$I$138:$I$175,0)),0)</f>
        <v>0</v>
      </c>
      <c r="W371" s="626">
        <f t="shared" si="405"/>
        <v>0</v>
      </c>
      <c r="X371" s="626">
        <f t="shared" si="406"/>
        <v>0</v>
      </c>
      <c r="Y371" s="626">
        <f t="shared" si="407"/>
        <v>0</v>
      </c>
      <c r="AA371" s="625">
        <f t="array" ref="AA371">IFERROR(INDEX('TB-EQUIPMENT &amp; OTHER HPs'!$U$138:$U$175,MATCH($E371&amp;$F371,'TB-EQUIPMENT &amp; OTHER HPs'!$E$138:$E$175&amp;'TB-EQUIPMENT &amp; OTHER HPs'!$I$138:$I$175,0)),0)</f>
        <v>0</v>
      </c>
      <c r="AB371" s="625">
        <f t="array" ref="AB371">IFERROR(INDEX('TB-EQUIPMENT &amp; OTHER HPs'!$V$138:$V$175,MATCH($E371&amp;$F371,'TB-EQUIPMENT &amp; OTHER HPs'!$E$138:$E$175&amp;'TB-EQUIPMENT &amp; OTHER HPs'!$I$138:$I$175,0)),0)</f>
        <v>0</v>
      </c>
      <c r="AC371" s="626">
        <f t="shared" si="408"/>
        <v>0</v>
      </c>
      <c r="AD371" s="626">
        <f t="shared" si="409"/>
        <v>0</v>
      </c>
      <c r="AE371" s="626">
        <f t="shared" si="410"/>
        <v>0</v>
      </c>
      <c r="AF371" s="625">
        <f t="array" ref="AF371">IFERROR(INDEX('TB-EQUIPMENT &amp; OTHER HPs'!$W$138:$W$175,MATCH($E371&amp;$F371,'TB-EQUIPMENT &amp; OTHER HPs'!$E$138:$E$175&amp;'TB-EQUIPMENT &amp; OTHER HPs'!$I$138:$I$175,0)),0)</f>
        <v>0</v>
      </c>
      <c r="AG371" s="626">
        <f t="shared" si="411"/>
        <v>0</v>
      </c>
      <c r="AH371" s="626">
        <f t="shared" si="412"/>
        <v>0</v>
      </c>
      <c r="AI371" s="626">
        <f t="shared" si="413"/>
        <v>0</v>
      </c>
      <c r="AJ371" s="625">
        <f t="array" ref="AJ371">IFERROR(INDEX('TB-EQUIPMENT &amp; OTHER HPs'!$X$138:$X$175,MATCH($E371&amp;$F371,'TB-EQUIPMENT &amp; OTHER HPs'!$E$138:$E$175&amp;'TB-EQUIPMENT &amp; OTHER HPs'!$I$138:$I$175,0)),0)</f>
        <v>0</v>
      </c>
      <c r="AK371" s="626">
        <f t="shared" si="414"/>
        <v>0</v>
      </c>
      <c r="AL371" s="626">
        <f t="shared" si="415"/>
        <v>0</v>
      </c>
      <c r="AM371" s="626">
        <f t="shared" si="416"/>
        <v>0</v>
      </c>
      <c r="AN371" s="625">
        <f t="array" ref="AN371">IFERROR(INDEX('TB-EQUIPMENT &amp; OTHER HPs'!$Y$138:$Y$175,MATCH($E371&amp;$F371,'TB-EQUIPMENT &amp; OTHER HPs'!$E$138:$E$175&amp;'TB-EQUIPMENT &amp; OTHER HPs'!$I$138:$I$175,0)),0)</f>
        <v>0</v>
      </c>
      <c r="AO371" s="626">
        <f t="shared" si="417"/>
        <v>0</v>
      </c>
      <c r="AP371" s="626">
        <f t="shared" si="418"/>
        <v>0</v>
      </c>
      <c r="AQ371" s="626">
        <f t="shared" si="419"/>
        <v>0</v>
      </c>
      <c r="AR371" s="630"/>
      <c r="AS371" s="625">
        <f t="array" ref="AS371">IFERROR(INDEX('TB-EQUIPMENT &amp; OTHER HPs'!$AB$138:$AB$175,MATCH($E371&amp;$F371,'TB-EQUIPMENT &amp; OTHER HPs'!$E$138:$E$175&amp;'TB-EQUIPMENT &amp; OTHER HPs'!$I$138:$I$175,0)),0)</f>
        <v>0</v>
      </c>
      <c r="AT371" s="625">
        <f t="array" ref="AT371">IFERROR(INDEX('TB-EQUIPMENT &amp; OTHER HPs'!$AC$138:$AC$175,MATCH($E371&amp;$F371,'TB-EQUIPMENT &amp; OTHER HPs'!$E$138:$E$175&amp;'TB-EQUIPMENT &amp; OTHER HPs'!$I$138:$I$175,0)),0)</f>
        <v>0</v>
      </c>
      <c r="AU371" s="626">
        <f t="shared" si="420"/>
        <v>0</v>
      </c>
      <c r="AV371" s="626">
        <f t="shared" si="421"/>
        <v>0</v>
      </c>
      <c r="AW371" s="626">
        <f t="shared" si="422"/>
        <v>0</v>
      </c>
      <c r="AX371" s="625">
        <f t="array" ref="AX371">IFERROR(INDEX('TB-EQUIPMENT &amp; OTHER HPs'!$AD$138:$AD$175,MATCH($E371&amp;$F371,'TB-EQUIPMENT &amp; OTHER HPs'!$E$138:$E$175&amp;'TB-EQUIPMENT &amp; OTHER HPs'!$I$138:$I$175,0)),0)</f>
        <v>0</v>
      </c>
      <c r="AY371" s="626">
        <f t="shared" si="423"/>
        <v>0</v>
      </c>
      <c r="AZ371" s="626">
        <f t="shared" si="424"/>
        <v>0</v>
      </c>
      <c r="BA371" s="626">
        <f t="shared" si="425"/>
        <v>0</v>
      </c>
      <c r="BB371" s="625">
        <f t="array" ref="BB371">IFERROR(INDEX('TB-EQUIPMENT &amp; OTHER HPs'!$AE$138:$AE$175,MATCH($E371&amp;$F371,'TB-EQUIPMENT &amp; OTHER HPs'!$E$138:$E$175&amp;'TB-EQUIPMENT &amp; OTHER HPs'!$I$138:$I$175,0)),0)</f>
        <v>0</v>
      </c>
      <c r="BC371" s="626">
        <f t="shared" si="426"/>
        <v>0</v>
      </c>
      <c r="BD371" s="626">
        <f t="shared" si="427"/>
        <v>0</v>
      </c>
      <c r="BE371" s="626">
        <f t="shared" si="428"/>
        <v>0</v>
      </c>
      <c r="BF371" s="625">
        <f t="array" ref="BF371">IFERROR(INDEX('TB-EQUIPMENT &amp; OTHER HPs'!$AF$138:$AF$175,MATCH($E371&amp;$F371,'TB-EQUIPMENT &amp; OTHER HPs'!$E$138:$E$175&amp;'TB-EQUIPMENT &amp; OTHER HPs'!$I$138:$I$175,0)),0)</f>
        <v>0</v>
      </c>
      <c r="BG371" s="626">
        <f t="shared" si="429"/>
        <v>0</v>
      </c>
      <c r="BH371" s="626">
        <f t="shared" si="430"/>
        <v>0</v>
      </c>
      <c r="BI371" s="626">
        <f t="shared" si="431"/>
        <v>0</v>
      </c>
      <c r="BJ371" s="630"/>
      <c r="BK371" s="625"/>
      <c r="BL371" s="625"/>
      <c r="BM371" s="625"/>
      <c r="BN371" s="625"/>
      <c r="BO371" s="625"/>
      <c r="BP371" s="625"/>
      <c r="BQ371" s="625"/>
      <c r="BR371" s="625"/>
    </row>
    <row r="372" spans="1:70">
      <c r="A372" s="29" t="s">
        <v>1755</v>
      </c>
      <c r="B372" s="29" t="s">
        <v>1838</v>
      </c>
      <c r="C372" s="619">
        <f>SETUP!$F$44</f>
        <v>0</v>
      </c>
      <c r="D372" s="25">
        <v>5.4</v>
      </c>
      <c r="E372" s="26" t="s">
        <v>205</v>
      </c>
      <c r="F372" s="26" t="s">
        <v>828</v>
      </c>
      <c r="G372" s="625" t="str">
        <f t="array" ref="G372">IFERROR(INDEX('TB-EQUIPMENT &amp; OTHER HPs'!$L$138:$L$175,MATCH($E372&amp;$F372,'TB-EQUIPMENT &amp; OTHER HPs'!$E$138:$E$175&amp;'TB-EQUIPMENT &amp; OTHER HPs'!$I$138:$I$175,0)),"")</f>
        <v/>
      </c>
      <c r="H372" s="625" t="str">
        <f t="array" ref="H372">IFERROR(INDEX('TB-EQUIPMENT &amp; OTHER HPs'!$M$138:$M$175,MATCH($E372&amp;$F372,'TB-EQUIPMENT &amp; OTHER HPs'!$E$138:$E$175&amp;'TB-EQUIPMENT &amp; OTHER HPs'!$I$138:$I$175,0)),"")</f>
        <v/>
      </c>
      <c r="I372" s="625">
        <f t="array" ref="I372">IFERROR(INDEX('TB-EQUIPMENT &amp; OTHER HPs'!$N$138:$N$175,MATCH($E372&amp;$F372,'TB-EQUIPMENT &amp; OTHER HPs'!$E$138:$E$175&amp;'TB-EQUIPMENT &amp; OTHER HPs'!$I$138:$I$175,0)),0)</f>
        <v>0</v>
      </c>
      <c r="J372" s="625">
        <f t="array" ref="J372">IFERROR(INDEX('TB-EQUIPMENT &amp; OTHER HPs'!$O$138:$O$175,MATCH($E372&amp;$F372,'TB-EQUIPMENT &amp; OTHER HPs'!$E$138:$E$175&amp;'TB-EQUIPMENT &amp; OTHER HPs'!$I$138:$I$175,0)),0)</f>
        <v>0</v>
      </c>
      <c r="K372" s="626">
        <f t="shared" si="396"/>
        <v>0</v>
      </c>
      <c r="L372" s="626">
        <f t="shared" si="397"/>
        <v>0</v>
      </c>
      <c r="M372" s="626">
        <f t="shared" si="398"/>
        <v>0</v>
      </c>
      <c r="N372" s="625">
        <f t="array" ref="N372">IFERROR(INDEX('TB-EQUIPMENT &amp; OTHER HPs'!$P$138:$P$175,MATCH($E372&amp;$F372,'TB-EQUIPMENT &amp; OTHER HPs'!$E$138:$E$175&amp;'TB-EQUIPMENT &amp; OTHER HPs'!$I$138:$I$175,0)),0)</f>
        <v>0</v>
      </c>
      <c r="O372" s="626">
        <f t="shared" si="399"/>
        <v>0</v>
      </c>
      <c r="P372" s="626">
        <f t="shared" si="400"/>
        <v>0</v>
      </c>
      <c r="Q372" s="626">
        <f t="shared" si="401"/>
        <v>0</v>
      </c>
      <c r="R372" s="625">
        <f t="array" ref="R372">IFERROR(INDEX('TB-EQUIPMENT &amp; OTHER HPs'!$Q$138:$Q$175,MATCH($E372&amp;$F372,'TB-EQUIPMENT &amp; OTHER HPs'!$E$138:$E$175&amp;'TB-EQUIPMENT &amp; OTHER HPs'!$I$138:$I$175,0)),0)</f>
        <v>0</v>
      </c>
      <c r="S372" s="626">
        <f t="shared" si="402"/>
        <v>0</v>
      </c>
      <c r="T372" s="626">
        <f t="shared" si="403"/>
        <v>0</v>
      </c>
      <c r="U372" s="626">
        <f t="shared" si="404"/>
        <v>0</v>
      </c>
      <c r="V372" s="625">
        <f t="array" ref="V372">IFERROR(INDEX('TB-EQUIPMENT &amp; OTHER HPs'!$R$138:$R$175,MATCH($E372&amp;$F372,'TB-EQUIPMENT &amp; OTHER HPs'!$E$138:$E$175&amp;'TB-EQUIPMENT &amp; OTHER HPs'!$I$138:$I$175,0)),0)</f>
        <v>0</v>
      </c>
      <c r="W372" s="626">
        <f t="shared" si="405"/>
        <v>0</v>
      </c>
      <c r="X372" s="626">
        <f t="shared" si="406"/>
        <v>0</v>
      </c>
      <c r="Y372" s="626">
        <f t="shared" si="407"/>
        <v>0</v>
      </c>
      <c r="AA372" s="625">
        <f t="array" ref="AA372">IFERROR(INDEX('TB-EQUIPMENT &amp; OTHER HPs'!$U$138:$U$175,MATCH($E372&amp;$F372,'TB-EQUIPMENT &amp; OTHER HPs'!$E$138:$E$175&amp;'TB-EQUIPMENT &amp; OTHER HPs'!$I$138:$I$175,0)),0)</f>
        <v>0</v>
      </c>
      <c r="AB372" s="625">
        <f t="array" ref="AB372">IFERROR(INDEX('TB-EQUIPMENT &amp; OTHER HPs'!$V$138:$V$175,MATCH($E372&amp;$F372,'TB-EQUIPMENT &amp; OTHER HPs'!$E$138:$E$175&amp;'TB-EQUIPMENT &amp; OTHER HPs'!$I$138:$I$175,0)),0)</f>
        <v>0</v>
      </c>
      <c r="AC372" s="626">
        <f t="shared" si="408"/>
        <v>0</v>
      </c>
      <c r="AD372" s="626">
        <f t="shared" si="409"/>
        <v>0</v>
      </c>
      <c r="AE372" s="626">
        <f t="shared" si="410"/>
        <v>0</v>
      </c>
      <c r="AF372" s="625">
        <f t="array" ref="AF372">IFERROR(INDEX('TB-EQUIPMENT &amp; OTHER HPs'!$W$138:$W$175,MATCH($E372&amp;$F372,'TB-EQUIPMENT &amp; OTHER HPs'!$E$138:$E$175&amp;'TB-EQUIPMENT &amp; OTHER HPs'!$I$138:$I$175,0)),0)</f>
        <v>0</v>
      </c>
      <c r="AG372" s="626">
        <f t="shared" si="411"/>
        <v>0</v>
      </c>
      <c r="AH372" s="626">
        <f t="shared" si="412"/>
        <v>0</v>
      </c>
      <c r="AI372" s="626">
        <f t="shared" si="413"/>
        <v>0</v>
      </c>
      <c r="AJ372" s="625">
        <f t="array" ref="AJ372">IFERROR(INDEX('TB-EQUIPMENT &amp; OTHER HPs'!$X$138:$X$175,MATCH($E372&amp;$F372,'TB-EQUIPMENT &amp; OTHER HPs'!$E$138:$E$175&amp;'TB-EQUIPMENT &amp; OTHER HPs'!$I$138:$I$175,0)),0)</f>
        <v>0</v>
      </c>
      <c r="AK372" s="626">
        <f t="shared" si="414"/>
        <v>0</v>
      </c>
      <c r="AL372" s="626">
        <f t="shared" si="415"/>
        <v>0</v>
      </c>
      <c r="AM372" s="626">
        <f t="shared" si="416"/>
        <v>0</v>
      </c>
      <c r="AN372" s="625">
        <f t="array" ref="AN372">IFERROR(INDEX('TB-EQUIPMENT &amp; OTHER HPs'!$Y$138:$Y$175,MATCH($E372&amp;$F372,'TB-EQUIPMENT &amp; OTHER HPs'!$E$138:$E$175&amp;'TB-EQUIPMENT &amp; OTHER HPs'!$I$138:$I$175,0)),0)</f>
        <v>0</v>
      </c>
      <c r="AO372" s="626">
        <f t="shared" si="417"/>
        <v>0</v>
      </c>
      <c r="AP372" s="626">
        <f t="shared" si="418"/>
        <v>0</v>
      </c>
      <c r="AQ372" s="626">
        <f t="shared" si="419"/>
        <v>0</v>
      </c>
      <c r="AR372" s="630"/>
      <c r="AS372" s="625">
        <f t="array" ref="AS372">IFERROR(INDEX('TB-EQUIPMENT &amp; OTHER HPs'!$AB$138:$AB$175,MATCH($E372&amp;$F372,'TB-EQUIPMENT &amp; OTHER HPs'!$E$138:$E$175&amp;'TB-EQUIPMENT &amp; OTHER HPs'!$I$138:$I$175,0)),0)</f>
        <v>0</v>
      </c>
      <c r="AT372" s="625">
        <f t="array" ref="AT372">IFERROR(INDEX('TB-EQUIPMENT &amp; OTHER HPs'!$AC$138:$AC$175,MATCH($E372&amp;$F372,'TB-EQUIPMENT &amp; OTHER HPs'!$E$138:$E$175&amp;'TB-EQUIPMENT &amp; OTHER HPs'!$I$138:$I$175,0)),0)</f>
        <v>0</v>
      </c>
      <c r="AU372" s="626">
        <f t="shared" si="420"/>
        <v>0</v>
      </c>
      <c r="AV372" s="626">
        <f t="shared" si="421"/>
        <v>0</v>
      </c>
      <c r="AW372" s="626">
        <f t="shared" si="422"/>
        <v>0</v>
      </c>
      <c r="AX372" s="625">
        <f t="array" ref="AX372">IFERROR(INDEX('TB-EQUIPMENT &amp; OTHER HPs'!$AD$138:$AD$175,MATCH($E372&amp;$F372,'TB-EQUIPMENT &amp; OTHER HPs'!$E$138:$E$175&amp;'TB-EQUIPMENT &amp; OTHER HPs'!$I$138:$I$175,0)),0)</f>
        <v>0</v>
      </c>
      <c r="AY372" s="626">
        <f t="shared" si="423"/>
        <v>0</v>
      </c>
      <c r="AZ372" s="626">
        <f t="shared" si="424"/>
        <v>0</v>
      </c>
      <c r="BA372" s="626">
        <f t="shared" si="425"/>
        <v>0</v>
      </c>
      <c r="BB372" s="625">
        <f t="array" ref="BB372">IFERROR(INDEX('TB-EQUIPMENT &amp; OTHER HPs'!$AE$138:$AE$175,MATCH($E372&amp;$F372,'TB-EQUIPMENT &amp; OTHER HPs'!$E$138:$E$175&amp;'TB-EQUIPMENT &amp; OTHER HPs'!$I$138:$I$175,0)),0)</f>
        <v>0</v>
      </c>
      <c r="BC372" s="626">
        <f t="shared" si="426"/>
        <v>0</v>
      </c>
      <c r="BD372" s="626">
        <f t="shared" si="427"/>
        <v>0</v>
      </c>
      <c r="BE372" s="626">
        <f t="shared" si="428"/>
        <v>0</v>
      </c>
      <c r="BF372" s="625">
        <f t="array" ref="BF372">IFERROR(INDEX('TB-EQUIPMENT &amp; OTHER HPs'!$AF$138:$AF$175,MATCH($E372&amp;$F372,'TB-EQUIPMENT &amp; OTHER HPs'!$E$138:$E$175&amp;'TB-EQUIPMENT &amp; OTHER HPs'!$I$138:$I$175,0)),0)</f>
        <v>0</v>
      </c>
      <c r="BG372" s="626">
        <f t="shared" si="429"/>
        <v>0</v>
      </c>
      <c r="BH372" s="626">
        <f t="shared" si="430"/>
        <v>0</v>
      </c>
      <c r="BI372" s="626">
        <f t="shared" si="431"/>
        <v>0</v>
      </c>
      <c r="BJ372" s="630"/>
      <c r="BK372" s="625"/>
      <c r="BL372" s="625"/>
      <c r="BM372" s="625"/>
      <c r="BN372" s="625"/>
      <c r="BO372" s="625"/>
      <c r="BP372" s="625"/>
      <c r="BQ372" s="625"/>
      <c r="BR372" s="625"/>
    </row>
    <row r="373" spans="1:70">
      <c r="A373" s="29" t="s">
        <v>1755</v>
      </c>
      <c r="B373" s="29" t="s">
        <v>1838</v>
      </c>
      <c r="C373" s="619">
        <f>SETUP!$F$44</f>
        <v>0</v>
      </c>
      <c r="D373" s="25">
        <v>5.4</v>
      </c>
      <c r="E373" s="26" t="s">
        <v>205</v>
      </c>
      <c r="F373" s="26" t="s">
        <v>829</v>
      </c>
      <c r="G373" s="625" t="str">
        <f t="array" ref="G373">IFERROR(INDEX('TB-EQUIPMENT &amp; OTHER HPs'!$L$138:$L$175,MATCH($E373&amp;$F373,'TB-EQUIPMENT &amp; OTHER HPs'!$E$138:$E$175&amp;'TB-EQUIPMENT &amp; OTHER HPs'!$I$138:$I$175,0)),"")</f>
        <v/>
      </c>
      <c r="H373" s="625" t="str">
        <f t="array" ref="H373">IFERROR(INDEX('TB-EQUIPMENT &amp; OTHER HPs'!$M$138:$M$175,MATCH($E373&amp;$F373,'TB-EQUIPMENT &amp; OTHER HPs'!$E$138:$E$175&amp;'TB-EQUIPMENT &amp; OTHER HPs'!$I$138:$I$175,0)),"")</f>
        <v/>
      </c>
      <c r="I373" s="625">
        <f t="array" ref="I373">IFERROR(INDEX('TB-EQUIPMENT &amp; OTHER HPs'!$N$138:$N$175,MATCH($E373&amp;$F373,'TB-EQUIPMENT &amp; OTHER HPs'!$E$138:$E$175&amp;'TB-EQUIPMENT &amp; OTHER HPs'!$I$138:$I$175,0)),0)</f>
        <v>0</v>
      </c>
      <c r="J373" s="625">
        <f t="array" ref="J373">IFERROR(INDEX('TB-EQUIPMENT &amp; OTHER HPs'!$O$138:$O$175,MATCH($E373&amp;$F373,'TB-EQUIPMENT &amp; OTHER HPs'!$E$138:$E$175&amp;'TB-EQUIPMENT &amp; OTHER HPs'!$I$138:$I$175,0)),0)</f>
        <v>0</v>
      </c>
      <c r="K373" s="626">
        <f t="shared" si="396"/>
        <v>0</v>
      </c>
      <c r="L373" s="626">
        <f t="shared" si="397"/>
        <v>0</v>
      </c>
      <c r="M373" s="626">
        <f t="shared" si="398"/>
        <v>0</v>
      </c>
      <c r="N373" s="625">
        <f t="array" ref="N373">IFERROR(INDEX('TB-EQUIPMENT &amp; OTHER HPs'!$P$138:$P$175,MATCH($E373&amp;$F373,'TB-EQUIPMENT &amp; OTHER HPs'!$E$138:$E$175&amp;'TB-EQUIPMENT &amp; OTHER HPs'!$I$138:$I$175,0)),0)</f>
        <v>0</v>
      </c>
      <c r="O373" s="626">
        <f t="shared" si="399"/>
        <v>0</v>
      </c>
      <c r="P373" s="626">
        <f t="shared" si="400"/>
        <v>0</v>
      </c>
      <c r="Q373" s="626">
        <f t="shared" si="401"/>
        <v>0</v>
      </c>
      <c r="R373" s="625">
        <f t="array" ref="R373">IFERROR(INDEX('TB-EQUIPMENT &amp; OTHER HPs'!$Q$138:$Q$175,MATCH($E373&amp;$F373,'TB-EQUIPMENT &amp; OTHER HPs'!$E$138:$E$175&amp;'TB-EQUIPMENT &amp; OTHER HPs'!$I$138:$I$175,0)),0)</f>
        <v>0</v>
      </c>
      <c r="S373" s="626">
        <f t="shared" si="402"/>
        <v>0</v>
      </c>
      <c r="T373" s="626">
        <f t="shared" si="403"/>
        <v>0</v>
      </c>
      <c r="U373" s="626">
        <f t="shared" si="404"/>
        <v>0</v>
      </c>
      <c r="V373" s="625">
        <f t="array" ref="V373">IFERROR(INDEX('TB-EQUIPMENT &amp; OTHER HPs'!$R$138:$R$175,MATCH($E373&amp;$F373,'TB-EQUIPMENT &amp; OTHER HPs'!$E$138:$E$175&amp;'TB-EQUIPMENT &amp; OTHER HPs'!$I$138:$I$175,0)),0)</f>
        <v>0</v>
      </c>
      <c r="W373" s="626">
        <f t="shared" si="405"/>
        <v>0</v>
      </c>
      <c r="X373" s="626">
        <f t="shared" si="406"/>
        <v>0</v>
      </c>
      <c r="Y373" s="626">
        <f t="shared" si="407"/>
        <v>0</v>
      </c>
      <c r="AA373" s="625">
        <f t="array" ref="AA373">IFERROR(INDEX('TB-EQUIPMENT &amp; OTHER HPs'!$U$138:$U$175,MATCH($E373&amp;$F373,'TB-EQUIPMENT &amp; OTHER HPs'!$E$138:$E$175&amp;'TB-EQUIPMENT &amp; OTHER HPs'!$I$138:$I$175,0)),0)</f>
        <v>0</v>
      </c>
      <c r="AB373" s="625">
        <f t="array" ref="AB373">IFERROR(INDEX('TB-EQUIPMENT &amp; OTHER HPs'!$V$138:$V$175,MATCH($E373&amp;$F373,'TB-EQUIPMENT &amp; OTHER HPs'!$E$138:$E$175&amp;'TB-EQUIPMENT &amp; OTHER HPs'!$I$138:$I$175,0)),0)</f>
        <v>0</v>
      </c>
      <c r="AC373" s="626">
        <f t="shared" si="408"/>
        <v>0</v>
      </c>
      <c r="AD373" s="626">
        <f t="shared" si="409"/>
        <v>0</v>
      </c>
      <c r="AE373" s="626">
        <f t="shared" si="410"/>
        <v>0</v>
      </c>
      <c r="AF373" s="625">
        <f t="array" ref="AF373">IFERROR(INDEX('TB-EQUIPMENT &amp; OTHER HPs'!$W$138:$W$175,MATCH($E373&amp;$F373,'TB-EQUIPMENT &amp; OTHER HPs'!$E$138:$E$175&amp;'TB-EQUIPMENT &amp; OTHER HPs'!$I$138:$I$175,0)),0)</f>
        <v>0</v>
      </c>
      <c r="AG373" s="626">
        <f t="shared" si="411"/>
        <v>0</v>
      </c>
      <c r="AH373" s="626">
        <f t="shared" si="412"/>
        <v>0</v>
      </c>
      <c r="AI373" s="626">
        <f t="shared" si="413"/>
        <v>0</v>
      </c>
      <c r="AJ373" s="625">
        <f t="array" ref="AJ373">IFERROR(INDEX('TB-EQUIPMENT &amp; OTHER HPs'!$X$138:$X$175,MATCH($E373&amp;$F373,'TB-EQUIPMENT &amp; OTHER HPs'!$E$138:$E$175&amp;'TB-EQUIPMENT &amp; OTHER HPs'!$I$138:$I$175,0)),0)</f>
        <v>0</v>
      </c>
      <c r="AK373" s="626">
        <f t="shared" si="414"/>
        <v>0</v>
      </c>
      <c r="AL373" s="626">
        <f t="shared" si="415"/>
        <v>0</v>
      </c>
      <c r="AM373" s="626">
        <f t="shared" si="416"/>
        <v>0</v>
      </c>
      <c r="AN373" s="625">
        <f t="array" ref="AN373">IFERROR(INDEX('TB-EQUIPMENT &amp; OTHER HPs'!$Y$138:$Y$175,MATCH($E373&amp;$F373,'TB-EQUIPMENT &amp; OTHER HPs'!$E$138:$E$175&amp;'TB-EQUIPMENT &amp; OTHER HPs'!$I$138:$I$175,0)),0)</f>
        <v>0</v>
      </c>
      <c r="AO373" s="626">
        <f t="shared" si="417"/>
        <v>0</v>
      </c>
      <c r="AP373" s="626">
        <f t="shared" si="418"/>
        <v>0</v>
      </c>
      <c r="AQ373" s="626">
        <f t="shared" si="419"/>
        <v>0</v>
      </c>
      <c r="AR373" s="630"/>
      <c r="AS373" s="625">
        <f t="array" ref="AS373">IFERROR(INDEX('TB-EQUIPMENT &amp; OTHER HPs'!$AB$138:$AB$175,MATCH($E373&amp;$F373,'TB-EQUIPMENT &amp; OTHER HPs'!$E$138:$E$175&amp;'TB-EQUIPMENT &amp; OTHER HPs'!$I$138:$I$175,0)),0)</f>
        <v>0</v>
      </c>
      <c r="AT373" s="625">
        <f t="array" ref="AT373">IFERROR(INDEX('TB-EQUIPMENT &amp; OTHER HPs'!$AC$138:$AC$175,MATCH($E373&amp;$F373,'TB-EQUIPMENT &amp; OTHER HPs'!$E$138:$E$175&amp;'TB-EQUIPMENT &amp; OTHER HPs'!$I$138:$I$175,0)),0)</f>
        <v>0</v>
      </c>
      <c r="AU373" s="626">
        <f t="shared" si="420"/>
        <v>0</v>
      </c>
      <c r="AV373" s="626">
        <f t="shared" si="421"/>
        <v>0</v>
      </c>
      <c r="AW373" s="626">
        <f t="shared" si="422"/>
        <v>0</v>
      </c>
      <c r="AX373" s="625">
        <f t="array" ref="AX373">IFERROR(INDEX('TB-EQUIPMENT &amp; OTHER HPs'!$AD$138:$AD$175,MATCH($E373&amp;$F373,'TB-EQUIPMENT &amp; OTHER HPs'!$E$138:$E$175&amp;'TB-EQUIPMENT &amp; OTHER HPs'!$I$138:$I$175,0)),0)</f>
        <v>0</v>
      </c>
      <c r="AY373" s="626">
        <f t="shared" si="423"/>
        <v>0</v>
      </c>
      <c r="AZ373" s="626">
        <f t="shared" si="424"/>
        <v>0</v>
      </c>
      <c r="BA373" s="626">
        <f t="shared" si="425"/>
        <v>0</v>
      </c>
      <c r="BB373" s="625">
        <f t="array" ref="BB373">IFERROR(INDEX('TB-EQUIPMENT &amp; OTHER HPs'!$AE$138:$AE$175,MATCH($E373&amp;$F373,'TB-EQUIPMENT &amp; OTHER HPs'!$E$138:$E$175&amp;'TB-EQUIPMENT &amp; OTHER HPs'!$I$138:$I$175,0)),0)</f>
        <v>0</v>
      </c>
      <c r="BC373" s="626">
        <f t="shared" si="426"/>
        <v>0</v>
      </c>
      <c r="BD373" s="626">
        <f t="shared" si="427"/>
        <v>0</v>
      </c>
      <c r="BE373" s="626">
        <f t="shared" si="428"/>
        <v>0</v>
      </c>
      <c r="BF373" s="625">
        <f t="array" ref="BF373">IFERROR(INDEX('TB-EQUIPMENT &amp; OTHER HPs'!$AF$138:$AF$175,MATCH($E373&amp;$F373,'TB-EQUIPMENT &amp; OTHER HPs'!$E$138:$E$175&amp;'TB-EQUIPMENT &amp; OTHER HPs'!$I$138:$I$175,0)),0)</f>
        <v>0</v>
      </c>
      <c r="BG373" s="626">
        <f t="shared" si="429"/>
        <v>0</v>
      </c>
      <c r="BH373" s="626">
        <f t="shared" si="430"/>
        <v>0</v>
      </c>
      <c r="BI373" s="626">
        <f t="shared" si="431"/>
        <v>0</v>
      </c>
      <c r="BJ373" s="630"/>
      <c r="BK373" s="625"/>
      <c r="BL373" s="625"/>
      <c r="BM373" s="625"/>
      <c r="BN373" s="625"/>
      <c r="BO373" s="625"/>
      <c r="BP373" s="625"/>
      <c r="BQ373" s="625"/>
      <c r="BR373" s="625"/>
    </row>
    <row r="374" spans="1:70">
      <c r="A374" s="29" t="s">
        <v>1755</v>
      </c>
      <c r="B374" s="29" t="s">
        <v>1838</v>
      </c>
      <c r="C374" s="619">
        <f>SETUP!$F$44</f>
        <v>0</v>
      </c>
      <c r="D374" s="25">
        <v>5.4</v>
      </c>
      <c r="E374" s="26" t="s">
        <v>205</v>
      </c>
      <c r="F374" s="26" t="s">
        <v>1504</v>
      </c>
      <c r="G374" s="625" t="str">
        <f t="array" ref="G374">IFERROR(INDEX('TB-EQUIPMENT &amp; OTHER HPs'!$L$138:$L$175,MATCH($E374&amp;$F374,'TB-EQUIPMENT &amp; OTHER HPs'!$E$138:$E$175&amp;'TB-EQUIPMENT &amp; OTHER HPs'!$I$138:$I$175,0)),"")</f>
        <v/>
      </c>
      <c r="H374" s="625" t="str">
        <f t="array" ref="H374">IFERROR(INDEX('TB-EQUIPMENT &amp; OTHER HPs'!$M$138:$M$175,MATCH($E374&amp;$F374,'TB-EQUIPMENT &amp; OTHER HPs'!$E$138:$E$175&amp;'TB-EQUIPMENT &amp; OTHER HPs'!$I$138:$I$175,0)),"")</f>
        <v/>
      </c>
      <c r="I374" s="625">
        <f t="array" ref="I374">IFERROR(INDEX('TB-EQUIPMENT &amp; OTHER HPs'!$N$138:$N$175,MATCH($E374&amp;$F374,'TB-EQUIPMENT &amp; OTHER HPs'!$E$138:$E$175&amp;'TB-EQUIPMENT &amp; OTHER HPs'!$I$138:$I$175,0)),0)</f>
        <v>0</v>
      </c>
      <c r="J374" s="625">
        <f t="array" ref="J374">IFERROR(INDEX('TB-EQUIPMENT &amp; OTHER HPs'!$O$138:$O$175,MATCH($E374&amp;$F374,'TB-EQUIPMENT &amp; OTHER HPs'!$E$138:$E$175&amp;'TB-EQUIPMENT &amp; OTHER HPs'!$I$138:$I$175,0)),0)</f>
        <v>0</v>
      </c>
      <c r="K374" s="626">
        <f t="shared" si="396"/>
        <v>0</v>
      </c>
      <c r="L374" s="626">
        <f t="shared" si="397"/>
        <v>0</v>
      </c>
      <c r="M374" s="626">
        <f t="shared" si="398"/>
        <v>0</v>
      </c>
      <c r="N374" s="625">
        <f t="array" ref="N374">IFERROR(INDEX('TB-EQUIPMENT &amp; OTHER HPs'!$P$138:$P$175,MATCH($E374&amp;$F374,'TB-EQUIPMENT &amp; OTHER HPs'!$E$138:$E$175&amp;'TB-EQUIPMENT &amp; OTHER HPs'!$I$138:$I$175,0)),0)</f>
        <v>0</v>
      </c>
      <c r="O374" s="626">
        <f t="shared" si="399"/>
        <v>0</v>
      </c>
      <c r="P374" s="626">
        <f t="shared" si="400"/>
        <v>0</v>
      </c>
      <c r="Q374" s="626">
        <f t="shared" si="401"/>
        <v>0</v>
      </c>
      <c r="R374" s="625">
        <f t="array" ref="R374">IFERROR(INDEX('TB-EQUIPMENT &amp; OTHER HPs'!$Q$138:$Q$175,MATCH($E374&amp;$F374,'TB-EQUIPMENT &amp; OTHER HPs'!$E$138:$E$175&amp;'TB-EQUIPMENT &amp; OTHER HPs'!$I$138:$I$175,0)),0)</f>
        <v>0</v>
      </c>
      <c r="S374" s="626">
        <f t="shared" si="402"/>
        <v>0</v>
      </c>
      <c r="T374" s="626">
        <f t="shared" si="403"/>
        <v>0</v>
      </c>
      <c r="U374" s="626">
        <f t="shared" si="404"/>
        <v>0</v>
      </c>
      <c r="V374" s="625">
        <f t="array" ref="V374">IFERROR(INDEX('TB-EQUIPMENT &amp; OTHER HPs'!$R$138:$R$175,MATCH($E374&amp;$F374,'TB-EQUIPMENT &amp; OTHER HPs'!$E$138:$E$175&amp;'TB-EQUIPMENT &amp; OTHER HPs'!$I$138:$I$175,0)),0)</f>
        <v>0</v>
      </c>
      <c r="W374" s="626">
        <f t="shared" si="405"/>
        <v>0</v>
      </c>
      <c r="X374" s="626">
        <f t="shared" si="406"/>
        <v>0</v>
      </c>
      <c r="Y374" s="626">
        <f t="shared" si="407"/>
        <v>0</v>
      </c>
      <c r="AA374" s="625">
        <f t="array" ref="AA374">IFERROR(INDEX('TB-EQUIPMENT &amp; OTHER HPs'!$U$138:$U$175,MATCH($E374&amp;$F374,'TB-EQUIPMENT &amp; OTHER HPs'!$E$138:$E$175&amp;'TB-EQUIPMENT &amp; OTHER HPs'!$I$138:$I$175,0)),0)</f>
        <v>0</v>
      </c>
      <c r="AB374" s="625">
        <f t="array" ref="AB374">IFERROR(INDEX('TB-EQUIPMENT &amp; OTHER HPs'!$V$138:$V$175,MATCH($E374&amp;$F374,'TB-EQUIPMENT &amp; OTHER HPs'!$E$138:$E$175&amp;'TB-EQUIPMENT &amp; OTHER HPs'!$I$138:$I$175,0)),0)</f>
        <v>0</v>
      </c>
      <c r="AC374" s="626">
        <f t="shared" si="408"/>
        <v>0</v>
      </c>
      <c r="AD374" s="626">
        <f t="shared" si="409"/>
        <v>0</v>
      </c>
      <c r="AE374" s="626">
        <f t="shared" si="410"/>
        <v>0</v>
      </c>
      <c r="AF374" s="625">
        <f t="array" ref="AF374">IFERROR(INDEX('TB-EQUIPMENT &amp; OTHER HPs'!$W$138:$W$175,MATCH($E374&amp;$F374,'TB-EQUIPMENT &amp; OTHER HPs'!$E$138:$E$175&amp;'TB-EQUIPMENT &amp; OTHER HPs'!$I$138:$I$175,0)),0)</f>
        <v>0</v>
      </c>
      <c r="AG374" s="626">
        <f t="shared" si="411"/>
        <v>0</v>
      </c>
      <c r="AH374" s="626">
        <f t="shared" si="412"/>
        <v>0</v>
      </c>
      <c r="AI374" s="626">
        <f t="shared" si="413"/>
        <v>0</v>
      </c>
      <c r="AJ374" s="625">
        <f t="array" ref="AJ374">IFERROR(INDEX('TB-EQUIPMENT &amp; OTHER HPs'!$X$138:$X$175,MATCH($E374&amp;$F374,'TB-EQUIPMENT &amp; OTHER HPs'!$E$138:$E$175&amp;'TB-EQUIPMENT &amp; OTHER HPs'!$I$138:$I$175,0)),0)</f>
        <v>0</v>
      </c>
      <c r="AK374" s="626">
        <f t="shared" si="414"/>
        <v>0</v>
      </c>
      <c r="AL374" s="626">
        <f t="shared" si="415"/>
        <v>0</v>
      </c>
      <c r="AM374" s="626">
        <f t="shared" si="416"/>
        <v>0</v>
      </c>
      <c r="AN374" s="625">
        <f t="array" ref="AN374">IFERROR(INDEX('TB-EQUIPMENT &amp; OTHER HPs'!$Y$138:$Y$175,MATCH($E374&amp;$F374,'TB-EQUIPMENT &amp; OTHER HPs'!$E$138:$E$175&amp;'TB-EQUIPMENT &amp; OTHER HPs'!$I$138:$I$175,0)),0)</f>
        <v>0</v>
      </c>
      <c r="AO374" s="626">
        <f t="shared" si="417"/>
        <v>0</v>
      </c>
      <c r="AP374" s="626">
        <f t="shared" si="418"/>
        <v>0</v>
      </c>
      <c r="AQ374" s="626">
        <f t="shared" si="419"/>
        <v>0</v>
      </c>
      <c r="AR374" s="630"/>
      <c r="AS374" s="625">
        <f t="array" ref="AS374">IFERROR(INDEX('TB-EQUIPMENT &amp; OTHER HPs'!$AB$138:$AB$175,MATCH($E374&amp;$F374,'TB-EQUIPMENT &amp; OTHER HPs'!$E$138:$E$175&amp;'TB-EQUIPMENT &amp; OTHER HPs'!$I$138:$I$175,0)),0)</f>
        <v>0</v>
      </c>
      <c r="AT374" s="625">
        <f t="array" ref="AT374">IFERROR(INDEX('TB-EQUIPMENT &amp; OTHER HPs'!$AC$138:$AC$175,MATCH($E374&amp;$F374,'TB-EQUIPMENT &amp; OTHER HPs'!$E$138:$E$175&amp;'TB-EQUIPMENT &amp; OTHER HPs'!$I$138:$I$175,0)),0)</f>
        <v>0</v>
      </c>
      <c r="AU374" s="626">
        <f t="shared" si="420"/>
        <v>0</v>
      </c>
      <c r="AV374" s="626">
        <f t="shared" si="421"/>
        <v>0</v>
      </c>
      <c r="AW374" s="626">
        <f t="shared" si="422"/>
        <v>0</v>
      </c>
      <c r="AX374" s="625">
        <f t="array" ref="AX374">IFERROR(INDEX('TB-EQUIPMENT &amp; OTHER HPs'!$AD$138:$AD$175,MATCH($E374&amp;$F374,'TB-EQUIPMENT &amp; OTHER HPs'!$E$138:$E$175&amp;'TB-EQUIPMENT &amp; OTHER HPs'!$I$138:$I$175,0)),0)</f>
        <v>0</v>
      </c>
      <c r="AY374" s="626">
        <f t="shared" si="423"/>
        <v>0</v>
      </c>
      <c r="AZ374" s="626">
        <f t="shared" si="424"/>
        <v>0</v>
      </c>
      <c r="BA374" s="626">
        <f t="shared" si="425"/>
        <v>0</v>
      </c>
      <c r="BB374" s="625">
        <f t="array" ref="BB374">IFERROR(INDEX('TB-EQUIPMENT &amp; OTHER HPs'!$AE$138:$AE$175,MATCH($E374&amp;$F374,'TB-EQUIPMENT &amp; OTHER HPs'!$E$138:$E$175&amp;'TB-EQUIPMENT &amp; OTHER HPs'!$I$138:$I$175,0)),0)</f>
        <v>0</v>
      </c>
      <c r="BC374" s="626">
        <f t="shared" si="426"/>
        <v>0</v>
      </c>
      <c r="BD374" s="626">
        <f t="shared" si="427"/>
        <v>0</v>
      </c>
      <c r="BE374" s="626">
        <f t="shared" si="428"/>
        <v>0</v>
      </c>
      <c r="BF374" s="625">
        <f t="array" ref="BF374">IFERROR(INDEX('TB-EQUIPMENT &amp; OTHER HPs'!$AF$138:$AF$175,MATCH($E374&amp;$F374,'TB-EQUIPMENT &amp; OTHER HPs'!$E$138:$E$175&amp;'TB-EQUIPMENT &amp; OTHER HPs'!$I$138:$I$175,0)),0)</f>
        <v>0</v>
      </c>
      <c r="BG374" s="626">
        <f t="shared" si="429"/>
        <v>0</v>
      </c>
      <c r="BH374" s="626">
        <f t="shared" si="430"/>
        <v>0</v>
      </c>
      <c r="BI374" s="626">
        <f t="shared" si="431"/>
        <v>0</v>
      </c>
      <c r="BJ374" s="630"/>
      <c r="BK374" s="625"/>
      <c r="BL374" s="625"/>
      <c r="BM374" s="625"/>
      <c r="BN374" s="625"/>
      <c r="BO374" s="625"/>
      <c r="BP374" s="625"/>
      <c r="BQ374" s="625"/>
      <c r="BR374" s="625"/>
    </row>
    <row r="375" spans="1:70">
      <c r="A375" s="29" t="s">
        <v>1755</v>
      </c>
      <c r="B375" s="29" t="s">
        <v>1838</v>
      </c>
      <c r="C375" s="619">
        <f>SETUP!$F$44</f>
        <v>0</v>
      </c>
      <c r="D375" s="25">
        <v>5.4</v>
      </c>
      <c r="E375" s="26" t="s">
        <v>205</v>
      </c>
      <c r="F375" s="26" t="s">
        <v>1519</v>
      </c>
      <c r="G375" s="625" t="str">
        <f t="array" ref="G375">IFERROR(INDEX('TB-EQUIPMENT &amp; OTHER HPs'!$L$138:$L$175,MATCH($E375&amp;$F375,'TB-EQUIPMENT &amp; OTHER HPs'!$E$138:$E$175&amp;'TB-EQUIPMENT &amp; OTHER HPs'!$I$138:$I$175,0)),"")</f>
        <v/>
      </c>
      <c r="H375" s="625" t="str">
        <f t="array" ref="H375">IFERROR(INDEX('TB-EQUIPMENT &amp; OTHER HPs'!$M$138:$M$175,MATCH($E375&amp;$F375,'TB-EQUIPMENT &amp; OTHER HPs'!$E$138:$E$175&amp;'TB-EQUIPMENT &amp; OTHER HPs'!$I$138:$I$175,0)),"")</f>
        <v/>
      </c>
      <c r="I375" s="625">
        <f t="array" ref="I375">IFERROR(INDEX('TB-EQUIPMENT &amp; OTHER HPs'!$N$138:$N$175,MATCH($E375&amp;$F375,'TB-EQUIPMENT &amp; OTHER HPs'!$E$138:$E$175&amp;'TB-EQUIPMENT &amp; OTHER HPs'!$I$138:$I$175,0)),0)</f>
        <v>0</v>
      </c>
      <c r="J375" s="625">
        <f t="array" ref="J375">IFERROR(INDEX('TB-EQUIPMENT &amp; OTHER HPs'!$O$138:$O$175,MATCH($E375&amp;$F375,'TB-EQUIPMENT &amp; OTHER HPs'!$E$138:$E$175&amp;'TB-EQUIPMENT &amp; OTHER HPs'!$I$138:$I$175,0)),0)</f>
        <v>0</v>
      </c>
      <c r="K375" s="626">
        <f t="shared" si="396"/>
        <v>0</v>
      </c>
      <c r="L375" s="626">
        <f t="shared" si="397"/>
        <v>0</v>
      </c>
      <c r="M375" s="626">
        <f t="shared" si="398"/>
        <v>0</v>
      </c>
      <c r="N375" s="625">
        <f t="array" ref="N375">IFERROR(INDEX('TB-EQUIPMENT &amp; OTHER HPs'!$P$138:$P$175,MATCH($E375&amp;$F375,'TB-EQUIPMENT &amp; OTHER HPs'!$E$138:$E$175&amp;'TB-EQUIPMENT &amp; OTHER HPs'!$I$138:$I$175,0)),0)</f>
        <v>0</v>
      </c>
      <c r="O375" s="626">
        <f t="shared" si="399"/>
        <v>0</v>
      </c>
      <c r="P375" s="626">
        <f t="shared" si="400"/>
        <v>0</v>
      </c>
      <c r="Q375" s="626">
        <f t="shared" si="401"/>
        <v>0</v>
      </c>
      <c r="R375" s="625">
        <f t="array" ref="R375">IFERROR(INDEX('TB-EQUIPMENT &amp; OTHER HPs'!$Q$138:$Q$175,MATCH($E375&amp;$F375,'TB-EQUIPMENT &amp; OTHER HPs'!$E$138:$E$175&amp;'TB-EQUIPMENT &amp; OTHER HPs'!$I$138:$I$175,0)),0)</f>
        <v>0</v>
      </c>
      <c r="S375" s="626">
        <f t="shared" si="402"/>
        <v>0</v>
      </c>
      <c r="T375" s="626">
        <f t="shared" si="403"/>
        <v>0</v>
      </c>
      <c r="U375" s="626">
        <f t="shared" si="404"/>
        <v>0</v>
      </c>
      <c r="V375" s="625">
        <f t="array" ref="V375">IFERROR(INDEX('TB-EQUIPMENT &amp; OTHER HPs'!$R$138:$R$175,MATCH($E375&amp;$F375,'TB-EQUIPMENT &amp; OTHER HPs'!$E$138:$E$175&amp;'TB-EQUIPMENT &amp; OTHER HPs'!$I$138:$I$175,0)),0)</f>
        <v>0</v>
      </c>
      <c r="W375" s="626">
        <f t="shared" si="405"/>
        <v>0</v>
      </c>
      <c r="X375" s="626">
        <f t="shared" si="406"/>
        <v>0</v>
      </c>
      <c r="Y375" s="626">
        <f t="shared" si="407"/>
        <v>0</v>
      </c>
      <c r="AA375" s="625">
        <f t="array" ref="AA375">IFERROR(INDEX('TB-EQUIPMENT &amp; OTHER HPs'!$U$138:$U$175,MATCH($E375&amp;$F375,'TB-EQUIPMENT &amp; OTHER HPs'!$E$138:$E$175&amp;'TB-EQUIPMENT &amp; OTHER HPs'!$I$138:$I$175,0)),0)</f>
        <v>0</v>
      </c>
      <c r="AB375" s="625">
        <f t="array" ref="AB375">IFERROR(INDEX('TB-EQUIPMENT &amp; OTHER HPs'!$V$138:$V$175,MATCH($E375&amp;$F375,'TB-EQUIPMENT &amp; OTHER HPs'!$E$138:$E$175&amp;'TB-EQUIPMENT &amp; OTHER HPs'!$I$138:$I$175,0)),0)</f>
        <v>0</v>
      </c>
      <c r="AC375" s="626">
        <f t="shared" si="408"/>
        <v>0</v>
      </c>
      <c r="AD375" s="626">
        <f t="shared" si="409"/>
        <v>0</v>
      </c>
      <c r="AE375" s="626">
        <f t="shared" si="410"/>
        <v>0</v>
      </c>
      <c r="AF375" s="625">
        <f t="array" ref="AF375">IFERROR(INDEX('TB-EQUIPMENT &amp; OTHER HPs'!$W$138:$W$175,MATCH($E375&amp;$F375,'TB-EQUIPMENT &amp; OTHER HPs'!$E$138:$E$175&amp;'TB-EQUIPMENT &amp; OTHER HPs'!$I$138:$I$175,0)),0)</f>
        <v>0</v>
      </c>
      <c r="AG375" s="626">
        <f t="shared" si="411"/>
        <v>0</v>
      </c>
      <c r="AH375" s="626">
        <f t="shared" si="412"/>
        <v>0</v>
      </c>
      <c r="AI375" s="626">
        <f t="shared" si="413"/>
        <v>0</v>
      </c>
      <c r="AJ375" s="625">
        <f t="array" ref="AJ375">IFERROR(INDEX('TB-EQUIPMENT &amp; OTHER HPs'!$X$138:$X$175,MATCH($E375&amp;$F375,'TB-EQUIPMENT &amp; OTHER HPs'!$E$138:$E$175&amp;'TB-EQUIPMENT &amp; OTHER HPs'!$I$138:$I$175,0)),0)</f>
        <v>0</v>
      </c>
      <c r="AK375" s="626">
        <f t="shared" si="414"/>
        <v>0</v>
      </c>
      <c r="AL375" s="626">
        <f t="shared" si="415"/>
        <v>0</v>
      </c>
      <c r="AM375" s="626">
        <f t="shared" si="416"/>
        <v>0</v>
      </c>
      <c r="AN375" s="625">
        <f t="array" ref="AN375">IFERROR(INDEX('TB-EQUIPMENT &amp; OTHER HPs'!$Y$138:$Y$175,MATCH($E375&amp;$F375,'TB-EQUIPMENT &amp; OTHER HPs'!$E$138:$E$175&amp;'TB-EQUIPMENT &amp; OTHER HPs'!$I$138:$I$175,0)),0)</f>
        <v>0</v>
      </c>
      <c r="AO375" s="626">
        <f t="shared" si="417"/>
        <v>0</v>
      </c>
      <c r="AP375" s="626">
        <f t="shared" si="418"/>
        <v>0</v>
      </c>
      <c r="AQ375" s="626">
        <f t="shared" si="419"/>
        <v>0</v>
      </c>
      <c r="AR375" s="630"/>
      <c r="AS375" s="625">
        <f t="array" ref="AS375">IFERROR(INDEX('TB-EQUIPMENT &amp; OTHER HPs'!$AB$138:$AB$175,MATCH($E375&amp;$F375,'TB-EQUIPMENT &amp; OTHER HPs'!$E$138:$E$175&amp;'TB-EQUIPMENT &amp; OTHER HPs'!$I$138:$I$175,0)),0)</f>
        <v>0</v>
      </c>
      <c r="AT375" s="625">
        <f t="array" ref="AT375">IFERROR(INDEX('TB-EQUIPMENT &amp; OTHER HPs'!$AC$138:$AC$175,MATCH($E375&amp;$F375,'TB-EQUIPMENT &amp; OTHER HPs'!$E$138:$E$175&amp;'TB-EQUIPMENT &amp; OTHER HPs'!$I$138:$I$175,0)),0)</f>
        <v>0</v>
      </c>
      <c r="AU375" s="626">
        <f t="shared" si="420"/>
        <v>0</v>
      </c>
      <c r="AV375" s="626">
        <f t="shared" si="421"/>
        <v>0</v>
      </c>
      <c r="AW375" s="626">
        <f t="shared" si="422"/>
        <v>0</v>
      </c>
      <c r="AX375" s="625">
        <f t="array" ref="AX375">IFERROR(INDEX('TB-EQUIPMENT &amp; OTHER HPs'!$AD$138:$AD$175,MATCH($E375&amp;$F375,'TB-EQUIPMENT &amp; OTHER HPs'!$E$138:$E$175&amp;'TB-EQUIPMENT &amp; OTHER HPs'!$I$138:$I$175,0)),0)</f>
        <v>0</v>
      </c>
      <c r="AY375" s="626">
        <f t="shared" si="423"/>
        <v>0</v>
      </c>
      <c r="AZ375" s="626">
        <f t="shared" si="424"/>
        <v>0</v>
      </c>
      <c r="BA375" s="626">
        <f t="shared" si="425"/>
        <v>0</v>
      </c>
      <c r="BB375" s="625">
        <f t="array" ref="BB375">IFERROR(INDEX('TB-EQUIPMENT &amp; OTHER HPs'!$AE$138:$AE$175,MATCH($E375&amp;$F375,'TB-EQUIPMENT &amp; OTHER HPs'!$E$138:$E$175&amp;'TB-EQUIPMENT &amp; OTHER HPs'!$I$138:$I$175,0)),0)</f>
        <v>0</v>
      </c>
      <c r="BC375" s="626">
        <f t="shared" si="426"/>
        <v>0</v>
      </c>
      <c r="BD375" s="626">
        <f t="shared" si="427"/>
        <v>0</v>
      </c>
      <c r="BE375" s="626">
        <f t="shared" si="428"/>
        <v>0</v>
      </c>
      <c r="BF375" s="625">
        <f t="array" ref="BF375">IFERROR(INDEX('TB-EQUIPMENT &amp; OTHER HPs'!$AF$138:$AF$175,MATCH($E375&amp;$F375,'TB-EQUIPMENT &amp; OTHER HPs'!$E$138:$E$175&amp;'TB-EQUIPMENT &amp; OTHER HPs'!$I$138:$I$175,0)),0)</f>
        <v>0</v>
      </c>
      <c r="BG375" s="626">
        <f t="shared" si="429"/>
        <v>0</v>
      </c>
      <c r="BH375" s="626">
        <f t="shared" si="430"/>
        <v>0</v>
      </c>
      <c r="BI375" s="626">
        <f t="shared" si="431"/>
        <v>0</v>
      </c>
      <c r="BJ375" s="630"/>
      <c r="BK375" s="625"/>
      <c r="BL375" s="625"/>
      <c r="BM375" s="625"/>
      <c r="BN375" s="625"/>
      <c r="BO375" s="625"/>
      <c r="BP375" s="625"/>
      <c r="BQ375" s="625"/>
      <c r="BR375" s="625"/>
    </row>
    <row r="376" spans="1:70">
      <c r="A376" s="29" t="s">
        <v>1755</v>
      </c>
      <c r="B376" s="29" t="s">
        <v>1838</v>
      </c>
      <c r="C376" s="619">
        <f>SETUP!$F$44</f>
        <v>0</v>
      </c>
      <c r="D376" s="25">
        <v>5.4</v>
      </c>
      <c r="E376" s="26" t="s">
        <v>205</v>
      </c>
      <c r="F376" s="26" t="s">
        <v>1520</v>
      </c>
      <c r="G376" s="625" t="str">
        <f t="array" ref="G376">IFERROR(INDEX('TB-EQUIPMENT &amp; OTHER HPs'!$L$138:$L$175,MATCH($E376&amp;$F376,'TB-EQUIPMENT &amp; OTHER HPs'!$E$138:$E$175&amp;'TB-EQUIPMENT &amp; OTHER HPs'!$I$138:$I$175,0)),"")</f>
        <v/>
      </c>
      <c r="H376" s="625" t="str">
        <f t="array" ref="H376">IFERROR(INDEX('TB-EQUIPMENT &amp; OTHER HPs'!$M$138:$M$175,MATCH($E376&amp;$F376,'TB-EQUIPMENT &amp; OTHER HPs'!$E$138:$E$175&amp;'TB-EQUIPMENT &amp; OTHER HPs'!$I$138:$I$175,0)),"")</f>
        <v/>
      </c>
      <c r="I376" s="625">
        <f t="array" ref="I376">IFERROR(INDEX('TB-EQUIPMENT &amp; OTHER HPs'!$N$138:$N$175,MATCH($E376&amp;$F376,'TB-EQUIPMENT &amp; OTHER HPs'!$E$138:$E$175&amp;'TB-EQUIPMENT &amp; OTHER HPs'!$I$138:$I$175,0)),0)</f>
        <v>0</v>
      </c>
      <c r="J376" s="625">
        <f t="array" ref="J376">IFERROR(INDEX('TB-EQUIPMENT &amp; OTHER HPs'!$O$138:$O$175,MATCH($E376&amp;$F376,'TB-EQUIPMENT &amp; OTHER HPs'!$E$138:$E$175&amp;'TB-EQUIPMENT &amp; OTHER HPs'!$I$138:$I$175,0)),0)</f>
        <v>0</v>
      </c>
      <c r="K376" s="626">
        <f t="shared" si="396"/>
        <v>0</v>
      </c>
      <c r="L376" s="626">
        <f t="shared" si="397"/>
        <v>0</v>
      </c>
      <c r="M376" s="626">
        <f t="shared" si="398"/>
        <v>0</v>
      </c>
      <c r="N376" s="625">
        <f t="array" ref="N376">IFERROR(INDEX('TB-EQUIPMENT &amp; OTHER HPs'!$P$138:$P$175,MATCH($E376&amp;$F376,'TB-EQUIPMENT &amp; OTHER HPs'!$E$138:$E$175&amp;'TB-EQUIPMENT &amp; OTHER HPs'!$I$138:$I$175,0)),0)</f>
        <v>0</v>
      </c>
      <c r="O376" s="626">
        <f t="shared" si="399"/>
        <v>0</v>
      </c>
      <c r="P376" s="626">
        <f t="shared" si="400"/>
        <v>0</v>
      </c>
      <c r="Q376" s="626">
        <f t="shared" si="401"/>
        <v>0</v>
      </c>
      <c r="R376" s="625">
        <f t="array" ref="R376">IFERROR(INDEX('TB-EQUIPMENT &amp; OTHER HPs'!$Q$138:$Q$175,MATCH($E376&amp;$F376,'TB-EQUIPMENT &amp; OTHER HPs'!$E$138:$E$175&amp;'TB-EQUIPMENT &amp; OTHER HPs'!$I$138:$I$175,0)),0)</f>
        <v>0</v>
      </c>
      <c r="S376" s="626">
        <f t="shared" si="402"/>
        <v>0</v>
      </c>
      <c r="T376" s="626">
        <f t="shared" si="403"/>
        <v>0</v>
      </c>
      <c r="U376" s="626">
        <f t="shared" si="404"/>
        <v>0</v>
      </c>
      <c r="V376" s="625">
        <f t="array" ref="V376">IFERROR(INDEX('TB-EQUIPMENT &amp; OTHER HPs'!$R$138:$R$175,MATCH($E376&amp;$F376,'TB-EQUIPMENT &amp; OTHER HPs'!$E$138:$E$175&amp;'TB-EQUIPMENT &amp; OTHER HPs'!$I$138:$I$175,0)),0)</f>
        <v>0</v>
      </c>
      <c r="W376" s="626">
        <f t="shared" si="405"/>
        <v>0</v>
      </c>
      <c r="X376" s="626">
        <f t="shared" si="406"/>
        <v>0</v>
      </c>
      <c r="Y376" s="626">
        <f t="shared" si="407"/>
        <v>0</v>
      </c>
      <c r="AA376" s="625">
        <f t="array" ref="AA376">IFERROR(INDEX('TB-EQUIPMENT &amp; OTHER HPs'!$U$138:$U$175,MATCH($E376&amp;$F376,'TB-EQUIPMENT &amp; OTHER HPs'!$E$138:$E$175&amp;'TB-EQUIPMENT &amp; OTHER HPs'!$I$138:$I$175,0)),0)</f>
        <v>0</v>
      </c>
      <c r="AB376" s="625">
        <f t="array" ref="AB376">IFERROR(INDEX('TB-EQUIPMENT &amp; OTHER HPs'!$V$138:$V$175,MATCH($E376&amp;$F376,'TB-EQUIPMENT &amp; OTHER HPs'!$E$138:$E$175&amp;'TB-EQUIPMENT &amp; OTHER HPs'!$I$138:$I$175,0)),0)</f>
        <v>0</v>
      </c>
      <c r="AC376" s="626">
        <f t="shared" si="408"/>
        <v>0</v>
      </c>
      <c r="AD376" s="626">
        <f t="shared" si="409"/>
        <v>0</v>
      </c>
      <c r="AE376" s="626">
        <f t="shared" si="410"/>
        <v>0</v>
      </c>
      <c r="AF376" s="625">
        <f t="array" ref="AF376">IFERROR(INDEX('TB-EQUIPMENT &amp; OTHER HPs'!$W$138:$W$175,MATCH($E376&amp;$F376,'TB-EQUIPMENT &amp; OTHER HPs'!$E$138:$E$175&amp;'TB-EQUIPMENT &amp; OTHER HPs'!$I$138:$I$175,0)),0)</f>
        <v>0</v>
      </c>
      <c r="AG376" s="626">
        <f t="shared" si="411"/>
        <v>0</v>
      </c>
      <c r="AH376" s="626">
        <f t="shared" si="412"/>
        <v>0</v>
      </c>
      <c r="AI376" s="626">
        <f t="shared" si="413"/>
        <v>0</v>
      </c>
      <c r="AJ376" s="625">
        <f t="array" ref="AJ376">IFERROR(INDEX('TB-EQUIPMENT &amp; OTHER HPs'!$X$138:$X$175,MATCH($E376&amp;$F376,'TB-EQUIPMENT &amp; OTHER HPs'!$E$138:$E$175&amp;'TB-EQUIPMENT &amp; OTHER HPs'!$I$138:$I$175,0)),0)</f>
        <v>0</v>
      </c>
      <c r="AK376" s="626">
        <f t="shared" si="414"/>
        <v>0</v>
      </c>
      <c r="AL376" s="626">
        <f t="shared" si="415"/>
        <v>0</v>
      </c>
      <c r="AM376" s="626">
        <f t="shared" si="416"/>
        <v>0</v>
      </c>
      <c r="AN376" s="625">
        <f t="array" ref="AN376">IFERROR(INDEX('TB-EQUIPMENT &amp; OTHER HPs'!$Y$138:$Y$175,MATCH($E376&amp;$F376,'TB-EQUIPMENT &amp; OTHER HPs'!$E$138:$E$175&amp;'TB-EQUIPMENT &amp; OTHER HPs'!$I$138:$I$175,0)),0)</f>
        <v>0</v>
      </c>
      <c r="AO376" s="626">
        <f t="shared" si="417"/>
        <v>0</v>
      </c>
      <c r="AP376" s="626">
        <f t="shared" si="418"/>
        <v>0</v>
      </c>
      <c r="AQ376" s="626">
        <f t="shared" si="419"/>
        <v>0</v>
      </c>
      <c r="AR376" s="630"/>
      <c r="AS376" s="625">
        <f t="array" ref="AS376">IFERROR(INDEX('TB-EQUIPMENT &amp; OTHER HPs'!$AB$138:$AB$175,MATCH($E376&amp;$F376,'TB-EQUIPMENT &amp; OTHER HPs'!$E$138:$E$175&amp;'TB-EQUIPMENT &amp; OTHER HPs'!$I$138:$I$175,0)),0)</f>
        <v>0</v>
      </c>
      <c r="AT376" s="625">
        <f t="array" ref="AT376">IFERROR(INDEX('TB-EQUIPMENT &amp; OTHER HPs'!$AC$138:$AC$175,MATCH($E376&amp;$F376,'TB-EQUIPMENT &amp; OTHER HPs'!$E$138:$E$175&amp;'TB-EQUIPMENT &amp; OTHER HPs'!$I$138:$I$175,0)),0)</f>
        <v>0</v>
      </c>
      <c r="AU376" s="626">
        <f t="shared" si="420"/>
        <v>0</v>
      </c>
      <c r="AV376" s="626">
        <f t="shared" si="421"/>
        <v>0</v>
      </c>
      <c r="AW376" s="626">
        <f t="shared" si="422"/>
        <v>0</v>
      </c>
      <c r="AX376" s="625">
        <f t="array" ref="AX376">IFERROR(INDEX('TB-EQUIPMENT &amp; OTHER HPs'!$AD$138:$AD$175,MATCH($E376&amp;$F376,'TB-EQUIPMENT &amp; OTHER HPs'!$E$138:$E$175&amp;'TB-EQUIPMENT &amp; OTHER HPs'!$I$138:$I$175,0)),0)</f>
        <v>0</v>
      </c>
      <c r="AY376" s="626">
        <f t="shared" si="423"/>
        <v>0</v>
      </c>
      <c r="AZ376" s="626">
        <f t="shared" si="424"/>
        <v>0</v>
      </c>
      <c r="BA376" s="626">
        <f t="shared" si="425"/>
        <v>0</v>
      </c>
      <c r="BB376" s="625">
        <f t="array" ref="BB376">IFERROR(INDEX('TB-EQUIPMENT &amp; OTHER HPs'!$AE$138:$AE$175,MATCH($E376&amp;$F376,'TB-EQUIPMENT &amp; OTHER HPs'!$E$138:$E$175&amp;'TB-EQUIPMENT &amp; OTHER HPs'!$I$138:$I$175,0)),0)</f>
        <v>0</v>
      </c>
      <c r="BC376" s="626">
        <f t="shared" si="426"/>
        <v>0</v>
      </c>
      <c r="BD376" s="626">
        <f t="shared" si="427"/>
        <v>0</v>
      </c>
      <c r="BE376" s="626">
        <f t="shared" si="428"/>
        <v>0</v>
      </c>
      <c r="BF376" s="625">
        <f t="array" ref="BF376">IFERROR(INDEX('TB-EQUIPMENT &amp; OTHER HPs'!$AF$138:$AF$175,MATCH($E376&amp;$F376,'TB-EQUIPMENT &amp; OTHER HPs'!$E$138:$E$175&amp;'TB-EQUIPMENT &amp; OTHER HPs'!$I$138:$I$175,0)),0)</f>
        <v>0</v>
      </c>
      <c r="BG376" s="626">
        <f t="shared" si="429"/>
        <v>0</v>
      </c>
      <c r="BH376" s="626">
        <f t="shared" si="430"/>
        <v>0</v>
      </c>
      <c r="BI376" s="626">
        <f t="shared" si="431"/>
        <v>0</v>
      </c>
      <c r="BJ376" s="630"/>
      <c r="BK376" s="625"/>
      <c r="BL376" s="625"/>
      <c r="BM376" s="625"/>
      <c r="BN376" s="625"/>
      <c r="BO376" s="625"/>
      <c r="BP376" s="625"/>
      <c r="BQ376" s="625"/>
      <c r="BR376" s="625"/>
    </row>
    <row r="377" spans="1:70">
      <c r="A377" s="29" t="s">
        <v>1755</v>
      </c>
      <c r="B377" s="29" t="s">
        <v>1838</v>
      </c>
      <c r="C377" s="619">
        <f>SETUP!$F$44</f>
        <v>0</v>
      </c>
      <c r="D377" s="25">
        <v>5.4</v>
      </c>
      <c r="E377" s="26" t="s">
        <v>205</v>
      </c>
      <c r="F377" s="26" t="s">
        <v>1505</v>
      </c>
      <c r="G377" s="625" t="str">
        <f t="array" ref="G377">IFERROR(INDEX('TB-EQUIPMENT &amp; OTHER HPs'!$L$138:$L$175,MATCH($E377&amp;$F377,'TB-EQUIPMENT &amp; OTHER HPs'!$E$138:$E$175&amp;'TB-EQUIPMENT &amp; OTHER HPs'!$I$138:$I$175,0)),"")</f>
        <v/>
      </c>
      <c r="H377" s="625" t="str">
        <f t="array" ref="H377">IFERROR(INDEX('TB-EQUIPMENT &amp; OTHER HPs'!$M$138:$M$175,MATCH($E377&amp;$F377,'TB-EQUIPMENT &amp; OTHER HPs'!$E$138:$E$175&amp;'TB-EQUIPMENT &amp; OTHER HPs'!$I$138:$I$175,0)),"")</f>
        <v/>
      </c>
      <c r="I377" s="625">
        <f t="array" ref="I377">IFERROR(INDEX('TB-EQUIPMENT &amp; OTHER HPs'!$N$138:$N$175,MATCH($E377&amp;$F377,'TB-EQUIPMENT &amp; OTHER HPs'!$E$138:$E$175&amp;'TB-EQUIPMENT &amp; OTHER HPs'!$I$138:$I$175,0)),0)</f>
        <v>0</v>
      </c>
      <c r="J377" s="625">
        <f t="array" ref="J377">IFERROR(INDEX('TB-EQUIPMENT &amp; OTHER HPs'!$O$138:$O$175,MATCH($E377&amp;$F377,'TB-EQUIPMENT &amp; OTHER HPs'!$E$138:$E$175&amp;'TB-EQUIPMENT &amp; OTHER HPs'!$I$138:$I$175,0)),0)</f>
        <v>0</v>
      </c>
      <c r="K377" s="626">
        <f t="shared" si="396"/>
        <v>0</v>
      </c>
      <c r="L377" s="626">
        <f t="shared" si="397"/>
        <v>0</v>
      </c>
      <c r="M377" s="626">
        <f t="shared" si="398"/>
        <v>0</v>
      </c>
      <c r="N377" s="625">
        <f t="array" ref="N377">IFERROR(INDEX('TB-EQUIPMENT &amp; OTHER HPs'!$P$138:$P$175,MATCH($E377&amp;$F377,'TB-EQUIPMENT &amp; OTHER HPs'!$E$138:$E$175&amp;'TB-EQUIPMENT &amp; OTHER HPs'!$I$138:$I$175,0)),0)</f>
        <v>0</v>
      </c>
      <c r="O377" s="626">
        <f t="shared" si="399"/>
        <v>0</v>
      </c>
      <c r="P377" s="626">
        <f t="shared" si="400"/>
        <v>0</v>
      </c>
      <c r="Q377" s="626">
        <f t="shared" si="401"/>
        <v>0</v>
      </c>
      <c r="R377" s="625">
        <f t="array" ref="R377">IFERROR(INDEX('TB-EQUIPMENT &amp; OTHER HPs'!$Q$138:$Q$175,MATCH($E377&amp;$F377,'TB-EQUIPMENT &amp; OTHER HPs'!$E$138:$E$175&amp;'TB-EQUIPMENT &amp; OTHER HPs'!$I$138:$I$175,0)),0)</f>
        <v>0</v>
      </c>
      <c r="S377" s="626">
        <f t="shared" si="402"/>
        <v>0</v>
      </c>
      <c r="T377" s="626">
        <f t="shared" si="403"/>
        <v>0</v>
      </c>
      <c r="U377" s="626">
        <f t="shared" si="404"/>
        <v>0</v>
      </c>
      <c r="V377" s="625">
        <f t="array" ref="V377">IFERROR(INDEX('TB-EQUIPMENT &amp; OTHER HPs'!$R$138:$R$175,MATCH($E377&amp;$F377,'TB-EQUIPMENT &amp; OTHER HPs'!$E$138:$E$175&amp;'TB-EQUIPMENT &amp; OTHER HPs'!$I$138:$I$175,0)),0)</f>
        <v>0</v>
      </c>
      <c r="W377" s="626">
        <f t="shared" si="405"/>
        <v>0</v>
      </c>
      <c r="X377" s="626">
        <f t="shared" si="406"/>
        <v>0</v>
      </c>
      <c r="Y377" s="626">
        <f t="shared" si="407"/>
        <v>0</v>
      </c>
      <c r="AA377" s="625">
        <f t="array" ref="AA377">IFERROR(INDEX('TB-EQUIPMENT &amp; OTHER HPs'!$U$138:$U$175,MATCH($E377&amp;$F377,'TB-EQUIPMENT &amp; OTHER HPs'!$E$138:$E$175&amp;'TB-EQUIPMENT &amp; OTHER HPs'!$I$138:$I$175,0)),0)</f>
        <v>0</v>
      </c>
      <c r="AB377" s="625">
        <f t="array" ref="AB377">IFERROR(INDEX('TB-EQUIPMENT &amp; OTHER HPs'!$V$138:$V$175,MATCH($E377&amp;$F377,'TB-EQUIPMENT &amp; OTHER HPs'!$E$138:$E$175&amp;'TB-EQUIPMENT &amp; OTHER HPs'!$I$138:$I$175,0)),0)</f>
        <v>0</v>
      </c>
      <c r="AC377" s="626">
        <f t="shared" si="408"/>
        <v>0</v>
      </c>
      <c r="AD377" s="626">
        <f t="shared" si="409"/>
        <v>0</v>
      </c>
      <c r="AE377" s="626">
        <f t="shared" si="410"/>
        <v>0</v>
      </c>
      <c r="AF377" s="625">
        <f t="array" ref="AF377">IFERROR(INDEX('TB-EQUIPMENT &amp; OTHER HPs'!$W$138:$W$175,MATCH($E377&amp;$F377,'TB-EQUIPMENT &amp; OTHER HPs'!$E$138:$E$175&amp;'TB-EQUIPMENT &amp; OTHER HPs'!$I$138:$I$175,0)),0)</f>
        <v>0</v>
      </c>
      <c r="AG377" s="626">
        <f t="shared" si="411"/>
        <v>0</v>
      </c>
      <c r="AH377" s="626">
        <f t="shared" si="412"/>
        <v>0</v>
      </c>
      <c r="AI377" s="626">
        <f t="shared" si="413"/>
        <v>0</v>
      </c>
      <c r="AJ377" s="625">
        <f t="array" ref="AJ377">IFERROR(INDEX('TB-EQUIPMENT &amp; OTHER HPs'!$X$138:$X$175,MATCH($E377&amp;$F377,'TB-EQUIPMENT &amp; OTHER HPs'!$E$138:$E$175&amp;'TB-EQUIPMENT &amp; OTHER HPs'!$I$138:$I$175,0)),0)</f>
        <v>0</v>
      </c>
      <c r="AK377" s="626">
        <f t="shared" si="414"/>
        <v>0</v>
      </c>
      <c r="AL377" s="626">
        <f t="shared" si="415"/>
        <v>0</v>
      </c>
      <c r="AM377" s="626">
        <f t="shared" si="416"/>
        <v>0</v>
      </c>
      <c r="AN377" s="625">
        <f t="array" ref="AN377">IFERROR(INDEX('TB-EQUIPMENT &amp; OTHER HPs'!$Y$138:$Y$175,MATCH($E377&amp;$F377,'TB-EQUIPMENT &amp; OTHER HPs'!$E$138:$E$175&amp;'TB-EQUIPMENT &amp; OTHER HPs'!$I$138:$I$175,0)),0)</f>
        <v>0</v>
      </c>
      <c r="AO377" s="626">
        <f t="shared" si="417"/>
        <v>0</v>
      </c>
      <c r="AP377" s="626">
        <f t="shared" si="418"/>
        <v>0</v>
      </c>
      <c r="AQ377" s="626">
        <f t="shared" si="419"/>
        <v>0</v>
      </c>
      <c r="AR377" s="630"/>
      <c r="AS377" s="625">
        <f t="array" ref="AS377">IFERROR(INDEX('TB-EQUIPMENT &amp; OTHER HPs'!$AB$138:$AB$175,MATCH($E377&amp;$F377,'TB-EQUIPMENT &amp; OTHER HPs'!$E$138:$E$175&amp;'TB-EQUIPMENT &amp; OTHER HPs'!$I$138:$I$175,0)),0)</f>
        <v>0</v>
      </c>
      <c r="AT377" s="625">
        <f t="array" ref="AT377">IFERROR(INDEX('TB-EQUIPMENT &amp; OTHER HPs'!$AC$138:$AC$175,MATCH($E377&amp;$F377,'TB-EQUIPMENT &amp; OTHER HPs'!$E$138:$E$175&amp;'TB-EQUIPMENT &amp; OTHER HPs'!$I$138:$I$175,0)),0)</f>
        <v>0</v>
      </c>
      <c r="AU377" s="626">
        <f t="shared" si="420"/>
        <v>0</v>
      </c>
      <c r="AV377" s="626">
        <f t="shared" si="421"/>
        <v>0</v>
      </c>
      <c r="AW377" s="626">
        <f t="shared" si="422"/>
        <v>0</v>
      </c>
      <c r="AX377" s="625">
        <f t="array" ref="AX377">IFERROR(INDEX('TB-EQUIPMENT &amp; OTHER HPs'!$AD$138:$AD$175,MATCH($E377&amp;$F377,'TB-EQUIPMENT &amp; OTHER HPs'!$E$138:$E$175&amp;'TB-EQUIPMENT &amp; OTHER HPs'!$I$138:$I$175,0)),0)</f>
        <v>0</v>
      </c>
      <c r="AY377" s="626">
        <f t="shared" si="423"/>
        <v>0</v>
      </c>
      <c r="AZ377" s="626">
        <f t="shared" si="424"/>
        <v>0</v>
      </c>
      <c r="BA377" s="626">
        <f t="shared" si="425"/>
        <v>0</v>
      </c>
      <c r="BB377" s="625">
        <f t="array" ref="BB377">IFERROR(INDEX('TB-EQUIPMENT &amp; OTHER HPs'!$AE$138:$AE$175,MATCH($E377&amp;$F377,'TB-EQUIPMENT &amp; OTHER HPs'!$E$138:$E$175&amp;'TB-EQUIPMENT &amp; OTHER HPs'!$I$138:$I$175,0)),0)</f>
        <v>0</v>
      </c>
      <c r="BC377" s="626">
        <f t="shared" si="426"/>
        <v>0</v>
      </c>
      <c r="BD377" s="626">
        <f t="shared" si="427"/>
        <v>0</v>
      </c>
      <c r="BE377" s="626">
        <f t="shared" si="428"/>
        <v>0</v>
      </c>
      <c r="BF377" s="625">
        <f t="array" ref="BF377">IFERROR(INDEX('TB-EQUIPMENT &amp; OTHER HPs'!$AF$138:$AF$175,MATCH($E377&amp;$F377,'TB-EQUIPMENT &amp; OTHER HPs'!$E$138:$E$175&amp;'TB-EQUIPMENT &amp; OTHER HPs'!$I$138:$I$175,0)),0)</f>
        <v>0</v>
      </c>
      <c r="BG377" s="626">
        <f t="shared" si="429"/>
        <v>0</v>
      </c>
      <c r="BH377" s="626">
        <f t="shared" si="430"/>
        <v>0</v>
      </c>
      <c r="BI377" s="626">
        <f t="shared" si="431"/>
        <v>0</v>
      </c>
      <c r="BJ377" s="630"/>
      <c r="BK377" s="625"/>
      <c r="BL377" s="625"/>
      <c r="BM377" s="625"/>
      <c r="BN377" s="625"/>
      <c r="BO377" s="625"/>
      <c r="BP377" s="625"/>
      <c r="BQ377" s="625"/>
      <c r="BR377" s="625"/>
    </row>
    <row r="378" spans="1:70">
      <c r="A378" s="29" t="s">
        <v>1755</v>
      </c>
      <c r="B378" s="29" t="s">
        <v>1838</v>
      </c>
      <c r="C378" s="619">
        <f>SETUP!$F$44</f>
        <v>0</v>
      </c>
      <c r="D378" s="25">
        <v>5.4</v>
      </c>
      <c r="E378" s="26" t="s">
        <v>205</v>
      </c>
      <c r="F378" s="26" t="s">
        <v>1521</v>
      </c>
      <c r="G378" s="625" t="str">
        <f t="array" ref="G378">IFERROR(INDEX('TB-EQUIPMENT &amp; OTHER HPs'!$L$138:$L$175,MATCH($E378&amp;$F378,'TB-EQUIPMENT &amp; OTHER HPs'!$E$138:$E$175&amp;'TB-EQUIPMENT &amp; OTHER HPs'!$I$138:$I$175,0)),"")</f>
        <v/>
      </c>
      <c r="H378" s="625" t="str">
        <f t="array" ref="H378">IFERROR(INDEX('TB-EQUIPMENT &amp; OTHER HPs'!$M$138:$M$175,MATCH($E378&amp;$F378,'TB-EQUIPMENT &amp; OTHER HPs'!$E$138:$E$175&amp;'TB-EQUIPMENT &amp; OTHER HPs'!$I$138:$I$175,0)),"")</f>
        <v/>
      </c>
      <c r="I378" s="625">
        <f t="array" ref="I378">IFERROR(INDEX('TB-EQUIPMENT &amp; OTHER HPs'!$N$138:$N$175,MATCH($E378&amp;$F378,'TB-EQUIPMENT &amp; OTHER HPs'!$E$138:$E$175&amp;'TB-EQUIPMENT &amp; OTHER HPs'!$I$138:$I$175,0)),0)</f>
        <v>0</v>
      </c>
      <c r="J378" s="625">
        <f t="array" ref="J378">IFERROR(INDEX('TB-EQUIPMENT &amp; OTHER HPs'!$O$138:$O$175,MATCH($E378&amp;$F378,'TB-EQUIPMENT &amp; OTHER HPs'!$E$138:$E$175&amp;'TB-EQUIPMENT &amp; OTHER HPs'!$I$138:$I$175,0)),0)</f>
        <v>0</v>
      </c>
      <c r="K378" s="626">
        <f t="shared" si="396"/>
        <v>0</v>
      </c>
      <c r="L378" s="626">
        <f t="shared" si="397"/>
        <v>0</v>
      </c>
      <c r="M378" s="626">
        <f t="shared" si="398"/>
        <v>0</v>
      </c>
      <c r="N378" s="625">
        <f t="array" ref="N378">IFERROR(INDEX('TB-EQUIPMENT &amp; OTHER HPs'!$P$138:$P$175,MATCH($E378&amp;$F378,'TB-EQUIPMENT &amp; OTHER HPs'!$E$138:$E$175&amp;'TB-EQUIPMENT &amp; OTHER HPs'!$I$138:$I$175,0)),0)</f>
        <v>0</v>
      </c>
      <c r="O378" s="626">
        <f t="shared" si="399"/>
        <v>0</v>
      </c>
      <c r="P378" s="626">
        <f t="shared" si="400"/>
        <v>0</v>
      </c>
      <c r="Q378" s="626">
        <f t="shared" si="401"/>
        <v>0</v>
      </c>
      <c r="R378" s="625">
        <f t="array" ref="R378">IFERROR(INDEX('TB-EQUIPMENT &amp; OTHER HPs'!$Q$138:$Q$175,MATCH($E378&amp;$F378,'TB-EQUIPMENT &amp; OTHER HPs'!$E$138:$E$175&amp;'TB-EQUIPMENT &amp; OTHER HPs'!$I$138:$I$175,0)),0)</f>
        <v>0</v>
      </c>
      <c r="S378" s="626">
        <f t="shared" si="402"/>
        <v>0</v>
      </c>
      <c r="T378" s="626">
        <f t="shared" si="403"/>
        <v>0</v>
      </c>
      <c r="U378" s="626">
        <f t="shared" si="404"/>
        <v>0</v>
      </c>
      <c r="V378" s="625">
        <f t="array" ref="V378">IFERROR(INDEX('TB-EQUIPMENT &amp; OTHER HPs'!$R$138:$R$175,MATCH($E378&amp;$F378,'TB-EQUIPMENT &amp; OTHER HPs'!$E$138:$E$175&amp;'TB-EQUIPMENT &amp; OTHER HPs'!$I$138:$I$175,0)),0)</f>
        <v>0</v>
      </c>
      <c r="W378" s="626">
        <f t="shared" si="405"/>
        <v>0</v>
      </c>
      <c r="X378" s="626">
        <f t="shared" si="406"/>
        <v>0</v>
      </c>
      <c r="Y378" s="626">
        <f t="shared" si="407"/>
        <v>0</v>
      </c>
      <c r="AA378" s="625">
        <f t="array" ref="AA378">IFERROR(INDEX('TB-EQUIPMENT &amp; OTHER HPs'!$U$138:$U$175,MATCH($E378&amp;$F378,'TB-EQUIPMENT &amp; OTHER HPs'!$E$138:$E$175&amp;'TB-EQUIPMENT &amp; OTHER HPs'!$I$138:$I$175,0)),0)</f>
        <v>0</v>
      </c>
      <c r="AB378" s="625">
        <f t="array" ref="AB378">IFERROR(INDEX('TB-EQUIPMENT &amp; OTHER HPs'!$V$138:$V$175,MATCH($E378&amp;$F378,'TB-EQUIPMENT &amp; OTHER HPs'!$E$138:$E$175&amp;'TB-EQUIPMENT &amp; OTHER HPs'!$I$138:$I$175,0)),0)</f>
        <v>0</v>
      </c>
      <c r="AC378" s="626">
        <f t="shared" si="408"/>
        <v>0</v>
      </c>
      <c r="AD378" s="626">
        <f t="shared" si="409"/>
        <v>0</v>
      </c>
      <c r="AE378" s="626">
        <f t="shared" si="410"/>
        <v>0</v>
      </c>
      <c r="AF378" s="625">
        <f t="array" ref="AF378">IFERROR(INDEX('TB-EQUIPMENT &amp; OTHER HPs'!$W$138:$W$175,MATCH($E378&amp;$F378,'TB-EQUIPMENT &amp; OTHER HPs'!$E$138:$E$175&amp;'TB-EQUIPMENT &amp; OTHER HPs'!$I$138:$I$175,0)),0)</f>
        <v>0</v>
      </c>
      <c r="AG378" s="626">
        <f t="shared" si="411"/>
        <v>0</v>
      </c>
      <c r="AH378" s="626">
        <f t="shared" si="412"/>
        <v>0</v>
      </c>
      <c r="AI378" s="626">
        <f t="shared" si="413"/>
        <v>0</v>
      </c>
      <c r="AJ378" s="625">
        <f t="array" ref="AJ378">IFERROR(INDEX('TB-EQUIPMENT &amp; OTHER HPs'!$X$138:$X$175,MATCH($E378&amp;$F378,'TB-EQUIPMENT &amp; OTHER HPs'!$E$138:$E$175&amp;'TB-EQUIPMENT &amp; OTHER HPs'!$I$138:$I$175,0)),0)</f>
        <v>0</v>
      </c>
      <c r="AK378" s="626">
        <f t="shared" si="414"/>
        <v>0</v>
      </c>
      <c r="AL378" s="626">
        <f t="shared" si="415"/>
        <v>0</v>
      </c>
      <c r="AM378" s="626">
        <f t="shared" si="416"/>
        <v>0</v>
      </c>
      <c r="AN378" s="625">
        <f t="array" ref="AN378">IFERROR(INDEX('TB-EQUIPMENT &amp; OTHER HPs'!$Y$138:$Y$175,MATCH($E378&amp;$F378,'TB-EQUIPMENT &amp; OTHER HPs'!$E$138:$E$175&amp;'TB-EQUIPMENT &amp; OTHER HPs'!$I$138:$I$175,0)),0)</f>
        <v>0</v>
      </c>
      <c r="AO378" s="626">
        <f t="shared" si="417"/>
        <v>0</v>
      </c>
      <c r="AP378" s="626">
        <f t="shared" si="418"/>
        <v>0</v>
      </c>
      <c r="AQ378" s="626">
        <f t="shared" si="419"/>
        <v>0</v>
      </c>
      <c r="AR378" s="630"/>
      <c r="AS378" s="625">
        <f t="array" ref="AS378">IFERROR(INDEX('TB-EQUIPMENT &amp; OTHER HPs'!$AB$138:$AB$175,MATCH($E378&amp;$F378,'TB-EQUIPMENT &amp; OTHER HPs'!$E$138:$E$175&amp;'TB-EQUIPMENT &amp; OTHER HPs'!$I$138:$I$175,0)),0)</f>
        <v>0</v>
      </c>
      <c r="AT378" s="625">
        <f t="array" ref="AT378">IFERROR(INDEX('TB-EQUIPMENT &amp; OTHER HPs'!$AC$138:$AC$175,MATCH($E378&amp;$F378,'TB-EQUIPMENT &amp; OTHER HPs'!$E$138:$E$175&amp;'TB-EQUIPMENT &amp; OTHER HPs'!$I$138:$I$175,0)),0)</f>
        <v>0</v>
      </c>
      <c r="AU378" s="626">
        <f t="shared" si="420"/>
        <v>0</v>
      </c>
      <c r="AV378" s="626">
        <f t="shared" si="421"/>
        <v>0</v>
      </c>
      <c r="AW378" s="626">
        <f t="shared" si="422"/>
        <v>0</v>
      </c>
      <c r="AX378" s="625">
        <f t="array" ref="AX378">IFERROR(INDEX('TB-EQUIPMENT &amp; OTHER HPs'!$AD$138:$AD$175,MATCH($E378&amp;$F378,'TB-EQUIPMENT &amp; OTHER HPs'!$E$138:$E$175&amp;'TB-EQUIPMENT &amp; OTHER HPs'!$I$138:$I$175,0)),0)</f>
        <v>0</v>
      </c>
      <c r="AY378" s="626">
        <f t="shared" si="423"/>
        <v>0</v>
      </c>
      <c r="AZ378" s="626">
        <f t="shared" si="424"/>
        <v>0</v>
      </c>
      <c r="BA378" s="626">
        <f t="shared" si="425"/>
        <v>0</v>
      </c>
      <c r="BB378" s="625">
        <f t="array" ref="BB378">IFERROR(INDEX('TB-EQUIPMENT &amp; OTHER HPs'!$AE$138:$AE$175,MATCH($E378&amp;$F378,'TB-EQUIPMENT &amp; OTHER HPs'!$E$138:$E$175&amp;'TB-EQUIPMENT &amp; OTHER HPs'!$I$138:$I$175,0)),0)</f>
        <v>0</v>
      </c>
      <c r="BC378" s="626">
        <f t="shared" si="426"/>
        <v>0</v>
      </c>
      <c r="BD378" s="626">
        <f t="shared" si="427"/>
        <v>0</v>
      </c>
      <c r="BE378" s="626">
        <f t="shared" si="428"/>
        <v>0</v>
      </c>
      <c r="BF378" s="625">
        <f t="array" ref="BF378">IFERROR(INDEX('TB-EQUIPMENT &amp; OTHER HPs'!$AF$138:$AF$175,MATCH($E378&amp;$F378,'TB-EQUIPMENT &amp; OTHER HPs'!$E$138:$E$175&amp;'TB-EQUIPMENT &amp; OTHER HPs'!$I$138:$I$175,0)),0)</f>
        <v>0</v>
      </c>
      <c r="BG378" s="626">
        <f t="shared" si="429"/>
        <v>0</v>
      </c>
      <c r="BH378" s="626">
        <f t="shared" si="430"/>
        <v>0</v>
      </c>
      <c r="BI378" s="626">
        <f t="shared" si="431"/>
        <v>0</v>
      </c>
      <c r="BJ378" s="630"/>
      <c r="BK378" s="625"/>
      <c r="BL378" s="625"/>
      <c r="BM378" s="625"/>
      <c r="BN378" s="625"/>
      <c r="BO378" s="625"/>
      <c r="BP378" s="625"/>
      <c r="BQ378" s="625"/>
      <c r="BR378" s="625"/>
    </row>
    <row r="379" spans="1:70">
      <c r="A379" s="29" t="s">
        <v>1755</v>
      </c>
      <c r="B379" s="29" t="s">
        <v>1838</v>
      </c>
      <c r="C379" s="619">
        <f>SETUP!$F$44</f>
        <v>0</v>
      </c>
      <c r="D379" s="25">
        <v>5.4</v>
      </c>
      <c r="E379" s="26" t="s">
        <v>205</v>
      </c>
      <c r="F379" s="26" t="s">
        <v>1522</v>
      </c>
      <c r="G379" s="625" t="str">
        <f t="array" ref="G379">IFERROR(INDEX('TB-EQUIPMENT &amp; OTHER HPs'!$L$138:$L$175,MATCH($E379&amp;$F379,'TB-EQUIPMENT &amp; OTHER HPs'!$E$138:$E$175&amp;'TB-EQUIPMENT &amp; OTHER HPs'!$I$138:$I$175,0)),"")</f>
        <v/>
      </c>
      <c r="H379" s="625" t="str">
        <f t="array" ref="H379">IFERROR(INDEX('TB-EQUIPMENT &amp; OTHER HPs'!$M$138:$M$175,MATCH($E379&amp;$F379,'TB-EQUIPMENT &amp; OTHER HPs'!$E$138:$E$175&amp;'TB-EQUIPMENT &amp; OTHER HPs'!$I$138:$I$175,0)),"")</f>
        <v/>
      </c>
      <c r="I379" s="625">
        <f t="array" ref="I379">IFERROR(INDEX('TB-EQUIPMENT &amp; OTHER HPs'!$N$138:$N$175,MATCH($E379&amp;$F379,'TB-EQUIPMENT &amp; OTHER HPs'!$E$138:$E$175&amp;'TB-EQUIPMENT &amp; OTHER HPs'!$I$138:$I$175,0)),0)</f>
        <v>0</v>
      </c>
      <c r="J379" s="625">
        <f t="array" ref="J379">IFERROR(INDEX('TB-EQUIPMENT &amp; OTHER HPs'!$O$138:$O$175,MATCH($E379&amp;$F379,'TB-EQUIPMENT &amp; OTHER HPs'!$E$138:$E$175&amp;'TB-EQUIPMENT &amp; OTHER HPs'!$I$138:$I$175,0)),0)</f>
        <v>0</v>
      </c>
      <c r="K379" s="626">
        <f t="shared" si="396"/>
        <v>0</v>
      </c>
      <c r="L379" s="626">
        <f t="shared" si="397"/>
        <v>0</v>
      </c>
      <c r="M379" s="626">
        <f t="shared" si="398"/>
        <v>0</v>
      </c>
      <c r="N379" s="625">
        <f t="array" ref="N379">IFERROR(INDEX('TB-EQUIPMENT &amp; OTHER HPs'!$P$138:$P$175,MATCH($E379&amp;$F379,'TB-EQUIPMENT &amp; OTHER HPs'!$E$138:$E$175&amp;'TB-EQUIPMENT &amp; OTHER HPs'!$I$138:$I$175,0)),0)</f>
        <v>0</v>
      </c>
      <c r="O379" s="626">
        <f t="shared" si="399"/>
        <v>0</v>
      </c>
      <c r="P379" s="626">
        <f t="shared" si="400"/>
        <v>0</v>
      </c>
      <c r="Q379" s="626">
        <f t="shared" si="401"/>
        <v>0</v>
      </c>
      <c r="R379" s="625">
        <f t="array" ref="R379">IFERROR(INDEX('TB-EQUIPMENT &amp; OTHER HPs'!$Q$138:$Q$175,MATCH($E379&amp;$F379,'TB-EQUIPMENT &amp; OTHER HPs'!$E$138:$E$175&amp;'TB-EQUIPMENT &amp; OTHER HPs'!$I$138:$I$175,0)),0)</f>
        <v>0</v>
      </c>
      <c r="S379" s="626">
        <f t="shared" si="402"/>
        <v>0</v>
      </c>
      <c r="T379" s="626">
        <f t="shared" si="403"/>
        <v>0</v>
      </c>
      <c r="U379" s="626">
        <f t="shared" si="404"/>
        <v>0</v>
      </c>
      <c r="V379" s="625">
        <f t="array" ref="V379">IFERROR(INDEX('TB-EQUIPMENT &amp; OTHER HPs'!$R$138:$R$175,MATCH($E379&amp;$F379,'TB-EQUIPMENT &amp; OTHER HPs'!$E$138:$E$175&amp;'TB-EQUIPMENT &amp; OTHER HPs'!$I$138:$I$175,0)),0)</f>
        <v>0</v>
      </c>
      <c r="W379" s="626">
        <f t="shared" si="405"/>
        <v>0</v>
      </c>
      <c r="X379" s="626">
        <f t="shared" si="406"/>
        <v>0</v>
      </c>
      <c r="Y379" s="626">
        <f t="shared" si="407"/>
        <v>0</v>
      </c>
      <c r="AA379" s="625">
        <f t="array" ref="AA379">IFERROR(INDEX('TB-EQUIPMENT &amp; OTHER HPs'!$U$138:$U$175,MATCH($E379&amp;$F379,'TB-EQUIPMENT &amp; OTHER HPs'!$E$138:$E$175&amp;'TB-EQUIPMENT &amp; OTHER HPs'!$I$138:$I$175,0)),0)</f>
        <v>0</v>
      </c>
      <c r="AB379" s="625">
        <f t="array" ref="AB379">IFERROR(INDEX('TB-EQUIPMENT &amp; OTHER HPs'!$V$138:$V$175,MATCH($E379&amp;$F379,'TB-EQUIPMENT &amp; OTHER HPs'!$E$138:$E$175&amp;'TB-EQUIPMENT &amp; OTHER HPs'!$I$138:$I$175,0)),0)</f>
        <v>0</v>
      </c>
      <c r="AC379" s="626">
        <f t="shared" si="408"/>
        <v>0</v>
      </c>
      <c r="AD379" s="626">
        <f t="shared" si="409"/>
        <v>0</v>
      </c>
      <c r="AE379" s="626">
        <f t="shared" si="410"/>
        <v>0</v>
      </c>
      <c r="AF379" s="625">
        <f t="array" ref="AF379">IFERROR(INDEX('TB-EQUIPMENT &amp; OTHER HPs'!$W$138:$W$175,MATCH($E379&amp;$F379,'TB-EQUIPMENT &amp; OTHER HPs'!$E$138:$E$175&amp;'TB-EQUIPMENT &amp; OTHER HPs'!$I$138:$I$175,0)),0)</f>
        <v>0</v>
      </c>
      <c r="AG379" s="626">
        <f t="shared" si="411"/>
        <v>0</v>
      </c>
      <c r="AH379" s="626">
        <f t="shared" si="412"/>
        <v>0</v>
      </c>
      <c r="AI379" s="626">
        <f t="shared" si="413"/>
        <v>0</v>
      </c>
      <c r="AJ379" s="625">
        <f t="array" ref="AJ379">IFERROR(INDEX('TB-EQUIPMENT &amp; OTHER HPs'!$X$138:$X$175,MATCH($E379&amp;$F379,'TB-EQUIPMENT &amp; OTHER HPs'!$E$138:$E$175&amp;'TB-EQUIPMENT &amp; OTHER HPs'!$I$138:$I$175,0)),0)</f>
        <v>0</v>
      </c>
      <c r="AK379" s="626">
        <f t="shared" si="414"/>
        <v>0</v>
      </c>
      <c r="AL379" s="626">
        <f t="shared" si="415"/>
        <v>0</v>
      </c>
      <c r="AM379" s="626">
        <f t="shared" si="416"/>
        <v>0</v>
      </c>
      <c r="AN379" s="625">
        <f t="array" ref="AN379">IFERROR(INDEX('TB-EQUIPMENT &amp; OTHER HPs'!$Y$138:$Y$175,MATCH($E379&amp;$F379,'TB-EQUIPMENT &amp; OTHER HPs'!$E$138:$E$175&amp;'TB-EQUIPMENT &amp; OTHER HPs'!$I$138:$I$175,0)),0)</f>
        <v>0</v>
      </c>
      <c r="AO379" s="626">
        <f t="shared" si="417"/>
        <v>0</v>
      </c>
      <c r="AP379" s="626">
        <f t="shared" si="418"/>
        <v>0</v>
      </c>
      <c r="AQ379" s="626">
        <f t="shared" si="419"/>
        <v>0</v>
      </c>
      <c r="AR379" s="630"/>
      <c r="AS379" s="625">
        <f t="array" ref="AS379">IFERROR(INDEX('TB-EQUIPMENT &amp; OTHER HPs'!$AB$138:$AB$175,MATCH($E379&amp;$F379,'TB-EQUIPMENT &amp; OTHER HPs'!$E$138:$E$175&amp;'TB-EQUIPMENT &amp; OTHER HPs'!$I$138:$I$175,0)),0)</f>
        <v>0</v>
      </c>
      <c r="AT379" s="625">
        <f t="array" ref="AT379">IFERROR(INDEX('TB-EQUIPMENT &amp; OTHER HPs'!$AC$138:$AC$175,MATCH($E379&amp;$F379,'TB-EQUIPMENT &amp; OTHER HPs'!$E$138:$E$175&amp;'TB-EQUIPMENT &amp; OTHER HPs'!$I$138:$I$175,0)),0)</f>
        <v>0</v>
      </c>
      <c r="AU379" s="626">
        <f t="shared" si="420"/>
        <v>0</v>
      </c>
      <c r="AV379" s="626">
        <f t="shared" si="421"/>
        <v>0</v>
      </c>
      <c r="AW379" s="626">
        <f t="shared" si="422"/>
        <v>0</v>
      </c>
      <c r="AX379" s="625">
        <f t="array" ref="AX379">IFERROR(INDEX('TB-EQUIPMENT &amp; OTHER HPs'!$AD$138:$AD$175,MATCH($E379&amp;$F379,'TB-EQUIPMENT &amp; OTHER HPs'!$E$138:$E$175&amp;'TB-EQUIPMENT &amp; OTHER HPs'!$I$138:$I$175,0)),0)</f>
        <v>0</v>
      </c>
      <c r="AY379" s="626">
        <f t="shared" si="423"/>
        <v>0</v>
      </c>
      <c r="AZ379" s="626">
        <f t="shared" si="424"/>
        <v>0</v>
      </c>
      <c r="BA379" s="626">
        <f t="shared" si="425"/>
        <v>0</v>
      </c>
      <c r="BB379" s="625">
        <f t="array" ref="BB379">IFERROR(INDEX('TB-EQUIPMENT &amp; OTHER HPs'!$AE$138:$AE$175,MATCH($E379&amp;$F379,'TB-EQUIPMENT &amp; OTHER HPs'!$E$138:$E$175&amp;'TB-EQUIPMENT &amp; OTHER HPs'!$I$138:$I$175,0)),0)</f>
        <v>0</v>
      </c>
      <c r="BC379" s="626">
        <f t="shared" si="426"/>
        <v>0</v>
      </c>
      <c r="BD379" s="626">
        <f t="shared" si="427"/>
        <v>0</v>
      </c>
      <c r="BE379" s="626">
        <f t="shared" si="428"/>
        <v>0</v>
      </c>
      <c r="BF379" s="625">
        <f t="array" ref="BF379">IFERROR(INDEX('TB-EQUIPMENT &amp; OTHER HPs'!$AF$138:$AF$175,MATCH($E379&amp;$F379,'TB-EQUIPMENT &amp; OTHER HPs'!$E$138:$E$175&amp;'TB-EQUIPMENT &amp; OTHER HPs'!$I$138:$I$175,0)),0)</f>
        <v>0</v>
      </c>
      <c r="BG379" s="626">
        <f t="shared" si="429"/>
        <v>0</v>
      </c>
      <c r="BH379" s="626">
        <f t="shared" si="430"/>
        <v>0</v>
      </c>
      <c r="BI379" s="626">
        <f t="shared" si="431"/>
        <v>0</v>
      </c>
      <c r="BJ379" s="630"/>
      <c r="BK379" s="625"/>
      <c r="BL379" s="625"/>
      <c r="BM379" s="625"/>
      <c r="BN379" s="625"/>
      <c r="BO379" s="625"/>
      <c r="BP379" s="625"/>
      <c r="BQ379" s="625"/>
      <c r="BR379" s="625"/>
    </row>
    <row r="380" spans="1:70">
      <c r="A380" s="29" t="s">
        <v>1755</v>
      </c>
      <c r="B380" s="29" t="s">
        <v>1838</v>
      </c>
      <c r="C380" s="619">
        <f>SETUP!$F$44</f>
        <v>0</v>
      </c>
      <c r="D380" s="25">
        <v>5.4</v>
      </c>
      <c r="E380" s="26" t="s">
        <v>205</v>
      </c>
      <c r="F380" s="26" t="s">
        <v>1523</v>
      </c>
      <c r="G380" s="625" t="str">
        <f t="array" ref="G380">IFERROR(INDEX('TB-EQUIPMENT &amp; OTHER HPs'!$L$138:$L$175,MATCH($E380&amp;$F380,'TB-EQUIPMENT &amp; OTHER HPs'!$E$138:$E$175&amp;'TB-EQUIPMENT &amp; OTHER HPs'!$I$138:$I$175,0)),"")</f>
        <v/>
      </c>
      <c r="H380" s="625" t="str">
        <f t="array" ref="H380">IFERROR(INDEX('TB-EQUIPMENT &amp; OTHER HPs'!$M$138:$M$175,MATCH($E380&amp;$F380,'TB-EQUIPMENT &amp; OTHER HPs'!$E$138:$E$175&amp;'TB-EQUIPMENT &amp; OTHER HPs'!$I$138:$I$175,0)),"")</f>
        <v/>
      </c>
      <c r="I380" s="625">
        <f t="array" ref="I380">IFERROR(INDEX('TB-EQUIPMENT &amp; OTHER HPs'!$N$138:$N$175,MATCH($E380&amp;$F380,'TB-EQUIPMENT &amp; OTHER HPs'!$E$138:$E$175&amp;'TB-EQUIPMENT &amp; OTHER HPs'!$I$138:$I$175,0)),0)</f>
        <v>0</v>
      </c>
      <c r="J380" s="625">
        <f t="array" ref="J380">IFERROR(INDEX('TB-EQUIPMENT &amp; OTHER HPs'!$O$138:$O$175,MATCH($E380&amp;$F380,'TB-EQUIPMENT &amp; OTHER HPs'!$E$138:$E$175&amp;'TB-EQUIPMENT &amp; OTHER HPs'!$I$138:$I$175,0)),0)</f>
        <v>0</v>
      </c>
      <c r="K380" s="626">
        <f t="shared" si="396"/>
        <v>0</v>
      </c>
      <c r="L380" s="626">
        <f t="shared" si="397"/>
        <v>0</v>
      </c>
      <c r="M380" s="626">
        <f t="shared" si="398"/>
        <v>0</v>
      </c>
      <c r="N380" s="625">
        <f t="array" ref="N380">IFERROR(INDEX('TB-EQUIPMENT &amp; OTHER HPs'!$P$138:$P$175,MATCH($E380&amp;$F380,'TB-EQUIPMENT &amp; OTHER HPs'!$E$138:$E$175&amp;'TB-EQUIPMENT &amp; OTHER HPs'!$I$138:$I$175,0)),0)</f>
        <v>0</v>
      </c>
      <c r="O380" s="626">
        <f t="shared" si="399"/>
        <v>0</v>
      </c>
      <c r="P380" s="626">
        <f t="shared" si="400"/>
        <v>0</v>
      </c>
      <c r="Q380" s="626">
        <f t="shared" si="401"/>
        <v>0</v>
      </c>
      <c r="R380" s="625">
        <f t="array" ref="R380">IFERROR(INDEX('TB-EQUIPMENT &amp; OTHER HPs'!$Q$138:$Q$175,MATCH($E380&amp;$F380,'TB-EQUIPMENT &amp; OTHER HPs'!$E$138:$E$175&amp;'TB-EQUIPMENT &amp; OTHER HPs'!$I$138:$I$175,0)),0)</f>
        <v>0</v>
      </c>
      <c r="S380" s="626">
        <f t="shared" si="402"/>
        <v>0</v>
      </c>
      <c r="T380" s="626">
        <f t="shared" si="403"/>
        <v>0</v>
      </c>
      <c r="U380" s="626">
        <f t="shared" si="404"/>
        <v>0</v>
      </c>
      <c r="V380" s="625">
        <f t="array" ref="V380">IFERROR(INDEX('TB-EQUIPMENT &amp; OTHER HPs'!$R$138:$R$175,MATCH($E380&amp;$F380,'TB-EQUIPMENT &amp; OTHER HPs'!$E$138:$E$175&amp;'TB-EQUIPMENT &amp; OTHER HPs'!$I$138:$I$175,0)),0)</f>
        <v>0</v>
      </c>
      <c r="W380" s="626">
        <f t="shared" si="405"/>
        <v>0</v>
      </c>
      <c r="X380" s="626">
        <f t="shared" si="406"/>
        <v>0</v>
      </c>
      <c r="Y380" s="626">
        <f t="shared" si="407"/>
        <v>0</v>
      </c>
      <c r="AA380" s="625">
        <f t="array" ref="AA380">IFERROR(INDEX('TB-EQUIPMENT &amp; OTHER HPs'!$U$138:$U$175,MATCH($E380&amp;$F380,'TB-EQUIPMENT &amp; OTHER HPs'!$E$138:$E$175&amp;'TB-EQUIPMENT &amp; OTHER HPs'!$I$138:$I$175,0)),0)</f>
        <v>0</v>
      </c>
      <c r="AB380" s="625">
        <f t="array" ref="AB380">IFERROR(INDEX('TB-EQUIPMENT &amp; OTHER HPs'!$V$138:$V$175,MATCH($E380&amp;$F380,'TB-EQUIPMENT &amp; OTHER HPs'!$E$138:$E$175&amp;'TB-EQUIPMENT &amp; OTHER HPs'!$I$138:$I$175,0)),0)</f>
        <v>0</v>
      </c>
      <c r="AC380" s="626">
        <f t="shared" si="408"/>
        <v>0</v>
      </c>
      <c r="AD380" s="626">
        <f t="shared" si="409"/>
        <v>0</v>
      </c>
      <c r="AE380" s="626">
        <f t="shared" si="410"/>
        <v>0</v>
      </c>
      <c r="AF380" s="625">
        <f t="array" ref="AF380">IFERROR(INDEX('TB-EQUIPMENT &amp; OTHER HPs'!$W$138:$W$175,MATCH($E380&amp;$F380,'TB-EQUIPMENT &amp; OTHER HPs'!$E$138:$E$175&amp;'TB-EQUIPMENT &amp; OTHER HPs'!$I$138:$I$175,0)),0)</f>
        <v>0</v>
      </c>
      <c r="AG380" s="626">
        <f t="shared" si="411"/>
        <v>0</v>
      </c>
      <c r="AH380" s="626">
        <f t="shared" si="412"/>
        <v>0</v>
      </c>
      <c r="AI380" s="626">
        <f t="shared" si="413"/>
        <v>0</v>
      </c>
      <c r="AJ380" s="625">
        <f t="array" ref="AJ380">IFERROR(INDEX('TB-EQUIPMENT &amp; OTHER HPs'!$X$138:$X$175,MATCH($E380&amp;$F380,'TB-EQUIPMENT &amp; OTHER HPs'!$E$138:$E$175&amp;'TB-EQUIPMENT &amp; OTHER HPs'!$I$138:$I$175,0)),0)</f>
        <v>0</v>
      </c>
      <c r="AK380" s="626">
        <f t="shared" si="414"/>
        <v>0</v>
      </c>
      <c r="AL380" s="626">
        <f t="shared" si="415"/>
        <v>0</v>
      </c>
      <c r="AM380" s="626">
        <f t="shared" si="416"/>
        <v>0</v>
      </c>
      <c r="AN380" s="625">
        <f t="array" ref="AN380">IFERROR(INDEX('TB-EQUIPMENT &amp; OTHER HPs'!$Y$138:$Y$175,MATCH($E380&amp;$F380,'TB-EQUIPMENT &amp; OTHER HPs'!$E$138:$E$175&amp;'TB-EQUIPMENT &amp; OTHER HPs'!$I$138:$I$175,0)),0)</f>
        <v>0</v>
      </c>
      <c r="AO380" s="626">
        <f t="shared" si="417"/>
        <v>0</v>
      </c>
      <c r="AP380" s="626">
        <f t="shared" si="418"/>
        <v>0</v>
      </c>
      <c r="AQ380" s="626">
        <f t="shared" si="419"/>
        <v>0</v>
      </c>
      <c r="AR380" s="630"/>
      <c r="AS380" s="625">
        <f t="array" ref="AS380">IFERROR(INDEX('TB-EQUIPMENT &amp; OTHER HPs'!$AB$138:$AB$175,MATCH($E380&amp;$F380,'TB-EQUIPMENT &amp; OTHER HPs'!$E$138:$E$175&amp;'TB-EQUIPMENT &amp; OTHER HPs'!$I$138:$I$175,0)),0)</f>
        <v>0</v>
      </c>
      <c r="AT380" s="625">
        <f t="array" ref="AT380">IFERROR(INDEX('TB-EQUIPMENT &amp; OTHER HPs'!$AC$138:$AC$175,MATCH($E380&amp;$F380,'TB-EQUIPMENT &amp; OTHER HPs'!$E$138:$E$175&amp;'TB-EQUIPMENT &amp; OTHER HPs'!$I$138:$I$175,0)),0)</f>
        <v>0</v>
      </c>
      <c r="AU380" s="626">
        <f t="shared" si="420"/>
        <v>0</v>
      </c>
      <c r="AV380" s="626">
        <f t="shared" si="421"/>
        <v>0</v>
      </c>
      <c r="AW380" s="626">
        <f t="shared" si="422"/>
        <v>0</v>
      </c>
      <c r="AX380" s="625">
        <f t="array" ref="AX380">IFERROR(INDEX('TB-EQUIPMENT &amp; OTHER HPs'!$AD$138:$AD$175,MATCH($E380&amp;$F380,'TB-EQUIPMENT &amp; OTHER HPs'!$E$138:$E$175&amp;'TB-EQUIPMENT &amp; OTHER HPs'!$I$138:$I$175,0)),0)</f>
        <v>0</v>
      </c>
      <c r="AY380" s="626">
        <f t="shared" si="423"/>
        <v>0</v>
      </c>
      <c r="AZ380" s="626">
        <f t="shared" si="424"/>
        <v>0</v>
      </c>
      <c r="BA380" s="626">
        <f t="shared" si="425"/>
        <v>0</v>
      </c>
      <c r="BB380" s="625">
        <f t="array" ref="BB380">IFERROR(INDEX('TB-EQUIPMENT &amp; OTHER HPs'!$AE$138:$AE$175,MATCH($E380&amp;$F380,'TB-EQUIPMENT &amp; OTHER HPs'!$E$138:$E$175&amp;'TB-EQUIPMENT &amp; OTHER HPs'!$I$138:$I$175,0)),0)</f>
        <v>0</v>
      </c>
      <c r="BC380" s="626">
        <f t="shared" si="426"/>
        <v>0</v>
      </c>
      <c r="BD380" s="626">
        <f t="shared" si="427"/>
        <v>0</v>
      </c>
      <c r="BE380" s="626">
        <f t="shared" si="428"/>
        <v>0</v>
      </c>
      <c r="BF380" s="625">
        <f t="array" ref="BF380">IFERROR(INDEX('TB-EQUIPMENT &amp; OTHER HPs'!$AF$138:$AF$175,MATCH($E380&amp;$F380,'TB-EQUIPMENT &amp; OTHER HPs'!$E$138:$E$175&amp;'TB-EQUIPMENT &amp; OTHER HPs'!$I$138:$I$175,0)),0)</f>
        <v>0</v>
      </c>
      <c r="BG380" s="626">
        <f t="shared" si="429"/>
        <v>0</v>
      </c>
      <c r="BH380" s="626">
        <f t="shared" si="430"/>
        <v>0</v>
      </c>
      <c r="BI380" s="626">
        <f t="shared" si="431"/>
        <v>0</v>
      </c>
      <c r="BJ380" s="630"/>
      <c r="BK380" s="625"/>
      <c r="BL380" s="625"/>
      <c r="BM380" s="625"/>
      <c r="BN380" s="625"/>
      <c r="BO380" s="625"/>
      <c r="BP380" s="625"/>
      <c r="BQ380" s="625"/>
      <c r="BR380" s="625"/>
    </row>
    <row r="381" spans="1:70">
      <c r="A381" s="29" t="s">
        <v>1755</v>
      </c>
      <c r="B381" s="29" t="s">
        <v>1838</v>
      </c>
      <c r="C381" s="619">
        <f>SETUP!$F$44</f>
        <v>0</v>
      </c>
      <c r="D381" s="25">
        <v>5.4</v>
      </c>
      <c r="E381" s="26" t="s">
        <v>205</v>
      </c>
      <c r="F381" s="26" t="s">
        <v>1524</v>
      </c>
      <c r="G381" s="625" t="str">
        <f t="array" ref="G381">IFERROR(INDEX('TB-EQUIPMENT &amp; OTHER HPs'!$L$138:$L$175,MATCH($E381&amp;$F381,'TB-EQUIPMENT &amp; OTHER HPs'!$E$138:$E$175&amp;'TB-EQUIPMENT &amp; OTHER HPs'!$I$138:$I$175,0)),"")</f>
        <v/>
      </c>
      <c r="H381" s="625" t="str">
        <f t="array" ref="H381">IFERROR(INDEX('TB-EQUIPMENT &amp; OTHER HPs'!$M$138:$M$175,MATCH($E381&amp;$F381,'TB-EQUIPMENT &amp; OTHER HPs'!$E$138:$E$175&amp;'TB-EQUIPMENT &amp; OTHER HPs'!$I$138:$I$175,0)),"")</f>
        <v/>
      </c>
      <c r="I381" s="625">
        <f t="array" ref="I381">IFERROR(INDEX('TB-EQUIPMENT &amp; OTHER HPs'!$N$138:$N$175,MATCH($E381&amp;$F381,'TB-EQUIPMENT &amp; OTHER HPs'!$E$138:$E$175&amp;'TB-EQUIPMENT &amp; OTHER HPs'!$I$138:$I$175,0)),0)</f>
        <v>0</v>
      </c>
      <c r="J381" s="625">
        <f t="array" ref="J381">IFERROR(INDEX('TB-EQUIPMENT &amp; OTHER HPs'!$O$138:$O$175,MATCH($E381&amp;$F381,'TB-EQUIPMENT &amp; OTHER HPs'!$E$138:$E$175&amp;'TB-EQUIPMENT &amp; OTHER HPs'!$I$138:$I$175,0)),0)</f>
        <v>0</v>
      </c>
      <c r="K381" s="626">
        <f t="shared" si="396"/>
        <v>0</v>
      </c>
      <c r="L381" s="626">
        <f t="shared" si="397"/>
        <v>0</v>
      </c>
      <c r="M381" s="626">
        <f t="shared" si="398"/>
        <v>0</v>
      </c>
      <c r="N381" s="625">
        <f t="array" ref="N381">IFERROR(INDEX('TB-EQUIPMENT &amp; OTHER HPs'!$P$138:$P$175,MATCH($E381&amp;$F381,'TB-EQUIPMENT &amp; OTHER HPs'!$E$138:$E$175&amp;'TB-EQUIPMENT &amp; OTHER HPs'!$I$138:$I$175,0)),0)</f>
        <v>0</v>
      </c>
      <c r="O381" s="626">
        <f t="shared" si="399"/>
        <v>0</v>
      </c>
      <c r="P381" s="626">
        <f t="shared" si="400"/>
        <v>0</v>
      </c>
      <c r="Q381" s="626">
        <f t="shared" si="401"/>
        <v>0</v>
      </c>
      <c r="R381" s="625">
        <f t="array" ref="R381">IFERROR(INDEX('TB-EQUIPMENT &amp; OTHER HPs'!$Q$138:$Q$175,MATCH($E381&amp;$F381,'TB-EQUIPMENT &amp; OTHER HPs'!$E$138:$E$175&amp;'TB-EQUIPMENT &amp; OTHER HPs'!$I$138:$I$175,0)),0)</f>
        <v>0</v>
      </c>
      <c r="S381" s="626">
        <f t="shared" si="402"/>
        <v>0</v>
      </c>
      <c r="T381" s="626">
        <f t="shared" si="403"/>
        <v>0</v>
      </c>
      <c r="U381" s="626">
        <f t="shared" si="404"/>
        <v>0</v>
      </c>
      <c r="V381" s="625">
        <f t="array" ref="V381">IFERROR(INDEX('TB-EQUIPMENT &amp; OTHER HPs'!$R$138:$R$175,MATCH($E381&amp;$F381,'TB-EQUIPMENT &amp; OTHER HPs'!$E$138:$E$175&amp;'TB-EQUIPMENT &amp; OTHER HPs'!$I$138:$I$175,0)),0)</f>
        <v>0</v>
      </c>
      <c r="W381" s="626">
        <f t="shared" si="405"/>
        <v>0</v>
      </c>
      <c r="X381" s="626">
        <f t="shared" si="406"/>
        <v>0</v>
      </c>
      <c r="Y381" s="626">
        <f t="shared" si="407"/>
        <v>0</v>
      </c>
      <c r="AA381" s="625">
        <f t="array" ref="AA381">IFERROR(INDEX('TB-EQUIPMENT &amp; OTHER HPs'!$U$138:$U$175,MATCH($E381&amp;$F381,'TB-EQUIPMENT &amp; OTHER HPs'!$E$138:$E$175&amp;'TB-EQUIPMENT &amp; OTHER HPs'!$I$138:$I$175,0)),0)</f>
        <v>0</v>
      </c>
      <c r="AB381" s="625">
        <f t="array" ref="AB381">IFERROR(INDEX('TB-EQUIPMENT &amp; OTHER HPs'!$V$138:$V$175,MATCH($E381&amp;$F381,'TB-EQUIPMENT &amp; OTHER HPs'!$E$138:$E$175&amp;'TB-EQUIPMENT &amp; OTHER HPs'!$I$138:$I$175,0)),0)</f>
        <v>0</v>
      </c>
      <c r="AC381" s="626">
        <f t="shared" si="408"/>
        <v>0</v>
      </c>
      <c r="AD381" s="626">
        <f t="shared" si="409"/>
        <v>0</v>
      </c>
      <c r="AE381" s="626">
        <f t="shared" si="410"/>
        <v>0</v>
      </c>
      <c r="AF381" s="625">
        <f t="array" ref="AF381">IFERROR(INDEX('TB-EQUIPMENT &amp; OTHER HPs'!$W$138:$W$175,MATCH($E381&amp;$F381,'TB-EQUIPMENT &amp; OTHER HPs'!$E$138:$E$175&amp;'TB-EQUIPMENT &amp; OTHER HPs'!$I$138:$I$175,0)),0)</f>
        <v>0</v>
      </c>
      <c r="AG381" s="626">
        <f t="shared" si="411"/>
        <v>0</v>
      </c>
      <c r="AH381" s="626">
        <f t="shared" si="412"/>
        <v>0</v>
      </c>
      <c r="AI381" s="626">
        <f t="shared" si="413"/>
        <v>0</v>
      </c>
      <c r="AJ381" s="625">
        <f t="array" ref="AJ381">IFERROR(INDEX('TB-EQUIPMENT &amp; OTHER HPs'!$X$138:$X$175,MATCH($E381&amp;$F381,'TB-EQUIPMENT &amp; OTHER HPs'!$E$138:$E$175&amp;'TB-EQUIPMENT &amp; OTHER HPs'!$I$138:$I$175,0)),0)</f>
        <v>0</v>
      </c>
      <c r="AK381" s="626">
        <f t="shared" si="414"/>
        <v>0</v>
      </c>
      <c r="AL381" s="626">
        <f t="shared" si="415"/>
        <v>0</v>
      </c>
      <c r="AM381" s="626">
        <f t="shared" si="416"/>
        <v>0</v>
      </c>
      <c r="AN381" s="625">
        <f t="array" ref="AN381">IFERROR(INDEX('TB-EQUIPMENT &amp; OTHER HPs'!$Y$138:$Y$175,MATCH($E381&amp;$F381,'TB-EQUIPMENT &amp; OTHER HPs'!$E$138:$E$175&amp;'TB-EQUIPMENT &amp; OTHER HPs'!$I$138:$I$175,0)),0)</f>
        <v>0</v>
      </c>
      <c r="AO381" s="626">
        <f t="shared" si="417"/>
        <v>0</v>
      </c>
      <c r="AP381" s="626">
        <f t="shared" si="418"/>
        <v>0</v>
      </c>
      <c r="AQ381" s="626">
        <f t="shared" si="419"/>
        <v>0</v>
      </c>
      <c r="AR381" s="630"/>
      <c r="AS381" s="625">
        <f t="array" ref="AS381">IFERROR(INDEX('TB-EQUIPMENT &amp; OTHER HPs'!$AB$138:$AB$175,MATCH($E381&amp;$F381,'TB-EQUIPMENT &amp; OTHER HPs'!$E$138:$E$175&amp;'TB-EQUIPMENT &amp; OTHER HPs'!$I$138:$I$175,0)),0)</f>
        <v>0</v>
      </c>
      <c r="AT381" s="625">
        <f t="array" ref="AT381">IFERROR(INDEX('TB-EQUIPMENT &amp; OTHER HPs'!$AC$138:$AC$175,MATCH($E381&amp;$F381,'TB-EQUIPMENT &amp; OTHER HPs'!$E$138:$E$175&amp;'TB-EQUIPMENT &amp; OTHER HPs'!$I$138:$I$175,0)),0)</f>
        <v>0</v>
      </c>
      <c r="AU381" s="626">
        <f t="shared" si="420"/>
        <v>0</v>
      </c>
      <c r="AV381" s="626">
        <f t="shared" si="421"/>
        <v>0</v>
      </c>
      <c r="AW381" s="626">
        <f t="shared" si="422"/>
        <v>0</v>
      </c>
      <c r="AX381" s="625">
        <f t="array" ref="AX381">IFERROR(INDEX('TB-EQUIPMENT &amp; OTHER HPs'!$AD$138:$AD$175,MATCH($E381&amp;$F381,'TB-EQUIPMENT &amp; OTHER HPs'!$E$138:$E$175&amp;'TB-EQUIPMENT &amp; OTHER HPs'!$I$138:$I$175,0)),0)</f>
        <v>0</v>
      </c>
      <c r="AY381" s="626">
        <f t="shared" si="423"/>
        <v>0</v>
      </c>
      <c r="AZ381" s="626">
        <f t="shared" si="424"/>
        <v>0</v>
      </c>
      <c r="BA381" s="626">
        <f t="shared" si="425"/>
        <v>0</v>
      </c>
      <c r="BB381" s="625">
        <f t="array" ref="BB381">IFERROR(INDEX('TB-EQUIPMENT &amp; OTHER HPs'!$AE$138:$AE$175,MATCH($E381&amp;$F381,'TB-EQUIPMENT &amp; OTHER HPs'!$E$138:$E$175&amp;'TB-EQUIPMENT &amp; OTHER HPs'!$I$138:$I$175,0)),0)</f>
        <v>0</v>
      </c>
      <c r="BC381" s="626">
        <f t="shared" si="426"/>
        <v>0</v>
      </c>
      <c r="BD381" s="626">
        <f t="shared" si="427"/>
        <v>0</v>
      </c>
      <c r="BE381" s="626">
        <f t="shared" si="428"/>
        <v>0</v>
      </c>
      <c r="BF381" s="625">
        <f t="array" ref="BF381">IFERROR(INDEX('TB-EQUIPMENT &amp; OTHER HPs'!$AF$138:$AF$175,MATCH($E381&amp;$F381,'TB-EQUIPMENT &amp; OTHER HPs'!$E$138:$E$175&amp;'TB-EQUIPMENT &amp; OTHER HPs'!$I$138:$I$175,0)),0)</f>
        <v>0</v>
      </c>
      <c r="BG381" s="626">
        <f t="shared" si="429"/>
        <v>0</v>
      </c>
      <c r="BH381" s="626">
        <f t="shared" si="430"/>
        <v>0</v>
      </c>
      <c r="BI381" s="626">
        <f t="shared" si="431"/>
        <v>0</v>
      </c>
      <c r="BJ381" s="630"/>
      <c r="BK381" s="625"/>
      <c r="BL381" s="625"/>
      <c r="BM381" s="625"/>
      <c r="BN381" s="625"/>
      <c r="BO381" s="625"/>
      <c r="BP381" s="625"/>
      <c r="BQ381" s="625"/>
      <c r="BR381" s="625"/>
    </row>
    <row r="382" spans="1:70">
      <c r="A382" s="29" t="s">
        <v>1755</v>
      </c>
      <c r="B382" s="29" t="s">
        <v>1838</v>
      </c>
      <c r="C382" s="619">
        <f>SETUP!$F$44</f>
        <v>0</v>
      </c>
      <c r="D382" s="25">
        <v>5.4</v>
      </c>
      <c r="E382" s="26" t="s">
        <v>205</v>
      </c>
      <c r="F382" s="26" t="s">
        <v>1525</v>
      </c>
      <c r="G382" s="625" t="str">
        <f t="array" ref="G382">IFERROR(INDEX('TB-EQUIPMENT &amp; OTHER HPs'!$L$138:$L$175,MATCH($E382&amp;$F382,'TB-EQUIPMENT &amp; OTHER HPs'!$E$138:$E$175&amp;'TB-EQUIPMENT &amp; OTHER HPs'!$I$138:$I$175,0)),"")</f>
        <v/>
      </c>
      <c r="H382" s="625" t="str">
        <f t="array" ref="H382">IFERROR(INDEX('TB-EQUIPMENT &amp; OTHER HPs'!$M$138:$M$175,MATCH($E382&amp;$F382,'TB-EQUIPMENT &amp; OTHER HPs'!$E$138:$E$175&amp;'TB-EQUIPMENT &amp; OTHER HPs'!$I$138:$I$175,0)),"")</f>
        <v/>
      </c>
      <c r="I382" s="625">
        <f t="array" ref="I382">IFERROR(INDEX('TB-EQUIPMENT &amp; OTHER HPs'!$N$138:$N$175,MATCH($E382&amp;$F382,'TB-EQUIPMENT &amp; OTHER HPs'!$E$138:$E$175&amp;'TB-EQUIPMENT &amp; OTHER HPs'!$I$138:$I$175,0)),0)</f>
        <v>0</v>
      </c>
      <c r="J382" s="625">
        <f t="array" ref="J382">IFERROR(INDEX('TB-EQUIPMENT &amp; OTHER HPs'!$O$138:$O$175,MATCH($E382&amp;$F382,'TB-EQUIPMENT &amp; OTHER HPs'!$E$138:$E$175&amp;'TB-EQUIPMENT &amp; OTHER HPs'!$I$138:$I$175,0)),0)</f>
        <v>0</v>
      </c>
      <c r="K382" s="626">
        <f t="shared" si="396"/>
        <v>0</v>
      </c>
      <c r="L382" s="626">
        <f t="shared" si="397"/>
        <v>0</v>
      </c>
      <c r="M382" s="626">
        <f t="shared" si="398"/>
        <v>0</v>
      </c>
      <c r="N382" s="625">
        <f t="array" ref="N382">IFERROR(INDEX('TB-EQUIPMENT &amp; OTHER HPs'!$P$138:$P$175,MATCH($E382&amp;$F382,'TB-EQUIPMENT &amp; OTHER HPs'!$E$138:$E$175&amp;'TB-EQUIPMENT &amp; OTHER HPs'!$I$138:$I$175,0)),0)</f>
        <v>0</v>
      </c>
      <c r="O382" s="626">
        <f t="shared" si="399"/>
        <v>0</v>
      </c>
      <c r="P382" s="626">
        <f t="shared" si="400"/>
        <v>0</v>
      </c>
      <c r="Q382" s="626">
        <f t="shared" si="401"/>
        <v>0</v>
      </c>
      <c r="R382" s="625">
        <f t="array" ref="R382">IFERROR(INDEX('TB-EQUIPMENT &amp; OTHER HPs'!$Q$138:$Q$175,MATCH($E382&amp;$F382,'TB-EQUIPMENT &amp; OTHER HPs'!$E$138:$E$175&amp;'TB-EQUIPMENT &amp; OTHER HPs'!$I$138:$I$175,0)),0)</f>
        <v>0</v>
      </c>
      <c r="S382" s="626">
        <f t="shared" si="402"/>
        <v>0</v>
      </c>
      <c r="T382" s="626">
        <f t="shared" si="403"/>
        <v>0</v>
      </c>
      <c r="U382" s="626">
        <f t="shared" si="404"/>
        <v>0</v>
      </c>
      <c r="V382" s="625">
        <f t="array" ref="V382">IFERROR(INDEX('TB-EQUIPMENT &amp; OTHER HPs'!$R$138:$R$175,MATCH($E382&amp;$F382,'TB-EQUIPMENT &amp; OTHER HPs'!$E$138:$E$175&amp;'TB-EQUIPMENT &amp; OTHER HPs'!$I$138:$I$175,0)),0)</f>
        <v>0</v>
      </c>
      <c r="W382" s="626">
        <f t="shared" si="405"/>
        <v>0</v>
      </c>
      <c r="X382" s="626">
        <f t="shared" si="406"/>
        <v>0</v>
      </c>
      <c r="Y382" s="626">
        <f t="shared" si="407"/>
        <v>0</v>
      </c>
      <c r="AA382" s="625">
        <f t="array" ref="AA382">IFERROR(INDEX('TB-EQUIPMENT &amp; OTHER HPs'!$U$138:$U$175,MATCH($E382&amp;$F382,'TB-EQUIPMENT &amp; OTHER HPs'!$E$138:$E$175&amp;'TB-EQUIPMENT &amp; OTHER HPs'!$I$138:$I$175,0)),0)</f>
        <v>0</v>
      </c>
      <c r="AB382" s="625">
        <f t="array" ref="AB382">IFERROR(INDEX('TB-EQUIPMENT &amp; OTHER HPs'!$V$138:$V$175,MATCH($E382&amp;$F382,'TB-EQUIPMENT &amp; OTHER HPs'!$E$138:$E$175&amp;'TB-EQUIPMENT &amp; OTHER HPs'!$I$138:$I$175,0)),0)</f>
        <v>0</v>
      </c>
      <c r="AC382" s="626">
        <f t="shared" si="408"/>
        <v>0</v>
      </c>
      <c r="AD382" s="626">
        <f t="shared" si="409"/>
        <v>0</v>
      </c>
      <c r="AE382" s="626">
        <f t="shared" si="410"/>
        <v>0</v>
      </c>
      <c r="AF382" s="625">
        <f t="array" ref="AF382">IFERROR(INDEX('TB-EQUIPMENT &amp; OTHER HPs'!$W$138:$W$175,MATCH($E382&amp;$F382,'TB-EQUIPMENT &amp; OTHER HPs'!$E$138:$E$175&amp;'TB-EQUIPMENT &amp; OTHER HPs'!$I$138:$I$175,0)),0)</f>
        <v>0</v>
      </c>
      <c r="AG382" s="626">
        <f t="shared" si="411"/>
        <v>0</v>
      </c>
      <c r="AH382" s="626">
        <f t="shared" si="412"/>
        <v>0</v>
      </c>
      <c r="AI382" s="626">
        <f t="shared" si="413"/>
        <v>0</v>
      </c>
      <c r="AJ382" s="625">
        <f t="array" ref="AJ382">IFERROR(INDEX('TB-EQUIPMENT &amp; OTHER HPs'!$X$138:$X$175,MATCH($E382&amp;$F382,'TB-EQUIPMENT &amp; OTHER HPs'!$E$138:$E$175&amp;'TB-EQUIPMENT &amp; OTHER HPs'!$I$138:$I$175,0)),0)</f>
        <v>0</v>
      </c>
      <c r="AK382" s="626">
        <f t="shared" si="414"/>
        <v>0</v>
      </c>
      <c r="AL382" s="626">
        <f t="shared" si="415"/>
        <v>0</v>
      </c>
      <c r="AM382" s="626">
        <f t="shared" si="416"/>
        <v>0</v>
      </c>
      <c r="AN382" s="625">
        <f t="array" ref="AN382">IFERROR(INDEX('TB-EQUIPMENT &amp; OTHER HPs'!$Y$138:$Y$175,MATCH($E382&amp;$F382,'TB-EQUIPMENT &amp; OTHER HPs'!$E$138:$E$175&amp;'TB-EQUIPMENT &amp; OTHER HPs'!$I$138:$I$175,0)),0)</f>
        <v>0</v>
      </c>
      <c r="AO382" s="626">
        <f t="shared" si="417"/>
        <v>0</v>
      </c>
      <c r="AP382" s="626">
        <f t="shared" si="418"/>
        <v>0</v>
      </c>
      <c r="AQ382" s="626">
        <f t="shared" si="419"/>
        <v>0</v>
      </c>
      <c r="AR382" s="630"/>
      <c r="AS382" s="625">
        <f t="array" ref="AS382">IFERROR(INDEX('TB-EQUIPMENT &amp; OTHER HPs'!$AB$138:$AB$175,MATCH($E382&amp;$F382,'TB-EQUIPMENT &amp; OTHER HPs'!$E$138:$E$175&amp;'TB-EQUIPMENT &amp; OTHER HPs'!$I$138:$I$175,0)),0)</f>
        <v>0</v>
      </c>
      <c r="AT382" s="625">
        <f t="array" ref="AT382">IFERROR(INDEX('TB-EQUIPMENT &amp; OTHER HPs'!$AC$138:$AC$175,MATCH($E382&amp;$F382,'TB-EQUIPMENT &amp; OTHER HPs'!$E$138:$E$175&amp;'TB-EQUIPMENT &amp; OTHER HPs'!$I$138:$I$175,0)),0)</f>
        <v>0</v>
      </c>
      <c r="AU382" s="626">
        <f t="shared" si="420"/>
        <v>0</v>
      </c>
      <c r="AV382" s="626">
        <f t="shared" si="421"/>
        <v>0</v>
      </c>
      <c r="AW382" s="626">
        <f t="shared" si="422"/>
        <v>0</v>
      </c>
      <c r="AX382" s="625">
        <f t="array" ref="AX382">IFERROR(INDEX('TB-EQUIPMENT &amp; OTHER HPs'!$AD$138:$AD$175,MATCH($E382&amp;$F382,'TB-EQUIPMENT &amp; OTHER HPs'!$E$138:$E$175&amp;'TB-EQUIPMENT &amp; OTHER HPs'!$I$138:$I$175,0)),0)</f>
        <v>0</v>
      </c>
      <c r="AY382" s="626">
        <f t="shared" si="423"/>
        <v>0</v>
      </c>
      <c r="AZ382" s="626">
        <f t="shared" si="424"/>
        <v>0</v>
      </c>
      <c r="BA382" s="626">
        <f t="shared" si="425"/>
        <v>0</v>
      </c>
      <c r="BB382" s="625">
        <f t="array" ref="BB382">IFERROR(INDEX('TB-EQUIPMENT &amp; OTHER HPs'!$AE$138:$AE$175,MATCH($E382&amp;$F382,'TB-EQUIPMENT &amp; OTHER HPs'!$E$138:$E$175&amp;'TB-EQUIPMENT &amp; OTHER HPs'!$I$138:$I$175,0)),0)</f>
        <v>0</v>
      </c>
      <c r="BC382" s="626">
        <f t="shared" si="426"/>
        <v>0</v>
      </c>
      <c r="BD382" s="626">
        <f t="shared" si="427"/>
        <v>0</v>
      </c>
      <c r="BE382" s="626">
        <f t="shared" si="428"/>
        <v>0</v>
      </c>
      <c r="BF382" s="625">
        <f t="array" ref="BF382">IFERROR(INDEX('TB-EQUIPMENT &amp; OTHER HPs'!$AF$138:$AF$175,MATCH($E382&amp;$F382,'TB-EQUIPMENT &amp; OTHER HPs'!$E$138:$E$175&amp;'TB-EQUIPMENT &amp; OTHER HPs'!$I$138:$I$175,0)),0)</f>
        <v>0</v>
      </c>
      <c r="BG382" s="626">
        <f t="shared" si="429"/>
        <v>0</v>
      </c>
      <c r="BH382" s="626">
        <f t="shared" si="430"/>
        <v>0</v>
      </c>
      <c r="BI382" s="626">
        <f t="shared" si="431"/>
        <v>0</v>
      </c>
      <c r="BJ382" s="630"/>
      <c r="BK382" s="625"/>
      <c r="BL382" s="625"/>
      <c r="BM382" s="625"/>
      <c r="BN382" s="625"/>
      <c r="BO382" s="625"/>
      <c r="BP382" s="625"/>
      <c r="BQ382" s="625"/>
      <c r="BR382" s="625"/>
    </row>
    <row r="383" spans="1:70">
      <c r="A383" s="29" t="s">
        <v>1755</v>
      </c>
      <c r="B383" s="29" t="s">
        <v>1838</v>
      </c>
      <c r="C383" s="619">
        <f>SETUP!$F$44</f>
        <v>0</v>
      </c>
      <c r="D383" s="25">
        <v>5.4</v>
      </c>
      <c r="E383" s="26" t="s">
        <v>205</v>
      </c>
      <c r="F383" s="26" t="s">
        <v>1526</v>
      </c>
      <c r="G383" s="625" t="str">
        <f t="array" ref="G383">IFERROR(INDEX('TB-EQUIPMENT &amp; OTHER HPs'!$L$138:$L$175,MATCH($E383&amp;$F383,'TB-EQUIPMENT &amp; OTHER HPs'!$E$138:$E$175&amp;'TB-EQUIPMENT &amp; OTHER HPs'!$I$138:$I$175,0)),"")</f>
        <v/>
      </c>
      <c r="H383" s="625" t="str">
        <f t="array" ref="H383">IFERROR(INDEX('TB-EQUIPMENT &amp; OTHER HPs'!$M$138:$M$175,MATCH($E383&amp;$F383,'TB-EQUIPMENT &amp; OTHER HPs'!$E$138:$E$175&amp;'TB-EQUIPMENT &amp; OTHER HPs'!$I$138:$I$175,0)),"")</f>
        <v/>
      </c>
      <c r="I383" s="625">
        <f t="array" ref="I383">IFERROR(INDEX('TB-EQUIPMENT &amp; OTHER HPs'!$N$138:$N$175,MATCH($E383&amp;$F383,'TB-EQUIPMENT &amp; OTHER HPs'!$E$138:$E$175&amp;'TB-EQUIPMENT &amp; OTHER HPs'!$I$138:$I$175,0)),0)</f>
        <v>0</v>
      </c>
      <c r="J383" s="625">
        <f t="array" ref="J383">IFERROR(INDEX('TB-EQUIPMENT &amp; OTHER HPs'!$O$138:$O$175,MATCH($E383&amp;$F383,'TB-EQUIPMENT &amp; OTHER HPs'!$E$138:$E$175&amp;'TB-EQUIPMENT &amp; OTHER HPs'!$I$138:$I$175,0)),0)</f>
        <v>0</v>
      </c>
      <c r="K383" s="626">
        <f t="shared" si="396"/>
        <v>0</v>
      </c>
      <c r="L383" s="626">
        <f t="shared" si="397"/>
        <v>0</v>
      </c>
      <c r="M383" s="626">
        <f t="shared" si="398"/>
        <v>0</v>
      </c>
      <c r="N383" s="625">
        <f t="array" ref="N383">IFERROR(INDEX('TB-EQUIPMENT &amp; OTHER HPs'!$P$138:$P$175,MATCH($E383&amp;$F383,'TB-EQUIPMENT &amp; OTHER HPs'!$E$138:$E$175&amp;'TB-EQUIPMENT &amp; OTHER HPs'!$I$138:$I$175,0)),0)</f>
        <v>0</v>
      </c>
      <c r="O383" s="626">
        <f t="shared" si="399"/>
        <v>0</v>
      </c>
      <c r="P383" s="626">
        <f t="shared" si="400"/>
        <v>0</v>
      </c>
      <c r="Q383" s="626">
        <f t="shared" si="401"/>
        <v>0</v>
      </c>
      <c r="R383" s="625">
        <f t="array" ref="R383">IFERROR(INDEX('TB-EQUIPMENT &amp; OTHER HPs'!$Q$138:$Q$175,MATCH($E383&amp;$F383,'TB-EQUIPMENT &amp; OTHER HPs'!$E$138:$E$175&amp;'TB-EQUIPMENT &amp; OTHER HPs'!$I$138:$I$175,0)),0)</f>
        <v>0</v>
      </c>
      <c r="S383" s="626">
        <f t="shared" si="402"/>
        <v>0</v>
      </c>
      <c r="T383" s="626">
        <f t="shared" si="403"/>
        <v>0</v>
      </c>
      <c r="U383" s="626">
        <f t="shared" si="404"/>
        <v>0</v>
      </c>
      <c r="V383" s="625">
        <f t="array" ref="V383">IFERROR(INDEX('TB-EQUIPMENT &amp; OTHER HPs'!$R$138:$R$175,MATCH($E383&amp;$F383,'TB-EQUIPMENT &amp; OTHER HPs'!$E$138:$E$175&amp;'TB-EQUIPMENT &amp; OTHER HPs'!$I$138:$I$175,0)),0)</f>
        <v>0</v>
      </c>
      <c r="W383" s="626">
        <f t="shared" si="405"/>
        <v>0</v>
      </c>
      <c r="X383" s="626">
        <f t="shared" si="406"/>
        <v>0</v>
      </c>
      <c r="Y383" s="626">
        <f t="shared" si="407"/>
        <v>0</v>
      </c>
      <c r="AA383" s="625">
        <f t="array" ref="AA383">IFERROR(INDEX('TB-EQUIPMENT &amp; OTHER HPs'!$U$138:$U$175,MATCH($E383&amp;$F383,'TB-EQUIPMENT &amp; OTHER HPs'!$E$138:$E$175&amp;'TB-EQUIPMENT &amp; OTHER HPs'!$I$138:$I$175,0)),0)</f>
        <v>0</v>
      </c>
      <c r="AB383" s="625">
        <f t="array" ref="AB383">IFERROR(INDEX('TB-EQUIPMENT &amp; OTHER HPs'!$V$138:$V$175,MATCH($E383&amp;$F383,'TB-EQUIPMENT &amp; OTHER HPs'!$E$138:$E$175&amp;'TB-EQUIPMENT &amp; OTHER HPs'!$I$138:$I$175,0)),0)</f>
        <v>0</v>
      </c>
      <c r="AC383" s="626">
        <f t="shared" si="408"/>
        <v>0</v>
      </c>
      <c r="AD383" s="626">
        <f t="shared" si="409"/>
        <v>0</v>
      </c>
      <c r="AE383" s="626">
        <f t="shared" si="410"/>
        <v>0</v>
      </c>
      <c r="AF383" s="625">
        <f t="array" ref="AF383">IFERROR(INDEX('TB-EQUIPMENT &amp; OTHER HPs'!$W$138:$W$175,MATCH($E383&amp;$F383,'TB-EQUIPMENT &amp; OTHER HPs'!$E$138:$E$175&amp;'TB-EQUIPMENT &amp; OTHER HPs'!$I$138:$I$175,0)),0)</f>
        <v>0</v>
      </c>
      <c r="AG383" s="626">
        <f t="shared" si="411"/>
        <v>0</v>
      </c>
      <c r="AH383" s="626">
        <f t="shared" si="412"/>
        <v>0</v>
      </c>
      <c r="AI383" s="626">
        <f t="shared" si="413"/>
        <v>0</v>
      </c>
      <c r="AJ383" s="625">
        <f t="array" ref="AJ383">IFERROR(INDEX('TB-EQUIPMENT &amp; OTHER HPs'!$X$138:$X$175,MATCH($E383&amp;$F383,'TB-EQUIPMENT &amp; OTHER HPs'!$E$138:$E$175&amp;'TB-EQUIPMENT &amp; OTHER HPs'!$I$138:$I$175,0)),0)</f>
        <v>0</v>
      </c>
      <c r="AK383" s="626">
        <f t="shared" si="414"/>
        <v>0</v>
      </c>
      <c r="AL383" s="626">
        <f t="shared" si="415"/>
        <v>0</v>
      </c>
      <c r="AM383" s="626">
        <f t="shared" si="416"/>
        <v>0</v>
      </c>
      <c r="AN383" s="625">
        <f t="array" ref="AN383">IFERROR(INDEX('TB-EQUIPMENT &amp; OTHER HPs'!$Y$138:$Y$175,MATCH($E383&amp;$F383,'TB-EQUIPMENT &amp; OTHER HPs'!$E$138:$E$175&amp;'TB-EQUIPMENT &amp; OTHER HPs'!$I$138:$I$175,0)),0)</f>
        <v>0</v>
      </c>
      <c r="AO383" s="626">
        <f t="shared" si="417"/>
        <v>0</v>
      </c>
      <c r="AP383" s="626">
        <f t="shared" si="418"/>
        <v>0</v>
      </c>
      <c r="AQ383" s="626">
        <f t="shared" si="419"/>
        <v>0</v>
      </c>
      <c r="AR383" s="630"/>
      <c r="AS383" s="625">
        <f t="array" ref="AS383">IFERROR(INDEX('TB-EQUIPMENT &amp; OTHER HPs'!$AB$138:$AB$175,MATCH($E383&amp;$F383,'TB-EQUIPMENT &amp; OTHER HPs'!$E$138:$E$175&amp;'TB-EQUIPMENT &amp; OTHER HPs'!$I$138:$I$175,0)),0)</f>
        <v>0</v>
      </c>
      <c r="AT383" s="625">
        <f t="array" ref="AT383">IFERROR(INDEX('TB-EQUIPMENT &amp; OTHER HPs'!$AC$138:$AC$175,MATCH($E383&amp;$F383,'TB-EQUIPMENT &amp; OTHER HPs'!$E$138:$E$175&amp;'TB-EQUIPMENT &amp; OTHER HPs'!$I$138:$I$175,0)),0)</f>
        <v>0</v>
      </c>
      <c r="AU383" s="626">
        <f t="shared" si="420"/>
        <v>0</v>
      </c>
      <c r="AV383" s="626">
        <f t="shared" si="421"/>
        <v>0</v>
      </c>
      <c r="AW383" s="626">
        <f t="shared" si="422"/>
        <v>0</v>
      </c>
      <c r="AX383" s="625">
        <f t="array" ref="AX383">IFERROR(INDEX('TB-EQUIPMENT &amp; OTHER HPs'!$AD$138:$AD$175,MATCH($E383&amp;$F383,'TB-EQUIPMENT &amp; OTHER HPs'!$E$138:$E$175&amp;'TB-EQUIPMENT &amp; OTHER HPs'!$I$138:$I$175,0)),0)</f>
        <v>0</v>
      </c>
      <c r="AY383" s="626">
        <f t="shared" si="423"/>
        <v>0</v>
      </c>
      <c r="AZ383" s="626">
        <f t="shared" si="424"/>
        <v>0</v>
      </c>
      <c r="BA383" s="626">
        <f t="shared" si="425"/>
        <v>0</v>
      </c>
      <c r="BB383" s="625">
        <f t="array" ref="BB383">IFERROR(INDEX('TB-EQUIPMENT &amp; OTHER HPs'!$AE$138:$AE$175,MATCH($E383&amp;$F383,'TB-EQUIPMENT &amp; OTHER HPs'!$E$138:$E$175&amp;'TB-EQUIPMENT &amp; OTHER HPs'!$I$138:$I$175,0)),0)</f>
        <v>0</v>
      </c>
      <c r="BC383" s="626">
        <f t="shared" si="426"/>
        <v>0</v>
      </c>
      <c r="BD383" s="626">
        <f t="shared" si="427"/>
        <v>0</v>
      </c>
      <c r="BE383" s="626">
        <f t="shared" si="428"/>
        <v>0</v>
      </c>
      <c r="BF383" s="625">
        <f t="array" ref="BF383">IFERROR(INDEX('TB-EQUIPMENT &amp; OTHER HPs'!$AF$138:$AF$175,MATCH($E383&amp;$F383,'TB-EQUIPMENT &amp; OTHER HPs'!$E$138:$E$175&amp;'TB-EQUIPMENT &amp; OTHER HPs'!$I$138:$I$175,0)),0)</f>
        <v>0</v>
      </c>
      <c r="BG383" s="626">
        <f t="shared" si="429"/>
        <v>0</v>
      </c>
      <c r="BH383" s="626">
        <f t="shared" si="430"/>
        <v>0</v>
      </c>
      <c r="BI383" s="626">
        <f t="shared" si="431"/>
        <v>0</v>
      </c>
      <c r="BJ383" s="630"/>
      <c r="BK383" s="625"/>
      <c r="BL383" s="625"/>
      <c r="BM383" s="625"/>
      <c r="BN383" s="625"/>
      <c r="BO383" s="625"/>
      <c r="BP383" s="625"/>
      <c r="BQ383" s="625"/>
      <c r="BR383" s="625"/>
    </row>
    <row r="384" spans="1:70">
      <c r="A384" s="29" t="s">
        <v>1755</v>
      </c>
      <c r="B384" s="29" t="s">
        <v>1838</v>
      </c>
      <c r="C384" s="619">
        <f>SETUP!$F$44</f>
        <v>0</v>
      </c>
      <c r="D384" s="25">
        <v>5.4</v>
      </c>
      <c r="E384" s="26" t="s">
        <v>205</v>
      </c>
      <c r="F384" s="26" t="s">
        <v>831</v>
      </c>
      <c r="G384" s="625" t="str">
        <f t="array" ref="G384">IFERROR(INDEX('TB-EQUIPMENT &amp; OTHER HPs'!$L$138:$L$175,MATCH($E384&amp;$F384,'TB-EQUIPMENT &amp; OTHER HPs'!$E$138:$E$175&amp;'TB-EQUIPMENT &amp; OTHER HPs'!$I$138:$I$175,0)),"")</f>
        <v/>
      </c>
      <c r="H384" s="625" t="str">
        <f t="array" ref="H384">IFERROR(INDEX('TB-EQUIPMENT &amp; OTHER HPs'!$M$138:$M$175,MATCH($E384&amp;$F384,'TB-EQUIPMENT &amp; OTHER HPs'!$E$138:$E$175&amp;'TB-EQUIPMENT &amp; OTHER HPs'!$I$138:$I$175,0)),"")</f>
        <v/>
      </c>
      <c r="I384" s="625">
        <f t="array" ref="I384">IFERROR(INDEX('TB-EQUIPMENT &amp; OTHER HPs'!$N$138:$N$175,MATCH($E384&amp;$F384,'TB-EQUIPMENT &amp; OTHER HPs'!$E$138:$E$175&amp;'TB-EQUIPMENT &amp; OTHER HPs'!$I$138:$I$175,0)),0)</f>
        <v>0</v>
      </c>
      <c r="J384" s="625">
        <f t="array" ref="J384">IFERROR(INDEX('TB-EQUIPMENT &amp; OTHER HPs'!$O$138:$O$175,MATCH($E384&amp;$F384,'TB-EQUIPMENT &amp; OTHER HPs'!$E$138:$E$175&amp;'TB-EQUIPMENT &amp; OTHER HPs'!$I$138:$I$175,0)),0)</f>
        <v>0</v>
      </c>
      <c r="K384" s="626">
        <f t="shared" si="396"/>
        <v>0</v>
      </c>
      <c r="L384" s="626">
        <f t="shared" si="397"/>
        <v>0</v>
      </c>
      <c r="M384" s="626">
        <f t="shared" si="398"/>
        <v>0</v>
      </c>
      <c r="N384" s="625">
        <f t="array" ref="N384">IFERROR(INDEX('TB-EQUIPMENT &amp; OTHER HPs'!$P$138:$P$175,MATCH($E384&amp;$F384,'TB-EQUIPMENT &amp; OTHER HPs'!$E$138:$E$175&amp;'TB-EQUIPMENT &amp; OTHER HPs'!$I$138:$I$175,0)),0)</f>
        <v>0</v>
      </c>
      <c r="O384" s="626">
        <f t="shared" si="399"/>
        <v>0</v>
      </c>
      <c r="P384" s="626">
        <f t="shared" si="400"/>
        <v>0</v>
      </c>
      <c r="Q384" s="626">
        <f t="shared" si="401"/>
        <v>0</v>
      </c>
      <c r="R384" s="625">
        <f t="array" ref="R384">IFERROR(INDEX('TB-EQUIPMENT &amp; OTHER HPs'!$Q$138:$Q$175,MATCH($E384&amp;$F384,'TB-EQUIPMENT &amp; OTHER HPs'!$E$138:$E$175&amp;'TB-EQUIPMENT &amp; OTHER HPs'!$I$138:$I$175,0)),0)</f>
        <v>0</v>
      </c>
      <c r="S384" s="626">
        <f t="shared" si="402"/>
        <v>0</v>
      </c>
      <c r="T384" s="626">
        <f t="shared" si="403"/>
        <v>0</v>
      </c>
      <c r="U384" s="626">
        <f t="shared" si="404"/>
        <v>0</v>
      </c>
      <c r="V384" s="625">
        <f t="array" ref="V384">IFERROR(INDEX('TB-EQUIPMENT &amp; OTHER HPs'!$R$138:$R$175,MATCH($E384&amp;$F384,'TB-EQUIPMENT &amp; OTHER HPs'!$E$138:$E$175&amp;'TB-EQUIPMENT &amp; OTHER HPs'!$I$138:$I$175,0)),0)</f>
        <v>0</v>
      </c>
      <c r="W384" s="626">
        <f t="shared" si="405"/>
        <v>0</v>
      </c>
      <c r="X384" s="626">
        <f t="shared" si="406"/>
        <v>0</v>
      </c>
      <c r="Y384" s="626">
        <f t="shared" si="407"/>
        <v>0</v>
      </c>
      <c r="AA384" s="625">
        <f t="array" ref="AA384">IFERROR(INDEX('TB-EQUIPMENT &amp; OTHER HPs'!$U$138:$U$175,MATCH($E384&amp;$F384,'TB-EQUIPMENT &amp; OTHER HPs'!$E$138:$E$175&amp;'TB-EQUIPMENT &amp; OTHER HPs'!$I$138:$I$175,0)),0)</f>
        <v>0</v>
      </c>
      <c r="AB384" s="625">
        <f t="array" ref="AB384">IFERROR(INDEX('TB-EQUIPMENT &amp; OTHER HPs'!$V$138:$V$175,MATCH($E384&amp;$F384,'TB-EQUIPMENT &amp; OTHER HPs'!$E$138:$E$175&amp;'TB-EQUIPMENT &amp; OTHER HPs'!$I$138:$I$175,0)),0)</f>
        <v>0</v>
      </c>
      <c r="AC384" s="626">
        <f t="shared" si="408"/>
        <v>0</v>
      </c>
      <c r="AD384" s="626">
        <f t="shared" si="409"/>
        <v>0</v>
      </c>
      <c r="AE384" s="626">
        <f t="shared" si="410"/>
        <v>0</v>
      </c>
      <c r="AF384" s="625">
        <f t="array" ref="AF384">IFERROR(INDEX('TB-EQUIPMENT &amp; OTHER HPs'!$W$138:$W$175,MATCH($E384&amp;$F384,'TB-EQUIPMENT &amp; OTHER HPs'!$E$138:$E$175&amp;'TB-EQUIPMENT &amp; OTHER HPs'!$I$138:$I$175,0)),0)</f>
        <v>0</v>
      </c>
      <c r="AG384" s="626">
        <f t="shared" si="411"/>
        <v>0</v>
      </c>
      <c r="AH384" s="626">
        <f t="shared" si="412"/>
        <v>0</v>
      </c>
      <c r="AI384" s="626">
        <f t="shared" si="413"/>
        <v>0</v>
      </c>
      <c r="AJ384" s="625">
        <f t="array" ref="AJ384">IFERROR(INDEX('TB-EQUIPMENT &amp; OTHER HPs'!$X$138:$X$175,MATCH($E384&amp;$F384,'TB-EQUIPMENT &amp; OTHER HPs'!$E$138:$E$175&amp;'TB-EQUIPMENT &amp; OTHER HPs'!$I$138:$I$175,0)),0)</f>
        <v>0</v>
      </c>
      <c r="AK384" s="626">
        <f t="shared" si="414"/>
        <v>0</v>
      </c>
      <c r="AL384" s="626">
        <f t="shared" si="415"/>
        <v>0</v>
      </c>
      <c r="AM384" s="626">
        <f t="shared" si="416"/>
        <v>0</v>
      </c>
      <c r="AN384" s="625">
        <f t="array" ref="AN384">IFERROR(INDEX('TB-EQUIPMENT &amp; OTHER HPs'!$Y$138:$Y$175,MATCH($E384&amp;$F384,'TB-EQUIPMENT &amp; OTHER HPs'!$E$138:$E$175&amp;'TB-EQUIPMENT &amp; OTHER HPs'!$I$138:$I$175,0)),0)</f>
        <v>0</v>
      </c>
      <c r="AO384" s="626">
        <f t="shared" si="417"/>
        <v>0</v>
      </c>
      <c r="AP384" s="626">
        <f t="shared" si="418"/>
        <v>0</v>
      </c>
      <c r="AQ384" s="626">
        <f t="shared" si="419"/>
        <v>0</v>
      </c>
      <c r="AR384" s="630"/>
      <c r="AS384" s="625">
        <f t="array" ref="AS384">IFERROR(INDEX('TB-EQUIPMENT &amp; OTHER HPs'!$AB$138:$AB$175,MATCH($E384&amp;$F384,'TB-EQUIPMENT &amp; OTHER HPs'!$E$138:$E$175&amp;'TB-EQUIPMENT &amp; OTHER HPs'!$I$138:$I$175,0)),0)</f>
        <v>0</v>
      </c>
      <c r="AT384" s="625">
        <f t="array" ref="AT384">IFERROR(INDEX('TB-EQUIPMENT &amp; OTHER HPs'!$AC$138:$AC$175,MATCH($E384&amp;$F384,'TB-EQUIPMENT &amp; OTHER HPs'!$E$138:$E$175&amp;'TB-EQUIPMENT &amp; OTHER HPs'!$I$138:$I$175,0)),0)</f>
        <v>0</v>
      </c>
      <c r="AU384" s="626">
        <f t="shared" si="420"/>
        <v>0</v>
      </c>
      <c r="AV384" s="626">
        <f t="shared" si="421"/>
        <v>0</v>
      </c>
      <c r="AW384" s="626">
        <f t="shared" si="422"/>
        <v>0</v>
      </c>
      <c r="AX384" s="625">
        <f t="array" ref="AX384">IFERROR(INDEX('TB-EQUIPMENT &amp; OTHER HPs'!$AD$138:$AD$175,MATCH($E384&amp;$F384,'TB-EQUIPMENT &amp; OTHER HPs'!$E$138:$E$175&amp;'TB-EQUIPMENT &amp; OTHER HPs'!$I$138:$I$175,0)),0)</f>
        <v>0</v>
      </c>
      <c r="AY384" s="626">
        <f t="shared" si="423"/>
        <v>0</v>
      </c>
      <c r="AZ384" s="626">
        <f t="shared" si="424"/>
        <v>0</v>
      </c>
      <c r="BA384" s="626">
        <f t="shared" si="425"/>
        <v>0</v>
      </c>
      <c r="BB384" s="625">
        <f t="array" ref="BB384">IFERROR(INDEX('TB-EQUIPMENT &amp; OTHER HPs'!$AE$138:$AE$175,MATCH($E384&amp;$F384,'TB-EQUIPMENT &amp; OTHER HPs'!$E$138:$E$175&amp;'TB-EQUIPMENT &amp; OTHER HPs'!$I$138:$I$175,0)),0)</f>
        <v>0</v>
      </c>
      <c r="BC384" s="626">
        <f t="shared" si="426"/>
        <v>0</v>
      </c>
      <c r="BD384" s="626">
        <f t="shared" si="427"/>
        <v>0</v>
      </c>
      <c r="BE384" s="626">
        <f t="shared" si="428"/>
        <v>0</v>
      </c>
      <c r="BF384" s="625">
        <f t="array" ref="BF384">IFERROR(INDEX('TB-EQUIPMENT &amp; OTHER HPs'!$AF$138:$AF$175,MATCH($E384&amp;$F384,'TB-EQUIPMENT &amp; OTHER HPs'!$E$138:$E$175&amp;'TB-EQUIPMENT &amp; OTHER HPs'!$I$138:$I$175,0)),0)</f>
        <v>0</v>
      </c>
      <c r="BG384" s="626">
        <f t="shared" si="429"/>
        <v>0</v>
      </c>
      <c r="BH384" s="626">
        <f t="shared" si="430"/>
        <v>0</v>
      </c>
      <c r="BI384" s="626">
        <f t="shared" si="431"/>
        <v>0</v>
      </c>
      <c r="BJ384" s="630"/>
      <c r="BK384" s="625"/>
      <c r="BL384" s="625"/>
      <c r="BM384" s="625"/>
      <c r="BN384" s="625"/>
      <c r="BO384" s="625"/>
      <c r="BP384" s="625"/>
      <c r="BQ384" s="625"/>
      <c r="BR384" s="625"/>
    </row>
    <row r="385" spans="1:70">
      <c r="A385" s="29" t="s">
        <v>1755</v>
      </c>
      <c r="B385" s="29" t="s">
        <v>1838</v>
      </c>
      <c r="C385" s="619">
        <f>SETUP!$F$44</f>
        <v>0</v>
      </c>
      <c r="D385" s="25">
        <v>5.4</v>
      </c>
      <c r="E385" s="26" t="s">
        <v>205</v>
      </c>
      <c r="F385" s="26" t="s">
        <v>830</v>
      </c>
      <c r="G385" s="625" t="str">
        <f t="array" ref="G385">IFERROR(INDEX('TB-EQUIPMENT &amp; OTHER HPs'!$L$138:$L$175,MATCH($E385&amp;$F385,'TB-EQUIPMENT &amp; OTHER HPs'!$E$138:$E$175&amp;'TB-EQUIPMENT &amp; OTHER HPs'!$I$138:$I$175,0)),"")</f>
        <v/>
      </c>
      <c r="H385" s="625" t="str">
        <f t="array" ref="H385">IFERROR(INDEX('TB-EQUIPMENT &amp; OTHER HPs'!$M$138:$M$175,MATCH($E385&amp;$F385,'TB-EQUIPMENT &amp; OTHER HPs'!$E$138:$E$175&amp;'TB-EQUIPMENT &amp; OTHER HPs'!$I$138:$I$175,0)),"")</f>
        <v/>
      </c>
      <c r="I385" s="625">
        <f t="array" ref="I385">IFERROR(INDEX('TB-EQUIPMENT &amp; OTHER HPs'!$N$138:$N$175,MATCH($E385&amp;$F385,'TB-EQUIPMENT &amp; OTHER HPs'!$E$138:$E$175&amp;'TB-EQUIPMENT &amp; OTHER HPs'!$I$138:$I$175,0)),0)</f>
        <v>0</v>
      </c>
      <c r="J385" s="625">
        <f t="array" ref="J385">IFERROR(INDEX('TB-EQUIPMENT &amp; OTHER HPs'!$O$138:$O$175,MATCH($E385&amp;$F385,'TB-EQUIPMENT &amp; OTHER HPs'!$E$138:$E$175&amp;'TB-EQUIPMENT &amp; OTHER HPs'!$I$138:$I$175,0)),0)</f>
        <v>0</v>
      </c>
      <c r="K385" s="626">
        <f t="shared" si="396"/>
        <v>0</v>
      </c>
      <c r="L385" s="626">
        <f t="shared" si="397"/>
        <v>0</v>
      </c>
      <c r="M385" s="626">
        <f t="shared" si="398"/>
        <v>0</v>
      </c>
      <c r="N385" s="625">
        <f t="array" ref="N385">IFERROR(INDEX('TB-EQUIPMENT &amp; OTHER HPs'!$P$138:$P$175,MATCH($E385&amp;$F385,'TB-EQUIPMENT &amp; OTHER HPs'!$E$138:$E$175&amp;'TB-EQUIPMENT &amp; OTHER HPs'!$I$138:$I$175,0)),0)</f>
        <v>0</v>
      </c>
      <c r="O385" s="626">
        <f t="shared" si="399"/>
        <v>0</v>
      </c>
      <c r="P385" s="626">
        <f t="shared" si="400"/>
        <v>0</v>
      </c>
      <c r="Q385" s="626">
        <f t="shared" si="401"/>
        <v>0</v>
      </c>
      <c r="R385" s="625">
        <f t="array" ref="R385">IFERROR(INDEX('TB-EQUIPMENT &amp; OTHER HPs'!$Q$138:$Q$175,MATCH($E385&amp;$F385,'TB-EQUIPMENT &amp; OTHER HPs'!$E$138:$E$175&amp;'TB-EQUIPMENT &amp; OTHER HPs'!$I$138:$I$175,0)),0)</f>
        <v>0</v>
      </c>
      <c r="S385" s="626">
        <f t="shared" si="402"/>
        <v>0</v>
      </c>
      <c r="T385" s="626">
        <f t="shared" si="403"/>
        <v>0</v>
      </c>
      <c r="U385" s="626">
        <f t="shared" si="404"/>
        <v>0</v>
      </c>
      <c r="V385" s="625">
        <f t="array" ref="V385">IFERROR(INDEX('TB-EQUIPMENT &amp; OTHER HPs'!$R$138:$R$175,MATCH($E385&amp;$F385,'TB-EQUIPMENT &amp; OTHER HPs'!$E$138:$E$175&amp;'TB-EQUIPMENT &amp; OTHER HPs'!$I$138:$I$175,0)),0)</f>
        <v>0</v>
      </c>
      <c r="W385" s="626">
        <f t="shared" si="405"/>
        <v>0</v>
      </c>
      <c r="X385" s="626">
        <f t="shared" si="406"/>
        <v>0</v>
      </c>
      <c r="Y385" s="626">
        <f t="shared" si="407"/>
        <v>0</v>
      </c>
      <c r="AA385" s="625">
        <f t="array" ref="AA385">IFERROR(INDEX('TB-EQUIPMENT &amp; OTHER HPs'!$U$138:$U$175,MATCH($E385&amp;$F385,'TB-EQUIPMENT &amp; OTHER HPs'!$E$138:$E$175&amp;'TB-EQUIPMENT &amp; OTHER HPs'!$I$138:$I$175,0)),0)</f>
        <v>0</v>
      </c>
      <c r="AB385" s="625">
        <f t="array" ref="AB385">IFERROR(INDEX('TB-EQUIPMENT &amp; OTHER HPs'!$V$138:$V$175,MATCH($E385&amp;$F385,'TB-EQUIPMENT &amp; OTHER HPs'!$E$138:$E$175&amp;'TB-EQUIPMENT &amp; OTHER HPs'!$I$138:$I$175,0)),0)</f>
        <v>0</v>
      </c>
      <c r="AC385" s="626">
        <f t="shared" si="408"/>
        <v>0</v>
      </c>
      <c r="AD385" s="626">
        <f t="shared" si="409"/>
        <v>0</v>
      </c>
      <c r="AE385" s="626">
        <f t="shared" si="410"/>
        <v>0</v>
      </c>
      <c r="AF385" s="625">
        <f t="array" ref="AF385">IFERROR(INDEX('TB-EQUIPMENT &amp; OTHER HPs'!$W$138:$W$175,MATCH($E385&amp;$F385,'TB-EQUIPMENT &amp; OTHER HPs'!$E$138:$E$175&amp;'TB-EQUIPMENT &amp; OTHER HPs'!$I$138:$I$175,0)),0)</f>
        <v>0</v>
      </c>
      <c r="AG385" s="626">
        <f t="shared" si="411"/>
        <v>0</v>
      </c>
      <c r="AH385" s="626">
        <f t="shared" si="412"/>
        <v>0</v>
      </c>
      <c r="AI385" s="626">
        <f t="shared" si="413"/>
        <v>0</v>
      </c>
      <c r="AJ385" s="625">
        <f t="array" ref="AJ385">IFERROR(INDEX('TB-EQUIPMENT &amp; OTHER HPs'!$X$138:$X$175,MATCH($E385&amp;$F385,'TB-EQUIPMENT &amp; OTHER HPs'!$E$138:$E$175&amp;'TB-EQUIPMENT &amp; OTHER HPs'!$I$138:$I$175,0)),0)</f>
        <v>0</v>
      </c>
      <c r="AK385" s="626">
        <f t="shared" si="414"/>
        <v>0</v>
      </c>
      <c r="AL385" s="626">
        <f t="shared" si="415"/>
        <v>0</v>
      </c>
      <c r="AM385" s="626">
        <f t="shared" si="416"/>
        <v>0</v>
      </c>
      <c r="AN385" s="625">
        <f t="array" ref="AN385">IFERROR(INDEX('TB-EQUIPMENT &amp; OTHER HPs'!$Y$138:$Y$175,MATCH($E385&amp;$F385,'TB-EQUIPMENT &amp; OTHER HPs'!$E$138:$E$175&amp;'TB-EQUIPMENT &amp; OTHER HPs'!$I$138:$I$175,0)),0)</f>
        <v>0</v>
      </c>
      <c r="AO385" s="626">
        <f t="shared" si="417"/>
        <v>0</v>
      </c>
      <c r="AP385" s="626">
        <f t="shared" si="418"/>
        <v>0</v>
      </c>
      <c r="AQ385" s="626">
        <f t="shared" si="419"/>
        <v>0</v>
      </c>
      <c r="AR385" s="630"/>
      <c r="AS385" s="625">
        <f t="array" ref="AS385">IFERROR(INDEX('TB-EQUIPMENT &amp; OTHER HPs'!$AB$138:$AB$175,MATCH($E385&amp;$F385,'TB-EQUIPMENT &amp; OTHER HPs'!$E$138:$E$175&amp;'TB-EQUIPMENT &amp; OTHER HPs'!$I$138:$I$175,0)),0)</f>
        <v>0</v>
      </c>
      <c r="AT385" s="625">
        <f t="array" ref="AT385">IFERROR(INDEX('TB-EQUIPMENT &amp; OTHER HPs'!$AC$138:$AC$175,MATCH($E385&amp;$F385,'TB-EQUIPMENT &amp; OTHER HPs'!$E$138:$E$175&amp;'TB-EQUIPMENT &amp; OTHER HPs'!$I$138:$I$175,0)),0)</f>
        <v>0</v>
      </c>
      <c r="AU385" s="626">
        <f t="shared" si="420"/>
        <v>0</v>
      </c>
      <c r="AV385" s="626">
        <f t="shared" si="421"/>
        <v>0</v>
      </c>
      <c r="AW385" s="626">
        <f t="shared" si="422"/>
        <v>0</v>
      </c>
      <c r="AX385" s="625">
        <f t="array" ref="AX385">IFERROR(INDEX('TB-EQUIPMENT &amp; OTHER HPs'!$AD$138:$AD$175,MATCH($E385&amp;$F385,'TB-EQUIPMENT &amp; OTHER HPs'!$E$138:$E$175&amp;'TB-EQUIPMENT &amp; OTHER HPs'!$I$138:$I$175,0)),0)</f>
        <v>0</v>
      </c>
      <c r="AY385" s="626">
        <f t="shared" si="423"/>
        <v>0</v>
      </c>
      <c r="AZ385" s="626">
        <f t="shared" si="424"/>
        <v>0</v>
      </c>
      <c r="BA385" s="626">
        <f t="shared" si="425"/>
        <v>0</v>
      </c>
      <c r="BB385" s="625">
        <f t="array" ref="BB385">IFERROR(INDEX('TB-EQUIPMENT &amp; OTHER HPs'!$AE$138:$AE$175,MATCH($E385&amp;$F385,'TB-EQUIPMENT &amp; OTHER HPs'!$E$138:$E$175&amp;'TB-EQUIPMENT &amp; OTHER HPs'!$I$138:$I$175,0)),0)</f>
        <v>0</v>
      </c>
      <c r="BC385" s="626">
        <f t="shared" si="426"/>
        <v>0</v>
      </c>
      <c r="BD385" s="626">
        <f t="shared" si="427"/>
        <v>0</v>
      </c>
      <c r="BE385" s="626">
        <f t="shared" si="428"/>
        <v>0</v>
      </c>
      <c r="BF385" s="625">
        <f t="array" ref="BF385">IFERROR(INDEX('TB-EQUIPMENT &amp; OTHER HPs'!$AF$138:$AF$175,MATCH($E385&amp;$F385,'TB-EQUIPMENT &amp; OTHER HPs'!$E$138:$E$175&amp;'TB-EQUIPMENT &amp; OTHER HPs'!$I$138:$I$175,0)),0)</f>
        <v>0</v>
      </c>
      <c r="BG385" s="626">
        <f t="shared" si="429"/>
        <v>0</v>
      </c>
      <c r="BH385" s="626">
        <f t="shared" si="430"/>
        <v>0</v>
      </c>
      <c r="BI385" s="626">
        <f t="shared" si="431"/>
        <v>0</v>
      </c>
      <c r="BJ385" s="630"/>
      <c r="BK385" s="625"/>
      <c r="BL385" s="625"/>
      <c r="BM385" s="625"/>
      <c r="BN385" s="625"/>
      <c r="BO385" s="625"/>
      <c r="BP385" s="625"/>
      <c r="BQ385" s="625"/>
      <c r="BR385" s="625"/>
    </row>
    <row r="386" spans="1:70">
      <c r="A386" s="29" t="s">
        <v>1755</v>
      </c>
      <c r="B386" s="29" t="s">
        <v>1838</v>
      </c>
      <c r="C386" s="619">
        <f>SETUP!$F$44</f>
        <v>0</v>
      </c>
      <c r="D386" s="25">
        <v>5.4</v>
      </c>
      <c r="E386" s="26" t="s">
        <v>205</v>
      </c>
      <c r="F386" s="26" t="s">
        <v>1527</v>
      </c>
      <c r="G386" s="625" t="str">
        <f t="array" ref="G386">IFERROR(INDEX('TB-EQUIPMENT &amp; OTHER HPs'!$L$138:$L$175,MATCH($E386&amp;$F386,'TB-EQUIPMENT &amp; OTHER HPs'!$E$138:$E$175&amp;'TB-EQUIPMENT &amp; OTHER HPs'!$I$138:$I$175,0)),"")</f>
        <v/>
      </c>
      <c r="H386" s="625" t="str">
        <f t="array" ref="H386">IFERROR(INDEX('TB-EQUIPMENT &amp; OTHER HPs'!$M$138:$M$175,MATCH($E386&amp;$F386,'TB-EQUIPMENT &amp; OTHER HPs'!$E$138:$E$175&amp;'TB-EQUIPMENT &amp; OTHER HPs'!$I$138:$I$175,0)),"")</f>
        <v/>
      </c>
      <c r="I386" s="625">
        <f t="array" ref="I386">IFERROR(INDEX('TB-EQUIPMENT &amp; OTHER HPs'!$N$138:$N$175,MATCH($E386&amp;$F386,'TB-EQUIPMENT &amp; OTHER HPs'!$E$138:$E$175&amp;'TB-EQUIPMENT &amp; OTHER HPs'!$I$138:$I$175,0)),0)</f>
        <v>0</v>
      </c>
      <c r="J386" s="625">
        <f t="array" ref="J386">IFERROR(INDEX('TB-EQUIPMENT &amp; OTHER HPs'!$O$138:$O$175,MATCH($E386&amp;$F386,'TB-EQUIPMENT &amp; OTHER HPs'!$E$138:$E$175&amp;'TB-EQUIPMENT &amp; OTHER HPs'!$I$138:$I$175,0)),0)</f>
        <v>0</v>
      </c>
      <c r="K386" s="626">
        <f t="shared" si="396"/>
        <v>0</v>
      </c>
      <c r="L386" s="626">
        <f t="shared" si="397"/>
        <v>0</v>
      </c>
      <c r="M386" s="626">
        <f t="shared" si="398"/>
        <v>0</v>
      </c>
      <c r="N386" s="625">
        <f t="array" ref="N386">IFERROR(INDEX('TB-EQUIPMENT &amp; OTHER HPs'!$P$138:$P$175,MATCH($E386&amp;$F386,'TB-EQUIPMENT &amp; OTHER HPs'!$E$138:$E$175&amp;'TB-EQUIPMENT &amp; OTHER HPs'!$I$138:$I$175,0)),0)</f>
        <v>0</v>
      </c>
      <c r="O386" s="626">
        <f t="shared" si="399"/>
        <v>0</v>
      </c>
      <c r="P386" s="626">
        <f t="shared" si="400"/>
        <v>0</v>
      </c>
      <c r="Q386" s="626">
        <f t="shared" si="401"/>
        <v>0</v>
      </c>
      <c r="R386" s="625">
        <f t="array" ref="R386">IFERROR(INDEX('TB-EQUIPMENT &amp; OTHER HPs'!$Q$138:$Q$175,MATCH($E386&amp;$F386,'TB-EQUIPMENT &amp; OTHER HPs'!$E$138:$E$175&amp;'TB-EQUIPMENT &amp; OTHER HPs'!$I$138:$I$175,0)),0)</f>
        <v>0</v>
      </c>
      <c r="S386" s="626">
        <f t="shared" si="402"/>
        <v>0</v>
      </c>
      <c r="T386" s="626">
        <f t="shared" si="403"/>
        <v>0</v>
      </c>
      <c r="U386" s="626">
        <f t="shared" si="404"/>
        <v>0</v>
      </c>
      <c r="V386" s="625">
        <f t="array" ref="V386">IFERROR(INDEX('TB-EQUIPMENT &amp; OTHER HPs'!$R$138:$R$175,MATCH($E386&amp;$F386,'TB-EQUIPMENT &amp; OTHER HPs'!$E$138:$E$175&amp;'TB-EQUIPMENT &amp; OTHER HPs'!$I$138:$I$175,0)),0)</f>
        <v>0</v>
      </c>
      <c r="W386" s="626">
        <f t="shared" si="405"/>
        <v>0</v>
      </c>
      <c r="X386" s="626">
        <f t="shared" si="406"/>
        <v>0</v>
      </c>
      <c r="Y386" s="626">
        <f t="shared" si="407"/>
        <v>0</v>
      </c>
      <c r="AA386" s="625">
        <f t="array" ref="AA386">IFERROR(INDEX('TB-EQUIPMENT &amp; OTHER HPs'!$U$138:$U$175,MATCH($E386&amp;$F386,'TB-EQUIPMENT &amp; OTHER HPs'!$E$138:$E$175&amp;'TB-EQUIPMENT &amp; OTHER HPs'!$I$138:$I$175,0)),0)</f>
        <v>0</v>
      </c>
      <c r="AB386" s="625">
        <f t="array" ref="AB386">IFERROR(INDEX('TB-EQUIPMENT &amp; OTHER HPs'!$V$138:$V$175,MATCH($E386&amp;$F386,'TB-EQUIPMENT &amp; OTHER HPs'!$E$138:$E$175&amp;'TB-EQUIPMENT &amp; OTHER HPs'!$I$138:$I$175,0)),0)</f>
        <v>0</v>
      </c>
      <c r="AC386" s="626">
        <f t="shared" si="408"/>
        <v>0</v>
      </c>
      <c r="AD386" s="626">
        <f t="shared" si="409"/>
        <v>0</v>
      </c>
      <c r="AE386" s="626">
        <f t="shared" si="410"/>
        <v>0</v>
      </c>
      <c r="AF386" s="625">
        <f t="array" ref="AF386">IFERROR(INDEX('TB-EQUIPMENT &amp; OTHER HPs'!$W$138:$W$175,MATCH($E386&amp;$F386,'TB-EQUIPMENT &amp; OTHER HPs'!$E$138:$E$175&amp;'TB-EQUIPMENT &amp; OTHER HPs'!$I$138:$I$175,0)),0)</f>
        <v>0</v>
      </c>
      <c r="AG386" s="626">
        <f t="shared" si="411"/>
        <v>0</v>
      </c>
      <c r="AH386" s="626">
        <f t="shared" si="412"/>
        <v>0</v>
      </c>
      <c r="AI386" s="626">
        <f t="shared" si="413"/>
        <v>0</v>
      </c>
      <c r="AJ386" s="625">
        <f t="array" ref="AJ386">IFERROR(INDEX('TB-EQUIPMENT &amp; OTHER HPs'!$X$138:$X$175,MATCH($E386&amp;$F386,'TB-EQUIPMENT &amp; OTHER HPs'!$E$138:$E$175&amp;'TB-EQUIPMENT &amp; OTHER HPs'!$I$138:$I$175,0)),0)</f>
        <v>0</v>
      </c>
      <c r="AK386" s="626">
        <f t="shared" si="414"/>
        <v>0</v>
      </c>
      <c r="AL386" s="626">
        <f t="shared" si="415"/>
        <v>0</v>
      </c>
      <c r="AM386" s="626">
        <f t="shared" si="416"/>
        <v>0</v>
      </c>
      <c r="AN386" s="625">
        <f t="array" ref="AN386">IFERROR(INDEX('TB-EQUIPMENT &amp; OTHER HPs'!$Y$138:$Y$175,MATCH($E386&amp;$F386,'TB-EQUIPMENT &amp; OTHER HPs'!$E$138:$E$175&amp;'TB-EQUIPMENT &amp; OTHER HPs'!$I$138:$I$175,0)),0)</f>
        <v>0</v>
      </c>
      <c r="AO386" s="626">
        <f t="shared" si="417"/>
        <v>0</v>
      </c>
      <c r="AP386" s="626">
        <f t="shared" si="418"/>
        <v>0</v>
      </c>
      <c r="AQ386" s="626">
        <f t="shared" si="419"/>
        <v>0</v>
      </c>
      <c r="AR386" s="630"/>
      <c r="AS386" s="625">
        <f t="array" ref="AS386">IFERROR(INDEX('TB-EQUIPMENT &amp; OTHER HPs'!$AB$138:$AB$175,MATCH($E386&amp;$F386,'TB-EQUIPMENT &amp; OTHER HPs'!$E$138:$E$175&amp;'TB-EQUIPMENT &amp; OTHER HPs'!$I$138:$I$175,0)),0)</f>
        <v>0</v>
      </c>
      <c r="AT386" s="625">
        <f t="array" ref="AT386">IFERROR(INDEX('TB-EQUIPMENT &amp; OTHER HPs'!$AC$138:$AC$175,MATCH($E386&amp;$F386,'TB-EQUIPMENT &amp; OTHER HPs'!$E$138:$E$175&amp;'TB-EQUIPMENT &amp; OTHER HPs'!$I$138:$I$175,0)),0)</f>
        <v>0</v>
      </c>
      <c r="AU386" s="626">
        <f t="shared" si="420"/>
        <v>0</v>
      </c>
      <c r="AV386" s="626">
        <f t="shared" si="421"/>
        <v>0</v>
      </c>
      <c r="AW386" s="626">
        <f t="shared" si="422"/>
        <v>0</v>
      </c>
      <c r="AX386" s="625">
        <f t="array" ref="AX386">IFERROR(INDEX('TB-EQUIPMENT &amp; OTHER HPs'!$AD$138:$AD$175,MATCH($E386&amp;$F386,'TB-EQUIPMENT &amp; OTHER HPs'!$E$138:$E$175&amp;'TB-EQUIPMENT &amp; OTHER HPs'!$I$138:$I$175,0)),0)</f>
        <v>0</v>
      </c>
      <c r="AY386" s="626">
        <f t="shared" si="423"/>
        <v>0</v>
      </c>
      <c r="AZ386" s="626">
        <f t="shared" si="424"/>
        <v>0</v>
      </c>
      <c r="BA386" s="626">
        <f t="shared" si="425"/>
        <v>0</v>
      </c>
      <c r="BB386" s="625">
        <f t="array" ref="BB386">IFERROR(INDEX('TB-EQUIPMENT &amp; OTHER HPs'!$AE$138:$AE$175,MATCH($E386&amp;$F386,'TB-EQUIPMENT &amp; OTHER HPs'!$E$138:$E$175&amp;'TB-EQUIPMENT &amp; OTHER HPs'!$I$138:$I$175,0)),0)</f>
        <v>0</v>
      </c>
      <c r="BC386" s="626">
        <f t="shared" si="426"/>
        <v>0</v>
      </c>
      <c r="BD386" s="626">
        <f t="shared" si="427"/>
        <v>0</v>
      </c>
      <c r="BE386" s="626">
        <f t="shared" si="428"/>
        <v>0</v>
      </c>
      <c r="BF386" s="625">
        <f t="array" ref="BF386">IFERROR(INDEX('TB-EQUIPMENT &amp; OTHER HPs'!$AF$138:$AF$175,MATCH($E386&amp;$F386,'TB-EQUIPMENT &amp; OTHER HPs'!$E$138:$E$175&amp;'TB-EQUIPMENT &amp; OTHER HPs'!$I$138:$I$175,0)),0)</f>
        <v>0</v>
      </c>
      <c r="BG386" s="626">
        <f t="shared" si="429"/>
        <v>0</v>
      </c>
      <c r="BH386" s="626">
        <f t="shared" si="430"/>
        <v>0</v>
      </c>
      <c r="BI386" s="626">
        <f t="shared" si="431"/>
        <v>0</v>
      </c>
      <c r="BJ386" s="630"/>
      <c r="BK386" s="625"/>
      <c r="BL386" s="625"/>
      <c r="BM386" s="625"/>
      <c r="BN386" s="625"/>
      <c r="BO386" s="625"/>
      <c r="BP386" s="625"/>
      <c r="BQ386" s="625"/>
      <c r="BR386" s="625"/>
    </row>
    <row r="387" spans="1:70">
      <c r="A387" s="29" t="s">
        <v>1755</v>
      </c>
      <c r="B387" s="29" t="s">
        <v>1838</v>
      </c>
      <c r="C387" s="619">
        <f>SETUP!$F$44</f>
        <v>0</v>
      </c>
      <c r="D387" s="1442">
        <v>5.4</v>
      </c>
      <c r="E387" s="26" t="s">
        <v>205</v>
      </c>
      <c r="F387" s="26" t="s">
        <v>1140</v>
      </c>
      <c r="G387" s="625" t="str">
        <f t="array" ref="G387">IFERROR(INDEX('TB-EQUIPMENT &amp; OTHER HPs'!$L$138:$L$175,MATCH($E387&amp;$F387,'TB-EQUIPMENT &amp; OTHER HPs'!$E$138:$E$175&amp;'TB-EQUIPMENT &amp; OTHER HPs'!$I$138:$I$175,0)),"")</f>
        <v/>
      </c>
      <c r="H387" s="625" t="str">
        <f t="array" ref="H387">IFERROR(INDEX('TB-EQUIPMENT &amp; OTHER HPs'!$M$138:$M$175,MATCH($E387&amp;$F387,'TB-EQUIPMENT &amp; OTHER HPs'!$E$138:$E$175&amp;'TB-EQUIPMENT &amp; OTHER HPs'!$I$138:$I$175,0)),"")</f>
        <v/>
      </c>
      <c r="I387" s="625">
        <f t="array" ref="I387">IFERROR(INDEX('TB-EQUIPMENT &amp; OTHER HPs'!$N$138:$N$175,MATCH($E387&amp;$F387,'TB-EQUIPMENT &amp; OTHER HPs'!$E$138:$E$175&amp;'TB-EQUIPMENT &amp; OTHER HPs'!$I$138:$I$175,0)),0)</f>
        <v>0</v>
      </c>
      <c r="J387" s="625">
        <f t="array" ref="J387">IFERROR(INDEX('TB-EQUIPMENT &amp; OTHER HPs'!$O$138:$O$175,MATCH($E387&amp;$F387,'TB-EQUIPMENT &amp; OTHER HPs'!$E$138:$E$175&amp;'TB-EQUIPMENT &amp; OTHER HPs'!$I$138:$I$175,0)),0)</f>
        <v>0</v>
      </c>
      <c r="K387" s="626">
        <f t="shared" si="396"/>
        <v>0</v>
      </c>
      <c r="L387" s="626">
        <f t="shared" si="397"/>
        <v>0</v>
      </c>
      <c r="M387" s="626">
        <f t="shared" si="398"/>
        <v>0</v>
      </c>
      <c r="N387" s="625">
        <f t="array" ref="N387">IFERROR(INDEX('TB-EQUIPMENT &amp; OTHER HPs'!$P$138:$P$175,MATCH($E387&amp;$F387,'TB-EQUIPMENT &amp; OTHER HPs'!$E$138:$E$175&amp;'TB-EQUIPMENT &amp; OTHER HPs'!$I$138:$I$175,0)),0)</f>
        <v>0</v>
      </c>
      <c r="O387" s="626">
        <f t="shared" si="399"/>
        <v>0</v>
      </c>
      <c r="P387" s="626">
        <f t="shared" si="400"/>
        <v>0</v>
      </c>
      <c r="Q387" s="626">
        <f t="shared" si="401"/>
        <v>0</v>
      </c>
      <c r="R387" s="625">
        <f t="array" ref="R387">IFERROR(INDEX('TB-EQUIPMENT &amp; OTHER HPs'!$Q$138:$Q$175,MATCH($E387&amp;$F387,'TB-EQUIPMENT &amp; OTHER HPs'!$E$138:$E$175&amp;'TB-EQUIPMENT &amp; OTHER HPs'!$I$138:$I$175,0)),0)</f>
        <v>0</v>
      </c>
      <c r="S387" s="626">
        <f t="shared" si="402"/>
        <v>0</v>
      </c>
      <c r="T387" s="626">
        <f t="shared" si="403"/>
        <v>0</v>
      </c>
      <c r="U387" s="626">
        <f t="shared" si="404"/>
        <v>0</v>
      </c>
      <c r="V387" s="625">
        <f t="array" ref="V387">IFERROR(INDEX('TB-EQUIPMENT &amp; OTHER HPs'!$R$138:$R$175,MATCH($E387&amp;$F387,'TB-EQUIPMENT &amp; OTHER HPs'!$E$138:$E$175&amp;'TB-EQUIPMENT &amp; OTHER HPs'!$I$138:$I$175,0)),0)</f>
        <v>0</v>
      </c>
      <c r="W387" s="626">
        <f t="shared" si="405"/>
        <v>0</v>
      </c>
      <c r="X387" s="626">
        <f t="shared" si="406"/>
        <v>0</v>
      </c>
      <c r="Y387" s="626">
        <f t="shared" si="407"/>
        <v>0</v>
      </c>
      <c r="AA387" s="625">
        <f t="array" ref="AA387">IFERROR(INDEX('TB-EQUIPMENT &amp; OTHER HPs'!$U$138:$U$175,MATCH($E387&amp;$F387,'TB-EQUIPMENT &amp; OTHER HPs'!$E$138:$E$175&amp;'TB-EQUIPMENT &amp; OTHER HPs'!$I$138:$I$175,0)),0)</f>
        <v>0</v>
      </c>
      <c r="AB387" s="625">
        <f t="array" ref="AB387">IFERROR(INDEX('TB-EQUIPMENT &amp; OTHER HPs'!$V$138:$V$175,MATCH($E387&amp;$F387,'TB-EQUIPMENT &amp; OTHER HPs'!$E$138:$E$175&amp;'TB-EQUIPMENT &amp; OTHER HPs'!$I$138:$I$175,0)),0)</f>
        <v>0</v>
      </c>
      <c r="AC387" s="626">
        <f t="shared" si="408"/>
        <v>0</v>
      </c>
      <c r="AD387" s="626">
        <f t="shared" si="409"/>
        <v>0</v>
      </c>
      <c r="AE387" s="626">
        <f t="shared" si="410"/>
        <v>0</v>
      </c>
      <c r="AF387" s="625">
        <f t="array" ref="AF387">IFERROR(INDEX('TB-EQUIPMENT &amp; OTHER HPs'!$W$138:$W$175,MATCH($E387&amp;$F387,'TB-EQUIPMENT &amp; OTHER HPs'!$E$138:$E$175&amp;'TB-EQUIPMENT &amp; OTHER HPs'!$I$138:$I$175,0)),0)</f>
        <v>0</v>
      </c>
      <c r="AG387" s="626">
        <f t="shared" si="411"/>
        <v>0</v>
      </c>
      <c r="AH387" s="626">
        <f t="shared" si="412"/>
        <v>0</v>
      </c>
      <c r="AI387" s="626">
        <f t="shared" si="413"/>
        <v>0</v>
      </c>
      <c r="AJ387" s="625">
        <f t="array" ref="AJ387">IFERROR(INDEX('TB-EQUIPMENT &amp; OTHER HPs'!$X$138:$X$175,MATCH($E387&amp;$F387,'TB-EQUIPMENT &amp; OTHER HPs'!$E$138:$E$175&amp;'TB-EQUIPMENT &amp; OTHER HPs'!$I$138:$I$175,0)),0)</f>
        <v>0</v>
      </c>
      <c r="AK387" s="626">
        <f t="shared" si="414"/>
        <v>0</v>
      </c>
      <c r="AL387" s="626">
        <f t="shared" si="415"/>
        <v>0</v>
      </c>
      <c r="AM387" s="626">
        <f t="shared" si="416"/>
        <v>0</v>
      </c>
      <c r="AN387" s="625">
        <f t="array" ref="AN387">IFERROR(INDEX('TB-EQUIPMENT &amp; OTHER HPs'!$Y$138:$Y$175,MATCH($E387&amp;$F387,'TB-EQUIPMENT &amp; OTHER HPs'!$E$138:$E$175&amp;'TB-EQUIPMENT &amp; OTHER HPs'!$I$138:$I$175,0)),0)</f>
        <v>0</v>
      </c>
      <c r="AO387" s="626">
        <f t="shared" si="417"/>
        <v>0</v>
      </c>
      <c r="AP387" s="626">
        <f t="shared" si="418"/>
        <v>0</v>
      </c>
      <c r="AQ387" s="626">
        <f t="shared" si="419"/>
        <v>0</v>
      </c>
      <c r="AR387" s="630"/>
      <c r="AS387" s="625">
        <f t="array" ref="AS387">IFERROR(INDEX('TB-EQUIPMENT &amp; OTHER HPs'!$AB$138:$AB$175,MATCH($E387&amp;$F387,'TB-EQUIPMENT &amp; OTHER HPs'!$E$138:$E$175&amp;'TB-EQUIPMENT &amp; OTHER HPs'!$I$138:$I$175,0)),0)</f>
        <v>0</v>
      </c>
      <c r="AT387" s="625">
        <f t="array" ref="AT387">IFERROR(INDEX('TB-EQUIPMENT &amp; OTHER HPs'!$AC$138:$AC$175,MATCH($E387&amp;$F387,'TB-EQUIPMENT &amp; OTHER HPs'!$E$138:$E$175&amp;'TB-EQUIPMENT &amp; OTHER HPs'!$I$138:$I$175,0)),0)</f>
        <v>0</v>
      </c>
      <c r="AU387" s="626">
        <f t="shared" si="420"/>
        <v>0</v>
      </c>
      <c r="AV387" s="626">
        <f t="shared" si="421"/>
        <v>0</v>
      </c>
      <c r="AW387" s="626">
        <f t="shared" si="422"/>
        <v>0</v>
      </c>
      <c r="AX387" s="625">
        <f t="array" ref="AX387">IFERROR(INDEX('TB-EQUIPMENT &amp; OTHER HPs'!$AD$138:$AD$175,MATCH($E387&amp;$F387,'TB-EQUIPMENT &amp; OTHER HPs'!$E$138:$E$175&amp;'TB-EQUIPMENT &amp; OTHER HPs'!$I$138:$I$175,0)),0)</f>
        <v>0</v>
      </c>
      <c r="AY387" s="626">
        <f t="shared" si="423"/>
        <v>0</v>
      </c>
      <c r="AZ387" s="626">
        <f t="shared" si="424"/>
        <v>0</v>
      </c>
      <c r="BA387" s="626">
        <f t="shared" si="425"/>
        <v>0</v>
      </c>
      <c r="BB387" s="625">
        <f t="array" ref="BB387">IFERROR(INDEX('TB-EQUIPMENT &amp; OTHER HPs'!$AE$138:$AE$175,MATCH($E387&amp;$F387,'TB-EQUIPMENT &amp; OTHER HPs'!$E$138:$E$175&amp;'TB-EQUIPMENT &amp; OTHER HPs'!$I$138:$I$175,0)),0)</f>
        <v>0</v>
      </c>
      <c r="BC387" s="626">
        <f t="shared" si="426"/>
        <v>0</v>
      </c>
      <c r="BD387" s="626">
        <f t="shared" si="427"/>
        <v>0</v>
      </c>
      <c r="BE387" s="626">
        <f t="shared" si="428"/>
        <v>0</v>
      </c>
      <c r="BF387" s="625">
        <f t="array" ref="BF387">IFERROR(INDEX('TB-EQUIPMENT &amp; OTHER HPs'!$AF$138:$AF$175,MATCH($E387&amp;$F387,'TB-EQUIPMENT &amp; OTHER HPs'!$E$138:$E$175&amp;'TB-EQUIPMENT &amp; OTHER HPs'!$I$138:$I$175,0)),0)</f>
        <v>0</v>
      </c>
      <c r="BG387" s="626">
        <f t="shared" si="429"/>
        <v>0</v>
      </c>
      <c r="BH387" s="626">
        <f t="shared" si="430"/>
        <v>0</v>
      </c>
      <c r="BI387" s="626">
        <f t="shared" si="431"/>
        <v>0</v>
      </c>
      <c r="BJ387" s="630"/>
      <c r="BK387" s="625"/>
      <c r="BL387" s="625"/>
      <c r="BM387" s="625"/>
      <c r="BN387" s="625"/>
      <c r="BO387" s="625"/>
      <c r="BP387" s="625"/>
      <c r="BQ387" s="625"/>
      <c r="BR387" s="625"/>
    </row>
    <row r="388" spans="1:70">
      <c r="A388" s="1443" t="s">
        <v>2360</v>
      </c>
      <c r="B388" s="1443" t="s">
        <v>1838</v>
      </c>
      <c r="C388" s="1444">
        <f>SETUP!$F$44</f>
        <v>0</v>
      </c>
      <c r="D388" s="1442">
        <v>6.5</v>
      </c>
      <c r="E388" s="26" t="s">
        <v>1212</v>
      </c>
      <c r="F388" s="26" t="s">
        <v>218</v>
      </c>
      <c r="G388" s="625" t="str">
        <f t="array" ref="G388">IFERROR(INDEX('TB-EQUIPMENT &amp; OTHER HPs'!$L$138:$L$175,MATCH($E388&amp;$F388,'TB-EQUIPMENT &amp; OTHER HPs'!$E$138:$E$175&amp;'TB-EQUIPMENT &amp; OTHER HPs'!$I$138:$I$175,0)),"")</f>
        <v/>
      </c>
      <c r="H388" s="625" t="str">
        <f t="array" ref="H388">IFERROR(INDEX('TB-EQUIPMENT &amp; OTHER HPs'!$M$138:$M$175,MATCH($E388&amp;$F388,'TB-EQUIPMENT &amp; OTHER HPs'!$E$138:$E$175&amp;'TB-EQUIPMENT &amp; OTHER HPs'!$I$138:$I$175,0)),"")</f>
        <v/>
      </c>
      <c r="I388" s="625">
        <f t="array" ref="I388">IFERROR(INDEX('TB-EQUIPMENT &amp; OTHER HPs'!$N$138:$N$175,MATCH($E388&amp;$F388,'TB-EQUIPMENT &amp; OTHER HPs'!$E$138:$E$175&amp;'TB-EQUIPMENT &amp; OTHER HPs'!$I$138:$I$175,0)),0)</f>
        <v>0</v>
      </c>
      <c r="J388" s="625">
        <f t="array" ref="J388">IFERROR(INDEX('TB-EQUIPMENT &amp; OTHER HPs'!$O$138:$O$175,MATCH($E388&amp;$F388,'TB-EQUIPMENT &amp; OTHER HPs'!$E$138:$E$175&amp;'TB-EQUIPMENT &amp; OTHER HPs'!$I$138:$I$175,0)),0)</f>
        <v>0</v>
      </c>
      <c r="K388" s="626">
        <f>IF(ISERROR($I388*J388),0,$I388*J388)</f>
        <v>0</v>
      </c>
      <c r="L388" s="626">
        <f>IF(C388="Upfront",J388,0)</f>
        <v>0</v>
      </c>
      <c r="M388" s="626">
        <f>IF(C388="Upfront",K388,0)</f>
        <v>0</v>
      </c>
      <c r="N388" s="625">
        <f t="array" ref="N388">IFERROR(INDEX('TB-EQUIPMENT &amp; OTHER HPs'!$P$138:$P$175,MATCH($E388&amp;$F388,'TB-EQUIPMENT &amp; OTHER HPs'!$E$138:$E$175&amp;'TB-EQUIPMENT &amp; OTHER HPs'!$I$138:$I$175,0)),0)</f>
        <v>0</v>
      </c>
      <c r="O388" s="626">
        <f>IF(ISERROR($I388*N388),0,$I388*N388)</f>
        <v>0</v>
      </c>
      <c r="P388" s="626">
        <f>IF(C388="Upfront",N388,0)</f>
        <v>0</v>
      </c>
      <c r="Q388" s="626">
        <f>IF(C388="Upfront",O388,0)</f>
        <v>0</v>
      </c>
      <c r="R388" s="625">
        <f t="array" ref="R388">IFERROR(INDEX('TB-EQUIPMENT &amp; OTHER HPs'!$Q$138:$Q$175,MATCH($E388&amp;$F388,'TB-EQUIPMENT &amp; OTHER HPs'!$E$138:$E$175&amp;'TB-EQUIPMENT &amp; OTHER HPs'!$I$138:$I$175,0)),0)</f>
        <v>0</v>
      </c>
      <c r="S388" s="626">
        <f>IF(ISERROR($I388*R388),0,$I388*R388)</f>
        <v>0</v>
      </c>
      <c r="T388" s="626">
        <f>IF(C388="Upfront",R388,IF(C388="At delivery",J388,0))</f>
        <v>0</v>
      </c>
      <c r="U388" s="626">
        <f>IF(C388="Upfront",S388,IF(C388="At delivery",K388,0))</f>
        <v>0</v>
      </c>
      <c r="V388" s="625">
        <f t="array" ref="V388">IFERROR(INDEX('TB-EQUIPMENT &amp; OTHER HPs'!$R$138:$R$175,MATCH($E388&amp;$F388,'TB-EQUIPMENT &amp; OTHER HPs'!$E$138:$E$175&amp;'TB-EQUIPMENT &amp; OTHER HPs'!$I$138:$I$175,0)),0)</f>
        <v>0</v>
      </c>
      <c r="W388" s="626">
        <f>IF(ISERROR($I388*V388),0,$I388*V388)</f>
        <v>0</v>
      </c>
      <c r="X388" s="626">
        <f>IF(C388="Upfront",V388,IF(C388="At delivery",N388,0))</f>
        <v>0</v>
      </c>
      <c r="Y388" s="626">
        <f>IF(C388="Upfront",W388,IF(C388="At delivery",O388,0))</f>
        <v>0</v>
      </c>
      <c r="AA388" s="625">
        <f t="array" ref="AA388">IFERROR(INDEX('TB-EQUIPMENT &amp; OTHER HPs'!$U$138:$U$175,MATCH($E388&amp;$F388,'TB-EQUIPMENT &amp; OTHER HPs'!$E$138:$E$175&amp;'TB-EQUIPMENT &amp; OTHER HPs'!$I$138:$I$175,0)),0)</f>
        <v>0</v>
      </c>
      <c r="AB388" s="625">
        <f t="array" ref="AB388">IFERROR(INDEX('TB-EQUIPMENT &amp; OTHER HPs'!$V$138:$V$175,MATCH($E388&amp;$F388,'TB-EQUIPMENT &amp; OTHER HPs'!$E$138:$E$175&amp;'TB-EQUIPMENT &amp; OTHER HPs'!$I$138:$I$175,0)),0)</f>
        <v>0</v>
      </c>
      <c r="AC388" s="626">
        <f>IF(ISERROR($AA388*AB388),0,$AA388*AB388)</f>
        <v>0</v>
      </c>
      <c r="AD388" s="626">
        <f>IF(C388="Upfront",AB388,IF(C388="At delivery",R388,0))</f>
        <v>0</v>
      </c>
      <c r="AE388" s="626">
        <f>IF(C388="Upfront",AC388,IF(C388="At delivery",S388,0))</f>
        <v>0</v>
      </c>
      <c r="AF388" s="625">
        <f t="array" ref="AF388">IFERROR(INDEX('TB-EQUIPMENT &amp; OTHER HPs'!$W$138:$W$175,MATCH($E388&amp;$F388,'TB-EQUIPMENT &amp; OTHER HPs'!$E$138:$E$175&amp;'TB-EQUIPMENT &amp; OTHER HPs'!$I$138:$I$175,0)),0)</f>
        <v>0</v>
      </c>
      <c r="AG388" s="626">
        <f>IF(ISERROR($AA388*AF388),0,$AA388*AF388)</f>
        <v>0</v>
      </c>
      <c r="AH388" s="626">
        <f>IF(C388="Upfront",AF388,IF(C388="At delivery",V388,0))</f>
        <v>0</v>
      </c>
      <c r="AI388" s="626">
        <f>IF(C388="Upfront",AG388,IF(C388="At delivery",W388,0))</f>
        <v>0</v>
      </c>
      <c r="AJ388" s="625">
        <f t="array" ref="AJ388">IFERROR(INDEX('TB-EQUIPMENT &amp; OTHER HPs'!$X$138:$X$175,MATCH($E388&amp;$F388,'TB-EQUIPMENT &amp; OTHER HPs'!$E$138:$E$175&amp;'TB-EQUIPMENT &amp; OTHER HPs'!$I$138:$I$175,0)),0)</f>
        <v>0</v>
      </c>
      <c r="AK388" s="626">
        <f>IF(ISERROR($AA388*AJ388),0,$AA388*AJ388)</f>
        <v>0</v>
      </c>
      <c r="AL388" s="626">
        <f>IF(C388="Upfront",AJ388,IF(C388="At delivery",AB388,0))</f>
        <v>0</v>
      </c>
      <c r="AM388" s="626">
        <f>IF(C388="Upfront",AK388,IF(C388="At delivery",AC388,0))</f>
        <v>0</v>
      </c>
      <c r="AN388" s="625">
        <f t="array" ref="AN388">IFERROR(INDEX('TB-EQUIPMENT &amp; OTHER HPs'!$Y$138:$Y$175,MATCH($E388&amp;$F388,'TB-EQUIPMENT &amp; OTHER HPs'!$E$138:$E$175&amp;'TB-EQUIPMENT &amp; OTHER HPs'!$I$138:$I$175,0)),0)</f>
        <v>0</v>
      </c>
      <c r="AO388" s="626">
        <f>IF(ISERROR($AA388*AN388),0,$AA388*AN388)</f>
        <v>0</v>
      </c>
      <c r="AP388" s="626">
        <f>IF(C388="Upfront",AN388,IF(C388="At delivery",AF388,0))</f>
        <v>0</v>
      </c>
      <c r="AQ388" s="626">
        <f>IF(C388="Upfront",AO388,IF(C388="At delivery",AG388,0))</f>
        <v>0</v>
      </c>
      <c r="AR388" s="630"/>
      <c r="AS388" s="625">
        <f t="array" ref="AS388">IFERROR(INDEX('TB-EQUIPMENT &amp; OTHER HPs'!$AB$138:$AB$175,MATCH($E388&amp;$F388,'TB-EQUIPMENT &amp; OTHER HPs'!$E$138:$E$175&amp;'TB-EQUIPMENT &amp; OTHER HPs'!$I$138:$I$175,0)),0)</f>
        <v>0</v>
      </c>
      <c r="AT388" s="625">
        <f t="array" ref="AT388">IFERROR(INDEX('TB-EQUIPMENT &amp; OTHER HPs'!$AC$138:$AC$175,MATCH($E388&amp;$F388,'TB-EQUIPMENT &amp; OTHER HPs'!$E$138:$E$175&amp;'TB-EQUIPMENT &amp; OTHER HPs'!$I$138:$I$175,0)),0)</f>
        <v>0</v>
      </c>
      <c r="AU388" s="626">
        <f>IF(ISERROR($AS388*AT388),0,$AS388*AT388)</f>
        <v>0</v>
      </c>
      <c r="AV388" s="626">
        <f>IF(C388="Upfront",AT388,IF(C388="At delivery",AJ388,0))</f>
        <v>0</v>
      </c>
      <c r="AW388" s="626">
        <f>IF(C388="Upfront",AU388,IF(C388="At delivery",AK388,0))</f>
        <v>0</v>
      </c>
      <c r="AX388" s="625">
        <f t="array" ref="AX388">IFERROR(INDEX('TB-EQUIPMENT &amp; OTHER HPs'!$AD$138:$AD$175,MATCH($E388&amp;$F388,'TB-EQUIPMENT &amp; OTHER HPs'!$E$138:$E$175&amp;'TB-EQUIPMENT &amp; OTHER HPs'!$I$138:$I$175,0)),0)</f>
        <v>0</v>
      </c>
      <c r="AY388" s="626">
        <f>IF(ISERROR($AS388*AX388),0,$AS388*AX388)</f>
        <v>0</v>
      </c>
      <c r="AZ388" s="626">
        <f>IF(C388="Upfront",AX388,IF(C388="At delivery",AN388,0))</f>
        <v>0</v>
      </c>
      <c r="BA388" s="626">
        <f>IF(C388="Upfront",AY388,IF(C388="At delivery",AO388,0))</f>
        <v>0</v>
      </c>
      <c r="BB388" s="625">
        <f t="array" ref="BB388">IFERROR(INDEX('TB-EQUIPMENT &amp; OTHER HPs'!$AE$138:$AE$175,MATCH($E388&amp;$F388,'TB-EQUIPMENT &amp; OTHER HPs'!$E$138:$E$175&amp;'TB-EQUIPMENT &amp; OTHER HPs'!$I$138:$I$175,0)),0)</f>
        <v>0</v>
      </c>
      <c r="BC388" s="626">
        <f>IF(ISERROR($AS388*BB388),0,$AS388*BB388)</f>
        <v>0</v>
      </c>
      <c r="BD388" s="626">
        <f>IF(C388="Upfront",BB388,IF(C388="At delivery",AT388,0))</f>
        <v>0</v>
      </c>
      <c r="BE388" s="626">
        <f>IF(C388="Upfront",BC388,IF(C388="At delivery",AU388,0))</f>
        <v>0</v>
      </c>
      <c r="BF388" s="625">
        <f t="array" ref="BF388">IFERROR(INDEX('TB-EQUIPMENT &amp; OTHER HPs'!$AF$138:$AF$175,MATCH($E388&amp;$F388,'TB-EQUIPMENT &amp; OTHER HPs'!$E$138:$E$175&amp;'TB-EQUIPMENT &amp; OTHER HPs'!$I$138:$I$175,0)),0)</f>
        <v>0</v>
      </c>
      <c r="BG388" s="626">
        <f>IF(ISERROR($AS388*BF388),0,$AS388*BF388)</f>
        <v>0</v>
      </c>
      <c r="BH388" s="626">
        <f>IF(C388="Upfront",BF388,IF(C388="At delivery",AX388,0))</f>
        <v>0</v>
      </c>
      <c r="BI388" s="626">
        <f>IF(C388="Upfront",BG388,IF(C388="At delivery",AY388,0))</f>
        <v>0</v>
      </c>
      <c r="BJ388" s="630"/>
      <c r="BK388" s="625"/>
      <c r="BL388" s="625"/>
      <c r="BM388" s="625"/>
      <c r="BN388" s="625"/>
      <c r="BO388" s="625"/>
      <c r="BP388" s="625"/>
      <c r="BQ388" s="625"/>
      <c r="BR388" s="625"/>
    </row>
    <row r="389" spans="1:70">
      <c r="A389" s="1443" t="s">
        <v>2360</v>
      </c>
      <c r="B389" s="1443" t="s">
        <v>1838</v>
      </c>
      <c r="C389" s="1444">
        <f>SETUP!$F$44</f>
        <v>0</v>
      </c>
      <c r="D389" s="1442">
        <v>6.6</v>
      </c>
      <c r="E389" s="26" t="s">
        <v>1212</v>
      </c>
      <c r="F389" s="26" t="s">
        <v>201</v>
      </c>
      <c r="G389" s="625" t="str">
        <f t="array" ref="G389">IFERROR(INDEX('TB-EQUIPMENT &amp; OTHER HPs'!$L$138:$L$175,MATCH($E389&amp;$F389,'TB-EQUIPMENT &amp; OTHER HPs'!$E$138:$E$175&amp;'TB-EQUIPMENT &amp; OTHER HPs'!$I$138:$I$175,0)),"")</f>
        <v/>
      </c>
      <c r="H389" s="625" t="str">
        <f t="array" ref="H389">IFERROR(INDEX('TB-EQUIPMENT &amp; OTHER HPs'!$M$138:$M$175,MATCH($E389&amp;$F389,'TB-EQUIPMENT &amp; OTHER HPs'!$E$138:$E$175&amp;'TB-EQUIPMENT &amp; OTHER HPs'!$I$138:$I$175,0)),"")</f>
        <v/>
      </c>
      <c r="I389" s="625">
        <f t="array" ref="I389">IFERROR(INDEX('TB-EQUIPMENT &amp; OTHER HPs'!$N$138:$N$175,MATCH($E389&amp;$F389,'TB-EQUIPMENT &amp; OTHER HPs'!$E$138:$E$175&amp;'TB-EQUIPMENT &amp; OTHER HPs'!$I$138:$I$175,0)),0)</f>
        <v>0</v>
      </c>
      <c r="J389" s="625">
        <f t="array" ref="J389">IFERROR(INDEX('TB-EQUIPMENT &amp; OTHER HPs'!$O$138:$O$175,MATCH($E389&amp;$F389,'TB-EQUIPMENT &amp; OTHER HPs'!$E$138:$E$175&amp;'TB-EQUIPMENT &amp; OTHER HPs'!$I$138:$I$175,0)),0)</f>
        <v>0</v>
      </c>
      <c r="K389" s="626">
        <f>IF(ISERROR($I389*J389),0,$I389*J389)</f>
        <v>0</v>
      </c>
      <c r="L389" s="626">
        <f>IF(C389="Upfront",J389,0)</f>
        <v>0</v>
      </c>
      <c r="M389" s="626">
        <f>IF(C389="Upfront",K389,0)</f>
        <v>0</v>
      </c>
      <c r="N389" s="625">
        <f t="array" ref="N389">IFERROR(INDEX('TB-EQUIPMENT &amp; OTHER HPs'!$P$138:$P$175,MATCH($E389&amp;$F389,'TB-EQUIPMENT &amp; OTHER HPs'!$E$138:$E$175&amp;'TB-EQUIPMENT &amp; OTHER HPs'!$I$138:$I$175,0)),0)</f>
        <v>0</v>
      </c>
      <c r="O389" s="626">
        <f>IF(ISERROR($I389*N389),0,$I389*N389)</f>
        <v>0</v>
      </c>
      <c r="P389" s="626">
        <f>IF(C389="Upfront",N389,0)</f>
        <v>0</v>
      </c>
      <c r="Q389" s="626">
        <f>IF(C389="Upfront",O389,0)</f>
        <v>0</v>
      </c>
      <c r="R389" s="625">
        <f t="array" ref="R389">IFERROR(INDEX('TB-EQUIPMENT &amp; OTHER HPs'!$Q$138:$Q$175,MATCH($E389&amp;$F389,'TB-EQUIPMENT &amp; OTHER HPs'!$E$138:$E$175&amp;'TB-EQUIPMENT &amp; OTHER HPs'!$I$138:$I$175,0)),0)</f>
        <v>0</v>
      </c>
      <c r="S389" s="626">
        <f>IF(ISERROR($I389*R389),0,$I389*R389)</f>
        <v>0</v>
      </c>
      <c r="T389" s="626">
        <f>IF(C389="Upfront",R389,IF(C389="At delivery",J389,0))</f>
        <v>0</v>
      </c>
      <c r="U389" s="626">
        <f>IF(C389="Upfront",S389,IF(C389="At delivery",K389,0))</f>
        <v>0</v>
      </c>
      <c r="V389" s="625">
        <f t="array" ref="V389">IFERROR(INDEX('TB-EQUIPMENT &amp; OTHER HPs'!$R$138:$R$175,MATCH($E389&amp;$F389,'TB-EQUIPMENT &amp; OTHER HPs'!$E$138:$E$175&amp;'TB-EQUIPMENT &amp; OTHER HPs'!$I$138:$I$175,0)),0)</f>
        <v>0</v>
      </c>
      <c r="W389" s="626">
        <f>IF(ISERROR($I389*V389),0,$I389*V389)</f>
        <v>0</v>
      </c>
      <c r="X389" s="626">
        <f>IF(C389="Upfront",V389,IF(C389="At delivery",N389,0))</f>
        <v>0</v>
      </c>
      <c r="Y389" s="626">
        <f>IF(C389="Upfront",W389,IF(C389="At delivery",O389,0))</f>
        <v>0</v>
      </c>
      <c r="AA389" s="625">
        <f t="array" ref="AA389">IFERROR(INDEX('TB-EQUIPMENT &amp; OTHER HPs'!$U$138:$U$175,MATCH($E389&amp;$F389,'TB-EQUIPMENT &amp; OTHER HPs'!$E$138:$E$175&amp;'TB-EQUIPMENT &amp; OTHER HPs'!$I$138:$I$175,0)),0)</f>
        <v>0</v>
      </c>
      <c r="AB389" s="625">
        <f t="array" ref="AB389">IFERROR(INDEX('TB-EQUIPMENT &amp; OTHER HPs'!$V$138:$V$175,MATCH($E389&amp;$F389,'TB-EQUIPMENT &amp; OTHER HPs'!$E$138:$E$175&amp;'TB-EQUIPMENT &amp; OTHER HPs'!$I$138:$I$175,0)),0)</f>
        <v>0</v>
      </c>
      <c r="AC389" s="626">
        <f>IF(ISERROR($AA389*AB389),0,$AA389*AB389)</f>
        <v>0</v>
      </c>
      <c r="AD389" s="626">
        <f>IF(C389="Upfront",AB389,IF(C389="At delivery",R389,0))</f>
        <v>0</v>
      </c>
      <c r="AE389" s="626">
        <f>IF(C389="Upfront",AC389,IF(C389="At delivery",S389,0))</f>
        <v>0</v>
      </c>
      <c r="AF389" s="625">
        <f t="array" ref="AF389">IFERROR(INDEX('TB-EQUIPMENT &amp; OTHER HPs'!$W$138:$W$175,MATCH($E389&amp;$F389,'TB-EQUIPMENT &amp; OTHER HPs'!$E$138:$E$175&amp;'TB-EQUIPMENT &amp; OTHER HPs'!$I$138:$I$175,0)),0)</f>
        <v>0</v>
      </c>
      <c r="AG389" s="626">
        <f>IF(ISERROR($AA389*AF389),0,$AA389*AF389)</f>
        <v>0</v>
      </c>
      <c r="AH389" s="626">
        <f>IF(C389="Upfront",AF389,IF(C389="At delivery",V389,0))</f>
        <v>0</v>
      </c>
      <c r="AI389" s="626">
        <f>IF(C389="Upfront",AG389,IF(C389="At delivery",W389,0))</f>
        <v>0</v>
      </c>
      <c r="AJ389" s="625">
        <f t="array" ref="AJ389">IFERROR(INDEX('TB-EQUIPMENT &amp; OTHER HPs'!$X$138:$X$175,MATCH($E389&amp;$F389,'TB-EQUIPMENT &amp; OTHER HPs'!$E$138:$E$175&amp;'TB-EQUIPMENT &amp; OTHER HPs'!$I$138:$I$175,0)),0)</f>
        <v>0</v>
      </c>
      <c r="AK389" s="626">
        <f>IF(ISERROR($AA389*AJ389),0,$AA389*AJ389)</f>
        <v>0</v>
      </c>
      <c r="AL389" s="626">
        <f>IF(C389="Upfront",AJ389,IF(C389="At delivery",AB389,0))</f>
        <v>0</v>
      </c>
      <c r="AM389" s="626">
        <f>IF(C389="Upfront",AK389,IF(C389="At delivery",AC389,0))</f>
        <v>0</v>
      </c>
      <c r="AN389" s="625">
        <f t="array" ref="AN389">IFERROR(INDEX('TB-EQUIPMENT &amp; OTHER HPs'!$Y$138:$Y$175,MATCH($E389&amp;$F389,'TB-EQUIPMENT &amp; OTHER HPs'!$E$138:$E$175&amp;'TB-EQUIPMENT &amp; OTHER HPs'!$I$138:$I$175,0)),0)</f>
        <v>0</v>
      </c>
      <c r="AO389" s="626">
        <f>IF(ISERROR($AA389*AN389),0,$AA389*AN389)</f>
        <v>0</v>
      </c>
      <c r="AP389" s="626">
        <f>IF(C389="Upfront",AN389,IF(C389="At delivery",AF389,0))</f>
        <v>0</v>
      </c>
      <c r="AQ389" s="626">
        <f>IF(C389="Upfront",AO389,IF(C389="At delivery",AG389,0))</f>
        <v>0</v>
      </c>
      <c r="AR389" s="630"/>
      <c r="AS389" s="625">
        <f t="array" ref="AS389">IFERROR(INDEX('TB-EQUIPMENT &amp; OTHER HPs'!$AB$138:$AB$175,MATCH($E389&amp;$F389,'TB-EQUIPMENT &amp; OTHER HPs'!$E$138:$E$175&amp;'TB-EQUIPMENT &amp; OTHER HPs'!$I$138:$I$175,0)),0)</f>
        <v>0</v>
      </c>
      <c r="AT389" s="625">
        <f t="array" ref="AT389">IFERROR(INDEX('TB-EQUIPMENT &amp; OTHER HPs'!$AC$138:$AC$175,MATCH($E389&amp;$F389,'TB-EQUIPMENT &amp; OTHER HPs'!$E$138:$E$175&amp;'TB-EQUIPMENT &amp; OTHER HPs'!$I$138:$I$175,0)),0)</f>
        <v>0</v>
      </c>
      <c r="AU389" s="626">
        <f>IF(ISERROR($AS389*AT389),0,$AS389*AT389)</f>
        <v>0</v>
      </c>
      <c r="AV389" s="626">
        <f>IF(C389="Upfront",AT389,IF(C389="At delivery",AJ389,0))</f>
        <v>0</v>
      </c>
      <c r="AW389" s="626">
        <f>IF(C389="Upfront",AU389,IF(C389="At delivery",AK389,0))</f>
        <v>0</v>
      </c>
      <c r="AX389" s="625">
        <f t="array" ref="AX389">IFERROR(INDEX('TB-EQUIPMENT &amp; OTHER HPs'!$AD$138:$AD$175,MATCH($E389&amp;$F389,'TB-EQUIPMENT &amp; OTHER HPs'!$E$138:$E$175&amp;'TB-EQUIPMENT &amp; OTHER HPs'!$I$138:$I$175,0)),0)</f>
        <v>0</v>
      </c>
      <c r="AY389" s="626">
        <f>IF(ISERROR($AS389*AX389),0,$AS389*AX389)</f>
        <v>0</v>
      </c>
      <c r="AZ389" s="626">
        <f>IF(C389="Upfront",AX389,IF(C389="At delivery",AN389,0))</f>
        <v>0</v>
      </c>
      <c r="BA389" s="626">
        <f>IF(C389="Upfront",AY389,IF(C389="At delivery",AO389,0))</f>
        <v>0</v>
      </c>
      <c r="BB389" s="625">
        <f t="array" ref="BB389">IFERROR(INDEX('TB-EQUIPMENT &amp; OTHER HPs'!$AE$138:$AE$175,MATCH($E389&amp;$F389,'TB-EQUIPMENT &amp; OTHER HPs'!$E$138:$E$175&amp;'TB-EQUIPMENT &amp; OTHER HPs'!$I$138:$I$175,0)),0)</f>
        <v>0</v>
      </c>
      <c r="BC389" s="626">
        <f>IF(ISERROR($AS389*BB389),0,$AS389*BB389)</f>
        <v>0</v>
      </c>
      <c r="BD389" s="626">
        <f>IF(C389="Upfront",BB389,IF(C389="At delivery",AT389,0))</f>
        <v>0</v>
      </c>
      <c r="BE389" s="626">
        <f>IF(C389="Upfront",BC389,IF(C389="At delivery",AU389,0))</f>
        <v>0</v>
      </c>
      <c r="BF389" s="625">
        <f t="array" ref="BF389">IFERROR(INDEX('TB-EQUIPMENT &amp; OTHER HPs'!$AF$138:$AF$175,MATCH($E389&amp;$F389,'TB-EQUIPMENT &amp; OTHER HPs'!$E$138:$E$175&amp;'TB-EQUIPMENT &amp; OTHER HPs'!$I$138:$I$175,0)),0)</f>
        <v>0</v>
      </c>
      <c r="BG389" s="626">
        <f>IF(ISERROR($AS389*BF389),0,$AS389*BF389)</f>
        <v>0</v>
      </c>
      <c r="BH389" s="626">
        <f>IF(C389="Upfront",BF389,IF(C389="At delivery",AX389,0))</f>
        <v>0</v>
      </c>
      <c r="BI389" s="626">
        <f>IF(C389="Upfront",BG389,IF(C389="At delivery",AY389,0))</f>
        <v>0</v>
      </c>
      <c r="BJ389" s="630"/>
      <c r="BK389" s="625"/>
      <c r="BL389" s="625"/>
      <c r="BM389" s="625"/>
      <c r="BN389" s="625"/>
      <c r="BO389" s="625"/>
      <c r="BP389" s="625"/>
      <c r="BQ389" s="625"/>
      <c r="BR389" s="625"/>
    </row>
    <row r="390" spans="1:70">
      <c r="A390" s="1443" t="s">
        <v>2360</v>
      </c>
      <c r="B390" s="1443" t="s">
        <v>1838</v>
      </c>
      <c r="C390" s="1444">
        <f>SETUP!$F$44</f>
        <v>0</v>
      </c>
      <c r="D390" s="1442">
        <v>6.6</v>
      </c>
      <c r="E390" s="26" t="s">
        <v>1212</v>
      </c>
      <c r="F390" s="26" t="s">
        <v>200</v>
      </c>
      <c r="G390" s="625" t="str">
        <f t="array" ref="G390">IFERROR(INDEX('TB-EQUIPMENT &amp; OTHER HPs'!$L$138:$L$175,MATCH($E390&amp;$F390,'TB-EQUIPMENT &amp; OTHER HPs'!$E$138:$E$175&amp;'TB-EQUIPMENT &amp; OTHER HPs'!$I$138:$I$175,0)),"")</f>
        <v/>
      </c>
      <c r="H390" s="625" t="str">
        <f t="array" ref="H390">IFERROR(INDEX('TB-EQUIPMENT &amp; OTHER HPs'!$M$138:$M$175,MATCH($E390&amp;$F390,'TB-EQUIPMENT &amp; OTHER HPs'!$E$138:$E$175&amp;'TB-EQUIPMENT &amp; OTHER HPs'!$I$138:$I$175,0)),"")</f>
        <v/>
      </c>
      <c r="I390" s="625">
        <f t="array" ref="I390">IFERROR(INDEX('TB-EQUIPMENT &amp; OTHER HPs'!$N$138:$N$175,MATCH($E390&amp;$F390,'TB-EQUIPMENT &amp; OTHER HPs'!$E$138:$E$175&amp;'TB-EQUIPMENT &amp; OTHER HPs'!$I$138:$I$175,0)),0)</f>
        <v>0</v>
      </c>
      <c r="J390" s="625">
        <f t="array" ref="J390">IFERROR(INDEX('TB-EQUIPMENT &amp; OTHER HPs'!$O$138:$O$175,MATCH($E390&amp;$F390,'TB-EQUIPMENT &amp; OTHER HPs'!$E$138:$E$175&amp;'TB-EQUIPMENT &amp; OTHER HPs'!$I$138:$I$175,0)),0)</f>
        <v>0</v>
      </c>
      <c r="K390" s="626">
        <f>IF(ISERROR($I390*J390),0,$I390*J390)</f>
        <v>0</v>
      </c>
      <c r="L390" s="626">
        <f>IF(C390="Upfront",J390,0)</f>
        <v>0</v>
      </c>
      <c r="M390" s="626">
        <f>IF(C390="Upfront",K390,0)</f>
        <v>0</v>
      </c>
      <c r="N390" s="625">
        <f t="array" ref="N390">IFERROR(INDEX('TB-EQUIPMENT &amp; OTHER HPs'!$P$138:$P$175,MATCH($E390&amp;$F390,'TB-EQUIPMENT &amp; OTHER HPs'!$E$138:$E$175&amp;'TB-EQUIPMENT &amp; OTHER HPs'!$I$138:$I$175,0)),0)</f>
        <v>0</v>
      </c>
      <c r="O390" s="626">
        <f>IF(ISERROR($I390*N390),0,$I390*N390)</f>
        <v>0</v>
      </c>
      <c r="P390" s="626">
        <f>IF(C390="Upfront",N390,0)</f>
        <v>0</v>
      </c>
      <c r="Q390" s="626">
        <f>IF(C390="Upfront",O390,0)</f>
        <v>0</v>
      </c>
      <c r="R390" s="625">
        <f t="array" ref="R390">IFERROR(INDEX('TB-EQUIPMENT &amp; OTHER HPs'!$Q$138:$Q$175,MATCH($E390&amp;$F390,'TB-EQUIPMENT &amp; OTHER HPs'!$E$138:$E$175&amp;'TB-EQUIPMENT &amp; OTHER HPs'!$I$138:$I$175,0)),0)</f>
        <v>0</v>
      </c>
      <c r="S390" s="626">
        <f>IF(ISERROR($I390*R390),0,$I390*R390)</f>
        <v>0</v>
      </c>
      <c r="T390" s="626">
        <f>IF(C390="Upfront",R390,IF(C390="At delivery",J390,0))</f>
        <v>0</v>
      </c>
      <c r="U390" s="626">
        <f>IF(C390="Upfront",S390,IF(C390="At delivery",K390,0))</f>
        <v>0</v>
      </c>
      <c r="V390" s="625">
        <f t="array" ref="V390">IFERROR(INDEX('TB-EQUIPMENT &amp; OTHER HPs'!$R$138:$R$175,MATCH($E390&amp;$F390,'TB-EQUIPMENT &amp; OTHER HPs'!$E$138:$E$175&amp;'TB-EQUIPMENT &amp; OTHER HPs'!$I$138:$I$175,0)),0)</f>
        <v>0</v>
      </c>
      <c r="W390" s="626">
        <f>IF(ISERROR($I390*V390),0,$I390*V390)</f>
        <v>0</v>
      </c>
      <c r="X390" s="626">
        <f>IF(C390="Upfront",V390,IF(C390="At delivery",N390,0))</f>
        <v>0</v>
      </c>
      <c r="Y390" s="626">
        <f>IF(C390="Upfront",W390,IF(C390="At delivery",O390,0))</f>
        <v>0</v>
      </c>
      <c r="AA390" s="625">
        <f t="array" ref="AA390">IFERROR(INDEX('TB-EQUIPMENT &amp; OTHER HPs'!$U$138:$U$175,MATCH($E390&amp;$F390,'TB-EQUIPMENT &amp; OTHER HPs'!$E$138:$E$175&amp;'TB-EQUIPMENT &amp; OTHER HPs'!$I$138:$I$175,0)),0)</f>
        <v>0</v>
      </c>
      <c r="AB390" s="625">
        <f t="array" ref="AB390">IFERROR(INDEX('TB-EQUIPMENT &amp; OTHER HPs'!$V$138:$V$175,MATCH($E390&amp;$F390,'TB-EQUIPMENT &amp; OTHER HPs'!$E$138:$E$175&amp;'TB-EQUIPMENT &amp; OTHER HPs'!$I$138:$I$175,0)),0)</f>
        <v>0</v>
      </c>
      <c r="AC390" s="626">
        <f>IF(ISERROR($AA390*AB390),0,$AA390*AB390)</f>
        <v>0</v>
      </c>
      <c r="AD390" s="626">
        <f>IF(C390="Upfront",AB390,IF(C390="At delivery",R390,0))</f>
        <v>0</v>
      </c>
      <c r="AE390" s="626">
        <f>IF(C390="Upfront",AC390,IF(C390="At delivery",S390,0))</f>
        <v>0</v>
      </c>
      <c r="AF390" s="625">
        <f t="array" ref="AF390">IFERROR(INDEX('TB-EQUIPMENT &amp; OTHER HPs'!$W$138:$W$175,MATCH($E390&amp;$F390,'TB-EQUIPMENT &amp; OTHER HPs'!$E$138:$E$175&amp;'TB-EQUIPMENT &amp; OTHER HPs'!$I$138:$I$175,0)),0)</f>
        <v>0</v>
      </c>
      <c r="AG390" s="626">
        <f>IF(ISERROR($AA390*AF390),0,$AA390*AF390)</f>
        <v>0</v>
      </c>
      <c r="AH390" s="626">
        <f>IF(C390="Upfront",AF390,IF(C390="At delivery",V390,0))</f>
        <v>0</v>
      </c>
      <c r="AI390" s="626">
        <f>IF(C390="Upfront",AG390,IF(C390="At delivery",W390,0))</f>
        <v>0</v>
      </c>
      <c r="AJ390" s="625">
        <f t="array" ref="AJ390">IFERROR(INDEX('TB-EQUIPMENT &amp; OTHER HPs'!$X$138:$X$175,MATCH($E390&amp;$F390,'TB-EQUIPMENT &amp; OTHER HPs'!$E$138:$E$175&amp;'TB-EQUIPMENT &amp; OTHER HPs'!$I$138:$I$175,0)),0)</f>
        <v>0</v>
      </c>
      <c r="AK390" s="626">
        <f>IF(ISERROR($AA390*AJ390),0,$AA390*AJ390)</f>
        <v>0</v>
      </c>
      <c r="AL390" s="626">
        <f>IF(C390="Upfront",AJ390,IF(C390="At delivery",AB390,0))</f>
        <v>0</v>
      </c>
      <c r="AM390" s="626">
        <f>IF(C390="Upfront",AK390,IF(C390="At delivery",AC390,0))</f>
        <v>0</v>
      </c>
      <c r="AN390" s="625">
        <f t="array" ref="AN390">IFERROR(INDEX('TB-EQUIPMENT &amp; OTHER HPs'!$Y$138:$Y$175,MATCH($E390&amp;$F390,'TB-EQUIPMENT &amp; OTHER HPs'!$E$138:$E$175&amp;'TB-EQUIPMENT &amp; OTHER HPs'!$I$138:$I$175,0)),0)</f>
        <v>0</v>
      </c>
      <c r="AO390" s="626">
        <f>IF(ISERROR($AA390*AN390),0,$AA390*AN390)</f>
        <v>0</v>
      </c>
      <c r="AP390" s="626">
        <f>IF(C390="Upfront",AN390,IF(C390="At delivery",AF390,0))</f>
        <v>0</v>
      </c>
      <c r="AQ390" s="626">
        <f>IF(C390="Upfront",AO390,IF(C390="At delivery",AG390,0))</f>
        <v>0</v>
      </c>
      <c r="AR390" s="630"/>
      <c r="AS390" s="625">
        <f t="array" ref="AS390">IFERROR(INDEX('TB-EQUIPMENT &amp; OTHER HPs'!$AB$138:$AB$175,MATCH($E390&amp;$F390,'TB-EQUIPMENT &amp; OTHER HPs'!$E$138:$E$175&amp;'TB-EQUIPMENT &amp; OTHER HPs'!$I$138:$I$175,0)),0)</f>
        <v>0</v>
      </c>
      <c r="AT390" s="625">
        <f t="array" ref="AT390">IFERROR(INDEX('TB-EQUIPMENT &amp; OTHER HPs'!$AC$138:$AC$175,MATCH($E390&amp;$F390,'TB-EQUIPMENT &amp; OTHER HPs'!$E$138:$E$175&amp;'TB-EQUIPMENT &amp; OTHER HPs'!$I$138:$I$175,0)),0)</f>
        <v>0</v>
      </c>
      <c r="AU390" s="626">
        <f>IF(ISERROR($AS390*AT390),0,$AS390*AT390)</f>
        <v>0</v>
      </c>
      <c r="AV390" s="626">
        <f>IF(C390="Upfront",AT390,IF(C390="At delivery",AJ390,0))</f>
        <v>0</v>
      </c>
      <c r="AW390" s="626">
        <f>IF(C390="Upfront",AU390,IF(C390="At delivery",AK390,0))</f>
        <v>0</v>
      </c>
      <c r="AX390" s="625">
        <f t="array" ref="AX390">IFERROR(INDEX('TB-EQUIPMENT &amp; OTHER HPs'!$AD$138:$AD$175,MATCH($E390&amp;$F390,'TB-EQUIPMENT &amp; OTHER HPs'!$E$138:$E$175&amp;'TB-EQUIPMENT &amp; OTHER HPs'!$I$138:$I$175,0)),0)</f>
        <v>0</v>
      </c>
      <c r="AY390" s="626">
        <f>IF(ISERROR($AS390*AX390),0,$AS390*AX390)</f>
        <v>0</v>
      </c>
      <c r="AZ390" s="626">
        <f>IF(C390="Upfront",AX390,IF(C390="At delivery",AN390,0))</f>
        <v>0</v>
      </c>
      <c r="BA390" s="626">
        <f>IF(C390="Upfront",AY390,IF(C390="At delivery",AO390,0))</f>
        <v>0</v>
      </c>
      <c r="BB390" s="625">
        <f t="array" ref="BB390">IFERROR(INDEX('TB-EQUIPMENT &amp; OTHER HPs'!$AE$138:$AE$175,MATCH($E390&amp;$F390,'TB-EQUIPMENT &amp; OTHER HPs'!$E$138:$E$175&amp;'TB-EQUIPMENT &amp; OTHER HPs'!$I$138:$I$175,0)),0)</f>
        <v>0</v>
      </c>
      <c r="BC390" s="626">
        <f>IF(ISERROR($AS390*BB390),0,$AS390*BB390)</f>
        <v>0</v>
      </c>
      <c r="BD390" s="626">
        <f>IF(C390="Upfront",BB390,IF(C390="At delivery",AT390,0))</f>
        <v>0</v>
      </c>
      <c r="BE390" s="626">
        <f>IF(C390="Upfront",BC390,IF(C390="At delivery",AU390,0))</f>
        <v>0</v>
      </c>
      <c r="BF390" s="625">
        <f t="array" ref="BF390">IFERROR(INDEX('TB-EQUIPMENT &amp; OTHER HPs'!$AF$138:$AF$175,MATCH($E390&amp;$F390,'TB-EQUIPMENT &amp; OTHER HPs'!$E$138:$E$175&amp;'TB-EQUIPMENT &amp; OTHER HPs'!$I$138:$I$175,0)),0)</f>
        <v>0</v>
      </c>
      <c r="BG390" s="626">
        <f>IF(ISERROR($AS390*BF390),0,$AS390*BF390)</f>
        <v>0</v>
      </c>
      <c r="BH390" s="626">
        <f>IF(C390="Upfront",BF390,IF(C390="At delivery",AX390,0))</f>
        <v>0</v>
      </c>
      <c r="BI390" s="626">
        <f>IF(C390="Upfront",BG390,IF(C390="At delivery",AY390,0))</f>
        <v>0</v>
      </c>
      <c r="BJ390" s="630"/>
      <c r="BK390" s="625"/>
      <c r="BL390" s="625"/>
      <c r="BM390" s="625"/>
      <c r="BN390" s="625"/>
      <c r="BO390" s="625"/>
      <c r="BP390" s="625"/>
      <c r="BQ390" s="625"/>
      <c r="BR390" s="625"/>
    </row>
    <row r="391" spans="1:70">
      <c r="A391" s="1443" t="s">
        <v>2360</v>
      </c>
      <c r="B391" s="1443" t="s">
        <v>1838</v>
      </c>
      <c r="C391" s="1444">
        <f>SETUP!$F$44</f>
        <v>0</v>
      </c>
      <c r="D391" s="1442">
        <v>5.8</v>
      </c>
      <c r="E391" s="26" t="s">
        <v>537</v>
      </c>
      <c r="F391" s="26" t="s">
        <v>1140</v>
      </c>
      <c r="G391" s="625" t="str">
        <f t="array" ref="G391">IFERROR(INDEX('TB-EQUIPMENT &amp; OTHER HPs'!$L$138:$L$175,MATCH($E391&amp;$F391,'TB-EQUIPMENT &amp; OTHER HPs'!$E$138:$E$175&amp;'TB-EQUIPMENT &amp; OTHER HPs'!$I$138:$I$175,0)),"")</f>
        <v/>
      </c>
      <c r="H391" s="625" t="str">
        <f t="array" ref="H391">IFERROR(INDEX('TB-EQUIPMENT &amp; OTHER HPs'!$M$138:$M$175,MATCH($E391&amp;$F391,'TB-EQUIPMENT &amp; OTHER HPs'!$E$138:$E$175&amp;'TB-EQUIPMENT &amp; OTHER HPs'!$I$138:$I$175,0)),"")</f>
        <v/>
      </c>
      <c r="I391" s="625">
        <f t="array" ref="I391">IFERROR(INDEX('TB-EQUIPMENT &amp; OTHER HPs'!$N$138:$N$175,MATCH($E391&amp;$F391,'TB-EQUIPMENT &amp; OTHER HPs'!$E$138:$E$175&amp;'TB-EQUIPMENT &amp; OTHER HPs'!$I$138:$I$175,0)),0)</f>
        <v>0</v>
      </c>
      <c r="J391" s="625">
        <f t="array" ref="J391">IFERROR(INDEX('TB-EQUIPMENT &amp; OTHER HPs'!$O$138:$O$175,MATCH($E391&amp;$F391,'TB-EQUIPMENT &amp; OTHER HPs'!$E$138:$E$175&amp;'TB-EQUIPMENT &amp; OTHER HPs'!$I$138:$I$175,0)),0)</f>
        <v>0</v>
      </c>
      <c r="K391" s="626">
        <f>IF(ISERROR($I391*J391),0,$I391*J391)</f>
        <v>0</v>
      </c>
      <c r="L391" s="626">
        <f>IF(C391="Upfront",J391,0)</f>
        <v>0</v>
      </c>
      <c r="M391" s="626">
        <f>IF(C391="Upfront",K391,0)</f>
        <v>0</v>
      </c>
      <c r="N391" s="625">
        <f t="array" ref="N391">IFERROR(INDEX('TB-EQUIPMENT &amp; OTHER HPs'!$P$138:$P$175,MATCH($E391&amp;$F391,'TB-EQUIPMENT &amp; OTHER HPs'!$E$138:$E$175&amp;'TB-EQUIPMENT &amp; OTHER HPs'!$I$138:$I$175,0)),0)</f>
        <v>0</v>
      </c>
      <c r="O391" s="626">
        <f>IF(ISERROR($I391*N391),0,$I391*N391)</f>
        <v>0</v>
      </c>
      <c r="P391" s="626">
        <f>IF(C391="Upfront",N391,0)</f>
        <v>0</v>
      </c>
      <c r="Q391" s="626">
        <f>IF(C391="Upfront",O391,0)</f>
        <v>0</v>
      </c>
      <c r="R391" s="625">
        <f t="array" ref="R391">IFERROR(INDEX('TB-EQUIPMENT &amp; OTHER HPs'!$Q$138:$Q$175,MATCH($E391&amp;$F391,'TB-EQUIPMENT &amp; OTHER HPs'!$E$138:$E$175&amp;'TB-EQUIPMENT &amp; OTHER HPs'!$I$138:$I$175,0)),0)</f>
        <v>0</v>
      </c>
      <c r="S391" s="626">
        <f>IF(ISERROR($I391*R391),0,$I391*R391)</f>
        <v>0</v>
      </c>
      <c r="T391" s="626">
        <f>IF(C391="Upfront",R391,IF(C391="At delivery",J391,0))</f>
        <v>0</v>
      </c>
      <c r="U391" s="626">
        <f>IF(C391="Upfront",S391,IF(C391="At delivery",K391,0))</f>
        <v>0</v>
      </c>
      <c r="V391" s="625">
        <f t="array" ref="V391">IFERROR(INDEX('TB-EQUIPMENT &amp; OTHER HPs'!$R$138:$R$175,MATCH($E391&amp;$F391,'TB-EQUIPMENT &amp; OTHER HPs'!$E$138:$E$175&amp;'TB-EQUIPMENT &amp; OTHER HPs'!$I$138:$I$175,0)),0)</f>
        <v>0</v>
      </c>
      <c r="W391" s="626">
        <f>IF(ISERROR($I391*V391),0,$I391*V391)</f>
        <v>0</v>
      </c>
      <c r="X391" s="626">
        <f>IF(C391="Upfront",V391,IF(C391="At delivery",N391,0))</f>
        <v>0</v>
      </c>
      <c r="Y391" s="626">
        <f>IF(C391="Upfront",W391,IF(C391="At delivery",O391,0))</f>
        <v>0</v>
      </c>
      <c r="AA391" s="625">
        <f t="array" ref="AA391">IFERROR(INDEX('TB-EQUIPMENT &amp; OTHER HPs'!$U$138:$U$175,MATCH($E391&amp;$F391,'TB-EQUIPMENT &amp; OTHER HPs'!$E$138:$E$175&amp;'TB-EQUIPMENT &amp; OTHER HPs'!$I$138:$I$175,0)),0)</f>
        <v>0</v>
      </c>
      <c r="AB391" s="625">
        <f t="array" ref="AB391">IFERROR(INDEX('TB-EQUIPMENT &amp; OTHER HPs'!$V$138:$V$175,MATCH($E391&amp;$F391,'TB-EQUIPMENT &amp; OTHER HPs'!$E$138:$E$175&amp;'TB-EQUIPMENT &amp; OTHER HPs'!$I$138:$I$175,0)),0)</f>
        <v>0</v>
      </c>
      <c r="AC391" s="626">
        <f>IF(ISERROR($AA391*AB391),0,$AA391*AB391)</f>
        <v>0</v>
      </c>
      <c r="AD391" s="626">
        <f>IF(C391="Upfront",AB391,IF(C391="At delivery",R391,0))</f>
        <v>0</v>
      </c>
      <c r="AE391" s="626">
        <f>IF(C391="Upfront",AC391,IF(C391="At delivery",S391,0))</f>
        <v>0</v>
      </c>
      <c r="AF391" s="625">
        <f t="array" ref="AF391">IFERROR(INDEX('TB-EQUIPMENT &amp; OTHER HPs'!$W$138:$W$175,MATCH($E391&amp;$F391,'TB-EQUIPMENT &amp; OTHER HPs'!$E$138:$E$175&amp;'TB-EQUIPMENT &amp; OTHER HPs'!$I$138:$I$175,0)),0)</f>
        <v>0</v>
      </c>
      <c r="AG391" s="626">
        <f>IF(ISERROR($AA391*AF391),0,$AA391*AF391)</f>
        <v>0</v>
      </c>
      <c r="AH391" s="626">
        <f>IF(C391="Upfront",AF391,IF(C391="At delivery",V391,0))</f>
        <v>0</v>
      </c>
      <c r="AI391" s="626">
        <f>IF(C391="Upfront",AG391,IF(C391="At delivery",W391,0))</f>
        <v>0</v>
      </c>
      <c r="AJ391" s="625">
        <f t="array" ref="AJ391">IFERROR(INDEX('TB-EQUIPMENT &amp; OTHER HPs'!$X$138:$X$175,MATCH($E391&amp;$F391,'TB-EQUIPMENT &amp; OTHER HPs'!$E$138:$E$175&amp;'TB-EQUIPMENT &amp; OTHER HPs'!$I$138:$I$175,0)),0)</f>
        <v>0</v>
      </c>
      <c r="AK391" s="626">
        <f>IF(ISERROR($AA391*AJ391),0,$AA391*AJ391)</f>
        <v>0</v>
      </c>
      <c r="AL391" s="626">
        <f>IF(C391="Upfront",AJ391,IF(C391="At delivery",AB391,0))</f>
        <v>0</v>
      </c>
      <c r="AM391" s="626">
        <f>IF(C391="Upfront",AK391,IF(C391="At delivery",AC391,0))</f>
        <v>0</v>
      </c>
      <c r="AN391" s="625">
        <f t="array" ref="AN391">IFERROR(INDEX('TB-EQUIPMENT &amp; OTHER HPs'!$Y$138:$Y$175,MATCH($E391&amp;$F391,'TB-EQUIPMENT &amp; OTHER HPs'!$E$138:$E$175&amp;'TB-EQUIPMENT &amp; OTHER HPs'!$I$138:$I$175,0)),0)</f>
        <v>0</v>
      </c>
      <c r="AO391" s="626">
        <f>IF(ISERROR($AA391*AN391),0,$AA391*AN391)</f>
        <v>0</v>
      </c>
      <c r="AP391" s="626">
        <f>IF(C391="Upfront",AN391,IF(C391="At delivery",AF391,0))</f>
        <v>0</v>
      </c>
      <c r="AQ391" s="626">
        <f>IF(C391="Upfront",AO391,IF(C391="At delivery",AG391,0))</f>
        <v>0</v>
      </c>
      <c r="AR391" s="630"/>
      <c r="AS391" s="625">
        <f t="array" ref="AS391">IFERROR(INDEX('TB-EQUIPMENT &amp; OTHER HPs'!$AB$138:$AB$175,MATCH($E391&amp;$F391,'TB-EQUIPMENT &amp; OTHER HPs'!$E$138:$E$175&amp;'TB-EQUIPMENT &amp; OTHER HPs'!$I$138:$I$175,0)),0)</f>
        <v>0</v>
      </c>
      <c r="AT391" s="625">
        <f t="array" ref="AT391">IFERROR(INDEX('TB-EQUIPMENT &amp; OTHER HPs'!$AC$138:$AC$175,MATCH($E391&amp;$F391,'TB-EQUIPMENT &amp; OTHER HPs'!$E$138:$E$175&amp;'TB-EQUIPMENT &amp; OTHER HPs'!$I$138:$I$175,0)),0)</f>
        <v>0</v>
      </c>
      <c r="AU391" s="626">
        <f>IF(ISERROR($AS391*AT391),0,$AS391*AT391)</f>
        <v>0</v>
      </c>
      <c r="AV391" s="626">
        <f>IF(C391="Upfront",AT391,IF(C391="At delivery",AJ391,0))</f>
        <v>0</v>
      </c>
      <c r="AW391" s="626">
        <f>IF(C391="Upfront",AU391,IF(C391="At delivery",AK391,0))</f>
        <v>0</v>
      </c>
      <c r="AX391" s="625">
        <f t="array" ref="AX391">IFERROR(INDEX('TB-EQUIPMENT &amp; OTHER HPs'!$AD$138:$AD$175,MATCH($E391&amp;$F391,'TB-EQUIPMENT &amp; OTHER HPs'!$E$138:$E$175&amp;'TB-EQUIPMENT &amp; OTHER HPs'!$I$138:$I$175,0)),0)</f>
        <v>0</v>
      </c>
      <c r="AY391" s="626">
        <f>IF(ISERROR($AS391*AX391),0,$AS391*AX391)</f>
        <v>0</v>
      </c>
      <c r="AZ391" s="626">
        <f>IF(C391="Upfront",AX391,IF(C391="At delivery",AN391,0))</f>
        <v>0</v>
      </c>
      <c r="BA391" s="626">
        <f>IF(C391="Upfront",AY391,IF(C391="At delivery",AO391,0))</f>
        <v>0</v>
      </c>
      <c r="BB391" s="625">
        <f t="array" ref="BB391">IFERROR(INDEX('TB-EQUIPMENT &amp; OTHER HPs'!$AE$138:$AE$175,MATCH($E391&amp;$F391,'TB-EQUIPMENT &amp; OTHER HPs'!$E$138:$E$175&amp;'TB-EQUIPMENT &amp; OTHER HPs'!$I$138:$I$175,0)),0)</f>
        <v>0</v>
      </c>
      <c r="BC391" s="626">
        <f>IF(ISERROR($AS391*BB391),0,$AS391*BB391)</f>
        <v>0</v>
      </c>
      <c r="BD391" s="626">
        <f>IF(C391="Upfront",BB391,IF(C391="At delivery",AT391,0))</f>
        <v>0</v>
      </c>
      <c r="BE391" s="626">
        <f>IF(C391="Upfront",BC391,IF(C391="At delivery",AU391,0))</f>
        <v>0</v>
      </c>
      <c r="BF391" s="625">
        <f t="array" ref="BF391">IFERROR(INDEX('TB-EQUIPMENT &amp; OTHER HPs'!$AF$138:$AF$175,MATCH($E391&amp;$F391,'TB-EQUIPMENT &amp; OTHER HPs'!$E$138:$E$175&amp;'TB-EQUIPMENT &amp; OTHER HPs'!$I$138:$I$175,0)),0)</f>
        <v>0</v>
      </c>
      <c r="BG391" s="626">
        <f>IF(ISERROR($AS391*BF391),0,$AS391*BF391)</f>
        <v>0</v>
      </c>
      <c r="BH391" s="626">
        <f>IF(C391="Upfront",BF391,IF(C391="At delivery",AX391,0))</f>
        <v>0</v>
      </c>
      <c r="BI391" s="626">
        <f>IF(C391="Upfront",BG391,IF(C391="At delivery",AY391,0))</f>
        <v>0</v>
      </c>
      <c r="BJ391" s="630"/>
      <c r="BK391" s="625"/>
      <c r="BL391" s="625"/>
      <c r="BM391" s="625"/>
      <c r="BN391" s="625"/>
      <c r="BO391" s="625"/>
      <c r="BP391" s="625"/>
      <c r="BQ391" s="625"/>
      <c r="BR391" s="625"/>
    </row>
    <row r="392" spans="1:70">
      <c r="A392" s="1443" t="s">
        <v>2360</v>
      </c>
      <c r="B392" s="1443" t="s">
        <v>1838</v>
      </c>
      <c r="C392" s="1444">
        <f>SETUP!$F$44</f>
        <v>0</v>
      </c>
      <c r="D392" s="1442">
        <v>5.6</v>
      </c>
      <c r="E392" s="26" t="s">
        <v>2354</v>
      </c>
      <c r="F392" s="26" t="s">
        <v>1140</v>
      </c>
      <c r="G392" s="625" t="str">
        <f t="array" ref="G392">IFERROR(INDEX('TB-EQUIPMENT &amp; OTHER HPs'!$L$138:$L$175,MATCH($E392&amp;$F392,'TB-EQUIPMENT &amp; OTHER HPs'!$E$138:$E$175&amp;'TB-EQUIPMENT &amp; OTHER HPs'!$I$138:$I$175,0)),"")</f>
        <v/>
      </c>
      <c r="H392" s="625" t="str">
        <f t="array" ref="H392">IFERROR(INDEX('TB-EQUIPMENT &amp; OTHER HPs'!$M$138:$M$175,MATCH($E392&amp;$F392,'TB-EQUIPMENT &amp; OTHER HPs'!$E$138:$E$175&amp;'TB-EQUIPMENT &amp; OTHER HPs'!$I$138:$I$175,0)),"")</f>
        <v/>
      </c>
      <c r="I392" s="625">
        <f t="array" ref="I392">IFERROR(INDEX('TB-EQUIPMENT &amp; OTHER HPs'!$N$138:$N$175,MATCH($E392&amp;$F392,'TB-EQUIPMENT &amp; OTHER HPs'!$E$138:$E$175&amp;'TB-EQUIPMENT &amp; OTHER HPs'!$I$138:$I$175,0)),0)</f>
        <v>0</v>
      </c>
      <c r="J392" s="625">
        <f t="array" ref="J392">IFERROR(INDEX('TB-EQUIPMENT &amp; OTHER HPs'!$O$138:$O$175,MATCH($E392&amp;$F392,'TB-EQUIPMENT &amp; OTHER HPs'!$E$138:$E$175&amp;'TB-EQUIPMENT &amp; OTHER HPs'!$I$138:$I$175,0)),0)</f>
        <v>0</v>
      </c>
      <c r="K392" s="626">
        <f>IF(ISERROR($I392*J392),0,$I392*J392)</f>
        <v>0</v>
      </c>
      <c r="L392" s="626">
        <f>IF(C392="Upfront",J392,0)</f>
        <v>0</v>
      </c>
      <c r="M392" s="626">
        <f>IF(C392="Upfront",K392,0)</f>
        <v>0</v>
      </c>
      <c r="N392" s="625">
        <f t="array" ref="N392">IFERROR(INDEX('TB-EQUIPMENT &amp; OTHER HPs'!$P$138:$P$175,MATCH($E392&amp;$F392,'TB-EQUIPMENT &amp; OTHER HPs'!$E$138:$E$175&amp;'TB-EQUIPMENT &amp; OTHER HPs'!$I$138:$I$175,0)),0)</f>
        <v>0</v>
      </c>
      <c r="O392" s="626">
        <f>IF(ISERROR($I392*N392),0,$I392*N392)</f>
        <v>0</v>
      </c>
      <c r="P392" s="626">
        <f>IF(C392="Upfront",N392,0)</f>
        <v>0</v>
      </c>
      <c r="Q392" s="626">
        <f>IF(C392="Upfront",O392,0)</f>
        <v>0</v>
      </c>
      <c r="R392" s="625">
        <f t="array" ref="R392">IFERROR(INDEX('TB-EQUIPMENT &amp; OTHER HPs'!$Q$138:$Q$175,MATCH($E392&amp;$F392,'TB-EQUIPMENT &amp; OTHER HPs'!$E$138:$E$175&amp;'TB-EQUIPMENT &amp; OTHER HPs'!$I$138:$I$175,0)),0)</f>
        <v>0</v>
      </c>
      <c r="S392" s="626">
        <f>IF(ISERROR($I392*R392),0,$I392*R392)</f>
        <v>0</v>
      </c>
      <c r="T392" s="626">
        <f>IF(C392="Upfront",R392,IF(C392="At delivery",J392,0))</f>
        <v>0</v>
      </c>
      <c r="U392" s="626">
        <f>IF(C392="Upfront",S392,IF(C392="At delivery",K392,0))</f>
        <v>0</v>
      </c>
      <c r="V392" s="625">
        <f t="array" ref="V392">IFERROR(INDEX('TB-EQUIPMENT &amp; OTHER HPs'!$R$138:$R$175,MATCH($E392&amp;$F392,'TB-EQUIPMENT &amp; OTHER HPs'!$E$138:$E$175&amp;'TB-EQUIPMENT &amp; OTHER HPs'!$I$138:$I$175,0)),0)</f>
        <v>0</v>
      </c>
      <c r="W392" s="626">
        <f>IF(ISERROR($I392*V392),0,$I392*V392)</f>
        <v>0</v>
      </c>
      <c r="X392" s="626">
        <f>IF(C392="Upfront",V392,IF(C392="At delivery",N392,0))</f>
        <v>0</v>
      </c>
      <c r="Y392" s="626">
        <f>IF(C392="Upfront",W392,IF(C392="At delivery",O392,0))</f>
        <v>0</v>
      </c>
      <c r="AA392" s="625">
        <f t="array" ref="AA392">IFERROR(INDEX('TB-EQUIPMENT &amp; OTHER HPs'!$U$138:$U$175,MATCH($E392&amp;$F392,'TB-EQUIPMENT &amp; OTHER HPs'!$E$138:$E$175&amp;'TB-EQUIPMENT &amp; OTHER HPs'!$I$138:$I$175,0)),0)</f>
        <v>0</v>
      </c>
      <c r="AB392" s="625">
        <f t="array" ref="AB392">IFERROR(INDEX('TB-EQUIPMENT &amp; OTHER HPs'!$V$138:$V$175,MATCH($E392&amp;$F392,'TB-EQUIPMENT &amp; OTHER HPs'!$E$138:$E$175&amp;'TB-EQUIPMENT &amp; OTHER HPs'!$I$138:$I$175,0)),0)</f>
        <v>0</v>
      </c>
      <c r="AC392" s="626">
        <f>IF(ISERROR($AA392*AB392),0,$AA392*AB392)</f>
        <v>0</v>
      </c>
      <c r="AD392" s="626">
        <f>IF(C392="Upfront",AB392,IF(C392="At delivery",R392,0))</f>
        <v>0</v>
      </c>
      <c r="AE392" s="626">
        <f>IF(C392="Upfront",AC392,IF(C392="At delivery",S392,0))</f>
        <v>0</v>
      </c>
      <c r="AF392" s="625">
        <f t="array" ref="AF392">IFERROR(INDEX('TB-EQUIPMENT &amp; OTHER HPs'!$W$138:$W$175,MATCH($E392&amp;$F392,'TB-EQUIPMENT &amp; OTHER HPs'!$E$138:$E$175&amp;'TB-EQUIPMENT &amp; OTHER HPs'!$I$138:$I$175,0)),0)</f>
        <v>0</v>
      </c>
      <c r="AG392" s="626">
        <f>IF(ISERROR($AA392*AF392),0,$AA392*AF392)</f>
        <v>0</v>
      </c>
      <c r="AH392" s="626">
        <f>IF(C392="Upfront",AF392,IF(C392="At delivery",V392,0))</f>
        <v>0</v>
      </c>
      <c r="AI392" s="626">
        <f>IF(C392="Upfront",AG392,IF(C392="At delivery",W392,0))</f>
        <v>0</v>
      </c>
      <c r="AJ392" s="625">
        <f t="array" ref="AJ392">IFERROR(INDEX('TB-EQUIPMENT &amp; OTHER HPs'!$X$138:$X$175,MATCH($E392&amp;$F392,'TB-EQUIPMENT &amp; OTHER HPs'!$E$138:$E$175&amp;'TB-EQUIPMENT &amp; OTHER HPs'!$I$138:$I$175,0)),0)</f>
        <v>0</v>
      </c>
      <c r="AK392" s="626">
        <f>IF(ISERROR($AA392*AJ392),0,$AA392*AJ392)</f>
        <v>0</v>
      </c>
      <c r="AL392" s="626">
        <f>IF(C392="Upfront",AJ392,IF(C392="At delivery",AB392,0))</f>
        <v>0</v>
      </c>
      <c r="AM392" s="626">
        <f>IF(C392="Upfront",AK392,IF(C392="At delivery",AC392,0))</f>
        <v>0</v>
      </c>
      <c r="AN392" s="625">
        <f t="array" ref="AN392">IFERROR(INDEX('TB-EQUIPMENT &amp; OTHER HPs'!$Y$138:$Y$175,MATCH($E392&amp;$F392,'TB-EQUIPMENT &amp; OTHER HPs'!$E$138:$E$175&amp;'TB-EQUIPMENT &amp; OTHER HPs'!$I$138:$I$175,0)),0)</f>
        <v>0</v>
      </c>
      <c r="AO392" s="626">
        <f>IF(ISERROR($AA392*AN392),0,$AA392*AN392)</f>
        <v>0</v>
      </c>
      <c r="AP392" s="626">
        <f>IF(C392="Upfront",AN392,IF(C392="At delivery",AF392,0))</f>
        <v>0</v>
      </c>
      <c r="AQ392" s="626">
        <f>IF(C392="Upfront",AO392,IF(C392="At delivery",AG392,0))</f>
        <v>0</v>
      </c>
      <c r="AR392" s="630"/>
      <c r="AS392" s="625">
        <f t="array" ref="AS392">IFERROR(INDEX('TB-EQUIPMENT &amp; OTHER HPs'!$AB$138:$AB$175,MATCH($E392&amp;$F392,'TB-EQUIPMENT &amp; OTHER HPs'!$E$138:$E$175&amp;'TB-EQUIPMENT &amp; OTHER HPs'!$I$138:$I$175,0)),0)</f>
        <v>0</v>
      </c>
      <c r="AT392" s="625">
        <f t="array" ref="AT392">IFERROR(INDEX('TB-EQUIPMENT &amp; OTHER HPs'!$AC$138:$AC$175,MATCH($E392&amp;$F392,'TB-EQUIPMENT &amp; OTHER HPs'!$E$138:$E$175&amp;'TB-EQUIPMENT &amp; OTHER HPs'!$I$138:$I$175,0)),0)</f>
        <v>0</v>
      </c>
      <c r="AU392" s="626">
        <f>IF(ISERROR($AS392*AT392),0,$AS392*AT392)</f>
        <v>0</v>
      </c>
      <c r="AV392" s="626">
        <f>IF(C392="Upfront",AT392,IF(C392="At delivery",AJ392,0))</f>
        <v>0</v>
      </c>
      <c r="AW392" s="626">
        <f>IF(C392="Upfront",AU392,IF(C392="At delivery",AK392,0))</f>
        <v>0</v>
      </c>
      <c r="AX392" s="625">
        <f t="array" ref="AX392">IFERROR(INDEX('TB-EQUIPMENT &amp; OTHER HPs'!$AD$138:$AD$175,MATCH($E392&amp;$F392,'TB-EQUIPMENT &amp; OTHER HPs'!$E$138:$E$175&amp;'TB-EQUIPMENT &amp; OTHER HPs'!$I$138:$I$175,0)),0)</f>
        <v>0</v>
      </c>
      <c r="AY392" s="626">
        <f>IF(ISERROR($AS392*AX392),0,$AS392*AX392)</f>
        <v>0</v>
      </c>
      <c r="AZ392" s="626">
        <f>IF(C392="Upfront",AX392,IF(C392="At delivery",AN392,0))</f>
        <v>0</v>
      </c>
      <c r="BA392" s="626">
        <f>IF(C392="Upfront",AY392,IF(C392="At delivery",AO392,0))</f>
        <v>0</v>
      </c>
      <c r="BB392" s="625">
        <f t="array" ref="BB392">IFERROR(INDEX('TB-EQUIPMENT &amp; OTHER HPs'!$AE$138:$AE$175,MATCH($E392&amp;$F392,'TB-EQUIPMENT &amp; OTHER HPs'!$E$138:$E$175&amp;'TB-EQUIPMENT &amp; OTHER HPs'!$I$138:$I$175,0)),0)</f>
        <v>0</v>
      </c>
      <c r="BC392" s="626">
        <f>IF(ISERROR($AS392*BB392),0,$AS392*BB392)</f>
        <v>0</v>
      </c>
      <c r="BD392" s="626">
        <f>IF(C392="Upfront",BB392,IF(C392="At delivery",AT392,0))</f>
        <v>0</v>
      </c>
      <c r="BE392" s="626">
        <f>IF(C392="Upfront",BC392,IF(C392="At delivery",AU392,0))</f>
        <v>0</v>
      </c>
      <c r="BF392" s="625">
        <f t="array" ref="BF392">IFERROR(INDEX('TB-EQUIPMENT &amp; OTHER HPs'!$AF$138:$AF$175,MATCH($E392&amp;$F392,'TB-EQUIPMENT &amp; OTHER HPs'!$E$138:$E$175&amp;'TB-EQUIPMENT &amp; OTHER HPs'!$I$138:$I$175,0)),0)</f>
        <v>0</v>
      </c>
      <c r="BG392" s="626">
        <f>IF(ISERROR($AS392*BF392),0,$AS392*BF392)</f>
        <v>0</v>
      </c>
      <c r="BH392" s="626">
        <f>IF(C392="Upfront",BF392,IF(C392="At delivery",AX392,0))</f>
        <v>0</v>
      </c>
      <c r="BI392" s="626">
        <f>IF(C392="Upfront",BG392,IF(C392="At delivery",AY392,0))</f>
        <v>0</v>
      </c>
      <c r="BJ392" s="630"/>
      <c r="BK392" s="625"/>
      <c r="BL392" s="625"/>
      <c r="BM392" s="625"/>
      <c r="BN392" s="625"/>
      <c r="BO392" s="625"/>
      <c r="BP392" s="625"/>
      <c r="BQ392" s="625"/>
      <c r="BR392" s="625"/>
    </row>
    <row r="393" spans="1:70" s="1440" customFormat="1">
      <c r="A393" s="1438"/>
      <c r="B393" s="1438"/>
      <c r="C393" s="1439"/>
      <c r="D393" s="1439"/>
      <c r="G393" s="1441"/>
      <c r="H393" s="1441"/>
      <c r="I393" s="1441"/>
      <c r="J393" s="1441"/>
      <c r="K393" s="1441"/>
      <c r="L393" s="1441"/>
      <c r="M393" s="1441"/>
      <c r="N393" s="1441"/>
      <c r="O393" s="1441"/>
      <c r="P393" s="1441"/>
      <c r="Q393" s="1441"/>
      <c r="R393" s="1441"/>
      <c r="S393" s="1441"/>
      <c r="T393" s="1441"/>
      <c r="U393" s="1441"/>
      <c r="V393" s="1441"/>
      <c r="W393" s="1441"/>
      <c r="X393" s="1441"/>
      <c r="Y393" s="1441"/>
      <c r="Z393" s="1441"/>
      <c r="AA393" s="1441"/>
      <c r="AB393" s="1441"/>
      <c r="AC393" s="1441"/>
      <c r="AD393" s="1441"/>
      <c r="AE393" s="1441"/>
      <c r="AF393" s="1441"/>
      <c r="AG393" s="1441"/>
      <c r="AH393" s="1441"/>
      <c r="AI393" s="1441"/>
      <c r="AJ393" s="1441"/>
      <c r="AK393" s="1441"/>
      <c r="AL393" s="1441"/>
      <c r="AM393" s="1441"/>
      <c r="AN393" s="1441"/>
      <c r="AO393" s="1441"/>
      <c r="AP393" s="1441"/>
      <c r="AQ393" s="1441"/>
      <c r="AR393" s="1441"/>
      <c r="AS393" s="1441"/>
      <c r="AT393" s="1441"/>
      <c r="AU393" s="1441"/>
      <c r="AV393" s="1441"/>
      <c r="AW393" s="1441"/>
      <c r="AX393" s="1441"/>
      <c r="AY393" s="1441"/>
      <c r="AZ393" s="1441"/>
      <c r="BA393" s="1441"/>
      <c r="BB393" s="1441"/>
      <c r="BC393" s="1441"/>
      <c r="BD393" s="1441"/>
      <c r="BE393" s="1441"/>
      <c r="BF393" s="1441"/>
      <c r="BG393" s="1441"/>
      <c r="BH393" s="1441"/>
      <c r="BI393" s="1441"/>
      <c r="BJ393" s="1441"/>
      <c r="BK393" s="1441"/>
      <c r="BL393" s="1441"/>
      <c r="BM393" s="1441"/>
      <c r="BN393" s="1441"/>
      <c r="BO393" s="1441"/>
      <c r="BP393" s="1441"/>
      <c r="BQ393" s="1441"/>
      <c r="BR393" s="1441"/>
    </row>
    <row r="394" spans="1:70" s="1440" customFormat="1">
      <c r="A394" s="1438"/>
      <c r="B394" s="1438"/>
      <c r="C394" s="1439"/>
      <c r="D394" s="1439"/>
      <c r="G394" s="1445">
        <v>6.6</v>
      </c>
      <c r="H394" s="1441"/>
      <c r="I394" s="1441">
        <f>SUMIFS($I$237:$I$392,$D$237:$D$392,6.6)</f>
        <v>0</v>
      </c>
      <c r="J394" s="1441">
        <f>SUMIFS($J$237:$J$392,$D$237:$D$392,6.6)</f>
        <v>0</v>
      </c>
      <c r="K394" s="1441">
        <f>SUMIFS($K$237:$K$392,$D$237:$D$392,6.6)</f>
        <v>0</v>
      </c>
      <c r="L394" s="1441">
        <f>SUMIFS($L$237:$L$392,$D$237:$D$392,6.6)</f>
        <v>0</v>
      </c>
      <c r="M394" s="1441">
        <f>SUMIFS($M$237:$M$392,$D$237:$D$392,6.6)</f>
        <v>0</v>
      </c>
      <c r="N394" s="1441">
        <f>SUMIFS($N$237:$N$392,$D$237:$D$392,6.6)</f>
        <v>0</v>
      </c>
      <c r="O394" s="1441">
        <f>SUMIFS($O$237:$O$392,$D$237:$D$392,6.6)</f>
        <v>0</v>
      </c>
      <c r="P394" s="1441">
        <f>SUMIFS($P$237:$P$392,$D$237:$D$392,6.6)</f>
        <v>0</v>
      </c>
      <c r="Q394" s="1441">
        <f>SUMIFS($Q$237:$Q$392,$D$237:$D$392,6.6)</f>
        <v>0</v>
      </c>
      <c r="R394" s="1441">
        <f>SUMIFS($R$237:$R$392,$D$237:$D$392,6.6)</f>
        <v>0</v>
      </c>
      <c r="S394" s="1441">
        <f>SUMIFS($S$237:$S$392,$D$237:$D$392,6.6)</f>
        <v>0</v>
      </c>
      <c r="T394" s="1441">
        <f>SUMIFS($T$237:$T$392,$D$237:$D$392,6.6)</f>
        <v>0</v>
      </c>
      <c r="U394" s="1441">
        <f>SUMIFS($U$237:$U$392,$D$237:$D$392,6.6)</f>
        <v>0</v>
      </c>
      <c r="V394" s="1441">
        <f>SUMIFS($V$237:$V$392,$D$237:$D$392,6.6)</f>
        <v>0</v>
      </c>
      <c r="W394" s="1441">
        <f>SUMIFS($W$237:$W$392,$D$237:$D$392,6.6)</f>
        <v>0</v>
      </c>
      <c r="X394" s="1441">
        <f>SUMIFS($X$237:$X$392,$D$237:$D$392,6.6)</f>
        <v>0</v>
      </c>
      <c r="Y394" s="1441">
        <f>SUMIFS($Y$237:$Y$392,$D$237:$D$392,6.6)</f>
        <v>0</v>
      </c>
      <c r="Z394" s="1441">
        <f>SUMIFS(Z237:Z392,$D237:$D392,6.6)</f>
        <v>0</v>
      </c>
      <c r="AA394" s="1441">
        <f>SUMIFS($AA$237:$AA$392,$D$237:$D$392,6.6)</f>
        <v>0</v>
      </c>
      <c r="AB394" s="1441">
        <f>SUMIFS($AB$237:$AB$392,$D$237:$D$392,6.6)</f>
        <v>0</v>
      </c>
      <c r="AC394" s="1441">
        <f>SUMIFS($AC$237:$AC$392,$D$237:$D$392,6.6)</f>
        <v>0</v>
      </c>
      <c r="AD394" s="1441">
        <f>SUMIFS($AD$237:$AD$392,$D$237:$D$392,6.6)</f>
        <v>0</v>
      </c>
      <c r="AE394" s="1441">
        <f>SUMIFS($AE$237:$AE$392,$D$237:$D$392,6.6)</f>
        <v>0</v>
      </c>
      <c r="AF394" s="1441">
        <f t="shared" ref="AF394:BR394" si="432">SUMIFS(AF237:AF392,$D237:$D392,6.6)</f>
        <v>0</v>
      </c>
      <c r="AG394" s="1441">
        <f t="shared" si="432"/>
        <v>0</v>
      </c>
      <c r="AH394" s="1441">
        <f t="shared" si="432"/>
        <v>0</v>
      </c>
      <c r="AI394" s="1441">
        <f t="shared" si="432"/>
        <v>0</v>
      </c>
      <c r="AJ394" s="1441">
        <f t="shared" si="432"/>
        <v>0</v>
      </c>
      <c r="AK394" s="1441">
        <f t="shared" si="432"/>
        <v>0</v>
      </c>
      <c r="AL394" s="1441">
        <f t="shared" si="432"/>
        <v>0</v>
      </c>
      <c r="AM394" s="1441">
        <f t="shared" si="432"/>
        <v>0</v>
      </c>
      <c r="AN394" s="1441">
        <f t="shared" si="432"/>
        <v>0</v>
      </c>
      <c r="AO394" s="1441">
        <f t="shared" si="432"/>
        <v>0</v>
      </c>
      <c r="AP394" s="1441">
        <f t="shared" si="432"/>
        <v>0</v>
      </c>
      <c r="AQ394" s="1441">
        <f t="shared" si="432"/>
        <v>0</v>
      </c>
      <c r="AR394" s="1441">
        <f t="shared" si="432"/>
        <v>0</v>
      </c>
      <c r="AS394" s="1441">
        <f t="shared" si="432"/>
        <v>0</v>
      </c>
      <c r="AT394" s="1441">
        <f t="shared" si="432"/>
        <v>0</v>
      </c>
      <c r="AU394" s="1441">
        <f t="shared" si="432"/>
        <v>0</v>
      </c>
      <c r="AV394" s="1441">
        <f t="shared" si="432"/>
        <v>0</v>
      </c>
      <c r="AW394" s="1441">
        <f t="shared" si="432"/>
        <v>0</v>
      </c>
      <c r="AX394" s="1441">
        <f t="shared" si="432"/>
        <v>0</v>
      </c>
      <c r="AY394" s="1441">
        <f t="shared" si="432"/>
        <v>0</v>
      </c>
      <c r="AZ394" s="1441">
        <f t="shared" si="432"/>
        <v>0</v>
      </c>
      <c r="BA394" s="1441">
        <f t="shared" si="432"/>
        <v>0</v>
      </c>
      <c r="BB394" s="1441">
        <f t="shared" si="432"/>
        <v>0</v>
      </c>
      <c r="BC394" s="1441">
        <f t="shared" si="432"/>
        <v>0</v>
      </c>
      <c r="BD394" s="1441">
        <f t="shared" si="432"/>
        <v>0</v>
      </c>
      <c r="BE394" s="1441">
        <f t="shared" si="432"/>
        <v>0</v>
      </c>
      <c r="BF394" s="1441">
        <f t="shared" si="432"/>
        <v>0</v>
      </c>
      <c r="BG394" s="1441">
        <f t="shared" si="432"/>
        <v>0</v>
      </c>
      <c r="BH394" s="1441">
        <f t="shared" si="432"/>
        <v>0</v>
      </c>
      <c r="BI394" s="1441">
        <f t="shared" si="432"/>
        <v>0</v>
      </c>
      <c r="BJ394" s="1441">
        <f t="shared" si="432"/>
        <v>0</v>
      </c>
      <c r="BK394" s="1441">
        <f t="shared" si="432"/>
        <v>0</v>
      </c>
      <c r="BL394" s="1441">
        <f t="shared" si="432"/>
        <v>0</v>
      </c>
      <c r="BM394" s="1441">
        <f t="shared" si="432"/>
        <v>0</v>
      </c>
      <c r="BN394" s="1441">
        <f t="shared" si="432"/>
        <v>0</v>
      </c>
      <c r="BO394" s="1441">
        <f t="shared" si="432"/>
        <v>0</v>
      </c>
      <c r="BP394" s="1441">
        <f t="shared" si="432"/>
        <v>0</v>
      </c>
      <c r="BQ394" s="1441">
        <f t="shared" si="432"/>
        <v>0</v>
      </c>
      <c r="BR394" s="1441">
        <f t="shared" si="432"/>
        <v>0</v>
      </c>
    </row>
    <row r="395" spans="1:70" s="1440" customFormat="1">
      <c r="A395" s="1438"/>
      <c r="B395" s="1438"/>
      <c r="C395" s="1439"/>
      <c r="D395" s="1439"/>
      <c r="G395" s="1445">
        <v>6.5</v>
      </c>
      <c r="H395" s="1441"/>
      <c r="I395" s="1441">
        <f>SUMIFS(I237:I392,$D$237:$D$392,6.5)</f>
        <v>0</v>
      </c>
      <c r="J395" s="1441">
        <f t="shared" ref="J395:BR395" si="433">SUMIFS(J237:J392,$D$237:$D$392,6.5)</f>
        <v>0</v>
      </c>
      <c r="K395" s="1441">
        <f t="shared" si="433"/>
        <v>0</v>
      </c>
      <c r="L395" s="1441">
        <f t="shared" si="433"/>
        <v>0</v>
      </c>
      <c r="M395" s="1441">
        <f t="shared" si="433"/>
        <v>0</v>
      </c>
      <c r="N395" s="1441">
        <f t="shared" si="433"/>
        <v>0</v>
      </c>
      <c r="O395" s="1441">
        <f t="shared" si="433"/>
        <v>0</v>
      </c>
      <c r="P395" s="1441">
        <f t="shared" si="433"/>
        <v>0</v>
      </c>
      <c r="Q395" s="1441">
        <f t="shared" si="433"/>
        <v>0</v>
      </c>
      <c r="R395" s="1441">
        <f t="shared" si="433"/>
        <v>0</v>
      </c>
      <c r="S395" s="1441">
        <f t="shared" si="433"/>
        <v>0</v>
      </c>
      <c r="T395" s="1441">
        <f t="shared" si="433"/>
        <v>0</v>
      </c>
      <c r="U395" s="1441">
        <f t="shared" si="433"/>
        <v>0</v>
      </c>
      <c r="V395" s="1441">
        <f t="shared" si="433"/>
        <v>0</v>
      </c>
      <c r="W395" s="1441">
        <f t="shared" si="433"/>
        <v>0</v>
      </c>
      <c r="X395" s="1441">
        <f t="shared" si="433"/>
        <v>0</v>
      </c>
      <c r="Y395" s="1441">
        <f t="shared" si="433"/>
        <v>0</v>
      </c>
      <c r="Z395" s="1441">
        <f t="shared" si="433"/>
        <v>0</v>
      </c>
      <c r="AA395" s="1441">
        <f t="shared" si="433"/>
        <v>0</v>
      </c>
      <c r="AB395" s="1441">
        <f t="shared" si="433"/>
        <v>0</v>
      </c>
      <c r="AC395" s="1441">
        <f t="shared" si="433"/>
        <v>0</v>
      </c>
      <c r="AD395" s="1441">
        <f t="shared" si="433"/>
        <v>0</v>
      </c>
      <c r="AE395" s="1441">
        <f t="shared" si="433"/>
        <v>0</v>
      </c>
      <c r="AF395" s="1441">
        <f t="shared" si="433"/>
        <v>0</v>
      </c>
      <c r="AG395" s="1441">
        <f t="shared" si="433"/>
        <v>0</v>
      </c>
      <c r="AH395" s="1441">
        <f t="shared" si="433"/>
        <v>0</v>
      </c>
      <c r="AI395" s="1441">
        <f t="shared" si="433"/>
        <v>0</v>
      </c>
      <c r="AJ395" s="1441">
        <f t="shared" si="433"/>
        <v>0</v>
      </c>
      <c r="AK395" s="1441">
        <f t="shared" si="433"/>
        <v>0</v>
      </c>
      <c r="AL395" s="1441">
        <f t="shared" si="433"/>
        <v>0</v>
      </c>
      <c r="AM395" s="1441">
        <f t="shared" si="433"/>
        <v>0</v>
      </c>
      <c r="AN395" s="1441">
        <f t="shared" si="433"/>
        <v>0</v>
      </c>
      <c r="AO395" s="1441">
        <f t="shared" si="433"/>
        <v>0</v>
      </c>
      <c r="AP395" s="1441">
        <f t="shared" si="433"/>
        <v>0</v>
      </c>
      <c r="AQ395" s="1441">
        <f t="shared" si="433"/>
        <v>0</v>
      </c>
      <c r="AR395" s="1441">
        <f t="shared" si="433"/>
        <v>0</v>
      </c>
      <c r="AS395" s="1441">
        <f t="shared" si="433"/>
        <v>0</v>
      </c>
      <c r="AT395" s="1441">
        <f t="shared" si="433"/>
        <v>0</v>
      </c>
      <c r="AU395" s="1441">
        <f t="shared" si="433"/>
        <v>0</v>
      </c>
      <c r="AV395" s="1441">
        <f t="shared" si="433"/>
        <v>0</v>
      </c>
      <c r="AW395" s="1441">
        <f t="shared" si="433"/>
        <v>0</v>
      </c>
      <c r="AX395" s="1441">
        <f t="shared" si="433"/>
        <v>0</v>
      </c>
      <c r="AY395" s="1441">
        <f t="shared" si="433"/>
        <v>0</v>
      </c>
      <c r="AZ395" s="1441">
        <f t="shared" si="433"/>
        <v>0</v>
      </c>
      <c r="BA395" s="1441">
        <f t="shared" si="433"/>
        <v>0</v>
      </c>
      <c r="BB395" s="1441">
        <f t="shared" si="433"/>
        <v>0</v>
      </c>
      <c r="BC395" s="1441">
        <f t="shared" si="433"/>
        <v>0</v>
      </c>
      <c r="BD395" s="1441">
        <f t="shared" si="433"/>
        <v>0</v>
      </c>
      <c r="BE395" s="1441">
        <f t="shared" si="433"/>
        <v>0</v>
      </c>
      <c r="BF395" s="1441">
        <f t="shared" si="433"/>
        <v>0</v>
      </c>
      <c r="BG395" s="1441">
        <f t="shared" si="433"/>
        <v>0</v>
      </c>
      <c r="BH395" s="1441">
        <f t="shared" si="433"/>
        <v>0</v>
      </c>
      <c r="BI395" s="1441">
        <f t="shared" si="433"/>
        <v>0</v>
      </c>
      <c r="BJ395" s="1441">
        <f t="shared" si="433"/>
        <v>0</v>
      </c>
      <c r="BK395" s="1441">
        <f t="shared" si="433"/>
        <v>0</v>
      </c>
      <c r="BL395" s="1441">
        <f t="shared" si="433"/>
        <v>0</v>
      </c>
      <c r="BM395" s="1441">
        <f t="shared" si="433"/>
        <v>0</v>
      </c>
      <c r="BN395" s="1441">
        <f t="shared" si="433"/>
        <v>0</v>
      </c>
      <c r="BO395" s="1441">
        <f t="shared" si="433"/>
        <v>0</v>
      </c>
      <c r="BP395" s="1441">
        <f t="shared" si="433"/>
        <v>0</v>
      </c>
      <c r="BQ395" s="1441">
        <f t="shared" si="433"/>
        <v>0</v>
      </c>
      <c r="BR395" s="1441">
        <f t="shared" si="433"/>
        <v>0</v>
      </c>
    </row>
    <row r="396" spans="1:70" s="1440" customFormat="1">
      <c r="A396" s="1438"/>
      <c r="B396" s="1438"/>
      <c r="C396" s="1439"/>
      <c r="D396" s="1439"/>
      <c r="G396" s="1441"/>
      <c r="H396" s="1441"/>
      <c r="I396" s="1441"/>
      <c r="J396" s="1441"/>
      <c r="K396" s="1441"/>
      <c r="L396" s="1441"/>
      <c r="M396" s="1441"/>
      <c r="N396" s="1441"/>
      <c r="O396" s="1441"/>
      <c r="P396" s="1441"/>
      <c r="Q396" s="1441"/>
      <c r="R396" s="1441"/>
      <c r="S396" s="1441"/>
      <c r="T396" s="1441"/>
      <c r="U396" s="1441"/>
      <c r="V396" s="1441"/>
      <c r="W396" s="1441"/>
      <c r="X396" s="1441"/>
      <c r="Y396" s="1441"/>
      <c r="Z396" s="1441"/>
      <c r="AA396" s="1441"/>
      <c r="AB396" s="1441"/>
      <c r="AC396" s="1441"/>
      <c r="AD396" s="1441"/>
      <c r="AE396" s="1441"/>
      <c r="AF396" s="1441"/>
      <c r="AG396" s="1441"/>
      <c r="AH396" s="1441"/>
      <c r="AI396" s="1441"/>
      <c r="AJ396" s="1441"/>
      <c r="AK396" s="1441"/>
      <c r="AL396" s="1441"/>
      <c r="AM396" s="1441"/>
      <c r="AN396" s="1441"/>
      <c r="AO396" s="1441"/>
      <c r="AP396" s="1441"/>
      <c r="AQ396" s="1441"/>
      <c r="AR396" s="1441"/>
      <c r="AS396" s="1441"/>
      <c r="AT396" s="1441"/>
      <c r="AU396" s="1441"/>
      <c r="AV396" s="1441"/>
      <c r="AW396" s="1441"/>
      <c r="AX396" s="1441"/>
      <c r="AY396" s="1441"/>
      <c r="AZ396" s="1441"/>
      <c r="BA396" s="1441"/>
      <c r="BB396" s="1441"/>
      <c r="BC396" s="1441"/>
      <c r="BD396" s="1441"/>
      <c r="BE396" s="1441"/>
      <c r="BF396" s="1441"/>
      <c r="BG396" s="1441"/>
      <c r="BH396" s="1441"/>
      <c r="BI396" s="1441"/>
      <c r="BJ396" s="1441"/>
      <c r="BK396" s="1441"/>
      <c r="BL396" s="1441"/>
      <c r="BM396" s="1441"/>
      <c r="BN396" s="1441"/>
      <c r="BO396" s="1441"/>
      <c r="BP396" s="1441"/>
      <c r="BQ396" s="1441"/>
      <c r="BR396" s="1441"/>
    </row>
  </sheetData>
  <sheetProtection algorithmName="SHA-512" hashValue="y+6p5sjIqcyQod0WvYXICeEWKMwfMDL05sW8N/cXJwDVdyNWsDMqwSu9kWQev5vdtq5wYKdWlH8vxGEN5d9WoA==" saltValue="+lqMzoGhl5NxqkXPQylE1Q==" spinCount="100000" sheet="1" formatColumns="0" formatRows="0" autoFilter="0"/>
  <autoFilter ref="D1:D392" xr:uid="{00000000-0009-0000-0000-000018000000}"/>
  <mergeCells count="8">
    <mergeCell ref="A213:F213"/>
    <mergeCell ref="A236:F236"/>
    <mergeCell ref="A268:F268"/>
    <mergeCell ref="A203:F203"/>
    <mergeCell ref="A1:F1"/>
    <mergeCell ref="A39:F39"/>
    <mergeCell ref="A96:F96"/>
    <mergeCell ref="A107:F107"/>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0000"/>
  </sheetPr>
  <dimension ref="A1:AK115"/>
  <sheetViews>
    <sheetView showGridLines="0" topLeftCell="W49" zoomScale="85" zoomScaleNormal="85" workbookViewId="0">
      <selection activeCell="K11" sqref="K11"/>
    </sheetView>
  </sheetViews>
  <sheetFormatPr defaultColWidth="8.81640625" defaultRowHeight="14.5"/>
  <cols>
    <col min="1" max="1" width="30.36328125" bestFit="1" customWidth="1"/>
    <col min="2" max="3" width="36.36328125" bestFit="1" customWidth="1"/>
    <col min="4" max="4" width="56" bestFit="1" customWidth="1"/>
    <col min="5" max="5" width="7.36328125" bestFit="1" customWidth="1"/>
    <col min="7" max="7" width="91.36328125" bestFit="1" customWidth="1"/>
    <col min="9" max="9" width="41" bestFit="1" customWidth="1"/>
    <col min="10" max="10" width="33.36328125" bestFit="1" customWidth="1"/>
    <col min="11" max="11" width="30.36328125" bestFit="1" customWidth="1"/>
    <col min="12" max="12" width="60" bestFit="1" customWidth="1"/>
    <col min="13" max="13" width="7.36328125" bestFit="1" customWidth="1"/>
    <col min="15" max="15" width="77.36328125" bestFit="1" customWidth="1"/>
    <col min="17" max="17" width="28.36328125" bestFit="1" customWidth="1"/>
    <col min="18" max="19" width="44.81640625" bestFit="1" customWidth="1"/>
    <col min="20" max="20" width="58.08984375" bestFit="1" customWidth="1"/>
    <col min="21" max="21" width="7.36328125" bestFit="1" customWidth="1"/>
    <col min="23" max="23" width="86.08984375" bestFit="1" customWidth="1"/>
    <col min="25" max="25" width="32.36328125" bestFit="1" customWidth="1"/>
    <col min="26" max="27" width="50" bestFit="1" customWidth="1"/>
    <col min="28" max="28" width="53.36328125" bestFit="1" customWidth="1"/>
    <col min="29" max="29" width="7.36328125" bestFit="1" customWidth="1"/>
    <col min="31" max="31" width="83.36328125" bestFit="1" customWidth="1"/>
    <col min="34" max="34" width="41.36328125" customWidth="1"/>
  </cols>
  <sheetData>
    <row r="1" spans="1:37">
      <c r="A1" s="16" t="s">
        <v>1236</v>
      </c>
      <c r="B1" s="16" t="s">
        <v>1257</v>
      </c>
      <c r="C1" s="15" t="s">
        <v>1152</v>
      </c>
      <c r="D1" s="15" t="s">
        <v>1277</v>
      </c>
      <c r="E1" s="15" t="s">
        <v>177</v>
      </c>
      <c r="G1" s="15" t="s">
        <v>399</v>
      </c>
      <c r="I1" s="16" t="s">
        <v>1237</v>
      </c>
      <c r="J1" s="16" t="s">
        <v>1278</v>
      </c>
      <c r="K1" s="15" t="s">
        <v>1155</v>
      </c>
      <c r="L1" s="15" t="s">
        <v>1279</v>
      </c>
      <c r="M1" s="15" t="s">
        <v>177</v>
      </c>
      <c r="O1" s="15" t="s">
        <v>399</v>
      </c>
      <c r="Q1" s="16" t="s">
        <v>1239</v>
      </c>
      <c r="R1" s="16" t="s">
        <v>1309</v>
      </c>
      <c r="S1" s="15" t="s">
        <v>1177</v>
      </c>
      <c r="T1" s="15" t="s">
        <v>1310</v>
      </c>
      <c r="U1" s="15" t="s">
        <v>177</v>
      </c>
      <c r="W1" s="15" t="s">
        <v>399</v>
      </c>
      <c r="Y1" s="16" t="s">
        <v>1313</v>
      </c>
      <c r="Z1" s="16" t="s">
        <v>1314</v>
      </c>
      <c r="AA1" s="15" t="s">
        <v>1315</v>
      </c>
      <c r="AB1" s="15" t="s">
        <v>1316</v>
      </c>
      <c r="AC1" s="15" t="s">
        <v>177</v>
      </c>
      <c r="AE1" s="15" t="s">
        <v>399</v>
      </c>
    </row>
    <row r="2" spans="1:37">
      <c r="A2" t="s">
        <v>1588</v>
      </c>
      <c r="B2" t="s">
        <v>1452</v>
      </c>
      <c r="C2" t="s">
        <v>1452</v>
      </c>
      <c r="D2" t="s">
        <v>1454</v>
      </c>
      <c r="E2">
        <v>5.6</v>
      </c>
      <c r="G2" t="str">
        <f>CONCATENATE(C2,D2)</f>
        <v>Microscopy: TB smear microscopy reagent kitsDiagnostic reagents and consumables kit - LED/AURAMINE MICROSCOPY</v>
      </c>
      <c r="I2" t="s">
        <v>1748</v>
      </c>
      <c r="J2" t="s">
        <v>1750</v>
      </c>
      <c r="K2" t="s">
        <v>1750</v>
      </c>
      <c r="L2" t="s">
        <v>1503</v>
      </c>
      <c r="M2" s="398">
        <v>5.4</v>
      </c>
      <c r="O2" t="str">
        <f>CONCATENATE(K2,L2)</f>
        <v>Rapid Diagnostic Test - TBDetermine TB LAM Ag Test, 100 test/kit</v>
      </c>
      <c r="Q2" t="s">
        <v>1754</v>
      </c>
      <c r="R2" t="s">
        <v>1469</v>
      </c>
      <c r="S2" t="s">
        <v>1469</v>
      </c>
      <c r="T2" t="s">
        <v>1140</v>
      </c>
      <c r="U2" s="398">
        <v>5.6</v>
      </c>
      <c r="W2" t="e">
        <f>CONCATENATE(#REF!,#REF!)</f>
        <v>#REF!</v>
      </c>
      <c r="Y2" t="s">
        <v>1756</v>
      </c>
      <c r="Z2" t="s">
        <v>1214</v>
      </c>
      <c r="AA2" t="s">
        <v>1214</v>
      </c>
      <c r="AB2" t="s">
        <v>1140</v>
      </c>
      <c r="AC2">
        <v>5.8</v>
      </c>
      <c r="AE2" t="str">
        <f>CONCATENATE(AA2,AB2)</f>
        <v>Consumables: Blood collection[enter specifications manually]</v>
      </c>
    </row>
    <row r="3" spans="1:37">
      <c r="B3" t="s">
        <v>1453</v>
      </c>
      <c r="C3" t="s">
        <v>1452</v>
      </c>
      <c r="D3" t="s">
        <v>1455</v>
      </c>
      <c r="E3">
        <v>5.6</v>
      </c>
      <c r="G3" t="str">
        <f t="shared" ref="G3:G8" si="0">CONCATENATE(C3,D3)</f>
        <v>Microscopy: TB smear microscopy reagent kitsDiagnostic reagents and consumables kit - ZN/LIGHT MICROSCOPY</v>
      </c>
      <c r="I3" t="s">
        <v>1749</v>
      </c>
      <c r="J3" t="s">
        <v>573</v>
      </c>
      <c r="K3" t="s">
        <v>1750</v>
      </c>
      <c r="L3" t="s">
        <v>1140</v>
      </c>
      <c r="M3" s="398">
        <v>5.4</v>
      </c>
      <c r="O3" t="str">
        <f t="shared" ref="O3:O15" si="1">CONCATENATE(K3,L3)</f>
        <v>Rapid Diagnostic Test - TB[enter specifications manually]</v>
      </c>
      <c r="R3" t="s">
        <v>331</v>
      </c>
      <c r="S3" t="s">
        <v>1464</v>
      </c>
      <c r="T3" t="s">
        <v>1140</v>
      </c>
      <c r="U3" s="398">
        <v>5.6</v>
      </c>
      <c r="W3" t="e">
        <f>CONCATENATE(#REF!,#REF!)</f>
        <v>#REF!</v>
      </c>
      <c r="Y3" t="s">
        <v>1757</v>
      </c>
      <c r="Z3" t="s">
        <v>1215</v>
      </c>
      <c r="AA3" t="s">
        <v>1215</v>
      </c>
      <c r="AB3" t="s">
        <v>1140</v>
      </c>
      <c r="AC3">
        <v>5.8</v>
      </c>
      <c r="AE3" t="str">
        <f>CONCATENATE(AA3,AB3)</f>
        <v>Consumables: DBS collection[enter specifications manually]</v>
      </c>
      <c r="AH3" s="13"/>
    </row>
    <row r="4" spans="1:37">
      <c r="B4" t="s">
        <v>1165</v>
      </c>
      <c r="C4" t="s">
        <v>1453</v>
      </c>
      <c r="D4" t="s">
        <v>1140</v>
      </c>
      <c r="E4">
        <v>5.6</v>
      </c>
      <c r="G4" t="str">
        <f t="shared" si="0"/>
        <v>Microscopy: TB smear microscopy reagents[enter specifications manually]</v>
      </c>
      <c r="J4" t="s">
        <v>1490</v>
      </c>
      <c r="K4" t="s">
        <v>573</v>
      </c>
      <c r="L4" t="s">
        <v>1713</v>
      </c>
      <c r="M4" s="398">
        <v>5.4</v>
      </c>
      <c r="O4" t="str">
        <f t="shared" si="1"/>
        <v>GeneXpert - Equipment &amp; cartridgesGeneXpert Cartridge 10</v>
      </c>
      <c r="R4" t="s">
        <v>1470</v>
      </c>
      <c r="S4" t="s">
        <v>331</v>
      </c>
      <c r="T4" t="s">
        <v>1468</v>
      </c>
      <c r="U4" s="398">
        <v>5.6</v>
      </c>
      <c r="W4" t="e">
        <f>CONCATENATE(#REF!,#REF!)</f>
        <v>#REF!</v>
      </c>
      <c r="Y4" t="s">
        <v>1758</v>
      </c>
      <c r="Z4" t="s">
        <v>1217</v>
      </c>
      <c r="AA4" t="s">
        <v>1217</v>
      </c>
      <c r="AB4" t="s">
        <v>1140</v>
      </c>
      <c r="AC4">
        <v>5.8</v>
      </c>
      <c r="AE4" t="str">
        <f>CONCATENATE(AI4,AJ4)</f>
        <v>Consumables: Infection prevention and control[enter specifications manually]</v>
      </c>
      <c r="AG4" s="405" t="s">
        <v>1759</v>
      </c>
      <c r="AH4" s="405" t="s">
        <v>1216</v>
      </c>
      <c r="AI4" s="405" t="s">
        <v>1216</v>
      </c>
      <c r="AJ4" s="405" t="s">
        <v>1140</v>
      </c>
      <c r="AK4" s="405">
        <v>5.8</v>
      </c>
    </row>
    <row r="5" spans="1:37">
      <c r="B5" t="s">
        <v>1166</v>
      </c>
      <c r="C5" t="s">
        <v>1165</v>
      </c>
      <c r="D5" t="s">
        <v>1168</v>
      </c>
      <c r="E5">
        <v>6.3</v>
      </c>
      <c r="G5" t="str">
        <f t="shared" si="0"/>
        <v>Microscope: EquipmentLED Microscope</v>
      </c>
      <c r="J5" t="s">
        <v>330</v>
      </c>
      <c r="K5" t="s">
        <v>573</v>
      </c>
      <c r="L5" t="s">
        <v>1751</v>
      </c>
      <c r="M5" s="398">
        <v>5.4</v>
      </c>
      <c r="O5" t="str">
        <f t="shared" si="1"/>
        <v>GeneXpert - Equipment &amp; cartridgesGeneXpert Cartridge 50</v>
      </c>
      <c r="R5" t="s">
        <v>1465</v>
      </c>
      <c r="S5" t="s">
        <v>331</v>
      </c>
      <c r="T5" t="s">
        <v>856</v>
      </c>
      <c r="U5" s="398">
        <v>5.6</v>
      </c>
      <c r="W5" t="str">
        <f t="shared" ref="W5:W10" si="2">CONCATENATE(S2,T2)</f>
        <v>Liquid culture and DST: Media, Reagents, Antibiotics[enter specifications manually]</v>
      </c>
      <c r="Y5" t="s">
        <v>1760</v>
      </c>
      <c r="Z5" t="s">
        <v>1218</v>
      </c>
      <c r="AA5" t="s">
        <v>1218</v>
      </c>
      <c r="AB5" t="s">
        <v>1140</v>
      </c>
      <c r="AC5">
        <v>5.8</v>
      </c>
      <c r="AE5" t="str">
        <f>CONCATENATE(AA4,AB4)</f>
        <v>Consumables: Laboratory Other[enter specifications manually]</v>
      </c>
      <c r="AH5" s="13"/>
    </row>
    <row r="6" spans="1:37" ht="15" customHeight="1">
      <c r="B6" t="s">
        <v>1167</v>
      </c>
      <c r="C6" t="s">
        <v>1165</v>
      </c>
      <c r="D6" t="s">
        <v>1169</v>
      </c>
      <c r="E6">
        <v>6.3</v>
      </c>
      <c r="G6" t="str">
        <f t="shared" si="0"/>
        <v>Microscope: EquipmentLight Microscope</v>
      </c>
      <c r="J6" t="s">
        <v>1456</v>
      </c>
      <c r="K6" t="s">
        <v>573</v>
      </c>
      <c r="L6" t="s">
        <v>1752</v>
      </c>
      <c r="M6" s="398">
        <v>5.4</v>
      </c>
      <c r="O6" t="str">
        <f t="shared" si="1"/>
        <v>GeneXpert - Equipment &amp; cartridgesGeneXpert ULTRA Cartridge 10</v>
      </c>
      <c r="R6" t="s">
        <v>1474</v>
      </c>
      <c r="S6" t="s">
        <v>331</v>
      </c>
      <c r="T6" t="s">
        <v>853</v>
      </c>
      <c r="U6" s="398">
        <v>5.6</v>
      </c>
      <c r="W6" t="str">
        <f t="shared" si="2"/>
        <v>Liquid culture and DST-Other reagents (not consumables)[enter specifications manually]</v>
      </c>
      <c r="Y6" t="s">
        <v>1755</v>
      </c>
      <c r="Z6" t="s">
        <v>1219</v>
      </c>
      <c r="AA6" t="s">
        <v>1219</v>
      </c>
      <c r="AB6" t="s">
        <v>1140</v>
      </c>
      <c r="AC6">
        <v>5.8</v>
      </c>
      <c r="AE6" t="str">
        <f t="shared" ref="AE6:AE18" si="3">CONCATENATE(AA5,AB5)</f>
        <v>Consumables: Other[enter specifications manually]</v>
      </c>
      <c r="AH6" s="13"/>
    </row>
    <row r="7" spans="1:37">
      <c r="C7" t="s">
        <v>1166</v>
      </c>
      <c r="D7" t="s">
        <v>1140</v>
      </c>
      <c r="E7">
        <v>6.3</v>
      </c>
      <c r="G7" t="str">
        <f t="shared" si="0"/>
        <v>Microscope: other[enter specifications manually]</v>
      </c>
      <c r="K7" t="s">
        <v>573</v>
      </c>
      <c r="L7" t="s">
        <v>1753</v>
      </c>
      <c r="M7" s="398">
        <v>5.4</v>
      </c>
      <c r="O7" t="str">
        <f t="shared" si="1"/>
        <v>GeneXpert - Equipment &amp; cartridgesGeneXpert ULTRA Cartridge 50</v>
      </c>
      <c r="R7" t="s">
        <v>1475</v>
      </c>
      <c r="S7" t="s">
        <v>331</v>
      </c>
      <c r="T7" t="s">
        <v>854</v>
      </c>
      <c r="U7" s="398">
        <v>5.6</v>
      </c>
      <c r="W7" t="str">
        <f t="shared" si="2"/>
        <v>Liquid culture and DST-Reagents kitsBACTEC MGIT PZA Tubes - 25 tubes</v>
      </c>
      <c r="Y7" s="406" t="s">
        <v>2360</v>
      </c>
      <c r="Z7" t="s">
        <v>1486</v>
      </c>
      <c r="AA7" t="s">
        <v>1486</v>
      </c>
      <c r="AB7" t="s">
        <v>1140</v>
      </c>
      <c r="AC7">
        <v>5.8</v>
      </c>
      <c r="AE7" t="str">
        <f t="shared" si="3"/>
        <v>Consumables: Other (non-laboratory)[enter specifications manually]</v>
      </c>
      <c r="AH7" s="13"/>
    </row>
    <row r="8" spans="1:37">
      <c r="C8" t="s">
        <v>1167</v>
      </c>
      <c r="D8" t="s">
        <v>1140</v>
      </c>
      <c r="E8">
        <v>6.3</v>
      </c>
      <c r="G8" t="str">
        <f t="shared" si="0"/>
        <v>Microscope: Spare parts and accessories[enter specifications manually]</v>
      </c>
      <c r="K8" t="s">
        <v>1490</v>
      </c>
      <c r="L8" t="s">
        <v>1140</v>
      </c>
      <c r="M8" s="398">
        <v>5.4</v>
      </c>
      <c r="O8" t="str">
        <f t="shared" si="1"/>
        <v>MTB/MPT64 identification-Other reagents[enter specifications manually]</v>
      </c>
      <c r="R8" t="s">
        <v>1476</v>
      </c>
      <c r="S8" t="s">
        <v>331</v>
      </c>
      <c r="T8" t="s">
        <v>855</v>
      </c>
      <c r="U8" s="398">
        <v>5.6</v>
      </c>
      <c r="W8" t="str">
        <f t="shared" si="2"/>
        <v>Liquid culture and DST-Reagents kitsBACTEC MGIT Tubes 7ml - 100 tubes</v>
      </c>
      <c r="Z8" t="s">
        <v>1487</v>
      </c>
      <c r="AA8" t="s">
        <v>1487</v>
      </c>
      <c r="AB8" t="s">
        <v>1140</v>
      </c>
      <c r="AC8">
        <v>5.8</v>
      </c>
      <c r="AE8" t="str">
        <f t="shared" si="3"/>
        <v>Consumables: Sample collection and media transport[enter specifications manually]</v>
      </c>
      <c r="AH8" s="13"/>
    </row>
    <row r="9" spans="1:37">
      <c r="K9" t="s">
        <v>330</v>
      </c>
      <c r="L9" t="s">
        <v>1491</v>
      </c>
      <c r="M9" s="398">
        <v>5.4</v>
      </c>
      <c r="O9" t="str">
        <f t="shared" si="1"/>
        <v>MTB/MPT64 identification-Rapid testMTB/MPT64 identification-Rapid test - 30 tests</v>
      </c>
      <c r="R9" t="s">
        <v>322</v>
      </c>
      <c r="S9" t="s">
        <v>331</v>
      </c>
      <c r="T9" t="s">
        <v>6890</v>
      </c>
      <c r="U9" s="398">
        <v>5.6</v>
      </c>
      <c r="W9" t="str">
        <f t="shared" si="2"/>
        <v>Liquid culture and DST-Reagents kitsBACTEC MGIT 960 SIRE kit - 40 tests</v>
      </c>
      <c r="Z9" t="s">
        <v>1220</v>
      </c>
      <c r="AA9" t="s">
        <v>1220</v>
      </c>
      <c r="AB9" t="s">
        <v>1140</v>
      </c>
      <c r="AC9">
        <v>5.8</v>
      </c>
      <c r="AE9" t="str">
        <f t="shared" si="3"/>
        <v>Consumables: TB specimen processing[enter specifications manually]</v>
      </c>
      <c r="AH9" s="13"/>
    </row>
    <row r="10" spans="1:37">
      <c r="K10" s="1221" t="s">
        <v>1456</v>
      </c>
      <c r="L10" s="1221" t="s">
        <v>1457</v>
      </c>
      <c r="M10" s="398">
        <v>6.4</v>
      </c>
      <c r="O10" t="str">
        <f t="shared" si="1"/>
        <v>GeneXpert: EquipmentGeneXpert IV-4 modules with desktop computer and barcode reader</v>
      </c>
      <c r="R10" t="s">
        <v>323</v>
      </c>
      <c r="S10" t="s">
        <v>1470</v>
      </c>
      <c r="T10" t="s">
        <v>1140</v>
      </c>
      <c r="U10" s="398">
        <v>5.6</v>
      </c>
      <c r="W10" t="str">
        <f t="shared" si="2"/>
        <v>Liquid culture and DST-Reagents kitsBACTEC MGIT 960 Supplement Kit - 100 tests (PANTA and OADC combined)</v>
      </c>
      <c r="Z10" t="s">
        <v>1488</v>
      </c>
      <c r="AA10" t="s">
        <v>1488</v>
      </c>
      <c r="AB10" t="s">
        <v>1140</v>
      </c>
      <c r="AC10">
        <v>5.8</v>
      </c>
      <c r="AE10" t="str">
        <f t="shared" si="3"/>
        <v>Consumables: Waste management supplies[enter specifications manually]</v>
      </c>
    </row>
    <row r="11" spans="1:37">
      <c r="K11" s="1221" t="s">
        <v>1456</v>
      </c>
      <c r="L11" s="1221" t="s">
        <v>1458</v>
      </c>
      <c r="M11" s="398">
        <v>6.4</v>
      </c>
      <c r="O11" t="str">
        <f t="shared" si="1"/>
        <v>GeneXpert: EquipmentGeneXpert IV-4 modules with with laptop computer and barcode reader</v>
      </c>
      <c r="R11" t="s">
        <v>1466</v>
      </c>
      <c r="S11" t="s">
        <v>1465</v>
      </c>
      <c r="T11" t="s">
        <v>1140</v>
      </c>
      <c r="U11" s="398">
        <v>5.6</v>
      </c>
      <c r="W11" t="str">
        <f t="shared" ref="W11:W29" si="4">CONCATENATE(S9,T9)</f>
        <v>Liquid culture and DST-Reagents kitsOther reagents</v>
      </c>
      <c r="Z11" t="s">
        <v>1489</v>
      </c>
      <c r="AA11" t="s">
        <v>1489</v>
      </c>
      <c r="AB11" t="s">
        <v>1140</v>
      </c>
      <c r="AC11">
        <v>5.8</v>
      </c>
      <c r="AE11" t="str">
        <f t="shared" si="3"/>
        <v>GeneXpert: Consumables[enter specifications manually]</v>
      </c>
    </row>
    <row r="12" spans="1:37">
      <c r="K12" s="1221" t="s">
        <v>1456</v>
      </c>
      <c r="L12" s="1221" t="s">
        <v>1459</v>
      </c>
      <c r="M12" s="398">
        <v>6.4</v>
      </c>
      <c r="O12" t="str">
        <f t="shared" si="1"/>
        <v>GeneXpert: EquipmentGeneXpert 1-module Edge with tablet, barcode reader and auxiliary batteries</v>
      </c>
      <c r="R12" t="s">
        <v>1467</v>
      </c>
      <c r="S12" t="s">
        <v>1474</v>
      </c>
      <c r="T12" t="s">
        <v>1140</v>
      </c>
      <c r="U12" s="398">
        <v>5.6</v>
      </c>
      <c r="W12" t="str">
        <f t="shared" si="4"/>
        <v>Solid culture and DST: Media, Reagents, Antibiotics[enter specifications manually]</v>
      </c>
      <c r="Z12" t="s">
        <v>944</v>
      </c>
      <c r="AA12" t="s">
        <v>944</v>
      </c>
      <c r="AB12" t="s">
        <v>1140</v>
      </c>
      <c r="AC12">
        <v>5.7</v>
      </c>
      <c r="AE12" t="str">
        <f t="shared" si="3"/>
        <v>Microscopy: TB consumables[enter specifications manually]</v>
      </c>
    </row>
    <row r="13" spans="1:37">
      <c r="K13" s="1221" t="s">
        <v>1456</v>
      </c>
      <c r="L13" s="1221" t="s">
        <v>1460</v>
      </c>
      <c r="M13" s="398">
        <v>6.4</v>
      </c>
      <c r="O13" t="str">
        <f t="shared" si="1"/>
        <v>GeneXpert: EquipmentGeneXpert IV-2 modules with desktop computer and barcode reader</v>
      </c>
      <c r="S13" t="s">
        <v>1475</v>
      </c>
      <c r="T13" t="s">
        <v>1140</v>
      </c>
      <c r="U13" s="398">
        <v>5.6</v>
      </c>
      <c r="W13" t="str">
        <f t="shared" si="4"/>
        <v>Solid culture and DST: Other reagents (no consumables)[enter specifications manually]</v>
      </c>
      <c r="Z13" t="s">
        <v>215</v>
      </c>
      <c r="AA13" t="s">
        <v>215</v>
      </c>
      <c r="AB13" t="s">
        <v>201</v>
      </c>
      <c r="AC13">
        <v>6.6</v>
      </c>
      <c r="AE13" t="str">
        <f t="shared" si="3"/>
        <v>Syringes and needles[enter specifications manually]</v>
      </c>
    </row>
    <row r="14" spans="1:37">
      <c r="K14" s="1221" t="s">
        <v>1456</v>
      </c>
      <c r="L14" s="1221" t="s">
        <v>1460</v>
      </c>
      <c r="M14" s="398">
        <v>6.4</v>
      </c>
      <c r="O14" t="str">
        <f t="shared" si="1"/>
        <v>GeneXpert: EquipmentGeneXpert IV-2 modules with desktop computer and barcode reader</v>
      </c>
      <c r="S14" t="s">
        <v>1476</v>
      </c>
      <c r="T14" t="s">
        <v>1477</v>
      </c>
      <c r="U14" s="398">
        <v>5.6</v>
      </c>
      <c r="W14" t="str">
        <f t="shared" si="4"/>
        <v>Molecular diagnosis: LPA-Chemicals[enter specifications manually]</v>
      </c>
      <c r="Z14" t="s">
        <v>216</v>
      </c>
      <c r="AA14" t="s">
        <v>215</v>
      </c>
      <c r="AB14" t="s">
        <v>200</v>
      </c>
      <c r="AC14">
        <v>6.6</v>
      </c>
      <c r="AE14" t="str">
        <f t="shared" si="3"/>
        <v>Automated blood culture system, system for incubating and processing blood culturesEquipment</v>
      </c>
    </row>
    <row r="15" spans="1:37">
      <c r="K15" s="1221" t="s">
        <v>1456</v>
      </c>
      <c r="L15" s="1221" t="s">
        <v>1461</v>
      </c>
      <c r="M15" s="398">
        <v>6.4</v>
      </c>
      <c r="O15" t="str">
        <f t="shared" si="1"/>
        <v>GeneXpert: EquipmentGeneXpert XVI-16 modules with desktop computer and barcode reader</v>
      </c>
      <c r="S15" t="s">
        <v>1476</v>
      </c>
      <c r="T15" t="s">
        <v>1478</v>
      </c>
      <c r="U15" s="398">
        <v>5.6</v>
      </c>
      <c r="W15" t="str">
        <f t="shared" si="4"/>
        <v>Molecular diagnosis: LPA-Other reagents (no consumables)[enter specifications manually]</v>
      </c>
      <c r="Z15" t="s">
        <v>217</v>
      </c>
      <c r="AA15" t="s">
        <v>215</v>
      </c>
      <c r="AB15" t="s">
        <v>218</v>
      </c>
      <c r="AC15">
        <v>6.5</v>
      </c>
      <c r="AE15" t="str">
        <f t="shared" si="3"/>
        <v>Automated blood culture system, system for incubating and processing blood culturesSpare parts</v>
      </c>
    </row>
    <row r="16" spans="1:37">
      <c r="K16" s="1221" t="s">
        <v>1456</v>
      </c>
      <c r="L16" s="1221" t="s">
        <v>326</v>
      </c>
      <c r="M16" s="398">
        <v>6.5</v>
      </c>
      <c r="O16" t="str">
        <f>CONCATENATE(K16,L16)</f>
        <v>GeneXpert: EquipmentCalibration and check kit</v>
      </c>
      <c r="R16" s="1289" t="s">
        <v>1471</v>
      </c>
      <c r="S16" t="s">
        <v>1476</v>
      </c>
      <c r="T16" t="s">
        <v>1479</v>
      </c>
      <c r="U16" s="398">
        <v>5.6</v>
      </c>
      <c r="W16" t="str">
        <f t="shared" si="4"/>
        <v>Molecular diagnosis: LPA-Reagents kitsGenoType MTBDRsl 2.0 (with Genolyse) 96 tests</v>
      </c>
      <c r="Z16" t="s">
        <v>219</v>
      </c>
      <c r="AA16" t="s">
        <v>216</v>
      </c>
      <c r="AB16" t="s">
        <v>201</v>
      </c>
      <c r="AC16">
        <v>6.6</v>
      </c>
      <c r="AE16" t="str">
        <f t="shared" si="3"/>
        <v>Automated blood culture system, system for incubating and processing blood culturesWarranty, maintenance and service</v>
      </c>
    </row>
    <row r="17" spans="11:31">
      <c r="K17" s="1221" t="s">
        <v>1456</v>
      </c>
      <c r="L17" s="1221" t="s">
        <v>218</v>
      </c>
      <c r="M17" s="398">
        <v>6.5</v>
      </c>
      <c r="O17" t="str">
        <f t="shared" ref="O17:O19" si="5">CONCATENATE(K17,L17)</f>
        <v>GeneXpert: EquipmentWarranty, maintenance and service</v>
      </c>
      <c r="R17" s="1289" t="s">
        <v>1472</v>
      </c>
      <c r="S17" t="s">
        <v>1476</v>
      </c>
      <c r="T17" t="s">
        <v>1480</v>
      </c>
      <c r="U17" s="398">
        <v>5.6</v>
      </c>
      <c r="W17" t="str">
        <f t="shared" si="4"/>
        <v>Molecular diagnosis: LPA-Reagents kitsGenoType MTBDRsl 2.0 (without Genolyse) 96 tests</v>
      </c>
      <c r="Z17" t="s">
        <v>220</v>
      </c>
      <c r="AA17" t="s">
        <v>216</v>
      </c>
      <c r="AB17" t="s">
        <v>200</v>
      </c>
      <c r="AC17">
        <v>6.6</v>
      </c>
      <c r="AE17" t="str">
        <f t="shared" si="3"/>
        <v>Biological Safety CabinetEquipment</v>
      </c>
    </row>
    <row r="18" spans="11:31">
      <c r="K18" s="1221" t="s">
        <v>1456</v>
      </c>
      <c r="L18" s="1221" t="s">
        <v>201</v>
      </c>
      <c r="M18" s="398">
        <v>6.6</v>
      </c>
      <c r="O18" t="str">
        <f t="shared" si="5"/>
        <v>GeneXpert: EquipmentEquipment</v>
      </c>
      <c r="R18" s="1289" t="s">
        <v>1473</v>
      </c>
      <c r="S18" t="s">
        <v>1476</v>
      </c>
      <c r="T18" t="s">
        <v>1481</v>
      </c>
      <c r="U18" s="398">
        <v>5.6</v>
      </c>
      <c r="W18" t="str">
        <f t="shared" si="4"/>
        <v>Molecular diagnosis: LPA-Reagents kitsGenoType Mycobacterium CM Version 2 (without GenoLyse) 96 tests</v>
      </c>
      <c r="Z18" t="s">
        <v>1245</v>
      </c>
      <c r="AA18" t="s">
        <v>216</v>
      </c>
      <c r="AB18" t="s">
        <v>218</v>
      </c>
      <c r="AC18">
        <v>6.5</v>
      </c>
      <c r="AE18" t="str">
        <f t="shared" si="3"/>
        <v>Biological Safety CabinetSpare parts</v>
      </c>
    </row>
    <row r="19" spans="11:31">
      <c r="K19" s="1221" t="s">
        <v>1456</v>
      </c>
      <c r="L19" s="1221" t="s">
        <v>200</v>
      </c>
      <c r="M19" s="398">
        <v>6.6</v>
      </c>
      <c r="O19" t="str">
        <f t="shared" si="5"/>
        <v>GeneXpert: EquipmentSpare parts</v>
      </c>
      <c r="S19" t="s">
        <v>1476</v>
      </c>
      <c r="T19" t="s">
        <v>1482</v>
      </c>
      <c r="U19" s="398">
        <v>5.6</v>
      </c>
      <c r="W19" t="str">
        <f t="shared" si="4"/>
        <v>Molecular diagnosis: LPA-Reagents kitsGenoType Mycobacterium AS (without GenoLyse) 96 tests</v>
      </c>
      <c r="Z19" t="s">
        <v>1861</v>
      </c>
      <c r="AA19" t="s">
        <v>217</v>
      </c>
      <c r="AB19" t="s">
        <v>201</v>
      </c>
      <c r="AC19">
        <v>6.6</v>
      </c>
    </row>
    <row r="20" spans="11:31">
      <c r="S20" t="s">
        <v>1476</v>
      </c>
      <c r="T20" t="s">
        <v>1140</v>
      </c>
      <c r="U20" s="398">
        <v>5.6</v>
      </c>
      <c r="W20" t="str">
        <f t="shared" si="4"/>
        <v>Molecular diagnosis: LPA-Reagents kitsGenoType MTBC 96 tests</v>
      </c>
      <c r="Z20" t="s">
        <v>202</v>
      </c>
      <c r="AA20" t="s">
        <v>217</v>
      </c>
      <c r="AB20" t="s">
        <v>200</v>
      </c>
      <c r="AC20">
        <v>6.6</v>
      </c>
    </row>
    <row r="21" spans="11:31">
      <c r="S21" t="s">
        <v>322</v>
      </c>
      <c r="T21" t="s">
        <v>1483</v>
      </c>
      <c r="U21" s="398">
        <v>6.4</v>
      </c>
      <c r="W21" t="str">
        <f t="shared" si="4"/>
        <v>Molecular diagnosis: LPA-Reagents kitsGenoLyse, Version 1.0 96 tests</v>
      </c>
      <c r="Z21" t="s">
        <v>222</v>
      </c>
      <c r="AA21" t="s">
        <v>217</v>
      </c>
      <c r="AB21" t="s">
        <v>218</v>
      </c>
      <c r="AC21">
        <v>6.5</v>
      </c>
    </row>
    <row r="22" spans="11:31">
      <c r="S22" t="s">
        <v>322</v>
      </c>
      <c r="T22" t="s">
        <v>1484</v>
      </c>
      <c r="U22" s="398">
        <v>6.4</v>
      </c>
      <c r="W22" t="str">
        <f t="shared" si="4"/>
        <v>Molecular diagnosis: LPA-Reagents kits[enter specifications manually]</v>
      </c>
      <c r="Z22" t="s">
        <v>1230</v>
      </c>
      <c r="AA22" t="s">
        <v>219</v>
      </c>
      <c r="AB22" t="s">
        <v>218</v>
      </c>
      <c r="AC22">
        <v>6.5</v>
      </c>
    </row>
    <row r="23" spans="11:31">
      <c r="S23" t="s">
        <v>322</v>
      </c>
      <c r="T23" t="s">
        <v>1485</v>
      </c>
      <c r="U23" s="398">
        <v>6.4</v>
      </c>
      <c r="W23" t="str">
        <f t="shared" si="4"/>
        <v>Molecular diagnosis/LPA-EquipmentGenoscan reader (GS-001) + PC + Screen + software</v>
      </c>
      <c r="Z23" t="s">
        <v>223</v>
      </c>
      <c r="AA23" t="s">
        <v>220</v>
      </c>
      <c r="AB23" t="s">
        <v>201</v>
      </c>
      <c r="AC23">
        <v>6.6</v>
      </c>
    </row>
    <row r="24" spans="11:31">
      <c r="S24" t="s">
        <v>322</v>
      </c>
      <c r="T24" t="s">
        <v>1140</v>
      </c>
      <c r="U24" s="398">
        <v>6.4</v>
      </c>
      <c r="W24" t="str">
        <f t="shared" si="4"/>
        <v>Molecular diagnosis/LPA-EquipmentGT blot - 48</v>
      </c>
      <c r="Z24" t="s">
        <v>224</v>
      </c>
      <c r="AA24" t="s">
        <v>220</v>
      </c>
      <c r="AB24" t="s">
        <v>200</v>
      </c>
      <c r="AC24">
        <v>6.6</v>
      </c>
    </row>
    <row r="25" spans="11:31">
      <c r="S25" t="s">
        <v>323</v>
      </c>
      <c r="T25" t="s">
        <v>1140</v>
      </c>
      <c r="U25" s="398">
        <v>6.4</v>
      </c>
      <c r="W25" t="str">
        <f t="shared" si="4"/>
        <v>Molecular diagnosis/LPA-EquipmentGTQ-Cycler 96</v>
      </c>
      <c r="Z25" t="s">
        <v>225</v>
      </c>
      <c r="AA25" t="s">
        <v>220</v>
      </c>
      <c r="AB25" t="s">
        <v>218</v>
      </c>
      <c r="AC25">
        <v>6.5</v>
      </c>
    </row>
    <row r="26" spans="11:31">
      <c r="S26" t="s">
        <v>1466</v>
      </c>
      <c r="T26" t="s">
        <v>1140</v>
      </c>
      <c r="U26" s="398">
        <v>6.6</v>
      </c>
      <c r="W26" t="str">
        <f t="shared" si="4"/>
        <v>Molecular diagnosis/LPA-Equipment[enter specifications manually]</v>
      </c>
      <c r="Z26" t="s">
        <v>1862</v>
      </c>
      <c r="AA26" t="s">
        <v>1245</v>
      </c>
      <c r="AB26" t="s">
        <v>201</v>
      </c>
      <c r="AC26">
        <v>6.6</v>
      </c>
    </row>
    <row r="27" spans="11:31">
      <c r="S27" t="s">
        <v>1467</v>
      </c>
      <c r="T27" t="s">
        <v>1140</v>
      </c>
      <c r="U27" s="398">
        <v>6.6</v>
      </c>
      <c r="W27" t="str">
        <f t="shared" si="4"/>
        <v>Molecular diagnosis/LPA-Equipment spare parts and accessories[enter specifications manually]</v>
      </c>
      <c r="Z27" t="s">
        <v>1210</v>
      </c>
      <c r="AA27" t="s">
        <v>1245</v>
      </c>
      <c r="AB27" t="s">
        <v>200</v>
      </c>
      <c r="AC27">
        <v>6.6</v>
      </c>
    </row>
    <row r="28" spans="11:31">
      <c r="W28" t="str">
        <f t="shared" si="4"/>
        <v>Laboratory Equipment-BACTEC MGIT 960 system[enter specifications manually]</v>
      </c>
      <c r="Z28" t="s">
        <v>1211</v>
      </c>
      <c r="AA28" t="s">
        <v>1861</v>
      </c>
      <c r="AB28" t="s">
        <v>218</v>
      </c>
      <c r="AC28">
        <v>6.5</v>
      </c>
    </row>
    <row r="29" spans="11:31">
      <c r="W29" t="str">
        <f t="shared" si="4"/>
        <v>Laboratory Equipment-BACTEC MGIT other system[enter specifications manually]</v>
      </c>
      <c r="Z29" t="s">
        <v>324</v>
      </c>
      <c r="AA29" t="s">
        <v>202</v>
      </c>
      <c r="AB29" t="s">
        <v>201</v>
      </c>
      <c r="AC29">
        <v>6.6</v>
      </c>
    </row>
    <row r="30" spans="11:31">
      <c r="Z30" t="s">
        <v>226</v>
      </c>
      <c r="AA30" t="s">
        <v>202</v>
      </c>
      <c r="AB30" t="s">
        <v>200</v>
      </c>
      <c r="AC30">
        <v>6.6</v>
      </c>
    </row>
    <row r="31" spans="11:31">
      <c r="Z31" t="s">
        <v>1791</v>
      </c>
      <c r="AA31" t="s">
        <v>202</v>
      </c>
      <c r="AB31" t="s">
        <v>218</v>
      </c>
      <c r="AC31">
        <v>6.5</v>
      </c>
    </row>
    <row r="32" spans="11:31">
      <c r="Z32" t="s">
        <v>328</v>
      </c>
      <c r="AA32" t="s">
        <v>222</v>
      </c>
      <c r="AB32" t="s">
        <v>218</v>
      </c>
      <c r="AC32">
        <v>6.5</v>
      </c>
    </row>
    <row r="33" spans="26:34">
      <c r="Z33" t="s">
        <v>329</v>
      </c>
      <c r="AA33" t="s">
        <v>1230</v>
      </c>
      <c r="AB33" t="s">
        <v>201</v>
      </c>
      <c r="AC33">
        <v>6.6</v>
      </c>
    </row>
    <row r="34" spans="26:34">
      <c r="Z34" t="s">
        <v>327</v>
      </c>
      <c r="AA34" t="s">
        <v>1230</v>
      </c>
      <c r="AB34" t="s">
        <v>200</v>
      </c>
      <c r="AC34">
        <v>6.6</v>
      </c>
    </row>
    <row r="35" spans="26:34">
      <c r="Z35" t="s">
        <v>317</v>
      </c>
      <c r="AA35" t="s">
        <v>1230</v>
      </c>
      <c r="AB35" t="s">
        <v>201</v>
      </c>
      <c r="AC35">
        <v>6.6</v>
      </c>
    </row>
    <row r="36" spans="26:34">
      <c r="Z36" t="s">
        <v>325</v>
      </c>
      <c r="AA36" t="s">
        <v>1230</v>
      </c>
      <c r="AB36" t="s">
        <v>200</v>
      </c>
      <c r="AC36">
        <v>6.6</v>
      </c>
    </row>
    <row r="37" spans="26:34">
      <c r="Z37" t="s">
        <v>1493</v>
      </c>
      <c r="AA37" t="s">
        <v>223</v>
      </c>
      <c r="AB37" t="s">
        <v>200</v>
      </c>
      <c r="AC37">
        <v>6.6</v>
      </c>
    </row>
    <row r="38" spans="26:34">
      <c r="Z38" t="s">
        <v>1221</v>
      </c>
      <c r="AA38" t="s">
        <v>223</v>
      </c>
      <c r="AB38" t="s">
        <v>218</v>
      </c>
      <c r="AC38">
        <v>6.5</v>
      </c>
      <c r="AE38" s="405" t="s">
        <v>1759</v>
      </c>
      <c r="AF38" s="405" t="s">
        <v>223</v>
      </c>
      <c r="AG38" s="405" t="s">
        <v>201</v>
      </c>
      <c r="AH38" s="405">
        <v>6.6</v>
      </c>
    </row>
    <row r="39" spans="26:34">
      <c r="Z39" t="s">
        <v>1494</v>
      </c>
      <c r="AA39" t="s">
        <v>224</v>
      </c>
      <c r="AB39" t="s">
        <v>201</v>
      </c>
      <c r="AC39">
        <v>6.6</v>
      </c>
    </row>
    <row r="40" spans="26:34">
      <c r="Z40" t="s">
        <v>1502</v>
      </c>
      <c r="AA40" t="s">
        <v>224</v>
      </c>
      <c r="AB40" t="s">
        <v>200</v>
      </c>
      <c r="AC40">
        <v>6.6</v>
      </c>
    </row>
    <row r="41" spans="26:34">
      <c r="Z41" t="s">
        <v>1243</v>
      </c>
      <c r="AA41" t="s">
        <v>224</v>
      </c>
      <c r="AB41" t="s">
        <v>218</v>
      </c>
      <c r="AC41">
        <v>6.5</v>
      </c>
    </row>
    <row r="42" spans="26:34">
      <c r="Z42" t="s">
        <v>1222</v>
      </c>
      <c r="AA42" t="s">
        <v>225</v>
      </c>
      <c r="AB42" t="s">
        <v>201</v>
      </c>
      <c r="AC42">
        <v>6.6</v>
      </c>
    </row>
    <row r="43" spans="26:34">
      <c r="Z43" t="s">
        <v>1223</v>
      </c>
      <c r="AA43" t="s">
        <v>225</v>
      </c>
      <c r="AB43" t="s">
        <v>200</v>
      </c>
      <c r="AC43">
        <v>6.6</v>
      </c>
    </row>
    <row r="44" spans="26:34">
      <c r="Z44" t="s">
        <v>1224</v>
      </c>
      <c r="AA44" t="s">
        <v>225</v>
      </c>
      <c r="AB44" t="s">
        <v>218</v>
      </c>
      <c r="AC44">
        <v>6.5</v>
      </c>
    </row>
    <row r="45" spans="26:34">
      <c r="Z45" t="s">
        <v>1225</v>
      </c>
      <c r="AA45" t="s">
        <v>1862</v>
      </c>
      <c r="AB45" t="s">
        <v>218</v>
      </c>
      <c r="AC45">
        <v>6.5</v>
      </c>
    </row>
    <row r="46" spans="26:34">
      <c r="Z46" t="s">
        <v>1227</v>
      </c>
      <c r="AA46" t="s">
        <v>1210</v>
      </c>
      <c r="AB46" t="s">
        <v>1140</v>
      </c>
      <c r="AC46">
        <v>6.6</v>
      </c>
    </row>
    <row r="47" spans="26:34">
      <c r="Z47" t="s">
        <v>1492</v>
      </c>
      <c r="AA47" t="s">
        <v>1211</v>
      </c>
      <c r="AB47" t="s">
        <v>1140</v>
      </c>
      <c r="AC47">
        <v>6.6</v>
      </c>
    </row>
    <row r="48" spans="26:34">
      <c r="Z48" t="s">
        <v>205</v>
      </c>
      <c r="AA48" t="s">
        <v>324</v>
      </c>
      <c r="AB48" t="s">
        <v>1140</v>
      </c>
      <c r="AC48">
        <v>6.5</v>
      </c>
    </row>
    <row r="49" spans="26:29">
      <c r="Z49" s="563" t="s">
        <v>1212</v>
      </c>
      <c r="AA49" t="s">
        <v>226</v>
      </c>
      <c r="AB49" t="s">
        <v>326</v>
      </c>
      <c r="AC49">
        <v>6.5</v>
      </c>
    </row>
    <row r="50" spans="26:29">
      <c r="Z50" s="563" t="s">
        <v>537</v>
      </c>
      <c r="AA50" t="s">
        <v>226</v>
      </c>
      <c r="AB50" t="s">
        <v>218</v>
      </c>
      <c r="AC50">
        <v>6.5</v>
      </c>
    </row>
    <row r="51" spans="26:29">
      <c r="Z51" s="563" t="s">
        <v>2354</v>
      </c>
      <c r="AA51" t="s">
        <v>1226</v>
      </c>
      <c r="AB51" t="s">
        <v>1140</v>
      </c>
      <c r="AC51">
        <v>6.6</v>
      </c>
    </row>
    <row r="52" spans="26:29">
      <c r="AA52" t="s">
        <v>328</v>
      </c>
      <c r="AB52" t="s">
        <v>1140</v>
      </c>
      <c r="AC52">
        <v>6.6</v>
      </c>
    </row>
    <row r="53" spans="26:29">
      <c r="AA53" t="s">
        <v>329</v>
      </c>
      <c r="AB53" t="s">
        <v>1140</v>
      </c>
      <c r="AC53">
        <v>6.5</v>
      </c>
    </row>
    <row r="54" spans="26:29">
      <c r="AA54" t="s">
        <v>327</v>
      </c>
      <c r="AB54" t="s">
        <v>1140</v>
      </c>
      <c r="AC54">
        <v>6.6</v>
      </c>
    </row>
    <row r="55" spans="26:29">
      <c r="AA55" t="s">
        <v>317</v>
      </c>
      <c r="AB55" t="s">
        <v>1140</v>
      </c>
      <c r="AC55">
        <v>6.5</v>
      </c>
    </row>
    <row r="56" spans="26:29">
      <c r="AA56" t="s">
        <v>325</v>
      </c>
      <c r="AB56" t="s">
        <v>1140</v>
      </c>
      <c r="AC56">
        <v>6.5</v>
      </c>
    </row>
    <row r="57" spans="26:29">
      <c r="AA57" t="s">
        <v>1229</v>
      </c>
      <c r="AB57" t="s">
        <v>1140</v>
      </c>
      <c r="AC57">
        <v>5.6</v>
      </c>
    </row>
    <row r="58" spans="26:29">
      <c r="AA58" t="s">
        <v>1212</v>
      </c>
      <c r="AB58" t="s">
        <v>1140</v>
      </c>
      <c r="AC58">
        <v>6.6</v>
      </c>
    </row>
    <row r="59" spans="26:29">
      <c r="AA59" t="s">
        <v>1213</v>
      </c>
      <c r="AB59" t="s">
        <v>1140</v>
      </c>
      <c r="AC59">
        <v>6.6</v>
      </c>
    </row>
    <row r="60" spans="26:29">
      <c r="AA60" t="s">
        <v>1493</v>
      </c>
      <c r="AB60" t="s">
        <v>218</v>
      </c>
      <c r="AC60">
        <v>6.5</v>
      </c>
    </row>
    <row r="61" spans="26:29">
      <c r="AA61" t="s">
        <v>1493</v>
      </c>
      <c r="AB61" t="s">
        <v>201</v>
      </c>
      <c r="AC61">
        <v>6.6</v>
      </c>
    </row>
    <row r="62" spans="26:29">
      <c r="AA62" t="s">
        <v>1493</v>
      </c>
      <c r="AB62" t="s">
        <v>200</v>
      </c>
      <c r="AC62">
        <v>6.6</v>
      </c>
    </row>
    <row r="63" spans="26:29">
      <c r="AA63" t="s">
        <v>1221</v>
      </c>
      <c r="AB63" t="s">
        <v>1140</v>
      </c>
      <c r="AC63">
        <v>6.6</v>
      </c>
    </row>
    <row r="64" spans="26:29">
      <c r="AA64" t="s">
        <v>1494</v>
      </c>
      <c r="AB64" t="s">
        <v>1495</v>
      </c>
      <c r="AC64">
        <v>6.6</v>
      </c>
    </row>
    <row r="65" spans="27:29">
      <c r="AA65" t="s">
        <v>1494</v>
      </c>
      <c r="AB65" t="s">
        <v>1496</v>
      </c>
      <c r="AC65">
        <v>6.6</v>
      </c>
    </row>
    <row r="66" spans="27:29">
      <c r="AA66" t="s">
        <v>1494</v>
      </c>
      <c r="AB66" t="s">
        <v>1497</v>
      </c>
      <c r="AC66">
        <v>6.6</v>
      </c>
    </row>
    <row r="67" spans="27:29">
      <c r="AA67" t="s">
        <v>1494</v>
      </c>
      <c r="AB67" t="s">
        <v>1498</v>
      </c>
      <c r="AC67">
        <v>6.6</v>
      </c>
    </row>
    <row r="68" spans="27:29">
      <c r="AA68" t="s">
        <v>1494</v>
      </c>
      <c r="AB68" t="s">
        <v>1499</v>
      </c>
      <c r="AC68">
        <v>6.6</v>
      </c>
    </row>
    <row r="69" spans="27:29">
      <c r="AA69" t="s">
        <v>1494</v>
      </c>
      <c r="AB69" t="s">
        <v>1500</v>
      </c>
      <c r="AC69">
        <v>6.6</v>
      </c>
    </row>
    <row r="70" spans="27:29">
      <c r="AA70" t="s">
        <v>1494</v>
      </c>
      <c r="AB70" t="s">
        <v>1501</v>
      </c>
      <c r="AC70">
        <v>6.6</v>
      </c>
    </row>
    <row r="71" spans="27:29">
      <c r="AA71" t="s">
        <v>1494</v>
      </c>
      <c r="AB71" t="s">
        <v>218</v>
      </c>
      <c r="AC71">
        <v>6.5</v>
      </c>
    </row>
    <row r="72" spans="27:29">
      <c r="AA72" t="s">
        <v>1494</v>
      </c>
      <c r="AB72" t="s">
        <v>201</v>
      </c>
      <c r="AC72">
        <v>6.6</v>
      </c>
    </row>
    <row r="73" spans="27:29">
      <c r="AA73" t="s">
        <v>1494</v>
      </c>
      <c r="AB73" t="s">
        <v>200</v>
      </c>
      <c r="AC73">
        <v>6.6</v>
      </c>
    </row>
    <row r="74" spans="27:29">
      <c r="AA74" t="s">
        <v>1502</v>
      </c>
      <c r="AB74" t="s">
        <v>218</v>
      </c>
      <c r="AC74">
        <v>6.5</v>
      </c>
    </row>
    <row r="75" spans="27:29">
      <c r="AA75" t="s">
        <v>1502</v>
      </c>
      <c r="AB75" t="s">
        <v>201</v>
      </c>
      <c r="AC75">
        <v>6.6</v>
      </c>
    </row>
    <row r="76" spans="27:29">
      <c r="AA76" t="s">
        <v>1502</v>
      </c>
      <c r="AB76" t="s">
        <v>200</v>
      </c>
      <c r="AC76">
        <v>6.6</v>
      </c>
    </row>
    <row r="77" spans="27:29">
      <c r="AA77" t="s">
        <v>1243</v>
      </c>
      <c r="AB77" t="s">
        <v>1140</v>
      </c>
      <c r="AC77">
        <v>5.6</v>
      </c>
    </row>
    <row r="78" spans="27:29">
      <c r="AA78" t="s">
        <v>1222</v>
      </c>
      <c r="AB78" t="s">
        <v>1140</v>
      </c>
      <c r="AC78">
        <v>5.6</v>
      </c>
    </row>
    <row r="79" spans="27:29">
      <c r="AA79" t="s">
        <v>1223</v>
      </c>
      <c r="AB79" t="s">
        <v>1140</v>
      </c>
      <c r="AC79">
        <v>5.6</v>
      </c>
    </row>
    <row r="80" spans="27:29">
      <c r="AA80" t="s">
        <v>1224</v>
      </c>
      <c r="AB80" t="s">
        <v>1140</v>
      </c>
      <c r="AC80">
        <v>5.6</v>
      </c>
    </row>
    <row r="81" spans="27:29">
      <c r="AA81" t="s">
        <v>1225</v>
      </c>
      <c r="AB81" t="s">
        <v>1140</v>
      </c>
      <c r="AC81">
        <v>5.6</v>
      </c>
    </row>
    <row r="82" spans="27:29">
      <c r="AA82" t="s">
        <v>1227</v>
      </c>
      <c r="AB82" t="s">
        <v>1140</v>
      </c>
      <c r="AC82">
        <v>5.6</v>
      </c>
    </row>
    <row r="83" spans="27:29">
      <c r="AA83" t="s">
        <v>1492</v>
      </c>
      <c r="AB83" t="s">
        <v>1140</v>
      </c>
      <c r="AC83">
        <v>5.6</v>
      </c>
    </row>
    <row r="84" spans="27:29">
      <c r="AA84" t="s">
        <v>205</v>
      </c>
      <c r="AB84" t="s">
        <v>825</v>
      </c>
      <c r="AC84">
        <v>5.4</v>
      </c>
    </row>
    <row r="85" spans="27:29">
      <c r="AA85" t="s">
        <v>205</v>
      </c>
      <c r="AB85" t="s">
        <v>1506</v>
      </c>
      <c r="AC85">
        <v>5.4</v>
      </c>
    </row>
    <row r="86" spans="27:29">
      <c r="AA86" t="s">
        <v>205</v>
      </c>
      <c r="AB86" t="s">
        <v>1507</v>
      </c>
      <c r="AC86">
        <v>5.4</v>
      </c>
    </row>
    <row r="87" spans="27:29">
      <c r="AA87" t="s">
        <v>205</v>
      </c>
      <c r="AB87" t="s">
        <v>826</v>
      </c>
      <c r="AC87">
        <v>5.4</v>
      </c>
    </row>
    <row r="88" spans="27:29">
      <c r="AA88" t="s">
        <v>205</v>
      </c>
      <c r="AB88" t="s">
        <v>1508</v>
      </c>
      <c r="AC88">
        <v>5.4</v>
      </c>
    </row>
    <row r="89" spans="27:29">
      <c r="AA89" t="s">
        <v>205</v>
      </c>
      <c r="AB89" t="s">
        <v>1509</v>
      </c>
      <c r="AC89">
        <v>5.4</v>
      </c>
    </row>
    <row r="90" spans="27:29">
      <c r="AA90" t="s">
        <v>205</v>
      </c>
      <c r="AB90" t="s">
        <v>1510</v>
      </c>
      <c r="AC90">
        <v>5.4</v>
      </c>
    </row>
    <row r="91" spans="27:29">
      <c r="AA91" t="s">
        <v>205</v>
      </c>
      <c r="AB91" t="s">
        <v>1511</v>
      </c>
      <c r="AC91">
        <v>5.4</v>
      </c>
    </row>
    <row r="92" spans="27:29">
      <c r="AA92" t="s">
        <v>205</v>
      </c>
      <c r="AB92" t="s">
        <v>1512</v>
      </c>
      <c r="AC92">
        <v>5.4</v>
      </c>
    </row>
    <row r="93" spans="27:29">
      <c r="AA93" t="s">
        <v>205</v>
      </c>
      <c r="AB93" t="s">
        <v>1513</v>
      </c>
      <c r="AC93">
        <v>5.4</v>
      </c>
    </row>
    <row r="94" spans="27:29">
      <c r="AA94" t="s">
        <v>205</v>
      </c>
      <c r="AB94" t="s">
        <v>1514</v>
      </c>
      <c r="AC94">
        <v>5.4</v>
      </c>
    </row>
    <row r="95" spans="27:29">
      <c r="AA95" t="s">
        <v>205</v>
      </c>
      <c r="AB95" t="s">
        <v>1515</v>
      </c>
      <c r="AC95">
        <v>5.4</v>
      </c>
    </row>
    <row r="96" spans="27:29">
      <c r="AA96" t="s">
        <v>205</v>
      </c>
      <c r="AB96" t="s">
        <v>827</v>
      </c>
      <c r="AC96">
        <v>5.4</v>
      </c>
    </row>
    <row r="97" spans="27:29">
      <c r="AA97" t="s">
        <v>205</v>
      </c>
      <c r="AB97" t="s">
        <v>1516</v>
      </c>
      <c r="AC97">
        <v>5.4</v>
      </c>
    </row>
    <row r="98" spans="27:29">
      <c r="AA98" t="s">
        <v>205</v>
      </c>
      <c r="AB98" t="s">
        <v>1517</v>
      </c>
      <c r="AC98">
        <v>5.4</v>
      </c>
    </row>
    <row r="99" spans="27:29">
      <c r="AA99" t="s">
        <v>205</v>
      </c>
      <c r="AB99" t="s">
        <v>1518</v>
      </c>
      <c r="AC99">
        <v>5.4</v>
      </c>
    </row>
    <row r="100" spans="27:29">
      <c r="AA100" t="s">
        <v>205</v>
      </c>
      <c r="AB100" t="s">
        <v>828</v>
      </c>
      <c r="AC100">
        <v>5.4</v>
      </c>
    </row>
    <row r="101" spans="27:29">
      <c r="AA101" t="s">
        <v>205</v>
      </c>
      <c r="AB101" t="s">
        <v>829</v>
      </c>
      <c r="AC101">
        <v>5.4</v>
      </c>
    </row>
    <row r="102" spans="27:29">
      <c r="AA102" t="s">
        <v>205</v>
      </c>
      <c r="AB102" t="s">
        <v>1504</v>
      </c>
      <c r="AC102">
        <v>5.4</v>
      </c>
    </row>
    <row r="103" spans="27:29">
      <c r="AA103" t="s">
        <v>205</v>
      </c>
      <c r="AB103" t="s">
        <v>1519</v>
      </c>
      <c r="AC103">
        <v>5.4</v>
      </c>
    </row>
    <row r="104" spans="27:29">
      <c r="AA104" t="s">
        <v>205</v>
      </c>
      <c r="AB104" t="s">
        <v>1520</v>
      </c>
      <c r="AC104">
        <v>5.4</v>
      </c>
    </row>
    <row r="105" spans="27:29">
      <c r="AA105" t="s">
        <v>205</v>
      </c>
      <c r="AB105" t="s">
        <v>1505</v>
      </c>
      <c r="AC105">
        <v>5.4</v>
      </c>
    </row>
    <row r="106" spans="27:29">
      <c r="AA106" t="s">
        <v>205</v>
      </c>
      <c r="AB106" t="s">
        <v>1521</v>
      </c>
      <c r="AC106">
        <v>5.4</v>
      </c>
    </row>
    <row r="107" spans="27:29">
      <c r="AA107" t="s">
        <v>205</v>
      </c>
      <c r="AB107" t="s">
        <v>1522</v>
      </c>
      <c r="AC107">
        <v>5.4</v>
      </c>
    </row>
    <row r="108" spans="27:29">
      <c r="AA108" t="s">
        <v>205</v>
      </c>
      <c r="AB108" t="s">
        <v>1523</v>
      </c>
      <c r="AC108">
        <v>5.4</v>
      </c>
    </row>
    <row r="109" spans="27:29">
      <c r="AA109" t="s">
        <v>205</v>
      </c>
      <c r="AB109" t="s">
        <v>1524</v>
      </c>
      <c r="AC109">
        <v>5.4</v>
      </c>
    </row>
    <row r="110" spans="27:29">
      <c r="AA110" t="s">
        <v>205</v>
      </c>
      <c r="AB110" t="s">
        <v>1525</v>
      </c>
      <c r="AC110">
        <v>5.4</v>
      </c>
    </row>
    <row r="111" spans="27:29">
      <c r="AA111" t="s">
        <v>205</v>
      </c>
      <c r="AB111" t="s">
        <v>1526</v>
      </c>
      <c r="AC111">
        <v>5.4</v>
      </c>
    </row>
    <row r="112" spans="27:29">
      <c r="AA112" t="s">
        <v>205</v>
      </c>
      <c r="AB112" t="s">
        <v>831</v>
      </c>
      <c r="AC112">
        <v>5.4</v>
      </c>
    </row>
    <row r="113" spans="27:29">
      <c r="AA113" t="s">
        <v>205</v>
      </c>
      <c r="AB113" t="s">
        <v>830</v>
      </c>
      <c r="AC113">
        <v>5.4</v>
      </c>
    </row>
    <row r="114" spans="27:29">
      <c r="AA114" t="s">
        <v>205</v>
      </c>
      <c r="AB114" t="s">
        <v>1527</v>
      </c>
      <c r="AC114">
        <v>5.4</v>
      </c>
    </row>
    <row r="115" spans="27:29">
      <c r="AA115" t="s">
        <v>205</v>
      </c>
      <c r="AB115" t="s">
        <v>1140</v>
      </c>
      <c r="AC115">
        <v>5.4</v>
      </c>
    </row>
  </sheetData>
  <sheetProtection password="9C4D" sheet="1" objects="1" scenarios="1" formatColumns="0" formatRows="0" autoFilter="0"/>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CC00"/>
  </sheetPr>
  <dimension ref="A1:R78"/>
  <sheetViews>
    <sheetView showGridLines="0" zoomScale="98" zoomScaleNormal="98" workbookViewId="0">
      <selection activeCell="A7" sqref="A7:J7"/>
    </sheetView>
  </sheetViews>
  <sheetFormatPr defaultColWidth="9.08984375" defaultRowHeight="14.5"/>
  <cols>
    <col min="1" max="1" width="9.08984375" style="78"/>
    <col min="2" max="3" width="18.36328125" style="78" customWidth="1"/>
    <col min="4" max="4" width="25.36328125" style="78" customWidth="1"/>
    <col min="5" max="5" width="18.6328125" style="78" customWidth="1"/>
    <col min="6" max="6" width="15" style="78" customWidth="1"/>
    <col min="7" max="7" width="18.7265625" style="78" customWidth="1"/>
    <col min="8" max="8" width="16" style="78" customWidth="1"/>
    <col min="9" max="9" width="18.81640625" style="78" customWidth="1"/>
    <col min="10" max="10" width="14.36328125" style="78" customWidth="1"/>
    <col min="11" max="11" width="19" style="78" customWidth="1"/>
    <col min="12" max="15" width="9.36328125" style="78" customWidth="1"/>
    <col min="16" max="17" width="12.36328125" style="78" customWidth="1"/>
    <col min="18" max="16384" width="9.08984375" style="78"/>
  </cols>
  <sheetData>
    <row r="1" spans="1:18" ht="24" customHeight="1" thickBot="1">
      <c r="A1" s="2633" t="s">
        <v>7638</v>
      </c>
      <c r="B1" s="2634"/>
      <c r="C1" s="2634"/>
      <c r="D1" s="2634"/>
      <c r="E1" s="2634"/>
      <c r="F1" s="2634"/>
      <c r="G1" s="2634"/>
      <c r="H1" s="2634"/>
      <c r="I1" s="2634"/>
      <c r="J1" s="2634"/>
      <c r="K1" s="2635"/>
      <c r="M1" s="2646"/>
      <c r="N1" s="2647"/>
      <c r="O1" s="2630" t="s">
        <v>332</v>
      </c>
      <c r="P1" s="2630"/>
      <c r="Q1" s="2644" t="s">
        <v>333</v>
      </c>
      <c r="R1" s="2644"/>
    </row>
    <row r="2" spans="1:18" ht="15" thickBot="1">
      <c r="A2" s="174"/>
      <c r="B2" s="174"/>
      <c r="C2" s="174"/>
      <c r="D2" s="174"/>
      <c r="E2" s="174"/>
      <c r="F2" s="174"/>
      <c r="G2" s="174"/>
      <c r="H2" s="174"/>
      <c r="I2" s="174"/>
      <c r="J2" s="271"/>
      <c r="K2" s="272"/>
      <c r="L2" s="1714"/>
      <c r="M2" s="2648"/>
      <c r="N2" s="2649"/>
      <c r="O2" s="2631"/>
      <c r="P2" s="2631"/>
      <c r="Q2" s="2645"/>
      <c r="R2" s="2645"/>
    </row>
    <row r="3" spans="1:18" ht="15" customHeight="1" thickBot="1">
      <c r="A3" s="273"/>
      <c r="B3" s="2654" t="s">
        <v>0</v>
      </c>
      <c r="C3" s="2664">
        <f>SETUP!$E$3</f>
        <v>0</v>
      </c>
      <c r="D3" s="2664"/>
      <c r="E3" s="2664"/>
      <c r="F3" s="274"/>
      <c r="G3" s="2640" t="s">
        <v>1</v>
      </c>
      <c r="H3" s="2641"/>
      <c r="I3" s="2636">
        <f>SETUP!$G$13</f>
        <v>0</v>
      </c>
      <c r="J3" s="2636"/>
      <c r="K3" s="2637"/>
      <c r="L3" s="187"/>
      <c r="M3" s="91"/>
      <c r="N3" s="91"/>
      <c r="O3" s="91"/>
      <c r="P3" s="91"/>
      <c r="Q3" s="91"/>
      <c r="R3" s="91"/>
    </row>
    <row r="4" spans="1:18" ht="15.75" customHeight="1">
      <c r="A4" s="275"/>
      <c r="B4" s="2655"/>
      <c r="C4" s="2665"/>
      <c r="D4" s="2665"/>
      <c r="E4" s="2665"/>
      <c r="F4" s="276"/>
      <c r="G4" s="2642"/>
      <c r="H4" s="2643"/>
      <c r="I4" s="2638"/>
      <c r="J4" s="2638"/>
      <c r="K4" s="2639"/>
      <c r="L4" s="185"/>
      <c r="M4" s="350"/>
      <c r="N4" s="185"/>
      <c r="O4" s="71"/>
      <c r="P4" s="71"/>
      <c r="Q4" s="71"/>
      <c r="R4" s="71"/>
    </row>
    <row r="5" spans="1:18">
      <c r="A5" s="275"/>
      <c r="B5" s="2650" t="s">
        <v>2</v>
      </c>
      <c r="C5" s="2652" t="str">
        <f>SETUP!$E$6</f>
        <v>HIV</v>
      </c>
      <c r="D5" s="2652"/>
      <c r="E5" s="2652"/>
      <c r="F5" s="277"/>
      <c r="G5" s="2660" t="s">
        <v>3</v>
      </c>
      <c r="H5" s="2661"/>
      <c r="I5" s="2656">
        <f>SETUP!E7</f>
        <v>0</v>
      </c>
      <c r="J5" s="2656"/>
      <c r="K5" s="2657"/>
      <c r="L5" s="185"/>
      <c r="M5" s="71"/>
      <c r="N5" s="71"/>
      <c r="O5" s="71"/>
      <c r="P5" s="71"/>
      <c r="Q5" s="71"/>
      <c r="R5" s="71"/>
    </row>
    <row r="6" spans="1:18" ht="15.5" thickTop="1" thickBot="1">
      <c r="A6" s="278"/>
      <c r="B6" s="2651"/>
      <c r="C6" s="2653"/>
      <c r="D6" s="2653"/>
      <c r="E6" s="2653"/>
      <c r="F6" s="279"/>
      <c r="G6" s="2662"/>
      <c r="H6" s="2663"/>
      <c r="I6" s="2658"/>
      <c r="J6" s="2658"/>
      <c r="K6" s="2659"/>
      <c r="L6" s="185"/>
      <c r="M6" s="71"/>
      <c r="N6" s="71"/>
      <c r="O6" s="71"/>
      <c r="P6" s="71"/>
      <c r="Q6" s="71"/>
      <c r="R6" s="71"/>
    </row>
    <row r="7" spans="1:18" ht="105.75" customHeight="1">
      <c r="A7" s="2623" t="s">
        <v>7523</v>
      </c>
      <c r="B7" s="2624"/>
      <c r="C7" s="2624"/>
      <c r="D7" s="2624"/>
      <c r="E7" s="2624"/>
      <c r="F7" s="2624"/>
      <c r="G7" s="2624"/>
      <c r="H7" s="2624"/>
      <c r="I7" s="2624"/>
      <c r="J7" s="2624"/>
      <c r="K7" s="2625"/>
      <c r="L7" s="79"/>
      <c r="M7" s="79"/>
      <c r="N7" s="185"/>
    </row>
    <row r="8" spans="1:18">
      <c r="A8" s="280"/>
      <c r="B8" s="280"/>
      <c r="C8" s="280"/>
      <c r="D8" s="280"/>
      <c r="E8" s="280"/>
      <c r="F8" s="280"/>
      <c r="G8" s="280"/>
      <c r="H8" s="280"/>
      <c r="I8" s="280"/>
      <c r="J8" s="281"/>
      <c r="K8" s="79"/>
      <c r="L8" s="184"/>
      <c r="M8" s="184"/>
      <c r="N8" s="184"/>
      <c r="O8" s="184"/>
      <c r="Q8" s="184"/>
      <c r="R8" s="602"/>
    </row>
    <row r="9" spans="1:18" s="701" customFormat="1">
      <c r="A9" s="473"/>
      <c r="B9" s="2607" t="s">
        <v>334</v>
      </c>
      <c r="C9" s="2607"/>
      <c r="D9" s="2607"/>
      <c r="E9" s="2607"/>
      <c r="F9" s="2607"/>
      <c r="G9" s="2607"/>
      <c r="H9" s="2607"/>
      <c r="I9" s="2607"/>
      <c r="J9" s="2607"/>
      <c r="K9" s="2607"/>
      <c r="L9" s="2607"/>
      <c r="M9" s="2607"/>
      <c r="N9" s="2607"/>
      <c r="O9" s="2607"/>
      <c r="P9" s="2607"/>
      <c r="Q9" s="2607"/>
    </row>
    <row r="10" spans="1:18" s="701" customFormat="1" ht="15" thickBot="1">
      <c r="A10" s="473"/>
      <c r="B10" s="2607"/>
      <c r="C10" s="2607"/>
      <c r="D10" s="2607"/>
      <c r="E10" s="2607"/>
      <c r="F10" s="2607"/>
      <c r="G10" s="2607"/>
      <c r="H10" s="2607"/>
      <c r="I10" s="2607"/>
      <c r="J10" s="2607"/>
      <c r="K10" s="2607"/>
      <c r="L10" s="2607"/>
      <c r="M10" s="2607"/>
      <c r="N10" s="2607"/>
      <c r="O10" s="2607"/>
      <c r="P10" s="2607"/>
      <c r="Q10" s="2607"/>
    </row>
    <row r="11" spans="1:18" s="701" customFormat="1" ht="15" customHeight="1">
      <c r="A11" s="473"/>
      <c r="B11" s="2666"/>
      <c r="C11" s="2667"/>
      <c r="D11" s="2667"/>
      <c r="E11" s="820"/>
      <c r="F11" s="2584" t="s">
        <v>69</v>
      </c>
      <c r="G11" s="2584"/>
      <c r="H11" s="2584" t="s">
        <v>70</v>
      </c>
      <c r="I11" s="2584"/>
      <c r="J11" s="2584" t="s">
        <v>71</v>
      </c>
      <c r="K11" s="2584"/>
      <c r="L11" s="2588" t="s">
        <v>335</v>
      </c>
      <c r="M11" s="2588" t="s">
        <v>336</v>
      </c>
      <c r="N11" s="2588" t="s">
        <v>337</v>
      </c>
      <c r="O11" s="2588" t="s">
        <v>338</v>
      </c>
      <c r="P11" s="2584" t="s">
        <v>72</v>
      </c>
      <c r="Q11" s="2585"/>
    </row>
    <row r="12" spans="1:18" s="701" customFormat="1">
      <c r="A12" s="473"/>
      <c r="B12" s="2668"/>
      <c r="C12" s="2053"/>
      <c r="D12" s="2053"/>
      <c r="E12" s="804"/>
      <c r="F12" s="2581" t="str">
        <f>IF(ISBLANK(IMP_ST_DATE),"Please fill setup",IF(MO_CHECK&gt;3,"Y1",YEAR(IMP_ST_DATE)))</f>
        <v>Please fill setup</v>
      </c>
      <c r="G12" s="2581"/>
      <c r="H12" s="2581" t="str">
        <f>IF(F12="Y1","Y2",IF(ISBLANK(IMP_ST_DATE),"Please fill setup",YEAR(IMP_ST_DATE)+1))</f>
        <v>Please fill setup</v>
      </c>
      <c r="I12" s="2581"/>
      <c r="J12" s="2581" t="str">
        <f>IF(F12="Y1","Y3",IF(ISBLANK(IMP_ST_DATE),"Please fill setup",YEAR(IMP_ST_DATE)+2))</f>
        <v>Please fill setup</v>
      </c>
      <c r="K12" s="2581"/>
      <c r="L12" s="2589"/>
      <c r="M12" s="2589"/>
      <c r="N12" s="2589"/>
      <c r="O12" s="2589"/>
      <c r="P12" s="2581"/>
      <c r="Q12" s="2582"/>
    </row>
    <row r="13" spans="1:18" s="701" customFormat="1" ht="29.5" thickBot="1">
      <c r="A13" s="473"/>
      <c r="B13" s="821"/>
      <c r="C13" s="822"/>
      <c r="D13" s="822"/>
      <c r="E13" s="823"/>
      <c r="F13" s="824" t="s">
        <v>7573</v>
      </c>
      <c r="G13" s="1660" t="s">
        <v>7574</v>
      </c>
      <c r="H13" s="824" t="s">
        <v>7573</v>
      </c>
      <c r="I13" s="1660" t="s">
        <v>7574</v>
      </c>
      <c r="J13" s="824" t="s">
        <v>7573</v>
      </c>
      <c r="K13" s="1660" t="s">
        <v>7574</v>
      </c>
      <c r="L13" s="2632"/>
      <c r="M13" s="2632"/>
      <c r="N13" s="2632"/>
      <c r="O13" s="2632"/>
      <c r="P13" s="825"/>
      <c r="Q13" s="826"/>
    </row>
    <row r="14" spans="1:18" s="701" customFormat="1">
      <c r="A14" s="473"/>
      <c r="B14" s="2610" t="s">
        <v>339</v>
      </c>
      <c r="C14" s="2611"/>
      <c r="D14" s="2611"/>
      <c r="E14" s="2611"/>
      <c r="F14" s="1446">
        <f>SUM(F15,F18)</f>
        <v>0</v>
      </c>
      <c r="G14" s="1446">
        <f t="shared" ref="G14:K14" si="0">SUM(G15,G18)</f>
        <v>0</v>
      </c>
      <c r="H14" s="1446">
        <f t="shared" si="0"/>
        <v>0</v>
      </c>
      <c r="I14" s="1446">
        <f t="shared" si="0"/>
        <v>0</v>
      </c>
      <c r="J14" s="1446">
        <f t="shared" si="0"/>
        <v>0</v>
      </c>
      <c r="K14" s="1446">
        <f t="shared" si="0"/>
        <v>0</v>
      </c>
      <c r="L14" s="885"/>
      <c r="M14" s="885"/>
      <c r="N14" s="885"/>
      <c r="O14" s="885"/>
      <c r="P14" s="2600"/>
      <c r="Q14" s="2601"/>
    </row>
    <row r="15" spans="1:18" s="701" customFormat="1">
      <c r="A15" s="473"/>
      <c r="B15" s="2669" t="s">
        <v>340</v>
      </c>
      <c r="C15" s="2670"/>
      <c r="D15" s="2670"/>
      <c r="E15" s="2670"/>
      <c r="F15" s="1447">
        <f>SUM(F16:F17)</f>
        <v>0</v>
      </c>
      <c r="G15" s="1447">
        <f>SUM(G16:G17)</f>
        <v>0</v>
      </c>
      <c r="H15" s="1447">
        <f t="shared" ref="H15:K15" si="1">SUM(H16:H17)</f>
        <v>0</v>
      </c>
      <c r="I15" s="1447">
        <f t="shared" si="1"/>
        <v>0</v>
      </c>
      <c r="J15" s="1447">
        <f t="shared" si="1"/>
        <v>0</v>
      </c>
      <c r="K15" s="1447">
        <f t="shared" si="1"/>
        <v>0</v>
      </c>
      <c r="L15" s="886"/>
      <c r="M15" s="886"/>
      <c r="N15" s="886"/>
      <c r="O15" s="886"/>
      <c r="P15" s="2038"/>
      <c r="Q15" s="2602"/>
    </row>
    <row r="16" spans="1:18" s="701" customFormat="1">
      <c r="A16" s="473"/>
      <c r="B16" s="2671" t="s">
        <v>341</v>
      </c>
      <c r="C16" s="2672"/>
      <c r="D16" s="2672"/>
      <c r="E16" s="2672"/>
      <c r="F16" s="887"/>
      <c r="G16" s="887"/>
      <c r="H16" s="887"/>
      <c r="I16" s="887"/>
      <c r="J16" s="887"/>
      <c r="K16" s="887"/>
      <c r="L16" s="885"/>
      <c r="M16" s="885"/>
      <c r="N16" s="885"/>
      <c r="O16" s="885"/>
      <c r="P16" s="2600"/>
      <c r="Q16" s="2601"/>
    </row>
    <row r="17" spans="1:17" s="701" customFormat="1">
      <c r="A17" s="473"/>
      <c r="B17" s="2627" t="s">
        <v>342</v>
      </c>
      <c r="C17" s="2628"/>
      <c r="D17" s="2628"/>
      <c r="E17" s="2628"/>
      <c r="F17" s="835"/>
      <c r="G17" s="835"/>
      <c r="H17" s="835"/>
      <c r="I17" s="835"/>
      <c r="J17" s="835"/>
      <c r="K17" s="835"/>
      <c r="L17" s="886"/>
      <c r="M17" s="886"/>
      <c r="N17" s="886"/>
      <c r="O17" s="886"/>
      <c r="P17" s="2038"/>
      <c r="Q17" s="2602"/>
    </row>
    <row r="18" spans="1:17" s="701" customFormat="1">
      <c r="A18" s="473"/>
      <c r="B18" s="2673" t="s">
        <v>343</v>
      </c>
      <c r="C18" s="2674"/>
      <c r="D18" s="2674"/>
      <c r="E18" s="2674"/>
      <c r="F18" s="1446">
        <f>SUM(F19,F23)</f>
        <v>0</v>
      </c>
      <c r="G18" s="1446">
        <f t="shared" ref="G18:K18" si="2">SUM(G19,G23)</f>
        <v>0</v>
      </c>
      <c r="H18" s="1446">
        <f t="shared" si="2"/>
        <v>0</v>
      </c>
      <c r="I18" s="1446">
        <f t="shared" si="2"/>
        <v>0</v>
      </c>
      <c r="J18" s="1446">
        <f t="shared" si="2"/>
        <v>0</v>
      </c>
      <c r="K18" s="1446">
        <f t="shared" si="2"/>
        <v>0</v>
      </c>
      <c r="L18" s="885"/>
      <c r="M18" s="885"/>
      <c r="N18" s="885"/>
      <c r="O18" s="885"/>
      <c r="P18" s="2600"/>
      <c r="Q18" s="2601"/>
    </row>
    <row r="19" spans="1:17" s="701" customFormat="1">
      <c r="A19" s="473"/>
      <c r="B19" s="2627" t="s">
        <v>344</v>
      </c>
      <c r="C19" s="2628"/>
      <c r="D19" s="2628"/>
      <c r="E19" s="2628"/>
      <c r="F19" s="1447">
        <f t="shared" ref="F19:K19" si="3">SUM(F20:F22)</f>
        <v>0</v>
      </c>
      <c r="G19" s="1447">
        <f t="shared" si="3"/>
        <v>0</v>
      </c>
      <c r="H19" s="1447">
        <f t="shared" si="3"/>
        <v>0</v>
      </c>
      <c r="I19" s="1447">
        <f t="shared" si="3"/>
        <v>0</v>
      </c>
      <c r="J19" s="1447">
        <f t="shared" si="3"/>
        <v>0</v>
      </c>
      <c r="K19" s="1447">
        <f t="shared" si="3"/>
        <v>0</v>
      </c>
      <c r="L19" s="886"/>
      <c r="M19" s="886"/>
      <c r="N19" s="886"/>
      <c r="O19" s="886"/>
      <c r="P19" s="2038"/>
      <c r="Q19" s="2602"/>
    </row>
    <row r="20" spans="1:17" s="701" customFormat="1">
      <c r="A20" s="473"/>
      <c r="B20" s="2605" t="s">
        <v>345</v>
      </c>
      <c r="C20" s="2606"/>
      <c r="D20" s="2606"/>
      <c r="E20" s="2606"/>
      <c r="F20" s="887"/>
      <c r="G20" s="887"/>
      <c r="H20" s="887"/>
      <c r="I20" s="887"/>
      <c r="J20" s="887"/>
      <c r="K20" s="887"/>
      <c r="L20" s="885"/>
      <c r="M20" s="885"/>
      <c r="N20" s="885"/>
      <c r="O20" s="885"/>
      <c r="P20" s="2600"/>
      <c r="Q20" s="2601"/>
    </row>
    <row r="21" spans="1:17" s="701" customFormat="1">
      <c r="A21" s="473"/>
      <c r="B21" s="2603" t="s">
        <v>346</v>
      </c>
      <c r="C21" s="2604"/>
      <c r="D21" s="2604"/>
      <c r="E21" s="2604"/>
      <c r="F21" s="835"/>
      <c r="G21" s="835"/>
      <c r="H21" s="835"/>
      <c r="I21" s="835"/>
      <c r="J21" s="835"/>
      <c r="K21" s="835"/>
      <c r="L21" s="886"/>
      <c r="M21" s="886"/>
      <c r="N21" s="886"/>
      <c r="O21" s="886"/>
      <c r="P21" s="2038"/>
      <c r="Q21" s="2602"/>
    </row>
    <row r="22" spans="1:17" s="701" customFormat="1">
      <c r="A22" s="473"/>
      <c r="B22" s="2605" t="s">
        <v>347</v>
      </c>
      <c r="C22" s="2606"/>
      <c r="D22" s="2606"/>
      <c r="E22" s="2606"/>
      <c r="F22" s="887"/>
      <c r="G22" s="887"/>
      <c r="H22" s="887"/>
      <c r="I22" s="887"/>
      <c r="J22" s="887"/>
      <c r="K22" s="887"/>
      <c r="L22" s="885"/>
      <c r="M22" s="885"/>
      <c r="N22" s="885"/>
      <c r="O22" s="885"/>
      <c r="P22" s="2600"/>
      <c r="Q22" s="2601"/>
    </row>
    <row r="23" spans="1:17" s="701" customFormat="1" ht="15" thickBot="1">
      <c r="A23" s="473"/>
      <c r="B23" s="2627" t="s">
        <v>348</v>
      </c>
      <c r="C23" s="2628"/>
      <c r="D23" s="2628"/>
      <c r="E23" s="2628"/>
      <c r="F23" s="835"/>
      <c r="G23" s="835"/>
      <c r="H23" s="835"/>
      <c r="I23" s="835"/>
      <c r="J23" s="835"/>
      <c r="K23" s="835"/>
      <c r="L23" s="886"/>
      <c r="M23" s="886"/>
      <c r="N23" s="886"/>
      <c r="O23" s="886"/>
      <c r="P23" s="2038"/>
      <c r="Q23" s="2602"/>
    </row>
    <row r="24" spans="1:17" s="701" customFormat="1">
      <c r="A24" s="473"/>
      <c r="B24" s="2610" t="s">
        <v>350</v>
      </c>
      <c r="C24" s="2611"/>
      <c r="D24" s="2611"/>
      <c r="E24" s="2611"/>
      <c r="F24" s="2675"/>
      <c r="G24" s="2676"/>
      <c r="H24" s="2676"/>
      <c r="I24" s="2676"/>
      <c r="J24" s="2676"/>
      <c r="K24" s="2677"/>
      <c r="L24" s="885"/>
      <c r="M24" s="885"/>
      <c r="N24" s="885"/>
      <c r="O24" s="885"/>
      <c r="P24" s="1636"/>
      <c r="Q24" s="1637"/>
    </row>
    <row r="25" spans="1:17" s="701" customFormat="1">
      <c r="A25" s="473"/>
      <c r="B25" s="2612" t="s">
        <v>349</v>
      </c>
      <c r="C25" s="2613"/>
      <c r="D25" s="2613"/>
      <c r="E25" s="2613"/>
      <c r="F25" s="2614"/>
      <c r="G25" s="2615"/>
      <c r="H25" s="2615"/>
      <c r="I25" s="2615"/>
      <c r="J25" s="2615"/>
      <c r="K25" s="2678"/>
      <c r="L25" s="886"/>
      <c r="M25" s="886"/>
      <c r="N25" s="886"/>
      <c r="O25" s="886"/>
      <c r="P25" s="1631"/>
      <c r="Q25" s="1638"/>
    </row>
    <row r="26" spans="1:17" s="701" customFormat="1" ht="15" thickBot="1">
      <c r="A26" s="473"/>
      <c r="B26" s="2608" t="s">
        <v>351</v>
      </c>
      <c r="C26" s="2609"/>
      <c r="D26" s="2609"/>
      <c r="E26" s="2609"/>
      <c r="F26" s="2620"/>
      <c r="G26" s="2621"/>
      <c r="H26" s="2621"/>
      <c r="I26" s="2621"/>
      <c r="J26" s="2621"/>
      <c r="K26" s="2683"/>
      <c r="L26" s="1635"/>
      <c r="M26" s="1635"/>
      <c r="N26" s="1635"/>
      <c r="O26" s="1635"/>
      <c r="P26" s="1639"/>
      <c r="Q26" s="1640"/>
    </row>
    <row r="27" spans="1:17" s="701" customFormat="1" ht="15" thickBot="1">
      <c r="A27" s="473"/>
      <c r="B27" s="473"/>
      <c r="C27" s="473"/>
      <c r="D27" s="473"/>
      <c r="E27" s="473"/>
      <c r="F27" s="473"/>
      <c r="G27" s="473"/>
      <c r="H27" s="473"/>
      <c r="I27" s="473"/>
      <c r="J27" s="473"/>
    </row>
    <row r="28" spans="1:17" ht="182.25" customHeight="1" thickBot="1">
      <c r="A28" s="2623" t="s">
        <v>7524</v>
      </c>
      <c r="B28" s="2624"/>
      <c r="C28" s="2624"/>
      <c r="D28" s="2624"/>
      <c r="E28" s="2624"/>
      <c r="F28" s="2624"/>
      <c r="G28" s="2624"/>
      <c r="H28" s="2624"/>
      <c r="I28" s="2624"/>
      <c r="J28" s="2624"/>
      <c r="K28" s="2684"/>
      <c r="L28" s="1633"/>
      <c r="M28" s="79"/>
      <c r="N28" s="185"/>
    </row>
    <row r="29" spans="1:17" s="701" customFormat="1">
      <c r="A29" s="473"/>
      <c r="B29" s="2679" t="s">
        <v>352</v>
      </c>
      <c r="C29" s="2679"/>
      <c r="D29" s="2679"/>
      <c r="E29" s="2679"/>
      <c r="F29" s="2679"/>
      <c r="G29" s="2679"/>
      <c r="H29" s="2679"/>
      <c r="I29" s="2679"/>
      <c r="J29" s="2679"/>
      <c r="K29" s="2680"/>
      <c r="L29"/>
      <c r="M29"/>
      <c r="N29"/>
      <c r="O29"/>
      <c r="P29"/>
    </row>
    <row r="30" spans="1:17" s="701" customFormat="1" ht="15" thickBot="1">
      <c r="A30" s="473"/>
      <c r="B30" s="2681"/>
      <c r="C30" s="2681"/>
      <c r="D30" s="2681"/>
      <c r="E30" s="2681"/>
      <c r="F30" s="2681"/>
      <c r="G30" s="2681"/>
      <c r="H30" s="2681"/>
      <c r="I30" s="2681"/>
      <c r="J30" s="2681"/>
      <c r="K30" s="2682"/>
      <c r="L30"/>
      <c r="M30"/>
      <c r="N30"/>
      <c r="O30"/>
      <c r="P30"/>
    </row>
    <row r="31" spans="1:17" s="701" customFormat="1" ht="15" customHeight="1">
      <c r="A31" s="473"/>
      <c r="B31" s="2666"/>
      <c r="C31" s="2667"/>
      <c r="D31" s="2667"/>
      <c r="E31" s="820"/>
      <c r="F31" s="2584" t="s">
        <v>69</v>
      </c>
      <c r="G31" s="2584"/>
      <c r="H31" s="2584" t="s">
        <v>70</v>
      </c>
      <c r="I31" s="2584"/>
      <c r="J31" s="2584" t="s">
        <v>71</v>
      </c>
      <c r="K31" s="2626"/>
      <c r="L31"/>
      <c r="M31"/>
      <c r="N31"/>
      <c r="O31"/>
      <c r="P31"/>
    </row>
    <row r="32" spans="1:17" s="701" customFormat="1">
      <c r="A32" s="473"/>
      <c r="B32" s="2668"/>
      <c r="C32" s="2053"/>
      <c r="D32" s="2053"/>
      <c r="E32" s="1632"/>
      <c r="F32" s="2581" t="str">
        <f>IF(ISBLANK(IMP_ST_DATE),"Please fill setup",YEAR(IMP_ST_DATE))</f>
        <v>Please fill setup</v>
      </c>
      <c r="G32" s="2581"/>
      <c r="H32" s="2581" t="str">
        <f>IF(ISBLANK(IMP_ST_DATE),"Please fill setup",YEAR(IMP_ST_DATE)+1)</f>
        <v>Please fill setup</v>
      </c>
      <c r="I32" s="2581"/>
      <c r="J32" s="2581" t="str">
        <f>IF(ISBLANK(IMP_ST_DATE),"Please fill setup",YEAR(IMP_ST_DATE)+2)</f>
        <v>Please fill setup</v>
      </c>
      <c r="K32" s="2629"/>
      <c r="L32"/>
      <c r="M32"/>
      <c r="N32"/>
      <c r="O32"/>
      <c r="P32"/>
    </row>
    <row r="33" spans="1:16" s="701" customFormat="1" ht="29.5" thickBot="1">
      <c r="A33" s="473"/>
      <c r="B33" s="821"/>
      <c r="C33" s="822"/>
      <c r="D33" s="822"/>
      <c r="E33" s="823"/>
      <c r="F33" s="819" t="s">
        <v>7573</v>
      </c>
      <c r="G33" s="1657" t="s">
        <v>7574</v>
      </c>
      <c r="H33" s="819" t="s">
        <v>7573</v>
      </c>
      <c r="I33" s="1657" t="s">
        <v>7574</v>
      </c>
      <c r="J33" s="819" t="s">
        <v>7573</v>
      </c>
      <c r="K33" s="1659" t="s">
        <v>7574</v>
      </c>
      <c r="L33"/>
      <c r="M33"/>
      <c r="N33"/>
      <c r="O33"/>
      <c r="P33"/>
    </row>
    <row r="34" spans="1:16" s="701" customFormat="1">
      <c r="A34" s="473"/>
      <c r="B34" s="2610" t="s">
        <v>353</v>
      </c>
      <c r="C34" s="2611"/>
      <c r="D34" s="2611"/>
      <c r="E34" s="2611"/>
      <c r="F34" s="1641"/>
      <c r="G34" s="1641"/>
      <c r="H34" s="1641"/>
      <c r="I34" s="1641"/>
      <c r="J34" s="1641"/>
      <c r="K34" s="1641"/>
      <c r="L34"/>
      <c r="M34"/>
      <c r="N34"/>
      <c r="O34"/>
      <c r="P34"/>
    </row>
    <row r="35" spans="1:16" s="701" customFormat="1">
      <c r="A35" s="473"/>
      <c r="B35" s="2612" t="s">
        <v>354</v>
      </c>
      <c r="C35" s="2613"/>
      <c r="D35" s="2613"/>
      <c r="E35" s="2613"/>
      <c r="F35" s="2614"/>
      <c r="G35" s="2615"/>
      <c r="H35" s="2615"/>
      <c r="I35" s="2615"/>
      <c r="J35" s="2615"/>
      <c r="K35" s="2616"/>
      <c r="L35"/>
      <c r="M35"/>
      <c r="N35"/>
      <c r="O35"/>
      <c r="P35"/>
    </row>
    <row r="36" spans="1:16" s="701" customFormat="1">
      <c r="A36" s="473"/>
      <c r="B36" s="2610" t="s">
        <v>355</v>
      </c>
      <c r="C36" s="2611"/>
      <c r="D36" s="2611"/>
      <c r="E36" s="2611"/>
      <c r="F36" s="2617"/>
      <c r="G36" s="2618"/>
      <c r="H36" s="2618"/>
      <c r="I36" s="2618"/>
      <c r="J36" s="2618"/>
      <c r="K36" s="2619"/>
      <c r="L36"/>
      <c r="M36"/>
      <c r="N36"/>
      <c r="O36"/>
      <c r="P36"/>
    </row>
    <row r="37" spans="1:16" s="701" customFormat="1">
      <c r="A37" s="473"/>
      <c r="B37" s="2612" t="s">
        <v>356</v>
      </c>
      <c r="C37" s="2613"/>
      <c r="D37" s="2613"/>
      <c r="E37" s="2613"/>
      <c r="F37" s="2614"/>
      <c r="G37" s="2615"/>
      <c r="H37" s="2615"/>
      <c r="I37" s="2615"/>
      <c r="J37" s="2615"/>
      <c r="K37" s="2616"/>
      <c r="L37"/>
      <c r="M37"/>
      <c r="N37"/>
      <c r="O37"/>
      <c r="P37"/>
    </row>
    <row r="38" spans="1:16" s="701" customFormat="1" ht="15" thickBot="1">
      <c r="A38" s="473"/>
      <c r="B38" s="2608" t="s">
        <v>357</v>
      </c>
      <c r="C38" s="2609"/>
      <c r="D38" s="2609"/>
      <c r="E38" s="2609"/>
      <c r="F38" s="2620"/>
      <c r="G38" s="2621"/>
      <c r="H38" s="2621"/>
      <c r="I38" s="2621"/>
      <c r="J38" s="2621"/>
      <c r="K38" s="2622"/>
      <c r="L38"/>
      <c r="M38"/>
      <c r="N38"/>
      <c r="O38"/>
      <c r="P38"/>
    </row>
    <row r="39" spans="1:16" s="701" customFormat="1" ht="15" thickBot="1">
      <c r="A39" s="473"/>
      <c r="B39" s="473"/>
      <c r="C39" s="473"/>
      <c r="D39" s="473"/>
      <c r="E39" s="473"/>
      <c r="F39" s="473"/>
      <c r="G39" s="473"/>
      <c r="H39" s="473"/>
      <c r="I39" s="473"/>
      <c r="J39" s="473"/>
      <c r="K39" s="1634"/>
    </row>
    <row r="40" spans="1:16" ht="119.25" customHeight="1">
      <c r="A40" s="2623" t="s">
        <v>6906</v>
      </c>
      <c r="B40" s="2624"/>
      <c r="C40" s="2624"/>
      <c r="D40" s="2624"/>
      <c r="E40" s="2624"/>
      <c r="F40" s="2624"/>
      <c r="G40" s="2624"/>
      <c r="H40" s="2624"/>
      <c r="I40" s="2624"/>
      <c r="J40" s="2624"/>
      <c r="K40" s="2625"/>
      <c r="L40" s="79"/>
      <c r="M40" s="79"/>
      <c r="N40" s="185"/>
    </row>
    <row r="41" spans="1:16" s="701" customFormat="1">
      <c r="A41" s="473"/>
      <c r="B41" s="2607" t="s">
        <v>358</v>
      </c>
      <c r="C41" s="2607"/>
      <c r="D41" s="2607"/>
      <c r="E41" s="2607"/>
      <c r="F41" s="2607"/>
      <c r="G41" s="2607"/>
      <c r="H41" s="2607"/>
      <c r="I41" s="2607"/>
      <c r="J41" s="2607"/>
      <c r="K41" s="2607"/>
      <c r="L41" s="2607"/>
      <c r="M41" s="2607"/>
      <c r="N41" s="2607"/>
      <c r="O41" s="2607"/>
    </row>
    <row r="42" spans="1:16" s="701" customFormat="1">
      <c r="A42" s="473"/>
      <c r="B42" s="2607"/>
      <c r="C42" s="2607"/>
      <c r="D42" s="2607"/>
      <c r="E42" s="2607"/>
      <c r="F42" s="2607"/>
      <c r="G42" s="2607"/>
      <c r="H42" s="2607"/>
      <c r="I42" s="2607"/>
      <c r="J42" s="2607"/>
      <c r="K42" s="2607"/>
      <c r="L42" s="2607"/>
      <c r="M42" s="2607"/>
      <c r="N42" s="2607"/>
      <c r="O42" s="2607"/>
    </row>
    <row r="43" spans="1:16" s="701" customFormat="1" ht="15" thickBot="1">
      <c r="A43" s="473"/>
      <c r="B43" s="816" t="s">
        <v>359</v>
      </c>
      <c r="C43" s="816"/>
      <c r="D43" s="816"/>
      <c r="E43" s="816"/>
      <c r="F43" s="816"/>
      <c r="G43" s="816"/>
      <c r="H43" s="816"/>
      <c r="I43" s="816"/>
    </row>
    <row r="44" spans="1:16" s="817" customFormat="1" ht="15" customHeight="1">
      <c r="A44" s="814"/>
      <c r="B44" s="2586" t="s">
        <v>360</v>
      </c>
      <c r="C44" s="2584"/>
      <c r="D44" s="2588" t="s">
        <v>271</v>
      </c>
      <c r="E44" s="2588" t="s">
        <v>361</v>
      </c>
      <c r="F44" s="2588" t="s">
        <v>362</v>
      </c>
      <c r="G44" s="2588" t="s">
        <v>363</v>
      </c>
      <c r="H44" s="2584" t="s">
        <v>364</v>
      </c>
      <c r="I44" s="2584"/>
      <c r="J44" s="2584"/>
      <c r="K44" s="2584"/>
      <c r="L44" s="2584"/>
      <c r="M44" s="2584"/>
      <c r="N44" s="2584"/>
      <c r="O44" s="2585"/>
    </row>
    <row r="45" spans="1:16" s="817" customFormat="1" ht="15" customHeight="1">
      <c r="A45" s="814"/>
      <c r="B45" s="2587"/>
      <c r="C45" s="2581"/>
      <c r="D45" s="2589"/>
      <c r="E45" s="2589"/>
      <c r="F45" s="2589"/>
      <c r="G45" s="2589"/>
      <c r="H45" s="2581" t="s">
        <v>69</v>
      </c>
      <c r="I45" s="2581"/>
      <c r="J45" s="2581" t="s">
        <v>70</v>
      </c>
      <c r="K45" s="2581"/>
      <c r="L45" s="2581" t="s">
        <v>71</v>
      </c>
      <c r="M45" s="2581"/>
      <c r="N45" s="2581"/>
      <c r="O45" s="2582"/>
    </row>
    <row r="46" spans="1:16" s="817" customFormat="1">
      <c r="A46" s="814"/>
      <c r="B46" s="2587"/>
      <c r="C46" s="2581"/>
      <c r="D46" s="2589"/>
      <c r="E46" s="2589"/>
      <c r="F46" s="2589"/>
      <c r="G46" s="2589"/>
      <c r="H46" s="2581" t="str">
        <f>IF(ISBLANK(IMP_ST_DATE),"Please fill setup",YEAR(IMP_ST_DATE))</f>
        <v>Please fill setup</v>
      </c>
      <c r="I46" s="2581"/>
      <c r="J46" s="2581" t="str">
        <f>IF(ISBLANK(IMP_ST_DATE),"Please fill setup",YEAR(IMP_ST_DATE)+1)</f>
        <v>Please fill setup</v>
      </c>
      <c r="K46" s="2581"/>
      <c r="L46" s="2581" t="str">
        <f>IF(ISBLANK(IMP_ST_DATE),"Please fill setup",YEAR(IMP_ST_DATE)+2)</f>
        <v>Please fill setup</v>
      </c>
      <c r="M46" s="2581"/>
      <c r="N46" s="2581"/>
      <c r="O46" s="2582"/>
    </row>
    <row r="47" spans="1:16" s="817" customFormat="1" ht="29">
      <c r="A47" s="814"/>
      <c r="B47" s="2587"/>
      <c r="C47" s="2581"/>
      <c r="D47" s="2589"/>
      <c r="E47" s="2589"/>
      <c r="F47" s="2589"/>
      <c r="G47" s="2589"/>
      <c r="H47" s="819" t="s">
        <v>7573</v>
      </c>
      <c r="I47" s="1657" t="s">
        <v>7574</v>
      </c>
      <c r="J47" s="819" t="s">
        <v>7573</v>
      </c>
      <c r="K47" s="1657" t="s">
        <v>7574</v>
      </c>
      <c r="L47" s="2592" t="s">
        <v>7573</v>
      </c>
      <c r="M47" s="2592"/>
      <c r="N47" s="2590" t="s">
        <v>7574</v>
      </c>
      <c r="O47" s="2591"/>
    </row>
    <row r="48" spans="1:16" s="701" customFormat="1">
      <c r="A48" s="473"/>
      <c r="B48" s="2597" t="s">
        <v>365</v>
      </c>
      <c r="C48" s="2597"/>
      <c r="D48" s="1647" t="s">
        <v>94</v>
      </c>
      <c r="E48" s="1642"/>
      <c r="F48" s="1641"/>
      <c r="G48" s="1641"/>
      <c r="H48" s="1641"/>
      <c r="I48" s="1641"/>
      <c r="J48" s="1641"/>
      <c r="K48" s="1641"/>
      <c r="L48" s="2696"/>
      <c r="M48" s="2696"/>
      <c r="N48" s="2696"/>
      <c r="O48" s="2696"/>
    </row>
    <row r="49" spans="1:15" s="701" customFormat="1" ht="7.5" customHeight="1">
      <c r="A49" s="473"/>
      <c r="B49" s="2593" t="s">
        <v>366</v>
      </c>
      <c r="C49" s="2594"/>
      <c r="D49" s="2700" t="s">
        <v>94</v>
      </c>
      <c r="E49" s="888"/>
      <c r="F49" s="888"/>
      <c r="G49" s="888"/>
      <c r="H49" s="835"/>
      <c r="I49" s="835"/>
      <c r="J49" s="835"/>
      <c r="K49" s="835"/>
      <c r="L49" s="2092"/>
      <c r="M49" s="2092"/>
      <c r="N49" s="2092"/>
      <c r="O49" s="2697"/>
    </row>
    <row r="50" spans="1:15" s="828" customFormat="1" ht="33.75" customHeight="1" thickBot="1">
      <c r="A50" s="827"/>
      <c r="B50" s="2595"/>
      <c r="C50" s="2596"/>
      <c r="D50" s="2700"/>
      <c r="E50" s="2583" t="s">
        <v>367</v>
      </c>
      <c r="F50" s="2583"/>
      <c r="G50" s="1643"/>
      <c r="H50" s="2583" t="s">
        <v>368</v>
      </c>
      <c r="I50" s="2583"/>
      <c r="J50" s="1643"/>
      <c r="K50" s="2583" t="s">
        <v>369</v>
      </c>
      <c r="L50" s="2583"/>
      <c r="M50" s="2583"/>
      <c r="N50" s="2699"/>
      <c r="O50" s="2699"/>
    </row>
    <row r="51" spans="1:15" s="701" customFormat="1">
      <c r="A51" s="473"/>
      <c r="B51" s="473"/>
      <c r="C51" s="473"/>
      <c r="D51" s="473"/>
      <c r="E51" s="473"/>
      <c r="F51" s="473"/>
      <c r="G51" s="473"/>
      <c r="H51" s="473"/>
      <c r="I51" s="473"/>
      <c r="J51" s="473"/>
    </row>
    <row r="52" spans="1:15" ht="226.15" customHeight="1">
      <c r="A52" s="2570" t="s">
        <v>6907</v>
      </c>
      <c r="B52" s="2571"/>
      <c r="C52" s="2571"/>
      <c r="D52" s="2571"/>
      <c r="E52" s="2571"/>
      <c r="F52" s="2571"/>
      <c r="G52" s="2571"/>
      <c r="H52" s="2571"/>
      <c r="I52" s="2571"/>
      <c r="J52" s="2571"/>
      <c r="K52" s="2572"/>
      <c r="L52" s="79"/>
      <c r="M52" s="79"/>
      <c r="N52" s="185"/>
    </row>
    <row r="53" spans="1:15" s="701" customFormat="1">
      <c r="A53" s="473"/>
      <c r="B53" s="2607" t="s">
        <v>370</v>
      </c>
      <c r="C53" s="2607"/>
      <c r="D53" s="2607"/>
      <c r="E53" s="2607"/>
      <c r="F53" s="818"/>
      <c r="G53" s="818"/>
      <c r="H53" s="818"/>
      <c r="I53" s="818"/>
    </row>
    <row r="54" spans="1:15" s="701" customFormat="1" ht="15" thickBot="1">
      <c r="A54" s="473"/>
      <c r="B54" s="2607"/>
      <c r="C54" s="2607"/>
      <c r="D54" s="2607"/>
      <c r="E54" s="2607"/>
      <c r="F54" s="818"/>
      <c r="G54" s="818"/>
      <c r="H54" s="818"/>
      <c r="I54" s="818"/>
    </row>
    <row r="55" spans="1:15" s="701" customFormat="1">
      <c r="A55" s="473"/>
      <c r="B55" s="2711" t="s">
        <v>371</v>
      </c>
      <c r="C55" s="2712"/>
      <c r="D55" s="2712"/>
      <c r="E55" s="2701" t="s">
        <v>91</v>
      </c>
      <c r="F55" s="2701"/>
      <c r="G55" s="2598" t="s">
        <v>1747</v>
      </c>
      <c r="H55" s="2598"/>
      <c r="I55" s="2599"/>
    </row>
    <row r="56" spans="1:15" s="701" customFormat="1" ht="15" customHeight="1">
      <c r="A56" s="473"/>
      <c r="B56" s="2573" t="s">
        <v>372</v>
      </c>
      <c r="C56" s="2576" t="s">
        <v>6909</v>
      </c>
      <c r="D56" s="2702" t="s">
        <v>373</v>
      </c>
      <c r="E56" s="2703"/>
      <c r="F56" s="1275" t="str">
        <f t="shared" ref="F56:F61" si="4">$E$55</f>
        <v>Yes</v>
      </c>
      <c r="G56" s="2713"/>
      <c r="H56" s="2714"/>
      <c r="I56" s="2715"/>
    </row>
    <row r="57" spans="1:15" s="701" customFormat="1">
      <c r="A57" s="473"/>
      <c r="B57" s="2574"/>
      <c r="C57" s="2577"/>
      <c r="D57" s="2704" t="s">
        <v>374</v>
      </c>
      <c r="E57" s="2704"/>
      <c r="F57" s="1274" t="str">
        <f t="shared" si="4"/>
        <v>Yes</v>
      </c>
      <c r="G57" s="2716"/>
      <c r="H57" s="2717"/>
      <c r="I57" s="2718"/>
    </row>
    <row r="58" spans="1:15" s="701" customFormat="1">
      <c r="A58" s="473"/>
      <c r="B58" s="2574"/>
      <c r="C58" s="2577"/>
      <c r="D58" s="2703" t="s">
        <v>375</v>
      </c>
      <c r="E58" s="2703"/>
      <c r="F58" s="1275" t="str">
        <f t="shared" si="4"/>
        <v>Yes</v>
      </c>
      <c r="G58" s="2719"/>
      <c r="H58" s="2720"/>
      <c r="I58" s="2721"/>
    </row>
    <row r="59" spans="1:15" s="701" customFormat="1" ht="15" thickBot="1">
      <c r="A59" s="473"/>
      <c r="B59" s="2574"/>
      <c r="C59" s="2578"/>
      <c r="D59" s="2568" t="s">
        <v>376</v>
      </c>
      <c r="E59" s="2569"/>
      <c r="F59" s="1417" t="str">
        <f t="shared" si="4"/>
        <v>Yes</v>
      </c>
      <c r="G59" s="2722"/>
      <c r="H59" s="2723"/>
      <c r="I59" s="2724"/>
    </row>
    <row r="60" spans="1:15" s="701" customFormat="1" ht="15" thickTop="1">
      <c r="A60" s="473"/>
      <c r="B60" s="2574"/>
      <c r="C60" s="2579" t="s">
        <v>6910</v>
      </c>
      <c r="D60" s="2703" t="s">
        <v>377</v>
      </c>
      <c r="E60" s="2703"/>
      <c r="F60" s="1275" t="str">
        <f t="shared" si="4"/>
        <v>Yes</v>
      </c>
      <c r="G60" s="2719"/>
      <c r="H60" s="2720"/>
      <c r="I60" s="2721"/>
    </row>
    <row r="61" spans="1:15" s="701" customFormat="1">
      <c r="A61" s="473"/>
      <c r="B61" s="2575"/>
      <c r="C61" s="2580"/>
      <c r="D61" s="2705" t="s">
        <v>378</v>
      </c>
      <c r="E61" s="2705"/>
      <c r="F61" s="1276" t="str">
        <f t="shared" si="4"/>
        <v>Yes</v>
      </c>
      <c r="G61" s="2725"/>
      <c r="H61" s="2726"/>
      <c r="I61" s="2727"/>
    </row>
    <row r="62" spans="1:15" s="817" customFormat="1">
      <c r="A62" s="814"/>
      <c r="B62" s="2687" t="s">
        <v>379</v>
      </c>
      <c r="C62" s="2688"/>
      <c r="D62" s="2691" t="s">
        <v>69</v>
      </c>
      <c r="E62" s="2692"/>
      <c r="F62" s="2692" t="s">
        <v>70</v>
      </c>
      <c r="G62" s="2692"/>
      <c r="H62" s="2692" t="s">
        <v>71</v>
      </c>
      <c r="I62" s="2693"/>
    </row>
    <row r="63" spans="1:15" s="817" customFormat="1">
      <c r="A63" s="814"/>
      <c r="B63" s="2687"/>
      <c r="C63" s="2688"/>
      <c r="D63" s="2694" t="str">
        <f>IF(ISBLANK(IMP_ST_DATE),"Please fill setup",YEAR(IMP_ST_DATE))</f>
        <v>Please fill setup</v>
      </c>
      <c r="E63" s="2581"/>
      <c r="F63" s="2581" t="str">
        <f>IF(ISBLANK(IMP_ST_DATE),"Please fill setup",YEAR(IMP_ST_DATE)+1)</f>
        <v>Please fill setup</v>
      </c>
      <c r="G63" s="2581"/>
      <c r="H63" s="2581" t="str">
        <f>IF(ISBLANK(IMP_ST_DATE),"Please fill setup",YEAR(IMP_ST_DATE)+2)</f>
        <v>Please fill setup</v>
      </c>
      <c r="I63" s="2695"/>
    </row>
    <row r="64" spans="1:15" s="817" customFormat="1" ht="29">
      <c r="A64" s="814"/>
      <c r="B64" s="2687"/>
      <c r="C64" s="2688"/>
      <c r="D64" s="833" t="s">
        <v>7573</v>
      </c>
      <c r="E64" s="1657" t="s">
        <v>7574</v>
      </c>
      <c r="F64" s="819" t="s">
        <v>7573</v>
      </c>
      <c r="G64" s="1657" t="s">
        <v>7574</v>
      </c>
      <c r="H64" s="819" t="s">
        <v>7573</v>
      </c>
      <c r="I64" s="1658" t="s">
        <v>7574</v>
      </c>
    </row>
    <row r="65" spans="1:9" s="701" customFormat="1">
      <c r="A65" s="473"/>
      <c r="B65" s="2687"/>
      <c r="C65" s="2698"/>
      <c r="D65" s="1644"/>
      <c r="E65" s="1644"/>
      <c r="F65" s="1644"/>
      <c r="G65" s="1644"/>
      <c r="H65" s="1644"/>
      <c r="I65" s="1644"/>
    </row>
    <row r="66" spans="1:9" s="817" customFormat="1">
      <c r="A66" s="814"/>
      <c r="B66" s="2687" t="s">
        <v>380</v>
      </c>
      <c r="C66" s="2688"/>
      <c r="D66" s="2694" t="s">
        <v>69</v>
      </c>
      <c r="E66" s="2581"/>
      <c r="F66" s="2581" t="s">
        <v>70</v>
      </c>
      <c r="G66" s="2581"/>
      <c r="H66" s="2581" t="s">
        <v>71</v>
      </c>
      <c r="I66" s="2695"/>
    </row>
    <row r="67" spans="1:9" s="817" customFormat="1">
      <c r="A67" s="814"/>
      <c r="B67" s="2687"/>
      <c r="C67" s="2688"/>
      <c r="D67" s="2694" t="str">
        <f>IF(ISBLANK(IMP_ST_DATE),"Please fill setup",YEAR(IMP_ST_DATE))</f>
        <v>Please fill setup</v>
      </c>
      <c r="E67" s="2581"/>
      <c r="F67" s="2581" t="str">
        <f>IF(ISBLANK(IMP_ST_DATE),"Please fill setup",YEAR(IMP_ST_DATE)+1)</f>
        <v>Please fill setup</v>
      </c>
      <c r="G67" s="2581"/>
      <c r="H67" s="2581" t="str">
        <f>IF(ISBLANK(IMP_ST_DATE),"Please fill setup",YEAR(IMP_ST_DATE)+2)</f>
        <v>Please fill setup</v>
      </c>
      <c r="I67" s="2695"/>
    </row>
    <row r="68" spans="1:9" s="817" customFormat="1" ht="29">
      <c r="A68" s="814"/>
      <c r="B68" s="2687"/>
      <c r="C68" s="2688"/>
      <c r="D68" s="833" t="s">
        <v>7573</v>
      </c>
      <c r="E68" s="1657" t="s">
        <v>7574</v>
      </c>
      <c r="F68" s="819" t="s">
        <v>7573</v>
      </c>
      <c r="G68" s="1657" t="s">
        <v>7574</v>
      </c>
      <c r="H68" s="819" t="s">
        <v>7573</v>
      </c>
      <c r="I68" s="1658" t="s">
        <v>7574</v>
      </c>
    </row>
    <row r="69" spans="1:9" s="701" customFormat="1">
      <c r="A69" s="473"/>
      <c r="B69" s="2687"/>
      <c r="C69" s="2698"/>
      <c r="D69" s="1644"/>
      <c r="E69" s="1644"/>
      <c r="F69" s="1644"/>
      <c r="G69" s="1644"/>
      <c r="H69" s="1644"/>
      <c r="I69" s="1644"/>
    </row>
    <row r="70" spans="1:9" s="701" customFormat="1">
      <c r="A70" s="473"/>
      <c r="B70" s="831"/>
      <c r="C70" s="829"/>
      <c r="D70" s="830"/>
      <c r="E70" s="1646"/>
      <c r="F70" s="830"/>
      <c r="G70" s="830"/>
      <c r="H70" s="830"/>
      <c r="I70" s="832"/>
    </row>
    <row r="71" spans="1:9" s="701" customFormat="1">
      <c r="A71" s="473"/>
      <c r="B71" s="2706" t="s">
        <v>381</v>
      </c>
      <c r="C71" s="2707"/>
      <c r="D71" s="2708"/>
      <c r="E71" s="1645" t="s">
        <v>91</v>
      </c>
      <c r="F71" s="2709"/>
      <c r="G71" s="2709"/>
      <c r="H71" s="2709"/>
      <c r="I71" s="2710"/>
    </row>
    <row r="72" spans="1:9" s="817" customFormat="1">
      <c r="A72" s="814"/>
      <c r="B72" s="2685" t="s">
        <v>382</v>
      </c>
      <c r="C72" s="2686"/>
      <c r="D72" s="2691" t="s">
        <v>69</v>
      </c>
      <c r="E72" s="2581"/>
      <c r="F72" s="2692" t="s">
        <v>70</v>
      </c>
      <c r="G72" s="2692"/>
      <c r="H72" s="2692" t="s">
        <v>71</v>
      </c>
      <c r="I72" s="2693"/>
    </row>
    <row r="73" spans="1:9" s="817" customFormat="1">
      <c r="A73" s="814"/>
      <c r="B73" s="2687"/>
      <c r="C73" s="2688"/>
      <c r="D73" s="2694" t="str">
        <f>IF(ISBLANK(IMP_ST_DATE),"Please fill setup",YEAR(IMP_ST_DATE))</f>
        <v>Please fill setup</v>
      </c>
      <c r="E73" s="2581"/>
      <c r="F73" s="2581" t="str">
        <f>IF(ISBLANK(IMP_ST_DATE),"Please fill setup",YEAR(IMP_ST_DATE)+1)</f>
        <v>Please fill setup</v>
      </c>
      <c r="G73" s="2581"/>
      <c r="H73" s="2581" t="str">
        <f>IF(ISBLANK(IMP_ST_DATE),"Please fill setup",YEAR(IMP_ST_DATE)+2)</f>
        <v>Please fill setup</v>
      </c>
      <c r="I73" s="2695"/>
    </row>
    <row r="74" spans="1:9" s="817" customFormat="1" ht="29">
      <c r="A74" s="814"/>
      <c r="B74" s="2687"/>
      <c r="C74" s="2688"/>
      <c r="D74" s="833" t="s">
        <v>7573</v>
      </c>
      <c r="E74" s="1657" t="s">
        <v>7574</v>
      </c>
      <c r="F74" s="819" t="s">
        <v>7573</v>
      </c>
      <c r="G74" s="1657" t="s">
        <v>7574</v>
      </c>
      <c r="H74" s="819" t="s">
        <v>7573</v>
      </c>
      <c r="I74" s="1658" t="s">
        <v>7574</v>
      </c>
    </row>
    <row r="75" spans="1:9" s="701" customFormat="1" ht="15" thickBot="1">
      <c r="A75" s="473"/>
      <c r="B75" s="2689"/>
      <c r="C75" s="2690"/>
      <c r="D75" s="1644"/>
      <c r="E75" s="1644"/>
      <c r="F75" s="1644"/>
      <c r="G75" s="1644"/>
      <c r="H75" s="1644"/>
      <c r="I75" s="1644"/>
    </row>
    <row r="76" spans="1:9" s="701" customFormat="1"/>
    <row r="77" spans="1:9" s="701" customFormat="1"/>
    <row r="78" spans="1:9" s="701" customFormat="1"/>
  </sheetData>
  <sheetProtection algorithmName="SHA-512" hashValue="zgJXJCmeafw85K5OM/awwfrMbmYSALBSm3Zrt6bOM4ath4urEnDqUu26xezAtWM+1C/5z/lcwFM3yHZgiSYbdQ==" saltValue="SH3NYmW7AByz0SIZ2aV0GQ==" spinCount="100000" sheet="1" formatColumns="0" formatRows="0" selectLockedCells="1" autoFilter="0"/>
  <mergeCells count="140">
    <mergeCell ref="E55:F55"/>
    <mergeCell ref="H62:I62"/>
    <mergeCell ref="D56:E56"/>
    <mergeCell ref="D57:E57"/>
    <mergeCell ref="D58:E58"/>
    <mergeCell ref="D61:E61"/>
    <mergeCell ref="B53:E54"/>
    <mergeCell ref="B71:D71"/>
    <mergeCell ref="F71:I71"/>
    <mergeCell ref="B66:C69"/>
    <mergeCell ref="D66:E66"/>
    <mergeCell ref="F66:G66"/>
    <mergeCell ref="H66:I66"/>
    <mergeCell ref="D67:E67"/>
    <mergeCell ref="F67:G67"/>
    <mergeCell ref="H67:I67"/>
    <mergeCell ref="D60:E60"/>
    <mergeCell ref="B55:D55"/>
    <mergeCell ref="G56:I56"/>
    <mergeCell ref="G57:I57"/>
    <mergeCell ref="G58:I58"/>
    <mergeCell ref="G59:I59"/>
    <mergeCell ref="G60:I60"/>
    <mergeCell ref="G61:I61"/>
    <mergeCell ref="P15:Q15"/>
    <mergeCell ref="P16:Q16"/>
    <mergeCell ref="P17:Q17"/>
    <mergeCell ref="P14:Q14"/>
    <mergeCell ref="B72:C75"/>
    <mergeCell ref="D72:E72"/>
    <mergeCell ref="F72:G72"/>
    <mergeCell ref="H72:I72"/>
    <mergeCell ref="D73:E73"/>
    <mergeCell ref="F73:G73"/>
    <mergeCell ref="H73:I73"/>
    <mergeCell ref="N48:O48"/>
    <mergeCell ref="N49:O49"/>
    <mergeCell ref="L48:M48"/>
    <mergeCell ref="B62:C65"/>
    <mergeCell ref="D62:E62"/>
    <mergeCell ref="D63:E63"/>
    <mergeCell ref="F62:G62"/>
    <mergeCell ref="F63:G63"/>
    <mergeCell ref="H63:I63"/>
    <mergeCell ref="K50:M50"/>
    <mergeCell ref="N50:O50"/>
    <mergeCell ref="D49:D50"/>
    <mergeCell ref="L49:M49"/>
    <mergeCell ref="B15:E15"/>
    <mergeCell ref="B14:E14"/>
    <mergeCell ref="B16:E16"/>
    <mergeCell ref="B17:E17"/>
    <mergeCell ref="B18:E18"/>
    <mergeCell ref="H31:I31"/>
    <mergeCell ref="F11:G11"/>
    <mergeCell ref="F12:G12"/>
    <mergeCell ref="B19:E19"/>
    <mergeCell ref="B20:E20"/>
    <mergeCell ref="B24:E24"/>
    <mergeCell ref="B25:E25"/>
    <mergeCell ref="B31:D32"/>
    <mergeCell ref="F31:G31"/>
    <mergeCell ref="F24:K24"/>
    <mergeCell ref="F25:K25"/>
    <mergeCell ref="B29:K30"/>
    <mergeCell ref="B26:E26"/>
    <mergeCell ref="F32:G32"/>
    <mergeCell ref="H32:I32"/>
    <mergeCell ref="F26:K26"/>
    <mergeCell ref="A28:K28"/>
    <mergeCell ref="O1:P2"/>
    <mergeCell ref="B9:Q10"/>
    <mergeCell ref="L11:L13"/>
    <mergeCell ref="M11:M13"/>
    <mergeCell ref="N11:N13"/>
    <mergeCell ref="O11:O13"/>
    <mergeCell ref="P11:Q12"/>
    <mergeCell ref="A1:K1"/>
    <mergeCell ref="I3:K4"/>
    <mergeCell ref="G3:H4"/>
    <mergeCell ref="H11:I11"/>
    <mergeCell ref="Q1:R2"/>
    <mergeCell ref="M1:N2"/>
    <mergeCell ref="J12:K12"/>
    <mergeCell ref="B5:B6"/>
    <mergeCell ref="C5:E6"/>
    <mergeCell ref="B3:B4"/>
    <mergeCell ref="I5:K6"/>
    <mergeCell ref="G5:H6"/>
    <mergeCell ref="C3:E4"/>
    <mergeCell ref="B11:D12"/>
    <mergeCell ref="H12:I12"/>
    <mergeCell ref="J11:K11"/>
    <mergeCell ref="A7:K7"/>
    <mergeCell ref="P18:Q18"/>
    <mergeCell ref="P19:Q19"/>
    <mergeCell ref="P20:Q20"/>
    <mergeCell ref="P21:Q21"/>
    <mergeCell ref="P22:Q22"/>
    <mergeCell ref="B21:E21"/>
    <mergeCell ref="B22:E22"/>
    <mergeCell ref="B41:O42"/>
    <mergeCell ref="P23:Q23"/>
    <mergeCell ref="B38:E38"/>
    <mergeCell ref="B36:E36"/>
    <mergeCell ref="B34:E34"/>
    <mergeCell ref="B35:E35"/>
    <mergeCell ref="F35:K35"/>
    <mergeCell ref="F36:K36"/>
    <mergeCell ref="F37:K37"/>
    <mergeCell ref="F38:K38"/>
    <mergeCell ref="B37:E37"/>
    <mergeCell ref="A40:K40"/>
    <mergeCell ref="J31:K31"/>
    <mergeCell ref="B23:E23"/>
    <mergeCell ref="J32:K32"/>
    <mergeCell ref="D59:E59"/>
    <mergeCell ref="A52:K52"/>
    <mergeCell ref="B56:B61"/>
    <mergeCell ref="C56:C59"/>
    <mergeCell ref="C60:C61"/>
    <mergeCell ref="L45:O45"/>
    <mergeCell ref="H50:I50"/>
    <mergeCell ref="E50:F50"/>
    <mergeCell ref="H44:O44"/>
    <mergeCell ref="B44:C47"/>
    <mergeCell ref="D44:D47"/>
    <mergeCell ref="E44:E47"/>
    <mergeCell ref="J45:K45"/>
    <mergeCell ref="L46:O46"/>
    <mergeCell ref="N47:O47"/>
    <mergeCell ref="J46:K46"/>
    <mergeCell ref="L47:M47"/>
    <mergeCell ref="F44:F47"/>
    <mergeCell ref="G44:G47"/>
    <mergeCell ref="B49:C50"/>
    <mergeCell ref="B48:C48"/>
    <mergeCell ref="H45:I45"/>
    <mergeCell ref="H46:I46"/>
    <mergeCell ref="G55:I55"/>
  </mergeCells>
  <conditionalFormatting sqref="F24:K26">
    <cfRule type="expression" dxfId="335" priority="15">
      <formula>$F$24+$F$25+$F$26&lt;&gt;1</formula>
    </cfRule>
  </conditionalFormatting>
  <conditionalFormatting sqref="F35:K38">
    <cfRule type="expression" dxfId="334" priority="14">
      <formula>$F$35+$F$36+$F$37+$F$38&lt;&gt;1</formula>
    </cfRule>
  </conditionalFormatting>
  <conditionalFormatting sqref="G50 J50 N50:O50">
    <cfRule type="expression" dxfId="333" priority="13">
      <formula>$G$50+$J$50+$N$50&lt;&gt;1</formula>
    </cfRule>
  </conditionalFormatting>
  <conditionalFormatting sqref="G60:I61">
    <cfRule type="expression" dxfId="332" priority="11">
      <formula>AND($E$55="No",$G$60+$G$61&lt;&gt;0)</formula>
    </cfRule>
    <cfRule type="expression" dxfId="331" priority="12">
      <formula>AND($G$60+$G$61&lt;&gt;1,$E$55="Yes")</formula>
    </cfRule>
  </conditionalFormatting>
  <conditionalFormatting sqref="G56:I59">
    <cfRule type="expression" dxfId="330" priority="9">
      <formula>AND($G$56+$G$57+$G$58+$G$59&lt;&gt;1,$E$55="Yes")</formula>
    </cfRule>
    <cfRule type="expression" dxfId="329" priority="10">
      <formula>AND($E$55="No",$G$56+$G$57+$G$58+$G$59&lt;&gt;0)</formula>
    </cfRule>
  </conditionalFormatting>
  <conditionalFormatting sqref="F20:K23">
    <cfRule type="containsBlanks" dxfId="328" priority="22">
      <formula>LEN(TRIM(F20))=0</formula>
    </cfRule>
  </conditionalFormatting>
  <conditionalFormatting sqref="F16:K17">
    <cfRule type="containsBlanks" dxfId="327" priority="23">
      <formula>LEN(TRIM(F16))=0</formula>
    </cfRule>
  </conditionalFormatting>
  <conditionalFormatting sqref="E55">
    <cfRule type="containsBlanks" dxfId="326" priority="25">
      <formula>LEN(TRIM(E55))=0</formula>
    </cfRule>
  </conditionalFormatting>
  <conditionalFormatting sqref="E71">
    <cfRule type="containsBlanks" dxfId="325" priority="24">
      <formula>LEN(TRIM(E71))=0</formula>
    </cfRule>
  </conditionalFormatting>
  <dataValidations count="3">
    <dataValidation type="list" allowBlank="1" showInputMessage="1" showErrorMessage="1" sqref="E55 E71 D48:D49 F56:F61" xr:uid="{00000000-0002-0000-1000-000000000000}">
      <formula1>YesNo</formula1>
    </dataValidation>
    <dataValidation type="whole" allowBlank="1" showInputMessage="1" showErrorMessage="1" sqref="F14:K23 F34:K34 H48 E48:G48 I48:O48 D65:F65 H65:I65 G65 D69:I69 D75:I75" xr:uid="{814DAF8A-7070-467B-A111-E61C2CF65E1D}">
      <formula1>0</formula1>
      <formula2>1E+29</formula2>
    </dataValidation>
    <dataValidation type="decimal" allowBlank="1" showInputMessage="1" showErrorMessage="1" sqref="F24:K26 F35:K38 G50 J50 N50:O50 G56:I61 L14:O26" xr:uid="{31236525-A51B-44D7-A949-A019C166AFCB}">
      <formula1>0</formula1>
      <formula2>1</formula2>
    </dataValidation>
  </dataValidations>
  <hyperlinks>
    <hyperlink ref="O1:P2" location="'Malaria-Pharmaceuticals'!A1" display="Go to Malaria-Pharmaceuticals" xr:uid="{00000000-0004-0000-1000-000001000000}"/>
    <hyperlink ref="Q1:R2" location="'Malaria-Equipment &amp; Other HPs'!A1" display="Go to Malaria Other HPs &amp; Equipment" xr:uid="{00000000-0004-0000-1000-000002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CC00"/>
  </sheetPr>
  <dimension ref="A1:BH75"/>
  <sheetViews>
    <sheetView showGridLines="0" zoomScaleNormal="100" workbookViewId="0">
      <selection activeCell="A7" sqref="A7:J7"/>
    </sheetView>
  </sheetViews>
  <sheetFormatPr defaultColWidth="8.81640625" defaultRowHeight="14.5"/>
  <cols>
    <col min="1" max="1" width="8.81640625" style="105"/>
    <col min="2" max="9" width="15.36328125" style="105" customWidth="1"/>
    <col min="10" max="10" width="12.36328125" style="105" customWidth="1"/>
    <col min="11" max="11" width="15.36328125" style="105" customWidth="1"/>
    <col min="12" max="13" width="17" style="105" customWidth="1"/>
    <col min="14" max="14" width="15.36328125" style="105" customWidth="1"/>
    <col min="15" max="15" width="14" style="105" customWidth="1"/>
    <col min="16" max="16" width="17.08984375" style="105" customWidth="1"/>
    <col min="17" max="17" width="15.36328125" style="105" customWidth="1"/>
    <col min="18" max="18" width="15.81640625" style="105" customWidth="1"/>
    <col min="19" max="19" width="16.81640625" style="105" customWidth="1"/>
    <col min="20" max="20" width="14.36328125" style="105" customWidth="1"/>
    <col min="21" max="21" width="17.08984375" style="105" customWidth="1"/>
    <col min="22" max="22" width="17.36328125" style="105" customWidth="1"/>
    <col min="23" max="24" width="17.08984375" style="105" customWidth="1"/>
    <col min="25" max="26" width="13.36328125" style="105" customWidth="1"/>
    <col min="27" max="27" width="12.36328125" style="105" customWidth="1"/>
    <col min="28" max="28" width="11.36328125" style="105" customWidth="1"/>
    <col min="29" max="30" width="12.36328125" style="105" customWidth="1"/>
    <col min="31" max="31" width="11.36328125" style="105" customWidth="1"/>
    <col min="32" max="32" width="16.36328125" style="105" customWidth="1"/>
    <col min="33" max="33" width="11" style="538" customWidth="1"/>
    <col min="34" max="34" width="14.36328125" style="105" bestFit="1" customWidth="1"/>
    <col min="35" max="35" width="11.36328125" style="105" bestFit="1" customWidth="1"/>
    <col min="36" max="36" width="12.36328125" style="105" customWidth="1"/>
    <col min="37" max="37" width="8.81640625" style="105"/>
    <col min="38" max="38" width="85.36328125" style="105" customWidth="1"/>
    <col min="39" max="39" width="8.81640625" style="613"/>
    <col min="40" max="46" width="8.81640625" style="105"/>
    <col min="47" max="47" width="10.08984375" style="105" bestFit="1" customWidth="1"/>
    <col min="48" max="48" width="27.36328125" style="105" hidden="1" customWidth="1"/>
    <col min="49" max="60" width="10.08984375" style="105" hidden="1" customWidth="1"/>
    <col min="61" max="16384" width="8.81640625" style="105"/>
  </cols>
  <sheetData>
    <row r="1" spans="1:60" ht="24" customHeight="1" thickBot="1">
      <c r="A1" s="2633" t="s">
        <v>7631</v>
      </c>
      <c r="B1" s="2634"/>
      <c r="C1" s="2634"/>
      <c r="D1" s="2634"/>
      <c r="E1" s="2634"/>
      <c r="F1" s="2634"/>
      <c r="G1" s="2634"/>
      <c r="H1" s="2634"/>
      <c r="I1" s="2634"/>
      <c r="J1" s="2634"/>
      <c r="K1" s="2635"/>
      <c r="L1" s="1715"/>
      <c r="M1" s="2647"/>
      <c r="N1" s="2644" t="s">
        <v>383</v>
      </c>
      <c r="O1" s="2644" t="s">
        <v>333</v>
      </c>
      <c r="P1" s="2644"/>
      <c r="Q1" s="102"/>
      <c r="R1" s="103"/>
      <c r="S1" s="103"/>
      <c r="T1" s="103"/>
      <c r="U1" s="103"/>
      <c r="V1" s="103"/>
      <c r="W1" s="103"/>
      <c r="X1" s="103"/>
      <c r="Y1" s="103"/>
      <c r="Z1" s="103"/>
      <c r="AA1" s="103"/>
      <c r="AB1" s="103"/>
      <c r="AC1" s="194"/>
      <c r="AD1" s="121"/>
      <c r="AG1" s="105"/>
    </row>
    <row r="2" spans="1:60" ht="15" thickBot="1">
      <c r="A2" s="212"/>
      <c r="B2" s="212"/>
      <c r="C2" s="212"/>
      <c r="D2" s="212"/>
      <c r="E2" s="212"/>
      <c r="F2" s="212"/>
      <c r="G2" s="212"/>
      <c r="H2" s="212"/>
      <c r="I2" s="212"/>
      <c r="J2" s="212"/>
      <c r="K2" s="285"/>
      <c r="L2" s="284"/>
      <c r="M2" s="2649"/>
      <c r="N2" s="2645"/>
      <c r="O2" s="2645"/>
      <c r="P2" s="2645"/>
      <c r="Q2" s="102"/>
      <c r="R2" s="103"/>
      <c r="S2" s="103"/>
      <c r="T2" s="103"/>
      <c r="U2" s="103"/>
      <c r="V2" s="103"/>
      <c r="W2" s="103"/>
      <c r="X2" s="103"/>
      <c r="Y2" s="103"/>
      <c r="Z2" s="103"/>
      <c r="AA2" s="103"/>
      <c r="AB2" s="103"/>
      <c r="AC2" s="194"/>
      <c r="AD2" s="121"/>
      <c r="AG2" s="105"/>
    </row>
    <row r="3" spans="1:60" ht="15" customHeight="1" thickBot="1">
      <c r="A3" s="286"/>
      <c r="B3" s="2654" t="s">
        <v>0</v>
      </c>
      <c r="C3" s="2636">
        <f>SETUP!$E$3</f>
        <v>0</v>
      </c>
      <c r="D3" s="2636"/>
      <c r="E3" s="2636"/>
      <c r="F3" s="287"/>
      <c r="G3" s="2768" t="s">
        <v>1</v>
      </c>
      <c r="H3" s="2636">
        <f>GRAN_NO</f>
        <v>0</v>
      </c>
      <c r="I3" s="2636"/>
      <c r="J3" s="2636"/>
      <c r="K3" s="2637"/>
      <c r="L3" s="284"/>
      <c r="M3" s="111"/>
      <c r="N3" s="112"/>
      <c r="O3" s="112"/>
      <c r="P3" s="112"/>
      <c r="Q3" s="112"/>
      <c r="R3" s="103"/>
      <c r="S3" s="103"/>
      <c r="T3" s="103"/>
      <c r="U3" s="103"/>
      <c r="V3" s="103"/>
      <c r="W3" s="103"/>
      <c r="X3" s="103"/>
      <c r="Y3" s="103"/>
      <c r="Z3" s="103"/>
      <c r="AA3" s="103"/>
      <c r="AB3" s="103"/>
      <c r="AC3" s="103"/>
      <c r="AD3" s="103"/>
      <c r="AE3" s="288"/>
      <c r="AF3" s="288"/>
      <c r="AG3" s="289"/>
      <c r="AH3" s="125"/>
    </row>
    <row r="4" spans="1:60" ht="15.75" customHeight="1" thickTop="1" thickBot="1">
      <c r="A4" s="290"/>
      <c r="B4" s="2655"/>
      <c r="C4" s="2772"/>
      <c r="D4" s="2772"/>
      <c r="E4" s="2772"/>
      <c r="F4" s="291"/>
      <c r="G4" s="2769"/>
      <c r="H4" s="2770"/>
      <c r="I4" s="2770"/>
      <c r="J4" s="2770"/>
      <c r="K4" s="2771"/>
      <c r="L4" s="102"/>
      <c r="M4" s="102"/>
      <c r="N4" s="103"/>
      <c r="O4" s="103"/>
      <c r="P4" s="103"/>
      <c r="Q4" s="103"/>
      <c r="R4" s="103"/>
      <c r="S4" s="103"/>
      <c r="T4" s="103"/>
      <c r="U4" s="103"/>
      <c r="V4" s="103"/>
      <c r="W4" s="103"/>
      <c r="X4" s="103"/>
      <c r="Y4" s="103"/>
      <c r="Z4" s="103"/>
      <c r="AA4" s="103"/>
      <c r="AB4" s="103"/>
      <c r="AC4" s="103"/>
      <c r="AD4" s="103"/>
      <c r="AE4" s="288"/>
      <c r="AF4" s="288"/>
      <c r="AG4" s="289"/>
      <c r="AH4" s="125"/>
    </row>
    <row r="5" spans="1:60" ht="15.5" thickTop="1" thickBot="1">
      <c r="A5" s="290"/>
      <c r="B5" s="2650" t="s">
        <v>2</v>
      </c>
      <c r="C5" s="2770" t="str">
        <f>SETUP!$E$6</f>
        <v>HIV</v>
      </c>
      <c r="D5" s="2770"/>
      <c r="E5" s="2770"/>
      <c r="F5" s="292"/>
      <c r="G5" s="2766" t="s">
        <v>3</v>
      </c>
      <c r="H5" s="2656">
        <f>SETUP!E7</f>
        <v>0</v>
      </c>
      <c r="I5" s="2656"/>
      <c r="J5" s="2656"/>
      <c r="K5" s="2657"/>
      <c r="L5" s="102"/>
      <c r="M5" s="102"/>
      <c r="N5" s="103"/>
      <c r="O5" s="103"/>
      <c r="P5" s="103"/>
      <c r="Q5" s="103"/>
      <c r="R5" s="103"/>
      <c r="S5" s="103"/>
      <c r="T5" s="103"/>
      <c r="U5" s="103"/>
      <c r="V5" s="103"/>
      <c r="W5" s="103"/>
      <c r="X5" s="103"/>
      <c r="Y5" s="103"/>
      <c r="Z5" s="103"/>
      <c r="AA5" s="103"/>
      <c r="AB5" s="103"/>
      <c r="AC5" s="103"/>
      <c r="AD5" s="103"/>
      <c r="AE5" s="288"/>
      <c r="AF5" s="288"/>
      <c r="AG5" s="289"/>
      <c r="AH5" s="125"/>
    </row>
    <row r="6" spans="1:60" ht="15.5" thickTop="1" thickBot="1">
      <c r="A6" s="293"/>
      <c r="B6" s="2651"/>
      <c r="C6" s="2658"/>
      <c r="D6" s="2658"/>
      <c r="E6" s="2658"/>
      <c r="F6" s="294"/>
      <c r="G6" s="2767"/>
      <c r="H6" s="2658"/>
      <c r="I6" s="2658"/>
      <c r="J6" s="2658"/>
      <c r="K6" s="2659"/>
      <c r="L6" s="102"/>
      <c r="M6" s="102"/>
      <c r="N6" s="103"/>
      <c r="O6" s="103"/>
      <c r="P6" s="103"/>
      <c r="Q6" s="103"/>
      <c r="R6" s="103"/>
      <c r="S6" s="103"/>
      <c r="T6" s="103"/>
      <c r="U6" s="103"/>
      <c r="V6" s="103"/>
      <c r="W6" s="103"/>
      <c r="X6" s="103"/>
      <c r="Y6" s="103"/>
      <c r="Z6" s="103"/>
      <c r="AA6" s="103"/>
      <c r="AB6" s="103"/>
      <c r="AC6" s="103"/>
      <c r="AD6" s="103"/>
      <c r="AE6" s="288"/>
      <c r="AF6" s="288"/>
      <c r="AG6" s="289"/>
      <c r="AH6" s="125"/>
    </row>
    <row r="7" spans="1:60" ht="15" thickBot="1">
      <c r="A7" s="119"/>
      <c r="B7" s="119"/>
      <c r="C7" s="119"/>
      <c r="D7" s="119"/>
      <c r="E7" s="119"/>
      <c r="F7" s="119"/>
      <c r="G7" s="119"/>
      <c r="H7" s="119"/>
      <c r="I7" s="119"/>
      <c r="J7" s="119"/>
      <c r="K7" s="120"/>
      <c r="L7" s="103"/>
      <c r="M7" s="102"/>
      <c r="N7" s="103"/>
      <c r="O7" s="103"/>
      <c r="P7" s="103"/>
      <c r="Q7" s="103"/>
      <c r="R7" s="103"/>
      <c r="S7" s="103"/>
      <c r="T7" s="103"/>
      <c r="U7" s="103"/>
      <c r="V7" s="103"/>
      <c r="W7" s="103"/>
      <c r="X7" s="103"/>
      <c r="Y7" s="103"/>
      <c r="Z7" s="103"/>
      <c r="AA7" s="103"/>
      <c r="AB7" s="103"/>
      <c r="AC7" s="103"/>
      <c r="AD7" s="103"/>
      <c r="AE7" s="288"/>
      <c r="AF7" s="288"/>
      <c r="AG7" s="289"/>
      <c r="AH7" s="125"/>
    </row>
    <row r="8" spans="1:60" ht="22.5" customHeight="1" thickBot="1">
      <c r="A8" s="2757">
        <v>1</v>
      </c>
      <c r="B8" s="2759" t="s">
        <v>384</v>
      </c>
      <c r="C8" s="2759"/>
      <c r="D8" s="2759"/>
      <c r="E8" s="2761" t="s">
        <v>35</v>
      </c>
      <c r="F8" s="2761"/>
      <c r="G8" s="2762"/>
      <c r="H8" s="2647" t="s">
        <v>7522</v>
      </c>
      <c r="I8" s="192"/>
      <c r="J8" s="192"/>
      <c r="K8" s="103"/>
      <c r="L8" s="103"/>
      <c r="M8" s="103"/>
      <c r="N8" s="103"/>
      <c r="O8" s="103"/>
      <c r="P8" s="103"/>
      <c r="Q8" s="103"/>
      <c r="R8" s="103"/>
      <c r="S8" s="103"/>
      <c r="T8" s="103"/>
      <c r="U8" s="103"/>
      <c r="V8" s="103"/>
      <c r="W8" s="103"/>
      <c r="X8" s="103"/>
      <c r="Y8" s="103"/>
      <c r="Z8" s="103"/>
      <c r="AA8" s="103"/>
      <c r="AB8" s="103"/>
      <c r="AC8" s="103"/>
      <c r="AD8" s="103"/>
      <c r="AE8" s="288"/>
      <c r="AF8" s="288"/>
      <c r="AG8" s="289"/>
      <c r="AH8" s="125"/>
    </row>
    <row r="9" spans="1:60" ht="29.25" customHeight="1" thickBot="1">
      <c r="A9" s="2758"/>
      <c r="B9" s="2760"/>
      <c r="C9" s="2760"/>
      <c r="D9" s="2760"/>
      <c r="E9" s="2763" t="s">
        <v>385</v>
      </c>
      <c r="F9" s="2763"/>
      <c r="G9" s="2764"/>
      <c r="H9" s="2765"/>
      <c r="I9" s="195"/>
      <c r="J9" s="195"/>
      <c r="K9" s="122"/>
      <c r="L9" s="122"/>
      <c r="M9" s="122"/>
      <c r="N9" s="122"/>
      <c r="O9" s="122"/>
      <c r="P9" s="122"/>
      <c r="Q9" s="122"/>
      <c r="R9" s="122"/>
      <c r="S9" s="122"/>
      <c r="T9" s="122"/>
      <c r="U9" s="122"/>
      <c r="V9" s="122"/>
      <c r="W9" s="122"/>
      <c r="X9" s="122"/>
      <c r="Y9" s="122"/>
      <c r="Z9" s="122"/>
      <c r="AA9" s="122"/>
      <c r="AB9" s="122"/>
      <c r="AC9" s="122"/>
      <c r="AD9" s="122"/>
      <c r="AE9" s="295"/>
      <c r="AF9" s="295"/>
      <c r="AG9" s="296"/>
      <c r="AH9" s="125"/>
    </row>
    <row r="10" spans="1:60" ht="121.15" customHeight="1">
      <c r="A10" s="2080" t="s">
        <v>6900</v>
      </c>
      <c r="B10" s="2081"/>
      <c r="C10" s="2081"/>
      <c r="D10" s="2081"/>
      <c r="E10" s="2081"/>
      <c r="F10" s="2081"/>
      <c r="G10" s="2081"/>
      <c r="H10" s="2081"/>
      <c r="I10" s="2081"/>
      <c r="J10" s="2081"/>
      <c r="K10" s="2081"/>
      <c r="L10" s="2081"/>
      <c r="M10" s="2145"/>
      <c r="N10" s="121"/>
      <c r="O10" s="121"/>
      <c r="P10" s="121"/>
      <c r="Q10" s="121"/>
      <c r="R10" s="121"/>
      <c r="S10" s="121"/>
      <c r="T10" s="121"/>
      <c r="U10" s="121"/>
      <c r="V10" s="121"/>
      <c r="W10" s="121"/>
      <c r="X10" s="121"/>
      <c r="Y10" s="121"/>
      <c r="Z10" s="121"/>
      <c r="AA10" s="121"/>
      <c r="AB10" s="121"/>
      <c r="AC10" s="121"/>
      <c r="AD10" s="121"/>
      <c r="AE10" s="125"/>
      <c r="AF10" s="125"/>
      <c r="AG10" s="297"/>
      <c r="AH10" s="125"/>
    </row>
    <row r="11" spans="1:60" ht="16" thickBot="1">
      <c r="A11" s="126"/>
      <c r="B11" s="127"/>
      <c r="C11" s="127"/>
      <c r="D11" s="128"/>
      <c r="E11" s="128"/>
      <c r="F11" s="129"/>
      <c r="G11" s="129"/>
      <c r="H11" s="129"/>
      <c r="I11" s="129"/>
      <c r="J11" s="129"/>
      <c r="K11" s="129"/>
      <c r="L11" s="130"/>
      <c r="M11" s="129"/>
      <c r="N11" s="129"/>
      <c r="O11" s="129"/>
      <c r="P11" s="129"/>
      <c r="Q11" s="129"/>
      <c r="R11" s="129"/>
      <c r="S11" s="129"/>
      <c r="T11" s="129"/>
      <c r="U11" s="129"/>
      <c r="V11" s="129"/>
      <c r="W11" s="129"/>
      <c r="X11" s="129"/>
      <c r="Y11" s="129"/>
      <c r="Z11" s="129"/>
      <c r="AA11" s="129"/>
      <c r="AB11" s="129"/>
      <c r="AC11" s="129"/>
      <c r="AD11" s="129"/>
      <c r="AE11" s="298"/>
      <c r="AF11" s="298"/>
      <c r="AG11" s="299"/>
      <c r="AH11" s="125"/>
      <c r="AW11" s="2795" t="s">
        <v>1540</v>
      </c>
      <c r="AX11" s="2795"/>
      <c r="AY11" s="2795"/>
      <c r="AZ11" s="2795"/>
      <c r="BA11" s="2795"/>
      <c r="BB11" s="2795"/>
      <c r="BC11" s="2795"/>
      <c r="BD11" s="2795"/>
      <c r="BE11" s="2795"/>
      <c r="BF11" s="2795"/>
      <c r="BG11" s="2795"/>
      <c r="BH11" s="2795"/>
    </row>
    <row r="12" spans="1:60" s="345" customFormat="1" ht="15" thickBot="1">
      <c r="A12" s="2740" t="s">
        <v>1233</v>
      </c>
      <c r="B12" s="2738"/>
      <c r="C12" s="2738"/>
      <c r="D12" s="2738"/>
      <c r="E12" s="2740" t="s">
        <v>149</v>
      </c>
      <c r="F12" s="2738"/>
      <c r="G12" s="2738"/>
      <c r="H12" s="2741"/>
      <c r="I12" s="2740" t="s">
        <v>150</v>
      </c>
      <c r="J12" s="2738"/>
      <c r="K12" s="2741"/>
      <c r="L12" s="2738" t="s">
        <v>151</v>
      </c>
      <c r="M12" s="2747" t="s">
        <v>49</v>
      </c>
      <c r="N12" s="2749" t="str">
        <f>IF(ISBLANK(IMP_ST_DATE),"Please fill setup",IF(MO_CHECK&gt;3,"Y1",YEAR(IMP_ST_DATE)))</f>
        <v>Please fill setup</v>
      </c>
      <c r="O12" s="2750"/>
      <c r="P12" s="2750"/>
      <c r="Q12" s="2750"/>
      <c r="R12" s="2750"/>
      <c r="S12" s="2750"/>
      <c r="T12" s="2751"/>
      <c r="U12" s="2749" t="str">
        <f>IF(N12="Y1","Y2",IF(ISBLANK(IMP_ST_DATE),"Please fill setup",YEAR(IMP_ST_DATE)+1))</f>
        <v>Please fill setup</v>
      </c>
      <c r="V12" s="2750"/>
      <c r="W12" s="2750"/>
      <c r="X12" s="2750"/>
      <c r="Y12" s="2750"/>
      <c r="Z12" s="2750"/>
      <c r="AA12" s="2751"/>
      <c r="AB12" s="2749" t="str">
        <f>IF(N12="Y1","Y3",IF(ISBLANK(IMP_ST_DATE),"Please fill setup",YEAR(IMP_ST_DATE)+2))</f>
        <v>Please fill setup</v>
      </c>
      <c r="AC12" s="2750"/>
      <c r="AD12" s="2750"/>
      <c r="AE12" s="2750"/>
      <c r="AF12" s="2750"/>
      <c r="AG12" s="2750"/>
      <c r="AH12" s="2751"/>
      <c r="AI12" s="2736" t="s">
        <v>152</v>
      </c>
      <c r="AJ12" s="2737"/>
      <c r="AK12" s="300" t="s">
        <v>153</v>
      </c>
      <c r="AL12" s="2792" t="s">
        <v>6866</v>
      </c>
      <c r="AM12" s="952"/>
      <c r="AW12" s="2794">
        <f>YEAR(IMP_ST_DATE)</f>
        <v>1900</v>
      </c>
      <c r="AX12" s="2794"/>
      <c r="AY12" s="2794"/>
      <c r="AZ12" s="2794"/>
      <c r="BA12" s="2794">
        <f>YEAR(IMP_ST_DATE)+1</f>
        <v>1901</v>
      </c>
      <c r="BB12" s="2794"/>
      <c r="BC12" s="2794"/>
      <c r="BD12" s="2794"/>
      <c r="BE12" s="2794">
        <f>YEAR(IMP_ST_DATE)+2</f>
        <v>1902</v>
      </c>
      <c r="BF12" s="2794"/>
      <c r="BG12" s="2794"/>
      <c r="BH12" s="2794"/>
    </row>
    <row r="13" spans="1:60" s="409" customFormat="1" ht="26.5" thickBot="1">
      <c r="A13" s="2742"/>
      <c r="B13" s="2739"/>
      <c r="C13" s="2739"/>
      <c r="D13" s="2739"/>
      <c r="E13" s="2742"/>
      <c r="F13" s="2739"/>
      <c r="G13" s="2739"/>
      <c r="H13" s="2743"/>
      <c r="I13" s="2744"/>
      <c r="J13" s="2745"/>
      <c r="K13" s="2746"/>
      <c r="L13" s="2739"/>
      <c r="M13" s="2748"/>
      <c r="N13" s="597" t="s">
        <v>198</v>
      </c>
      <c r="O13" s="597" t="s">
        <v>155</v>
      </c>
      <c r="P13" s="597" t="s">
        <v>156</v>
      </c>
      <c r="Q13" s="597" t="s">
        <v>157</v>
      </c>
      <c r="R13" s="597" t="s">
        <v>158</v>
      </c>
      <c r="S13" s="597" t="s">
        <v>159</v>
      </c>
      <c r="T13" s="301" t="s">
        <v>160</v>
      </c>
      <c r="U13" s="597" t="s">
        <v>161</v>
      </c>
      <c r="V13" s="597" t="s">
        <v>162</v>
      </c>
      <c r="W13" s="597" t="s">
        <v>163</v>
      </c>
      <c r="X13" s="597" t="s">
        <v>164</v>
      </c>
      <c r="Y13" s="597" t="s">
        <v>165</v>
      </c>
      <c r="Z13" s="597" t="s">
        <v>166</v>
      </c>
      <c r="AA13" s="597" t="s">
        <v>167</v>
      </c>
      <c r="AB13" s="302" t="s">
        <v>168</v>
      </c>
      <c r="AC13" s="597" t="s">
        <v>169</v>
      </c>
      <c r="AD13" s="597" t="s">
        <v>170</v>
      </c>
      <c r="AE13" s="597" t="s">
        <v>171</v>
      </c>
      <c r="AF13" s="597" t="s">
        <v>172</v>
      </c>
      <c r="AG13" s="597" t="s">
        <v>173</v>
      </c>
      <c r="AH13" s="301" t="s">
        <v>174</v>
      </c>
      <c r="AI13" s="302" t="s">
        <v>175</v>
      </c>
      <c r="AJ13" s="301" t="s">
        <v>176</v>
      </c>
      <c r="AK13" s="301" t="s">
        <v>177</v>
      </c>
      <c r="AL13" s="2793"/>
      <c r="AM13" s="953"/>
      <c r="AW13" s="603" t="s">
        <v>1528</v>
      </c>
      <c r="AX13" s="603" t="s">
        <v>1529</v>
      </c>
      <c r="AY13" s="603" t="s">
        <v>1530</v>
      </c>
      <c r="AZ13" s="603" t="s">
        <v>1531</v>
      </c>
      <c r="BA13" s="603" t="s">
        <v>1532</v>
      </c>
      <c r="BB13" s="603" t="s">
        <v>1533</v>
      </c>
      <c r="BC13" s="603" t="s">
        <v>1535</v>
      </c>
      <c r="BD13" s="603" t="s">
        <v>1536</v>
      </c>
      <c r="BE13" s="603" t="s">
        <v>1537</v>
      </c>
      <c r="BF13" s="603" t="s">
        <v>1538</v>
      </c>
      <c r="BG13" s="603" t="s">
        <v>1534</v>
      </c>
      <c r="BH13" s="603" t="s">
        <v>1539</v>
      </c>
    </row>
    <row r="14" spans="1:60">
      <c r="A14" s="2728"/>
      <c r="B14" s="2729"/>
      <c r="C14" s="2729"/>
      <c r="D14" s="2729"/>
      <c r="E14" s="2773"/>
      <c r="F14" s="2774"/>
      <c r="G14" s="2774"/>
      <c r="H14" s="2775"/>
      <c r="I14" s="2773"/>
      <c r="J14" s="2774"/>
      <c r="K14" s="2775"/>
      <c r="L14" s="303" t="str">
        <f>IF(E14="","", IF(AND(ISNUMBER(SEARCH("Artesunate",E14)),OR(ISNUMBER(SEARCH("120mg",I14)),ISNUMBER(SEARCH("60mg",I14)))),"Piece","Pack"))</f>
        <v/>
      </c>
      <c r="M14" s="303" t="str">
        <f>IF(L14="", "","USD")</f>
        <v/>
      </c>
      <c r="N14" s="1406"/>
      <c r="O14" s="1409"/>
      <c r="P14" s="1409"/>
      <c r="Q14" s="1409"/>
      <c r="R14" s="1409"/>
      <c r="S14" s="49">
        <f>SUM(Table6422[[#This Row],[Y1 Q1 quantity]:[Y1 Q4 quantity]])</f>
        <v>0</v>
      </c>
      <c r="T14" s="50">
        <f>Table6422[[#This Row],[Y1 Unit cost]]*Table6422[[#This Row],[Y1 Total quantity]]</f>
        <v>0</v>
      </c>
      <c r="U14" s="1406"/>
      <c r="V14" s="1409"/>
      <c r="W14" s="1409"/>
      <c r="X14" s="1409"/>
      <c r="Y14" s="1409"/>
      <c r="Z14" s="49">
        <f>SUM(Table6422[[#This Row],[Y2 Q1 quantity]:[Y2 Q4 quantity]])</f>
        <v>0</v>
      </c>
      <c r="AA14" s="55">
        <f>Table6422[[#This Row],[Y2 Unit cost]]*Table6422[[#This Row],[Y2 Total quantity]]</f>
        <v>0</v>
      </c>
      <c r="AB14" s="1406"/>
      <c r="AC14" s="1409"/>
      <c r="AD14" s="1409"/>
      <c r="AE14" s="1409"/>
      <c r="AF14" s="1409"/>
      <c r="AG14" s="49">
        <f>SUM(Table6422[[#This Row],[Y3 Q1 quantity]:[Y3 Q4 quantity]])</f>
        <v>0</v>
      </c>
      <c r="AH14" s="55">
        <f>Table6422[[#This Row],[Y3 Unit cost]]*Table6422[[#This Row],[Y3 Total quantity]]</f>
        <v>0</v>
      </c>
      <c r="AI14" s="49">
        <f>Table6422[[#This Row],[Y1 Total quantity]]+Table6422[[#This Row],[Y2 Total quantity]]+Table6422[[#This Row],[Y3 Total quantity]]</f>
        <v>0</v>
      </c>
      <c r="AJ14" s="55">
        <f>Table6422[[#This Row],[Y1 Total cost]]+Table6422[[#This Row],[Y2 Total cost]]+Table6422[[#This Row],[Y3 Total cost]]</f>
        <v>0</v>
      </c>
      <c r="AK14" s="308" t="str">
        <f t="shared" ref="AK14:AK45" si="0">IF(E14="","","4.3")</f>
        <v/>
      </c>
      <c r="AL14" s="1261"/>
      <c r="AM14" s="613" t="s">
        <v>387</v>
      </c>
      <c r="AV14" s="604" t="s">
        <v>576</v>
      </c>
      <c r="AW14" s="604">
        <f>SUMPRODUCT(($A$14:$D$60="Antimalaria medicines - treatment")*($N$14:$N$60)*((O14:O60)))</f>
        <v>0</v>
      </c>
      <c r="AX14" s="604">
        <f>SUMPRODUCT(($A$14:$D$60="Antimalaria medicines - treatment")*($N$14:$N$60)*((P14:P60)))</f>
        <v>0</v>
      </c>
      <c r="AY14" s="604">
        <f>SUMPRODUCT(($A$14:$D$60="Antimalaria medicines - treatment")*($N$14:$N$60)*((Q14:Q60)))</f>
        <v>0</v>
      </c>
      <c r="AZ14" s="604">
        <f>SUMPRODUCT(($A$14:$D$60="Antimalaria medicines - treatment")*($N$14:$N$60)*((R14:R60)))</f>
        <v>0</v>
      </c>
      <c r="BA14" s="604">
        <f>SUMPRODUCT(($A$14:$D$60="Antimalaria medicines - treatment")*($U$14:$U$60)*((V14:V60)))</f>
        <v>0</v>
      </c>
      <c r="BB14" s="604">
        <f>SUMPRODUCT(($A$14:$D$60="Antimalaria medicines - treatment")*($U$14:$U$60)*((W14:W60)))</f>
        <v>0</v>
      </c>
      <c r="BC14" s="604">
        <f>SUMPRODUCT(($A$14:$D$60="Antimalaria medicines - treatment")*($U$14:$U$60)*((X14:X60)))</f>
        <v>0</v>
      </c>
      <c r="BD14" s="604">
        <f>SUMPRODUCT(($A$14:$D$60="Antimalaria medicines - treatment")*($U$14:$U$60)*((Y14:Y60)))</f>
        <v>0</v>
      </c>
      <c r="BE14" s="604">
        <f>SUMPRODUCT(($A$14:$D$60="Antimalaria medicines - treatment")*($AB$14:$AB$60)*((AC14:AC60)))</f>
        <v>0</v>
      </c>
      <c r="BF14" s="604">
        <f>SUMPRODUCT(($A$14:$D$60="Antimalaria medicines - treatment")*($AB$14:$AB$60)*((AD14:AD60)))</f>
        <v>0</v>
      </c>
      <c r="BG14" s="604">
        <f>SUMPRODUCT(($A$14:$D$60="Antimalaria medicines - treatment")*($AB$14:$AB$60)*((AE14:AE60)))</f>
        <v>0</v>
      </c>
      <c r="BH14" s="604">
        <f>SUMPRODUCT(($A$14:$D$60="Antimalaria medicines - treatment")*($AB$14:$AB$60)*((AF14:AF60)))</f>
        <v>0</v>
      </c>
    </row>
    <row r="15" spans="1:60" ht="14.65" customHeight="1">
      <c r="A15" s="2730"/>
      <c r="B15" s="2730"/>
      <c r="C15" s="2730"/>
      <c r="D15" s="2731"/>
      <c r="E15" s="2755"/>
      <c r="F15" s="2109"/>
      <c r="G15" s="2109"/>
      <c r="H15" s="2756"/>
      <c r="I15" s="2755"/>
      <c r="J15" s="2109"/>
      <c r="K15" s="2756"/>
      <c r="L15" s="304" t="str">
        <f>IF(E15="","", IF(AND(ISNUMBER(SEARCH("Artesunate",E15)),OR(ISNUMBER(SEARCH("120mg",I15)),ISNUMBER(SEARCH("60mg",I15)))),"Piece","Pack"))</f>
        <v/>
      </c>
      <c r="M15" s="305" t="str">
        <f>IF(L15="", "","USD")</f>
        <v/>
      </c>
      <c r="N15" s="1407"/>
      <c r="O15" s="1039"/>
      <c r="P15" s="1039"/>
      <c r="Q15" s="1039"/>
      <c r="R15" s="1039"/>
      <c r="S15" s="51">
        <f>SUM(Table6422[[#This Row],[Y1 Q1 quantity]:[Y1 Q4 quantity]])</f>
        <v>0</v>
      </c>
      <c r="T15" s="52">
        <f>Table6422[[#This Row],[Y1 Unit cost]]*Table6422[[#This Row],[Y1 Total quantity]]</f>
        <v>0</v>
      </c>
      <c r="U15" s="1407"/>
      <c r="V15" s="1039"/>
      <c r="W15" s="1039"/>
      <c r="X15" s="1039"/>
      <c r="Y15" s="1039"/>
      <c r="Z15" s="51">
        <f>SUM(Table6422[[#This Row],[Y2 Q1 quantity]:[Y2 Q4 quantity]])</f>
        <v>0</v>
      </c>
      <c r="AA15" s="56">
        <f>Table6422[[#This Row],[Y2 Unit cost]]*Table6422[[#This Row],[Y2 Total quantity]]</f>
        <v>0</v>
      </c>
      <c r="AB15" s="1407"/>
      <c r="AC15" s="1039"/>
      <c r="AD15" s="1039"/>
      <c r="AE15" s="1039"/>
      <c r="AF15" s="1039"/>
      <c r="AG15" s="51">
        <f>SUM(Table6422[[#This Row],[Y3 Q1 quantity]:[Y3 Q4 quantity]])</f>
        <v>0</v>
      </c>
      <c r="AH15" s="56">
        <f>Table6422[[#This Row],[Y3 Unit cost]]*Table6422[[#This Row],[Y3 Total quantity]]</f>
        <v>0</v>
      </c>
      <c r="AI15" s="51">
        <f>Table6422[[#This Row],[Y1 Total quantity]]+Table6422[[#This Row],[Y2 Total quantity]]+Table6422[[#This Row],[Y3 Total quantity]]</f>
        <v>0</v>
      </c>
      <c r="AJ15" s="56">
        <f>Table6422[[#This Row],[Y1 Total cost]]+Table6422[[#This Row],[Y2 Total cost]]+Table6422[[#This Row],[Y3 Total cost]]</f>
        <v>0</v>
      </c>
      <c r="AK15" s="309" t="str">
        <f t="shared" si="0"/>
        <v/>
      </c>
      <c r="AL15" s="1262"/>
      <c r="AV15" s="604" t="s">
        <v>1235</v>
      </c>
      <c r="AW15" s="604">
        <f>SUMPRODUCT(($A$68:$D$75="Antimalaria medicines - prevention")*($N$68:$N$75)*((O68:O75)))</f>
        <v>0</v>
      </c>
      <c r="AX15" s="604">
        <f>SUMPRODUCT(($A$68:$D$75="Antimalaria medicines - prevention")*($N$68:$N$75)*((P68:P75)))</f>
        <v>0</v>
      </c>
      <c r="AY15" s="604">
        <f>SUMPRODUCT(($A$68:$D$75="Antimalaria medicines - prevention")*($N$68:$N$75)*((Q68:Q75)))</f>
        <v>0</v>
      </c>
      <c r="AZ15" s="604">
        <f>SUMPRODUCT(($A$68:$D$75="Antimalaria medicines - prevention")*($N$68:$N$75)*((R68:R75)))</f>
        <v>0</v>
      </c>
      <c r="BA15" s="604">
        <f>SUMPRODUCT(($A$68:$D$75="Antimalaria medicines - prevention")*($U$68:$U$75)*((V68:V75)))</f>
        <v>0</v>
      </c>
      <c r="BB15" s="604">
        <f>SUMPRODUCT(($A$68:$D$75="Antimalaria medicines - prevention")*($U$68:$U$75)*((W68:W75)))</f>
        <v>0</v>
      </c>
      <c r="BC15" s="604">
        <f>SUMPRODUCT(($A$68:$D$75="Antimalaria medicines - prevention")*($U$68:$U$75)*((X68:X75)))</f>
        <v>0</v>
      </c>
      <c r="BD15" s="604">
        <f>SUMPRODUCT(($A$68:$D$75="Antimalaria medicines - prevention")*($U$68:$U$75)*((Y68:Y75)))</f>
        <v>0</v>
      </c>
      <c r="BE15" s="604">
        <f>SUMPRODUCT(($A$68:$D$75="Antimalaria medicines - prevention")*($AB$68:$AB$75)*((AC68:AC75)))</f>
        <v>0</v>
      </c>
      <c r="BF15" s="604">
        <f>SUMPRODUCT(($A$68:$D$75="Antimalaria medicines - prevention")*($AB$68:$AB$75)*((AD68:AD75)))</f>
        <v>0</v>
      </c>
      <c r="BG15" s="604">
        <f>SUMPRODUCT(($A$68:$D$75="Antimalaria medicines - prevention")*($AB$68:$AB$75)*((AE68:AE75)))</f>
        <v>0</v>
      </c>
      <c r="BH15" s="604">
        <f>SUMPRODUCT(($A$68:$D$75="Antimalaria medicines - prevention")*($AB$68:$AB$75)*((AF68:AF75)))</f>
        <v>0</v>
      </c>
    </row>
    <row r="16" spans="1:60" ht="14.65" customHeight="1">
      <c r="A16" s="2732"/>
      <c r="B16" s="2732"/>
      <c r="C16" s="2732"/>
      <c r="D16" s="2733"/>
      <c r="E16" s="2752"/>
      <c r="F16" s="2753"/>
      <c r="G16" s="2753"/>
      <c r="H16" s="2754"/>
      <c r="I16" s="2752"/>
      <c r="J16" s="2753"/>
      <c r="K16" s="2754"/>
      <c r="L16" s="306" t="str">
        <f t="shared" ref="L16:L60" si="1">IF(E16="","", IF(AND(ISNUMBER(SEARCH("Artesunate",E16)),OR(ISNUMBER(SEARCH("120mg",I16)),ISNUMBER(SEARCH("60mg",I16)))),"Piece","Pack"))</f>
        <v/>
      </c>
      <c r="M16" s="306" t="str">
        <f>IF(L16="", "","USD")</f>
        <v/>
      </c>
      <c r="N16" s="1407"/>
      <c r="O16" s="1039"/>
      <c r="P16" s="1039"/>
      <c r="Q16" s="1039"/>
      <c r="R16" s="1039"/>
      <c r="S16" s="51">
        <f>SUM(Table6422[[#This Row],[Y1 Q1 quantity]:[Y1 Q4 quantity]])</f>
        <v>0</v>
      </c>
      <c r="T16" s="52">
        <f>Table6422[[#This Row],[Y1 Unit cost]]*Table6422[[#This Row],[Y1 Total quantity]]</f>
        <v>0</v>
      </c>
      <c r="U16" s="1407"/>
      <c r="V16" s="1039"/>
      <c r="W16" s="1039"/>
      <c r="X16" s="1039"/>
      <c r="Y16" s="1039"/>
      <c r="Z16" s="51">
        <f>SUM(Table6422[[#This Row],[Y2 Q1 quantity]:[Y2 Q4 quantity]])</f>
        <v>0</v>
      </c>
      <c r="AA16" s="56">
        <f>Table6422[[#This Row],[Y2 Unit cost]]*Table6422[[#This Row],[Y2 Total quantity]]</f>
        <v>0</v>
      </c>
      <c r="AB16" s="1407"/>
      <c r="AC16" s="1039"/>
      <c r="AD16" s="1039"/>
      <c r="AE16" s="1039"/>
      <c r="AF16" s="1039"/>
      <c r="AG16" s="51">
        <f>SUM(Table6422[[#This Row],[Y3 Q1 quantity]:[Y3 Q4 quantity]])</f>
        <v>0</v>
      </c>
      <c r="AH16" s="56">
        <f>Table6422[[#This Row],[Y3 Unit cost]]*Table6422[[#This Row],[Y3 Total quantity]]</f>
        <v>0</v>
      </c>
      <c r="AI16" s="51">
        <f>Table6422[[#This Row],[Y1 Total quantity]]+Table6422[[#This Row],[Y2 Total quantity]]+Table6422[[#This Row],[Y3 Total quantity]]</f>
        <v>0</v>
      </c>
      <c r="AJ16" s="56">
        <f>Table6422[[#This Row],[Y1 Total cost]]+Table6422[[#This Row],[Y2 Total cost]]+Table6422[[#This Row],[Y3 Total cost]]</f>
        <v>0</v>
      </c>
      <c r="AK16" s="309" t="str">
        <f t="shared" si="0"/>
        <v/>
      </c>
      <c r="AL16" s="1261"/>
    </row>
    <row r="17" spans="1:39" ht="14.65" customHeight="1">
      <c r="A17" s="2730"/>
      <c r="B17" s="2730"/>
      <c r="C17" s="2730"/>
      <c r="D17" s="2731"/>
      <c r="E17" s="2755"/>
      <c r="F17" s="2109"/>
      <c r="G17" s="2109"/>
      <c r="H17" s="2756"/>
      <c r="I17" s="2755"/>
      <c r="J17" s="2109"/>
      <c r="K17" s="2756"/>
      <c r="L17" s="304" t="str">
        <f t="shared" si="1"/>
        <v/>
      </c>
      <c r="M17" s="305" t="str">
        <f t="shared" ref="M17:M60" si="2">IF(L17="", "","USD")</f>
        <v/>
      </c>
      <c r="N17" s="1407"/>
      <c r="O17" s="1039"/>
      <c r="P17" s="1039"/>
      <c r="Q17" s="1039"/>
      <c r="R17" s="1039"/>
      <c r="S17" s="51">
        <f>SUM(Table6422[[#This Row],[Y1 Q1 quantity]:[Y1 Q4 quantity]])</f>
        <v>0</v>
      </c>
      <c r="T17" s="52">
        <f>Table6422[[#This Row],[Y1 Unit cost]]*Table6422[[#This Row],[Y1 Total quantity]]</f>
        <v>0</v>
      </c>
      <c r="U17" s="1407"/>
      <c r="V17" s="1039"/>
      <c r="W17" s="1039"/>
      <c r="X17" s="1039"/>
      <c r="Y17" s="1039"/>
      <c r="Z17" s="51">
        <f>SUM(Table6422[[#This Row],[Y2 Q1 quantity]:[Y2 Q4 quantity]])</f>
        <v>0</v>
      </c>
      <c r="AA17" s="56">
        <f>Table6422[[#This Row],[Y2 Unit cost]]*Table6422[[#This Row],[Y2 Total quantity]]</f>
        <v>0</v>
      </c>
      <c r="AB17" s="1407"/>
      <c r="AC17" s="1039"/>
      <c r="AD17" s="1039"/>
      <c r="AE17" s="1039"/>
      <c r="AF17" s="1039"/>
      <c r="AG17" s="51">
        <f>SUM(Table6422[[#This Row],[Y3 Q1 quantity]:[Y3 Q4 quantity]])</f>
        <v>0</v>
      </c>
      <c r="AH17" s="56">
        <f>Table6422[[#This Row],[Y3 Unit cost]]*Table6422[[#This Row],[Y3 Total quantity]]</f>
        <v>0</v>
      </c>
      <c r="AI17" s="51">
        <f>Table6422[[#This Row],[Y1 Total quantity]]+Table6422[[#This Row],[Y2 Total quantity]]+Table6422[[#This Row],[Y3 Total quantity]]</f>
        <v>0</v>
      </c>
      <c r="AJ17" s="56">
        <f>Table6422[[#This Row],[Y1 Total cost]]+Table6422[[#This Row],[Y2 Total cost]]+Table6422[[#This Row],[Y3 Total cost]]</f>
        <v>0</v>
      </c>
      <c r="AK17" s="309" t="str">
        <f t="shared" si="0"/>
        <v/>
      </c>
      <c r="AL17" s="1262"/>
    </row>
    <row r="18" spans="1:39">
      <c r="A18" s="2732"/>
      <c r="B18" s="2732"/>
      <c r="C18" s="2732"/>
      <c r="D18" s="2733"/>
      <c r="E18" s="2752"/>
      <c r="F18" s="2753"/>
      <c r="G18" s="2753"/>
      <c r="H18" s="2754"/>
      <c r="I18" s="2752"/>
      <c r="J18" s="2753"/>
      <c r="K18" s="2754"/>
      <c r="L18" s="306" t="str">
        <f t="shared" si="1"/>
        <v/>
      </c>
      <c r="M18" s="306" t="str">
        <f t="shared" si="2"/>
        <v/>
      </c>
      <c r="N18" s="1407"/>
      <c r="O18" s="1039"/>
      <c r="P18" s="1039"/>
      <c r="Q18" s="1039"/>
      <c r="R18" s="1039"/>
      <c r="S18" s="51">
        <f>SUM(Table6422[[#This Row],[Y1 Q1 quantity]:[Y1 Q4 quantity]])</f>
        <v>0</v>
      </c>
      <c r="T18" s="52">
        <f>Table6422[[#This Row],[Y1 Unit cost]]*Table6422[[#This Row],[Y1 Total quantity]]</f>
        <v>0</v>
      </c>
      <c r="U18" s="1407"/>
      <c r="V18" s="1039"/>
      <c r="W18" s="1039"/>
      <c r="X18" s="1039"/>
      <c r="Y18" s="1039"/>
      <c r="Z18" s="51">
        <f>SUM(Table6422[[#This Row],[Y2 Q1 quantity]:[Y2 Q4 quantity]])</f>
        <v>0</v>
      </c>
      <c r="AA18" s="56">
        <f>Table6422[[#This Row],[Y2 Unit cost]]*Table6422[[#This Row],[Y2 Total quantity]]</f>
        <v>0</v>
      </c>
      <c r="AB18" s="1407"/>
      <c r="AC18" s="1039"/>
      <c r="AD18" s="1039"/>
      <c r="AE18" s="1039"/>
      <c r="AF18" s="1039"/>
      <c r="AG18" s="51">
        <f>SUM(Table6422[[#This Row],[Y3 Q1 quantity]:[Y3 Q4 quantity]])</f>
        <v>0</v>
      </c>
      <c r="AH18" s="56">
        <f>Table6422[[#This Row],[Y3 Unit cost]]*Table6422[[#This Row],[Y3 Total quantity]]</f>
        <v>0</v>
      </c>
      <c r="AI18" s="51">
        <f>Table6422[[#This Row],[Y1 Total quantity]]+Table6422[[#This Row],[Y2 Total quantity]]+Table6422[[#This Row],[Y3 Total quantity]]</f>
        <v>0</v>
      </c>
      <c r="AJ18" s="56">
        <f>Table6422[[#This Row],[Y1 Total cost]]+Table6422[[#This Row],[Y2 Total cost]]+Table6422[[#This Row],[Y3 Total cost]]</f>
        <v>0</v>
      </c>
      <c r="AK18" s="309" t="str">
        <f t="shared" si="0"/>
        <v/>
      </c>
      <c r="AL18" s="1261"/>
      <c r="AM18" s="613" t="s">
        <v>389</v>
      </c>
    </row>
    <row r="19" spans="1:39">
      <c r="A19" s="2730"/>
      <c r="B19" s="2730"/>
      <c r="C19" s="2730"/>
      <c r="D19" s="2731"/>
      <c r="E19" s="2755"/>
      <c r="F19" s="2109"/>
      <c r="G19" s="2109"/>
      <c r="H19" s="2756"/>
      <c r="I19" s="2755"/>
      <c r="J19" s="2109"/>
      <c r="K19" s="2756"/>
      <c r="L19" s="304" t="str">
        <f t="shared" si="1"/>
        <v/>
      </c>
      <c r="M19" s="305" t="str">
        <f t="shared" si="2"/>
        <v/>
      </c>
      <c r="N19" s="1407"/>
      <c r="O19" s="1039"/>
      <c r="P19" s="1039"/>
      <c r="Q19" s="1039"/>
      <c r="R19" s="1039"/>
      <c r="S19" s="51">
        <f>SUM(Table6422[[#This Row],[Y1 Q1 quantity]:[Y1 Q4 quantity]])</f>
        <v>0</v>
      </c>
      <c r="T19" s="52">
        <f>Table6422[[#This Row],[Y1 Unit cost]]*Table6422[[#This Row],[Y1 Total quantity]]</f>
        <v>0</v>
      </c>
      <c r="U19" s="1407"/>
      <c r="V19" s="1039"/>
      <c r="W19" s="1039"/>
      <c r="X19" s="1039"/>
      <c r="Y19" s="1039"/>
      <c r="Z19" s="51">
        <f>SUM(Table6422[[#This Row],[Y2 Q1 quantity]:[Y2 Q4 quantity]])</f>
        <v>0</v>
      </c>
      <c r="AA19" s="56">
        <f>Table6422[[#This Row],[Y2 Unit cost]]*Table6422[[#This Row],[Y2 Total quantity]]</f>
        <v>0</v>
      </c>
      <c r="AB19" s="1407"/>
      <c r="AC19" s="1039"/>
      <c r="AD19" s="1039"/>
      <c r="AE19" s="1039"/>
      <c r="AF19" s="1039"/>
      <c r="AG19" s="51">
        <f>SUM(Table6422[[#This Row],[Y3 Q1 quantity]:[Y3 Q4 quantity]])</f>
        <v>0</v>
      </c>
      <c r="AH19" s="56">
        <f>Table6422[[#This Row],[Y3 Unit cost]]*Table6422[[#This Row],[Y3 Total quantity]]</f>
        <v>0</v>
      </c>
      <c r="AI19" s="51">
        <f>Table6422[[#This Row],[Y1 Total quantity]]+Table6422[[#This Row],[Y2 Total quantity]]+Table6422[[#This Row],[Y3 Total quantity]]</f>
        <v>0</v>
      </c>
      <c r="AJ19" s="56">
        <f>Table6422[[#This Row],[Y1 Total cost]]+Table6422[[#This Row],[Y2 Total cost]]+Table6422[[#This Row],[Y3 Total cost]]</f>
        <v>0</v>
      </c>
      <c r="AK19" s="309" t="str">
        <f t="shared" si="0"/>
        <v/>
      </c>
      <c r="AL19" s="1262"/>
      <c r="AM19" s="613" t="s">
        <v>391</v>
      </c>
    </row>
    <row r="20" spans="1:39">
      <c r="A20" s="2732"/>
      <c r="B20" s="2732"/>
      <c r="C20" s="2732"/>
      <c r="D20" s="2733"/>
      <c r="E20" s="2752"/>
      <c r="F20" s="2753"/>
      <c r="G20" s="2753"/>
      <c r="H20" s="2754"/>
      <c r="I20" s="2752"/>
      <c r="J20" s="2753"/>
      <c r="K20" s="2754"/>
      <c r="L20" s="306" t="str">
        <f t="shared" si="1"/>
        <v/>
      </c>
      <c r="M20" s="306" t="str">
        <f t="shared" si="2"/>
        <v/>
      </c>
      <c r="N20" s="1407"/>
      <c r="O20" s="1039"/>
      <c r="P20" s="1039"/>
      <c r="Q20" s="1039"/>
      <c r="R20" s="1039"/>
      <c r="S20" s="51">
        <f>SUM(Table6422[[#This Row],[Y1 Q1 quantity]:[Y1 Q4 quantity]])</f>
        <v>0</v>
      </c>
      <c r="T20" s="52">
        <f>Table6422[[#This Row],[Y1 Unit cost]]*Table6422[[#This Row],[Y1 Total quantity]]</f>
        <v>0</v>
      </c>
      <c r="U20" s="1407"/>
      <c r="V20" s="1039"/>
      <c r="W20" s="1039"/>
      <c r="X20" s="1039"/>
      <c r="Y20" s="1039"/>
      <c r="Z20" s="51">
        <f>SUM(Table6422[[#This Row],[Y2 Q1 quantity]:[Y2 Q4 quantity]])</f>
        <v>0</v>
      </c>
      <c r="AA20" s="56">
        <f>Table6422[[#This Row],[Y2 Unit cost]]*Table6422[[#This Row],[Y2 Total quantity]]</f>
        <v>0</v>
      </c>
      <c r="AB20" s="1407"/>
      <c r="AC20" s="1039"/>
      <c r="AD20" s="1039"/>
      <c r="AE20" s="1039"/>
      <c r="AF20" s="1039"/>
      <c r="AG20" s="51">
        <f>SUM(Table6422[[#This Row],[Y3 Q1 quantity]:[Y3 Q4 quantity]])</f>
        <v>0</v>
      </c>
      <c r="AH20" s="56">
        <f>Table6422[[#This Row],[Y3 Unit cost]]*Table6422[[#This Row],[Y3 Total quantity]]</f>
        <v>0</v>
      </c>
      <c r="AI20" s="51">
        <f>Table6422[[#This Row],[Y1 Total quantity]]+Table6422[[#This Row],[Y2 Total quantity]]+Table6422[[#This Row],[Y3 Total quantity]]</f>
        <v>0</v>
      </c>
      <c r="AJ20" s="56">
        <f>Table6422[[#This Row],[Y1 Total cost]]+Table6422[[#This Row],[Y2 Total cost]]+Table6422[[#This Row],[Y3 Total cost]]</f>
        <v>0</v>
      </c>
      <c r="AK20" s="309" t="str">
        <f t="shared" si="0"/>
        <v/>
      </c>
      <c r="AL20" s="1261"/>
      <c r="AM20" s="613" t="s">
        <v>393</v>
      </c>
    </row>
    <row r="21" spans="1:39">
      <c r="A21" s="2730"/>
      <c r="B21" s="2730"/>
      <c r="C21" s="2730"/>
      <c r="D21" s="2731"/>
      <c r="E21" s="2755"/>
      <c r="F21" s="2109"/>
      <c r="G21" s="2109"/>
      <c r="H21" s="2756"/>
      <c r="I21" s="2755"/>
      <c r="J21" s="2109"/>
      <c r="K21" s="2756"/>
      <c r="L21" s="304" t="str">
        <f t="shared" si="1"/>
        <v/>
      </c>
      <c r="M21" s="305" t="str">
        <f t="shared" si="2"/>
        <v/>
      </c>
      <c r="N21" s="1407"/>
      <c r="O21" s="1039"/>
      <c r="P21" s="1039"/>
      <c r="Q21" s="1039"/>
      <c r="R21" s="1039"/>
      <c r="S21" s="51">
        <f>SUM(Table6422[[#This Row],[Y1 Q1 quantity]:[Y1 Q4 quantity]])</f>
        <v>0</v>
      </c>
      <c r="T21" s="52">
        <f>Table6422[[#This Row],[Y1 Unit cost]]*Table6422[[#This Row],[Y1 Total quantity]]</f>
        <v>0</v>
      </c>
      <c r="U21" s="1407"/>
      <c r="V21" s="1039"/>
      <c r="W21" s="1039"/>
      <c r="X21" s="1039"/>
      <c r="Y21" s="1039"/>
      <c r="Z21" s="51">
        <f>SUM(Table6422[[#This Row],[Y2 Q1 quantity]:[Y2 Q4 quantity]])</f>
        <v>0</v>
      </c>
      <c r="AA21" s="56">
        <f>Table6422[[#This Row],[Y2 Unit cost]]*Table6422[[#This Row],[Y2 Total quantity]]</f>
        <v>0</v>
      </c>
      <c r="AB21" s="1407"/>
      <c r="AC21" s="1039"/>
      <c r="AD21" s="1039"/>
      <c r="AE21" s="1039"/>
      <c r="AF21" s="1039"/>
      <c r="AG21" s="51">
        <f>SUM(Table6422[[#This Row],[Y3 Q1 quantity]:[Y3 Q4 quantity]])</f>
        <v>0</v>
      </c>
      <c r="AH21" s="56">
        <f>Table6422[[#This Row],[Y3 Unit cost]]*Table6422[[#This Row],[Y3 Total quantity]]</f>
        <v>0</v>
      </c>
      <c r="AI21" s="51">
        <f>Table6422[[#This Row],[Y1 Total quantity]]+Table6422[[#This Row],[Y2 Total quantity]]+Table6422[[#This Row],[Y3 Total quantity]]</f>
        <v>0</v>
      </c>
      <c r="AJ21" s="56">
        <f>Table6422[[#This Row],[Y1 Total cost]]+Table6422[[#This Row],[Y2 Total cost]]+Table6422[[#This Row],[Y3 Total cost]]</f>
        <v>0</v>
      </c>
      <c r="AK21" s="309" t="str">
        <f t="shared" si="0"/>
        <v/>
      </c>
      <c r="AL21" s="1262"/>
      <c r="AM21" s="613" t="s">
        <v>395</v>
      </c>
    </row>
    <row r="22" spans="1:39">
      <c r="A22" s="2732"/>
      <c r="B22" s="2732"/>
      <c r="C22" s="2732"/>
      <c r="D22" s="2733"/>
      <c r="E22" s="2752"/>
      <c r="F22" s="2753"/>
      <c r="G22" s="2753"/>
      <c r="H22" s="2754"/>
      <c r="I22" s="2752"/>
      <c r="J22" s="2753"/>
      <c r="K22" s="2754"/>
      <c r="L22" s="306" t="str">
        <f t="shared" si="1"/>
        <v/>
      </c>
      <c r="M22" s="306" t="str">
        <f t="shared" si="2"/>
        <v/>
      </c>
      <c r="N22" s="1407"/>
      <c r="O22" s="1039"/>
      <c r="P22" s="1039"/>
      <c r="Q22" s="1039"/>
      <c r="R22" s="1039"/>
      <c r="S22" s="51">
        <f>SUM(Table6422[[#This Row],[Y1 Q1 quantity]:[Y1 Q4 quantity]])</f>
        <v>0</v>
      </c>
      <c r="T22" s="52">
        <f>Table6422[[#This Row],[Y1 Unit cost]]*Table6422[[#This Row],[Y1 Total quantity]]</f>
        <v>0</v>
      </c>
      <c r="U22" s="1407"/>
      <c r="V22" s="1039"/>
      <c r="W22" s="1039"/>
      <c r="X22" s="1039"/>
      <c r="Y22" s="1039"/>
      <c r="Z22" s="51">
        <f>SUM(Table6422[[#This Row],[Y2 Q1 quantity]:[Y2 Q4 quantity]])</f>
        <v>0</v>
      </c>
      <c r="AA22" s="56">
        <f>Table6422[[#This Row],[Y2 Unit cost]]*Table6422[[#This Row],[Y2 Total quantity]]</f>
        <v>0</v>
      </c>
      <c r="AB22" s="1407"/>
      <c r="AC22" s="1039"/>
      <c r="AD22" s="1039"/>
      <c r="AE22" s="1039"/>
      <c r="AF22" s="1039"/>
      <c r="AG22" s="51">
        <f>SUM(Table6422[[#This Row],[Y3 Q1 quantity]:[Y3 Q4 quantity]])</f>
        <v>0</v>
      </c>
      <c r="AH22" s="56">
        <f>Table6422[[#This Row],[Y3 Unit cost]]*Table6422[[#This Row],[Y3 Total quantity]]</f>
        <v>0</v>
      </c>
      <c r="AI22" s="51">
        <f>Table6422[[#This Row],[Y1 Total quantity]]+Table6422[[#This Row],[Y2 Total quantity]]+Table6422[[#This Row],[Y3 Total quantity]]</f>
        <v>0</v>
      </c>
      <c r="AJ22" s="56">
        <f>Table6422[[#This Row],[Y1 Total cost]]+Table6422[[#This Row],[Y2 Total cost]]+Table6422[[#This Row],[Y3 Total cost]]</f>
        <v>0</v>
      </c>
      <c r="AK22" s="309" t="str">
        <f t="shared" si="0"/>
        <v/>
      </c>
      <c r="AL22" s="1261"/>
    </row>
    <row r="23" spans="1:39">
      <c r="A23" s="2730"/>
      <c r="B23" s="2730"/>
      <c r="C23" s="2730"/>
      <c r="D23" s="2731"/>
      <c r="E23" s="2755"/>
      <c r="F23" s="2109"/>
      <c r="G23" s="2109"/>
      <c r="H23" s="2756"/>
      <c r="I23" s="2755"/>
      <c r="J23" s="2109"/>
      <c r="K23" s="2756"/>
      <c r="L23" s="304" t="str">
        <f t="shared" si="1"/>
        <v/>
      </c>
      <c r="M23" s="305" t="str">
        <f t="shared" si="2"/>
        <v/>
      </c>
      <c r="N23" s="1407"/>
      <c r="O23" s="1039"/>
      <c r="P23" s="1039"/>
      <c r="Q23" s="1039"/>
      <c r="R23" s="1039"/>
      <c r="S23" s="51">
        <f>SUM(Table6422[[#This Row],[Y1 Q1 quantity]:[Y1 Q4 quantity]])</f>
        <v>0</v>
      </c>
      <c r="T23" s="52">
        <f>Table6422[[#This Row],[Y1 Unit cost]]*Table6422[[#This Row],[Y1 Total quantity]]</f>
        <v>0</v>
      </c>
      <c r="U23" s="1407"/>
      <c r="V23" s="1039"/>
      <c r="W23" s="1039"/>
      <c r="X23" s="1039"/>
      <c r="Y23" s="1039"/>
      <c r="Z23" s="51">
        <f>SUM(Table6422[[#This Row],[Y2 Q1 quantity]:[Y2 Q4 quantity]])</f>
        <v>0</v>
      </c>
      <c r="AA23" s="56">
        <f>Table6422[[#This Row],[Y2 Unit cost]]*Table6422[[#This Row],[Y2 Total quantity]]</f>
        <v>0</v>
      </c>
      <c r="AB23" s="1407"/>
      <c r="AC23" s="1039"/>
      <c r="AD23" s="1039"/>
      <c r="AE23" s="1039"/>
      <c r="AF23" s="1039"/>
      <c r="AG23" s="51">
        <f>SUM(Table6422[[#This Row],[Y3 Q1 quantity]:[Y3 Q4 quantity]])</f>
        <v>0</v>
      </c>
      <c r="AH23" s="56">
        <f>Table6422[[#This Row],[Y3 Unit cost]]*Table6422[[#This Row],[Y3 Total quantity]]</f>
        <v>0</v>
      </c>
      <c r="AI23" s="51">
        <f>Table6422[[#This Row],[Y1 Total quantity]]+Table6422[[#This Row],[Y2 Total quantity]]+Table6422[[#This Row],[Y3 Total quantity]]</f>
        <v>0</v>
      </c>
      <c r="AJ23" s="56">
        <f>Table6422[[#This Row],[Y1 Total cost]]+Table6422[[#This Row],[Y2 Total cost]]+Table6422[[#This Row],[Y3 Total cost]]</f>
        <v>0</v>
      </c>
      <c r="AK23" s="309" t="str">
        <f t="shared" si="0"/>
        <v/>
      </c>
      <c r="AL23" s="1262"/>
    </row>
    <row r="24" spans="1:39">
      <c r="A24" s="2732"/>
      <c r="B24" s="2732"/>
      <c r="C24" s="2732"/>
      <c r="D24" s="2733"/>
      <c r="E24" s="2752"/>
      <c r="F24" s="2753"/>
      <c r="G24" s="2753"/>
      <c r="H24" s="2754"/>
      <c r="I24" s="2752"/>
      <c r="J24" s="2753"/>
      <c r="K24" s="2754"/>
      <c r="L24" s="306" t="str">
        <f t="shared" si="1"/>
        <v/>
      </c>
      <c r="M24" s="306" t="str">
        <f t="shared" si="2"/>
        <v/>
      </c>
      <c r="N24" s="1407"/>
      <c r="O24" s="1039"/>
      <c r="P24" s="1039"/>
      <c r="Q24" s="1039"/>
      <c r="R24" s="1039"/>
      <c r="S24" s="51">
        <f>SUM(Table6422[[#This Row],[Y1 Q1 quantity]:[Y1 Q4 quantity]])</f>
        <v>0</v>
      </c>
      <c r="T24" s="52">
        <f>Table6422[[#This Row],[Y1 Unit cost]]*Table6422[[#This Row],[Y1 Total quantity]]</f>
        <v>0</v>
      </c>
      <c r="U24" s="1407"/>
      <c r="V24" s="1039"/>
      <c r="W24" s="1039"/>
      <c r="X24" s="1039"/>
      <c r="Y24" s="1039"/>
      <c r="Z24" s="51">
        <f>SUM(Table6422[[#This Row],[Y2 Q1 quantity]:[Y2 Q4 quantity]])</f>
        <v>0</v>
      </c>
      <c r="AA24" s="56">
        <f>Table6422[[#This Row],[Y2 Unit cost]]*Table6422[[#This Row],[Y2 Total quantity]]</f>
        <v>0</v>
      </c>
      <c r="AB24" s="1407"/>
      <c r="AC24" s="1039"/>
      <c r="AD24" s="1039"/>
      <c r="AE24" s="1039"/>
      <c r="AF24" s="1039"/>
      <c r="AG24" s="51">
        <f>SUM(Table6422[[#This Row],[Y3 Q1 quantity]:[Y3 Q4 quantity]])</f>
        <v>0</v>
      </c>
      <c r="AH24" s="56">
        <f>Table6422[[#This Row],[Y3 Unit cost]]*Table6422[[#This Row],[Y3 Total quantity]]</f>
        <v>0</v>
      </c>
      <c r="AI24" s="51">
        <f>Table6422[[#This Row],[Y1 Total quantity]]+Table6422[[#This Row],[Y2 Total quantity]]+Table6422[[#This Row],[Y3 Total quantity]]</f>
        <v>0</v>
      </c>
      <c r="AJ24" s="56">
        <f>Table6422[[#This Row],[Y1 Total cost]]+Table6422[[#This Row],[Y2 Total cost]]+Table6422[[#This Row],[Y3 Total cost]]</f>
        <v>0</v>
      </c>
      <c r="AK24" s="309" t="str">
        <f t="shared" si="0"/>
        <v/>
      </c>
      <c r="AL24" s="1261"/>
    </row>
    <row r="25" spans="1:39">
      <c r="A25" s="2730"/>
      <c r="B25" s="2730"/>
      <c r="C25" s="2730"/>
      <c r="D25" s="2731"/>
      <c r="E25" s="2755"/>
      <c r="F25" s="2109"/>
      <c r="G25" s="2109"/>
      <c r="H25" s="2756"/>
      <c r="I25" s="2755"/>
      <c r="J25" s="2109"/>
      <c r="K25" s="2756"/>
      <c r="L25" s="304" t="str">
        <f t="shared" si="1"/>
        <v/>
      </c>
      <c r="M25" s="305" t="str">
        <f t="shared" si="2"/>
        <v/>
      </c>
      <c r="N25" s="1407"/>
      <c r="O25" s="1039"/>
      <c r="P25" s="1039"/>
      <c r="Q25" s="1039"/>
      <c r="R25" s="1039"/>
      <c r="S25" s="51">
        <f>SUM(Table6422[[#This Row],[Y1 Q1 quantity]:[Y1 Q4 quantity]])</f>
        <v>0</v>
      </c>
      <c r="T25" s="52">
        <f>Table6422[[#This Row],[Y1 Unit cost]]*Table6422[[#This Row],[Y1 Total quantity]]</f>
        <v>0</v>
      </c>
      <c r="U25" s="1407"/>
      <c r="V25" s="1039"/>
      <c r="W25" s="1039"/>
      <c r="X25" s="1039"/>
      <c r="Y25" s="1039"/>
      <c r="Z25" s="51">
        <f>SUM(Table6422[[#This Row],[Y2 Q1 quantity]:[Y2 Q4 quantity]])</f>
        <v>0</v>
      </c>
      <c r="AA25" s="56">
        <f>Table6422[[#This Row],[Y2 Unit cost]]*Table6422[[#This Row],[Y2 Total quantity]]</f>
        <v>0</v>
      </c>
      <c r="AB25" s="1407"/>
      <c r="AC25" s="1039"/>
      <c r="AD25" s="1039"/>
      <c r="AE25" s="1039"/>
      <c r="AF25" s="1039"/>
      <c r="AG25" s="51">
        <f>SUM(Table6422[[#This Row],[Y3 Q1 quantity]:[Y3 Q4 quantity]])</f>
        <v>0</v>
      </c>
      <c r="AH25" s="56">
        <f>Table6422[[#This Row],[Y3 Unit cost]]*Table6422[[#This Row],[Y3 Total quantity]]</f>
        <v>0</v>
      </c>
      <c r="AI25" s="51">
        <f>Table6422[[#This Row],[Y1 Total quantity]]+Table6422[[#This Row],[Y2 Total quantity]]+Table6422[[#This Row],[Y3 Total quantity]]</f>
        <v>0</v>
      </c>
      <c r="AJ25" s="56">
        <f>Table6422[[#This Row],[Y1 Total cost]]+Table6422[[#This Row],[Y2 Total cost]]+Table6422[[#This Row],[Y3 Total cost]]</f>
        <v>0</v>
      </c>
      <c r="AK25" s="309" t="str">
        <f t="shared" si="0"/>
        <v/>
      </c>
      <c r="AL25" s="1262"/>
    </row>
    <row r="26" spans="1:39">
      <c r="A26" s="2732"/>
      <c r="B26" s="2732"/>
      <c r="C26" s="2732"/>
      <c r="D26" s="2733"/>
      <c r="E26" s="2752"/>
      <c r="F26" s="2753"/>
      <c r="G26" s="2753"/>
      <c r="H26" s="2754"/>
      <c r="I26" s="2752"/>
      <c r="J26" s="2753"/>
      <c r="K26" s="2754"/>
      <c r="L26" s="306" t="str">
        <f t="shared" si="1"/>
        <v/>
      </c>
      <c r="M26" s="306" t="str">
        <f t="shared" si="2"/>
        <v/>
      </c>
      <c r="N26" s="1407"/>
      <c r="O26" s="1039"/>
      <c r="P26" s="1039"/>
      <c r="Q26" s="1039"/>
      <c r="R26" s="1039"/>
      <c r="S26" s="51">
        <f>SUM(Table6422[[#This Row],[Y1 Q1 quantity]:[Y1 Q4 quantity]])</f>
        <v>0</v>
      </c>
      <c r="T26" s="52">
        <f>Table6422[[#This Row],[Y1 Unit cost]]*Table6422[[#This Row],[Y1 Total quantity]]</f>
        <v>0</v>
      </c>
      <c r="U26" s="1407"/>
      <c r="V26" s="1039"/>
      <c r="W26" s="1039"/>
      <c r="X26" s="1039"/>
      <c r="Y26" s="1039"/>
      <c r="Z26" s="51">
        <f>SUM(Table6422[[#This Row],[Y2 Q1 quantity]:[Y2 Q4 quantity]])</f>
        <v>0</v>
      </c>
      <c r="AA26" s="56">
        <f>Table6422[[#This Row],[Y2 Unit cost]]*Table6422[[#This Row],[Y2 Total quantity]]</f>
        <v>0</v>
      </c>
      <c r="AB26" s="1407"/>
      <c r="AC26" s="1039"/>
      <c r="AD26" s="1039"/>
      <c r="AE26" s="1039"/>
      <c r="AF26" s="1039"/>
      <c r="AG26" s="51">
        <f>SUM(Table6422[[#This Row],[Y3 Q1 quantity]:[Y3 Q4 quantity]])</f>
        <v>0</v>
      </c>
      <c r="AH26" s="56">
        <f>Table6422[[#This Row],[Y3 Unit cost]]*Table6422[[#This Row],[Y3 Total quantity]]</f>
        <v>0</v>
      </c>
      <c r="AI26" s="51">
        <f>Table6422[[#This Row],[Y1 Total quantity]]+Table6422[[#This Row],[Y2 Total quantity]]+Table6422[[#This Row],[Y3 Total quantity]]</f>
        <v>0</v>
      </c>
      <c r="AJ26" s="56">
        <f>Table6422[[#This Row],[Y1 Total cost]]+Table6422[[#This Row],[Y2 Total cost]]+Table6422[[#This Row],[Y3 Total cost]]</f>
        <v>0</v>
      </c>
      <c r="AK26" s="309" t="str">
        <f t="shared" si="0"/>
        <v/>
      </c>
      <c r="AL26" s="1261"/>
    </row>
    <row r="27" spans="1:39">
      <c r="A27" s="2730"/>
      <c r="B27" s="2730"/>
      <c r="C27" s="2730"/>
      <c r="D27" s="2731"/>
      <c r="E27" s="2755"/>
      <c r="F27" s="2109"/>
      <c r="G27" s="2109"/>
      <c r="H27" s="2756"/>
      <c r="I27" s="2755"/>
      <c r="J27" s="2109"/>
      <c r="K27" s="2756"/>
      <c r="L27" s="304" t="str">
        <f t="shared" si="1"/>
        <v/>
      </c>
      <c r="M27" s="305" t="str">
        <f t="shared" si="2"/>
        <v/>
      </c>
      <c r="N27" s="1407"/>
      <c r="O27" s="1039"/>
      <c r="P27" s="1039"/>
      <c r="Q27" s="1039"/>
      <c r="R27" s="1039"/>
      <c r="S27" s="51">
        <f>SUM(Table6422[[#This Row],[Y1 Q1 quantity]:[Y1 Q4 quantity]])</f>
        <v>0</v>
      </c>
      <c r="T27" s="52">
        <f>Table6422[[#This Row],[Y1 Unit cost]]*Table6422[[#This Row],[Y1 Total quantity]]</f>
        <v>0</v>
      </c>
      <c r="U27" s="1407"/>
      <c r="V27" s="1039"/>
      <c r="W27" s="1039"/>
      <c r="X27" s="1039"/>
      <c r="Y27" s="1039"/>
      <c r="Z27" s="51">
        <f>SUM(Table6422[[#This Row],[Y2 Q1 quantity]:[Y2 Q4 quantity]])</f>
        <v>0</v>
      </c>
      <c r="AA27" s="56">
        <f>Table6422[[#This Row],[Y2 Unit cost]]*Table6422[[#This Row],[Y2 Total quantity]]</f>
        <v>0</v>
      </c>
      <c r="AB27" s="1407"/>
      <c r="AC27" s="1039"/>
      <c r="AD27" s="1039"/>
      <c r="AE27" s="1039"/>
      <c r="AF27" s="1039"/>
      <c r="AG27" s="51">
        <f>SUM(Table6422[[#This Row],[Y3 Q1 quantity]:[Y3 Q4 quantity]])</f>
        <v>0</v>
      </c>
      <c r="AH27" s="56">
        <f>Table6422[[#This Row],[Y3 Unit cost]]*Table6422[[#This Row],[Y3 Total quantity]]</f>
        <v>0</v>
      </c>
      <c r="AI27" s="51">
        <f>Table6422[[#This Row],[Y1 Total quantity]]+Table6422[[#This Row],[Y2 Total quantity]]+Table6422[[#This Row],[Y3 Total quantity]]</f>
        <v>0</v>
      </c>
      <c r="AJ27" s="56">
        <f>Table6422[[#This Row],[Y1 Total cost]]+Table6422[[#This Row],[Y2 Total cost]]+Table6422[[#This Row],[Y3 Total cost]]</f>
        <v>0</v>
      </c>
      <c r="AK27" s="309" t="str">
        <f t="shared" si="0"/>
        <v/>
      </c>
      <c r="AL27" s="1262"/>
    </row>
    <row r="28" spans="1:39">
      <c r="A28" s="2732"/>
      <c r="B28" s="2732"/>
      <c r="C28" s="2732"/>
      <c r="D28" s="2733"/>
      <c r="E28" s="2752"/>
      <c r="F28" s="2753"/>
      <c r="G28" s="2753"/>
      <c r="H28" s="2754"/>
      <c r="I28" s="2752"/>
      <c r="J28" s="2753"/>
      <c r="K28" s="2754"/>
      <c r="L28" s="306" t="str">
        <f t="shared" si="1"/>
        <v/>
      </c>
      <c r="M28" s="306" t="str">
        <f t="shared" si="2"/>
        <v/>
      </c>
      <c r="N28" s="1407"/>
      <c r="O28" s="1039"/>
      <c r="P28" s="1039"/>
      <c r="Q28" s="1039"/>
      <c r="R28" s="1039"/>
      <c r="S28" s="51">
        <f>SUM(Table6422[[#This Row],[Y1 Q1 quantity]:[Y1 Q4 quantity]])</f>
        <v>0</v>
      </c>
      <c r="T28" s="52">
        <f>Table6422[[#This Row],[Y1 Unit cost]]*Table6422[[#This Row],[Y1 Total quantity]]</f>
        <v>0</v>
      </c>
      <c r="U28" s="1407"/>
      <c r="V28" s="1039"/>
      <c r="W28" s="1039"/>
      <c r="X28" s="1039"/>
      <c r="Y28" s="1039"/>
      <c r="Z28" s="51">
        <f>SUM(Table6422[[#This Row],[Y2 Q1 quantity]:[Y2 Q4 quantity]])</f>
        <v>0</v>
      </c>
      <c r="AA28" s="56">
        <f>Table6422[[#This Row],[Y2 Unit cost]]*Table6422[[#This Row],[Y2 Total quantity]]</f>
        <v>0</v>
      </c>
      <c r="AB28" s="1407"/>
      <c r="AC28" s="1039"/>
      <c r="AD28" s="1039"/>
      <c r="AE28" s="1039"/>
      <c r="AF28" s="1039"/>
      <c r="AG28" s="51">
        <f>SUM(Table6422[[#This Row],[Y3 Q1 quantity]:[Y3 Q4 quantity]])</f>
        <v>0</v>
      </c>
      <c r="AH28" s="56">
        <f>Table6422[[#This Row],[Y3 Unit cost]]*Table6422[[#This Row],[Y3 Total quantity]]</f>
        <v>0</v>
      </c>
      <c r="AI28" s="51">
        <f>Table6422[[#This Row],[Y1 Total quantity]]+Table6422[[#This Row],[Y2 Total quantity]]+Table6422[[#This Row],[Y3 Total quantity]]</f>
        <v>0</v>
      </c>
      <c r="AJ28" s="56">
        <f>Table6422[[#This Row],[Y1 Total cost]]+Table6422[[#This Row],[Y2 Total cost]]+Table6422[[#This Row],[Y3 Total cost]]</f>
        <v>0</v>
      </c>
      <c r="AK28" s="309" t="str">
        <f t="shared" si="0"/>
        <v/>
      </c>
      <c r="AL28" s="1261"/>
    </row>
    <row r="29" spans="1:39">
      <c r="A29" s="2730"/>
      <c r="B29" s="2730"/>
      <c r="C29" s="2730"/>
      <c r="D29" s="2731"/>
      <c r="E29" s="2755"/>
      <c r="F29" s="2109"/>
      <c r="G29" s="2109"/>
      <c r="H29" s="2756"/>
      <c r="I29" s="2755"/>
      <c r="J29" s="2109"/>
      <c r="K29" s="2756"/>
      <c r="L29" s="304" t="str">
        <f t="shared" si="1"/>
        <v/>
      </c>
      <c r="M29" s="305" t="str">
        <f t="shared" si="2"/>
        <v/>
      </c>
      <c r="N29" s="1407"/>
      <c r="O29" s="1039"/>
      <c r="P29" s="1039"/>
      <c r="Q29" s="1039"/>
      <c r="R29" s="1039"/>
      <c r="S29" s="51">
        <f>SUM(Table6422[[#This Row],[Y1 Q1 quantity]:[Y1 Q4 quantity]])</f>
        <v>0</v>
      </c>
      <c r="T29" s="52">
        <f>Table6422[[#This Row],[Y1 Unit cost]]*Table6422[[#This Row],[Y1 Total quantity]]</f>
        <v>0</v>
      </c>
      <c r="U29" s="1407"/>
      <c r="V29" s="1039"/>
      <c r="W29" s="1039"/>
      <c r="X29" s="1039"/>
      <c r="Y29" s="1039"/>
      <c r="Z29" s="51">
        <f>SUM(Table6422[[#This Row],[Y2 Q1 quantity]:[Y2 Q4 quantity]])</f>
        <v>0</v>
      </c>
      <c r="AA29" s="56">
        <f>Table6422[[#This Row],[Y2 Unit cost]]*Table6422[[#This Row],[Y2 Total quantity]]</f>
        <v>0</v>
      </c>
      <c r="AB29" s="1407"/>
      <c r="AC29" s="1039"/>
      <c r="AD29" s="1039"/>
      <c r="AE29" s="1039"/>
      <c r="AF29" s="1039"/>
      <c r="AG29" s="51">
        <f>SUM(Table6422[[#This Row],[Y3 Q1 quantity]:[Y3 Q4 quantity]])</f>
        <v>0</v>
      </c>
      <c r="AH29" s="56">
        <f>Table6422[[#This Row],[Y3 Unit cost]]*Table6422[[#This Row],[Y3 Total quantity]]</f>
        <v>0</v>
      </c>
      <c r="AI29" s="51">
        <f>Table6422[[#This Row],[Y1 Total quantity]]+Table6422[[#This Row],[Y2 Total quantity]]+Table6422[[#This Row],[Y3 Total quantity]]</f>
        <v>0</v>
      </c>
      <c r="AJ29" s="56">
        <f>Table6422[[#This Row],[Y1 Total cost]]+Table6422[[#This Row],[Y2 Total cost]]+Table6422[[#This Row],[Y3 Total cost]]</f>
        <v>0</v>
      </c>
      <c r="AK29" s="309" t="str">
        <f t="shared" si="0"/>
        <v/>
      </c>
      <c r="AL29" s="1262"/>
    </row>
    <row r="30" spans="1:39">
      <c r="A30" s="2732"/>
      <c r="B30" s="2732"/>
      <c r="C30" s="2732"/>
      <c r="D30" s="2733"/>
      <c r="E30" s="2752"/>
      <c r="F30" s="2753"/>
      <c r="G30" s="2753"/>
      <c r="H30" s="2754"/>
      <c r="I30" s="2752"/>
      <c r="J30" s="2753"/>
      <c r="K30" s="2754"/>
      <c r="L30" s="306" t="str">
        <f t="shared" si="1"/>
        <v/>
      </c>
      <c r="M30" s="306" t="str">
        <f t="shared" si="2"/>
        <v/>
      </c>
      <c r="N30" s="1407"/>
      <c r="O30" s="1039"/>
      <c r="P30" s="1039"/>
      <c r="Q30" s="1039"/>
      <c r="R30" s="1039"/>
      <c r="S30" s="51">
        <f>SUM(Table6422[[#This Row],[Y1 Q1 quantity]:[Y1 Q4 quantity]])</f>
        <v>0</v>
      </c>
      <c r="T30" s="52">
        <f>Table6422[[#This Row],[Y1 Unit cost]]*Table6422[[#This Row],[Y1 Total quantity]]</f>
        <v>0</v>
      </c>
      <c r="U30" s="1407"/>
      <c r="V30" s="1039"/>
      <c r="W30" s="1039"/>
      <c r="X30" s="1039"/>
      <c r="Y30" s="1039"/>
      <c r="Z30" s="51">
        <f>SUM(Table6422[[#This Row],[Y2 Q1 quantity]:[Y2 Q4 quantity]])</f>
        <v>0</v>
      </c>
      <c r="AA30" s="56">
        <f>Table6422[[#This Row],[Y2 Unit cost]]*Table6422[[#This Row],[Y2 Total quantity]]</f>
        <v>0</v>
      </c>
      <c r="AB30" s="1407"/>
      <c r="AC30" s="1039"/>
      <c r="AD30" s="1039"/>
      <c r="AE30" s="1039"/>
      <c r="AF30" s="1039"/>
      <c r="AG30" s="51">
        <f>SUM(Table6422[[#This Row],[Y3 Q1 quantity]:[Y3 Q4 quantity]])</f>
        <v>0</v>
      </c>
      <c r="AH30" s="56">
        <f>Table6422[[#This Row],[Y3 Unit cost]]*Table6422[[#This Row],[Y3 Total quantity]]</f>
        <v>0</v>
      </c>
      <c r="AI30" s="51">
        <f>Table6422[[#This Row],[Y1 Total quantity]]+Table6422[[#This Row],[Y2 Total quantity]]+Table6422[[#This Row],[Y3 Total quantity]]</f>
        <v>0</v>
      </c>
      <c r="AJ30" s="56">
        <f>Table6422[[#This Row],[Y1 Total cost]]+Table6422[[#This Row],[Y2 Total cost]]+Table6422[[#This Row],[Y3 Total cost]]</f>
        <v>0</v>
      </c>
      <c r="AK30" s="309" t="str">
        <f t="shared" si="0"/>
        <v/>
      </c>
      <c r="AL30" s="1261"/>
    </row>
    <row r="31" spans="1:39">
      <c r="A31" s="2730"/>
      <c r="B31" s="2730"/>
      <c r="C31" s="2730"/>
      <c r="D31" s="2731"/>
      <c r="E31" s="2755"/>
      <c r="F31" s="2109"/>
      <c r="G31" s="2109"/>
      <c r="H31" s="2756"/>
      <c r="I31" s="2755"/>
      <c r="J31" s="2109"/>
      <c r="K31" s="2756"/>
      <c r="L31" s="304" t="str">
        <f t="shared" si="1"/>
        <v/>
      </c>
      <c r="M31" s="305" t="str">
        <f t="shared" si="2"/>
        <v/>
      </c>
      <c r="N31" s="1407"/>
      <c r="O31" s="1039"/>
      <c r="P31" s="1039"/>
      <c r="Q31" s="1039"/>
      <c r="R31" s="1039"/>
      <c r="S31" s="51">
        <f>SUM(Table6422[[#This Row],[Y1 Q1 quantity]:[Y1 Q4 quantity]])</f>
        <v>0</v>
      </c>
      <c r="T31" s="52">
        <f>Table6422[[#This Row],[Y1 Unit cost]]*Table6422[[#This Row],[Y1 Total quantity]]</f>
        <v>0</v>
      </c>
      <c r="U31" s="1407"/>
      <c r="V31" s="1039"/>
      <c r="W31" s="1039"/>
      <c r="X31" s="1039"/>
      <c r="Y31" s="1039"/>
      <c r="Z31" s="51">
        <f>SUM(Table6422[[#This Row],[Y2 Q1 quantity]:[Y2 Q4 quantity]])</f>
        <v>0</v>
      </c>
      <c r="AA31" s="56">
        <f>Table6422[[#This Row],[Y2 Unit cost]]*Table6422[[#This Row],[Y2 Total quantity]]</f>
        <v>0</v>
      </c>
      <c r="AB31" s="1407"/>
      <c r="AC31" s="1039"/>
      <c r="AD31" s="1039"/>
      <c r="AE31" s="1039"/>
      <c r="AF31" s="1039"/>
      <c r="AG31" s="51">
        <f>SUM(Table6422[[#This Row],[Y3 Q1 quantity]:[Y3 Q4 quantity]])</f>
        <v>0</v>
      </c>
      <c r="AH31" s="56">
        <f>Table6422[[#This Row],[Y3 Unit cost]]*Table6422[[#This Row],[Y3 Total quantity]]</f>
        <v>0</v>
      </c>
      <c r="AI31" s="51">
        <f>Table6422[[#This Row],[Y1 Total quantity]]+Table6422[[#This Row],[Y2 Total quantity]]+Table6422[[#This Row],[Y3 Total quantity]]</f>
        <v>0</v>
      </c>
      <c r="AJ31" s="56">
        <f>Table6422[[#This Row],[Y1 Total cost]]+Table6422[[#This Row],[Y2 Total cost]]+Table6422[[#This Row],[Y3 Total cost]]</f>
        <v>0</v>
      </c>
      <c r="AK31" s="309" t="str">
        <f t="shared" si="0"/>
        <v/>
      </c>
      <c r="AL31" s="1262"/>
    </row>
    <row r="32" spans="1:39">
      <c r="A32" s="2732"/>
      <c r="B32" s="2732"/>
      <c r="C32" s="2732"/>
      <c r="D32" s="2733"/>
      <c r="E32" s="2752"/>
      <c r="F32" s="2753"/>
      <c r="G32" s="2753"/>
      <c r="H32" s="2754"/>
      <c r="I32" s="2752"/>
      <c r="J32" s="2753"/>
      <c r="K32" s="2754"/>
      <c r="L32" s="306" t="str">
        <f t="shared" si="1"/>
        <v/>
      </c>
      <c r="M32" s="306" t="str">
        <f t="shared" si="2"/>
        <v/>
      </c>
      <c r="N32" s="1407"/>
      <c r="O32" s="1039"/>
      <c r="P32" s="1039"/>
      <c r="Q32" s="1039"/>
      <c r="R32" s="1039"/>
      <c r="S32" s="51">
        <f>SUM(Table6422[[#This Row],[Y1 Q1 quantity]:[Y1 Q4 quantity]])</f>
        <v>0</v>
      </c>
      <c r="T32" s="52">
        <f>Table6422[[#This Row],[Y1 Unit cost]]*Table6422[[#This Row],[Y1 Total quantity]]</f>
        <v>0</v>
      </c>
      <c r="U32" s="1407"/>
      <c r="V32" s="1039"/>
      <c r="W32" s="1039"/>
      <c r="X32" s="1039"/>
      <c r="Y32" s="1039"/>
      <c r="Z32" s="51">
        <f>SUM(Table6422[[#This Row],[Y2 Q1 quantity]:[Y2 Q4 quantity]])</f>
        <v>0</v>
      </c>
      <c r="AA32" s="56">
        <f>Table6422[[#This Row],[Y2 Unit cost]]*Table6422[[#This Row],[Y2 Total quantity]]</f>
        <v>0</v>
      </c>
      <c r="AB32" s="1407"/>
      <c r="AC32" s="1039"/>
      <c r="AD32" s="1039"/>
      <c r="AE32" s="1039"/>
      <c r="AF32" s="1039"/>
      <c r="AG32" s="51">
        <f>SUM(Table6422[[#This Row],[Y3 Q1 quantity]:[Y3 Q4 quantity]])</f>
        <v>0</v>
      </c>
      <c r="AH32" s="56">
        <f>Table6422[[#This Row],[Y3 Unit cost]]*Table6422[[#This Row],[Y3 Total quantity]]</f>
        <v>0</v>
      </c>
      <c r="AI32" s="51">
        <f>Table6422[[#This Row],[Y1 Total quantity]]+Table6422[[#This Row],[Y2 Total quantity]]+Table6422[[#This Row],[Y3 Total quantity]]</f>
        <v>0</v>
      </c>
      <c r="AJ32" s="56">
        <f>Table6422[[#This Row],[Y1 Total cost]]+Table6422[[#This Row],[Y2 Total cost]]+Table6422[[#This Row],[Y3 Total cost]]</f>
        <v>0</v>
      </c>
      <c r="AK32" s="309" t="str">
        <f t="shared" si="0"/>
        <v/>
      </c>
      <c r="AL32" s="1261"/>
    </row>
    <row r="33" spans="1:38">
      <c r="A33" s="2730"/>
      <c r="B33" s="2730"/>
      <c r="C33" s="2730"/>
      <c r="D33" s="2731"/>
      <c r="E33" s="2755"/>
      <c r="F33" s="2109"/>
      <c r="G33" s="2109"/>
      <c r="H33" s="2756"/>
      <c r="I33" s="2755"/>
      <c r="J33" s="2109"/>
      <c r="K33" s="2756"/>
      <c r="L33" s="304" t="str">
        <f t="shared" si="1"/>
        <v/>
      </c>
      <c r="M33" s="305" t="str">
        <f t="shared" si="2"/>
        <v/>
      </c>
      <c r="N33" s="1407"/>
      <c r="O33" s="1039"/>
      <c r="P33" s="1039"/>
      <c r="Q33" s="1039"/>
      <c r="R33" s="1039"/>
      <c r="S33" s="51">
        <f>SUM(Table6422[[#This Row],[Y1 Q1 quantity]:[Y1 Q4 quantity]])</f>
        <v>0</v>
      </c>
      <c r="T33" s="52">
        <f>Table6422[[#This Row],[Y1 Unit cost]]*Table6422[[#This Row],[Y1 Total quantity]]</f>
        <v>0</v>
      </c>
      <c r="U33" s="1407"/>
      <c r="V33" s="1039"/>
      <c r="W33" s="1039"/>
      <c r="X33" s="1039"/>
      <c r="Y33" s="1039"/>
      <c r="Z33" s="51">
        <f>SUM(Table6422[[#This Row],[Y2 Q1 quantity]:[Y2 Q4 quantity]])</f>
        <v>0</v>
      </c>
      <c r="AA33" s="56">
        <f>Table6422[[#This Row],[Y2 Unit cost]]*Table6422[[#This Row],[Y2 Total quantity]]</f>
        <v>0</v>
      </c>
      <c r="AB33" s="1407"/>
      <c r="AC33" s="1039"/>
      <c r="AD33" s="1039"/>
      <c r="AE33" s="1039"/>
      <c r="AF33" s="1039"/>
      <c r="AG33" s="51">
        <f>SUM(Table6422[[#This Row],[Y3 Q1 quantity]:[Y3 Q4 quantity]])</f>
        <v>0</v>
      </c>
      <c r="AH33" s="56">
        <f>Table6422[[#This Row],[Y3 Unit cost]]*Table6422[[#This Row],[Y3 Total quantity]]</f>
        <v>0</v>
      </c>
      <c r="AI33" s="51">
        <f>Table6422[[#This Row],[Y1 Total quantity]]+Table6422[[#This Row],[Y2 Total quantity]]+Table6422[[#This Row],[Y3 Total quantity]]</f>
        <v>0</v>
      </c>
      <c r="AJ33" s="56">
        <f>Table6422[[#This Row],[Y1 Total cost]]+Table6422[[#This Row],[Y2 Total cost]]+Table6422[[#This Row],[Y3 Total cost]]</f>
        <v>0</v>
      </c>
      <c r="AK33" s="309" t="str">
        <f t="shared" si="0"/>
        <v/>
      </c>
      <c r="AL33" s="1262"/>
    </row>
    <row r="34" spans="1:38" hidden="1">
      <c r="A34" s="2732"/>
      <c r="B34" s="2732"/>
      <c r="C34" s="2732"/>
      <c r="D34" s="2733"/>
      <c r="E34" s="2752"/>
      <c r="F34" s="2753"/>
      <c r="G34" s="2753"/>
      <c r="H34" s="2754"/>
      <c r="I34" s="2752"/>
      <c r="J34" s="2753"/>
      <c r="K34" s="2754"/>
      <c r="L34" s="306" t="str">
        <f t="shared" si="1"/>
        <v/>
      </c>
      <c r="M34" s="306" t="str">
        <f t="shared" si="2"/>
        <v/>
      </c>
      <c r="N34" s="1407"/>
      <c r="O34" s="1039"/>
      <c r="P34" s="1039"/>
      <c r="Q34" s="1039"/>
      <c r="R34" s="1039"/>
      <c r="S34" s="51">
        <f>SUM(Table6422[[#This Row],[Y1 Q1 quantity]:[Y1 Q4 quantity]])</f>
        <v>0</v>
      </c>
      <c r="T34" s="52">
        <f>Table6422[[#This Row],[Y1 Unit cost]]*Table6422[[#This Row],[Y1 Total quantity]]</f>
        <v>0</v>
      </c>
      <c r="U34" s="1407"/>
      <c r="V34" s="1039"/>
      <c r="W34" s="1039"/>
      <c r="X34" s="1039"/>
      <c r="Y34" s="1039"/>
      <c r="Z34" s="51">
        <f>SUM(Table6422[[#This Row],[Y2 Q1 quantity]:[Y2 Q4 quantity]])</f>
        <v>0</v>
      </c>
      <c r="AA34" s="56">
        <f>Table6422[[#This Row],[Y2 Unit cost]]*Table6422[[#This Row],[Y2 Total quantity]]</f>
        <v>0</v>
      </c>
      <c r="AB34" s="1407"/>
      <c r="AC34" s="1039"/>
      <c r="AD34" s="1039"/>
      <c r="AE34" s="1039"/>
      <c r="AF34" s="1039"/>
      <c r="AG34" s="51">
        <f>SUM(Table6422[[#This Row],[Y3 Q1 quantity]:[Y3 Q4 quantity]])</f>
        <v>0</v>
      </c>
      <c r="AH34" s="56">
        <f>Table6422[[#This Row],[Y3 Unit cost]]*Table6422[[#This Row],[Y3 Total quantity]]</f>
        <v>0</v>
      </c>
      <c r="AI34" s="51">
        <f>Table6422[[#This Row],[Y1 Total quantity]]+Table6422[[#This Row],[Y2 Total quantity]]+Table6422[[#This Row],[Y3 Total quantity]]</f>
        <v>0</v>
      </c>
      <c r="AJ34" s="56">
        <f>Table6422[[#This Row],[Y1 Total cost]]+Table6422[[#This Row],[Y2 Total cost]]+Table6422[[#This Row],[Y3 Total cost]]</f>
        <v>0</v>
      </c>
      <c r="AK34" s="309" t="str">
        <f t="shared" si="0"/>
        <v/>
      </c>
      <c r="AL34" s="1261"/>
    </row>
    <row r="35" spans="1:38" hidden="1">
      <c r="A35" s="2730"/>
      <c r="B35" s="2730"/>
      <c r="C35" s="2730"/>
      <c r="D35" s="2731"/>
      <c r="E35" s="2755"/>
      <c r="F35" s="2109"/>
      <c r="G35" s="2109"/>
      <c r="H35" s="2756"/>
      <c r="I35" s="2755"/>
      <c r="J35" s="2109"/>
      <c r="K35" s="2756"/>
      <c r="L35" s="304" t="str">
        <f t="shared" si="1"/>
        <v/>
      </c>
      <c r="M35" s="305" t="str">
        <f t="shared" si="2"/>
        <v/>
      </c>
      <c r="N35" s="1407"/>
      <c r="O35" s="1039"/>
      <c r="P35" s="1039"/>
      <c r="Q35" s="1039"/>
      <c r="R35" s="1039"/>
      <c r="S35" s="51">
        <f>SUM(Table6422[[#This Row],[Y1 Q1 quantity]:[Y1 Q4 quantity]])</f>
        <v>0</v>
      </c>
      <c r="T35" s="52">
        <f>Table6422[[#This Row],[Y1 Unit cost]]*Table6422[[#This Row],[Y1 Total quantity]]</f>
        <v>0</v>
      </c>
      <c r="U35" s="1407"/>
      <c r="V35" s="1039"/>
      <c r="W35" s="1039"/>
      <c r="X35" s="1039"/>
      <c r="Y35" s="1039"/>
      <c r="Z35" s="51">
        <f>SUM(Table6422[[#This Row],[Y2 Q1 quantity]:[Y2 Q4 quantity]])</f>
        <v>0</v>
      </c>
      <c r="AA35" s="56">
        <f>Table6422[[#This Row],[Y2 Unit cost]]*Table6422[[#This Row],[Y2 Total quantity]]</f>
        <v>0</v>
      </c>
      <c r="AB35" s="1407"/>
      <c r="AC35" s="1039"/>
      <c r="AD35" s="1039"/>
      <c r="AE35" s="1039"/>
      <c r="AF35" s="1039"/>
      <c r="AG35" s="51">
        <f>SUM(Table6422[[#This Row],[Y3 Q1 quantity]:[Y3 Q4 quantity]])</f>
        <v>0</v>
      </c>
      <c r="AH35" s="56">
        <f>Table6422[[#This Row],[Y3 Unit cost]]*Table6422[[#This Row],[Y3 Total quantity]]</f>
        <v>0</v>
      </c>
      <c r="AI35" s="51">
        <f>Table6422[[#This Row],[Y1 Total quantity]]+Table6422[[#This Row],[Y2 Total quantity]]+Table6422[[#This Row],[Y3 Total quantity]]</f>
        <v>0</v>
      </c>
      <c r="AJ35" s="56">
        <f>Table6422[[#This Row],[Y1 Total cost]]+Table6422[[#This Row],[Y2 Total cost]]+Table6422[[#This Row],[Y3 Total cost]]</f>
        <v>0</v>
      </c>
      <c r="AK35" s="309" t="str">
        <f t="shared" si="0"/>
        <v/>
      </c>
      <c r="AL35" s="1262"/>
    </row>
    <row r="36" spans="1:38" hidden="1">
      <c r="A36" s="2732"/>
      <c r="B36" s="2732"/>
      <c r="C36" s="2732"/>
      <c r="D36" s="2733"/>
      <c r="E36" s="2752"/>
      <c r="F36" s="2753"/>
      <c r="G36" s="2753"/>
      <c r="H36" s="2754"/>
      <c r="I36" s="2752"/>
      <c r="J36" s="2753"/>
      <c r="K36" s="2754"/>
      <c r="L36" s="306" t="str">
        <f t="shared" si="1"/>
        <v/>
      </c>
      <c r="M36" s="306" t="str">
        <f t="shared" si="2"/>
        <v/>
      </c>
      <c r="N36" s="1407"/>
      <c r="O36" s="1039"/>
      <c r="P36" s="1039"/>
      <c r="Q36" s="1039"/>
      <c r="R36" s="1039"/>
      <c r="S36" s="51">
        <f>SUM(Table6422[[#This Row],[Y1 Q1 quantity]:[Y1 Q4 quantity]])</f>
        <v>0</v>
      </c>
      <c r="T36" s="52">
        <f>Table6422[[#This Row],[Y1 Unit cost]]*Table6422[[#This Row],[Y1 Total quantity]]</f>
        <v>0</v>
      </c>
      <c r="U36" s="1407"/>
      <c r="V36" s="1039"/>
      <c r="W36" s="1039"/>
      <c r="X36" s="1039"/>
      <c r="Y36" s="1039"/>
      <c r="Z36" s="51">
        <f>SUM(Table6422[[#This Row],[Y2 Q1 quantity]:[Y2 Q4 quantity]])</f>
        <v>0</v>
      </c>
      <c r="AA36" s="56">
        <f>Table6422[[#This Row],[Y2 Unit cost]]*Table6422[[#This Row],[Y2 Total quantity]]</f>
        <v>0</v>
      </c>
      <c r="AB36" s="1407"/>
      <c r="AC36" s="1039"/>
      <c r="AD36" s="1039"/>
      <c r="AE36" s="1039"/>
      <c r="AF36" s="1039"/>
      <c r="AG36" s="51">
        <f>SUM(Table6422[[#This Row],[Y3 Q1 quantity]:[Y3 Q4 quantity]])</f>
        <v>0</v>
      </c>
      <c r="AH36" s="56">
        <f>Table6422[[#This Row],[Y3 Unit cost]]*Table6422[[#This Row],[Y3 Total quantity]]</f>
        <v>0</v>
      </c>
      <c r="AI36" s="51">
        <f>Table6422[[#This Row],[Y1 Total quantity]]+Table6422[[#This Row],[Y2 Total quantity]]+Table6422[[#This Row],[Y3 Total quantity]]</f>
        <v>0</v>
      </c>
      <c r="AJ36" s="56">
        <f>Table6422[[#This Row],[Y1 Total cost]]+Table6422[[#This Row],[Y2 Total cost]]+Table6422[[#This Row],[Y3 Total cost]]</f>
        <v>0</v>
      </c>
      <c r="AK36" s="309" t="str">
        <f t="shared" si="0"/>
        <v/>
      </c>
      <c r="AL36" s="1261"/>
    </row>
    <row r="37" spans="1:38" hidden="1">
      <c r="A37" s="2730"/>
      <c r="B37" s="2730"/>
      <c r="C37" s="2730"/>
      <c r="D37" s="2731"/>
      <c r="E37" s="2755"/>
      <c r="F37" s="2109"/>
      <c r="G37" s="2109"/>
      <c r="H37" s="2756"/>
      <c r="I37" s="2755"/>
      <c r="J37" s="2109"/>
      <c r="K37" s="2756"/>
      <c r="L37" s="304" t="str">
        <f t="shared" si="1"/>
        <v/>
      </c>
      <c r="M37" s="305" t="str">
        <f t="shared" si="2"/>
        <v/>
      </c>
      <c r="N37" s="1407"/>
      <c r="O37" s="1039"/>
      <c r="P37" s="1039"/>
      <c r="Q37" s="1039"/>
      <c r="R37" s="1039"/>
      <c r="S37" s="51">
        <f>SUM(Table6422[[#This Row],[Y1 Q1 quantity]:[Y1 Q4 quantity]])</f>
        <v>0</v>
      </c>
      <c r="T37" s="52">
        <f>Table6422[[#This Row],[Y1 Unit cost]]*Table6422[[#This Row],[Y1 Total quantity]]</f>
        <v>0</v>
      </c>
      <c r="U37" s="1407"/>
      <c r="V37" s="1039"/>
      <c r="W37" s="1039"/>
      <c r="X37" s="1039"/>
      <c r="Y37" s="1039"/>
      <c r="Z37" s="51">
        <f>SUM(Table6422[[#This Row],[Y2 Q1 quantity]:[Y2 Q4 quantity]])</f>
        <v>0</v>
      </c>
      <c r="AA37" s="56">
        <f>Table6422[[#This Row],[Y2 Unit cost]]*Table6422[[#This Row],[Y2 Total quantity]]</f>
        <v>0</v>
      </c>
      <c r="AB37" s="1407"/>
      <c r="AC37" s="1039"/>
      <c r="AD37" s="1039"/>
      <c r="AE37" s="1039"/>
      <c r="AF37" s="1039"/>
      <c r="AG37" s="51">
        <f>SUM(Table6422[[#This Row],[Y3 Q1 quantity]:[Y3 Q4 quantity]])</f>
        <v>0</v>
      </c>
      <c r="AH37" s="56">
        <f>Table6422[[#This Row],[Y3 Unit cost]]*Table6422[[#This Row],[Y3 Total quantity]]</f>
        <v>0</v>
      </c>
      <c r="AI37" s="51">
        <f>Table6422[[#This Row],[Y1 Total quantity]]+Table6422[[#This Row],[Y2 Total quantity]]+Table6422[[#This Row],[Y3 Total quantity]]</f>
        <v>0</v>
      </c>
      <c r="AJ37" s="56">
        <f>Table6422[[#This Row],[Y1 Total cost]]+Table6422[[#This Row],[Y2 Total cost]]+Table6422[[#This Row],[Y3 Total cost]]</f>
        <v>0</v>
      </c>
      <c r="AK37" s="309" t="str">
        <f t="shared" si="0"/>
        <v/>
      </c>
      <c r="AL37" s="1262"/>
    </row>
    <row r="38" spans="1:38" hidden="1">
      <c r="A38" s="2732"/>
      <c r="B38" s="2732"/>
      <c r="C38" s="2732"/>
      <c r="D38" s="2733"/>
      <c r="E38" s="2752"/>
      <c r="F38" s="2753"/>
      <c r="G38" s="2753"/>
      <c r="H38" s="2754"/>
      <c r="I38" s="2752"/>
      <c r="J38" s="2753"/>
      <c r="K38" s="2754"/>
      <c r="L38" s="306" t="str">
        <f t="shared" si="1"/>
        <v/>
      </c>
      <c r="M38" s="306" t="str">
        <f t="shared" si="2"/>
        <v/>
      </c>
      <c r="N38" s="1407"/>
      <c r="O38" s="1039"/>
      <c r="P38" s="1039"/>
      <c r="Q38" s="1039"/>
      <c r="R38" s="1039"/>
      <c r="S38" s="51">
        <f>SUM(Table6422[[#This Row],[Y1 Q1 quantity]:[Y1 Q4 quantity]])</f>
        <v>0</v>
      </c>
      <c r="T38" s="52">
        <f>Table6422[[#This Row],[Y1 Unit cost]]*Table6422[[#This Row],[Y1 Total quantity]]</f>
        <v>0</v>
      </c>
      <c r="U38" s="1407"/>
      <c r="V38" s="1039"/>
      <c r="W38" s="1039"/>
      <c r="X38" s="1039"/>
      <c r="Y38" s="1039"/>
      <c r="Z38" s="51">
        <f>SUM(Table6422[[#This Row],[Y2 Q1 quantity]:[Y2 Q4 quantity]])</f>
        <v>0</v>
      </c>
      <c r="AA38" s="56">
        <f>Table6422[[#This Row],[Y2 Unit cost]]*Table6422[[#This Row],[Y2 Total quantity]]</f>
        <v>0</v>
      </c>
      <c r="AB38" s="1407"/>
      <c r="AC38" s="1039"/>
      <c r="AD38" s="1039"/>
      <c r="AE38" s="1039"/>
      <c r="AF38" s="1039"/>
      <c r="AG38" s="51">
        <f>SUM(Table6422[[#This Row],[Y3 Q1 quantity]:[Y3 Q4 quantity]])</f>
        <v>0</v>
      </c>
      <c r="AH38" s="56">
        <f>Table6422[[#This Row],[Y3 Unit cost]]*Table6422[[#This Row],[Y3 Total quantity]]</f>
        <v>0</v>
      </c>
      <c r="AI38" s="51">
        <f>Table6422[[#This Row],[Y1 Total quantity]]+Table6422[[#This Row],[Y2 Total quantity]]+Table6422[[#This Row],[Y3 Total quantity]]</f>
        <v>0</v>
      </c>
      <c r="AJ38" s="56">
        <f>Table6422[[#This Row],[Y1 Total cost]]+Table6422[[#This Row],[Y2 Total cost]]+Table6422[[#This Row],[Y3 Total cost]]</f>
        <v>0</v>
      </c>
      <c r="AK38" s="309" t="str">
        <f t="shared" si="0"/>
        <v/>
      </c>
      <c r="AL38" s="1261"/>
    </row>
    <row r="39" spans="1:38" hidden="1">
      <c r="A39" s="2730"/>
      <c r="B39" s="2730"/>
      <c r="C39" s="2730"/>
      <c r="D39" s="2731"/>
      <c r="E39" s="2755"/>
      <c r="F39" s="2109"/>
      <c r="G39" s="2109"/>
      <c r="H39" s="2756"/>
      <c r="I39" s="2755"/>
      <c r="J39" s="2109"/>
      <c r="K39" s="2756"/>
      <c r="L39" s="304" t="str">
        <f t="shared" si="1"/>
        <v/>
      </c>
      <c r="M39" s="305" t="str">
        <f t="shared" si="2"/>
        <v/>
      </c>
      <c r="N39" s="1407"/>
      <c r="O39" s="1039"/>
      <c r="P39" s="1039"/>
      <c r="Q39" s="1039"/>
      <c r="R39" s="1039"/>
      <c r="S39" s="51">
        <f>SUM(Table6422[[#This Row],[Y1 Q1 quantity]:[Y1 Q4 quantity]])</f>
        <v>0</v>
      </c>
      <c r="T39" s="52">
        <f>Table6422[[#This Row],[Y1 Unit cost]]*Table6422[[#This Row],[Y1 Total quantity]]</f>
        <v>0</v>
      </c>
      <c r="U39" s="1407"/>
      <c r="V39" s="1039"/>
      <c r="W39" s="1039"/>
      <c r="X39" s="1039"/>
      <c r="Y39" s="1039"/>
      <c r="Z39" s="51">
        <f>SUM(Table6422[[#This Row],[Y2 Q1 quantity]:[Y2 Q4 quantity]])</f>
        <v>0</v>
      </c>
      <c r="AA39" s="56">
        <f>Table6422[[#This Row],[Y2 Unit cost]]*Table6422[[#This Row],[Y2 Total quantity]]</f>
        <v>0</v>
      </c>
      <c r="AB39" s="1407"/>
      <c r="AC39" s="1039"/>
      <c r="AD39" s="1039"/>
      <c r="AE39" s="1039"/>
      <c r="AF39" s="1039"/>
      <c r="AG39" s="51">
        <f>SUM(Table6422[[#This Row],[Y3 Q1 quantity]:[Y3 Q4 quantity]])</f>
        <v>0</v>
      </c>
      <c r="AH39" s="56">
        <f>Table6422[[#This Row],[Y3 Unit cost]]*Table6422[[#This Row],[Y3 Total quantity]]</f>
        <v>0</v>
      </c>
      <c r="AI39" s="51">
        <f>Table6422[[#This Row],[Y1 Total quantity]]+Table6422[[#This Row],[Y2 Total quantity]]+Table6422[[#This Row],[Y3 Total quantity]]</f>
        <v>0</v>
      </c>
      <c r="AJ39" s="56">
        <f>Table6422[[#This Row],[Y1 Total cost]]+Table6422[[#This Row],[Y2 Total cost]]+Table6422[[#This Row],[Y3 Total cost]]</f>
        <v>0</v>
      </c>
      <c r="AK39" s="309" t="str">
        <f t="shared" si="0"/>
        <v/>
      </c>
      <c r="AL39" s="1262"/>
    </row>
    <row r="40" spans="1:38" hidden="1">
      <c r="A40" s="2732"/>
      <c r="B40" s="2732"/>
      <c r="C40" s="2732"/>
      <c r="D40" s="2733"/>
      <c r="E40" s="2752"/>
      <c r="F40" s="2753"/>
      <c r="G40" s="2753"/>
      <c r="H40" s="2754"/>
      <c r="I40" s="2752"/>
      <c r="J40" s="2753"/>
      <c r="K40" s="2754"/>
      <c r="L40" s="306" t="str">
        <f t="shared" si="1"/>
        <v/>
      </c>
      <c r="M40" s="306" t="str">
        <f t="shared" si="2"/>
        <v/>
      </c>
      <c r="N40" s="1407"/>
      <c r="O40" s="1039"/>
      <c r="P40" s="1039"/>
      <c r="Q40" s="1039"/>
      <c r="R40" s="1039"/>
      <c r="S40" s="51">
        <f>SUM(Table6422[[#This Row],[Y1 Q1 quantity]:[Y1 Q4 quantity]])</f>
        <v>0</v>
      </c>
      <c r="T40" s="52">
        <f>Table6422[[#This Row],[Y1 Unit cost]]*Table6422[[#This Row],[Y1 Total quantity]]</f>
        <v>0</v>
      </c>
      <c r="U40" s="1407"/>
      <c r="V40" s="1039"/>
      <c r="W40" s="1039"/>
      <c r="X40" s="1039"/>
      <c r="Y40" s="1039"/>
      <c r="Z40" s="51">
        <f>SUM(Table6422[[#This Row],[Y2 Q1 quantity]:[Y2 Q4 quantity]])</f>
        <v>0</v>
      </c>
      <c r="AA40" s="56">
        <f>Table6422[[#This Row],[Y2 Unit cost]]*Table6422[[#This Row],[Y2 Total quantity]]</f>
        <v>0</v>
      </c>
      <c r="AB40" s="1407"/>
      <c r="AC40" s="1039"/>
      <c r="AD40" s="1039"/>
      <c r="AE40" s="1039"/>
      <c r="AF40" s="1039"/>
      <c r="AG40" s="51">
        <f>SUM(Table6422[[#This Row],[Y3 Q1 quantity]:[Y3 Q4 quantity]])</f>
        <v>0</v>
      </c>
      <c r="AH40" s="56">
        <f>Table6422[[#This Row],[Y3 Unit cost]]*Table6422[[#This Row],[Y3 Total quantity]]</f>
        <v>0</v>
      </c>
      <c r="AI40" s="51">
        <f>Table6422[[#This Row],[Y1 Total quantity]]+Table6422[[#This Row],[Y2 Total quantity]]+Table6422[[#This Row],[Y3 Total quantity]]</f>
        <v>0</v>
      </c>
      <c r="AJ40" s="56">
        <f>Table6422[[#This Row],[Y1 Total cost]]+Table6422[[#This Row],[Y2 Total cost]]+Table6422[[#This Row],[Y3 Total cost]]</f>
        <v>0</v>
      </c>
      <c r="AK40" s="309" t="str">
        <f t="shared" si="0"/>
        <v/>
      </c>
      <c r="AL40" s="1261"/>
    </row>
    <row r="41" spans="1:38" hidden="1">
      <c r="A41" s="2730"/>
      <c r="B41" s="2730"/>
      <c r="C41" s="2730"/>
      <c r="D41" s="2731"/>
      <c r="E41" s="2755"/>
      <c r="F41" s="2109"/>
      <c r="G41" s="2109"/>
      <c r="H41" s="2756"/>
      <c r="I41" s="2755"/>
      <c r="J41" s="2109"/>
      <c r="K41" s="2756"/>
      <c r="L41" s="304" t="str">
        <f t="shared" si="1"/>
        <v/>
      </c>
      <c r="M41" s="305" t="str">
        <f t="shared" si="2"/>
        <v/>
      </c>
      <c r="N41" s="1407"/>
      <c r="O41" s="1039"/>
      <c r="P41" s="1039"/>
      <c r="Q41" s="1039"/>
      <c r="R41" s="1039"/>
      <c r="S41" s="51">
        <f>SUM(Table6422[[#This Row],[Y1 Q1 quantity]:[Y1 Q4 quantity]])</f>
        <v>0</v>
      </c>
      <c r="T41" s="52">
        <f>Table6422[[#This Row],[Y1 Unit cost]]*Table6422[[#This Row],[Y1 Total quantity]]</f>
        <v>0</v>
      </c>
      <c r="U41" s="1407"/>
      <c r="V41" s="1039"/>
      <c r="W41" s="1039"/>
      <c r="X41" s="1039"/>
      <c r="Y41" s="1039"/>
      <c r="Z41" s="51">
        <f>SUM(Table6422[[#This Row],[Y2 Q1 quantity]:[Y2 Q4 quantity]])</f>
        <v>0</v>
      </c>
      <c r="AA41" s="56">
        <f>Table6422[[#This Row],[Y2 Unit cost]]*Table6422[[#This Row],[Y2 Total quantity]]</f>
        <v>0</v>
      </c>
      <c r="AB41" s="1407"/>
      <c r="AC41" s="1039"/>
      <c r="AD41" s="1039"/>
      <c r="AE41" s="1039"/>
      <c r="AF41" s="1039"/>
      <c r="AG41" s="51">
        <f>SUM(Table6422[[#This Row],[Y3 Q1 quantity]:[Y3 Q4 quantity]])</f>
        <v>0</v>
      </c>
      <c r="AH41" s="56">
        <f>Table6422[[#This Row],[Y3 Unit cost]]*Table6422[[#This Row],[Y3 Total quantity]]</f>
        <v>0</v>
      </c>
      <c r="AI41" s="51">
        <f>Table6422[[#This Row],[Y1 Total quantity]]+Table6422[[#This Row],[Y2 Total quantity]]+Table6422[[#This Row],[Y3 Total quantity]]</f>
        <v>0</v>
      </c>
      <c r="AJ41" s="56">
        <f>Table6422[[#This Row],[Y1 Total cost]]+Table6422[[#This Row],[Y2 Total cost]]+Table6422[[#This Row],[Y3 Total cost]]</f>
        <v>0</v>
      </c>
      <c r="AK41" s="309" t="str">
        <f t="shared" si="0"/>
        <v/>
      </c>
      <c r="AL41" s="1262"/>
    </row>
    <row r="42" spans="1:38" hidden="1">
      <c r="A42" s="2732"/>
      <c r="B42" s="2732"/>
      <c r="C42" s="2732"/>
      <c r="D42" s="2733"/>
      <c r="E42" s="2752"/>
      <c r="F42" s="2753"/>
      <c r="G42" s="2753"/>
      <c r="H42" s="2754"/>
      <c r="I42" s="2752"/>
      <c r="J42" s="2753"/>
      <c r="K42" s="2754"/>
      <c r="L42" s="306" t="str">
        <f t="shared" si="1"/>
        <v/>
      </c>
      <c r="M42" s="306" t="str">
        <f t="shared" si="2"/>
        <v/>
      </c>
      <c r="N42" s="1407"/>
      <c r="O42" s="1039"/>
      <c r="P42" s="1039"/>
      <c r="Q42" s="1039"/>
      <c r="R42" s="1039"/>
      <c r="S42" s="51">
        <f>SUM(Table6422[[#This Row],[Y1 Q1 quantity]:[Y1 Q4 quantity]])</f>
        <v>0</v>
      </c>
      <c r="T42" s="52">
        <f>Table6422[[#This Row],[Y1 Unit cost]]*Table6422[[#This Row],[Y1 Total quantity]]</f>
        <v>0</v>
      </c>
      <c r="U42" s="1407"/>
      <c r="V42" s="1039"/>
      <c r="W42" s="1039"/>
      <c r="X42" s="1039"/>
      <c r="Y42" s="1039"/>
      <c r="Z42" s="51">
        <f>SUM(Table6422[[#This Row],[Y2 Q1 quantity]:[Y2 Q4 quantity]])</f>
        <v>0</v>
      </c>
      <c r="AA42" s="56">
        <f>Table6422[[#This Row],[Y2 Unit cost]]*Table6422[[#This Row],[Y2 Total quantity]]</f>
        <v>0</v>
      </c>
      <c r="AB42" s="1407"/>
      <c r="AC42" s="1039"/>
      <c r="AD42" s="1039"/>
      <c r="AE42" s="1039"/>
      <c r="AF42" s="1039"/>
      <c r="AG42" s="51">
        <f>SUM(Table6422[[#This Row],[Y3 Q1 quantity]:[Y3 Q4 quantity]])</f>
        <v>0</v>
      </c>
      <c r="AH42" s="56">
        <f>Table6422[[#This Row],[Y3 Unit cost]]*Table6422[[#This Row],[Y3 Total quantity]]</f>
        <v>0</v>
      </c>
      <c r="AI42" s="51">
        <f>Table6422[[#This Row],[Y1 Total quantity]]+Table6422[[#This Row],[Y2 Total quantity]]+Table6422[[#This Row],[Y3 Total quantity]]</f>
        <v>0</v>
      </c>
      <c r="AJ42" s="56">
        <f>Table6422[[#This Row],[Y1 Total cost]]+Table6422[[#This Row],[Y2 Total cost]]+Table6422[[#This Row],[Y3 Total cost]]</f>
        <v>0</v>
      </c>
      <c r="AK42" s="309" t="str">
        <f t="shared" si="0"/>
        <v/>
      </c>
      <c r="AL42" s="1261"/>
    </row>
    <row r="43" spans="1:38" hidden="1">
      <c r="A43" s="2730"/>
      <c r="B43" s="2730"/>
      <c r="C43" s="2730"/>
      <c r="D43" s="2731"/>
      <c r="E43" s="2755"/>
      <c r="F43" s="2109"/>
      <c r="G43" s="2109"/>
      <c r="H43" s="2756"/>
      <c r="I43" s="2755"/>
      <c r="J43" s="2109"/>
      <c r="K43" s="2756"/>
      <c r="L43" s="304" t="str">
        <f t="shared" si="1"/>
        <v/>
      </c>
      <c r="M43" s="305" t="str">
        <f t="shared" si="2"/>
        <v/>
      </c>
      <c r="N43" s="1407"/>
      <c r="O43" s="1039"/>
      <c r="P43" s="1039"/>
      <c r="Q43" s="1039"/>
      <c r="R43" s="1039"/>
      <c r="S43" s="51">
        <f>SUM(Table6422[[#This Row],[Y1 Q1 quantity]:[Y1 Q4 quantity]])</f>
        <v>0</v>
      </c>
      <c r="T43" s="52">
        <f>Table6422[[#This Row],[Y1 Unit cost]]*Table6422[[#This Row],[Y1 Total quantity]]</f>
        <v>0</v>
      </c>
      <c r="U43" s="1407"/>
      <c r="V43" s="1039"/>
      <c r="W43" s="1039"/>
      <c r="X43" s="1039"/>
      <c r="Y43" s="1039"/>
      <c r="Z43" s="51">
        <f>SUM(Table6422[[#This Row],[Y2 Q1 quantity]:[Y2 Q4 quantity]])</f>
        <v>0</v>
      </c>
      <c r="AA43" s="56">
        <f>Table6422[[#This Row],[Y2 Unit cost]]*Table6422[[#This Row],[Y2 Total quantity]]</f>
        <v>0</v>
      </c>
      <c r="AB43" s="1407"/>
      <c r="AC43" s="1039"/>
      <c r="AD43" s="1039"/>
      <c r="AE43" s="1039"/>
      <c r="AF43" s="1039"/>
      <c r="AG43" s="51">
        <f>SUM(Table6422[[#This Row],[Y3 Q1 quantity]:[Y3 Q4 quantity]])</f>
        <v>0</v>
      </c>
      <c r="AH43" s="56">
        <f>Table6422[[#This Row],[Y3 Unit cost]]*Table6422[[#This Row],[Y3 Total quantity]]</f>
        <v>0</v>
      </c>
      <c r="AI43" s="51">
        <f>Table6422[[#This Row],[Y1 Total quantity]]+Table6422[[#This Row],[Y2 Total quantity]]+Table6422[[#This Row],[Y3 Total quantity]]</f>
        <v>0</v>
      </c>
      <c r="AJ43" s="56">
        <f>Table6422[[#This Row],[Y1 Total cost]]+Table6422[[#This Row],[Y2 Total cost]]+Table6422[[#This Row],[Y3 Total cost]]</f>
        <v>0</v>
      </c>
      <c r="AK43" s="309" t="str">
        <f t="shared" si="0"/>
        <v/>
      </c>
      <c r="AL43" s="1262"/>
    </row>
    <row r="44" spans="1:38" hidden="1">
      <c r="A44" s="2732"/>
      <c r="B44" s="2732"/>
      <c r="C44" s="2732"/>
      <c r="D44" s="2733"/>
      <c r="E44" s="2752"/>
      <c r="F44" s="2753"/>
      <c r="G44" s="2753"/>
      <c r="H44" s="2754"/>
      <c r="I44" s="2752"/>
      <c r="J44" s="2753"/>
      <c r="K44" s="2754"/>
      <c r="L44" s="306" t="str">
        <f t="shared" si="1"/>
        <v/>
      </c>
      <c r="M44" s="306" t="str">
        <f t="shared" si="2"/>
        <v/>
      </c>
      <c r="N44" s="1407"/>
      <c r="O44" s="1039"/>
      <c r="P44" s="1039"/>
      <c r="Q44" s="1039"/>
      <c r="R44" s="1039"/>
      <c r="S44" s="51">
        <f>SUM(Table6422[[#This Row],[Y1 Q1 quantity]:[Y1 Q4 quantity]])</f>
        <v>0</v>
      </c>
      <c r="T44" s="52">
        <f>Table6422[[#This Row],[Y1 Unit cost]]*Table6422[[#This Row],[Y1 Total quantity]]</f>
        <v>0</v>
      </c>
      <c r="U44" s="1407"/>
      <c r="V44" s="1039"/>
      <c r="W44" s="1039"/>
      <c r="X44" s="1039"/>
      <c r="Y44" s="1039"/>
      <c r="Z44" s="51">
        <f>SUM(Table6422[[#This Row],[Y2 Q1 quantity]:[Y2 Q4 quantity]])</f>
        <v>0</v>
      </c>
      <c r="AA44" s="56">
        <f>Table6422[[#This Row],[Y2 Unit cost]]*Table6422[[#This Row],[Y2 Total quantity]]</f>
        <v>0</v>
      </c>
      <c r="AB44" s="1407"/>
      <c r="AC44" s="1039"/>
      <c r="AD44" s="1039"/>
      <c r="AE44" s="1039"/>
      <c r="AF44" s="1039"/>
      <c r="AG44" s="51">
        <f>SUM(Table6422[[#This Row],[Y3 Q1 quantity]:[Y3 Q4 quantity]])</f>
        <v>0</v>
      </c>
      <c r="AH44" s="56">
        <f>Table6422[[#This Row],[Y3 Unit cost]]*Table6422[[#This Row],[Y3 Total quantity]]</f>
        <v>0</v>
      </c>
      <c r="AI44" s="51">
        <f>Table6422[[#This Row],[Y1 Total quantity]]+Table6422[[#This Row],[Y2 Total quantity]]+Table6422[[#This Row],[Y3 Total quantity]]</f>
        <v>0</v>
      </c>
      <c r="AJ44" s="56">
        <f>Table6422[[#This Row],[Y1 Total cost]]+Table6422[[#This Row],[Y2 Total cost]]+Table6422[[#This Row],[Y3 Total cost]]</f>
        <v>0</v>
      </c>
      <c r="AK44" s="309" t="str">
        <f t="shared" si="0"/>
        <v/>
      </c>
      <c r="AL44" s="1261"/>
    </row>
    <row r="45" spans="1:38" hidden="1">
      <c r="A45" s="2730"/>
      <c r="B45" s="2730"/>
      <c r="C45" s="2730"/>
      <c r="D45" s="2731"/>
      <c r="E45" s="2755"/>
      <c r="F45" s="2109"/>
      <c r="G45" s="2109"/>
      <c r="H45" s="2756"/>
      <c r="I45" s="2755"/>
      <c r="J45" s="2109"/>
      <c r="K45" s="2756"/>
      <c r="L45" s="304" t="str">
        <f t="shared" si="1"/>
        <v/>
      </c>
      <c r="M45" s="305" t="str">
        <f t="shared" si="2"/>
        <v/>
      </c>
      <c r="N45" s="1407"/>
      <c r="O45" s="1039"/>
      <c r="P45" s="1039"/>
      <c r="Q45" s="1039"/>
      <c r="R45" s="1039"/>
      <c r="S45" s="51">
        <f>SUM(Table6422[[#This Row],[Y1 Q1 quantity]:[Y1 Q4 quantity]])</f>
        <v>0</v>
      </c>
      <c r="T45" s="52">
        <f>Table6422[[#This Row],[Y1 Unit cost]]*Table6422[[#This Row],[Y1 Total quantity]]</f>
        <v>0</v>
      </c>
      <c r="U45" s="1407"/>
      <c r="V45" s="1039"/>
      <c r="W45" s="1039"/>
      <c r="X45" s="1039"/>
      <c r="Y45" s="1039"/>
      <c r="Z45" s="51">
        <f>SUM(Table6422[[#This Row],[Y2 Q1 quantity]:[Y2 Q4 quantity]])</f>
        <v>0</v>
      </c>
      <c r="AA45" s="56">
        <f>Table6422[[#This Row],[Y2 Unit cost]]*Table6422[[#This Row],[Y2 Total quantity]]</f>
        <v>0</v>
      </c>
      <c r="AB45" s="1407"/>
      <c r="AC45" s="1039"/>
      <c r="AD45" s="1039"/>
      <c r="AE45" s="1039"/>
      <c r="AF45" s="1039"/>
      <c r="AG45" s="51">
        <f>SUM(Table6422[[#This Row],[Y3 Q1 quantity]:[Y3 Q4 quantity]])</f>
        <v>0</v>
      </c>
      <c r="AH45" s="56">
        <f>Table6422[[#This Row],[Y3 Unit cost]]*Table6422[[#This Row],[Y3 Total quantity]]</f>
        <v>0</v>
      </c>
      <c r="AI45" s="51">
        <f>Table6422[[#This Row],[Y1 Total quantity]]+Table6422[[#This Row],[Y2 Total quantity]]+Table6422[[#This Row],[Y3 Total quantity]]</f>
        <v>0</v>
      </c>
      <c r="AJ45" s="56">
        <f>Table6422[[#This Row],[Y1 Total cost]]+Table6422[[#This Row],[Y2 Total cost]]+Table6422[[#This Row],[Y3 Total cost]]</f>
        <v>0</v>
      </c>
      <c r="AK45" s="309" t="str">
        <f t="shared" si="0"/>
        <v/>
      </c>
      <c r="AL45" s="1262"/>
    </row>
    <row r="46" spans="1:38" hidden="1">
      <c r="A46" s="2732"/>
      <c r="B46" s="2732"/>
      <c r="C46" s="2732"/>
      <c r="D46" s="2733"/>
      <c r="E46" s="2752"/>
      <c r="F46" s="2753"/>
      <c r="G46" s="2753"/>
      <c r="H46" s="2754"/>
      <c r="I46" s="2752"/>
      <c r="J46" s="2753"/>
      <c r="K46" s="2754"/>
      <c r="L46" s="306" t="str">
        <f t="shared" si="1"/>
        <v/>
      </c>
      <c r="M46" s="306" t="str">
        <f t="shared" si="2"/>
        <v/>
      </c>
      <c r="N46" s="1407"/>
      <c r="O46" s="1039"/>
      <c r="P46" s="1039"/>
      <c r="Q46" s="1039"/>
      <c r="R46" s="1039"/>
      <c r="S46" s="51">
        <f>SUM(Table6422[[#This Row],[Y1 Q1 quantity]:[Y1 Q4 quantity]])</f>
        <v>0</v>
      </c>
      <c r="T46" s="52">
        <f>Table6422[[#This Row],[Y1 Unit cost]]*Table6422[[#This Row],[Y1 Total quantity]]</f>
        <v>0</v>
      </c>
      <c r="U46" s="1407"/>
      <c r="V46" s="1039"/>
      <c r="W46" s="1039"/>
      <c r="X46" s="1039"/>
      <c r="Y46" s="1039"/>
      <c r="Z46" s="51">
        <f>SUM(Table6422[[#This Row],[Y2 Q1 quantity]:[Y2 Q4 quantity]])</f>
        <v>0</v>
      </c>
      <c r="AA46" s="56">
        <f>Table6422[[#This Row],[Y2 Unit cost]]*Table6422[[#This Row],[Y2 Total quantity]]</f>
        <v>0</v>
      </c>
      <c r="AB46" s="1407"/>
      <c r="AC46" s="1039"/>
      <c r="AD46" s="1039"/>
      <c r="AE46" s="1039"/>
      <c r="AF46" s="1039"/>
      <c r="AG46" s="51">
        <f>SUM(Table6422[[#This Row],[Y3 Q1 quantity]:[Y3 Q4 quantity]])</f>
        <v>0</v>
      </c>
      <c r="AH46" s="56">
        <f>Table6422[[#This Row],[Y3 Unit cost]]*Table6422[[#This Row],[Y3 Total quantity]]</f>
        <v>0</v>
      </c>
      <c r="AI46" s="51">
        <f>Table6422[[#This Row],[Y1 Total quantity]]+Table6422[[#This Row],[Y2 Total quantity]]+Table6422[[#This Row],[Y3 Total quantity]]</f>
        <v>0</v>
      </c>
      <c r="AJ46" s="56">
        <f>Table6422[[#This Row],[Y1 Total cost]]+Table6422[[#This Row],[Y2 Total cost]]+Table6422[[#This Row],[Y3 Total cost]]</f>
        <v>0</v>
      </c>
      <c r="AK46" s="309" t="str">
        <f t="shared" ref="AK46:AK60" si="3">IF(E46="","","4.3")</f>
        <v/>
      </c>
      <c r="AL46" s="1261"/>
    </row>
    <row r="47" spans="1:38" hidden="1">
      <c r="A47" s="2730"/>
      <c r="B47" s="2730"/>
      <c r="C47" s="2730"/>
      <c r="D47" s="2731"/>
      <c r="E47" s="2755"/>
      <c r="F47" s="2109"/>
      <c r="G47" s="2109"/>
      <c r="H47" s="2756"/>
      <c r="I47" s="2755"/>
      <c r="J47" s="2109"/>
      <c r="K47" s="2756"/>
      <c r="L47" s="304" t="str">
        <f t="shared" si="1"/>
        <v/>
      </c>
      <c r="M47" s="305" t="str">
        <f t="shared" si="2"/>
        <v/>
      </c>
      <c r="N47" s="1407"/>
      <c r="O47" s="1039"/>
      <c r="P47" s="1039"/>
      <c r="Q47" s="1039"/>
      <c r="R47" s="1039"/>
      <c r="S47" s="51">
        <f>SUM(Table6422[[#This Row],[Y1 Q1 quantity]:[Y1 Q4 quantity]])</f>
        <v>0</v>
      </c>
      <c r="T47" s="52">
        <f>Table6422[[#This Row],[Y1 Unit cost]]*Table6422[[#This Row],[Y1 Total quantity]]</f>
        <v>0</v>
      </c>
      <c r="U47" s="1407"/>
      <c r="V47" s="1039"/>
      <c r="W47" s="1039"/>
      <c r="X47" s="1039"/>
      <c r="Y47" s="1039"/>
      <c r="Z47" s="51">
        <f>SUM(Table6422[[#This Row],[Y2 Q1 quantity]:[Y2 Q4 quantity]])</f>
        <v>0</v>
      </c>
      <c r="AA47" s="56">
        <f>Table6422[[#This Row],[Y2 Unit cost]]*Table6422[[#This Row],[Y2 Total quantity]]</f>
        <v>0</v>
      </c>
      <c r="AB47" s="1407"/>
      <c r="AC47" s="1039"/>
      <c r="AD47" s="1039"/>
      <c r="AE47" s="1039"/>
      <c r="AF47" s="1039"/>
      <c r="AG47" s="51">
        <f>SUM(Table6422[[#This Row],[Y3 Q1 quantity]:[Y3 Q4 quantity]])</f>
        <v>0</v>
      </c>
      <c r="AH47" s="56">
        <f>Table6422[[#This Row],[Y3 Unit cost]]*Table6422[[#This Row],[Y3 Total quantity]]</f>
        <v>0</v>
      </c>
      <c r="AI47" s="51">
        <f>Table6422[[#This Row],[Y1 Total quantity]]+Table6422[[#This Row],[Y2 Total quantity]]+Table6422[[#This Row],[Y3 Total quantity]]</f>
        <v>0</v>
      </c>
      <c r="AJ47" s="56">
        <f>Table6422[[#This Row],[Y1 Total cost]]+Table6422[[#This Row],[Y2 Total cost]]+Table6422[[#This Row],[Y3 Total cost]]</f>
        <v>0</v>
      </c>
      <c r="AK47" s="309" t="str">
        <f t="shared" si="3"/>
        <v/>
      </c>
      <c r="AL47" s="1262"/>
    </row>
    <row r="48" spans="1:38" hidden="1">
      <c r="A48" s="2732"/>
      <c r="B48" s="2732"/>
      <c r="C48" s="2732"/>
      <c r="D48" s="2733"/>
      <c r="E48" s="2752"/>
      <c r="F48" s="2753"/>
      <c r="G48" s="2753"/>
      <c r="H48" s="2754"/>
      <c r="I48" s="2752"/>
      <c r="J48" s="2753"/>
      <c r="K48" s="2754"/>
      <c r="L48" s="306" t="str">
        <f t="shared" si="1"/>
        <v/>
      </c>
      <c r="M48" s="306" t="str">
        <f t="shared" si="2"/>
        <v/>
      </c>
      <c r="N48" s="1407"/>
      <c r="O48" s="1039"/>
      <c r="P48" s="1039"/>
      <c r="Q48" s="1039"/>
      <c r="R48" s="1039"/>
      <c r="S48" s="51">
        <f>SUM(Table6422[[#This Row],[Y1 Q1 quantity]:[Y1 Q4 quantity]])</f>
        <v>0</v>
      </c>
      <c r="T48" s="52">
        <f>Table6422[[#This Row],[Y1 Unit cost]]*Table6422[[#This Row],[Y1 Total quantity]]</f>
        <v>0</v>
      </c>
      <c r="U48" s="1407"/>
      <c r="V48" s="1039"/>
      <c r="W48" s="1039"/>
      <c r="X48" s="1039"/>
      <c r="Y48" s="1039"/>
      <c r="Z48" s="51">
        <f>SUM(Table6422[[#This Row],[Y2 Q1 quantity]:[Y2 Q4 quantity]])</f>
        <v>0</v>
      </c>
      <c r="AA48" s="56">
        <f>Table6422[[#This Row],[Y2 Unit cost]]*Table6422[[#This Row],[Y2 Total quantity]]</f>
        <v>0</v>
      </c>
      <c r="AB48" s="1407"/>
      <c r="AC48" s="1039"/>
      <c r="AD48" s="1039"/>
      <c r="AE48" s="1039"/>
      <c r="AF48" s="1039"/>
      <c r="AG48" s="51">
        <f>SUM(Table6422[[#This Row],[Y3 Q1 quantity]:[Y3 Q4 quantity]])</f>
        <v>0</v>
      </c>
      <c r="AH48" s="56">
        <f>Table6422[[#This Row],[Y3 Unit cost]]*Table6422[[#This Row],[Y3 Total quantity]]</f>
        <v>0</v>
      </c>
      <c r="AI48" s="51">
        <f>Table6422[[#This Row],[Y1 Total quantity]]+Table6422[[#This Row],[Y2 Total quantity]]+Table6422[[#This Row],[Y3 Total quantity]]</f>
        <v>0</v>
      </c>
      <c r="AJ48" s="56">
        <f>Table6422[[#This Row],[Y1 Total cost]]+Table6422[[#This Row],[Y2 Total cost]]+Table6422[[#This Row],[Y3 Total cost]]</f>
        <v>0</v>
      </c>
      <c r="AK48" s="309" t="str">
        <f t="shared" si="3"/>
        <v/>
      </c>
      <c r="AL48" s="1261"/>
    </row>
    <row r="49" spans="1:39" hidden="1">
      <c r="A49" s="2730"/>
      <c r="B49" s="2730"/>
      <c r="C49" s="2730"/>
      <c r="D49" s="2731"/>
      <c r="E49" s="2755"/>
      <c r="F49" s="2109"/>
      <c r="G49" s="2109"/>
      <c r="H49" s="2756"/>
      <c r="I49" s="2755"/>
      <c r="J49" s="2109"/>
      <c r="K49" s="2756"/>
      <c r="L49" s="304" t="str">
        <f t="shared" si="1"/>
        <v/>
      </c>
      <c r="M49" s="305" t="str">
        <f t="shared" si="2"/>
        <v/>
      </c>
      <c r="N49" s="1407"/>
      <c r="O49" s="1039"/>
      <c r="P49" s="1039"/>
      <c r="Q49" s="1039"/>
      <c r="R49" s="1039"/>
      <c r="S49" s="51">
        <f>SUM(Table6422[[#This Row],[Y1 Q1 quantity]:[Y1 Q4 quantity]])</f>
        <v>0</v>
      </c>
      <c r="T49" s="52">
        <f>Table6422[[#This Row],[Y1 Unit cost]]*Table6422[[#This Row],[Y1 Total quantity]]</f>
        <v>0</v>
      </c>
      <c r="U49" s="1407"/>
      <c r="V49" s="1039"/>
      <c r="W49" s="1039"/>
      <c r="X49" s="1039"/>
      <c r="Y49" s="1039"/>
      <c r="Z49" s="51">
        <f>SUM(Table6422[[#This Row],[Y2 Q1 quantity]:[Y2 Q4 quantity]])</f>
        <v>0</v>
      </c>
      <c r="AA49" s="56">
        <f>Table6422[[#This Row],[Y2 Unit cost]]*Table6422[[#This Row],[Y2 Total quantity]]</f>
        <v>0</v>
      </c>
      <c r="AB49" s="1407"/>
      <c r="AC49" s="1039"/>
      <c r="AD49" s="1039"/>
      <c r="AE49" s="1039"/>
      <c r="AF49" s="1039"/>
      <c r="AG49" s="51">
        <f>SUM(Table6422[[#This Row],[Y3 Q1 quantity]:[Y3 Q4 quantity]])</f>
        <v>0</v>
      </c>
      <c r="AH49" s="56">
        <f>Table6422[[#This Row],[Y3 Unit cost]]*Table6422[[#This Row],[Y3 Total quantity]]</f>
        <v>0</v>
      </c>
      <c r="AI49" s="51">
        <f>Table6422[[#This Row],[Y1 Total quantity]]+Table6422[[#This Row],[Y2 Total quantity]]+Table6422[[#This Row],[Y3 Total quantity]]</f>
        <v>0</v>
      </c>
      <c r="AJ49" s="56">
        <f>Table6422[[#This Row],[Y1 Total cost]]+Table6422[[#This Row],[Y2 Total cost]]+Table6422[[#This Row],[Y3 Total cost]]</f>
        <v>0</v>
      </c>
      <c r="AK49" s="309" t="str">
        <f t="shared" si="3"/>
        <v/>
      </c>
      <c r="AL49" s="1262"/>
    </row>
    <row r="50" spans="1:39" hidden="1">
      <c r="A50" s="2732"/>
      <c r="B50" s="2732"/>
      <c r="C50" s="2732"/>
      <c r="D50" s="2733"/>
      <c r="E50" s="2752"/>
      <c r="F50" s="2753"/>
      <c r="G50" s="2753"/>
      <c r="H50" s="2754"/>
      <c r="I50" s="2752"/>
      <c r="J50" s="2753"/>
      <c r="K50" s="2754"/>
      <c r="L50" s="306" t="str">
        <f t="shared" si="1"/>
        <v/>
      </c>
      <c r="M50" s="306" t="str">
        <f t="shared" si="2"/>
        <v/>
      </c>
      <c r="N50" s="1407"/>
      <c r="O50" s="1039"/>
      <c r="P50" s="1039"/>
      <c r="Q50" s="1039"/>
      <c r="R50" s="1039"/>
      <c r="S50" s="51">
        <f>SUM(Table6422[[#This Row],[Y1 Q1 quantity]:[Y1 Q4 quantity]])</f>
        <v>0</v>
      </c>
      <c r="T50" s="52">
        <f>Table6422[[#This Row],[Y1 Unit cost]]*Table6422[[#This Row],[Y1 Total quantity]]</f>
        <v>0</v>
      </c>
      <c r="U50" s="1407"/>
      <c r="V50" s="1039"/>
      <c r="W50" s="1039"/>
      <c r="X50" s="1039"/>
      <c r="Y50" s="1039"/>
      <c r="Z50" s="51">
        <f>SUM(Table6422[[#This Row],[Y2 Q1 quantity]:[Y2 Q4 quantity]])</f>
        <v>0</v>
      </c>
      <c r="AA50" s="56">
        <f>Table6422[[#This Row],[Y2 Unit cost]]*Table6422[[#This Row],[Y2 Total quantity]]</f>
        <v>0</v>
      </c>
      <c r="AB50" s="1407"/>
      <c r="AC50" s="1039"/>
      <c r="AD50" s="1039"/>
      <c r="AE50" s="1039"/>
      <c r="AF50" s="1039"/>
      <c r="AG50" s="51">
        <f>SUM(Table6422[[#This Row],[Y3 Q1 quantity]:[Y3 Q4 quantity]])</f>
        <v>0</v>
      </c>
      <c r="AH50" s="56">
        <f>Table6422[[#This Row],[Y3 Unit cost]]*Table6422[[#This Row],[Y3 Total quantity]]</f>
        <v>0</v>
      </c>
      <c r="AI50" s="51">
        <f>Table6422[[#This Row],[Y1 Total quantity]]+Table6422[[#This Row],[Y2 Total quantity]]+Table6422[[#This Row],[Y3 Total quantity]]</f>
        <v>0</v>
      </c>
      <c r="AJ50" s="56">
        <f>Table6422[[#This Row],[Y1 Total cost]]+Table6422[[#This Row],[Y2 Total cost]]+Table6422[[#This Row],[Y3 Total cost]]</f>
        <v>0</v>
      </c>
      <c r="AK50" s="309" t="str">
        <f t="shared" si="3"/>
        <v/>
      </c>
      <c r="AL50" s="1261"/>
    </row>
    <row r="51" spans="1:39" hidden="1">
      <c r="A51" s="2730"/>
      <c r="B51" s="2730"/>
      <c r="C51" s="2730"/>
      <c r="D51" s="2731"/>
      <c r="E51" s="2755"/>
      <c r="F51" s="2109"/>
      <c r="G51" s="2109"/>
      <c r="H51" s="2756"/>
      <c r="I51" s="2755"/>
      <c r="J51" s="2109"/>
      <c r="K51" s="2756"/>
      <c r="L51" s="304" t="str">
        <f t="shared" si="1"/>
        <v/>
      </c>
      <c r="M51" s="305" t="str">
        <f t="shared" si="2"/>
        <v/>
      </c>
      <c r="N51" s="1407"/>
      <c r="O51" s="1039"/>
      <c r="P51" s="1039"/>
      <c r="Q51" s="1039"/>
      <c r="R51" s="1039"/>
      <c r="S51" s="51">
        <f>SUM(Table6422[[#This Row],[Y1 Q1 quantity]:[Y1 Q4 quantity]])</f>
        <v>0</v>
      </c>
      <c r="T51" s="52">
        <f>Table6422[[#This Row],[Y1 Unit cost]]*Table6422[[#This Row],[Y1 Total quantity]]</f>
        <v>0</v>
      </c>
      <c r="U51" s="1407"/>
      <c r="V51" s="1039"/>
      <c r="W51" s="1039"/>
      <c r="X51" s="1039"/>
      <c r="Y51" s="1039"/>
      <c r="Z51" s="51">
        <f>SUM(Table6422[[#This Row],[Y2 Q1 quantity]:[Y2 Q4 quantity]])</f>
        <v>0</v>
      </c>
      <c r="AA51" s="56">
        <f>Table6422[[#This Row],[Y2 Unit cost]]*Table6422[[#This Row],[Y2 Total quantity]]</f>
        <v>0</v>
      </c>
      <c r="AB51" s="1407"/>
      <c r="AC51" s="1039"/>
      <c r="AD51" s="1039"/>
      <c r="AE51" s="1039"/>
      <c r="AF51" s="1039"/>
      <c r="AG51" s="51">
        <f>SUM(Table6422[[#This Row],[Y3 Q1 quantity]:[Y3 Q4 quantity]])</f>
        <v>0</v>
      </c>
      <c r="AH51" s="56">
        <f>Table6422[[#This Row],[Y3 Unit cost]]*Table6422[[#This Row],[Y3 Total quantity]]</f>
        <v>0</v>
      </c>
      <c r="AI51" s="51">
        <f>Table6422[[#This Row],[Y1 Total quantity]]+Table6422[[#This Row],[Y2 Total quantity]]+Table6422[[#This Row],[Y3 Total quantity]]</f>
        <v>0</v>
      </c>
      <c r="AJ51" s="56">
        <f>Table6422[[#This Row],[Y1 Total cost]]+Table6422[[#This Row],[Y2 Total cost]]+Table6422[[#This Row],[Y3 Total cost]]</f>
        <v>0</v>
      </c>
      <c r="AK51" s="309" t="str">
        <f t="shared" si="3"/>
        <v/>
      </c>
      <c r="AL51" s="1262"/>
    </row>
    <row r="52" spans="1:39" hidden="1">
      <c r="A52" s="2732"/>
      <c r="B52" s="2732"/>
      <c r="C52" s="2732"/>
      <c r="D52" s="2733"/>
      <c r="E52" s="2752"/>
      <c r="F52" s="2753"/>
      <c r="G52" s="2753"/>
      <c r="H52" s="2754"/>
      <c r="I52" s="2752"/>
      <c r="J52" s="2753"/>
      <c r="K52" s="2754"/>
      <c r="L52" s="306" t="str">
        <f t="shared" si="1"/>
        <v/>
      </c>
      <c r="M52" s="306" t="str">
        <f t="shared" si="2"/>
        <v/>
      </c>
      <c r="N52" s="1407"/>
      <c r="O52" s="1039"/>
      <c r="P52" s="1039"/>
      <c r="Q52" s="1039"/>
      <c r="R52" s="1039"/>
      <c r="S52" s="51">
        <f>SUM(Table6422[[#This Row],[Y1 Q1 quantity]:[Y1 Q4 quantity]])</f>
        <v>0</v>
      </c>
      <c r="T52" s="52">
        <f>Table6422[[#This Row],[Y1 Unit cost]]*Table6422[[#This Row],[Y1 Total quantity]]</f>
        <v>0</v>
      </c>
      <c r="U52" s="1407"/>
      <c r="V52" s="1039"/>
      <c r="W52" s="1039"/>
      <c r="X52" s="1039"/>
      <c r="Y52" s="1039"/>
      <c r="Z52" s="51">
        <f>SUM(Table6422[[#This Row],[Y2 Q1 quantity]:[Y2 Q4 quantity]])</f>
        <v>0</v>
      </c>
      <c r="AA52" s="56">
        <f>Table6422[[#This Row],[Y2 Unit cost]]*Table6422[[#This Row],[Y2 Total quantity]]</f>
        <v>0</v>
      </c>
      <c r="AB52" s="1407"/>
      <c r="AC52" s="1039"/>
      <c r="AD52" s="1039"/>
      <c r="AE52" s="1039"/>
      <c r="AF52" s="1039"/>
      <c r="AG52" s="51">
        <f>SUM(Table6422[[#This Row],[Y3 Q1 quantity]:[Y3 Q4 quantity]])</f>
        <v>0</v>
      </c>
      <c r="AH52" s="56">
        <f>Table6422[[#This Row],[Y3 Unit cost]]*Table6422[[#This Row],[Y3 Total quantity]]</f>
        <v>0</v>
      </c>
      <c r="AI52" s="51">
        <f>Table6422[[#This Row],[Y1 Total quantity]]+Table6422[[#This Row],[Y2 Total quantity]]+Table6422[[#This Row],[Y3 Total quantity]]</f>
        <v>0</v>
      </c>
      <c r="AJ52" s="56">
        <f>Table6422[[#This Row],[Y1 Total cost]]+Table6422[[#This Row],[Y2 Total cost]]+Table6422[[#This Row],[Y3 Total cost]]</f>
        <v>0</v>
      </c>
      <c r="AK52" s="309" t="str">
        <f t="shared" si="3"/>
        <v/>
      </c>
      <c r="AL52" s="1261"/>
    </row>
    <row r="53" spans="1:39" hidden="1">
      <c r="A53" s="2730"/>
      <c r="B53" s="2730"/>
      <c r="C53" s="2730"/>
      <c r="D53" s="2731"/>
      <c r="E53" s="2755"/>
      <c r="F53" s="2109"/>
      <c r="G53" s="2109"/>
      <c r="H53" s="2756"/>
      <c r="I53" s="2755"/>
      <c r="J53" s="2109"/>
      <c r="K53" s="2756"/>
      <c r="L53" s="304" t="str">
        <f t="shared" si="1"/>
        <v/>
      </c>
      <c r="M53" s="305" t="str">
        <f t="shared" si="2"/>
        <v/>
      </c>
      <c r="N53" s="1407"/>
      <c r="O53" s="1039"/>
      <c r="P53" s="1039"/>
      <c r="Q53" s="1039"/>
      <c r="R53" s="1039"/>
      <c r="S53" s="51">
        <f>SUM(Table6422[[#This Row],[Y1 Q1 quantity]:[Y1 Q4 quantity]])</f>
        <v>0</v>
      </c>
      <c r="T53" s="52">
        <f>Table6422[[#This Row],[Y1 Unit cost]]*Table6422[[#This Row],[Y1 Total quantity]]</f>
        <v>0</v>
      </c>
      <c r="U53" s="1407"/>
      <c r="V53" s="1039"/>
      <c r="W53" s="1039"/>
      <c r="X53" s="1039"/>
      <c r="Y53" s="1039"/>
      <c r="Z53" s="51">
        <f>SUM(Table6422[[#This Row],[Y2 Q1 quantity]:[Y2 Q4 quantity]])</f>
        <v>0</v>
      </c>
      <c r="AA53" s="56">
        <f>Table6422[[#This Row],[Y2 Unit cost]]*Table6422[[#This Row],[Y2 Total quantity]]</f>
        <v>0</v>
      </c>
      <c r="AB53" s="1407"/>
      <c r="AC53" s="1039"/>
      <c r="AD53" s="1039"/>
      <c r="AE53" s="1039"/>
      <c r="AF53" s="1039"/>
      <c r="AG53" s="51">
        <f>SUM(Table6422[[#This Row],[Y3 Q1 quantity]:[Y3 Q4 quantity]])</f>
        <v>0</v>
      </c>
      <c r="AH53" s="56">
        <f>Table6422[[#This Row],[Y3 Unit cost]]*Table6422[[#This Row],[Y3 Total quantity]]</f>
        <v>0</v>
      </c>
      <c r="AI53" s="51">
        <f>Table6422[[#This Row],[Y1 Total quantity]]+Table6422[[#This Row],[Y2 Total quantity]]+Table6422[[#This Row],[Y3 Total quantity]]</f>
        <v>0</v>
      </c>
      <c r="AJ53" s="56">
        <f>Table6422[[#This Row],[Y1 Total cost]]+Table6422[[#This Row],[Y2 Total cost]]+Table6422[[#This Row],[Y3 Total cost]]</f>
        <v>0</v>
      </c>
      <c r="AK53" s="309" t="str">
        <f t="shared" si="3"/>
        <v/>
      </c>
      <c r="AL53" s="1262"/>
    </row>
    <row r="54" spans="1:39" hidden="1">
      <c r="A54" s="2784"/>
      <c r="B54" s="2785"/>
      <c r="C54" s="2785"/>
      <c r="D54" s="2785"/>
      <c r="E54" s="2752"/>
      <c r="F54" s="2753"/>
      <c r="G54" s="2753"/>
      <c r="H54" s="2754"/>
      <c r="I54" s="2752"/>
      <c r="J54" s="2753"/>
      <c r="K54" s="2754"/>
      <c r="L54" s="306" t="str">
        <f t="shared" si="1"/>
        <v/>
      </c>
      <c r="M54" s="306" t="str">
        <f t="shared" si="2"/>
        <v/>
      </c>
      <c r="N54" s="1407"/>
      <c r="O54" s="1039"/>
      <c r="P54" s="1039"/>
      <c r="Q54" s="1039"/>
      <c r="R54" s="1039"/>
      <c r="S54" s="51">
        <f>SUM(Table6422[[#This Row],[Y1 Q1 quantity]:[Y1 Q4 quantity]])</f>
        <v>0</v>
      </c>
      <c r="T54" s="52">
        <f>Table6422[[#This Row],[Y1 Unit cost]]*Table6422[[#This Row],[Y1 Total quantity]]</f>
        <v>0</v>
      </c>
      <c r="U54" s="1407"/>
      <c r="V54" s="1039"/>
      <c r="W54" s="1039"/>
      <c r="X54" s="1039"/>
      <c r="Y54" s="1039"/>
      <c r="Z54" s="51">
        <f>SUM(Table6422[[#This Row],[Y2 Q1 quantity]:[Y2 Q4 quantity]])</f>
        <v>0</v>
      </c>
      <c r="AA54" s="56">
        <f>Table6422[[#This Row],[Y2 Unit cost]]*Table6422[[#This Row],[Y2 Total quantity]]</f>
        <v>0</v>
      </c>
      <c r="AB54" s="1407"/>
      <c r="AC54" s="1039"/>
      <c r="AD54" s="1039"/>
      <c r="AE54" s="1039"/>
      <c r="AF54" s="1039"/>
      <c r="AG54" s="51">
        <f>SUM(Table6422[[#This Row],[Y3 Q1 quantity]:[Y3 Q4 quantity]])</f>
        <v>0</v>
      </c>
      <c r="AH54" s="56">
        <f>Table6422[[#This Row],[Y3 Unit cost]]*Table6422[[#This Row],[Y3 Total quantity]]</f>
        <v>0</v>
      </c>
      <c r="AI54" s="51">
        <f>Table6422[[#This Row],[Y1 Total quantity]]+Table6422[[#This Row],[Y2 Total quantity]]+Table6422[[#This Row],[Y3 Total quantity]]</f>
        <v>0</v>
      </c>
      <c r="AJ54" s="56">
        <f>Table6422[[#This Row],[Y1 Total cost]]+Table6422[[#This Row],[Y2 Total cost]]+Table6422[[#This Row],[Y3 Total cost]]</f>
        <v>0</v>
      </c>
      <c r="AK54" s="309" t="str">
        <f t="shared" si="3"/>
        <v/>
      </c>
      <c r="AL54" s="1261"/>
    </row>
    <row r="55" spans="1:39" hidden="1">
      <c r="A55" s="2730"/>
      <c r="B55" s="2730"/>
      <c r="C55" s="2730"/>
      <c r="D55" s="2731"/>
      <c r="E55" s="2755"/>
      <c r="F55" s="2109"/>
      <c r="G55" s="2109"/>
      <c r="H55" s="2756"/>
      <c r="I55" s="2755"/>
      <c r="J55" s="2109"/>
      <c r="K55" s="2756"/>
      <c r="L55" s="304" t="str">
        <f t="shared" si="1"/>
        <v/>
      </c>
      <c r="M55" s="305" t="str">
        <f t="shared" si="2"/>
        <v/>
      </c>
      <c r="N55" s="1407"/>
      <c r="O55" s="1039"/>
      <c r="P55" s="1039"/>
      <c r="Q55" s="1039"/>
      <c r="R55" s="1039"/>
      <c r="S55" s="51">
        <f>SUM(Table6422[[#This Row],[Y1 Q1 quantity]:[Y1 Q4 quantity]])</f>
        <v>0</v>
      </c>
      <c r="T55" s="52">
        <f>Table6422[[#This Row],[Y1 Unit cost]]*Table6422[[#This Row],[Y1 Total quantity]]</f>
        <v>0</v>
      </c>
      <c r="U55" s="1407"/>
      <c r="V55" s="1039"/>
      <c r="W55" s="1039"/>
      <c r="X55" s="1039"/>
      <c r="Y55" s="1039"/>
      <c r="Z55" s="51">
        <f>SUM(Table6422[[#This Row],[Y2 Q1 quantity]:[Y2 Q4 quantity]])</f>
        <v>0</v>
      </c>
      <c r="AA55" s="56">
        <f>Table6422[[#This Row],[Y2 Unit cost]]*Table6422[[#This Row],[Y2 Total quantity]]</f>
        <v>0</v>
      </c>
      <c r="AB55" s="1407"/>
      <c r="AC55" s="1039"/>
      <c r="AD55" s="1039"/>
      <c r="AE55" s="1039"/>
      <c r="AF55" s="1039"/>
      <c r="AG55" s="51">
        <f>SUM(Table6422[[#This Row],[Y3 Q1 quantity]:[Y3 Q4 quantity]])</f>
        <v>0</v>
      </c>
      <c r="AH55" s="56">
        <f>Table6422[[#This Row],[Y3 Unit cost]]*Table6422[[#This Row],[Y3 Total quantity]]</f>
        <v>0</v>
      </c>
      <c r="AI55" s="51">
        <f>Table6422[[#This Row],[Y1 Total quantity]]+Table6422[[#This Row],[Y2 Total quantity]]+Table6422[[#This Row],[Y3 Total quantity]]</f>
        <v>0</v>
      </c>
      <c r="AJ55" s="56">
        <f>Table6422[[#This Row],[Y1 Total cost]]+Table6422[[#This Row],[Y2 Total cost]]+Table6422[[#This Row],[Y3 Total cost]]</f>
        <v>0</v>
      </c>
      <c r="AK55" s="309" t="str">
        <f t="shared" si="3"/>
        <v/>
      </c>
      <c r="AL55" s="1262"/>
    </row>
    <row r="56" spans="1:39" hidden="1">
      <c r="A56" s="2784"/>
      <c r="B56" s="2785"/>
      <c r="C56" s="2785"/>
      <c r="D56" s="2785"/>
      <c r="E56" s="2752"/>
      <c r="F56" s="2753"/>
      <c r="G56" s="2753"/>
      <c r="H56" s="2754"/>
      <c r="I56" s="2752"/>
      <c r="J56" s="2753"/>
      <c r="K56" s="2754"/>
      <c r="L56" s="306" t="str">
        <f t="shared" si="1"/>
        <v/>
      </c>
      <c r="M56" s="306" t="str">
        <f t="shared" si="2"/>
        <v/>
      </c>
      <c r="N56" s="1407"/>
      <c r="O56" s="1039"/>
      <c r="P56" s="1039"/>
      <c r="Q56" s="1039"/>
      <c r="R56" s="1039"/>
      <c r="S56" s="51">
        <f>SUM(Table6422[[#This Row],[Y1 Q1 quantity]:[Y1 Q4 quantity]])</f>
        <v>0</v>
      </c>
      <c r="T56" s="52">
        <f>Table6422[[#This Row],[Y1 Unit cost]]*Table6422[[#This Row],[Y1 Total quantity]]</f>
        <v>0</v>
      </c>
      <c r="U56" s="1407"/>
      <c r="V56" s="1039"/>
      <c r="W56" s="1039"/>
      <c r="X56" s="1039"/>
      <c r="Y56" s="1039"/>
      <c r="Z56" s="51">
        <f>SUM(Table6422[[#This Row],[Y2 Q1 quantity]:[Y2 Q4 quantity]])</f>
        <v>0</v>
      </c>
      <c r="AA56" s="56">
        <f>Table6422[[#This Row],[Y2 Unit cost]]*Table6422[[#This Row],[Y2 Total quantity]]</f>
        <v>0</v>
      </c>
      <c r="AB56" s="1407"/>
      <c r="AC56" s="1039"/>
      <c r="AD56" s="1039"/>
      <c r="AE56" s="1039"/>
      <c r="AF56" s="1039"/>
      <c r="AG56" s="51">
        <f>SUM(Table6422[[#This Row],[Y3 Q1 quantity]:[Y3 Q4 quantity]])</f>
        <v>0</v>
      </c>
      <c r="AH56" s="56">
        <f>Table6422[[#This Row],[Y3 Unit cost]]*Table6422[[#This Row],[Y3 Total quantity]]</f>
        <v>0</v>
      </c>
      <c r="AI56" s="51">
        <f>Table6422[[#This Row],[Y1 Total quantity]]+Table6422[[#This Row],[Y2 Total quantity]]+Table6422[[#This Row],[Y3 Total quantity]]</f>
        <v>0</v>
      </c>
      <c r="AJ56" s="56">
        <f>Table6422[[#This Row],[Y1 Total cost]]+Table6422[[#This Row],[Y2 Total cost]]+Table6422[[#This Row],[Y3 Total cost]]</f>
        <v>0</v>
      </c>
      <c r="AK56" s="309" t="str">
        <f t="shared" si="3"/>
        <v/>
      </c>
      <c r="AL56" s="1261"/>
    </row>
    <row r="57" spans="1:39" hidden="1">
      <c r="A57" s="2730"/>
      <c r="B57" s="2730"/>
      <c r="C57" s="2730"/>
      <c r="D57" s="2731"/>
      <c r="E57" s="2755"/>
      <c r="F57" s="2109"/>
      <c r="G57" s="2109"/>
      <c r="H57" s="2756"/>
      <c r="I57" s="2755"/>
      <c r="J57" s="2109"/>
      <c r="K57" s="2756"/>
      <c r="L57" s="304" t="str">
        <f t="shared" si="1"/>
        <v/>
      </c>
      <c r="M57" s="305" t="str">
        <f t="shared" si="2"/>
        <v/>
      </c>
      <c r="N57" s="1407"/>
      <c r="O57" s="1039"/>
      <c r="P57" s="1039"/>
      <c r="Q57" s="1039"/>
      <c r="R57" s="1039"/>
      <c r="S57" s="51">
        <f>SUM(Table6422[[#This Row],[Y1 Q1 quantity]:[Y1 Q4 quantity]])</f>
        <v>0</v>
      </c>
      <c r="T57" s="52">
        <f>Table6422[[#This Row],[Y1 Unit cost]]*Table6422[[#This Row],[Y1 Total quantity]]</f>
        <v>0</v>
      </c>
      <c r="U57" s="1407"/>
      <c r="V57" s="1039"/>
      <c r="W57" s="1039"/>
      <c r="X57" s="1039"/>
      <c r="Y57" s="1039"/>
      <c r="Z57" s="51">
        <f>SUM(Table6422[[#This Row],[Y2 Q1 quantity]:[Y2 Q4 quantity]])</f>
        <v>0</v>
      </c>
      <c r="AA57" s="56">
        <f>Table6422[[#This Row],[Y2 Unit cost]]*Table6422[[#This Row],[Y2 Total quantity]]</f>
        <v>0</v>
      </c>
      <c r="AB57" s="1407"/>
      <c r="AC57" s="1039"/>
      <c r="AD57" s="1039"/>
      <c r="AE57" s="1039"/>
      <c r="AF57" s="1039"/>
      <c r="AG57" s="51">
        <f>SUM(Table6422[[#This Row],[Y3 Q1 quantity]:[Y3 Q4 quantity]])</f>
        <v>0</v>
      </c>
      <c r="AH57" s="56">
        <f>Table6422[[#This Row],[Y3 Unit cost]]*Table6422[[#This Row],[Y3 Total quantity]]</f>
        <v>0</v>
      </c>
      <c r="AI57" s="51">
        <f>Table6422[[#This Row],[Y1 Total quantity]]+Table6422[[#This Row],[Y2 Total quantity]]+Table6422[[#This Row],[Y3 Total quantity]]</f>
        <v>0</v>
      </c>
      <c r="AJ57" s="56">
        <f>Table6422[[#This Row],[Y1 Total cost]]+Table6422[[#This Row],[Y2 Total cost]]+Table6422[[#This Row],[Y3 Total cost]]</f>
        <v>0</v>
      </c>
      <c r="AK57" s="309" t="str">
        <f t="shared" si="3"/>
        <v/>
      </c>
      <c r="AL57" s="1262"/>
    </row>
    <row r="58" spans="1:39" hidden="1">
      <c r="A58" s="2784"/>
      <c r="B58" s="2785"/>
      <c r="C58" s="2785"/>
      <c r="D58" s="2785"/>
      <c r="E58" s="2752"/>
      <c r="F58" s="2753"/>
      <c r="G58" s="2753"/>
      <c r="H58" s="2754"/>
      <c r="I58" s="2752"/>
      <c r="J58" s="2753"/>
      <c r="K58" s="2754"/>
      <c r="L58" s="306" t="str">
        <f t="shared" si="1"/>
        <v/>
      </c>
      <c r="M58" s="306" t="str">
        <f t="shared" si="2"/>
        <v/>
      </c>
      <c r="N58" s="1407"/>
      <c r="O58" s="1039"/>
      <c r="P58" s="1039"/>
      <c r="Q58" s="1039"/>
      <c r="R58" s="1039"/>
      <c r="S58" s="51">
        <f>SUM(Table6422[[#This Row],[Y1 Q1 quantity]:[Y1 Q4 quantity]])</f>
        <v>0</v>
      </c>
      <c r="T58" s="52">
        <f>Table6422[[#This Row],[Y1 Unit cost]]*Table6422[[#This Row],[Y1 Total quantity]]</f>
        <v>0</v>
      </c>
      <c r="U58" s="1407"/>
      <c r="V58" s="1039"/>
      <c r="W58" s="1039"/>
      <c r="X58" s="1039"/>
      <c r="Y58" s="1039"/>
      <c r="Z58" s="51">
        <f>SUM(Table6422[[#This Row],[Y2 Q1 quantity]:[Y2 Q4 quantity]])</f>
        <v>0</v>
      </c>
      <c r="AA58" s="56">
        <f>Table6422[[#This Row],[Y2 Unit cost]]*Table6422[[#This Row],[Y2 Total quantity]]</f>
        <v>0</v>
      </c>
      <c r="AB58" s="1407"/>
      <c r="AC58" s="1039"/>
      <c r="AD58" s="1039"/>
      <c r="AE58" s="1039"/>
      <c r="AF58" s="1039"/>
      <c r="AG58" s="51">
        <f>SUM(Table6422[[#This Row],[Y3 Q1 quantity]:[Y3 Q4 quantity]])</f>
        <v>0</v>
      </c>
      <c r="AH58" s="56">
        <f>Table6422[[#This Row],[Y3 Unit cost]]*Table6422[[#This Row],[Y3 Total quantity]]</f>
        <v>0</v>
      </c>
      <c r="AI58" s="51">
        <f>Table6422[[#This Row],[Y1 Total quantity]]+Table6422[[#This Row],[Y2 Total quantity]]+Table6422[[#This Row],[Y3 Total quantity]]</f>
        <v>0</v>
      </c>
      <c r="AJ58" s="56">
        <f>Table6422[[#This Row],[Y1 Total cost]]+Table6422[[#This Row],[Y2 Total cost]]+Table6422[[#This Row],[Y3 Total cost]]</f>
        <v>0</v>
      </c>
      <c r="AK58" s="309" t="str">
        <f t="shared" si="3"/>
        <v/>
      </c>
      <c r="AL58" s="1261"/>
    </row>
    <row r="59" spans="1:39" hidden="1">
      <c r="A59" s="2730"/>
      <c r="B59" s="2730"/>
      <c r="C59" s="2730"/>
      <c r="D59" s="2731"/>
      <c r="E59" s="2755"/>
      <c r="F59" s="2109"/>
      <c r="G59" s="2109"/>
      <c r="H59" s="2756"/>
      <c r="I59" s="2755"/>
      <c r="J59" s="2109"/>
      <c r="K59" s="2756"/>
      <c r="L59" s="305" t="str">
        <f t="shared" si="1"/>
        <v/>
      </c>
      <c r="M59" s="305" t="str">
        <f t="shared" si="2"/>
        <v/>
      </c>
      <c r="N59" s="1407"/>
      <c r="O59" s="1039"/>
      <c r="P59" s="1039"/>
      <c r="Q59" s="1039"/>
      <c r="R59" s="1039"/>
      <c r="S59" s="51">
        <f>SUM(Table6422[[#This Row],[Y1 Q1 quantity]:[Y1 Q4 quantity]])</f>
        <v>0</v>
      </c>
      <c r="T59" s="52">
        <f>Table6422[[#This Row],[Y1 Unit cost]]*Table6422[[#This Row],[Y1 Total quantity]]</f>
        <v>0</v>
      </c>
      <c r="U59" s="1407"/>
      <c r="V59" s="1039"/>
      <c r="W59" s="1039"/>
      <c r="X59" s="1039"/>
      <c r="Y59" s="1039"/>
      <c r="Z59" s="51">
        <f>SUM(Table6422[[#This Row],[Y2 Q1 quantity]:[Y2 Q4 quantity]])</f>
        <v>0</v>
      </c>
      <c r="AA59" s="56">
        <f>Table6422[[#This Row],[Y2 Unit cost]]*Table6422[[#This Row],[Y2 Total quantity]]</f>
        <v>0</v>
      </c>
      <c r="AB59" s="1407"/>
      <c r="AC59" s="1039"/>
      <c r="AD59" s="1039"/>
      <c r="AE59" s="1039"/>
      <c r="AF59" s="1039"/>
      <c r="AG59" s="51">
        <f>SUM(Table6422[[#This Row],[Y3 Q1 quantity]:[Y3 Q4 quantity]])</f>
        <v>0</v>
      </c>
      <c r="AH59" s="56">
        <f>Table6422[[#This Row],[Y3 Unit cost]]*Table6422[[#This Row],[Y3 Total quantity]]</f>
        <v>0</v>
      </c>
      <c r="AI59" s="51">
        <f>Table6422[[#This Row],[Y1 Total quantity]]+Table6422[[#This Row],[Y2 Total quantity]]+Table6422[[#This Row],[Y3 Total quantity]]</f>
        <v>0</v>
      </c>
      <c r="AJ59" s="56">
        <f>Table6422[[#This Row],[Y1 Total cost]]+Table6422[[#This Row],[Y2 Total cost]]+Table6422[[#This Row],[Y3 Total cost]]</f>
        <v>0</v>
      </c>
      <c r="AK59" s="309" t="str">
        <f t="shared" si="3"/>
        <v/>
      </c>
      <c r="AL59" s="1262"/>
    </row>
    <row r="60" spans="1:39" ht="15" thickBot="1">
      <c r="A60" s="2786"/>
      <c r="B60" s="2787"/>
      <c r="C60" s="2787"/>
      <c r="D60" s="2787"/>
      <c r="E60" s="2778"/>
      <c r="F60" s="2779"/>
      <c r="G60" s="2779"/>
      <c r="H60" s="2780"/>
      <c r="I60" s="2778"/>
      <c r="J60" s="2779"/>
      <c r="K60" s="2780"/>
      <c r="L60" s="954" t="str">
        <f t="shared" si="1"/>
        <v/>
      </c>
      <c r="M60" s="955" t="str">
        <f t="shared" si="2"/>
        <v/>
      </c>
      <c r="N60" s="1408"/>
      <c r="O60" s="1410"/>
      <c r="P60" s="1410"/>
      <c r="Q60" s="1410"/>
      <c r="R60" s="1410"/>
      <c r="S60" s="53">
        <f>SUM(Table6422[[#This Row],[Y1 Q1 quantity]:[Y1 Q4 quantity]])</f>
        <v>0</v>
      </c>
      <c r="T60" s="54">
        <f>Table6422[[#This Row],[Y1 Unit cost]]*Table6422[[#This Row],[Y1 Total quantity]]</f>
        <v>0</v>
      </c>
      <c r="U60" s="1408"/>
      <c r="V60" s="1410"/>
      <c r="W60" s="1410"/>
      <c r="X60" s="1410"/>
      <c r="Y60" s="1410"/>
      <c r="Z60" s="53">
        <f>SUM(Table6422[[#This Row],[Y2 Q1 quantity]:[Y2 Q4 quantity]])</f>
        <v>0</v>
      </c>
      <c r="AA60" s="57">
        <f>Table6422[[#This Row],[Y2 Unit cost]]*Table6422[[#This Row],[Y2 Total quantity]]</f>
        <v>0</v>
      </c>
      <c r="AB60" s="1408"/>
      <c r="AC60" s="1410"/>
      <c r="AD60" s="1410"/>
      <c r="AE60" s="1410"/>
      <c r="AF60" s="1410"/>
      <c r="AG60" s="53">
        <f>SUM(Table6422[[#This Row],[Y3 Q1 quantity]:[Y3 Q4 quantity]])</f>
        <v>0</v>
      </c>
      <c r="AH60" s="57">
        <f>Table6422[[#This Row],[Y3 Unit cost]]*Table6422[[#This Row],[Y3 Total quantity]]</f>
        <v>0</v>
      </c>
      <c r="AI60" s="53">
        <f>Table6422[[#This Row],[Y1 Total quantity]]+Table6422[[#This Row],[Y2 Total quantity]]+Table6422[[#This Row],[Y3 Total quantity]]</f>
        <v>0</v>
      </c>
      <c r="AJ60" s="57">
        <f>Table6422[[#This Row],[Y1 Total cost]]+Table6422[[#This Row],[Y2 Total cost]]+Table6422[[#This Row],[Y3 Total cost]]</f>
        <v>0</v>
      </c>
      <c r="AK60" s="310" t="str">
        <f t="shared" si="3"/>
        <v/>
      </c>
      <c r="AL60" s="1268"/>
    </row>
    <row r="61" spans="1:39" ht="15" thickBot="1">
      <c r="A61" s="203"/>
      <c r="B61" s="203"/>
      <c r="C61" s="203"/>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605"/>
      <c r="AH61" s="606"/>
      <c r="AM61" s="105"/>
    </row>
    <row r="62" spans="1:39" ht="15" customHeight="1" thickBot="1">
      <c r="A62" s="2757">
        <v>2</v>
      </c>
      <c r="B62" s="2759" t="s">
        <v>396</v>
      </c>
      <c r="C62" s="2759"/>
      <c r="D62" s="2759"/>
      <c r="E62" s="2776" t="s">
        <v>35</v>
      </c>
      <c r="F62" s="2776"/>
      <c r="G62" s="2777"/>
      <c r="H62" s="2647" t="s">
        <v>397</v>
      </c>
      <c r="I62" s="192"/>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607"/>
      <c r="AH62" s="339"/>
      <c r="AM62" s="105"/>
    </row>
    <row r="63" spans="1:39" ht="15" customHeight="1" thickBot="1">
      <c r="A63" s="2758"/>
      <c r="B63" s="2760"/>
      <c r="C63" s="2760"/>
      <c r="D63" s="2760"/>
      <c r="E63" s="2763" t="s">
        <v>398</v>
      </c>
      <c r="F63" s="2763"/>
      <c r="G63" s="2764"/>
      <c r="H63" s="2765"/>
      <c r="I63" s="136"/>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607"/>
      <c r="AH63" s="339"/>
      <c r="AM63" s="105"/>
    </row>
    <row r="64" spans="1:39" ht="106.15" customHeight="1">
      <c r="A64" s="2080" t="s">
        <v>6900</v>
      </c>
      <c r="B64" s="2081"/>
      <c r="C64" s="2081"/>
      <c r="D64" s="2081"/>
      <c r="E64" s="2081"/>
      <c r="F64" s="2081"/>
      <c r="G64" s="2081"/>
      <c r="H64" s="2081"/>
      <c r="I64" s="2081"/>
      <c r="J64" s="2081"/>
      <c r="K64" s="2081"/>
      <c r="L64" s="2081"/>
      <c r="M64" s="2145"/>
      <c r="N64" s="121"/>
      <c r="O64" s="121"/>
      <c r="P64" s="121"/>
      <c r="Q64" s="121"/>
      <c r="R64" s="121"/>
      <c r="S64" s="121"/>
      <c r="T64" s="121"/>
      <c r="U64" s="121"/>
      <c r="V64" s="121"/>
      <c r="W64" s="121"/>
      <c r="X64" s="121"/>
      <c r="Y64" s="121"/>
      <c r="Z64" s="121"/>
      <c r="AA64" s="121"/>
      <c r="AB64" s="121"/>
      <c r="AC64" s="121"/>
      <c r="AD64" s="121"/>
      <c r="AE64" s="125"/>
      <c r="AF64" s="125"/>
      <c r="AG64" s="297"/>
      <c r="AH64" s="125"/>
      <c r="AM64" s="105"/>
    </row>
    <row r="65" spans="1:39" ht="16" thickBot="1">
      <c r="A65" s="126"/>
      <c r="B65" s="127"/>
      <c r="C65" s="127"/>
      <c r="D65" s="128"/>
      <c r="E65" s="128"/>
      <c r="F65" s="129"/>
      <c r="G65" s="129"/>
      <c r="H65" s="129"/>
      <c r="I65" s="129"/>
      <c r="J65" s="129"/>
      <c r="K65" s="129"/>
      <c r="L65" s="130"/>
      <c r="M65" s="129"/>
      <c r="N65" s="129"/>
      <c r="O65" s="129"/>
      <c r="P65" s="129"/>
      <c r="Q65" s="129"/>
      <c r="R65" s="129"/>
      <c r="S65" s="129"/>
      <c r="T65" s="129"/>
      <c r="U65" s="129"/>
      <c r="V65" s="129"/>
      <c r="W65" s="129"/>
      <c r="X65" s="129"/>
      <c r="Y65" s="129"/>
      <c r="Z65" s="129"/>
      <c r="AA65" s="129"/>
      <c r="AB65" s="129"/>
      <c r="AC65" s="129"/>
      <c r="AD65" s="129"/>
      <c r="AE65" s="298"/>
      <c r="AF65" s="298"/>
      <c r="AG65" s="299"/>
      <c r="AH65" s="125"/>
    </row>
    <row r="66" spans="1:39" s="345" customFormat="1" ht="15" thickBot="1">
      <c r="A66" s="2740" t="s">
        <v>1233</v>
      </c>
      <c r="B66" s="2738"/>
      <c r="C66" s="2738"/>
      <c r="D66" s="2738"/>
      <c r="E66" s="2740" t="s">
        <v>149</v>
      </c>
      <c r="F66" s="2738"/>
      <c r="G66" s="2738"/>
      <c r="H66" s="2741"/>
      <c r="I66" s="2740" t="s">
        <v>150</v>
      </c>
      <c r="J66" s="2738"/>
      <c r="K66" s="2741"/>
      <c r="L66" s="2738" t="s">
        <v>151</v>
      </c>
      <c r="M66" s="2747" t="s">
        <v>49</v>
      </c>
      <c r="N66" s="2782" t="str">
        <f>N12</f>
        <v>Please fill setup</v>
      </c>
      <c r="O66" s="2782"/>
      <c r="P66" s="2782"/>
      <c r="Q66" s="2782"/>
      <c r="R66" s="2782"/>
      <c r="S66" s="2782"/>
      <c r="T66" s="2783"/>
      <c r="U66" s="2781" t="str">
        <f>U12</f>
        <v>Please fill setup</v>
      </c>
      <c r="V66" s="2782"/>
      <c r="W66" s="2782"/>
      <c r="X66" s="2782"/>
      <c r="Y66" s="2782"/>
      <c r="Z66" s="2782"/>
      <c r="AA66" s="2783"/>
      <c r="AB66" s="2781" t="str">
        <f>AB12</f>
        <v>Please fill setup</v>
      </c>
      <c r="AC66" s="2782"/>
      <c r="AD66" s="2782"/>
      <c r="AE66" s="2782"/>
      <c r="AF66" s="2782"/>
      <c r="AG66" s="2782"/>
      <c r="AH66" s="2783"/>
      <c r="AI66" s="2736" t="s">
        <v>152</v>
      </c>
      <c r="AJ66" s="2737"/>
      <c r="AK66" s="300" t="s">
        <v>153</v>
      </c>
      <c r="AL66" s="2792" t="s">
        <v>6866</v>
      </c>
      <c r="AM66" s="952"/>
    </row>
    <row r="67" spans="1:39" s="409" customFormat="1" ht="26.5" thickBot="1">
      <c r="A67" s="2742"/>
      <c r="B67" s="2739"/>
      <c r="C67" s="2739"/>
      <c r="D67" s="2739"/>
      <c r="E67" s="2744"/>
      <c r="F67" s="2745"/>
      <c r="G67" s="2745"/>
      <c r="H67" s="2746"/>
      <c r="I67" s="2744"/>
      <c r="J67" s="2745"/>
      <c r="K67" s="2746"/>
      <c r="L67" s="2745"/>
      <c r="M67" s="2788"/>
      <c r="N67" s="944" t="s">
        <v>198</v>
      </c>
      <c r="O67" s="944" t="s">
        <v>155</v>
      </c>
      <c r="P67" s="944" t="s">
        <v>156</v>
      </c>
      <c r="Q67" s="944" t="s">
        <v>157</v>
      </c>
      <c r="R67" s="944" t="s">
        <v>158</v>
      </c>
      <c r="S67" s="944" t="s">
        <v>159</v>
      </c>
      <c r="T67" s="945" t="s">
        <v>160</v>
      </c>
      <c r="U67" s="944" t="s">
        <v>161</v>
      </c>
      <c r="V67" s="944" t="s">
        <v>162</v>
      </c>
      <c r="W67" s="944" t="s">
        <v>163</v>
      </c>
      <c r="X67" s="944" t="s">
        <v>164</v>
      </c>
      <c r="Y67" s="944" t="s">
        <v>165</v>
      </c>
      <c r="Z67" s="944" t="s">
        <v>166</v>
      </c>
      <c r="AA67" s="945" t="s">
        <v>167</v>
      </c>
      <c r="AB67" s="944" t="s">
        <v>168</v>
      </c>
      <c r="AC67" s="944" t="s">
        <v>169</v>
      </c>
      <c r="AD67" s="944" t="s">
        <v>170</v>
      </c>
      <c r="AE67" s="944" t="s">
        <v>171</v>
      </c>
      <c r="AF67" s="944" t="s">
        <v>172</v>
      </c>
      <c r="AG67" s="944" t="s">
        <v>173</v>
      </c>
      <c r="AH67" s="945" t="s">
        <v>174</v>
      </c>
      <c r="AI67" s="944" t="s">
        <v>175</v>
      </c>
      <c r="AJ67" s="945" t="s">
        <v>176</v>
      </c>
      <c r="AK67" s="945" t="s">
        <v>177</v>
      </c>
      <c r="AL67" s="2793"/>
      <c r="AM67" s="953"/>
    </row>
    <row r="68" spans="1:39">
      <c r="A68" s="2728"/>
      <c r="B68" s="2729"/>
      <c r="C68" s="2729"/>
      <c r="D68" s="2729"/>
      <c r="E68" s="2752"/>
      <c r="F68" s="2753"/>
      <c r="G68" s="2753"/>
      <c r="H68" s="2754"/>
      <c r="I68" s="2752"/>
      <c r="J68" s="2753"/>
      <c r="K68" s="2754"/>
      <c r="L68" s="306" t="str">
        <f t="shared" ref="L68:L75" si="4">IF(E68="","", IF(AND(ISNUMBER(SEARCH("Artesunate",E68)),OR(ISNUMBER(SEARCH("120mg",I68)),ISNUMBER(SEARCH("60mg",I68)))),"Piece","Pack"))</f>
        <v/>
      </c>
      <c r="M68" s="306" t="str">
        <f t="shared" ref="M68:M75" si="5">IF(L68="", "","USD")</f>
        <v/>
      </c>
      <c r="N68" s="1426"/>
      <c r="O68" s="946"/>
      <c r="P68" s="946"/>
      <c r="Q68" s="946"/>
      <c r="R68" s="946"/>
      <c r="S68" s="947">
        <f>O68+P68+Q68+R68</f>
        <v>0</v>
      </c>
      <c r="T68" s="948">
        <f>N68*S68</f>
        <v>0</v>
      </c>
      <c r="U68" s="1426"/>
      <c r="V68" s="946"/>
      <c r="W68" s="946"/>
      <c r="X68" s="946"/>
      <c r="Y68" s="946"/>
      <c r="Z68" s="947">
        <f>V68+W68+X68+Y68</f>
        <v>0</v>
      </c>
      <c r="AA68" s="949">
        <f>U68*Z68</f>
        <v>0</v>
      </c>
      <c r="AB68" s="1426"/>
      <c r="AC68" s="946"/>
      <c r="AD68" s="946"/>
      <c r="AE68" s="946"/>
      <c r="AF68" s="946"/>
      <c r="AG68" s="947">
        <f>AC68+AD68+AE68+AF68</f>
        <v>0</v>
      </c>
      <c r="AH68" s="949">
        <f>AB68*AG68</f>
        <v>0</v>
      </c>
      <c r="AI68" s="947">
        <f>S68+Z68+AG68</f>
        <v>0</v>
      </c>
      <c r="AJ68" s="951">
        <f>T68+AA68+AH68</f>
        <v>0</v>
      </c>
      <c r="AK68" s="950" t="str">
        <f t="shared" ref="AK68:AK75" si="6">IF(E68="","","4.3")</f>
        <v/>
      </c>
      <c r="AL68" s="1261"/>
    </row>
    <row r="69" spans="1:39">
      <c r="A69" s="2730"/>
      <c r="B69" s="2730"/>
      <c r="C69" s="2730"/>
      <c r="D69" s="2731"/>
      <c r="E69" s="2755"/>
      <c r="F69" s="2109"/>
      <c r="G69" s="2109"/>
      <c r="H69" s="2756"/>
      <c r="I69" s="2755"/>
      <c r="J69" s="2109"/>
      <c r="K69" s="2756"/>
      <c r="L69" s="304" t="str">
        <f t="shared" si="4"/>
        <v/>
      </c>
      <c r="M69" s="305" t="str">
        <f t="shared" si="5"/>
        <v/>
      </c>
      <c r="N69" s="1407"/>
      <c r="O69" s="47"/>
      <c r="P69" s="47"/>
      <c r="Q69" s="47"/>
      <c r="R69" s="47"/>
      <c r="S69" s="51">
        <f t="shared" ref="S69:S75" si="7">O69+P69+Q69+R69</f>
        <v>0</v>
      </c>
      <c r="T69" s="52">
        <f t="shared" ref="T69:T75" si="8">N69*S69</f>
        <v>0</v>
      </c>
      <c r="U69" s="1407"/>
      <c r="V69" s="47"/>
      <c r="W69" s="47"/>
      <c r="X69" s="47"/>
      <c r="Y69" s="47"/>
      <c r="Z69" s="51">
        <f t="shared" ref="Z69:Z75" si="9">V69+W69+X69+Y69</f>
        <v>0</v>
      </c>
      <c r="AA69" s="56">
        <f t="shared" ref="AA69:AA75" si="10">U69*Z69</f>
        <v>0</v>
      </c>
      <c r="AB69" s="1407"/>
      <c r="AC69" s="47"/>
      <c r="AD69" s="47"/>
      <c r="AE69" s="47"/>
      <c r="AF69" s="47"/>
      <c r="AG69" s="51">
        <f t="shared" ref="AG69:AG75" si="11">AC69+AD69+AE69+AF69</f>
        <v>0</v>
      </c>
      <c r="AH69" s="56">
        <f t="shared" ref="AH69:AH75" si="12">AB69*AG69</f>
        <v>0</v>
      </c>
      <c r="AI69" s="51">
        <f t="shared" ref="AI69:AI75" si="13">S69+Z69+AG69</f>
        <v>0</v>
      </c>
      <c r="AJ69" s="56">
        <f t="shared" ref="AJ69:AJ75" si="14">T69+AA69+AH69</f>
        <v>0</v>
      </c>
      <c r="AK69" s="309" t="str">
        <f t="shared" si="6"/>
        <v/>
      </c>
      <c r="AL69" s="1262"/>
    </row>
    <row r="70" spans="1:39">
      <c r="A70" s="2732"/>
      <c r="B70" s="2732"/>
      <c r="C70" s="2732"/>
      <c r="D70" s="2733"/>
      <c r="E70" s="2752"/>
      <c r="F70" s="2753"/>
      <c r="G70" s="2753"/>
      <c r="H70" s="2754"/>
      <c r="I70" s="2752"/>
      <c r="J70" s="2753"/>
      <c r="K70" s="2754"/>
      <c r="L70" s="306" t="str">
        <f t="shared" si="4"/>
        <v/>
      </c>
      <c r="M70" s="306" t="str">
        <f t="shared" si="5"/>
        <v/>
      </c>
      <c r="N70" s="1426"/>
      <c r="O70" s="946"/>
      <c r="P70" s="946"/>
      <c r="Q70" s="946"/>
      <c r="R70" s="946"/>
      <c r="S70" s="947">
        <f t="shared" si="7"/>
        <v>0</v>
      </c>
      <c r="T70" s="948">
        <f t="shared" si="8"/>
        <v>0</v>
      </c>
      <c r="U70" s="1426"/>
      <c r="V70" s="946"/>
      <c r="W70" s="946"/>
      <c r="X70" s="946"/>
      <c r="Y70" s="946"/>
      <c r="Z70" s="947">
        <f t="shared" si="9"/>
        <v>0</v>
      </c>
      <c r="AA70" s="949">
        <f t="shared" si="10"/>
        <v>0</v>
      </c>
      <c r="AB70" s="1426"/>
      <c r="AC70" s="946"/>
      <c r="AD70" s="946"/>
      <c r="AE70" s="946"/>
      <c r="AF70" s="946"/>
      <c r="AG70" s="947">
        <f t="shared" si="11"/>
        <v>0</v>
      </c>
      <c r="AH70" s="949">
        <f t="shared" si="12"/>
        <v>0</v>
      </c>
      <c r="AI70" s="947">
        <f t="shared" si="13"/>
        <v>0</v>
      </c>
      <c r="AJ70" s="949">
        <f t="shared" si="14"/>
        <v>0</v>
      </c>
      <c r="AK70" s="950" t="str">
        <f t="shared" si="6"/>
        <v/>
      </c>
      <c r="AL70" s="1261"/>
    </row>
    <row r="71" spans="1:39">
      <c r="A71" s="2730"/>
      <c r="B71" s="2730"/>
      <c r="C71" s="2730"/>
      <c r="D71" s="2731"/>
      <c r="E71" s="2755"/>
      <c r="F71" s="2109"/>
      <c r="G71" s="2109"/>
      <c r="H71" s="2756"/>
      <c r="I71" s="2755"/>
      <c r="J71" s="2109"/>
      <c r="K71" s="2756"/>
      <c r="L71" s="304" t="str">
        <f t="shared" si="4"/>
        <v/>
      </c>
      <c r="M71" s="305" t="str">
        <f t="shared" si="5"/>
        <v/>
      </c>
      <c r="N71" s="1407"/>
      <c r="O71" s="47"/>
      <c r="P71" s="47"/>
      <c r="Q71" s="47"/>
      <c r="R71" s="47"/>
      <c r="S71" s="51">
        <f t="shared" si="7"/>
        <v>0</v>
      </c>
      <c r="T71" s="52">
        <f t="shared" si="8"/>
        <v>0</v>
      </c>
      <c r="U71" s="1407"/>
      <c r="V71" s="47"/>
      <c r="W71" s="47"/>
      <c r="X71" s="47"/>
      <c r="Y71" s="47"/>
      <c r="Z71" s="51">
        <f t="shared" si="9"/>
        <v>0</v>
      </c>
      <c r="AA71" s="56">
        <f t="shared" si="10"/>
        <v>0</v>
      </c>
      <c r="AB71" s="1407"/>
      <c r="AC71" s="47"/>
      <c r="AD71" s="47"/>
      <c r="AE71" s="47"/>
      <c r="AF71" s="47"/>
      <c r="AG71" s="51">
        <f t="shared" si="11"/>
        <v>0</v>
      </c>
      <c r="AH71" s="56">
        <f t="shared" si="12"/>
        <v>0</v>
      </c>
      <c r="AI71" s="51">
        <f t="shared" si="13"/>
        <v>0</v>
      </c>
      <c r="AJ71" s="56">
        <f t="shared" si="14"/>
        <v>0</v>
      </c>
      <c r="AK71" s="309" t="str">
        <f t="shared" si="6"/>
        <v/>
      </c>
      <c r="AL71" s="1262"/>
    </row>
    <row r="72" spans="1:39">
      <c r="A72" s="2732"/>
      <c r="B72" s="2732"/>
      <c r="C72" s="2732"/>
      <c r="D72" s="2733"/>
      <c r="E72" s="2752"/>
      <c r="F72" s="2753"/>
      <c r="G72" s="2753"/>
      <c r="H72" s="2754"/>
      <c r="I72" s="2752"/>
      <c r="J72" s="2753"/>
      <c r="K72" s="2754"/>
      <c r="L72" s="306" t="str">
        <f t="shared" si="4"/>
        <v/>
      </c>
      <c r="M72" s="306" t="str">
        <f t="shared" si="5"/>
        <v/>
      </c>
      <c r="N72" s="1426"/>
      <c r="O72" s="946"/>
      <c r="P72" s="946"/>
      <c r="Q72" s="946"/>
      <c r="R72" s="946"/>
      <c r="S72" s="947">
        <f t="shared" si="7"/>
        <v>0</v>
      </c>
      <c r="T72" s="948">
        <f t="shared" si="8"/>
        <v>0</v>
      </c>
      <c r="U72" s="1426"/>
      <c r="V72" s="946"/>
      <c r="W72" s="946"/>
      <c r="X72" s="946"/>
      <c r="Y72" s="946"/>
      <c r="Z72" s="947">
        <f t="shared" si="9"/>
        <v>0</v>
      </c>
      <c r="AA72" s="949">
        <f t="shared" si="10"/>
        <v>0</v>
      </c>
      <c r="AB72" s="1426"/>
      <c r="AC72" s="946"/>
      <c r="AD72" s="946"/>
      <c r="AE72" s="946"/>
      <c r="AF72" s="946"/>
      <c r="AG72" s="947">
        <f t="shared" si="11"/>
        <v>0</v>
      </c>
      <c r="AH72" s="949">
        <f t="shared" si="12"/>
        <v>0</v>
      </c>
      <c r="AI72" s="947">
        <f t="shared" si="13"/>
        <v>0</v>
      </c>
      <c r="AJ72" s="949">
        <f t="shared" si="14"/>
        <v>0</v>
      </c>
      <c r="AK72" s="950" t="str">
        <f t="shared" si="6"/>
        <v/>
      </c>
      <c r="AL72" s="1261"/>
    </row>
    <row r="73" spans="1:39">
      <c r="A73" s="2730"/>
      <c r="B73" s="2730"/>
      <c r="C73" s="2730"/>
      <c r="D73" s="2731"/>
      <c r="E73" s="2755"/>
      <c r="F73" s="2109"/>
      <c r="G73" s="2109"/>
      <c r="H73" s="2756"/>
      <c r="I73" s="2755"/>
      <c r="J73" s="2109"/>
      <c r="K73" s="2756"/>
      <c r="L73" s="304" t="str">
        <f t="shared" si="4"/>
        <v/>
      </c>
      <c r="M73" s="305" t="str">
        <f t="shared" si="5"/>
        <v/>
      </c>
      <c r="N73" s="1407"/>
      <c r="O73" s="47"/>
      <c r="P73" s="47"/>
      <c r="Q73" s="47"/>
      <c r="R73" s="47"/>
      <c r="S73" s="51">
        <f t="shared" si="7"/>
        <v>0</v>
      </c>
      <c r="T73" s="52">
        <f t="shared" si="8"/>
        <v>0</v>
      </c>
      <c r="U73" s="1407"/>
      <c r="V73" s="47"/>
      <c r="W73" s="47"/>
      <c r="X73" s="47"/>
      <c r="Y73" s="47"/>
      <c r="Z73" s="51">
        <f t="shared" si="9"/>
        <v>0</v>
      </c>
      <c r="AA73" s="56">
        <f t="shared" si="10"/>
        <v>0</v>
      </c>
      <c r="AB73" s="1407"/>
      <c r="AC73" s="47"/>
      <c r="AD73" s="47"/>
      <c r="AE73" s="47"/>
      <c r="AF73" s="47"/>
      <c r="AG73" s="51">
        <f t="shared" si="11"/>
        <v>0</v>
      </c>
      <c r="AH73" s="56">
        <f t="shared" si="12"/>
        <v>0</v>
      </c>
      <c r="AI73" s="51">
        <f t="shared" si="13"/>
        <v>0</v>
      </c>
      <c r="AJ73" s="56">
        <f t="shared" si="14"/>
        <v>0</v>
      </c>
      <c r="AK73" s="309" t="str">
        <f t="shared" si="6"/>
        <v/>
      </c>
      <c r="AL73" s="1262"/>
    </row>
    <row r="74" spans="1:39">
      <c r="A74" s="2732"/>
      <c r="B74" s="2732"/>
      <c r="C74" s="2732"/>
      <c r="D74" s="2733"/>
      <c r="E74" s="2752"/>
      <c r="F74" s="2753"/>
      <c r="G74" s="2753"/>
      <c r="H74" s="2754"/>
      <c r="I74" s="2752"/>
      <c r="J74" s="2753"/>
      <c r="K74" s="2754"/>
      <c r="L74" s="306" t="str">
        <f t="shared" si="4"/>
        <v/>
      </c>
      <c r="M74" s="306" t="str">
        <f t="shared" si="5"/>
        <v/>
      </c>
      <c r="N74" s="1426"/>
      <c r="O74" s="946"/>
      <c r="P74" s="946"/>
      <c r="Q74" s="946"/>
      <c r="R74" s="946"/>
      <c r="S74" s="947">
        <f t="shared" si="7"/>
        <v>0</v>
      </c>
      <c r="T74" s="948">
        <f t="shared" si="8"/>
        <v>0</v>
      </c>
      <c r="U74" s="1426"/>
      <c r="V74" s="946"/>
      <c r="W74" s="946"/>
      <c r="X74" s="946"/>
      <c r="Y74" s="946"/>
      <c r="Z74" s="947">
        <f t="shared" si="9"/>
        <v>0</v>
      </c>
      <c r="AA74" s="949">
        <f t="shared" si="10"/>
        <v>0</v>
      </c>
      <c r="AB74" s="1426"/>
      <c r="AC74" s="946"/>
      <c r="AD74" s="946"/>
      <c r="AE74" s="946"/>
      <c r="AF74" s="946"/>
      <c r="AG74" s="947">
        <f t="shared" si="11"/>
        <v>0</v>
      </c>
      <c r="AH74" s="949">
        <f t="shared" si="12"/>
        <v>0</v>
      </c>
      <c r="AI74" s="947">
        <f t="shared" si="13"/>
        <v>0</v>
      </c>
      <c r="AJ74" s="949">
        <f t="shared" si="14"/>
        <v>0</v>
      </c>
      <c r="AK74" s="950" t="str">
        <f t="shared" si="6"/>
        <v/>
      </c>
      <c r="AL74" s="1261"/>
    </row>
    <row r="75" spans="1:39" ht="15" thickBot="1">
      <c r="A75" s="2734"/>
      <c r="B75" s="2734"/>
      <c r="C75" s="2734"/>
      <c r="D75" s="2735"/>
      <c r="E75" s="2789"/>
      <c r="F75" s="2790"/>
      <c r="G75" s="2790"/>
      <c r="H75" s="2791"/>
      <c r="I75" s="2789"/>
      <c r="J75" s="2790"/>
      <c r="K75" s="2791"/>
      <c r="L75" s="307" t="str">
        <f t="shared" si="4"/>
        <v/>
      </c>
      <c r="M75" s="390" t="str">
        <f t="shared" si="5"/>
        <v/>
      </c>
      <c r="N75" s="1408"/>
      <c r="O75" s="48"/>
      <c r="P75" s="48"/>
      <c r="Q75" s="48"/>
      <c r="R75" s="48"/>
      <c r="S75" s="53">
        <f t="shared" si="7"/>
        <v>0</v>
      </c>
      <c r="T75" s="54">
        <f t="shared" si="8"/>
        <v>0</v>
      </c>
      <c r="U75" s="1408"/>
      <c r="V75" s="48"/>
      <c r="W75" s="48"/>
      <c r="X75" s="48"/>
      <c r="Y75" s="48"/>
      <c r="Z75" s="53">
        <f t="shared" si="9"/>
        <v>0</v>
      </c>
      <c r="AA75" s="57">
        <f t="shared" si="10"/>
        <v>0</v>
      </c>
      <c r="AB75" s="1408"/>
      <c r="AC75" s="48"/>
      <c r="AD75" s="48"/>
      <c r="AE75" s="48"/>
      <c r="AF75" s="48"/>
      <c r="AG75" s="53">
        <f t="shared" si="11"/>
        <v>0</v>
      </c>
      <c r="AH75" s="57">
        <f t="shared" si="12"/>
        <v>0</v>
      </c>
      <c r="AI75" s="53">
        <f t="shared" si="13"/>
        <v>0</v>
      </c>
      <c r="AJ75" s="57">
        <f t="shared" si="14"/>
        <v>0</v>
      </c>
      <c r="AK75" s="310" t="str">
        <f t="shared" si="6"/>
        <v/>
      </c>
      <c r="AL75" s="1269"/>
    </row>
  </sheetData>
  <sheetProtection algorithmName="SHA-512" hashValue="KM1YZttS3n/1riGawSnPA2xHoz8fRe13ybOMUVWqMiBRbjbkKSsDnBqJHOcoxjH+MbSZdw/23r5jiraERE1qiQ==" saltValue="H2An6pnA2HiNsC7plkXtOg==" spinCount="100000" sheet="1" formatColumns="0" formatRows="0" selectLockedCells="1" autoFilter="0"/>
  <dataConsolidate/>
  <mergeCells count="213">
    <mergeCell ref="A10:M10"/>
    <mergeCell ref="A64:M64"/>
    <mergeCell ref="AL12:AL13"/>
    <mergeCell ref="AL66:AL67"/>
    <mergeCell ref="AW12:AZ12"/>
    <mergeCell ref="BA12:BD12"/>
    <mergeCell ref="BE12:BH12"/>
    <mergeCell ref="AW11:BH11"/>
    <mergeCell ref="A49:D49"/>
    <mergeCell ref="A50:D50"/>
    <mergeCell ref="A51:D51"/>
    <mergeCell ref="A52:D52"/>
    <mergeCell ref="A53:D53"/>
    <mergeCell ref="A31:D31"/>
    <mergeCell ref="A32:D32"/>
    <mergeCell ref="A33:D33"/>
    <mergeCell ref="A34:D34"/>
    <mergeCell ref="A35:D35"/>
    <mergeCell ref="A36:D36"/>
    <mergeCell ref="A37:D37"/>
    <mergeCell ref="A38:D38"/>
    <mergeCell ref="A39:D39"/>
    <mergeCell ref="A22:D22"/>
    <mergeCell ref="A23:D23"/>
    <mergeCell ref="A24:D24"/>
    <mergeCell ref="A25:D25"/>
    <mergeCell ref="A26:D26"/>
    <mergeCell ref="A27:D27"/>
    <mergeCell ref="A54:D54"/>
    <mergeCell ref="A55:D55"/>
    <mergeCell ref="A56:D56"/>
    <mergeCell ref="A57:D57"/>
    <mergeCell ref="A40:D40"/>
    <mergeCell ref="A41:D41"/>
    <mergeCell ref="A42:D42"/>
    <mergeCell ref="A43:D43"/>
    <mergeCell ref="A44:D44"/>
    <mergeCell ref="A45:D45"/>
    <mergeCell ref="A46:D46"/>
    <mergeCell ref="A47:D47"/>
    <mergeCell ref="A48:D48"/>
    <mergeCell ref="A28:D28"/>
    <mergeCell ref="A29:D29"/>
    <mergeCell ref="A30:D30"/>
    <mergeCell ref="A12:D13"/>
    <mergeCell ref="A14:D14"/>
    <mergeCell ref="A15:D15"/>
    <mergeCell ref="A16:D16"/>
    <mergeCell ref="A17:D17"/>
    <mergeCell ref="A18:D18"/>
    <mergeCell ref="A19:D19"/>
    <mergeCell ref="A20:D20"/>
    <mergeCell ref="A21:D21"/>
    <mergeCell ref="E72:H72"/>
    <mergeCell ref="I72:K72"/>
    <mergeCell ref="E73:H73"/>
    <mergeCell ref="I73:K73"/>
    <mergeCell ref="E74:H74"/>
    <mergeCell ref="I74:K74"/>
    <mergeCell ref="E75:H75"/>
    <mergeCell ref="I75:K75"/>
    <mergeCell ref="U66:AA66"/>
    <mergeCell ref="AI66:AJ66"/>
    <mergeCell ref="E68:H68"/>
    <mergeCell ref="I68:K68"/>
    <mergeCell ref="E69:H69"/>
    <mergeCell ref="E70:H70"/>
    <mergeCell ref="I70:K70"/>
    <mergeCell ref="E71:H71"/>
    <mergeCell ref="I71:K71"/>
    <mergeCell ref="L66:L67"/>
    <mergeCell ref="M66:M67"/>
    <mergeCell ref="N66:T66"/>
    <mergeCell ref="I69:K69"/>
    <mergeCell ref="E60:H60"/>
    <mergeCell ref="I60:K60"/>
    <mergeCell ref="A62:A63"/>
    <mergeCell ref="B62:D63"/>
    <mergeCell ref="I56:K56"/>
    <mergeCell ref="I59:K59"/>
    <mergeCell ref="E66:H67"/>
    <mergeCell ref="I66:K67"/>
    <mergeCell ref="AB66:AH66"/>
    <mergeCell ref="A58:D58"/>
    <mergeCell ref="A59:D59"/>
    <mergeCell ref="A60:D60"/>
    <mergeCell ref="A66:D67"/>
    <mergeCell ref="E35:H35"/>
    <mergeCell ref="I35:K35"/>
    <mergeCell ref="E36:H36"/>
    <mergeCell ref="I36:K36"/>
    <mergeCell ref="I40:K40"/>
    <mergeCell ref="E53:H53"/>
    <mergeCell ref="I53:K53"/>
    <mergeCell ref="E42:H42"/>
    <mergeCell ref="I38:K38"/>
    <mergeCell ref="I44:K44"/>
    <mergeCell ref="I50:K50"/>
    <mergeCell ref="E48:H48"/>
    <mergeCell ref="I48:K48"/>
    <mergeCell ref="E49:H49"/>
    <mergeCell ref="I49:K49"/>
    <mergeCell ref="E50:H50"/>
    <mergeCell ref="E51:H51"/>
    <mergeCell ref="I51:K51"/>
    <mergeCell ref="E52:H52"/>
    <mergeCell ref="E41:H41"/>
    <mergeCell ref="I41:K41"/>
    <mergeCell ref="E39:H39"/>
    <mergeCell ref="I43:K43"/>
    <mergeCell ref="I42:K42"/>
    <mergeCell ref="E43:H43"/>
    <mergeCell ref="I39:K39"/>
    <mergeCell ref="E40:H40"/>
    <mergeCell ref="H62:H63"/>
    <mergeCell ref="E54:H54"/>
    <mergeCell ref="I54:K54"/>
    <mergeCell ref="E55:H55"/>
    <mergeCell ref="I55:K55"/>
    <mergeCell ref="E56:H56"/>
    <mergeCell ref="E57:H57"/>
    <mergeCell ref="I57:K57"/>
    <mergeCell ref="E58:H58"/>
    <mergeCell ref="I58:K58"/>
    <mergeCell ref="E62:G62"/>
    <mergeCell ref="E63:G63"/>
    <mergeCell ref="E44:H44"/>
    <mergeCell ref="E45:H45"/>
    <mergeCell ref="I45:K45"/>
    <mergeCell ref="E46:H46"/>
    <mergeCell ref="I46:K46"/>
    <mergeCell ref="E47:H47"/>
    <mergeCell ref="I47:K47"/>
    <mergeCell ref="I52:K52"/>
    <mergeCell ref="E59:H59"/>
    <mergeCell ref="I34:K34"/>
    <mergeCell ref="I25:K25"/>
    <mergeCell ref="E26:H26"/>
    <mergeCell ref="E27:H27"/>
    <mergeCell ref="I27:K27"/>
    <mergeCell ref="E28:H28"/>
    <mergeCell ref="I28:K28"/>
    <mergeCell ref="E30:H30"/>
    <mergeCell ref="I30:K30"/>
    <mergeCell ref="E31:H31"/>
    <mergeCell ref="I31:K31"/>
    <mergeCell ref="I26:K26"/>
    <mergeCell ref="I32:K32"/>
    <mergeCell ref="E37:H37"/>
    <mergeCell ref="I37:K37"/>
    <mergeCell ref="E38:H38"/>
    <mergeCell ref="E17:H17"/>
    <mergeCell ref="E16:H16"/>
    <mergeCell ref="E15:H15"/>
    <mergeCell ref="E14:H14"/>
    <mergeCell ref="I17:K17"/>
    <mergeCell ref="I16:K16"/>
    <mergeCell ref="I15:K15"/>
    <mergeCell ref="I14:K14"/>
    <mergeCell ref="E29:H29"/>
    <mergeCell ref="I29:K29"/>
    <mergeCell ref="E20:H20"/>
    <mergeCell ref="E19:H19"/>
    <mergeCell ref="E18:H18"/>
    <mergeCell ref="I19:K19"/>
    <mergeCell ref="I18:K18"/>
    <mergeCell ref="E21:H21"/>
    <mergeCell ref="I21:K21"/>
    <mergeCell ref="E32:H32"/>
    <mergeCell ref="E33:H33"/>
    <mergeCell ref="I33:K33"/>
    <mergeCell ref="E34:H34"/>
    <mergeCell ref="M1:M2"/>
    <mergeCell ref="A8:A9"/>
    <mergeCell ref="B8:D9"/>
    <mergeCell ref="E8:G8"/>
    <mergeCell ref="E9:G9"/>
    <mergeCell ref="H8:H9"/>
    <mergeCell ref="O1:P2"/>
    <mergeCell ref="G5:G6"/>
    <mergeCell ref="H5:K6"/>
    <mergeCell ref="N1:N2"/>
    <mergeCell ref="G3:G4"/>
    <mergeCell ref="H3:K4"/>
    <mergeCell ref="B5:B6"/>
    <mergeCell ref="C5:E6"/>
    <mergeCell ref="A1:K1"/>
    <mergeCell ref="B3:B4"/>
    <mergeCell ref="C3:E4"/>
    <mergeCell ref="A68:D68"/>
    <mergeCell ref="A69:D69"/>
    <mergeCell ref="A70:D70"/>
    <mergeCell ref="A71:D71"/>
    <mergeCell ref="A72:D72"/>
    <mergeCell ref="A73:D73"/>
    <mergeCell ref="A74:D74"/>
    <mergeCell ref="A75:D75"/>
    <mergeCell ref="AI12:AJ12"/>
    <mergeCell ref="L12:L13"/>
    <mergeCell ref="E12:H13"/>
    <mergeCell ref="I12:K13"/>
    <mergeCell ref="M12:M13"/>
    <mergeCell ref="N12:T12"/>
    <mergeCell ref="U12:AA12"/>
    <mergeCell ref="E24:H24"/>
    <mergeCell ref="I24:K24"/>
    <mergeCell ref="E25:H25"/>
    <mergeCell ref="E22:H22"/>
    <mergeCell ref="I22:K22"/>
    <mergeCell ref="E23:H23"/>
    <mergeCell ref="I23:K23"/>
    <mergeCell ref="I20:K20"/>
    <mergeCell ref="AB12:AH12"/>
  </mergeCells>
  <conditionalFormatting sqref="E14:H60">
    <cfRule type="expression" dxfId="324" priority="147">
      <formula>AND(ISTEXT(I14),ISBLANK(E14))</formula>
    </cfRule>
  </conditionalFormatting>
  <conditionalFormatting sqref="I14:K14 I20:K20">
    <cfRule type="expression" dxfId="323" priority="143">
      <formula>NOT(ISERROR(AR14))</formula>
    </cfRule>
    <cfRule type="expression" dxfId="322" priority="144">
      <formula>ISTEXT(E14)</formula>
    </cfRule>
  </conditionalFormatting>
  <conditionalFormatting sqref="I15:K15 I19:K19">
    <cfRule type="expression" dxfId="321" priority="141">
      <formula>NOT(ISERROR(AR15))</formula>
    </cfRule>
    <cfRule type="expression" dxfId="320" priority="142">
      <formula>ISTEXT(E15)</formula>
    </cfRule>
  </conditionalFormatting>
  <conditionalFormatting sqref="I16:K16">
    <cfRule type="expression" dxfId="319" priority="139">
      <formula>NOT(ISERROR(AR16))</formula>
    </cfRule>
    <cfRule type="expression" dxfId="318" priority="140">
      <formula>ISTEXT(E16)</formula>
    </cfRule>
  </conditionalFormatting>
  <conditionalFormatting sqref="I17:K17">
    <cfRule type="expression" dxfId="317" priority="137">
      <formula>NOT(ISERROR(AR17))</formula>
    </cfRule>
    <cfRule type="expression" dxfId="316" priority="138">
      <formula>ISTEXT(E17)</formula>
    </cfRule>
  </conditionalFormatting>
  <conditionalFormatting sqref="I18:K18">
    <cfRule type="expression" dxfId="315" priority="135">
      <formula>NOT(ISERROR(AR18))</formula>
    </cfRule>
    <cfRule type="expression" dxfId="314" priority="136">
      <formula>ISTEXT(E18)</formula>
    </cfRule>
  </conditionalFormatting>
  <conditionalFormatting sqref="I21:K21">
    <cfRule type="expression" dxfId="313" priority="129">
      <formula>NOT(ISERROR(AR21))</formula>
    </cfRule>
    <cfRule type="expression" dxfId="312" priority="130">
      <formula>ISTEXT(E21)</formula>
    </cfRule>
  </conditionalFormatting>
  <conditionalFormatting sqref="I22:K22">
    <cfRule type="expression" dxfId="311" priority="127">
      <formula>NOT(ISERROR(AR22))</formula>
    </cfRule>
    <cfRule type="expression" dxfId="310" priority="128">
      <formula>ISTEXT(E22)</formula>
    </cfRule>
  </conditionalFormatting>
  <conditionalFormatting sqref="I23:K23">
    <cfRule type="expression" dxfId="309" priority="125">
      <formula>NOT(ISERROR(AR23))</formula>
    </cfRule>
    <cfRule type="expression" dxfId="308" priority="126">
      <formula>ISTEXT(E23)</formula>
    </cfRule>
  </conditionalFormatting>
  <conditionalFormatting sqref="I24:K24">
    <cfRule type="expression" dxfId="307" priority="123">
      <formula>NOT(ISERROR(AR24))</formula>
    </cfRule>
    <cfRule type="expression" dxfId="306" priority="124">
      <formula>ISTEXT(E24)</formula>
    </cfRule>
  </conditionalFormatting>
  <conditionalFormatting sqref="I26:K26">
    <cfRule type="expression" dxfId="305" priority="121">
      <formula>NOT(ISERROR(AR26))</formula>
    </cfRule>
    <cfRule type="expression" dxfId="304" priority="122">
      <formula>ISTEXT(E26)</formula>
    </cfRule>
  </conditionalFormatting>
  <conditionalFormatting sqref="I28:K28">
    <cfRule type="expression" dxfId="303" priority="119">
      <formula>NOT(ISERROR(AR28))</formula>
    </cfRule>
    <cfRule type="expression" dxfId="302" priority="120">
      <formula>ISTEXT(E28)</formula>
    </cfRule>
  </conditionalFormatting>
  <conditionalFormatting sqref="I30:K30">
    <cfRule type="expression" dxfId="301" priority="117">
      <formula>NOT(ISERROR(AR30))</formula>
    </cfRule>
    <cfRule type="expression" dxfId="300" priority="118">
      <formula>ISTEXT(E30)</formula>
    </cfRule>
  </conditionalFormatting>
  <conditionalFormatting sqref="I32:K32">
    <cfRule type="expression" dxfId="299" priority="115">
      <formula>NOT(ISERROR(AR32))</formula>
    </cfRule>
    <cfRule type="expression" dxfId="298" priority="116">
      <formula>ISTEXT(E32)</formula>
    </cfRule>
  </conditionalFormatting>
  <conditionalFormatting sqref="I34:K34">
    <cfRule type="expression" dxfId="297" priority="113">
      <formula>NOT(ISERROR(AR34))</formula>
    </cfRule>
    <cfRule type="expression" dxfId="296" priority="114">
      <formula>ISTEXT(E34)</formula>
    </cfRule>
  </conditionalFormatting>
  <conditionalFormatting sqref="I36:K36">
    <cfRule type="expression" dxfId="295" priority="111">
      <formula>NOT(ISERROR(AR36))</formula>
    </cfRule>
    <cfRule type="expression" dxfId="294" priority="112">
      <formula>ISTEXT(E36)</formula>
    </cfRule>
  </conditionalFormatting>
  <conditionalFormatting sqref="I38:K38">
    <cfRule type="expression" dxfId="293" priority="109">
      <formula>NOT(ISERROR(AR38))</formula>
    </cfRule>
    <cfRule type="expression" dxfId="292" priority="110">
      <formula>ISTEXT(E38)</formula>
    </cfRule>
  </conditionalFormatting>
  <conditionalFormatting sqref="I40:K40">
    <cfRule type="expression" dxfId="291" priority="107">
      <formula>NOT(ISERROR(AR40))</formula>
    </cfRule>
    <cfRule type="expression" dxfId="290" priority="108">
      <formula>ISTEXT(E40)</formula>
    </cfRule>
  </conditionalFormatting>
  <conditionalFormatting sqref="I42:K42">
    <cfRule type="expression" dxfId="289" priority="105">
      <formula>NOT(ISERROR(AR42))</formula>
    </cfRule>
    <cfRule type="expression" dxfId="288" priority="106">
      <formula>ISTEXT(E42)</formula>
    </cfRule>
  </conditionalFormatting>
  <conditionalFormatting sqref="I44:K44">
    <cfRule type="expression" dxfId="287" priority="103">
      <formula>NOT(ISERROR(AR44))</formula>
    </cfRule>
    <cfRule type="expression" dxfId="286" priority="104">
      <formula>ISTEXT(E44)</formula>
    </cfRule>
  </conditionalFormatting>
  <conditionalFormatting sqref="I46:K46">
    <cfRule type="expression" dxfId="285" priority="101">
      <formula>NOT(ISERROR(AR46))</formula>
    </cfRule>
    <cfRule type="expression" dxfId="284" priority="102">
      <formula>ISTEXT(E46)</formula>
    </cfRule>
  </conditionalFormatting>
  <conditionalFormatting sqref="I48:K48">
    <cfRule type="expression" dxfId="283" priority="99">
      <formula>NOT(ISERROR(AR48))</formula>
    </cfRule>
    <cfRule type="expression" dxfId="282" priority="100">
      <formula>ISTEXT(E48)</formula>
    </cfRule>
  </conditionalFormatting>
  <conditionalFormatting sqref="I50:K50">
    <cfRule type="expression" dxfId="281" priority="97">
      <formula>NOT(ISERROR(AR50))</formula>
    </cfRule>
    <cfRule type="expression" dxfId="280" priority="98">
      <formula>ISTEXT(E50)</formula>
    </cfRule>
  </conditionalFormatting>
  <conditionalFormatting sqref="I52:K52">
    <cfRule type="expression" dxfId="279" priority="95">
      <formula>NOT(ISERROR(AR52))</formula>
    </cfRule>
    <cfRule type="expression" dxfId="278" priority="96">
      <formula>ISTEXT(E52)</formula>
    </cfRule>
  </conditionalFormatting>
  <conditionalFormatting sqref="I54:K54">
    <cfRule type="expression" dxfId="277" priority="93">
      <formula>NOT(ISERROR(AR54))</formula>
    </cfRule>
    <cfRule type="expression" dxfId="276" priority="94">
      <formula>ISTEXT(E54)</formula>
    </cfRule>
  </conditionalFormatting>
  <conditionalFormatting sqref="I56:K56">
    <cfRule type="expression" dxfId="275" priority="91">
      <formula>NOT(ISERROR(AR56))</formula>
    </cfRule>
    <cfRule type="expression" dxfId="274" priority="92">
      <formula>ISTEXT(E56)</formula>
    </cfRule>
  </conditionalFormatting>
  <conditionalFormatting sqref="I58:K58">
    <cfRule type="expression" dxfId="273" priority="89">
      <formula>NOT(ISERROR(AR58))</formula>
    </cfRule>
    <cfRule type="expression" dxfId="272" priority="90">
      <formula>ISTEXT(E58)</formula>
    </cfRule>
  </conditionalFormatting>
  <conditionalFormatting sqref="I25:K25">
    <cfRule type="expression" dxfId="271" priority="75">
      <formula>NOT(ISERROR(AR25))</formula>
    </cfRule>
    <cfRule type="expression" dxfId="270" priority="76">
      <formula>ISTEXT(E25)</formula>
    </cfRule>
  </conditionalFormatting>
  <conditionalFormatting sqref="I27:K27">
    <cfRule type="expression" dxfId="269" priority="73">
      <formula>NOT(ISERROR(AR27))</formula>
    </cfRule>
    <cfRule type="expression" dxfId="268" priority="74">
      <formula>ISTEXT(E27)</formula>
    </cfRule>
  </conditionalFormatting>
  <conditionalFormatting sqref="I29:K29">
    <cfRule type="expression" dxfId="267" priority="71">
      <formula>NOT(ISERROR(AR29))</formula>
    </cfRule>
    <cfRule type="expression" dxfId="266" priority="72">
      <formula>ISTEXT(E29)</formula>
    </cfRule>
  </conditionalFormatting>
  <conditionalFormatting sqref="I31:K31">
    <cfRule type="expression" dxfId="265" priority="69">
      <formula>NOT(ISERROR(AR31))</formula>
    </cfRule>
    <cfRule type="expression" dxfId="264" priority="70">
      <formula>ISTEXT(E31)</formula>
    </cfRule>
  </conditionalFormatting>
  <conditionalFormatting sqref="I33:K33">
    <cfRule type="expression" dxfId="263" priority="67">
      <formula>NOT(ISERROR(AR33))</formula>
    </cfRule>
    <cfRule type="expression" dxfId="262" priority="68">
      <formula>ISTEXT(E33)</formula>
    </cfRule>
  </conditionalFormatting>
  <conditionalFormatting sqref="I35:K35">
    <cfRule type="expression" dxfId="261" priority="65">
      <formula>NOT(ISERROR(AR35))</formula>
    </cfRule>
    <cfRule type="expression" dxfId="260" priority="66">
      <formula>ISTEXT(E35)</formula>
    </cfRule>
  </conditionalFormatting>
  <conditionalFormatting sqref="I37:K37">
    <cfRule type="expression" dxfId="259" priority="63">
      <formula>NOT(ISERROR(AR37))</formula>
    </cfRule>
    <cfRule type="expression" dxfId="258" priority="64">
      <formula>ISTEXT(E37)</formula>
    </cfRule>
  </conditionalFormatting>
  <conditionalFormatting sqref="I39:K39">
    <cfRule type="expression" dxfId="257" priority="61">
      <formula>NOT(ISERROR(AR39))</formula>
    </cfRule>
    <cfRule type="expression" dxfId="256" priority="62">
      <formula>ISTEXT(E39)</formula>
    </cfRule>
  </conditionalFormatting>
  <conditionalFormatting sqref="I41:K41">
    <cfRule type="expression" dxfId="255" priority="59">
      <formula>NOT(ISERROR(AR41))</formula>
    </cfRule>
    <cfRule type="expression" dxfId="254" priority="60">
      <formula>ISTEXT(E41)</formula>
    </cfRule>
  </conditionalFormatting>
  <conditionalFormatting sqref="I43:K43">
    <cfRule type="expression" dxfId="253" priority="57">
      <formula>NOT(ISERROR(AR43))</formula>
    </cfRule>
    <cfRule type="expression" dxfId="252" priority="58">
      <formula>ISTEXT(E43)</formula>
    </cfRule>
  </conditionalFormatting>
  <conditionalFormatting sqref="I45:K45">
    <cfRule type="expression" dxfId="251" priority="55">
      <formula>NOT(ISERROR(AR45))</formula>
    </cfRule>
    <cfRule type="expression" dxfId="250" priority="56">
      <formula>ISTEXT(E45)</formula>
    </cfRule>
  </conditionalFormatting>
  <conditionalFormatting sqref="I47:K47">
    <cfRule type="expression" dxfId="249" priority="53">
      <formula>NOT(ISERROR(AR47))</formula>
    </cfRule>
    <cfRule type="expression" dxfId="248" priority="54">
      <formula>ISTEXT(E47)</formula>
    </cfRule>
  </conditionalFormatting>
  <conditionalFormatting sqref="I49:K49">
    <cfRule type="expression" dxfId="247" priority="51">
      <formula>NOT(ISERROR(AR49))</formula>
    </cfRule>
    <cfRule type="expression" dxfId="246" priority="52">
      <formula>ISTEXT(E49)</formula>
    </cfRule>
  </conditionalFormatting>
  <conditionalFormatting sqref="I51:K51">
    <cfRule type="expression" dxfId="245" priority="49">
      <formula>NOT(ISERROR(AR51))</formula>
    </cfRule>
    <cfRule type="expression" dxfId="244" priority="50">
      <formula>ISTEXT(E51)</formula>
    </cfRule>
  </conditionalFormatting>
  <conditionalFormatting sqref="I53:K53">
    <cfRule type="expression" dxfId="243" priority="47">
      <formula>NOT(ISERROR(AR53))</formula>
    </cfRule>
    <cfRule type="expression" dxfId="242" priority="48">
      <formula>ISTEXT(E53)</formula>
    </cfRule>
  </conditionalFormatting>
  <conditionalFormatting sqref="I55:K55">
    <cfRule type="expression" dxfId="241" priority="45">
      <formula>NOT(ISERROR(AR55))</formula>
    </cfRule>
    <cfRule type="expression" dxfId="240" priority="46">
      <formula>ISTEXT(E55)</formula>
    </cfRule>
  </conditionalFormatting>
  <conditionalFormatting sqref="I57:K57">
    <cfRule type="expression" dxfId="239" priority="43">
      <formula>NOT(ISERROR(AR57))</formula>
    </cfRule>
    <cfRule type="expression" dxfId="238" priority="44">
      <formula>ISTEXT(E57)</formula>
    </cfRule>
  </conditionalFormatting>
  <conditionalFormatting sqref="E68:H75">
    <cfRule type="expression" dxfId="237" priority="26">
      <formula>AND(ISTEXT(I68),ISBLANK(E68))</formula>
    </cfRule>
  </conditionalFormatting>
  <conditionalFormatting sqref="I68:K68">
    <cfRule type="expression" dxfId="236" priority="24">
      <formula>NOT(ISERROR(AR68))</formula>
    </cfRule>
    <cfRule type="expression" dxfId="235" priority="25">
      <formula>ISTEXT(E68)</formula>
    </cfRule>
  </conditionalFormatting>
  <conditionalFormatting sqref="I70:K70">
    <cfRule type="expression" dxfId="234" priority="22">
      <formula>NOT(ISERROR(AR70))</formula>
    </cfRule>
    <cfRule type="expression" dxfId="233" priority="23">
      <formula>ISTEXT(E70)</formula>
    </cfRule>
  </conditionalFormatting>
  <conditionalFormatting sqref="I72:K72">
    <cfRule type="expression" dxfId="232" priority="20">
      <formula>NOT(ISERROR(AR72))</formula>
    </cfRule>
    <cfRule type="expression" dxfId="231" priority="21">
      <formula>ISTEXT(E72)</formula>
    </cfRule>
  </conditionalFormatting>
  <conditionalFormatting sqref="I74:K74">
    <cfRule type="expression" dxfId="230" priority="18">
      <formula>NOT(ISERROR(AR74))</formula>
    </cfRule>
    <cfRule type="expression" dxfId="229" priority="19">
      <formula>ISTEXT(E74)</formula>
    </cfRule>
  </conditionalFormatting>
  <conditionalFormatting sqref="I69:K69">
    <cfRule type="expression" dxfId="228" priority="16">
      <formula>NOT(ISERROR(AR69))</formula>
    </cfRule>
    <cfRule type="expression" dxfId="227" priority="17">
      <formula>ISTEXT(E69)</formula>
    </cfRule>
  </conditionalFormatting>
  <conditionalFormatting sqref="I71:K71">
    <cfRule type="expression" dxfId="226" priority="14">
      <formula>NOT(ISERROR(AR71))</formula>
    </cfRule>
    <cfRule type="expression" dxfId="225" priority="15">
      <formula>ISTEXT(E71)</formula>
    </cfRule>
  </conditionalFormatting>
  <conditionalFormatting sqref="I73:K73">
    <cfRule type="expression" dxfId="224" priority="12">
      <formula>NOT(ISERROR(AR73))</formula>
    </cfRule>
    <cfRule type="expression" dxfId="223" priority="13">
      <formula>ISTEXT(E73)</formula>
    </cfRule>
  </conditionalFormatting>
  <conditionalFormatting sqref="I75:K75">
    <cfRule type="expression" dxfId="222" priority="10">
      <formula>NOT(ISERROR(AR75))</formula>
    </cfRule>
    <cfRule type="expression" dxfId="221" priority="11">
      <formula>ISTEXT(E75)</formula>
    </cfRule>
  </conditionalFormatting>
  <conditionalFormatting sqref="I59:K59">
    <cfRule type="expression" dxfId="220" priority="8">
      <formula>NOT(ISERROR(AR59))</formula>
    </cfRule>
    <cfRule type="expression" dxfId="219" priority="9">
      <formula>ISTEXT(E59)</formula>
    </cfRule>
  </conditionalFormatting>
  <conditionalFormatting sqref="I60:K60">
    <cfRule type="expression" dxfId="218" priority="6">
      <formula>NOT(ISERROR(AR60))</formula>
    </cfRule>
    <cfRule type="expression" dxfId="217" priority="7">
      <formula>ISTEXT(E60)</formula>
    </cfRule>
  </conditionalFormatting>
  <dataValidations count="4">
    <dataValidation type="list" allowBlank="1" showInputMessage="1" showErrorMessage="1" sqref="I14:K60 I68:K75" xr:uid="{00000000-0002-0000-1100-000000000000}">
      <formula1>INDIRECT(SUBSTITUTE(SUBSTITUTE(SUBSTITUTE(E14," ","_"),"+","_"),"/","_"))</formula1>
    </dataValidation>
    <dataValidation type="list" allowBlank="1" showInputMessage="1" showErrorMessage="1" sqref="E14:H60 E68:H75" xr:uid="{00000000-0002-0000-1100-000001000000}">
      <formula1>INDIRECT((SUBSTITUTE(SUBSTITUTE(SUBSTITUTE(SUBSTITUTE(SUBSTITUTE(SUBSTITUTE(SUBSTITUTE(SUBSTITUTE(SUBSTITUTE(A14,",",""),":",""),"/"," "),"(",""),")",""),"-"," "),"  "," ")," ","_"),"__","_")))</formula1>
    </dataValidation>
    <dataValidation type="list" allowBlank="1" showInputMessage="1" showErrorMessage="1" sqref="M68:M75" xr:uid="{00000000-0002-0000-1100-000002000000}">
      <formula1>$C$25:$C$39</formula1>
    </dataValidation>
    <dataValidation type="decimal" allowBlank="1" showInputMessage="1" showErrorMessage="1" sqref="N14:AH60 N68:AH75" xr:uid="{FDCE61F9-3C6F-4909-AB1A-C74DF3B8EBE2}">
      <formula1>0</formula1>
      <formula2>1E+29</formula2>
    </dataValidation>
  </dataValidations>
  <hyperlinks>
    <hyperlink ref="H8:H9" location="'Malaria-Pharmaceuticals'!A68" display="Go to Antimalaria medicines for Prevention" xr:uid="{00000000-0004-0000-1100-000001000000}"/>
    <hyperlink ref="H62:H63" location="'Malaria-Pharmaceuticals'!A14" display="Back to antimalaria" xr:uid="{00000000-0004-0000-1100-000002000000}"/>
    <hyperlink ref="N1:N2" location="'Malaria-Key Info'!A1" display="Back to Malaria key info" xr:uid="{00000000-0004-0000-1100-000003000000}"/>
    <hyperlink ref="O1:P2" location="'Malaria-Equipment &amp; Other HPs'!A1" display="Go to Malaria Other HPs &amp; Equipment" xr:uid="{00000000-0004-0000-1100-000004000000}"/>
  </hyperlinks>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3000000}">
          <x14:formula1>
            <xm:f>SETUP!$C$28:$C$42</xm:f>
          </x14:formula1>
          <xm:sqref>M14:M60</xm:sqref>
        </x14:dataValidation>
        <x14:dataValidation type="list" allowBlank="1" showInputMessage="1" showErrorMessage="1" xr:uid="{00000000-0002-0000-1100-000004000000}">
          <x14:formula1>
            <xm:f>'Malaria-Pharma'!$O$2</xm:f>
          </x14:formula1>
          <xm:sqref>A14:D60</xm:sqref>
        </x14:dataValidation>
        <x14:dataValidation type="list" allowBlank="1" showInputMessage="1" showErrorMessage="1" xr:uid="{00000000-0002-0000-1100-000005000000}">
          <x14:formula1>
            <xm:f>'Malaria-Pharma'!$R$2</xm:f>
          </x14:formula1>
          <xm:sqref>A68:D75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theme="4" tint="-0.249977111117893"/>
    <pageSetUpPr fitToPage="1"/>
  </sheetPr>
  <dimension ref="A1:U67"/>
  <sheetViews>
    <sheetView showGridLines="0" tabSelected="1" zoomScale="91" zoomScaleNormal="91" workbookViewId="0">
      <selection activeCell="E3" sqref="E3:G3"/>
    </sheetView>
  </sheetViews>
  <sheetFormatPr defaultColWidth="8.81640625" defaultRowHeight="14.5"/>
  <cols>
    <col min="1" max="1" width="8.81640625" style="78"/>
    <col min="2" max="2" width="37.36328125" style="78" hidden="1" customWidth="1"/>
    <col min="3" max="3" width="24" style="78" bestFit="1" customWidth="1"/>
    <col min="4" max="4" width="38.08984375" style="78" bestFit="1" customWidth="1"/>
    <col min="5" max="5" width="18.08984375" style="78" customWidth="1"/>
    <col min="6" max="6" width="19.36328125" style="78" bestFit="1" customWidth="1"/>
    <col min="7" max="7" width="46.7265625" style="78" bestFit="1" customWidth="1"/>
    <col min="8" max="8" width="15.81640625" style="78" customWidth="1"/>
    <col min="9" max="9" width="30.36328125" style="78" customWidth="1"/>
    <col min="10" max="10" width="9.6328125" style="78" customWidth="1"/>
    <col min="11" max="11" width="15.08984375" style="78" customWidth="1"/>
    <col min="12" max="12" width="22" style="78" customWidth="1"/>
    <col min="13" max="13" width="23.7265625" style="78" customWidth="1"/>
    <col min="14" max="15" width="13.36328125" style="78" customWidth="1"/>
    <col min="16" max="16" width="11" style="78" customWidth="1"/>
    <col min="17" max="17" width="12.36328125" style="78" customWidth="1"/>
    <col min="18" max="16384" width="8.81640625" style="78"/>
  </cols>
  <sheetData>
    <row r="1" spans="1:21" ht="34" customHeight="1" thickBot="1">
      <c r="A1" s="1941" t="s">
        <v>7651</v>
      </c>
      <c r="B1" s="1941"/>
      <c r="C1" s="1941"/>
      <c r="D1" s="1941"/>
      <c r="E1" s="1941"/>
      <c r="F1" s="1941"/>
      <c r="G1" s="1941"/>
      <c r="H1" s="1941"/>
      <c r="I1" s="1941"/>
      <c r="J1" s="1941"/>
      <c r="K1" s="1941"/>
      <c r="L1" s="1941"/>
      <c r="M1" s="1941"/>
      <c r="N1" s="92"/>
      <c r="O1" s="1667"/>
      <c r="P1" s="1667"/>
      <c r="Q1" s="1668"/>
      <c r="R1" s="1668"/>
      <c r="S1" s="1668"/>
      <c r="T1" s="1668"/>
      <c r="U1" s="1668"/>
    </row>
    <row r="2" spans="1:21" ht="22.9" customHeight="1" thickBot="1">
      <c r="A2" s="91"/>
      <c r="B2" s="79"/>
      <c r="C2" s="79"/>
      <c r="D2" s="79"/>
      <c r="E2" s="79"/>
      <c r="F2" s="79"/>
      <c r="G2" s="79"/>
      <c r="H2" s="91"/>
      <c r="I2" s="79"/>
      <c r="J2" s="79"/>
      <c r="K2" s="79"/>
      <c r="L2" s="92"/>
      <c r="M2" s="1719"/>
      <c r="N2" s="92"/>
      <c r="O2" s="1667"/>
      <c r="P2" s="1667"/>
      <c r="Q2" s="1668"/>
      <c r="R2" s="1668"/>
      <c r="S2" s="1668"/>
      <c r="T2" s="1668"/>
      <c r="U2" s="1668"/>
    </row>
    <row r="3" spans="1:21" ht="34.5" customHeight="1" thickBot="1">
      <c r="A3" s="190"/>
      <c r="B3" s="416"/>
      <c r="C3" s="416"/>
      <c r="D3" s="839" t="s">
        <v>0</v>
      </c>
      <c r="E3" s="1953"/>
      <c r="F3" s="1954"/>
      <c r="G3" s="1955"/>
      <c r="H3" s="82"/>
      <c r="I3" s="1964" t="s">
        <v>7546</v>
      </c>
      <c r="J3" s="1965"/>
      <c r="K3" s="1705"/>
      <c r="L3" s="1949">
        <v>1</v>
      </c>
      <c r="M3" s="1950"/>
      <c r="N3" s="1677"/>
      <c r="O3" s="1669"/>
      <c r="P3" s="1670"/>
      <c r="Q3" s="1670"/>
      <c r="R3" s="1670"/>
      <c r="S3" s="1668"/>
      <c r="T3" s="1668"/>
      <c r="U3" s="1668"/>
    </row>
    <row r="4" spans="1:21" ht="34.5" customHeight="1" thickBot="1">
      <c r="A4" s="417"/>
      <c r="B4" s="418"/>
      <c r="C4" s="418"/>
      <c r="D4" s="839" t="s">
        <v>14</v>
      </c>
      <c r="E4" s="1956" t="s">
        <v>15</v>
      </c>
      <c r="F4" s="1957"/>
      <c r="G4" s="1958"/>
      <c r="H4" s="82"/>
      <c r="I4" s="1966" t="s">
        <v>16</v>
      </c>
      <c r="J4" s="1967"/>
      <c r="K4" s="1967"/>
      <c r="L4" s="1951">
        <v>43970</v>
      </c>
      <c r="M4" s="1952"/>
      <c r="N4" s="1677"/>
      <c r="O4" s="1670"/>
      <c r="P4" s="1670"/>
      <c r="Q4" s="1670"/>
      <c r="R4" s="1670"/>
      <c r="S4" s="1668"/>
      <c r="T4" s="1668"/>
      <c r="U4" s="1668"/>
    </row>
    <row r="5" spans="1:21" ht="34.5" customHeight="1" thickBot="1">
      <c r="A5" s="417"/>
      <c r="B5" s="418"/>
      <c r="C5" s="418"/>
      <c r="D5" s="839" t="s">
        <v>17</v>
      </c>
      <c r="E5" s="1974"/>
      <c r="F5" s="1975"/>
      <c r="G5" s="1976"/>
      <c r="H5" s="185"/>
      <c r="I5" s="91"/>
      <c r="J5" s="1676"/>
      <c r="K5" s="1710" t="s">
        <v>7585</v>
      </c>
      <c r="L5"/>
      <c r="M5"/>
      <c r="N5" s="1677"/>
      <c r="O5" s="1670"/>
      <c r="P5" s="1670"/>
      <c r="Q5" s="1670"/>
      <c r="R5" s="1670"/>
      <c r="S5" s="1668"/>
      <c r="T5" s="1668"/>
      <c r="U5" s="1668"/>
    </row>
    <row r="6" spans="1:21" ht="34.5" customHeight="1" thickBot="1">
      <c r="A6" s="190"/>
      <c r="B6" s="416"/>
      <c r="C6" s="416"/>
      <c r="D6" s="839" t="s">
        <v>2</v>
      </c>
      <c r="E6" s="1959" t="s">
        <v>818</v>
      </c>
      <c r="F6" s="1960"/>
      <c r="G6" s="1961"/>
      <c r="H6" s="1962" t="s">
        <v>7584</v>
      </c>
      <c r="I6" s="1963"/>
      <c r="K6" s="1683" t="s">
        <v>7578</v>
      </c>
      <c r="L6" s="1684" t="s">
        <v>7579</v>
      </c>
      <c r="M6" s="1685" t="s">
        <v>7580</v>
      </c>
      <c r="N6" s="1678"/>
      <c r="O6" s="1670"/>
      <c r="P6" s="1670"/>
      <c r="Q6" s="1670"/>
      <c r="R6" s="1670"/>
      <c r="S6" s="1668"/>
      <c r="T6" s="1668"/>
      <c r="U6" s="1668"/>
    </row>
    <row r="7" spans="1:21" ht="15.75" customHeight="1" thickBot="1">
      <c r="A7" s="417"/>
      <c r="B7" s="418"/>
      <c r="C7" s="418"/>
      <c r="D7" s="1944" t="s">
        <v>3</v>
      </c>
      <c r="E7" s="1968"/>
      <c r="F7" s="1969"/>
      <c r="G7" s="1970"/>
      <c r="H7" s="1977"/>
      <c r="I7" s="1978"/>
      <c r="J7"/>
      <c r="K7" s="1681"/>
      <c r="L7" s="1680"/>
      <c r="M7" s="1682"/>
      <c r="N7" s="1678"/>
      <c r="O7" s="1670"/>
      <c r="P7" s="1670"/>
      <c r="Q7" s="1670"/>
      <c r="R7" s="1670"/>
      <c r="S7" s="1668"/>
      <c r="T7" s="1668"/>
      <c r="U7" s="1668"/>
    </row>
    <row r="8" spans="1:21" ht="15.75" customHeight="1" thickBot="1">
      <c r="A8" s="417"/>
      <c r="B8" s="418"/>
      <c r="C8" s="418"/>
      <c r="D8" s="1944"/>
      <c r="E8" s="1971"/>
      <c r="F8" s="1972"/>
      <c r="G8" s="1973"/>
      <c r="H8" s="1979"/>
      <c r="I8" s="1980"/>
      <c r="J8"/>
      <c r="K8" s="1681"/>
      <c r="L8" s="1680"/>
      <c r="M8" s="1682"/>
      <c r="N8" s="1679"/>
      <c r="O8" s="1671"/>
      <c r="P8" s="1671"/>
      <c r="Q8" s="1671"/>
      <c r="R8" s="1671"/>
      <c r="S8" s="958">
        <v>0</v>
      </c>
      <c r="T8" s="1668"/>
      <c r="U8" s="1668"/>
    </row>
    <row r="9" spans="1:21" ht="15" thickBot="1">
      <c r="A9" s="417"/>
      <c r="B9" s="418"/>
      <c r="C9" s="418"/>
      <c r="D9" s="1944" t="s">
        <v>20</v>
      </c>
      <c r="E9" s="419" t="s">
        <v>21</v>
      </c>
      <c r="F9" s="1942"/>
      <c r="G9" s="1943"/>
      <c r="I9" s="91"/>
      <c r="J9" s="1676"/>
      <c r="K9" s="1681"/>
      <c r="L9" s="1680"/>
      <c r="M9" s="1682"/>
      <c r="N9" s="1675"/>
      <c r="O9" s="1672"/>
      <c r="P9" s="1672"/>
      <c r="Q9" s="1672"/>
      <c r="R9" s="1672"/>
      <c r="S9" s="958">
        <v>1</v>
      </c>
      <c r="T9" s="1668"/>
      <c r="U9" s="1668"/>
    </row>
    <row r="10" spans="1:21" ht="15" thickBot="1">
      <c r="A10" s="417"/>
      <c r="B10" s="418"/>
      <c r="C10" s="418"/>
      <c r="D10" s="1944"/>
      <c r="E10" s="419" t="s">
        <v>22</v>
      </c>
      <c r="F10" s="1945"/>
      <c r="G10" s="1946"/>
      <c r="I10" s="71"/>
      <c r="J10" s="350"/>
      <c r="K10" s="1681"/>
      <c r="L10" s="1680"/>
      <c r="M10" s="1682"/>
      <c r="N10" s="1675"/>
      <c r="O10" s="1672"/>
      <c r="P10" s="1672"/>
      <c r="Q10" s="1672"/>
      <c r="R10" s="1672"/>
      <c r="S10" s="958">
        <v>2</v>
      </c>
      <c r="T10" s="1668"/>
      <c r="U10" s="1668"/>
    </row>
    <row r="11" spans="1:21" ht="15" thickBot="1">
      <c r="A11" s="351"/>
      <c r="B11" s="416"/>
      <c r="C11" s="416"/>
      <c r="D11" s="1944"/>
      <c r="E11" s="419" t="s">
        <v>23</v>
      </c>
      <c r="F11" s="1947"/>
      <c r="G11" s="1948"/>
      <c r="I11" s="71"/>
      <c r="J11" s="350"/>
      <c r="K11" s="1681"/>
      <c r="L11" s="1680"/>
      <c r="M11" s="1682"/>
      <c r="N11" s="1675"/>
      <c r="O11" s="1672"/>
      <c r="P11" s="1672"/>
      <c r="Q11" s="1672"/>
      <c r="R11" s="1672"/>
      <c r="S11" s="958">
        <v>3</v>
      </c>
      <c r="T11" s="1668"/>
      <c r="U11" s="1668"/>
    </row>
    <row r="12" spans="1:21" ht="15" thickBot="1">
      <c r="A12" s="701"/>
      <c r="B12" s="701"/>
      <c r="C12" s="701"/>
      <c r="D12" s="675"/>
      <c r="E12" s="675"/>
      <c r="F12" s="1706" t="str">
        <f>E3&amp;"_"&amp;E6&amp;"_"&amp;E5</f>
        <v>_HIV_</v>
      </c>
      <c r="G12" s="1706" t="str">
        <f>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E3&amp;"_"&amp;E6&amp;"_"&amp;E7&amp;"_"&amp;E5,"~","_"),"!","_"),"@","_"),"#","_"),"$","_"),"%","_"),"^","_"),"&amp;","_"),"*","_"),"(","_"),")","_"),"","_"),"+","_"),"{","_"),"}","_"),"|","_"),":","_"),"""","_"),"&lt;","_"),"&gt;","_"),"?","_"),"`","_"),"1","_"),"2","_"),"3","_"),"4","_"),"5","_"),"6","_"),"7","_"),"8","_"),"9","_"),"0","_"),"-","_"),"=","_"),"[","_"),"]","_"),"\","_"),";","_"),"'","_")," ","_"),",","_"),".","_"),"/","_"),"“","_"),"”","_"),"á","_"),"ã","_"),"ç","_"),"é","_"),"è","_"),"í","_"),"ó","_"),"ô","_"),"ú","_"),"ü","_")</f>
        <v>_HIV__</v>
      </c>
      <c r="H12" s="1990" t="s">
        <v>7583</v>
      </c>
      <c r="I12" s="1963"/>
      <c r="J12" s="351"/>
      <c r="K12" s="1686"/>
      <c r="L12" s="1687"/>
      <c r="M12" s="1688"/>
      <c r="N12" s="1675"/>
      <c r="O12" s="1672"/>
      <c r="P12" s="1672"/>
      <c r="Q12" s="1668"/>
      <c r="R12" s="1668"/>
      <c r="S12" s="958">
        <v>4</v>
      </c>
      <c r="T12" s="1668"/>
      <c r="U12" s="1668"/>
    </row>
    <row r="13" spans="1:21" ht="30.75" customHeight="1" thickBot="1">
      <c r="A13" s="701"/>
      <c r="B13" s="701"/>
      <c r="C13" s="841"/>
      <c r="D13" s="1991" t="s">
        <v>1</v>
      </c>
      <c r="E13" s="1991"/>
      <c r="F13" s="1991"/>
      <c r="G13" s="1707"/>
      <c r="H13" s="1988"/>
      <c r="I13" s="1989"/>
      <c r="J13"/>
      <c r="K13"/>
      <c r="L13"/>
      <c r="M13"/>
      <c r="N13" s="1675"/>
      <c r="O13" s="1672"/>
      <c r="P13" s="1672"/>
      <c r="Q13" s="1668"/>
      <c r="R13" s="1668"/>
      <c r="S13" s="1673"/>
      <c r="T13" s="1668"/>
      <c r="U13" s="1668"/>
    </row>
    <row r="14" spans="1:21">
      <c r="A14" s="701"/>
      <c r="B14" s="701"/>
      <c r="C14" s="842"/>
      <c r="D14" s="419" t="s">
        <v>7581</v>
      </c>
      <c r="E14" s="419"/>
      <c r="F14" s="837"/>
      <c r="G14" s="1708"/>
      <c r="H14" s="1397"/>
      <c r="I14" s="187"/>
      <c r="J14" s="91"/>
      <c r="K14" s="91"/>
      <c r="L14" s="1674"/>
      <c r="M14" s="1674"/>
      <c r="N14" s="1665"/>
      <c r="O14" s="1672"/>
      <c r="P14" s="1672"/>
      <c r="Q14" s="1668"/>
      <c r="R14" s="1668"/>
      <c r="S14" s="1673"/>
      <c r="T14" s="1668"/>
      <c r="U14" s="1668"/>
    </row>
    <row r="15" spans="1:21" ht="15" thickBot="1">
      <c r="A15" s="701"/>
      <c r="B15" s="701"/>
      <c r="C15" s="842"/>
      <c r="D15" s="1991" t="s">
        <v>7582</v>
      </c>
      <c r="E15" s="1991"/>
      <c r="F15" s="1991"/>
      <c r="G15" s="1709"/>
      <c r="I15" s="185"/>
      <c r="J15" s="71"/>
      <c r="K15" s="71"/>
      <c r="L15" s="1672"/>
      <c r="M15" s="1672"/>
      <c r="N15" s="1665"/>
      <c r="O15" s="1672"/>
      <c r="P15" s="1672"/>
      <c r="Q15" s="1668"/>
      <c r="R15" s="1668"/>
      <c r="S15" s="1673"/>
      <c r="T15" s="1668"/>
      <c r="U15" s="1668"/>
    </row>
    <row r="16" spans="1:21">
      <c r="A16" s="701"/>
      <c r="B16" s="701"/>
      <c r="C16" s="701"/>
      <c r="D16" s="701"/>
      <c r="E16" s="701"/>
      <c r="F16" s="701"/>
      <c r="G16" s="701"/>
      <c r="I16" s="185"/>
      <c r="J16" s="71"/>
      <c r="K16" s="71"/>
      <c r="L16" s="1672"/>
      <c r="M16" s="1672"/>
      <c r="N16" s="1665"/>
      <c r="O16" s="1672"/>
      <c r="P16" s="1672"/>
      <c r="Q16" s="1668"/>
      <c r="R16" s="1668"/>
      <c r="S16" s="1673"/>
      <c r="T16" s="1668"/>
      <c r="U16" s="1668"/>
    </row>
    <row r="17" spans="1:21">
      <c r="A17" s="701"/>
      <c r="B17" s="419"/>
      <c r="C17" s="419" t="s">
        <v>24</v>
      </c>
      <c r="D17" s="419"/>
      <c r="E17" s="419"/>
      <c r="F17" s="419"/>
      <c r="G17" s="419"/>
      <c r="I17" s="1451" t="s">
        <v>25</v>
      </c>
      <c r="J17" s="73"/>
      <c r="K17" s="72" t="s">
        <v>26</v>
      </c>
      <c r="L17" s="72" t="s">
        <v>4825</v>
      </c>
      <c r="M17" s="72" t="s">
        <v>27</v>
      </c>
      <c r="N17" s="1666"/>
      <c r="O17" s="72" t="s">
        <v>28</v>
      </c>
      <c r="P17" s="72"/>
      <c r="Q17" s="1668"/>
      <c r="R17" s="1668"/>
      <c r="S17" s="1668"/>
      <c r="T17" s="1668"/>
      <c r="U17" s="1668"/>
    </row>
    <row r="18" spans="1:21" ht="15" thickBot="1">
      <c r="A18" s="701"/>
      <c r="B18" s="419"/>
      <c r="C18" s="1450"/>
      <c r="D18" s="1450"/>
      <c r="E18" s="1450"/>
      <c r="F18" s="1450"/>
      <c r="G18" s="1450"/>
      <c r="I18" s="1452" t="s">
        <v>29</v>
      </c>
      <c r="J18" s="75"/>
      <c r="K18" s="74"/>
      <c r="L18" s="75"/>
      <c r="M18" s="74"/>
      <c r="N18" s="840"/>
      <c r="O18" s="74" t="s">
        <v>30</v>
      </c>
      <c r="P18" s="75"/>
      <c r="Q18" s="1668"/>
      <c r="R18" s="1668"/>
      <c r="S18" s="1668"/>
      <c r="T18" s="1668"/>
      <c r="U18" s="1668"/>
    </row>
    <row r="19" spans="1:21" ht="15" thickBot="1">
      <c r="A19" s="701"/>
      <c r="B19" s="700" t="s">
        <v>1246</v>
      </c>
      <c r="C19" s="1768" t="s">
        <v>1247</v>
      </c>
      <c r="D19" s="1769" t="s">
        <v>1248</v>
      </c>
      <c r="E19" s="1720" t="s">
        <v>1253</v>
      </c>
      <c r="F19" s="1720" t="s">
        <v>7571</v>
      </c>
      <c r="G19" s="1720" t="s">
        <v>7577</v>
      </c>
      <c r="H19" s="705" t="s">
        <v>32</v>
      </c>
      <c r="I19" s="703"/>
      <c r="J19" s="674"/>
      <c r="K19" s="674"/>
      <c r="L19" s="1668"/>
      <c r="M19" s="1668"/>
      <c r="N19" s="674"/>
      <c r="O19" s="1668"/>
      <c r="P19" s="1668"/>
      <c r="Q19" s="1668"/>
      <c r="R19" s="1668"/>
      <c r="S19" s="1668"/>
      <c r="T19" s="1668"/>
      <c r="U19" s="1668"/>
    </row>
    <row r="20" spans="1:21">
      <c r="A20" s="701"/>
      <c r="B20" s="706" t="s">
        <v>561</v>
      </c>
      <c r="C20" s="1981" t="s">
        <v>1249</v>
      </c>
      <c r="D20" s="1738" t="s">
        <v>561</v>
      </c>
      <c r="E20" s="1770"/>
      <c r="F20" s="1771"/>
      <c r="G20" s="1772"/>
      <c r="H20" s="705" t="s">
        <v>33</v>
      </c>
      <c r="I20" s="703"/>
      <c r="J20" s="674"/>
      <c r="K20" s="674"/>
      <c r="L20" s="674"/>
      <c r="M20" s="674"/>
      <c r="N20" s="674"/>
      <c r="O20" s="1668"/>
      <c r="P20" s="1668"/>
      <c r="Q20" s="1668"/>
      <c r="R20" s="1668"/>
      <c r="S20" s="1668"/>
      <c r="T20" s="1668"/>
      <c r="U20" s="1668"/>
    </row>
    <row r="21" spans="1:21">
      <c r="A21" s="707" t="s">
        <v>34</v>
      </c>
      <c r="B21" s="706" t="s">
        <v>563</v>
      </c>
      <c r="C21" s="1982"/>
      <c r="D21" s="701" t="s">
        <v>44</v>
      </c>
      <c r="E21" s="1744"/>
      <c r="F21" s="1759"/>
      <c r="G21" s="1773"/>
      <c r="H21" s="705" t="s">
        <v>37</v>
      </c>
      <c r="I21" s="703"/>
      <c r="J21" s="674"/>
      <c r="K21" s="674"/>
      <c r="L21" s="674"/>
      <c r="M21" s="674"/>
      <c r="N21" s="674"/>
      <c r="O21" s="1668"/>
      <c r="P21" s="1668"/>
      <c r="Q21" s="1668"/>
      <c r="R21" s="1668"/>
      <c r="S21" s="1668"/>
      <c r="T21" s="1668"/>
      <c r="U21" s="1668"/>
    </row>
    <row r="22" spans="1:21">
      <c r="A22" s="707" t="s">
        <v>38</v>
      </c>
      <c r="B22" s="706" t="s">
        <v>562</v>
      </c>
      <c r="C22" s="1983"/>
      <c r="D22" s="1729" t="s">
        <v>562</v>
      </c>
      <c r="E22" s="1745"/>
      <c r="F22" s="1760"/>
      <c r="G22" s="1774"/>
      <c r="H22" s="705" t="s">
        <v>40</v>
      </c>
      <c r="I22" s="703"/>
      <c r="J22" s="674"/>
      <c r="K22" s="674"/>
      <c r="L22" s="674"/>
      <c r="M22" s="674"/>
      <c r="N22" s="674"/>
      <c r="O22" s="674"/>
      <c r="P22" s="674"/>
      <c r="Q22" s="674"/>
      <c r="R22" s="674"/>
      <c r="S22" s="674"/>
      <c r="T22" s="674"/>
    </row>
    <row r="23" spans="1:21">
      <c r="A23" s="707" t="s">
        <v>38</v>
      </c>
      <c r="B23" s="708" t="s">
        <v>1856</v>
      </c>
      <c r="C23" s="1739" t="s">
        <v>1871</v>
      </c>
      <c r="D23" s="1730" t="s">
        <v>1793</v>
      </c>
      <c r="E23" s="1726"/>
      <c r="F23" s="1727"/>
      <c r="G23" s="1775"/>
      <c r="H23" s="705" t="s">
        <v>42</v>
      </c>
      <c r="I23" s="703"/>
      <c r="J23" s="674"/>
      <c r="K23" s="674"/>
      <c r="L23" s="674"/>
      <c r="M23" s="674"/>
      <c r="N23" s="674"/>
    </row>
    <row r="24" spans="1:21" hidden="1">
      <c r="A24" s="707" t="s">
        <v>43</v>
      </c>
      <c r="B24" s="708" t="s">
        <v>1855</v>
      </c>
      <c r="C24" s="1740"/>
      <c r="D24" s="1722"/>
      <c r="E24" s="1744"/>
      <c r="F24" s="1761"/>
      <c r="G24" s="1776"/>
      <c r="H24" s="1662" t="s">
        <v>45</v>
      </c>
      <c r="I24" s="703"/>
      <c r="J24" s="674"/>
      <c r="K24" s="674"/>
      <c r="L24" s="674"/>
      <c r="M24" s="674"/>
      <c r="N24" s="674"/>
    </row>
    <row r="25" spans="1:21" hidden="1">
      <c r="A25" s="707" t="s">
        <v>38</v>
      </c>
      <c r="B25" s="706" t="s">
        <v>1857</v>
      </c>
      <c r="C25" s="1740"/>
      <c r="D25" s="1722"/>
      <c r="E25" s="1744"/>
      <c r="F25" s="1761"/>
      <c r="G25" s="1776"/>
      <c r="H25" s="1662" t="s">
        <v>46</v>
      </c>
      <c r="I25" s="703"/>
      <c r="J25" s="674"/>
      <c r="K25" s="674"/>
      <c r="L25" s="674"/>
      <c r="M25" s="674"/>
      <c r="N25" s="674"/>
    </row>
    <row r="26" spans="1:21" hidden="1">
      <c r="A26" s="707"/>
      <c r="B26" s="706" t="s">
        <v>1858</v>
      </c>
      <c r="C26" s="1740"/>
      <c r="D26" s="1722"/>
      <c r="E26" s="1744"/>
      <c r="F26" s="1761"/>
      <c r="G26" s="1776"/>
      <c r="H26" s="1663"/>
      <c r="I26" s="185"/>
      <c r="J26" s="674"/>
      <c r="K26" s="674"/>
      <c r="L26" s="674"/>
      <c r="M26" s="674"/>
      <c r="N26" s="674"/>
    </row>
    <row r="27" spans="1:21" ht="15" customHeight="1">
      <c r="A27" s="707" t="s">
        <v>47</v>
      </c>
      <c r="B27" s="706" t="s">
        <v>822</v>
      </c>
      <c r="C27" s="1987" t="s">
        <v>1872</v>
      </c>
      <c r="D27" s="1728" t="s">
        <v>228</v>
      </c>
      <c r="E27" s="1746"/>
      <c r="F27" s="1758"/>
      <c r="G27" s="1777"/>
      <c r="H27" s="1664"/>
      <c r="I27" s="1453"/>
      <c r="J27" s="674"/>
      <c r="K27" s="674"/>
      <c r="L27" s="674"/>
      <c r="M27" s="674"/>
      <c r="N27" s="674"/>
    </row>
    <row r="28" spans="1:21" ht="15" customHeight="1">
      <c r="A28" s="707" t="s">
        <v>38</v>
      </c>
      <c r="B28" s="706" t="s">
        <v>232</v>
      </c>
      <c r="C28" s="1982"/>
      <c r="D28" s="701" t="s">
        <v>232</v>
      </c>
      <c r="E28" s="1747"/>
      <c r="F28" s="1759"/>
      <c r="G28" s="1773"/>
      <c r="H28" s="1664"/>
      <c r="I28" s="1454"/>
      <c r="J28" s="674"/>
      <c r="K28" s="674"/>
      <c r="L28" s="674"/>
      <c r="M28" s="674"/>
      <c r="N28" s="674"/>
    </row>
    <row r="29" spans="1:21">
      <c r="A29" s="707" t="s">
        <v>34</v>
      </c>
      <c r="B29" s="709" t="s">
        <v>566</v>
      </c>
      <c r="C29" s="1982"/>
      <c r="D29" s="1723" t="s">
        <v>566</v>
      </c>
      <c r="E29" s="1748"/>
      <c r="F29" s="1761"/>
      <c r="G29" s="1776"/>
      <c r="H29" s="1664"/>
      <c r="I29" s="704"/>
      <c r="J29" s="674"/>
      <c r="K29" s="674"/>
      <c r="L29" s="674"/>
      <c r="M29" s="674"/>
      <c r="N29" s="674"/>
    </row>
    <row r="30" spans="1:21">
      <c r="A30" s="707" t="s">
        <v>38</v>
      </c>
      <c r="B30" s="709" t="s">
        <v>1863</v>
      </c>
      <c r="C30" s="1982"/>
      <c r="D30" s="172" t="s">
        <v>1863</v>
      </c>
      <c r="E30" s="1747"/>
      <c r="F30" s="1759"/>
      <c r="G30" s="1773"/>
      <c r="H30" s="707"/>
      <c r="I30" s="391"/>
      <c r="J30" s="674"/>
      <c r="K30" s="674"/>
      <c r="L30" s="674"/>
      <c r="M30" s="674"/>
      <c r="N30" s="674"/>
    </row>
    <row r="31" spans="1:21">
      <c r="A31" s="707" t="s">
        <v>47</v>
      </c>
      <c r="B31" s="709" t="s">
        <v>567</v>
      </c>
      <c r="C31" s="1982"/>
      <c r="D31" s="1721" t="s">
        <v>1794</v>
      </c>
      <c r="E31" s="1748"/>
      <c r="F31" s="1761"/>
      <c r="G31" s="1776"/>
      <c r="H31" s="707"/>
      <c r="I31" s="391"/>
      <c r="J31" s="674"/>
      <c r="K31" s="674"/>
      <c r="L31" s="674"/>
      <c r="M31" s="674"/>
      <c r="N31" s="674"/>
    </row>
    <row r="32" spans="1:21">
      <c r="A32" s="707" t="s">
        <v>47</v>
      </c>
      <c r="B32" s="709" t="s">
        <v>1735</v>
      </c>
      <c r="C32" s="1982"/>
      <c r="D32" s="701" t="s">
        <v>568</v>
      </c>
      <c r="E32" s="1747"/>
      <c r="F32" s="1759"/>
      <c r="G32" s="1773"/>
      <c r="H32" s="707"/>
      <c r="I32" s="391"/>
      <c r="J32" s="674"/>
      <c r="K32" s="674"/>
      <c r="L32" s="674"/>
      <c r="M32" s="674"/>
      <c r="N32" s="674"/>
    </row>
    <row r="33" spans="1:14">
      <c r="A33" s="707"/>
      <c r="B33" s="709" t="s">
        <v>1865</v>
      </c>
      <c r="C33" s="1983"/>
      <c r="D33" s="1731" t="s">
        <v>1795</v>
      </c>
      <c r="E33" s="1749"/>
      <c r="F33" s="1760"/>
      <c r="G33" s="1774"/>
      <c r="H33" s="707"/>
      <c r="I33" s="391"/>
      <c r="J33" s="674"/>
      <c r="K33" s="674"/>
      <c r="L33" s="674"/>
      <c r="M33" s="674"/>
      <c r="N33" s="674"/>
    </row>
    <row r="34" spans="1:14" hidden="1">
      <c r="A34" s="707"/>
      <c r="B34" s="709" t="s">
        <v>1866</v>
      </c>
      <c r="C34" s="1740"/>
      <c r="D34" s="1722"/>
      <c r="E34" s="1747"/>
      <c r="F34" s="1761"/>
      <c r="G34" s="1776"/>
      <c r="H34" s="707"/>
      <c r="I34" s="391"/>
      <c r="J34" s="674"/>
      <c r="K34" s="674"/>
      <c r="L34" s="674"/>
      <c r="M34" s="674"/>
      <c r="N34" s="674"/>
    </row>
    <row r="35" spans="1:14" hidden="1">
      <c r="A35" s="707"/>
      <c r="B35" s="709" t="s">
        <v>1867</v>
      </c>
      <c r="C35" s="1740"/>
      <c r="D35" s="1722"/>
      <c r="E35" s="1747"/>
      <c r="F35" s="1761"/>
      <c r="G35" s="1776"/>
      <c r="H35" s="707"/>
      <c r="I35" s="391"/>
      <c r="J35" s="674"/>
      <c r="K35" s="674"/>
      <c r="L35" s="674"/>
      <c r="M35" s="674"/>
      <c r="N35" s="674"/>
    </row>
    <row r="36" spans="1:14" hidden="1">
      <c r="A36" s="707" t="s">
        <v>47</v>
      </c>
      <c r="B36" s="710" t="s">
        <v>1541</v>
      </c>
      <c r="C36" s="1993" t="s">
        <v>1250</v>
      </c>
      <c r="D36" s="1732" t="s">
        <v>570</v>
      </c>
      <c r="E36" s="1750"/>
      <c r="F36" s="1762"/>
      <c r="G36" s="1778"/>
      <c r="H36" s="707"/>
      <c r="I36" s="391"/>
      <c r="J36" s="674"/>
      <c r="K36" s="674"/>
      <c r="L36" s="674"/>
      <c r="M36" s="674"/>
      <c r="N36" s="674"/>
    </row>
    <row r="37" spans="1:14" hidden="1">
      <c r="A37" s="707" t="s">
        <v>47</v>
      </c>
      <c r="B37" s="710" t="s">
        <v>1761</v>
      </c>
      <c r="C37" s="1994"/>
      <c r="D37" s="1722"/>
      <c r="E37" s="1747"/>
      <c r="F37" s="1761"/>
      <c r="G37" s="1776"/>
      <c r="H37" s="707"/>
      <c r="I37" s="391"/>
      <c r="J37" s="674"/>
      <c r="K37" s="674"/>
      <c r="L37" s="674"/>
      <c r="M37" s="674"/>
      <c r="N37" s="674"/>
    </row>
    <row r="38" spans="1:14" hidden="1">
      <c r="A38" s="707" t="s">
        <v>54</v>
      </c>
      <c r="B38" s="710" t="s">
        <v>571</v>
      </c>
      <c r="C38" s="1995"/>
      <c r="D38" s="1733" t="s">
        <v>571</v>
      </c>
      <c r="E38" s="1751"/>
      <c r="F38" s="1763"/>
      <c r="G38" s="1779"/>
      <c r="H38" s="707"/>
      <c r="I38" s="1453"/>
      <c r="J38" s="674"/>
      <c r="K38" s="674"/>
      <c r="L38" s="674"/>
      <c r="M38" s="674"/>
      <c r="N38" s="674"/>
    </row>
    <row r="39" spans="1:14" hidden="1">
      <c r="A39" s="707" t="s">
        <v>54</v>
      </c>
      <c r="B39" s="710" t="s">
        <v>1792</v>
      </c>
      <c r="C39" s="1993" t="s">
        <v>1251</v>
      </c>
      <c r="D39" s="1734" t="s">
        <v>1792</v>
      </c>
      <c r="E39" s="1752"/>
      <c r="F39" s="1762"/>
      <c r="G39" s="1778"/>
      <c r="H39" s="707"/>
      <c r="I39" s="1454"/>
      <c r="J39" s="674"/>
      <c r="K39" s="674"/>
      <c r="L39" s="674"/>
      <c r="M39" s="674"/>
      <c r="N39" s="674"/>
    </row>
    <row r="40" spans="1:14" hidden="1">
      <c r="A40" s="707" t="s">
        <v>47</v>
      </c>
      <c r="B40" s="710" t="s">
        <v>1588</v>
      </c>
      <c r="C40" s="1994"/>
      <c r="D40" s="1724" t="s">
        <v>311</v>
      </c>
      <c r="E40" s="1753"/>
      <c r="F40" s="1764"/>
      <c r="G40" s="1780"/>
      <c r="H40" s="707"/>
      <c r="I40" s="391"/>
      <c r="J40" s="674"/>
      <c r="K40" s="674"/>
      <c r="L40" s="674"/>
      <c r="M40" s="674"/>
      <c r="N40" s="674"/>
    </row>
    <row r="41" spans="1:14" hidden="1">
      <c r="A41" s="707" t="s">
        <v>34</v>
      </c>
      <c r="B41" s="710" t="s">
        <v>1748</v>
      </c>
      <c r="C41" s="1994"/>
      <c r="D41" s="1722" t="s">
        <v>1748</v>
      </c>
      <c r="E41" s="1996"/>
      <c r="F41" s="1759"/>
      <c r="G41" s="1773"/>
      <c r="H41" s="707"/>
      <c r="I41" s="391"/>
      <c r="J41" s="674"/>
      <c r="K41" s="674"/>
      <c r="L41" s="674"/>
      <c r="M41" s="674"/>
      <c r="N41" s="674"/>
    </row>
    <row r="42" spans="1:14" hidden="1">
      <c r="A42" s="707" t="s">
        <v>34</v>
      </c>
      <c r="B42" s="711" t="s">
        <v>1749</v>
      </c>
      <c r="C42" s="1994"/>
      <c r="D42" s="1722"/>
      <c r="E42" s="1996"/>
      <c r="F42" s="1761"/>
      <c r="G42" s="1776"/>
      <c r="H42" s="707"/>
      <c r="I42" s="391"/>
      <c r="J42" s="674"/>
      <c r="K42" s="674"/>
      <c r="L42" s="674"/>
      <c r="M42" s="674"/>
      <c r="N42" s="674"/>
    </row>
    <row r="43" spans="1:14" hidden="1">
      <c r="A43" s="707" t="s">
        <v>58</v>
      </c>
      <c r="B43" s="711" t="s">
        <v>1754</v>
      </c>
      <c r="C43" s="1994"/>
      <c r="D43" s="1724" t="s">
        <v>1754</v>
      </c>
      <c r="E43" s="1753"/>
      <c r="F43" s="1764"/>
      <c r="G43" s="1780"/>
      <c r="H43" s="707"/>
      <c r="I43" s="391"/>
      <c r="J43" s="674"/>
      <c r="K43" s="674"/>
      <c r="L43" s="674"/>
      <c r="M43" s="674"/>
      <c r="N43" s="674"/>
    </row>
    <row r="44" spans="1:14" hidden="1">
      <c r="A44" s="707" t="s">
        <v>58</v>
      </c>
      <c r="B44" s="710" t="s">
        <v>1756</v>
      </c>
      <c r="C44" s="1994"/>
      <c r="D44" s="1722" t="s">
        <v>574</v>
      </c>
      <c r="E44" s="1996"/>
      <c r="F44" s="1759"/>
      <c r="G44" s="1773"/>
      <c r="H44" s="707"/>
      <c r="I44" s="391"/>
      <c r="J44" s="674"/>
      <c r="K44" s="674"/>
      <c r="L44" s="674"/>
      <c r="M44" s="674"/>
      <c r="N44" s="674"/>
    </row>
    <row r="45" spans="1:14" hidden="1">
      <c r="A45" s="707" t="s">
        <v>38</v>
      </c>
      <c r="B45" s="710" t="s">
        <v>1757</v>
      </c>
      <c r="C45" s="1741"/>
      <c r="D45" s="1722"/>
      <c r="E45" s="1996"/>
      <c r="F45" s="1761"/>
      <c r="G45" s="1776"/>
      <c r="H45" s="707"/>
      <c r="I45" s="391"/>
      <c r="J45" s="674"/>
      <c r="K45" s="674"/>
      <c r="L45" s="674"/>
      <c r="M45" s="674"/>
      <c r="N45" s="674"/>
    </row>
    <row r="46" spans="1:14" hidden="1">
      <c r="A46" s="707" t="s">
        <v>38</v>
      </c>
      <c r="B46" s="710" t="s">
        <v>1759</v>
      </c>
      <c r="C46" s="1741"/>
      <c r="D46" s="1722"/>
      <c r="E46" s="1996"/>
      <c r="F46" s="1761"/>
      <c r="G46" s="1776"/>
      <c r="H46" s="707"/>
      <c r="I46" s="391"/>
      <c r="J46" s="674"/>
      <c r="K46" s="674"/>
      <c r="L46" s="674"/>
      <c r="M46" s="674"/>
      <c r="N46" s="674"/>
    </row>
    <row r="47" spans="1:14" hidden="1">
      <c r="A47" s="707"/>
      <c r="B47" s="710" t="s">
        <v>1760</v>
      </c>
      <c r="C47" s="1741"/>
      <c r="D47" s="1722"/>
      <c r="E47" s="1996"/>
      <c r="F47" s="1761"/>
      <c r="G47" s="1776"/>
      <c r="H47" s="707"/>
      <c r="I47" s="391"/>
      <c r="J47" s="674"/>
      <c r="K47" s="674"/>
      <c r="L47" s="674"/>
      <c r="M47" s="674"/>
      <c r="N47" s="674"/>
    </row>
    <row r="48" spans="1:14" hidden="1">
      <c r="A48" s="707"/>
      <c r="B48" s="710" t="s">
        <v>1755</v>
      </c>
      <c r="C48" s="1741"/>
      <c r="D48" s="1722"/>
      <c r="E48" s="1996"/>
      <c r="F48" s="1761"/>
      <c r="G48" s="1776"/>
      <c r="H48" s="707"/>
      <c r="I48" s="391"/>
      <c r="J48" s="674"/>
      <c r="K48" s="674"/>
      <c r="L48" s="674"/>
      <c r="M48" s="674"/>
      <c r="N48" s="674"/>
    </row>
    <row r="49" spans="1:14" hidden="1">
      <c r="A49" s="707" t="s">
        <v>34</v>
      </c>
      <c r="B49" s="710" t="s">
        <v>1758</v>
      </c>
      <c r="C49" s="1742"/>
      <c r="D49" s="1735"/>
      <c r="E49" s="1997"/>
      <c r="F49" s="1760"/>
      <c r="G49" s="1774"/>
      <c r="H49" s="707"/>
      <c r="I49" s="391"/>
      <c r="J49" s="674"/>
      <c r="K49" s="674"/>
      <c r="L49" s="674"/>
      <c r="M49" s="674"/>
      <c r="N49" s="674"/>
    </row>
    <row r="50" spans="1:14" hidden="1">
      <c r="A50" s="707" t="s">
        <v>54</v>
      </c>
      <c r="B50" s="712" t="s">
        <v>576</v>
      </c>
      <c r="C50" s="1984" t="s">
        <v>815</v>
      </c>
      <c r="D50" s="1736" t="s">
        <v>576</v>
      </c>
      <c r="E50" s="1754"/>
      <c r="F50" s="1765"/>
      <c r="G50" s="1781"/>
      <c r="H50" s="707"/>
      <c r="I50" s="391"/>
      <c r="J50" s="674"/>
      <c r="K50" s="674"/>
      <c r="L50" s="674"/>
      <c r="M50" s="674"/>
      <c r="N50" s="674"/>
    </row>
    <row r="51" spans="1:14" hidden="1">
      <c r="A51" s="707" t="s">
        <v>54</v>
      </c>
      <c r="B51" s="712" t="s">
        <v>1235</v>
      </c>
      <c r="C51" s="1992"/>
      <c r="D51" s="1737" t="s">
        <v>1235</v>
      </c>
      <c r="E51" s="1755"/>
      <c r="F51" s="1766"/>
      <c r="G51" s="1782"/>
      <c r="H51" s="707"/>
      <c r="I51" s="391"/>
      <c r="J51" s="674"/>
      <c r="K51" s="674"/>
      <c r="L51" s="674"/>
      <c r="M51" s="674"/>
      <c r="N51" s="674"/>
    </row>
    <row r="52" spans="1:14" hidden="1">
      <c r="A52" s="707" t="s">
        <v>54</v>
      </c>
      <c r="B52" s="712" t="s">
        <v>1551</v>
      </c>
      <c r="C52" s="1984" t="s">
        <v>1252</v>
      </c>
      <c r="D52" s="1736" t="s">
        <v>311</v>
      </c>
      <c r="E52" s="1754"/>
      <c r="F52" s="1765"/>
      <c r="G52" s="1781"/>
      <c r="H52" s="707"/>
      <c r="I52" s="391"/>
      <c r="J52" s="674"/>
      <c r="K52" s="674"/>
      <c r="L52" s="674"/>
      <c r="M52" s="674"/>
      <c r="N52" s="674"/>
    </row>
    <row r="53" spans="1:14" hidden="1">
      <c r="A53" s="707"/>
      <c r="B53" s="712" t="s">
        <v>1238</v>
      </c>
      <c r="C53" s="1985"/>
      <c r="D53" s="701" t="s">
        <v>1238</v>
      </c>
      <c r="E53" s="1756"/>
      <c r="F53" s="1759"/>
      <c r="G53" s="1773"/>
      <c r="H53" s="707"/>
      <c r="I53" s="391"/>
    </row>
    <row r="54" spans="1:14" hidden="1">
      <c r="A54" s="707" t="s">
        <v>38</v>
      </c>
      <c r="B54" s="712" t="s">
        <v>581</v>
      </c>
      <c r="C54" s="1985"/>
      <c r="D54" s="1725" t="s">
        <v>581</v>
      </c>
      <c r="E54" s="1757"/>
      <c r="F54" s="1767"/>
      <c r="G54" s="1783"/>
      <c r="H54" s="707"/>
      <c r="I54" s="391"/>
    </row>
    <row r="55" spans="1:14" hidden="1">
      <c r="A55" s="707" t="s">
        <v>47</v>
      </c>
      <c r="B55" s="712" t="s">
        <v>582</v>
      </c>
      <c r="C55" s="1985"/>
      <c r="D55" s="701" t="s">
        <v>582</v>
      </c>
      <c r="E55" s="1756"/>
      <c r="F55" s="1759"/>
      <c r="G55" s="1773"/>
      <c r="H55" s="707"/>
      <c r="I55" s="391"/>
    </row>
    <row r="56" spans="1:14" hidden="1">
      <c r="A56" s="707" t="s">
        <v>47</v>
      </c>
      <c r="B56" s="712" t="s">
        <v>583</v>
      </c>
      <c r="C56" s="1985"/>
      <c r="D56" s="1725" t="s">
        <v>583</v>
      </c>
      <c r="E56" s="1757"/>
      <c r="F56" s="1767"/>
      <c r="G56" s="1783"/>
      <c r="H56" s="707"/>
      <c r="I56" s="391"/>
    </row>
    <row r="57" spans="1:14" hidden="1">
      <c r="A57" s="707" t="s">
        <v>38</v>
      </c>
      <c r="B57" s="712" t="s">
        <v>1552</v>
      </c>
      <c r="C57" s="1985"/>
      <c r="D57" s="701" t="s">
        <v>537</v>
      </c>
      <c r="E57" s="1756"/>
      <c r="F57" s="1759"/>
      <c r="G57" s="1773"/>
      <c r="H57" s="707"/>
      <c r="I57" s="391"/>
    </row>
    <row r="58" spans="1:14" ht="15" hidden="1" thickBot="1">
      <c r="A58" s="707" t="s">
        <v>34</v>
      </c>
      <c r="B58" s="712" t="s">
        <v>1553</v>
      </c>
      <c r="C58" s="1986"/>
      <c r="D58" s="1743" t="s">
        <v>584</v>
      </c>
      <c r="E58" s="1784"/>
      <c r="F58" s="1785"/>
      <c r="G58" s="1786"/>
      <c r="H58" s="707"/>
      <c r="I58" s="391"/>
    </row>
    <row r="59" spans="1:14" hidden="1">
      <c r="A59" s="707" t="s">
        <v>34</v>
      </c>
      <c r="B59" s="712" t="s">
        <v>1554</v>
      </c>
      <c r="C59" s="713"/>
      <c r="D59" s="701"/>
      <c r="E59" s="702"/>
      <c r="F59" s="702"/>
      <c r="G59" s="714"/>
      <c r="H59" s="707"/>
      <c r="I59" s="391"/>
    </row>
    <row r="60" spans="1:14" hidden="1">
      <c r="A60" s="707" t="s">
        <v>54</v>
      </c>
      <c r="B60" s="712" t="s">
        <v>1555</v>
      </c>
      <c r="C60" s="713"/>
      <c r="D60" s="701"/>
      <c r="E60" s="702"/>
      <c r="F60" s="702"/>
      <c r="G60" s="714"/>
      <c r="H60" s="707"/>
      <c r="I60" s="391"/>
    </row>
    <row r="61" spans="1:14" hidden="1">
      <c r="A61" s="701"/>
      <c r="B61" s="712" t="s">
        <v>1556</v>
      </c>
      <c r="C61" s="713"/>
      <c r="D61" s="701"/>
      <c r="E61" s="715"/>
      <c r="F61" s="715"/>
      <c r="G61" s="715"/>
      <c r="H61" s="701"/>
      <c r="I61" s="185"/>
    </row>
    <row r="62" spans="1:14">
      <c r="A62" s="701"/>
      <c r="B62" s="701"/>
      <c r="C62" s="701"/>
      <c r="D62" s="701"/>
      <c r="E62" s="701"/>
      <c r="F62" s="701"/>
      <c r="G62" s="701"/>
      <c r="H62" s="701"/>
    </row>
    <row r="63" spans="1:14">
      <c r="A63" s="701"/>
      <c r="B63" s="701"/>
      <c r="C63" s="701"/>
      <c r="D63" s="701"/>
      <c r="E63" s="701"/>
      <c r="F63" s="701"/>
      <c r="G63" s="701"/>
      <c r="H63" s="701"/>
    </row>
    <row r="64" spans="1:14">
      <c r="A64" s="701"/>
      <c r="B64" s="701"/>
      <c r="C64" s="701"/>
      <c r="D64" s="701"/>
      <c r="E64" s="701"/>
      <c r="F64" s="701"/>
      <c r="G64" s="701"/>
      <c r="H64" s="701"/>
    </row>
    <row r="65" spans="1:8">
      <c r="A65" s="701"/>
      <c r="B65" s="701"/>
      <c r="C65" s="701"/>
      <c r="D65" s="701"/>
      <c r="E65" s="701"/>
      <c r="F65" s="701"/>
      <c r="G65" s="701"/>
      <c r="H65" s="701"/>
    </row>
    <row r="66" spans="1:8">
      <c r="A66" s="701"/>
      <c r="B66" s="701"/>
      <c r="C66" s="701"/>
      <c r="D66" s="701"/>
      <c r="E66" s="701"/>
      <c r="F66" s="701"/>
      <c r="G66" s="701"/>
      <c r="H66" s="701"/>
    </row>
    <row r="67" spans="1:8">
      <c r="A67" s="701"/>
      <c r="B67" s="701"/>
      <c r="C67" s="701"/>
      <c r="D67" s="701"/>
      <c r="E67" s="701"/>
      <c r="F67" s="701"/>
      <c r="G67" s="701"/>
      <c r="H67" s="701"/>
    </row>
  </sheetData>
  <sheetProtection algorithmName="SHA-512" hashValue="M0mlNC79APIfZJGJxd8m7FeEws5aLHr2+YkmL7xLp2/38wmAbvAeAh3I2pdqYll9o4cJ3cq+TEfRe2a9htuBKg==" saltValue="maXVfxbXdXKos04BPQcETA==" spinCount="100000" sheet="1" formatColumns="0" formatRows="0" selectLockedCells="1" autoFilter="0"/>
  <mergeCells count="29">
    <mergeCell ref="H7:I8"/>
    <mergeCell ref="C20:C22"/>
    <mergeCell ref="C52:C58"/>
    <mergeCell ref="C27:C33"/>
    <mergeCell ref="H13:I13"/>
    <mergeCell ref="H12:I12"/>
    <mergeCell ref="D13:F13"/>
    <mergeCell ref="D15:F15"/>
    <mergeCell ref="C50:C51"/>
    <mergeCell ref="C36:C38"/>
    <mergeCell ref="E41:E42"/>
    <mergeCell ref="E44:E49"/>
    <mergeCell ref="C39:C44"/>
    <mergeCell ref="A1:M1"/>
    <mergeCell ref="F9:G9"/>
    <mergeCell ref="D9:D11"/>
    <mergeCell ref="F10:G10"/>
    <mergeCell ref="F11:G11"/>
    <mergeCell ref="L3:M3"/>
    <mergeCell ref="L4:M4"/>
    <mergeCell ref="E3:G3"/>
    <mergeCell ref="E4:G4"/>
    <mergeCell ref="E6:G6"/>
    <mergeCell ref="H6:I6"/>
    <mergeCell ref="I3:J3"/>
    <mergeCell ref="D7:D8"/>
    <mergeCell ref="I4:K4"/>
    <mergeCell ref="E7:G8"/>
    <mergeCell ref="E5:G5"/>
  </mergeCells>
  <conditionalFormatting sqref="G20:G58">
    <cfRule type="expression" dxfId="532" priority="2">
      <formula>AND(F20&lt;&gt;"Upfront",G20=0)</formula>
    </cfRule>
  </conditionalFormatting>
  <conditionalFormatting sqref="G21">
    <cfRule type="expression" dxfId="531" priority="4">
      <formula>AND(F21="Upfront",G21&gt;0)</formula>
    </cfRule>
  </conditionalFormatting>
  <conditionalFormatting sqref="G23">
    <cfRule type="expression" dxfId="530" priority="3">
      <formula>AND(F23="Upfront",G23&gt;0)</formula>
    </cfRule>
  </conditionalFormatting>
  <conditionalFormatting sqref="F20:G58">
    <cfRule type="expression" dxfId="529" priority="7">
      <formula>ISBLANK(F20)</formula>
    </cfRule>
  </conditionalFormatting>
  <dataValidations count="20">
    <dataValidation type="list" allowBlank="1" showInputMessage="1" showErrorMessage="1" sqref="L3:M3" xr:uid="{00000000-0002-0000-0200-000000000000}">
      <formula1>VERSION</formula1>
    </dataValidation>
    <dataValidation type="list" allowBlank="1" showInputMessage="1" showErrorMessage="1" sqref="E50:E61 E38:E41 E43:E44 E20:E23 E36 E27:E33" xr:uid="{00000000-0002-0000-0200-000001000000}">
      <formula1>PROCUREMENTENTITY</formula1>
    </dataValidation>
    <dataValidation type="list" allowBlank="1" showInputMessage="1" showErrorMessage="1" sqref="F50:F61 F38:F41 F43:F44 F20:F23 F36 F27:F33" xr:uid="{00000000-0002-0000-0200-000002000000}">
      <formula1>TypeOfPay</formula1>
    </dataValidation>
    <dataValidation type="list" allowBlank="1" showInputMessage="1" showErrorMessage="1" sqref="G20:G23 G27:G33 G36 G38:G41 G43:G44 G50:G58" xr:uid="{00000000-0002-0000-0200-000003000000}">
      <formula1>INDIRECT(SUBSTITUTE(SUBSTITUTE(SUBSTITUTE(SUBSTITUTE(SUBSTITUTE(SUBSTITUTE(SUBSTITUTE(SUBSTITUTE(SUBSTITUTE(SUBSTITUTE(SUBSTITUTE(F20,",",""),":",""),"/"," "),"(",""),")",""),"-"," "),"  "," ")," ","_"),"&amp;",""),"__","_"),"+","_"))</formula1>
    </dataValidation>
    <dataValidation type="list" allowBlank="1" showInputMessage="1" showErrorMessage="1" sqref="G24 G34 G37 G42 G45" xr:uid="{00000000-0002-0000-0200-000004000000}">
      <formula1>INDIRECT(SUBSTITUTE(SUBSTITUTE(SUBSTITUTE(SUBSTITUTE(SUBSTITUTE(SUBSTITUTE(SUBSTITUTE(SUBSTITUTE(SUBSTITUTE(SUBSTITUTE(SUBSTITUTE(F23,",",""),":",""),"/"," "),"(",""),")",""),"-"," "),"  "," ")," ","_"),"&amp;",""),"__","_"),"+","_"))</formula1>
    </dataValidation>
    <dataValidation type="list" allowBlank="1" showInputMessage="1" showErrorMessage="1" sqref="G25 G35 G46" xr:uid="{00000000-0002-0000-0200-000005000000}">
      <formula1>INDIRECT(SUBSTITUTE(SUBSTITUTE(SUBSTITUTE(SUBSTITUTE(SUBSTITUTE(SUBSTITUTE(SUBSTITUTE(SUBSTITUTE(SUBSTITUTE(SUBSTITUTE(SUBSTITUTE(F23,",",""),":",""),"/"," "),"(",""),")",""),"-"," "),"  "," ")," ","_"),"&amp;",""),"__","_"),"+","_"))</formula1>
    </dataValidation>
    <dataValidation type="list" allowBlank="1" showInputMessage="1" showErrorMessage="1" sqref="G26 G47" xr:uid="{00000000-0002-0000-0200-000006000000}">
      <formula1>INDIRECT(SUBSTITUTE(SUBSTITUTE(SUBSTITUTE(SUBSTITUTE(SUBSTITUTE(SUBSTITUTE(SUBSTITUTE(SUBSTITUTE(SUBSTITUTE(SUBSTITUTE(SUBSTITUTE(F23,",",""),":",""),"/"," "),"(",""),")",""),"-"," "),"  "," ")," ","_"),"&amp;",""),"__","_"),"+","_"))</formula1>
    </dataValidation>
    <dataValidation type="list" allowBlank="1" showInputMessage="1" showErrorMessage="1" sqref="G48" xr:uid="{00000000-0002-0000-0200-000007000000}">
      <formula1>INDIRECT(SUBSTITUTE(SUBSTITUTE(SUBSTITUTE(SUBSTITUTE(SUBSTITUTE(SUBSTITUTE(SUBSTITUTE(SUBSTITUTE(SUBSTITUTE(SUBSTITUTE(SUBSTITUTE(F44,",",""),":",""),"/"," "),"(",""),")",""),"-"," "),"  "," ")," ","_"),"&amp;",""),"__","_"),"+","_"))</formula1>
    </dataValidation>
    <dataValidation type="list" allowBlank="1" showInputMessage="1" showErrorMessage="1" sqref="G49" xr:uid="{00000000-0002-0000-0200-000008000000}">
      <formula1>INDIRECT(SUBSTITUTE(SUBSTITUTE(SUBSTITUTE(SUBSTITUTE(SUBSTITUTE(SUBSTITUTE(SUBSTITUTE(SUBSTITUTE(SUBSTITUTE(SUBSTITUTE(SUBSTITUTE(F44,",",""),":",""),"/"," "),"(",""),")",""),"-"," "),"  "," ")," ","_"),"&amp;",""),"__","_"),"+","_"))</formula1>
    </dataValidation>
    <dataValidation type="list" allowBlank="1" showInputMessage="1" showErrorMessage="1" promptTitle="Select From Dropdown" prompt="List Only" sqref="E3:G3" xr:uid="{00000000-0002-0000-0200-000009000000}">
      <formula1>COUNTRY_</formula1>
    </dataValidation>
    <dataValidation type="list" allowBlank="1" showInputMessage="1" showErrorMessage="1" sqref="G13" xr:uid="{00000000-0002-0000-0200-00000A000000}">
      <formula1>INDIRECT(KEY)</formula1>
    </dataValidation>
    <dataValidation type="list" allowBlank="1" showInputMessage="1" showErrorMessage="1" promptTitle="Select From Dropdown" prompt="List Only" sqref="E5:G5" xr:uid="{00000000-0002-0000-0200-00000B000000}">
      <formula1>"USD,EUR"</formula1>
    </dataValidation>
    <dataValidation type="list" allowBlank="1" showInputMessage="1" showErrorMessage="1" sqref="E7:G8" xr:uid="{00000000-0002-0000-0200-00000C000000}">
      <formula1>INDIRECT(KEY_1)</formula1>
    </dataValidation>
    <dataValidation type="list" allowBlank="1" showInputMessage="1" showErrorMessage="1" sqref="K7:K12" xr:uid="{201DAEF3-2801-483E-ACDC-26B74C86CD2E}">
      <formula1>"A,B,C,D,E,F"</formula1>
    </dataValidation>
    <dataValidation type="date" operator="greaterThan" allowBlank="1" showInputMessage="1" showErrorMessage="1" error="Input dates later than 05/22/2020" promptTitle="Date Format" prompt="MM/DD/YYYY" sqref="L7:M12" xr:uid="{36169452-F1A3-4FA5-92FF-6C85CFCFB444}">
      <formula1>43969</formula1>
    </dataValidation>
    <dataValidation type="date" operator="lessThan" allowBlank="1" showInputMessage="1" showErrorMessage="1" error="Input dates between 01/01/2021 and 12/31/2024" promptTitle="Date Format" prompt="MM/DD/YYYY before 12/31/2024" sqref="G15" xr:uid="{F908B657-3CE9-46C5-9AFC-D1FAD62D231F}">
      <formula1>45657</formula1>
    </dataValidation>
    <dataValidation type="date" operator="greaterThan" allowBlank="1" showInputMessage="1" showErrorMessage="1" error="Input dates between 01/01/2021 and 12/31/2024" promptTitle="Date Format" prompt="MM/DD/YYYY after 01/01/2021" sqref="G14" xr:uid="{9695E648-25D0-4D98-AD68-5A73CF4095B2}">
      <formula1>44196</formula1>
    </dataValidation>
    <dataValidation allowBlank="1" showInputMessage="1" showErrorMessage="1" promptTitle="Enter PR Name" prompt="Make manual entry in case NA in list" sqref="H7:I8" xr:uid="{E95D2BF9-4BAF-44C3-9C02-82A991D07FF9}"/>
    <dataValidation allowBlank="1" showInputMessage="1" showErrorMessage="1" promptTitle="Enetr Grant Number" prompt="Enter manually in case NA in list" sqref="H13:I13" xr:uid="{BF143B18-5C8B-4EA5-8C6B-A0F2CA7E5F93}"/>
    <dataValidation allowBlank="1" showInputMessage="1" showErrorMessage="1" prompt="Enter Free Text" sqref="F9:G9 F10:G10 F11:G11" xr:uid="{81B7EC53-C787-46D0-8D6B-5DB79F450F31}"/>
  </dataValidations>
  <pageMargins left="0.25" right="0.25" top="0.75" bottom="0.75" header="0.3" footer="0.3"/>
  <pageSetup paperSize="9" scale="62"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promptTitle="Select From Dropdown" prompt="List Only" xr:uid="{00000000-0002-0000-0200-00000E000000}">
          <x14:formula1>
            <xm:f>PR_Countries!$J$2:$J$5</xm:f>
          </x14:formula1>
          <xm:sqref>E6:G6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CC00"/>
  </sheetPr>
  <dimension ref="A1:BI230"/>
  <sheetViews>
    <sheetView showGridLines="0" zoomScale="95" zoomScaleNormal="95" workbookViewId="0">
      <selection activeCell="A7" sqref="A7:J7"/>
    </sheetView>
  </sheetViews>
  <sheetFormatPr defaultColWidth="8.81640625" defaultRowHeight="14.5"/>
  <cols>
    <col min="1" max="1" width="8.81640625" style="105"/>
    <col min="2" max="3" width="20.08984375" style="105" customWidth="1"/>
    <col min="4" max="6" width="15.36328125" style="105" customWidth="1"/>
    <col min="7" max="7" width="16.81640625" style="105" customWidth="1"/>
    <col min="8" max="8" width="17.36328125" style="105" customWidth="1"/>
    <col min="9" max="9" width="15.36328125" style="105" customWidth="1"/>
    <col min="10" max="10" width="16.36328125" style="105" customWidth="1"/>
    <col min="11" max="13" width="14.36328125" style="105" customWidth="1"/>
    <col min="14" max="14" width="14.36328125" style="959" customWidth="1"/>
    <col min="15" max="19" width="14.36328125" style="676" customWidth="1"/>
    <col min="20" max="21" width="14.36328125" style="959" customWidth="1"/>
    <col min="22" max="26" width="14.36328125" style="676" customWidth="1"/>
    <col min="27" max="28" width="14.36328125" style="959" customWidth="1"/>
    <col min="29" max="33" width="14.36328125" style="676" customWidth="1"/>
    <col min="34" max="34" width="14.81640625" style="959" bestFit="1" customWidth="1"/>
    <col min="35" max="35" width="14.36328125" style="676" customWidth="1"/>
    <col min="36" max="36" width="19.08984375" style="959" bestFit="1" customWidth="1"/>
    <col min="37" max="37" width="8.81640625" style="105"/>
    <col min="38" max="38" width="83.36328125" style="105" customWidth="1"/>
    <col min="39" max="46" width="8.81640625" style="105"/>
    <col min="47" max="47" width="20.36328125" style="105" hidden="1" customWidth="1"/>
    <col min="48" max="48" width="27" style="105" hidden="1" customWidth="1"/>
    <col min="49" max="60" width="17.36328125" style="105" hidden="1" customWidth="1"/>
    <col min="61" max="61" width="0" style="105" hidden="1" customWidth="1"/>
    <col min="62" max="16384" width="8.81640625" style="105"/>
  </cols>
  <sheetData>
    <row r="1" spans="1:60" ht="24" customHeight="1" thickBot="1">
      <c r="A1" s="2879" t="s">
        <v>7633</v>
      </c>
      <c r="B1" s="2880"/>
      <c r="C1" s="2880"/>
      <c r="D1" s="2880"/>
      <c r="E1" s="2880"/>
      <c r="F1" s="2880"/>
      <c r="G1" s="2880"/>
      <c r="H1" s="2880"/>
      <c r="I1" s="2880"/>
      <c r="J1" s="2880"/>
      <c r="K1" s="2881"/>
      <c r="L1" s="1716"/>
      <c r="M1" s="2647"/>
      <c r="N1" s="2644" t="s">
        <v>383</v>
      </c>
      <c r="O1" s="2644"/>
      <c r="P1" s="2877" t="s">
        <v>523</v>
      </c>
      <c r="Q1" s="2877"/>
      <c r="R1" s="1175"/>
      <c r="S1" s="1097"/>
      <c r="T1" s="968"/>
      <c r="U1" s="968"/>
      <c r="V1" s="1097"/>
      <c r="W1" s="1097"/>
      <c r="X1" s="1097"/>
      <c r="Y1" s="1097"/>
      <c r="Z1" s="1097"/>
      <c r="AA1" s="968"/>
      <c r="AB1" s="968"/>
      <c r="AC1" s="1097"/>
      <c r="AD1" s="1097"/>
      <c r="AE1" s="1097"/>
      <c r="AF1" s="1097"/>
      <c r="AG1" s="1097"/>
      <c r="AH1" s="968"/>
      <c r="AI1" s="1097"/>
    </row>
    <row r="2" spans="1:60" ht="15" thickBot="1">
      <c r="A2" s="106"/>
      <c r="B2" s="106"/>
      <c r="C2" s="106"/>
      <c r="D2" s="106"/>
      <c r="E2" s="106"/>
      <c r="F2" s="106"/>
      <c r="G2" s="106"/>
      <c r="H2" s="106"/>
      <c r="I2" s="106"/>
      <c r="J2" s="106"/>
      <c r="K2" s="106"/>
      <c r="L2" s="144"/>
      <c r="M2" s="2649"/>
      <c r="N2" s="2645"/>
      <c r="O2" s="2645"/>
      <c r="P2" s="2878"/>
      <c r="Q2" s="2878"/>
      <c r="R2" s="1175"/>
      <c r="S2" s="1097"/>
      <c r="T2" s="968"/>
      <c r="U2" s="968"/>
      <c r="V2" s="1097"/>
      <c r="W2" s="1097"/>
      <c r="X2" s="1097"/>
      <c r="Y2" s="1097"/>
      <c r="Z2" s="1097"/>
      <c r="AA2" s="968"/>
      <c r="AB2" s="968"/>
      <c r="AC2" s="1097"/>
      <c r="AD2" s="1097"/>
      <c r="AE2" s="1097"/>
      <c r="AF2" s="1097"/>
      <c r="AG2" s="1097"/>
      <c r="AH2" s="968"/>
      <c r="AI2" s="1097"/>
    </row>
    <row r="3" spans="1:60" ht="15" customHeight="1" thickBot="1">
      <c r="A3" s="286"/>
      <c r="B3" s="2654" t="s">
        <v>0</v>
      </c>
      <c r="C3" s="2636">
        <f>SETUP!$E$3</f>
        <v>0</v>
      </c>
      <c r="D3" s="2636"/>
      <c r="E3" s="2636"/>
      <c r="F3" s="287"/>
      <c r="G3" s="2641" t="s">
        <v>1</v>
      </c>
      <c r="H3" s="2636">
        <f>GRAN_NO</f>
        <v>0</v>
      </c>
      <c r="I3" s="2636"/>
      <c r="J3" s="2636"/>
      <c r="K3" s="2637"/>
      <c r="L3" s="143"/>
      <c r="M3" s="124"/>
      <c r="N3" s="1117"/>
      <c r="O3" s="1104"/>
      <c r="P3" s="1104"/>
      <c r="Q3" s="1104"/>
      <c r="R3" s="1097"/>
      <c r="S3" s="1097"/>
      <c r="T3" s="968"/>
      <c r="U3" s="968"/>
      <c r="V3" s="1097"/>
      <c r="W3" s="1097"/>
      <c r="X3" s="1097"/>
      <c r="Y3" s="1097"/>
      <c r="Z3" s="1097"/>
      <c r="AA3" s="968"/>
      <c r="AB3" s="968"/>
      <c r="AC3" s="1097"/>
      <c r="AD3" s="1097"/>
      <c r="AE3" s="1097"/>
      <c r="AF3" s="1097"/>
      <c r="AG3" s="1097"/>
      <c r="AH3" s="968"/>
      <c r="AI3" s="1097"/>
    </row>
    <row r="4" spans="1:60" ht="15.75" customHeight="1" thickTop="1" thickBot="1">
      <c r="A4" s="290"/>
      <c r="B4" s="2655"/>
      <c r="C4" s="2772"/>
      <c r="D4" s="2772"/>
      <c r="E4" s="2772"/>
      <c r="F4" s="291"/>
      <c r="G4" s="2661"/>
      <c r="H4" s="2770"/>
      <c r="I4" s="2770"/>
      <c r="J4" s="2770"/>
      <c r="K4" s="2771"/>
      <c r="L4" s="143"/>
      <c r="M4" s="121"/>
      <c r="N4" s="968"/>
      <c r="O4" s="1097"/>
      <c r="P4" s="1097"/>
      <c r="Q4" s="1097"/>
      <c r="R4" s="1097"/>
      <c r="S4" s="1097"/>
      <c r="T4" s="968"/>
      <c r="U4" s="968"/>
      <c r="V4" s="1097"/>
      <c r="W4" s="1097"/>
      <c r="X4" s="1097"/>
      <c r="Y4" s="1097"/>
      <c r="Z4" s="1097"/>
      <c r="AA4" s="968"/>
      <c r="AB4" s="968"/>
      <c r="AC4" s="1097"/>
      <c r="AD4" s="1097"/>
      <c r="AE4" s="1097"/>
      <c r="AF4" s="1097"/>
      <c r="AG4" s="1097"/>
      <c r="AH4" s="968"/>
      <c r="AI4" s="1097"/>
    </row>
    <row r="5" spans="1:60" ht="15.5" thickTop="1" thickBot="1">
      <c r="A5" s="290"/>
      <c r="B5" s="2650" t="s">
        <v>2</v>
      </c>
      <c r="C5" s="2770" t="str">
        <f>SETUP!$E$6</f>
        <v>HIV</v>
      </c>
      <c r="D5" s="2770"/>
      <c r="E5" s="2770"/>
      <c r="F5" s="292"/>
      <c r="G5" s="2766" t="s">
        <v>3</v>
      </c>
      <c r="H5" s="2656">
        <f>SETUP!E7</f>
        <v>0</v>
      </c>
      <c r="I5" s="2656"/>
      <c r="J5" s="2656"/>
      <c r="K5" s="2657"/>
      <c r="L5" s="143"/>
      <c r="M5" s="121"/>
      <c r="N5" s="968"/>
      <c r="O5" s="1097"/>
      <c r="P5" s="1097"/>
      <c r="Q5" s="1097"/>
      <c r="R5" s="1097"/>
      <c r="S5" s="1097"/>
      <c r="T5" s="968"/>
      <c r="U5" s="968"/>
      <c r="V5" s="1097"/>
      <c r="W5" s="1097"/>
      <c r="X5" s="1097"/>
      <c r="Y5" s="1097"/>
      <c r="Z5" s="1097"/>
      <c r="AA5" s="968"/>
      <c r="AB5" s="968"/>
      <c r="AC5" s="1097"/>
      <c r="AD5" s="1097"/>
      <c r="AE5" s="1097"/>
      <c r="AF5" s="1097"/>
      <c r="AG5" s="1097"/>
      <c r="AH5" s="968"/>
      <c r="AI5" s="1097"/>
    </row>
    <row r="6" spans="1:60" ht="15.5" thickTop="1" thickBot="1">
      <c r="A6" s="293"/>
      <c r="B6" s="2651"/>
      <c r="C6" s="2658"/>
      <c r="D6" s="2658"/>
      <c r="E6" s="2658"/>
      <c r="F6" s="294"/>
      <c r="G6" s="2767"/>
      <c r="H6" s="2658"/>
      <c r="I6" s="2658"/>
      <c r="J6" s="2658"/>
      <c r="K6" s="2659"/>
      <c r="L6" s="143"/>
      <c r="M6" s="121"/>
      <c r="N6" s="968"/>
      <c r="O6" s="1097"/>
      <c r="P6" s="1097"/>
      <c r="Q6" s="1097"/>
      <c r="R6" s="1097"/>
      <c r="S6" s="1097"/>
      <c r="T6" s="968"/>
      <c r="U6" s="968"/>
      <c r="V6" s="1097"/>
      <c r="W6" s="1097"/>
      <c r="X6" s="1097"/>
      <c r="Y6" s="1097"/>
      <c r="Z6" s="1097"/>
      <c r="AA6" s="968"/>
      <c r="AB6" s="968"/>
      <c r="AC6" s="1097"/>
      <c r="AD6" s="1097"/>
      <c r="AE6" s="1097"/>
      <c r="AF6" s="1097"/>
      <c r="AG6" s="1097"/>
      <c r="AH6" s="968"/>
      <c r="AI6" s="1097"/>
    </row>
    <row r="7" spans="1:60" ht="15" thickBot="1">
      <c r="A7" s="203"/>
      <c r="B7" s="203"/>
      <c r="C7" s="203"/>
      <c r="D7" s="203"/>
      <c r="E7" s="203"/>
      <c r="F7" s="203"/>
      <c r="G7" s="203"/>
      <c r="H7" s="203"/>
      <c r="I7" s="203"/>
      <c r="J7" s="203"/>
      <c r="K7" s="203"/>
      <c r="L7" s="203"/>
      <c r="M7" s="136"/>
      <c r="N7" s="968"/>
      <c r="O7" s="1097"/>
      <c r="P7" s="1097"/>
      <c r="Q7" s="1097"/>
      <c r="R7" s="1097"/>
      <c r="S7" s="1097"/>
      <c r="T7" s="968"/>
      <c r="U7" s="968"/>
      <c r="V7" s="1097"/>
      <c r="W7" s="1097"/>
      <c r="X7" s="1097"/>
      <c r="Y7" s="1097"/>
      <c r="Z7" s="1097"/>
      <c r="AA7" s="968"/>
      <c r="AB7" s="968"/>
      <c r="AC7" s="1097"/>
      <c r="AD7" s="1097"/>
      <c r="AE7" s="1097"/>
      <c r="AF7" s="1097"/>
      <c r="AG7" s="1097"/>
      <c r="AH7" s="968"/>
      <c r="AI7" s="1097"/>
    </row>
    <row r="8" spans="1:60" ht="15" customHeight="1" thickBot="1">
      <c r="A8" s="2757">
        <v>1</v>
      </c>
      <c r="B8" s="2759" t="s">
        <v>524</v>
      </c>
      <c r="C8" s="2759"/>
      <c r="D8" s="2759"/>
      <c r="E8" s="2759"/>
      <c r="F8" s="379" t="s">
        <v>311</v>
      </c>
      <c r="G8" s="380"/>
      <c r="H8" s="2647" t="s">
        <v>525</v>
      </c>
      <c r="I8" s="2644" t="s">
        <v>526</v>
      </c>
      <c r="J8" s="2644" t="s">
        <v>6895</v>
      </c>
      <c r="K8"/>
      <c r="L8"/>
      <c r="M8" s="121"/>
      <c r="N8" s="968"/>
      <c r="O8" s="1097"/>
      <c r="P8" s="1097"/>
      <c r="Q8" s="1097"/>
      <c r="R8" s="1097"/>
      <c r="S8" s="1097"/>
      <c r="T8" s="968"/>
      <c r="U8" s="968"/>
      <c r="V8" s="1097"/>
      <c r="W8" s="1097"/>
      <c r="X8" s="1097"/>
      <c r="Y8" s="1097"/>
      <c r="Z8" s="1097"/>
      <c r="AA8" s="968"/>
      <c r="AB8" s="968"/>
      <c r="AC8" s="1097"/>
      <c r="AD8" s="1097"/>
      <c r="AE8" s="1097"/>
      <c r="AF8" s="1097"/>
      <c r="AG8" s="1097"/>
      <c r="AH8" s="968"/>
      <c r="AI8" s="1097"/>
    </row>
    <row r="9" spans="1:60" ht="26.65" customHeight="1" thickBot="1">
      <c r="A9" s="2758"/>
      <c r="B9" s="2760"/>
      <c r="C9" s="2760"/>
      <c r="D9" s="2760"/>
      <c r="E9" s="2760"/>
      <c r="F9" s="381"/>
      <c r="G9" s="382"/>
      <c r="H9" s="2805"/>
      <c r="I9" s="2645"/>
      <c r="J9" s="2804"/>
      <c r="K9"/>
      <c r="L9"/>
      <c r="M9" s="121"/>
      <c r="N9" s="968"/>
      <c r="O9" s="1097"/>
      <c r="P9" s="1097"/>
      <c r="Q9" s="1097"/>
      <c r="R9" s="1097"/>
      <c r="S9" s="1097"/>
      <c r="T9" s="968"/>
      <c r="U9" s="968"/>
      <c r="V9" s="1097"/>
      <c r="W9" s="1097"/>
      <c r="X9" s="1097"/>
      <c r="Y9" s="1097"/>
      <c r="Z9" s="1097"/>
      <c r="AA9" s="968"/>
      <c r="AB9" s="968"/>
      <c r="AC9" s="1097"/>
      <c r="AD9" s="1097"/>
      <c r="AE9" s="1097"/>
      <c r="AF9" s="1097"/>
      <c r="AG9" s="1097"/>
      <c r="AH9" s="968"/>
      <c r="AI9" s="1097"/>
    </row>
    <row r="10" spans="1:60" ht="120" customHeight="1">
      <c r="A10" s="2080" t="s">
        <v>6902</v>
      </c>
      <c r="B10" s="2081"/>
      <c r="C10" s="2081"/>
      <c r="D10" s="2081"/>
      <c r="E10" s="2081"/>
      <c r="F10" s="2081"/>
      <c r="G10" s="2081"/>
      <c r="H10" s="2081"/>
      <c r="I10" s="2081"/>
      <c r="J10" s="2081"/>
      <c r="K10" s="2081"/>
      <c r="L10" s="2081"/>
      <c r="M10" s="2145"/>
      <c r="N10" s="1075"/>
      <c r="O10" s="1160"/>
      <c r="P10" s="1160"/>
      <c r="Q10" s="1160"/>
      <c r="R10" s="1160"/>
      <c r="S10" s="1160"/>
      <c r="T10" s="1075"/>
      <c r="U10" s="1075"/>
      <c r="V10" s="1160"/>
      <c r="W10" s="1160"/>
      <c r="X10" s="1160"/>
      <c r="Y10" s="1160"/>
      <c r="Z10" s="1160"/>
      <c r="AA10" s="1075"/>
      <c r="AB10" s="1075"/>
      <c r="AC10" s="1160"/>
      <c r="AD10" s="1160"/>
      <c r="AE10" s="1160"/>
      <c r="AF10" s="1160"/>
      <c r="AG10" s="1160"/>
      <c r="AH10" s="1075"/>
      <c r="AI10" s="1160"/>
    </row>
    <row r="11" spans="1:60" ht="16" thickBot="1">
      <c r="A11" s="140"/>
      <c r="B11" s="161"/>
      <c r="C11" s="161"/>
      <c r="D11" s="162"/>
      <c r="E11" s="162"/>
      <c r="F11" s="163"/>
      <c r="G11" s="163"/>
      <c r="H11" s="163"/>
      <c r="I11" s="338"/>
      <c r="J11" s="338"/>
      <c r="K11" s="338"/>
      <c r="L11" s="338"/>
      <c r="M11" s="338"/>
      <c r="N11" s="1118"/>
      <c r="O11" s="1168"/>
      <c r="P11" s="1168"/>
      <c r="Q11" s="1168"/>
      <c r="R11" s="1168"/>
      <c r="S11" s="1168"/>
      <c r="T11" s="1118"/>
      <c r="U11" s="1118"/>
      <c r="V11" s="1168"/>
      <c r="W11" s="1168"/>
      <c r="X11" s="1168"/>
      <c r="Y11" s="1168"/>
      <c r="Z11" s="1168"/>
      <c r="AA11" s="1118"/>
      <c r="AB11" s="1118"/>
      <c r="AC11" s="1168"/>
      <c r="AD11" s="1168"/>
      <c r="AE11" s="1168"/>
      <c r="AF11" s="1168"/>
      <c r="AG11" s="1168"/>
      <c r="AH11" s="1075"/>
      <c r="AI11" s="1099"/>
      <c r="AW11" s="2795" t="s">
        <v>1540</v>
      </c>
      <c r="AX11" s="2795"/>
      <c r="AY11" s="2795"/>
      <c r="AZ11" s="2795"/>
      <c r="BA11" s="2795"/>
      <c r="BB11" s="2795"/>
      <c r="BC11" s="2795"/>
      <c r="BD11" s="2795"/>
      <c r="BE11" s="2795"/>
      <c r="BF11" s="2795"/>
      <c r="BG11" s="2795"/>
      <c r="BH11" s="2795"/>
    </row>
    <row r="12" spans="1:60" s="345" customFormat="1" ht="15" thickBot="1">
      <c r="A12" s="2740" t="s">
        <v>1233</v>
      </c>
      <c r="B12" s="2738"/>
      <c r="C12" s="2738"/>
      <c r="D12" s="2738"/>
      <c r="E12" s="2740" t="s">
        <v>196</v>
      </c>
      <c r="F12" s="2738"/>
      <c r="G12" s="2738"/>
      <c r="H12" s="2741"/>
      <c r="I12" s="2859" t="s">
        <v>251</v>
      </c>
      <c r="J12" s="2860"/>
      <c r="K12" s="2861"/>
      <c r="L12" s="2736" t="s">
        <v>151</v>
      </c>
      <c r="M12" s="2741" t="s">
        <v>49</v>
      </c>
      <c r="N12" s="2749" t="str">
        <f>IF(ISBLANK(IMP_ST_DATE),"Please fill setup",IF(MO_CHECK&gt;3,"Y1",YEAR(IMP_ST_DATE)))</f>
        <v>Please fill setup</v>
      </c>
      <c r="O12" s="2750"/>
      <c r="P12" s="2750"/>
      <c r="Q12" s="2750"/>
      <c r="R12" s="2750"/>
      <c r="S12" s="2750"/>
      <c r="T12" s="2751"/>
      <c r="U12" s="2749" t="str">
        <f>IF(N12="Y1","Y2",IF(ISBLANK(IMP_ST_DATE),"Please fill setup",YEAR(IMP_ST_DATE)+1))</f>
        <v>Please fill setup</v>
      </c>
      <c r="V12" s="2750"/>
      <c r="W12" s="2750"/>
      <c r="X12" s="2750"/>
      <c r="Y12" s="2750"/>
      <c r="Z12" s="2750"/>
      <c r="AA12" s="2751"/>
      <c r="AB12" s="2749" t="str">
        <f>IF(N12="Y1","Y3",IF(ISBLANK(IMP_ST_DATE),"Please fill setup",YEAR(IMP_ST_DATE)+2))</f>
        <v>Please fill setup</v>
      </c>
      <c r="AC12" s="2750"/>
      <c r="AD12" s="2750"/>
      <c r="AE12" s="2750"/>
      <c r="AF12" s="2750"/>
      <c r="AG12" s="2750"/>
      <c r="AH12" s="2751"/>
      <c r="AI12" s="2736" t="s">
        <v>152</v>
      </c>
      <c r="AJ12" s="2737"/>
      <c r="AK12" s="596" t="s">
        <v>153</v>
      </c>
      <c r="AL12" s="2884" t="s">
        <v>6866</v>
      </c>
      <c r="AW12" s="2794">
        <f>YEAR(IMP_ST_DATE)</f>
        <v>1900</v>
      </c>
      <c r="AX12" s="2794"/>
      <c r="AY12" s="2794"/>
      <c r="AZ12" s="2794"/>
      <c r="BA12" s="2794">
        <f>YEAR(IMP_ST_DATE)+1</f>
        <v>1901</v>
      </c>
      <c r="BB12" s="2794"/>
      <c r="BC12" s="2794"/>
      <c r="BD12" s="2794"/>
      <c r="BE12" s="2794">
        <f>YEAR(IMP_ST_DATE)+2</f>
        <v>1902</v>
      </c>
      <c r="BF12" s="2794"/>
      <c r="BG12" s="2794"/>
      <c r="BH12" s="2794"/>
    </row>
    <row r="13" spans="1:60" s="409" customFormat="1" ht="26.5" thickBot="1">
      <c r="A13" s="2742"/>
      <c r="B13" s="2739"/>
      <c r="C13" s="2739"/>
      <c r="D13" s="2739"/>
      <c r="E13" s="2744"/>
      <c r="F13" s="2745"/>
      <c r="G13" s="2745"/>
      <c r="H13" s="2746"/>
      <c r="I13" s="2862"/>
      <c r="J13" s="2841"/>
      <c r="K13" s="2842"/>
      <c r="L13" s="2745"/>
      <c r="M13" s="2739"/>
      <c r="N13" s="1119" t="s">
        <v>198</v>
      </c>
      <c r="O13" s="1176" t="s">
        <v>155</v>
      </c>
      <c r="P13" s="1176" t="s">
        <v>156</v>
      </c>
      <c r="Q13" s="1176" t="s">
        <v>157</v>
      </c>
      <c r="R13" s="1176" t="s">
        <v>158</v>
      </c>
      <c r="S13" s="1176" t="s">
        <v>159</v>
      </c>
      <c r="T13" s="1130" t="s">
        <v>160</v>
      </c>
      <c r="U13" s="1123" t="s">
        <v>161</v>
      </c>
      <c r="V13" s="1169" t="s">
        <v>162</v>
      </c>
      <c r="W13" s="1169" t="s">
        <v>163</v>
      </c>
      <c r="X13" s="1169" t="s">
        <v>164</v>
      </c>
      <c r="Y13" s="1169" t="s">
        <v>165</v>
      </c>
      <c r="Z13" s="1169" t="s">
        <v>166</v>
      </c>
      <c r="AA13" s="1140" t="s">
        <v>167</v>
      </c>
      <c r="AB13" s="1123" t="s">
        <v>168</v>
      </c>
      <c r="AC13" s="1169" t="s">
        <v>169</v>
      </c>
      <c r="AD13" s="1169" t="s">
        <v>170</v>
      </c>
      <c r="AE13" s="1169" t="s">
        <v>171</v>
      </c>
      <c r="AF13" s="1169" t="s">
        <v>172</v>
      </c>
      <c r="AG13" s="1169" t="s">
        <v>173</v>
      </c>
      <c r="AH13" s="1123" t="s">
        <v>174</v>
      </c>
      <c r="AI13" s="1161" t="s">
        <v>175</v>
      </c>
      <c r="AJ13" s="1140" t="s">
        <v>176</v>
      </c>
      <c r="AK13" s="318" t="s">
        <v>309</v>
      </c>
      <c r="AL13" s="2885"/>
      <c r="AM13" s="408"/>
      <c r="AW13" s="603" t="s">
        <v>1528</v>
      </c>
      <c r="AX13" s="603" t="s">
        <v>1529</v>
      </c>
      <c r="AY13" s="603" t="s">
        <v>1530</v>
      </c>
      <c r="AZ13" s="603" t="s">
        <v>1531</v>
      </c>
      <c r="BA13" s="603" t="s">
        <v>1532</v>
      </c>
      <c r="BB13" s="603" t="s">
        <v>1533</v>
      </c>
      <c r="BC13" s="603" t="s">
        <v>1535</v>
      </c>
      <c r="BD13" s="603" t="s">
        <v>1536</v>
      </c>
      <c r="BE13" s="603" t="s">
        <v>1537</v>
      </c>
      <c r="BF13" s="603" t="s">
        <v>1538</v>
      </c>
      <c r="BG13" s="603" t="s">
        <v>1534</v>
      </c>
      <c r="BH13" s="603" t="s">
        <v>1539</v>
      </c>
    </row>
    <row r="14" spans="1:60" s="249" customFormat="1">
      <c r="A14" s="2882"/>
      <c r="B14" s="2883"/>
      <c r="C14" s="2883"/>
      <c r="D14" s="2883"/>
      <c r="E14" s="2773"/>
      <c r="F14" s="2774"/>
      <c r="G14" s="2774"/>
      <c r="H14" s="2774"/>
      <c r="I14" s="2845"/>
      <c r="J14" s="2846"/>
      <c r="K14" s="2847"/>
      <c r="L14" s="312" t="str">
        <f>IF(E14="","","Piece")</f>
        <v/>
      </c>
      <c r="M14" s="312" t="str">
        <f>IF(L14="", "","USD")</f>
        <v/>
      </c>
      <c r="N14" s="1120"/>
      <c r="O14" s="1170"/>
      <c r="P14" s="1170"/>
      <c r="Q14" s="1170"/>
      <c r="R14" s="1170"/>
      <c r="S14" s="58">
        <f>SUM(Table69630[[#This Row],[Y1 Q1 quantity]:[Y1 Q4 quantity]])</f>
        <v>0</v>
      </c>
      <c r="T14" s="1131">
        <f>Table69630[[#This Row],[Y1 Unit cost]]*Table69630[[#This Row],[Y1 Total quantity]]</f>
        <v>0</v>
      </c>
      <c r="U14" s="1135"/>
      <c r="V14" s="1170"/>
      <c r="W14" s="1170"/>
      <c r="X14" s="1170"/>
      <c r="Y14" s="1170"/>
      <c r="Z14" s="58">
        <f>SUM(Table69630[[#This Row],[Y2 Q1 quantity]:[Y2 Q4 quantity]])</f>
        <v>0</v>
      </c>
      <c r="AA14" s="1141">
        <f>Table69630[[#This Row],[Y2 Unit cost]]*Table69630[[#This Row],[Y2 Total quantity]]</f>
        <v>0</v>
      </c>
      <c r="AB14" s="1135"/>
      <c r="AC14" s="1170"/>
      <c r="AD14" s="1170"/>
      <c r="AE14" s="1170"/>
      <c r="AF14" s="1170"/>
      <c r="AG14" s="58">
        <f>SUM(Table69630[[#This Row],[Y3 Q1 quantity]:[Y3 Q4 quantity]])</f>
        <v>0</v>
      </c>
      <c r="AH14" s="1151">
        <f>Table69630[[#This Row],[Y3 Unit cost]]*Table69630[[#This Row],[Y3 Total quantity]]</f>
        <v>0</v>
      </c>
      <c r="AI14" s="61">
        <f>Table69630[[#This Row],[Y1 Total quantity]]+Table69630[[#This Row],[Y2 Total quantity]]+Table69630[[#This Row],[Y3 Total quantity]]</f>
        <v>0</v>
      </c>
      <c r="AJ14" s="1141">
        <f>Table69630[[#This Row],[Y1 Total cost]]+Table69630[[#This Row],[Y2 Total cost]]+Table69630[[#This Row],[Y3 Total cost]]</f>
        <v>0</v>
      </c>
      <c r="AK14" s="308" t="str">
        <f>IF(E14="","",IF(ISNUMBER(SEARCH("Laboratory",E14)),"6.6",IF(ISNUMBER(SEARCH("Maintenance",E14)),"6.5",IF(ISNUMBER(SEARCH("smear",E14)),"5.6","6.3"))))</f>
        <v/>
      </c>
      <c r="AL14" s="1265"/>
      <c r="AM14" s="411"/>
      <c r="AU14" s="562">
        <f>SUM(AW14:BH14)</f>
        <v>0</v>
      </c>
      <c r="AV14" s="608" t="s">
        <v>311</v>
      </c>
      <c r="AW14" s="609">
        <f>SUMPRODUCT(($A$14:$D$33="Malaria Microscopy - Equipment &amp; reagents")*($N$14:$N$33)*((O14:O33)))</f>
        <v>0</v>
      </c>
      <c r="AX14" s="609">
        <f>SUMPRODUCT(($A$14:$D$33="Malaria Microscopy - Equipment &amp; reagents")*($N$14:$N$33)*((P14:P33)))</f>
        <v>0</v>
      </c>
      <c r="AY14" s="609">
        <f>SUMPRODUCT(($A$14:$D$33="Malaria Microscopy - Equipment &amp; reagents")*($N$14:$N$33)*((Q14:Q33)))</f>
        <v>0</v>
      </c>
      <c r="AZ14" s="609">
        <f>SUMPRODUCT(($A$14:$D$33="Malaria Microscopy - Equipment &amp; reagents")*($N$14:$N$33)*((R14:R33)))</f>
        <v>0</v>
      </c>
      <c r="BA14" s="609">
        <f>SUMPRODUCT(($A$14:$D$33="Malaria Microscopy - Equipment &amp; reagents")*($U$14:$U$33)*((V14:V33)))</f>
        <v>0</v>
      </c>
      <c r="BB14" s="609">
        <f>SUMPRODUCT(($A$14:$D$33="Malaria Microscopy - Equipment &amp; reagents")*($U$14:$U$33)*((W14:W33)))</f>
        <v>0</v>
      </c>
      <c r="BC14" s="609">
        <f>SUMPRODUCT(($A$14:$D$33="Malaria Microscopy - Equipment &amp; reagents")*($U$14:$U$33)*((X14:X33)))</f>
        <v>0</v>
      </c>
      <c r="BD14" s="609">
        <f>SUMPRODUCT(($A$14:$D$33="Malaria Microscopy - Equipment &amp; reagents")*($U$14:$U$33)*((Y14:Y33)))</f>
        <v>0</v>
      </c>
      <c r="BE14" s="609">
        <f>SUMPRODUCT(($A$14:$D$33="Malaria Microscopy - Equipment &amp; reagents")*($AB$14:$AB$33)*((AC14:AC33)))</f>
        <v>0</v>
      </c>
      <c r="BF14" s="609">
        <f>SUMPRODUCT(($A$14:$D$33="Malaria Microscopy - Equipment &amp; reagents")*($AB$14:$AB$33)*((AD14:AD33)))</f>
        <v>0</v>
      </c>
      <c r="BG14" s="609">
        <f>SUMPRODUCT(($A$14:$D$33="Malaria Microscopy - Equipment &amp; reagents")*($AB$14:$AB$33)*((AE14:AE33)))</f>
        <v>0</v>
      </c>
      <c r="BH14" s="609">
        <f>SUMPRODUCT(($A$14:$D$33="Malaria Microscopy - Equipment &amp; reagents")*($AB$14:$AB$33)*((AF14:AF33)))</f>
        <v>0</v>
      </c>
    </row>
    <row r="15" spans="1:60" s="249" customFormat="1">
      <c r="A15" s="2730"/>
      <c r="B15" s="2730"/>
      <c r="C15" s="2730"/>
      <c r="D15" s="2731"/>
      <c r="E15" s="2755"/>
      <c r="F15" s="2109"/>
      <c r="G15" s="2109"/>
      <c r="H15" s="2109"/>
      <c r="I15" s="2848"/>
      <c r="J15" s="2849"/>
      <c r="K15" s="2850"/>
      <c r="L15" s="313" t="str">
        <f>IF(E15="","","Piece")</f>
        <v/>
      </c>
      <c r="M15" s="313" t="str">
        <f>IF(L15="", "","USD")</f>
        <v/>
      </c>
      <c r="N15" s="1121"/>
      <c r="O15" s="1171"/>
      <c r="P15" s="1171"/>
      <c r="Q15" s="1171"/>
      <c r="R15" s="1171"/>
      <c r="S15" s="59">
        <f>SUM(Table69630[[#This Row],[Y1 Q1 quantity]:[Y1 Q4 quantity]])</f>
        <v>0</v>
      </c>
      <c r="T15" s="1132">
        <f>Table69630[[#This Row],[Y1 Unit cost]]*Table69630[[#This Row],[Y1 Total quantity]]</f>
        <v>0</v>
      </c>
      <c r="U15" s="1136"/>
      <c r="V15" s="1171"/>
      <c r="W15" s="1171"/>
      <c r="X15" s="1171"/>
      <c r="Y15" s="1171"/>
      <c r="Z15" s="59">
        <f>SUM(Table69630[[#This Row],[Y2 Q1 quantity]:[Y2 Q4 quantity]])</f>
        <v>0</v>
      </c>
      <c r="AA15" s="1142">
        <f>Table69630[[#This Row],[Y2 Unit cost]]*Table69630[[#This Row],[Y2 Total quantity]]</f>
        <v>0</v>
      </c>
      <c r="AB15" s="1136"/>
      <c r="AC15" s="1171"/>
      <c r="AD15" s="1171"/>
      <c r="AE15" s="1171"/>
      <c r="AF15" s="1171"/>
      <c r="AG15" s="59">
        <f>SUM(Table69630[[#This Row],[Y3 Q1 quantity]:[Y3 Q4 quantity]])</f>
        <v>0</v>
      </c>
      <c r="AH15" s="1152">
        <f>Table69630[[#This Row],[Y3 Unit cost]]*Table69630[[#This Row],[Y3 Total quantity]]</f>
        <v>0</v>
      </c>
      <c r="AI15" s="62">
        <f>Table69630[[#This Row],[Y1 Total quantity]]+Table69630[[#This Row],[Y2 Total quantity]]+Table69630[[#This Row],[Y3 Total quantity]]</f>
        <v>0</v>
      </c>
      <c r="AJ15" s="1142">
        <f>Table69630[[#This Row],[Y1 Total cost]]+Table69630[[#This Row],[Y2 Total cost]]+Table69630[[#This Row],[Y3 Total cost]]</f>
        <v>0</v>
      </c>
      <c r="AK15" s="309" t="str">
        <f t="shared" ref="AK15:AK33" si="0">IF(E15="","",IF(ISNUMBER(SEARCH("Laboratory",E15)),"6.6",IF(ISNUMBER(SEARCH("Maintenance",E15)),"6.5",IF(ISNUMBER(SEARCH("smear",E15)),"5.6","6.3"))))</f>
        <v/>
      </c>
      <c r="AL15" s="1266"/>
      <c r="AM15" s="411"/>
      <c r="AU15" s="562">
        <f t="shared" ref="AU15:AU20" si="1">SUM(AW15:BH15)</f>
        <v>0</v>
      </c>
      <c r="AV15" s="608" t="s">
        <v>580</v>
      </c>
      <c r="AW15" s="609">
        <f>SUMPRODUCT(($A$42:$D$56="RDTs for Malaria")*($N$42:$N$56)*((O42:O56)))</f>
        <v>0</v>
      </c>
      <c r="AX15" s="609">
        <f>SUMPRODUCT(($A$42:$D$56="RDTs for Malaria")*($N$42:$N$56)*((P42:P56)))</f>
        <v>0</v>
      </c>
      <c r="AY15" s="609">
        <f>SUMPRODUCT(($A$42:$D$56="RDTs for Malaria")*($N$42:$N$56)*((Q42:Q56)))</f>
        <v>0</v>
      </c>
      <c r="AZ15" s="609">
        <f>SUMPRODUCT(($A$42:$D$56="RDTs for Malaria")*($N$42:$N$56)*((R42:R56)))</f>
        <v>0</v>
      </c>
      <c r="BA15" s="609">
        <f>SUMPRODUCT(($A$42:$D$56="RDTs for Malaria")*($U$42:$U$56)*((V42:V56)))</f>
        <v>0</v>
      </c>
      <c r="BB15" s="609">
        <f>SUMPRODUCT(($A$42:$D$56="RDTs for Malaria")*($U$42:$U$56)*((W42:W56)))</f>
        <v>0</v>
      </c>
      <c r="BC15" s="609">
        <f>SUMPRODUCT(($A$42:$D$56="RDTs for Malaria")*($U$42:$U$56)*((X42:X56)))</f>
        <v>0</v>
      </c>
      <c r="BD15" s="609">
        <f>SUMPRODUCT(($A$42:$D$56="RDTs for Malaria")*($U$42:$U$56)*((Y42:Y56)))</f>
        <v>0</v>
      </c>
      <c r="BE15" s="609">
        <f>SUMPRODUCT(($A$42:$D$56="RDTs for Malaria")*($AB$42:$AB$56)*((AC42:AC56)))</f>
        <v>0</v>
      </c>
      <c r="BF15" s="609">
        <f>SUMPRODUCT(($A$42:$D$56="RDTs for Malaria")*($AB$42:$AB$56)*((AD42:AD56)))</f>
        <v>0</v>
      </c>
      <c r="BG15" s="609">
        <f>SUMPRODUCT(($A$42:$D$56="RDTs for Malaria")*($AB$42:$AB$56)*((AE42:AE56)))</f>
        <v>0</v>
      </c>
      <c r="BH15" s="609">
        <f>SUMPRODUCT(($A$42:$D$56="RDTs for Malaria")*($AB$42:$AB$56)*((AF42:AF56)))</f>
        <v>0</v>
      </c>
    </row>
    <row r="16" spans="1:60" s="249" customFormat="1">
      <c r="A16" s="2732"/>
      <c r="B16" s="2732"/>
      <c r="C16" s="2732"/>
      <c r="D16" s="2733"/>
      <c r="E16" s="2752"/>
      <c r="F16" s="2753"/>
      <c r="G16" s="2753"/>
      <c r="H16" s="2753"/>
      <c r="I16" s="2854"/>
      <c r="J16" s="2855"/>
      <c r="K16" s="2856"/>
      <c r="L16" s="314" t="str">
        <f t="shared" ref="L16:L33" si="2">IF(E16="","","Piece")</f>
        <v/>
      </c>
      <c r="M16" s="314" t="str">
        <f>IF(L16="", "","USD")</f>
        <v/>
      </c>
      <c r="N16" s="1121"/>
      <c r="O16" s="1171"/>
      <c r="P16" s="1171"/>
      <c r="Q16" s="1171"/>
      <c r="R16" s="1171"/>
      <c r="S16" s="59">
        <f>SUM(Table69630[[#This Row],[Y1 Q1 quantity]:[Y1 Q4 quantity]])</f>
        <v>0</v>
      </c>
      <c r="T16" s="1132">
        <f>Table69630[[#This Row],[Y1 Unit cost]]*Table69630[[#This Row],[Y1 Total quantity]]</f>
        <v>0</v>
      </c>
      <c r="U16" s="1136"/>
      <c r="V16" s="1171"/>
      <c r="W16" s="1171"/>
      <c r="X16" s="1171"/>
      <c r="Y16" s="1171"/>
      <c r="Z16" s="59">
        <f>SUM(Table69630[[#This Row],[Y2 Q1 quantity]:[Y2 Q4 quantity]])</f>
        <v>0</v>
      </c>
      <c r="AA16" s="1142">
        <f>Table69630[[#This Row],[Y2 Unit cost]]*Table69630[[#This Row],[Y2 Total quantity]]</f>
        <v>0</v>
      </c>
      <c r="AB16" s="1136"/>
      <c r="AC16" s="1171"/>
      <c r="AD16" s="1171"/>
      <c r="AE16" s="1171"/>
      <c r="AF16" s="1171"/>
      <c r="AG16" s="59">
        <f>SUM(Table69630[[#This Row],[Y3 Q1 quantity]:[Y3 Q4 quantity]])</f>
        <v>0</v>
      </c>
      <c r="AH16" s="1152">
        <f>Table69630[[#This Row],[Y3 Unit cost]]*Table69630[[#This Row],[Y3 Total quantity]]</f>
        <v>0</v>
      </c>
      <c r="AI16" s="62">
        <f>Table69630[[#This Row],[Y1 Total quantity]]+Table69630[[#This Row],[Y2 Total quantity]]+Table69630[[#This Row],[Y3 Total quantity]]</f>
        <v>0</v>
      </c>
      <c r="AJ16" s="1142">
        <f>Table69630[[#This Row],[Y1 Total cost]]+Table69630[[#This Row],[Y2 Total cost]]+Table69630[[#This Row],[Y3 Total cost]]</f>
        <v>0</v>
      </c>
      <c r="AK16" s="309" t="str">
        <f t="shared" si="0"/>
        <v/>
      </c>
      <c r="AL16" s="1265"/>
      <c r="AM16" s="411"/>
      <c r="AU16" s="562">
        <f t="shared" si="1"/>
        <v>0</v>
      </c>
      <c r="AV16" s="608" t="s">
        <v>581</v>
      </c>
      <c r="AW16" s="609">
        <f>SUMPRODUCT(($A$64:$D$122="LLINs (mass campaigns)")*($N$64:$N$122)*((O64:O122)))</f>
        <v>0</v>
      </c>
      <c r="AX16" s="609">
        <f>SUMPRODUCT(($A$64:$D$122="LLINs (mass campaigns)")*($N$64:$N$122)*((P64:P122)))</f>
        <v>0</v>
      </c>
      <c r="AY16" s="609">
        <f>SUMPRODUCT(($A$64:$D$122="LLINs (mass campaigns)")*($N$64:$N$122)*((Q64:Q122)))</f>
        <v>0</v>
      </c>
      <c r="AZ16" s="609">
        <f>SUMPRODUCT(($A$64:$D$122="LLINs (mass campaigns)")*($N$64:$N$122)*((R64:R122)))</f>
        <v>0</v>
      </c>
      <c r="BA16" s="609">
        <f>SUMPRODUCT(($A$64:$D$122="LLINs (mass campaigns)")*($U$64:$U$122)*((V64:V122)))</f>
        <v>0</v>
      </c>
      <c r="BB16" s="609">
        <f>SUMPRODUCT(($A$64:$D$122="LLINs (mass campaigns)")*($U$64:$U$122)*((W64:W122)))</f>
        <v>0</v>
      </c>
      <c r="BC16" s="609">
        <f>SUMPRODUCT(($A$64:$D$122="LLINs (mass campaigns)")*($U$64:$U$122)*((X64:X122)))</f>
        <v>0</v>
      </c>
      <c r="BD16" s="609">
        <f>SUMPRODUCT(($A$64:$D$122="LLINs (mass campaigns)")*($U$64:$U$122)*((Y64:Y122)))</f>
        <v>0</v>
      </c>
      <c r="BE16" s="609">
        <f>SUMPRODUCT(($A$64:$D$122="LLINs (mass campaigns)")*($AB$64:$AB$122)*((AC64:AC122)))</f>
        <v>0</v>
      </c>
      <c r="BF16" s="609">
        <f>SUMPRODUCT(($A$64:$D$122="LLINs (mass campaigns)")*($AB$64:$AB$122)*((AD64:AD122)))</f>
        <v>0</v>
      </c>
      <c r="BG16" s="609">
        <f>SUMPRODUCT(($A$64:$D$122="LLINs (mass campaigns)")*($AB$64:$AB$122)*((AE64:AE122)))</f>
        <v>0</v>
      </c>
      <c r="BH16" s="609">
        <f>SUMPRODUCT(($A$64:$D$122="LLINs (mass campaigns)")*($AB$64:$AB$122)*((AF64:AF122)))</f>
        <v>0</v>
      </c>
    </row>
    <row r="17" spans="1:60" s="249" customFormat="1">
      <c r="A17" s="2730"/>
      <c r="B17" s="2730"/>
      <c r="C17" s="2730"/>
      <c r="D17" s="2731"/>
      <c r="E17" s="2755"/>
      <c r="F17" s="2109"/>
      <c r="G17" s="2109"/>
      <c r="H17" s="2109"/>
      <c r="I17" s="2848"/>
      <c r="J17" s="2849"/>
      <c r="K17" s="2850"/>
      <c r="L17" s="313" t="str">
        <f t="shared" si="2"/>
        <v/>
      </c>
      <c r="M17" s="315" t="str">
        <f t="shared" ref="M17:M33" si="3">IF(L17="", "","USD")</f>
        <v/>
      </c>
      <c r="N17" s="1121"/>
      <c r="O17" s="1171"/>
      <c r="P17" s="1171"/>
      <c r="Q17" s="1171"/>
      <c r="R17" s="1171"/>
      <c r="S17" s="59">
        <f>SUM(Table69630[[#This Row],[Y1 Q1 quantity]:[Y1 Q4 quantity]])</f>
        <v>0</v>
      </c>
      <c r="T17" s="1132">
        <f>Table69630[[#This Row],[Y1 Unit cost]]*Table69630[[#This Row],[Y1 Total quantity]]</f>
        <v>0</v>
      </c>
      <c r="U17" s="1136"/>
      <c r="V17" s="1171"/>
      <c r="W17" s="1171"/>
      <c r="X17" s="1171"/>
      <c r="Y17" s="1171"/>
      <c r="Z17" s="59">
        <f>SUM(Table69630[[#This Row],[Y2 Q1 quantity]:[Y2 Q4 quantity]])</f>
        <v>0</v>
      </c>
      <c r="AA17" s="1142">
        <f>Table69630[[#This Row],[Y2 Unit cost]]*Table69630[[#This Row],[Y2 Total quantity]]</f>
        <v>0</v>
      </c>
      <c r="AB17" s="1136"/>
      <c r="AC17" s="1171"/>
      <c r="AD17" s="1171"/>
      <c r="AE17" s="1171"/>
      <c r="AF17" s="1171"/>
      <c r="AG17" s="59">
        <f>SUM(Table69630[[#This Row],[Y3 Q1 quantity]:[Y3 Q4 quantity]])</f>
        <v>0</v>
      </c>
      <c r="AH17" s="1152">
        <f>Table69630[[#This Row],[Y3 Unit cost]]*Table69630[[#This Row],[Y3 Total quantity]]</f>
        <v>0</v>
      </c>
      <c r="AI17" s="62">
        <f>Table69630[[#This Row],[Y1 Total quantity]]+Table69630[[#This Row],[Y2 Total quantity]]+Table69630[[#This Row],[Y3 Total quantity]]</f>
        <v>0</v>
      </c>
      <c r="AJ17" s="1142">
        <f>Table69630[[#This Row],[Y1 Total cost]]+Table69630[[#This Row],[Y2 Total cost]]+Table69630[[#This Row],[Y3 Total cost]]</f>
        <v>0</v>
      </c>
      <c r="AK17" s="309" t="str">
        <f t="shared" si="0"/>
        <v/>
      </c>
      <c r="AL17" s="1266"/>
      <c r="AM17" s="411"/>
      <c r="AU17" s="562">
        <f t="shared" si="1"/>
        <v>0</v>
      </c>
      <c r="AV17" s="608" t="s">
        <v>582</v>
      </c>
      <c r="AW17" s="609">
        <f>SUMPRODUCT(($A$64:$D$122="LLINs (routine distributions)")*($N$64:$N$122)*((O64:O122)))</f>
        <v>0</v>
      </c>
      <c r="AX17" s="609">
        <f>SUMPRODUCT(($A$64:$D$122="LLINs (routine distributions)")*($N$64:$N$122)*((P64:P122)))</f>
        <v>0</v>
      </c>
      <c r="AY17" s="609">
        <f>SUMPRODUCT(($A$64:$D$122="LLINs (routine distributions)")*($N$64:$N$122)*((Q64:Q122)))</f>
        <v>0</v>
      </c>
      <c r="AZ17" s="609">
        <f>SUMPRODUCT(($A$64:$D$122="LLINs (routine distributions)")*($N$64:$N$122)*((R64:R122)))</f>
        <v>0</v>
      </c>
      <c r="BA17" s="609">
        <f>SUMPRODUCT(($A$64:$D$122="LLINs (routine distributions)")*($U$64:$U$122)*((V64:V122)))</f>
        <v>0</v>
      </c>
      <c r="BB17" s="609">
        <f>SUMPRODUCT(($A$64:$D$122="LLINs (routine distributions)")*($U$64:$U$122)*((W64:W122)))</f>
        <v>0</v>
      </c>
      <c r="BC17" s="609">
        <f>SUMPRODUCT(($A$64:$D$122="LLINs (routine distributions)")*($U$64:$U$122)*((X64:X122)))</f>
        <v>0</v>
      </c>
      <c r="BD17" s="609">
        <f>SUMPRODUCT(($A$64:$D$122="LLINs (routine distributions)")*($U$64:$U$122)*((Y64:Y122)))</f>
        <v>0</v>
      </c>
      <c r="BE17" s="609">
        <f>SUMPRODUCT(($A$64:$D$122="LLINs (routine distributions)")*($AB$64:$AB$122)*((AC64:AC122)))</f>
        <v>0</v>
      </c>
      <c r="BF17" s="609">
        <f>SUMPRODUCT(($A$64:$D$122="LLINs (routine distributions)")*($AB$64:$AB$122)*((AD64:AD122)))</f>
        <v>0</v>
      </c>
      <c r="BG17" s="609">
        <f>SUMPRODUCT(($A$64:$D$122="LLINs (routine distributions)")*($AB$64:$AB$122)*((AE64:AE122)))</f>
        <v>0</v>
      </c>
      <c r="BH17" s="609">
        <f>SUMPRODUCT(($A$64:$D$122="LLINs (routine distributions)")*($AB$64:$AB$122)*((AF64:AF122)))</f>
        <v>0</v>
      </c>
    </row>
    <row r="18" spans="1:60" s="249" customFormat="1">
      <c r="A18" s="2732"/>
      <c r="B18" s="2732"/>
      <c r="C18" s="2732"/>
      <c r="D18" s="2733"/>
      <c r="E18" s="2752"/>
      <c r="F18" s="2753"/>
      <c r="G18" s="2753"/>
      <c r="H18" s="2753"/>
      <c r="I18" s="2854"/>
      <c r="J18" s="2855"/>
      <c r="K18" s="2856"/>
      <c r="L18" s="314" t="str">
        <f t="shared" si="2"/>
        <v/>
      </c>
      <c r="M18" s="314" t="str">
        <f t="shared" si="3"/>
        <v/>
      </c>
      <c r="N18" s="1121"/>
      <c r="O18" s="1171"/>
      <c r="P18" s="1171"/>
      <c r="Q18" s="1171"/>
      <c r="R18" s="1171"/>
      <c r="S18" s="59">
        <f>SUM(Table69630[[#This Row],[Y1 Q1 quantity]:[Y1 Q4 quantity]])</f>
        <v>0</v>
      </c>
      <c r="T18" s="1132">
        <f>Table69630[[#This Row],[Y1 Unit cost]]*Table69630[[#This Row],[Y1 Total quantity]]</f>
        <v>0</v>
      </c>
      <c r="U18" s="1136"/>
      <c r="V18" s="1171"/>
      <c r="W18" s="1171"/>
      <c r="X18" s="1171"/>
      <c r="Y18" s="1171"/>
      <c r="Z18" s="59">
        <f>SUM(Table69630[[#This Row],[Y2 Q1 quantity]:[Y2 Q4 quantity]])</f>
        <v>0</v>
      </c>
      <c r="AA18" s="1142">
        <f>Table69630[[#This Row],[Y2 Unit cost]]*Table69630[[#This Row],[Y2 Total quantity]]</f>
        <v>0</v>
      </c>
      <c r="AB18" s="1136"/>
      <c r="AC18" s="1171"/>
      <c r="AD18" s="1171"/>
      <c r="AE18" s="1171"/>
      <c r="AF18" s="1171"/>
      <c r="AG18" s="59">
        <f>SUM(Table69630[[#This Row],[Y3 Q1 quantity]:[Y3 Q4 quantity]])</f>
        <v>0</v>
      </c>
      <c r="AH18" s="1152">
        <f>Table69630[[#This Row],[Y3 Unit cost]]*Table69630[[#This Row],[Y3 Total quantity]]</f>
        <v>0</v>
      </c>
      <c r="AI18" s="62">
        <f>Table69630[[#This Row],[Y1 Total quantity]]+Table69630[[#This Row],[Y2 Total quantity]]+Table69630[[#This Row],[Y3 Total quantity]]</f>
        <v>0</v>
      </c>
      <c r="AJ18" s="1142">
        <f>Table69630[[#This Row],[Y1 Total cost]]+Table69630[[#This Row],[Y2 Total cost]]+Table69630[[#This Row],[Y3 Total cost]]</f>
        <v>0</v>
      </c>
      <c r="AK18" s="317" t="str">
        <f t="shared" si="0"/>
        <v/>
      </c>
      <c r="AL18" s="1265"/>
      <c r="AM18" s="411"/>
      <c r="AU18" s="562">
        <f t="shared" si="1"/>
        <v>0</v>
      </c>
      <c r="AV18" s="608" t="s">
        <v>583</v>
      </c>
      <c r="AW18" s="609">
        <f>SUMPRODUCT(($A$64:$D$122="IRS equipment &amp; insecticides")*($N$64:$N$122)*((O64:O122)))</f>
        <v>0</v>
      </c>
      <c r="AX18" s="609">
        <f>SUMPRODUCT(($A$64:$D$122="IRS equipment &amp; insecticides")*($N$64:$N$122)*((P64:P122)))</f>
        <v>0</v>
      </c>
      <c r="AY18" s="609">
        <f>SUMPRODUCT(($A$64:$D$122="IRS equipment &amp; insecticides")*($N$64:$N$122)*((Q64:Q122)))</f>
        <v>0</v>
      </c>
      <c r="AZ18" s="609">
        <f>SUMPRODUCT(($A$64:$D$122="IRS equipment &amp; insecticides")*($N$64:$N$122)*((R64:R122)))</f>
        <v>0</v>
      </c>
      <c r="BA18" s="609">
        <f>SUMPRODUCT(($A$64:$D$122="IRS equipment &amp; insecticides")*($U$64:$U$122)*((V64:V122)))</f>
        <v>0</v>
      </c>
      <c r="BB18" s="609">
        <f>SUMPRODUCT(($A$64:$D$122="IRS equipment &amp; insecticides")*($U$64:$U$122)*((W64:W122)))</f>
        <v>0</v>
      </c>
      <c r="BC18" s="609">
        <f>SUMPRODUCT(($A$64:$D$122="IRS equipment &amp; insecticides")*($U$64:$U$122)*((X64:X122)))</f>
        <v>0</v>
      </c>
      <c r="BD18" s="609">
        <f>SUMPRODUCT(($A$64:$D$122="IRS equipment &amp; insecticides")*($U$64:$U$122)*((Y64:Y122)))</f>
        <v>0</v>
      </c>
      <c r="BE18" s="609">
        <f>SUMPRODUCT(($A$64:$D$122="IRS equipment &amp; insecticides")*($AB$64:$AB$122)*((AC64:AC122)))</f>
        <v>0</v>
      </c>
      <c r="BF18" s="609">
        <f>SUMPRODUCT(($A$64:$D$122="IRS equipment &amp; insecticides")*($AB$64:$AB$122)*((AD64:AD122)))</f>
        <v>0</v>
      </c>
      <c r="BG18" s="609">
        <f>SUMPRODUCT(($A$64:$D$122="IRS equipment &amp; insecticides")*($AB$64:$AB$122)*((AE64:AE122)))</f>
        <v>0</v>
      </c>
      <c r="BH18" s="609">
        <f>SUMPRODUCT(($A$64:$D$122="IRS equipment &amp; insecticides")*($AB$64:$AB$122)*((AF64:AF122)))</f>
        <v>0</v>
      </c>
    </row>
    <row r="19" spans="1:60" s="249" customFormat="1">
      <c r="A19" s="2730"/>
      <c r="B19" s="2730"/>
      <c r="C19" s="2730"/>
      <c r="D19" s="2731"/>
      <c r="E19" s="2755"/>
      <c r="F19" s="2109"/>
      <c r="G19" s="2109"/>
      <c r="H19" s="2109"/>
      <c r="I19" s="2848"/>
      <c r="J19" s="2849"/>
      <c r="K19" s="2850"/>
      <c r="L19" s="313" t="str">
        <f t="shared" si="2"/>
        <v/>
      </c>
      <c r="M19" s="315" t="str">
        <f t="shared" si="3"/>
        <v/>
      </c>
      <c r="N19" s="1121"/>
      <c r="O19" s="1171"/>
      <c r="P19" s="1171"/>
      <c r="Q19" s="1171"/>
      <c r="R19" s="1171"/>
      <c r="S19" s="59">
        <f>SUM(Table69630[[#This Row],[Y1 Q1 quantity]:[Y1 Q4 quantity]])</f>
        <v>0</v>
      </c>
      <c r="T19" s="1132">
        <f>Table69630[[#This Row],[Y1 Unit cost]]*Table69630[[#This Row],[Y1 Total quantity]]</f>
        <v>0</v>
      </c>
      <c r="U19" s="1126"/>
      <c r="V19" s="1171"/>
      <c r="W19" s="1171"/>
      <c r="X19" s="1171"/>
      <c r="Y19" s="1171"/>
      <c r="Z19" s="59">
        <f>SUM(Table69630[[#This Row],[Y2 Q1 quantity]:[Y2 Q4 quantity]])</f>
        <v>0</v>
      </c>
      <c r="AA19" s="1142">
        <f>Table69630[[#This Row],[Y2 Unit cost]]*Table69630[[#This Row],[Y2 Total quantity]]</f>
        <v>0</v>
      </c>
      <c r="AB19" s="1126"/>
      <c r="AC19" s="1171"/>
      <c r="AD19" s="1171"/>
      <c r="AE19" s="1171"/>
      <c r="AF19" s="1171"/>
      <c r="AG19" s="59">
        <f>SUM(Table69630[[#This Row],[Y3 Q1 quantity]:[Y3 Q4 quantity]])</f>
        <v>0</v>
      </c>
      <c r="AH19" s="1152">
        <f>Table69630[[#This Row],[Y3 Unit cost]]*Table69630[[#This Row],[Y3 Total quantity]]</f>
        <v>0</v>
      </c>
      <c r="AI19" s="62">
        <f>Table69630[[#This Row],[Y1 Total quantity]]+Table69630[[#This Row],[Y2 Total quantity]]+Table69630[[#This Row],[Y3 Total quantity]]</f>
        <v>0</v>
      </c>
      <c r="AJ19" s="1142">
        <f>Table69630[[#This Row],[Y1 Total cost]]+Table69630[[#This Row],[Y2 Total cost]]+Table69630[[#This Row],[Y3 Total cost]]</f>
        <v>0</v>
      </c>
      <c r="AK19" s="317" t="str">
        <f t="shared" si="0"/>
        <v/>
      </c>
      <c r="AL19" s="1266"/>
      <c r="AM19" s="411"/>
      <c r="AU19" s="562">
        <f t="shared" si="1"/>
        <v>0</v>
      </c>
      <c r="AV19" s="608" t="s">
        <v>537</v>
      </c>
      <c r="AW19" s="609">
        <f>SUMPRODUCT(($A$130:$D$230="Malaria Consumables")*($N$130:$N$230)*((O130:O230)))</f>
        <v>0</v>
      </c>
      <c r="AX19" s="609">
        <f>SUMPRODUCT(($A$130:$D$230="Malaria Consumables")*($N$130:$N$230)*((P130:P230)))</f>
        <v>0</v>
      </c>
      <c r="AY19" s="609">
        <f>SUMPRODUCT(($A$130:$D$230="Malaria Consumables")*($N$130:$N$230)*((Q130:Q230)))</f>
        <v>0</v>
      </c>
      <c r="AZ19" s="609">
        <f>SUMPRODUCT(($A$130:$D$230="Malaria Consumables")*($N$130:$N$230)*((R130:R230)))</f>
        <v>0</v>
      </c>
      <c r="BA19" s="609">
        <f>SUMPRODUCT(($A$130:$D$230="Malaria Consumables")*($U$130:$U$230)*((V130:V230)))</f>
        <v>0</v>
      </c>
      <c r="BB19" s="609">
        <f>SUMPRODUCT(($A$130:$D$230="Malaria Consumables")*($U$130:$U$230)*((W130:W230)))</f>
        <v>0</v>
      </c>
      <c r="BC19" s="609">
        <f>SUMPRODUCT(($A$130:$D$230="Malaria Consumables")*($U$130:$U$230)*((X130:X230)))</f>
        <v>0</v>
      </c>
      <c r="BD19" s="609">
        <f>SUMPRODUCT(($A$130:$D$230="Malaria Consumables")*($U$130:$U$230)*((Y130:Y230)))</f>
        <v>0</v>
      </c>
      <c r="BE19" s="609">
        <f>SUMPRODUCT(($A$130:$D$230="Malaria Consumables")*($AB$130:$AB$230)*((AC130:AC230)))</f>
        <v>0</v>
      </c>
      <c r="BF19" s="609">
        <f>SUMPRODUCT(($A$130:$D$230="Malaria Consumables")*($AB$130:$AB$230)*((AD130:AD230)))</f>
        <v>0</v>
      </c>
      <c r="BG19" s="609">
        <f>SUMPRODUCT(($A$130:$D$230="Malaria Consumables")*($AB$130:$AB$230)*((AE130:AE230)))</f>
        <v>0</v>
      </c>
      <c r="BH19" s="609">
        <f>SUMPRODUCT(($A$130:$D$230="Malaria Consumables")*($AB$130:$AB$230)*((AF130:AF230)))</f>
        <v>0</v>
      </c>
    </row>
    <row r="20" spans="1:60" s="249" customFormat="1">
      <c r="A20" s="2732"/>
      <c r="B20" s="2732"/>
      <c r="C20" s="2732"/>
      <c r="D20" s="2733"/>
      <c r="E20" s="2752"/>
      <c r="F20" s="2753"/>
      <c r="G20" s="2753"/>
      <c r="H20" s="2753"/>
      <c r="I20" s="2854"/>
      <c r="J20" s="2855"/>
      <c r="K20" s="2856"/>
      <c r="L20" s="314" t="str">
        <f t="shared" si="2"/>
        <v/>
      </c>
      <c r="M20" s="314" t="str">
        <f t="shared" si="3"/>
        <v/>
      </c>
      <c r="N20" s="1121"/>
      <c r="O20" s="1171"/>
      <c r="P20" s="1171"/>
      <c r="Q20" s="1171"/>
      <c r="R20" s="1171"/>
      <c r="S20" s="59">
        <f>SUM(Table69630[[#This Row],[Y1 Q1 quantity]:[Y1 Q4 quantity]])</f>
        <v>0</v>
      </c>
      <c r="T20" s="1132">
        <f>Table69630[[#This Row],[Y1 Unit cost]]*Table69630[[#This Row],[Y1 Total quantity]]</f>
        <v>0</v>
      </c>
      <c r="U20" s="1126"/>
      <c r="V20" s="1171"/>
      <c r="W20" s="1171"/>
      <c r="X20" s="1171"/>
      <c r="Y20" s="1171"/>
      <c r="Z20" s="59">
        <f>SUM(Table69630[[#This Row],[Y2 Q1 quantity]:[Y2 Q4 quantity]])</f>
        <v>0</v>
      </c>
      <c r="AA20" s="1142">
        <f>Table69630[[#This Row],[Y2 Unit cost]]*Table69630[[#This Row],[Y2 Total quantity]]</f>
        <v>0</v>
      </c>
      <c r="AB20" s="1126"/>
      <c r="AC20" s="1171"/>
      <c r="AD20" s="1171"/>
      <c r="AE20" s="1171"/>
      <c r="AF20" s="1171"/>
      <c r="AG20" s="59">
        <f>SUM(Table69630[[#This Row],[Y3 Q1 quantity]:[Y3 Q4 quantity]])</f>
        <v>0</v>
      </c>
      <c r="AH20" s="1152">
        <f>Table69630[[#This Row],[Y3 Unit cost]]*Table69630[[#This Row],[Y3 Total quantity]]</f>
        <v>0</v>
      </c>
      <c r="AI20" s="62">
        <f>Table69630[[#This Row],[Y1 Total quantity]]+Table69630[[#This Row],[Y2 Total quantity]]+Table69630[[#This Row],[Y3 Total quantity]]</f>
        <v>0</v>
      </c>
      <c r="AJ20" s="1142">
        <f>Table69630[[#This Row],[Y1 Total cost]]+Table69630[[#This Row],[Y2 Total cost]]+Table69630[[#This Row],[Y3 Total cost]]</f>
        <v>0</v>
      </c>
      <c r="AK20" s="317" t="str">
        <f t="shared" si="0"/>
        <v/>
      </c>
      <c r="AL20" s="1265"/>
      <c r="AM20" s="411"/>
      <c r="AU20" s="561">
        <f t="shared" si="1"/>
        <v>0</v>
      </c>
      <c r="AV20" s="610" t="s">
        <v>584</v>
      </c>
      <c r="AW20" s="611" cm="1">
        <f t="array" ref="AW20">SUMPRODUCT(($A$64:$D$122="Section 3 - Malaria Other health equipment")*($N$64:$N$122)*((O64:O122)))
+SUMPRODUCT(($A$64:$D$122="Section 3 - Malaria Other chemicals &amp; reagents")*($N$64:$N$122)*((O64:O122)))
+SUMPRODUCT(($A$130:$D$230="Malaria Laboratory equipment")*($N$130:$N$230)*((O130:O230)))
+SUMPRODUCT(($A$130:$D$230="Malaria Laboratory reagents")*($N$130:$N$230)*((O130:O230)))
+SUMPRODUCT(($A$130:$D$230="Waste management for Malaria")*($N$130:$N$230)*((O130:O230)))-AW24</f>
        <v>0</v>
      </c>
      <c r="AX20" s="611">
        <f>SUMPRODUCT(($A$64:$D$122="Section 3 - Malaria Other health equipment")*($N$64:$N$122)*((P64:P122)))+SUMPRODUCT(($A$64:$D$122="Section 3 - Malaria Other chemicals &amp; reagents")*($N$64:$N$122)*((P64:P122)))+SUMPRODUCT(($A$130:$D$230="Malaria Laboratory equipment")*($N$130:$N$230)*((P130:P230)))+SUMPRODUCT(($A$130:$D$230="Malaria Laboratory reagents")*($N$130:$N$230)*((P130:P230)))+SUMPRODUCT(($A$130:$D$230="Waste management for Malaria")*($N$130:$N$230)*((P130:P230)))-AX24</f>
        <v>0</v>
      </c>
      <c r="AY20" s="611">
        <f>SUMPRODUCT(($A$64:$D$122="Section 3 - Malaria Other health equipment")*($N$64:$N$122)*((Q64:Q122)))+SUMPRODUCT(($A$64:$D$122="Section 3 - Malaria Other chemicals &amp; reagents")*($N$64:$N$122)*((Q64:Q122)))+SUMPRODUCT(($A$130:$D$230="Malaria Laboratory equipment")*($N$130:$N$230)*((Q130:Q230)))+SUMPRODUCT(($A$130:$D$230="Malaria Laboratory reagents")*($N$130:$N$230)*((Q130:Q230)))+SUMPRODUCT(($A$130:$D$230="Waste management for Malaria")*($N$130:$N$230)*((Q130:Q230)))-AY24</f>
        <v>0</v>
      </c>
      <c r="AZ20" s="611">
        <f>SUMPRODUCT(($A$64:$D$122="Section 3 - Malaria Other health equipment")*($N$64:$N$122)*((R64:R122)))+SUMPRODUCT(($A$64:$D$122="Section 3 - Malaria Other chemicals &amp; reagents")*($N$64:$N$122)*((R64:R122)))+SUMPRODUCT(($A$130:$D$230="Malaria Laboratory equipment")*($N$130:$N$230)*((R130:R230)))+SUMPRODUCT(($A$130:$D$230="Malaria Laboratory reagents")*($N$130:$N$230)*((R130:R230)))+SUMPRODUCT(($A$130:$D$230="Waste management for Malaria")*($N$130:$N$230)*((R130:R230)))-AZ24</f>
        <v>0</v>
      </c>
      <c r="BA20" s="611">
        <f>SUMPRODUCT(($A$64:$D$122="Section 3 - Malaria Other health equipment")*($U$64:$U$122)*((V64:V122)))+SUMPRODUCT(($A$64:$D$122="Section 3 - Malaria Other chemicals &amp; reagents")*($U$64:$U$122)*((V64:V122)))+SUMPRODUCT(($A$130:$D$230="Malaria Laboratory equipment")*($U$130:$U$230)*((V130:V230)))+SUMPRODUCT(($A$130:$D$230="Malaria Laboratory reagents")*($U$130:$U$230)*((V130:V230)))+SUMPRODUCT(($A$130:$D$230="Waste management for Malaria")*($U$130:$U$230)*((V130:V230)))-BA24</f>
        <v>0</v>
      </c>
      <c r="BB20" s="611">
        <f>SUMPRODUCT(($A$64:$D$122="Section 3 - Malaria Other health equipment")*($U$64:$U$122)*((W64:W122)))+SUMPRODUCT(($A$64:$D$122="Section 3 - Malaria Other chemicals &amp; reagents")*($U$64:$U$122)*((W64:W122)))+SUMPRODUCT(($A$130:$D$230="Malaria Laboratory equipment")*($U$130:$U$230)*((W130:W230)))+SUMPRODUCT(($A$130:$D$230="Malaria Laboratory reagents")*($U$130:$U$230)*((W130:W230)))+SUMPRODUCT(($A$130:$D$230="Waste management for Malaria")*($U$130:$U$230)*((W130:W230)))-BB24</f>
        <v>0</v>
      </c>
      <c r="BC20" s="611">
        <f>SUMPRODUCT(($A$64:$D$122="Section 3 - Malaria Other health equipment")*($U$64:$U$122)*((X64:X122)))+SUMPRODUCT(($A$64:$D$122="Section 3 - Malaria Other chemicals &amp; reagents")*($U$64:$U$122)*((X64:X122)))+SUMPRODUCT(($A$130:$D$230="Malaria Laboratory equipment")*($U$130:$U$230)*((X130:X230)))+SUMPRODUCT(($A$130:$D$230="Malaria Laboratory reagents")*($U$130:$U$230)*((X130:X230)))+SUMPRODUCT(($A$130:$D$230="Waste management for Malaria")*($U$130:$U$230)*((X130:X230)))-BC24</f>
        <v>0</v>
      </c>
      <c r="BD20" s="611">
        <f>SUMPRODUCT(($A$64:$D$122="Section 3 - Malaria Other health equipment")*($U$64:$U$122)*((Y64:Y122)))+SUMPRODUCT(($A$64:$D$122="Section 3 - Malaria Other chemicals &amp; reagents")*($U$64:$U$122)*((Y64:Y122)))+SUMPRODUCT(($A$130:$D$230="Malaria Laboratory equipment")*($U$130:$U$230)*((Y130:Y230)))+SUMPRODUCT(($A$130:$D$230="Malaria Laboratory reagents")*($U$130:$U$230)*((Y130:Y230)))+SUMPRODUCT(($A$130:$D$230="Waste management for Malaria")*($U$130:$U$230)*((Y130:Y230)))-BD24</f>
        <v>0</v>
      </c>
      <c r="BE20" s="611">
        <f>SUMPRODUCT(($A$64:$D$122="Section 3 - Malaria Other health equipment")*($AB$64:$AB$122)*((AC64:AC122)))+SUMPRODUCT(($A$64:$D$122="Section 3 - Malaria Other chemicals &amp; reagents")*($AB$64:$AB$122)*((AC64:AC122)))+SUMPRODUCT(($A$130:$D$230="Malaria Laboratory equipment")*($AB$130:$AB$230)*((AC130:AC230)))+SUMPRODUCT(($A$130:$D$230="Malaria Laboratory reagents")*($AB$130:$AB$230)*((AC130:AC230)))+SUMPRODUCT(($A$130:$D$230="Waste management for Malaria")*($AB$130:$AB$230)*((AC130:AC230)))-BE24</f>
        <v>0</v>
      </c>
      <c r="BF20" s="611">
        <f>SUMPRODUCT(($A$64:$D$122="Section 3 - Malaria Other health equipment")*($AB$64:$AB$122)*((AD64:AD122)))+SUMPRODUCT(($A$64:$D$122="Section 3 - Malaria Other chemicals &amp; reagents")*($AB$64:$AB$122)*((AD64:AD122)))+SUMPRODUCT(($A$130:$D$230="Malaria Laboratory equipment")*($AB$130:$AB$230)*((AD130:AD230)))+SUMPRODUCT(($A$130:$D$230="Malaria Laboratory reagents")*($AB$130:$AB$230)*((AD130:AD230)))+SUMPRODUCT(($A$130:$D$230="Waste management for Malaria")*($AB$130:$AB$230)*((AD130:AD230)))-BF24</f>
        <v>0</v>
      </c>
      <c r="BG20" s="611">
        <f>SUMPRODUCT(($A$64:$D$122="Section 3 - Malaria Other health equipment")*($AB$64:$AB$122)*((AE64:AE122)))+SUMPRODUCT(($A$64:$D$122="Section 3 - Malaria Other chemicals &amp; reagents")*($AB$64:$AB$122)*((AE64:AE122)))+SUMPRODUCT(($A$130:$D$230="Malaria Laboratory equipment")*($AB$130:$AB$230)*((AE130:AE230)))+SUMPRODUCT(($A$130:$D$230="Malaria Laboratory reagents")*($AB$130:$AB$230)*((AE130:AE230)))+SUMPRODUCT(($A$130:$D$230="Waste management for Malaria")*($AB$130:$AB$230)*((AE130:AE230)))-BG24</f>
        <v>0</v>
      </c>
      <c r="BH20" s="611">
        <f>SUMPRODUCT(($A$64:$D$122="Section 3 - Malaria Other health equipment")*($AB$64:$AB$122)*((AF64:AF122)))+SUMPRODUCT(($A$64:$D$122="Section 3 - Malaria Other chemicals &amp; reagents")*($AB$64:$AB$122)*((AF64:AF122)))+SUMPRODUCT(($A$130:$D$230="Malaria Laboratory equipment")*($AB$130:$AB$230)*((AF130:AF230)))+SUMPRODUCT(($A$130:$D$230="Malaria Laboratory reagents")*($AB$130:$AB$230)*((AF130:AF230)))+SUMPRODUCT(($A$130:$D$230="Waste management for Malaria")*($AB$130:$AB$230)*((AF130:AF230)))-BH24</f>
        <v>0</v>
      </c>
    </row>
    <row r="21" spans="1:60" s="249" customFormat="1">
      <c r="A21" s="2730"/>
      <c r="B21" s="2730"/>
      <c r="C21" s="2730"/>
      <c r="D21" s="2731"/>
      <c r="E21" s="2755"/>
      <c r="F21" s="2109"/>
      <c r="G21" s="2109"/>
      <c r="H21" s="2109"/>
      <c r="I21" s="2848"/>
      <c r="J21" s="2849"/>
      <c r="K21" s="2850"/>
      <c r="L21" s="313" t="str">
        <f t="shared" si="2"/>
        <v/>
      </c>
      <c r="M21" s="315" t="str">
        <f t="shared" si="3"/>
        <v/>
      </c>
      <c r="N21" s="1121"/>
      <c r="O21" s="1171"/>
      <c r="P21" s="1171"/>
      <c r="Q21" s="1171"/>
      <c r="R21" s="1171"/>
      <c r="S21" s="59">
        <f>SUM(Table69630[[#This Row],[Y1 Q1 quantity]:[Y1 Q4 quantity]])</f>
        <v>0</v>
      </c>
      <c r="T21" s="1132">
        <f>Table69630[[#This Row],[Y1 Unit cost]]*Table69630[[#This Row],[Y1 Total quantity]]</f>
        <v>0</v>
      </c>
      <c r="U21" s="1126"/>
      <c r="V21" s="1171"/>
      <c r="W21" s="1171"/>
      <c r="X21" s="1171"/>
      <c r="Y21" s="1171"/>
      <c r="Z21" s="59">
        <f>SUM(Table69630[[#This Row],[Y2 Q1 quantity]:[Y2 Q4 quantity]])</f>
        <v>0</v>
      </c>
      <c r="AA21" s="1142">
        <f>Table69630[[#This Row],[Y2 Unit cost]]*Table69630[[#This Row],[Y2 Total quantity]]</f>
        <v>0</v>
      </c>
      <c r="AB21" s="1126"/>
      <c r="AC21" s="1171"/>
      <c r="AD21" s="1171"/>
      <c r="AE21" s="1171"/>
      <c r="AF21" s="1171"/>
      <c r="AG21" s="59">
        <f>SUM(Table69630[[#This Row],[Y3 Q1 quantity]:[Y3 Q4 quantity]])</f>
        <v>0</v>
      </c>
      <c r="AH21" s="1152">
        <f>Table69630[[#This Row],[Y3 Unit cost]]*Table69630[[#This Row],[Y3 Total quantity]]</f>
        <v>0</v>
      </c>
      <c r="AI21" s="62">
        <f>Table69630[[#This Row],[Y1 Total quantity]]+Table69630[[#This Row],[Y2 Total quantity]]+Table69630[[#This Row],[Y3 Total quantity]]</f>
        <v>0</v>
      </c>
      <c r="AJ21" s="1142">
        <f>Table69630[[#This Row],[Y1 Total cost]]+Table69630[[#This Row],[Y2 Total cost]]+Table69630[[#This Row],[Y3 Total cost]]</f>
        <v>0</v>
      </c>
      <c r="AK21" s="317" t="str">
        <f t="shared" si="0"/>
        <v/>
      </c>
      <c r="AL21" s="1266"/>
      <c r="AM21" s="411"/>
      <c r="AW21" s="556"/>
      <c r="AX21" s="556"/>
      <c r="AY21" s="556"/>
      <c r="AZ21" s="556"/>
      <c r="BA21" s="556"/>
      <c r="BB21" s="556"/>
      <c r="BC21" s="556"/>
      <c r="BD21" s="556"/>
      <c r="BE21" s="556"/>
      <c r="BF21" s="556"/>
      <c r="BG21" s="556"/>
      <c r="BH21" s="556"/>
    </row>
    <row r="22" spans="1:60" s="249" customFormat="1">
      <c r="A22" s="2732"/>
      <c r="B22" s="2732"/>
      <c r="C22" s="2732"/>
      <c r="D22" s="2733"/>
      <c r="E22" s="2752"/>
      <c r="F22" s="2753"/>
      <c r="G22" s="2753"/>
      <c r="H22" s="2753"/>
      <c r="I22" s="2854"/>
      <c r="J22" s="2855"/>
      <c r="K22" s="2856"/>
      <c r="L22" s="314" t="str">
        <f t="shared" si="2"/>
        <v/>
      </c>
      <c r="M22" s="314" t="str">
        <f t="shared" si="3"/>
        <v/>
      </c>
      <c r="N22" s="1121"/>
      <c r="O22" s="1171"/>
      <c r="P22" s="1171"/>
      <c r="Q22" s="1171"/>
      <c r="R22" s="1171"/>
      <c r="S22" s="59">
        <f>SUM(Table69630[[#This Row],[Y1 Q1 quantity]:[Y1 Q4 quantity]])</f>
        <v>0</v>
      </c>
      <c r="T22" s="1132">
        <f>Table69630[[#This Row],[Y1 Unit cost]]*Table69630[[#This Row],[Y1 Total quantity]]</f>
        <v>0</v>
      </c>
      <c r="U22" s="1126"/>
      <c r="V22" s="1171"/>
      <c r="W22" s="1171"/>
      <c r="X22" s="1171"/>
      <c r="Y22" s="1171"/>
      <c r="Z22" s="59">
        <f>SUM(Table69630[[#This Row],[Y2 Q1 quantity]:[Y2 Q4 quantity]])</f>
        <v>0</v>
      </c>
      <c r="AA22" s="1142">
        <f>Table69630[[#This Row],[Y2 Unit cost]]*Table69630[[#This Row],[Y2 Total quantity]]</f>
        <v>0</v>
      </c>
      <c r="AB22" s="1126"/>
      <c r="AC22" s="1171"/>
      <c r="AD22" s="1171"/>
      <c r="AE22" s="1171"/>
      <c r="AF22" s="1171"/>
      <c r="AG22" s="59">
        <f>SUM(Table69630[[#This Row],[Y3 Q1 quantity]:[Y3 Q4 quantity]])</f>
        <v>0</v>
      </c>
      <c r="AH22" s="1152">
        <f>Table69630[[#This Row],[Y3 Unit cost]]*Table69630[[#This Row],[Y3 Total quantity]]</f>
        <v>0</v>
      </c>
      <c r="AI22" s="62">
        <f>Table69630[[#This Row],[Y1 Total quantity]]+Table69630[[#This Row],[Y2 Total quantity]]+Table69630[[#This Row],[Y3 Total quantity]]</f>
        <v>0</v>
      </c>
      <c r="AJ22" s="1142">
        <f>Table69630[[#This Row],[Y1 Total cost]]+Table69630[[#This Row],[Y2 Total cost]]+Table69630[[#This Row],[Y3 Total cost]]</f>
        <v>0</v>
      </c>
      <c r="AK22" s="317" t="str">
        <f t="shared" si="0"/>
        <v/>
      </c>
      <c r="AL22" s="1265"/>
      <c r="AM22" s="411"/>
      <c r="AW22" s="556"/>
      <c r="AX22" s="556"/>
      <c r="AY22" s="556"/>
      <c r="AZ22" s="556"/>
      <c r="BA22" s="556"/>
      <c r="BB22" s="556"/>
      <c r="BC22" s="556"/>
      <c r="BD22" s="556"/>
      <c r="BE22" s="556"/>
      <c r="BF22" s="556"/>
      <c r="BG22" s="556"/>
      <c r="BH22" s="556"/>
    </row>
    <row r="23" spans="1:60" s="249" customFormat="1">
      <c r="A23" s="2730"/>
      <c r="B23" s="2730"/>
      <c r="C23" s="2730"/>
      <c r="D23" s="2731"/>
      <c r="E23" s="2755"/>
      <c r="F23" s="2109"/>
      <c r="G23" s="2109"/>
      <c r="H23" s="2109"/>
      <c r="I23" s="2848"/>
      <c r="J23" s="2849"/>
      <c r="K23" s="2850"/>
      <c r="L23" s="313" t="str">
        <f t="shared" si="2"/>
        <v/>
      </c>
      <c r="M23" s="315" t="str">
        <f t="shared" si="3"/>
        <v/>
      </c>
      <c r="N23" s="1121"/>
      <c r="O23" s="1171"/>
      <c r="P23" s="1171"/>
      <c r="Q23" s="1171"/>
      <c r="R23" s="1171"/>
      <c r="S23" s="59">
        <f>SUM(Table69630[[#This Row],[Y1 Q1 quantity]:[Y1 Q4 quantity]])</f>
        <v>0</v>
      </c>
      <c r="T23" s="1132">
        <f>Table69630[[#This Row],[Y1 Unit cost]]*Table69630[[#This Row],[Y1 Total quantity]]</f>
        <v>0</v>
      </c>
      <c r="U23" s="1126"/>
      <c r="V23" s="1171"/>
      <c r="W23" s="1171"/>
      <c r="X23" s="1171"/>
      <c r="Y23" s="1171"/>
      <c r="Z23" s="59">
        <f>SUM(Table69630[[#This Row],[Y2 Q1 quantity]:[Y2 Q4 quantity]])</f>
        <v>0</v>
      </c>
      <c r="AA23" s="1142">
        <f>Table69630[[#This Row],[Y2 Unit cost]]*Table69630[[#This Row],[Y2 Total quantity]]</f>
        <v>0</v>
      </c>
      <c r="AB23" s="1126"/>
      <c r="AC23" s="1171"/>
      <c r="AD23" s="1171"/>
      <c r="AE23" s="1171"/>
      <c r="AF23" s="1171"/>
      <c r="AG23" s="59">
        <f>SUM(Table69630[[#This Row],[Y3 Q1 quantity]:[Y3 Q4 quantity]])</f>
        <v>0</v>
      </c>
      <c r="AH23" s="1152">
        <f>Table69630[[#This Row],[Y3 Unit cost]]*Table69630[[#This Row],[Y3 Total quantity]]</f>
        <v>0</v>
      </c>
      <c r="AI23" s="62">
        <f>Table69630[[#This Row],[Y1 Total quantity]]+Table69630[[#This Row],[Y2 Total quantity]]+Table69630[[#This Row],[Y3 Total quantity]]</f>
        <v>0</v>
      </c>
      <c r="AJ23" s="1142">
        <f>Table69630[[#This Row],[Y1 Total cost]]+Table69630[[#This Row],[Y2 Total cost]]+Table69630[[#This Row],[Y3 Total cost]]</f>
        <v>0</v>
      </c>
      <c r="AK23" s="317" t="str">
        <f t="shared" si="0"/>
        <v/>
      </c>
      <c r="AL23" s="1266"/>
      <c r="AM23" s="411"/>
      <c r="AW23" s="557"/>
      <c r="AX23" s="556"/>
      <c r="AY23" s="556"/>
      <c r="AZ23" s="556"/>
      <c r="BA23" s="556"/>
      <c r="BB23" s="556"/>
      <c r="BC23" s="556"/>
      <c r="BD23" s="556"/>
      <c r="BE23" s="556"/>
      <c r="BF23" s="556"/>
      <c r="BG23" s="556"/>
      <c r="BH23" s="556"/>
    </row>
    <row r="24" spans="1:60" s="249" customFormat="1">
      <c r="A24" s="2732"/>
      <c r="B24" s="2732"/>
      <c r="C24" s="2732"/>
      <c r="D24" s="2733"/>
      <c r="E24" s="2752"/>
      <c r="F24" s="2753"/>
      <c r="G24" s="2753"/>
      <c r="H24" s="2753"/>
      <c r="I24" s="2854"/>
      <c r="J24" s="2855"/>
      <c r="K24" s="2856"/>
      <c r="L24" s="314" t="str">
        <f t="shared" si="2"/>
        <v/>
      </c>
      <c r="M24" s="314" t="str">
        <f t="shared" si="3"/>
        <v/>
      </c>
      <c r="N24" s="1121"/>
      <c r="O24" s="1171"/>
      <c r="P24" s="1171"/>
      <c r="Q24" s="1171"/>
      <c r="R24" s="1171"/>
      <c r="S24" s="59">
        <f>SUM(Table69630[[#This Row],[Y1 Q1 quantity]:[Y1 Q4 quantity]])</f>
        <v>0</v>
      </c>
      <c r="T24" s="1132">
        <f>Table69630[[#This Row],[Y1 Unit cost]]*Table69630[[#This Row],[Y1 Total quantity]]</f>
        <v>0</v>
      </c>
      <c r="U24" s="1126"/>
      <c r="V24" s="1171"/>
      <c r="W24" s="1171"/>
      <c r="X24" s="1171"/>
      <c r="Y24" s="1171"/>
      <c r="Z24" s="59">
        <f>SUM(Table69630[[#This Row],[Y2 Q1 quantity]:[Y2 Q4 quantity]])</f>
        <v>0</v>
      </c>
      <c r="AA24" s="1142">
        <f>Table69630[[#This Row],[Y2 Unit cost]]*Table69630[[#This Row],[Y2 Total quantity]]</f>
        <v>0</v>
      </c>
      <c r="AB24" s="1126"/>
      <c r="AC24" s="1171"/>
      <c r="AD24" s="1171"/>
      <c r="AE24" s="1171"/>
      <c r="AF24" s="1171"/>
      <c r="AG24" s="59">
        <f>SUM(Table69630[[#This Row],[Y3 Q1 quantity]:[Y3 Q4 quantity]])</f>
        <v>0</v>
      </c>
      <c r="AH24" s="1152">
        <f>Table69630[[#This Row],[Y3 Unit cost]]*Table69630[[#This Row],[Y3 Total quantity]]</f>
        <v>0</v>
      </c>
      <c r="AI24" s="62">
        <f>Table69630[[#This Row],[Y1 Total quantity]]+Table69630[[#This Row],[Y2 Total quantity]]+Table69630[[#This Row],[Y3 Total quantity]]</f>
        <v>0</v>
      </c>
      <c r="AJ24" s="1142">
        <f>Table69630[[#This Row],[Y1 Total cost]]+Table69630[[#This Row],[Y2 Total cost]]+Table69630[[#This Row],[Y3 Total cost]]</f>
        <v>0</v>
      </c>
      <c r="AK24" s="317" t="str">
        <f t="shared" si="0"/>
        <v/>
      </c>
      <c r="AL24" s="1265"/>
      <c r="AM24" s="411"/>
      <c r="AU24" s="561">
        <f>SUM(AW24:BH24)</f>
        <v>0</v>
      </c>
      <c r="AV24" s="558" t="s">
        <v>2359</v>
      </c>
      <c r="AW24" s="558">
        <f>SUMPRODUCT(--($AK$130:$AK$231="6.5"), $N$130:$N$231, O130:O231)</f>
        <v>0</v>
      </c>
      <c r="AX24" s="558">
        <f t="shared" ref="AX24:AZ24" si="4">SUMPRODUCT(--($AK$130:$AK$231="6.5"), $N$130:$N$231, P130:P231)</f>
        <v>0</v>
      </c>
      <c r="AY24" s="558">
        <f t="shared" si="4"/>
        <v>0</v>
      </c>
      <c r="AZ24" s="558">
        <f t="shared" si="4"/>
        <v>0</v>
      </c>
      <c r="BA24" s="558">
        <f>SUMPRODUCT(--($AK$130:$AK$231="6.5"), $U$130:$U$231, V130:V231)</f>
        <v>0</v>
      </c>
      <c r="BB24" s="558">
        <f>SUMPRODUCT(--($AK$130:$AK$231="6.5"), $U$130:$U$231, V130:V231)</f>
        <v>0</v>
      </c>
      <c r="BC24" s="558">
        <f>SUMPRODUCT(--($AK$130:$AK$231="6.5"), $U$130:$U$231, W130:W231)</f>
        <v>0</v>
      </c>
      <c r="BD24" s="558">
        <f>SUMPRODUCT(--($AK$130:$AK$231="6.5"), $U$130:$U$231, X130:X231)</f>
        <v>0</v>
      </c>
      <c r="BE24" s="558">
        <f>SUMPRODUCT(--($AK$130:$AK$231="6.5"), $AB$130:$AB$231, AC130:AC231)</f>
        <v>0</v>
      </c>
      <c r="BF24" s="558">
        <f t="shared" ref="BF24:BH24" si="5">SUMPRODUCT(--($AK$130:$AK$231="6.5"), $AB$130:$AB$231, AD130:AD231)</f>
        <v>0</v>
      </c>
      <c r="BG24" s="558">
        <f t="shared" si="5"/>
        <v>0</v>
      </c>
      <c r="BH24" s="558">
        <f t="shared" si="5"/>
        <v>0</v>
      </c>
    </row>
    <row r="25" spans="1:60" s="249" customFormat="1">
      <c r="A25" s="2730"/>
      <c r="B25" s="2730"/>
      <c r="C25" s="2730"/>
      <c r="D25" s="2731"/>
      <c r="E25" s="2755"/>
      <c r="F25" s="2109"/>
      <c r="G25" s="2109"/>
      <c r="H25" s="2109"/>
      <c r="I25" s="2848"/>
      <c r="J25" s="2849"/>
      <c r="K25" s="2850"/>
      <c r="L25" s="313" t="str">
        <f t="shared" si="2"/>
        <v/>
      </c>
      <c r="M25" s="315" t="str">
        <f t="shared" si="3"/>
        <v/>
      </c>
      <c r="N25" s="1121"/>
      <c r="O25" s="1171"/>
      <c r="P25" s="1171"/>
      <c r="Q25" s="1171"/>
      <c r="R25" s="1171"/>
      <c r="S25" s="59">
        <f>SUM(Table69630[[#This Row],[Y1 Q1 quantity]:[Y1 Q4 quantity]])</f>
        <v>0</v>
      </c>
      <c r="T25" s="1132">
        <f>Table69630[[#This Row],[Y1 Unit cost]]*Table69630[[#This Row],[Y1 Total quantity]]</f>
        <v>0</v>
      </c>
      <c r="U25" s="1126"/>
      <c r="V25" s="1171"/>
      <c r="W25" s="1171"/>
      <c r="X25" s="1171"/>
      <c r="Y25" s="1171"/>
      <c r="Z25" s="59">
        <f>SUM(Table69630[[#This Row],[Y2 Q1 quantity]:[Y2 Q4 quantity]])</f>
        <v>0</v>
      </c>
      <c r="AA25" s="1142">
        <f>Table69630[[#This Row],[Y2 Unit cost]]*Table69630[[#This Row],[Y2 Total quantity]]</f>
        <v>0</v>
      </c>
      <c r="AB25" s="1126"/>
      <c r="AC25" s="1171"/>
      <c r="AD25" s="1171"/>
      <c r="AE25" s="1171"/>
      <c r="AF25" s="1171"/>
      <c r="AG25" s="59">
        <f>SUM(Table69630[[#This Row],[Y3 Q1 quantity]:[Y3 Q4 quantity]])</f>
        <v>0</v>
      </c>
      <c r="AH25" s="1152">
        <f>Table69630[[#This Row],[Y3 Unit cost]]*Table69630[[#This Row],[Y3 Total quantity]]</f>
        <v>0</v>
      </c>
      <c r="AI25" s="62">
        <f>Table69630[[#This Row],[Y1 Total quantity]]+Table69630[[#This Row],[Y2 Total quantity]]+Table69630[[#This Row],[Y3 Total quantity]]</f>
        <v>0</v>
      </c>
      <c r="AJ25" s="1142">
        <f>Table69630[[#This Row],[Y1 Total cost]]+Table69630[[#This Row],[Y2 Total cost]]+Table69630[[#This Row],[Y3 Total cost]]</f>
        <v>0</v>
      </c>
      <c r="AK25" s="317" t="str">
        <f t="shared" si="0"/>
        <v/>
      </c>
      <c r="AL25" s="1266"/>
      <c r="AM25" s="411"/>
    </row>
    <row r="26" spans="1:60" s="249" customFormat="1">
      <c r="A26" s="2732"/>
      <c r="B26" s="2732"/>
      <c r="C26" s="2732"/>
      <c r="D26" s="2733"/>
      <c r="E26" s="2752"/>
      <c r="F26" s="2753"/>
      <c r="G26" s="2753"/>
      <c r="H26" s="2753"/>
      <c r="I26" s="2854"/>
      <c r="J26" s="2855"/>
      <c r="K26" s="2856"/>
      <c r="L26" s="314" t="str">
        <f t="shared" si="2"/>
        <v/>
      </c>
      <c r="M26" s="314" t="str">
        <f t="shared" si="3"/>
        <v/>
      </c>
      <c r="N26" s="1121"/>
      <c r="O26" s="1171"/>
      <c r="P26" s="1171"/>
      <c r="Q26" s="1171"/>
      <c r="R26" s="1171"/>
      <c r="S26" s="59">
        <f>SUM(Table69630[[#This Row],[Y1 Q1 quantity]:[Y1 Q4 quantity]])</f>
        <v>0</v>
      </c>
      <c r="T26" s="1132">
        <f>Table69630[[#This Row],[Y1 Unit cost]]*Table69630[[#This Row],[Y1 Total quantity]]</f>
        <v>0</v>
      </c>
      <c r="U26" s="1126"/>
      <c r="V26" s="1171"/>
      <c r="W26" s="1171"/>
      <c r="X26" s="1171"/>
      <c r="Y26" s="1171"/>
      <c r="Z26" s="59">
        <f>SUM(Table69630[[#This Row],[Y2 Q1 quantity]:[Y2 Q4 quantity]])</f>
        <v>0</v>
      </c>
      <c r="AA26" s="1142">
        <f>Table69630[[#This Row],[Y2 Unit cost]]*Table69630[[#This Row],[Y2 Total quantity]]</f>
        <v>0</v>
      </c>
      <c r="AB26" s="1126"/>
      <c r="AC26" s="1171"/>
      <c r="AD26" s="1171"/>
      <c r="AE26" s="1171"/>
      <c r="AF26" s="1171"/>
      <c r="AG26" s="59">
        <f>SUM(Table69630[[#This Row],[Y3 Q1 quantity]:[Y3 Q4 quantity]])</f>
        <v>0</v>
      </c>
      <c r="AH26" s="1152">
        <f>Table69630[[#This Row],[Y3 Unit cost]]*Table69630[[#This Row],[Y3 Total quantity]]</f>
        <v>0</v>
      </c>
      <c r="AI26" s="62">
        <f>Table69630[[#This Row],[Y1 Total quantity]]+Table69630[[#This Row],[Y2 Total quantity]]+Table69630[[#This Row],[Y3 Total quantity]]</f>
        <v>0</v>
      </c>
      <c r="AJ26" s="1142">
        <f>Table69630[[#This Row],[Y1 Total cost]]+Table69630[[#This Row],[Y2 Total cost]]+Table69630[[#This Row],[Y3 Total cost]]</f>
        <v>0</v>
      </c>
      <c r="AK26" s="317" t="str">
        <f t="shared" si="0"/>
        <v/>
      </c>
      <c r="AL26" s="1265"/>
      <c r="AM26" s="411"/>
      <c r="AV26" s="612"/>
    </row>
    <row r="27" spans="1:60" s="249" customFormat="1" ht="19">
      <c r="A27" s="2730"/>
      <c r="B27" s="2730"/>
      <c r="C27" s="2730"/>
      <c r="D27" s="2731"/>
      <c r="E27" s="2755"/>
      <c r="F27" s="2109"/>
      <c r="G27" s="2109"/>
      <c r="H27" s="2109"/>
      <c r="I27" s="2848"/>
      <c r="J27" s="2849"/>
      <c r="K27" s="2850"/>
      <c r="L27" s="313" t="str">
        <f t="shared" si="2"/>
        <v/>
      </c>
      <c r="M27" s="315" t="str">
        <f t="shared" si="3"/>
        <v/>
      </c>
      <c r="N27" s="1121"/>
      <c r="O27" s="1171"/>
      <c r="P27" s="1171"/>
      <c r="Q27" s="1171"/>
      <c r="R27" s="1171"/>
      <c r="S27" s="59">
        <f>SUM(Table69630[[#This Row],[Y1 Q1 quantity]:[Y1 Q4 quantity]])</f>
        <v>0</v>
      </c>
      <c r="T27" s="1132">
        <f>Table69630[[#This Row],[Y1 Unit cost]]*Table69630[[#This Row],[Y1 Total quantity]]</f>
        <v>0</v>
      </c>
      <c r="U27" s="1126"/>
      <c r="V27" s="1171"/>
      <c r="W27" s="1171"/>
      <c r="X27" s="1171"/>
      <c r="Y27" s="1171"/>
      <c r="Z27" s="59">
        <f>SUM(Table69630[[#This Row],[Y2 Q1 quantity]:[Y2 Q4 quantity]])</f>
        <v>0</v>
      </c>
      <c r="AA27" s="1142">
        <f>Table69630[[#This Row],[Y2 Unit cost]]*Table69630[[#This Row],[Y2 Total quantity]]</f>
        <v>0</v>
      </c>
      <c r="AB27" s="1126"/>
      <c r="AC27" s="1171"/>
      <c r="AD27" s="1171"/>
      <c r="AE27" s="1171"/>
      <c r="AF27" s="1171"/>
      <c r="AG27" s="59">
        <f>SUM(Table69630[[#This Row],[Y3 Q1 quantity]:[Y3 Q4 quantity]])</f>
        <v>0</v>
      </c>
      <c r="AH27" s="1152">
        <f>Table69630[[#This Row],[Y3 Unit cost]]*Table69630[[#This Row],[Y3 Total quantity]]</f>
        <v>0</v>
      </c>
      <c r="AI27" s="62">
        <f>Table69630[[#This Row],[Y1 Total quantity]]+Table69630[[#This Row],[Y2 Total quantity]]+Table69630[[#This Row],[Y3 Total quantity]]</f>
        <v>0</v>
      </c>
      <c r="AJ27" s="1142">
        <f>Table69630[[#This Row],[Y1 Total cost]]+Table69630[[#This Row],[Y2 Total cost]]+Table69630[[#This Row],[Y3 Total cost]]</f>
        <v>0</v>
      </c>
      <c r="AK27" s="317" t="str">
        <f t="shared" si="0"/>
        <v/>
      </c>
      <c r="AL27" s="1266"/>
      <c r="AM27" s="411"/>
      <c r="AW27" s="679"/>
    </row>
    <row r="28" spans="1:60" s="249" customFormat="1">
      <c r="A28" s="2732"/>
      <c r="B28" s="2732"/>
      <c r="C28" s="2732"/>
      <c r="D28" s="2733"/>
      <c r="E28" s="2752"/>
      <c r="F28" s="2753"/>
      <c r="G28" s="2753"/>
      <c r="H28" s="2753"/>
      <c r="I28" s="2854"/>
      <c r="J28" s="2855"/>
      <c r="K28" s="2856"/>
      <c r="L28" s="314" t="str">
        <f t="shared" si="2"/>
        <v/>
      </c>
      <c r="M28" s="314" t="str">
        <f t="shared" si="3"/>
        <v/>
      </c>
      <c r="N28" s="1121"/>
      <c r="O28" s="1171"/>
      <c r="P28" s="1171"/>
      <c r="Q28" s="1171"/>
      <c r="R28" s="1171"/>
      <c r="S28" s="59">
        <f>SUM(Table69630[[#This Row],[Y1 Q1 quantity]:[Y1 Q4 quantity]])</f>
        <v>0</v>
      </c>
      <c r="T28" s="1132">
        <f>Table69630[[#This Row],[Y1 Unit cost]]*Table69630[[#This Row],[Y1 Total quantity]]</f>
        <v>0</v>
      </c>
      <c r="U28" s="1126"/>
      <c r="V28" s="1171"/>
      <c r="W28" s="1171"/>
      <c r="X28" s="1171"/>
      <c r="Y28" s="1171"/>
      <c r="Z28" s="59">
        <f>SUM(Table69630[[#This Row],[Y2 Q1 quantity]:[Y2 Q4 quantity]])</f>
        <v>0</v>
      </c>
      <c r="AA28" s="1142">
        <f>Table69630[[#This Row],[Y2 Unit cost]]*Table69630[[#This Row],[Y2 Total quantity]]</f>
        <v>0</v>
      </c>
      <c r="AB28" s="1126"/>
      <c r="AC28" s="1171"/>
      <c r="AD28" s="1171"/>
      <c r="AE28" s="1171"/>
      <c r="AF28" s="1171"/>
      <c r="AG28" s="59">
        <f>SUM(Table69630[[#This Row],[Y3 Q1 quantity]:[Y3 Q4 quantity]])</f>
        <v>0</v>
      </c>
      <c r="AH28" s="1152">
        <f>Table69630[[#This Row],[Y3 Unit cost]]*Table69630[[#This Row],[Y3 Total quantity]]</f>
        <v>0</v>
      </c>
      <c r="AI28" s="62">
        <f>Table69630[[#This Row],[Y1 Total quantity]]+Table69630[[#This Row],[Y2 Total quantity]]+Table69630[[#This Row],[Y3 Total quantity]]</f>
        <v>0</v>
      </c>
      <c r="AJ28" s="1142">
        <f>Table69630[[#This Row],[Y1 Total cost]]+Table69630[[#This Row],[Y2 Total cost]]+Table69630[[#This Row],[Y3 Total cost]]</f>
        <v>0</v>
      </c>
      <c r="AK28" s="309" t="str">
        <f t="shared" si="0"/>
        <v/>
      </c>
      <c r="AL28" s="1265"/>
      <c r="AM28" s="411"/>
    </row>
    <row r="29" spans="1:60" s="249" customFormat="1">
      <c r="A29" s="2730"/>
      <c r="B29" s="2730"/>
      <c r="C29" s="2730"/>
      <c r="D29" s="2731"/>
      <c r="E29" s="2755"/>
      <c r="F29" s="2109"/>
      <c r="G29" s="2109"/>
      <c r="H29" s="2109"/>
      <c r="I29" s="2848"/>
      <c r="J29" s="2849"/>
      <c r="K29" s="2850"/>
      <c r="L29" s="313" t="str">
        <f t="shared" si="2"/>
        <v/>
      </c>
      <c r="M29" s="315" t="str">
        <f t="shared" si="3"/>
        <v/>
      </c>
      <c r="N29" s="1121"/>
      <c r="O29" s="1171"/>
      <c r="P29" s="1171"/>
      <c r="Q29" s="1171"/>
      <c r="R29" s="1171"/>
      <c r="S29" s="59">
        <f>SUM(Table69630[[#This Row],[Y1 Q1 quantity]:[Y1 Q4 quantity]])</f>
        <v>0</v>
      </c>
      <c r="T29" s="1132">
        <f>Table69630[[#This Row],[Y1 Unit cost]]*Table69630[[#This Row],[Y1 Total quantity]]</f>
        <v>0</v>
      </c>
      <c r="U29" s="1126"/>
      <c r="V29" s="1171"/>
      <c r="W29" s="1171"/>
      <c r="X29" s="1171"/>
      <c r="Y29" s="1171"/>
      <c r="Z29" s="59">
        <f>SUM(Table69630[[#This Row],[Y2 Q1 quantity]:[Y2 Q4 quantity]])</f>
        <v>0</v>
      </c>
      <c r="AA29" s="1142">
        <f>Table69630[[#This Row],[Y2 Unit cost]]*Table69630[[#This Row],[Y2 Total quantity]]</f>
        <v>0</v>
      </c>
      <c r="AB29" s="1126"/>
      <c r="AC29" s="1171"/>
      <c r="AD29" s="1171"/>
      <c r="AE29" s="1171"/>
      <c r="AF29" s="1171"/>
      <c r="AG29" s="59">
        <f>SUM(Table69630[[#This Row],[Y3 Q1 quantity]:[Y3 Q4 quantity]])</f>
        <v>0</v>
      </c>
      <c r="AH29" s="1152">
        <f>Table69630[[#This Row],[Y3 Unit cost]]*Table69630[[#This Row],[Y3 Total quantity]]</f>
        <v>0</v>
      </c>
      <c r="AI29" s="62">
        <f>Table69630[[#This Row],[Y1 Total quantity]]+Table69630[[#This Row],[Y2 Total quantity]]+Table69630[[#This Row],[Y3 Total quantity]]</f>
        <v>0</v>
      </c>
      <c r="AJ29" s="1142">
        <f>Table69630[[#This Row],[Y1 Total cost]]+Table69630[[#This Row],[Y2 Total cost]]+Table69630[[#This Row],[Y3 Total cost]]</f>
        <v>0</v>
      </c>
      <c r="AK29" s="309" t="str">
        <f t="shared" si="0"/>
        <v/>
      </c>
      <c r="AL29" s="1266"/>
      <c r="AM29" s="411"/>
    </row>
    <row r="30" spans="1:60" s="249" customFormat="1">
      <c r="A30" s="2732"/>
      <c r="B30" s="2732"/>
      <c r="C30" s="2732"/>
      <c r="D30" s="2733"/>
      <c r="E30" s="2752"/>
      <c r="F30" s="2753"/>
      <c r="G30" s="2753"/>
      <c r="H30" s="2753"/>
      <c r="I30" s="2854"/>
      <c r="J30" s="2855"/>
      <c r="K30" s="2856"/>
      <c r="L30" s="314" t="str">
        <f t="shared" si="2"/>
        <v/>
      </c>
      <c r="M30" s="314" t="str">
        <f t="shared" si="3"/>
        <v/>
      </c>
      <c r="N30" s="1121"/>
      <c r="O30" s="1171"/>
      <c r="P30" s="1171"/>
      <c r="Q30" s="1171"/>
      <c r="R30" s="1171"/>
      <c r="S30" s="59">
        <f>SUM(Table69630[[#This Row],[Y1 Q1 quantity]:[Y1 Q4 quantity]])</f>
        <v>0</v>
      </c>
      <c r="T30" s="1132">
        <f>Table69630[[#This Row],[Y1 Unit cost]]*Table69630[[#This Row],[Y1 Total quantity]]</f>
        <v>0</v>
      </c>
      <c r="U30" s="1126"/>
      <c r="V30" s="1171"/>
      <c r="W30" s="1171"/>
      <c r="X30" s="1171"/>
      <c r="Y30" s="1171"/>
      <c r="Z30" s="59">
        <f>SUM(Table69630[[#This Row],[Y2 Q1 quantity]:[Y2 Q4 quantity]])</f>
        <v>0</v>
      </c>
      <c r="AA30" s="1142">
        <f>Table69630[[#This Row],[Y2 Unit cost]]*Table69630[[#This Row],[Y2 Total quantity]]</f>
        <v>0</v>
      </c>
      <c r="AB30" s="1126"/>
      <c r="AC30" s="1171"/>
      <c r="AD30" s="1171"/>
      <c r="AE30" s="1171"/>
      <c r="AF30" s="1171"/>
      <c r="AG30" s="59">
        <f>SUM(Table69630[[#This Row],[Y3 Q1 quantity]:[Y3 Q4 quantity]])</f>
        <v>0</v>
      </c>
      <c r="AH30" s="1152">
        <f>Table69630[[#This Row],[Y3 Unit cost]]*Table69630[[#This Row],[Y3 Total quantity]]</f>
        <v>0</v>
      </c>
      <c r="AI30" s="62">
        <f>Table69630[[#This Row],[Y1 Total quantity]]+Table69630[[#This Row],[Y2 Total quantity]]+Table69630[[#This Row],[Y3 Total quantity]]</f>
        <v>0</v>
      </c>
      <c r="AJ30" s="1142">
        <f>Table69630[[#This Row],[Y1 Total cost]]+Table69630[[#This Row],[Y2 Total cost]]+Table69630[[#This Row],[Y3 Total cost]]</f>
        <v>0</v>
      </c>
      <c r="AK30" s="309" t="str">
        <f t="shared" si="0"/>
        <v/>
      </c>
      <c r="AL30" s="1265"/>
      <c r="AM30" s="411"/>
    </row>
    <row r="31" spans="1:60" s="249" customFormat="1">
      <c r="A31" s="2730"/>
      <c r="B31" s="2730"/>
      <c r="C31" s="2730"/>
      <c r="D31" s="2731"/>
      <c r="E31" s="2755"/>
      <c r="F31" s="2109"/>
      <c r="G31" s="2109"/>
      <c r="H31" s="2109"/>
      <c r="I31" s="2848"/>
      <c r="J31" s="2849"/>
      <c r="K31" s="2850"/>
      <c r="L31" s="313" t="str">
        <f t="shared" si="2"/>
        <v/>
      </c>
      <c r="M31" s="315" t="str">
        <f t="shared" si="3"/>
        <v/>
      </c>
      <c r="N31" s="1121"/>
      <c r="O31" s="1171"/>
      <c r="P31" s="1171"/>
      <c r="Q31" s="1171"/>
      <c r="R31" s="1171"/>
      <c r="S31" s="59">
        <f>SUM(Table69630[[#This Row],[Y1 Q1 quantity]:[Y1 Q4 quantity]])</f>
        <v>0</v>
      </c>
      <c r="T31" s="1132">
        <f>Table69630[[#This Row],[Y1 Unit cost]]*Table69630[[#This Row],[Y1 Total quantity]]</f>
        <v>0</v>
      </c>
      <c r="U31" s="1126"/>
      <c r="V31" s="1171"/>
      <c r="W31" s="1171"/>
      <c r="X31" s="1171"/>
      <c r="Y31" s="1171"/>
      <c r="Z31" s="59">
        <f>SUM(Table69630[[#This Row],[Y2 Q1 quantity]:[Y2 Q4 quantity]])</f>
        <v>0</v>
      </c>
      <c r="AA31" s="1142">
        <f>Table69630[[#This Row],[Y2 Unit cost]]*Table69630[[#This Row],[Y2 Total quantity]]</f>
        <v>0</v>
      </c>
      <c r="AB31" s="1126"/>
      <c r="AC31" s="1171"/>
      <c r="AD31" s="1171"/>
      <c r="AE31" s="1171"/>
      <c r="AF31" s="1171"/>
      <c r="AG31" s="59">
        <f>SUM(Table69630[[#This Row],[Y3 Q1 quantity]:[Y3 Q4 quantity]])</f>
        <v>0</v>
      </c>
      <c r="AH31" s="1152">
        <f>Table69630[[#This Row],[Y3 Unit cost]]*Table69630[[#This Row],[Y3 Total quantity]]</f>
        <v>0</v>
      </c>
      <c r="AI31" s="62">
        <f>Table69630[[#This Row],[Y1 Total quantity]]+Table69630[[#This Row],[Y2 Total quantity]]+Table69630[[#This Row],[Y3 Total quantity]]</f>
        <v>0</v>
      </c>
      <c r="AJ31" s="1142">
        <f>Table69630[[#This Row],[Y1 Total cost]]+Table69630[[#This Row],[Y2 Total cost]]+Table69630[[#This Row],[Y3 Total cost]]</f>
        <v>0</v>
      </c>
      <c r="AK31" s="309" t="str">
        <f t="shared" si="0"/>
        <v/>
      </c>
      <c r="AL31" s="1266"/>
      <c r="AM31" s="411"/>
    </row>
    <row r="32" spans="1:60" s="249" customFormat="1">
      <c r="A32" s="2732"/>
      <c r="B32" s="2732"/>
      <c r="C32" s="2732"/>
      <c r="D32" s="2733"/>
      <c r="E32" s="2752"/>
      <c r="F32" s="2753"/>
      <c r="G32" s="2753"/>
      <c r="H32" s="2753"/>
      <c r="I32" s="2854"/>
      <c r="J32" s="2855"/>
      <c r="K32" s="2856"/>
      <c r="L32" s="314" t="str">
        <f t="shared" si="2"/>
        <v/>
      </c>
      <c r="M32" s="314" t="str">
        <f t="shared" si="3"/>
        <v/>
      </c>
      <c r="N32" s="1121"/>
      <c r="O32" s="1171"/>
      <c r="P32" s="1171"/>
      <c r="Q32" s="1171"/>
      <c r="R32" s="1171"/>
      <c r="S32" s="59">
        <f>SUM(Table69630[[#This Row],[Y1 Q1 quantity]:[Y1 Q4 quantity]])</f>
        <v>0</v>
      </c>
      <c r="T32" s="1132">
        <f>Table69630[[#This Row],[Y1 Unit cost]]*Table69630[[#This Row],[Y1 Total quantity]]</f>
        <v>0</v>
      </c>
      <c r="U32" s="1126"/>
      <c r="V32" s="1171"/>
      <c r="W32" s="1171"/>
      <c r="X32" s="1171"/>
      <c r="Y32" s="1171"/>
      <c r="Z32" s="59">
        <f>SUM(Table69630[[#This Row],[Y2 Q1 quantity]:[Y2 Q4 quantity]])</f>
        <v>0</v>
      </c>
      <c r="AA32" s="1142">
        <f>Table69630[[#This Row],[Y2 Unit cost]]*Table69630[[#This Row],[Y2 Total quantity]]</f>
        <v>0</v>
      </c>
      <c r="AB32" s="1126"/>
      <c r="AC32" s="1171"/>
      <c r="AD32" s="1171"/>
      <c r="AE32" s="1171"/>
      <c r="AF32" s="1171"/>
      <c r="AG32" s="59">
        <f>SUM(Table69630[[#This Row],[Y3 Q1 quantity]:[Y3 Q4 quantity]])</f>
        <v>0</v>
      </c>
      <c r="AH32" s="1152">
        <f>Table69630[[#This Row],[Y3 Unit cost]]*Table69630[[#This Row],[Y3 Total quantity]]</f>
        <v>0</v>
      </c>
      <c r="AI32" s="62">
        <f>Table69630[[#This Row],[Y1 Total quantity]]+Table69630[[#This Row],[Y2 Total quantity]]+Table69630[[#This Row],[Y3 Total quantity]]</f>
        <v>0</v>
      </c>
      <c r="AJ32" s="1142">
        <f>Table69630[[#This Row],[Y1 Total cost]]+Table69630[[#This Row],[Y2 Total cost]]+Table69630[[#This Row],[Y3 Total cost]]</f>
        <v>0</v>
      </c>
      <c r="AK32" s="309" t="str">
        <f t="shared" si="0"/>
        <v/>
      </c>
      <c r="AL32" s="1265"/>
      <c r="AM32" s="411"/>
    </row>
    <row r="33" spans="1:60" s="249" customFormat="1" ht="15" thickBot="1">
      <c r="A33" s="2734"/>
      <c r="B33" s="2734"/>
      <c r="C33" s="2734"/>
      <c r="D33" s="2735"/>
      <c r="E33" s="2857"/>
      <c r="F33" s="2858"/>
      <c r="G33" s="2858"/>
      <c r="H33" s="2858"/>
      <c r="I33" s="2868"/>
      <c r="J33" s="2869"/>
      <c r="K33" s="2870"/>
      <c r="L33" s="316" t="str">
        <f t="shared" si="2"/>
        <v/>
      </c>
      <c r="M33" s="316" t="str">
        <f t="shared" si="3"/>
        <v/>
      </c>
      <c r="N33" s="1122"/>
      <c r="O33" s="1172"/>
      <c r="P33" s="1172"/>
      <c r="Q33" s="1172"/>
      <c r="R33" s="1172"/>
      <c r="S33" s="60">
        <f>SUM(Table69630[[#This Row],[Y1 Q1 quantity]:[Y1 Q4 quantity]])</f>
        <v>0</v>
      </c>
      <c r="T33" s="1133">
        <f>Table69630[[#This Row],[Y1 Unit cost]]*Table69630[[#This Row],[Y1 Total quantity]]</f>
        <v>0</v>
      </c>
      <c r="U33" s="1127"/>
      <c r="V33" s="1172"/>
      <c r="W33" s="1172"/>
      <c r="X33" s="1172"/>
      <c r="Y33" s="1172"/>
      <c r="Z33" s="60">
        <f>SUM(Table69630[[#This Row],[Y2 Q1 quantity]:[Y2 Q4 quantity]])</f>
        <v>0</v>
      </c>
      <c r="AA33" s="1143">
        <f>Table69630[[#This Row],[Y2 Unit cost]]*Table69630[[#This Row],[Y2 Total quantity]]</f>
        <v>0</v>
      </c>
      <c r="AB33" s="1127"/>
      <c r="AC33" s="1172"/>
      <c r="AD33" s="1172"/>
      <c r="AE33" s="1172"/>
      <c r="AF33" s="1172"/>
      <c r="AG33" s="60">
        <f>SUM(Table69630[[#This Row],[Y3 Q1 quantity]:[Y3 Q4 quantity]])</f>
        <v>0</v>
      </c>
      <c r="AH33" s="1153">
        <f>Table69630[[#This Row],[Y3 Unit cost]]*Table69630[[#This Row],[Y3 Total quantity]]</f>
        <v>0</v>
      </c>
      <c r="AI33" s="63">
        <f>Table69630[[#This Row],[Y1 Total quantity]]+Table69630[[#This Row],[Y2 Total quantity]]+Table69630[[#This Row],[Y3 Total quantity]]</f>
        <v>0</v>
      </c>
      <c r="AJ33" s="1143">
        <f>Table69630[[#This Row],[Y1 Total cost]]+Table69630[[#This Row],[Y2 Total cost]]+Table69630[[#This Row],[Y3 Total cost]]</f>
        <v>0</v>
      </c>
      <c r="AK33" s="310" t="str">
        <f t="shared" si="0"/>
        <v/>
      </c>
      <c r="AL33" s="1267"/>
      <c r="AM33" s="411"/>
      <c r="AW33" s="105"/>
      <c r="AX33" s="105"/>
      <c r="AY33" s="105"/>
      <c r="AZ33" s="105"/>
      <c r="BA33" s="105"/>
      <c r="BB33" s="105"/>
      <c r="BC33" s="105"/>
      <c r="BD33" s="105"/>
      <c r="BE33" s="105"/>
      <c r="BF33" s="105"/>
      <c r="BG33" s="105"/>
      <c r="BH33" s="105"/>
    </row>
    <row r="34" spans="1:60">
      <c r="A34" s="239"/>
      <c r="B34" s="124"/>
      <c r="C34" s="124"/>
      <c r="D34" s="124"/>
      <c r="E34" s="124"/>
      <c r="F34" s="124"/>
      <c r="G34" s="124"/>
      <c r="H34" s="124"/>
      <c r="I34" s="124"/>
      <c r="J34" s="124"/>
      <c r="K34" s="124"/>
      <c r="L34" s="124"/>
      <c r="M34" s="124"/>
      <c r="N34" s="1074"/>
      <c r="O34" s="1104"/>
      <c r="P34" s="1104"/>
      <c r="Q34" s="1104"/>
      <c r="R34" s="1104"/>
      <c r="S34" s="1104"/>
      <c r="T34" s="1074"/>
      <c r="U34" s="1074"/>
      <c r="V34" s="1104"/>
      <c r="W34" s="1104"/>
      <c r="X34" s="1104"/>
      <c r="Y34" s="1104"/>
      <c r="Z34" s="1104"/>
      <c r="AA34" s="1074"/>
      <c r="AB34" s="1074"/>
      <c r="AC34" s="1104"/>
      <c r="AD34" s="1104"/>
      <c r="AE34" s="1104"/>
      <c r="AF34" s="1104"/>
      <c r="AG34" s="1104"/>
      <c r="AH34" s="1077"/>
      <c r="AI34" s="1104"/>
    </row>
    <row r="35" spans="1:60" ht="15" thickBot="1">
      <c r="A35" s="240"/>
      <c r="B35" s="140"/>
      <c r="C35" s="140"/>
      <c r="D35" s="140"/>
      <c r="E35" s="140"/>
      <c r="F35" s="140"/>
      <c r="G35" s="140"/>
      <c r="H35" s="140"/>
      <c r="I35" s="140"/>
      <c r="J35" s="121"/>
      <c r="K35" s="121"/>
      <c r="L35" s="121"/>
      <c r="M35" s="121"/>
      <c r="N35" s="968"/>
      <c r="O35" s="1097"/>
      <c r="P35" s="1097"/>
      <c r="Q35" s="1097"/>
      <c r="R35" s="1097"/>
      <c r="S35" s="1097"/>
      <c r="T35" s="968"/>
      <c r="U35" s="968"/>
      <c r="V35" s="1097"/>
      <c r="W35" s="1097"/>
      <c r="X35" s="1097"/>
      <c r="Y35" s="1097"/>
      <c r="Z35" s="1097"/>
      <c r="AA35" s="968"/>
      <c r="AB35" s="968"/>
      <c r="AC35" s="1097"/>
      <c r="AD35" s="1097"/>
      <c r="AE35" s="1097"/>
      <c r="AF35" s="1097"/>
      <c r="AG35" s="1097"/>
      <c r="AH35" s="968"/>
      <c r="AI35" s="1097"/>
    </row>
    <row r="36" spans="1:60" ht="15" customHeight="1" thickBot="1">
      <c r="A36" s="2757">
        <v>2</v>
      </c>
      <c r="B36" s="2759" t="s">
        <v>527</v>
      </c>
      <c r="C36" s="2759"/>
      <c r="D36" s="2759"/>
      <c r="E36" s="2759"/>
      <c r="F36" s="379" t="s">
        <v>528</v>
      </c>
      <c r="G36" s="379"/>
      <c r="H36" s="2647" t="s">
        <v>529</v>
      </c>
      <c r="I36" s="2647" t="s">
        <v>526</v>
      </c>
      <c r="J36" s="2644" t="s">
        <v>6895</v>
      </c>
      <c r="K36"/>
      <c r="L36"/>
      <c r="M36" s="121"/>
      <c r="N36" s="968"/>
      <c r="O36" s="1097"/>
      <c r="P36" s="1097"/>
      <c r="Q36" s="1097"/>
      <c r="R36" s="1097"/>
      <c r="S36" s="1097"/>
      <c r="T36" s="968"/>
      <c r="U36" s="968"/>
      <c r="V36" s="1097"/>
      <c r="W36" s="1097"/>
      <c r="X36" s="1097"/>
      <c r="Y36" s="1097"/>
      <c r="Z36" s="1097"/>
      <c r="AA36" s="968"/>
      <c r="AB36" s="968"/>
      <c r="AC36" s="1097"/>
      <c r="AD36" s="1097"/>
      <c r="AE36" s="1097"/>
      <c r="AF36" s="1097"/>
      <c r="AG36" s="1097"/>
      <c r="AH36" s="968"/>
      <c r="AI36" s="1097"/>
    </row>
    <row r="37" spans="1:60" ht="34.5" customHeight="1" thickBot="1">
      <c r="A37" s="2758"/>
      <c r="B37" s="2760"/>
      <c r="C37" s="2760"/>
      <c r="D37" s="2760"/>
      <c r="E37" s="2760"/>
      <c r="F37" s="381"/>
      <c r="G37" s="381"/>
      <c r="H37" s="2765"/>
      <c r="I37" s="2765"/>
      <c r="J37" s="2804"/>
      <c r="K37"/>
      <c r="L37"/>
      <c r="M37" s="121"/>
      <c r="N37" s="968"/>
      <c r="O37" s="1097"/>
      <c r="P37" s="1097"/>
      <c r="Q37" s="1097"/>
      <c r="R37" s="1097"/>
      <c r="S37" s="1097"/>
      <c r="T37" s="968"/>
      <c r="U37" s="968"/>
      <c r="V37" s="1097"/>
      <c r="W37" s="1097"/>
      <c r="X37" s="1097"/>
      <c r="Y37" s="1097"/>
      <c r="Z37" s="1097"/>
      <c r="AA37" s="968"/>
      <c r="AB37" s="968"/>
      <c r="AC37" s="1097"/>
      <c r="AD37" s="1097"/>
      <c r="AE37" s="1097"/>
      <c r="AF37" s="1097"/>
      <c r="AG37" s="1097"/>
      <c r="AH37" s="968"/>
      <c r="AI37" s="1097"/>
      <c r="AV37" s="564"/>
    </row>
    <row r="38" spans="1:60" ht="101.25" customHeight="1">
      <c r="A38" s="2080" t="s">
        <v>6902</v>
      </c>
      <c r="B38" s="2081"/>
      <c r="C38" s="2081"/>
      <c r="D38" s="2081"/>
      <c r="E38" s="2081"/>
      <c r="F38" s="2081"/>
      <c r="G38" s="2081"/>
      <c r="H38" s="2081"/>
      <c r="I38" s="2081"/>
      <c r="J38" s="2081"/>
      <c r="K38" s="2081"/>
      <c r="L38" s="2081"/>
      <c r="M38" s="2145"/>
      <c r="N38" s="1075"/>
      <c r="O38" s="1160"/>
      <c r="P38" s="1160"/>
      <c r="Q38" s="1160"/>
      <c r="R38" s="1160"/>
      <c r="S38" s="1160"/>
      <c r="T38" s="1075"/>
      <c r="U38" s="1075"/>
      <c r="V38" s="1160"/>
      <c r="W38" s="1160"/>
      <c r="X38" s="1160"/>
      <c r="Y38" s="1160"/>
      <c r="Z38" s="1160"/>
      <c r="AA38" s="1075"/>
      <c r="AB38" s="1075"/>
      <c r="AC38" s="1160"/>
      <c r="AD38" s="1160"/>
      <c r="AE38" s="1160"/>
      <c r="AF38" s="1160"/>
      <c r="AG38" s="1160"/>
      <c r="AH38" s="1075"/>
      <c r="AI38" s="1160"/>
    </row>
    <row r="39" spans="1:60" ht="16" thickBot="1">
      <c r="A39" s="240"/>
      <c r="B39" s="161"/>
      <c r="C39" s="161"/>
      <c r="D39" s="162"/>
      <c r="E39" s="162"/>
      <c r="F39" s="163"/>
      <c r="G39" s="163"/>
      <c r="H39" s="163"/>
      <c r="I39" s="163"/>
      <c r="J39" s="163"/>
      <c r="K39" s="163"/>
      <c r="L39" s="163"/>
      <c r="M39" s="163"/>
      <c r="N39" s="1082"/>
      <c r="O39" s="1099"/>
      <c r="P39" s="1099"/>
      <c r="Q39" s="1099"/>
      <c r="R39" s="1099"/>
      <c r="S39" s="1099"/>
      <c r="T39" s="1082"/>
      <c r="U39" s="1082"/>
      <c r="V39" s="1099"/>
      <c r="W39" s="1099"/>
      <c r="X39" s="1099"/>
      <c r="Y39" s="1099"/>
      <c r="Z39" s="1099"/>
      <c r="AA39" s="1082"/>
      <c r="AB39" s="1082"/>
      <c r="AC39" s="1099"/>
      <c r="AD39" s="1099"/>
      <c r="AE39" s="1099"/>
      <c r="AF39" s="1099"/>
      <c r="AG39" s="1099"/>
      <c r="AH39" s="1154"/>
      <c r="AI39" s="1160"/>
      <c r="AV39" s="345"/>
      <c r="AW39" s="345"/>
      <c r="AX39" s="345"/>
      <c r="AY39" s="345"/>
      <c r="AZ39" s="345"/>
      <c r="BA39" s="345"/>
      <c r="BB39" s="345"/>
      <c r="BC39" s="345"/>
      <c r="BD39" s="345"/>
      <c r="BE39" s="345"/>
      <c r="BF39" s="345"/>
      <c r="BG39" s="345"/>
      <c r="BH39" s="345"/>
    </row>
    <row r="40" spans="1:60" s="345" customFormat="1" ht="15" thickBot="1">
      <c r="A40" s="2740" t="s">
        <v>1233</v>
      </c>
      <c r="B40" s="2738"/>
      <c r="C40" s="2738"/>
      <c r="D40" s="2738"/>
      <c r="E40" s="2871" t="s">
        <v>196</v>
      </c>
      <c r="F40" s="2736"/>
      <c r="G40" s="2736"/>
      <c r="H40" s="2872"/>
      <c r="I40" s="2859" t="s">
        <v>530</v>
      </c>
      <c r="J40" s="2860"/>
      <c r="K40" s="2861"/>
      <c r="L40" s="2863" t="s">
        <v>151</v>
      </c>
      <c r="M40" s="2835" t="s">
        <v>49</v>
      </c>
      <c r="N40" s="2865" t="str">
        <f>N12</f>
        <v>Please fill setup</v>
      </c>
      <c r="O40" s="2866"/>
      <c r="P40" s="2866"/>
      <c r="Q40" s="2866"/>
      <c r="R40" s="2866"/>
      <c r="S40" s="2866"/>
      <c r="T40" s="2867"/>
      <c r="U40" s="2749" t="str">
        <f>U12</f>
        <v>Please fill setup</v>
      </c>
      <c r="V40" s="2750"/>
      <c r="W40" s="2750"/>
      <c r="X40" s="2750"/>
      <c r="Y40" s="2750"/>
      <c r="Z40" s="2750"/>
      <c r="AA40" s="2751"/>
      <c r="AB40" s="2749" t="str">
        <f>AB12</f>
        <v>Please fill setup</v>
      </c>
      <c r="AC40" s="2750"/>
      <c r="AD40" s="2750"/>
      <c r="AE40" s="2750"/>
      <c r="AF40" s="2750"/>
      <c r="AG40" s="2750"/>
      <c r="AH40" s="2751"/>
      <c r="AI40" s="2736" t="s">
        <v>152</v>
      </c>
      <c r="AJ40" s="2737"/>
      <c r="AK40" s="325" t="s">
        <v>153</v>
      </c>
      <c r="AL40" s="2884" t="s">
        <v>6866</v>
      </c>
      <c r="AV40" s="409"/>
      <c r="AW40" s="409"/>
      <c r="AX40" s="409"/>
      <c r="AY40" s="409"/>
      <c r="AZ40" s="409"/>
      <c r="BA40" s="409"/>
      <c r="BB40" s="409"/>
      <c r="BC40" s="409"/>
      <c r="BD40" s="409"/>
      <c r="BE40" s="409"/>
      <c r="BF40" s="409"/>
      <c r="BG40" s="409"/>
      <c r="BH40" s="409"/>
    </row>
    <row r="41" spans="1:60" s="409" customFormat="1" ht="26.5" thickBot="1">
      <c r="A41" s="2742"/>
      <c r="B41" s="2739"/>
      <c r="C41" s="2739"/>
      <c r="D41" s="2739"/>
      <c r="E41" s="2873"/>
      <c r="F41" s="2739"/>
      <c r="G41" s="2739"/>
      <c r="H41" s="2743"/>
      <c r="I41" s="2874"/>
      <c r="J41" s="2875"/>
      <c r="K41" s="2876"/>
      <c r="L41" s="2864"/>
      <c r="M41" s="2836"/>
      <c r="N41" s="1123" t="s">
        <v>198</v>
      </c>
      <c r="O41" s="1169" t="s">
        <v>155</v>
      </c>
      <c r="P41" s="1169" t="s">
        <v>156</v>
      </c>
      <c r="Q41" s="1169" t="s">
        <v>157</v>
      </c>
      <c r="R41" s="1169" t="s">
        <v>158</v>
      </c>
      <c r="S41" s="1169" t="s">
        <v>159</v>
      </c>
      <c r="T41" s="1123" t="s">
        <v>160</v>
      </c>
      <c r="U41" s="1137" t="s">
        <v>161</v>
      </c>
      <c r="V41" s="1173" t="s">
        <v>162</v>
      </c>
      <c r="W41" s="1173" t="s">
        <v>163</v>
      </c>
      <c r="X41" s="1173" t="s">
        <v>164</v>
      </c>
      <c r="Y41" s="1173" t="s">
        <v>165</v>
      </c>
      <c r="Z41" s="1173" t="s">
        <v>166</v>
      </c>
      <c r="AA41" s="1144" t="s">
        <v>167</v>
      </c>
      <c r="AB41" s="1145" t="s">
        <v>168</v>
      </c>
      <c r="AC41" s="1173" t="s">
        <v>169</v>
      </c>
      <c r="AD41" s="1173" t="s">
        <v>170</v>
      </c>
      <c r="AE41" s="1173" t="s">
        <v>171</v>
      </c>
      <c r="AF41" s="1173" t="s">
        <v>172</v>
      </c>
      <c r="AG41" s="1173" t="s">
        <v>173</v>
      </c>
      <c r="AH41" s="1145" t="s">
        <v>174</v>
      </c>
      <c r="AI41" s="1162" t="s">
        <v>175</v>
      </c>
      <c r="AJ41" s="1144" t="s">
        <v>176</v>
      </c>
      <c r="AK41" s="326" t="s">
        <v>309</v>
      </c>
      <c r="AL41" s="2885"/>
      <c r="AV41" s="249"/>
      <c r="AW41" s="249"/>
      <c r="AX41" s="249"/>
      <c r="AY41" s="249"/>
      <c r="AZ41" s="249"/>
      <c r="BA41" s="249"/>
      <c r="BB41" s="249"/>
      <c r="BC41" s="249"/>
      <c r="BD41" s="249"/>
      <c r="BE41" s="249"/>
      <c r="BF41" s="249"/>
      <c r="BG41" s="249"/>
      <c r="BH41" s="249"/>
    </row>
    <row r="42" spans="1:60" s="249" customFormat="1">
      <c r="A42" s="2728"/>
      <c r="B42" s="2729"/>
      <c r="C42" s="2729"/>
      <c r="D42" s="2729"/>
      <c r="E42" s="2773"/>
      <c r="F42" s="2774"/>
      <c r="G42" s="2774"/>
      <c r="H42" s="2775"/>
      <c r="I42" s="2845"/>
      <c r="J42" s="2846"/>
      <c r="K42" s="2847"/>
      <c r="L42" s="312" t="str">
        <f>IF(E42="","",IF(OR(ISNUMBER(SEARCH("Pf/VOM",E42)),ISNUMBER(SEARCH("Other",E42)),ISNUMBER(SEARCH("- PAN",E42))),"Piece","Pack"))</f>
        <v/>
      </c>
      <c r="M42" s="319" t="str">
        <f>IF(L42="", "","USD")</f>
        <v/>
      </c>
      <c r="N42" s="1120"/>
      <c r="O42" s="1170"/>
      <c r="P42" s="1170"/>
      <c r="Q42" s="1170"/>
      <c r="R42" s="1170"/>
      <c r="S42" s="58">
        <f>SUM(Table69141833[[#This Row],[Y1 Q1 quantity]:[Y1 Q4 quantity]])</f>
        <v>0</v>
      </c>
      <c r="T42" s="1131">
        <f>Table69141833[[#This Row],[Y1 Unit cost]]*Table69141833[[#This Row],[Y1 Total quantity]]</f>
        <v>0</v>
      </c>
      <c r="U42" s="1120"/>
      <c r="V42" s="1170"/>
      <c r="W42" s="1170"/>
      <c r="X42" s="1170"/>
      <c r="Y42" s="1170"/>
      <c r="Z42" s="59">
        <f>SUM(Table69141833[[#This Row],[Y2 Q1 quantity]:[Y2 Q4 quantity]])</f>
        <v>0</v>
      </c>
      <c r="AA42" s="1142">
        <f>Table69141833[[#This Row],[Y2 Unit cost]]*Table69141833[[#This Row],[Y2 Total quantity]]</f>
        <v>0</v>
      </c>
      <c r="AB42" s="1120"/>
      <c r="AC42" s="1170"/>
      <c r="AD42" s="1170"/>
      <c r="AE42" s="1170"/>
      <c r="AF42" s="1170"/>
      <c r="AG42" s="59">
        <f>SUM(Table69141833[[#This Row],[Y3 Q1 quantity]:[Y3 Q4 quantity]])</f>
        <v>0</v>
      </c>
      <c r="AH42" s="1152">
        <f>Table69141833[[#This Row],[Y3 Unit cost]]*Table69141833[[#This Row],[Y3 Total quantity]]</f>
        <v>0</v>
      </c>
      <c r="AI42" s="65">
        <f>Table69141833[[#This Row],[Y1 Total quantity]]+Table69141833[[#This Row],[Y2 Total quantity]]+Table69141833[[#This Row],[Y3 Total quantity]]</f>
        <v>0</v>
      </c>
      <c r="AJ42" s="1158">
        <f>Table69141833[[#This Row],[Y1 Total cost]]+Table69141833[[#This Row],[Y2 Total cost]]+Table69141833[[#This Row],[Y3 Total cost]]</f>
        <v>0</v>
      </c>
      <c r="AK42" s="327" t="str">
        <f t="shared" ref="AK42:AK56" si="6">IF(ISBLANK(E42),"","5.4")</f>
        <v/>
      </c>
      <c r="AL42" s="1265"/>
      <c r="AM42" s="613" t="s">
        <v>531</v>
      </c>
    </row>
    <row r="43" spans="1:60" s="249" customFormat="1">
      <c r="A43" s="2730"/>
      <c r="B43" s="2730"/>
      <c r="C43" s="2730"/>
      <c r="D43" s="2731"/>
      <c r="E43" s="2755"/>
      <c r="F43" s="2109"/>
      <c r="G43" s="2109"/>
      <c r="H43" s="2756"/>
      <c r="I43" s="2848"/>
      <c r="J43" s="2849"/>
      <c r="K43" s="2850"/>
      <c r="L43" s="320" t="str">
        <f>IF(E43="","",IF(OR(ISNUMBER(SEARCH("Pf/VOM",E43)),ISNUMBER(SEARCH("Other",E43)),ISNUMBER(SEARCH("- PAN",E43))),"Piece","Pack"))</f>
        <v/>
      </c>
      <c r="M43" s="321" t="str">
        <f>IF(L43="", "","USD")</f>
        <v/>
      </c>
      <c r="N43" s="1121"/>
      <c r="O43" s="1171"/>
      <c r="P43" s="1171"/>
      <c r="Q43" s="1171"/>
      <c r="R43" s="1171"/>
      <c r="S43" s="59">
        <f>SUM(Table69141833[[#This Row],[Y1 Q1 quantity]:[Y1 Q4 quantity]])</f>
        <v>0</v>
      </c>
      <c r="T43" s="1132">
        <f>Table69141833[[#This Row],[Y1 Unit cost]]*Table69141833[[#This Row],[Y1 Total quantity]]</f>
        <v>0</v>
      </c>
      <c r="U43" s="1126"/>
      <c r="V43" s="1171"/>
      <c r="W43" s="1171"/>
      <c r="X43" s="1171"/>
      <c r="Y43" s="1171"/>
      <c r="Z43" s="59">
        <f>SUM(Table69141833[[#This Row],[Y2 Q1 quantity]:[Y2 Q4 quantity]])</f>
        <v>0</v>
      </c>
      <c r="AA43" s="1142">
        <f>Table69141833[[#This Row],[Y2 Unit cost]]*Table69141833[[#This Row],[Y2 Total quantity]]</f>
        <v>0</v>
      </c>
      <c r="AB43" s="1126"/>
      <c r="AC43" s="1171"/>
      <c r="AD43" s="1171"/>
      <c r="AE43" s="1171"/>
      <c r="AF43" s="1171"/>
      <c r="AG43" s="59">
        <f>SUM(Table69141833[[#This Row],[Y3 Q1 quantity]:[Y3 Q4 quantity]])</f>
        <v>0</v>
      </c>
      <c r="AH43" s="1152">
        <f>Table69141833[[#This Row],[Y3 Unit cost]]*Table69141833[[#This Row],[Y3 Total quantity]]</f>
        <v>0</v>
      </c>
      <c r="AI43" s="65">
        <f>Table69141833[[#This Row],[Y1 Total quantity]]+Table69141833[[#This Row],[Y2 Total quantity]]+Table69141833[[#This Row],[Y3 Total quantity]]</f>
        <v>0</v>
      </c>
      <c r="AJ43" s="1158">
        <f>Table69141833[[#This Row],[Y1 Total cost]]+Table69141833[[#This Row],[Y2 Total cost]]+Table69141833[[#This Row],[Y3 Total cost]]</f>
        <v>0</v>
      </c>
      <c r="AK43" s="328" t="str">
        <f t="shared" si="6"/>
        <v/>
      </c>
      <c r="AL43" s="1266"/>
    </row>
    <row r="44" spans="1:60" s="249" customFormat="1">
      <c r="A44" s="2732"/>
      <c r="B44" s="2732"/>
      <c r="C44" s="2732"/>
      <c r="D44" s="2733"/>
      <c r="E44" s="2752"/>
      <c r="F44" s="2753"/>
      <c r="G44" s="2753"/>
      <c r="H44" s="2754"/>
      <c r="I44" s="2854"/>
      <c r="J44" s="2855"/>
      <c r="K44" s="2856"/>
      <c r="L44" s="314" t="str">
        <f t="shared" ref="L44:L56" si="7">IF(E44="","",IF(OR(ISNUMBER(SEARCH("Pf/VOM",E44)),ISNUMBER(SEARCH("Other",E44)),ISNUMBER(SEARCH("- PAN",E44))),"Piece","Pack"))</f>
        <v/>
      </c>
      <c r="M44" s="319" t="str">
        <f>IF(L44="", "","USD")</f>
        <v/>
      </c>
      <c r="N44" s="1121"/>
      <c r="O44" s="1171"/>
      <c r="P44" s="1171"/>
      <c r="Q44" s="1171"/>
      <c r="R44" s="1171"/>
      <c r="S44" s="59">
        <f>SUM(Table69141833[[#This Row],[Y1 Q1 quantity]:[Y1 Q4 quantity]])</f>
        <v>0</v>
      </c>
      <c r="T44" s="1132">
        <f>Table69141833[[#This Row],[Y1 Unit cost]]*Table69141833[[#This Row],[Y1 Total quantity]]</f>
        <v>0</v>
      </c>
      <c r="U44" s="1126"/>
      <c r="V44" s="1171"/>
      <c r="W44" s="1171"/>
      <c r="X44" s="1171"/>
      <c r="Y44" s="1171"/>
      <c r="Z44" s="59">
        <f>SUM(Table69141833[[#This Row],[Y2 Q1 quantity]:[Y2 Q4 quantity]])</f>
        <v>0</v>
      </c>
      <c r="AA44" s="1142">
        <f>Table69141833[[#This Row],[Y2 Unit cost]]*Table69141833[[#This Row],[Y2 Total quantity]]</f>
        <v>0</v>
      </c>
      <c r="AB44" s="1126"/>
      <c r="AC44" s="1171"/>
      <c r="AD44" s="1171"/>
      <c r="AE44" s="1171"/>
      <c r="AF44" s="1171"/>
      <c r="AG44" s="59">
        <f>SUM(Table69141833[[#This Row],[Y3 Q1 quantity]:[Y3 Q4 quantity]])</f>
        <v>0</v>
      </c>
      <c r="AH44" s="1152">
        <f>Table69141833[[#This Row],[Y3 Unit cost]]*Table69141833[[#This Row],[Y3 Total quantity]]</f>
        <v>0</v>
      </c>
      <c r="AI44" s="65">
        <f>Table69141833[[#This Row],[Y1 Total quantity]]+Table69141833[[#This Row],[Y2 Total quantity]]+Table69141833[[#This Row],[Y3 Total quantity]]</f>
        <v>0</v>
      </c>
      <c r="AJ44" s="1158">
        <f>Table69141833[[#This Row],[Y1 Total cost]]+Table69141833[[#This Row],[Y2 Total cost]]+Table69141833[[#This Row],[Y3 Total cost]]</f>
        <v>0</v>
      </c>
      <c r="AK44" s="329" t="str">
        <f t="shared" si="6"/>
        <v/>
      </c>
      <c r="AL44" s="1265"/>
    </row>
    <row r="45" spans="1:60" s="249" customFormat="1">
      <c r="A45" s="2730"/>
      <c r="B45" s="2730"/>
      <c r="C45" s="2730"/>
      <c r="D45" s="2731"/>
      <c r="E45" s="2755"/>
      <c r="F45" s="2109"/>
      <c r="G45" s="2109"/>
      <c r="H45" s="2756"/>
      <c r="I45" s="2848"/>
      <c r="J45" s="2849"/>
      <c r="K45" s="2850"/>
      <c r="L45" s="320" t="str">
        <f t="shared" si="7"/>
        <v/>
      </c>
      <c r="M45" s="322" t="str">
        <f t="shared" ref="M45:M56" si="8">IF(L45="", "","USD")</f>
        <v/>
      </c>
      <c r="N45" s="1121"/>
      <c r="O45" s="1171"/>
      <c r="P45" s="1171"/>
      <c r="Q45" s="1171"/>
      <c r="R45" s="1171"/>
      <c r="S45" s="59">
        <f>SUM(Table69141833[[#This Row],[Y1 Q1 quantity]:[Y1 Q4 quantity]])</f>
        <v>0</v>
      </c>
      <c r="T45" s="1132">
        <f>Table69141833[[#This Row],[Y1 Unit cost]]*Table69141833[[#This Row],[Y1 Total quantity]]</f>
        <v>0</v>
      </c>
      <c r="U45" s="1126"/>
      <c r="V45" s="1171"/>
      <c r="W45" s="1171"/>
      <c r="X45" s="1171"/>
      <c r="Y45" s="1171"/>
      <c r="Z45" s="59">
        <f>SUM(Table69141833[[#This Row],[Y2 Q1 quantity]:[Y2 Q4 quantity]])</f>
        <v>0</v>
      </c>
      <c r="AA45" s="1142">
        <f>Table69141833[[#This Row],[Y2 Unit cost]]*Table69141833[[#This Row],[Y2 Total quantity]]</f>
        <v>0</v>
      </c>
      <c r="AB45" s="1126"/>
      <c r="AC45" s="1171"/>
      <c r="AD45" s="1171"/>
      <c r="AE45" s="1171"/>
      <c r="AF45" s="1171"/>
      <c r="AG45" s="59">
        <f>SUM(Table69141833[[#This Row],[Y3 Q1 quantity]:[Y3 Q4 quantity]])</f>
        <v>0</v>
      </c>
      <c r="AH45" s="1152">
        <f>Table69141833[[#This Row],[Y3 Unit cost]]*Table69141833[[#This Row],[Y3 Total quantity]]</f>
        <v>0</v>
      </c>
      <c r="AI45" s="65">
        <f>Table69141833[[#This Row],[Y1 Total quantity]]+Table69141833[[#This Row],[Y2 Total quantity]]+Table69141833[[#This Row],[Y3 Total quantity]]</f>
        <v>0</v>
      </c>
      <c r="AJ45" s="1158">
        <f>Table69141833[[#This Row],[Y1 Total cost]]+Table69141833[[#This Row],[Y2 Total cost]]+Table69141833[[#This Row],[Y3 Total cost]]</f>
        <v>0</v>
      </c>
      <c r="AK45" s="329" t="str">
        <f t="shared" si="6"/>
        <v/>
      </c>
      <c r="AL45" s="1266"/>
    </row>
    <row r="46" spans="1:60" s="249" customFormat="1">
      <c r="A46" s="2732"/>
      <c r="B46" s="2732"/>
      <c r="C46" s="2732"/>
      <c r="D46" s="2733"/>
      <c r="E46" s="2752"/>
      <c r="F46" s="2753"/>
      <c r="G46" s="2753"/>
      <c r="H46" s="2754"/>
      <c r="I46" s="2854"/>
      <c r="J46" s="2855"/>
      <c r="K46" s="2856"/>
      <c r="L46" s="314" t="str">
        <f t="shared" si="7"/>
        <v/>
      </c>
      <c r="M46" s="319" t="str">
        <f t="shared" si="8"/>
        <v/>
      </c>
      <c r="N46" s="1121"/>
      <c r="O46" s="1171"/>
      <c r="P46" s="1171"/>
      <c r="Q46" s="1171"/>
      <c r="R46" s="1171"/>
      <c r="S46" s="59">
        <f>SUM(Table69141833[[#This Row],[Y1 Q1 quantity]:[Y1 Q4 quantity]])</f>
        <v>0</v>
      </c>
      <c r="T46" s="1132">
        <f>Table69141833[[#This Row],[Y1 Unit cost]]*Table69141833[[#This Row],[Y1 Total quantity]]</f>
        <v>0</v>
      </c>
      <c r="U46" s="1126"/>
      <c r="V46" s="1171"/>
      <c r="W46" s="1171"/>
      <c r="X46" s="1171"/>
      <c r="Y46" s="1171"/>
      <c r="Z46" s="59">
        <f>SUM(Table69141833[[#This Row],[Y2 Q1 quantity]:[Y2 Q4 quantity]])</f>
        <v>0</v>
      </c>
      <c r="AA46" s="1142">
        <f>Table69141833[[#This Row],[Y2 Unit cost]]*Table69141833[[#This Row],[Y2 Total quantity]]</f>
        <v>0</v>
      </c>
      <c r="AB46" s="1126"/>
      <c r="AC46" s="1171"/>
      <c r="AD46" s="1171"/>
      <c r="AE46" s="1171"/>
      <c r="AF46" s="1171"/>
      <c r="AG46" s="59">
        <f>SUM(Table69141833[[#This Row],[Y3 Q1 quantity]:[Y3 Q4 quantity]])</f>
        <v>0</v>
      </c>
      <c r="AH46" s="1152">
        <f>Table69141833[[#This Row],[Y3 Unit cost]]*Table69141833[[#This Row],[Y3 Total quantity]]</f>
        <v>0</v>
      </c>
      <c r="AI46" s="65">
        <f>Table69141833[[#This Row],[Y1 Total quantity]]+Table69141833[[#This Row],[Y2 Total quantity]]+Table69141833[[#This Row],[Y3 Total quantity]]</f>
        <v>0</v>
      </c>
      <c r="AJ46" s="1158">
        <f>Table69141833[[#This Row],[Y1 Total cost]]+Table69141833[[#This Row],[Y2 Total cost]]+Table69141833[[#This Row],[Y3 Total cost]]</f>
        <v>0</v>
      </c>
      <c r="AK46" s="329" t="str">
        <f t="shared" si="6"/>
        <v/>
      </c>
      <c r="AL46" s="1265"/>
    </row>
    <row r="47" spans="1:60" s="249" customFormat="1">
      <c r="A47" s="2730"/>
      <c r="B47" s="2730"/>
      <c r="C47" s="2730"/>
      <c r="D47" s="2731"/>
      <c r="E47" s="2755"/>
      <c r="F47" s="2109"/>
      <c r="G47" s="2109"/>
      <c r="H47" s="2756"/>
      <c r="I47" s="2848"/>
      <c r="J47" s="2849"/>
      <c r="K47" s="2850"/>
      <c r="L47" s="320" t="str">
        <f>IF(E47="","",IF(OR(ISNUMBER(SEARCH("Pf/VOM",E47)),ISNUMBER(SEARCH("Other",E47)),ISNUMBER(SEARCH("- PAN",E47))),"Piece","Pack"))</f>
        <v/>
      </c>
      <c r="M47" s="322" t="str">
        <f t="shared" si="8"/>
        <v/>
      </c>
      <c r="N47" s="1121"/>
      <c r="O47" s="1171"/>
      <c r="P47" s="1171"/>
      <c r="Q47" s="1171"/>
      <c r="R47" s="1171"/>
      <c r="S47" s="59">
        <f>SUM(Table69141833[[#This Row],[Y1 Q1 quantity]:[Y1 Q4 quantity]])</f>
        <v>0</v>
      </c>
      <c r="T47" s="1132">
        <f>Table69141833[[#This Row],[Y1 Unit cost]]*Table69141833[[#This Row],[Y1 Total quantity]]</f>
        <v>0</v>
      </c>
      <c r="U47" s="1126"/>
      <c r="V47" s="1171"/>
      <c r="W47" s="1171"/>
      <c r="X47" s="1171"/>
      <c r="Y47" s="1171"/>
      <c r="Z47" s="59">
        <f>SUM(Table69141833[[#This Row],[Y2 Q1 quantity]:[Y2 Q4 quantity]])</f>
        <v>0</v>
      </c>
      <c r="AA47" s="1142">
        <f>Table69141833[[#This Row],[Y2 Unit cost]]*Table69141833[[#This Row],[Y2 Total quantity]]</f>
        <v>0</v>
      </c>
      <c r="AB47" s="1126"/>
      <c r="AC47" s="1171"/>
      <c r="AD47" s="1171"/>
      <c r="AE47" s="1171"/>
      <c r="AF47" s="1171"/>
      <c r="AG47" s="59">
        <f>SUM(Table69141833[[#This Row],[Y3 Q1 quantity]:[Y3 Q4 quantity]])</f>
        <v>0</v>
      </c>
      <c r="AH47" s="1152">
        <f>Table69141833[[#This Row],[Y3 Unit cost]]*Table69141833[[#This Row],[Y3 Total quantity]]</f>
        <v>0</v>
      </c>
      <c r="AI47" s="65">
        <f>Table69141833[[#This Row],[Y1 Total quantity]]+Table69141833[[#This Row],[Y2 Total quantity]]+Table69141833[[#This Row],[Y3 Total quantity]]</f>
        <v>0</v>
      </c>
      <c r="AJ47" s="1158">
        <f>Table69141833[[#This Row],[Y1 Total cost]]+Table69141833[[#This Row],[Y2 Total cost]]+Table69141833[[#This Row],[Y3 Total cost]]</f>
        <v>0</v>
      </c>
      <c r="AK47" s="329" t="str">
        <f t="shared" si="6"/>
        <v/>
      </c>
      <c r="AL47" s="1266"/>
    </row>
    <row r="48" spans="1:60" s="249" customFormat="1">
      <c r="A48" s="2732"/>
      <c r="B48" s="2732"/>
      <c r="C48" s="2732"/>
      <c r="D48" s="2733"/>
      <c r="E48" s="2752"/>
      <c r="F48" s="2753"/>
      <c r="G48" s="2753"/>
      <c r="H48" s="2754"/>
      <c r="I48" s="2854"/>
      <c r="J48" s="2855"/>
      <c r="K48" s="2856"/>
      <c r="L48" s="314" t="str">
        <f>IF(E48="","",IF(OR(ISNUMBER(SEARCH("Pf/VOM",E48)),ISNUMBER(SEARCH("Other",E48)),ISNUMBER(SEARCH("- PAN",E48))),"Piece","Pack"))</f>
        <v/>
      </c>
      <c r="M48" s="319" t="str">
        <f t="shared" si="8"/>
        <v/>
      </c>
      <c r="N48" s="1121"/>
      <c r="O48" s="1171"/>
      <c r="P48" s="1171"/>
      <c r="Q48" s="1171"/>
      <c r="R48" s="1171"/>
      <c r="S48" s="59">
        <f>SUM(Table69141833[[#This Row],[Y1 Q1 quantity]:[Y1 Q4 quantity]])</f>
        <v>0</v>
      </c>
      <c r="T48" s="1132">
        <f>Table69141833[[#This Row],[Y1 Unit cost]]*Table69141833[[#This Row],[Y1 Total quantity]]</f>
        <v>0</v>
      </c>
      <c r="U48" s="1126"/>
      <c r="V48" s="1171"/>
      <c r="W48" s="1171"/>
      <c r="X48" s="1171"/>
      <c r="Y48" s="1171"/>
      <c r="Z48" s="59">
        <f>SUM(Table69141833[[#This Row],[Y2 Q1 quantity]:[Y2 Q4 quantity]])</f>
        <v>0</v>
      </c>
      <c r="AA48" s="1142">
        <f>Table69141833[[#This Row],[Y2 Unit cost]]*Table69141833[[#This Row],[Y2 Total quantity]]</f>
        <v>0</v>
      </c>
      <c r="AB48" s="1126"/>
      <c r="AC48" s="1171"/>
      <c r="AD48" s="1171"/>
      <c r="AE48" s="1171"/>
      <c r="AF48" s="1171"/>
      <c r="AG48" s="59">
        <f>SUM(Table69141833[[#This Row],[Y3 Q1 quantity]:[Y3 Q4 quantity]])</f>
        <v>0</v>
      </c>
      <c r="AH48" s="1152">
        <f>Table69141833[[#This Row],[Y3 Unit cost]]*Table69141833[[#This Row],[Y3 Total quantity]]</f>
        <v>0</v>
      </c>
      <c r="AI48" s="65">
        <f>Table69141833[[#This Row],[Y1 Total quantity]]+Table69141833[[#This Row],[Y2 Total quantity]]+Table69141833[[#This Row],[Y3 Total quantity]]</f>
        <v>0</v>
      </c>
      <c r="AJ48" s="1158">
        <f>Table69141833[[#This Row],[Y1 Total cost]]+Table69141833[[#This Row],[Y2 Total cost]]+Table69141833[[#This Row],[Y3 Total cost]]</f>
        <v>0</v>
      </c>
      <c r="AK48" s="329" t="str">
        <f t="shared" si="6"/>
        <v/>
      </c>
      <c r="AL48" s="1265"/>
    </row>
    <row r="49" spans="1:60" s="249" customFormat="1">
      <c r="A49" s="2730"/>
      <c r="B49" s="2730"/>
      <c r="C49" s="2730"/>
      <c r="D49" s="2731"/>
      <c r="E49" s="2755"/>
      <c r="F49" s="2109"/>
      <c r="G49" s="2109"/>
      <c r="H49" s="2756"/>
      <c r="I49" s="2848"/>
      <c r="J49" s="2849"/>
      <c r="K49" s="2850"/>
      <c r="L49" s="320" t="str">
        <f>IF(E49="","",IF(OR(ISNUMBER(SEARCH("Pf/VOM",E49)),ISNUMBER(SEARCH("Other",E49)),ISNUMBER(SEARCH("- PAN",E49))),"Piece","Pack"))</f>
        <v/>
      </c>
      <c r="M49" s="322" t="str">
        <f t="shared" si="8"/>
        <v/>
      </c>
      <c r="N49" s="1121"/>
      <c r="O49" s="1171"/>
      <c r="P49" s="1171"/>
      <c r="Q49" s="1171"/>
      <c r="R49" s="1171"/>
      <c r="S49" s="59">
        <f>SUM(Table69141833[[#This Row],[Y1 Q1 quantity]:[Y1 Q4 quantity]])</f>
        <v>0</v>
      </c>
      <c r="T49" s="1132">
        <f>Table69141833[[#This Row],[Y1 Unit cost]]*Table69141833[[#This Row],[Y1 Total quantity]]</f>
        <v>0</v>
      </c>
      <c r="U49" s="1126"/>
      <c r="V49" s="1171"/>
      <c r="W49" s="1171"/>
      <c r="X49" s="1171"/>
      <c r="Y49" s="1171"/>
      <c r="Z49" s="59">
        <f>SUM(Table69141833[[#This Row],[Y2 Q1 quantity]:[Y2 Q4 quantity]])</f>
        <v>0</v>
      </c>
      <c r="AA49" s="1142">
        <f>Table69141833[[#This Row],[Y2 Unit cost]]*Table69141833[[#This Row],[Y2 Total quantity]]</f>
        <v>0</v>
      </c>
      <c r="AB49" s="1126"/>
      <c r="AC49" s="1171"/>
      <c r="AD49" s="1171"/>
      <c r="AE49" s="1171"/>
      <c r="AF49" s="1171"/>
      <c r="AG49" s="59">
        <f>SUM(Table69141833[[#This Row],[Y3 Q1 quantity]:[Y3 Q4 quantity]])</f>
        <v>0</v>
      </c>
      <c r="AH49" s="1152">
        <f>Table69141833[[#This Row],[Y3 Unit cost]]*Table69141833[[#This Row],[Y3 Total quantity]]</f>
        <v>0</v>
      </c>
      <c r="AI49" s="65">
        <f>Table69141833[[#This Row],[Y1 Total quantity]]+Table69141833[[#This Row],[Y2 Total quantity]]+Table69141833[[#This Row],[Y3 Total quantity]]</f>
        <v>0</v>
      </c>
      <c r="AJ49" s="1158">
        <f>Table69141833[[#This Row],[Y1 Total cost]]+Table69141833[[#This Row],[Y2 Total cost]]+Table69141833[[#This Row],[Y3 Total cost]]</f>
        <v>0</v>
      </c>
      <c r="AK49" s="329" t="str">
        <f t="shared" si="6"/>
        <v/>
      </c>
      <c r="AL49" s="1266"/>
    </row>
    <row r="50" spans="1:60" s="249" customFormat="1">
      <c r="A50" s="2732"/>
      <c r="B50" s="2732"/>
      <c r="C50" s="2732"/>
      <c r="D50" s="2733"/>
      <c r="E50" s="2752"/>
      <c r="F50" s="2753"/>
      <c r="G50" s="2753"/>
      <c r="H50" s="2754"/>
      <c r="I50" s="2854"/>
      <c r="J50" s="2855"/>
      <c r="K50" s="2856"/>
      <c r="L50" s="314" t="str">
        <f>IF(E50="","",IF(OR(ISNUMBER(SEARCH("Pf/VOM",E50)),ISNUMBER(SEARCH("Other",E50)),ISNUMBER(SEARCH("- PAN",E50))),"Piece","Pack"))</f>
        <v/>
      </c>
      <c r="M50" s="319" t="str">
        <f t="shared" si="8"/>
        <v/>
      </c>
      <c r="N50" s="1121"/>
      <c r="O50" s="1171"/>
      <c r="P50" s="1171"/>
      <c r="Q50" s="1171"/>
      <c r="R50" s="1171"/>
      <c r="S50" s="59">
        <f>SUM(Table69141833[[#This Row],[Y1 Q1 quantity]:[Y1 Q4 quantity]])</f>
        <v>0</v>
      </c>
      <c r="T50" s="1132">
        <f>Table69141833[[#This Row],[Y1 Unit cost]]*Table69141833[[#This Row],[Y1 Total quantity]]</f>
        <v>0</v>
      </c>
      <c r="U50" s="1126"/>
      <c r="V50" s="1171"/>
      <c r="W50" s="1171"/>
      <c r="X50" s="1171"/>
      <c r="Y50" s="1171"/>
      <c r="Z50" s="59">
        <f>SUM(Table69141833[[#This Row],[Y2 Q1 quantity]:[Y2 Q4 quantity]])</f>
        <v>0</v>
      </c>
      <c r="AA50" s="1142">
        <f>Table69141833[[#This Row],[Y2 Unit cost]]*Table69141833[[#This Row],[Y2 Total quantity]]</f>
        <v>0</v>
      </c>
      <c r="AB50" s="1126"/>
      <c r="AC50" s="1171"/>
      <c r="AD50" s="1171"/>
      <c r="AE50" s="1171"/>
      <c r="AF50" s="1171"/>
      <c r="AG50" s="59">
        <f>SUM(Table69141833[[#This Row],[Y3 Q1 quantity]:[Y3 Q4 quantity]])</f>
        <v>0</v>
      </c>
      <c r="AH50" s="1152">
        <f>Table69141833[[#This Row],[Y3 Unit cost]]*Table69141833[[#This Row],[Y3 Total quantity]]</f>
        <v>0</v>
      </c>
      <c r="AI50" s="65">
        <f>Table69141833[[#This Row],[Y1 Total quantity]]+Table69141833[[#This Row],[Y2 Total quantity]]+Table69141833[[#This Row],[Y3 Total quantity]]</f>
        <v>0</v>
      </c>
      <c r="AJ50" s="1158">
        <f>Table69141833[[#This Row],[Y1 Total cost]]+Table69141833[[#This Row],[Y2 Total cost]]+Table69141833[[#This Row],[Y3 Total cost]]</f>
        <v>0</v>
      </c>
      <c r="AK50" s="329" t="str">
        <f t="shared" si="6"/>
        <v/>
      </c>
      <c r="AL50" s="1265"/>
    </row>
    <row r="51" spans="1:60" s="249" customFormat="1">
      <c r="A51" s="2730"/>
      <c r="B51" s="2730"/>
      <c r="C51" s="2730"/>
      <c r="D51" s="2731"/>
      <c r="E51" s="2755"/>
      <c r="F51" s="2109"/>
      <c r="G51" s="2109"/>
      <c r="H51" s="2756"/>
      <c r="I51" s="2848"/>
      <c r="J51" s="2849"/>
      <c r="K51" s="2850"/>
      <c r="L51" s="320" t="str">
        <f t="shared" si="7"/>
        <v/>
      </c>
      <c r="M51" s="322" t="str">
        <f t="shared" si="8"/>
        <v/>
      </c>
      <c r="N51" s="1121"/>
      <c r="O51" s="1171"/>
      <c r="P51" s="1171"/>
      <c r="Q51" s="1171"/>
      <c r="R51" s="1171"/>
      <c r="S51" s="59">
        <f>SUM(Table69141833[[#This Row],[Y1 Q1 quantity]:[Y1 Q4 quantity]])</f>
        <v>0</v>
      </c>
      <c r="T51" s="1132">
        <f>Table69141833[[#This Row],[Y1 Unit cost]]*Table69141833[[#This Row],[Y1 Total quantity]]</f>
        <v>0</v>
      </c>
      <c r="U51" s="1126"/>
      <c r="V51" s="1171"/>
      <c r="W51" s="1171"/>
      <c r="X51" s="1171"/>
      <c r="Y51" s="1171"/>
      <c r="Z51" s="59">
        <f>SUM(Table69141833[[#This Row],[Y2 Q1 quantity]:[Y2 Q4 quantity]])</f>
        <v>0</v>
      </c>
      <c r="AA51" s="1142">
        <f>Table69141833[[#This Row],[Y2 Unit cost]]*Table69141833[[#This Row],[Y2 Total quantity]]</f>
        <v>0</v>
      </c>
      <c r="AB51" s="1126"/>
      <c r="AC51" s="1171"/>
      <c r="AD51" s="1171"/>
      <c r="AE51" s="1171"/>
      <c r="AF51" s="1171"/>
      <c r="AG51" s="59">
        <f>SUM(Table69141833[[#This Row],[Y3 Q1 quantity]:[Y3 Q4 quantity]])</f>
        <v>0</v>
      </c>
      <c r="AH51" s="1152">
        <f>Table69141833[[#This Row],[Y3 Unit cost]]*Table69141833[[#This Row],[Y3 Total quantity]]</f>
        <v>0</v>
      </c>
      <c r="AI51" s="65">
        <f>Table69141833[[#This Row],[Y1 Total quantity]]+Table69141833[[#This Row],[Y2 Total quantity]]+Table69141833[[#This Row],[Y3 Total quantity]]</f>
        <v>0</v>
      </c>
      <c r="AJ51" s="1158">
        <f>Table69141833[[#This Row],[Y1 Total cost]]+Table69141833[[#This Row],[Y2 Total cost]]+Table69141833[[#This Row],[Y3 Total cost]]</f>
        <v>0</v>
      </c>
      <c r="AK51" s="329" t="str">
        <f t="shared" si="6"/>
        <v/>
      </c>
      <c r="AL51" s="1266"/>
    </row>
    <row r="52" spans="1:60" s="249" customFormat="1">
      <c r="A52" s="2732"/>
      <c r="B52" s="2732"/>
      <c r="C52" s="2732"/>
      <c r="D52" s="2733"/>
      <c r="E52" s="2752"/>
      <c r="F52" s="2753"/>
      <c r="G52" s="2753"/>
      <c r="H52" s="2754"/>
      <c r="I52" s="2854"/>
      <c r="J52" s="2855"/>
      <c r="K52" s="2856"/>
      <c r="L52" s="314" t="str">
        <f t="shared" si="7"/>
        <v/>
      </c>
      <c r="M52" s="319" t="str">
        <f t="shared" si="8"/>
        <v/>
      </c>
      <c r="N52" s="1121"/>
      <c r="O52" s="1171"/>
      <c r="P52" s="1171"/>
      <c r="Q52" s="1171"/>
      <c r="R52" s="1171"/>
      <c r="S52" s="59">
        <f>SUM(Table69141833[[#This Row],[Y1 Q1 quantity]:[Y1 Q4 quantity]])</f>
        <v>0</v>
      </c>
      <c r="T52" s="1132">
        <f>Table69141833[[#This Row],[Y1 Unit cost]]*Table69141833[[#This Row],[Y1 Total quantity]]</f>
        <v>0</v>
      </c>
      <c r="U52" s="1126"/>
      <c r="V52" s="1171"/>
      <c r="W52" s="1171"/>
      <c r="X52" s="1171"/>
      <c r="Y52" s="1171"/>
      <c r="Z52" s="59">
        <f>SUM(Table69141833[[#This Row],[Y2 Q1 quantity]:[Y2 Q4 quantity]])</f>
        <v>0</v>
      </c>
      <c r="AA52" s="1142">
        <f>Table69141833[[#This Row],[Y2 Unit cost]]*Table69141833[[#This Row],[Y2 Total quantity]]</f>
        <v>0</v>
      </c>
      <c r="AB52" s="1126"/>
      <c r="AC52" s="1171"/>
      <c r="AD52" s="1171"/>
      <c r="AE52" s="1171"/>
      <c r="AF52" s="1171"/>
      <c r="AG52" s="59">
        <f>SUM(Table69141833[[#This Row],[Y3 Q1 quantity]:[Y3 Q4 quantity]])</f>
        <v>0</v>
      </c>
      <c r="AH52" s="1152">
        <f>Table69141833[[#This Row],[Y3 Unit cost]]*Table69141833[[#This Row],[Y3 Total quantity]]</f>
        <v>0</v>
      </c>
      <c r="AI52" s="65">
        <f>Table69141833[[#This Row],[Y1 Total quantity]]+Table69141833[[#This Row],[Y2 Total quantity]]+Table69141833[[#This Row],[Y3 Total quantity]]</f>
        <v>0</v>
      </c>
      <c r="AJ52" s="1158">
        <f>Table69141833[[#This Row],[Y1 Total cost]]+Table69141833[[#This Row],[Y2 Total cost]]+Table69141833[[#This Row],[Y3 Total cost]]</f>
        <v>0</v>
      </c>
      <c r="AK52" s="329" t="str">
        <f t="shared" si="6"/>
        <v/>
      </c>
      <c r="AL52" s="1265"/>
    </row>
    <row r="53" spans="1:60" s="249" customFormat="1">
      <c r="A53" s="2730"/>
      <c r="B53" s="2730"/>
      <c r="C53" s="2730"/>
      <c r="D53" s="2731"/>
      <c r="E53" s="2755"/>
      <c r="F53" s="2109"/>
      <c r="G53" s="2109"/>
      <c r="H53" s="2756"/>
      <c r="I53" s="2848"/>
      <c r="J53" s="2849"/>
      <c r="K53" s="2850"/>
      <c r="L53" s="320" t="str">
        <f>IF(E53="","",IF(OR(ISNUMBER(SEARCH("Pf/VOM",E53)),ISNUMBER(SEARCH("Other",E53)),ISNUMBER(SEARCH("- PAN",E53))),"Piece","Pack"))</f>
        <v/>
      </c>
      <c r="M53" s="322" t="str">
        <f t="shared" si="8"/>
        <v/>
      </c>
      <c r="N53" s="1121"/>
      <c r="O53" s="1171"/>
      <c r="P53" s="1171"/>
      <c r="Q53" s="1171"/>
      <c r="R53" s="1171"/>
      <c r="S53" s="59">
        <f>SUM(Table69141833[[#This Row],[Y1 Q1 quantity]:[Y1 Q4 quantity]])</f>
        <v>0</v>
      </c>
      <c r="T53" s="1132">
        <f>Table69141833[[#This Row],[Y1 Unit cost]]*Table69141833[[#This Row],[Y1 Total quantity]]</f>
        <v>0</v>
      </c>
      <c r="U53" s="1126"/>
      <c r="V53" s="1171"/>
      <c r="W53" s="1171"/>
      <c r="X53" s="1171"/>
      <c r="Y53" s="1171"/>
      <c r="Z53" s="59">
        <f>SUM(Table69141833[[#This Row],[Y2 Q1 quantity]:[Y2 Q4 quantity]])</f>
        <v>0</v>
      </c>
      <c r="AA53" s="1142">
        <f>Table69141833[[#This Row],[Y2 Unit cost]]*Table69141833[[#This Row],[Y2 Total quantity]]</f>
        <v>0</v>
      </c>
      <c r="AB53" s="1126"/>
      <c r="AC53" s="1171"/>
      <c r="AD53" s="1171"/>
      <c r="AE53" s="1171"/>
      <c r="AF53" s="1171"/>
      <c r="AG53" s="59">
        <f>SUM(Table69141833[[#This Row],[Y3 Q1 quantity]:[Y3 Q4 quantity]])</f>
        <v>0</v>
      </c>
      <c r="AH53" s="1152">
        <f>Table69141833[[#This Row],[Y3 Unit cost]]*Table69141833[[#This Row],[Y3 Total quantity]]</f>
        <v>0</v>
      </c>
      <c r="AI53" s="65">
        <f>Table69141833[[#This Row],[Y1 Total quantity]]+Table69141833[[#This Row],[Y2 Total quantity]]+Table69141833[[#This Row],[Y3 Total quantity]]</f>
        <v>0</v>
      </c>
      <c r="AJ53" s="1158">
        <f>Table69141833[[#This Row],[Y1 Total cost]]+Table69141833[[#This Row],[Y2 Total cost]]+Table69141833[[#This Row],[Y3 Total cost]]</f>
        <v>0</v>
      </c>
      <c r="AK53" s="329" t="str">
        <f t="shared" si="6"/>
        <v/>
      </c>
      <c r="AL53" s="1266"/>
    </row>
    <row r="54" spans="1:60" s="249" customFormat="1">
      <c r="A54" s="2732"/>
      <c r="B54" s="2732"/>
      <c r="C54" s="2732"/>
      <c r="D54" s="2733"/>
      <c r="E54" s="2752"/>
      <c r="F54" s="2753"/>
      <c r="G54" s="2753"/>
      <c r="H54" s="2754"/>
      <c r="I54" s="2854"/>
      <c r="J54" s="2855"/>
      <c r="K54" s="2856"/>
      <c r="L54" s="314" t="str">
        <f>IF(E54="","",IF(OR(ISNUMBER(SEARCH("Pf/VOM",E54)),ISNUMBER(SEARCH("Other",E54)),ISNUMBER(SEARCH("- PAN",E54))),"Piece","Pack"))</f>
        <v/>
      </c>
      <c r="M54" s="319" t="str">
        <f t="shared" si="8"/>
        <v/>
      </c>
      <c r="N54" s="1121"/>
      <c r="O54" s="1171"/>
      <c r="P54" s="1171"/>
      <c r="Q54" s="1171"/>
      <c r="R54" s="1171"/>
      <c r="S54" s="59">
        <f>SUM(Table69141833[[#This Row],[Y1 Q1 quantity]:[Y1 Q4 quantity]])</f>
        <v>0</v>
      </c>
      <c r="T54" s="1132">
        <f>Table69141833[[#This Row],[Y1 Unit cost]]*Table69141833[[#This Row],[Y1 Total quantity]]</f>
        <v>0</v>
      </c>
      <c r="U54" s="1126"/>
      <c r="V54" s="1171"/>
      <c r="W54" s="1171"/>
      <c r="X54" s="1171"/>
      <c r="Y54" s="1171"/>
      <c r="Z54" s="59">
        <f>SUM(Table69141833[[#This Row],[Y2 Q1 quantity]:[Y2 Q4 quantity]])</f>
        <v>0</v>
      </c>
      <c r="AA54" s="1142">
        <f>Table69141833[[#This Row],[Y2 Unit cost]]*Table69141833[[#This Row],[Y2 Total quantity]]</f>
        <v>0</v>
      </c>
      <c r="AB54" s="1126"/>
      <c r="AC54" s="1171"/>
      <c r="AD54" s="1171"/>
      <c r="AE54" s="1171"/>
      <c r="AF54" s="1171"/>
      <c r="AG54" s="59">
        <f>SUM(Table69141833[[#This Row],[Y3 Q1 quantity]:[Y3 Q4 quantity]])</f>
        <v>0</v>
      </c>
      <c r="AH54" s="1152">
        <f>Table69141833[[#This Row],[Y3 Unit cost]]*Table69141833[[#This Row],[Y3 Total quantity]]</f>
        <v>0</v>
      </c>
      <c r="AI54" s="65">
        <f>Table69141833[[#This Row],[Y1 Total quantity]]+Table69141833[[#This Row],[Y2 Total quantity]]+Table69141833[[#This Row],[Y3 Total quantity]]</f>
        <v>0</v>
      </c>
      <c r="AJ54" s="1158">
        <f>Table69141833[[#This Row],[Y1 Total cost]]+Table69141833[[#This Row],[Y2 Total cost]]+Table69141833[[#This Row],[Y3 Total cost]]</f>
        <v>0</v>
      </c>
      <c r="AK54" s="329" t="str">
        <f t="shared" si="6"/>
        <v/>
      </c>
      <c r="AL54" s="1265"/>
    </row>
    <row r="55" spans="1:60" s="249" customFormat="1">
      <c r="A55" s="2730"/>
      <c r="B55" s="2730"/>
      <c r="C55" s="2730"/>
      <c r="D55" s="2731"/>
      <c r="E55" s="2755"/>
      <c r="F55" s="2109"/>
      <c r="G55" s="2109"/>
      <c r="H55" s="2756"/>
      <c r="I55" s="2848"/>
      <c r="J55" s="2849"/>
      <c r="K55" s="2850"/>
      <c r="L55" s="320" t="str">
        <f t="shared" si="7"/>
        <v/>
      </c>
      <c r="M55" s="322" t="str">
        <f t="shared" si="8"/>
        <v/>
      </c>
      <c r="N55" s="1121"/>
      <c r="O55" s="1171"/>
      <c r="P55" s="1171"/>
      <c r="Q55" s="1171"/>
      <c r="R55" s="1171"/>
      <c r="S55" s="59">
        <f>SUM(Table69141833[[#This Row],[Y1 Q1 quantity]:[Y1 Q4 quantity]])</f>
        <v>0</v>
      </c>
      <c r="T55" s="1132">
        <f>Table69141833[[#This Row],[Y1 Unit cost]]*Table69141833[[#This Row],[Y1 Total quantity]]</f>
        <v>0</v>
      </c>
      <c r="U55" s="1126"/>
      <c r="V55" s="1171"/>
      <c r="W55" s="1171"/>
      <c r="X55" s="1171"/>
      <c r="Y55" s="1171"/>
      <c r="Z55" s="59">
        <f>SUM(Table69141833[[#This Row],[Y2 Q1 quantity]:[Y2 Q4 quantity]])</f>
        <v>0</v>
      </c>
      <c r="AA55" s="1142">
        <f>Table69141833[[#This Row],[Y2 Unit cost]]*Table69141833[[#This Row],[Y2 Total quantity]]</f>
        <v>0</v>
      </c>
      <c r="AB55" s="1126"/>
      <c r="AC55" s="1171"/>
      <c r="AD55" s="1171"/>
      <c r="AE55" s="1171"/>
      <c r="AF55" s="1171"/>
      <c r="AG55" s="59">
        <f>SUM(Table69141833[[#This Row],[Y3 Q1 quantity]:[Y3 Q4 quantity]])</f>
        <v>0</v>
      </c>
      <c r="AH55" s="1152">
        <f>Table69141833[[#This Row],[Y3 Unit cost]]*Table69141833[[#This Row],[Y3 Total quantity]]</f>
        <v>0</v>
      </c>
      <c r="AI55" s="65">
        <f>Table69141833[[#This Row],[Y1 Total quantity]]+Table69141833[[#This Row],[Y2 Total quantity]]+Table69141833[[#This Row],[Y3 Total quantity]]</f>
        <v>0</v>
      </c>
      <c r="AJ55" s="1158">
        <f>Table69141833[[#This Row],[Y1 Total cost]]+Table69141833[[#This Row],[Y2 Total cost]]+Table69141833[[#This Row],[Y3 Total cost]]</f>
        <v>0</v>
      </c>
      <c r="AK55" s="329" t="str">
        <f t="shared" si="6"/>
        <v/>
      </c>
      <c r="AL55" s="1266"/>
    </row>
    <row r="56" spans="1:60" s="249" customFormat="1" ht="15" thickBot="1">
      <c r="A56" s="2799"/>
      <c r="B56" s="2799"/>
      <c r="C56" s="2799"/>
      <c r="D56" s="2800"/>
      <c r="E56" s="2778"/>
      <c r="F56" s="2779"/>
      <c r="G56" s="2779"/>
      <c r="H56" s="2780"/>
      <c r="I56" s="2851"/>
      <c r="J56" s="2852"/>
      <c r="K56" s="2853"/>
      <c r="L56" s="323" t="str">
        <f t="shared" si="7"/>
        <v/>
      </c>
      <c r="M56" s="324" t="str">
        <f t="shared" si="8"/>
        <v/>
      </c>
      <c r="N56" s="1122"/>
      <c r="O56" s="1172"/>
      <c r="P56" s="1172"/>
      <c r="Q56" s="1172"/>
      <c r="R56" s="1172"/>
      <c r="S56" s="60">
        <f>SUM(Table69141833[[#This Row],[Y1 Q1 quantity]:[Y1 Q4 quantity]])</f>
        <v>0</v>
      </c>
      <c r="T56" s="1133">
        <f>Table69141833[[#This Row],[Y1 Unit cost]]*Table69141833[[#This Row],[Y1 Total quantity]]</f>
        <v>0</v>
      </c>
      <c r="U56" s="1138"/>
      <c r="V56" s="1174"/>
      <c r="W56" s="1174"/>
      <c r="X56" s="1174"/>
      <c r="Y56" s="1174"/>
      <c r="Z56" s="64">
        <f>SUM(Table69141833[[#This Row],[Y2 Q1 quantity]:[Y2 Q4 quantity]])</f>
        <v>0</v>
      </c>
      <c r="AA56" s="1146">
        <f>Table69141833[[#This Row],[Y2 Unit cost]]*Table69141833[[#This Row],[Y2 Total quantity]]</f>
        <v>0</v>
      </c>
      <c r="AB56" s="1126"/>
      <c r="AC56" s="1171"/>
      <c r="AD56" s="1171"/>
      <c r="AE56" s="1171"/>
      <c r="AF56" s="1171"/>
      <c r="AG56" s="59">
        <f>SUM(Table69141833[[#This Row],[Y3 Q1 quantity]:[Y3 Q4 quantity]])</f>
        <v>0</v>
      </c>
      <c r="AH56" s="1152">
        <f>Table69141833[[#This Row],[Y3 Unit cost]]*Table69141833[[#This Row],[Y3 Total quantity]]</f>
        <v>0</v>
      </c>
      <c r="AI56" s="66">
        <f>Table69141833[[#This Row],[Y1 Total quantity]]+Table69141833[[#This Row],[Y2 Total quantity]]+Table69141833[[#This Row],[Y3 Total quantity]]</f>
        <v>0</v>
      </c>
      <c r="AJ56" s="1159">
        <f>Table69141833[[#This Row],[Y1 Total cost]]+Table69141833[[#This Row],[Y2 Total cost]]+Table69141833[[#This Row],[Y3 Total cost]]</f>
        <v>0</v>
      </c>
      <c r="AK56" s="330" t="str">
        <f t="shared" si="6"/>
        <v/>
      </c>
      <c r="AL56" s="1264"/>
      <c r="AV56" s="105"/>
      <c r="AW56" s="105"/>
      <c r="AX56" s="105"/>
      <c r="AY56" s="105"/>
      <c r="AZ56" s="105"/>
      <c r="BA56" s="105"/>
      <c r="BB56" s="105"/>
      <c r="BC56" s="105"/>
      <c r="BD56" s="105"/>
      <c r="BE56" s="105"/>
      <c r="BF56" s="105"/>
      <c r="BG56" s="105"/>
      <c r="BH56" s="105"/>
    </row>
    <row r="57" spans="1:60" ht="15" thickBot="1">
      <c r="A57" s="237"/>
      <c r="B57" s="237"/>
      <c r="C57" s="237"/>
      <c r="D57" s="237"/>
      <c r="E57" s="237"/>
      <c r="F57" s="237"/>
      <c r="G57" s="237"/>
      <c r="H57" s="106"/>
      <c r="I57" s="106"/>
      <c r="J57" s="106"/>
      <c r="K57" s="106"/>
      <c r="L57" s="106"/>
      <c r="M57" s="106"/>
      <c r="N57" s="1090"/>
      <c r="O57" s="248"/>
      <c r="P57" s="248"/>
      <c r="Q57" s="248"/>
      <c r="R57" s="248"/>
      <c r="S57" s="248"/>
      <c r="T57" s="1090"/>
      <c r="U57" s="1090"/>
      <c r="V57" s="248"/>
      <c r="W57" s="248"/>
      <c r="X57" s="248"/>
      <c r="Y57" s="248"/>
      <c r="Z57" s="248"/>
      <c r="AA57" s="1090"/>
      <c r="AB57" s="1090"/>
      <c r="AC57" s="248"/>
      <c r="AD57" s="248"/>
      <c r="AE57" s="248"/>
      <c r="AF57" s="248"/>
      <c r="AG57" s="248"/>
      <c r="AH57" s="979"/>
      <c r="AI57" s="1163"/>
    </row>
    <row r="58" spans="1:60" ht="19.5" customHeight="1" thickBot="1">
      <c r="A58" s="2757">
        <v>3</v>
      </c>
      <c r="B58" s="2759" t="s">
        <v>532</v>
      </c>
      <c r="C58" s="2759"/>
      <c r="D58" s="2759"/>
      <c r="E58" s="2759"/>
      <c r="F58" s="2761" t="s">
        <v>533</v>
      </c>
      <c r="G58" s="2762"/>
      <c r="H58" s="2644" t="s">
        <v>529</v>
      </c>
      <c r="I58" s="2647" t="s">
        <v>525</v>
      </c>
      <c r="J58" s="2644" t="s">
        <v>6895</v>
      </c>
      <c r="K58"/>
      <c r="L58"/>
      <c r="M58" s="121"/>
      <c r="N58" s="968"/>
      <c r="O58" s="1097"/>
      <c r="P58" s="1097"/>
      <c r="Q58" s="1097"/>
      <c r="R58" s="1097"/>
      <c r="S58" s="1097"/>
      <c r="T58" s="968"/>
      <c r="U58" s="968"/>
      <c r="V58" s="1097"/>
      <c r="W58" s="1097"/>
      <c r="X58" s="1097"/>
      <c r="Y58" s="1097"/>
      <c r="Z58" s="1097"/>
      <c r="AA58" s="968"/>
      <c r="AB58" s="968"/>
      <c r="AC58" s="1097"/>
      <c r="AD58" s="1097"/>
      <c r="AE58" s="1097"/>
      <c r="AF58" s="1097"/>
      <c r="AG58" s="1097"/>
      <c r="AH58" s="968"/>
      <c r="AI58" s="1104"/>
    </row>
    <row r="59" spans="1:60" ht="22.15" customHeight="1" thickBot="1">
      <c r="A59" s="2758"/>
      <c r="B59" s="2760"/>
      <c r="C59" s="2760"/>
      <c r="D59" s="2760"/>
      <c r="E59" s="2760"/>
      <c r="F59" s="2806" t="s">
        <v>534</v>
      </c>
      <c r="G59" s="2807"/>
      <c r="H59" s="2804"/>
      <c r="I59" s="2805"/>
      <c r="J59" s="2804"/>
      <c r="K59"/>
      <c r="L59"/>
      <c r="M59" s="121"/>
      <c r="N59" s="968"/>
      <c r="O59" s="1097"/>
      <c r="P59" s="1097"/>
      <c r="Q59" s="1097"/>
      <c r="R59" s="1097"/>
      <c r="S59" s="1097"/>
      <c r="T59" s="968"/>
      <c r="U59" s="968"/>
      <c r="V59" s="1097"/>
      <c r="W59" s="1097"/>
      <c r="X59" s="1097"/>
      <c r="Y59" s="1097"/>
      <c r="Z59" s="1097"/>
      <c r="AA59" s="968"/>
      <c r="AB59" s="968"/>
      <c r="AC59" s="1097"/>
      <c r="AD59" s="1097"/>
      <c r="AE59" s="1097"/>
      <c r="AF59" s="1097"/>
      <c r="AG59" s="1097"/>
      <c r="AH59" s="968"/>
      <c r="AI59" s="1097"/>
    </row>
    <row r="60" spans="1:60" ht="105" customHeight="1">
      <c r="A60" s="2080" t="s">
        <v>6902</v>
      </c>
      <c r="B60" s="2081"/>
      <c r="C60" s="2081"/>
      <c r="D60" s="2081"/>
      <c r="E60" s="2081"/>
      <c r="F60" s="2081"/>
      <c r="G60" s="2081"/>
      <c r="H60" s="2081"/>
      <c r="I60" s="2081"/>
      <c r="J60" s="2081"/>
      <c r="K60" s="2081"/>
      <c r="L60" s="2081"/>
      <c r="M60" s="2145"/>
      <c r="N60" s="968"/>
      <c r="O60" s="1097"/>
      <c r="P60" s="1097"/>
      <c r="Q60" s="1097"/>
      <c r="R60" s="1097"/>
      <c r="S60" s="1097"/>
      <c r="T60" s="968"/>
      <c r="U60" s="968"/>
      <c r="V60" s="1097"/>
      <c r="W60" s="1097"/>
      <c r="X60" s="1097"/>
      <c r="Y60" s="1097"/>
      <c r="Z60" s="1097"/>
      <c r="AA60" s="968"/>
      <c r="AB60" s="968"/>
      <c r="AC60" s="1097"/>
      <c r="AD60" s="1097"/>
      <c r="AE60" s="1097"/>
      <c r="AF60" s="1097"/>
      <c r="AG60" s="1097"/>
      <c r="AH60" s="1078"/>
      <c r="AI60" s="1097"/>
    </row>
    <row r="61" spans="1:60" ht="15" thickBot="1">
      <c r="A61" s="140"/>
      <c r="B61" s="140"/>
      <c r="C61" s="140"/>
      <c r="D61" s="140"/>
      <c r="E61" s="140"/>
      <c r="F61" s="140"/>
      <c r="G61" s="140"/>
      <c r="H61" s="140"/>
      <c r="I61" s="140"/>
      <c r="J61" s="140"/>
      <c r="K61" s="140"/>
      <c r="L61" s="140"/>
      <c r="M61" s="140"/>
      <c r="N61" s="1124"/>
      <c r="O61" s="1164"/>
      <c r="P61" s="1164"/>
      <c r="Q61" s="1164"/>
      <c r="R61" s="1164"/>
      <c r="S61" s="1164"/>
      <c r="T61" s="1124"/>
      <c r="U61" s="1124"/>
      <c r="V61" s="1164"/>
      <c r="W61" s="1164"/>
      <c r="X61" s="1164"/>
      <c r="Y61" s="1164"/>
      <c r="Z61" s="1164"/>
      <c r="AA61" s="1124"/>
      <c r="AB61" s="1124"/>
      <c r="AC61" s="1164"/>
      <c r="AD61" s="1164"/>
      <c r="AE61" s="1164"/>
      <c r="AF61" s="1164"/>
      <c r="AG61" s="1164"/>
      <c r="AH61" s="1096"/>
      <c r="AI61" s="1164"/>
    </row>
    <row r="62" spans="1:60">
      <c r="A62" s="2740" t="s">
        <v>1233</v>
      </c>
      <c r="B62" s="2738"/>
      <c r="C62" s="2738"/>
      <c r="D62" s="2738"/>
      <c r="E62" s="2740" t="s">
        <v>196</v>
      </c>
      <c r="F62" s="2738"/>
      <c r="G62" s="2738"/>
      <c r="H62" s="2741"/>
      <c r="I62" s="2839" t="s">
        <v>535</v>
      </c>
      <c r="J62" s="2839"/>
      <c r="K62" s="2840"/>
      <c r="L62" s="2808" t="s">
        <v>151</v>
      </c>
      <c r="M62" s="2835" t="s">
        <v>49</v>
      </c>
      <c r="N62" s="2782" t="str">
        <f>N12</f>
        <v>Please fill setup</v>
      </c>
      <c r="O62" s="2782"/>
      <c r="P62" s="2782"/>
      <c r="Q62" s="2782"/>
      <c r="R62" s="2782"/>
      <c r="S62" s="2782"/>
      <c r="T62" s="2783"/>
      <c r="U62" s="2782" t="str">
        <f>U12</f>
        <v>Please fill setup</v>
      </c>
      <c r="V62" s="2782"/>
      <c r="W62" s="2782"/>
      <c r="X62" s="2782"/>
      <c r="Y62" s="2782"/>
      <c r="Z62" s="2782"/>
      <c r="AA62" s="2843"/>
      <c r="AB62" s="2844" t="str">
        <f>AB12</f>
        <v>Please fill setup</v>
      </c>
      <c r="AC62" s="2782"/>
      <c r="AD62" s="2782"/>
      <c r="AE62" s="2782"/>
      <c r="AF62" s="2782"/>
      <c r="AG62" s="2782"/>
      <c r="AH62" s="2843"/>
      <c r="AI62" s="2837" t="s">
        <v>152</v>
      </c>
      <c r="AJ62" s="2838"/>
      <c r="AK62" s="598" t="s">
        <v>153</v>
      </c>
      <c r="AL62" s="2884" t="s">
        <v>6866</v>
      </c>
      <c r="AV62" s="412"/>
      <c r="AW62" s="412"/>
      <c r="AX62" s="412"/>
      <c r="AY62" s="412"/>
      <c r="AZ62" s="412"/>
      <c r="BA62" s="412"/>
      <c r="BB62" s="412"/>
      <c r="BC62" s="412"/>
      <c r="BD62" s="412"/>
      <c r="BE62" s="412"/>
      <c r="BF62" s="412"/>
      <c r="BG62" s="412"/>
      <c r="BH62" s="412"/>
    </row>
    <row r="63" spans="1:60" s="412" customFormat="1" ht="26.5" thickBot="1">
      <c r="A63" s="2742"/>
      <c r="B63" s="2739"/>
      <c r="C63" s="2739"/>
      <c r="D63" s="2739"/>
      <c r="E63" s="2744"/>
      <c r="F63" s="2745"/>
      <c r="G63" s="2745"/>
      <c r="H63" s="2746"/>
      <c r="I63" s="2841"/>
      <c r="J63" s="2841"/>
      <c r="K63" s="2842"/>
      <c r="L63" s="2809"/>
      <c r="M63" s="2836"/>
      <c r="N63" s="1125" t="s">
        <v>198</v>
      </c>
      <c r="O63" s="341" t="s">
        <v>155</v>
      </c>
      <c r="P63" s="341" t="s">
        <v>156</v>
      </c>
      <c r="Q63" s="341" t="s">
        <v>157</v>
      </c>
      <c r="R63" s="341" t="s">
        <v>158</v>
      </c>
      <c r="S63" s="341" t="s">
        <v>159</v>
      </c>
      <c r="T63" s="1134" t="s">
        <v>160</v>
      </c>
      <c r="U63" s="1128" t="s">
        <v>161</v>
      </c>
      <c r="V63" s="341" t="s">
        <v>162</v>
      </c>
      <c r="W63" s="341" t="s">
        <v>163</v>
      </c>
      <c r="X63" s="341" t="s">
        <v>164</v>
      </c>
      <c r="Y63" s="341" t="s">
        <v>165</v>
      </c>
      <c r="Z63" s="341" t="s">
        <v>166</v>
      </c>
      <c r="AA63" s="1147" t="s">
        <v>167</v>
      </c>
      <c r="AB63" s="1128" t="s">
        <v>168</v>
      </c>
      <c r="AC63" s="341" t="s">
        <v>169</v>
      </c>
      <c r="AD63" s="341" t="s">
        <v>170</v>
      </c>
      <c r="AE63" s="341" t="s">
        <v>171</v>
      </c>
      <c r="AF63" s="341" t="s">
        <v>172</v>
      </c>
      <c r="AG63" s="341" t="s">
        <v>173</v>
      </c>
      <c r="AH63" s="1128" t="s">
        <v>174</v>
      </c>
      <c r="AI63" s="342" t="s">
        <v>175</v>
      </c>
      <c r="AJ63" s="1147" t="s">
        <v>176</v>
      </c>
      <c r="AK63" s="332" t="s">
        <v>309</v>
      </c>
      <c r="AL63" s="2885"/>
      <c r="AM63" s="413"/>
      <c r="AV63" s="414"/>
      <c r="AW63" s="414"/>
      <c r="AX63" s="414"/>
      <c r="AY63" s="414"/>
      <c r="AZ63" s="414"/>
      <c r="BA63" s="414"/>
      <c r="BB63" s="414"/>
      <c r="BC63" s="414"/>
      <c r="BD63" s="414"/>
      <c r="BE63" s="414"/>
      <c r="BF63" s="414"/>
      <c r="BG63" s="414"/>
      <c r="BH63" s="414"/>
    </row>
    <row r="64" spans="1:60" s="414" customFormat="1">
      <c r="A64" s="2728"/>
      <c r="B64" s="2729"/>
      <c r="C64" s="2729"/>
      <c r="D64" s="2729"/>
      <c r="E64" s="2752"/>
      <c r="F64" s="2753"/>
      <c r="G64" s="2753"/>
      <c r="H64" s="2753"/>
      <c r="I64" s="2773"/>
      <c r="J64" s="2774"/>
      <c r="K64" s="2775"/>
      <c r="L64" s="314" t="str">
        <f>IF(E64="","","Piece")</f>
        <v/>
      </c>
      <c r="M64" s="314" t="str">
        <f>IF(L64="", "","USD")</f>
        <v/>
      </c>
      <c r="N64" s="1126"/>
      <c r="O64" s="1171"/>
      <c r="P64" s="1171"/>
      <c r="Q64" s="1171"/>
      <c r="R64" s="1171"/>
      <c r="S64" s="59">
        <f>SUM(Table69121631[[#This Row],[Y1 Q1 quantity]:[Y1 Q4 quantity]])</f>
        <v>0</v>
      </c>
      <c r="T64" s="1132">
        <f>Table69121631[[#This Row],[Y1 Unit cost]]*Table69121631[[#This Row],[Y1 Total quantity]]</f>
        <v>0</v>
      </c>
      <c r="U64" s="1126"/>
      <c r="V64" s="1171"/>
      <c r="W64" s="1171"/>
      <c r="X64" s="1171"/>
      <c r="Y64" s="1171"/>
      <c r="Z64" s="59">
        <f>SUM(Table69121631[[#This Row],[Y2 Q1 quantity]:[Y2 Q4 quantity]])</f>
        <v>0</v>
      </c>
      <c r="AA64" s="1142">
        <f>Table69121631[[#This Row],[Y2 Unit cost]]*Table69121631[[#This Row],[Y2 Total quantity]]</f>
        <v>0</v>
      </c>
      <c r="AB64" s="1126"/>
      <c r="AC64" s="1171"/>
      <c r="AD64" s="1171"/>
      <c r="AE64" s="1171"/>
      <c r="AF64" s="1171"/>
      <c r="AG64" s="59">
        <f>SUM(Table69121631[[#This Row],[Y3 Q1 quantity]:[Y3 Q4 quantity]])</f>
        <v>0</v>
      </c>
      <c r="AH64" s="1152">
        <f>Table69121631[[#This Row],[Y3 Unit cost]]*Table69121631[[#This Row],[Y3 Total quantity]]</f>
        <v>0</v>
      </c>
      <c r="AI64" s="62">
        <f>Table69121631[[#This Row],[Y1 Total quantity]]+Table69121631[[#This Row],[Y2 Total quantity]]+Table69121631[[#This Row],[Y3 Total quantity]]</f>
        <v>0</v>
      </c>
      <c r="AJ64" s="1142">
        <f>Table69121631[[#This Row],[Y1 Total cost]]+Table69121631[[#This Row],[Y2 Total cost]]+Table69121631[[#This Row],[Y3 Total cost]]</f>
        <v>0</v>
      </c>
      <c r="AK64" s="333" t="str">
        <f>IF(E64="","", IF(ISNUMBER(SEARCH("Insecticides",E64)),"5.5", IF(ISNUMBER(SEARCH("LLINs",E64)),"5.1","6.6")))</f>
        <v/>
      </c>
      <c r="AL64" s="1265"/>
      <c r="AM64" s="415"/>
      <c r="AV64" s="249"/>
      <c r="AW64" s="249"/>
      <c r="AX64" s="249"/>
      <c r="AY64" s="249"/>
      <c r="AZ64" s="249"/>
      <c r="BA64" s="249"/>
      <c r="BB64" s="249"/>
      <c r="BC64" s="249"/>
      <c r="BD64" s="249"/>
      <c r="BE64" s="249"/>
      <c r="BF64" s="249"/>
      <c r="BG64" s="249"/>
      <c r="BH64" s="249"/>
    </row>
    <row r="65" spans="1:39" s="249" customFormat="1">
      <c r="A65" s="2730"/>
      <c r="B65" s="2730"/>
      <c r="C65" s="2730"/>
      <c r="D65" s="2731"/>
      <c r="E65" s="2810"/>
      <c r="F65" s="2126"/>
      <c r="G65" s="2126"/>
      <c r="H65" s="2126"/>
      <c r="I65" s="2810"/>
      <c r="J65" s="2126"/>
      <c r="K65" s="2811"/>
      <c r="L65" s="313" t="str">
        <f t="shared" ref="L65:L122" si="9">IF(E65="","","Piece")</f>
        <v/>
      </c>
      <c r="M65" s="315" t="str">
        <f>IF(L65="", "","USD")</f>
        <v/>
      </c>
      <c r="N65" s="1126"/>
      <c r="O65" s="1171"/>
      <c r="P65" s="1171"/>
      <c r="Q65" s="1171"/>
      <c r="R65" s="1171"/>
      <c r="S65" s="59">
        <f>SUM(Table69121631[[#This Row],[Y1 Q1 quantity]:[Y1 Q4 quantity]])</f>
        <v>0</v>
      </c>
      <c r="T65" s="1132">
        <f>Table69121631[[#This Row],[Y1 Unit cost]]*Table69121631[[#This Row],[Y1 Total quantity]]</f>
        <v>0</v>
      </c>
      <c r="U65" s="1139"/>
      <c r="V65" s="1171"/>
      <c r="W65" s="1171"/>
      <c r="X65" s="1171"/>
      <c r="Y65" s="1171"/>
      <c r="Z65" s="59">
        <f>SUM(Table69121631[[#This Row],[Y2 Q1 quantity]:[Y2 Q4 quantity]])</f>
        <v>0</v>
      </c>
      <c r="AA65" s="1142">
        <f>Table69121631[[#This Row],[Y2 Unit cost]]*Table69121631[[#This Row],[Y2 Total quantity]]</f>
        <v>0</v>
      </c>
      <c r="AB65" s="1126"/>
      <c r="AC65" s="1171"/>
      <c r="AD65" s="1171"/>
      <c r="AE65" s="1171"/>
      <c r="AF65" s="1171"/>
      <c r="AG65" s="59">
        <f>SUM(Table69121631[[#This Row],[Y3 Q1 quantity]:[Y3 Q4 quantity]])</f>
        <v>0</v>
      </c>
      <c r="AH65" s="1152">
        <f>Table69121631[[#This Row],[Y3 Unit cost]]*Table69121631[[#This Row],[Y3 Total quantity]]</f>
        <v>0</v>
      </c>
      <c r="AI65" s="62">
        <f>Table69121631[[#This Row],[Y1 Total quantity]]+Table69121631[[#This Row],[Y2 Total quantity]]+Table69121631[[#This Row],[Y3 Total quantity]]</f>
        <v>0</v>
      </c>
      <c r="AJ65" s="1142">
        <f>Table69121631[[#This Row],[Y1 Total cost]]+Table69121631[[#This Row],[Y2 Total cost]]+Table69121631[[#This Row],[Y3 Total cost]]</f>
        <v>0</v>
      </c>
      <c r="AK65" s="333" t="str">
        <f t="shared" ref="AK65:AK122" si="10">IF(E65="","", IF(ISNUMBER(SEARCH("Insecticides",E65)),"5.5", IF(ISNUMBER(SEARCH("LLINs",E65)),"5.1","6.6")))</f>
        <v/>
      </c>
      <c r="AL65" s="1266"/>
      <c r="AM65" s="411"/>
    </row>
    <row r="66" spans="1:39" s="249" customFormat="1">
      <c r="A66" s="2732"/>
      <c r="B66" s="2732"/>
      <c r="C66" s="2732"/>
      <c r="D66" s="2733"/>
      <c r="E66" s="2752"/>
      <c r="F66" s="2753"/>
      <c r="G66" s="2753"/>
      <c r="H66" s="2753"/>
      <c r="I66" s="2752"/>
      <c r="J66" s="2753"/>
      <c r="K66" s="2754"/>
      <c r="L66" s="314" t="str">
        <f t="shared" si="9"/>
        <v/>
      </c>
      <c r="M66" s="314" t="str">
        <f>IF(L66="", "","USD")</f>
        <v/>
      </c>
      <c r="N66" s="1126"/>
      <c r="O66" s="1171"/>
      <c r="P66" s="1171"/>
      <c r="Q66" s="1171"/>
      <c r="R66" s="1171"/>
      <c r="S66" s="59">
        <f>SUM(Table69121631[[#This Row],[Y1 Q1 quantity]:[Y1 Q4 quantity]])</f>
        <v>0</v>
      </c>
      <c r="T66" s="1132">
        <f>Table69121631[[#This Row],[Y1 Unit cost]]*Table69121631[[#This Row],[Y1 Total quantity]]</f>
        <v>0</v>
      </c>
      <c r="U66" s="1126"/>
      <c r="V66" s="1171"/>
      <c r="W66" s="1171"/>
      <c r="X66" s="1171"/>
      <c r="Y66" s="1171"/>
      <c r="Z66" s="59">
        <f>SUM(Table69121631[[#This Row],[Y2 Q1 quantity]:[Y2 Q4 quantity]])</f>
        <v>0</v>
      </c>
      <c r="AA66" s="1142">
        <f>Table69121631[[#This Row],[Y2 Unit cost]]*Table69121631[[#This Row],[Y2 Total quantity]]</f>
        <v>0</v>
      </c>
      <c r="AB66" s="1126"/>
      <c r="AC66" s="1171"/>
      <c r="AD66" s="1171"/>
      <c r="AE66" s="1171"/>
      <c r="AF66" s="1171"/>
      <c r="AG66" s="59">
        <f>SUM(Table69121631[[#This Row],[Y3 Q1 quantity]:[Y3 Q4 quantity]])</f>
        <v>0</v>
      </c>
      <c r="AH66" s="1152">
        <f>Table69121631[[#This Row],[Y3 Unit cost]]*Table69121631[[#This Row],[Y3 Total quantity]]</f>
        <v>0</v>
      </c>
      <c r="AI66" s="62">
        <f>Table69121631[[#This Row],[Y1 Total quantity]]+Table69121631[[#This Row],[Y2 Total quantity]]+Table69121631[[#This Row],[Y3 Total quantity]]</f>
        <v>0</v>
      </c>
      <c r="AJ66" s="1142">
        <f>Table69121631[[#This Row],[Y1 Total cost]]+Table69121631[[#This Row],[Y2 Total cost]]+Table69121631[[#This Row],[Y3 Total cost]]</f>
        <v>0</v>
      </c>
      <c r="AK66" s="333" t="str">
        <f t="shared" si="10"/>
        <v/>
      </c>
      <c r="AL66" s="1265"/>
      <c r="AM66" s="411"/>
    </row>
    <row r="67" spans="1:39" s="249" customFormat="1">
      <c r="A67" s="2730"/>
      <c r="B67" s="2730"/>
      <c r="C67" s="2730"/>
      <c r="D67" s="2731"/>
      <c r="E67" s="2810"/>
      <c r="F67" s="2126"/>
      <c r="G67" s="2126"/>
      <c r="H67" s="2126"/>
      <c r="I67" s="2810"/>
      <c r="J67" s="2126"/>
      <c r="K67" s="2811"/>
      <c r="L67" s="313" t="str">
        <f t="shared" si="9"/>
        <v/>
      </c>
      <c r="M67" s="315" t="str">
        <f t="shared" ref="M67:M122" si="11">IF(L67="", "","USD")</f>
        <v/>
      </c>
      <c r="N67" s="1126"/>
      <c r="O67" s="1171"/>
      <c r="P67" s="1171"/>
      <c r="Q67" s="1171"/>
      <c r="R67" s="1171"/>
      <c r="S67" s="59">
        <f>SUM(Table69121631[[#This Row],[Y1 Q1 quantity]:[Y1 Q4 quantity]])</f>
        <v>0</v>
      </c>
      <c r="T67" s="1132">
        <f>Table69121631[[#This Row],[Y1 Unit cost]]*Table69121631[[#This Row],[Y1 Total quantity]]</f>
        <v>0</v>
      </c>
      <c r="U67" s="1126"/>
      <c r="V67" s="1171"/>
      <c r="W67" s="1171"/>
      <c r="X67" s="1171"/>
      <c r="Y67" s="1171"/>
      <c r="Z67" s="59">
        <f>SUM(Table69121631[[#This Row],[Y2 Q1 quantity]:[Y2 Q4 quantity]])</f>
        <v>0</v>
      </c>
      <c r="AA67" s="1142">
        <f>Table69121631[[#This Row],[Y2 Unit cost]]*Table69121631[[#This Row],[Y2 Total quantity]]</f>
        <v>0</v>
      </c>
      <c r="AB67" s="1126"/>
      <c r="AC67" s="1171"/>
      <c r="AD67" s="1171"/>
      <c r="AE67" s="1171"/>
      <c r="AF67" s="1171"/>
      <c r="AG67" s="59">
        <f>SUM(Table69121631[[#This Row],[Y3 Q1 quantity]:[Y3 Q4 quantity]])</f>
        <v>0</v>
      </c>
      <c r="AH67" s="1152">
        <f>Table69121631[[#This Row],[Y3 Unit cost]]*Table69121631[[#This Row],[Y3 Total quantity]]</f>
        <v>0</v>
      </c>
      <c r="AI67" s="62">
        <f>Table69121631[[#This Row],[Y1 Total quantity]]+Table69121631[[#This Row],[Y2 Total quantity]]+Table69121631[[#This Row],[Y3 Total quantity]]</f>
        <v>0</v>
      </c>
      <c r="AJ67" s="1142">
        <f>Table69121631[[#This Row],[Y1 Total cost]]+Table69121631[[#This Row],[Y2 Total cost]]+Table69121631[[#This Row],[Y3 Total cost]]</f>
        <v>0</v>
      </c>
      <c r="AK67" s="333" t="str">
        <f t="shared" si="10"/>
        <v/>
      </c>
      <c r="AL67" s="1266"/>
      <c r="AM67" s="411"/>
    </row>
    <row r="68" spans="1:39" s="249" customFormat="1">
      <c r="A68" s="2732"/>
      <c r="B68" s="2732"/>
      <c r="C68" s="2732"/>
      <c r="D68" s="2733"/>
      <c r="E68" s="2752"/>
      <c r="F68" s="2753"/>
      <c r="G68" s="2753"/>
      <c r="H68" s="2753"/>
      <c r="I68" s="2752"/>
      <c r="J68" s="2753"/>
      <c r="K68" s="2754"/>
      <c r="L68" s="314" t="str">
        <f t="shared" si="9"/>
        <v/>
      </c>
      <c r="M68" s="314" t="str">
        <f t="shared" si="11"/>
        <v/>
      </c>
      <c r="N68" s="1126"/>
      <c r="O68" s="1171"/>
      <c r="P68" s="1171"/>
      <c r="Q68" s="1171"/>
      <c r="R68" s="1171"/>
      <c r="S68" s="59">
        <f>SUM(Table69121631[[#This Row],[Y1 Q1 quantity]:[Y1 Q4 quantity]])</f>
        <v>0</v>
      </c>
      <c r="T68" s="1132">
        <f>Table69121631[[#This Row],[Y1 Unit cost]]*Table69121631[[#This Row],[Y1 Total quantity]]</f>
        <v>0</v>
      </c>
      <c r="U68" s="1139"/>
      <c r="V68" s="1171"/>
      <c r="W68" s="1171"/>
      <c r="X68" s="1171"/>
      <c r="Y68" s="1171"/>
      <c r="Z68" s="59">
        <f>SUM(Table69121631[[#This Row],[Y2 Q1 quantity]:[Y2 Q4 quantity]])</f>
        <v>0</v>
      </c>
      <c r="AA68" s="1142">
        <f>Table69121631[[#This Row],[Y2 Unit cost]]*Table69121631[[#This Row],[Y2 Total quantity]]</f>
        <v>0</v>
      </c>
      <c r="AB68" s="1126"/>
      <c r="AC68" s="1171"/>
      <c r="AD68" s="1171"/>
      <c r="AE68" s="1171"/>
      <c r="AF68" s="1171"/>
      <c r="AG68" s="59">
        <f>SUM(Table69121631[[#This Row],[Y3 Q1 quantity]:[Y3 Q4 quantity]])</f>
        <v>0</v>
      </c>
      <c r="AH68" s="1152">
        <f>Table69121631[[#This Row],[Y3 Unit cost]]*Table69121631[[#This Row],[Y3 Total quantity]]</f>
        <v>0</v>
      </c>
      <c r="AI68" s="62">
        <f>Table69121631[[#This Row],[Y1 Total quantity]]+Table69121631[[#This Row],[Y2 Total quantity]]+Table69121631[[#This Row],[Y3 Total quantity]]</f>
        <v>0</v>
      </c>
      <c r="AJ68" s="1142">
        <f>Table69121631[[#This Row],[Y1 Total cost]]+Table69121631[[#This Row],[Y2 Total cost]]+Table69121631[[#This Row],[Y3 Total cost]]</f>
        <v>0</v>
      </c>
      <c r="AK68" s="333" t="str">
        <f t="shared" si="10"/>
        <v/>
      </c>
      <c r="AL68" s="1265"/>
      <c r="AM68" s="411"/>
    </row>
    <row r="69" spans="1:39" s="249" customFormat="1">
      <c r="A69" s="2730"/>
      <c r="B69" s="2730"/>
      <c r="C69" s="2730"/>
      <c r="D69" s="2731"/>
      <c r="E69" s="2810"/>
      <c r="F69" s="2126"/>
      <c r="G69" s="2126"/>
      <c r="H69" s="2126"/>
      <c r="I69" s="2810"/>
      <c r="J69" s="2126"/>
      <c r="K69" s="2811"/>
      <c r="L69" s="313" t="str">
        <f t="shared" si="9"/>
        <v/>
      </c>
      <c r="M69" s="315" t="str">
        <f t="shared" si="11"/>
        <v/>
      </c>
      <c r="N69" s="1126"/>
      <c r="O69" s="1171"/>
      <c r="P69" s="1171"/>
      <c r="Q69" s="1171"/>
      <c r="R69" s="1171"/>
      <c r="S69" s="59">
        <f>SUM(Table69121631[[#This Row],[Y1 Q1 quantity]:[Y1 Q4 quantity]])</f>
        <v>0</v>
      </c>
      <c r="T69" s="1132">
        <f>Table69121631[[#This Row],[Y1 Unit cost]]*Table69121631[[#This Row],[Y1 Total quantity]]</f>
        <v>0</v>
      </c>
      <c r="U69" s="1126"/>
      <c r="V69" s="1171"/>
      <c r="W69" s="1171"/>
      <c r="X69" s="1171"/>
      <c r="Y69" s="1171"/>
      <c r="Z69" s="59">
        <f>SUM(Table69121631[[#This Row],[Y2 Q1 quantity]:[Y2 Q4 quantity]])</f>
        <v>0</v>
      </c>
      <c r="AA69" s="1142">
        <f>Table69121631[[#This Row],[Y2 Unit cost]]*Table69121631[[#This Row],[Y2 Total quantity]]</f>
        <v>0</v>
      </c>
      <c r="AB69" s="1126"/>
      <c r="AC69" s="1171"/>
      <c r="AD69" s="1171"/>
      <c r="AE69" s="1171"/>
      <c r="AF69" s="1171"/>
      <c r="AG69" s="59">
        <f>SUM(Table69121631[[#This Row],[Y3 Q1 quantity]:[Y3 Q4 quantity]])</f>
        <v>0</v>
      </c>
      <c r="AH69" s="1152">
        <f>Table69121631[[#This Row],[Y3 Unit cost]]*Table69121631[[#This Row],[Y3 Total quantity]]</f>
        <v>0</v>
      </c>
      <c r="AI69" s="62">
        <f>Table69121631[[#This Row],[Y1 Total quantity]]+Table69121631[[#This Row],[Y2 Total quantity]]+Table69121631[[#This Row],[Y3 Total quantity]]</f>
        <v>0</v>
      </c>
      <c r="AJ69" s="1142">
        <f>Table69121631[[#This Row],[Y1 Total cost]]+Table69121631[[#This Row],[Y2 Total cost]]+Table69121631[[#This Row],[Y3 Total cost]]</f>
        <v>0</v>
      </c>
      <c r="AK69" s="333" t="str">
        <f t="shared" si="10"/>
        <v/>
      </c>
      <c r="AL69" s="1266"/>
      <c r="AM69" s="411"/>
    </row>
    <row r="70" spans="1:39" s="249" customFormat="1">
      <c r="A70" s="2732"/>
      <c r="B70" s="2732"/>
      <c r="C70" s="2732"/>
      <c r="D70" s="2733"/>
      <c r="E70" s="2752"/>
      <c r="F70" s="2753"/>
      <c r="G70" s="2753"/>
      <c r="H70" s="2753"/>
      <c r="I70" s="2752"/>
      <c r="J70" s="2753"/>
      <c r="K70" s="2754"/>
      <c r="L70" s="314" t="str">
        <f t="shared" si="9"/>
        <v/>
      </c>
      <c r="M70" s="314" t="str">
        <f t="shared" si="11"/>
        <v/>
      </c>
      <c r="N70" s="1126"/>
      <c r="O70" s="1171"/>
      <c r="P70" s="1171"/>
      <c r="Q70" s="1171"/>
      <c r="R70" s="1171"/>
      <c r="S70" s="59">
        <f>SUM(Table69121631[[#This Row],[Y1 Q1 quantity]:[Y1 Q4 quantity]])</f>
        <v>0</v>
      </c>
      <c r="T70" s="1132">
        <f>Table69121631[[#This Row],[Y1 Unit cost]]*Table69121631[[#This Row],[Y1 Total quantity]]</f>
        <v>0</v>
      </c>
      <c r="U70" s="1126"/>
      <c r="V70" s="1171"/>
      <c r="W70" s="1171"/>
      <c r="X70" s="1171"/>
      <c r="Y70" s="1171"/>
      <c r="Z70" s="59">
        <f>SUM(Table69121631[[#This Row],[Y2 Q1 quantity]:[Y2 Q4 quantity]])</f>
        <v>0</v>
      </c>
      <c r="AA70" s="1142">
        <f>Table69121631[[#This Row],[Y2 Unit cost]]*Table69121631[[#This Row],[Y2 Total quantity]]</f>
        <v>0</v>
      </c>
      <c r="AB70" s="1126"/>
      <c r="AC70" s="1171"/>
      <c r="AD70" s="1171"/>
      <c r="AE70" s="1171"/>
      <c r="AF70" s="1171"/>
      <c r="AG70" s="59">
        <f>SUM(Table69121631[[#This Row],[Y3 Q1 quantity]:[Y3 Q4 quantity]])</f>
        <v>0</v>
      </c>
      <c r="AH70" s="1152">
        <f>Table69121631[[#This Row],[Y3 Unit cost]]*Table69121631[[#This Row],[Y3 Total quantity]]</f>
        <v>0</v>
      </c>
      <c r="AI70" s="62">
        <f>Table69121631[[#This Row],[Y1 Total quantity]]+Table69121631[[#This Row],[Y2 Total quantity]]+Table69121631[[#This Row],[Y3 Total quantity]]</f>
        <v>0</v>
      </c>
      <c r="AJ70" s="1142">
        <f>Table69121631[[#This Row],[Y1 Total cost]]+Table69121631[[#This Row],[Y2 Total cost]]+Table69121631[[#This Row],[Y3 Total cost]]</f>
        <v>0</v>
      </c>
      <c r="AK70" s="334" t="str">
        <f t="shared" si="10"/>
        <v/>
      </c>
      <c r="AL70" s="1265"/>
      <c r="AM70" s="411"/>
    </row>
    <row r="71" spans="1:39" s="249" customFormat="1">
      <c r="A71" s="2730"/>
      <c r="B71" s="2730"/>
      <c r="C71" s="2730"/>
      <c r="D71" s="2731"/>
      <c r="E71" s="2810"/>
      <c r="F71" s="2126"/>
      <c r="G71" s="2126"/>
      <c r="H71" s="2126"/>
      <c r="I71" s="2810"/>
      <c r="J71" s="2126"/>
      <c r="K71" s="2811"/>
      <c r="L71" s="313" t="str">
        <f t="shared" si="9"/>
        <v/>
      </c>
      <c r="M71" s="315" t="str">
        <f t="shared" si="11"/>
        <v/>
      </c>
      <c r="N71" s="1126"/>
      <c r="O71" s="1171"/>
      <c r="P71" s="1171"/>
      <c r="Q71" s="1171"/>
      <c r="R71" s="1171"/>
      <c r="S71" s="59">
        <f>SUM(Table69121631[[#This Row],[Y1 Q1 quantity]:[Y1 Q4 quantity]])</f>
        <v>0</v>
      </c>
      <c r="T71" s="1132">
        <f>Table69121631[[#This Row],[Y1 Unit cost]]*Table69121631[[#This Row],[Y1 Total quantity]]</f>
        <v>0</v>
      </c>
      <c r="U71" s="1126"/>
      <c r="V71" s="1171"/>
      <c r="W71" s="1171"/>
      <c r="X71" s="1171"/>
      <c r="Y71" s="1171"/>
      <c r="Z71" s="59">
        <f>SUM(Table69121631[[#This Row],[Y2 Q1 quantity]:[Y2 Q4 quantity]])</f>
        <v>0</v>
      </c>
      <c r="AA71" s="1142">
        <f>Table69121631[[#This Row],[Y2 Unit cost]]*Table69121631[[#This Row],[Y2 Total quantity]]</f>
        <v>0</v>
      </c>
      <c r="AB71" s="1126"/>
      <c r="AC71" s="1171"/>
      <c r="AD71" s="1171"/>
      <c r="AE71" s="1171"/>
      <c r="AF71" s="1171"/>
      <c r="AG71" s="59">
        <f>SUM(Table69121631[[#This Row],[Y3 Q1 quantity]:[Y3 Q4 quantity]])</f>
        <v>0</v>
      </c>
      <c r="AH71" s="1152">
        <f>Table69121631[[#This Row],[Y3 Unit cost]]*Table69121631[[#This Row],[Y3 Total quantity]]</f>
        <v>0</v>
      </c>
      <c r="AI71" s="62">
        <f>Table69121631[[#This Row],[Y1 Total quantity]]+Table69121631[[#This Row],[Y2 Total quantity]]+Table69121631[[#This Row],[Y3 Total quantity]]</f>
        <v>0</v>
      </c>
      <c r="AJ71" s="1142">
        <f>Table69121631[[#This Row],[Y1 Total cost]]+Table69121631[[#This Row],[Y2 Total cost]]+Table69121631[[#This Row],[Y3 Total cost]]</f>
        <v>0</v>
      </c>
      <c r="AK71" s="334" t="str">
        <f t="shared" si="10"/>
        <v/>
      </c>
      <c r="AL71" s="1266"/>
      <c r="AM71" s="411"/>
    </row>
    <row r="72" spans="1:39" s="249" customFormat="1">
      <c r="A72" s="2732"/>
      <c r="B72" s="2732"/>
      <c r="C72" s="2732"/>
      <c r="D72" s="2733"/>
      <c r="E72" s="2752"/>
      <c r="F72" s="2753"/>
      <c r="G72" s="2753"/>
      <c r="H72" s="2753"/>
      <c r="I72" s="2752"/>
      <c r="J72" s="2753"/>
      <c r="K72" s="2754"/>
      <c r="L72" s="314" t="str">
        <f t="shared" si="9"/>
        <v/>
      </c>
      <c r="M72" s="314" t="str">
        <f t="shared" si="11"/>
        <v/>
      </c>
      <c r="N72" s="1126"/>
      <c r="O72" s="1171"/>
      <c r="P72" s="1171"/>
      <c r="Q72" s="1171"/>
      <c r="R72" s="1171"/>
      <c r="S72" s="59">
        <f>SUM(Table69121631[[#This Row],[Y1 Q1 quantity]:[Y1 Q4 quantity]])</f>
        <v>0</v>
      </c>
      <c r="T72" s="1132">
        <f>Table69121631[[#This Row],[Y1 Unit cost]]*Table69121631[[#This Row],[Y1 Total quantity]]</f>
        <v>0</v>
      </c>
      <c r="U72" s="1126"/>
      <c r="V72" s="1171"/>
      <c r="W72" s="1171"/>
      <c r="X72" s="1171"/>
      <c r="Y72" s="1171"/>
      <c r="Z72" s="59">
        <f>SUM(Table69121631[[#This Row],[Y2 Q1 quantity]:[Y2 Q4 quantity]])</f>
        <v>0</v>
      </c>
      <c r="AA72" s="1142">
        <f>Table69121631[[#This Row],[Y2 Unit cost]]*Table69121631[[#This Row],[Y2 Total quantity]]</f>
        <v>0</v>
      </c>
      <c r="AB72" s="1126"/>
      <c r="AC72" s="1171"/>
      <c r="AD72" s="1171"/>
      <c r="AE72" s="1171"/>
      <c r="AF72" s="1171"/>
      <c r="AG72" s="59">
        <f>SUM(Table69121631[[#This Row],[Y3 Q1 quantity]:[Y3 Q4 quantity]])</f>
        <v>0</v>
      </c>
      <c r="AH72" s="1152">
        <f>Table69121631[[#This Row],[Y3 Unit cost]]*Table69121631[[#This Row],[Y3 Total quantity]]</f>
        <v>0</v>
      </c>
      <c r="AI72" s="62">
        <f>Table69121631[[#This Row],[Y1 Total quantity]]+Table69121631[[#This Row],[Y2 Total quantity]]+Table69121631[[#This Row],[Y3 Total quantity]]</f>
        <v>0</v>
      </c>
      <c r="AJ72" s="1142">
        <f>Table69121631[[#This Row],[Y1 Total cost]]+Table69121631[[#This Row],[Y2 Total cost]]+Table69121631[[#This Row],[Y3 Total cost]]</f>
        <v>0</v>
      </c>
      <c r="AK72" s="334" t="str">
        <f t="shared" si="10"/>
        <v/>
      </c>
      <c r="AL72" s="1265"/>
      <c r="AM72" s="411"/>
    </row>
    <row r="73" spans="1:39" s="249" customFormat="1">
      <c r="A73" s="2730"/>
      <c r="B73" s="2730"/>
      <c r="C73" s="2730"/>
      <c r="D73" s="2731"/>
      <c r="E73" s="2810"/>
      <c r="F73" s="2126"/>
      <c r="G73" s="2126"/>
      <c r="H73" s="2126"/>
      <c r="I73" s="2810"/>
      <c r="J73" s="2126"/>
      <c r="K73" s="2811"/>
      <c r="L73" s="313" t="str">
        <f t="shared" si="9"/>
        <v/>
      </c>
      <c r="M73" s="315" t="str">
        <f t="shared" si="11"/>
        <v/>
      </c>
      <c r="N73" s="1126"/>
      <c r="O73" s="1171"/>
      <c r="P73" s="1171"/>
      <c r="Q73" s="1171"/>
      <c r="R73" s="1171"/>
      <c r="S73" s="59">
        <f>SUM(Table69121631[[#This Row],[Y1 Q1 quantity]:[Y1 Q4 quantity]])</f>
        <v>0</v>
      </c>
      <c r="T73" s="1132">
        <f>Table69121631[[#This Row],[Y1 Unit cost]]*Table69121631[[#This Row],[Y1 Total quantity]]</f>
        <v>0</v>
      </c>
      <c r="U73" s="1126"/>
      <c r="V73" s="1171"/>
      <c r="W73" s="1171"/>
      <c r="X73" s="1171"/>
      <c r="Y73" s="1171"/>
      <c r="Z73" s="59">
        <f>SUM(Table69121631[[#This Row],[Y2 Q1 quantity]:[Y2 Q4 quantity]])</f>
        <v>0</v>
      </c>
      <c r="AA73" s="1142">
        <f>Table69121631[[#This Row],[Y2 Unit cost]]*Table69121631[[#This Row],[Y2 Total quantity]]</f>
        <v>0</v>
      </c>
      <c r="AB73" s="1126"/>
      <c r="AC73" s="1171"/>
      <c r="AD73" s="1171"/>
      <c r="AE73" s="1171"/>
      <c r="AF73" s="1171"/>
      <c r="AG73" s="59">
        <f>SUM(Table69121631[[#This Row],[Y3 Q1 quantity]:[Y3 Q4 quantity]])</f>
        <v>0</v>
      </c>
      <c r="AH73" s="1152">
        <f>Table69121631[[#This Row],[Y3 Unit cost]]*Table69121631[[#This Row],[Y3 Total quantity]]</f>
        <v>0</v>
      </c>
      <c r="AI73" s="62">
        <f>Table69121631[[#This Row],[Y1 Total quantity]]+Table69121631[[#This Row],[Y2 Total quantity]]+Table69121631[[#This Row],[Y3 Total quantity]]</f>
        <v>0</v>
      </c>
      <c r="AJ73" s="1142">
        <f>Table69121631[[#This Row],[Y1 Total cost]]+Table69121631[[#This Row],[Y2 Total cost]]+Table69121631[[#This Row],[Y3 Total cost]]</f>
        <v>0</v>
      </c>
      <c r="AK73" s="334" t="str">
        <f t="shared" si="10"/>
        <v/>
      </c>
      <c r="AL73" s="1266"/>
      <c r="AM73" s="411"/>
    </row>
    <row r="74" spans="1:39" s="249" customFormat="1">
      <c r="A74" s="2732"/>
      <c r="B74" s="2732"/>
      <c r="C74" s="2732"/>
      <c r="D74" s="2733"/>
      <c r="E74" s="2752"/>
      <c r="F74" s="2753"/>
      <c r="G74" s="2753"/>
      <c r="H74" s="2753"/>
      <c r="I74" s="2752"/>
      <c r="J74" s="2753"/>
      <c r="K74" s="2754"/>
      <c r="L74" s="314" t="str">
        <f t="shared" si="9"/>
        <v/>
      </c>
      <c r="M74" s="314" t="str">
        <f t="shared" si="11"/>
        <v/>
      </c>
      <c r="N74" s="1126"/>
      <c r="O74" s="1171"/>
      <c r="P74" s="1171"/>
      <c r="Q74" s="1171"/>
      <c r="R74" s="1171"/>
      <c r="S74" s="59">
        <f>SUM(Table69121631[[#This Row],[Y1 Q1 quantity]:[Y1 Q4 quantity]])</f>
        <v>0</v>
      </c>
      <c r="T74" s="1132">
        <f>Table69121631[[#This Row],[Y1 Unit cost]]*Table69121631[[#This Row],[Y1 Total quantity]]</f>
        <v>0</v>
      </c>
      <c r="U74" s="1126"/>
      <c r="V74" s="1171"/>
      <c r="W74" s="1171"/>
      <c r="X74" s="1171"/>
      <c r="Y74" s="1171"/>
      <c r="Z74" s="59">
        <f>SUM(Table69121631[[#This Row],[Y2 Q1 quantity]:[Y2 Q4 quantity]])</f>
        <v>0</v>
      </c>
      <c r="AA74" s="1142">
        <f>Table69121631[[#This Row],[Y2 Unit cost]]*Table69121631[[#This Row],[Y2 Total quantity]]</f>
        <v>0</v>
      </c>
      <c r="AB74" s="1126"/>
      <c r="AC74" s="1171"/>
      <c r="AD74" s="1171"/>
      <c r="AE74" s="1171"/>
      <c r="AF74" s="1171"/>
      <c r="AG74" s="59">
        <f>SUM(Table69121631[[#This Row],[Y3 Q1 quantity]:[Y3 Q4 quantity]])</f>
        <v>0</v>
      </c>
      <c r="AH74" s="1152">
        <f>Table69121631[[#This Row],[Y3 Unit cost]]*Table69121631[[#This Row],[Y3 Total quantity]]</f>
        <v>0</v>
      </c>
      <c r="AI74" s="62">
        <f>Table69121631[[#This Row],[Y1 Total quantity]]+Table69121631[[#This Row],[Y2 Total quantity]]+Table69121631[[#This Row],[Y3 Total quantity]]</f>
        <v>0</v>
      </c>
      <c r="AJ74" s="1142">
        <f>Table69121631[[#This Row],[Y1 Total cost]]+Table69121631[[#This Row],[Y2 Total cost]]+Table69121631[[#This Row],[Y3 Total cost]]</f>
        <v>0</v>
      </c>
      <c r="AK74" s="334" t="str">
        <f t="shared" si="10"/>
        <v/>
      </c>
      <c r="AL74" s="1265"/>
      <c r="AM74" s="411"/>
    </row>
    <row r="75" spans="1:39" s="249" customFormat="1">
      <c r="A75" s="2730"/>
      <c r="B75" s="2730"/>
      <c r="C75" s="2730"/>
      <c r="D75" s="2731"/>
      <c r="E75" s="2810"/>
      <c r="F75" s="2126"/>
      <c r="G75" s="2126"/>
      <c r="H75" s="2126"/>
      <c r="I75" s="2810"/>
      <c r="J75" s="2126"/>
      <c r="K75" s="2811"/>
      <c r="L75" s="313" t="str">
        <f t="shared" si="9"/>
        <v/>
      </c>
      <c r="M75" s="315" t="str">
        <f t="shared" si="11"/>
        <v/>
      </c>
      <c r="N75" s="1126"/>
      <c r="O75" s="1171"/>
      <c r="P75" s="1171"/>
      <c r="Q75" s="1171"/>
      <c r="R75" s="1171"/>
      <c r="S75" s="59">
        <f>SUM(Table69121631[[#This Row],[Y1 Q1 quantity]:[Y1 Q4 quantity]])</f>
        <v>0</v>
      </c>
      <c r="T75" s="1132">
        <f>Table69121631[[#This Row],[Y1 Unit cost]]*Table69121631[[#This Row],[Y1 Total quantity]]</f>
        <v>0</v>
      </c>
      <c r="U75" s="1126"/>
      <c r="V75" s="1171"/>
      <c r="W75" s="1171"/>
      <c r="X75" s="1171"/>
      <c r="Y75" s="1171"/>
      <c r="Z75" s="59">
        <f>SUM(Table69121631[[#This Row],[Y2 Q1 quantity]:[Y2 Q4 quantity]])</f>
        <v>0</v>
      </c>
      <c r="AA75" s="1142">
        <f>Table69121631[[#This Row],[Y2 Unit cost]]*Table69121631[[#This Row],[Y2 Total quantity]]</f>
        <v>0</v>
      </c>
      <c r="AB75" s="1126"/>
      <c r="AC75" s="1171"/>
      <c r="AD75" s="1171"/>
      <c r="AE75" s="1171"/>
      <c r="AF75" s="1171"/>
      <c r="AG75" s="59">
        <f>SUM(Table69121631[[#This Row],[Y3 Q1 quantity]:[Y3 Q4 quantity]])</f>
        <v>0</v>
      </c>
      <c r="AH75" s="1152">
        <f>Table69121631[[#This Row],[Y3 Unit cost]]*Table69121631[[#This Row],[Y3 Total quantity]]</f>
        <v>0</v>
      </c>
      <c r="AI75" s="62">
        <f>Table69121631[[#This Row],[Y1 Total quantity]]+Table69121631[[#This Row],[Y2 Total quantity]]+Table69121631[[#This Row],[Y3 Total quantity]]</f>
        <v>0</v>
      </c>
      <c r="AJ75" s="1142">
        <f>Table69121631[[#This Row],[Y1 Total cost]]+Table69121631[[#This Row],[Y2 Total cost]]+Table69121631[[#This Row],[Y3 Total cost]]</f>
        <v>0</v>
      </c>
      <c r="AK75" s="334" t="str">
        <f t="shared" si="10"/>
        <v/>
      </c>
      <c r="AL75" s="1266"/>
      <c r="AM75" s="411"/>
    </row>
    <row r="76" spans="1:39" s="249" customFormat="1">
      <c r="A76" s="2732"/>
      <c r="B76" s="2732"/>
      <c r="C76" s="2732"/>
      <c r="D76" s="2733"/>
      <c r="E76" s="2752"/>
      <c r="F76" s="2753"/>
      <c r="G76" s="2753"/>
      <c r="H76" s="2753"/>
      <c r="I76" s="2752"/>
      <c r="J76" s="2753"/>
      <c r="K76" s="2754"/>
      <c r="L76" s="314" t="str">
        <f t="shared" si="9"/>
        <v/>
      </c>
      <c r="M76" s="314" t="str">
        <f t="shared" si="11"/>
        <v/>
      </c>
      <c r="N76" s="1126"/>
      <c r="O76" s="1171"/>
      <c r="P76" s="1171"/>
      <c r="Q76" s="1171"/>
      <c r="R76" s="1171"/>
      <c r="S76" s="59">
        <f>SUM(Table69121631[[#This Row],[Y1 Q1 quantity]:[Y1 Q4 quantity]])</f>
        <v>0</v>
      </c>
      <c r="T76" s="1132">
        <f>Table69121631[[#This Row],[Y1 Unit cost]]*Table69121631[[#This Row],[Y1 Total quantity]]</f>
        <v>0</v>
      </c>
      <c r="U76" s="1126"/>
      <c r="V76" s="1171"/>
      <c r="W76" s="1171"/>
      <c r="X76" s="1171"/>
      <c r="Y76" s="1171"/>
      <c r="Z76" s="59">
        <f>SUM(Table69121631[[#This Row],[Y2 Q1 quantity]:[Y2 Q4 quantity]])</f>
        <v>0</v>
      </c>
      <c r="AA76" s="1142">
        <f>Table69121631[[#This Row],[Y2 Unit cost]]*Table69121631[[#This Row],[Y2 Total quantity]]</f>
        <v>0</v>
      </c>
      <c r="AB76" s="1126"/>
      <c r="AC76" s="1171"/>
      <c r="AD76" s="1171"/>
      <c r="AE76" s="1171"/>
      <c r="AF76" s="1171"/>
      <c r="AG76" s="59">
        <f>SUM(Table69121631[[#This Row],[Y3 Q1 quantity]:[Y3 Q4 quantity]])</f>
        <v>0</v>
      </c>
      <c r="AH76" s="1152">
        <f>Table69121631[[#This Row],[Y3 Unit cost]]*Table69121631[[#This Row],[Y3 Total quantity]]</f>
        <v>0</v>
      </c>
      <c r="AI76" s="62">
        <f>Table69121631[[#This Row],[Y1 Total quantity]]+Table69121631[[#This Row],[Y2 Total quantity]]+Table69121631[[#This Row],[Y3 Total quantity]]</f>
        <v>0</v>
      </c>
      <c r="AJ76" s="1142">
        <f>Table69121631[[#This Row],[Y1 Total cost]]+Table69121631[[#This Row],[Y2 Total cost]]+Table69121631[[#This Row],[Y3 Total cost]]</f>
        <v>0</v>
      </c>
      <c r="AK76" s="334" t="str">
        <f t="shared" si="10"/>
        <v/>
      </c>
      <c r="AL76" s="1265"/>
      <c r="AM76" s="411"/>
    </row>
    <row r="77" spans="1:39" s="249" customFormat="1">
      <c r="A77" s="2730"/>
      <c r="B77" s="2730"/>
      <c r="C77" s="2730"/>
      <c r="D77" s="2731"/>
      <c r="E77" s="2810"/>
      <c r="F77" s="2126"/>
      <c r="G77" s="2126"/>
      <c r="H77" s="2126"/>
      <c r="I77" s="2810"/>
      <c r="J77" s="2126"/>
      <c r="K77" s="2811"/>
      <c r="L77" s="313" t="str">
        <f t="shared" si="9"/>
        <v/>
      </c>
      <c r="M77" s="315" t="str">
        <f t="shared" si="11"/>
        <v/>
      </c>
      <c r="N77" s="1126"/>
      <c r="O77" s="1171"/>
      <c r="P77" s="1171"/>
      <c r="Q77" s="1171"/>
      <c r="R77" s="1171"/>
      <c r="S77" s="59">
        <f>SUM(Table69121631[[#This Row],[Y1 Q1 quantity]:[Y1 Q4 quantity]])</f>
        <v>0</v>
      </c>
      <c r="T77" s="1132">
        <f>Table69121631[[#This Row],[Y1 Unit cost]]*Table69121631[[#This Row],[Y1 Total quantity]]</f>
        <v>0</v>
      </c>
      <c r="U77" s="1126"/>
      <c r="V77" s="1171"/>
      <c r="W77" s="1171"/>
      <c r="X77" s="1171"/>
      <c r="Y77" s="1171"/>
      <c r="Z77" s="59">
        <f>SUM(Table69121631[[#This Row],[Y2 Q1 quantity]:[Y2 Q4 quantity]])</f>
        <v>0</v>
      </c>
      <c r="AA77" s="1142">
        <f>Table69121631[[#This Row],[Y2 Unit cost]]*Table69121631[[#This Row],[Y2 Total quantity]]</f>
        <v>0</v>
      </c>
      <c r="AB77" s="1126"/>
      <c r="AC77" s="1171"/>
      <c r="AD77" s="1171"/>
      <c r="AE77" s="1171"/>
      <c r="AF77" s="1171"/>
      <c r="AG77" s="59">
        <f>SUM(Table69121631[[#This Row],[Y3 Q1 quantity]:[Y3 Q4 quantity]])</f>
        <v>0</v>
      </c>
      <c r="AH77" s="1152">
        <f>Table69121631[[#This Row],[Y3 Unit cost]]*Table69121631[[#This Row],[Y3 Total quantity]]</f>
        <v>0</v>
      </c>
      <c r="AI77" s="62">
        <f>Table69121631[[#This Row],[Y1 Total quantity]]+Table69121631[[#This Row],[Y2 Total quantity]]+Table69121631[[#This Row],[Y3 Total quantity]]</f>
        <v>0</v>
      </c>
      <c r="AJ77" s="1142">
        <f>Table69121631[[#This Row],[Y1 Total cost]]+Table69121631[[#This Row],[Y2 Total cost]]+Table69121631[[#This Row],[Y3 Total cost]]</f>
        <v>0</v>
      </c>
      <c r="AK77" s="334" t="str">
        <f t="shared" si="10"/>
        <v/>
      </c>
      <c r="AL77" s="1266"/>
      <c r="AM77" s="411"/>
    </row>
    <row r="78" spans="1:39" s="249" customFormat="1">
      <c r="A78" s="2732"/>
      <c r="B78" s="2732"/>
      <c r="C78" s="2732"/>
      <c r="D78" s="2733"/>
      <c r="E78" s="2752"/>
      <c r="F78" s="2753"/>
      <c r="G78" s="2753"/>
      <c r="H78" s="2753"/>
      <c r="I78" s="2752"/>
      <c r="J78" s="2753"/>
      <c r="K78" s="2754"/>
      <c r="L78" s="314" t="str">
        <f t="shared" si="9"/>
        <v/>
      </c>
      <c r="M78" s="314" t="str">
        <f t="shared" si="11"/>
        <v/>
      </c>
      <c r="N78" s="1126"/>
      <c r="O78" s="1171"/>
      <c r="P78" s="1171"/>
      <c r="Q78" s="1171"/>
      <c r="R78" s="1171"/>
      <c r="S78" s="59">
        <f>SUM(Table69121631[[#This Row],[Y1 Q1 quantity]:[Y1 Q4 quantity]])</f>
        <v>0</v>
      </c>
      <c r="T78" s="1132">
        <f>Table69121631[[#This Row],[Y1 Unit cost]]*Table69121631[[#This Row],[Y1 Total quantity]]</f>
        <v>0</v>
      </c>
      <c r="U78" s="1126"/>
      <c r="V78" s="1171"/>
      <c r="W78" s="1171"/>
      <c r="X78" s="1171"/>
      <c r="Y78" s="1171"/>
      <c r="Z78" s="59">
        <f>SUM(Table69121631[[#This Row],[Y2 Q1 quantity]:[Y2 Q4 quantity]])</f>
        <v>0</v>
      </c>
      <c r="AA78" s="1142">
        <f>Table69121631[[#This Row],[Y2 Unit cost]]*Table69121631[[#This Row],[Y2 Total quantity]]</f>
        <v>0</v>
      </c>
      <c r="AB78" s="1126"/>
      <c r="AC78" s="1171"/>
      <c r="AD78" s="1171"/>
      <c r="AE78" s="1171"/>
      <c r="AF78" s="1171"/>
      <c r="AG78" s="59">
        <f>SUM(Table69121631[[#This Row],[Y3 Q1 quantity]:[Y3 Q4 quantity]])</f>
        <v>0</v>
      </c>
      <c r="AH78" s="1152">
        <f>Table69121631[[#This Row],[Y3 Unit cost]]*Table69121631[[#This Row],[Y3 Total quantity]]</f>
        <v>0</v>
      </c>
      <c r="AI78" s="62">
        <f>Table69121631[[#This Row],[Y1 Total quantity]]+Table69121631[[#This Row],[Y2 Total quantity]]+Table69121631[[#This Row],[Y3 Total quantity]]</f>
        <v>0</v>
      </c>
      <c r="AJ78" s="1142">
        <f>Table69121631[[#This Row],[Y1 Total cost]]+Table69121631[[#This Row],[Y2 Total cost]]+Table69121631[[#This Row],[Y3 Total cost]]</f>
        <v>0</v>
      </c>
      <c r="AK78" s="333" t="str">
        <f t="shared" si="10"/>
        <v/>
      </c>
      <c r="AL78" s="1265"/>
      <c r="AM78" s="411"/>
    </row>
    <row r="79" spans="1:39" s="249" customFormat="1">
      <c r="A79" s="2730"/>
      <c r="B79" s="2730"/>
      <c r="C79" s="2730"/>
      <c r="D79" s="2731"/>
      <c r="E79" s="2810"/>
      <c r="F79" s="2126"/>
      <c r="G79" s="2126"/>
      <c r="H79" s="2126"/>
      <c r="I79" s="2810"/>
      <c r="J79" s="2126"/>
      <c r="K79" s="2811"/>
      <c r="L79" s="313" t="str">
        <f t="shared" si="9"/>
        <v/>
      </c>
      <c r="M79" s="315" t="str">
        <f t="shared" si="11"/>
        <v/>
      </c>
      <c r="N79" s="1126"/>
      <c r="O79" s="1171"/>
      <c r="P79" s="1171"/>
      <c r="Q79" s="1171"/>
      <c r="R79" s="1171"/>
      <c r="S79" s="59">
        <f>SUM(Table69121631[[#This Row],[Y1 Q1 quantity]:[Y1 Q4 quantity]])</f>
        <v>0</v>
      </c>
      <c r="T79" s="1132">
        <f>Table69121631[[#This Row],[Y1 Unit cost]]*Table69121631[[#This Row],[Y1 Total quantity]]</f>
        <v>0</v>
      </c>
      <c r="U79" s="1126"/>
      <c r="V79" s="1171"/>
      <c r="W79" s="1171"/>
      <c r="X79" s="1171"/>
      <c r="Y79" s="1171"/>
      <c r="Z79" s="59">
        <f>SUM(Table69121631[[#This Row],[Y2 Q1 quantity]:[Y2 Q4 quantity]])</f>
        <v>0</v>
      </c>
      <c r="AA79" s="1142">
        <f>Table69121631[[#This Row],[Y2 Unit cost]]*Table69121631[[#This Row],[Y2 Total quantity]]</f>
        <v>0</v>
      </c>
      <c r="AB79" s="1126"/>
      <c r="AC79" s="1171"/>
      <c r="AD79" s="1171"/>
      <c r="AE79" s="1171"/>
      <c r="AF79" s="1171"/>
      <c r="AG79" s="59">
        <f>SUM(Table69121631[[#This Row],[Y3 Q1 quantity]:[Y3 Q4 quantity]])</f>
        <v>0</v>
      </c>
      <c r="AH79" s="1152">
        <f>Table69121631[[#This Row],[Y3 Unit cost]]*Table69121631[[#This Row],[Y3 Total quantity]]</f>
        <v>0</v>
      </c>
      <c r="AI79" s="62">
        <f>Table69121631[[#This Row],[Y1 Total quantity]]+Table69121631[[#This Row],[Y2 Total quantity]]+Table69121631[[#This Row],[Y3 Total quantity]]</f>
        <v>0</v>
      </c>
      <c r="AJ79" s="1142">
        <f>Table69121631[[#This Row],[Y1 Total cost]]+Table69121631[[#This Row],[Y2 Total cost]]+Table69121631[[#This Row],[Y3 Total cost]]</f>
        <v>0</v>
      </c>
      <c r="AK79" s="333" t="str">
        <f t="shared" si="10"/>
        <v/>
      </c>
      <c r="AL79" s="1266"/>
      <c r="AM79" s="411"/>
    </row>
    <row r="80" spans="1:39" s="249" customFormat="1">
      <c r="A80" s="2732"/>
      <c r="B80" s="2732"/>
      <c r="C80" s="2732"/>
      <c r="D80" s="2733"/>
      <c r="E80" s="2752"/>
      <c r="F80" s="2753"/>
      <c r="G80" s="2753"/>
      <c r="H80" s="2753"/>
      <c r="I80" s="2752"/>
      <c r="J80" s="2753"/>
      <c r="K80" s="2754"/>
      <c r="L80" s="314" t="str">
        <f t="shared" si="9"/>
        <v/>
      </c>
      <c r="M80" s="314" t="str">
        <f t="shared" si="11"/>
        <v/>
      </c>
      <c r="N80" s="1126"/>
      <c r="O80" s="1171"/>
      <c r="P80" s="1171"/>
      <c r="Q80" s="1171"/>
      <c r="R80" s="1171"/>
      <c r="S80" s="59">
        <f>SUM(Table69121631[[#This Row],[Y1 Q1 quantity]:[Y1 Q4 quantity]])</f>
        <v>0</v>
      </c>
      <c r="T80" s="1132">
        <f>Table69121631[[#This Row],[Y1 Unit cost]]*Table69121631[[#This Row],[Y1 Total quantity]]</f>
        <v>0</v>
      </c>
      <c r="U80" s="1126"/>
      <c r="V80" s="1171"/>
      <c r="W80" s="1171"/>
      <c r="X80" s="1171"/>
      <c r="Y80" s="1171"/>
      <c r="Z80" s="59">
        <f>SUM(Table69121631[[#This Row],[Y2 Q1 quantity]:[Y2 Q4 quantity]])</f>
        <v>0</v>
      </c>
      <c r="AA80" s="1142">
        <f>Table69121631[[#This Row],[Y2 Unit cost]]*Table69121631[[#This Row],[Y2 Total quantity]]</f>
        <v>0</v>
      </c>
      <c r="AB80" s="1126"/>
      <c r="AC80" s="1171"/>
      <c r="AD80" s="1171"/>
      <c r="AE80" s="1171"/>
      <c r="AF80" s="1171"/>
      <c r="AG80" s="59">
        <f>SUM(Table69121631[[#This Row],[Y3 Q1 quantity]:[Y3 Q4 quantity]])</f>
        <v>0</v>
      </c>
      <c r="AH80" s="1152">
        <f>Table69121631[[#This Row],[Y3 Unit cost]]*Table69121631[[#This Row],[Y3 Total quantity]]</f>
        <v>0</v>
      </c>
      <c r="AI80" s="62">
        <f>Table69121631[[#This Row],[Y1 Total quantity]]+Table69121631[[#This Row],[Y2 Total quantity]]+Table69121631[[#This Row],[Y3 Total quantity]]</f>
        <v>0</v>
      </c>
      <c r="AJ80" s="1142">
        <f>Table69121631[[#This Row],[Y1 Total cost]]+Table69121631[[#This Row],[Y2 Total cost]]+Table69121631[[#This Row],[Y3 Total cost]]</f>
        <v>0</v>
      </c>
      <c r="AK80" s="333" t="str">
        <f t="shared" si="10"/>
        <v/>
      </c>
      <c r="AL80" s="1265"/>
      <c r="AM80" s="411"/>
    </row>
    <row r="81" spans="1:60" s="249" customFormat="1">
      <c r="A81" s="2730"/>
      <c r="B81" s="2730"/>
      <c r="C81" s="2730"/>
      <c r="D81" s="2731"/>
      <c r="E81" s="2810"/>
      <c r="F81" s="2126"/>
      <c r="G81" s="2126"/>
      <c r="H81" s="2126"/>
      <c r="I81" s="2810"/>
      <c r="J81" s="2126"/>
      <c r="K81" s="2811"/>
      <c r="L81" s="313" t="str">
        <f t="shared" si="9"/>
        <v/>
      </c>
      <c r="M81" s="315" t="str">
        <f t="shared" si="11"/>
        <v/>
      </c>
      <c r="N81" s="1126"/>
      <c r="O81" s="1171"/>
      <c r="P81" s="1171"/>
      <c r="Q81" s="1171"/>
      <c r="R81" s="1171"/>
      <c r="S81" s="59">
        <f>SUM(Table69121631[[#This Row],[Y1 Q1 quantity]:[Y1 Q4 quantity]])</f>
        <v>0</v>
      </c>
      <c r="T81" s="1132">
        <f>Table69121631[[#This Row],[Y1 Unit cost]]*Table69121631[[#This Row],[Y1 Total quantity]]</f>
        <v>0</v>
      </c>
      <c r="U81" s="1126"/>
      <c r="V81" s="1171"/>
      <c r="W81" s="1171"/>
      <c r="X81" s="1171"/>
      <c r="Y81" s="1171"/>
      <c r="Z81" s="59">
        <f>SUM(Table69121631[[#This Row],[Y2 Q1 quantity]:[Y2 Q4 quantity]])</f>
        <v>0</v>
      </c>
      <c r="AA81" s="1142">
        <f>Table69121631[[#This Row],[Y2 Unit cost]]*Table69121631[[#This Row],[Y2 Total quantity]]</f>
        <v>0</v>
      </c>
      <c r="AB81" s="1126"/>
      <c r="AC81" s="1171"/>
      <c r="AD81" s="1171"/>
      <c r="AE81" s="1171"/>
      <c r="AF81" s="1171"/>
      <c r="AG81" s="59">
        <f>SUM(Table69121631[[#This Row],[Y3 Q1 quantity]:[Y3 Q4 quantity]])</f>
        <v>0</v>
      </c>
      <c r="AH81" s="1152">
        <f>Table69121631[[#This Row],[Y3 Unit cost]]*Table69121631[[#This Row],[Y3 Total quantity]]</f>
        <v>0</v>
      </c>
      <c r="AI81" s="62">
        <f>Table69121631[[#This Row],[Y1 Total quantity]]+Table69121631[[#This Row],[Y2 Total quantity]]+Table69121631[[#This Row],[Y3 Total quantity]]</f>
        <v>0</v>
      </c>
      <c r="AJ81" s="1142">
        <f>Table69121631[[#This Row],[Y1 Total cost]]+Table69121631[[#This Row],[Y2 Total cost]]+Table69121631[[#This Row],[Y3 Total cost]]</f>
        <v>0</v>
      </c>
      <c r="AK81" s="333" t="str">
        <f t="shared" si="10"/>
        <v/>
      </c>
      <c r="AL81" s="1266"/>
      <c r="AM81" s="411"/>
    </row>
    <row r="82" spans="1:60" s="249" customFormat="1">
      <c r="A82" s="2732"/>
      <c r="B82" s="2732"/>
      <c r="C82" s="2732"/>
      <c r="D82" s="2733"/>
      <c r="E82" s="2752"/>
      <c r="F82" s="2753"/>
      <c r="G82" s="2753"/>
      <c r="H82" s="2753"/>
      <c r="I82" s="2752"/>
      <c r="J82" s="2753"/>
      <c r="K82" s="2754"/>
      <c r="L82" s="314" t="str">
        <f t="shared" si="9"/>
        <v/>
      </c>
      <c r="M82" s="314" t="str">
        <f t="shared" si="11"/>
        <v/>
      </c>
      <c r="N82" s="1126"/>
      <c r="O82" s="1171"/>
      <c r="P82" s="1171"/>
      <c r="Q82" s="1171"/>
      <c r="R82" s="1171"/>
      <c r="S82" s="59">
        <f>SUM(Table69121631[[#This Row],[Y1 Q1 quantity]:[Y1 Q4 quantity]])</f>
        <v>0</v>
      </c>
      <c r="T82" s="1132">
        <f>Table69121631[[#This Row],[Y1 Unit cost]]*Table69121631[[#This Row],[Y1 Total quantity]]</f>
        <v>0</v>
      </c>
      <c r="U82" s="1126"/>
      <c r="V82" s="1171"/>
      <c r="W82" s="1171"/>
      <c r="X82" s="1171"/>
      <c r="Y82" s="1171"/>
      <c r="Z82" s="59">
        <f>SUM(Table69121631[[#This Row],[Y2 Q1 quantity]:[Y2 Q4 quantity]])</f>
        <v>0</v>
      </c>
      <c r="AA82" s="1142">
        <f>Table69121631[[#This Row],[Y2 Unit cost]]*Table69121631[[#This Row],[Y2 Total quantity]]</f>
        <v>0</v>
      </c>
      <c r="AB82" s="1126"/>
      <c r="AC82" s="1171"/>
      <c r="AD82" s="1171"/>
      <c r="AE82" s="1171"/>
      <c r="AF82" s="1171"/>
      <c r="AG82" s="59">
        <f>SUM(Table69121631[[#This Row],[Y3 Q1 quantity]:[Y3 Q4 quantity]])</f>
        <v>0</v>
      </c>
      <c r="AH82" s="1152">
        <f>Table69121631[[#This Row],[Y3 Unit cost]]*Table69121631[[#This Row],[Y3 Total quantity]]</f>
        <v>0</v>
      </c>
      <c r="AI82" s="62">
        <f>Table69121631[[#This Row],[Y1 Total quantity]]+Table69121631[[#This Row],[Y2 Total quantity]]+Table69121631[[#This Row],[Y3 Total quantity]]</f>
        <v>0</v>
      </c>
      <c r="AJ82" s="1142">
        <f>Table69121631[[#This Row],[Y1 Total cost]]+Table69121631[[#This Row],[Y2 Total cost]]+Table69121631[[#This Row],[Y3 Total cost]]</f>
        <v>0</v>
      </c>
      <c r="AK82" s="333" t="str">
        <f t="shared" si="10"/>
        <v/>
      </c>
      <c r="AL82" s="1265"/>
      <c r="AM82" s="411"/>
    </row>
    <row r="83" spans="1:60" s="249" customFormat="1">
      <c r="A83" s="2730"/>
      <c r="B83" s="2730"/>
      <c r="C83" s="2730"/>
      <c r="D83" s="2731"/>
      <c r="E83" s="2810"/>
      <c r="F83" s="2126"/>
      <c r="G83" s="2126"/>
      <c r="H83" s="2126"/>
      <c r="I83" s="2810"/>
      <c r="J83" s="2126"/>
      <c r="K83" s="2811"/>
      <c r="L83" s="313" t="str">
        <f t="shared" si="9"/>
        <v/>
      </c>
      <c r="M83" s="315" t="str">
        <f t="shared" si="11"/>
        <v/>
      </c>
      <c r="N83" s="1126"/>
      <c r="O83" s="1171"/>
      <c r="P83" s="1171"/>
      <c r="Q83" s="1171"/>
      <c r="R83" s="1171"/>
      <c r="S83" s="59">
        <f>SUM(Table69121631[[#This Row],[Y1 Q1 quantity]:[Y1 Q4 quantity]])</f>
        <v>0</v>
      </c>
      <c r="T83" s="1132">
        <f>Table69121631[[#This Row],[Y1 Unit cost]]*Table69121631[[#This Row],[Y1 Total quantity]]</f>
        <v>0</v>
      </c>
      <c r="U83" s="1126"/>
      <c r="V83" s="1171"/>
      <c r="W83" s="1171"/>
      <c r="X83" s="1171"/>
      <c r="Y83" s="1171"/>
      <c r="Z83" s="59">
        <f>SUM(Table69121631[[#This Row],[Y2 Q1 quantity]:[Y2 Q4 quantity]])</f>
        <v>0</v>
      </c>
      <c r="AA83" s="1142">
        <f>Table69121631[[#This Row],[Y2 Unit cost]]*Table69121631[[#This Row],[Y2 Total quantity]]</f>
        <v>0</v>
      </c>
      <c r="AB83" s="1126"/>
      <c r="AC83" s="1171"/>
      <c r="AD83" s="1171"/>
      <c r="AE83" s="1171"/>
      <c r="AF83" s="1171"/>
      <c r="AG83" s="59">
        <f>SUM(Table69121631[[#This Row],[Y3 Q1 quantity]:[Y3 Q4 quantity]])</f>
        <v>0</v>
      </c>
      <c r="AH83" s="1152">
        <f>Table69121631[[#This Row],[Y3 Unit cost]]*Table69121631[[#This Row],[Y3 Total quantity]]</f>
        <v>0</v>
      </c>
      <c r="AI83" s="62">
        <f>Table69121631[[#This Row],[Y1 Total quantity]]+Table69121631[[#This Row],[Y2 Total quantity]]+Table69121631[[#This Row],[Y3 Total quantity]]</f>
        <v>0</v>
      </c>
      <c r="AJ83" s="1142">
        <f>Table69121631[[#This Row],[Y1 Total cost]]+Table69121631[[#This Row],[Y2 Total cost]]+Table69121631[[#This Row],[Y3 Total cost]]</f>
        <v>0</v>
      </c>
      <c r="AK83" s="333" t="str">
        <f t="shared" si="10"/>
        <v/>
      </c>
      <c r="AL83" s="1266"/>
      <c r="AM83" s="411"/>
    </row>
    <row r="84" spans="1:60" s="249" customFormat="1">
      <c r="A84" s="2732"/>
      <c r="B84" s="2732"/>
      <c r="C84" s="2732"/>
      <c r="D84" s="2733"/>
      <c r="E84" s="2752"/>
      <c r="F84" s="2753"/>
      <c r="G84" s="2753"/>
      <c r="H84" s="2753"/>
      <c r="I84" s="2752"/>
      <c r="J84" s="2753"/>
      <c r="K84" s="2754"/>
      <c r="L84" s="314" t="str">
        <f t="shared" si="9"/>
        <v/>
      </c>
      <c r="M84" s="314" t="str">
        <f t="shared" si="11"/>
        <v/>
      </c>
      <c r="N84" s="1126"/>
      <c r="O84" s="1171"/>
      <c r="P84" s="1171"/>
      <c r="Q84" s="1171"/>
      <c r="R84" s="1171"/>
      <c r="S84" s="59">
        <f>SUM(Table69121631[[#This Row],[Y1 Q1 quantity]:[Y1 Q4 quantity]])</f>
        <v>0</v>
      </c>
      <c r="T84" s="1132">
        <f>Table69121631[[#This Row],[Y1 Unit cost]]*Table69121631[[#This Row],[Y1 Total quantity]]</f>
        <v>0</v>
      </c>
      <c r="U84" s="1126"/>
      <c r="V84" s="1171"/>
      <c r="W84" s="1171"/>
      <c r="X84" s="1171"/>
      <c r="Y84" s="1171"/>
      <c r="Z84" s="59">
        <f>SUM(Table69121631[[#This Row],[Y2 Q1 quantity]:[Y2 Q4 quantity]])</f>
        <v>0</v>
      </c>
      <c r="AA84" s="1142">
        <f>Table69121631[[#This Row],[Y2 Unit cost]]*Table69121631[[#This Row],[Y2 Total quantity]]</f>
        <v>0</v>
      </c>
      <c r="AB84" s="1126"/>
      <c r="AC84" s="1171"/>
      <c r="AD84" s="1171"/>
      <c r="AE84" s="1171"/>
      <c r="AF84" s="1171"/>
      <c r="AG84" s="59">
        <f>SUM(Table69121631[[#This Row],[Y3 Q1 quantity]:[Y3 Q4 quantity]])</f>
        <v>0</v>
      </c>
      <c r="AH84" s="1152">
        <f>Table69121631[[#This Row],[Y3 Unit cost]]*Table69121631[[#This Row],[Y3 Total quantity]]</f>
        <v>0</v>
      </c>
      <c r="AI84" s="62">
        <f>Table69121631[[#This Row],[Y1 Total quantity]]+Table69121631[[#This Row],[Y2 Total quantity]]+Table69121631[[#This Row],[Y3 Total quantity]]</f>
        <v>0</v>
      </c>
      <c r="AJ84" s="1142">
        <f>Table69121631[[#This Row],[Y1 Total cost]]+Table69121631[[#This Row],[Y2 Total cost]]+Table69121631[[#This Row],[Y3 Total cost]]</f>
        <v>0</v>
      </c>
      <c r="AK84" s="333" t="str">
        <f t="shared" si="10"/>
        <v/>
      </c>
      <c r="AL84" s="1265"/>
      <c r="AM84" s="411"/>
    </row>
    <row r="85" spans="1:60" s="249" customFormat="1">
      <c r="A85" s="2730"/>
      <c r="B85" s="2730"/>
      <c r="C85" s="2730"/>
      <c r="D85" s="2731"/>
      <c r="E85" s="2810"/>
      <c r="F85" s="2126"/>
      <c r="G85" s="2126"/>
      <c r="H85" s="2126"/>
      <c r="I85" s="2810"/>
      <c r="J85" s="2126"/>
      <c r="K85" s="2811"/>
      <c r="L85" s="313" t="str">
        <f t="shared" si="9"/>
        <v/>
      </c>
      <c r="M85" s="315" t="str">
        <f t="shared" si="11"/>
        <v/>
      </c>
      <c r="N85" s="1126"/>
      <c r="O85" s="1171"/>
      <c r="P85" s="1171"/>
      <c r="Q85" s="1171"/>
      <c r="R85" s="1171"/>
      <c r="S85" s="59">
        <f>SUM(Table69121631[[#This Row],[Y1 Q1 quantity]:[Y1 Q4 quantity]])</f>
        <v>0</v>
      </c>
      <c r="T85" s="1132">
        <f>Table69121631[[#This Row],[Y1 Unit cost]]*Table69121631[[#This Row],[Y1 Total quantity]]</f>
        <v>0</v>
      </c>
      <c r="U85" s="1126"/>
      <c r="V85" s="1171"/>
      <c r="W85" s="1171"/>
      <c r="X85" s="1171"/>
      <c r="Y85" s="1171"/>
      <c r="Z85" s="59">
        <f>SUM(Table69121631[[#This Row],[Y2 Q1 quantity]:[Y2 Q4 quantity]])</f>
        <v>0</v>
      </c>
      <c r="AA85" s="1142">
        <f>Table69121631[[#This Row],[Y2 Unit cost]]*Table69121631[[#This Row],[Y2 Total quantity]]</f>
        <v>0</v>
      </c>
      <c r="AB85" s="1126"/>
      <c r="AC85" s="1171"/>
      <c r="AD85" s="1171"/>
      <c r="AE85" s="1171"/>
      <c r="AF85" s="1171"/>
      <c r="AG85" s="59">
        <f>SUM(Table69121631[[#This Row],[Y3 Q1 quantity]:[Y3 Q4 quantity]])</f>
        <v>0</v>
      </c>
      <c r="AH85" s="1152">
        <f>Table69121631[[#This Row],[Y3 Unit cost]]*Table69121631[[#This Row],[Y3 Total quantity]]</f>
        <v>0</v>
      </c>
      <c r="AI85" s="62">
        <f>Table69121631[[#This Row],[Y1 Total quantity]]+Table69121631[[#This Row],[Y2 Total quantity]]+Table69121631[[#This Row],[Y3 Total quantity]]</f>
        <v>0</v>
      </c>
      <c r="AJ85" s="1142">
        <f>Table69121631[[#This Row],[Y1 Total cost]]+Table69121631[[#This Row],[Y2 Total cost]]+Table69121631[[#This Row],[Y3 Total cost]]</f>
        <v>0</v>
      </c>
      <c r="AK85" s="333" t="str">
        <f t="shared" si="10"/>
        <v/>
      </c>
      <c r="AL85" s="1266"/>
      <c r="AM85" s="411"/>
      <c r="AV85" s="105"/>
      <c r="AW85" s="105"/>
      <c r="AX85" s="105"/>
      <c r="AY85" s="105"/>
      <c r="AZ85" s="105"/>
      <c r="BA85" s="105"/>
      <c r="BB85" s="105"/>
      <c r="BC85" s="105"/>
      <c r="BD85" s="105"/>
      <c r="BE85" s="105"/>
      <c r="BF85" s="105"/>
      <c r="BG85" s="105"/>
      <c r="BH85" s="105"/>
    </row>
    <row r="86" spans="1:60">
      <c r="A86" s="2732"/>
      <c r="B86" s="2732"/>
      <c r="C86" s="2732"/>
      <c r="D86" s="2733"/>
      <c r="E86" s="2752"/>
      <c r="F86" s="2753"/>
      <c r="G86" s="2753"/>
      <c r="H86" s="2753"/>
      <c r="I86" s="2752"/>
      <c r="J86" s="2753"/>
      <c r="K86" s="2754"/>
      <c r="L86" s="314" t="str">
        <f t="shared" si="9"/>
        <v/>
      </c>
      <c r="M86" s="314" t="str">
        <f t="shared" si="11"/>
        <v/>
      </c>
      <c r="N86" s="1126"/>
      <c r="O86" s="1171"/>
      <c r="P86" s="1171"/>
      <c r="Q86" s="1171"/>
      <c r="R86" s="1171"/>
      <c r="S86" s="59">
        <f>SUM(Table69121631[[#This Row],[Y1 Q1 quantity]:[Y1 Q4 quantity]])</f>
        <v>0</v>
      </c>
      <c r="T86" s="1132">
        <f>Table69121631[[#This Row],[Y1 Unit cost]]*Table69121631[[#This Row],[Y1 Total quantity]]</f>
        <v>0</v>
      </c>
      <c r="U86" s="1126"/>
      <c r="V86" s="1171"/>
      <c r="W86" s="1171"/>
      <c r="X86" s="1171"/>
      <c r="Y86" s="1171"/>
      <c r="Z86" s="59">
        <f>SUM(Table69121631[[#This Row],[Y2 Q1 quantity]:[Y2 Q4 quantity]])</f>
        <v>0</v>
      </c>
      <c r="AA86" s="1142">
        <f>Table69121631[[#This Row],[Y2 Unit cost]]*Table69121631[[#This Row],[Y2 Total quantity]]</f>
        <v>0</v>
      </c>
      <c r="AB86" s="1126"/>
      <c r="AC86" s="1171"/>
      <c r="AD86" s="1171"/>
      <c r="AE86" s="1171"/>
      <c r="AF86" s="1171"/>
      <c r="AG86" s="59">
        <f>SUM(Table69121631[[#This Row],[Y3 Q1 quantity]:[Y3 Q4 quantity]])</f>
        <v>0</v>
      </c>
      <c r="AH86" s="1152">
        <f>Table69121631[[#This Row],[Y3 Unit cost]]*Table69121631[[#This Row],[Y3 Total quantity]]</f>
        <v>0</v>
      </c>
      <c r="AI86" s="62">
        <f>Table69121631[[#This Row],[Y1 Total quantity]]+Table69121631[[#This Row],[Y2 Total quantity]]+Table69121631[[#This Row],[Y3 Total quantity]]</f>
        <v>0</v>
      </c>
      <c r="AJ86" s="1142">
        <f>Table69121631[[#This Row],[Y1 Total cost]]+Table69121631[[#This Row],[Y2 Total cost]]+Table69121631[[#This Row],[Y3 Total cost]]</f>
        <v>0</v>
      </c>
      <c r="AK86" s="334" t="str">
        <f t="shared" si="10"/>
        <v/>
      </c>
      <c r="AL86" s="1265"/>
      <c r="AM86" s="125"/>
    </row>
    <row r="87" spans="1:60">
      <c r="A87" s="2730"/>
      <c r="B87" s="2730"/>
      <c r="C87" s="2730"/>
      <c r="D87" s="2731"/>
      <c r="E87" s="2810"/>
      <c r="F87" s="2126"/>
      <c r="G87" s="2126"/>
      <c r="H87" s="2126"/>
      <c r="I87" s="2810"/>
      <c r="J87" s="2126"/>
      <c r="K87" s="2811"/>
      <c r="L87" s="313" t="str">
        <f t="shared" si="9"/>
        <v/>
      </c>
      <c r="M87" s="315" t="str">
        <f t="shared" si="11"/>
        <v/>
      </c>
      <c r="N87" s="1126"/>
      <c r="O87" s="1171"/>
      <c r="P87" s="1171"/>
      <c r="Q87" s="1171"/>
      <c r="R87" s="1171"/>
      <c r="S87" s="59">
        <f>SUM(Table69121631[[#This Row],[Y1 Q1 quantity]:[Y1 Q4 quantity]])</f>
        <v>0</v>
      </c>
      <c r="T87" s="1132">
        <f>Table69121631[[#This Row],[Y1 Unit cost]]*Table69121631[[#This Row],[Y1 Total quantity]]</f>
        <v>0</v>
      </c>
      <c r="U87" s="1126"/>
      <c r="V87" s="1171"/>
      <c r="W87" s="1171"/>
      <c r="X87" s="1171"/>
      <c r="Y87" s="1171"/>
      <c r="Z87" s="59">
        <f>SUM(Table69121631[[#This Row],[Y2 Q1 quantity]:[Y2 Q4 quantity]])</f>
        <v>0</v>
      </c>
      <c r="AA87" s="1142">
        <f>Table69121631[[#This Row],[Y2 Unit cost]]*Table69121631[[#This Row],[Y2 Total quantity]]</f>
        <v>0</v>
      </c>
      <c r="AB87" s="1126"/>
      <c r="AC87" s="1171"/>
      <c r="AD87" s="1171"/>
      <c r="AE87" s="1171"/>
      <c r="AF87" s="1171"/>
      <c r="AG87" s="59">
        <f>SUM(Table69121631[[#This Row],[Y3 Q1 quantity]:[Y3 Q4 quantity]])</f>
        <v>0</v>
      </c>
      <c r="AH87" s="1152">
        <f>Table69121631[[#This Row],[Y3 Unit cost]]*Table69121631[[#This Row],[Y3 Total quantity]]</f>
        <v>0</v>
      </c>
      <c r="AI87" s="62">
        <f>Table69121631[[#This Row],[Y1 Total quantity]]+Table69121631[[#This Row],[Y2 Total quantity]]+Table69121631[[#This Row],[Y3 Total quantity]]</f>
        <v>0</v>
      </c>
      <c r="AJ87" s="1142">
        <f>Table69121631[[#This Row],[Y1 Total cost]]+Table69121631[[#This Row],[Y2 Total cost]]+Table69121631[[#This Row],[Y3 Total cost]]</f>
        <v>0</v>
      </c>
      <c r="AK87" s="334" t="str">
        <f t="shared" si="10"/>
        <v/>
      </c>
      <c r="AL87" s="1266"/>
      <c r="AM87" s="125"/>
    </row>
    <row r="88" spans="1:60">
      <c r="A88" s="2732"/>
      <c r="B88" s="2732"/>
      <c r="C88" s="2732"/>
      <c r="D88" s="2733"/>
      <c r="E88" s="2752"/>
      <c r="F88" s="2753"/>
      <c r="G88" s="2753"/>
      <c r="H88" s="2753"/>
      <c r="I88" s="2752"/>
      <c r="J88" s="2753"/>
      <c r="K88" s="2754"/>
      <c r="L88" s="314" t="str">
        <f t="shared" si="9"/>
        <v/>
      </c>
      <c r="M88" s="314" t="str">
        <f t="shared" si="11"/>
        <v/>
      </c>
      <c r="N88" s="1126"/>
      <c r="O88" s="1171"/>
      <c r="P88" s="1171"/>
      <c r="Q88" s="1171"/>
      <c r="R88" s="1171"/>
      <c r="S88" s="59">
        <f>SUM(Table69121631[[#This Row],[Y1 Q1 quantity]:[Y1 Q4 quantity]])</f>
        <v>0</v>
      </c>
      <c r="T88" s="1132">
        <f>Table69121631[[#This Row],[Y1 Unit cost]]*Table69121631[[#This Row],[Y1 Total quantity]]</f>
        <v>0</v>
      </c>
      <c r="U88" s="1126"/>
      <c r="V88" s="1171"/>
      <c r="W88" s="1171"/>
      <c r="X88" s="1171"/>
      <c r="Y88" s="1171"/>
      <c r="Z88" s="59">
        <f>SUM(Table69121631[[#This Row],[Y2 Q1 quantity]:[Y2 Q4 quantity]])</f>
        <v>0</v>
      </c>
      <c r="AA88" s="1142">
        <f>Table69121631[[#This Row],[Y2 Unit cost]]*Table69121631[[#This Row],[Y2 Total quantity]]</f>
        <v>0</v>
      </c>
      <c r="AB88" s="1126"/>
      <c r="AC88" s="1171"/>
      <c r="AD88" s="1171"/>
      <c r="AE88" s="1171"/>
      <c r="AF88" s="1171"/>
      <c r="AG88" s="59">
        <f>SUM(Table69121631[[#This Row],[Y3 Q1 quantity]:[Y3 Q4 quantity]])</f>
        <v>0</v>
      </c>
      <c r="AH88" s="1152">
        <f>Table69121631[[#This Row],[Y3 Unit cost]]*Table69121631[[#This Row],[Y3 Total quantity]]</f>
        <v>0</v>
      </c>
      <c r="AI88" s="62">
        <f>Table69121631[[#This Row],[Y1 Total quantity]]+Table69121631[[#This Row],[Y2 Total quantity]]+Table69121631[[#This Row],[Y3 Total quantity]]</f>
        <v>0</v>
      </c>
      <c r="AJ88" s="1142">
        <f>Table69121631[[#This Row],[Y1 Total cost]]+Table69121631[[#This Row],[Y2 Total cost]]+Table69121631[[#This Row],[Y3 Total cost]]</f>
        <v>0</v>
      </c>
      <c r="AK88" s="334" t="str">
        <f t="shared" si="10"/>
        <v/>
      </c>
      <c r="AL88" s="1265"/>
      <c r="AM88" s="125"/>
    </row>
    <row r="89" spans="1:60">
      <c r="A89" s="2730"/>
      <c r="B89" s="2730"/>
      <c r="C89" s="2730"/>
      <c r="D89" s="2731"/>
      <c r="E89" s="2810"/>
      <c r="F89" s="2126"/>
      <c r="G89" s="2126"/>
      <c r="H89" s="2126"/>
      <c r="I89" s="2810"/>
      <c r="J89" s="2126"/>
      <c r="K89" s="2811"/>
      <c r="L89" s="313" t="str">
        <f t="shared" si="9"/>
        <v/>
      </c>
      <c r="M89" s="315" t="str">
        <f t="shared" si="11"/>
        <v/>
      </c>
      <c r="N89" s="1126"/>
      <c r="O89" s="1171"/>
      <c r="P89" s="1171"/>
      <c r="Q89" s="1171"/>
      <c r="R89" s="1171"/>
      <c r="S89" s="59">
        <f>SUM(Table69121631[[#This Row],[Y1 Q1 quantity]:[Y1 Q4 quantity]])</f>
        <v>0</v>
      </c>
      <c r="T89" s="1132">
        <f>Table69121631[[#This Row],[Y1 Unit cost]]*Table69121631[[#This Row],[Y1 Total quantity]]</f>
        <v>0</v>
      </c>
      <c r="U89" s="1126"/>
      <c r="V89" s="1171"/>
      <c r="W89" s="1171"/>
      <c r="X89" s="1171"/>
      <c r="Y89" s="1171"/>
      <c r="Z89" s="59">
        <f>SUM(Table69121631[[#This Row],[Y2 Q1 quantity]:[Y2 Q4 quantity]])</f>
        <v>0</v>
      </c>
      <c r="AA89" s="1142">
        <f>Table69121631[[#This Row],[Y2 Unit cost]]*Table69121631[[#This Row],[Y2 Total quantity]]</f>
        <v>0</v>
      </c>
      <c r="AB89" s="1126"/>
      <c r="AC89" s="1171"/>
      <c r="AD89" s="1171"/>
      <c r="AE89" s="1171"/>
      <c r="AF89" s="1171"/>
      <c r="AG89" s="59">
        <f>SUM(Table69121631[[#This Row],[Y3 Q1 quantity]:[Y3 Q4 quantity]])</f>
        <v>0</v>
      </c>
      <c r="AH89" s="1152">
        <f>Table69121631[[#This Row],[Y3 Unit cost]]*Table69121631[[#This Row],[Y3 Total quantity]]</f>
        <v>0</v>
      </c>
      <c r="AI89" s="62">
        <f>Table69121631[[#This Row],[Y1 Total quantity]]+Table69121631[[#This Row],[Y2 Total quantity]]+Table69121631[[#This Row],[Y3 Total quantity]]</f>
        <v>0</v>
      </c>
      <c r="AJ89" s="1142">
        <f>Table69121631[[#This Row],[Y1 Total cost]]+Table69121631[[#This Row],[Y2 Total cost]]+Table69121631[[#This Row],[Y3 Total cost]]</f>
        <v>0</v>
      </c>
      <c r="AK89" s="334" t="str">
        <f t="shared" si="10"/>
        <v/>
      </c>
      <c r="AL89" s="1266"/>
      <c r="AM89" s="125"/>
    </row>
    <row r="90" spans="1:60">
      <c r="A90" s="2732"/>
      <c r="B90" s="2732"/>
      <c r="C90" s="2732"/>
      <c r="D90" s="2733"/>
      <c r="E90" s="2752"/>
      <c r="F90" s="2753"/>
      <c r="G90" s="2753"/>
      <c r="H90" s="2753"/>
      <c r="I90" s="2752"/>
      <c r="J90" s="2753"/>
      <c r="K90" s="2754"/>
      <c r="L90" s="314" t="str">
        <f t="shared" si="9"/>
        <v/>
      </c>
      <c r="M90" s="314" t="str">
        <f t="shared" si="11"/>
        <v/>
      </c>
      <c r="N90" s="1126"/>
      <c r="O90" s="1171"/>
      <c r="P90" s="1171"/>
      <c r="Q90" s="1171"/>
      <c r="R90" s="1171"/>
      <c r="S90" s="59">
        <f>SUM(Table69121631[[#This Row],[Y1 Q1 quantity]:[Y1 Q4 quantity]])</f>
        <v>0</v>
      </c>
      <c r="T90" s="1132">
        <f>Table69121631[[#This Row],[Y1 Unit cost]]*Table69121631[[#This Row],[Y1 Total quantity]]</f>
        <v>0</v>
      </c>
      <c r="U90" s="1126"/>
      <c r="V90" s="1171"/>
      <c r="W90" s="1171"/>
      <c r="X90" s="1171"/>
      <c r="Y90" s="1171"/>
      <c r="Z90" s="59">
        <f>SUM(Table69121631[[#This Row],[Y2 Q1 quantity]:[Y2 Q4 quantity]])</f>
        <v>0</v>
      </c>
      <c r="AA90" s="1142">
        <f>Table69121631[[#This Row],[Y2 Unit cost]]*Table69121631[[#This Row],[Y2 Total quantity]]</f>
        <v>0</v>
      </c>
      <c r="AB90" s="1126"/>
      <c r="AC90" s="1171"/>
      <c r="AD90" s="1171"/>
      <c r="AE90" s="1171"/>
      <c r="AF90" s="1171"/>
      <c r="AG90" s="59">
        <f>SUM(Table69121631[[#This Row],[Y3 Q1 quantity]:[Y3 Q4 quantity]])</f>
        <v>0</v>
      </c>
      <c r="AH90" s="1152">
        <f>Table69121631[[#This Row],[Y3 Unit cost]]*Table69121631[[#This Row],[Y3 Total quantity]]</f>
        <v>0</v>
      </c>
      <c r="AI90" s="62">
        <f>Table69121631[[#This Row],[Y1 Total quantity]]+Table69121631[[#This Row],[Y2 Total quantity]]+Table69121631[[#This Row],[Y3 Total quantity]]</f>
        <v>0</v>
      </c>
      <c r="AJ90" s="1142">
        <f>Table69121631[[#This Row],[Y1 Total cost]]+Table69121631[[#This Row],[Y2 Total cost]]+Table69121631[[#This Row],[Y3 Total cost]]</f>
        <v>0</v>
      </c>
      <c r="AK90" s="334" t="str">
        <f t="shared" si="10"/>
        <v/>
      </c>
      <c r="AL90" s="1265"/>
      <c r="AM90" s="125"/>
    </row>
    <row r="91" spans="1:60">
      <c r="A91" s="2730"/>
      <c r="B91" s="2730"/>
      <c r="C91" s="2730"/>
      <c r="D91" s="2731"/>
      <c r="E91" s="2810"/>
      <c r="F91" s="2126"/>
      <c r="G91" s="2126"/>
      <c r="H91" s="2126"/>
      <c r="I91" s="2810"/>
      <c r="J91" s="2126"/>
      <c r="K91" s="2811"/>
      <c r="L91" s="313" t="str">
        <f t="shared" si="9"/>
        <v/>
      </c>
      <c r="M91" s="315" t="str">
        <f t="shared" si="11"/>
        <v/>
      </c>
      <c r="N91" s="1126"/>
      <c r="O91" s="1171"/>
      <c r="P91" s="1171"/>
      <c r="Q91" s="1171"/>
      <c r="R91" s="1171"/>
      <c r="S91" s="59">
        <f>SUM(Table69121631[[#This Row],[Y1 Q1 quantity]:[Y1 Q4 quantity]])</f>
        <v>0</v>
      </c>
      <c r="T91" s="1132">
        <f>Table69121631[[#This Row],[Y1 Unit cost]]*Table69121631[[#This Row],[Y1 Total quantity]]</f>
        <v>0</v>
      </c>
      <c r="U91" s="1126"/>
      <c r="V91" s="1171"/>
      <c r="W91" s="1171"/>
      <c r="X91" s="1171"/>
      <c r="Y91" s="1171"/>
      <c r="Z91" s="59">
        <f>SUM(Table69121631[[#This Row],[Y2 Q1 quantity]:[Y2 Q4 quantity]])</f>
        <v>0</v>
      </c>
      <c r="AA91" s="1142">
        <f>Table69121631[[#This Row],[Y2 Unit cost]]*Table69121631[[#This Row],[Y2 Total quantity]]</f>
        <v>0</v>
      </c>
      <c r="AB91" s="1126"/>
      <c r="AC91" s="1171"/>
      <c r="AD91" s="1171"/>
      <c r="AE91" s="1171"/>
      <c r="AF91" s="1171"/>
      <c r="AG91" s="59">
        <f>SUM(Table69121631[[#This Row],[Y3 Q1 quantity]:[Y3 Q4 quantity]])</f>
        <v>0</v>
      </c>
      <c r="AH91" s="1152">
        <f>Table69121631[[#This Row],[Y3 Unit cost]]*Table69121631[[#This Row],[Y3 Total quantity]]</f>
        <v>0</v>
      </c>
      <c r="AI91" s="62">
        <f>Table69121631[[#This Row],[Y1 Total quantity]]+Table69121631[[#This Row],[Y2 Total quantity]]+Table69121631[[#This Row],[Y3 Total quantity]]</f>
        <v>0</v>
      </c>
      <c r="AJ91" s="1142">
        <f>Table69121631[[#This Row],[Y1 Total cost]]+Table69121631[[#This Row],[Y2 Total cost]]+Table69121631[[#This Row],[Y3 Total cost]]</f>
        <v>0</v>
      </c>
      <c r="AK91" s="334" t="str">
        <f t="shared" si="10"/>
        <v/>
      </c>
      <c r="AL91" s="1266"/>
      <c r="AM91" s="125"/>
    </row>
    <row r="92" spans="1:60">
      <c r="A92" s="2732"/>
      <c r="B92" s="2732"/>
      <c r="C92" s="2732"/>
      <c r="D92" s="2733"/>
      <c r="E92" s="2752"/>
      <c r="F92" s="2753"/>
      <c r="G92" s="2753"/>
      <c r="H92" s="2753"/>
      <c r="I92" s="2752"/>
      <c r="J92" s="2753"/>
      <c r="K92" s="2754"/>
      <c r="L92" s="314" t="str">
        <f t="shared" si="9"/>
        <v/>
      </c>
      <c r="M92" s="314" t="str">
        <f t="shared" si="11"/>
        <v/>
      </c>
      <c r="N92" s="1126"/>
      <c r="O92" s="1171"/>
      <c r="P92" s="1171"/>
      <c r="Q92" s="1171"/>
      <c r="R92" s="1171"/>
      <c r="S92" s="59">
        <f>SUM(Table69121631[[#This Row],[Y1 Q1 quantity]:[Y1 Q4 quantity]])</f>
        <v>0</v>
      </c>
      <c r="T92" s="1132">
        <f>Table69121631[[#This Row],[Y1 Unit cost]]*Table69121631[[#This Row],[Y1 Total quantity]]</f>
        <v>0</v>
      </c>
      <c r="U92" s="1126"/>
      <c r="V92" s="1171"/>
      <c r="W92" s="1171"/>
      <c r="X92" s="1171"/>
      <c r="Y92" s="1171"/>
      <c r="Z92" s="59">
        <f>SUM(Table69121631[[#This Row],[Y2 Q1 quantity]:[Y2 Q4 quantity]])</f>
        <v>0</v>
      </c>
      <c r="AA92" s="1142">
        <f>Table69121631[[#This Row],[Y2 Unit cost]]*Table69121631[[#This Row],[Y2 Total quantity]]</f>
        <v>0</v>
      </c>
      <c r="AB92" s="1126"/>
      <c r="AC92" s="1171"/>
      <c r="AD92" s="1171"/>
      <c r="AE92" s="1171"/>
      <c r="AF92" s="1171"/>
      <c r="AG92" s="59">
        <f>SUM(Table69121631[[#This Row],[Y3 Q1 quantity]:[Y3 Q4 quantity]])</f>
        <v>0</v>
      </c>
      <c r="AH92" s="1152">
        <f>Table69121631[[#This Row],[Y3 Unit cost]]*Table69121631[[#This Row],[Y3 Total quantity]]</f>
        <v>0</v>
      </c>
      <c r="AI92" s="62">
        <f>Table69121631[[#This Row],[Y1 Total quantity]]+Table69121631[[#This Row],[Y2 Total quantity]]+Table69121631[[#This Row],[Y3 Total quantity]]</f>
        <v>0</v>
      </c>
      <c r="AJ92" s="1142">
        <f>Table69121631[[#This Row],[Y1 Total cost]]+Table69121631[[#This Row],[Y2 Total cost]]+Table69121631[[#This Row],[Y3 Total cost]]</f>
        <v>0</v>
      </c>
      <c r="AK92" s="334" t="str">
        <f t="shared" si="10"/>
        <v/>
      </c>
      <c r="AL92" s="1265"/>
      <c r="AM92" s="125"/>
    </row>
    <row r="93" spans="1:60">
      <c r="A93" s="2730"/>
      <c r="B93" s="2730"/>
      <c r="C93" s="2730"/>
      <c r="D93" s="2731"/>
      <c r="E93" s="2810"/>
      <c r="F93" s="2126"/>
      <c r="G93" s="2126"/>
      <c r="H93" s="2126"/>
      <c r="I93" s="2810"/>
      <c r="J93" s="2126"/>
      <c r="K93" s="2811"/>
      <c r="L93" s="313" t="str">
        <f t="shared" si="9"/>
        <v/>
      </c>
      <c r="M93" s="315" t="str">
        <f t="shared" si="11"/>
        <v/>
      </c>
      <c r="N93" s="1126"/>
      <c r="O93" s="1171"/>
      <c r="P93" s="1171"/>
      <c r="Q93" s="1171"/>
      <c r="R93" s="1171"/>
      <c r="S93" s="59">
        <f>SUM(Table69121631[[#This Row],[Y1 Q1 quantity]:[Y1 Q4 quantity]])</f>
        <v>0</v>
      </c>
      <c r="T93" s="1132">
        <f>Table69121631[[#This Row],[Y1 Unit cost]]*Table69121631[[#This Row],[Y1 Total quantity]]</f>
        <v>0</v>
      </c>
      <c r="U93" s="1126"/>
      <c r="V93" s="1171"/>
      <c r="W93" s="1171"/>
      <c r="X93" s="1171"/>
      <c r="Y93" s="1171"/>
      <c r="Z93" s="59">
        <f>SUM(Table69121631[[#This Row],[Y2 Q1 quantity]:[Y2 Q4 quantity]])</f>
        <v>0</v>
      </c>
      <c r="AA93" s="1142">
        <f>Table69121631[[#This Row],[Y2 Unit cost]]*Table69121631[[#This Row],[Y2 Total quantity]]</f>
        <v>0</v>
      </c>
      <c r="AB93" s="1126"/>
      <c r="AC93" s="1171"/>
      <c r="AD93" s="1171"/>
      <c r="AE93" s="1171"/>
      <c r="AF93" s="1171"/>
      <c r="AG93" s="59">
        <f>SUM(Table69121631[[#This Row],[Y3 Q1 quantity]:[Y3 Q4 quantity]])</f>
        <v>0</v>
      </c>
      <c r="AH93" s="1152">
        <f>Table69121631[[#This Row],[Y3 Unit cost]]*Table69121631[[#This Row],[Y3 Total quantity]]</f>
        <v>0</v>
      </c>
      <c r="AI93" s="62">
        <f>Table69121631[[#This Row],[Y1 Total quantity]]+Table69121631[[#This Row],[Y2 Total quantity]]+Table69121631[[#This Row],[Y3 Total quantity]]</f>
        <v>0</v>
      </c>
      <c r="AJ93" s="1142">
        <f>Table69121631[[#This Row],[Y1 Total cost]]+Table69121631[[#This Row],[Y2 Total cost]]+Table69121631[[#This Row],[Y3 Total cost]]</f>
        <v>0</v>
      </c>
      <c r="AK93" s="334" t="str">
        <f t="shared" si="10"/>
        <v/>
      </c>
      <c r="AL93" s="1266"/>
      <c r="AM93" s="125"/>
    </row>
    <row r="94" spans="1:60">
      <c r="A94" s="2732"/>
      <c r="B94" s="2732"/>
      <c r="C94" s="2732"/>
      <c r="D94" s="2733"/>
      <c r="E94" s="2752"/>
      <c r="F94" s="2753"/>
      <c r="G94" s="2753"/>
      <c r="H94" s="2753"/>
      <c r="I94" s="2752"/>
      <c r="J94" s="2753"/>
      <c r="K94" s="2754"/>
      <c r="L94" s="314" t="str">
        <f t="shared" si="9"/>
        <v/>
      </c>
      <c r="M94" s="314" t="str">
        <f t="shared" si="11"/>
        <v/>
      </c>
      <c r="N94" s="1126"/>
      <c r="O94" s="1171"/>
      <c r="P94" s="1171"/>
      <c r="Q94" s="1171"/>
      <c r="R94" s="1171"/>
      <c r="S94" s="59">
        <f>SUM(Table69121631[[#This Row],[Y1 Q1 quantity]:[Y1 Q4 quantity]])</f>
        <v>0</v>
      </c>
      <c r="T94" s="1132">
        <f>Table69121631[[#This Row],[Y1 Unit cost]]*Table69121631[[#This Row],[Y1 Total quantity]]</f>
        <v>0</v>
      </c>
      <c r="U94" s="1126"/>
      <c r="V94" s="1171"/>
      <c r="W94" s="1171"/>
      <c r="X94" s="1171"/>
      <c r="Y94" s="1171"/>
      <c r="Z94" s="59">
        <f>SUM(Table69121631[[#This Row],[Y2 Q1 quantity]:[Y2 Q4 quantity]])</f>
        <v>0</v>
      </c>
      <c r="AA94" s="1142">
        <f>Table69121631[[#This Row],[Y2 Unit cost]]*Table69121631[[#This Row],[Y2 Total quantity]]</f>
        <v>0</v>
      </c>
      <c r="AB94" s="1126"/>
      <c r="AC94" s="1171"/>
      <c r="AD94" s="1171"/>
      <c r="AE94" s="1171"/>
      <c r="AF94" s="1171"/>
      <c r="AG94" s="59">
        <f>SUM(Table69121631[[#This Row],[Y3 Q1 quantity]:[Y3 Q4 quantity]])</f>
        <v>0</v>
      </c>
      <c r="AH94" s="1152">
        <f>Table69121631[[#This Row],[Y3 Unit cost]]*Table69121631[[#This Row],[Y3 Total quantity]]</f>
        <v>0</v>
      </c>
      <c r="AI94" s="62">
        <f>Table69121631[[#This Row],[Y1 Total quantity]]+Table69121631[[#This Row],[Y2 Total quantity]]+Table69121631[[#This Row],[Y3 Total quantity]]</f>
        <v>0</v>
      </c>
      <c r="AJ94" s="1142">
        <f>Table69121631[[#This Row],[Y1 Total cost]]+Table69121631[[#This Row],[Y2 Total cost]]+Table69121631[[#This Row],[Y3 Total cost]]</f>
        <v>0</v>
      </c>
      <c r="AK94" s="334" t="str">
        <f t="shared" si="10"/>
        <v/>
      </c>
      <c r="AL94" s="1265"/>
      <c r="AM94" s="125"/>
    </row>
    <row r="95" spans="1:60">
      <c r="A95" s="2730"/>
      <c r="B95" s="2730"/>
      <c r="C95" s="2730"/>
      <c r="D95" s="2731"/>
      <c r="E95" s="2810"/>
      <c r="F95" s="2126"/>
      <c r="G95" s="2126"/>
      <c r="H95" s="2126"/>
      <c r="I95" s="2810"/>
      <c r="J95" s="2126"/>
      <c r="K95" s="2811"/>
      <c r="L95" s="313" t="str">
        <f t="shared" si="9"/>
        <v/>
      </c>
      <c r="M95" s="315" t="str">
        <f t="shared" si="11"/>
        <v/>
      </c>
      <c r="N95" s="1126"/>
      <c r="O95" s="1171"/>
      <c r="P95" s="1171"/>
      <c r="Q95" s="1171"/>
      <c r="R95" s="1171"/>
      <c r="S95" s="59">
        <f>SUM(Table69121631[[#This Row],[Y1 Q1 quantity]:[Y1 Q4 quantity]])</f>
        <v>0</v>
      </c>
      <c r="T95" s="1132">
        <f>Table69121631[[#This Row],[Y1 Unit cost]]*Table69121631[[#This Row],[Y1 Total quantity]]</f>
        <v>0</v>
      </c>
      <c r="U95" s="1126"/>
      <c r="V95" s="1171"/>
      <c r="W95" s="1171"/>
      <c r="X95" s="1171"/>
      <c r="Y95" s="1171"/>
      <c r="Z95" s="59">
        <f>SUM(Table69121631[[#This Row],[Y2 Q1 quantity]:[Y2 Q4 quantity]])</f>
        <v>0</v>
      </c>
      <c r="AA95" s="1142">
        <f>Table69121631[[#This Row],[Y2 Unit cost]]*Table69121631[[#This Row],[Y2 Total quantity]]</f>
        <v>0</v>
      </c>
      <c r="AB95" s="1126"/>
      <c r="AC95" s="1171"/>
      <c r="AD95" s="1171"/>
      <c r="AE95" s="1171"/>
      <c r="AF95" s="1171"/>
      <c r="AG95" s="59">
        <f>SUM(Table69121631[[#This Row],[Y3 Q1 quantity]:[Y3 Q4 quantity]])</f>
        <v>0</v>
      </c>
      <c r="AH95" s="1152">
        <f>Table69121631[[#This Row],[Y3 Unit cost]]*Table69121631[[#This Row],[Y3 Total quantity]]</f>
        <v>0</v>
      </c>
      <c r="AI95" s="62">
        <f>Table69121631[[#This Row],[Y1 Total quantity]]+Table69121631[[#This Row],[Y2 Total quantity]]+Table69121631[[#This Row],[Y3 Total quantity]]</f>
        <v>0</v>
      </c>
      <c r="AJ95" s="1142">
        <f>Table69121631[[#This Row],[Y1 Total cost]]+Table69121631[[#This Row],[Y2 Total cost]]+Table69121631[[#This Row],[Y3 Total cost]]</f>
        <v>0</v>
      </c>
      <c r="AK95" s="334" t="str">
        <f t="shared" si="10"/>
        <v/>
      </c>
      <c r="AL95" s="1266"/>
      <c r="AM95" s="125"/>
    </row>
    <row r="96" spans="1:60">
      <c r="A96" s="2732"/>
      <c r="B96" s="2732"/>
      <c r="C96" s="2732"/>
      <c r="D96" s="2733"/>
      <c r="E96" s="2752"/>
      <c r="F96" s="2753"/>
      <c r="G96" s="2753"/>
      <c r="H96" s="2753"/>
      <c r="I96" s="2752"/>
      <c r="J96" s="2753"/>
      <c r="K96" s="2754"/>
      <c r="L96" s="314" t="str">
        <f t="shared" si="9"/>
        <v/>
      </c>
      <c r="M96" s="314" t="str">
        <f t="shared" si="11"/>
        <v/>
      </c>
      <c r="N96" s="1126"/>
      <c r="O96" s="1171"/>
      <c r="P96" s="1171"/>
      <c r="Q96" s="1171"/>
      <c r="R96" s="1171"/>
      <c r="S96" s="59">
        <f>SUM(Table69121631[[#This Row],[Y1 Q1 quantity]:[Y1 Q4 quantity]])</f>
        <v>0</v>
      </c>
      <c r="T96" s="1132">
        <f>Table69121631[[#This Row],[Y1 Unit cost]]*Table69121631[[#This Row],[Y1 Total quantity]]</f>
        <v>0</v>
      </c>
      <c r="U96" s="1126"/>
      <c r="V96" s="1171"/>
      <c r="W96" s="1171"/>
      <c r="X96" s="1171"/>
      <c r="Y96" s="1171"/>
      <c r="Z96" s="59">
        <f>SUM(Table69121631[[#This Row],[Y2 Q1 quantity]:[Y2 Q4 quantity]])</f>
        <v>0</v>
      </c>
      <c r="AA96" s="1142">
        <f>Table69121631[[#This Row],[Y2 Unit cost]]*Table69121631[[#This Row],[Y2 Total quantity]]</f>
        <v>0</v>
      </c>
      <c r="AB96" s="1126"/>
      <c r="AC96" s="1171"/>
      <c r="AD96" s="1171"/>
      <c r="AE96" s="1171"/>
      <c r="AF96" s="1171"/>
      <c r="AG96" s="59">
        <f>SUM(Table69121631[[#This Row],[Y3 Q1 quantity]:[Y3 Q4 quantity]])</f>
        <v>0</v>
      </c>
      <c r="AH96" s="1152">
        <f>Table69121631[[#This Row],[Y3 Unit cost]]*Table69121631[[#This Row],[Y3 Total quantity]]</f>
        <v>0</v>
      </c>
      <c r="AI96" s="62">
        <f>Table69121631[[#This Row],[Y1 Total quantity]]+Table69121631[[#This Row],[Y2 Total quantity]]+Table69121631[[#This Row],[Y3 Total quantity]]</f>
        <v>0</v>
      </c>
      <c r="AJ96" s="1142">
        <f>Table69121631[[#This Row],[Y1 Total cost]]+Table69121631[[#This Row],[Y2 Total cost]]+Table69121631[[#This Row],[Y3 Total cost]]</f>
        <v>0</v>
      </c>
      <c r="AK96" s="334" t="str">
        <f t="shared" si="10"/>
        <v/>
      </c>
      <c r="AL96" s="1265"/>
      <c r="AM96" s="125"/>
    </row>
    <row r="97" spans="1:39">
      <c r="A97" s="2730"/>
      <c r="B97" s="2730"/>
      <c r="C97" s="2730"/>
      <c r="D97" s="2731"/>
      <c r="E97" s="2810"/>
      <c r="F97" s="2126"/>
      <c r="G97" s="2126"/>
      <c r="H97" s="2126"/>
      <c r="I97" s="2810"/>
      <c r="J97" s="2126"/>
      <c r="K97" s="2811"/>
      <c r="L97" s="313" t="str">
        <f t="shared" si="9"/>
        <v/>
      </c>
      <c r="M97" s="315" t="str">
        <f t="shared" si="11"/>
        <v/>
      </c>
      <c r="N97" s="1126"/>
      <c r="O97" s="1171"/>
      <c r="P97" s="1171"/>
      <c r="Q97" s="1171"/>
      <c r="R97" s="1171"/>
      <c r="S97" s="59">
        <f>SUM(Table69121631[[#This Row],[Y1 Q1 quantity]:[Y1 Q4 quantity]])</f>
        <v>0</v>
      </c>
      <c r="T97" s="1132">
        <f>Table69121631[[#This Row],[Y1 Unit cost]]*Table69121631[[#This Row],[Y1 Total quantity]]</f>
        <v>0</v>
      </c>
      <c r="U97" s="1126"/>
      <c r="V97" s="1171"/>
      <c r="W97" s="1171"/>
      <c r="X97" s="1171"/>
      <c r="Y97" s="1171"/>
      <c r="Z97" s="59">
        <f>SUM(Table69121631[[#This Row],[Y2 Q1 quantity]:[Y2 Q4 quantity]])</f>
        <v>0</v>
      </c>
      <c r="AA97" s="1142">
        <f>Table69121631[[#This Row],[Y2 Unit cost]]*Table69121631[[#This Row],[Y2 Total quantity]]</f>
        <v>0</v>
      </c>
      <c r="AB97" s="1126"/>
      <c r="AC97" s="1171"/>
      <c r="AD97" s="1171"/>
      <c r="AE97" s="1171"/>
      <c r="AF97" s="1171"/>
      <c r="AG97" s="59">
        <f>SUM(Table69121631[[#This Row],[Y3 Q1 quantity]:[Y3 Q4 quantity]])</f>
        <v>0</v>
      </c>
      <c r="AH97" s="1152">
        <f>Table69121631[[#This Row],[Y3 Unit cost]]*Table69121631[[#This Row],[Y3 Total quantity]]</f>
        <v>0</v>
      </c>
      <c r="AI97" s="62">
        <f>Table69121631[[#This Row],[Y1 Total quantity]]+Table69121631[[#This Row],[Y2 Total quantity]]+Table69121631[[#This Row],[Y3 Total quantity]]</f>
        <v>0</v>
      </c>
      <c r="AJ97" s="1142">
        <f>Table69121631[[#This Row],[Y1 Total cost]]+Table69121631[[#This Row],[Y2 Total cost]]+Table69121631[[#This Row],[Y3 Total cost]]</f>
        <v>0</v>
      </c>
      <c r="AK97" s="334" t="str">
        <f t="shared" si="10"/>
        <v/>
      </c>
      <c r="AL97" s="1266"/>
      <c r="AM97" s="125"/>
    </row>
    <row r="98" spans="1:39">
      <c r="A98" s="2732"/>
      <c r="B98" s="2732"/>
      <c r="C98" s="2732"/>
      <c r="D98" s="2733"/>
      <c r="E98" s="2752"/>
      <c r="F98" s="2753"/>
      <c r="G98" s="2753"/>
      <c r="H98" s="2753"/>
      <c r="I98" s="2752"/>
      <c r="J98" s="2753"/>
      <c r="K98" s="2754"/>
      <c r="L98" s="314" t="str">
        <f t="shared" si="9"/>
        <v/>
      </c>
      <c r="M98" s="314" t="str">
        <f t="shared" si="11"/>
        <v/>
      </c>
      <c r="N98" s="1126"/>
      <c r="O98" s="1171"/>
      <c r="P98" s="1171"/>
      <c r="Q98" s="1171"/>
      <c r="R98" s="1171"/>
      <c r="S98" s="59">
        <f>SUM(Table69121631[[#This Row],[Y1 Q1 quantity]:[Y1 Q4 quantity]])</f>
        <v>0</v>
      </c>
      <c r="T98" s="1132">
        <f>Table69121631[[#This Row],[Y1 Unit cost]]*Table69121631[[#This Row],[Y1 Total quantity]]</f>
        <v>0</v>
      </c>
      <c r="U98" s="1126"/>
      <c r="V98" s="1171"/>
      <c r="W98" s="1171"/>
      <c r="X98" s="1171"/>
      <c r="Y98" s="1171"/>
      <c r="Z98" s="59">
        <f>SUM(Table69121631[[#This Row],[Y2 Q1 quantity]:[Y2 Q4 quantity]])</f>
        <v>0</v>
      </c>
      <c r="AA98" s="1142">
        <f>Table69121631[[#This Row],[Y2 Unit cost]]*Table69121631[[#This Row],[Y2 Total quantity]]</f>
        <v>0</v>
      </c>
      <c r="AB98" s="1126"/>
      <c r="AC98" s="1171"/>
      <c r="AD98" s="1171"/>
      <c r="AE98" s="1171"/>
      <c r="AF98" s="1171"/>
      <c r="AG98" s="59">
        <f>SUM(Table69121631[[#This Row],[Y3 Q1 quantity]:[Y3 Q4 quantity]])</f>
        <v>0</v>
      </c>
      <c r="AH98" s="1152">
        <f>Table69121631[[#This Row],[Y3 Unit cost]]*Table69121631[[#This Row],[Y3 Total quantity]]</f>
        <v>0</v>
      </c>
      <c r="AI98" s="62">
        <f>Table69121631[[#This Row],[Y1 Total quantity]]+Table69121631[[#This Row],[Y2 Total quantity]]+Table69121631[[#This Row],[Y3 Total quantity]]</f>
        <v>0</v>
      </c>
      <c r="AJ98" s="1142">
        <f>Table69121631[[#This Row],[Y1 Total cost]]+Table69121631[[#This Row],[Y2 Total cost]]+Table69121631[[#This Row],[Y3 Total cost]]</f>
        <v>0</v>
      </c>
      <c r="AK98" s="334" t="str">
        <f t="shared" si="10"/>
        <v/>
      </c>
      <c r="AL98" s="1265"/>
      <c r="AM98" s="125"/>
    </row>
    <row r="99" spans="1:39">
      <c r="A99" s="2730"/>
      <c r="B99" s="2730"/>
      <c r="C99" s="2730"/>
      <c r="D99" s="2731"/>
      <c r="E99" s="2810"/>
      <c r="F99" s="2126"/>
      <c r="G99" s="2126"/>
      <c r="H99" s="2126"/>
      <c r="I99" s="2810"/>
      <c r="J99" s="2126"/>
      <c r="K99" s="2811"/>
      <c r="L99" s="313" t="str">
        <f t="shared" si="9"/>
        <v/>
      </c>
      <c r="M99" s="315" t="str">
        <f t="shared" si="11"/>
        <v/>
      </c>
      <c r="N99" s="1126"/>
      <c r="O99" s="1171"/>
      <c r="P99" s="1171"/>
      <c r="Q99" s="1171"/>
      <c r="R99" s="1171"/>
      <c r="S99" s="59">
        <f>SUM(Table69121631[[#This Row],[Y1 Q1 quantity]:[Y1 Q4 quantity]])</f>
        <v>0</v>
      </c>
      <c r="T99" s="1132">
        <f>Table69121631[[#This Row],[Y1 Unit cost]]*Table69121631[[#This Row],[Y1 Total quantity]]</f>
        <v>0</v>
      </c>
      <c r="U99" s="1126"/>
      <c r="V99" s="1171"/>
      <c r="W99" s="1171"/>
      <c r="X99" s="1171"/>
      <c r="Y99" s="1171"/>
      <c r="Z99" s="59">
        <f>SUM(Table69121631[[#This Row],[Y2 Q1 quantity]:[Y2 Q4 quantity]])</f>
        <v>0</v>
      </c>
      <c r="AA99" s="1142">
        <f>Table69121631[[#This Row],[Y2 Unit cost]]*Table69121631[[#This Row],[Y2 Total quantity]]</f>
        <v>0</v>
      </c>
      <c r="AB99" s="1126"/>
      <c r="AC99" s="1171"/>
      <c r="AD99" s="1171"/>
      <c r="AE99" s="1171"/>
      <c r="AF99" s="1171"/>
      <c r="AG99" s="59">
        <f>SUM(Table69121631[[#This Row],[Y3 Q1 quantity]:[Y3 Q4 quantity]])</f>
        <v>0</v>
      </c>
      <c r="AH99" s="1152">
        <f>Table69121631[[#This Row],[Y3 Unit cost]]*Table69121631[[#This Row],[Y3 Total quantity]]</f>
        <v>0</v>
      </c>
      <c r="AI99" s="62">
        <f>Table69121631[[#This Row],[Y1 Total quantity]]+Table69121631[[#This Row],[Y2 Total quantity]]+Table69121631[[#This Row],[Y3 Total quantity]]</f>
        <v>0</v>
      </c>
      <c r="AJ99" s="1142">
        <f>Table69121631[[#This Row],[Y1 Total cost]]+Table69121631[[#This Row],[Y2 Total cost]]+Table69121631[[#This Row],[Y3 Total cost]]</f>
        <v>0</v>
      </c>
      <c r="AK99" s="334" t="str">
        <f t="shared" si="10"/>
        <v/>
      </c>
      <c r="AL99" s="1266"/>
      <c r="AM99" s="125"/>
    </row>
    <row r="100" spans="1:39">
      <c r="A100" s="2732"/>
      <c r="B100" s="2732"/>
      <c r="C100" s="2732"/>
      <c r="D100" s="2733"/>
      <c r="E100" s="2752"/>
      <c r="F100" s="2753"/>
      <c r="G100" s="2753"/>
      <c r="H100" s="2753"/>
      <c r="I100" s="2752"/>
      <c r="J100" s="2753"/>
      <c r="K100" s="2754"/>
      <c r="L100" s="314" t="str">
        <f t="shared" si="9"/>
        <v/>
      </c>
      <c r="M100" s="314" t="str">
        <f t="shared" si="11"/>
        <v/>
      </c>
      <c r="N100" s="1126"/>
      <c r="O100" s="1171"/>
      <c r="P100" s="1171"/>
      <c r="Q100" s="1171"/>
      <c r="R100" s="1171"/>
      <c r="S100" s="59">
        <f>SUM(Table69121631[[#This Row],[Y1 Q1 quantity]:[Y1 Q4 quantity]])</f>
        <v>0</v>
      </c>
      <c r="T100" s="1132">
        <f>Table69121631[[#This Row],[Y1 Unit cost]]*Table69121631[[#This Row],[Y1 Total quantity]]</f>
        <v>0</v>
      </c>
      <c r="U100" s="1126"/>
      <c r="V100" s="1171"/>
      <c r="W100" s="1171"/>
      <c r="X100" s="1171"/>
      <c r="Y100" s="1171"/>
      <c r="Z100" s="59">
        <f>SUM(Table69121631[[#This Row],[Y2 Q1 quantity]:[Y2 Q4 quantity]])</f>
        <v>0</v>
      </c>
      <c r="AA100" s="1142">
        <f>Table69121631[[#This Row],[Y2 Unit cost]]*Table69121631[[#This Row],[Y2 Total quantity]]</f>
        <v>0</v>
      </c>
      <c r="AB100" s="1126"/>
      <c r="AC100" s="1171"/>
      <c r="AD100" s="1171"/>
      <c r="AE100" s="1171"/>
      <c r="AF100" s="1171"/>
      <c r="AG100" s="59">
        <f>SUM(Table69121631[[#This Row],[Y3 Q1 quantity]:[Y3 Q4 quantity]])</f>
        <v>0</v>
      </c>
      <c r="AH100" s="1152">
        <f>Table69121631[[#This Row],[Y3 Unit cost]]*Table69121631[[#This Row],[Y3 Total quantity]]</f>
        <v>0</v>
      </c>
      <c r="AI100" s="62">
        <f>Table69121631[[#This Row],[Y1 Total quantity]]+Table69121631[[#This Row],[Y2 Total quantity]]+Table69121631[[#This Row],[Y3 Total quantity]]</f>
        <v>0</v>
      </c>
      <c r="AJ100" s="1142">
        <f>Table69121631[[#This Row],[Y1 Total cost]]+Table69121631[[#This Row],[Y2 Total cost]]+Table69121631[[#This Row],[Y3 Total cost]]</f>
        <v>0</v>
      </c>
      <c r="AK100" s="334" t="str">
        <f t="shared" si="10"/>
        <v/>
      </c>
      <c r="AL100" s="1265"/>
      <c r="AM100" s="125"/>
    </row>
    <row r="101" spans="1:39">
      <c r="A101" s="2730"/>
      <c r="B101" s="2730"/>
      <c r="C101" s="2730"/>
      <c r="D101" s="2731"/>
      <c r="E101" s="2810"/>
      <c r="F101" s="2126"/>
      <c r="G101" s="2126"/>
      <c r="H101" s="2126"/>
      <c r="I101" s="2810"/>
      <c r="J101" s="2126"/>
      <c r="K101" s="2811"/>
      <c r="L101" s="313" t="str">
        <f t="shared" si="9"/>
        <v/>
      </c>
      <c r="M101" s="315" t="str">
        <f t="shared" si="11"/>
        <v/>
      </c>
      <c r="N101" s="1126"/>
      <c r="O101" s="1171"/>
      <c r="P101" s="1171"/>
      <c r="Q101" s="1171"/>
      <c r="R101" s="1171"/>
      <c r="S101" s="59">
        <f>SUM(Table69121631[[#This Row],[Y1 Q1 quantity]:[Y1 Q4 quantity]])</f>
        <v>0</v>
      </c>
      <c r="T101" s="1132">
        <f>Table69121631[[#This Row],[Y1 Unit cost]]*Table69121631[[#This Row],[Y1 Total quantity]]</f>
        <v>0</v>
      </c>
      <c r="U101" s="1126"/>
      <c r="V101" s="1171"/>
      <c r="W101" s="1171"/>
      <c r="X101" s="1171"/>
      <c r="Y101" s="1171"/>
      <c r="Z101" s="59">
        <f>SUM(Table69121631[[#This Row],[Y2 Q1 quantity]:[Y2 Q4 quantity]])</f>
        <v>0</v>
      </c>
      <c r="AA101" s="1142">
        <f>Table69121631[[#This Row],[Y2 Unit cost]]*Table69121631[[#This Row],[Y2 Total quantity]]</f>
        <v>0</v>
      </c>
      <c r="AB101" s="1126"/>
      <c r="AC101" s="1171"/>
      <c r="AD101" s="1171"/>
      <c r="AE101" s="1171"/>
      <c r="AF101" s="1171"/>
      <c r="AG101" s="59">
        <f>SUM(Table69121631[[#This Row],[Y3 Q1 quantity]:[Y3 Q4 quantity]])</f>
        <v>0</v>
      </c>
      <c r="AH101" s="1152">
        <f>Table69121631[[#This Row],[Y3 Unit cost]]*Table69121631[[#This Row],[Y3 Total quantity]]</f>
        <v>0</v>
      </c>
      <c r="AI101" s="62">
        <f>Table69121631[[#This Row],[Y1 Total quantity]]+Table69121631[[#This Row],[Y2 Total quantity]]+Table69121631[[#This Row],[Y3 Total quantity]]</f>
        <v>0</v>
      </c>
      <c r="AJ101" s="1142">
        <f>Table69121631[[#This Row],[Y1 Total cost]]+Table69121631[[#This Row],[Y2 Total cost]]+Table69121631[[#This Row],[Y3 Total cost]]</f>
        <v>0</v>
      </c>
      <c r="AK101" s="334" t="str">
        <f t="shared" si="10"/>
        <v/>
      </c>
      <c r="AL101" s="1266"/>
      <c r="AM101" s="125"/>
    </row>
    <row r="102" spans="1:39">
      <c r="A102" s="2732"/>
      <c r="B102" s="2732"/>
      <c r="C102" s="2732"/>
      <c r="D102" s="2733"/>
      <c r="E102" s="2752"/>
      <c r="F102" s="2753"/>
      <c r="G102" s="2753"/>
      <c r="H102" s="2753"/>
      <c r="I102" s="2752"/>
      <c r="J102" s="2753"/>
      <c r="K102" s="2754"/>
      <c r="L102" s="314" t="str">
        <f t="shared" si="9"/>
        <v/>
      </c>
      <c r="M102" s="314" t="str">
        <f t="shared" si="11"/>
        <v/>
      </c>
      <c r="N102" s="1126"/>
      <c r="O102" s="1171"/>
      <c r="P102" s="1171"/>
      <c r="Q102" s="1171"/>
      <c r="R102" s="1171"/>
      <c r="S102" s="59">
        <f>SUM(Table69121631[[#This Row],[Y1 Q1 quantity]:[Y1 Q4 quantity]])</f>
        <v>0</v>
      </c>
      <c r="T102" s="1132">
        <f>Table69121631[[#This Row],[Y1 Unit cost]]*Table69121631[[#This Row],[Y1 Total quantity]]</f>
        <v>0</v>
      </c>
      <c r="U102" s="1126"/>
      <c r="V102" s="1171"/>
      <c r="W102" s="1171"/>
      <c r="X102" s="1171"/>
      <c r="Y102" s="1171"/>
      <c r="Z102" s="59">
        <f>SUM(Table69121631[[#This Row],[Y2 Q1 quantity]:[Y2 Q4 quantity]])</f>
        <v>0</v>
      </c>
      <c r="AA102" s="1142">
        <f>Table69121631[[#This Row],[Y2 Unit cost]]*Table69121631[[#This Row],[Y2 Total quantity]]</f>
        <v>0</v>
      </c>
      <c r="AB102" s="1126"/>
      <c r="AC102" s="1171"/>
      <c r="AD102" s="1171"/>
      <c r="AE102" s="1171"/>
      <c r="AF102" s="1171"/>
      <c r="AG102" s="59">
        <f>SUM(Table69121631[[#This Row],[Y3 Q1 quantity]:[Y3 Q4 quantity]])</f>
        <v>0</v>
      </c>
      <c r="AH102" s="1152">
        <f>Table69121631[[#This Row],[Y3 Unit cost]]*Table69121631[[#This Row],[Y3 Total quantity]]</f>
        <v>0</v>
      </c>
      <c r="AI102" s="62">
        <f>Table69121631[[#This Row],[Y1 Total quantity]]+Table69121631[[#This Row],[Y2 Total quantity]]+Table69121631[[#This Row],[Y3 Total quantity]]</f>
        <v>0</v>
      </c>
      <c r="AJ102" s="1142">
        <f>Table69121631[[#This Row],[Y1 Total cost]]+Table69121631[[#This Row],[Y2 Total cost]]+Table69121631[[#This Row],[Y3 Total cost]]</f>
        <v>0</v>
      </c>
      <c r="AK102" s="334" t="str">
        <f t="shared" si="10"/>
        <v/>
      </c>
      <c r="AL102" s="1265"/>
      <c r="AM102" s="125"/>
    </row>
    <row r="103" spans="1:39">
      <c r="A103" s="2730"/>
      <c r="B103" s="2730"/>
      <c r="C103" s="2730"/>
      <c r="D103" s="2731"/>
      <c r="E103" s="2810"/>
      <c r="F103" s="2126"/>
      <c r="G103" s="2126"/>
      <c r="H103" s="2126"/>
      <c r="I103" s="2810"/>
      <c r="J103" s="2126"/>
      <c r="K103" s="2811"/>
      <c r="L103" s="313" t="str">
        <f t="shared" si="9"/>
        <v/>
      </c>
      <c r="M103" s="315" t="str">
        <f t="shared" si="11"/>
        <v/>
      </c>
      <c r="N103" s="1126"/>
      <c r="O103" s="1171"/>
      <c r="P103" s="1171"/>
      <c r="Q103" s="1171"/>
      <c r="R103" s="1171"/>
      <c r="S103" s="59">
        <f>SUM(Table69121631[[#This Row],[Y1 Q1 quantity]:[Y1 Q4 quantity]])</f>
        <v>0</v>
      </c>
      <c r="T103" s="1132">
        <f>Table69121631[[#This Row],[Y1 Unit cost]]*Table69121631[[#This Row],[Y1 Total quantity]]</f>
        <v>0</v>
      </c>
      <c r="U103" s="1126"/>
      <c r="V103" s="1171"/>
      <c r="W103" s="1171"/>
      <c r="X103" s="1171"/>
      <c r="Y103" s="1171"/>
      <c r="Z103" s="59">
        <f>SUM(Table69121631[[#This Row],[Y2 Q1 quantity]:[Y2 Q4 quantity]])</f>
        <v>0</v>
      </c>
      <c r="AA103" s="1142">
        <f>Table69121631[[#This Row],[Y2 Unit cost]]*Table69121631[[#This Row],[Y2 Total quantity]]</f>
        <v>0</v>
      </c>
      <c r="AB103" s="1126"/>
      <c r="AC103" s="1171"/>
      <c r="AD103" s="1171"/>
      <c r="AE103" s="1171"/>
      <c r="AF103" s="1171"/>
      <c r="AG103" s="59">
        <f>SUM(Table69121631[[#This Row],[Y3 Q1 quantity]:[Y3 Q4 quantity]])</f>
        <v>0</v>
      </c>
      <c r="AH103" s="1152">
        <f>Table69121631[[#This Row],[Y3 Unit cost]]*Table69121631[[#This Row],[Y3 Total quantity]]</f>
        <v>0</v>
      </c>
      <c r="AI103" s="62">
        <f>Table69121631[[#This Row],[Y1 Total quantity]]+Table69121631[[#This Row],[Y2 Total quantity]]+Table69121631[[#This Row],[Y3 Total quantity]]</f>
        <v>0</v>
      </c>
      <c r="AJ103" s="1142">
        <f>Table69121631[[#This Row],[Y1 Total cost]]+Table69121631[[#This Row],[Y2 Total cost]]+Table69121631[[#This Row],[Y3 Total cost]]</f>
        <v>0</v>
      </c>
      <c r="AK103" s="334" t="str">
        <f t="shared" si="10"/>
        <v/>
      </c>
      <c r="AL103" s="1266"/>
      <c r="AM103" s="125"/>
    </row>
    <row r="104" spans="1:39" hidden="1">
      <c r="A104" s="2732"/>
      <c r="B104" s="2732"/>
      <c r="C104" s="2732"/>
      <c r="D104" s="2733"/>
      <c r="E104" s="2752"/>
      <c r="F104" s="2753"/>
      <c r="G104" s="2753"/>
      <c r="H104" s="2753"/>
      <c r="I104" s="2752"/>
      <c r="J104" s="2753"/>
      <c r="K104" s="2754"/>
      <c r="L104" s="314" t="str">
        <f t="shared" si="9"/>
        <v/>
      </c>
      <c r="M104" s="314" t="str">
        <f t="shared" si="11"/>
        <v/>
      </c>
      <c r="N104" s="1126"/>
      <c r="O104" s="1171"/>
      <c r="P104" s="1171"/>
      <c r="Q104" s="1171"/>
      <c r="R104" s="1171"/>
      <c r="S104" s="59">
        <f>SUM(Table69121631[[#This Row],[Y1 Q1 quantity]:[Y1 Q4 quantity]])</f>
        <v>0</v>
      </c>
      <c r="T104" s="1132">
        <f>Table69121631[[#This Row],[Y1 Unit cost]]*Table69121631[[#This Row],[Y1 Total quantity]]</f>
        <v>0</v>
      </c>
      <c r="U104" s="1126"/>
      <c r="V104" s="1171"/>
      <c r="W104" s="1171"/>
      <c r="X104" s="1171"/>
      <c r="Y104" s="1171"/>
      <c r="Z104" s="59">
        <f>SUM(Table69121631[[#This Row],[Y2 Q1 quantity]:[Y2 Q4 quantity]])</f>
        <v>0</v>
      </c>
      <c r="AA104" s="1142">
        <f>Table69121631[[#This Row],[Y2 Unit cost]]*Table69121631[[#This Row],[Y2 Total quantity]]</f>
        <v>0</v>
      </c>
      <c r="AB104" s="1126"/>
      <c r="AC104" s="1171"/>
      <c r="AD104" s="1171"/>
      <c r="AE104" s="1171"/>
      <c r="AF104" s="1171"/>
      <c r="AG104" s="59">
        <f>SUM(Table69121631[[#This Row],[Y3 Q1 quantity]:[Y3 Q4 quantity]])</f>
        <v>0</v>
      </c>
      <c r="AH104" s="1152">
        <f>Table69121631[[#This Row],[Y3 Unit cost]]*Table69121631[[#This Row],[Y3 Total quantity]]</f>
        <v>0</v>
      </c>
      <c r="AI104" s="62">
        <f>Table69121631[[#This Row],[Y1 Total quantity]]+Table69121631[[#This Row],[Y2 Total quantity]]+Table69121631[[#This Row],[Y3 Total quantity]]</f>
        <v>0</v>
      </c>
      <c r="AJ104" s="1142">
        <f>Table69121631[[#This Row],[Y1 Total cost]]+Table69121631[[#This Row],[Y2 Total cost]]+Table69121631[[#This Row],[Y3 Total cost]]</f>
        <v>0</v>
      </c>
      <c r="AK104" s="334" t="str">
        <f t="shared" si="10"/>
        <v/>
      </c>
      <c r="AL104" s="1265"/>
      <c r="AM104" s="125"/>
    </row>
    <row r="105" spans="1:39" hidden="1">
      <c r="A105" s="2730"/>
      <c r="B105" s="2730"/>
      <c r="C105" s="2730"/>
      <c r="D105" s="2731"/>
      <c r="E105" s="2810"/>
      <c r="F105" s="2126"/>
      <c r="G105" s="2126"/>
      <c r="H105" s="2126"/>
      <c r="I105" s="2810"/>
      <c r="J105" s="2126"/>
      <c r="K105" s="2811"/>
      <c r="L105" s="313" t="str">
        <f t="shared" si="9"/>
        <v/>
      </c>
      <c r="M105" s="315" t="str">
        <f t="shared" si="11"/>
        <v/>
      </c>
      <c r="N105" s="1126"/>
      <c r="O105" s="1171"/>
      <c r="P105" s="1171"/>
      <c r="Q105" s="1171"/>
      <c r="R105" s="1171"/>
      <c r="S105" s="59">
        <f>SUM(Table69121631[[#This Row],[Y1 Q1 quantity]:[Y1 Q4 quantity]])</f>
        <v>0</v>
      </c>
      <c r="T105" s="1132">
        <f>Table69121631[[#This Row],[Y1 Unit cost]]*Table69121631[[#This Row],[Y1 Total quantity]]</f>
        <v>0</v>
      </c>
      <c r="U105" s="1126"/>
      <c r="V105" s="1171"/>
      <c r="W105" s="1171"/>
      <c r="X105" s="1171"/>
      <c r="Y105" s="1171"/>
      <c r="Z105" s="59">
        <f>SUM(Table69121631[[#This Row],[Y2 Q1 quantity]:[Y2 Q4 quantity]])</f>
        <v>0</v>
      </c>
      <c r="AA105" s="1142">
        <f>Table69121631[[#This Row],[Y2 Unit cost]]*Table69121631[[#This Row],[Y2 Total quantity]]</f>
        <v>0</v>
      </c>
      <c r="AB105" s="1126"/>
      <c r="AC105" s="1171"/>
      <c r="AD105" s="1171"/>
      <c r="AE105" s="1171"/>
      <c r="AF105" s="1171"/>
      <c r="AG105" s="59">
        <f>SUM(Table69121631[[#This Row],[Y3 Q1 quantity]:[Y3 Q4 quantity]])</f>
        <v>0</v>
      </c>
      <c r="AH105" s="1152">
        <f>Table69121631[[#This Row],[Y3 Unit cost]]*Table69121631[[#This Row],[Y3 Total quantity]]</f>
        <v>0</v>
      </c>
      <c r="AI105" s="62">
        <f>Table69121631[[#This Row],[Y1 Total quantity]]+Table69121631[[#This Row],[Y2 Total quantity]]+Table69121631[[#This Row],[Y3 Total quantity]]</f>
        <v>0</v>
      </c>
      <c r="AJ105" s="1142">
        <f>Table69121631[[#This Row],[Y1 Total cost]]+Table69121631[[#This Row],[Y2 Total cost]]+Table69121631[[#This Row],[Y3 Total cost]]</f>
        <v>0</v>
      </c>
      <c r="AK105" s="334" t="str">
        <f t="shared" si="10"/>
        <v/>
      </c>
      <c r="AL105" s="1266"/>
      <c r="AM105" s="125"/>
    </row>
    <row r="106" spans="1:39" hidden="1">
      <c r="A106" s="2732"/>
      <c r="B106" s="2732"/>
      <c r="C106" s="2732"/>
      <c r="D106" s="2733"/>
      <c r="E106" s="2752"/>
      <c r="F106" s="2753"/>
      <c r="G106" s="2753"/>
      <c r="H106" s="2753"/>
      <c r="I106" s="2752"/>
      <c r="J106" s="2753"/>
      <c r="K106" s="2754"/>
      <c r="L106" s="314" t="str">
        <f t="shared" si="9"/>
        <v/>
      </c>
      <c r="M106" s="314" t="str">
        <f t="shared" si="11"/>
        <v/>
      </c>
      <c r="N106" s="1126"/>
      <c r="O106" s="1171"/>
      <c r="P106" s="1171"/>
      <c r="Q106" s="1171"/>
      <c r="R106" s="1171"/>
      <c r="S106" s="59">
        <f>SUM(Table69121631[[#This Row],[Y1 Q1 quantity]:[Y1 Q4 quantity]])</f>
        <v>0</v>
      </c>
      <c r="T106" s="1132">
        <f>Table69121631[[#This Row],[Y1 Unit cost]]*Table69121631[[#This Row],[Y1 Total quantity]]</f>
        <v>0</v>
      </c>
      <c r="U106" s="1126"/>
      <c r="V106" s="1171"/>
      <c r="W106" s="1171"/>
      <c r="X106" s="1171"/>
      <c r="Y106" s="1171"/>
      <c r="Z106" s="59">
        <f>SUM(Table69121631[[#This Row],[Y2 Q1 quantity]:[Y2 Q4 quantity]])</f>
        <v>0</v>
      </c>
      <c r="AA106" s="1142">
        <f>Table69121631[[#This Row],[Y2 Unit cost]]*Table69121631[[#This Row],[Y2 Total quantity]]</f>
        <v>0</v>
      </c>
      <c r="AB106" s="1126"/>
      <c r="AC106" s="1171"/>
      <c r="AD106" s="1171"/>
      <c r="AE106" s="1171"/>
      <c r="AF106" s="1171"/>
      <c r="AG106" s="59">
        <f>SUM(Table69121631[[#This Row],[Y3 Q1 quantity]:[Y3 Q4 quantity]])</f>
        <v>0</v>
      </c>
      <c r="AH106" s="1152">
        <f>Table69121631[[#This Row],[Y3 Unit cost]]*Table69121631[[#This Row],[Y3 Total quantity]]</f>
        <v>0</v>
      </c>
      <c r="AI106" s="62">
        <f>Table69121631[[#This Row],[Y1 Total quantity]]+Table69121631[[#This Row],[Y2 Total quantity]]+Table69121631[[#This Row],[Y3 Total quantity]]</f>
        <v>0</v>
      </c>
      <c r="AJ106" s="1142">
        <f>Table69121631[[#This Row],[Y1 Total cost]]+Table69121631[[#This Row],[Y2 Total cost]]+Table69121631[[#This Row],[Y3 Total cost]]</f>
        <v>0</v>
      </c>
      <c r="AK106" s="334" t="str">
        <f t="shared" si="10"/>
        <v/>
      </c>
      <c r="AL106" s="1265"/>
      <c r="AM106" s="125"/>
    </row>
    <row r="107" spans="1:39" hidden="1">
      <c r="A107" s="2730"/>
      <c r="B107" s="2730"/>
      <c r="C107" s="2730"/>
      <c r="D107" s="2731"/>
      <c r="E107" s="2810"/>
      <c r="F107" s="2126"/>
      <c r="G107" s="2126"/>
      <c r="H107" s="2126"/>
      <c r="I107" s="2810"/>
      <c r="J107" s="2126"/>
      <c r="K107" s="2811"/>
      <c r="L107" s="313" t="str">
        <f t="shared" si="9"/>
        <v/>
      </c>
      <c r="M107" s="315" t="str">
        <f t="shared" si="11"/>
        <v/>
      </c>
      <c r="N107" s="1126"/>
      <c r="O107" s="1171"/>
      <c r="P107" s="1171"/>
      <c r="Q107" s="1171"/>
      <c r="R107" s="1171"/>
      <c r="S107" s="59">
        <f>SUM(Table69121631[[#This Row],[Y1 Q1 quantity]:[Y1 Q4 quantity]])</f>
        <v>0</v>
      </c>
      <c r="T107" s="1132">
        <f>Table69121631[[#This Row],[Y1 Unit cost]]*Table69121631[[#This Row],[Y1 Total quantity]]</f>
        <v>0</v>
      </c>
      <c r="U107" s="1126"/>
      <c r="V107" s="1171"/>
      <c r="W107" s="1171"/>
      <c r="X107" s="1171"/>
      <c r="Y107" s="1171"/>
      <c r="Z107" s="59">
        <f>SUM(Table69121631[[#This Row],[Y2 Q1 quantity]:[Y2 Q4 quantity]])</f>
        <v>0</v>
      </c>
      <c r="AA107" s="1142">
        <f>Table69121631[[#This Row],[Y2 Unit cost]]*Table69121631[[#This Row],[Y2 Total quantity]]</f>
        <v>0</v>
      </c>
      <c r="AB107" s="1126"/>
      <c r="AC107" s="1171"/>
      <c r="AD107" s="1171"/>
      <c r="AE107" s="1171"/>
      <c r="AF107" s="1171"/>
      <c r="AG107" s="59">
        <f>SUM(Table69121631[[#This Row],[Y3 Q1 quantity]:[Y3 Q4 quantity]])</f>
        <v>0</v>
      </c>
      <c r="AH107" s="1152">
        <f>Table69121631[[#This Row],[Y3 Unit cost]]*Table69121631[[#This Row],[Y3 Total quantity]]</f>
        <v>0</v>
      </c>
      <c r="AI107" s="62">
        <f>Table69121631[[#This Row],[Y1 Total quantity]]+Table69121631[[#This Row],[Y2 Total quantity]]+Table69121631[[#This Row],[Y3 Total quantity]]</f>
        <v>0</v>
      </c>
      <c r="AJ107" s="1142">
        <f>Table69121631[[#This Row],[Y1 Total cost]]+Table69121631[[#This Row],[Y2 Total cost]]+Table69121631[[#This Row],[Y3 Total cost]]</f>
        <v>0</v>
      </c>
      <c r="AK107" s="334" t="str">
        <f t="shared" si="10"/>
        <v/>
      </c>
      <c r="AL107" s="1266"/>
      <c r="AM107" s="125"/>
    </row>
    <row r="108" spans="1:39" hidden="1">
      <c r="A108" s="2732"/>
      <c r="B108" s="2732"/>
      <c r="C108" s="2732"/>
      <c r="D108" s="2733"/>
      <c r="E108" s="2752"/>
      <c r="F108" s="2753"/>
      <c r="G108" s="2753"/>
      <c r="H108" s="2753"/>
      <c r="I108" s="2752"/>
      <c r="J108" s="2753"/>
      <c r="K108" s="2754"/>
      <c r="L108" s="314" t="str">
        <f t="shared" si="9"/>
        <v/>
      </c>
      <c r="M108" s="314" t="str">
        <f t="shared" si="11"/>
        <v/>
      </c>
      <c r="N108" s="1126"/>
      <c r="O108" s="1171"/>
      <c r="P108" s="1171"/>
      <c r="Q108" s="1171"/>
      <c r="R108" s="1171"/>
      <c r="S108" s="59">
        <f>SUM(Table69121631[[#This Row],[Y1 Q1 quantity]:[Y1 Q4 quantity]])</f>
        <v>0</v>
      </c>
      <c r="T108" s="1132">
        <f>Table69121631[[#This Row],[Y1 Unit cost]]*Table69121631[[#This Row],[Y1 Total quantity]]</f>
        <v>0</v>
      </c>
      <c r="U108" s="1126"/>
      <c r="V108" s="1171"/>
      <c r="W108" s="1171"/>
      <c r="X108" s="1171"/>
      <c r="Y108" s="1171"/>
      <c r="Z108" s="59">
        <f>SUM(Table69121631[[#This Row],[Y2 Q1 quantity]:[Y2 Q4 quantity]])</f>
        <v>0</v>
      </c>
      <c r="AA108" s="1142">
        <f>Table69121631[[#This Row],[Y2 Unit cost]]*Table69121631[[#This Row],[Y2 Total quantity]]</f>
        <v>0</v>
      </c>
      <c r="AB108" s="1126"/>
      <c r="AC108" s="1171"/>
      <c r="AD108" s="1171"/>
      <c r="AE108" s="1171"/>
      <c r="AF108" s="1171"/>
      <c r="AG108" s="59">
        <f>SUM(Table69121631[[#This Row],[Y3 Q1 quantity]:[Y3 Q4 quantity]])</f>
        <v>0</v>
      </c>
      <c r="AH108" s="1152">
        <f>Table69121631[[#This Row],[Y3 Unit cost]]*Table69121631[[#This Row],[Y3 Total quantity]]</f>
        <v>0</v>
      </c>
      <c r="AI108" s="62">
        <f>Table69121631[[#This Row],[Y1 Total quantity]]+Table69121631[[#This Row],[Y2 Total quantity]]+Table69121631[[#This Row],[Y3 Total quantity]]</f>
        <v>0</v>
      </c>
      <c r="AJ108" s="1142">
        <f>Table69121631[[#This Row],[Y1 Total cost]]+Table69121631[[#This Row],[Y2 Total cost]]+Table69121631[[#This Row],[Y3 Total cost]]</f>
        <v>0</v>
      </c>
      <c r="AK108" s="334" t="str">
        <f t="shared" si="10"/>
        <v/>
      </c>
      <c r="AL108" s="1265"/>
      <c r="AM108" s="125"/>
    </row>
    <row r="109" spans="1:39" hidden="1">
      <c r="A109" s="2730"/>
      <c r="B109" s="2730"/>
      <c r="C109" s="2730"/>
      <c r="D109" s="2731"/>
      <c r="E109" s="2810"/>
      <c r="F109" s="2126"/>
      <c r="G109" s="2126"/>
      <c r="H109" s="2126"/>
      <c r="I109" s="2810"/>
      <c r="J109" s="2126"/>
      <c r="K109" s="2811"/>
      <c r="L109" s="313" t="str">
        <f t="shared" si="9"/>
        <v/>
      </c>
      <c r="M109" s="315" t="str">
        <f t="shared" si="11"/>
        <v/>
      </c>
      <c r="N109" s="1126"/>
      <c r="O109" s="1171"/>
      <c r="P109" s="1171"/>
      <c r="Q109" s="1171"/>
      <c r="R109" s="1171"/>
      <c r="S109" s="59">
        <f>SUM(Table69121631[[#This Row],[Y1 Q1 quantity]:[Y1 Q4 quantity]])</f>
        <v>0</v>
      </c>
      <c r="T109" s="1132">
        <f>Table69121631[[#This Row],[Y1 Unit cost]]*Table69121631[[#This Row],[Y1 Total quantity]]</f>
        <v>0</v>
      </c>
      <c r="U109" s="1126"/>
      <c r="V109" s="1171"/>
      <c r="W109" s="1171"/>
      <c r="X109" s="1171"/>
      <c r="Y109" s="1171"/>
      <c r="Z109" s="59">
        <f>SUM(Table69121631[[#This Row],[Y2 Q1 quantity]:[Y2 Q4 quantity]])</f>
        <v>0</v>
      </c>
      <c r="AA109" s="1142">
        <f>Table69121631[[#This Row],[Y2 Unit cost]]*Table69121631[[#This Row],[Y2 Total quantity]]</f>
        <v>0</v>
      </c>
      <c r="AB109" s="1126"/>
      <c r="AC109" s="1171"/>
      <c r="AD109" s="1171"/>
      <c r="AE109" s="1171"/>
      <c r="AF109" s="1171"/>
      <c r="AG109" s="59">
        <f>SUM(Table69121631[[#This Row],[Y3 Q1 quantity]:[Y3 Q4 quantity]])</f>
        <v>0</v>
      </c>
      <c r="AH109" s="1152">
        <f>Table69121631[[#This Row],[Y3 Unit cost]]*Table69121631[[#This Row],[Y3 Total quantity]]</f>
        <v>0</v>
      </c>
      <c r="AI109" s="62">
        <f>Table69121631[[#This Row],[Y1 Total quantity]]+Table69121631[[#This Row],[Y2 Total quantity]]+Table69121631[[#This Row],[Y3 Total quantity]]</f>
        <v>0</v>
      </c>
      <c r="AJ109" s="1142">
        <f>Table69121631[[#This Row],[Y1 Total cost]]+Table69121631[[#This Row],[Y2 Total cost]]+Table69121631[[#This Row],[Y3 Total cost]]</f>
        <v>0</v>
      </c>
      <c r="AK109" s="334" t="str">
        <f t="shared" si="10"/>
        <v/>
      </c>
      <c r="AL109" s="1266"/>
      <c r="AM109" s="125"/>
    </row>
    <row r="110" spans="1:39" hidden="1">
      <c r="A110" s="2732"/>
      <c r="B110" s="2732"/>
      <c r="C110" s="2732"/>
      <c r="D110" s="2733"/>
      <c r="E110" s="2752"/>
      <c r="F110" s="2753"/>
      <c r="G110" s="2753"/>
      <c r="H110" s="2753"/>
      <c r="I110" s="2752"/>
      <c r="J110" s="2753"/>
      <c r="K110" s="2754"/>
      <c r="L110" s="314" t="str">
        <f t="shared" si="9"/>
        <v/>
      </c>
      <c r="M110" s="314" t="str">
        <f t="shared" si="11"/>
        <v/>
      </c>
      <c r="N110" s="1126"/>
      <c r="O110" s="1171"/>
      <c r="P110" s="1171"/>
      <c r="Q110" s="1171"/>
      <c r="R110" s="1171"/>
      <c r="S110" s="59">
        <f>SUM(Table69121631[[#This Row],[Y1 Q1 quantity]:[Y1 Q4 quantity]])</f>
        <v>0</v>
      </c>
      <c r="T110" s="1132">
        <f>Table69121631[[#This Row],[Y1 Unit cost]]*Table69121631[[#This Row],[Y1 Total quantity]]</f>
        <v>0</v>
      </c>
      <c r="U110" s="1126"/>
      <c r="V110" s="1171"/>
      <c r="W110" s="1171"/>
      <c r="X110" s="1171"/>
      <c r="Y110" s="1171"/>
      <c r="Z110" s="59">
        <f>SUM(Table69121631[[#This Row],[Y2 Q1 quantity]:[Y2 Q4 quantity]])</f>
        <v>0</v>
      </c>
      <c r="AA110" s="1142">
        <f>Table69121631[[#This Row],[Y2 Unit cost]]*Table69121631[[#This Row],[Y2 Total quantity]]</f>
        <v>0</v>
      </c>
      <c r="AB110" s="1126"/>
      <c r="AC110" s="1171"/>
      <c r="AD110" s="1171"/>
      <c r="AE110" s="1171"/>
      <c r="AF110" s="1171"/>
      <c r="AG110" s="59">
        <f>SUM(Table69121631[[#This Row],[Y3 Q1 quantity]:[Y3 Q4 quantity]])</f>
        <v>0</v>
      </c>
      <c r="AH110" s="1152">
        <f>Table69121631[[#This Row],[Y3 Unit cost]]*Table69121631[[#This Row],[Y3 Total quantity]]</f>
        <v>0</v>
      </c>
      <c r="AI110" s="62">
        <f>Table69121631[[#This Row],[Y1 Total quantity]]+Table69121631[[#This Row],[Y2 Total quantity]]+Table69121631[[#This Row],[Y3 Total quantity]]</f>
        <v>0</v>
      </c>
      <c r="AJ110" s="1142">
        <f>Table69121631[[#This Row],[Y1 Total cost]]+Table69121631[[#This Row],[Y2 Total cost]]+Table69121631[[#This Row],[Y3 Total cost]]</f>
        <v>0</v>
      </c>
      <c r="AK110" s="334" t="str">
        <f t="shared" si="10"/>
        <v/>
      </c>
      <c r="AL110" s="1265"/>
      <c r="AM110" s="125"/>
    </row>
    <row r="111" spans="1:39" hidden="1">
      <c r="A111" s="2730"/>
      <c r="B111" s="2730"/>
      <c r="C111" s="2730"/>
      <c r="D111" s="2731"/>
      <c r="E111" s="2810"/>
      <c r="F111" s="2126"/>
      <c r="G111" s="2126"/>
      <c r="H111" s="2126"/>
      <c r="I111" s="2810"/>
      <c r="J111" s="2126"/>
      <c r="K111" s="2811"/>
      <c r="L111" s="313" t="str">
        <f t="shared" si="9"/>
        <v/>
      </c>
      <c r="M111" s="315" t="str">
        <f t="shared" si="11"/>
        <v/>
      </c>
      <c r="N111" s="1126"/>
      <c r="O111" s="1171"/>
      <c r="P111" s="1171"/>
      <c r="Q111" s="1171"/>
      <c r="R111" s="1171"/>
      <c r="S111" s="59">
        <f>SUM(Table69121631[[#This Row],[Y1 Q1 quantity]:[Y1 Q4 quantity]])</f>
        <v>0</v>
      </c>
      <c r="T111" s="1132">
        <f>Table69121631[[#This Row],[Y1 Unit cost]]*Table69121631[[#This Row],[Y1 Total quantity]]</f>
        <v>0</v>
      </c>
      <c r="U111" s="1126"/>
      <c r="V111" s="1171"/>
      <c r="W111" s="1171"/>
      <c r="X111" s="1171"/>
      <c r="Y111" s="1171"/>
      <c r="Z111" s="59">
        <f>SUM(Table69121631[[#This Row],[Y2 Q1 quantity]:[Y2 Q4 quantity]])</f>
        <v>0</v>
      </c>
      <c r="AA111" s="1142">
        <f>Table69121631[[#This Row],[Y2 Unit cost]]*Table69121631[[#This Row],[Y2 Total quantity]]</f>
        <v>0</v>
      </c>
      <c r="AB111" s="1126"/>
      <c r="AC111" s="1171"/>
      <c r="AD111" s="1171"/>
      <c r="AE111" s="1171"/>
      <c r="AF111" s="1171"/>
      <c r="AG111" s="59">
        <f>SUM(Table69121631[[#This Row],[Y3 Q1 quantity]:[Y3 Q4 quantity]])</f>
        <v>0</v>
      </c>
      <c r="AH111" s="1152">
        <f>Table69121631[[#This Row],[Y3 Unit cost]]*Table69121631[[#This Row],[Y3 Total quantity]]</f>
        <v>0</v>
      </c>
      <c r="AI111" s="62">
        <f>Table69121631[[#This Row],[Y1 Total quantity]]+Table69121631[[#This Row],[Y2 Total quantity]]+Table69121631[[#This Row],[Y3 Total quantity]]</f>
        <v>0</v>
      </c>
      <c r="AJ111" s="1142">
        <f>Table69121631[[#This Row],[Y1 Total cost]]+Table69121631[[#This Row],[Y2 Total cost]]+Table69121631[[#This Row],[Y3 Total cost]]</f>
        <v>0</v>
      </c>
      <c r="AK111" s="334" t="str">
        <f t="shared" si="10"/>
        <v/>
      </c>
      <c r="AL111" s="1266"/>
      <c r="AM111" s="125"/>
    </row>
    <row r="112" spans="1:39" hidden="1">
      <c r="A112" s="2732"/>
      <c r="B112" s="2732"/>
      <c r="C112" s="2732"/>
      <c r="D112" s="2733"/>
      <c r="E112" s="2752"/>
      <c r="F112" s="2753"/>
      <c r="G112" s="2753"/>
      <c r="H112" s="2753"/>
      <c r="I112" s="2752"/>
      <c r="J112" s="2753"/>
      <c r="K112" s="2754"/>
      <c r="L112" s="314" t="str">
        <f t="shared" si="9"/>
        <v/>
      </c>
      <c r="M112" s="314" t="str">
        <f t="shared" si="11"/>
        <v/>
      </c>
      <c r="N112" s="1126"/>
      <c r="O112" s="1171"/>
      <c r="P112" s="1171"/>
      <c r="Q112" s="1171"/>
      <c r="R112" s="1171"/>
      <c r="S112" s="59">
        <f>SUM(Table69121631[[#This Row],[Y1 Q1 quantity]:[Y1 Q4 quantity]])</f>
        <v>0</v>
      </c>
      <c r="T112" s="1132">
        <f>Table69121631[[#This Row],[Y1 Unit cost]]*Table69121631[[#This Row],[Y1 Total quantity]]</f>
        <v>0</v>
      </c>
      <c r="U112" s="1126"/>
      <c r="V112" s="1171"/>
      <c r="W112" s="1171"/>
      <c r="X112" s="1171"/>
      <c r="Y112" s="1171"/>
      <c r="Z112" s="59">
        <f>SUM(Table69121631[[#This Row],[Y2 Q1 quantity]:[Y2 Q4 quantity]])</f>
        <v>0</v>
      </c>
      <c r="AA112" s="1142">
        <f>Table69121631[[#This Row],[Y2 Unit cost]]*Table69121631[[#This Row],[Y2 Total quantity]]</f>
        <v>0</v>
      </c>
      <c r="AB112" s="1126"/>
      <c r="AC112" s="1171"/>
      <c r="AD112" s="1171"/>
      <c r="AE112" s="1171"/>
      <c r="AF112" s="1171"/>
      <c r="AG112" s="59">
        <f>SUM(Table69121631[[#This Row],[Y3 Q1 quantity]:[Y3 Q4 quantity]])</f>
        <v>0</v>
      </c>
      <c r="AH112" s="1152">
        <f>Table69121631[[#This Row],[Y3 Unit cost]]*Table69121631[[#This Row],[Y3 Total quantity]]</f>
        <v>0</v>
      </c>
      <c r="AI112" s="62">
        <f>Table69121631[[#This Row],[Y1 Total quantity]]+Table69121631[[#This Row],[Y2 Total quantity]]+Table69121631[[#This Row],[Y3 Total quantity]]</f>
        <v>0</v>
      </c>
      <c r="AJ112" s="1142">
        <f>Table69121631[[#This Row],[Y1 Total cost]]+Table69121631[[#This Row],[Y2 Total cost]]+Table69121631[[#This Row],[Y3 Total cost]]</f>
        <v>0</v>
      </c>
      <c r="AK112" s="334" t="str">
        <f t="shared" si="10"/>
        <v/>
      </c>
      <c r="AL112" s="1265"/>
      <c r="AM112" s="125"/>
    </row>
    <row r="113" spans="1:61" hidden="1">
      <c r="A113" s="2730"/>
      <c r="B113" s="2730"/>
      <c r="C113" s="2730"/>
      <c r="D113" s="2731"/>
      <c r="E113" s="2810"/>
      <c r="F113" s="2126"/>
      <c r="G113" s="2126"/>
      <c r="H113" s="2126"/>
      <c r="I113" s="2810"/>
      <c r="J113" s="2126"/>
      <c r="K113" s="2811"/>
      <c r="L113" s="313" t="str">
        <f t="shared" si="9"/>
        <v/>
      </c>
      <c r="M113" s="315" t="str">
        <f t="shared" si="11"/>
        <v/>
      </c>
      <c r="N113" s="1126"/>
      <c r="O113" s="1171"/>
      <c r="P113" s="1171"/>
      <c r="Q113" s="1171"/>
      <c r="R113" s="1171"/>
      <c r="S113" s="59">
        <f>SUM(Table69121631[[#This Row],[Y1 Q1 quantity]:[Y1 Q4 quantity]])</f>
        <v>0</v>
      </c>
      <c r="T113" s="1132">
        <f>Table69121631[[#This Row],[Y1 Unit cost]]*Table69121631[[#This Row],[Y1 Total quantity]]</f>
        <v>0</v>
      </c>
      <c r="U113" s="1126"/>
      <c r="V113" s="1171"/>
      <c r="W113" s="1171"/>
      <c r="X113" s="1171"/>
      <c r="Y113" s="1171"/>
      <c r="Z113" s="59">
        <f>SUM(Table69121631[[#This Row],[Y2 Q1 quantity]:[Y2 Q4 quantity]])</f>
        <v>0</v>
      </c>
      <c r="AA113" s="1142">
        <f>Table69121631[[#This Row],[Y2 Unit cost]]*Table69121631[[#This Row],[Y2 Total quantity]]</f>
        <v>0</v>
      </c>
      <c r="AB113" s="1126"/>
      <c r="AC113" s="1171"/>
      <c r="AD113" s="1171"/>
      <c r="AE113" s="1171"/>
      <c r="AF113" s="1171"/>
      <c r="AG113" s="59">
        <f>SUM(Table69121631[[#This Row],[Y3 Q1 quantity]:[Y3 Q4 quantity]])</f>
        <v>0</v>
      </c>
      <c r="AH113" s="1152">
        <f>Table69121631[[#This Row],[Y3 Unit cost]]*Table69121631[[#This Row],[Y3 Total quantity]]</f>
        <v>0</v>
      </c>
      <c r="AI113" s="62">
        <f>Table69121631[[#This Row],[Y1 Total quantity]]+Table69121631[[#This Row],[Y2 Total quantity]]+Table69121631[[#This Row],[Y3 Total quantity]]</f>
        <v>0</v>
      </c>
      <c r="AJ113" s="1142">
        <f>Table69121631[[#This Row],[Y1 Total cost]]+Table69121631[[#This Row],[Y2 Total cost]]+Table69121631[[#This Row],[Y3 Total cost]]</f>
        <v>0</v>
      </c>
      <c r="AK113" s="334" t="str">
        <f t="shared" si="10"/>
        <v/>
      </c>
      <c r="AL113" s="1266"/>
      <c r="AM113" s="125"/>
    </row>
    <row r="114" spans="1:61" hidden="1">
      <c r="A114" s="2732"/>
      <c r="B114" s="2732"/>
      <c r="C114" s="2732"/>
      <c r="D114" s="2733"/>
      <c r="E114" s="2752"/>
      <c r="F114" s="2753"/>
      <c r="G114" s="2753"/>
      <c r="H114" s="2753"/>
      <c r="I114" s="2752"/>
      <c r="J114" s="2753"/>
      <c r="K114" s="2754"/>
      <c r="L114" s="314" t="str">
        <f t="shared" si="9"/>
        <v/>
      </c>
      <c r="M114" s="314" t="str">
        <f t="shared" si="11"/>
        <v/>
      </c>
      <c r="N114" s="1126"/>
      <c r="O114" s="1171"/>
      <c r="P114" s="1171"/>
      <c r="Q114" s="1171"/>
      <c r="R114" s="1171"/>
      <c r="S114" s="59">
        <f>SUM(Table69121631[[#This Row],[Y1 Q1 quantity]:[Y1 Q4 quantity]])</f>
        <v>0</v>
      </c>
      <c r="T114" s="1132">
        <f>Table69121631[[#This Row],[Y1 Unit cost]]*Table69121631[[#This Row],[Y1 Total quantity]]</f>
        <v>0</v>
      </c>
      <c r="U114" s="1126"/>
      <c r="V114" s="1171"/>
      <c r="W114" s="1171"/>
      <c r="X114" s="1171"/>
      <c r="Y114" s="1171"/>
      <c r="Z114" s="59">
        <f>SUM(Table69121631[[#This Row],[Y2 Q1 quantity]:[Y2 Q4 quantity]])</f>
        <v>0</v>
      </c>
      <c r="AA114" s="1142">
        <f>Table69121631[[#This Row],[Y2 Unit cost]]*Table69121631[[#This Row],[Y2 Total quantity]]</f>
        <v>0</v>
      </c>
      <c r="AB114" s="1126"/>
      <c r="AC114" s="1171"/>
      <c r="AD114" s="1171"/>
      <c r="AE114" s="1171"/>
      <c r="AF114" s="1171"/>
      <c r="AG114" s="59">
        <f>SUM(Table69121631[[#This Row],[Y3 Q1 quantity]:[Y3 Q4 quantity]])</f>
        <v>0</v>
      </c>
      <c r="AH114" s="1152">
        <f>Table69121631[[#This Row],[Y3 Unit cost]]*Table69121631[[#This Row],[Y3 Total quantity]]</f>
        <v>0</v>
      </c>
      <c r="AI114" s="62">
        <f>Table69121631[[#This Row],[Y1 Total quantity]]+Table69121631[[#This Row],[Y2 Total quantity]]+Table69121631[[#This Row],[Y3 Total quantity]]</f>
        <v>0</v>
      </c>
      <c r="AJ114" s="1142">
        <f>Table69121631[[#This Row],[Y1 Total cost]]+Table69121631[[#This Row],[Y2 Total cost]]+Table69121631[[#This Row],[Y3 Total cost]]</f>
        <v>0</v>
      </c>
      <c r="AK114" s="334" t="str">
        <f t="shared" si="10"/>
        <v/>
      </c>
      <c r="AL114" s="1265"/>
      <c r="AM114" s="125"/>
    </row>
    <row r="115" spans="1:61" hidden="1">
      <c r="A115" s="2730"/>
      <c r="B115" s="2730"/>
      <c r="C115" s="2730"/>
      <c r="D115" s="2731"/>
      <c r="E115" s="2810"/>
      <c r="F115" s="2126"/>
      <c r="G115" s="2126"/>
      <c r="H115" s="2126"/>
      <c r="I115" s="2810"/>
      <c r="J115" s="2126"/>
      <c r="K115" s="2811"/>
      <c r="L115" s="313" t="str">
        <f t="shared" si="9"/>
        <v/>
      </c>
      <c r="M115" s="315" t="str">
        <f t="shared" si="11"/>
        <v/>
      </c>
      <c r="N115" s="1126"/>
      <c r="O115" s="1171"/>
      <c r="P115" s="1171"/>
      <c r="Q115" s="1171"/>
      <c r="R115" s="1171"/>
      <c r="S115" s="59">
        <f>SUM(Table69121631[[#This Row],[Y1 Q1 quantity]:[Y1 Q4 quantity]])</f>
        <v>0</v>
      </c>
      <c r="T115" s="1132">
        <f>Table69121631[[#This Row],[Y1 Unit cost]]*Table69121631[[#This Row],[Y1 Total quantity]]</f>
        <v>0</v>
      </c>
      <c r="U115" s="1126"/>
      <c r="V115" s="1171"/>
      <c r="W115" s="1171"/>
      <c r="X115" s="1171"/>
      <c r="Y115" s="1171"/>
      <c r="Z115" s="59">
        <f>SUM(Table69121631[[#This Row],[Y2 Q1 quantity]:[Y2 Q4 quantity]])</f>
        <v>0</v>
      </c>
      <c r="AA115" s="1142">
        <f>Table69121631[[#This Row],[Y2 Unit cost]]*Table69121631[[#This Row],[Y2 Total quantity]]</f>
        <v>0</v>
      </c>
      <c r="AB115" s="1126"/>
      <c r="AC115" s="1171"/>
      <c r="AD115" s="1171"/>
      <c r="AE115" s="1171"/>
      <c r="AF115" s="1171"/>
      <c r="AG115" s="59">
        <f>SUM(Table69121631[[#This Row],[Y3 Q1 quantity]:[Y3 Q4 quantity]])</f>
        <v>0</v>
      </c>
      <c r="AH115" s="1152">
        <f>Table69121631[[#This Row],[Y3 Unit cost]]*Table69121631[[#This Row],[Y3 Total quantity]]</f>
        <v>0</v>
      </c>
      <c r="AI115" s="62">
        <f>Table69121631[[#This Row],[Y1 Total quantity]]+Table69121631[[#This Row],[Y2 Total quantity]]+Table69121631[[#This Row],[Y3 Total quantity]]</f>
        <v>0</v>
      </c>
      <c r="AJ115" s="1142">
        <f>Table69121631[[#This Row],[Y1 Total cost]]+Table69121631[[#This Row],[Y2 Total cost]]+Table69121631[[#This Row],[Y3 Total cost]]</f>
        <v>0</v>
      </c>
      <c r="AK115" s="334" t="str">
        <f t="shared" si="10"/>
        <v/>
      </c>
      <c r="AL115" s="1266"/>
      <c r="AM115" s="125"/>
    </row>
    <row r="116" spans="1:61" hidden="1">
      <c r="A116" s="2732"/>
      <c r="B116" s="2732"/>
      <c r="C116" s="2732"/>
      <c r="D116" s="2733"/>
      <c r="E116" s="2752"/>
      <c r="F116" s="2753"/>
      <c r="G116" s="2753"/>
      <c r="H116" s="2753"/>
      <c r="I116" s="2752"/>
      <c r="J116" s="2753"/>
      <c r="K116" s="2754"/>
      <c r="L116" s="314" t="str">
        <f t="shared" si="9"/>
        <v/>
      </c>
      <c r="M116" s="314" t="str">
        <f t="shared" si="11"/>
        <v/>
      </c>
      <c r="N116" s="1126"/>
      <c r="O116" s="1171"/>
      <c r="P116" s="1171"/>
      <c r="Q116" s="1171"/>
      <c r="R116" s="1171"/>
      <c r="S116" s="59">
        <f>SUM(Table69121631[[#This Row],[Y1 Q1 quantity]:[Y1 Q4 quantity]])</f>
        <v>0</v>
      </c>
      <c r="T116" s="1132">
        <f>Table69121631[[#This Row],[Y1 Unit cost]]*Table69121631[[#This Row],[Y1 Total quantity]]</f>
        <v>0</v>
      </c>
      <c r="U116" s="1126"/>
      <c r="V116" s="1171"/>
      <c r="W116" s="1171"/>
      <c r="X116" s="1171"/>
      <c r="Y116" s="1171"/>
      <c r="Z116" s="59">
        <f>SUM(Table69121631[[#This Row],[Y2 Q1 quantity]:[Y2 Q4 quantity]])</f>
        <v>0</v>
      </c>
      <c r="AA116" s="1142">
        <f>Table69121631[[#This Row],[Y2 Unit cost]]*Table69121631[[#This Row],[Y2 Total quantity]]</f>
        <v>0</v>
      </c>
      <c r="AB116" s="1126"/>
      <c r="AC116" s="1171"/>
      <c r="AD116" s="1171"/>
      <c r="AE116" s="1171"/>
      <c r="AF116" s="1171"/>
      <c r="AG116" s="59">
        <f>SUM(Table69121631[[#This Row],[Y3 Q1 quantity]:[Y3 Q4 quantity]])</f>
        <v>0</v>
      </c>
      <c r="AH116" s="1152">
        <f>Table69121631[[#This Row],[Y3 Unit cost]]*Table69121631[[#This Row],[Y3 Total quantity]]</f>
        <v>0</v>
      </c>
      <c r="AI116" s="62">
        <f>Table69121631[[#This Row],[Y1 Total quantity]]+Table69121631[[#This Row],[Y2 Total quantity]]+Table69121631[[#This Row],[Y3 Total quantity]]</f>
        <v>0</v>
      </c>
      <c r="AJ116" s="1142">
        <f>Table69121631[[#This Row],[Y1 Total cost]]+Table69121631[[#This Row],[Y2 Total cost]]+Table69121631[[#This Row],[Y3 Total cost]]</f>
        <v>0</v>
      </c>
      <c r="AK116" s="334" t="str">
        <f t="shared" si="10"/>
        <v/>
      </c>
      <c r="AL116" s="1265"/>
      <c r="AM116" s="125"/>
    </row>
    <row r="117" spans="1:61" hidden="1">
      <c r="A117" s="2730"/>
      <c r="B117" s="2730"/>
      <c r="C117" s="2730"/>
      <c r="D117" s="2731"/>
      <c r="E117" s="2810"/>
      <c r="F117" s="2126"/>
      <c r="G117" s="2126"/>
      <c r="H117" s="2126"/>
      <c r="I117" s="2810"/>
      <c r="J117" s="2126"/>
      <c r="K117" s="2811"/>
      <c r="L117" s="313" t="str">
        <f t="shared" si="9"/>
        <v/>
      </c>
      <c r="M117" s="315" t="str">
        <f t="shared" si="11"/>
        <v/>
      </c>
      <c r="N117" s="1126"/>
      <c r="O117" s="1171"/>
      <c r="P117" s="1171"/>
      <c r="Q117" s="1171"/>
      <c r="R117" s="1171"/>
      <c r="S117" s="59">
        <f>SUM(Table69121631[[#This Row],[Y1 Q1 quantity]:[Y1 Q4 quantity]])</f>
        <v>0</v>
      </c>
      <c r="T117" s="1132">
        <f>Table69121631[[#This Row],[Y1 Unit cost]]*Table69121631[[#This Row],[Y1 Total quantity]]</f>
        <v>0</v>
      </c>
      <c r="U117" s="1126"/>
      <c r="V117" s="1171"/>
      <c r="W117" s="1171"/>
      <c r="X117" s="1171"/>
      <c r="Y117" s="1171"/>
      <c r="Z117" s="59">
        <f>SUM(Table69121631[[#This Row],[Y2 Q1 quantity]:[Y2 Q4 quantity]])</f>
        <v>0</v>
      </c>
      <c r="AA117" s="1142">
        <f>Table69121631[[#This Row],[Y2 Unit cost]]*Table69121631[[#This Row],[Y2 Total quantity]]</f>
        <v>0</v>
      </c>
      <c r="AB117" s="1126"/>
      <c r="AC117" s="1171"/>
      <c r="AD117" s="1171"/>
      <c r="AE117" s="1171"/>
      <c r="AF117" s="1171"/>
      <c r="AG117" s="59">
        <f>SUM(Table69121631[[#This Row],[Y3 Q1 quantity]:[Y3 Q4 quantity]])</f>
        <v>0</v>
      </c>
      <c r="AH117" s="1152">
        <f>Table69121631[[#This Row],[Y3 Unit cost]]*Table69121631[[#This Row],[Y3 Total quantity]]</f>
        <v>0</v>
      </c>
      <c r="AI117" s="62">
        <f>Table69121631[[#This Row],[Y1 Total quantity]]+Table69121631[[#This Row],[Y2 Total quantity]]+Table69121631[[#This Row],[Y3 Total quantity]]</f>
        <v>0</v>
      </c>
      <c r="AJ117" s="1142">
        <f>Table69121631[[#This Row],[Y1 Total cost]]+Table69121631[[#This Row],[Y2 Total cost]]+Table69121631[[#This Row],[Y3 Total cost]]</f>
        <v>0</v>
      </c>
      <c r="AK117" s="334" t="str">
        <f t="shared" si="10"/>
        <v/>
      </c>
      <c r="AL117" s="1266"/>
      <c r="AM117" s="125"/>
    </row>
    <row r="118" spans="1:61" hidden="1">
      <c r="A118" s="2732"/>
      <c r="B118" s="2732"/>
      <c r="C118" s="2732"/>
      <c r="D118" s="2733"/>
      <c r="E118" s="2752"/>
      <c r="F118" s="2753"/>
      <c r="G118" s="2753"/>
      <c r="H118" s="2753"/>
      <c r="I118" s="2752"/>
      <c r="J118" s="2753"/>
      <c r="K118" s="2754"/>
      <c r="L118" s="314" t="str">
        <f t="shared" si="9"/>
        <v/>
      </c>
      <c r="M118" s="314" t="str">
        <f t="shared" si="11"/>
        <v/>
      </c>
      <c r="N118" s="1126"/>
      <c r="O118" s="1171"/>
      <c r="P118" s="1171"/>
      <c r="Q118" s="1171"/>
      <c r="R118" s="1171"/>
      <c r="S118" s="59">
        <f>SUM(Table69121631[[#This Row],[Y1 Q1 quantity]:[Y1 Q4 quantity]])</f>
        <v>0</v>
      </c>
      <c r="T118" s="1132">
        <f>Table69121631[[#This Row],[Y1 Unit cost]]*Table69121631[[#This Row],[Y1 Total quantity]]</f>
        <v>0</v>
      </c>
      <c r="U118" s="1126"/>
      <c r="V118" s="1171"/>
      <c r="W118" s="1171"/>
      <c r="X118" s="1171"/>
      <c r="Y118" s="1171"/>
      <c r="Z118" s="59">
        <f>SUM(Table69121631[[#This Row],[Y2 Q1 quantity]:[Y2 Q4 quantity]])</f>
        <v>0</v>
      </c>
      <c r="AA118" s="1142">
        <f>Table69121631[[#This Row],[Y2 Unit cost]]*Table69121631[[#This Row],[Y2 Total quantity]]</f>
        <v>0</v>
      </c>
      <c r="AB118" s="1126"/>
      <c r="AC118" s="1171"/>
      <c r="AD118" s="1171"/>
      <c r="AE118" s="1171"/>
      <c r="AF118" s="1171"/>
      <c r="AG118" s="59">
        <f>SUM(Table69121631[[#This Row],[Y3 Q1 quantity]:[Y3 Q4 quantity]])</f>
        <v>0</v>
      </c>
      <c r="AH118" s="1152">
        <f>Table69121631[[#This Row],[Y3 Unit cost]]*Table69121631[[#This Row],[Y3 Total quantity]]</f>
        <v>0</v>
      </c>
      <c r="AI118" s="62">
        <f>Table69121631[[#This Row],[Y1 Total quantity]]+Table69121631[[#This Row],[Y2 Total quantity]]+Table69121631[[#This Row],[Y3 Total quantity]]</f>
        <v>0</v>
      </c>
      <c r="AJ118" s="1142">
        <f>Table69121631[[#This Row],[Y1 Total cost]]+Table69121631[[#This Row],[Y2 Total cost]]+Table69121631[[#This Row],[Y3 Total cost]]</f>
        <v>0</v>
      </c>
      <c r="AK118" s="334" t="str">
        <f t="shared" si="10"/>
        <v/>
      </c>
      <c r="AL118" s="1265"/>
      <c r="AM118" s="125"/>
    </row>
    <row r="119" spans="1:61" hidden="1">
      <c r="A119" s="2730"/>
      <c r="B119" s="2730"/>
      <c r="C119" s="2730"/>
      <c r="D119" s="2731"/>
      <c r="E119" s="2810"/>
      <c r="F119" s="2126"/>
      <c r="G119" s="2126"/>
      <c r="H119" s="2126"/>
      <c r="I119" s="2810"/>
      <c r="J119" s="2126"/>
      <c r="K119" s="2811"/>
      <c r="L119" s="313" t="str">
        <f t="shared" si="9"/>
        <v/>
      </c>
      <c r="M119" s="315" t="str">
        <f t="shared" si="11"/>
        <v/>
      </c>
      <c r="N119" s="1126"/>
      <c r="O119" s="1171"/>
      <c r="P119" s="1171"/>
      <c r="Q119" s="1171"/>
      <c r="R119" s="1171"/>
      <c r="S119" s="59">
        <f>SUM(Table69121631[[#This Row],[Y1 Q1 quantity]:[Y1 Q4 quantity]])</f>
        <v>0</v>
      </c>
      <c r="T119" s="1132">
        <f>Table69121631[[#This Row],[Y1 Unit cost]]*Table69121631[[#This Row],[Y1 Total quantity]]</f>
        <v>0</v>
      </c>
      <c r="U119" s="1126"/>
      <c r="V119" s="1171"/>
      <c r="W119" s="1171"/>
      <c r="X119" s="1171"/>
      <c r="Y119" s="1171"/>
      <c r="Z119" s="59">
        <f>SUM(Table69121631[[#This Row],[Y2 Q1 quantity]:[Y2 Q4 quantity]])</f>
        <v>0</v>
      </c>
      <c r="AA119" s="1142">
        <f>Table69121631[[#This Row],[Y2 Unit cost]]*Table69121631[[#This Row],[Y2 Total quantity]]</f>
        <v>0</v>
      </c>
      <c r="AB119" s="1126"/>
      <c r="AC119" s="1171"/>
      <c r="AD119" s="1171"/>
      <c r="AE119" s="1171"/>
      <c r="AF119" s="1171"/>
      <c r="AG119" s="59">
        <f>SUM(Table69121631[[#This Row],[Y3 Q1 quantity]:[Y3 Q4 quantity]])</f>
        <v>0</v>
      </c>
      <c r="AH119" s="1152">
        <f>Table69121631[[#This Row],[Y3 Unit cost]]*Table69121631[[#This Row],[Y3 Total quantity]]</f>
        <v>0</v>
      </c>
      <c r="AI119" s="62">
        <f>Table69121631[[#This Row],[Y1 Total quantity]]+Table69121631[[#This Row],[Y2 Total quantity]]+Table69121631[[#This Row],[Y3 Total quantity]]</f>
        <v>0</v>
      </c>
      <c r="AJ119" s="1142">
        <f>Table69121631[[#This Row],[Y1 Total cost]]+Table69121631[[#This Row],[Y2 Total cost]]+Table69121631[[#This Row],[Y3 Total cost]]</f>
        <v>0</v>
      </c>
      <c r="AK119" s="334" t="str">
        <f t="shared" si="10"/>
        <v/>
      </c>
      <c r="AL119" s="1266"/>
      <c r="AM119" s="125"/>
    </row>
    <row r="120" spans="1:61" hidden="1">
      <c r="A120" s="2732"/>
      <c r="B120" s="2732"/>
      <c r="C120" s="2732"/>
      <c r="D120" s="2733"/>
      <c r="E120" s="2752"/>
      <c r="F120" s="2753"/>
      <c r="G120" s="2753"/>
      <c r="H120" s="2753"/>
      <c r="I120" s="2752"/>
      <c r="J120" s="2753"/>
      <c r="K120" s="2754"/>
      <c r="L120" s="314" t="str">
        <f t="shared" si="9"/>
        <v/>
      </c>
      <c r="M120" s="314" t="str">
        <f t="shared" si="11"/>
        <v/>
      </c>
      <c r="N120" s="1126"/>
      <c r="O120" s="1171"/>
      <c r="P120" s="1171"/>
      <c r="Q120" s="1171"/>
      <c r="R120" s="1171"/>
      <c r="S120" s="59">
        <f>SUM(Table69121631[[#This Row],[Y1 Q1 quantity]:[Y1 Q4 quantity]])</f>
        <v>0</v>
      </c>
      <c r="T120" s="1132">
        <f>Table69121631[[#This Row],[Y1 Unit cost]]*Table69121631[[#This Row],[Y1 Total quantity]]</f>
        <v>0</v>
      </c>
      <c r="U120" s="1126"/>
      <c r="V120" s="1171"/>
      <c r="W120" s="1171"/>
      <c r="X120" s="1171"/>
      <c r="Y120" s="1171"/>
      <c r="Z120" s="59">
        <f>SUM(Table69121631[[#This Row],[Y2 Q1 quantity]:[Y2 Q4 quantity]])</f>
        <v>0</v>
      </c>
      <c r="AA120" s="1142">
        <f>Table69121631[[#This Row],[Y2 Unit cost]]*Table69121631[[#This Row],[Y2 Total quantity]]</f>
        <v>0</v>
      </c>
      <c r="AB120" s="1126"/>
      <c r="AC120" s="1171"/>
      <c r="AD120" s="1171"/>
      <c r="AE120" s="1171"/>
      <c r="AF120" s="1171"/>
      <c r="AG120" s="59">
        <f>SUM(Table69121631[[#This Row],[Y3 Q1 quantity]:[Y3 Q4 quantity]])</f>
        <v>0</v>
      </c>
      <c r="AH120" s="1152">
        <f>Table69121631[[#This Row],[Y3 Unit cost]]*Table69121631[[#This Row],[Y3 Total quantity]]</f>
        <v>0</v>
      </c>
      <c r="AI120" s="62">
        <f>Table69121631[[#This Row],[Y1 Total quantity]]+Table69121631[[#This Row],[Y2 Total quantity]]+Table69121631[[#This Row],[Y3 Total quantity]]</f>
        <v>0</v>
      </c>
      <c r="AJ120" s="1142">
        <f>Table69121631[[#This Row],[Y1 Total cost]]+Table69121631[[#This Row],[Y2 Total cost]]+Table69121631[[#This Row],[Y3 Total cost]]</f>
        <v>0</v>
      </c>
      <c r="AK120" s="334" t="str">
        <f t="shared" si="10"/>
        <v/>
      </c>
      <c r="AL120" s="1265"/>
      <c r="AM120" s="125"/>
    </row>
    <row r="121" spans="1:61" hidden="1">
      <c r="A121" s="2730"/>
      <c r="B121" s="2730"/>
      <c r="C121" s="2730"/>
      <c r="D121" s="2731"/>
      <c r="E121" s="2810"/>
      <c r="F121" s="2126"/>
      <c r="G121" s="2126"/>
      <c r="H121" s="2126"/>
      <c r="I121" s="2810"/>
      <c r="J121" s="2126"/>
      <c r="K121" s="2811"/>
      <c r="L121" s="313" t="str">
        <f t="shared" si="9"/>
        <v/>
      </c>
      <c r="M121" s="315" t="str">
        <f t="shared" si="11"/>
        <v/>
      </c>
      <c r="N121" s="1126"/>
      <c r="O121" s="1171"/>
      <c r="P121" s="1171"/>
      <c r="Q121" s="1171"/>
      <c r="R121" s="1171"/>
      <c r="S121" s="59">
        <f>SUM(Table69121631[[#This Row],[Y1 Q1 quantity]:[Y1 Q4 quantity]])</f>
        <v>0</v>
      </c>
      <c r="T121" s="1132">
        <f>Table69121631[[#This Row],[Y1 Unit cost]]*Table69121631[[#This Row],[Y1 Total quantity]]</f>
        <v>0</v>
      </c>
      <c r="U121" s="1126"/>
      <c r="V121" s="1171"/>
      <c r="W121" s="1171"/>
      <c r="X121" s="1171"/>
      <c r="Y121" s="1171"/>
      <c r="Z121" s="59">
        <f>SUM(Table69121631[[#This Row],[Y2 Q1 quantity]:[Y2 Q4 quantity]])</f>
        <v>0</v>
      </c>
      <c r="AA121" s="1142">
        <f>Table69121631[[#This Row],[Y2 Unit cost]]*Table69121631[[#This Row],[Y2 Total quantity]]</f>
        <v>0</v>
      </c>
      <c r="AB121" s="1126"/>
      <c r="AC121" s="1171"/>
      <c r="AD121" s="1171"/>
      <c r="AE121" s="1171"/>
      <c r="AF121" s="1171"/>
      <c r="AG121" s="59">
        <f>SUM(Table69121631[[#This Row],[Y3 Q1 quantity]:[Y3 Q4 quantity]])</f>
        <v>0</v>
      </c>
      <c r="AH121" s="1152">
        <f>Table69121631[[#This Row],[Y3 Unit cost]]*Table69121631[[#This Row],[Y3 Total quantity]]</f>
        <v>0</v>
      </c>
      <c r="AI121" s="62">
        <f>Table69121631[[#This Row],[Y1 Total quantity]]+Table69121631[[#This Row],[Y2 Total quantity]]+Table69121631[[#This Row],[Y3 Total quantity]]</f>
        <v>0</v>
      </c>
      <c r="AJ121" s="1142">
        <f>Table69121631[[#This Row],[Y1 Total cost]]+Table69121631[[#This Row],[Y2 Total cost]]+Table69121631[[#This Row],[Y3 Total cost]]</f>
        <v>0</v>
      </c>
      <c r="AK121" s="334" t="str">
        <f t="shared" si="10"/>
        <v/>
      </c>
      <c r="AL121" s="1263"/>
      <c r="AM121" s="125"/>
    </row>
    <row r="122" spans="1:61" ht="15" thickBot="1">
      <c r="A122" s="2799"/>
      <c r="B122" s="2799"/>
      <c r="C122" s="2799"/>
      <c r="D122" s="2800"/>
      <c r="E122" s="2778"/>
      <c r="F122" s="2779"/>
      <c r="G122" s="2779"/>
      <c r="H122" s="2779"/>
      <c r="I122" s="2778"/>
      <c r="J122" s="2779"/>
      <c r="K122" s="2780"/>
      <c r="L122" s="323" t="str">
        <f t="shared" si="9"/>
        <v/>
      </c>
      <c r="M122" s="323" t="str">
        <f t="shared" si="11"/>
        <v/>
      </c>
      <c r="N122" s="1127"/>
      <c r="O122" s="1172"/>
      <c r="P122" s="1172"/>
      <c r="Q122" s="1172"/>
      <c r="R122" s="1172"/>
      <c r="S122" s="60">
        <f>SUM(Table69121631[[#This Row],[Y1 Q1 quantity]:[Y1 Q4 quantity]])</f>
        <v>0</v>
      </c>
      <c r="T122" s="1133">
        <f>Table69121631[[#This Row],[Y1 Unit cost]]*Table69121631[[#This Row],[Y1 Total quantity]]</f>
        <v>0</v>
      </c>
      <c r="U122" s="1127"/>
      <c r="V122" s="1172"/>
      <c r="W122" s="1172"/>
      <c r="X122" s="1172"/>
      <c r="Y122" s="1172"/>
      <c r="Z122" s="60">
        <f>SUM(Table69121631[[#This Row],[Y2 Q1 quantity]:[Y2 Q4 quantity]])</f>
        <v>0</v>
      </c>
      <c r="AA122" s="1143">
        <f>Table69121631[[#This Row],[Y2 Unit cost]]*Table69121631[[#This Row],[Y2 Total quantity]]</f>
        <v>0</v>
      </c>
      <c r="AB122" s="1127"/>
      <c r="AC122" s="1172"/>
      <c r="AD122" s="1172"/>
      <c r="AE122" s="1172"/>
      <c r="AF122" s="1172"/>
      <c r="AG122" s="60">
        <f>SUM(Table69121631[[#This Row],[Y3 Q1 quantity]:[Y3 Q4 quantity]])</f>
        <v>0</v>
      </c>
      <c r="AH122" s="1153">
        <f>Table69121631[[#This Row],[Y3 Unit cost]]*Table69121631[[#This Row],[Y3 Total quantity]]</f>
        <v>0</v>
      </c>
      <c r="AI122" s="63">
        <f>Table69121631[[#This Row],[Y1 Total quantity]]+Table69121631[[#This Row],[Y2 Total quantity]]+Table69121631[[#This Row],[Y3 Total quantity]]</f>
        <v>0</v>
      </c>
      <c r="AJ122" s="1143">
        <f>Table69121631[[#This Row],[Y1 Total cost]]+Table69121631[[#This Row],[Y2 Total cost]]+Table69121631[[#This Row],[Y3 Total cost]]</f>
        <v>0</v>
      </c>
      <c r="AK122" s="335" t="str">
        <f t="shared" si="10"/>
        <v/>
      </c>
      <c r="AL122" s="1264"/>
      <c r="AM122" s="125"/>
    </row>
    <row r="123" spans="1:61" ht="15" thickBot="1">
      <c r="A123" s="336"/>
      <c r="B123" s="336"/>
      <c r="C123" s="336"/>
      <c r="D123" s="336"/>
      <c r="E123" s="336"/>
      <c r="F123" s="336"/>
      <c r="G123" s="336"/>
      <c r="H123" s="337"/>
      <c r="I123" s="337"/>
      <c r="J123" s="338"/>
      <c r="K123" s="338"/>
      <c r="L123" s="338"/>
      <c r="M123" s="338"/>
      <c r="N123" s="1118"/>
      <c r="O123" s="1168"/>
      <c r="P123" s="1168"/>
      <c r="Q123" s="1168"/>
      <c r="R123" s="1168"/>
      <c r="S123" s="1168"/>
      <c r="T123" s="1118"/>
      <c r="U123" s="1118"/>
      <c r="V123" s="1168"/>
      <c r="W123" s="1168"/>
      <c r="X123" s="1168"/>
      <c r="Y123" s="1168"/>
      <c r="Z123" s="1168"/>
      <c r="AA123" s="1118"/>
      <c r="AB123" s="1118"/>
      <c r="AC123" s="1168"/>
      <c r="AD123" s="1168"/>
      <c r="AE123" s="1168"/>
      <c r="AF123" s="1168"/>
      <c r="AG123" s="1168"/>
      <c r="AH123" s="1155"/>
      <c r="AI123" s="1165"/>
    </row>
    <row r="124" spans="1:61" ht="20.25" customHeight="1" thickBot="1">
      <c r="A124" s="2757">
        <v>4</v>
      </c>
      <c r="B124" s="2759" t="s">
        <v>536</v>
      </c>
      <c r="C124" s="2759"/>
      <c r="D124" s="2759"/>
      <c r="E124" s="2759"/>
      <c r="F124" s="379" t="s">
        <v>2292</v>
      </c>
      <c r="G124" s="380"/>
      <c r="H124" s="2644" t="s">
        <v>529</v>
      </c>
      <c r="I124" s="2647" t="s">
        <v>525</v>
      </c>
      <c r="J124" s="2644" t="s">
        <v>526</v>
      </c>
      <c r="K124"/>
      <c r="L124" s="121"/>
      <c r="M124" s="121"/>
      <c r="N124" s="968"/>
      <c r="O124" s="1097"/>
      <c r="P124" s="1097"/>
      <c r="Q124" s="1097"/>
      <c r="R124" s="1097"/>
      <c r="S124" s="1097"/>
      <c r="T124" s="968"/>
      <c r="U124" s="968"/>
      <c r="V124" s="1097"/>
      <c r="W124" s="1097"/>
      <c r="X124" s="1097"/>
      <c r="Y124" s="1097"/>
      <c r="Z124" s="1097"/>
      <c r="AA124" s="968"/>
      <c r="AB124" s="968"/>
      <c r="AC124" s="1097"/>
      <c r="AD124" s="1097"/>
      <c r="AE124" s="1097"/>
      <c r="AF124" s="1097"/>
      <c r="AG124" s="1097"/>
      <c r="AH124" s="1071"/>
      <c r="AI124" s="1166"/>
    </row>
    <row r="125" spans="1:61" ht="20.25" customHeight="1" thickBot="1">
      <c r="A125" s="2758"/>
      <c r="B125" s="2760"/>
      <c r="C125" s="2760"/>
      <c r="D125" s="2760"/>
      <c r="E125" s="2760"/>
      <c r="F125" s="381" t="s">
        <v>2291</v>
      </c>
      <c r="G125" s="382"/>
      <c r="H125" s="2645"/>
      <c r="I125" s="2805"/>
      <c r="J125" s="2645"/>
      <c r="K125"/>
      <c r="L125" s="121"/>
      <c r="M125" s="121"/>
      <c r="N125" s="968"/>
      <c r="O125" s="1097"/>
      <c r="P125" s="1097"/>
      <c r="Q125" s="1097"/>
      <c r="R125" s="1097"/>
      <c r="S125" s="1097"/>
      <c r="T125" s="968"/>
      <c r="U125" s="968"/>
      <c r="V125" s="1097"/>
      <c r="W125" s="1097"/>
      <c r="X125" s="1097"/>
      <c r="Y125" s="1097"/>
      <c r="Z125" s="1097"/>
      <c r="AA125" s="968"/>
      <c r="AB125" s="968"/>
      <c r="AC125" s="1097"/>
      <c r="AD125" s="1097"/>
      <c r="AE125" s="1097"/>
      <c r="AF125" s="1097"/>
      <c r="AG125" s="1097"/>
      <c r="AH125" s="1071"/>
      <c r="AI125" s="1166"/>
    </row>
    <row r="126" spans="1:61" ht="101.25" customHeight="1">
      <c r="A126" s="2080" t="s">
        <v>6902</v>
      </c>
      <c r="B126" s="2081"/>
      <c r="C126" s="2081"/>
      <c r="D126" s="2081"/>
      <c r="E126" s="2081"/>
      <c r="F126" s="2081"/>
      <c r="G126" s="2081"/>
      <c r="H126" s="2081"/>
      <c r="I126" s="2081"/>
      <c r="J126" s="2081"/>
      <c r="K126" s="2081"/>
      <c r="L126" s="2081"/>
      <c r="M126" s="2145"/>
      <c r="N126" s="968"/>
      <c r="O126" s="1097"/>
      <c r="P126" s="1097"/>
      <c r="Q126" s="1097"/>
      <c r="R126" s="1097"/>
      <c r="S126" s="1097"/>
      <c r="T126" s="968"/>
      <c r="U126" s="968"/>
      <c r="V126" s="1097"/>
      <c r="W126" s="1097"/>
      <c r="X126" s="1097"/>
      <c r="Y126" s="1097"/>
      <c r="Z126" s="1097"/>
      <c r="AA126" s="968"/>
      <c r="AB126" s="968"/>
      <c r="AC126" s="1097"/>
      <c r="AD126" s="1097"/>
      <c r="AE126" s="1097"/>
      <c r="AF126" s="1097"/>
      <c r="AG126" s="1097"/>
      <c r="AH126" s="1156"/>
      <c r="AI126" s="1166"/>
    </row>
    <row r="127" spans="1:61" ht="15" thickBot="1">
      <c r="A127" s="140"/>
      <c r="B127" s="140"/>
      <c r="C127" s="140"/>
      <c r="D127" s="140"/>
      <c r="E127" s="140"/>
      <c r="F127" s="140"/>
      <c r="G127" s="140"/>
      <c r="H127" s="140"/>
      <c r="I127" s="140"/>
      <c r="J127" s="140"/>
      <c r="K127" s="140"/>
      <c r="L127" s="140"/>
      <c r="M127" s="140"/>
      <c r="N127" s="1124"/>
      <c r="O127" s="1164"/>
      <c r="P127" s="1164"/>
      <c r="Q127" s="1164"/>
      <c r="R127" s="1164"/>
      <c r="S127" s="1164"/>
      <c r="T127" s="1124"/>
      <c r="U127" s="1124"/>
      <c r="V127" s="1164"/>
      <c r="W127" s="1164"/>
      <c r="X127" s="1164"/>
      <c r="Y127" s="1164"/>
      <c r="Z127" s="1164"/>
      <c r="AA127" s="1124"/>
      <c r="AB127" s="1124"/>
      <c r="AC127" s="1164"/>
      <c r="AD127" s="1164"/>
      <c r="AE127" s="1164"/>
      <c r="AF127" s="1164"/>
      <c r="AG127" s="1164"/>
      <c r="AH127" s="1157"/>
      <c r="AI127" s="1167"/>
    </row>
    <row r="128" spans="1:61" ht="15" thickBot="1">
      <c r="A128" s="2740" t="s">
        <v>1233</v>
      </c>
      <c r="B128" s="2738"/>
      <c r="C128" s="2738"/>
      <c r="D128" s="2741"/>
      <c r="E128" s="2740" t="s">
        <v>196</v>
      </c>
      <c r="F128" s="2738"/>
      <c r="G128" s="2741"/>
      <c r="H128" s="2740" t="s">
        <v>251</v>
      </c>
      <c r="I128" s="2738"/>
      <c r="J128" s="2738"/>
      <c r="K128" s="2741"/>
      <c r="L128" s="2808" t="s">
        <v>151</v>
      </c>
      <c r="M128" s="2835" t="s">
        <v>49</v>
      </c>
      <c r="N128" s="2749" t="str">
        <f>N62</f>
        <v>Please fill setup</v>
      </c>
      <c r="O128" s="2750"/>
      <c r="P128" s="2750"/>
      <c r="Q128" s="2750"/>
      <c r="R128" s="2750"/>
      <c r="S128" s="2750"/>
      <c r="T128" s="2751"/>
      <c r="U128" s="2750" t="str">
        <f>U62</f>
        <v>Please fill setup</v>
      </c>
      <c r="V128" s="2750"/>
      <c r="W128" s="2750"/>
      <c r="X128" s="2750"/>
      <c r="Y128" s="2750"/>
      <c r="Z128" s="2750"/>
      <c r="AA128" s="2751"/>
      <c r="AB128" s="2749" t="str">
        <f>AB62</f>
        <v>Please fill setup</v>
      </c>
      <c r="AC128" s="2750"/>
      <c r="AD128" s="2750"/>
      <c r="AE128" s="2750"/>
      <c r="AF128" s="2750"/>
      <c r="AG128" s="2750"/>
      <c r="AH128" s="2751"/>
      <c r="AI128" s="2827" t="s">
        <v>152</v>
      </c>
      <c r="AJ128" s="2828"/>
      <c r="AK128" s="340" t="s">
        <v>153</v>
      </c>
      <c r="AL128" s="2884" t="s">
        <v>6866</v>
      </c>
      <c r="AW128" s="412"/>
      <c r="AX128" s="412"/>
      <c r="AY128" s="412"/>
      <c r="AZ128" s="412"/>
      <c r="BA128" s="412"/>
      <c r="BB128" s="412"/>
      <c r="BC128" s="412"/>
      <c r="BD128" s="412"/>
      <c r="BE128" s="412"/>
      <c r="BF128" s="412"/>
      <c r="BG128" s="412"/>
      <c r="BH128" s="412"/>
      <c r="BI128" s="412"/>
    </row>
    <row r="129" spans="1:61" s="412" customFormat="1" ht="26.5" thickBot="1">
      <c r="A129" s="2744"/>
      <c r="B129" s="2745"/>
      <c r="C129" s="2745"/>
      <c r="D129" s="2746"/>
      <c r="E129" s="2744"/>
      <c r="F129" s="2745"/>
      <c r="G129" s="2746"/>
      <c r="H129" s="2744"/>
      <c r="I129" s="2745"/>
      <c r="J129" s="2745"/>
      <c r="K129" s="2746"/>
      <c r="L129" s="2809"/>
      <c r="M129" s="2836"/>
      <c r="N129" s="1128" t="s">
        <v>198</v>
      </c>
      <c r="O129" s="341" t="s">
        <v>155</v>
      </c>
      <c r="P129" s="341" t="s">
        <v>156</v>
      </c>
      <c r="Q129" s="341" t="s">
        <v>157</v>
      </c>
      <c r="R129" s="341" t="s">
        <v>158</v>
      </c>
      <c r="S129" s="341" t="s">
        <v>159</v>
      </c>
      <c r="T129" s="1134" t="s">
        <v>160</v>
      </c>
      <c r="U129" s="1128" t="s">
        <v>161</v>
      </c>
      <c r="V129" s="341" t="s">
        <v>162</v>
      </c>
      <c r="W129" s="341" t="s">
        <v>163</v>
      </c>
      <c r="X129" s="341" t="s">
        <v>164</v>
      </c>
      <c r="Y129" s="341" t="s">
        <v>165</v>
      </c>
      <c r="Z129" s="341" t="s">
        <v>166</v>
      </c>
      <c r="AA129" s="1147" t="s">
        <v>167</v>
      </c>
      <c r="AB129" s="1148" t="s">
        <v>168</v>
      </c>
      <c r="AC129" s="341" t="s">
        <v>169</v>
      </c>
      <c r="AD129" s="341" t="s">
        <v>170</v>
      </c>
      <c r="AE129" s="341" t="s">
        <v>171</v>
      </c>
      <c r="AF129" s="341" t="s">
        <v>172</v>
      </c>
      <c r="AG129" s="341" t="s">
        <v>173</v>
      </c>
      <c r="AH129" s="1147" t="s">
        <v>174</v>
      </c>
      <c r="AI129" s="342" t="s">
        <v>175</v>
      </c>
      <c r="AJ129" s="1147" t="s">
        <v>176</v>
      </c>
      <c r="AK129" s="331" t="s">
        <v>309</v>
      </c>
      <c r="AL129" s="2885"/>
      <c r="AW129" s="414"/>
      <c r="AX129" s="414"/>
      <c r="AY129" s="414"/>
      <c r="AZ129" s="414"/>
      <c r="BA129" s="414"/>
      <c r="BB129" s="414"/>
      <c r="BC129" s="414"/>
      <c r="BD129" s="414"/>
      <c r="BE129" s="414"/>
      <c r="BF129" s="414"/>
      <c r="BG129" s="414"/>
      <c r="BH129" s="414"/>
      <c r="BI129" s="414"/>
    </row>
    <row r="130" spans="1:61" s="414" customFormat="1">
      <c r="A130" s="2773"/>
      <c r="B130" s="2774"/>
      <c r="C130" s="2774"/>
      <c r="D130" s="2775"/>
      <c r="E130" s="2829"/>
      <c r="F130" s="2830"/>
      <c r="G130" s="2831"/>
      <c r="H130" s="2832"/>
      <c r="I130" s="2833"/>
      <c r="J130" s="2833"/>
      <c r="K130" s="2834"/>
      <c r="L130" s="383" t="str">
        <f>IF(E130="","","Piece")</f>
        <v/>
      </c>
      <c r="M130" s="383" t="str">
        <f>IF(L130="", "","USD")</f>
        <v/>
      </c>
      <c r="N130" s="1129"/>
      <c r="O130" s="1170"/>
      <c r="P130" s="1170"/>
      <c r="Q130" s="1170"/>
      <c r="R130" s="1170"/>
      <c r="S130" s="58">
        <f>SUM(Table6912131732[[#This Row],[Y1 Q1 quantity]:[Y1 Q4 quantity]])</f>
        <v>0</v>
      </c>
      <c r="T130" s="1131">
        <f>Table6912131732[[#This Row],[Y1 Unit cost]]*Table6912131732[[#This Row],[Y1 Total quantity]]</f>
        <v>0</v>
      </c>
      <c r="U130" s="1129"/>
      <c r="V130" s="1170"/>
      <c r="W130" s="1170"/>
      <c r="X130" s="1170"/>
      <c r="Y130" s="1170"/>
      <c r="Z130" s="58">
        <f>SUM(Table6912131732[[#This Row],[Y2 Q1 quantity]:[Y2 Q4 quantity]])</f>
        <v>0</v>
      </c>
      <c r="AA130" s="1141">
        <f>Table6912131732[[#This Row],[Y2 Unit cost]]*Table6912131732[[#This Row],[Y2 Total quantity]]</f>
        <v>0</v>
      </c>
      <c r="AB130" s="1129"/>
      <c r="AC130" s="1170"/>
      <c r="AD130" s="1170"/>
      <c r="AE130" s="1170"/>
      <c r="AF130" s="1170"/>
      <c r="AG130" s="58">
        <f>SUM(Table6912131732[[#This Row],[Y3 Q1 quantity]:[Y3 Q4 quantity]])</f>
        <v>0</v>
      </c>
      <c r="AH130" s="1141">
        <f>Table6912131732[[#This Row],[Y3 Unit cost]]*Table6912131732[[#This Row],[Y3 Total quantity]]</f>
        <v>0</v>
      </c>
      <c r="AI130" s="61">
        <f>Table6912131732[[#This Row],[Y1 Total quantity]]+Table6912131732[[#This Row],[Y2 Total quantity]]+Table6912131732[[#This Row],[Y3 Total quantity]]</f>
        <v>0</v>
      </c>
      <c r="AJ130" s="1141">
        <f>Table6912131732[[#This Row],[Y1 Total cost]]+Table6912131732[[#This Row],[Y2 Total cost]]+Table6912131732[[#This Row],[Y3 Total cost]]</f>
        <v>0</v>
      </c>
      <c r="AK130" s="308" t="str">
        <f t="shared" ref="AK130:AK193" si="12">IF(ISBLANK(E130),"",IF(OR(ISNUMBER(SEARCH("reagents",E130)),ISNUMBER(SEARCH("supplies:",E130))),"5.6",IF(ISNUMBER(SEARCH("Syringes",E130)),"5.7",IF(OR(ISNUMBER(SEARCH("Consumables",E130)),ISNUMBER(SEARCH("Microscopy:",E130))),"5.8",IF(OR(ISNUMBER(SEARCH("Warranty, maintenance",H130)),AND(ISNUMBER(SEARCH("BACTEC MGIT",E130)),ISNUMBER(SEARCH("specifications manually",H130))),AND(ISNUMBER(SEARCH("equipment-Other",E130)),ISNUMBER(SEARCH("specifications manually",H130))),AND(ISNUMBER(SEARCH("Microscope-Maintenance",E130)),ISNUMBER(SEARCH("specifications manually",H130))),AND(ISNUMBER(SEARCH("diagnosis/LPA",E130)),ISNUMBER(SEARCH("specifications manually",H130))),AND(ISNUMBER(SEARCH("GeneXpert",E130)),ISNUMBER(SEARCH("Calibration",H130))),AND(ISNUMBER(SEARCH("GeneXpert",E130)),ISNUMBER(SEARCH("maintenance",H130)))),"6.5","6.6")))))</f>
        <v/>
      </c>
      <c r="AL130" s="1265"/>
      <c r="AW130" s="249"/>
      <c r="AX130" s="249"/>
      <c r="AY130" s="249"/>
      <c r="AZ130" s="249"/>
      <c r="BA130" s="249"/>
      <c r="BB130" s="249"/>
      <c r="BC130" s="249"/>
      <c r="BD130" s="249"/>
      <c r="BE130" s="249"/>
      <c r="BF130" s="249"/>
      <c r="BG130" s="249"/>
      <c r="BH130" s="249"/>
      <c r="BI130" s="249"/>
    </row>
    <row r="131" spans="1:61" s="249" customFormat="1">
      <c r="A131" s="2796"/>
      <c r="B131" s="2797"/>
      <c r="C131" s="2797"/>
      <c r="D131" s="2798"/>
      <c r="E131" s="2801"/>
      <c r="F131" s="2802"/>
      <c r="G131" s="2803"/>
      <c r="H131" s="2812"/>
      <c r="I131" s="2813"/>
      <c r="J131" s="2813"/>
      <c r="K131" s="2814"/>
      <c r="L131" s="384" t="str">
        <f t="shared" ref="L131:L194" si="13">IF(E131="","","Piece")</f>
        <v/>
      </c>
      <c r="M131" s="384" t="str">
        <f t="shared" ref="M131:M194" si="14">IF(L131="", "","USD")</f>
        <v/>
      </c>
      <c r="N131" s="1126"/>
      <c r="O131" s="1171"/>
      <c r="P131" s="1171"/>
      <c r="Q131" s="1171"/>
      <c r="R131" s="1171"/>
      <c r="S131" s="59">
        <f>SUM(Table6912131732[[#This Row],[Y1 Q1 quantity]:[Y1 Q4 quantity]])</f>
        <v>0</v>
      </c>
      <c r="T131" s="1132">
        <f>Table6912131732[[#This Row],[Y1 Unit cost]]*Table6912131732[[#This Row],[Y1 Total quantity]]</f>
        <v>0</v>
      </c>
      <c r="U131" s="1126"/>
      <c r="V131" s="1171"/>
      <c r="W131" s="1171"/>
      <c r="X131" s="1171"/>
      <c r="Y131" s="1171"/>
      <c r="Z131" s="59">
        <f>SUM(Table6912131732[[#This Row],[Y2 Q1 quantity]:[Y2 Q4 quantity]])</f>
        <v>0</v>
      </c>
      <c r="AA131" s="1142">
        <f>Table6912131732[[#This Row],[Y2 Unit cost]]*Table6912131732[[#This Row],[Y2 Total quantity]]</f>
        <v>0</v>
      </c>
      <c r="AB131" s="1126"/>
      <c r="AC131" s="1171"/>
      <c r="AD131" s="1171"/>
      <c r="AE131" s="1171"/>
      <c r="AF131" s="1171"/>
      <c r="AG131" s="59">
        <f>SUM(Table6912131732[[#This Row],[Y3 Q1 quantity]:[Y3 Q4 quantity]])</f>
        <v>0</v>
      </c>
      <c r="AH131" s="1142">
        <f>Table6912131732[[#This Row],[Y3 Unit cost]]*Table6912131732[[#This Row],[Y3 Total quantity]]</f>
        <v>0</v>
      </c>
      <c r="AI131" s="62">
        <f>Table6912131732[[#This Row],[Y1 Total quantity]]+Table6912131732[[#This Row],[Y2 Total quantity]]+Table6912131732[[#This Row],[Y3 Total quantity]]</f>
        <v>0</v>
      </c>
      <c r="AJ131" s="1142">
        <f>Table6912131732[[#This Row],[Y1 Total cost]]+Table6912131732[[#This Row],[Y2 Total cost]]+Table6912131732[[#This Row],[Y3 Total cost]]</f>
        <v>0</v>
      </c>
      <c r="AK131" s="343" t="str">
        <f t="shared" si="12"/>
        <v/>
      </c>
      <c r="AL131" s="1266"/>
    </row>
    <row r="132" spans="1:61" s="249" customFormat="1">
      <c r="A132" s="2752"/>
      <c r="B132" s="2753"/>
      <c r="C132" s="2753"/>
      <c r="D132" s="2754"/>
      <c r="E132" s="2821"/>
      <c r="F132" s="2822"/>
      <c r="G132" s="2823"/>
      <c r="H132" s="2815"/>
      <c r="I132" s="2816"/>
      <c r="J132" s="2816"/>
      <c r="K132" s="2817"/>
      <c r="L132" s="385" t="str">
        <f t="shared" si="13"/>
        <v/>
      </c>
      <c r="M132" s="385" t="str">
        <f t="shared" si="14"/>
        <v/>
      </c>
      <c r="N132" s="1126"/>
      <c r="O132" s="1171"/>
      <c r="P132" s="1171"/>
      <c r="Q132" s="1171"/>
      <c r="R132" s="1171"/>
      <c r="S132" s="59">
        <f>SUM(Table6912131732[[#This Row],[Y1 Q1 quantity]:[Y1 Q4 quantity]])</f>
        <v>0</v>
      </c>
      <c r="T132" s="1132">
        <f>Table6912131732[[#This Row],[Y1 Unit cost]]*Table6912131732[[#This Row],[Y1 Total quantity]]</f>
        <v>0</v>
      </c>
      <c r="U132" s="1126"/>
      <c r="V132" s="1171"/>
      <c r="W132" s="1171"/>
      <c r="X132" s="1171"/>
      <c r="Y132" s="1171"/>
      <c r="Z132" s="59">
        <f>SUM(Table6912131732[[#This Row],[Y2 Q1 quantity]:[Y2 Q4 quantity]])</f>
        <v>0</v>
      </c>
      <c r="AA132" s="1142">
        <f>Table6912131732[[#This Row],[Y2 Unit cost]]*Table6912131732[[#This Row],[Y2 Total quantity]]</f>
        <v>0</v>
      </c>
      <c r="AB132" s="1126"/>
      <c r="AC132" s="1171"/>
      <c r="AD132" s="1171"/>
      <c r="AE132" s="1171"/>
      <c r="AF132" s="1171"/>
      <c r="AG132" s="59">
        <f>SUM(Table6912131732[[#This Row],[Y3 Q1 quantity]:[Y3 Q4 quantity]])</f>
        <v>0</v>
      </c>
      <c r="AH132" s="1142">
        <f>Table6912131732[[#This Row],[Y3 Unit cost]]*Table6912131732[[#This Row],[Y3 Total quantity]]</f>
        <v>0</v>
      </c>
      <c r="AI132" s="62">
        <f>Table6912131732[[#This Row],[Y1 Total quantity]]+Table6912131732[[#This Row],[Y2 Total quantity]]+Table6912131732[[#This Row],[Y3 Total quantity]]</f>
        <v>0</v>
      </c>
      <c r="AJ132" s="1142">
        <f>Table6912131732[[#This Row],[Y1 Total cost]]+Table6912131732[[#This Row],[Y2 Total cost]]+Table6912131732[[#This Row],[Y3 Total cost]]</f>
        <v>0</v>
      </c>
      <c r="AK132" s="343" t="str">
        <f t="shared" si="12"/>
        <v/>
      </c>
      <c r="AL132" s="1265"/>
    </row>
    <row r="133" spans="1:61" s="249" customFormat="1">
      <c r="A133" s="2796"/>
      <c r="B133" s="2797"/>
      <c r="C133" s="2797"/>
      <c r="D133" s="2798"/>
      <c r="E133" s="2801"/>
      <c r="F133" s="2802"/>
      <c r="G133" s="2803"/>
      <c r="H133" s="2812"/>
      <c r="I133" s="2813"/>
      <c r="J133" s="2813"/>
      <c r="K133" s="2814"/>
      <c r="L133" s="384" t="str">
        <f t="shared" si="13"/>
        <v/>
      </c>
      <c r="M133" s="384" t="str">
        <f t="shared" si="14"/>
        <v/>
      </c>
      <c r="N133" s="1126"/>
      <c r="O133" s="1171"/>
      <c r="P133" s="1171"/>
      <c r="Q133" s="1171"/>
      <c r="R133" s="1171"/>
      <c r="S133" s="59">
        <f>SUM(Table6912131732[[#This Row],[Y1 Q1 quantity]:[Y1 Q4 quantity]])</f>
        <v>0</v>
      </c>
      <c r="T133" s="1132">
        <f>Table6912131732[[#This Row],[Y1 Unit cost]]*Table6912131732[[#This Row],[Y1 Total quantity]]</f>
        <v>0</v>
      </c>
      <c r="U133" s="1126"/>
      <c r="V133" s="1171"/>
      <c r="W133" s="1171"/>
      <c r="X133" s="1171"/>
      <c r="Y133" s="1171"/>
      <c r="Z133" s="59">
        <f>SUM(Table6912131732[[#This Row],[Y2 Q1 quantity]:[Y2 Q4 quantity]])</f>
        <v>0</v>
      </c>
      <c r="AA133" s="1142">
        <f>Table6912131732[[#This Row],[Y2 Unit cost]]*Table6912131732[[#This Row],[Y2 Total quantity]]</f>
        <v>0</v>
      </c>
      <c r="AB133" s="1126"/>
      <c r="AC133" s="1171"/>
      <c r="AD133" s="1171"/>
      <c r="AE133" s="1171"/>
      <c r="AF133" s="1171"/>
      <c r="AG133" s="59">
        <f>SUM(Table6912131732[[#This Row],[Y3 Q1 quantity]:[Y3 Q4 quantity]])</f>
        <v>0</v>
      </c>
      <c r="AH133" s="1142">
        <f>Table6912131732[[#This Row],[Y3 Unit cost]]*Table6912131732[[#This Row],[Y3 Total quantity]]</f>
        <v>0</v>
      </c>
      <c r="AI133" s="62">
        <f>Table6912131732[[#This Row],[Y1 Total quantity]]+Table6912131732[[#This Row],[Y2 Total quantity]]+Table6912131732[[#This Row],[Y3 Total quantity]]</f>
        <v>0</v>
      </c>
      <c r="AJ133" s="1142">
        <f>Table6912131732[[#This Row],[Y1 Total cost]]+Table6912131732[[#This Row],[Y2 Total cost]]+Table6912131732[[#This Row],[Y3 Total cost]]</f>
        <v>0</v>
      </c>
      <c r="AK133" s="309" t="str">
        <f t="shared" si="12"/>
        <v/>
      </c>
      <c r="AL133" s="1266"/>
    </row>
    <row r="134" spans="1:61" s="249" customFormat="1">
      <c r="A134" s="2752"/>
      <c r="B134" s="2753"/>
      <c r="C134" s="2753"/>
      <c r="D134" s="2754"/>
      <c r="E134" s="2821"/>
      <c r="F134" s="2822"/>
      <c r="G134" s="2823"/>
      <c r="H134" s="2815"/>
      <c r="I134" s="2816"/>
      <c r="J134" s="2816"/>
      <c r="K134" s="2817"/>
      <c r="L134" s="385" t="str">
        <f t="shared" si="13"/>
        <v/>
      </c>
      <c r="M134" s="385" t="str">
        <f t="shared" si="14"/>
        <v/>
      </c>
      <c r="N134" s="1126"/>
      <c r="O134" s="1171"/>
      <c r="P134" s="1171"/>
      <c r="Q134" s="1171"/>
      <c r="R134" s="1171"/>
      <c r="S134" s="59">
        <f>SUM(Table6912131732[[#This Row],[Y1 Q1 quantity]:[Y1 Q4 quantity]])</f>
        <v>0</v>
      </c>
      <c r="T134" s="1132">
        <f>Table6912131732[[#This Row],[Y1 Unit cost]]*Table6912131732[[#This Row],[Y1 Total quantity]]</f>
        <v>0</v>
      </c>
      <c r="U134" s="1126"/>
      <c r="V134" s="1171"/>
      <c r="W134" s="1171"/>
      <c r="X134" s="1171"/>
      <c r="Y134" s="1171"/>
      <c r="Z134" s="59">
        <f>SUM(Table6912131732[[#This Row],[Y2 Q1 quantity]:[Y2 Q4 quantity]])</f>
        <v>0</v>
      </c>
      <c r="AA134" s="1142">
        <f>Table6912131732[[#This Row],[Y2 Unit cost]]*Table6912131732[[#This Row],[Y2 Total quantity]]</f>
        <v>0</v>
      </c>
      <c r="AB134" s="1126"/>
      <c r="AC134" s="1171"/>
      <c r="AD134" s="1171"/>
      <c r="AE134" s="1171"/>
      <c r="AF134" s="1171"/>
      <c r="AG134" s="59">
        <f>SUM(Table6912131732[[#This Row],[Y3 Q1 quantity]:[Y3 Q4 quantity]])</f>
        <v>0</v>
      </c>
      <c r="AH134" s="1142">
        <f>Table6912131732[[#This Row],[Y3 Unit cost]]*Table6912131732[[#This Row],[Y3 Total quantity]]</f>
        <v>0</v>
      </c>
      <c r="AI134" s="62">
        <f>Table6912131732[[#This Row],[Y1 Total quantity]]+Table6912131732[[#This Row],[Y2 Total quantity]]+Table6912131732[[#This Row],[Y3 Total quantity]]</f>
        <v>0</v>
      </c>
      <c r="AJ134" s="1142">
        <f>Table6912131732[[#This Row],[Y1 Total cost]]+Table6912131732[[#This Row],[Y2 Total cost]]+Table6912131732[[#This Row],[Y3 Total cost]]</f>
        <v>0</v>
      </c>
      <c r="AK134" s="309" t="str">
        <f t="shared" si="12"/>
        <v/>
      </c>
      <c r="AL134" s="1265"/>
    </row>
    <row r="135" spans="1:61" s="249" customFormat="1">
      <c r="A135" s="2796"/>
      <c r="B135" s="2797"/>
      <c r="C135" s="2797"/>
      <c r="D135" s="2798"/>
      <c r="E135" s="2801"/>
      <c r="F135" s="2802"/>
      <c r="G135" s="2803"/>
      <c r="H135" s="2812"/>
      <c r="I135" s="2813"/>
      <c r="J135" s="2813"/>
      <c r="K135" s="2814"/>
      <c r="L135" s="384" t="str">
        <f t="shared" si="13"/>
        <v/>
      </c>
      <c r="M135" s="384" t="str">
        <f t="shared" si="14"/>
        <v/>
      </c>
      <c r="N135" s="1126"/>
      <c r="O135" s="1171"/>
      <c r="P135" s="1171"/>
      <c r="Q135" s="1171"/>
      <c r="R135" s="1171"/>
      <c r="S135" s="59">
        <f>SUM(Table6912131732[[#This Row],[Y1 Q1 quantity]:[Y1 Q4 quantity]])</f>
        <v>0</v>
      </c>
      <c r="T135" s="1132">
        <f>Table6912131732[[#This Row],[Y1 Unit cost]]*Table6912131732[[#This Row],[Y1 Total quantity]]</f>
        <v>0</v>
      </c>
      <c r="U135" s="1126"/>
      <c r="V135" s="1171"/>
      <c r="W135" s="1171"/>
      <c r="X135" s="1171"/>
      <c r="Y135" s="1171"/>
      <c r="Z135" s="59">
        <f>SUM(Table6912131732[[#This Row],[Y2 Q1 quantity]:[Y2 Q4 quantity]])</f>
        <v>0</v>
      </c>
      <c r="AA135" s="1142">
        <f>Table6912131732[[#This Row],[Y2 Unit cost]]*Table6912131732[[#This Row],[Y2 Total quantity]]</f>
        <v>0</v>
      </c>
      <c r="AB135" s="1126"/>
      <c r="AC135" s="1171"/>
      <c r="AD135" s="1171"/>
      <c r="AE135" s="1171"/>
      <c r="AF135" s="1171"/>
      <c r="AG135" s="59">
        <f>SUM(Table6912131732[[#This Row],[Y3 Q1 quantity]:[Y3 Q4 quantity]])</f>
        <v>0</v>
      </c>
      <c r="AH135" s="1142">
        <f>Table6912131732[[#This Row],[Y3 Unit cost]]*Table6912131732[[#This Row],[Y3 Total quantity]]</f>
        <v>0</v>
      </c>
      <c r="AI135" s="62">
        <f>Table6912131732[[#This Row],[Y1 Total quantity]]+Table6912131732[[#This Row],[Y2 Total quantity]]+Table6912131732[[#This Row],[Y3 Total quantity]]</f>
        <v>0</v>
      </c>
      <c r="AJ135" s="1142">
        <f>Table6912131732[[#This Row],[Y1 Total cost]]+Table6912131732[[#This Row],[Y2 Total cost]]+Table6912131732[[#This Row],[Y3 Total cost]]</f>
        <v>0</v>
      </c>
      <c r="AK135" s="309" t="str">
        <f t="shared" si="12"/>
        <v/>
      </c>
      <c r="AL135" s="1266"/>
    </row>
    <row r="136" spans="1:61" s="249" customFormat="1">
      <c r="A136" s="2752"/>
      <c r="B136" s="2753"/>
      <c r="C136" s="2753"/>
      <c r="D136" s="2754"/>
      <c r="E136" s="2821"/>
      <c r="F136" s="2822"/>
      <c r="G136" s="2823"/>
      <c r="H136" s="2815"/>
      <c r="I136" s="2816"/>
      <c r="J136" s="2816"/>
      <c r="K136" s="2817"/>
      <c r="L136" s="385" t="str">
        <f t="shared" si="13"/>
        <v/>
      </c>
      <c r="M136" s="385" t="str">
        <f t="shared" si="14"/>
        <v/>
      </c>
      <c r="N136" s="1126"/>
      <c r="O136" s="1171"/>
      <c r="P136" s="1171"/>
      <c r="Q136" s="1171"/>
      <c r="R136" s="1171"/>
      <c r="S136" s="59">
        <f>SUM(Table6912131732[[#This Row],[Y1 Q1 quantity]:[Y1 Q4 quantity]])</f>
        <v>0</v>
      </c>
      <c r="T136" s="1132">
        <f>Table6912131732[[#This Row],[Y1 Unit cost]]*Table6912131732[[#This Row],[Y1 Total quantity]]</f>
        <v>0</v>
      </c>
      <c r="U136" s="1126"/>
      <c r="V136" s="1171"/>
      <c r="W136" s="1171"/>
      <c r="X136" s="1171"/>
      <c r="Y136" s="1171"/>
      <c r="Z136" s="59">
        <f>SUM(Table6912131732[[#This Row],[Y2 Q1 quantity]:[Y2 Q4 quantity]])</f>
        <v>0</v>
      </c>
      <c r="AA136" s="1142">
        <f>Table6912131732[[#This Row],[Y2 Unit cost]]*Table6912131732[[#This Row],[Y2 Total quantity]]</f>
        <v>0</v>
      </c>
      <c r="AB136" s="1126"/>
      <c r="AC136" s="1171"/>
      <c r="AD136" s="1171"/>
      <c r="AE136" s="1171"/>
      <c r="AF136" s="1171"/>
      <c r="AG136" s="59">
        <f>SUM(Table6912131732[[#This Row],[Y3 Q1 quantity]:[Y3 Q4 quantity]])</f>
        <v>0</v>
      </c>
      <c r="AH136" s="1142">
        <f>Table6912131732[[#This Row],[Y3 Unit cost]]*Table6912131732[[#This Row],[Y3 Total quantity]]</f>
        <v>0</v>
      </c>
      <c r="AI136" s="62">
        <f>Table6912131732[[#This Row],[Y1 Total quantity]]+Table6912131732[[#This Row],[Y2 Total quantity]]+Table6912131732[[#This Row],[Y3 Total quantity]]</f>
        <v>0</v>
      </c>
      <c r="AJ136" s="1142">
        <f>Table6912131732[[#This Row],[Y1 Total cost]]+Table6912131732[[#This Row],[Y2 Total cost]]+Table6912131732[[#This Row],[Y3 Total cost]]</f>
        <v>0</v>
      </c>
      <c r="AK136" s="343" t="str">
        <f t="shared" si="12"/>
        <v/>
      </c>
      <c r="AL136" s="1265"/>
    </row>
    <row r="137" spans="1:61" s="249" customFormat="1">
      <c r="A137" s="2796"/>
      <c r="B137" s="2797"/>
      <c r="C137" s="2797"/>
      <c r="D137" s="2798"/>
      <c r="E137" s="2801"/>
      <c r="F137" s="2802"/>
      <c r="G137" s="2803"/>
      <c r="H137" s="2812"/>
      <c r="I137" s="2813"/>
      <c r="J137" s="2813"/>
      <c r="K137" s="2814"/>
      <c r="L137" s="384" t="str">
        <f t="shared" si="13"/>
        <v/>
      </c>
      <c r="M137" s="384" t="str">
        <f t="shared" si="14"/>
        <v/>
      </c>
      <c r="N137" s="1126"/>
      <c r="O137" s="1171"/>
      <c r="P137" s="1171"/>
      <c r="Q137" s="1171"/>
      <c r="R137" s="1171"/>
      <c r="S137" s="59">
        <f>SUM(Table6912131732[[#This Row],[Y1 Q1 quantity]:[Y1 Q4 quantity]])</f>
        <v>0</v>
      </c>
      <c r="T137" s="1132">
        <f>Table6912131732[[#This Row],[Y1 Unit cost]]*Table6912131732[[#This Row],[Y1 Total quantity]]</f>
        <v>0</v>
      </c>
      <c r="U137" s="1126"/>
      <c r="V137" s="1171"/>
      <c r="W137" s="1171"/>
      <c r="X137" s="1171"/>
      <c r="Y137" s="1171"/>
      <c r="Z137" s="59">
        <f>SUM(Table6912131732[[#This Row],[Y2 Q1 quantity]:[Y2 Q4 quantity]])</f>
        <v>0</v>
      </c>
      <c r="AA137" s="1142">
        <f>Table6912131732[[#This Row],[Y2 Unit cost]]*Table6912131732[[#This Row],[Y2 Total quantity]]</f>
        <v>0</v>
      </c>
      <c r="AB137" s="1126"/>
      <c r="AC137" s="1171"/>
      <c r="AD137" s="1171"/>
      <c r="AE137" s="1171"/>
      <c r="AF137" s="1171"/>
      <c r="AG137" s="59">
        <f>SUM(Table6912131732[[#This Row],[Y3 Q1 quantity]:[Y3 Q4 quantity]])</f>
        <v>0</v>
      </c>
      <c r="AH137" s="1142">
        <f>Table6912131732[[#This Row],[Y3 Unit cost]]*Table6912131732[[#This Row],[Y3 Total quantity]]</f>
        <v>0</v>
      </c>
      <c r="AI137" s="62">
        <f>Table6912131732[[#This Row],[Y1 Total quantity]]+Table6912131732[[#This Row],[Y2 Total quantity]]+Table6912131732[[#This Row],[Y3 Total quantity]]</f>
        <v>0</v>
      </c>
      <c r="AJ137" s="1142">
        <f>Table6912131732[[#This Row],[Y1 Total cost]]+Table6912131732[[#This Row],[Y2 Total cost]]+Table6912131732[[#This Row],[Y3 Total cost]]</f>
        <v>0</v>
      </c>
      <c r="AK137" s="343" t="str">
        <f t="shared" si="12"/>
        <v/>
      </c>
      <c r="AL137" s="1266"/>
    </row>
    <row r="138" spans="1:61" s="249" customFormat="1">
      <c r="A138" s="2752"/>
      <c r="B138" s="2753"/>
      <c r="C138" s="2753"/>
      <c r="D138" s="2754"/>
      <c r="E138" s="2821"/>
      <c r="F138" s="2822"/>
      <c r="G138" s="2823"/>
      <c r="H138" s="2815"/>
      <c r="I138" s="2816"/>
      <c r="J138" s="2816"/>
      <c r="K138" s="2817"/>
      <c r="L138" s="385" t="str">
        <f t="shared" si="13"/>
        <v/>
      </c>
      <c r="M138" s="385" t="str">
        <f t="shared" si="14"/>
        <v/>
      </c>
      <c r="N138" s="1126"/>
      <c r="O138" s="1171"/>
      <c r="P138" s="1171"/>
      <c r="Q138" s="1171"/>
      <c r="R138" s="1171"/>
      <c r="S138" s="59">
        <f>SUM(Table6912131732[[#This Row],[Y1 Q1 quantity]:[Y1 Q4 quantity]])</f>
        <v>0</v>
      </c>
      <c r="T138" s="1132">
        <f>Table6912131732[[#This Row],[Y1 Unit cost]]*Table6912131732[[#This Row],[Y1 Total quantity]]</f>
        <v>0</v>
      </c>
      <c r="U138" s="1126"/>
      <c r="V138" s="1171"/>
      <c r="W138" s="1171"/>
      <c r="X138" s="1171"/>
      <c r="Y138" s="1171"/>
      <c r="Z138" s="59">
        <f>SUM(Table6912131732[[#This Row],[Y2 Q1 quantity]:[Y2 Q4 quantity]])</f>
        <v>0</v>
      </c>
      <c r="AA138" s="1142">
        <f>Table6912131732[[#This Row],[Y2 Unit cost]]*Table6912131732[[#This Row],[Y2 Total quantity]]</f>
        <v>0</v>
      </c>
      <c r="AB138" s="1126"/>
      <c r="AC138" s="1171"/>
      <c r="AD138" s="1171"/>
      <c r="AE138" s="1171"/>
      <c r="AF138" s="1171"/>
      <c r="AG138" s="59">
        <f>SUM(Table6912131732[[#This Row],[Y3 Q1 quantity]:[Y3 Q4 quantity]])</f>
        <v>0</v>
      </c>
      <c r="AH138" s="1142">
        <f>Table6912131732[[#This Row],[Y3 Unit cost]]*Table6912131732[[#This Row],[Y3 Total quantity]]</f>
        <v>0</v>
      </c>
      <c r="AI138" s="62">
        <f>Table6912131732[[#This Row],[Y1 Total quantity]]+Table6912131732[[#This Row],[Y2 Total quantity]]+Table6912131732[[#This Row],[Y3 Total quantity]]</f>
        <v>0</v>
      </c>
      <c r="AJ138" s="1142">
        <f>Table6912131732[[#This Row],[Y1 Total cost]]+Table6912131732[[#This Row],[Y2 Total cost]]+Table6912131732[[#This Row],[Y3 Total cost]]</f>
        <v>0</v>
      </c>
      <c r="AK138" s="343" t="str">
        <f t="shared" si="12"/>
        <v/>
      </c>
      <c r="AL138" s="1265"/>
    </row>
    <row r="139" spans="1:61" s="249" customFormat="1">
      <c r="A139" s="2796"/>
      <c r="B139" s="2797"/>
      <c r="C139" s="2797"/>
      <c r="D139" s="2798"/>
      <c r="E139" s="2801"/>
      <c r="F139" s="2802"/>
      <c r="G139" s="2803"/>
      <c r="H139" s="2812"/>
      <c r="I139" s="2813"/>
      <c r="J139" s="2813"/>
      <c r="K139" s="2814"/>
      <c r="L139" s="384" t="str">
        <f t="shared" si="13"/>
        <v/>
      </c>
      <c r="M139" s="384" t="str">
        <f t="shared" si="14"/>
        <v/>
      </c>
      <c r="N139" s="1126"/>
      <c r="O139" s="1171"/>
      <c r="P139" s="1171"/>
      <c r="Q139" s="1171"/>
      <c r="R139" s="1171"/>
      <c r="S139" s="59">
        <f>SUM(Table6912131732[[#This Row],[Y1 Q1 quantity]:[Y1 Q4 quantity]])</f>
        <v>0</v>
      </c>
      <c r="T139" s="1132">
        <f>Table6912131732[[#This Row],[Y1 Unit cost]]*Table6912131732[[#This Row],[Y1 Total quantity]]</f>
        <v>0</v>
      </c>
      <c r="U139" s="1126"/>
      <c r="V139" s="1171"/>
      <c r="W139" s="1171"/>
      <c r="X139" s="1171"/>
      <c r="Y139" s="1171"/>
      <c r="Z139" s="59">
        <f>SUM(Table6912131732[[#This Row],[Y2 Q1 quantity]:[Y2 Q4 quantity]])</f>
        <v>0</v>
      </c>
      <c r="AA139" s="1142">
        <f>Table6912131732[[#This Row],[Y2 Unit cost]]*Table6912131732[[#This Row],[Y2 Total quantity]]</f>
        <v>0</v>
      </c>
      <c r="AB139" s="1126"/>
      <c r="AC139" s="1171"/>
      <c r="AD139" s="1171"/>
      <c r="AE139" s="1171"/>
      <c r="AF139" s="1171"/>
      <c r="AG139" s="59">
        <f>SUM(Table6912131732[[#This Row],[Y3 Q1 quantity]:[Y3 Q4 quantity]])</f>
        <v>0</v>
      </c>
      <c r="AH139" s="1142">
        <f>Table6912131732[[#This Row],[Y3 Unit cost]]*Table6912131732[[#This Row],[Y3 Total quantity]]</f>
        <v>0</v>
      </c>
      <c r="AI139" s="62">
        <f>Table6912131732[[#This Row],[Y1 Total quantity]]+Table6912131732[[#This Row],[Y2 Total quantity]]+Table6912131732[[#This Row],[Y3 Total quantity]]</f>
        <v>0</v>
      </c>
      <c r="AJ139" s="1142">
        <f>Table6912131732[[#This Row],[Y1 Total cost]]+Table6912131732[[#This Row],[Y2 Total cost]]+Table6912131732[[#This Row],[Y3 Total cost]]</f>
        <v>0</v>
      </c>
      <c r="AK139" s="343" t="str">
        <f t="shared" si="12"/>
        <v/>
      </c>
      <c r="AL139" s="1266"/>
    </row>
    <row r="140" spans="1:61" s="249" customFormat="1">
      <c r="A140" s="2752"/>
      <c r="B140" s="2753"/>
      <c r="C140" s="2753"/>
      <c r="D140" s="2754"/>
      <c r="E140" s="2821"/>
      <c r="F140" s="2822"/>
      <c r="G140" s="2823"/>
      <c r="H140" s="2815"/>
      <c r="I140" s="2816"/>
      <c r="J140" s="2816"/>
      <c r="K140" s="2817"/>
      <c r="L140" s="385" t="str">
        <f t="shared" si="13"/>
        <v/>
      </c>
      <c r="M140" s="385" t="str">
        <f t="shared" si="14"/>
        <v/>
      </c>
      <c r="N140" s="1126"/>
      <c r="O140" s="1171"/>
      <c r="P140" s="1171"/>
      <c r="Q140" s="1171"/>
      <c r="R140" s="1171"/>
      <c r="S140" s="59">
        <f>SUM(Table6912131732[[#This Row],[Y1 Q1 quantity]:[Y1 Q4 quantity]])</f>
        <v>0</v>
      </c>
      <c r="T140" s="1132">
        <f>Table6912131732[[#This Row],[Y1 Unit cost]]*Table6912131732[[#This Row],[Y1 Total quantity]]</f>
        <v>0</v>
      </c>
      <c r="U140" s="1126"/>
      <c r="V140" s="1171"/>
      <c r="W140" s="1171"/>
      <c r="X140" s="1171"/>
      <c r="Y140" s="1171"/>
      <c r="Z140" s="59">
        <f>SUM(Table6912131732[[#This Row],[Y2 Q1 quantity]:[Y2 Q4 quantity]])</f>
        <v>0</v>
      </c>
      <c r="AA140" s="1142">
        <f>Table6912131732[[#This Row],[Y2 Unit cost]]*Table6912131732[[#This Row],[Y2 Total quantity]]</f>
        <v>0</v>
      </c>
      <c r="AB140" s="1126"/>
      <c r="AC140" s="1171"/>
      <c r="AD140" s="1171"/>
      <c r="AE140" s="1171"/>
      <c r="AF140" s="1171"/>
      <c r="AG140" s="59">
        <f>SUM(Table6912131732[[#This Row],[Y3 Q1 quantity]:[Y3 Q4 quantity]])</f>
        <v>0</v>
      </c>
      <c r="AH140" s="1142">
        <f>Table6912131732[[#This Row],[Y3 Unit cost]]*Table6912131732[[#This Row],[Y3 Total quantity]]</f>
        <v>0</v>
      </c>
      <c r="AI140" s="62">
        <f>Table6912131732[[#This Row],[Y1 Total quantity]]+Table6912131732[[#This Row],[Y2 Total quantity]]+Table6912131732[[#This Row],[Y3 Total quantity]]</f>
        <v>0</v>
      </c>
      <c r="AJ140" s="1142">
        <f>Table6912131732[[#This Row],[Y1 Total cost]]+Table6912131732[[#This Row],[Y2 Total cost]]+Table6912131732[[#This Row],[Y3 Total cost]]</f>
        <v>0</v>
      </c>
      <c r="AK140" s="343" t="str">
        <f t="shared" si="12"/>
        <v/>
      </c>
      <c r="AL140" s="1265"/>
    </row>
    <row r="141" spans="1:61" s="249" customFormat="1">
      <c r="A141" s="2796"/>
      <c r="B141" s="2797"/>
      <c r="C141" s="2797"/>
      <c r="D141" s="2798"/>
      <c r="E141" s="2801"/>
      <c r="F141" s="2802"/>
      <c r="G141" s="2803"/>
      <c r="H141" s="2812"/>
      <c r="I141" s="2813"/>
      <c r="J141" s="2813"/>
      <c r="K141" s="2814"/>
      <c r="L141" s="384" t="str">
        <f t="shared" si="13"/>
        <v/>
      </c>
      <c r="M141" s="384" t="str">
        <f t="shared" si="14"/>
        <v/>
      </c>
      <c r="N141" s="1126"/>
      <c r="O141" s="1171"/>
      <c r="P141" s="1171"/>
      <c r="Q141" s="1171"/>
      <c r="R141" s="1171"/>
      <c r="S141" s="59">
        <f>SUM(Table6912131732[[#This Row],[Y1 Q1 quantity]:[Y1 Q4 quantity]])</f>
        <v>0</v>
      </c>
      <c r="T141" s="1132">
        <f>Table6912131732[[#This Row],[Y1 Unit cost]]*Table6912131732[[#This Row],[Y1 Total quantity]]</f>
        <v>0</v>
      </c>
      <c r="U141" s="1126"/>
      <c r="V141" s="1171"/>
      <c r="W141" s="1171"/>
      <c r="X141" s="1171"/>
      <c r="Y141" s="1171"/>
      <c r="Z141" s="59">
        <f>SUM(Table6912131732[[#This Row],[Y2 Q1 quantity]:[Y2 Q4 quantity]])</f>
        <v>0</v>
      </c>
      <c r="AA141" s="1142">
        <f>Table6912131732[[#This Row],[Y2 Unit cost]]*Table6912131732[[#This Row],[Y2 Total quantity]]</f>
        <v>0</v>
      </c>
      <c r="AB141" s="1126"/>
      <c r="AC141" s="1171"/>
      <c r="AD141" s="1171"/>
      <c r="AE141" s="1171"/>
      <c r="AF141" s="1171"/>
      <c r="AG141" s="59">
        <f>SUM(Table6912131732[[#This Row],[Y3 Q1 quantity]:[Y3 Q4 quantity]])</f>
        <v>0</v>
      </c>
      <c r="AH141" s="1142">
        <f>Table6912131732[[#This Row],[Y3 Unit cost]]*Table6912131732[[#This Row],[Y3 Total quantity]]</f>
        <v>0</v>
      </c>
      <c r="AI141" s="62">
        <f>Table6912131732[[#This Row],[Y1 Total quantity]]+Table6912131732[[#This Row],[Y2 Total quantity]]+Table6912131732[[#This Row],[Y3 Total quantity]]</f>
        <v>0</v>
      </c>
      <c r="AJ141" s="1142">
        <f>Table6912131732[[#This Row],[Y1 Total cost]]+Table6912131732[[#This Row],[Y2 Total cost]]+Table6912131732[[#This Row],[Y3 Total cost]]</f>
        <v>0</v>
      </c>
      <c r="AK141" s="343" t="str">
        <f t="shared" si="12"/>
        <v/>
      </c>
      <c r="AL141" s="1266"/>
    </row>
    <row r="142" spans="1:61" s="249" customFormat="1">
      <c r="A142" s="2752"/>
      <c r="B142" s="2753"/>
      <c r="C142" s="2753"/>
      <c r="D142" s="2754"/>
      <c r="E142" s="2821"/>
      <c r="F142" s="2822"/>
      <c r="G142" s="2823"/>
      <c r="H142" s="2815"/>
      <c r="I142" s="2816"/>
      <c r="J142" s="2816"/>
      <c r="K142" s="2817"/>
      <c r="L142" s="385" t="str">
        <f t="shared" si="13"/>
        <v/>
      </c>
      <c r="M142" s="385" t="str">
        <f t="shared" si="14"/>
        <v/>
      </c>
      <c r="N142" s="1126"/>
      <c r="O142" s="1171"/>
      <c r="P142" s="1171"/>
      <c r="Q142" s="1171"/>
      <c r="R142" s="1171"/>
      <c r="S142" s="59">
        <f>SUM(Table6912131732[[#This Row],[Y1 Q1 quantity]:[Y1 Q4 quantity]])</f>
        <v>0</v>
      </c>
      <c r="T142" s="1132">
        <f>Table6912131732[[#This Row],[Y1 Unit cost]]*Table6912131732[[#This Row],[Y1 Total quantity]]</f>
        <v>0</v>
      </c>
      <c r="U142" s="1126"/>
      <c r="V142" s="1171"/>
      <c r="W142" s="1171"/>
      <c r="X142" s="1171"/>
      <c r="Y142" s="1171"/>
      <c r="Z142" s="59">
        <f>SUM(Table6912131732[[#This Row],[Y2 Q1 quantity]:[Y2 Q4 quantity]])</f>
        <v>0</v>
      </c>
      <c r="AA142" s="1142">
        <f>Table6912131732[[#This Row],[Y2 Unit cost]]*Table6912131732[[#This Row],[Y2 Total quantity]]</f>
        <v>0</v>
      </c>
      <c r="AB142" s="1126"/>
      <c r="AC142" s="1171"/>
      <c r="AD142" s="1171"/>
      <c r="AE142" s="1171"/>
      <c r="AF142" s="1171"/>
      <c r="AG142" s="59">
        <f>SUM(Table6912131732[[#This Row],[Y3 Q1 quantity]:[Y3 Q4 quantity]])</f>
        <v>0</v>
      </c>
      <c r="AH142" s="1142">
        <f>Table6912131732[[#This Row],[Y3 Unit cost]]*Table6912131732[[#This Row],[Y3 Total quantity]]</f>
        <v>0</v>
      </c>
      <c r="AI142" s="62">
        <f>Table6912131732[[#This Row],[Y1 Total quantity]]+Table6912131732[[#This Row],[Y2 Total quantity]]+Table6912131732[[#This Row],[Y3 Total quantity]]</f>
        <v>0</v>
      </c>
      <c r="AJ142" s="1142">
        <f>Table6912131732[[#This Row],[Y1 Total cost]]+Table6912131732[[#This Row],[Y2 Total cost]]+Table6912131732[[#This Row],[Y3 Total cost]]</f>
        <v>0</v>
      </c>
      <c r="AK142" s="343" t="str">
        <f t="shared" si="12"/>
        <v/>
      </c>
      <c r="AL142" s="1265"/>
    </row>
    <row r="143" spans="1:61" s="249" customFormat="1">
      <c r="A143" s="2796"/>
      <c r="B143" s="2797"/>
      <c r="C143" s="2797"/>
      <c r="D143" s="2798"/>
      <c r="E143" s="2801"/>
      <c r="F143" s="2802"/>
      <c r="G143" s="2803"/>
      <c r="H143" s="2812"/>
      <c r="I143" s="2813"/>
      <c r="J143" s="2813"/>
      <c r="K143" s="2814"/>
      <c r="L143" s="384" t="str">
        <f t="shared" si="13"/>
        <v/>
      </c>
      <c r="M143" s="384" t="str">
        <f t="shared" si="14"/>
        <v/>
      </c>
      <c r="N143" s="1126"/>
      <c r="O143" s="1171"/>
      <c r="P143" s="1171"/>
      <c r="Q143" s="1171"/>
      <c r="R143" s="1171"/>
      <c r="S143" s="59">
        <f>SUM(Table6912131732[[#This Row],[Y1 Q1 quantity]:[Y1 Q4 quantity]])</f>
        <v>0</v>
      </c>
      <c r="T143" s="1132">
        <f>Table6912131732[[#This Row],[Y1 Unit cost]]*Table6912131732[[#This Row],[Y1 Total quantity]]</f>
        <v>0</v>
      </c>
      <c r="U143" s="1126"/>
      <c r="V143" s="1171"/>
      <c r="W143" s="1171"/>
      <c r="X143" s="1171"/>
      <c r="Y143" s="1171"/>
      <c r="Z143" s="59">
        <f>SUM(Table6912131732[[#This Row],[Y2 Q1 quantity]:[Y2 Q4 quantity]])</f>
        <v>0</v>
      </c>
      <c r="AA143" s="1142">
        <f>Table6912131732[[#This Row],[Y2 Unit cost]]*Table6912131732[[#This Row],[Y2 Total quantity]]</f>
        <v>0</v>
      </c>
      <c r="AB143" s="1126"/>
      <c r="AC143" s="1171"/>
      <c r="AD143" s="1171"/>
      <c r="AE143" s="1171"/>
      <c r="AF143" s="1171"/>
      <c r="AG143" s="59">
        <f>SUM(Table6912131732[[#This Row],[Y3 Q1 quantity]:[Y3 Q4 quantity]])</f>
        <v>0</v>
      </c>
      <c r="AH143" s="1142">
        <f>Table6912131732[[#This Row],[Y3 Unit cost]]*Table6912131732[[#This Row],[Y3 Total quantity]]</f>
        <v>0</v>
      </c>
      <c r="AI143" s="62">
        <f>Table6912131732[[#This Row],[Y1 Total quantity]]+Table6912131732[[#This Row],[Y2 Total quantity]]+Table6912131732[[#This Row],[Y3 Total quantity]]</f>
        <v>0</v>
      </c>
      <c r="AJ143" s="1142">
        <f>Table6912131732[[#This Row],[Y1 Total cost]]+Table6912131732[[#This Row],[Y2 Total cost]]+Table6912131732[[#This Row],[Y3 Total cost]]</f>
        <v>0</v>
      </c>
      <c r="AK143" s="343" t="str">
        <f t="shared" si="12"/>
        <v/>
      </c>
      <c r="AL143" s="1266"/>
    </row>
    <row r="144" spans="1:61" s="249" customFormat="1">
      <c r="A144" s="2752"/>
      <c r="B144" s="2753"/>
      <c r="C144" s="2753"/>
      <c r="D144" s="2754"/>
      <c r="E144" s="2821"/>
      <c r="F144" s="2822"/>
      <c r="G144" s="2823"/>
      <c r="H144" s="2815"/>
      <c r="I144" s="2816"/>
      <c r="J144" s="2816"/>
      <c r="K144" s="2817"/>
      <c r="L144" s="385" t="str">
        <f t="shared" si="13"/>
        <v/>
      </c>
      <c r="M144" s="385" t="str">
        <f t="shared" si="14"/>
        <v/>
      </c>
      <c r="N144" s="1126"/>
      <c r="O144" s="1171"/>
      <c r="P144" s="1171"/>
      <c r="Q144" s="1171"/>
      <c r="R144" s="1171"/>
      <c r="S144" s="59">
        <f>SUM(Table6912131732[[#This Row],[Y1 Q1 quantity]:[Y1 Q4 quantity]])</f>
        <v>0</v>
      </c>
      <c r="T144" s="1132">
        <f>Table6912131732[[#This Row],[Y1 Unit cost]]*Table6912131732[[#This Row],[Y1 Total quantity]]</f>
        <v>0</v>
      </c>
      <c r="U144" s="1126"/>
      <c r="V144" s="1171"/>
      <c r="W144" s="1171"/>
      <c r="X144" s="1171"/>
      <c r="Y144" s="1171"/>
      <c r="Z144" s="59">
        <f>SUM(Table6912131732[[#This Row],[Y2 Q1 quantity]:[Y2 Q4 quantity]])</f>
        <v>0</v>
      </c>
      <c r="AA144" s="1142">
        <f>Table6912131732[[#This Row],[Y2 Unit cost]]*Table6912131732[[#This Row],[Y2 Total quantity]]</f>
        <v>0</v>
      </c>
      <c r="AB144" s="1126"/>
      <c r="AC144" s="1171"/>
      <c r="AD144" s="1171"/>
      <c r="AE144" s="1171"/>
      <c r="AF144" s="1171"/>
      <c r="AG144" s="59">
        <f>SUM(Table6912131732[[#This Row],[Y3 Q1 quantity]:[Y3 Q4 quantity]])</f>
        <v>0</v>
      </c>
      <c r="AH144" s="1142">
        <f>Table6912131732[[#This Row],[Y3 Unit cost]]*Table6912131732[[#This Row],[Y3 Total quantity]]</f>
        <v>0</v>
      </c>
      <c r="AI144" s="62">
        <f>Table6912131732[[#This Row],[Y1 Total quantity]]+Table6912131732[[#This Row],[Y2 Total quantity]]+Table6912131732[[#This Row],[Y3 Total quantity]]</f>
        <v>0</v>
      </c>
      <c r="AJ144" s="1142">
        <f>Table6912131732[[#This Row],[Y1 Total cost]]+Table6912131732[[#This Row],[Y2 Total cost]]+Table6912131732[[#This Row],[Y3 Total cost]]</f>
        <v>0</v>
      </c>
      <c r="AK144" s="343" t="str">
        <f t="shared" si="12"/>
        <v/>
      </c>
      <c r="AL144" s="1265"/>
    </row>
    <row r="145" spans="1:38" s="249" customFormat="1">
      <c r="A145" s="2796"/>
      <c r="B145" s="2797"/>
      <c r="C145" s="2797"/>
      <c r="D145" s="2798"/>
      <c r="E145" s="2801"/>
      <c r="F145" s="2802"/>
      <c r="G145" s="2803"/>
      <c r="H145" s="2812"/>
      <c r="I145" s="2813"/>
      <c r="J145" s="2813"/>
      <c r="K145" s="2814"/>
      <c r="L145" s="384" t="str">
        <f t="shared" si="13"/>
        <v/>
      </c>
      <c r="M145" s="384" t="str">
        <f t="shared" si="14"/>
        <v/>
      </c>
      <c r="N145" s="1126"/>
      <c r="O145" s="1171"/>
      <c r="P145" s="1171"/>
      <c r="Q145" s="1171"/>
      <c r="R145" s="1171"/>
      <c r="S145" s="59">
        <f>SUM(Table6912131732[[#This Row],[Y1 Q1 quantity]:[Y1 Q4 quantity]])</f>
        <v>0</v>
      </c>
      <c r="T145" s="1132">
        <f>Table6912131732[[#This Row],[Y1 Unit cost]]*Table6912131732[[#This Row],[Y1 Total quantity]]</f>
        <v>0</v>
      </c>
      <c r="U145" s="1126"/>
      <c r="V145" s="1171"/>
      <c r="W145" s="1171"/>
      <c r="X145" s="1171"/>
      <c r="Y145" s="1171"/>
      <c r="Z145" s="59">
        <f>SUM(Table6912131732[[#This Row],[Y2 Q1 quantity]:[Y2 Q4 quantity]])</f>
        <v>0</v>
      </c>
      <c r="AA145" s="1142">
        <f>Table6912131732[[#This Row],[Y2 Unit cost]]*Table6912131732[[#This Row],[Y2 Total quantity]]</f>
        <v>0</v>
      </c>
      <c r="AB145" s="1126"/>
      <c r="AC145" s="1171"/>
      <c r="AD145" s="1171"/>
      <c r="AE145" s="1171"/>
      <c r="AF145" s="1171"/>
      <c r="AG145" s="59">
        <f>SUM(Table6912131732[[#This Row],[Y3 Q1 quantity]:[Y3 Q4 quantity]])</f>
        <v>0</v>
      </c>
      <c r="AH145" s="1142">
        <f>Table6912131732[[#This Row],[Y3 Unit cost]]*Table6912131732[[#This Row],[Y3 Total quantity]]</f>
        <v>0</v>
      </c>
      <c r="AI145" s="62">
        <f>Table6912131732[[#This Row],[Y1 Total quantity]]+Table6912131732[[#This Row],[Y2 Total quantity]]+Table6912131732[[#This Row],[Y3 Total quantity]]</f>
        <v>0</v>
      </c>
      <c r="AJ145" s="1142">
        <f>Table6912131732[[#This Row],[Y1 Total cost]]+Table6912131732[[#This Row],[Y2 Total cost]]+Table6912131732[[#This Row],[Y3 Total cost]]</f>
        <v>0</v>
      </c>
      <c r="AK145" s="343" t="str">
        <f t="shared" si="12"/>
        <v/>
      </c>
      <c r="AL145" s="1266"/>
    </row>
    <row r="146" spans="1:38" s="249" customFormat="1">
      <c r="A146" s="2752"/>
      <c r="B146" s="2753"/>
      <c r="C146" s="2753"/>
      <c r="D146" s="2754"/>
      <c r="E146" s="2821"/>
      <c r="F146" s="2822"/>
      <c r="G146" s="2823"/>
      <c r="H146" s="2815"/>
      <c r="I146" s="2816"/>
      <c r="J146" s="2816"/>
      <c r="K146" s="2817"/>
      <c r="L146" s="385" t="str">
        <f t="shared" si="13"/>
        <v/>
      </c>
      <c r="M146" s="385" t="str">
        <f t="shared" si="14"/>
        <v/>
      </c>
      <c r="N146" s="1126"/>
      <c r="O146" s="1171"/>
      <c r="P146" s="1171"/>
      <c r="Q146" s="1171"/>
      <c r="R146" s="1171"/>
      <c r="S146" s="59">
        <f>SUM(Table6912131732[[#This Row],[Y1 Q1 quantity]:[Y1 Q4 quantity]])</f>
        <v>0</v>
      </c>
      <c r="T146" s="1132">
        <f>Table6912131732[[#This Row],[Y1 Unit cost]]*Table6912131732[[#This Row],[Y1 Total quantity]]</f>
        <v>0</v>
      </c>
      <c r="U146" s="1126"/>
      <c r="V146" s="1171"/>
      <c r="W146" s="1171"/>
      <c r="X146" s="1171"/>
      <c r="Y146" s="1171"/>
      <c r="Z146" s="59">
        <f>SUM(Table6912131732[[#This Row],[Y2 Q1 quantity]:[Y2 Q4 quantity]])</f>
        <v>0</v>
      </c>
      <c r="AA146" s="1142">
        <f>Table6912131732[[#This Row],[Y2 Unit cost]]*Table6912131732[[#This Row],[Y2 Total quantity]]</f>
        <v>0</v>
      </c>
      <c r="AB146" s="1126"/>
      <c r="AC146" s="1171"/>
      <c r="AD146" s="1171"/>
      <c r="AE146" s="1171"/>
      <c r="AF146" s="1171"/>
      <c r="AG146" s="59">
        <f>SUM(Table6912131732[[#This Row],[Y3 Q1 quantity]:[Y3 Q4 quantity]])</f>
        <v>0</v>
      </c>
      <c r="AH146" s="1142">
        <f>Table6912131732[[#This Row],[Y3 Unit cost]]*Table6912131732[[#This Row],[Y3 Total quantity]]</f>
        <v>0</v>
      </c>
      <c r="AI146" s="62">
        <f>Table6912131732[[#This Row],[Y1 Total quantity]]+Table6912131732[[#This Row],[Y2 Total quantity]]+Table6912131732[[#This Row],[Y3 Total quantity]]</f>
        <v>0</v>
      </c>
      <c r="AJ146" s="1142">
        <f>Table6912131732[[#This Row],[Y1 Total cost]]+Table6912131732[[#This Row],[Y2 Total cost]]+Table6912131732[[#This Row],[Y3 Total cost]]</f>
        <v>0</v>
      </c>
      <c r="AK146" s="343" t="str">
        <f t="shared" si="12"/>
        <v/>
      </c>
      <c r="AL146" s="1265"/>
    </row>
    <row r="147" spans="1:38" s="249" customFormat="1">
      <c r="A147" s="2796"/>
      <c r="B147" s="2797"/>
      <c r="C147" s="2797"/>
      <c r="D147" s="2798"/>
      <c r="E147" s="2801"/>
      <c r="F147" s="2802"/>
      <c r="G147" s="2803"/>
      <c r="H147" s="2812"/>
      <c r="I147" s="2813"/>
      <c r="J147" s="2813"/>
      <c r="K147" s="2814"/>
      <c r="L147" s="384" t="str">
        <f t="shared" si="13"/>
        <v/>
      </c>
      <c r="M147" s="384" t="str">
        <f t="shared" si="14"/>
        <v/>
      </c>
      <c r="N147" s="1126"/>
      <c r="O147" s="1171"/>
      <c r="P147" s="1171"/>
      <c r="Q147" s="1171"/>
      <c r="R147" s="1171"/>
      <c r="S147" s="59">
        <f>SUM(Table6912131732[[#This Row],[Y1 Q1 quantity]:[Y1 Q4 quantity]])</f>
        <v>0</v>
      </c>
      <c r="T147" s="1132">
        <f>Table6912131732[[#This Row],[Y1 Unit cost]]*Table6912131732[[#This Row],[Y1 Total quantity]]</f>
        <v>0</v>
      </c>
      <c r="U147" s="1126"/>
      <c r="V147" s="1171"/>
      <c r="W147" s="1171"/>
      <c r="X147" s="1171"/>
      <c r="Y147" s="1171"/>
      <c r="Z147" s="59">
        <f>SUM(Table6912131732[[#This Row],[Y2 Q1 quantity]:[Y2 Q4 quantity]])</f>
        <v>0</v>
      </c>
      <c r="AA147" s="1142">
        <f>Table6912131732[[#This Row],[Y2 Unit cost]]*Table6912131732[[#This Row],[Y2 Total quantity]]</f>
        <v>0</v>
      </c>
      <c r="AB147" s="1126"/>
      <c r="AC147" s="1171"/>
      <c r="AD147" s="1171"/>
      <c r="AE147" s="1171"/>
      <c r="AF147" s="1171"/>
      <c r="AG147" s="59">
        <f>SUM(Table6912131732[[#This Row],[Y3 Q1 quantity]:[Y3 Q4 quantity]])</f>
        <v>0</v>
      </c>
      <c r="AH147" s="1142">
        <f>Table6912131732[[#This Row],[Y3 Unit cost]]*Table6912131732[[#This Row],[Y3 Total quantity]]</f>
        <v>0</v>
      </c>
      <c r="AI147" s="62">
        <f>Table6912131732[[#This Row],[Y1 Total quantity]]+Table6912131732[[#This Row],[Y2 Total quantity]]+Table6912131732[[#This Row],[Y3 Total quantity]]</f>
        <v>0</v>
      </c>
      <c r="AJ147" s="1142">
        <f>Table6912131732[[#This Row],[Y1 Total cost]]+Table6912131732[[#This Row],[Y2 Total cost]]+Table6912131732[[#This Row],[Y3 Total cost]]</f>
        <v>0</v>
      </c>
      <c r="AK147" s="343" t="str">
        <f t="shared" si="12"/>
        <v/>
      </c>
      <c r="AL147" s="1266"/>
    </row>
    <row r="148" spans="1:38" s="249" customFormat="1">
      <c r="A148" s="2752"/>
      <c r="B148" s="2753"/>
      <c r="C148" s="2753"/>
      <c r="D148" s="2754"/>
      <c r="E148" s="2821"/>
      <c r="F148" s="2822"/>
      <c r="G148" s="2823"/>
      <c r="H148" s="2815"/>
      <c r="I148" s="2816"/>
      <c r="J148" s="2816"/>
      <c r="K148" s="2817"/>
      <c r="L148" s="385" t="str">
        <f t="shared" si="13"/>
        <v/>
      </c>
      <c r="M148" s="385" t="str">
        <f t="shared" si="14"/>
        <v/>
      </c>
      <c r="N148" s="1126"/>
      <c r="O148" s="1171"/>
      <c r="P148" s="1171"/>
      <c r="Q148" s="1171"/>
      <c r="R148" s="1171"/>
      <c r="S148" s="59">
        <f>SUM(Table6912131732[[#This Row],[Y1 Q1 quantity]:[Y1 Q4 quantity]])</f>
        <v>0</v>
      </c>
      <c r="T148" s="1132">
        <f>Table6912131732[[#This Row],[Y1 Unit cost]]*Table6912131732[[#This Row],[Y1 Total quantity]]</f>
        <v>0</v>
      </c>
      <c r="U148" s="1126"/>
      <c r="V148" s="1171"/>
      <c r="W148" s="1171"/>
      <c r="X148" s="1171"/>
      <c r="Y148" s="1171"/>
      <c r="Z148" s="59">
        <f>SUM(Table6912131732[[#This Row],[Y2 Q1 quantity]:[Y2 Q4 quantity]])</f>
        <v>0</v>
      </c>
      <c r="AA148" s="1142">
        <f>Table6912131732[[#This Row],[Y2 Unit cost]]*Table6912131732[[#This Row],[Y2 Total quantity]]</f>
        <v>0</v>
      </c>
      <c r="AB148" s="1126"/>
      <c r="AC148" s="1171"/>
      <c r="AD148" s="1171"/>
      <c r="AE148" s="1171"/>
      <c r="AF148" s="1171"/>
      <c r="AG148" s="59">
        <f>SUM(Table6912131732[[#This Row],[Y3 Q1 quantity]:[Y3 Q4 quantity]])</f>
        <v>0</v>
      </c>
      <c r="AH148" s="1142">
        <f>Table6912131732[[#This Row],[Y3 Unit cost]]*Table6912131732[[#This Row],[Y3 Total quantity]]</f>
        <v>0</v>
      </c>
      <c r="AI148" s="62">
        <f>Table6912131732[[#This Row],[Y1 Total quantity]]+Table6912131732[[#This Row],[Y2 Total quantity]]+Table6912131732[[#This Row],[Y3 Total quantity]]</f>
        <v>0</v>
      </c>
      <c r="AJ148" s="1142">
        <f>Table6912131732[[#This Row],[Y1 Total cost]]+Table6912131732[[#This Row],[Y2 Total cost]]+Table6912131732[[#This Row],[Y3 Total cost]]</f>
        <v>0</v>
      </c>
      <c r="AK148" s="343" t="str">
        <f t="shared" si="12"/>
        <v/>
      </c>
      <c r="AL148" s="1265"/>
    </row>
    <row r="149" spans="1:38" s="249" customFormat="1">
      <c r="A149" s="2796"/>
      <c r="B149" s="2797"/>
      <c r="C149" s="2797"/>
      <c r="D149" s="2798"/>
      <c r="E149" s="2801"/>
      <c r="F149" s="2802"/>
      <c r="G149" s="2803"/>
      <c r="H149" s="2812"/>
      <c r="I149" s="2813"/>
      <c r="J149" s="2813"/>
      <c r="K149" s="2814"/>
      <c r="L149" s="384" t="str">
        <f t="shared" si="13"/>
        <v/>
      </c>
      <c r="M149" s="384" t="str">
        <f t="shared" si="14"/>
        <v/>
      </c>
      <c r="N149" s="1126"/>
      <c r="O149" s="1171"/>
      <c r="P149" s="1171"/>
      <c r="Q149" s="1171"/>
      <c r="R149" s="1171"/>
      <c r="S149" s="59">
        <f>SUM(Table6912131732[[#This Row],[Y1 Q1 quantity]:[Y1 Q4 quantity]])</f>
        <v>0</v>
      </c>
      <c r="T149" s="1132">
        <f>Table6912131732[[#This Row],[Y1 Unit cost]]*Table6912131732[[#This Row],[Y1 Total quantity]]</f>
        <v>0</v>
      </c>
      <c r="U149" s="1126"/>
      <c r="V149" s="1171"/>
      <c r="W149" s="1171"/>
      <c r="X149" s="1171"/>
      <c r="Y149" s="1171"/>
      <c r="Z149" s="59">
        <f>SUM(Table6912131732[[#This Row],[Y2 Q1 quantity]:[Y2 Q4 quantity]])</f>
        <v>0</v>
      </c>
      <c r="AA149" s="1142">
        <f>Table6912131732[[#This Row],[Y2 Unit cost]]*Table6912131732[[#This Row],[Y2 Total quantity]]</f>
        <v>0</v>
      </c>
      <c r="AB149" s="1126"/>
      <c r="AC149" s="1171"/>
      <c r="AD149" s="1171"/>
      <c r="AE149" s="1171"/>
      <c r="AF149" s="1171"/>
      <c r="AG149" s="59">
        <f>SUM(Table6912131732[[#This Row],[Y3 Q1 quantity]:[Y3 Q4 quantity]])</f>
        <v>0</v>
      </c>
      <c r="AH149" s="1142">
        <f>Table6912131732[[#This Row],[Y3 Unit cost]]*Table6912131732[[#This Row],[Y3 Total quantity]]</f>
        <v>0</v>
      </c>
      <c r="AI149" s="62">
        <f>Table6912131732[[#This Row],[Y1 Total quantity]]+Table6912131732[[#This Row],[Y2 Total quantity]]+Table6912131732[[#This Row],[Y3 Total quantity]]</f>
        <v>0</v>
      </c>
      <c r="AJ149" s="1142">
        <f>Table6912131732[[#This Row],[Y1 Total cost]]+Table6912131732[[#This Row],[Y2 Total cost]]+Table6912131732[[#This Row],[Y3 Total cost]]</f>
        <v>0</v>
      </c>
      <c r="AK149" s="343" t="str">
        <f t="shared" si="12"/>
        <v/>
      </c>
      <c r="AL149" s="1266"/>
    </row>
    <row r="150" spans="1:38" s="249" customFormat="1">
      <c r="A150" s="2752"/>
      <c r="B150" s="2753"/>
      <c r="C150" s="2753"/>
      <c r="D150" s="2754"/>
      <c r="E150" s="2821"/>
      <c r="F150" s="2822"/>
      <c r="G150" s="2823"/>
      <c r="H150" s="2815"/>
      <c r="I150" s="2816"/>
      <c r="J150" s="2816"/>
      <c r="K150" s="2817"/>
      <c r="L150" s="385" t="str">
        <f t="shared" si="13"/>
        <v/>
      </c>
      <c r="M150" s="385" t="str">
        <f t="shared" si="14"/>
        <v/>
      </c>
      <c r="N150" s="1126"/>
      <c r="O150" s="1171"/>
      <c r="P150" s="1171"/>
      <c r="Q150" s="1171"/>
      <c r="R150" s="1171"/>
      <c r="S150" s="59">
        <f>SUM(Table6912131732[[#This Row],[Y1 Q1 quantity]:[Y1 Q4 quantity]])</f>
        <v>0</v>
      </c>
      <c r="T150" s="1132">
        <f>Table6912131732[[#This Row],[Y1 Unit cost]]*Table6912131732[[#This Row],[Y1 Total quantity]]</f>
        <v>0</v>
      </c>
      <c r="U150" s="1126"/>
      <c r="V150" s="1171"/>
      <c r="W150" s="1171"/>
      <c r="X150" s="1171"/>
      <c r="Y150" s="1171"/>
      <c r="Z150" s="59">
        <f>SUM(Table6912131732[[#This Row],[Y2 Q1 quantity]:[Y2 Q4 quantity]])</f>
        <v>0</v>
      </c>
      <c r="AA150" s="1142">
        <f>Table6912131732[[#This Row],[Y2 Unit cost]]*Table6912131732[[#This Row],[Y2 Total quantity]]</f>
        <v>0</v>
      </c>
      <c r="AB150" s="1126"/>
      <c r="AC150" s="1171"/>
      <c r="AD150" s="1171"/>
      <c r="AE150" s="1171"/>
      <c r="AF150" s="1171"/>
      <c r="AG150" s="59">
        <f>SUM(Table6912131732[[#This Row],[Y3 Q1 quantity]:[Y3 Q4 quantity]])</f>
        <v>0</v>
      </c>
      <c r="AH150" s="1142">
        <f>Table6912131732[[#This Row],[Y3 Unit cost]]*Table6912131732[[#This Row],[Y3 Total quantity]]</f>
        <v>0</v>
      </c>
      <c r="AI150" s="62">
        <f>Table6912131732[[#This Row],[Y1 Total quantity]]+Table6912131732[[#This Row],[Y2 Total quantity]]+Table6912131732[[#This Row],[Y3 Total quantity]]</f>
        <v>0</v>
      </c>
      <c r="AJ150" s="1142">
        <f>Table6912131732[[#This Row],[Y1 Total cost]]+Table6912131732[[#This Row],[Y2 Total cost]]+Table6912131732[[#This Row],[Y3 Total cost]]</f>
        <v>0</v>
      </c>
      <c r="AK150" s="343" t="str">
        <f t="shared" si="12"/>
        <v/>
      </c>
      <c r="AL150" s="1265"/>
    </row>
    <row r="151" spans="1:38" s="249" customFormat="1">
      <c r="A151" s="2796"/>
      <c r="B151" s="2797"/>
      <c r="C151" s="2797"/>
      <c r="D151" s="2798"/>
      <c r="E151" s="2801"/>
      <c r="F151" s="2802"/>
      <c r="G151" s="2803"/>
      <c r="H151" s="2812"/>
      <c r="I151" s="2813"/>
      <c r="J151" s="2813"/>
      <c r="K151" s="2814"/>
      <c r="L151" s="384" t="str">
        <f t="shared" si="13"/>
        <v/>
      </c>
      <c r="M151" s="384" t="str">
        <f t="shared" si="14"/>
        <v/>
      </c>
      <c r="N151" s="1126"/>
      <c r="O151" s="1171"/>
      <c r="P151" s="1171"/>
      <c r="Q151" s="1171"/>
      <c r="R151" s="1171"/>
      <c r="S151" s="59">
        <f>SUM(Table6912131732[[#This Row],[Y1 Q1 quantity]:[Y1 Q4 quantity]])</f>
        <v>0</v>
      </c>
      <c r="T151" s="1132">
        <f>Table6912131732[[#This Row],[Y1 Unit cost]]*Table6912131732[[#This Row],[Y1 Total quantity]]</f>
        <v>0</v>
      </c>
      <c r="U151" s="1126"/>
      <c r="V151" s="1171"/>
      <c r="W151" s="1171"/>
      <c r="X151" s="1171"/>
      <c r="Y151" s="1171"/>
      <c r="Z151" s="59">
        <f>SUM(Table6912131732[[#This Row],[Y2 Q1 quantity]:[Y2 Q4 quantity]])</f>
        <v>0</v>
      </c>
      <c r="AA151" s="1142">
        <f>Table6912131732[[#This Row],[Y2 Unit cost]]*Table6912131732[[#This Row],[Y2 Total quantity]]</f>
        <v>0</v>
      </c>
      <c r="AB151" s="1126"/>
      <c r="AC151" s="1171"/>
      <c r="AD151" s="1171"/>
      <c r="AE151" s="1171"/>
      <c r="AF151" s="1171"/>
      <c r="AG151" s="59">
        <f>SUM(Table6912131732[[#This Row],[Y3 Q1 quantity]:[Y3 Q4 quantity]])</f>
        <v>0</v>
      </c>
      <c r="AH151" s="1142">
        <f>Table6912131732[[#This Row],[Y3 Unit cost]]*Table6912131732[[#This Row],[Y3 Total quantity]]</f>
        <v>0</v>
      </c>
      <c r="AI151" s="62">
        <f>Table6912131732[[#This Row],[Y1 Total quantity]]+Table6912131732[[#This Row],[Y2 Total quantity]]+Table6912131732[[#This Row],[Y3 Total quantity]]</f>
        <v>0</v>
      </c>
      <c r="AJ151" s="1142">
        <f>Table6912131732[[#This Row],[Y1 Total cost]]+Table6912131732[[#This Row],[Y2 Total cost]]+Table6912131732[[#This Row],[Y3 Total cost]]</f>
        <v>0</v>
      </c>
      <c r="AK151" s="343" t="str">
        <f t="shared" si="12"/>
        <v/>
      </c>
      <c r="AL151" s="1266"/>
    </row>
    <row r="152" spans="1:38" s="249" customFormat="1">
      <c r="A152" s="2752"/>
      <c r="B152" s="2753"/>
      <c r="C152" s="2753"/>
      <c r="D152" s="2754"/>
      <c r="E152" s="2821"/>
      <c r="F152" s="2822"/>
      <c r="G152" s="2823"/>
      <c r="H152" s="2815"/>
      <c r="I152" s="2816"/>
      <c r="J152" s="2816"/>
      <c r="K152" s="2817"/>
      <c r="L152" s="385" t="str">
        <f t="shared" si="13"/>
        <v/>
      </c>
      <c r="M152" s="385" t="str">
        <f t="shared" si="14"/>
        <v/>
      </c>
      <c r="N152" s="1126"/>
      <c r="O152" s="1171"/>
      <c r="P152" s="1171"/>
      <c r="Q152" s="1171"/>
      <c r="R152" s="1171"/>
      <c r="S152" s="59">
        <f>SUM(Table6912131732[[#This Row],[Y1 Q1 quantity]:[Y1 Q4 quantity]])</f>
        <v>0</v>
      </c>
      <c r="T152" s="1132">
        <f>Table6912131732[[#This Row],[Y1 Unit cost]]*Table6912131732[[#This Row],[Y1 Total quantity]]</f>
        <v>0</v>
      </c>
      <c r="U152" s="1126"/>
      <c r="V152" s="1171"/>
      <c r="W152" s="1171"/>
      <c r="X152" s="1171"/>
      <c r="Y152" s="1171"/>
      <c r="Z152" s="59">
        <f>SUM(Table6912131732[[#This Row],[Y2 Q1 quantity]:[Y2 Q4 quantity]])</f>
        <v>0</v>
      </c>
      <c r="AA152" s="1142">
        <f>Table6912131732[[#This Row],[Y2 Unit cost]]*Table6912131732[[#This Row],[Y2 Total quantity]]</f>
        <v>0</v>
      </c>
      <c r="AB152" s="1126"/>
      <c r="AC152" s="1171"/>
      <c r="AD152" s="1171"/>
      <c r="AE152" s="1171"/>
      <c r="AF152" s="1171"/>
      <c r="AG152" s="59">
        <f>SUM(Table6912131732[[#This Row],[Y3 Q1 quantity]:[Y3 Q4 quantity]])</f>
        <v>0</v>
      </c>
      <c r="AH152" s="1142">
        <f>Table6912131732[[#This Row],[Y3 Unit cost]]*Table6912131732[[#This Row],[Y3 Total quantity]]</f>
        <v>0</v>
      </c>
      <c r="AI152" s="62">
        <f>Table6912131732[[#This Row],[Y1 Total quantity]]+Table6912131732[[#This Row],[Y2 Total quantity]]+Table6912131732[[#This Row],[Y3 Total quantity]]</f>
        <v>0</v>
      </c>
      <c r="AJ152" s="1142">
        <f>Table6912131732[[#This Row],[Y1 Total cost]]+Table6912131732[[#This Row],[Y2 Total cost]]+Table6912131732[[#This Row],[Y3 Total cost]]</f>
        <v>0</v>
      </c>
      <c r="AK152" s="343" t="str">
        <f t="shared" si="12"/>
        <v/>
      </c>
      <c r="AL152" s="1265"/>
    </row>
    <row r="153" spans="1:38" s="249" customFormat="1">
      <c r="A153" s="2796"/>
      <c r="B153" s="2797"/>
      <c r="C153" s="2797"/>
      <c r="D153" s="2798"/>
      <c r="E153" s="2801"/>
      <c r="F153" s="2802"/>
      <c r="G153" s="2803"/>
      <c r="H153" s="2812"/>
      <c r="I153" s="2813"/>
      <c r="J153" s="2813"/>
      <c r="K153" s="2814"/>
      <c r="L153" s="384" t="str">
        <f t="shared" si="13"/>
        <v/>
      </c>
      <c r="M153" s="384" t="str">
        <f t="shared" si="14"/>
        <v/>
      </c>
      <c r="N153" s="1126"/>
      <c r="O153" s="1171"/>
      <c r="P153" s="1171"/>
      <c r="Q153" s="1171"/>
      <c r="R153" s="1171"/>
      <c r="S153" s="59">
        <f>SUM(Table6912131732[[#This Row],[Y1 Q1 quantity]:[Y1 Q4 quantity]])</f>
        <v>0</v>
      </c>
      <c r="T153" s="1132">
        <f>Table6912131732[[#This Row],[Y1 Unit cost]]*Table6912131732[[#This Row],[Y1 Total quantity]]</f>
        <v>0</v>
      </c>
      <c r="U153" s="1126"/>
      <c r="V153" s="1171"/>
      <c r="W153" s="1171"/>
      <c r="X153" s="1171"/>
      <c r="Y153" s="1171"/>
      <c r="Z153" s="59">
        <f>SUM(Table6912131732[[#This Row],[Y2 Q1 quantity]:[Y2 Q4 quantity]])</f>
        <v>0</v>
      </c>
      <c r="AA153" s="1142">
        <f>Table6912131732[[#This Row],[Y2 Unit cost]]*Table6912131732[[#This Row],[Y2 Total quantity]]</f>
        <v>0</v>
      </c>
      <c r="AB153" s="1126"/>
      <c r="AC153" s="1171"/>
      <c r="AD153" s="1171"/>
      <c r="AE153" s="1171"/>
      <c r="AF153" s="1171"/>
      <c r="AG153" s="59">
        <f>SUM(Table6912131732[[#This Row],[Y3 Q1 quantity]:[Y3 Q4 quantity]])</f>
        <v>0</v>
      </c>
      <c r="AH153" s="1142">
        <f>Table6912131732[[#This Row],[Y3 Unit cost]]*Table6912131732[[#This Row],[Y3 Total quantity]]</f>
        <v>0</v>
      </c>
      <c r="AI153" s="62">
        <f>Table6912131732[[#This Row],[Y1 Total quantity]]+Table6912131732[[#This Row],[Y2 Total quantity]]+Table6912131732[[#This Row],[Y3 Total quantity]]</f>
        <v>0</v>
      </c>
      <c r="AJ153" s="1142">
        <f>Table6912131732[[#This Row],[Y1 Total cost]]+Table6912131732[[#This Row],[Y2 Total cost]]+Table6912131732[[#This Row],[Y3 Total cost]]</f>
        <v>0</v>
      </c>
      <c r="AK153" s="343" t="str">
        <f t="shared" si="12"/>
        <v/>
      </c>
      <c r="AL153" s="1266"/>
    </row>
    <row r="154" spans="1:38" s="249" customFormat="1">
      <c r="A154" s="2752"/>
      <c r="B154" s="2753"/>
      <c r="C154" s="2753"/>
      <c r="D154" s="2754"/>
      <c r="E154" s="2821"/>
      <c r="F154" s="2822"/>
      <c r="G154" s="2823"/>
      <c r="H154" s="2815"/>
      <c r="I154" s="2816"/>
      <c r="J154" s="2816"/>
      <c r="K154" s="2817"/>
      <c r="L154" s="385" t="str">
        <f t="shared" si="13"/>
        <v/>
      </c>
      <c r="M154" s="385" t="str">
        <f t="shared" si="14"/>
        <v/>
      </c>
      <c r="N154" s="1126"/>
      <c r="O154" s="1171"/>
      <c r="P154" s="1171"/>
      <c r="Q154" s="1171"/>
      <c r="R154" s="1171"/>
      <c r="S154" s="59">
        <f>SUM(Table6912131732[[#This Row],[Y1 Q1 quantity]:[Y1 Q4 quantity]])</f>
        <v>0</v>
      </c>
      <c r="T154" s="1132">
        <f>Table6912131732[[#This Row],[Y1 Unit cost]]*Table6912131732[[#This Row],[Y1 Total quantity]]</f>
        <v>0</v>
      </c>
      <c r="U154" s="1126"/>
      <c r="V154" s="1171"/>
      <c r="W154" s="1171"/>
      <c r="X154" s="1171"/>
      <c r="Y154" s="1171"/>
      <c r="Z154" s="59">
        <f>SUM(Table6912131732[[#This Row],[Y2 Q1 quantity]:[Y2 Q4 quantity]])</f>
        <v>0</v>
      </c>
      <c r="AA154" s="1142">
        <f>Table6912131732[[#This Row],[Y2 Unit cost]]*Table6912131732[[#This Row],[Y2 Total quantity]]</f>
        <v>0</v>
      </c>
      <c r="AB154" s="1126"/>
      <c r="AC154" s="1171"/>
      <c r="AD154" s="1171"/>
      <c r="AE154" s="1171"/>
      <c r="AF154" s="1171"/>
      <c r="AG154" s="59">
        <f>SUM(Table6912131732[[#This Row],[Y3 Q1 quantity]:[Y3 Q4 quantity]])</f>
        <v>0</v>
      </c>
      <c r="AH154" s="1142">
        <f>Table6912131732[[#This Row],[Y3 Unit cost]]*Table6912131732[[#This Row],[Y3 Total quantity]]</f>
        <v>0</v>
      </c>
      <c r="AI154" s="62">
        <f>Table6912131732[[#This Row],[Y1 Total quantity]]+Table6912131732[[#This Row],[Y2 Total quantity]]+Table6912131732[[#This Row],[Y3 Total quantity]]</f>
        <v>0</v>
      </c>
      <c r="AJ154" s="1142">
        <f>Table6912131732[[#This Row],[Y1 Total cost]]+Table6912131732[[#This Row],[Y2 Total cost]]+Table6912131732[[#This Row],[Y3 Total cost]]</f>
        <v>0</v>
      </c>
      <c r="AK154" s="343" t="str">
        <f t="shared" si="12"/>
        <v/>
      </c>
      <c r="AL154" s="1265"/>
    </row>
    <row r="155" spans="1:38" s="249" customFormat="1">
      <c r="A155" s="2796"/>
      <c r="B155" s="2797"/>
      <c r="C155" s="2797"/>
      <c r="D155" s="2798"/>
      <c r="E155" s="2801"/>
      <c r="F155" s="2802"/>
      <c r="G155" s="2803"/>
      <c r="H155" s="2812"/>
      <c r="I155" s="2813"/>
      <c r="J155" s="2813"/>
      <c r="K155" s="2814"/>
      <c r="L155" s="384" t="str">
        <f t="shared" si="13"/>
        <v/>
      </c>
      <c r="M155" s="384" t="str">
        <f t="shared" si="14"/>
        <v/>
      </c>
      <c r="N155" s="1126"/>
      <c r="O155" s="1171"/>
      <c r="P155" s="1171"/>
      <c r="Q155" s="1171"/>
      <c r="R155" s="1171"/>
      <c r="S155" s="59">
        <f>SUM(Table6912131732[[#This Row],[Y1 Q1 quantity]:[Y1 Q4 quantity]])</f>
        <v>0</v>
      </c>
      <c r="T155" s="1132">
        <f>Table6912131732[[#This Row],[Y1 Unit cost]]*Table6912131732[[#This Row],[Y1 Total quantity]]</f>
        <v>0</v>
      </c>
      <c r="U155" s="1126"/>
      <c r="V155" s="1171"/>
      <c r="W155" s="1171"/>
      <c r="X155" s="1171"/>
      <c r="Y155" s="1171"/>
      <c r="Z155" s="59">
        <f>SUM(Table6912131732[[#This Row],[Y2 Q1 quantity]:[Y2 Q4 quantity]])</f>
        <v>0</v>
      </c>
      <c r="AA155" s="1142">
        <f>Table6912131732[[#This Row],[Y2 Unit cost]]*Table6912131732[[#This Row],[Y2 Total quantity]]</f>
        <v>0</v>
      </c>
      <c r="AB155" s="1126"/>
      <c r="AC155" s="1171"/>
      <c r="AD155" s="1171"/>
      <c r="AE155" s="1171"/>
      <c r="AF155" s="1171"/>
      <c r="AG155" s="59">
        <f>SUM(Table6912131732[[#This Row],[Y3 Q1 quantity]:[Y3 Q4 quantity]])</f>
        <v>0</v>
      </c>
      <c r="AH155" s="1142">
        <f>Table6912131732[[#This Row],[Y3 Unit cost]]*Table6912131732[[#This Row],[Y3 Total quantity]]</f>
        <v>0</v>
      </c>
      <c r="AI155" s="62">
        <f>Table6912131732[[#This Row],[Y1 Total quantity]]+Table6912131732[[#This Row],[Y2 Total quantity]]+Table6912131732[[#This Row],[Y3 Total quantity]]</f>
        <v>0</v>
      </c>
      <c r="AJ155" s="1142">
        <f>Table6912131732[[#This Row],[Y1 Total cost]]+Table6912131732[[#This Row],[Y2 Total cost]]+Table6912131732[[#This Row],[Y3 Total cost]]</f>
        <v>0</v>
      </c>
      <c r="AK155" s="343" t="str">
        <f t="shared" si="12"/>
        <v/>
      </c>
      <c r="AL155" s="1266"/>
    </row>
    <row r="156" spans="1:38" s="249" customFormat="1">
      <c r="A156" s="2752"/>
      <c r="B156" s="2753"/>
      <c r="C156" s="2753"/>
      <c r="D156" s="2754"/>
      <c r="E156" s="2821"/>
      <c r="F156" s="2822"/>
      <c r="G156" s="2823"/>
      <c r="H156" s="2815"/>
      <c r="I156" s="2816"/>
      <c r="J156" s="2816"/>
      <c r="K156" s="2817"/>
      <c r="L156" s="385" t="str">
        <f t="shared" si="13"/>
        <v/>
      </c>
      <c r="M156" s="385" t="str">
        <f t="shared" si="14"/>
        <v/>
      </c>
      <c r="N156" s="1126"/>
      <c r="O156" s="1171"/>
      <c r="P156" s="1171"/>
      <c r="Q156" s="1171"/>
      <c r="R156" s="1171"/>
      <c r="S156" s="59">
        <f>SUM(Table6912131732[[#This Row],[Y1 Q1 quantity]:[Y1 Q4 quantity]])</f>
        <v>0</v>
      </c>
      <c r="T156" s="1132">
        <f>Table6912131732[[#This Row],[Y1 Unit cost]]*Table6912131732[[#This Row],[Y1 Total quantity]]</f>
        <v>0</v>
      </c>
      <c r="U156" s="1126"/>
      <c r="V156" s="1171"/>
      <c r="W156" s="1171"/>
      <c r="X156" s="1171"/>
      <c r="Y156" s="1171"/>
      <c r="Z156" s="59">
        <f>SUM(Table6912131732[[#This Row],[Y2 Q1 quantity]:[Y2 Q4 quantity]])</f>
        <v>0</v>
      </c>
      <c r="AA156" s="1142">
        <f>Table6912131732[[#This Row],[Y2 Unit cost]]*Table6912131732[[#This Row],[Y2 Total quantity]]</f>
        <v>0</v>
      </c>
      <c r="AB156" s="1126"/>
      <c r="AC156" s="1171"/>
      <c r="AD156" s="1171"/>
      <c r="AE156" s="1171"/>
      <c r="AF156" s="1171"/>
      <c r="AG156" s="59">
        <f>SUM(Table6912131732[[#This Row],[Y3 Q1 quantity]:[Y3 Q4 quantity]])</f>
        <v>0</v>
      </c>
      <c r="AH156" s="1142">
        <f>Table6912131732[[#This Row],[Y3 Unit cost]]*Table6912131732[[#This Row],[Y3 Total quantity]]</f>
        <v>0</v>
      </c>
      <c r="AI156" s="62">
        <f>Table6912131732[[#This Row],[Y1 Total quantity]]+Table6912131732[[#This Row],[Y2 Total quantity]]+Table6912131732[[#This Row],[Y3 Total quantity]]</f>
        <v>0</v>
      </c>
      <c r="AJ156" s="1142">
        <f>Table6912131732[[#This Row],[Y1 Total cost]]+Table6912131732[[#This Row],[Y2 Total cost]]+Table6912131732[[#This Row],[Y3 Total cost]]</f>
        <v>0</v>
      </c>
      <c r="AK156" s="343" t="str">
        <f t="shared" si="12"/>
        <v/>
      </c>
      <c r="AL156" s="1265"/>
    </row>
    <row r="157" spans="1:38" s="249" customFormat="1">
      <c r="A157" s="2796"/>
      <c r="B157" s="2797"/>
      <c r="C157" s="2797"/>
      <c r="D157" s="2798"/>
      <c r="E157" s="2801"/>
      <c r="F157" s="2802"/>
      <c r="G157" s="2803"/>
      <c r="H157" s="2812"/>
      <c r="I157" s="2813"/>
      <c r="J157" s="2813"/>
      <c r="K157" s="2814"/>
      <c r="L157" s="384" t="str">
        <f t="shared" si="13"/>
        <v/>
      </c>
      <c r="M157" s="384" t="str">
        <f t="shared" si="14"/>
        <v/>
      </c>
      <c r="N157" s="1126"/>
      <c r="O157" s="1171"/>
      <c r="P157" s="1171"/>
      <c r="Q157" s="1171"/>
      <c r="R157" s="1171"/>
      <c r="S157" s="59">
        <f>SUM(Table6912131732[[#This Row],[Y1 Q1 quantity]:[Y1 Q4 quantity]])</f>
        <v>0</v>
      </c>
      <c r="T157" s="1132">
        <f>Table6912131732[[#This Row],[Y1 Unit cost]]*Table6912131732[[#This Row],[Y1 Total quantity]]</f>
        <v>0</v>
      </c>
      <c r="U157" s="1126"/>
      <c r="V157" s="1171"/>
      <c r="W157" s="1171"/>
      <c r="X157" s="1171"/>
      <c r="Y157" s="1171"/>
      <c r="Z157" s="59">
        <f>SUM(Table6912131732[[#This Row],[Y2 Q1 quantity]:[Y2 Q4 quantity]])</f>
        <v>0</v>
      </c>
      <c r="AA157" s="1142">
        <f>Table6912131732[[#This Row],[Y2 Unit cost]]*Table6912131732[[#This Row],[Y2 Total quantity]]</f>
        <v>0</v>
      </c>
      <c r="AB157" s="1126"/>
      <c r="AC157" s="1171"/>
      <c r="AD157" s="1171"/>
      <c r="AE157" s="1171"/>
      <c r="AF157" s="1171"/>
      <c r="AG157" s="59">
        <f>SUM(Table6912131732[[#This Row],[Y3 Q1 quantity]:[Y3 Q4 quantity]])</f>
        <v>0</v>
      </c>
      <c r="AH157" s="1142">
        <f>Table6912131732[[#This Row],[Y3 Unit cost]]*Table6912131732[[#This Row],[Y3 Total quantity]]</f>
        <v>0</v>
      </c>
      <c r="AI157" s="62">
        <f>Table6912131732[[#This Row],[Y1 Total quantity]]+Table6912131732[[#This Row],[Y2 Total quantity]]+Table6912131732[[#This Row],[Y3 Total quantity]]</f>
        <v>0</v>
      </c>
      <c r="AJ157" s="1142">
        <f>Table6912131732[[#This Row],[Y1 Total cost]]+Table6912131732[[#This Row],[Y2 Total cost]]+Table6912131732[[#This Row],[Y3 Total cost]]</f>
        <v>0</v>
      </c>
      <c r="AK157" s="343" t="str">
        <f t="shared" si="12"/>
        <v/>
      </c>
      <c r="AL157" s="1266"/>
    </row>
    <row r="158" spans="1:38" s="249" customFormat="1">
      <c r="A158" s="2752"/>
      <c r="B158" s="2753"/>
      <c r="C158" s="2753"/>
      <c r="D158" s="2754"/>
      <c r="E158" s="2821"/>
      <c r="F158" s="2822"/>
      <c r="G158" s="2823"/>
      <c r="H158" s="2815"/>
      <c r="I158" s="2816"/>
      <c r="J158" s="2816"/>
      <c r="K158" s="2817"/>
      <c r="L158" s="385" t="str">
        <f t="shared" si="13"/>
        <v/>
      </c>
      <c r="M158" s="385" t="str">
        <f t="shared" si="14"/>
        <v/>
      </c>
      <c r="N158" s="1126"/>
      <c r="O158" s="1171"/>
      <c r="P158" s="1171"/>
      <c r="Q158" s="1171"/>
      <c r="R158" s="1171"/>
      <c r="S158" s="59">
        <f>SUM(Table6912131732[[#This Row],[Y1 Q1 quantity]:[Y1 Q4 quantity]])</f>
        <v>0</v>
      </c>
      <c r="T158" s="1132">
        <f>Table6912131732[[#This Row],[Y1 Unit cost]]*Table6912131732[[#This Row],[Y1 Total quantity]]</f>
        <v>0</v>
      </c>
      <c r="U158" s="1126"/>
      <c r="V158" s="1171"/>
      <c r="W158" s="1171"/>
      <c r="X158" s="1171"/>
      <c r="Y158" s="1171"/>
      <c r="Z158" s="59">
        <f>SUM(Table6912131732[[#This Row],[Y2 Q1 quantity]:[Y2 Q4 quantity]])</f>
        <v>0</v>
      </c>
      <c r="AA158" s="1142">
        <f>Table6912131732[[#This Row],[Y2 Unit cost]]*Table6912131732[[#This Row],[Y2 Total quantity]]</f>
        <v>0</v>
      </c>
      <c r="AB158" s="1126"/>
      <c r="AC158" s="1171"/>
      <c r="AD158" s="1171"/>
      <c r="AE158" s="1171"/>
      <c r="AF158" s="1171"/>
      <c r="AG158" s="59">
        <f>SUM(Table6912131732[[#This Row],[Y3 Q1 quantity]:[Y3 Q4 quantity]])</f>
        <v>0</v>
      </c>
      <c r="AH158" s="1142">
        <f>Table6912131732[[#This Row],[Y3 Unit cost]]*Table6912131732[[#This Row],[Y3 Total quantity]]</f>
        <v>0</v>
      </c>
      <c r="AI158" s="62">
        <f>Table6912131732[[#This Row],[Y1 Total quantity]]+Table6912131732[[#This Row],[Y2 Total quantity]]+Table6912131732[[#This Row],[Y3 Total quantity]]</f>
        <v>0</v>
      </c>
      <c r="AJ158" s="1142">
        <f>Table6912131732[[#This Row],[Y1 Total cost]]+Table6912131732[[#This Row],[Y2 Total cost]]+Table6912131732[[#This Row],[Y3 Total cost]]</f>
        <v>0</v>
      </c>
      <c r="AK158" s="343" t="str">
        <f t="shared" si="12"/>
        <v/>
      </c>
      <c r="AL158" s="1265"/>
    </row>
    <row r="159" spans="1:38" s="249" customFormat="1">
      <c r="A159" s="2796"/>
      <c r="B159" s="2797"/>
      <c r="C159" s="2797"/>
      <c r="D159" s="2798"/>
      <c r="E159" s="2801"/>
      <c r="F159" s="2802"/>
      <c r="G159" s="2803"/>
      <c r="H159" s="2812"/>
      <c r="I159" s="2813"/>
      <c r="J159" s="2813"/>
      <c r="K159" s="2814"/>
      <c r="L159" s="384" t="str">
        <f t="shared" si="13"/>
        <v/>
      </c>
      <c r="M159" s="384" t="str">
        <f t="shared" si="14"/>
        <v/>
      </c>
      <c r="N159" s="1126"/>
      <c r="O159" s="1171"/>
      <c r="P159" s="1171"/>
      <c r="Q159" s="1171"/>
      <c r="R159" s="1171"/>
      <c r="S159" s="59">
        <f>SUM(Table6912131732[[#This Row],[Y1 Q1 quantity]:[Y1 Q4 quantity]])</f>
        <v>0</v>
      </c>
      <c r="T159" s="1132">
        <f>Table6912131732[[#This Row],[Y1 Unit cost]]*Table6912131732[[#This Row],[Y1 Total quantity]]</f>
        <v>0</v>
      </c>
      <c r="U159" s="1126"/>
      <c r="V159" s="1171"/>
      <c r="W159" s="1171"/>
      <c r="X159" s="1171"/>
      <c r="Y159" s="1171"/>
      <c r="Z159" s="59">
        <f>SUM(Table6912131732[[#This Row],[Y2 Q1 quantity]:[Y2 Q4 quantity]])</f>
        <v>0</v>
      </c>
      <c r="AA159" s="1142">
        <f>Table6912131732[[#This Row],[Y2 Unit cost]]*Table6912131732[[#This Row],[Y2 Total quantity]]</f>
        <v>0</v>
      </c>
      <c r="AB159" s="1126"/>
      <c r="AC159" s="1171"/>
      <c r="AD159" s="1171"/>
      <c r="AE159" s="1171"/>
      <c r="AF159" s="1171"/>
      <c r="AG159" s="59">
        <f>SUM(Table6912131732[[#This Row],[Y3 Q1 quantity]:[Y3 Q4 quantity]])</f>
        <v>0</v>
      </c>
      <c r="AH159" s="1142">
        <f>Table6912131732[[#This Row],[Y3 Unit cost]]*Table6912131732[[#This Row],[Y3 Total quantity]]</f>
        <v>0</v>
      </c>
      <c r="AI159" s="62">
        <f>Table6912131732[[#This Row],[Y1 Total quantity]]+Table6912131732[[#This Row],[Y2 Total quantity]]+Table6912131732[[#This Row],[Y3 Total quantity]]</f>
        <v>0</v>
      </c>
      <c r="AJ159" s="1142">
        <f>Table6912131732[[#This Row],[Y1 Total cost]]+Table6912131732[[#This Row],[Y2 Total cost]]+Table6912131732[[#This Row],[Y3 Total cost]]</f>
        <v>0</v>
      </c>
      <c r="AK159" s="343" t="str">
        <f t="shared" si="12"/>
        <v/>
      </c>
      <c r="AL159" s="1266"/>
    </row>
    <row r="160" spans="1:38" s="249" customFormat="1">
      <c r="A160" s="2752"/>
      <c r="B160" s="2753"/>
      <c r="C160" s="2753"/>
      <c r="D160" s="2754"/>
      <c r="E160" s="2821"/>
      <c r="F160" s="2822"/>
      <c r="G160" s="2823"/>
      <c r="H160" s="2815"/>
      <c r="I160" s="2816"/>
      <c r="J160" s="2816"/>
      <c r="K160" s="2817"/>
      <c r="L160" s="385" t="str">
        <f t="shared" si="13"/>
        <v/>
      </c>
      <c r="M160" s="385" t="str">
        <f t="shared" si="14"/>
        <v/>
      </c>
      <c r="N160" s="1126"/>
      <c r="O160" s="1171"/>
      <c r="P160" s="1171"/>
      <c r="Q160" s="1171"/>
      <c r="R160" s="1171"/>
      <c r="S160" s="59">
        <f>SUM(Table6912131732[[#This Row],[Y1 Q1 quantity]:[Y1 Q4 quantity]])</f>
        <v>0</v>
      </c>
      <c r="T160" s="1132">
        <f>Table6912131732[[#This Row],[Y1 Unit cost]]*Table6912131732[[#This Row],[Y1 Total quantity]]</f>
        <v>0</v>
      </c>
      <c r="U160" s="1126"/>
      <c r="V160" s="1171"/>
      <c r="W160" s="1171"/>
      <c r="X160" s="1171"/>
      <c r="Y160" s="1171"/>
      <c r="Z160" s="59">
        <f>SUM(Table6912131732[[#This Row],[Y2 Q1 quantity]:[Y2 Q4 quantity]])</f>
        <v>0</v>
      </c>
      <c r="AA160" s="1142">
        <f>Table6912131732[[#This Row],[Y2 Unit cost]]*Table6912131732[[#This Row],[Y2 Total quantity]]</f>
        <v>0</v>
      </c>
      <c r="AB160" s="1126"/>
      <c r="AC160" s="1171"/>
      <c r="AD160" s="1171"/>
      <c r="AE160" s="1171"/>
      <c r="AF160" s="1171"/>
      <c r="AG160" s="59">
        <f>SUM(Table6912131732[[#This Row],[Y3 Q1 quantity]:[Y3 Q4 quantity]])</f>
        <v>0</v>
      </c>
      <c r="AH160" s="1142">
        <f>Table6912131732[[#This Row],[Y3 Unit cost]]*Table6912131732[[#This Row],[Y3 Total quantity]]</f>
        <v>0</v>
      </c>
      <c r="AI160" s="62">
        <f>Table6912131732[[#This Row],[Y1 Total quantity]]+Table6912131732[[#This Row],[Y2 Total quantity]]+Table6912131732[[#This Row],[Y3 Total quantity]]</f>
        <v>0</v>
      </c>
      <c r="AJ160" s="1142">
        <f>Table6912131732[[#This Row],[Y1 Total cost]]+Table6912131732[[#This Row],[Y2 Total cost]]+Table6912131732[[#This Row],[Y3 Total cost]]</f>
        <v>0</v>
      </c>
      <c r="AK160" s="343" t="str">
        <f t="shared" si="12"/>
        <v/>
      </c>
      <c r="AL160" s="1265"/>
    </row>
    <row r="161" spans="1:38" s="249" customFormat="1">
      <c r="A161" s="2796"/>
      <c r="B161" s="2797"/>
      <c r="C161" s="2797"/>
      <c r="D161" s="2798"/>
      <c r="E161" s="2801"/>
      <c r="F161" s="2802"/>
      <c r="G161" s="2803"/>
      <c r="H161" s="2812"/>
      <c r="I161" s="2813"/>
      <c r="J161" s="2813"/>
      <c r="K161" s="2814"/>
      <c r="L161" s="384" t="str">
        <f t="shared" si="13"/>
        <v/>
      </c>
      <c r="M161" s="384" t="str">
        <f t="shared" si="14"/>
        <v/>
      </c>
      <c r="N161" s="1126"/>
      <c r="O161" s="1171"/>
      <c r="P161" s="1171"/>
      <c r="Q161" s="1171"/>
      <c r="R161" s="1171"/>
      <c r="S161" s="59">
        <f>SUM(Table6912131732[[#This Row],[Y1 Q1 quantity]:[Y1 Q4 quantity]])</f>
        <v>0</v>
      </c>
      <c r="T161" s="1132">
        <f>Table6912131732[[#This Row],[Y1 Unit cost]]*Table6912131732[[#This Row],[Y1 Total quantity]]</f>
        <v>0</v>
      </c>
      <c r="U161" s="1126"/>
      <c r="V161" s="1171"/>
      <c r="W161" s="1171"/>
      <c r="X161" s="1171"/>
      <c r="Y161" s="1171"/>
      <c r="Z161" s="59">
        <f>SUM(Table6912131732[[#This Row],[Y2 Q1 quantity]:[Y2 Q4 quantity]])</f>
        <v>0</v>
      </c>
      <c r="AA161" s="1142">
        <f>Table6912131732[[#This Row],[Y2 Unit cost]]*Table6912131732[[#This Row],[Y2 Total quantity]]</f>
        <v>0</v>
      </c>
      <c r="AB161" s="1126"/>
      <c r="AC161" s="1171"/>
      <c r="AD161" s="1171"/>
      <c r="AE161" s="1171"/>
      <c r="AF161" s="1171"/>
      <c r="AG161" s="59">
        <f>SUM(Table6912131732[[#This Row],[Y3 Q1 quantity]:[Y3 Q4 quantity]])</f>
        <v>0</v>
      </c>
      <c r="AH161" s="1142">
        <f>Table6912131732[[#This Row],[Y3 Unit cost]]*Table6912131732[[#This Row],[Y3 Total quantity]]</f>
        <v>0</v>
      </c>
      <c r="AI161" s="62">
        <f>Table6912131732[[#This Row],[Y1 Total quantity]]+Table6912131732[[#This Row],[Y2 Total quantity]]+Table6912131732[[#This Row],[Y3 Total quantity]]</f>
        <v>0</v>
      </c>
      <c r="AJ161" s="1142">
        <f>Table6912131732[[#This Row],[Y1 Total cost]]+Table6912131732[[#This Row],[Y2 Total cost]]+Table6912131732[[#This Row],[Y3 Total cost]]</f>
        <v>0</v>
      </c>
      <c r="AK161" s="343" t="str">
        <f t="shared" si="12"/>
        <v/>
      </c>
      <c r="AL161" s="1266"/>
    </row>
    <row r="162" spans="1:38" s="249" customFormat="1">
      <c r="A162" s="2752"/>
      <c r="B162" s="2753"/>
      <c r="C162" s="2753"/>
      <c r="D162" s="2754"/>
      <c r="E162" s="2821"/>
      <c r="F162" s="2822"/>
      <c r="G162" s="2823"/>
      <c r="H162" s="2815"/>
      <c r="I162" s="2816"/>
      <c r="J162" s="2816"/>
      <c r="K162" s="2817"/>
      <c r="L162" s="385" t="str">
        <f t="shared" si="13"/>
        <v/>
      </c>
      <c r="M162" s="385" t="str">
        <f t="shared" si="14"/>
        <v/>
      </c>
      <c r="N162" s="1126"/>
      <c r="O162" s="1171"/>
      <c r="P162" s="1171"/>
      <c r="Q162" s="1171"/>
      <c r="R162" s="1171"/>
      <c r="S162" s="59">
        <f>SUM(Table6912131732[[#This Row],[Y1 Q1 quantity]:[Y1 Q4 quantity]])</f>
        <v>0</v>
      </c>
      <c r="T162" s="1132">
        <f>Table6912131732[[#This Row],[Y1 Unit cost]]*Table6912131732[[#This Row],[Y1 Total quantity]]</f>
        <v>0</v>
      </c>
      <c r="U162" s="1126"/>
      <c r="V162" s="1171"/>
      <c r="W162" s="1171"/>
      <c r="X162" s="1171"/>
      <c r="Y162" s="1171"/>
      <c r="Z162" s="59">
        <f>SUM(Table6912131732[[#This Row],[Y2 Q1 quantity]:[Y2 Q4 quantity]])</f>
        <v>0</v>
      </c>
      <c r="AA162" s="1142">
        <f>Table6912131732[[#This Row],[Y2 Unit cost]]*Table6912131732[[#This Row],[Y2 Total quantity]]</f>
        <v>0</v>
      </c>
      <c r="AB162" s="1126"/>
      <c r="AC162" s="1171"/>
      <c r="AD162" s="1171"/>
      <c r="AE162" s="1171"/>
      <c r="AF162" s="1171"/>
      <c r="AG162" s="59">
        <f>SUM(Table6912131732[[#This Row],[Y3 Q1 quantity]:[Y3 Q4 quantity]])</f>
        <v>0</v>
      </c>
      <c r="AH162" s="1142">
        <f>Table6912131732[[#This Row],[Y3 Unit cost]]*Table6912131732[[#This Row],[Y3 Total quantity]]</f>
        <v>0</v>
      </c>
      <c r="AI162" s="62">
        <f>Table6912131732[[#This Row],[Y1 Total quantity]]+Table6912131732[[#This Row],[Y2 Total quantity]]+Table6912131732[[#This Row],[Y3 Total quantity]]</f>
        <v>0</v>
      </c>
      <c r="AJ162" s="1142">
        <f>Table6912131732[[#This Row],[Y1 Total cost]]+Table6912131732[[#This Row],[Y2 Total cost]]+Table6912131732[[#This Row],[Y3 Total cost]]</f>
        <v>0</v>
      </c>
      <c r="AK162" s="343" t="str">
        <f t="shared" si="12"/>
        <v/>
      </c>
      <c r="AL162" s="1265"/>
    </row>
    <row r="163" spans="1:38" s="249" customFormat="1">
      <c r="A163" s="2796"/>
      <c r="B163" s="2797"/>
      <c r="C163" s="2797"/>
      <c r="D163" s="2798"/>
      <c r="E163" s="2801"/>
      <c r="F163" s="2802"/>
      <c r="G163" s="2803"/>
      <c r="H163" s="2812"/>
      <c r="I163" s="2813"/>
      <c r="J163" s="2813"/>
      <c r="K163" s="2814"/>
      <c r="L163" s="384" t="str">
        <f t="shared" si="13"/>
        <v/>
      </c>
      <c r="M163" s="384" t="str">
        <f t="shared" si="14"/>
        <v/>
      </c>
      <c r="N163" s="1126"/>
      <c r="O163" s="1171"/>
      <c r="P163" s="1171"/>
      <c r="Q163" s="1171"/>
      <c r="R163" s="1171"/>
      <c r="S163" s="59">
        <f>SUM(Table6912131732[[#This Row],[Y1 Q1 quantity]:[Y1 Q4 quantity]])</f>
        <v>0</v>
      </c>
      <c r="T163" s="1132">
        <f>Table6912131732[[#This Row],[Y1 Unit cost]]*Table6912131732[[#This Row],[Y1 Total quantity]]</f>
        <v>0</v>
      </c>
      <c r="U163" s="1126"/>
      <c r="V163" s="1171"/>
      <c r="W163" s="1171"/>
      <c r="X163" s="1171"/>
      <c r="Y163" s="1171"/>
      <c r="Z163" s="59">
        <f>SUM(Table6912131732[[#This Row],[Y2 Q1 quantity]:[Y2 Q4 quantity]])</f>
        <v>0</v>
      </c>
      <c r="AA163" s="1142">
        <f>Table6912131732[[#This Row],[Y2 Unit cost]]*Table6912131732[[#This Row],[Y2 Total quantity]]</f>
        <v>0</v>
      </c>
      <c r="AB163" s="1126"/>
      <c r="AC163" s="1171"/>
      <c r="AD163" s="1171"/>
      <c r="AE163" s="1171"/>
      <c r="AF163" s="1171"/>
      <c r="AG163" s="59">
        <f>SUM(Table6912131732[[#This Row],[Y3 Q1 quantity]:[Y3 Q4 quantity]])</f>
        <v>0</v>
      </c>
      <c r="AH163" s="1142">
        <f>Table6912131732[[#This Row],[Y3 Unit cost]]*Table6912131732[[#This Row],[Y3 Total quantity]]</f>
        <v>0</v>
      </c>
      <c r="AI163" s="62">
        <f>Table6912131732[[#This Row],[Y1 Total quantity]]+Table6912131732[[#This Row],[Y2 Total quantity]]+Table6912131732[[#This Row],[Y3 Total quantity]]</f>
        <v>0</v>
      </c>
      <c r="AJ163" s="1142">
        <f>Table6912131732[[#This Row],[Y1 Total cost]]+Table6912131732[[#This Row],[Y2 Total cost]]+Table6912131732[[#This Row],[Y3 Total cost]]</f>
        <v>0</v>
      </c>
      <c r="AK163" s="343" t="str">
        <f t="shared" si="12"/>
        <v/>
      </c>
      <c r="AL163" s="1266"/>
    </row>
    <row r="164" spans="1:38" s="249" customFormat="1">
      <c r="A164" s="2752"/>
      <c r="B164" s="2753"/>
      <c r="C164" s="2753"/>
      <c r="D164" s="2754"/>
      <c r="E164" s="2821"/>
      <c r="F164" s="2822"/>
      <c r="G164" s="2823"/>
      <c r="H164" s="2815"/>
      <c r="I164" s="2816"/>
      <c r="J164" s="2816"/>
      <c r="K164" s="2817"/>
      <c r="L164" s="385" t="str">
        <f t="shared" si="13"/>
        <v/>
      </c>
      <c r="M164" s="385" t="str">
        <f t="shared" si="14"/>
        <v/>
      </c>
      <c r="N164" s="1126"/>
      <c r="O164" s="1171"/>
      <c r="P164" s="1171"/>
      <c r="Q164" s="1171"/>
      <c r="R164" s="1171"/>
      <c r="S164" s="59">
        <f>SUM(Table6912131732[[#This Row],[Y1 Q1 quantity]:[Y1 Q4 quantity]])</f>
        <v>0</v>
      </c>
      <c r="T164" s="1132">
        <f>Table6912131732[[#This Row],[Y1 Unit cost]]*Table6912131732[[#This Row],[Y1 Total quantity]]</f>
        <v>0</v>
      </c>
      <c r="U164" s="1126"/>
      <c r="V164" s="1171"/>
      <c r="W164" s="1171"/>
      <c r="X164" s="1171"/>
      <c r="Y164" s="1171"/>
      <c r="Z164" s="59">
        <f>SUM(Table6912131732[[#This Row],[Y2 Q1 quantity]:[Y2 Q4 quantity]])</f>
        <v>0</v>
      </c>
      <c r="AA164" s="1142">
        <f>Table6912131732[[#This Row],[Y2 Unit cost]]*Table6912131732[[#This Row],[Y2 Total quantity]]</f>
        <v>0</v>
      </c>
      <c r="AB164" s="1126"/>
      <c r="AC164" s="1171"/>
      <c r="AD164" s="1171"/>
      <c r="AE164" s="1171"/>
      <c r="AF164" s="1171"/>
      <c r="AG164" s="59">
        <f>SUM(Table6912131732[[#This Row],[Y3 Q1 quantity]:[Y3 Q4 quantity]])</f>
        <v>0</v>
      </c>
      <c r="AH164" s="1142">
        <f>Table6912131732[[#This Row],[Y3 Unit cost]]*Table6912131732[[#This Row],[Y3 Total quantity]]</f>
        <v>0</v>
      </c>
      <c r="AI164" s="62">
        <f>Table6912131732[[#This Row],[Y1 Total quantity]]+Table6912131732[[#This Row],[Y2 Total quantity]]+Table6912131732[[#This Row],[Y3 Total quantity]]</f>
        <v>0</v>
      </c>
      <c r="AJ164" s="1142">
        <f>Table6912131732[[#This Row],[Y1 Total cost]]+Table6912131732[[#This Row],[Y2 Total cost]]+Table6912131732[[#This Row],[Y3 Total cost]]</f>
        <v>0</v>
      </c>
      <c r="AK164" s="343" t="str">
        <f t="shared" si="12"/>
        <v/>
      </c>
      <c r="AL164" s="1265"/>
    </row>
    <row r="165" spans="1:38" s="249" customFormat="1">
      <c r="A165" s="2796"/>
      <c r="B165" s="2797"/>
      <c r="C165" s="2797"/>
      <c r="D165" s="2798"/>
      <c r="E165" s="2801"/>
      <c r="F165" s="2802"/>
      <c r="G165" s="2803"/>
      <c r="H165" s="2812"/>
      <c r="I165" s="2813"/>
      <c r="J165" s="2813"/>
      <c r="K165" s="2814"/>
      <c r="L165" s="384" t="str">
        <f t="shared" si="13"/>
        <v/>
      </c>
      <c r="M165" s="384" t="str">
        <f t="shared" si="14"/>
        <v/>
      </c>
      <c r="N165" s="1126"/>
      <c r="O165" s="1171"/>
      <c r="P165" s="1171"/>
      <c r="Q165" s="1171"/>
      <c r="R165" s="1171"/>
      <c r="S165" s="59">
        <f>SUM(Table6912131732[[#This Row],[Y1 Q1 quantity]:[Y1 Q4 quantity]])</f>
        <v>0</v>
      </c>
      <c r="T165" s="1132">
        <f>Table6912131732[[#This Row],[Y1 Unit cost]]*Table6912131732[[#This Row],[Y1 Total quantity]]</f>
        <v>0</v>
      </c>
      <c r="U165" s="1126"/>
      <c r="V165" s="1171"/>
      <c r="W165" s="1171"/>
      <c r="X165" s="1171"/>
      <c r="Y165" s="1171"/>
      <c r="Z165" s="59">
        <f>SUM(Table6912131732[[#This Row],[Y2 Q1 quantity]:[Y2 Q4 quantity]])</f>
        <v>0</v>
      </c>
      <c r="AA165" s="1142">
        <f>Table6912131732[[#This Row],[Y2 Unit cost]]*Table6912131732[[#This Row],[Y2 Total quantity]]</f>
        <v>0</v>
      </c>
      <c r="AB165" s="1149"/>
      <c r="AC165" s="1171"/>
      <c r="AD165" s="1171"/>
      <c r="AE165" s="1171"/>
      <c r="AF165" s="1171"/>
      <c r="AG165" s="59">
        <f>SUM(Table6912131732[[#This Row],[Y3 Q1 quantity]:[Y3 Q4 quantity]])</f>
        <v>0</v>
      </c>
      <c r="AH165" s="1142">
        <f>Table6912131732[[#This Row],[Y3 Unit cost]]*Table6912131732[[#This Row],[Y3 Total quantity]]</f>
        <v>0</v>
      </c>
      <c r="AI165" s="62">
        <f>Table6912131732[[#This Row],[Y1 Total quantity]]+Table6912131732[[#This Row],[Y2 Total quantity]]+Table6912131732[[#This Row],[Y3 Total quantity]]</f>
        <v>0</v>
      </c>
      <c r="AJ165" s="1142">
        <f>Table6912131732[[#This Row],[Y1 Total cost]]+Table6912131732[[#This Row],[Y2 Total cost]]+Table6912131732[[#This Row],[Y3 Total cost]]</f>
        <v>0</v>
      </c>
      <c r="AK165" s="343" t="str">
        <f t="shared" si="12"/>
        <v/>
      </c>
      <c r="AL165" s="1266"/>
    </row>
    <row r="166" spans="1:38" s="249" customFormat="1">
      <c r="A166" s="2752"/>
      <c r="B166" s="2753"/>
      <c r="C166" s="2753"/>
      <c r="D166" s="2754"/>
      <c r="E166" s="2821"/>
      <c r="F166" s="2822"/>
      <c r="G166" s="2823"/>
      <c r="H166" s="2815"/>
      <c r="I166" s="2816"/>
      <c r="J166" s="2816"/>
      <c r="K166" s="2817"/>
      <c r="L166" s="385" t="str">
        <f t="shared" si="13"/>
        <v/>
      </c>
      <c r="M166" s="385" t="str">
        <f t="shared" si="14"/>
        <v/>
      </c>
      <c r="N166" s="1126"/>
      <c r="O166" s="1171"/>
      <c r="P166" s="1171"/>
      <c r="Q166" s="1171"/>
      <c r="R166" s="1171"/>
      <c r="S166" s="59">
        <f>SUM(Table6912131732[[#This Row],[Y1 Q1 quantity]:[Y1 Q4 quantity]])</f>
        <v>0</v>
      </c>
      <c r="T166" s="1132">
        <f>Table6912131732[[#This Row],[Y1 Unit cost]]*Table6912131732[[#This Row],[Y1 Total quantity]]</f>
        <v>0</v>
      </c>
      <c r="U166" s="1126"/>
      <c r="V166" s="1171"/>
      <c r="W166" s="1171"/>
      <c r="X166" s="1171"/>
      <c r="Y166" s="1171"/>
      <c r="Z166" s="59">
        <f>SUM(Table6912131732[[#This Row],[Y2 Q1 quantity]:[Y2 Q4 quantity]])</f>
        <v>0</v>
      </c>
      <c r="AA166" s="1142">
        <f>Table6912131732[[#This Row],[Y2 Unit cost]]*Table6912131732[[#This Row],[Y2 Total quantity]]</f>
        <v>0</v>
      </c>
      <c r="AB166" s="1149"/>
      <c r="AC166" s="1171"/>
      <c r="AD166" s="1171"/>
      <c r="AE166" s="1171"/>
      <c r="AF166" s="1171"/>
      <c r="AG166" s="59">
        <f>SUM(Table6912131732[[#This Row],[Y3 Q1 quantity]:[Y3 Q4 quantity]])</f>
        <v>0</v>
      </c>
      <c r="AH166" s="1142">
        <f>Table6912131732[[#This Row],[Y3 Unit cost]]*Table6912131732[[#This Row],[Y3 Total quantity]]</f>
        <v>0</v>
      </c>
      <c r="AI166" s="62">
        <f>Table6912131732[[#This Row],[Y1 Total quantity]]+Table6912131732[[#This Row],[Y2 Total quantity]]+Table6912131732[[#This Row],[Y3 Total quantity]]</f>
        <v>0</v>
      </c>
      <c r="AJ166" s="1142">
        <f>Table6912131732[[#This Row],[Y1 Total cost]]+Table6912131732[[#This Row],[Y2 Total cost]]+Table6912131732[[#This Row],[Y3 Total cost]]</f>
        <v>0</v>
      </c>
      <c r="AK166" s="343" t="str">
        <f t="shared" si="12"/>
        <v/>
      </c>
      <c r="AL166" s="1265"/>
    </row>
    <row r="167" spans="1:38" s="249" customFormat="1">
      <c r="A167" s="2796"/>
      <c r="B167" s="2797"/>
      <c r="C167" s="2797"/>
      <c r="D167" s="2798"/>
      <c r="E167" s="2801"/>
      <c r="F167" s="2802"/>
      <c r="G167" s="2803"/>
      <c r="H167" s="2812"/>
      <c r="I167" s="2813"/>
      <c r="J167" s="2813"/>
      <c r="K167" s="2814"/>
      <c r="L167" s="384" t="str">
        <f t="shared" si="13"/>
        <v/>
      </c>
      <c r="M167" s="384" t="str">
        <f t="shared" si="14"/>
        <v/>
      </c>
      <c r="N167" s="1126"/>
      <c r="O167" s="1171"/>
      <c r="P167" s="1171"/>
      <c r="Q167" s="1171"/>
      <c r="R167" s="1171"/>
      <c r="S167" s="59">
        <f>SUM(Table6912131732[[#This Row],[Y1 Q1 quantity]:[Y1 Q4 quantity]])</f>
        <v>0</v>
      </c>
      <c r="T167" s="1132">
        <f>Table6912131732[[#This Row],[Y1 Unit cost]]*Table6912131732[[#This Row],[Y1 Total quantity]]</f>
        <v>0</v>
      </c>
      <c r="U167" s="1126"/>
      <c r="V167" s="1171"/>
      <c r="W167" s="1171"/>
      <c r="X167" s="1171"/>
      <c r="Y167" s="1171"/>
      <c r="Z167" s="59">
        <f>SUM(Table6912131732[[#This Row],[Y2 Q1 quantity]:[Y2 Q4 quantity]])</f>
        <v>0</v>
      </c>
      <c r="AA167" s="1142">
        <f>Table6912131732[[#This Row],[Y2 Unit cost]]*Table6912131732[[#This Row],[Y2 Total quantity]]</f>
        <v>0</v>
      </c>
      <c r="AB167" s="1149"/>
      <c r="AC167" s="1171"/>
      <c r="AD167" s="1171"/>
      <c r="AE167" s="1171"/>
      <c r="AF167" s="1171"/>
      <c r="AG167" s="59">
        <f>SUM(Table6912131732[[#This Row],[Y3 Q1 quantity]:[Y3 Q4 quantity]])</f>
        <v>0</v>
      </c>
      <c r="AH167" s="1142">
        <f>Table6912131732[[#This Row],[Y3 Unit cost]]*Table6912131732[[#This Row],[Y3 Total quantity]]</f>
        <v>0</v>
      </c>
      <c r="AI167" s="62">
        <f>Table6912131732[[#This Row],[Y1 Total quantity]]+Table6912131732[[#This Row],[Y2 Total quantity]]+Table6912131732[[#This Row],[Y3 Total quantity]]</f>
        <v>0</v>
      </c>
      <c r="AJ167" s="1142">
        <f>Table6912131732[[#This Row],[Y1 Total cost]]+Table6912131732[[#This Row],[Y2 Total cost]]+Table6912131732[[#This Row],[Y3 Total cost]]</f>
        <v>0</v>
      </c>
      <c r="AK167" s="343" t="str">
        <f t="shared" si="12"/>
        <v/>
      </c>
      <c r="AL167" s="1266"/>
    </row>
    <row r="168" spans="1:38" s="249" customFormat="1">
      <c r="A168" s="2752"/>
      <c r="B168" s="2753"/>
      <c r="C168" s="2753"/>
      <c r="D168" s="2754"/>
      <c r="E168" s="2821"/>
      <c r="F168" s="2822"/>
      <c r="G168" s="2823"/>
      <c r="H168" s="2815"/>
      <c r="I168" s="2816"/>
      <c r="J168" s="2816"/>
      <c r="K168" s="2817"/>
      <c r="L168" s="385" t="str">
        <f t="shared" si="13"/>
        <v/>
      </c>
      <c r="M168" s="385" t="str">
        <f t="shared" si="14"/>
        <v/>
      </c>
      <c r="N168" s="1126"/>
      <c r="O168" s="1171"/>
      <c r="P168" s="1171"/>
      <c r="Q168" s="1171"/>
      <c r="R168" s="1171"/>
      <c r="S168" s="59">
        <f>SUM(Table6912131732[[#This Row],[Y1 Q1 quantity]:[Y1 Q4 quantity]])</f>
        <v>0</v>
      </c>
      <c r="T168" s="1132">
        <f>Table6912131732[[#This Row],[Y1 Unit cost]]*Table6912131732[[#This Row],[Y1 Total quantity]]</f>
        <v>0</v>
      </c>
      <c r="U168" s="1126"/>
      <c r="V168" s="1171"/>
      <c r="W168" s="1171"/>
      <c r="X168" s="1171"/>
      <c r="Y168" s="1171"/>
      <c r="Z168" s="59">
        <f>SUM(Table6912131732[[#This Row],[Y2 Q1 quantity]:[Y2 Q4 quantity]])</f>
        <v>0</v>
      </c>
      <c r="AA168" s="1142">
        <f>Table6912131732[[#This Row],[Y2 Unit cost]]*Table6912131732[[#This Row],[Y2 Total quantity]]</f>
        <v>0</v>
      </c>
      <c r="AB168" s="1149"/>
      <c r="AC168" s="1171"/>
      <c r="AD168" s="1171"/>
      <c r="AE168" s="1171"/>
      <c r="AF168" s="1171"/>
      <c r="AG168" s="59">
        <f>SUM(Table6912131732[[#This Row],[Y3 Q1 quantity]:[Y3 Q4 quantity]])</f>
        <v>0</v>
      </c>
      <c r="AH168" s="1142">
        <f>Table6912131732[[#This Row],[Y3 Unit cost]]*Table6912131732[[#This Row],[Y3 Total quantity]]</f>
        <v>0</v>
      </c>
      <c r="AI168" s="62">
        <f>Table6912131732[[#This Row],[Y1 Total quantity]]+Table6912131732[[#This Row],[Y2 Total quantity]]+Table6912131732[[#This Row],[Y3 Total quantity]]</f>
        <v>0</v>
      </c>
      <c r="AJ168" s="1142">
        <f>Table6912131732[[#This Row],[Y1 Total cost]]+Table6912131732[[#This Row],[Y2 Total cost]]+Table6912131732[[#This Row],[Y3 Total cost]]</f>
        <v>0</v>
      </c>
      <c r="AK168" s="343" t="str">
        <f t="shared" si="12"/>
        <v/>
      </c>
      <c r="AL168" s="1265"/>
    </row>
    <row r="169" spans="1:38" s="249" customFormat="1">
      <c r="A169" s="2796"/>
      <c r="B169" s="2797"/>
      <c r="C169" s="2797"/>
      <c r="D169" s="2798"/>
      <c r="E169" s="2801"/>
      <c r="F169" s="2802"/>
      <c r="G169" s="2803"/>
      <c r="H169" s="2812"/>
      <c r="I169" s="2813"/>
      <c r="J169" s="2813"/>
      <c r="K169" s="2814"/>
      <c r="L169" s="384" t="str">
        <f t="shared" si="13"/>
        <v/>
      </c>
      <c r="M169" s="384" t="str">
        <f t="shared" si="14"/>
        <v/>
      </c>
      <c r="N169" s="1126"/>
      <c r="O169" s="1171"/>
      <c r="P169" s="1171"/>
      <c r="Q169" s="1171"/>
      <c r="R169" s="1171"/>
      <c r="S169" s="59">
        <f>SUM(Table6912131732[[#This Row],[Y1 Q1 quantity]:[Y1 Q4 quantity]])</f>
        <v>0</v>
      </c>
      <c r="T169" s="1132">
        <f>Table6912131732[[#This Row],[Y1 Unit cost]]*Table6912131732[[#This Row],[Y1 Total quantity]]</f>
        <v>0</v>
      </c>
      <c r="U169" s="1126"/>
      <c r="V169" s="1171"/>
      <c r="W169" s="1171"/>
      <c r="X169" s="1171"/>
      <c r="Y169" s="1171"/>
      <c r="Z169" s="59">
        <f>SUM(Table6912131732[[#This Row],[Y2 Q1 quantity]:[Y2 Q4 quantity]])</f>
        <v>0</v>
      </c>
      <c r="AA169" s="1142">
        <f>Table6912131732[[#This Row],[Y2 Unit cost]]*Table6912131732[[#This Row],[Y2 Total quantity]]</f>
        <v>0</v>
      </c>
      <c r="AB169" s="1149"/>
      <c r="AC169" s="1171"/>
      <c r="AD169" s="1171"/>
      <c r="AE169" s="1171"/>
      <c r="AF169" s="1171"/>
      <c r="AG169" s="59">
        <f>SUM(Table6912131732[[#This Row],[Y3 Q1 quantity]:[Y3 Q4 quantity]])</f>
        <v>0</v>
      </c>
      <c r="AH169" s="1142">
        <f>Table6912131732[[#This Row],[Y3 Unit cost]]*Table6912131732[[#This Row],[Y3 Total quantity]]</f>
        <v>0</v>
      </c>
      <c r="AI169" s="62">
        <f>Table6912131732[[#This Row],[Y1 Total quantity]]+Table6912131732[[#This Row],[Y2 Total quantity]]+Table6912131732[[#This Row],[Y3 Total quantity]]</f>
        <v>0</v>
      </c>
      <c r="AJ169" s="1142">
        <f>Table6912131732[[#This Row],[Y1 Total cost]]+Table6912131732[[#This Row],[Y2 Total cost]]+Table6912131732[[#This Row],[Y3 Total cost]]</f>
        <v>0</v>
      </c>
      <c r="AK169" s="343" t="str">
        <f t="shared" si="12"/>
        <v/>
      </c>
      <c r="AL169" s="1266"/>
    </row>
    <row r="170" spans="1:38" s="249" customFormat="1">
      <c r="A170" s="2752"/>
      <c r="B170" s="2753"/>
      <c r="C170" s="2753"/>
      <c r="D170" s="2754"/>
      <c r="E170" s="2821"/>
      <c r="F170" s="2822"/>
      <c r="G170" s="2823"/>
      <c r="H170" s="2815"/>
      <c r="I170" s="2816"/>
      <c r="J170" s="2816"/>
      <c r="K170" s="2817"/>
      <c r="L170" s="385" t="str">
        <f t="shared" si="13"/>
        <v/>
      </c>
      <c r="M170" s="385" t="str">
        <f t="shared" si="14"/>
        <v/>
      </c>
      <c r="N170" s="1126"/>
      <c r="O170" s="1171"/>
      <c r="P170" s="1171"/>
      <c r="Q170" s="1171"/>
      <c r="R170" s="1171"/>
      <c r="S170" s="59">
        <f>SUM(Table6912131732[[#This Row],[Y1 Q1 quantity]:[Y1 Q4 quantity]])</f>
        <v>0</v>
      </c>
      <c r="T170" s="1132">
        <f>Table6912131732[[#This Row],[Y1 Unit cost]]*Table6912131732[[#This Row],[Y1 Total quantity]]</f>
        <v>0</v>
      </c>
      <c r="U170" s="1126"/>
      <c r="V170" s="1171"/>
      <c r="W170" s="1171"/>
      <c r="X170" s="1171"/>
      <c r="Y170" s="1171"/>
      <c r="Z170" s="59">
        <f>SUM(Table6912131732[[#This Row],[Y2 Q1 quantity]:[Y2 Q4 quantity]])</f>
        <v>0</v>
      </c>
      <c r="AA170" s="1142">
        <f>Table6912131732[[#This Row],[Y2 Unit cost]]*Table6912131732[[#This Row],[Y2 Total quantity]]</f>
        <v>0</v>
      </c>
      <c r="AB170" s="1149"/>
      <c r="AC170" s="1171"/>
      <c r="AD170" s="1171"/>
      <c r="AE170" s="1171"/>
      <c r="AF170" s="1171"/>
      <c r="AG170" s="59">
        <f>SUM(Table6912131732[[#This Row],[Y3 Q1 quantity]:[Y3 Q4 quantity]])</f>
        <v>0</v>
      </c>
      <c r="AH170" s="1142">
        <f>Table6912131732[[#This Row],[Y3 Unit cost]]*Table6912131732[[#This Row],[Y3 Total quantity]]</f>
        <v>0</v>
      </c>
      <c r="AI170" s="62">
        <f>Table6912131732[[#This Row],[Y1 Total quantity]]+Table6912131732[[#This Row],[Y2 Total quantity]]+Table6912131732[[#This Row],[Y3 Total quantity]]</f>
        <v>0</v>
      </c>
      <c r="AJ170" s="1142">
        <f>Table6912131732[[#This Row],[Y1 Total cost]]+Table6912131732[[#This Row],[Y2 Total cost]]+Table6912131732[[#This Row],[Y3 Total cost]]</f>
        <v>0</v>
      </c>
      <c r="AK170" s="343" t="str">
        <f t="shared" si="12"/>
        <v/>
      </c>
      <c r="AL170" s="1265"/>
    </row>
    <row r="171" spans="1:38" s="249" customFormat="1">
      <c r="A171" s="2796"/>
      <c r="B171" s="2797"/>
      <c r="C171" s="2797"/>
      <c r="D171" s="2798"/>
      <c r="E171" s="2801"/>
      <c r="F171" s="2802"/>
      <c r="G171" s="2803"/>
      <c r="H171" s="2812"/>
      <c r="I171" s="2813"/>
      <c r="J171" s="2813"/>
      <c r="K171" s="2814"/>
      <c r="L171" s="384" t="str">
        <f t="shared" si="13"/>
        <v/>
      </c>
      <c r="M171" s="384" t="str">
        <f t="shared" si="14"/>
        <v/>
      </c>
      <c r="N171" s="1126"/>
      <c r="O171" s="1171"/>
      <c r="P171" s="1171"/>
      <c r="Q171" s="1171"/>
      <c r="R171" s="1171"/>
      <c r="S171" s="59">
        <f>SUM(Table6912131732[[#This Row],[Y1 Q1 quantity]:[Y1 Q4 quantity]])</f>
        <v>0</v>
      </c>
      <c r="T171" s="1132">
        <f>Table6912131732[[#This Row],[Y1 Unit cost]]*Table6912131732[[#This Row],[Y1 Total quantity]]</f>
        <v>0</v>
      </c>
      <c r="U171" s="1126"/>
      <c r="V171" s="1171"/>
      <c r="W171" s="1171"/>
      <c r="X171" s="1171"/>
      <c r="Y171" s="1171"/>
      <c r="Z171" s="59">
        <f>SUM(Table6912131732[[#This Row],[Y2 Q1 quantity]:[Y2 Q4 quantity]])</f>
        <v>0</v>
      </c>
      <c r="AA171" s="1142">
        <f>Table6912131732[[#This Row],[Y2 Unit cost]]*Table6912131732[[#This Row],[Y2 Total quantity]]</f>
        <v>0</v>
      </c>
      <c r="AB171" s="1149"/>
      <c r="AC171" s="1171"/>
      <c r="AD171" s="1171"/>
      <c r="AE171" s="1171"/>
      <c r="AF171" s="1171"/>
      <c r="AG171" s="59">
        <f>SUM(Table6912131732[[#This Row],[Y3 Q1 quantity]:[Y3 Q4 quantity]])</f>
        <v>0</v>
      </c>
      <c r="AH171" s="1142">
        <f>Table6912131732[[#This Row],[Y3 Unit cost]]*Table6912131732[[#This Row],[Y3 Total quantity]]</f>
        <v>0</v>
      </c>
      <c r="AI171" s="62">
        <f>Table6912131732[[#This Row],[Y1 Total quantity]]+Table6912131732[[#This Row],[Y2 Total quantity]]+Table6912131732[[#This Row],[Y3 Total quantity]]</f>
        <v>0</v>
      </c>
      <c r="AJ171" s="1142">
        <f>Table6912131732[[#This Row],[Y1 Total cost]]+Table6912131732[[#This Row],[Y2 Total cost]]+Table6912131732[[#This Row],[Y3 Total cost]]</f>
        <v>0</v>
      </c>
      <c r="AK171" s="343" t="str">
        <f t="shared" si="12"/>
        <v/>
      </c>
      <c r="AL171" s="1266"/>
    </row>
    <row r="172" spans="1:38" s="249" customFormat="1">
      <c r="A172" s="2752"/>
      <c r="B172" s="2753"/>
      <c r="C172" s="2753"/>
      <c r="D172" s="2754"/>
      <c r="E172" s="2821"/>
      <c r="F172" s="2822"/>
      <c r="G172" s="2823"/>
      <c r="H172" s="2815"/>
      <c r="I172" s="2816"/>
      <c r="J172" s="2816"/>
      <c r="K172" s="2817"/>
      <c r="L172" s="385" t="str">
        <f t="shared" si="13"/>
        <v/>
      </c>
      <c r="M172" s="385" t="str">
        <f t="shared" si="14"/>
        <v/>
      </c>
      <c r="N172" s="1126"/>
      <c r="O172" s="1171"/>
      <c r="P172" s="1171"/>
      <c r="Q172" s="1171"/>
      <c r="R172" s="1171"/>
      <c r="S172" s="59">
        <f>SUM(Table6912131732[[#This Row],[Y1 Q1 quantity]:[Y1 Q4 quantity]])</f>
        <v>0</v>
      </c>
      <c r="T172" s="1132">
        <f>Table6912131732[[#This Row],[Y1 Unit cost]]*Table6912131732[[#This Row],[Y1 Total quantity]]</f>
        <v>0</v>
      </c>
      <c r="U172" s="1126"/>
      <c r="V172" s="1171"/>
      <c r="W172" s="1171"/>
      <c r="X172" s="1171"/>
      <c r="Y172" s="1171"/>
      <c r="Z172" s="59">
        <f>SUM(Table6912131732[[#This Row],[Y2 Q1 quantity]:[Y2 Q4 quantity]])</f>
        <v>0</v>
      </c>
      <c r="AA172" s="1142">
        <f>Table6912131732[[#This Row],[Y2 Unit cost]]*Table6912131732[[#This Row],[Y2 Total quantity]]</f>
        <v>0</v>
      </c>
      <c r="AB172" s="1149"/>
      <c r="AC172" s="1171"/>
      <c r="AD172" s="1171"/>
      <c r="AE172" s="1171"/>
      <c r="AF172" s="1171"/>
      <c r="AG172" s="59">
        <f>SUM(Table6912131732[[#This Row],[Y3 Q1 quantity]:[Y3 Q4 quantity]])</f>
        <v>0</v>
      </c>
      <c r="AH172" s="1142">
        <f>Table6912131732[[#This Row],[Y3 Unit cost]]*Table6912131732[[#This Row],[Y3 Total quantity]]</f>
        <v>0</v>
      </c>
      <c r="AI172" s="62">
        <f>Table6912131732[[#This Row],[Y1 Total quantity]]+Table6912131732[[#This Row],[Y2 Total quantity]]+Table6912131732[[#This Row],[Y3 Total quantity]]</f>
        <v>0</v>
      </c>
      <c r="AJ172" s="1142">
        <f>Table6912131732[[#This Row],[Y1 Total cost]]+Table6912131732[[#This Row],[Y2 Total cost]]+Table6912131732[[#This Row],[Y3 Total cost]]</f>
        <v>0</v>
      </c>
      <c r="AK172" s="343" t="str">
        <f t="shared" si="12"/>
        <v/>
      </c>
      <c r="AL172" s="1265"/>
    </row>
    <row r="173" spans="1:38" s="249" customFormat="1">
      <c r="A173" s="2796"/>
      <c r="B173" s="2797"/>
      <c r="C173" s="2797"/>
      <c r="D173" s="2798"/>
      <c r="E173" s="2801"/>
      <c r="F173" s="2802"/>
      <c r="G173" s="2803"/>
      <c r="H173" s="2812"/>
      <c r="I173" s="2813"/>
      <c r="J173" s="2813"/>
      <c r="K173" s="2814"/>
      <c r="L173" s="384" t="str">
        <f t="shared" si="13"/>
        <v/>
      </c>
      <c r="M173" s="384" t="str">
        <f t="shared" si="14"/>
        <v/>
      </c>
      <c r="N173" s="1126"/>
      <c r="O173" s="1171"/>
      <c r="P173" s="1171"/>
      <c r="Q173" s="1171"/>
      <c r="R173" s="1171"/>
      <c r="S173" s="59">
        <f>SUM(Table6912131732[[#This Row],[Y1 Q1 quantity]:[Y1 Q4 quantity]])</f>
        <v>0</v>
      </c>
      <c r="T173" s="1132">
        <f>Table6912131732[[#This Row],[Y1 Unit cost]]*Table6912131732[[#This Row],[Y1 Total quantity]]</f>
        <v>0</v>
      </c>
      <c r="U173" s="1126"/>
      <c r="V173" s="1171"/>
      <c r="W173" s="1171"/>
      <c r="X173" s="1171"/>
      <c r="Y173" s="1171"/>
      <c r="Z173" s="59">
        <f>SUM(Table6912131732[[#This Row],[Y2 Q1 quantity]:[Y2 Q4 quantity]])</f>
        <v>0</v>
      </c>
      <c r="AA173" s="1142">
        <f>Table6912131732[[#This Row],[Y2 Unit cost]]*Table6912131732[[#This Row],[Y2 Total quantity]]</f>
        <v>0</v>
      </c>
      <c r="AB173" s="1149"/>
      <c r="AC173" s="1171"/>
      <c r="AD173" s="1171"/>
      <c r="AE173" s="1171"/>
      <c r="AF173" s="1171"/>
      <c r="AG173" s="59">
        <f>SUM(Table6912131732[[#This Row],[Y3 Q1 quantity]:[Y3 Q4 quantity]])</f>
        <v>0</v>
      </c>
      <c r="AH173" s="1142">
        <f>Table6912131732[[#This Row],[Y3 Unit cost]]*Table6912131732[[#This Row],[Y3 Total quantity]]</f>
        <v>0</v>
      </c>
      <c r="AI173" s="62">
        <f>Table6912131732[[#This Row],[Y1 Total quantity]]+Table6912131732[[#This Row],[Y2 Total quantity]]+Table6912131732[[#This Row],[Y3 Total quantity]]</f>
        <v>0</v>
      </c>
      <c r="AJ173" s="1142">
        <f>Table6912131732[[#This Row],[Y1 Total cost]]+Table6912131732[[#This Row],[Y2 Total cost]]+Table6912131732[[#This Row],[Y3 Total cost]]</f>
        <v>0</v>
      </c>
      <c r="AK173" s="343" t="str">
        <f t="shared" si="12"/>
        <v/>
      </c>
      <c r="AL173" s="1266"/>
    </row>
    <row r="174" spans="1:38" s="249" customFormat="1">
      <c r="A174" s="2752"/>
      <c r="B174" s="2753"/>
      <c r="C174" s="2753"/>
      <c r="D174" s="2754"/>
      <c r="E174" s="2821"/>
      <c r="F174" s="2822"/>
      <c r="G174" s="2823"/>
      <c r="H174" s="2815"/>
      <c r="I174" s="2816"/>
      <c r="J174" s="2816"/>
      <c r="K174" s="2817"/>
      <c r="L174" s="385" t="str">
        <f t="shared" si="13"/>
        <v/>
      </c>
      <c r="M174" s="385" t="str">
        <f t="shared" si="14"/>
        <v/>
      </c>
      <c r="N174" s="1126"/>
      <c r="O174" s="1171"/>
      <c r="P174" s="1171"/>
      <c r="Q174" s="1171"/>
      <c r="R174" s="1171"/>
      <c r="S174" s="59">
        <f>SUM(Table6912131732[[#This Row],[Y1 Q1 quantity]:[Y1 Q4 quantity]])</f>
        <v>0</v>
      </c>
      <c r="T174" s="1132">
        <f>Table6912131732[[#This Row],[Y1 Unit cost]]*Table6912131732[[#This Row],[Y1 Total quantity]]</f>
        <v>0</v>
      </c>
      <c r="U174" s="1126"/>
      <c r="V174" s="1171"/>
      <c r="W174" s="1171"/>
      <c r="X174" s="1171"/>
      <c r="Y174" s="1171"/>
      <c r="Z174" s="59">
        <f>SUM(Table6912131732[[#This Row],[Y2 Q1 quantity]:[Y2 Q4 quantity]])</f>
        <v>0</v>
      </c>
      <c r="AA174" s="1142">
        <f>Table6912131732[[#This Row],[Y2 Unit cost]]*Table6912131732[[#This Row],[Y2 Total quantity]]</f>
        <v>0</v>
      </c>
      <c r="AB174" s="1149"/>
      <c r="AC174" s="1171"/>
      <c r="AD174" s="1171"/>
      <c r="AE174" s="1171"/>
      <c r="AF174" s="1171"/>
      <c r="AG174" s="59">
        <f>SUM(Table6912131732[[#This Row],[Y3 Q1 quantity]:[Y3 Q4 quantity]])</f>
        <v>0</v>
      </c>
      <c r="AH174" s="1142">
        <f>Table6912131732[[#This Row],[Y3 Unit cost]]*Table6912131732[[#This Row],[Y3 Total quantity]]</f>
        <v>0</v>
      </c>
      <c r="AI174" s="62">
        <f>Table6912131732[[#This Row],[Y1 Total quantity]]+Table6912131732[[#This Row],[Y2 Total quantity]]+Table6912131732[[#This Row],[Y3 Total quantity]]</f>
        <v>0</v>
      </c>
      <c r="AJ174" s="1142">
        <f>Table6912131732[[#This Row],[Y1 Total cost]]+Table6912131732[[#This Row],[Y2 Total cost]]+Table6912131732[[#This Row],[Y3 Total cost]]</f>
        <v>0</v>
      </c>
      <c r="AK174" s="343" t="str">
        <f t="shared" si="12"/>
        <v/>
      </c>
      <c r="AL174" s="1265"/>
    </row>
    <row r="175" spans="1:38" s="249" customFormat="1">
      <c r="A175" s="2796"/>
      <c r="B175" s="2797"/>
      <c r="C175" s="2797"/>
      <c r="D175" s="2798"/>
      <c r="E175" s="2801"/>
      <c r="F175" s="2802"/>
      <c r="G175" s="2803"/>
      <c r="H175" s="2812"/>
      <c r="I175" s="2813"/>
      <c r="J175" s="2813"/>
      <c r="K175" s="2814"/>
      <c r="L175" s="384" t="str">
        <f t="shared" si="13"/>
        <v/>
      </c>
      <c r="M175" s="384" t="str">
        <f t="shared" si="14"/>
        <v/>
      </c>
      <c r="N175" s="1126"/>
      <c r="O175" s="1171"/>
      <c r="P175" s="1171"/>
      <c r="Q175" s="1171"/>
      <c r="R175" s="1171"/>
      <c r="S175" s="59">
        <f>SUM(Table6912131732[[#This Row],[Y1 Q1 quantity]:[Y1 Q4 quantity]])</f>
        <v>0</v>
      </c>
      <c r="T175" s="1132">
        <f>Table6912131732[[#This Row],[Y1 Unit cost]]*Table6912131732[[#This Row],[Y1 Total quantity]]</f>
        <v>0</v>
      </c>
      <c r="U175" s="1126"/>
      <c r="V175" s="1171"/>
      <c r="W175" s="1171"/>
      <c r="X175" s="1171"/>
      <c r="Y175" s="1171"/>
      <c r="Z175" s="59">
        <f>SUM(Table6912131732[[#This Row],[Y2 Q1 quantity]:[Y2 Q4 quantity]])</f>
        <v>0</v>
      </c>
      <c r="AA175" s="1142">
        <f>Table6912131732[[#This Row],[Y2 Unit cost]]*Table6912131732[[#This Row],[Y2 Total quantity]]</f>
        <v>0</v>
      </c>
      <c r="AB175" s="1149"/>
      <c r="AC175" s="1171"/>
      <c r="AD175" s="1171"/>
      <c r="AE175" s="1171"/>
      <c r="AF175" s="1171"/>
      <c r="AG175" s="59">
        <f>SUM(Table6912131732[[#This Row],[Y3 Q1 quantity]:[Y3 Q4 quantity]])</f>
        <v>0</v>
      </c>
      <c r="AH175" s="1142">
        <f>Table6912131732[[#This Row],[Y3 Unit cost]]*Table6912131732[[#This Row],[Y3 Total quantity]]</f>
        <v>0</v>
      </c>
      <c r="AI175" s="62">
        <f>Table6912131732[[#This Row],[Y1 Total quantity]]+Table6912131732[[#This Row],[Y2 Total quantity]]+Table6912131732[[#This Row],[Y3 Total quantity]]</f>
        <v>0</v>
      </c>
      <c r="AJ175" s="1142">
        <f>Table6912131732[[#This Row],[Y1 Total cost]]+Table6912131732[[#This Row],[Y2 Total cost]]+Table6912131732[[#This Row],[Y3 Total cost]]</f>
        <v>0</v>
      </c>
      <c r="AK175" s="343" t="str">
        <f t="shared" si="12"/>
        <v/>
      </c>
      <c r="AL175" s="1266"/>
    </row>
    <row r="176" spans="1:38" s="249" customFormat="1">
      <c r="A176" s="2752"/>
      <c r="B176" s="2753"/>
      <c r="C176" s="2753"/>
      <c r="D176" s="2754"/>
      <c r="E176" s="2821"/>
      <c r="F176" s="2822"/>
      <c r="G176" s="2823"/>
      <c r="H176" s="2815"/>
      <c r="I176" s="2816"/>
      <c r="J176" s="2816"/>
      <c r="K176" s="2817"/>
      <c r="L176" s="385" t="str">
        <f t="shared" si="13"/>
        <v/>
      </c>
      <c r="M176" s="385" t="str">
        <f t="shared" si="14"/>
        <v/>
      </c>
      <c r="N176" s="1126"/>
      <c r="O176" s="1171"/>
      <c r="P176" s="1171"/>
      <c r="Q176" s="1171"/>
      <c r="R176" s="1171"/>
      <c r="S176" s="59">
        <f>SUM(Table6912131732[[#This Row],[Y1 Q1 quantity]:[Y1 Q4 quantity]])</f>
        <v>0</v>
      </c>
      <c r="T176" s="1132">
        <f>Table6912131732[[#This Row],[Y1 Unit cost]]*Table6912131732[[#This Row],[Y1 Total quantity]]</f>
        <v>0</v>
      </c>
      <c r="U176" s="1126"/>
      <c r="V176" s="1171"/>
      <c r="W176" s="1171"/>
      <c r="X176" s="1171"/>
      <c r="Y176" s="1171"/>
      <c r="Z176" s="59">
        <f>SUM(Table6912131732[[#This Row],[Y2 Q1 quantity]:[Y2 Q4 quantity]])</f>
        <v>0</v>
      </c>
      <c r="AA176" s="1142">
        <f>Table6912131732[[#This Row],[Y2 Unit cost]]*Table6912131732[[#This Row],[Y2 Total quantity]]</f>
        <v>0</v>
      </c>
      <c r="AB176" s="1149"/>
      <c r="AC176" s="1171"/>
      <c r="AD176" s="1171"/>
      <c r="AE176" s="1171"/>
      <c r="AF176" s="1171"/>
      <c r="AG176" s="59">
        <f>SUM(Table6912131732[[#This Row],[Y3 Q1 quantity]:[Y3 Q4 quantity]])</f>
        <v>0</v>
      </c>
      <c r="AH176" s="1142">
        <f>Table6912131732[[#This Row],[Y3 Unit cost]]*Table6912131732[[#This Row],[Y3 Total quantity]]</f>
        <v>0</v>
      </c>
      <c r="AI176" s="62">
        <f>Table6912131732[[#This Row],[Y1 Total quantity]]+Table6912131732[[#This Row],[Y2 Total quantity]]+Table6912131732[[#This Row],[Y3 Total quantity]]</f>
        <v>0</v>
      </c>
      <c r="AJ176" s="1142">
        <f>Table6912131732[[#This Row],[Y1 Total cost]]+Table6912131732[[#This Row],[Y2 Total cost]]+Table6912131732[[#This Row],[Y3 Total cost]]</f>
        <v>0</v>
      </c>
      <c r="AK176" s="343" t="str">
        <f t="shared" si="12"/>
        <v/>
      </c>
      <c r="AL176" s="1265"/>
    </row>
    <row r="177" spans="1:38" s="249" customFormat="1">
      <c r="A177" s="2796"/>
      <c r="B177" s="2797"/>
      <c r="C177" s="2797"/>
      <c r="D177" s="2798"/>
      <c r="E177" s="2801"/>
      <c r="F177" s="2802"/>
      <c r="G177" s="2803"/>
      <c r="H177" s="2812"/>
      <c r="I177" s="2813"/>
      <c r="J177" s="2813"/>
      <c r="K177" s="2814"/>
      <c r="L177" s="384" t="str">
        <f t="shared" si="13"/>
        <v/>
      </c>
      <c r="M177" s="384" t="str">
        <f t="shared" si="14"/>
        <v/>
      </c>
      <c r="N177" s="1126"/>
      <c r="O177" s="1171"/>
      <c r="P177" s="1171"/>
      <c r="Q177" s="1171"/>
      <c r="R177" s="1171"/>
      <c r="S177" s="59">
        <f>SUM(Table6912131732[[#This Row],[Y1 Q1 quantity]:[Y1 Q4 quantity]])</f>
        <v>0</v>
      </c>
      <c r="T177" s="1132">
        <f>Table6912131732[[#This Row],[Y1 Unit cost]]*Table6912131732[[#This Row],[Y1 Total quantity]]</f>
        <v>0</v>
      </c>
      <c r="U177" s="1126"/>
      <c r="V177" s="1171"/>
      <c r="W177" s="1171"/>
      <c r="X177" s="1171"/>
      <c r="Y177" s="1171"/>
      <c r="Z177" s="59">
        <f>SUM(Table6912131732[[#This Row],[Y2 Q1 quantity]:[Y2 Q4 quantity]])</f>
        <v>0</v>
      </c>
      <c r="AA177" s="1142">
        <f>Table6912131732[[#This Row],[Y2 Unit cost]]*Table6912131732[[#This Row],[Y2 Total quantity]]</f>
        <v>0</v>
      </c>
      <c r="AB177" s="1149"/>
      <c r="AC177" s="1171"/>
      <c r="AD177" s="1171"/>
      <c r="AE177" s="1171"/>
      <c r="AF177" s="1171"/>
      <c r="AG177" s="59">
        <f>SUM(Table6912131732[[#This Row],[Y3 Q1 quantity]:[Y3 Q4 quantity]])</f>
        <v>0</v>
      </c>
      <c r="AH177" s="1142">
        <f>Table6912131732[[#This Row],[Y3 Unit cost]]*Table6912131732[[#This Row],[Y3 Total quantity]]</f>
        <v>0</v>
      </c>
      <c r="AI177" s="62">
        <f>Table6912131732[[#This Row],[Y1 Total quantity]]+Table6912131732[[#This Row],[Y2 Total quantity]]+Table6912131732[[#This Row],[Y3 Total quantity]]</f>
        <v>0</v>
      </c>
      <c r="AJ177" s="1142">
        <f>Table6912131732[[#This Row],[Y1 Total cost]]+Table6912131732[[#This Row],[Y2 Total cost]]+Table6912131732[[#This Row],[Y3 Total cost]]</f>
        <v>0</v>
      </c>
      <c r="AK177" s="343" t="str">
        <f t="shared" si="12"/>
        <v/>
      </c>
      <c r="AL177" s="1266"/>
    </row>
    <row r="178" spans="1:38" s="249" customFormat="1">
      <c r="A178" s="2752"/>
      <c r="B178" s="2753"/>
      <c r="C178" s="2753"/>
      <c r="D178" s="2754"/>
      <c r="E178" s="2821"/>
      <c r="F178" s="2822"/>
      <c r="G178" s="2823"/>
      <c r="H178" s="2815"/>
      <c r="I178" s="2816"/>
      <c r="J178" s="2816"/>
      <c r="K178" s="2817"/>
      <c r="L178" s="385" t="str">
        <f t="shared" si="13"/>
        <v/>
      </c>
      <c r="M178" s="385" t="str">
        <f t="shared" si="14"/>
        <v/>
      </c>
      <c r="N178" s="1126"/>
      <c r="O178" s="1171"/>
      <c r="P178" s="1171"/>
      <c r="Q178" s="1171"/>
      <c r="R178" s="1171"/>
      <c r="S178" s="59">
        <f>SUM(Table6912131732[[#This Row],[Y1 Q1 quantity]:[Y1 Q4 quantity]])</f>
        <v>0</v>
      </c>
      <c r="T178" s="1132">
        <f>Table6912131732[[#This Row],[Y1 Unit cost]]*Table6912131732[[#This Row],[Y1 Total quantity]]</f>
        <v>0</v>
      </c>
      <c r="U178" s="1126"/>
      <c r="V178" s="1171"/>
      <c r="W178" s="1171"/>
      <c r="X178" s="1171"/>
      <c r="Y178" s="1171"/>
      <c r="Z178" s="59">
        <f>SUM(Table6912131732[[#This Row],[Y2 Q1 quantity]:[Y2 Q4 quantity]])</f>
        <v>0</v>
      </c>
      <c r="AA178" s="1142">
        <f>Table6912131732[[#This Row],[Y2 Unit cost]]*Table6912131732[[#This Row],[Y2 Total quantity]]</f>
        <v>0</v>
      </c>
      <c r="AB178" s="1149"/>
      <c r="AC178" s="1171"/>
      <c r="AD178" s="1171"/>
      <c r="AE178" s="1171"/>
      <c r="AF178" s="1171"/>
      <c r="AG178" s="59">
        <f>SUM(Table6912131732[[#This Row],[Y3 Q1 quantity]:[Y3 Q4 quantity]])</f>
        <v>0</v>
      </c>
      <c r="AH178" s="1142">
        <f>Table6912131732[[#This Row],[Y3 Unit cost]]*Table6912131732[[#This Row],[Y3 Total quantity]]</f>
        <v>0</v>
      </c>
      <c r="AI178" s="62">
        <f>Table6912131732[[#This Row],[Y1 Total quantity]]+Table6912131732[[#This Row],[Y2 Total quantity]]+Table6912131732[[#This Row],[Y3 Total quantity]]</f>
        <v>0</v>
      </c>
      <c r="AJ178" s="1142">
        <f>Table6912131732[[#This Row],[Y1 Total cost]]+Table6912131732[[#This Row],[Y2 Total cost]]+Table6912131732[[#This Row],[Y3 Total cost]]</f>
        <v>0</v>
      </c>
      <c r="AK178" s="343" t="str">
        <f t="shared" si="12"/>
        <v/>
      </c>
      <c r="AL178" s="1265"/>
    </row>
    <row r="179" spans="1:38" s="249" customFormat="1">
      <c r="A179" s="2796"/>
      <c r="B179" s="2797"/>
      <c r="C179" s="2797"/>
      <c r="D179" s="2798"/>
      <c r="E179" s="2801"/>
      <c r="F179" s="2802"/>
      <c r="G179" s="2803"/>
      <c r="H179" s="2812"/>
      <c r="I179" s="2813"/>
      <c r="J179" s="2813"/>
      <c r="K179" s="2814"/>
      <c r="L179" s="384" t="str">
        <f t="shared" si="13"/>
        <v/>
      </c>
      <c r="M179" s="384" t="str">
        <f t="shared" si="14"/>
        <v/>
      </c>
      <c r="N179" s="1126"/>
      <c r="O179" s="1171"/>
      <c r="P179" s="1171"/>
      <c r="Q179" s="1171"/>
      <c r="R179" s="1171"/>
      <c r="S179" s="59">
        <f>SUM(Table6912131732[[#This Row],[Y1 Q1 quantity]:[Y1 Q4 quantity]])</f>
        <v>0</v>
      </c>
      <c r="T179" s="1132">
        <f>Table6912131732[[#This Row],[Y1 Unit cost]]*Table6912131732[[#This Row],[Y1 Total quantity]]</f>
        <v>0</v>
      </c>
      <c r="U179" s="1126"/>
      <c r="V179" s="1171"/>
      <c r="W179" s="1171"/>
      <c r="X179" s="1171"/>
      <c r="Y179" s="1171"/>
      <c r="Z179" s="59">
        <f>SUM(Table6912131732[[#This Row],[Y2 Q1 quantity]:[Y2 Q4 quantity]])</f>
        <v>0</v>
      </c>
      <c r="AA179" s="1142">
        <f>Table6912131732[[#This Row],[Y2 Unit cost]]*Table6912131732[[#This Row],[Y2 Total quantity]]</f>
        <v>0</v>
      </c>
      <c r="AB179" s="1149"/>
      <c r="AC179" s="1171"/>
      <c r="AD179" s="1171"/>
      <c r="AE179" s="1171"/>
      <c r="AF179" s="1171"/>
      <c r="AG179" s="59">
        <f>SUM(Table6912131732[[#This Row],[Y3 Q1 quantity]:[Y3 Q4 quantity]])</f>
        <v>0</v>
      </c>
      <c r="AH179" s="1142">
        <f>Table6912131732[[#This Row],[Y3 Unit cost]]*Table6912131732[[#This Row],[Y3 Total quantity]]</f>
        <v>0</v>
      </c>
      <c r="AI179" s="62">
        <f>Table6912131732[[#This Row],[Y1 Total quantity]]+Table6912131732[[#This Row],[Y2 Total quantity]]+Table6912131732[[#This Row],[Y3 Total quantity]]</f>
        <v>0</v>
      </c>
      <c r="AJ179" s="1142">
        <f>Table6912131732[[#This Row],[Y1 Total cost]]+Table6912131732[[#This Row],[Y2 Total cost]]+Table6912131732[[#This Row],[Y3 Total cost]]</f>
        <v>0</v>
      </c>
      <c r="AK179" s="343" t="str">
        <f t="shared" si="12"/>
        <v/>
      </c>
      <c r="AL179" s="1266"/>
    </row>
    <row r="180" spans="1:38" s="249" customFormat="1">
      <c r="A180" s="2752"/>
      <c r="B180" s="2753"/>
      <c r="C180" s="2753"/>
      <c r="D180" s="2754"/>
      <c r="E180" s="2821"/>
      <c r="F180" s="2822"/>
      <c r="G180" s="2823"/>
      <c r="H180" s="2815"/>
      <c r="I180" s="2816"/>
      <c r="J180" s="2816"/>
      <c r="K180" s="2817"/>
      <c r="L180" s="385" t="str">
        <f t="shared" si="13"/>
        <v/>
      </c>
      <c r="M180" s="385" t="str">
        <f t="shared" si="14"/>
        <v/>
      </c>
      <c r="N180" s="1126"/>
      <c r="O180" s="1171"/>
      <c r="P180" s="1171"/>
      <c r="Q180" s="1171"/>
      <c r="R180" s="1171"/>
      <c r="S180" s="59">
        <f>SUM(Table6912131732[[#This Row],[Y1 Q1 quantity]:[Y1 Q4 quantity]])</f>
        <v>0</v>
      </c>
      <c r="T180" s="1132">
        <f>Table6912131732[[#This Row],[Y1 Unit cost]]*Table6912131732[[#This Row],[Y1 Total quantity]]</f>
        <v>0</v>
      </c>
      <c r="U180" s="1126"/>
      <c r="V180" s="1171"/>
      <c r="W180" s="1171"/>
      <c r="X180" s="1171"/>
      <c r="Y180" s="1171"/>
      <c r="Z180" s="59">
        <f>SUM(Table6912131732[[#This Row],[Y2 Q1 quantity]:[Y2 Q4 quantity]])</f>
        <v>0</v>
      </c>
      <c r="AA180" s="1142">
        <f>Table6912131732[[#This Row],[Y2 Unit cost]]*Table6912131732[[#This Row],[Y2 Total quantity]]</f>
        <v>0</v>
      </c>
      <c r="AB180" s="1149"/>
      <c r="AC180" s="1171"/>
      <c r="AD180" s="1171"/>
      <c r="AE180" s="1171"/>
      <c r="AF180" s="1171"/>
      <c r="AG180" s="59">
        <f>SUM(Table6912131732[[#This Row],[Y3 Q1 quantity]:[Y3 Q4 quantity]])</f>
        <v>0</v>
      </c>
      <c r="AH180" s="1142">
        <f>Table6912131732[[#This Row],[Y3 Unit cost]]*Table6912131732[[#This Row],[Y3 Total quantity]]</f>
        <v>0</v>
      </c>
      <c r="AI180" s="62">
        <f>Table6912131732[[#This Row],[Y1 Total quantity]]+Table6912131732[[#This Row],[Y2 Total quantity]]+Table6912131732[[#This Row],[Y3 Total quantity]]</f>
        <v>0</v>
      </c>
      <c r="AJ180" s="1142">
        <f>Table6912131732[[#This Row],[Y1 Total cost]]+Table6912131732[[#This Row],[Y2 Total cost]]+Table6912131732[[#This Row],[Y3 Total cost]]</f>
        <v>0</v>
      </c>
      <c r="AK180" s="343" t="str">
        <f t="shared" si="12"/>
        <v/>
      </c>
      <c r="AL180" s="1265"/>
    </row>
    <row r="181" spans="1:38" s="249" customFormat="1">
      <c r="A181" s="2796"/>
      <c r="B181" s="2797"/>
      <c r="C181" s="2797"/>
      <c r="D181" s="2798"/>
      <c r="E181" s="2801"/>
      <c r="F181" s="2802"/>
      <c r="G181" s="2803"/>
      <c r="H181" s="2812"/>
      <c r="I181" s="2813"/>
      <c r="J181" s="2813"/>
      <c r="K181" s="2814"/>
      <c r="L181" s="384" t="str">
        <f t="shared" si="13"/>
        <v/>
      </c>
      <c r="M181" s="384" t="str">
        <f t="shared" si="14"/>
        <v/>
      </c>
      <c r="N181" s="1126"/>
      <c r="O181" s="1171"/>
      <c r="P181" s="1171"/>
      <c r="Q181" s="1171"/>
      <c r="R181" s="1171"/>
      <c r="S181" s="59">
        <f>SUM(Table6912131732[[#This Row],[Y1 Q1 quantity]:[Y1 Q4 quantity]])</f>
        <v>0</v>
      </c>
      <c r="T181" s="1132">
        <f>Table6912131732[[#This Row],[Y1 Unit cost]]*Table6912131732[[#This Row],[Y1 Total quantity]]</f>
        <v>0</v>
      </c>
      <c r="U181" s="1126"/>
      <c r="V181" s="1171"/>
      <c r="W181" s="1171"/>
      <c r="X181" s="1171"/>
      <c r="Y181" s="1171"/>
      <c r="Z181" s="59">
        <f>SUM(Table6912131732[[#This Row],[Y2 Q1 quantity]:[Y2 Q4 quantity]])</f>
        <v>0</v>
      </c>
      <c r="AA181" s="1142">
        <f>Table6912131732[[#This Row],[Y2 Unit cost]]*Table6912131732[[#This Row],[Y2 Total quantity]]</f>
        <v>0</v>
      </c>
      <c r="AB181" s="1149"/>
      <c r="AC181" s="1171"/>
      <c r="AD181" s="1171"/>
      <c r="AE181" s="1171"/>
      <c r="AF181" s="1171"/>
      <c r="AG181" s="59">
        <f>SUM(Table6912131732[[#This Row],[Y3 Q1 quantity]:[Y3 Q4 quantity]])</f>
        <v>0</v>
      </c>
      <c r="AH181" s="1142">
        <f>Table6912131732[[#This Row],[Y3 Unit cost]]*Table6912131732[[#This Row],[Y3 Total quantity]]</f>
        <v>0</v>
      </c>
      <c r="AI181" s="62">
        <f>Table6912131732[[#This Row],[Y1 Total quantity]]+Table6912131732[[#This Row],[Y2 Total quantity]]+Table6912131732[[#This Row],[Y3 Total quantity]]</f>
        <v>0</v>
      </c>
      <c r="AJ181" s="1142">
        <f>Table6912131732[[#This Row],[Y1 Total cost]]+Table6912131732[[#This Row],[Y2 Total cost]]+Table6912131732[[#This Row],[Y3 Total cost]]</f>
        <v>0</v>
      </c>
      <c r="AK181" s="343" t="str">
        <f t="shared" si="12"/>
        <v/>
      </c>
      <c r="AL181" s="1266"/>
    </row>
    <row r="182" spans="1:38" s="249" customFormat="1">
      <c r="A182" s="2752"/>
      <c r="B182" s="2753"/>
      <c r="C182" s="2753"/>
      <c r="D182" s="2754"/>
      <c r="E182" s="2821"/>
      <c r="F182" s="2822"/>
      <c r="G182" s="2823"/>
      <c r="H182" s="2815"/>
      <c r="I182" s="2816"/>
      <c r="J182" s="2816"/>
      <c r="K182" s="2817"/>
      <c r="L182" s="385" t="str">
        <f t="shared" si="13"/>
        <v/>
      </c>
      <c r="M182" s="385" t="str">
        <f t="shared" si="14"/>
        <v/>
      </c>
      <c r="N182" s="1126"/>
      <c r="O182" s="1171"/>
      <c r="P182" s="1171"/>
      <c r="Q182" s="1171"/>
      <c r="R182" s="1171"/>
      <c r="S182" s="59">
        <f>SUM(Table6912131732[[#This Row],[Y1 Q1 quantity]:[Y1 Q4 quantity]])</f>
        <v>0</v>
      </c>
      <c r="T182" s="1132">
        <f>Table6912131732[[#This Row],[Y1 Unit cost]]*Table6912131732[[#This Row],[Y1 Total quantity]]</f>
        <v>0</v>
      </c>
      <c r="U182" s="1126"/>
      <c r="V182" s="1171"/>
      <c r="W182" s="1171"/>
      <c r="X182" s="1171"/>
      <c r="Y182" s="1171"/>
      <c r="Z182" s="59">
        <f>SUM(Table6912131732[[#This Row],[Y2 Q1 quantity]:[Y2 Q4 quantity]])</f>
        <v>0</v>
      </c>
      <c r="AA182" s="1142">
        <f>Table6912131732[[#This Row],[Y2 Unit cost]]*Table6912131732[[#This Row],[Y2 Total quantity]]</f>
        <v>0</v>
      </c>
      <c r="AB182" s="1149"/>
      <c r="AC182" s="1171"/>
      <c r="AD182" s="1171"/>
      <c r="AE182" s="1171"/>
      <c r="AF182" s="1171"/>
      <c r="AG182" s="59">
        <f>SUM(Table6912131732[[#This Row],[Y3 Q1 quantity]:[Y3 Q4 quantity]])</f>
        <v>0</v>
      </c>
      <c r="AH182" s="1142">
        <f>Table6912131732[[#This Row],[Y3 Unit cost]]*Table6912131732[[#This Row],[Y3 Total quantity]]</f>
        <v>0</v>
      </c>
      <c r="AI182" s="62">
        <f>Table6912131732[[#This Row],[Y1 Total quantity]]+Table6912131732[[#This Row],[Y2 Total quantity]]+Table6912131732[[#This Row],[Y3 Total quantity]]</f>
        <v>0</v>
      </c>
      <c r="AJ182" s="1142">
        <f>Table6912131732[[#This Row],[Y1 Total cost]]+Table6912131732[[#This Row],[Y2 Total cost]]+Table6912131732[[#This Row],[Y3 Total cost]]</f>
        <v>0</v>
      </c>
      <c r="AK182" s="343" t="str">
        <f t="shared" si="12"/>
        <v/>
      </c>
      <c r="AL182" s="1265"/>
    </row>
    <row r="183" spans="1:38" s="249" customFormat="1">
      <c r="A183" s="2796"/>
      <c r="B183" s="2797"/>
      <c r="C183" s="2797"/>
      <c r="D183" s="2798"/>
      <c r="E183" s="2801"/>
      <c r="F183" s="2802"/>
      <c r="G183" s="2803"/>
      <c r="H183" s="2812"/>
      <c r="I183" s="2813"/>
      <c r="J183" s="2813"/>
      <c r="K183" s="2814"/>
      <c r="L183" s="384" t="str">
        <f t="shared" si="13"/>
        <v/>
      </c>
      <c r="M183" s="384" t="str">
        <f t="shared" si="14"/>
        <v/>
      </c>
      <c r="N183" s="1126"/>
      <c r="O183" s="1171"/>
      <c r="P183" s="1171"/>
      <c r="Q183" s="1171"/>
      <c r="R183" s="1171"/>
      <c r="S183" s="59">
        <f>SUM(Table6912131732[[#This Row],[Y1 Q1 quantity]:[Y1 Q4 quantity]])</f>
        <v>0</v>
      </c>
      <c r="T183" s="1132">
        <f>Table6912131732[[#This Row],[Y1 Unit cost]]*Table6912131732[[#This Row],[Y1 Total quantity]]</f>
        <v>0</v>
      </c>
      <c r="U183" s="1126"/>
      <c r="V183" s="1171"/>
      <c r="W183" s="1171"/>
      <c r="X183" s="1171"/>
      <c r="Y183" s="1171"/>
      <c r="Z183" s="59">
        <f>SUM(Table6912131732[[#This Row],[Y2 Q1 quantity]:[Y2 Q4 quantity]])</f>
        <v>0</v>
      </c>
      <c r="AA183" s="1142">
        <f>Table6912131732[[#This Row],[Y2 Unit cost]]*Table6912131732[[#This Row],[Y2 Total quantity]]</f>
        <v>0</v>
      </c>
      <c r="AB183" s="1149"/>
      <c r="AC183" s="1171"/>
      <c r="AD183" s="1171"/>
      <c r="AE183" s="1171"/>
      <c r="AF183" s="1171"/>
      <c r="AG183" s="59">
        <f>SUM(Table6912131732[[#This Row],[Y3 Q1 quantity]:[Y3 Q4 quantity]])</f>
        <v>0</v>
      </c>
      <c r="AH183" s="1142">
        <f>Table6912131732[[#This Row],[Y3 Unit cost]]*Table6912131732[[#This Row],[Y3 Total quantity]]</f>
        <v>0</v>
      </c>
      <c r="AI183" s="62">
        <f>Table6912131732[[#This Row],[Y1 Total quantity]]+Table6912131732[[#This Row],[Y2 Total quantity]]+Table6912131732[[#This Row],[Y3 Total quantity]]</f>
        <v>0</v>
      </c>
      <c r="AJ183" s="1142">
        <f>Table6912131732[[#This Row],[Y1 Total cost]]+Table6912131732[[#This Row],[Y2 Total cost]]+Table6912131732[[#This Row],[Y3 Total cost]]</f>
        <v>0</v>
      </c>
      <c r="AK183" s="343" t="str">
        <f t="shared" si="12"/>
        <v/>
      </c>
      <c r="AL183" s="1266"/>
    </row>
    <row r="184" spans="1:38" s="249" customFormat="1">
      <c r="A184" s="2752"/>
      <c r="B184" s="2753"/>
      <c r="C184" s="2753"/>
      <c r="D184" s="2754"/>
      <c r="E184" s="2821"/>
      <c r="F184" s="2822"/>
      <c r="G184" s="2823"/>
      <c r="H184" s="2815"/>
      <c r="I184" s="2816"/>
      <c r="J184" s="2816"/>
      <c r="K184" s="2817"/>
      <c r="L184" s="385" t="str">
        <f t="shared" si="13"/>
        <v/>
      </c>
      <c r="M184" s="385" t="str">
        <f t="shared" si="14"/>
        <v/>
      </c>
      <c r="N184" s="1126"/>
      <c r="O184" s="1171"/>
      <c r="P184" s="1171"/>
      <c r="Q184" s="1171"/>
      <c r="R184" s="1171"/>
      <c r="S184" s="59">
        <f>SUM(Table6912131732[[#This Row],[Y1 Q1 quantity]:[Y1 Q4 quantity]])</f>
        <v>0</v>
      </c>
      <c r="T184" s="1132">
        <f>Table6912131732[[#This Row],[Y1 Unit cost]]*Table6912131732[[#This Row],[Y1 Total quantity]]</f>
        <v>0</v>
      </c>
      <c r="U184" s="1126"/>
      <c r="V184" s="1171"/>
      <c r="W184" s="1171"/>
      <c r="X184" s="1171"/>
      <c r="Y184" s="1171"/>
      <c r="Z184" s="59">
        <f>SUM(Table6912131732[[#This Row],[Y2 Q1 quantity]:[Y2 Q4 quantity]])</f>
        <v>0</v>
      </c>
      <c r="AA184" s="1142">
        <f>Table6912131732[[#This Row],[Y2 Unit cost]]*Table6912131732[[#This Row],[Y2 Total quantity]]</f>
        <v>0</v>
      </c>
      <c r="AB184" s="1149"/>
      <c r="AC184" s="1171"/>
      <c r="AD184" s="1171"/>
      <c r="AE184" s="1171"/>
      <c r="AF184" s="1171"/>
      <c r="AG184" s="59">
        <f>SUM(Table6912131732[[#This Row],[Y3 Q1 quantity]:[Y3 Q4 quantity]])</f>
        <v>0</v>
      </c>
      <c r="AH184" s="1142">
        <f>Table6912131732[[#This Row],[Y3 Unit cost]]*Table6912131732[[#This Row],[Y3 Total quantity]]</f>
        <v>0</v>
      </c>
      <c r="AI184" s="62">
        <f>Table6912131732[[#This Row],[Y1 Total quantity]]+Table6912131732[[#This Row],[Y2 Total quantity]]+Table6912131732[[#This Row],[Y3 Total quantity]]</f>
        <v>0</v>
      </c>
      <c r="AJ184" s="1142">
        <f>Table6912131732[[#This Row],[Y1 Total cost]]+Table6912131732[[#This Row],[Y2 Total cost]]+Table6912131732[[#This Row],[Y3 Total cost]]</f>
        <v>0</v>
      </c>
      <c r="AK184" s="343" t="str">
        <f t="shared" si="12"/>
        <v/>
      </c>
      <c r="AL184" s="1265"/>
    </row>
    <row r="185" spans="1:38" s="249" customFormat="1">
      <c r="A185" s="2796"/>
      <c r="B185" s="2797"/>
      <c r="C185" s="2797"/>
      <c r="D185" s="2798"/>
      <c r="E185" s="2801"/>
      <c r="F185" s="2802"/>
      <c r="G185" s="2803"/>
      <c r="H185" s="2812"/>
      <c r="I185" s="2813"/>
      <c r="J185" s="2813"/>
      <c r="K185" s="2814"/>
      <c r="L185" s="384" t="str">
        <f t="shared" si="13"/>
        <v/>
      </c>
      <c r="M185" s="384" t="str">
        <f t="shared" si="14"/>
        <v/>
      </c>
      <c r="N185" s="1126"/>
      <c r="O185" s="1171"/>
      <c r="P185" s="1171"/>
      <c r="Q185" s="1171"/>
      <c r="R185" s="1171"/>
      <c r="S185" s="59">
        <f>SUM(Table6912131732[[#This Row],[Y1 Q1 quantity]:[Y1 Q4 quantity]])</f>
        <v>0</v>
      </c>
      <c r="T185" s="1132">
        <f>Table6912131732[[#This Row],[Y1 Unit cost]]*Table6912131732[[#This Row],[Y1 Total quantity]]</f>
        <v>0</v>
      </c>
      <c r="U185" s="1126"/>
      <c r="V185" s="1171"/>
      <c r="W185" s="1171"/>
      <c r="X185" s="1171"/>
      <c r="Y185" s="1171"/>
      <c r="Z185" s="59">
        <f>SUM(Table6912131732[[#This Row],[Y2 Q1 quantity]:[Y2 Q4 quantity]])</f>
        <v>0</v>
      </c>
      <c r="AA185" s="1142">
        <f>Table6912131732[[#This Row],[Y2 Unit cost]]*Table6912131732[[#This Row],[Y2 Total quantity]]</f>
        <v>0</v>
      </c>
      <c r="AB185" s="1149"/>
      <c r="AC185" s="1171"/>
      <c r="AD185" s="1171"/>
      <c r="AE185" s="1171"/>
      <c r="AF185" s="1171"/>
      <c r="AG185" s="59">
        <f>SUM(Table6912131732[[#This Row],[Y3 Q1 quantity]:[Y3 Q4 quantity]])</f>
        <v>0</v>
      </c>
      <c r="AH185" s="1142">
        <f>Table6912131732[[#This Row],[Y3 Unit cost]]*Table6912131732[[#This Row],[Y3 Total quantity]]</f>
        <v>0</v>
      </c>
      <c r="AI185" s="62">
        <f>Table6912131732[[#This Row],[Y1 Total quantity]]+Table6912131732[[#This Row],[Y2 Total quantity]]+Table6912131732[[#This Row],[Y3 Total quantity]]</f>
        <v>0</v>
      </c>
      <c r="AJ185" s="1142">
        <f>Table6912131732[[#This Row],[Y1 Total cost]]+Table6912131732[[#This Row],[Y2 Total cost]]+Table6912131732[[#This Row],[Y3 Total cost]]</f>
        <v>0</v>
      </c>
      <c r="AK185" s="343" t="str">
        <f t="shared" si="12"/>
        <v/>
      </c>
      <c r="AL185" s="1266"/>
    </row>
    <row r="186" spans="1:38" s="249" customFormat="1">
      <c r="A186" s="2752"/>
      <c r="B186" s="2753"/>
      <c r="C186" s="2753"/>
      <c r="D186" s="2754"/>
      <c r="E186" s="2821"/>
      <c r="F186" s="2822"/>
      <c r="G186" s="2823"/>
      <c r="H186" s="2815"/>
      <c r="I186" s="2816"/>
      <c r="J186" s="2816"/>
      <c r="K186" s="2817"/>
      <c r="L186" s="385" t="str">
        <f t="shared" si="13"/>
        <v/>
      </c>
      <c r="M186" s="385" t="str">
        <f t="shared" si="14"/>
        <v/>
      </c>
      <c r="N186" s="1126"/>
      <c r="O186" s="1171"/>
      <c r="P186" s="1171"/>
      <c r="Q186" s="1171"/>
      <c r="R186" s="1171"/>
      <c r="S186" s="59">
        <f>SUM(Table6912131732[[#This Row],[Y1 Q1 quantity]:[Y1 Q4 quantity]])</f>
        <v>0</v>
      </c>
      <c r="T186" s="1132">
        <f>Table6912131732[[#This Row],[Y1 Unit cost]]*Table6912131732[[#This Row],[Y1 Total quantity]]</f>
        <v>0</v>
      </c>
      <c r="U186" s="1126"/>
      <c r="V186" s="1171"/>
      <c r="W186" s="1171"/>
      <c r="X186" s="1171"/>
      <c r="Y186" s="1171"/>
      <c r="Z186" s="59">
        <f>SUM(Table6912131732[[#This Row],[Y2 Q1 quantity]:[Y2 Q4 quantity]])</f>
        <v>0</v>
      </c>
      <c r="AA186" s="1142">
        <f>Table6912131732[[#This Row],[Y2 Unit cost]]*Table6912131732[[#This Row],[Y2 Total quantity]]</f>
        <v>0</v>
      </c>
      <c r="AB186" s="1149"/>
      <c r="AC186" s="1171"/>
      <c r="AD186" s="1171"/>
      <c r="AE186" s="1171"/>
      <c r="AF186" s="1171"/>
      <c r="AG186" s="59">
        <f>SUM(Table6912131732[[#This Row],[Y3 Q1 quantity]:[Y3 Q4 quantity]])</f>
        <v>0</v>
      </c>
      <c r="AH186" s="1142">
        <f>Table6912131732[[#This Row],[Y3 Unit cost]]*Table6912131732[[#This Row],[Y3 Total quantity]]</f>
        <v>0</v>
      </c>
      <c r="AI186" s="62">
        <f>Table6912131732[[#This Row],[Y1 Total quantity]]+Table6912131732[[#This Row],[Y2 Total quantity]]+Table6912131732[[#This Row],[Y3 Total quantity]]</f>
        <v>0</v>
      </c>
      <c r="AJ186" s="1142">
        <f>Table6912131732[[#This Row],[Y1 Total cost]]+Table6912131732[[#This Row],[Y2 Total cost]]+Table6912131732[[#This Row],[Y3 Total cost]]</f>
        <v>0</v>
      </c>
      <c r="AK186" s="343" t="str">
        <f t="shared" si="12"/>
        <v/>
      </c>
      <c r="AL186" s="1265"/>
    </row>
    <row r="187" spans="1:38" s="249" customFormat="1">
      <c r="A187" s="2796"/>
      <c r="B187" s="2797"/>
      <c r="C187" s="2797"/>
      <c r="D187" s="2798"/>
      <c r="E187" s="2801"/>
      <c r="F187" s="2802"/>
      <c r="G187" s="2803"/>
      <c r="H187" s="2812"/>
      <c r="I187" s="2813"/>
      <c r="J187" s="2813"/>
      <c r="K187" s="2814"/>
      <c r="L187" s="384" t="str">
        <f t="shared" si="13"/>
        <v/>
      </c>
      <c r="M187" s="384" t="str">
        <f t="shared" si="14"/>
        <v/>
      </c>
      <c r="N187" s="1126"/>
      <c r="O187" s="1171"/>
      <c r="P187" s="1171"/>
      <c r="Q187" s="1171"/>
      <c r="R187" s="1171"/>
      <c r="S187" s="59">
        <f>SUM(Table6912131732[[#This Row],[Y1 Q1 quantity]:[Y1 Q4 quantity]])</f>
        <v>0</v>
      </c>
      <c r="T187" s="1132">
        <f>Table6912131732[[#This Row],[Y1 Unit cost]]*Table6912131732[[#This Row],[Y1 Total quantity]]</f>
        <v>0</v>
      </c>
      <c r="U187" s="1126"/>
      <c r="V187" s="1171"/>
      <c r="W187" s="1171"/>
      <c r="X187" s="1171"/>
      <c r="Y187" s="1171"/>
      <c r="Z187" s="59">
        <f>SUM(Table6912131732[[#This Row],[Y2 Q1 quantity]:[Y2 Q4 quantity]])</f>
        <v>0</v>
      </c>
      <c r="AA187" s="1142">
        <f>Table6912131732[[#This Row],[Y2 Unit cost]]*Table6912131732[[#This Row],[Y2 Total quantity]]</f>
        <v>0</v>
      </c>
      <c r="AB187" s="1149"/>
      <c r="AC187" s="1171"/>
      <c r="AD187" s="1171"/>
      <c r="AE187" s="1171"/>
      <c r="AF187" s="1171"/>
      <c r="AG187" s="59">
        <f>SUM(Table6912131732[[#This Row],[Y3 Q1 quantity]:[Y3 Q4 quantity]])</f>
        <v>0</v>
      </c>
      <c r="AH187" s="1142">
        <f>Table6912131732[[#This Row],[Y3 Unit cost]]*Table6912131732[[#This Row],[Y3 Total quantity]]</f>
        <v>0</v>
      </c>
      <c r="AI187" s="62">
        <f>Table6912131732[[#This Row],[Y1 Total quantity]]+Table6912131732[[#This Row],[Y2 Total quantity]]+Table6912131732[[#This Row],[Y3 Total quantity]]</f>
        <v>0</v>
      </c>
      <c r="AJ187" s="1142">
        <f>Table6912131732[[#This Row],[Y1 Total cost]]+Table6912131732[[#This Row],[Y2 Total cost]]+Table6912131732[[#This Row],[Y3 Total cost]]</f>
        <v>0</v>
      </c>
      <c r="AK187" s="343" t="str">
        <f t="shared" si="12"/>
        <v/>
      </c>
      <c r="AL187" s="1263"/>
    </row>
    <row r="188" spans="1:38" s="249" customFormat="1">
      <c r="A188" s="2752"/>
      <c r="B188" s="2753"/>
      <c r="C188" s="2753"/>
      <c r="D188" s="2754"/>
      <c r="E188" s="2821"/>
      <c r="F188" s="2822"/>
      <c r="G188" s="2823"/>
      <c r="H188" s="2815"/>
      <c r="I188" s="2816"/>
      <c r="J188" s="2816"/>
      <c r="K188" s="2817"/>
      <c r="L188" s="385" t="str">
        <f t="shared" si="13"/>
        <v/>
      </c>
      <c r="M188" s="385" t="str">
        <f t="shared" si="14"/>
        <v/>
      </c>
      <c r="N188" s="1126"/>
      <c r="O188" s="1171"/>
      <c r="P188" s="1171"/>
      <c r="Q188" s="1171"/>
      <c r="R188" s="1171"/>
      <c r="S188" s="59">
        <f>SUM(Table6912131732[[#This Row],[Y1 Q1 quantity]:[Y1 Q4 quantity]])</f>
        <v>0</v>
      </c>
      <c r="T188" s="1132">
        <f>Table6912131732[[#This Row],[Y1 Unit cost]]*Table6912131732[[#This Row],[Y1 Total quantity]]</f>
        <v>0</v>
      </c>
      <c r="U188" s="1126"/>
      <c r="V188" s="1171"/>
      <c r="W188" s="1171"/>
      <c r="X188" s="1171"/>
      <c r="Y188" s="1171"/>
      <c r="Z188" s="59">
        <f>SUM(Table6912131732[[#This Row],[Y2 Q1 quantity]:[Y2 Q4 quantity]])</f>
        <v>0</v>
      </c>
      <c r="AA188" s="1142">
        <f>Table6912131732[[#This Row],[Y2 Unit cost]]*Table6912131732[[#This Row],[Y2 Total quantity]]</f>
        <v>0</v>
      </c>
      <c r="AB188" s="1149"/>
      <c r="AC188" s="1171"/>
      <c r="AD188" s="1171"/>
      <c r="AE188" s="1171"/>
      <c r="AF188" s="1171"/>
      <c r="AG188" s="59">
        <f>SUM(Table6912131732[[#This Row],[Y3 Q1 quantity]:[Y3 Q4 quantity]])</f>
        <v>0</v>
      </c>
      <c r="AH188" s="1142">
        <f>Table6912131732[[#This Row],[Y3 Unit cost]]*Table6912131732[[#This Row],[Y3 Total quantity]]</f>
        <v>0</v>
      </c>
      <c r="AI188" s="62">
        <f>Table6912131732[[#This Row],[Y1 Total quantity]]+Table6912131732[[#This Row],[Y2 Total quantity]]+Table6912131732[[#This Row],[Y3 Total quantity]]</f>
        <v>0</v>
      </c>
      <c r="AJ188" s="1142">
        <f>Table6912131732[[#This Row],[Y1 Total cost]]+Table6912131732[[#This Row],[Y2 Total cost]]+Table6912131732[[#This Row],[Y3 Total cost]]</f>
        <v>0</v>
      </c>
      <c r="AK188" s="343" t="str">
        <f t="shared" si="12"/>
        <v/>
      </c>
      <c r="AL188" s="1265"/>
    </row>
    <row r="189" spans="1:38" s="249" customFormat="1">
      <c r="A189" s="2796"/>
      <c r="B189" s="2797"/>
      <c r="C189" s="2797"/>
      <c r="D189" s="2798"/>
      <c r="E189" s="2801"/>
      <c r="F189" s="2802"/>
      <c r="G189" s="2803"/>
      <c r="H189" s="2812"/>
      <c r="I189" s="2813"/>
      <c r="J189" s="2813"/>
      <c r="K189" s="2814"/>
      <c r="L189" s="384" t="str">
        <f t="shared" si="13"/>
        <v/>
      </c>
      <c r="M189" s="384" t="str">
        <f t="shared" si="14"/>
        <v/>
      </c>
      <c r="N189" s="1126"/>
      <c r="O189" s="1171"/>
      <c r="P189" s="1171"/>
      <c r="Q189" s="1171"/>
      <c r="R189" s="1171"/>
      <c r="S189" s="59">
        <f>SUM(Table6912131732[[#This Row],[Y1 Q1 quantity]:[Y1 Q4 quantity]])</f>
        <v>0</v>
      </c>
      <c r="T189" s="1132">
        <f>Table6912131732[[#This Row],[Y1 Unit cost]]*Table6912131732[[#This Row],[Y1 Total quantity]]</f>
        <v>0</v>
      </c>
      <c r="U189" s="1126"/>
      <c r="V189" s="1171"/>
      <c r="W189" s="1171"/>
      <c r="X189" s="1171"/>
      <c r="Y189" s="1171"/>
      <c r="Z189" s="59">
        <f>SUM(Table6912131732[[#This Row],[Y2 Q1 quantity]:[Y2 Q4 quantity]])</f>
        <v>0</v>
      </c>
      <c r="AA189" s="1142">
        <f>Table6912131732[[#This Row],[Y2 Unit cost]]*Table6912131732[[#This Row],[Y2 Total quantity]]</f>
        <v>0</v>
      </c>
      <c r="AB189" s="1149"/>
      <c r="AC189" s="1171"/>
      <c r="AD189" s="1171"/>
      <c r="AE189" s="1171"/>
      <c r="AF189" s="1171"/>
      <c r="AG189" s="59">
        <f>SUM(Table6912131732[[#This Row],[Y3 Q1 quantity]:[Y3 Q4 quantity]])</f>
        <v>0</v>
      </c>
      <c r="AH189" s="1142">
        <f>Table6912131732[[#This Row],[Y3 Unit cost]]*Table6912131732[[#This Row],[Y3 Total quantity]]</f>
        <v>0</v>
      </c>
      <c r="AI189" s="62">
        <f>Table6912131732[[#This Row],[Y1 Total quantity]]+Table6912131732[[#This Row],[Y2 Total quantity]]+Table6912131732[[#This Row],[Y3 Total quantity]]</f>
        <v>0</v>
      </c>
      <c r="AJ189" s="1142">
        <f>Table6912131732[[#This Row],[Y1 Total cost]]+Table6912131732[[#This Row],[Y2 Total cost]]+Table6912131732[[#This Row],[Y3 Total cost]]</f>
        <v>0</v>
      </c>
      <c r="AK189" s="343" t="str">
        <f t="shared" si="12"/>
        <v/>
      </c>
      <c r="AL189" s="1266"/>
    </row>
    <row r="190" spans="1:38" s="249" customFormat="1">
      <c r="A190" s="2752"/>
      <c r="B190" s="2753"/>
      <c r="C190" s="2753"/>
      <c r="D190" s="2754"/>
      <c r="E190" s="2821"/>
      <c r="F190" s="2822"/>
      <c r="G190" s="2823"/>
      <c r="H190" s="2815"/>
      <c r="I190" s="2816"/>
      <c r="J190" s="2816"/>
      <c r="K190" s="2817"/>
      <c r="L190" s="385" t="str">
        <f t="shared" si="13"/>
        <v/>
      </c>
      <c r="M190" s="385" t="str">
        <f t="shared" si="14"/>
        <v/>
      </c>
      <c r="N190" s="1126"/>
      <c r="O190" s="1171"/>
      <c r="P190" s="1171"/>
      <c r="Q190" s="1171"/>
      <c r="R190" s="1171"/>
      <c r="S190" s="59">
        <f>SUM(Table6912131732[[#This Row],[Y1 Q1 quantity]:[Y1 Q4 quantity]])</f>
        <v>0</v>
      </c>
      <c r="T190" s="1132">
        <f>Table6912131732[[#This Row],[Y1 Unit cost]]*Table6912131732[[#This Row],[Y1 Total quantity]]</f>
        <v>0</v>
      </c>
      <c r="U190" s="1126"/>
      <c r="V190" s="1171"/>
      <c r="W190" s="1171"/>
      <c r="X190" s="1171"/>
      <c r="Y190" s="1171"/>
      <c r="Z190" s="59">
        <f>SUM(Table6912131732[[#This Row],[Y2 Q1 quantity]:[Y2 Q4 quantity]])</f>
        <v>0</v>
      </c>
      <c r="AA190" s="1142">
        <f>Table6912131732[[#This Row],[Y2 Unit cost]]*Table6912131732[[#This Row],[Y2 Total quantity]]</f>
        <v>0</v>
      </c>
      <c r="AB190" s="1149"/>
      <c r="AC190" s="1171"/>
      <c r="AD190" s="1171"/>
      <c r="AE190" s="1171"/>
      <c r="AF190" s="1171"/>
      <c r="AG190" s="59">
        <f>SUM(Table6912131732[[#This Row],[Y3 Q1 quantity]:[Y3 Q4 quantity]])</f>
        <v>0</v>
      </c>
      <c r="AH190" s="1142">
        <f>Table6912131732[[#This Row],[Y3 Unit cost]]*Table6912131732[[#This Row],[Y3 Total quantity]]</f>
        <v>0</v>
      </c>
      <c r="AI190" s="62">
        <f>Table6912131732[[#This Row],[Y1 Total quantity]]+Table6912131732[[#This Row],[Y2 Total quantity]]+Table6912131732[[#This Row],[Y3 Total quantity]]</f>
        <v>0</v>
      </c>
      <c r="AJ190" s="1142">
        <f>Table6912131732[[#This Row],[Y1 Total cost]]+Table6912131732[[#This Row],[Y2 Total cost]]+Table6912131732[[#This Row],[Y3 Total cost]]</f>
        <v>0</v>
      </c>
      <c r="AK190" s="343" t="str">
        <f t="shared" si="12"/>
        <v/>
      </c>
      <c r="AL190" s="1265"/>
    </row>
    <row r="191" spans="1:38" s="249" customFormat="1">
      <c r="A191" s="2796"/>
      <c r="B191" s="2797"/>
      <c r="C191" s="2797"/>
      <c r="D191" s="2798"/>
      <c r="E191" s="2801"/>
      <c r="F191" s="2802"/>
      <c r="G191" s="2803"/>
      <c r="H191" s="2812"/>
      <c r="I191" s="2813"/>
      <c r="J191" s="2813"/>
      <c r="K191" s="2814"/>
      <c r="L191" s="384" t="str">
        <f t="shared" si="13"/>
        <v/>
      </c>
      <c r="M191" s="384" t="str">
        <f t="shared" si="14"/>
        <v/>
      </c>
      <c r="N191" s="1126"/>
      <c r="O191" s="1171"/>
      <c r="P191" s="1171"/>
      <c r="Q191" s="1171"/>
      <c r="R191" s="1171"/>
      <c r="S191" s="59">
        <f>SUM(Table6912131732[[#This Row],[Y1 Q1 quantity]:[Y1 Q4 quantity]])</f>
        <v>0</v>
      </c>
      <c r="T191" s="1132">
        <f>Table6912131732[[#This Row],[Y1 Unit cost]]*Table6912131732[[#This Row],[Y1 Total quantity]]</f>
        <v>0</v>
      </c>
      <c r="U191" s="1126"/>
      <c r="V191" s="1171"/>
      <c r="W191" s="1171"/>
      <c r="X191" s="1171"/>
      <c r="Y191" s="1171"/>
      <c r="Z191" s="59">
        <f>SUM(Table6912131732[[#This Row],[Y2 Q1 quantity]:[Y2 Q4 quantity]])</f>
        <v>0</v>
      </c>
      <c r="AA191" s="1142">
        <f>Table6912131732[[#This Row],[Y2 Unit cost]]*Table6912131732[[#This Row],[Y2 Total quantity]]</f>
        <v>0</v>
      </c>
      <c r="AB191" s="1149"/>
      <c r="AC191" s="1171"/>
      <c r="AD191" s="1171"/>
      <c r="AE191" s="1171"/>
      <c r="AF191" s="1171"/>
      <c r="AG191" s="59">
        <f>SUM(Table6912131732[[#This Row],[Y3 Q1 quantity]:[Y3 Q4 quantity]])</f>
        <v>0</v>
      </c>
      <c r="AH191" s="1142">
        <f>Table6912131732[[#This Row],[Y3 Unit cost]]*Table6912131732[[#This Row],[Y3 Total quantity]]</f>
        <v>0</v>
      </c>
      <c r="AI191" s="62">
        <f>Table6912131732[[#This Row],[Y1 Total quantity]]+Table6912131732[[#This Row],[Y2 Total quantity]]+Table6912131732[[#This Row],[Y3 Total quantity]]</f>
        <v>0</v>
      </c>
      <c r="AJ191" s="1142">
        <f>Table6912131732[[#This Row],[Y1 Total cost]]+Table6912131732[[#This Row],[Y2 Total cost]]+Table6912131732[[#This Row],[Y3 Total cost]]</f>
        <v>0</v>
      </c>
      <c r="AK191" s="343" t="str">
        <f t="shared" si="12"/>
        <v/>
      </c>
      <c r="AL191" s="1266"/>
    </row>
    <row r="192" spans="1:38" s="249" customFormat="1">
      <c r="A192" s="2752"/>
      <c r="B192" s="2753"/>
      <c r="C192" s="2753"/>
      <c r="D192" s="2754"/>
      <c r="E192" s="2821"/>
      <c r="F192" s="2822"/>
      <c r="G192" s="2823"/>
      <c r="H192" s="2815"/>
      <c r="I192" s="2816"/>
      <c r="J192" s="2816"/>
      <c r="K192" s="2817"/>
      <c r="L192" s="385" t="str">
        <f t="shared" si="13"/>
        <v/>
      </c>
      <c r="M192" s="385" t="str">
        <f t="shared" si="14"/>
        <v/>
      </c>
      <c r="N192" s="1126"/>
      <c r="O192" s="1171"/>
      <c r="P192" s="1171"/>
      <c r="Q192" s="1171"/>
      <c r="R192" s="1171"/>
      <c r="S192" s="59">
        <f>SUM(Table6912131732[[#This Row],[Y1 Q1 quantity]:[Y1 Q4 quantity]])</f>
        <v>0</v>
      </c>
      <c r="T192" s="1132">
        <f>Table6912131732[[#This Row],[Y1 Unit cost]]*Table6912131732[[#This Row],[Y1 Total quantity]]</f>
        <v>0</v>
      </c>
      <c r="U192" s="1126"/>
      <c r="V192" s="1171"/>
      <c r="W192" s="1171"/>
      <c r="X192" s="1171"/>
      <c r="Y192" s="1171"/>
      <c r="Z192" s="59">
        <f>SUM(Table6912131732[[#This Row],[Y2 Q1 quantity]:[Y2 Q4 quantity]])</f>
        <v>0</v>
      </c>
      <c r="AA192" s="1142">
        <f>Table6912131732[[#This Row],[Y2 Unit cost]]*Table6912131732[[#This Row],[Y2 Total quantity]]</f>
        <v>0</v>
      </c>
      <c r="AB192" s="1149"/>
      <c r="AC192" s="1171"/>
      <c r="AD192" s="1171"/>
      <c r="AE192" s="1171"/>
      <c r="AF192" s="1171"/>
      <c r="AG192" s="59">
        <f>SUM(Table6912131732[[#This Row],[Y3 Q1 quantity]:[Y3 Q4 quantity]])</f>
        <v>0</v>
      </c>
      <c r="AH192" s="1142">
        <f>Table6912131732[[#This Row],[Y3 Unit cost]]*Table6912131732[[#This Row],[Y3 Total quantity]]</f>
        <v>0</v>
      </c>
      <c r="AI192" s="62">
        <f>Table6912131732[[#This Row],[Y1 Total quantity]]+Table6912131732[[#This Row],[Y2 Total quantity]]+Table6912131732[[#This Row],[Y3 Total quantity]]</f>
        <v>0</v>
      </c>
      <c r="AJ192" s="1142">
        <f>Table6912131732[[#This Row],[Y1 Total cost]]+Table6912131732[[#This Row],[Y2 Total cost]]+Table6912131732[[#This Row],[Y3 Total cost]]</f>
        <v>0</v>
      </c>
      <c r="AK192" s="343" t="str">
        <f t="shared" si="12"/>
        <v/>
      </c>
      <c r="AL192" s="1265"/>
    </row>
    <row r="193" spans="1:38" s="249" customFormat="1">
      <c r="A193" s="2796"/>
      <c r="B193" s="2797"/>
      <c r="C193" s="2797"/>
      <c r="D193" s="2798"/>
      <c r="E193" s="2801"/>
      <c r="F193" s="2802"/>
      <c r="G193" s="2803"/>
      <c r="H193" s="2812"/>
      <c r="I193" s="2813"/>
      <c r="J193" s="2813"/>
      <c r="K193" s="2814"/>
      <c r="L193" s="384" t="str">
        <f t="shared" si="13"/>
        <v/>
      </c>
      <c r="M193" s="384" t="str">
        <f t="shared" si="14"/>
        <v/>
      </c>
      <c r="N193" s="1126"/>
      <c r="O193" s="1171"/>
      <c r="P193" s="1171"/>
      <c r="Q193" s="1171"/>
      <c r="R193" s="1171"/>
      <c r="S193" s="59">
        <f>SUM(Table6912131732[[#This Row],[Y1 Q1 quantity]:[Y1 Q4 quantity]])</f>
        <v>0</v>
      </c>
      <c r="T193" s="1132">
        <f>Table6912131732[[#This Row],[Y1 Unit cost]]*Table6912131732[[#This Row],[Y1 Total quantity]]</f>
        <v>0</v>
      </c>
      <c r="U193" s="1126"/>
      <c r="V193" s="1171"/>
      <c r="W193" s="1171"/>
      <c r="X193" s="1171"/>
      <c r="Y193" s="1171"/>
      <c r="Z193" s="59">
        <f>SUM(Table6912131732[[#This Row],[Y2 Q1 quantity]:[Y2 Q4 quantity]])</f>
        <v>0</v>
      </c>
      <c r="AA193" s="1142">
        <f>Table6912131732[[#This Row],[Y2 Unit cost]]*Table6912131732[[#This Row],[Y2 Total quantity]]</f>
        <v>0</v>
      </c>
      <c r="AB193" s="1149"/>
      <c r="AC193" s="1171"/>
      <c r="AD193" s="1171"/>
      <c r="AE193" s="1171"/>
      <c r="AF193" s="1171"/>
      <c r="AG193" s="59">
        <f>SUM(Table6912131732[[#This Row],[Y3 Q1 quantity]:[Y3 Q4 quantity]])</f>
        <v>0</v>
      </c>
      <c r="AH193" s="1142">
        <f>Table6912131732[[#This Row],[Y3 Unit cost]]*Table6912131732[[#This Row],[Y3 Total quantity]]</f>
        <v>0</v>
      </c>
      <c r="AI193" s="62">
        <f>Table6912131732[[#This Row],[Y1 Total quantity]]+Table6912131732[[#This Row],[Y2 Total quantity]]+Table6912131732[[#This Row],[Y3 Total quantity]]</f>
        <v>0</v>
      </c>
      <c r="AJ193" s="1142">
        <f>Table6912131732[[#This Row],[Y1 Total cost]]+Table6912131732[[#This Row],[Y2 Total cost]]+Table6912131732[[#This Row],[Y3 Total cost]]</f>
        <v>0</v>
      </c>
      <c r="AK193" s="343" t="str">
        <f t="shared" si="12"/>
        <v/>
      </c>
      <c r="AL193" s="1266"/>
    </row>
    <row r="194" spans="1:38" s="249" customFormat="1">
      <c r="A194" s="2752"/>
      <c r="B194" s="2753"/>
      <c r="C194" s="2753"/>
      <c r="D194" s="2754"/>
      <c r="E194" s="2821"/>
      <c r="F194" s="2822"/>
      <c r="G194" s="2823"/>
      <c r="H194" s="2815"/>
      <c r="I194" s="2816"/>
      <c r="J194" s="2816"/>
      <c r="K194" s="2817"/>
      <c r="L194" s="385" t="str">
        <f t="shared" si="13"/>
        <v/>
      </c>
      <c r="M194" s="385" t="str">
        <f t="shared" si="14"/>
        <v/>
      </c>
      <c r="N194" s="1126"/>
      <c r="O194" s="1171"/>
      <c r="P194" s="1171"/>
      <c r="Q194" s="1171"/>
      <c r="R194" s="1171"/>
      <c r="S194" s="59">
        <f>SUM(Table6912131732[[#This Row],[Y1 Q1 quantity]:[Y1 Q4 quantity]])</f>
        <v>0</v>
      </c>
      <c r="T194" s="1132">
        <f>Table6912131732[[#This Row],[Y1 Unit cost]]*Table6912131732[[#This Row],[Y1 Total quantity]]</f>
        <v>0</v>
      </c>
      <c r="U194" s="1126"/>
      <c r="V194" s="1171"/>
      <c r="W194" s="1171"/>
      <c r="X194" s="1171"/>
      <c r="Y194" s="1171"/>
      <c r="Z194" s="59">
        <f>SUM(Table6912131732[[#This Row],[Y2 Q1 quantity]:[Y2 Q4 quantity]])</f>
        <v>0</v>
      </c>
      <c r="AA194" s="1142">
        <f>Table6912131732[[#This Row],[Y2 Unit cost]]*Table6912131732[[#This Row],[Y2 Total quantity]]</f>
        <v>0</v>
      </c>
      <c r="AB194" s="1149"/>
      <c r="AC194" s="1171"/>
      <c r="AD194" s="1171"/>
      <c r="AE194" s="1171"/>
      <c r="AF194" s="1171"/>
      <c r="AG194" s="59">
        <f>SUM(Table6912131732[[#This Row],[Y3 Q1 quantity]:[Y3 Q4 quantity]])</f>
        <v>0</v>
      </c>
      <c r="AH194" s="1142">
        <f>Table6912131732[[#This Row],[Y3 Unit cost]]*Table6912131732[[#This Row],[Y3 Total quantity]]</f>
        <v>0</v>
      </c>
      <c r="AI194" s="62">
        <f>Table6912131732[[#This Row],[Y1 Total quantity]]+Table6912131732[[#This Row],[Y2 Total quantity]]+Table6912131732[[#This Row],[Y3 Total quantity]]</f>
        <v>0</v>
      </c>
      <c r="AJ194" s="1142">
        <f>Table6912131732[[#This Row],[Y1 Total cost]]+Table6912131732[[#This Row],[Y2 Total cost]]+Table6912131732[[#This Row],[Y3 Total cost]]</f>
        <v>0</v>
      </c>
      <c r="AK194" s="343" t="str">
        <f t="shared" ref="AK194:AK230" si="15">IF(ISBLANK(E194),"",IF(OR(ISNUMBER(SEARCH("reagents",E194)),ISNUMBER(SEARCH("supplies:",E194))),"5.6",IF(ISNUMBER(SEARCH("Syringes",E194)),"5.7",IF(OR(ISNUMBER(SEARCH("Consumables",E194)),ISNUMBER(SEARCH("Microscopy:",E194))),"5.8",IF(OR(ISNUMBER(SEARCH("Warranty, maintenance",H194)),AND(ISNUMBER(SEARCH("BACTEC MGIT",E194)),ISNUMBER(SEARCH("specifications manually",H194))),AND(ISNUMBER(SEARCH("equipment-Other",E194)),ISNUMBER(SEARCH("specifications manually",H194))),AND(ISNUMBER(SEARCH("Microscope-Maintenance",E194)),ISNUMBER(SEARCH("specifications manually",H194))),AND(ISNUMBER(SEARCH("diagnosis/LPA",E194)),ISNUMBER(SEARCH("specifications manually",H194))),AND(ISNUMBER(SEARCH("GeneXpert",E194)),ISNUMBER(SEARCH("Calibration",H194))),AND(ISNUMBER(SEARCH("GeneXpert",E194)),ISNUMBER(SEARCH("maintenance",H194)))),"6.5","6.6")))))</f>
        <v/>
      </c>
      <c r="AL194" s="1265"/>
    </row>
    <row r="195" spans="1:38" s="249" customFormat="1">
      <c r="A195" s="2796"/>
      <c r="B195" s="2797"/>
      <c r="C195" s="2797"/>
      <c r="D195" s="2798"/>
      <c r="E195" s="2801"/>
      <c r="F195" s="2802"/>
      <c r="G195" s="2803"/>
      <c r="H195" s="2812"/>
      <c r="I195" s="2813"/>
      <c r="J195" s="2813"/>
      <c r="K195" s="2814"/>
      <c r="L195" s="384" t="str">
        <f t="shared" ref="L195:L230" si="16">IF(E195="","","Piece")</f>
        <v/>
      </c>
      <c r="M195" s="384" t="str">
        <f t="shared" ref="M195:M230" si="17">IF(L195="", "","USD")</f>
        <v/>
      </c>
      <c r="N195" s="1126"/>
      <c r="O195" s="1171"/>
      <c r="P195" s="1171"/>
      <c r="Q195" s="1171"/>
      <c r="R195" s="1171"/>
      <c r="S195" s="59">
        <f>SUM(Table6912131732[[#This Row],[Y1 Q1 quantity]:[Y1 Q4 quantity]])</f>
        <v>0</v>
      </c>
      <c r="T195" s="1132">
        <f>Table6912131732[[#This Row],[Y1 Unit cost]]*Table6912131732[[#This Row],[Y1 Total quantity]]</f>
        <v>0</v>
      </c>
      <c r="U195" s="1126"/>
      <c r="V195" s="1171"/>
      <c r="W195" s="1171"/>
      <c r="X195" s="1171"/>
      <c r="Y195" s="1171"/>
      <c r="Z195" s="59">
        <f>SUM(Table6912131732[[#This Row],[Y2 Q1 quantity]:[Y2 Q4 quantity]])</f>
        <v>0</v>
      </c>
      <c r="AA195" s="1142">
        <f>Table6912131732[[#This Row],[Y2 Unit cost]]*Table6912131732[[#This Row],[Y2 Total quantity]]</f>
        <v>0</v>
      </c>
      <c r="AB195" s="1149"/>
      <c r="AC195" s="1171"/>
      <c r="AD195" s="1171"/>
      <c r="AE195" s="1171"/>
      <c r="AF195" s="1171"/>
      <c r="AG195" s="59">
        <f>SUM(Table6912131732[[#This Row],[Y3 Q1 quantity]:[Y3 Q4 quantity]])</f>
        <v>0</v>
      </c>
      <c r="AH195" s="1142">
        <f>Table6912131732[[#This Row],[Y3 Unit cost]]*Table6912131732[[#This Row],[Y3 Total quantity]]</f>
        <v>0</v>
      </c>
      <c r="AI195" s="62">
        <f>Table6912131732[[#This Row],[Y1 Total quantity]]+Table6912131732[[#This Row],[Y2 Total quantity]]+Table6912131732[[#This Row],[Y3 Total quantity]]</f>
        <v>0</v>
      </c>
      <c r="AJ195" s="1142">
        <f>Table6912131732[[#This Row],[Y1 Total cost]]+Table6912131732[[#This Row],[Y2 Total cost]]+Table6912131732[[#This Row],[Y3 Total cost]]</f>
        <v>0</v>
      </c>
      <c r="AK195" s="343" t="str">
        <f t="shared" si="15"/>
        <v/>
      </c>
      <c r="AL195" s="1266"/>
    </row>
    <row r="196" spans="1:38" s="249" customFormat="1">
      <c r="A196" s="2752"/>
      <c r="B196" s="2753"/>
      <c r="C196" s="2753"/>
      <c r="D196" s="2754"/>
      <c r="E196" s="2821"/>
      <c r="F196" s="2822"/>
      <c r="G196" s="2823"/>
      <c r="H196" s="2815"/>
      <c r="I196" s="2816"/>
      <c r="J196" s="2816"/>
      <c r="K196" s="2817"/>
      <c r="L196" s="385" t="str">
        <f t="shared" si="16"/>
        <v/>
      </c>
      <c r="M196" s="385" t="str">
        <f t="shared" si="17"/>
        <v/>
      </c>
      <c r="N196" s="1126"/>
      <c r="O196" s="1171"/>
      <c r="P196" s="1171"/>
      <c r="Q196" s="1171"/>
      <c r="R196" s="1171"/>
      <c r="S196" s="59">
        <f>SUM(Table6912131732[[#This Row],[Y1 Q1 quantity]:[Y1 Q4 quantity]])</f>
        <v>0</v>
      </c>
      <c r="T196" s="1132">
        <f>Table6912131732[[#This Row],[Y1 Unit cost]]*Table6912131732[[#This Row],[Y1 Total quantity]]</f>
        <v>0</v>
      </c>
      <c r="U196" s="1126"/>
      <c r="V196" s="1171"/>
      <c r="W196" s="1171"/>
      <c r="X196" s="1171"/>
      <c r="Y196" s="1171"/>
      <c r="Z196" s="59">
        <f>SUM(Table6912131732[[#This Row],[Y2 Q1 quantity]:[Y2 Q4 quantity]])</f>
        <v>0</v>
      </c>
      <c r="AA196" s="1142">
        <f>Table6912131732[[#This Row],[Y2 Unit cost]]*Table6912131732[[#This Row],[Y2 Total quantity]]</f>
        <v>0</v>
      </c>
      <c r="AB196" s="1149"/>
      <c r="AC196" s="1171"/>
      <c r="AD196" s="1171"/>
      <c r="AE196" s="1171"/>
      <c r="AF196" s="1171"/>
      <c r="AG196" s="59">
        <f>SUM(Table6912131732[[#This Row],[Y3 Q1 quantity]:[Y3 Q4 quantity]])</f>
        <v>0</v>
      </c>
      <c r="AH196" s="1142">
        <f>Table6912131732[[#This Row],[Y3 Unit cost]]*Table6912131732[[#This Row],[Y3 Total quantity]]</f>
        <v>0</v>
      </c>
      <c r="AI196" s="62">
        <f>Table6912131732[[#This Row],[Y1 Total quantity]]+Table6912131732[[#This Row],[Y2 Total quantity]]+Table6912131732[[#This Row],[Y3 Total quantity]]</f>
        <v>0</v>
      </c>
      <c r="AJ196" s="1142">
        <f>Table6912131732[[#This Row],[Y1 Total cost]]+Table6912131732[[#This Row],[Y2 Total cost]]+Table6912131732[[#This Row],[Y3 Total cost]]</f>
        <v>0</v>
      </c>
      <c r="AK196" s="343" t="str">
        <f t="shared" si="15"/>
        <v/>
      </c>
      <c r="AL196" s="1265"/>
    </row>
    <row r="197" spans="1:38" s="249" customFormat="1">
      <c r="A197" s="2796"/>
      <c r="B197" s="2797"/>
      <c r="C197" s="2797"/>
      <c r="D197" s="2798"/>
      <c r="E197" s="2801"/>
      <c r="F197" s="2802"/>
      <c r="G197" s="2803"/>
      <c r="H197" s="2812"/>
      <c r="I197" s="2813"/>
      <c r="J197" s="2813"/>
      <c r="K197" s="2814"/>
      <c r="L197" s="384" t="str">
        <f t="shared" si="16"/>
        <v/>
      </c>
      <c r="M197" s="384" t="str">
        <f t="shared" si="17"/>
        <v/>
      </c>
      <c r="N197" s="1126"/>
      <c r="O197" s="1171"/>
      <c r="P197" s="1171"/>
      <c r="Q197" s="1171"/>
      <c r="R197" s="1171"/>
      <c r="S197" s="59">
        <f>SUM(Table6912131732[[#This Row],[Y1 Q1 quantity]:[Y1 Q4 quantity]])</f>
        <v>0</v>
      </c>
      <c r="T197" s="1132">
        <f>Table6912131732[[#This Row],[Y1 Unit cost]]*Table6912131732[[#This Row],[Y1 Total quantity]]</f>
        <v>0</v>
      </c>
      <c r="U197" s="1126"/>
      <c r="V197" s="1171"/>
      <c r="W197" s="1171"/>
      <c r="X197" s="1171"/>
      <c r="Y197" s="1171"/>
      <c r="Z197" s="59">
        <f>SUM(Table6912131732[[#This Row],[Y2 Q1 quantity]:[Y2 Q4 quantity]])</f>
        <v>0</v>
      </c>
      <c r="AA197" s="1142">
        <f>Table6912131732[[#This Row],[Y2 Unit cost]]*Table6912131732[[#This Row],[Y2 Total quantity]]</f>
        <v>0</v>
      </c>
      <c r="AB197" s="1149"/>
      <c r="AC197" s="1171"/>
      <c r="AD197" s="1171"/>
      <c r="AE197" s="1171"/>
      <c r="AF197" s="1171"/>
      <c r="AG197" s="59">
        <f>SUM(Table6912131732[[#This Row],[Y3 Q1 quantity]:[Y3 Q4 quantity]])</f>
        <v>0</v>
      </c>
      <c r="AH197" s="1142">
        <f>Table6912131732[[#This Row],[Y3 Unit cost]]*Table6912131732[[#This Row],[Y3 Total quantity]]</f>
        <v>0</v>
      </c>
      <c r="AI197" s="62">
        <f>Table6912131732[[#This Row],[Y1 Total quantity]]+Table6912131732[[#This Row],[Y2 Total quantity]]+Table6912131732[[#This Row],[Y3 Total quantity]]</f>
        <v>0</v>
      </c>
      <c r="AJ197" s="1142">
        <f>Table6912131732[[#This Row],[Y1 Total cost]]+Table6912131732[[#This Row],[Y2 Total cost]]+Table6912131732[[#This Row],[Y3 Total cost]]</f>
        <v>0</v>
      </c>
      <c r="AK197" s="343" t="str">
        <f t="shared" si="15"/>
        <v/>
      </c>
      <c r="AL197" s="1266"/>
    </row>
    <row r="198" spans="1:38" s="249" customFormat="1">
      <c r="A198" s="2752"/>
      <c r="B198" s="2753"/>
      <c r="C198" s="2753"/>
      <c r="D198" s="2754"/>
      <c r="E198" s="2821"/>
      <c r="F198" s="2822"/>
      <c r="G198" s="2823"/>
      <c r="H198" s="2815"/>
      <c r="I198" s="2816"/>
      <c r="J198" s="2816"/>
      <c r="K198" s="2817"/>
      <c r="L198" s="385" t="str">
        <f t="shared" si="16"/>
        <v/>
      </c>
      <c r="M198" s="385" t="str">
        <f t="shared" si="17"/>
        <v/>
      </c>
      <c r="N198" s="1126"/>
      <c r="O198" s="1171"/>
      <c r="P198" s="1171"/>
      <c r="Q198" s="1171"/>
      <c r="R198" s="1171"/>
      <c r="S198" s="59">
        <f>SUM(Table6912131732[[#This Row],[Y1 Q1 quantity]:[Y1 Q4 quantity]])</f>
        <v>0</v>
      </c>
      <c r="T198" s="1132">
        <f>Table6912131732[[#This Row],[Y1 Unit cost]]*Table6912131732[[#This Row],[Y1 Total quantity]]</f>
        <v>0</v>
      </c>
      <c r="U198" s="1126"/>
      <c r="V198" s="1171"/>
      <c r="W198" s="1171"/>
      <c r="X198" s="1171"/>
      <c r="Y198" s="1171"/>
      <c r="Z198" s="59">
        <f>SUM(Table6912131732[[#This Row],[Y2 Q1 quantity]:[Y2 Q4 quantity]])</f>
        <v>0</v>
      </c>
      <c r="AA198" s="1142">
        <f>Table6912131732[[#This Row],[Y2 Unit cost]]*Table6912131732[[#This Row],[Y2 Total quantity]]</f>
        <v>0</v>
      </c>
      <c r="AB198" s="1149"/>
      <c r="AC198" s="1171"/>
      <c r="AD198" s="1171"/>
      <c r="AE198" s="1171"/>
      <c r="AF198" s="1171"/>
      <c r="AG198" s="59">
        <f>SUM(Table6912131732[[#This Row],[Y3 Q1 quantity]:[Y3 Q4 quantity]])</f>
        <v>0</v>
      </c>
      <c r="AH198" s="1142">
        <f>Table6912131732[[#This Row],[Y3 Unit cost]]*Table6912131732[[#This Row],[Y3 Total quantity]]</f>
        <v>0</v>
      </c>
      <c r="AI198" s="62">
        <f>Table6912131732[[#This Row],[Y1 Total quantity]]+Table6912131732[[#This Row],[Y2 Total quantity]]+Table6912131732[[#This Row],[Y3 Total quantity]]</f>
        <v>0</v>
      </c>
      <c r="AJ198" s="1142">
        <f>Table6912131732[[#This Row],[Y1 Total cost]]+Table6912131732[[#This Row],[Y2 Total cost]]+Table6912131732[[#This Row],[Y3 Total cost]]</f>
        <v>0</v>
      </c>
      <c r="AK198" s="343" t="str">
        <f t="shared" si="15"/>
        <v/>
      </c>
      <c r="AL198" s="1265"/>
    </row>
    <row r="199" spans="1:38" s="249" customFormat="1">
      <c r="A199" s="2796"/>
      <c r="B199" s="2797"/>
      <c r="C199" s="2797"/>
      <c r="D199" s="2798"/>
      <c r="E199" s="2801"/>
      <c r="F199" s="2802"/>
      <c r="G199" s="2803"/>
      <c r="H199" s="2812"/>
      <c r="I199" s="2813"/>
      <c r="J199" s="2813"/>
      <c r="K199" s="2814"/>
      <c r="L199" s="384" t="str">
        <f t="shared" si="16"/>
        <v/>
      </c>
      <c r="M199" s="384" t="str">
        <f t="shared" si="17"/>
        <v/>
      </c>
      <c r="N199" s="1126"/>
      <c r="O199" s="1171"/>
      <c r="P199" s="1171"/>
      <c r="Q199" s="1171"/>
      <c r="R199" s="1171"/>
      <c r="S199" s="59">
        <f>SUM(Table6912131732[[#This Row],[Y1 Q1 quantity]:[Y1 Q4 quantity]])</f>
        <v>0</v>
      </c>
      <c r="T199" s="1132">
        <f>Table6912131732[[#This Row],[Y1 Unit cost]]*Table6912131732[[#This Row],[Y1 Total quantity]]</f>
        <v>0</v>
      </c>
      <c r="U199" s="1126"/>
      <c r="V199" s="1171"/>
      <c r="W199" s="1171"/>
      <c r="X199" s="1171"/>
      <c r="Y199" s="1171"/>
      <c r="Z199" s="59">
        <f>SUM(Table6912131732[[#This Row],[Y2 Q1 quantity]:[Y2 Q4 quantity]])</f>
        <v>0</v>
      </c>
      <c r="AA199" s="1142">
        <f>Table6912131732[[#This Row],[Y2 Unit cost]]*Table6912131732[[#This Row],[Y2 Total quantity]]</f>
        <v>0</v>
      </c>
      <c r="AB199" s="1149"/>
      <c r="AC199" s="1171"/>
      <c r="AD199" s="1171"/>
      <c r="AE199" s="1171"/>
      <c r="AF199" s="1171"/>
      <c r="AG199" s="59">
        <f>SUM(Table6912131732[[#This Row],[Y3 Q1 quantity]:[Y3 Q4 quantity]])</f>
        <v>0</v>
      </c>
      <c r="AH199" s="1142">
        <f>Table6912131732[[#This Row],[Y3 Unit cost]]*Table6912131732[[#This Row],[Y3 Total quantity]]</f>
        <v>0</v>
      </c>
      <c r="AI199" s="62">
        <f>Table6912131732[[#This Row],[Y1 Total quantity]]+Table6912131732[[#This Row],[Y2 Total quantity]]+Table6912131732[[#This Row],[Y3 Total quantity]]</f>
        <v>0</v>
      </c>
      <c r="AJ199" s="1142">
        <f>Table6912131732[[#This Row],[Y1 Total cost]]+Table6912131732[[#This Row],[Y2 Total cost]]+Table6912131732[[#This Row],[Y3 Total cost]]</f>
        <v>0</v>
      </c>
      <c r="AK199" s="343" t="str">
        <f t="shared" si="15"/>
        <v/>
      </c>
      <c r="AL199" s="1266"/>
    </row>
    <row r="200" spans="1:38" s="249" customFormat="1">
      <c r="A200" s="2752"/>
      <c r="B200" s="2753"/>
      <c r="C200" s="2753"/>
      <c r="D200" s="2754"/>
      <c r="E200" s="2821"/>
      <c r="F200" s="2822"/>
      <c r="G200" s="2823"/>
      <c r="H200" s="2815"/>
      <c r="I200" s="2816"/>
      <c r="J200" s="2816"/>
      <c r="K200" s="2817"/>
      <c r="L200" s="385" t="str">
        <f t="shared" si="16"/>
        <v/>
      </c>
      <c r="M200" s="385" t="str">
        <f t="shared" si="17"/>
        <v/>
      </c>
      <c r="N200" s="1126"/>
      <c r="O200" s="1171"/>
      <c r="P200" s="1171"/>
      <c r="Q200" s="1171"/>
      <c r="R200" s="1171"/>
      <c r="S200" s="59">
        <f>SUM(Table6912131732[[#This Row],[Y1 Q1 quantity]:[Y1 Q4 quantity]])</f>
        <v>0</v>
      </c>
      <c r="T200" s="1132">
        <f>Table6912131732[[#This Row],[Y1 Unit cost]]*Table6912131732[[#This Row],[Y1 Total quantity]]</f>
        <v>0</v>
      </c>
      <c r="U200" s="1126"/>
      <c r="V200" s="1171"/>
      <c r="W200" s="1171"/>
      <c r="X200" s="1171"/>
      <c r="Y200" s="1171"/>
      <c r="Z200" s="59">
        <f>SUM(Table6912131732[[#This Row],[Y2 Q1 quantity]:[Y2 Q4 quantity]])</f>
        <v>0</v>
      </c>
      <c r="AA200" s="1142">
        <f>Table6912131732[[#This Row],[Y2 Unit cost]]*Table6912131732[[#This Row],[Y2 Total quantity]]</f>
        <v>0</v>
      </c>
      <c r="AB200" s="1149"/>
      <c r="AC200" s="1171"/>
      <c r="AD200" s="1171"/>
      <c r="AE200" s="1171"/>
      <c r="AF200" s="1171"/>
      <c r="AG200" s="59">
        <f>SUM(Table6912131732[[#This Row],[Y3 Q1 quantity]:[Y3 Q4 quantity]])</f>
        <v>0</v>
      </c>
      <c r="AH200" s="1142">
        <f>Table6912131732[[#This Row],[Y3 Unit cost]]*Table6912131732[[#This Row],[Y3 Total quantity]]</f>
        <v>0</v>
      </c>
      <c r="AI200" s="62">
        <f>Table6912131732[[#This Row],[Y1 Total quantity]]+Table6912131732[[#This Row],[Y2 Total quantity]]+Table6912131732[[#This Row],[Y3 Total quantity]]</f>
        <v>0</v>
      </c>
      <c r="AJ200" s="1142">
        <f>Table6912131732[[#This Row],[Y1 Total cost]]+Table6912131732[[#This Row],[Y2 Total cost]]+Table6912131732[[#This Row],[Y3 Total cost]]</f>
        <v>0</v>
      </c>
      <c r="AK200" s="343" t="str">
        <f t="shared" si="15"/>
        <v/>
      </c>
      <c r="AL200" s="1265"/>
    </row>
    <row r="201" spans="1:38" s="249" customFormat="1">
      <c r="A201" s="2796"/>
      <c r="B201" s="2797"/>
      <c r="C201" s="2797"/>
      <c r="D201" s="2798"/>
      <c r="E201" s="2801"/>
      <c r="F201" s="2802"/>
      <c r="G201" s="2803"/>
      <c r="H201" s="2812"/>
      <c r="I201" s="2813"/>
      <c r="J201" s="2813"/>
      <c r="K201" s="2814"/>
      <c r="L201" s="384" t="str">
        <f t="shared" si="16"/>
        <v/>
      </c>
      <c r="M201" s="384" t="str">
        <f t="shared" si="17"/>
        <v/>
      </c>
      <c r="N201" s="1126"/>
      <c r="O201" s="1171"/>
      <c r="P201" s="1171"/>
      <c r="Q201" s="1171"/>
      <c r="R201" s="1171"/>
      <c r="S201" s="59">
        <f>SUM(Table6912131732[[#This Row],[Y1 Q1 quantity]:[Y1 Q4 quantity]])</f>
        <v>0</v>
      </c>
      <c r="T201" s="1132">
        <f>Table6912131732[[#This Row],[Y1 Unit cost]]*Table6912131732[[#This Row],[Y1 Total quantity]]</f>
        <v>0</v>
      </c>
      <c r="U201" s="1126"/>
      <c r="V201" s="1171"/>
      <c r="W201" s="1171"/>
      <c r="X201" s="1171"/>
      <c r="Y201" s="1171"/>
      <c r="Z201" s="59">
        <f>SUM(Table6912131732[[#This Row],[Y2 Q1 quantity]:[Y2 Q4 quantity]])</f>
        <v>0</v>
      </c>
      <c r="AA201" s="1142">
        <f>Table6912131732[[#This Row],[Y2 Unit cost]]*Table6912131732[[#This Row],[Y2 Total quantity]]</f>
        <v>0</v>
      </c>
      <c r="AB201" s="1149"/>
      <c r="AC201" s="1171"/>
      <c r="AD201" s="1171"/>
      <c r="AE201" s="1171"/>
      <c r="AF201" s="1171"/>
      <c r="AG201" s="59">
        <f>SUM(Table6912131732[[#This Row],[Y3 Q1 quantity]:[Y3 Q4 quantity]])</f>
        <v>0</v>
      </c>
      <c r="AH201" s="1142">
        <f>Table6912131732[[#This Row],[Y3 Unit cost]]*Table6912131732[[#This Row],[Y3 Total quantity]]</f>
        <v>0</v>
      </c>
      <c r="AI201" s="62">
        <f>Table6912131732[[#This Row],[Y1 Total quantity]]+Table6912131732[[#This Row],[Y2 Total quantity]]+Table6912131732[[#This Row],[Y3 Total quantity]]</f>
        <v>0</v>
      </c>
      <c r="AJ201" s="1142">
        <f>Table6912131732[[#This Row],[Y1 Total cost]]+Table6912131732[[#This Row],[Y2 Total cost]]+Table6912131732[[#This Row],[Y3 Total cost]]</f>
        <v>0</v>
      </c>
      <c r="AK201" s="343" t="str">
        <f t="shared" si="15"/>
        <v/>
      </c>
      <c r="AL201" s="1266"/>
    </row>
    <row r="202" spans="1:38" s="249" customFormat="1">
      <c r="A202" s="2752"/>
      <c r="B202" s="2753"/>
      <c r="C202" s="2753"/>
      <c r="D202" s="2754"/>
      <c r="E202" s="2821"/>
      <c r="F202" s="2822"/>
      <c r="G202" s="2823"/>
      <c r="H202" s="2815"/>
      <c r="I202" s="2816"/>
      <c r="J202" s="2816"/>
      <c r="K202" s="2817"/>
      <c r="L202" s="385" t="str">
        <f t="shared" si="16"/>
        <v/>
      </c>
      <c r="M202" s="385" t="str">
        <f t="shared" si="17"/>
        <v/>
      </c>
      <c r="N202" s="1126"/>
      <c r="O202" s="1171"/>
      <c r="P202" s="1171"/>
      <c r="Q202" s="1171"/>
      <c r="R202" s="1171"/>
      <c r="S202" s="59">
        <f>SUM(Table6912131732[[#This Row],[Y1 Q1 quantity]:[Y1 Q4 quantity]])</f>
        <v>0</v>
      </c>
      <c r="T202" s="1132">
        <f>Table6912131732[[#This Row],[Y1 Unit cost]]*Table6912131732[[#This Row],[Y1 Total quantity]]</f>
        <v>0</v>
      </c>
      <c r="U202" s="1126"/>
      <c r="V202" s="1171"/>
      <c r="W202" s="1171"/>
      <c r="X202" s="1171"/>
      <c r="Y202" s="1171"/>
      <c r="Z202" s="59">
        <f>SUM(Table6912131732[[#This Row],[Y2 Q1 quantity]:[Y2 Q4 quantity]])</f>
        <v>0</v>
      </c>
      <c r="AA202" s="1142">
        <f>Table6912131732[[#This Row],[Y2 Unit cost]]*Table6912131732[[#This Row],[Y2 Total quantity]]</f>
        <v>0</v>
      </c>
      <c r="AB202" s="1149"/>
      <c r="AC202" s="1171"/>
      <c r="AD202" s="1171"/>
      <c r="AE202" s="1171"/>
      <c r="AF202" s="1171"/>
      <c r="AG202" s="59">
        <f>SUM(Table6912131732[[#This Row],[Y3 Q1 quantity]:[Y3 Q4 quantity]])</f>
        <v>0</v>
      </c>
      <c r="AH202" s="1142">
        <f>Table6912131732[[#This Row],[Y3 Unit cost]]*Table6912131732[[#This Row],[Y3 Total quantity]]</f>
        <v>0</v>
      </c>
      <c r="AI202" s="62">
        <f>Table6912131732[[#This Row],[Y1 Total quantity]]+Table6912131732[[#This Row],[Y2 Total quantity]]+Table6912131732[[#This Row],[Y3 Total quantity]]</f>
        <v>0</v>
      </c>
      <c r="AJ202" s="1142">
        <f>Table6912131732[[#This Row],[Y1 Total cost]]+Table6912131732[[#This Row],[Y2 Total cost]]+Table6912131732[[#This Row],[Y3 Total cost]]</f>
        <v>0</v>
      </c>
      <c r="AK202" s="343" t="str">
        <f t="shared" si="15"/>
        <v/>
      </c>
      <c r="AL202" s="1265"/>
    </row>
    <row r="203" spans="1:38" s="249" customFormat="1">
      <c r="A203" s="2796"/>
      <c r="B203" s="2797"/>
      <c r="C203" s="2797"/>
      <c r="D203" s="2798"/>
      <c r="E203" s="2801"/>
      <c r="F203" s="2802"/>
      <c r="G203" s="2803"/>
      <c r="H203" s="2812"/>
      <c r="I203" s="2813"/>
      <c r="J203" s="2813"/>
      <c r="K203" s="2814"/>
      <c r="L203" s="384" t="str">
        <f t="shared" si="16"/>
        <v/>
      </c>
      <c r="M203" s="384" t="str">
        <f t="shared" si="17"/>
        <v/>
      </c>
      <c r="N203" s="1126"/>
      <c r="O203" s="1171"/>
      <c r="P203" s="1171"/>
      <c r="Q203" s="1171"/>
      <c r="R203" s="1171"/>
      <c r="S203" s="59">
        <f>SUM(Table6912131732[[#This Row],[Y1 Q1 quantity]:[Y1 Q4 quantity]])</f>
        <v>0</v>
      </c>
      <c r="T203" s="1132">
        <f>Table6912131732[[#This Row],[Y1 Unit cost]]*Table6912131732[[#This Row],[Y1 Total quantity]]</f>
        <v>0</v>
      </c>
      <c r="U203" s="1126"/>
      <c r="V203" s="1171"/>
      <c r="W203" s="1171"/>
      <c r="X203" s="1171"/>
      <c r="Y203" s="1171"/>
      <c r="Z203" s="59">
        <f>SUM(Table6912131732[[#This Row],[Y2 Q1 quantity]:[Y2 Q4 quantity]])</f>
        <v>0</v>
      </c>
      <c r="AA203" s="1142">
        <f>Table6912131732[[#This Row],[Y2 Unit cost]]*Table6912131732[[#This Row],[Y2 Total quantity]]</f>
        <v>0</v>
      </c>
      <c r="AB203" s="1149"/>
      <c r="AC203" s="1171"/>
      <c r="AD203" s="1171"/>
      <c r="AE203" s="1171"/>
      <c r="AF203" s="1171"/>
      <c r="AG203" s="59">
        <f>SUM(Table6912131732[[#This Row],[Y3 Q1 quantity]:[Y3 Q4 quantity]])</f>
        <v>0</v>
      </c>
      <c r="AH203" s="1142">
        <f>Table6912131732[[#This Row],[Y3 Unit cost]]*Table6912131732[[#This Row],[Y3 Total quantity]]</f>
        <v>0</v>
      </c>
      <c r="AI203" s="62">
        <f>Table6912131732[[#This Row],[Y1 Total quantity]]+Table6912131732[[#This Row],[Y2 Total quantity]]+Table6912131732[[#This Row],[Y3 Total quantity]]</f>
        <v>0</v>
      </c>
      <c r="AJ203" s="1142">
        <f>Table6912131732[[#This Row],[Y1 Total cost]]+Table6912131732[[#This Row],[Y2 Total cost]]+Table6912131732[[#This Row],[Y3 Total cost]]</f>
        <v>0</v>
      </c>
      <c r="AK203" s="343" t="str">
        <f t="shared" si="15"/>
        <v/>
      </c>
      <c r="AL203" s="1266"/>
    </row>
    <row r="204" spans="1:38" s="249" customFormat="1">
      <c r="A204" s="2752"/>
      <c r="B204" s="2753"/>
      <c r="C204" s="2753"/>
      <c r="D204" s="2754"/>
      <c r="E204" s="2821"/>
      <c r="F204" s="2822"/>
      <c r="G204" s="2823"/>
      <c r="H204" s="2815"/>
      <c r="I204" s="2816"/>
      <c r="J204" s="2816"/>
      <c r="K204" s="2817"/>
      <c r="L204" s="385" t="str">
        <f t="shared" si="16"/>
        <v/>
      </c>
      <c r="M204" s="385" t="str">
        <f t="shared" si="17"/>
        <v/>
      </c>
      <c r="N204" s="1126"/>
      <c r="O204" s="1171"/>
      <c r="P204" s="1171"/>
      <c r="Q204" s="1171"/>
      <c r="R204" s="1171"/>
      <c r="S204" s="59">
        <f>SUM(Table6912131732[[#This Row],[Y1 Q1 quantity]:[Y1 Q4 quantity]])</f>
        <v>0</v>
      </c>
      <c r="T204" s="1132">
        <f>Table6912131732[[#This Row],[Y1 Unit cost]]*Table6912131732[[#This Row],[Y1 Total quantity]]</f>
        <v>0</v>
      </c>
      <c r="U204" s="1126"/>
      <c r="V204" s="1171"/>
      <c r="W204" s="1171"/>
      <c r="X204" s="1171"/>
      <c r="Y204" s="1171"/>
      <c r="Z204" s="59">
        <f>SUM(Table6912131732[[#This Row],[Y2 Q1 quantity]:[Y2 Q4 quantity]])</f>
        <v>0</v>
      </c>
      <c r="AA204" s="1142">
        <f>Table6912131732[[#This Row],[Y2 Unit cost]]*Table6912131732[[#This Row],[Y2 Total quantity]]</f>
        <v>0</v>
      </c>
      <c r="AB204" s="1149"/>
      <c r="AC204" s="1171"/>
      <c r="AD204" s="1171"/>
      <c r="AE204" s="1171"/>
      <c r="AF204" s="1171"/>
      <c r="AG204" s="59">
        <f>SUM(Table6912131732[[#This Row],[Y3 Q1 quantity]:[Y3 Q4 quantity]])</f>
        <v>0</v>
      </c>
      <c r="AH204" s="1142">
        <f>Table6912131732[[#This Row],[Y3 Unit cost]]*Table6912131732[[#This Row],[Y3 Total quantity]]</f>
        <v>0</v>
      </c>
      <c r="AI204" s="62">
        <f>Table6912131732[[#This Row],[Y1 Total quantity]]+Table6912131732[[#This Row],[Y2 Total quantity]]+Table6912131732[[#This Row],[Y3 Total quantity]]</f>
        <v>0</v>
      </c>
      <c r="AJ204" s="1142">
        <f>Table6912131732[[#This Row],[Y1 Total cost]]+Table6912131732[[#This Row],[Y2 Total cost]]+Table6912131732[[#This Row],[Y3 Total cost]]</f>
        <v>0</v>
      </c>
      <c r="AK204" s="343" t="str">
        <f t="shared" si="15"/>
        <v/>
      </c>
      <c r="AL204" s="1265"/>
    </row>
    <row r="205" spans="1:38" s="249" customFormat="1">
      <c r="A205" s="2796"/>
      <c r="B205" s="2797"/>
      <c r="C205" s="2797"/>
      <c r="D205" s="2798"/>
      <c r="E205" s="2801"/>
      <c r="F205" s="2802"/>
      <c r="G205" s="2803"/>
      <c r="H205" s="2812"/>
      <c r="I205" s="2813"/>
      <c r="J205" s="2813"/>
      <c r="K205" s="2814"/>
      <c r="L205" s="384" t="str">
        <f t="shared" si="16"/>
        <v/>
      </c>
      <c r="M205" s="384" t="str">
        <f t="shared" si="17"/>
        <v/>
      </c>
      <c r="N205" s="1126"/>
      <c r="O205" s="1171"/>
      <c r="P205" s="1171"/>
      <c r="Q205" s="1171"/>
      <c r="R205" s="1171"/>
      <c r="S205" s="59">
        <f>SUM(Table6912131732[[#This Row],[Y1 Q1 quantity]:[Y1 Q4 quantity]])</f>
        <v>0</v>
      </c>
      <c r="T205" s="1132">
        <f>Table6912131732[[#This Row],[Y1 Unit cost]]*Table6912131732[[#This Row],[Y1 Total quantity]]</f>
        <v>0</v>
      </c>
      <c r="U205" s="1126"/>
      <c r="V205" s="1171"/>
      <c r="W205" s="1171"/>
      <c r="X205" s="1171"/>
      <c r="Y205" s="1171"/>
      <c r="Z205" s="59">
        <f>SUM(Table6912131732[[#This Row],[Y2 Q1 quantity]:[Y2 Q4 quantity]])</f>
        <v>0</v>
      </c>
      <c r="AA205" s="1142">
        <f>Table6912131732[[#This Row],[Y2 Unit cost]]*Table6912131732[[#This Row],[Y2 Total quantity]]</f>
        <v>0</v>
      </c>
      <c r="AB205" s="1149"/>
      <c r="AC205" s="1171"/>
      <c r="AD205" s="1171"/>
      <c r="AE205" s="1171"/>
      <c r="AF205" s="1171"/>
      <c r="AG205" s="59">
        <f>SUM(Table6912131732[[#This Row],[Y3 Q1 quantity]:[Y3 Q4 quantity]])</f>
        <v>0</v>
      </c>
      <c r="AH205" s="1142">
        <f>Table6912131732[[#This Row],[Y3 Unit cost]]*Table6912131732[[#This Row],[Y3 Total quantity]]</f>
        <v>0</v>
      </c>
      <c r="AI205" s="62">
        <f>Table6912131732[[#This Row],[Y1 Total quantity]]+Table6912131732[[#This Row],[Y2 Total quantity]]+Table6912131732[[#This Row],[Y3 Total quantity]]</f>
        <v>0</v>
      </c>
      <c r="AJ205" s="1142">
        <f>Table6912131732[[#This Row],[Y1 Total cost]]+Table6912131732[[#This Row],[Y2 Total cost]]+Table6912131732[[#This Row],[Y3 Total cost]]</f>
        <v>0</v>
      </c>
      <c r="AK205" s="343" t="str">
        <f t="shared" si="15"/>
        <v/>
      </c>
      <c r="AL205" s="1266"/>
    </row>
    <row r="206" spans="1:38" s="249" customFormat="1">
      <c r="A206" s="2752"/>
      <c r="B206" s="2753"/>
      <c r="C206" s="2753"/>
      <c r="D206" s="2754"/>
      <c r="E206" s="2821"/>
      <c r="F206" s="2822"/>
      <c r="G206" s="2823"/>
      <c r="H206" s="2815"/>
      <c r="I206" s="2816"/>
      <c r="J206" s="2816"/>
      <c r="K206" s="2817"/>
      <c r="L206" s="385" t="str">
        <f t="shared" si="16"/>
        <v/>
      </c>
      <c r="M206" s="385" t="str">
        <f t="shared" si="17"/>
        <v/>
      </c>
      <c r="N206" s="1126"/>
      <c r="O206" s="1171"/>
      <c r="P206" s="1171"/>
      <c r="Q206" s="1171"/>
      <c r="R206" s="1171"/>
      <c r="S206" s="59">
        <f>SUM(Table6912131732[[#This Row],[Y1 Q1 quantity]:[Y1 Q4 quantity]])</f>
        <v>0</v>
      </c>
      <c r="T206" s="1132">
        <f>Table6912131732[[#This Row],[Y1 Unit cost]]*Table6912131732[[#This Row],[Y1 Total quantity]]</f>
        <v>0</v>
      </c>
      <c r="U206" s="1126"/>
      <c r="V206" s="1171"/>
      <c r="W206" s="1171"/>
      <c r="X206" s="1171"/>
      <c r="Y206" s="1171"/>
      <c r="Z206" s="59">
        <f>SUM(Table6912131732[[#This Row],[Y2 Q1 quantity]:[Y2 Q4 quantity]])</f>
        <v>0</v>
      </c>
      <c r="AA206" s="1142">
        <f>Table6912131732[[#This Row],[Y2 Unit cost]]*Table6912131732[[#This Row],[Y2 Total quantity]]</f>
        <v>0</v>
      </c>
      <c r="AB206" s="1149"/>
      <c r="AC206" s="1171"/>
      <c r="AD206" s="1171"/>
      <c r="AE206" s="1171"/>
      <c r="AF206" s="1171"/>
      <c r="AG206" s="59">
        <f>SUM(Table6912131732[[#This Row],[Y3 Q1 quantity]:[Y3 Q4 quantity]])</f>
        <v>0</v>
      </c>
      <c r="AH206" s="1142">
        <f>Table6912131732[[#This Row],[Y3 Unit cost]]*Table6912131732[[#This Row],[Y3 Total quantity]]</f>
        <v>0</v>
      </c>
      <c r="AI206" s="62">
        <f>Table6912131732[[#This Row],[Y1 Total quantity]]+Table6912131732[[#This Row],[Y2 Total quantity]]+Table6912131732[[#This Row],[Y3 Total quantity]]</f>
        <v>0</v>
      </c>
      <c r="AJ206" s="1142">
        <f>Table6912131732[[#This Row],[Y1 Total cost]]+Table6912131732[[#This Row],[Y2 Total cost]]+Table6912131732[[#This Row],[Y3 Total cost]]</f>
        <v>0</v>
      </c>
      <c r="AK206" s="343" t="str">
        <f t="shared" si="15"/>
        <v/>
      </c>
      <c r="AL206" s="1265"/>
    </row>
    <row r="207" spans="1:38" s="249" customFormat="1">
      <c r="A207" s="2796"/>
      <c r="B207" s="2797"/>
      <c r="C207" s="2797"/>
      <c r="D207" s="2798"/>
      <c r="E207" s="2801"/>
      <c r="F207" s="2802"/>
      <c r="G207" s="2803"/>
      <c r="H207" s="2812"/>
      <c r="I207" s="2813"/>
      <c r="J207" s="2813"/>
      <c r="K207" s="2814"/>
      <c r="L207" s="384" t="str">
        <f t="shared" si="16"/>
        <v/>
      </c>
      <c r="M207" s="384" t="str">
        <f t="shared" si="17"/>
        <v/>
      </c>
      <c r="N207" s="1126"/>
      <c r="O207" s="1171"/>
      <c r="P207" s="1171"/>
      <c r="Q207" s="1171"/>
      <c r="R207" s="1171"/>
      <c r="S207" s="59">
        <f>SUM(Table6912131732[[#This Row],[Y1 Q1 quantity]:[Y1 Q4 quantity]])</f>
        <v>0</v>
      </c>
      <c r="T207" s="1132">
        <f>Table6912131732[[#This Row],[Y1 Unit cost]]*Table6912131732[[#This Row],[Y1 Total quantity]]</f>
        <v>0</v>
      </c>
      <c r="U207" s="1126"/>
      <c r="V207" s="1171"/>
      <c r="W207" s="1171"/>
      <c r="X207" s="1171"/>
      <c r="Y207" s="1171"/>
      <c r="Z207" s="59">
        <f>SUM(Table6912131732[[#This Row],[Y2 Q1 quantity]:[Y2 Q4 quantity]])</f>
        <v>0</v>
      </c>
      <c r="AA207" s="1142">
        <f>Table6912131732[[#This Row],[Y2 Unit cost]]*Table6912131732[[#This Row],[Y2 Total quantity]]</f>
        <v>0</v>
      </c>
      <c r="AB207" s="1149"/>
      <c r="AC207" s="1171"/>
      <c r="AD207" s="1171"/>
      <c r="AE207" s="1171"/>
      <c r="AF207" s="1171"/>
      <c r="AG207" s="59">
        <f>SUM(Table6912131732[[#This Row],[Y3 Q1 quantity]:[Y3 Q4 quantity]])</f>
        <v>0</v>
      </c>
      <c r="AH207" s="1142">
        <f>Table6912131732[[#This Row],[Y3 Unit cost]]*Table6912131732[[#This Row],[Y3 Total quantity]]</f>
        <v>0</v>
      </c>
      <c r="AI207" s="62">
        <f>Table6912131732[[#This Row],[Y1 Total quantity]]+Table6912131732[[#This Row],[Y2 Total quantity]]+Table6912131732[[#This Row],[Y3 Total quantity]]</f>
        <v>0</v>
      </c>
      <c r="AJ207" s="1142">
        <f>Table6912131732[[#This Row],[Y1 Total cost]]+Table6912131732[[#This Row],[Y2 Total cost]]+Table6912131732[[#This Row],[Y3 Total cost]]</f>
        <v>0</v>
      </c>
      <c r="AK207" s="343" t="str">
        <f t="shared" si="15"/>
        <v/>
      </c>
      <c r="AL207" s="1263"/>
    </row>
    <row r="208" spans="1:38" s="249" customFormat="1">
      <c r="A208" s="2752"/>
      <c r="B208" s="2753"/>
      <c r="C208" s="2753"/>
      <c r="D208" s="2754"/>
      <c r="E208" s="2821"/>
      <c r="F208" s="2822"/>
      <c r="G208" s="2823"/>
      <c r="H208" s="2815"/>
      <c r="I208" s="2816"/>
      <c r="J208" s="2816"/>
      <c r="K208" s="2817"/>
      <c r="L208" s="385" t="str">
        <f t="shared" si="16"/>
        <v/>
      </c>
      <c r="M208" s="385" t="str">
        <f t="shared" si="17"/>
        <v/>
      </c>
      <c r="N208" s="1126"/>
      <c r="O208" s="1171"/>
      <c r="P208" s="1171"/>
      <c r="Q208" s="1171"/>
      <c r="R208" s="1171"/>
      <c r="S208" s="59">
        <f>SUM(Table6912131732[[#This Row],[Y1 Q1 quantity]:[Y1 Q4 quantity]])</f>
        <v>0</v>
      </c>
      <c r="T208" s="1132">
        <f>Table6912131732[[#This Row],[Y1 Unit cost]]*Table6912131732[[#This Row],[Y1 Total quantity]]</f>
        <v>0</v>
      </c>
      <c r="U208" s="1126"/>
      <c r="V208" s="1171"/>
      <c r="W208" s="1171"/>
      <c r="X208" s="1171"/>
      <c r="Y208" s="1171"/>
      <c r="Z208" s="59">
        <f>SUM(Table6912131732[[#This Row],[Y2 Q1 quantity]:[Y2 Q4 quantity]])</f>
        <v>0</v>
      </c>
      <c r="AA208" s="1142">
        <f>Table6912131732[[#This Row],[Y2 Unit cost]]*Table6912131732[[#This Row],[Y2 Total quantity]]</f>
        <v>0</v>
      </c>
      <c r="AB208" s="1149"/>
      <c r="AC208" s="1171"/>
      <c r="AD208" s="1171"/>
      <c r="AE208" s="1171"/>
      <c r="AF208" s="1171"/>
      <c r="AG208" s="59">
        <f>SUM(Table6912131732[[#This Row],[Y3 Q1 quantity]:[Y3 Q4 quantity]])</f>
        <v>0</v>
      </c>
      <c r="AH208" s="1142">
        <f>Table6912131732[[#This Row],[Y3 Unit cost]]*Table6912131732[[#This Row],[Y3 Total quantity]]</f>
        <v>0</v>
      </c>
      <c r="AI208" s="62">
        <f>Table6912131732[[#This Row],[Y1 Total quantity]]+Table6912131732[[#This Row],[Y2 Total quantity]]+Table6912131732[[#This Row],[Y3 Total quantity]]</f>
        <v>0</v>
      </c>
      <c r="AJ208" s="1142">
        <f>Table6912131732[[#This Row],[Y1 Total cost]]+Table6912131732[[#This Row],[Y2 Total cost]]+Table6912131732[[#This Row],[Y3 Total cost]]</f>
        <v>0</v>
      </c>
      <c r="AK208" s="343" t="str">
        <f t="shared" si="15"/>
        <v/>
      </c>
      <c r="AL208" s="1265"/>
    </row>
    <row r="209" spans="1:38" s="249" customFormat="1">
      <c r="A209" s="2796"/>
      <c r="B209" s="2797"/>
      <c r="C209" s="2797"/>
      <c r="D209" s="2798"/>
      <c r="E209" s="2801"/>
      <c r="F209" s="2802"/>
      <c r="G209" s="2803"/>
      <c r="H209" s="2812"/>
      <c r="I209" s="2813"/>
      <c r="J209" s="2813"/>
      <c r="K209" s="2814"/>
      <c r="L209" s="384" t="str">
        <f t="shared" si="16"/>
        <v/>
      </c>
      <c r="M209" s="384" t="str">
        <f t="shared" si="17"/>
        <v/>
      </c>
      <c r="N209" s="1126"/>
      <c r="O209" s="1171"/>
      <c r="P209" s="1171"/>
      <c r="Q209" s="1171"/>
      <c r="R209" s="1171"/>
      <c r="S209" s="59">
        <f>SUM(Table6912131732[[#This Row],[Y1 Q1 quantity]:[Y1 Q4 quantity]])</f>
        <v>0</v>
      </c>
      <c r="T209" s="1132">
        <f>Table6912131732[[#This Row],[Y1 Unit cost]]*Table6912131732[[#This Row],[Y1 Total quantity]]</f>
        <v>0</v>
      </c>
      <c r="U209" s="1126"/>
      <c r="V209" s="1171"/>
      <c r="W209" s="1171"/>
      <c r="X209" s="1171"/>
      <c r="Y209" s="1171"/>
      <c r="Z209" s="59">
        <f>SUM(Table6912131732[[#This Row],[Y2 Q1 quantity]:[Y2 Q4 quantity]])</f>
        <v>0</v>
      </c>
      <c r="AA209" s="1142">
        <f>Table6912131732[[#This Row],[Y2 Unit cost]]*Table6912131732[[#This Row],[Y2 Total quantity]]</f>
        <v>0</v>
      </c>
      <c r="AB209" s="1149"/>
      <c r="AC209" s="1171"/>
      <c r="AD209" s="1171"/>
      <c r="AE209" s="1171"/>
      <c r="AF209" s="1171"/>
      <c r="AG209" s="59">
        <f>SUM(Table6912131732[[#This Row],[Y3 Q1 quantity]:[Y3 Q4 quantity]])</f>
        <v>0</v>
      </c>
      <c r="AH209" s="1142">
        <f>Table6912131732[[#This Row],[Y3 Unit cost]]*Table6912131732[[#This Row],[Y3 Total quantity]]</f>
        <v>0</v>
      </c>
      <c r="AI209" s="62">
        <f>Table6912131732[[#This Row],[Y1 Total quantity]]+Table6912131732[[#This Row],[Y2 Total quantity]]+Table6912131732[[#This Row],[Y3 Total quantity]]</f>
        <v>0</v>
      </c>
      <c r="AJ209" s="1142">
        <f>Table6912131732[[#This Row],[Y1 Total cost]]+Table6912131732[[#This Row],[Y2 Total cost]]+Table6912131732[[#This Row],[Y3 Total cost]]</f>
        <v>0</v>
      </c>
      <c r="AK209" s="343" t="str">
        <f t="shared" si="15"/>
        <v/>
      </c>
      <c r="AL209" s="1266"/>
    </row>
    <row r="210" spans="1:38" s="249" customFormat="1">
      <c r="A210" s="2752"/>
      <c r="B210" s="2753"/>
      <c r="C210" s="2753"/>
      <c r="D210" s="2754"/>
      <c r="E210" s="2821"/>
      <c r="F210" s="2822"/>
      <c r="G210" s="2823"/>
      <c r="H210" s="2815"/>
      <c r="I210" s="2816"/>
      <c r="J210" s="2816"/>
      <c r="K210" s="2817"/>
      <c r="L210" s="385" t="str">
        <f t="shared" si="16"/>
        <v/>
      </c>
      <c r="M210" s="385" t="str">
        <f t="shared" si="17"/>
        <v/>
      </c>
      <c r="N210" s="1126"/>
      <c r="O210" s="1171"/>
      <c r="P210" s="1171"/>
      <c r="Q210" s="1171"/>
      <c r="R210" s="1171"/>
      <c r="S210" s="59">
        <f>SUM(Table6912131732[[#This Row],[Y1 Q1 quantity]:[Y1 Q4 quantity]])</f>
        <v>0</v>
      </c>
      <c r="T210" s="1132">
        <f>Table6912131732[[#This Row],[Y1 Unit cost]]*Table6912131732[[#This Row],[Y1 Total quantity]]</f>
        <v>0</v>
      </c>
      <c r="U210" s="1126"/>
      <c r="V210" s="1171"/>
      <c r="W210" s="1171"/>
      <c r="X210" s="1171"/>
      <c r="Y210" s="1171"/>
      <c r="Z210" s="59">
        <f>SUM(Table6912131732[[#This Row],[Y2 Q1 quantity]:[Y2 Q4 quantity]])</f>
        <v>0</v>
      </c>
      <c r="AA210" s="1142">
        <f>Table6912131732[[#This Row],[Y2 Unit cost]]*Table6912131732[[#This Row],[Y2 Total quantity]]</f>
        <v>0</v>
      </c>
      <c r="AB210" s="1149"/>
      <c r="AC210" s="1171"/>
      <c r="AD210" s="1171"/>
      <c r="AE210" s="1171"/>
      <c r="AF210" s="1171"/>
      <c r="AG210" s="59">
        <f>SUM(Table6912131732[[#This Row],[Y3 Q1 quantity]:[Y3 Q4 quantity]])</f>
        <v>0</v>
      </c>
      <c r="AH210" s="1142">
        <f>Table6912131732[[#This Row],[Y3 Unit cost]]*Table6912131732[[#This Row],[Y3 Total quantity]]</f>
        <v>0</v>
      </c>
      <c r="AI210" s="62">
        <f>Table6912131732[[#This Row],[Y1 Total quantity]]+Table6912131732[[#This Row],[Y2 Total quantity]]+Table6912131732[[#This Row],[Y3 Total quantity]]</f>
        <v>0</v>
      </c>
      <c r="AJ210" s="1142">
        <f>Table6912131732[[#This Row],[Y1 Total cost]]+Table6912131732[[#This Row],[Y2 Total cost]]+Table6912131732[[#This Row],[Y3 Total cost]]</f>
        <v>0</v>
      </c>
      <c r="AK210" s="343" t="str">
        <f t="shared" si="15"/>
        <v/>
      </c>
      <c r="AL210" s="1265"/>
    </row>
    <row r="211" spans="1:38" s="249" customFormat="1">
      <c r="A211" s="2796"/>
      <c r="B211" s="2797"/>
      <c r="C211" s="2797"/>
      <c r="D211" s="2798"/>
      <c r="E211" s="2801"/>
      <c r="F211" s="2802"/>
      <c r="G211" s="2803"/>
      <c r="H211" s="2812"/>
      <c r="I211" s="2813"/>
      <c r="J211" s="2813"/>
      <c r="K211" s="2814"/>
      <c r="L211" s="384" t="str">
        <f t="shared" si="16"/>
        <v/>
      </c>
      <c r="M211" s="384" t="str">
        <f t="shared" si="17"/>
        <v/>
      </c>
      <c r="N211" s="1126"/>
      <c r="O211" s="1171"/>
      <c r="P211" s="1171"/>
      <c r="Q211" s="1171"/>
      <c r="R211" s="1171"/>
      <c r="S211" s="59">
        <f>SUM(Table6912131732[[#This Row],[Y1 Q1 quantity]:[Y1 Q4 quantity]])</f>
        <v>0</v>
      </c>
      <c r="T211" s="1132">
        <f>Table6912131732[[#This Row],[Y1 Unit cost]]*Table6912131732[[#This Row],[Y1 Total quantity]]</f>
        <v>0</v>
      </c>
      <c r="U211" s="1126"/>
      <c r="V211" s="1171"/>
      <c r="W211" s="1171"/>
      <c r="X211" s="1171"/>
      <c r="Y211" s="1171"/>
      <c r="Z211" s="59">
        <f>SUM(Table6912131732[[#This Row],[Y2 Q1 quantity]:[Y2 Q4 quantity]])</f>
        <v>0</v>
      </c>
      <c r="AA211" s="1142">
        <f>Table6912131732[[#This Row],[Y2 Unit cost]]*Table6912131732[[#This Row],[Y2 Total quantity]]</f>
        <v>0</v>
      </c>
      <c r="AB211" s="1149"/>
      <c r="AC211" s="1171"/>
      <c r="AD211" s="1171"/>
      <c r="AE211" s="1171"/>
      <c r="AF211" s="1171"/>
      <c r="AG211" s="59">
        <f>SUM(Table6912131732[[#This Row],[Y3 Q1 quantity]:[Y3 Q4 quantity]])</f>
        <v>0</v>
      </c>
      <c r="AH211" s="1142">
        <f>Table6912131732[[#This Row],[Y3 Unit cost]]*Table6912131732[[#This Row],[Y3 Total quantity]]</f>
        <v>0</v>
      </c>
      <c r="AI211" s="62">
        <f>Table6912131732[[#This Row],[Y1 Total quantity]]+Table6912131732[[#This Row],[Y2 Total quantity]]+Table6912131732[[#This Row],[Y3 Total quantity]]</f>
        <v>0</v>
      </c>
      <c r="AJ211" s="1142">
        <f>Table6912131732[[#This Row],[Y1 Total cost]]+Table6912131732[[#This Row],[Y2 Total cost]]+Table6912131732[[#This Row],[Y3 Total cost]]</f>
        <v>0</v>
      </c>
      <c r="AK211" s="343" t="str">
        <f t="shared" si="15"/>
        <v/>
      </c>
      <c r="AL211" s="1266"/>
    </row>
    <row r="212" spans="1:38" s="249" customFormat="1">
      <c r="A212" s="2752"/>
      <c r="B212" s="2753"/>
      <c r="C212" s="2753"/>
      <c r="D212" s="2754"/>
      <c r="E212" s="2821"/>
      <c r="F212" s="2822"/>
      <c r="G212" s="2823"/>
      <c r="H212" s="2815"/>
      <c r="I212" s="2816"/>
      <c r="J212" s="2816"/>
      <c r="K212" s="2817"/>
      <c r="L212" s="385" t="str">
        <f t="shared" si="16"/>
        <v/>
      </c>
      <c r="M212" s="385" t="str">
        <f t="shared" si="17"/>
        <v/>
      </c>
      <c r="N212" s="1126"/>
      <c r="O212" s="1171"/>
      <c r="P212" s="1171"/>
      <c r="Q212" s="1171"/>
      <c r="R212" s="1171"/>
      <c r="S212" s="59">
        <f>SUM(Table6912131732[[#This Row],[Y1 Q1 quantity]:[Y1 Q4 quantity]])</f>
        <v>0</v>
      </c>
      <c r="T212" s="1132">
        <f>Table6912131732[[#This Row],[Y1 Unit cost]]*Table6912131732[[#This Row],[Y1 Total quantity]]</f>
        <v>0</v>
      </c>
      <c r="U212" s="1126"/>
      <c r="V212" s="1171"/>
      <c r="W212" s="1171"/>
      <c r="X212" s="1171"/>
      <c r="Y212" s="1171"/>
      <c r="Z212" s="59">
        <f>SUM(Table6912131732[[#This Row],[Y2 Q1 quantity]:[Y2 Q4 quantity]])</f>
        <v>0</v>
      </c>
      <c r="AA212" s="1142">
        <f>Table6912131732[[#This Row],[Y2 Unit cost]]*Table6912131732[[#This Row],[Y2 Total quantity]]</f>
        <v>0</v>
      </c>
      <c r="AB212" s="1149"/>
      <c r="AC212" s="1171"/>
      <c r="AD212" s="1171"/>
      <c r="AE212" s="1171"/>
      <c r="AF212" s="1171"/>
      <c r="AG212" s="59">
        <f>SUM(Table6912131732[[#This Row],[Y3 Q1 quantity]:[Y3 Q4 quantity]])</f>
        <v>0</v>
      </c>
      <c r="AH212" s="1142">
        <f>Table6912131732[[#This Row],[Y3 Unit cost]]*Table6912131732[[#This Row],[Y3 Total quantity]]</f>
        <v>0</v>
      </c>
      <c r="AI212" s="62">
        <f>Table6912131732[[#This Row],[Y1 Total quantity]]+Table6912131732[[#This Row],[Y2 Total quantity]]+Table6912131732[[#This Row],[Y3 Total quantity]]</f>
        <v>0</v>
      </c>
      <c r="AJ212" s="1142">
        <f>Table6912131732[[#This Row],[Y1 Total cost]]+Table6912131732[[#This Row],[Y2 Total cost]]+Table6912131732[[#This Row],[Y3 Total cost]]</f>
        <v>0</v>
      </c>
      <c r="AK212" s="343" t="str">
        <f t="shared" si="15"/>
        <v/>
      </c>
      <c r="AL212" s="1265"/>
    </row>
    <row r="213" spans="1:38" s="249" customFormat="1">
      <c r="A213" s="2796"/>
      <c r="B213" s="2797"/>
      <c r="C213" s="2797"/>
      <c r="D213" s="2798"/>
      <c r="E213" s="2801"/>
      <c r="F213" s="2802"/>
      <c r="G213" s="2803"/>
      <c r="H213" s="2812"/>
      <c r="I213" s="2813"/>
      <c r="J213" s="2813"/>
      <c r="K213" s="2814"/>
      <c r="L213" s="384" t="str">
        <f t="shared" si="16"/>
        <v/>
      </c>
      <c r="M213" s="384" t="str">
        <f t="shared" si="17"/>
        <v/>
      </c>
      <c r="N213" s="1126"/>
      <c r="O213" s="1171"/>
      <c r="P213" s="1171"/>
      <c r="Q213" s="1171"/>
      <c r="R213" s="1171"/>
      <c r="S213" s="59">
        <f>SUM(Table6912131732[[#This Row],[Y1 Q1 quantity]:[Y1 Q4 quantity]])</f>
        <v>0</v>
      </c>
      <c r="T213" s="1132">
        <f>Table6912131732[[#This Row],[Y1 Unit cost]]*Table6912131732[[#This Row],[Y1 Total quantity]]</f>
        <v>0</v>
      </c>
      <c r="U213" s="1126"/>
      <c r="V213" s="1171"/>
      <c r="W213" s="1171"/>
      <c r="X213" s="1171"/>
      <c r="Y213" s="1171"/>
      <c r="Z213" s="59">
        <f>SUM(Table6912131732[[#This Row],[Y2 Q1 quantity]:[Y2 Q4 quantity]])</f>
        <v>0</v>
      </c>
      <c r="AA213" s="1142">
        <f>Table6912131732[[#This Row],[Y2 Unit cost]]*Table6912131732[[#This Row],[Y2 Total quantity]]</f>
        <v>0</v>
      </c>
      <c r="AB213" s="1149"/>
      <c r="AC213" s="1171"/>
      <c r="AD213" s="1171"/>
      <c r="AE213" s="1171"/>
      <c r="AF213" s="1171"/>
      <c r="AG213" s="59">
        <f>SUM(Table6912131732[[#This Row],[Y3 Q1 quantity]:[Y3 Q4 quantity]])</f>
        <v>0</v>
      </c>
      <c r="AH213" s="1142">
        <f>Table6912131732[[#This Row],[Y3 Unit cost]]*Table6912131732[[#This Row],[Y3 Total quantity]]</f>
        <v>0</v>
      </c>
      <c r="AI213" s="62">
        <f>Table6912131732[[#This Row],[Y1 Total quantity]]+Table6912131732[[#This Row],[Y2 Total quantity]]+Table6912131732[[#This Row],[Y3 Total quantity]]</f>
        <v>0</v>
      </c>
      <c r="AJ213" s="1142">
        <f>Table6912131732[[#This Row],[Y1 Total cost]]+Table6912131732[[#This Row],[Y2 Total cost]]+Table6912131732[[#This Row],[Y3 Total cost]]</f>
        <v>0</v>
      </c>
      <c r="AK213" s="343" t="str">
        <f t="shared" si="15"/>
        <v/>
      </c>
      <c r="AL213" s="1266"/>
    </row>
    <row r="214" spans="1:38" s="249" customFormat="1">
      <c r="A214" s="2752"/>
      <c r="B214" s="2753"/>
      <c r="C214" s="2753"/>
      <c r="D214" s="2754"/>
      <c r="E214" s="2821"/>
      <c r="F214" s="2822"/>
      <c r="G214" s="2823"/>
      <c r="H214" s="2815"/>
      <c r="I214" s="2816"/>
      <c r="J214" s="2816"/>
      <c r="K214" s="2817"/>
      <c r="L214" s="385" t="str">
        <f t="shared" si="16"/>
        <v/>
      </c>
      <c r="M214" s="385" t="str">
        <f t="shared" si="17"/>
        <v/>
      </c>
      <c r="N214" s="1126"/>
      <c r="O214" s="1171"/>
      <c r="P214" s="1171"/>
      <c r="Q214" s="1171"/>
      <c r="R214" s="1171"/>
      <c r="S214" s="59">
        <f>SUM(Table6912131732[[#This Row],[Y1 Q1 quantity]:[Y1 Q4 quantity]])</f>
        <v>0</v>
      </c>
      <c r="T214" s="1132">
        <f>Table6912131732[[#This Row],[Y1 Unit cost]]*Table6912131732[[#This Row],[Y1 Total quantity]]</f>
        <v>0</v>
      </c>
      <c r="U214" s="1126"/>
      <c r="V214" s="1171"/>
      <c r="W214" s="1171"/>
      <c r="X214" s="1171"/>
      <c r="Y214" s="1171"/>
      <c r="Z214" s="59">
        <f>SUM(Table6912131732[[#This Row],[Y2 Q1 quantity]:[Y2 Q4 quantity]])</f>
        <v>0</v>
      </c>
      <c r="AA214" s="1142">
        <f>Table6912131732[[#This Row],[Y2 Unit cost]]*Table6912131732[[#This Row],[Y2 Total quantity]]</f>
        <v>0</v>
      </c>
      <c r="AB214" s="1149"/>
      <c r="AC214" s="1171"/>
      <c r="AD214" s="1171"/>
      <c r="AE214" s="1171"/>
      <c r="AF214" s="1171"/>
      <c r="AG214" s="59">
        <f>SUM(Table6912131732[[#This Row],[Y3 Q1 quantity]:[Y3 Q4 quantity]])</f>
        <v>0</v>
      </c>
      <c r="AH214" s="1142">
        <f>Table6912131732[[#This Row],[Y3 Unit cost]]*Table6912131732[[#This Row],[Y3 Total quantity]]</f>
        <v>0</v>
      </c>
      <c r="AI214" s="62">
        <f>Table6912131732[[#This Row],[Y1 Total quantity]]+Table6912131732[[#This Row],[Y2 Total quantity]]+Table6912131732[[#This Row],[Y3 Total quantity]]</f>
        <v>0</v>
      </c>
      <c r="AJ214" s="1142">
        <f>Table6912131732[[#This Row],[Y1 Total cost]]+Table6912131732[[#This Row],[Y2 Total cost]]+Table6912131732[[#This Row],[Y3 Total cost]]</f>
        <v>0</v>
      </c>
      <c r="AK214" s="343" t="str">
        <f t="shared" si="15"/>
        <v/>
      </c>
      <c r="AL214" s="1265"/>
    </row>
    <row r="215" spans="1:38" s="249" customFormat="1">
      <c r="A215" s="2796"/>
      <c r="B215" s="2797"/>
      <c r="C215" s="2797"/>
      <c r="D215" s="2798"/>
      <c r="E215" s="2801"/>
      <c r="F215" s="2802"/>
      <c r="G215" s="2803"/>
      <c r="H215" s="2812"/>
      <c r="I215" s="2813"/>
      <c r="J215" s="2813"/>
      <c r="K215" s="2814"/>
      <c r="L215" s="384" t="str">
        <f t="shared" si="16"/>
        <v/>
      </c>
      <c r="M215" s="384" t="str">
        <f t="shared" si="17"/>
        <v/>
      </c>
      <c r="N215" s="1126"/>
      <c r="O215" s="1171"/>
      <c r="P215" s="1171"/>
      <c r="Q215" s="1171"/>
      <c r="R215" s="1171"/>
      <c r="S215" s="59">
        <f>SUM(Table6912131732[[#This Row],[Y1 Q1 quantity]:[Y1 Q4 quantity]])</f>
        <v>0</v>
      </c>
      <c r="T215" s="1132">
        <f>Table6912131732[[#This Row],[Y1 Unit cost]]*Table6912131732[[#This Row],[Y1 Total quantity]]</f>
        <v>0</v>
      </c>
      <c r="U215" s="1126"/>
      <c r="V215" s="1171"/>
      <c r="W215" s="1171"/>
      <c r="X215" s="1171"/>
      <c r="Y215" s="1171"/>
      <c r="Z215" s="59">
        <f>SUM(Table6912131732[[#This Row],[Y2 Q1 quantity]:[Y2 Q4 quantity]])</f>
        <v>0</v>
      </c>
      <c r="AA215" s="1142">
        <f>Table6912131732[[#This Row],[Y2 Unit cost]]*Table6912131732[[#This Row],[Y2 Total quantity]]</f>
        <v>0</v>
      </c>
      <c r="AB215" s="1149"/>
      <c r="AC215" s="1171"/>
      <c r="AD215" s="1171"/>
      <c r="AE215" s="1171"/>
      <c r="AF215" s="1171"/>
      <c r="AG215" s="59">
        <f>SUM(Table6912131732[[#This Row],[Y3 Q1 quantity]:[Y3 Q4 quantity]])</f>
        <v>0</v>
      </c>
      <c r="AH215" s="1142">
        <f>Table6912131732[[#This Row],[Y3 Unit cost]]*Table6912131732[[#This Row],[Y3 Total quantity]]</f>
        <v>0</v>
      </c>
      <c r="AI215" s="62">
        <f>Table6912131732[[#This Row],[Y1 Total quantity]]+Table6912131732[[#This Row],[Y2 Total quantity]]+Table6912131732[[#This Row],[Y3 Total quantity]]</f>
        <v>0</v>
      </c>
      <c r="AJ215" s="1142">
        <f>Table6912131732[[#This Row],[Y1 Total cost]]+Table6912131732[[#This Row],[Y2 Total cost]]+Table6912131732[[#This Row],[Y3 Total cost]]</f>
        <v>0</v>
      </c>
      <c r="AK215" s="343" t="str">
        <f t="shared" si="15"/>
        <v/>
      </c>
      <c r="AL215" s="1266"/>
    </row>
    <row r="216" spans="1:38" s="249" customFormat="1">
      <c r="A216" s="2752"/>
      <c r="B216" s="2753"/>
      <c r="C216" s="2753"/>
      <c r="D216" s="2754"/>
      <c r="E216" s="2821"/>
      <c r="F216" s="2822"/>
      <c r="G216" s="2823"/>
      <c r="H216" s="2815"/>
      <c r="I216" s="2816"/>
      <c r="J216" s="2816"/>
      <c r="K216" s="2817"/>
      <c r="L216" s="385" t="str">
        <f t="shared" si="16"/>
        <v/>
      </c>
      <c r="M216" s="385" t="str">
        <f t="shared" si="17"/>
        <v/>
      </c>
      <c r="N216" s="1126"/>
      <c r="O216" s="1171"/>
      <c r="P216" s="1171"/>
      <c r="Q216" s="1171"/>
      <c r="R216" s="1171"/>
      <c r="S216" s="59">
        <f>SUM(Table6912131732[[#This Row],[Y1 Q1 quantity]:[Y1 Q4 quantity]])</f>
        <v>0</v>
      </c>
      <c r="T216" s="1132">
        <f>Table6912131732[[#This Row],[Y1 Unit cost]]*Table6912131732[[#This Row],[Y1 Total quantity]]</f>
        <v>0</v>
      </c>
      <c r="U216" s="1126"/>
      <c r="V216" s="1171"/>
      <c r="W216" s="1171"/>
      <c r="X216" s="1171"/>
      <c r="Y216" s="1171"/>
      <c r="Z216" s="59">
        <f>SUM(Table6912131732[[#This Row],[Y2 Q1 quantity]:[Y2 Q4 quantity]])</f>
        <v>0</v>
      </c>
      <c r="AA216" s="1142">
        <f>Table6912131732[[#This Row],[Y2 Unit cost]]*Table6912131732[[#This Row],[Y2 Total quantity]]</f>
        <v>0</v>
      </c>
      <c r="AB216" s="1149"/>
      <c r="AC216" s="1171"/>
      <c r="AD216" s="1171"/>
      <c r="AE216" s="1171"/>
      <c r="AF216" s="1171"/>
      <c r="AG216" s="59">
        <f>SUM(Table6912131732[[#This Row],[Y3 Q1 quantity]:[Y3 Q4 quantity]])</f>
        <v>0</v>
      </c>
      <c r="AH216" s="1142">
        <f>Table6912131732[[#This Row],[Y3 Unit cost]]*Table6912131732[[#This Row],[Y3 Total quantity]]</f>
        <v>0</v>
      </c>
      <c r="AI216" s="62">
        <f>Table6912131732[[#This Row],[Y1 Total quantity]]+Table6912131732[[#This Row],[Y2 Total quantity]]+Table6912131732[[#This Row],[Y3 Total quantity]]</f>
        <v>0</v>
      </c>
      <c r="AJ216" s="1142">
        <f>Table6912131732[[#This Row],[Y1 Total cost]]+Table6912131732[[#This Row],[Y2 Total cost]]+Table6912131732[[#This Row],[Y3 Total cost]]</f>
        <v>0</v>
      </c>
      <c r="AK216" s="343" t="str">
        <f t="shared" si="15"/>
        <v/>
      </c>
      <c r="AL216" s="1265"/>
    </row>
    <row r="217" spans="1:38" s="249" customFormat="1">
      <c r="A217" s="2796"/>
      <c r="B217" s="2797"/>
      <c r="C217" s="2797"/>
      <c r="D217" s="2798"/>
      <c r="E217" s="2801"/>
      <c r="F217" s="2802"/>
      <c r="G217" s="2803"/>
      <c r="H217" s="2812"/>
      <c r="I217" s="2813"/>
      <c r="J217" s="2813"/>
      <c r="K217" s="2814"/>
      <c r="L217" s="384" t="str">
        <f t="shared" si="16"/>
        <v/>
      </c>
      <c r="M217" s="384" t="str">
        <f t="shared" si="17"/>
        <v/>
      </c>
      <c r="N217" s="1126"/>
      <c r="O217" s="1171"/>
      <c r="P217" s="1171"/>
      <c r="Q217" s="1171"/>
      <c r="R217" s="1171"/>
      <c r="S217" s="59">
        <f>SUM(Table6912131732[[#This Row],[Y1 Q1 quantity]:[Y1 Q4 quantity]])</f>
        <v>0</v>
      </c>
      <c r="T217" s="1132">
        <f>Table6912131732[[#This Row],[Y1 Unit cost]]*Table6912131732[[#This Row],[Y1 Total quantity]]</f>
        <v>0</v>
      </c>
      <c r="U217" s="1126"/>
      <c r="V217" s="1171"/>
      <c r="W217" s="1171"/>
      <c r="X217" s="1171"/>
      <c r="Y217" s="1171"/>
      <c r="Z217" s="59">
        <f>SUM(Table6912131732[[#This Row],[Y2 Q1 quantity]:[Y2 Q4 quantity]])</f>
        <v>0</v>
      </c>
      <c r="AA217" s="1142">
        <f>Table6912131732[[#This Row],[Y2 Unit cost]]*Table6912131732[[#This Row],[Y2 Total quantity]]</f>
        <v>0</v>
      </c>
      <c r="AB217" s="1149"/>
      <c r="AC217" s="1171"/>
      <c r="AD217" s="1171"/>
      <c r="AE217" s="1171"/>
      <c r="AF217" s="1171"/>
      <c r="AG217" s="59">
        <f>SUM(Table6912131732[[#This Row],[Y3 Q1 quantity]:[Y3 Q4 quantity]])</f>
        <v>0</v>
      </c>
      <c r="AH217" s="1142">
        <f>Table6912131732[[#This Row],[Y3 Unit cost]]*Table6912131732[[#This Row],[Y3 Total quantity]]</f>
        <v>0</v>
      </c>
      <c r="AI217" s="62">
        <f>Table6912131732[[#This Row],[Y1 Total quantity]]+Table6912131732[[#This Row],[Y2 Total quantity]]+Table6912131732[[#This Row],[Y3 Total quantity]]</f>
        <v>0</v>
      </c>
      <c r="AJ217" s="1142">
        <f>Table6912131732[[#This Row],[Y1 Total cost]]+Table6912131732[[#This Row],[Y2 Total cost]]+Table6912131732[[#This Row],[Y3 Total cost]]</f>
        <v>0</v>
      </c>
      <c r="AK217" s="343" t="str">
        <f t="shared" si="15"/>
        <v/>
      </c>
      <c r="AL217" s="1266"/>
    </row>
    <row r="218" spans="1:38" s="249" customFormat="1">
      <c r="A218" s="2752"/>
      <c r="B218" s="2753"/>
      <c r="C218" s="2753"/>
      <c r="D218" s="2754"/>
      <c r="E218" s="2821"/>
      <c r="F218" s="2822"/>
      <c r="G218" s="2823"/>
      <c r="H218" s="2815"/>
      <c r="I218" s="2816"/>
      <c r="J218" s="2816"/>
      <c r="K218" s="2817"/>
      <c r="L218" s="385" t="str">
        <f t="shared" si="16"/>
        <v/>
      </c>
      <c r="M218" s="385" t="str">
        <f t="shared" si="17"/>
        <v/>
      </c>
      <c r="N218" s="1126"/>
      <c r="O218" s="1171"/>
      <c r="P218" s="1171"/>
      <c r="Q218" s="1171"/>
      <c r="R218" s="1171"/>
      <c r="S218" s="59">
        <f>SUM(Table6912131732[[#This Row],[Y1 Q1 quantity]:[Y1 Q4 quantity]])</f>
        <v>0</v>
      </c>
      <c r="T218" s="1132">
        <f>Table6912131732[[#This Row],[Y1 Unit cost]]*Table6912131732[[#This Row],[Y1 Total quantity]]</f>
        <v>0</v>
      </c>
      <c r="U218" s="1126"/>
      <c r="V218" s="1171"/>
      <c r="W218" s="1171"/>
      <c r="X218" s="1171"/>
      <c r="Y218" s="1171"/>
      <c r="Z218" s="59">
        <f>SUM(Table6912131732[[#This Row],[Y2 Q1 quantity]:[Y2 Q4 quantity]])</f>
        <v>0</v>
      </c>
      <c r="AA218" s="1142">
        <f>Table6912131732[[#This Row],[Y2 Unit cost]]*Table6912131732[[#This Row],[Y2 Total quantity]]</f>
        <v>0</v>
      </c>
      <c r="AB218" s="1149"/>
      <c r="AC218" s="1171"/>
      <c r="AD218" s="1171"/>
      <c r="AE218" s="1171"/>
      <c r="AF218" s="1171"/>
      <c r="AG218" s="59">
        <f>SUM(Table6912131732[[#This Row],[Y3 Q1 quantity]:[Y3 Q4 quantity]])</f>
        <v>0</v>
      </c>
      <c r="AH218" s="1142">
        <f>Table6912131732[[#This Row],[Y3 Unit cost]]*Table6912131732[[#This Row],[Y3 Total quantity]]</f>
        <v>0</v>
      </c>
      <c r="AI218" s="62">
        <f>Table6912131732[[#This Row],[Y1 Total quantity]]+Table6912131732[[#This Row],[Y2 Total quantity]]+Table6912131732[[#This Row],[Y3 Total quantity]]</f>
        <v>0</v>
      </c>
      <c r="AJ218" s="1142">
        <f>Table6912131732[[#This Row],[Y1 Total cost]]+Table6912131732[[#This Row],[Y2 Total cost]]+Table6912131732[[#This Row],[Y3 Total cost]]</f>
        <v>0</v>
      </c>
      <c r="AK218" s="343" t="str">
        <f t="shared" si="15"/>
        <v/>
      </c>
      <c r="AL218" s="1265"/>
    </row>
    <row r="219" spans="1:38" s="249" customFormat="1">
      <c r="A219" s="2796"/>
      <c r="B219" s="2797"/>
      <c r="C219" s="2797"/>
      <c r="D219" s="2798"/>
      <c r="E219" s="2801"/>
      <c r="F219" s="2802"/>
      <c r="G219" s="2803"/>
      <c r="H219" s="2812"/>
      <c r="I219" s="2813"/>
      <c r="J219" s="2813"/>
      <c r="K219" s="2814"/>
      <c r="L219" s="384" t="str">
        <f t="shared" si="16"/>
        <v/>
      </c>
      <c r="M219" s="384" t="str">
        <f t="shared" si="17"/>
        <v/>
      </c>
      <c r="N219" s="1126"/>
      <c r="O219" s="1171"/>
      <c r="P219" s="1171"/>
      <c r="Q219" s="1171"/>
      <c r="R219" s="1171"/>
      <c r="S219" s="59">
        <f>SUM(Table6912131732[[#This Row],[Y1 Q1 quantity]:[Y1 Q4 quantity]])</f>
        <v>0</v>
      </c>
      <c r="T219" s="1132">
        <f>Table6912131732[[#This Row],[Y1 Unit cost]]*Table6912131732[[#This Row],[Y1 Total quantity]]</f>
        <v>0</v>
      </c>
      <c r="U219" s="1126"/>
      <c r="V219" s="1171"/>
      <c r="W219" s="1171"/>
      <c r="X219" s="1171"/>
      <c r="Y219" s="1171"/>
      <c r="Z219" s="59">
        <f>SUM(Table6912131732[[#This Row],[Y2 Q1 quantity]:[Y2 Q4 quantity]])</f>
        <v>0</v>
      </c>
      <c r="AA219" s="1142">
        <f>Table6912131732[[#This Row],[Y2 Unit cost]]*Table6912131732[[#This Row],[Y2 Total quantity]]</f>
        <v>0</v>
      </c>
      <c r="AB219" s="1149"/>
      <c r="AC219" s="1171"/>
      <c r="AD219" s="1171"/>
      <c r="AE219" s="1171"/>
      <c r="AF219" s="1171"/>
      <c r="AG219" s="59">
        <f>SUM(Table6912131732[[#This Row],[Y3 Q1 quantity]:[Y3 Q4 quantity]])</f>
        <v>0</v>
      </c>
      <c r="AH219" s="1142">
        <f>Table6912131732[[#This Row],[Y3 Unit cost]]*Table6912131732[[#This Row],[Y3 Total quantity]]</f>
        <v>0</v>
      </c>
      <c r="AI219" s="62">
        <f>Table6912131732[[#This Row],[Y1 Total quantity]]+Table6912131732[[#This Row],[Y2 Total quantity]]+Table6912131732[[#This Row],[Y3 Total quantity]]</f>
        <v>0</v>
      </c>
      <c r="AJ219" s="1142">
        <f>Table6912131732[[#This Row],[Y1 Total cost]]+Table6912131732[[#This Row],[Y2 Total cost]]+Table6912131732[[#This Row],[Y3 Total cost]]</f>
        <v>0</v>
      </c>
      <c r="AK219" s="343" t="str">
        <f t="shared" si="15"/>
        <v/>
      </c>
      <c r="AL219" s="1266"/>
    </row>
    <row r="220" spans="1:38" s="249" customFormat="1">
      <c r="A220" s="2752"/>
      <c r="B220" s="2753"/>
      <c r="C220" s="2753"/>
      <c r="D220" s="2754"/>
      <c r="E220" s="2821"/>
      <c r="F220" s="2822"/>
      <c r="G220" s="2823"/>
      <c r="H220" s="2815"/>
      <c r="I220" s="2816"/>
      <c r="J220" s="2816"/>
      <c r="K220" s="2817"/>
      <c r="L220" s="385" t="str">
        <f t="shared" si="16"/>
        <v/>
      </c>
      <c r="M220" s="385" t="str">
        <f t="shared" si="17"/>
        <v/>
      </c>
      <c r="N220" s="1126"/>
      <c r="O220" s="1171"/>
      <c r="P220" s="1171"/>
      <c r="Q220" s="1171"/>
      <c r="R220" s="1171"/>
      <c r="S220" s="59">
        <f>SUM(Table6912131732[[#This Row],[Y1 Q1 quantity]:[Y1 Q4 quantity]])</f>
        <v>0</v>
      </c>
      <c r="T220" s="1132">
        <f>Table6912131732[[#This Row],[Y1 Unit cost]]*Table6912131732[[#This Row],[Y1 Total quantity]]</f>
        <v>0</v>
      </c>
      <c r="U220" s="1126"/>
      <c r="V220" s="1171"/>
      <c r="W220" s="1171"/>
      <c r="X220" s="1171"/>
      <c r="Y220" s="1171"/>
      <c r="Z220" s="59">
        <f>SUM(Table6912131732[[#This Row],[Y2 Q1 quantity]:[Y2 Q4 quantity]])</f>
        <v>0</v>
      </c>
      <c r="AA220" s="1142">
        <f>Table6912131732[[#This Row],[Y2 Unit cost]]*Table6912131732[[#This Row],[Y2 Total quantity]]</f>
        <v>0</v>
      </c>
      <c r="AB220" s="1149"/>
      <c r="AC220" s="1171"/>
      <c r="AD220" s="1171"/>
      <c r="AE220" s="1171"/>
      <c r="AF220" s="1171"/>
      <c r="AG220" s="59">
        <f>SUM(Table6912131732[[#This Row],[Y3 Q1 quantity]:[Y3 Q4 quantity]])</f>
        <v>0</v>
      </c>
      <c r="AH220" s="1142">
        <f>Table6912131732[[#This Row],[Y3 Unit cost]]*Table6912131732[[#This Row],[Y3 Total quantity]]</f>
        <v>0</v>
      </c>
      <c r="AI220" s="62">
        <f>Table6912131732[[#This Row],[Y1 Total quantity]]+Table6912131732[[#This Row],[Y2 Total quantity]]+Table6912131732[[#This Row],[Y3 Total quantity]]</f>
        <v>0</v>
      </c>
      <c r="AJ220" s="1142">
        <f>Table6912131732[[#This Row],[Y1 Total cost]]+Table6912131732[[#This Row],[Y2 Total cost]]+Table6912131732[[#This Row],[Y3 Total cost]]</f>
        <v>0</v>
      </c>
      <c r="AK220" s="343" t="str">
        <f t="shared" si="15"/>
        <v/>
      </c>
      <c r="AL220" s="1265"/>
    </row>
    <row r="221" spans="1:38" s="249" customFormat="1">
      <c r="A221" s="2796"/>
      <c r="B221" s="2797"/>
      <c r="C221" s="2797"/>
      <c r="D221" s="2798"/>
      <c r="E221" s="2801"/>
      <c r="F221" s="2802"/>
      <c r="G221" s="2803"/>
      <c r="H221" s="2812"/>
      <c r="I221" s="2813"/>
      <c r="J221" s="2813"/>
      <c r="K221" s="2814"/>
      <c r="L221" s="384" t="str">
        <f t="shared" si="16"/>
        <v/>
      </c>
      <c r="M221" s="384" t="str">
        <f t="shared" si="17"/>
        <v/>
      </c>
      <c r="N221" s="1126"/>
      <c r="O221" s="1171"/>
      <c r="P221" s="1171"/>
      <c r="Q221" s="1171"/>
      <c r="R221" s="1171"/>
      <c r="S221" s="59">
        <f>SUM(Table6912131732[[#This Row],[Y1 Q1 quantity]:[Y1 Q4 quantity]])</f>
        <v>0</v>
      </c>
      <c r="T221" s="1132">
        <f>Table6912131732[[#This Row],[Y1 Unit cost]]*Table6912131732[[#This Row],[Y1 Total quantity]]</f>
        <v>0</v>
      </c>
      <c r="U221" s="1126"/>
      <c r="V221" s="1171"/>
      <c r="W221" s="1171"/>
      <c r="X221" s="1171"/>
      <c r="Y221" s="1171"/>
      <c r="Z221" s="59">
        <f>SUM(Table6912131732[[#This Row],[Y2 Q1 quantity]:[Y2 Q4 quantity]])</f>
        <v>0</v>
      </c>
      <c r="AA221" s="1142">
        <f>Table6912131732[[#This Row],[Y2 Unit cost]]*Table6912131732[[#This Row],[Y2 Total quantity]]</f>
        <v>0</v>
      </c>
      <c r="AB221" s="1149"/>
      <c r="AC221" s="1171"/>
      <c r="AD221" s="1171"/>
      <c r="AE221" s="1171"/>
      <c r="AF221" s="1171"/>
      <c r="AG221" s="59">
        <f>SUM(Table6912131732[[#This Row],[Y3 Q1 quantity]:[Y3 Q4 quantity]])</f>
        <v>0</v>
      </c>
      <c r="AH221" s="1142">
        <f>Table6912131732[[#This Row],[Y3 Unit cost]]*Table6912131732[[#This Row],[Y3 Total quantity]]</f>
        <v>0</v>
      </c>
      <c r="AI221" s="62">
        <f>Table6912131732[[#This Row],[Y1 Total quantity]]+Table6912131732[[#This Row],[Y2 Total quantity]]+Table6912131732[[#This Row],[Y3 Total quantity]]</f>
        <v>0</v>
      </c>
      <c r="AJ221" s="1142">
        <f>Table6912131732[[#This Row],[Y1 Total cost]]+Table6912131732[[#This Row],[Y2 Total cost]]+Table6912131732[[#This Row],[Y3 Total cost]]</f>
        <v>0</v>
      </c>
      <c r="AK221" s="343" t="str">
        <f t="shared" si="15"/>
        <v/>
      </c>
      <c r="AL221" s="1266"/>
    </row>
    <row r="222" spans="1:38" s="249" customFormat="1">
      <c r="A222" s="2752"/>
      <c r="B222" s="2753"/>
      <c r="C222" s="2753"/>
      <c r="D222" s="2754"/>
      <c r="E222" s="2821"/>
      <c r="F222" s="2822"/>
      <c r="G222" s="2823"/>
      <c r="H222" s="2815"/>
      <c r="I222" s="2816"/>
      <c r="J222" s="2816"/>
      <c r="K222" s="2817"/>
      <c r="L222" s="385" t="str">
        <f t="shared" si="16"/>
        <v/>
      </c>
      <c r="M222" s="385" t="str">
        <f t="shared" si="17"/>
        <v/>
      </c>
      <c r="N222" s="1126"/>
      <c r="O222" s="1171"/>
      <c r="P222" s="1171"/>
      <c r="Q222" s="1171"/>
      <c r="R222" s="1171"/>
      <c r="S222" s="59">
        <f>SUM(Table6912131732[[#This Row],[Y1 Q1 quantity]:[Y1 Q4 quantity]])</f>
        <v>0</v>
      </c>
      <c r="T222" s="1132">
        <f>Table6912131732[[#This Row],[Y1 Unit cost]]*Table6912131732[[#This Row],[Y1 Total quantity]]</f>
        <v>0</v>
      </c>
      <c r="U222" s="1126"/>
      <c r="V222" s="1171"/>
      <c r="W222" s="1171"/>
      <c r="X222" s="1171"/>
      <c r="Y222" s="1171"/>
      <c r="Z222" s="59">
        <f>SUM(Table6912131732[[#This Row],[Y2 Q1 quantity]:[Y2 Q4 quantity]])</f>
        <v>0</v>
      </c>
      <c r="AA222" s="1142">
        <f>Table6912131732[[#This Row],[Y2 Unit cost]]*Table6912131732[[#This Row],[Y2 Total quantity]]</f>
        <v>0</v>
      </c>
      <c r="AB222" s="1149"/>
      <c r="AC222" s="1171"/>
      <c r="AD222" s="1171"/>
      <c r="AE222" s="1171"/>
      <c r="AF222" s="1171"/>
      <c r="AG222" s="59">
        <f>SUM(Table6912131732[[#This Row],[Y3 Q1 quantity]:[Y3 Q4 quantity]])</f>
        <v>0</v>
      </c>
      <c r="AH222" s="1142">
        <f>Table6912131732[[#This Row],[Y3 Unit cost]]*Table6912131732[[#This Row],[Y3 Total quantity]]</f>
        <v>0</v>
      </c>
      <c r="AI222" s="62">
        <f>Table6912131732[[#This Row],[Y1 Total quantity]]+Table6912131732[[#This Row],[Y2 Total quantity]]+Table6912131732[[#This Row],[Y3 Total quantity]]</f>
        <v>0</v>
      </c>
      <c r="AJ222" s="1142">
        <f>Table6912131732[[#This Row],[Y1 Total cost]]+Table6912131732[[#This Row],[Y2 Total cost]]+Table6912131732[[#This Row],[Y3 Total cost]]</f>
        <v>0</v>
      </c>
      <c r="AK222" s="343" t="str">
        <f t="shared" si="15"/>
        <v/>
      </c>
      <c r="AL222" s="1265"/>
    </row>
    <row r="223" spans="1:38" s="249" customFormat="1">
      <c r="A223" s="2796"/>
      <c r="B223" s="2797"/>
      <c r="C223" s="2797"/>
      <c r="D223" s="2798"/>
      <c r="E223" s="2801"/>
      <c r="F223" s="2802"/>
      <c r="G223" s="2803"/>
      <c r="H223" s="2812"/>
      <c r="I223" s="2813"/>
      <c r="J223" s="2813"/>
      <c r="K223" s="2814"/>
      <c r="L223" s="384" t="str">
        <f t="shared" si="16"/>
        <v/>
      </c>
      <c r="M223" s="384" t="str">
        <f t="shared" si="17"/>
        <v/>
      </c>
      <c r="N223" s="1126"/>
      <c r="O223" s="1171"/>
      <c r="P223" s="1171"/>
      <c r="Q223" s="1171"/>
      <c r="R223" s="1171"/>
      <c r="S223" s="59">
        <f>SUM(Table6912131732[[#This Row],[Y1 Q1 quantity]:[Y1 Q4 quantity]])</f>
        <v>0</v>
      </c>
      <c r="T223" s="1132">
        <f>Table6912131732[[#This Row],[Y1 Unit cost]]*Table6912131732[[#This Row],[Y1 Total quantity]]</f>
        <v>0</v>
      </c>
      <c r="U223" s="1126"/>
      <c r="V223" s="1171"/>
      <c r="W223" s="1171"/>
      <c r="X223" s="1171"/>
      <c r="Y223" s="1171"/>
      <c r="Z223" s="59">
        <f>SUM(Table6912131732[[#This Row],[Y2 Q1 quantity]:[Y2 Q4 quantity]])</f>
        <v>0</v>
      </c>
      <c r="AA223" s="1142">
        <f>Table6912131732[[#This Row],[Y2 Unit cost]]*Table6912131732[[#This Row],[Y2 Total quantity]]</f>
        <v>0</v>
      </c>
      <c r="AB223" s="1149"/>
      <c r="AC223" s="1171"/>
      <c r="AD223" s="1171"/>
      <c r="AE223" s="1171"/>
      <c r="AF223" s="1171"/>
      <c r="AG223" s="59">
        <f>SUM(Table6912131732[[#This Row],[Y3 Q1 quantity]:[Y3 Q4 quantity]])</f>
        <v>0</v>
      </c>
      <c r="AH223" s="1142">
        <f>Table6912131732[[#This Row],[Y3 Unit cost]]*Table6912131732[[#This Row],[Y3 Total quantity]]</f>
        <v>0</v>
      </c>
      <c r="AI223" s="62">
        <f>Table6912131732[[#This Row],[Y1 Total quantity]]+Table6912131732[[#This Row],[Y2 Total quantity]]+Table6912131732[[#This Row],[Y3 Total quantity]]</f>
        <v>0</v>
      </c>
      <c r="AJ223" s="1142">
        <f>Table6912131732[[#This Row],[Y1 Total cost]]+Table6912131732[[#This Row],[Y2 Total cost]]+Table6912131732[[#This Row],[Y3 Total cost]]</f>
        <v>0</v>
      </c>
      <c r="AK223" s="343" t="str">
        <f t="shared" si="15"/>
        <v/>
      </c>
      <c r="AL223" s="1266"/>
    </row>
    <row r="224" spans="1:38" s="249" customFormat="1">
      <c r="A224" s="2752"/>
      <c r="B224" s="2753"/>
      <c r="C224" s="2753"/>
      <c r="D224" s="2754"/>
      <c r="E224" s="2821"/>
      <c r="F224" s="2822"/>
      <c r="G224" s="2823"/>
      <c r="H224" s="2815"/>
      <c r="I224" s="2816"/>
      <c r="J224" s="2816"/>
      <c r="K224" s="2817"/>
      <c r="L224" s="385" t="str">
        <f t="shared" si="16"/>
        <v/>
      </c>
      <c r="M224" s="385" t="str">
        <f t="shared" si="17"/>
        <v/>
      </c>
      <c r="N224" s="1126"/>
      <c r="O224" s="1171"/>
      <c r="P224" s="1171"/>
      <c r="Q224" s="1171"/>
      <c r="R224" s="1171"/>
      <c r="S224" s="59">
        <f>SUM(Table6912131732[[#This Row],[Y1 Q1 quantity]:[Y1 Q4 quantity]])</f>
        <v>0</v>
      </c>
      <c r="T224" s="1132">
        <f>Table6912131732[[#This Row],[Y1 Unit cost]]*Table6912131732[[#This Row],[Y1 Total quantity]]</f>
        <v>0</v>
      </c>
      <c r="U224" s="1126"/>
      <c r="V224" s="1171"/>
      <c r="W224" s="1171"/>
      <c r="X224" s="1171"/>
      <c r="Y224" s="1171"/>
      <c r="Z224" s="59">
        <f>SUM(Table6912131732[[#This Row],[Y2 Q1 quantity]:[Y2 Q4 quantity]])</f>
        <v>0</v>
      </c>
      <c r="AA224" s="1142">
        <f>Table6912131732[[#This Row],[Y2 Unit cost]]*Table6912131732[[#This Row],[Y2 Total quantity]]</f>
        <v>0</v>
      </c>
      <c r="AB224" s="1149"/>
      <c r="AC224" s="1171"/>
      <c r="AD224" s="1171"/>
      <c r="AE224" s="1171"/>
      <c r="AF224" s="1171"/>
      <c r="AG224" s="59">
        <f>SUM(Table6912131732[[#This Row],[Y3 Q1 quantity]:[Y3 Q4 quantity]])</f>
        <v>0</v>
      </c>
      <c r="AH224" s="1142">
        <f>Table6912131732[[#This Row],[Y3 Unit cost]]*Table6912131732[[#This Row],[Y3 Total quantity]]</f>
        <v>0</v>
      </c>
      <c r="AI224" s="62">
        <f>Table6912131732[[#This Row],[Y1 Total quantity]]+Table6912131732[[#This Row],[Y2 Total quantity]]+Table6912131732[[#This Row],[Y3 Total quantity]]</f>
        <v>0</v>
      </c>
      <c r="AJ224" s="1142">
        <f>Table6912131732[[#This Row],[Y1 Total cost]]+Table6912131732[[#This Row],[Y2 Total cost]]+Table6912131732[[#This Row],[Y3 Total cost]]</f>
        <v>0</v>
      </c>
      <c r="AK224" s="343" t="str">
        <f t="shared" si="15"/>
        <v/>
      </c>
      <c r="AL224" s="1265"/>
    </row>
    <row r="225" spans="1:61" s="249" customFormat="1">
      <c r="A225" s="2796"/>
      <c r="B225" s="2797"/>
      <c r="C225" s="2797"/>
      <c r="D225" s="2798"/>
      <c r="E225" s="2801"/>
      <c r="F225" s="2802"/>
      <c r="G225" s="2803"/>
      <c r="H225" s="2812"/>
      <c r="I225" s="2813"/>
      <c r="J225" s="2813"/>
      <c r="K225" s="2814"/>
      <c r="L225" s="384" t="str">
        <f t="shared" si="16"/>
        <v/>
      </c>
      <c r="M225" s="384" t="str">
        <f t="shared" si="17"/>
        <v/>
      </c>
      <c r="N225" s="1126"/>
      <c r="O225" s="1171"/>
      <c r="P225" s="1171"/>
      <c r="Q225" s="1171"/>
      <c r="R225" s="1171"/>
      <c r="S225" s="59">
        <f>SUM(Table6912131732[[#This Row],[Y1 Q1 quantity]:[Y1 Q4 quantity]])</f>
        <v>0</v>
      </c>
      <c r="T225" s="1132">
        <f>Table6912131732[[#This Row],[Y1 Unit cost]]*Table6912131732[[#This Row],[Y1 Total quantity]]</f>
        <v>0</v>
      </c>
      <c r="U225" s="1126"/>
      <c r="V225" s="1171"/>
      <c r="W225" s="1171"/>
      <c r="X225" s="1171"/>
      <c r="Y225" s="1171"/>
      <c r="Z225" s="59">
        <f>SUM(Table6912131732[[#This Row],[Y2 Q1 quantity]:[Y2 Q4 quantity]])</f>
        <v>0</v>
      </c>
      <c r="AA225" s="1142">
        <f>Table6912131732[[#This Row],[Y2 Unit cost]]*Table6912131732[[#This Row],[Y2 Total quantity]]</f>
        <v>0</v>
      </c>
      <c r="AB225" s="1149"/>
      <c r="AC225" s="1171"/>
      <c r="AD225" s="1171"/>
      <c r="AE225" s="1171"/>
      <c r="AF225" s="1171"/>
      <c r="AG225" s="59">
        <f>SUM(Table6912131732[[#This Row],[Y3 Q1 quantity]:[Y3 Q4 quantity]])</f>
        <v>0</v>
      </c>
      <c r="AH225" s="1142">
        <f>Table6912131732[[#This Row],[Y3 Unit cost]]*Table6912131732[[#This Row],[Y3 Total quantity]]</f>
        <v>0</v>
      </c>
      <c r="AI225" s="62">
        <f>Table6912131732[[#This Row],[Y1 Total quantity]]+Table6912131732[[#This Row],[Y2 Total quantity]]+Table6912131732[[#This Row],[Y3 Total quantity]]</f>
        <v>0</v>
      </c>
      <c r="AJ225" s="1142">
        <f>Table6912131732[[#This Row],[Y1 Total cost]]+Table6912131732[[#This Row],[Y2 Total cost]]+Table6912131732[[#This Row],[Y3 Total cost]]</f>
        <v>0</v>
      </c>
      <c r="AK225" s="343" t="str">
        <f t="shared" si="15"/>
        <v/>
      </c>
      <c r="AL225" s="1266"/>
    </row>
    <row r="226" spans="1:61" s="249" customFormat="1">
      <c r="A226" s="2752"/>
      <c r="B226" s="2753"/>
      <c r="C226" s="2753"/>
      <c r="D226" s="2754"/>
      <c r="E226" s="2821"/>
      <c r="F226" s="2822"/>
      <c r="G226" s="2823"/>
      <c r="H226" s="2815"/>
      <c r="I226" s="2816"/>
      <c r="J226" s="2816"/>
      <c r="K226" s="2817"/>
      <c r="L226" s="385" t="str">
        <f t="shared" si="16"/>
        <v/>
      </c>
      <c r="M226" s="385" t="str">
        <f t="shared" si="17"/>
        <v/>
      </c>
      <c r="N226" s="1126"/>
      <c r="O226" s="1171"/>
      <c r="P226" s="1171"/>
      <c r="Q226" s="1171"/>
      <c r="R226" s="1171"/>
      <c r="S226" s="59">
        <f>SUM(Table6912131732[[#This Row],[Y1 Q1 quantity]:[Y1 Q4 quantity]])</f>
        <v>0</v>
      </c>
      <c r="T226" s="1132">
        <f>Table6912131732[[#This Row],[Y1 Unit cost]]*Table6912131732[[#This Row],[Y1 Total quantity]]</f>
        <v>0</v>
      </c>
      <c r="U226" s="1126"/>
      <c r="V226" s="1171"/>
      <c r="W226" s="1171"/>
      <c r="X226" s="1171"/>
      <c r="Y226" s="1171"/>
      <c r="Z226" s="59">
        <f>SUM(Table6912131732[[#This Row],[Y2 Q1 quantity]:[Y2 Q4 quantity]])</f>
        <v>0</v>
      </c>
      <c r="AA226" s="1142">
        <f>Table6912131732[[#This Row],[Y2 Unit cost]]*Table6912131732[[#This Row],[Y2 Total quantity]]</f>
        <v>0</v>
      </c>
      <c r="AB226" s="1149"/>
      <c r="AC226" s="1171"/>
      <c r="AD226" s="1171"/>
      <c r="AE226" s="1171"/>
      <c r="AF226" s="1171"/>
      <c r="AG226" s="59">
        <f>SUM(Table6912131732[[#This Row],[Y3 Q1 quantity]:[Y3 Q4 quantity]])</f>
        <v>0</v>
      </c>
      <c r="AH226" s="1142">
        <f>Table6912131732[[#This Row],[Y3 Unit cost]]*Table6912131732[[#This Row],[Y3 Total quantity]]</f>
        <v>0</v>
      </c>
      <c r="AI226" s="62">
        <f>Table6912131732[[#This Row],[Y1 Total quantity]]+Table6912131732[[#This Row],[Y2 Total quantity]]+Table6912131732[[#This Row],[Y3 Total quantity]]</f>
        <v>0</v>
      </c>
      <c r="AJ226" s="1142">
        <f>Table6912131732[[#This Row],[Y1 Total cost]]+Table6912131732[[#This Row],[Y2 Total cost]]+Table6912131732[[#This Row],[Y3 Total cost]]</f>
        <v>0</v>
      </c>
      <c r="AK226" s="343" t="str">
        <f t="shared" si="15"/>
        <v/>
      </c>
      <c r="AL226" s="1265"/>
    </row>
    <row r="227" spans="1:61" s="249" customFormat="1">
      <c r="A227" s="2796"/>
      <c r="B227" s="2797"/>
      <c r="C227" s="2797"/>
      <c r="D227" s="2798"/>
      <c r="E227" s="2801"/>
      <c r="F227" s="2802"/>
      <c r="G227" s="2803"/>
      <c r="H227" s="2812"/>
      <c r="I227" s="2813"/>
      <c r="J227" s="2813"/>
      <c r="K227" s="2814"/>
      <c r="L227" s="384" t="str">
        <f t="shared" si="16"/>
        <v/>
      </c>
      <c r="M227" s="384" t="str">
        <f t="shared" si="17"/>
        <v/>
      </c>
      <c r="N227" s="1126"/>
      <c r="O227" s="1171"/>
      <c r="P227" s="1171"/>
      <c r="Q227" s="1171"/>
      <c r="R227" s="1171"/>
      <c r="S227" s="59">
        <f>SUM(Table6912131732[[#This Row],[Y1 Q1 quantity]:[Y1 Q4 quantity]])</f>
        <v>0</v>
      </c>
      <c r="T227" s="1132">
        <f>Table6912131732[[#This Row],[Y1 Unit cost]]*Table6912131732[[#This Row],[Y1 Total quantity]]</f>
        <v>0</v>
      </c>
      <c r="U227" s="1126"/>
      <c r="V227" s="1171"/>
      <c r="W227" s="1171"/>
      <c r="X227" s="1171"/>
      <c r="Y227" s="1171"/>
      <c r="Z227" s="59">
        <f>SUM(Table6912131732[[#This Row],[Y2 Q1 quantity]:[Y2 Q4 quantity]])</f>
        <v>0</v>
      </c>
      <c r="AA227" s="1142">
        <f>Table6912131732[[#This Row],[Y2 Unit cost]]*Table6912131732[[#This Row],[Y2 Total quantity]]</f>
        <v>0</v>
      </c>
      <c r="AB227" s="1149"/>
      <c r="AC227" s="1171"/>
      <c r="AD227" s="1171"/>
      <c r="AE227" s="1171"/>
      <c r="AF227" s="1171"/>
      <c r="AG227" s="59">
        <f>SUM(Table6912131732[[#This Row],[Y3 Q1 quantity]:[Y3 Q4 quantity]])</f>
        <v>0</v>
      </c>
      <c r="AH227" s="1142">
        <f>Table6912131732[[#This Row],[Y3 Unit cost]]*Table6912131732[[#This Row],[Y3 Total quantity]]</f>
        <v>0</v>
      </c>
      <c r="AI227" s="62">
        <f>Table6912131732[[#This Row],[Y1 Total quantity]]+Table6912131732[[#This Row],[Y2 Total quantity]]+Table6912131732[[#This Row],[Y3 Total quantity]]</f>
        <v>0</v>
      </c>
      <c r="AJ227" s="1142">
        <f>Table6912131732[[#This Row],[Y1 Total cost]]+Table6912131732[[#This Row],[Y2 Total cost]]+Table6912131732[[#This Row],[Y3 Total cost]]</f>
        <v>0</v>
      </c>
      <c r="AK227" s="343" t="str">
        <f t="shared" si="15"/>
        <v/>
      </c>
      <c r="AL227" s="1263"/>
    </row>
    <row r="228" spans="1:61" s="249" customFormat="1">
      <c r="A228" s="2752"/>
      <c r="B228" s="2753"/>
      <c r="C228" s="2753"/>
      <c r="D228" s="2754"/>
      <c r="E228" s="2821"/>
      <c r="F228" s="2822"/>
      <c r="G228" s="2823"/>
      <c r="H228" s="2815"/>
      <c r="I228" s="2816"/>
      <c r="J228" s="2816"/>
      <c r="K228" s="2817"/>
      <c r="L228" s="385" t="str">
        <f t="shared" si="16"/>
        <v/>
      </c>
      <c r="M228" s="385" t="str">
        <f t="shared" si="17"/>
        <v/>
      </c>
      <c r="N228" s="1126"/>
      <c r="O228" s="1171"/>
      <c r="P228" s="1171"/>
      <c r="Q228" s="1171"/>
      <c r="R228" s="1171"/>
      <c r="S228" s="59">
        <f>SUM(Table6912131732[[#This Row],[Y1 Q1 quantity]:[Y1 Q4 quantity]])</f>
        <v>0</v>
      </c>
      <c r="T228" s="1132">
        <f>Table6912131732[[#This Row],[Y1 Unit cost]]*Table6912131732[[#This Row],[Y1 Total quantity]]</f>
        <v>0</v>
      </c>
      <c r="U228" s="1126"/>
      <c r="V228" s="1171"/>
      <c r="W228" s="1171"/>
      <c r="X228" s="1171"/>
      <c r="Y228" s="1171"/>
      <c r="Z228" s="59">
        <f>SUM(Table6912131732[[#This Row],[Y2 Q1 quantity]:[Y2 Q4 quantity]])</f>
        <v>0</v>
      </c>
      <c r="AA228" s="1142">
        <f>Table6912131732[[#This Row],[Y2 Unit cost]]*Table6912131732[[#This Row],[Y2 Total quantity]]</f>
        <v>0</v>
      </c>
      <c r="AB228" s="1149"/>
      <c r="AC228" s="1171"/>
      <c r="AD228" s="1171"/>
      <c r="AE228" s="1171"/>
      <c r="AF228" s="1171"/>
      <c r="AG228" s="59">
        <f>SUM(Table6912131732[[#This Row],[Y3 Q1 quantity]:[Y3 Q4 quantity]])</f>
        <v>0</v>
      </c>
      <c r="AH228" s="1142">
        <f>Table6912131732[[#This Row],[Y3 Unit cost]]*Table6912131732[[#This Row],[Y3 Total quantity]]</f>
        <v>0</v>
      </c>
      <c r="AI228" s="62">
        <f>Table6912131732[[#This Row],[Y1 Total quantity]]+Table6912131732[[#This Row],[Y2 Total quantity]]+Table6912131732[[#This Row],[Y3 Total quantity]]</f>
        <v>0</v>
      </c>
      <c r="AJ228" s="1142">
        <f>Table6912131732[[#This Row],[Y1 Total cost]]+Table6912131732[[#This Row],[Y2 Total cost]]+Table6912131732[[#This Row],[Y3 Total cost]]</f>
        <v>0</v>
      </c>
      <c r="AK228" s="343" t="str">
        <f t="shared" si="15"/>
        <v/>
      </c>
      <c r="AL228" s="1265"/>
    </row>
    <row r="229" spans="1:61" s="249" customFormat="1">
      <c r="A229" s="2796"/>
      <c r="B229" s="2797"/>
      <c r="C229" s="2797"/>
      <c r="D229" s="2798"/>
      <c r="E229" s="2801"/>
      <c r="F229" s="2802"/>
      <c r="G229" s="2803"/>
      <c r="H229" s="2812"/>
      <c r="I229" s="2813"/>
      <c r="J229" s="2813"/>
      <c r="K229" s="2814"/>
      <c r="L229" s="384" t="str">
        <f t="shared" si="16"/>
        <v/>
      </c>
      <c r="M229" s="384" t="str">
        <f t="shared" si="17"/>
        <v/>
      </c>
      <c r="N229" s="1126"/>
      <c r="O229" s="1171"/>
      <c r="P229" s="1171"/>
      <c r="Q229" s="1171"/>
      <c r="R229" s="1171"/>
      <c r="S229" s="59">
        <f>SUM(Table6912131732[[#This Row],[Y1 Q1 quantity]:[Y1 Q4 quantity]])</f>
        <v>0</v>
      </c>
      <c r="T229" s="1132">
        <f>Table6912131732[[#This Row],[Y1 Unit cost]]*Table6912131732[[#This Row],[Y1 Total quantity]]</f>
        <v>0</v>
      </c>
      <c r="U229" s="1126"/>
      <c r="V229" s="1171"/>
      <c r="W229" s="1171"/>
      <c r="X229" s="1171"/>
      <c r="Y229" s="1171"/>
      <c r="Z229" s="59">
        <f>SUM(Table6912131732[[#This Row],[Y2 Q1 quantity]:[Y2 Q4 quantity]])</f>
        <v>0</v>
      </c>
      <c r="AA229" s="1142">
        <f>Table6912131732[[#This Row],[Y2 Unit cost]]*Table6912131732[[#This Row],[Y2 Total quantity]]</f>
        <v>0</v>
      </c>
      <c r="AB229" s="1149"/>
      <c r="AC229" s="1171"/>
      <c r="AD229" s="1171"/>
      <c r="AE229" s="1171"/>
      <c r="AF229" s="1171"/>
      <c r="AG229" s="59">
        <f>SUM(Table6912131732[[#This Row],[Y3 Q1 quantity]:[Y3 Q4 quantity]])</f>
        <v>0</v>
      </c>
      <c r="AH229" s="1142">
        <f>Table6912131732[[#This Row],[Y3 Unit cost]]*Table6912131732[[#This Row],[Y3 Total quantity]]</f>
        <v>0</v>
      </c>
      <c r="AI229" s="62">
        <f>Table6912131732[[#This Row],[Y1 Total quantity]]+Table6912131732[[#This Row],[Y2 Total quantity]]+Table6912131732[[#This Row],[Y3 Total quantity]]</f>
        <v>0</v>
      </c>
      <c r="AJ229" s="1142">
        <f>Table6912131732[[#This Row],[Y1 Total cost]]+Table6912131732[[#This Row],[Y2 Total cost]]+Table6912131732[[#This Row],[Y3 Total cost]]</f>
        <v>0</v>
      </c>
      <c r="AK229" s="343" t="str">
        <f t="shared" si="15"/>
        <v/>
      </c>
      <c r="AL229" s="1260"/>
    </row>
    <row r="230" spans="1:61" s="249" customFormat="1" ht="15" thickBot="1">
      <c r="A230" s="2778"/>
      <c r="B230" s="2779"/>
      <c r="C230" s="2779"/>
      <c r="D230" s="2780"/>
      <c r="E230" s="2818"/>
      <c r="F230" s="2819"/>
      <c r="G230" s="2820"/>
      <c r="H230" s="2824"/>
      <c r="I230" s="2825"/>
      <c r="J230" s="2825"/>
      <c r="K230" s="2826"/>
      <c r="L230" s="386" t="str">
        <f t="shared" si="16"/>
        <v/>
      </c>
      <c r="M230" s="386" t="str">
        <f t="shared" si="17"/>
        <v/>
      </c>
      <c r="N230" s="1127"/>
      <c r="O230" s="1172"/>
      <c r="P230" s="1172"/>
      <c r="Q230" s="1172"/>
      <c r="R230" s="1172"/>
      <c r="S230" s="60">
        <f>SUM(Table6912131732[[#This Row],[Y1 Q1 quantity]:[Y1 Q4 quantity]])</f>
        <v>0</v>
      </c>
      <c r="T230" s="1133">
        <f>Table6912131732[[#This Row],[Y1 Unit cost]]*Table6912131732[[#This Row],[Y1 Total quantity]]</f>
        <v>0</v>
      </c>
      <c r="U230" s="1127"/>
      <c r="V230" s="1172"/>
      <c r="W230" s="1172"/>
      <c r="X230" s="1172"/>
      <c r="Y230" s="1172"/>
      <c r="Z230" s="60">
        <f>SUM(Table6912131732[[#This Row],[Y2 Q1 quantity]:[Y2 Q4 quantity]])</f>
        <v>0</v>
      </c>
      <c r="AA230" s="1143">
        <f>Table6912131732[[#This Row],[Y2 Unit cost]]*Table6912131732[[#This Row],[Y2 Total quantity]]</f>
        <v>0</v>
      </c>
      <c r="AB230" s="1150"/>
      <c r="AC230" s="1172"/>
      <c r="AD230" s="1172"/>
      <c r="AE230" s="1172"/>
      <c r="AF230" s="1172"/>
      <c r="AG230" s="60">
        <f>SUM(Table6912131732[[#This Row],[Y3 Q1 quantity]:[Y3 Q4 quantity]])</f>
        <v>0</v>
      </c>
      <c r="AH230" s="1143">
        <f>Table6912131732[[#This Row],[Y3 Unit cost]]*Table6912131732[[#This Row],[Y3 Total quantity]]</f>
        <v>0</v>
      </c>
      <c r="AI230" s="63">
        <f>Table6912131732[[#This Row],[Y1 Total quantity]]+Table6912131732[[#This Row],[Y2 Total quantity]]+Table6912131732[[#This Row],[Y3 Total quantity]]</f>
        <v>0</v>
      </c>
      <c r="AJ230" s="1143">
        <f>Table6912131732[[#This Row],[Y1 Total cost]]+Table6912131732[[#This Row],[Y2 Total cost]]+Table6912131732[[#This Row],[Y3 Total cost]]</f>
        <v>0</v>
      </c>
      <c r="AK230" s="344" t="str">
        <f t="shared" si="15"/>
        <v/>
      </c>
      <c r="AL230" s="1264"/>
      <c r="AW230" s="105"/>
      <c r="AX230" s="105"/>
      <c r="AY230" s="105"/>
      <c r="AZ230" s="105"/>
      <c r="BA230" s="105"/>
      <c r="BB230" s="105"/>
      <c r="BC230" s="105"/>
      <c r="BD230" s="105"/>
      <c r="BE230" s="105"/>
      <c r="BF230" s="105"/>
      <c r="BG230" s="105"/>
      <c r="BH230" s="105"/>
      <c r="BI230" s="105"/>
    </row>
  </sheetData>
  <sheetProtection algorithmName="SHA-512" hashValue="S79hTb23G+cKNbxhL2gBn3WADzHn2DXN692+c+3eIWeUBqbx+hIkYo8nuAUjuAd3Hk/k0CSXEdcN06M5Rd52yQ==" saltValue="kZnbiA0JX94ziQlgHtb90Q==" spinCount="100000" sheet="1" formatColumns="0" formatRows="0" selectLockedCells="1" autoFilter="0"/>
  <mergeCells count="667">
    <mergeCell ref="AL12:AL13"/>
    <mergeCell ref="AL40:AL41"/>
    <mergeCell ref="AL62:AL63"/>
    <mergeCell ref="AL128:AL129"/>
    <mergeCell ref="H215:K215"/>
    <mergeCell ref="E215:G215"/>
    <mergeCell ref="H214:K214"/>
    <mergeCell ref="E214:G214"/>
    <mergeCell ref="E213:G213"/>
    <mergeCell ref="H212:K212"/>
    <mergeCell ref="E212:G212"/>
    <mergeCell ref="H213:K213"/>
    <mergeCell ref="E201:G201"/>
    <mergeCell ref="H201:K201"/>
    <mergeCell ref="E202:G202"/>
    <mergeCell ref="H202:K202"/>
    <mergeCell ref="E203:G203"/>
    <mergeCell ref="H203:K203"/>
    <mergeCell ref="H208:K208"/>
    <mergeCell ref="E52:H52"/>
    <mergeCell ref="E22:H22"/>
    <mergeCell ref="I22:K22"/>
    <mergeCell ref="E23:H23"/>
    <mergeCell ref="I23:K23"/>
    <mergeCell ref="I51:K51"/>
    <mergeCell ref="I49:K49"/>
    <mergeCell ref="E47:H47"/>
    <mergeCell ref="I47:K47"/>
    <mergeCell ref="E48:H48"/>
    <mergeCell ref="I48:K48"/>
    <mergeCell ref="E49:H49"/>
    <mergeCell ref="H220:K220"/>
    <mergeCell ref="E220:G220"/>
    <mergeCell ref="H219:K219"/>
    <mergeCell ref="E219:G219"/>
    <mergeCell ref="H218:K218"/>
    <mergeCell ref="E218:G218"/>
    <mergeCell ref="H217:K217"/>
    <mergeCell ref="E217:G217"/>
    <mergeCell ref="H216:K216"/>
    <mergeCell ref="E216:G216"/>
    <mergeCell ref="E75:H75"/>
    <mergeCell ref="E71:H71"/>
    <mergeCell ref="E89:H89"/>
    <mergeCell ref="I89:K89"/>
    <mergeCell ref="E86:H86"/>
    <mergeCell ref="I86:K86"/>
    <mergeCell ref="E87:H87"/>
    <mergeCell ref="P1:Q2"/>
    <mergeCell ref="L12:L13"/>
    <mergeCell ref="G5:G6"/>
    <mergeCell ref="U12:AA12"/>
    <mergeCell ref="I21:K21"/>
    <mergeCell ref="I14:K14"/>
    <mergeCell ref="I19:K19"/>
    <mergeCell ref="E15:H15"/>
    <mergeCell ref="I15:K15"/>
    <mergeCell ref="E16:H16"/>
    <mergeCell ref="I16:K16"/>
    <mergeCell ref="E17:H17"/>
    <mergeCell ref="I17:K17"/>
    <mergeCell ref="M12:M13"/>
    <mergeCell ref="C5:E6"/>
    <mergeCell ref="N1:O2"/>
    <mergeCell ref="A1:K1"/>
    <mergeCell ref="M1:M2"/>
    <mergeCell ref="B3:B4"/>
    <mergeCell ref="C3:E4"/>
    <mergeCell ref="E20:H20"/>
    <mergeCell ref="E14:H14"/>
    <mergeCell ref="A14:D14"/>
    <mergeCell ref="A15:D15"/>
    <mergeCell ref="L40:L41"/>
    <mergeCell ref="M40:M41"/>
    <mergeCell ref="N40:T40"/>
    <mergeCell ref="U40:AA40"/>
    <mergeCell ref="A19:D19"/>
    <mergeCell ref="A20:D20"/>
    <mergeCell ref="B5:B6"/>
    <mergeCell ref="A8:A9"/>
    <mergeCell ref="A30:D30"/>
    <mergeCell ref="A31:D31"/>
    <mergeCell ref="A32:D32"/>
    <mergeCell ref="A12:D13"/>
    <mergeCell ref="A33:D33"/>
    <mergeCell ref="A40:D41"/>
    <mergeCell ref="I33:K33"/>
    <mergeCell ref="N12:T12"/>
    <mergeCell ref="I24:K24"/>
    <mergeCell ref="I20:K20"/>
    <mergeCell ref="E24:H24"/>
    <mergeCell ref="A10:M10"/>
    <mergeCell ref="A38:M38"/>
    <mergeCell ref="E40:H41"/>
    <mergeCell ref="I40:K41"/>
    <mergeCell ref="E19:H19"/>
    <mergeCell ref="G3:G4"/>
    <mergeCell ref="H3:K4"/>
    <mergeCell ref="H5:K6"/>
    <mergeCell ref="H8:H9"/>
    <mergeCell ref="I8:I9"/>
    <mergeCell ref="J8:J9"/>
    <mergeCell ref="B8:E9"/>
    <mergeCell ref="E12:H13"/>
    <mergeCell ref="I12:K13"/>
    <mergeCell ref="E32:H32"/>
    <mergeCell ref="E33:H33"/>
    <mergeCell ref="B36:E37"/>
    <mergeCell ref="I32:K32"/>
    <mergeCell ref="AB12:AH12"/>
    <mergeCell ref="E21:H21"/>
    <mergeCell ref="A16:D16"/>
    <mergeCell ref="A17:D17"/>
    <mergeCell ref="A18:D18"/>
    <mergeCell ref="E18:H18"/>
    <mergeCell ref="I18:K18"/>
    <mergeCell ref="E46:H46"/>
    <mergeCell ref="E43:H43"/>
    <mergeCell ref="I43:K43"/>
    <mergeCell ref="E44:H44"/>
    <mergeCell ref="E45:H45"/>
    <mergeCell ref="I52:K52"/>
    <mergeCell ref="AI12:AJ12"/>
    <mergeCell ref="H36:H37"/>
    <mergeCell ref="I36:I37"/>
    <mergeCell ref="J36:J37"/>
    <mergeCell ref="E25:H25"/>
    <mergeCell ref="I25:K25"/>
    <mergeCell ref="E26:H26"/>
    <mergeCell ref="I26:K26"/>
    <mergeCell ref="E27:H27"/>
    <mergeCell ref="I27:K27"/>
    <mergeCell ref="E28:H28"/>
    <mergeCell ref="I28:K28"/>
    <mergeCell ref="E29:H29"/>
    <mergeCell ref="I29:K29"/>
    <mergeCell ref="I30:K30"/>
    <mergeCell ref="E30:H30"/>
    <mergeCell ref="E31:H31"/>
    <mergeCell ref="I31:K31"/>
    <mergeCell ref="E72:H72"/>
    <mergeCell ref="I72:K72"/>
    <mergeCell ref="E73:H73"/>
    <mergeCell ref="I73:K73"/>
    <mergeCell ref="E74:H74"/>
    <mergeCell ref="E76:H76"/>
    <mergeCell ref="AI40:AJ40"/>
    <mergeCell ref="E42:H42"/>
    <mergeCell ref="I42:K42"/>
    <mergeCell ref="I45:K45"/>
    <mergeCell ref="E56:H56"/>
    <mergeCell ref="I56:K56"/>
    <mergeCell ref="E55:H55"/>
    <mergeCell ref="I55:K55"/>
    <mergeCell ref="I53:K53"/>
    <mergeCell ref="E54:H54"/>
    <mergeCell ref="I54:K54"/>
    <mergeCell ref="E53:H53"/>
    <mergeCell ref="I44:K44"/>
    <mergeCell ref="E50:H50"/>
    <mergeCell ref="AB40:AH40"/>
    <mergeCell ref="I50:K50"/>
    <mergeCell ref="E51:H51"/>
    <mergeCell ref="I46:K46"/>
    <mergeCell ref="I75:K75"/>
    <mergeCell ref="I76:K76"/>
    <mergeCell ref="I71:K71"/>
    <mergeCell ref="I70:K70"/>
    <mergeCell ref="I65:K65"/>
    <mergeCell ref="I66:K66"/>
    <mergeCell ref="I67:K67"/>
    <mergeCell ref="I74:K74"/>
    <mergeCell ref="I69:K69"/>
    <mergeCell ref="I68:K68"/>
    <mergeCell ref="I79:K79"/>
    <mergeCell ref="E80:H80"/>
    <mergeCell ref="I80:K80"/>
    <mergeCell ref="E81:H81"/>
    <mergeCell ref="I81:K81"/>
    <mergeCell ref="E82:H82"/>
    <mergeCell ref="I82:K82"/>
    <mergeCell ref="E83:H83"/>
    <mergeCell ref="I83:K83"/>
    <mergeCell ref="I95:K95"/>
    <mergeCell ref="E77:H77"/>
    <mergeCell ref="I77:K77"/>
    <mergeCell ref="E78:H78"/>
    <mergeCell ref="I78:K78"/>
    <mergeCell ref="E94:H94"/>
    <mergeCell ref="I94:K94"/>
    <mergeCell ref="E91:H91"/>
    <mergeCell ref="I91:K91"/>
    <mergeCell ref="E92:H92"/>
    <mergeCell ref="I92:K92"/>
    <mergeCell ref="E93:H93"/>
    <mergeCell ref="I93:K93"/>
    <mergeCell ref="E90:H90"/>
    <mergeCell ref="I90:K90"/>
    <mergeCell ref="E88:H88"/>
    <mergeCell ref="E95:H95"/>
    <mergeCell ref="I88:K88"/>
    <mergeCell ref="I87:K87"/>
    <mergeCell ref="E79:H79"/>
    <mergeCell ref="E84:H84"/>
    <mergeCell ref="I84:K84"/>
    <mergeCell ref="E85:H85"/>
    <mergeCell ref="I85:K85"/>
    <mergeCell ref="AI62:AJ62"/>
    <mergeCell ref="E64:H64"/>
    <mergeCell ref="I64:K64"/>
    <mergeCell ref="E65:H65"/>
    <mergeCell ref="E66:H66"/>
    <mergeCell ref="E67:H67"/>
    <mergeCell ref="E68:H68"/>
    <mergeCell ref="E69:H69"/>
    <mergeCell ref="E70:H70"/>
    <mergeCell ref="I62:K63"/>
    <mergeCell ref="M62:M63"/>
    <mergeCell ref="U62:AA62"/>
    <mergeCell ref="AB62:AH62"/>
    <mergeCell ref="L62:L63"/>
    <mergeCell ref="N62:T62"/>
    <mergeCell ref="E62:H63"/>
    <mergeCell ref="AI128:AJ128"/>
    <mergeCell ref="E130:G130"/>
    <mergeCell ref="H130:K130"/>
    <mergeCell ref="E131:G131"/>
    <mergeCell ref="H131:K131"/>
    <mergeCell ref="M128:M129"/>
    <mergeCell ref="E97:H97"/>
    <mergeCell ref="I97:K97"/>
    <mergeCell ref="E98:H98"/>
    <mergeCell ref="I98:K98"/>
    <mergeCell ref="E99:H99"/>
    <mergeCell ref="I99:K99"/>
    <mergeCell ref="E112:H112"/>
    <mergeCell ref="I112:K112"/>
    <mergeCell ref="E107:H107"/>
    <mergeCell ref="I107:K107"/>
    <mergeCell ref="E108:H108"/>
    <mergeCell ref="I108:K108"/>
    <mergeCell ref="E109:H109"/>
    <mergeCell ref="I109:K109"/>
    <mergeCell ref="E116:H116"/>
    <mergeCell ref="I116:K116"/>
    <mergeCell ref="E117:H117"/>
    <mergeCell ref="I117:K117"/>
    <mergeCell ref="H135:K135"/>
    <mergeCell ref="E136:G136"/>
    <mergeCell ref="H136:K136"/>
    <mergeCell ref="E137:G137"/>
    <mergeCell ref="H137:K137"/>
    <mergeCell ref="E132:G132"/>
    <mergeCell ref="H132:K132"/>
    <mergeCell ref="E133:G133"/>
    <mergeCell ref="H133:K133"/>
    <mergeCell ref="E134:G134"/>
    <mergeCell ref="H134:K134"/>
    <mergeCell ref="H141:K141"/>
    <mergeCell ref="E142:G142"/>
    <mergeCell ref="H142:K142"/>
    <mergeCell ref="E143:G143"/>
    <mergeCell ref="H143:K143"/>
    <mergeCell ref="E138:G138"/>
    <mergeCell ref="H138:K138"/>
    <mergeCell ref="E139:G139"/>
    <mergeCell ref="H139:K139"/>
    <mergeCell ref="E140:G140"/>
    <mergeCell ref="H140:K140"/>
    <mergeCell ref="H147:K147"/>
    <mergeCell ref="E148:G148"/>
    <mergeCell ref="H148:K148"/>
    <mergeCell ref="E149:G149"/>
    <mergeCell ref="H149:K149"/>
    <mergeCell ref="E144:G144"/>
    <mergeCell ref="H144:K144"/>
    <mergeCell ref="E145:G145"/>
    <mergeCell ref="H145:K145"/>
    <mergeCell ref="E146:G146"/>
    <mergeCell ref="H146:K146"/>
    <mergeCell ref="E153:G153"/>
    <mergeCell ref="H153:K153"/>
    <mergeCell ref="E154:G154"/>
    <mergeCell ref="H154:K154"/>
    <mergeCell ref="E155:G155"/>
    <mergeCell ref="H155:K155"/>
    <mergeCell ref="E150:G150"/>
    <mergeCell ref="H150:K150"/>
    <mergeCell ref="E151:G151"/>
    <mergeCell ref="H151:K151"/>
    <mergeCell ref="E152:G152"/>
    <mergeCell ref="H152:K152"/>
    <mergeCell ref="E159:G159"/>
    <mergeCell ref="H159:K159"/>
    <mergeCell ref="E160:G160"/>
    <mergeCell ref="H160:K160"/>
    <mergeCell ref="E161:G161"/>
    <mergeCell ref="H161:K161"/>
    <mergeCell ref="E156:G156"/>
    <mergeCell ref="H156:K156"/>
    <mergeCell ref="E157:G157"/>
    <mergeCell ref="H157:K157"/>
    <mergeCell ref="E158:G158"/>
    <mergeCell ref="H158:K158"/>
    <mergeCell ref="E165:G165"/>
    <mergeCell ref="H165:K165"/>
    <mergeCell ref="E166:G166"/>
    <mergeCell ref="H166:K166"/>
    <mergeCell ref="E167:G167"/>
    <mergeCell ref="H167:K167"/>
    <mergeCell ref="E162:G162"/>
    <mergeCell ref="H162:K162"/>
    <mergeCell ref="E163:G163"/>
    <mergeCell ref="H163:K163"/>
    <mergeCell ref="E164:G164"/>
    <mergeCell ref="H164:K164"/>
    <mergeCell ref="H171:K171"/>
    <mergeCell ref="E172:G172"/>
    <mergeCell ref="H172:K172"/>
    <mergeCell ref="E173:G173"/>
    <mergeCell ref="H173:K173"/>
    <mergeCell ref="E168:G168"/>
    <mergeCell ref="H168:K168"/>
    <mergeCell ref="E169:G169"/>
    <mergeCell ref="H169:K169"/>
    <mergeCell ref="E170:G170"/>
    <mergeCell ref="H170:K170"/>
    <mergeCell ref="H177:K177"/>
    <mergeCell ref="E178:G178"/>
    <mergeCell ref="H178:K178"/>
    <mergeCell ref="E179:G179"/>
    <mergeCell ref="H179:K179"/>
    <mergeCell ref="E174:G174"/>
    <mergeCell ref="H174:K174"/>
    <mergeCell ref="E175:G175"/>
    <mergeCell ref="H175:K175"/>
    <mergeCell ref="E176:G176"/>
    <mergeCell ref="H176:K176"/>
    <mergeCell ref="H183:K183"/>
    <mergeCell ref="E184:G184"/>
    <mergeCell ref="H184:K184"/>
    <mergeCell ref="E185:G185"/>
    <mergeCell ref="H185:K185"/>
    <mergeCell ref="E180:G180"/>
    <mergeCell ref="H180:K180"/>
    <mergeCell ref="E181:G181"/>
    <mergeCell ref="H181:K181"/>
    <mergeCell ref="E182:G182"/>
    <mergeCell ref="H182:K182"/>
    <mergeCell ref="H189:K189"/>
    <mergeCell ref="E190:G190"/>
    <mergeCell ref="H190:K190"/>
    <mergeCell ref="E191:G191"/>
    <mergeCell ref="H191:K191"/>
    <mergeCell ref="E186:G186"/>
    <mergeCell ref="H186:K186"/>
    <mergeCell ref="E187:G187"/>
    <mergeCell ref="H187:K187"/>
    <mergeCell ref="E188:G188"/>
    <mergeCell ref="H188:K188"/>
    <mergeCell ref="E195:G195"/>
    <mergeCell ref="H195:K195"/>
    <mergeCell ref="E196:G196"/>
    <mergeCell ref="H196:K196"/>
    <mergeCell ref="E197:G197"/>
    <mergeCell ref="H197:K197"/>
    <mergeCell ref="E192:G192"/>
    <mergeCell ref="H192:K192"/>
    <mergeCell ref="E193:G193"/>
    <mergeCell ref="H193:K193"/>
    <mergeCell ref="E194:G194"/>
    <mergeCell ref="H194:K194"/>
    <mergeCell ref="H230:K230"/>
    <mergeCell ref="E225:G225"/>
    <mergeCell ref="H225:K225"/>
    <mergeCell ref="E226:G226"/>
    <mergeCell ref="H226:K226"/>
    <mergeCell ref="E227:G227"/>
    <mergeCell ref="H227:K227"/>
    <mergeCell ref="E222:G222"/>
    <mergeCell ref="H222:K222"/>
    <mergeCell ref="E223:G223"/>
    <mergeCell ref="H223:K223"/>
    <mergeCell ref="E224:G224"/>
    <mergeCell ref="H224:K224"/>
    <mergeCell ref="E228:G228"/>
    <mergeCell ref="H228:K228"/>
    <mergeCell ref="E229:G229"/>
    <mergeCell ref="H229:K229"/>
    <mergeCell ref="A117:D117"/>
    <mergeCell ref="A116:D116"/>
    <mergeCell ref="A115:D115"/>
    <mergeCell ref="A114:D114"/>
    <mergeCell ref="A119:D119"/>
    <mergeCell ref="A118:D118"/>
    <mergeCell ref="A121:D121"/>
    <mergeCell ref="A120:D120"/>
    <mergeCell ref="E230:G230"/>
    <mergeCell ref="E209:G209"/>
    <mergeCell ref="E204:G204"/>
    <mergeCell ref="E205:G205"/>
    <mergeCell ref="E206:G206"/>
    <mergeCell ref="E211:G211"/>
    <mergeCell ref="E210:G210"/>
    <mergeCell ref="E198:G198"/>
    <mergeCell ref="E199:G199"/>
    <mergeCell ref="E200:G200"/>
    <mergeCell ref="E207:G207"/>
    <mergeCell ref="E208:G208"/>
    <mergeCell ref="E189:G189"/>
    <mergeCell ref="E183:G183"/>
    <mergeCell ref="E177:G177"/>
    <mergeCell ref="E171:G171"/>
    <mergeCell ref="H221:K221"/>
    <mergeCell ref="E221:G221"/>
    <mergeCell ref="E118:H118"/>
    <mergeCell ref="I113:K113"/>
    <mergeCell ref="E114:H114"/>
    <mergeCell ref="I114:K114"/>
    <mergeCell ref="E115:H115"/>
    <mergeCell ref="I115:K115"/>
    <mergeCell ref="E106:H106"/>
    <mergeCell ref="I106:K106"/>
    <mergeCell ref="E110:H110"/>
    <mergeCell ref="I110:K110"/>
    <mergeCell ref="E111:H111"/>
    <mergeCell ref="I111:K111"/>
    <mergeCell ref="H209:K209"/>
    <mergeCell ref="H204:K204"/>
    <mergeCell ref="H205:K205"/>
    <mergeCell ref="H206:K206"/>
    <mergeCell ref="H211:K211"/>
    <mergeCell ref="H210:K210"/>
    <mergeCell ref="H198:K198"/>
    <mergeCell ref="H199:K199"/>
    <mergeCell ref="H200:K200"/>
    <mergeCell ref="H207:K207"/>
    <mergeCell ref="E96:H96"/>
    <mergeCell ref="I96:K96"/>
    <mergeCell ref="E103:H103"/>
    <mergeCell ref="I103:K103"/>
    <mergeCell ref="E104:H104"/>
    <mergeCell ref="E122:H122"/>
    <mergeCell ref="I122:K122"/>
    <mergeCell ref="E119:H119"/>
    <mergeCell ref="I119:K119"/>
    <mergeCell ref="E120:H120"/>
    <mergeCell ref="I120:K120"/>
    <mergeCell ref="E121:H121"/>
    <mergeCell ref="I121:K121"/>
    <mergeCell ref="E105:H105"/>
    <mergeCell ref="I105:K105"/>
    <mergeCell ref="E100:H100"/>
    <mergeCell ref="I100:K100"/>
    <mergeCell ref="E101:H101"/>
    <mergeCell ref="I101:K101"/>
    <mergeCell ref="E102:H102"/>
    <mergeCell ref="I102:K102"/>
    <mergeCell ref="I104:K104"/>
    <mergeCell ref="I118:K118"/>
    <mergeCell ref="E113:H113"/>
    <mergeCell ref="N128:T128"/>
    <mergeCell ref="A124:A125"/>
    <mergeCell ref="B124:E125"/>
    <mergeCell ref="E128:G129"/>
    <mergeCell ref="H128:K129"/>
    <mergeCell ref="L128:L129"/>
    <mergeCell ref="H124:H125"/>
    <mergeCell ref="U128:AA128"/>
    <mergeCell ref="AB128:AH128"/>
    <mergeCell ref="I124:I125"/>
    <mergeCell ref="J124:J125"/>
    <mergeCell ref="A126:M126"/>
    <mergeCell ref="A42:D42"/>
    <mergeCell ref="A43:D43"/>
    <mergeCell ref="A44:D44"/>
    <mergeCell ref="A21:D21"/>
    <mergeCell ref="A22:D22"/>
    <mergeCell ref="A23:D23"/>
    <mergeCell ref="A24:D24"/>
    <mergeCell ref="A25:D25"/>
    <mergeCell ref="A26:D26"/>
    <mergeCell ref="A27:D27"/>
    <mergeCell ref="A28:D28"/>
    <mergeCell ref="A29:D29"/>
    <mergeCell ref="A36:A37"/>
    <mergeCell ref="A45:D45"/>
    <mergeCell ref="A46:D46"/>
    <mergeCell ref="A47:D47"/>
    <mergeCell ref="A48:D48"/>
    <mergeCell ref="A49:D49"/>
    <mergeCell ref="A50:D50"/>
    <mergeCell ref="A51:D51"/>
    <mergeCell ref="A52:D52"/>
    <mergeCell ref="A53:D53"/>
    <mergeCell ref="A54:D54"/>
    <mergeCell ref="A55:D55"/>
    <mergeCell ref="A56:D56"/>
    <mergeCell ref="A62:D63"/>
    <mergeCell ref="A64:D64"/>
    <mergeCell ref="A65:D65"/>
    <mergeCell ref="A66:D66"/>
    <mergeCell ref="A67:D67"/>
    <mergeCell ref="A68:D68"/>
    <mergeCell ref="A58:A59"/>
    <mergeCell ref="A60:M60"/>
    <mergeCell ref="H58:H59"/>
    <mergeCell ref="I58:I59"/>
    <mergeCell ref="J58:J59"/>
    <mergeCell ref="B58:E59"/>
    <mergeCell ref="F58:G58"/>
    <mergeCell ref="F59:G59"/>
    <mergeCell ref="A69:D69"/>
    <mergeCell ref="A70:D70"/>
    <mergeCell ref="A71:D71"/>
    <mergeCell ref="A72:D72"/>
    <mergeCell ref="A73:D73"/>
    <mergeCell ref="A74:D74"/>
    <mergeCell ref="A75:D75"/>
    <mergeCell ref="A76:D76"/>
    <mergeCell ref="A77:D77"/>
    <mergeCell ref="A78:D78"/>
    <mergeCell ref="A83:D83"/>
    <mergeCell ref="A82:D82"/>
    <mergeCell ref="A81:D81"/>
    <mergeCell ref="A80:D80"/>
    <mergeCell ref="A79:D79"/>
    <mergeCell ref="A85:D85"/>
    <mergeCell ref="A84:D84"/>
    <mergeCell ref="A101:D101"/>
    <mergeCell ref="A100:D100"/>
    <mergeCell ref="A99:D99"/>
    <mergeCell ref="A98:D98"/>
    <mergeCell ref="A97:D97"/>
    <mergeCell ref="A96:D96"/>
    <mergeCell ref="A95:D95"/>
    <mergeCell ref="A94:D94"/>
    <mergeCell ref="A93:D93"/>
    <mergeCell ref="A92:D92"/>
    <mergeCell ref="A91:D91"/>
    <mergeCell ref="A90:D90"/>
    <mergeCell ref="A89:D89"/>
    <mergeCell ref="A88:D88"/>
    <mergeCell ref="A87:D87"/>
    <mergeCell ref="A86:D86"/>
    <mergeCell ref="A105:D105"/>
    <mergeCell ref="A104:D104"/>
    <mergeCell ref="A103:D103"/>
    <mergeCell ref="A102:D102"/>
    <mergeCell ref="A113:D113"/>
    <mergeCell ref="A112:D112"/>
    <mergeCell ref="A111:D111"/>
    <mergeCell ref="A110:D110"/>
    <mergeCell ref="A109:D109"/>
    <mergeCell ref="A108:D108"/>
    <mergeCell ref="A107:D107"/>
    <mergeCell ref="A106:D106"/>
    <mergeCell ref="A145:D145"/>
    <mergeCell ref="A146:D146"/>
    <mergeCell ref="A147:D147"/>
    <mergeCell ref="A148:D148"/>
    <mergeCell ref="A149:D149"/>
    <mergeCell ref="A122:D122"/>
    <mergeCell ref="E135:G135"/>
    <mergeCell ref="A128:D129"/>
    <mergeCell ref="A130:D130"/>
    <mergeCell ref="A131:D131"/>
    <mergeCell ref="A132:D132"/>
    <mergeCell ref="A133:D133"/>
    <mergeCell ref="A134:D134"/>
    <mergeCell ref="A135:D135"/>
    <mergeCell ref="E147:G147"/>
    <mergeCell ref="E141:G141"/>
    <mergeCell ref="A136:D136"/>
    <mergeCell ref="A137:D137"/>
    <mergeCell ref="A138:D138"/>
    <mergeCell ref="A139:D139"/>
    <mergeCell ref="A140:D140"/>
    <mergeCell ref="A141:D141"/>
    <mergeCell ref="A142:D142"/>
    <mergeCell ref="A143:D143"/>
    <mergeCell ref="A185:D185"/>
    <mergeCell ref="A153:D153"/>
    <mergeCell ref="A154:D154"/>
    <mergeCell ref="A155:D155"/>
    <mergeCell ref="A156:D156"/>
    <mergeCell ref="A157:D157"/>
    <mergeCell ref="A158:D158"/>
    <mergeCell ref="A159:D159"/>
    <mergeCell ref="A160:D160"/>
    <mergeCell ref="A161:D161"/>
    <mergeCell ref="AW11:BH11"/>
    <mergeCell ref="AW12:AZ12"/>
    <mergeCell ref="BA12:BD12"/>
    <mergeCell ref="BE12:BH12"/>
    <mergeCell ref="A186:D186"/>
    <mergeCell ref="A187:D187"/>
    <mergeCell ref="A188:D188"/>
    <mergeCell ref="A189:D189"/>
    <mergeCell ref="A190:D190"/>
    <mergeCell ref="A162:D162"/>
    <mergeCell ref="A163:D163"/>
    <mergeCell ref="A164:D164"/>
    <mergeCell ref="A165:D165"/>
    <mergeCell ref="A166:D166"/>
    <mergeCell ref="A167:D167"/>
    <mergeCell ref="A168:D168"/>
    <mergeCell ref="A169:D169"/>
    <mergeCell ref="A170:D170"/>
    <mergeCell ref="A171:D171"/>
    <mergeCell ref="A172:D172"/>
    <mergeCell ref="A173:D173"/>
    <mergeCell ref="A150:D150"/>
    <mergeCell ref="A151:D151"/>
    <mergeCell ref="A152:D152"/>
    <mergeCell ref="A144:D144"/>
    <mergeCell ref="A195:D195"/>
    <mergeCell ref="A196:D196"/>
    <mergeCell ref="A197:D197"/>
    <mergeCell ref="A198:D198"/>
    <mergeCell ref="A199:D199"/>
    <mergeCell ref="A200:D200"/>
    <mergeCell ref="A201:D201"/>
    <mergeCell ref="A202:D202"/>
    <mergeCell ref="A191:D191"/>
    <mergeCell ref="A192:D192"/>
    <mergeCell ref="A193:D193"/>
    <mergeCell ref="A194:D194"/>
    <mergeCell ref="A174:D174"/>
    <mergeCell ref="A175:D175"/>
    <mergeCell ref="A176:D176"/>
    <mergeCell ref="A177:D177"/>
    <mergeCell ref="A178:D178"/>
    <mergeCell ref="A179:D179"/>
    <mergeCell ref="A180:D180"/>
    <mergeCell ref="A181:D181"/>
    <mergeCell ref="A182:D182"/>
    <mergeCell ref="A183:D183"/>
    <mergeCell ref="A184:D184"/>
    <mergeCell ref="A203:D203"/>
    <mergeCell ref="A204:D204"/>
    <mergeCell ref="A205:D205"/>
    <mergeCell ref="A206:D206"/>
    <mergeCell ref="A207:D207"/>
    <mergeCell ref="A208:D208"/>
    <mergeCell ref="A209:D209"/>
    <mergeCell ref="A210:D210"/>
    <mergeCell ref="A211:D211"/>
    <mergeCell ref="A212:D212"/>
    <mergeCell ref="A213:D213"/>
    <mergeCell ref="A214:D214"/>
    <mergeCell ref="A215:D215"/>
    <mergeCell ref="A216:D216"/>
    <mergeCell ref="A217:D217"/>
    <mergeCell ref="A218:D218"/>
    <mergeCell ref="A219:D219"/>
    <mergeCell ref="A220:D220"/>
    <mergeCell ref="A230:D230"/>
    <mergeCell ref="A221:D221"/>
    <mergeCell ref="A222:D222"/>
    <mergeCell ref="A223:D223"/>
    <mergeCell ref="A224:D224"/>
    <mergeCell ref="A225:D225"/>
    <mergeCell ref="A226:D226"/>
    <mergeCell ref="A227:D227"/>
    <mergeCell ref="A228:D228"/>
    <mergeCell ref="A229:D229"/>
  </mergeCells>
  <dataValidations count="7">
    <dataValidation type="list" allowBlank="1" showInputMessage="1" showErrorMessage="1" sqref="I42:K56" xr:uid="{00000000-0002-0000-1200-000000000000}">
      <formula1>Rapid_Diagnostic_Test_Malaria</formula1>
    </dataValidation>
    <dataValidation type="list" allowBlank="1" showInputMessage="1" showErrorMessage="1" sqref="I64:K122" xr:uid="{00000000-0002-0000-1200-000001000000}">
      <formula1>INDIRECT(SUBSTITUTE(SUBSTITUTE(SUBSTITUTE(SUBSTITUTE(E64,")",""),"(",""),"-"," ")," ","_"))</formula1>
    </dataValidation>
    <dataValidation type="list" allowBlank="1" showInputMessage="1" showErrorMessage="1" sqref="E14:K33" xr:uid="{00000000-0002-0000-1200-000002000000}">
      <formula1>INDIRECT(SUBSTITUTE(SUBSTITUTE(SUBSTITUTE(SUBSTITUTE(SUBSTITUTE(SUBSTITUTE(SUBSTITUTE(SUBSTITUTE(SUBSTITUTE(SUBSTITUTE(A14,",",""),":",""),"/"," "),"(",""),")",""),"-"," "),"  "," ")," ","_"),"&amp;",""),"__","_"))</formula1>
    </dataValidation>
    <dataValidation type="list" allowBlank="1" showInputMessage="1" showErrorMessage="1" sqref="E42:H56 E64:H122 E130:G230" xr:uid="{00000000-0002-0000-1200-000003000000}">
      <formula1>INDIRECT((SUBSTITUTE(SUBSTITUTE(SUBSTITUTE(SUBSTITUTE(SUBSTITUTE(SUBSTITUTE(SUBSTITUTE(SUBSTITUTE(SUBSTITUTE(SUBSTITUTE(A42,",",""),":",""),"/"," "),"(",""),")",""),"-"," "),"  "," ")," ","_"),"&amp;",""),"__","_")))</formula1>
    </dataValidation>
    <dataValidation type="list" allowBlank="1" showInputMessage="1" showErrorMessage="1" sqref="H130:K230" xr:uid="{00000000-0002-0000-1200-000004000000}">
      <formula1>INDIRECT(SUBSTITUTE(SUBSTITUTE(SUBSTITUTE(SUBSTITUTE(SUBSTITUTE(SUBSTITUTE(SUBSTITUTE(SUBSTITUTE(SUBSTITUTE(SUBSTITUTE(SUBSTITUTE(E130,",",""),":",""),"/"," "),"(",""),")",""),"-"," "),"  "," ")," ","_"),"&amp;",""),"__","_"),"+","_"))</formula1>
    </dataValidation>
    <dataValidation type="list" allowBlank="1" showInputMessage="1" showErrorMessage="1" sqref="M42:M56 M14:M33" xr:uid="{00000000-0002-0000-1200-000005000000}">
      <formula1>$C$25:$C$39</formula1>
    </dataValidation>
    <dataValidation type="decimal" allowBlank="1" showInputMessage="1" showErrorMessage="1" sqref="N14:AH33 N42:AH56 N64:AH122 N130:AH230" xr:uid="{CE2A8E8C-9AD5-4769-8107-E94D94F8BBC2}">
      <formula1>0</formula1>
      <formula2>1E+29</formula2>
    </dataValidation>
  </dataValidations>
  <hyperlinks>
    <hyperlink ref="N1:O2" location="'Malaria-Key Info'!A1" display="Back to Malaria key info" xr:uid="{00000000-0004-0000-1200-000001000000}"/>
    <hyperlink ref="H8:H9" location="'Malaria-Equipment &amp; Other HPs'!A42" display="'Malaria-Equipment &amp; Other HPs'!A42" xr:uid="{00000000-0004-0000-1200-000002000000}"/>
    <hyperlink ref="I8:I9" location="'Malaria-Equipment &amp; Other HPs'!A64" display="'Malaria-Equipment &amp; Other HPs'!A64" xr:uid="{00000000-0004-0000-1200-000003000000}"/>
    <hyperlink ref="P1:Q2" location="'Malaria-Pharmaceuticals'!A1" display="Back to Malaria-Pharmaceuticals" xr:uid="{00000000-0004-0000-1200-000005000000}"/>
    <hyperlink ref="J36:J37" location="'Malaria-Equipment &amp; Other HPs'!A130" display="'Malaria-Equipment &amp; Other HPs'!A130" xr:uid="{00000000-0004-0000-1200-000006000000}"/>
    <hyperlink ref="I36:I37" location="'Malaria-Equipment &amp; Other HPs'!A64" display="'Malaria-Equipment &amp; Other HPs'!A64" xr:uid="{00000000-0004-0000-1200-000007000000}"/>
    <hyperlink ref="J124:J125" location="'Malaria-Equipment &amp; Other HPs'!A64" display="'Malaria-Equipment &amp; Other HPs'!A64" xr:uid="{00000000-0004-0000-1200-000008000000}"/>
    <hyperlink ref="I58:I59" location="'Malaria-Equipment &amp; Other HPs'!A42" display="'Malaria-Equipment &amp; Other HPs'!A42" xr:uid="{00000000-0004-0000-1200-000009000000}"/>
    <hyperlink ref="I124:I125" location="'Malaria-Equipment &amp; Other HPs'!A42" display="'Malaria-Equipment &amp; Other HPs'!A42" xr:uid="{00000000-0004-0000-1200-00000A000000}"/>
    <hyperlink ref="J8:J9" location="'Malaria-Equipment &amp; Other HPs'!A130" display="'Malaria-Equipment &amp; Other HPs'!A130" xr:uid="{D7FD91B3-BBEA-420F-96EB-17911DBA1E47}"/>
    <hyperlink ref="J58:J59" location="'Malaria-Equipment &amp; Other HPs'!A130" display="'Malaria-Equipment &amp; Other HPs'!A130" xr:uid="{82381AB3-A862-4B03-A638-3F381316C9AE}"/>
    <hyperlink ref="H36:H37" location="'Malaria-Equipment &amp; Other HPs'!A1" display="'Malaria-Equipment &amp; Other HPs'!A1" xr:uid="{54301CD7-014B-43AA-A014-0072E6EFB79E}"/>
    <hyperlink ref="H58:H59" location="'Malaria-Equipment &amp; Other HPs'!A1" display="'Malaria-Equipment &amp; Other HPs'!A1" xr:uid="{A98B5ABE-D93B-4EB6-B79A-83E3A9DA8027}"/>
    <hyperlink ref="H124:H125" location="'Malaria-Equipment &amp; Other HPs'!A1" display="'Malaria-Equipment &amp; Other HPs'!A1" xr:uid="{A79AC168-3B0C-461E-BA82-4D67522398DB}"/>
  </hyperlinks>
  <pageMargins left="0.7" right="0.7" top="0.75" bottom="0.75" header="0.3" footer="0.3"/>
  <pageSetup paperSize="9" orientation="portrait" r:id="rId1"/>
  <drawing r:id="rId2"/>
  <tableParts count="4">
    <tablePart r:id="rId3"/>
    <tablePart r:id="rId4"/>
    <tablePart r:id="rId5"/>
    <tablePart r:id="rId6"/>
  </tablePart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200-000006000000}">
          <x14:formula1>
            <xm:f>SETUP!$C$28:$C$42</xm:f>
          </x14:formula1>
          <xm:sqref>M64:M122</xm:sqref>
        </x14:dataValidation>
        <x14:dataValidation type="list" allowBlank="1" showInputMessage="1" showErrorMessage="1" xr:uid="{00000000-0002-0000-1200-000007000000}">
          <x14:formula1>
            <xm:f>'Malaria-Other HPs'!$U$2</xm:f>
          </x14:formula1>
          <xm:sqref>A14:D33</xm:sqref>
        </x14:dataValidation>
        <x14:dataValidation type="list" allowBlank="1" showInputMessage="1" showErrorMessage="1" xr:uid="{00000000-0002-0000-1200-000008000000}">
          <x14:formula1>
            <xm:f>'Malaria-Other HPs'!$X$2</xm:f>
          </x14:formula1>
          <xm:sqref>A42:D56</xm:sqref>
        </x14:dataValidation>
        <x14:dataValidation type="list" allowBlank="1" showInputMessage="1" showErrorMessage="1" xr:uid="{00000000-0002-0000-1200-000009000000}">
          <x14:formula1>
            <xm:f>'Malaria-Other HPs'!$AA$2:$AA$6</xm:f>
          </x14:formula1>
          <xm:sqref>A64:D122</xm:sqref>
        </x14:dataValidation>
        <x14:dataValidation type="list" allowBlank="1" showInputMessage="1" showErrorMessage="1" xr:uid="{00000000-0002-0000-1200-00000A000000}">
          <x14:formula1>
            <xm:f>'Malaria-Other HPs'!$AD$2:$AD$5</xm:f>
          </x14:formula1>
          <xm:sqref>A130:A230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0000"/>
  </sheetPr>
  <dimension ref="A1:BT258"/>
  <sheetViews>
    <sheetView showGridLines="0" topLeftCell="B142" zoomScale="85" zoomScaleNormal="85" workbookViewId="0">
      <selection activeCell="I26" sqref="I26"/>
    </sheetView>
  </sheetViews>
  <sheetFormatPr defaultColWidth="14.08984375" defaultRowHeight="14.5"/>
  <cols>
    <col min="1" max="1" width="51.36328125" style="30" bestFit="1" customWidth="1"/>
    <col min="2" max="2" width="14.08984375" style="30"/>
    <col min="3" max="3" width="14.08984375" style="673"/>
    <col min="4" max="4" width="14.08984375" style="22"/>
    <col min="5" max="5" width="41.36328125" style="21" customWidth="1"/>
    <col min="6" max="6" width="38.08984375" style="21" customWidth="1"/>
    <col min="7" max="70" width="14.08984375" style="631"/>
    <col min="71" max="16384" width="14.08984375" style="21"/>
  </cols>
  <sheetData>
    <row r="1" spans="1:72">
      <c r="A1" s="2567" t="s">
        <v>1543</v>
      </c>
      <c r="B1" s="2567"/>
      <c r="C1" s="2567"/>
      <c r="D1" s="2567"/>
      <c r="E1" s="2567"/>
      <c r="F1" s="2567"/>
      <c r="G1" s="621"/>
      <c r="H1" s="621"/>
      <c r="I1" s="621"/>
      <c r="J1" s="621"/>
      <c r="K1" s="621"/>
      <c r="L1" s="621"/>
      <c r="M1" s="621"/>
      <c r="N1" s="621"/>
      <c r="O1" s="621"/>
      <c r="P1" s="621"/>
      <c r="Q1" s="621"/>
      <c r="R1" s="621"/>
      <c r="S1" s="621"/>
      <c r="T1" s="621"/>
      <c r="U1" s="621"/>
      <c r="V1" s="621"/>
      <c r="W1" s="621"/>
      <c r="X1" s="621"/>
      <c r="Y1" s="621"/>
      <c r="Z1" s="621"/>
      <c r="AA1" s="621"/>
      <c r="AB1" s="621"/>
      <c r="AC1" s="621"/>
      <c r="AD1" s="621"/>
      <c r="AE1" s="621"/>
      <c r="AF1" s="621"/>
      <c r="AG1" s="621"/>
      <c r="AH1" s="621"/>
      <c r="AI1" s="621"/>
      <c r="AJ1" s="621"/>
      <c r="AK1" s="621"/>
      <c r="AL1" s="621"/>
      <c r="AM1" s="621"/>
      <c r="AN1" s="621"/>
      <c r="AO1" s="621"/>
      <c r="AP1" s="621"/>
      <c r="AQ1" s="621"/>
      <c r="AR1" s="621"/>
      <c r="AS1" s="621"/>
      <c r="AT1" s="621"/>
      <c r="AU1" s="621"/>
      <c r="AV1" s="621"/>
      <c r="AW1" s="621"/>
      <c r="AX1" s="621"/>
      <c r="AY1" s="621"/>
      <c r="AZ1" s="621"/>
      <c r="BA1" s="621"/>
      <c r="BB1" s="621"/>
      <c r="BC1" s="621"/>
      <c r="BD1" s="621"/>
      <c r="BE1" s="621"/>
      <c r="BF1" s="621"/>
      <c r="BG1" s="621"/>
      <c r="BH1" s="621"/>
      <c r="BI1" s="621"/>
      <c r="BJ1" s="621"/>
      <c r="BK1" s="621"/>
      <c r="BL1" s="621"/>
      <c r="BM1" s="621"/>
      <c r="BN1" s="621"/>
      <c r="BO1" s="621"/>
      <c r="BP1" s="621"/>
      <c r="BQ1" s="621"/>
      <c r="BR1" s="621"/>
      <c r="BT1" s="566" t="s">
        <v>857</v>
      </c>
    </row>
    <row r="2" spans="1:72" s="719" customFormat="1" ht="43.5">
      <c r="A2" s="23" t="s">
        <v>1545</v>
      </c>
      <c r="B2" s="23" t="s">
        <v>203</v>
      </c>
      <c r="C2" s="622" t="s">
        <v>459</v>
      </c>
      <c r="D2" s="23" t="s">
        <v>460</v>
      </c>
      <c r="E2" s="23" t="s">
        <v>461</v>
      </c>
      <c r="F2" s="23" t="s">
        <v>214</v>
      </c>
      <c r="G2" s="622" t="s">
        <v>462</v>
      </c>
      <c r="H2" s="622" t="s">
        <v>49</v>
      </c>
      <c r="I2" s="622" t="s">
        <v>463</v>
      </c>
      <c r="J2" s="622" t="s">
        <v>464</v>
      </c>
      <c r="K2" s="622" t="s">
        <v>465</v>
      </c>
      <c r="L2" s="623" t="s">
        <v>466</v>
      </c>
      <c r="M2" s="623" t="s">
        <v>467</v>
      </c>
      <c r="N2" s="622" t="s">
        <v>468</v>
      </c>
      <c r="O2" s="622" t="s">
        <v>469</v>
      </c>
      <c r="P2" s="623" t="s">
        <v>470</v>
      </c>
      <c r="Q2" s="623" t="s">
        <v>471</v>
      </c>
      <c r="R2" s="622" t="s">
        <v>472</v>
      </c>
      <c r="S2" s="622" t="s">
        <v>473</v>
      </c>
      <c r="T2" s="623" t="s">
        <v>474</v>
      </c>
      <c r="U2" s="623" t="s">
        <v>475</v>
      </c>
      <c r="V2" s="622" t="s">
        <v>476</v>
      </c>
      <c r="W2" s="622" t="s">
        <v>477</v>
      </c>
      <c r="X2" s="623" t="s">
        <v>478</v>
      </c>
      <c r="Y2" s="623" t="s">
        <v>479</v>
      </c>
      <c r="Z2" s="718"/>
      <c r="AA2" s="622" t="s">
        <v>480</v>
      </c>
      <c r="AB2" s="622" t="s">
        <v>481</v>
      </c>
      <c r="AC2" s="622" t="s">
        <v>482</v>
      </c>
      <c r="AD2" s="623" t="s">
        <v>483</v>
      </c>
      <c r="AE2" s="623" t="s">
        <v>484</v>
      </c>
      <c r="AF2" s="622" t="s">
        <v>485</v>
      </c>
      <c r="AG2" s="622" t="s">
        <v>486</v>
      </c>
      <c r="AH2" s="623" t="s">
        <v>487</v>
      </c>
      <c r="AI2" s="623" t="s">
        <v>488</v>
      </c>
      <c r="AJ2" s="622" t="s">
        <v>489</v>
      </c>
      <c r="AK2" s="622" t="s">
        <v>490</v>
      </c>
      <c r="AL2" s="623" t="s">
        <v>491</v>
      </c>
      <c r="AM2" s="623" t="s">
        <v>492</v>
      </c>
      <c r="AN2" s="622" t="s">
        <v>493</v>
      </c>
      <c r="AO2" s="622" t="s">
        <v>494</v>
      </c>
      <c r="AP2" s="623" t="s">
        <v>495</v>
      </c>
      <c r="AQ2" s="623" t="s">
        <v>496</v>
      </c>
      <c r="AR2" s="718"/>
      <c r="AS2" s="622" t="s">
        <v>497</v>
      </c>
      <c r="AT2" s="622" t="s">
        <v>498</v>
      </c>
      <c r="AU2" s="622" t="s">
        <v>499</v>
      </c>
      <c r="AV2" s="623" t="s">
        <v>500</v>
      </c>
      <c r="AW2" s="623" t="s">
        <v>501</v>
      </c>
      <c r="AX2" s="622" t="s">
        <v>502</v>
      </c>
      <c r="AY2" s="622" t="s">
        <v>503</v>
      </c>
      <c r="AZ2" s="623" t="s">
        <v>504</v>
      </c>
      <c r="BA2" s="623" t="s">
        <v>505</v>
      </c>
      <c r="BB2" s="622" t="s">
        <v>506</v>
      </c>
      <c r="BC2" s="622" t="s">
        <v>507</v>
      </c>
      <c r="BD2" s="623" t="s">
        <v>508</v>
      </c>
      <c r="BE2" s="623" t="s">
        <v>509</v>
      </c>
      <c r="BF2" s="622" t="s">
        <v>510</v>
      </c>
      <c r="BG2" s="622" t="s">
        <v>511</v>
      </c>
      <c r="BH2" s="623" t="s">
        <v>512</v>
      </c>
      <c r="BI2" s="623" t="s">
        <v>513</v>
      </c>
      <c r="BJ2" s="718"/>
      <c r="BK2" s="623" t="s">
        <v>514</v>
      </c>
      <c r="BL2" s="623" t="s">
        <v>515</v>
      </c>
      <c r="BM2" s="623" t="s">
        <v>516</v>
      </c>
      <c r="BN2" s="623" t="s">
        <v>517</v>
      </c>
      <c r="BO2" s="623" t="s">
        <v>518</v>
      </c>
      <c r="BP2" s="623" t="s">
        <v>519</v>
      </c>
      <c r="BQ2" s="623" t="s">
        <v>520</v>
      </c>
      <c r="BR2" s="623" t="s">
        <v>521</v>
      </c>
      <c r="BT2" s="717" t="s">
        <v>6799</v>
      </c>
    </row>
    <row r="3" spans="1:72" s="22" customFormat="1">
      <c r="A3" s="32" t="s">
        <v>576</v>
      </c>
      <c r="B3" s="32" t="s">
        <v>522</v>
      </c>
      <c r="C3" s="626">
        <f>SETUP!$F$50</f>
        <v>0</v>
      </c>
      <c r="D3" s="31">
        <v>4.3</v>
      </c>
      <c r="E3" s="32" t="s">
        <v>400</v>
      </c>
      <c r="F3" s="32" t="s">
        <v>1101</v>
      </c>
      <c r="G3" s="625" t="str">
        <f t="array" ref="G3">IFERROR(INDEX('Malaria-Pharmaceuticals'!$L$14:$L$60,MATCH($E3&amp;$F3,'Malaria-Pharmaceuticals'!$E$14:$E$60&amp;'Malaria-Pharmaceuticals'!$I$14:$I$60,0)),"")</f>
        <v/>
      </c>
      <c r="H3" s="625" t="str">
        <f t="array" ref="H3">IFERROR(INDEX('Malaria-Pharmaceuticals'!$M$14:$M$60,MATCH($E3&amp;$F3,'Malaria-Pharmaceuticals'!$E$14:$E$60&amp;'Malaria-Pharmaceuticals'!$I$14:$I$60,0)),"")</f>
        <v/>
      </c>
      <c r="I3" s="625">
        <f t="array" ref="I3">IFERROR(INDEX('Malaria-Pharmaceuticals'!$N$14:$N$60,MATCH($E3&amp;$F3,'Malaria-Pharmaceuticals'!$E$14:$E$60&amp;'Malaria-Pharmaceuticals'!$I$14:$I$60,0)),0)</f>
        <v>0</v>
      </c>
      <c r="J3" s="625">
        <f t="array" ref="J3">IFERROR(INDEX('Malaria-Pharmaceuticals'!$O$14:$O$60,MATCH($E3&amp;$F3,'Malaria-Pharmaceuticals'!$E$14:$E$60&amp;'Malaria-Pharmaceuticals'!$I$14:$I$60,0)),0)</f>
        <v>0</v>
      </c>
      <c r="K3" s="626">
        <f>IF(ISERROR($I3*J3),0,$I3*J3)</f>
        <v>0</v>
      </c>
      <c r="L3" s="626">
        <f>IF(C3="Upfront",J3,0)</f>
        <v>0</v>
      </c>
      <c r="M3" s="626">
        <f>IF(C3="Upfront",K3,0)</f>
        <v>0</v>
      </c>
      <c r="N3" s="625">
        <f t="array" ref="N3">IFERROR(INDEX('Malaria-Pharmaceuticals'!$P$14:$P$60,MATCH($E3&amp;$F3,'Malaria-Pharmaceuticals'!$E$14:$E$60&amp;'Malaria-Pharmaceuticals'!$I$14:$I$60,0)),0)</f>
        <v>0</v>
      </c>
      <c r="O3" s="626">
        <f>IF(ISERROR($I3*N3),0,$I3*N3)</f>
        <v>0</v>
      </c>
      <c r="P3" s="626">
        <f>IF(C3="Upfront",N3,0)</f>
        <v>0</v>
      </c>
      <c r="Q3" s="626">
        <f>IF(C3="Upfront",O3,0)</f>
        <v>0</v>
      </c>
      <c r="R3" s="625">
        <f t="array" ref="R3">IFERROR(INDEX('Malaria-Pharmaceuticals'!$Q$14:$Q$60,MATCH($E3&amp;$F3,'Malaria-Pharmaceuticals'!$E$14:$E$60&amp;'Malaria-Pharmaceuticals'!$I$14:$I$60,0)),0)</f>
        <v>0</v>
      </c>
      <c r="S3" s="626">
        <f>IF(ISERROR($I3*R3),0,$I3*R3)</f>
        <v>0</v>
      </c>
      <c r="T3" s="626">
        <f>IF(C3="Upfront",R3,IF(C3="At delivery",J3,0))</f>
        <v>0</v>
      </c>
      <c r="U3" s="626">
        <f>IF(C3="Upfront",S3,IF(C3="At delivery",K3,0))</f>
        <v>0</v>
      </c>
      <c r="V3" s="625">
        <f t="array" ref="V3">IFERROR(INDEX('Malaria-Pharmaceuticals'!$R$14:$R$60,MATCH($E3&amp;$F3,'Malaria-Pharmaceuticals'!$E$14:$E$60&amp;'Malaria-Pharmaceuticals'!$I$14:$I$60,0)),0)</f>
        <v>0</v>
      </c>
      <c r="W3" s="626">
        <f>IF(ISERROR($I3*V3),0,$I3*V3)</f>
        <v>0</v>
      </c>
      <c r="X3" s="626">
        <f>IF(C3="Upfront",V3,IF(C3="At delivery",N3,0))</f>
        <v>0</v>
      </c>
      <c r="Y3" s="626">
        <f>IF(C3="Upfront",W3,IF(C3="At delivery",O3,0))</f>
        <v>0</v>
      </c>
      <c r="Z3" s="627"/>
      <c r="AA3" s="625">
        <f t="array" ref="AA3">IFERROR(INDEX('Malaria-Pharmaceuticals'!$U$14:$U$60,MATCH($E3&amp;$F3,'Malaria-Pharmaceuticals'!$E$14:$E$60&amp;'Malaria-Pharmaceuticals'!$I$14:$I$60,0)),0)</f>
        <v>0</v>
      </c>
      <c r="AB3" s="625">
        <f t="array" ref="AB3">IFERROR(INDEX('Malaria-Pharmaceuticals'!$V$14:$V$60,MATCH($E3&amp;$F3,'Malaria-Pharmaceuticals'!$E$14:$E$60&amp;'Malaria-Pharmaceuticals'!$I$14:$I$60,0)),0)</f>
        <v>0</v>
      </c>
      <c r="AC3" s="625">
        <f>IF(ISERROR($AA3*AB3),0,$AA3*AB3)</f>
        <v>0</v>
      </c>
      <c r="AD3" s="626">
        <f>IF(C3="Upfront",AB3,IF(C3="At delivery",R3,0))</f>
        <v>0</v>
      </c>
      <c r="AE3" s="626">
        <f>IF(C3="Upfront",AC3,IF(C3="At delivery",S3,0))</f>
        <v>0</v>
      </c>
      <c r="AF3" s="625">
        <f t="array" ref="AF3">IFERROR(INDEX('Malaria-Pharmaceuticals'!$W$14:$W$60,MATCH($E3&amp;$F3,'Malaria-Pharmaceuticals'!$E$14:$E$60&amp;'Malaria-Pharmaceuticals'!$I$14:$I$60,0)),0)</f>
        <v>0</v>
      </c>
      <c r="AG3" s="625">
        <f>IF(ISERROR($AA3*AF3),0,$AA3*AF3)</f>
        <v>0</v>
      </c>
      <c r="AH3" s="626">
        <f>IF(C3="Upfront",AF3,IF(C3="At delivery",V3,0))</f>
        <v>0</v>
      </c>
      <c r="AI3" s="626">
        <f>IF(C3="Upfront",AG3,IF(C3="At delivery",W3,0))</f>
        <v>0</v>
      </c>
      <c r="AJ3" s="625">
        <f t="array" ref="AJ3">IFERROR(INDEX('Malaria-Pharmaceuticals'!$X$14:$X$60,MATCH($E3&amp;$F3,'Malaria-Pharmaceuticals'!$E$14:$E$60&amp;'Malaria-Pharmaceuticals'!$I$14:$I$60,0)),0)</f>
        <v>0</v>
      </c>
      <c r="AK3" s="625">
        <f>IF(ISERROR($AA3*AJ3),0,$AA3*AJ3)</f>
        <v>0</v>
      </c>
      <c r="AL3" s="626">
        <f>IF(C3="Upfront",AJ3,IF(C3="At delivery",AB3,0))</f>
        <v>0</v>
      </c>
      <c r="AM3" s="626">
        <f>IF(C3="Upfront",AK3,IF(C3="At delivery",AC3,0))</f>
        <v>0</v>
      </c>
      <c r="AN3" s="625">
        <f t="array" ref="AN3">IFERROR(INDEX('Malaria-Pharmaceuticals'!$Y$14:$Y$60,MATCH($E3&amp;$F3,'Malaria-Pharmaceuticals'!$E$14:$E$60&amp;'Malaria-Pharmaceuticals'!$I$14:$I$60,0)),0)</f>
        <v>0</v>
      </c>
      <c r="AO3" s="625">
        <f>IF(ISERROR($AA3*AN3),0,$AA3*AN3)</f>
        <v>0</v>
      </c>
      <c r="AP3" s="626">
        <f>IF(C3="Upfront",AN3,IF(C3="At delivery",AF3,0))</f>
        <v>0</v>
      </c>
      <c r="AQ3" s="626">
        <f>IF(C3="Upfront",AO3,IF(C3="At delivery",AG3,0))</f>
        <v>0</v>
      </c>
      <c r="AR3" s="627"/>
      <c r="AS3" s="625">
        <f t="array" ref="AS3">IFERROR(INDEX('Malaria-Pharmaceuticals'!$AB$14:$AB$60,MATCH($E3&amp;$F3,'Malaria-Pharmaceuticals'!$E$14:$E$60&amp;'Malaria-Pharmaceuticals'!$I$14:$I$60,0)),0)</f>
        <v>0</v>
      </c>
      <c r="AT3" s="625">
        <f t="array" ref="AT3">IFERROR(INDEX('Malaria-Pharmaceuticals'!$AC$14:$AC$60,MATCH($E3&amp;$F3,'Malaria-Pharmaceuticals'!$E$14:$E$60&amp;'Malaria-Pharmaceuticals'!$I$14:$I$60,0)),0)</f>
        <v>0</v>
      </c>
      <c r="AU3" s="625">
        <f>IF(ISERROR($AS3*AT3),0,$AS3*AT3)</f>
        <v>0</v>
      </c>
      <c r="AV3" s="626">
        <f>IF(C3="Upfront",AT3,IF(C3="At delivery",AJ3,0))</f>
        <v>0</v>
      </c>
      <c r="AW3" s="626">
        <f>IF(C3="Upfront",AU3,IF(C3="At delivery",AK3,0))</f>
        <v>0</v>
      </c>
      <c r="AX3" s="625">
        <f t="array" ref="AX3">IFERROR(INDEX('Malaria-Pharmaceuticals'!$AD$14:$AD$60,MATCH($E3&amp;$F3,'Malaria-Pharmaceuticals'!$E$14:$E$60&amp;'Malaria-Pharmaceuticals'!$I$14:$I$60,0)),0)</f>
        <v>0</v>
      </c>
      <c r="AY3" s="625">
        <f>IF(ISERROR($AS3*AX3),0,$AS3*AX3)</f>
        <v>0</v>
      </c>
      <c r="AZ3" s="626">
        <f>IF(C3="Upfront",AX3,IF(C3="At delivery",AN3,0))</f>
        <v>0</v>
      </c>
      <c r="BA3" s="626">
        <f>IF(C3="Upfront",AY3,IF(C3="At delivery",AO3,0))</f>
        <v>0</v>
      </c>
      <c r="BB3" s="625">
        <f t="array" ref="BB3">IFERROR(INDEX('Malaria-Pharmaceuticals'!$AE$14:$AE$60,MATCH($E3&amp;$F3,'Malaria-Pharmaceuticals'!$E$14:$E$60&amp;'Malaria-Pharmaceuticals'!$I$14:$I$60,0)),0)</f>
        <v>0</v>
      </c>
      <c r="BC3" s="625">
        <f>IF(ISERROR($AS3*BB3),0,$AS3*BB3)</f>
        <v>0</v>
      </c>
      <c r="BD3" s="626">
        <f>IF(C3="Upfront",BB3,IF(C3="At delivery",AT3,0))</f>
        <v>0</v>
      </c>
      <c r="BE3" s="626">
        <f>IF(C3="Upfront",BC3,IF(C3="At delivery",AU3,0))</f>
        <v>0</v>
      </c>
      <c r="BF3" s="625">
        <f t="array" ref="BF3">IFERROR(INDEX('Malaria-Pharmaceuticals'!$AF$14:$AF$60,MATCH($E3&amp;$F3,'Malaria-Pharmaceuticals'!$E$14:$E$60&amp;'Malaria-Pharmaceuticals'!$I$14:$I$60,0)),0)</f>
        <v>0</v>
      </c>
      <c r="BG3" s="625">
        <f>IF(ISERROR($AS3*BF3),0,$AS3*BF3)</f>
        <v>0</v>
      </c>
      <c r="BH3" s="626">
        <f>IF(C3="Upfront",BF3,IF(C3="At delivery",AX3,0))</f>
        <v>0</v>
      </c>
      <c r="BI3" s="626">
        <f>IF(C3="Upfront",BG3,IF(C3="At delivery",AY3,0))</f>
        <v>0</v>
      </c>
      <c r="BJ3" s="673"/>
      <c r="BK3" s="626"/>
      <c r="BL3" s="626"/>
      <c r="BM3" s="626"/>
      <c r="BN3" s="626"/>
      <c r="BO3" s="626"/>
      <c r="BP3" s="626"/>
      <c r="BQ3" s="626"/>
      <c r="BR3" s="626"/>
      <c r="BT3" s="21" t="s">
        <v>6800</v>
      </c>
    </row>
    <row r="4" spans="1:72" s="22" customFormat="1">
      <c r="A4" s="32" t="s">
        <v>576</v>
      </c>
      <c r="B4" s="32" t="s">
        <v>522</v>
      </c>
      <c r="C4" s="626">
        <f>SETUP!$F$50</f>
        <v>0</v>
      </c>
      <c r="D4" s="31">
        <v>4.3</v>
      </c>
      <c r="E4" s="32" t="s">
        <v>400</v>
      </c>
      <c r="F4" s="32" t="s">
        <v>1102</v>
      </c>
      <c r="G4" s="625" t="str">
        <f t="array" ref="G4">IFERROR(INDEX('Malaria-Pharmaceuticals'!$L$14:$L$60,MATCH($E4&amp;$F4,'Malaria-Pharmaceuticals'!$E$14:$E$60&amp;'Malaria-Pharmaceuticals'!$I$14:$I$60,0)),"")</f>
        <v/>
      </c>
      <c r="H4" s="625" t="str">
        <f t="array" ref="H4">IFERROR(INDEX('Malaria-Pharmaceuticals'!$M$14:$M$60,MATCH($E4&amp;$F4,'Malaria-Pharmaceuticals'!$E$14:$E$60&amp;'Malaria-Pharmaceuticals'!$I$14:$I$60,0)),"")</f>
        <v/>
      </c>
      <c r="I4" s="625">
        <f t="array" ref="I4">IFERROR(INDEX('Malaria-Pharmaceuticals'!$N$14:$N$60,MATCH($E4&amp;$F4,'Malaria-Pharmaceuticals'!$E$14:$E$60&amp;'Malaria-Pharmaceuticals'!$I$14:$I$60,0)),0)</f>
        <v>0</v>
      </c>
      <c r="J4" s="625">
        <f t="array" ref="J4">IFERROR(INDEX('Malaria-Pharmaceuticals'!$O$14:$O$60,MATCH($E4&amp;$F4,'Malaria-Pharmaceuticals'!$E$14:$E$60&amp;'Malaria-Pharmaceuticals'!$I$14:$I$60,0)),0)</f>
        <v>0</v>
      </c>
      <c r="K4" s="626">
        <f t="shared" ref="K4:K58" si="0">IF(ISERROR($I4*J4),0,$I4*J4)</f>
        <v>0</v>
      </c>
      <c r="L4" s="626">
        <f t="shared" ref="L4:L58" si="1">IF(C4="Upfront",J4,0)</f>
        <v>0</v>
      </c>
      <c r="M4" s="626">
        <f t="shared" ref="M4:M58" si="2">IF(C4="Upfront",K4,0)</f>
        <v>0</v>
      </c>
      <c r="N4" s="625">
        <f t="array" ref="N4">IFERROR(INDEX('Malaria-Pharmaceuticals'!$P$14:$P$60,MATCH($E4&amp;$F4,'Malaria-Pharmaceuticals'!$E$14:$E$60&amp;'Malaria-Pharmaceuticals'!$I$14:$I$60,0)),0)</f>
        <v>0</v>
      </c>
      <c r="O4" s="626">
        <f t="shared" ref="O4:O58" si="3">IF(ISERROR($I4*N4),0,$I4*N4)</f>
        <v>0</v>
      </c>
      <c r="P4" s="626">
        <f t="shared" ref="P4:P58" si="4">IF(C4="Upfront",N4,0)</f>
        <v>0</v>
      </c>
      <c r="Q4" s="626">
        <f t="shared" ref="Q4:Q58" si="5">IF(C4="Upfront",O4,0)</f>
        <v>0</v>
      </c>
      <c r="R4" s="625">
        <f t="array" ref="R4">IFERROR(INDEX('Malaria-Pharmaceuticals'!$Q$14:$Q$60,MATCH($E4&amp;$F4,'Malaria-Pharmaceuticals'!$E$14:$E$60&amp;'Malaria-Pharmaceuticals'!$I$14:$I$60,0)),0)</f>
        <v>0</v>
      </c>
      <c r="S4" s="626">
        <f t="shared" ref="S4:S58" si="6">IF(ISERROR($I4*R4),0,$I4*R4)</f>
        <v>0</v>
      </c>
      <c r="T4" s="626">
        <f t="shared" ref="T4:T58" si="7">IF(C4="Upfront",R4,IF(C4="At delivery",J4,0))</f>
        <v>0</v>
      </c>
      <c r="U4" s="626">
        <f t="shared" ref="U4:U58" si="8">IF(C4="Upfront",S4,IF(C4="At delivery",K4,0))</f>
        <v>0</v>
      </c>
      <c r="V4" s="625">
        <f t="array" ref="V4">IFERROR(INDEX('Malaria-Pharmaceuticals'!$R$14:$R$60,MATCH($E4&amp;$F4,'Malaria-Pharmaceuticals'!$E$14:$E$60&amp;'Malaria-Pharmaceuticals'!$I$14:$I$60,0)),0)</f>
        <v>0</v>
      </c>
      <c r="W4" s="626">
        <f t="shared" ref="W4:W58" si="9">IF(ISERROR($I4*V4),0,$I4*V4)</f>
        <v>0</v>
      </c>
      <c r="X4" s="626">
        <f t="shared" ref="X4:X58" si="10">IF(C4="Upfront",V4,IF(C4="At delivery",N4,0))</f>
        <v>0</v>
      </c>
      <c r="Y4" s="626">
        <f t="shared" ref="Y4:Y58" si="11">IF(C4="Upfront",W4,IF(C4="At delivery",O4,0))</f>
        <v>0</v>
      </c>
      <c r="Z4" s="627"/>
      <c r="AA4" s="625">
        <f t="array" ref="AA4">IFERROR(INDEX('Malaria-Pharmaceuticals'!$U$14:$U$60,MATCH($E4&amp;$F4,'Malaria-Pharmaceuticals'!$E$14:$E$60&amp;'Malaria-Pharmaceuticals'!$I$14:$I$60,0)),0)</f>
        <v>0</v>
      </c>
      <c r="AB4" s="625">
        <f t="array" ref="AB4">IFERROR(INDEX('Malaria-Pharmaceuticals'!$V$14:$V$60,MATCH($E4&amp;$F4,'Malaria-Pharmaceuticals'!$E$14:$E$60&amp;'Malaria-Pharmaceuticals'!$I$14:$I$60,0)),0)</f>
        <v>0</v>
      </c>
      <c r="AC4" s="625">
        <f t="shared" ref="AC4:AC58" si="12">IF(ISERROR($AA4*AB4),0,$AA4*AB4)</f>
        <v>0</v>
      </c>
      <c r="AD4" s="626">
        <f t="shared" ref="AD4:AD58" si="13">IF(C4="Upfront",AB4,IF(C4="At delivery",R4,0))</f>
        <v>0</v>
      </c>
      <c r="AE4" s="626">
        <f t="shared" ref="AE4:AE58" si="14">IF(C4="Upfront",AC4,IF(C4="At delivery",S4,0))</f>
        <v>0</v>
      </c>
      <c r="AF4" s="625">
        <f t="array" ref="AF4">IFERROR(INDEX('Malaria-Pharmaceuticals'!$W$14:$W$60,MATCH($E4&amp;$F4,'Malaria-Pharmaceuticals'!$E$14:$E$60&amp;'Malaria-Pharmaceuticals'!$I$14:$I$60,0)),0)</f>
        <v>0</v>
      </c>
      <c r="AG4" s="625">
        <f t="shared" ref="AG4:AG58" si="15">IF(ISERROR($AA4*AF4),0,$AA4*AF4)</f>
        <v>0</v>
      </c>
      <c r="AH4" s="626">
        <f t="shared" ref="AH4:AH58" si="16">IF(C4="Upfront",AF4,IF(C4="At delivery",V4,0))</f>
        <v>0</v>
      </c>
      <c r="AI4" s="626">
        <f t="shared" ref="AI4:AI58" si="17">IF(C4="Upfront",AG4,IF(C4="At delivery",W4,0))</f>
        <v>0</v>
      </c>
      <c r="AJ4" s="625">
        <f t="array" ref="AJ4">IFERROR(INDEX('Malaria-Pharmaceuticals'!$X$14:$X$60,MATCH($E4&amp;$F4,'Malaria-Pharmaceuticals'!$E$14:$E$60&amp;'Malaria-Pharmaceuticals'!$I$14:$I$60,0)),0)</f>
        <v>0</v>
      </c>
      <c r="AK4" s="625">
        <f t="shared" ref="AK4:AK58" si="18">IF(ISERROR($AA4*AJ4),0,$AA4*AJ4)</f>
        <v>0</v>
      </c>
      <c r="AL4" s="626">
        <f t="shared" ref="AL4:AL58" si="19">IF(C4="Upfront",AJ4,IF(C4="At delivery",AB4,0))</f>
        <v>0</v>
      </c>
      <c r="AM4" s="626">
        <f t="shared" ref="AM4:AM58" si="20">IF(C4="Upfront",AK4,IF(C4="At delivery",AC4,0))</f>
        <v>0</v>
      </c>
      <c r="AN4" s="625">
        <f t="array" ref="AN4">IFERROR(INDEX('Malaria-Pharmaceuticals'!$Y$14:$Y$60,MATCH($E4&amp;$F4,'Malaria-Pharmaceuticals'!$E$14:$E$60&amp;'Malaria-Pharmaceuticals'!$I$14:$I$60,0)),0)</f>
        <v>0</v>
      </c>
      <c r="AO4" s="625">
        <f t="shared" ref="AO4:AO58" si="21">IF(ISERROR($AA4*AN4),0,$AA4*AN4)</f>
        <v>0</v>
      </c>
      <c r="AP4" s="626">
        <f t="shared" ref="AP4:AP58" si="22">IF(C4="Upfront",AN4,IF(C4="At delivery",AF4,0))</f>
        <v>0</v>
      </c>
      <c r="AQ4" s="626">
        <f t="shared" ref="AQ4:AQ58" si="23">IF(C4="Upfront",AO4,IF(C4="At delivery",AG4,0))</f>
        <v>0</v>
      </c>
      <c r="AR4" s="627"/>
      <c r="AS4" s="625">
        <f t="array" ref="AS4">IFERROR(INDEX('Malaria-Pharmaceuticals'!$AB$14:$AB$60,MATCH($E4&amp;$F4,'Malaria-Pharmaceuticals'!$E$14:$E$60&amp;'Malaria-Pharmaceuticals'!$I$14:$I$60,0)),0)</f>
        <v>0</v>
      </c>
      <c r="AT4" s="625">
        <f t="array" ref="AT4">IFERROR(INDEX('Malaria-Pharmaceuticals'!$AC$14:$AC$60,MATCH($E4&amp;$F4,'Malaria-Pharmaceuticals'!$E$14:$E$60&amp;'Malaria-Pharmaceuticals'!$I$14:$I$60,0)),0)</f>
        <v>0</v>
      </c>
      <c r="AU4" s="625">
        <f t="shared" ref="AU4:AU58" si="24">IF(ISERROR($AS4*AT4),0,$AS4*AT4)</f>
        <v>0</v>
      </c>
      <c r="AV4" s="626">
        <f t="shared" ref="AV4:AV58" si="25">IF(C4="Upfront",AT4,IF(C4="At delivery",AJ4,0))</f>
        <v>0</v>
      </c>
      <c r="AW4" s="626">
        <f t="shared" ref="AW4:AW58" si="26">IF(C4="Upfront",AU4,IF(C4="At delivery",AK4,0))</f>
        <v>0</v>
      </c>
      <c r="AX4" s="625">
        <f t="array" ref="AX4">IFERROR(INDEX('Malaria-Pharmaceuticals'!$AD$14:$AD$60,MATCH($E4&amp;$F4,'Malaria-Pharmaceuticals'!$E$14:$E$60&amp;'Malaria-Pharmaceuticals'!$I$14:$I$60,0)),0)</f>
        <v>0</v>
      </c>
      <c r="AY4" s="625">
        <f t="shared" ref="AY4:AY58" si="27">IF(ISERROR($AS4*AX4),0,$AS4*AX4)</f>
        <v>0</v>
      </c>
      <c r="AZ4" s="626">
        <f t="shared" ref="AZ4:AZ58" si="28">IF(C4="Upfront",AX4,IF(C4="At delivery",AN4,0))</f>
        <v>0</v>
      </c>
      <c r="BA4" s="626">
        <f t="shared" ref="BA4:BA58" si="29">IF(C4="Upfront",AY4,IF(C4="At delivery",AO4,0))</f>
        <v>0</v>
      </c>
      <c r="BB4" s="625">
        <f t="array" ref="BB4">IFERROR(INDEX('Malaria-Pharmaceuticals'!$AE$14:$AE$60,MATCH($E4&amp;$F4,'Malaria-Pharmaceuticals'!$E$14:$E$60&amp;'Malaria-Pharmaceuticals'!$I$14:$I$60,0)),0)</f>
        <v>0</v>
      </c>
      <c r="BC4" s="625">
        <f t="shared" ref="BC4:BC58" si="30">IF(ISERROR($AS4*BB4),0,$AS4*BB4)</f>
        <v>0</v>
      </c>
      <c r="BD4" s="626">
        <f t="shared" ref="BD4:BD58" si="31">IF(C4="Upfront",BB4,IF(C4="At delivery",AT4,0))</f>
        <v>0</v>
      </c>
      <c r="BE4" s="626">
        <f t="shared" ref="BE4:BE58" si="32">IF(C4="Upfront",BC4,IF(C4="At delivery",AU4,0))</f>
        <v>0</v>
      </c>
      <c r="BF4" s="625">
        <f t="array" ref="BF4">IFERROR(INDEX('Malaria-Pharmaceuticals'!$AF$14:$AF$60,MATCH($E4&amp;$F4,'Malaria-Pharmaceuticals'!$E$14:$E$60&amp;'Malaria-Pharmaceuticals'!$I$14:$I$60,0)),0)</f>
        <v>0</v>
      </c>
      <c r="BG4" s="625">
        <f t="shared" ref="BG4:BG58" si="33">IF(ISERROR($AS4*BF4),0,$AS4*BF4)</f>
        <v>0</v>
      </c>
      <c r="BH4" s="626">
        <f t="shared" ref="BH4:BH58" si="34">IF(C4="Upfront",BF4,IF(C4="At delivery",AX4,0))</f>
        <v>0</v>
      </c>
      <c r="BI4" s="626">
        <f t="shared" ref="BI4:BI58" si="35">IF(C4="Upfront",BG4,IF(C4="At delivery",AY4,0))</f>
        <v>0</v>
      </c>
      <c r="BJ4" s="673"/>
      <c r="BK4" s="626"/>
      <c r="BL4" s="626"/>
      <c r="BM4" s="626"/>
      <c r="BN4" s="626"/>
      <c r="BO4" s="626"/>
      <c r="BP4" s="626"/>
      <c r="BQ4" s="626"/>
      <c r="BR4" s="626"/>
      <c r="BT4" s="21" t="s">
        <v>6800</v>
      </c>
    </row>
    <row r="5" spans="1:72" s="22" customFormat="1">
      <c r="A5" s="32" t="s">
        <v>576</v>
      </c>
      <c r="B5" s="32" t="s">
        <v>522</v>
      </c>
      <c r="C5" s="626">
        <f>SETUP!$F$50</f>
        <v>0</v>
      </c>
      <c r="D5" s="31">
        <v>4.3</v>
      </c>
      <c r="E5" s="32" t="s">
        <v>400</v>
      </c>
      <c r="F5" s="32" t="s">
        <v>1103</v>
      </c>
      <c r="G5" s="625" t="str">
        <f t="array" ref="G5">IFERROR(INDEX('Malaria-Pharmaceuticals'!$L$14:$L$60,MATCH($E5&amp;$F5,'Malaria-Pharmaceuticals'!$E$14:$E$60&amp;'Malaria-Pharmaceuticals'!$I$14:$I$60,0)),"")</f>
        <v/>
      </c>
      <c r="H5" s="625" t="str">
        <f t="array" ref="H5">IFERROR(INDEX('Malaria-Pharmaceuticals'!$M$14:$M$60,MATCH($E5&amp;$F5,'Malaria-Pharmaceuticals'!$E$14:$E$60&amp;'Malaria-Pharmaceuticals'!$I$14:$I$60,0)),"")</f>
        <v/>
      </c>
      <c r="I5" s="625">
        <f t="array" ref="I5">IFERROR(INDEX('Malaria-Pharmaceuticals'!$N$14:$N$60,MATCH($E5&amp;$F5,'Malaria-Pharmaceuticals'!$E$14:$E$60&amp;'Malaria-Pharmaceuticals'!$I$14:$I$60,0)),0)</f>
        <v>0</v>
      </c>
      <c r="J5" s="625">
        <f t="array" ref="J5">IFERROR(INDEX('Malaria-Pharmaceuticals'!$O$14:$O$60,MATCH($E5&amp;$F5,'Malaria-Pharmaceuticals'!$E$14:$E$60&amp;'Malaria-Pharmaceuticals'!$I$14:$I$60,0)),0)</f>
        <v>0</v>
      </c>
      <c r="K5" s="626">
        <f t="shared" si="0"/>
        <v>0</v>
      </c>
      <c r="L5" s="626">
        <f t="shared" si="1"/>
        <v>0</v>
      </c>
      <c r="M5" s="626">
        <f t="shared" si="2"/>
        <v>0</v>
      </c>
      <c r="N5" s="625">
        <f t="array" ref="N5">IFERROR(INDEX('Malaria-Pharmaceuticals'!$P$14:$P$60,MATCH($E5&amp;$F5,'Malaria-Pharmaceuticals'!$E$14:$E$60&amp;'Malaria-Pharmaceuticals'!$I$14:$I$60,0)),0)</f>
        <v>0</v>
      </c>
      <c r="O5" s="626">
        <f t="shared" si="3"/>
        <v>0</v>
      </c>
      <c r="P5" s="626">
        <f t="shared" si="4"/>
        <v>0</v>
      </c>
      <c r="Q5" s="626">
        <f t="shared" si="5"/>
        <v>0</v>
      </c>
      <c r="R5" s="625">
        <f t="array" ref="R5">IFERROR(INDEX('Malaria-Pharmaceuticals'!$Q$14:$Q$60,MATCH($E5&amp;$F5,'Malaria-Pharmaceuticals'!$E$14:$E$60&amp;'Malaria-Pharmaceuticals'!$I$14:$I$60,0)),0)</f>
        <v>0</v>
      </c>
      <c r="S5" s="626">
        <f t="shared" si="6"/>
        <v>0</v>
      </c>
      <c r="T5" s="626">
        <f t="shared" si="7"/>
        <v>0</v>
      </c>
      <c r="U5" s="626">
        <f t="shared" si="8"/>
        <v>0</v>
      </c>
      <c r="V5" s="625">
        <f t="array" ref="V5">IFERROR(INDEX('Malaria-Pharmaceuticals'!$R$14:$R$60,MATCH($E5&amp;$F5,'Malaria-Pharmaceuticals'!$E$14:$E$60&amp;'Malaria-Pharmaceuticals'!$I$14:$I$60,0)),0)</f>
        <v>0</v>
      </c>
      <c r="W5" s="626">
        <f t="shared" si="9"/>
        <v>0</v>
      </c>
      <c r="X5" s="626">
        <f t="shared" si="10"/>
        <v>0</v>
      </c>
      <c r="Y5" s="626">
        <f t="shared" si="11"/>
        <v>0</v>
      </c>
      <c r="Z5" s="627"/>
      <c r="AA5" s="625">
        <f t="array" ref="AA5">IFERROR(INDEX('Malaria-Pharmaceuticals'!$U$14:$U$60,MATCH($E5&amp;$F5,'Malaria-Pharmaceuticals'!$E$14:$E$60&amp;'Malaria-Pharmaceuticals'!$I$14:$I$60,0)),0)</f>
        <v>0</v>
      </c>
      <c r="AB5" s="625">
        <f t="array" ref="AB5">IFERROR(INDEX('Malaria-Pharmaceuticals'!$V$14:$V$60,MATCH($E5&amp;$F5,'Malaria-Pharmaceuticals'!$E$14:$E$60&amp;'Malaria-Pharmaceuticals'!$I$14:$I$60,0)),0)</f>
        <v>0</v>
      </c>
      <c r="AC5" s="625">
        <f t="shared" si="12"/>
        <v>0</v>
      </c>
      <c r="AD5" s="626">
        <f t="shared" si="13"/>
        <v>0</v>
      </c>
      <c r="AE5" s="626">
        <f t="shared" si="14"/>
        <v>0</v>
      </c>
      <c r="AF5" s="625">
        <f t="array" ref="AF5">IFERROR(INDEX('Malaria-Pharmaceuticals'!$W$14:$W$60,MATCH($E5&amp;$F5,'Malaria-Pharmaceuticals'!$E$14:$E$60&amp;'Malaria-Pharmaceuticals'!$I$14:$I$60,0)),0)</f>
        <v>0</v>
      </c>
      <c r="AG5" s="625">
        <f t="shared" si="15"/>
        <v>0</v>
      </c>
      <c r="AH5" s="626">
        <f t="shared" si="16"/>
        <v>0</v>
      </c>
      <c r="AI5" s="626">
        <f t="shared" si="17"/>
        <v>0</v>
      </c>
      <c r="AJ5" s="625">
        <f t="array" ref="AJ5">IFERROR(INDEX('Malaria-Pharmaceuticals'!$X$14:$X$60,MATCH($E5&amp;$F5,'Malaria-Pharmaceuticals'!$E$14:$E$60&amp;'Malaria-Pharmaceuticals'!$I$14:$I$60,0)),0)</f>
        <v>0</v>
      </c>
      <c r="AK5" s="625">
        <f t="shared" si="18"/>
        <v>0</v>
      </c>
      <c r="AL5" s="626">
        <f t="shared" si="19"/>
        <v>0</v>
      </c>
      <c r="AM5" s="626">
        <f t="shared" si="20"/>
        <v>0</v>
      </c>
      <c r="AN5" s="625">
        <f t="array" ref="AN5">IFERROR(INDEX('Malaria-Pharmaceuticals'!$Y$14:$Y$60,MATCH($E5&amp;$F5,'Malaria-Pharmaceuticals'!$E$14:$E$60&amp;'Malaria-Pharmaceuticals'!$I$14:$I$60,0)),0)</f>
        <v>0</v>
      </c>
      <c r="AO5" s="625">
        <f t="shared" si="21"/>
        <v>0</v>
      </c>
      <c r="AP5" s="626">
        <f t="shared" si="22"/>
        <v>0</v>
      </c>
      <c r="AQ5" s="626">
        <f t="shared" si="23"/>
        <v>0</v>
      </c>
      <c r="AR5" s="627"/>
      <c r="AS5" s="625">
        <f t="array" ref="AS5">IFERROR(INDEX('Malaria-Pharmaceuticals'!$AB$14:$AB$60,MATCH($E5&amp;$F5,'Malaria-Pharmaceuticals'!$E$14:$E$60&amp;'Malaria-Pharmaceuticals'!$I$14:$I$60,0)),0)</f>
        <v>0</v>
      </c>
      <c r="AT5" s="625">
        <f t="array" ref="AT5">IFERROR(INDEX('Malaria-Pharmaceuticals'!$AC$14:$AC$60,MATCH($E5&amp;$F5,'Malaria-Pharmaceuticals'!$E$14:$E$60&amp;'Malaria-Pharmaceuticals'!$I$14:$I$60,0)),0)</f>
        <v>0</v>
      </c>
      <c r="AU5" s="625">
        <f t="shared" si="24"/>
        <v>0</v>
      </c>
      <c r="AV5" s="626">
        <f t="shared" si="25"/>
        <v>0</v>
      </c>
      <c r="AW5" s="626">
        <f t="shared" si="26"/>
        <v>0</v>
      </c>
      <c r="AX5" s="625">
        <f t="array" ref="AX5">IFERROR(INDEX('Malaria-Pharmaceuticals'!$AD$14:$AD$60,MATCH($E5&amp;$F5,'Malaria-Pharmaceuticals'!$E$14:$E$60&amp;'Malaria-Pharmaceuticals'!$I$14:$I$60,0)),0)</f>
        <v>0</v>
      </c>
      <c r="AY5" s="625">
        <f t="shared" si="27"/>
        <v>0</v>
      </c>
      <c r="AZ5" s="626">
        <f t="shared" si="28"/>
        <v>0</v>
      </c>
      <c r="BA5" s="626">
        <f t="shared" si="29"/>
        <v>0</v>
      </c>
      <c r="BB5" s="625">
        <f t="array" ref="BB5">IFERROR(INDEX('Malaria-Pharmaceuticals'!$AE$14:$AE$60,MATCH($E5&amp;$F5,'Malaria-Pharmaceuticals'!$E$14:$E$60&amp;'Malaria-Pharmaceuticals'!$I$14:$I$60,0)),0)</f>
        <v>0</v>
      </c>
      <c r="BC5" s="625">
        <f t="shared" si="30"/>
        <v>0</v>
      </c>
      <c r="BD5" s="626">
        <f t="shared" si="31"/>
        <v>0</v>
      </c>
      <c r="BE5" s="626">
        <f t="shared" si="32"/>
        <v>0</v>
      </c>
      <c r="BF5" s="625">
        <f t="array" ref="BF5">IFERROR(INDEX('Malaria-Pharmaceuticals'!$AF$14:$AF$60,MATCH($E5&amp;$F5,'Malaria-Pharmaceuticals'!$E$14:$E$60&amp;'Malaria-Pharmaceuticals'!$I$14:$I$60,0)),0)</f>
        <v>0</v>
      </c>
      <c r="BG5" s="625">
        <f t="shared" si="33"/>
        <v>0</v>
      </c>
      <c r="BH5" s="626">
        <f t="shared" si="34"/>
        <v>0</v>
      </c>
      <c r="BI5" s="626">
        <f t="shared" si="35"/>
        <v>0</v>
      </c>
      <c r="BJ5" s="673"/>
      <c r="BK5" s="626"/>
      <c r="BL5" s="626"/>
      <c r="BM5" s="626"/>
      <c r="BN5" s="626"/>
      <c r="BO5" s="626"/>
      <c r="BP5" s="626"/>
      <c r="BQ5" s="626"/>
      <c r="BR5" s="626"/>
      <c r="BT5" s="21" t="s">
        <v>6800</v>
      </c>
    </row>
    <row r="6" spans="1:72" s="22" customFormat="1">
      <c r="A6" s="32" t="s">
        <v>576</v>
      </c>
      <c r="B6" s="32" t="s">
        <v>522</v>
      </c>
      <c r="C6" s="626">
        <f>SETUP!$F$50</f>
        <v>0</v>
      </c>
      <c r="D6" s="31">
        <v>4.3</v>
      </c>
      <c r="E6" s="32" t="s">
        <v>400</v>
      </c>
      <c r="F6" s="32" t="s">
        <v>1104</v>
      </c>
      <c r="G6" s="625" t="str">
        <f t="array" ref="G6">IFERROR(INDEX('Malaria-Pharmaceuticals'!$L$14:$L$60,MATCH($E6&amp;$F6,'Malaria-Pharmaceuticals'!$E$14:$E$60&amp;'Malaria-Pharmaceuticals'!$I$14:$I$60,0)),"")</f>
        <v/>
      </c>
      <c r="H6" s="625" t="str">
        <f t="array" ref="H6">IFERROR(INDEX('Malaria-Pharmaceuticals'!$M$14:$M$60,MATCH($E6&amp;$F6,'Malaria-Pharmaceuticals'!$E$14:$E$60&amp;'Malaria-Pharmaceuticals'!$I$14:$I$60,0)),"")</f>
        <v/>
      </c>
      <c r="I6" s="625">
        <f t="array" ref="I6">IFERROR(INDEX('Malaria-Pharmaceuticals'!$N$14:$N$60,MATCH($E6&amp;$F6,'Malaria-Pharmaceuticals'!$E$14:$E$60&amp;'Malaria-Pharmaceuticals'!$I$14:$I$60,0)),0)</f>
        <v>0</v>
      </c>
      <c r="J6" s="625">
        <f t="array" ref="J6">IFERROR(INDEX('Malaria-Pharmaceuticals'!$O$14:$O$60,MATCH($E6&amp;$F6,'Malaria-Pharmaceuticals'!$E$14:$E$60&amp;'Malaria-Pharmaceuticals'!$I$14:$I$60,0)),0)</f>
        <v>0</v>
      </c>
      <c r="K6" s="626">
        <f t="shared" si="0"/>
        <v>0</v>
      </c>
      <c r="L6" s="626">
        <f t="shared" si="1"/>
        <v>0</v>
      </c>
      <c r="M6" s="626">
        <f t="shared" si="2"/>
        <v>0</v>
      </c>
      <c r="N6" s="625">
        <f t="array" ref="N6">IFERROR(INDEX('Malaria-Pharmaceuticals'!$P$14:$P$60,MATCH($E6&amp;$F6,'Malaria-Pharmaceuticals'!$E$14:$E$60&amp;'Malaria-Pharmaceuticals'!$I$14:$I$60,0)),0)</f>
        <v>0</v>
      </c>
      <c r="O6" s="626">
        <f t="shared" si="3"/>
        <v>0</v>
      </c>
      <c r="P6" s="626">
        <f t="shared" si="4"/>
        <v>0</v>
      </c>
      <c r="Q6" s="626">
        <f t="shared" si="5"/>
        <v>0</v>
      </c>
      <c r="R6" s="625">
        <f t="array" ref="R6">IFERROR(INDEX('Malaria-Pharmaceuticals'!$Q$14:$Q$60,MATCH($E6&amp;$F6,'Malaria-Pharmaceuticals'!$E$14:$E$60&amp;'Malaria-Pharmaceuticals'!$I$14:$I$60,0)),0)</f>
        <v>0</v>
      </c>
      <c r="S6" s="626">
        <f t="shared" si="6"/>
        <v>0</v>
      </c>
      <c r="T6" s="626">
        <f t="shared" si="7"/>
        <v>0</v>
      </c>
      <c r="U6" s="626">
        <f t="shared" si="8"/>
        <v>0</v>
      </c>
      <c r="V6" s="625">
        <f t="array" ref="V6">IFERROR(INDEX('Malaria-Pharmaceuticals'!$R$14:$R$60,MATCH($E6&amp;$F6,'Malaria-Pharmaceuticals'!$E$14:$E$60&amp;'Malaria-Pharmaceuticals'!$I$14:$I$60,0)),0)</f>
        <v>0</v>
      </c>
      <c r="W6" s="626">
        <f t="shared" si="9"/>
        <v>0</v>
      </c>
      <c r="X6" s="626">
        <f t="shared" si="10"/>
        <v>0</v>
      </c>
      <c r="Y6" s="626">
        <f t="shared" si="11"/>
        <v>0</v>
      </c>
      <c r="Z6" s="627"/>
      <c r="AA6" s="625">
        <f t="array" ref="AA6">IFERROR(INDEX('Malaria-Pharmaceuticals'!$U$14:$U$60,MATCH($E6&amp;$F6,'Malaria-Pharmaceuticals'!$E$14:$E$60&amp;'Malaria-Pharmaceuticals'!$I$14:$I$60,0)),0)</f>
        <v>0</v>
      </c>
      <c r="AB6" s="625">
        <f t="array" ref="AB6">IFERROR(INDEX('Malaria-Pharmaceuticals'!$V$14:$V$60,MATCH($E6&amp;$F6,'Malaria-Pharmaceuticals'!$E$14:$E$60&amp;'Malaria-Pharmaceuticals'!$I$14:$I$60,0)),0)</f>
        <v>0</v>
      </c>
      <c r="AC6" s="625">
        <f t="shared" si="12"/>
        <v>0</v>
      </c>
      <c r="AD6" s="626">
        <f t="shared" si="13"/>
        <v>0</v>
      </c>
      <c r="AE6" s="626">
        <f t="shared" si="14"/>
        <v>0</v>
      </c>
      <c r="AF6" s="625">
        <f t="array" ref="AF6">IFERROR(INDEX('Malaria-Pharmaceuticals'!$W$14:$W$60,MATCH($E6&amp;$F6,'Malaria-Pharmaceuticals'!$E$14:$E$60&amp;'Malaria-Pharmaceuticals'!$I$14:$I$60,0)),0)</f>
        <v>0</v>
      </c>
      <c r="AG6" s="625">
        <f t="shared" si="15"/>
        <v>0</v>
      </c>
      <c r="AH6" s="626">
        <f t="shared" si="16"/>
        <v>0</v>
      </c>
      <c r="AI6" s="626">
        <f t="shared" si="17"/>
        <v>0</v>
      </c>
      <c r="AJ6" s="625">
        <f t="array" ref="AJ6">IFERROR(INDEX('Malaria-Pharmaceuticals'!$X$14:$X$60,MATCH($E6&amp;$F6,'Malaria-Pharmaceuticals'!$E$14:$E$60&amp;'Malaria-Pharmaceuticals'!$I$14:$I$60,0)),0)</f>
        <v>0</v>
      </c>
      <c r="AK6" s="625">
        <f t="shared" si="18"/>
        <v>0</v>
      </c>
      <c r="AL6" s="626">
        <f t="shared" si="19"/>
        <v>0</v>
      </c>
      <c r="AM6" s="626">
        <f t="shared" si="20"/>
        <v>0</v>
      </c>
      <c r="AN6" s="625">
        <f t="array" ref="AN6">IFERROR(INDEX('Malaria-Pharmaceuticals'!$Y$14:$Y$60,MATCH($E6&amp;$F6,'Malaria-Pharmaceuticals'!$E$14:$E$60&amp;'Malaria-Pharmaceuticals'!$I$14:$I$60,0)),0)</f>
        <v>0</v>
      </c>
      <c r="AO6" s="625">
        <f t="shared" si="21"/>
        <v>0</v>
      </c>
      <c r="AP6" s="626">
        <f t="shared" si="22"/>
        <v>0</v>
      </c>
      <c r="AQ6" s="626">
        <f t="shared" si="23"/>
        <v>0</v>
      </c>
      <c r="AR6" s="627"/>
      <c r="AS6" s="625">
        <f t="array" ref="AS6">IFERROR(INDEX('Malaria-Pharmaceuticals'!$AB$14:$AB$60,MATCH($E6&amp;$F6,'Malaria-Pharmaceuticals'!$E$14:$E$60&amp;'Malaria-Pharmaceuticals'!$I$14:$I$60,0)),0)</f>
        <v>0</v>
      </c>
      <c r="AT6" s="625">
        <f t="array" ref="AT6">IFERROR(INDEX('Malaria-Pharmaceuticals'!$AC$14:$AC$60,MATCH($E6&amp;$F6,'Malaria-Pharmaceuticals'!$E$14:$E$60&amp;'Malaria-Pharmaceuticals'!$I$14:$I$60,0)),0)</f>
        <v>0</v>
      </c>
      <c r="AU6" s="625">
        <f t="shared" si="24"/>
        <v>0</v>
      </c>
      <c r="AV6" s="626">
        <f t="shared" si="25"/>
        <v>0</v>
      </c>
      <c r="AW6" s="626">
        <f t="shared" si="26"/>
        <v>0</v>
      </c>
      <c r="AX6" s="625">
        <f t="array" ref="AX6">IFERROR(INDEX('Malaria-Pharmaceuticals'!$AD$14:$AD$60,MATCH($E6&amp;$F6,'Malaria-Pharmaceuticals'!$E$14:$E$60&amp;'Malaria-Pharmaceuticals'!$I$14:$I$60,0)),0)</f>
        <v>0</v>
      </c>
      <c r="AY6" s="625">
        <f t="shared" si="27"/>
        <v>0</v>
      </c>
      <c r="AZ6" s="626">
        <f t="shared" si="28"/>
        <v>0</v>
      </c>
      <c r="BA6" s="626">
        <f t="shared" si="29"/>
        <v>0</v>
      </c>
      <c r="BB6" s="625">
        <f t="array" ref="BB6">IFERROR(INDEX('Malaria-Pharmaceuticals'!$AE$14:$AE$60,MATCH($E6&amp;$F6,'Malaria-Pharmaceuticals'!$E$14:$E$60&amp;'Malaria-Pharmaceuticals'!$I$14:$I$60,0)),0)</f>
        <v>0</v>
      </c>
      <c r="BC6" s="625">
        <f t="shared" si="30"/>
        <v>0</v>
      </c>
      <c r="BD6" s="626">
        <f t="shared" si="31"/>
        <v>0</v>
      </c>
      <c r="BE6" s="626">
        <f t="shared" si="32"/>
        <v>0</v>
      </c>
      <c r="BF6" s="625">
        <f t="array" ref="BF6">IFERROR(INDEX('Malaria-Pharmaceuticals'!$AF$14:$AF$60,MATCH($E6&amp;$F6,'Malaria-Pharmaceuticals'!$E$14:$E$60&amp;'Malaria-Pharmaceuticals'!$I$14:$I$60,0)),0)</f>
        <v>0</v>
      </c>
      <c r="BG6" s="625">
        <f t="shared" si="33"/>
        <v>0</v>
      </c>
      <c r="BH6" s="626">
        <f t="shared" si="34"/>
        <v>0</v>
      </c>
      <c r="BI6" s="626">
        <f t="shared" si="35"/>
        <v>0</v>
      </c>
      <c r="BJ6" s="673"/>
      <c r="BK6" s="626"/>
      <c r="BL6" s="626"/>
      <c r="BM6" s="626"/>
      <c r="BN6" s="626"/>
      <c r="BO6" s="626"/>
      <c r="BP6" s="626"/>
      <c r="BQ6" s="626"/>
      <c r="BR6" s="626"/>
      <c r="BT6" s="21" t="s">
        <v>6800</v>
      </c>
    </row>
    <row r="7" spans="1:72">
      <c r="A7" s="32" t="s">
        <v>576</v>
      </c>
      <c r="B7" s="32" t="s">
        <v>522</v>
      </c>
      <c r="C7" s="626">
        <f>SETUP!$F$50</f>
        <v>0</v>
      </c>
      <c r="D7" s="31">
        <v>4.3</v>
      </c>
      <c r="E7" s="32" t="s">
        <v>400</v>
      </c>
      <c r="F7" s="32" t="s">
        <v>1105</v>
      </c>
      <c r="G7" s="625" t="str">
        <f t="array" ref="G7">IFERROR(INDEX('Malaria-Pharmaceuticals'!$L$14:$L$60,MATCH($E7&amp;$F7,'Malaria-Pharmaceuticals'!$E$14:$E$60&amp;'Malaria-Pharmaceuticals'!$I$14:$I$60,0)),"")</f>
        <v/>
      </c>
      <c r="H7" s="625" t="str">
        <f t="array" ref="H7">IFERROR(INDEX('Malaria-Pharmaceuticals'!$M$14:$M$60,MATCH($E7&amp;$F7,'Malaria-Pharmaceuticals'!$E$14:$E$60&amp;'Malaria-Pharmaceuticals'!$I$14:$I$60,0)),"")</f>
        <v/>
      </c>
      <c r="I7" s="625">
        <f t="array" ref="I7">IFERROR(INDEX('Malaria-Pharmaceuticals'!$N$14:$N$60,MATCH($E7&amp;$F7,'Malaria-Pharmaceuticals'!$E$14:$E$60&amp;'Malaria-Pharmaceuticals'!$I$14:$I$60,0)),0)</f>
        <v>0</v>
      </c>
      <c r="J7" s="625">
        <f t="array" ref="J7">IFERROR(INDEX('Malaria-Pharmaceuticals'!$O$14:$O$60,MATCH($E7&amp;$F7,'Malaria-Pharmaceuticals'!$E$14:$E$60&amp;'Malaria-Pharmaceuticals'!$I$14:$I$60,0)),0)</f>
        <v>0</v>
      </c>
      <c r="K7" s="626">
        <f t="shared" si="0"/>
        <v>0</v>
      </c>
      <c r="L7" s="626">
        <f t="shared" si="1"/>
        <v>0</v>
      </c>
      <c r="M7" s="626">
        <f t="shared" si="2"/>
        <v>0</v>
      </c>
      <c r="N7" s="625">
        <f t="array" ref="N7">IFERROR(INDEX('Malaria-Pharmaceuticals'!$P$14:$P$60,MATCH($E7&amp;$F7,'Malaria-Pharmaceuticals'!$E$14:$E$60&amp;'Malaria-Pharmaceuticals'!$I$14:$I$60,0)),0)</f>
        <v>0</v>
      </c>
      <c r="O7" s="626">
        <f t="shared" si="3"/>
        <v>0</v>
      </c>
      <c r="P7" s="626">
        <f t="shared" si="4"/>
        <v>0</v>
      </c>
      <c r="Q7" s="626">
        <f t="shared" si="5"/>
        <v>0</v>
      </c>
      <c r="R7" s="625">
        <f t="array" ref="R7">IFERROR(INDEX('Malaria-Pharmaceuticals'!$Q$14:$Q$60,MATCH($E7&amp;$F7,'Malaria-Pharmaceuticals'!$E$14:$E$60&amp;'Malaria-Pharmaceuticals'!$I$14:$I$60,0)),0)</f>
        <v>0</v>
      </c>
      <c r="S7" s="626">
        <f t="shared" si="6"/>
        <v>0</v>
      </c>
      <c r="T7" s="626">
        <f t="shared" si="7"/>
        <v>0</v>
      </c>
      <c r="U7" s="626">
        <f t="shared" si="8"/>
        <v>0</v>
      </c>
      <c r="V7" s="625">
        <f t="array" ref="V7">IFERROR(INDEX('Malaria-Pharmaceuticals'!$R$14:$R$60,MATCH($E7&amp;$F7,'Malaria-Pharmaceuticals'!$E$14:$E$60&amp;'Malaria-Pharmaceuticals'!$I$14:$I$60,0)),0)</f>
        <v>0</v>
      </c>
      <c r="W7" s="626">
        <f t="shared" si="9"/>
        <v>0</v>
      </c>
      <c r="X7" s="626">
        <f t="shared" si="10"/>
        <v>0</v>
      </c>
      <c r="Y7" s="626">
        <f t="shared" si="11"/>
        <v>0</v>
      </c>
      <c r="Z7" s="627"/>
      <c r="AA7" s="625">
        <f t="array" ref="AA7">IFERROR(INDEX('Malaria-Pharmaceuticals'!$U$14:$U$60,MATCH($E7&amp;$F7,'Malaria-Pharmaceuticals'!$E$14:$E$60&amp;'Malaria-Pharmaceuticals'!$I$14:$I$60,0)),0)</f>
        <v>0</v>
      </c>
      <c r="AB7" s="625">
        <f t="array" ref="AB7">IFERROR(INDEX('Malaria-Pharmaceuticals'!$V$14:$V$60,MATCH($E7&amp;$F7,'Malaria-Pharmaceuticals'!$E$14:$E$60&amp;'Malaria-Pharmaceuticals'!$I$14:$I$60,0)),0)</f>
        <v>0</v>
      </c>
      <c r="AC7" s="625">
        <f t="shared" si="12"/>
        <v>0</v>
      </c>
      <c r="AD7" s="626">
        <f t="shared" si="13"/>
        <v>0</v>
      </c>
      <c r="AE7" s="626">
        <f t="shared" si="14"/>
        <v>0</v>
      </c>
      <c r="AF7" s="625">
        <f t="array" ref="AF7">IFERROR(INDEX('Malaria-Pharmaceuticals'!$W$14:$W$60,MATCH($E7&amp;$F7,'Malaria-Pharmaceuticals'!$E$14:$E$60&amp;'Malaria-Pharmaceuticals'!$I$14:$I$60,0)),0)</f>
        <v>0</v>
      </c>
      <c r="AG7" s="625">
        <f t="shared" si="15"/>
        <v>0</v>
      </c>
      <c r="AH7" s="626">
        <f t="shared" si="16"/>
        <v>0</v>
      </c>
      <c r="AI7" s="626">
        <f t="shared" si="17"/>
        <v>0</v>
      </c>
      <c r="AJ7" s="625">
        <f t="array" ref="AJ7">IFERROR(INDEX('Malaria-Pharmaceuticals'!$X$14:$X$60,MATCH($E7&amp;$F7,'Malaria-Pharmaceuticals'!$E$14:$E$60&amp;'Malaria-Pharmaceuticals'!$I$14:$I$60,0)),0)</f>
        <v>0</v>
      </c>
      <c r="AK7" s="625">
        <f t="shared" si="18"/>
        <v>0</v>
      </c>
      <c r="AL7" s="626">
        <f t="shared" si="19"/>
        <v>0</v>
      </c>
      <c r="AM7" s="626">
        <f t="shared" si="20"/>
        <v>0</v>
      </c>
      <c r="AN7" s="625">
        <f t="array" ref="AN7">IFERROR(INDEX('Malaria-Pharmaceuticals'!$Y$14:$Y$60,MATCH($E7&amp;$F7,'Malaria-Pharmaceuticals'!$E$14:$E$60&amp;'Malaria-Pharmaceuticals'!$I$14:$I$60,0)),0)</f>
        <v>0</v>
      </c>
      <c r="AO7" s="625">
        <f t="shared" si="21"/>
        <v>0</v>
      </c>
      <c r="AP7" s="626">
        <f t="shared" si="22"/>
        <v>0</v>
      </c>
      <c r="AQ7" s="626">
        <f t="shared" si="23"/>
        <v>0</v>
      </c>
      <c r="AR7" s="627"/>
      <c r="AS7" s="625">
        <f t="array" ref="AS7">IFERROR(INDEX('Malaria-Pharmaceuticals'!$AB$14:$AB$60,MATCH($E7&amp;$F7,'Malaria-Pharmaceuticals'!$E$14:$E$60&amp;'Malaria-Pharmaceuticals'!$I$14:$I$60,0)),0)</f>
        <v>0</v>
      </c>
      <c r="AT7" s="625">
        <f t="array" ref="AT7">IFERROR(INDEX('Malaria-Pharmaceuticals'!$AC$14:$AC$60,MATCH($E7&amp;$F7,'Malaria-Pharmaceuticals'!$E$14:$E$60&amp;'Malaria-Pharmaceuticals'!$I$14:$I$60,0)),0)</f>
        <v>0</v>
      </c>
      <c r="AU7" s="625">
        <f t="shared" si="24"/>
        <v>0</v>
      </c>
      <c r="AV7" s="626">
        <f t="shared" si="25"/>
        <v>0</v>
      </c>
      <c r="AW7" s="626">
        <f t="shared" si="26"/>
        <v>0</v>
      </c>
      <c r="AX7" s="625">
        <f t="array" ref="AX7">IFERROR(INDEX('Malaria-Pharmaceuticals'!$AD$14:$AD$60,MATCH($E7&amp;$F7,'Malaria-Pharmaceuticals'!$E$14:$E$60&amp;'Malaria-Pharmaceuticals'!$I$14:$I$60,0)),0)</f>
        <v>0</v>
      </c>
      <c r="AY7" s="625">
        <f t="shared" si="27"/>
        <v>0</v>
      </c>
      <c r="AZ7" s="626">
        <f t="shared" si="28"/>
        <v>0</v>
      </c>
      <c r="BA7" s="626">
        <f t="shared" si="29"/>
        <v>0</v>
      </c>
      <c r="BB7" s="625">
        <f t="array" ref="BB7">IFERROR(INDEX('Malaria-Pharmaceuticals'!$AE$14:$AE$60,MATCH($E7&amp;$F7,'Malaria-Pharmaceuticals'!$E$14:$E$60&amp;'Malaria-Pharmaceuticals'!$I$14:$I$60,0)),0)</f>
        <v>0</v>
      </c>
      <c r="BC7" s="625">
        <f t="shared" si="30"/>
        <v>0</v>
      </c>
      <c r="BD7" s="626">
        <f t="shared" si="31"/>
        <v>0</v>
      </c>
      <c r="BE7" s="626">
        <f t="shared" si="32"/>
        <v>0</v>
      </c>
      <c r="BF7" s="625">
        <f t="array" ref="BF7">IFERROR(INDEX('Malaria-Pharmaceuticals'!$AF$14:$AF$60,MATCH($E7&amp;$F7,'Malaria-Pharmaceuticals'!$E$14:$E$60&amp;'Malaria-Pharmaceuticals'!$I$14:$I$60,0)),0)</f>
        <v>0</v>
      </c>
      <c r="BG7" s="625">
        <f t="shared" si="33"/>
        <v>0</v>
      </c>
      <c r="BH7" s="626">
        <f t="shared" si="34"/>
        <v>0</v>
      </c>
      <c r="BI7" s="626">
        <f t="shared" si="35"/>
        <v>0</v>
      </c>
      <c r="BK7" s="626"/>
      <c r="BL7" s="626"/>
      <c r="BM7" s="626"/>
      <c r="BN7" s="626"/>
      <c r="BO7" s="626"/>
      <c r="BP7" s="626"/>
      <c r="BQ7" s="626"/>
      <c r="BR7" s="626"/>
      <c r="BT7" s="21" t="s">
        <v>6800</v>
      </c>
    </row>
    <row r="8" spans="1:72">
      <c r="A8" s="32" t="s">
        <v>576</v>
      </c>
      <c r="B8" s="32" t="s">
        <v>522</v>
      </c>
      <c r="C8" s="626">
        <f>SETUP!$F$50</f>
        <v>0</v>
      </c>
      <c r="D8" s="31">
        <v>4.3</v>
      </c>
      <c r="E8" s="32" t="s">
        <v>1098</v>
      </c>
      <c r="F8" s="32" t="s">
        <v>1099</v>
      </c>
      <c r="G8" s="625" t="str">
        <f t="array" ref="G8">IFERROR(INDEX('Malaria-Pharmaceuticals'!$L$14:$L$60,MATCH($E8&amp;$F8,'Malaria-Pharmaceuticals'!$E$14:$E$60&amp;'Malaria-Pharmaceuticals'!$I$14:$I$60,0)),"")</f>
        <v/>
      </c>
      <c r="H8" s="625" t="str">
        <f t="array" ref="H8">IFERROR(INDEX('Malaria-Pharmaceuticals'!$M$14:$M$60,MATCH($E8&amp;$F8,'Malaria-Pharmaceuticals'!$E$14:$E$60&amp;'Malaria-Pharmaceuticals'!$I$14:$I$60,0)),"")</f>
        <v/>
      </c>
      <c r="I8" s="625">
        <f t="array" ref="I8">IFERROR(INDEX('Malaria-Pharmaceuticals'!$N$14:$N$60,MATCH($E8&amp;$F8,'Malaria-Pharmaceuticals'!$E$14:$E$60&amp;'Malaria-Pharmaceuticals'!$I$14:$I$60,0)),0)</f>
        <v>0</v>
      </c>
      <c r="J8" s="625">
        <f t="array" ref="J8">IFERROR(INDEX('Malaria-Pharmaceuticals'!$O$14:$O$60,MATCH($E8&amp;$F8,'Malaria-Pharmaceuticals'!$E$14:$E$60&amp;'Malaria-Pharmaceuticals'!$I$14:$I$60,0)),0)</f>
        <v>0</v>
      </c>
      <c r="K8" s="626">
        <f t="shared" si="0"/>
        <v>0</v>
      </c>
      <c r="L8" s="626">
        <f t="shared" si="1"/>
        <v>0</v>
      </c>
      <c r="M8" s="626">
        <f t="shared" si="2"/>
        <v>0</v>
      </c>
      <c r="N8" s="625">
        <f t="array" ref="N8">IFERROR(INDEX('Malaria-Pharmaceuticals'!$P$14:$P$60,MATCH($E8&amp;$F8,'Malaria-Pharmaceuticals'!$E$14:$E$60&amp;'Malaria-Pharmaceuticals'!$I$14:$I$60,0)),0)</f>
        <v>0</v>
      </c>
      <c r="O8" s="626">
        <f t="shared" si="3"/>
        <v>0</v>
      </c>
      <c r="P8" s="626">
        <f t="shared" si="4"/>
        <v>0</v>
      </c>
      <c r="Q8" s="626">
        <f t="shared" si="5"/>
        <v>0</v>
      </c>
      <c r="R8" s="625">
        <f t="array" ref="R8">IFERROR(INDEX('Malaria-Pharmaceuticals'!$Q$14:$Q$60,MATCH($E8&amp;$F8,'Malaria-Pharmaceuticals'!$E$14:$E$60&amp;'Malaria-Pharmaceuticals'!$I$14:$I$60,0)),0)</f>
        <v>0</v>
      </c>
      <c r="S8" s="626">
        <f t="shared" si="6"/>
        <v>0</v>
      </c>
      <c r="T8" s="626">
        <f t="shared" si="7"/>
        <v>0</v>
      </c>
      <c r="U8" s="626">
        <f t="shared" si="8"/>
        <v>0</v>
      </c>
      <c r="V8" s="625">
        <f t="array" ref="V8">IFERROR(INDEX('Malaria-Pharmaceuticals'!$R$14:$R$60,MATCH($E8&amp;$F8,'Malaria-Pharmaceuticals'!$E$14:$E$60&amp;'Malaria-Pharmaceuticals'!$I$14:$I$60,0)),0)</f>
        <v>0</v>
      </c>
      <c r="W8" s="626">
        <f t="shared" si="9"/>
        <v>0</v>
      </c>
      <c r="X8" s="626">
        <f t="shared" si="10"/>
        <v>0</v>
      </c>
      <c r="Y8" s="626">
        <f t="shared" si="11"/>
        <v>0</v>
      </c>
      <c r="Z8" s="627"/>
      <c r="AA8" s="625">
        <f t="array" ref="AA8">IFERROR(INDEX('Malaria-Pharmaceuticals'!$U$14:$U$60,MATCH($E8&amp;$F8,'Malaria-Pharmaceuticals'!$E$14:$E$60&amp;'Malaria-Pharmaceuticals'!$I$14:$I$60,0)),0)</f>
        <v>0</v>
      </c>
      <c r="AB8" s="625">
        <f t="array" ref="AB8">IFERROR(INDEX('Malaria-Pharmaceuticals'!$V$14:$V$60,MATCH($E8&amp;$F8,'Malaria-Pharmaceuticals'!$E$14:$E$60&amp;'Malaria-Pharmaceuticals'!$I$14:$I$60,0)),0)</f>
        <v>0</v>
      </c>
      <c r="AC8" s="625">
        <f t="shared" si="12"/>
        <v>0</v>
      </c>
      <c r="AD8" s="626">
        <f t="shared" si="13"/>
        <v>0</v>
      </c>
      <c r="AE8" s="626">
        <f t="shared" si="14"/>
        <v>0</v>
      </c>
      <c r="AF8" s="625">
        <f t="array" ref="AF8">IFERROR(INDEX('Malaria-Pharmaceuticals'!$W$14:$W$60,MATCH($E8&amp;$F8,'Malaria-Pharmaceuticals'!$E$14:$E$60&amp;'Malaria-Pharmaceuticals'!$I$14:$I$60,0)),0)</f>
        <v>0</v>
      </c>
      <c r="AG8" s="625">
        <f t="shared" si="15"/>
        <v>0</v>
      </c>
      <c r="AH8" s="626">
        <f t="shared" si="16"/>
        <v>0</v>
      </c>
      <c r="AI8" s="626">
        <f t="shared" si="17"/>
        <v>0</v>
      </c>
      <c r="AJ8" s="625">
        <f t="array" ref="AJ8">IFERROR(INDEX('Malaria-Pharmaceuticals'!$X$14:$X$60,MATCH($E8&amp;$F8,'Malaria-Pharmaceuticals'!$E$14:$E$60&amp;'Malaria-Pharmaceuticals'!$I$14:$I$60,0)),0)</f>
        <v>0</v>
      </c>
      <c r="AK8" s="625">
        <f t="shared" si="18"/>
        <v>0</v>
      </c>
      <c r="AL8" s="626">
        <f t="shared" si="19"/>
        <v>0</v>
      </c>
      <c r="AM8" s="626">
        <f t="shared" si="20"/>
        <v>0</v>
      </c>
      <c r="AN8" s="625">
        <f t="array" ref="AN8">IFERROR(INDEX('Malaria-Pharmaceuticals'!$Y$14:$Y$60,MATCH($E8&amp;$F8,'Malaria-Pharmaceuticals'!$E$14:$E$60&amp;'Malaria-Pharmaceuticals'!$I$14:$I$60,0)),0)</f>
        <v>0</v>
      </c>
      <c r="AO8" s="625">
        <f t="shared" si="21"/>
        <v>0</v>
      </c>
      <c r="AP8" s="626">
        <f t="shared" si="22"/>
        <v>0</v>
      </c>
      <c r="AQ8" s="626">
        <f t="shared" si="23"/>
        <v>0</v>
      </c>
      <c r="AR8" s="627"/>
      <c r="AS8" s="625">
        <f t="array" ref="AS8">IFERROR(INDEX('Malaria-Pharmaceuticals'!$AB$14:$AB$60,MATCH($E8&amp;$F8,'Malaria-Pharmaceuticals'!$E$14:$E$60&amp;'Malaria-Pharmaceuticals'!$I$14:$I$60,0)),0)</f>
        <v>0</v>
      </c>
      <c r="AT8" s="625">
        <f t="array" ref="AT8">IFERROR(INDEX('Malaria-Pharmaceuticals'!$AC$14:$AC$60,MATCH($E8&amp;$F8,'Malaria-Pharmaceuticals'!$E$14:$E$60&amp;'Malaria-Pharmaceuticals'!$I$14:$I$60,0)),0)</f>
        <v>0</v>
      </c>
      <c r="AU8" s="625">
        <f t="shared" si="24"/>
        <v>0</v>
      </c>
      <c r="AV8" s="626">
        <f t="shared" si="25"/>
        <v>0</v>
      </c>
      <c r="AW8" s="626">
        <f t="shared" si="26"/>
        <v>0</v>
      </c>
      <c r="AX8" s="625">
        <f t="array" ref="AX8">IFERROR(INDEX('Malaria-Pharmaceuticals'!$AD$14:$AD$60,MATCH($E8&amp;$F8,'Malaria-Pharmaceuticals'!$E$14:$E$60&amp;'Malaria-Pharmaceuticals'!$I$14:$I$60,0)),0)</f>
        <v>0</v>
      </c>
      <c r="AY8" s="625">
        <f t="shared" si="27"/>
        <v>0</v>
      </c>
      <c r="AZ8" s="626">
        <f t="shared" si="28"/>
        <v>0</v>
      </c>
      <c r="BA8" s="626">
        <f t="shared" si="29"/>
        <v>0</v>
      </c>
      <c r="BB8" s="625">
        <f t="array" ref="BB8">IFERROR(INDEX('Malaria-Pharmaceuticals'!$AE$14:$AE$60,MATCH($E8&amp;$F8,'Malaria-Pharmaceuticals'!$E$14:$E$60&amp;'Malaria-Pharmaceuticals'!$I$14:$I$60,0)),0)</f>
        <v>0</v>
      </c>
      <c r="BC8" s="625">
        <f t="shared" si="30"/>
        <v>0</v>
      </c>
      <c r="BD8" s="626">
        <f t="shared" si="31"/>
        <v>0</v>
      </c>
      <c r="BE8" s="626">
        <f t="shared" si="32"/>
        <v>0</v>
      </c>
      <c r="BF8" s="625">
        <f t="array" ref="BF8">IFERROR(INDEX('Malaria-Pharmaceuticals'!$AF$14:$AF$60,MATCH($E8&amp;$F8,'Malaria-Pharmaceuticals'!$E$14:$E$60&amp;'Malaria-Pharmaceuticals'!$I$14:$I$60,0)),0)</f>
        <v>0</v>
      </c>
      <c r="BG8" s="625">
        <f t="shared" si="33"/>
        <v>0</v>
      </c>
      <c r="BH8" s="626">
        <f t="shared" si="34"/>
        <v>0</v>
      </c>
      <c r="BI8" s="626">
        <f t="shared" si="35"/>
        <v>0</v>
      </c>
      <c r="BK8" s="626"/>
      <c r="BL8" s="626"/>
      <c r="BM8" s="626"/>
      <c r="BN8" s="626"/>
      <c r="BO8" s="626"/>
      <c r="BP8" s="626"/>
      <c r="BQ8" s="626"/>
      <c r="BR8" s="626"/>
      <c r="BT8" s="21" t="s">
        <v>6801</v>
      </c>
    </row>
    <row r="9" spans="1:72">
      <c r="A9" s="32" t="s">
        <v>576</v>
      </c>
      <c r="B9" s="32" t="s">
        <v>522</v>
      </c>
      <c r="C9" s="626">
        <f>SETUP!$F$50</f>
        <v>0</v>
      </c>
      <c r="D9" s="31">
        <v>4.3</v>
      </c>
      <c r="E9" s="32" t="s">
        <v>386</v>
      </c>
      <c r="F9" s="32" t="s">
        <v>1106</v>
      </c>
      <c r="G9" s="625" t="str">
        <f t="array" ref="G9">IFERROR(INDEX('Malaria-Pharmaceuticals'!$L$14:$L$60,MATCH($E9&amp;$F9,'Malaria-Pharmaceuticals'!$E$14:$E$60&amp;'Malaria-Pharmaceuticals'!$I$14:$I$60,0)),"")</f>
        <v/>
      </c>
      <c r="H9" s="625" t="str">
        <f t="array" ref="H9">IFERROR(INDEX('Malaria-Pharmaceuticals'!$M$14:$M$60,MATCH($E9&amp;$F9,'Malaria-Pharmaceuticals'!$E$14:$E$60&amp;'Malaria-Pharmaceuticals'!$I$14:$I$60,0)),"")</f>
        <v/>
      </c>
      <c r="I9" s="625">
        <f t="array" ref="I9">IFERROR(INDEX('Malaria-Pharmaceuticals'!$N$14:$N$60,MATCH($E9&amp;$F9,'Malaria-Pharmaceuticals'!$E$14:$E$60&amp;'Malaria-Pharmaceuticals'!$I$14:$I$60,0)),0)</f>
        <v>0</v>
      </c>
      <c r="J9" s="625">
        <f t="array" ref="J9">IFERROR(INDEX('Malaria-Pharmaceuticals'!$O$14:$O$60,MATCH($E9&amp;$F9,'Malaria-Pharmaceuticals'!$E$14:$E$60&amp;'Malaria-Pharmaceuticals'!$I$14:$I$60,0)),0)</f>
        <v>0</v>
      </c>
      <c r="K9" s="626">
        <f t="shared" si="0"/>
        <v>0</v>
      </c>
      <c r="L9" s="626">
        <f t="shared" si="1"/>
        <v>0</v>
      </c>
      <c r="M9" s="626">
        <f t="shared" si="2"/>
        <v>0</v>
      </c>
      <c r="N9" s="625">
        <f t="array" ref="N9">IFERROR(INDEX('Malaria-Pharmaceuticals'!$P$14:$P$60,MATCH($E9&amp;$F9,'Malaria-Pharmaceuticals'!$E$14:$E$60&amp;'Malaria-Pharmaceuticals'!$I$14:$I$60,0)),0)</f>
        <v>0</v>
      </c>
      <c r="O9" s="626">
        <f t="shared" si="3"/>
        <v>0</v>
      </c>
      <c r="P9" s="626">
        <f t="shared" si="4"/>
        <v>0</v>
      </c>
      <c r="Q9" s="626">
        <f t="shared" si="5"/>
        <v>0</v>
      </c>
      <c r="R9" s="625">
        <f t="array" ref="R9">IFERROR(INDEX('Malaria-Pharmaceuticals'!$Q$14:$Q$60,MATCH($E9&amp;$F9,'Malaria-Pharmaceuticals'!$E$14:$E$60&amp;'Malaria-Pharmaceuticals'!$I$14:$I$60,0)),0)</f>
        <v>0</v>
      </c>
      <c r="S9" s="626">
        <f t="shared" si="6"/>
        <v>0</v>
      </c>
      <c r="T9" s="626">
        <f t="shared" si="7"/>
        <v>0</v>
      </c>
      <c r="U9" s="626">
        <f t="shared" si="8"/>
        <v>0</v>
      </c>
      <c r="V9" s="625">
        <f t="array" ref="V9">IFERROR(INDEX('Malaria-Pharmaceuticals'!$R$14:$R$60,MATCH($E9&amp;$F9,'Malaria-Pharmaceuticals'!$E$14:$E$60&amp;'Malaria-Pharmaceuticals'!$I$14:$I$60,0)),0)</f>
        <v>0</v>
      </c>
      <c r="W9" s="626">
        <f t="shared" si="9"/>
        <v>0</v>
      </c>
      <c r="X9" s="626">
        <f t="shared" si="10"/>
        <v>0</v>
      </c>
      <c r="Y9" s="626">
        <f t="shared" si="11"/>
        <v>0</v>
      </c>
      <c r="Z9" s="627"/>
      <c r="AA9" s="625">
        <f t="array" ref="AA9">IFERROR(INDEX('Malaria-Pharmaceuticals'!$U$14:$U$60,MATCH($E9&amp;$F9,'Malaria-Pharmaceuticals'!$E$14:$E$60&amp;'Malaria-Pharmaceuticals'!$I$14:$I$60,0)),0)</f>
        <v>0</v>
      </c>
      <c r="AB9" s="625">
        <f t="array" ref="AB9">IFERROR(INDEX('Malaria-Pharmaceuticals'!$V$14:$V$60,MATCH($E9&amp;$F9,'Malaria-Pharmaceuticals'!$E$14:$E$60&amp;'Malaria-Pharmaceuticals'!$I$14:$I$60,0)),0)</f>
        <v>0</v>
      </c>
      <c r="AC9" s="625">
        <f t="shared" si="12"/>
        <v>0</v>
      </c>
      <c r="AD9" s="626">
        <f t="shared" si="13"/>
        <v>0</v>
      </c>
      <c r="AE9" s="626">
        <f t="shared" si="14"/>
        <v>0</v>
      </c>
      <c r="AF9" s="625">
        <f t="array" ref="AF9">IFERROR(INDEX('Malaria-Pharmaceuticals'!$W$14:$W$60,MATCH($E9&amp;$F9,'Malaria-Pharmaceuticals'!$E$14:$E$60&amp;'Malaria-Pharmaceuticals'!$I$14:$I$60,0)),0)</f>
        <v>0</v>
      </c>
      <c r="AG9" s="625">
        <f t="shared" si="15"/>
        <v>0</v>
      </c>
      <c r="AH9" s="626">
        <f t="shared" si="16"/>
        <v>0</v>
      </c>
      <c r="AI9" s="626">
        <f t="shared" si="17"/>
        <v>0</v>
      </c>
      <c r="AJ9" s="625">
        <f t="array" ref="AJ9">IFERROR(INDEX('Malaria-Pharmaceuticals'!$X$14:$X$60,MATCH($E9&amp;$F9,'Malaria-Pharmaceuticals'!$E$14:$E$60&amp;'Malaria-Pharmaceuticals'!$I$14:$I$60,0)),0)</f>
        <v>0</v>
      </c>
      <c r="AK9" s="625">
        <f t="shared" si="18"/>
        <v>0</v>
      </c>
      <c r="AL9" s="626">
        <f t="shared" si="19"/>
        <v>0</v>
      </c>
      <c r="AM9" s="626">
        <f t="shared" si="20"/>
        <v>0</v>
      </c>
      <c r="AN9" s="625">
        <f t="array" ref="AN9">IFERROR(INDEX('Malaria-Pharmaceuticals'!$Y$14:$Y$60,MATCH($E9&amp;$F9,'Malaria-Pharmaceuticals'!$E$14:$E$60&amp;'Malaria-Pharmaceuticals'!$I$14:$I$60,0)),0)</f>
        <v>0</v>
      </c>
      <c r="AO9" s="625">
        <f t="shared" si="21"/>
        <v>0</v>
      </c>
      <c r="AP9" s="626">
        <f t="shared" si="22"/>
        <v>0</v>
      </c>
      <c r="AQ9" s="626">
        <f t="shared" si="23"/>
        <v>0</v>
      </c>
      <c r="AR9" s="627"/>
      <c r="AS9" s="625">
        <f t="array" ref="AS9">IFERROR(INDEX('Malaria-Pharmaceuticals'!$AB$14:$AB$60,MATCH($E9&amp;$F9,'Malaria-Pharmaceuticals'!$E$14:$E$60&amp;'Malaria-Pharmaceuticals'!$I$14:$I$60,0)),0)</f>
        <v>0</v>
      </c>
      <c r="AT9" s="625">
        <f t="array" ref="AT9">IFERROR(INDEX('Malaria-Pharmaceuticals'!$AC$14:$AC$60,MATCH($E9&amp;$F9,'Malaria-Pharmaceuticals'!$E$14:$E$60&amp;'Malaria-Pharmaceuticals'!$I$14:$I$60,0)),0)</f>
        <v>0</v>
      </c>
      <c r="AU9" s="625">
        <f t="shared" si="24"/>
        <v>0</v>
      </c>
      <c r="AV9" s="626">
        <f t="shared" si="25"/>
        <v>0</v>
      </c>
      <c r="AW9" s="626">
        <f t="shared" si="26"/>
        <v>0</v>
      </c>
      <c r="AX9" s="625">
        <f t="array" ref="AX9">IFERROR(INDEX('Malaria-Pharmaceuticals'!$AD$14:$AD$60,MATCH($E9&amp;$F9,'Malaria-Pharmaceuticals'!$E$14:$E$60&amp;'Malaria-Pharmaceuticals'!$I$14:$I$60,0)),0)</f>
        <v>0</v>
      </c>
      <c r="AY9" s="625">
        <f t="shared" si="27"/>
        <v>0</v>
      </c>
      <c r="AZ9" s="626">
        <f t="shared" si="28"/>
        <v>0</v>
      </c>
      <c r="BA9" s="626">
        <f t="shared" si="29"/>
        <v>0</v>
      </c>
      <c r="BB9" s="625">
        <f t="array" ref="BB9">IFERROR(INDEX('Malaria-Pharmaceuticals'!$AE$14:$AE$60,MATCH($E9&amp;$F9,'Malaria-Pharmaceuticals'!$E$14:$E$60&amp;'Malaria-Pharmaceuticals'!$I$14:$I$60,0)),0)</f>
        <v>0</v>
      </c>
      <c r="BC9" s="625">
        <f t="shared" si="30"/>
        <v>0</v>
      </c>
      <c r="BD9" s="626">
        <f t="shared" si="31"/>
        <v>0</v>
      </c>
      <c r="BE9" s="626">
        <f t="shared" si="32"/>
        <v>0</v>
      </c>
      <c r="BF9" s="625">
        <f t="array" ref="BF9">IFERROR(INDEX('Malaria-Pharmaceuticals'!$AF$14:$AF$60,MATCH($E9&amp;$F9,'Malaria-Pharmaceuticals'!$E$14:$E$60&amp;'Malaria-Pharmaceuticals'!$I$14:$I$60,0)),0)</f>
        <v>0</v>
      </c>
      <c r="BG9" s="625">
        <f t="shared" si="33"/>
        <v>0</v>
      </c>
      <c r="BH9" s="626">
        <f t="shared" si="34"/>
        <v>0</v>
      </c>
      <c r="BI9" s="626">
        <f t="shared" si="35"/>
        <v>0</v>
      </c>
      <c r="BK9" s="626"/>
      <c r="BL9" s="626"/>
      <c r="BM9" s="626"/>
      <c r="BN9" s="626"/>
      <c r="BO9" s="626"/>
      <c r="BP9" s="626"/>
      <c r="BQ9" s="626"/>
      <c r="BR9" s="626"/>
      <c r="BT9" s="21" t="s">
        <v>6802</v>
      </c>
    </row>
    <row r="10" spans="1:72">
      <c r="A10" s="32" t="s">
        <v>576</v>
      </c>
      <c r="B10" s="32" t="s">
        <v>522</v>
      </c>
      <c r="C10" s="626">
        <f>SETUP!$F$50</f>
        <v>0</v>
      </c>
      <c r="D10" s="31">
        <v>4.3</v>
      </c>
      <c r="E10" s="32" t="s">
        <v>386</v>
      </c>
      <c r="F10" s="32" t="s">
        <v>1107</v>
      </c>
      <c r="G10" s="625" t="str">
        <f t="array" ref="G10">IFERROR(INDEX('Malaria-Pharmaceuticals'!$L$14:$L$60,MATCH($E10&amp;$F10,'Malaria-Pharmaceuticals'!$E$14:$E$60&amp;'Malaria-Pharmaceuticals'!$I$14:$I$60,0)),"")</f>
        <v/>
      </c>
      <c r="H10" s="625" t="str">
        <f t="array" ref="H10">IFERROR(INDEX('Malaria-Pharmaceuticals'!$M$14:$M$60,MATCH($E10&amp;$F10,'Malaria-Pharmaceuticals'!$E$14:$E$60&amp;'Malaria-Pharmaceuticals'!$I$14:$I$60,0)),"")</f>
        <v/>
      </c>
      <c r="I10" s="625">
        <f t="array" ref="I10">IFERROR(INDEX('Malaria-Pharmaceuticals'!$N$14:$N$60,MATCH($E10&amp;$F10,'Malaria-Pharmaceuticals'!$E$14:$E$60&amp;'Malaria-Pharmaceuticals'!$I$14:$I$60,0)),0)</f>
        <v>0</v>
      </c>
      <c r="J10" s="625">
        <f t="array" ref="J10">IFERROR(INDEX('Malaria-Pharmaceuticals'!$O$14:$O$60,MATCH($E10&amp;$F10,'Malaria-Pharmaceuticals'!$E$14:$E$60&amp;'Malaria-Pharmaceuticals'!$I$14:$I$60,0)),0)</f>
        <v>0</v>
      </c>
      <c r="K10" s="626">
        <f t="shared" si="0"/>
        <v>0</v>
      </c>
      <c r="L10" s="626">
        <f t="shared" si="1"/>
        <v>0</v>
      </c>
      <c r="M10" s="626">
        <f t="shared" si="2"/>
        <v>0</v>
      </c>
      <c r="N10" s="625">
        <f t="array" ref="N10">IFERROR(INDEX('Malaria-Pharmaceuticals'!$P$14:$P$60,MATCH($E10&amp;$F10,'Malaria-Pharmaceuticals'!$E$14:$E$60&amp;'Malaria-Pharmaceuticals'!$I$14:$I$60,0)),0)</f>
        <v>0</v>
      </c>
      <c r="O10" s="626">
        <f t="shared" si="3"/>
        <v>0</v>
      </c>
      <c r="P10" s="626">
        <f t="shared" si="4"/>
        <v>0</v>
      </c>
      <c r="Q10" s="626">
        <f t="shared" si="5"/>
        <v>0</v>
      </c>
      <c r="R10" s="625">
        <f t="array" ref="R10">IFERROR(INDEX('Malaria-Pharmaceuticals'!$Q$14:$Q$60,MATCH($E10&amp;$F10,'Malaria-Pharmaceuticals'!$E$14:$E$60&amp;'Malaria-Pharmaceuticals'!$I$14:$I$60,0)),0)</f>
        <v>0</v>
      </c>
      <c r="S10" s="626">
        <f t="shared" si="6"/>
        <v>0</v>
      </c>
      <c r="T10" s="626">
        <f t="shared" si="7"/>
        <v>0</v>
      </c>
      <c r="U10" s="626">
        <f t="shared" si="8"/>
        <v>0</v>
      </c>
      <c r="V10" s="625">
        <f t="array" ref="V10">IFERROR(INDEX('Malaria-Pharmaceuticals'!$R$14:$R$60,MATCH($E10&amp;$F10,'Malaria-Pharmaceuticals'!$E$14:$E$60&amp;'Malaria-Pharmaceuticals'!$I$14:$I$60,0)),0)</f>
        <v>0</v>
      </c>
      <c r="W10" s="626">
        <f t="shared" si="9"/>
        <v>0</v>
      </c>
      <c r="X10" s="626">
        <f t="shared" si="10"/>
        <v>0</v>
      </c>
      <c r="Y10" s="626">
        <f t="shared" si="11"/>
        <v>0</v>
      </c>
      <c r="Z10" s="627"/>
      <c r="AA10" s="625">
        <f t="array" ref="AA10">IFERROR(INDEX('Malaria-Pharmaceuticals'!$U$14:$U$60,MATCH($E10&amp;$F10,'Malaria-Pharmaceuticals'!$E$14:$E$60&amp;'Malaria-Pharmaceuticals'!$I$14:$I$60,0)),0)</f>
        <v>0</v>
      </c>
      <c r="AB10" s="625">
        <f t="array" ref="AB10">IFERROR(INDEX('Malaria-Pharmaceuticals'!$V$14:$V$60,MATCH($E10&amp;$F10,'Malaria-Pharmaceuticals'!$E$14:$E$60&amp;'Malaria-Pharmaceuticals'!$I$14:$I$60,0)),0)</f>
        <v>0</v>
      </c>
      <c r="AC10" s="625">
        <f t="shared" si="12"/>
        <v>0</v>
      </c>
      <c r="AD10" s="626">
        <f t="shared" si="13"/>
        <v>0</v>
      </c>
      <c r="AE10" s="626">
        <f t="shared" si="14"/>
        <v>0</v>
      </c>
      <c r="AF10" s="625">
        <f t="array" ref="AF10">IFERROR(INDEX('Malaria-Pharmaceuticals'!$W$14:$W$60,MATCH($E10&amp;$F10,'Malaria-Pharmaceuticals'!$E$14:$E$60&amp;'Malaria-Pharmaceuticals'!$I$14:$I$60,0)),0)</f>
        <v>0</v>
      </c>
      <c r="AG10" s="625">
        <f t="shared" si="15"/>
        <v>0</v>
      </c>
      <c r="AH10" s="626">
        <f t="shared" si="16"/>
        <v>0</v>
      </c>
      <c r="AI10" s="626">
        <f t="shared" si="17"/>
        <v>0</v>
      </c>
      <c r="AJ10" s="625">
        <f t="array" ref="AJ10">IFERROR(INDEX('Malaria-Pharmaceuticals'!$X$14:$X$60,MATCH($E10&amp;$F10,'Malaria-Pharmaceuticals'!$E$14:$E$60&amp;'Malaria-Pharmaceuticals'!$I$14:$I$60,0)),0)</f>
        <v>0</v>
      </c>
      <c r="AK10" s="625">
        <f t="shared" si="18"/>
        <v>0</v>
      </c>
      <c r="AL10" s="626">
        <f t="shared" si="19"/>
        <v>0</v>
      </c>
      <c r="AM10" s="626">
        <f t="shared" si="20"/>
        <v>0</v>
      </c>
      <c r="AN10" s="625">
        <f t="array" ref="AN10">IFERROR(INDEX('Malaria-Pharmaceuticals'!$Y$14:$Y$60,MATCH($E10&amp;$F10,'Malaria-Pharmaceuticals'!$E$14:$E$60&amp;'Malaria-Pharmaceuticals'!$I$14:$I$60,0)),0)</f>
        <v>0</v>
      </c>
      <c r="AO10" s="625">
        <f t="shared" si="21"/>
        <v>0</v>
      </c>
      <c r="AP10" s="626">
        <f t="shared" si="22"/>
        <v>0</v>
      </c>
      <c r="AQ10" s="626">
        <f t="shared" si="23"/>
        <v>0</v>
      </c>
      <c r="AR10" s="627"/>
      <c r="AS10" s="625">
        <f t="array" ref="AS10">IFERROR(INDEX('Malaria-Pharmaceuticals'!$AB$14:$AB$60,MATCH($E10&amp;$F10,'Malaria-Pharmaceuticals'!$E$14:$E$60&amp;'Malaria-Pharmaceuticals'!$I$14:$I$60,0)),0)</f>
        <v>0</v>
      </c>
      <c r="AT10" s="625">
        <f t="array" ref="AT10">IFERROR(INDEX('Malaria-Pharmaceuticals'!$AC$14:$AC$60,MATCH($E10&amp;$F10,'Malaria-Pharmaceuticals'!$E$14:$E$60&amp;'Malaria-Pharmaceuticals'!$I$14:$I$60,0)),0)</f>
        <v>0</v>
      </c>
      <c r="AU10" s="625">
        <f t="shared" si="24"/>
        <v>0</v>
      </c>
      <c r="AV10" s="626">
        <f t="shared" si="25"/>
        <v>0</v>
      </c>
      <c r="AW10" s="626">
        <f t="shared" si="26"/>
        <v>0</v>
      </c>
      <c r="AX10" s="625">
        <f t="array" ref="AX10">IFERROR(INDEX('Malaria-Pharmaceuticals'!$AD$14:$AD$60,MATCH($E10&amp;$F10,'Malaria-Pharmaceuticals'!$E$14:$E$60&amp;'Malaria-Pharmaceuticals'!$I$14:$I$60,0)),0)</f>
        <v>0</v>
      </c>
      <c r="AY10" s="625">
        <f t="shared" si="27"/>
        <v>0</v>
      </c>
      <c r="AZ10" s="626">
        <f t="shared" si="28"/>
        <v>0</v>
      </c>
      <c r="BA10" s="626">
        <f t="shared" si="29"/>
        <v>0</v>
      </c>
      <c r="BB10" s="625">
        <f t="array" ref="BB10">IFERROR(INDEX('Malaria-Pharmaceuticals'!$AE$14:$AE$60,MATCH($E10&amp;$F10,'Malaria-Pharmaceuticals'!$E$14:$E$60&amp;'Malaria-Pharmaceuticals'!$I$14:$I$60,0)),0)</f>
        <v>0</v>
      </c>
      <c r="BC10" s="625">
        <f t="shared" si="30"/>
        <v>0</v>
      </c>
      <c r="BD10" s="626">
        <f t="shared" si="31"/>
        <v>0</v>
      </c>
      <c r="BE10" s="626">
        <f t="shared" si="32"/>
        <v>0</v>
      </c>
      <c r="BF10" s="625">
        <f t="array" ref="BF10">IFERROR(INDEX('Malaria-Pharmaceuticals'!$AF$14:$AF$60,MATCH($E10&amp;$F10,'Malaria-Pharmaceuticals'!$E$14:$E$60&amp;'Malaria-Pharmaceuticals'!$I$14:$I$60,0)),0)</f>
        <v>0</v>
      </c>
      <c r="BG10" s="625">
        <f t="shared" si="33"/>
        <v>0</v>
      </c>
      <c r="BH10" s="626">
        <f t="shared" si="34"/>
        <v>0</v>
      </c>
      <c r="BI10" s="626">
        <f t="shared" si="35"/>
        <v>0</v>
      </c>
      <c r="BK10" s="626"/>
      <c r="BL10" s="626"/>
      <c r="BM10" s="626"/>
      <c r="BN10" s="626"/>
      <c r="BO10" s="626"/>
      <c r="BP10" s="626"/>
      <c r="BQ10" s="626"/>
      <c r="BR10" s="626"/>
      <c r="BT10" s="21" t="s">
        <v>6802</v>
      </c>
    </row>
    <row r="11" spans="1:72">
      <c r="A11" s="32" t="s">
        <v>576</v>
      </c>
      <c r="B11" s="32" t="s">
        <v>522</v>
      </c>
      <c r="C11" s="626">
        <f>SETUP!$F$50</f>
        <v>0</v>
      </c>
      <c r="D11" s="31">
        <v>4.3</v>
      </c>
      <c r="E11" s="32" t="s">
        <v>386</v>
      </c>
      <c r="F11" s="32" t="s">
        <v>1108</v>
      </c>
      <c r="G11" s="625" t="str">
        <f t="array" ref="G11">IFERROR(INDEX('Malaria-Pharmaceuticals'!$L$14:$L$60,MATCH($E11&amp;$F11,'Malaria-Pharmaceuticals'!$E$14:$E$60&amp;'Malaria-Pharmaceuticals'!$I$14:$I$60,0)),"")</f>
        <v/>
      </c>
      <c r="H11" s="625" t="str">
        <f t="array" ref="H11">IFERROR(INDEX('Malaria-Pharmaceuticals'!$M$14:$M$60,MATCH($E11&amp;$F11,'Malaria-Pharmaceuticals'!$E$14:$E$60&amp;'Malaria-Pharmaceuticals'!$I$14:$I$60,0)),"")</f>
        <v/>
      </c>
      <c r="I11" s="625">
        <f t="array" ref="I11">IFERROR(INDEX('Malaria-Pharmaceuticals'!$N$14:$N$60,MATCH($E11&amp;$F11,'Malaria-Pharmaceuticals'!$E$14:$E$60&amp;'Malaria-Pharmaceuticals'!$I$14:$I$60,0)),0)</f>
        <v>0</v>
      </c>
      <c r="J11" s="625">
        <f t="array" ref="J11">IFERROR(INDEX('Malaria-Pharmaceuticals'!$O$14:$O$60,MATCH($E11&amp;$F11,'Malaria-Pharmaceuticals'!$E$14:$E$60&amp;'Malaria-Pharmaceuticals'!$I$14:$I$60,0)),0)</f>
        <v>0</v>
      </c>
      <c r="K11" s="626">
        <f t="shared" si="0"/>
        <v>0</v>
      </c>
      <c r="L11" s="626">
        <f t="shared" si="1"/>
        <v>0</v>
      </c>
      <c r="M11" s="626">
        <f t="shared" si="2"/>
        <v>0</v>
      </c>
      <c r="N11" s="625">
        <f t="array" ref="N11">IFERROR(INDEX('Malaria-Pharmaceuticals'!$P$14:$P$60,MATCH($E11&amp;$F11,'Malaria-Pharmaceuticals'!$E$14:$E$60&amp;'Malaria-Pharmaceuticals'!$I$14:$I$60,0)),0)</f>
        <v>0</v>
      </c>
      <c r="O11" s="626">
        <f t="shared" si="3"/>
        <v>0</v>
      </c>
      <c r="P11" s="626">
        <f t="shared" si="4"/>
        <v>0</v>
      </c>
      <c r="Q11" s="626">
        <f t="shared" si="5"/>
        <v>0</v>
      </c>
      <c r="R11" s="625">
        <f t="array" ref="R11">IFERROR(INDEX('Malaria-Pharmaceuticals'!$Q$14:$Q$60,MATCH($E11&amp;$F11,'Malaria-Pharmaceuticals'!$E$14:$E$60&amp;'Malaria-Pharmaceuticals'!$I$14:$I$60,0)),0)</f>
        <v>0</v>
      </c>
      <c r="S11" s="626">
        <f t="shared" si="6"/>
        <v>0</v>
      </c>
      <c r="T11" s="626">
        <f t="shared" si="7"/>
        <v>0</v>
      </c>
      <c r="U11" s="626">
        <f t="shared" si="8"/>
        <v>0</v>
      </c>
      <c r="V11" s="625">
        <f t="array" ref="V11">IFERROR(INDEX('Malaria-Pharmaceuticals'!$R$14:$R$60,MATCH($E11&amp;$F11,'Malaria-Pharmaceuticals'!$E$14:$E$60&amp;'Malaria-Pharmaceuticals'!$I$14:$I$60,0)),0)</f>
        <v>0</v>
      </c>
      <c r="W11" s="626">
        <f t="shared" si="9"/>
        <v>0</v>
      </c>
      <c r="X11" s="626">
        <f t="shared" si="10"/>
        <v>0</v>
      </c>
      <c r="Y11" s="626">
        <f t="shared" si="11"/>
        <v>0</v>
      </c>
      <c r="Z11" s="627"/>
      <c r="AA11" s="625">
        <f t="array" ref="AA11">IFERROR(INDEX('Malaria-Pharmaceuticals'!$U$14:$U$60,MATCH($E11&amp;$F11,'Malaria-Pharmaceuticals'!$E$14:$E$60&amp;'Malaria-Pharmaceuticals'!$I$14:$I$60,0)),0)</f>
        <v>0</v>
      </c>
      <c r="AB11" s="625">
        <f t="array" ref="AB11">IFERROR(INDEX('Malaria-Pharmaceuticals'!$V$14:$V$60,MATCH($E11&amp;$F11,'Malaria-Pharmaceuticals'!$E$14:$E$60&amp;'Malaria-Pharmaceuticals'!$I$14:$I$60,0)),0)</f>
        <v>0</v>
      </c>
      <c r="AC11" s="625">
        <f t="shared" si="12"/>
        <v>0</v>
      </c>
      <c r="AD11" s="626">
        <f t="shared" si="13"/>
        <v>0</v>
      </c>
      <c r="AE11" s="626">
        <f t="shared" si="14"/>
        <v>0</v>
      </c>
      <c r="AF11" s="625">
        <f t="array" ref="AF11">IFERROR(INDEX('Malaria-Pharmaceuticals'!$W$14:$W$60,MATCH($E11&amp;$F11,'Malaria-Pharmaceuticals'!$E$14:$E$60&amp;'Malaria-Pharmaceuticals'!$I$14:$I$60,0)),0)</f>
        <v>0</v>
      </c>
      <c r="AG11" s="625">
        <f t="shared" si="15"/>
        <v>0</v>
      </c>
      <c r="AH11" s="626">
        <f t="shared" si="16"/>
        <v>0</v>
      </c>
      <c r="AI11" s="626">
        <f t="shared" si="17"/>
        <v>0</v>
      </c>
      <c r="AJ11" s="625">
        <f t="array" ref="AJ11">IFERROR(INDEX('Malaria-Pharmaceuticals'!$X$14:$X$60,MATCH($E11&amp;$F11,'Malaria-Pharmaceuticals'!$E$14:$E$60&amp;'Malaria-Pharmaceuticals'!$I$14:$I$60,0)),0)</f>
        <v>0</v>
      </c>
      <c r="AK11" s="625">
        <f t="shared" si="18"/>
        <v>0</v>
      </c>
      <c r="AL11" s="626">
        <f t="shared" si="19"/>
        <v>0</v>
      </c>
      <c r="AM11" s="626">
        <f t="shared" si="20"/>
        <v>0</v>
      </c>
      <c r="AN11" s="625">
        <f t="array" ref="AN11">IFERROR(INDEX('Malaria-Pharmaceuticals'!$Y$14:$Y$60,MATCH($E11&amp;$F11,'Malaria-Pharmaceuticals'!$E$14:$E$60&amp;'Malaria-Pharmaceuticals'!$I$14:$I$60,0)),0)</f>
        <v>0</v>
      </c>
      <c r="AO11" s="625">
        <f t="shared" si="21"/>
        <v>0</v>
      </c>
      <c r="AP11" s="626">
        <f t="shared" si="22"/>
        <v>0</v>
      </c>
      <c r="AQ11" s="626">
        <f t="shared" si="23"/>
        <v>0</v>
      </c>
      <c r="AR11" s="627"/>
      <c r="AS11" s="625">
        <f t="array" ref="AS11">IFERROR(INDEX('Malaria-Pharmaceuticals'!$AB$14:$AB$60,MATCH($E11&amp;$F11,'Malaria-Pharmaceuticals'!$E$14:$E$60&amp;'Malaria-Pharmaceuticals'!$I$14:$I$60,0)),0)</f>
        <v>0</v>
      </c>
      <c r="AT11" s="625">
        <f t="array" ref="AT11">IFERROR(INDEX('Malaria-Pharmaceuticals'!$AC$14:$AC$60,MATCH($E11&amp;$F11,'Malaria-Pharmaceuticals'!$E$14:$E$60&amp;'Malaria-Pharmaceuticals'!$I$14:$I$60,0)),0)</f>
        <v>0</v>
      </c>
      <c r="AU11" s="625">
        <f t="shared" si="24"/>
        <v>0</v>
      </c>
      <c r="AV11" s="626">
        <f t="shared" si="25"/>
        <v>0</v>
      </c>
      <c r="AW11" s="626">
        <f t="shared" si="26"/>
        <v>0</v>
      </c>
      <c r="AX11" s="625">
        <f t="array" ref="AX11">IFERROR(INDEX('Malaria-Pharmaceuticals'!$AD$14:$AD$60,MATCH($E11&amp;$F11,'Malaria-Pharmaceuticals'!$E$14:$E$60&amp;'Malaria-Pharmaceuticals'!$I$14:$I$60,0)),0)</f>
        <v>0</v>
      </c>
      <c r="AY11" s="625">
        <f t="shared" si="27"/>
        <v>0</v>
      </c>
      <c r="AZ11" s="626">
        <f t="shared" si="28"/>
        <v>0</v>
      </c>
      <c r="BA11" s="626">
        <f t="shared" si="29"/>
        <v>0</v>
      </c>
      <c r="BB11" s="625">
        <f t="array" ref="BB11">IFERROR(INDEX('Malaria-Pharmaceuticals'!$AE$14:$AE$60,MATCH($E11&amp;$F11,'Malaria-Pharmaceuticals'!$E$14:$E$60&amp;'Malaria-Pharmaceuticals'!$I$14:$I$60,0)),0)</f>
        <v>0</v>
      </c>
      <c r="BC11" s="625">
        <f t="shared" si="30"/>
        <v>0</v>
      </c>
      <c r="BD11" s="626">
        <f t="shared" si="31"/>
        <v>0</v>
      </c>
      <c r="BE11" s="626">
        <f t="shared" si="32"/>
        <v>0</v>
      </c>
      <c r="BF11" s="625">
        <f t="array" ref="BF11">IFERROR(INDEX('Malaria-Pharmaceuticals'!$AF$14:$AF$60,MATCH($E11&amp;$F11,'Malaria-Pharmaceuticals'!$E$14:$E$60&amp;'Malaria-Pharmaceuticals'!$I$14:$I$60,0)),0)</f>
        <v>0</v>
      </c>
      <c r="BG11" s="625">
        <f t="shared" si="33"/>
        <v>0</v>
      </c>
      <c r="BH11" s="626">
        <f t="shared" si="34"/>
        <v>0</v>
      </c>
      <c r="BI11" s="626">
        <f t="shared" si="35"/>
        <v>0</v>
      </c>
      <c r="BK11" s="626"/>
      <c r="BL11" s="626"/>
      <c r="BM11" s="626"/>
      <c r="BN11" s="626"/>
      <c r="BO11" s="626"/>
      <c r="BP11" s="626"/>
      <c r="BQ11" s="626"/>
      <c r="BR11" s="626"/>
      <c r="BT11" s="21" t="s">
        <v>6802</v>
      </c>
    </row>
    <row r="12" spans="1:72">
      <c r="A12" s="32" t="s">
        <v>576</v>
      </c>
      <c r="B12" s="32" t="s">
        <v>522</v>
      </c>
      <c r="C12" s="626">
        <f>SETUP!$F$50</f>
        <v>0</v>
      </c>
      <c r="D12" s="31">
        <v>4.3</v>
      </c>
      <c r="E12" s="32" t="s">
        <v>386</v>
      </c>
      <c r="F12" s="32" t="s">
        <v>1109</v>
      </c>
      <c r="G12" s="625" t="str">
        <f t="array" ref="G12">IFERROR(INDEX('Malaria-Pharmaceuticals'!$L$14:$L$60,MATCH($E12&amp;$F12,'Malaria-Pharmaceuticals'!$E$14:$E$60&amp;'Malaria-Pharmaceuticals'!$I$14:$I$60,0)),"")</f>
        <v/>
      </c>
      <c r="H12" s="625" t="str">
        <f t="array" ref="H12">IFERROR(INDEX('Malaria-Pharmaceuticals'!$M$14:$M$60,MATCH($E12&amp;$F12,'Malaria-Pharmaceuticals'!$E$14:$E$60&amp;'Malaria-Pharmaceuticals'!$I$14:$I$60,0)),"")</f>
        <v/>
      </c>
      <c r="I12" s="625">
        <f t="array" ref="I12">IFERROR(INDEX('Malaria-Pharmaceuticals'!$N$14:$N$60,MATCH($E12&amp;$F12,'Malaria-Pharmaceuticals'!$E$14:$E$60&amp;'Malaria-Pharmaceuticals'!$I$14:$I$60,0)),0)</f>
        <v>0</v>
      </c>
      <c r="J12" s="625">
        <f t="array" ref="J12">IFERROR(INDEX('Malaria-Pharmaceuticals'!$O$14:$O$60,MATCH($E12&amp;$F12,'Malaria-Pharmaceuticals'!$E$14:$E$60&amp;'Malaria-Pharmaceuticals'!$I$14:$I$60,0)),0)</f>
        <v>0</v>
      </c>
      <c r="K12" s="626">
        <f t="shared" si="0"/>
        <v>0</v>
      </c>
      <c r="L12" s="626">
        <f t="shared" si="1"/>
        <v>0</v>
      </c>
      <c r="M12" s="626">
        <f t="shared" si="2"/>
        <v>0</v>
      </c>
      <c r="N12" s="625">
        <f t="array" ref="N12">IFERROR(INDEX('Malaria-Pharmaceuticals'!$P$14:$P$60,MATCH($E12&amp;$F12,'Malaria-Pharmaceuticals'!$E$14:$E$60&amp;'Malaria-Pharmaceuticals'!$I$14:$I$60,0)),0)</f>
        <v>0</v>
      </c>
      <c r="O12" s="626">
        <f t="shared" si="3"/>
        <v>0</v>
      </c>
      <c r="P12" s="626">
        <f t="shared" si="4"/>
        <v>0</v>
      </c>
      <c r="Q12" s="626">
        <f t="shared" si="5"/>
        <v>0</v>
      </c>
      <c r="R12" s="625">
        <f t="array" ref="R12">IFERROR(INDEX('Malaria-Pharmaceuticals'!$Q$14:$Q$60,MATCH($E12&amp;$F12,'Malaria-Pharmaceuticals'!$E$14:$E$60&amp;'Malaria-Pharmaceuticals'!$I$14:$I$60,0)),0)</f>
        <v>0</v>
      </c>
      <c r="S12" s="626">
        <f t="shared" si="6"/>
        <v>0</v>
      </c>
      <c r="T12" s="626">
        <f t="shared" si="7"/>
        <v>0</v>
      </c>
      <c r="U12" s="626">
        <f t="shared" si="8"/>
        <v>0</v>
      </c>
      <c r="V12" s="625">
        <f t="array" ref="V12">IFERROR(INDEX('Malaria-Pharmaceuticals'!$R$14:$R$60,MATCH($E12&amp;$F12,'Malaria-Pharmaceuticals'!$E$14:$E$60&amp;'Malaria-Pharmaceuticals'!$I$14:$I$60,0)),0)</f>
        <v>0</v>
      </c>
      <c r="W12" s="626">
        <f t="shared" si="9"/>
        <v>0</v>
      </c>
      <c r="X12" s="626">
        <f t="shared" si="10"/>
        <v>0</v>
      </c>
      <c r="Y12" s="626">
        <f t="shared" si="11"/>
        <v>0</v>
      </c>
      <c r="Z12" s="627"/>
      <c r="AA12" s="625">
        <f t="array" ref="AA12">IFERROR(INDEX('Malaria-Pharmaceuticals'!$U$14:$U$60,MATCH($E12&amp;$F12,'Malaria-Pharmaceuticals'!$E$14:$E$60&amp;'Malaria-Pharmaceuticals'!$I$14:$I$60,0)),0)</f>
        <v>0</v>
      </c>
      <c r="AB12" s="625">
        <f t="array" ref="AB12">IFERROR(INDEX('Malaria-Pharmaceuticals'!$V$14:$V$60,MATCH($E12&amp;$F12,'Malaria-Pharmaceuticals'!$E$14:$E$60&amp;'Malaria-Pharmaceuticals'!$I$14:$I$60,0)),0)</f>
        <v>0</v>
      </c>
      <c r="AC12" s="625">
        <f t="shared" si="12"/>
        <v>0</v>
      </c>
      <c r="AD12" s="626">
        <f t="shared" si="13"/>
        <v>0</v>
      </c>
      <c r="AE12" s="626">
        <f t="shared" si="14"/>
        <v>0</v>
      </c>
      <c r="AF12" s="625">
        <f t="array" ref="AF12">IFERROR(INDEX('Malaria-Pharmaceuticals'!$W$14:$W$60,MATCH($E12&amp;$F12,'Malaria-Pharmaceuticals'!$E$14:$E$60&amp;'Malaria-Pharmaceuticals'!$I$14:$I$60,0)),0)</f>
        <v>0</v>
      </c>
      <c r="AG12" s="625">
        <f t="shared" si="15"/>
        <v>0</v>
      </c>
      <c r="AH12" s="626">
        <f t="shared" si="16"/>
        <v>0</v>
      </c>
      <c r="AI12" s="626">
        <f t="shared" si="17"/>
        <v>0</v>
      </c>
      <c r="AJ12" s="625">
        <f t="array" ref="AJ12">IFERROR(INDEX('Malaria-Pharmaceuticals'!$X$14:$X$60,MATCH($E12&amp;$F12,'Malaria-Pharmaceuticals'!$E$14:$E$60&amp;'Malaria-Pharmaceuticals'!$I$14:$I$60,0)),0)</f>
        <v>0</v>
      </c>
      <c r="AK12" s="625">
        <f t="shared" si="18"/>
        <v>0</v>
      </c>
      <c r="AL12" s="626">
        <f t="shared" si="19"/>
        <v>0</v>
      </c>
      <c r="AM12" s="626">
        <f t="shared" si="20"/>
        <v>0</v>
      </c>
      <c r="AN12" s="625">
        <f t="array" ref="AN12">IFERROR(INDEX('Malaria-Pharmaceuticals'!$Y$14:$Y$60,MATCH($E12&amp;$F12,'Malaria-Pharmaceuticals'!$E$14:$E$60&amp;'Malaria-Pharmaceuticals'!$I$14:$I$60,0)),0)</f>
        <v>0</v>
      </c>
      <c r="AO12" s="625">
        <f t="shared" si="21"/>
        <v>0</v>
      </c>
      <c r="AP12" s="626">
        <f t="shared" si="22"/>
        <v>0</v>
      </c>
      <c r="AQ12" s="626">
        <f t="shared" si="23"/>
        <v>0</v>
      </c>
      <c r="AR12" s="627"/>
      <c r="AS12" s="625">
        <f t="array" ref="AS12">IFERROR(INDEX('Malaria-Pharmaceuticals'!$AB$14:$AB$60,MATCH($E12&amp;$F12,'Malaria-Pharmaceuticals'!$E$14:$E$60&amp;'Malaria-Pharmaceuticals'!$I$14:$I$60,0)),0)</f>
        <v>0</v>
      </c>
      <c r="AT12" s="625">
        <f t="array" ref="AT12">IFERROR(INDEX('Malaria-Pharmaceuticals'!$AC$14:$AC$60,MATCH($E12&amp;$F12,'Malaria-Pharmaceuticals'!$E$14:$E$60&amp;'Malaria-Pharmaceuticals'!$I$14:$I$60,0)),0)</f>
        <v>0</v>
      </c>
      <c r="AU12" s="625">
        <f t="shared" si="24"/>
        <v>0</v>
      </c>
      <c r="AV12" s="626">
        <f t="shared" si="25"/>
        <v>0</v>
      </c>
      <c r="AW12" s="626">
        <f t="shared" si="26"/>
        <v>0</v>
      </c>
      <c r="AX12" s="625">
        <f t="array" ref="AX12">IFERROR(INDEX('Malaria-Pharmaceuticals'!$AD$14:$AD$60,MATCH($E12&amp;$F12,'Malaria-Pharmaceuticals'!$E$14:$E$60&amp;'Malaria-Pharmaceuticals'!$I$14:$I$60,0)),0)</f>
        <v>0</v>
      </c>
      <c r="AY12" s="625">
        <f t="shared" si="27"/>
        <v>0</v>
      </c>
      <c r="AZ12" s="626">
        <f t="shared" si="28"/>
        <v>0</v>
      </c>
      <c r="BA12" s="626">
        <f t="shared" si="29"/>
        <v>0</v>
      </c>
      <c r="BB12" s="625">
        <f t="array" ref="BB12">IFERROR(INDEX('Malaria-Pharmaceuticals'!$AE$14:$AE$60,MATCH($E12&amp;$F12,'Malaria-Pharmaceuticals'!$E$14:$E$60&amp;'Malaria-Pharmaceuticals'!$I$14:$I$60,0)),0)</f>
        <v>0</v>
      </c>
      <c r="BC12" s="625">
        <f t="shared" si="30"/>
        <v>0</v>
      </c>
      <c r="BD12" s="626">
        <f t="shared" si="31"/>
        <v>0</v>
      </c>
      <c r="BE12" s="626">
        <f t="shared" si="32"/>
        <v>0</v>
      </c>
      <c r="BF12" s="625">
        <f t="array" ref="BF12">IFERROR(INDEX('Malaria-Pharmaceuticals'!$AF$14:$AF$60,MATCH($E12&amp;$F12,'Malaria-Pharmaceuticals'!$E$14:$E$60&amp;'Malaria-Pharmaceuticals'!$I$14:$I$60,0)),0)</f>
        <v>0</v>
      </c>
      <c r="BG12" s="625">
        <f t="shared" si="33"/>
        <v>0</v>
      </c>
      <c r="BH12" s="626">
        <f t="shared" si="34"/>
        <v>0</v>
      </c>
      <c r="BI12" s="626">
        <f t="shared" si="35"/>
        <v>0</v>
      </c>
      <c r="BK12" s="626"/>
      <c r="BL12" s="626"/>
      <c r="BM12" s="626"/>
      <c r="BN12" s="626"/>
      <c r="BO12" s="626"/>
      <c r="BP12" s="626"/>
      <c r="BQ12" s="626"/>
      <c r="BR12" s="626"/>
      <c r="BT12" s="21" t="s">
        <v>6802</v>
      </c>
    </row>
    <row r="13" spans="1:72">
      <c r="A13" s="32" t="s">
        <v>576</v>
      </c>
      <c r="B13" s="32" t="s">
        <v>522</v>
      </c>
      <c r="C13" s="626">
        <f>SETUP!$F$50</f>
        <v>0</v>
      </c>
      <c r="D13" s="31">
        <v>4.3</v>
      </c>
      <c r="E13" s="32" t="s">
        <v>386</v>
      </c>
      <c r="F13" s="32" t="s">
        <v>1110</v>
      </c>
      <c r="G13" s="625" t="str">
        <f t="array" ref="G13">IFERROR(INDEX('Malaria-Pharmaceuticals'!$L$14:$L$60,MATCH($E13&amp;$F13,'Malaria-Pharmaceuticals'!$E$14:$E$60&amp;'Malaria-Pharmaceuticals'!$I$14:$I$60,0)),"")</f>
        <v/>
      </c>
      <c r="H13" s="625" t="str">
        <f t="array" ref="H13">IFERROR(INDEX('Malaria-Pharmaceuticals'!$M$14:$M$60,MATCH($E13&amp;$F13,'Malaria-Pharmaceuticals'!$E$14:$E$60&amp;'Malaria-Pharmaceuticals'!$I$14:$I$60,0)),"")</f>
        <v/>
      </c>
      <c r="I13" s="625">
        <f t="array" ref="I13">IFERROR(INDEX('Malaria-Pharmaceuticals'!$N$14:$N$60,MATCH($E13&amp;$F13,'Malaria-Pharmaceuticals'!$E$14:$E$60&amp;'Malaria-Pharmaceuticals'!$I$14:$I$60,0)),0)</f>
        <v>0</v>
      </c>
      <c r="J13" s="625">
        <f t="array" ref="J13">IFERROR(INDEX('Malaria-Pharmaceuticals'!$O$14:$O$60,MATCH($E13&amp;$F13,'Malaria-Pharmaceuticals'!$E$14:$E$60&amp;'Malaria-Pharmaceuticals'!$I$14:$I$60,0)),0)</f>
        <v>0</v>
      </c>
      <c r="K13" s="626">
        <f t="shared" si="0"/>
        <v>0</v>
      </c>
      <c r="L13" s="626">
        <f t="shared" si="1"/>
        <v>0</v>
      </c>
      <c r="M13" s="626">
        <f t="shared" si="2"/>
        <v>0</v>
      </c>
      <c r="N13" s="625">
        <f t="array" ref="N13">IFERROR(INDEX('Malaria-Pharmaceuticals'!$P$14:$P$60,MATCH($E13&amp;$F13,'Malaria-Pharmaceuticals'!$E$14:$E$60&amp;'Malaria-Pharmaceuticals'!$I$14:$I$60,0)),0)</f>
        <v>0</v>
      </c>
      <c r="O13" s="626">
        <f t="shared" si="3"/>
        <v>0</v>
      </c>
      <c r="P13" s="626">
        <f t="shared" si="4"/>
        <v>0</v>
      </c>
      <c r="Q13" s="626">
        <f t="shared" si="5"/>
        <v>0</v>
      </c>
      <c r="R13" s="625">
        <f t="array" ref="R13">IFERROR(INDEX('Malaria-Pharmaceuticals'!$Q$14:$Q$60,MATCH($E13&amp;$F13,'Malaria-Pharmaceuticals'!$E$14:$E$60&amp;'Malaria-Pharmaceuticals'!$I$14:$I$60,0)),0)</f>
        <v>0</v>
      </c>
      <c r="S13" s="626">
        <f t="shared" si="6"/>
        <v>0</v>
      </c>
      <c r="T13" s="626">
        <f t="shared" si="7"/>
        <v>0</v>
      </c>
      <c r="U13" s="626">
        <f t="shared" si="8"/>
        <v>0</v>
      </c>
      <c r="V13" s="625">
        <f t="array" ref="V13">IFERROR(INDEX('Malaria-Pharmaceuticals'!$R$14:$R$60,MATCH($E13&amp;$F13,'Malaria-Pharmaceuticals'!$E$14:$E$60&amp;'Malaria-Pharmaceuticals'!$I$14:$I$60,0)),0)</f>
        <v>0</v>
      </c>
      <c r="W13" s="626">
        <f t="shared" si="9"/>
        <v>0</v>
      </c>
      <c r="X13" s="626">
        <f t="shared" si="10"/>
        <v>0</v>
      </c>
      <c r="Y13" s="626">
        <f t="shared" si="11"/>
        <v>0</v>
      </c>
      <c r="Z13" s="627"/>
      <c r="AA13" s="625">
        <f t="array" ref="AA13">IFERROR(INDEX('Malaria-Pharmaceuticals'!$U$14:$U$60,MATCH($E13&amp;$F13,'Malaria-Pharmaceuticals'!$E$14:$E$60&amp;'Malaria-Pharmaceuticals'!$I$14:$I$60,0)),0)</f>
        <v>0</v>
      </c>
      <c r="AB13" s="625">
        <f t="array" ref="AB13">IFERROR(INDEX('Malaria-Pharmaceuticals'!$V$14:$V$60,MATCH($E13&amp;$F13,'Malaria-Pharmaceuticals'!$E$14:$E$60&amp;'Malaria-Pharmaceuticals'!$I$14:$I$60,0)),0)</f>
        <v>0</v>
      </c>
      <c r="AC13" s="625">
        <f t="shared" si="12"/>
        <v>0</v>
      </c>
      <c r="AD13" s="626">
        <f t="shared" si="13"/>
        <v>0</v>
      </c>
      <c r="AE13" s="626">
        <f t="shared" si="14"/>
        <v>0</v>
      </c>
      <c r="AF13" s="625">
        <f t="array" ref="AF13">IFERROR(INDEX('Malaria-Pharmaceuticals'!$W$14:$W$60,MATCH($E13&amp;$F13,'Malaria-Pharmaceuticals'!$E$14:$E$60&amp;'Malaria-Pharmaceuticals'!$I$14:$I$60,0)),0)</f>
        <v>0</v>
      </c>
      <c r="AG13" s="625">
        <f t="shared" si="15"/>
        <v>0</v>
      </c>
      <c r="AH13" s="626">
        <f t="shared" si="16"/>
        <v>0</v>
      </c>
      <c r="AI13" s="626">
        <f t="shared" si="17"/>
        <v>0</v>
      </c>
      <c r="AJ13" s="625">
        <f t="array" ref="AJ13">IFERROR(INDEX('Malaria-Pharmaceuticals'!$X$14:$X$60,MATCH($E13&amp;$F13,'Malaria-Pharmaceuticals'!$E$14:$E$60&amp;'Malaria-Pharmaceuticals'!$I$14:$I$60,0)),0)</f>
        <v>0</v>
      </c>
      <c r="AK13" s="625">
        <f t="shared" si="18"/>
        <v>0</v>
      </c>
      <c r="AL13" s="626">
        <f t="shared" si="19"/>
        <v>0</v>
      </c>
      <c r="AM13" s="626">
        <f t="shared" si="20"/>
        <v>0</v>
      </c>
      <c r="AN13" s="625">
        <f t="array" ref="AN13">IFERROR(INDEX('Malaria-Pharmaceuticals'!$Y$14:$Y$60,MATCH($E13&amp;$F13,'Malaria-Pharmaceuticals'!$E$14:$E$60&amp;'Malaria-Pharmaceuticals'!$I$14:$I$60,0)),0)</f>
        <v>0</v>
      </c>
      <c r="AO13" s="625">
        <f t="shared" si="21"/>
        <v>0</v>
      </c>
      <c r="AP13" s="626">
        <f t="shared" si="22"/>
        <v>0</v>
      </c>
      <c r="AQ13" s="626">
        <f t="shared" si="23"/>
        <v>0</v>
      </c>
      <c r="AR13" s="627"/>
      <c r="AS13" s="625">
        <f t="array" ref="AS13">IFERROR(INDEX('Malaria-Pharmaceuticals'!$AB$14:$AB$60,MATCH($E13&amp;$F13,'Malaria-Pharmaceuticals'!$E$14:$E$60&amp;'Malaria-Pharmaceuticals'!$I$14:$I$60,0)),0)</f>
        <v>0</v>
      </c>
      <c r="AT13" s="625">
        <f t="array" ref="AT13">IFERROR(INDEX('Malaria-Pharmaceuticals'!$AC$14:$AC$60,MATCH($E13&amp;$F13,'Malaria-Pharmaceuticals'!$E$14:$E$60&amp;'Malaria-Pharmaceuticals'!$I$14:$I$60,0)),0)</f>
        <v>0</v>
      </c>
      <c r="AU13" s="625">
        <f t="shared" si="24"/>
        <v>0</v>
      </c>
      <c r="AV13" s="626">
        <f t="shared" si="25"/>
        <v>0</v>
      </c>
      <c r="AW13" s="626">
        <f t="shared" si="26"/>
        <v>0</v>
      </c>
      <c r="AX13" s="625">
        <f t="array" ref="AX13">IFERROR(INDEX('Malaria-Pharmaceuticals'!$AD$14:$AD$60,MATCH($E13&amp;$F13,'Malaria-Pharmaceuticals'!$E$14:$E$60&amp;'Malaria-Pharmaceuticals'!$I$14:$I$60,0)),0)</f>
        <v>0</v>
      </c>
      <c r="AY13" s="625">
        <f t="shared" si="27"/>
        <v>0</v>
      </c>
      <c r="AZ13" s="626">
        <f t="shared" si="28"/>
        <v>0</v>
      </c>
      <c r="BA13" s="626">
        <f t="shared" si="29"/>
        <v>0</v>
      </c>
      <c r="BB13" s="625">
        <f t="array" ref="BB13">IFERROR(INDEX('Malaria-Pharmaceuticals'!$AE$14:$AE$60,MATCH($E13&amp;$F13,'Malaria-Pharmaceuticals'!$E$14:$E$60&amp;'Malaria-Pharmaceuticals'!$I$14:$I$60,0)),0)</f>
        <v>0</v>
      </c>
      <c r="BC13" s="625">
        <f t="shared" si="30"/>
        <v>0</v>
      </c>
      <c r="BD13" s="626">
        <f t="shared" si="31"/>
        <v>0</v>
      </c>
      <c r="BE13" s="626">
        <f t="shared" si="32"/>
        <v>0</v>
      </c>
      <c r="BF13" s="625">
        <f t="array" ref="BF13">IFERROR(INDEX('Malaria-Pharmaceuticals'!$AF$14:$AF$60,MATCH($E13&amp;$F13,'Malaria-Pharmaceuticals'!$E$14:$E$60&amp;'Malaria-Pharmaceuticals'!$I$14:$I$60,0)),0)</f>
        <v>0</v>
      </c>
      <c r="BG13" s="625">
        <f t="shared" si="33"/>
        <v>0</v>
      </c>
      <c r="BH13" s="626">
        <f t="shared" si="34"/>
        <v>0</v>
      </c>
      <c r="BI13" s="626">
        <f t="shared" si="35"/>
        <v>0</v>
      </c>
      <c r="BK13" s="626"/>
      <c r="BL13" s="626"/>
      <c r="BM13" s="626"/>
      <c r="BN13" s="626"/>
      <c r="BO13" s="626"/>
      <c r="BP13" s="626"/>
      <c r="BQ13" s="626"/>
      <c r="BR13" s="626"/>
      <c r="BT13" s="21" t="s">
        <v>6802</v>
      </c>
    </row>
    <row r="14" spans="1:72">
      <c r="A14" s="32" t="s">
        <v>576</v>
      </c>
      <c r="B14" s="32" t="s">
        <v>522</v>
      </c>
      <c r="C14" s="626">
        <f>SETUP!$F$50</f>
        <v>0</v>
      </c>
      <c r="D14" s="31">
        <v>4.3</v>
      </c>
      <c r="E14" s="32" t="s">
        <v>386</v>
      </c>
      <c r="F14" s="32" t="s">
        <v>1111</v>
      </c>
      <c r="G14" s="625" t="str">
        <f t="array" ref="G14">IFERROR(INDEX('Malaria-Pharmaceuticals'!$L$14:$L$60,MATCH($E14&amp;$F14,'Malaria-Pharmaceuticals'!$E$14:$E$60&amp;'Malaria-Pharmaceuticals'!$I$14:$I$60,0)),"")</f>
        <v/>
      </c>
      <c r="H14" s="625" t="str">
        <f t="array" ref="H14">IFERROR(INDEX('Malaria-Pharmaceuticals'!$M$14:$M$60,MATCH($E14&amp;$F14,'Malaria-Pharmaceuticals'!$E$14:$E$60&amp;'Malaria-Pharmaceuticals'!$I$14:$I$60,0)),"")</f>
        <v/>
      </c>
      <c r="I14" s="625">
        <f t="array" ref="I14">IFERROR(INDEX('Malaria-Pharmaceuticals'!$N$14:$N$60,MATCH($E14&amp;$F14,'Malaria-Pharmaceuticals'!$E$14:$E$60&amp;'Malaria-Pharmaceuticals'!$I$14:$I$60,0)),0)</f>
        <v>0</v>
      </c>
      <c r="J14" s="625">
        <f t="array" ref="J14">IFERROR(INDEX('Malaria-Pharmaceuticals'!$O$14:$O$60,MATCH($E14&amp;$F14,'Malaria-Pharmaceuticals'!$E$14:$E$60&amp;'Malaria-Pharmaceuticals'!$I$14:$I$60,0)),0)</f>
        <v>0</v>
      </c>
      <c r="K14" s="626">
        <f t="shared" si="0"/>
        <v>0</v>
      </c>
      <c r="L14" s="626">
        <f t="shared" si="1"/>
        <v>0</v>
      </c>
      <c r="M14" s="626">
        <f t="shared" si="2"/>
        <v>0</v>
      </c>
      <c r="N14" s="625">
        <f t="array" ref="N14">IFERROR(INDEX('Malaria-Pharmaceuticals'!$P$14:$P$60,MATCH($E14&amp;$F14,'Malaria-Pharmaceuticals'!$E$14:$E$60&amp;'Malaria-Pharmaceuticals'!$I$14:$I$60,0)),0)</f>
        <v>0</v>
      </c>
      <c r="O14" s="626">
        <f t="shared" si="3"/>
        <v>0</v>
      </c>
      <c r="P14" s="626">
        <f t="shared" si="4"/>
        <v>0</v>
      </c>
      <c r="Q14" s="626">
        <f t="shared" si="5"/>
        <v>0</v>
      </c>
      <c r="R14" s="625">
        <f t="array" ref="R14">IFERROR(INDEX('Malaria-Pharmaceuticals'!$Q$14:$Q$60,MATCH($E14&amp;$F14,'Malaria-Pharmaceuticals'!$E$14:$E$60&amp;'Malaria-Pharmaceuticals'!$I$14:$I$60,0)),0)</f>
        <v>0</v>
      </c>
      <c r="S14" s="626">
        <f t="shared" si="6"/>
        <v>0</v>
      </c>
      <c r="T14" s="626">
        <f t="shared" si="7"/>
        <v>0</v>
      </c>
      <c r="U14" s="626">
        <f t="shared" si="8"/>
        <v>0</v>
      </c>
      <c r="V14" s="625">
        <f t="array" ref="V14">IFERROR(INDEX('Malaria-Pharmaceuticals'!$R$14:$R$60,MATCH($E14&amp;$F14,'Malaria-Pharmaceuticals'!$E$14:$E$60&amp;'Malaria-Pharmaceuticals'!$I$14:$I$60,0)),0)</f>
        <v>0</v>
      </c>
      <c r="W14" s="626">
        <f t="shared" si="9"/>
        <v>0</v>
      </c>
      <c r="X14" s="626">
        <f t="shared" si="10"/>
        <v>0</v>
      </c>
      <c r="Y14" s="626">
        <f t="shared" si="11"/>
        <v>0</v>
      </c>
      <c r="Z14" s="627"/>
      <c r="AA14" s="625">
        <f t="array" ref="AA14">IFERROR(INDEX('Malaria-Pharmaceuticals'!$U$14:$U$60,MATCH($E14&amp;$F14,'Malaria-Pharmaceuticals'!$E$14:$E$60&amp;'Malaria-Pharmaceuticals'!$I$14:$I$60,0)),0)</f>
        <v>0</v>
      </c>
      <c r="AB14" s="625">
        <f t="array" ref="AB14">IFERROR(INDEX('Malaria-Pharmaceuticals'!$V$14:$V$60,MATCH($E14&amp;$F14,'Malaria-Pharmaceuticals'!$E$14:$E$60&amp;'Malaria-Pharmaceuticals'!$I$14:$I$60,0)),0)</f>
        <v>0</v>
      </c>
      <c r="AC14" s="625">
        <f t="shared" si="12"/>
        <v>0</v>
      </c>
      <c r="AD14" s="626">
        <f t="shared" si="13"/>
        <v>0</v>
      </c>
      <c r="AE14" s="626">
        <f t="shared" si="14"/>
        <v>0</v>
      </c>
      <c r="AF14" s="625">
        <f t="array" ref="AF14">IFERROR(INDEX('Malaria-Pharmaceuticals'!$W$14:$W$60,MATCH($E14&amp;$F14,'Malaria-Pharmaceuticals'!$E$14:$E$60&amp;'Malaria-Pharmaceuticals'!$I$14:$I$60,0)),0)</f>
        <v>0</v>
      </c>
      <c r="AG14" s="625">
        <f t="shared" si="15"/>
        <v>0</v>
      </c>
      <c r="AH14" s="626">
        <f t="shared" si="16"/>
        <v>0</v>
      </c>
      <c r="AI14" s="626">
        <f t="shared" si="17"/>
        <v>0</v>
      </c>
      <c r="AJ14" s="625">
        <f t="array" ref="AJ14">IFERROR(INDEX('Malaria-Pharmaceuticals'!$X$14:$X$60,MATCH($E14&amp;$F14,'Malaria-Pharmaceuticals'!$E$14:$E$60&amp;'Malaria-Pharmaceuticals'!$I$14:$I$60,0)),0)</f>
        <v>0</v>
      </c>
      <c r="AK14" s="625">
        <f t="shared" si="18"/>
        <v>0</v>
      </c>
      <c r="AL14" s="626">
        <f t="shared" si="19"/>
        <v>0</v>
      </c>
      <c r="AM14" s="626">
        <f t="shared" si="20"/>
        <v>0</v>
      </c>
      <c r="AN14" s="625">
        <f t="array" ref="AN14">IFERROR(INDEX('Malaria-Pharmaceuticals'!$Y$14:$Y$60,MATCH($E14&amp;$F14,'Malaria-Pharmaceuticals'!$E$14:$E$60&amp;'Malaria-Pharmaceuticals'!$I$14:$I$60,0)),0)</f>
        <v>0</v>
      </c>
      <c r="AO14" s="625">
        <f t="shared" si="21"/>
        <v>0</v>
      </c>
      <c r="AP14" s="626">
        <f t="shared" si="22"/>
        <v>0</v>
      </c>
      <c r="AQ14" s="626">
        <f t="shared" si="23"/>
        <v>0</v>
      </c>
      <c r="AR14" s="627"/>
      <c r="AS14" s="625">
        <f t="array" ref="AS14">IFERROR(INDEX('Malaria-Pharmaceuticals'!$AB$14:$AB$60,MATCH($E14&amp;$F14,'Malaria-Pharmaceuticals'!$E$14:$E$60&amp;'Malaria-Pharmaceuticals'!$I$14:$I$60,0)),0)</f>
        <v>0</v>
      </c>
      <c r="AT14" s="625">
        <f t="array" ref="AT14">IFERROR(INDEX('Malaria-Pharmaceuticals'!$AC$14:$AC$60,MATCH($E14&amp;$F14,'Malaria-Pharmaceuticals'!$E$14:$E$60&amp;'Malaria-Pharmaceuticals'!$I$14:$I$60,0)),0)</f>
        <v>0</v>
      </c>
      <c r="AU14" s="625">
        <f t="shared" si="24"/>
        <v>0</v>
      </c>
      <c r="AV14" s="626">
        <f t="shared" si="25"/>
        <v>0</v>
      </c>
      <c r="AW14" s="626">
        <f t="shared" si="26"/>
        <v>0</v>
      </c>
      <c r="AX14" s="625">
        <f t="array" ref="AX14">IFERROR(INDEX('Malaria-Pharmaceuticals'!$AD$14:$AD$60,MATCH($E14&amp;$F14,'Malaria-Pharmaceuticals'!$E$14:$E$60&amp;'Malaria-Pharmaceuticals'!$I$14:$I$60,0)),0)</f>
        <v>0</v>
      </c>
      <c r="AY14" s="625">
        <f t="shared" si="27"/>
        <v>0</v>
      </c>
      <c r="AZ14" s="626">
        <f t="shared" si="28"/>
        <v>0</v>
      </c>
      <c r="BA14" s="626">
        <f t="shared" si="29"/>
        <v>0</v>
      </c>
      <c r="BB14" s="625">
        <f t="array" ref="BB14">IFERROR(INDEX('Malaria-Pharmaceuticals'!$AE$14:$AE$60,MATCH($E14&amp;$F14,'Malaria-Pharmaceuticals'!$E$14:$E$60&amp;'Malaria-Pharmaceuticals'!$I$14:$I$60,0)),0)</f>
        <v>0</v>
      </c>
      <c r="BC14" s="625">
        <f t="shared" si="30"/>
        <v>0</v>
      </c>
      <c r="BD14" s="626">
        <f t="shared" si="31"/>
        <v>0</v>
      </c>
      <c r="BE14" s="626">
        <f t="shared" si="32"/>
        <v>0</v>
      </c>
      <c r="BF14" s="625">
        <f t="array" ref="BF14">IFERROR(INDEX('Malaria-Pharmaceuticals'!$AF$14:$AF$60,MATCH($E14&amp;$F14,'Malaria-Pharmaceuticals'!$E$14:$E$60&amp;'Malaria-Pharmaceuticals'!$I$14:$I$60,0)),0)</f>
        <v>0</v>
      </c>
      <c r="BG14" s="625">
        <f t="shared" si="33"/>
        <v>0</v>
      </c>
      <c r="BH14" s="626">
        <f t="shared" si="34"/>
        <v>0</v>
      </c>
      <c r="BI14" s="626">
        <f t="shared" si="35"/>
        <v>0</v>
      </c>
      <c r="BK14" s="626"/>
      <c r="BL14" s="626"/>
      <c r="BM14" s="626"/>
      <c r="BN14" s="626"/>
      <c r="BO14" s="626"/>
      <c r="BP14" s="626"/>
      <c r="BQ14" s="626"/>
      <c r="BR14" s="626"/>
      <c r="BT14" s="21" t="s">
        <v>6802</v>
      </c>
    </row>
    <row r="15" spans="1:72">
      <c r="A15" s="32" t="s">
        <v>576</v>
      </c>
      <c r="B15" s="32" t="s">
        <v>522</v>
      </c>
      <c r="C15" s="626">
        <f>SETUP!$F$50</f>
        <v>0</v>
      </c>
      <c r="D15" s="31">
        <v>4.3</v>
      </c>
      <c r="E15" s="32" t="s">
        <v>386</v>
      </c>
      <c r="F15" s="32" t="s">
        <v>1112</v>
      </c>
      <c r="G15" s="625" t="str">
        <f t="array" ref="G15">IFERROR(INDEX('Malaria-Pharmaceuticals'!$L$14:$L$60,MATCH($E15&amp;$F15,'Malaria-Pharmaceuticals'!$E$14:$E$60&amp;'Malaria-Pharmaceuticals'!$I$14:$I$60,0)),"")</f>
        <v/>
      </c>
      <c r="H15" s="625" t="str">
        <f t="array" ref="H15">IFERROR(INDEX('Malaria-Pharmaceuticals'!$M$14:$M$60,MATCH($E15&amp;$F15,'Malaria-Pharmaceuticals'!$E$14:$E$60&amp;'Malaria-Pharmaceuticals'!$I$14:$I$60,0)),"")</f>
        <v/>
      </c>
      <c r="I15" s="625">
        <f t="array" ref="I15">IFERROR(INDEX('Malaria-Pharmaceuticals'!$N$14:$N$60,MATCH($E15&amp;$F15,'Malaria-Pharmaceuticals'!$E$14:$E$60&amp;'Malaria-Pharmaceuticals'!$I$14:$I$60,0)),0)</f>
        <v>0</v>
      </c>
      <c r="J15" s="625">
        <f t="array" ref="J15">IFERROR(INDEX('Malaria-Pharmaceuticals'!$O$14:$O$60,MATCH($E15&amp;$F15,'Malaria-Pharmaceuticals'!$E$14:$E$60&amp;'Malaria-Pharmaceuticals'!$I$14:$I$60,0)),0)</f>
        <v>0</v>
      </c>
      <c r="K15" s="626">
        <f t="shared" si="0"/>
        <v>0</v>
      </c>
      <c r="L15" s="626">
        <f t="shared" si="1"/>
        <v>0</v>
      </c>
      <c r="M15" s="626">
        <f t="shared" si="2"/>
        <v>0</v>
      </c>
      <c r="N15" s="625">
        <f t="array" ref="N15">IFERROR(INDEX('Malaria-Pharmaceuticals'!$P$14:$P$60,MATCH($E15&amp;$F15,'Malaria-Pharmaceuticals'!$E$14:$E$60&amp;'Malaria-Pharmaceuticals'!$I$14:$I$60,0)),0)</f>
        <v>0</v>
      </c>
      <c r="O15" s="626">
        <f t="shared" si="3"/>
        <v>0</v>
      </c>
      <c r="P15" s="626">
        <f t="shared" si="4"/>
        <v>0</v>
      </c>
      <c r="Q15" s="626">
        <f t="shared" si="5"/>
        <v>0</v>
      </c>
      <c r="R15" s="625">
        <f t="array" ref="R15">IFERROR(INDEX('Malaria-Pharmaceuticals'!$Q$14:$Q$60,MATCH($E15&amp;$F15,'Malaria-Pharmaceuticals'!$E$14:$E$60&amp;'Malaria-Pharmaceuticals'!$I$14:$I$60,0)),0)</f>
        <v>0</v>
      </c>
      <c r="S15" s="626">
        <f t="shared" si="6"/>
        <v>0</v>
      </c>
      <c r="T15" s="626">
        <f t="shared" si="7"/>
        <v>0</v>
      </c>
      <c r="U15" s="626">
        <f t="shared" si="8"/>
        <v>0</v>
      </c>
      <c r="V15" s="625">
        <f t="array" ref="V15">IFERROR(INDEX('Malaria-Pharmaceuticals'!$R$14:$R$60,MATCH($E15&amp;$F15,'Malaria-Pharmaceuticals'!$E$14:$E$60&amp;'Malaria-Pharmaceuticals'!$I$14:$I$60,0)),0)</f>
        <v>0</v>
      </c>
      <c r="W15" s="626">
        <f t="shared" si="9"/>
        <v>0</v>
      </c>
      <c r="X15" s="626">
        <f t="shared" si="10"/>
        <v>0</v>
      </c>
      <c r="Y15" s="626">
        <f t="shared" si="11"/>
        <v>0</v>
      </c>
      <c r="Z15" s="627"/>
      <c r="AA15" s="625">
        <f t="array" ref="AA15">IFERROR(INDEX('Malaria-Pharmaceuticals'!$U$14:$U$60,MATCH($E15&amp;$F15,'Malaria-Pharmaceuticals'!$E$14:$E$60&amp;'Malaria-Pharmaceuticals'!$I$14:$I$60,0)),0)</f>
        <v>0</v>
      </c>
      <c r="AB15" s="625">
        <f t="array" ref="AB15">IFERROR(INDEX('Malaria-Pharmaceuticals'!$V$14:$V$60,MATCH($E15&amp;$F15,'Malaria-Pharmaceuticals'!$E$14:$E$60&amp;'Malaria-Pharmaceuticals'!$I$14:$I$60,0)),0)</f>
        <v>0</v>
      </c>
      <c r="AC15" s="625">
        <f t="shared" si="12"/>
        <v>0</v>
      </c>
      <c r="AD15" s="626">
        <f t="shared" si="13"/>
        <v>0</v>
      </c>
      <c r="AE15" s="626">
        <f t="shared" si="14"/>
        <v>0</v>
      </c>
      <c r="AF15" s="625">
        <f t="array" ref="AF15">IFERROR(INDEX('Malaria-Pharmaceuticals'!$W$14:$W$60,MATCH($E15&amp;$F15,'Malaria-Pharmaceuticals'!$E$14:$E$60&amp;'Malaria-Pharmaceuticals'!$I$14:$I$60,0)),0)</f>
        <v>0</v>
      </c>
      <c r="AG15" s="625">
        <f t="shared" si="15"/>
        <v>0</v>
      </c>
      <c r="AH15" s="626">
        <f t="shared" si="16"/>
        <v>0</v>
      </c>
      <c r="AI15" s="626">
        <f t="shared" si="17"/>
        <v>0</v>
      </c>
      <c r="AJ15" s="625">
        <f t="array" ref="AJ15">IFERROR(INDEX('Malaria-Pharmaceuticals'!$X$14:$X$60,MATCH($E15&amp;$F15,'Malaria-Pharmaceuticals'!$E$14:$E$60&amp;'Malaria-Pharmaceuticals'!$I$14:$I$60,0)),0)</f>
        <v>0</v>
      </c>
      <c r="AK15" s="625">
        <f t="shared" si="18"/>
        <v>0</v>
      </c>
      <c r="AL15" s="626">
        <f t="shared" si="19"/>
        <v>0</v>
      </c>
      <c r="AM15" s="626">
        <f t="shared" si="20"/>
        <v>0</v>
      </c>
      <c r="AN15" s="625">
        <f t="array" ref="AN15">IFERROR(INDEX('Malaria-Pharmaceuticals'!$Y$14:$Y$60,MATCH($E15&amp;$F15,'Malaria-Pharmaceuticals'!$E$14:$E$60&amp;'Malaria-Pharmaceuticals'!$I$14:$I$60,0)),0)</f>
        <v>0</v>
      </c>
      <c r="AO15" s="625">
        <f t="shared" si="21"/>
        <v>0</v>
      </c>
      <c r="AP15" s="626">
        <f t="shared" si="22"/>
        <v>0</v>
      </c>
      <c r="AQ15" s="626">
        <f t="shared" si="23"/>
        <v>0</v>
      </c>
      <c r="AR15" s="627"/>
      <c r="AS15" s="625">
        <f t="array" ref="AS15">IFERROR(INDEX('Malaria-Pharmaceuticals'!$AB$14:$AB$60,MATCH($E15&amp;$F15,'Malaria-Pharmaceuticals'!$E$14:$E$60&amp;'Malaria-Pharmaceuticals'!$I$14:$I$60,0)),0)</f>
        <v>0</v>
      </c>
      <c r="AT15" s="625">
        <f t="array" ref="AT15">IFERROR(INDEX('Malaria-Pharmaceuticals'!$AC$14:$AC$60,MATCH($E15&amp;$F15,'Malaria-Pharmaceuticals'!$E$14:$E$60&amp;'Malaria-Pharmaceuticals'!$I$14:$I$60,0)),0)</f>
        <v>0</v>
      </c>
      <c r="AU15" s="625">
        <f t="shared" si="24"/>
        <v>0</v>
      </c>
      <c r="AV15" s="626">
        <f t="shared" si="25"/>
        <v>0</v>
      </c>
      <c r="AW15" s="626">
        <f t="shared" si="26"/>
        <v>0</v>
      </c>
      <c r="AX15" s="625">
        <f t="array" ref="AX15">IFERROR(INDEX('Malaria-Pharmaceuticals'!$AD$14:$AD$60,MATCH($E15&amp;$F15,'Malaria-Pharmaceuticals'!$E$14:$E$60&amp;'Malaria-Pharmaceuticals'!$I$14:$I$60,0)),0)</f>
        <v>0</v>
      </c>
      <c r="AY15" s="625">
        <f t="shared" si="27"/>
        <v>0</v>
      </c>
      <c r="AZ15" s="626">
        <f t="shared" si="28"/>
        <v>0</v>
      </c>
      <c r="BA15" s="626">
        <f t="shared" si="29"/>
        <v>0</v>
      </c>
      <c r="BB15" s="625">
        <f t="array" ref="BB15">IFERROR(INDEX('Malaria-Pharmaceuticals'!$AE$14:$AE$60,MATCH($E15&amp;$F15,'Malaria-Pharmaceuticals'!$E$14:$E$60&amp;'Malaria-Pharmaceuticals'!$I$14:$I$60,0)),0)</f>
        <v>0</v>
      </c>
      <c r="BC15" s="625">
        <f t="shared" si="30"/>
        <v>0</v>
      </c>
      <c r="BD15" s="626">
        <f t="shared" si="31"/>
        <v>0</v>
      </c>
      <c r="BE15" s="626">
        <f t="shared" si="32"/>
        <v>0</v>
      </c>
      <c r="BF15" s="625">
        <f t="array" ref="BF15">IFERROR(INDEX('Malaria-Pharmaceuticals'!$AF$14:$AF$60,MATCH($E15&amp;$F15,'Malaria-Pharmaceuticals'!$E$14:$E$60&amp;'Malaria-Pharmaceuticals'!$I$14:$I$60,0)),0)</f>
        <v>0</v>
      </c>
      <c r="BG15" s="625">
        <f t="shared" si="33"/>
        <v>0</v>
      </c>
      <c r="BH15" s="626">
        <f t="shared" si="34"/>
        <v>0</v>
      </c>
      <c r="BI15" s="626">
        <f t="shared" si="35"/>
        <v>0</v>
      </c>
      <c r="BK15" s="626"/>
      <c r="BL15" s="626"/>
      <c r="BM15" s="626"/>
      <c r="BN15" s="626"/>
      <c r="BO15" s="626"/>
      <c r="BP15" s="626"/>
      <c r="BQ15" s="626"/>
      <c r="BR15" s="626"/>
      <c r="BT15" s="21" t="s">
        <v>6802</v>
      </c>
    </row>
    <row r="16" spans="1:72">
      <c r="A16" s="32" t="s">
        <v>576</v>
      </c>
      <c r="B16" s="32" t="s">
        <v>522</v>
      </c>
      <c r="C16" s="626">
        <f>SETUP!$F$50</f>
        <v>0</v>
      </c>
      <c r="D16" s="31">
        <v>4.3</v>
      </c>
      <c r="E16" s="32" t="s">
        <v>386</v>
      </c>
      <c r="F16" s="32" t="s">
        <v>1113</v>
      </c>
      <c r="G16" s="625" t="str">
        <f t="array" ref="G16">IFERROR(INDEX('Malaria-Pharmaceuticals'!$L$14:$L$60,MATCH($E16&amp;$F16,'Malaria-Pharmaceuticals'!$E$14:$E$60&amp;'Malaria-Pharmaceuticals'!$I$14:$I$60,0)),"")</f>
        <v/>
      </c>
      <c r="H16" s="625" t="str">
        <f t="array" ref="H16">IFERROR(INDEX('Malaria-Pharmaceuticals'!$M$14:$M$60,MATCH($E16&amp;$F16,'Malaria-Pharmaceuticals'!$E$14:$E$60&amp;'Malaria-Pharmaceuticals'!$I$14:$I$60,0)),"")</f>
        <v/>
      </c>
      <c r="I16" s="625">
        <f t="array" ref="I16">IFERROR(INDEX('Malaria-Pharmaceuticals'!$N$14:$N$60,MATCH($E16&amp;$F16,'Malaria-Pharmaceuticals'!$E$14:$E$60&amp;'Malaria-Pharmaceuticals'!$I$14:$I$60,0)),0)</f>
        <v>0</v>
      </c>
      <c r="J16" s="625">
        <f t="array" ref="J16">IFERROR(INDEX('Malaria-Pharmaceuticals'!$O$14:$O$60,MATCH($E16&amp;$F16,'Malaria-Pharmaceuticals'!$E$14:$E$60&amp;'Malaria-Pharmaceuticals'!$I$14:$I$60,0)),0)</f>
        <v>0</v>
      </c>
      <c r="K16" s="626">
        <f t="shared" si="0"/>
        <v>0</v>
      </c>
      <c r="L16" s="626">
        <f t="shared" si="1"/>
        <v>0</v>
      </c>
      <c r="M16" s="626">
        <f t="shared" si="2"/>
        <v>0</v>
      </c>
      <c r="N16" s="625">
        <f t="array" ref="N16">IFERROR(INDEX('Malaria-Pharmaceuticals'!$P$14:$P$60,MATCH($E16&amp;$F16,'Malaria-Pharmaceuticals'!$E$14:$E$60&amp;'Malaria-Pharmaceuticals'!$I$14:$I$60,0)),0)</f>
        <v>0</v>
      </c>
      <c r="O16" s="626">
        <f t="shared" si="3"/>
        <v>0</v>
      </c>
      <c r="P16" s="626">
        <f t="shared" si="4"/>
        <v>0</v>
      </c>
      <c r="Q16" s="626">
        <f t="shared" si="5"/>
        <v>0</v>
      </c>
      <c r="R16" s="625">
        <f t="array" ref="R16">IFERROR(INDEX('Malaria-Pharmaceuticals'!$Q$14:$Q$60,MATCH($E16&amp;$F16,'Malaria-Pharmaceuticals'!$E$14:$E$60&amp;'Malaria-Pharmaceuticals'!$I$14:$I$60,0)),0)</f>
        <v>0</v>
      </c>
      <c r="S16" s="626">
        <f t="shared" si="6"/>
        <v>0</v>
      </c>
      <c r="T16" s="626">
        <f t="shared" si="7"/>
        <v>0</v>
      </c>
      <c r="U16" s="626">
        <f t="shared" si="8"/>
        <v>0</v>
      </c>
      <c r="V16" s="625">
        <f t="array" ref="V16">IFERROR(INDEX('Malaria-Pharmaceuticals'!$R$14:$R$60,MATCH($E16&amp;$F16,'Malaria-Pharmaceuticals'!$E$14:$E$60&amp;'Malaria-Pharmaceuticals'!$I$14:$I$60,0)),0)</f>
        <v>0</v>
      </c>
      <c r="W16" s="626">
        <f t="shared" si="9"/>
        <v>0</v>
      </c>
      <c r="X16" s="626">
        <f t="shared" si="10"/>
        <v>0</v>
      </c>
      <c r="Y16" s="626">
        <f t="shared" si="11"/>
        <v>0</v>
      </c>
      <c r="Z16" s="627"/>
      <c r="AA16" s="625">
        <f t="array" ref="AA16">IFERROR(INDEX('Malaria-Pharmaceuticals'!$U$14:$U$60,MATCH($E16&amp;$F16,'Malaria-Pharmaceuticals'!$E$14:$E$60&amp;'Malaria-Pharmaceuticals'!$I$14:$I$60,0)),0)</f>
        <v>0</v>
      </c>
      <c r="AB16" s="625">
        <f t="array" ref="AB16">IFERROR(INDEX('Malaria-Pharmaceuticals'!$V$14:$V$60,MATCH($E16&amp;$F16,'Malaria-Pharmaceuticals'!$E$14:$E$60&amp;'Malaria-Pharmaceuticals'!$I$14:$I$60,0)),0)</f>
        <v>0</v>
      </c>
      <c r="AC16" s="625">
        <f t="shared" si="12"/>
        <v>0</v>
      </c>
      <c r="AD16" s="626">
        <f t="shared" si="13"/>
        <v>0</v>
      </c>
      <c r="AE16" s="626">
        <f t="shared" si="14"/>
        <v>0</v>
      </c>
      <c r="AF16" s="625">
        <f t="array" ref="AF16">IFERROR(INDEX('Malaria-Pharmaceuticals'!$W$14:$W$60,MATCH($E16&amp;$F16,'Malaria-Pharmaceuticals'!$E$14:$E$60&amp;'Malaria-Pharmaceuticals'!$I$14:$I$60,0)),0)</f>
        <v>0</v>
      </c>
      <c r="AG16" s="625">
        <f t="shared" si="15"/>
        <v>0</v>
      </c>
      <c r="AH16" s="626">
        <f t="shared" si="16"/>
        <v>0</v>
      </c>
      <c r="AI16" s="626">
        <f t="shared" si="17"/>
        <v>0</v>
      </c>
      <c r="AJ16" s="625">
        <f t="array" ref="AJ16">IFERROR(INDEX('Malaria-Pharmaceuticals'!$X$14:$X$60,MATCH($E16&amp;$F16,'Malaria-Pharmaceuticals'!$E$14:$E$60&amp;'Malaria-Pharmaceuticals'!$I$14:$I$60,0)),0)</f>
        <v>0</v>
      </c>
      <c r="AK16" s="625">
        <f t="shared" si="18"/>
        <v>0</v>
      </c>
      <c r="AL16" s="626">
        <f t="shared" si="19"/>
        <v>0</v>
      </c>
      <c r="AM16" s="626">
        <f t="shared" si="20"/>
        <v>0</v>
      </c>
      <c r="AN16" s="625">
        <f t="array" ref="AN16">IFERROR(INDEX('Malaria-Pharmaceuticals'!$Y$14:$Y$60,MATCH($E16&amp;$F16,'Malaria-Pharmaceuticals'!$E$14:$E$60&amp;'Malaria-Pharmaceuticals'!$I$14:$I$60,0)),0)</f>
        <v>0</v>
      </c>
      <c r="AO16" s="625">
        <f t="shared" si="21"/>
        <v>0</v>
      </c>
      <c r="AP16" s="626">
        <f t="shared" si="22"/>
        <v>0</v>
      </c>
      <c r="AQ16" s="626">
        <f t="shared" si="23"/>
        <v>0</v>
      </c>
      <c r="AR16" s="627"/>
      <c r="AS16" s="625">
        <f t="array" ref="AS16">IFERROR(INDEX('Malaria-Pharmaceuticals'!$AB$14:$AB$60,MATCH($E16&amp;$F16,'Malaria-Pharmaceuticals'!$E$14:$E$60&amp;'Malaria-Pharmaceuticals'!$I$14:$I$60,0)),0)</f>
        <v>0</v>
      </c>
      <c r="AT16" s="625">
        <f t="array" ref="AT16">IFERROR(INDEX('Malaria-Pharmaceuticals'!$AC$14:$AC$60,MATCH($E16&amp;$F16,'Malaria-Pharmaceuticals'!$E$14:$E$60&amp;'Malaria-Pharmaceuticals'!$I$14:$I$60,0)),0)</f>
        <v>0</v>
      </c>
      <c r="AU16" s="625">
        <f t="shared" si="24"/>
        <v>0</v>
      </c>
      <c r="AV16" s="626">
        <f t="shared" si="25"/>
        <v>0</v>
      </c>
      <c r="AW16" s="626">
        <f t="shared" si="26"/>
        <v>0</v>
      </c>
      <c r="AX16" s="625">
        <f t="array" ref="AX16">IFERROR(INDEX('Malaria-Pharmaceuticals'!$AD$14:$AD$60,MATCH($E16&amp;$F16,'Malaria-Pharmaceuticals'!$E$14:$E$60&amp;'Malaria-Pharmaceuticals'!$I$14:$I$60,0)),0)</f>
        <v>0</v>
      </c>
      <c r="AY16" s="625">
        <f t="shared" si="27"/>
        <v>0</v>
      </c>
      <c r="AZ16" s="626">
        <f t="shared" si="28"/>
        <v>0</v>
      </c>
      <c r="BA16" s="626">
        <f t="shared" si="29"/>
        <v>0</v>
      </c>
      <c r="BB16" s="625">
        <f t="array" ref="BB16">IFERROR(INDEX('Malaria-Pharmaceuticals'!$AE$14:$AE$60,MATCH($E16&amp;$F16,'Malaria-Pharmaceuticals'!$E$14:$E$60&amp;'Malaria-Pharmaceuticals'!$I$14:$I$60,0)),0)</f>
        <v>0</v>
      </c>
      <c r="BC16" s="625">
        <f t="shared" si="30"/>
        <v>0</v>
      </c>
      <c r="BD16" s="626">
        <f t="shared" si="31"/>
        <v>0</v>
      </c>
      <c r="BE16" s="626">
        <f t="shared" si="32"/>
        <v>0</v>
      </c>
      <c r="BF16" s="625">
        <f t="array" ref="BF16">IFERROR(INDEX('Malaria-Pharmaceuticals'!$AF$14:$AF$60,MATCH($E16&amp;$F16,'Malaria-Pharmaceuticals'!$E$14:$E$60&amp;'Malaria-Pharmaceuticals'!$I$14:$I$60,0)),0)</f>
        <v>0</v>
      </c>
      <c r="BG16" s="625">
        <f t="shared" si="33"/>
        <v>0</v>
      </c>
      <c r="BH16" s="626">
        <f t="shared" si="34"/>
        <v>0</v>
      </c>
      <c r="BI16" s="626">
        <f t="shared" si="35"/>
        <v>0</v>
      </c>
      <c r="BK16" s="626"/>
      <c r="BL16" s="626"/>
      <c r="BM16" s="626"/>
      <c r="BN16" s="626"/>
      <c r="BO16" s="626"/>
      <c r="BP16" s="626"/>
      <c r="BQ16" s="626"/>
      <c r="BR16" s="626"/>
      <c r="BT16" s="21" t="s">
        <v>6802</v>
      </c>
    </row>
    <row r="17" spans="1:72">
      <c r="A17" s="32" t="s">
        <v>576</v>
      </c>
      <c r="B17" s="32" t="s">
        <v>522</v>
      </c>
      <c r="C17" s="626">
        <f>SETUP!$F$50</f>
        <v>0</v>
      </c>
      <c r="D17" s="31">
        <v>4.3</v>
      </c>
      <c r="E17" s="32" t="s">
        <v>386</v>
      </c>
      <c r="F17" s="32" t="s">
        <v>1114</v>
      </c>
      <c r="G17" s="625" t="str">
        <f t="array" ref="G17">IFERROR(INDEX('Malaria-Pharmaceuticals'!$L$14:$L$60,MATCH($E17&amp;$F17,'Malaria-Pharmaceuticals'!$E$14:$E$60&amp;'Malaria-Pharmaceuticals'!$I$14:$I$60,0)),"")</f>
        <v/>
      </c>
      <c r="H17" s="625" t="str">
        <f t="array" ref="H17">IFERROR(INDEX('Malaria-Pharmaceuticals'!$M$14:$M$60,MATCH($E17&amp;$F17,'Malaria-Pharmaceuticals'!$E$14:$E$60&amp;'Malaria-Pharmaceuticals'!$I$14:$I$60,0)),"")</f>
        <v/>
      </c>
      <c r="I17" s="625">
        <f t="array" ref="I17">IFERROR(INDEX('Malaria-Pharmaceuticals'!$N$14:$N$60,MATCH($E17&amp;$F17,'Malaria-Pharmaceuticals'!$E$14:$E$60&amp;'Malaria-Pharmaceuticals'!$I$14:$I$60,0)),0)</f>
        <v>0</v>
      </c>
      <c r="J17" s="625">
        <f t="array" ref="J17">IFERROR(INDEX('Malaria-Pharmaceuticals'!$O$14:$O$60,MATCH($E17&amp;$F17,'Malaria-Pharmaceuticals'!$E$14:$E$60&amp;'Malaria-Pharmaceuticals'!$I$14:$I$60,0)),0)</f>
        <v>0</v>
      </c>
      <c r="K17" s="626">
        <f t="shared" si="0"/>
        <v>0</v>
      </c>
      <c r="L17" s="626">
        <f t="shared" si="1"/>
        <v>0</v>
      </c>
      <c r="M17" s="626">
        <f t="shared" si="2"/>
        <v>0</v>
      </c>
      <c r="N17" s="625">
        <f t="array" ref="N17">IFERROR(INDEX('Malaria-Pharmaceuticals'!$P$14:$P$60,MATCH($E17&amp;$F17,'Malaria-Pharmaceuticals'!$E$14:$E$60&amp;'Malaria-Pharmaceuticals'!$I$14:$I$60,0)),0)</f>
        <v>0</v>
      </c>
      <c r="O17" s="626">
        <f t="shared" si="3"/>
        <v>0</v>
      </c>
      <c r="P17" s="626">
        <f t="shared" si="4"/>
        <v>0</v>
      </c>
      <c r="Q17" s="626">
        <f t="shared" si="5"/>
        <v>0</v>
      </c>
      <c r="R17" s="625">
        <f t="array" ref="R17">IFERROR(INDEX('Malaria-Pharmaceuticals'!$Q$14:$Q$60,MATCH($E17&amp;$F17,'Malaria-Pharmaceuticals'!$E$14:$E$60&amp;'Malaria-Pharmaceuticals'!$I$14:$I$60,0)),0)</f>
        <v>0</v>
      </c>
      <c r="S17" s="626">
        <f t="shared" si="6"/>
        <v>0</v>
      </c>
      <c r="T17" s="626">
        <f t="shared" si="7"/>
        <v>0</v>
      </c>
      <c r="U17" s="626">
        <f t="shared" si="8"/>
        <v>0</v>
      </c>
      <c r="V17" s="625">
        <f t="array" ref="V17">IFERROR(INDEX('Malaria-Pharmaceuticals'!$R$14:$R$60,MATCH($E17&amp;$F17,'Malaria-Pharmaceuticals'!$E$14:$E$60&amp;'Malaria-Pharmaceuticals'!$I$14:$I$60,0)),0)</f>
        <v>0</v>
      </c>
      <c r="W17" s="626">
        <f t="shared" si="9"/>
        <v>0</v>
      </c>
      <c r="X17" s="626">
        <f t="shared" si="10"/>
        <v>0</v>
      </c>
      <c r="Y17" s="626">
        <f t="shared" si="11"/>
        <v>0</v>
      </c>
      <c r="Z17" s="627"/>
      <c r="AA17" s="625">
        <f t="array" ref="AA17">IFERROR(INDEX('Malaria-Pharmaceuticals'!$U$14:$U$60,MATCH($E17&amp;$F17,'Malaria-Pharmaceuticals'!$E$14:$E$60&amp;'Malaria-Pharmaceuticals'!$I$14:$I$60,0)),0)</f>
        <v>0</v>
      </c>
      <c r="AB17" s="625">
        <f t="array" ref="AB17">IFERROR(INDEX('Malaria-Pharmaceuticals'!$V$14:$V$60,MATCH($E17&amp;$F17,'Malaria-Pharmaceuticals'!$E$14:$E$60&amp;'Malaria-Pharmaceuticals'!$I$14:$I$60,0)),0)</f>
        <v>0</v>
      </c>
      <c r="AC17" s="625">
        <f t="shared" si="12"/>
        <v>0</v>
      </c>
      <c r="AD17" s="626">
        <f t="shared" si="13"/>
        <v>0</v>
      </c>
      <c r="AE17" s="626">
        <f t="shared" si="14"/>
        <v>0</v>
      </c>
      <c r="AF17" s="625">
        <f t="array" ref="AF17">IFERROR(INDEX('Malaria-Pharmaceuticals'!$W$14:$W$60,MATCH($E17&amp;$F17,'Malaria-Pharmaceuticals'!$E$14:$E$60&amp;'Malaria-Pharmaceuticals'!$I$14:$I$60,0)),0)</f>
        <v>0</v>
      </c>
      <c r="AG17" s="625">
        <f t="shared" si="15"/>
        <v>0</v>
      </c>
      <c r="AH17" s="626">
        <f t="shared" si="16"/>
        <v>0</v>
      </c>
      <c r="AI17" s="626">
        <f t="shared" si="17"/>
        <v>0</v>
      </c>
      <c r="AJ17" s="625">
        <f t="array" ref="AJ17">IFERROR(INDEX('Malaria-Pharmaceuticals'!$X$14:$X$60,MATCH($E17&amp;$F17,'Malaria-Pharmaceuticals'!$E$14:$E$60&amp;'Malaria-Pharmaceuticals'!$I$14:$I$60,0)),0)</f>
        <v>0</v>
      </c>
      <c r="AK17" s="625">
        <f t="shared" si="18"/>
        <v>0</v>
      </c>
      <c r="AL17" s="626">
        <f t="shared" si="19"/>
        <v>0</v>
      </c>
      <c r="AM17" s="626">
        <f t="shared" si="20"/>
        <v>0</v>
      </c>
      <c r="AN17" s="625">
        <f t="array" ref="AN17">IFERROR(INDEX('Malaria-Pharmaceuticals'!$Y$14:$Y$60,MATCH($E17&amp;$F17,'Malaria-Pharmaceuticals'!$E$14:$E$60&amp;'Malaria-Pharmaceuticals'!$I$14:$I$60,0)),0)</f>
        <v>0</v>
      </c>
      <c r="AO17" s="625">
        <f t="shared" si="21"/>
        <v>0</v>
      </c>
      <c r="AP17" s="626">
        <f t="shared" si="22"/>
        <v>0</v>
      </c>
      <c r="AQ17" s="626">
        <f t="shared" si="23"/>
        <v>0</v>
      </c>
      <c r="AR17" s="627"/>
      <c r="AS17" s="625">
        <f t="array" ref="AS17">IFERROR(INDEX('Malaria-Pharmaceuticals'!$AB$14:$AB$60,MATCH($E17&amp;$F17,'Malaria-Pharmaceuticals'!$E$14:$E$60&amp;'Malaria-Pharmaceuticals'!$I$14:$I$60,0)),0)</f>
        <v>0</v>
      </c>
      <c r="AT17" s="625">
        <f t="array" ref="AT17">IFERROR(INDEX('Malaria-Pharmaceuticals'!$AC$14:$AC$60,MATCH($E17&amp;$F17,'Malaria-Pharmaceuticals'!$E$14:$E$60&amp;'Malaria-Pharmaceuticals'!$I$14:$I$60,0)),0)</f>
        <v>0</v>
      </c>
      <c r="AU17" s="625">
        <f t="shared" si="24"/>
        <v>0</v>
      </c>
      <c r="AV17" s="626">
        <f t="shared" si="25"/>
        <v>0</v>
      </c>
      <c r="AW17" s="626">
        <f t="shared" si="26"/>
        <v>0</v>
      </c>
      <c r="AX17" s="625">
        <f t="array" ref="AX17">IFERROR(INDEX('Malaria-Pharmaceuticals'!$AD$14:$AD$60,MATCH($E17&amp;$F17,'Malaria-Pharmaceuticals'!$E$14:$E$60&amp;'Malaria-Pharmaceuticals'!$I$14:$I$60,0)),0)</f>
        <v>0</v>
      </c>
      <c r="AY17" s="625">
        <f t="shared" si="27"/>
        <v>0</v>
      </c>
      <c r="AZ17" s="626">
        <f t="shared" si="28"/>
        <v>0</v>
      </c>
      <c r="BA17" s="626">
        <f t="shared" si="29"/>
        <v>0</v>
      </c>
      <c r="BB17" s="625">
        <f t="array" ref="BB17">IFERROR(INDEX('Malaria-Pharmaceuticals'!$AE$14:$AE$60,MATCH($E17&amp;$F17,'Malaria-Pharmaceuticals'!$E$14:$E$60&amp;'Malaria-Pharmaceuticals'!$I$14:$I$60,0)),0)</f>
        <v>0</v>
      </c>
      <c r="BC17" s="625">
        <f t="shared" si="30"/>
        <v>0</v>
      </c>
      <c r="BD17" s="626">
        <f t="shared" si="31"/>
        <v>0</v>
      </c>
      <c r="BE17" s="626">
        <f t="shared" si="32"/>
        <v>0</v>
      </c>
      <c r="BF17" s="625">
        <f t="array" ref="BF17">IFERROR(INDEX('Malaria-Pharmaceuticals'!$AF$14:$AF$60,MATCH($E17&amp;$F17,'Malaria-Pharmaceuticals'!$E$14:$E$60&amp;'Malaria-Pharmaceuticals'!$I$14:$I$60,0)),0)</f>
        <v>0</v>
      </c>
      <c r="BG17" s="625">
        <f t="shared" si="33"/>
        <v>0</v>
      </c>
      <c r="BH17" s="626">
        <f t="shared" si="34"/>
        <v>0</v>
      </c>
      <c r="BI17" s="626">
        <f t="shared" si="35"/>
        <v>0</v>
      </c>
      <c r="BK17" s="626"/>
      <c r="BL17" s="626"/>
      <c r="BM17" s="626"/>
      <c r="BN17" s="626"/>
      <c r="BO17" s="626"/>
      <c r="BP17" s="626"/>
      <c r="BQ17" s="626"/>
      <c r="BR17" s="626"/>
      <c r="BT17" s="21" t="s">
        <v>6802</v>
      </c>
    </row>
    <row r="18" spans="1:72">
      <c r="A18" s="32" t="s">
        <v>576</v>
      </c>
      <c r="B18" s="32" t="s">
        <v>522</v>
      </c>
      <c r="C18" s="626">
        <f>SETUP!$F$50</f>
        <v>0</v>
      </c>
      <c r="D18" s="31">
        <v>4.3</v>
      </c>
      <c r="E18" s="32" t="s">
        <v>386</v>
      </c>
      <c r="F18" s="32" t="s">
        <v>1115</v>
      </c>
      <c r="G18" s="625" t="str">
        <f t="array" ref="G18">IFERROR(INDEX('Malaria-Pharmaceuticals'!$L$14:$L$60,MATCH($E18&amp;$F18,'Malaria-Pharmaceuticals'!$E$14:$E$60&amp;'Malaria-Pharmaceuticals'!$I$14:$I$60,0)),"")</f>
        <v/>
      </c>
      <c r="H18" s="625" t="str">
        <f t="array" ref="H18">IFERROR(INDEX('Malaria-Pharmaceuticals'!$M$14:$M$60,MATCH($E18&amp;$F18,'Malaria-Pharmaceuticals'!$E$14:$E$60&amp;'Malaria-Pharmaceuticals'!$I$14:$I$60,0)),"")</f>
        <v/>
      </c>
      <c r="I18" s="625">
        <f t="array" ref="I18">IFERROR(INDEX('Malaria-Pharmaceuticals'!$N$14:$N$60,MATCH($E18&amp;$F18,'Malaria-Pharmaceuticals'!$E$14:$E$60&amp;'Malaria-Pharmaceuticals'!$I$14:$I$60,0)),0)</f>
        <v>0</v>
      </c>
      <c r="J18" s="625">
        <f t="array" ref="J18">IFERROR(INDEX('Malaria-Pharmaceuticals'!$O$14:$O$60,MATCH($E18&amp;$F18,'Malaria-Pharmaceuticals'!$E$14:$E$60&amp;'Malaria-Pharmaceuticals'!$I$14:$I$60,0)),0)</f>
        <v>0</v>
      </c>
      <c r="K18" s="626">
        <f t="shared" si="0"/>
        <v>0</v>
      </c>
      <c r="L18" s="626">
        <f t="shared" si="1"/>
        <v>0</v>
      </c>
      <c r="M18" s="626">
        <f t="shared" si="2"/>
        <v>0</v>
      </c>
      <c r="N18" s="625">
        <f t="array" ref="N18">IFERROR(INDEX('Malaria-Pharmaceuticals'!$P$14:$P$60,MATCH($E18&amp;$F18,'Malaria-Pharmaceuticals'!$E$14:$E$60&amp;'Malaria-Pharmaceuticals'!$I$14:$I$60,0)),0)</f>
        <v>0</v>
      </c>
      <c r="O18" s="626">
        <f t="shared" si="3"/>
        <v>0</v>
      </c>
      <c r="P18" s="626">
        <f t="shared" si="4"/>
        <v>0</v>
      </c>
      <c r="Q18" s="626">
        <f t="shared" si="5"/>
        <v>0</v>
      </c>
      <c r="R18" s="625">
        <f t="array" ref="R18">IFERROR(INDEX('Malaria-Pharmaceuticals'!$Q$14:$Q$60,MATCH($E18&amp;$F18,'Malaria-Pharmaceuticals'!$E$14:$E$60&amp;'Malaria-Pharmaceuticals'!$I$14:$I$60,0)),0)</f>
        <v>0</v>
      </c>
      <c r="S18" s="626">
        <f t="shared" si="6"/>
        <v>0</v>
      </c>
      <c r="T18" s="626">
        <f t="shared" si="7"/>
        <v>0</v>
      </c>
      <c r="U18" s="626">
        <f t="shared" si="8"/>
        <v>0</v>
      </c>
      <c r="V18" s="625">
        <f t="array" ref="V18">IFERROR(INDEX('Malaria-Pharmaceuticals'!$R$14:$R$60,MATCH($E18&amp;$F18,'Malaria-Pharmaceuticals'!$E$14:$E$60&amp;'Malaria-Pharmaceuticals'!$I$14:$I$60,0)),0)</f>
        <v>0</v>
      </c>
      <c r="W18" s="626">
        <f t="shared" si="9"/>
        <v>0</v>
      </c>
      <c r="X18" s="626">
        <f t="shared" si="10"/>
        <v>0</v>
      </c>
      <c r="Y18" s="626">
        <f t="shared" si="11"/>
        <v>0</v>
      </c>
      <c r="Z18" s="627"/>
      <c r="AA18" s="625">
        <f t="array" ref="AA18">IFERROR(INDEX('Malaria-Pharmaceuticals'!$U$14:$U$60,MATCH($E18&amp;$F18,'Malaria-Pharmaceuticals'!$E$14:$E$60&amp;'Malaria-Pharmaceuticals'!$I$14:$I$60,0)),0)</f>
        <v>0</v>
      </c>
      <c r="AB18" s="625">
        <f t="array" ref="AB18">IFERROR(INDEX('Malaria-Pharmaceuticals'!$V$14:$V$60,MATCH($E18&amp;$F18,'Malaria-Pharmaceuticals'!$E$14:$E$60&amp;'Malaria-Pharmaceuticals'!$I$14:$I$60,0)),0)</f>
        <v>0</v>
      </c>
      <c r="AC18" s="625">
        <f t="shared" si="12"/>
        <v>0</v>
      </c>
      <c r="AD18" s="626">
        <f t="shared" si="13"/>
        <v>0</v>
      </c>
      <c r="AE18" s="626">
        <f t="shared" si="14"/>
        <v>0</v>
      </c>
      <c r="AF18" s="625">
        <f t="array" ref="AF18">IFERROR(INDEX('Malaria-Pharmaceuticals'!$W$14:$W$60,MATCH($E18&amp;$F18,'Malaria-Pharmaceuticals'!$E$14:$E$60&amp;'Malaria-Pharmaceuticals'!$I$14:$I$60,0)),0)</f>
        <v>0</v>
      </c>
      <c r="AG18" s="625">
        <f t="shared" si="15"/>
        <v>0</v>
      </c>
      <c r="AH18" s="626">
        <f t="shared" si="16"/>
        <v>0</v>
      </c>
      <c r="AI18" s="626">
        <f t="shared" si="17"/>
        <v>0</v>
      </c>
      <c r="AJ18" s="625">
        <f t="array" ref="AJ18">IFERROR(INDEX('Malaria-Pharmaceuticals'!$X$14:$X$60,MATCH($E18&amp;$F18,'Malaria-Pharmaceuticals'!$E$14:$E$60&amp;'Malaria-Pharmaceuticals'!$I$14:$I$60,0)),0)</f>
        <v>0</v>
      </c>
      <c r="AK18" s="625">
        <f t="shared" si="18"/>
        <v>0</v>
      </c>
      <c r="AL18" s="626">
        <f t="shared" si="19"/>
        <v>0</v>
      </c>
      <c r="AM18" s="626">
        <f t="shared" si="20"/>
        <v>0</v>
      </c>
      <c r="AN18" s="625">
        <f t="array" ref="AN18">IFERROR(INDEX('Malaria-Pharmaceuticals'!$Y$14:$Y$60,MATCH($E18&amp;$F18,'Malaria-Pharmaceuticals'!$E$14:$E$60&amp;'Malaria-Pharmaceuticals'!$I$14:$I$60,0)),0)</f>
        <v>0</v>
      </c>
      <c r="AO18" s="625">
        <f t="shared" si="21"/>
        <v>0</v>
      </c>
      <c r="AP18" s="626">
        <f t="shared" si="22"/>
        <v>0</v>
      </c>
      <c r="AQ18" s="626">
        <f t="shared" si="23"/>
        <v>0</v>
      </c>
      <c r="AR18" s="627"/>
      <c r="AS18" s="625">
        <f t="array" ref="AS18">IFERROR(INDEX('Malaria-Pharmaceuticals'!$AB$14:$AB$60,MATCH($E18&amp;$F18,'Malaria-Pharmaceuticals'!$E$14:$E$60&amp;'Malaria-Pharmaceuticals'!$I$14:$I$60,0)),0)</f>
        <v>0</v>
      </c>
      <c r="AT18" s="625">
        <f t="array" ref="AT18">IFERROR(INDEX('Malaria-Pharmaceuticals'!$AC$14:$AC$60,MATCH($E18&amp;$F18,'Malaria-Pharmaceuticals'!$E$14:$E$60&amp;'Malaria-Pharmaceuticals'!$I$14:$I$60,0)),0)</f>
        <v>0</v>
      </c>
      <c r="AU18" s="625">
        <f t="shared" si="24"/>
        <v>0</v>
      </c>
      <c r="AV18" s="626">
        <f t="shared" si="25"/>
        <v>0</v>
      </c>
      <c r="AW18" s="626">
        <f t="shared" si="26"/>
        <v>0</v>
      </c>
      <c r="AX18" s="625">
        <f t="array" ref="AX18">IFERROR(INDEX('Malaria-Pharmaceuticals'!$AD$14:$AD$60,MATCH($E18&amp;$F18,'Malaria-Pharmaceuticals'!$E$14:$E$60&amp;'Malaria-Pharmaceuticals'!$I$14:$I$60,0)),0)</f>
        <v>0</v>
      </c>
      <c r="AY18" s="625">
        <f t="shared" si="27"/>
        <v>0</v>
      </c>
      <c r="AZ18" s="626">
        <f t="shared" si="28"/>
        <v>0</v>
      </c>
      <c r="BA18" s="626">
        <f t="shared" si="29"/>
        <v>0</v>
      </c>
      <c r="BB18" s="625">
        <f t="array" ref="BB18">IFERROR(INDEX('Malaria-Pharmaceuticals'!$AE$14:$AE$60,MATCH($E18&amp;$F18,'Malaria-Pharmaceuticals'!$E$14:$E$60&amp;'Malaria-Pharmaceuticals'!$I$14:$I$60,0)),0)</f>
        <v>0</v>
      </c>
      <c r="BC18" s="625">
        <f t="shared" si="30"/>
        <v>0</v>
      </c>
      <c r="BD18" s="626">
        <f t="shared" si="31"/>
        <v>0</v>
      </c>
      <c r="BE18" s="626">
        <f t="shared" si="32"/>
        <v>0</v>
      </c>
      <c r="BF18" s="625">
        <f t="array" ref="BF18">IFERROR(INDEX('Malaria-Pharmaceuticals'!$AF$14:$AF$60,MATCH($E18&amp;$F18,'Malaria-Pharmaceuticals'!$E$14:$E$60&amp;'Malaria-Pharmaceuticals'!$I$14:$I$60,0)),0)</f>
        <v>0</v>
      </c>
      <c r="BG18" s="625">
        <f t="shared" si="33"/>
        <v>0</v>
      </c>
      <c r="BH18" s="626">
        <f t="shared" si="34"/>
        <v>0</v>
      </c>
      <c r="BI18" s="626">
        <f t="shared" si="35"/>
        <v>0</v>
      </c>
      <c r="BK18" s="626"/>
      <c r="BL18" s="626"/>
      <c r="BM18" s="626"/>
      <c r="BN18" s="626"/>
      <c r="BO18" s="626"/>
      <c r="BP18" s="626"/>
      <c r="BQ18" s="626"/>
      <c r="BR18" s="626"/>
      <c r="BT18" s="21" t="s">
        <v>6802</v>
      </c>
    </row>
    <row r="19" spans="1:72">
      <c r="A19" s="32" t="s">
        <v>576</v>
      </c>
      <c r="B19" s="32" t="s">
        <v>522</v>
      </c>
      <c r="C19" s="626">
        <f>SETUP!$F$50</f>
        <v>0</v>
      </c>
      <c r="D19" s="31">
        <v>4.3</v>
      </c>
      <c r="E19" s="32" t="s">
        <v>394</v>
      </c>
      <c r="F19" s="32" t="s">
        <v>1116</v>
      </c>
      <c r="G19" s="625" t="str">
        <f t="array" ref="G19">IFERROR(INDEX('Malaria-Pharmaceuticals'!$L$14:$L$60,MATCH($E19&amp;$F19,'Malaria-Pharmaceuticals'!$E$14:$E$60&amp;'Malaria-Pharmaceuticals'!$I$14:$I$60,0)),"")</f>
        <v/>
      </c>
      <c r="H19" s="625" t="str">
        <f t="array" ref="H19">IFERROR(INDEX('Malaria-Pharmaceuticals'!$M$14:$M$60,MATCH($E19&amp;$F19,'Malaria-Pharmaceuticals'!$E$14:$E$60&amp;'Malaria-Pharmaceuticals'!$I$14:$I$60,0)),"")</f>
        <v/>
      </c>
      <c r="I19" s="625">
        <f t="array" ref="I19">IFERROR(INDEX('Malaria-Pharmaceuticals'!$N$14:$N$60,MATCH($E19&amp;$F19,'Malaria-Pharmaceuticals'!$E$14:$E$60&amp;'Malaria-Pharmaceuticals'!$I$14:$I$60,0)),0)</f>
        <v>0</v>
      </c>
      <c r="J19" s="625">
        <f t="array" ref="J19">IFERROR(INDEX('Malaria-Pharmaceuticals'!$O$14:$O$60,MATCH($E19&amp;$F19,'Malaria-Pharmaceuticals'!$E$14:$E$60&amp;'Malaria-Pharmaceuticals'!$I$14:$I$60,0)),0)</f>
        <v>0</v>
      </c>
      <c r="K19" s="626">
        <f t="shared" si="0"/>
        <v>0</v>
      </c>
      <c r="L19" s="626">
        <f t="shared" si="1"/>
        <v>0</v>
      </c>
      <c r="M19" s="626">
        <f t="shared" si="2"/>
        <v>0</v>
      </c>
      <c r="N19" s="625">
        <f t="array" ref="N19">IFERROR(INDEX('Malaria-Pharmaceuticals'!$P$14:$P$60,MATCH($E19&amp;$F19,'Malaria-Pharmaceuticals'!$E$14:$E$60&amp;'Malaria-Pharmaceuticals'!$I$14:$I$60,0)),0)</f>
        <v>0</v>
      </c>
      <c r="O19" s="626">
        <f t="shared" si="3"/>
        <v>0</v>
      </c>
      <c r="P19" s="626">
        <f t="shared" si="4"/>
        <v>0</v>
      </c>
      <c r="Q19" s="626">
        <f t="shared" si="5"/>
        <v>0</v>
      </c>
      <c r="R19" s="625">
        <f t="array" ref="R19">IFERROR(INDEX('Malaria-Pharmaceuticals'!$Q$14:$Q$60,MATCH($E19&amp;$F19,'Malaria-Pharmaceuticals'!$E$14:$E$60&amp;'Malaria-Pharmaceuticals'!$I$14:$I$60,0)),0)</f>
        <v>0</v>
      </c>
      <c r="S19" s="626">
        <f t="shared" si="6"/>
        <v>0</v>
      </c>
      <c r="T19" s="626">
        <f t="shared" si="7"/>
        <v>0</v>
      </c>
      <c r="U19" s="626">
        <f t="shared" si="8"/>
        <v>0</v>
      </c>
      <c r="V19" s="625">
        <f t="array" ref="V19">IFERROR(INDEX('Malaria-Pharmaceuticals'!$R$14:$R$60,MATCH($E19&amp;$F19,'Malaria-Pharmaceuticals'!$E$14:$E$60&amp;'Malaria-Pharmaceuticals'!$I$14:$I$60,0)),0)</f>
        <v>0</v>
      </c>
      <c r="W19" s="626">
        <f t="shared" si="9"/>
        <v>0</v>
      </c>
      <c r="X19" s="626">
        <f t="shared" si="10"/>
        <v>0</v>
      </c>
      <c r="Y19" s="626">
        <f t="shared" si="11"/>
        <v>0</v>
      </c>
      <c r="Z19" s="627"/>
      <c r="AA19" s="625">
        <f t="array" ref="AA19">IFERROR(INDEX('Malaria-Pharmaceuticals'!$U$14:$U$60,MATCH($E19&amp;$F19,'Malaria-Pharmaceuticals'!$E$14:$E$60&amp;'Malaria-Pharmaceuticals'!$I$14:$I$60,0)),0)</f>
        <v>0</v>
      </c>
      <c r="AB19" s="625">
        <f t="array" ref="AB19">IFERROR(INDEX('Malaria-Pharmaceuticals'!$V$14:$V$60,MATCH($E19&amp;$F19,'Malaria-Pharmaceuticals'!$E$14:$E$60&amp;'Malaria-Pharmaceuticals'!$I$14:$I$60,0)),0)</f>
        <v>0</v>
      </c>
      <c r="AC19" s="625">
        <f t="shared" si="12"/>
        <v>0</v>
      </c>
      <c r="AD19" s="626">
        <f t="shared" si="13"/>
        <v>0</v>
      </c>
      <c r="AE19" s="626">
        <f t="shared" si="14"/>
        <v>0</v>
      </c>
      <c r="AF19" s="625">
        <f t="array" ref="AF19">IFERROR(INDEX('Malaria-Pharmaceuticals'!$W$14:$W$60,MATCH($E19&amp;$F19,'Malaria-Pharmaceuticals'!$E$14:$E$60&amp;'Malaria-Pharmaceuticals'!$I$14:$I$60,0)),0)</f>
        <v>0</v>
      </c>
      <c r="AG19" s="625">
        <f t="shared" si="15"/>
        <v>0</v>
      </c>
      <c r="AH19" s="626">
        <f t="shared" si="16"/>
        <v>0</v>
      </c>
      <c r="AI19" s="626">
        <f t="shared" si="17"/>
        <v>0</v>
      </c>
      <c r="AJ19" s="625">
        <f t="array" ref="AJ19">IFERROR(INDEX('Malaria-Pharmaceuticals'!$X$14:$X$60,MATCH($E19&amp;$F19,'Malaria-Pharmaceuticals'!$E$14:$E$60&amp;'Malaria-Pharmaceuticals'!$I$14:$I$60,0)),0)</f>
        <v>0</v>
      </c>
      <c r="AK19" s="625">
        <f t="shared" si="18"/>
        <v>0</v>
      </c>
      <c r="AL19" s="626">
        <f t="shared" si="19"/>
        <v>0</v>
      </c>
      <c r="AM19" s="626">
        <f t="shared" si="20"/>
        <v>0</v>
      </c>
      <c r="AN19" s="625">
        <f t="array" ref="AN19">IFERROR(INDEX('Malaria-Pharmaceuticals'!$Y$14:$Y$60,MATCH($E19&amp;$F19,'Malaria-Pharmaceuticals'!$E$14:$E$60&amp;'Malaria-Pharmaceuticals'!$I$14:$I$60,0)),0)</f>
        <v>0</v>
      </c>
      <c r="AO19" s="625">
        <f t="shared" si="21"/>
        <v>0</v>
      </c>
      <c r="AP19" s="626">
        <f t="shared" si="22"/>
        <v>0</v>
      </c>
      <c r="AQ19" s="626">
        <f t="shared" si="23"/>
        <v>0</v>
      </c>
      <c r="AR19" s="627"/>
      <c r="AS19" s="625">
        <f t="array" ref="AS19">IFERROR(INDEX('Malaria-Pharmaceuticals'!$AB$14:$AB$60,MATCH($E19&amp;$F19,'Malaria-Pharmaceuticals'!$E$14:$E$60&amp;'Malaria-Pharmaceuticals'!$I$14:$I$60,0)),0)</f>
        <v>0</v>
      </c>
      <c r="AT19" s="625">
        <f t="array" ref="AT19">IFERROR(INDEX('Malaria-Pharmaceuticals'!$AC$14:$AC$60,MATCH($E19&amp;$F19,'Malaria-Pharmaceuticals'!$E$14:$E$60&amp;'Malaria-Pharmaceuticals'!$I$14:$I$60,0)),0)</f>
        <v>0</v>
      </c>
      <c r="AU19" s="625">
        <f t="shared" si="24"/>
        <v>0</v>
      </c>
      <c r="AV19" s="626">
        <f t="shared" si="25"/>
        <v>0</v>
      </c>
      <c r="AW19" s="626">
        <f t="shared" si="26"/>
        <v>0</v>
      </c>
      <c r="AX19" s="625">
        <f t="array" ref="AX19">IFERROR(INDEX('Malaria-Pharmaceuticals'!$AD$14:$AD$60,MATCH($E19&amp;$F19,'Malaria-Pharmaceuticals'!$E$14:$E$60&amp;'Malaria-Pharmaceuticals'!$I$14:$I$60,0)),0)</f>
        <v>0</v>
      </c>
      <c r="AY19" s="625">
        <f t="shared" si="27"/>
        <v>0</v>
      </c>
      <c r="AZ19" s="626">
        <f t="shared" si="28"/>
        <v>0</v>
      </c>
      <c r="BA19" s="626">
        <f t="shared" si="29"/>
        <v>0</v>
      </c>
      <c r="BB19" s="625">
        <f t="array" ref="BB19">IFERROR(INDEX('Malaria-Pharmaceuticals'!$AE$14:$AE$60,MATCH($E19&amp;$F19,'Malaria-Pharmaceuticals'!$E$14:$E$60&amp;'Malaria-Pharmaceuticals'!$I$14:$I$60,0)),0)</f>
        <v>0</v>
      </c>
      <c r="BC19" s="625">
        <f t="shared" si="30"/>
        <v>0</v>
      </c>
      <c r="BD19" s="626">
        <f t="shared" si="31"/>
        <v>0</v>
      </c>
      <c r="BE19" s="626">
        <f t="shared" si="32"/>
        <v>0</v>
      </c>
      <c r="BF19" s="625">
        <f t="array" ref="BF19">IFERROR(INDEX('Malaria-Pharmaceuticals'!$AF$14:$AF$60,MATCH($E19&amp;$F19,'Malaria-Pharmaceuticals'!$E$14:$E$60&amp;'Malaria-Pharmaceuticals'!$I$14:$I$60,0)),0)</f>
        <v>0</v>
      </c>
      <c r="BG19" s="625">
        <f t="shared" si="33"/>
        <v>0</v>
      </c>
      <c r="BH19" s="626">
        <f t="shared" si="34"/>
        <v>0</v>
      </c>
      <c r="BI19" s="626">
        <f t="shared" si="35"/>
        <v>0</v>
      </c>
      <c r="BK19" s="626"/>
      <c r="BL19" s="626"/>
      <c r="BM19" s="626"/>
      <c r="BN19" s="626"/>
      <c r="BO19" s="626"/>
      <c r="BP19" s="626"/>
      <c r="BQ19" s="626"/>
      <c r="BR19" s="626"/>
      <c r="BT19" s="21" t="s">
        <v>6803</v>
      </c>
    </row>
    <row r="20" spans="1:72">
      <c r="A20" s="32" t="s">
        <v>576</v>
      </c>
      <c r="B20" s="32" t="s">
        <v>522</v>
      </c>
      <c r="C20" s="626">
        <f>SETUP!$F$50</f>
        <v>0</v>
      </c>
      <c r="D20" s="31">
        <v>4.3</v>
      </c>
      <c r="E20" s="32" t="s">
        <v>394</v>
      </c>
      <c r="F20" s="32" t="s">
        <v>1117</v>
      </c>
      <c r="G20" s="625" t="str">
        <f t="array" ref="G20">IFERROR(INDEX('Malaria-Pharmaceuticals'!$L$14:$L$60,MATCH($E20&amp;$F20,'Malaria-Pharmaceuticals'!$E$14:$E$60&amp;'Malaria-Pharmaceuticals'!$I$14:$I$60,0)),"")</f>
        <v/>
      </c>
      <c r="H20" s="625" t="str">
        <f t="array" ref="H20">IFERROR(INDEX('Malaria-Pharmaceuticals'!$M$14:$M$60,MATCH($E20&amp;$F20,'Malaria-Pharmaceuticals'!$E$14:$E$60&amp;'Malaria-Pharmaceuticals'!$I$14:$I$60,0)),"")</f>
        <v/>
      </c>
      <c r="I20" s="625">
        <f t="array" ref="I20">IFERROR(INDEX('Malaria-Pharmaceuticals'!$N$14:$N$60,MATCH($E20&amp;$F20,'Malaria-Pharmaceuticals'!$E$14:$E$60&amp;'Malaria-Pharmaceuticals'!$I$14:$I$60,0)),0)</f>
        <v>0</v>
      </c>
      <c r="J20" s="625">
        <f t="array" ref="J20">IFERROR(INDEX('Malaria-Pharmaceuticals'!$O$14:$O$60,MATCH($E20&amp;$F20,'Malaria-Pharmaceuticals'!$E$14:$E$60&amp;'Malaria-Pharmaceuticals'!$I$14:$I$60,0)),0)</f>
        <v>0</v>
      </c>
      <c r="K20" s="626">
        <f t="shared" si="0"/>
        <v>0</v>
      </c>
      <c r="L20" s="626">
        <f t="shared" si="1"/>
        <v>0</v>
      </c>
      <c r="M20" s="626">
        <f t="shared" si="2"/>
        <v>0</v>
      </c>
      <c r="N20" s="625">
        <f t="array" ref="N20">IFERROR(INDEX('Malaria-Pharmaceuticals'!$P$14:$P$60,MATCH($E20&amp;$F20,'Malaria-Pharmaceuticals'!$E$14:$E$60&amp;'Malaria-Pharmaceuticals'!$I$14:$I$60,0)),0)</f>
        <v>0</v>
      </c>
      <c r="O20" s="626">
        <f t="shared" si="3"/>
        <v>0</v>
      </c>
      <c r="P20" s="626">
        <f t="shared" si="4"/>
        <v>0</v>
      </c>
      <c r="Q20" s="626">
        <f t="shared" si="5"/>
        <v>0</v>
      </c>
      <c r="R20" s="625">
        <f t="array" ref="R20">IFERROR(INDEX('Malaria-Pharmaceuticals'!$Q$14:$Q$60,MATCH($E20&amp;$F20,'Malaria-Pharmaceuticals'!$E$14:$E$60&amp;'Malaria-Pharmaceuticals'!$I$14:$I$60,0)),0)</f>
        <v>0</v>
      </c>
      <c r="S20" s="626">
        <f t="shared" si="6"/>
        <v>0</v>
      </c>
      <c r="T20" s="626">
        <f t="shared" si="7"/>
        <v>0</v>
      </c>
      <c r="U20" s="626">
        <f t="shared" si="8"/>
        <v>0</v>
      </c>
      <c r="V20" s="625">
        <f t="array" ref="V20">IFERROR(INDEX('Malaria-Pharmaceuticals'!$R$14:$R$60,MATCH($E20&amp;$F20,'Malaria-Pharmaceuticals'!$E$14:$E$60&amp;'Malaria-Pharmaceuticals'!$I$14:$I$60,0)),0)</f>
        <v>0</v>
      </c>
      <c r="W20" s="626">
        <f t="shared" si="9"/>
        <v>0</v>
      </c>
      <c r="X20" s="626">
        <f t="shared" si="10"/>
        <v>0</v>
      </c>
      <c r="Y20" s="626">
        <f t="shared" si="11"/>
        <v>0</v>
      </c>
      <c r="Z20" s="627"/>
      <c r="AA20" s="625">
        <f t="array" ref="AA20">IFERROR(INDEX('Malaria-Pharmaceuticals'!$U$14:$U$60,MATCH($E20&amp;$F20,'Malaria-Pharmaceuticals'!$E$14:$E$60&amp;'Malaria-Pharmaceuticals'!$I$14:$I$60,0)),0)</f>
        <v>0</v>
      </c>
      <c r="AB20" s="625">
        <f t="array" ref="AB20">IFERROR(INDEX('Malaria-Pharmaceuticals'!$V$14:$V$60,MATCH($E20&amp;$F20,'Malaria-Pharmaceuticals'!$E$14:$E$60&amp;'Malaria-Pharmaceuticals'!$I$14:$I$60,0)),0)</f>
        <v>0</v>
      </c>
      <c r="AC20" s="625">
        <f t="shared" si="12"/>
        <v>0</v>
      </c>
      <c r="AD20" s="626">
        <f t="shared" si="13"/>
        <v>0</v>
      </c>
      <c r="AE20" s="626">
        <f t="shared" si="14"/>
        <v>0</v>
      </c>
      <c r="AF20" s="625">
        <f t="array" ref="AF20">IFERROR(INDEX('Malaria-Pharmaceuticals'!$W$14:$W$60,MATCH($E20&amp;$F20,'Malaria-Pharmaceuticals'!$E$14:$E$60&amp;'Malaria-Pharmaceuticals'!$I$14:$I$60,0)),0)</f>
        <v>0</v>
      </c>
      <c r="AG20" s="625">
        <f t="shared" si="15"/>
        <v>0</v>
      </c>
      <c r="AH20" s="626">
        <f t="shared" si="16"/>
        <v>0</v>
      </c>
      <c r="AI20" s="626">
        <f t="shared" si="17"/>
        <v>0</v>
      </c>
      <c r="AJ20" s="625">
        <f t="array" ref="AJ20">IFERROR(INDEX('Malaria-Pharmaceuticals'!$X$14:$X$60,MATCH($E20&amp;$F20,'Malaria-Pharmaceuticals'!$E$14:$E$60&amp;'Malaria-Pharmaceuticals'!$I$14:$I$60,0)),0)</f>
        <v>0</v>
      </c>
      <c r="AK20" s="625">
        <f t="shared" si="18"/>
        <v>0</v>
      </c>
      <c r="AL20" s="626">
        <f t="shared" si="19"/>
        <v>0</v>
      </c>
      <c r="AM20" s="626">
        <f t="shared" si="20"/>
        <v>0</v>
      </c>
      <c r="AN20" s="625">
        <f t="array" ref="AN20">IFERROR(INDEX('Malaria-Pharmaceuticals'!$Y$14:$Y$60,MATCH($E20&amp;$F20,'Malaria-Pharmaceuticals'!$E$14:$E$60&amp;'Malaria-Pharmaceuticals'!$I$14:$I$60,0)),0)</f>
        <v>0</v>
      </c>
      <c r="AO20" s="625">
        <f t="shared" si="21"/>
        <v>0</v>
      </c>
      <c r="AP20" s="626">
        <f t="shared" si="22"/>
        <v>0</v>
      </c>
      <c r="AQ20" s="626">
        <f t="shared" si="23"/>
        <v>0</v>
      </c>
      <c r="AR20" s="627"/>
      <c r="AS20" s="625">
        <f t="array" ref="AS20">IFERROR(INDEX('Malaria-Pharmaceuticals'!$AB$14:$AB$60,MATCH($E20&amp;$F20,'Malaria-Pharmaceuticals'!$E$14:$E$60&amp;'Malaria-Pharmaceuticals'!$I$14:$I$60,0)),0)</f>
        <v>0</v>
      </c>
      <c r="AT20" s="625">
        <f t="array" ref="AT20">IFERROR(INDEX('Malaria-Pharmaceuticals'!$AC$14:$AC$60,MATCH($E20&amp;$F20,'Malaria-Pharmaceuticals'!$E$14:$E$60&amp;'Malaria-Pharmaceuticals'!$I$14:$I$60,0)),0)</f>
        <v>0</v>
      </c>
      <c r="AU20" s="625">
        <f t="shared" si="24"/>
        <v>0</v>
      </c>
      <c r="AV20" s="626">
        <f t="shared" si="25"/>
        <v>0</v>
      </c>
      <c r="AW20" s="626">
        <f t="shared" si="26"/>
        <v>0</v>
      </c>
      <c r="AX20" s="625">
        <f t="array" ref="AX20">IFERROR(INDEX('Malaria-Pharmaceuticals'!$AD$14:$AD$60,MATCH($E20&amp;$F20,'Malaria-Pharmaceuticals'!$E$14:$E$60&amp;'Malaria-Pharmaceuticals'!$I$14:$I$60,0)),0)</f>
        <v>0</v>
      </c>
      <c r="AY20" s="625">
        <f t="shared" si="27"/>
        <v>0</v>
      </c>
      <c r="AZ20" s="626">
        <f t="shared" si="28"/>
        <v>0</v>
      </c>
      <c r="BA20" s="626">
        <f t="shared" si="29"/>
        <v>0</v>
      </c>
      <c r="BB20" s="625">
        <f t="array" ref="BB20">IFERROR(INDEX('Malaria-Pharmaceuticals'!$AE$14:$AE$60,MATCH($E20&amp;$F20,'Malaria-Pharmaceuticals'!$E$14:$E$60&amp;'Malaria-Pharmaceuticals'!$I$14:$I$60,0)),0)</f>
        <v>0</v>
      </c>
      <c r="BC20" s="625">
        <f t="shared" si="30"/>
        <v>0</v>
      </c>
      <c r="BD20" s="626">
        <f t="shared" si="31"/>
        <v>0</v>
      </c>
      <c r="BE20" s="626">
        <f t="shared" si="32"/>
        <v>0</v>
      </c>
      <c r="BF20" s="625">
        <f t="array" ref="BF20">IFERROR(INDEX('Malaria-Pharmaceuticals'!$AF$14:$AF$60,MATCH($E20&amp;$F20,'Malaria-Pharmaceuticals'!$E$14:$E$60&amp;'Malaria-Pharmaceuticals'!$I$14:$I$60,0)),0)</f>
        <v>0</v>
      </c>
      <c r="BG20" s="625">
        <f t="shared" si="33"/>
        <v>0</v>
      </c>
      <c r="BH20" s="626">
        <f t="shared" si="34"/>
        <v>0</v>
      </c>
      <c r="BI20" s="626">
        <f t="shared" si="35"/>
        <v>0</v>
      </c>
      <c r="BK20" s="626"/>
      <c r="BL20" s="626"/>
      <c r="BM20" s="626"/>
      <c r="BN20" s="626"/>
      <c r="BO20" s="626"/>
      <c r="BP20" s="626"/>
      <c r="BQ20" s="626"/>
      <c r="BR20" s="626"/>
      <c r="BT20" s="21" t="s">
        <v>6803</v>
      </c>
    </row>
    <row r="21" spans="1:72">
      <c r="A21" s="32" t="s">
        <v>576</v>
      </c>
      <c r="B21" s="32" t="s">
        <v>522</v>
      </c>
      <c r="C21" s="626">
        <f>SETUP!$F$50</f>
        <v>0</v>
      </c>
      <c r="D21" s="31">
        <v>4.3</v>
      </c>
      <c r="E21" s="32" t="s">
        <v>394</v>
      </c>
      <c r="F21" s="32" t="s">
        <v>1118</v>
      </c>
      <c r="G21" s="625" t="str">
        <f t="array" ref="G21">IFERROR(INDEX('Malaria-Pharmaceuticals'!$L$14:$L$60,MATCH($E21&amp;$F21,'Malaria-Pharmaceuticals'!$E$14:$E$60&amp;'Malaria-Pharmaceuticals'!$I$14:$I$60,0)),"")</f>
        <v/>
      </c>
      <c r="H21" s="625" t="str">
        <f t="array" ref="H21">IFERROR(INDEX('Malaria-Pharmaceuticals'!$M$14:$M$60,MATCH($E21&amp;$F21,'Malaria-Pharmaceuticals'!$E$14:$E$60&amp;'Malaria-Pharmaceuticals'!$I$14:$I$60,0)),"")</f>
        <v/>
      </c>
      <c r="I21" s="625">
        <f t="array" ref="I21">IFERROR(INDEX('Malaria-Pharmaceuticals'!$N$14:$N$60,MATCH($E21&amp;$F21,'Malaria-Pharmaceuticals'!$E$14:$E$60&amp;'Malaria-Pharmaceuticals'!$I$14:$I$60,0)),0)</f>
        <v>0</v>
      </c>
      <c r="J21" s="625">
        <f t="array" ref="J21">IFERROR(INDEX('Malaria-Pharmaceuticals'!$O$14:$O$60,MATCH($E21&amp;$F21,'Malaria-Pharmaceuticals'!$E$14:$E$60&amp;'Malaria-Pharmaceuticals'!$I$14:$I$60,0)),0)</f>
        <v>0</v>
      </c>
      <c r="K21" s="626">
        <f t="shared" si="0"/>
        <v>0</v>
      </c>
      <c r="L21" s="626">
        <f t="shared" si="1"/>
        <v>0</v>
      </c>
      <c r="M21" s="626">
        <f t="shared" si="2"/>
        <v>0</v>
      </c>
      <c r="N21" s="625">
        <f t="array" ref="N21">IFERROR(INDEX('Malaria-Pharmaceuticals'!$P$14:$P$60,MATCH($E21&amp;$F21,'Malaria-Pharmaceuticals'!$E$14:$E$60&amp;'Malaria-Pharmaceuticals'!$I$14:$I$60,0)),0)</f>
        <v>0</v>
      </c>
      <c r="O21" s="626">
        <f t="shared" si="3"/>
        <v>0</v>
      </c>
      <c r="P21" s="626">
        <f t="shared" si="4"/>
        <v>0</v>
      </c>
      <c r="Q21" s="626">
        <f t="shared" si="5"/>
        <v>0</v>
      </c>
      <c r="R21" s="625">
        <f t="array" ref="R21">IFERROR(INDEX('Malaria-Pharmaceuticals'!$Q$14:$Q$60,MATCH($E21&amp;$F21,'Malaria-Pharmaceuticals'!$E$14:$E$60&amp;'Malaria-Pharmaceuticals'!$I$14:$I$60,0)),0)</f>
        <v>0</v>
      </c>
      <c r="S21" s="626">
        <f t="shared" si="6"/>
        <v>0</v>
      </c>
      <c r="T21" s="626">
        <f t="shared" si="7"/>
        <v>0</v>
      </c>
      <c r="U21" s="626">
        <f t="shared" si="8"/>
        <v>0</v>
      </c>
      <c r="V21" s="625">
        <f t="array" ref="V21">IFERROR(INDEX('Malaria-Pharmaceuticals'!$R$14:$R$60,MATCH($E21&amp;$F21,'Malaria-Pharmaceuticals'!$E$14:$E$60&amp;'Malaria-Pharmaceuticals'!$I$14:$I$60,0)),0)</f>
        <v>0</v>
      </c>
      <c r="W21" s="626">
        <f t="shared" si="9"/>
        <v>0</v>
      </c>
      <c r="X21" s="626">
        <f t="shared" si="10"/>
        <v>0</v>
      </c>
      <c r="Y21" s="626">
        <f t="shared" si="11"/>
        <v>0</v>
      </c>
      <c r="Z21" s="627"/>
      <c r="AA21" s="625">
        <f t="array" ref="AA21">IFERROR(INDEX('Malaria-Pharmaceuticals'!$U$14:$U$60,MATCH($E21&amp;$F21,'Malaria-Pharmaceuticals'!$E$14:$E$60&amp;'Malaria-Pharmaceuticals'!$I$14:$I$60,0)),0)</f>
        <v>0</v>
      </c>
      <c r="AB21" s="625">
        <f t="array" ref="AB21">IFERROR(INDEX('Malaria-Pharmaceuticals'!$V$14:$V$60,MATCH($E21&amp;$F21,'Malaria-Pharmaceuticals'!$E$14:$E$60&amp;'Malaria-Pharmaceuticals'!$I$14:$I$60,0)),0)</f>
        <v>0</v>
      </c>
      <c r="AC21" s="625">
        <f t="shared" si="12"/>
        <v>0</v>
      </c>
      <c r="AD21" s="626">
        <f t="shared" si="13"/>
        <v>0</v>
      </c>
      <c r="AE21" s="626">
        <f t="shared" si="14"/>
        <v>0</v>
      </c>
      <c r="AF21" s="625">
        <f t="array" ref="AF21">IFERROR(INDEX('Malaria-Pharmaceuticals'!$W$14:$W$60,MATCH($E21&amp;$F21,'Malaria-Pharmaceuticals'!$E$14:$E$60&amp;'Malaria-Pharmaceuticals'!$I$14:$I$60,0)),0)</f>
        <v>0</v>
      </c>
      <c r="AG21" s="625">
        <f t="shared" si="15"/>
        <v>0</v>
      </c>
      <c r="AH21" s="626">
        <f t="shared" si="16"/>
        <v>0</v>
      </c>
      <c r="AI21" s="626">
        <f t="shared" si="17"/>
        <v>0</v>
      </c>
      <c r="AJ21" s="625">
        <f t="array" ref="AJ21">IFERROR(INDEX('Malaria-Pharmaceuticals'!$X$14:$X$60,MATCH($E21&amp;$F21,'Malaria-Pharmaceuticals'!$E$14:$E$60&amp;'Malaria-Pharmaceuticals'!$I$14:$I$60,0)),0)</f>
        <v>0</v>
      </c>
      <c r="AK21" s="625">
        <f t="shared" si="18"/>
        <v>0</v>
      </c>
      <c r="AL21" s="626">
        <f t="shared" si="19"/>
        <v>0</v>
      </c>
      <c r="AM21" s="626">
        <f t="shared" si="20"/>
        <v>0</v>
      </c>
      <c r="AN21" s="625">
        <f t="array" ref="AN21">IFERROR(INDEX('Malaria-Pharmaceuticals'!$Y$14:$Y$60,MATCH($E21&amp;$F21,'Malaria-Pharmaceuticals'!$E$14:$E$60&amp;'Malaria-Pharmaceuticals'!$I$14:$I$60,0)),0)</f>
        <v>0</v>
      </c>
      <c r="AO21" s="625">
        <f t="shared" si="21"/>
        <v>0</v>
      </c>
      <c r="AP21" s="626">
        <f t="shared" si="22"/>
        <v>0</v>
      </c>
      <c r="AQ21" s="626">
        <f t="shared" si="23"/>
        <v>0</v>
      </c>
      <c r="AR21" s="627"/>
      <c r="AS21" s="625">
        <f t="array" ref="AS21">IFERROR(INDEX('Malaria-Pharmaceuticals'!$AB$14:$AB$60,MATCH($E21&amp;$F21,'Malaria-Pharmaceuticals'!$E$14:$E$60&amp;'Malaria-Pharmaceuticals'!$I$14:$I$60,0)),0)</f>
        <v>0</v>
      </c>
      <c r="AT21" s="625">
        <f t="array" ref="AT21">IFERROR(INDEX('Malaria-Pharmaceuticals'!$AC$14:$AC$60,MATCH($E21&amp;$F21,'Malaria-Pharmaceuticals'!$E$14:$E$60&amp;'Malaria-Pharmaceuticals'!$I$14:$I$60,0)),0)</f>
        <v>0</v>
      </c>
      <c r="AU21" s="625">
        <f t="shared" si="24"/>
        <v>0</v>
      </c>
      <c r="AV21" s="626">
        <f t="shared" si="25"/>
        <v>0</v>
      </c>
      <c r="AW21" s="626">
        <f t="shared" si="26"/>
        <v>0</v>
      </c>
      <c r="AX21" s="625">
        <f t="array" ref="AX21">IFERROR(INDEX('Malaria-Pharmaceuticals'!$AD$14:$AD$60,MATCH($E21&amp;$F21,'Malaria-Pharmaceuticals'!$E$14:$E$60&amp;'Malaria-Pharmaceuticals'!$I$14:$I$60,0)),0)</f>
        <v>0</v>
      </c>
      <c r="AY21" s="625">
        <f t="shared" si="27"/>
        <v>0</v>
      </c>
      <c r="AZ21" s="626">
        <f t="shared" si="28"/>
        <v>0</v>
      </c>
      <c r="BA21" s="626">
        <f t="shared" si="29"/>
        <v>0</v>
      </c>
      <c r="BB21" s="625">
        <f t="array" ref="BB21">IFERROR(INDEX('Malaria-Pharmaceuticals'!$AE$14:$AE$60,MATCH($E21&amp;$F21,'Malaria-Pharmaceuticals'!$E$14:$E$60&amp;'Malaria-Pharmaceuticals'!$I$14:$I$60,0)),0)</f>
        <v>0</v>
      </c>
      <c r="BC21" s="625">
        <f t="shared" si="30"/>
        <v>0</v>
      </c>
      <c r="BD21" s="626">
        <f t="shared" si="31"/>
        <v>0</v>
      </c>
      <c r="BE21" s="626">
        <f t="shared" si="32"/>
        <v>0</v>
      </c>
      <c r="BF21" s="625">
        <f t="array" ref="BF21">IFERROR(INDEX('Malaria-Pharmaceuticals'!$AF$14:$AF$60,MATCH($E21&amp;$F21,'Malaria-Pharmaceuticals'!$E$14:$E$60&amp;'Malaria-Pharmaceuticals'!$I$14:$I$60,0)),0)</f>
        <v>0</v>
      </c>
      <c r="BG21" s="625">
        <f t="shared" si="33"/>
        <v>0</v>
      </c>
      <c r="BH21" s="626">
        <f t="shared" si="34"/>
        <v>0</v>
      </c>
      <c r="BI21" s="626">
        <f t="shared" si="35"/>
        <v>0</v>
      </c>
      <c r="BK21" s="626"/>
      <c r="BL21" s="626"/>
      <c r="BM21" s="626"/>
      <c r="BN21" s="626"/>
      <c r="BO21" s="626"/>
      <c r="BP21" s="626"/>
      <c r="BQ21" s="626"/>
      <c r="BR21" s="626"/>
      <c r="BT21" s="21" t="s">
        <v>6803</v>
      </c>
    </row>
    <row r="22" spans="1:72">
      <c r="A22" s="32" t="s">
        <v>576</v>
      </c>
      <c r="B22" s="32" t="s">
        <v>522</v>
      </c>
      <c r="C22" s="626">
        <f>SETUP!$F$50</f>
        <v>0</v>
      </c>
      <c r="D22" s="31">
        <v>4.3</v>
      </c>
      <c r="E22" s="32" t="s">
        <v>394</v>
      </c>
      <c r="F22" s="32" t="s">
        <v>1119</v>
      </c>
      <c r="G22" s="625" t="str">
        <f t="array" ref="G22">IFERROR(INDEX('Malaria-Pharmaceuticals'!$L$14:$L$60,MATCH($E22&amp;$F22,'Malaria-Pharmaceuticals'!$E$14:$E$60&amp;'Malaria-Pharmaceuticals'!$I$14:$I$60,0)),"")</f>
        <v/>
      </c>
      <c r="H22" s="625" t="str">
        <f t="array" ref="H22">IFERROR(INDEX('Malaria-Pharmaceuticals'!$M$14:$M$60,MATCH($E22&amp;$F22,'Malaria-Pharmaceuticals'!$E$14:$E$60&amp;'Malaria-Pharmaceuticals'!$I$14:$I$60,0)),"")</f>
        <v/>
      </c>
      <c r="I22" s="625">
        <f t="array" ref="I22">IFERROR(INDEX('Malaria-Pharmaceuticals'!$N$14:$N$60,MATCH($E22&amp;$F22,'Malaria-Pharmaceuticals'!$E$14:$E$60&amp;'Malaria-Pharmaceuticals'!$I$14:$I$60,0)),0)</f>
        <v>0</v>
      </c>
      <c r="J22" s="625">
        <f t="array" ref="J22">IFERROR(INDEX('Malaria-Pharmaceuticals'!$O$14:$O$60,MATCH($E22&amp;$F22,'Malaria-Pharmaceuticals'!$E$14:$E$60&amp;'Malaria-Pharmaceuticals'!$I$14:$I$60,0)),0)</f>
        <v>0</v>
      </c>
      <c r="K22" s="626">
        <f t="shared" si="0"/>
        <v>0</v>
      </c>
      <c r="L22" s="626">
        <f t="shared" si="1"/>
        <v>0</v>
      </c>
      <c r="M22" s="626">
        <f t="shared" si="2"/>
        <v>0</v>
      </c>
      <c r="N22" s="625">
        <f t="array" ref="N22">IFERROR(INDEX('Malaria-Pharmaceuticals'!$P$14:$P$60,MATCH($E22&amp;$F22,'Malaria-Pharmaceuticals'!$E$14:$E$60&amp;'Malaria-Pharmaceuticals'!$I$14:$I$60,0)),0)</f>
        <v>0</v>
      </c>
      <c r="O22" s="626">
        <f t="shared" si="3"/>
        <v>0</v>
      </c>
      <c r="P22" s="626">
        <f t="shared" si="4"/>
        <v>0</v>
      </c>
      <c r="Q22" s="626">
        <f t="shared" si="5"/>
        <v>0</v>
      </c>
      <c r="R22" s="625">
        <f t="array" ref="R22">IFERROR(INDEX('Malaria-Pharmaceuticals'!$Q$14:$Q$60,MATCH($E22&amp;$F22,'Malaria-Pharmaceuticals'!$E$14:$E$60&amp;'Malaria-Pharmaceuticals'!$I$14:$I$60,0)),0)</f>
        <v>0</v>
      </c>
      <c r="S22" s="626">
        <f t="shared" si="6"/>
        <v>0</v>
      </c>
      <c r="T22" s="626">
        <f t="shared" si="7"/>
        <v>0</v>
      </c>
      <c r="U22" s="626">
        <f t="shared" si="8"/>
        <v>0</v>
      </c>
      <c r="V22" s="625">
        <f t="array" ref="V22">IFERROR(INDEX('Malaria-Pharmaceuticals'!$R$14:$R$60,MATCH($E22&amp;$F22,'Malaria-Pharmaceuticals'!$E$14:$E$60&amp;'Malaria-Pharmaceuticals'!$I$14:$I$60,0)),0)</f>
        <v>0</v>
      </c>
      <c r="W22" s="626">
        <f t="shared" si="9"/>
        <v>0</v>
      </c>
      <c r="X22" s="626">
        <f t="shared" si="10"/>
        <v>0</v>
      </c>
      <c r="Y22" s="626">
        <f t="shared" si="11"/>
        <v>0</v>
      </c>
      <c r="Z22" s="627"/>
      <c r="AA22" s="625">
        <f t="array" ref="AA22">IFERROR(INDEX('Malaria-Pharmaceuticals'!$U$14:$U$60,MATCH($E22&amp;$F22,'Malaria-Pharmaceuticals'!$E$14:$E$60&amp;'Malaria-Pharmaceuticals'!$I$14:$I$60,0)),0)</f>
        <v>0</v>
      </c>
      <c r="AB22" s="625">
        <f t="array" ref="AB22">IFERROR(INDEX('Malaria-Pharmaceuticals'!$V$14:$V$60,MATCH($E22&amp;$F22,'Malaria-Pharmaceuticals'!$E$14:$E$60&amp;'Malaria-Pharmaceuticals'!$I$14:$I$60,0)),0)</f>
        <v>0</v>
      </c>
      <c r="AC22" s="625">
        <f t="shared" si="12"/>
        <v>0</v>
      </c>
      <c r="AD22" s="626">
        <f t="shared" si="13"/>
        <v>0</v>
      </c>
      <c r="AE22" s="626">
        <f t="shared" si="14"/>
        <v>0</v>
      </c>
      <c r="AF22" s="625">
        <f t="array" ref="AF22">IFERROR(INDEX('Malaria-Pharmaceuticals'!$W$14:$W$60,MATCH($E22&amp;$F22,'Malaria-Pharmaceuticals'!$E$14:$E$60&amp;'Malaria-Pharmaceuticals'!$I$14:$I$60,0)),0)</f>
        <v>0</v>
      </c>
      <c r="AG22" s="625">
        <f t="shared" si="15"/>
        <v>0</v>
      </c>
      <c r="AH22" s="626">
        <f t="shared" si="16"/>
        <v>0</v>
      </c>
      <c r="AI22" s="626">
        <f t="shared" si="17"/>
        <v>0</v>
      </c>
      <c r="AJ22" s="625">
        <f t="array" ref="AJ22">IFERROR(INDEX('Malaria-Pharmaceuticals'!$X$14:$X$60,MATCH($E22&amp;$F22,'Malaria-Pharmaceuticals'!$E$14:$E$60&amp;'Malaria-Pharmaceuticals'!$I$14:$I$60,0)),0)</f>
        <v>0</v>
      </c>
      <c r="AK22" s="625">
        <f t="shared" si="18"/>
        <v>0</v>
      </c>
      <c r="AL22" s="626">
        <f t="shared" si="19"/>
        <v>0</v>
      </c>
      <c r="AM22" s="626">
        <f t="shared" si="20"/>
        <v>0</v>
      </c>
      <c r="AN22" s="625">
        <f t="array" ref="AN22">IFERROR(INDEX('Malaria-Pharmaceuticals'!$Y$14:$Y$60,MATCH($E22&amp;$F22,'Malaria-Pharmaceuticals'!$E$14:$E$60&amp;'Malaria-Pharmaceuticals'!$I$14:$I$60,0)),0)</f>
        <v>0</v>
      </c>
      <c r="AO22" s="625">
        <f t="shared" si="21"/>
        <v>0</v>
      </c>
      <c r="AP22" s="626">
        <f t="shared" si="22"/>
        <v>0</v>
      </c>
      <c r="AQ22" s="626">
        <f t="shared" si="23"/>
        <v>0</v>
      </c>
      <c r="AR22" s="627"/>
      <c r="AS22" s="625">
        <f t="array" ref="AS22">IFERROR(INDEX('Malaria-Pharmaceuticals'!$AB$14:$AB$60,MATCH($E22&amp;$F22,'Malaria-Pharmaceuticals'!$E$14:$E$60&amp;'Malaria-Pharmaceuticals'!$I$14:$I$60,0)),0)</f>
        <v>0</v>
      </c>
      <c r="AT22" s="625">
        <f t="array" ref="AT22">IFERROR(INDEX('Malaria-Pharmaceuticals'!$AC$14:$AC$60,MATCH($E22&amp;$F22,'Malaria-Pharmaceuticals'!$E$14:$E$60&amp;'Malaria-Pharmaceuticals'!$I$14:$I$60,0)),0)</f>
        <v>0</v>
      </c>
      <c r="AU22" s="625">
        <f t="shared" si="24"/>
        <v>0</v>
      </c>
      <c r="AV22" s="626">
        <f t="shared" si="25"/>
        <v>0</v>
      </c>
      <c r="AW22" s="626">
        <f t="shared" si="26"/>
        <v>0</v>
      </c>
      <c r="AX22" s="625">
        <f t="array" ref="AX22">IFERROR(INDEX('Malaria-Pharmaceuticals'!$AD$14:$AD$60,MATCH($E22&amp;$F22,'Malaria-Pharmaceuticals'!$E$14:$E$60&amp;'Malaria-Pharmaceuticals'!$I$14:$I$60,0)),0)</f>
        <v>0</v>
      </c>
      <c r="AY22" s="625">
        <f t="shared" si="27"/>
        <v>0</v>
      </c>
      <c r="AZ22" s="626">
        <f t="shared" si="28"/>
        <v>0</v>
      </c>
      <c r="BA22" s="626">
        <f t="shared" si="29"/>
        <v>0</v>
      </c>
      <c r="BB22" s="625">
        <f t="array" ref="BB22">IFERROR(INDEX('Malaria-Pharmaceuticals'!$AE$14:$AE$60,MATCH($E22&amp;$F22,'Malaria-Pharmaceuticals'!$E$14:$E$60&amp;'Malaria-Pharmaceuticals'!$I$14:$I$60,0)),0)</f>
        <v>0</v>
      </c>
      <c r="BC22" s="625">
        <f t="shared" si="30"/>
        <v>0</v>
      </c>
      <c r="BD22" s="626">
        <f t="shared" si="31"/>
        <v>0</v>
      </c>
      <c r="BE22" s="626">
        <f t="shared" si="32"/>
        <v>0</v>
      </c>
      <c r="BF22" s="625">
        <f t="array" ref="BF22">IFERROR(INDEX('Malaria-Pharmaceuticals'!$AF$14:$AF$60,MATCH($E22&amp;$F22,'Malaria-Pharmaceuticals'!$E$14:$E$60&amp;'Malaria-Pharmaceuticals'!$I$14:$I$60,0)),0)</f>
        <v>0</v>
      </c>
      <c r="BG22" s="625">
        <f t="shared" si="33"/>
        <v>0</v>
      </c>
      <c r="BH22" s="626">
        <f t="shared" si="34"/>
        <v>0</v>
      </c>
      <c r="BI22" s="626">
        <f t="shared" si="35"/>
        <v>0</v>
      </c>
      <c r="BK22" s="626"/>
      <c r="BL22" s="626"/>
      <c r="BM22" s="626"/>
      <c r="BN22" s="626"/>
      <c r="BO22" s="626"/>
      <c r="BP22" s="626"/>
      <c r="BQ22" s="626"/>
      <c r="BR22" s="626"/>
      <c r="BT22" s="21" t="s">
        <v>6803</v>
      </c>
    </row>
    <row r="23" spans="1:72">
      <c r="A23" s="32" t="s">
        <v>576</v>
      </c>
      <c r="B23" s="32" t="s">
        <v>522</v>
      </c>
      <c r="C23" s="626">
        <f>SETUP!$F$50</f>
        <v>0</v>
      </c>
      <c r="D23" s="31">
        <v>4.3</v>
      </c>
      <c r="E23" s="32" t="s">
        <v>392</v>
      </c>
      <c r="F23" s="32" t="s">
        <v>1120</v>
      </c>
      <c r="G23" s="625" t="str">
        <f t="array" ref="G23">IFERROR(INDEX('Malaria-Pharmaceuticals'!$L$14:$L$60,MATCH($E23&amp;$F23,'Malaria-Pharmaceuticals'!$E$14:$E$60&amp;'Malaria-Pharmaceuticals'!$I$14:$I$60,0)),"")</f>
        <v/>
      </c>
      <c r="H23" s="625" t="str">
        <f t="array" ref="H23">IFERROR(INDEX('Malaria-Pharmaceuticals'!$M$14:$M$60,MATCH($E23&amp;$F23,'Malaria-Pharmaceuticals'!$E$14:$E$60&amp;'Malaria-Pharmaceuticals'!$I$14:$I$60,0)),"")</f>
        <v/>
      </c>
      <c r="I23" s="625">
        <f t="array" ref="I23">IFERROR(INDEX('Malaria-Pharmaceuticals'!$N$14:$N$60,MATCH($E23&amp;$F23,'Malaria-Pharmaceuticals'!$E$14:$E$60&amp;'Malaria-Pharmaceuticals'!$I$14:$I$60,0)),0)</f>
        <v>0</v>
      </c>
      <c r="J23" s="625">
        <f t="array" ref="J23">IFERROR(INDEX('Malaria-Pharmaceuticals'!$O$14:$O$60,MATCH($E23&amp;$F23,'Malaria-Pharmaceuticals'!$E$14:$E$60&amp;'Malaria-Pharmaceuticals'!$I$14:$I$60,0)),0)</f>
        <v>0</v>
      </c>
      <c r="K23" s="626">
        <f t="shared" si="0"/>
        <v>0</v>
      </c>
      <c r="L23" s="626">
        <f t="shared" si="1"/>
        <v>0</v>
      </c>
      <c r="M23" s="626">
        <f t="shared" si="2"/>
        <v>0</v>
      </c>
      <c r="N23" s="625">
        <f t="array" ref="N23">IFERROR(INDEX('Malaria-Pharmaceuticals'!$P$14:$P$60,MATCH($E23&amp;$F23,'Malaria-Pharmaceuticals'!$E$14:$E$60&amp;'Malaria-Pharmaceuticals'!$I$14:$I$60,0)),0)</f>
        <v>0</v>
      </c>
      <c r="O23" s="626">
        <f t="shared" si="3"/>
        <v>0</v>
      </c>
      <c r="P23" s="626">
        <f t="shared" si="4"/>
        <v>0</v>
      </c>
      <c r="Q23" s="626">
        <f t="shared" si="5"/>
        <v>0</v>
      </c>
      <c r="R23" s="625">
        <f t="array" ref="R23">IFERROR(INDEX('Malaria-Pharmaceuticals'!$Q$14:$Q$60,MATCH($E23&amp;$F23,'Malaria-Pharmaceuticals'!$E$14:$E$60&amp;'Malaria-Pharmaceuticals'!$I$14:$I$60,0)),0)</f>
        <v>0</v>
      </c>
      <c r="S23" s="626">
        <f t="shared" si="6"/>
        <v>0</v>
      </c>
      <c r="T23" s="626">
        <f t="shared" si="7"/>
        <v>0</v>
      </c>
      <c r="U23" s="626">
        <f t="shared" si="8"/>
        <v>0</v>
      </c>
      <c r="V23" s="625">
        <f t="array" ref="V23">IFERROR(INDEX('Malaria-Pharmaceuticals'!$R$14:$R$60,MATCH($E23&amp;$F23,'Malaria-Pharmaceuticals'!$E$14:$E$60&amp;'Malaria-Pharmaceuticals'!$I$14:$I$60,0)),0)</f>
        <v>0</v>
      </c>
      <c r="W23" s="626">
        <f t="shared" si="9"/>
        <v>0</v>
      </c>
      <c r="X23" s="626">
        <f t="shared" si="10"/>
        <v>0</v>
      </c>
      <c r="Y23" s="626">
        <f t="shared" si="11"/>
        <v>0</v>
      </c>
      <c r="Z23" s="627"/>
      <c r="AA23" s="625">
        <f t="array" ref="AA23">IFERROR(INDEX('Malaria-Pharmaceuticals'!$U$14:$U$60,MATCH($E23&amp;$F23,'Malaria-Pharmaceuticals'!$E$14:$E$60&amp;'Malaria-Pharmaceuticals'!$I$14:$I$60,0)),0)</f>
        <v>0</v>
      </c>
      <c r="AB23" s="625">
        <f t="array" ref="AB23">IFERROR(INDEX('Malaria-Pharmaceuticals'!$V$14:$V$60,MATCH($E23&amp;$F23,'Malaria-Pharmaceuticals'!$E$14:$E$60&amp;'Malaria-Pharmaceuticals'!$I$14:$I$60,0)),0)</f>
        <v>0</v>
      </c>
      <c r="AC23" s="625">
        <f t="shared" si="12"/>
        <v>0</v>
      </c>
      <c r="AD23" s="626">
        <f t="shared" si="13"/>
        <v>0</v>
      </c>
      <c r="AE23" s="626">
        <f t="shared" si="14"/>
        <v>0</v>
      </c>
      <c r="AF23" s="625">
        <f t="array" ref="AF23">IFERROR(INDEX('Malaria-Pharmaceuticals'!$W$14:$W$60,MATCH($E23&amp;$F23,'Malaria-Pharmaceuticals'!$E$14:$E$60&amp;'Malaria-Pharmaceuticals'!$I$14:$I$60,0)),0)</f>
        <v>0</v>
      </c>
      <c r="AG23" s="625">
        <f t="shared" si="15"/>
        <v>0</v>
      </c>
      <c r="AH23" s="626">
        <f t="shared" si="16"/>
        <v>0</v>
      </c>
      <c r="AI23" s="626">
        <f t="shared" si="17"/>
        <v>0</v>
      </c>
      <c r="AJ23" s="625">
        <f t="array" ref="AJ23">IFERROR(INDEX('Malaria-Pharmaceuticals'!$X$14:$X$60,MATCH($E23&amp;$F23,'Malaria-Pharmaceuticals'!$E$14:$E$60&amp;'Malaria-Pharmaceuticals'!$I$14:$I$60,0)),0)</f>
        <v>0</v>
      </c>
      <c r="AK23" s="625">
        <f t="shared" si="18"/>
        <v>0</v>
      </c>
      <c r="AL23" s="626">
        <f t="shared" si="19"/>
        <v>0</v>
      </c>
      <c r="AM23" s="626">
        <f t="shared" si="20"/>
        <v>0</v>
      </c>
      <c r="AN23" s="625">
        <f t="array" ref="AN23">IFERROR(INDEX('Malaria-Pharmaceuticals'!$Y$14:$Y$60,MATCH($E23&amp;$F23,'Malaria-Pharmaceuticals'!$E$14:$E$60&amp;'Malaria-Pharmaceuticals'!$I$14:$I$60,0)),0)</f>
        <v>0</v>
      </c>
      <c r="AO23" s="625">
        <f t="shared" si="21"/>
        <v>0</v>
      </c>
      <c r="AP23" s="626">
        <f t="shared" si="22"/>
        <v>0</v>
      </c>
      <c r="AQ23" s="626">
        <f t="shared" si="23"/>
        <v>0</v>
      </c>
      <c r="AR23" s="627"/>
      <c r="AS23" s="625">
        <f t="array" ref="AS23">IFERROR(INDEX('Malaria-Pharmaceuticals'!$AB$14:$AB$60,MATCH($E23&amp;$F23,'Malaria-Pharmaceuticals'!$E$14:$E$60&amp;'Malaria-Pharmaceuticals'!$I$14:$I$60,0)),0)</f>
        <v>0</v>
      </c>
      <c r="AT23" s="625">
        <f t="array" ref="AT23">IFERROR(INDEX('Malaria-Pharmaceuticals'!$AC$14:$AC$60,MATCH($E23&amp;$F23,'Malaria-Pharmaceuticals'!$E$14:$E$60&amp;'Malaria-Pharmaceuticals'!$I$14:$I$60,0)),0)</f>
        <v>0</v>
      </c>
      <c r="AU23" s="625">
        <f t="shared" si="24"/>
        <v>0</v>
      </c>
      <c r="AV23" s="626">
        <f t="shared" si="25"/>
        <v>0</v>
      </c>
      <c r="AW23" s="626">
        <f t="shared" si="26"/>
        <v>0</v>
      </c>
      <c r="AX23" s="625">
        <f t="array" ref="AX23">IFERROR(INDEX('Malaria-Pharmaceuticals'!$AD$14:$AD$60,MATCH($E23&amp;$F23,'Malaria-Pharmaceuticals'!$E$14:$E$60&amp;'Malaria-Pharmaceuticals'!$I$14:$I$60,0)),0)</f>
        <v>0</v>
      </c>
      <c r="AY23" s="625">
        <f t="shared" si="27"/>
        <v>0</v>
      </c>
      <c r="AZ23" s="626">
        <f t="shared" si="28"/>
        <v>0</v>
      </c>
      <c r="BA23" s="626">
        <f t="shared" si="29"/>
        <v>0</v>
      </c>
      <c r="BB23" s="625">
        <f t="array" ref="BB23">IFERROR(INDEX('Malaria-Pharmaceuticals'!$AE$14:$AE$60,MATCH($E23&amp;$F23,'Malaria-Pharmaceuticals'!$E$14:$E$60&amp;'Malaria-Pharmaceuticals'!$I$14:$I$60,0)),0)</f>
        <v>0</v>
      </c>
      <c r="BC23" s="625">
        <f t="shared" si="30"/>
        <v>0</v>
      </c>
      <c r="BD23" s="626">
        <f t="shared" si="31"/>
        <v>0</v>
      </c>
      <c r="BE23" s="626">
        <f t="shared" si="32"/>
        <v>0</v>
      </c>
      <c r="BF23" s="625">
        <f t="array" ref="BF23">IFERROR(INDEX('Malaria-Pharmaceuticals'!$AF$14:$AF$60,MATCH($E23&amp;$F23,'Malaria-Pharmaceuticals'!$E$14:$E$60&amp;'Malaria-Pharmaceuticals'!$I$14:$I$60,0)),0)</f>
        <v>0</v>
      </c>
      <c r="BG23" s="625">
        <f t="shared" si="33"/>
        <v>0</v>
      </c>
      <c r="BH23" s="626">
        <f t="shared" si="34"/>
        <v>0</v>
      </c>
      <c r="BI23" s="626">
        <f t="shared" si="35"/>
        <v>0</v>
      </c>
      <c r="BK23" s="626"/>
      <c r="BL23" s="626"/>
      <c r="BM23" s="626"/>
      <c r="BN23" s="626"/>
      <c r="BO23" s="626"/>
      <c r="BP23" s="626"/>
      <c r="BQ23" s="626"/>
      <c r="BR23" s="626"/>
      <c r="BT23" s="21" t="s">
        <v>6804</v>
      </c>
    </row>
    <row r="24" spans="1:72">
      <c r="A24" s="32" t="s">
        <v>576</v>
      </c>
      <c r="B24" s="32" t="s">
        <v>522</v>
      </c>
      <c r="C24" s="626">
        <f>SETUP!$F$50</f>
        <v>0</v>
      </c>
      <c r="D24" s="31">
        <v>4.3</v>
      </c>
      <c r="E24" s="32" t="s">
        <v>392</v>
      </c>
      <c r="F24" s="32" t="s">
        <v>1121</v>
      </c>
      <c r="G24" s="625" t="str">
        <f t="array" ref="G24">IFERROR(INDEX('Malaria-Pharmaceuticals'!$L$14:$L$60,MATCH($E24&amp;$F24,'Malaria-Pharmaceuticals'!$E$14:$E$60&amp;'Malaria-Pharmaceuticals'!$I$14:$I$60,0)),"")</f>
        <v/>
      </c>
      <c r="H24" s="625" t="str">
        <f t="array" ref="H24">IFERROR(INDEX('Malaria-Pharmaceuticals'!$M$14:$M$60,MATCH($E24&amp;$F24,'Malaria-Pharmaceuticals'!$E$14:$E$60&amp;'Malaria-Pharmaceuticals'!$I$14:$I$60,0)),"")</f>
        <v/>
      </c>
      <c r="I24" s="625">
        <f t="array" ref="I24">IFERROR(INDEX('Malaria-Pharmaceuticals'!$N$14:$N$60,MATCH($E24&amp;$F24,'Malaria-Pharmaceuticals'!$E$14:$E$60&amp;'Malaria-Pharmaceuticals'!$I$14:$I$60,0)),0)</f>
        <v>0</v>
      </c>
      <c r="J24" s="625">
        <f t="array" ref="J24">IFERROR(INDEX('Malaria-Pharmaceuticals'!$O$14:$O$60,MATCH($E24&amp;$F24,'Malaria-Pharmaceuticals'!$E$14:$E$60&amp;'Malaria-Pharmaceuticals'!$I$14:$I$60,0)),0)</f>
        <v>0</v>
      </c>
      <c r="K24" s="626">
        <f t="shared" si="0"/>
        <v>0</v>
      </c>
      <c r="L24" s="626">
        <f t="shared" si="1"/>
        <v>0</v>
      </c>
      <c r="M24" s="626">
        <f t="shared" si="2"/>
        <v>0</v>
      </c>
      <c r="N24" s="625">
        <f t="array" ref="N24">IFERROR(INDEX('Malaria-Pharmaceuticals'!$P$14:$P$60,MATCH($E24&amp;$F24,'Malaria-Pharmaceuticals'!$E$14:$E$60&amp;'Malaria-Pharmaceuticals'!$I$14:$I$60,0)),0)</f>
        <v>0</v>
      </c>
      <c r="O24" s="626">
        <f t="shared" si="3"/>
        <v>0</v>
      </c>
      <c r="P24" s="626">
        <f t="shared" si="4"/>
        <v>0</v>
      </c>
      <c r="Q24" s="626">
        <f t="shared" si="5"/>
        <v>0</v>
      </c>
      <c r="R24" s="625">
        <f t="array" ref="R24">IFERROR(INDEX('Malaria-Pharmaceuticals'!$Q$14:$Q$60,MATCH($E24&amp;$F24,'Malaria-Pharmaceuticals'!$E$14:$E$60&amp;'Malaria-Pharmaceuticals'!$I$14:$I$60,0)),0)</f>
        <v>0</v>
      </c>
      <c r="S24" s="626">
        <f t="shared" si="6"/>
        <v>0</v>
      </c>
      <c r="T24" s="626">
        <f t="shared" si="7"/>
        <v>0</v>
      </c>
      <c r="U24" s="626">
        <f t="shared" si="8"/>
        <v>0</v>
      </c>
      <c r="V24" s="625">
        <f t="array" ref="V24">IFERROR(INDEX('Malaria-Pharmaceuticals'!$R$14:$R$60,MATCH($E24&amp;$F24,'Malaria-Pharmaceuticals'!$E$14:$E$60&amp;'Malaria-Pharmaceuticals'!$I$14:$I$60,0)),0)</f>
        <v>0</v>
      </c>
      <c r="W24" s="626">
        <f t="shared" si="9"/>
        <v>0</v>
      </c>
      <c r="X24" s="626">
        <f t="shared" si="10"/>
        <v>0</v>
      </c>
      <c r="Y24" s="626">
        <f t="shared" si="11"/>
        <v>0</v>
      </c>
      <c r="Z24" s="627"/>
      <c r="AA24" s="625">
        <f t="array" ref="AA24">IFERROR(INDEX('Malaria-Pharmaceuticals'!$U$14:$U$60,MATCH($E24&amp;$F24,'Malaria-Pharmaceuticals'!$E$14:$E$60&amp;'Malaria-Pharmaceuticals'!$I$14:$I$60,0)),0)</f>
        <v>0</v>
      </c>
      <c r="AB24" s="625">
        <f t="array" ref="AB24">IFERROR(INDEX('Malaria-Pharmaceuticals'!$V$14:$V$60,MATCH($E24&amp;$F24,'Malaria-Pharmaceuticals'!$E$14:$E$60&amp;'Malaria-Pharmaceuticals'!$I$14:$I$60,0)),0)</f>
        <v>0</v>
      </c>
      <c r="AC24" s="625">
        <f t="shared" si="12"/>
        <v>0</v>
      </c>
      <c r="AD24" s="626">
        <f t="shared" si="13"/>
        <v>0</v>
      </c>
      <c r="AE24" s="626">
        <f t="shared" si="14"/>
        <v>0</v>
      </c>
      <c r="AF24" s="625">
        <f t="array" ref="AF24">IFERROR(INDEX('Malaria-Pharmaceuticals'!$W$14:$W$60,MATCH($E24&amp;$F24,'Malaria-Pharmaceuticals'!$E$14:$E$60&amp;'Malaria-Pharmaceuticals'!$I$14:$I$60,0)),0)</f>
        <v>0</v>
      </c>
      <c r="AG24" s="625">
        <f t="shared" si="15"/>
        <v>0</v>
      </c>
      <c r="AH24" s="626">
        <f t="shared" si="16"/>
        <v>0</v>
      </c>
      <c r="AI24" s="626">
        <f t="shared" si="17"/>
        <v>0</v>
      </c>
      <c r="AJ24" s="625">
        <f t="array" ref="AJ24">IFERROR(INDEX('Malaria-Pharmaceuticals'!$X$14:$X$60,MATCH($E24&amp;$F24,'Malaria-Pharmaceuticals'!$E$14:$E$60&amp;'Malaria-Pharmaceuticals'!$I$14:$I$60,0)),0)</f>
        <v>0</v>
      </c>
      <c r="AK24" s="625">
        <f t="shared" si="18"/>
        <v>0</v>
      </c>
      <c r="AL24" s="626">
        <f t="shared" si="19"/>
        <v>0</v>
      </c>
      <c r="AM24" s="626">
        <f t="shared" si="20"/>
        <v>0</v>
      </c>
      <c r="AN24" s="625">
        <f t="array" ref="AN24">IFERROR(INDEX('Malaria-Pharmaceuticals'!$Y$14:$Y$60,MATCH($E24&amp;$F24,'Malaria-Pharmaceuticals'!$E$14:$E$60&amp;'Malaria-Pharmaceuticals'!$I$14:$I$60,0)),0)</f>
        <v>0</v>
      </c>
      <c r="AO24" s="625">
        <f t="shared" si="21"/>
        <v>0</v>
      </c>
      <c r="AP24" s="626">
        <f t="shared" si="22"/>
        <v>0</v>
      </c>
      <c r="AQ24" s="626">
        <f t="shared" si="23"/>
        <v>0</v>
      </c>
      <c r="AR24" s="627"/>
      <c r="AS24" s="625">
        <f t="array" ref="AS24">IFERROR(INDEX('Malaria-Pharmaceuticals'!$AB$14:$AB$60,MATCH($E24&amp;$F24,'Malaria-Pharmaceuticals'!$E$14:$E$60&amp;'Malaria-Pharmaceuticals'!$I$14:$I$60,0)),0)</f>
        <v>0</v>
      </c>
      <c r="AT24" s="625">
        <f t="array" ref="AT24">IFERROR(INDEX('Malaria-Pharmaceuticals'!$AC$14:$AC$60,MATCH($E24&amp;$F24,'Malaria-Pharmaceuticals'!$E$14:$E$60&amp;'Malaria-Pharmaceuticals'!$I$14:$I$60,0)),0)</f>
        <v>0</v>
      </c>
      <c r="AU24" s="625">
        <f t="shared" si="24"/>
        <v>0</v>
      </c>
      <c r="AV24" s="626">
        <f t="shared" si="25"/>
        <v>0</v>
      </c>
      <c r="AW24" s="626">
        <f t="shared" si="26"/>
        <v>0</v>
      </c>
      <c r="AX24" s="625">
        <f t="array" ref="AX24">IFERROR(INDEX('Malaria-Pharmaceuticals'!$AD$14:$AD$60,MATCH($E24&amp;$F24,'Malaria-Pharmaceuticals'!$E$14:$E$60&amp;'Malaria-Pharmaceuticals'!$I$14:$I$60,0)),0)</f>
        <v>0</v>
      </c>
      <c r="AY24" s="625">
        <f t="shared" si="27"/>
        <v>0</v>
      </c>
      <c r="AZ24" s="626">
        <f t="shared" si="28"/>
        <v>0</v>
      </c>
      <c r="BA24" s="626">
        <f t="shared" si="29"/>
        <v>0</v>
      </c>
      <c r="BB24" s="625">
        <f t="array" ref="BB24">IFERROR(INDEX('Malaria-Pharmaceuticals'!$AE$14:$AE$60,MATCH($E24&amp;$F24,'Malaria-Pharmaceuticals'!$E$14:$E$60&amp;'Malaria-Pharmaceuticals'!$I$14:$I$60,0)),0)</f>
        <v>0</v>
      </c>
      <c r="BC24" s="625">
        <f t="shared" si="30"/>
        <v>0</v>
      </c>
      <c r="BD24" s="626">
        <f t="shared" si="31"/>
        <v>0</v>
      </c>
      <c r="BE24" s="626">
        <f t="shared" si="32"/>
        <v>0</v>
      </c>
      <c r="BF24" s="625">
        <f t="array" ref="BF24">IFERROR(INDEX('Malaria-Pharmaceuticals'!$AF$14:$AF$60,MATCH($E24&amp;$F24,'Malaria-Pharmaceuticals'!$E$14:$E$60&amp;'Malaria-Pharmaceuticals'!$I$14:$I$60,0)),0)</f>
        <v>0</v>
      </c>
      <c r="BG24" s="625">
        <f t="shared" si="33"/>
        <v>0</v>
      </c>
      <c r="BH24" s="626">
        <f t="shared" si="34"/>
        <v>0</v>
      </c>
      <c r="BI24" s="626">
        <f t="shared" si="35"/>
        <v>0</v>
      </c>
      <c r="BK24" s="626"/>
      <c r="BL24" s="626"/>
      <c r="BM24" s="626"/>
      <c r="BN24" s="626"/>
      <c r="BO24" s="626"/>
      <c r="BP24" s="626"/>
      <c r="BQ24" s="626"/>
      <c r="BR24" s="626"/>
      <c r="BT24" s="21" t="s">
        <v>6804</v>
      </c>
    </row>
    <row r="25" spans="1:72">
      <c r="A25" s="32" t="s">
        <v>576</v>
      </c>
      <c r="B25" s="32" t="s">
        <v>522</v>
      </c>
      <c r="C25" s="626">
        <f>SETUP!$F$50</f>
        <v>0</v>
      </c>
      <c r="D25" s="31">
        <v>4.3</v>
      </c>
      <c r="E25" s="32" t="s">
        <v>392</v>
      </c>
      <c r="F25" s="32" t="s">
        <v>1122</v>
      </c>
      <c r="G25" s="625" t="str">
        <f t="array" ref="G25">IFERROR(INDEX('Malaria-Pharmaceuticals'!$L$14:$L$60,MATCH($E25&amp;$F25,'Malaria-Pharmaceuticals'!$E$14:$E$60&amp;'Malaria-Pharmaceuticals'!$I$14:$I$60,0)),"")</f>
        <v/>
      </c>
      <c r="H25" s="625" t="str">
        <f t="array" ref="H25">IFERROR(INDEX('Malaria-Pharmaceuticals'!$M$14:$M$60,MATCH($E25&amp;$F25,'Malaria-Pharmaceuticals'!$E$14:$E$60&amp;'Malaria-Pharmaceuticals'!$I$14:$I$60,0)),"")</f>
        <v/>
      </c>
      <c r="I25" s="625">
        <f t="array" ref="I25">IFERROR(INDEX('Malaria-Pharmaceuticals'!$N$14:$N$60,MATCH($E25&amp;$F25,'Malaria-Pharmaceuticals'!$E$14:$E$60&amp;'Malaria-Pharmaceuticals'!$I$14:$I$60,0)),0)</f>
        <v>0</v>
      </c>
      <c r="J25" s="625">
        <f t="array" ref="J25">IFERROR(INDEX('Malaria-Pharmaceuticals'!$O$14:$O$60,MATCH($E25&amp;$F25,'Malaria-Pharmaceuticals'!$E$14:$E$60&amp;'Malaria-Pharmaceuticals'!$I$14:$I$60,0)),0)</f>
        <v>0</v>
      </c>
      <c r="K25" s="626">
        <f t="shared" si="0"/>
        <v>0</v>
      </c>
      <c r="L25" s="626">
        <f t="shared" si="1"/>
        <v>0</v>
      </c>
      <c r="M25" s="626">
        <f t="shared" si="2"/>
        <v>0</v>
      </c>
      <c r="N25" s="625">
        <f t="array" ref="N25">IFERROR(INDEX('Malaria-Pharmaceuticals'!$P$14:$P$60,MATCH($E25&amp;$F25,'Malaria-Pharmaceuticals'!$E$14:$E$60&amp;'Malaria-Pharmaceuticals'!$I$14:$I$60,0)),0)</f>
        <v>0</v>
      </c>
      <c r="O25" s="626">
        <f t="shared" si="3"/>
        <v>0</v>
      </c>
      <c r="P25" s="626">
        <f t="shared" si="4"/>
        <v>0</v>
      </c>
      <c r="Q25" s="626">
        <f t="shared" si="5"/>
        <v>0</v>
      </c>
      <c r="R25" s="625">
        <f t="array" ref="R25">IFERROR(INDEX('Malaria-Pharmaceuticals'!$Q$14:$Q$60,MATCH($E25&amp;$F25,'Malaria-Pharmaceuticals'!$E$14:$E$60&amp;'Malaria-Pharmaceuticals'!$I$14:$I$60,0)),0)</f>
        <v>0</v>
      </c>
      <c r="S25" s="626">
        <f t="shared" si="6"/>
        <v>0</v>
      </c>
      <c r="T25" s="626">
        <f t="shared" si="7"/>
        <v>0</v>
      </c>
      <c r="U25" s="626">
        <f t="shared" si="8"/>
        <v>0</v>
      </c>
      <c r="V25" s="625">
        <f t="array" ref="V25">IFERROR(INDEX('Malaria-Pharmaceuticals'!$R$14:$R$60,MATCH($E25&amp;$F25,'Malaria-Pharmaceuticals'!$E$14:$E$60&amp;'Malaria-Pharmaceuticals'!$I$14:$I$60,0)),0)</f>
        <v>0</v>
      </c>
      <c r="W25" s="626">
        <f t="shared" si="9"/>
        <v>0</v>
      </c>
      <c r="X25" s="626">
        <f t="shared" si="10"/>
        <v>0</v>
      </c>
      <c r="Y25" s="626">
        <f t="shared" si="11"/>
        <v>0</v>
      </c>
      <c r="Z25" s="627"/>
      <c r="AA25" s="625">
        <f t="array" ref="AA25">IFERROR(INDEX('Malaria-Pharmaceuticals'!$U$14:$U$60,MATCH($E25&amp;$F25,'Malaria-Pharmaceuticals'!$E$14:$E$60&amp;'Malaria-Pharmaceuticals'!$I$14:$I$60,0)),0)</f>
        <v>0</v>
      </c>
      <c r="AB25" s="625">
        <f t="array" ref="AB25">IFERROR(INDEX('Malaria-Pharmaceuticals'!$V$14:$V$60,MATCH($E25&amp;$F25,'Malaria-Pharmaceuticals'!$E$14:$E$60&amp;'Malaria-Pharmaceuticals'!$I$14:$I$60,0)),0)</f>
        <v>0</v>
      </c>
      <c r="AC25" s="625">
        <f t="shared" si="12"/>
        <v>0</v>
      </c>
      <c r="AD25" s="626">
        <f t="shared" si="13"/>
        <v>0</v>
      </c>
      <c r="AE25" s="626">
        <f t="shared" si="14"/>
        <v>0</v>
      </c>
      <c r="AF25" s="625">
        <f t="array" ref="AF25">IFERROR(INDEX('Malaria-Pharmaceuticals'!$W$14:$W$60,MATCH($E25&amp;$F25,'Malaria-Pharmaceuticals'!$E$14:$E$60&amp;'Malaria-Pharmaceuticals'!$I$14:$I$60,0)),0)</f>
        <v>0</v>
      </c>
      <c r="AG25" s="625">
        <f t="shared" si="15"/>
        <v>0</v>
      </c>
      <c r="AH25" s="626">
        <f t="shared" si="16"/>
        <v>0</v>
      </c>
      <c r="AI25" s="626">
        <f t="shared" si="17"/>
        <v>0</v>
      </c>
      <c r="AJ25" s="625">
        <f t="array" ref="AJ25">IFERROR(INDEX('Malaria-Pharmaceuticals'!$X$14:$X$60,MATCH($E25&amp;$F25,'Malaria-Pharmaceuticals'!$E$14:$E$60&amp;'Malaria-Pharmaceuticals'!$I$14:$I$60,0)),0)</f>
        <v>0</v>
      </c>
      <c r="AK25" s="625">
        <f t="shared" si="18"/>
        <v>0</v>
      </c>
      <c r="AL25" s="626">
        <f t="shared" si="19"/>
        <v>0</v>
      </c>
      <c r="AM25" s="626">
        <f t="shared" si="20"/>
        <v>0</v>
      </c>
      <c r="AN25" s="625">
        <f t="array" ref="AN25">IFERROR(INDEX('Malaria-Pharmaceuticals'!$Y$14:$Y$60,MATCH($E25&amp;$F25,'Malaria-Pharmaceuticals'!$E$14:$E$60&amp;'Malaria-Pharmaceuticals'!$I$14:$I$60,0)),0)</f>
        <v>0</v>
      </c>
      <c r="AO25" s="625">
        <f t="shared" si="21"/>
        <v>0</v>
      </c>
      <c r="AP25" s="626">
        <f t="shared" si="22"/>
        <v>0</v>
      </c>
      <c r="AQ25" s="626">
        <f t="shared" si="23"/>
        <v>0</v>
      </c>
      <c r="AR25" s="627"/>
      <c r="AS25" s="625">
        <f t="array" ref="AS25">IFERROR(INDEX('Malaria-Pharmaceuticals'!$AB$14:$AB$60,MATCH($E25&amp;$F25,'Malaria-Pharmaceuticals'!$E$14:$E$60&amp;'Malaria-Pharmaceuticals'!$I$14:$I$60,0)),0)</f>
        <v>0</v>
      </c>
      <c r="AT25" s="625">
        <f t="array" ref="AT25">IFERROR(INDEX('Malaria-Pharmaceuticals'!$AC$14:$AC$60,MATCH($E25&amp;$F25,'Malaria-Pharmaceuticals'!$E$14:$E$60&amp;'Malaria-Pharmaceuticals'!$I$14:$I$60,0)),0)</f>
        <v>0</v>
      </c>
      <c r="AU25" s="625">
        <f t="shared" si="24"/>
        <v>0</v>
      </c>
      <c r="AV25" s="626">
        <f t="shared" si="25"/>
        <v>0</v>
      </c>
      <c r="AW25" s="626">
        <f t="shared" si="26"/>
        <v>0</v>
      </c>
      <c r="AX25" s="625">
        <f t="array" ref="AX25">IFERROR(INDEX('Malaria-Pharmaceuticals'!$AD$14:$AD$60,MATCH($E25&amp;$F25,'Malaria-Pharmaceuticals'!$E$14:$E$60&amp;'Malaria-Pharmaceuticals'!$I$14:$I$60,0)),0)</f>
        <v>0</v>
      </c>
      <c r="AY25" s="625">
        <f t="shared" si="27"/>
        <v>0</v>
      </c>
      <c r="AZ25" s="626">
        <f t="shared" si="28"/>
        <v>0</v>
      </c>
      <c r="BA25" s="626">
        <f t="shared" si="29"/>
        <v>0</v>
      </c>
      <c r="BB25" s="625">
        <f t="array" ref="BB25">IFERROR(INDEX('Malaria-Pharmaceuticals'!$AE$14:$AE$60,MATCH($E25&amp;$F25,'Malaria-Pharmaceuticals'!$E$14:$E$60&amp;'Malaria-Pharmaceuticals'!$I$14:$I$60,0)),0)</f>
        <v>0</v>
      </c>
      <c r="BC25" s="625">
        <f t="shared" si="30"/>
        <v>0</v>
      </c>
      <c r="BD25" s="626">
        <f t="shared" si="31"/>
        <v>0</v>
      </c>
      <c r="BE25" s="626">
        <f t="shared" si="32"/>
        <v>0</v>
      </c>
      <c r="BF25" s="625">
        <f t="array" ref="BF25">IFERROR(INDEX('Malaria-Pharmaceuticals'!$AF$14:$AF$60,MATCH($E25&amp;$F25,'Malaria-Pharmaceuticals'!$E$14:$E$60&amp;'Malaria-Pharmaceuticals'!$I$14:$I$60,0)),0)</f>
        <v>0</v>
      </c>
      <c r="BG25" s="625">
        <f t="shared" si="33"/>
        <v>0</v>
      </c>
      <c r="BH25" s="626">
        <f t="shared" si="34"/>
        <v>0</v>
      </c>
      <c r="BI25" s="626">
        <f t="shared" si="35"/>
        <v>0</v>
      </c>
      <c r="BK25" s="626"/>
      <c r="BL25" s="626"/>
      <c r="BM25" s="626"/>
      <c r="BN25" s="626"/>
      <c r="BO25" s="626"/>
      <c r="BP25" s="626"/>
      <c r="BQ25" s="626"/>
      <c r="BR25" s="626"/>
      <c r="BT25" s="21" t="s">
        <v>6804</v>
      </c>
    </row>
    <row r="26" spans="1:72">
      <c r="A26" s="32" t="s">
        <v>576</v>
      </c>
      <c r="B26" s="32" t="s">
        <v>522</v>
      </c>
      <c r="C26" s="626">
        <f>SETUP!$F$50</f>
        <v>0</v>
      </c>
      <c r="D26" s="31">
        <v>4.3</v>
      </c>
      <c r="E26" s="32" t="s">
        <v>392</v>
      </c>
      <c r="F26" s="32" t="s">
        <v>1123</v>
      </c>
      <c r="G26" s="625" t="str">
        <f t="array" ref="G26">IFERROR(INDEX('Malaria-Pharmaceuticals'!$L$14:$L$60,MATCH($E26&amp;$F26,'Malaria-Pharmaceuticals'!$E$14:$E$60&amp;'Malaria-Pharmaceuticals'!$I$14:$I$60,0)),"")</f>
        <v/>
      </c>
      <c r="H26" s="625" t="str">
        <f t="array" ref="H26">IFERROR(INDEX('Malaria-Pharmaceuticals'!$M$14:$M$60,MATCH($E26&amp;$F26,'Malaria-Pharmaceuticals'!$E$14:$E$60&amp;'Malaria-Pharmaceuticals'!$I$14:$I$60,0)),"")</f>
        <v/>
      </c>
      <c r="I26" s="625">
        <f t="array" ref="I26">IFERROR(INDEX('Malaria-Pharmaceuticals'!$N$14:$N$60,MATCH($E26&amp;$F26,'Malaria-Pharmaceuticals'!$E$14:$E$60&amp;'Malaria-Pharmaceuticals'!$I$14:$I$60,0)),0)</f>
        <v>0</v>
      </c>
      <c r="J26" s="625">
        <f t="array" ref="J26">IFERROR(INDEX('Malaria-Pharmaceuticals'!$O$14:$O$60,MATCH($E26&amp;$F26,'Malaria-Pharmaceuticals'!$E$14:$E$60&amp;'Malaria-Pharmaceuticals'!$I$14:$I$60,0)),0)</f>
        <v>0</v>
      </c>
      <c r="K26" s="626">
        <f t="shared" si="0"/>
        <v>0</v>
      </c>
      <c r="L26" s="626">
        <f t="shared" si="1"/>
        <v>0</v>
      </c>
      <c r="M26" s="626">
        <f t="shared" si="2"/>
        <v>0</v>
      </c>
      <c r="N26" s="625">
        <f t="array" ref="N26">IFERROR(INDEX('Malaria-Pharmaceuticals'!$P$14:$P$60,MATCH($E26&amp;$F26,'Malaria-Pharmaceuticals'!$E$14:$E$60&amp;'Malaria-Pharmaceuticals'!$I$14:$I$60,0)),0)</f>
        <v>0</v>
      </c>
      <c r="O26" s="626">
        <f t="shared" si="3"/>
        <v>0</v>
      </c>
      <c r="P26" s="626">
        <f t="shared" si="4"/>
        <v>0</v>
      </c>
      <c r="Q26" s="626">
        <f t="shared" si="5"/>
        <v>0</v>
      </c>
      <c r="R26" s="625">
        <f t="array" ref="R26">IFERROR(INDEX('Malaria-Pharmaceuticals'!$Q$14:$Q$60,MATCH($E26&amp;$F26,'Malaria-Pharmaceuticals'!$E$14:$E$60&amp;'Malaria-Pharmaceuticals'!$I$14:$I$60,0)),0)</f>
        <v>0</v>
      </c>
      <c r="S26" s="626">
        <f t="shared" si="6"/>
        <v>0</v>
      </c>
      <c r="T26" s="626">
        <f t="shared" si="7"/>
        <v>0</v>
      </c>
      <c r="U26" s="626">
        <f t="shared" si="8"/>
        <v>0</v>
      </c>
      <c r="V26" s="625">
        <f t="array" ref="V26">IFERROR(INDEX('Malaria-Pharmaceuticals'!$R$14:$R$60,MATCH($E26&amp;$F26,'Malaria-Pharmaceuticals'!$E$14:$E$60&amp;'Malaria-Pharmaceuticals'!$I$14:$I$60,0)),0)</f>
        <v>0</v>
      </c>
      <c r="W26" s="626">
        <f t="shared" si="9"/>
        <v>0</v>
      </c>
      <c r="X26" s="626">
        <f t="shared" si="10"/>
        <v>0</v>
      </c>
      <c r="Y26" s="626">
        <f t="shared" si="11"/>
        <v>0</v>
      </c>
      <c r="Z26" s="627"/>
      <c r="AA26" s="625">
        <f t="array" ref="AA26">IFERROR(INDEX('Malaria-Pharmaceuticals'!$U$14:$U$60,MATCH($E26&amp;$F26,'Malaria-Pharmaceuticals'!$E$14:$E$60&amp;'Malaria-Pharmaceuticals'!$I$14:$I$60,0)),0)</f>
        <v>0</v>
      </c>
      <c r="AB26" s="625">
        <f t="array" ref="AB26">IFERROR(INDEX('Malaria-Pharmaceuticals'!$V$14:$V$60,MATCH($E26&amp;$F26,'Malaria-Pharmaceuticals'!$E$14:$E$60&amp;'Malaria-Pharmaceuticals'!$I$14:$I$60,0)),0)</f>
        <v>0</v>
      </c>
      <c r="AC26" s="625">
        <f t="shared" si="12"/>
        <v>0</v>
      </c>
      <c r="AD26" s="626">
        <f t="shared" si="13"/>
        <v>0</v>
      </c>
      <c r="AE26" s="626">
        <f t="shared" si="14"/>
        <v>0</v>
      </c>
      <c r="AF26" s="625">
        <f t="array" ref="AF26">IFERROR(INDEX('Malaria-Pharmaceuticals'!$W$14:$W$60,MATCH($E26&amp;$F26,'Malaria-Pharmaceuticals'!$E$14:$E$60&amp;'Malaria-Pharmaceuticals'!$I$14:$I$60,0)),0)</f>
        <v>0</v>
      </c>
      <c r="AG26" s="625">
        <f t="shared" si="15"/>
        <v>0</v>
      </c>
      <c r="AH26" s="626">
        <f t="shared" si="16"/>
        <v>0</v>
      </c>
      <c r="AI26" s="626">
        <f t="shared" si="17"/>
        <v>0</v>
      </c>
      <c r="AJ26" s="625">
        <f t="array" ref="AJ26">IFERROR(INDEX('Malaria-Pharmaceuticals'!$X$14:$X$60,MATCH($E26&amp;$F26,'Malaria-Pharmaceuticals'!$E$14:$E$60&amp;'Malaria-Pharmaceuticals'!$I$14:$I$60,0)),0)</f>
        <v>0</v>
      </c>
      <c r="AK26" s="625">
        <f t="shared" si="18"/>
        <v>0</v>
      </c>
      <c r="AL26" s="626">
        <f t="shared" si="19"/>
        <v>0</v>
      </c>
      <c r="AM26" s="626">
        <f t="shared" si="20"/>
        <v>0</v>
      </c>
      <c r="AN26" s="625">
        <f t="array" ref="AN26">IFERROR(INDEX('Malaria-Pharmaceuticals'!$Y$14:$Y$60,MATCH($E26&amp;$F26,'Malaria-Pharmaceuticals'!$E$14:$E$60&amp;'Malaria-Pharmaceuticals'!$I$14:$I$60,0)),0)</f>
        <v>0</v>
      </c>
      <c r="AO26" s="625">
        <f t="shared" si="21"/>
        <v>0</v>
      </c>
      <c r="AP26" s="626">
        <f t="shared" si="22"/>
        <v>0</v>
      </c>
      <c r="AQ26" s="626">
        <f t="shared" si="23"/>
        <v>0</v>
      </c>
      <c r="AR26" s="627"/>
      <c r="AS26" s="625">
        <f t="array" ref="AS26">IFERROR(INDEX('Malaria-Pharmaceuticals'!$AB$14:$AB$60,MATCH($E26&amp;$F26,'Malaria-Pharmaceuticals'!$E$14:$E$60&amp;'Malaria-Pharmaceuticals'!$I$14:$I$60,0)),0)</f>
        <v>0</v>
      </c>
      <c r="AT26" s="625">
        <f t="array" ref="AT26">IFERROR(INDEX('Malaria-Pharmaceuticals'!$AC$14:$AC$60,MATCH($E26&amp;$F26,'Malaria-Pharmaceuticals'!$E$14:$E$60&amp;'Malaria-Pharmaceuticals'!$I$14:$I$60,0)),0)</f>
        <v>0</v>
      </c>
      <c r="AU26" s="625">
        <f t="shared" si="24"/>
        <v>0</v>
      </c>
      <c r="AV26" s="626">
        <f t="shared" si="25"/>
        <v>0</v>
      </c>
      <c r="AW26" s="626">
        <f t="shared" si="26"/>
        <v>0</v>
      </c>
      <c r="AX26" s="625">
        <f t="array" ref="AX26">IFERROR(INDEX('Malaria-Pharmaceuticals'!$AD$14:$AD$60,MATCH($E26&amp;$F26,'Malaria-Pharmaceuticals'!$E$14:$E$60&amp;'Malaria-Pharmaceuticals'!$I$14:$I$60,0)),0)</f>
        <v>0</v>
      </c>
      <c r="AY26" s="625">
        <f t="shared" si="27"/>
        <v>0</v>
      </c>
      <c r="AZ26" s="626">
        <f t="shared" si="28"/>
        <v>0</v>
      </c>
      <c r="BA26" s="626">
        <f t="shared" si="29"/>
        <v>0</v>
      </c>
      <c r="BB26" s="625">
        <f t="array" ref="BB26">IFERROR(INDEX('Malaria-Pharmaceuticals'!$AE$14:$AE$60,MATCH($E26&amp;$F26,'Malaria-Pharmaceuticals'!$E$14:$E$60&amp;'Malaria-Pharmaceuticals'!$I$14:$I$60,0)),0)</f>
        <v>0</v>
      </c>
      <c r="BC26" s="625">
        <f t="shared" si="30"/>
        <v>0</v>
      </c>
      <c r="BD26" s="626">
        <f t="shared" si="31"/>
        <v>0</v>
      </c>
      <c r="BE26" s="626">
        <f t="shared" si="32"/>
        <v>0</v>
      </c>
      <c r="BF26" s="625">
        <f t="array" ref="BF26">IFERROR(INDEX('Malaria-Pharmaceuticals'!$AF$14:$AF$60,MATCH($E26&amp;$F26,'Malaria-Pharmaceuticals'!$E$14:$E$60&amp;'Malaria-Pharmaceuticals'!$I$14:$I$60,0)),0)</f>
        <v>0</v>
      </c>
      <c r="BG26" s="625">
        <f t="shared" si="33"/>
        <v>0</v>
      </c>
      <c r="BH26" s="626">
        <f t="shared" si="34"/>
        <v>0</v>
      </c>
      <c r="BI26" s="626">
        <f t="shared" si="35"/>
        <v>0</v>
      </c>
      <c r="BK26" s="626"/>
      <c r="BL26" s="626"/>
      <c r="BM26" s="626"/>
      <c r="BN26" s="626"/>
      <c r="BO26" s="626"/>
      <c r="BP26" s="626"/>
      <c r="BQ26" s="626"/>
      <c r="BR26" s="626"/>
      <c r="BT26" s="21" t="s">
        <v>6804</v>
      </c>
    </row>
    <row r="27" spans="1:72">
      <c r="A27" s="32" t="s">
        <v>576</v>
      </c>
      <c r="B27" s="32" t="s">
        <v>522</v>
      </c>
      <c r="C27" s="626">
        <f>SETUP!$F$50</f>
        <v>0</v>
      </c>
      <c r="D27" s="31">
        <v>4.3</v>
      </c>
      <c r="E27" s="32" t="s">
        <v>401</v>
      </c>
      <c r="F27" s="32" t="s">
        <v>1124</v>
      </c>
      <c r="G27" s="625" t="str">
        <f t="array" ref="G27">IFERROR(INDEX('Malaria-Pharmaceuticals'!$L$14:$L$60,MATCH($E27&amp;$F27,'Malaria-Pharmaceuticals'!$E$14:$E$60&amp;'Malaria-Pharmaceuticals'!$I$14:$I$60,0)),"")</f>
        <v/>
      </c>
      <c r="H27" s="625" t="str">
        <f t="array" ref="H27">IFERROR(INDEX('Malaria-Pharmaceuticals'!$M$14:$M$60,MATCH($E27&amp;$F27,'Malaria-Pharmaceuticals'!$E$14:$E$60&amp;'Malaria-Pharmaceuticals'!$I$14:$I$60,0)),"")</f>
        <v/>
      </c>
      <c r="I27" s="625">
        <f t="array" ref="I27">IFERROR(INDEX('Malaria-Pharmaceuticals'!$N$14:$N$60,MATCH($E27&amp;$F27,'Malaria-Pharmaceuticals'!$E$14:$E$60&amp;'Malaria-Pharmaceuticals'!$I$14:$I$60,0)),0)</f>
        <v>0</v>
      </c>
      <c r="J27" s="625">
        <f t="array" ref="J27">IFERROR(INDEX('Malaria-Pharmaceuticals'!$O$14:$O$60,MATCH($E27&amp;$F27,'Malaria-Pharmaceuticals'!$E$14:$E$60&amp;'Malaria-Pharmaceuticals'!$I$14:$I$60,0)),0)</f>
        <v>0</v>
      </c>
      <c r="K27" s="626">
        <f t="shared" si="0"/>
        <v>0</v>
      </c>
      <c r="L27" s="626">
        <f t="shared" si="1"/>
        <v>0</v>
      </c>
      <c r="M27" s="626">
        <f t="shared" si="2"/>
        <v>0</v>
      </c>
      <c r="N27" s="625">
        <f t="array" ref="N27">IFERROR(INDEX('Malaria-Pharmaceuticals'!$P$14:$P$60,MATCH($E27&amp;$F27,'Malaria-Pharmaceuticals'!$E$14:$E$60&amp;'Malaria-Pharmaceuticals'!$I$14:$I$60,0)),0)</f>
        <v>0</v>
      </c>
      <c r="O27" s="626">
        <f t="shared" si="3"/>
        <v>0</v>
      </c>
      <c r="P27" s="626">
        <f t="shared" si="4"/>
        <v>0</v>
      </c>
      <c r="Q27" s="626">
        <f t="shared" si="5"/>
        <v>0</v>
      </c>
      <c r="R27" s="625">
        <f t="array" ref="R27">IFERROR(INDEX('Malaria-Pharmaceuticals'!$Q$14:$Q$60,MATCH($E27&amp;$F27,'Malaria-Pharmaceuticals'!$E$14:$E$60&amp;'Malaria-Pharmaceuticals'!$I$14:$I$60,0)),0)</f>
        <v>0</v>
      </c>
      <c r="S27" s="626">
        <f t="shared" si="6"/>
        <v>0</v>
      </c>
      <c r="T27" s="626">
        <f t="shared" si="7"/>
        <v>0</v>
      </c>
      <c r="U27" s="626">
        <f t="shared" si="8"/>
        <v>0</v>
      </c>
      <c r="V27" s="625">
        <f t="array" ref="V27">IFERROR(INDEX('Malaria-Pharmaceuticals'!$R$14:$R$60,MATCH($E27&amp;$F27,'Malaria-Pharmaceuticals'!$E$14:$E$60&amp;'Malaria-Pharmaceuticals'!$I$14:$I$60,0)),0)</f>
        <v>0</v>
      </c>
      <c r="W27" s="626">
        <f t="shared" si="9"/>
        <v>0</v>
      </c>
      <c r="X27" s="626">
        <f t="shared" si="10"/>
        <v>0</v>
      </c>
      <c r="Y27" s="626">
        <f t="shared" si="11"/>
        <v>0</v>
      </c>
      <c r="Z27" s="627"/>
      <c r="AA27" s="625">
        <f t="array" ref="AA27">IFERROR(INDEX('Malaria-Pharmaceuticals'!$U$14:$U$60,MATCH($E27&amp;$F27,'Malaria-Pharmaceuticals'!$E$14:$E$60&amp;'Malaria-Pharmaceuticals'!$I$14:$I$60,0)),0)</f>
        <v>0</v>
      </c>
      <c r="AB27" s="625">
        <f t="array" ref="AB27">IFERROR(INDEX('Malaria-Pharmaceuticals'!$V$14:$V$60,MATCH($E27&amp;$F27,'Malaria-Pharmaceuticals'!$E$14:$E$60&amp;'Malaria-Pharmaceuticals'!$I$14:$I$60,0)),0)</f>
        <v>0</v>
      </c>
      <c r="AC27" s="625">
        <f t="shared" si="12"/>
        <v>0</v>
      </c>
      <c r="AD27" s="626">
        <f t="shared" si="13"/>
        <v>0</v>
      </c>
      <c r="AE27" s="626">
        <f t="shared" si="14"/>
        <v>0</v>
      </c>
      <c r="AF27" s="625">
        <f t="array" ref="AF27">IFERROR(INDEX('Malaria-Pharmaceuticals'!$W$14:$W$60,MATCH($E27&amp;$F27,'Malaria-Pharmaceuticals'!$E$14:$E$60&amp;'Malaria-Pharmaceuticals'!$I$14:$I$60,0)),0)</f>
        <v>0</v>
      </c>
      <c r="AG27" s="625">
        <f t="shared" si="15"/>
        <v>0</v>
      </c>
      <c r="AH27" s="626">
        <f t="shared" si="16"/>
        <v>0</v>
      </c>
      <c r="AI27" s="626">
        <f t="shared" si="17"/>
        <v>0</v>
      </c>
      <c r="AJ27" s="625">
        <f t="array" ref="AJ27">IFERROR(INDEX('Malaria-Pharmaceuticals'!$X$14:$X$60,MATCH($E27&amp;$F27,'Malaria-Pharmaceuticals'!$E$14:$E$60&amp;'Malaria-Pharmaceuticals'!$I$14:$I$60,0)),0)</f>
        <v>0</v>
      </c>
      <c r="AK27" s="625">
        <f t="shared" si="18"/>
        <v>0</v>
      </c>
      <c r="AL27" s="626">
        <f t="shared" si="19"/>
        <v>0</v>
      </c>
      <c r="AM27" s="626">
        <f t="shared" si="20"/>
        <v>0</v>
      </c>
      <c r="AN27" s="625">
        <f t="array" ref="AN27">IFERROR(INDEX('Malaria-Pharmaceuticals'!$Y$14:$Y$60,MATCH($E27&amp;$F27,'Malaria-Pharmaceuticals'!$E$14:$E$60&amp;'Malaria-Pharmaceuticals'!$I$14:$I$60,0)),0)</f>
        <v>0</v>
      </c>
      <c r="AO27" s="625">
        <f t="shared" si="21"/>
        <v>0</v>
      </c>
      <c r="AP27" s="626">
        <f t="shared" si="22"/>
        <v>0</v>
      </c>
      <c r="AQ27" s="626">
        <f t="shared" si="23"/>
        <v>0</v>
      </c>
      <c r="AR27" s="627"/>
      <c r="AS27" s="625">
        <f t="array" ref="AS27">IFERROR(INDEX('Malaria-Pharmaceuticals'!$AB$14:$AB$60,MATCH($E27&amp;$F27,'Malaria-Pharmaceuticals'!$E$14:$E$60&amp;'Malaria-Pharmaceuticals'!$I$14:$I$60,0)),0)</f>
        <v>0</v>
      </c>
      <c r="AT27" s="625">
        <f t="array" ref="AT27">IFERROR(INDEX('Malaria-Pharmaceuticals'!$AC$14:$AC$60,MATCH($E27&amp;$F27,'Malaria-Pharmaceuticals'!$E$14:$E$60&amp;'Malaria-Pharmaceuticals'!$I$14:$I$60,0)),0)</f>
        <v>0</v>
      </c>
      <c r="AU27" s="625">
        <f t="shared" si="24"/>
        <v>0</v>
      </c>
      <c r="AV27" s="626">
        <f t="shared" si="25"/>
        <v>0</v>
      </c>
      <c r="AW27" s="626">
        <f t="shared" si="26"/>
        <v>0</v>
      </c>
      <c r="AX27" s="625">
        <f t="array" ref="AX27">IFERROR(INDEX('Malaria-Pharmaceuticals'!$AD$14:$AD$60,MATCH($E27&amp;$F27,'Malaria-Pharmaceuticals'!$E$14:$E$60&amp;'Malaria-Pharmaceuticals'!$I$14:$I$60,0)),0)</f>
        <v>0</v>
      </c>
      <c r="AY27" s="625">
        <f t="shared" si="27"/>
        <v>0</v>
      </c>
      <c r="AZ27" s="626">
        <f t="shared" si="28"/>
        <v>0</v>
      </c>
      <c r="BA27" s="626">
        <f t="shared" si="29"/>
        <v>0</v>
      </c>
      <c r="BB27" s="625">
        <f t="array" ref="BB27">IFERROR(INDEX('Malaria-Pharmaceuticals'!$AE$14:$AE$60,MATCH($E27&amp;$F27,'Malaria-Pharmaceuticals'!$E$14:$E$60&amp;'Malaria-Pharmaceuticals'!$I$14:$I$60,0)),0)</f>
        <v>0</v>
      </c>
      <c r="BC27" s="625">
        <f t="shared" si="30"/>
        <v>0</v>
      </c>
      <c r="BD27" s="626">
        <f t="shared" si="31"/>
        <v>0</v>
      </c>
      <c r="BE27" s="626">
        <f t="shared" si="32"/>
        <v>0</v>
      </c>
      <c r="BF27" s="625">
        <f t="array" ref="BF27">IFERROR(INDEX('Malaria-Pharmaceuticals'!$AF$14:$AF$60,MATCH($E27&amp;$F27,'Malaria-Pharmaceuticals'!$E$14:$E$60&amp;'Malaria-Pharmaceuticals'!$I$14:$I$60,0)),0)</f>
        <v>0</v>
      </c>
      <c r="BG27" s="625">
        <f t="shared" si="33"/>
        <v>0</v>
      </c>
      <c r="BH27" s="626">
        <f t="shared" si="34"/>
        <v>0</v>
      </c>
      <c r="BI27" s="626">
        <f t="shared" si="35"/>
        <v>0</v>
      </c>
      <c r="BK27" s="626"/>
      <c r="BL27" s="626"/>
      <c r="BM27" s="626"/>
      <c r="BN27" s="626"/>
      <c r="BO27" s="626"/>
      <c r="BP27" s="626"/>
      <c r="BQ27" s="626"/>
      <c r="BR27" s="626"/>
      <c r="BT27" s="21" t="s">
        <v>6805</v>
      </c>
    </row>
    <row r="28" spans="1:72">
      <c r="A28" s="32" t="s">
        <v>576</v>
      </c>
      <c r="B28" s="32" t="s">
        <v>522</v>
      </c>
      <c r="C28" s="626">
        <f>SETUP!$F$50</f>
        <v>0</v>
      </c>
      <c r="D28" s="31">
        <v>4.3</v>
      </c>
      <c r="E28" s="32" t="s">
        <v>401</v>
      </c>
      <c r="F28" s="32" t="s">
        <v>1125</v>
      </c>
      <c r="G28" s="625" t="str">
        <f t="array" ref="G28">IFERROR(INDEX('Malaria-Pharmaceuticals'!$L$14:$L$60,MATCH($E28&amp;$F28,'Malaria-Pharmaceuticals'!$E$14:$E$60&amp;'Malaria-Pharmaceuticals'!$I$14:$I$60,0)),"")</f>
        <v/>
      </c>
      <c r="H28" s="625" t="str">
        <f t="array" ref="H28">IFERROR(INDEX('Malaria-Pharmaceuticals'!$M$14:$M$60,MATCH($E28&amp;$F28,'Malaria-Pharmaceuticals'!$E$14:$E$60&amp;'Malaria-Pharmaceuticals'!$I$14:$I$60,0)),"")</f>
        <v/>
      </c>
      <c r="I28" s="625">
        <f t="array" ref="I28">IFERROR(INDEX('Malaria-Pharmaceuticals'!$N$14:$N$60,MATCH($E28&amp;$F28,'Malaria-Pharmaceuticals'!$E$14:$E$60&amp;'Malaria-Pharmaceuticals'!$I$14:$I$60,0)),0)</f>
        <v>0</v>
      </c>
      <c r="J28" s="625">
        <f t="array" ref="J28">IFERROR(INDEX('Malaria-Pharmaceuticals'!$O$14:$O$60,MATCH($E28&amp;$F28,'Malaria-Pharmaceuticals'!$E$14:$E$60&amp;'Malaria-Pharmaceuticals'!$I$14:$I$60,0)),0)</f>
        <v>0</v>
      </c>
      <c r="K28" s="626">
        <f t="shared" si="0"/>
        <v>0</v>
      </c>
      <c r="L28" s="626">
        <f t="shared" si="1"/>
        <v>0</v>
      </c>
      <c r="M28" s="626">
        <f t="shared" si="2"/>
        <v>0</v>
      </c>
      <c r="N28" s="625">
        <f t="array" ref="N28">IFERROR(INDEX('Malaria-Pharmaceuticals'!$P$14:$P$60,MATCH($E28&amp;$F28,'Malaria-Pharmaceuticals'!$E$14:$E$60&amp;'Malaria-Pharmaceuticals'!$I$14:$I$60,0)),0)</f>
        <v>0</v>
      </c>
      <c r="O28" s="626">
        <f t="shared" si="3"/>
        <v>0</v>
      </c>
      <c r="P28" s="626">
        <f t="shared" si="4"/>
        <v>0</v>
      </c>
      <c r="Q28" s="626">
        <f t="shared" si="5"/>
        <v>0</v>
      </c>
      <c r="R28" s="625">
        <f t="array" ref="R28">IFERROR(INDEX('Malaria-Pharmaceuticals'!$Q$14:$Q$60,MATCH($E28&amp;$F28,'Malaria-Pharmaceuticals'!$E$14:$E$60&amp;'Malaria-Pharmaceuticals'!$I$14:$I$60,0)),0)</f>
        <v>0</v>
      </c>
      <c r="S28" s="626">
        <f t="shared" si="6"/>
        <v>0</v>
      </c>
      <c r="T28" s="626">
        <f t="shared" si="7"/>
        <v>0</v>
      </c>
      <c r="U28" s="626">
        <f t="shared" si="8"/>
        <v>0</v>
      </c>
      <c r="V28" s="625">
        <f t="array" ref="V28">IFERROR(INDEX('Malaria-Pharmaceuticals'!$R$14:$R$60,MATCH($E28&amp;$F28,'Malaria-Pharmaceuticals'!$E$14:$E$60&amp;'Malaria-Pharmaceuticals'!$I$14:$I$60,0)),0)</f>
        <v>0</v>
      </c>
      <c r="W28" s="626">
        <f t="shared" si="9"/>
        <v>0</v>
      </c>
      <c r="X28" s="626">
        <f t="shared" si="10"/>
        <v>0</v>
      </c>
      <c r="Y28" s="626">
        <f t="shared" si="11"/>
        <v>0</v>
      </c>
      <c r="Z28" s="627"/>
      <c r="AA28" s="625">
        <f t="array" ref="AA28">IFERROR(INDEX('Malaria-Pharmaceuticals'!$U$14:$U$60,MATCH($E28&amp;$F28,'Malaria-Pharmaceuticals'!$E$14:$E$60&amp;'Malaria-Pharmaceuticals'!$I$14:$I$60,0)),0)</f>
        <v>0</v>
      </c>
      <c r="AB28" s="625">
        <f t="array" ref="AB28">IFERROR(INDEX('Malaria-Pharmaceuticals'!$V$14:$V$60,MATCH($E28&amp;$F28,'Malaria-Pharmaceuticals'!$E$14:$E$60&amp;'Malaria-Pharmaceuticals'!$I$14:$I$60,0)),0)</f>
        <v>0</v>
      </c>
      <c r="AC28" s="625">
        <f t="shared" si="12"/>
        <v>0</v>
      </c>
      <c r="AD28" s="626">
        <f t="shared" si="13"/>
        <v>0</v>
      </c>
      <c r="AE28" s="626">
        <f t="shared" si="14"/>
        <v>0</v>
      </c>
      <c r="AF28" s="625">
        <f t="array" ref="AF28">IFERROR(INDEX('Malaria-Pharmaceuticals'!$W$14:$W$60,MATCH($E28&amp;$F28,'Malaria-Pharmaceuticals'!$E$14:$E$60&amp;'Malaria-Pharmaceuticals'!$I$14:$I$60,0)),0)</f>
        <v>0</v>
      </c>
      <c r="AG28" s="625">
        <f t="shared" si="15"/>
        <v>0</v>
      </c>
      <c r="AH28" s="626">
        <f t="shared" si="16"/>
        <v>0</v>
      </c>
      <c r="AI28" s="626">
        <f t="shared" si="17"/>
        <v>0</v>
      </c>
      <c r="AJ28" s="625">
        <f t="array" ref="AJ28">IFERROR(INDEX('Malaria-Pharmaceuticals'!$X$14:$X$60,MATCH($E28&amp;$F28,'Malaria-Pharmaceuticals'!$E$14:$E$60&amp;'Malaria-Pharmaceuticals'!$I$14:$I$60,0)),0)</f>
        <v>0</v>
      </c>
      <c r="AK28" s="625">
        <f t="shared" si="18"/>
        <v>0</v>
      </c>
      <c r="AL28" s="626">
        <f t="shared" si="19"/>
        <v>0</v>
      </c>
      <c r="AM28" s="626">
        <f t="shared" si="20"/>
        <v>0</v>
      </c>
      <c r="AN28" s="625">
        <f t="array" ref="AN28">IFERROR(INDEX('Malaria-Pharmaceuticals'!$Y$14:$Y$60,MATCH($E28&amp;$F28,'Malaria-Pharmaceuticals'!$E$14:$E$60&amp;'Malaria-Pharmaceuticals'!$I$14:$I$60,0)),0)</f>
        <v>0</v>
      </c>
      <c r="AO28" s="625">
        <f t="shared" si="21"/>
        <v>0</v>
      </c>
      <c r="AP28" s="626">
        <f t="shared" si="22"/>
        <v>0</v>
      </c>
      <c r="AQ28" s="626">
        <f t="shared" si="23"/>
        <v>0</v>
      </c>
      <c r="AR28" s="627"/>
      <c r="AS28" s="625">
        <f t="array" ref="AS28">IFERROR(INDEX('Malaria-Pharmaceuticals'!$AB$14:$AB$60,MATCH($E28&amp;$F28,'Malaria-Pharmaceuticals'!$E$14:$E$60&amp;'Malaria-Pharmaceuticals'!$I$14:$I$60,0)),0)</f>
        <v>0</v>
      </c>
      <c r="AT28" s="625">
        <f t="array" ref="AT28">IFERROR(INDEX('Malaria-Pharmaceuticals'!$AC$14:$AC$60,MATCH($E28&amp;$F28,'Malaria-Pharmaceuticals'!$E$14:$E$60&amp;'Malaria-Pharmaceuticals'!$I$14:$I$60,0)),0)</f>
        <v>0</v>
      </c>
      <c r="AU28" s="625">
        <f t="shared" si="24"/>
        <v>0</v>
      </c>
      <c r="AV28" s="626">
        <f t="shared" si="25"/>
        <v>0</v>
      </c>
      <c r="AW28" s="626">
        <f t="shared" si="26"/>
        <v>0</v>
      </c>
      <c r="AX28" s="625">
        <f t="array" ref="AX28">IFERROR(INDEX('Malaria-Pharmaceuticals'!$AD$14:$AD$60,MATCH($E28&amp;$F28,'Malaria-Pharmaceuticals'!$E$14:$E$60&amp;'Malaria-Pharmaceuticals'!$I$14:$I$60,0)),0)</f>
        <v>0</v>
      </c>
      <c r="AY28" s="625">
        <f t="shared" si="27"/>
        <v>0</v>
      </c>
      <c r="AZ28" s="626">
        <f t="shared" si="28"/>
        <v>0</v>
      </c>
      <c r="BA28" s="626">
        <f t="shared" si="29"/>
        <v>0</v>
      </c>
      <c r="BB28" s="625">
        <f t="array" ref="BB28">IFERROR(INDEX('Malaria-Pharmaceuticals'!$AE$14:$AE$60,MATCH($E28&amp;$F28,'Malaria-Pharmaceuticals'!$E$14:$E$60&amp;'Malaria-Pharmaceuticals'!$I$14:$I$60,0)),0)</f>
        <v>0</v>
      </c>
      <c r="BC28" s="625">
        <f t="shared" si="30"/>
        <v>0</v>
      </c>
      <c r="BD28" s="626">
        <f t="shared" si="31"/>
        <v>0</v>
      </c>
      <c r="BE28" s="626">
        <f t="shared" si="32"/>
        <v>0</v>
      </c>
      <c r="BF28" s="625">
        <f t="array" ref="BF28">IFERROR(INDEX('Malaria-Pharmaceuticals'!$AF$14:$AF$60,MATCH($E28&amp;$F28,'Malaria-Pharmaceuticals'!$E$14:$E$60&amp;'Malaria-Pharmaceuticals'!$I$14:$I$60,0)),0)</f>
        <v>0</v>
      </c>
      <c r="BG28" s="625">
        <f t="shared" si="33"/>
        <v>0</v>
      </c>
      <c r="BH28" s="626">
        <f t="shared" si="34"/>
        <v>0</v>
      </c>
      <c r="BI28" s="626">
        <f t="shared" si="35"/>
        <v>0</v>
      </c>
      <c r="BK28" s="626"/>
      <c r="BL28" s="626"/>
      <c r="BM28" s="626"/>
      <c r="BN28" s="626"/>
      <c r="BO28" s="626"/>
      <c r="BP28" s="626"/>
      <c r="BQ28" s="626"/>
      <c r="BR28" s="626"/>
      <c r="BT28" s="21" t="s">
        <v>6805</v>
      </c>
    </row>
    <row r="29" spans="1:72">
      <c r="A29" s="32" t="s">
        <v>576</v>
      </c>
      <c r="B29" s="32" t="s">
        <v>522</v>
      </c>
      <c r="C29" s="626">
        <f>SETUP!$F$50</f>
        <v>0</v>
      </c>
      <c r="D29" s="31">
        <v>4.3</v>
      </c>
      <c r="E29" s="32" t="s">
        <v>401</v>
      </c>
      <c r="F29" s="32" t="s">
        <v>1126</v>
      </c>
      <c r="G29" s="625" t="str">
        <f t="array" ref="G29">IFERROR(INDEX('Malaria-Pharmaceuticals'!$L$14:$L$60,MATCH($E29&amp;$F29,'Malaria-Pharmaceuticals'!$E$14:$E$60&amp;'Malaria-Pharmaceuticals'!$I$14:$I$60,0)),"")</f>
        <v/>
      </c>
      <c r="H29" s="625" t="str">
        <f t="array" ref="H29">IFERROR(INDEX('Malaria-Pharmaceuticals'!$M$14:$M$60,MATCH($E29&amp;$F29,'Malaria-Pharmaceuticals'!$E$14:$E$60&amp;'Malaria-Pharmaceuticals'!$I$14:$I$60,0)),"")</f>
        <v/>
      </c>
      <c r="I29" s="625">
        <f t="array" ref="I29">IFERROR(INDEX('Malaria-Pharmaceuticals'!$N$14:$N$60,MATCH($E29&amp;$F29,'Malaria-Pharmaceuticals'!$E$14:$E$60&amp;'Malaria-Pharmaceuticals'!$I$14:$I$60,0)),0)</f>
        <v>0</v>
      </c>
      <c r="J29" s="625">
        <f t="array" ref="J29">IFERROR(INDEX('Malaria-Pharmaceuticals'!$O$14:$O$60,MATCH($E29&amp;$F29,'Malaria-Pharmaceuticals'!$E$14:$E$60&amp;'Malaria-Pharmaceuticals'!$I$14:$I$60,0)),0)</f>
        <v>0</v>
      </c>
      <c r="K29" s="626">
        <f t="shared" si="0"/>
        <v>0</v>
      </c>
      <c r="L29" s="626">
        <f t="shared" si="1"/>
        <v>0</v>
      </c>
      <c r="M29" s="626">
        <f t="shared" si="2"/>
        <v>0</v>
      </c>
      <c r="N29" s="625">
        <f t="array" ref="N29">IFERROR(INDEX('Malaria-Pharmaceuticals'!$P$14:$P$60,MATCH($E29&amp;$F29,'Malaria-Pharmaceuticals'!$E$14:$E$60&amp;'Malaria-Pharmaceuticals'!$I$14:$I$60,0)),0)</f>
        <v>0</v>
      </c>
      <c r="O29" s="626">
        <f t="shared" si="3"/>
        <v>0</v>
      </c>
      <c r="P29" s="626">
        <f t="shared" si="4"/>
        <v>0</v>
      </c>
      <c r="Q29" s="626">
        <f t="shared" si="5"/>
        <v>0</v>
      </c>
      <c r="R29" s="625">
        <f t="array" ref="R29">IFERROR(INDEX('Malaria-Pharmaceuticals'!$Q$14:$Q$60,MATCH($E29&amp;$F29,'Malaria-Pharmaceuticals'!$E$14:$E$60&amp;'Malaria-Pharmaceuticals'!$I$14:$I$60,0)),0)</f>
        <v>0</v>
      </c>
      <c r="S29" s="626">
        <f t="shared" si="6"/>
        <v>0</v>
      </c>
      <c r="T29" s="626">
        <f t="shared" si="7"/>
        <v>0</v>
      </c>
      <c r="U29" s="626">
        <f t="shared" si="8"/>
        <v>0</v>
      </c>
      <c r="V29" s="625">
        <f t="array" ref="V29">IFERROR(INDEX('Malaria-Pharmaceuticals'!$R$14:$R$60,MATCH($E29&amp;$F29,'Malaria-Pharmaceuticals'!$E$14:$E$60&amp;'Malaria-Pharmaceuticals'!$I$14:$I$60,0)),0)</f>
        <v>0</v>
      </c>
      <c r="W29" s="626">
        <f t="shared" si="9"/>
        <v>0</v>
      </c>
      <c r="X29" s="626">
        <f t="shared" si="10"/>
        <v>0</v>
      </c>
      <c r="Y29" s="626">
        <f t="shared" si="11"/>
        <v>0</v>
      </c>
      <c r="Z29" s="627"/>
      <c r="AA29" s="625">
        <f t="array" ref="AA29">IFERROR(INDEX('Malaria-Pharmaceuticals'!$U$14:$U$60,MATCH($E29&amp;$F29,'Malaria-Pharmaceuticals'!$E$14:$E$60&amp;'Malaria-Pharmaceuticals'!$I$14:$I$60,0)),0)</f>
        <v>0</v>
      </c>
      <c r="AB29" s="625">
        <f t="array" ref="AB29">IFERROR(INDEX('Malaria-Pharmaceuticals'!$V$14:$V$60,MATCH($E29&amp;$F29,'Malaria-Pharmaceuticals'!$E$14:$E$60&amp;'Malaria-Pharmaceuticals'!$I$14:$I$60,0)),0)</f>
        <v>0</v>
      </c>
      <c r="AC29" s="625">
        <f t="shared" si="12"/>
        <v>0</v>
      </c>
      <c r="AD29" s="626">
        <f t="shared" si="13"/>
        <v>0</v>
      </c>
      <c r="AE29" s="626">
        <f t="shared" si="14"/>
        <v>0</v>
      </c>
      <c r="AF29" s="625">
        <f t="array" ref="AF29">IFERROR(INDEX('Malaria-Pharmaceuticals'!$W$14:$W$60,MATCH($E29&amp;$F29,'Malaria-Pharmaceuticals'!$E$14:$E$60&amp;'Malaria-Pharmaceuticals'!$I$14:$I$60,0)),0)</f>
        <v>0</v>
      </c>
      <c r="AG29" s="625">
        <f t="shared" si="15"/>
        <v>0</v>
      </c>
      <c r="AH29" s="626">
        <f t="shared" si="16"/>
        <v>0</v>
      </c>
      <c r="AI29" s="626">
        <f t="shared" si="17"/>
        <v>0</v>
      </c>
      <c r="AJ29" s="625">
        <f t="array" ref="AJ29">IFERROR(INDEX('Malaria-Pharmaceuticals'!$X$14:$X$60,MATCH($E29&amp;$F29,'Malaria-Pharmaceuticals'!$E$14:$E$60&amp;'Malaria-Pharmaceuticals'!$I$14:$I$60,0)),0)</f>
        <v>0</v>
      </c>
      <c r="AK29" s="625">
        <f t="shared" si="18"/>
        <v>0</v>
      </c>
      <c r="AL29" s="626">
        <f t="shared" si="19"/>
        <v>0</v>
      </c>
      <c r="AM29" s="626">
        <f t="shared" si="20"/>
        <v>0</v>
      </c>
      <c r="AN29" s="625">
        <f t="array" ref="AN29">IFERROR(INDEX('Malaria-Pharmaceuticals'!$Y$14:$Y$60,MATCH($E29&amp;$F29,'Malaria-Pharmaceuticals'!$E$14:$E$60&amp;'Malaria-Pharmaceuticals'!$I$14:$I$60,0)),0)</f>
        <v>0</v>
      </c>
      <c r="AO29" s="625">
        <f t="shared" si="21"/>
        <v>0</v>
      </c>
      <c r="AP29" s="626">
        <f t="shared" si="22"/>
        <v>0</v>
      </c>
      <c r="AQ29" s="626">
        <f t="shared" si="23"/>
        <v>0</v>
      </c>
      <c r="AR29" s="627"/>
      <c r="AS29" s="625">
        <f t="array" ref="AS29">IFERROR(INDEX('Malaria-Pharmaceuticals'!$AB$14:$AB$60,MATCH($E29&amp;$F29,'Malaria-Pharmaceuticals'!$E$14:$E$60&amp;'Malaria-Pharmaceuticals'!$I$14:$I$60,0)),0)</f>
        <v>0</v>
      </c>
      <c r="AT29" s="625">
        <f t="array" ref="AT29">IFERROR(INDEX('Malaria-Pharmaceuticals'!$AC$14:$AC$60,MATCH($E29&amp;$F29,'Malaria-Pharmaceuticals'!$E$14:$E$60&amp;'Malaria-Pharmaceuticals'!$I$14:$I$60,0)),0)</f>
        <v>0</v>
      </c>
      <c r="AU29" s="625">
        <f t="shared" si="24"/>
        <v>0</v>
      </c>
      <c r="AV29" s="626">
        <f t="shared" si="25"/>
        <v>0</v>
      </c>
      <c r="AW29" s="626">
        <f t="shared" si="26"/>
        <v>0</v>
      </c>
      <c r="AX29" s="625">
        <f t="array" ref="AX29">IFERROR(INDEX('Malaria-Pharmaceuticals'!$AD$14:$AD$60,MATCH($E29&amp;$F29,'Malaria-Pharmaceuticals'!$E$14:$E$60&amp;'Malaria-Pharmaceuticals'!$I$14:$I$60,0)),0)</f>
        <v>0</v>
      </c>
      <c r="AY29" s="625">
        <f t="shared" si="27"/>
        <v>0</v>
      </c>
      <c r="AZ29" s="626">
        <f t="shared" si="28"/>
        <v>0</v>
      </c>
      <c r="BA29" s="626">
        <f t="shared" si="29"/>
        <v>0</v>
      </c>
      <c r="BB29" s="625">
        <f t="array" ref="BB29">IFERROR(INDEX('Malaria-Pharmaceuticals'!$AE$14:$AE$60,MATCH($E29&amp;$F29,'Malaria-Pharmaceuticals'!$E$14:$E$60&amp;'Malaria-Pharmaceuticals'!$I$14:$I$60,0)),0)</f>
        <v>0</v>
      </c>
      <c r="BC29" s="625">
        <f t="shared" si="30"/>
        <v>0</v>
      </c>
      <c r="BD29" s="626">
        <f t="shared" si="31"/>
        <v>0</v>
      </c>
      <c r="BE29" s="626">
        <f t="shared" si="32"/>
        <v>0</v>
      </c>
      <c r="BF29" s="625">
        <f t="array" ref="BF29">IFERROR(INDEX('Malaria-Pharmaceuticals'!$AF$14:$AF$60,MATCH($E29&amp;$F29,'Malaria-Pharmaceuticals'!$E$14:$E$60&amp;'Malaria-Pharmaceuticals'!$I$14:$I$60,0)),0)</f>
        <v>0</v>
      </c>
      <c r="BG29" s="625">
        <f t="shared" si="33"/>
        <v>0</v>
      </c>
      <c r="BH29" s="626">
        <f t="shared" si="34"/>
        <v>0</v>
      </c>
      <c r="BI29" s="626">
        <f t="shared" si="35"/>
        <v>0</v>
      </c>
      <c r="BK29" s="626"/>
      <c r="BL29" s="626"/>
      <c r="BM29" s="626"/>
      <c r="BN29" s="626"/>
      <c r="BO29" s="626"/>
      <c r="BP29" s="626"/>
      <c r="BQ29" s="626"/>
      <c r="BR29" s="626"/>
      <c r="BT29" s="21" t="s">
        <v>6805</v>
      </c>
    </row>
    <row r="30" spans="1:72">
      <c r="A30" s="32" t="s">
        <v>576</v>
      </c>
      <c r="B30" s="32" t="s">
        <v>522</v>
      </c>
      <c r="C30" s="626">
        <f>SETUP!$F$50</f>
        <v>0</v>
      </c>
      <c r="D30" s="31">
        <v>4.3</v>
      </c>
      <c r="E30" s="32" t="s">
        <v>401</v>
      </c>
      <c r="F30" s="32" t="s">
        <v>1127</v>
      </c>
      <c r="G30" s="625" t="str">
        <f t="array" ref="G30">IFERROR(INDEX('Malaria-Pharmaceuticals'!$L$14:$L$60,MATCH($E30&amp;$F30,'Malaria-Pharmaceuticals'!$E$14:$E$60&amp;'Malaria-Pharmaceuticals'!$I$14:$I$60,0)),"")</f>
        <v/>
      </c>
      <c r="H30" s="625" t="str">
        <f t="array" ref="H30">IFERROR(INDEX('Malaria-Pharmaceuticals'!$M$14:$M$60,MATCH($E30&amp;$F30,'Malaria-Pharmaceuticals'!$E$14:$E$60&amp;'Malaria-Pharmaceuticals'!$I$14:$I$60,0)),"")</f>
        <v/>
      </c>
      <c r="I30" s="625">
        <f t="array" ref="I30">IFERROR(INDEX('Malaria-Pharmaceuticals'!$N$14:$N$60,MATCH($E30&amp;$F30,'Malaria-Pharmaceuticals'!$E$14:$E$60&amp;'Malaria-Pharmaceuticals'!$I$14:$I$60,0)),0)</f>
        <v>0</v>
      </c>
      <c r="J30" s="625">
        <f t="array" ref="J30">IFERROR(INDEX('Malaria-Pharmaceuticals'!$O$14:$O$60,MATCH($E30&amp;$F30,'Malaria-Pharmaceuticals'!$E$14:$E$60&amp;'Malaria-Pharmaceuticals'!$I$14:$I$60,0)),0)</f>
        <v>0</v>
      </c>
      <c r="K30" s="626">
        <f t="shared" si="0"/>
        <v>0</v>
      </c>
      <c r="L30" s="626">
        <f t="shared" si="1"/>
        <v>0</v>
      </c>
      <c r="M30" s="626">
        <f t="shared" si="2"/>
        <v>0</v>
      </c>
      <c r="N30" s="625">
        <f t="array" ref="N30">IFERROR(INDEX('Malaria-Pharmaceuticals'!$P$14:$P$60,MATCH($E30&amp;$F30,'Malaria-Pharmaceuticals'!$E$14:$E$60&amp;'Malaria-Pharmaceuticals'!$I$14:$I$60,0)),0)</f>
        <v>0</v>
      </c>
      <c r="O30" s="626">
        <f t="shared" si="3"/>
        <v>0</v>
      </c>
      <c r="P30" s="626">
        <f t="shared" si="4"/>
        <v>0</v>
      </c>
      <c r="Q30" s="626">
        <f t="shared" si="5"/>
        <v>0</v>
      </c>
      <c r="R30" s="625">
        <f t="array" ref="R30">IFERROR(INDEX('Malaria-Pharmaceuticals'!$Q$14:$Q$60,MATCH($E30&amp;$F30,'Malaria-Pharmaceuticals'!$E$14:$E$60&amp;'Malaria-Pharmaceuticals'!$I$14:$I$60,0)),0)</f>
        <v>0</v>
      </c>
      <c r="S30" s="626">
        <f t="shared" si="6"/>
        <v>0</v>
      </c>
      <c r="T30" s="626">
        <f t="shared" si="7"/>
        <v>0</v>
      </c>
      <c r="U30" s="626">
        <f t="shared" si="8"/>
        <v>0</v>
      </c>
      <c r="V30" s="625">
        <f t="array" ref="V30">IFERROR(INDEX('Malaria-Pharmaceuticals'!$R$14:$R$60,MATCH($E30&amp;$F30,'Malaria-Pharmaceuticals'!$E$14:$E$60&amp;'Malaria-Pharmaceuticals'!$I$14:$I$60,0)),0)</f>
        <v>0</v>
      </c>
      <c r="W30" s="626">
        <f t="shared" si="9"/>
        <v>0</v>
      </c>
      <c r="X30" s="626">
        <f t="shared" si="10"/>
        <v>0</v>
      </c>
      <c r="Y30" s="626">
        <f t="shared" si="11"/>
        <v>0</v>
      </c>
      <c r="Z30" s="627"/>
      <c r="AA30" s="625">
        <f t="array" ref="AA30">IFERROR(INDEX('Malaria-Pharmaceuticals'!$U$14:$U$60,MATCH($E30&amp;$F30,'Malaria-Pharmaceuticals'!$E$14:$E$60&amp;'Malaria-Pharmaceuticals'!$I$14:$I$60,0)),0)</f>
        <v>0</v>
      </c>
      <c r="AB30" s="625">
        <f t="array" ref="AB30">IFERROR(INDEX('Malaria-Pharmaceuticals'!$V$14:$V$60,MATCH($E30&amp;$F30,'Malaria-Pharmaceuticals'!$E$14:$E$60&amp;'Malaria-Pharmaceuticals'!$I$14:$I$60,0)),0)</f>
        <v>0</v>
      </c>
      <c r="AC30" s="625">
        <f t="shared" si="12"/>
        <v>0</v>
      </c>
      <c r="AD30" s="626">
        <f t="shared" si="13"/>
        <v>0</v>
      </c>
      <c r="AE30" s="626">
        <f t="shared" si="14"/>
        <v>0</v>
      </c>
      <c r="AF30" s="625">
        <f t="array" ref="AF30">IFERROR(INDEX('Malaria-Pharmaceuticals'!$W$14:$W$60,MATCH($E30&amp;$F30,'Malaria-Pharmaceuticals'!$E$14:$E$60&amp;'Malaria-Pharmaceuticals'!$I$14:$I$60,0)),0)</f>
        <v>0</v>
      </c>
      <c r="AG30" s="625">
        <f t="shared" si="15"/>
        <v>0</v>
      </c>
      <c r="AH30" s="626">
        <f t="shared" si="16"/>
        <v>0</v>
      </c>
      <c r="AI30" s="626">
        <f t="shared" si="17"/>
        <v>0</v>
      </c>
      <c r="AJ30" s="625">
        <f t="array" ref="AJ30">IFERROR(INDEX('Malaria-Pharmaceuticals'!$X$14:$X$60,MATCH($E30&amp;$F30,'Malaria-Pharmaceuticals'!$E$14:$E$60&amp;'Malaria-Pharmaceuticals'!$I$14:$I$60,0)),0)</f>
        <v>0</v>
      </c>
      <c r="AK30" s="625">
        <f t="shared" si="18"/>
        <v>0</v>
      </c>
      <c r="AL30" s="626">
        <f t="shared" si="19"/>
        <v>0</v>
      </c>
      <c r="AM30" s="626">
        <f t="shared" si="20"/>
        <v>0</v>
      </c>
      <c r="AN30" s="625">
        <f t="array" ref="AN30">IFERROR(INDEX('Malaria-Pharmaceuticals'!$Y$14:$Y$60,MATCH($E30&amp;$F30,'Malaria-Pharmaceuticals'!$E$14:$E$60&amp;'Malaria-Pharmaceuticals'!$I$14:$I$60,0)),0)</f>
        <v>0</v>
      </c>
      <c r="AO30" s="625">
        <f t="shared" si="21"/>
        <v>0</v>
      </c>
      <c r="AP30" s="626">
        <f t="shared" si="22"/>
        <v>0</v>
      </c>
      <c r="AQ30" s="626">
        <f t="shared" si="23"/>
        <v>0</v>
      </c>
      <c r="AR30" s="627"/>
      <c r="AS30" s="625">
        <f t="array" ref="AS30">IFERROR(INDEX('Malaria-Pharmaceuticals'!$AB$14:$AB$60,MATCH($E30&amp;$F30,'Malaria-Pharmaceuticals'!$E$14:$E$60&amp;'Malaria-Pharmaceuticals'!$I$14:$I$60,0)),0)</f>
        <v>0</v>
      </c>
      <c r="AT30" s="625">
        <f t="array" ref="AT30">IFERROR(INDEX('Malaria-Pharmaceuticals'!$AC$14:$AC$60,MATCH($E30&amp;$F30,'Malaria-Pharmaceuticals'!$E$14:$E$60&amp;'Malaria-Pharmaceuticals'!$I$14:$I$60,0)),0)</f>
        <v>0</v>
      </c>
      <c r="AU30" s="625">
        <f t="shared" si="24"/>
        <v>0</v>
      </c>
      <c r="AV30" s="626">
        <f t="shared" si="25"/>
        <v>0</v>
      </c>
      <c r="AW30" s="626">
        <f t="shared" si="26"/>
        <v>0</v>
      </c>
      <c r="AX30" s="625">
        <f t="array" ref="AX30">IFERROR(INDEX('Malaria-Pharmaceuticals'!$AD$14:$AD$60,MATCH($E30&amp;$F30,'Malaria-Pharmaceuticals'!$E$14:$E$60&amp;'Malaria-Pharmaceuticals'!$I$14:$I$60,0)),0)</f>
        <v>0</v>
      </c>
      <c r="AY30" s="625">
        <f t="shared" si="27"/>
        <v>0</v>
      </c>
      <c r="AZ30" s="626">
        <f t="shared" si="28"/>
        <v>0</v>
      </c>
      <c r="BA30" s="626">
        <f t="shared" si="29"/>
        <v>0</v>
      </c>
      <c r="BB30" s="625">
        <f t="array" ref="BB30">IFERROR(INDEX('Malaria-Pharmaceuticals'!$AE$14:$AE$60,MATCH($E30&amp;$F30,'Malaria-Pharmaceuticals'!$E$14:$E$60&amp;'Malaria-Pharmaceuticals'!$I$14:$I$60,0)),0)</f>
        <v>0</v>
      </c>
      <c r="BC30" s="625">
        <f t="shared" si="30"/>
        <v>0</v>
      </c>
      <c r="BD30" s="626">
        <f t="shared" si="31"/>
        <v>0</v>
      </c>
      <c r="BE30" s="626">
        <f t="shared" si="32"/>
        <v>0</v>
      </c>
      <c r="BF30" s="625">
        <f t="array" ref="BF30">IFERROR(INDEX('Malaria-Pharmaceuticals'!$AF$14:$AF$60,MATCH($E30&amp;$F30,'Malaria-Pharmaceuticals'!$E$14:$E$60&amp;'Malaria-Pharmaceuticals'!$I$14:$I$60,0)),0)</f>
        <v>0</v>
      </c>
      <c r="BG30" s="625">
        <f t="shared" si="33"/>
        <v>0</v>
      </c>
      <c r="BH30" s="626">
        <f t="shared" si="34"/>
        <v>0</v>
      </c>
      <c r="BI30" s="626">
        <f t="shared" si="35"/>
        <v>0</v>
      </c>
      <c r="BK30" s="626"/>
      <c r="BL30" s="626"/>
      <c r="BM30" s="626"/>
      <c r="BN30" s="626"/>
      <c r="BO30" s="626"/>
      <c r="BP30" s="626"/>
      <c r="BQ30" s="626"/>
      <c r="BR30" s="626"/>
      <c r="BT30" s="21" t="s">
        <v>6805</v>
      </c>
    </row>
    <row r="31" spans="1:72">
      <c r="A31" s="32" t="s">
        <v>576</v>
      </c>
      <c r="B31" s="32" t="s">
        <v>522</v>
      </c>
      <c r="C31" s="626">
        <f>SETUP!$F$50</f>
        <v>0</v>
      </c>
      <c r="D31" s="31">
        <v>4.3</v>
      </c>
      <c r="E31" s="32" t="s">
        <v>402</v>
      </c>
      <c r="F31" s="32" t="s">
        <v>1128</v>
      </c>
      <c r="G31" s="625" t="str">
        <f t="array" ref="G31">IFERROR(INDEX('Malaria-Pharmaceuticals'!$L$14:$L$60,MATCH($E31&amp;$F31,'Malaria-Pharmaceuticals'!$E$14:$E$60&amp;'Malaria-Pharmaceuticals'!$I$14:$I$60,0)),"")</f>
        <v/>
      </c>
      <c r="H31" s="625" t="str">
        <f t="array" ref="H31">IFERROR(INDEX('Malaria-Pharmaceuticals'!$M$14:$M$60,MATCH($E31&amp;$F31,'Malaria-Pharmaceuticals'!$E$14:$E$60&amp;'Malaria-Pharmaceuticals'!$I$14:$I$60,0)),"")</f>
        <v/>
      </c>
      <c r="I31" s="625">
        <f t="array" ref="I31">IFERROR(INDEX('Malaria-Pharmaceuticals'!$N$14:$N$60,MATCH($E31&amp;$F31,'Malaria-Pharmaceuticals'!$E$14:$E$60&amp;'Malaria-Pharmaceuticals'!$I$14:$I$60,0)),0)</f>
        <v>0</v>
      </c>
      <c r="J31" s="625">
        <f t="array" ref="J31">IFERROR(INDEX('Malaria-Pharmaceuticals'!$O$14:$O$60,MATCH($E31&amp;$F31,'Malaria-Pharmaceuticals'!$E$14:$E$60&amp;'Malaria-Pharmaceuticals'!$I$14:$I$60,0)),0)</f>
        <v>0</v>
      </c>
      <c r="K31" s="626">
        <f t="shared" si="0"/>
        <v>0</v>
      </c>
      <c r="L31" s="626">
        <f t="shared" si="1"/>
        <v>0</v>
      </c>
      <c r="M31" s="626">
        <f t="shared" si="2"/>
        <v>0</v>
      </c>
      <c r="N31" s="625">
        <f t="array" ref="N31">IFERROR(INDEX('Malaria-Pharmaceuticals'!$P$14:$P$60,MATCH($E31&amp;$F31,'Malaria-Pharmaceuticals'!$E$14:$E$60&amp;'Malaria-Pharmaceuticals'!$I$14:$I$60,0)),0)</f>
        <v>0</v>
      </c>
      <c r="O31" s="626">
        <f t="shared" si="3"/>
        <v>0</v>
      </c>
      <c r="P31" s="626">
        <f t="shared" si="4"/>
        <v>0</v>
      </c>
      <c r="Q31" s="626">
        <f t="shared" si="5"/>
        <v>0</v>
      </c>
      <c r="R31" s="625">
        <f t="array" ref="R31">IFERROR(INDEX('Malaria-Pharmaceuticals'!$Q$14:$Q$60,MATCH($E31&amp;$F31,'Malaria-Pharmaceuticals'!$E$14:$E$60&amp;'Malaria-Pharmaceuticals'!$I$14:$I$60,0)),0)</f>
        <v>0</v>
      </c>
      <c r="S31" s="626">
        <f t="shared" si="6"/>
        <v>0</v>
      </c>
      <c r="T31" s="626">
        <f t="shared" si="7"/>
        <v>0</v>
      </c>
      <c r="U31" s="626">
        <f t="shared" si="8"/>
        <v>0</v>
      </c>
      <c r="V31" s="625">
        <f t="array" ref="V31">IFERROR(INDEX('Malaria-Pharmaceuticals'!$R$14:$R$60,MATCH($E31&amp;$F31,'Malaria-Pharmaceuticals'!$E$14:$E$60&amp;'Malaria-Pharmaceuticals'!$I$14:$I$60,0)),0)</f>
        <v>0</v>
      </c>
      <c r="W31" s="626">
        <f t="shared" si="9"/>
        <v>0</v>
      </c>
      <c r="X31" s="626">
        <f t="shared" si="10"/>
        <v>0</v>
      </c>
      <c r="Y31" s="626">
        <f t="shared" si="11"/>
        <v>0</v>
      </c>
      <c r="Z31" s="627"/>
      <c r="AA31" s="625">
        <f t="array" ref="AA31">IFERROR(INDEX('Malaria-Pharmaceuticals'!$U$14:$U$60,MATCH($E31&amp;$F31,'Malaria-Pharmaceuticals'!$E$14:$E$60&amp;'Malaria-Pharmaceuticals'!$I$14:$I$60,0)),0)</f>
        <v>0</v>
      </c>
      <c r="AB31" s="625">
        <f t="array" ref="AB31">IFERROR(INDEX('Malaria-Pharmaceuticals'!$V$14:$V$60,MATCH($E31&amp;$F31,'Malaria-Pharmaceuticals'!$E$14:$E$60&amp;'Malaria-Pharmaceuticals'!$I$14:$I$60,0)),0)</f>
        <v>0</v>
      </c>
      <c r="AC31" s="625">
        <f t="shared" si="12"/>
        <v>0</v>
      </c>
      <c r="AD31" s="626">
        <f t="shared" si="13"/>
        <v>0</v>
      </c>
      <c r="AE31" s="626">
        <f t="shared" si="14"/>
        <v>0</v>
      </c>
      <c r="AF31" s="625">
        <f t="array" ref="AF31">IFERROR(INDEX('Malaria-Pharmaceuticals'!$W$14:$W$60,MATCH($E31&amp;$F31,'Malaria-Pharmaceuticals'!$E$14:$E$60&amp;'Malaria-Pharmaceuticals'!$I$14:$I$60,0)),0)</f>
        <v>0</v>
      </c>
      <c r="AG31" s="625">
        <f t="shared" si="15"/>
        <v>0</v>
      </c>
      <c r="AH31" s="626">
        <f t="shared" si="16"/>
        <v>0</v>
      </c>
      <c r="AI31" s="626">
        <f t="shared" si="17"/>
        <v>0</v>
      </c>
      <c r="AJ31" s="625">
        <f t="array" ref="AJ31">IFERROR(INDEX('Malaria-Pharmaceuticals'!$X$14:$X$60,MATCH($E31&amp;$F31,'Malaria-Pharmaceuticals'!$E$14:$E$60&amp;'Malaria-Pharmaceuticals'!$I$14:$I$60,0)),0)</f>
        <v>0</v>
      </c>
      <c r="AK31" s="625">
        <f t="shared" si="18"/>
        <v>0</v>
      </c>
      <c r="AL31" s="626">
        <f t="shared" si="19"/>
        <v>0</v>
      </c>
      <c r="AM31" s="626">
        <f t="shared" si="20"/>
        <v>0</v>
      </c>
      <c r="AN31" s="625">
        <f t="array" ref="AN31">IFERROR(INDEX('Malaria-Pharmaceuticals'!$Y$14:$Y$60,MATCH($E31&amp;$F31,'Malaria-Pharmaceuticals'!$E$14:$E$60&amp;'Malaria-Pharmaceuticals'!$I$14:$I$60,0)),0)</f>
        <v>0</v>
      </c>
      <c r="AO31" s="625">
        <f t="shared" si="21"/>
        <v>0</v>
      </c>
      <c r="AP31" s="626">
        <f t="shared" si="22"/>
        <v>0</v>
      </c>
      <c r="AQ31" s="626">
        <f t="shared" si="23"/>
        <v>0</v>
      </c>
      <c r="AR31" s="627"/>
      <c r="AS31" s="625">
        <f t="array" ref="AS31">IFERROR(INDEX('Malaria-Pharmaceuticals'!$AB$14:$AB$60,MATCH($E31&amp;$F31,'Malaria-Pharmaceuticals'!$E$14:$E$60&amp;'Malaria-Pharmaceuticals'!$I$14:$I$60,0)),0)</f>
        <v>0</v>
      </c>
      <c r="AT31" s="625">
        <f t="array" ref="AT31">IFERROR(INDEX('Malaria-Pharmaceuticals'!$AC$14:$AC$60,MATCH($E31&amp;$F31,'Malaria-Pharmaceuticals'!$E$14:$E$60&amp;'Malaria-Pharmaceuticals'!$I$14:$I$60,0)),0)</f>
        <v>0</v>
      </c>
      <c r="AU31" s="625">
        <f t="shared" si="24"/>
        <v>0</v>
      </c>
      <c r="AV31" s="626">
        <f t="shared" si="25"/>
        <v>0</v>
      </c>
      <c r="AW31" s="626">
        <f t="shared" si="26"/>
        <v>0</v>
      </c>
      <c r="AX31" s="625">
        <f t="array" ref="AX31">IFERROR(INDEX('Malaria-Pharmaceuticals'!$AD$14:$AD$60,MATCH($E31&amp;$F31,'Malaria-Pharmaceuticals'!$E$14:$E$60&amp;'Malaria-Pharmaceuticals'!$I$14:$I$60,0)),0)</f>
        <v>0</v>
      </c>
      <c r="AY31" s="625">
        <f t="shared" si="27"/>
        <v>0</v>
      </c>
      <c r="AZ31" s="626">
        <f t="shared" si="28"/>
        <v>0</v>
      </c>
      <c r="BA31" s="626">
        <f t="shared" si="29"/>
        <v>0</v>
      </c>
      <c r="BB31" s="625">
        <f t="array" ref="BB31">IFERROR(INDEX('Malaria-Pharmaceuticals'!$AE$14:$AE$60,MATCH($E31&amp;$F31,'Malaria-Pharmaceuticals'!$E$14:$E$60&amp;'Malaria-Pharmaceuticals'!$I$14:$I$60,0)),0)</f>
        <v>0</v>
      </c>
      <c r="BC31" s="625">
        <f t="shared" si="30"/>
        <v>0</v>
      </c>
      <c r="BD31" s="626">
        <f t="shared" si="31"/>
        <v>0</v>
      </c>
      <c r="BE31" s="626">
        <f t="shared" si="32"/>
        <v>0</v>
      </c>
      <c r="BF31" s="625">
        <f t="array" ref="BF31">IFERROR(INDEX('Malaria-Pharmaceuticals'!$AF$14:$AF$60,MATCH($E31&amp;$F31,'Malaria-Pharmaceuticals'!$E$14:$E$60&amp;'Malaria-Pharmaceuticals'!$I$14:$I$60,0)),0)</f>
        <v>0</v>
      </c>
      <c r="BG31" s="625">
        <f t="shared" si="33"/>
        <v>0</v>
      </c>
      <c r="BH31" s="626">
        <f t="shared" si="34"/>
        <v>0</v>
      </c>
      <c r="BI31" s="626">
        <f t="shared" si="35"/>
        <v>0</v>
      </c>
      <c r="BK31" s="626"/>
      <c r="BL31" s="626"/>
      <c r="BM31" s="626"/>
      <c r="BN31" s="626"/>
      <c r="BO31" s="626"/>
      <c r="BP31" s="626"/>
      <c r="BQ31" s="626"/>
      <c r="BR31" s="626"/>
      <c r="BT31" s="21" t="s">
        <v>6806</v>
      </c>
    </row>
    <row r="32" spans="1:72">
      <c r="A32" s="32" t="s">
        <v>576</v>
      </c>
      <c r="B32" s="32" t="s">
        <v>522</v>
      </c>
      <c r="C32" s="626">
        <f>SETUP!$F$50</f>
        <v>0</v>
      </c>
      <c r="D32" s="31">
        <v>4.3</v>
      </c>
      <c r="E32" s="32" t="s">
        <v>402</v>
      </c>
      <c r="F32" s="32" t="s">
        <v>1129</v>
      </c>
      <c r="G32" s="625" t="str">
        <f t="array" ref="G32">IFERROR(INDEX('Malaria-Pharmaceuticals'!$L$14:$L$60,MATCH($E32&amp;$F32,'Malaria-Pharmaceuticals'!$E$14:$E$60&amp;'Malaria-Pharmaceuticals'!$I$14:$I$60,0)),"")</f>
        <v/>
      </c>
      <c r="H32" s="625" t="str">
        <f t="array" ref="H32">IFERROR(INDEX('Malaria-Pharmaceuticals'!$M$14:$M$60,MATCH($E32&amp;$F32,'Malaria-Pharmaceuticals'!$E$14:$E$60&amp;'Malaria-Pharmaceuticals'!$I$14:$I$60,0)),"")</f>
        <v/>
      </c>
      <c r="I32" s="625">
        <f t="array" ref="I32">IFERROR(INDEX('Malaria-Pharmaceuticals'!$N$14:$N$60,MATCH($E32&amp;$F32,'Malaria-Pharmaceuticals'!$E$14:$E$60&amp;'Malaria-Pharmaceuticals'!$I$14:$I$60,0)),0)</f>
        <v>0</v>
      </c>
      <c r="J32" s="625">
        <f t="array" ref="J32">IFERROR(INDEX('Malaria-Pharmaceuticals'!$O$14:$O$60,MATCH($E32&amp;$F32,'Malaria-Pharmaceuticals'!$E$14:$E$60&amp;'Malaria-Pharmaceuticals'!$I$14:$I$60,0)),0)</f>
        <v>0</v>
      </c>
      <c r="K32" s="626">
        <f t="shared" si="0"/>
        <v>0</v>
      </c>
      <c r="L32" s="626">
        <f t="shared" si="1"/>
        <v>0</v>
      </c>
      <c r="M32" s="626">
        <f t="shared" si="2"/>
        <v>0</v>
      </c>
      <c r="N32" s="625">
        <f t="array" ref="N32">IFERROR(INDEX('Malaria-Pharmaceuticals'!$P$14:$P$60,MATCH($E32&amp;$F32,'Malaria-Pharmaceuticals'!$E$14:$E$60&amp;'Malaria-Pharmaceuticals'!$I$14:$I$60,0)),0)</f>
        <v>0</v>
      </c>
      <c r="O32" s="626">
        <f t="shared" si="3"/>
        <v>0</v>
      </c>
      <c r="P32" s="626">
        <f t="shared" si="4"/>
        <v>0</v>
      </c>
      <c r="Q32" s="626">
        <f t="shared" si="5"/>
        <v>0</v>
      </c>
      <c r="R32" s="625">
        <f t="array" ref="R32">IFERROR(INDEX('Malaria-Pharmaceuticals'!$Q$14:$Q$60,MATCH($E32&amp;$F32,'Malaria-Pharmaceuticals'!$E$14:$E$60&amp;'Malaria-Pharmaceuticals'!$I$14:$I$60,0)),0)</f>
        <v>0</v>
      </c>
      <c r="S32" s="626">
        <f t="shared" si="6"/>
        <v>0</v>
      </c>
      <c r="T32" s="626">
        <f t="shared" si="7"/>
        <v>0</v>
      </c>
      <c r="U32" s="626">
        <f t="shared" si="8"/>
        <v>0</v>
      </c>
      <c r="V32" s="625">
        <f t="array" ref="V32">IFERROR(INDEX('Malaria-Pharmaceuticals'!$R$14:$R$60,MATCH($E32&amp;$F32,'Malaria-Pharmaceuticals'!$E$14:$E$60&amp;'Malaria-Pharmaceuticals'!$I$14:$I$60,0)),0)</f>
        <v>0</v>
      </c>
      <c r="W32" s="626">
        <f t="shared" si="9"/>
        <v>0</v>
      </c>
      <c r="X32" s="626">
        <f t="shared" si="10"/>
        <v>0</v>
      </c>
      <c r="Y32" s="626">
        <f t="shared" si="11"/>
        <v>0</v>
      </c>
      <c r="Z32" s="627"/>
      <c r="AA32" s="625">
        <f t="array" ref="AA32">IFERROR(INDEX('Malaria-Pharmaceuticals'!$U$14:$U$60,MATCH($E32&amp;$F32,'Malaria-Pharmaceuticals'!$E$14:$E$60&amp;'Malaria-Pharmaceuticals'!$I$14:$I$60,0)),0)</f>
        <v>0</v>
      </c>
      <c r="AB32" s="625">
        <f t="array" ref="AB32">IFERROR(INDEX('Malaria-Pharmaceuticals'!$V$14:$V$60,MATCH($E32&amp;$F32,'Malaria-Pharmaceuticals'!$E$14:$E$60&amp;'Malaria-Pharmaceuticals'!$I$14:$I$60,0)),0)</f>
        <v>0</v>
      </c>
      <c r="AC32" s="625">
        <f t="shared" si="12"/>
        <v>0</v>
      </c>
      <c r="AD32" s="626">
        <f t="shared" si="13"/>
        <v>0</v>
      </c>
      <c r="AE32" s="626">
        <f t="shared" si="14"/>
        <v>0</v>
      </c>
      <c r="AF32" s="625">
        <f t="array" ref="AF32">IFERROR(INDEX('Malaria-Pharmaceuticals'!$W$14:$W$60,MATCH($E32&amp;$F32,'Malaria-Pharmaceuticals'!$E$14:$E$60&amp;'Malaria-Pharmaceuticals'!$I$14:$I$60,0)),0)</f>
        <v>0</v>
      </c>
      <c r="AG32" s="625">
        <f t="shared" si="15"/>
        <v>0</v>
      </c>
      <c r="AH32" s="626">
        <f t="shared" si="16"/>
        <v>0</v>
      </c>
      <c r="AI32" s="626">
        <f t="shared" si="17"/>
        <v>0</v>
      </c>
      <c r="AJ32" s="625">
        <f t="array" ref="AJ32">IFERROR(INDEX('Malaria-Pharmaceuticals'!$X$14:$X$60,MATCH($E32&amp;$F32,'Malaria-Pharmaceuticals'!$E$14:$E$60&amp;'Malaria-Pharmaceuticals'!$I$14:$I$60,0)),0)</f>
        <v>0</v>
      </c>
      <c r="AK32" s="625">
        <f t="shared" si="18"/>
        <v>0</v>
      </c>
      <c r="AL32" s="626">
        <f t="shared" si="19"/>
        <v>0</v>
      </c>
      <c r="AM32" s="626">
        <f t="shared" si="20"/>
        <v>0</v>
      </c>
      <c r="AN32" s="625">
        <f t="array" ref="AN32">IFERROR(INDEX('Malaria-Pharmaceuticals'!$Y$14:$Y$60,MATCH($E32&amp;$F32,'Malaria-Pharmaceuticals'!$E$14:$E$60&amp;'Malaria-Pharmaceuticals'!$I$14:$I$60,0)),0)</f>
        <v>0</v>
      </c>
      <c r="AO32" s="625">
        <f t="shared" si="21"/>
        <v>0</v>
      </c>
      <c r="AP32" s="626">
        <f t="shared" si="22"/>
        <v>0</v>
      </c>
      <c r="AQ32" s="626">
        <f t="shared" si="23"/>
        <v>0</v>
      </c>
      <c r="AR32" s="627"/>
      <c r="AS32" s="625">
        <f t="array" ref="AS32">IFERROR(INDEX('Malaria-Pharmaceuticals'!$AB$14:$AB$60,MATCH($E32&amp;$F32,'Malaria-Pharmaceuticals'!$E$14:$E$60&amp;'Malaria-Pharmaceuticals'!$I$14:$I$60,0)),0)</f>
        <v>0</v>
      </c>
      <c r="AT32" s="625">
        <f t="array" ref="AT32">IFERROR(INDEX('Malaria-Pharmaceuticals'!$AC$14:$AC$60,MATCH($E32&amp;$F32,'Malaria-Pharmaceuticals'!$E$14:$E$60&amp;'Malaria-Pharmaceuticals'!$I$14:$I$60,0)),0)</f>
        <v>0</v>
      </c>
      <c r="AU32" s="625">
        <f t="shared" si="24"/>
        <v>0</v>
      </c>
      <c r="AV32" s="626">
        <f t="shared" si="25"/>
        <v>0</v>
      </c>
      <c r="AW32" s="626">
        <f t="shared" si="26"/>
        <v>0</v>
      </c>
      <c r="AX32" s="625">
        <f t="array" ref="AX32">IFERROR(INDEX('Malaria-Pharmaceuticals'!$AD$14:$AD$60,MATCH($E32&amp;$F32,'Malaria-Pharmaceuticals'!$E$14:$E$60&amp;'Malaria-Pharmaceuticals'!$I$14:$I$60,0)),0)</f>
        <v>0</v>
      </c>
      <c r="AY32" s="625">
        <f t="shared" si="27"/>
        <v>0</v>
      </c>
      <c r="AZ32" s="626">
        <f t="shared" si="28"/>
        <v>0</v>
      </c>
      <c r="BA32" s="626">
        <f t="shared" si="29"/>
        <v>0</v>
      </c>
      <c r="BB32" s="625">
        <f t="array" ref="BB32">IFERROR(INDEX('Malaria-Pharmaceuticals'!$AE$14:$AE$60,MATCH($E32&amp;$F32,'Malaria-Pharmaceuticals'!$E$14:$E$60&amp;'Malaria-Pharmaceuticals'!$I$14:$I$60,0)),0)</f>
        <v>0</v>
      </c>
      <c r="BC32" s="625">
        <f t="shared" si="30"/>
        <v>0</v>
      </c>
      <c r="BD32" s="626">
        <f t="shared" si="31"/>
        <v>0</v>
      </c>
      <c r="BE32" s="626">
        <f t="shared" si="32"/>
        <v>0</v>
      </c>
      <c r="BF32" s="625">
        <f t="array" ref="BF32">IFERROR(INDEX('Malaria-Pharmaceuticals'!$AF$14:$AF$60,MATCH($E32&amp;$F32,'Malaria-Pharmaceuticals'!$E$14:$E$60&amp;'Malaria-Pharmaceuticals'!$I$14:$I$60,0)),0)</f>
        <v>0</v>
      </c>
      <c r="BG32" s="625">
        <f t="shared" si="33"/>
        <v>0</v>
      </c>
      <c r="BH32" s="626">
        <f t="shared" si="34"/>
        <v>0</v>
      </c>
      <c r="BI32" s="626">
        <f t="shared" si="35"/>
        <v>0</v>
      </c>
      <c r="BK32" s="626"/>
      <c r="BL32" s="626"/>
      <c r="BM32" s="626"/>
      <c r="BN32" s="626"/>
      <c r="BO32" s="626"/>
      <c r="BP32" s="626"/>
      <c r="BQ32" s="626"/>
      <c r="BR32" s="626"/>
      <c r="BT32" s="21" t="s">
        <v>6806</v>
      </c>
    </row>
    <row r="33" spans="1:72">
      <c r="A33" s="32" t="s">
        <v>576</v>
      </c>
      <c r="B33" s="32" t="s">
        <v>522</v>
      </c>
      <c r="C33" s="626">
        <f>SETUP!$F$50</f>
        <v>0</v>
      </c>
      <c r="D33" s="31">
        <v>4.3</v>
      </c>
      <c r="E33" s="32" t="s">
        <v>403</v>
      </c>
      <c r="F33" s="32" t="s">
        <v>1130</v>
      </c>
      <c r="G33" s="625" t="str">
        <f t="array" ref="G33">IFERROR(INDEX('Malaria-Pharmaceuticals'!$L$14:$L$60,MATCH($E33&amp;$F33,'Malaria-Pharmaceuticals'!$E$14:$E$60&amp;'Malaria-Pharmaceuticals'!$I$14:$I$60,0)),"")</f>
        <v/>
      </c>
      <c r="H33" s="625" t="str">
        <f t="array" ref="H33">IFERROR(INDEX('Malaria-Pharmaceuticals'!$M$14:$M$60,MATCH($E33&amp;$F33,'Malaria-Pharmaceuticals'!$E$14:$E$60&amp;'Malaria-Pharmaceuticals'!$I$14:$I$60,0)),"")</f>
        <v/>
      </c>
      <c r="I33" s="625">
        <f t="array" ref="I33">IFERROR(INDEX('Malaria-Pharmaceuticals'!$N$14:$N$60,MATCH($E33&amp;$F33,'Malaria-Pharmaceuticals'!$E$14:$E$60&amp;'Malaria-Pharmaceuticals'!$I$14:$I$60,0)),0)</f>
        <v>0</v>
      </c>
      <c r="J33" s="625">
        <f t="array" ref="J33">IFERROR(INDEX('Malaria-Pharmaceuticals'!$O$14:$O$60,MATCH($E33&amp;$F33,'Malaria-Pharmaceuticals'!$E$14:$E$60&amp;'Malaria-Pharmaceuticals'!$I$14:$I$60,0)),0)</f>
        <v>0</v>
      </c>
      <c r="K33" s="626">
        <f t="shared" si="0"/>
        <v>0</v>
      </c>
      <c r="L33" s="626">
        <f t="shared" si="1"/>
        <v>0</v>
      </c>
      <c r="M33" s="626">
        <f t="shared" si="2"/>
        <v>0</v>
      </c>
      <c r="N33" s="625">
        <f t="array" ref="N33">IFERROR(INDEX('Malaria-Pharmaceuticals'!$P$14:$P$60,MATCH($E33&amp;$F33,'Malaria-Pharmaceuticals'!$E$14:$E$60&amp;'Malaria-Pharmaceuticals'!$I$14:$I$60,0)),0)</f>
        <v>0</v>
      </c>
      <c r="O33" s="626">
        <f t="shared" si="3"/>
        <v>0</v>
      </c>
      <c r="P33" s="626">
        <f t="shared" si="4"/>
        <v>0</v>
      </c>
      <c r="Q33" s="626">
        <f t="shared" si="5"/>
        <v>0</v>
      </c>
      <c r="R33" s="625">
        <f t="array" ref="R33">IFERROR(INDEX('Malaria-Pharmaceuticals'!$Q$14:$Q$60,MATCH($E33&amp;$F33,'Malaria-Pharmaceuticals'!$E$14:$E$60&amp;'Malaria-Pharmaceuticals'!$I$14:$I$60,0)),0)</f>
        <v>0</v>
      </c>
      <c r="S33" s="626">
        <f t="shared" si="6"/>
        <v>0</v>
      </c>
      <c r="T33" s="626">
        <f t="shared" si="7"/>
        <v>0</v>
      </c>
      <c r="U33" s="626">
        <f t="shared" si="8"/>
        <v>0</v>
      </c>
      <c r="V33" s="625">
        <f t="array" ref="V33">IFERROR(INDEX('Malaria-Pharmaceuticals'!$R$14:$R$60,MATCH($E33&amp;$F33,'Malaria-Pharmaceuticals'!$E$14:$E$60&amp;'Malaria-Pharmaceuticals'!$I$14:$I$60,0)),0)</f>
        <v>0</v>
      </c>
      <c r="W33" s="626">
        <f t="shared" si="9"/>
        <v>0</v>
      </c>
      <c r="X33" s="626">
        <f t="shared" si="10"/>
        <v>0</v>
      </c>
      <c r="Y33" s="626">
        <f t="shared" si="11"/>
        <v>0</v>
      </c>
      <c r="Z33" s="627"/>
      <c r="AA33" s="625">
        <f t="array" ref="AA33">IFERROR(INDEX('Malaria-Pharmaceuticals'!$U$14:$U$60,MATCH($E33&amp;$F33,'Malaria-Pharmaceuticals'!$E$14:$E$60&amp;'Malaria-Pharmaceuticals'!$I$14:$I$60,0)),0)</f>
        <v>0</v>
      </c>
      <c r="AB33" s="625">
        <f t="array" ref="AB33">IFERROR(INDEX('Malaria-Pharmaceuticals'!$V$14:$V$60,MATCH($E33&amp;$F33,'Malaria-Pharmaceuticals'!$E$14:$E$60&amp;'Malaria-Pharmaceuticals'!$I$14:$I$60,0)),0)</f>
        <v>0</v>
      </c>
      <c r="AC33" s="625">
        <f t="shared" si="12"/>
        <v>0</v>
      </c>
      <c r="AD33" s="626">
        <f t="shared" si="13"/>
        <v>0</v>
      </c>
      <c r="AE33" s="626">
        <f t="shared" si="14"/>
        <v>0</v>
      </c>
      <c r="AF33" s="625">
        <f t="array" ref="AF33">IFERROR(INDEX('Malaria-Pharmaceuticals'!$W$14:$W$60,MATCH($E33&amp;$F33,'Malaria-Pharmaceuticals'!$E$14:$E$60&amp;'Malaria-Pharmaceuticals'!$I$14:$I$60,0)),0)</f>
        <v>0</v>
      </c>
      <c r="AG33" s="625">
        <f t="shared" si="15"/>
        <v>0</v>
      </c>
      <c r="AH33" s="626">
        <f t="shared" si="16"/>
        <v>0</v>
      </c>
      <c r="AI33" s="626">
        <f t="shared" si="17"/>
        <v>0</v>
      </c>
      <c r="AJ33" s="625">
        <f t="array" ref="AJ33">IFERROR(INDEX('Malaria-Pharmaceuticals'!$X$14:$X$60,MATCH($E33&amp;$F33,'Malaria-Pharmaceuticals'!$E$14:$E$60&amp;'Malaria-Pharmaceuticals'!$I$14:$I$60,0)),0)</f>
        <v>0</v>
      </c>
      <c r="AK33" s="625">
        <f t="shared" si="18"/>
        <v>0</v>
      </c>
      <c r="AL33" s="626">
        <f t="shared" si="19"/>
        <v>0</v>
      </c>
      <c r="AM33" s="626">
        <f t="shared" si="20"/>
        <v>0</v>
      </c>
      <c r="AN33" s="625">
        <f t="array" ref="AN33">IFERROR(INDEX('Malaria-Pharmaceuticals'!$Y$14:$Y$60,MATCH($E33&amp;$F33,'Malaria-Pharmaceuticals'!$E$14:$E$60&amp;'Malaria-Pharmaceuticals'!$I$14:$I$60,0)),0)</f>
        <v>0</v>
      </c>
      <c r="AO33" s="625">
        <f t="shared" si="21"/>
        <v>0</v>
      </c>
      <c r="AP33" s="626">
        <f t="shared" si="22"/>
        <v>0</v>
      </c>
      <c r="AQ33" s="626">
        <f t="shared" si="23"/>
        <v>0</v>
      </c>
      <c r="AR33" s="627"/>
      <c r="AS33" s="625">
        <f t="array" ref="AS33">IFERROR(INDEX('Malaria-Pharmaceuticals'!$AB$14:$AB$60,MATCH($E33&amp;$F33,'Malaria-Pharmaceuticals'!$E$14:$E$60&amp;'Malaria-Pharmaceuticals'!$I$14:$I$60,0)),0)</f>
        <v>0</v>
      </c>
      <c r="AT33" s="625">
        <f t="array" ref="AT33">IFERROR(INDEX('Malaria-Pharmaceuticals'!$AC$14:$AC$60,MATCH($E33&amp;$F33,'Malaria-Pharmaceuticals'!$E$14:$E$60&amp;'Malaria-Pharmaceuticals'!$I$14:$I$60,0)),0)</f>
        <v>0</v>
      </c>
      <c r="AU33" s="625">
        <f t="shared" si="24"/>
        <v>0</v>
      </c>
      <c r="AV33" s="626">
        <f t="shared" si="25"/>
        <v>0</v>
      </c>
      <c r="AW33" s="626">
        <f t="shared" si="26"/>
        <v>0</v>
      </c>
      <c r="AX33" s="625">
        <f t="array" ref="AX33">IFERROR(INDEX('Malaria-Pharmaceuticals'!$AD$14:$AD$60,MATCH($E33&amp;$F33,'Malaria-Pharmaceuticals'!$E$14:$E$60&amp;'Malaria-Pharmaceuticals'!$I$14:$I$60,0)),0)</f>
        <v>0</v>
      </c>
      <c r="AY33" s="625">
        <f t="shared" si="27"/>
        <v>0</v>
      </c>
      <c r="AZ33" s="626">
        <f t="shared" si="28"/>
        <v>0</v>
      </c>
      <c r="BA33" s="626">
        <f t="shared" si="29"/>
        <v>0</v>
      </c>
      <c r="BB33" s="625">
        <f t="array" ref="BB33">IFERROR(INDEX('Malaria-Pharmaceuticals'!$AE$14:$AE$60,MATCH($E33&amp;$F33,'Malaria-Pharmaceuticals'!$E$14:$E$60&amp;'Malaria-Pharmaceuticals'!$I$14:$I$60,0)),0)</f>
        <v>0</v>
      </c>
      <c r="BC33" s="625">
        <f t="shared" si="30"/>
        <v>0</v>
      </c>
      <c r="BD33" s="626">
        <f t="shared" si="31"/>
        <v>0</v>
      </c>
      <c r="BE33" s="626">
        <f t="shared" si="32"/>
        <v>0</v>
      </c>
      <c r="BF33" s="625">
        <f t="array" ref="BF33">IFERROR(INDEX('Malaria-Pharmaceuticals'!$AF$14:$AF$60,MATCH($E33&amp;$F33,'Malaria-Pharmaceuticals'!$E$14:$E$60&amp;'Malaria-Pharmaceuticals'!$I$14:$I$60,0)),0)</f>
        <v>0</v>
      </c>
      <c r="BG33" s="625">
        <f t="shared" si="33"/>
        <v>0</v>
      </c>
      <c r="BH33" s="626">
        <f t="shared" si="34"/>
        <v>0</v>
      </c>
      <c r="BI33" s="626">
        <f t="shared" si="35"/>
        <v>0</v>
      </c>
      <c r="BK33" s="626"/>
      <c r="BL33" s="626"/>
      <c r="BM33" s="626"/>
      <c r="BN33" s="626"/>
      <c r="BO33" s="626"/>
      <c r="BP33" s="626"/>
      <c r="BQ33" s="626"/>
      <c r="BR33" s="626"/>
      <c r="BT33" s="21" t="s">
        <v>6807</v>
      </c>
    </row>
    <row r="34" spans="1:72">
      <c r="A34" s="32" t="s">
        <v>576</v>
      </c>
      <c r="B34" s="32" t="s">
        <v>522</v>
      </c>
      <c r="C34" s="626">
        <f>SETUP!$F$50</f>
        <v>0</v>
      </c>
      <c r="D34" s="31">
        <v>4.3</v>
      </c>
      <c r="E34" s="32" t="s">
        <v>403</v>
      </c>
      <c r="F34" s="32" t="s">
        <v>1131</v>
      </c>
      <c r="G34" s="625" t="str">
        <f t="array" ref="G34">IFERROR(INDEX('Malaria-Pharmaceuticals'!$L$14:$L$60,MATCH($E34&amp;$F34,'Malaria-Pharmaceuticals'!$E$14:$E$60&amp;'Malaria-Pharmaceuticals'!$I$14:$I$60,0)),"")</f>
        <v/>
      </c>
      <c r="H34" s="625" t="str">
        <f t="array" ref="H34">IFERROR(INDEX('Malaria-Pharmaceuticals'!$M$14:$M$60,MATCH($E34&amp;$F34,'Malaria-Pharmaceuticals'!$E$14:$E$60&amp;'Malaria-Pharmaceuticals'!$I$14:$I$60,0)),"")</f>
        <v/>
      </c>
      <c r="I34" s="625">
        <f t="array" ref="I34">IFERROR(INDEX('Malaria-Pharmaceuticals'!$N$14:$N$60,MATCH($E34&amp;$F34,'Malaria-Pharmaceuticals'!$E$14:$E$60&amp;'Malaria-Pharmaceuticals'!$I$14:$I$60,0)),0)</f>
        <v>0</v>
      </c>
      <c r="J34" s="625">
        <f t="array" ref="J34">IFERROR(INDEX('Malaria-Pharmaceuticals'!$O$14:$O$60,MATCH($E34&amp;$F34,'Malaria-Pharmaceuticals'!$E$14:$E$60&amp;'Malaria-Pharmaceuticals'!$I$14:$I$60,0)),0)</f>
        <v>0</v>
      </c>
      <c r="K34" s="626">
        <f t="shared" si="0"/>
        <v>0</v>
      </c>
      <c r="L34" s="626">
        <f t="shared" si="1"/>
        <v>0</v>
      </c>
      <c r="M34" s="626">
        <f t="shared" si="2"/>
        <v>0</v>
      </c>
      <c r="N34" s="625">
        <f t="array" ref="N34">IFERROR(INDEX('Malaria-Pharmaceuticals'!$P$14:$P$60,MATCH($E34&amp;$F34,'Malaria-Pharmaceuticals'!$E$14:$E$60&amp;'Malaria-Pharmaceuticals'!$I$14:$I$60,0)),0)</f>
        <v>0</v>
      </c>
      <c r="O34" s="626">
        <f t="shared" si="3"/>
        <v>0</v>
      </c>
      <c r="P34" s="626">
        <f t="shared" si="4"/>
        <v>0</v>
      </c>
      <c r="Q34" s="626">
        <f t="shared" si="5"/>
        <v>0</v>
      </c>
      <c r="R34" s="625">
        <f t="array" ref="R34">IFERROR(INDEX('Malaria-Pharmaceuticals'!$Q$14:$Q$60,MATCH($E34&amp;$F34,'Malaria-Pharmaceuticals'!$E$14:$E$60&amp;'Malaria-Pharmaceuticals'!$I$14:$I$60,0)),0)</f>
        <v>0</v>
      </c>
      <c r="S34" s="626">
        <f t="shared" si="6"/>
        <v>0</v>
      </c>
      <c r="T34" s="626">
        <f t="shared" si="7"/>
        <v>0</v>
      </c>
      <c r="U34" s="626">
        <f t="shared" si="8"/>
        <v>0</v>
      </c>
      <c r="V34" s="625">
        <f t="array" ref="V34">IFERROR(INDEX('Malaria-Pharmaceuticals'!$R$14:$R$60,MATCH($E34&amp;$F34,'Malaria-Pharmaceuticals'!$E$14:$E$60&amp;'Malaria-Pharmaceuticals'!$I$14:$I$60,0)),0)</f>
        <v>0</v>
      </c>
      <c r="W34" s="626">
        <f t="shared" si="9"/>
        <v>0</v>
      </c>
      <c r="X34" s="626">
        <f t="shared" si="10"/>
        <v>0</v>
      </c>
      <c r="Y34" s="626">
        <f t="shared" si="11"/>
        <v>0</v>
      </c>
      <c r="Z34" s="627"/>
      <c r="AA34" s="625">
        <f t="array" ref="AA34">IFERROR(INDEX('Malaria-Pharmaceuticals'!$U$14:$U$60,MATCH($E34&amp;$F34,'Malaria-Pharmaceuticals'!$E$14:$E$60&amp;'Malaria-Pharmaceuticals'!$I$14:$I$60,0)),0)</f>
        <v>0</v>
      </c>
      <c r="AB34" s="625">
        <f t="array" ref="AB34">IFERROR(INDEX('Malaria-Pharmaceuticals'!$V$14:$V$60,MATCH($E34&amp;$F34,'Malaria-Pharmaceuticals'!$E$14:$E$60&amp;'Malaria-Pharmaceuticals'!$I$14:$I$60,0)),0)</f>
        <v>0</v>
      </c>
      <c r="AC34" s="625">
        <f t="shared" si="12"/>
        <v>0</v>
      </c>
      <c r="AD34" s="626">
        <f t="shared" si="13"/>
        <v>0</v>
      </c>
      <c r="AE34" s="626">
        <f t="shared" si="14"/>
        <v>0</v>
      </c>
      <c r="AF34" s="625">
        <f t="array" ref="AF34">IFERROR(INDEX('Malaria-Pharmaceuticals'!$W$14:$W$60,MATCH($E34&amp;$F34,'Malaria-Pharmaceuticals'!$E$14:$E$60&amp;'Malaria-Pharmaceuticals'!$I$14:$I$60,0)),0)</f>
        <v>0</v>
      </c>
      <c r="AG34" s="625">
        <f t="shared" si="15"/>
        <v>0</v>
      </c>
      <c r="AH34" s="626">
        <f t="shared" si="16"/>
        <v>0</v>
      </c>
      <c r="AI34" s="626">
        <f t="shared" si="17"/>
        <v>0</v>
      </c>
      <c r="AJ34" s="625">
        <f t="array" ref="AJ34">IFERROR(INDEX('Malaria-Pharmaceuticals'!$X$14:$X$60,MATCH($E34&amp;$F34,'Malaria-Pharmaceuticals'!$E$14:$E$60&amp;'Malaria-Pharmaceuticals'!$I$14:$I$60,0)),0)</f>
        <v>0</v>
      </c>
      <c r="AK34" s="625">
        <f t="shared" si="18"/>
        <v>0</v>
      </c>
      <c r="AL34" s="626">
        <f t="shared" si="19"/>
        <v>0</v>
      </c>
      <c r="AM34" s="626">
        <f t="shared" si="20"/>
        <v>0</v>
      </c>
      <c r="AN34" s="625">
        <f t="array" ref="AN34">IFERROR(INDEX('Malaria-Pharmaceuticals'!$Y$14:$Y$60,MATCH($E34&amp;$F34,'Malaria-Pharmaceuticals'!$E$14:$E$60&amp;'Malaria-Pharmaceuticals'!$I$14:$I$60,0)),0)</f>
        <v>0</v>
      </c>
      <c r="AO34" s="625">
        <f t="shared" si="21"/>
        <v>0</v>
      </c>
      <c r="AP34" s="626">
        <f t="shared" si="22"/>
        <v>0</v>
      </c>
      <c r="AQ34" s="626">
        <f t="shared" si="23"/>
        <v>0</v>
      </c>
      <c r="AR34" s="627"/>
      <c r="AS34" s="625">
        <f t="array" ref="AS34">IFERROR(INDEX('Malaria-Pharmaceuticals'!$AB$14:$AB$60,MATCH($E34&amp;$F34,'Malaria-Pharmaceuticals'!$E$14:$E$60&amp;'Malaria-Pharmaceuticals'!$I$14:$I$60,0)),0)</f>
        <v>0</v>
      </c>
      <c r="AT34" s="625">
        <f t="array" ref="AT34">IFERROR(INDEX('Malaria-Pharmaceuticals'!$AC$14:$AC$60,MATCH($E34&amp;$F34,'Malaria-Pharmaceuticals'!$E$14:$E$60&amp;'Malaria-Pharmaceuticals'!$I$14:$I$60,0)),0)</f>
        <v>0</v>
      </c>
      <c r="AU34" s="625">
        <f t="shared" si="24"/>
        <v>0</v>
      </c>
      <c r="AV34" s="626">
        <f t="shared" si="25"/>
        <v>0</v>
      </c>
      <c r="AW34" s="626">
        <f t="shared" si="26"/>
        <v>0</v>
      </c>
      <c r="AX34" s="625">
        <f t="array" ref="AX34">IFERROR(INDEX('Malaria-Pharmaceuticals'!$AD$14:$AD$60,MATCH($E34&amp;$F34,'Malaria-Pharmaceuticals'!$E$14:$E$60&amp;'Malaria-Pharmaceuticals'!$I$14:$I$60,0)),0)</f>
        <v>0</v>
      </c>
      <c r="AY34" s="625">
        <f t="shared" si="27"/>
        <v>0</v>
      </c>
      <c r="AZ34" s="626">
        <f t="shared" si="28"/>
        <v>0</v>
      </c>
      <c r="BA34" s="626">
        <f t="shared" si="29"/>
        <v>0</v>
      </c>
      <c r="BB34" s="625">
        <f t="array" ref="BB34">IFERROR(INDEX('Malaria-Pharmaceuticals'!$AE$14:$AE$60,MATCH($E34&amp;$F34,'Malaria-Pharmaceuticals'!$E$14:$E$60&amp;'Malaria-Pharmaceuticals'!$I$14:$I$60,0)),0)</f>
        <v>0</v>
      </c>
      <c r="BC34" s="625">
        <f t="shared" si="30"/>
        <v>0</v>
      </c>
      <c r="BD34" s="626">
        <f t="shared" si="31"/>
        <v>0</v>
      </c>
      <c r="BE34" s="626">
        <f t="shared" si="32"/>
        <v>0</v>
      </c>
      <c r="BF34" s="625">
        <f t="array" ref="BF34">IFERROR(INDEX('Malaria-Pharmaceuticals'!$AF$14:$AF$60,MATCH($E34&amp;$F34,'Malaria-Pharmaceuticals'!$E$14:$E$60&amp;'Malaria-Pharmaceuticals'!$I$14:$I$60,0)),0)</f>
        <v>0</v>
      </c>
      <c r="BG34" s="625">
        <f t="shared" si="33"/>
        <v>0</v>
      </c>
      <c r="BH34" s="626">
        <f t="shared" si="34"/>
        <v>0</v>
      </c>
      <c r="BI34" s="626">
        <f t="shared" si="35"/>
        <v>0</v>
      </c>
      <c r="BK34" s="626"/>
      <c r="BL34" s="626"/>
      <c r="BM34" s="626"/>
      <c r="BN34" s="626"/>
      <c r="BO34" s="626"/>
      <c r="BP34" s="626"/>
      <c r="BQ34" s="626"/>
      <c r="BR34" s="626"/>
      <c r="BT34" s="21" t="s">
        <v>6807</v>
      </c>
    </row>
    <row r="35" spans="1:72">
      <c r="A35" s="32" t="s">
        <v>576</v>
      </c>
      <c r="B35" s="32" t="s">
        <v>522</v>
      </c>
      <c r="C35" s="626">
        <f>SETUP!$F$50</f>
        <v>0</v>
      </c>
      <c r="D35" s="31">
        <v>4.3</v>
      </c>
      <c r="E35" s="32" t="s">
        <v>404</v>
      </c>
      <c r="F35" s="32" t="s">
        <v>1132</v>
      </c>
      <c r="G35" s="625" t="str">
        <f t="array" ref="G35">IFERROR(INDEX('Malaria-Pharmaceuticals'!$L$14:$L$60,MATCH($E35&amp;$F35,'Malaria-Pharmaceuticals'!$E$14:$E$60&amp;'Malaria-Pharmaceuticals'!$I$14:$I$60,0)),"")</f>
        <v/>
      </c>
      <c r="H35" s="625" t="str">
        <f t="array" ref="H35">IFERROR(INDEX('Malaria-Pharmaceuticals'!$M$14:$M$60,MATCH($E35&amp;$F35,'Malaria-Pharmaceuticals'!$E$14:$E$60&amp;'Malaria-Pharmaceuticals'!$I$14:$I$60,0)),"")</f>
        <v/>
      </c>
      <c r="I35" s="625">
        <f t="array" ref="I35">IFERROR(INDEX('Malaria-Pharmaceuticals'!$N$14:$N$60,MATCH($E35&amp;$F35,'Malaria-Pharmaceuticals'!$E$14:$E$60&amp;'Malaria-Pharmaceuticals'!$I$14:$I$60,0)),0)</f>
        <v>0</v>
      </c>
      <c r="J35" s="625">
        <f t="array" ref="J35">IFERROR(INDEX('Malaria-Pharmaceuticals'!$O$14:$O$60,MATCH($E35&amp;$F35,'Malaria-Pharmaceuticals'!$E$14:$E$60&amp;'Malaria-Pharmaceuticals'!$I$14:$I$60,0)),0)</f>
        <v>0</v>
      </c>
      <c r="K35" s="626">
        <f t="shared" si="0"/>
        <v>0</v>
      </c>
      <c r="L35" s="626">
        <f t="shared" si="1"/>
        <v>0</v>
      </c>
      <c r="M35" s="626">
        <f t="shared" si="2"/>
        <v>0</v>
      </c>
      <c r="N35" s="625">
        <f t="array" ref="N35">IFERROR(INDEX('Malaria-Pharmaceuticals'!$P$14:$P$60,MATCH($E35&amp;$F35,'Malaria-Pharmaceuticals'!$E$14:$E$60&amp;'Malaria-Pharmaceuticals'!$I$14:$I$60,0)),0)</f>
        <v>0</v>
      </c>
      <c r="O35" s="626">
        <f t="shared" si="3"/>
        <v>0</v>
      </c>
      <c r="P35" s="626">
        <f t="shared" si="4"/>
        <v>0</v>
      </c>
      <c r="Q35" s="626">
        <f t="shared" si="5"/>
        <v>0</v>
      </c>
      <c r="R35" s="625">
        <f t="array" ref="R35">IFERROR(INDEX('Malaria-Pharmaceuticals'!$Q$14:$Q$60,MATCH($E35&amp;$F35,'Malaria-Pharmaceuticals'!$E$14:$E$60&amp;'Malaria-Pharmaceuticals'!$I$14:$I$60,0)),0)</f>
        <v>0</v>
      </c>
      <c r="S35" s="626">
        <f t="shared" si="6"/>
        <v>0</v>
      </c>
      <c r="T35" s="626">
        <f t="shared" si="7"/>
        <v>0</v>
      </c>
      <c r="U35" s="626">
        <f t="shared" si="8"/>
        <v>0</v>
      </c>
      <c r="V35" s="625">
        <f t="array" ref="V35">IFERROR(INDEX('Malaria-Pharmaceuticals'!$R$14:$R$60,MATCH($E35&amp;$F35,'Malaria-Pharmaceuticals'!$E$14:$E$60&amp;'Malaria-Pharmaceuticals'!$I$14:$I$60,0)),0)</f>
        <v>0</v>
      </c>
      <c r="W35" s="626">
        <f t="shared" si="9"/>
        <v>0</v>
      </c>
      <c r="X35" s="626">
        <f t="shared" si="10"/>
        <v>0</v>
      </c>
      <c r="Y35" s="626">
        <f t="shared" si="11"/>
        <v>0</v>
      </c>
      <c r="Z35" s="627"/>
      <c r="AA35" s="625">
        <f t="array" ref="AA35">IFERROR(INDEX('Malaria-Pharmaceuticals'!$U$14:$U$60,MATCH($E35&amp;$F35,'Malaria-Pharmaceuticals'!$E$14:$E$60&amp;'Malaria-Pharmaceuticals'!$I$14:$I$60,0)),0)</f>
        <v>0</v>
      </c>
      <c r="AB35" s="625">
        <f t="array" ref="AB35">IFERROR(INDEX('Malaria-Pharmaceuticals'!$V$14:$V$60,MATCH($E35&amp;$F35,'Malaria-Pharmaceuticals'!$E$14:$E$60&amp;'Malaria-Pharmaceuticals'!$I$14:$I$60,0)),0)</f>
        <v>0</v>
      </c>
      <c r="AC35" s="625">
        <f t="shared" si="12"/>
        <v>0</v>
      </c>
      <c r="AD35" s="626">
        <f t="shared" si="13"/>
        <v>0</v>
      </c>
      <c r="AE35" s="626">
        <f t="shared" si="14"/>
        <v>0</v>
      </c>
      <c r="AF35" s="625">
        <f t="array" ref="AF35">IFERROR(INDEX('Malaria-Pharmaceuticals'!$W$14:$W$60,MATCH($E35&amp;$F35,'Malaria-Pharmaceuticals'!$E$14:$E$60&amp;'Malaria-Pharmaceuticals'!$I$14:$I$60,0)),0)</f>
        <v>0</v>
      </c>
      <c r="AG35" s="625">
        <f t="shared" si="15"/>
        <v>0</v>
      </c>
      <c r="AH35" s="626">
        <f t="shared" si="16"/>
        <v>0</v>
      </c>
      <c r="AI35" s="626">
        <f t="shared" si="17"/>
        <v>0</v>
      </c>
      <c r="AJ35" s="625">
        <f t="array" ref="AJ35">IFERROR(INDEX('Malaria-Pharmaceuticals'!$X$14:$X$60,MATCH($E35&amp;$F35,'Malaria-Pharmaceuticals'!$E$14:$E$60&amp;'Malaria-Pharmaceuticals'!$I$14:$I$60,0)),0)</f>
        <v>0</v>
      </c>
      <c r="AK35" s="625">
        <f t="shared" si="18"/>
        <v>0</v>
      </c>
      <c r="AL35" s="626">
        <f t="shared" si="19"/>
        <v>0</v>
      </c>
      <c r="AM35" s="626">
        <f t="shared" si="20"/>
        <v>0</v>
      </c>
      <c r="AN35" s="625">
        <f t="array" ref="AN35">IFERROR(INDEX('Malaria-Pharmaceuticals'!$Y$14:$Y$60,MATCH($E35&amp;$F35,'Malaria-Pharmaceuticals'!$E$14:$E$60&amp;'Malaria-Pharmaceuticals'!$I$14:$I$60,0)),0)</f>
        <v>0</v>
      </c>
      <c r="AO35" s="625">
        <f t="shared" si="21"/>
        <v>0</v>
      </c>
      <c r="AP35" s="626">
        <f t="shared" si="22"/>
        <v>0</v>
      </c>
      <c r="AQ35" s="626">
        <f t="shared" si="23"/>
        <v>0</v>
      </c>
      <c r="AR35" s="627"/>
      <c r="AS35" s="625">
        <f t="array" ref="AS35">IFERROR(INDEX('Malaria-Pharmaceuticals'!$AB$14:$AB$60,MATCH($E35&amp;$F35,'Malaria-Pharmaceuticals'!$E$14:$E$60&amp;'Malaria-Pharmaceuticals'!$I$14:$I$60,0)),0)</f>
        <v>0</v>
      </c>
      <c r="AT35" s="625">
        <f t="array" ref="AT35">IFERROR(INDEX('Malaria-Pharmaceuticals'!$AC$14:$AC$60,MATCH($E35&amp;$F35,'Malaria-Pharmaceuticals'!$E$14:$E$60&amp;'Malaria-Pharmaceuticals'!$I$14:$I$60,0)),0)</f>
        <v>0</v>
      </c>
      <c r="AU35" s="625">
        <f t="shared" si="24"/>
        <v>0</v>
      </c>
      <c r="AV35" s="626">
        <f t="shared" si="25"/>
        <v>0</v>
      </c>
      <c r="AW35" s="626">
        <f t="shared" si="26"/>
        <v>0</v>
      </c>
      <c r="AX35" s="625">
        <f t="array" ref="AX35">IFERROR(INDEX('Malaria-Pharmaceuticals'!$AD$14:$AD$60,MATCH($E35&amp;$F35,'Malaria-Pharmaceuticals'!$E$14:$E$60&amp;'Malaria-Pharmaceuticals'!$I$14:$I$60,0)),0)</f>
        <v>0</v>
      </c>
      <c r="AY35" s="625">
        <f t="shared" si="27"/>
        <v>0</v>
      </c>
      <c r="AZ35" s="626">
        <f t="shared" si="28"/>
        <v>0</v>
      </c>
      <c r="BA35" s="626">
        <f t="shared" si="29"/>
        <v>0</v>
      </c>
      <c r="BB35" s="625">
        <f t="array" ref="BB35">IFERROR(INDEX('Malaria-Pharmaceuticals'!$AE$14:$AE$60,MATCH($E35&amp;$F35,'Malaria-Pharmaceuticals'!$E$14:$E$60&amp;'Malaria-Pharmaceuticals'!$I$14:$I$60,0)),0)</f>
        <v>0</v>
      </c>
      <c r="BC35" s="625">
        <f t="shared" si="30"/>
        <v>0</v>
      </c>
      <c r="BD35" s="626">
        <f t="shared" si="31"/>
        <v>0</v>
      </c>
      <c r="BE35" s="626">
        <f t="shared" si="32"/>
        <v>0</v>
      </c>
      <c r="BF35" s="625">
        <f t="array" ref="BF35">IFERROR(INDEX('Malaria-Pharmaceuticals'!$AF$14:$AF$60,MATCH($E35&amp;$F35,'Malaria-Pharmaceuticals'!$E$14:$E$60&amp;'Malaria-Pharmaceuticals'!$I$14:$I$60,0)),0)</f>
        <v>0</v>
      </c>
      <c r="BG35" s="625">
        <f t="shared" si="33"/>
        <v>0</v>
      </c>
      <c r="BH35" s="626">
        <f t="shared" si="34"/>
        <v>0</v>
      </c>
      <c r="BI35" s="626">
        <f t="shared" si="35"/>
        <v>0</v>
      </c>
      <c r="BK35" s="626"/>
      <c r="BL35" s="626"/>
      <c r="BM35" s="626"/>
      <c r="BN35" s="626"/>
      <c r="BO35" s="626"/>
      <c r="BP35" s="626"/>
      <c r="BQ35" s="626"/>
      <c r="BR35" s="626"/>
      <c r="BT35" s="21" t="s">
        <v>6808</v>
      </c>
    </row>
    <row r="36" spans="1:72">
      <c r="A36" s="32" t="s">
        <v>576</v>
      </c>
      <c r="B36" s="32" t="s">
        <v>522</v>
      </c>
      <c r="C36" s="626">
        <f>SETUP!$F$50</f>
        <v>0</v>
      </c>
      <c r="D36" s="31">
        <v>4.3</v>
      </c>
      <c r="E36" s="32" t="s">
        <v>404</v>
      </c>
      <c r="F36" s="32" t="s">
        <v>1133</v>
      </c>
      <c r="G36" s="625" t="str">
        <f t="array" ref="G36">IFERROR(INDEX('Malaria-Pharmaceuticals'!$L$14:$L$60,MATCH($E36&amp;$F36,'Malaria-Pharmaceuticals'!$E$14:$E$60&amp;'Malaria-Pharmaceuticals'!$I$14:$I$60,0)),"")</f>
        <v/>
      </c>
      <c r="H36" s="625" t="str">
        <f t="array" ref="H36">IFERROR(INDEX('Malaria-Pharmaceuticals'!$M$14:$M$60,MATCH($E36&amp;$F36,'Malaria-Pharmaceuticals'!$E$14:$E$60&amp;'Malaria-Pharmaceuticals'!$I$14:$I$60,0)),"")</f>
        <v/>
      </c>
      <c r="I36" s="625">
        <f t="array" ref="I36">IFERROR(INDEX('Malaria-Pharmaceuticals'!$N$14:$N$60,MATCH($E36&amp;$F36,'Malaria-Pharmaceuticals'!$E$14:$E$60&amp;'Malaria-Pharmaceuticals'!$I$14:$I$60,0)),0)</f>
        <v>0</v>
      </c>
      <c r="J36" s="625">
        <f t="array" ref="J36">IFERROR(INDEX('Malaria-Pharmaceuticals'!$O$14:$O$60,MATCH($E36&amp;$F36,'Malaria-Pharmaceuticals'!$E$14:$E$60&amp;'Malaria-Pharmaceuticals'!$I$14:$I$60,0)),0)</f>
        <v>0</v>
      </c>
      <c r="K36" s="626">
        <f t="shared" si="0"/>
        <v>0</v>
      </c>
      <c r="L36" s="626">
        <f t="shared" si="1"/>
        <v>0</v>
      </c>
      <c r="M36" s="626">
        <f t="shared" si="2"/>
        <v>0</v>
      </c>
      <c r="N36" s="625">
        <f t="array" ref="N36">IFERROR(INDEX('Malaria-Pharmaceuticals'!$P$14:$P$60,MATCH($E36&amp;$F36,'Malaria-Pharmaceuticals'!$E$14:$E$60&amp;'Malaria-Pharmaceuticals'!$I$14:$I$60,0)),0)</f>
        <v>0</v>
      </c>
      <c r="O36" s="626">
        <f t="shared" si="3"/>
        <v>0</v>
      </c>
      <c r="P36" s="626">
        <f t="shared" si="4"/>
        <v>0</v>
      </c>
      <c r="Q36" s="626">
        <f t="shared" si="5"/>
        <v>0</v>
      </c>
      <c r="R36" s="625">
        <f t="array" ref="R36">IFERROR(INDEX('Malaria-Pharmaceuticals'!$Q$14:$Q$60,MATCH($E36&amp;$F36,'Malaria-Pharmaceuticals'!$E$14:$E$60&amp;'Malaria-Pharmaceuticals'!$I$14:$I$60,0)),0)</f>
        <v>0</v>
      </c>
      <c r="S36" s="626">
        <f t="shared" si="6"/>
        <v>0</v>
      </c>
      <c r="T36" s="626">
        <f t="shared" si="7"/>
        <v>0</v>
      </c>
      <c r="U36" s="626">
        <f t="shared" si="8"/>
        <v>0</v>
      </c>
      <c r="V36" s="625">
        <f t="array" ref="V36">IFERROR(INDEX('Malaria-Pharmaceuticals'!$R$14:$R$60,MATCH($E36&amp;$F36,'Malaria-Pharmaceuticals'!$E$14:$E$60&amp;'Malaria-Pharmaceuticals'!$I$14:$I$60,0)),0)</f>
        <v>0</v>
      </c>
      <c r="W36" s="626">
        <f t="shared" si="9"/>
        <v>0</v>
      </c>
      <c r="X36" s="626">
        <f t="shared" si="10"/>
        <v>0</v>
      </c>
      <c r="Y36" s="626">
        <f t="shared" si="11"/>
        <v>0</v>
      </c>
      <c r="Z36" s="627"/>
      <c r="AA36" s="625">
        <f t="array" ref="AA36">IFERROR(INDEX('Malaria-Pharmaceuticals'!$U$14:$U$60,MATCH($E36&amp;$F36,'Malaria-Pharmaceuticals'!$E$14:$E$60&amp;'Malaria-Pharmaceuticals'!$I$14:$I$60,0)),0)</f>
        <v>0</v>
      </c>
      <c r="AB36" s="625">
        <f t="array" ref="AB36">IFERROR(INDEX('Malaria-Pharmaceuticals'!$V$14:$V$60,MATCH($E36&amp;$F36,'Malaria-Pharmaceuticals'!$E$14:$E$60&amp;'Malaria-Pharmaceuticals'!$I$14:$I$60,0)),0)</f>
        <v>0</v>
      </c>
      <c r="AC36" s="625">
        <f t="shared" si="12"/>
        <v>0</v>
      </c>
      <c r="AD36" s="626">
        <f t="shared" si="13"/>
        <v>0</v>
      </c>
      <c r="AE36" s="626">
        <f t="shared" si="14"/>
        <v>0</v>
      </c>
      <c r="AF36" s="625">
        <f t="array" ref="AF36">IFERROR(INDEX('Malaria-Pharmaceuticals'!$W$14:$W$60,MATCH($E36&amp;$F36,'Malaria-Pharmaceuticals'!$E$14:$E$60&amp;'Malaria-Pharmaceuticals'!$I$14:$I$60,0)),0)</f>
        <v>0</v>
      </c>
      <c r="AG36" s="625">
        <f t="shared" si="15"/>
        <v>0</v>
      </c>
      <c r="AH36" s="626">
        <f t="shared" si="16"/>
        <v>0</v>
      </c>
      <c r="AI36" s="626">
        <f t="shared" si="17"/>
        <v>0</v>
      </c>
      <c r="AJ36" s="625">
        <f t="array" ref="AJ36">IFERROR(INDEX('Malaria-Pharmaceuticals'!$X$14:$X$60,MATCH($E36&amp;$F36,'Malaria-Pharmaceuticals'!$E$14:$E$60&amp;'Malaria-Pharmaceuticals'!$I$14:$I$60,0)),0)</f>
        <v>0</v>
      </c>
      <c r="AK36" s="625">
        <f t="shared" si="18"/>
        <v>0</v>
      </c>
      <c r="AL36" s="626">
        <f t="shared" si="19"/>
        <v>0</v>
      </c>
      <c r="AM36" s="626">
        <f t="shared" si="20"/>
        <v>0</v>
      </c>
      <c r="AN36" s="625">
        <f t="array" ref="AN36">IFERROR(INDEX('Malaria-Pharmaceuticals'!$Y$14:$Y$60,MATCH($E36&amp;$F36,'Malaria-Pharmaceuticals'!$E$14:$E$60&amp;'Malaria-Pharmaceuticals'!$I$14:$I$60,0)),0)</f>
        <v>0</v>
      </c>
      <c r="AO36" s="625">
        <f t="shared" si="21"/>
        <v>0</v>
      </c>
      <c r="AP36" s="626">
        <f t="shared" si="22"/>
        <v>0</v>
      </c>
      <c r="AQ36" s="626">
        <f t="shared" si="23"/>
        <v>0</v>
      </c>
      <c r="AR36" s="627"/>
      <c r="AS36" s="625">
        <f t="array" ref="AS36">IFERROR(INDEX('Malaria-Pharmaceuticals'!$AB$14:$AB$60,MATCH($E36&amp;$F36,'Malaria-Pharmaceuticals'!$E$14:$E$60&amp;'Malaria-Pharmaceuticals'!$I$14:$I$60,0)),0)</f>
        <v>0</v>
      </c>
      <c r="AT36" s="625">
        <f t="array" ref="AT36">IFERROR(INDEX('Malaria-Pharmaceuticals'!$AC$14:$AC$60,MATCH($E36&amp;$F36,'Malaria-Pharmaceuticals'!$E$14:$E$60&amp;'Malaria-Pharmaceuticals'!$I$14:$I$60,0)),0)</f>
        <v>0</v>
      </c>
      <c r="AU36" s="625">
        <f t="shared" si="24"/>
        <v>0</v>
      </c>
      <c r="AV36" s="626">
        <f t="shared" si="25"/>
        <v>0</v>
      </c>
      <c r="AW36" s="626">
        <f t="shared" si="26"/>
        <v>0</v>
      </c>
      <c r="AX36" s="625">
        <f t="array" ref="AX36">IFERROR(INDEX('Malaria-Pharmaceuticals'!$AD$14:$AD$60,MATCH($E36&amp;$F36,'Malaria-Pharmaceuticals'!$E$14:$E$60&amp;'Malaria-Pharmaceuticals'!$I$14:$I$60,0)),0)</f>
        <v>0</v>
      </c>
      <c r="AY36" s="625">
        <f t="shared" si="27"/>
        <v>0</v>
      </c>
      <c r="AZ36" s="626">
        <f t="shared" si="28"/>
        <v>0</v>
      </c>
      <c r="BA36" s="626">
        <f t="shared" si="29"/>
        <v>0</v>
      </c>
      <c r="BB36" s="625">
        <f t="array" ref="BB36">IFERROR(INDEX('Malaria-Pharmaceuticals'!$AE$14:$AE$60,MATCH($E36&amp;$F36,'Malaria-Pharmaceuticals'!$E$14:$E$60&amp;'Malaria-Pharmaceuticals'!$I$14:$I$60,0)),0)</f>
        <v>0</v>
      </c>
      <c r="BC36" s="625">
        <f t="shared" si="30"/>
        <v>0</v>
      </c>
      <c r="BD36" s="626">
        <f t="shared" si="31"/>
        <v>0</v>
      </c>
      <c r="BE36" s="626">
        <f t="shared" si="32"/>
        <v>0</v>
      </c>
      <c r="BF36" s="625">
        <f t="array" ref="BF36">IFERROR(INDEX('Malaria-Pharmaceuticals'!$AF$14:$AF$60,MATCH($E36&amp;$F36,'Malaria-Pharmaceuticals'!$E$14:$E$60&amp;'Malaria-Pharmaceuticals'!$I$14:$I$60,0)),0)</f>
        <v>0</v>
      </c>
      <c r="BG36" s="625">
        <f t="shared" si="33"/>
        <v>0</v>
      </c>
      <c r="BH36" s="626">
        <f t="shared" si="34"/>
        <v>0</v>
      </c>
      <c r="BI36" s="626">
        <f t="shared" si="35"/>
        <v>0</v>
      </c>
      <c r="BK36" s="626"/>
      <c r="BL36" s="626"/>
      <c r="BM36" s="626"/>
      <c r="BN36" s="626"/>
      <c r="BO36" s="626"/>
      <c r="BP36" s="626"/>
      <c r="BQ36" s="626"/>
      <c r="BR36" s="626"/>
      <c r="BT36" s="21" t="s">
        <v>6808</v>
      </c>
    </row>
    <row r="37" spans="1:72">
      <c r="A37" s="32" t="s">
        <v>576</v>
      </c>
      <c r="B37" s="32" t="s">
        <v>522</v>
      </c>
      <c r="C37" s="626">
        <f>SETUP!$F$50</f>
        <v>0</v>
      </c>
      <c r="D37" s="31">
        <v>4.3</v>
      </c>
      <c r="E37" s="32" t="s">
        <v>404</v>
      </c>
      <c r="F37" s="32" t="s">
        <v>1134</v>
      </c>
      <c r="G37" s="625" t="str">
        <f t="array" ref="G37">IFERROR(INDEX('Malaria-Pharmaceuticals'!$L$14:$L$60,MATCH($E37&amp;$F37,'Malaria-Pharmaceuticals'!$E$14:$E$60&amp;'Malaria-Pharmaceuticals'!$I$14:$I$60,0)),"")</f>
        <v/>
      </c>
      <c r="H37" s="625" t="str">
        <f t="array" ref="H37">IFERROR(INDEX('Malaria-Pharmaceuticals'!$M$14:$M$60,MATCH($E37&amp;$F37,'Malaria-Pharmaceuticals'!$E$14:$E$60&amp;'Malaria-Pharmaceuticals'!$I$14:$I$60,0)),"")</f>
        <v/>
      </c>
      <c r="I37" s="625">
        <f t="array" ref="I37">IFERROR(INDEX('Malaria-Pharmaceuticals'!$N$14:$N$60,MATCH($E37&amp;$F37,'Malaria-Pharmaceuticals'!$E$14:$E$60&amp;'Malaria-Pharmaceuticals'!$I$14:$I$60,0)),0)</f>
        <v>0</v>
      </c>
      <c r="J37" s="625">
        <f t="array" ref="J37">IFERROR(INDEX('Malaria-Pharmaceuticals'!$O$14:$O$60,MATCH($E37&amp;$F37,'Malaria-Pharmaceuticals'!$E$14:$E$60&amp;'Malaria-Pharmaceuticals'!$I$14:$I$60,0)),0)</f>
        <v>0</v>
      </c>
      <c r="K37" s="626">
        <f t="shared" si="0"/>
        <v>0</v>
      </c>
      <c r="L37" s="626">
        <f t="shared" si="1"/>
        <v>0</v>
      </c>
      <c r="M37" s="626">
        <f t="shared" si="2"/>
        <v>0</v>
      </c>
      <c r="N37" s="625">
        <f t="array" ref="N37">IFERROR(INDEX('Malaria-Pharmaceuticals'!$P$14:$P$60,MATCH($E37&amp;$F37,'Malaria-Pharmaceuticals'!$E$14:$E$60&amp;'Malaria-Pharmaceuticals'!$I$14:$I$60,0)),0)</f>
        <v>0</v>
      </c>
      <c r="O37" s="626">
        <f t="shared" si="3"/>
        <v>0</v>
      </c>
      <c r="P37" s="626">
        <f t="shared" si="4"/>
        <v>0</v>
      </c>
      <c r="Q37" s="626">
        <f t="shared" si="5"/>
        <v>0</v>
      </c>
      <c r="R37" s="625">
        <f t="array" ref="R37">IFERROR(INDEX('Malaria-Pharmaceuticals'!$Q$14:$Q$60,MATCH($E37&amp;$F37,'Malaria-Pharmaceuticals'!$E$14:$E$60&amp;'Malaria-Pharmaceuticals'!$I$14:$I$60,0)),0)</f>
        <v>0</v>
      </c>
      <c r="S37" s="626">
        <f t="shared" si="6"/>
        <v>0</v>
      </c>
      <c r="T37" s="626">
        <f t="shared" si="7"/>
        <v>0</v>
      </c>
      <c r="U37" s="626">
        <f t="shared" si="8"/>
        <v>0</v>
      </c>
      <c r="V37" s="625">
        <f t="array" ref="V37">IFERROR(INDEX('Malaria-Pharmaceuticals'!$R$14:$R$60,MATCH($E37&amp;$F37,'Malaria-Pharmaceuticals'!$E$14:$E$60&amp;'Malaria-Pharmaceuticals'!$I$14:$I$60,0)),0)</f>
        <v>0</v>
      </c>
      <c r="W37" s="626">
        <f t="shared" si="9"/>
        <v>0</v>
      </c>
      <c r="X37" s="626">
        <f t="shared" si="10"/>
        <v>0</v>
      </c>
      <c r="Y37" s="626">
        <f t="shared" si="11"/>
        <v>0</v>
      </c>
      <c r="Z37" s="627"/>
      <c r="AA37" s="625">
        <f t="array" ref="AA37">IFERROR(INDEX('Malaria-Pharmaceuticals'!$U$14:$U$60,MATCH($E37&amp;$F37,'Malaria-Pharmaceuticals'!$E$14:$E$60&amp;'Malaria-Pharmaceuticals'!$I$14:$I$60,0)),0)</f>
        <v>0</v>
      </c>
      <c r="AB37" s="625">
        <f t="array" ref="AB37">IFERROR(INDEX('Malaria-Pharmaceuticals'!$V$14:$V$60,MATCH($E37&amp;$F37,'Malaria-Pharmaceuticals'!$E$14:$E$60&amp;'Malaria-Pharmaceuticals'!$I$14:$I$60,0)),0)</f>
        <v>0</v>
      </c>
      <c r="AC37" s="625">
        <f t="shared" si="12"/>
        <v>0</v>
      </c>
      <c r="AD37" s="626">
        <f t="shared" si="13"/>
        <v>0</v>
      </c>
      <c r="AE37" s="626">
        <f t="shared" si="14"/>
        <v>0</v>
      </c>
      <c r="AF37" s="625">
        <f t="array" ref="AF37">IFERROR(INDEX('Malaria-Pharmaceuticals'!$W$14:$W$60,MATCH($E37&amp;$F37,'Malaria-Pharmaceuticals'!$E$14:$E$60&amp;'Malaria-Pharmaceuticals'!$I$14:$I$60,0)),0)</f>
        <v>0</v>
      </c>
      <c r="AG37" s="625">
        <f t="shared" si="15"/>
        <v>0</v>
      </c>
      <c r="AH37" s="626">
        <f t="shared" si="16"/>
        <v>0</v>
      </c>
      <c r="AI37" s="626">
        <f t="shared" si="17"/>
        <v>0</v>
      </c>
      <c r="AJ37" s="625">
        <f t="array" ref="AJ37">IFERROR(INDEX('Malaria-Pharmaceuticals'!$X$14:$X$60,MATCH($E37&amp;$F37,'Malaria-Pharmaceuticals'!$E$14:$E$60&amp;'Malaria-Pharmaceuticals'!$I$14:$I$60,0)),0)</f>
        <v>0</v>
      </c>
      <c r="AK37" s="625">
        <f t="shared" si="18"/>
        <v>0</v>
      </c>
      <c r="AL37" s="626">
        <f t="shared" si="19"/>
        <v>0</v>
      </c>
      <c r="AM37" s="626">
        <f t="shared" si="20"/>
        <v>0</v>
      </c>
      <c r="AN37" s="625">
        <f t="array" ref="AN37">IFERROR(INDEX('Malaria-Pharmaceuticals'!$Y$14:$Y$60,MATCH($E37&amp;$F37,'Malaria-Pharmaceuticals'!$E$14:$E$60&amp;'Malaria-Pharmaceuticals'!$I$14:$I$60,0)),0)</f>
        <v>0</v>
      </c>
      <c r="AO37" s="625">
        <f t="shared" si="21"/>
        <v>0</v>
      </c>
      <c r="AP37" s="626">
        <f t="shared" si="22"/>
        <v>0</v>
      </c>
      <c r="AQ37" s="626">
        <f t="shared" si="23"/>
        <v>0</v>
      </c>
      <c r="AR37" s="627"/>
      <c r="AS37" s="625">
        <f t="array" ref="AS37">IFERROR(INDEX('Malaria-Pharmaceuticals'!$AB$14:$AB$60,MATCH($E37&amp;$F37,'Malaria-Pharmaceuticals'!$E$14:$E$60&amp;'Malaria-Pharmaceuticals'!$I$14:$I$60,0)),0)</f>
        <v>0</v>
      </c>
      <c r="AT37" s="625">
        <f t="array" ref="AT37">IFERROR(INDEX('Malaria-Pharmaceuticals'!$AC$14:$AC$60,MATCH($E37&amp;$F37,'Malaria-Pharmaceuticals'!$E$14:$E$60&amp;'Malaria-Pharmaceuticals'!$I$14:$I$60,0)),0)</f>
        <v>0</v>
      </c>
      <c r="AU37" s="625">
        <f t="shared" si="24"/>
        <v>0</v>
      </c>
      <c r="AV37" s="626">
        <f t="shared" si="25"/>
        <v>0</v>
      </c>
      <c r="AW37" s="626">
        <f t="shared" si="26"/>
        <v>0</v>
      </c>
      <c r="AX37" s="625">
        <f t="array" ref="AX37">IFERROR(INDEX('Malaria-Pharmaceuticals'!$AD$14:$AD$60,MATCH($E37&amp;$F37,'Malaria-Pharmaceuticals'!$E$14:$E$60&amp;'Malaria-Pharmaceuticals'!$I$14:$I$60,0)),0)</f>
        <v>0</v>
      </c>
      <c r="AY37" s="625">
        <f t="shared" si="27"/>
        <v>0</v>
      </c>
      <c r="AZ37" s="626">
        <f t="shared" si="28"/>
        <v>0</v>
      </c>
      <c r="BA37" s="626">
        <f t="shared" si="29"/>
        <v>0</v>
      </c>
      <c r="BB37" s="625">
        <f t="array" ref="BB37">IFERROR(INDEX('Malaria-Pharmaceuticals'!$AE$14:$AE$60,MATCH($E37&amp;$F37,'Malaria-Pharmaceuticals'!$E$14:$E$60&amp;'Malaria-Pharmaceuticals'!$I$14:$I$60,0)),0)</f>
        <v>0</v>
      </c>
      <c r="BC37" s="625">
        <f t="shared" si="30"/>
        <v>0</v>
      </c>
      <c r="BD37" s="626">
        <f t="shared" si="31"/>
        <v>0</v>
      </c>
      <c r="BE37" s="626">
        <f t="shared" si="32"/>
        <v>0</v>
      </c>
      <c r="BF37" s="625">
        <f t="array" ref="BF37">IFERROR(INDEX('Malaria-Pharmaceuticals'!$AF$14:$AF$60,MATCH($E37&amp;$F37,'Malaria-Pharmaceuticals'!$E$14:$E$60&amp;'Malaria-Pharmaceuticals'!$I$14:$I$60,0)),0)</f>
        <v>0</v>
      </c>
      <c r="BG37" s="625">
        <f t="shared" si="33"/>
        <v>0</v>
      </c>
      <c r="BH37" s="626">
        <f t="shared" si="34"/>
        <v>0</v>
      </c>
      <c r="BI37" s="626">
        <f t="shared" si="35"/>
        <v>0</v>
      </c>
      <c r="BK37" s="626"/>
      <c r="BL37" s="626"/>
      <c r="BM37" s="626"/>
      <c r="BN37" s="626"/>
      <c r="BO37" s="626"/>
      <c r="BP37" s="626"/>
      <c r="BQ37" s="626"/>
      <c r="BR37" s="626"/>
      <c r="BT37" s="21" t="s">
        <v>6808</v>
      </c>
    </row>
    <row r="38" spans="1:72">
      <c r="A38" s="32" t="s">
        <v>576</v>
      </c>
      <c r="B38" s="32" t="s">
        <v>522</v>
      </c>
      <c r="C38" s="626">
        <f>SETUP!$F$50</f>
        <v>0</v>
      </c>
      <c r="D38" s="31">
        <v>4.3</v>
      </c>
      <c r="E38" s="32" t="s">
        <v>404</v>
      </c>
      <c r="F38" s="32" t="s">
        <v>1135</v>
      </c>
      <c r="G38" s="625" t="str">
        <f t="array" ref="G38">IFERROR(INDEX('Malaria-Pharmaceuticals'!$L$14:$L$60,MATCH($E38&amp;$F38,'Malaria-Pharmaceuticals'!$E$14:$E$60&amp;'Malaria-Pharmaceuticals'!$I$14:$I$60,0)),"")</f>
        <v/>
      </c>
      <c r="H38" s="625" t="str">
        <f t="array" ref="H38">IFERROR(INDEX('Malaria-Pharmaceuticals'!$M$14:$M$60,MATCH($E38&amp;$F38,'Malaria-Pharmaceuticals'!$E$14:$E$60&amp;'Malaria-Pharmaceuticals'!$I$14:$I$60,0)),"")</f>
        <v/>
      </c>
      <c r="I38" s="625">
        <f t="array" ref="I38">IFERROR(INDEX('Malaria-Pharmaceuticals'!$N$14:$N$60,MATCH($E38&amp;$F38,'Malaria-Pharmaceuticals'!$E$14:$E$60&amp;'Malaria-Pharmaceuticals'!$I$14:$I$60,0)),0)</f>
        <v>0</v>
      </c>
      <c r="J38" s="625">
        <f t="array" ref="J38">IFERROR(INDEX('Malaria-Pharmaceuticals'!$O$14:$O$60,MATCH($E38&amp;$F38,'Malaria-Pharmaceuticals'!$E$14:$E$60&amp;'Malaria-Pharmaceuticals'!$I$14:$I$60,0)),0)</f>
        <v>0</v>
      </c>
      <c r="K38" s="626">
        <f t="shared" si="0"/>
        <v>0</v>
      </c>
      <c r="L38" s="626">
        <f t="shared" si="1"/>
        <v>0</v>
      </c>
      <c r="M38" s="626">
        <f t="shared" si="2"/>
        <v>0</v>
      </c>
      <c r="N38" s="625">
        <f t="array" ref="N38">IFERROR(INDEX('Malaria-Pharmaceuticals'!$P$14:$P$60,MATCH($E38&amp;$F38,'Malaria-Pharmaceuticals'!$E$14:$E$60&amp;'Malaria-Pharmaceuticals'!$I$14:$I$60,0)),0)</f>
        <v>0</v>
      </c>
      <c r="O38" s="626">
        <f t="shared" si="3"/>
        <v>0</v>
      </c>
      <c r="P38" s="626">
        <f t="shared" si="4"/>
        <v>0</v>
      </c>
      <c r="Q38" s="626">
        <f t="shared" si="5"/>
        <v>0</v>
      </c>
      <c r="R38" s="625">
        <f t="array" ref="R38">IFERROR(INDEX('Malaria-Pharmaceuticals'!$Q$14:$Q$60,MATCH($E38&amp;$F38,'Malaria-Pharmaceuticals'!$E$14:$E$60&amp;'Malaria-Pharmaceuticals'!$I$14:$I$60,0)),0)</f>
        <v>0</v>
      </c>
      <c r="S38" s="626">
        <f t="shared" si="6"/>
        <v>0</v>
      </c>
      <c r="T38" s="626">
        <f t="shared" si="7"/>
        <v>0</v>
      </c>
      <c r="U38" s="626">
        <f t="shared" si="8"/>
        <v>0</v>
      </c>
      <c r="V38" s="625">
        <f t="array" ref="V38">IFERROR(INDEX('Malaria-Pharmaceuticals'!$R$14:$R$60,MATCH($E38&amp;$F38,'Malaria-Pharmaceuticals'!$E$14:$E$60&amp;'Malaria-Pharmaceuticals'!$I$14:$I$60,0)),0)</f>
        <v>0</v>
      </c>
      <c r="W38" s="626">
        <f t="shared" si="9"/>
        <v>0</v>
      </c>
      <c r="X38" s="626">
        <f t="shared" si="10"/>
        <v>0</v>
      </c>
      <c r="Y38" s="626">
        <f t="shared" si="11"/>
        <v>0</v>
      </c>
      <c r="Z38" s="627"/>
      <c r="AA38" s="625">
        <f t="array" ref="AA38">IFERROR(INDEX('Malaria-Pharmaceuticals'!$U$14:$U$60,MATCH($E38&amp;$F38,'Malaria-Pharmaceuticals'!$E$14:$E$60&amp;'Malaria-Pharmaceuticals'!$I$14:$I$60,0)),0)</f>
        <v>0</v>
      </c>
      <c r="AB38" s="625">
        <f t="array" ref="AB38">IFERROR(INDEX('Malaria-Pharmaceuticals'!$V$14:$V$60,MATCH($E38&amp;$F38,'Malaria-Pharmaceuticals'!$E$14:$E$60&amp;'Malaria-Pharmaceuticals'!$I$14:$I$60,0)),0)</f>
        <v>0</v>
      </c>
      <c r="AC38" s="625">
        <f t="shared" si="12"/>
        <v>0</v>
      </c>
      <c r="AD38" s="626">
        <f t="shared" si="13"/>
        <v>0</v>
      </c>
      <c r="AE38" s="626">
        <f t="shared" si="14"/>
        <v>0</v>
      </c>
      <c r="AF38" s="625">
        <f t="array" ref="AF38">IFERROR(INDEX('Malaria-Pharmaceuticals'!$W$14:$W$60,MATCH($E38&amp;$F38,'Malaria-Pharmaceuticals'!$E$14:$E$60&amp;'Malaria-Pharmaceuticals'!$I$14:$I$60,0)),0)</f>
        <v>0</v>
      </c>
      <c r="AG38" s="625">
        <f t="shared" si="15"/>
        <v>0</v>
      </c>
      <c r="AH38" s="626">
        <f t="shared" si="16"/>
        <v>0</v>
      </c>
      <c r="AI38" s="626">
        <f t="shared" si="17"/>
        <v>0</v>
      </c>
      <c r="AJ38" s="625">
        <f t="array" ref="AJ38">IFERROR(INDEX('Malaria-Pharmaceuticals'!$X$14:$X$60,MATCH($E38&amp;$F38,'Malaria-Pharmaceuticals'!$E$14:$E$60&amp;'Malaria-Pharmaceuticals'!$I$14:$I$60,0)),0)</f>
        <v>0</v>
      </c>
      <c r="AK38" s="625">
        <f t="shared" si="18"/>
        <v>0</v>
      </c>
      <c r="AL38" s="626">
        <f t="shared" si="19"/>
        <v>0</v>
      </c>
      <c r="AM38" s="626">
        <f t="shared" si="20"/>
        <v>0</v>
      </c>
      <c r="AN38" s="625">
        <f t="array" ref="AN38">IFERROR(INDEX('Malaria-Pharmaceuticals'!$Y$14:$Y$60,MATCH($E38&amp;$F38,'Malaria-Pharmaceuticals'!$E$14:$E$60&amp;'Malaria-Pharmaceuticals'!$I$14:$I$60,0)),0)</f>
        <v>0</v>
      </c>
      <c r="AO38" s="625">
        <f t="shared" si="21"/>
        <v>0</v>
      </c>
      <c r="AP38" s="626">
        <f t="shared" si="22"/>
        <v>0</v>
      </c>
      <c r="AQ38" s="626">
        <f t="shared" si="23"/>
        <v>0</v>
      </c>
      <c r="AR38" s="627"/>
      <c r="AS38" s="625">
        <f t="array" ref="AS38">IFERROR(INDEX('Malaria-Pharmaceuticals'!$AB$14:$AB$60,MATCH($E38&amp;$F38,'Malaria-Pharmaceuticals'!$E$14:$E$60&amp;'Malaria-Pharmaceuticals'!$I$14:$I$60,0)),0)</f>
        <v>0</v>
      </c>
      <c r="AT38" s="625">
        <f t="array" ref="AT38">IFERROR(INDEX('Malaria-Pharmaceuticals'!$AC$14:$AC$60,MATCH($E38&amp;$F38,'Malaria-Pharmaceuticals'!$E$14:$E$60&amp;'Malaria-Pharmaceuticals'!$I$14:$I$60,0)),0)</f>
        <v>0</v>
      </c>
      <c r="AU38" s="625">
        <f t="shared" si="24"/>
        <v>0</v>
      </c>
      <c r="AV38" s="626">
        <f t="shared" si="25"/>
        <v>0</v>
      </c>
      <c r="AW38" s="626">
        <f t="shared" si="26"/>
        <v>0</v>
      </c>
      <c r="AX38" s="625">
        <f t="array" ref="AX38">IFERROR(INDEX('Malaria-Pharmaceuticals'!$AD$14:$AD$60,MATCH($E38&amp;$F38,'Malaria-Pharmaceuticals'!$E$14:$E$60&amp;'Malaria-Pharmaceuticals'!$I$14:$I$60,0)),0)</f>
        <v>0</v>
      </c>
      <c r="AY38" s="625">
        <f t="shared" si="27"/>
        <v>0</v>
      </c>
      <c r="AZ38" s="626">
        <f t="shared" si="28"/>
        <v>0</v>
      </c>
      <c r="BA38" s="626">
        <f t="shared" si="29"/>
        <v>0</v>
      </c>
      <c r="BB38" s="625">
        <f t="array" ref="BB38">IFERROR(INDEX('Malaria-Pharmaceuticals'!$AE$14:$AE$60,MATCH($E38&amp;$F38,'Malaria-Pharmaceuticals'!$E$14:$E$60&amp;'Malaria-Pharmaceuticals'!$I$14:$I$60,0)),0)</f>
        <v>0</v>
      </c>
      <c r="BC38" s="625">
        <f t="shared" si="30"/>
        <v>0</v>
      </c>
      <c r="BD38" s="626">
        <f t="shared" si="31"/>
        <v>0</v>
      </c>
      <c r="BE38" s="626">
        <f t="shared" si="32"/>
        <v>0</v>
      </c>
      <c r="BF38" s="625">
        <f t="array" ref="BF38">IFERROR(INDEX('Malaria-Pharmaceuticals'!$AF$14:$AF$60,MATCH($E38&amp;$F38,'Malaria-Pharmaceuticals'!$E$14:$E$60&amp;'Malaria-Pharmaceuticals'!$I$14:$I$60,0)),0)</f>
        <v>0</v>
      </c>
      <c r="BG38" s="625">
        <f t="shared" si="33"/>
        <v>0</v>
      </c>
      <c r="BH38" s="626">
        <f t="shared" si="34"/>
        <v>0</v>
      </c>
      <c r="BI38" s="626">
        <f t="shared" si="35"/>
        <v>0</v>
      </c>
      <c r="BK38" s="626"/>
      <c r="BL38" s="626"/>
      <c r="BM38" s="626"/>
      <c r="BN38" s="626"/>
      <c r="BO38" s="626"/>
      <c r="BP38" s="626"/>
      <c r="BQ38" s="626"/>
      <c r="BR38" s="626"/>
      <c r="BT38" s="21" t="s">
        <v>6808</v>
      </c>
    </row>
    <row r="39" spans="1:72">
      <c r="A39" s="32" t="s">
        <v>576</v>
      </c>
      <c r="B39" s="32" t="s">
        <v>522</v>
      </c>
      <c r="C39" s="626">
        <f>SETUP!$F$50</f>
        <v>0</v>
      </c>
      <c r="D39" s="31">
        <v>4.3</v>
      </c>
      <c r="E39" s="32" t="s">
        <v>404</v>
      </c>
      <c r="F39" s="32" t="s">
        <v>1136</v>
      </c>
      <c r="G39" s="625" t="str">
        <f t="array" ref="G39">IFERROR(INDEX('Malaria-Pharmaceuticals'!$L$14:$L$60,MATCH($E39&amp;$F39,'Malaria-Pharmaceuticals'!$E$14:$E$60&amp;'Malaria-Pharmaceuticals'!$I$14:$I$60,0)),"")</f>
        <v/>
      </c>
      <c r="H39" s="625" t="str">
        <f t="array" ref="H39">IFERROR(INDEX('Malaria-Pharmaceuticals'!$M$14:$M$60,MATCH($E39&amp;$F39,'Malaria-Pharmaceuticals'!$E$14:$E$60&amp;'Malaria-Pharmaceuticals'!$I$14:$I$60,0)),"")</f>
        <v/>
      </c>
      <c r="I39" s="625">
        <f t="array" ref="I39">IFERROR(INDEX('Malaria-Pharmaceuticals'!$N$14:$N$60,MATCH($E39&amp;$F39,'Malaria-Pharmaceuticals'!$E$14:$E$60&amp;'Malaria-Pharmaceuticals'!$I$14:$I$60,0)),0)</f>
        <v>0</v>
      </c>
      <c r="J39" s="625">
        <f t="array" ref="J39">IFERROR(INDEX('Malaria-Pharmaceuticals'!$O$14:$O$60,MATCH($E39&amp;$F39,'Malaria-Pharmaceuticals'!$E$14:$E$60&amp;'Malaria-Pharmaceuticals'!$I$14:$I$60,0)),0)</f>
        <v>0</v>
      </c>
      <c r="K39" s="626">
        <f t="shared" si="0"/>
        <v>0</v>
      </c>
      <c r="L39" s="626">
        <f t="shared" si="1"/>
        <v>0</v>
      </c>
      <c r="M39" s="626">
        <f t="shared" si="2"/>
        <v>0</v>
      </c>
      <c r="N39" s="625">
        <f t="array" ref="N39">IFERROR(INDEX('Malaria-Pharmaceuticals'!$P$14:$P$60,MATCH($E39&amp;$F39,'Malaria-Pharmaceuticals'!$E$14:$E$60&amp;'Malaria-Pharmaceuticals'!$I$14:$I$60,0)),0)</f>
        <v>0</v>
      </c>
      <c r="O39" s="626">
        <f t="shared" si="3"/>
        <v>0</v>
      </c>
      <c r="P39" s="626">
        <f t="shared" si="4"/>
        <v>0</v>
      </c>
      <c r="Q39" s="626">
        <f t="shared" si="5"/>
        <v>0</v>
      </c>
      <c r="R39" s="625">
        <f t="array" ref="R39">IFERROR(INDEX('Malaria-Pharmaceuticals'!$Q$14:$Q$60,MATCH($E39&amp;$F39,'Malaria-Pharmaceuticals'!$E$14:$E$60&amp;'Malaria-Pharmaceuticals'!$I$14:$I$60,0)),0)</f>
        <v>0</v>
      </c>
      <c r="S39" s="626">
        <f t="shared" si="6"/>
        <v>0</v>
      </c>
      <c r="T39" s="626">
        <f t="shared" si="7"/>
        <v>0</v>
      </c>
      <c r="U39" s="626">
        <f t="shared" si="8"/>
        <v>0</v>
      </c>
      <c r="V39" s="625">
        <f t="array" ref="V39">IFERROR(INDEX('Malaria-Pharmaceuticals'!$R$14:$R$60,MATCH($E39&amp;$F39,'Malaria-Pharmaceuticals'!$E$14:$E$60&amp;'Malaria-Pharmaceuticals'!$I$14:$I$60,0)),0)</f>
        <v>0</v>
      </c>
      <c r="W39" s="626">
        <f t="shared" si="9"/>
        <v>0</v>
      </c>
      <c r="X39" s="626">
        <f t="shared" si="10"/>
        <v>0</v>
      </c>
      <c r="Y39" s="626">
        <f t="shared" si="11"/>
        <v>0</v>
      </c>
      <c r="Z39" s="627"/>
      <c r="AA39" s="625">
        <f t="array" ref="AA39">IFERROR(INDEX('Malaria-Pharmaceuticals'!$U$14:$U$60,MATCH($E39&amp;$F39,'Malaria-Pharmaceuticals'!$E$14:$E$60&amp;'Malaria-Pharmaceuticals'!$I$14:$I$60,0)),0)</f>
        <v>0</v>
      </c>
      <c r="AB39" s="625">
        <f t="array" ref="AB39">IFERROR(INDEX('Malaria-Pharmaceuticals'!$V$14:$V$60,MATCH($E39&amp;$F39,'Malaria-Pharmaceuticals'!$E$14:$E$60&amp;'Malaria-Pharmaceuticals'!$I$14:$I$60,0)),0)</f>
        <v>0</v>
      </c>
      <c r="AC39" s="625">
        <f t="shared" si="12"/>
        <v>0</v>
      </c>
      <c r="AD39" s="626">
        <f t="shared" si="13"/>
        <v>0</v>
      </c>
      <c r="AE39" s="626">
        <f t="shared" si="14"/>
        <v>0</v>
      </c>
      <c r="AF39" s="625">
        <f t="array" ref="AF39">IFERROR(INDEX('Malaria-Pharmaceuticals'!$W$14:$W$60,MATCH($E39&amp;$F39,'Malaria-Pharmaceuticals'!$E$14:$E$60&amp;'Malaria-Pharmaceuticals'!$I$14:$I$60,0)),0)</f>
        <v>0</v>
      </c>
      <c r="AG39" s="625">
        <f t="shared" si="15"/>
        <v>0</v>
      </c>
      <c r="AH39" s="626">
        <f t="shared" si="16"/>
        <v>0</v>
      </c>
      <c r="AI39" s="626">
        <f t="shared" si="17"/>
        <v>0</v>
      </c>
      <c r="AJ39" s="625">
        <f t="array" ref="AJ39">IFERROR(INDEX('Malaria-Pharmaceuticals'!$X$14:$X$60,MATCH($E39&amp;$F39,'Malaria-Pharmaceuticals'!$E$14:$E$60&amp;'Malaria-Pharmaceuticals'!$I$14:$I$60,0)),0)</f>
        <v>0</v>
      </c>
      <c r="AK39" s="625">
        <f t="shared" si="18"/>
        <v>0</v>
      </c>
      <c r="AL39" s="626">
        <f t="shared" si="19"/>
        <v>0</v>
      </c>
      <c r="AM39" s="626">
        <f t="shared" si="20"/>
        <v>0</v>
      </c>
      <c r="AN39" s="625">
        <f t="array" ref="AN39">IFERROR(INDEX('Malaria-Pharmaceuticals'!$Y$14:$Y$60,MATCH($E39&amp;$F39,'Malaria-Pharmaceuticals'!$E$14:$E$60&amp;'Malaria-Pharmaceuticals'!$I$14:$I$60,0)),0)</f>
        <v>0</v>
      </c>
      <c r="AO39" s="625">
        <f t="shared" si="21"/>
        <v>0</v>
      </c>
      <c r="AP39" s="626">
        <f t="shared" si="22"/>
        <v>0</v>
      </c>
      <c r="AQ39" s="626">
        <f t="shared" si="23"/>
        <v>0</v>
      </c>
      <c r="AR39" s="627"/>
      <c r="AS39" s="625">
        <f t="array" ref="AS39">IFERROR(INDEX('Malaria-Pharmaceuticals'!$AB$14:$AB$60,MATCH($E39&amp;$F39,'Malaria-Pharmaceuticals'!$E$14:$E$60&amp;'Malaria-Pharmaceuticals'!$I$14:$I$60,0)),0)</f>
        <v>0</v>
      </c>
      <c r="AT39" s="625">
        <f t="array" ref="AT39">IFERROR(INDEX('Malaria-Pharmaceuticals'!$AC$14:$AC$60,MATCH($E39&amp;$F39,'Malaria-Pharmaceuticals'!$E$14:$E$60&amp;'Malaria-Pharmaceuticals'!$I$14:$I$60,0)),0)</f>
        <v>0</v>
      </c>
      <c r="AU39" s="625">
        <f t="shared" si="24"/>
        <v>0</v>
      </c>
      <c r="AV39" s="626">
        <f t="shared" si="25"/>
        <v>0</v>
      </c>
      <c r="AW39" s="626">
        <f t="shared" si="26"/>
        <v>0</v>
      </c>
      <c r="AX39" s="625">
        <f t="array" ref="AX39">IFERROR(INDEX('Malaria-Pharmaceuticals'!$AD$14:$AD$60,MATCH($E39&amp;$F39,'Malaria-Pharmaceuticals'!$E$14:$E$60&amp;'Malaria-Pharmaceuticals'!$I$14:$I$60,0)),0)</f>
        <v>0</v>
      </c>
      <c r="AY39" s="625">
        <f t="shared" si="27"/>
        <v>0</v>
      </c>
      <c r="AZ39" s="626">
        <f t="shared" si="28"/>
        <v>0</v>
      </c>
      <c r="BA39" s="626">
        <f t="shared" si="29"/>
        <v>0</v>
      </c>
      <c r="BB39" s="625">
        <f t="array" ref="BB39">IFERROR(INDEX('Malaria-Pharmaceuticals'!$AE$14:$AE$60,MATCH($E39&amp;$F39,'Malaria-Pharmaceuticals'!$E$14:$E$60&amp;'Malaria-Pharmaceuticals'!$I$14:$I$60,0)),0)</f>
        <v>0</v>
      </c>
      <c r="BC39" s="625">
        <f t="shared" si="30"/>
        <v>0</v>
      </c>
      <c r="BD39" s="626">
        <f t="shared" si="31"/>
        <v>0</v>
      </c>
      <c r="BE39" s="626">
        <f t="shared" si="32"/>
        <v>0</v>
      </c>
      <c r="BF39" s="625">
        <f t="array" ref="BF39">IFERROR(INDEX('Malaria-Pharmaceuticals'!$AF$14:$AF$60,MATCH($E39&amp;$F39,'Malaria-Pharmaceuticals'!$E$14:$E$60&amp;'Malaria-Pharmaceuticals'!$I$14:$I$60,0)),0)</f>
        <v>0</v>
      </c>
      <c r="BG39" s="625">
        <f t="shared" si="33"/>
        <v>0</v>
      </c>
      <c r="BH39" s="626">
        <f t="shared" si="34"/>
        <v>0</v>
      </c>
      <c r="BI39" s="626">
        <f t="shared" si="35"/>
        <v>0</v>
      </c>
      <c r="BK39" s="626"/>
      <c r="BL39" s="626"/>
      <c r="BM39" s="626"/>
      <c r="BN39" s="626"/>
      <c r="BO39" s="626"/>
      <c r="BP39" s="626"/>
      <c r="BQ39" s="626"/>
      <c r="BR39" s="626"/>
      <c r="BT39" s="21" t="s">
        <v>6808</v>
      </c>
    </row>
    <row r="40" spans="1:72">
      <c r="A40" s="32" t="s">
        <v>576</v>
      </c>
      <c r="B40" s="32" t="s">
        <v>522</v>
      </c>
      <c r="C40" s="626">
        <f>SETUP!$F$50</f>
        <v>0</v>
      </c>
      <c r="D40" s="31">
        <v>4.3</v>
      </c>
      <c r="E40" s="32" t="s">
        <v>404</v>
      </c>
      <c r="F40" s="32" t="s">
        <v>1137</v>
      </c>
      <c r="G40" s="625" t="str">
        <f t="array" ref="G40">IFERROR(INDEX('Malaria-Pharmaceuticals'!$L$14:$L$60,MATCH($E40&amp;$F40,'Malaria-Pharmaceuticals'!$E$14:$E$60&amp;'Malaria-Pharmaceuticals'!$I$14:$I$60,0)),"")</f>
        <v/>
      </c>
      <c r="H40" s="625" t="str">
        <f t="array" ref="H40">IFERROR(INDEX('Malaria-Pharmaceuticals'!$M$14:$M$60,MATCH($E40&amp;$F40,'Malaria-Pharmaceuticals'!$E$14:$E$60&amp;'Malaria-Pharmaceuticals'!$I$14:$I$60,0)),"")</f>
        <v/>
      </c>
      <c r="I40" s="625">
        <f t="array" ref="I40">IFERROR(INDEX('Malaria-Pharmaceuticals'!$N$14:$N$60,MATCH($E40&amp;$F40,'Malaria-Pharmaceuticals'!$E$14:$E$60&amp;'Malaria-Pharmaceuticals'!$I$14:$I$60,0)),0)</f>
        <v>0</v>
      </c>
      <c r="J40" s="625">
        <f t="array" ref="J40">IFERROR(INDEX('Malaria-Pharmaceuticals'!$O$14:$O$60,MATCH($E40&amp;$F40,'Malaria-Pharmaceuticals'!$E$14:$E$60&amp;'Malaria-Pharmaceuticals'!$I$14:$I$60,0)),0)</f>
        <v>0</v>
      </c>
      <c r="K40" s="626">
        <f t="shared" si="0"/>
        <v>0</v>
      </c>
      <c r="L40" s="626">
        <f t="shared" si="1"/>
        <v>0</v>
      </c>
      <c r="M40" s="626">
        <f t="shared" si="2"/>
        <v>0</v>
      </c>
      <c r="N40" s="625">
        <f t="array" ref="N40">IFERROR(INDEX('Malaria-Pharmaceuticals'!$P$14:$P$60,MATCH($E40&amp;$F40,'Malaria-Pharmaceuticals'!$E$14:$E$60&amp;'Malaria-Pharmaceuticals'!$I$14:$I$60,0)),0)</f>
        <v>0</v>
      </c>
      <c r="O40" s="626">
        <f t="shared" si="3"/>
        <v>0</v>
      </c>
      <c r="P40" s="626">
        <f t="shared" si="4"/>
        <v>0</v>
      </c>
      <c r="Q40" s="626">
        <f t="shared" si="5"/>
        <v>0</v>
      </c>
      <c r="R40" s="625">
        <f t="array" ref="R40">IFERROR(INDEX('Malaria-Pharmaceuticals'!$Q$14:$Q$60,MATCH($E40&amp;$F40,'Malaria-Pharmaceuticals'!$E$14:$E$60&amp;'Malaria-Pharmaceuticals'!$I$14:$I$60,0)),0)</f>
        <v>0</v>
      </c>
      <c r="S40" s="626">
        <f t="shared" si="6"/>
        <v>0</v>
      </c>
      <c r="T40" s="626">
        <f t="shared" si="7"/>
        <v>0</v>
      </c>
      <c r="U40" s="626">
        <f t="shared" si="8"/>
        <v>0</v>
      </c>
      <c r="V40" s="625">
        <f t="array" ref="V40">IFERROR(INDEX('Malaria-Pharmaceuticals'!$R$14:$R$60,MATCH($E40&amp;$F40,'Malaria-Pharmaceuticals'!$E$14:$E$60&amp;'Malaria-Pharmaceuticals'!$I$14:$I$60,0)),0)</f>
        <v>0</v>
      </c>
      <c r="W40" s="626">
        <f t="shared" si="9"/>
        <v>0</v>
      </c>
      <c r="X40" s="626">
        <f t="shared" si="10"/>
        <v>0</v>
      </c>
      <c r="Y40" s="626">
        <f t="shared" si="11"/>
        <v>0</v>
      </c>
      <c r="Z40" s="627"/>
      <c r="AA40" s="625">
        <f t="array" ref="AA40">IFERROR(INDEX('Malaria-Pharmaceuticals'!$U$14:$U$60,MATCH($E40&amp;$F40,'Malaria-Pharmaceuticals'!$E$14:$E$60&amp;'Malaria-Pharmaceuticals'!$I$14:$I$60,0)),0)</f>
        <v>0</v>
      </c>
      <c r="AB40" s="625">
        <f t="array" ref="AB40">IFERROR(INDEX('Malaria-Pharmaceuticals'!$V$14:$V$60,MATCH($E40&amp;$F40,'Malaria-Pharmaceuticals'!$E$14:$E$60&amp;'Malaria-Pharmaceuticals'!$I$14:$I$60,0)),0)</f>
        <v>0</v>
      </c>
      <c r="AC40" s="625">
        <f t="shared" si="12"/>
        <v>0</v>
      </c>
      <c r="AD40" s="626">
        <f t="shared" si="13"/>
        <v>0</v>
      </c>
      <c r="AE40" s="626">
        <f t="shared" si="14"/>
        <v>0</v>
      </c>
      <c r="AF40" s="625">
        <f t="array" ref="AF40">IFERROR(INDEX('Malaria-Pharmaceuticals'!$W$14:$W$60,MATCH($E40&amp;$F40,'Malaria-Pharmaceuticals'!$E$14:$E$60&amp;'Malaria-Pharmaceuticals'!$I$14:$I$60,0)),0)</f>
        <v>0</v>
      </c>
      <c r="AG40" s="625">
        <f t="shared" si="15"/>
        <v>0</v>
      </c>
      <c r="AH40" s="626">
        <f t="shared" si="16"/>
        <v>0</v>
      </c>
      <c r="AI40" s="626">
        <f t="shared" si="17"/>
        <v>0</v>
      </c>
      <c r="AJ40" s="625">
        <f t="array" ref="AJ40">IFERROR(INDEX('Malaria-Pharmaceuticals'!$X$14:$X$60,MATCH($E40&amp;$F40,'Malaria-Pharmaceuticals'!$E$14:$E$60&amp;'Malaria-Pharmaceuticals'!$I$14:$I$60,0)),0)</f>
        <v>0</v>
      </c>
      <c r="AK40" s="625">
        <f t="shared" si="18"/>
        <v>0</v>
      </c>
      <c r="AL40" s="626">
        <f t="shared" si="19"/>
        <v>0</v>
      </c>
      <c r="AM40" s="626">
        <f t="shared" si="20"/>
        <v>0</v>
      </c>
      <c r="AN40" s="625">
        <f t="array" ref="AN40">IFERROR(INDEX('Malaria-Pharmaceuticals'!$Y$14:$Y$60,MATCH($E40&amp;$F40,'Malaria-Pharmaceuticals'!$E$14:$E$60&amp;'Malaria-Pharmaceuticals'!$I$14:$I$60,0)),0)</f>
        <v>0</v>
      </c>
      <c r="AO40" s="625">
        <f t="shared" si="21"/>
        <v>0</v>
      </c>
      <c r="AP40" s="626">
        <f t="shared" si="22"/>
        <v>0</v>
      </c>
      <c r="AQ40" s="626">
        <f t="shared" si="23"/>
        <v>0</v>
      </c>
      <c r="AR40" s="627"/>
      <c r="AS40" s="625">
        <f t="array" ref="AS40">IFERROR(INDEX('Malaria-Pharmaceuticals'!$AB$14:$AB$60,MATCH($E40&amp;$F40,'Malaria-Pharmaceuticals'!$E$14:$E$60&amp;'Malaria-Pharmaceuticals'!$I$14:$I$60,0)),0)</f>
        <v>0</v>
      </c>
      <c r="AT40" s="625">
        <f t="array" ref="AT40">IFERROR(INDEX('Malaria-Pharmaceuticals'!$AC$14:$AC$60,MATCH($E40&amp;$F40,'Malaria-Pharmaceuticals'!$E$14:$E$60&amp;'Malaria-Pharmaceuticals'!$I$14:$I$60,0)),0)</f>
        <v>0</v>
      </c>
      <c r="AU40" s="625">
        <f t="shared" si="24"/>
        <v>0</v>
      </c>
      <c r="AV40" s="626">
        <f t="shared" si="25"/>
        <v>0</v>
      </c>
      <c r="AW40" s="626">
        <f t="shared" si="26"/>
        <v>0</v>
      </c>
      <c r="AX40" s="625">
        <f t="array" ref="AX40">IFERROR(INDEX('Malaria-Pharmaceuticals'!$AD$14:$AD$60,MATCH($E40&amp;$F40,'Malaria-Pharmaceuticals'!$E$14:$E$60&amp;'Malaria-Pharmaceuticals'!$I$14:$I$60,0)),0)</f>
        <v>0</v>
      </c>
      <c r="AY40" s="625">
        <f t="shared" si="27"/>
        <v>0</v>
      </c>
      <c r="AZ40" s="626">
        <f t="shared" si="28"/>
        <v>0</v>
      </c>
      <c r="BA40" s="626">
        <f t="shared" si="29"/>
        <v>0</v>
      </c>
      <c r="BB40" s="625">
        <f t="array" ref="BB40">IFERROR(INDEX('Malaria-Pharmaceuticals'!$AE$14:$AE$60,MATCH($E40&amp;$F40,'Malaria-Pharmaceuticals'!$E$14:$E$60&amp;'Malaria-Pharmaceuticals'!$I$14:$I$60,0)),0)</f>
        <v>0</v>
      </c>
      <c r="BC40" s="625">
        <f t="shared" si="30"/>
        <v>0</v>
      </c>
      <c r="BD40" s="626">
        <f t="shared" si="31"/>
        <v>0</v>
      </c>
      <c r="BE40" s="626">
        <f t="shared" si="32"/>
        <v>0</v>
      </c>
      <c r="BF40" s="625">
        <f t="array" ref="BF40">IFERROR(INDEX('Malaria-Pharmaceuticals'!$AF$14:$AF$60,MATCH($E40&amp;$F40,'Malaria-Pharmaceuticals'!$E$14:$E$60&amp;'Malaria-Pharmaceuticals'!$I$14:$I$60,0)),0)</f>
        <v>0</v>
      </c>
      <c r="BG40" s="625">
        <f t="shared" si="33"/>
        <v>0</v>
      </c>
      <c r="BH40" s="626">
        <f t="shared" si="34"/>
        <v>0</v>
      </c>
      <c r="BI40" s="626">
        <f t="shared" si="35"/>
        <v>0</v>
      </c>
      <c r="BK40" s="626"/>
      <c r="BL40" s="626"/>
      <c r="BM40" s="626"/>
      <c r="BN40" s="626"/>
      <c r="BO40" s="626"/>
      <c r="BP40" s="626"/>
      <c r="BQ40" s="626"/>
      <c r="BR40" s="626"/>
      <c r="BT40" s="21" t="s">
        <v>6808</v>
      </c>
    </row>
    <row r="41" spans="1:72">
      <c r="A41" s="32" t="s">
        <v>576</v>
      </c>
      <c r="B41" s="32" t="s">
        <v>522</v>
      </c>
      <c r="C41" s="626">
        <f>SETUP!$F$50</f>
        <v>0</v>
      </c>
      <c r="D41" s="31">
        <v>4.3</v>
      </c>
      <c r="E41" s="32" t="s">
        <v>404</v>
      </c>
      <c r="F41" s="32" t="s">
        <v>1138</v>
      </c>
      <c r="G41" s="625" t="str">
        <f t="array" ref="G41">IFERROR(INDEX('Malaria-Pharmaceuticals'!$L$14:$L$60,MATCH($E41&amp;$F41,'Malaria-Pharmaceuticals'!$E$14:$E$60&amp;'Malaria-Pharmaceuticals'!$I$14:$I$60,0)),"")</f>
        <v/>
      </c>
      <c r="H41" s="625" t="str">
        <f t="array" ref="H41">IFERROR(INDEX('Malaria-Pharmaceuticals'!$M$14:$M$60,MATCH($E41&amp;$F41,'Malaria-Pharmaceuticals'!$E$14:$E$60&amp;'Malaria-Pharmaceuticals'!$I$14:$I$60,0)),"")</f>
        <v/>
      </c>
      <c r="I41" s="625">
        <f t="array" ref="I41">IFERROR(INDEX('Malaria-Pharmaceuticals'!$N$14:$N$60,MATCH($E41&amp;$F41,'Malaria-Pharmaceuticals'!$E$14:$E$60&amp;'Malaria-Pharmaceuticals'!$I$14:$I$60,0)),0)</f>
        <v>0</v>
      </c>
      <c r="J41" s="625">
        <f t="array" ref="J41">IFERROR(INDEX('Malaria-Pharmaceuticals'!$O$14:$O$60,MATCH($E41&amp;$F41,'Malaria-Pharmaceuticals'!$E$14:$E$60&amp;'Malaria-Pharmaceuticals'!$I$14:$I$60,0)),0)</f>
        <v>0</v>
      </c>
      <c r="K41" s="626">
        <f t="shared" si="0"/>
        <v>0</v>
      </c>
      <c r="L41" s="626">
        <f t="shared" si="1"/>
        <v>0</v>
      </c>
      <c r="M41" s="626">
        <f t="shared" si="2"/>
        <v>0</v>
      </c>
      <c r="N41" s="625">
        <f t="array" ref="N41">IFERROR(INDEX('Malaria-Pharmaceuticals'!$P$14:$P$60,MATCH($E41&amp;$F41,'Malaria-Pharmaceuticals'!$E$14:$E$60&amp;'Malaria-Pharmaceuticals'!$I$14:$I$60,0)),0)</f>
        <v>0</v>
      </c>
      <c r="O41" s="626">
        <f t="shared" si="3"/>
        <v>0</v>
      </c>
      <c r="P41" s="626">
        <f t="shared" si="4"/>
        <v>0</v>
      </c>
      <c r="Q41" s="626">
        <f t="shared" si="5"/>
        <v>0</v>
      </c>
      <c r="R41" s="625">
        <f t="array" ref="R41">IFERROR(INDEX('Malaria-Pharmaceuticals'!$Q$14:$Q$60,MATCH($E41&amp;$F41,'Malaria-Pharmaceuticals'!$E$14:$E$60&amp;'Malaria-Pharmaceuticals'!$I$14:$I$60,0)),0)</f>
        <v>0</v>
      </c>
      <c r="S41" s="626">
        <f t="shared" si="6"/>
        <v>0</v>
      </c>
      <c r="T41" s="626">
        <f t="shared" si="7"/>
        <v>0</v>
      </c>
      <c r="U41" s="626">
        <f t="shared" si="8"/>
        <v>0</v>
      </c>
      <c r="V41" s="625">
        <f t="array" ref="V41">IFERROR(INDEX('Malaria-Pharmaceuticals'!$R$14:$R$60,MATCH($E41&amp;$F41,'Malaria-Pharmaceuticals'!$E$14:$E$60&amp;'Malaria-Pharmaceuticals'!$I$14:$I$60,0)),0)</f>
        <v>0</v>
      </c>
      <c r="W41" s="626">
        <f t="shared" si="9"/>
        <v>0</v>
      </c>
      <c r="X41" s="626">
        <f t="shared" si="10"/>
        <v>0</v>
      </c>
      <c r="Y41" s="626">
        <f t="shared" si="11"/>
        <v>0</v>
      </c>
      <c r="Z41" s="627"/>
      <c r="AA41" s="625">
        <f t="array" ref="AA41">IFERROR(INDEX('Malaria-Pharmaceuticals'!$U$14:$U$60,MATCH($E41&amp;$F41,'Malaria-Pharmaceuticals'!$E$14:$E$60&amp;'Malaria-Pharmaceuticals'!$I$14:$I$60,0)),0)</f>
        <v>0</v>
      </c>
      <c r="AB41" s="625">
        <f t="array" ref="AB41">IFERROR(INDEX('Malaria-Pharmaceuticals'!$V$14:$V$60,MATCH($E41&amp;$F41,'Malaria-Pharmaceuticals'!$E$14:$E$60&amp;'Malaria-Pharmaceuticals'!$I$14:$I$60,0)),0)</f>
        <v>0</v>
      </c>
      <c r="AC41" s="625">
        <f t="shared" si="12"/>
        <v>0</v>
      </c>
      <c r="AD41" s="626">
        <f t="shared" si="13"/>
        <v>0</v>
      </c>
      <c r="AE41" s="626">
        <f t="shared" si="14"/>
        <v>0</v>
      </c>
      <c r="AF41" s="625">
        <f t="array" ref="AF41">IFERROR(INDEX('Malaria-Pharmaceuticals'!$W$14:$W$60,MATCH($E41&amp;$F41,'Malaria-Pharmaceuticals'!$E$14:$E$60&amp;'Malaria-Pharmaceuticals'!$I$14:$I$60,0)),0)</f>
        <v>0</v>
      </c>
      <c r="AG41" s="625">
        <f t="shared" si="15"/>
        <v>0</v>
      </c>
      <c r="AH41" s="626">
        <f t="shared" si="16"/>
        <v>0</v>
      </c>
      <c r="AI41" s="626">
        <f t="shared" si="17"/>
        <v>0</v>
      </c>
      <c r="AJ41" s="625">
        <f t="array" ref="AJ41">IFERROR(INDEX('Malaria-Pharmaceuticals'!$X$14:$X$60,MATCH($E41&amp;$F41,'Malaria-Pharmaceuticals'!$E$14:$E$60&amp;'Malaria-Pharmaceuticals'!$I$14:$I$60,0)),0)</f>
        <v>0</v>
      </c>
      <c r="AK41" s="625">
        <f t="shared" si="18"/>
        <v>0</v>
      </c>
      <c r="AL41" s="626">
        <f t="shared" si="19"/>
        <v>0</v>
      </c>
      <c r="AM41" s="626">
        <f t="shared" si="20"/>
        <v>0</v>
      </c>
      <c r="AN41" s="625">
        <f t="array" ref="AN41">IFERROR(INDEX('Malaria-Pharmaceuticals'!$Y$14:$Y$60,MATCH($E41&amp;$F41,'Malaria-Pharmaceuticals'!$E$14:$E$60&amp;'Malaria-Pharmaceuticals'!$I$14:$I$60,0)),0)</f>
        <v>0</v>
      </c>
      <c r="AO41" s="625">
        <f t="shared" si="21"/>
        <v>0</v>
      </c>
      <c r="AP41" s="626">
        <f t="shared" si="22"/>
        <v>0</v>
      </c>
      <c r="AQ41" s="626">
        <f t="shared" si="23"/>
        <v>0</v>
      </c>
      <c r="AR41" s="627"/>
      <c r="AS41" s="625">
        <f t="array" ref="AS41">IFERROR(INDEX('Malaria-Pharmaceuticals'!$AB$14:$AB$60,MATCH($E41&amp;$F41,'Malaria-Pharmaceuticals'!$E$14:$E$60&amp;'Malaria-Pharmaceuticals'!$I$14:$I$60,0)),0)</f>
        <v>0</v>
      </c>
      <c r="AT41" s="625">
        <f t="array" ref="AT41">IFERROR(INDEX('Malaria-Pharmaceuticals'!$AC$14:$AC$60,MATCH($E41&amp;$F41,'Malaria-Pharmaceuticals'!$E$14:$E$60&amp;'Malaria-Pharmaceuticals'!$I$14:$I$60,0)),0)</f>
        <v>0</v>
      </c>
      <c r="AU41" s="625">
        <f t="shared" si="24"/>
        <v>0</v>
      </c>
      <c r="AV41" s="626">
        <f t="shared" si="25"/>
        <v>0</v>
      </c>
      <c r="AW41" s="626">
        <f t="shared" si="26"/>
        <v>0</v>
      </c>
      <c r="AX41" s="625">
        <f t="array" ref="AX41">IFERROR(INDEX('Malaria-Pharmaceuticals'!$AD$14:$AD$60,MATCH($E41&amp;$F41,'Malaria-Pharmaceuticals'!$E$14:$E$60&amp;'Malaria-Pharmaceuticals'!$I$14:$I$60,0)),0)</f>
        <v>0</v>
      </c>
      <c r="AY41" s="625">
        <f t="shared" si="27"/>
        <v>0</v>
      </c>
      <c r="AZ41" s="626">
        <f t="shared" si="28"/>
        <v>0</v>
      </c>
      <c r="BA41" s="626">
        <f t="shared" si="29"/>
        <v>0</v>
      </c>
      <c r="BB41" s="625">
        <f t="array" ref="BB41">IFERROR(INDEX('Malaria-Pharmaceuticals'!$AE$14:$AE$60,MATCH($E41&amp;$F41,'Malaria-Pharmaceuticals'!$E$14:$E$60&amp;'Malaria-Pharmaceuticals'!$I$14:$I$60,0)),0)</f>
        <v>0</v>
      </c>
      <c r="BC41" s="625">
        <f t="shared" si="30"/>
        <v>0</v>
      </c>
      <c r="BD41" s="626">
        <f t="shared" si="31"/>
        <v>0</v>
      </c>
      <c r="BE41" s="626">
        <f t="shared" si="32"/>
        <v>0</v>
      </c>
      <c r="BF41" s="625">
        <f t="array" ref="BF41">IFERROR(INDEX('Malaria-Pharmaceuticals'!$AF$14:$AF$60,MATCH($E41&amp;$F41,'Malaria-Pharmaceuticals'!$E$14:$E$60&amp;'Malaria-Pharmaceuticals'!$I$14:$I$60,0)),0)</f>
        <v>0</v>
      </c>
      <c r="BG41" s="625">
        <f t="shared" si="33"/>
        <v>0</v>
      </c>
      <c r="BH41" s="626">
        <f t="shared" si="34"/>
        <v>0</v>
      </c>
      <c r="BI41" s="626">
        <f t="shared" si="35"/>
        <v>0</v>
      </c>
      <c r="BK41" s="626"/>
      <c r="BL41" s="626"/>
      <c r="BM41" s="626"/>
      <c r="BN41" s="626"/>
      <c r="BO41" s="626"/>
      <c r="BP41" s="626"/>
      <c r="BQ41" s="626"/>
      <c r="BR41" s="626"/>
      <c r="BT41" s="21" t="s">
        <v>6808</v>
      </c>
    </row>
    <row r="42" spans="1:72">
      <c r="A42" s="32" t="s">
        <v>576</v>
      </c>
      <c r="B42" s="32" t="s">
        <v>522</v>
      </c>
      <c r="C42" s="626">
        <f>SETUP!$F$50</f>
        <v>0</v>
      </c>
      <c r="D42" s="31">
        <v>4.3</v>
      </c>
      <c r="E42" s="32" t="s">
        <v>405</v>
      </c>
      <c r="F42" s="32" t="s">
        <v>1139</v>
      </c>
      <c r="G42" s="625" t="str">
        <f t="array" ref="G42">IFERROR(INDEX('Malaria-Pharmaceuticals'!$L$14:$L$60,MATCH($E42&amp;$F42,'Malaria-Pharmaceuticals'!$E$14:$E$60&amp;'Malaria-Pharmaceuticals'!$I$14:$I$60,0)),"")</f>
        <v/>
      </c>
      <c r="H42" s="625" t="str">
        <f t="array" ref="H42">IFERROR(INDEX('Malaria-Pharmaceuticals'!$M$14:$M$60,MATCH($E42&amp;$F42,'Malaria-Pharmaceuticals'!$E$14:$E$60&amp;'Malaria-Pharmaceuticals'!$I$14:$I$60,0)),"")</f>
        <v/>
      </c>
      <c r="I42" s="625">
        <f t="array" ref="I42">IFERROR(INDEX('Malaria-Pharmaceuticals'!$N$14:$N$60,MATCH($E42&amp;$F42,'Malaria-Pharmaceuticals'!$E$14:$E$60&amp;'Malaria-Pharmaceuticals'!$I$14:$I$60,0)),0)</f>
        <v>0</v>
      </c>
      <c r="J42" s="625">
        <f t="array" ref="J42">IFERROR(INDEX('Malaria-Pharmaceuticals'!$O$14:$O$60,MATCH($E42&amp;$F42,'Malaria-Pharmaceuticals'!$E$14:$E$60&amp;'Malaria-Pharmaceuticals'!$I$14:$I$60,0)),0)</f>
        <v>0</v>
      </c>
      <c r="K42" s="626">
        <f t="shared" si="0"/>
        <v>0</v>
      </c>
      <c r="L42" s="626">
        <f t="shared" si="1"/>
        <v>0</v>
      </c>
      <c r="M42" s="626">
        <f t="shared" si="2"/>
        <v>0</v>
      </c>
      <c r="N42" s="625">
        <f t="array" ref="N42">IFERROR(INDEX('Malaria-Pharmaceuticals'!$P$14:$P$60,MATCH($E42&amp;$F42,'Malaria-Pharmaceuticals'!$E$14:$E$60&amp;'Malaria-Pharmaceuticals'!$I$14:$I$60,0)),0)</f>
        <v>0</v>
      </c>
      <c r="O42" s="626">
        <f t="shared" si="3"/>
        <v>0</v>
      </c>
      <c r="P42" s="626">
        <f t="shared" si="4"/>
        <v>0</v>
      </c>
      <c r="Q42" s="626">
        <f t="shared" si="5"/>
        <v>0</v>
      </c>
      <c r="R42" s="625">
        <f t="array" ref="R42">IFERROR(INDEX('Malaria-Pharmaceuticals'!$Q$14:$Q$60,MATCH($E42&amp;$F42,'Malaria-Pharmaceuticals'!$E$14:$E$60&amp;'Malaria-Pharmaceuticals'!$I$14:$I$60,0)),0)</f>
        <v>0</v>
      </c>
      <c r="S42" s="626">
        <f t="shared" si="6"/>
        <v>0</v>
      </c>
      <c r="T42" s="626">
        <f t="shared" si="7"/>
        <v>0</v>
      </c>
      <c r="U42" s="626">
        <f t="shared" si="8"/>
        <v>0</v>
      </c>
      <c r="V42" s="625">
        <f t="array" ref="V42">IFERROR(INDEX('Malaria-Pharmaceuticals'!$R$14:$R$60,MATCH($E42&amp;$F42,'Malaria-Pharmaceuticals'!$E$14:$E$60&amp;'Malaria-Pharmaceuticals'!$I$14:$I$60,0)),0)</f>
        <v>0</v>
      </c>
      <c r="W42" s="626">
        <f t="shared" si="9"/>
        <v>0</v>
      </c>
      <c r="X42" s="626">
        <f t="shared" si="10"/>
        <v>0</v>
      </c>
      <c r="Y42" s="626">
        <f t="shared" si="11"/>
        <v>0</v>
      </c>
      <c r="Z42" s="627"/>
      <c r="AA42" s="625">
        <f t="array" ref="AA42">IFERROR(INDEX('Malaria-Pharmaceuticals'!$U$14:$U$60,MATCH($E42&amp;$F42,'Malaria-Pharmaceuticals'!$E$14:$E$60&amp;'Malaria-Pharmaceuticals'!$I$14:$I$60,0)),0)</f>
        <v>0</v>
      </c>
      <c r="AB42" s="625">
        <f t="array" ref="AB42">IFERROR(INDEX('Malaria-Pharmaceuticals'!$V$14:$V$60,MATCH($E42&amp;$F42,'Malaria-Pharmaceuticals'!$E$14:$E$60&amp;'Malaria-Pharmaceuticals'!$I$14:$I$60,0)),0)</f>
        <v>0</v>
      </c>
      <c r="AC42" s="625">
        <f t="shared" si="12"/>
        <v>0</v>
      </c>
      <c r="AD42" s="626">
        <f t="shared" si="13"/>
        <v>0</v>
      </c>
      <c r="AE42" s="626">
        <f t="shared" si="14"/>
        <v>0</v>
      </c>
      <c r="AF42" s="625">
        <f t="array" ref="AF42">IFERROR(INDEX('Malaria-Pharmaceuticals'!$W$14:$W$60,MATCH($E42&amp;$F42,'Malaria-Pharmaceuticals'!$E$14:$E$60&amp;'Malaria-Pharmaceuticals'!$I$14:$I$60,0)),0)</f>
        <v>0</v>
      </c>
      <c r="AG42" s="625">
        <f t="shared" si="15"/>
        <v>0</v>
      </c>
      <c r="AH42" s="626">
        <f t="shared" si="16"/>
        <v>0</v>
      </c>
      <c r="AI42" s="626">
        <f t="shared" si="17"/>
        <v>0</v>
      </c>
      <c r="AJ42" s="625">
        <f t="array" ref="AJ42">IFERROR(INDEX('Malaria-Pharmaceuticals'!$X$14:$X$60,MATCH($E42&amp;$F42,'Malaria-Pharmaceuticals'!$E$14:$E$60&amp;'Malaria-Pharmaceuticals'!$I$14:$I$60,0)),0)</f>
        <v>0</v>
      </c>
      <c r="AK42" s="625">
        <f t="shared" si="18"/>
        <v>0</v>
      </c>
      <c r="AL42" s="626">
        <f t="shared" si="19"/>
        <v>0</v>
      </c>
      <c r="AM42" s="626">
        <f t="shared" si="20"/>
        <v>0</v>
      </c>
      <c r="AN42" s="625">
        <f t="array" ref="AN42">IFERROR(INDEX('Malaria-Pharmaceuticals'!$Y$14:$Y$60,MATCH($E42&amp;$F42,'Malaria-Pharmaceuticals'!$E$14:$E$60&amp;'Malaria-Pharmaceuticals'!$I$14:$I$60,0)),0)</f>
        <v>0</v>
      </c>
      <c r="AO42" s="625">
        <f t="shared" si="21"/>
        <v>0</v>
      </c>
      <c r="AP42" s="626">
        <f t="shared" si="22"/>
        <v>0</v>
      </c>
      <c r="AQ42" s="626">
        <f t="shared" si="23"/>
        <v>0</v>
      </c>
      <c r="AR42" s="627"/>
      <c r="AS42" s="625">
        <f t="array" ref="AS42">IFERROR(INDEX('Malaria-Pharmaceuticals'!$AB$14:$AB$60,MATCH($E42&amp;$F42,'Malaria-Pharmaceuticals'!$E$14:$E$60&amp;'Malaria-Pharmaceuticals'!$I$14:$I$60,0)),0)</f>
        <v>0</v>
      </c>
      <c r="AT42" s="625">
        <f t="array" ref="AT42">IFERROR(INDEX('Malaria-Pharmaceuticals'!$AC$14:$AC$60,MATCH($E42&amp;$F42,'Malaria-Pharmaceuticals'!$E$14:$E$60&amp;'Malaria-Pharmaceuticals'!$I$14:$I$60,0)),0)</f>
        <v>0</v>
      </c>
      <c r="AU42" s="625">
        <f t="shared" si="24"/>
        <v>0</v>
      </c>
      <c r="AV42" s="626">
        <f t="shared" si="25"/>
        <v>0</v>
      </c>
      <c r="AW42" s="626">
        <f t="shared" si="26"/>
        <v>0</v>
      </c>
      <c r="AX42" s="625">
        <f t="array" ref="AX42">IFERROR(INDEX('Malaria-Pharmaceuticals'!$AD$14:$AD$60,MATCH($E42&amp;$F42,'Malaria-Pharmaceuticals'!$E$14:$E$60&amp;'Malaria-Pharmaceuticals'!$I$14:$I$60,0)),0)</f>
        <v>0</v>
      </c>
      <c r="AY42" s="625">
        <f t="shared" si="27"/>
        <v>0</v>
      </c>
      <c r="AZ42" s="626">
        <f t="shared" si="28"/>
        <v>0</v>
      </c>
      <c r="BA42" s="626">
        <f t="shared" si="29"/>
        <v>0</v>
      </c>
      <c r="BB42" s="625">
        <f t="array" ref="BB42">IFERROR(INDEX('Malaria-Pharmaceuticals'!$AE$14:$AE$60,MATCH($E42&amp;$F42,'Malaria-Pharmaceuticals'!$E$14:$E$60&amp;'Malaria-Pharmaceuticals'!$I$14:$I$60,0)),0)</f>
        <v>0</v>
      </c>
      <c r="BC42" s="625">
        <f t="shared" si="30"/>
        <v>0</v>
      </c>
      <c r="BD42" s="626">
        <f t="shared" si="31"/>
        <v>0</v>
      </c>
      <c r="BE42" s="626">
        <f t="shared" si="32"/>
        <v>0</v>
      </c>
      <c r="BF42" s="625">
        <f t="array" ref="BF42">IFERROR(INDEX('Malaria-Pharmaceuticals'!$AF$14:$AF$60,MATCH($E42&amp;$F42,'Malaria-Pharmaceuticals'!$E$14:$E$60&amp;'Malaria-Pharmaceuticals'!$I$14:$I$60,0)),0)</f>
        <v>0</v>
      </c>
      <c r="BG42" s="625">
        <f t="shared" si="33"/>
        <v>0</v>
      </c>
      <c r="BH42" s="626">
        <f t="shared" si="34"/>
        <v>0</v>
      </c>
      <c r="BI42" s="626">
        <f t="shared" si="35"/>
        <v>0</v>
      </c>
      <c r="BK42" s="626"/>
      <c r="BL42" s="626"/>
      <c r="BM42" s="626"/>
      <c r="BN42" s="626"/>
      <c r="BO42" s="626"/>
      <c r="BP42" s="626"/>
      <c r="BQ42" s="626"/>
      <c r="BR42" s="626"/>
      <c r="BT42" s="21" t="s">
        <v>6809</v>
      </c>
    </row>
    <row r="43" spans="1:72">
      <c r="A43" s="32" t="s">
        <v>576</v>
      </c>
      <c r="B43" s="32" t="s">
        <v>522</v>
      </c>
      <c r="C43" s="626">
        <f>SETUP!$F$50</f>
        <v>0</v>
      </c>
      <c r="D43" s="31">
        <v>4.3</v>
      </c>
      <c r="E43" s="32" t="s">
        <v>1100</v>
      </c>
      <c r="F43" s="32" t="s">
        <v>1140</v>
      </c>
      <c r="G43" s="625" t="str">
        <f t="array" ref="G43">IFERROR(INDEX('Malaria-Pharmaceuticals'!$L$14:$L$60,MATCH($E43&amp;$F43,'Malaria-Pharmaceuticals'!$E$14:$E$60&amp;'Malaria-Pharmaceuticals'!$I$14:$I$60,0)),"")</f>
        <v/>
      </c>
      <c r="H43" s="625" t="str">
        <f t="array" ref="H43">IFERROR(INDEX('Malaria-Pharmaceuticals'!$M$14:$M$60,MATCH($E43&amp;$F43,'Malaria-Pharmaceuticals'!$E$14:$E$60&amp;'Malaria-Pharmaceuticals'!$I$14:$I$60,0)),"")</f>
        <v/>
      </c>
      <c r="I43" s="625">
        <f t="array" ref="I43">IFERROR(INDEX('Malaria-Pharmaceuticals'!$N$14:$N$60,MATCH($E43&amp;$F43,'Malaria-Pharmaceuticals'!$E$14:$E$60&amp;'Malaria-Pharmaceuticals'!$I$14:$I$60,0)),0)</f>
        <v>0</v>
      </c>
      <c r="J43" s="625">
        <f t="array" ref="J43">IFERROR(INDEX('Malaria-Pharmaceuticals'!$O$14:$O$60,MATCH($E43&amp;$F43,'Malaria-Pharmaceuticals'!$E$14:$E$60&amp;'Malaria-Pharmaceuticals'!$I$14:$I$60,0)),0)</f>
        <v>0</v>
      </c>
      <c r="K43" s="626">
        <f t="shared" si="0"/>
        <v>0</v>
      </c>
      <c r="L43" s="626">
        <f t="shared" si="1"/>
        <v>0</v>
      </c>
      <c r="M43" s="626">
        <f t="shared" si="2"/>
        <v>0</v>
      </c>
      <c r="N43" s="625">
        <f t="array" ref="N43">IFERROR(INDEX('Malaria-Pharmaceuticals'!$P$14:$P$60,MATCH($E43&amp;$F43,'Malaria-Pharmaceuticals'!$E$14:$E$60&amp;'Malaria-Pharmaceuticals'!$I$14:$I$60,0)),0)</f>
        <v>0</v>
      </c>
      <c r="O43" s="626">
        <f t="shared" si="3"/>
        <v>0</v>
      </c>
      <c r="P43" s="626">
        <f t="shared" si="4"/>
        <v>0</v>
      </c>
      <c r="Q43" s="626">
        <f t="shared" si="5"/>
        <v>0</v>
      </c>
      <c r="R43" s="625">
        <f t="array" ref="R43">IFERROR(INDEX('Malaria-Pharmaceuticals'!$Q$14:$Q$60,MATCH($E43&amp;$F43,'Malaria-Pharmaceuticals'!$E$14:$E$60&amp;'Malaria-Pharmaceuticals'!$I$14:$I$60,0)),0)</f>
        <v>0</v>
      </c>
      <c r="S43" s="626">
        <f t="shared" si="6"/>
        <v>0</v>
      </c>
      <c r="T43" s="626">
        <f t="shared" si="7"/>
        <v>0</v>
      </c>
      <c r="U43" s="626">
        <f t="shared" si="8"/>
        <v>0</v>
      </c>
      <c r="V43" s="625">
        <f t="array" ref="V43">IFERROR(INDEX('Malaria-Pharmaceuticals'!$R$14:$R$60,MATCH($E43&amp;$F43,'Malaria-Pharmaceuticals'!$E$14:$E$60&amp;'Malaria-Pharmaceuticals'!$I$14:$I$60,0)),0)</f>
        <v>0</v>
      </c>
      <c r="W43" s="626">
        <f t="shared" si="9"/>
        <v>0</v>
      </c>
      <c r="X43" s="626">
        <f t="shared" si="10"/>
        <v>0</v>
      </c>
      <c r="Y43" s="626">
        <f t="shared" si="11"/>
        <v>0</v>
      </c>
      <c r="Z43" s="627"/>
      <c r="AA43" s="625">
        <f t="array" ref="AA43">IFERROR(INDEX('Malaria-Pharmaceuticals'!$U$14:$U$60,MATCH($E43&amp;$F43,'Malaria-Pharmaceuticals'!$E$14:$E$60&amp;'Malaria-Pharmaceuticals'!$I$14:$I$60,0)),0)</f>
        <v>0</v>
      </c>
      <c r="AB43" s="625">
        <f t="array" ref="AB43">IFERROR(INDEX('Malaria-Pharmaceuticals'!$V$14:$V$60,MATCH($E43&amp;$F43,'Malaria-Pharmaceuticals'!$E$14:$E$60&amp;'Malaria-Pharmaceuticals'!$I$14:$I$60,0)),0)</f>
        <v>0</v>
      </c>
      <c r="AC43" s="625">
        <f t="shared" si="12"/>
        <v>0</v>
      </c>
      <c r="AD43" s="626">
        <f t="shared" si="13"/>
        <v>0</v>
      </c>
      <c r="AE43" s="626">
        <f t="shared" si="14"/>
        <v>0</v>
      </c>
      <c r="AF43" s="625">
        <f t="array" ref="AF43">IFERROR(INDEX('Malaria-Pharmaceuticals'!$W$14:$W$60,MATCH($E43&amp;$F43,'Malaria-Pharmaceuticals'!$E$14:$E$60&amp;'Malaria-Pharmaceuticals'!$I$14:$I$60,0)),0)</f>
        <v>0</v>
      </c>
      <c r="AG43" s="625">
        <f t="shared" si="15"/>
        <v>0</v>
      </c>
      <c r="AH43" s="626">
        <f t="shared" si="16"/>
        <v>0</v>
      </c>
      <c r="AI43" s="626">
        <f t="shared" si="17"/>
        <v>0</v>
      </c>
      <c r="AJ43" s="625">
        <f t="array" ref="AJ43">IFERROR(INDEX('Malaria-Pharmaceuticals'!$X$14:$X$60,MATCH($E43&amp;$F43,'Malaria-Pharmaceuticals'!$E$14:$E$60&amp;'Malaria-Pharmaceuticals'!$I$14:$I$60,0)),0)</f>
        <v>0</v>
      </c>
      <c r="AK43" s="625">
        <f t="shared" si="18"/>
        <v>0</v>
      </c>
      <c r="AL43" s="626">
        <f t="shared" si="19"/>
        <v>0</v>
      </c>
      <c r="AM43" s="626">
        <f t="shared" si="20"/>
        <v>0</v>
      </c>
      <c r="AN43" s="625">
        <f t="array" ref="AN43">IFERROR(INDEX('Malaria-Pharmaceuticals'!$Y$14:$Y$60,MATCH($E43&amp;$F43,'Malaria-Pharmaceuticals'!$E$14:$E$60&amp;'Malaria-Pharmaceuticals'!$I$14:$I$60,0)),0)</f>
        <v>0</v>
      </c>
      <c r="AO43" s="625">
        <f t="shared" si="21"/>
        <v>0</v>
      </c>
      <c r="AP43" s="626">
        <f t="shared" si="22"/>
        <v>0</v>
      </c>
      <c r="AQ43" s="626">
        <f t="shared" si="23"/>
        <v>0</v>
      </c>
      <c r="AR43" s="627"/>
      <c r="AS43" s="625">
        <f t="array" ref="AS43">IFERROR(INDEX('Malaria-Pharmaceuticals'!$AB$14:$AB$60,MATCH($E43&amp;$F43,'Malaria-Pharmaceuticals'!$E$14:$E$60&amp;'Malaria-Pharmaceuticals'!$I$14:$I$60,0)),0)</f>
        <v>0</v>
      </c>
      <c r="AT43" s="625">
        <f t="array" ref="AT43">IFERROR(INDEX('Malaria-Pharmaceuticals'!$AC$14:$AC$60,MATCH($E43&amp;$F43,'Malaria-Pharmaceuticals'!$E$14:$E$60&amp;'Malaria-Pharmaceuticals'!$I$14:$I$60,0)),0)</f>
        <v>0</v>
      </c>
      <c r="AU43" s="625">
        <f t="shared" si="24"/>
        <v>0</v>
      </c>
      <c r="AV43" s="626">
        <f t="shared" si="25"/>
        <v>0</v>
      </c>
      <c r="AW43" s="626">
        <f t="shared" si="26"/>
        <v>0</v>
      </c>
      <c r="AX43" s="625">
        <f t="array" ref="AX43">IFERROR(INDEX('Malaria-Pharmaceuticals'!$AD$14:$AD$60,MATCH($E43&amp;$F43,'Malaria-Pharmaceuticals'!$E$14:$E$60&amp;'Malaria-Pharmaceuticals'!$I$14:$I$60,0)),0)</f>
        <v>0</v>
      </c>
      <c r="AY43" s="625">
        <f t="shared" si="27"/>
        <v>0</v>
      </c>
      <c r="AZ43" s="626">
        <f t="shared" si="28"/>
        <v>0</v>
      </c>
      <c r="BA43" s="626">
        <f t="shared" si="29"/>
        <v>0</v>
      </c>
      <c r="BB43" s="625">
        <f t="array" ref="BB43">IFERROR(INDEX('Malaria-Pharmaceuticals'!$AE$14:$AE$60,MATCH($E43&amp;$F43,'Malaria-Pharmaceuticals'!$E$14:$E$60&amp;'Malaria-Pharmaceuticals'!$I$14:$I$60,0)),0)</f>
        <v>0</v>
      </c>
      <c r="BC43" s="625">
        <f t="shared" si="30"/>
        <v>0</v>
      </c>
      <c r="BD43" s="626">
        <f t="shared" si="31"/>
        <v>0</v>
      </c>
      <c r="BE43" s="626">
        <f t="shared" si="32"/>
        <v>0</v>
      </c>
      <c r="BF43" s="625">
        <f t="array" ref="BF43">IFERROR(INDEX('Malaria-Pharmaceuticals'!$AF$14:$AF$60,MATCH($E43&amp;$F43,'Malaria-Pharmaceuticals'!$E$14:$E$60&amp;'Malaria-Pharmaceuticals'!$I$14:$I$60,0)),0)</f>
        <v>0</v>
      </c>
      <c r="BG43" s="625">
        <f t="shared" si="33"/>
        <v>0</v>
      </c>
      <c r="BH43" s="626">
        <f t="shared" si="34"/>
        <v>0</v>
      </c>
      <c r="BI43" s="626">
        <f t="shared" si="35"/>
        <v>0</v>
      </c>
      <c r="BK43" s="626"/>
      <c r="BL43" s="626"/>
      <c r="BM43" s="626"/>
      <c r="BN43" s="626"/>
      <c r="BO43" s="626"/>
      <c r="BP43" s="626"/>
      <c r="BQ43" s="626"/>
      <c r="BR43" s="626"/>
      <c r="BT43" s="21" t="s">
        <v>6810</v>
      </c>
    </row>
    <row r="44" spans="1:72">
      <c r="A44" s="32" t="s">
        <v>576</v>
      </c>
      <c r="B44" s="32" t="s">
        <v>522</v>
      </c>
      <c r="C44" s="626">
        <f>SETUP!$F$50</f>
        <v>0</v>
      </c>
      <c r="D44" s="31">
        <v>4.3</v>
      </c>
      <c r="E44" s="32" t="s">
        <v>406</v>
      </c>
      <c r="F44" s="32" t="s">
        <v>1141</v>
      </c>
      <c r="G44" s="625" t="str">
        <f t="array" ref="G44">IFERROR(INDEX('Malaria-Pharmaceuticals'!$L$14:$L$60,MATCH($E44&amp;$F44,'Malaria-Pharmaceuticals'!$E$14:$E$60&amp;'Malaria-Pharmaceuticals'!$I$14:$I$60,0)),"")</f>
        <v/>
      </c>
      <c r="H44" s="625" t="str">
        <f t="array" ref="H44">IFERROR(INDEX('Malaria-Pharmaceuticals'!$M$14:$M$60,MATCH($E44&amp;$F44,'Malaria-Pharmaceuticals'!$E$14:$E$60&amp;'Malaria-Pharmaceuticals'!$I$14:$I$60,0)),"")</f>
        <v/>
      </c>
      <c r="I44" s="625">
        <f t="array" ref="I44">IFERROR(INDEX('Malaria-Pharmaceuticals'!$N$14:$N$60,MATCH($E44&amp;$F44,'Malaria-Pharmaceuticals'!$E$14:$E$60&amp;'Malaria-Pharmaceuticals'!$I$14:$I$60,0)),0)</f>
        <v>0</v>
      </c>
      <c r="J44" s="625">
        <f t="array" ref="J44">IFERROR(INDEX('Malaria-Pharmaceuticals'!$O$14:$O$60,MATCH($E44&amp;$F44,'Malaria-Pharmaceuticals'!$E$14:$E$60&amp;'Malaria-Pharmaceuticals'!$I$14:$I$60,0)),0)</f>
        <v>0</v>
      </c>
      <c r="K44" s="626">
        <f t="shared" si="0"/>
        <v>0</v>
      </c>
      <c r="L44" s="626">
        <f t="shared" si="1"/>
        <v>0</v>
      </c>
      <c r="M44" s="626">
        <f t="shared" si="2"/>
        <v>0</v>
      </c>
      <c r="N44" s="625">
        <f t="array" ref="N44">IFERROR(INDEX('Malaria-Pharmaceuticals'!$P$14:$P$60,MATCH($E44&amp;$F44,'Malaria-Pharmaceuticals'!$E$14:$E$60&amp;'Malaria-Pharmaceuticals'!$I$14:$I$60,0)),0)</f>
        <v>0</v>
      </c>
      <c r="O44" s="626">
        <f t="shared" si="3"/>
        <v>0</v>
      </c>
      <c r="P44" s="626">
        <f t="shared" si="4"/>
        <v>0</v>
      </c>
      <c r="Q44" s="626">
        <f t="shared" si="5"/>
        <v>0</v>
      </c>
      <c r="R44" s="625">
        <f t="array" ref="R44">IFERROR(INDEX('Malaria-Pharmaceuticals'!$Q$14:$Q$60,MATCH($E44&amp;$F44,'Malaria-Pharmaceuticals'!$E$14:$E$60&amp;'Malaria-Pharmaceuticals'!$I$14:$I$60,0)),0)</f>
        <v>0</v>
      </c>
      <c r="S44" s="626">
        <f t="shared" si="6"/>
        <v>0</v>
      </c>
      <c r="T44" s="626">
        <f t="shared" si="7"/>
        <v>0</v>
      </c>
      <c r="U44" s="626">
        <f t="shared" si="8"/>
        <v>0</v>
      </c>
      <c r="V44" s="625">
        <f t="array" ref="V44">IFERROR(INDEX('Malaria-Pharmaceuticals'!$R$14:$R$60,MATCH($E44&amp;$F44,'Malaria-Pharmaceuticals'!$E$14:$E$60&amp;'Malaria-Pharmaceuticals'!$I$14:$I$60,0)),0)</f>
        <v>0</v>
      </c>
      <c r="W44" s="626">
        <f t="shared" si="9"/>
        <v>0</v>
      </c>
      <c r="X44" s="626">
        <f t="shared" si="10"/>
        <v>0</v>
      </c>
      <c r="Y44" s="626">
        <f t="shared" si="11"/>
        <v>0</v>
      </c>
      <c r="Z44" s="627"/>
      <c r="AA44" s="625">
        <f t="array" ref="AA44">IFERROR(INDEX('Malaria-Pharmaceuticals'!$U$14:$U$60,MATCH($E44&amp;$F44,'Malaria-Pharmaceuticals'!$E$14:$E$60&amp;'Malaria-Pharmaceuticals'!$I$14:$I$60,0)),0)</f>
        <v>0</v>
      </c>
      <c r="AB44" s="625">
        <f t="array" ref="AB44">IFERROR(INDEX('Malaria-Pharmaceuticals'!$V$14:$V$60,MATCH($E44&amp;$F44,'Malaria-Pharmaceuticals'!$E$14:$E$60&amp;'Malaria-Pharmaceuticals'!$I$14:$I$60,0)),0)</f>
        <v>0</v>
      </c>
      <c r="AC44" s="625">
        <f t="shared" si="12"/>
        <v>0</v>
      </c>
      <c r="AD44" s="626">
        <f t="shared" si="13"/>
        <v>0</v>
      </c>
      <c r="AE44" s="626">
        <f t="shared" si="14"/>
        <v>0</v>
      </c>
      <c r="AF44" s="625">
        <f t="array" ref="AF44">IFERROR(INDEX('Malaria-Pharmaceuticals'!$W$14:$W$60,MATCH($E44&amp;$F44,'Malaria-Pharmaceuticals'!$E$14:$E$60&amp;'Malaria-Pharmaceuticals'!$I$14:$I$60,0)),0)</f>
        <v>0</v>
      </c>
      <c r="AG44" s="625">
        <f t="shared" si="15"/>
        <v>0</v>
      </c>
      <c r="AH44" s="626">
        <f t="shared" si="16"/>
        <v>0</v>
      </c>
      <c r="AI44" s="626">
        <f t="shared" si="17"/>
        <v>0</v>
      </c>
      <c r="AJ44" s="625">
        <f t="array" ref="AJ44">IFERROR(INDEX('Malaria-Pharmaceuticals'!$X$14:$X$60,MATCH($E44&amp;$F44,'Malaria-Pharmaceuticals'!$E$14:$E$60&amp;'Malaria-Pharmaceuticals'!$I$14:$I$60,0)),0)</f>
        <v>0</v>
      </c>
      <c r="AK44" s="625">
        <f t="shared" si="18"/>
        <v>0</v>
      </c>
      <c r="AL44" s="626">
        <f t="shared" si="19"/>
        <v>0</v>
      </c>
      <c r="AM44" s="626">
        <f t="shared" si="20"/>
        <v>0</v>
      </c>
      <c r="AN44" s="625">
        <f t="array" ref="AN44">IFERROR(INDEX('Malaria-Pharmaceuticals'!$Y$14:$Y$60,MATCH($E44&amp;$F44,'Malaria-Pharmaceuticals'!$E$14:$E$60&amp;'Malaria-Pharmaceuticals'!$I$14:$I$60,0)),0)</f>
        <v>0</v>
      </c>
      <c r="AO44" s="625">
        <f t="shared" si="21"/>
        <v>0</v>
      </c>
      <c r="AP44" s="626">
        <f t="shared" si="22"/>
        <v>0</v>
      </c>
      <c r="AQ44" s="626">
        <f t="shared" si="23"/>
        <v>0</v>
      </c>
      <c r="AR44" s="627"/>
      <c r="AS44" s="625">
        <f t="array" ref="AS44">IFERROR(INDEX('Malaria-Pharmaceuticals'!$AB$14:$AB$60,MATCH($E44&amp;$F44,'Malaria-Pharmaceuticals'!$E$14:$E$60&amp;'Malaria-Pharmaceuticals'!$I$14:$I$60,0)),0)</f>
        <v>0</v>
      </c>
      <c r="AT44" s="625">
        <f t="array" ref="AT44">IFERROR(INDEX('Malaria-Pharmaceuticals'!$AC$14:$AC$60,MATCH($E44&amp;$F44,'Malaria-Pharmaceuticals'!$E$14:$E$60&amp;'Malaria-Pharmaceuticals'!$I$14:$I$60,0)),0)</f>
        <v>0</v>
      </c>
      <c r="AU44" s="625">
        <f t="shared" si="24"/>
        <v>0</v>
      </c>
      <c r="AV44" s="626">
        <f t="shared" si="25"/>
        <v>0</v>
      </c>
      <c r="AW44" s="626">
        <f t="shared" si="26"/>
        <v>0</v>
      </c>
      <c r="AX44" s="625">
        <f t="array" ref="AX44">IFERROR(INDEX('Malaria-Pharmaceuticals'!$AD$14:$AD$60,MATCH($E44&amp;$F44,'Malaria-Pharmaceuticals'!$E$14:$E$60&amp;'Malaria-Pharmaceuticals'!$I$14:$I$60,0)),0)</f>
        <v>0</v>
      </c>
      <c r="AY44" s="625">
        <f t="shared" si="27"/>
        <v>0</v>
      </c>
      <c r="AZ44" s="626">
        <f t="shared" si="28"/>
        <v>0</v>
      </c>
      <c r="BA44" s="626">
        <f t="shared" si="29"/>
        <v>0</v>
      </c>
      <c r="BB44" s="625">
        <f t="array" ref="BB44">IFERROR(INDEX('Malaria-Pharmaceuticals'!$AE$14:$AE$60,MATCH($E44&amp;$F44,'Malaria-Pharmaceuticals'!$E$14:$E$60&amp;'Malaria-Pharmaceuticals'!$I$14:$I$60,0)),0)</f>
        <v>0</v>
      </c>
      <c r="BC44" s="625">
        <f t="shared" si="30"/>
        <v>0</v>
      </c>
      <c r="BD44" s="626">
        <f t="shared" si="31"/>
        <v>0</v>
      </c>
      <c r="BE44" s="626">
        <f t="shared" si="32"/>
        <v>0</v>
      </c>
      <c r="BF44" s="625">
        <f t="array" ref="BF44">IFERROR(INDEX('Malaria-Pharmaceuticals'!$AF$14:$AF$60,MATCH($E44&amp;$F44,'Malaria-Pharmaceuticals'!$E$14:$E$60&amp;'Malaria-Pharmaceuticals'!$I$14:$I$60,0)),0)</f>
        <v>0</v>
      </c>
      <c r="BG44" s="625">
        <f t="shared" si="33"/>
        <v>0</v>
      </c>
      <c r="BH44" s="626">
        <f t="shared" si="34"/>
        <v>0</v>
      </c>
      <c r="BI44" s="626">
        <f t="shared" si="35"/>
        <v>0</v>
      </c>
      <c r="BK44" s="626"/>
      <c r="BL44" s="626"/>
      <c r="BM44" s="626"/>
      <c r="BN44" s="626"/>
      <c r="BO44" s="626"/>
      <c r="BP44" s="626"/>
      <c r="BQ44" s="626"/>
      <c r="BR44" s="626"/>
      <c r="BT44" s="21" t="s">
        <v>6811</v>
      </c>
    </row>
    <row r="45" spans="1:72">
      <c r="A45" s="32" t="s">
        <v>576</v>
      </c>
      <c r="B45" s="32" t="s">
        <v>522</v>
      </c>
      <c r="C45" s="626">
        <f>SETUP!$F$50</f>
        <v>0</v>
      </c>
      <c r="D45" s="31">
        <v>4.3</v>
      </c>
      <c r="E45" s="32" t="s">
        <v>406</v>
      </c>
      <c r="F45" s="32" t="s">
        <v>1142</v>
      </c>
      <c r="G45" s="625" t="str">
        <f t="array" ref="G45">IFERROR(INDEX('Malaria-Pharmaceuticals'!$L$14:$L$60,MATCH($E45&amp;$F45,'Malaria-Pharmaceuticals'!$E$14:$E$60&amp;'Malaria-Pharmaceuticals'!$I$14:$I$60,0)),"")</f>
        <v/>
      </c>
      <c r="H45" s="625" t="str">
        <f t="array" ref="H45">IFERROR(INDEX('Malaria-Pharmaceuticals'!$M$14:$M$60,MATCH($E45&amp;$F45,'Malaria-Pharmaceuticals'!$E$14:$E$60&amp;'Malaria-Pharmaceuticals'!$I$14:$I$60,0)),"")</f>
        <v/>
      </c>
      <c r="I45" s="625">
        <f t="array" ref="I45">IFERROR(INDEX('Malaria-Pharmaceuticals'!$N$14:$N$60,MATCH($E45&amp;$F45,'Malaria-Pharmaceuticals'!$E$14:$E$60&amp;'Malaria-Pharmaceuticals'!$I$14:$I$60,0)),0)</f>
        <v>0</v>
      </c>
      <c r="J45" s="625">
        <f t="array" ref="J45">IFERROR(INDEX('Malaria-Pharmaceuticals'!$O$14:$O$60,MATCH($E45&amp;$F45,'Malaria-Pharmaceuticals'!$E$14:$E$60&amp;'Malaria-Pharmaceuticals'!$I$14:$I$60,0)),0)</f>
        <v>0</v>
      </c>
      <c r="K45" s="626">
        <f t="shared" si="0"/>
        <v>0</v>
      </c>
      <c r="L45" s="626">
        <f t="shared" si="1"/>
        <v>0</v>
      </c>
      <c r="M45" s="626">
        <f t="shared" si="2"/>
        <v>0</v>
      </c>
      <c r="N45" s="625">
        <f t="array" ref="N45">IFERROR(INDEX('Malaria-Pharmaceuticals'!$P$14:$P$60,MATCH($E45&amp;$F45,'Malaria-Pharmaceuticals'!$E$14:$E$60&amp;'Malaria-Pharmaceuticals'!$I$14:$I$60,0)),0)</f>
        <v>0</v>
      </c>
      <c r="O45" s="626">
        <f t="shared" si="3"/>
        <v>0</v>
      </c>
      <c r="P45" s="626">
        <f t="shared" si="4"/>
        <v>0</v>
      </c>
      <c r="Q45" s="626">
        <f t="shared" si="5"/>
        <v>0</v>
      </c>
      <c r="R45" s="625">
        <f t="array" ref="R45">IFERROR(INDEX('Malaria-Pharmaceuticals'!$Q$14:$Q$60,MATCH($E45&amp;$F45,'Malaria-Pharmaceuticals'!$E$14:$E$60&amp;'Malaria-Pharmaceuticals'!$I$14:$I$60,0)),0)</f>
        <v>0</v>
      </c>
      <c r="S45" s="626">
        <f t="shared" si="6"/>
        <v>0</v>
      </c>
      <c r="T45" s="626">
        <f t="shared" si="7"/>
        <v>0</v>
      </c>
      <c r="U45" s="626">
        <f t="shared" si="8"/>
        <v>0</v>
      </c>
      <c r="V45" s="625">
        <f t="array" ref="V45">IFERROR(INDEX('Malaria-Pharmaceuticals'!$R$14:$R$60,MATCH($E45&amp;$F45,'Malaria-Pharmaceuticals'!$E$14:$E$60&amp;'Malaria-Pharmaceuticals'!$I$14:$I$60,0)),0)</f>
        <v>0</v>
      </c>
      <c r="W45" s="626">
        <f t="shared" si="9"/>
        <v>0</v>
      </c>
      <c r="X45" s="626">
        <f t="shared" si="10"/>
        <v>0</v>
      </c>
      <c r="Y45" s="626">
        <f t="shared" si="11"/>
        <v>0</v>
      </c>
      <c r="Z45" s="627"/>
      <c r="AA45" s="625">
        <f t="array" ref="AA45">IFERROR(INDEX('Malaria-Pharmaceuticals'!$U$14:$U$60,MATCH($E45&amp;$F45,'Malaria-Pharmaceuticals'!$E$14:$E$60&amp;'Malaria-Pharmaceuticals'!$I$14:$I$60,0)),0)</f>
        <v>0</v>
      </c>
      <c r="AB45" s="625">
        <f t="array" ref="AB45">IFERROR(INDEX('Malaria-Pharmaceuticals'!$V$14:$V$60,MATCH($E45&amp;$F45,'Malaria-Pharmaceuticals'!$E$14:$E$60&amp;'Malaria-Pharmaceuticals'!$I$14:$I$60,0)),0)</f>
        <v>0</v>
      </c>
      <c r="AC45" s="625">
        <f t="shared" si="12"/>
        <v>0</v>
      </c>
      <c r="AD45" s="626">
        <f t="shared" si="13"/>
        <v>0</v>
      </c>
      <c r="AE45" s="626">
        <f t="shared" si="14"/>
        <v>0</v>
      </c>
      <c r="AF45" s="625">
        <f t="array" ref="AF45">IFERROR(INDEX('Malaria-Pharmaceuticals'!$W$14:$W$60,MATCH($E45&amp;$F45,'Malaria-Pharmaceuticals'!$E$14:$E$60&amp;'Malaria-Pharmaceuticals'!$I$14:$I$60,0)),0)</f>
        <v>0</v>
      </c>
      <c r="AG45" s="625">
        <f t="shared" si="15"/>
        <v>0</v>
      </c>
      <c r="AH45" s="626">
        <f t="shared" si="16"/>
        <v>0</v>
      </c>
      <c r="AI45" s="626">
        <f t="shared" si="17"/>
        <v>0</v>
      </c>
      <c r="AJ45" s="625">
        <f t="array" ref="AJ45">IFERROR(INDEX('Malaria-Pharmaceuticals'!$X$14:$X$60,MATCH($E45&amp;$F45,'Malaria-Pharmaceuticals'!$E$14:$E$60&amp;'Malaria-Pharmaceuticals'!$I$14:$I$60,0)),0)</f>
        <v>0</v>
      </c>
      <c r="AK45" s="625">
        <f t="shared" si="18"/>
        <v>0</v>
      </c>
      <c r="AL45" s="626">
        <f t="shared" si="19"/>
        <v>0</v>
      </c>
      <c r="AM45" s="626">
        <f t="shared" si="20"/>
        <v>0</v>
      </c>
      <c r="AN45" s="625">
        <f t="array" ref="AN45">IFERROR(INDEX('Malaria-Pharmaceuticals'!$Y$14:$Y$60,MATCH($E45&amp;$F45,'Malaria-Pharmaceuticals'!$E$14:$E$60&amp;'Malaria-Pharmaceuticals'!$I$14:$I$60,0)),0)</f>
        <v>0</v>
      </c>
      <c r="AO45" s="625">
        <f t="shared" si="21"/>
        <v>0</v>
      </c>
      <c r="AP45" s="626">
        <f t="shared" si="22"/>
        <v>0</v>
      </c>
      <c r="AQ45" s="626">
        <f t="shared" si="23"/>
        <v>0</v>
      </c>
      <c r="AR45" s="627"/>
      <c r="AS45" s="625">
        <f t="array" ref="AS45">IFERROR(INDEX('Malaria-Pharmaceuticals'!$AB$14:$AB$60,MATCH($E45&amp;$F45,'Malaria-Pharmaceuticals'!$E$14:$E$60&amp;'Malaria-Pharmaceuticals'!$I$14:$I$60,0)),0)</f>
        <v>0</v>
      </c>
      <c r="AT45" s="625">
        <f t="array" ref="AT45">IFERROR(INDEX('Malaria-Pharmaceuticals'!$AC$14:$AC$60,MATCH($E45&amp;$F45,'Malaria-Pharmaceuticals'!$E$14:$E$60&amp;'Malaria-Pharmaceuticals'!$I$14:$I$60,0)),0)</f>
        <v>0</v>
      </c>
      <c r="AU45" s="625">
        <f t="shared" si="24"/>
        <v>0</v>
      </c>
      <c r="AV45" s="626">
        <f t="shared" si="25"/>
        <v>0</v>
      </c>
      <c r="AW45" s="626">
        <f t="shared" si="26"/>
        <v>0</v>
      </c>
      <c r="AX45" s="625">
        <f t="array" ref="AX45">IFERROR(INDEX('Malaria-Pharmaceuticals'!$AD$14:$AD$60,MATCH($E45&amp;$F45,'Malaria-Pharmaceuticals'!$E$14:$E$60&amp;'Malaria-Pharmaceuticals'!$I$14:$I$60,0)),0)</f>
        <v>0</v>
      </c>
      <c r="AY45" s="625">
        <f t="shared" si="27"/>
        <v>0</v>
      </c>
      <c r="AZ45" s="626">
        <f t="shared" si="28"/>
        <v>0</v>
      </c>
      <c r="BA45" s="626">
        <f t="shared" si="29"/>
        <v>0</v>
      </c>
      <c r="BB45" s="625">
        <f t="array" ref="BB45">IFERROR(INDEX('Malaria-Pharmaceuticals'!$AE$14:$AE$60,MATCH($E45&amp;$F45,'Malaria-Pharmaceuticals'!$E$14:$E$60&amp;'Malaria-Pharmaceuticals'!$I$14:$I$60,0)),0)</f>
        <v>0</v>
      </c>
      <c r="BC45" s="625">
        <f t="shared" si="30"/>
        <v>0</v>
      </c>
      <c r="BD45" s="626">
        <f t="shared" si="31"/>
        <v>0</v>
      </c>
      <c r="BE45" s="626">
        <f t="shared" si="32"/>
        <v>0</v>
      </c>
      <c r="BF45" s="625">
        <f t="array" ref="BF45">IFERROR(INDEX('Malaria-Pharmaceuticals'!$AF$14:$AF$60,MATCH($E45&amp;$F45,'Malaria-Pharmaceuticals'!$E$14:$E$60&amp;'Malaria-Pharmaceuticals'!$I$14:$I$60,0)),0)</f>
        <v>0</v>
      </c>
      <c r="BG45" s="625">
        <f t="shared" si="33"/>
        <v>0</v>
      </c>
      <c r="BH45" s="626">
        <f t="shared" si="34"/>
        <v>0</v>
      </c>
      <c r="BI45" s="626">
        <f t="shared" si="35"/>
        <v>0</v>
      </c>
      <c r="BK45" s="626"/>
      <c r="BL45" s="626"/>
      <c r="BM45" s="626"/>
      <c r="BN45" s="626"/>
      <c r="BO45" s="626"/>
      <c r="BP45" s="626"/>
      <c r="BQ45" s="626"/>
      <c r="BR45" s="626"/>
      <c r="BT45" s="21" t="s">
        <v>6811</v>
      </c>
    </row>
    <row r="46" spans="1:72">
      <c r="A46" s="32" t="s">
        <v>576</v>
      </c>
      <c r="B46" s="32" t="s">
        <v>522</v>
      </c>
      <c r="C46" s="626">
        <f>SETUP!$F$50</f>
        <v>0</v>
      </c>
      <c r="D46" s="31">
        <v>4.3</v>
      </c>
      <c r="E46" s="32" t="s">
        <v>406</v>
      </c>
      <c r="F46" s="32" t="s">
        <v>1143</v>
      </c>
      <c r="G46" s="625" t="str">
        <f t="array" ref="G46">IFERROR(INDEX('Malaria-Pharmaceuticals'!$L$14:$L$60,MATCH($E46&amp;$F46,'Malaria-Pharmaceuticals'!$E$14:$E$60&amp;'Malaria-Pharmaceuticals'!$I$14:$I$60,0)),"")</f>
        <v/>
      </c>
      <c r="H46" s="625" t="str">
        <f t="array" ref="H46">IFERROR(INDEX('Malaria-Pharmaceuticals'!$M$14:$M$60,MATCH($E46&amp;$F46,'Malaria-Pharmaceuticals'!$E$14:$E$60&amp;'Malaria-Pharmaceuticals'!$I$14:$I$60,0)),"")</f>
        <v/>
      </c>
      <c r="I46" s="625">
        <f t="array" ref="I46">IFERROR(INDEX('Malaria-Pharmaceuticals'!$N$14:$N$60,MATCH($E46&amp;$F46,'Malaria-Pharmaceuticals'!$E$14:$E$60&amp;'Malaria-Pharmaceuticals'!$I$14:$I$60,0)),0)</f>
        <v>0</v>
      </c>
      <c r="J46" s="625">
        <f t="array" ref="J46">IFERROR(INDEX('Malaria-Pharmaceuticals'!$O$14:$O$60,MATCH($E46&amp;$F46,'Malaria-Pharmaceuticals'!$E$14:$E$60&amp;'Malaria-Pharmaceuticals'!$I$14:$I$60,0)),0)</f>
        <v>0</v>
      </c>
      <c r="K46" s="626">
        <f t="shared" si="0"/>
        <v>0</v>
      </c>
      <c r="L46" s="626">
        <f t="shared" si="1"/>
        <v>0</v>
      </c>
      <c r="M46" s="626">
        <f t="shared" si="2"/>
        <v>0</v>
      </c>
      <c r="N46" s="625">
        <f t="array" ref="N46">IFERROR(INDEX('Malaria-Pharmaceuticals'!$P$14:$P$60,MATCH($E46&amp;$F46,'Malaria-Pharmaceuticals'!$E$14:$E$60&amp;'Malaria-Pharmaceuticals'!$I$14:$I$60,0)),0)</f>
        <v>0</v>
      </c>
      <c r="O46" s="626">
        <f t="shared" si="3"/>
        <v>0</v>
      </c>
      <c r="P46" s="626">
        <f t="shared" si="4"/>
        <v>0</v>
      </c>
      <c r="Q46" s="626">
        <f t="shared" si="5"/>
        <v>0</v>
      </c>
      <c r="R46" s="625">
        <f t="array" ref="R46">IFERROR(INDEX('Malaria-Pharmaceuticals'!$Q$14:$Q$60,MATCH($E46&amp;$F46,'Malaria-Pharmaceuticals'!$E$14:$E$60&amp;'Malaria-Pharmaceuticals'!$I$14:$I$60,0)),0)</f>
        <v>0</v>
      </c>
      <c r="S46" s="626">
        <f t="shared" si="6"/>
        <v>0</v>
      </c>
      <c r="T46" s="626">
        <f t="shared" si="7"/>
        <v>0</v>
      </c>
      <c r="U46" s="626">
        <f t="shared" si="8"/>
        <v>0</v>
      </c>
      <c r="V46" s="625">
        <f t="array" ref="V46">IFERROR(INDEX('Malaria-Pharmaceuticals'!$R$14:$R$60,MATCH($E46&amp;$F46,'Malaria-Pharmaceuticals'!$E$14:$E$60&amp;'Malaria-Pharmaceuticals'!$I$14:$I$60,0)),0)</f>
        <v>0</v>
      </c>
      <c r="W46" s="626">
        <f t="shared" si="9"/>
        <v>0</v>
      </c>
      <c r="X46" s="626">
        <f t="shared" si="10"/>
        <v>0</v>
      </c>
      <c r="Y46" s="626">
        <f t="shared" si="11"/>
        <v>0</v>
      </c>
      <c r="Z46" s="627"/>
      <c r="AA46" s="625">
        <f t="array" ref="AA46">IFERROR(INDEX('Malaria-Pharmaceuticals'!$U$14:$U$60,MATCH($E46&amp;$F46,'Malaria-Pharmaceuticals'!$E$14:$E$60&amp;'Malaria-Pharmaceuticals'!$I$14:$I$60,0)),0)</f>
        <v>0</v>
      </c>
      <c r="AB46" s="625">
        <f t="array" ref="AB46">IFERROR(INDEX('Malaria-Pharmaceuticals'!$V$14:$V$60,MATCH($E46&amp;$F46,'Malaria-Pharmaceuticals'!$E$14:$E$60&amp;'Malaria-Pharmaceuticals'!$I$14:$I$60,0)),0)</f>
        <v>0</v>
      </c>
      <c r="AC46" s="625">
        <f t="shared" si="12"/>
        <v>0</v>
      </c>
      <c r="AD46" s="626">
        <f t="shared" si="13"/>
        <v>0</v>
      </c>
      <c r="AE46" s="626">
        <f t="shared" si="14"/>
        <v>0</v>
      </c>
      <c r="AF46" s="625">
        <f t="array" ref="AF46">IFERROR(INDEX('Malaria-Pharmaceuticals'!$W$14:$W$60,MATCH($E46&amp;$F46,'Malaria-Pharmaceuticals'!$E$14:$E$60&amp;'Malaria-Pharmaceuticals'!$I$14:$I$60,0)),0)</f>
        <v>0</v>
      </c>
      <c r="AG46" s="625">
        <f t="shared" si="15"/>
        <v>0</v>
      </c>
      <c r="AH46" s="626">
        <f t="shared" si="16"/>
        <v>0</v>
      </c>
      <c r="AI46" s="626">
        <f t="shared" si="17"/>
        <v>0</v>
      </c>
      <c r="AJ46" s="625">
        <f t="array" ref="AJ46">IFERROR(INDEX('Malaria-Pharmaceuticals'!$X$14:$X$60,MATCH($E46&amp;$F46,'Malaria-Pharmaceuticals'!$E$14:$E$60&amp;'Malaria-Pharmaceuticals'!$I$14:$I$60,0)),0)</f>
        <v>0</v>
      </c>
      <c r="AK46" s="625">
        <f t="shared" si="18"/>
        <v>0</v>
      </c>
      <c r="AL46" s="626">
        <f t="shared" si="19"/>
        <v>0</v>
      </c>
      <c r="AM46" s="626">
        <f t="shared" si="20"/>
        <v>0</v>
      </c>
      <c r="AN46" s="625">
        <f t="array" ref="AN46">IFERROR(INDEX('Malaria-Pharmaceuticals'!$Y$14:$Y$60,MATCH($E46&amp;$F46,'Malaria-Pharmaceuticals'!$E$14:$E$60&amp;'Malaria-Pharmaceuticals'!$I$14:$I$60,0)),0)</f>
        <v>0</v>
      </c>
      <c r="AO46" s="625">
        <f t="shared" si="21"/>
        <v>0</v>
      </c>
      <c r="AP46" s="626">
        <f t="shared" si="22"/>
        <v>0</v>
      </c>
      <c r="AQ46" s="626">
        <f t="shared" si="23"/>
        <v>0</v>
      </c>
      <c r="AR46" s="627"/>
      <c r="AS46" s="625">
        <f t="array" ref="AS46">IFERROR(INDEX('Malaria-Pharmaceuticals'!$AB$14:$AB$60,MATCH($E46&amp;$F46,'Malaria-Pharmaceuticals'!$E$14:$E$60&amp;'Malaria-Pharmaceuticals'!$I$14:$I$60,0)),0)</f>
        <v>0</v>
      </c>
      <c r="AT46" s="625">
        <f t="array" ref="AT46">IFERROR(INDEX('Malaria-Pharmaceuticals'!$AC$14:$AC$60,MATCH($E46&amp;$F46,'Malaria-Pharmaceuticals'!$E$14:$E$60&amp;'Malaria-Pharmaceuticals'!$I$14:$I$60,0)),0)</f>
        <v>0</v>
      </c>
      <c r="AU46" s="625">
        <f t="shared" si="24"/>
        <v>0</v>
      </c>
      <c r="AV46" s="626">
        <f t="shared" si="25"/>
        <v>0</v>
      </c>
      <c r="AW46" s="626">
        <f t="shared" si="26"/>
        <v>0</v>
      </c>
      <c r="AX46" s="625">
        <f t="array" ref="AX46">IFERROR(INDEX('Malaria-Pharmaceuticals'!$AD$14:$AD$60,MATCH($E46&amp;$F46,'Malaria-Pharmaceuticals'!$E$14:$E$60&amp;'Malaria-Pharmaceuticals'!$I$14:$I$60,0)),0)</f>
        <v>0</v>
      </c>
      <c r="AY46" s="625">
        <f t="shared" si="27"/>
        <v>0</v>
      </c>
      <c r="AZ46" s="626">
        <f t="shared" si="28"/>
        <v>0</v>
      </c>
      <c r="BA46" s="626">
        <f t="shared" si="29"/>
        <v>0</v>
      </c>
      <c r="BB46" s="625">
        <f t="array" ref="BB46">IFERROR(INDEX('Malaria-Pharmaceuticals'!$AE$14:$AE$60,MATCH($E46&amp;$F46,'Malaria-Pharmaceuticals'!$E$14:$E$60&amp;'Malaria-Pharmaceuticals'!$I$14:$I$60,0)),0)</f>
        <v>0</v>
      </c>
      <c r="BC46" s="625">
        <f t="shared" si="30"/>
        <v>0</v>
      </c>
      <c r="BD46" s="626">
        <f t="shared" si="31"/>
        <v>0</v>
      </c>
      <c r="BE46" s="626">
        <f t="shared" si="32"/>
        <v>0</v>
      </c>
      <c r="BF46" s="625">
        <f t="array" ref="BF46">IFERROR(INDEX('Malaria-Pharmaceuticals'!$AF$14:$AF$60,MATCH($E46&amp;$F46,'Malaria-Pharmaceuticals'!$E$14:$E$60&amp;'Malaria-Pharmaceuticals'!$I$14:$I$60,0)),0)</f>
        <v>0</v>
      </c>
      <c r="BG46" s="625">
        <f t="shared" si="33"/>
        <v>0</v>
      </c>
      <c r="BH46" s="626">
        <f t="shared" si="34"/>
        <v>0</v>
      </c>
      <c r="BI46" s="626">
        <f t="shared" si="35"/>
        <v>0</v>
      </c>
      <c r="BK46" s="626"/>
      <c r="BL46" s="626"/>
      <c r="BM46" s="626"/>
      <c r="BN46" s="626"/>
      <c r="BO46" s="626"/>
      <c r="BP46" s="626"/>
      <c r="BQ46" s="626"/>
      <c r="BR46" s="626"/>
      <c r="BT46" s="21" t="s">
        <v>6811</v>
      </c>
    </row>
    <row r="47" spans="1:72">
      <c r="A47" s="32" t="s">
        <v>576</v>
      </c>
      <c r="B47" s="32" t="s">
        <v>522</v>
      </c>
      <c r="C47" s="626">
        <f>SETUP!$F$50</f>
        <v>0</v>
      </c>
      <c r="D47" s="31">
        <v>4.3</v>
      </c>
      <c r="E47" s="32" t="s">
        <v>406</v>
      </c>
      <c r="F47" s="32" t="s">
        <v>1144</v>
      </c>
      <c r="G47" s="625" t="str">
        <f t="array" ref="G47">IFERROR(INDEX('Malaria-Pharmaceuticals'!$L$14:$L$60,MATCH($E47&amp;$F47,'Malaria-Pharmaceuticals'!$E$14:$E$60&amp;'Malaria-Pharmaceuticals'!$I$14:$I$60,0)),"")</f>
        <v/>
      </c>
      <c r="H47" s="625" t="str">
        <f t="array" ref="H47">IFERROR(INDEX('Malaria-Pharmaceuticals'!$M$14:$M$60,MATCH($E47&amp;$F47,'Malaria-Pharmaceuticals'!$E$14:$E$60&amp;'Malaria-Pharmaceuticals'!$I$14:$I$60,0)),"")</f>
        <v/>
      </c>
      <c r="I47" s="625">
        <f t="array" ref="I47">IFERROR(INDEX('Malaria-Pharmaceuticals'!$N$14:$N$60,MATCH($E47&amp;$F47,'Malaria-Pharmaceuticals'!$E$14:$E$60&amp;'Malaria-Pharmaceuticals'!$I$14:$I$60,0)),0)</f>
        <v>0</v>
      </c>
      <c r="J47" s="625">
        <f t="array" ref="J47">IFERROR(INDEX('Malaria-Pharmaceuticals'!$O$14:$O$60,MATCH($E47&amp;$F47,'Malaria-Pharmaceuticals'!$E$14:$E$60&amp;'Malaria-Pharmaceuticals'!$I$14:$I$60,0)),0)</f>
        <v>0</v>
      </c>
      <c r="K47" s="626">
        <f t="shared" si="0"/>
        <v>0</v>
      </c>
      <c r="L47" s="626">
        <f t="shared" si="1"/>
        <v>0</v>
      </c>
      <c r="M47" s="626">
        <f t="shared" si="2"/>
        <v>0</v>
      </c>
      <c r="N47" s="625">
        <f t="array" ref="N47">IFERROR(INDEX('Malaria-Pharmaceuticals'!$P$14:$P$60,MATCH($E47&amp;$F47,'Malaria-Pharmaceuticals'!$E$14:$E$60&amp;'Malaria-Pharmaceuticals'!$I$14:$I$60,0)),0)</f>
        <v>0</v>
      </c>
      <c r="O47" s="626">
        <f t="shared" si="3"/>
        <v>0</v>
      </c>
      <c r="P47" s="626">
        <f t="shared" si="4"/>
        <v>0</v>
      </c>
      <c r="Q47" s="626">
        <f t="shared" si="5"/>
        <v>0</v>
      </c>
      <c r="R47" s="625">
        <f t="array" ref="R47">IFERROR(INDEX('Malaria-Pharmaceuticals'!$Q$14:$Q$60,MATCH($E47&amp;$F47,'Malaria-Pharmaceuticals'!$E$14:$E$60&amp;'Malaria-Pharmaceuticals'!$I$14:$I$60,0)),0)</f>
        <v>0</v>
      </c>
      <c r="S47" s="626">
        <f t="shared" si="6"/>
        <v>0</v>
      </c>
      <c r="T47" s="626">
        <f t="shared" si="7"/>
        <v>0</v>
      </c>
      <c r="U47" s="626">
        <f t="shared" si="8"/>
        <v>0</v>
      </c>
      <c r="V47" s="625">
        <f t="array" ref="V47">IFERROR(INDEX('Malaria-Pharmaceuticals'!$R$14:$R$60,MATCH($E47&amp;$F47,'Malaria-Pharmaceuticals'!$E$14:$E$60&amp;'Malaria-Pharmaceuticals'!$I$14:$I$60,0)),0)</f>
        <v>0</v>
      </c>
      <c r="W47" s="626">
        <f t="shared" si="9"/>
        <v>0</v>
      </c>
      <c r="X47" s="626">
        <f t="shared" si="10"/>
        <v>0</v>
      </c>
      <c r="Y47" s="626">
        <f t="shared" si="11"/>
        <v>0</v>
      </c>
      <c r="Z47" s="627"/>
      <c r="AA47" s="625">
        <f t="array" ref="AA47">IFERROR(INDEX('Malaria-Pharmaceuticals'!$U$14:$U$60,MATCH($E47&amp;$F47,'Malaria-Pharmaceuticals'!$E$14:$E$60&amp;'Malaria-Pharmaceuticals'!$I$14:$I$60,0)),0)</f>
        <v>0</v>
      </c>
      <c r="AB47" s="625">
        <f t="array" ref="AB47">IFERROR(INDEX('Malaria-Pharmaceuticals'!$V$14:$V$60,MATCH($E47&amp;$F47,'Malaria-Pharmaceuticals'!$E$14:$E$60&amp;'Malaria-Pharmaceuticals'!$I$14:$I$60,0)),0)</f>
        <v>0</v>
      </c>
      <c r="AC47" s="625">
        <f t="shared" si="12"/>
        <v>0</v>
      </c>
      <c r="AD47" s="626">
        <f t="shared" si="13"/>
        <v>0</v>
      </c>
      <c r="AE47" s="626">
        <f t="shared" si="14"/>
        <v>0</v>
      </c>
      <c r="AF47" s="625">
        <f t="array" ref="AF47">IFERROR(INDEX('Malaria-Pharmaceuticals'!$W$14:$W$60,MATCH($E47&amp;$F47,'Malaria-Pharmaceuticals'!$E$14:$E$60&amp;'Malaria-Pharmaceuticals'!$I$14:$I$60,0)),0)</f>
        <v>0</v>
      </c>
      <c r="AG47" s="625">
        <f t="shared" si="15"/>
        <v>0</v>
      </c>
      <c r="AH47" s="626">
        <f t="shared" si="16"/>
        <v>0</v>
      </c>
      <c r="AI47" s="626">
        <f t="shared" si="17"/>
        <v>0</v>
      </c>
      <c r="AJ47" s="625">
        <f t="array" ref="AJ47">IFERROR(INDEX('Malaria-Pharmaceuticals'!$X$14:$X$60,MATCH($E47&amp;$F47,'Malaria-Pharmaceuticals'!$E$14:$E$60&amp;'Malaria-Pharmaceuticals'!$I$14:$I$60,0)),0)</f>
        <v>0</v>
      </c>
      <c r="AK47" s="625">
        <f t="shared" si="18"/>
        <v>0</v>
      </c>
      <c r="AL47" s="626">
        <f t="shared" si="19"/>
        <v>0</v>
      </c>
      <c r="AM47" s="626">
        <f t="shared" si="20"/>
        <v>0</v>
      </c>
      <c r="AN47" s="625">
        <f t="array" ref="AN47">IFERROR(INDEX('Malaria-Pharmaceuticals'!$Y$14:$Y$60,MATCH($E47&amp;$F47,'Malaria-Pharmaceuticals'!$E$14:$E$60&amp;'Malaria-Pharmaceuticals'!$I$14:$I$60,0)),0)</f>
        <v>0</v>
      </c>
      <c r="AO47" s="625">
        <f t="shared" si="21"/>
        <v>0</v>
      </c>
      <c r="AP47" s="626">
        <f t="shared" si="22"/>
        <v>0</v>
      </c>
      <c r="AQ47" s="626">
        <f t="shared" si="23"/>
        <v>0</v>
      </c>
      <c r="AR47" s="627"/>
      <c r="AS47" s="625">
        <f t="array" ref="AS47">IFERROR(INDEX('Malaria-Pharmaceuticals'!$AB$14:$AB$60,MATCH($E47&amp;$F47,'Malaria-Pharmaceuticals'!$E$14:$E$60&amp;'Malaria-Pharmaceuticals'!$I$14:$I$60,0)),0)</f>
        <v>0</v>
      </c>
      <c r="AT47" s="625">
        <f t="array" ref="AT47">IFERROR(INDEX('Malaria-Pharmaceuticals'!$AC$14:$AC$60,MATCH($E47&amp;$F47,'Malaria-Pharmaceuticals'!$E$14:$E$60&amp;'Malaria-Pharmaceuticals'!$I$14:$I$60,0)),0)</f>
        <v>0</v>
      </c>
      <c r="AU47" s="625">
        <f t="shared" si="24"/>
        <v>0</v>
      </c>
      <c r="AV47" s="626">
        <f t="shared" si="25"/>
        <v>0</v>
      </c>
      <c r="AW47" s="626">
        <f t="shared" si="26"/>
        <v>0</v>
      </c>
      <c r="AX47" s="625">
        <f t="array" ref="AX47">IFERROR(INDEX('Malaria-Pharmaceuticals'!$AD$14:$AD$60,MATCH($E47&amp;$F47,'Malaria-Pharmaceuticals'!$E$14:$E$60&amp;'Malaria-Pharmaceuticals'!$I$14:$I$60,0)),0)</f>
        <v>0</v>
      </c>
      <c r="AY47" s="625">
        <f t="shared" si="27"/>
        <v>0</v>
      </c>
      <c r="AZ47" s="626">
        <f t="shared" si="28"/>
        <v>0</v>
      </c>
      <c r="BA47" s="626">
        <f t="shared" si="29"/>
        <v>0</v>
      </c>
      <c r="BB47" s="625">
        <f t="array" ref="BB47">IFERROR(INDEX('Malaria-Pharmaceuticals'!$AE$14:$AE$60,MATCH($E47&amp;$F47,'Malaria-Pharmaceuticals'!$E$14:$E$60&amp;'Malaria-Pharmaceuticals'!$I$14:$I$60,0)),0)</f>
        <v>0</v>
      </c>
      <c r="BC47" s="625">
        <f t="shared" si="30"/>
        <v>0</v>
      </c>
      <c r="BD47" s="626">
        <f t="shared" si="31"/>
        <v>0</v>
      </c>
      <c r="BE47" s="626">
        <f t="shared" si="32"/>
        <v>0</v>
      </c>
      <c r="BF47" s="625">
        <f t="array" ref="BF47">IFERROR(INDEX('Malaria-Pharmaceuticals'!$AF$14:$AF$60,MATCH($E47&amp;$F47,'Malaria-Pharmaceuticals'!$E$14:$E$60&amp;'Malaria-Pharmaceuticals'!$I$14:$I$60,0)),0)</f>
        <v>0</v>
      </c>
      <c r="BG47" s="625">
        <f t="shared" si="33"/>
        <v>0</v>
      </c>
      <c r="BH47" s="626">
        <f t="shared" si="34"/>
        <v>0</v>
      </c>
      <c r="BI47" s="626">
        <f t="shared" si="35"/>
        <v>0</v>
      </c>
      <c r="BK47" s="626"/>
      <c r="BL47" s="626"/>
      <c r="BM47" s="626"/>
      <c r="BN47" s="626"/>
      <c r="BO47" s="626"/>
      <c r="BP47" s="626"/>
      <c r="BQ47" s="626"/>
      <c r="BR47" s="626"/>
      <c r="BT47" s="21" t="s">
        <v>6811</v>
      </c>
    </row>
    <row r="48" spans="1:72">
      <c r="A48" s="32" t="s">
        <v>576</v>
      </c>
      <c r="B48" s="32" t="s">
        <v>522</v>
      </c>
      <c r="C48" s="626">
        <f>SETUP!$F$50</f>
        <v>0</v>
      </c>
      <c r="D48" s="31">
        <v>4.3</v>
      </c>
      <c r="E48" s="32" t="s">
        <v>406</v>
      </c>
      <c r="F48" s="32" t="s">
        <v>1145</v>
      </c>
      <c r="G48" s="625" t="str">
        <f t="array" ref="G48">IFERROR(INDEX('Malaria-Pharmaceuticals'!$L$14:$L$60,MATCH($E48&amp;$F48,'Malaria-Pharmaceuticals'!$E$14:$E$60&amp;'Malaria-Pharmaceuticals'!$I$14:$I$60,0)),"")</f>
        <v/>
      </c>
      <c r="H48" s="625" t="str">
        <f t="array" ref="H48">IFERROR(INDEX('Malaria-Pharmaceuticals'!$M$14:$M$60,MATCH($E48&amp;$F48,'Malaria-Pharmaceuticals'!$E$14:$E$60&amp;'Malaria-Pharmaceuticals'!$I$14:$I$60,0)),"")</f>
        <v/>
      </c>
      <c r="I48" s="625">
        <f t="array" ref="I48">IFERROR(INDEX('Malaria-Pharmaceuticals'!$N$14:$N$60,MATCH($E48&amp;$F48,'Malaria-Pharmaceuticals'!$E$14:$E$60&amp;'Malaria-Pharmaceuticals'!$I$14:$I$60,0)),0)</f>
        <v>0</v>
      </c>
      <c r="J48" s="625">
        <f t="array" ref="J48">IFERROR(INDEX('Malaria-Pharmaceuticals'!$O$14:$O$60,MATCH($E48&amp;$F48,'Malaria-Pharmaceuticals'!$E$14:$E$60&amp;'Malaria-Pharmaceuticals'!$I$14:$I$60,0)),0)</f>
        <v>0</v>
      </c>
      <c r="K48" s="626">
        <f t="shared" si="0"/>
        <v>0</v>
      </c>
      <c r="L48" s="626">
        <f t="shared" si="1"/>
        <v>0</v>
      </c>
      <c r="M48" s="626">
        <f t="shared" si="2"/>
        <v>0</v>
      </c>
      <c r="N48" s="625">
        <f t="array" ref="N48">IFERROR(INDEX('Malaria-Pharmaceuticals'!$P$14:$P$60,MATCH($E48&amp;$F48,'Malaria-Pharmaceuticals'!$E$14:$E$60&amp;'Malaria-Pharmaceuticals'!$I$14:$I$60,0)),0)</f>
        <v>0</v>
      </c>
      <c r="O48" s="626">
        <f t="shared" si="3"/>
        <v>0</v>
      </c>
      <c r="P48" s="626">
        <f t="shared" si="4"/>
        <v>0</v>
      </c>
      <c r="Q48" s="626">
        <f t="shared" si="5"/>
        <v>0</v>
      </c>
      <c r="R48" s="625">
        <f t="array" ref="R48">IFERROR(INDEX('Malaria-Pharmaceuticals'!$Q$14:$Q$60,MATCH($E48&amp;$F48,'Malaria-Pharmaceuticals'!$E$14:$E$60&amp;'Malaria-Pharmaceuticals'!$I$14:$I$60,0)),0)</f>
        <v>0</v>
      </c>
      <c r="S48" s="626">
        <f t="shared" si="6"/>
        <v>0</v>
      </c>
      <c r="T48" s="626">
        <f t="shared" si="7"/>
        <v>0</v>
      </c>
      <c r="U48" s="626">
        <f t="shared" si="8"/>
        <v>0</v>
      </c>
      <c r="V48" s="625">
        <f t="array" ref="V48">IFERROR(INDEX('Malaria-Pharmaceuticals'!$R$14:$R$60,MATCH($E48&amp;$F48,'Malaria-Pharmaceuticals'!$E$14:$E$60&amp;'Malaria-Pharmaceuticals'!$I$14:$I$60,0)),0)</f>
        <v>0</v>
      </c>
      <c r="W48" s="626">
        <f t="shared" si="9"/>
        <v>0</v>
      </c>
      <c r="X48" s="626">
        <f t="shared" si="10"/>
        <v>0</v>
      </c>
      <c r="Y48" s="626">
        <f t="shared" si="11"/>
        <v>0</v>
      </c>
      <c r="Z48" s="627"/>
      <c r="AA48" s="625">
        <f t="array" ref="AA48">IFERROR(INDEX('Malaria-Pharmaceuticals'!$U$14:$U$60,MATCH($E48&amp;$F48,'Malaria-Pharmaceuticals'!$E$14:$E$60&amp;'Malaria-Pharmaceuticals'!$I$14:$I$60,0)),0)</f>
        <v>0</v>
      </c>
      <c r="AB48" s="625">
        <f t="array" ref="AB48">IFERROR(INDEX('Malaria-Pharmaceuticals'!$V$14:$V$60,MATCH($E48&amp;$F48,'Malaria-Pharmaceuticals'!$E$14:$E$60&amp;'Malaria-Pharmaceuticals'!$I$14:$I$60,0)),0)</f>
        <v>0</v>
      </c>
      <c r="AC48" s="625">
        <f t="shared" si="12"/>
        <v>0</v>
      </c>
      <c r="AD48" s="626">
        <f t="shared" si="13"/>
        <v>0</v>
      </c>
      <c r="AE48" s="626">
        <f t="shared" si="14"/>
        <v>0</v>
      </c>
      <c r="AF48" s="625">
        <f t="array" ref="AF48">IFERROR(INDEX('Malaria-Pharmaceuticals'!$W$14:$W$60,MATCH($E48&amp;$F48,'Malaria-Pharmaceuticals'!$E$14:$E$60&amp;'Malaria-Pharmaceuticals'!$I$14:$I$60,0)),0)</f>
        <v>0</v>
      </c>
      <c r="AG48" s="625">
        <f t="shared" si="15"/>
        <v>0</v>
      </c>
      <c r="AH48" s="626">
        <f t="shared" si="16"/>
        <v>0</v>
      </c>
      <c r="AI48" s="626">
        <f t="shared" si="17"/>
        <v>0</v>
      </c>
      <c r="AJ48" s="625">
        <f t="array" ref="AJ48">IFERROR(INDEX('Malaria-Pharmaceuticals'!$X$14:$X$60,MATCH($E48&amp;$F48,'Malaria-Pharmaceuticals'!$E$14:$E$60&amp;'Malaria-Pharmaceuticals'!$I$14:$I$60,0)),0)</f>
        <v>0</v>
      </c>
      <c r="AK48" s="625">
        <f t="shared" si="18"/>
        <v>0</v>
      </c>
      <c r="AL48" s="626">
        <f t="shared" si="19"/>
        <v>0</v>
      </c>
      <c r="AM48" s="626">
        <f t="shared" si="20"/>
        <v>0</v>
      </c>
      <c r="AN48" s="625">
        <f t="array" ref="AN48">IFERROR(INDEX('Malaria-Pharmaceuticals'!$Y$14:$Y$60,MATCH($E48&amp;$F48,'Malaria-Pharmaceuticals'!$E$14:$E$60&amp;'Malaria-Pharmaceuticals'!$I$14:$I$60,0)),0)</f>
        <v>0</v>
      </c>
      <c r="AO48" s="625">
        <f t="shared" si="21"/>
        <v>0</v>
      </c>
      <c r="AP48" s="626">
        <f t="shared" si="22"/>
        <v>0</v>
      </c>
      <c r="AQ48" s="626">
        <f t="shared" si="23"/>
        <v>0</v>
      </c>
      <c r="AR48" s="627"/>
      <c r="AS48" s="625">
        <f t="array" ref="AS48">IFERROR(INDEX('Malaria-Pharmaceuticals'!$AB$14:$AB$60,MATCH($E48&amp;$F48,'Malaria-Pharmaceuticals'!$E$14:$E$60&amp;'Malaria-Pharmaceuticals'!$I$14:$I$60,0)),0)</f>
        <v>0</v>
      </c>
      <c r="AT48" s="625">
        <f t="array" ref="AT48">IFERROR(INDEX('Malaria-Pharmaceuticals'!$AC$14:$AC$60,MATCH($E48&amp;$F48,'Malaria-Pharmaceuticals'!$E$14:$E$60&amp;'Malaria-Pharmaceuticals'!$I$14:$I$60,0)),0)</f>
        <v>0</v>
      </c>
      <c r="AU48" s="625">
        <f t="shared" si="24"/>
        <v>0</v>
      </c>
      <c r="AV48" s="626">
        <f t="shared" si="25"/>
        <v>0</v>
      </c>
      <c r="AW48" s="626">
        <f t="shared" si="26"/>
        <v>0</v>
      </c>
      <c r="AX48" s="625">
        <f t="array" ref="AX48">IFERROR(INDEX('Malaria-Pharmaceuticals'!$AD$14:$AD$60,MATCH($E48&amp;$F48,'Malaria-Pharmaceuticals'!$E$14:$E$60&amp;'Malaria-Pharmaceuticals'!$I$14:$I$60,0)),0)</f>
        <v>0</v>
      </c>
      <c r="AY48" s="625">
        <f t="shared" si="27"/>
        <v>0</v>
      </c>
      <c r="AZ48" s="626">
        <f t="shared" si="28"/>
        <v>0</v>
      </c>
      <c r="BA48" s="626">
        <f t="shared" si="29"/>
        <v>0</v>
      </c>
      <c r="BB48" s="625">
        <f t="array" ref="BB48">IFERROR(INDEX('Malaria-Pharmaceuticals'!$AE$14:$AE$60,MATCH($E48&amp;$F48,'Malaria-Pharmaceuticals'!$E$14:$E$60&amp;'Malaria-Pharmaceuticals'!$I$14:$I$60,0)),0)</f>
        <v>0</v>
      </c>
      <c r="BC48" s="625">
        <f t="shared" si="30"/>
        <v>0</v>
      </c>
      <c r="BD48" s="626">
        <f t="shared" si="31"/>
        <v>0</v>
      </c>
      <c r="BE48" s="626">
        <f t="shared" si="32"/>
        <v>0</v>
      </c>
      <c r="BF48" s="625">
        <f t="array" ref="BF48">IFERROR(INDEX('Malaria-Pharmaceuticals'!$AF$14:$AF$60,MATCH($E48&amp;$F48,'Malaria-Pharmaceuticals'!$E$14:$E$60&amp;'Malaria-Pharmaceuticals'!$I$14:$I$60,0)),0)</f>
        <v>0</v>
      </c>
      <c r="BG48" s="625">
        <f t="shared" si="33"/>
        <v>0</v>
      </c>
      <c r="BH48" s="626">
        <f t="shared" si="34"/>
        <v>0</v>
      </c>
      <c r="BI48" s="626">
        <f t="shared" si="35"/>
        <v>0</v>
      </c>
      <c r="BK48" s="626"/>
      <c r="BL48" s="626"/>
      <c r="BM48" s="626"/>
      <c r="BN48" s="626"/>
      <c r="BO48" s="626"/>
      <c r="BP48" s="626"/>
      <c r="BQ48" s="626"/>
      <c r="BR48" s="626"/>
      <c r="BT48" s="21" t="s">
        <v>6811</v>
      </c>
    </row>
    <row r="49" spans="1:72">
      <c r="A49" s="32" t="s">
        <v>576</v>
      </c>
      <c r="B49" s="32" t="s">
        <v>522</v>
      </c>
      <c r="C49" s="626">
        <f>SETUP!$F$50</f>
        <v>0</v>
      </c>
      <c r="D49" s="31">
        <v>4.3</v>
      </c>
      <c r="E49" s="32" t="s">
        <v>388</v>
      </c>
      <c r="F49" s="32" t="s">
        <v>1146</v>
      </c>
      <c r="G49" s="625" t="str">
        <f t="array" ref="G49">IFERROR(INDEX('Malaria-Pharmaceuticals'!$L$14:$L$60,MATCH($E49&amp;$F49,'Malaria-Pharmaceuticals'!$E$14:$E$60&amp;'Malaria-Pharmaceuticals'!$I$14:$I$60,0)),"")</f>
        <v/>
      </c>
      <c r="H49" s="625" t="str">
        <f t="array" ref="H49">IFERROR(INDEX('Malaria-Pharmaceuticals'!$M$14:$M$60,MATCH($E49&amp;$F49,'Malaria-Pharmaceuticals'!$E$14:$E$60&amp;'Malaria-Pharmaceuticals'!$I$14:$I$60,0)),"")</f>
        <v/>
      </c>
      <c r="I49" s="625">
        <f t="array" ref="I49">IFERROR(INDEX('Malaria-Pharmaceuticals'!$N$14:$N$60,MATCH($E49&amp;$F49,'Malaria-Pharmaceuticals'!$E$14:$E$60&amp;'Malaria-Pharmaceuticals'!$I$14:$I$60,0)),0)</f>
        <v>0</v>
      </c>
      <c r="J49" s="625">
        <f t="array" ref="J49">IFERROR(INDEX('Malaria-Pharmaceuticals'!$O$14:$O$60,MATCH($E49&amp;$F49,'Malaria-Pharmaceuticals'!$E$14:$E$60&amp;'Malaria-Pharmaceuticals'!$I$14:$I$60,0)),0)</f>
        <v>0</v>
      </c>
      <c r="K49" s="626">
        <f t="shared" si="0"/>
        <v>0</v>
      </c>
      <c r="L49" s="626">
        <f t="shared" si="1"/>
        <v>0</v>
      </c>
      <c r="M49" s="626">
        <f t="shared" si="2"/>
        <v>0</v>
      </c>
      <c r="N49" s="625">
        <f t="array" ref="N49">IFERROR(INDEX('Malaria-Pharmaceuticals'!$P$14:$P$60,MATCH($E49&amp;$F49,'Malaria-Pharmaceuticals'!$E$14:$E$60&amp;'Malaria-Pharmaceuticals'!$I$14:$I$60,0)),0)</f>
        <v>0</v>
      </c>
      <c r="O49" s="626">
        <f t="shared" si="3"/>
        <v>0</v>
      </c>
      <c r="P49" s="626">
        <f t="shared" si="4"/>
        <v>0</v>
      </c>
      <c r="Q49" s="626">
        <f t="shared" si="5"/>
        <v>0</v>
      </c>
      <c r="R49" s="625">
        <f t="array" ref="R49">IFERROR(INDEX('Malaria-Pharmaceuticals'!$Q$14:$Q$60,MATCH($E49&amp;$F49,'Malaria-Pharmaceuticals'!$E$14:$E$60&amp;'Malaria-Pharmaceuticals'!$I$14:$I$60,0)),0)</f>
        <v>0</v>
      </c>
      <c r="S49" s="626">
        <f t="shared" si="6"/>
        <v>0</v>
      </c>
      <c r="T49" s="626">
        <f t="shared" si="7"/>
        <v>0</v>
      </c>
      <c r="U49" s="626">
        <f t="shared" si="8"/>
        <v>0</v>
      </c>
      <c r="V49" s="625">
        <f t="array" ref="V49">IFERROR(INDEX('Malaria-Pharmaceuticals'!$R$14:$R$60,MATCH($E49&amp;$F49,'Malaria-Pharmaceuticals'!$E$14:$E$60&amp;'Malaria-Pharmaceuticals'!$I$14:$I$60,0)),0)</f>
        <v>0</v>
      </c>
      <c r="W49" s="626">
        <f t="shared" si="9"/>
        <v>0</v>
      </c>
      <c r="X49" s="626">
        <f t="shared" si="10"/>
        <v>0</v>
      </c>
      <c r="Y49" s="626">
        <f t="shared" si="11"/>
        <v>0</v>
      </c>
      <c r="Z49" s="627"/>
      <c r="AA49" s="625">
        <f t="array" ref="AA49">IFERROR(INDEX('Malaria-Pharmaceuticals'!$U$14:$U$60,MATCH($E49&amp;$F49,'Malaria-Pharmaceuticals'!$E$14:$E$60&amp;'Malaria-Pharmaceuticals'!$I$14:$I$60,0)),0)</f>
        <v>0</v>
      </c>
      <c r="AB49" s="625">
        <f t="array" ref="AB49">IFERROR(INDEX('Malaria-Pharmaceuticals'!$V$14:$V$60,MATCH($E49&amp;$F49,'Malaria-Pharmaceuticals'!$E$14:$E$60&amp;'Malaria-Pharmaceuticals'!$I$14:$I$60,0)),0)</f>
        <v>0</v>
      </c>
      <c r="AC49" s="625">
        <f t="shared" si="12"/>
        <v>0</v>
      </c>
      <c r="AD49" s="626">
        <f t="shared" si="13"/>
        <v>0</v>
      </c>
      <c r="AE49" s="626">
        <f t="shared" si="14"/>
        <v>0</v>
      </c>
      <c r="AF49" s="625">
        <f t="array" ref="AF49">IFERROR(INDEX('Malaria-Pharmaceuticals'!$W$14:$W$60,MATCH($E49&amp;$F49,'Malaria-Pharmaceuticals'!$E$14:$E$60&amp;'Malaria-Pharmaceuticals'!$I$14:$I$60,0)),0)</f>
        <v>0</v>
      </c>
      <c r="AG49" s="625">
        <f t="shared" si="15"/>
        <v>0</v>
      </c>
      <c r="AH49" s="626">
        <f t="shared" si="16"/>
        <v>0</v>
      </c>
      <c r="AI49" s="626">
        <f t="shared" si="17"/>
        <v>0</v>
      </c>
      <c r="AJ49" s="625">
        <f t="array" ref="AJ49">IFERROR(INDEX('Malaria-Pharmaceuticals'!$X$14:$X$60,MATCH($E49&amp;$F49,'Malaria-Pharmaceuticals'!$E$14:$E$60&amp;'Malaria-Pharmaceuticals'!$I$14:$I$60,0)),0)</f>
        <v>0</v>
      </c>
      <c r="AK49" s="625">
        <f t="shared" si="18"/>
        <v>0</v>
      </c>
      <c r="AL49" s="626">
        <f t="shared" si="19"/>
        <v>0</v>
      </c>
      <c r="AM49" s="626">
        <f t="shared" si="20"/>
        <v>0</v>
      </c>
      <c r="AN49" s="625">
        <f t="array" ref="AN49">IFERROR(INDEX('Malaria-Pharmaceuticals'!$Y$14:$Y$60,MATCH($E49&amp;$F49,'Malaria-Pharmaceuticals'!$E$14:$E$60&amp;'Malaria-Pharmaceuticals'!$I$14:$I$60,0)),0)</f>
        <v>0</v>
      </c>
      <c r="AO49" s="625">
        <f t="shared" si="21"/>
        <v>0</v>
      </c>
      <c r="AP49" s="626">
        <f t="shared" si="22"/>
        <v>0</v>
      </c>
      <c r="AQ49" s="626">
        <f t="shared" si="23"/>
        <v>0</v>
      </c>
      <c r="AR49" s="627"/>
      <c r="AS49" s="625">
        <f t="array" ref="AS49">IFERROR(INDEX('Malaria-Pharmaceuticals'!$AB$14:$AB$60,MATCH($E49&amp;$F49,'Malaria-Pharmaceuticals'!$E$14:$E$60&amp;'Malaria-Pharmaceuticals'!$I$14:$I$60,0)),0)</f>
        <v>0</v>
      </c>
      <c r="AT49" s="625">
        <f t="array" ref="AT49">IFERROR(INDEX('Malaria-Pharmaceuticals'!$AC$14:$AC$60,MATCH($E49&amp;$F49,'Malaria-Pharmaceuticals'!$E$14:$E$60&amp;'Malaria-Pharmaceuticals'!$I$14:$I$60,0)),0)</f>
        <v>0</v>
      </c>
      <c r="AU49" s="625">
        <f t="shared" si="24"/>
        <v>0</v>
      </c>
      <c r="AV49" s="626">
        <f t="shared" si="25"/>
        <v>0</v>
      </c>
      <c r="AW49" s="626">
        <f t="shared" si="26"/>
        <v>0</v>
      </c>
      <c r="AX49" s="625">
        <f t="array" ref="AX49">IFERROR(INDEX('Malaria-Pharmaceuticals'!$AD$14:$AD$60,MATCH($E49&amp;$F49,'Malaria-Pharmaceuticals'!$E$14:$E$60&amp;'Malaria-Pharmaceuticals'!$I$14:$I$60,0)),0)</f>
        <v>0</v>
      </c>
      <c r="AY49" s="625">
        <f t="shared" si="27"/>
        <v>0</v>
      </c>
      <c r="AZ49" s="626">
        <f t="shared" si="28"/>
        <v>0</v>
      </c>
      <c r="BA49" s="626">
        <f t="shared" si="29"/>
        <v>0</v>
      </c>
      <c r="BB49" s="625">
        <f t="array" ref="BB49">IFERROR(INDEX('Malaria-Pharmaceuticals'!$AE$14:$AE$60,MATCH($E49&amp;$F49,'Malaria-Pharmaceuticals'!$E$14:$E$60&amp;'Malaria-Pharmaceuticals'!$I$14:$I$60,0)),0)</f>
        <v>0</v>
      </c>
      <c r="BC49" s="625">
        <f t="shared" si="30"/>
        <v>0</v>
      </c>
      <c r="BD49" s="626">
        <f t="shared" si="31"/>
        <v>0</v>
      </c>
      <c r="BE49" s="626">
        <f t="shared" si="32"/>
        <v>0</v>
      </c>
      <c r="BF49" s="625">
        <f t="array" ref="BF49">IFERROR(INDEX('Malaria-Pharmaceuticals'!$AF$14:$AF$60,MATCH($E49&amp;$F49,'Malaria-Pharmaceuticals'!$E$14:$E$60&amp;'Malaria-Pharmaceuticals'!$I$14:$I$60,0)),0)</f>
        <v>0</v>
      </c>
      <c r="BG49" s="625">
        <f t="shared" si="33"/>
        <v>0</v>
      </c>
      <c r="BH49" s="626">
        <f t="shared" si="34"/>
        <v>0</v>
      </c>
      <c r="BI49" s="626">
        <f t="shared" si="35"/>
        <v>0</v>
      </c>
      <c r="BK49" s="626"/>
      <c r="BL49" s="626"/>
      <c r="BM49" s="626"/>
      <c r="BN49" s="626"/>
      <c r="BO49" s="626"/>
      <c r="BP49" s="626"/>
      <c r="BQ49" s="626"/>
      <c r="BR49" s="626"/>
      <c r="BT49" s="21" t="s">
        <v>6812</v>
      </c>
    </row>
    <row r="50" spans="1:72">
      <c r="A50" s="32" t="s">
        <v>576</v>
      </c>
      <c r="B50" s="32" t="s">
        <v>522</v>
      </c>
      <c r="C50" s="626">
        <f>SETUP!$F$50</f>
        <v>0</v>
      </c>
      <c r="D50" s="31">
        <v>4.3</v>
      </c>
      <c r="E50" s="32" t="s">
        <v>388</v>
      </c>
      <c r="F50" s="32" t="s">
        <v>409</v>
      </c>
      <c r="G50" s="625" t="str">
        <f t="array" ref="G50">IFERROR(INDEX('Malaria-Pharmaceuticals'!$L$14:$L$60,MATCH($E50&amp;$F50,'Malaria-Pharmaceuticals'!$E$14:$E$60&amp;'Malaria-Pharmaceuticals'!$I$14:$I$60,0)),"")</f>
        <v/>
      </c>
      <c r="H50" s="625" t="str">
        <f t="array" ref="H50">IFERROR(INDEX('Malaria-Pharmaceuticals'!$M$14:$M$60,MATCH($E50&amp;$F50,'Malaria-Pharmaceuticals'!$E$14:$E$60&amp;'Malaria-Pharmaceuticals'!$I$14:$I$60,0)),"")</f>
        <v/>
      </c>
      <c r="I50" s="625">
        <f t="array" ref="I50">IFERROR(INDEX('Malaria-Pharmaceuticals'!$N$14:$N$60,MATCH($E50&amp;$F50,'Malaria-Pharmaceuticals'!$E$14:$E$60&amp;'Malaria-Pharmaceuticals'!$I$14:$I$60,0)),0)</f>
        <v>0</v>
      </c>
      <c r="J50" s="625">
        <f t="array" ref="J50">IFERROR(INDEX('Malaria-Pharmaceuticals'!$O$14:$O$60,MATCH($E50&amp;$F50,'Malaria-Pharmaceuticals'!$E$14:$E$60&amp;'Malaria-Pharmaceuticals'!$I$14:$I$60,0)),0)</f>
        <v>0</v>
      </c>
      <c r="K50" s="626">
        <f t="shared" si="0"/>
        <v>0</v>
      </c>
      <c r="L50" s="626">
        <f t="shared" si="1"/>
        <v>0</v>
      </c>
      <c r="M50" s="626">
        <f t="shared" si="2"/>
        <v>0</v>
      </c>
      <c r="N50" s="625">
        <f t="array" ref="N50">IFERROR(INDEX('Malaria-Pharmaceuticals'!$P$14:$P$60,MATCH($E50&amp;$F50,'Malaria-Pharmaceuticals'!$E$14:$E$60&amp;'Malaria-Pharmaceuticals'!$I$14:$I$60,0)),0)</f>
        <v>0</v>
      </c>
      <c r="O50" s="626">
        <f t="shared" si="3"/>
        <v>0</v>
      </c>
      <c r="P50" s="626">
        <f t="shared" si="4"/>
        <v>0</v>
      </c>
      <c r="Q50" s="626">
        <f t="shared" si="5"/>
        <v>0</v>
      </c>
      <c r="R50" s="625">
        <f t="array" ref="R50">IFERROR(INDEX('Malaria-Pharmaceuticals'!$Q$14:$Q$60,MATCH($E50&amp;$F50,'Malaria-Pharmaceuticals'!$E$14:$E$60&amp;'Malaria-Pharmaceuticals'!$I$14:$I$60,0)),0)</f>
        <v>0</v>
      </c>
      <c r="S50" s="626">
        <f t="shared" si="6"/>
        <v>0</v>
      </c>
      <c r="T50" s="626">
        <f t="shared" si="7"/>
        <v>0</v>
      </c>
      <c r="U50" s="626">
        <f t="shared" si="8"/>
        <v>0</v>
      </c>
      <c r="V50" s="625">
        <f t="array" ref="V50">IFERROR(INDEX('Malaria-Pharmaceuticals'!$R$14:$R$60,MATCH($E50&amp;$F50,'Malaria-Pharmaceuticals'!$E$14:$E$60&amp;'Malaria-Pharmaceuticals'!$I$14:$I$60,0)),0)</f>
        <v>0</v>
      </c>
      <c r="W50" s="626">
        <f t="shared" si="9"/>
        <v>0</v>
      </c>
      <c r="X50" s="626">
        <f t="shared" si="10"/>
        <v>0</v>
      </c>
      <c r="Y50" s="626">
        <f t="shared" si="11"/>
        <v>0</v>
      </c>
      <c r="Z50" s="627"/>
      <c r="AA50" s="625">
        <f t="array" ref="AA50">IFERROR(INDEX('Malaria-Pharmaceuticals'!$U$14:$U$60,MATCH($E50&amp;$F50,'Malaria-Pharmaceuticals'!$E$14:$E$60&amp;'Malaria-Pharmaceuticals'!$I$14:$I$60,0)),0)</f>
        <v>0</v>
      </c>
      <c r="AB50" s="625">
        <f t="array" ref="AB50">IFERROR(INDEX('Malaria-Pharmaceuticals'!$V$14:$V$60,MATCH($E50&amp;$F50,'Malaria-Pharmaceuticals'!$E$14:$E$60&amp;'Malaria-Pharmaceuticals'!$I$14:$I$60,0)),0)</f>
        <v>0</v>
      </c>
      <c r="AC50" s="625">
        <f t="shared" si="12"/>
        <v>0</v>
      </c>
      <c r="AD50" s="626">
        <f t="shared" si="13"/>
        <v>0</v>
      </c>
      <c r="AE50" s="626">
        <f t="shared" si="14"/>
        <v>0</v>
      </c>
      <c r="AF50" s="625">
        <f t="array" ref="AF50">IFERROR(INDEX('Malaria-Pharmaceuticals'!$W$14:$W$60,MATCH($E50&amp;$F50,'Malaria-Pharmaceuticals'!$E$14:$E$60&amp;'Malaria-Pharmaceuticals'!$I$14:$I$60,0)),0)</f>
        <v>0</v>
      </c>
      <c r="AG50" s="625">
        <f t="shared" si="15"/>
        <v>0</v>
      </c>
      <c r="AH50" s="626">
        <f t="shared" si="16"/>
        <v>0</v>
      </c>
      <c r="AI50" s="626">
        <f t="shared" si="17"/>
        <v>0</v>
      </c>
      <c r="AJ50" s="625">
        <f t="array" ref="AJ50">IFERROR(INDEX('Malaria-Pharmaceuticals'!$X$14:$X$60,MATCH($E50&amp;$F50,'Malaria-Pharmaceuticals'!$E$14:$E$60&amp;'Malaria-Pharmaceuticals'!$I$14:$I$60,0)),0)</f>
        <v>0</v>
      </c>
      <c r="AK50" s="625">
        <f t="shared" si="18"/>
        <v>0</v>
      </c>
      <c r="AL50" s="626">
        <f t="shared" si="19"/>
        <v>0</v>
      </c>
      <c r="AM50" s="626">
        <f t="shared" si="20"/>
        <v>0</v>
      </c>
      <c r="AN50" s="625">
        <f t="array" ref="AN50">IFERROR(INDEX('Malaria-Pharmaceuticals'!$Y$14:$Y$60,MATCH($E50&amp;$F50,'Malaria-Pharmaceuticals'!$E$14:$E$60&amp;'Malaria-Pharmaceuticals'!$I$14:$I$60,0)),0)</f>
        <v>0</v>
      </c>
      <c r="AO50" s="625">
        <f t="shared" si="21"/>
        <v>0</v>
      </c>
      <c r="AP50" s="626">
        <f t="shared" si="22"/>
        <v>0</v>
      </c>
      <c r="AQ50" s="626">
        <f t="shared" si="23"/>
        <v>0</v>
      </c>
      <c r="AR50" s="627"/>
      <c r="AS50" s="625">
        <f t="array" ref="AS50">IFERROR(INDEX('Malaria-Pharmaceuticals'!$AB$14:$AB$60,MATCH($E50&amp;$F50,'Malaria-Pharmaceuticals'!$E$14:$E$60&amp;'Malaria-Pharmaceuticals'!$I$14:$I$60,0)),0)</f>
        <v>0</v>
      </c>
      <c r="AT50" s="625">
        <f t="array" ref="AT50">IFERROR(INDEX('Malaria-Pharmaceuticals'!$AC$14:$AC$60,MATCH($E50&amp;$F50,'Malaria-Pharmaceuticals'!$E$14:$E$60&amp;'Malaria-Pharmaceuticals'!$I$14:$I$60,0)),0)</f>
        <v>0</v>
      </c>
      <c r="AU50" s="625">
        <f t="shared" si="24"/>
        <v>0</v>
      </c>
      <c r="AV50" s="626">
        <f t="shared" si="25"/>
        <v>0</v>
      </c>
      <c r="AW50" s="626">
        <f t="shared" si="26"/>
        <v>0</v>
      </c>
      <c r="AX50" s="625">
        <f t="array" ref="AX50">IFERROR(INDEX('Malaria-Pharmaceuticals'!$AD$14:$AD$60,MATCH($E50&amp;$F50,'Malaria-Pharmaceuticals'!$E$14:$E$60&amp;'Malaria-Pharmaceuticals'!$I$14:$I$60,0)),0)</f>
        <v>0</v>
      </c>
      <c r="AY50" s="625">
        <f t="shared" si="27"/>
        <v>0</v>
      </c>
      <c r="AZ50" s="626">
        <f t="shared" si="28"/>
        <v>0</v>
      </c>
      <c r="BA50" s="626">
        <f t="shared" si="29"/>
        <v>0</v>
      </c>
      <c r="BB50" s="625">
        <f t="array" ref="BB50">IFERROR(INDEX('Malaria-Pharmaceuticals'!$AE$14:$AE$60,MATCH($E50&amp;$F50,'Malaria-Pharmaceuticals'!$E$14:$E$60&amp;'Malaria-Pharmaceuticals'!$I$14:$I$60,0)),0)</f>
        <v>0</v>
      </c>
      <c r="BC50" s="625">
        <f t="shared" si="30"/>
        <v>0</v>
      </c>
      <c r="BD50" s="626">
        <f t="shared" si="31"/>
        <v>0</v>
      </c>
      <c r="BE50" s="626">
        <f t="shared" si="32"/>
        <v>0</v>
      </c>
      <c r="BF50" s="625">
        <f t="array" ref="BF50">IFERROR(INDEX('Malaria-Pharmaceuticals'!$AF$14:$AF$60,MATCH($E50&amp;$F50,'Malaria-Pharmaceuticals'!$E$14:$E$60&amp;'Malaria-Pharmaceuticals'!$I$14:$I$60,0)),0)</f>
        <v>0</v>
      </c>
      <c r="BG50" s="625">
        <f t="shared" si="33"/>
        <v>0</v>
      </c>
      <c r="BH50" s="626">
        <f t="shared" si="34"/>
        <v>0</v>
      </c>
      <c r="BI50" s="626">
        <f t="shared" si="35"/>
        <v>0</v>
      </c>
      <c r="BK50" s="626"/>
      <c r="BL50" s="626"/>
      <c r="BM50" s="626"/>
      <c r="BN50" s="626"/>
      <c r="BO50" s="626"/>
      <c r="BP50" s="626"/>
      <c r="BQ50" s="626"/>
      <c r="BR50" s="626"/>
      <c r="BT50" s="21" t="s">
        <v>6812</v>
      </c>
    </row>
    <row r="51" spans="1:72">
      <c r="A51" s="32" t="s">
        <v>576</v>
      </c>
      <c r="B51" s="32" t="s">
        <v>522</v>
      </c>
      <c r="C51" s="626">
        <f>SETUP!$F$50</f>
        <v>0</v>
      </c>
      <c r="D51" s="31">
        <v>4.3</v>
      </c>
      <c r="E51" s="32" t="s">
        <v>388</v>
      </c>
      <c r="F51" s="32" t="s">
        <v>410</v>
      </c>
      <c r="G51" s="625" t="str">
        <f t="array" ref="G51">IFERROR(INDEX('Malaria-Pharmaceuticals'!$L$14:$L$60,MATCH($E51&amp;$F51,'Malaria-Pharmaceuticals'!$E$14:$E$60&amp;'Malaria-Pharmaceuticals'!$I$14:$I$60,0)),"")</f>
        <v/>
      </c>
      <c r="H51" s="625" t="str">
        <f t="array" ref="H51">IFERROR(INDEX('Malaria-Pharmaceuticals'!$M$14:$M$60,MATCH($E51&amp;$F51,'Malaria-Pharmaceuticals'!$E$14:$E$60&amp;'Malaria-Pharmaceuticals'!$I$14:$I$60,0)),"")</f>
        <v/>
      </c>
      <c r="I51" s="625">
        <f t="array" ref="I51">IFERROR(INDEX('Malaria-Pharmaceuticals'!$N$14:$N$60,MATCH($E51&amp;$F51,'Malaria-Pharmaceuticals'!$E$14:$E$60&amp;'Malaria-Pharmaceuticals'!$I$14:$I$60,0)),0)</f>
        <v>0</v>
      </c>
      <c r="J51" s="625">
        <f t="array" ref="J51">IFERROR(INDEX('Malaria-Pharmaceuticals'!$O$14:$O$60,MATCH($E51&amp;$F51,'Malaria-Pharmaceuticals'!$E$14:$E$60&amp;'Malaria-Pharmaceuticals'!$I$14:$I$60,0)),0)</f>
        <v>0</v>
      </c>
      <c r="K51" s="626">
        <f t="shared" si="0"/>
        <v>0</v>
      </c>
      <c r="L51" s="626">
        <f t="shared" si="1"/>
        <v>0</v>
      </c>
      <c r="M51" s="626">
        <f t="shared" si="2"/>
        <v>0</v>
      </c>
      <c r="N51" s="625">
        <f t="array" ref="N51">IFERROR(INDEX('Malaria-Pharmaceuticals'!$P$14:$P$60,MATCH($E51&amp;$F51,'Malaria-Pharmaceuticals'!$E$14:$E$60&amp;'Malaria-Pharmaceuticals'!$I$14:$I$60,0)),0)</f>
        <v>0</v>
      </c>
      <c r="O51" s="626">
        <f t="shared" si="3"/>
        <v>0</v>
      </c>
      <c r="P51" s="626">
        <f t="shared" si="4"/>
        <v>0</v>
      </c>
      <c r="Q51" s="626">
        <f t="shared" si="5"/>
        <v>0</v>
      </c>
      <c r="R51" s="625">
        <f t="array" ref="R51">IFERROR(INDEX('Malaria-Pharmaceuticals'!$Q$14:$Q$60,MATCH($E51&amp;$F51,'Malaria-Pharmaceuticals'!$E$14:$E$60&amp;'Malaria-Pharmaceuticals'!$I$14:$I$60,0)),0)</f>
        <v>0</v>
      </c>
      <c r="S51" s="626">
        <f t="shared" si="6"/>
        <v>0</v>
      </c>
      <c r="T51" s="626">
        <f t="shared" si="7"/>
        <v>0</v>
      </c>
      <c r="U51" s="626">
        <f t="shared" si="8"/>
        <v>0</v>
      </c>
      <c r="V51" s="625">
        <f t="array" ref="V51">IFERROR(INDEX('Malaria-Pharmaceuticals'!$R$14:$R$60,MATCH($E51&amp;$F51,'Malaria-Pharmaceuticals'!$E$14:$E$60&amp;'Malaria-Pharmaceuticals'!$I$14:$I$60,0)),0)</f>
        <v>0</v>
      </c>
      <c r="W51" s="626">
        <f t="shared" si="9"/>
        <v>0</v>
      </c>
      <c r="X51" s="626">
        <f t="shared" si="10"/>
        <v>0</v>
      </c>
      <c r="Y51" s="626">
        <f t="shared" si="11"/>
        <v>0</v>
      </c>
      <c r="Z51" s="627"/>
      <c r="AA51" s="625">
        <f t="array" ref="AA51">IFERROR(INDEX('Malaria-Pharmaceuticals'!$U$14:$U$60,MATCH($E51&amp;$F51,'Malaria-Pharmaceuticals'!$E$14:$E$60&amp;'Malaria-Pharmaceuticals'!$I$14:$I$60,0)),0)</f>
        <v>0</v>
      </c>
      <c r="AB51" s="625">
        <f t="array" ref="AB51">IFERROR(INDEX('Malaria-Pharmaceuticals'!$V$14:$V$60,MATCH($E51&amp;$F51,'Malaria-Pharmaceuticals'!$E$14:$E$60&amp;'Malaria-Pharmaceuticals'!$I$14:$I$60,0)),0)</f>
        <v>0</v>
      </c>
      <c r="AC51" s="625">
        <f t="shared" si="12"/>
        <v>0</v>
      </c>
      <c r="AD51" s="626">
        <f t="shared" si="13"/>
        <v>0</v>
      </c>
      <c r="AE51" s="626">
        <f t="shared" si="14"/>
        <v>0</v>
      </c>
      <c r="AF51" s="625">
        <f t="array" ref="AF51">IFERROR(INDEX('Malaria-Pharmaceuticals'!$W$14:$W$60,MATCH($E51&amp;$F51,'Malaria-Pharmaceuticals'!$E$14:$E$60&amp;'Malaria-Pharmaceuticals'!$I$14:$I$60,0)),0)</f>
        <v>0</v>
      </c>
      <c r="AG51" s="625">
        <f t="shared" si="15"/>
        <v>0</v>
      </c>
      <c r="AH51" s="626">
        <f t="shared" si="16"/>
        <v>0</v>
      </c>
      <c r="AI51" s="626">
        <f t="shared" si="17"/>
        <v>0</v>
      </c>
      <c r="AJ51" s="625">
        <f t="array" ref="AJ51">IFERROR(INDEX('Malaria-Pharmaceuticals'!$X$14:$X$60,MATCH($E51&amp;$F51,'Malaria-Pharmaceuticals'!$E$14:$E$60&amp;'Malaria-Pharmaceuticals'!$I$14:$I$60,0)),0)</f>
        <v>0</v>
      </c>
      <c r="AK51" s="625">
        <f t="shared" si="18"/>
        <v>0</v>
      </c>
      <c r="AL51" s="626">
        <f t="shared" si="19"/>
        <v>0</v>
      </c>
      <c r="AM51" s="626">
        <f t="shared" si="20"/>
        <v>0</v>
      </c>
      <c r="AN51" s="625">
        <f t="array" ref="AN51">IFERROR(INDEX('Malaria-Pharmaceuticals'!$Y$14:$Y$60,MATCH($E51&amp;$F51,'Malaria-Pharmaceuticals'!$E$14:$E$60&amp;'Malaria-Pharmaceuticals'!$I$14:$I$60,0)),0)</f>
        <v>0</v>
      </c>
      <c r="AO51" s="625">
        <f t="shared" si="21"/>
        <v>0</v>
      </c>
      <c r="AP51" s="626">
        <f t="shared" si="22"/>
        <v>0</v>
      </c>
      <c r="AQ51" s="626">
        <f t="shared" si="23"/>
        <v>0</v>
      </c>
      <c r="AR51" s="627"/>
      <c r="AS51" s="625">
        <f t="array" ref="AS51">IFERROR(INDEX('Malaria-Pharmaceuticals'!$AB$14:$AB$60,MATCH($E51&amp;$F51,'Malaria-Pharmaceuticals'!$E$14:$E$60&amp;'Malaria-Pharmaceuticals'!$I$14:$I$60,0)),0)</f>
        <v>0</v>
      </c>
      <c r="AT51" s="625">
        <f t="array" ref="AT51">IFERROR(INDEX('Malaria-Pharmaceuticals'!$AC$14:$AC$60,MATCH($E51&amp;$F51,'Malaria-Pharmaceuticals'!$E$14:$E$60&amp;'Malaria-Pharmaceuticals'!$I$14:$I$60,0)),0)</f>
        <v>0</v>
      </c>
      <c r="AU51" s="625">
        <f t="shared" si="24"/>
        <v>0</v>
      </c>
      <c r="AV51" s="626">
        <f t="shared" si="25"/>
        <v>0</v>
      </c>
      <c r="AW51" s="626">
        <f t="shared" si="26"/>
        <v>0</v>
      </c>
      <c r="AX51" s="625">
        <f t="array" ref="AX51">IFERROR(INDEX('Malaria-Pharmaceuticals'!$AD$14:$AD$60,MATCH($E51&amp;$F51,'Malaria-Pharmaceuticals'!$E$14:$E$60&amp;'Malaria-Pharmaceuticals'!$I$14:$I$60,0)),0)</f>
        <v>0</v>
      </c>
      <c r="AY51" s="625">
        <f t="shared" si="27"/>
        <v>0</v>
      </c>
      <c r="AZ51" s="626">
        <f t="shared" si="28"/>
        <v>0</v>
      </c>
      <c r="BA51" s="626">
        <f t="shared" si="29"/>
        <v>0</v>
      </c>
      <c r="BB51" s="625">
        <f t="array" ref="BB51">IFERROR(INDEX('Malaria-Pharmaceuticals'!$AE$14:$AE$60,MATCH($E51&amp;$F51,'Malaria-Pharmaceuticals'!$E$14:$E$60&amp;'Malaria-Pharmaceuticals'!$I$14:$I$60,0)),0)</f>
        <v>0</v>
      </c>
      <c r="BC51" s="625">
        <f t="shared" si="30"/>
        <v>0</v>
      </c>
      <c r="BD51" s="626">
        <f t="shared" si="31"/>
        <v>0</v>
      </c>
      <c r="BE51" s="626">
        <f t="shared" si="32"/>
        <v>0</v>
      </c>
      <c r="BF51" s="625">
        <f t="array" ref="BF51">IFERROR(INDEX('Malaria-Pharmaceuticals'!$AF$14:$AF$60,MATCH($E51&amp;$F51,'Malaria-Pharmaceuticals'!$E$14:$E$60&amp;'Malaria-Pharmaceuticals'!$I$14:$I$60,0)),0)</f>
        <v>0</v>
      </c>
      <c r="BG51" s="625">
        <f t="shared" si="33"/>
        <v>0</v>
      </c>
      <c r="BH51" s="626">
        <f t="shared" si="34"/>
        <v>0</v>
      </c>
      <c r="BI51" s="626">
        <f t="shared" si="35"/>
        <v>0</v>
      </c>
      <c r="BK51" s="626"/>
      <c r="BL51" s="626"/>
      <c r="BM51" s="626"/>
      <c r="BN51" s="626"/>
      <c r="BO51" s="626"/>
      <c r="BP51" s="626"/>
      <c r="BQ51" s="626"/>
      <c r="BR51" s="626"/>
      <c r="BT51" s="21" t="s">
        <v>6812</v>
      </c>
    </row>
    <row r="52" spans="1:72">
      <c r="A52" s="32" t="s">
        <v>576</v>
      </c>
      <c r="B52" s="32" t="s">
        <v>522</v>
      </c>
      <c r="C52" s="626">
        <f>SETUP!$F$50</f>
        <v>0</v>
      </c>
      <c r="D52" s="31">
        <v>4.3</v>
      </c>
      <c r="E52" s="32" t="s">
        <v>388</v>
      </c>
      <c r="F52" s="32" t="s">
        <v>1147</v>
      </c>
      <c r="G52" s="625" t="str">
        <f t="array" ref="G52">IFERROR(INDEX('Malaria-Pharmaceuticals'!$L$14:$L$60,MATCH($E52&amp;$F52,'Malaria-Pharmaceuticals'!$E$14:$E$60&amp;'Malaria-Pharmaceuticals'!$I$14:$I$60,0)),"")</f>
        <v/>
      </c>
      <c r="H52" s="625" t="str">
        <f t="array" ref="H52">IFERROR(INDEX('Malaria-Pharmaceuticals'!$M$14:$M$60,MATCH($E52&amp;$F52,'Malaria-Pharmaceuticals'!$E$14:$E$60&amp;'Malaria-Pharmaceuticals'!$I$14:$I$60,0)),"")</f>
        <v/>
      </c>
      <c r="I52" s="625">
        <f t="array" ref="I52">IFERROR(INDEX('Malaria-Pharmaceuticals'!$N$14:$N$60,MATCH($E52&amp;$F52,'Malaria-Pharmaceuticals'!$E$14:$E$60&amp;'Malaria-Pharmaceuticals'!$I$14:$I$60,0)),0)</f>
        <v>0</v>
      </c>
      <c r="J52" s="625">
        <f t="array" ref="J52">IFERROR(INDEX('Malaria-Pharmaceuticals'!$O$14:$O$60,MATCH($E52&amp;$F52,'Malaria-Pharmaceuticals'!$E$14:$E$60&amp;'Malaria-Pharmaceuticals'!$I$14:$I$60,0)),0)</f>
        <v>0</v>
      </c>
      <c r="K52" s="626">
        <f t="shared" si="0"/>
        <v>0</v>
      </c>
      <c r="L52" s="626">
        <f t="shared" si="1"/>
        <v>0</v>
      </c>
      <c r="M52" s="626">
        <f t="shared" si="2"/>
        <v>0</v>
      </c>
      <c r="N52" s="625">
        <f t="array" ref="N52">IFERROR(INDEX('Malaria-Pharmaceuticals'!$P$14:$P$60,MATCH($E52&amp;$F52,'Malaria-Pharmaceuticals'!$E$14:$E$60&amp;'Malaria-Pharmaceuticals'!$I$14:$I$60,0)),0)</f>
        <v>0</v>
      </c>
      <c r="O52" s="626">
        <f t="shared" si="3"/>
        <v>0</v>
      </c>
      <c r="P52" s="626">
        <f t="shared" si="4"/>
        <v>0</v>
      </c>
      <c r="Q52" s="626">
        <f t="shared" si="5"/>
        <v>0</v>
      </c>
      <c r="R52" s="625">
        <f t="array" ref="R52">IFERROR(INDEX('Malaria-Pharmaceuticals'!$Q$14:$Q$60,MATCH($E52&amp;$F52,'Malaria-Pharmaceuticals'!$E$14:$E$60&amp;'Malaria-Pharmaceuticals'!$I$14:$I$60,0)),0)</f>
        <v>0</v>
      </c>
      <c r="S52" s="626">
        <f t="shared" si="6"/>
        <v>0</v>
      </c>
      <c r="T52" s="626">
        <f t="shared" si="7"/>
        <v>0</v>
      </c>
      <c r="U52" s="626">
        <f t="shared" si="8"/>
        <v>0</v>
      </c>
      <c r="V52" s="625">
        <f t="array" ref="V52">IFERROR(INDEX('Malaria-Pharmaceuticals'!$R$14:$R$60,MATCH($E52&amp;$F52,'Malaria-Pharmaceuticals'!$E$14:$E$60&amp;'Malaria-Pharmaceuticals'!$I$14:$I$60,0)),0)</f>
        <v>0</v>
      </c>
      <c r="W52" s="626">
        <f t="shared" si="9"/>
        <v>0</v>
      </c>
      <c r="X52" s="626">
        <f t="shared" si="10"/>
        <v>0</v>
      </c>
      <c r="Y52" s="626">
        <f t="shared" si="11"/>
        <v>0</v>
      </c>
      <c r="Z52" s="627"/>
      <c r="AA52" s="625">
        <f t="array" ref="AA52">IFERROR(INDEX('Malaria-Pharmaceuticals'!$U$14:$U$60,MATCH($E52&amp;$F52,'Malaria-Pharmaceuticals'!$E$14:$E$60&amp;'Malaria-Pharmaceuticals'!$I$14:$I$60,0)),0)</f>
        <v>0</v>
      </c>
      <c r="AB52" s="625">
        <f t="array" ref="AB52">IFERROR(INDEX('Malaria-Pharmaceuticals'!$V$14:$V$60,MATCH($E52&amp;$F52,'Malaria-Pharmaceuticals'!$E$14:$E$60&amp;'Malaria-Pharmaceuticals'!$I$14:$I$60,0)),0)</f>
        <v>0</v>
      </c>
      <c r="AC52" s="625">
        <f t="shared" si="12"/>
        <v>0</v>
      </c>
      <c r="AD52" s="626">
        <f t="shared" si="13"/>
        <v>0</v>
      </c>
      <c r="AE52" s="626">
        <f t="shared" si="14"/>
        <v>0</v>
      </c>
      <c r="AF52" s="625">
        <f t="array" ref="AF52">IFERROR(INDEX('Malaria-Pharmaceuticals'!$W$14:$W$60,MATCH($E52&amp;$F52,'Malaria-Pharmaceuticals'!$E$14:$E$60&amp;'Malaria-Pharmaceuticals'!$I$14:$I$60,0)),0)</f>
        <v>0</v>
      </c>
      <c r="AG52" s="625">
        <f t="shared" si="15"/>
        <v>0</v>
      </c>
      <c r="AH52" s="626">
        <f t="shared" si="16"/>
        <v>0</v>
      </c>
      <c r="AI52" s="626">
        <f t="shared" si="17"/>
        <v>0</v>
      </c>
      <c r="AJ52" s="625">
        <f t="array" ref="AJ52">IFERROR(INDEX('Malaria-Pharmaceuticals'!$X$14:$X$60,MATCH($E52&amp;$F52,'Malaria-Pharmaceuticals'!$E$14:$E$60&amp;'Malaria-Pharmaceuticals'!$I$14:$I$60,0)),0)</f>
        <v>0</v>
      </c>
      <c r="AK52" s="625">
        <f t="shared" si="18"/>
        <v>0</v>
      </c>
      <c r="AL52" s="626">
        <f t="shared" si="19"/>
        <v>0</v>
      </c>
      <c r="AM52" s="626">
        <f t="shared" si="20"/>
        <v>0</v>
      </c>
      <c r="AN52" s="625">
        <f t="array" ref="AN52">IFERROR(INDEX('Malaria-Pharmaceuticals'!$Y$14:$Y$60,MATCH($E52&amp;$F52,'Malaria-Pharmaceuticals'!$E$14:$E$60&amp;'Malaria-Pharmaceuticals'!$I$14:$I$60,0)),0)</f>
        <v>0</v>
      </c>
      <c r="AO52" s="625">
        <f t="shared" si="21"/>
        <v>0</v>
      </c>
      <c r="AP52" s="626">
        <f t="shared" si="22"/>
        <v>0</v>
      </c>
      <c r="AQ52" s="626">
        <f t="shared" si="23"/>
        <v>0</v>
      </c>
      <c r="AR52" s="627"/>
      <c r="AS52" s="625">
        <f t="array" ref="AS52">IFERROR(INDEX('Malaria-Pharmaceuticals'!$AB$14:$AB$60,MATCH($E52&amp;$F52,'Malaria-Pharmaceuticals'!$E$14:$E$60&amp;'Malaria-Pharmaceuticals'!$I$14:$I$60,0)),0)</f>
        <v>0</v>
      </c>
      <c r="AT52" s="625">
        <f t="array" ref="AT52">IFERROR(INDEX('Malaria-Pharmaceuticals'!$AC$14:$AC$60,MATCH($E52&amp;$F52,'Malaria-Pharmaceuticals'!$E$14:$E$60&amp;'Malaria-Pharmaceuticals'!$I$14:$I$60,0)),0)</f>
        <v>0</v>
      </c>
      <c r="AU52" s="625">
        <f t="shared" si="24"/>
        <v>0</v>
      </c>
      <c r="AV52" s="626">
        <f t="shared" si="25"/>
        <v>0</v>
      </c>
      <c r="AW52" s="626">
        <f t="shared" si="26"/>
        <v>0</v>
      </c>
      <c r="AX52" s="625">
        <f t="array" ref="AX52">IFERROR(INDEX('Malaria-Pharmaceuticals'!$AD$14:$AD$60,MATCH($E52&amp;$F52,'Malaria-Pharmaceuticals'!$E$14:$E$60&amp;'Malaria-Pharmaceuticals'!$I$14:$I$60,0)),0)</f>
        <v>0</v>
      </c>
      <c r="AY52" s="625">
        <f t="shared" si="27"/>
        <v>0</v>
      </c>
      <c r="AZ52" s="626">
        <f t="shared" si="28"/>
        <v>0</v>
      </c>
      <c r="BA52" s="626">
        <f t="shared" si="29"/>
        <v>0</v>
      </c>
      <c r="BB52" s="625">
        <f t="array" ref="BB52">IFERROR(INDEX('Malaria-Pharmaceuticals'!$AE$14:$AE$60,MATCH($E52&amp;$F52,'Malaria-Pharmaceuticals'!$E$14:$E$60&amp;'Malaria-Pharmaceuticals'!$I$14:$I$60,0)),0)</f>
        <v>0</v>
      </c>
      <c r="BC52" s="625">
        <f t="shared" si="30"/>
        <v>0</v>
      </c>
      <c r="BD52" s="626">
        <f t="shared" si="31"/>
        <v>0</v>
      </c>
      <c r="BE52" s="626">
        <f t="shared" si="32"/>
        <v>0</v>
      </c>
      <c r="BF52" s="625">
        <f t="array" ref="BF52">IFERROR(INDEX('Malaria-Pharmaceuticals'!$AF$14:$AF$60,MATCH($E52&amp;$F52,'Malaria-Pharmaceuticals'!$E$14:$E$60&amp;'Malaria-Pharmaceuticals'!$I$14:$I$60,0)),0)</f>
        <v>0</v>
      </c>
      <c r="BG52" s="625">
        <f t="shared" si="33"/>
        <v>0</v>
      </c>
      <c r="BH52" s="626">
        <f t="shared" si="34"/>
        <v>0</v>
      </c>
      <c r="BI52" s="626">
        <f t="shared" si="35"/>
        <v>0</v>
      </c>
      <c r="BK52" s="626"/>
      <c r="BL52" s="626"/>
      <c r="BM52" s="626"/>
      <c r="BN52" s="626"/>
      <c r="BO52" s="626"/>
      <c r="BP52" s="626"/>
      <c r="BQ52" s="626"/>
      <c r="BR52" s="626"/>
      <c r="BT52" s="21" t="s">
        <v>6812</v>
      </c>
    </row>
    <row r="53" spans="1:72">
      <c r="A53" s="32" t="s">
        <v>576</v>
      </c>
      <c r="B53" s="32" t="s">
        <v>522</v>
      </c>
      <c r="C53" s="626">
        <f>SETUP!$F$50</f>
        <v>0</v>
      </c>
      <c r="D53" s="31">
        <v>4.3</v>
      </c>
      <c r="E53" s="32" t="s">
        <v>388</v>
      </c>
      <c r="F53" s="32" t="s">
        <v>1148</v>
      </c>
      <c r="G53" s="625" t="str">
        <f t="array" ref="G53">IFERROR(INDEX('Malaria-Pharmaceuticals'!$L$14:$L$60,MATCH($E53&amp;$F53,'Malaria-Pharmaceuticals'!$E$14:$E$60&amp;'Malaria-Pharmaceuticals'!$I$14:$I$60,0)),"")</f>
        <v/>
      </c>
      <c r="H53" s="625" t="str">
        <f t="array" ref="H53">IFERROR(INDEX('Malaria-Pharmaceuticals'!$M$14:$M$60,MATCH($E53&amp;$F53,'Malaria-Pharmaceuticals'!$E$14:$E$60&amp;'Malaria-Pharmaceuticals'!$I$14:$I$60,0)),"")</f>
        <v/>
      </c>
      <c r="I53" s="625">
        <f t="array" ref="I53">IFERROR(INDEX('Malaria-Pharmaceuticals'!$N$14:$N$60,MATCH($E53&amp;$F53,'Malaria-Pharmaceuticals'!$E$14:$E$60&amp;'Malaria-Pharmaceuticals'!$I$14:$I$60,0)),0)</f>
        <v>0</v>
      </c>
      <c r="J53" s="625">
        <f t="array" ref="J53">IFERROR(INDEX('Malaria-Pharmaceuticals'!$O$14:$O$60,MATCH($E53&amp;$F53,'Malaria-Pharmaceuticals'!$E$14:$E$60&amp;'Malaria-Pharmaceuticals'!$I$14:$I$60,0)),0)</f>
        <v>0</v>
      </c>
      <c r="K53" s="626">
        <f t="shared" si="0"/>
        <v>0</v>
      </c>
      <c r="L53" s="626">
        <f t="shared" si="1"/>
        <v>0</v>
      </c>
      <c r="M53" s="626">
        <f t="shared" si="2"/>
        <v>0</v>
      </c>
      <c r="N53" s="625">
        <f t="array" ref="N53">IFERROR(INDEX('Malaria-Pharmaceuticals'!$P$14:$P$60,MATCH($E53&amp;$F53,'Malaria-Pharmaceuticals'!$E$14:$E$60&amp;'Malaria-Pharmaceuticals'!$I$14:$I$60,0)),0)</f>
        <v>0</v>
      </c>
      <c r="O53" s="626">
        <f t="shared" si="3"/>
        <v>0</v>
      </c>
      <c r="P53" s="626">
        <f t="shared" si="4"/>
        <v>0</v>
      </c>
      <c r="Q53" s="626">
        <f t="shared" si="5"/>
        <v>0</v>
      </c>
      <c r="R53" s="625">
        <f t="array" ref="R53">IFERROR(INDEX('Malaria-Pharmaceuticals'!$Q$14:$Q$60,MATCH($E53&amp;$F53,'Malaria-Pharmaceuticals'!$E$14:$E$60&amp;'Malaria-Pharmaceuticals'!$I$14:$I$60,0)),0)</f>
        <v>0</v>
      </c>
      <c r="S53" s="626">
        <f t="shared" si="6"/>
        <v>0</v>
      </c>
      <c r="T53" s="626">
        <f t="shared" si="7"/>
        <v>0</v>
      </c>
      <c r="U53" s="626">
        <f t="shared" si="8"/>
        <v>0</v>
      </c>
      <c r="V53" s="625">
        <f t="array" ref="V53">IFERROR(INDEX('Malaria-Pharmaceuticals'!$R$14:$R$60,MATCH($E53&amp;$F53,'Malaria-Pharmaceuticals'!$E$14:$E$60&amp;'Malaria-Pharmaceuticals'!$I$14:$I$60,0)),0)</f>
        <v>0</v>
      </c>
      <c r="W53" s="626">
        <f t="shared" si="9"/>
        <v>0</v>
      </c>
      <c r="X53" s="626">
        <f t="shared" si="10"/>
        <v>0</v>
      </c>
      <c r="Y53" s="626">
        <f t="shared" si="11"/>
        <v>0</v>
      </c>
      <c r="Z53" s="627"/>
      <c r="AA53" s="625">
        <f t="array" ref="AA53">IFERROR(INDEX('Malaria-Pharmaceuticals'!$U$14:$U$60,MATCH($E53&amp;$F53,'Malaria-Pharmaceuticals'!$E$14:$E$60&amp;'Malaria-Pharmaceuticals'!$I$14:$I$60,0)),0)</f>
        <v>0</v>
      </c>
      <c r="AB53" s="625">
        <f t="array" ref="AB53">IFERROR(INDEX('Malaria-Pharmaceuticals'!$V$14:$V$60,MATCH($E53&amp;$F53,'Malaria-Pharmaceuticals'!$E$14:$E$60&amp;'Malaria-Pharmaceuticals'!$I$14:$I$60,0)),0)</f>
        <v>0</v>
      </c>
      <c r="AC53" s="625">
        <f t="shared" si="12"/>
        <v>0</v>
      </c>
      <c r="AD53" s="626">
        <f t="shared" si="13"/>
        <v>0</v>
      </c>
      <c r="AE53" s="626">
        <f t="shared" si="14"/>
        <v>0</v>
      </c>
      <c r="AF53" s="625">
        <f t="array" ref="AF53">IFERROR(INDEX('Malaria-Pharmaceuticals'!$W$14:$W$60,MATCH($E53&amp;$F53,'Malaria-Pharmaceuticals'!$E$14:$E$60&amp;'Malaria-Pharmaceuticals'!$I$14:$I$60,0)),0)</f>
        <v>0</v>
      </c>
      <c r="AG53" s="625">
        <f t="shared" si="15"/>
        <v>0</v>
      </c>
      <c r="AH53" s="626">
        <f t="shared" si="16"/>
        <v>0</v>
      </c>
      <c r="AI53" s="626">
        <f t="shared" si="17"/>
        <v>0</v>
      </c>
      <c r="AJ53" s="625">
        <f t="array" ref="AJ53">IFERROR(INDEX('Malaria-Pharmaceuticals'!$X$14:$X$60,MATCH($E53&amp;$F53,'Malaria-Pharmaceuticals'!$E$14:$E$60&amp;'Malaria-Pharmaceuticals'!$I$14:$I$60,0)),0)</f>
        <v>0</v>
      </c>
      <c r="AK53" s="625">
        <f t="shared" si="18"/>
        <v>0</v>
      </c>
      <c r="AL53" s="626">
        <f t="shared" si="19"/>
        <v>0</v>
      </c>
      <c r="AM53" s="626">
        <f t="shared" si="20"/>
        <v>0</v>
      </c>
      <c r="AN53" s="625">
        <f t="array" ref="AN53">IFERROR(INDEX('Malaria-Pharmaceuticals'!$Y$14:$Y$60,MATCH($E53&amp;$F53,'Malaria-Pharmaceuticals'!$E$14:$E$60&amp;'Malaria-Pharmaceuticals'!$I$14:$I$60,0)),0)</f>
        <v>0</v>
      </c>
      <c r="AO53" s="625">
        <f t="shared" si="21"/>
        <v>0</v>
      </c>
      <c r="AP53" s="626">
        <f t="shared" si="22"/>
        <v>0</v>
      </c>
      <c r="AQ53" s="626">
        <f t="shared" si="23"/>
        <v>0</v>
      </c>
      <c r="AR53" s="627"/>
      <c r="AS53" s="625">
        <f t="array" ref="AS53">IFERROR(INDEX('Malaria-Pharmaceuticals'!$AB$14:$AB$60,MATCH($E53&amp;$F53,'Malaria-Pharmaceuticals'!$E$14:$E$60&amp;'Malaria-Pharmaceuticals'!$I$14:$I$60,0)),0)</f>
        <v>0</v>
      </c>
      <c r="AT53" s="625">
        <f t="array" ref="AT53">IFERROR(INDEX('Malaria-Pharmaceuticals'!$AC$14:$AC$60,MATCH($E53&amp;$F53,'Malaria-Pharmaceuticals'!$E$14:$E$60&amp;'Malaria-Pharmaceuticals'!$I$14:$I$60,0)),0)</f>
        <v>0</v>
      </c>
      <c r="AU53" s="625">
        <f t="shared" si="24"/>
        <v>0</v>
      </c>
      <c r="AV53" s="626">
        <f t="shared" si="25"/>
        <v>0</v>
      </c>
      <c r="AW53" s="626">
        <f t="shared" si="26"/>
        <v>0</v>
      </c>
      <c r="AX53" s="625">
        <f t="array" ref="AX53">IFERROR(INDEX('Malaria-Pharmaceuticals'!$AD$14:$AD$60,MATCH($E53&amp;$F53,'Malaria-Pharmaceuticals'!$E$14:$E$60&amp;'Malaria-Pharmaceuticals'!$I$14:$I$60,0)),0)</f>
        <v>0</v>
      </c>
      <c r="AY53" s="625">
        <f t="shared" si="27"/>
        <v>0</v>
      </c>
      <c r="AZ53" s="626">
        <f t="shared" si="28"/>
        <v>0</v>
      </c>
      <c r="BA53" s="626">
        <f t="shared" si="29"/>
        <v>0</v>
      </c>
      <c r="BB53" s="625">
        <f t="array" ref="BB53">IFERROR(INDEX('Malaria-Pharmaceuticals'!$AE$14:$AE$60,MATCH($E53&amp;$F53,'Malaria-Pharmaceuticals'!$E$14:$E$60&amp;'Malaria-Pharmaceuticals'!$I$14:$I$60,0)),0)</f>
        <v>0</v>
      </c>
      <c r="BC53" s="625">
        <f t="shared" si="30"/>
        <v>0</v>
      </c>
      <c r="BD53" s="626">
        <f t="shared" si="31"/>
        <v>0</v>
      </c>
      <c r="BE53" s="626">
        <f t="shared" si="32"/>
        <v>0</v>
      </c>
      <c r="BF53" s="625">
        <f t="array" ref="BF53">IFERROR(INDEX('Malaria-Pharmaceuticals'!$AF$14:$AF$60,MATCH($E53&amp;$F53,'Malaria-Pharmaceuticals'!$E$14:$E$60&amp;'Malaria-Pharmaceuticals'!$I$14:$I$60,0)),0)</f>
        <v>0</v>
      </c>
      <c r="BG53" s="625">
        <f t="shared" si="33"/>
        <v>0</v>
      </c>
      <c r="BH53" s="626">
        <f t="shared" si="34"/>
        <v>0</v>
      </c>
      <c r="BI53" s="626">
        <f t="shared" si="35"/>
        <v>0</v>
      </c>
      <c r="BK53" s="626"/>
      <c r="BL53" s="626"/>
      <c r="BM53" s="626"/>
      <c r="BN53" s="626"/>
      <c r="BO53" s="626"/>
      <c r="BP53" s="626"/>
      <c r="BQ53" s="626"/>
      <c r="BR53" s="626"/>
      <c r="BT53" s="21" t="s">
        <v>6812</v>
      </c>
    </row>
    <row r="54" spans="1:72">
      <c r="A54" s="32" t="s">
        <v>576</v>
      </c>
      <c r="B54" s="32" t="s">
        <v>522</v>
      </c>
      <c r="C54" s="626">
        <f>SETUP!$F$50</f>
        <v>0</v>
      </c>
      <c r="D54" s="31">
        <v>4.3</v>
      </c>
      <c r="E54" s="32" t="s">
        <v>407</v>
      </c>
      <c r="F54" s="32" t="s">
        <v>411</v>
      </c>
      <c r="G54" s="625" t="str">
        <f t="array" ref="G54">IFERROR(INDEX('Malaria-Pharmaceuticals'!$L$14:$L$60,MATCH($E54&amp;$F54,'Malaria-Pharmaceuticals'!$E$14:$E$60&amp;'Malaria-Pharmaceuticals'!$I$14:$I$60,0)),"")</f>
        <v/>
      </c>
      <c r="H54" s="625" t="str">
        <f t="array" ref="H54">IFERROR(INDEX('Malaria-Pharmaceuticals'!$M$14:$M$60,MATCH($E54&amp;$F54,'Malaria-Pharmaceuticals'!$E$14:$E$60&amp;'Malaria-Pharmaceuticals'!$I$14:$I$60,0)),"")</f>
        <v/>
      </c>
      <c r="I54" s="625">
        <f t="array" ref="I54">IFERROR(INDEX('Malaria-Pharmaceuticals'!$N$14:$N$60,MATCH($E54&amp;$F54,'Malaria-Pharmaceuticals'!$E$14:$E$60&amp;'Malaria-Pharmaceuticals'!$I$14:$I$60,0)),0)</f>
        <v>0</v>
      </c>
      <c r="J54" s="625">
        <f t="array" ref="J54">IFERROR(INDEX('Malaria-Pharmaceuticals'!$O$14:$O$60,MATCH($E54&amp;$F54,'Malaria-Pharmaceuticals'!$E$14:$E$60&amp;'Malaria-Pharmaceuticals'!$I$14:$I$60,0)),0)</f>
        <v>0</v>
      </c>
      <c r="K54" s="626">
        <f t="shared" si="0"/>
        <v>0</v>
      </c>
      <c r="L54" s="626">
        <f t="shared" si="1"/>
        <v>0</v>
      </c>
      <c r="M54" s="626">
        <f t="shared" si="2"/>
        <v>0</v>
      </c>
      <c r="N54" s="625">
        <f t="array" ref="N54">IFERROR(INDEX('Malaria-Pharmaceuticals'!$P$14:$P$60,MATCH($E54&amp;$F54,'Malaria-Pharmaceuticals'!$E$14:$E$60&amp;'Malaria-Pharmaceuticals'!$I$14:$I$60,0)),0)</f>
        <v>0</v>
      </c>
      <c r="O54" s="626">
        <f t="shared" si="3"/>
        <v>0</v>
      </c>
      <c r="P54" s="626">
        <f t="shared" si="4"/>
        <v>0</v>
      </c>
      <c r="Q54" s="626">
        <f t="shared" si="5"/>
        <v>0</v>
      </c>
      <c r="R54" s="625">
        <f t="array" ref="R54">IFERROR(INDEX('Malaria-Pharmaceuticals'!$Q$14:$Q$60,MATCH($E54&amp;$F54,'Malaria-Pharmaceuticals'!$E$14:$E$60&amp;'Malaria-Pharmaceuticals'!$I$14:$I$60,0)),0)</f>
        <v>0</v>
      </c>
      <c r="S54" s="626">
        <f t="shared" si="6"/>
        <v>0</v>
      </c>
      <c r="T54" s="626">
        <f t="shared" si="7"/>
        <v>0</v>
      </c>
      <c r="U54" s="626">
        <f t="shared" si="8"/>
        <v>0</v>
      </c>
      <c r="V54" s="625">
        <f t="array" ref="V54">IFERROR(INDEX('Malaria-Pharmaceuticals'!$R$14:$R$60,MATCH($E54&amp;$F54,'Malaria-Pharmaceuticals'!$E$14:$E$60&amp;'Malaria-Pharmaceuticals'!$I$14:$I$60,0)),0)</f>
        <v>0</v>
      </c>
      <c r="W54" s="626">
        <f t="shared" si="9"/>
        <v>0</v>
      </c>
      <c r="X54" s="626">
        <f t="shared" si="10"/>
        <v>0</v>
      </c>
      <c r="Y54" s="626">
        <f t="shared" si="11"/>
        <v>0</v>
      </c>
      <c r="Z54" s="627"/>
      <c r="AA54" s="625">
        <f t="array" ref="AA54">IFERROR(INDEX('Malaria-Pharmaceuticals'!$U$14:$U$60,MATCH($E54&amp;$F54,'Malaria-Pharmaceuticals'!$E$14:$E$60&amp;'Malaria-Pharmaceuticals'!$I$14:$I$60,0)),0)</f>
        <v>0</v>
      </c>
      <c r="AB54" s="625">
        <f t="array" ref="AB54">IFERROR(INDEX('Malaria-Pharmaceuticals'!$V$14:$V$60,MATCH($E54&amp;$F54,'Malaria-Pharmaceuticals'!$E$14:$E$60&amp;'Malaria-Pharmaceuticals'!$I$14:$I$60,0)),0)</f>
        <v>0</v>
      </c>
      <c r="AC54" s="625">
        <f t="shared" si="12"/>
        <v>0</v>
      </c>
      <c r="AD54" s="626">
        <f t="shared" si="13"/>
        <v>0</v>
      </c>
      <c r="AE54" s="626">
        <f t="shared" si="14"/>
        <v>0</v>
      </c>
      <c r="AF54" s="625">
        <f t="array" ref="AF54">IFERROR(INDEX('Malaria-Pharmaceuticals'!$W$14:$W$60,MATCH($E54&amp;$F54,'Malaria-Pharmaceuticals'!$E$14:$E$60&amp;'Malaria-Pharmaceuticals'!$I$14:$I$60,0)),0)</f>
        <v>0</v>
      </c>
      <c r="AG54" s="625">
        <f t="shared" si="15"/>
        <v>0</v>
      </c>
      <c r="AH54" s="626">
        <f t="shared" si="16"/>
        <v>0</v>
      </c>
      <c r="AI54" s="626">
        <f t="shared" si="17"/>
        <v>0</v>
      </c>
      <c r="AJ54" s="625">
        <f t="array" ref="AJ54">IFERROR(INDEX('Malaria-Pharmaceuticals'!$X$14:$X$60,MATCH($E54&amp;$F54,'Malaria-Pharmaceuticals'!$E$14:$E$60&amp;'Malaria-Pharmaceuticals'!$I$14:$I$60,0)),0)</f>
        <v>0</v>
      </c>
      <c r="AK54" s="625">
        <f t="shared" si="18"/>
        <v>0</v>
      </c>
      <c r="AL54" s="626">
        <f t="shared" si="19"/>
        <v>0</v>
      </c>
      <c r="AM54" s="626">
        <f t="shared" si="20"/>
        <v>0</v>
      </c>
      <c r="AN54" s="625">
        <f t="array" ref="AN54">IFERROR(INDEX('Malaria-Pharmaceuticals'!$Y$14:$Y$60,MATCH($E54&amp;$F54,'Malaria-Pharmaceuticals'!$E$14:$E$60&amp;'Malaria-Pharmaceuticals'!$I$14:$I$60,0)),0)</f>
        <v>0</v>
      </c>
      <c r="AO54" s="625">
        <f t="shared" si="21"/>
        <v>0</v>
      </c>
      <c r="AP54" s="626">
        <f t="shared" si="22"/>
        <v>0</v>
      </c>
      <c r="AQ54" s="626">
        <f t="shared" si="23"/>
        <v>0</v>
      </c>
      <c r="AR54" s="627"/>
      <c r="AS54" s="625">
        <f t="array" ref="AS54">IFERROR(INDEX('Malaria-Pharmaceuticals'!$AB$14:$AB$60,MATCH($E54&amp;$F54,'Malaria-Pharmaceuticals'!$E$14:$E$60&amp;'Malaria-Pharmaceuticals'!$I$14:$I$60,0)),0)</f>
        <v>0</v>
      </c>
      <c r="AT54" s="625">
        <f t="array" ref="AT54">IFERROR(INDEX('Malaria-Pharmaceuticals'!$AC$14:$AC$60,MATCH($E54&amp;$F54,'Malaria-Pharmaceuticals'!$E$14:$E$60&amp;'Malaria-Pharmaceuticals'!$I$14:$I$60,0)),0)</f>
        <v>0</v>
      </c>
      <c r="AU54" s="625">
        <f t="shared" si="24"/>
        <v>0</v>
      </c>
      <c r="AV54" s="626">
        <f t="shared" si="25"/>
        <v>0</v>
      </c>
      <c r="AW54" s="626">
        <f t="shared" si="26"/>
        <v>0</v>
      </c>
      <c r="AX54" s="625">
        <f t="array" ref="AX54">IFERROR(INDEX('Malaria-Pharmaceuticals'!$AD$14:$AD$60,MATCH($E54&amp;$F54,'Malaria-Pharmaceuticals'!$E$14:$E$60&amp;'Malaria-Pharmaceuticals'!$I$14:$I$60,0)),0)</f>
        <v>0</v>
      </c>
      <c r="AY54" s="625">
        <f t="shared" si="27"/>
        <v>0</v>
      </c>
      <c r="AZ54" s="626">
        <f t="shared" si="28"/>
        <v>0</v>
      </c>
      <c r="BA54" s="626">
        <f t="shared" si="29"/>
        <v>0</v>
      </c>
      <c r="BB54" s="625">
        <f t="array" ref="BB54">IFERROR(INDEX('Malaria-Pharmaceuticals'!$AE$14:$AE$60,MATCH($E54&amp;$F54,'Malaria-Pharmaceuticals'!$E$14:$E$60&amp;'Malaria-Pharmaceuticals'!$I$14:$I$60,0)),0)</f>
        <v>0</v>
      </c>
      <c r="BC54" s="625">
        <f t="shared" si="30"/>
        <v>0</v>
      </c>
      <c r="BD54" s="626">
        <f t="shared" si="31"/>
        <v>0</v>
      </c>
      <c r="BE54" s="626">
        <f t="shared" si="32"/>
        <v>0</v>
      </c>
      <c r="BF54" s="625">
        <f t="array" ref="BF54">IFERROR(INDEX('Malaria-Pharmaceuticals'!$AF$14:$AF$60,MATCH($E54&amp;$F54,'Malaria-Pharmaceuticals'!$E$14:$E$60&amp;'Malaria-Pharmaceuticals'!$I$14:$I$60,0)),0)</f>
        <v>0</v>
      </c>
      <c r="BG54" s="625">
        <f t="shared" si="33"/>
        <v>0</v>
      </c>
      <c r="BH54" s="626">
        <f t="shared" si="34"/>
        <v>0</v>
      </c>
      <c r="BI54" s="626">
        <f t="shared" si="35"/>
        <v>0</v>
      </c>
      <c r="BK54" s="626"/>
      <c r="BL54" s="626"/>
      <c r="BM54" s="626"/>
      <c r="BN54" s="626"/>
      <c r="BO54" s="626"/>
      <c r="BP54" s="626"/>
      <c r="BQ54" s="626"/>
      <c r="BR54" s="626"/>
      <c r="BT54" s="21" t="s">
        <v>6813</v>
      </c>
    </row>
    <row r="55" spans="1:72">
      <c r="A55" s="32" t="s">
        <v>576</v>
      </c>
      <c r="B55" s="32" t="s">
        <v>522</v>
      </c>
      <c r="C55" s="626">
        <f>SETUP!$F$50</f>
        <v>0</v>
      </c>
      <c r="D55" s="31">
        <v>4.3</v>
      </c>
      <c r="E55" s="32" t="s">
        <v>408</v>
      </c>
      <c r="F55" s="32" t="s">
        <v>412</v>
      </c>
      <c r="G55" s="625" t="str">
        <f t="array" ref="G55">IFERROR(INDEX('Malaria-Pharmaceuticals'!$L$14:$L$60,MATCH($E55&amp;$F55,'Malaria-Pharmaceuticals'!$E$14:$E$60&amp;'Malaria-Pharmaceuticals'!$I$14:$I$60,0)),"")</f>
        <v/>
      </c>
      <c r="H55" s="625" t="str">
        <f t="array" ref="H55">IFERROR(INDEX('Malaria-Pharmaceuticals'!$M$14:$M$60,MATCH($E55&amp;$F55,'Malaria-Pharmaceuticals'!$E$14:$E$60&amp;'Malaria-Pharmaceuticals'!$I$14:$I$60,0)),"")</f>
        <v/>
      </c>
      <c r="I55" s="625">
        <f t="array" ref="I55">IFERROR(INDEX('Malaria-Pharmaceuticals'!$N$14:$N$60,MATCH($E55&amp;$F55,'Malaria-Pharmaceuticals'!$E$14:$E$60&amp;'Malaria-Pharmaceuticals'!$I$14:$I$60,0)),0)</f>
        <v>0</v>
      </c>
      <c r="J55" s="625">
        <f t="array" ref="J55">IFERROR(INDEX('Malaria-Pharmaceuticals'!$O$14:$O$60,MATCH($E55&amp;$F55,'Malaria-Pharmaceuticals'!$E$14:$E$60&amp;'Malaria-Pharmaceuticals'!$I$14:$I$60,0)),0)</f>
        <v>0</v>
      </c>
      <c r="K55" s="626">
        <f t="shared" si="0"/>
        <v>0</v>
      </c>
      <c r="L55" s="626">
        <f t="shared" si="1"/>
        <v>0</v>
      </c>
      <c r="M55" s="626">
        <f t="shared" si="2"/>
        <v>0</v>
      </c>
      <c r="N55" s="625">
        <f t="array" ref="N55">IFERROR(INDEX('Malaria-Pharmaceuticals'!$P$14:$P$60,MATCH($E55&amp;$F55,'Malaria-Pharmaceuticals'!$E$14:$E$60&amp;'Malaria-Pharmaceuticals'!$I$14:$I$60,0)),0)</f>
        <v>0</v>
      </c>
      <c r="O55" s="626">
        <f t="shared" si="3"/>
        <v>0</v>
      </c>
      <c r="P55" s="626">
        <f t="shared" si="4"/>
        <v>0</v>
      </c>
      <c r="Q55" s="626">
        <f t="shared" si="5"/>
        <v>0</v>
      </c>
      <c r="R55" s="625">
        <f t="array" ref="R55">IFERROR(INDEX('Malaria-Pharmaceuticals'!$Q$14:$Q$60,MATCH($E55&amp;$F55,'Malaria-Pharmaceuticals'!$E$14:$E$60&amp;'Malaria-Pharmaceuticals'!$I$14:$I$60,0)),0)</f>
        <v>0</v>
      </c>
      <c r="S55" s="626">
        <f t="shared" si="6"/>
        <v>0</v>
      </c>
      <c r="T55" s="626">
        <f t="shared" si="7"/>
        <v>0</v>
      </c>
      <c r="U55" s="626">
        <f t="shared" si="8"/>
        <v>0</v>
      </c>
      <c r="V55" s="625">
        <f t="array" ref="V55">IFERROR(INDEX('Malaria-Pharmaceuticals'!$R$14:$R$60,MATCH($E55&amp;$F55,'Malaria-Pharmaceuticals'!$E$14:$E$60&amp;'Malaria-Pharmaceuticals'!$I$14:$I$60,0)),0)</f>
        <v>0</v>
      </c>
      <c r="W55" s="626">
        <f t="shared" si="9"/>
        <v>0</v>
      </c>
      <c r="X55" s="626">
        <f t="shared" si="10"/>
        <v>0</v>
      </c>
      <c r="Y55" s="626">
        <f t="shared" si="11"/>
        <v>0</v>
      </c>
      <c r="Z55" s="627"/>
      <c r="AA55" s="625">
        <f t="array" ref="AA55">IFERROR(INDEX('Malaria-Pharmaceuticals'!$U$14:$U$60,MATCH($E55&amp;$F55,'Malaria-Pharmaceuticals'!$E$14:$E$60&amp;'Malaria-Pharmaceuticals'!$I$14:$I$60,0)),0)</f>
        <v>0</v>
      </c>
      <c r="AB55" s="625">
        <f t="array" ref="AB55">IFERROR(INDEX('Malaria-Pharmaceuticals'!$V$14:$V$60,MATCH($E55&amp;$F55,'Malaria-Pharmaceuticals'!$E$14:$E$60&amp;'Malaria-Pharmaceuticals'!$I$14:$I$60,0)),0)</f>
        <v>0</v>
      </c>
      <c r="AC55" s="625">
        <f t="shared" si="12"/>
        <v>0</v>
      </c>
      <c r="AD55" s="626">
        <f t="shared" si="13"/>
        <v>0</v>
      </c>
      <c r="AE55" s="626">
        <f t="shared" si="14"/>
        <v>0</v>
      </c>
      <c r="AF55" s="625">
        <f t="array" ref="AF55">IFERROR(INDEX('Malaria-Pharmaceuticals'!$W$14:$W$60,MATCH($E55&amp;$F55,'Malaria-Pharmaceuticals'!$E$14:$E$60&amp;'Malaria-Pharmaceuticals'!$I$14:$I$60,0)),0)</f>
        <v>0</v>
      </c>
      <c r="AG55" s="625">
        <f t="shared" si="15"/>
        <v>0</v>
      </c>
      <c r="AH55" s="626">
        <f t="shared" si="16"/>
        <v>0</v>
      </c>
      <c r="AI55" s="626">
        <f t="shared" si="17"/>
        <v>0</v>
      </c>
      <c r="AJ55" s="625">
        <f t="array" ref="AJ55">IFERROR(INDEX('Malaria-Pharmaceuticals'!$X$14:$X$60,MATCH($E55&amp;$F55,'Malaria-Pharmaceuticals'!$E$14:$E$60&amp;'Malaria-Pharmaceuticals'!$I$14:$I$60,0)),0)</f>
        <v>0</v>
      </c>
      <c r="AK55" s="625">
        <f t="shared" si="18"/>
        <v>0</v>
      </c>
      <c r="AL55" s="626">
        <f t="shared" si="19"/>
        <v>0</v>
      </c>
      <c r="AM55" s="626">
        <f t="shared" si="20"/>
        <v>0</v>
      </c>
      <c r="AN55" s="625">
        <f t="array" ref="AN55">IFERROR(INDEX('Malaria-Pharmaceuticals'!$Y$14:$Y$60,MATCH($E55&amp;$F55,'Malaria-Pharmaceuticals'!$E$14:$E$60&amp;'Malaria-Pharmaceuticals'!$I$14:$I$60,0)),0)</f>
        <v>0</v>
      </c>
      <c r="AO55" s="625">
        <f t="shared" si="21"/>
        <v>0</v>
      </c>
      <c r="AP55" s="626">
        <f t="shared" si="22"/>
        <v>0</v>
      </c>
      <c r="AQ55" s="626">
        <f t="shared" si="23"/>
        <v>0</v>
      </c>
      <c r="AR55" s="627"/>
      <c r="AS55" s="625">
        <f t="array" ref="AS55">IFERROR(INDEX('Malaria-Pharmaceuticals'!$AB$14:$AB$60,MATCH($E55&amp;$F55,'Malaria-Pharmaceuticals'!$E$14:$E$60&amp;'Malaria-Pharmaceuticals'!$I$14:$I$60,0)),0)</f>
        <v>0</v>
      </c>
      <c r="AT55" s="625">
        <f t="array" ref="AT55">IFERROR(INDEX('Malaria-Pharmaceuticals'!$AC$14:$AC$60,MATCH($E55&amp;$F55,'Malaria-Pharmaceuticals'!$E$14:$E$60&amp;'Malaria-Pharmaceuticals'!$I$14:$I$60,0)),0)</f>
        <v>0</v>
      </c>
      <c r="AU55" s="625">
        <f t="shared" si="24"/>
        <v>0</v>
      </c>
      <c r="AV55" s="626">
        <f t="shared" si="25"/>
        <v>0</v>
      </c>
      <c r="AW55" s="626">
        <f t="shared" si="26"/>
        <v>0</v>
      </c>
      <c r="AX55" s="625">
        <f t="array" ref="AX55">IFERROR(INDEX('Malaria-Pharmaceuticals'!$AD$14:$AD$60,MATCH($E55&amp;$F55,'Malaria-Pharmaceuticals'!$E$14:$E$60&amp;'Malaria-Pharmaceuticals'!$I$14:$I$60,0)),0)</f>
        <v>0</v>
      </c>
      <c r="AY55" s="625">
        <f t="shared" si="27"/>
        <v>0</v>
      </c>
      <c r="AZ55" s="626">
        <f t="shared" si="28"/>
        <v>0</v>
      </c>
      <c r="BA55" s="626">
        <f t="shared" si="29"/>
        <v>0</v>
      </c>
      <c r="BB55" s="625">
        <f t="array" ref="BB55">IFERROR(INDEX('Malaria-Pharmaceuticals'!$AE$14:$AE$60,MATCH($E55&amp;$F55,'Malaria-Pharmaceuticals'!$E$14:$E$60&amp;'Malaria-Pharmaceuticals'!$I$14:$I$60,0)),0)</f>
        <v>0</v>
      </c>
      <c r="BC55" s="625">
        <f t="shared" si="30"/>
        <v>0</v>
      </c>
      <c r="BD55" s="626">
        <f t="shared" si="31"/>
        <v>0</v>
      </c>
      <c r="BE55" s="626">
        <f t="shared" si="32"/>
        <v>0</v>
      </c>
      <c r="BF55" s="625">
        <f t="array" ref="BF55">IFERROR(INDEX('Malaria-Pharmaceuticals'!$AF$14:$AF$60,MATCH($E55&amp;$F55,'Malaria-Pharmaceuticals'!$E$14:$E$60&amp;'Malaria-Pharmaceuticals'!$I$14:$I$60,0)),0)</f>
        <v>0</v>
      </c>
      <c r="BG55" s="625">
        <f t="shared" si="33"/>
        <v>0</v>
      </c>
      <c r="BH55" s="626">
        <f t="shared" si="34"/>
        <v>0</v>
      </c>
      <c r="BI55" s="626">
        <f t="shared" si="35"/>
        <v>0</v>
      </c>
      <c r="BK55" s="626"/>
      <c r="BL55" s="626"/>
      <c r="BM55" s="626"/>
      <c r="BN55" s="626"/>
      <c r="BO55" s="626"/>
      <c r="BP55" s="626"/>
      <c r="BQ55" s="626"/>
      <c r="BR55" s="626"/>
      <c r="BT55" s="21" t="s">
        <v>6814</v>
      </c>
    </row>
    <row r="56" spans="1:72">
      <c r="A56" s="32" t="s">
        <v>576</v>
      </c>
      <c r="B56" s="32" t="s">
        <v>522</v>
      </c>
      <c r="C56" s="626">
        <f>SETUP!$F$50</f>
        <v>0</v>
      </c>
      <c r="D56" s="31">
        <v>4.3</v>
      </c>
      <c r="E56" s="32" t="s">
        <v>408</v>
      </c>
      <c r="F56" s="32" t="s">
        <v>413</v>
      </c>
      <c r="G56" s="625" t="str">
        <f t="array" ref="G56">IFERROR(INDEX('Malaria-Pharmaceuticals'!$L$14:$L$60,MATCH($E56&amp;$F56,'Malaria-Pharmaceuticals'!$E$14:$E$60&amp;'Malaria-Pharmaceuticals'!$I$14:$I$60,0)),"")</f>
        <v/>
      </c>
      <c r="H56" s="625" t="str">
        <f t="array" ref="H56">IFERROR(INDEX('Malaria-Pharmaceuticals'!$M$14:$M$60,MATCH($E56&amp;$F56,'Malaria-Pharmaceuticals'!$E$14:$E$60&amp;'Malaria-Pharmaceuticals'!$I$14:$I$60,0)),"")</f>
        <v/>
      </c>
      <c r="I56" s="625">
        <f t="array" ref="I56">IFERROR(INDEX('Malaria-Pharmaceuticals'!$N$14:$N$60,MATCH($E56&amp;$F56,'Malaria-Pharmaceuticals'!$E$14:$E$60&amp;'Malaria-Pharmaceuticals'!$I$14:$I$60,0)),0)</f>
        <v>0</v>
      </c>
      <c r="J56" s="625">
        <f t="array" ref="J56">IFERROR(INDEX('Malaria-Pharmaceuticals'!$O$14:$O$60,MATCH($E56&amp;$F56,'Malaria-Pharmaceuticals'!$E$14:$E$60&amp;'Malaria-Pharmaceuticals'!$I$14:$I$60,0)),0)</f>
        <v>0</v>
      </c>
      <c r="K56" s="626">
        <f t="shared" si="0"/>
        <v>0</v>
      </c>
      <c r="L56" s="626">
        <f t="shared" si="1"/>
        <v>0</v>
      </c>
      <c r="M56" s="626">
        <f t="shared" si="2"/>
        <v>0</v>
      </c>
      <c r="N56" s="625">
        <f t="array" ref="N56">IFERROR(INDEX('Malaria-Pharmaceuticals'!$P$14:$P$60,MATCH($E56&amp;$F56,'Malaria-Pharmaceuticals'!$E$14:$E$60&amp;'Malaria-Pharmaceuticals'!$I$14:$I$60,0)),0)</f>
        <v>0</v>
      </c>
      <c r="O56" s="626">
        <f t="shared" si="3"/>
        <v>0</v>
      </c>
      <c r="P56" s="626">
        <f t="shared" si="4"/>
        <v>0</v>
      </c>
      <c r="Q56" s="626">
        <f t="shared" si="5"/>
        <v>0</v>
      </c>
      <c r="R56" s="625">
        <f t="array" ref="R56">IFERROR(INDEX('Malaria-Pharmaceuticals'!$Q$14:$Q$60,MATCH($E56&amp;$F56,'Malaria-Pharmaceuticals'!$E$14:$E$60&amp;'Malaria-Pharmaceuticals'!$I$14:$I$60,0)),0)</f>
        <v>0</v>
      </c>
      <c r="S56" s="626">
        <f t="shared" si="6"/>
        <v>0</v>
      </c>
      <c r="T56" s="626">
        <f t="shared" si="7"/>
        <v>0</v>
      </c>
      <c r="U56" s="626">
        <f t="shared" si="8"/>
        <v>0</v>
      </c>
      <c r="V56" s="625">
        <f t="array" ref="V56">IFERROR(INDEX('Malaria-Pharmaceuticals'!$R$14:$R$60,MATCH($E56&amp;$F56,'Malaria-Pharmaceuticals'!$E$14:$E$60&amp;'Malaria-Pharmaceuticals'!$I$14:$I$60,0)),0)</f>
        <v>0</v>
      </c>
      <c r="W56" s="626">
        <f t="shared" si="9"/>
        <v>0</v>
      </c>
      <c r="X56" s="626">
        <f t="shared" si="10"/>
        <v>0</v>
      </c>
      <c r="Y56" s="626">
        <f t="shared" si="11"/>
        <v>0</v>
      </c>
      <c r="Z56" s="627"/>
      <c r="AA56" s="625">
        <f t="array" ref="AA56">IFERROR(INDEX('Malaria-Pharmaceuticals'!$U$14:$U$60,MATCH($E56&amp;$F56,'Malaria-Pharmaceuticals'!$E$14:$E$60&amp;'Malaria-Pharmaceuticals'!$I$14:$I$60,0)),0)</f>
        <v>0</v>
      </c>
      <c r="AB56" s="625">
        <f t="array" ref="AB56">IFERROR(INDEX('Malaria-Pharmaceuticals'!$V$14:$V$60,MATCH($E56&amp;$F56,'Malaria-Pharmaceuticals'!$E$14:$E$60&amp;'Malaria-Pharmaceuticals'!$I$14:$I$60,0)),0)</f>
        <v>0</v>
      </c>
      <c r="AC56" s="625">
        <f t="shared" si="12"/>
        <v>0</v>
      </c>
      <c r="AD56" s="626">
        <f t="shared" si="13"/>
        <v>0</v>
      </c>
      <c r="AE56" s="626">
        <f t="shared" si="14"/>
        <v>0</v>
      </c>
      <c r="AF56" s="625">
        <f t="array" ref="AF56">IFERROR(INDEX('Malaria-Pharmaceuticals'!$W$14:$W$60,MATCH($E56&amp;$F56,'Malaria-Pharmaceuticals'!$E$14:$E$60&amp;'Malaria-Pharmaceuticals'!$I$14:$I$60,0)),0)</f>
        <v>0</v>
      </c>
      <c r="AG56" s="625">
        <f t="shared" si="15"/>
        <v>0</v>
      </c>
      <c r="AH56" s="626">
        <f t="shared" si="16"/>
        <v>0</v>
      </c>
      <c r="AI56" s="626">
        <f t="shared" si="17"/>
        <v>0</v>
      </c>
      <c r="AJ56" s="625">
        <f t="array" ref="AJ56">IFERROR(INDEX('Malaria-Pharmaceuticals'!$X$14:$X$60,MATCH($E56&amp;$F56,'Malaria-Pharmaceuticals'!$E$14:$E$60&amp;'Malaria-Pharmaceuticals'!$I$14:$I$60,0)),0)</f>
        <v>0</v>
      </c>
      <c r="AK56" s="625">
        <f t="shared" si="18"/>
        <v>0</v>
      </c>
      <c r="AL56" s="626">
        <f t="shared" si="19"/>
        <v>0</v>
      </c>
      <c r="AM56" s="626">
        <f t="shared" si="20"/>
        <v>0</v>
      </c>
      <c r="AN56" s="625">
        <f t="array" ref="AN56">IFERROR(INDEX('Malaria-Pharmaceuticals'!$Y$14:$Y$60,MATCH($E56&amp;$F56,'Malaria-Pharmaceuticals'!$E$14:$E$60&amp;'Malaria-Pharmaceuticals'!$I$14:$I$60,0)),0)</f>
        <v>0</v>
      </c>
      <c r="AO56" s="625">
        <f t="shared" si="21"/>
        <v>0</v>
      </c>
      <c r="AP56" s="626">
        <f t="shared" si="22"/>
        <v>0</v>
      </c>
      <c r="AQ56" s="626">
        <f t="shared" si="23"/>
        <v>0</v>
      </c>
      <c r="AR56" s="627"/>
      <c r="AS56" s="625">
        <f t="array" ref="AS56">IFERROR(INDEX('Malaria-Pharmaceuticals'!$AB$14:$AB$60,MATCH($E56&amp;$F56,'Malaria-Pharmaceuticals'!$E$14:$E$60&amp;'Malaria-Pharmaceuticals'!$I$14:$I$60,0)),0)</f>
        <v>0</v>
      </c>
      <c r="AT56" s="625">
        <f t="array" ref="AT56">IFERROR(INDEX('Malaria-Pharmaceuticals'!$AC$14:$AC$60,MATCH($E56&amp;$F56,'Malaria-Pharmaceuticals'!$E$14:$E$60&amp;'Malaria-Pharmaceuticals'!$I$14:$I$60,0)),0)</f>
        <v>0</v>
      </c>
      <c r="AU56" s="625">
        <f t="shared" si="24"/>
        <v>0</v>
      </c>
      <c r="AV56" s="626">
        <f t="shared" si="25"/>
        <v>0</v>
      </c>
      <c r="AW56" s="626">
        <f t="shared" si="26"/>
        <v>0</v>
      </c>
      <c r="AX56" s="625">
        <f t="array" ref="AX56">IFERROR(INDEX('Malaria-Pharmaceuticals'!$AD$14:$AD$60,MATCH($E56&amp;$F56,'Malaria-Pharmaceuticals'!$E$14:$E$60&amp;'Malaria-Pharmaceuticals'!$I$14:$I$60,0)),0)</f>
        <v>0</v>
      </c>
      <c r="AY56" s="625">
        <f t="shared" si="27"/>
        <v>0</v>
      </c>
      <c r="AZ56" s="626">
        <f t="shared" si="28"/>
        <v>0</v>
      </c>
      <c r="BA56" s="626">
        <f t="shared" si="29"/>
        <v>0</v>
      </c>
      <c r="BB56" s="625">
        <f t="array" ref="BB56">IFERROR(INDEX('Malaria-Pharmaceuticals'!$AE$14:$AE$60,MATCH($E56&amp;$F56,'Malaria-Pharmaceuticals'!$E$14:$E$60&amp;'Malaria-Pharmaceuticals'!$I$14:$I$60,0)),0)</f>
        <v>0</v>
      </c>
      <c r="BC56" s="625">
        <f t="shared" si="30"/>
        <v>0</v>
      </c>
      <c r="BD56" s="626">
        <f t="shared" si="31"/>
        <v>0</v>
      </c>
      <c r="BE56" s="626">
        <f t="shared" si="32"/>
        <v>0</v>
      </c>
      <c r="BF56" s="625">
        <f t="array" ref="BF56">IFERROR(INDEX('Malaria-Pharmaceuticals'!$AF$14:$AF$60,MATCH($E56&amp;$F56,'Malaria-Pharmaceuticals'!$E$14:$E$60&amp;'Malaria-Pharmaceuticals'!$I$14:$I$60,0)),0)</f>
        <v>0</v>
      </c>
      <c r="BG56" s="625">
        <f t="shared" si="33"/>
        <v>0</v>
      </c>
      <c r="BH56" s="626">
        <f t="shared" si="34"/>
        <v>0</v>
      </c>
      <c r="BI56" s="626">
        <f t="shared" si="35"/>
        <v>0</v>
      </c>
      <c r="BK56" s="626"/>
      <c r="BL56" s="626"/>
      <c r="BM56" s="626"/>
      <c r="BN56" s="626"/>
      <c r="BO56" s="626"/>
      <c r="BP56" s="626"/>
      <c r="BQ56" s="626"/>
      <c r="BR56" s="626"/>
      <c r="BT56" s="21" t="s">
        <v>6814</v>
      </c>
    </row>
    <row r="57" spans="1:72">
      <c r="A57" s="32" t="s">
        <v>576</v>
      </c>
      <c r="B57" s="32" t="s">
        <v>522</v>
      </c>
      <c r="C57" s="626">
        <f>SETUP!$F$50</f>
        <v>0</v>
      </c>
      <c r="D57" s="31">
        <v>4.3</v>
      </c>
      <c r="E57" s="32" t="s">
        <v>408</v>
      </c>
      <c r="F57" s="32" t="s">
        <v>1149</v>
      </c>
      <c r="G57" s="625" t="str">
        <f t="array" ref="G57">IFERROR(INDEX('Malaria-Pharmaceuticals'!$L$14:$L$60,MATCH($E57&amp;$F57,'Malaria-Pharmaceuticals'!$E$14:$E$60&amp;'Malaria-Pharmaceuticals'!$I$14:$I$60,0)),"")</f>
        <v/>
      </c>
      <c r="H57" s="625" t="str">
        <f t="array" ref="H57">IFERROR(INDEX('Malaria-Pharmaceuticals'!$M$14:$M$60,MATCH($E57&amp;$F57,'Malaria-Pharmaceuticals'!$E$14:$E$60&amp;'Malaria-Pharmaceuticals'!$I$14:$I$60,0)),"")</f>
        <v/>
      </c>
      <c r="I57" s="625">
        <f t="array" ref="I57">IFERROR(INDEX('Malaria-Pharmaceuticals'!$N$14:$N$60,MATCH($E57&amp;$F57,'Malaria-Pharmaceuticals'!$E$14:$E$60&amp;'Malaria-Pharmaceuticals'!$I$14:$I$60,0)),0)</f>
        <v>0</v>
      </c>
      <c r="J57" s="625">
        <f t="array" ref="J57">IFERROR(INDEX('Malaria-Pharmaceuticals'!$O$14:$O$60,MATCH($E57&amp;$F57,'Malaria-Pharmaceuticals'!$E$14:$E$60&amp;'Malaria-Pharmaceuticals'!$I$14:$I$60,0)),0)</f>
        <v>0</v>
      </c>
      <c r="K57" s="626">
        <f t="shared" si="0"/>
        <v>0</v>
      </c>
      <c r="L57" s="626">
        <f t="shared" si="1"/>
        <v>0</v>
      </c>
      <c r="M57" s="626">
        <f t="shared" si="2"/>
        <v>0</v>
      </c>
      <c r="N57" s="625">
        <f t="array" ref="N57">IFERROR(INDEX('Malaria-Pharmaceuticals'!$P$14:$P$60,MATCH($E57&amp;$F57,'Malaria-Pharmaceuticals'!$E$14:$E$60&amp;'Malaria-Pharmaceuticals'!$I$14:$I$60,0)),0)</f>
        <v>0</v>
      </c>
      <c r="O57" s="626">
        <f t="shared" si="3"/>
        <v>0</v>
      </c>
      <c r="P57" s="626">
        <f t="shared" si="4"/>
        <v>0</v>
      </c>
      <c r="Q57" s="626">
        <f t="shared" si="5"/>
        <v>0</v>
      </c>
      <c r="R57" s="625">
        <f t="array" ref="R57">IFERROR(INDEX('Malaria-Pharmaceuticals'!$Q$14:$Q$60,MATCH($E57&amp;$F57,'Malaria-Pharmaceuticals'!$E$14:$E$60&amp;'Malaria-Pharmaceuticals'!$I$14:$I$60,0)),0)</f>
        <v>0</v>
      </c>
      <c r="S57" s="626">
        <f t="shared" si="6"/>
        <v>0</v>
      </c>
      <c r="T57" s="626">
        <f t="shared" si="7"/>
        <v>0</v>
      </c>
      <c r="U57" s="626">
        <f t="shared" si="8"/>
        <v>0</v>
      </c>
      <c r="V57" s="625">
        <f t="array" ref="V57">IFERROR(INDEX('Malaria-Pharmaceuticals'!$R$14:$R$60,MATCH($E57&amp;$F57,'Malaria-Pharmaceuticals'!$E$14:$E$60&amp;'Malaria-Pharmaceuticals'!$I$14:$I$60,0)),0)</f>
        <v>0</v>
      </c>
      <c r="W57" s="626">
        <f t="shared" si="9"/>
        <v>0</v>
      </c>
      <c r="X57" s="626">
        <f t="shared" si="10"/>
        <v>0</v>
      </c>
      <c r="Y57" s="626">
        <f t="shared" si="11"/>
        <v>0</v>
      </c>
      <c r="Z57" s="627"/>
      <c r="AA57" s="625">
        <f t="array" ref="AA57">IFERROR(INDEX('Malaria-Pharmaceuticals'!$U$14:$U$60,MATCH($E57&amp;$F57,'Malaria-Pharmaceuticals'!$E$14:$E$60&amp;'Malaria-Pharmaceuticals'!$I$14:$I$60,0)),0)</f>
        <v>0</v>
      </c>
      <c r="AB57" s="625">
        <f t="array" ref="AB57">IFERROR(INDEX('Malaria-Pharmaceuticals'!$V$14:$V$60,MATCH($E57&amp;$F57,'Malaria-Pharmaceuticals'!$E$14:$E$60&amp;'Malaria-Pharmaceuticals'!$I$14:$I$60,0)),0)</f>
        <v>0</v>
      </c>
      <c r="AC57" s="625">
        <f t="shared" si="12"/>
        <v>0</v>
      </c>
      <c r="AD57" s="626">
        <f t="shared" si="13"/>
        <v>0</v>
      </c>
      <c r="AE57" s="626">
        <f t="shared" si="14"/>
        <v>0</v>
      </c>
      <c r="AF57" s="625">
        <f t="array" ref="AF57">IFERROR(INDEX('Malaria-Pharmaceuticals'!$W$14:$W$60,MATCH($E57&amp;$F57,'Malaria-Pharmaceuticals'!$E$14:$E$60&amp;'Malaria-Pharmaceuticals'!$I$14:$I$60,0)),0)</f>
        <v>0</v>
      </c>
      <c r="AG57" s="625">
        <f t="shared" si="15"/>
        <v>0</v>
      </c>
      <c r="AH57" s="626">
        <f t="shared" si="16"/>
        <v>0</v>
      </c>
      <c r="AI57" s="626">
        <f t="shared" si="17"/>
        <v>0</v>
      </c>
      <c r="AJ57" s="625">
        <f t="array" ref="AJ57">IFERROR(INDEX('Malaria-Pharmaceuticals'!$X$14:$X$60,MATCH($E57&amp;$F57,'Malaria-Pharmaceuticals'!$E$14:$E$60&amp;'Malaria-Pharmaceuticals'!$I$14:$I$60,0)),0)</f>
        <v>0</v>
      </c>
      <c r="AK57" s="625">
        <f t="shared" si="18"/>
        <v>0</v>
      </c>
      <c r="AL57" s="626">
        <f t="shared" si="19"/>
        <v>0</v>
      </c>
      <c r="AM57" s="626">
        <f t="shared" si="20"/>
        <v>0</v>
      </c>
      <c r="AN57" s="625">
        <f t="array" ref="AN57">IFERROR(INDEX('Malaria-Pharmaceuticals'!$Y$14:$Y$60,MATCH($E57&amp;$F57,'Malaria-Pharmaceuticals'!$E$14:$E$60&amp;'Malaria-Pharmaceuticals'!$I$14:$I$60,0)),0)</f>
        <v>0</v>
      </c>
      <c r="AO57" s="625">
        <f t="shared" si="21"/>
        <v>0</v>
      </c>
      <c r="AP57" s="626">
        <f t="shared" si="22"/>
        <v>0</v>
      </c>
      <c r="AQ57" s="626">
        <f t="shared" si="23"/>
        <v>0</v>
      </c>
      <c r="AR57" s="627"/>
      <c r="AS57" s="625">
        <f t="array" ref="AS57">IFERROR(INDEX('Malaria-Pharmaceuticals'!$AB$14:$AB$60,MATCH($E57&amp;$F57,'Malaria-Pharmaceuticals'!$E$14:$E$60&amp;'Malaria-Pharmaceuticals'!$I$14:$I$60,0)),0)</f>
        <v>0</v>
      </c>
      <c r="AT57" s="625">
        <f t="array" ref="AT57">IFERROR(INDEX('Malaria-Pharmaceuticals'!$AC$14:$AC$60,MATCH($E57&amp;$F57,'Malaria-Pharmaceuticals'!$E$14:$E$60&amp;'Malaria-Pharmaceuticals'!$I$14:$I$60,0)),0)</f>
        <v>0</v>
      </c>
      <c r="AU57" s="625">
        <f t="shared" si="24"/>
        <v>0</v>
      </c>
      <c r="AV57" s="626">
        <f t="shared" si="25"/>
        <v>0</v>
      </c>
      <c r="AW57" s="626">
        <f t="shared" si="26"/>
        <v>0</v>
      </c>
      <c r="AX57" s="625">
        <f t="array" ref="AX57">IFERROR(INDEX('Malaria-Pharmaceuticals'!$AD$14:$AD$60,MATCH($E57&amp;$F57,'Malaria-Pharmaceuticals'!$E$14:$E$60&amp;'Malaria-Pharmaceuticals'!$I$14:$I$60,0)),0)</f>
        <v>0</v>
      </c>
      <c r="AY57" s="625">
        <f t="shared" si="27"/>
        <v>0</v>
      </c>
      <c r="AZ57" s="626">
        <f t="shared" si="28"/>
        <v>0</v>
      </c>
      <c r="BA57" s="626">
        <f t="shared" si="29"/>
        <v>0</v>
      </c>
      <c r="BB57" s="625">
        <f t="array" ref="BB57">IFERROR(INDEX('Malaria-Pharmaceuticals'!$AE$14:$AE$60,MATCH($E57&amp;$F57,'Malaria-Pharmaceuticals'!$E$14:$E$60&amp;'Malaria-Pharmaceuticals'!$I$14:$I$60,0)),0)</f>
        <v>0</v>
      </c>
      <c r="BC57" s="625">
        <f t="shared" si="30"/>
        <v>0</v>
      </c>
      <c r="BD57" s="626">
        <f t="shared" si="31"/>
        <v>0</v>
      </c>
      <c r="BE57" s="626">
        <f t="shared" si="32"/>
        <v>0</v>
      </c>
      <c r="BF57" s="625">
        <f t="array" ref="BF57">IFERROR(INDEX('Malaria-Pharmaceuticals'!$AF$14:$AF$60,MATCH($E57&amp;$F57,'Malaria-Pharmaceuticals'!$E$14:$E$60&amp;'Malaria-Pharmaceuticals'!$I$14:$I$60,0)),0)</f>
        <v>0</v>
      </c>
      <c r="BG57" s="625">
        <f t="shared" si="33"/>
        <v>0</v>
      </c>
      <c r="BH57" s="626">
        <f t="shared" si="34"/>
        <v>0</v>
      </c>
      <c r="BI57" s="626">
        <f t="shared" si="35"/>
        <v>0</v>
      </c>
      <c r="BK57" s="626"/>
      <c r="BL57" s="626"/>
      <c r="BM57" s="626"/>
      <c r="BN57" s="626"/>
      <c r="BO57" s="626"/>
      <c r="BP57" s="626"/>
      <c r="BQ57" s="626"/>
      <c r="BR57" s="626"/>
      <c r="BT57" s="21" t="s">
        <v>6814</v>
      </c>
    </row>
    <row r="58" spans="1:72">
      <c r="A58" s="32" t="s">
        <v>576</v>
      </c>
      <c r="B58" s="32" t="s">
        <v>522</v>
      </c>
      <c r="C58" s="626">
        <f>SETUP!$F$50</f>
        <v>0</v>
      </c>
      <c r="D58" s="31">
        <v>4.3</v>
      </c>
      <c r="E58" s="32" t="s">
        <v>408</v>
      </c>
      <c r="F58" s="32" t="s">
        <v>1150</v>
      </c>
      <c r="G58" s="625" t="str">
        <f t="array" ref="G58">IFERROR(INDEX('Malaria-Pharmaceuticals'!$L$14:$L$60,MATCH($E58&amp;$F58,'Malaria-Pharmaceuticals'!$E$14:$E$60&amp;'Malaria-Pharmaceuticals'!$I$14:$I$60,0)),"")</f>
        <v/>
      </c>
      <c r="H58" s="625" t="str">
        <f t="array" ref="H58">IFERROR(INDEX('Malaria-Pharmaceuticals'!$M$14:$M$60,MATCH($E58&amp;$F58,'Malaria-Pharmaceuticals'!$E$14:$E$60&amp;'Malaria-Pharmaceuticals'!$I$14:$I$60,0)),"")</f>
        <v/>
      </c>
      <c r="I58" s="625">
        <f t="array" ref="I58">IFERROR(INDEX('Malaria-Pharmaceuticals'!$N$14:$N$60,MATCH($E58&amp;$F58,'Malaria-Pharmaceuticals'!$E$14:$E$60&amp;'Malaria-Pharmaceuticals'!$I$14:$I$60,0)),0)</f>
        <v>0</v>
      </c>
      <c r="J58" s="625">
        <f t="array" ref="J58">IFERROR(INDEX('Malaria-Pharmaceuticals'!$O$14:$O$60,MATCH($E58&amp;$F58,'Malaria-Pharmaceuticals'!$E$14:$E$60&amp;'Malaria-Pharmaceuticals'!$I$14:$I$60,0)),0)</f>
        <v>0</v>
      </c>
      <c r="K58" s="626">
        <f t="shared" si="0"/>
        <v>0</v>
      </c>
      <c r="L58" s="626">
        <f t="shared" si="1"/>
        <v>0</v>
      </c>
      <c r="M58" s="626">
        <f t="shared" si="2"/>
        <v>0</v>
      </c>
      <c r="N58" s="625">
        <f t="array" ref="N58">IFERROR(INDEX('Malaria-Pharmaceuticals'!$P$14:$P$60,MATCH($E58&amp;$F58,'Malaria-Pharmaceuticals'!$E$14:$E$60&amp;'Malaria-Pharmaceuticals'!$I$14:$I$60,0)),0)</f>
        <v>0</v>
      </c>
      <c r="O58" s="626">
        <f t="shared" si="3"/>
        <v>0</v>
      </c>
      <c r="P58" s="626">
        <f t="shared" si="4"/>
        <v>0</v>
      </c>
      <c r="Q58" s="626">
        <f t="shared" si="5"/>
        <v>0</v>
      </c>
      <c r="R58" s="625">
        <f t="array" ref="R58">IFERROR(INDEX('Malaria-Pharmaceuticals'!$Q$14:$Q$60,MATCH($E58&amp;$F58,'Malaria-Pharmaceuticals'!$E$14:$E$60&amp;'Malaria-Pharmaceuticals'!$I$14:$I$60,0)),0)</f>
        <v>0</v>
      </c>
      <c r="S58" s="626">
        <f t="shared" si="6"/>
        <v>0</v>
      </c>
      <c r="T58" s="626">
        <f t="shared" si="7"/>
        <v>0</v>
      </c>
      <c r="U58" s="626">
        <f t="shared" si="8"/>
        <v>0</v>
      </c>
      <c r="V58" s="625">
        <f t="array" ref="V58">IFERROR(INDEX('Malaria-Pharmaceuticals'!$R$14:$R$60,MATCH($E58&amp;$F58,'Malaria-Pharmaceuticals'!$E$14:$E$60&amp;'Malaria-Pharmaceuticals'!$I$14:$I$60,0)),0)</f>
        <v>0</v>
      </c>
      <c r="W58" s="626">
        <f t="shared" si="9"/>
        <v>0</v>
      </c>
      <c r="X58" s="626">
        <f t="shared" si="10"/>
        <v>0</v>
      </c>
      <c r="Y58" s="626">
        <f t="shared" si="11"/>
        <v>0</v>
      </c>
      <c r="Z58" s="627"/>
      <c r="AA58" s="625">
        <f t="array" ref="AA58">IFERROR(INDEX('Malaria-Pharmaceuticals'!$U$14:$U$60,MATCH($E58&amp;$F58,'Malaria-Pharmaceuticals'!$E$14:$E$60&amp;'Malaria-Pharmaceuticals'!$I$14:$I$60,0)),0)</f>
        <v>0</v>
      </c>
      <c r="AB58" s="625">
        <f t="array" ref="AB58">IFERROR(INDEX('Malaria-Pharmaceuticals'!$V$14:$V$60,MATCH($E58&amp;$F58,'Malaria-Pharmaceuticals'!$E$14:$E$60&amp;'Malaria-Pharmaceuticals'!$I$14:$I$60,0)),0)</f>
        <v>0</v>
      </c>
      <c r="AC58" s="625">
        <f t="shared" si="12"/>
        <v>0</v>
      </c>
      <c r="AD58" s="626">
        <f t="shared" si="13"/>
        <v>0</v>
      </c>
      <c r="AE58" s="626">
        <f t="shared" si="14"/>
        <v>0</v>
      </c>
      <c r="AF58" s="625">
        <f t="array" ref="AF58">IFERROR(INDEX('Malaria-Pharmaceuticals'!$W$14:$W$60,MATCH($E58&amp;$F58,'Malaria-Pharmaceuticals'!$E$14:$E$60&amp;'Malaria-Pharmaceuticals'!$I$14:$I$60,0)),0)</f>
        <v>0</v>
      </c>
      <c r="AG58" s="625">
        <f t="shared" si="15"/>
        <v>0</v>
      </c>
      <c r="AH58" s="626">
        <f t="shared" si="16"/>
        <v>0</v>
      </c>
      <c r="AI58" s="626">
        <f t="shared" si="17"/>
        <v>0</v>
      </c>
      <c r="AJ58" s="625">
        <f t="array" ref="AJ58">IFERROR(INDEX('Malaria-Pharmaceuticals'!$X$14:$X$60,MATCH($E58&amp;$F58,'Malaria-Pharmaceuticals'!$E$14:$E$60&amp;'Malaria-Pharmaceuticals'!$I$14:$I$60,0)),0)</f>
        <v>0</v>
      </c>
      <c r="AK58" s="625">
        <f t="shared" si="18"/>
        <v>0</v>
      </c>
      <c r="AL58" s="626">
        <f t="shared" si="19"/>
        <v>0</v>
      </c>
      <c r="AM58" s="626">
        <f t="shared" si="20"/>
        <v>0</v>
      </c>
      <c r="AN58" s="625">
        <f t="array" ref="AN58">IFERROR(INDEX('Malaria-Pharmaceuticals'!$Y$14:$Y$60,MATCH($E58&amp;$F58,'Malaria-Pharmaceuticals'!$E$14:$E$60&amp;'Malaria-Pharmaceuticals'!$I$14:$I$60,0)),0)</f>
        <v>0</v>
      </c>
      <c r="AO58" s="625">
        <f t="shared" si="21"/>
        <v>0</v>
      </c>
      <c r="AP58" s="626">
        <f t="shared" si="22"/>
        <v>0</v>
      </c>
      <c r="AQ58" s="626">
        <f t="shared" si="23"/>
        <v>0</v>
      </c>
      <c r="AR58" s="627"/>
      <c r="AS58" s="625">
        <f t="array" ref="AS58">IFERROR(INDEX('Malaria-Pharmaceuticals'!$AB$14:$AB$60,MATCH($E58&amp;$F58,'Malaria-Pharmaceuticals'!$E$14:$E$60&amp;'Malaria-Pharmaceuticals'!$I$14:$I$60,0)),0)</f>
        <v>0</v>
      </c>
      <c r="AT58" s="625">
        <f t="array" ref="AT58">IFERROR(INDEX('Malaria-Pharmaceuticals'!$AC$14:$AC$60,MATCH($E58&amp;$F58,'Malaria-Pharmaceuticals'!$E$14:$E$60&amp;'Malaria-Pharmaceuticals'!$I$14:$I$60,0)),0)</f>
        <v>0</v>
      </c>
      <c r="AU58" s="625">
        <f t="shared" si="24"/>
        <v>0</v>
      </c>
      <c r="AV58" s="626">
        <f t="shared" si="25"/>
        <v>0</v>
      </c>
      <c r="AW58" s="626">
        <f t="shared" si="26"/>
        <v>0</v>
      </c>
      <c r="AX58" s="625">
        <f t="array" ref="AX58">IFERROR(INDEX('Malaria-Pharmaceuticals'!$AD$14:$AD$60,MATCH($E58&amp;$F58,'Malaria-Pharmaceuticals'!$E$14:$E$60&amp;'Malaria-Pharmaceuticals'!$I$14:$I$60,0)),0)</f>
        <v>0</v>
      </c>
      <c r="AY58" s="625">
        <f t="shared" si="27"/>
        <v>0</v>
      </c>
      <c r="AZ58" s="626">
        <f t="shared" si="28"/>
        <v>0</v>
      </c>
      <c r="BA58" s="626">
        <f t="shared" si="29"/>
        <v>0</v>
      </c>
      <c r="BB58" s="625">
        <f t="array" ref="BB58">IFERROR(INDEX('Malaria-Pharmaceuticals'!$AE$14:$AE$60,MATCH($E58&amp;$F58,'Malaria-Pharmaceuticals'!$E$14:$E$60&amp;'Malaria-Pharmaceuticals'!$I$14:$I$60,0)),0)</f>
        <v>0</v>
      </c>
      <c r="BC58" s="625">
        <f t="shared" si="30"/>
        <v>0</v>
      </c>
      <c r="BD58" s="626">
        <f t="shared" si="31"/>
        <v>0</v>
      </c>
      <c r="BE58" s="626">
        <f t="shared" si="32"/>
        <v>0</v>
      </c>
      <c r="BF58" s="625">
        <f t="array" ref="BF58">IFERROR(INDEX('Malaria-Pharmaceuticals'!$AF$14:$AF$60,MATCH($E58&amp;$F58,'Malaria-Pharmaceuticals'!$E$14:$E$60&amp;'Malaria-Pharmaceuticals'!$I$14:$I$60,0)),0)</f>
        <v>0</v>
      </c>
      <c r="BG58" s="625">
        <f t="shared" si="33"/>
        <v>0</v>
      </c>
      <c r="BH58" s="626">
        <f t="shared" si="34"/>
        <v>0</v>
      </c>
      <c r="BI58" s="626">
        <f t="shared" si="35"/>
        <v>0</v>
      </c>
      <c r="BK58" s="626"/>
      <c r="BL58" s="626"/>
      <c r="BM58" s="626"/>
      <c r="BN58" s="626"/>
      <c r="BO58" s="626"/>
      <c r="BP58" s="626"/>
      <c r="BQ58" s="626"/>
      <c r="BR58" s="626"/>
      <c r="BT58" s="21" t="s">
        <v>6814</v>
      </c>
    </row>
    <row r="59" spans="1:72">
      <c r="A59" s="32"/>
      <c r="B59" s="32"/>
      <c r="C59" s="626"/>
      <c r="D59" s="31"/>
      <c r="E59" s="32"/>
      <c r="F59" s="32"/>
      <c r="G59" s="625"/>
      <c r="H59" s="625"/>
      <c r="I59" s="625"/>
      <c r="J59" s="625"/>
      <c r="K59" s="626"/>
      <c r="L59" s="626"/>
      <c r="M59" s="626"/>
      <c r="N59" s="625"/>
      <c r="O59" s="626"/>
      <c r="P59" s="626"/>
      <c r="Q59" s="626"/>
      <c r="R59" s="625"/>
      <c r="S59" s="626"/>
      <c r="T59" s="626"/>
      <c r="U59" s="626"/>
      <c r="V59" s="625"/>
      <c r="W59" s="626"/>
      <c r="X59" s="626"/>
      <c r="Y59" s="626"/>
      <c r="Z59" s="627"/>
      <c r="AA59" s="625"/>
      <c r="AB59" s="625"/>
      <c r="AC59" s="625"/>
      <c r="AD59" s="626"/>
      <c r="AE59" s="626"/>
      <c r="AF59" s="625"/>
      <c r="AG59" s="625"/>
      <c r="AH59" s="626"/>
      <c r="AI59" s="626"/>
      <c r="AJ59" s="625"/>
      <c r="AK59" s="625"/>
      <c r="AL59" s="626"/>
      <c r="AM59" s="626"/>
      <c r="AN59" s="625"/>
      <c r="AO59" s="625"/>
      <c r="AP59" s="626"/>
      <c r="AQ59" s="626"/>
      <c r="AR59" s="627"/>
      <c r="AS59" s="625"/>
      <c r="AT59" s="625"/>
      <c r="AU59" s="625"/>
      <c r="AV59" s="626"/>
      <c r="AW59" s="626"/>
      <c r="AX59" s="625"/>
      <c r="AY59" s="625"/>
      <c r="AZ59" s="626"/>
      <c r="BA59" s="626"/>
      <c r="BB59" s="625"/>
      <c r="BC59" s="625"/>
      <c r="BD59" s="626"/>
      <c r="BE59" s="626"/>
      <c r="BF59" s="625"/>
      <c r="BG59" s="625"/>
      <c r="BH59" s="626"/>
      <c r="BI59" s="626"/>
      <c r="BK59" s="626"/>
      <c r="BL59" s="626"/>
      <c r="BM59" s="626"/>
      <c r="BN59" s="626"/>
      <c r="BO59" s="626"/>
      <c r="BP59" s="626"/>
      <c r="BQ59" s="626"/>
      <c r="BR59" s="626"/>
      <c r="BT59" s="21" t="s">
        <v>857</v>
      </c>
    </row>
    <row r="60" spans="1:72">
      <c r="A60" s="2567" t="s">
        <v>1544</v>
      </c>
      <c r="B60" s="2567"/>
      <c r="C60" s="2567"/>
      <c r="D60" s="2567"/>
      <c r="E60" s="2567"/>
      <c r="F60" s="2567"/>
      <c r="G60" s="621"/>
      <c r="H60" s="621"/>
      <c r="I60" s="621"/>
      <c r="J60" s="621"/>
      <c r="K60" s="621"/>
      <c r="L60" s="621"/>
      <c r="M60" s="621"/>
      <c r="N60" s="621"/>
      <c r="O60" s="621"/>
      <c r="P60" s="621"/>
      <c r="Q60" s="621"/>
      <c r="R60" s="621"/>
      <c r="S60" s="621"/>
      <c r="T60" s="621"/>
      <c r="U60" s="621"/>
      <c r="V60" s="621"/>
      <c r="W60" s="621"/>
      <c r="X60" s="621"/>
      <c r="Y60" s="621"/>
      <c r="Z60" s="621"/>
      <c r="AA60" s="621"/>
      <c r="AB60" s="621"/>
      <c r="AC60" s="621"/>
      <c r="AD60" s="621"/>
      <c r="AE60" s="621"/>
      <c r="AF60" s="621"/>
      <c r="AG60" s="621"/>
      <c r="AH60" s="621"/>
      <c r="AI60" s="621"/>
      <c r="AJ60" s="621"/>
      <c r="AK60" s="621"/>
      <c r="AL60" s="621"/>
      <c r="AM60" s="621"/>
      <c r="AN60" s="621"/>
      <c r="AO60" s="621"/>
      <c r="AP60" s="621"/>
      <c r="AQ60" s="621"/>
      <c r="AR60" s="621"/>
      <c r="AS60" s="621"/>
      <c r="AT60" s="621"/>
      <c r="AU60" s="621"/>
      <c r="AV60" s="621"/>
      <c r="AW60" s="621"/>
      <c r="AX60" s="621"/>
      <c r="AY60" s="621"/>
      <c r="AZ60" s="621"/>
      <c r="BA60" s="621"/>
      <c r="BB60" s="621"/>
      <c r="BC60" s="621"/>
      <c r="BD60" s="621"/>
      <c r="BE60" s="621"/>
      <c r="BF60" s="621"/>
      <c r="BG60" s="621"/>
      <c r="BH60" s="621"/>
      <c r="BI60" s="621"/>
      <c r="BJ60" s="621"/>
      <c r="BK60" s="621"/>
      <c r="BL60" s="621"/>
      <c r="BM60" s="621"/>
      <c r="BN60" s="621"/>
      <c r="BO60" s="621"/>
      <c r="BP60" s="621"/>
      <c r="BQ60" s="621"/>
      <c r="BR60" s="621"/>
      <c r="BT60" s="21" t="s">
        <v>857</v>
      </c>
    </row>
    <row r="61" spans="1:72" s="22" customFormat="1">
      <c r="A61" s="24" t="s">
        <v>1545</v>
      </c>
      <c r="B61" s="24" t="s">
        <v>203</v>
      </c>
      <c r="C61" s="672" t="s">
        <v>459</v>
      </c>
      <c r="D61" s="24" t="s">
        <v>460</v>
      </c>
      <c r="E61" s="24" t="s">
        <v>461</v>
      </c>
      <c r="F61" s="24" t="s">
        <v>214</v>
      </c>
      <c r="G61" s="672" t="s">
        <v>462</v>
      </c>
      <c r="H61" s="672" t="s">
        <v>49</v>
      </c>
      <c r="I61" s="672" t="s">
        <v>463</v>
      </c>
      <c r="J61" s="672" t="s">
        <v>464</v>
      </c>
      <c r="K61" s="672" t="s">
        <v>465</v>
      </c>
      <c r="L61" s="723" t="s">
        <v>466</v>
      </c>
      <c r="M61" s="723" t="s">
        <v>467</v>
      </c>
      <c r="N61" s="672" t="s">
        <v>468</v>
      </c>
      <c r="O61" s="672" t="s">
        <v>469</v>
      </c>
      <c r="P61" s="723" t="s">
        <v>470</v>
      </c>
      <c r="Q61" s="723" t="s">
        <v>471</v>
      </c>
      <c r="R61" s="672" t="s">
        <v>472</v>
      </c>
      <c r="S61" s="672" t="s">
        <v>473</v>
      </c>
      <c r="T61" s="723" t="s">
        <v>474</v>
      </c>
      <c r="U61" s="723" t="s">
        <v>475</v>
      </c>
      <c r="V61" s="672" t="s">
        <v>476</v>
      </c>
      <c r="W61" s="672" t="s">
        <v>477</v>
      </c>
      <c r="X61" s="723" t="s">
        <v>478</v>
      </c>
      <c r="Y61" s="723" t="s">
        <v>479</v>
      </c>
      <c r="Z61" s="624"/>
      <c r="AA61" s="672" t="s">
        <v>480</v>
      </c>
      <c r="AB61" s="672" t="s">
        <v>481</v>
      </c>
      <c r="AC61" s="672" t="s">
        <v>482</v>
      </c>
      <c r="AD61" s="723" t="s">
        <v>483</v>
      </c>
      <c r="AE61" s="723" t="s">
        <v>484</v>
      </c>
      <c r="AF61" s="672" t="s">
        <v>485</v>
      </c>
      <c r="AG61" s="672" t="s">
        <v>486</v>
      </c>
      <c r="AH61" s="723" t="s">
        <v>487</v>
      </c>
      <c r="AI61" s="723" t="s">
        <v>488</v>
      </c>
      <c r="AJ61" s="672" t="s">
        <v>489</v>
      </c>
      <c r="AK61" s="672" t="s">
        <v>490</v>
      </c>
      <c r="AL61" s="723" t="s">
        <v>491</v>
      </c>
      <c r="AM61" s="723" t="s">
        <v>492</v>
      </c>
      <c r="AN61" s="672" t="s">
        <v>493</v>
      </c>
      <c r="AO61" s="672" t="s">
        <v>494</v>
      </c>
      <c r="AP61" s="723" t="s">
        <v>495</v>
      </c>
      <c r="AQ61" s="723" t="s">
        <v>496</v>
      </c>
      <c r="AR61" s="624"/>
      <c r="AS61" s="672" t="s">
        <v>497</v>
      </c>
      <c r="AT61" s="672" t="s">
        <v>498</v>
      </c>
      <c r="AU61" s="672" t="s">
        <v>499</v>
      </c>
      <c r="AV61" s="723" t="s">
        <v>500</v>
      </c>
      <c r="AW61" s="723" t="s">
        <v>501</v>
      </c>
      <c r="AX61" s="672" t="s">
        <v>502</v>
      </c>
      <c r="AY61" s="672" t="s">
        <v>503</v>
      </c>
      <c r="AZ61" s="723" t="s">
        <v>504</v>
      </c>
      <c r="BA61" s="723" t="s">
        <v>505</v>
      </c>
      <c r="BB61" s="672" t="s">
        <v>506</v>
      </c>
      <c r="BC61" s="672" t="s">
        <v>507</v>
      </c>
      <c r="BD61" s="723" t="s">
        <v>508</v>
      </c>
      <c r="BE61" s="723" t="s">
        <v>509</v>
      </c>
      <c r="BF61" s="672" t="s">
        <v>510</v>
      </c>
      <c r="BG61" s="672" t="s">
        <v>511</v>
      </c>
      <c r="BH61" s="723" t="s">
        <v>512</v>
      </c>
      <c r="BI61" s="723" t="s">
        <v>513</v>
      </c>
      <c r="BJ61" s="624"/>
      <c r="BK61" s="723" t="s">
        <v>514</v>
      </c>
      <c r="BL61" s="723" t="s">
        <v>515</v>
      </c>
      <c r="BM61" s="723" t="s">
        <v>516</v>
      </c>
      <c r="BN61" s="723" t="s">
        <v>517</v>
      </c>
      <c r="BO61" s="723" t="s">
        <v>518</v>
      </c>
      <c r="BP61" s="723" t="s">
        <v>519</v>
      </c>
      <c r="BQ61" s="723" t="s">
        <v>520</v>
      </c>
      <c r="BR61" s="723" t="s">
        <v>521</v>
      </c>
      <c r="BT61" s="21" t="s">
        <v>6799</v>
      </c>
    </row>
    <row r="62" spans="1:72">
      <c r="A62" s="32" t="s">
        <v>1235</v>
      </c>
      <c r="B62" s="32" t="s">
        <v>1546</v>
      </c>
      <c r="C62" s="626">
        <f>SETUP!$F$51</f>
        <v>0</v>
      </c>
      <c r="D62" s="31">
        <v>4.3</v>
      </c>
      <c r="E62" s="32" t="s">
        <v>390</v>
      </c>
      <c r="F62" s="32" t="s">
        <v>1158</v>
      </c>
      <c r="G62" s="625" t="str">
        <f t="array" ref="G62">IFERROR(INDEX('Malaria-Pharmaceuticals'!$L$68:$L$75,MATCH($E62&amp;$F62,'Malaria-Pharmaceuticals'!$E$68:$E$75&amp;'Malaria-Pharmaceuticals'!$I$68:$I$75,0)),"")</f>
        <v/>
      </c>
      <c r="H62" s="625" t="str">
        <f t="array" ref="H62">IFERROR(INDEX('Malaria-Pharmaceuticals'!$M$68:$M$75,MATCH($E62&amp;$F62,'Malaria-Pharmaceuticals'!$E$68:$E$75&amp;'Malaria-Pharmaceuticals'!$I$68:$I$75,0)),"")</f>
        <v/>
      </c>
      <c r="I62" s="625">
        <f t="array" ref="I62">IFERROR(INDEX('Malaria-Pharmaceuticals'!$N$68:$N$75,MATCH($E62&amp;$F62,'Malaria-Pharmaceuticals'!$E$68:$E$75&amp;'Malaria-Pharmaceuticals'!$I$68:$I$75,0)),0)</f>
        <v>0</v>
      </c>
      <c r="J62" s="625">
        <f t="array" ref="J62">IFERROR(INDEX('Malaria-Pharmaceuticals'!$O$68:$O$75,MATCH($E62&amp;$F62,'Malaria-Pharmaceuticals'!$E$68:$E$75&amp;'Malaria-Pharmaceuticals'!$I$68:$I$75,0)),0)</f>
        <v>0</v>
      </c>
      <c r="K62" s="626">
        <f>IF(ISERROR($I62*J62),0,$I62*J62)</f>
        <v>0</v>
      </c>
      <c r="L62" s="626">
        <f>IF(C62="Upfront",J62,0)</f>
        <v>0</v>
      </c>
      <c r="M62" s="626">
        <f>IF(C62="Upfront",K62,0)</f>
        <v>0</v>
      </c>
      <c r="N62" s="625">
        <f t="array" ref="N62">IFERROR(INDEX('Malaria-Pharmaceuticals'!$P$68:$P$75,MATCH($E62&amp;$F62,'Malaria-Pharmaceuticals'!$E$68:$E$75&amp;'Malaria-Pharmaceuticals'!$I$68:$I$75,0)),0)</f>
        <v>0</v>
      </c>
      <c r="O62" s="626">
        <f>IF(ISERROR($I62*N62),0,$I62*N62)</f>
        <v>0</v>
      </c>
      <c r="P62" s="626">
        <f>IF(C62="Upfront",N62,0)</f>
        <v>0</v>
      </c>
      <c r="Q62" s="626">
        <f>IF(C62="Upfront",O62,0)</f>
        <v>0</v>
      </c>
      <c r="R62" s="625">
        <f t="array" ref="R62">IFERROR(INDEX('Malaria-Pharmaceuticals'!$Q$68:$Q$75,MATCH($E62&amp;$F62,'Malaria-Pharmaceuticals'!$E$68:$E$75&amp;'Malaria-Pharmaceuticals'!$I$68:$I$75,0)),0)</f>
        <v>0</v>
      </c>
      <c r="S62" s="626">
        <f>IF(ISERROR($I62*R62),0,$I62*R62)</f>
        <v>0</v>
      </c>
      <c r="T62" s="626">
        <f>IF(C62="Upfront",R62,IF(C62="At delivery",J62,0))</f>
        <v>0</v>
      </c>
      <c r="U62" s="626">
        <f>IF(C62="Upfront",S62,IF(C62="At delivery",K62,0))</f>
        <v>0</v>
      </c>
      <c r="V62" s="625">
        <f t="array" ref="V62">IFERROR(INDEX('Malaria-Pharmaceuticals'!$R$68:$R$75,MATCH($E62&amp;$F62,'Malaria-Pharmaceuticals'!$E$68:$E$75&amp;'Malaria-Pharmaceuticals'!$I$68:$I$75,0)),0)</f>
        <v>0</v>
      </c>
      <c r="W62" s="626">
        <f>IF(ISERROR($I62*V62),0,$I62*V62)</f>
        <v>0</v>
      </c>
      <c r="X62" s="626">
        <f>IF(C62="Upfront",V62,IF(C62="At delivery",N62,0))</f>
        <v>0</v>
      </c>
      <c r="Y62" s="626">
        <f>IF(C62="Upfront",W62,IF(C62="At delivery",O62,0))</f>
        <v>0</v>
      </c>
      <c r="Z62" s="627"/>
      <c r="AA62" s="625">
        <f t="array" ref="AA62">IFERROR(INDEX('Malaria-Pharmaceuticals'!$U$68:$U$75,MATCH($E62&amp;$F62,'Malaria-Pharmaceuticals'!$E$68:$E$75&amp;'Malaria-Pharmaceuticals'!$I$68:$I$75,0)),0)</f>
        <v>0</v>
      </c>
      <c r="AB62" s="625">
        <f t="array" ref="AB62">IFERROR(INDEX('Malaria-Pharmaceuticals'!$V$68:$V$75,MATCH($E62&amp;$F62,'Malaria-Pharmaceuticals'!$E$68:$E$75&amp;'Malaria-Pharmaceuticals'!$I$68:$I$75,0)),0)</f>
        <v>0</v>
      </c>
      <c r="AC62" s="625">
        <f>IF(ISERROR($AA62*AB62),0,$AA62*AB62)</f>
        <v>0</v>
      </c>
      <c r="AD62" s="626">
        <f>IF(C62="Upfront",AB62,IF(C62="At delivery",R62,0))</f>
        <v>0</v>
      </c>
      <c r="AE62" s="626">
        <f>IF(C62="Upfront",AC62,IF(C62="At delivery",S62,0))</f>
        <v>0</v>
      </c>
      <c r="AF62" s="625">
        <f t="array" ref="AF62">IFERROR(INDEX('Malaria-Pharmaceuticals'!$W$68:$W$75,MATCH($E62&amp;$F62,'Malaria-Pharmaceuticals'!$E$68:$E$75&amp;'Malaria-Pharmaceuticals'!$I$68:$I$75,0)),0)</f>
        <v>0</v>
      </c>
      <c r="AG62" s="625">
        <f>IF(ISERROR($AA62*AF62),0,$AA62*AF62)</f>
        <v>0</v>
      </c>
      <c r="AH62" s="626">
        <f>IF(C62="Upfront",AF62,IF(C62="At delivery",V62,0))</f>
        <v>0</v>
      </c>
      <c r="AI62" s="626">
        <f>IF(C62="Upfront",AG62,IF(C62="At delivery",W62,0))</f>
        <v>0</v>
      </c>
      <c r="AJ62" s="625">
        <f t="array" ref="AJ62">IFERROR(INDEX('Malaria-Pharmaceuticals'!$X$68:$X$75,MATCH($E62&amp;$F62,'Malaria-Pharmaceuticals'!$E$68:$E$75&amp;'Malaria-Pharmaceuticals'!$I$68:$I$75,0)),0)</f>
        <v>0</v>
      </c>
      <c r="AK62" s="625">
        <f>IF(ISERROR($AA62*AJ62),0,$AA62*AJ62)</f>
        <v>0</v>
      </c>
      <c r="AL62" s="626">
        <f>IF(C62="Upfront",AJ62,IF(C62="At delivery",AB62,0))</f>
        <v>0</v>
      </c>
      <c r="AM62" s="626">
        <f>IF(C62="Upfront",AK62,IF(C62="At delivery",AC62,0))</f>
        <v>0</v>
      </c>
      <c r="AN62" s="625">
        <f t="array" ref="AN62">IFERROR(INDEX('Malaria-Pharmaceuticals'!$Y$68:$Y$75,MATCH($E62&amp;$F62,'Malaria-Pharmaceuticals'!$E$68:$E$75&amp;'Malaria-Pharmaceuticals'!$I$68:$I$75,0)),0)</f>
        <v>0</v>
      </c>
      <c r="AO62" s="625">
        <f>IF(ISERROR($AA62*AN62),0,$AA62*AN62)</f>
        <v>0</v>
      </c>
      <c r="AP62" s="626">
        <f>IF(C62="Upfront",AN62,IF(C62="At delivery",AF62,0))</f>
        <v>0</v>
      </c>
      <c r="AQ62" s="626">
        <f>IF(C62="Upfront",AO62,IF(C62="At delivery",AG62,0))</f>
        <v>0</v>
      </c>
      <c r="AR62" s="627"/>
      <c r="AS62" s="625">
        <f t="array" ref="AS62">IFERROR(INDEX('Malaria-Pharmaceuticals'!$AB$68:$AB$75,MATCH($E62&amp;$F62,'Malaria-Pharmaceuticals'!$E$68:$E$75&amp;'Malaria-Pharmaceuticals'!$I$68:$I$75,0)),0)</f>
        <v>0</v>
      </c>
      <c r="AT62" s="625">
        <f t="array" ref="AT62">IFERROR(INDEX('Malaria-Pharmaceuticals'!$AC$68:$AC$75,MATCH($E62&amp;$F62,'Malaria-Pharmaceuticals'!$E$68:$E$75&amp;'Malaria-Pharmaceuticals'!$I$68:$I$75,0)),0)</f>
        <v>0</v>
      </c>
      <c r="AU62" s="625">
        <f>IF(ISERROR($AS62*AT62),0,$AS62*AT62)</f>
        <v>0</v>
      </c>
      <c r="AV62" s="626">
        <f>IF(C62="Upfront",AT62,IF(C62="At delivery",AJ62,0))</f>
        <v>0</v>
      </c>
      <c r="AW62" s="626">
        <f>IF(C62="Upfront",AU62,IF(C62="At delivery",AK62,0))</f>
        <v>0</v>
      </c>
      <c r="AX62" s="625">
        <f t="array" ref="AX62">IFERROR(INDEX('Malaria-Pharmaceuticals'!$AD$68:$AD$75,MATCH($E62&amp;$F62,'Malaria-Pharmaceuticals'!$E$68:$E$75&amp;'Malaria-Pharmaceuticals'!$I$68:$I$75,0)),0)</f>
        <v>0</v>
      </c>
      <c r="AY62" s="625">
        <f>IF(ISERROR($AS62*AX62),0,$AS62*AX62)</f>
        <v>0</v>
      </c>
      <c r="AZ62" s="626">
        <f>IF(C62="Upfront",AX62,IF(C62="At delivery",AN62,0))</f>
        <v>0</v>
      </c>
      <c r="BA62" s="626">
        <f>IF(C62="Upfront",AY62,IF(C62="At delivery",AO62,0))</f>
        <v>0</v>
      </c>
      <c r="BB62" s="625">
        <f t="array" ref="BB62">IFERROR(INDEX('Malaria-Pharmaceuticals'!$AE$68:$AE$75,MATCH($E62&amp;$F62,'Malaria-Pharmaceuticals'!$E$68:$E$75&amp;'Malaria-Pharmaceuticals'!$I$68:$I$75,0)),0)</f>
        <v>0</v>
      </c>
      <c r="BC62" s="625">
        <f>IF(ISERROR($AS62*BB62),0,$AS62*BB62)</f>
        <v>0</v>
      </c>
      <c r="BD62" s="626">
        <f>IF(C62="Upfront",BB62,IF(C62="At delivery",AT62,0))</f>
        <v>0</v>
      </c>
      <c r="BE62" s="626">
        <f>IF(C62="Upfront",BC62,IF(C62="At delivery",AU62,0))</f>
        <v>0</v>
      </c>
      <c r="BF62" s="625">
        <f t="array" ref="BF62">IFERROR(INDEX('Malaria-Pharmaceuticals'!$AF$68:$AF$75,MATCH($E62&amp;$F62,'Malaria-Pharmaceuticals'!$E$68:$E$75&amp;'Malaria-Pharmaceuticals'!$I$68:$I$75,0)),0)</f>
        <v>0</v>
      </c>
      <c r="BG62" s="625">
        <f>IF(ISERROR($AS62*BF62),0,$AS62*BF62)</f>
        <v>0</v>
      </c>
      <c r="BH62" s="626">
        <f>IF(C62="Upfront",BF62,IF(C62="At delivery",AX62,0))</f>
        <v>0</v>
      </c>
      <c r="BI62" s="626">
        <f>IF(C62="Upfront",BG62,IF(C62="At delivery",AY62,0))</f>
        <v>0</v>
      </c>
      <c r="BK62" s="626"/>
      <c r="BL62" s="626"/>
      <c r="BM62" s="626"/>
      <c r="BN62" s="626"/>
      <c r="BO62" s="626"/>
      <c r="BP62" s="626"/>
      <c r="BQ62" s="626"/>
      <c r="BR62" s="626"/>
      <c r="BT62" s="21" t="s">
        <v>6815</v>
      </c>
    </row>
    <row r="63" spans="1:72">
      <c r="A63" s="32" t="s">
        <v>1235</v>
      </c>
      <c r="B63" s="32" t="s">
        <v>1546</v>
      </c>
      <c r="C63" s="626">
        <f>SETUP!$F$51</f>
        <v>0</v>
      </c>
      <c r="D63" s="31">
        <v>4.3</v>
      </c>
      <c r="E63" s="32" t="s">
        <v>390</v>
      </c>
      <c r="F63" s="32" t="s">
        <v>1159</v>
      </c>
      <c r="G63" s="625" t="str">
        <f t="array" ref="G63">IFERROR(INDEX('Malaria-Pharmaceuticals'!$L$68:$L$75,MATCH($E63&amp;$F63,'Malaria-Pharmaceuticals'!$E$68:$E$75&amp;'Malaria-Pharmaceuticals'!$I$68:$I$75,0)),"")</f>
        <v/>
      </c>
      <c r="H63" s="625" t="str">
        <f t="array" ref="H63">IFERROR(INDEX('Malaria-Pharmaceuticals'!$M$68:$M$75,MATCH($E63&amp;$F63,'Malaria-Pharmaceuticals'!$E$68:$E$75&amp;'Malaria-Pharmaceuticals'!$I$68:$I$75,0)),"")</f>
        <v/>
      </c>
      <c r="I63" s="625">
        <f t="array" ref="I63">IFERROR(INDEX('Malaria-Pharmaceuticals'!$N$68:$N$75,MATCH($E63&amp;$F63,'Malaria-Pharmaceuticals'!$E$68:$E$75&amp;'Malaria-Pharmaceuticals'!$I$68:$I$75,0)),0)</f>
        <v>0</v>
      </c>
      <c r="J63" s="625">
        <f t="array" ref="J63">IFERROR(INDEX('Malaria-Pharmaceuticals'!$O$68:$O$75,MATCH($E63&amp;$F63,'Malaria-Pharmaceuticals'!$E$68:$E$75&amp;'Malaria-Pharmaceuticals'!$I$68:$I$75,0)),0)</f>
        <v>0</v>
      </c>
      <c r="K63" s="626">
        <f t="shared" ref="K63:K65" si="36">IF(ISERROR($I63*J63),0,$I63*J63)</f>
        <v>0</v>
      </c>
      <c r="L63" s="626">
        <f t="shared" ref="L63:L65" si="37">IF(C63="Upfront",J63,0)</f>
        <v>0</v>
      </c>
      <c r="M63" s="626">
        <f t="shared" ref="M63:M65" si="38">IF(C63="Upfront",K63,0)</f>
        <v>0</v>
      </c>
      <c r="N63" s="625">
        <f t="array" ref="N63">IFERROR(INDEX('Malaria-Pharmaceuticals'!$P$68:$P$75,MATCH($E63&amp;$F63,'Malaria-Pharmaceuticals'!$E$68:$E$75&amp;'Malaria-Pharmaceuticals'!$I$68:$I$75,0)),0)</f>
        <v>0</v>
      </c>
      <c r="O63" s="626">
        <f t="shared" ref="O63:O65" si="39">IF(ISERROR($I63*N63),0,$I63*N63)</f>
        <v>0</v>
      </c>
      <c r="P63" s="626">
        <f t="shared" ref="P63:P65" si="40">IF(C63="Upfront",N63,0)</f>
        <v>0</v>
      </c>
      <c r="Q63" s="626">
        <f t="shared" ref="Q63:Q65" si="41">IF(C63="Upfront",O63,0)</f>
        <v>0</v>
      </c>
      <c r="R63" s="625">
        <f t="array" ref="R63">IFERROR(INDEX('Malaria-Pharmaceuticals'!$Q$68:$Q$75,MATCH($E63&amp;$F63,'Malaria-Pharmaceuticals'!$E$68:$E$75&amp;'Malaria-Pharmaceuticals'!$I$68:$I$75,0)),0)</f>
        <v>0</v>
      </c>
      <c r="S63" s="626">
        <f t="shared" ref="S63:S65" si="42">IF(ISERROR($I63*R63),0,$I63*R63)</f>
        <v>0</v>
      </c>
      <c r="T63" s="626">
        <f t="shared" ref="T63:T65" si="43">IF(C63="Upfront",R63,IF(C63="At delivery",J63,0))</f>
        <v>0</v>
      </c>
      <c r="U63" s="626">
        <f t="shared" ref="U63:U65" si="44">IF(C63="Upfront",S63,IF(C63="At delivery",K63,0))</f>
        <v>0</v>
      </c>
      <c r="V63" s="625">
        <f t="array" ref="V63">IFERROR(INDEX('Malaria-Pharmaceuticals'!$R$68:$R$75,MATCH($E63&amp;$F63,'Malaria-Pharmaceuticals'!$E$68:$E$75&amp;'Malaria-Pharmaceuticals'!$I$68:$I$75,0)),0)</f>
        <v>0</v>
      </c>
      <c r="W63" s="626">
        <f t="shared" ref="W63:W65" si="45">IF(ISERROR($I63*V63),0,$I63*V63)</f>
        <v>0</v>
      </c>
      <c r="X63" s="626">
        <f t="shared" ref="X63:X65" si="46">IF(C63="Upfront",V63,IF(C63="At delivery",N63,0))</f>
        <v>0</v>
      </c>
      <c r="Y63" s="626">
        <f t="shared" ref="Y63:Y65" si="47">IF(C63="Upfront",W63,IF(C63="At delivery",O63,0))</f>
        <v>0</v>
      </c>
      <c r="Z63" s="627"/>
      <c r="AA63" s="625">
        <f t="array" ref="AA63">IFERROR(INDEX('Malaria-Pharmaceuticals'!$U$68:$U$75,MATCH($E63&amp;$F63,'Malaria-Pharmaceuticals'!$E$68:$E$75&amp;'Malaria-Pharmaceuticals'!$I$68:$I$75,0)),0)</f>
        <v>0</v>
      </c>
      <c r="AB63" s="625">
        <f t="array" ref="AB63">IFERROR(INDEX('Malaria-Pharmaceuticals'!$V$68:$V$75,MATCH($E63&amp;$F63,'Malaria-Pharmaceuticals'!$E$68:$E$75&amp;'Malaria-Pharmaceuticals'!$I$68:$I$75,0)),0)</f>
        <v>0</v>
      </c>
      <c r="AC63" s="625">
        <f t="shared" ref="AC63:AC65" si="48">IF(ISERROR($AA63*AB63),0,$AA63*AB63)</f>
        <v>0</v>
      </c>
      <c r="AD63" s="626">
        <f t="shared" ref="AD63:AD65" si="49">IF(C63="Upfront",AB63,IF(C63="At delivery",R63,0))</f>
        <v>0</v>
      </c>
      <c r="AE63" s="626">
        <f t="shared" ref="AE63:AE65" si="50">IF(C63="Upfront",AC63,IF(C63="At delivery",S63,0))</f>
        <v>0</v>
      </c>
      <c r="AF63" s="625">
        <f t="array" ref="AF63">IFERROR(INDEX('Malaria-Pharmaceuticals'!$W$68:$W$75,MATCH($E63&amp;$F63,'Malaria-Pharmaceuticals'!$E$68:$E$75&amp;'Malaria-Pharmaceuticals'!$I$68:$I$75,0)),0)</f>
        <v>0</v>
      </c>
      <c r="AG63" s="625">
        <f t="shared" ref="AG63:AG65" si="51">IF(ISERROR($AA63*AF63),0,$AA63*AF63)</f>
        <v>0</v>
      </c>
      <c r="AH63" s="626">
        <f t="shared" ref="AH63:AH65" si="52">IF(C63="Upfront",AF63,IF(C63="At delivery",V63,0))</f>
        <v>0</v>
      </c>
      <c r="AI63" s="626">
        <f t="shared" ref="AI63:AI65" si="53">IF(C63="Upfront",AG63,IF(C63="At delivery",W63,0))</f>
        <v>0</v>
      </c>
      <c r="AJ63" s="625">
        <f t="array" ref="AJ63">IFERROR(INDEX('Malaria-Pharmaceuticals'!$X$68:$X$75,MATCH($E63&amp;$F63,'Malaria-Pharmaceuticals'!$E$68:$E$75&amp;'Malaria-Pharmaceuticals'!$I$68:$I$75,0)),0)</f>
        <v>0</v>
      </c>
      <c r="AK63" s="625">
        <f t="shared" ref="AK63:AK65" si="54">IF(ISERROR($AA63*AJ63),0,$AA63*AJ63)</f>
        <v>0</v>
      </c>
      <c r="AL63" s="626">
        <f t="shared" ref="AL63:AL65" si="55">IF(C63="Upfront",AJ63,IF(C63="At delivery",AB63,0))</f>
        <v>0</v>
      </c>
      <c r="AM63" s="626">
        <f t="shared" ref="AM63:AM65" si="56">IF(C63="Upfront",AK63,IF(C63="At delivery",AC63,0))</f>
        <v>0</v>
      </c>
      <c r="AN63" s="625">
        <f t="array" ref="AN63">IFERROR(INDEX('Malaria-Pharmaceuticals'!$Y$68:$Y$75,MATCH($E63&amp;$F63,'Malaria-Pharmaceuticals'!$E$68:$E$75&amp;'Malaria-Pharmaceuticals'!$I$68:$I$75,0)),0)</f>
        <v>0</v>
      </c>
      <c r="AO63" s="625">
        <f t="shared" ref="AO63:AO65" si="57">IF(ISERROR($AA63*AN63),0,$AA63*AN63)</f>
        <v>0</v>
      </c>
      <c r="AP63" s="626">
        <f t="shared" ref="AP63:AP65" si="58">IF(C63="Upfront",AN63,IF(C63="At delivery",AF63,0))</f>
        <v>0</v>
      </c>
      <c r="AQ63" s="626">
        <f t="shared" ref="AQ63:AQ65" si="59">IF(C63="Upfront",AO63,IF(C63="At delivery",AG63,0))</f>
        <v>0</v>
      </c>
      <c r="AR63" s="627"/>
      <c r="AS63" s="625">
        <f t="array" ref="AS63">IFERROR(INDEX('Malaria-Pharmaceuticals'!$AB$68:$AB$75,MATCH($E63&amp;$F63,'Malaria-Pharmaceuticals'!$E$68:$E$75&amp;'Malaria-Pharmaceuticals'!$I$68:$I$75,0)),0)</f>
        <v>0</v>
      </c>
      <c r="AT63" s="625">
        <f t="array" ref="AT63">IFERROR(INDEX('Malaria-Pharmaceuticals'!$AC$68:$AC$75,MATCH($E63&amp;$F63,'Malaria-Pharmaceuticals'!$E$68:$E$75&amp;'Malaria-Pharmaceuticals'!$I$68:$I$75,0)),0)</f>
        <v>0</v>
      </c>
      <c r="AU63" s="625">
        <f t="shared" ref="AU63:AU65" si="60">IF(ISERROR($AS63*AT63),0,$AS63*AT63)</f>
        <v>0</v>
      </c>
      <c r="AV63" s="626">
        <f t="shared" ref="AV63:AV65" si="61">IF(C63="Upfront",AT63,IF(C63="At delivery",AJ63,0))</f>
        <v>0</v>
      </c>
      <c r="AW63" s="626">
        <f t="shared" ref="AW63:AW65" si="62">IF(C63="Upfront",AU63,IF(C63="At delivery",AK63,0))</f>
        <v>0</v>
      </c>
      <c r="AX63" s="625">
        <f t="array" ref="AX63">IFERROR(INDEX('Malaria-Pharmaceuticals'!$AD$68:$AD$75,MATCH($E63&amp;$F63,'Malaria-Pharmaceuticals'!$E$68:$E$75&amp;'Malaria-Pharmaceuticals'!$I$68:$I$75,0)),0)</f>
        <v>0</v>
      </c>
      <c r="AY63" s="625">
        <f t="shared" ref="AY63:AY65" si="63">IF(ISERROR($AS63*AX63),0,$AS63*AX63)</f>
        <v>0</v>
      </c>
      <c r="AZ63" s="626">
        <f t="shared" ref="AZ63:AZ65" si="64">IF(C63="Upfront",AX63,IF(C63="At delivery",AN63,0))</f>
        <v>0</v>
      </c>
      <c r="BA63" s="626">
        <f t="shared" ref="BA63:BA65" si="65">IF(C63="Upfront",AY63,IF(C63="At delivery",AO63,0))</f>
        <v>0</v>
      </c>
      <c r="BB63" s="625">
        <f t="array" ref="BB63">IFERROR(INDEX('Malaria-Pharmaceuticals'!$AE$68:$AE$75,MATCH($E63&amp;$F63,'Malaria-Pharmaceuticals'!$E$68:$E$75&amp;'Malaria-Pharmaceuticals'!$I$68:$I$75,0)),0)</f>
        <v>0</v>
      </c>
      <c r="BC63" s="625">
        <f t="shared" ref="BC63:BC65" si="66">IF(ISERROR($AS63*BB63),0,$AS63*BB63)</f>
        <v>0</v>
      </c>
      <c r="BD63" s="626">
        <f t="shared" ref="BD63:BD65" si="67">IF(C63="Upfront",BB63,IF(C63="At delivery",AT63,0))</f>
        <v>0</v>
      </c>
      <c r="BE63" s="626">
        <f t="shared" ref="BE63:BE65" si="68">IF(C63="Upfront",BC63,IF(C63="At delivery",AU63,0))</f>
        <v>0</v>
      </c>
      <c r="BF63" s="625">
        <f t="array" ref="BF63">IFERROR(INDEX('Malaria-Pharmaceuticals'!$AF$68:$AF$75,MATCH($E63&amp;$F63,'Malaria-Pharmaceuticals'!$E$68:$E$75&amp;'Malaria-Pharmaceuticals'!$I$68:$I$75,0)),0)</f>
        <v>0</v>
      </c>
      <c r="BG63" s="625">
        <f t="shared" ref="BG63:BG65" si="69">IF(ISERROR($AS63*BF63),0,$AS63*BF63)</f>
        <v>0</v>
      </c>
      <c r="BH63" s="626">
        <f t="shared" ref="BH63:BH65" si="70">IF(C63="Upfront",BF63,IF(C63="At delivery",AX63,0))</f>
        <v>0</v>
      </c>
      <c r="BI63" s="626">
        <f t="shared" ref="BI63:BI65" si="71">IF(C63="Upfront",BG63,IF(C63="At delivery",AY63,0))</f>
        <v>0</v>
      </c>
      <c r="BK63" s="626"/>
      <c r="BL63" s="626"/>
      <c r="BM63" s="626"/>
      <c r="BN63" s="626"/>
      <c r="BO63" s="626"/>
      <c r="BP63" s="626"/>
      <c r="BQ63" s="626"/>
      <c r="BR63" s="626"/>
      <c r="BT63" s="21" t="s">
        <v>6815</v>
      </c>
    </row>
    <row r="64" spans="1:72">
      <c r="A64" s="32" t="s">
        <v>1235</v>
      </c>
      <c r="B64" s="32" t="s">
        <v>1546</v>
      </c>
      <c r="C64" s="626">
        <f>SETUP!$F$51</f>
        <v>0</v>
      </c>
      <c r="D64" s="31">
        <v>4.3</v>
      </c>
      <c r="E64" s="32" t="s">
        <v>390</v>
      </c>
      <c r="F64" s="32" t="s">
        <v>1160</v>
      </c>
      <c r="G64" s="625" t="str">
        <f t="array" ref="G64">IFERROR(INDEX('Malaria-Pharmaceuticals'!$L$68:$L$75,MATCH($E64&amp;$F64,'Malaria-Pharmaceuticals'!$E$68:$E$75&amp;'Malaria-Pharmaceuticals'!$I$68:$I$75,0)),"")</f>
        <v/>
      </c>
      <c r="H64" s="625" t="str">
        <f t="array" ref="H64">IFERROR(INDEX('Malaria-Pharmaceuticals'!$M$68:$M$75,MATCH($E64&amp;$F64,'Malaria-Pharmaceuticals'!$E$68:$E$75&amp;'Malaria-Pharmaceuticals'!$I$68:$I$75,0)),"")</f>
        <v/>
      </c>
      <c r="I64" s="625">
        <f t="array" ref="I64">IFERROR(INDEX('Malaria-Pharmaceuticals'!$N$68:$N$75,MATCH($E64&amp;$F64,'Malaria-Pharmaceuticals'!$E$68:$E$75&amp;'Malaria-Pharmaceuticals'!$I$68:$I$75,0)),0)</f>
        <v>0</v>
      </c>
      <c r="J64" s="625">
        <f t="array" ref="J64">IFERROR(INDEX('Malaria-Pharmaceuticals'!$O$68:$O$75,MATCH($E64&amp;$F64,'Malaria-Pharmaceuticals'!$E$68:$E$75&amp;'Malaria-Pharmaceuticals'!$I$68:$I$75,0)),0)</f>
        <v>0</v>
      </c>
      <c r="K64" s="626">
        <f t="shared" si="36"/>
        <v>0</v>
      </c>
      <c r="L64" s="626">
        <f t="shared" si="37"/>
        <v>0</v>
      </c>
      <c r="M64" s="626">
        <f t="shared" si="38"/>
        <v>0</v>
      </c>
      <c r="N64" s="625">
        <f t="array" ref="N64">IFERROR(INDEX('Malaria-Pharmaceuticals'!$P$68:$P$75,MATCH($E64&amp;$F64,'Malaria-Pharmaceuticals'!$E$68:$E$75&amp;'Malaria-Pharmaceuticals'!$I$68:$I$75,0)),0)</f>
        <v>0</v>
      </c>
      <c r="O64" s="626">
        <f t="shared" si="39"/>
        <v>0</v>
      </c>
      <c r="P64" s="626">
        <f t="shared" si="40"/>
        <v>0</v>
      </c>
      <c r="Q64" s="626">
        <f t="shared" si="41"/>
        <v>0</v>
      </c>
      <c r="R64" s="625">
        <f t="array" ref="R64">IFERROR(INDEX('Malaria-Pharmaceuticals'!$Q$68:$Q$75,MATCH($E64&amp;$F64,'Malaria-Pharmaceuticals'!$E$68:$E$75&amp;'Malaria-Pharmaceuticals'!$I$68:$I$75,0)),0)</f>
        <v>0</v>
      </c>
      <c r="S64" s="626">
        <f t="shared" si="42"/>
        <v>0</v>
      </c>
      <c r="T64" s="626">
        <f t="shared" si="43"/>
        <v>0</v>
      </c>
      <c r="U64" s="626">
        <f t="shared" si="44"/>
        <v>0</v>
      </c>
      <c r="V64" s="625">
        <f t="array" ref="V64">IFERROR(INDEX('Malaria-Pharmaceuticals'!$R$68:$R$75,MATCH($E64&amp;$F64,'Malaria-Pharmaceuticals'!$E$68:$E$75&amp;'Malaria-Pharmaceuticals'!$I$68:$I$75,0)),0)</f>
        <v>0</v>
      </c>
      <c r="W64" s="626">
        <f t="shared" si="45"/>
        <v>0</v>
      </c>
      <c r="X64" s="626">
        <f t="shared" si="46"/>
        <v>0</v>
      </c>
      <c r="Y64" s="626">
        <f t="shared" si="47"/>
        <v>0</v>
      </c>
      <c r="Z64" s="627"/>
      <c r="AA64" s="625">
        <f t="array" ref="AA64">IFERROR(INDEX('Malaria-Pharmaceuticals'!$U$68:$U$75,MATCH($E64&amp;$F64,'Malaria-Pharmaceuticals'!$E$68:$E$75&amp;'Malaria-Pharmaceuticals'!$I$68:$I$75,0)),0)</f>
        <v>0</v>
      </c>
      <c r="AB64" s="625">
        <f t="array" ref="AB64">IFERROR(INDEX('Malaria-Pharmaceuticals'!$V$68:$V$75,MATCH($E64&amp;$F64,'Malaria-Pharmaceuticals'!$E$68:$E$75&amp;'Malaria-Pharmaceuticals'!$I$68:$I$75,0)),0)</f>
        <v>0</v>
      </c>
      <c r="AC64" s="625">
        <f t="shared" si="48"/>
        <v>0</v>
      </c>
      <c r="AD64" s="626">
        <f t="shared" si="49"/>
        <v>0</v>
      </c>
      <c r="AE64" s="626">
        <f t="shared" si="50"/>
        <v>0</v>
      </c>
      <c r="AF64" s="625">
        <f t="array" ref="AF64">IFERROR(INDEX('Malaria-Pharmaceuticals'!$W$68:$W$75,MATCH($E64&amp;$F64,'Malaria-Pharmaceuticals'!$E$68:$E$75&amp;'Malaria-Pharmaceuticals'!$I$68:$I$75,0)),0)</f>
        <v>0</v>
      </c>
      <c r="AG64" s="625">
        <f t="shared" si="51"/>
        <v>0</v>
      </c>
      <c r="AH64" s="626">
        <f t="shared" si="52"/>
        <v>0</v>
      </c>
      <c r="AI64" s="626">
        <f t="shared" si="53"/>
        <v>0</v>
      </c>
      <c r="AJ64" s="625">
        <f t="array" ref="AJ64">IFERROR(INDEX('Malaria-Pharmaceuticals'!$X$68:$X$75,MATCH($E64&amp;$F64,'Malaria-Pharmaceuticals'!$E$68:$E$75&amp;'Malaria-Pharmaceuticals'!$I$68:$I$75,0)),0)</f>
        <v>0</v>
      </c>
      <c r="AK64" s="625">
        <f t="shared" si="54"/>
        <v>0</v>
      </c>
      <c r="AL64" s="626">
        <f t="shared" si="55"/>
        <v>0</v>
      </c>
      <c r="AM64" s="626">
        <f t="shared" si="56"/>
        <v>0</v>
      </c>
      <c r="AN64" s="625">
        <f t="array" ref="AN64">IFERROR(INDEX('Malaria-Pharmaceuticals'!$Y$68:$Y$75,MATCH($E64&amp;$F64,'Malaria-Pharmaceuticals'!$E$68:$E$75&amp;'Malaria-Pharmaceuticals'!$I$68:$I$75,0)),0)</f>
        <v>0</v>
      </c>
      <c r="AO64" s="625">
        <f t="shared" si="57"/>
        <v>0</v>
      </c>
      <c r="AP64" s="626">
        <f t="shared" si="58"/>
        <v>0</v>
      </c>
      <c r="AQ64" s="626">
        <f t="shared" si="59"/>
        <v>0</v>
      </c>
      <c r="AR64" s="627"/>
      <c r="AS64" s="625">
        <f t="array" ref="AS64">IFERROR(INDEX('Malaria-Pharmaceuticals'!$AB$68:$AB$75,MATCH($E64&amp;$F64,'Malaria-Pharmaceuticals'!$E$68:$E$75&amp;'Malaria-Pharmaceuticals'!$I$68:$I$75,0)),0)</f>
        <v>0</v>
      </c>
      <c r="AT64" s="625">
        <f t="array" ref="AT64">IFERROR(INDEX('Malaria-Pharmaceuticals'!$AC$68:$AC$75,MATCH($E64&amp;$F64,'Malaria-Pharmaceuticals'!$E$68:$E$75&amp;'Malaria-Pharmaceuticals'!$I$68:$I$75,0)),0)</f>
        <v>0</v>
      </c>
      <c r="AU64" s="625">
        <f t="shared" si="60"/>
        <v>0</v>
      </c>
      <c r="AV64" s="626">
        <f t="shared" si="61"/>
        <v>0</v>
      </c>
      <c r="AW64" s="626">
        <f t="shared" si="62"/>
        <v>0</v>
      </c>
      <c r="AX64" s="625">
        <f t="array" ref="AX64">IFERROR(INDEX('Malaria-Pharmaceuticals'!$AD$68:$AD$75,MATCH($E64&amp;$F64,'Malaria-Pharmaceuticals'!$E$68:$E$75&amp;'Malaria-Pharmaceuticals'!$I$68:$I$75,0)),0)</f>
        <v>0</v>
      </c>
      <c r="AY64" s="625">
        <f t="shared" si="63"/>
        <v>0</v>
      </c>
      <c r="AZ64" s="626">
        <f t="shared" si="64"/>
        <v>0</v>
      </c>
      <c r="BA64" s="626">
        <f t="shared" si="65"/>
        <v>0</v>
      </c>
      <c r="BB64" s="625">
        <f t="array" ref="BB64">IFERROR(INDEX('Malaria-Pharmaceuticals'!$AE$68:$AE$75,MATCH($E64&amp;$F64,'Malaria-Pharmaceuticals'!$E$68:$E$75&amp;'Malaria-Pharmaceuticals'!$I$68:$I$75,0)),0)</f>
        <v>0</v>
      </c>
      <c r="BC64" s="625">
        <f t="shared" si="66"/>
        <v>0</v>
      </c>
      <c r="BD64" s="626">
        <f t="shared" si="67"/>
        <v>0</v>
      </c>
      <c r="BE64" s="626">
        <f t="shared" si="68"/>
        <v>0</v>
      </c>
      <c r="BF64" s="625">
        <f t="array" ref="BF64">IFERROR(INDEX('Malaria-Pharmaceuticals'!$AF$68:$AF$75,MATCH($E64&amp;$F64,'Malaria-Pharmaceuticals'!$E$68:$E$75&amp;'Malaria-Pharmaceuticals'!$I$68:$I$75,0)),0)</f>
        <v>0</v>
      </c>
      <c r="BG64" s="625">
        <f t="shared" si="69"/>
        <v>0</v>
      </c>
      <c r="BH64" s="626">
        <f t="shared" si="70"/>
        <v>0</v>
      </c>
      <c r="BI64" s="626">
        <f t="shared" si="71"/>
        <v>0</v>
      </c>
      <c r="BK64" s="626"/>
      <c r="BL64" s="626"/>
      <c r="BM64" s="626"/>
      <c r="BN64" s="626"/>
      <c r="BO64" s="626"/>
      <c r="BP64" s="626"/>
      <c r="BQ64" s="626"/>
      <c r="BR64" s="626"/>
      <c r="BT64" s="21" t="s">
        <v>6815</v>
      </c>
    </row>
    <row r="65" spans="1:72">
      <c r="A65" s="32" t="s">
        <v>1235</v>
      </c>
      <c r="B65" s="32" t="s">
        <v>1546</v>
      </c>
      <c r="C65" s="626">
        <f>SETUP!$F$51</f>
        <v>0</v>
      </c>
      <c r="D65" s="31">
        <v>4.3</v>
      </c>
      <c r="E65" s="32" t="s">
        <v>390</v>
      </c>
      <c r="F65" s="32" t="s">
        <v>1161</v>
      </c>
      <c r="G65" s="625" t="str">
        <f t="array" ref="G65">IFERROR(INDEX('Malaria-Pharmaceuticals'!$L$68:$L$75,MATCH($E65&amp;$F65,'Malaria-Pharmaceuticals'!$E$68:$E$75&amp;'Malaria-Pharmaceuticals'!$I$68:$I$75,0)),"")</f>
        <v/>
      </c>
      <c r="H65" s="625" t="str">
        <f t="array" ref="H65">IFERROR(INDEX('Malaria-Pharmaceuticals'!$M$68:$M$75,MATCH($E65&amp;$F65,'Malaria-Pharmaceuticals'!$E$68:$E$75&amp;'Malaria-Pharmaceuticals'!$I$68:$I$75,0)),"")</f>
        <v/>
      </c>
      <c r="I65" s="625">
        <f t="array" ref="I65">IFERROR(INDEX('Malaria-Pharmaceuticals'!$N$68:$N$75,MATCH($E65&amp;$F65,'Malaria-Pharmaceuticals'!$E$68:$E$75&amp;'Malaria-Pharmaceuticals'!$I$68:$I$75,0)),0)</f>
        <v>0</v>
      </c>
      <c r="J65" s="625">
        <f t="array" ref="J65">IFERROR(INDEX('Malaria-Pharmaceuticals'!$O$68:$O$75,MATCH($E65&amp;$F65,'Malaria-Pharmaceuticals'!$E$68:$E$75&amp;'Malaria-Pharmaceuticals'!$I$68:$I$75,0)),0)</f>
        <v>0</v>
      </c>
      <c r="K65" s="626">
        <f t="shared" si="36"/>
        <v>0</v>
      </c>
      <c r="L65" s="626">
        <f t="shared" si="37"/>
        <v>0</v>
      </c>
      <c r="M65" s="626">
        <f t="shared" si="38"/>
        <v>0</v>
      </c>
      <c r="N65" s="625">
        <f t="array" ref="N65">IFERROR(INDEX('Malaria-Pharmaceuticals'!$P$68:$P$75,MATCH($E65&amp;$F65,'Malaria-Pharmaceuticals'!$E$68:$E$75&amp;'Malaria-Pharmaceuticals'!$I$68:$I$75,0)),0)</f>
        <v>0</v>
      </c>
      <c r="O65" s="626">
        <f t="shared" si="39"/>
        <v>0</v>
      </c>
      <c r="P65" s="626">
        <f t="shared" si="40"/>
        <v>0</v>
      </c>
      <c r="Q65" s="626">
        <f t="shared" si="41"/>
        <v>0</v>
      </c>
      <c r="R65" s="625">
        <f t="array" ref="R65">IFERROR(INDEX('Malaria-Pharmaceuticals'!$Q$68:$Q$75,MATCH($E65&amp;$F65,'Malaria-Pharmaceuticals'!$E$68:$E$75&amp;'Malaria-Pharmaceuticals'!$I$68:$I$75,0)),0)</f>
        <v>0</v>
      </c>
      <c r="S65" s="626">
        <f t="shared" si="42"/>
        <v>0</v>
      </c>
      <c r="T65" s="626">
        <f t="shared" si="43"/>
        <v>0</v>
      </c>
      <c r="U65" s="626">
        <f t="shared" si="44"/>
        <v>0</v>
      </c>
      <c r="V65" s="625">
        <f t="array" ref="V65">IFERROR(INDEX('Malaria-Pharmaceuticals'!$R$68:$R$75,MATCH($E65&amp;$F65,'Malaria-Pharmaceuticals'!$E$68:$E$75&amp;'Malaria-Pharmaceuticals'!$I$68:$I$75,0)),0)</f>
        <v>0</v>
      </c>
      <c r="W65" s="626">
        <f t="shared" si="45"/>
        <v>0</v>
      </c>
      <c r="X65" s="626">
        <f t="shared" si="46"/>
        <v>0</v>
      </c>
      <c r="Y65" s="626">
        <f t="shared" si="47"/>
        <v>0</v>
      </c>
      <c r="Z65" s="627"/>
      <c r="AA65" s="625">
        <f t="array" ref="AA65">IFERROR(INDEX('Malaria-Pharmaceuticals'!$U$68:$U$75,MATCH($E65&amp;$F65,'Malaria-Pharmaceuticals'!$E$68:$E$75&amp;'Malaria-Pharmaceuticals'!$I$68:$I$75,0)),0)</f>
        <v>0</v>
      </c>
      <c r="AB65" s="625">
        <f t="array" ref="AB65">IFERROR(INDEX('Malaria-Pharmaceuticals'!$V$68:$V$75,MATCH($E65&amp;$F65,'Malaria-Pharmaceuticals'!$E$68:$E$75&amp;'Malaria-Pharmaceuticals'!$I$68:$I$75,0)),0)</f>
        <v>0</v>
      </c>
      <c r="AC65" s="625">
        <f t="shared" si="48"/>
        <v>0</v>
      </c>
      <c r="AD65" s="626">
        <f t="shared" si="49"/>
        <v>0</v>
      </c>
      <c r="AE65" s="626">
        <f t="shared" si="50"/>
        <v>0</v>
      </c>
      <c r="AF65" s="625">
        <f t="array" ref="AF65">IFERROR(INDEX('Malaria-Pharmaceuticals'!$W$68:$W$75,MATCH($E65&amp;$F65,'Malaria-Pharmaceuticals'!$E$68:$E$75&amp;'Malaria-Pharmaceuticals'!$I$68:$I$75,0)),0)</f>
        <v>0</v>
      </c>
      <c r="AG65" s="625">
        <f t="shared" si="51"/>
        <v>0</v>
      </c>
      <c r="AH65" s="626">
        <f t="shared" si="52"/>
        <v>0</v>
      </c>
      <c r="AI65" s="626">
        <f t="shared" si="53"/>
        <v>0</v>
      </c>
      <c r="AJ65" s="625">
        <f t="array" ref="AJ65">IFERROR(INDEX('Malaria-Pharmaceuticals'!$X$68:$X$75,MATCH($E65&amp;$F65,'Malaria-Pharmaceuticals'!$E$68:$E$75&amp;'Malaria-Pharmaceuticals'!$I$68:$I$75,0)),0)</f>
        <v>0</v>
      </c>
      <c r="AK65" s="625">
        <f t="shared" si="54"/>
        <v>0</v>
      </c>
      <c r="AL65" s="626">
        <f t="shared" si="55"/>
        <v>0</v>
      </c>
      <c r="AM65" s="626">
        <f t="shared" si="56"/>
        <v>0</v>
      </c>
      <c r="AN65" s="625">
        <f t="array" ref="AN65">IFERROR(INDEX('Malaria-Pharmaceuticals'!$Y$68:$Y$75,MATCH($E65&amp;$F65,'Malaria-Pharmaceuticals'!$E$68:$E$75&amp;'Malaria-Pharmaceuticals'!$I$68:$I$75,0)),0)</f>
        <v>0</v>
      </c>
      <c r="AO65" s="625">
        <f t="shared" si="57"/>
        <v>0</v>
      </c>
      <c r="AP65" s="626">
        <f t="shared" si="58"/>
        <v>0</v>
      </c>
      <c r="AQ65" s="626">
        <f t="shared" si="59"/>
        <v>0</v>
      </c>
      <c r="AR65" s="627"/>
      <c r="AS65" s="625">
        <f t="array" ref="AS65">IFERROR(INDEX('Malaria-Pharmaceuticals'!$AB$68:$AB$75,MATCH($E65&amp;$F65,'Malaria-Pharmaceuticals'!$E$68:$E$75&amp;'Malaria-Pharmaceuticals'!$I$68:$I$75,0)),0)</f>
        <v>0</v>
      </c>
      <c r="AT65" s="625">
        <f t="array" ref="AT65">IFERROR(INDEX('Malaria-Pharmaceuticals'!$AC$68:$AC$75,MATCH($E65&amp;$F65,'Malaria-Pharmaceuticals'!$E$68:$E$75&amp;'Malaria-Pharmaceuticals'!$I$68:$I$75,0)),0)</f>
        <v>0</v>
      </c>
      <c r="AU65" s="625">
        <f t="shared" si="60"/>
        <v>0</v>
      </c>
      <c r="AV65" s="626">
        <f t="shared" si="61"/>
        <v>0</v>
      </c>
      <c r="AW65" s="626">
        <f t="shared" si="62"/>
        <v>0</v>
      </c>
      <c r="AX65" s="625">
        <f t="array" ref="AX65">IFERROR(INDEX('Malaria-Pharmaceuticals'!$AD$68:$AD$75,MATCH($E65&amp;$F65,'Malaria-Pharmaceuticals'!$E$68:$E$75&amp;'Malaria-Pharmaceuticals'!$I$68:$I$75,0)),0)</f>
        <v>0</v>
      </c>
      <c r="AY65" s="625">
        <f t="shared" si="63"/>
        <v>0</v>
      </c>
      <c r="AZ65" s="626">
        <f t="shared" si="64"/>
        <v>0</v>
      </c>
      <c r="BA65" s="626">
        <f t="shared" si="65"/>
        <v>0</v>
      </c>
      <c r="BB65" s="625">
        <f t="array" ref="BB65">IFERROR(INDEX('Malaria-Pharmaceuticals'!$AE$68:$AE$75,MATCH($E65&amp;$F65,'Malaria-Pharmaceuticals'!$E$68:$E$75&amp;'Malaria-Pharmaceuticals'!$I$68:$I$75,0)),0)</f>
        <v>0</v>
      </c>
      <c r="BC65" s="625">
        <f t="shared" si="66"/>
        <v>0</v>
      </c>
      <c r="BD65" s="626">
        <f t="shared" si="67"/>
        <v>0</v>
      </c>
      <c r="BE65" s="626">
        <f t="shared" si="68"/>
        <v>0</v>
      </c>
      <c r="BF65" s="625">
        <f t="array" ref="BF65">IFERROR(INDEX('Malaria-Pharmaceuticals'!$AF$68:$AF$75,MATCH($E65&amp;$F65,'Malaria-Pharmaceuticals'!$E$68:$E$75&amp;'Malaria-Pharmaceuticals'!$I$68:$I$75,0)),0)</f>
        <v>0</v>
      </c>
      <c r="BG65" s="625">
        <f t="shared" si="69"/>
        <v>0</v>
      </c>
      <c r="BH65" s="626">
        <f t="shared" si="70"/>
        <v>0</v>
      </c>
      <c r="BI65" s="626">
        <f t="shared" si="71"/>
        <v>0</v>
      </c>
      <c r="BK65" s="626"/>
      <c r="BL65" s="626"/>
      <c r="BM65" s="626"/>
      <c r="BN65" s="626"/>
      <c r="BO65" s="626"/>
      <c r="BP65" s="626"/>
      <c r="BQ65" s="626"/>
      <c r="BR65" s="626"/>
      <c r="BT65" s="21" t="s">
        <v>6815</v>
      </c>
    </row>
    <row r="66" spans="1:72">
      <c r="A66" s="29"/>
      <c r="B66" s="29"/>
      <c r="C66" s="626"/>
      <c r="D66" s="25"/>
      <c r="E66" s="29"/>
      <c r="F66" s="29"/>
      <c r="G66" s="625"/>
      <c r="H66" s="625" t="str">
        <f t="array" ref="H66">IFERROR(INDEX('Malaria-Pharmaceuticals'!$M$68:$M$75,MATCH($E54&amp;$F54,'Malaria-Pharmaceuticals'!$E$68:$E$75&amp;'Malaria-Pharmaceuticals'!$I$68:$I$75,0)),"")</f>
        <v/>
      </c>
      <c r="I66" s="625"/>
      <c r="J66" s="625"/>
      <c r="K66" s="626"/>
      <c r="L66" s="626"/>
      <c r="M66" s="626"/>
      <c r="N66" s="625"/>
      <c r="O66" s="626"/>
      <c r="P66" s="626"/>
      <c r="Q66" s="626"/>
      <c r="R66" s="625"/>
      <c r="S66" s="626"/>
      <c r="T66" s="626"/>
      <c r="U66" s="626"/>
      <c r="V66" s="625"/>
      <c r="W66" s="626"/>
      <c r="X66" s="626"/>
      <c r="Y66" s="626"/>
      <c r="Z66" s="627"/>
      <c r="AA66" s="625"/>
      <c r="AB66" s="625"/>
      <c r="AC66" s="625"/>
      <c r="AD66" s="626"/>
      <c r="AE66" s="626"/>
      <c r="AF66" s="625"/>
      <c r="AG66" s="625"/>
      <c r="AH66" s="626"/>
      <c r="AI66" s="626"/>
      <c r="AJ66" s="625"/>
      <c r="AK66" s="625"/>
      <c r="AL66" s="626"/>
      <c r="AM66" s="626"/>
      <c r="AN66" s="625"/>
      <c r="AO66" s="625"/>
      <c r="AP66" s="626"/>
      <c r="AQ66" s="626"/>
      <c r="AR66" s="627"/>
      <c r="AS66" s="625"/>
      <c r="AT66" s="625"/>
      <c r="AU66" s="625"/>
      <c r="AV66" s="626"/>
      <c r="AW66" s="626"/>
      <c r="AX66" s="625"/>
      <c r="AY66" s="625"/>
      <c r="AZ66" s="626"/>
      <c r="BA66" s="626"/>
      <c r="BB66" s="625"/>
      <c r="BC66" s="625"/>
      <c r="BD66" s="626"/>
      <c r="BE66" s="626"/>
      <c r="BF66" s="625"/>
      <c r="BG66" s="625"/>
      <c r="BH66" s="626"/>
      <c r="BI66" s="626"/>
      <c r="BK66" s="626"/>
      <c r="BL66" s="626"/>
      <c r="BM66" s="626"/>
      <c r="BN66" s="626"/>
      <c r="BO66" s="626"/>
      <c r="BP66" s="626"/>
      <c r="BQ66" s="626"/>
      <c r="BR66" s="626"/>
      <c r="BT66" s="21" t="s">
        <v>857</v>
      </c>
    </row>
    <row r="67" spans="1:72">
      <c r="BT67" s="21" t="s">
        <v>857</v>
      </c>
    </row>
    <row r="68" spans="1:72" s="28" customFormat="1">
      <c r="A68" s="2567" t="s">
        <v>1547</v>
      </c>
      <c r="B68" s="2567"/>
      <c r="C68" s="2567"/>
      <c r="D68" s="2567"/>
      <c r="E68" s="2567"/>
      <c r="F68" s="2567"/>
      <c r="G68" s="628"/>
      <c r="H68" s="628"/>
      <c r="I68" s="628"/>
      <c r="J68" s="628"/>
      <c r="K68" s="628"/>
      <c r="L68" s="628"/>
      <c r="M68" s="628"/>
      <c r="N68" s="628"/>
      <c r="O68" s="628"/>
      <c r="P68" s="628"/>
      <c r="Q68" s="628"/>
      <c r="R68" s="628"/>
      <c r="S68" s="628"/>
      <c r="T68" s="628"/>
      <c r="U68" s="628"/>
      <c r="V68" s="628"/>
      <c r="W68" s="628"/>
      <c r="X68" s="628"/>
      <c r="Y68" s="628"/>
      <c r="Z68" s="628"/>
      <c r="AA68" s="628"/>
      <c r="AB68" s="628"/>
      <c r="AC68" s="628"/>
      <c r="AD68" s="628"/>
      <c r="AE68" s="628"/>
      <c r="AF68" s="628"/>
      <c r="AG68" s="628"/>
      <c r="AH68" s="628"/>
      <c r="AI68" s="628"/>
      <c r="AJ68" s="628"/>
      <c r="AK68" s="628"/>
      <c r="AL68" s="628"/>
      <c r="AM68" s="628"/>
      <c r="AN68" s="628"/>
      <c r="AO68" s="628"/>
      <c r="AP68" s="628"/>
      <c r="AQ68" s="628"/>
      <c r="AR68" s="628"/>
      <c r="AS68" s="628"/>
      <c r="AT68" s="628"/>
      <c r="AU68" s="628"/>
      <c r="AV68" s="628"/>
      <c r="AW68" s="628"/>
      <c r="AX68" s="628"/>
      <c r="AY68" s="628"/>
      <c r="AZ68" s="628"/>
      <c r="BA68" s="628"/>
      <c r="BB68" s="628"/>
      <c r="BC68" s="628"/>
      <c r="BD68" s="628"/>
      <c r="BE68" s="628"/>
      <c r="BF68" s="628"/>
      <c r="BG68" s="628"/>
      <c r="BH68" s="628"/>
      <c r="BI68" s="628"/>
      <c r="BJ68" s="628"/>
      <c r="BK68" s="628"/>
      <c r="BL68" s="628"/>
      <c r="BM68" s="628"/>
      <c r="BN68" s="628"/>
      <c r="BO68" s="628"/>
      <c r="BP68" s="628"/>
      <c r="BQ68" s="628"/>
      <c r="BR68" s="628"/>
      <c r="BT68" s="21" t="s">
        <v>857</v>
      </c>
    </row>
    <row r="69" spans="1:72" s="22" customFormat="1">
      <c r="A69" s="395" t="s">
        <v>1545</v>
      </c>
      <c r="B69" s="395" t="s">
        <v>203</v>
      </c>
      <c r="C69" s="632" t="s">
        <v>459</v>
      </c>
      <c r="D69" s="395" t="s">
        <v>460</v>
      </c>
      <c r="E69" s="395" t="s">
        <v>461</v>
      </c>
      <c r="F69" s="395" t="s">
        <v>214</v>
      </c>
      <c r="G69" s="632" t="s">
        <v>462</v>
      </c>
      <c r="H69" s="632" t="s">
        <v>49</v>
      </c>
      <c r="I69" s="632" t="s">
        <v>463</v>
      </c>
      <c r="J69" s="632" t="s">
        <v>464</v>
      </c>
      <c r="K69" s="632" t="s">
        <v>465</v>
      </c>
      <c r="L69" s="725" t="s">
        <v>466</v>
      </c>
      <c r="M69" s="725" t="s">
        <v>467</v>
      </c>
      <c r="N69" s="632" t="s">
        <v>468</v>
      </c>
      <c r="O69" s="632" t="s">
        <v>469</v>
      </c>
      <c r="P69" s="725" t="s">
        <v>470</v>
      </c>
      <c r="Q69" s="725" t="s">
        <v>471</v>
      </c>
      <c r="R69" s="632" t="s">
        <v>472</v>
      </c>
      <c r="S69" s="632" t="s">
        <v>473</v>
      </c>
      <c r="T69" s="725" t="s">
        <v>474</v>
      </c>
      <c r="U69" s="725" t="s">
        <v>475</v>
      </c>
      <c r="V69" s="632" t="s">
        <v>476</v>
      </c>
      <c r="W69" s="632" t="s">
        <v>477</v>
      </c>
      <c r="X69" s="725" t="s">
        <v>478</v>
      </c>
      <c r="Y69" s="725" t="s">
        <v>479</v>
      </c>
      <c r="Z69" s="624"/>
      <c r="AA69" s="632" t="s">
        <v>480</v>
      </c>
      <c r="AB69" s="632" t="s">
        <v>481</v>
      </c>
      <c r="AC69" s="632" t="s">
        <v>482</v>
      </c>
      <c r="AD69" s="725" t="s">
        <v>483</v>
      </c>
      <c r="AE69" s="725" t="s">
        <v>484</v>
      </c>
      <c r="AF69" s="632" t="s">
        <v>485</v>
      </c>
      <c r="AG69" s="632" t="s">
        <v>486</v>
      </c>
      <c r="AH69" s="725" t="s">
        <v>487</v>
      </c>
      <c r="AI69" s="725" t="s">
        <v>488</v>
      </c>
      <c r="AJ69" s="632" t="s">
        <v>489</v>
      </c>
      <c r="AK69" s="632" t="s">
        <v>490</v>
      </c>
      <c r="AL69" s="725" t="s">
        <v>491</v>
      </c>
      <c r="AM69" s="725" t="s">
        <v>492</v>
      </c>
      <c r="AN69" s="632" t="s">
        <v>493</v>
      </c>
      <c r="AO69" s="632" t="s">
        <v>494</v>
      </c>
      <c r="AP69" s="725" t="s">
        <v>495</v>
      </c>
      <c r="AQ69" s="725" t="s">
        <v>496</v>
      </c>
      <c r="AR69" s="624"/>
      <c r="AS69" s="632" t="s">
        <v>497</v>
      </c>
      <c r="AT69" s="632" t="s">
        <v>498</v>
      </c>
      <c r="AU69" s="632" t="s">
        <v>499</v>
      </c>
      <c r="AV69" s="725" t="s">
        <v>500</v>
      </c>
      <c r="AW69" s="725" t="s">
        <v>501</v>
      </c>
      <c r="AX69" s="632" t="s">
        <v>502</v>
      </c>
      <c r="AY69" s="632" t="s">
        <v>503</v>
      </c>
      <c r="AZ69" s="725" t="s">
        <v>504</v>
      </c>
      <c r="BA69" s="725" t="s">
        <v>505</v>
      </c>
      <c r="BB69" s="632" t="s">
        <v>506</v>
      </c>
      <c r="BC69" s="632" t="s">
        <v>507</v>
      </c>
      <c r="BD69" s="725" t="s">
        <v>508</v>
      </c>
      <c r="BE69" s="725" t="s">
        <v>509</v>
      </c>
      <c r="BF69" s="632" t="s">
        <v>510</v>
      </c>
      <c r="BG69" s="632" t="s">
        <v>511</v>
      </c>
      <c r="BH69" s="725" t="s">
        <v>512</v>
      </c>
      <c r="BI69" s="725" t="s">
        <v>513</v>
      </c>
      <c r="BJ69" s="624"/>
      <c r="BK69" s="725" t="s">
        <v>514</v>
      </c>
      <c r="BL69" s="725" t="s">
        <v>515</v>
      </c>
      <c r="BM69" s="725" t="s">
        <v>516</v>
      </c>
      <c r="BN69" s="725" t="s">
        <v>517</v>
      </c>
      <c r="BO69" s="725" t="s">
        <v>518</v>
      </c>
      <c r="BP69" s="725" t="s">
        <v>519</v>
      </c>
      <c r="BQ69" s="725" t="s">
        <v>520</v>
      </c>
      <c r="BR69" s="725" t="s">
        <v>521</v>
      </c>
      <c r="BT69" s="21" t="s">
        <v>6799</v>
      </c>
    </row>
    <row r="70" spans="1:72" s="566" customFormat="1">
      <c r="A70" s="565" t="s">
        <v>1551</v>
      </c>
      <c r="B70" s="565" t="s">
        <v>1547</v>
      </c>
      <c r="C70" s="626">
        <f>SETUP!$F$52</f>
        <v>0</v>
      </c>
      <c r="D70" s="31">
        <v>5.6</v>
      </c>
      <c r="E70" s="565" t="s">
        <v>1164</v>
      </c>
      <c r="F70" s="565" t="s">
        <v>1140</v>
      </c>
      <c r="G70" s="625" t="str">
        <f t="array" ref="G70">IFERROR(INDEX('Malaria-Equipment &amp; Other HPs'!$L$14:$L$33,MATCH($E70&amp;$F70,'Malaria-Equipment &amp; Other HPs'!$E$14:$E$33&amp;'Malaria-Equipment &amp; Other HPs'!$I$14:$I$33,0)),"")</f>
        <v/>
      </c>
      <c r="H70" s="625" t="str">
        <f t="array" ref="H70">IFERROR(INDEX('Malaria-Equipment &amp; Other HPs'!$M$14:$M$33,MATCH($E70&amp;$F70,'Malaria-Equipment &amp; Other HPs'!$E$14:$E$33&amp;'Malaria-Equipment &amp; Other HPs'!$I$14:$I$33,0)),"")</f>
        <v/>
      </c>
      <c r="I70" s="625">
        <f t="array" ref="I70">IFERROR(INDEX('Malaria-Equipment &amp; Other HPs'!$N$14:$N$33,MATCH($E70&amp;$F70,'Malaria-Equipment &amp; Other HPs'!$E$14:$E$33&amp;'Malaria-Equipment &amp; Other HPs'!$I$14:$I$33,0)),0)</f>
        <v>0</v>
      </c>
      <c r="J70" s="625">
        <f t="array" ref="J70">IFERROR(INDEX('Malaria-Equipment &amp; Other HPs'!$O$14:$O$33,MATCH($E70&amp;$F70,'Malaria-Equipment &amp; Other HPs'!$E$14:$E$33&amp;'Malaria-Equipment &amp; Other HPs'!$I$14:$I$33,0)),0)</f>
        <v>0</v>
      </c>
      <c r="K70" s="626">
        <f>IF(ISERROR($I70*J70),0,$I70*J70)</f>
        <v>0</v>
      </c>
      <c r="L70" s="626">
        <f>IF(C70="Upfront",J70,0)</f>
        <v>0</v>
      </c>
      <c r="M70" s="626">
        <f>IF(C70="Upfront",K70,0)</f>
        <v>0</v>
      </c>
      <c r="N70" s="625">
        <f t="array" ref="N70">IFERROR(INDEX('Malaria-Equipment &amp; Other HPs'!$P$14:$P$33,MATCH($E70&amp;$F70,'Malaria-Equipment &amp; Other HPs'!$E$14:$E$33&amp;'Malaria-Equipment &amp; Other HPs'!$I$14:$I$33,0)),0)</f>
        <v>0</v>
      </c>
      <c r="O70" s="626">
        <f>IF(ISERROR($I70*N70),0,$I70*N70)</f>
        <v>0</v>
      </c>
      <c r="P70" s="626">
        <f>IF(C70="Upfront",N70,0)</f>
        <v>0</v>
      </c>
      <c r="Q70" s="626">
        <f>IF(C70="Upfront",O70,0)</f>
        <v>0</v>
      </c>
      <c r="R70" s="625">
        <f t="array" ref="R70">IFERROR(INDEX('Malaria-Equipment &amp; Other HPs'!$Q$14:$Q$33,MATCH($E70&amp;$F70,'Malaria-Equipment &amp; Other HPs'!$E$14:$E$33&amp;'Malaria-Equipment &amp; Other HPs'!$I$14:$I$33,0)),0)</f>
        <v>0</v>
      </c>
      <c r="S70" s="626">
        <f>IF(ISERROR($I70*R70),0,$I70*R70)</f>
        <v>0</v>
      </c>
      <c r="T70" s="626">
        <f>IF(C70="Upfront",R70,IF(C70="At delivery",J70,0))</f>
        <v>0</v>
      </c>
      <c r="U70" s="626">
        <f>IF(C70="Upfront",S70,IF(C70="At delivery",K70,0))</f>
        <v>0</v>
      </c>
      <c r="V70" s="625">
        <f t="array" ref="V70">IFERROR(INDEX('Malaria-Equipment &amp; Other HPs'!$R$14:$R$33,MATCH($E70&amp;$F70,'Malaria-Equipment &amp; Other HPs'!$E$14:$E$33&amp;'Malaria-Equipment &amp; Other HPs'!$I$14:$I$33,0)),0)</f>
        <v>0</v>
      </c>
      <c r="W70" s="626">
        <f>IF(ISERROR($I70*V70),0,$I70*V70)</f>
        <v>0</v>
      </c>
      <c r="X70" s="626">
        <f>IF(C70="Upfront",V70,IF(C70="At delivery",N70,0))</f>
        <v>0</v>
      </c>
      <c r="Y70" s="626">
        <f>IF(C70="Upfront",W70,IF(C70="At delivery",O70,0))</f>
        <v>0</v>
      </c>
      <c r="Z70" s="629"/>
      <c r="AA70" s="625">
        <f t="array" ref="AA70">IFERROR(INDEX('Malaria-Equipment &amp; Other HPs'!$U$14:$U$33,MATCH($E70&amp;$F70,'Malaria-Equipment &amp; Other HPs'!$E$14:$E$33&amp;'Malaria-Equipment &amp; Other HPs'!$I$14:$I$33,0)),0)</f>
        <v>0</v>
      </c>
      <c r="AB70" s="625">
        <f t="array" ref="AB70">IFERROR(INDEX('Malaria-Equipment &amp; Other HPs'!$V$14:$V$33,MATCH($E70&amp;$F70,'Malaria-Equipment &amp; Other HPs'!$E$14:$E$33&amp;'Malaria-Equipment &amp; Other HPs'!$I$14:$I$33,0)),0)</f>
        <v>0</v>
      </c>
      <c r="AC70" s="625">
        <f>IF(ISERROR($AA70*AB70),0,$AA70*AB70)</f>
        <v>0</v>
      </c>
      <c r="AD70" s="626">
        <f>IF(C70="Upfront",AB70,IF(C70="At delivery",R70,0))</f>
        <v>0</v>
      </c>
      <c r="AE70" s="626">
        <f>IF(C70="Upfront",AC70,IF(C70="At delivery",S70,0))</f>
        <v>0</v>
      </c>
      <c r="AF70" s="625">
        <f t="array" ref="AF70">IFERROR(INDEX('Malaria-Equipment &amp; Other HPs'!$W$14:$W$33,MATCH($E70&amp;$F70,'Malaria-Equipment &amp; Other HPs'!$E$14:$E$33&amp;'Malaria-Equipment &amp; Other HPs'!$I$14:$I$33,0)),0)</f>
        <v>0</v>
      </c>
      <c r="AG70" s="625">
        <f>IF(ISERROR($AA70*AF70),0,$AA70*AF70)</f>
        <v>0</v>
      </c>
      <c r="AH70" s="626">
        <f>IF(C70="Upfront",AF70,IF(C70="At delivery",V70,0))</f>
        <v>0</v>
      </c>
      <c r="AI70" s="626">
        <f>IF(C70="Upfront",AG70,IF(C70="At delivery",W70,0))</f>
        <v>0</v>
      </c>
      <c r="AJ70" s="625">
        <f t="array" ref="AJ70">IFERROR(INDEX('Malaria-Equipment &amp; Other HPs'!$X$14:$X$33,MATCH($E70&amp;$F70,'Malaria-Equipment &amp; Other HPs'!$E$14:$E$33&amp;'Malaria-Equipment &amp; Other HPs'!$I$14:$I$33,0)),0)</f>
        <v>0</v>
      </c>
      <c r="AK70" s="625">
        <f>IF(ISERROR($AA70*AJ70),0,$AA70*AJ70)</f>
        <v>0</v>
      </c>
      <c r="AL70" s="626">
        <f>IF(C70="Upfront",AJ70,IF(C70="At delivery",AB70,0))</f>
        <v>0</v>
      </c>
      <c r="AM70" s="626">
        <f>IF(C70="Upfront",AK70,IF(C70="At delivery",AC70,0))</f>
        <v>0</v>
      </c>
      <c r="AN70" s="625">
        <f t="array" ref="AN70">IFERROR(INDEX('Malaria-Equipment &amp; Other HPs'!$Y$14:$Y$33,MATCH($E70&amp;$F70,'Malaria-Equipment &amp; Other HPs'!$E$14:$E$33&amp;'Malaria-Equipment &amp; Other HPs'!$I$14:$I$33,0)),0)</f>
        <v>0</v>
      </c>
      <c r="AO70" s="625">
        <f>IF(ISERROR($AA70*AN70),0,$AA70*AN70)</f>
        <v>0</v>
      </c>
      <c r="AP70" s="626">
        <f>IF(C70="Upfront",AN70,IF(C70="At delivery",AF70,0))</f>
        <v>0</v>
      </c>
      <c r="AQ70" s="626">
        <f>IF(C70="Upfront",AO70,IF(C70="At delivery",AG70,0))</f>
        <v>0</v>
      </c>
      <c r="AR70" s="629"/>
      <c r="AS70" s="625">
        <f t="array" ref="AS70">IFERROR(INDEX('Malaria-Equipment &amp; Other HPs'!$AB$14:$AB$33,MATCH($E70&amp;$F70,'Malaria-Equipment &amp; Other HPs'!$E$14:$E$33&amp;'Malaria-Equipment &amp; Other HPs'!$I$14:$I$33,0)),0)</f>
        <v>0</v>
      </c>
      <c r="AT70" s="625">
        <f t="array" ref="AT70">IFERROR(INDEX('Malaria-Equipment &amp; Other HPs'!$AC$14:$AC$33,MATCH($E70&amp;$F70,'Malaria-Equipment &amp; Other HPs'!$E$14:$E$33&amp;'Malaria-Equipment &amp; Other HPs'!$I$14:$I$33,0)),0)</f>
        <v>0</v>
      </c>
      <c r="AU70" s="625">
        <f>IF(ISERROR($AS70*AT70),0,$AS70*AT70)</f>
        <v>0</v>
      </c>
      <c r="AV70" s="626">
        <f>IF(C70="Upfront",AT70,IF(C70="At delivery",AJ70,0))</f>
        <v>0</v>
      </c>
      <c r="AW70" s="626">
        <f>IF(C70="Upfront",AU70,IF(C70="At delivery",AK70,0))</f>
        <v>0</v>
      </c>
      <c r="AX70" s="625">
        <f t="array" ref="AX70">IFERROR(INDEX('Malaria-Equipment &amp; Other HPs'!$AD$14:$AD$33,MATCH($E70&amp;$F70,'Malaria-Equipment &amp; Other HPs'!$E$14:$E$33&amp;'Malaria-Equipment &amp; Other HPs'!$I$14:$I$33,0)),0)</f>
        <v>0</v>
      </c>
      <c r="AY70" s="625">
        <f>IF(ISERROR($AS70*AX70),0,$AS70*AX70)</f>
        <v>0</v>
      </c>
      <c r="AZ70" s="626">
        <f>IF(C70="Upfront",AX70,IF(C70="At delivery",AN70,0))</f>
        <v>0</v>
      </c>
      <c r="BA70" s="626">
        <f>IF(C70="Upfront",AY70,IF(C70="At delivery",AO70,0))</f>
        <v>0</v>
      </c>
      <c r="BB70" s="625">
        <f t="array" ref="BB70">IFERROR(INDEX('Malaria-Equipment &amp; Other HPs'!$AE$14:$AE$33,MATCH($E70&amp;$F70,'Malaria-Equipment &amp; Other HPs'!$E$14:$E$33&amp;'Malaria-Equipment &amp; Other HPs'!$I$14:$I$33,0)),0)</f>
        <v>0</v>
      </c>
      <c r="BC70" s="625">
        <f>IF(ISERROR($AS70*BB70),0,$AS70*BB70)</f>
        <v>0</v>
      </c>
      <c r="BD70" s="626">
        <f>IF(C70="Upfront",BB70,IF(C70="At delivery",AT70,0))</f>
        <v>0</v>
      </c>
      <c r="BE70" s="626">
        <f>IF(C70="Upfront",BC70,IF(C70="At delivery",AU70,0))</f>
        <v>0</v>
      </c>
      <c r="BF70" s="625">
        <f t="array" ref="BF70">IFERROR(INDEX('Malaria-Equipment &amp; Other HPs'!$AF$14:$AF$33,MATCH($E70&amp;$F70,'Malaria-Equipment &amp; Other HPs'!$E$14:$E$33&amp;'Malaria-Equipment &amp; Other HPs'!$I$14:$I$33,0)),0)</f>
        <v>0</v>
      </c>
      <c r="BG70" s="625">
        <f>IF(ISERROR($AS70*BF70),0,$AS70*BF70)</f>
        <v>0</v>
      </c>
      <c r="BH70" s="626">
        <f>IF(C70="Upfront",BF70,IF(C70="At delivery",AX70,0))</f>
        <v>0</v>
      </c>
      <c r="BI70" s="626">
        <f>IF(C70="Upfront",BG70,IF(C70="At delivery",AY70,0))</f>
        <v>0</v>
      </c>
      <c r="BJ70" s="630"/>
      <c r="BK70" s="626"/>
      <c r="BL70" s="626"/>
      <c r="BM70" s="626"/>
      <c r="BN70" s="626"/>
      <c r="BO70" s="626"/>
      <c r="BP70" s="626"/>
      <c r="BQ70" s="626"/>
      <c r="BR70" s="626"/>
      <c r="BT70" s="21" t="s">
        <v>6816</v>
      </c>
    </row>
    <row r="71" spans="1:72" s="566" customFormat="1">
      <c r="A71" s="565" t="s">
        <v>1551</v>
      </c>
      <c r="B71" s="565" t="s">
        <v>1547</v>
      </c>
      <c r="C71" s="626">
        <f>SETUP!$F$52</f>
        <v>0</v>
      </c>
      <c r="D71" s="31">
        <v>6.3</v>
      </c>
      <c r="E71" s="565" t="s">
        <v>1165</v>
      </c>
      <c r="F71" s="565" t="s">
        <v>1168</v>
      </c>
      <c r="G71" s="625" t="str">
        <f t="array" ref="G71">IFERROR(INDEX('Malaria-Equipment &amp; Other HPs'!$L$14:$L$33,MATCH($E71&amp;$F71,'Malaria-Equipment &amp; Other HPs'!$E$14:$E$33&amp;'Malaria-Equipment &amp; Other HPs'!$I$14:$I$33,0)),"")</f>
        <v/>
      </c>
      <c r="H71" s="625" t="str">
        <f t="array" ref="H71">IFERROR(INDEX('Malaria-Equipment &amp; Other HPs'!$M$14:$M$33,MATCH($E71&amp;$F71,'Malaria-Equipment &amp; Other HPs'!$E$14:$E$33&amp;'Malaria-Equipment &amp; Other HPs'!$I$14:$I$33,0)),"")</f>
        <v/>
      </c>
      <c r="I71" s="625">
        <f t="array" ref="I71">IFERROR(INDEX('Malaria-Equipment &amp; Other HPs'!$N$14:$N$33,MATCH($E71&amp;$F71,'Malaria-Equipment &amp; Other HPs'!$E$14:$E$33&amp;'Malaria-Equipment &amp; Other HPs'!$I$14:$I$33,0)),0)</f>
        <v>0</v>
      </c>
      <c r="J71" s="625">
        <f t="array" ref="J71">IFERROR(INDEX('Malaria-Equipment &amp; Other HPs'!$O$14:$O$33,MATCH($E71&amp;$F71,'Malaria-Equipment &amp; Other HPs'!$E$14:$E$33&amp;'Malaria-Equipment &amp; Other HPs'!$I$14:$I$33,0)),0)</f>
        <v>0</v>
      </c>
      <c r="K71" s="626">
        <f>IF(ISERROR($I71*J71),0,$I71*J71)</f>
        <v>0</v>
      </c>
      <c r="L71" s="626">
        <f>IF(C71="Upfront",J71,0)</f>
        <v>0</v>
      </c>
      <c r="M71" s="626">
        <f>IF(C71="Upfront",K71,0)</f>
        <v>0</v>
      </c>
      <c r="N71" s="625">
        <f t="array" ref="N71">IFERROR(INDEX('Malaria-Equipment &amp; Other HPs'!$P$14:$P$33,MATCH($E71&amp;$F71,'Malaria-Equipment &amp; Other HPs'!$E$14:$E$33&amp;'Malaria-Equipment &amp; Other HPs'!$I$14:$I$33,0)),0)</f>
        <v>0</v>
      </c>
      <c r="O71" s="626">
        <f>IF(ISERROR($I71*N71),0,$I71*N71)</f>
        <v>0</v>
      </c>
      <c r="P71" s="626">
        <f>IF(C71="Upfront",N71,0)</f>
        <v>0</v>
      </c>
      <c r="Q71" s="626">
        <f>IF(C71="Upfront",O71,0)</f>
        <v>0</v>
      </c>
      <c r="R71" s="625">
        <f t="array" ref="R71">IFERROR(INDEX('Malaria-Equipment &amp; Other HPs'!$Q$14:$Q$33,MATCH($E71&amp;$F71,'Malaria-Equipment &amp; Other HPs'!$E$14:$E$33&amp;'Malaria-Equipment &amp; Other HPs'!$I$14:$I$33,0)),0)</f>
        <v>0</v>
      </c>
      <c r="S71" s="626">
        <f>IF(ISERROR($I71*R71),0,$I71*R71)</f>
        <v>0</v>
      </c>
      <c r="T71" s="626">
        <f>IF(C71="Upfront",R71,IF(C71="At delivery",J71,0))</f>
        <v>0</v>
      </c>
      <c r="U71" s="626">
        <f>IF(C71="Upfront",S71,IF(C71="At delivery",K71,0))</f>
        <v>0</v>
      </c>
      <c r="V71" s="625">
        <f t="array" ref="V71">IFERROR(INDEX('Malaria-Equipment &amp; Other HPs'!$R$14:$R$33,MATCH($E71&amp;$F71,'Malaria-Equipment &amp; Other HPs'!$E$14:$E$33&amp;'Malaria-Equipment &amp; Other HPs'!$I$14:$I$33,0)),0)</f>
        <v>0</v>
      </c>
      <c r="W71" s="626">
        <f>IF(ISERROR($I71*V71),0,$I71*V71)</f>
        <v>0</v>
      </c>
      <c r="X71" s="626">
        <f>IF(C71="Upfront",V71,IF(C71="At delivery",N71,0))</f>
        <v>0</v>
      </c>
      <c r="Y71" s="626">
        <f>IF(C71="Upfront",W71,IF(C71="At delivery",O71,0))</f>
        <v>0</v>
      </c>
      <c r="Z71" s="629"/>
      <c r="AA71" s="625">
        <f t="array" ref="AA71">IFERROR(INDEX('Malaria-Equipment &amp; Other HPs'!$U$14:$U$33,MATCH($E71&amp;$F71,'Malaria-Equipment &amp; Other HPs'!$E$14:$E$33&amp;'Malaria-Equipment &amp; Other HPs'!$I$14:$I$33,0)),0)</f>
        <v>0</v>
      </c>
      <c r="AB71" s="625">
        <f t="array" ref="AB71">IFERROR(INDEX('Malaria-Equipment &amp; Other HPs'!$V$14:$V$33,MATCH($E71&amp;$F71,'Malaria-Equipment &amp; Other HPs'!$E$14:$E$33&amp;'Malaria-Equipment &amp; Other HPs'!$I$14:$I$33,0)),0)</f>
        <v>0</v>
      </c>
      <c r="AC71" s="625">
        <f>IF(ISERROR($AA71*AB71),0,$AA71*AB71)</f>
        <v>0</v>
      </c>
      <c r="AD71" s="626">
        <f>IF(C71="Upfront",AB71,IF(C71="At delivery",R71,0))</f>
        <v>0</v>
      </c>
      <c r="AE71" s="626">
        <f>IF(C71="Upfront",AC71,IF(C71="At delivery",S71,0))</f>
        <v>0</v>
      </c>
      <c r="AF71" s="625">
        <f t="array" ref="AF71">IFERROR(INDEX('Malaria-Equipment &amp; Other HPs'!$W$14:$W$33,MATCH($E71&amp;$F71,'Malaria-Equipment &amp; Other HPs'!$E$14:$E$33&amp;'Malaria-Equipment &amp; Other HPs'!$I$14:$I$33,0)),0)</f>
        <v>0</v>
      </c>
      <c r="AG71" s="625">
        <f>IF(ISERROR($AA71*AF71),0,$AA71*AF71)</f>
        <v>0</v>
      </c>
      <c r="AH71" s="626">
        <f>IF(C71="Upfront",AF71,IF(C71="At delivery",V71,0))</f>
        <v>0</v>
      </c>
      <c r="AI71" s="626">
        <f>IF(C71="Upfront",AG71,IF(C71="At delivery",W71,0))</f>
        <v>0</v>
      </c>
      <c r="AJ71" s="625">
        <f t="array" ref="AJ71">IFERROR(INDEX('Malaria-Equipment &amp; Other HPs'!$X$14:$X$33,MATCH($E71&amp;$F71,'Malaria-Equipment &amp; Other HPs'!$E$14:$E$33&amp;'Malaria-Equipment &amp; Other HPs'!$I$14:$I$33,0)),0)</f>
        <v>0</v>
      </c>
      <c r="AK71" s="625">
        <f>IF(ISERROR($AA71*AJ71),0,$AA71*AJ71)</f>
        <v>0</v>
      </c>
      <c r="AL71" s="626">
        <f>IF(C71="Upfront",AJ71,IF(C71="At delivery",AB71,0))</f>
        <v>0</v>
      </c>
      <c r="AM71" s="626">
        <f>IF(C71="Upfront",AK71,IF(C71="At delivery",AC71,0))</f>
        <v>0</v>
      </c>
      <c r="AN71" s="625">
        <f t="array" ref="AN71">IFERROR(INDEX('Malaria-Equipment &amp; Other HPs'!$Y$14:$Y$33,MATCH($E71&amp;$F71,'Malaria-Equipment &amp; Other HPs'!$E$14:$E$33&amp;'Malaria-Equipment &amp; Other HPs'!$I$14:$I$33,0)),0)</f>
        <v>0</v>
      </c>
      <c r="AO71" s="625">
        <f>IF(ISERROR($AA71*AN71),0,$AA71*AN71)</f>
        <v>0</v>
      </c>
      <c r="AP71" s="626">
        <f>IF(C71="Upfront",AN71,IF(C71="At delivery",AF71,0))</f>
        <v>0</v>
      </c>
      <c r="AQ71" s="626">
        <f>IF(C71="Upfront",AO71,IF(C71="At delivery",AG71,0))</f>
        <v>0</v>
      </c>
      <c r="AR71" s="629"/>
      <c r="AS71" s="625">
        <f t="array" ref="AS71">IFERROR(INDEX('Malaria-Equipment &amp; Other HPs'!$AB$14:$AB$33,MATCH($E71&amp;$F71,'Malaria-Equipment &amp; Other HPs'!$E$14:$E$33&amp;'Malaria-Equipment &amp; Other HPs'!$I$14:$I$33,0)),0)</f>
        <v>0</v>
      </c>
      <c r="AT71" s="625">
        <f t="array" ref="AT71">IFERROR(INDEX('Malaria-Equipment &amp; Other HPs'!$AC$14:$AC$33,MATCH($E71&amp;$F71,'Malaria-Equipment &amp; Other HPs'!$E$14:$E$33&amp;'Malaria-Equipment &amp; Other HPs'!$I$14:$I$33,0)),0)</f>
        <v>0</v>
      </c>
      <c r="AU71" s="625">
        <f>IF(ISERROR($AS71*AT71),0,$AS71*AT71)</f>
        <v>0</v>
      </c>
      <c r="AV71" s="626">
        <f>IF(C71="Upfront",AT71,IF(C71="At delivery",AJ71,0))</f>
        <v>0</v>
      </c>
      <c r="AW71" s="626">
        <f>IF(C71="Upfront",AU71,IF(C71="At delivery",AK71,0))</f>
        <v>0</v>
      </c>
      <c r="AX71" s="625">
        <f t="array" ref="AX71">IFERROR(INDEX('Malaria-Equipment &amp; Other HPs'!$AD$14:$AD$33,MATCH($E71&amp;$F71,'Malaria-Equipment &amp; Other HPs'!$E$14:$E$33&amp;'Malaria-Equipment &amp; Other HPs'!$I$14:$I$33,0)),0)</f>
        <v>0</v>
      </c>
      <c r="AY71" s="625">
        <f>IF(ISERROR($AS71*AX71),0,$AS71*AX71)</f>
        <v>0</v>
      </c>
      <c r="AZ71" s="626">
        <f>IF(C71="Upfront",AX71,IF(C71="At delivery",AN71,0))</f>
        <v>0</v>
      </c>
      <c r="BA71" s="626">
        <f>IF(C71="Upfront",AY71,IF(C71="At delivery",AO71,0))</f>
        <v>0</v>
      </c>
      <c r="BB71" s="625">
        <f t="array" ref="BB71">IFERROR(INDEX('Malaria-Equipment &amp; Other HPs'!$AE$14:$AE$33,MATCH($E71&amp;$F71,'Malaria-Equipment &amp; Other HPs'!$E$14:$E$33&amp;'Malaria-Equipment &amp; Other HPs'!$I$14:$I$33,0)),0)</f>
        <v>0</v>
      </c>
      <c r="BC71" s="625">
        <f>IF(ISERROR($AS71*BB71),0,$AS71*BB71)</f>
        <v>0</v>
      </c>
      <c r="BD71" s="626">
        <f>IF(C71="Upfront",BB71,IF(C71="At delivery",AT71,0))</f>
        <v>0</v>
      </c>
      <c r="BE71" s="626">
        <f>IF(C71="Upfront",BC71,IF(C71="At delivery",AU71,0))</f>
        <v>0</v>
      </c>
      <c r="BF71" s="625">
        <f t="array" ref="BF71">IFERROR(INDEX('Malaria-Equipment &amp; Other HPs'!$AF$14:$AF$33,MATCH($E71&amp;$F71,'Malaria-Equipment &amp; Other HPs'!$E$14:$E$33&amp;'Malaria-Equipment &amp; Other HPs'!$I$14:$I$33,0)),0)</f>
        <v>0</v>
      </c>
      <c r="BG71" s="625">
        <f>IF(ISERROR($AS71*BF71),0,$AS71*BF71)</f>
        <v>0</v>
      </c>
      <c r="BH71" s="626">
        <f>IF(C71="Upfront",BF71,IF(C71="At delivery",AX71,0))</f>
        <v>0</v>
      </c>
      <c r="BI71" s="626">
        <f>IF(C71="Upfront",BG71,IF(C71="At delivery",AY71,0))</f>
        <v>0</v>
      </c>
      <c r="BJ71" s="630"/>
      <c r="BK71" s="626"/>
      <c r="BL71" s="626"/>
      <c r="BM71" s="626"/>
      <c r="BN71" s="626"/>
      <c r="BO71" s="626"/>
      <c r="BP71" s="626"/>
      <c r="BQ71" s="626"/>
      <c r="BR71" s="626"/>
      <c r="BT71" s="21" t="s">
        <v>2355</v>
      </c>
    </row>
    <row r="72" spans="1:72" s="566" customFormat="1">
      <c r="A72" s="565" t="s">
        <v>1551</v>
      </c>
      <c r="B72" s="565" t="s">
        <v>1547</v>
      </c>
      <c r="C72" s="626">
        <f>SETUP!$F$52</f>
        <v>0</v>
      </c>
      <c r="D72" s="31">
        <v>6.3</v>
      </c>
      <c r="E72" s="565" t="s">
        <v>1165</v>
      </c>
      <c r="F72" s="565" t="s">
        <v>1169</v>
      </c>
      <c r="G72" s="625" t="str">
        <f t="array" ref="G72">IFERROR(INDEX('Malaria-Equipment &amp; Other HPs'!$L$14:$L$33,MATCH($E72&amp;$F72,'Malaria-Equipment &amp; Other HPs'!$E$14:$E$33&amp;'Malaria-Equipment &amp; Other HPs'!$I$14:$I$33,0)),"")</f>
        <v/>
      </c>
      <c r="H72" s="625" t="str">
        <f t="array" ref="H72">IFERROR(INDEX('Malaria-Equipment &amp; Other HPs'!$M$14:$M$33,MATCH($E72&amp;$F72,'Malaria-Equipment &amp; Other HPs'!$E$14:$E$33&amp;'Malaria-Equipment &amp; Other HPs'!$I$14:$I$33,0)),"")</f>
        <v/>
      </c>
      <c r="I72" s="625">
        <f t="array" ref="I72">IFERROR(INDEX('Malaria-Equipment &amp; Other HPs'!$N$14:$N$33,MATCH($E72&amp;$F72,'Malaria-Equipment &amp; Other HPs'!$E$14:$E$33&amp;'Malaria-Equipment &amp; Other HPs'!$I$14:$I$33,0)),0)</f>
        <v>0</v>
      </c>
      <c r="J72" s="625">
        <f t="array" ref="J72">IFERROR(INDEX('Malaria-Equipment &amp; Other HPs'!$O$14:$O$33,MATCH($E72&amp;$F72,'Malaria-Equipment &amp; Other HPs'!$E$14:$E$33&amp;'Malaria-Equipment &amp; Other HPs'!$I$14:$I$33,0)),0)</f>
        <v>0</v>
      </c>
      <c r="K72" s="626">
        <f>IF(ISERROR($I72*J72),0,$I72*J72)</f>
        <v>0</v>
      </c>
      <c r="L72" s="626">
        <f>IF(C72="Upfront",J72,0)</f>
        <v>0</v>
      </c>
      <c r="M72" s="626">
        <f>IF(C72="Upfront",K72,0)</f>
        <v>0</v>
      </c>
      <c r="N72" s="625">
        <f t="array" ref="N72">IFERROR(INDEX('Malaria-Equipment &amp; Other HPs'!$P$14:$P$33,MATCH($E72&amp;$F72,'Malaria-Equipment &amp; Other HPs'!$E$14:$E$33&amp;'Malaria-Equipment &amp; Other HPs'!$I$14:$I$33,0)),0)</f>
        <v>0</v>
      </c>
      <c r="O72" s="626">
        <f>IF(ISERROR($I72*N72),0,$I72*N72)</f>
        <v>0</v>
      </c>
      <c r="P72" s="626">
        <f>IF(C72="Upfront",N72,0)</f>
        <v>0</v>
      </c>
      <c r="Q72" s="626">
        <f>IF(C72="Upfront",O72,0)</f>
        <v>0</v>
      </c>
      <c r="R72" s="625">
        <f t="array" ref="R72">IFERROR(INDEX('Malaria-Equipment &amp; Other HPs'!$Q$14:$Q$33,MATCH($E72&amp;$F72,'Malaria-Equipment &amp; Other HPs'!$E$14:$E$33&amp;'Malaria-Equipment &amp; Other HPs'!$I$14:$I$33,0)),0)</f>
        <v>0</v>
      </c>
      <c r="S72" s="626">
        <f>IF(ISERROR($I72*R72),0,$I72*R72)</f>
        <v>0</v>
      </c>
      <c r="T72" s="626">
        <f>IF(C72="Upfront",R72,IF(C72="At delivery",J72,0))</f>
        <v>0</v>
      </c>
      <c r="U72" s="626">
        <f>IF(C72="Upfront",S72,IF(C72="At delivery",K72,0))</f>
        <v>0</v>
      </c>
      <c r="V72" s="625">
        <f t="array" ref="V72">IFERROR(INDEX('Malaria-Equipment &amp; Other HPs'!$R$14:$R$33,MATCH($E72&amp;$F72,'Malaria-Equipment &amp; Other HPs'!$E$14:$E$33&amp;'Malaria-Equipment &amp; Other HPs'!$I$14:$I$33,0)),0)</f>
        <v>0</v>
      </c>
      <c r="W72" s="626">
        <f>IF(ISERROR($I72*V72),0,$I72*V72)</f>
        <v>0</v>
      </c>
      <c r="X72" s="626">
        <f>IF(C72="Upfront",V72,IF(C72="At delivery",N72,0))</f>
        <v>0</v>
      </c>
      <c r="Y72" s="626">
        <f>IF(C72="Upfront",W72,IF(C72="At delivery",O72,0))</f>
        <v>0</v>
      </c>
      <c r="Z72" s="629"/>
      <c r="AA72" s="625">
        <f t="array" ref="AA72">IFERROR(INDEX('Malaria-Equipment &amp; Other HPs'!$U$14:$U$33,MATCH($E72&amp;$F72,'Malaria-Equipment &amp; Other HPs'!$E$14:$E$33&amp;'Malaria-Equipment &amp; Other HPs'!$I$14:$I$33,0)),0)</f>
        <v>0</v>
      </c>
      <c r="AB72" s="625">
        <f t="array" ref="AB72">IFERROR(INDEX('Malaria-Equipment &amp; Other HPs'!$V$14:$V$33,MATCH($E72&amp;$F72,'Malaria-Equipment &amp; Other HPs'!$E$14:$E$33&amp;'Malaria-Equipment &amp; Other HPs'!$I$14:$I$33,0)),0)</f>
        <v>0</v>
      </c>
      <c r="AC72" s="625">
        <f>IF(ISERROR($AA72*AB72),0,$AA72*AB72)</f>
        <v>0</v>
      </c>
      <c r="AD72" s="626">
        <f>IF(C72="Upfront",AB72,IF(C72="At delivery",R72,0))</f>
        <v>0</v>
      </c>
      <c r="AE72" s="626">
        <f>IF(C72="Upfront",AC72,IF(C72="At delivery",S72,0))</f>
        <v>0</v>
      </c>
      <c r="AF72" s="625">
        <f t="array" ref="AF72">IFERROR(INDEX('Malaria-Equipment &amp; Other HPs'!$W$14:$W$33,MATCH($E72&amp;$F72,'Malaria-Equipment &amp; Other HPs'!$E$14:$E$33&amp;'Malaria-Equipment &amp; Other HPs'!$I$14:$I$33,0)),0)</f>
        <v>0</v>
      </c>
      <c r="AG72" s="625">
        <f>IF(ISERROR($AA72*AF72),0,$AA72*AF72)</f>
        <v>0</v>
      </c>
      <c r="AH72" s="626">
        <f>IF(C72="Upfront",AF72,IF(C72="At delivery",V72,0))</f>
        <v>0</v>
      </c>
      <c r="AI72" s="626">
        <f>IF(C72="Upfront",AG72,IF(C72="At delivery",W72,0))</f>
        <v>0</v>
      </c>
      <c r="AJ72" s="625">
        <f t="array" ref="AJ72">IFERROR(INDEX('Malaria-Equipment &amp; Other HPs'!$X$14:$X$33,MATCH($E72&amp;$F72,'Malaria-Equipment &amp; Other HPs'!$E$14:$E$33&amp;'Malaria-Equipment &amp; Other HPs'!$I$14:$I$33,0)),0)</f>
        <v>0</v>
      </c>
      <c r="AK72" s="625">
        <f>IF(ISERROR($AA72*AJ72),0,$AA72*AJ72)</f>
        <v>0</v>
      </c>
      <c r="AL72" s="626">
        <f>IF(C72="Upfront",AJ72,IF(C72="At delivery",AB72,0))</f>
        <v>0</v>
      </c>
      <c r="AM72" s="626">
        <f>IF(C72="Upfront",AK72,IF(C72="At delivery",AC72,0))</f>
        <v>0</v>
      </c>
      <c r="AN72" s="625">
        <f t="array" ref="AN72">IFERROR(INDEX('Malaria-Equipment &amp; Other HPs'!$Y$14:$Y$33,MATCH($E72&amp;$F72,'Malaria-Equipment &amp; Other HPs'!$E$14:$E$33&amp;'Malaria-Equipment &amp; Other HPs'!$I$14:$I$33,0)),0)</f>
        <v>0</v>
      </c>
      <c r="AO72" s="625">
        <f>IF(ISERROR($AA72*AN72),0,$AA72*AN72)</f>
        <v>0</v>
      </c>
      <c r="AP72" s="626">
        <f>IF(C72="Upfront",AN72,IF(C72="At delivery",AF72,0))</f>
        <v>0</v>
      </c>
      <c r="AQ72" s="626">
        <f>IF(C72="Upfront",AO72,IF(C72="At delivery",AG72,0))</f>
        <v>0</v>
      </c>
      <c r="AR72" s="629"/>
      <c r="AS72" s="625">
        <f t="array" ref="AS72">IFERROR(INDEX('Malaria-Equipment &amp; Other HPs'!$AB$14:$AB$33,MATCH($E72&amp;$F72,'Malaria-Equipment &amp; Other HPs'!$E$14:$E$33&amp;'Malaria-Equipment &amp; Other HPs'!$I$14:$I$33,0)),0)</f>
        <v>0</v>
      </c>
      <c r="AT72" s="625">
        <f t="array" ref="AT72">IFERROR(INDEX('Malaria-Equipment &amp; Other HPs'!$AC$14:$AC$33,MATCH($E72&amp;$F72,'Malaria-Equipment &amp; Other HPs'!$E$14:$E$33&amp;'Malaria-Equipment &amp; Other HPs'!$I$14:$I$33,0)),0)</f>
        <v>0</v>
      </c>
      <c r="AU72" s="625">
        <f>IF(ISERROR($AS72*AT72),0,$AS72*AT72)</f>
        <v>0</v>
      </c>
      <c r="AV72" s="626">
        <f>IF(C72="Upfront",AT72,IF(C72="At delivery",AJ72,0))</f>
        <v>0</v>
      </c>
      <c r="AW72" s="626">
        <f>IF(C72="Upfront",AU72,IF(C72="At delivery",AK72,0))</f>
        <v>0</v>
      </c>
      <c r="AX72" s="625">
        <f t="array" ref="AX72">IFERROR(INDEX('Malaria-Equipment &amp; Other HPs'!$AD$14:$AD$33,MATCH($E72&amp;$F72,'Malaria-Equipment &amp; Other HPs'!$E$14:$E$33&amp;'Malaria-Equipment &amp; Other HPs'!$I$14:$I$33,0)),0)</f>
        <v>0</v>
      </c>
      <c r="AY72" s="625">
        <f>IF(ISERROR($AS72*AX72),0,$AS72*AX72)</f>
        <v>0</v>
      </c>
      <c r="AZ72" s="626">
        <f>IF(C72="Upfront",AX72,IF(C72="At delivery",AN72,0))</f>
        <v>0</v>
      </c>
      <c r="BA72" s="626">
        <f>IF(C72="Upfront",AY72,IF(C72="At delivery",AO72,0))</f>
        <v>0</v>
      </c>
      <c r="BB72" s="625">
        <f t="array" ref="BB72">IFERROR(INDEX('Malaria-Equipment &amp; Other HPs'!$AE$14:$AE$33,MATCH($E72&amp;$F72,'Malaria-Equipment &amp; Other HPs'!$E$14:$E$33&amp;'Malaria-Equipment &amp; Other HPs'!$I$14:$I$33,0)),0)</f>
        <v>0</v>
      </c>
      <c r="BC72" s="625">
        <f>IF(ISERROR($AS72*BB72),0,$AS72*BB72)</f>
        <v>0</v>
      </c>
      <c r="BD72" s="626">
        <f>IF(C72="Upfront",BB72,IF(C72="At delivery",AT72,0))</f>
        <v>0</v>
      </c>
      <c r="BE72" s="626">
        <f>IF(C72="Upfront",BC72,IF(C72="At delivery",AU72,0))</f>
        <v>0</v>
      </c>
      <c r="BF72" s="625">
        <f t="array" ref="BF72">IFERROR(INDEX('Malaria-Equipment &amp; Other HPs'!$AF$14:$AF$33,MATCH($E72&amp;$F72,'Malaria-Equipment &amp; Other HPs'!$E$14:$E$33&amp;'Malaria-Equipment &amp; Other HPs'!$I$14:$I$33,0)),0)</f>
        <v>0</v>
      </c>
      <c r="BG72" s="625">
        <f>IF(ISERROR($AS72*BF72),0,$AS72*BF72)</f>
        <v>0</v>
      </c>
      <c r="BH72" s="626">
        <f>IF(C72="Upfront",BF72,IF(C72="At delivery",AX72,0))</f>
        <v>0</v>
      </c>
      <c r="BI72" s="626">
        <f>IF(C72="Upfront",BG72,IF(C72="At delivery",AY72,0))</f>
        <v>0</v>
      </c>
      <c r="BJ72" s="630"/>
      <c r="BK72" s="626"/>
      <c r="BL72" s="626"/>
      <c r="BM72" s="626"/>
      <c r="BN72" s="626"/>
      <c r="BO72" s="626"/>
      <c r="BP72" s="626"/>
      <c r="BQ72" s="626"/>
      <c r="BR72" s="626"/>
      <c r="BT72" s="21" t="s">
        <v>2355</v>
      </c>
    </row>
    <row r="73" spans="1:72" s="566" customFormat="1">
      <c r="A73" s="565" t="s">
        <v>1551</v>
      </c>
      <c r="B73" s="565" t="s">
        <v>1547</v>
      </c>
      <c r="C73" s="626">
        <f>SETUP!$F$52</f>
        <v>0</v>
      </c>
      <c r="D73" s="31">
        <v>6.3</v>
      </c>
      <c r="E73" s="565" t="s">
        <v>1166</v>
      </c>
      <c r="F73" s="565" t="s">
        <v>1140</v>
      </c>
      <c r="G73" s="625" t="str">
        <f t="array" ref="G73">IFERROR(INDEX('Malaria-Equipment &amp; Other HPs'!$L$14:$L$33,MATCH($E73&amp;$F73,'Malaria-Equipment &amp; Other HPs'!$E$14:$E$33&amp;'Malaria-Equipment &amp; Other HPs'!$I$14:$I$33,0)),"")</f>
        <v/>
      </c>
      <c r="H73" s="625" t="str">
        <f t="array" ref="H73">IFERROR(INDEX('Malaria-Equipment &amp; Other HPs'!$M$14:$M$33,MATCH($E73&amp;$F73,'Malaria-Equipment &amp; Other HPs'!$E$14:$E$33&amp;'Malaria-Equipment &amp; Other HPs'!$I$14:$I$33,0)),"")</f>
        <v/>
      </c>
      <c r="I73" s="625">
        <f t="array" ref="I73">IFERROR(INDEX('Malaria-Equipment &amp; Other HPs'!$N$14:$N$33,MATCH($E73&amp;$F73,'Malaria-Equipment &amp; Other HPs'!$E$14:$E$33&amp;'Malaria-Equipment &amp; Other HPs'!$I$14:$I$33,0)),0)</f>
        <v>0</v>
      </c>
      <c r="J73" s="625">
        <f t="array" ref="J73">IFERROR(INDEX('Malaria-Equipment &amp; Other HPs'!$O$14:$O$33,MATCH($E73&amp;$F73,'Malaria-Equipment &amp; Other HPs'!$E$14:$E$33&amp;'Malaria-Equipment &amp; Other HPs'!$I$14:$I$33,0)),0)</f>
        <v>0</v>
      </c>
      <c r="K73" s="626">
        <f>IF(ISERROR($I73*J73),0,$I73*J73)</f>
        <v>0</v>
      </c>
      <c r="L73" s="626">
        <f>IF(C73="Upfront",J73,0)</f>
        <v>0</v>
      </c>
      <c r="M73" s="626">
        <f>IF(C73="Upfront",K73,0)</f>
        <v>0</v>
      </c>
      <c r="N73" s="625">
        <f t="array" ref="N73">IFERROR(INDEX('Malaria-Equipment &amp; Other HPs'!$P$14:$P$33,MATCH($E73&amp;$F73,'Malaria-Equipment &amp; Other HPs'!$E$14:$E$33&amp;'Malaria-Equipment &amp; Other HPs'!$I$14:$I$33,0)),0)</f>
        <v>0</v>
      </c>
      <c r="O73" s="626">
        <f>IF(ISERROR($I73*N73),0,$I73*N73)</f>
        <v>0</v>
      </c>
      <c r="P73" s="626">
        <f>IF(C73="Upfront",N73,0)</f>
        <v>0</v>
      </c>
      <c r="Q73" s="626">
        <f>IF(C73="Upfront",O73,0)</f>
        <v>0</v>
      </c>
      <c r="R73" s="625">
        <f t="array" ref="R73">IFERROR(INDEX('Malaria-Equipment &amp; Other HPs'!$Q$14:$Q$33,MATCH($E73&amp;$F73,'Malaria-Equipment &amp; Other HPs'!$E$14:$E$33&amp;'Malaria-Equipment &amp; Other HPs'!$I$14:$I$33,0)),0)</f>
        <v>0</v>
      </c>
      <c r="S73" s="626">
        <f>IF(ISERROR($I73*R73),0,$I73*R73)</f>
        <v>0</v>
      </c>
      <c r="T73" s="626">
        <f>IF(C73="Upfront",R73,IF(C73="At delivery",J73,0))</f>
        <v>0</v>
      </c>
      <c r="U73" s="626">
        <f>IF(C73="Upfront",S73,IF(C73="At delivery",K73,0))</f>
        <v>0</v>
      </c>
      <c r="V73" s="625">
        <f t="array" ref="V73">IFERROR(INDEX('Malaria-Equipment &amp; Other HPs'!$R$14:$R$33,MATCH($E73&amp;$F73,'Malaria-Equipment &amp; Other HPs'!$E$14:$E$33&amp;'Malaria-Equipment &amp; Other HPs'!$I$14:$I$33,0)),0)</f>
        <v>0</v>
      </c>
      <c r="W73" s="626">
        <f>IF(ISERROR($I73*V73),0,$I73*V73)</f>
        <v>0</v>
      </c>
      <c r="X73" s="626">
        <f>IF(C73="Upfront",V73,IF(C73="At delivery",N73,0))</f>
        <v>0</v>
      </c>
      <c r="Y73" s="626">
        <f>IF(C73="Upfront",W73,IF(C73="At delivery",O73,0))</f>
        <v>0</v>
      </c>
      <c r="Z73" s="629"/>
      <c r="AA73" s="625">
        <f t="array" ref="AA73">IFERROR(INDEX('Malaria-Equipment &amp; Other HPs'!$U$14:$U$33,MATCH($E73&amp;$F73,'Malaria-Equipment &amp; Other HPs'!$E$14:$E$33&amp;'Malaria-Equipment &amp; Other HPs'!$I$14:$I$33,0)),0)</f>
        <v>0</v>
      </c>
      <c r="AB73" s="625">
        <f t="array" ref="AB73">IFERROR(INDEX('Malaria-Equipment &amp; Other HPs'!$V$14:$V$33,MATCH($E73&amp;$F73,'Malaria-Equipment &amp; Other HPs'!$E$14:$E$33&amp;'Malaria-Equipment &amp; Other HPs'!$I$14:$I$33,0)),0)</f>
        <v>0</v>
      </c>
      <c r="AC73" s="625">
        <f>IF(ISERROR($AA73*AB73),0,$AA73*AB73)</f>
        <v>0</v>
      </c>
      <c r="AD73" s="626">
        <f>IF(C73="Upfront",AB73,IF(C73="At delivery",R73,0))</f>
        <v>0</v>
      </c>
      <c r="AE73" s="626">
        <f>IF(C73="Upfront",AC73,IF(C73="At delivery",S73,0))</f>
        <v>0</v>
      </c>
      <c r="AF73" s="625">
        <f t="array" ref="AF73">IFERROR(INDEX('Malaria-Equipment &amp; Other HPs'!$W$14:$W$33,MATCH($E73&amp;$F73,'Malaria-Equipment &amp; Other HPs'!$E$14:$E$33&amp;'Malaria-Equipment &amp; Other HPs'!$I$14:$I$33,0)),0)</f>
        <v>0</v>
      </c>
      <c r="AG73" s="625">
        <f>IF(ISERROR($AA73*AF73),0,$AA73*AF73)</f>
        <v>0</v>
      </c>
      <c r="AH73" s="626">
        <f>IF(C73="Upfront",AF73,IF(C73="At delivery",V73,0))</f>
        <v>0</v>
      </c>
      <c r="AI73" s="626">
        <f>IF(C73="Upfront",AG73,IF(C73="At delivery",W73,0))</f>
        <v>0</v>
      </c>
      <c r="AJ73" s="625">
        <f t="array" ref="AJ73">IFERROR(INDEX('Malaria-Equipment &amp; Other HPs'!$X$14:$X$33,MATCH($E73&amp;$F73,'Malaria-Equipment &amp; Other HPs'!$E$14:$E$33&amp;'Malaria-Equipment &amp; Other HPs'!$I$14:$I$33,0)),0)</f>
        <v>0</v>
      </c>
      <c r="AK73" s="625">
        <f>IF(ISERROR($AA73*AJ73),0,$AA73*AJ73)</f>
        <v>0</v>
      </c>
      <c r="AL73" s="626">
        <f>IF(C73="Upfront",AJ73,IF(C73="At delivery",AB73,0))</f>
        <v>0</v>
      </c>
      <c r="AM73" s="626">
        <f>IF(C73="Upfront",AK73,IF(C73="At delivery",AC73,0))</f>
        <v>0</v>
      </c>
      <c r="AN73" s="625">
        <f t="array" ref="AN73">IFERROR(INDEX('Malaria-Equipment &amp; Other HPs'!$Y$14:$Y$33,MATCH($E73&amp;$F73,'Malaria-Equipment &amp; Other HPs'!$E$14:$E$33&amp;'Malaria-Equipment &amp; Other HPs'!$I$14:$I$33,0)),0)</f>
        <v>0</v>
      </c>
      <c r="AO73" s="625">
        <f>IF(ISERROR($AA73*AN73),0,$AA73*AN73)</f>
        <v>0</v>
      </c>
      <c r="AP73" s="626">
        <f>IF(C73="Upfront",AN73,IF(C73="At delivery",AF73,0))</f>
        <v>0</v>
      </c>
      <c r="AQ73" s="626">
        <f>IF(C73="Upfront",AO73,IF(C73="At delivery",AG73,0))</f>
        <v>0</v>
      </c>
      <c r="AR73" s="629"/>
      <c r="AS73" s="625">
        <f t="array" ref="AS73">IFERROR(INDEX('Malaria-Equipment &amp; Other HPs'!$AB$14:$AB$33,MATCH($E73&amp;$F73,'Malaria-Equipment &amp; Other HPs'!$E$14:$E$33&amp;'Malaria-Equipment &amp; Other HPs'!$I$14:$I$33,0)),0)</f>
        <v>0</v>
      </c>
      <c r="AT73" s="625">
        <f t="array" ref="AT73">IFERROR(INDEX('Malaria-Equipment &amp; Other HPs'!$AC$14:$AC$33,MATCH($E73&amp;$F73,'Malaria-Equipment &amp; Other HPs'!$E$14:$E$33&amp;'Malaria-Equipment &amp; Other HPs'!$I$14:$I$33,0)),0)</f>
        <v>0</v>
      </c>
      <c r="AU73" s="625">
        <f>IF(ISERROR($AS73*AT73),0,$AS73*AT73)</f>
        <v>0</v>
      </c>
      <c r="AV73" s="626">
        <f>IF(C73="Upfront",AT73,IF(C73="At delivery",AJ73,0))</f>
        <v>0</v>
      </c>
      <c r="AW73" s="626">
        <f>IF(C73="Upfront",AU73,IF(C73="At delivery",AK73,0))</f>
        <v>0</v>
      </c>
      <c r="AX73" s="625">
        <f t="array" ref="AX73">IFERROR(INDEX('Malaria-Equipment &amp; Other HPs'!$AD$14:$AD$33,MATCH($E73&amp;$F73,'Malaria-Equipment &amp; Other HPs'!$E$14:$E$33&amp;'Malaria-Equipment &amp; Other HPs'!$I$14:$I$33,0)),0)</f>
        <v>0</v>
      </c>
      <c r="AY73" s="625">
        <f>IF(ISERROR($AS73*AX73),0,$AS73*AX73)</f>
        <v>0</v>
      </c>
      <c r="AZ73" s="626">
        <f>IF(C73="Upfront",AX73,IF(C73="At delivery",AN73,0))</f>
        <v>0</v>
      </c>
      <c r="BA73" s="626">
        <f>IF(C73="Upfront",AY73,IF(C73="At delivery",AO73,0))</f>
        <v>0</v>
      </c>
      <c r="BB73" s="625">
        <f t="array" ref="BB73">IFERROR(INDEX('Malaria-Equipment &amp; Other HPs'!$AE$14:$AE$33,MATCH($E73&amp;$F73,'Malaria-Equipment &amp; Other HPs'!$E$14:$E$33&amp;'Malaria-Equipment &amp; Other HPs'!$I$14:$I$33,0)),0)</f>
        <v>0</v>
      </c>
      <c r="BC73" s="625">
        <f>IF(ISERROR($AS73*BB73),0,$AS73*BB73)</f>
        <v>0</v>
      </c>
      <c r="BD73" s="626">
        <f>IF(C73="Upfront",BB73,IF(C73="At delivery",AT73,0))</f>
        <v>0</v>
      </c>
      <c r="BE73" s="626">
        <f>IF(C73="Upfront",BC73,IF(C73="At delivery",AU73,0))</f>
        <v>0</v>
      </c>
      <c r="BF73" s="625">
        <f t="array" ref="BF73">IFERROR(INDEX('Malaria-Equipment &amp; Other HPs'!$AF$14:$AF$33,MATCH($E73&amp;$F73,'Malaria-Equipment &amp; Other HPs'!$E$14:$E$33&amp;'Malaria-Equipment &amp; Other HPs'!$I$14:$I$33,0)),0)</f>
        <v>0</v>
      </c>
      <c r="BG73" s="625">
        <f>IF(ISERROR($AS73*BF73),0,$AS73*BF73)</f>
        <v>0</v>
      </c>
      <c r="BH73" s="626">
        <f>IF(C73="Upfront",BF73,IF(C73="At delivery",AX73,0))</f>
        <v>0</v>
      </c>
      <c r="BI73" s="626">
        <f>IF(C73="Upfront",BG73,IF(C73="At delivery",AY73,0))</f>
        <v>0</v>
      </c>
      <c r="BJ73" s="630"/>
      <c r="BK73" s="626"/>
      <c r="BL73" s="626"/>
      <c r="BM73" s="626"/>
      <c r="BN73" s="626"/>
      <c r="BO73" s="626"/>
      <c r="BP73" s="626"/>
      <c r="BQ73" s="626"/>
      <c r="BR73" s="626"/>
      <c r="BT73" s="21" t="s">
        <v>6817</v>
      </c>
    </row>
    <row r="74" spans="1:72" s="566" customFormat="1">
      <c r="A74" s="565" t="s">
        <v>1551</v>
      </c>
      <c r="B74" s="565" t="s">
        <v>1547</v>
      </c>
      <c r="C74" s="626">
        <f>SETUP!$F$52</f>
        <v>0</v>
      </c>
      <c r="D74" s="31">
        <v>6.3</v>
      </c>
      <c r="E74" s="565" t="s">
        <v>1167</v>
      </c>
      <c r="F74" s="565" t="s">
        <v>1140</v>
      </c>
      <c r="G74" s="625" t="str">
        <f t="array" ref="G74">IFERROR(INDEX('Malaria-Equipment &amp; Other HPs'!$L$14:$L$33,MATCH($E74&amp;$F74,'Malaria-Equipment &amp; Other HPs'!$E$14:$E$33&amp;'Malaria-Equipment &amp; Other HPs'!$I$14:$I$33,0)),"")</f>
        <v/>
      </c>
      <c r="H74" s="625" t="str">
        <f t="array" ref="H74">IFERROR(INDEX('Malaria-Equipment &amp; Other HPs'!$M$14:$M$33,MATCH($E74&amp;$F74,'Malaria-Equipment &amp; Other HPs'!$E$14:$E$33&amp;'Malaria-Equipment &amp; Other HPs'!$I$14:$I$33,0)),"")</f>
        <v/>
      </c>
      <c r="I74" s="625">
        <f t="array" ref="I74">IFERROR(INDEX('Malaria-Equipment &amp; Other HPs'!$N$14:$N$33,MATCH($E74&amp;$F74,'Malaria-Equipment &amp; Other HPs'!$E$14:$E$33&amp;'Malaria-Equipment &amp; Other HPs'!$I$14:$I$33,0)),0)</f>
        <v>0</v>
      </c>
      <c r="J74" s="625">
        <f t="array" ref="J74">IFERROR(INDEX('Malaria-Equipment &amp; Other HPs'!$O$14:$O$33,MATCH($E74&amp;$F74,'Malaria-Equipment &amp; Other HPs'!$E$14:$E$33&amp;'Malaria-Equipment &amp; Other HPs'!$I$14:$I$33,0)),0)</f>
        <v>0</v>
      </c>
      <c r="K74" s="626">
        <f>IF(ISERROR($I74*J74),0,$I74*J74)</f>
        <v>0</v>
      </c>
      <c r="L74" s="626">
        <f>IF(C74="Upfront",J74,0)</f>
        <v>0</v>
      </c>
      <c r="M74" s="626">
        <f>IF(C74="Upfront",K74,0)</f>
        <v>0</v>
      </c>
      <c r="N74" s="625">
        <f t="array" ref="N74">IFERROR(INDEX('Malaria-Equipment &amp; Other HPs'!$P$14:$P$33,MATCH($E74&amp;$F74,'Malaria-Equipment &amp; Other HPs'!$E$14:$E$33&amp;'Malaria-Equipment &amp; Other HPs'!$I$14:$I$33,0)),0)</f>
        <v>0</v>
      </c>
      <c r="O74" s="626">
        <f>IF(ISERROR($I74*N74),0,$I74*N74)</f>
        <v>0</v>
      </c>
      <c r="P74" s="626">
        <f>IF(C74="Upfront",N74,0)</f>
        <v>0</v>
      </c>
      <c r="Q74" s="626">
        <f>IF(C74="Upfront",O74,0)</f>
        <v>0</v>
      </c>
      <c r="R74" s="625">
        <f t="array" ref="R74">IFERROR(INDEX('Malaria-Equipment &amp; Other HPs'!$Q$14:$Q$33,MATCH($E74&amp;$F74,'Malaria-Equipment &amp; Other HPs'!$E$14:$E$33&amp;'Malaria-Equipment &amp; Other HPs'!$I$14:$I$33,0)),0)</f>
        <v>0</v>
      </c>
      <c r="S74" s="626">
        <f>IF(ISERROR($I74*R74),0,$I74*R74)</f>
        <v>0</v>
      </c>
      <c r="T74" s="626">
        <f>IF(C74="Upfront",R74,IF(C74="At delivery",J74,0))</f>
        <v>0</v>
      </c>
      <c r="U74" s="626">
        <f>IF(C74="Upfront",S74,IF(C74="At delivery",K74,0))</f>
        <v>0</v>
      </c>
      <c r="V74" s="625">
        <f t="array" ref="V74">IFERROR(INDEX('Malaria-Equipment &amp; Other HPs'!$R$14:$R$33,MATCH($E74&amp;$F74,'Malaria-Equipment &amp; Other HPs'!$E$14:$E$33&amp;'Malaria-Equipment &amp; Other HPs'!$I$14:$I$33,0)),0)</f>
        <v>0</v>
      </c>
      <c r="W74" s="626">
        <f>IF(ISERROR($I74*V74),0,$I74*V74)</f>
        <v>0</v>
      </c>
      <c r="X74" s="626">
        <f>IF(C74="Upfront",V74,IF(C74="At delivery",N74,0))</f>
        <v>0</v>
      </c>
      <c r="Y74" s="626">
        <f>IF(C74="Upfront",W74,IF(C74="At delivery",O74,0))</f>
        <v>0</v>
      </c>
      <c r="Z74" s="629"/>
      <c r="AA74" s="625">
        <f t="array" ref="AA74">IFERROR(INDEX('Malaria-Equipment &amp; Other HPs'!$U$14:$U$33,MATCH($E74&amp;$F74,'Malaria-Equipment &amp; Other HPs'!$E$14:$E$33&amp;'Malaria-Equipment &amp; Other HPs'!$I$14:$I$33,0)),0)</f>
        <v>0</v>
      </c>
      <c r="AB74" s="625">
        <f t="array" ref="AB74">IFERROR(INDEX('Malaria-Equipment &amp; Other HPs'!$V$14:$V$33,MATCH($E74&amp;$F74,'Malaria-Equipment &amp; Other HPs'!$E$14:$E$33&amp;'Malaria-Equipment &amp; Other HPs'!$I$14:$I$33,0)),0)</f>
        <v>0</v>
      </c>
      <c r="AC74" s="625">
        <f>IF(ISERROR($AA74*AB74),0,$AA74*AB74)</f>
        <v>0</v>
      </c>
      <c r="AD74" s="626">
        <f>IF(C74="Upfront",AB74,IF(C74="At delivery",R74,0))</f>
        <v>0</v>
      </c>
      <c r="AE74" s="626">
        <f>IF(C74="Upfront",AC74,IF(C74="At delivery",S74,0))</f>
        <v>0</v>
      </c>
      <c r="AF74" s="625">
        <f t="array" ref="AF74">IFERROR(INDEX('Malaria-Equipment &amp; Other HPs'!$W$14:$W$33,MATCH($E74&amp;$F74,'Malaria-Equipment &amp; Other HPs'!$E$14:$E$33&amp;'Malaria-Equipment &amp; Other HPs'!$I$14:$I$33,0)),0)</f>
        <v>0</v>
      </c>
      <c r="AG74" s="625">
        <f>IF(ISERROR($AA74*AF74),0,$AA74*AF74)</f>
        <v>0</v>
      </c>
      <c r="AH74" s="626">
        <f>IF(C74="Upfront",AF74,IF(C74="At delivery",V74,0))</f>
        <v>0</v>
      </c>
      <c r="AI74" s="626">
        <f>IF(C74="Upfront",AG74,IF(C74="At delivery",W74,0))</f>
        <v>0</v>
      </c>
      <c r="AJ74" s="625">
        <f t="array" ref="AJ74">IFERROR(INDEX('Malaria-Equipment &amp; Other HPs'!$X$14:$X$33,MATCH($E74&amp;$F74,'Malaria-Equipment &amp; Other HPs'!$E$14:$E$33&amp;'Malaria-Equipment &amp; Other HPs'!$I$14:$I$33,0)),0)</f>
        <v>0</v>
      </c>
      <c r="AK74" s="625">
        <f>IF(ISERROR($AA74*AJ74),0,$AA74*AJ74)</f>
        <v>0</v>
      </c>
      <c r="AL74" s="626">
        <f>IF(C74="Upfront",AJ74,IF(C74="At delivery",AB74,0))</f>
        <v>0</v>
      </c>
      <c r="AM74" s="626">
        <f>IF(C74="Upfront",AK74,IF(C74="At delivery",AC74,0))</f>
        <v>0</v>
      </c>
      <c r="AN74" s="625">
        <f t="array" ref="AN74">IFERROR(INDEX('Malaria-Equipment &amp; Other HPs'!$Y$14:$Y$33,MATCH($E74&amp;$F74,'Malaria-Equipment &amp; Other HPs'!$E$14:$E$33&amp;'Malaria-Equipment &amp; Other HPs'!$I$14:$I$33,0)),0)</f>
        <v>0</v>
      </c>
      <c r="AO74" s="625">
        <f>IF(ISERROR($AA74*AN74),0,$AA74*AN74)</f>
        <v>0</v>
      </c>
      <c r="AP74" s="626">
        <f>IF(C74="Upfront",AN74,IF(C74="At delivery",AF74,0))</f>
        <v>0</v>
      </c>
      <c r="AQ74" s="626">
        <f>IF(C74="Upfront",AO74,IF(C74="At delivery",AG74,0))</f>
        <v>0</v>
      </c>
      <c r="AR74" s="629"/>
      <c r="AS74" s="625">
        <f t="array" ref="AS74">IFERROR(INDEX('Malaria-Equipment &amp; Other HPs'!$AB$14:$AB$33,MATCH($E74&amp;$F74,'Malaria-Equipment &amp; Other HPs'!$E$14:$E$33&amp;'Malaria-Equipment &amp; Other HPs'!$I$14:$I$33,0)),0)</f>
        <v>0</v>
      </c>
      <c r="AT74" s="625">
        <f t="array" ref="AT74">IFERROR(INDEX('Malaria-Equipment &amp; Other HPs'!$AC$14:$AC$33,MATCH($E74&amp;$F74,'Malaria-Equipment &amp; Other HPs'!$E$14:$E$33&amp;'Malaria-Equipment &amp; Other HPs'!$I$14:$I$33,0)),0)</f>
        <v>0</v>
      </c>
      <c r="AU74" s="625">
        <f>IF(ISERROR($AS74*AT74),0,$AS74*AT74)</f>
        <v>0</v>
      </c>
      <c r="AV74" s="626">
        <f>IF(C74="Upfront",AT74,IF(C74="At delivery",AJ74,0))</f>
        <v>0</v>
      </c>
      <c r="AW74" s="626">
        <f>IF(C74="Upfront",AU74,IF(C74="At delivery",AK74,0))</f>
        <v>0</v>
      </c>
      <c r="AX74" s="625">
        <f t="array" ref="AX74">IFERROR(INDEX('Malaria-Equipment &amp; Other HPs'!$AD$14:$AD$33,MATCH($E74&amp;$F74,'Malaria-Equipment &amp; Other HPs'!$E$14:$E$33&amp;'Malaria-Equipment &amp; Other HPs'!$I$14:$I$33,0)),0)</f>
        <v>0</v>
      </c>
      <c r="AY74" s="625">
        <f>IF(ISERROR($AS74*AX74),0,$AS74*AX74)</f>
        <v>0</v>
      </c>
      <c r="AZ74" s="626">
        <f>IF(C74="Upfront",AX74,IF(C74="At delivery",AN74,0))</f>
        <v>0</v>
      </c>
      <c r="BA74" s="626">
        <f>IF(C74="Upfront",AY74,IF(C74="At delivery",AO74,0))</f>
        <v>0</v>
      </c>
      <c r="BB74" s="625">
        <f t="array" ref="BB74">IFERROR(INDEX('Malaria-Equipment &amp; Other HPs'!$AE$14:$AE$33,MATCH($E74&amp;$F74,'Malaria-Equipment &amp; Other HPs'!$E$14:$E$33&amp;'Malaria-Equipment &amp; Other HPs'!$I$14:$I$33,0)),0)</f>
        <v>0</v>
      </c>
      <c r="BC74" s="625">
        <f>IF(ISERROR($AS74*BB74),0,$AS74*BB74)</f>
        <v>0</v>
      </c>
      <c r="BD74" s="626">
        <f>IF(C74="Upfront",BB74,IF(C74="At delivery",AT74,0))</f>
        <v>0</v>
      </c>
      <c r="BE74" s="626">
        <f>IF(C74="Upfront",BC74,IF(C74="At delivery",AU74,0))</f>
        <v>0</v>
      </c>
      <c r="BF74" s="625">
        <f t="array" ref="BF74">IFERROR(INDEX('Malaria-Equipment &amp; Other HPs'!$AF$14:$AF$33,MATCH($E74&amp;$F74,'Malaria-Equipment &amp; Other HPs'!$E$14:$E$33&amp;'Malaria-Equipment &amp; Other HPs'!$I$14:$I$33,0)),0)</f>
        <v>0</v>
      </c>
      <c r="BG74" s="625">
        <f>IF(ISERROR($AS74*BF74),0,$AS74*BF74)</f>
        <v>0</v>
      </c>
      <c r="BH74" s="626">
        <f>IF(C74="Upfront",BF74,IF(C74="At delivery",AX74,0))</f>
        <v>0</v>
      </c>
      <c r="BI74" s="626">
        <f>IF(C74="Upfront",BG74,IF(C74="At delivery",AY74,0))</f>
        <v>0</v>
      </c>
      <c r="BJ74" s="630"/>
      <c r="BK74" s="626"/>
      <c r="BL74" s="626"/>
      <c r="BM74" s="626"/>
      <c r="BN74" s="626"/>
      <c r="BO74" s="626"/>
      <c r="BP74" s="626"/>
      <c r="BQ74" s="626"/>
      <c r="BR74" s="626"/>
      <c r="BT74" s="21" t="s">
        <v>6818</v>
      </c>
    </row>
    <row r="75" spans="1:72">
      <c r="BT75" s="21" t="s">
        <v>857</v>
      </c>
    </row>
    <row r="76" spans="1:72">
      <c r="A76" s="2567" t="s">
        <v>1548</v>
      </c>
      <c r="B76" s="2567"/>
      <c r="C76" s="2567"/>
      <c r="D76" s="2567"/>
      <c r="E76" s="2567"/>
      <c r="F76" s="2567"/>
      <c r="G76" s="628"/>
      <c r="H76" s="628"/>
      <c r="I76" s="628"/>
      <c r="J76" s="628"/>
      <c r="K76" s="628"/>
      <c r="L76" s="628"/>
      <c r="M76" s="628"/>
      <c r="N76" s="628"/>
      <c r="O76" s="628"/>
      <c r="P76" s="628"/>
      <c r="Q76" s="628"/>
      <c r="R76" s="628"/>
      <c r="S76" s="628"/>
      <c r="T76" s="628"/>
      <c r="U76" s="628"/>
      <c r="V76" s="628"/>
      <c r="W76" s="628"/>
      <c r="X76" s="628"/>
      <c r="Y76" s="628"/>
      <c r="Z76" s="628"/>
      <c r="AA76" s="628"/>
      <c r="AB76" s="628"/>
      <c r="AC76" s="628"/>
      <c r="AD76" s="628"/>
      <c r="AE76" s="628"/>
      <c r="AF76" s="628"/>
      <c r="AG76" s="628"/>
      <c r="AH76" s="628"/>
      <c r="AI76" s="628"/>
      <c r="AJ76" s="628"/>
      <c r="AK76" s="628"/>
      <c r="AL76" s="628"/>
      <c r="AM76" s="628"/>
      <c r="AN76" s="628"/>
      <c r="AO76" s="628"/>
      <c r="AP76" s="628"/>
      <c r="AQ76" s="628"/>
      <c r="AR76" s="628"/>
      <c r="AS76" s="628"/>
      <c r="AT76" s="628"/>
      <c r="AU76" s="628"/>
      <c r="AV76" s="628"/>
      <c r="AW76" s="628"/>
      <c r="AX76" s="628"/>
      <c r="AY76" s="628"/>
      <c r="AZ76" s="628"/>
      <c r="BA76" s="628"/>
      <c r="BB76" s="628"/>
      <c r="BC76" s="628"/>
      <c r="BD76" s="628"/>
      <c r="BE76" s="628"/>
      <c r="BF76" s="628"/>
      <c r="BG76" s="628"/>
      <c r="BH76" s="628"/>
      <c r="BI76" s="628"/>
      <c r="BJ76" s="628"/>
      <c r="BK76" s="628"/>
      <c r="BL76" s="628"/>
      <c r="BM76" s="628"/>
      <c r="BN76" s="628"/>
      <c r="BO76" s="628"/>
      <c r="BP76" s="628"/>
      <c r="BQ76" s="628"/>
      <c r="BR76" s="628"/>
      <c r="BT76" s="21" t="s">
        <v>857</v>
      </c>
    </row>
    <row r="77" spans="1:72">
      <c r="A77" s="395" t="s">
        <v>1545</v>
      </c>
      <c r="B77" s="395" t="s">
        <v>203</v>
      </c>
      <c r="C77" s="632" t="s">
        <v>459</v>
      </c>
      <c r="D77" s="395" t="s">
        <v>460</v>
      </c>
      <c r="E77" s="395" t="s">
        <v>461</v>
      </c>
      <c r="F77" s="395" t="s">
        <v>214</v>
      </c>
      <c r="G77" s="632" t="s">
        <v>462</v>
      </c>
      <c r="H77" s="632" t="s">
        <v>49</v>
      </c>
      <c r="I77" s="632" t="s">
        <v>463</v>
      </c>
      <c r="J77" s="632" t="s">
        <v>464</v>
      </c>
      <c r="K77" s="632" t="s">
        <v>465</v>
      </c>
      <c r="L77" s="725" t="s">
        <v>466</v>
      </c>
      <c r="M77" s="725" t="s">
        <v>467</v>
      </c>
      <c r="N77" s="632" t="s">
        <v>468</v>
      </c>
      <c r="O77" s="632" t="s">
        <v>469</v>
      </c>
      <c r="P77" s="725" t="s">
        <v>470</v>
      </c>
      <c r="Q77" s="725" t="s">
        <v>471</v>
      </c>
      <c r="R77" s="632" t="s">
        <v>472</v>
      </c>
      <c r="S77" s="632" t="s">
        <v>473</v>
      </c>
      <c r="T77" s="725" t="s">
        <v>474</v>
      </c>
      <c r="U77" s="725" t="s">
        <v>475</v>
      </c>
      <c r="V77" s="632" t="s">
        <v>476</v>
      </c>
      <c r="W77" s="632" t="s">
        <v>477</v>
      </c>
      <c r="X77" s="725" t="s">
        <v>478</v>
      </c>
      <c r="Y77" s="725" t="s">
        <v>479</v>
      </c>
      <c r="Z77" s="624"/>
      <c r="AA77" s="632" t="s">
        <v>480</v>
      </c>
      <c r="AB77" s="632" t="s">
        <v>481</v>
      </c>
      <c r="AC77" s="632" t="s">
        <v>482</v>
      </c>
      <c r="AD77" s="725" t="s">
        <v>483</v>
      </c>
      <c r="AE77" s="725" t="s">
        <v>484</v>
      </c>
      <c r="AF77" s="632" t="s">
        <v>485</v>
      </c>
      <c r="AG77" s="632" t="s">
        <v>486</v>
      </c>
      <c r="AH77" s="725" t="s">
        <v>487</v>
      </c>
      <c r="AI77" s="725" t="s">
        <v>488</v>
      </c>
      <c r="AJ77" s="632" t="s">
        <v>489</v>
      </c>
      <c r="AK77" s="632" t="s">
        <v>490</v>
      </c>
      <c r="AL77" s="725" t="s">
        <v>491</v>
      </c>
      <c r="AM77" s="725" t="s">
        <v>492</v>
      </c>
      <c r="AN77" s="632" t="s">
        <v>493</v>
      </c>
      <c r="AO77" s="632" t="s">
        <v>494</v>
      </c>
      <c r="AP77" s="725" t="s">
        <v>495</v>
      </c>
      <c r="AQ77" s="725" t="s">
        <v>496</v>
      </c>
      <c r="AR77" s="624"/>
      <c r="AS77" s="632" t="s">
        <v>497</v>
      </c>
      <c r="AT77" s="632" t="s">
        <v>498</v>
      </c>
      <c r="AU77" s="632" t="s">
        <v>499</v>
      </c>
      <c r="AV77" s="725" t="s">
        <v>500</v>
      </c>
      <c r="AW77" s="725" t="s">
        <v>501</v>
      </c>
      <c r="AX77" s="632" t="s">
        <v>502</v>
      </c>
      <c r="AY77" s="632" t="s">
        <v>503</v>
      </c>
      <c r="AZ77" s="725" t="s">
        <v>504</v>
      </c>
      <c r="BA77" s="725" t="s">
        <v>505</v>
      </c>
      <c r="BB77" s="632" t="s">
        <v>506</v>
      </c>
      <c r="BC77" s="632" t="s">
        <v>507</v>
      </c>
      <c r="BD77" s="725" t="s">
        <v>508</v>
      </c>
      <c r="BE77" s="725" t="s">
        <v>509</v>
      </c>
      <c r="BF77" s="632" t="s">
        <v>510</v>
      </c>
      <c r="BG77" s="632" t="s">
        <v>511</v>
      </c>
      <c r="BH77" s="725" t="s">
        <v>512</v>
      </c>
      <c r="BI77" s="725" t="s">
        <v>513</v>
      </c>
      <c r="BJ77" s="624"/>
      <c r="BK77" s="725" t="s">
        <v>514</v>
      </c>
      <c r="BL77" s="725" t="s">
        <v>515</v>
      </c>
      <c r="BM77" s="725" t="s">
        <v>516</v>
      </c>
      <c r="BN77" s="725" t="s">
        <v>517</v>
      </c>
      <c r="BO77" s="725" t="s">
        <v>518</v>
      </c>
      <c r="BP77" s="725" t="s">
        <v>519</v>
      </c>
      <c r="BQ77" s="725" t="s">
        <v>520</v>
      </c>
      <c r="BR77" s="725" t="s">
        <v>521</v>
      </c>
      <c r="BT77" s="21" t="s">
        <v>6799</v>
      </c>
    </row>
    <row r="78" spans="1:72">
      <c r="A78" s="29" t="s">
        <v>1238</v>
      </c>
      <c r="B78" s="29" t="s">
        <v>1548</v>
      </c>
      <c r="C78" s="626">
        <f>SETUP!$F$53</f>
        <v>0</v>
      </c>
      <c r="D78" s="25">
        <v>5.4</v>
      </c>
      <c r="E78" s="26" t="s">
        <v>1170</v>
      </c>
      <c r="F78" s="26" t="s">
        <v>1171</v>
      </c>
      <c r="G78" s="625" t="str">
        <f t="array" ref="G78">IFERROR(INDEX('Malaria-Equipment &amp; Other HPs'!$L$42:$L$56,MATCH($E78&amp;$F78,'Malaria-Equipment &amp; Other HPs'!$E$42:$E$56&amp;'Malaria-Equipment &amp; Other HPs'!$I$42:$I$56,0)),"")</f>
        <v/>
      </c>
      <c r="H78" s="625" t="str">
        <f t="array" ref="H78">IFERROR(INDEX('Malaria-Equipment &amp; Other HPs'!$M$42:$M$56,MATCH($E78&amp;$F78,'Malaria-Equipment &amp; Other HPs'!$E$42:$E$56&amp;'Malaria-Equipment &amp; Other HPs'!$I$42:$I$56,0)),"")</f>
        <v/>
      </c>
      <c r="I78" s="625">
        <f t="array" ref="I78">IFERROR(INDEX('Malaria-Equipment &amp; Other HPs'!$N$42:$N$56,MATCH($E78&amp;$F78,'Malaria-Equipment &amp; Other HPs'!$E$42:$E$56&amp;'Malaria-Equipment &amp; Other HPs'!$I$42:$I$56,0)),0)</f>
        <v>0</v>
      </c>
      <c r="J78" s="625">
        <f t="array" ref="J78">IFERROR(INDEX('Malaria-Equipment &amp; Other HPs'!$O$42:$O$56,MATCH($E78&amp;$F78,'Malaria-Equipment &amp; Other HPs'!$E$42:$E$56&amp;'Malaria-Equipment &amp; Other HPs'!$I$42:$I$56,0)),0)</f>
        <v>0</v>
      </c>
      <c r="K78" s="626">
        <f>IF(ISERROR($I78*J78),0,$I78*J78)</f>
        <v>0</v>
      </c>
      <c r="L78" s="626">
        <f>IF(C78="Upfront",J78,0)</f>
        <v>0</v>
      </c>
      <c r="M78" s="626">
        <f>IF(C78="Upfront",K78,0)</f>
        <v>0</v>
      </c>
      <c r="N78" s="625">
        <f t="array" ref="N78">IFERROR(INDEX('Malaria-Equipment &amp; Other HPs'!$P$42:$P$56,MATCH($E78&amp;$F78,'Malaria-Equipment &amp; Other HPs'!$E$42:$E$56&amp;'Malaria-Equipment &amp; Other HPs'!$I$42:$I$56,0)),0)</f>
        <v>0</v>
      </c>
      <c r="O78" s="626">
        <f>IF(ISERROR($I78*N78),0,$I78*N78)</f>
        <v>0</v>
      </c>
      <c r="P78" s="626">
        <f>IF(C78="Upfront",N78,0)</f>
        <v>0</v>
      </c>
      <c r="Q78" s="626">
        <f>IF(C78="Upfront",O78,0)</f>
        <v>0</v>
      </c>
      <c r="R78" s="625">
        <f t="array" ref="R78">IFERROR(INDEX('Malaria-Equipment &amp; Other HPs'!$Q$42:$Q$56,MATCH($E78&amp;$F78,'Malaria-Equipment &amp; Other HPs'!$E$42:$E$56&amp;'Malaria-Equipment &amp; Other HPs'!$I$42:$I$56,0)),0)</f>
        <v>0</v>
      </c>
      <c r="S78" s="626">
        <f>IF(ISERROR($I78*R78),0,$I78*R78)</f>
        <v>0</v>
      </c>
      <c r="T78" s="626">
        <f>IF(C78="Upfront",R78,IF(C78="At delivery",J78,0))</f>
        <v>0</v>
      </c>
      <c r="U78" s="626">
        <f>IF(C78="Upfront",S78,IF(C78="At delivery",K78,0))</f>
        <v>0</v>
      </c>
      <c r="V78" s="625">
        <f t="array" ref="V78">IFERROR(INDEX('Malaria-Equipment &amp; Other HPs'!$R$42:$R$56,MATCH($E78&amp;$F78,'Malaria-Equipment &amp; Other HPs'!$E$42:$E$56&amp;'Malaria-Equipment &amp; Other HPs'!$I$42:$I$56,0)),0)</f>
        <v>0</v>
      </c>
      <c r="W78" s="626">
        <f>IF(ISERROR($I78*V78),0,$I78*V78)</f>
        <v>0</v>
      </c>
      <c r="X78" s="626">
        <f>IF(C78="Upfront",V78,IF(C78="At delivery",N78,0))</f>
        <v>0</v>
      </c>
      <c r="Y78" s="626">
        <f>IF(C78="Upfront",W78,IF(C78="At delivery",O78,0))</f>
        <v>0</v>
      </c>
      <c r="Z78" s="630"/>
      <c r="AA78" s="625">
        <f t="array" ref="AA78">IFERROR(INDEX('Malaria-Equipment &amp; Other HPs'!$U$42:$U$56,MATCH($E78&amp;$F78,'Malaria-Equipment &amp; Other HPs'!$E$42:$E$56&amp;'Malaria-Equipment &amp; Other HPs'!$I$42:$I$56,0)),0)</f>
        <v>0</v>
      </c>
      <c r="AB78" s="625">
        <f t="array" ref="AB78">IFERROR(INDEX('Malaria-Equipment &amp; Other HPs'!$V$42:$V$56,MATCH($E78&amp;$F78,'Malaria-Equipment &amp; Other HPs'!$E$42:$E$56&amp;'Malaria-Equipment &amp; Other HPs'!$I$42:$I$56,0)),0)</f>
        <v>0</v>
      </c>
      <c r="AC78" s="625">
        <f>IF(ISERROR($AA78*AB78),0,$AA78*AB78)</f>
        <v>0</v>
      </c>
      <c r="AD78" s="626">
        <f>IF(C78="Upfront",AB78,IF(C78="At delivery",R78,0))</f>
        <v>0</v>
      </c>
      <c r="AE78" s="626">
        <f>IF(C78="Upfront",AC78,IF(C78="At delivery",S78,0))</f>
        <v>0</v>
      </c>
      <c r="AF78" s="625">
        <f t="array" ref="AF78">IFERROR(INDEX('Malaria-Equipment &amp; Other HPs'!$W$42:$W$56,MATCH($E78&amp;$F78,'Malaria-Equipment &amp; Other HPs'!$E$42:$E$56&amp;'Malaria-Equipment &amp; Other HPs'!$I$42:$I$56,0)),0)</f>
        <v>0</v>
      </c>
      <c r="AG78" s="625">
        <f>IF(ISERROR($AA78*AF78),0,$AA78*AF78)</f>
        <v>0</v>
      </c>
      <c r="AH78" s="626">
        <f>IF(C78="Upfront",AF78,IF(C78="At delivery",V78,0))</f>
        <v>0</v>
      </c>
      <c r="AI78" s="626">
        <f>IF(C78="Upfront",AG78,IF(C78="At delivery",W78,0))</f>
        <v>0</v>
      </c>
      <c r="AJ78" s="625">
        <f t="array" ref="AJ78">IFERROR(INDEX('Malaria-Equipment &amp; Other HPs'!$X$42:$X$56,MATCH($E78&amp;$F78,'Malaria-Equipment &amp; Other HPs'!$E$42:$E$56&amp;'Malaria-Equipment &amp; Other HPs'!$I$42:$I$56,0)),0)</f>
        <v>0</v>
      </c>
      <c r="AK78" s="625">
        <f>IF(ISERROR($AA78*AJ78),0,$AA78*AJ78)</f>
        <v>0</v>
      </c>
      <c r="AL78" s="626">
        <f>IF(C78="Upfront",AJ78,IF(C78="At delivery",AB78,0))</f>
        <v>0</v>
      </c>
      <c r="AM78" s="626">
        <f>IF(C78="Upfront",AK78,IF(C78="At delivery",AC78,0))</f>
        <v>0</v>
      </c>
      <c r="AN78" s="625">
        <f t="array" ref="AN78">IFERROR(INDEX('Malaria-Equipment &amp; Other HPs'!$Y$42:$Y$56,MATCH($E78&amp;$F78,'Malaria-Equipment &amp; Other HPs'!$E$42:$E$56&amp;'Malaria-Equipment &amp; Other HPs'!$I$42:$I$56,0)),0)</f>
        <v>0</v>
      </c>
      <c r="AO78" s="625">
        <f>IF(ISERROR($AA78*AN78),0,$AA78*AN78)</f>
        <v>0</v>
      </c>
      <c r="AP78" s="626">
        <f>IF(C78="Upfront",AN78,IF(C78="At delivery",AF78,0))</f>
        <v>0</v>
      </c>
      <c r="AQ78" s="626">
        <f>IF(C78="Upfront",AO78,IF(C78="At delivery",AG78,0))</f>
        <v>0</v>
      </c>
      <c r="AR78" s="630"/>
      <c r="AS78" s="625">
        <f t="array" ref="AS78">IFERROR(INDEX('Malaria-Equipment &amp; Other HPs'!$AB$42:$AB$56,MATCH($E78&amp;$F78,'Malaria-Equipment &amp; Other HPs'!$E$42:$E$56&amp;'Malaria-Equipment &amp; Other HPs'!$I$42:$I$56,0)),0)</f>
        <v>0</v>
      </c>
      <c r="AT78" s="625">
        <f t="array" ref="AT78">IFERROR(INDEX('Malaria-Equipment &amp; Other HPs'!$AC$42:$AC$56,MATCH($E78&amp;$F78,'Malaria-Equipment &amp; Other HPs'!$E$42:$E$56&amp;'Malaria-Equipment &amp; Other HPs'!$I$42:$I$56,0)),0)</f>
        <v>0</v>
      </c>
      <c r="AU78" s="625">
        <f>IF(ISERROR($AS78*AT78),0,$AS78*AT78)</f>
        <v>0</v>
      </c>
      <c r="AV78" s="626">
        <f>IF(C78="Upfront",AT78,IF(C78="At delivery",AJ78,0))</f>
        <v>0</v>
      </c>
      <c r="AW78" s="626">
        <f>IF(C78="Upfront",AU78,IF(C78="At delivery",AK78,0))</f>
        <v>0</v>
      </c>
      <c r="AX78" s="625">
        <f t="array" ref="AX78">IFERROR(INDEX('Malaria-Equipment &amp; Other HPs'!$AD$42:$AD$56,MATCH($E78&amp;$F78,'Malaria-Equipment &amp; Other HPs'!$E$42:$E$56&amp;'Malaria-Equipment &amp; Other HPs'!$I$42:$I$56,0)),0)</f>
        <v>0</v>
      </c>
      <c r="AY78" s="625">
        <f>IF(ISERROR($AS78*AX78),0,$AS78*AX78)</f>
        <v>0</v>
      </c>
      <c r="AZ78" s="626">
        <f>IF(C78="Upfront",AX78,IF(C78="At delivery",AN78,0))</f>
        <v>0</v>
      </c>
      <c r="BA78" s="626">
        <f>IF(C78="Upfront",AY78,IF(C78="At delivery",AO78,0))</f>
        <v>0</v>
      </c>
      <c r="BB78" s="625">
        <f t="array" ref="BB78">IFERROR(INDEX('Malaria-Equipment &amp; Other HPs'!$AE$42:$AE$56,MATCH($E78&amp;$F78,'Malaria-Equipment &amp; Other HPs'!$E$42:$E$56&amp;'Malaria-Equipment &amp; Other HPs'!$I$42:$I$56,0)),0)</f>
        <v>0</v>
      </c>
      <c r="BC78" s="625">
        <f>IF(ISERROR($AS78*BB78),0,$AS78*BB78)</f>
        <v>0</v>
      </c>
      <c r="BD78" s="626">
        <f>IF(C78="Upfront",BB78,IF(C78="At delivery",AT78,0))</f>
        <v>0</v>
      </c>
      <c r="BE78" s="626">
        <f>IF(C78="Upfront",BC78,IF(C78="At delivery",AU78,0))</f>
        <v>0</v>
      </c>
      <c r="BF78" s="625">
        <f t="array" ref="BF78">IFERROR(INDEX('Malaria-Equipment &amp; Other HPs'!$AF$42:$AF$56,MATCH($E78&amp;$F78,'Malaria-Equipment &amp; Other HPs'!$E$42:$E$56&amp;'Malaria-Equipment &amp; Other HPs'!$I$42:$I$56,0)),0)</f>
        <v>0</v>
      </c>
      <c r="BG78" s="625">
        <f>IF(ISERROR($AS78*BF78),0,$AS78*BF78)</f>
        <v>0</v>
      </c>
      <c r="BH78" s="626">
        <f>IF(C78="Upfront",BF78,IF(C78="At delivery",AX78,0))</f>
        <v>0</v>
      </c>
      <c r="BI78" s="626">
        <f>IF(C78="Upfront",BG78,IF(C78="At delivery",AY78,0))</f>
        <v>0</v>
      </c>
      <c r="BJ78" s="630"/>
      <c r="BK78" s="625"/>
      <c r="BL78" s="625"/>
      <c r="BM78" s="625"/>
      <c r="BN78" s="625"/>
      <c r="BO78" s="625"/>
      <c r="BP78" s="625"/>
      <c r="BQ78" s="625"/>
      <c r="BR78" s="625"/>
      <c r="BT78" s="21" t="s">
        <v>6819</v>
      </c>
    </row>
    <row r="79" spans="1:72">
      <c r="A79" s="29" t="s">
        <v>1238</v>
      </c>
      <c r="B79" s="29" t="s">
        <v>1548</v>
      </c>
      <c r="C79" s="626">
        <f>SETUP!$F$53</f>
        <v>0</v>
      </c>
      <c r="D79" s="25">
        <v>5.4</v>
      </c>
      <c r="E79" s="26" t="s">
        <v>1170</v>
      </c>
      <c r="F79" s="26" t="s">
        <v>1172</v>
      </c>
      <c r="G79" s="625" t="str">
        <f t="array" ref="G79">IFERROR(INDEX('Malaria-Equipment &amp; Other HPs'!$L$42:$L$56,MATCH($E79&amp;$F79,'Malaria-Equipment &amp; Other HPs'!$E$42:$E$56&amp;'Malaria-Equipment &amp; Other HPs'!$I$42:$I$56,0)),"")</f>
        <v/>
      </c>
      <c r="H79" s="625" t="str">
        <f t="array" ref="H79">IFERROR(INDEX('Malaria-Equipment &amp; Other HPs'!$M$42:$M$56,MATCH($E79&amp;$F79,'Malaria-Equipment &amp; Other HPs'!$E$42:$E$56&amp;'Malaria-Equipment &amp; Other HPs'!$I$42:$I$56,0)),"")</f>
        <v/>
      </c>
      <c r="I79" s="625">
        <f t="array" ref="I79">IFERROR(INDEX('Malaria-Equipment &amp; Other HPs'!$N$42:$N$56,MATCH($E79&amp;$F79,'Malaria-Equipment &amp; Other HPs'!$E$42:$E$56&amp;'Malaria-Equipment &amp; Other HPs'!$I$42:$I$56,0)),0)</f>
        <v>0</v>
      </c>
      <c r="J79" s="625">
        <f t="array" ref="J79">IFERROR(INDEX('Malaria-Equipment &amp; Other HPs'!$O$42:$O$56,MATCH($E79&amp;$F79,'Malaria-Equipment &amp; Other HPs'!$E$42:$E$56&amp;'Malaria-Equipment &amp; Other HPs'!$I$42:$I$56,0)),0)</f>
        <v>0</v>
      </c>
      <c r="K79" s="626">
        <f t="shared" ref="K79:K85" si="72">IF(ISERROR($I79*J79),0,$I79*J79)</f>
        <v>0</v>
      </c>
      <c r="L79" s="626">
        <f t="shared" ref="L79:L85" si="73">IF(C79="Upfront",J79,0)</f>
        <v>0</v>
      </c>
      <c r="M79" s="626">
        <f t="shared" ref="M79:M85" si="74">IF(C79="Upfront",K79,0)</f>
        <v>0</v>
      </c>
      <c r="N79" s="625">
        <f t="array" ref="N79">IFERROR(INDEX('Malaria-Equipment &amp; Other HPs'!$P$42:$P$56,MATCH($E79&amp;$F79,'Malaria-Equipment &amp; Other HPs'!$E$42:$E$56&amp;'Malaria-Equipment &amp; Other HPs'!$I$42:$I$56,0)),0)</f>
        <v>0</v>
      </c>
      <c r="O79" s="626">
        <f t="shared" ref="O79:O85" si="75">IF(ISERROR($I79*N79),0,$I79*N79)</f>
        <v>0</v>
      </c>
      <c r="P79" s="626">
        <f t="shared" ref="P79:P85" si="76">IF(C79="Upfront",N79,0)</f>
        <v>0</v>
      </c>
      <c r="Q79" s="626">
        <f t="shared" ref="Q79:Q85" si="77">IF(C79="Upfront",O79,0)</f>
        <v>0</v>
      </c>
      <c r="R79" s="625">
        <f t="array" ref="R79">IFERROR(INDEX('Malaria-Equipment &amp; Other HPs'!$Q$42:$Q$56,MATCH($E79&amp;$F79,'Malaria-Equipment &amp; Other HPs'!$E$42:$E$56&amp;'Malaria-Equipment &amp; Other HPs'!$I$42:$I$56,0)),0)</f>
        <v>0</v>
      </c>
      <c r="S79" s="626">
        <f t="shared" ref="S79:S85" si="78">IF(ISERROR($I79*R79),0,$I79*R79)</f>
        <v>0</v>
      </c>
      <c r="T79" s="626">
        <f t="shared" ref="T79:T85" si="79">IF(C79="Upfront",R79,IF(C79="At delivery",J79,0))</f>
        <v>0</v>
      </c>
      <c r="U79" s="626">
        <f t="shared" ref="U79:U85" si="80">IF(C79="Upfront",S79,IF(C79="At delivery",K79,0))</f>
        <v>0</v>
      </c>
      <c r="V79" s="625">
        <f t="array" ref="V79">IFERROR(INDEX('Malaria-Equipment &amp; Other HPs'!$R$42:$R$56,MATCH($E79&amp;$F79,'Malaria-Equipment &amp; Other HPs'!$E$42:$E$56&amp;'Malaria-Equipment &amp; Other HPs'!$I$42:$I$56,0)),0)</f>
        <v>0</v>
      </c>
      <c r="W79" s="626">
        <f t="shared" ref="W79:W85" si="81">IF(ISERROR($I79*V79),0,$I79*V79)</f>
        <v>0</v>
      </c>
      <c r="X79" s="626">
        <f t="shared" ref="X79:X85" si="82">IF(C79="Upfront",V79,IF(C79="At delivery",N79,0))</f>
        <v>0</v>
      </c>
      <c r="Y79" s="626">
        <f t="shared" ref="Y79:Y85" si="83">IF(C79="Upfront",W79,IF(C79="At delivery",O79,0))</f>
        <v>0</v>
      </c>
      <c r="Z79" s="630"/>
      <c r="AA79" s="625">
        <f t="array" ref="AA79">IFERROR(INDEX('Malaria-Equipment &amp; Other HPs'!$U$42:$U$56,MATCH($E79&amp;$F79,'Malaria-Equipment &amp; Other HPs'!$E$42:$E$56&amp;'Malaria-Equipment &amp; Other HPs'!$I$42:$I$56,0)),0)</f>
        <v>0</v>
      </c>
      <c r="AB79" s="625">
        <f t="array" ref="AB79">IFERROR(INDEX('Malaria-Equipment &amp; Other HPs'!$V$42:$V$56,MATCH($E79&amp;$F79,'Malaria-Equipment &amp; Other HPs'!$E$42:$E$56&amp;'Malaria-Equipment &amp; Other HPs'!$I$42:$I$56,0)),0)</f>
        <v>0</v>
      </c>
      <c r="AC79" s="625">
        <f t="shared" ref="AC79:AC85" si="84">IF(ISERROR($AA79*AB79),0,$AA79*AB79)</f>
        <v>0</v>
      </c>
      <c r="AD79" s="626">
        <f t="shared" ref="AD79:AD85" si="85">IF(C79="Upfront",AB79,IF(C79="At delivery",R79,0))</f>
        <v>0</v>
      </c>
      <c r="AE79" s="626">
        <f t="shared" ref="AE79:AE85" si="86">IF(C79="Upfront",AC79,IF(C79="At delivery",S79,0))</f>
        <v>0</v>
      </c>
      <c r="AF79" s="625">
        <f t="array" ref="AF79">IFERROR(INDEX('Malaria-Equipment &amp; Other HPs'!$W$42:$W$56,MATCH($E79&amp;$F79,'Malaria-Equipment &amp; Other HPs'!$E$42:$E$56&amp;'Malaria-Equipment &amp; Other HPs'!$I$42:$I$56,0)),0)</f>
        <v>0</v>
      </c>
      <c r="AG79" s="625">
        <f t="shared" ref="AG79:AG85" si="87">IF(ISERROR($AA79*AF79),0,$AA79*AF79)</f>
        <v>0</v>
      </c>
      <c r="AH79" s="626">
        <f t="shared" ref="AH79:AH85" si="88">IF(C79="Upfront",AF79,IF(C79="At delivery",V79,0))</f>
        <v>0</v>
      </c>
      <c r="AI79" s="626">
        <f t="shared" ref="AI79:AI85" si="89">IF(C79="Upfront",AG79,IF(C79="At delivery",W79,0))</f>
        <v>0</v>
      </c>
      <c r="AJ79" s="625">
        <f t="array" ref="AJ79">IFERROR(INDEX('Malaria-Equipment &amp; Other HPs'!$X$42:$X$56,MATCH($E79&amp;$F79,'Malaria-Equipment &amp; Other HPs'!$E$42:$E$56&amp;'Malaria-Equipment &amp; Other HPs'!$I$42:$I$56,0)),0)</f>
        <v>0</v>
      </c>
      <c r="AK79" s="625">
        <f t="shared" ref="AK79:AK85" si="90">IF(ISERROR($AA79*AJ79),0,$AA79*AJ79)</f>
        <v>0</v>
      </c>
      <c r="AL79" s="626">
        <f t="shared" ref="AL79:AL85" si="91">IF(C79="Upfront",AJ79,IF(C79="At delivery",AB79,0))</f>
        <v>0</v>
      </c>
      <c r="AM79" s="626">
        <f t="shared" ref="AM79:AM85" si="92">IF(C79="Upfront",AK79,IF(C79="At delivery",AC79,0))</f>
        <v>0</v>
      </c>
      <c r="AN79" s="625">
        <f t="array" ref="AN79">IFERROR(INDEX('Malaria-Equipment &amp; Other HPs'!$Y$42:$Y$56,MATCH($E79&amp;$F79,'Malaria-Equipment &amp; Other HPs'!$E$42:$E$56&amp;'Malaria-Equipment &amp; Other HPs'!$I$42:$I$56,0)),0)</f>
        <v>0</v>
      </c>
      <c r="AO79" s="625">
        <f t="shared" ref="AO79:AO85" si="93">IF(ISERROR($AA79*AN79),0,$AA79*AN79)</f>
        <v>0</v>
      </c>
      <c r="AP79" s="626">
        <f t="shared" ref="AP79:AP85" si="94">IF(C79="Upfront",AN79,IF(C79="At delivery",AF79,0))</f>
        <v>0</v>
      </c>
      <c r="AQ79" s="626">
        <f t="shared" ref="AQ79:AQ85" si="95">IF(C79="Upfront",AO79,IF(C79="At delivery",AG79,0))</f>
        <v>0</v>
      </c>
      <c r="AR79" s="630"/>
      <c r="AS79" s="625">
        <f t="array" ref="AS79">IFERROR(INDEX('Malaria-Equipment &amp; Other HPs'!$AB$42:$AB$56,MATCH($E79&amp;$F79,'Malaria-Equipment &amp; Other HPs'!$E$42:$E$56&amp;'Malaria-Equipment &amp; Other HPs'!$I$42:$I$56,0)),0)</f>
        <v>0</v>
      </c>
      <c r="AT79" s="625">
        <f t="array" ref="AT79">IFERROR(INDEX('Malaria-Equipment &amp; Other HPs'!$AC$42:$AC$56,MATCH($E79&amp;$F79,'Malaria-Equipment &amp; Other HPs'!$E$42:$E$56&amp;'Malaria-Equipment &amp; Other HPs'!$I$42:$I$56,0)),0)</f>
        <v>0</v>
      </c>
      <c r="AU79" s="625">
        <f t="shared" ref="AU79:AU85" si="96">IF(ISERROR($AS79*AT79),0,$AS79*AT79)</f>
        <v>0</v>
      </c>
      <c r="AV79" s="626">
        <f t="shared" ref="AV79:AV85" si="97">IF(C79="Upfront",AT79,IF(C79="At delivery",AJ79,0))</f>
        <v>0</v>
      </c>
      <c r="AW79" s="626">
        <f t="shared" ref="AW79:AW85" si="98">IF(C79="Upfront",AU79,IF(C79="At delivery",AK79,0))</f>
        <v>0</v>
      </c>
      <c r="AX79" s="625">
        <f t="array" ref="AX79">IFERROR(INDEX('Malaria-Equipment &amp; Other HPs'!$AD$42:$AD$56,MATCH($E79&amp;$F79,'Malaria-Equipment &amp; Other HPs'!$E$42:$E$56&amp;'Malaria-Equipment &amp; Other HPs'!$I$42:$I$56,0)),0)</f>
        <v>0</v>
      </c>
      <c r="AY79" s="625">
        <f t="shared" ref="AY79:AY85" si="99">IF(ISERROR($AS79*AX79),0,$AS79*AX79)</f>
        <v>0</v>
      </c>
      <c r="AZ79" s="626">
        <f t="shared" ref="AZ79:AZ85" si="100">IF(C79="Upfront",AX79,IF(C79="At delivery",AN79,0))</f>
        <v>0</v>
      </c>
      <c r="BA79" s="626">
        <f t="shared" ref="BA79:BA85" si="101">IF(C79="Upfront",AY79,IF(C79="At delivery",AO79,0))</f>
        <v>0</v>
      </c>
      <c r="BB79" s="625">
        <f t="array" ref="BB79">IFERROR(INDEX('Malaria-Equipment &amp; Other HPs'!$AE$42:$AE$56,MATCH($E79&amp;$F79,'Malaria-Equipment &amp; Other HPs'!$E$42:$E$56&amp;'Malaria-Equipment &amp; Other HPs'!$I$42:$I$56,0)),0)</f>
        <v>0</v>
      </c>
      <c r="BC79" s="625">
        <f t="shared" ref="BC79:BC85" si="102">IF(ISERROR($AS79*BB79),0,$AS79*BB79)</f>
        <v>0</v>
      </c>
      <c r="BD79" s="626">
        <f t="shared" ref="BD79:BD85" si="103">IF(C79="Upfront",BB79,IF(C79="At delivery",AT79,0))</f>
        <v>0</v>
      </c>
      <c r="BE79" s="626">
        <f t="shared" ref="BE79:BE85" si="104">IF(C79="Upfront",BC79,IF(C79="At delivery",AU79,0))</f>
        <v>0</v>
      </c>
      <c r="BF79" s="625">
        <f t="array" ref="BF79">IFERROR(INDEX('Malaria-Equipment &amp; Other HPs'!$AF$42:$AF$56,MATCH($E79&amp;$F79,'Malaria-Equipment &amp; Other HPs'!$E$42:$E$56&amp;'Malaria-Equipment &amp; Other HPs'!$I$42:$I$56,0)),0)</f>
        <v>0</v>
      </c>
      <c r="BG79" s="625">
        <f t="shared" ref="BG79:BG85" si="105">IF(ISERROR($AS79*BF79),0,$AS79*BF79)</f>
        <v>0</v>
      </c>
      <c r="BH79" s="626">
        <f t="shared" ref="BH79:BH85" si="106">IF(C79="Upfront",BF79,IF(C79="At delivery",AX79,0))</f>
        <v>0</v>
      </c>
      <c r="BI79" s="626">
        <f t="shared" ref="BI79:BI85" si="107">IF(C79="Upfront",BG79,IF(C79="At delivery",AY79,0))</f>
        <v>0</v>
      </c>
      <c r="BJ79" s="630"/>
      <c r="BK79" s="625"/>
      <c r="BL79" s="625"/>
      <c r="BM79" s="625"/>
      <c r="BN79" s="625"/>
      <c r="BO79" s="625"/>
      <c r="BP79" s="625"/>
      <c r="BQ79" s="625"/>
      <c r="BR79" s="625"/>
      <c r="BT79" s="21" t="s">
        <v>6819</v>
      </c>
    </row>
    <row r="80" spans="1:72">
      <c r="A80" s="29" t="s">
        <v>1238</v>
      </c>
      <c r="B80" s="29" t="s">
        <v>1548</v>
      </c>
      <c r="C80" s="626">
        <f>SETUP!$F$53</f>
        <v>0</v>
      </c>
      <c r="D80" s="25">
        <v>5.4</v>
      </c>
      <c r="E80" s="26" t="s">
        <v>1170</v>
      </c>
      <c r="F80" s="26" t="s">
        <v>1173</v>
      </c>
      <c r="G80" s="625" t="str">
        <f t="array" ref="G80">IFERROR(INDEX('Malaria-Equipment &amp; Other HPs'!$L$42:$L$56,MATCH($E80&amp;$F80,'Malaria-Equipment &amp; Other HPs'!$E$42:$E$56&amp;'Malaria-Equipment &amp; Other HPs'!$I$42:$I$56,0)),"")</f>
        <v/>
      </c>
      <c r="H80" s="625" t="str">
        <f t="array" ref="H80">IFERROR(INDEX('Malaria-Equipment &amp; Other HPs'!$M$42:$M$56,MATCH($E80&amp;$F80,'Malaria-Equipment &amp; Other HPs'!$E$42:$E$56&amp;'Malaria-Equipment &amp; Other HPs'!$I$42:$I$56,0)),"")</f>
        <v/>
      </c>
      <c r="I80" s="625">
        <f t="array" ref="I80">IFERROR(INDEX('Malaria-Equipment &amp; Other HPs'!$N$42:$N$56,MATCH($E80&amp;$F80,'Malaria-Equipment &amp; Other HPs'!$E$42:$E$56&amp;'Malaria-Equipment &amp; Other HPs'!$I$42:$I$56,0)),0)</f>
        <v>0</v>
      </c>
      <c r="J80" s="625">
        <f t="array" ref="J80">IFERROR(INDEX('Malaria-Equipment &amp; Other HPs'!$O$42:$O$56,MATCH($E80&amp;$F80,'Malaria-Equipment &amp; Other HPs'!$E$42:$E$56&amp;'Malaria-Equipment &amp; Other HPs'!$I$42:$I$56,0)),0)</f>
        <v>0</v>
      </c>
      <c r="K80" s="626">
        <f t="shared" si="72"/>
        <v>0</v>
      </c>
      <c r="L80" s="626">
        <f t="shared" si="73"/>
        <v>0</v>
      </c>
      <c r="M80" s="626">
        <f t="shared" si="74"/>
        <v>0</v>
      </c>
      <c r="N80" s="625">
        <f t="array" ref="N80">IFERROR(INDEX('Malaria-Equipment &amp; Other HPs'!$P$42:$P$56,MATCH($E80&amp;$F80,'Malaria-Equipment &amp; Other HPs'!$E$42:$E$56&amp;'Malaria-Equipment &amp; Other HPs'!$I$42:$I$56,0)),0)</f>
        <v>0</v>
      </c>
      <c r="O80" s="626">
        <f t="shared" si="75"/>
        <v>0</v>
      </c>
      <c r="P80" s="626">
        <f t="shared" si="76"/>
        <v>0</v>
      </c>
      <c r="Q80" s="626">
        <f t="shared" si="77"/>
        <v>0</v>
      </c>
      <c r="R80" s="625">
        <f t="array" ref="R80">IFERROR(INDEX('Malaria-Equipment &amp; Other HPs'!$Q$42:$Q$56,MATCH($E80&amp;$F80,'Malaria-Equipment &amp; Other HPs'!$E$42:$E$56&amp;'Malaria-Equipment &amp; Other HPs'!$I$42:$I$56,0)),0)</f>
        <v>0</v>
      </c>
      <c r="S80" s="626">
        <f t="shared" si="78"/>
        <v>0</v>
      </c>
      <c r="T80" s="626">
        <f t="shared" si="79"/>
        <v>0</v>
      </c>
      <c r="U80" s="626">
        <f t="shared" si="80"/>
        <v>0</v>
      </c>
      <c r="V80" s="625">
        <f t="array" ref="V80">IFERROR(INDEX('Malaria-Equipment &amp; Other HPs'!$R$42:$R$56,MATCH($E80&amp;$F80,'Malaria-Equipment &amp; Other HPs'!$E$42:$E$56&amp;'Malaria-Equipment &amp; Other HPs'!$I$42:$I$56,0)),0)</f>
        <v>0</v>
      </c>
      <c r="W80" s="626">
        <f t="shared" si="81"/>
        <v>0</v>
      </c>
      <c r="X80" s="626">
        <f t="shared" si="82"/>
        <v>0</v>
      </c>
      <c r="Y80" s="626">
        <f t="shared" si="83"/>
        <v>0</v>
      </c>
      <c r="Z80" s="630"/>
      <c r="AA80" s="625">
        <f t="array" ref="AA80">IFERROR(INDEX('Malaria-Equipment &amp; Other HPs'!$U$42:$U$56,MATCH($E80&amp;$F80,'Malaria-Equipment &amp; Other HPs'!$E$42:$E$56&amp;'Malaria-Equipment &amp; Other HPs'!$I$42:$I$56,0)),0)</f>
        <v>0</v>
      </c>
      <c r="AB80" s="625">
        <f t="array" ref="AB80">IFERROR(INDEX('Malaria-Equipment &amp; Other HPs'!$V$42:$V$56,MATCH($E80&amp;$F80,'Malaria-Equipment &amp; Other HPs'!$E$42:$E$56&amp;'Malaria-Equipment &amp; Other HPs'!$I$42:$I$56,0)),0)</f>
        <v>0</v>
      </c>
      <c r="AC80" s="625">
        <f t="shared" si="84"/>
        <v>0</v>
      </c>
      <c r="AD80" s="626">
        <f t="shared" si="85"/>
        <v>0</v>
      </c>
      <c r="AE80" s="626">
        <f t="shared" si="86"/>
        <v>0</v>
      </c>
      <c r="AF80" s="625">
        <f t="array" ref="AF80">IFERROR(INDEX('Malaria-Equipment &amp; Other HPs'!$W$42:$W$56,MATCH($E80&amp;$F80,'Malaria-Equipment &amp; Other HPs'!$E$42:$E$56&amp;'Malaria-Equipment &amp; Other HPs'!$I$42:$I$56,0)),0)</f>
        <v>0</v>
      </c>
      <c r="AG80" s="625">
        <f t="shared" si="87"/>
        <v>0</v>
      </c>
      <c r="AH80" s="626">
        <f t="shared" si="88"/>
        <v>0</v>
      </c>
      <c r="AI80" s="626">
        <f t="shared" si="89"/>
        <v>0</v>
      </c>
      <c r="AJ80" s="625">
        <f t="array" ref="AJ80">IFERROR(INDEX('Malaria-Equipment &amp; Other HPs'!$X$42:$X$56,MATCH($E80&amp;$F80,'Malaria-Equipment &amp; Other HPs'!$E$42:$E$56&amp;'Malaria-Equipment &amp; Other HPs'!$I$42:$I$56,0)),0)</f>
        <v>0</v>
      </c>
      <c r="AK80" s="625">
        <f t="shared" si="90"/>
        <v>0</v>
      </c>
      <c r="AL80" s="626">
        <f t="shared" si="91"/>
        <v>0</v>
      </c>
      <c r="AM80" s="626">
        <f t="shared" si="92"/>
        <v>0</v>
      </c>
      <c r="AN80" s="625">
        <f t="array" ref="AN80">IFERROR(INDEX('Malaria-Equipment &amp; Other HPs'!$Y$42:$Y$56,MATCH($E80&amp;$F80,'Malaria-Equipment &amp; Other HPs'!$E$42:$E$56&amp;'Malaria-Equipment &amp; Other HPs'!$I$42:$I$56,0)),0)</f>
        <v>0</v>
      </c>
      <c r="AO80" s="625">
        <f t="shared" si="93"/>
        <v>0</v>
      </c>
      <c r="AP80" s="626">
        <f t="shared" si="94"/>
        <v>0</v>
      </c>
      <c r="AQ80" s="626">
        <f t="shared" si="95"/>
        <v>0</v>
      </c>
      <c r="AR80" s="630"/>
      <c r="AS80" s="625">
        <f t="array" ref="AS80">IFERROR(INDEX('Malaria-Equipment &amp; Other HPs'!$AB$42:$AB$56,MATCH($E80&amp;$F80,'Malaria-Equipment &amp; Other HPs'!$E$42:$E$56&amp;'Malaria-Equipment &amp; Other HPs'!$I$42:$I$56,0)),0)</f>
        <v>0</v>
      </c>
      <c r="AT80" s="625">
        <f t="array" ref="AT80">IFERROR(INDEX('Malaria-Equipment &amp; Other HPs'!$AC$42:$AC$56,MATCH($E80&amp;$F80,'Malaria-Equipment &amp; Other HPs'!$E$42:$E$56&amp;'Malaria-Equipment &amp; Other HPs'!$I$42:$I$56,0)),0)</f>
        <v>0</v>
      </c>
      <c r="AU80" s="625">
        <f t="shared" si="96"/>
        <v>0</v>
      </c>
      <c r="AV80" s="626">
        <f t="shared" si="97"/>
        <v>0</v>
      </c>
      <c r="AW80" s="626">
        <f t="shared" si="98"/>
        <v>0</v>
      </c>
      <c r="AX80" s="625">
        <f t="array" ref="AX80">IFERROR(INDEX('Malaria-Equipment &amp; Other HPs'!$AD$42:$AD$56,MATCH($E80&amp;$F80,'Malaria-Equipment &amp; Other HPs'!$E$42:$E$56&amp;'Malaria-Equipment &amp; Other HPs'!$I$42:$I$56,0)),0)</f>
        <v>0</v>
      </c>
      <c r="AY80" s="625">
        <f t="shared" si="99"/>
        <v>0</v>
      </c>
      <c r="AZ80" s="626">
        <f t="shared" si="100"/>
        <v>0</v>
      </c>
      <c r="BA80" s="626">
        <f t="shared" si="101"/>
        <v>0</v>
      </c>
      <c r="BB80" s="625">
        <f t="array" ref="BB80">IFERROR(INDEX('Malaria-Equipment &amp; Other HPs'!$AE$42:$AE$56,MATCH($E80&amp;$F80,'Malaria-Equipment &amp; Other HPs'!$E$42:$E$56&amp;'Malaria-Equipment &amp; Other HPs'!$I$42:$I$56,0)),0)</f>
        <v>0</v>
      </c>
      <c r="BC80" s="625">
        <f t="shared" si="102"/>
        <v>0</v>
      </c>
      <c r="BD80" s="626">
        <f t="shared" si="103"/>
        <v>0</v>
      </c>
      <c r="BE80" s="626">
        <f t="shared" si="104"/>
        <v>0</v>
      </c>
      <c r="BF80" s="625">
        <f t="array" ref="BF80">IFERROR(INDEX('Malaria-Equipment &amp; Other HPs'!$AF$42:$AF$56,MATCH($E80&amp;$F80,'Malaria-Equipment &amp; Other HPs'!$E$42:$E$56&amp;'Malaria-Equipment &amp; Other HPs'!$I$42:$I$56,0)),0)</f>
        <v>0</v>
      </c>
      <c r="BG80" s="625">
        <f t="shared" si="105"/>
        <v>0</v>
      </c>
      <c r="BH80" s="626">
        <f t="shared" si="106"/>
        <v>0</v>
      </c>
      <c r="BI80" s="626">
        <f t="shared" si="107"/>
        <v>0</v>
      </c>
      <c r="BJ80" s="630"/>
      <c r="BK80" s="625"/>
      <c r="BL80" s="625"/>
      <c r="BM80" s="625"/>
      <c r="BN80" s="625"/>
      <c r="BO80" s="625"/>
      <c r="BP80" s="625"/>
      <c r="BQ80" s="625"/>
      <c r="BR80" s="625"/>
      <c r="BT80" s="21" t="s">
        <v>6819</v>
      </c>
    </row>
    <row r="81" spans="1:72">
      <c r="A81" s="29" t="s">
        <v>1238</v>
      </c>
      <c r="B81" s="29" t="s">
        <v>1548</v>
      </c>
      <c r="C81" s="626">
        <f>SETUP!$F$53</f>
        <v>0</v>
      </c>
      <c r="D81" s="25">
        <v>5.4</v>
      </c>
      <c r="E81" s="26" t="s">
        <v>1170</v>
      </c>
      <c r="F81" s="26" t="s">
        <v>417</v>
      </c>
      <c r="G81" s="625" t="str">
        <f t="array" ref="G81">IFERROR(INDEX('Malaria-Equipment &amp; Other HPs'!$L$42:$L$56,MATCH($E81&amp;$F81,'Malaria-Equipment &amp; Other HPs'!$E$42:$E$56&amp;'Malaria-Equipment &amp; Other HPs'!$I$42:$I$56,0)),"")</f>
        <v/>
      </c>
      <c r="H81" s="625" t="str">
        <f t="array" ref="H81">IFERROR(INDEX('Malaria-Equipment &amp; Other HPs'!$M$42:$M$56,MATCH($E81&amp;$F81,'Malaria-Equipment &amp; Other HPs'!$E$42:$E$56&amp;'Malaria-Equipment &amp; Other HPs'!$I$42:$I$56,0)),"")</f>
        <v/>
      </c>
      <c r="I81" s="625">
        <f t="array" ref="I81">IFERROR(INDEX('Malaria-Equipment &amp; Other HPs'!$N$42:$N$56,MATCH($E81&amp;$F81,'Malaria-Equipment &amp; Other HPs'!$E$42:$E$56&amp;'Malaria-Equipment &amp; Other HPs'!$I$42:$I$56,0)),0)</f>
        <v>0</v>
      </c>
      <c r="J81" s="625">
        <f t="array" ref="J81">IFERROR(INDEX('Malaria-Equipment &amp; Other HPs'!$O$42:$O$56,MATCH($E81&amp;$F81,'Malaria-Equipment &amp; Other HPs'!$E$42:$E$56&amp;'Malaria-Equipment &amp; Other HPs'!$I$42:$I$56,0)),0)</f>
        <v>0</v>
      </c>
      <c r="K81" s="626">
        <f t="shared" si="72"/>
        <v>0</v>
      </c>
      <c r="L81" s="626">
        <f t="shared" si="73"/>
        <v>0</v>
      </c>
      <c r="M81" s="626">
        <f t="shared" si="74"/>
        <v>0</v>
      </c>
      <c r="N81" s="625">
        <f t="array" ref="N81">IFERROR(INDEX('Malaria-Equipment &amp; Other HPs'!$P$42:$P$56,MATCH($E81&amp;$F81,'Malaria-Equipment &amp; Other HPs'!$E$42:$E$56&amp;'Malaria-Equipment &amp; Other HPs'!$I$42:$I$56,0)),0)</f>
        <v>0</v>
      </c>
      <c r="O81" s="626">
        <f t="shared" si="75"/>
        <v>0</v>
      </c>
      <c r="P81" s="626">
        <f t="shared" si="76"/>
        <v>0</v>
      </c>
      <c r="Q81" s="626">
        <f t="shared" si="77"/>
        <v>0</v>
      </c>
      <c r="R81" s="625">
        <f t="array" ref="R81">IFERROR(INDEX('Malaria-Equipment &amp; Other HPs'!$Q$42:$Q$56,MATCH($E81&amp;$F81,'Malaria-Equipment &amp; Other HPs'!$E$42:$E$56&amp;'Malaria-Equipment &amp; Other HPs'!$I$42:$I$56,0)),0)</f>
        <v>0</v>
      </c>
      <c r="S81" s="626">
        <f t="shared" si="78"/>
        <v>0</v>
      </c>
      <c r="T81" s="626">
        <f t="shared" si="79"/>
        <v>0</v>
      </c>
      <c r="U81" s="626">
        <f t="shared" si="80"/>
        <v>0</v>
      </c>
      <c r="V81" s="625">
        <f t="array" ref="V81">IFERROR(INDEX('Malaria-Equipment &amp; Other HPs'!$R$42:$R$56,MATCH($E81&amp;$F81,'Malaria-Equipment &amp; Other HPs'!$E$42:$E$56&amp;'Malaria-Equipment &amp; Other HPs'!$I$42:$I$56,0)),0)</f>
        <v>0</v>
      </c>
      <c r="W81" s="626">
        <f t="shared" si="81"/>
        <v>0</v>
      </c>
      <c r="X81" s="626">
        <f t="shared" si="82"/>
        <v>0</v>
      </c>
      <c r="Y81" s="626">
        <f t="shared" si="83"/>
        <v>0</v>
      </c>
      <c r="Z81" s="630"/>
      <c r="AA81" s="625">
        <f t="array" ref="AA81">IFERROR(INDEX('Malaria-Equipment &amp; Other HPs'!$U$42:$U$56,MATCH($E81&amp;$F81,'Malaria-Equipment &amp; Other HPs'!$E$42:$E$56&amp;'Malaria-Equipment &amp; Other HPs'!$I$42:$I$56,0)),0)</f>
        <v>0</v>
      </c>
      <c r="AB81" s="625">
        <f t="array" ref="AB81">IFERROR(INDEX('Malaria-Equipment &amp; Other HPs'!$V$42:$V$56,MATCH($E81&amp;$F81,'Malaria-Equipment &amp; Other HPs'!$E$42:$E$56&amp;'Malaria-Equipment &amp; Other HPs'!$I$42:$I$56,0)),0)</f>
        <v>0</v>
      </c>
      <c r="AC81" s="625">
        <f t="shared" si="84"/>
        <v>0</v>
      </c>
      <c r="AD81" s="626">
        <f t="shared" si="85"/>
        <v>0</v>
      </c>
      <c r="AE81" s="626">
        <f t="shared" si="86"/>
        <v>0</v>
      </c>
      <c r="AF81" s="625">
        <f t="array" ref="AF81">IFERROR(INDEX('Malaria-Equipment &amp; Other HPs'!$W$42:$W$56,MATCH($E81&amp;$F81,'Malaria-Equipment &amp; Other HPs'!$E$42:$E$56&amp;'Malaria-Equipment &amp; Other HPs'!$I$42:$I$56,0)),0)</f>
        <v>0</v>
      </c>
      <c r="AG81" s="625">
        <f t="shared" si="87"/>
        <v>0</v>
      </c>
      <c r="AH81" s="626">
        <f t="shared" si="88"/>
        <v>0</v>
      </c>
      <c r="AI81" s="626">
        <f t="shared" si="89"/>
        <v>0</v>
      </c>
      <c r="AJ81" s="625">
        <f t="array" ref="AJ81">IFERROR(INDEX('Malaria-Equipment &amp; Other HPs'!$X$42:$X$56,MATCH($E81&amp;$F81,'Malaria-Equipment &amp; Other HPs'!$E$42:$E$56&amp;'Malaria-Equipment &amp; Other HPs'!$I$42:$I$56,0)),0)</f>
        <v>0</v>
      </c>
      <c r="AK81" s="625">
        <f t="shared" si="90"/>
        <v>0</v>
      </c>
      <c r="AL81" s="626">
        <f t="shared" si="91"/>
        <v>0</v>
      </c>
      <c r="AM81" s="626">
        <f t="shared" si="92"/>
        <v>0</v>
      </c>
      <c r="AN81" s="625">
        <f t="array" ref="AN81">IFERROR(INDEX('Malaria-Equipment &amp; Other HPs'!$Y$42:$Y$56,MATCH($E81&amp;$F81,'Malaria-Equipment &amp; Other HPs'!$E$42:$E$56&amp;'Malaria-Equipment &amp; Other HPs'!$I$42:$I$56,0)),0)</f>
        <v>0</v>
      </c>
      <c r="AO81" s="625">
        <f t="shared" si="93"/>
        <v>0</v>
      </c>
      <c r="AP81" s="626">
        <f t="shared" si="94"/>
        <v>0</v>
      </c>
      <c r="AQ81" s="626">
        <f t="shared" si="95"/>
        <v>0</v>
      </c>
      <c r="AR81" s="630"/>
      <c r="AS81" s="625">
        <f t="array" ref="AS81">IFERROR(INDEX('Malaria-Equipment &amp; Other HPs'!$AB$42:$AB$56,MATCH($E81&amp;$F81,'Malaria-Equipment &amp; Other HPs'!$E$42:$E$56&amp;'Malaria-Equipment &amp; Other HPs'!$I$42:$I$56,0)),0)</f>
        <v>0</v>
      </c>
      <c r="AT81" s="625">
        <f t="array" ref="AT81">IFERROR(INDEX('Malaria-Equipment &amp; Other HPs'!$AC$42:$AC$56,MATCH($E81&amp;$F81,'Malaria-Equipment &amp; Other HPs'!$E$42:$E$56&amp;'Malaria-Equipment &amp; Other HPs'!$I$42:$I$56,0)),0)</f>
        <v>0</v>
      </c>
      <c r="AU81" s="625">
        <f t="shared" si="96"/>
        <v>0</v>
      </c>
      <c r="AV81" s="626">
        <f t="shared" si="97"/>
        <v>0</v>
      </c>
      <c r="AW81" s="626">
        <f t="shared" si="98"/>
        <v>0</v>
      </c>
      <c r="AX81" s="625">
        <f t="array" ref="AX81">IFERROR(INDEX('Malaria-Equipment &amp; Other HPs'!$AD$42:$AD$56,MATCH($E81&amp;$F81,'Malaria-Equipment &amp; Other HPs'!$E$42:$E$56&amp;'Malaria-Equipment &amp; Other HPs'!$I$42:$I$56,0)),0)</f>
        <v>0</v>
      </c>
      <c r="AY81" s="625">
        <f t="shared" si="99"/>
        <v>0</v>
      </c>
      <c r="AZ81" s="626">
        <f t="shared" si="100"/>
        <v>0</v>
      </c>
      <c r="BA81" s="626">
        <f t="shared" si="101"/>
        <v>0</v>
      </c>
      <c r="BB81" s="625">
        <f t="array" ref="BB81">IFERROR(INDEX('Malaria-Equipment &amp; Other HPs'!$AE$42:$AE$56,MATCH($E81&amp;$F81,'Malaria-Equipment &amp; Other HPs'!$E$42:$E$56&amp;'Malaria-Equipment &amp; Other HPs'!$I$42:$I$56,0)),0)</f>
        <v>0</v>
      </c>
      <c r="BC81" s="625">
        <f t="shared" si="102"/>
        <v>0</v>
      </c>
      <c r="BD81" s="626">
        <f t="shared" si="103"/>
        <v>0</v>
      </c>
      <c r="BE81" s="626">
        <f t="shared" si="104"/>
        <v>0</v>
      </c>
      <c r="BF81" s="625">
        <f t="array" ref="BF81">IFERROR(INDEX('Malaria-Equipment &amp; Other HPs'!$AF$42:$AF$56,MATCH($E81&amp;$F81,'Malaria-Equipment &amp; Other HPs'!$E$42:$E$56&amp;'Malaria-Equipment &amp; Other HPs'!$I$42:$I$56,0)),0)</f>
        <v>0</v>
      </c>
      <c r="BG81" s="625">
        <f t="shared" si="105"/>
        <v>0</v>
      </c>
      <c r="BH81" s="626">
        <f t="shared" si="106"/>
        <v>0</v>
      </c>
      <c r="BI81" s="626">
        <f t="shared" si="107"/>
        <v>0</v>
      </c>
      <c r="BJ81" s="630"/>
      <c r="BK81" s="625"/>
      <c r="BL81" s="625"/>
      <c r="BM81" s="625"/>
      <c r="BN81" s="625"/>
      <c r="BO81" s="625"/>
      <c r="BP81" s="625"/>
      <c r="BQ81" s="625"/>
      <c r="BR81" s="625"/>
      <c r="BT81" s="21" t="s">
        <v>6819</v>
      </c>
    </row>
    <row r="82" spans="1:72">
      <c r="A82" s="29" t="s">
        <v>1238</v>
      </c>
      <c r="B82" s="29" t="s">
        <v>1548</v>
      </c>
      <c r="C82" s="626">
        <f>SETUP!$F$53</f>
        <v>0</v>
      </c>
      <c r="D82" s="25">
        <v>5.4</v>
      </c>
      <c r="E82" s="26" t="s">
        <v>1170</v>
      </c>
      <c r="F82" s="26" t="s">
        <v>1174</v>
      </c>
      <c r="G82" s="625" t="str">
        <f t="array" ref="G82">IFERROR(INDEX('Malaria-Equipment &amp; Other HPs'!$L$42:$L$56,MATCH($E82&amp;$F82,'Malaria-Equipment &amp; Other HPs'!$E$42:$E$56&amp;'Malaria-Equipment &amp; Other HPs'!$I$42:$I$56,0)),"")</f>
        <v/>
      </c>
      <c r="H82" s="625" t="str">
        <f t="array" ref="H82">IFERROR(INDEX('Malaria-Equipment &amp; Other HPs'!$M$42:$M$56,MATCH($E82&amp;$F82,'Malaria-Equipment &amp; Other HPs'!$E$42:$E$56&amp;'Malaria-Equipment &amp; Other HPs'!$I$42:$I$56,0)),"")</f>
        <v/>
      </c>
      <c r="I82" s="625">
        <f t="array" ref="I82">IFERROR(INDEX('Malaria-Equipment &amp; Other HPs'!$N$42:$N$56,MATCH($E82&amp;$F82,'Malaria-Equipment &amp; Other HPs'!$E$42:$E$56&amp;'Malaria-Equipment &amp; Other HPs'!$I$42:$I$56,0)),0)</f>
        <v>0</v>
      </c>
      <c r="J82" s="625">
        <f t="array" ref="J82">IFERROR(INDEX('Malaria-Equipment &amp; Other HPs'!$O$42:$O$56,MATCH($E82&amp;$F82,'Malaria-Equipment &amp; Other HPs'!$E$42:$E$56&amp;'Malaria-Equipment &amp; Other HPs'!$I$42:$I$56,0)),0)</f>
        <v>0</v>
      </c>
      <c r="K82" s="626">
        <f t="shared" si="72"/>
        <v>0</v>
      </c>
      <c r="L82" s="626">
        <f t="shared" si="73"/>
        <v>0</v>
      </c>
      <c r="M82" s="626">
        <f t="shared" si="74"/>
        <v>0</v>
      </c>
      <c r="N82" s="625">
        <f t="array" ref="N82">IFERROR(INDEX('Malaria-Equipment &amp; Other HPs'!$P$42:$P$56,MATCH($E82&amp;$F82,'Malaria-Equipment &amp; Other HPs'!$E$42:$E$56&amp;'Malaria-Equipment &amp; Other HPs'!$I$42:$I$56,0)),0)</f>
        <v>0</v>
      </c>
      <c r="O82" s="626">
        <f t="shared" si="75"/>
        <v>0</v>
      </c>
      <c r="P82" s="626">
        <f t="shared" si="76"/>
        <v>0</v>
      </c>
      <c r="Q82" s="626">
        <f t="shared" si="77"/>
        <v>0</v>
      </c>
      <c r="R82" s="625">
        <f t="array" ref="R82">IFERROR(INDEX('Malaria-Equipment &amp; Other HPs'!$Q$42:$Q$56,MATCH($E82&amp;$F82,'Malaria-Equipment &amp; Other HPs'!$E$42:$E$56&amp;'Malaria-Equipment &amp; Other HPs'!$I$42:$I$56,0)),0)</f>
        <v>0</v>
      </c>
      <c r="S82" s="626">
        <f t="shared" si="78"/>
        <v>0</v>
      </c>
      <c r="T82" s="626">
        <f t="shared" si="79"/>
        <v>0</v>
      </c>
      <c r="U82" s="626">
        <f t="shared" si="80"/>
        <v>0</v>
      </c>
      <c r="V82" s="625">
        <f t="array" ref="V82">IFERROR(INDEX('Malaria-Equipment &amp; Other HPs'!$R$42:$R$56,MATCH($E82&amp;$F82,'Malaria-Equipment &amp; Other HPs'!$E$42:$E$56&amp;'Malaria-Equipment &amp; Other HPs'!$I$42:$I$56,0)),0)</f>
        <v>0</v>
      </c>
      <c r="W82" s="626">
        <f t="shared" si="81"/>
        <v>0</v>
      </c>
      <c r="X82" s="626">
        <f t="shared" si="82"/>
        <v>0</v>
      </c>
      <c r="Y82" s="626">
        <f t="shared" si="83"/>
        <v>0</v>
      </c>
      <c r="Z82" s="630"/>
      <c r="AA82" s="625">
        <f t="array" ref="AA82">IFERROR(INDEX('Malaria-Equipment &amp; Other HPs'!$U$42:$U$56,MATCH($E82&amp;$F82,'Malaria-Equipment &amp; Other HPs'!$E$42:$E$56&amp;'Malaria-Equipment &amp; Other HPs'!$I$42:$I$56,0)),0)</f>
        <v>0</v>
      </c>
      <c r="AB82" s="625">
        <f t="array" ref="AB82">IFERROR(INDEX('Malaria-Equipment &amp; Other HPs'!$V$42:$V$56,MATCH($E82&amp;$F82,'Malaria-Equipment &amp; Other HPs'!$E$42:$E$56&amp;'Malaria-Equipment &amp; Other HPs'!$I$42:$I$56,0)),0)</f>
        <v>0</v>
      </c>
      <c r="AC82" s="625">
        <f t="shared" si="84"/>
        <v>0</v>
      </c>
      <c r="AD82" s="626">
        <f t="shared" si="85"/>
        <v>0</v>
      </c>
      <c r="AE82" s="626">
        <f t="shared" si="86"/>
        <v>0</v>
      </c>
      <c r="AF82" s="625">
        <f t="array" ref="AF82">IFERROR(INDEX('Malaria-Equipment &amp; Other HPs'!$W$42:$W$56,MATCH($E82&amp;$F82,'Malaria-Equipment &amp; Other HPs'!$E$42:$E$56&amp;'Malaria-Equipment &amp; Other HPs'!$I$42:$I$56,0)),0)</f>
        <v>0</v>
      </c>
      <c r="AG82" s="625">
        <f t="shared" si="87"/>
        <v>0</v>
      </c>
      <c r="AH82" s="626">
        <f t="shared" si="88"/>
        <v>0</v>
      </c>
      <c r="AI82" s="626">
        <f t="shared" si="89"/>
        <v>0</v>
      </c>
      <c r="AJ82" s="625">
        <f t="array" ref="AJ82">IFERROR(INDEX('Malaria-Equipment &amp; Other HPs'!$X$42:$X$56,MATCH($E82&amp;$F82,'Malaria-Equipment &amp; Other HPs'!$E$42:$E$56&amp;'Malaria-Equipment &amp; Other HPs'!$I$42:$I$56,0)),0)</f>
        <v>0</v>
      </c>
      <c r="AK82" s="625">
        <f t="shared" si="90"/>
        <v>0</v>
      </c>
      <c r="AL82" s="626">
        <f t="shared" si="91"/>
        <v>0</v>
      </c>
      <c r="AM82" s="626">
        <f t="shared" si="92"/>
        <v>0</v>
      </c>
      <c r="AN82" s="625">
        <f t="array" ref="AN82">IFERROR(INDEX('Malaria-Equipment &amp; Other HPs'!$Y$42:$Y$56,MATCH($E82&amp;$F82,'Malaria-Equipment &amp; Other HPs'!$E$42:$E$56&amp;'Malaria-Equipment &amp; Other HPs'!$I$42:$I$56,0)),0)</f>
        <v>0</v>
      </c>
      <c r="AO82" s="625">
        <f t="shared" si="93"/>
        <v>0</v>
      </c>
      <c r="AP82" s="626">
        <f t="shared" si="94"/>
        <v>0</v>
      </c>
      <c r="AQ82" s="626">
        <f t="shared" si="95"/>
        <v>0</v>
      </c>
      <c r="AR82" s="630"/>
      <c r="AS82" s="625">
        <f t="array" ref="AS82">IFERROR(INDEX('Malaria-Equipment &amp; Other HPs'!$AB$42:$AB$56,MATCH($E82&amp;$F82,'Malaria-Equipment &amp; Other HPs'!$E$42:$E$56&amp;'Malaria-Equipment &amp; Other HPs'!$I$42:$I$56,0)),0)</f>
        <v>0</v>
      </c>
      <c r="AT82" s="625">
        <f t="array" ref="AT82">IFERROR(INDEX('Malaria-Equipment &amp; Other HPs'!$AC$42:$AC$56,MATCH($E82&amp;$F82,'Malaria-Equipment &amp; Other HPs'!$E$42:$E$56&amp;'Malaria-Equipment &amp; Other HPs'!$I$42:$I$56,0)),0)</f>
        <v>0</v>
      </c>
      <c r="AU82" s="625">
        <f t="shared" si="96"/>
        <v>0</v>
      </c>
      <c r="AV82" s="626">
        <f t="shared" si="97"/>
        <v>0</v>
      </c>
      <c r="AW82" s="626">
        <f t="shared" si="98"/>
        <v>0</v>
      </c>
      <c r="AX82" s="625">
        <f t="array" ref="AX82">IFERROR(INDEX('Malaria-Equipment &amp; Other HPs'!$AD$42:$AD$56,MATCH($E82&amp;$F82,'Malaria-Equipment &amp; Other HPs'!$E$42:$E$56&amp;'Malaria-Equipment &amp; Other HPs'!$I$42:$I$56,0)),0)</f>
        <v>0</v>
      </c>
      <c r="AY82" s="625">
        <f t="shared" si="99"/>
        <v>0</v>
      </c>
      <c r="AZ82" s="626">
        <f t="shared" si="100"/>
        <v>0</v>
      </c>
      <c r="BA82" s="626">
        <f t="shared" si="101"/>
        <v>0</v>
      </c>
      <c r="BB82" s="625">
        <f t="array" ref="BB82">IFERROR(INDEX('Malaria-Equipment &amp; Other HPs'!$AE$42:$AE$56,MATCH($E82&amp;$F82,'Malaria-Equipment &amp; Other HPs'!$E$42:$E$56&amp;'Malaria-Equipment &amp; Other HPs'!$I$42:$I$56,0)),0)</f>
        <v>0</v>
      </c>
      <c r="BC82" s="625">
        <f t="shared" si="102"/>
        <v>0</v>
      </c>
      <c r="BD82" s="626">
        <f t="shared" si="103"/>
        <v>0</v>
      </c>
      <c r="BE82" s="626">
        <f t="shared" si="104"/>
        <v>0</v>
      </c>
      <c r="BF82" s="625">
        <f t="array" ref="BF82">IFERROR(INDEX('Malaria-Equipment &amp; Other HPs'!$AF$42:$AF$56,MATCH($E82&amp;$F82,'Malaria-Equipment &amp; Other HPs'!$E$42:$E$56&amp;'Malaria-Equipment &amp; Other HPs'!$I$42:$I$56,0)),0)</f>
        <v>0</v>
      </c>
      <c r="BG82" s="625">
        <f t="shared" si="105"/>
        <v>0</v>
      </c>
      <c r="BH82" s="626">
        <f t="shared" si="106"/>
        <v>0</v>
      </c>
      <c r="BI82" s="626">
        <f t="shared" si="107"/>
        <v>0</v>
      </c>
      <c r="BJ82" s="630"/>
      <c r="BK82" s="625"/>
      <c r="BL82" s="625"/>
      <c r="BM82" s="625"/>
      <c r="BN82" s="625"/>
      <c r="BO82" s="625"/>
      <c r="BP82" s="625"/>
      <c r="BQ82" s="625"/>
      <c r="BR82" s="625"/>
      <c r="BT82" s="21" t="s">
        <v>6819</v>
      </c>
    </row>
    <row r="83" spans="1:72">
      <c r="A83" s="29" t="s">
        <v>1238</v>
      </c>
      <c r="B83" s="29" t="s">
        <v>1548</v>
      </c>
      <c r="C83" s="626">
        <f>SETUP!$F$53</f>
        <v>0</v>
      </c>
      <c r="D83" s="25">
        <v>5.4</v>
      </c>
      <c r="E83" s="26" t="s">
        <v>1170</v>
      </c>
      <c r="F83" s="26" t="s">
        <v>416</v>
      </c>
      <c r="G83" s="625" t="str">
        <f t="array" ref="G83">IFERROR(INDEX('Malaria-Equipment &amp; Other HPs'!$L$42:$L$56,MATCH($E83&amp;$F83,'Malaria-Equipment &amp; Other HPs'!$E$42:$E$56&amp;'Malaria-Equipment &amp; Other HPs'!$I$42:$I$56,0)),"")</f>
        <v/>
      </c>
      <c r="H83" s="625" t="str">
        <f t="array" ref="H83">IFERROR(INDEX('Malaria-Equipment &amp; Other HPs'!$M$42:$M$56,MATCH($E83&amp;$F83,'Malaria-Equipment &amp; Other HPs'!$E$42:$E$56&amp;'Malaria-Equipment &amp; Other HPs'!$I$42:$I$56,0)),"")</f>
        <v/>
      </c>
      <c r="I83" s="625">
        <f t="array" ref="I83">IFERROR(INDEX('Malaria-Equipment &amp; Other HPs'!$N$42:$N$56,MATCH($E83&amp;$F83,'Malaria-Equipment &amp; Other HPs'!$E$42:$E$56&amp;'Malaria-Equipment &amp; Other HPs'!$I$42:$I$56,0)),0)</f>
        <v>0</v>
      </c>
      <c r="J83" s="625">
        <f t="array" ref="J83">IFERROR(INDEX('Malaria-Equipment &amp; Other HPs'!$O$42:$O$56,MATCH($E83&amp;$F83,'Malaria-Equipment &amp; Other HPs'!$E$42:$E$56&amp;'Malaria-Equipment &amp; Other HPs'!$I$42:$I$56,0)),0)</f>
        <v>0</v>
      </c>
      <c r="K83" s="626">
        <f t="shared" si="72"/>
        <v>0</v>
      </c>
      <c r="L83" s="626">
        <f t="shared" si="73"/>
        <v>0</v>
      </c>
      <c r="M83" s="626">
        <f t="shared" si="74"/>
        <v>0</v>
      </c>
      <c r="N83" s="625">
        <f t="array" ref="N83">IFERROR(INDEX('Malaria-Equipment &amp; Other HPs'!$P$42:$P$56,MATCH($E83&amp;$F83,'Malaria-Equipment &amp; Other HPs'!$E$42:$E$56&amp;'Malaria-Equipment &amp; Other HPs'!$I$42:$I$56,0)),0)</f>
        <v>0</v>
      </c>
      <c r="O83" s="626">
        <f t="shared" si="75"/>
        <v>0</v>
      </c>
      <c r="P83" s="626">
        <f t="shared" si="76"/>
        <v>0</v>
      </c>
      <c r="Q83" s="626">
        <f t="shared" si="77"/>
        <v>0</v>
      </c>
      <c r="R83" s="625">
        <f t="array" ref="R83">IFERROR(INDEX('Malaria-Equipment &amp; Other HPs'!$Q$42:$Q$56,MATCH($E83&amp;$F83,'Malaria-Equipment &amp; Other HPs'!$E$42:$E$56&amp;'Malaria-Equipment &amp; Other HPs'!$I$42:$I$56,0)),0)</f>
        <v>0</v>
      </c>
      <c r="S83" s="626">
        <f t="shared" si="78"/>
        <v>0</v>
      </c>
      <c r="T83" s="626">
        <f t="shared" si="79"/>
        <v>0</v>
      </c>
      <c r="U83" s="626">
        <f t="shared" si="80"/>
        <v>0</v>
      </c>
      <c r="V83" s="625">
        <f t="array" ref="V83">IFERROR(INDEX('Malaria-Equipment &amp; Other HPs'!$R$42:$R$56,MATCH($E83&amp;$F83,'Malaria-Equipment &amp; Other HPs'!$E$42:$E$56&amp;'Malaria-Equipment &amp; Other HPs'!$I$42:$I$56,0)),0)</f>
        <v>0</v>
      </c>
      <c r="W83" s="626">
        <f t="shared" si="81"/>
        <v>0</v>
      </c>
      <c r="X83" s="626">
        <f t="shared" si="82"/>
        <v>0</v>
      </c>
      <c r="Y83" s="626">
        <f t="shared" si="83"/>
        <v>0</v>
      </c>
      <c r="Z83" s="630"/>
      <c r="AA83" s="625">
        <f t="array" ref="AA83">IFERROR(INDEX('Malaria-Equipment &amp; Other HPs'!$U$42:$U$56,MATCH($E83&amp;$F83,'Malaria-Equipment &amp; Other HPs'!$E$42:$E$56&amp;'Malaria-Equipment &amp; Other HPs'!$I$42:$I$56,0)),0)</f>
        <v>0</v>
      </c>
      <c r="AB83" s="625">
        <f t="array" ref="AB83">IFERROR(INDEX('Malaria-Equipment &amp; Other HPs'!$V$42:$V$56,MATCH($E83&amp;$F83,'Malaria-Equipment &amp; Other HPs'!$E$42:$E$56&amp;'Malaria-Equipment &amp; Other HPs'!$I$42:$I$56,0)),0)</f>
        <v>0</v>
      </c>
      <c r="AC83" s="625">
        <f t="shared" si="84"/>
        <v>0</v>
      </c>
      <c r="AD83" s="626">
        <f t="shared" si="85"/>
        <v>0</v>
      </c>
      <c r="AE83" s="626">
        <f t="shared" si="86"/>
        <v>0</v>
      </c>
      <c r="AF83" s="625">
        <f t="array" ref="AF83">IFERROR(INDEX('Malaria-Equipment &amp; Other HPs'!$W$42:$W$56,MATCH($E83&amp;$F83,'Malaria-Equipment &amp; Other HPs'!$E$42:$E$56&amp;'Malaria-Equipment &amp; Other HPs'!$I$42:$I$56,0)),0)</f>
        <v>0</v>
      </c>
      <c r="AG83" s="625">
        <f t="shared" si="87"/>
        <v>0</v>
      </c>
      <c r="AH83" s="626">
        <f t="shared" si="88"/>
        <v>0</v>
      </c>
      <c r="AI83" s="626">
        <f t="shared" si="89"/>
        <v>0</v>
      </c>
      <c r="AJ83" s="625">
        <f t="array" ref="AJ83">IFERROR(INDEX('Malaria-Equipment &amp; Other HPs'!$X$42:$X$56,MATCH($E83&amp;$F83,'Malaria-Equipment &amp; Other HPs'!$E$42:$E$56&amp;'Malaria-Equipment &amp; Other HPs'!$I$42:$I$56,0)),0)</f>
        <v>0</v>
      </c>
      <c r="AK83" s="625">
        <f t="shared" si="90"/>
        <v>0</v>
      </c>
      <c r="AL83" s="626">
        <f t="shared" si="91"/>
        <v>0</v>
      </c>
      <c r="AM83" s="626">
        <f t="shared" si="92"/>
        <v>0</v>
      </c>
      <c r="AN83" s="625">
        <f t="array" ref="AN83">IFERROR(INDEX('Malaria-Equipment &amp; Other HPs'!$Y$42:$Y$56,MATCH($E83&amp;$F83,'Malaria-Equipment &amp; Other HPs'!$E$42:$E$56&amp;'Malaria-Equipment &amp; Other HPs'!$I$42:$I$56,0)),0)</f>
        <v>0</v>
      </c>
      <c r="AO83" s="625">
        <f t="shared" si="93"/>
        <v>0</v>
      </c>
      <c r="AP83" s="626">
        <f t="shared" si="94"/>
        <v>0</v>
      </c>
      <c r="AQ83" s="626">
        <f t="shared" si="95"/>
        <v>0</v>
      </c>
      <c r="AR83" s="630"/>
      <c r="AS83" s="625">
        <f t="array" ref="AS83">IFERROR(INDEX('Malaria-Equipment &amp; Other HPs'!$AB$42:$AB$56,MATCH($E83&amp;$F83,'Malaria-Equipment &amp; Other HPs'!$E$42:$E$56&amp;'Malaria-Equipment &amp; Other HPs'!$I$42:$I$56,0)),0)</f>
        <v>0</v>
      </c>
      <c r="AT83" s="625">
        <f t="array" ref="AT83">IFERROR(INDEX('Malaria-Equipment &amp; Other HPs'!$AC$42:$AC$56,MATCH($E83&amp;$F83,'Malaria-Equipment &amp; Other HPs'!$E$42:$E$56&amp;'Malaria-Equipment &amp; Other HPs'!$I$42:$I$56,0)),0)</f>
        <v>0</v>
      </c>
      <c r="AU83" s="625">
        <f t="shared" si="96"/>
        <v>0</v>
      </c>
      <c r="AV83" s="626">
        <f t="shared" si="97"/>
        <v>0</v>
      </c>
      <c r="AW83" s="626">
        <f t="shared" si="98"/>
        <v>0</v>
      </c>
      <c r="AX83" s="625">
        <f t="array" ref="AX83">IFERROR(INDEX('Malaria-Equipment &amp; Other HPs'!$AD$42:$AD$56,MATCH($E83&amp;$F83,'Malaria-Equipment &amp; Other HPs'!$E$42:$E$56&amp;'Malaria-Equipment &amp; Other HPs'!$I$42:$I$56,0)),0)</f>
        <v>0</v>
      </c>
      <c r="AY83" s="625">
        <f t="shared" si="99"/>
        <v>0</v>
      </c>
      <c r="AZ83" s="626">
        <f t="shared" si="100"/>
        <v>0</v>
      </c>
      <c r="BA83" s="626">
        <f t="shared" si="101"/>
        <v>0</v>
      </c>
      <c r="BB83" s="625">
        <f t="array" ref="BB83">IFERROR(INDEX('Malaria-Equipment &amp; Other HPs'!$AE$42:$AE$56,MATCH($E83&amp;$F83,'Malaria-Equipment &amp; Other HPs'!$E$42:$E$56&amp;'Malaria-Equipment &amp; Other HPs'!$I$42:$I$56,0)),0)</f>
        <v>0</v>
      </c>
      <c r="BC83" s="625">
        <f t="shared" si="102"/>
        <v>0</v>
      </c>
      <c r="BD83" s="626">
        <f t="shared" si="103"/>
        <v>0</v>
      </c>
      <c r="BE83" s="626">
        <f t="shared" si="104"/>
        <v>0</v>
      </c>
      <c r="BF83" s="625">
        <f t="array" ref="BF83">IFERROR(INDEX('Malaria-Equipment &amp; Other HPs'!$AF$42:$AF$56,MATCH($E83&amp;$F83,'Malaria-Equipment &amp; Other HPs'!$E$42:$E$56&amp;'Malaria-Equipment &amp; Other HPs'!$I$42:$I$56,0)),0)</f>
        <v>0</v>
      </c>
      <c r="BG83" s="625">
        <f t="shared" si="105"/>
        <v>0</v>
      </c>
      <c r="BH83" s="626">
        <f t="shared" si="106"/>
        <v>0</v>
      </c>
      <c r="BI83" s="626">
        <f t="shared" si="107"/>
        <v>0</v>
      </c>
      <c r="BJ83" s="630"/>
      <c r="BK83" s="625"/>
      <c r="BL83" s="625"/>
      <c r="BM83" s="625"/>
      <c r="BN83" s="625"/>
      <c r="BO83" s="625"/>
      <c r="BP83" s="625"/>
      <c r="BQ83" s="625"/>
      <c r="BR83" s="625"/>
      <c r="BT83" s="21" t="s">
        <v>6819</v>
      </c>
    </row>
    <row r="84" spans="1:72">
      <c r="A84" s="29" t="s">
        <v>1238</v>
      </c>
      <c r="B84" s="29" t="s">
        <v>1548</v>
      </c>
      <c r="C84" s="626">
        <f>SETUP!$F$53</f>
        <v>0</v>
      </c>
      <c r="D84" s="25">
        <v>5.4</v>
      </c>
      <c r="E84" s="26" t="s">
        <v>1170</v>
      </c>
      <c r="F84" s="26" t="s">
        <v>1175</v>
      </c>
      <c r="G84" s="625" t="str">
        <f t="array" ref="G84">IFERROR(INDEX('Malaria-Equipment &amp; Other HPs'!$L$42:$L$56,MATCH($E84&amp;$F84,'Malaria-Equipment &amp; Other HPs'!$E$42:$E$56&amp;'Malaria-Equipment &amp; Other HPs'!$I$42:$I$56,0)),"")</f>
        <v/>
      </c>
      <c r="H84" s="625" t="str">
        <f t="array" ref="H84">IFERROR(INDEX('Malaria-Equipment &amp; Other HPs'!$M$42:$M$56,MATCH($E84&amp;$F84,'Malaria-Equipment &amp; Other HPs'!$E$42:$E$56&amp;'Malaria-Equipment &amp; Other HPs'!$I$42:$I$56,0)),"")</f>
        <v/>
      </c>
      <c r="I84" s="625">
        <f t="array" ref="I84">IFERROR(INDEX('Malaria-Equipment &amp; Other HPs'!$N$42:$N$56,MATCH($E84&amp;$F84,'Malaria-Equipment &amp; Other HPs'!$E$42:$E$56&amp;'Malaria-Equipment &amp; Other HPs'!$I$42:$I$56,0)),0)</f>
        <v>0</v>
      </c>
      <c r="J84" s="625">
        <f t="array" ref="J84">IFERROR(INDEX('Malaria-Equipment &amp; Other HPs'!$O$42:$O$56,MATCH($E84&amp;$F84,'Malaria-Equipment &amp; Other HPs'!$E$42:$E$56&amp;'Malaria-Equipment &amp; Other HPs'!$I$42:$I$56,0)),0)</f>
        <v>0</v>
      </c>
      <c r="K84" s="626">
        <f t="shared" si="72"/>
        <v>0</v>
      </c>
      <c r="L84" s="626">
        <f t="shared" si="73"/>
        <v>0</v>
      </c>
      <c r="M84" s="626">
        <f t="shared" si="74"/>
        <v>0</v>
      </c>
      <c r="N84" s="625">
        <f t="array" ref="N84">IFERROR(INDEX('Malaria-Equipment &amp; Other HPs'!$P$42:$P$56,MATCH($E84&amp;$F84,'Malaria-Equipment &amp; Other HPs'!$E$42:$E$56&amp;'Malaria-Equipment &amp; Other HPs'!$I$42:$I$56,0)),0)</f>
        <v>0</v>
      </c>
      <c r="O84" s="626">
        <f t="shared" si="75"/>
        <v>0</v>
      </c>
      <c r="P84" s="626">
        <f t="shared" si="76"/>
        <v>0</v>
      </c>
      <c r="Q84" s="626">
        <f t="shared" si="77"/>
        <v>0</v>
      </c>
      <c r="R84" s="625">
        <f t="array" ref="R84">IFERROR(INDEX('Malaria-Equipment &amp; Other HPs'!$Q$42:$Q$56,MATCH($E84&amp;$F84,'Malaria-Equipment &amp; Other HPs'!$E$42:$E$56&amp;'Malaria-Equipment &amp; Other HPs'!$I$42:$I$56,0)),0)</f>
        <v>0</v>
      </c>
      <c r="S84" s="626">
        <f t="shared" si="78"/>
        <v>0</v>
      </c>
      <c r="T84" s="626">
        <f t="shared" si="79"/>
        <v>0</v>
      </c>
      <c r="U84" s="626">
        <f t="shared" si="80"/>
        <v>0</v>
      </c>
      <c r="V84" s="625">
        <f t="array" ref="V84">IFERROR(INDEX('Malaria-Equipment &amp; Other HPs'!$R$42:$R$56,MATCH($E84&amp;$F84,'Malaria-Equipment &amp; Other HPs'!$E$42:$E$56&amp;'Malaria-Equipment &amp; Other HPs'!$I$42:$I$56,0)),0)</f>
        <v>0</v>
      </c>
      <c r="W84" s="626">
        <f t="shared" si="81"/>
        <v>0</v>
      </c>
      <c r="X84" s="626">
        <f t="shared" si="82"/>
        <v>0</v>
      </c>
      <c r="Y84" s="626">
        <f t="shared" si="83"/>
        <v>0</v>
      </c>
      <c r="Z84" s="630"/>
      <c r="AA84" s="625">
        <f t="array" ref="AA84">IFERROR(INDEX('Malaria-Equipment &amp; Other HPs'!$U$42:$U$56,MATCH($E84&amp;$F84,'Malaria-Equipment &amp; Other HPs'!$E$42:$E$56&amp;'Malaria-Equipment &amp; Other HPs'!$I$42:$I$56,0)),0)</f>
        <v>0</v>
      </c>
      <c r="AB84" s="625">
        <f t="array" ref="AB84">IFERROR(INDEX('Malaria-Equipment &amp; Other HPs'!$V$42:$V$56,MATCH($E84&amp;$F84,'Malaria-Equipment &amp; Other HPs'!$E$42:$E$56&amp;'Malaria-Equipment &amp; Other HPs'!$I$42:$I$56,0)),0)</f>
        <v>0</v>
      </c>
      <c r="AC84" s="625">
        <f t="shared" si="84"/>
        <v>0</v>
      </c>
      <c r="AD84" s="626">
        <f t="shared" si="85"/>
        <v>0</v>
      </c>
      <c r="AE84" s="626">
        <f t="shared" si="86"/>
        <v>0</v>
      </c>
      <c r="AF84" s="625">
        <f t="array" ref="AF84">IFERROR(INDEX('Malaria-Equipment &amp; Other HPs'!$W$42:$W$56,MATCH($E84&amp;$F84,'Malaria-Equipment &amp; Other HPs'!$E$42:$E$56&amp;'Malaria-Equipment &amp; Other HPs'!$I$42:$I$56,0)),0)</f>
        <v>0</v>
      </c>
      <c r="AG84" s="625">
        <f t="shared" si="87"/>
        <v>0</v>
      </c>
      <c r="AH84" s="626">
        <f t="shared" si="88"/>
        <v>0</v>
      </c>
      <c r="AI84" s="626">
        <f t="shared" si="89"/>
        <v>0</v>
      </c>
      <c r="AJ84" s="625">
        <f t="array" ref="AJ84">IFERROR(INDEX('Malaria-Equipment &amp; Other HPs'!$X$42:$X$56,MATCH($E84&amp;$F84,'Malaria-Equipment &amp; Other HPs'!$E$42:$E$56&amp;'Malaria-Equipment &amp; Other HPs'!$I$42:$I$56,0)),0)</f>
        <v>0</v>
      </c>
      <c r="AK84" s="625">
        <f t="shared" si="90"/>
        <v>0</v>
      </c>
      <c r="AL84" s="626">
        <f t="shared" si="91"/>
        <v>0</v>
      </c>
      <c r="AM84" s="626">
        <f t="shared" si="92"/>
        <v>0</v>
      </c>
      <c r="AN84" s="625">
        <f t="array" ref="AN84">IFERROR(INDEX('Malaria-Equipment &amp; Other HPs'!$Y$42:$Y$56,MATCH($E84&amp;$F84,'Malaria-Equipment &amp; Other HPs'!$E$42:$E$56&amp;'Malaria-Equipment &amp; Other HPs'!$I$42:$I$56,0)),0)</f>
        <v>0</v>
      </c>
      <c r="AO84" s="625">
        <f t="shared" si="93"/>
        <v>0</v>
      </c>
      <c r="AP84" s="626">
        <f t="shared" si="94"/>
        <v>0</v>
      </c>
      <c r="AQ84" s="626">
        <f t="shared" si="95"/>
        <v>0</v>
      </c>
      <c r="AR84" s="630"/>
      <c r="AS84" s="625">
        <f t="array" ref="AS84">IFERROR(INDEX('Malaria-Equipment &amp; Other HPs'!$AB$42:$AB$56,MATCH($E84&amp;$F84,'Malaria-Equipment &amp; Other HPs'!$E$42:$E$56&amp;'Malaria-Equipment &amp; Other HPs'!$I$42:$I$56,0)),0)</f>
        <v>0</v>
      </c>
      <c r="AT84" s="625">
        <f t="array" ref="AT84">IFERROR(INDEX('Malaria-Equipment &amp; Other HPs'!$AC$42:$AC$56,MATCH($E84&amp;$F84,'Malaria-Equipment &amp; Other HPs'!$E$42:$E$56&amp;'Malaria-Equipment &amp; Other HPs'!$I$42:$I$56,0)),0)</f>
        <v>0</v>
      </c>
      <c r="AU84" s="625">
        <f t="shared" si="96"/>
        <v>0</v>
      </c>
      <c r="AV84" s="626">
        <f t="shared" si="97"/>
        <v>0</v>
      </c>
      <c r="AW84" s="626">
        <f t="shared" si="98"/>
        <v>0</v>
      </c>
      <c r="AX84" s="625">
        <f t="array" ref="AX84">IFERROR(INDEX('Malaria-Equipment &amp; Other HPs'!$AD$42:$AD$56,MATCH($E84&amp;$F84,'Malaria-Equipment &amp; Other HPs'!$E$42:$E$56&amp;'Malaria-Equipment &amp; Other HPs'!$I$42:$I$56,0)),0)</f>
        <v>0</v>
      </c>
      <c r="AY84" s="625">
        <f t="shared" si="99"/>
        <v>0</v>
      </c>
      <c r="AZ84" s="626">
        <f t="shared" si="100"/>
        <v>0</v>
      </c>
      <c r="BA84" s="626">
        <f t="shared" si="101"/>
        <v>0</v>
      </c>
      <c r="BB84" s="625">
        <f t="array" ref="BB84">IFERROR(INDEX('Malaria-Equipment &amp; Other HPs'!$AE$42:$AE$56,MATCH($E84&amp;$F84,'Malaria-Equipment &amp; Other HPs'!$E$42:$E$56&amp;'Malaria-Equipment &amp; Other HPs'!$I$42:$I$56,0)),0)</f>
        <v>0</v>
      </c>
      <c r="BC84" s="625">
        <f t="shared" si="102"/>
        <v>0</v>
      </c>
      <c r="BD84" s="626">
        <f t="shared" si="103"/>
        <v>0</v>
      </c>
      <c r="BE84" s="626">
        <f t="shared" si="104"/>
        <v>0</v>
      </c>
      <c r="BF84" s="625">
        <f t="array" ref="BF84">IFERROR(INDEX('Malaria-Equipment &amp; Other HPs'!$AF$42:$AF$56,MATCH($E84&amp;$F84,'Malaria-Equipment &amp; Other HPs'!$E$42:$E$56&amp;'Malaria-Equipment &amp; Other HPs'!$I$42:$I$56,0)),0)</f>
        <v>0</v>
      </c>
      <c r="BG84" s="625">
        <f t="shared" si="105"/>
        <v>0</v>
      </c>
      <c r="BH84" s="626">
        <f t="shared" si="106"/>
        <v>0</v>
      </c>
      <c r="BI84" s="626">
        <f t="shared" si="107"/>
        <v>0</v>
      </c>
      <c r="BJ84" s="630"/>
      <c r="BK84" s="625"/>
      <c r="BL84" s="625"/>
      <c r="BM84" s="625"/>
      <c r="BN84" s="625"/>
      <c r="BO84" s="625"/>
      <c r="BP84" s="625"/>
      <c r="BQ84" s="625"/>
      <c r="BR84" s="625"/>
      <c r="BT84" s="21" t="s">
        <v>6819</v>
      </c>
    </row>
    <row r="85" spans="1:72">
      <c r="A85" s="29" t="s">
        <v>1238</v>
      </c>
      <c r="B85" s="29" t="s">
        <v>1548</v>
      </c>
      <c r="C85" s="626">
        <f>SETUP!$F$53</f>
        <v>0</v>
      </c>
      <c r="D85" s="25">
        <v>5.4</v>
      </c>
      <c r="E85" s="26" t="s">
        <v>1170</v>
      </c>
      <c r="F85" s="26" t="s">
        <v>1140</v>
      </c>
      <c r="G85" s="625" t="str">
        <f t="array" ref="G85">IFERROR(INDEX('Malaria-Equipment &amp; Other HPs'!$L$42:$L$56,MATCH($E85&amp;$F85,'Malaria-Equipment &amp; Other HPs'!$E$42:$E$56&amp;'Malaria-Equipment &amp; Other HPs'!$I$42:$I$56,0)),"")</f>
        <v/>
      </c>
      <c r="H85" s="625" t="str">
        <f t="array" ref="H85">IFERROR(INDEX('Malaria-Equipment &amp; Other HPs'!$M$42:$M$56,MATCH($E85&amp;$F85,'Malaria-Equipment &amp; Other HPs'!$E$42:$E$56&amp;'Malaria-Equipment &amp; Other HPs'!$I$42:$I$56,0)),"")</f>
        <v/>
      </c>
      <c r="I85" s="625">
        <f t="array" ref="I85">IFERROR(INDEX('Malaria-Equipment &amp; Other HPs'!$N$42:$N$56,MATCH($E85&amp;$F85,'Malaria-Equipment &amp; Other HPs'!$E$42:$E$56&amp;'Malaria-Equipment &amp; Other HPs'!$I$42:$I$56,0)),0)</f>
        <v>0</v>
      </c>
      <c r="J85" s="625">
        <f t="array" ref="J85">IFERROR(INDEX('Malaria-Equipment &amp; Other HPs'!$O$42:$O$56,MATCH($E85&amp;$F85,'Malaria-Equipment &amp; Other HPs'!$E$42:$E$56&amp;'Malaria-Equipment &amp; Other HPs'!$I$42:$I$56,0)),0)</f>
        <v>0</v>
      </c>
      <c r="K85" s="626">
        <f t="shared" si="72"/>
        <v>0</v>
      </c>
      <c r="L85" s="626">
        <f t="shared" si="73"/>
        <v>0</v>
      </c>
      <c r="M85" s="626">
        <f t="shared" si="74"/>
        <v>0</v>
      </c>
      <c r="N85" s="625">
        <f t="array" ref="N85">IFERROR(INDEX('Malaria-Equipment &amp; Other HPs'!$P$42:$P$56,MATCH($E85&amp;$F85,'Malaria-Equipment &amp; Other HPs'!$E$42:$E$56&amp;'Malaria-Equipment &amp; Other HPs'!$I$42:$I$56,0)),0)</f>
        <v>0</v>
      </c>
      <c r="O85" s="626">
        <f t="shared" si="75"/>
        <v>0</v>
      </c>
      <c r="P85" s="626">
        <f t="shared" si="76"/>
        <v>0</v>
      </c>
      <c r="Q85" s="626">
        <f t="shared" si="77"/>
        <v>0</v>
      </c>
      <c r="R85" s="625">
        <f t="array" ref="R85">IFERROR(INDEX('Malaria-Equipment &amp; Other HPs'!$Q$42:$Q$56,MATCH($E85&amp;$F85,'Malaria-Equipment &amp; Other HPs'!$E$42:$E$56&amp;'Malaria-Equipment &amp; Other HPs'!$I$42:$I$56,0)),0)</f>
        <v>0</v>
      </c>
      <c r="S85" s="626">
        <f t="shared" si="78"/>
        <v>0</v>
      </c>
      <c r="T85" s="626">
        <f t="shared" si="79"/>
        <v>0</v>
      </c>
      <c r="U85" s="626">
        <f t="shared" si="80"/>
        <v>0</v>
      </c>
      <c r="V85" s="625">
        <f t="array" ref="V85">IFERROR(INDEX('Malaria-Equipment &amp; Other HPs'!$R$42:$R$56,MATCH($E85&amp;$F85,'Malaria-Equipment &amp; Other HPs'!$E$42:$E$56&amp;'Malaria-Equipment &amp; Other HPs'!$I$42:$I$56,0)),0)</f>
        <v>0</v>
      </c>
      <c r="W85" s="626">
        <f t="shared" si="81"/>
        <v>0</v>
      </c>
      <c r="X85" s="626">
        <f t="shared" si="82"/>
        <v>0</v>
      </c>
      <c r="Y85" s="626">
        <f t="shared" si="83"/>
        <v>0</v>
      </c>
      <c r="Z85" s="630"/>
      <c r="AA85" s="625">
        <f t="array" ref="AA85">IFERROR(INDEX('Malaria-Equipment &amp; Other HPs'!$U$42:$U$56,MATCH($E85&amp;$F85,'Malaria-Equipment &amp; Other HPs'!$E$42:$E$56&amp;'Malaria-Equipment &amp; Other HPs'!$I$42:$I$56,0)),0)</f>
        <v>0</v>
      </c>
      <c r="AB85" s="625">
        <f t="array" ref="AB85">IFERROR(INDEX('Malaria-Equipment &amp; Other HPs'!$V$42:$V$56,MATCH($E85&amp;$F85,'Malaria-Equipment &amp; Other HPs'!$E$42:$E$56&amp;'Malaria-Equipment &amp; Other HPs'!$I$42:$I$56,0)),0)</f>
        <v>0</v>
      </c>
      <c r="AC85" s="625">
        <f t="shared" si="84"/>
        <v>0</v>
      </c>
      <c r="AD85" s="626">
        <f t="shared" si="85"/>
        <v>0</v>
      </c>
      <c r="AE85" s="626">
        <f t="shared" si="86"/>
        <v>0</v>
      </c>
      <c r="AF85" s="625">
        <f t="array" ref="AF85">IFERROR(INDEX('Malaria-Equipment &amp; Other HPs'!$W$42:$W$56,MATCH($E85&amp;$F85,'Malaria-Equipment &amp; Other HPs'!$E$42:$E$56&amp;'Malaria-Equipment &amp; Other HPs'!$I$42:$I$56,0)),0)</f>
        <v>0</v>
      </c>
      <c r="AG85" s="625">
        <f t="shared" si="87"/>
        <v>0</v>
      </c>
      <c r="AH85" s="626">
        <f t="shared" si="88"/>
        <v>0</v>
      </c>
      <c r="AI85" s="626">
        <f t="shared" si="89"/>
        <v>0</v>
      </c>
      <c r="AJ85" s="625">
        <f t="array" ref="AJ85">IFERROR(INDEX('Malaria-Equipment &amp; Other HPs'!$X$42:$X$56,MATCH($E85&amp;$F85,'Malaria-Equipment &amp; Other HPs'!$E$42:$E$56&amp;'Malaria-Equipment &amp; Other HPs'!$I$42:$I$56,0)),0)</f>
        <v>0</v>
      </c>
      <c r="AK85" s="625">
        <f t="shared" si="90"/>
        <v>0</v>
      </c>
      <c r="AL85" s="626">
        <f t="shared" si="91"/>
        <v>0</v>
      </c>
      <c r="AM85" s="626">
        <f t="shared" si="92"/>
        <v>0</v>
      </c>
      <c r="AN85" s="625">
        <f t="array" ref="AN85">IFERROR(INDEX('Malaria-Equipment &amp; Other HPs'!$Y$42:$Y$56,MATCH($E85&amp;$F85,'Malaria-Equipment &amp; Other HPs'!$E$42:$E$56&amp;'Malaria-Equipment &amp; Other HPs'!$I$42:$I$56,0)),0)</f>
        <v>0</v>
      </c>
      <c r="AO85" s="625">
        <f t="shared" si="93"/>
        <v>0</v>
      </c>
      <c r="AP85" s="626">
        <f t="shared" si="94"/>
        <v>0</v>
      </c>
      <c r="AQ85" s="626">
        <f t="shared" si="95"/>
        <v>0</v>
      </c>
      <c r="AR85" s="630"/>
      <c r="AS85" s="625">
        <f t="array" ref="AS85">IFERROR(INDEX('Malaria-Equipment &amp; Other HPs'!$AB$42:$AB$56,MATCH($E85&amp;$F85,'Malaria-Equipment &amp; Other HPs'!$E$42:$E$56&amp;'Malaria-Equipment &amp; Other HPs'!$I$42:$I$56,0)),0)</f>
        <v>0</v>
      </c>
      <c r="AT85" s="625">
        <f t="array" ref="AT85">IFERROR(INDEX('Malaria-Equipment &amp; Other HPs'!$AC$42:$AC$56,MATCH($E85&amp;$F85,'Malaria-Equipment &amp; Other HPs'!$E$42:$E$56&amp;'Malaria-Equipment &amp; Other HPs'!$I$42:$I$56,0)),0)</f>
        <v>0</v>
      </c>
      <c r="AU85" s="625">
        <f t="shared" si="96"/>
        <v>0</v>
      </c>
      <c r="AV85" s="626">
        <f t="shared" si="97"/>
        <v>0</v>
      </c>
      <c r="AW85" s="626">
        <f t="shared" si="98"/>
        <v>0</v>
      </c>
      <c r="AX85" s="625">
        <f t="array" ref="AX85">IFERROR(INDEX('Malaria-Equipment &amp; Other HPs'!$AD$42:$AD$56,MATCH($E85&amp;$F85,'Malaria-Equipment &amp; Other HPs'!$E$42:$E$56&amp;'Malaria-Equipment &amp; Other HPs'!$I$42:$I$56,0)),0)</f>
        <v>0</v>
      </c>
      <c r="AY85" s="625">
        <f t="shared" si="99"/>
        <v>0</v>
      </c>
      <c r="AZ85" s="626">
        <f t="shared" si="100"/>
        <v>0</v>
      </c>
      <c r="BA85" s="626">
        <f t="shared" si="101"/>
        <v>0</v>
      </c>
      <c r="BB85" s="625">
        <f t="array" ref="BB85">IFERROR(INDEX('Malaria-Equipment &amp; Other HPs'!$AE$42:$AE$56,MATCH($E85&amp;$F85,'Malaria-Equipment &amp; Other HPs'!$E$42:$E$56&amp;'Malaria-Equipment &amp; Other HPs'!$I$42:$I$56,0)),0)</f>
        <v>0</v>
      </c>
      <c r="BC85" s="625">
        <f t="shared" si="102"/>
        <v>0</v>
      </c>
      <c r="BD85" s="626">
        <f t="shared" si="103"/>
        <v>0</v>
      </c>
      <c r="BE85" s="626">
        <f t="shared" si="104"/>
        <v>0</v>
      </c>
      <c r="BF85" s="625">
        <f t="array" ref="BF85">IFERROR(INDEX('Malaria-Equipment &amp; Other HPs'!$AF$42:$AF$56,MATCH($E85&amp;$F85,'Malaria-Equipment &amp; Other HPs'!$E$42:$E$56&amp;'Malaria-Equipment &amp; Other HPs'!$I$42:$I$56,0)),0)</f>
        <v>0</v>
      </c>
      <c r="BG85" s="625">
        <f t="shared" si="105"/>
        <v>0</v>
      </c>
      <c r="BH85" s="626">
        <f t="shared" si="106"/>
        <v>0</v>
      </c>
      <c r="BI85" s="626">
        <f t="shared" si="107"/>
        <v>0</v>
      </c>
      <c r="BJ85" s="630"/>
      <c r="BK85" s="625"/>
      <c r="BL85" s="625"/>
      <c r="BM85" s="625"/>
      <c r="BN85" s="625"/>
      <c r="BO85" s="625"/>
      <c r="BP85" s="625"/>
      <c r="BQ85" s="625"/>
      <c r="BR85" s="625"/>
      <c r="BT85" s="21" t="s">
        <v>6819</v>
      </c>
    </row>
    <row r="86" spans="1:72">
      <c r="G86" s="633"/>
      <c r="H86" s="633"/>
      <c r="BT86" s="21" t="s">
        <v>857</v>
      </c>
    </row>
    <row r="87" spans="1:72">
      <c r="A87" s="2567" t="s">
        <v>1549</v>
      </c>
      <c r="B87" s="2567"/>
      <c r="C87" s="2567"/>
      <c r="D87" s="2567"/>
      <c r="E87" s="2567"/>
      <c r="F87" s="2567"/>
      <c r="G87" s="628"/>
      <c r="H87" s="628"/>
      <c r="I87" s="628"/>
      <c r="J87" s="628"/>
      <c r="K87" s="628"/>
      <c r="L87" s="628"/>
      <c r="M87" s="628"/>
      <c r="N87" s="628"/>
      <c r="O87" s="628"/>
      <c r="P87" s="628"/>
      <c r="Q87" s="628"/>
      <c r="R87" s="628"/>
      <c r="S87" s="628"/>
      <c r="T87" s="628"/>
      <c r="U87" s="628"/>
      <c r="V87" s="628"/>
      <c r="W87" s="628"/>
      <c r="X87" s="628"/>
      <c r="Y87" s="628"/>
      <c r="Z87" s="628"/>
      <c r="AA87" s="628"/>
      <c r="AB87" s="628"/>
      <c r="AC87" s="628"/>
      <c r="AD87" s="628"/>
      <c r="AE87" s="628"/>
      <c r="AF87" s="628"/>
      <c r="AG87" s="628"/>
      <c r="AH87" s="628"/>
      <c r="AI87" s="628"/>
      <c r="AJ87" s="628"/>
      <c r="AK87" s="628"/>
      <c r="AL87" s="628"/>
      <c r="AM87" s="628"/>
      <c r="AN87" s="628"/>
      <c r="AO87" s="628"/>
      <c r="AP87" s="628"/>
      <c r="AQ87" s="628"/>
      <c r="AR87" s="628"/>
      <c r="AS87" s="628"/>
      <c r="AT87" s="628"/>
      <c r="AU87" s="628"/>
      <c r="AV87" s="628"/>
      <c r="AW87" s="628"/>
      <c r="AX87" s="628"/>
      <c r="AY87" s="628"/>
      <c r="AZ87" s="628"/>
      <c r="BA87" s="628"/>
      <c r="BB87" s="628"/>
      <c r="BC87" s="628"/>
      <c r="BD87" s="628"/>
      <c r="BE87" s="628"/>
      <c r="BF87" s="628"/>
      <c r="BG87" s="628"/>
      <c r="BH87" s="628"/>
      <c r="BI87" s="628"/>
      <c r="BJ87" s="628"/>
      <c r="BK87" s="628"/>
      <c r="BL87" s="628"/>
      <c r="BM87" s="628"/>
      <c r="BN87" s="628"/>
      <c r="BO87" s="628"/>
      <c r="BP87" s="628"/>
      <c r="BQ87" s="628"/>
      <c r="BR87" s="628"/>
      <c r="BT87" s="21" t="s">
        <v>857</v>
      </c>
    </row>
    <row r="88" spans="1:72">
      <c r="A88" s="24" t="s">
        <v>1545</v>
      </c>
      <c r="B88" s="24" t="s">
        <v>203</v>
      </c>
      <c r="C88" s="672" t="s">
        <v>459</v>
      </c>
      <c r="D88" s="24" t="s">
        <v>460</v>
      </c>
      <c r="E88" s="24" t="s">
        <v>461</v>
      </c>
      <c r="F88" s="24" t="s">
        <v>214</v>
      </c>
      <c r="G88" s="632" t="s">
        <v>462</v>
      </c>
      <c r="H88" s="632" t="s">
        <v>49</v>
      </c>
      <c r="I88" s="632" t="s">
        <v>463</v>
      </c>
      <c r="J88" s="632" t="s">
        <v>464</v>
      </c>
      <c r="K88" s="632" t="s">
        <v>465</v>
      </c>
      <c r="L88" s="725" t="s">
        <v>466</v>
      </c>
      <c r="M88" s="725" t="s">
        <v>467</v>
      </c>
      <c r="N88" s="632" t="s">
        <v>468</v>
      </c>
      <c r="O88" s="632" t="s">
        <v>469</v>
      </c>
      <c r="P88" s="725" t="s">
        <v>470</v>
      </c>
      <c r="Q88" s="725" t="s">
        <v>471</v>
      </c>
      <c r="R88" s="632" t="s">
        <v>472</v>
      </c>
      <c r="S88" s="632" t="s">
        <v>473</v>
      </c>
      <c r="T88" s="725" t="s">
        <v>474</v>
      </c>
      <c r="U88" s="725" t="s">
        <v>475</v>
      </c>
      <c r="V88" s="632" t="s">
        <v>476</v>
      </c>
      <c r="W88" s="632" t="s">
        <v>477</v>
      </c>
      <c r="X88" s="725" t="s">
        <v>478</v>
      </c>
      <c r="Y88" s="725" t="s">
        <v>479</v>
      </c>
      <c r="Z88" s="624"/>
      <c r="AA88" s="632" t="s">
        <v>480</v>
      </c>
      <c r="AB88" s="632" t="s">
        <v>481</v>
      </c>
      <c r="AC88" s="632" t="s">
        <v>482</v>
      </c>
      <c r="AD88" s="725" t="s">
        <v>483</v>
      </c>
      <c r="AE88" s="725" t="s">
        <v>484</v>
      </c>
      <c r="AF88" s="632" t="s">
        <v>485</v>
      </c>
      <c r="AG88" s="632" t="s">
        <v>486</v>
      </c>
      <c r="AH88" s="725" t="s">
        <v>487</v>
      </c>
      <c r="AI88" s="725" t="s">
        <v>488</v>
      </c>
      <c r="AJ88" s="632" t="s">
        <v>489</v>
      </c>
      <c r="AK88" s="632" t="s">
        <v>490</v>
      </c>
      <c r="AL88" s="725" t="s">
        <v>491</v>
      </c>
      <c r="AM88" s="725" t="s">
        <v>492</v>
      </c>
      <c r="AN88" s="632" t="s">
        <v>493</v>
      </c>
      <c r="AO88" s="632" t="s">
        <v>494</v>
      </c>
      <c r="AP88" s="725" t="s">
        <v>495</v>
      </c>
      <c r="AQ88" s="725" t="s">
        <v>496</v>
      </c>
      <c r="AR88" s="624"/>
      <c r="AS88" s="632" t="s">
        <v>497</v>
      </c>
      <c r="AT88" s="632" t="s">
        <v>498</v>
      </c>
      <c r="AU88" s="632" t="s">
        <v>499</v>
      </c>
      <c r="AV88" s="725" t="s">
        <v>500</v>
      </c>
      <c r="AW88" s="725" t="s">
        <v>501</v>
      </c>
      <c r="AX88" s="632" t="s">
        <v>502</v>
      </c>
      <c r="AY88" s="632" t="s">
        <v>503</v>
      </c>
      <c r="AZ88" s="725" t="s">
        <v>504</v>
      </c>
      <c r="BA88" s="725" t="s">
        <v>505</v>
      </c>
      <c r="BB88" s="632" t="s">
        <v>506</v>
      </c>
      <c r="BC88" s="632" t="s">
        <v>507</v>
      </c>
      <c r="BD88" s="725" t="s">
        <v>508</v>
      </c>
      <c r="BE88" s="725" t="s">
        <v>509</v>
      </c>
      <c r="BF88" s="632" t="s">
        <v>510</v>
      </c>
      <c r="BG88" s="632" t="s">
        <v>511</v>
      </c>
      <c r="BH88" s="725" t="s">
        <v>512</v>
      </c>
      <c r="BI88" s="725" t="s">
        <v>513</v>
      </c>
      <c r="BJ88" s="624"/>
      <c r="BK88" s="725" t="s">
        <v>514</v>
      </c>
      <c r="BL88" s="725" t="s">
        <v>515</v>
      </c>
      <c r="BM88" s="725" t="s">
        <v>516</v>
      </c>
      <c r="BN88" s="725" t="s">
        <v>517</v>
      </c>
      <c r="BO88" s="725" t="s">
        <v>518</v>
      </c>
      <c r="BP88" s="725" t="s">
        <v>519</v>
      </c>
      <c r="BQ88" s="725" t="s">
        <v>520</v>
      </c>
      <c r="BR88" s="725" t="s">
        <v>521</v>
      </c>
      <c r="BT88" s="21" t="s">
        <v>6799</v>
      </c>
    </row>
    <row r="89" spans="1:72">
      <c r="A89" s="29" t="s">
        <v>1241</v>
      </c>
      <c r="B89" s="29" t="s">
        <v>1549</v>
      </c>
      <c r="C89" s="626">
        <f>SETUP!$F$54</f>
        <v>0</v>
      </c>
      <c r="D89" s="25">
        <v>5.0999999999999996</v>
      </c>
      <c r="E89" s="26" t="s">
        <v>581</v>
      </c>
      <c r="F89" s="26" t="s">
        <v>838</v>
      </c>
      <c r="G89" s="625" t="str">
        <f t="array" ref="G89">IFERROR(INDEX('Malaria-Equipment &amp; Other HPs'!$L$64:$L$122,MATCH($E89&amp;$F89,'Malaria-Equipment &amp; Other HPs'!$E$64:$E$122&amp;'Malaria-Equipment &amp; Other HPs'!$I$64:$I$122,0)),"")</f>
        <v/>
      </c>
      <c r="H89" s="625" t="str">
        <f t="array" ref="H89">IFERROR(INDEX('Malaria-Equipment &amp; Other HPs'!$M$64:$M$122,MATCH($E89&amp;$F89,'Malaria-Equipment &amp; Other HPs'!$E$64:$E$122&amp;'Malaria-Equipment &amp; Other HPs'!$I$64:$I$122,0)),"")</f>
        <v/>
      </c>
      <c r="I89" s="625">
        <f t="array" ref="I89">IFERROR(INDEX('Malaria-Equipment &amp; Other HPs'!$N$64:$N$122,MATCH($E89&amp;$F89,'Malaria-Equipment &amp; Other HPs'!$E$64:$E$122&amp;'Malaria-Equipment &amp; Other HPs'!$I$64:$I$122,0)),0)</f>
        <v>0</v>
      </c>
      <c r="J89" s="625">
        <f t="array" ref="J89">IFERROR(INDEX('Malaria-Equipment &amp; Other HPs'!$O$64:$O$122,MATCH($E89&amp;$F89,'Malaria-Equipment &amp; Other HPs'!$E$64:$E$122&amp;'Malaria-Equipment &amp; Other HPs'!$I$64:$I$122,0)),0)</f>
        <v>0</v>
      </c>
      <c r="K89" s="626">
        <f>IF(ISERROR($I89*J89),0,$I89*J89)</f>
        <v>0</v>
      </c>
      <c r="L89" s="626">
        <f>IF(C89="Upfront",J89,0)</f>
        <v>0</v>
      </c>
      <c r="M89" s="626">
        <f>IF(C89="Upfront",K89,0)</f>
        <v>0</v>
      </c>
      <c r="N89" s="625">
        <f t="array" ref="N89">IFERROR(INDEX('Malaria-Equipment &amp; Other HPs'!$P$64:$P$122,MATCH($E89&amp;$F89,'Malaria-Equipment &amp; Other HPs'!$E$64:$E$122&amp;'Malaria-Equipment &amp; Other HPs'!$I$64:$I$122,0)),0)</f>
        <v>0</v>
      </c>
      <c r="O89" s="626">
        <f>IF(ISERROR($I89*N89),0,$I89*N89)</f>
        <v>0</v>
      </c>
      <c r="P89" s="626">
        <f>IF(C89="Upfront",N89,0)</f>
        <v>0</v>
      </c>
      <c r="Q89" s="626">
        <f>IF(C89="Upfront",O89,0)</f>
        <v>0</v>
      </c>
      <c r="R89" s="625">
        <f t="array" ref="R89">IFERROR(INDEX('Malaria-Equipment &amp; Other HPs'!$Q$64:$Q$122,MATCH($E89&amp;$F89,'Malaria-Equipment &amp; Other HPs'!$E$64:$E$122&amp;'Malaria-Equipment &amp; Other HPs'!$I$64:$I$122,0)),0)</f>
        <v>0</v>
      </c>
      <c r="S89" s="626">
        <f>IF(ISERROR($I89*R89),0,$I89*R89)</f>
        <v>0</v>
      </c>
      <c r="T89" s="626">
        <f>IF(C89="Upfront",R89,IF(C89="At delivery",J89,0))</f>
        <v>0</v>
      </c>
      <c r="U89" s="626">
        <f>IF(C89="Upfront",S89,IF(C89="At delivery",K89,0))</f>
        <v>0</v>
      </c>
      <c r="V89" s="625">
        <f t="array" ref="V89">IFERROR(INDEX('Malaria-Equipment &amp; Other HPs'!$R$64:$R$122,MATCH($E89&amp;$F89,'Malaria-Equipment &amp; Other HPs'!$E$64:$E$122&amp;'Malaria-Equipment &amp; Other HPs'!$I$64:$I$122,0)),0)</f>
        <v>0</v>
      </c>
      <c r="W89" s="626">
        <f>IF(ISERROR($I89*V89),0,$I89*V89)</f>
        <v>0</v>
      </c>
      <c r="X89" s="626">
        <f>IF(C89="Upfront",V89,IF(C89="At delivery",N89,0))</f>
        <v>0</v>
      </c>
      <c r="Y89" s="626">
        <f>IF(C89="Upfront",W89,IF(C89="At delivery",O89,0))</f>
        <v>0</v>
      </c>
      <c r="Z89" s="630"/>
      <c r="AA89" s="625">
        <f t="array" ref="AA89">IFERROR(INDEX('Malaria-Equipment &amp; Other HPs'!$U$64:$U$122,MATCH($E89&amp;$F89,'Malaria-Equipment &amp; Other HPs'!$E$64:$E$122&amp;'Malaria-Equipment &amp; Other HPs'!$I$64:$I$122,0)),0)</f>
        <v>0</v>
      </c>
      <c r="AB89" s="625">
        <f t="array" ref="AB89">IFERROR(INDEX('Malaria-Equipment &amp; Other HPs'!$V$64:$V$122,MATCH($E89&amp;$F89,'Malaria-Equipment &amp; Other HPs'!$E$64:$E$122&amp;'Malaria-Equipment &amp; Other HPs'!$I$64:$I$122,0)),0)</f>
        <v>0</v>
      </c>
      <c r="AC89" s="625">
        <f>IF(ISERROR($AA89*AB89),0,$AA89*AB89)</f>
        <v>0</v>
      </c>
      <c r="AD89" s="626">
        <f>IF(C89="Upfront",AB89,IF(C89="At delivery",R89,0))</f>
        <v>0</v>
      </c>
      <c r="AE89" s="626">
        <f>IF(C89="Upfront",AC89,IF(C89="At delivery",S89,0))</f>
        <v>0</v>
      </c>
      <c r="AF89" s="625">
        <f t="array" ref="AF89">IFERROR(INDEX('Malaria-Equipment &amp; Other HPs'!$W$64:$W$122,MATCH($E89&amp;$F89,'Malaria-Equipment &amp; Other HPs'!$E$64:$E$122&amp;'Malaria-Equipment &amp; Other HPs'!$I$64:$I$122,0)),0)</f>
        <v>0</v>
      </c>
      <c r="AG89" s="625">
        <f>IF(ISERROR($AA89*AF89),0,$AA89*AF89)</f>
        <v>0</v>
      </c>
      <c r="AH89" s="626">
        <f>IF(C89="Upfront",AF89,IF(C89="At delivery",V89,0))</f>
        <v>0</v>
      </c>
      <c r="AI89" s="626">
        <f>IF(C89="Upfront",AG89,IF(C89="At delivery",W89,0))</f>
        <v>0</v>
      </c>
      <c r="AJ89" s="625">
        <f t="array" ref="AJ89">IFERROR(INDEX('Malaria-Equipment &amp; Other HPs'!$X$64:$X$122,MATCH($E89&amp;$F89,'Malaria-Equipment &amp; Other HPs'!$E$64:$E$122&amp;'Malaria-Equipment &amp; Other HPs'!$I$64:$I$122,0)),0)</f>
        <v>0</v>
      </c>
      <c r="AK89" s="625">
        <f>IF(ISERROR($AA89*AJ89),0,$AA89*AJ89)</f>
        <v>0</v>
      </c>
      <c r="AL89" s="626">
        <f>IF(C89="Upfront",AJ89,IF(C89="At delivery",AB89,0))</f>
        <v>0</v>
      </c>
      <c r="AM89" s="626">
        <f>IF(C89="Upfront",AK89,IF(C89="At delivery",AC89,0))</f>
        <v>0</v>
      </c>
      <c r="AN89" s="625">
        <f t="array" ref="AN89">IFERROR(INDEX('Malaria-Equipment &amp; Other HPs'!$Y$64:$Y$122,MATCH($E89&amp;$F89,'Malaria-Equipment &amp; Other HPs'!$E$64:$E$122&amp;'Malaria-Equipment &amp; Other HPs'!$I$64:$I$122,0)),0)</f>
        <v>0</v>
      </c>
      <c r="AO89" s="625">
        <f>IF(ISERROR($AA89*AN89),0,$AA89*AN89)</f>
        <v>0</v>
      </c>
      <c r="AP89" s="626">
        <f>IF(C89="Upfront",AN89,IF(C89="At delivery",AF89,0))</f>
        <v>0</v>
      </c>
      <c r="AQ89" s="626">
        <f>IF(C89="Upfront",AO89,IF(C89="At delivery",AG89,0))</f>
        <v>0</v>
      </c>
      <c r="AR89" s="630"/>
      <c r="AS89" s="625">
        <f t="array" ref="AS89">IFERROR(INDEX('Malaria-Equipment &amp; Other HPs'!$AB$64:$AB$122,MATCH($E89&amp;$F89,'Malaria-Equipment &amp; Other HPs'!$E$64:$E$122&amp;'Malaria-Equipment &amp; Other HPs'!$I$64:$I$122,0)),0)</f>
        <v>0</v>
      </c>
      <c r="AT89" s="625">
        <f t="array" ref="AT89">IFERROR(INDEX('Malaria-Equipment &amp; Other HPs'!$AC$64:$AC$122,MATCH($E89&amp;$F89,'Malaria-Equipment &amp; Other HPs'!$E$64:$E$122&amp;'Malaria-Equipment &amp; Other HPs'!$I$64:$I$122,0)),0)</f>
        <v>0</v>
      </c>
      <c r="AU89" s="625">
        <f>IF(ISERROR($AS89*AT89),0,$AS89*AT89)</f>
        <v>0</v>
      </c>
      <c r="AV89" s="626">
        <f>IF(C89="Upfront",AT89,IF(C89="At delivery",AJ89,0))</f>
        <v>0</v>
      </c>
      <c r="AW89" s="626">
        <f>IF(C89="Upfront",AU89,IF(C89="At delivery",AK89,0))</f>
        <v>0</v>
      </c>
      <c r="AX89" s="625">
        <f t="array" ref="AX89">IFERROR(INDEX('Malaria-Equipment &amp; Other HPs'!$AD$64:$AD$122,MATCH($E89&amp;$F89,'Malaria-Equipment &amp; Other HPs'!$E$64:$E$122&amp;'Malaria-Equipment &amp; Other HPs'!$I$64:$I$122,0)),0)</f>
        <v>0</v>
      </c>
      <c r="AY89" s="625">
        <f>IF(ISERROR($AS89*AX89),0,$AS89*AX89)</f>
        <v>0</v>
      </c>
      <c r="AZ89" s="626">
        <f>IF(C89="Upfront",AX89,IF(C89="At delivery",AN89,0))</f>
        <v>0</v>
      </c>
      <c r="BA89" s="626">
        <f>IF(C89="Upfront",AY89,IF(C89="At delivery",AO89,0))</f>
        <v>0</v>
      </c>
      <c r="BB89" s="625">
        <f t="array" ref="BB89">IFERROR(INDEX('Malaria-Equipment &amp; Other HPs'!$AE$64:$AE$122,MATCH($E89&amp;$F89,'Malaria-Equipment &amp; Other HPs'!$E$64:$E$122&amp;'Malaria-Equipment &amp; Other HPs'!$I$64:$I$122,0)),0)</f>
        <v>0</v>
      </c>
      <c r="BC89" s="625">
        <f>IF(ISERROR($AS89*BB89),0,$AS89*BB89)</f>
        <v>0</v>
      </c>
      <c r="BD89" s="626">
        <f>IF(C89="Upfront",BB89,IF(C89="At delivery",AT89,0))</f>
        <v>0</v>
      </c>
      <c r="BE89" s="626">
        <f>IF(C89="Upfront",BC89,IF(C89="At delivery",AU89,0))</f>
        <v>0</v>
      </c>
      <c r="BF89" s="625">
        <f t="array" ref="BF89">IFERROR(INDEX('Malaria-Equipment &amp; Other HPs'!$AF$64:$AF$122,MATCH($E89&amp;$F89,'Malaria-Equipment &amp; Other HPs'!$E$64:$E$122&amp;'Malaria-Equipment &amp; Other HPs'!$I$64:$I$122,0)),0)</f>
        <v>0</v>
      </c>
      <c r="BG89" s="625">
        <f>IF(ISERROR($AS89*BF89),0,$AS89*BF89)</f>
        <v>0</v>
      </c>
      <c r="BH89" s="626">
        <f>IF(C89="Upfront",BF89,IF(C89="At delivery",AX89,0))</f>
        <v>0</v>
      </c>
      <c r="BI89" s="626">
        <f>IF(C89="Upfront",BG89,IF(C89="At delivery",AY89,0))</f>
        <v>0</v>
      </c>
      <c r="BJ89" s="630"/>
      <c r="BK89" s="625"/>
      <c r="BL89" s="625"/>
      <c r="BM89" s="625"/>
      <c r="BN89" s="625"/>
      <c r="BO89" s="625"/>
      <c r="BP89" s="625"/>
      <c r="BQ89" s="625"/>
      <c r="BR89" s="625"/>
      <c r="BT89" s="21" t="s">
        <v>6820</v>
      </c>
    </row>
    <row r="90" spans="1:72">
      <c r="A90" s="29" t="s">
        <v>1241</v>
      </c>
      <c r="B90" s="29" t="s">
        <v>1549</v>
      </c>
      <c r="C90" s="626">
        <f>SETUP!$F$54</f>
        <v>0</v>
      </c>
      <c r="D90" s="25">
        <v>5.0999999999999996</v>
      </c>
      <c r="E90" s="26" t="s">
        <v>581</v>
      </c>
      <c r="F90" s="26" t="s">
        <v>839</v>
      </c>
      <c r="G90" s="625" t="str">
        <f t="array" ref="G90">IFERROR(INDEX('Malaria-Equipment &amp; Other HPs'!$L$64:$L$122,MATCH($E90&amp;$F90,'Malaria-Equipment &amp; Other HPs'!$E$64:$E$122&amp;'Malaria-Equipment &amp; Other HPs'!$I$64:$I$122,0)),"")</f>
        <v/>
      </c>
      <c r="H90" s="625" t="str">
        <f t="array" ref="H90">IFERROR(INDEX('Malaria-Equipment &amp; Other HPs'!$M$64:$M$122,MATCH($E90&amp;$F90,'Malaria-Equipment &amp; Other HPs'!$E$64:$E$122&amp;'Malaria-Equipment &amp; Other HPs'!$I$64:$I$122,0)),"")</f>
        <v/>
      </c>
      <c r="I90" s="625">
        <f t="array" ref="I90">IFERROR(INDEX('Malaria-Equipment &amp; Other HPs'!$N$64:$N$122,MATCH($E90&amp;$F90,'Malaria-Equipment &amp; Other HPs'!$E$64:$E$122&amp;'Malaria-Equipment &amp; Other HPs'!$I$64:$I$122,0)),0)</f>
        <v>0</v>
      </c>
      <c r="J90" s="625">
        <f t="array" ref="J90">IFERROR(INDEX('Malaria-Equipment &amp; Other HPs'!$O$64:$O$122,MATCH($E90&amp;$F90,'Malaria-Equipment &amp; Other HPs'!$E$64:$E$122&amp;'Malaria-Equipment &amp; Other HPs'!$I$64:$I$122,0)),0)</f>
        <v>0</v>
      </c>
      <c r="K90" s="626">
        <f t="shared" ref="K90:K153" si="108">IF(ISERROR($I90*J90),0,$I90*J90)</f>
        <v>0</v>
      </c>
      <c r="L90" s="626">
        <f t="shared" ref="L90:L153" si="109">IF(C90="Upfront",J90,0)</f>
        <v>0</v>
      </c>
      <c r="M90" s="626">
        <f t="shared" ref="M90:M153" si="110">IF(C90="Upfront",K90,0)</f>
        <v>0</v>
      </c>
      <c r="N90" s="625">
        <f t="array" ref="N90">IFERROR(INDEX('Malaria-Equipment &amp; Other HPs'!$P$64:$P$122,MATCH($E90&amp;$F90,'Malaria-Equipment &amp; Other HPs'!$E$64:$E$122&amp;'Malaria-Equipment &amp; Other HPs'!$I$64:$I$122,0)),0)</f>
        <v>0</v>
      </c>
      <c r="O90" s="626">
        <f t="shared" ref="O90:O153" si="111">IF(ISERROR($I90*N90),0,$I90*N90)</f>
        <v>0</v>
      </c>
      <c r="P90" s="626">
        <f t="shared" ref="P90:P153" si="112">IF(C90="Upfront",N90,0)</f>
        <v>0</v>
      </c>
      <c r="Q90" s="626">
        <f t="shared" ref="Q90:Q153" si="113">IF(C90="Upfront",O90,0)</f>
        <v>0</v>
      </c>
      <c r="R90" s="625">
        <f t="array" ref="R90">IFERROR(INDEX('Malaria-Equipment &amp; Other HPs'!$Q$64:$Q$122,MATCH($E90&amp;$F90,'Malaria-Equipment &amp; Other HPs'!$E$64:$E$122&amp;'Malaria-Equipment &amp; Other HPs'!$I$64:$I$122,0)),0)</f>
        <v>0</v>
      </c>
      <c r="S90" s="626">
        <f t="shared" ref="S90:S153" si="114">IF(ISERROR($I90*R90),0,$I90*R90)</f>
        <v>0</v>
      </c>
      <c r="T90" s="626">
        <f t="shared" ref="T90:T153" si="115">IF(C90="Upfront",R90,IF(C90="At delivery",J90,0))</f>
        <v>0</v>
      </c>
      <c r="U90" s="626">
        <f t="shared" ref="U90:U153" si="116">IF(C90="Upfront",S90,IF(C90="At delivery",K90,0))</f>
        <v>0</v>
      </c>
      <c r="V90" s="625">
        <f t="array" ref="V90">IFERROR(INDEX('Malaria-Equipment &amp; Other HPs'!$R$64:$R$122,MATCH($E90&amp;$F90,'Malaria-Equipment &amp; Other HPs'!$E$64:$E$122&amp;'Malaria-Equipment &amp; Other HPs'!$I$64:$I$122,0)),0)</f>
        <v>0</v>
      </c>
      <c r="W90" s="626">
        <f t="shared" ref="W90:W153" si="117">IF(ISERROR($I90*V90),0,$I90*V90)</f>
        <v>0</v>
      </c>
      <c r="X90" s="626">
        <f t="shared" ref="X90:X153" si="118">IF(C90="Upfront",V90,IF(C90="At delivery",N90,0))</f>
        <v>0</v>
      </c>
      <c r="Y90" s="626">
        <f t="shared" ref="Y90:Y153" si="119">IF(C90="Upfront",W90,IF(C90="At delivery",O90,0))</f>
        <v>0</v>
      </c>
      <c r="Z90" s="630"/>
      <c r="AA90" s="625">
        <f t="array" ref="AA90">IFERROR(INDEX('Malaria-Equipment &amp; Other HPs'!$U$64:$U$122,MATCH($E90&amp;$F90,'Malaria-Equipment &amp; Other HPs'!$E$64:$E$122&amp;'Malaria-Equipment &amp; Other HPs'!$I$64:$I$122,0)),0)</f>
        <v>0</v>
      </c>
      <c r="AB90" s="625">
        <f t="array" ref="AB90">IFERROR(INDEX('Malaria-Equipment &amp; Other HPs'!$V$64:$V$122,MATCH($E90&amp;$F90,'Malaria-Equipment &amp; Other HPs'!$E$64:$E$122&amp;'Malaria-Equipment &amp; Other HPs'!$I$64:$I$122,0)),0)</f>
        <v>0</v>
      </c>
      <c r="AC90" s="625">
        <f t="shared" ref="AC90:AC153" si="120">IF(ISERROR($AA90*AB90),0,$AA90*AB90)</f>
        <v>0</v>
      </c>
      <c r="AD90" s="626">
        <f t="shared" ref="AD90:AD153" si="121">IF(C90="Upfront",AB90,IF(C90="At delivery",R90,0))</f>
        <v>0</v>
      </c>
      <c r="AE90" s="626">
        <f t="shared" ref="AE90:AE153" si="122">IF(C90="Upfront",AC90,IF(C90="At delivery",S90,0))</f>
        <v>0</v>
      </c>
      <c r="AF90" s="625">
        <f t="array" ref="AF90">IFERROR(INDEX('Malaria-Equipment &amp; Other HPs'!$W$64:$W$122,MATCH($E90&amp;$F90,'Malaria-Equipment &amp; Other HPs'!$E$64:$E$122&amp;'Malaria-Equipment &amp; Other HPs'!$I$64:$I$122,0)),0)</f>
        <v>0</v>
      </c>
      <c r="AG90" s="625">
        <f t="shared" ref="AG90:AG153" si="123">IF(ISERROR($AA90*AF90),0,$AA90*AF90)</f>
        <v>0</v>
      </c>
      <c r="AH90" s="626">
        <f t="shared" ref="AH90:AH153" si="124">IF(C90="Upfront",AF90,IF(C90="At delivery",V90,0))</f>
        <v>0</v>
      </c>
      <c r="AI90" s="626">
        <f t="shared" ref="AI90:AI153" si="125">IF(C90="Upfront",AG90,IF(C90="At delivery",W90,0))</f>
        <v>0</v>
      </c>
      <c r="AJ90" s="625">
        <f t="array" ref="AJ90">IFERROR(INDEX('Malaria-Equipment &amp; Other HPs'!$X$64:$X$122,MATCH($E90&amp;$F90,'Malaria-Equipment &amp; Other HPs'!$E$64:$E$122&amp;'Malaria-Equipment &amp; Other HPs'!$I$64:$I$122,0)),0)</f>
        <v>0</v>
      </c>
      <c r="AK90" s="625">
        <f t="shared" ref="AK90:AK153" si="126">IF(ISERROR($AA90*AJ90),0,$AA90*AJ90)</f>
        <v>0</v>
      </c>
      <c r="AL90" s="626">
        <f t="shared" ref="AL90:AL153" si="127">IF(C90="Upfront",AJ90,IF(C90="At delivery",AB90,0))</f>
        <v>0</v>
      </c>
      <c r="AM90" s="626">
        <f t="shared" ref="AM90:AM153" si="128">IF(C90="Upfront",AK90,IF(C90="At delivery",AC90,0))</f>
        <v>0</v>
      </c>
      <c r="AN90" s="625">
        <f t="array" ref="AN90">IFERROR(INDEX('Malaria-Equipment &amp; Other HPs'!$Y$64:$Y$122,MATCH($E90&amp;$F90,'Malaria-Equipment &amp; Other HPs'!$E$64:$E$122&amp;'Malaria-Equipment &amp; Other HPs'!$I$64:$I$122,0)),0)</f>
        <v>0</v>
      </c>
      <c r="AO90" s="625">
        <f t="shared" ref="AO90:AO153" si="129">IF(ISERROR($AA90*AN90),0,$AA90*AN90)</f>
        <v>0</v>
      </c>
      <c r="AP90" s="626">
        <f t="shared" ref="AP90:AP153" si="130">IF(C90="Upfront",AN90,IF(C90="At delivery",AF90,0))</f>
        <v>0</v>
      </c>
      <c r="AQ90" s="626">
        <f t="shared" ref="AQ90:AQ153" si="131">IF(C90="Upfront",AO90,IF(C90="At delivery",AG90,0))</f>
        <v>0</v>
      </c>
      <c r="AR90" s="630"/>
      <c r="AS90" s="625">
        <f t="array" ref="AS90">IFERROR(INDEX('Malaria-Equipment &amp; Other HPs'!$AB$64:$AB$122,MATCH($E90&amp;$F90,'Malaria-Equipment &amp; Other HPs'!$E$64:$E$122&amp;'Malaria-Equipment &amp; Other HPs'!$I$64:$I$122,0)),0)</f>
        <v>0</v>
      </c>
      <c r="AT90" s="625">
        <f t="array" ref="AT90">IFERROR(INDEX('Malaria-Equipment &amp; Other HPs'!$AC$64:$AC$122,MATCH($E90&amp;$F90,'Malaria-Equipment &amp; Other HPs'!$E$64:$E$122&amp;'Malaria-Equipment &amp; Other HPs'!$I$64:$I$122,0)),0)</f>
        <v>0</v>
      </c>
      <c r="AU90" s="625">
        <f t="shared" ref="AU90:AU153" si="132">IF(ISERROR($AS90*AT90),0,$AS90*AT90)</f>
        <v>0</v>
      </c>
      <c r="AV90" s="626">
        <f t="shared" ref="AV90:AV153" si="133">IF(C90="Upfront",AT90,IF(C90="At delivery",AJ90,0))</f>
        <v>0</v>
      </c>
      <c r="AW90" s="626">
        <f t="shared" ref="AW90:AW153" si="134">IF(C90="Upfront",AU90,IF(C90="At delivery",AK90,0))</f>
        <v>0</v>
      </c>
      <c r="AX90" s="625">
        <f t="array" ref="AX90">IFERROR(INDEX('Malaria-Equipment &amp; Other HPs'!$AD$64:$AD$122,MATCH($E90&amp;$F90,'Malaria-Equipment &amp; Other HPs'!$E$64:$E$122&amp;'Malaria-Equipment &amp; Other HPs'!$I$64:$I$122,0)),0)</f>
        <v>0</v>
      </c>
      <c r="AY90" s="625">
        <f t="shared" ref="AY90:AY153" si="135">IF(ISERROR($AS90*AX90),0,$AS90*AX90)</f>
        <v>0</v>
      </c>
      <c r="AZ90" s="626">
        <f t="shared" ref="AZ90:AZ153" si="136">IF(C90="Upfront",AX90,IF(C90="At delivery",AN90,0))</f>
        <v>0</v>
      </c>
      <c r="BA90" s="626">
        <f t="shared" ref="BA90:BA153" si="137">IF(C90="Upfront",AY90,IF(C90="At delivery",AO90,0))</f>
        <v>0</v>
      </c>
      <c r="BB90" s="625">
        <f t="array" ref="BB90">IFERROR(INDEX('Malaria-Equipment &amp; Other HPs'!$AE$64:$AE$122,MATCH($E90&amp;$F90,'Malaria-Equipment &amp; Other HPs'!$E$64:$E$122&amp;'Malaria-Equipment &amp; Other HPs'!$I$64:$I$122,0)),0)</f>
        <v>0</v>
      </c>
      <c r="BC90" s="625">
        <f t="shared" ref="BC90:BC153" si="138">IF(ISERROR($AS90*BB90),0,$AS90*BB90)</f>
        <v>0</v>
      </c>
      <c r="BD90" s="626">
        <f t="shared" ref="BD90:BD153" si="139">IF(C90="Upfront",BB90,IF(C90="At delivery",AT90,0))</f>
        <v>0</v>
      </c>
      <c r="BE90" s="626">
        <f t="shared" ref="BE90:BE153" si="140">IF(C90="Upfront",BC90,IF(C90="At delivery",AU90,0))</f>
        <v>0</v>
      </c>
      <c r="BF90" s="625">
        <f t="array" ref="BF90">IFERROR(INDEX('Malaria-Equipment &amp; Other HPs'!$AF$64:$AF$122,MATCH($E90&amp;$F90,'Malaria-Equipment &amp; Other HPs'!$E$64:$E$122&amp;'Malaria-Equipment &amp; Other HPs'!$I$64:$I$122,0)),0)</f>
        <v>0</v>
      </c>
      <c r="BG90" s="625">
        <f t="shared" ref="BG90:BG153" si="141">IF(ISERROR($AS90*BF90),0,$AS90*BF90)</f>
        <v>0</v>
      </c>
      <c r="BH90" s="626">
        <f t="shared" ref="BH90:BH153" si="142">IF(C90="Upfront",BF90,IF(C90="At delivery",AX90,0))</f>
        <v>0</v>
      </c>
      <c r="BI90" s="626">
        <f t="shared" ref="BI90:BI153" si="143">IF(C90="Upfront",BG90,IF(C90="At delivery",AY90,0))</f>
        <v>0</v>
      </c>
      <c r="BJ90" s="630"/>
      <c r="BK90" s="625"/>
      <c r="BL90" s="625"/>
      <c r="BM90" s="625"/>
      <c r="BN90" s="625"/>
      <c r="BO90" s="625"/>
      <c r="BP90" s="625"/>
      <c r="BQ90" s="625"/>
      <c r="BR90" s="625"/>
      <c r="BT90" s="21" t="s">
        <v>6820</v>
      </c>
    </row>
    <row r="91" spans="1:72">
      <c r="A91" s="29" t="s">
        <v>1241</v>
      </c>
      <c r="B91" s="29" t="s">
        <v>1549</v>
      </c>
      <c r="C91" s="626">
        <f>SETUP!$F$54</f>
        <v>0</v>
      </c>
      <c r="D91" s="25">
        <v>5.0999999999999996</v>
      </c>
      <c r="E91" s="26" t="s">
        <v>581</v>
      </c>
      <c r="F91" s="26" t="s">
        <v>840</v>
      </c>
      <c r="G91" s="625" t="str">
        <f t="array" ref="G91">IFERROR(INDEX('Malaria-Equipment &amp; Other HPs'!$L$64:$L$122,MATCH($E91&amp;$F91,'Malaria-Equipment &amp; Other HPs'!$E$64:$E$122&amp;'Malaria-Equipment &amp; Other HPs'!$I$64:$I$122,0)),"")</f>
        <v/>
      </c>
      <c r="H91" s="625" t="str">
        <f t="array" ref="H91">IFERROR(INDEX('Malaria-Equipment &amp; Other HPs'!$M$64:$M$122,MATCH($E91&amp;$F91,'Malaria-Equipment &amp; Other HPs'!$E$64:$E$122&amp;'Malaria-Equipment &amp; Other HPs'!$I$64:$I$122,0)),"")</f>
        <v/>
      </c>
      <c r="I91" s="625">
        <f t="array" ref="I91">IFERROR(INDEX('Malaria-Equipment &amp; Other HPs'!$N$64:$N$122,MATCH($E91&amp;$F91,'Malaria-Equipment &amp; Other HPs'!$E$64:$E$122&amp;'Malaria-Equipment &amp; Other HPs'!$I$64:$I$122,0)),0)</f>
        <v>0</v>
      </c>
      <c r="J91" s="625">
        <f t="array" ref="J91">IFERROR(INDEX('Malaria-Equipment &amp; Other HPs'!$O$64:$O$122,MATCH($E91&amp;$F91,'Malaria-Equipment &amp; Other HPs'!$E$64:$E$122&amp;'Malaria-Equipment &amp; Other HPs'!$I$64:$I$122,0)),0)</f>
        <v>0</v>
      </c>
      <c r="K91" s="626">
        <f t="shared" si="108"/>
        <v>0</v>
      </c>
      <c r="L91" s="626">
        <f t="shared" si="109"/>
        <v>0</v>
      </c>
      <c r="M91" s="626">
        <f t="shared" si="110"/>
        <v>0</v>
      </c>
      <c r="N91" s="625">
        <f t="array" ref="N91">IFERROR(INDEX('Malaria-Equipment &amp; Other HPs'!$P$64:$P$122,MATCH($E91&amp;$F91,'Malaria-Equipment &amp; Other HPs'!$E$64:$E$122&amp;'Malaria-Equipment &amp; Other HPs'!$I$64:$I$122,0)),0)</f>
        <v>0</v>
      </c>
      <c r="O91" s="626">
        <f t="shared" si="111"/>
        <v>0</v>
      </c>
      <c r="P91" s="626">
        <f t="shared" si="112"/>
        <v>0</v>
      </c>
      <c r="Q91" s="626">
        <f t="shared" si="113"/>
        <v>0</v>
      </c>
      <c r="R91" s="625">
        <f t="array" ref="R91">IFERROR(INDEX('Malaria-Equipment &amp; Other HPs'!$Q$64:$Q$122,MATCH($E91&amp;$F91,'Malaria-Equipment &amp; Other HPs'!$E$64:$E$122&amp;'Malaria-Equipment &amp; Other HPs'!$I$64:$I$122,0)),0)</f>
        <v>0</v>
      </c>
      <c r="S91" s="626">
        <f t="shared" si="114"/>
        <v>0</v>
      </c>
      <c r="T91" s="626">
        <f t="shared" si="115"/>
        <v>0</v>
      </c>
      <c r="U91" s="626">
        <f t="shared" si="116"/>
        <v>0</v>
      </c>
      <c r="V91" s="625">
        <f t="array" ref="V91">IFERROR(INDEX('Malaria-Equipment &amp; Other HPs'!$R$64:$R$122,MATCH($E91&amp;$F91,'Malaria-Equipment &amp; Other HPs'!$E$64:$E$122&amp;'Malaria-Equipment &amp; Other HPs'!$I$64:$I$122,0)),0)</f>
        <v>0</v>
      </c>
      <c r="W91" s="626">
        <f t="shared" si="117"/>
        <v>0</v>
      </c>
      <c r="X91" s="626">
        <f t="shared" si="118"/>
        <v>0</v>
      </c>
      <c r="Y91" s="626">
        <f t="shared" si="119"/>
        <v>0</v>
      </c>
      <c r="Z91" s="630"/>
      <c r="AA91" s="625">
        <f t="array" ref="AA91">IFERROR(INDEX('Malaria-Equipment &amp; Other HPs'!$U$64:$U$122,MATCH($E91&amp;$F91,'Malaria-Equipment &amp; Other HPs'!$E$64:$E$122&amp;'Malaria-Equipment &amp; Other HPs'!$I$64:$I$122,0)),0)</f>
        <v>0</v>
      </c>
      <c r="AB91" s="625">
        <f t="array" ref="AB91">IFERROR(INDEX('Malaria-Equipment &amp; Other HPs'!$V$64:$V$122,MATCH($E91&amp;$F91,'Malaria-Equipment &amp; Other HPs'!$E$64:$E$122&amp;'Malaria-Equipment &amp; Other HPs'!$I$64:$I$122,0)),0)</f>
        <v>0</v>
      </c>
      <c r="AC91" s="625">
        <f t="shared" si="120"/>
        <v>0</v>
      </c>
      <c r="AD91" s="626">
        <f t="shared" si="121"/>
        <v>0</v>
      </c>
      <c r="AE91" s="626">
        <f t="shared" si="122"/>
        <v>0</v>
      </c>
      <c r="AF91" s="625">
        <f t="array" ref="AF91">IFERROR(INDEX('Malaria-Equipment &amp; Other HPs'!$W$64:$W$122,MATCH($E91&amp;$F91,'Malaria-Equipment &amp; Other HPs'!$E$64:$E$122&amp;'Malaria-Equipment &amp; Other HPs'!$I$64:$I$122,0)),0)</f>
        <v>0</v>
      </c>
      <c r="AG91" s="625">
        <f t="shared" si="123"/>
        <v>0</v>
      </c>
      <c r="AH91" s="626">
        <f t="shared" si="124"/>
        <v>0</v>
      </c>
      <c r="AI91" s="626">
        <f t="shared" si="125"/>
        <v>0</v>
      </c>
      <c r="AJ91" s="625">
        <f t="array" ref="AJ91">IFERROR(INDEX('Malaria-Equipment &amp; Other HPs'!$X$64:$X$122,MATCH($E91&amp;$F91,'Malaria-Equipment &amp; Other HPs'!$E$64:$E$122&amp;'Malaria-Equipment &amp; Other HPs'!$I$64:$I$122,0)),0)</f>
        <v>0</v>
      </c>
      <c r="AK91" s="625">
        <f t="shared" si="126"/>
        <v>0</v>
      </c>
      <c r="AL91" s="626">
        <f t="shared" si="127"/>
        <v>0</v>
      </c>
      <c r="AM91" s="626">
        <f t="shared" si="128"/>
        <v>0</v>
      </c>
      <c r="AN91" s="625">
        <f t="array" ref="AN91">IFERROR(INDEX('Malaria-Equipment &amp; Other HPs'!$Y$64:$Y$122,MATCH($E91&amp;$F91,'Malaria-Equipment &amp; Other HPs'!$E$64:$E$122&amp;'Malaria-Equipment &amp; Other HPs'!$I$64:$I$122,0)),0)</f>
        <v>0</v>
      </c>
      <c r="AO91" s="625">
        <f t="shared" si="129"/>
        <v>0</v>
      </c>
      <c r="AP91" s="626">
        <f t="shared" si="130"/>
        <v>0</v>
      </c>
      <c r="AQ91" s="626">
        <f t="shared" si="131"/>
        <v>0</v>
      </c>
      <c r="AR91" s="630"/>
      <c r="AS91" s="625">
        <f t="array" ref="AS91">IFERROR(INDEX('Malaria-Equipment &amp; Other HPs'!$AB$64:$AB$122,MATCH($E91&amp;$F91,'Malaria-Equipment &amp; Other HPs'!$E$64:$E$122&amp;'Malaria-Equipment &amp; Other HPs'!$I$64:$I$122,0)),0)</f>
        <v>0</v>
      </c>
      <c r="AT91" s="625">
        <f t="array" ref="AT91">IFERROR(INDEX('Malaria-Equipment &amp; Other HPs'!$AC$64:$AC$122,MATCH($E91&amp;$F91,'Malaria-Equipment &amp; Other HPs'!$E$64:$E$122&amp;'Malaria-Equipment &amp; Other HPs'!$I$64:$I$122,0)),0)</f>
        <v>0</v>
      </c>
      <c r="AU91" s="625">
        <f t="shared" si="132"/>
        <v>0</v>
      </c>
      <c r="AV91" s="626">
        <f t="shared" si="133"/>
        <v>0</v>
      </c>
      <c r="AW91" s="626">
        <f t="shared" si="134"/>
        <v>0</v>
      </c>
      <c r="AX91" s="625">
        <f t="array" ref="AX91">IFERROR(INDEX('Malaria-Equipment &amp; Other HPs'!$AD$64:$AD$122,MATCH($E91&amp;$F91,'Malaria-Equipment &amp; Other HPs'!$E$64:$E$122&amp;'Malaria-Equipment &amp; Other HPs'!$I$64:$I$122,0)),0)</f>
        <v>0</v>
      </c>
      <c r="AY91" s="625">
        <f t="shared" si="135"/>
        <v>0</v>
      </c>
      <c r="AZ91" s="626">
        <f t="shared" si="136"/>
        <v>0</v>
      </c>
      <c r="BA91" s="626">
        <f t="shared" si="137"/>
        <v>0</v>
      </c>
      <c r="BB91" s="625">
        <f t="array" ref="BB91">IFERROR(INDEX('Malaria-Equipment &amp; Other HPs'!$AE$64:$AE$122,MATCH($E91&amp;$F91,'Malaria-Equipment &amp; Other HPs'!$E$64:$E$122&amp;'Malaria-Equipment &amp; Other HPs'!$I$64:$I$122,0)),0)</f>
        <v>0</v>
      </c>
      <c r="BC91" s="625">
        <f t="shared" si="138"/>
        <v>0</v>
      </c>
      <c r="BD91" s="626">
        <f t="shared" si="139"/>
        <v>0</v>
      </c>
      <c r="BE91" s="626">
        <f t="shared" si="140"/>
        <v>0</v>
      </c>
      <c r="BF91" s="625">
        <f t="array" ref="BF91">IFERROR(INDEX('Malaria-Equipment &amp; Other HPs'!$AF$64:$AF$122,MATCH($E91&amp;$F91,'Malaria-Equipment &amp; Other HPs'!$E$64:$E$122&amp;'Malaria-Equipment &amp; Other HPs'!$I$64:$I$122,0)),0)</f>
        <v>0</v>
      </c>
      <c r="BG91" s="625">
        <f t="shared" si="141"/>
        <v>0</v>
      </c>
      <c r="BH91" s="626">
        <f t="shared" si="142"/>
        <v>0</v>
      </c>
      <c r="BI91" s="626">
        <f t="shared" si="143"/>
        <v>0</v>
      </c>
      <c r="BJ91" s="630"/>
      <c r="BK91" s="625"/>
      <c r="BL91" s="625"/>
      <c r="BM91" s="625"/>
      <c r="BN91" s="625"/>
      <c r="BO91" s="625"/>
      <c r="BP91" s="625"/>
      <c r="BQ91" s="625"/>
      <c r="BR91" s="625"/>
      <c r="BT91" s="21" t="s">
        <v>6820</v>
      </c>
    </row>
    <row r="92" spans="1:72">
      <c r="A92" s="29" t="s">
        <v>1241</v>
      </c>
      <c r="B92" s="29" t="s">
        <v>1549</v>
      </c>
      <c r="C92" s="626">
        <f>SETUP!$F$54</f>
        <v>0</v>
      </c>
      <c r="D92" s="25">
        <v>5.0999999999999996</v>
      </c>
      <c r="E92" s="26" t="s">
        <v>581</v>
      </c>
      <c r="F92" s="26" t="s">
        <v>841</v>
      </c>
      <c r="G92" s="625" t="str">
        <f t="array" ref="G92">IFERROR(INDEX('Malaria-Equipment &amp; Other HPs'!$L$64:$L$122,MATCH($E92&amp;$F92,'Malaria-Equipment &amp; Other HPs'!$E$64:$E$122&amp;'Malaria-Equipment &amp; Other HPs'!$I$64:$I$122,0)),"")</f>
        <v/>
      </c>
      <c r="H92" s="625" t="str">
        <f t="array" ref="H92">IFERROR(INDEX('Malaria-Equipment &amp; Other HPs'!$M$64:$M$122,MATCH($E92&amp;$F92,'Malaria-Equipment &amp; Other HPs'!$E$64:$E$122&amp;'Malaria-Equipment &amp; Other HPs'!$I$64:$I$122,0)),"")</f>
        <v/>
      </c>
      <c r="I92" s="625">
        <f t="array" ref="I92">IFERROR(INDEX('Malaria-Equipment &amp; Other HPs'!$N$64:$N$122,MATCH($E92&amp;$F92,'Malaria-Equipment &amp; Other HPs'!$E$64:$E$122&amp;'Malaria-Equipment &amp; Other HPs'!$I$64:$I$122,0)),0)</f>
        <v>0</v>
      </c>
      <c r="J92" s="625">
        <f t="array" ref="J92">IFERROR(INDEX('Malaria-Equipment &amp; Other HPs'!$O$64:$O$122,MATCH($E92&amp;$F92,'Malaria-Equipment &amp; Other HPs'!$E$64:$E$122&amp;'Malaria-Equipment &amp; Other HPs'!$I$64:$I$122,0)),0)</f>
        <v>0</v>
      </c>
      <c r="K92" s="626">
        <f t="shared" si="108"/>
        <v>0</v>
      </c>
      <c r="L92" s="626">
        <f t="shared" si="109"/>
        <v>0</v>
      </c>
      <c r="M92" s="626">
        <f t="shared" si="110"/>
        <v>0</v>
      </c>
      <c r="N92" s="625">
        <f t="array" ref="N92">IFERROR(INDEX('Malaria-Equipment &amp; Other HPs'!$P$64:$P$122,MATCH($E92&amp;$F92,'Malaria-Equipment &amp; Other HPs'!$E$64:$E$122&amp;'Malaria-Equipment &amp; Other HPs'!$I$64:$I$122,0)),0)</f>
        <v>0</v>
      </c>
      <c r="O92" s="626">
        <f t="shared" si="111"/>
        <v>0</v>
      </c>
      <c r="P92" s="626">
        <f t="shared" si="112"/>
        <v>0</v>
      </c>
      <c r="Q92" s="626">
        <f t="shared" si="113"/>
        <v>0</v>
      </c>
      <c r="R92" s="625">
        <f t="array" ref="R92">IFERROR(INDEX('Malaria-Equipment &amp; Other HPs'!$Q$64:$Q$122,MATCH($E92&amp;$F92,'Malaria-Equipment &amp; Other HPs'!$E$64:$E$122&amp;'Malaria-Equipment &amp; Other HPs'!$I$64:$I$122,0)),0)</f>
        <v>0</v>
      </c>
      <c r="S92" s="626">
        <f t="shared" si="114"/>
        <v>0</v>
      </c>
      <c r="T92" s="626">
        <f t="shared" si="115"/>
        <v>0</v>
      </c>
      <c r="U92" s="626">
        <f t="shared" si="116"/>
        <v>0</v>
      </c>
      <c r="V92" s="625">
        <f t="array" ref="V92">IFERROR(INDEX('Malaria-Equipment &amp; Other HPs'!$R$64:$R$122,MATCH($E92&amp;$F92,'Malaria-Equipment &amp; Other HPs'!$E$64:$E$122&amp;'Malaria-Equipment &amp; Other HPs'!$I$64:$I$122,0)),0)</f>
        <v>0</v>
      </c>
      <c r="W92" s="626">
        <f t="shared" si="117"/>
        <v>0</v>
      </c>
      <c r="X92" s="626">
        <f t="shared" si="118"/>
        <v>0</v>
      </c>
      <c r="Y92" s="626">
        <f t="shared" si="119"/>
        <v>0</v>
      </c>
      <c r="Z92" s="630"/>
      <c r="AA92" s="625">
        <f t="array" ref="AA92">IFERROR(INDEX('Malaria-Equipment &amp; Other HPs'!$U$64:$U$122,MATCH($E92&amp;$F92,'Malaria-Equipment &amp; Other HPs'!$E$64:$E$122&amp;'Malaria-Equipment &amp; Other HPs'!$I$64:$I$122,0)),0)</f>
        <v>0</v>
      </c>
      <c r="AB92" s="625">
        <f t="array" ref="AB92">IFERROR(INDEX('Malaria-Equipment &amp; Other HPs'!$V$64:$V$122,MATCH($E92&amp;$F92,'Malaria-Equipment &amp; Other HPs'!$E$64:$E$122&amp;'Malaria-Equipment &amp; Other HPs'!$I$64:$I$122,0)),0)</f>
        <v>0</v>
      </c>
      <c r="AC92" s="625">
        <f t="shared" si="120"/>
        <v>0</v>
      </c>
      <c r="AD92" s="626">
        <f t="shared" si="121"/>
        <v>0</v>
      </c>
      <c r="AE92" s="626">
        <f t="shared" si="122"/>
        <v>0</v>
      </c>
      <c r="AF92" s="625">
        <f t="array" ref="AF92">IFERROR(INDEX('Malaria-Equipment &amp; Other HPs'!$W$64:$W$122,MATCH($E92&amp;$F92,'Malaria-Equipment &amp; Other HPs'!$E$64:$E$122&amp;'Malaria-Equipment &amp; Other HPs'!$I$64:$I$122,0)),0)</f>
        <v>0</v>
      </c>
      <c r="AG92" s="625">
        <f t="shared" si="123"/>
        <v>0</v>
      </c>
      <c r="AH92" s="626">
        <f t="shared" si="124"/>
        <v>0</v>
      </c>
      <c r="AI92" s="626">
        <f t="shared" si="125"/>
        <v>0</v>
      </c>
      <c r="AJ92" s="625">
        <f t="array" ref="AJ92">IFERROR(INDEX('Malaria-Equipment &amp; Other HPs'!$X$64:$X$122,MATCH($E92&amp;$F92,'Malaria-Equipment &amp; Other HPs'!$E$64:$E$122&amp;'Malaria-Equipment &amp; Other HPs'!$I$64:$I$122,0)),0)</f>
        <v>0</v>
      </c>
      <c r="AK92" s="625">
        <f t="shared" si="126"/>
        <v>0</v>
      </c>
      <c r="AL92" s="626">
        <f t="shared" si="127"/>
        <v>0</v>
      </c>
      <c r="AM92" s="626">
        <f t="shared" si="128"/>
        <v>0</v>
      </c>
      <c r="AN92" s="625">
        <f t="array" ref="AN92">IFERROR(INDEX('Malaria-Equipment &amp; Other HPs'!$Y$64:$Y$122,MATCH($E92&amp;$F92,'Malaria-Equipment &amp; Other HPs'!$E$64:$E$122&amp;'Malaria-Equipment &amp; Other HPs'!$I$64:$I$122,0)),0)</f>
        <v>0</v>
      </c>
      <c r="AO92" s="625">
        <f t="shared" si="129"/>
        <v>0</v>
      </c>
      <c r="AP92" s="626">
        <f t="shared" si="130"/>
        <v>0</v>
      </c>
      <c r="AQ92" s="626">
        <f t="shared" si="131"/>
        <v>0</v>
      </c>
      <c r="AR92" s="630"/>
      <c r="AS92" s="625">
        <f t="array" ref="AS92">IFERROR(INDEX('Malaria-Equipment &amp; Other HPs'!$AB$64:$AB$122,MATCH($E92&amp;$F92,'Malaria-Equipment &amp; Other HPs'!$E$64:$E$122&amp;'Malaria-Equipment &amp; Other HPs'!$I$64:$I$122,0)),0)</f>
        <v>0</v>
      </c>
      <c r="AT92" s="625">
        <f t="array" ref="AT92">IFERROR(INDEX('Malaria-Equipment &amp; Other HPs'!$AC$64:$AC$122,MATCH($E92&amp;$F92,'Malaria-Equipment &amp; Other HPs'!$E$64:$E$122&amp;'Malaria-Equipment &amp; Other HPs'!$I$64:$I$122,0)),0)</f>
        <v>0</v>
      </c>
      <c r="AU92" s="625">
        <f t="shared" si="132"/>
        <v>0</v>
      </c>
      <c r="AV92" s="626">
        <f t="shared" si="133"/>
        <v>0</v>
      </c>
      <c r="AW92" s="626">
        <f t="shared" si="134"/>
        <v>0</v>
      </c>
      <c r="AX92" s="625">
        <f t="array" ref="AX92">IFERROR(INDEX('Malaria-Equipment &amp; Other HPs'!$AD$64:$AD$122,MATCH($E92&amp;$F92,'Malaria-Equipment &amp; Other HPs'!$E$64:$E$122&amp;'Malaria-Equipment &amp; Other HPs'!$I$64:$I$122,0)),0)</f>
        <v>0</v>
      </c>
      <c r="AY92" s="625">
        <f t="shared" si="135"/>
        <v>0</v>
      </c>
      <c r="AZ92" s="626">
        <f t="shared" si="136"/>
        <v>0</v>
      </c>
      <c r="BA92" s="626">
        <f t="shared" si="137"/>
        <v>0</v>
      </c>
      <c r="BB92" s="625">
        <f t="array" ref="BB92">IFERROR(INDEX('Malaria-Equipment &amp; Other HPs'!$AE$64:$AE$122,MATCH($E92&amp;$F92,'Malaria-Equipment &amp; Other HPs'!$E$64:$E$122&amp;'Malaria-Equipment &amp; Other HPs'!$I$64:$I$122,0)),0)</f>
        <v>0</v>
      </c>
      <c r="BC92" s="625">
        <f t="shared" si="138"/>
        <v>0</v>
      </c>
      <c r="BD92" s="626">
        <f t="shared" si="139"/>
        <v>0</v>
      </c>
      <c r="BE92" s="626">
        <f t="shared" si="140"/>
        <v>0</v>
      </c>
      <c r="BF92" s="625">
        <f t="array" ref="BF92">IFERROR(INDEX('Malaria-Equipment &amp; Other HPs'!$AF$64:$AF$122,MATCH($E92&amp;$F92,'Malaria-Equipment &amp; Other HPs'!$E$64:$E$122&amp;'Malaria-Equipment &amp; Other HPs'!$I$64:$I$122,0)),0)</f>
        <v>0</v>
      </c>
      <c r="BG92" s="625">
        <f t="shared" si="141"/>
        <v>0</v>
      </c>
      <c r="BH92" s="626">
        <f t="shared" si="142"/>
        <v>0</v>
      </c>
      <c r="BI92" s="626">
        <f t="shared" si="143"/>
        <v>0</v>
      </c>
      <c r="BJ92" s="630"/>
      <c r="BK92" s="625"/>
      <c r="BL92" s="625"/>
      <c r="BM92" s="625"/>
      <c r="BN92" s="625"/>
      <c r="BO92" s="625"/>
      <c r="BP92" s="625"/>
      <c r="BQ92" s="625"/>
      <c r="BR92" s="625"/>
      <c r="BT92" s="21" t="s">
        <v>6820</v>
      </c>
    </row>
    <row r="93" spans="1:72">
      <c r="A93" s="29" t="s">
        <v>1241</v>
      </c>
      <c r="B93" s="29" t="s">
        <v>1549</v>
      </c>
      <c r="C93" s="626">
        <f>SETUP!$F$54</f>
        <v>0</v>
      </c>
      <c r="D93" s="25">
        <v>5.0999999999999996</v>
      </c>
      <c r="E93" s="26" t="s">
        <v>581</v>
      </c>
      <c r="F93" s="26" t="s">
        <v>1179</v>
      </c>
      <c r="G93" s="625" t="str">
        <f t="array" ref="G93">IFERROR(INDEX('Malaria-Equipment &amp; Other HPs'!$L$64:$L$122,MATCH($E93&amp;$F93,'Malaria-Equipment &amp; Other HPs'!$E$64:$E$122&amp;'Malaria-Equipment &amp; Other HPs'!$I$64:$I$122,0)),"")</f>
        <v/>
      </c>
      <c r="H93" s="625" t="str">
        <f t="array" ref="H93">IFERROR(INDEX('Malaria-Equipment &amp; Other HPs'!$M$64:$M$122,MATCH($E93&amp;$F93,'Malaria-Equipment &amp; Other HPs'!$E$64:$E$122&amp;'Malaria-Equipment &amp; Other HPs'!$I$64:$I$122,0)),"")</f>
        <v/>
      </c>
      <c r="I93" s="625">
        <f t="array" ref="I93">IFERROR(INDEX('Malaria-Equipment &amp; Other HPs'!$N$64:$N$122,MATCH($E93&amp;$F93,'Malaria-Equipment &amp; Other HPs'!$E$64:$E$122&amp;'Malaria-Equipment &amp; Other HPs'!$I$64:$I$122,0)),0)</f>
        <v>0</v>
      </c>
      <c r="J93" s="625">
        <f t="array" ref="J93">IFERROR(INDEX('Malaria-Equipment &amp; Other HPs'!$O$64:$O$122,MATCH($E93&amp;$F93,'Malaria-Equipment &amp; Other HPs'!$E$64:$E$122&amp;'Malaria-Equipment &amp; Other HPs'!$I$64:$I$122,0)),0)</f>
        <v>0</v>
      </c>
      <c r="K93" s="626">
        <f t="shared" si="108"/>
        <v>0</v>
      </c>
      <c r="L93" s="626">
        <f t="shared" si="109"/>
        <v>0</v>
      </c>
      <c r="M93" s="626">
        <f t="shared" si="110"/>
        <v>0</v>
      </c>
      <c r="N93" s="625">
        <f t="array" ref="N93">IFERROR(INDEX('Malaria-Equipment &amp; Other HPs'!$P$64:$P$122,MATCH($E93&amp;$F93,'Malaria-Equipment &amp; Other HPs'!$E$64:$E$122&amp;'Malaria-Equipment &amp; Other HPs'!$I$64:$I$122,0)),0)</f>
        <v>0</v>
      </c>
      <c r="O93" s="626">
        <f t="shared" si="111"/>
        <v>0</v>
      </c>
      <c r="P93" s="626">
        <f t="shared" si="112"/>
        <v>0</v>
      </c>
      <c r="Q93" s="626">
        <f t="shared" si="113"/>
        <v>0</v>
      </c>
      <c r="R93" s="625">
        <f t="array" ref="R93">IFERROR(INDEX('Malaria-Equipment &amp; Other HPs'!$Q$64:$Q$122,MATCH($E93&amp;$F93,'Malaria-Equipment &amp; Other HPs'!$E$64:$E$122&amp;'Malaria-Equipment &amp; Other HPs'!$I$64:$I$122,0)),0)</f>
        <v>0</v>
      </c>
      <c r="S93" s="626">
        <f t="shared" si="114"/>
        <v>0</v>
      </c>
      <c r="T93" s="626">
        <f t="shared" si="115"/>
        <v>0</v>
      </c>
      <c r="U93" s="626">
        <f t="shared" si="116"/>
        <v>0</v>
      </c>
      <c r="V93" s="625">
        <f t="array" ref="V93">IFERROR(INDEX('Malaria-Equipment &amp; Other HPs'!$R$64:$R$122,MATCH($E93&amp;$F93,'Malaria-Equipment &amp; Other HPs'!$E$64:$E$122&amp;'Malaria-Equipment &amp; Other HPs'!$I$64:$I$122,0)),0)</f>
        <v>0</v>
      </c>
      <c r="W93" s="626">
        <f t="shared" si="117"/>
        <v>0</v>
      </c>
      <c r="X93" s="626">
        <f t="shared" si="118"/>
        <v>0</v>
      </c>
      <c r="Y93" s="626">
        <f t="shared" si="119"/>
        <v>0</v>
      </c>
      <c r="Z93" s="630"/>
      <c r="AA93" s="625">
        <f t="array" ref="AA93">IFERROR(INDEX('Malaria-Equipment &amp; Other HPs'!$U$64:$U$122,MATCH($E93&amp;$F93,'Malaria-Equipment &amp; Other HPs'!$E$64:$E$122&amp;'Malaria-Equipment &amp; Other HPs'!$I$64:$I$122,0)),0)</f>
        <v>0</v>
      </c>
      <c r="AB93" s="625">
        <f t="array" ref="AB93">IFERROR(INDEX('Malaria-Equipment &amp; Other HPs'!$V$64:$V$122,MATCH($E93&amp;$F93,'Malaria-Equipment &amp; Other HPs'!$E$64:$E$122&amp;'Malaria-Equipment &amp; Other HPs'!$I$64:$I$122,0)),0)</f>
        <v>0</v>
      </c>
      <c r="AC93" s="625">
        <f t="shared" si="120"/>
        <v>0</v>
      </c>
      <c r="AD93" s="626">
        <f t="shared" si="121"/>
        <v>0</v>
      </c>
      <c r="AE93" s="626">
        <f t="shared" si="122"/>
        <v>0</v>
      </c>
      <c r="AF93" s="625">
        <f t="array" ref="AF93">IFERROR(INDEX('Malaria-Equipment &amp; Other HPs'!$W$64:$W$122,MATCH($E93&amp;$F93,'Malaria-Equipment &amp; Other HPs'!$E$64:$E$122&amp;'Malaria-Equipment &amp; Other HPs'!$I$64:$I$122,0)),0)</f>
        <v>0</v>
      </c>
      <c r="AG93" s="625">
        <f t="shared" si="123"/>
        <v>0</v>
      </c>
      <c r="AH93" s="626">
        <f t="shared" si="124"/>
        <v>0</v>
      </c>
      <c r="AI93" s="626">
        <f t="shared" si="125"/>
        <v>0</v>
      </c>
      <c r="AJ93" s="625">
        <f t="array" ref="AJ93">IFERROR(INDEX('Malaria-Equipment &amp; Other HPs'!$X$64:$X$122,MATCH($E93&amp;$F93,'Malaria-Equipment &amp; Other HPs'!$E$64:$E$122&amp;'Malaria-Equipment &amp; Other HPs'!$I$64:$I$122,0)),0)</f>
        <v>0</v>
      </c>
      <c r="AK93" s="625">
        <f t="shared" si="126"/>
        <v>0</v>
      </c>
      <c r="AL93" s="626">
        <f t="shared" si="127"/>
        <v>0</v>
      </c>
      <c r="AM93" s="626">
        <f t="shared" si="128"/>
        <v>0</v>
      </c>
      <c r="AN93" s="625">
        <f t="array" ref="AN93">IFERROR(INDEX('Malaria-Equipment &amp; Other HPs'!$Y$64:$Y$122,MATCH($E93&amp;$F93,'Malaria-Equipment &amp; Other HPs'!$E$64:$E$122&amp;'Malaria-Equipment &amp; Other HPs'!$I$64:$I$122,0)),0)</f>
        <v>0</v>
      </c>
      <c r="AO93" s="625">
        <f t="shared" si="129"/>
        <v>0</v>
      </c>
      <c r="AP93" s="626">
        <f t="shared" si="130"/>
        <v>0</v>
      </c>
      <c r="AQ93" s="626">
        <f t="shared" si="131"/>
        <v>0</v>
      </c>
      <c r="AR93" s="630"/>
      <c r="AS93" s="625">
        <f t="array" ref="AS93">IFERROR(INDEX('Malaria-Equipment &amp; Other HPs'!$AB$64:$AB$122,MATCH($E93&amp;$F93,'Malaria-Equipment &amp; Other HPs'!$E$64:$E$122&amp;'Malaria-Equipment &amp; Other HPs'!$I$64:$I$122,0)),0)</f>
        <v>0</v>
      </c>
      <c r="AT93" s="625">
        <f t="array" ref="AT93">IFERROR(INDEX('Malaria-Equipment &amp; Other HPs'!$AC$64:$AC$122,MATCH($E93&amp;$F93,'Malaria-Equipment &amp; Other HPs'!$E$64:$E$122&amp;'Malaria-Equipment &amp; Other HPs'!$I$64:$I$122,0)),0)</f>
        <v>0</v>
      </c>
      <c r="AU93" s="625">
        <f t="shared" si="132"/>
        <v>0</v>
      </c>
      <c r="AV93" s="626">
        <f t="shared" si="133"/>
        <v>0</v>
      </c>
      <c r="AW93" s="626">
        <f t="shared" si="134"/>
        <v>0</v>
      </c>
      <c r="AX93" s="625">
        <f t="array" ref="AX93">IFERROR(INDEX('Malaria-Equipment &amp; Other HPs'!$AD$64:$AD$122,MATCH($E93&amp;$F93,'Malaria-Equipment &amp; Other HPs'!$E$64:$E$122&amp;'Malaria-Equipment &amp; Other HPs'!$I$64:$I$122,0)),0)</f>
        <v>0</v>
      </c>
      <c r="AY93" s="625">
        <f t="shared" si="135"/>
        <v>0</v>
      </c>
      <c r="AZ93" s="626">
        <f t="shared" si="136"/>
        <v>0</v>
      </c>
      <c r="BA93" s="626">
        <f t="shared" si="137"/>
        <v>0</v>
      </c>
      <c r="BB93" s="625">
        <f t="array" ref="BB93">IFERROR(INDEX('Malaria-Equipment &amp; Other HPs'!$AE$64:$AE$122,MATCH($E93&amp;$F93,'Malaria-Equipment &amp; Other HPs'!$E$64:$E$122&amp;'Malaria-Equipment &amp; Other HPs'!$I$64:$I$122,0)),0)</f>
        <v>0</v>
      </c>
      <c r="BC93" s="625">
        <f t="shared" si="138"/>
        <v>0</v>
      </c>
      <c r="BD93" s="626">
        <f t="shared" si="139"/>
        <v>0</v>
      </c>
      <c r="BE93" s="626">
        <f t="shared" si="140"/>
        <v>0</v>
      </c>
      <c r="BF93" s="625">
        <f t="array" ref="BF93">IFERROR(INDEX('Malaria-Equipment &amp; Other HPs'!$AF$64:$AF$122,MATCH($E93&amp;$F93,'Malaria-Equipment &amp; Other HPs'!$E$64:$E$122&amp;'Malaria-Equipment &amp; Other HPs'!$I$64:$I$122,0)),0)</f>
        <v>0</v>
      </c>
      <c r="BG93" s="625">
        <f t="shared" si="141"/>
        <v>0</v>
      </c>
      <c r="BH93" s="626">
        <f t="shared" si="142"/>
        <v>0</v>
      </c>
      <c r="BI93" s="626">
        <f t="shared" si="143"/>
        <v>0</v>
      </c>
      <c r="BJ93" s="630"/>
      <c r="BK93" s="625"/>
      <c r="BL93" s="625"/>
      <c r="BM93" s="625"/>
      <c r="BN93" s="625"/>
      <c r="BO93" s="625"/>
      <c r="BP93" s="625"/>
      <c r="BQ93" s="625"/>
      <c r="BR93" s="625"/>
      <c r="BT93" s="21" t="s">
        <v>6820</v>
      </c>
    </row>
    <row r="94" spans="1:72">
      <c r="A94" s="29" t="s">
        <v>1241</v>
      </c>
      <c r="B94" s="29" t="s">
        <v>1549</v>
      </c>
      <c r="C94" s="626">
        <f>SETUP!$F$54</f>
        <v>0</v>
      </c>
      <c r="D94" s="25">
        <v>5.0999999999999996</v>
      </c>
      <c r="E94" s="26" t="s">
        <v>581</v>
      </c>
      <c r="F94" s="26" t="s">
        <v>842</v>
      </c>
      <c r="G94" s="625" t="str">
        <f t="array" ref="G94">IFERROR(INDEX('Malaria-Equipment &amp; Other HPs'!$L$64:$L$122,MATCH($E94&amp;$F94,'Malaria-Equipment &amp; Other HPs'!$E$64:$E$122&amp;'Malaria-Equipment &amp; Other HPs'!$I$64:$I$122,0)),"")</f>
        <v/>
      </c>
      <c r="H94" s="625" t="str">
        <f t="array" ref="H94">IFERROR(INDEX('Malaria-Equipment &amp; Other HPs'!$M$64:$M$122,MATCH($E94&amp;$F94,'Malaria-Equipment &amp; Other HPs'!$E$64:$E$122&amp;'Malaria-Equipment &amp; Other HPs'!$I$64:$I$122,0)),"")</f>
        <v/>
      </c>
      <c r="I94" s="625">
        <f t="array" ref="I94">IFERROR(INDEX('Malaria-Equipment &amp; Other HPs'!$N$64:$N$122,MATCH($E94&amp;$F94,'Malaria-Equipment &amp; Other HPs'!$E$64:$E$122&amp;'Malaria-Equipment &amp; Other HPs'!$I$64:$I$122,0)),0)</f>
        <v>0</v>
      </c>
      <c r="J94" s="625">
        <f t="array" ref="J94">IFERROR(INDEX('Malaria-Equipment &amp; Other HPs'!$O$64:$O$122,MATCH($E94&amp;$F94,'Malaria-Equipment &amp; Other HPs'!$E$64:$E$122&amp;'Malaria-Equipment &amp; Other HPs'!$I$64:$I$122,0)),0)</f>
        <v>0</v>
      </c>
      <c r="K94" s="626">
        <f t="shared" si="108"/>
        <v>0</v>
      </c>
      <c r="L94" s="626">
        <f t="shared" si="109"/>
        <v>0</v>
      </c>
      <c r="M94" s="626">
        <f t="shared" si="110"/>
        <v>0</v>
      </c>
      <c r="N94" s="625">
        <f t="array" ref="N94">IFERROR(INDEX('Malaria-Equipment &amp; Other HPs'!$P$64:$P$122,MATCH($E94&amp;$F94,'Malaria-Equipment &amp; Other HPs'!$E$64:$E$122&amp;'Malaria-Equipment &amp; Other HPs'!$I$64:$I$122,0)),0)</f>
        <v>0</v>
      </c>
      <c r="O94" s="626">
        <f t="shared" si="111"/>
        <v>0</v>
      </c>
      <c r="P94" s="626">
        <f t="shared" si="112"/>
        <v>0</v>
      </c>
      <c r="Q94" s="626">
        <f t="shared" si="113"/>
        <v>0</v>
      </c>
      <c r="R94" s="625">
        <f t="array" ref="R94">IFERROR(INDEX('Malaria-Equipment &amp; Other HPs'!$Q$64:$Q$122,MATCH($E94&amp;$F94,'Malaria-Equipment &amp; Other HPs'!$E$64:$E$122&amp;'Malaria-Equipment &amp; Other HPs'!$I$64:$I$122,0)),0)</f>
        <v>0</v>
      </c>
      <c r="S94" s="626">
        <f t="shared" si="114"/>
        <v>0</v>
      </c>
      <c r="T94" s="626">
        <f t="shared" si="115"/>
        <v>0</v>
      </c>
      <c r="U94" s="626">
        <f t="shared" si="116"/>
        <v>0</v>
      </c>
      <c r="V94" s="625">
        <f t="array" ref="V94">IFERROR(INDEX('Malaria-Equipment &amp; Other HPs'!$R$64:$R$122,MATCH($E94&amp;$F94,'Malaria-Equipment &amp; Other HPs'!$E$64:$E$122&amp;'Malaria-Equipment &amp; Other HPs'!$I$64:$I$122,0)),0)</f>
        <v>0</v>
      </c>
      <c r="W94" s="626">
        <f t="shared" si="117"/>
        <v>0</v>
      </c>
      <c r="X94" s="626">
        <f t="shared" si="118"/>
        <v>0</v>
      </c>
      <c r="Y94" s="626">
        <f t="shared" si="119"/>
        <v>0</v>
      </c>
      <c r="Z94" s="630"/>
      <c r="AA94" s="625">
        <f t="array" ref="AA94">IFERROR(INDEX('Malaria-Equipment &amp; Other HPs'!$U$64:$U$122,MATCH($E94&amp;$F94,'Malaria-Equipment &amp; Other HPs'!$E$64:$E$122&amp;'Malaria-Equipment &amp; Other HPs'!$I$64:$I$122,0)),0)</f>
        <v>0</v>
      </c>
      <c r="AB94" s="625">
        <f t="array" ref="AB94">IFERROR(INDEX('Malaria-Equipment &amp; Other HPs'!$V$64:$V$122,MATCH($E94&amp;$F94,'Malaria-Equipment &amp; Other HPs'!$E$64:$E$122&amp;'Malaria-Equipment &amp; Other HPs'!$I$64:$I$122,0)),0)</f>
        <v>0</v>
      </c>
      <c r="AC94" s="625">
        <f t="shared" si="120"/>
        <v>0</v>
      </c>
      <c r="AD94" s="626">
        <f t="shared" si="121"/>
        <v>0</v>
      </c>
      <c r="AE94" s="626">
        <f t="shared" si="122"/>
        <v>0</v>
      </c>
      <c r="AF94" s="625">
        <f t="array" ref="AF94">IFERROR(INDEX('Malaria-Equipment &amp; Other HPs'!$W$64:$W$122,MATCH($E94&amp;$F94,'Malaria-Equipment &amp; Other HPs'!$E$64:$E$122&amp;'Malaria-Equipment &amp; Other HPs'!$I$64:$I$122,0)),0)</f>
        <v>0</v>
      </c>
      <c r="AG94" s="625">
        <f t="shared" si="123"/>
        <v>0</v>
      </c>
      <c r="AH94" s="626">
        <f t="shared" si="124"/>
        <v>0</v>
      </c>
      <c r="AI94" s="626">
        <f t="shared" si="125"/>
        <v>0</v>
      </c>
      <c r="AJ94" s="625">
        <f t="array" ref="AJ94">IFERROR(INDEX('Malaria-Equipment &amp; Other HPs'!$X$64:$X$122,MATCH($E94&amp;$F94,'Malaria-Equipment &amp; Other HPs'!$E$64:$E$122&amp;'Malaria-Equipment &amp; Other HPs'!$I$64:$I$122,0)),0)</f>
        <v>0</v>
      </c>
      <c r="AK94" s="625">
        <f t="shared" si="126"/>
        <v>0</v>
      </c>
      <c r="AL94" s="626">
        <f t="shared" si="127"/>
        <v>0</v>
      </c>
      <c r="AM94" s="626">
        <f t="shared" si="128"/>
        <v>0</v>
      </c>
      <c r="AN94" s="625">
        <f t="array" ref="AN94">IFERROR(INDEX('Malaria-Equipment &amp; Other HPs'!$Y$64:$Y$122,MATCH($E94&amp;$F94,'Malaria-Equipment &amp; Other HPs'!$E$64:$E$122&amp;'Malaria-Equipment &amp; Other HPs'!$I$64:$I$122,0)),0)</f>
        <v>0</v>
      </c>
      <c r="AO94" s="625">
        <f t="shared" si="129"/>
        <v>0</v>
      </c>
      <c r="AP94" s="626">
        <f t="shared" si="130"/>
        <v>0</v>
      </c>
      <c r="AQ94" s="626">
        <f t="shared" si="131"/>
        <v>0</v>
      </c>
      <c r="AR94" s="630"/>
      <c r="AS94" s="625">
        <f t="array" ref="AS94">IFERROR(INDEX('Malaria-Equipment &amp; Other HPs'!$AB$64:$AB$122,MATCH($E94&amp;$F94,'Malaria-Equipment &amp; Other HPs'!$E$64:$E$122&amp;'Malaria-Equipment &amp; Other HPs'!$I$64:$I$122,0)),0)</f>
        <v>0</v>
      </c>
      <c r="AT94" s="625">
        <f t="array" ref="AT94">IFERROR(INDEX('Malaria-Equipment &amp; Other HPs'!$AC$64:$AC$122,MATCH($E94&amp;$F94,'Malaria-Equipment &amp; Other HPs'!$E$64:$E$122&amp;'Malaria-Equipment &amp; Other HPs'!$I$64:$I$122,0)),0)</f>
        <v>0</v>
      </c>
      <c r="AU94" s="625">
        <f t="shared" si="132"/>
        <v>0</v>
      </c>
      <c r="AV94" s="626">
        <f t="shared" si="133"/>
        <v>0</v>
      </c>
      <c r="AW94" s="626">
        <f t="shared" si="134"/>
        <v>0</v>
      </c>
      <c r="AX94" s="625">
        <f t="array" ref="AX94">IFERROR(INDEX('Malaria-Equipment &amp; Other HPs'!$AD$64:$AD$122,MATCH($E94&amp;$F94,'Malaria-Equipment &amp; Other HPs'!$E$64:$E$122&amp;'Malaria-Equipment &amp; Other HPs'!$I$64:$I$122,0)),0)</f>
        <v>0</v>
      </c>
      <c r="AY94" s="625">
        <f t="shared" si="135"/>
        <v>0</v>
      </c>
      <c r="AZ94" s="626">
        <f t="shared" si="136"/>
        <v>0</v>
      </c>
      <c r="BA94" s="626">
        <f t="shared" si="137"/>
        <v>0</v>
      </c>
      <c r="BB94" s="625">
        <f t="array" ref="BB94">IFERROR(INDEX('Malaria-Equipment &amp; Other HPs'!$AE$64:$AE$122,MATCH($E94&amp;$F94,'Malaria-Equipment &amp; Other HPs'!$E$64:$E$122&amp;'Malaria-Equipment &amp; Other HPs'!$I$64:$I$122,0)),0)</f>
        <v>0</v>
      </c>
      <c r="BC94" s="625">
        <f t="shared" si="138"/>
        <v>0</v>
      </c>
      <c r="BD94" s="626">
        <f t="shared" si="139"/>
        <v>0</v>
      </c>
      <c r="BE94" s="626">
        <f t="shared" si="140"/>
        <v>0</v>
      </c>
      <c r="BF94" s="625">
        <f t="array" ref="BF94">IFERROR(INDEX('Malaria-Equipment &amp; Other HPs'!$AF$64:$AF$122,MATCH($E94&amp;$F94,'Malaria-Equipment &amp; Other HPs'!$E$64:$E$122&amp;'Malaria-Equipment &amp; Other HPs'!$I$64:$I$122,0)),0)</f>
        <v>0</v>
      </c>
      <c r="BG94" s="625">
        <f t="shared" si="141"/>
        <v>0</v>
      </c>
      <c r="BH94" s="626">
        <f t="shared" si="142"/>
        <v>0</v>
      </c>
      <c r="BI94" s="626">
        <f t="shared" si="143"/>
        <v>0</v>
      </c>
      <c r="BJ94" s="630"/>
      <c r="BK94" s="625"/>
      <c r="BL94" s="625"/>
      <c r="BM94" s="625"/>
      <c r="BN94" s="625"/>
      <c r="BO94" s="625"/>
      <c r="BP94" s="625"/>
      <c r="BQ94" s="625"/>
      <c r="BR94" s="625"/>
      <c r="BT94" s="21" t="s">
        <v>6820</v>
      </c>
    </row>
    <row r="95" spans="1:72">
      <c r="A95" s="29" t="s">
        <v>1241</v>
      </c>
      <c r="B95" s="29" t="s">
        <v>1549</v>
      </c>
      <c r="C95" s="626">
        <f>SETUP!$F$54</f>
        <v>0</v>
      </c>
      <c r="D95" s="25">
        <v>5.0999999999999996</v>
      </c>
      <c r="E95" s="26" t="s">
        <v>581</v>
      </c>
      <c r="F95" s="26" t="s">
        <v>1180</v>
      </c>
      <c r="G95" s="625" t="str">
        <f t="array" ref="G95">IFERROR(INDEX('Malaria-Equipment &amp; Other HPs'!$L$64:$L$122,MATCH($E95&amp;$F95,'Malaria-Equipment &amp; Other HPs'!$E$64:$E$122&amp;'Malaria-Equipment &amp; Other HPs'!$I$64:$I$122,0)),"")</f>
        <v/>
      </c>
      <c r="H95" s="625" t="str">
        <f t="array" ref="H95">IFERROR(INDEX('Malaria-Equipment &amp; Other HPs'!$M$64:$M$122,MATCH($E95&amp;$F95,'Malaria-Equipment &amp; Other HPs'!$E$64:$E$122&amp;'Malaria-Equipment &amp; Other HPs'!$I$64:$I$122,0)),"")</f>
        <v/>
      </c>
      <c r="I95" s="625">
        <f t="array" ref="I95">IFERROR(INDEX('Malaria-Equipment &amp; Other HPs'!$N$64:$N$122,MATCH($E95&amp;$F95,'Malaria-Equipment &amp; Other HPs'!$E$64:$E$122&amp;'Malaria-Equipment &amp; Other HPs'!$I$64:$I$122,0)),0)</f>
        <v>0</v>
      </c>
      <c r="J95" s="625">
        <f t="array" ref="J95">IFERROR(INDEX('Malaria-Equipment &amp; Other HPs'!$O$64:$O$122,MATCH($E95&amp;$F95,'Malaria-Equipment &amp; Other HPs'!$E$64:$E$122&amp;'Malaria-Equipment &amp; Other HPs'!$I$64:$I$122,0)),0)</f>
        <v>0</v>
      </c>
      <c r="K95" s="626">
        <f t="shared" si="108"/>
        <v>0</v>
      </c>
      <c r="L95" s="626">
        <f t="shared" si="109"/>
        <v>0</v>
      </c>
      <c r="M95" s="626">
        <f t="shared" si="110"/>
        <v>0</v>
      </c>
      <c r="N95" s="625">
        <f t="array" ref="N95">IFERROR(INDEX('Malaria-Equipment &amp; Other HPs'!$P$64:$P$122,MATCH($E95&amp;$F95,'Malaria-Equipment &amp; Other HPs'!$E$64:$E$122&amp;'Malaria-Equipment &amp; Other HPs'!$I$64:$I$122,0)),0)</f>
        <v>0</v>
      </c>
      <c r="O95" s="626">
        <f t="shared" si="111"/>
        <v>0</v>
      </c>
      <c r="P95" s="626">
        <f t="shared" si="112"/>
        <v>0</v>
      </c>
      <c r="Q95" s="626">
        <f t="shared" si="113"/>
        <v>0</v>
      </c>
      <c r="R95" s="625">
        <f t="array" ref="R95">IFERROR(INDEX('Malaria-Equipment &amp; Other HPs'!$Q$64:$Q$122,MATCH($E95&amp;$F95,'Malaria-Equipment &amp; Other HPs'!$E$64:$E$122&amp;'Malaria-Equipment &amp; Other HPs'!$I$64:$I$122,0)),0)</f>
        <v>0</v>
      </c>
      <c r="S95" s="626">
        <f t="shared" si="114"/>
        <v>0</v>
      </c>
      <c r="T95" s="626">
        <f t="shared" si="115"/>
        <v>0</v>
      </c>
      <c r="U95" s="626">
        <f t="shared" si="116"/>
        <v>0</v>
      </c>
      <c r="V95" s="625">
        <f t="array" ref="V95">IFERROR(INDEX('Malaria-Equipment &amp; Other HPs'!$R$64:$R$122,MATCH($E95&amp;$F95,'Malaria-Equipment &amp; Other HPs'!$E$64:$E$122&amp;'Malaria-Equipment &amp; Other HPs'!$I$64:$I$122,0)),0)</f>
        <v>0</v>
      </c>
      <c r="W95" s="626">
        <f t="shared" si="117"/>
        <v>0</v>
      </c>
      <c r="X95" s="626">
        <f t="shared" si="118"/>
        <v>0</v>
      </c>
      <c r="Y95" s="626">
        <f t="shared" si="119"/>
        <v>0</v>
      </c>
      <c r="Z95" s="630"/>
      <c r="AA95" s="625">
        <f t="array" ref="AA95">IFERROR(INDEX('Malaria-Equipment &amp; Other HPs'!$U$64:$U$122,MATCH($E95&amp;$F95,'Malaria-Equipment &amp; Other HPs'!$E$64:$E$122&amp;'Malaria-Equipment &amp; Other HPs'!$I$64:$I$122,0)),0)</f>
        <v>0</v>
      </c>
      <c r="AB95" s="625">
        <f t="array" ref="AB95">IFERROR(INDEX('Malaria-Equipment &amp; Other HPs'!$V$64:$V$122,MATCH($E95&amp;$F95,'Malaria-Equipment &amp; Other HPs'!$E$64:$E$122&amp;'Malaria-Equipment &amp; Other HPs'!$I$64:$I$122,0)),0)</f>
        <v>0</v>
      </c>
      <c r="AC95" s="625">
        <f t="shared" si="120"/>
        <v>0</v>
      </c>
      <c r="AD95" s="626">
        <f t="shared" si="121"/>
        <v>0</v>
      </c>
      <c r="AE95" s="626">
        <f t="shared" si="122"/>
        <v>0</v>
      </c>
      <c r="AF95" s="625">
        <f t="array" ref="AF95">IFERROR(INDEX('Malaria-Equipment &amp; Other HPs'!$W$64:$W$122,MATCH($E95&amp;$F95,'Malaria-Equipment &amp; Other HPs'!$E$64:$E$122&amp;'Malaria-Equipment &amp; Other HPs'!$I$64:$I$122,0)),0)</f>
        <v>0</v>
      </c>
      <c r="AG95" s="625">
        <f t="shared" si="123"/>
        <v>0</v>
      </c>
      <c r="AH95" s="626">
        <f t="shared" si="124"/>
        <v>0</v>
      </c>
      <c r="AI95" s="626">
        <f t="shared" si="125"/>
        <v>0</v>
      </c>
      <c r="AJ95" s="625">
        <f t="array" ref="AJ95">IFERROR(INDEX('Malaria-Equipment &amp; Other HPs'!$X$64:$X$122,MATCH($E95&amp;$F95,'Malaria-Equipment &amp; Other HPs'!$E$64:$E$122&amp;'Malaria-Equipment &amp; Other HPs'!$I$64:$I$122,0)),0)</f>
        <v>0</v>
      </c>
      <c r="AK95" s="625">
        <f t="shared" si="126"/>
        <v>0</v>
      </c>
      <c r="AL95" s="626">
        <f t="shared" si="127"/>
        <v>0</v>
      </c>
      <c r="AM95" s="626">
        <f t="shared" si="128"/>
        <v>0</v>
      </c>
      <c r="AN95" s="625">
        <f t="array" ref="AN95">IFERROR(INDEX('Malaria-Equipment &amp; Other HPs'!$Y$64:$Y$122,MATCH($E95&amp;$F95,'Malaria-Equipment &amp; Other HPs'!$E$64:$E$122&amp;'Malaria-Equipment &amp; Other HPs'!$I$64:$I$122,0)),0)</f>
        <v>0</v>
      </c>
      <c r="AO95" s="625">
        <f t="shared" si="129"/>
        <v>0</v>
      </c>
      <c r="AP95" s="626">
        <f t="shared" si="130"/>
        <v>0</v>
      </c>
      <c r="AQ95" s="626">
        <f t="shared" si="131"/>
        <v>0</v>
      </c>
      <c r="AR95" s="630"/>
      <c r="AS95" s="625">
        <f t="array" ref="AS95">IFERROR(INDEX('Malaria-Equipment &amp; Other HPs'!$AB$64:$AB$122,MATCH($E95&amp;$F95,'Malaria-Equipment &amp; Other HPs'!$E$64:$E$122&amp;'Malaria-Equipment &amp; Other HPs'!$I$64:$I$122,0)),0)</f>
        <v>0</v>
      </c>
      <c r="AT95" s="625">
        <f t="array" ref="AT95">IFERROR(INDEX('Malaria-Equipment &amp; Other HPs'!$AC$64:$AC$122,MATCH($E95&amp;$F95,'Malaria-Equipment &amp; Other HPs'!$E$64:$E$122&amp;'Malaria-Equipment &amp; Other HPs'!$I$64:$I$122,0)),0)</f>
        <v>0</v>
      </c>
      <c r="AU95" s="625">
        <f t="shared" si="132"/>
        <v>0</v>
      </c>
      <c r="AV95" s="626">
        <f t="shared" si="133"/>
        <v>0</v>
      </c>
      <c r="AW95" s="626">
        <f t="shared" si="134"/>
        <v>0</v>
      </c>
      <c r="AX95" s="625">
        <f t="array" ref="AX95">IFERROR(INDEX('Malaria-Equipment &amp; Other HPs'!$AD$64:$AD$122,MATCH($E95&amp;$F95,'Malaria-Equipment &amp; Other HPs'!$E$64:$E$122&amp;'Malaria-Equipment &amp; Other HPs'!$I$64:$I$122,0)),0)</f>
        <v>0</v>
      </c>
      <c r="AY95" s="625">
        <f t="shared" si="135"/>
        <v>0</v>
      </c>
      <c r="AZ95" s="626">
        <f t="shared" si="136"/>
        <v>0</v>
      </c>
      <c r="BA95" s="626">
        <f t="shared" si="137"/>
        <v>0</v>
      </c>
      <c r="BB95" s="625">
        <f t="array" ref="BB95">IFERROR(INDEX('Malaria-Equipment &amp; Other HPs'!$AE$64:$AE$122,MATCH($E95&amp;$F95,'Malaria-Equipment &amp; Other HPs'!$E$64:$E$122&amp;'Malaria-Equipment &amp; Other HPs'!$I$64:$I$122,0)),0)</f>
        <v>0</v>
      </c>
      <c r="BC95" s="625">
        <f t="shared" si="138"/>
        <v>0</v>
      </c>
      <c r="BD95" s="626">
        <f t="shared" si="139"/>
        <v>0</v>
      </c>
      <c r="BE95" s="626">
        <f t="shared" si="140"/>
        <v>0</v>
      </c>
      <c r="BF95" s="625">
        <f t="array" ref="BF95">IFERROR(INDEX('Malaria-Equipment &amp; Other HPs'!$AF$64:$AF$122,MATCH($E95&amp;$F95,'Malaria-Equipment &amp; Other HPs'!$E$64:$E$122&amp;'Malaria-Equipment &amp; Other HPs'!$I$64:$I$122,0)),0)</f>
        <v>0</v>
      </c>
      <c r="BG95" s="625">
        <f t="shared" si="141"/>
        <v>0</v>
      </c>
      <c r="BH95" s="626">
        <f t="shared" si="142"/>
        <v>0</v>
      </c>
      <c r="BI95" s="626">
        <f t="shared" si="143"/>
        <v>0</v>
      </c>
      <c r="BJ95" s="630"/>
      <c r="BK95" s="625"/>
      <c r="BL95" s="625"/>
      <c r="BM95" s="625"/>
      <c r="BN95" s="625"/>
      <c r="BO95" s="625"/>
      <c r="BP95" s="625"/>
      <c r="BQ95" s="625"/>
      <c r="BR95" s="625"/>
      <c r="BT95" s="21" t="s">
        <v>6820</v>
      </c>
    </row>
    <row r="96" spans="1:72">
      <c r="A96" s="29" t="s">
        <v>1241</v>
      </c>
      <c r="B96" s="29" t="s">
        <v>1549</v>
      </c>
      <c r="C96" s="626">
        <f>SETUP!$F$54</f>
        <v>0</v>
      </c>
      <c r="D96" s="25">
        <v>5.0999999999999996</v>
      </c>
      <c r="E96" s="26" t="s">
        <v>581</v>
      </c>
      <c r="F96" s="26" t="s">
        <v>843</v>
      </c>
      <c r="G96" s="625" t="str">
        <f t="array" ref="G96">IFERROR(INDEX('Malaria-Equipment &amp; Other HPs'!$L$64:$L$122,MATCH($E96&amp;$F96,'Malaria-Equipment &amp; Other HPs'!$E$64:$E$122&amp;'Malaria-Equipment &amp; Other HPs'!$I$64:$I$122,0)),"")</f>
        <v/>
      </c>
      <c r="H96" s="625" t="str">
        <f t="array" ref="H96">IFERROR(INDEX('Malaria-Equipment &amp; Other HPs'!$M$64:$M$122,MATCH($E96&amp;$F96,'Malaria-Equipment &amp; Other HPs'!$E$64:$E$122&amp;'Malaria-Equipment &amp; Other HPs'!$I$64:$I$122,0)),"")</f>
        <v/>
      </c>
      <c r="I96" s="625">
        <f t="array" ref="I96">IFERROR(INDEX('Malaria-Equipment &amp; Other HPs'!$N$64:$N$122,MATCH($E96&amp;$F96,'Malaria-Equipment &amp; Other HPs'!$E$64:$E$122&amp;'Malaria-Equipment &amp; Other HPs'!$I$64:$I$122,0)),0)</f>
        <v>0</v>
      </c>
      <c r="J96" s="625">
        <f t="array" ref="J96">IFERROR(INDEX('Malaria-Equipment &amp; Other HPs'!$O$64:$O$122,MATCH($E96&amp;$F96,'Malaria-Equipment &amp; Other HPs'!$E$64:$E$122&amp;'Malaria-Equipment &amp; Other HPs'!$I$64:$I$122,0)),0)</f>
        <v>0</v>
      </c>
      <c r="K96" s="626">
        <f t="shared" si="108"/>
        <v>0</v>
      </c>
      <c r="L96" s="626">
        <f t="shared" si="109"/>
        <v>0</v>
      </c>
      <c r="M96" s="626">
        <f t="shared" si="110"/>
        <v>0</v>
      </c>
      <c r="N96" s="625">
        <f t="array" ref="N96">IFERROR(INDEX('Malaria-Equipment &amp; Other HPs'!$P$64:$P$122,MATCH($E96&amp;$F96,'Malaria-Equipment &amp; Other HPs'!$E$64:$E$122&amp;'Malaria-Equipment &amp; Other HPs'!$I$64:$I$122,0)),0)</f>
        <v>0</v>
      </c>
      <c r="O96" s="626">
        <f t="shared" si="111"/>
        <v>0</v>
      </c>
      <c r="P96" s="626">
        <f t="shared" si="112"/>
        <v>0</v>
      </c>
      <c r="Q96" s="626">
        <f t="shared" si="113"/>
        <v>0</v>
      </c>
      <c r="R96" s="625">
        <f t="array" ref="R96">IFERROR(INDEX('Malaria-Equipment &amp; Other HPs'!$Q$64:$Q$122,MATCH($E96&amp;$F96,'Malaria-Equipment &amp; Other HPs'!$E$64:$E$122&amp;'Malaria-Equipment &amp; Other HPs'!$I$64:$I$122,0)),0)</f>
        <v>0</v>
      </c>
      <c r="S96" s="626">
        <f t="shared" si="114"/>
        <v>0</v>
      </c>
      <c r="T96" s="626">
        <f t="shared" si="115"/>
        <v>0</v>
      </c>
      <c r="U96" s="626">
        <f t="shared" si="116"/>
        <v>0</v>
      </c>
      <c r="V96" s="625">
        <f t="array" ref="V96">IFERROR(INDEX('Malaria-Equipment &amp; Other HPs'!$R$64:$R$122,MATCH($E96&amp;$F96,'Malaria-Equipment &amp; Other HPs'!$E$64:$E$122&amp;'Malaria-Equipment &amp; Other HPs'!$I$64:$I$122,0)),0)</f>
        <v>0</v>
      </c>
      <c r="W96" s="626">
        <f t="shared" si="117"/>
        <v>0</v>
      </c>
      <c r="X96" s="626">
        <f t="shared" si="118"/>
        <v>0</v>
      </c>
      <c r="Y96" s="626">
        <f t="shared" si="119"/>
        <v>0</v>
      </c>
      <c r="Z96" s="630"/>
      <c r="AA96" s="625">
        <f t="array" ref="AA96">IFERROR(INDEX('Malaria-Equipment &amp; Other HPs'!$U$64:$U$122,MATCH($E96&amp;$F96,'Malaria-Equipment &amp; Other HPs'!$E$64:$E$122&amp;'Malaria-Equipment &amp; Other HPs'!$I$64:$I$122,0)),0)</f>
        <v>0</v>
      </c>
      <c r="AB96" s="625">
        <f t="array" ref="AB96">IFERROR(INDEX('Malaria-Equipment &amp; Other HPs'!$V$64:$V$122,MATCH($E96&amp;$F96,'Malaria-Equipment &amp; Other HPs'!$E$64:$E$122&amp;'Malaria-Equipment &amp; Other HPs'!$I$64:$I$122,0)),0)</f>
        <v>0</v>
      </c>
      <c r="AC96" s="625">
        <f t="shared" si="120"/>
        <v>0</v>
      </c>
      <c r="AD96" s="626">
        <f t="shared" si="121"/>
        <v>0</v>
      </c>
      <c r="AE96" s="626">
        <f t="shared" si="122"/>
        <v>0</v>
      </c>
      <c r="AF96" s="625">
        <f t="array" ref="AF96">IFERROR(INDEX('Malaria-Equipment &amp; Other HPs'!$W$64:$W$122,MATCH($E96&amp;$F96,'Malaria-Equipment &amp; Other HPs'!$E$64:$E$122&amp;'Malaria-Equipment &amp; Other HPs'!$I$64:$I$122,0)),0)</f>
        <v>0</v>
      </c>
      <c r="AG96" s="625">
        <f t="shared" si="123"/>
        <v>0</v>
      </c>
      <c r="AH96" s="626">
        <f t="shared" si="124"/>
        <v>0</v>
      </c>
      <c r="AI96" s="626">
        <f t="shared" si="125"/>
        <v>0</v>
      </c>
      <c r="AJ96" s="625">
        <f t="array" ref="AJ96">IFERROR(INDEX('Malaria-Equipment &amp; Other HPs'!$X$64:$X$122,MATCH($E96&amp;$F96,'Malaria-Equipment &amp; Other HPs'!$E$64:$E$122&amp;'Malaria-Equipment &amp; Other HPs'!$I$64:$I$122,0)),0)</f>
        <v>0</v>
      </c>
      <c r="AK96" s="625">
        <f t="shared" si="126"/>
        <v>0</v>
      </c>
      <c r="AL96" s="626">
        <f t="shared" si="127"/>
        <v>0</v>
      </c>
      <c r="AM96" s="626">
        <f t="shared" si="128"/>
        <v>0</v>
      </c>
      <c r="AN96" s="625">
        <f t="array" ref="AN96">IFERROR(INDEX('Malaria-Equipment &amp; Other HPs'!$Y$64:$Y$122,MATCH($E96&amp;$F96,'Malaria-Equipment &amp; Other HPs'!$E$64:$E$122&amp;'Malaria-Equipment &amp; Other HPs'!$I$64:$I$122,0)),0)</f>
        <v>0</v>
      </c>
      <c r="AO96" s="625">
        <f t="shared" si="129"/>
        <v>0</v>
      </c>
      <c r="AP96" s="626">
        <f t="shared" si="130"/>
        <v>0</v>
      </c>
      <c r="AQ96" s="626">
        <f t="shared" si="131"/>
        <v>0</v>
      </c>
      <c r="AR96" s="630"/>
      <c r="AS96" s="625">
        <f t="array" ref="AS96">IFERROR(INDEX('Malaria-Equipment &amp; Other HPs'!$AB$64:$AB$122,MATCH($E96&amp;$F96,'Malaria-Equipment &amp; Other HPs'!$E$64:$E$122&amp;'Malaria-Equipment &amp; Other HPs'!$I$64:$I$122,0)),0)</f>
        <v>0</v>
      </c>
      <c r="AT96" s="625">
        <f t="array" ref="AT96">IFERROR(INDEX('Malaria-Equipment &amp; Other HPs'!$AC$64:$AC$122,MATCH($E96&amp;$F96,'Malaria-Equipment &amp; Other HPs'!$E$64:$E$122&amp;'Malaria-Equipment &amp; Other HPs'!$I$64:$I$122,0)),0)</f>
        <v>0</v>
      </c>
      <c r="AU96" s="625">
        <f t="shared" si="132"/>
        <v>0</v>
      </c>
      <c r="AV96" s="626">
        <f t="shared" si="133"/>
        <v>0</v>
      </c>
      <c r="AW96" s="626">
        <f t="shared" si="134"/>
        <v>0</v>
      </c>
      <c r="AX96" s="625">
        <f t="array" ref="AX96">IFERROR(INDEX('Malaria-Equipment &amp; Other HPs'!$AD$64:$AD$122,MATCH($E96&amp;$F96,'Malaria-Equipment &amp; Other HPs'!$E$64:$E$122&amp;'Malaria-Equipment &amp; Other HPs'!$I$64:$I$122,0)),0)</f>
        <v>0</v>
      </c>
      <c r="AY96" s="625">
        <f t="shared" si="135"/>
        <v>0</v>
      </c>
      <c r="AZ96" s="626">
        <f t="shared" si="136"/>
        <v>0</v>
      </c>
      <c r="BA96" s="626">
        <f t="shared" si="137"/>
        <v>0</v>
      </c>
      <c r="BB96" s="625">
        <f t="array" ref="BB96">IFERROR(INDEX('Malaria-Equipment &amp; Other HPs'!$AE$64:$AE$122,MATCH($E96&amp;$F96,'Malaria-Equipment &amp; Other HPs'!$E$64:$E$122&amp;'Malaria-Equipment &amp; Other HPs'!$I$64:$I$122,0)),0)</f>
        <v>0</v>
      </c>
      <c r="BC96" s="625">
        <f t="shared" si="138"/>
        <v>0</v>
      </c>
      <c r="BD96" s="626">
        <f t="shared" si="139"/>
        <v>0</v>
      </c>
      <c r="BE96" s="626">
        <f t="shared" si="140"/>
        <v>0</v>
      </c>
      <c r="BF96" s="625">
        <f t="array" ref="BF96">IFERROR(INDEX('Malaria-Equipment &amp; Other HPs'!$AF$64:$AF$122,MATCH($E96&amp;$F96,'Malaria-Equipment &amp; Other HPs'!$E$64:$E$122&amp;'Malaria-Equipment &amp; Other HPs'!$I$64:$I$122,0)),0)</f>
        <v>0</v>
      </c>
      <c r="BG96" s="625">
        <f t="shared" si="141"/>
        <v>0</v>
      </c>
      <c r="BH96" s="626">
        <f t="shared" si="142"/>
        <v>0</v>
      </c>
      <c r="BI96" s="626">
        <f t="shared" si="143"/>
        <v>0</v>
      </c>
      <c r="BJ96" s="630"/>
      <c r="BK96" s="625"/>
      <c r="BL96" s="625"/>
      <c r="BM96" s="625"/>
      <c r="BN96" s="625"/>
      <c r="BO96" s="625"/>
      <c r="BP96" s="625"/>
      <c r="BQ96" s="625"/>
      <c r="BR96" s="625"/>
      <c r="BT96" s="21" t="s">
        <v>6820</v>
      </c>
    </row>
    <row r="97" spans="1:72">
      <c r="A97" s="29" t="s">
        <v>1241</v>
      </c>
      <c r="B97" s="29" t="s">
        <v>1549</v>
      </c>
      <c r="C97" s="626">
        <f>SETUP!$F$54</f>
        <v>0</v>
      </c>
      <c r="D97" s="25">
        <v>5.0999999999999996</v>
      </c>
      <c r="E97" s="26" t="s">
        <v>581</v>
      </c>
      <c r="F97" s="26" t="s">
        <v>1181</v>
      </c>
      <c r="G97" s="625" t="str">
        <f t="array" ref="G97">IFERROR(INDEX('Malaria-Equipment &amp; Other HPs'!$L$64:$L$122,MATCH($E97&amp;$F97,'Malaria-Equipment &amp; Other HPs'!$E$64:$E$122&amp;'Malaria-Equipment &amp; Other HPs'!$I$64:$I$122,0)),"")</f>
        <v/>
      </c>
      <c r="H97" s="625" t="str">
        <f t="array" ref="H97">IFERROR(INDEX('Malaria-Equipment &amp; Other HPs'!$M$64:$M$122,MATCH($E97&amp;$F97,'Malaria-Equipment &amp; Other HPs'!$E$64:$E$122&amp;'Malaria-Equipment &amp; Other HPs'!$I$64:$I$122,0)),"")</f>
        <v/>
      </c>
      <c r="I97" s="625">
        <f t="array" ref="I97">IFERROR(INDEX('Malaria-Equipment &amp; Other HPs'!$N$64:$N$122,MATCH($E97&amp;$F97,'Malaria-Equipment &amp; Other HPs'!$E$64:$E$122&amp;'Malaria-Equipment &amp; Other HPs'!$I$64:$I$122,0)),0)</f>
        <v>0</v>
      </c>
      <c r="J97" s="625">
        <f t="array" ref="J97">IFERROR(INDEX('Malaria-Equipment &amp; Other HPs'!$O$64:$O$122,MATCH($E97&amp;$F97,'Malaria-Equipment &amp; Other HPs'!$E$64:$E$122&amp;'Malaria-Equipment &amp; Other HPs'!$I$64:$I$122,0)),0)</f>
        <v>0</v>
      </c>
      <c r="K97" s="626">
        <f t="shared" si="108"/>
        <v>0</v>
      </c>
      <c r="L97" s="626">
        <f t="shared" si="109"/>
        <v>0</v>
      </c>
      <c r="M97" s="626">
        <f t="shared" si="110"/>
        <v>0</v>
      </c>
      <c r="N97" s="625">
        <f t="array" ref="N97">IFERROR(INDEX('Malaria-Equipment &amp; Other HPs'!$P$64:$P$122,MATCH($E97&amp;$F97,'Malaria-Equipment &amp; Other HPs'!$E$64:$E$122&amp;'Malaria-Equipment &amp; Other HPs'!$I$64:$I$122,0)),0)</f>
        <v>0</v>
      </c>
      <c r="O97" s="626">
        <f t="shared" si="111"/>
        <v>0</v>
      </c>
      <c r="P97" s="626">
        <f t="shared" si="112"/>
        <v>0</v>
      </c>
      <c r="Q97" s="626">
        <f t="shared" si="113"/>
        <v>0</v>
      </c>
      <c r="R97" s="625">
        <f t="array" ref="R97">IFERROR(INDEX('Malaria-Equipment &amp; Other HPs'!$Q$64:$Q$122,MATCH($E97&amp;$F97,'Malaria-Equipment &amp; Other HPs'!$E$64:$E$122&amp;'Malaria-Equipment &amp; Other HPs'!$I$64:$I$122,0)),0)</f>
        <v>0</v>
      </c>
      <c r="S97" s="626">
        <f t="shared" si="114"/>
        <v>0</v>
      </c>
      <c r="T97" s="626">
        <f t="shared" si="115"/>
        <v>0</v>
      </c>
      <c r="U97" s="626">
        <f t="shared" si="116"/>
        <v>0</v>
      </c>
      <c r="V97" s="625">
        <f t="array" ref="V97">IFERROR(INDEX('Malaria-Equipment &amp; Other HPs'!$R$64:$R$122,MATCH($E97&amp;$F97,'Malaria-Equipment &amp; Other HPs'!$E$64:$E$122&amp;'Malaria-Equipment &amp; Other HPs'!$I$64:$I$122,0)),0)</f>
        <v>0</v>
      </c>
      <c r="W97" s="626">
        <f t="shared" si="117"/>
        <v>0</v>
      </c>
      <c r="X97" s="626">
        <f t="shared" si="118"/>
        <v>0</v>
      </c>
      <c r="Y97" s="626">
        <f t="shared" si="119"/>
        <v>0</v>
      </c>
      <c r="Z97" s="630"/>
      <c r="AA97" s="625">
        <f t="array" ref="AA97">IFERROR(INDEX('Malaria-Equipment &amp; Other HPs'!$U$64:$U$122,MATCH($E97&amp;$F97,'Malaria-Equipment &amp; Other HPs'!$E$64:$E$122&amp;'Malaria-Equipment &amp; Other HPs'!$I$64:$I$122,0)),0)</f>
        <v>0</v>
      </c>
      <c r="AB97" s="625">
        <f t="array" ref="AB97">IFERROR(INDEX('Malaria-Equipment &amp; Other HPs'!$V$64:$V$122,MATCH($E97&amp;$F97,'Malaria-Equipment &amp; Other HPs'!$E$64:$E$122&amp;'Malaria-Equipment &amp; Other HPs'!$I$64:$I$122,0)),0)</f>
        <v>0</v>
      </c>
      <c r="AC97" s="625">
        <f t="shared" si="120"/>
        <v>0</v>
      </c>
      <c r="AD97" s="626">
        <f t="shared" si="121"/>
        <v>0</v>
      </c>
      <c r="AE97" s="626">
        <f t="shared" si="122"/>
        <v>0</v>
      </c>
      <c r="AF97" s="625">
        <f t="array" ref="AF97">IFERROR(INDEX('Malaria-Equipment &amp; Other HPs'!$W$64:$W$122,MATCH($E97&amp;$F97,'Malaria-Equipment &amp; Other HPs'!$E$64:$E$122&amp;'Malaria-Equipment &amp; Other HPs'!$I$64:$I$122,0)),0)</f>
        <v>0</v>
      </c>
      <c r="AG97" s="625">
        <f t="shared" si="123"/>
        <v>0</v>
      </c>
      <c r="AH97" s="626">
        <f t="shared" si="124"/>
        <v>0</v>
      </c>
      <c r="AI97" s="626">
        <f t="shared" si="125"/>
        <v>0</v>
      </c>
      <c r="AJ97" s="625">
        <f t="array" ref="AJ97">IFERROR(INDEX('Malaria-Equipment &amp; Other HPs'!$X$64:$X$122,MATCH($E97&amp;$F97,'Malaria-Equipment &amp; Other HPs'!$E$64:$E$122&amp;'Malaria-Equipment &amp; Other HPs'!$I$64:$I$122,0)),0)</f>
        <v>0</v>
      </c>
      <c r="AK97" s="625">
        <f t="shared" si="126"/>
        <v>0</v>
      </c>
      <c r="AL97" s="626">
        <f t="shared" si="127"/>
        <v>0</v>
      </c>
      <c r="AM97" s="626">
        <f t="shared" si="128"/>
        <v>0</v>
      </c>
      <c r="AN97" s="625">
        <f t="array" ref="AN97">IFERROR(INDEX('Malaria-Equipment &amp; Other HPs'!$Y$64:$Y$122,MATCH($E97&amp;$F97,'Malaria-Equipment &amp; Other HPs'!$E$64:$E$122&amp;'Malaria-Equipment &amp; Other HPs'!$I$64:$I$122,0)),0)</f>
        <v>0</v>
      </c>
      <c r="AO97" s="625">
        <f t="shared" si="129"/>
        <v>0</v>
      </c>
      <c r="AP97" s="626">
        <f t="shared" si="130"/>
        <v>0</v>
      </c>
      <c r="AQ97" s="626">
        <f t="shared" si="131"/>
        <v>0</v>
      </c>
      <c r="AR97" s="630"/>
      <c r="AS97" s="625">
        <f t="array" ref="AS97">IFERROR(INDEX('Malaria-Equipment &amp; Other HPs'!$AB$64:$AB$122,MATCH($E97&amp;$F97,'Malaria-Equipment &amp; Other HPs'!$E$64:$E$122&amp;'Malaria-Equipment &amp; Other HPs'!$I$64:$I$122,0)),0)</f>
        <v>0</v>
      </c>
      <c r="AT97" s="625">
        <f t="array" ref="AT97">IFERROR(INDEX('Malaria-Equipment &amp; Other HPs'!$AC$64:$AC$122,MATCH($E97&amp;$F97,'Malaria-Equipment &amp; Other HPs'!$E$64:$E$122&amp;'Malaria-Equipment &amp; Other HPs'!$I$64:$I$122,0)),0)</f>
        <v>0</v>
      </c>
      <c r="AU97" s="625">
        <f t="shared" si="132"/>
        <v>0</v>
      </c>
      <c r="AV97" s="626">
        <f t="shared" si="133"/>
        <v>0</v>
      </c>
      <c r="AW97" s="626">
        <f t="shared" si="134"/>
        <v>0</v>
      </c>
      <c r="AX97" s="625">
        <f t="array" ref="AX97">IFERROR(INDEX('Malaria-Equipment &amp; Other HPs'!$AD$64:$AD$122,MATCH($E97&amp;$F97,'Malaria-Equipment &amp; Other HPs'!$E$64:$E$122&amp;'Malaria-Equipment &amp; Other HPs'!$I$64:$I$122,0)),0)</f>
        <v>0</v>
      </c>
      <c r="AY97" s="625">
        <f t="shared" si="135"/>
        <v>0</v>
      </c>
      <c r="AZ97" s="626">
        <f t="shared" si="136"/>
        <v>0</v>
      </c>
      <c r="BA97" s="626">
        <f t="shared" si="137"/>
        <v>0</v>
      </c>
      <c r="BB97" s="625">
        <f t="array" ref="BB97">IFERROR(INDEX('Malaria-Equipment &amp; Other HPs'!$AE$64:$AE$122,MATCH($E97&amp;$F97,'Malaria-Equipment &amp; Other HPs'!$E$64:$E$122&amp;'Malaria-Equipment &amp; Other HPs'!$I$64:$I$122,0)),0)</f>
        <v>0</v>
      </c>
      <c r="BC97" s="625">
        <f t="shared" si="138"/>
        <v>0</v>
      </c>
      <c r="BD97" s="626">
        <f t="shared" si="139"/>
        <v>0</v>
      </c>
      <c r="BE97" s="626">
        <f t="shared" si="140"/>
        <v>0</v>
      </c>
      <c r="BF97" s="625">
        <f t="array" ref="BF97">IFERROR(INDEX('Malaria-Equipment &amp; Other HPs'!$AF$64:$AF$122,MATCH($E97&amp;$F97,'Malaria-Equipment &amp; Other HPs'!$E$64:$E$122&amp;'Malaria-Equipment &amp; Other HPs'!$I$64:$I$122,0)),0)</f>
        <v>0</v>
      </c>
      <c r="BG97" s="625">
        <f t="shared" si="141"/>
        <v>0</v>
      </c>
      <c r="BH97" s="626">
        <f t="shared" si="142"/>
        <v>0</v>
      </c>
      <c r="BI97" s="626">
        <f t="shared" si="143"/>
        <v>0</v>
      </c>
      <c r="BJ97" s="630"/>
      <c r="BK97" s="625"/>
      <c r="BL97" s="625"/>
      <c r="BM97" s="625"/>
      <c r="BN97" s="625"/>
      <c r="BO97" s="625"/>
      <c r="BP97" s="625"/>
      <c r="BQ97" s="625"/>
      <c r="BR97" s="625"/>
      <c r="BT97" s="21" t="s">
        <v>6820</v>
      </c>
    </row>
    <row r="98" spans="1:72">
      <c r="A98" s="29" t="s">
        <v>1241</v>
      </c>
      <c r="B98" s="29" t="s">
        <v>1549</v>
      </c>
      <c r="C98" s="626">
        <f>SETUP!$F$54</f>
        <v>0</v>
      </c>
      <c r="D98" s="25">
        <v>5.0999999999999996</v>
      </c>
      <c r="E98" s="26" t="s">
        <v>581</v>
      </c>
      <c r="F98" s="26" t="s">
        <v>844</v>
      </c>
      <c r="G98" s="625" t="str">
        <f t="array" ref="G98">IFERROR(INDEX('Malaria-Equipment &amp; Other HPs'!$L$64:$L$122,MATCH($E98&amp;$F98,'Malaria-Equipment &amp; Other HPs'!$E$64:$E$122&amp;'Malaria-Equipment &amp; Other HPs'!$I$64:$I$122,0)),"")</f>
        <v/>
      </c>
      <c r="H98" s="625" t="str">
        <f t="array" ref="H98">IFERROR(INDEX('Malaria-Equipment &amp; Other HPs'!$M$64:$M$122,MATCH($E98&amp;$F98,'Malaria-Equipment &amp; Other HPs'!$E$64:$E$122&amp;'Malaria-Equipment &amp; Other HPs'!$I$64:$I$122,0)),"")</f>
        <v/>
      </c>
      <c r="I98" s="625">
        <f t="array" ref="I98">IFERROR(INDEX('Malaria-Equipment &amp; Other HPs'!$N$64:$N$122,MATCH($E98&amp;$F98,'Malaria-Equipment &amp; Other HPs'!$E$64:$E$122&amp;'Malaria-Equipment &amp; Other HPs'!$I$64:$I$122,0)),0)</f>
        <v>0</v>
      </c>
      <c r="J98" s="625">
        <f t="array" ref="J98">IFERROR(INDEX('Malaria-Equipment &amp; Other HPs'!$O$64:$O$122,MATCH($E98&amp;$F98,'Malaria-Equipment &amp; Other HPs'!$E$64:$E$122&amp;'Malaria-Equipment &amp; Other HPs'!$I$64:$I$122,0)),0)</f>
        <v>0</v>
      </c>
      <c r="K98" s="626">
        <f t="shared" si="108"/>
        <v>0</v>
      </c>
      <c r="L98" s="626">
        <f t="shared" si="109"/>
        <v>0</v>
      </c>
      <c r="M98" s="626">
        <f t="shared" si="110"/>
        <v>0</v>
      </c>
      <c r="N98" s="625">
        <f t="array" ref="N98">IFERROR(INDEX('Malaria-Equipment &amp; Other HPs'!$P$64:$P$122,MATCH($E98&amp;$F98,'Malaria-Equipment &amp; Other HPs'!$E$64:$E$122&amp;'Malaria-Equipment &amp; Other HPs'!$I$64:$I$122,0)),0)</f>
        <v>0</v>
      </c>
      <c r="O98" s="626">
        <f t="shared" si="111"/>
        <v>0</v>
      </c>
      <c r="P98" s="626">
        <f t="shared" si="112"/>
        <v>0</v>
      </c>
      <c r="Q98" s="626">
        <f t="shared" si="113"/>
        <v>0</v>
      </c>
      <c r="R98" s="625">
        <f t="array" ref="R98">IFERROR(INDEX('Malaria-Equipment &amp; Other HPs'!$Q$64:$Q$122,MATCH($E98&amp;$F98,'Malaria-Equipment &amp; Other HPs'!$E$64:$E$122&amp;'Malaria-Equipment &amp; Other HPs'!$I$64:$I$122,0)),0)</f>
        <v>0</v>
      </c>
      <c r="S98" s="626">
        <f t="shared" si="114"/>
        <v>0</v>
      </c>
      <c r="T98" s="626">
        <f t="shared" si="115"/>
        <v>0</v>
      </c>
      <c r="U98" s="626">
        <f t="shared" si="116"/>
        <v>0</v>
      </c>
      <c r="V98" s="625">
        <f t="array" ref="V98">IFERROR(INDEX('Malaria-Equipment &amp; Other HPs'!$R$64:$R$122,MATCH($E98&amp;$F98,'Malaria-Equipment &amp; Other HPs'!$E$64:$E$122&amp;'Malaria-Equipment &amp; Other HPs'!$I$64:$I$122,0)),0)</f>
        <v>0</v>
      </c>
      <c r="W98" s="626">
        <f t="shared" si="117"/>
        <v>0</v>
      </c>
      <c r="X98" s="626">
        <f t="shared" si="118"/>
        <v>0</v>
      </c>
      <c r="Y98" s="626">
        <f t="shared" si="119"/>
        <v>0</v>
      </c>
      <c r="Z98" s="630"/>
      <c r="AA98" s="625">
        <f t="array" ref="AA98">IFERROR(INDEX('Malaria-Equipment &amp; Other HPs'!$U$64:$U$122,MATCH($E98&amp;$F98,'Malaria-Equipment &amp; Other HPs'!$E$64:$E$122&amp;'Malaria-Equipment &amp; Other HPs'!$I$64:$I$122,0)),0)</f>
        <v>0</v>
      </c>
      <c r="AB98" s="625">
        <f t="array" ref="AB98">IFERROR(INDEX('Malaria-Equipment &amp; Other HPs'!$V$64:$V$122,MATCH($E98&amp;$F98,'Malaria-Equipment &amp; Other HPs'!$E$64:$E$122&amp;'Malaria-Equipment &amp; Other HPs'!$I$64:$I$122,0)),0)</f>
        <v>0</v>
      </c>
      <c r="AC98" s="625">
        <f t="shared" si="120"/>
        <v>0</v>
      </c>
      <c r="AD98" s="626">
        <f t="shared" si="121"/>
        <v>0</v>
      </c>
      <c r="AE98" s="626">
        <f t="shared" si="122"/>
        <v>0</v>
      </c>
      <c r="AF98" s="625">
        <f t="array" ref="AF98">IFERROR(INDEX('Malaria-Equipment &amp; Other HPs'!$W$64:$W$122,MATCH($E98&amp;$F98,'Malaria-Equipment &amp; Other HPs'!$E$64:$E$122&amp;'Malaria-Equipment &amp; Other HPs'!$I$64:$I$122,0)),0)</f>
        <v>0</v>
      </c>
      <c r="AG98" s="625">
        <f t="shared" si="123"/>
        <v>0</v>
      </c>
      <c r="AH98" s="626">
        <f t="shared" si="124"/>
        <v>0</v>
      </c>
      <c r="AI98" s="626">
        <f t="shared" si="125"/>
        <v>0</v>
      </c>
      <c r="AJ98" s="625">
        <f t="array" ref="AJ98">IFERROR(INDEX('Malaria-Equipment &amp; Other HPs'!$X$64:$X$122,MATCH($E98&amp;$F98,'Malaria-Equipment &amp; Other HPs'!$E$64:$E$122&amp;'Malaria-Equipment &amp; Other HPs'!$I$64:$I$122,0)),0)</f>
        <v>0</v>
      </c>
      <c r="AK98" s="625">
        <f t="shared" si="126"/>
        <v>0</v>
      </c>
      <c r="AL98" s="626">
        <f t="shared" si="127"/>
        <v>0</v>
      </c>
      <c r="AM98" s="626">
        <f t="shared" si="128"/>
        <v>0</v>
      </c>
      <c r="AN98" s="625">
        <f t="array" ref="AN98">IFERROR(INDEX('Malaria-Equipment &amp; Other HPs'!$Y$64:$Y$122,MATCH($E98&amp;$F98,'Malaria-Equipment &amp; Other HPs'!$E$64:$E$122&amp;'Malaria-Equipment &amp; Other HPs'!$I$64:$I$122,0)),0)</f>
        <v>0</v>
      </c>
      <c r="AO98" s="625">
        <f t="shared" si="129"/>
        <v>0</v>
      </c>
      <c r="AP98" s="626">
        <f t="shared" si="130"/>
        <v>0</v>
      </c>
      <c r="AQ98" s="626">
        <f t="shared" si="131"/>
        <v>0</v>
      </c>
      <c r="AR98" s="630"/>
      <c r="AS98" s="625">
        <f t="array" ref="AS98">IFERROR(INDEX('Malaria-Equipment &amp; Other HPs'!$AB$64:$AB$122,MATCH($E98&amp;$F98,'Malaria-Equipment &amp; Other HPs'!$E$64:$E$122&amp;'Malaria-Equipment &amp; Other HPs'!$I$64:$I$122,0)),0)</f>
        <v>0</v>
      </c>
      <c r="AT98" s="625">
        <f t="array" ref="AT98">IFERROR(INDEX('Malaria-Equipment &amp; Other HPs'!$AC$64:$AC$122,MATCH($E98&amp;$F98,'Malaria-Equipment &amp; Other HPs'!$E$64:$E$122&amp;'Malaria-Equipment &amp; Other HPs'!$I$64:$I$122,0)),0)</f>
        <v>0</v>
      </c>
      <c r="AU98" s="625">
        <f t="shared" si="132"/>
        <v>0</v>
      </c>
      <c r="AV98" s="626">
        <f t="shared" si="133"/>
        <v>0</v>
      </c>
      <c r="AW98" s="626">
        <f t="shared" si="134"/>
        <v>0</v>
      </c>
      <c r="AX98" s="625">
        <f t="array" ref="AX98">IFERROR(INDEX('Malaria-Equipment &amp; Other HPs'!$AD$64:$AD$122,MATCH($E98&amp;$F98,'Malaria-Equipment &amp; Other HPs'!$E$64:$E$122&amp;'Malaria-Equipment &amp; Other HPs'!$I$64:$I$122,0)),0)</f>
        <v>0</v>
      </c>
      <c r="AY98" s="625">
        <f t="shared" si="135"/>
        <v>0</v>
      </c>
      <c r="AZ98" s="626">
        <f t="shared" si="136"/>
        <v>0</v>
      </c>
      <c r="BA98" s="626">
        <f t="shared" si="137"/>
        <v>0</v>
      </c>
      <c r="BB98" s="625">
        <f t="array" ref="BB98">IFERROR(INDEX('Malaria-Equipment &amp; Other HPs'!$AE$64:$AE$122,MATCH($E98&amp;$F98,'Malaria-Equipment &amp; Other HPs'!$E$64:$E$122&amp;'Malaria-Equipment &amp; Other HPs'!$I$64:$I$122,0)),0)</f>
        <v>0</v>
      </c>
      <c r="BC98" s="625">
        <f t="shared" si="138"/>
        <v>0</v>
      </c>
      <c r="BD98" s="626">
        <f t="shared" si="139"/>
        <v>0</v>
      </c>
      <c r="BE98" s="626">
        <f t="shared" si="140"/>
        <v>0</v>
      </c>
      <c r="BF98" s="625">
        <f t="array" ref="BF98">IFERROR(INDEX('Malaria-Equipment &amp; Other HPs'!$AF$64:$AF$122,MATCH($E98&amp;$F98,'Malaria-Equipment &amp; Other HPs'!$E$64:$E$122&amp;'Malaria-Equipment &amp; Other HPs'!$I$64:$I$122,0)),0)</f>
        <v>0</v>
      </c>
      <c r="BG98" s="625">
        <f t="shared" si="141"/>
        <v>0</v>
      </c>
      <c r="BH98" s="626">
        <f t="shared" si="142"/>
        <v>0</v>
      </c>
      <c r="BI98" s="626">
        <f t="shared" si="143"/>
        <v>0</v>
      </c>
      <c r="BJ98" s="630"/>
      <c r="BK98" s="625"/>
      <c r="BL98" s="625"/>
      <c r="BM98" s="625"/>
      <c r="BN98" s="625"/>
      <c r="BO98" s="625"/>
      <c r="BP98" s="625"/>
      <c r="BQ98" s="625"/>
      <c r="BR98" s="625"/>
      <c r="BT98" s="21" t="s">
        <v>6820</v>
      </c>
    </row>
    <row r="99" spans="1:72">
      <c r="A99" s="29" t="s">
        <v>1241</v>
      </c>
      <c r="B99" s="29" t="s">
        <v>1549</v>
      </c>
      <c r="C99" s="626">
        <f>SETUP!$F$54</f>
        <v>0</v>
      </c>
      <c r="D99" s="25">
        <v>5.0999999999999996</v>
      </c>
      <c r="E99" s="26" t="s">
        <v>581</v>
      </c>
      <c r="F99" s="26" t="s">
        <v>1182</v>
      </c>
      <c r="G99" s="625" t="str">
        <f t="array" ref="G99">IFERROR(INDEX('Malaria-Equipment &amp; Other HPs'!$L$64:$L$122,MATCH($E99&amp;$F99,'Malaria-Equipment &amp; Other HPs'!$E$64:$E$122&amp;'Malaria-Equipment &amp; Other HPs'!$I$64:$I$122,0)),"")</f>
        <v/>
      </c>
      <c r="H99" s="625" t="str">
        <f t="array" ref="H99">IFERROR(INDEX('Malaria-Equipment &amp; Other HPs'!$M$64:$M$122,MATCH($E99&amp;$F99,'Malaria-Equipment &amp; Other HPs'!$E$64:$E$122&amp;'Malaria-Equipment &amp; Other HPs'!$I$64:$I$122,0)),"")</f>
        <v/>
      </c>
      <c r="I99" s="625">
        <f t="array" ref="I99">IFERROR(INDEX('Malaria-Equipment &amp; Other HPs'!$N$64:$N$122,MATCH($E99&amp;$F99,'Malaria-Equipment &amp; Other HPs'!$E$64:$E$122&amp;'Malaria-Equipment &amp; Other HPs'!$I$64:$I$122,0)),0)</f>
        <v>0</v>
      </c>
      <c r="J99" s="625">
        <f t="array" ref="J99">IFERROR(INDEX('Malaria-Equipment &amp; Other HPs'!$O$64:$O$122,MATCH($E99&amp;$F99,'Malaria-Equipment &amp; Other HPs'!$E$64:$E$122&amp;'Malaria-Equipment &amp; Other HPs'!$I$64:$I$122,0)),0)</f>
        <v>0</v>
      </c>
      <c r="K99" s="626">
        <f t="shared" si="108"/>
        <v>0</v>
      </c>
      <c r="L99" s="626">
        <f t="shared" si="109"/>
        <v>0</v>
      </c>
      <c r="M99" s="626">
        <f t="shared" si="110"/>
        <v>0</v>
      </c>
      <c r="N99" s="625">
        <f t="array" ref="N99">IFERROR(INDEX('Malaria-Equipment &amp; Other HPs'!$P$64:$P$122,MATCH($E99&amp;$F99,'Malaria-Equipment &amp; Other HPs'!$E$64:$E$122&amp;'Malaria-Equipment &amp; Other HPs'!$I$64:$I$122,0)),0)</f>
        <v>0</v>
      </c>
      <c r="O99" s="626">
        <f t="shared" si="111"/>
        <v>0</v>
      </c>
      <c r="P99" s="626">
        <f t="shared" si="112"/>
        <v>0</v>
      </c>
      <c r="Q99" s="626">
        <f t="shared" si="113"/>
        <v>0</v>
      </c>
      <c r="R99" s="625">
        <f t="array" ref="R99">IFERROR(INDEX('Malaria-Equipment &amp; Other HPs'!$Q$64:$Q$122,MATCH($E99&amp;$F99,'Malaria-Equipment &amp; Other HPs'!$E$64:$E$122&amp;'Malaria-Equipment &amp; Other HPs'!$I$64:$I$122,0)),0)</f>
        <v>0</v>
      </c>
      <c r="S99" s="626">
        <f t="shared" si="114"/>
        <v>0</v>
      </c>
      <c r="T99" s="626">
        <f t="shared" si="115"/>
        <v>0</v>
      </c>
      <c r="U99" s="626">
        <f t="shared" si="116"/>
        <v>0</v>
      </c>
      <c r="V99" s="625">
        <f t="array" ref="V99">IFERROR(INDEX('Malaria-Equipment &amp; Other HPs'!$R$64:$R$122,MATCH($E99&amp;$F99,'Malaria-Equipment &amp; Other HPs'!$E$64:$E$122&amp;'Malaria-Equipment &amp; Other HPs'!$I$64:$I$122,0)),0)</f>
        <v>0</v>
      </c>
      <c r="W99" s="626">
        <f t="shared" si="117"/>
        <v>0</v>
      </c>
      <c r="X99" s="626">
        <f t="shared" si="118"/>
        <v>0</v>
      </c>
      <c r="Y99" s="626">
        <f t="shared" si="119"/>
        <v>0</v>
      </c>
      <c r="Z99" s="630"/>
      <c r="AA99" s="625">
        <f t="array" ref="AA99">IFERROR(INDEX('Malaria-Equipment &amp; Other HPs'!$U$64:$U$122,MATCH($E99&amp;$F99,'Malaria-Equipment &amp; Other HPs'!$E$64:$E$122&amp;'Malaria-Equipment &amp; Other HPs'!$I$64:$I$122,0)),0)</f>
        <v>0</v>
      </c>
      <c r="AB99" s="625">
        <f t="array" ref="AB99">IFERROR(INDEX('Malaria-Equipment &amp; Other HPs'!$V$64:$V$122,MATCH($E99&amp;$F99,'Malaria-Equipment &amp; Other HPs'!$E$64:$E$122&amp;'Malaria-Equipment &amp; Other HPs'!$I$64:$I$122,0)),0)</f>
        <v>0</v>
      </c>
      <c r="AC99" s="625">
        <f t="shared" si="120"/>
        <v>0</v>
      </c>
      <c r="AD99" s="626">
        <f t="shared" si="121"/>
        <v>0</v>
      </c>
      <c r="AE99" s="626">
        <f t="shared" si="122"/>
        <v>0</v>
      </c>
      <c r="AF99" s="625">
        <f t="array" ref="AF99">IFERROR(INDEX('Malaria-Equipment &amp; Other HPs'!$W$64:$W$122,MATCH($E99&amp;$F99,'Malaria-Equipment &amp; Other HPs'!$E$64:$E$122&amp;'Malaria-Equipment &amp; Other HPs'!$I$64:$I$122,0)),0)</f>
        <v>0</v>
      </c>
      <c r="AG99" s="625">
        <f t="shared" si="123"/>
        <v>0</v>
      </c>
      <c r="AH99" s="626">
        <f t="shared" si="124"/>
        <v>0</v>
      </c>
      <c r="AI99" s="626">
        <f t="shared" si="125"/>
        <v>0</v>
      </c>
      <c r="AJ99" s="625">
        <f t="array" ref="AJ99">IFERROR(INDEX('Malaria-Equipment &amp; Other HPs'!$X$64:$X$122,MATCH($E99&amp;$F99,'Malaria-Equipment &amp; Other HPs'!$E$64:$E$122&amp;'Malaria-Equipment &amp; Other HPs'!$I$64:$I$122,0)),0)</f>
        <v>0</v>
      </c>
      <c r="AK99" s="625">
        <f t="shared" si="126"/>
        <v>0</v>
      </c>
      <c r="AL99" s="626">
        <f t="shared" si="127"/>
        <v>0</v>
      </c>
      <c r="AM99" s="626">
        <f t="shared" si="128"/>
        <v>0</v>
      </c>
      <c r="AN99" s="625">
        <f t="array" ref="AN99">IFERROR(INDEX('Malaria-Equipment &amp; Other HPs'!$Y$64:$Y$122,MATCH($E99&amp;$F99,'Malaria-Equipment &amp; Other HPs'!$E$64:$E$122&amp;'Malaria-Equipment &amp; Other HPs'!$I$64:$I$122,0)),0)</f>
        <v>0</v>
      </c>
      <c r="AO99" s="625">
        <f t="shared" si="129"/>
        <v>0</v>
      </c>
      <c r="AP99" s="626">
        <f t="shared" si="130"/>
        <v>0</v>
      </c>
      <c r="AQ99" s="626">
        <f t="shared" si="131"/>
        <v>0</v>
      </c>
      <c r="AR99" s="630"/>
      <c r="AS99" s="625">
        <f t="array" ref="AS99">IFERROR(INDEX('Malaria-Equipment &amp; Other HPs'!$AB$64:$AB$122,MATCH($E99&amp;$F99,'Malaria-Equipment &amp; Other HPs'!$E$64:$E$122&amp;'Malaria-Equipment &amp; Other HPs'!$I$64:$I$122,0)),0)</f>
        <v>0</v>
      </c>
      <c r="AT99" s="625">
        <f t="array" ref="AT99">IFERROR(INDEX('Malaria-Equipment &amp; Other HPs'!$AC$64:$AC$122,MATCH($E99&amp;$F99,'Malaria-Equipment &amp; Other HPs'!$E$64:$E$122&amp;'Malaria-Equipment &amp; Other HPs'!$I$64:$I$122,0)),0)</f>
        <v>0</v>
      </c>
      <c r="AU99" s="625">
        <f t="shared" si="132"/>
        <v>0</v>
      </c>
      <c r="AV99" s="626">
        <f t="shared" si="133"/>
        <v>0</v>
      </c>
      <c r="AW99" s="626">
        <f t="shared" si="134"/>
        <v>0</v>
      </c>
      <c r="AX99" s="625">
        <f t="array" ref="AX99">IFERROR(INDEX('Malaria-Equipment &amp; Other HPs'!$AD$64:$AD$122,MATCH($E99&amp;$F99,'Malaria-Equipment &amp; Other HPs'!$E$64:$E$122&amp;'Malaria-Equipment &amp; Other HPs'!$I$64:$I$122,0)),0)</f>
        <v>0</v>
      </c>
      <c r="AY99" s="625">
        <f t="shared" si="135"/>
        <v>0</v>
      </c>
      <c r="AZ99" s="626">
        <f t="shared" si="136"/>
        <v>0</v>
      </c>
      <c r="BA99" s="626">
        <f t="shared" si="137"/>
        <v>0</v>
      </c>
      <c r="BB99" s="625">
        <f t="array" ref="BB99">IFERROR(INDEX('Malaria-Equipment &amp; Other HPs'!$AE$64:$AE$122,MATCH($E99&amp;$F99,'Malaria-Equipment &amp; Other HPs'!$E$64:$E$122&amp;'Malaria-Equipment &amp; Other HPs'!$I$64:$I$122,0)),0)</f>
        <v>0</v>
      </c>
      <c r="BC99" s="625">
        <f t="shared" si="138"/>
        <v>0</v>
      </c>
      <c r="BD99" s="626">
        <f t="shared" si="139"/>
        <v>0</v>
      </c>
      <c r="BE99" s="626">
        <f t="shared" si="140"/>
        <v>0</v>
      </c>
      <c r="BF99" s="625">
        <f t="array" ref="BF99">IFERROR(INDEX('Malaria-Equipment &amp; Other HPs'!$AF$64:$AF$122,MATCH($E99&amp;$F99,'Malaria-Equipment &amp; Other HPs'!$E$64:$E$122&amp;'Malaria-Equipment &amp; Other HPs'!$I$64:$I$122,0)),0)</f>
        <v>0</v>
      </c>
      <c r="BG99" s="625">
        <f t="shared" si="141"/>
        <v>0</v>
      </c>
      <c r="BH99" s="626">
        <f t="shared" si="142"/>
        <v>0</v>
      </c>
      <c r="BI99" s="626">
        <f t="shared" si="143"/>
        <v>0</v>
      </c>
      <c r="BJ99" s="630"/>
      <c r="BK99" s="625"/>
      <c r="BL99" s="625"/>
      <c r="BM99" s="625"/>
      <c r="BN99" s="625"/>
      <c r="BO99" s="625"/>
      <c r="BP99" s="625"/>
      <c r="BQ99" s="625"/>
      <c r="BR99" s="625"/>
      <c r="BT99" s="21" t="s">
        <v>6820</v>
      </c>
    </row>
    <row r="100" spans="1:72">
      <c r="A100" s="29" t="s">
        <v>1241</v>
      </c>
      <c r="B100" s="29" t="s">
        <v>1549</v>
      </c>
      <c r="C100" s="626">
        <f>SETUP!$F$54</f>
        <v>0</v>
      </c>
      <c r="D100" s="25">
        <v>5.0999999999999996</v>
      </c>
      <c r="E100" s="26" t="s">
        <v>581</v>
      </c>
      <c r="F100" s="26" t="s">
        <v>845</v>
      </c>
      <c r="G100" s="625" t="str">
        <f t="array" ref="G100">IFERROR(INDEX('Malaria-Equipment &amp; Other HPs'!$L$64:$L$122,MATCH($E100&amp;$F100,'Malaria-Equipment &amp; Other HPs'!$E$64:$E$122&amp;'Malaria-Equipment &amp; Other HPs'!$I$64:$I$122,0)),"")</f>
        <v/>
      </c>
      <c r="H100" s="625" t="str">
        <f t="array" ref="H100">IFERROR(INDEX('Malaria-Equipment &amp; Other HPs'!$M$64:$M$122,MATCH($E100&amp;$F100,'Malaria-Equipment &amp; Other HPs'!$E$64:$E$122&amp;'Malaria-Equipment &amp; Other HPs'!$I$64:$I$122,0)),"")</f>
        <v/>
      </c>
      <c r="I100" s="625">
        <f t="array" ref="I100">IFERROR(INDEX('Malaria-Equipment &amp; Other HPs'!$N$64:$N$122,MATCH($E100&amp;$F100,'Malaria-Equipment &amp; Other HPs'!$E$64:$E$122&amp;'Malaria-Equipment &amp; Other HPs'!$I$64:$I$122,0)),0)</f>
        <v>0</v>
      </c>
      <c r="J100" s="625">
        <f t="array" ref="J100">IFERROR(INDEX('Malaria-Equipment &amp; Other HPs'!$O$64:$O$122,MATCH($E100&amp;$F100,'Malaria-Equipment &amp; Other HPs'!$E$64:$E$122&amp;'Malaria-Equipment &amp; Other HPs'!$I$64:$I$122,0)),0)</f>
        <v>0</v>
      </c>
      <c r="K100" s="626">
        <f t="shared" si="108"/>
        <v>0</v>
      </c>
      <c r="L100" s="626">
        <f t="shared" si="109"/>
        <v>0</v>
      </c>
      <c r="M100" s="626">
        <f t="shared" si="110"/>
        <v>0</v>
      </c>
      <c r="N100" s="625">
        <f t="array" ref="N100">IFERROR(INDEX('Malaria-Equipment &amp; Other HPs'!$P$64:$P$122,MATCH($E100&amp;$F100,'Malaria-Equipment &amp; Other HPs'!$E$64:$E$122&amp;'Malaria-Equipment &amp; Other HPs'!$I$64:$I$122,0)),0)</f>
        <v>0</v>
      </c>
      <c r="O100" s="626">
        <f t="shared" si="111"/>
        <v>0</v>
      </c>
      <c r="P100" s="626">
        <f t="shared" si="112"/>
        <v>0</v>
      </c>
      <c r="Q100" s="626">
        <f t="shared" si="113"/>
        <v>0</v>
      </c>
      <c r="R100" s="625">
        <f t="array" ref="R100">IFERROR(INDEX('Malaria-Equipment &amp; Other HPs'!$Q$64:$Q$122,MATCH($E100&amp;$F100,'Malaria-Equipment &amp; Other HPs'!$E$64:$E$122&amp;'Malaria-Equipment &amp; Other HPs'!$I$64:$I$122,0)),0)</f>
        <v>0</v>
      </c>
      <c r="S100" s="626">
        <f t="shared" si="114"/>
        <v>0</v>
      </c>
      <c r="T100" s="626">
        <f t="shared" si="115"/>
        <v>0</v>
      </c>
      <c r="U100" s="626">
        <f t="shared" si="116"/>
        <v>0</v>
      </c>
      <c r="V100" s="625">
        <f t="array" ref="V100">IFERROR(INDEX('Malaria-Equipment &amp; Other HPs'!$R$64:$R$122,MATCH($E100&amp;$F100,'Malaria-Equipment &amp; Other HPs'!$E$64:$E$122&amp;'Malaria-Equipment &amp; Other HPs'!$I$64:$I$122,0)),0)</f>
        <v>0</v>
      </c>
      <c r="W100" s="626">
        <f t="shared" si="117"/>
        <v>0</v>
      </c>
      <c r="X100" s="626">
        <f t="shared" si="118"/>
        <v>0</v>
      </c>
      <c r="Y100" s="626">
        <f t="shared" si="119"/>
        <v>0</v>
      </c>
      <c r="Z100" s="630"/>
      <c r="AA100" s="625">
        <f t="array" ref="AA100">IFERROR(INDEX('Malaria-Equipment &amp; Other HPs'!$U$64:$U$122,MATCH($E100&amp;$F100,'Malaria-Equipment &amp; Other HPs'!$E$64:$E$122&amp;'Malaria-Equipment &amp; Other HPs'!$I$64:$I$122,0)),0)</f>
        <v>0</v>
      </c>
      <c r="AB100" s="625">
        <f t="array" ref="AB100">IFERROR(INDEX('Malaria-Equipment &amp; Other HPs'!$V$64:$V$122,MATCH($E100&amp;$F100,'Malaria-Equipment &amp; Other HPs'!$E$64:$E$122&amp;'Malaria-Equipment &amp; Other HPs'!$I$64:$I$122,0)),0)</f>
        <v>0</v>
      </c>
      <c r="AC100" s="625">
        <f t="shared" si="120"/>
        <v>0</v>
      </c>
      <c r="AD100" s="626">
        <f t="shared" si="121"/>
        <v>0</v>
      </c>
      <c r="AE100" s="626">
        <f t="shared" si="122"/>
        <v>0</v>
      </c>
      <c r="AF100" s="625">
        <f t="array" ref="AF100">IFERROR(INDEX('Malaria-Equipment &amp; Other HPs'!$W$64:$W$122,MATCH($E100&amp;$F100,'Malaria-Equipment &amp; Other HPs'!$E$64:$E$122&amp;'Malaria-Equipment &amp; Other HPs'!$I$64:$I$122,0)),0)</f>
        <v>0</v>
      </c>
      <c r="AG100" s="625">
        <f t="shared" si="123"/>
        <v>0</v>
      </c>
      <c r="AH100" s="626">
        <f t="shared" si="124"/>
        <v>0</v>
      </c>
      <c r="AI100" s="626">
        <f t="shared" si="125"/>
        <v>0</v>
      </c>
      <c r="AJ100" s="625">
        <f t="array" ref="AJ100">IFERROR(INDEX('Malaria-Equipment &amp; Other HPs'!$X$64:$X$122,MATCH($E100&amp;$F100,'Malaria-Equipment &amp; Other HPs'!$E$64:$E$122&amp;'Malaria-Equipment &amp; Other HPs'!$I$64:$I$122,0)),0)</f>
        <v>0</v>
      </c>
      <c r="AK100" s="625">
        <f t="shared" si="126"/>
        <v>0</v>
      </c>
      <c r="AL100" s="626">
        <f t="shared" si="127"/>
        <v>0</v>
      </c>
      <c r="AM100" s="626">
        <f t="shared" si="128"/>
        <v>0</v>
      </c>
      <c r="AN100" s="625">
        <f t="array" ref="AN100">IFERROR(INDEX('Malaria-Equipment &amp; Other HPs'!$Y$64:$Y$122,MATCH($E100&amp;$F100,'Malaria-Equipment &amp; Other HPs'!$E$64:$E$122&amp;'Malaria-Equipment &amp; Other HPs'!$I$64:$I$122,0)),0)</f>
        <v>0</v>
      </c>
      <c r="AO100" s="625">
        <f t="shared" si="129"/>
        <v>0</v>
      </c>
      <c r="AP100" s="626">
        <f t="shared" si="130"/>
        <v>0</v>
      </c>
      <c r="AQ100" s="626">
        <f t="shared" si="131"/>
        <v>0</v>
      </c>
      <c r="AR100" s="630"/>
      <c r="AS100" s="625">
        <f t="array" ref="AS100">IFERROR(INDEX('Malaria-Equipment &amp; Other HPs'!$AB$64:$AB$122,MATCH($E100&amp;$F100,'Malaria-Equipment &amp; Other HPs'!$E$64:$E$122&amp;'Malaria-Equipment &amp; Other HPs'!$I$64:$I$122,0)),0)</f>
        <v>0</v>
      </c>
      <c r="AT100" s="625">
        <f t="array" ref="AT100">IFERROR(INDEX('Malaria-Equipment &amp; Other HPs'!$AC$64:$AC$122,MATCH($E100&amp;$F100,'Malaria-Equipment &amp; Other HPs'!$E$64:$E$122&amp;'Malaria-Equipment &amp; Other HPs'!$I$64:$I$122,0)),0)</f>
        <v>0</v>
      </c>
      <c r="AU100" s="625">
        <f t="shared" si="132"/>
        <v>0</v>
      </c>
      <c r="AV100" s="626">
        <f t="shared" si="133"/>
        <v>0</v>
      </c>
      <c r="AW100" s="626">
        <f t="shared" si="134"/>
        <v>0</v>
      </c>
      <c r="AX100" s="625">
        <f t="array" ref="AX100">IFERROR(INDEX('Malaria-Equipment &amp; Other HPs'!$AD$64:$AD$122,MATCH($E100&amp;$F100,'Malaria-Equipment &amp; Other HPs'!$E$64:$E$122&amp;'Malaria-Equipment &amp; Other HPs'!$I$64:$I$122,0)),0)</f>
        <v>0</v>
      </c>
      <c r="AY100" s="625">
        <f t="shared" si="135"/>
        <v>0</v>
      </c>
      <c r="AZ100" s="626">
        <f t="shared" si="136"/>
        <v>0</v>
      </c>
      <c r="BA100" s="626">
        <f t="shared" si="137"/>
        <v>0</v>
      </c>
      <c r="BB100" s="625">
        <f t="array" ref="BB100">IFERROR(INDEX('Malaria-Equipment &amp; Other HPs'!$AE$64:$AE$122,MATCH($E100&amp;$F100,'Malaria-Equipment &amp; Other HPs'!$E$64:$E$122&amp;'Malaria-Equipment &amp; Other HPs'!$I$64:$I$122,0)),0)</f>
        <v>0</v>
      </c>
      <c r="BC100" s="625">
        <f t="shared" si="138"/>
        <v>0</v>
      </c>
      <c r="BD100" s="626">
        <f t="shared" si="139"/>
        <v>0</v>
      </c>
      <c r="BE100" s="626">
        <f t="shared" si="140"/>
        <v>0</v>
      </c>
      <c r="BF100" s="625">
        <f t="array" ref="BF100">IFERROR(INDEX('Malaria-Equipment &amp; Other HPs'!$AF$64:$AF$122,MATCH($E100&amp;$F100,'Malaria-Equipment &amp; Other HPs'!$E$64:$E$122&amp;'Malaria-Equipment &amp; Other HPs'!$I$64:$I$122,0)),0)</f>
        <v>0</v>
      </c>
      <c r="BG100" s="625">
        <f t="shared" si="141"/>
        <v>0</v>
      </c>
      <c r="BH100" s="626">
        <f t="shared" si="142"/>
        <v>0</v>
      </c>
      <c r="BI100" s="626">
        <f t="shared" si="143"/>
        <v>0</v>
      </c>
      <c r="BJ100" s="630"/>
      <c r="BK100" s="625"/>
      <c r="BL100" s="625"/>
      <c r="BM100" s="625"/>
      <c r="BN100" s="625"/>
      <c r="BO100" s="625"/>
      <c r="BP100" s="625"/>
      <c r="BQ100" s="625"/>
      <c r="BR100" s="625"/>
      <c r="BT100" s="21" t="s">
        <v>6820</v>
      </c>
    </row>
    <row r="101" spans="1:72">
      <c r="A101" s="29" t="s">
        <v>1241</v>
      </c>
      <c r="B101" s="29" t="s">
        <v>1549</v>
      </c>
      <c r="C101" s="626">
        <f>SETUP!$F$54</f>
        <v>0</v>
      </c>
      <c r="D101" s="25">
        <v>5.0999999999999996</v>
      </c>
      <c r="E101" s="26" t="s">
        <v>581</v>
      </c>
      <c r="F101" s="26" t="s">
        <v>1183</v>
      </c>
      <c r="G101" s="625" t="str">
        <f t="array" ref="G101">IFERROR(INDEX('Malaria-Equipment &amp; Other HPs'!$L$64:$L$122,MATCH($E101&amp;$F101,'Malaria-Equipment &amp; Other HPs'!$E$64:$E$122&amp;'Malaria-Equipment &amp; Other HPs'!$I$64:$I$122,0)),"")</f>
        <v/>
      </c>
      <c r="H101" s="625" t="str">
        <f t="array" ref="H101">IFERROR(INDEX('Malaria-Equipment &amp; Other HPs'!$M$64:$M$122,MATCH($E101&amp;$F101,'Malaria-Equipment &amp; Other HPs'!$E$64:$E$122&amp;'Malaria-Equipment &amp; Other HPs'!$I$64:$I$122,0)),"")</f>
        <v/>
      </c>
      <c r="I101" s="625">
        <f t="array" ref="I101">IFERROR(INDEX('Malaria-Equipment &amp; Other HPs'!$N$64:$N$122,MATCH($E101&amp;$F101,'Malaria-Equipment &amp; Other HPs'!$E$64:$E$122&amp;'Malaria-Equipment &amp; Other HPs'!$I$64:$I$122,0)),0)</f>
        <v>0</v>
      </c>
      <c r="J101" s="625">
        <f t="array" ref="J101">IFERROR(INDEX('Malaria-Equipment &amp; Other HPs'!$O$64:$O$122,MATCH($E101&amp;$F101,'Malaria-Equipment &amp; Other HPs'!$E$64:$E$122&amp;'Malaria-Equipment &amp; Other HPs'!$I$64:$I$122,0)),0)</f>
        <v>0</v>
      </c>
      <c r="K101" s="626">
        <f t="shared" si="108"/>
        <v>0</v>
      </c>
      <c r="L101" s="626">
        <f t="shared" si="109"/>
        <v>0</v>
      </c>
      <c r="M101" s="626">
        <f t="shared" si="110"/>
        <v>0</v>
      </c>
      <c r="N101" s="625">
        <f t="array" ref="N101">IFERROR(INDEX('Malaria-Equipment &amp; Other HPs'!$P$64:$P$122,MATCH($E101&amp;$F101,'Malaria-Equipment &amp; Other HPs'!$E$64:$E$122&amp;'Malaria-Equipment &amp; Other HPs'!$I$64:$I$122,0)),0)</f>
        <v>0</v>
      </c>
      <c r="O101" s="626">
        <f t="shared" si="111"/>
        <v>0</v>
      </c>
      <c r="P101" s="626">
        <f t="shared" si="112"/>
        <v>0</v>
      </c>
      <c r="Q101" s="626">
        <f t="shared" si="113"/>
        <v>0</v>
      </c>
      <c r="R101" s="625">
        <f t="array" ref="R101">IFERROR(INDEX('Malaria-Equipment &amp; Other HPs'!$Q$64:$Q$122,MATCH($E101&amp;$F101,'Malaria-Equipment &amp; Other HPs'!$E$64:$E$122&amp;'Malaria-Equipment &amp; Other HPs'!$I$64:$I$122,0)),0)</f>
        <v>0</v>
      </c>
      <c r="S101" s="626">
        <f t="shared" si="114"/>
        <v>0</v>
      </c>
      <c r="T101" s="626">
        <f t="shared" si="115"/>
        <v>0</v>
      </c>
      <c r="U101" s="626">
        <f t="shared" si="116"/>
        <v>0</v>
      </c>
      <c r="V101" s="625">
        <f t="array" ref="V101">IFERROR(INDEX('Malaria-Equipment &amp; Other HPs'!$R$64:$R$122,MATCH($E101&amp;$F101,'Malaria-Equipment &amp; Other HPs'!$E$64:$E$122&amp;'Malaria-Equipment &amp; Other HPs'!$I$64:$I$122,0)),0)</f>
        <v>0</v>
      </c>
      <c r="W101" s="626">
        <f t="shared" si="117"/>
        <v>0</v>
      </c>
      <c r="X101" s="626">
        <f t="shared" si="118"/>
        <v>0</v>
      </c>
      <c r="Y101" s="626">
        <f t="shared" si="119"/>
        <v>0</v>
      </c>
      <c r="Z101" s="630"/>
      <c r="AA101" s="625">
        <f t="array" ref="AA101">IFERROR(INDEX('Malaria-Equipment &amp; Other HPs'!$U$64:$U$122,MATCH($E101&amp;$F101,'Malaria-Equipment &amp; Other HPs'!$E$64:$E$122&amp;'Malaria-Equipment &amp; Other HPs'!$I$64:$I$122,0)),0)</f>
        <v>0</v>
      </c>
      <c r="AB101" s="625">
        <f t="array" ref="AB101">IFERROR(INDEX('Malaria-Equipment &amp; Other HPs'!$V$64:$V$122,MATCH($E101&amp;$F101,'Malaria-Equipment &amp; Other HPs'!$E$64:$E$122&amp;'Malaria-Equipment &amp; Other HPs'!$I$64:$I$122,0)),0)</f>
        <v>0</v>
      </c>
      <c r="AC101" s="625">
        <f t="shared" si="120"/>
        <v>0</v>
      </c>
      <c r="AD101" s="626">
        <f t="shared" si="121"/>
        <v>0</v>
      </c>
      <c r="AE101" s="626">
        <f t="shared" si="122"/>
        <v>0</v>
      </c>
      <c r="AF101" s="625">
        <f t="array" ref="AF101">IFERROR(INDEX('Malaria-Equipment &amp; Other HPs'!$W$64:$W$122,MATCH($E101&amp;$F101,'Malaria-Equipment &amp; Other HPs'!$E$64:$E$122&amp;'Malaria-Equipment &amp; Other HPs'!$I$64:$I$122,0)),0)</f>
        <v>0</v>
      </c>
      <c r="AG101" s="625">
        <f t="shared" si="123"/>
        <v>0</v>
      </c>
      <c r="AH101" s="626">
        <f t="shared" si="124"/>
        <v>0</v>
      </c>
      <c r="AI101" s="626">
        <f t="shared" si="125"/>
        <v>0</v>
      </c>
      <c r="AJ101" s="625">
        <f t="array" ref="AJ101">IFERROR(INDEX('Malaria-Equipment &amp; Other HPs'!$X$64:$X$122,MATCH($E101&amp;$F101,'Malaria-Equipment &amp; Other HPs'!$E$64:$E$122&amp;'Malaria-Equipment &amp; Other HPs'!$I$64:$I$122,0)),0)</f>
        <v>0</v>
      </c>
      <c r="AK101" s="625">
        <f t="shared" si="126"/>
        <v>0</v>
      </c>
      <c r="AL101" s="626">
        <f t="shared" si="127"/>
        <v>0</v>
      </c>
      <c r="AM101" s="626">
        <f t="shared" si="128"/>
        <v>0</v>
      </c>
      <c r="AN101" s="625">
        <f t="array" ref="AN101">IFERROR(INDEX('Malaria-Equipment &amp; Other HPs'!$Y$64:$Y$122,MATCH($E101&amp;$F101,'Malaria-Equipment &amp; Other HPs'!$E$64:$E$122&amp;'Malaria-Equipment &amp; Other HPs'!$I$64:$I$122,0)),0)</f>
        <v>0</v>
      </c>
      <c r="AO101" s="625">
        <f t="shared" si="129"/>
        <v>0</v>
      </c>
      <c r="AP101" s="626">
        <f t="shared" si="130"/>
        <v>0</v>
      </c>
      <c r="AQ101" s="626">
        <f t="shared" si="131"/>
        <v>0</v>
      </c>
      <c r="AR101" s="630"/>
      <c r="AS101" s="625">
        <f t="array" ref="AS101">IFERROR(INDEX('Malaria-Equipment &amp; Other HPs'!$AB$64:$AB$122,MATCH($E101&amp;$F101,'Malaria-Equipment &amp; Other HPs'!$E$64:$E$122&amp;'Malaria-Equipment &amp; Other HPs'!$I$64:$I$122,0)),0)</f>
        <v>0</v>
      </c>
      <c r="AT101" s="625">
        <f t="array" ref="AT101">IFERROR(INDEX('Malaria-Equipment &amp; Other HPs'!$AC$64:$AC$122,MATCH($E101&amp;$F101,'Malaria-Equipment &amp; Other HPs'!$E$64:$E$122&amp;'Malaria-Equipment &amp; Other HPs'!$I$64:$I$122,0)),0)</f>
        <v>0</v>
      </c>
      <c r="AU101" s="625">
        <f t="shared" si="132"/>
        <v>0</v>
      </c>
      <c r="AV101" s="626">
        <f t="shared" si="133"/>
        <v>0</v>
      </c>
      <c r="AW101" s="626">
        <f t="shared" si="134"/>
        <v>0</v>
      </c>
      <c r="AX101" s="625">
        <f t="array" ref="AX101">IFERROR(INDEX('Malaria-Equipment &amp; Other HPs'!$AD$64:$AD$122,MATCH($E101&amp;$F101,'Malaria-Equipment &amp; Other HPs'!$E$64:$E$122&amp;'Malaria-Equipment &amp; Other HPs'!$I$64:$I$122,0)),0)</f>
        <v>0</v>
      </c>
      <c r="AY101" s="625">
        <f t="shared" si="135"/>
        <v>0</v>
      </c>
      <c r="AZ101" s="626">
        <f t="shared" si="136"/>
        <v>0</v>
      </c>
      <c r="BA101" s="626">
        <f t="shared" si="137"/>
        <v>0</v>
      </c>
      <c r="BB101" s="625">
        <f t="array" ref="BB101">IFERROR(INDEX('Malaria-Equipment &amp; Other HPs'!$AE$64:$AE$122,MATCH($E101&amp;$F101,'Malaria-Equipment &amp; Other HPs'!$E$64:$E$122&amp;'Malaria-Equipment &amp; Other HPs'!$I$64:$I$122,0)),0)</f>
        <v>0</v>
      </c>
      <c r="BC101" s="625">
        <f t="shared" si="138"/>
        <v>0</v>
      </c>
      <c r="BD101" s="626">
        <f t="shared" si="139"/>
        <v>0</v>
      </c>
      <c r="BE101" s="626">
        <f t="shared" si="140"/>
        <v>0</v>
      </c>
      <c r="BF101" s="625">
        <f t="array" ref="BF101">IFERROR(INDEX('Malaria-Equipment &amp; Other HPs'!$AF$64:$AF$122,MATCH($E101&amp;$F101,'Malaria-Equipment &amp; Other HPs'!$E$64:$E$122&amp;'Malaria-Equipment &amp; Other HPs'!$I$64:$I$122,0)),0)</f>
        <v>0</v>
      </c>
      <c r="BG101" s="625">
        <f t="shared" si="141"/>
        <v>0</v>
      </c>
      <c r="BH101" s="626">
        <f t="shared" si="142"/>
        <v>0</v>
      </c>
      <c r="BI101" s="626">
        <f t="shared" si="143"/>
        <v>0</v>
      </c>
      <c r="BJ101" s="630"/>
      <c r="BK101" s="625"/>
      <c r="BL101" s="625"/>
      <c r="BM101" s="625"/>
      <c r="BN101" s="625"/>
      <c r="BO101" s="625"/>
      <c r="BP101" s="625"/>
      <c r="BQ101" s="625"/>
      <c r="BR101" s="625"/>
      <c r="BT101" s="21" t="s">
        <v>6820</v>
      </c>
    </row>
    <row r="102" spans="1:72">
      <c r="A102" s="29" t="s">
        <v>1241</v>
      </c>
      <c r="B102" s="29" t="s">
        <v>1549</v>
      </c>
      <c r="C102" s="626">
        <f>SETUP!$F$54</f>
        <v>0</v>
      </c>
      <c r="D102" s="25">
        <v>5.0999999999999996</v>
      </c>
      <c r="E102" s="26" t="s">
        <v>581</v>
      </c>
      <c r="F102" s="26" t="s">
        <v>846</v>
      </c>
      <c r="G102" s="625" t="str">
        <f t="array" ref="G102">IFERROR(INDEX('Malaria-Equipment &amp; Other HPs'!$L$64:$L$122,MATCH($E102&amp;$F102,'Malaria-Equipment &amp; Other HPs'!$E$64:$E$122&amp;'Malaria-Equipment &amp; Other HPs'!$I$64:$I$122,0)),"")</f>
        <v/>
      </c>
      <c r="H102" s="625" t="str">
        <f t="array" ref="H102">IFERROR(INDEX('Malaria-Equipment &amp; Other HPs'!$M$64:$M$122,MATCH($E102&amp;$F102,'Malaria-Equipment &amp; Other HPs'!$E$64:$E$122&amp;'Malaria-Equipment &amp; Other HPs'!$I$64:$I$122,0)),"")</f>
        <v/>
      </c>
      <c r="I102" s="625">
        <f t="array" ref="I102">IFERROR(INDEX('Malaria-Equipment &amp; Other HPs'!$N$64:$N$122,MATCH($E102&amp;$F102,'Malaria-Equipment &amp; Other HPs'!$E$64:$E$122&amp;'Malaria-Equipment &amp; Other HPs'!$I$64:$I$122,0)),0)</f>
        <v>0</v>
      </c>
      <c r="J102" s="625">
        <f t="array" ref="J102">IFERROR(INDEX('Malaria-Equipment &amp; Other HPs'!$O$64:$O$122,MATCH($E102&amp;$F102,'Malaria-Equipment &amp; Other HPs'!$E$64:$E$122&amp;'Malaria-Equipment &amp; Other HPs'!$I$64:$I$122,0)),0)</f>
        <v>0</v>
      </c>
      <c r="K102" s="626">
        <f t="shared" si="108"/>
        <v>0</v>
      </c>
      <c r="L102" s="626">
        <f t="shared" si="109"/>
        <v>0</v>
      </c>
      <c r="M102" s="626">
        <f t="shared" si="110"/>
        <v>0</v>
      </c>
      <c r="N102" s="625">
        <f t="array" ref="N102">IFERROR(INDEX('Malaria-Equipment &amp; Other HPs'!$P$64:$P$122,MATCH($E102&amp;$F102,'Malaria-Equipment &amp; Other HPs'!$E$64:$E$122&amp;'Malaria-Equipment &amp; Other HPs'!$I$64:$I$122,0)),0)</f>
        <v>0</v>
      </c>
      <c r="O102" s="626">
        <f t="shared" si="111"/>
        <v>0</v>
      </c>
      <c r="P102" s="626">
        <f t="shared" si="112"/>
        <v>0</v>
      </c>
      <c r="Q102" s="626">
        <f t="shared" si="113"/>
        <v>0</v>
      </c>
      <c r="R102" s="625">
        <f t="array" ref="R102">IFERROR(INDEX('Malaria-Equipment &amp; Other HPs'!$Q$64:$Q$122,MATCH($E102&amp;$F102,'Malaria-Equipment &amp; Other HPs'!$E$64:$E$122&amp;'Malaria-Equipment &amp; Other HPs'!$I$64:$I$122,0)),0)</f>
        <v>0</v>
      </c>
      <c r="S102" s="626">
        <f t="shared" si="114"/>
        <v>0</v>
      </c>
      <c r="T102" s="626">
        <f t="shared" si="115"/>
        <v>0</v>
      </c>
      <c r="U102" s="626">
        <f t="shared" si="116"/>
        <v>0</v>
      </c>
      <c r="V102" s="625">
        <f t="array" ref="V102">IFERROR(INDEX('Malaria-Equipment &amp; Other HPs'!$R$64:$R$122,MATCH($E102&amp;$F102,'Malaria-Equipment &amp; Other HPs'!$E$64:$E$122&amp;'Malaria-Equipment &amp; Other HPs'!$I$64:$I$122,0)),0)</f>
        <v>0</v>
      </c>
      <c r="W102" s="626">
        <f t="shared" si="117"/>
        <v>0</v>
      </c>
      <c r="X102" s="626">
        <f t="shared" si="118"/>
        <v>0</v>
      </c>
      <c r="Y102" s="626">
        <f t="shared" si="119"/>
        <v>0</v>
      </c>
      <c r="Z102" s="630"/>
      <c r="AA102" s="625">
        <f t="array" ref="AA102">IFERROR(INDEX('Malaria-Equipment &amp; Other HPs'!$U$64:$U$122,MATCH($E102&amp;$F102,'Malaria-Equipment &amp; Other HPs'!$E$64:$E$122&amp;'Malaria-Equipment &amp; Other HPs'!$I$64:$I$122,0)),0)</f>
        <v>0</v>
      </c>
      <c r="AB102" s="625">
        <f t="array" ref="AB102">IFERROR(INDEX('Malaria-Equipment &amp; Other HPs'!$V$64:$V$122,MATCH($E102&amp;$F102,'Malaria-Equipment &amp; Other HPs'!$E$64:$E$122&amp;'Malaria-Equipment &amp; Other HPs'!$I$64:$I$122,0)),0)</f>
        <v>0</v>
      </c>
      <c r="AC102" s="625">
        <f t="shared" si="120"/>
        <v>0</v>
      </c>
      <c r="AD102" s="626">
        <f t="shared" si="121"/>
        <v>0</v>
      </c>
      <c r="AE102" s="626">
        <f t="shared" si="122"/>
        <v>0</v>
      </c>
      <c r="AF102" s="625">
        <f t="array" ref="AF102">IFERROR(INDEX('Malaria-Equipment &amp; Other HPs'!$W$64:$W$122,MATCH($E102&amp;$F102,'Malaria-Equipment &amp; Other HPs'!$E$64:$E$122&amp;'Malaria-Equipment &amp; Other HPs'!$I$64:$I$122,0)),0)</f>
        <v>0</v>
      </c>
      <c r="AG102" s="625">
        <f t="shared" si="123"/>
        <v>0</v>
      </c>
      <c r="AH102" s="626">
        <f t="shared" si="124"/>
        <v>0</v>
      </c>
      <c r="AI102" s="626">
        <f t="shared" si="125"/>
        <v>0</v>
      </c>
      <c r="AJ102" s="625">
        <f t="array" ref="AJ102">IFERROR(INDEX('Malaria-Equipment &amp; Other HPs'!$X$64:$X$122,MATCH($E102&amp;$F102,'Malaria-Equipment &amp; Other HPs'!$E$64:$E$122&amp;'Malaria-Equipment &amp; Other HPs'!$I$64:$I$122,0)),0)</f>
        <v>0</v>
      </c>
      <c r="AK102" s="625">
        <f t="shared" si="126"/>
        <v>0</v>
      </c>
      <c r="AL102" s="626">
        <f t="shared" si="127"/>
        <v>0</v>
      </c>
      <c r="AM102" s="626">
        <f t="shared" si="128"/>
        <v>0</v>
      </c>
      <c r="AN102" s="625">
        <f t="array" ref="AN102">IFERROR(INDEX('Malaria-Equipment &amp; Other HPs'!$Y$64:$Y$122,MATCH($E102&amp;$F102,'Malaria-Equipment &amp; Other HPs'!$E$64:$E$122&amp;'Malaria-Equipment &amp; Other HPs'!$I$64:$I$122,0)),0)</f>
        <v>0</v>
      </c>
      <c r="AO102" s="625">
        <f t="shared" si="129"/>
        <v>0</v>
      </c>
      <c r="AP102" s="626">
        <f t="shared" si="130"/>
        <v>0</v>
      </c>
      <c r="AQ102" s="626">
        <f t="shared" si="131"/>
        <v>0</v>
      </c>
      <c r="AR102" s="630"/>
      <c r="AS102" s="625">
        <f t="array" ref="AS102">IFERROR(INDEX('Malaria-Equipment &amp; Other HPs'!$AB$64:$AB$122,MATCH($E102&amp;$F102,'Malaria-Equipment &amp; Other HPs'!$E$64:$E$122&amp;'Malaria-Equipment &amp; Other HPs'!$I$64:$I$122,0)),0)</f>
        <v>0</v>
      </c>
      <c r="AT102" s="625">
        <f t="array" ref="AT102">IFERROR(INDEX('Malaria-Equipment &amp; Other HPs'!$AC$64:$AC$122,MATCH($E102&amp;$F102,'Malaria-Equipment &amp; Other HPs'!$E$64:$E$122&amp;'Malaria-Equipment &amp; Other HPs'!$I$64:$I$122,0)),0)</f>
        <v>0</v>
      </c>
      <c r="AU102" s="625">
        <f t="shared" si="132"/>
        <v>0</v>
      </c>
      <c r="AV102" s="626">
        <f t="shared" si="133"/>
        <v>0</v>
      </c>
      <c r="AW102" s="626">
        <f t="shared" si="134"/>
        <v>0</v>
      </c>
      <c r="AX102" s="625">
        <f t="array" ref="AX102">IFERROR(INDEX('Malaria-Equipment &amp; Other HPs'!$AD$64:$AD$122,MATCH($E102&amp;$F102,'Malaria-Equipment &amp; Other HPs'!$E$64:$E$122&amp;'Malaria-Equipment &amp; Other HPs'!$I$64:$I$122,0)),0)</f>
        <v>0</v>
      </c>
      <c r="AY102" s="625">
        <f t="shared" si="135"/>
        <v>0</v>
      </c>
      <c r="AZ102" s="626">
        <f t="shared" si="136"/>
        <v>0</v>
      </c>
      <c r="BA102" s="626">
        <f t="shared" si="137"/>
        <v>0</v>
      </c>
      <c r="BB102" s="625">
        <f t="array" ref="BB102">IFERROR(INDEX('Malaria-Equipment &amp; Other HPs'!$AE$64:$AE$122,MATCH($E102&amp;$F102,'Malaria-Equipment &amp; Other HPs'!$E$64:$E$122&amp;'Malaria-Equipment &amp; Other HPs'!$I$64:$I$122,0)),0)</f>
        <v>0</v>
      </c>
      <c r="BC102" s="625">
        <f t="shared" si="138"/>
        <v>0</v>
      </c>
      <c r="BD102" s="626">
        <f t="shared" si="139"/>
        <v>0</v>
      </c>
      <c r="BE102" s="626">
        <f t="shared" si="140"/>
        <v>0</v>
      </c>
      <c r="BF102" s="625">
        <f t="array" ref="BF102">IFERROR(INDEX('Malaria-Equipment &amp; Other HPs'!$AF$64:$AF$122,MATCH($E102&amp;$F102,'Malaria-Equipment &amp; Other HPs'!$E$64:$E$122&amp;'Malaria-Equipment &amp; Other HPs'!$I$64:$I$122,0)),0)</f>
        <v>0</v>
      </c>
      <c r="BG102" s="625">
        <f t="shared" si="141"/>
        <v>0</v>
      </c>
      <c r="BH102" s="626">
        <f t="shared" si="142"/>
        <v>0</v>
      </c>
      <c r="BI102" s="626">
        <f t="shared" si="143"/>
        <v>0</v>
      </c>
      <c r="BJ102" s="630"/>
      <c r="BK102" s="625"/>
      <c r="BL102" s="625"/>
      <c r="BM102" s="625"/>
      <c r="BN102" s="625"/>
      <c r="BO102" s="625"/>
      <c r="BP102" s="625"/>
      <c r="BQ102" s="625"/>
      <c r="BR102" s="625"/>
      <c r="BT102" s="21" t="s">
        <v>6820</v>
      </c>
    </row>
    <row r="103" spans="1:72">
      <c r="A103" s="29" t="s">
        <v>1241</v>
      </c>
      <c r="B103" s="29" t="s">
        <v>1549</v>
      </c>
      <c r="C103" s="626">
        <f>SETUP!$F$54</f>
        <v>0</v>
      </c>
      <c r="D103" s="25">
        <v>5.0999999999999996</v>
      </c>
      <c r="E103" s="26" t="s">
        <v>581</v>
      </c>
      <c r="F103" s="26" t="s">
        <v>1184</v>
      </c>
      <c r="G103" s="625" t="str">
        <f t="array" ref="G103">IFERROR(INDEX('Malaria-Equipment &amp; Other HPs'!$L$64:$L$122,MATCH($E103&amp;$F103,'Malaria-Equipment &amp; Other HPs'!$E$64:$E$122&amp;'Malaria-Equipment &amp; Other HPs'!$I$64:$I$122,0)),"")</f>
        <v/>
      </c>
      <c r="H103" s="625" t="str">
        <f t="array" ref="H103">IFERROR(INDEX('Malaria-Equipment &amp; Other HPs'!$M$64:$M$122,MATCH($E103&amp;$F103,'Malaria-Equipment &amp; Other HPs'!$E$64:$E$122&amp;'Malaria-Equipment &amp; Other HPs'!$I$64:$I$122,0)),"")</f>
        <v/>
      </c>
      <c r="I103" s="625">
        <f t="array" ref="I103">IFERROR(INDEX('Malaria-Equipment &amp; Other HPs'!$N$64:$N$122,MATCH($E103&amp;$F103,'Malaria-Equipment &amp; Other HPs'!$E$64:$E$122&amp;'Malaria-Equipment &amp; Other HPs'!$I$64:$I$122,0)),0)</f>
        <v>0</v>
      </c>
      <c r="J103" s="625">
        <f t="array" ref="J103">IFERROR(INDEX('Malaria-Equipment &amp; Other HPs'!$O$64:$O$122,MATCH($E103&amp;$F103,'Malaria-Equipment &amp; Other HPs'!$E$64:$E$122&amp;'Malaria-Equipment &amp; Other HPs'!$I$64:$I$122,0)),0)</f>
        <v>0</v>
      </c>
      <c r="K103" s="626">
        <f t="shared" si="108"/>
        <v>0</v>
      </c>
      <c r="L103" s="626">
        <f t="shared" si="109"/>
        <v>0</v>
      </c>
      <c r="M103" s="626">
        <f t="shared" si="110"/>
        <v>0</v>
      </c>
      <c r="N103" s="625">
        <f t="array" ref="N103">IFERROR(INDEX('Malaria-Equipment &amp; Other HPs'!$P$64:$P$122,MATCH($E103&amp;$F103,'Malaria-Equipment &amp; Other HPs'!$E$64:$E$122&amp;'Malaria-Equipment &amp; Other HPs'!$I$64:$I$122,0)),0)</f>
        <v>0</v>
      </c>
      <c r="O103" s="626">
        <f t="shared" si="111"/>
        <v>0</v>
      </c>
      <c r="P103" s="626">
        <f t="shared" si="112"/>
        <v>0</v>
      </c>
      <c r="Q103" s="626">
        <f t="shared" si="113"/>
        <v>0</v>
      </c>
      <c r="R103" s="625">
        <f t="array" ref="R103">IFERROR(INDEX('Malaria-Equipment &amp; Other HPs'!$Q$64:$Q$122,MATCH($E103&amp;$F103,'Malaria-Equipment &amp; Other HPs'!$E$64:$E$122&amp;'Malaria-Equipment &amp; Other HPs'!$I$64:$I$122,0)),0)</f>
        <v>0</v>
      </c>
      <c r="S103" s="626">
        <f t="shared" si="114"/>
        <v>0</v>
      </c>
      <c r="T103" s="626">
        <f t="shared" si="115"/>
        <v>0</v>
      </c>
      <c r="U103" s="626">
        <f t="shared" si="116"/>
        <v>0</v>
      </c>
      <c r="V103" s="625">
        <f t="array" ref="V103">IFERROR(INDEX('Malaria-Equipment &amp; Other HPs'!$R$64:$R$122,MATCH($E103&amp;$F103,'Malaria-Equipment &amp; Other HPs'!$E$64:$E$122&amp;'Malaria-Equipment &amp; Other HPs'!$I$64:$I$122,0)),0)</f>
        <v>0</v>
      </c>
      <c r="W103" s="626">
        <f t="shared" si="117"/>
        <v>0</v>
      </c>
      <c r="X103" s="626">
        <f t="shared" si="118"/>
        <v>0</v>
      </c>
      <c r="Y103" s="626">
        <f t="shared" si="119"/>
        <v>0</v>
      </c>
      <c r="Z103" s="630"/>
      <c r="AA103" s="625">
        <f t="array" ref="AA103">IFERROR(INDEX('Malaria-Equipment &amp; Other HPs'!$U$64:$U$122,MATCH($E103&amp;$F103,'Malaria-Equipment &amp; Other HPs'!$E$64:$E$122&amp;'Malaria-Equipment &amp; Other HPs'!$I$64:$I$122,0)),0)</f>
        <v>0</v>
      </c>
      <c r="AB103" s="625">
        <f t="array" ref="AB103">IFERROR(INDEX('Malaria-Equipment &amp; Other HPs'!$V$64:$V$122,MATCH($E103&amp;$F103,'Malaria-Equipment &amp; Other HPs'!$E$64:$E$122&amp;'Malaria-Equipment &amp; Other HPs'!$I$64:$I$122,0)),0)</f>
        <v>0</v>
      </c>
      <c r="AC103" s="625">
        <f t="shared" si="120"/>
        <v>0</v>
      </c>
      <c r="AD103" s="626">
        <f t="shared" si="121"/>
        <v>0</v>
      </c>
      <c r="AE103" s="626">
        <f t="shared" si="122"/>
        <v>0</v>
      </c>
      <c r="AF103" s="625">
        <f t="array" ref="AF103">IFERROR(INDEX('Malaria-Equipment &amp; Other HPs'!$W$64:$W$122,MATCH($E103&amp;$F103,'Malaria-Equipment &amp; Other HPs'!$E$64:$E$122&amp;'Malaria-Equipment &amp; Other HPs'!$I$64:$I$122,0)),0)</f>
        <v>0</v>
      </c>
      <c r="AG103" s="625">
        <f t="shared" si="123"/>
        <v>0</v>
      </c>
      <c r="AH103" s="626">
        <f t="shared" si="124"/>
        <v>0</v>
      </c>
      <c r="AI103" s="626">
        <f t="shared" si="125"/>
        <v>0</v>
      </c>
      <c r="AJ103" s="625">
        <f t="array" ref="AJ103">IFERROR(INDEX('Malaria-Equipment &amp; Other HPs'!$X$64:$X$122,MATCH($E103&amp;$F103,'Malaria-Equipment &amp; Other HPs'!$E$64:$E$122&amp;'Malaria-Equipment &amp; Other HPs'!$I$64:$I$122,0)),0)</f>
        <v>0</v>
      </c>
      <c r="AK103" s="625">
        <f t="shared" si="126"/>
        <v>0</v>
      </c>
      <c r="AL103" s="626">
        <f t="shared" si="127"/>
        <v>0</v>
      </c>
      <c r="AM103" s="626">
        <f t="shared" si="128"/>
        <v>0</v>
      </c>
      <c r="AN103" s="625">
        <f t="array" ref="AN103">IFERROR(INDEX('Malaria-Equipment &amp; Other HPs'!$Y$64:$Y$122,MATCH($E103&amp;$F103,'Malaria-Equipment &amp; Other HPs'!$E$64:$E$122&amp;'Malaria-Equipment &amp; Other HPs'!$I$64:$I$122,0)),0)</f>
        <v>0</v>
      </c>
      <c r="AO103" s="625">
        <f t="shared" si="129"/>
        <v>0</v>
      </c>
      <c r="AP103" s="626">
        <f t="shared" si="130"/>
        <v>0</v>
      </c>
      <c r="AQ103" s="626">
        <f t="shared" si="131"/>
        <v>0</v>
      </c>
      <c r="AR103" s="630"/>
      <c r="AS103" s="625">
        <f t="array" ref="AS103">IFERROR(INDEX('Malaria-Equipment &amp; Other HPs'!$AB$64:$AB$122,MATCH($E103&amp;$F103,'Malaria-Equipment &amp; Other HPs'!$E$64:$E$122&amp;'Malaria-Equipment &amp; Other HPs'!$I$64:$I$122,0)),0)</f>
        <v>0</v>
      </c>
      <c r="AT103" s="625">
        <f t="array" ref="AT103">IFERROR(INDEX('Malaria-Equipment &amp; Other HPs'!$AC$64:$AC$122,MATCH($E103&amp;$F103,'Malaria-Equipment &amp; Other HPs'!$E$64:$E$122&amp;'Malaria-Equipment &amp; Other HPs'!$I$64:$I$122,0)),0)</f>
        <v>0</v>
      </c>
      <c r="AU103" s="625">
        <f t="shared" si="132"/>
        <v>0</v>
      </c>
      <c r="AV103" s="626">
        <f t="shared" si="133"/>
        <v>0</v>
      </c>
      <c r="AW103" s="626">
        <f t="shared" si="134"/>
        <v>0</v>
      </c>
      <c r="AX103" s="625">
        <f t="array" ref="AX103">IFERROR(INDEX('Malaria-Equipment &amp; Other HPs'!$AD$64:$AD$122,MATCH($E103&amp;$F103,'Malaria-Equipment &amp; Other HPs'!$E$64:$E$122&amp;'Malaria-Equipment &amp; Other HPs'!$I$64:$I$122,0)),0)</f>
        <v>0</v>
      </c>
      <c r="AY103" s="625">
        <f t="shared" si="135"/>
        <v>0</v>
      </c>
      <c r="AZ103" s="626">
        <f t="shared" si="136"/>
        <v>0</v>
      </c>
      <c r="BA103" s="626">
        <f t="shared" si="137"/>
        <v>0</v>
      </c>
      <c r="BB103" s="625">
        <f t="array" ref="BB103">IFERROR(INDEX('Malaria-Equipment &amp; Other HPs'!$AE$64:$AE$122,MATCH($E103&amp;$F103,'Malaria-Equipment &amp; Other HPs'!$E$64:$E$122&amp;'Malaria-Equipment &amp; Other HPs'!$I$64:$I$122,0)),0)</f>
        <v>0</v>
      </c>
      <c r="BC103" s="625">
        <f t="shared" si="138"/>
        <v>0</v>
      </c>
      <c r="BD103" s="626">
        <f t="shared" si="139"/>
        <v>0</v>
      </c>
      <c r="BE103" s="626">
        <f t="shared" si="140"/>
        <v>0</v>
      </c>
      <c r="BF103" s="625">
        <f t="array" ref="BF103">IFERROR(INDEX('Malaria-Equipment &amp; Other HPs'!$AF$64:$AF$122,MATCH($E103&amp;$F103,'Malaria-Equipment &amp; Other HPs'!$E$64:$E$122&amp;'Malaria-Equipment &amp; Other HPs'!$I$64:$I$122,0)),0)</f>
        <v>0</v>
      </c>
      <c r="BG103" s="625">
        <f t="shared" si="141"/>
        <v>0</v>
      </c>
      <c r="BH103" s="626">
        <f t="shared" si="142"/>
        <v>0</v>
      </c>
      <c r="BI103" s="626">
        <f t="shared" si="143"/>
        <v>0</v>
      </c>
      <c r="BJ103" s="630"/>
      <c r="BK103" s="625"/>
      <c r="BL103" s="625"/>
      <c r="BM103" s="625"/>
      <c r="BN103" s="625"/>
      <c r="BO103" s="625"/>
      <c r="BP103" s="625"/>
      <c r="BQ103" s="625"/>
      <c r="BR103" s="625"/>
      <c r="BT103" s="21" t="s">
        <v>6820</v>
      </c>
    </row>
    <row r="104" spans="1:72">
      <c r="A104" s="29" t="s">
        <v>1241</v>
      </c>
      <c r="B104" s="29" t="s">
        <v>1549</v>
      </c>
      <c r="C104" s="626">
        <f>SETUP!$F$54</f>
        <v>0</v>
      </c>
      <c r="D104" s="25">
        <v>5.0999999999999996</v>
      </c>
      <c r="E104" s="26" t="s">
        <v>581</v>
      </c>
      <c r="F104" s="26" t="s">
        <v>847</v>
      </c>
      <c r="G104" s="625" t="str">
        <f t="array" ref="G104">IFERROR(INDEX('Malaria-Equipment &amp; Other HPs'!$L$64:$L$122,MATCH($E104&amp;$F104,'Malaria-Equipment &amp; Other HPs'!$E$64:$E$122&amp;'Malaria-Equipment &amp; Other HPs'!$I$64:$I$122,0)),"")</f>
        <v/>
      </c>
      <c r="H104" s="625" t="str">
        <f t="array" ref="H104">IFERROR(INDEX('Malaria-Equipment &amp; Other HPs'!$M$64:$M$122,MATCH($E104&amp;$F104,'Malaria-Equipment &amp; Other HPs'!$E$64:$E$122&amp;'Malaria-Equipment &amp; Other HPs'!$I$64:$I$122,0)),"")</f>
        <v/>
      </c>
      <c r="I104" s="625">
        <f t="array" ref="I104">IFERROR(INDEX('Malaria-Equipment &amp; Other HPs'!$N$64:$N$122,MATCH($E104&amp;$F104,'Malaria-Equipment &amp; Other HPs'!$E$64:$E$122&amp;'Malaria-Equipment &amp; Other HPs'!$I$64:$I$122,0)),0)</f>
        <v>0</v>
      </c>
      <c r="J104" s="625">
        <f t="array" ref="J104">IFERROR(INDEX('Malaria-Equipment &amp; Other HPs'!$O$64:$O$122,MATCH($E104&amp;$F104,'Malaria-Equipment &amp; Other HPs'!$E$64:$E$122&amp;'Malaria-Equipment &amp; Other HPs'!$I$64:$I$122,0)),0)</f>
        <v>0</v>
      </c>
      <c r="K104" s="626">
        <f t="shared" si="108"/>
        <v>0</v>
      </c>
      <c r="L104" s="626">
        <f t="shared" si="109"/>
        <v>0</v>
      </c>
      <c r="M104" s="626">
        <f t="shared" si="110"/>
        <v>0</v>
      </c>
      <c r="N104" s="625">
        <f t="array" ref="N104">IFERROR(INDEX('Malaria-Equipment &amp; Other HPs'!$P$64:$P$122,MATCH($E104&amp;$F104,'Malaria-Equipment &amp; Other HPs'!$E$64:$E$122&amp;'Malaria-Equipment &amp; Other HPs'!$I$64:$I$122,0)),0)</f>
        <v>0</v>
      </c>
      <c r="O104" s="626">
        <f t="shared" si="111"/>
        <v>0</v>
      </c>
      <c r="P104" s="626">
        <f t="shared" si="112"/>
        <v>0</v>
      </c>
      <c r="Q104" s="626">
        <f t="shared" si="113"/>
        <v>0</v>
      </c>
      <c r="R104" s="625">
        <f t="array" ref="R104">IFERROR(INDEX('Malaria-Equipment &amp; Other HPs'!$Q$64:$Q$122,MATCH($E104&amp;$F104,'Malaria-Equipment &amp; Other HPs'!$E$64:$E$122&amp;'Malaria-Equipment &amp; Other HPs'!$I$64:$I$122,0)),0)</f>
        <v>0</v>
      </c>
      <c r="S104" s="626">
        <f t="shared" si="114"/>
        <v>0</v>
      </c>
      <c r="T104" s="626">
        <f t="shared" si="115"/>
        <v>0</v>
      </c>
      <c r="U104" s="626">
        <f t="shared" si="116"/>
        <v>0</v>
      </c>
      <c r="V104" s="625">
        <f t="array" ref="V104">IFERROR(INDEX('Malaria-Equipment &amp; Other HPs'!$R$64:$R$122,MATCH($E104&amp;$F104,'Malaria-Equipment &amp; Other HPs'!$E$64:$E$122&amp;'Malaria-Equipment &amp; Other HPs'!$I$64:$I$122,0)),0)</f>
        <v>0</v>
      </c>
      <c r="W104" s="626">
        <f t="shared" si="117"/>
        <v>0</v>
      </c>
      <c r="X104" s="626">
        <f t="shared" si="118"/>
        <v>0</v>
      </c>
      <c r="Y104" s="626">
        <f t="shared" si="119"/>
        <v>0</v>
      </c>
      <c r="Z104" s="630"/>
      <c r="AA104" s="625">
        <f t="array" ref="AA104">IFERROR(INDEX('Malaria-Equipment &amp; Other HPs'!$U$64:$U$122,MATCH($E104&amp;$F104,'Malaria-Equipment &amp; Other HPs'!$E$64:$E$122&amp;'Malaria-Equipment &amp; Other HPs'!$I$64:$I$122,0)),0)</f>
        <v>0</v>
      </c>
      <c r="AB104" s="625">
        <f t="array" ref="AB104">IFERROR(INDEX('Malaria-Equipment &amp; Other HPs'!$V$64:$V$122,MATCH($E104&amp;$F104,'Malaria-Equipment &amp; Other HPs'!$E$64:$E$122&amp;'Malaria-Equipment &amp; Other HPs'!$I$64:$I$122,0)),0)</f>
        <v>0</v>
      </c>
      <c r="AC104" s="625">
        <f t="shared" si="120"/>
        <v>0</v>
      </c>
      <c r="AD104" s="626">
        <f t="shared" si="121"/>
        <v>0</v>
      </c>
      <c r="AE104" s="626">
        <f t="shared" si="122"/>
        <v>0</v>
      </c>
      <c r="AF104" s="625">
        <f t="array" ref="AF104">IFERROR(INDEX('Malaria-Equipment &amp; Other HPs'!$W$64:$W$122,MATCH($E104&amp;$F104,'Malaria-Equipment &amp; Other HPs'!$E$64:$E$122&amp;'Malaria-Equipment &amp; Other HPs'!$I$64:$I$122,0)),0)</f>
        <v>0</v>
      </c>
      <c r="AG104" s="625">
        <f t="shared" si="123"/>
        <v>0</v>
      </c>
      <c r="AH104" s="626">
        <f t="shared" si="124"/>
        <v>0</v>
      </c>
      <c r="AI104" s="626">
        <f t="shared" si="125"/>
        <v>0</v>
      </c>
      <c r="AJ104" s="625">
        <f t="array" ref="AJ104">IFERROR(INDEX('Malaria-Equipment &amp; Other HPs'!$X$64:$X$122,MATCH($E104&amp;$F104,'Malaria-Equipment &amp; Other HPs'!$E$64:$E$122&amp;'Malaria-Equipment &amp; Other HPs'!$I$64:$I$122,0)),0)</f>
        <v>0</v>
      </c>
      <c r="AK104" s="625">
        <f t="shared" si="126"/>
        <v>0</v>
      </c>
      <c r="AL104" s="626">
        <f t="shared" si="127"/>
        <v>0</v>
      </c>
      <c r="AM104" s="626">
        <f t="shared" si="128"/>
        <v>0</v>
      </c>
      <c r="AN104" s="625">
        <f t="array" ref="AN104">IFERROR(INDEX('Malaria-Equipment &amp; Other HPs'!$Y$64:$Y$122,MATCH($E104&amp;$F104,'Malaria-Equipment &amp; Other HPs'!$E$64:$E$122&amp;'Malaria-Equipment &amp; Other HPs'!$I$64:$I$122,0)),0)</f>
        <v>0</v>
      </c>
      <c r="AO104" s="625">
        <f t="shared" si="129"/>
        <v>0</v>
      </c>
      <c r="AP104" s="626">
        <f t="shared" si="130"/>
        <v>0</v>
      </c>
      <c r="AQ104" s="626">
        <f t="shared" si="131"/>
        <v>0</v>
      </c>
      <c r="AR104" s="630"/>
      <c r="AS104" s="625">
        <f t="array" ref="AS104">IFERROR(INDEX('Malaria-Equipment &amp; Other HPs'!$AB$64:$AB$122,MATCH($E104&amp;$F104,'Malaria-Equipment &amp; Other HPs'!$E$64:$E$122&amp;'Malaria-Equipment &amp; Other HPs'!$I$64:$I$122,0)),0)</f>
        <v>0</v>
      </c>
      <c r="AT104" s="625">
        <f t="array" ref="AT104">IFERROR(INDEX('Malaria-Equipment &amp; Other HPs'!$AC$64:$AC$122,MATCH($E104&amp;$F104,'Malaria-Equipment &amp; Other HPs'!$E$64:$E$122&amp;'Malaria-Equipment &amp; Other HPs'!$I$64:$I$122,0)),0)</f>
        <v>0</v>
      </c>
      <c r="AU104" s="625">
        <f t="shared" si="132"/>
        <v>0</v>
      </c>
      <c r="AV104" s="626">
        <f t="shared" si="133"/>
        <v>0</v>
      </c>
      <c r="AW104" s="626">
        <f t="shared" si="134"/>
        <v>0</v>
      </c>
      <c r="AX104" s="625">
        <f t="array" ref="AX104">IFERROR(INDEX('Malaria-Equipment &amp; Other HPs'!$AD$64:$AD$122,MATCH($E104&amp;$F104,'Malaria-Equipment &amp; Other HPs'!$E$64:$E$122&amp;'Malaria-Equipment &amp; Other HPs'!$I$64:$I$122,0)),0)</f>
        <v>0</v>
      </c>
      <c r="AY104" s="625">
        <f t="shared" si="135"/>
        <v>0</v>
      </c>
      <c r="AZ104" s="626">
        <f t="shared" si="136"/>
        <v>0</v>
      </c>
      <c r="BA104" s="626">
        <f t="shared" si="137"/>
        <v>0</v>
      </c>
      <c r="BB104" s="625">
        <f t="array" ref="BB104">IFERROR(INDEX('Malaria-Equipment &amp; Other HPs'!$AE$64:$AE$122,MATCH($E104&amp;$F104,'Malaria-Equipment &amp; Other HPs'!$E$64:$E$122&amp;'Malaria-Equipment &amp; Other HPs'!$I$64:$I$122,0)),0)</f>
        <v>0</v>
      </c>
      <c r="BC104" s="625">
        <f t="shared" si="138"/>
        <v>0</v>
      </c>
      <c r="BD104" s="626">
        <f t="shared" si="139"/>
        <v>0</v>
      </c>
      <c r="BE104" s="626">
        <f t="shared" si="140"/>
        <v>0</v>
      </c>
      <c r="BF104" s="625">
        <f t="array" ref="BF104">IFERROR(INDEX('Malaria-Equipment &amp; Other HPs'!$AF$64:$AF$122,MATCH($E104&amp;$F104,'Malaria-Equipment &amp; Other HPs'!$E$64:$E$122&amp;'Malaria-Equipment &amp; Other HPs'!$I$64:$I$122,0)),0)</f>
        <v>0</v>
      </c>
      <c r="BG104" s="625">
        <f t="shared" si="141"/>
        <v>0</v>
      </c>
      <c r="BH104" s="626">
        <f t="shared" si="142"/>
        <v>0</v>
      </c>
      <c r="BI104" s="626">
        <f t="shared" si="143"/>
        <v>0</v>
      </c>
      <c r="BJ104" s="630"/>
      <c r="BK104" s="625"/>
      <c r="BL104" s="625"/>
      <c r="BM104" s="625"/>
      <c r="BN104" s="625"/>
      <c r="BO104" s="625"/>
      <c r="BP104" s="625"/>
      <c r="BQ104" s="625"/>
      <c r="BR104" s="625"/>
      <c r="BT104" s="21" t="s">
        <v>6820</v>
      </c>
    </row>
    <row r="105" spans="1:72">
      <c r="A105" s="29" t="s">
        <v>1241</v>
      </c>
      <c r="B105" s="29" t="s">
        <v>1549</v>
      </c>
      <c r="C105" s="626">
        <f>SETUP!$F$54</f>
        <v>0</v>
      </c>
      <c r="D105" s="25">
        <v>5.0999999999999996</v>
      </c>
      <c r="E105" s="26" t="s">
        <v>581</v>
      </c>
      <c r="F105" s="26" t="s">
        <v>1185</v>
      </c>
      <c r="G105" s="625" t="str">
        <f t="array" ref="G105">IFERROR(INDEX('Malaria-Equipment &amp; Other HPs'!$L$64:$L$122,MATCH($E105&amp;$F105,'Malaria-Equipment &amp; Other HPs'!$E$64:$E$122&amp;'Malaria-Equipment &amp; Other HPs'!$I$64:$I$122,0)),"")</f>
        <v/>
      </c>
      <c r="H105" s="625" t="str">
        <f t="array" ref="H105">IFERROR(INDEX('Malaria-Equipment &amp; Other HPs'!$M$64:$M$122,MATCH($E105&amp;$F105,'Malaria-Equipment &amp; Other HPs'!$E$64:$E$122&amp;'Malaria-Equipment &amp; Other HPs'!$I$64:$I$122,0)),"")</f>
        <v/>
      </c>
      <c r="I105" s="625">
        <f t="array" ref="I105">IFERROR(INDEX('Malaria-Equipment &amp; Other HPs'!$N$64:$N$122,MATCH($E105&amp;$F105,'Malaria-Equipment &amp; Other HPs'!$E$64:$E$122&amp;'Malaria-Equipment &amp; Other HPs'!$I$64:$I$122,0)),0)</f>
        <v>0</v>
      </c>
      <c r="J105" s="625">
        <f t="array" ref="J105">IFERROR(INDEX('Malaria-Equipment &amp; Other HPs'!$O$64:$O$122,MATCH($E105&amp;$F105,'Malaria-Equipment &amp; Other HPs'!$E$64:$E$122&amp;'Malaria-Equipment &amp; Other HPs'!$I$64:$I$122,0)),0)</f>
        <v>0</v>
      </c>
      <c r="K105" s="626">
        <f t="shared" si="108"/>
        <v>0</v>
      </c>
      <c r="L105" s="626">
        <f t="shared" si="109"/>
        <v>0</v>
      </c>
      <c r="M105" s="626">
        <f t="shared" si="110"/>
        <v>0</v>
      </c>
      <c r="N105" s="625">
        <f t="array" ref="N105">IFERROR(INDEX('Malaria-Equipment &amp; Other HPs'!$P$64:$P$122,MATCH($E105&amp;$F105,'Malaria-Equipment &amp; Other HPs'!$E$64:$E$122&amp;'Malaria-Equipment &amp; Other HPs'!$I$64:$I$122,0)),0)</f>
        <v>0</v>
      </c>
      <c r="O105" s="626">
        <f t="shared" si="111"/>
        <v>0</v>
      </c>
      <c r="P105" s="626">
        <f t="shared" si="112"/>
        <v>0</v>
      </c>
      <c r="Q105" s="626">
        <f t="shared" si="113"/>
        <v>0</v>
      </c>
      <c r="R105" s="625">
        <f t="array" ref="R105">IFERROR(INDEX('Malaria-Equipment &amp; Other HPs'!$Q$64:$Q$122,MATCH($E105&amp;$F105,'Malaria-Equipment &amp; Other HPs'!$E$64:$E$122&amp;'Malaria-Equipment &amp; Other HPs'!$I$64:$I$122,0)),0)</f>
        <v>0</v>
      </c>
      <c r="S105" s="626">
        <f t="shared" si="114"/>
        <v>0</v>
      </c>
      <c r="T105" s="626">
        <f t="shared" si="115"/>
        <v>0</v>
      </c>
      <c r="U105" s="626">
        <f t="shared" si="116"/>
        <v>0</v>
      </c>
      <c r="V105" s="625">
        <f t="array" ref="V105">IFERROR(INDEX('Malaria-Equipment &amp; Other HPs'!$R$64:$R$122,MATCH($E105&amp;$F105,'Malaria-Equipment &amp; Other HPs'!$E$64:$E$122&amp;'Malaria-Equipment &amp; Other HPs'!$I$64:$I$122,0)),0)</f>
        <v>0</v>
      </c>
      <c r="W105" s="626">
        <f t="shared" si="117"/>
        <v>0</v>
      </c>
      <c r="X105" s="626">
        <f t="shared" si="118"/>
        <v>0</v>
      </c>
      <c r="Y105" s="626">
        <f t="shared" si="119"/>
        <v>0</v>
      </c>
      <c r="Z105" s="630"/>
      <c r="AA105" s="625">
        <f t="array" ref="AA105">IFERROR(INDEX('Malaria-Equipment &amp; Other HPs'!$U$64:$U$122,MATCH($E105&amp;$F105,'Malaria-Equipment &amp; Other HPs'!$E$64:$E$122&amp;'Malaria-Equipment &amp; Other HPs'!$I$64:$I$122,0)),0)</f>
        <v>0</v>
      </c>
      <c r="AB105" s="625">
        <f t="array" ref="AB105">IFERROR(INDEX('Malaria-Equipment &amp; Other HPs'!$V$64:$V$122,MATCH($E105&amp;$F105,'Malaria-Equipment &amp; Other HPs'!$E$64:$E$122&amp;'Malaria-Equipment &amp; Other HPs'!$I$64:$I$122,0)),0)</f>
        <v>0</v>
      </c>
      <c r="AC105" s="625">
        <f t="shared" si="120"/>
        <v>0</v>
      </c>
      <c r="AD105" s="626">
        <f t="shared" si="121"/>
        <v>0</v>
      </c>
      <c r="AE105" s="626">
        <f t="shared" si="122"/>
        <v>0</v>
      </c>
      <c r="AF105" s="625">
        <f t="array" ref="AF105">IFERROR(INDEX('Malaria-Equipment &amp; Other HPs'!$W$64:$W$122,MATCH($E105&amp;$F105,'Malaria-Equipment &amp; Other HPs'!$E$64:$E$122&amp;'Malaria-Equipment &amp; Other HPs'!$I$64:$I$122,0)),0)</f>
        <v>0</v>
      </c>
      <c r="AG105" s="625">
        <f t="shared" si="123"/>
        <v>0</v>
      </c>
      <c r="AH105" s="626">
        <f t="shared" si="124"/>
        <v>0</v>
      </c>
      <c r="AI105" s="626">
        <f t="shared" si="125"/>
        <v>0</v>
      </c>
      <c r="AJ105" s="625">
        <f t="array" ref="AJ105">IFERROR(INDEX('Malaria-Equipment &amp; Other HPs'!$X$64:$X$122,MATCH($E105&amp;$F105,'Malaria-Equipment &amp; Other HPs'!$E$64:$E$122&amp;'Malaria-Equipment &amp; Other HPs'!$I$64:$I$122,0)),0)</f>
        <v>0</v>
      </c>
      <c r="AK105" s="625">
        <f t="shared" si="126"/>
        <v>0</v>
      </c>
      <c r="AL105" s="626">
        <f t="shared" si="127"/>
        <v>0</v>
      </c>
      <c r="AM105" s="626">
        <f t="shared" si="128"/>
        <v>0</v>
      </c>
      <c r="AN105" s="625">
        <f t="array" ref="AN105">IFERROR(INDEX('Malaria-Equipment &amp; Other HPs'!$Y$64:$Y$122,MATCH($E105&amp;$F105,'Malaria-Equipment &amp; Other HPs'!$E$64:$E$122&amp;'Malaria-Equipment &amp; Other HPs'!$I$64:$I$122,0)),0)</f>
        <v>0</v>
      </c>
      <c r="AO105" s="625">
        <f t="shared" si="129"/>
        <v>0</v>
      </c>
      <c r="AP105" s="626">
        <f t="shared" si="130"/>
        <v>0</v>
      </c>
      <c r="AQ105" s="626">
        <f t="shared" si="131"/>
        <v>0</v>
      </c>
      <c r="AR105" s="630"/>
      <c r="AS105" s="625">
        <f t="array" ref="AS105">IFERROR(INDEX('Malaria-Equipment &amp; Other HPs'!$AB$64:$AB$122,MATCH($E105&amp;$F105,'Malaria-Equipment &amp; Other HPs'!$E$64:$E$122&amp;'Malaria-Equipment &amp; Other HPs'!$I$64:$I$122,0)),0)</f>
        <v>0</v>
      </c>
      <c r="AT105" s="625">
        <f t="array" ref="AT105">IFERROR(INDEX('Malaria-Equipment &amp; Other HPs'!$AC$64:$AC$122,MATCH($E105&amp;$F105,'Malaria-Equipment &amp; Other HPs'!$E$64:$E$122&amp;'Malaria-Equipment &amp; Other HPs'!$I$64:$I$122,0)),0)</f>
        <v>0</v>
      </c>
      <c r="AU105" s="625">
        <f t="shared" si="132"/>
        <v>0</v>
      </c>
      <c r="AV105" s="626">
        <f t="shared" si="133"/>
        <v>0</v>
      </c>
      <c r="AW105" s="626">
        <f t="shared" si="134"/>
        <v>0</v>
      </c>
      <c r="AX105" s="625">
        <f t="array" ref="AX105">IFERROR(INDEX('Malaria-Equipment &amp; Other HPs'!$AD$64:$AD$122,MATCH($E105&amp;$F105,'Malaria-Equipment &amp; Other HPs'!$E$64:$E$122&amp;'Malaria-Equipment &amp; Other HPs'!$I$64:$I$122,0)),0)</f>
        <v>0</v>
      </c>
      <c r="AY105" s="625">
        <f t="shared" si="135"/>
        <v>0</v>
      </c>
      <c r="AZ105" s="626">
        <f t="shared" si="136"/>
        <v>0</v>
      </c>
      <c r="BA105" s="626">
        <f t="shared" si="137"/>
        <v>0</v>
      </c>
      <c r="BB105" s="625">
        <f t="array" ref="BB105">IFERROR(INDEX('Malaria-Equipment &amp; Other HPs'!$AE$64:$AE$122,MATCH($E105&amp;$F105,'Malaria-Equipment &amp; Other HPs'!$E$64:$E$122&amp;'Malaria-Equipment &amp; Other HPs'!$I$64:$I$122,0)),0)</f>
        <v>0</v>
      </c>
      <c r="BC105" s="625">
        <f t="shared" si="138"/>
        <v>0</v>
      </c>
      <c r="BD105" s="626">
        <f t="shared" si="139"/>
        <v>0</v>
      </c>
      <c r="BE105" s="626">
        <f t="shared" si="140"/>
        <v>0</v>
      </c>
      <c r="BF105" s="625">
        <f t="array" ref="BF105">IFERROR(INDEX('Malaria-Equipment &amp; Other HPs'!$AF$64:$AF$122,MATCH($E105&amp;$F105,'Malaria-Equipment &amp; Other HPs'!$E$64:$E$122&amp;'Malaria-Equipment &amp; Other HPs'!$I$64:$I$122,0)),0)</f>
        <v>0</v>
      </c>
      <c r="BG105" s="625">
        <f t="shared" si="141"/>
        <v>0</v>
      </c>
      <c r="BH105" s="626">
        <f t="shared" si="142"/>
        <v>0</v>
      </c>
      <c r="BI105" s="626">
        <f t="shared" si="143"/>
        <v>0</v>
      </c>
      <c r="BJ105" s="630"/>
      <c r="BK105" s="625"/>
      <c r="BL105" s="625"/>
      <c r="BM105" s="625"/>
      <c r="BN105" s="625"/>
      <c r="BO105" s="625"/>
      <c r="BP105" s="625"/>
      <c r="BQ105" s="625"/>
      <c r="BR105" s="625"/>
      <c r="BT105" s="21" t="s">
        <v>6820</v>
      </c>
    </row>
    <row r="106" spans="1:72">
      <c r="A106" s="29" t="s">
        <v>1241</v>
      </c>
      <c r="B106" s="29" t="s">
        <v>1549</v>
      </c>
      <c r="C106" s="626">
        <f>SETUP!$F$54</f>
        <v>0</v>
      </c>
      <c r="D106" s="25">
        <v>5.0999999999999996</v>
      </c>
      <c r="E106" s="26" t="s">
        <v>581</v>
      </c>
      <c r="F106" s="26" t="s">
        <v>848</v>
      </c>
      <c r="G106" s="625" t="str">
        <f t="array" ref="G106">IFERROR(INDEX('Malaria-Equipment &amp; Other HPs'!$L$64:$L$122,MATCH($E106&amp;$F106,'Malaria-Equipment &amp; Other HPs'!$E$64:$E$122&amp;'Malaria-Equipment &amp; Other HPs'!$I$64:$I$122,0)),"")</f>
        <v/>
      </c>
      <c r="H106" s="625" t="str">
        <f t="array" ref="H106">IFERROR(INDEX('Malaria-Equipment &amp; Other HPs'!$M$64:$M$122,MATCH($E106&amp;$F106,'Malaria-Equipment &amp; Other HPs'!$E$64:$E$122&amp;'Malaria-Equipment &amp; Other HPs'!$I$64:$I$122,0)),"")</f>
        <v/>
      </c>
      <c r="I106" s="625">
        <f t="array" ref="I106">IFERROR(INDEX('Malaria-Equipment &amp; Other HPs'!$N$64:$N$122,MATCH($E106&amp;$F106,'Malaria-Equipment &amp; Other HPs'!$E$64:$E$122&amp;'Malaria-Equipment &amp; Other HPs'!$I$64:$I$122,0)),0)</f>
        <v>0</v>
      </c>
      <c r="J106" s="625">
        <f t="array" ref="J106">IFERROR(INDEX('Malaria-Equipment &amp; Other HPs'!$O$64:$O$122,MATCH($E106&amp;$F106,'Malaria-Equipment &amp; Other HPs'!$E$64:$E$122&amp;'Malaria-Equipment &amp; Other HPs'!$I$64:$I$122,0)),0)</f>
        <v>0</v>
      </c>
      <c r="K106" s="626">
        <f t="shared" si="108"/>
        <v>0</v>
      </c>
      <c r="L106" s="626">
        <f t="shared" si="109"/>
        <v>0</v>
      </c>
      <c r="M106" s="626">
        <f t="shared" si="110"/>
        <v>0</v>
      </c>
      <c r="N106" s="625">
        <f t="array" ref="N106">IFERROR(INDEX('Malaria-Equipment &amp; Other HPs'!$P$64:$P$122,MATCH($E106&amp;$F106,'Malaria-Equipment &amp; Other HPs'!$E$64:$E$122&amp;'Malaria-Equipment &amp; Other HPs'!$I$64:$I$122,0)),0)</f>
        <v>0</v>
      </c>
      <c r="O106" s="626">
        <f t="shared" si="111"/>
        <v>0</v>
      </c>
      <c r="P106" s="626">
        <f t="shared" si="112"/>
        <v>0</v>
      </c>
      <c r="Q106" s="626">
        <f t="shared" si="113"/>
        <v>0</v>
      </c>
      <c r="R106" s="625">
        <f t="array" ref="R106">IFERROR(INDEX('Malaria-Equipment &amp; Other HPs'!$Q$64:$Q$122,MATCH($E106&amp;$F106,'Malaria-Equipment &amp; Other HPs'!$E$64:$E$122&amp;'Malaria-Equipment &amp; Other HPs'!$I$64:$I$122,0)),0)</f>
        <v>0</v>
      </c>
      <c r="S106" s="626">
        <f t="shared" si="114"/>
        <v>0</v>
      </c>
      <c r="T106" s="626">
        <f t="shared" si="115"/>
        <v>0</v>
      </c>
      <c r="U106" s="626">
        <f t="shared" si="116"/>
        <v>0</v>
      </c>
      <c r="V106" s="625">
        <f t="array" ref="V106">IFERROR(INDEX('Malaria-Equipment &amp; Other HPs'!$R$64:$R$122,MATCH($E106&amp;$F106,'Malaria-Equipment &amp; Other HPs'!$E$64:$E$122&amp;'Malaria-Equipment &amp; Other HPs'!$I$64:$I$122,0)),0)</f>
        <v>0</v>
      </c>
      <c r="W106" s="626">
        <f t="shared" si="117"/>
        <v>0</v>
      </c>
      <c r="X106" s="626">
        <f t="shared" si="118"/>
        <v>0</v>
      </c>
      <c r="Y106" s="626">
        <f t="shared" si="119"/>
        <v>0</v>
      </c>
      <c r="Z106" s="630"/>
      <c r="AA106" s="625">
        <f t="array" ref="AA106">IFERROR(INDEX('Malaria-Equipment &amp; Other HPs'!$U$64:$U$122,MATCH($E106&amp;$F106,'Malaria-Equipment &amp; Other HPs'!$E$64:$E$122&amp;'Malaria-Equipment &amp; Other HPs'!$I$64:$I$122,0)),0)</f>
        <v>0</v>
      </c>
      <c r="AB106" s="625">
        <f t="array" ref="AB106">IFERROR(INDEX('Malaria-Equipment &amp; Other HPs'!$V$64:$V$122,MATCH($E106&amp;$F106,'Malaria-Equipment &amp; Other HPs'!$E$64:$E$122&amp;'Malaria-Equipment &amp; Other HPs'!$I$64:$I$122,0)),0)</f>
        <v>0</v>
      </c>
      <c r="AC106" s="625">
        <f t="shared" si="120"/>
        <v>0</v>
      </c>
      <c r="AD106" s="626">
        <f t="shared" si="121"/>
        <v>0</v>
      </c>
      <c r="AE106" s="626">
        <f t="shared" si="122"/>
        <v>0</v>
      </c>
      <c r="AF106" s="625">
        <f t="array" ref="AF106">IFERROR(INDEX('Malaria-Equipment &amp; Other HPs'!$W$64:$W$122,MATCH($E106&amp;$F106,'Malaria-Equipment &amp; Other HPs'!$E$64:$E$122&amp;'Malaria-Equipment &amp; Other HPs'!$I$64:$I$122,0)),0)</f>
        <v>0</v>
      </c>
      <c r="AG106" s="625">
        <f t="shared" si="123"/>
        <v>0</v>
      </c>
      <c r="AH106" s="626">
        <f t="shared" si="124"/>
        <v>0</v>
      </c>
      <c r="AI106" s="626">
        <f t="shared" si="125"/>
        <v>0</v>
      </c>
      <c r="AJ106" s="625">
        <f t="array" ref="AJ106">IFERROR(INDEX('Malaria-Equipment &amp; Other HPs'!$X$64:$X$122,MATCH($E106&amp;$F106,'Malaria-Equipment &amp; Other HPs'!$E$64:$E$122&amp;'Malaria-Equipment &amp; Other HPs'!$I$64:$I$122,0)),0)</f>
        <v>0</v>
      </c>
      <c r="AK106" s="625">
        <f t="shared" si="126"/>
        <v>0</v>
      </c>
      <c r="AL106" s="626">
        <f t="shared" si="127"/>
        <v>0</v>
      </c>
      <c r="AM106" s="626">
        <f t="shared" si="128"/>
        <v>0</v>
      </c>
      <c r="AN106" s="625">
        <f t="array" ref="AN106">IFERROR(INDEX('Malaria-Equipment &amp; Other HPs'!$Y$64:$Y$122,MATCH($E106&amp;$F106,'Malaria-Equipment &amp; Other HPs'!$E$64:$E$122&amp;'Malaria-Equipment &amp; Other HPs'!$I$64:$I$122,0)),0)</f>
        <v>0</v>
      </c>
      <c r="AO106" s="625">
        <f t="shared" si="129"/>
        <v>0</v>
      </c>
      <c r="AP106" s="626">
        <f t="shared" si="130"/>
        <v>0</v>
      </c>
      <c r="AQ106" s="626">
        <f t="shared" si="131"/>
        <v>0</v>
      </c>
      <c r="AR106" s="630"/>
      <c r="AS106" s="625">
        <f t="array" ref="AS106">IFERROR(INDEX('Malaria-Equipment &amp; Other HPs'!$AB$64:$AB$122,MATCH($E106&amp;$F106,'Malaria-Equipment &amp; Other HPs'!$E$64:$E$122&amp;'Malaria-Equipment &amp; Other HPs'!$I$64:$I$122,0)),0)</f>
        <v>0</v>
      </c>
      <c r="AT106" s="625">
        <f t="array" ref="AT106">IFERROR(INDEX('Malaria-Equipment &amp; Other HPs'!$AC$64:$AC$122,MATCH($E106&amp;$F106,'Malaria-Equipment &amp; Other HPs'!$E$64:$E$122&amp;'Malaria-Equipment &amp; Other HPs'!$I$64:$I$122,0)),0)</f>
        <v>0</v>
      </c>
      <c r="AU106" s="625">
        <f t="shared" si="132"/>
        <v>0</v>
      </c>
      <c r="AV106" s="626">
        <f t="shared" si="133"/>
        <v>0</v>
      </c>
      <c r="AW106" s="626">
        <f t="shared" si="134"/>
        <v>0</v>
      </c>
      <c r="AX106" s="625">
        <f t="array" ref="AX106">IFERROR(INDEX('Malaria-Equipment &amp; Other HPs'!$AD$64:$AD$122,MATCH($E106&amp;$F106,'Malaria-Equipment &amp; Other HPs'!$E$64:$E$122&amp;'Malaria-Equipment &amp; Other HPs'!$I$64:$I$122,0)),0)</f>
        <v>0</v>
      </c>
      <c r="AY106" s="625">
        <f t="shared" si="135"/>
        <v>0</v>
      </c>
      <c r="AZ106" s="626">
        <f t="shared" si="136"/>
        <v>0</v>
      </c>
      <c r="BA106" s="626">
        <f t="shared" si="137"/>
        <v>0</v>
      </c>
      <c r="BB106" s="625">
        <f t="array" ref="BB106">IFERROR(INDEX('Malaria-Equipment &amp; Other HPs'!$AE$64:$AE$122,MATCH($E106&amp;$F106,'Malaria-Equipment &amp; Other HPs'!$E$64:$E$122&amp;'Malaria-Equipment &amp; Other HPs'!$I$64:$I$122,0)),0)</f>
        <v>0</v>
      </c>
      <c r="BC106" s="625">
        <f t="shared" si="138"/>
        <v>0</v>
      </c>
      <c r="BD106" s="626">
        <f t="shared" si="139"/>
        <v>0</v>
      </c>
      <c r="BE106" s="626">
        <f t="shared" si="140"/>
        <v>0</v>
      </c>
      <c r="BF106" s="625">
        <f t="array" ref="BF106">IFERROR(INDEX('Malaria-Equipment &amp; Other HPs'!$AF$64:$AF$122,MATCH($E106&amp;$F106,'Malaria-Equipment &amp; Other HPs'!$E$64:$E$122&amp;'Malaria-Equipment &amp; Other HPs'!$I$64:$I$122,0)),0)</f>
        <v>0</v>
      </c>
      <c r="BG106" s="625">
        <f t="shared" si="141"/>
        <v>0</v>
      </c>
      <c r="BH106" s="626">
        <f t="shared" si="142"/>
        <v>0</v>
      </c>
      <c r="BI106" s="626">
        <f t="shared" si="143"/>
        <v>0</v>
      </c>
      <c r="BJ106" s="630"/>
      <c r="BK106" s="625"/>
      <c r="BL106" s="625"/>
      <c r="BM106" s="625"/>
      <c r="BN106" s="625"/>
      <c r="BO106" s="625"/>
      <c r="BP106" s="625"/>
      <c r="BQ106" s="625"/>
      <c r="BR106" s="625"/>
      <c r="BT106" s="21" t="s">
        <v>6820</v>
      </c>
    </row>
    <row r="107" spans="1:72">
      <c r="A107" s="29" t="s">
        <v>1241</v>
      </c>
      <c r="B107" s="29" t="s">
        <v>1549</v>
      </c>
      <c r="C107" s="626">
        <f>SETUP!$F$54</f>
        <v>0</v>
      </c>
      <c r="D107" s="25">
        <v>5.0999999999999996</v>
      </c>
      <c r="E107" s="26" t="s">
        <v>581</v>
      </c>
      <c r="F107" s="26" t="s">
        <v>1186</v>
      </c>
      <c r="G107" s="625" t="str">
        <f t="array" ref="G107">IFERROR(INDEX('Malaria-Equipment &amp; Other HPs'!$L$64:$L$122,MATCH($E107&amp;$F107,'Malaria-Equipment &amp; Other HPs'!$E$64:$E$122&amp;'Malaria-Equipment &amp; Other HPs'!$I$64:$I$122,0)),"")</f>
        <v/>
      </c>
      <c r="H107" s="625" t="str">
        <f t="array" ref="H107">IFERROR(INDEX('Malaria-Equipment &amp; Other HPs'!$M$64:$M$122,MATCH($E107&amp;$F107,'Malaria-Equipment &amp; Other HPs'!$E$64:$E$122&amp;'Malaria-Equipment &amp; Other HPs'!$I$64:$I$122,0)),"")</f>
        <v/>
      </c>
      <c r="I107" s="625">
        <f t="array" ref="I107">IFERROR(INDEX('Malaria-Equipment &amp; Other HPs'!$N$64:$N$122,MATCH($E107&amp;$F107,'Malaria-Equipment &amp; Other HPs'!$E$64:$E$122&amp;'Malaria-Equipment &amp; Other HPs'!$I$64:$I$122,0)),0)</f>
        <v>0</v>
      </c>
      <c r="J107" s="625">
        <f t="array" ref="J107">IFERROR(INDEX('Malaria-Equipment &amp; Other HPs'!$O$64:$O$122,MATCH($E107&amp;$F107,'Malaria-Equipment &amp; Other HPs'!$E$64:$E$122&amp;'Malaria-Equipment &amp; Other HPs'!$I$64:$I$122,0)),0)</f>
        <v>0</v>
      </c>
      <c r="K107" s="626">
        <f t="shared" si="108"/>
        <v>0</v>
      </c>
      <c r="L107" s="626">
        <f t="shared" si="109"/>
        <v>0</v>
      </c>
      <c r="M107" s="626">
        <f t="shared" si="110"/>
        <v>0</v>
      </c>
      <c r="N107" s="625">
        <f t="array" ref="N107">IFERROR(INDEX('Malaria-Equipment &amp; Other HPs'!$P$64:$P$122,MATCH($E107&amp;$F107,'Malaria-Equipment &amp; Other HPs'!$E$64:$E$122&amp;'Malaria-Equipment &amp; Other HPs'!$I$64:$I$122,0)),0)</f>
        <v>0</v>
      </c>
      <c r="O107" s="626">
        <f t="shared" si="111"/>
        <v>0</v>
      </c>
      <c r="P107" s="626">
        <f t="shared" si="112"/>
        <v>0</v>
      </c>
      <c r="Q107" s="626">
        <f t="shared" si="113"/>
        <v>0</v>
      </c>
      <c r="R107" s="625">
        <f t="array" ref="R107">IFERROR(INDEX('Malaria-Equipment &amp; Other HPs'!$Q$64:$Q$122,MATCH($E107&amp;$F107,'Malaria-Equipment &amp; Other HPs'!$E$64:$E$122&amp;'Malaria-Equipment &amp; Other HPs'!$I$64:$I$122,0)),0)</f>
        <v>0</v>
      </c>
      <c r="S107" s="626">
        <f t="shared" si="114"/>
        <v>0</v>
      </c>
      <c r="T107" s="626">
        <f t="shared" si="115"/>
        <v>0</v>
      </c>
      <c r="U107" s="626">
        <f t="shared" si="116"/>
        <v>0</v>
      </c>
      <c r="V107" s="625">
        <f t="array" ref="V107">IFERROR(INDEX('Malaria-Equipment &amp; Other HPs'!$R$64:$R$122,MATCH($E107&amp;$F107,'Malaria-Equipment &amp; Other HPs'!$E$64:$E$122&amp;'Malaria-Equipment &amp; Other HPs'!$I$64:$I$122,0)),0)</f>
        <v>0</v>
      </c>
      <c r="W107" s="626">
        <f t="shared" si="117"/>
        <v>0</v>
      </c>
      <c r="X107" s="626">
        <f t="shared" si="118"/>
        <v>0</v>
      </c>
      <c r="Y107" s="626">
        <f t="shared" si="119"/>
        <v>0</v>
      </c>
      <c r="Z107" s="630"/>
      <c r="AA107" s="625">
        <f t="array" ref="AA107">IFERROR(INDEX('Malaria-Equipment &amp; Other HPs'!$U$64:$U$122,MATCH($E107&amp;$F107,'Malaria-Equipment &amp; Other HPs'!$E$64:$E$122&amp;'Malaria-Equipment &amp; Other HPs'!$I$64:$I$122,0)),0)</f>
        <v>0</v>
      </c>
      <c r="AB107" s="625">
        <f t="array" ref="AB107">IFERROR(INDEX('Malaria-Equipment &amp; Other HPs'!$V$64:$V$122,MATCH($E107&amp;$F107,'Malaria-Equipment &amp; Other HPs'!$E$64:$E$122&amp;'Malaria-Equipment &amp; Other HPs'!$I$64:$I$122,0)),0)</f>
        <v>0</v>
      </c>
      <c r="AC107" s="625">
        <f t="shared" si="120"/>
        <v>0</v>
      </c>
      <c r="AD107" s="626">
        <f t="shared" si="121"/>
        <v>0</v>
      </c>
      <c r="AE107" s="626">
        <f t="shared" si="122"/>
        <v>0</v>
      </c>
      <c r="AF107" s="625">
        <f t="array" ref="AF107">IFERROR(INDEX('Malaria-Equipment &amp; Other HPs'!$W$64:$W$122,MATCH($E107&amp;$F107,'Malaria-Equipment &amp; Other HPs'!$E$64:$E$122&amp;'Malaria-Equipment &amp; Other HPs'!$I$64:$I$122,0)),0)</f>
        <v>0</v>
      </c>
      <c r="AG107" s="625">
        <f t="shared" si="123"/>
        <v>0</v>
      </c>
      <c r="AH107" s="626">
        <f t="shared" si="124"/>
        <v>0</v>
      </c>
      <c r="AI107" s="626">
        <f t="shared" si="125"/>
        <v>0</v>
      </c>
      <c r="AJ107" s="625">
        <f t="array" ref="AJ107">IFERROR(INDEX('Malaria-Equipment &amp; Other HPs'!$X$64:$X$122,MATCH($E107&amp;$F107,'Malaria-Equipment &amp; Other HPs'!$E$64:$E$122&amp;'Malaria-Equipment &amp; Other HPs'!$I$64:$I$122,0)),0)</f>
        <v>0</v>
      </c>
      <c r="AK107" s="625">
        <f t="shared" si="126"/>
        <v>0</v>
      </c>
      <c r="AL107" s="626">
        <f t="shared" si="127"/>
        <v>0</v>
      </c>
      <c r="AM107" s="626">
        <f t="shared" si="128"/>
        <v>0</v>
      </c>
      <c r="AN107" s="625">
        <f t="array" ref="AN107">IFERROR(INDEX('Malaria-Equipment &amp; Other HPs'!$Y$64:$Y$122,MATCH($E107&amp;$F107,'Malaria-Equipment &amp; Other HPs'!$E$64:$E$122&amp;'Malaria-Equipment &amp; Other HPs'!$I$64:$I$122,0)),0)</f>
        <v>0</v>
      </c>
      <c r="AO107" s="625">
        <f t="shared" si="129"/>
        <v>0</v>
      </c>
      <c r="AP107" s="626">
        <f t="shared" si="130"/>
        <v>0</v>
      </c>
      <c r="AQ107" s="626">
        <f t="shared" si="131"/>
        <v>0</v>
      </c>
      <c r="AR107" s="630"/>
      <c r="AS107" s="625">
        <f t="array" ref="AS107">IFERROR(INDEX('Malaria-Equipment &amp; Other HPs'!$AB$64:$AB$122,MATCH($E107&amp;$F107,'Malaria-Equipment &amp; Other HPs'!$E$64:$E$122&amp;'Malaria-Equipment &amp; Other HPs'!$I$64:$I$122,0)),0)</f>
        <v>0</v>
      </c>
      <c r="AT107" s="625">
        <f t="array" ref="AT107">IFERROR(INDEX('Malaria-Equipment &amp; Other HPs'!$AC$64:$AC$122,MATCH($E107&amp;$F107,'Malaria-Equipment &amp; Other HPs'!$E$64:$E$122&amp;'Malaria-Equipment &amp; Other HPs'!$I$64:$I$122,0)),0)</f>
        <v>0</v>
      </c>
      <c r="AU107" s="625">
        <f t="shared" si="132"/>
        <v>0</v>
      </c>
      <c r="AV107" s="626">
        <f t="shared" si="133"/>
        <v>0</v>
      </c>
      <c r="AW107" s="626">
        <f t="shared" si="134"/>
        <v>0</v>
      </c>
      <c r="AX107" s="625">
        <f t="array" ref="AX107">IFERROR(INDEX('Malaria-Equipment &amp; Other HPs'!$AD$64:$AD$122,MATCH($E107&amp;$F107,'Malaria-Equipment &amp; Other HPs'!$E$64:$E$122&amp;'Malaria-Equipment &amp; Other HPs'!$I$64:$I$122,0)),0)</f>
        <v>0</v>
      </c>
      <c r="AY107" s="625">
        <f t="shared" si="135"/>
        <v>0</v>
      </c>
      <c r="AZ107" s="626">
        <f t="shared" si="136"/>
        <v>0</v>
      </c>
      <c r="BA107" s="626">
        <f t="shared" si="137"/>
        <v>0</v>
      </c>
      <c r="BB107" s="625">
        <f t="array" ref="BB107">IFERROR(INDEX('Malaria-Equipment &amp; Other HPs'!$AE$64:$AE$122,MATCH($E107&amp;$F107,'Malaria-Equipment &amp; Other HPs'!$E$64:$E$122&amp;'Malaria-Equipment &amp; Other HPs'!$I$64:$I$122,0)),0)</f>
        <v>0</v>
      </c>
      <c r="BC107" s="625">
        <f t="shared" si="138"/>
        <v>0</v>
      </c>
      <c r="BD107" s="626">
        <f t="shared" si="139"/>
        <v>0</v>
      </c>
      <c r="BE107" s="626">
        <f t="shared" si="140"/>
        <v>0</v>
      </c>
      <c r="BF107" s="625">
        <f t="array" ref="BF107">IFERROR(INDEX('Malaria-Equipment &amp; Other HPs'!$AF$64:$AF$122,MATCH($E107&amp;$F107,'Malaria-Equipment &amp; Other HPs'!$E$64:$E$122&amp;'Malaria-Equipment &amp; Other HPs'!$I$64:$I$122,0)),0)</f>
        <v>0</v>
      </c>
      <c r="BG107" s="625">
        <f t="shared" si="141"/>
        <v>0</v>
      </c>
      <c r="BH107" s="626">
        <f t="shared" si="142"/>
        <v>0</v>
      </c>
      <c r="BI107" s="626">
        <f t="shared" si="143"/>
        <v>0</v>
      </c>
      <c r="BJ107" s="630"/>
      <c r="BK107" s="625"/>
      <c r="BL107" s="625"/>
      <c r="BM107" s="625"/>
      <c r="BN107" s="625"/>
      <c r="BO107" s="625"/>
      <c r="BP107" s="625"/>
      <c r="BQ107" s="625"/>
      <c r="BR107" s="625"/>
      <c r="BT107" s="21" t="s">
        <v>6820</v>
      </c>
    </row>
    <row r="108" spans="1:72">
      <c r="A108" s="29" t="s">
        <v>1241</v>
      </c>
      <c r="B108" s="29" t="s">
        <v>1549</v>
      </c>
      <c r="C108" s="626">
        <f>SETUP!$F$54</f>
        <v>0</v>
      </c>
      <c r="D108" s="25">
        <v>5.0999999999999996</v>
      </c>
      <c r="E108" s="26" t="s">
        <v>581</v>
      </c>
      <c r="F108" s="26" t="s">
        <v>849</v>
      </c>
      <c r="G108" s="625" t="str">
        <f t="array" ref="G108">IFERROR(INDEX('Malaria-Equipment &amp; Other HPs'!$L$64:$L$122,MATCH($E108&amp;$F108,'Malaria-Equipment &amp; Other HPs'!$E$64:$E$122&amp;'Malaria-Equipment &amp; Other HPs'!$I$64:$I$122,0)),"")</f>
        <v/>
      </c>
      <c r="H108" s="625" t="str">
        <f t="array" ref="H108">IFERROR(INDEX('Malaria-Equipment &amp; Other HPs'!$M$64:$M$122,MATCH($E108&amp;$F108,'Malaria-Equipment &amp; Other HPs'!$E$64:$E$122&amp;'Malaria-Equipment &amp; Other HPs'!$I$64:$I$122,0)),"")</f>
        <v/>
      </c>
      <c r="I108" s="625">
        <f t="array" ref="I108">IFERROR(INDEX('Malaria-Equipment &amp; Other HPs'!$N$64:$N$122,MATCH($E108&amp;$F108,'Malaria-Equipment &amp; Other HPs'!$E$64:$E$122&amp;'Malaria-Equipment &amp; Other HPs'!$I$64:$I$122,0)),0)</f>
        <v>0</v>
      </c>
      <c r="J108" s="625">
        <f t="array" ref="J108">IFERROR(INDEX('Malaria-Equipment &amp; Other HPs'!$O$64:$O$122,MATCH($E108&amp;$F108,'Malaria-Equipment &amp; Other HPs'!$E$64:$E$122&amp;'Malaria-Equipment &amp; Other HPs'!$I$64:$I$122,0)),0)</f>
        <v>0</v>
      </c>
      <c r="K108" s="626">
        <f t="shared" si="108"/>
        <v>0</v>
      </c>
      <c r="L108" s="626">
        <f t="shared" si="109"/>
        <v>0</v>
      </c>
      <c r="M108" s="626">
        <f t="shared" si="110"/>
        <v>0</v>
      </c>
      <c r="N108" s="625">
        <f t="array" ref="N108">IFERROR(INDEX('Malaria-Equipment &amp; Other HPs'!$P$64:$P$122,MATCH($E108&amp;$F108,'Malaria-Equipment &amp; Other HPs'!$E$64:$E$122&amp;'Malaria-Equipment &amp; Other HPs'!$I$64:$I$122,0)),0)</f>
        <v>0</v>
      </c>
      <c r="O108" s="626">
        <f t="shared" si="111"/>
        <v>0</v>
      </c>
      <c r="P108" s="626">
        <f t="shared" si="112"/>
        <v>0</v>
      </c>
      <c r="Q108" s="626">
        <f t="shared" si="113"/>
        <v>0</v>
      </c>
      <c r="R108" s="625">
        <f t="array" ref="R108">IFERROR(INDEX('Malaria-Equipment &amp; Other HPs'!$Q$64:$Q$122,MATCH($E108&amp;$F108,'Malaria-Equipment &amp; Other HPs'!$E$64:$E$122&amp;'Malaria-Equipment &amp; Other HPs'!$I$64:$I$122,0)),0)</f>
        <v>0</v>
      </c>
      <c r="S108" s="626">
        <f t="shared" si="114"/>
        <v>0</v>
      </c>
      <c r="T108" s="626">
        <f t="shared" si="115"/>
        <v>0</v>
      </c>
      <c r="U108" s="626">
        <f t="shared" si="116"/>
        <v>0</v>
      </c>
      <c r="V108" s="625">
        <f t="array" ref="V108">IFERROR(INDEX('Malaria-Equipment &amp; Other HPs'!$R$64:$R$122,MATCH($E108&amp;$F108,'Malaria-Equipment &amp; Other HPs'!$E$64:$E$122&amp;'Malaria-Equipment &amp; Other HPs'!$I$64:$I$122,0)),0)</f>
        <v>0</v>
      </c>
      <c r="W108" s="626">
        <f t="shared" si="117"/>
        <v>0</v>
      </c>
      <c r="X108" s="626">
        <f t="shared" si="118"/>
        <v>0</v>
      </c>
      <c r="Y108" s="626">
        <f t="shared" si="119"/>
        <v>0</v>
      </c>
      <c r="Z108" s="630"/>
      <c r="AA108" s="625">
        <f t="array" ref="AA108">IFERROR(INDEX('Malaria-Equipment &amp; Other HPs'!$U$64:$U$122,MATCH($E108&amp;$F108,'Malaria-Equipment &amp; Other HPs'!$E$64:$E$122&amp;'Malaria-Equipment &amp; Other HPs'!$I$64:$I$122,0)),0)</f>
        <v>0</v>
      </c>
      <c r="AB108" s="625">
        <f t="array" ref="AB108">IFERROR(INDEX('Malaria-Equipment &amp; Other HPs'!$V$64:$V$122,MATCH($E108&amp;$F108,'Malaria-Equipment &amp; Other HPs'!$E$64:$E$122&amp;'Malaria-Equipment &amp; Other HPs'!$I$64:$I$122,0)),0)</f>
        <v>0</v>
      </c>
      <c r="AC108" s="625">
        <f t="shared" si="120"/>
        <v>0</v>
      </c>
      <c r="AD108" s="626">
        <f t="shared" si="121"/>
        <v>0</v>
      </c>
      <c r="AE108" s="626">
        <f t="shared" si="122"/>
        <v>0</v>
      </c>
      <c r="AF108" s="625">
        <f t="array" ref="AF108">IFERROR(INDEX('Malaria-Equipment &amp; Other HPs'!$W$64:$W$122,MATCH($E108&amp;$F108,'Malaria-Equipment &amp; Other HPs'!$E$64:$E$122&amp;'Malaria-Equipment &amp; Other HPs'!$I$64:$I$122,0)),0)</f>
        <v>0</v>
      </c>
      <c r="AG108" s="625">
        <f t="shared" si="123"/>
        <v>0</v>
      </c>
      <c r="AH108" s="626">
        <f t="shared" si="124"/>
        <v>0</v>
      </c>
      <c r="AI108" s="626">
        <f t="shared" si="125"/>
        <v>0</v>
      </c>
      <c r="AJ108" s="625">
        <f t="array" ref="AJ108">IFERROR(INDEX('Malaria-Equipment &amp; Other HPs'!$X$64:$X$122,MATCH($E108&amp;$F108,'Malaria-Equipment &amp; Other HPs'!$E$64:$E$122&amp;'Malaria-Equipment &amp; Other HPs'!$I$64:$I$122,0)),0)</f>
        <v>0</v>
      </c>
      <c r="AK108" s="625">
        <f t="shared" si="126"/>
        <v>0</v>
      </c>
      <c r="AL108" s="626">
        <f t="shared" si="127"/>
        <v>0</v>
      </c>
      <c r="AM108" s="626">
        <f t="shared" si="128"/>
        <v>0</v>
      </c>
      <c r="AN108" s="625">
        <f t="array" ref="AN108">IFERROR(INDEX('Malaria-Equipment &amp; Other HPs'!$Y$64:$Y$122,MATCH($E108&amp;$F108,'Malaria-Equipment &amp; Other HPs'!$E$64:$E$122&amp;'Malaria-Equipment &amp; Other HPs'!$I$64:$I$122,0)),0)</f>
        <v>0</v>
      </c>
      <c r="AO108" s="625">
        <f t="shared" si="129"/>
        <v>0</v>
      </c>
      <c r="AP108" s="626">
        <f t="shared" si="130"/>
        <v>0</v>
      </c>
      <c r="AQ108" s="626">
        <f t="shared" si="131"/>
        <v>0</v>
      </c>
      <c r="AR108" s="630"/>
      <c r="AS108" s="625">
        <f t="array" ref="AS108">IFERROR(INDEX('Malaria-Equipment &amp; Other HPs'!$AB$64:$AB$122,MATCH($E108&amp;$F108,'Malaria-Equipment &amp; Other HPs'!$E$64:$E$122&amp;'Malaria-Equipment &amp; Other HPs'!$I$64:$I$122,0)),0)</f>
        <v>0</v>
      </c>
      <c r="AT108" s="625">
        <f t="array" ref="AT108">IFERROR(INDEX('Malaria-Equipment &amp; Other HPs'!$AC$64:$AC$122,MATCH($E108&amp;$F108,'Malaria-Equipment &amp; Other HPs'!$E$64:$E$122&amp;'Malaria-Equipment &amp; Other HPs'!$I$64:$I$122,0)),0)</f>
        <v>0</v>
      </c>
      <c r="AU108" s="625">
        <f t="shared" si="132"/>
        <v>0</v>
      </c>
      <c r="AV108" s="626">
        <f t="shared" si="133"/>
        <v>0</v>
      </c>
      <c r="AW108" s="626">
        <f t="shared" si="134"/>
        <v>0</v>
      </c>
      <c r="AX108" s="625">
        <f t="array" ref="AX108">IFERROR(INDEX('Malaria-Equipment &amp; Other HPs'!$AD$64:$AD$122,MATCH($E108&amp;$F108,'Malaria-Equipment &amp; Other HPs'!$E$64:$E$122&amp;'Malaria-Equipment &amp; Other HPs'!$I$64:$I$122,0)),0)</f>
        <v>0</v>
      </c>
      <c r="AY108" s="625">
        <f t="shared" si="135"/>
        <v>0</v>
      </c>
      <c r="AZ108" s="626">
        <f t="shared" si="136"/>
        <v>0</v>
      </c>
      <c r="BA108" s="626">
        <f t="shared" si="137"/>
        <v>0</v>
      </c>
      <c r="BB108" s="625">
        <f t="array" ref="BB108">IFERROR(INDEX('Malaria-Equipment &amp; Other HPs'!$AE$64:$AE$122,MATCH($E108&amp;$F108,'Malaria-Equipment &amp; Other HPs'!$E$64:$E$122&amp;'Malaria-Equipment &amp; Other HPs'!$I$64:$I$122,0)),0)</f>
        <v>0</v>
      </c>
      <c r="BC108" s="625">
        <f t="shared" si="138"/>
        <v>0</v>
      </c>
      <c r="BD108" s="626">
        <f t="shared" si="139"/>
        <v>0</v>
      </c>
      <c r="BE108" s="626">
        <f t="shared" si="140"/>
        <v>0</v>
      </c>
      <c r="BF108" s="625">
        <f t="array" ref="BF108">IFERROR(INDEX('Malaria-Equipment &amp; Other HPs'!$AF$64:$AF$122,MATCH($E108&amp;$F108,'Malaria-Equipment &amp; Other HPs'!$E$64:$E$122&amp;'Malaria-Equipment &amp; Other HPs'!$I$64:$I$122,0)),0)</f>
        <v>0</v>
      </c>
      <c r="BG108" s="625">
        <f t="shared" si="141"/>
        <v>0</v>
      </c>
      <c r="BH108" s="626">
        <f t="shared" si="142"/>
        <v>0</v>
      </c>
      <c r="BI108" s="626">
        <f t="shared" si="143"/>
        <v>0</v>
      </c>
      <c r="BJ108" s="630"/>
      <c r="BK108" s="625"/>
      <c r="BL108" s="625"/>
      <c r="BM108" s="625"/>
      <c r="BN108" s="625"/>
      <c r="BO108" s="625"/>
      <c r="BP108" s="625"/>
      <c r="BQ108" s="625"/>
      <c r="BR108" s="625"/>
      <c r="BT108" s="21" t="s">
        <v>6820</v>
      </c>
    </row>
    <row r="109" spans="1:72">
      <c r="A109" s="29" t="s">
        <v>1241</v>
      </c>
      <c r="B109" s="29" t="s">
        <v>1549</v>
      </c>
      <c r="C109" s="626">
        <f>SETUP!$F$54</f>
        <v>0</v>
      </c>
      <c r="D109" s="25">
        <v>5.0999999999999996</v>
      </c>
      <c r="E109" s="26" t="s">
        <v>581</v>
      </c>
      <c r="F109" s="26" t="s">
        <v>1187</v>
      </c>
      <c r="G109" s="625" t="str">
        <f t="array" ref="G109">IFERROR(INDEX('Malaria-Equipment &amp; Other HPs'!$L$64:$L$122,MATCH($E109&amp;$F109,'Malaria-Equipment &amp; Other HPs'!$E$64:$E$122&amp;'Malaria-Equipment &amp; Other HPs'!$I$64:$I$122,0)),"")</f>
        <v/>
      </c>
      <c r="H109" s="625" t="str">
        <f t="array" ref="H109">IFERROR(INDEX('Malaria-Equipment &amp; Other HPs'!$M$64:$M$122,MATCH($E109&amp;$F109,'Malaria-Equipment &amp; Other HPs'!$E$64:$E$122&amp;'Malaria-Equipment &amp; Other HPs'!$I$64:$I$122,0)),"")</f>
        <v/>
      </c>
      <c r="I109" s="625">
        <f t="array" ref="I109">IFERROR(INDEX('Malaria-Equipment &amp; Other HPs'!$N$64:$N$122,MATCH($E109&amp;$F109,'Malaria-Equipment &amp; Other HPs'!$E$64:$E$122&amp;'Malaria-Equipment &amp; Other HPs'!$I$64:$I$122,0)),0)</f>
        <v>0</v>
      </c>
      <c r="J109" s="625">
        <f t="array" ref="J109">IFERROR(INDEX('Malaria-Equipment &amp; Other HPs'!$O$64:$O$122,MATCH($E109&amp;$F109,'Malaria-Equipment &amp; Other HPs'!$E$64:$E$122&amp;'Malaria-Equipment &amp; Other HPs'!$I$64:$I$122,0)),0)</f>
        <v>0</v>
      </c>
      <c r="K109" s="626">
        <f t="shared" si="108"/>
        <v>0</v>
      </c>
      <c r="L109" s="626">
        <f t="shared" si="109"/>
        <v>0</v>
      </c>
      <c r="M109" s="626">
        <f t="shared" si="110"/>
        <v>0</v>
      </c>
      <c r="N109" s="625">
        <f t="array" ref="N109">IFERROR(INDEX('Malaria-Equipment &amp; Other HPs'!$P$64:$P$122,MATCH($E109&amp;$F109,'Malaria-Equipment &amp; Other HPs'!$E$64:$E$122&amp;'Malaria-Equipment &amp; Other HPs'!$I$64:$I$122,0)),0)</f>
        <v>0</v>
      </c>
      <c r="O109" s="626">
        <f t="shared" si="111"/>
        <v>0</v>
      </c>
      <c r="P109" s="626">
        <f t="shared" si="112"/>
        <v>0</v>
      </c>
      <c r="Q109" s="626">
        <f t="shared" si="113"/>
        <v>0</v>
      </c>
      <c r="R109" s="625">
        <f t="array" ref="R109">IFERROR(INDEX('Malaria-Equipment &amp; Other HPs'!$Q$64:$Q$122,MATCH($E109&amp;$F109,'Malaria-Equipment &amp; Other HPs'!$E$64:$E$122&amp;'Malaria-Equipment &amp; Other HPs'!$I$64:$I$122,0)),0)</f>
        <v>0</v>
      </c>
      <c r="S109" s="626">
        <f t="shared" si="114"/>
        <v>0</v>
      </c>
      <c r="T109" s="626">
        <f t="shared" si="115"/>
        <v>0</v>
      </c>
      <c r="U109" s="626">
        <f t="shared" si="116"/>
        <v>0</v>
      </c>
      <c r="V109" s="625">
        <f t="array" ref="V109">IFERROR(INDEX('Malaria-Equipment &amp; Other HPs'!$R$64:$R$122,MATCH($E109&amp;$F109,'Malaria-Equipment &amp; Other HPs'!$E$64:$E$122&amp;'Malaria-Equipment &amp; Other HPs'!$I$64:$I$122,0)),0)</f>
        <v>0</v>
      </c>
      <c r="W109" s="626">
        <f t="shared" si="117"/>
        <v>0</v>
      </c>
      <c r="X109" s="626">
        <f t="shared" si="118"/>
        <v>0</v>
      </c>
      <c r="Y109" s="626">
        <f t="shared" si="119"/>
        <v>0</v>
      </c>
      <c r="Z109" s="630"/>
      <c r="AA109" s="625">
        <f t="array" ref="AA109">IFERROR(INDEX('Malaria-Equipment &amp; Other HPs'!$U$64:$U$122,MATCH($E109&amp;$F109,'Malaria-Equipment &amp; Other HPs'!$E$64:$E$122&amp;'Malaria-Equipment &amp; Other HPs'!$I$64:$I$122,0)),0)</f>
        <v>0</v>
      </c>
      <c r="AB109" s="625">
        <f t="array" ref="AB109">IFERROR(INDEX('Malaria-Equipment &amp; Other HPs'!$V$64:$V$122,MATCH($E109&amp;$F109,'Malaria-Equipment &amp; Other HPs'!$E$64:$E$122&amp;'Malaria-Equipment &amp; Other HPs'!$I$64:$I$122,0)),0)</f>
        <v>0</v>
      </c>
      <c r="AC109" s="625">
        <f t="shared" si="120"/>
        <v>0</v>
      </c>
      <c r="AD109" s="626">
        <f t="shared" si="121"/>
        <v>0</v>
      </c>
      <c r="AE109" s="626">
        <f t="shared" si="122"/>
        <v>0</v>
      </c>
      <c r="AF109" s="625">
        <f t="array" ref="AF109">IFERROR(INDEX('Malaria-Equipment &amp; Other HPs'!$W$64:$W$122,MATCH($E109&amp;$F109,'Malaria-Equipment &amp; Other HPs'!$E$64:$E$122&amp;'Malaria-Equipment &amp; Other HPs'!$I$64:$I$122,0)),0)</f>
        <v>0</v>
      </c>
      <c r="AG109" s="625">
        <f t="shared" si="123"/>
        <v>0</v>
      </c>
      <c r="AH109" s="626">
        <f t="shared" si="124"/>
        <v>0</v>
      </c>
      <c r="AI109" s="626">
        <f t="shared" si="125"/>
        <v>0</v>
      </c>
      <c r="AJ109" s="625">
        <f t="array" ref="AJ109">IFERROR(INDEX('Malaria-Equipment &amp; Other HPs'!$X$64:$X$122,MATCH($E109&amp;$F109,'Malaria-Equipment &amp; Other HPs'!$E$64:$E$122&amp;'Malaria-Equipment &amp; Other HPs'!$I$64:$I$122,0)),0)</f>
        <v>0</v>
      </c>
      <c r="AK109" s="625">
        <f t="shared" si="126"/>
        <v>0</v>
      </c>
      <c r="AL109" s="626">
        <f t="shared" si="127"/>
        <v>0</v>
      </c>
      <c r="AM109" s="626">
        <f t="shared" si="128"/>
        <v>0</v>
      </c>
      <c r="AN109" s="625">
        <f t="array" ref="AN109">IFERROR(INDEX('Malaria-Equipment &amp; Other HPs'!$Y$64:$Y$122,MATCH($E109&amp;$F109,'Malaria-Equipment &amp; Other HPs'!$E$64:$E$122&amp;'Malaria-Equipment &amp; Other HPs'!$I$64:$I$122,0)),0)</f>
        <v>0</v>
      </c>
      <c r="AO109" s="625">
        <f t="shared" si="129"/>
        <v>0</v>
      </c>
      <c r="AP109" s="626">
        <f t="shared" si="130"/>
        <v>0</v>
      </c>
      <c r="AQ109" s="626">
        <f t="shared" si="131"/>
        <v>0</v>
      </c>
      <c r="AR109" s="630"/>
      <c r="AS109" s="625">
        <f t="array" ref="AS109">IFERROR(INDEX('Malaria-Equipment &amp; Other HPs'!$AB$64:$AB$122,MATCH($E109&amp;$F109,'Malaria-Equipment &amp; Other HPs'!$E$64:$E$122&amp;'Malaria-Equipment &amp; Other HPs'!$I$64:$I$122,0)),0)</f>
        <v>0</v>
      </c>
      <c r="AT109" s="625">
        <f t="array" ref="AT109">IFERROR(INDEX('Malaria-Equipment &amp; Other HPs'!$AC$64:$AC$122,MATCH($E109&amp;$F109,'Malaria-Equipment &amp; Other HPs'!$E$64:$E$122&amp;'Malaria-Equipment &amp; Other HPs'!$I$64:$I$122,0)),0)</f>
        <v>0</v>
      </c>
      <c r="AU109" s="625">
        <f t="shared" si="132"/>
        <v>0</v>
      </c>
      <c r="AV109" s="626">
        <f t="shared" si="133"/>
        <v>0</v>
      </c>
      <c r="AW109" s="626">
        <f t="shared" si="134"/>
        <v>0</v>
      </c>
      <c r="AX109" s="625">
        <f t="array" ref="AX109">IFERROR(INDEX('Malaria-Equipment &amp; Other HPs'!$AD$64:$AD$122,MATCH($E109&amp;$F109,'Malaria-Equipment &amp; Other HPs'!$E$64:$E$122&amp;'Malaria-Equipment &amp; Other HPs'!$I$64:$I$122,0)),0)</f>
        <v>0</v>
      </c>
      <c r="AY109" s="625">
        <f t="shared" si="135"/>
        <v>0</v>
      </c>
      <c r="AZ109" s="626">
        <f t="shared" si="136"/>
        <v>0</v>
      </c>
      <c r="BA109" s="626">
        <f t="shared" si="137"/>
        <v>0</v>
      </c>
      <c r="BB109" s="625">
        <f t="array" ref="BB109">IFERROR(INDEX('Malaria-Equipment &amp; Other HPs'!$AE$64:$AE$122,MATCH($E109&amp;$F109,'Malaria-Equipment &amp; Other HPs'!$E$64:$E$122&amp;'Malaria-Equipment &amp; Other HPs'!$I$64:$I$122,0)),0)</f>
        <v>0</v>
      </c>
      <c r="BC109" s="625">
        <f t="shared" si="138"/>
        <v>0</v>
      </c>
      <c r="BD109" s="626">
        <f t="shared" si="139"/>
        <v>0</v>
      </c>
      <c r="BE109" s="626">
        <f t="shared" si="140"/>
        <v>0</v>
      </c>
      <c r="BF109" s="625">
        <f t="array" ref="BF109">IFERROR(INDEX('Malaria-Equipment &amp; Other HPs'!$AF$64:$AF$122,MATCH($E109&amp;$F109,'Malaria-Equipment &amp; Other HPs'!$E$64:$E$122&amp;'Malaria-Equipment &amp; Other HPs'!$I$64:$I$122,0)),0)</f>
        <v>0</v>
      </c>
      <c r="BG109" s="625">
        <f t="shared" si="141"/>
        <v>0</v>
      </c>
      <c r="BH109" s="626">
        <f t="shared" si="142"/>
        <v>0</v>
      </c>
      <c r="BI109" s="626">
        <f t="shared" si="143"/>
        <v>0</v>
      </c>
      <c r="BJ109" s="630"/>
      <c r="BK109" s="625"/>
      <c r="BL109" s="625"/>
      <c r="BM109" s="625"/>
      <c r="BN109" s="625"/>
      <c r="BO109" s="625"/>
      <c r="BP109" s="625"/>
      <c r="BQ109" s="625"/>
      <c r="BR109" s="625"/>
      <c r="BT109" s="21" t="s">
        <v>6820</v>
      </c>
    </row>
    <row r="110" spans="1:72">
      <c r="A110" s="29" t="s">
        <v>1241</v>
      </c>
      <c r="B110" s="29" t="s">
        <v>1549</v>
      </c>
      <c r="C110" s="626">
        <f>SETUP!$F$54</f>
        <v>0</v>
      </c>
      <c r="D110" s="25">
        <v>5.0999999999999996</v>
      </c>
      <c r="E110" s="26" t="s">
        <v>581</v>
      </c>
      <c r="F110" s="26" t="s">
        <v>850</v>
      </c>
      <c r="G110" s="625" t="str">
        <f t="array" ref="G110">IFERROR(INDEX('Malaria-Equipment &amp; Other HPs'!$L$64:$L$122,MATCH($E110&amp;$F110,'Malaria-Equipment &amp; Other HPs'!$E$64:$E$122&amp;'Malaria-Equipment &amp; Other HPs'!$I$64:$I$122,0)),"")</f>
        <v/>
      </c>
      <c r="H110" s="625" t="str">
        <f t="array" ref="H110">IFERROR(INDEX('Malaria-Equipment &amp; Other HPs'!$M$64:$M$122,MATCH($E110&amp;$F110,'Malaria-Equipment &amp; Other HPs'!$E$64:$E$122&amp;'Malaria-Equipment &amp; Other HPs'!$I$64:$I$122,0)),"")</f>
        <v/>
      </c>
      <c r="I110" s="625">
        <f t="array" ref="I110">IFERROR(INDEX('Malaria-Equipment &amp; Other HPs'!$N$64:$N$122,MATCH($E110&amp;$F110,'Malaria-Equipment &amp; Other HPs'!$E$64:$E$122&amp;'Malaria-Equipment &amp; Other HPs'!$I$64:$I$122,0)),0)</f>
        <v>0</v>
      </c>
      <c r="J110" s="625">
        <f t="array" ref="J110">IFERROR(INDEX('Malaria-Equipment &amp; Other HPs'!$O$64:$O$122,MATCH($E110&amp;$F110,'Malaria-Equipment &amp; Other HPs'!$E$64:$E$122&amp;'Malaria-Equipment &amp; Other HPs'!$I$64:$I$122,0)),0)</f>
        <v>0</v>
      </c>
      <c r="K110" s="626">
        <f t="shared" si="108"/>
        <v>0</v>
      </c>
      <c r="L110" s="626">
        <f t="shared" si="109"/>
        <v>0</v>
      </c>
      <c r="M110" s="626">
        <f t="shared" si="110"/>
        <v>0</v>
      </c>
      <c r="N110" s="625">
        <f t="array" ref="N110">IFERROR(INDEX('Malaria-Equipment &amp; Other HPs'!$P$64:$P$122,MATCH($E110&amp;$F110,'Malaria-Equipment &amp; Other HPs'!$E$64:$E$122&amp;'Malaria-Equipment &amp; Other HPs'!$I$64:$I$122,0)),0)</f>
        <v>0</v>
      </c>
      <c r="O110" s="626">
        <f t="shared" si="111"/>
        <v>0</v>
      </c>
      <c r="P110" s="626">
        <f t="shared" si="112"/>
        <v>0</v>
      </c>
      <c r="Q110" s="626">
        <f t="shared" si="113"/>
        <v>0</v>
      </c>
      <c r="R110" s="625">
        <f t="array" ref="R110">IFERROR(INDEX('Malaria-Equipment &amp; Other HPs'!$Q$64:$Q$122,MATCH($E110&amp;$F110,'Malaria-Equipment &amp; Other HPs'!$E$64:$E$122&amp;'Malaria-Equipment &amp; Other HPs'!$I$64:$I$122,0)),0)</f>
        <v>0</v>
      </c>
      <c r="S110" s="626">
        <f t="shared" si="114"/>
        <v>0</v>
      </c>
      <c r="T110" s="626">
        <f t="shared" si="115"/>
        <v>0</v>
      </c>
      <c r="U110" s="626">
        <f t="shared" si="116"/>
        <v>0</v>
      </c>
      <c r="V110" s="625">
        <f t="array" ref="V110">IFERROR(INDEX('Malaria-Equipment &amp; Other HPs'!$R$64:$R$122,MATCH($E110&amp;$F110,'Malaria-Equipment &amp; Other HPs'!$E$64:$E$122&amp;'Malaria-Equipment &amp; Other HPs'!$I$64:$I$122,0)),0)</f>
        <v>0</v>
      </c>
      <c r="W110" s="626">
        <f t="shared" si="117"/>
        <v>0</v>
      </c>
      <c r="X110" s="626">
        <f t="shared" si="118"/>
        <v>0</v>
      </c>
      <c r="Y110" s="626">
        <f t="shared" si="119"/>
        <v>0</v>
      </c>
      <c r="Z110" s="630"/>
      <c r="AA110" s="625">
        <f t="array" ref="AA110">IFERROR(INDEX('Malaria-Equipment &amp; Other HPs'!$U$64:$U$122,MATCH($E110&amp;$F110,'Malaria-Equipment &amp; Other HPs'!$E$64:$E$122&amp;'Malaria-Equipment &amp; Other HPs'!$I$64:$I$122,0)),0)</f>
        <v>0</v>
      </c>
      <c r="AB110" s="625">
        <f t="array" ref="AB110">IFERROR(INDEX('Malaria-Equipment &amp; Other HPs'!$V$64:$V$122,MATCH($E110&amp;$F110,'Malaria-Equipment &amp; Other HPs'!$E$64:$E$122&amp;'Malaria-Equipment &amp; Other HPs'!$I$64:$I$122,0)),0)</f>
        <v>0</v>
      </c>
      <c r="AC110" s="625">
        <f t="shared" si="120"/>
        <v>0</v>
      </c>
      <c r="AD110" s="626">
        <f t="shared" si="121"/>
        <v>0</v>
      </c>
      <c r="AE110" s="626">
        <f t="shared" si="122"/>
        <v>0</v>
      </c>
      <c r="AF110" s="625">
        <f t="array" ref="AF110">IFERROR(INDEX('Malaria-Equipment &amp; Other HPs'!$W$64:$W$122,MATCH($E110&amp;$F110,'Malaria-Equipment &amp; Other HPs'!$E$64:$E$122&amp;'Malaria-Equipment &amp; Other HPs'!$I$64:$I$122,0)),0)</f>
        <v>0</v>
      </c>
      <c r="AG110" s="625">
        <f t="shared" si="123"/>
        <v>0</v>
      </c>
      <c r="AH110" s="626">
        <f t="shared" si="124"/>
        <v>0</v>
      </c>
      <c r="AI110" s="626">
        <f t="shared" si="125"/>
        <v>0</v>
      </c>
      <c r="AJ110" s="625">
        <f t="array" ref="AJ110">IFERROR(INDEX('Malaria-Equipment &amp; Other HPs'!$X$64:$X$122,MATCH($E110&amp;$F110,'Malaria-Equipment &amp; Other HPs'!$E$64:$E$122&amp;'Malaria-Equipment &amp; Other HPs'!$I$64:$I$122,0)),0)</f>
        <v>0</v>
      </c>
      <c r="AK110" s="625">
        <f t="shared" si="126"/>
        <v>0</v>
      </c>
      <c r="AL110" s="626">
        <f t="shared" si="127"/>
        <v>0</v>
      </c>
      <c r="AM110" s="626">
        <f t="shared" si="128"/>
        <v>0</v>
      </c>
      <c r="AN110" s="625">
        <f t="array" ref="AN110">IFERROR(INDEX('Malaria-Equipment &amp; Other HPs'!$Y$64:$Y$122,MATCH($E110&amp;$F110,'Malaria-Equipment &amp; Other HPs'!$E$64:$E$122&amp;'Malaria-Equipment &amp; Other HPs'!$I$64:$I$122,0)),0)</f>
        <v>0</v>
      </c>
      <c r="AO110" s="625">
        <f t="shared" si="129"/>
        <v>0</v>
      </c>
      <c r="AP110" s="626">
        <f t="shared" si="130"/>
        <v>0</v>
      </c>
      <c r="AQ110" s="626">
        <f t="shared" si="131"/>
        <v>0</v>
      </c>
      <c r="AR110" s="630"/>
      <c r="AS110" s="625">
        <f t="array" ref="AS110">IFERROR(INDEX('Malaria-Equipment &amp; Other HPs'!$AB$64:$AB$122,MATCH($E110&amp;$F110,'Malaria-Equipment &amp; Other HPs'!$E$64:$E$122&amp;'Malaria-Equipment &amp; Other HPs'!$I$64:$I$122,0)),0)</f>
        <v>0</v>
      </c>
      <c r="AT110" s="625">
        <f t="array" ref="AT110">IFERROR(INDEX('Malaria-Equipment &amp; Other HPs'!$AC$64:$AC$122,MATCH($E110&amp;$F110,'Malaria-Equipment &amp; Other HPs'!$E$64:$E$122&amp;'Malaria-Equipment &amp; Other HPs'!$I$64:$I$122,0)),0)</f>
        <v>0</v>
      </c>
      <c r="AU110" s="625">
        <f t="shared" si="132"/>
        <v>0</v>
      </c>
      <c r="AV110" s="626">
        <f t="shared" si="133"/>
        <v>0</v>
      </c>
      <c r="AW110" s="626">
        <f t="shared" si="134"/>
        <v>0</v>
      </c>
      <c r="AX110" s="625">
        <f t="array" ref="AX110">IFERROR(INDEX('Malaria-Equipment &amp; Other HPs'!$AD$64:$AD$122,MATCH($E110&amp;$F110,'Malaria-Equipment &amp; Other HPs'!$E$64:$E$122&amp;'Malaria-Equipment &amp; Other HPs'!$I$64:$I$122,0)),0)</f>
        <v>0</v>
      </c>
      <c r="AY110" s="625">
        <f t="shared" si="135"/>
        <v>0</v>
      </c>
      <c r="AZ110" s="626">
        <f t="shared" si="136"/>
        <v>0</v>
      </c>
      <c r="BA110" s="626">
        <f t="shared" si="137"/>
        <v>0</v>
      </c>
      <c r="BB110" s="625">
        <f t="array" ref="BB110">IFERROR(INDEX('Malaria-Equipment &amp; Other HPs'!$AE$64:$AE$122,MATCH($E110&amp;$F110,'Malaria-Equipment &amp; Other HPs'!$E$64:$E$122&amp;'Malaria-Equipment &amp; Other HPs'!$I$64:$I$122,0)),0)</f>
        <v>0</v>
      </c>
      <c r="BC110" s="625">
        <f t="shared" si="138"/>
        <v>0</v>
      </c>
      <c r="BD110" s="626">
        <f t="shared" si="139"/>
        <v>0</v>
      </c>
      <c r="BE110" s="626">
        <f t="shared" si="140"/>
        <v>0</v>
      </c>
      <c r="BF110" s="625">
        <f t="array" ref="BF110">IFERROR(INDEX('Malaria-Equipment &amp; Other HPs'!$AF$64:$AF$122,MATCH($E110&amp;$F110,'Malaria-Equipment &amp; Other HPs'!$E$64:$E$122&amp;'Malaria-Equipment &amp; Other HPs'!$I$64:$I$122,0)),0)</f>
        <v>0</v>
      </c>
      <c r="BG110" s="625">
        <f t="shared" si="141"/>
        <v>0</v>
      </c>
      <c r="BH110" s="626">
        <f t="shared" si="142"/>
        <v>0</v>
      </c>
      <c r="BI110" s="626">
        <f t="shared" si="143"/>
        <v>0</v>
      </c>
      <c r="BJ110" s="630"/>
      <c r="BK110" s="625"/>
      <c r="BL110" s="625"/>
      <c r="BM110" s="625"/>
      <c r="BN110" s="625"/>
      <c r="BO110" s="625"/>
      <c r="BP110" s="625"/>
      <c r="BQ110" s="625"/>
      <c r="BR110" s="625"/>
      <c r="BT110" s="21" t="s">
        <v>6820</v>
      </c>
    </row>
    <row r="111" spans="1:72">
      <c r="A111" s="29" t="s">
        <v>1241</v>
      </c>
      <c r="B111" s="29" t="s">
        <v>1549</v>
      </c>
      <c r="C111" s="626">
        <f>SETUP!$F$54</f>
        <v>0</v>
      </c>
      <c r="D111" s="25">
        <v>5.0999999999999996</v>
      </c>
      <c r="E111" s="26" t="s">
        <v>581</v>
      </c>
      <c r="F111" s="26" t="s">
        <v>1188</v>
      </c>
      <c r="G111" s="625" t="str">
        <f t="array" ref="G111">IFERROR(INDEX('Malaria-Equipment &amp; Other HPs'!$L$64:$L$122,MATCH($E111&amp;$F111,'Malaria-Equipment &amp; Other HPs'!$E$64:$E$122&amp;'Malaria-Equipment &amp; Other HPs'!$I$64:$I$122,0)),"")</f>
        <v/>
      </c>
      <c r="H111" s="625" t="str">
        <f t="array" ref="H111">IFERROR(INDEX('Malaria-Equipment &amp; Other HPs'!$M$64:$M$122,MATCH($E111&amp;$F111,'Malaria-Equipment &amp; Other HPs'!$E$64:$E$122&amp;'Malaria-Equipment &amp; Other HPs'!$I$64:$I$122,0)),"")</f>
        <v/>
      </c>
      <c r="I111" s="625">
        <f t="array" ref="I111">IFERROR(INDEX('Malaria-Equipment &amp; Other HPs'!$N$64:$N$122,MATCH($E111&amp;$F111,'Malaria-Equipment &amp; Other HPs'!$E$64:$E$122&amp;'Malaria-Equipment &amp; Other HPs'!$I$64:$I$122,0)),0)</f>
        <v>0</v>
      </c>
      <c r="J111" s="625">
        <f t="array" ref="J111">IFERROR(INDEX('Malaria-Equipment &amp; Other HPs'!$O$64:$O$122,MATCH($E111&amp;$F111,'Malaria-Equipment &amp; Other HPs'!$E$64:$E$122&amp;'Malaria-Equipment &amp; Other HPs'!$I$64:$I$122,0)),0)</f>
        <v>0</v>
      </c>
      <c r="K111" s="626">
        <f t="shared" si="108"/>
        <v>0</v>
      </c>
      <c r="L111" s="626">
        <f t="shared" si="109"/>
        <v>0</v>
      </c>
      <c r="M111" s="626">
        <f t="shared" si="110"/>
        <v>0</v>
      </c>
      <c r="N111" s="625">
        <f t="array" ref="N111">IFERROR(INDEX('Malaria-Equipment &amp; Other HPs'!$P$64:$P$122,MATCH($E111&amp;$F111,'Malaria-Equipment &amp; Other HPs'!$E$64:$E$122&amp;'Malaria-Equipment &amp; Other HPs'!$I$64:$I$122,0)),0)</f>
        <v>0</v>
      </c>
      <c r="O111" s="626">
        <f t="shared" si="111"/>
        <v>0</v>
      </c>
      <c r="P111" s="626">
        <f t="shared" si="112"/>
        <v>0</v>
      </c>
      <c r="Q111" s="626">
        <f t="shared" si="113"/>
        <v>0</v>
      </c>
      <c r="R111" s="625">
        <f t="array" ref="R111">IFERROR(INDEX('Malaria-Equipment &amp; Other HPs'!$Q$64:$Q$122,MATCH($E111&amp;$F111,'Malaria-Equipment &amp; Other HPs'!$E$64:$E$122&amp;'Malaria-Equipment &amp; Other HPs'!$I$64:$I$122,0)),0)</f>
        <v>0</v>
      </c>
      <c r="S111" s="626">
        <f t="shared" si="114"/>
        <v>0</v>
      </c>
      <c r="T111" s="626">
        <f t="shared" si="115"/>
        <v>0</v>
      </c>
      <c r="U111" s="626">
        <f t="shared" si="116"/>
        <v>0</v>
      </c>
      <c r="V111" s="625">
        <f t="array" ref="V111">IFERROR(INDEX('Malaria-Equipment &amp; Other HPs'!$R$64:$R$122,MATCH($E111&amp;$F111,'Malaria-Equipment &amp; Other HPs'!$E$64:$E$122&amp;'Malaria-Equipment &amp; Other HPs'!$I$64:$I$122,0)),0)</f>
        <v>0</v>
      </c>
      <c r="W111" s="626">
        <f t="shared" si="117"/>
        <v>0</v>
      </c>
      <c r="X111" s="626">
        <f t="shared" si="118"/>
        <v>0</v>
      </c>
      <c r="Y111" s="626">
        <f t="shared" si="119"/>
        <v>0</v>
      </c>
      <c r="Z111" s="630"/>
      <c r="AA111" s="625">
        <f t="array" ref="AA111">IFERROR(INDEX('Malaria-Equipment &amp; Other HPs'!$U$64:$U$122,MATCH($E111&amp;$F111,'Malaria-Equipment &amp; Other HPs'!$E$64:$E$122&amp;'Malaria-Equipment &amp; Other HPs'!$I$64:$I$122,0)),0)</f>
        <v>0</v>
      </c>
      <c r="AB111" s="625">
        <f t="array" ref="AB111">IFERROR(INDEX('Malaria-Equipment &amp; Other HPs'!$V$64:$V$122,MATCH($E111&amp;$F111,'Malaria-Equipment &amp; Other HPs'!$E$64:$E$122&amp;'Malaria-Equipment &amp; Other HPs'!$I$64:$I$122,0)),0)</f>
        <v>0</v>
      </c>
      <c r="AC111" s="625">
        <f t="shared" si="120"/>
        <v>0</v>
      </c>
      <c r="AD111" s="626">
        <f t="shared" si="121"/>
        <v>0</v>
      </c>
      <c r="AE111" s="626">
        <f t="shared" si="122"/>
        <v>0</v>
      </c>
      <c r="AF111" s="625">
        <f t="array" ref="AF111">IFERROR(INDEX('Malaria-Equipment &amp; Other HPs'!$W$64:$W$122,MATCH($E111&amp;$F111,'Malaria-Equipment &amp; Other HPs'!$E$64:$E$122&amp;'Malaria-Equipment &amp; Other HPs'!$I$64:$I$122,0)),0)</f>
        <v>0</v>
      </c>
      <c r="AG111" s="625">
        <f t="shared" si="123"/>
        <v>0</v>
      </c>
      <c r="AH111" s="626">
        <f t="shared" si="124"/>
        <v>0</v>
      </c>
      <c r="AI111" s="626">
        <f t="shared" si="125"/>
        <v>0</v>
      </c>
      <c r="AJ111" s="625">
        <f t="array" ref="AJ111">IFERROR(INDEX('Malaria-Equipment &amp; Other HPs'!$X$64:$X$122,MATCH($E111&amp;$F111,'Malaria-Equipment &amp; Other HPs'!$E$64:$E$122&amp;'Malaria-Equipment &amp; Other HPs'!$I$64:$I$122,0)),0)</f>
        <v>0</v>
      </c>
      <c r="AK111" s="625">
        <f t="shared" si="126"/>
        <v>0</v>
      </c>
      <c r="AL111" s="626">
        <f t="shared" si="127"/>
        <v>0</v>
      </c>
      <c r="AM111" s="626">
        <f t="shared" si="128"/>
        <v>0</v>
      </c>
      <c r="AN111" s="625">
        <f t="array" ref="AN111">IFERROR(INDEX('Malaria-Equipment &amp; Other HPs'!$Y$64:$Y$122,MATCH($E111&amp;$F111,'Malaria-Equipment &amp; Other HPs'!$E$64:$E$122&amp;'Malaria-Equipment &amp; Other HPs'!$I$64:$I$122,0)),0)</f>
        <v>0</v>
      </c>
      <c r="AO111" s="625">
        <f t="shared" si="129"/>
        <v>0</v>
      </c>
      <c r="AP111" s="626">
        <f t="shared" si="130"/>
        <v>0</v>
      </c>
      <c r="AQ111" s="626">
        <f t="shared" si="131"/>
        <v>0</v>
      </c>
      <c r="AR111" s="630"/>
      <c r="AS111" s="625">
        <f t="array" ref="AS111">IFERROR(INDEX('Malaria-Equipment &amp; Other HPs'!$AB$64:$AB$122,MATCH($E111&amp;$F111,'Malaria-Equipment &amp; Other HPs'!$E$64:$E$122&amp;'Malaria-Equipment &amp; Other HPs'!$I$64:$I$122,0)),0)</f>
        <v>0</v>
      </c>
      <c r="AT111" s="625">
        <f t="array" ref="AT111">IFERROR(INDEX('Malaria-Equipment &amp; Other HPs'!$AC$64:$AC$122,MATCH($E111&amp;$F111,'Malaria-Equipment &amp; Other HPs'!$E$64:$E$122&amp;'Malaria-Equipment &amp; Other HPs'!$I$64:$I$122,0)),0)</f>
        <v>0</v>
      </c>
      <c r="AU111" s="625">
        <f t="shared" si="132"/>
        <v>0</v>
      </c>
      <c r="AV111" s="626">
        <f t="shared" si="133"/>
        <v>0</v>
      </c>
      <c r="AW111" s="626">
        <f t="shared" si="134"/>
        <v>0</v>
      </c>
      <c r="AX111" s="625">
        <f t="array" ref="AX111">IFERROR(INDEX('Malaria-Equipment &amp; Other HPs'!$AD$64:$AD$122,MATCH($E111&amp;$F111,'Malaria-Equipment &amp; Other HPs'!$E$64:$E$122&amp;'Malaria-Equipment &amp; Other HPs'!$I$64:$I$122,0)),0)</f>
        <v>0</v>
      </c>
      <c r="AY111" s="625">
        <f t="shared" si="135"/>
        <v>0</v>
      </c>
      <c r="AZ111" s="626">
        <f t="shared" si="136"/>
        <v>0</v>
      </c>
      <c r="BA111" s="626">
        <f t="shared" si="137"/>
        <v>0</v>
      </c>
      <c r="BB111" s="625">
        <f t="array" ref="BB111">IFERROR(INDEX('Malaria-Equipment &amp; Other HPs'!$AE$64:$AE$122,MATCH($E111&amp;$F111,'Malaria-Equipment &amp; Other HPs'!$E$64:$E$122&amp;'Malaria-Equipment &amp; Other HPs'!$I$64:$I$122,0)),0)</f>
        <v>0</v>
      </c>
      <c r="BC111" s="625">
        <f t="shared" si="138"/>
        <v>0</v>
      </c>
      <c r="BD111" s="626">
        <f t="shared" si="139"/>
        <v>0</v>
      </c>
      <c r="BE111" s="626">
        <f t="shared" si="140"/>
        <v>0</v>
      </c>
      <c r="BF111" s="625">
        <f t="array" ref="BF111">IFERROR(INDEX('Malaria-Equipment &amp; Other HPs'!$AF$64:$AF$122,MATCH($E111&amp;$F111,'Malaria-Equipment &amp; Other HPs'!$E$64:$E$122&amp;'Malaria-Equipment &amp; Other HPs'!$I$64:$I$122,0)),0)</f>
        <v>0</v>
      </c>
      <c r="BG111" s="625">
        <f t="shared" si="141"/>
        <v>0</v>
      </c>
      <c r="BH111" s="626">
        <f t="shared" si="142"/>
        <v>0</v>
      </c>
      <c r="BI111" s="626">
        <f t="shared" si="143"/>
        <v>0</v>
      </c>
      <c r="BJ111" s="630"/>
      <c r="BK111" s="625"/>
      <c r="BL111" s="625"/>
      <c r="BM111" s="625"/>
      <c r="BN111" s="625"/>
      <c r="BO111" s="625"/>
      <c r="BP111" s="625"/>
      <c r="BQ111" s="625"/>
      <c r="BR111" s="625"/>
      <c r="BT111" s="21" t="s">
        <v>6820</v>
      </c>
    </row>
    <row r="112" spans="1:72">
      <c r="A112" s="29" t="s">
        <v>1241</v>
      </c>
      <c r="B112" s="29" t="s">
        <v>1549</v>
      </c>
      <c r="C112" s="626">
        <f>SETUP!$F$54</f>
        <v>0</v>
      </c>
      <c r="D112" s="25">
        <v>5.0999999999999996</v>
      </c>
      <c r="E112" s="26" t="s">
        <v>581</v>
      </c>
      <c r="F112" s="26" t="s">
        <v>851</v>
      </c>
      <c r="G112" s="625" t="str">
        <f t="array" ref="G112">IFERROR(INDEX('Malaria-Equipment &amp; Other HPs'!$L$64:$L$122,MATCH($E112&amp;$F112,'Malaria-Equipment &amp; Other HPs'!$E$64:$E$122&amp;'Malaria-Equipment &amp; Other HPs'!$I$64:$I$122,0)),"")</f>
        <v/>
      </c>
      <c r="H112" s="625" t="str">
        <f t="array" ref="H112">IFERROR(INDEX('Malaria-Equipment &amp; Other HPs'!$M$64:$M$122,MATCH($E112&amp;$F112,'Malaria-Equipment &amp; Other HPs'!$E$64:$E$122&amp;'Malaria-Equipment &amp; Other HPs'!$I$64:$I$122,0)),"")</f>
        <v/>
      </c>
      <c r="I112" s="625">
        <f t="array" ref="I112">IFERROR(INDEX('Malaria-Equipment &amp; Other HPs'!$N$64:$N$122,MATCH($E112&amp;$F112,'Malaria-Equipment &amp; Other HPs'!$E$64:$E$122&amp;'Malaria-Equipment &amp; Other HPs'!$I$64:$I$122,0)),0)</f>
        <v>0</v>
      </c>
      <c r="J112" s="625">
        <f t="array" ref="J112">IFERROR(INDEX('Malaria-Equipment &amp; Other HPs'!$O$64:$O$122,MATCH($E112&amp;$F112,'Malaria-Equipment &amp; Other HPs'!$E$64:$E$122&amp;'Malaria-Equipment &amp; Other HPs'!$I$64:$I$122,0)),0)</f>
        <v>0</v>
      </c>
      <c r="K112" s="626">
        <f t="shared" si="108"/>
        <v>0</v>
      </c>
      <c r="L112" s="626">
        <f t="shared" si="109"/>
        <v>0</v>
      </c>
      <c r="M112" s="626">
        <f t="shared" si="110"/>
        <v>0</v>
      </c>
      <c r="N112" s="625">
        <f t="array" ref="N112">IFERROR(INDEX('Malaria-Equipment &amp; Other HPs'!$P$64:$P$122,MATCH($E112&amp;$F112,'Malaria-Equipment &amp; Other HPs'!$E$64:$E$122&amp;'Malaria-Equipment &amp; Other HPs'!$I$64:$I$122,0)),0)</f>
        <v>0</v>
      </c>
      <c r="O112" s="626">
        <f t="shared" si="111"/>
        <v>0</v>
      </c>
      <c r="P112" s="626">
        <f t="shared" si="112"/>
        <v>0</v>
      </c>
      <c r="Q112" s="626">
        <f t="shared" si="113"/>
        <v>0</v>
      </c>
      <c r="R112" s="625">
        <f t="array" ref="R112">IFERROR(INDEX('Malaria-Equipment &amp; Other HPs'!$Q$64:$Q$122,MATCH($E112&amp;$F112,'Malaria-Equipment &amp; Other HPs'!$E$64:$E$122&amp;'Malaria-Equipment &amp; Other HPs'!$I$64:$I$122,0)),0)</f>
        <v>0</v>
      </c>
      <c r="S112" s="626">
        <f t="shared" si="114"/>
        <v>0</v>
      </c>
      <c r="T112" s="626">
        <f t="shared" si="115"/>
        <v>0</v>
      </c>
      <c r="U112" s="626">
        <f t="shared" si="116"/>
        <v>0</v>
      </c>
      <c r="V112" s="625">
        <f t="array" ref="V112">IFERROR(INDEX('Malaria-Equipment &amp; Other HPs'!$R$64:$R$122,MATCH($E112&amp;$F112,'Malaria-Equipment &amp; Other HPs'!$E$64:$E$122&amp;'Malaria-Equipment &amp; Other HPs'!$I$64:$I$122,0)),0)</f>
        <v>0</v>
      </c>
      <c r="W112" s="626">
        <f t="shared" si="117"/>
        <v>0</v>
      </c>
      <c r="X112" s="626">
        <f t="shared" si="118"/>
        <v>0</v>
      </c>
      <c r="Y112" s="626">
        <f t="shared" si="119"/>
        <v>0</v>
      </c>
      <c r="Z112" s="630"/>
      <c r="AA112" s="625">
        <f t="array" ref="AA112">IFERROR(INDEX('Malaria-Equipment &amp; Other HPs'!$U$64:$U$122,MATCH($E112&amp;$F112,'Malaria-Equipment &amp; Other HPs'!$E$64:$E$122&amp;'Malaria-Equipment &amp; Other HPs'!$I$64:$I$122,0)),0)</f>
        <v>0</v>
      </c>
      <c r="AB112" s="625">
        <f t="array" ref="AB112">IFERROR(INDEX('Malaria-Equipment &amp; Other HPs'!$V$64:$V$122,MATCH($E112&amp;$F112,'Malaria-Equipment &amp; Other HPs'!$E$64:$E$122&amp;'Malaria-Equipment &amp; Other HPs'!$I$64:$I$122,0)),0)</f>
        <v>0</v>
      </c>
      <c r="AC112" s="625">
        <f t="shared" si="120"/>
        <v>0</v>
      </c>
      <c r="AD112" s="626">
        <f t="shared" si="121"/>
        <v>0</v>
      </c>
      <c r="AE112" s="626">
        <f t="shared" si="122"/>
        <v>0</v>
      </c>
      <c r="AF112" s="625">
        <f t="array" ref="AF112">IFERROR(INDEX('Malaria-Equipment &amp; Other HPs'!$W$64:$W$122,MATCH($E112&amp;$F112,'Malaria-Equipment &amp; Other HPs'!$E$64:$E$122&amp;'Malaria-Equipment &amp; Other HPs'!$I$64:$I$122,0)),0)</f>
        <v>0</v>
      </c>
      <c r="AG112" s="625">
        <f t="shared" si="123"/>
        <v>0</v>
      </c>
      <c r="AH112" s="626">
        <f t="shared" si="124"/>
        <v>0</v>
      </c>
      <c r="AI112" s="626">
        <f t="shared" si="125"/>
        <v>0</v>
      </c>
      <c r="AJ112" s="625">
        <f t="array" ref="AJ112">IFERROR(INDEX('Malaria-Equipment &amp; Other HPs'!$X$64:$X$122,MATCH($E112&amp;$F112,'Malaria-Equipment &amp; Other HPs'!$E$64:$E$122&amp;'Malaria-Equipment &amp; Other HPs'!$I$64:$I$122,0)),0)</f>
        <v>0</v>
      </c>
      <c r="AK112" s="625">
        <f t="shared" si="126"/>
        <v>0</v>
      </c>
      <c r="AL112" s="626">
        <f t="shared" si="127"/>
        <v>0</v>
      </c>
      <c r="AM112" s="626">
        <f t="shared" si="128"/>
        <v>0</v>
      </c>
      <c r="AN112" s="625">
        <f t="array" ref="AN112">IFERROR(INDEX('Malaria-Equipment &amp; Other HPs'!$Y$64:$Y$122,MATCH($E112&amp;$F112,'Malaria-Equipment &amp; Other HPs'!$E$64:$E$122&amp;'Malaria-Equipment &amp; Other HPs'!$I$64:$I$122,0)),0)</f>
        <v>0</v>
      </c>
      <c r="AO112" s="625">
        <f t="shared" si="129"/>
        <v>0</v>
      </c>
      <c r="AP112" s="626">
        <f t="shared" si="130"/>
        <v>0</v>
      </c>
      <c r="AQ112" s="626">
        <f t="shared" si="131"/>
        <v>0</v>
      </c>
      <c r="AR112" s="630"/>
      <c r="AS112" s="625">
        <f t="array" ref="AS112">IFERROR(INDEX('Malaria-Equipment &amp; Other HPs'!$AB$64:$AB$122,MATCH($E112&amp;$F112,'Malaria-Equipment &amp; Other HPs'!$E$64:$E$122&amp;'Malaria-Equipment &amp; Other HPs'!$I$64:$I$122,0)),0)</f>
        <v>0</v>
      </c>
      <c r="AT112" s="625">
        <f t="array" ref="AT112">IFERROR(INDEX('Malaria-Equipment &amp; Other HPs'!$AC$64:$AC$122,MATCH($E112&amp;$F112,'Malaria-Equipment &amp; Other HPs'!$E$64:$E$122&amp;'Malaria-Equipment &amp; Other HPs'!$I$64:$I$122,0)),0)</f>
        <v>0</v>
      </c>
      <c r="AU112" s="625">
        <f t="shared" si="132"/>
        <v>0</v>
      </c>
      <c r="AV112" s="626">
        <f t="shared" si="133"/>
        <v>0</v>
      </c>
      <c r="AW112" s="626">
        <f t="shared" si="134"/>
        <v>0</v>
      </c>
      <c r="AX112" s="625">
        <f t="array" ref="AX112">IFERROR(INDEX('Malaria-Equipment &amp; Other HPs'!$AD$64:$AD$122,MATCH($E112&amp;$F112,'Malaria-Equipment &amp; Other HPs'!$E$64:$E$122&amp;'Malaria-Equipment &amp; Other HPs'!$I$64:$I$122,0)),0)</f>
        <v>0</v>
      </c>
      <c r="AY112" s="625">
        <f t="shared" si="135"/>
        <v>0</v>
      </c>
      <c r="AZ112" s="626">
        <f t="shared" si="136"/>
        <v>0</v>
      </c>
      <c r="BA112" s="626">
        <f t="shared" si="137"/>
        <v>0</v>
      </c>
      <c r="BB112" s="625">
        <f t="array" ref="BB112">IFERROR(INDEX('Malaria-Equipment &amp; Other HPs'!$AE$64:$AE$122,MATCH($E112&amp;$F112,'Malaria-Equipment &amp; Other HPs'!$E$64:$E$122&amp;'Malaria-Equipment &amp; Other HPs'!$I$64:$I$122,0)),0)</f>
        <v>0</v>
      </c>
      <c r="BC112" s="625">
        <f t="shared" si="138"/>
        <v>0</v>
      </c>
      <c r="BD112" s="626">
        <f t="shared" si="139"/>
        <v>0</v>
      </c>
      <c r="BE112" s="626">
        <f t="shared" si="140"/>
        <v>0</v>
      </c>
      <c r="BF112" s="625">
        <f t="array" ref="BF112">IFERROR(INDEX('Malaria-Equipment &amp; Other HPs'!$AF$64:$AF$122,MATCH($E112&amp;$F112,'Malaria-Equipment &amp; Other HPs'!$E$64:$E$122&amp;'Malaria-Equipment &amp; Other HPs'!$I$64:$I$122,0)),0)</f>
        <v>0</v>
      </c>
      <c r="BG112" s="625">
        <f t="shared" si="141"/>
        <v>0</v>
      </c>
      <c r="BH112" s="626">
        <f t="shared" si="142"/>
        <v>0</v>
      </c>
      <c r="BI112" s="626">
        <f t="shared" si="143"/>
        <v>0</v>
      </c>
      <c r="BJ112" s="630"/>
      <c r="BK112" s="625"/>
      <c r="BL112" s="625"/>
      <c r="BM112" s="625"/>
      <c r="BN112" s="625"/>
      <c r="BO112" s="625"/>
      <c r="BP112" s="625"/>
      <c r="BQ112" s="625"/>
      <c r="BR112" s="625"/>
      <c r="BT112" s="21" t="s">
        <v>6820</v>
      </c>
    </row>
    <row r="113" spans="1:72">
      <c r="A113" s="29" t="s">
        <v>1241</v>
      </c>
      <c r="B113" s="29" t="s">
        <v>1549</v>
      </c>
      <c r="C113" s="626">
        <f>SETUP!$F$54</f>
        <v>0</v>
      </c>
      <c r="D113" s="25">
        <v>5.0999999999999996</v>
      </c>
      <c r="E113" s="26" t="s">
        <v>581</v>
      </c>
      <c r="F113" s="26" t="s">
        <v>1189</v>
      </c>
      <c r="G113" s="625" t="str">
        <f t="array" ref="G113">IFERROR(INDEX('Malaria-Equipment &amp; Other HPs'!$L$64:$L$122,MATCH($E113&amp;$F113,'Malaria-Equipment &amp; Other HPs'!$E$64:$E$122&amp;'Malaria-Equipment &amp; Other HPs'!$I$64:$I$122,0)),"")</f>
        <v/>
      </c>
      <c r="H113" s="625" t="str">
        <f t="array" ref="H113">IFERROR(INDEX('Malaria-Equipment &amp; Other HPs'!$M$64:$M$122,MATCH($E113&amp;$F113,'Malaria-Equipment &amp; Other HPs'!$E$64:$E$122&amp;'Malaria-Equipment &amp; Other HPs'!$I$64:$I$122,0)),"")</f>
        <v/>
      </c>
      <c r="I113" s="625">
        <f t="array" ref="I113">IFERROR(INDEX('Malaria-Equipment &amp; Other HPs'!$N$64:$N$122,MATCH($E113&amp;$F113,'Malaria-Equipment &amp; Other HPs'!$E$64:$E$122&amp;'Malaria-Equipment &amp; Other HPs'!$I$64:$I$122,0)),0)</f>
        <v>0</v>
      </c>
      <c r="J113" s="625">
        <f t="array" ref="J113">IFERROR(INDEX('Malaria-Equipment &amp; Other HPs'!$O$64:$O$122,MATCH($E113&amp;$F113,'Malaria-Equipment &amp; Other HPs'!$E$64:$E$122&amp;'Malaria-Equipment &amp; Other HPs'!$I$64:$I$122,0)),0)</f>
        <v>0</v>
      </c>
      <c r="K113" s="626">
        <f t="shared" si="108"/>
        <v>0</v>
      </c>
      <c r="L113" s="626">
        <f t="shared" si="109"/>
        <v>0</v>
      </c>
      <c r="M113" s="626">
        <f t="shared" si="110"/>
        <v>0</v>
      </c>
      <c r="N113" s="625">
        <f t="array" ref="N113">IFERROR(INDEX('Malaria-Equipment &amp; Other HPs'!$P$64:$P$122,MATCH($E113&amp;$F113,'Malaria-Equipment &amp; Other HPs'!$E$64:$E$122&amp;'Malaria-Equipment &amp; Other HPs'!$I$64:$I$122,0)),0)</f>
        <v>0</v>
      </c>
      <c r="O113" s="626">
        <f t="shared" si="111"/>
        <v>0</v>
      </c>
      <c r="P113" s="626">
        <f t="shared" si="112"/>
        <v>0</v>
      </c>
      <c r="Q113" s="626">
        <f t="shared" si="113"/>
        <v>0</v>
      </c>
      <c r="R113" s="625">
        <f t="array" ref="R113">IFERROR(INDEX('Malaria-Equipment &amp; Other HPs'!$Q$64:$Q$122,MATCH($E113&amp;$F113,'Malaria-Equipment &amp; Other HPs'!$E$64:$E$122&amp;'Malaria-Equipment &amp; Other HPs'!$I$64:$I$122,0)),0)</f>
        <v>0</v>
      </c>
      <c r="S113" s="626">
        <f t="shared" si="114"/>
        <v>0</v>
      </c>
      <c r="T113" s="626">
        <f t="shared" si="115"/>
        <v>0</v>
      </c>
      <c r="U113" s="626">
        <f t="shared" si="116"/>
        <v>0</v>
      </c>
      <c r="V113" s="625">
        <f t="array" ref="V113">IFERROR(INDEX('Malaria-Equipment &amp; Other HPs'!$R$64:$R$122,MATCH($E113&amp;$F113,'Malaria-Equipment &amp; Other HPs'!$E$64:$E$122&amp;'Malaria-Equipment &amp; Other HPs'!$I$64:$I$122,0)),0)</f>
        <v>0</v>
      </c>
      <c r="W113" s="626">
        <f t="shared" si="117"/>
        <v>0</v>
      </c>
      <c r="X113" s="626">
        <f t="shared" si="118"/>
        <v>0</v>
      </c>
      <c r="Y113" s="626">
        <f t="shared" si="119"/>
        <v>0</v>
      </c>
      <c r="Z113" s="630"/>
      <c r="AA113" s="625">
        <f t="array" ref="AA113">IFERROR(INDEX('Malaria-Equipment &amp; Other HPs'!$U$64:$U$122,MATCH($E113&amp;$F113,'Malaria-Equipment &amp; Other HPs'!$E$64:$E$122&amp;'Malaria-Equipment &amp; Other HPs'!$I$64:$I$122,0)),0)</f>
        <v>0</v>
      </c>
      <c r="AB113" s="625">
        <f t="array" ref="AB113">IFERROR(INDEX('Malaria-Equipment &amp; Other HPs'!$V$64:$V$122,MATCH($E113&amp;$F113,'Malaria-Equipment &amp; Other HPs'!$E$64:$E$122&amp;'Malaria-Equipment &amp; Other HPs'!$I$64:$I$122,0)),0)</f>
        <v>0</v>
      </c>
      <c r="AC113" s="625">
        <f t="shared" si="120"/>
        <v>0</v>
      </c>
      <c r="AD113" s="626">
        <f t="shared" si="121"/>
        <v>0</v>
      </c>
      <c r="AE113" s="626">
        <f t="shared" si="122"/>
        <v>0</v>
      </c>
      <c r="AF113" s="625">
        <f t="array" ref="AF113">IFERROR(INDEX('Malaria-Equipment &amp; Other HPs'!$W$64:$W$122,MATCH($E113&amp;$F113,'Malaria-Equipment &amp; Other HPs'!$E$64:$E$122&amp;'Malaria-Equipment &amp; Other HPs'!$I$64:$I$122,0)),0)</f>
        <v>0</v>
      </c>
      <c r="AG113" s="625">
        <f t="shared" si="123"/>
        <v>0</v>
      </c>
      <c r="AH113" s="626">
        <f t="shared" si="124"/>
        <v>0</v>
      </c>
      <c r="AI113" s="626">
        <f t="shared" si="125"/>
        <v>0</v>
      </c>
      <c r="AJ113" s="625">
        <f t="array" ref="AJ113">IFERROR(INDEX('Malaria-Equipment &amp; Other HPs'!$X$64:$X$122,MATCH($E113&amp;$F113,'Malaria-Equipment &amp; Other HPs'!$E$64:$E$122&amp;'Malaria-Equipment &amp; Other HPs'!$I$64:$I$122,0)),0)</f>
        <v>0</v>
      </c>
      <c r="AK113" s="625">
        <f t="shared" si="126"/>
        <v>0</v>
      </c>
      <c r="AL113" s="626">
        <f t="shared" si="127"/>
        <v>0</v>
      </c>
      <c r="AM113" s="626">
        <f t="shared" si="128"/>
        <v>0</v>
      </c>
      <c r="AN113" s="625">
        <f t="array" ref="AN113">IFERROR(INDEX('Malaria-Equipment &amp; Other HPs'!$Y$64:$Y$122,MATCH($E113&amp;$F113,'Malaria-Equipment &amp; Other HPs'!$E$64:$E$122&amp;'Malaria-Equipment &amp; Other HPs'!$I$64:$I$122,0)),0)</f>
        <v>0</v>
      </c>
      <c r="AO113" s="625">
        <f t="shared" si="129"/>
        <v>0</v>
      </c>
      <c r="AP113" s="626">
        <f t="shared" si="130"/>
        <v>0</v>
      </c>
      <c r="AQ113" s="626">
        <f t="shared" si="131"/>
        <v>0</v>
      </c>
      <c r="AR113" s="630"/>
      <c r="AS113" s="625">
        <f t="array" ref="AS113">IFERROR(INDEX('Malaria-Equipment &amp; Other HPs'!$AB$64:$AB$122,MATCH($E113&amp;$F113,'Malaria-Equipment &amp; Other HPs'!$E$64:$E$122&amp;'Malaria-Equipment &amp; Other HPs'!$I$64:$I$122,0)),0)</f>
        <v>0</v>
      </c>
      <c r="AT113" s="625">
        <f t="array" ref="AT113">IFERROR(INDEX('Malaria-Equipment &amp; Other HPs'!$AC$64:$AC$122,MATCH($E113&amp;$F113,'Malaria-Equipment &amp; Other HPs'!$E$64:$E$122&amp;'Malaria-Equipment &amp; Other HPs'!$I$64:$I$122,0)),0)</f>
        <v>0</v>
      </c>
      <c r="AU113" s="625">
        <f t="shared" si="132"/>
        <v>0</v>
      </c>
      <c r="AV113" s="626">
        <f t="shared" si="133"/>
        <v>0</v>
      </c>
      <c r="AW113" s="626">
        <f t="shared" si="134"/>
        <v>0</v>
      </c>
      <c r="AX113" s="625">
        <f t="array" ref="AX113">IFERROR(INDEX('Malaria-Equipment &amp; Other HPs'!$AD$64:$AD$122,MATCH($E113&amp;$F113,'Malaria-Equipment &amp; Other HPs'!$E$64:$E$122&amp;'Malaria-Equipment &amp; Other HPs'!$I$64:$I$122,0)),0)</f>
        <v>0</v>
      </c>
      <c r="AY113" s="625">
        <f t="shared" si="135"/>
        <v>0</v>
      </c>
      <c r="AZ113" s="626">
        <f t="shared" si="136"/>
        <v>0</v>
      </c>
      <c r="BA113" s="626">
        <f t="shared" si="137"/>
        <v>0</v>
      </c>
      <c r="BB113" s="625">
        <f t="array" ref="BB113">IFERROR(INDEX('Malaria-Equipment &amp; Other HPs'!$AE$64:$AE$122,MATCH($E113&amp;$F113,'Malaria-Equipment &amp; Other HPs'!$E$64:$E$122&amp;'Malaria-Equipment &amp; Other HPs'!$I$64:$I$122,0)),0)</f>
        <v>0</v>
      </c>
      <c r="BC113" s="625">
        <f t="shared" si="138"/>
        <v>0</v>
      </c>
      <c r="BD113" s="626">
        <f t="shared" si="139"/>
        <v>0</v>
      </c>
      <c r="BE113" s="626">
        <f t="shared" si="140"/>
        <v>0</v>
      </c>
      <c r="BF113" s="625">
        <f t="array" ref="BF113">IFERROR(INDEX('Malaria-Equipment &amp; Other HPs'!$AF$64:$AF$122,MATCH($E113&amp;$F113,'Malaria-Equipment &amp; Other HPs'!$E$64:$E$122&amp;'Malaria-Equipment &amp; Other HPs'!$I$64:$I$122,0)),0)</f>
        <v>0</v>
      </c>
      <c r="BG113" s="625">
        <f t="shared" si="141"/>
        <v>0</v>
      </c>
      <c r="BH113" s="626">
        <f t="shared" si="142"/>
        <v>0</v>
      </c>
      <c r="BI113" s="626">
        <f t="shared" si="143"/>
        <v>0</v>
      </c>
      <c r="BJ113" s="630"/>
      <c r="BK113" s="625"/>
      <c r="BL113" s="625"/>
      <c r="BM113" s="625"/>
      <c r="BN113" s="625"/>
      <c r="BO113" s="625"/>
      <c r="BP113" s="625"/>
      <c r="BQ113" s="625"/>
      <c r="BR113" s="625"/>
      <c r="BT113" s="21" t="s">
        <v>6820</v>
      </c>
    </row>
    <row r="114" spans="1:72">
      <c r="A114" s="29" t="s">
        <v>1241</v>
      </c>
      <c r="B114" s="29" t="s">
        <v>1549</v>
      </c>
      <c r="C114" s="626">
        <f>SETUP!$F$54</f>
        <v>0</v>
      </c>
      <c r="D114" s="25">
        <v>5.0999999999999996</v>
      </c>
      <c r="E114" s="26" t="s">
        <v>581</v>
      </c>
      <c r="F114" s="26" t="s">
        <v>852</v>
      </c>
      <c r="G114" s="625" t="str">
        <f t="array" ref="G114">IFERROR(INDEX('Malaria-Equipment &amp; Other HPs'!$L$64:$L$122,MATCH($E114&amp;$F114,'Malaria-Equipment &amp; Other HPs'!$E$64:$E$122&amp;'Malaria-Equipment &amp; Other HPs'!$I$64:$I$122,0)),"")</f>
        <v/>
      </c>
      <c r="H114" s="625" t="str">
        <f t="array" ref="H114">IFERROR(INDEX('Malaria-Equipment &amp; Other HPs'!$M$64:$M$122,MATCH($E114&amp;$F114,'Malaria-Equipment &amp; Other HPs'!$E$64:$E$122&amp;'Malaria-Equipment &amp; Other HPs'!$I$64:$I$122,0)),"")</f>
        <v/>
      </c>
      <c r="I114" s="625">
        <f t="array" ref="I114">IFERROR(INDEX('Malaria-Equipment &amp; Other HPs'!$N$64:$N$122,MATCH($E114&amp;$F114,'Malaria-Equipment &amp; Other HPs'!$E$64:$E$122&amp;'Malaria-Equipment &amp; Other HPs'!$I$64:$I$122,0)),0)</f>
        <v>0</v>
      </c>
      <c r="J114" s="625">
        <f t="array" ref="J114">IFERROR(INDEX('Malaria-Equipment &amp; Other HPs'!$O$64:$O$122,MATCH($E114&amp;$F114,'Malaria-Equipment &amp; Other HPs'!$E$64:$E$122&amp;'Malaria-Equipment &amp; Other HPs'!$I$64:$I$122,0)),0)</f>
        <v>0</v>
      </c>
      <c r="K114" s="626">
        <f t="shared" si="108"/>
        <v>0</v>
      </c>
      <c r="L114" s="626">
        <f t="shared" si="109"/>
        <v>0</v>
      </c>
      <c r="M114" s="626">
        <f t="shared" si="110"/>
        <v>0</v>
      </c>
      <c r="N114" s="625">
        <f t="array" ref="N114">IFERROR(INDEX('Malaria-Equipment &amp; Other HPs'!$P$64:$P$122,MATCH($E114&amp;$F114,'Malaria-Equipment &amp; Other HPs'!$E$64:$E$122&amp;'Malaria-Equipment &amp; Other HPs'!$I$64:$I$122,0)),0)</f>
        <v>0</v>
      </c>
      <c r="O114" s="626">
        <f t="shared" si="111"/>
        <v>0</v>
      </c>
      <c r="P114" s="626">
        <f t="shared" si="112"/>
        <v>0</v>
      </c>
      <c r="Q114" s="626">
        <f t="shared" si="113"/>
        <v>0</v>
      </c>
      <c r="R114" s="625">
        <f t="array" ref="R114">IFERROR(INDEX('Malaria-Equipment &amp; Other HPs'!$Q$64:$Q$122,MATCH($E114&amp;$F114,'Malaria-Equipment &amp; Other HPs'!$E$64:$E$122&amp;'Malaria-Equipment &amp; Other HPs'!$I$64:$I$122,0)),0)</f>
        <v>0</v>
      </c>
      <c r="S114" s="626">
        <f t="shared" si="114"/>
        <v>0</v>
      </c>
      <c r="T114" s="626">
        <f t="shared" si="115"/>
        <v>0</v>
      </c>
      <c r="U114" s="626">
        <f t="shared" si="116"/>
        <v>0</v>
      </c>
      <c r="V114" s="625">
        <f t="array" ref="V114">IFERROR(INDEX('Malaria-Equipment &amp; Other HPs'!$R$64:$R$122,MATCH($E114&amp;$F114,'Malaria-Equipment &amp; Other HPs'!$E$64:$E$122&amp;'Malaria-Equipment &amp; Other HPs'!$I$64:$I$122,0)),0)</f>
        <v>0</v>
      </c>
      <c r="W114" s="626">
        <f t="shared" si="117"/>
        <v>0</v>
      </c>
      <c r="X114" s="626">
        <f t="shared" si="118"/>
        <v>0</v>
      </c>
      <c r="Y114" s="626">
        <f t="shared" si="119"/>
        <v>0</v>
      </c>
      <c r="Z114" s="630"/>
      <c r="AA114" s="625">
        <f t="array" ref="AA114">IFERROR(INDEX('Malaria-Equipment &amp; Other HPs'!$U$64:$U$122,MATCH($E114&amp;$F114,'Malaria-Equipment &amp; Other HPs'!$E$64:$E$122&amp;'Malaria-Equipment &amp; Other HPs'!$I$64:$I$122,0)),0)</f>
        <v>0</v>
      </c>
      <c r="AB114" s="625">
        <f t="array" ref="AB114">IFERROR(INDEX('Malaria-Equipment &amp; Other HPs'!$V$64:$V$122,MATCH($E114&amp;$F114,'Malaria-Equipment &amp; Other HPs'!$E$64:$E$122&amp;'Malaria-Equipment &amp; Other HPs'!$I$64:$I$122,0)),0)</f>
        <v>0</v>
      </c>
      <c r="AC114" s="625">
        <f t="shared" si="120"/>
        <v>0</v>
      </c>
      <c r="AD114" s="626">
        <f t="shared" si="121"/>
        <v>0</v>
      </c>
      <c r="AE114" s="626">
        <f t="shared" si="122"/>
        <v>0</v>
      </c>
      <c r="AF114" s="625">
        <f t="array" ref="AF114">IFERROR(INDEX('Malaria-Equipment &amp; Other HPs'!$W$64:$W$122,MATCH($E114&amp;$F114,'Malaria-Equipment &amp; Other HPs'!$E$64:$E$122&amp;'Malaria-Equipment &amp; Other HPs'!$I$64:$I$122,0)),0)</f>
        <v>0</v>
      </c>
      <c r="AG114" s="625">
        <f t="shared" si="123"/>
        <v>0</v>
      </c>
      <c r="AH114" s="626">
        <f t="shared" si="124"/>
        <v>0</v>
      </c>
      <c r="AI114" s="626">
        <f t="shared" si="125"/>
        <v>0</v>
      </c>
      <c r="AJ114" s="625">
        <f t="array" ref="AJ114">IFERROR(INDEX('Malaria-Equipment &amp; Other HPs'!$X$64:$X$122,MATCH($E114&amp;$F114,'Malaria-Equipment &amp; Other HPs'!$E$64:$E$122&amp;'Malaria-Equipment &amp; Other HPs'!$I$64:$I$122,0)),0)</f>
        <v>0</v>
      </c>
      <c r="AK114" s="625">
        <f t="shared" si="126"/>
        <v>0</v>
      </c>
      <c r="AL114" s="626">
        <f t="shared" si="127"/>
        <v>0</v>
      </c>
      <c r="AM114" s="626">
        <f t="shared" si="128"/>
        <v>0</v>
      </c>
      <c r="AN114" s="625">
        <f t="array" ref="AN114">IFERROR(INDEX('Malaria-Equipment &amp; Other HPs'!$Y$64:$Y$122,MATCH($E114&amp;$F114,'Malaria-Equipment &amp; Other HPs'!$E$64:$E$122&amp;'Malaria-Equipment &amp; Other HPs'!$I$64:$I$122,0)),0)</f>
        <v>0</v>
      </c>
      <c r="AO114" s="625">
        <f t="shared" si="129"/>
        <v>0</v>
      </c>
      <c r="AP114" s="626">
        <f t="shared" si="130"/>
        <v>0</v>
      </c>
      <c r="AQ114" s="626">
        <f t="shared" si="131"/>
        <v>0</v>
      </c>
      <c r="AR114" s="630"/>
      <c r="AS114" s="625">
        <f t="array" ref="AS114">IFERROR(INDEX('Malaria-Equipment &amp; Other HPs'!$AB$64:$AB$122,MATCH($E114&amp;$F114,'Malaria-Equipment &amp; Other HPs'!$E$64:$E$122&amp;'Malaria-Equipment &amp; Other HPs'!$I$64:$I$122,0)),0)</f>
        <v>0</v>
      </c>
      <c r="AT114" s="625">
        <f t="array" ref="AT114">IFERROR(INDEX('Malaria-Equipment &amp; Other HPs'!$AC$64:$AC$122,MATCH($E114&amp;$F114,'Malaria-Equipment &amp; Other HPs'!$E$64:$E$122&amp;'Malaria-Equipment &amp; Other HPs'!$I$64:$I$122,0)),0)</f>
        <v>0</v>
      </c>
      <c r="AU114" s="625">
        <f t="shared" si="132"/>
        <v>0</v>
      </c>
      <c r="AV114" s="626">
        <f t="shared" si="133"/>
        <v>0</v>
      </c>
      <c r="AW114" s="626">
        <f t="shared" si="134"/>
        <v>0</v>
      </c>
      <c r="AX114" s="625">
        <f t="array" ref="AX114">IFERROR(INDEX('Malaria-Equipment &amp; Other HPs'!$AD$64:$AD$122,MATCH($E114&amp;$F114,'Malaria-Equipment &amp; Other HPs'!$E$64:$E$122&amp;'Malaria-Equipment &amp; Other HPs'!$I$64:$I$122,0)),0)</f>
        <v>0</v>
      </c>
      <c r="AY114" s="625">
        <f t="shared" si="135"/>
        <v>0</v>
      </c>
      <c r="AZ114" s="626">
        <f t="shared" si="136"/>
        <v>0</v>
      </c>
      <c r="BA114" s="626">
        <f t="shared" si="137"/>
        <v>0</v>
      </c>
      <c r="BB114" s="625">
        <f t="array" ref="BB114">IFERROR(INDEX('Malaria-Equipment &amp; Other HPs'!$AE$64:$AE$122,MATCH($E114&amp;$F114,'Malaria-Equipment &amp; Other HPs'!$E$64:$E$122&amp;'Malaria-Equipment &amp; Other HPs'!$I$64:$I$122,0)),0)</f>
        <v>0</v>
      </c>
      <c r="BC114" s="625">
        <f t="shared" si="138"/>
        <v>0</v>
      </c>
      <c r="BD114" s="626">
        <f t="shared" si="139"/>
        <v>0</v>
      </c>
      <c r="BE114" s="626">
        <f t="shared" si="140"/>
        <v>0</v>
      </c>
      <c r="BF114" s="625">
        <f t="array" ref="BF114">IFERROR(INDEX('Malaria-Equipment &amp; Other HPs'!$AF$64:$AF$122,MATCH($E114&amp;$F114,'Malaria-Equipment &amp; Other HPs'!$E$64:$E$122&amp;'Malaria-Equipment &amp; Other HPs'!$I$64:$I$122,0)),0)</f>
        <v>0</v>
      </c>
      <c r="BG114" s="625">
        <f t="shared" si="141"/>
        <v>0</v>
      </c>
      <c r="BH114" s="626">
        <f t="shared" si="142"/>
        <v>0</v>
      </c>
      <c r="BI114" s="626">
        <f t="shared" si="143"/>
        <v>0</v>
      </c>
      <c r="BJ114" s="630"/>
      <c r="BK114" s="625"/>
      <c r="BL114" s="625"/>
      <c r="BM114" s="625"/>
      <c r="BN114" s="625"/>
      <c r="BO114" s="625"/>
      <c r="BP114" s="625"/>
      <c r="BQ114" s="625"/>
      <c r="BR114" s="625"/>
      <c r="BT114" s="21" t="s">
        <v>6820</v>
      </c>
    </row>
    <row r="115" spans="1:72">
      <c r="A115" s="29" t="s">
        <v>1241</v>
      </c>
      <c r="B115" s="29" t="s">
        <v>1549</v>
      </c>
      <c r="C115" s="626">
        <f>SETUP!$F$54</f>
        <v>0</v>
      </c>
      <c r="D115" s="25">
        <v>5.0999999999999996</v>
      </c>
      <c r="E115" s="26" t="s">
        <v>581</v>
      </c>
      <c r="F115" s="26" t="s">
        <v>1140</v>
      </c>
      <c r="G115" s="625" t="str">
        <f t="array" ref="G115">IFERROR(INDEX('Malaria-Equipment &amp; Other HPs'!$L$64:$L$122,MATCH($E115&amp;$F115,'Malaria-Equipment &amp; Other HPs'!$E$64:$E$122&amp;'Malaria-Equipment &amp; Other HPs'!$I$64:$I$122,0)),"")</f>
        <v/>
      </c>
      <c r="H115" s="625" t="str">
        <f t="array" ref="H115">IFERROR(INDEX('Malaria-Equipment &amp; Other HPs'!$M$64:$M$122,MATCH($E115&amp;$F115,'Malaria-Equipment &amp; Other HPs'!$E$64:$E$122&amp;'Malaria-Equipment &amp; Other HPs'!$I$64:$I$122,0)),"")</f>
        <v/>
      </c>
      <c r="I115" s="625">
        <f t="array" ref="I115">IFERROR(INDEX('Malaria-Equipment &amp; Other HPs'!$N$64:$N$122,MATCH($E115&amp;$F115,'Malaria-Equipment &amp; Other HPs'!$E$64:$E$122&amp;'Malaria-Equipment &amp; Other HPs'!$I$64:$I$122,0)),0)</f>
        <v>0</v>
      </c>
      <c r="J115" s="625">
        <f t="array" ref="J115">IFERROR(INDEX('Malaria-Equipment &amp; Other HPs'!$O$64:$O$122,MATCH($E115&amp;$F115,'Malaria-Equipment &amp; Other HPs'!$E$64:$E$122&amp;'Malaria-Equipment &amp; Other HPs'!$I$64:$I$122,0)),0)</f>
        <v>0</v>
      </c>
      <c r="K115" s="626">
        <f t="shared" si="108"/>
        <v>0</v>
      </c>
      <c r="L115" s="626">
        <f t="shared" si="109"/>
        <v>0</v>
      </c>
      <c r="M115" s="626">
        <f t="shared" si="110"/>
        <v>0</v>
      </c>
      <c r="N115" s="625">
        <f t="array" ref="N115">IFERROR(INDEX('Malaria-Equipment &amp; Other HPs'!$P$64:$P$122,MATCH($E115&amp;$F115,'Malaria-Equipment &amp; Other HPs'!$E$64:$E$122&amp;'Malaria-Equipment &amp; Other HPs'!$I$64:$I$122,0)),0)</f>
        <v>0</v>
      </c>
      <c r="O115" s="626">
        <f t="shared" si="111"/>
        <v>0</v>
      </c>
      <c r="P115" s="626">
        <f t="shared" si="112"/>
        <v>0</v>
      </c>
      <c r="Q115" s="626">
        <f t="shared" si="113"/>
        <v>0</v>
      </c>
      <c r="R115" s="625">
        <f t="array" ref="R115">IFERROR(INDEX('Malaria-Equipment &amp; Other HPs'!$Q$64:$Q$122,MATCH($E115&amp;$F115,'Malaria-Equipment &amp; Other HPs'!$E$64:$E$122&amp;'Malaria-Equipment &amp; Other HPs'!$I$64:$I$122,0)),0)</f>
        <v>0</v>
      </c>
      <c r="S115" s="626">
        <f t="shared" si="114"/>
        <v>0</v>
      </c>
      <c r="T115" s="626">
        <f t="shared" si="115"/>
        <v>0</v>
      </c>
      <c r="U115" s="626">
        <f t="shared" si="116"/>
        <v>0</v>
      </c>
      <c r="V115" s="625">
        <f t="array" ref="V115">IFERROR(INDEX('Malaria-Equipment &amp; Other HPs'!$R$64:$R$122,MATCH($E115&amp;$F115,'Malaria-Equipment &amp; Other HPs'!$E$64:$E$122&amp;'Malaria-Equipment &amp; Other HPs'!$I$64:$I$122,0)),0)</f>
        <v>0</v>
      </c>
      <c r="W115" s="626">
        <f t="shared" si="117"/>
        <v>0</v>
      </c>
      <c r="X115" s="626">
        <f t="shared" si="118"/>
        <v>0</v>
      </c>
      <c r="Y115" s="626">
        <f t="shared" si="119"/>
        <v>0</v>
      </c>
      <c r="Z115" s="630"/>
      <c r="AA115" s="625">
        <f t="array" ref="AA115">IFERROR(INDEX('Malaria-Equipment &amp; Other HPs'!$U$64:$U$122,MATCH($E115&amp;$F115,'Malaria-Equipment &amp; Other HPs'!$E$64:$E$122&amp;'Malaria-Equipment &amp; Other HPs'!$I$64:$I$122,0)),0)</f>
        <v>0</v>
      </c>
      <c r="AB115" s="625">
        <f t="array" ref="AB115">IFERROR(INDEX('Malaria-Equipment &amp; Other HPs'!$V$64:$V$122,MATCH($E115&amp;$F115,'Malaria-Equipment &amp; Other HPs'!$E$64:$E$122&amp;'Malaria-Equipment &amp; Other HPs'!$I$64:$I$122,0)),0)</f>
        <v>0</v>
      </c>
      <c r="AC115" s="625">
        <f t="shared" si="120"/>
        <v>0</v>
      </c>
      <c r="AD115" s="626">
        <f t="shared" si="121"/>
        <v>0</v>
      </c>
      <c r="AE115" s="626">
        <f t="shared" si="122"/>
        <v>0</v>
      </c>
      <c r="AF115" s="625">
        <f t="array" ref="AF115">IFERROR(INDEX('Malaria-Equipment &amp; Other HPs'!$W$64:$W$122,MATCH($E115&amp;$F115,'Malaria-Equipment &amp; Other HPs'!$E$64:$E$122&amp;'Malaria-Equipment &amp; Other HPs'!$I$64:$I$122,0)),0)</f>
        <v>0</v>
      </c>
      <c r="AG115" s="625">
        <f t="shared" si="123"/>
        <v>0</v>
      </c>
      <c r="AH115" s="626">
        <f t="shared" si="124"/>
        <v>0</v>
      </c>
      <c r="AI115" s="626">
        <f t="shared" si="125"/>
        <v>0</v>
      </c>
      <c r="AJ115" s="625">
        <f t="array" ref="AJ115">IFERROR(INDEX('Malaria-Equipment &amp; Other HPs'!$X$64:$X$122,MATCH($E115&amp;$F115,'Malaria-Equipment &amp; Other HPs'!$E$64:$E$122&amp;'Malaria-Equipment &amp; Other HPs'!$I$64:$I$122,0)),0)</f>
        <v>0</v>
      </c>
      <c r="AK115" s="625">
        <f t="shared" si="126"/>
        <v>0</v>
      </c>
      <c r="AL115" s="626">
        <f t="shared" si="127"/>
        <v>0</v>
      </c>
      <c r="AM115" s="626">
        <f t="shared" si="128"/>
        <v>0</v>
      </c>
      <c r="AN115" s="625">
        <f t="array" ref="AN115">IFERROR(INDEX('Malaria-Equipment &amp; Other HPs'!$Y$64:$Y$122,MATCH($E115&amp;$F115,'Malaria-Equipment &amp; Other HPs'!$E$64:$E$122&amp;'Malaria-Equipment &amp; Other HPs'!$I$64:$I$122,0)),0)</f>
        <v>0</v>
      </c>
      <c r="AO115" s="625">
        <f t="shared" si="129"/>
        <v>0</v>
      </c>
      <c r="AP115" s="626">
        <f t="shared" si="130"/>
        <v>0</v>
      </c>
      <c r="AQ115" s="626">
        <f t="shared" si="131"/>
        <v>0</v>
      </c>
      <c r="AR115" s="630"/>
      <c r="AS115" s="625">
        <f t="array" ref="AS115">IFERROR(INDEX('Malaria-Equipment &amp; Other HPs'!$AB$64:$AB$122,MATCH($E115&amp;$F115,'Malaria-Equipment &amp; Other HPs'!$E$64:$E$122&amp;'Malaria-Equipment &amp; Other HPs'!$I$64:$I$122,0)),0)</f>
        <v>0</v>
      </c>
      <c r="AT115" s="625">
        <f t="array" ref="AT115">IFERROR(INDEX('Malaria-Equipment &amp; Other HPs'!$AC$64:$AC$122,MATCH($E115&amp;$F115,'Malaria-Equipment &amp; Other HPs'!$E$64:$E$122&amp;'Malaria-Equipment &amp; Other HPs'!$I$64:$I$122,0)),0)</f>
        <v>0</v>
      </c>
      <c r="AU115" s="625">
        <f t="shared" si="132"/>
        <v>0</v>
      </c>
      <c r="AV115" s="626">
        <f t="shared" si="133"/>
        <v>0</v>
      </c>
      <c r="AW115" s="626">
        <f t="shared" si="134"/>
        <v>0</v>
      </c>
      <c r="AX115" s="625">
        <f t="array" ref="AX115">IFERROR(INDEX('Malaria-Equipment &amp; Other HPs'!$AD$64:$AD$122,MATCH($E115&amp;$F115,'Malaria-Equipment &amp; Other HPs'!$E$64:$E$122&amp;'Malaria-Equipment &amp; Other HPs'!$I$64:$I$122,0)),0)</f>
        <v>0</v>
      </c>
      <c r="AY115" s="625">
        <f t="shared" si="135"/>
        <v>0</v>
      </c>
      <c r="AZ115" s="626">
        <f t="shared" si="136"/>
        <v>0</v>
      </c>
      <c r="BA115" s="626">
        <f t="shared" si="137"/>
        <v>0</v>
      </c>
      <c r="BB115" s="625">
        <f t="array" ref="BB115">IFERROR(INDEX('Malaria-Equipment &amp; Other HPs'!$AE$64:$AE$122,MATCH($E115&amp;$F115,'Malaria-Equipment &amp; Other HPs'!$E$64:$E$122&amp;'Malaria-Equipment &amp; Other HPs'!$I$64:$I$122,0)),0)</f>
        <v>0</v>
      </c>
      <c r="BC115" s="625">
        <f t="shared" si="138"/>
        <v>0</v>
      </c>
      <c r="BD115" s="626">
        <f t="shared" si="139"/>
        <v>0</v>
      </c>
      <c r="BE115" s="626">
        <f t="shared" si="140"/>
        <v>0</v>
      </c>
      <c r="BF115" s="625">
        <f t="array" ref="BF115">IFERROR(INDEX('Malaria-Equipment &amp; Other HPs'!$AF$64:$AF$122,MATCH($E115&amp;$F115,'Malaria-Equipment &amp; Other HPs'!$E$64:$E$122&amp;'Malaria-Equipment &amp; Other HPs'!$I$64:$I$122,0)),0)</f>
        <v>0</v>
      </c>
      <c r="BG115" s="625">
        <f t="shared" si="141"/>
        <v>0</v>
      </c>
      <c r="BH115" s="626">
        <f t="shared" si="142"/>
        <v>0</v>
      </c>
      <c r="BI115" s="626">
        <f t="shared" si="143"/>
        <v>0</v>
      </c>
      <c r="BJ115" s="630"/>
      <c r="BK115" s="625"/>
      <c r="BL115" s="625"/>
      <c r="BM115" s="625"/>
      <c r="BN115" s="625"/>
      <c r="BO115" s="625"/>
      <c r="BP115" s="625"/>
      <c r="BQ115" s="625"/>
      <c r="BR115" s="625"/>
      <c r="BT115" s="21" t="s">
        <v>6820</v>
      </c>
    </row>
    <row r="116" spans="1:72">
      <c r="A116" s="29" t="s">
        <v>1242</v>
      </c>
      <c r="B116" s="29" t="s">
        <v>1549</v>
      </c>
      <c r="C116" s="626">
        <f>SETUP!$F$54</f>
        <v>0</v>
      </c>
      <c r="D116" s="25">
        <v>5.0999999999999996</v>
      </c>
      <c r="E116" s="26" t="s">
        <v>582</v>
      </c>
      <c r="F116" s="26" t="s">
        <v>838</v>
      </c>
      <c r="G116" s="625" t="str">
        <f t="array" ref="G116">IFERROR(INDEX('Malaria-Equipment &amp; Other HPs'!$L$64:$L$122,MATCH($E116&amp;$F116,'Malaria-Equipment &amp; Other HPs'!$E$64:$E$122&amp;'Malaria-Equipment &amp; Other HPs'!$I$64:$I$122,0)),"")</f>
        <v/>
      </c>
      <c r="H116" s="625" t="str">
        <f t="array" ref="H116">IFERROR(INDEX('Malaria-Equipment &amp; Other HPs'!$M$64:$M$122,MATCH($E116&amp;$F116,'Malaria-Equipment &amp; Other HPs'!$E$64:$E$122&amp;'Malaria-Equipment &amp; Other HPs'!$I$64:$I$122,0)),"")</f>
        <v/>
      </c>
      <c r="I116" s="625">
        <f t="array" ref="I116">IFERROR(INDEX('Malaria-Equipment &amp; Other HPs'!$N$64:$N$122,MATCH($E116&amp;$F116,'Malaria-Equipment &amp; Other HPs'!$E$64:$E$122&amp;'Malaria-Equipment &amp; Other HPs'!$I$64:$I$122,0)),0)</f>
        <v>0</v>
      </c>
      <c r="J116" s="625">
        <f t="array" ref="J116">IFERROR(INDEX('Malaria-Equipment &amp; Other HPs'!$O$64:$O$122,MATCH($E116&amp;$F116,'Malaria-Equipment &amp; Other HPs'!$E$64:$E$122&amp;'Malaria-Equipment &amp; Other HPs'!$I$64:$I$122,0)),0)</f>
        <v>0</v>
      </c>
      <c r="K116" s="626">
        <f t="shared" si="108"/>
        <v>0</v>
      </c>
      <c r="L116" s="626">
        <f t="shared" si="109"/>
        <v>0</v>
      </c>
      <c r="M116" s="626">
        <f t="shared" si="110"/>
        <v>0</v>
      </c>
      <c r="N116" s="625">
        <f t="array" ref="N116">IFERROR(INDEX('Malaria-Equipment &amp; Other HPs'!$P$64:$P$122,MATCH($E116&amp;$F116,'Malaria-Equipment &amp; Other HPs'!$E$64:$E$122&amp;'Malaria-Equipment &amp; Other HPs'!$I$64:$I$122,0)),0)</f>
        <v>0</v>
      </c>
      <c r="O116" s="626">
        <f t="shared" si="111"/>
        <v>0</v>
      </c>
      <c r="P116" s="626">
        <f t="shared" si="112"/>
        <v>0</v>
      </c>
      <c r="Q116" s="626">
        <f t="shared" si="113"/>
        <v>0</v>
      </c>
      <c r="R116" s="625">
        <f t="array" ref="R116">IFERROR(INDEX('Malaria-Equipment &amp; Other HPs'!$Q$64:$Q$122,MATCH($E116&amp;$F116,'Malaria-Equipment &amp; Other HPs'!$E$64:$E$122&amp;'Malaria-Equipment &amp; Other HPs'!$I$64:$I$122,0)),0)</f>
        <v>0</v>
      </c>
      <c r="S116" s="626">
        <f t="shared" si="114"/>
        <v>0</v>
      </c>
      <c r="T116" s="626">
        <f t="shared" si="115"/>
        <v>0</v>
      </c>
      <c r="U116" s="626">
        <f t="shared" si="116"/>
        <v>0</v>
      </c>
      <c r="V116" s="625">
        <f t="array" ref="V116">IFERROR(INDEX('Malaria-Equipment &amp; Other HPs'!$R$64:$R$122,MATCH($E116&amp;$F116,'Malaria-Equipment &amp; Other HPs'!$E$64:$E$122&amp;'Malaria-Equipment &amp; Other HPs'!$I$64:$I$122,0)),0)</f>
        <v>0</v>
      </c>
      <c r="W116" s="626">
        <f t="shared" si="117"/>
        <v>0</v>
      </c>
      <c r="X116" s="626">
        <f t="shared" si="118"/>
        <v>0</v>
      </c>
      <c r="Y116" s="626">
        <f t="shared" si="119"/>
        <v>0</v>
      </c>
      <c r="Z116" s="630"/>
      <c r="AA116" s="625">
        <f t="array" ref="AA116">IFERROR(INDEX('Malaria-Equipment &amp; Other HPs'!$U$64:$U$122,MATCH($E116&amp;$F116,'Malaria-Equipment &amp; Other HPs'!$E$64:$E$122&amp;'Malaria-Equipment &amp; Other HPs'!$I$64:$I$122,0)),0)</f>
        <v>0</v>
      </c>
      <c r="AB116" s="625">
        <f t="array" ref="AB116">IFERROR(INDEX('Malaria-Equipment &amp; Other HPs'!$V$64:$V$122,MATCH($E116&amp;$F116,'Malaria-Equipment &amp; Other HPs'!$E$64:$E$122&amp;'Malaria-Equipment &amp; Other HPs'!$I$64:$I$122,0)),0)</f>
        <v>0</v>
      </c>
      <c r="AC116" s="625">
        <f t="shared" si="120"/>
        <v>0</v>
      </c>
      <c r="AD116" s="626">
        <f t="shared" si="121"/>
        <v>0</v>
      </c>
      <c r="AE116" s="626">
        <f t="shared" si="122"/>
        <v>0</v>
      </c>
      <c r="AF116" s="625">
        <f t="array" ref="AF116">IFERROR(INDEX('Malaria-Equipment &amp; Other HPs'!$W$64:$W$122,MATCH($E116&amp;$F116,'Malaria-Equipment &amp; Other HPs'!$E$64:$E$122&amp;'Malaria-Equipment &amp; Other HPs'!$I$64:$I$122,0)),0)</f>
        <v>0</v>
      </c>
      <c r="AG116" s="625">
        <f t="shared" si="123"/>
        <v>0</v>
      </c>
      <c r="AH116" s="626">
        <f t="shared" si="124"/>
        <v>0</v>
      </c>
      <c r="AI116" s="626">
        <f t="shared" si="125"/>
        <v>0</v>
      </c>
      <c r="AJ116" s="625">
        <f t="array" ref="AJ116">IFERROR(INDEX('Malaria-Equipment &amp; Other HPs'!$X$64:$X$122,MATCH($E116&amp;$F116,'Malaria-Equipment &amp; Other HPs'!$E$64:$E$122&amp;'Malaria-Equipment &amp; Other HPs'!$I$64:$I$122,0)),0)</f>
        <v>0</v>
      </c>
      <c r="AK116" s="625">
        <f t="shared" si="126"/>
        <v>0</v>
      </c>
      <c r="AL116" s="626">
        <f t="shared" si="127"/>
        <v>0</v>
      </c>
      <c r="AM116" s="626">
        <f t="shared" si="128"/>
        <v>0</v>
      </c>
      <c r="AN116" s="625">
        <f t="array" ref="AN116">IFERROR(INDEX('Malaria-Equipment &amp; Other HPs'!$Y$64:$Y$122,MATCH($E116&amp;$F116,'Malaria-Equipment &amp; Other HPs'!$E$64:$E$122&amp;'Malaria-Equipment &amp; Other HPs'!$I$64:$I$122,0)),0)</f>
        <v>0</v>
      </c>
      <c r="AO116" s="625">
        <f t="shared" si="129"/>
        <v>0</v>
      </c>
      <c r="AP116" s="626">
        <f t="shared" si="130"/>
        <v>0</v>
      </c>
      <c r="AQ116" s="626">
        <f t="shared" si="131"/>
        <v>0</v>
      </c>
      <c r="AR116" s="630"/>
      <c r="AS116" s="625">
        <f t="array" ref="AS116">IFERROR(INDEX('Malaria-Equipment &amp; Other HPs'!$AB$64:$AB$122,MATCH($E116&amp;$F116,'Malaria-Equipment &amp; Other HPs'!$E$64:$E$122&amp;'Malaria-Equipment &amp; Other HPs'!$I$64:$I$122,0)),0)</f>
        <v>0</v>
      </c>
      <c r="AT116" s="625">
        <f t="array" ref="AT116">IFERROR(INDEX('Malaria-Equipment &amp; Other HPs'!$AC$64:$AC$122,MATCH($E116&amp;$F116,'Malaria-Equipment &amp; Other HPs'!$E$64:$E$122&amp;'Malaria-Equipment &amp; Other HPs'!$I$64:$I$122,0)),0)</f>
        <v>0</v>
      </c>
      <c r="AU116" s="625">
        <f t="shared" si="132"/>
        <v>0</v>
      </c>
      <c r="AV116" s="626">
        <f t="shared" si="133"/>
        <v>0</v>
      </c>
      <c r="AW116" s="626">
        <f t="shared" si="134"/>
        <v>0</v>
      </c>
      <c r="AX116" s="625">
        <f t="array" ref="AX116">IFERROR(INDEX('Malaria-Equipment &amp; Other HPs'!$AD$64:$AD$122,MATCH($E116&amp;$F116,'Malaria-Equipment &amp; Other HPs'!$E$64:$E$122&amp;'Malaria-Equipment &amp; Other HPs'!$I$64:$I$122,0)),0)</f>
        <v>0</v>
      </c>
      <c r="AY116" s="625">
        <f t="shared" si="135"/>
        <v>0</v>
      </c>
      <c r="AZ116" s="626">
        <f t="shared" si="136"/>
        <v>0</v>
      </c>
      <c r="BA116" s="626">
        <f t="shared" si="137"/>
        <v>0</v>
      </c>
      <c r="BB116" s="625">
        <f t="array" ref="BB116">IFERROR(INDEX('Malaria-Equipment &amp; Other HPs'!$AE$64:$AE$122,MATCH($E116&amp;$F116,'Malaria-Equipment &amp; Other HPs'!$E$64:$E$122&amp;'Malaria-Equipment &amp; Other HPs'!$I$64:$I$122,0)),0)</f>
        <v>0</v>
      </c>
      <c r="BC116" s="625">
        <f t="shared" si="138"/>
        <v>0</v>
      </c>
      <c r="BD116" s="626">
        <f t="shared" si="139"/>
        <v>0</v>
      </c>
      <c r="BE116" s="626">
        <f t="shared" si="140"/>
        <v>0</v>
      </c>
      <c r="BF116" s="625">
        <f t="array" ref="BF116">IFERROR(INDEX('Malaria-Equipment &amp; Other HPs'!$AF$64:$AF$122,MATCH($E116&amp;$F116,'Malaria-Equipment &amp; Other HPs'!$E$64:$E$122&amp;'Malaria-Equipment &amp; Other HPs'!$I$64:$I$122,0)),0)</f>
        <v>0</v>
      </c>
      <c r="BG116" s="625">
        <f t="shared" si="141"/>
        <v>0</v>
      </c>
      <c r="BH116" s="626">
        <f t="shared" si="142"/>
        <v>0</v>
      </c>
      <c r="BI116" s="626">
        <f t="shared" si="143"/>
        <v>0</v>
      </c>
      <c r="BJ116" s="630"/>
      <c r="BK116" s="625"/>
      <c r="BL116" s="625"/>
      <c r="BM116" s="625"/>
      <c r="BN116" s="625"/>
      <c r="BO116" s="625"/>
      <c r="BP116" s="625"/>
      <c r="BQ116" s="625"/>
      <c r="BR116" s="625"/>
      <c r="BT116" s="21" t="s">
        <v>6821</v>
      </c>
    </row>
    <row r="117" spans="1:72">
      <c r="A117" s="29" t="s">
        <v>1242</v>
      </c>
      <c r="B117" s="29" t="s">
        <v>1549</v>
      </c>
      <c r="C117" s="626">
        <f>SETUP!$F$54</f>
        <v>0</v>
      </c>
      <c r="D117" s="25">
        <v>5.0999999999999996</v>
      </c>
      <c r="E117" s="26" t="s">
        <v>582</v>
      </c>
      <c r="F117" s="26" t="s">
        <v>839</v>
      </c>
      <c r="G117" s="625" t="str">
        <f t="array" ref="G117">IFERROR(INDEX('Malaria-Equipment &amp; Other HPs'!$L$64:$L$122,MATCH($E117&amp;$F117,'Malaria-Equipment &amp; Other HPs'!$E$64:$E$122&amp;'Malaria-Equipment &amp; Other HPs'!$I$64:$I$122,0)),"")</f>
        <v/>
      </c>
      <c r="H117" s="625" t="str">
        <f t="array" ref="H117">IFERROR(INDEX('Malaria-Equipment &amp; Other HPs'!$M$64:$M$122,MATCH($E117&amp;$F117,'Malaria-Equipment &amp; Other HPs'!$E$64:$E$122&amp;'Malaria-Equipment &amp; Other HPs'!$I$64:$I$122,0)),"")</f>
        <v/>
      </c>
      <c r="I117" s="625">
        <f t="array" ref="I117">IFERROR(INDEX('Malaria-Equipment &amp; Other HPs'!$N$64:$N$122,MATCH($E117&amp;$F117,'Malaria-Equipment &amp; Other HPs'!$E$64:$E$122&amp;'Malaria-Equipment &amp; Other HPs'!$I$64:$I$122,0)),0)</f>
        <v>0</v>
      </c>
      <c r="J117" s="625">
        <f t="array" ref="J117">IFERROR(INDEX('Malaria-Equipment &amp; Other HPs'!$O$64:$O$122,MATCH($E117&amp;$F117,'Malaria-Equipment &amp; Other HPs'!$E$64:$E$122&amp;'Malaria-Equipment &amp; Other HPs'!$I$64:$I$122,0)),0)</f>
        <v>0</v>
      </c>
      <c r="K117" s="626">
        <f t="shared" si="108"/>
        <v>0</v>
      </c>
      <c r="L117" s="626">
        <f t="shared" si="109"/>
        <v>0</v>
      </c>
      <c r="M117" s="626">
        <f t="shared" si="110"/>
        <v>0</v>
      </c>
      <c r="N117" s="625">
        <f t="array" ref="N117">IFERROR(INDEX('Malaria-Equipment &amp; Other HPs'!$P$64:$P$122,MATCH($E117&amp;$F117,'Malaria-Equipment &amp; Other HPs'!$E$64:$E$122&amp;'Malaria-Equipment &amp; Other HPs'!$I$64:$I$122,0)),0)</f>
        <v>0</v>
      </c>
      <c r="O117" s="626">
        <f t="shared" si="111"/>
        <v>0</v>
      </c>
      <c r="P117" s="626">
        <f t="shared" si="112"/>
        <v>0</v>
      </c>
      <c r="Q117" s="626">
        <f t="shared" si="113"/>
        <v>0</v>
      </c>
      <c r="R117" s="625">
        <f t="array" ref="R117">IFERROR(INDEX('Malaria-Equipment &amp; Other HPs'!$Q$64:$Q$122,MATCH($E117&amp;$F117,'Malaria-Equipment &amp; Other HPs'!$E$64:$E$122&amp;'Malaria-Equipment &amp; Other HPs'!$I$64:$I$122,0)),0)</f>
        <v>0</v>
      </c>
      <c r="S117" s="626">
        <f t="shared" si="114"/>
        <v>0</v>
      </c>
      <c r="T117" s="626">
        <f t="shared" si="115"/>
        <v>0</v>
      </c>
      <c r="U117" s="626">
        <f t="shared" si="116"/>
        <v>0</v>
      </c>
      <c r="V117" s="625">
        <f t="array" ref="V117">IFERROR(INDEX('Malaria-Equipment &amp; Other HPs'!$R$64:$R$122,MATCH($E117&amp;$F117,'Malaria-Equipment &amp; Other HPs'!$E$64:$E$122&amp;'Malaria-Equipment &amp; Other HPs'!$I$64:$I$122,0)),0)</f>
        <v>0</v>
      </c>
      <c r="W117" s="626">
        <f t="shared" si="117"/>
        <v>0</v>
      </c>
      <c r="X117" s="626">
        <f t="shared" si="118"/>
        <v>0</v>
      </c>
      <c r="Y117" s="626">
        <f t="shared" si="119"/>
        <v>0</v>
      </c>
      <c r="Z117" s="630"/>
      <c r="AA117" s="625">
        <f t="array" ref="AA117">IFERROR(INDEX('Malaria-Equipment &amp; Other HPs'!$U$64:$U$122,MATCH($E117&amp;$F117,'Malaria-Equipment &amp; Other HPs'!$E$64:$E$122&amp;'Malaria-Equipment &amp; Other HPs'!$I$64:$I$122,0)),0)</f>
        <v>0</v>
      </c>
      <c r="AB117" s="625">
        <f t="array" ref="AB117">IFERROR(INDEX('Malaria-Equipment &amp; Other HPs'!$V$64:$V$122,MATCH($E117&amp;$F117,'Malaria-Equipment &amp; Other HPs'!$E$64:$E$122&amp;'Malaria-Equipment &amp; Other HPs'!$I$64:$I$122,0)),0)</f>
        <v>0</v>
      </c>
      <c r="AC117" s="625">
        <f t="shared" si="120"/>
        <v>0</v>
      </c>
      <c r="AD117" s="626">
        <f t="shared" si="121"/>
        <v>0</v>
      </c>
      <c r="AE117" s="626">
        <f t="shared" si="122"/>
        <v>0</v>
      </c>
      <c r="AF117" s="625">
        <f t="array" ref="AF117">IFERROR(INDEX('Malaria-Equipment &amp; Other HPs'!$W$64:$W$122,MATCH($E117&amp;$F117,'Malaria-Equipment &amp; Other HPs'!$E$64:$E$122&amp;'Malaria-Equipment &amp; Other HPs'!$I$64:$I$122,0)),0)</f>
        <v>0</v>
      </c>
      <c r="AG117" s="625">
        <f t="shared" si="123"/>
        <v>0</v>
      </c>
      <c r="AH117" s="626">
        <f t="shared" si="124"/>
        <v>0</v>
      </c>
      <c r="AI117" s="626">
        <f t="shared" si="125"/>
        <v>0</v>
      </c>
      <c r="AJ117" s="625">
        <f t="array" ref="AJ117">IFERROR(INDEX('Malaria-Equipment &amp; Other HPs'!$X$64:$X$122,MATCH($E117&amp;$F117,'Malaria-Equipment &amp; Other HPs'!$E$64:$E$122&amp;'Malaria-Equipment &amp; Other HPs'!$I$64:$I$122,0)),0)</f>
        <v>0</v>
      </c>
      <c r="AK117" s="625">
        <f t="shared" si="126"/>
        <v>0</v>
      </c>
      <c r="AL117" s="626">
        <f t="shared" si="127"/>
        <v>0</v>
      </c>
      <c r="AM117" s="626">
        <f t="shared" si="128"/>
        <v>0</v>
      </c>
      <c r="AN117" s="625">
        <f t="array" ref="AN117">IFERROR(INDEX('Malaria-Equipment &amp; Other HPs'!$Y$64:$Y$122,MATCH($E117&amp;$F117,'Malaria-Equipment &amp; Other HPs'!$E$64:$E$122&amp;'Malaria-Equipment &amp; Other HPs'!$I$64:$I$122,0)),0)</f>
        <v>0</v>
      </c>
      <c r="AO117" s="625">
        <f t="shared" si="129"/>
        <v>0</v>
      </c>
      <c r="AP117" s="626">
        <f t="shared" si="130"/>
        <v>0</v>
      </c>
      <c r="AQ117" s="626">
        <f t="shared" si="131"/>
        <v>0</v>
      </c>
      <c r="AR117" s="630"/>
      <c r="AS117" s="625">
        <f t="array" ref="AS117">IFERROR(INDEX('Malaria-Equipment &amp; Other HPs'!$AB$64:$AB$122,MATCH($E117&amp;$F117,'Malaria-Equipment &amp; Other HPs'!$E$64:$E$122&amp;'Malaria-Equipment &amp; Other HPs'!$I$64:$I$122,0)),0)</f>
        <v>0</v>
      </c>
      <c r="AT117" s="625">
        <f t="array" ref="AT117">IFERROR(INDEX('Malaria-Equipment &amp; Other HPs'!$AC$64:$AC$122,MATCH($E117&amp;$F117,'Malaria-Equipment &amp; Other HPs'!$E$64:$E$122&amp;'Malaria-Equipment &amp; Other HPs'!$I$64:$I$122,0)),0)</f>
        <v>0</v>
      </c>
      <c r="AU117" s="625">
        <f t="shared" si="132"/>
        <v>0</v>
      </c>
      <c r="AV117" s="626">
        <f t="shared" si="133"/>
        <v>0</v>
      </c>
      <c r="AW117" s="626">
        <f t="shared" si="134"/>
        <v>0</v>
      </c>
      <c r="AX117" s="625">
        <f t="array" ref="AX117">IFERROR(INDEX('Malaria-Equipment &amp; Other HPs'!$AD$64:$AD$122,MATCH($E117&amp;$F117,'Malaria-Equipment &amp; Other HPs'!$E$64:$E$122&amp;'Malaria-Equipment &amp; Other HPs'!$I$64:$I$122,0)),0)</f>
        <v>0</v>
      </c>
      <c r="AY117" s="625">
        <f t="shared" si="135"/>
        <v>0</v>
      </c>
      <c r="AZ117" s="626">
        <f t="shared" si="136"/>
        <v>0</v>
      </c>
      <c r="BA117" s="626">
        <f t="shared" si="137"/>
        <v>0</v>
      </c>
      <c r="BB117" s="625">
        <f t="array" ref="BB117">IFERROR(INDEX('Malaria-Equipment &amp; Other HPs'!$AE$64:$AE$122,MATCH($E117&amp;$F117,'Malaria-Equipment &amp; Other HPs'!$E$64:$E$122&amp;'Malaria-Equipment &amp; Other HPs'!$I$64:$I$122,0)),0)</f>
        <v>0</v>
      </c>
      <c r="BC117" s="625">
        <f t="shared" si="138"/>
        <v>0</v>
      </c>
      <c r="BD117" s="626">
        <f t="shared" si="139"/>
        <v>0</v>
      </c>
      <c r="BE117" s="626">
        <f t="shared" si="140"/>
        <v>0</v>
      </c>
      <c r="BF117" s="625">
        <f t="array" ref="BF117">IFERROR(INDEX('Malaria-Equipment &amp; Other HPs'!$AF$64:$AF$122,MATCH($E117&amp;$F117,'Malaria-Equipment &amp; Other HPs'!$E$64:$E$122&amp;'Malaria-Equipment &amp; Other HPs'!$I$64:$I$122,0)),0)</f>
        <v>0</v>
      </c>
      <c r="BG117" s="625">
        <f t="shared" si="141"/>
        <v>0</v>
      </c>
      <c r="BH117" s="626">
        <f t="shared" si="142"/>
        <v>0</v>
      </c>
      <c r="BI117" s="626">
        <f t="shared" si="143"/>
        <v>0</v>
      </c>
      <c r="BJ117" s="630"/>
      <c r="BK117" s="625"/>
      <c r="BL117" s="625"/>
      <c r="BM117" s="625"/>
      <c r="BN117" s="625"/>
      <c r="BO117" s="625"/>
      <c r="BP117" s="625"/>
      <c r="BQ117" s="625"/>
      <c r="BR117" s="625"/>
      <c r="BT117" s="21" t="s">
        <v>6821</v>
      </c>
    </row>
    <row r="118" spans="1:72">
      <c r="A118" s="29" t="s">
        <v>1242</v>
      </c>
      <c r="B118" s="29" t="s">
        <v>1549</v>
      </c>
      <c r="C118" s="626">
        <f>SETUP!$F$54</f>
        <v>0</v>
      </c>
      <c r="D118" s="25">
        <v>5.0999999999999996</v>
      </c>
      <c r="E118" s="26" t="s">
        <v>582</v>
      </c>
      <c r="F118" s="26" t="s">
        <v>840</v>
      </c>
      <c r="G118" s="625" t="str">
        <f t="array" ref="G118">IFERROR(INDEX('Malaria-Equipment &amp; Other HPs'!$L$64:$L$122,MATCH($E118&amp;$F118,'Malaria-Equipment &amp; Other HPs'!$E$64:$E$122&amp;'Malaria-Equipment &amp; Other HPs'!$I$64:$I$122,0)),"")</f>
        <v/>
      </c>
      <c r="H118" s="625" t="str">
        <f t="array" ref="H118">IFERROR(INDEX('Malaria-Equipment &amp; Other HPs'!$M$64:$M$122,MATCH($E118&amp;$F118,'Malaria-Equipment &amp; Other HPs'!$E$64:$E$122&amp;'Malaria-Equipment &amp; Other HPs'!$I$64:$I$122,0)),"")</f>
        <v/>
      </c>
      <c r="I118" s="625">
        <f t="array" ref="I118">IFERROR(INDEX('Malaria-Equipment &amp; Other HPs'!$N$64:$N$122,MATCH($E118&amp;$F118,'Malaria-Equipment &amp; Other HPs'!$E$64:$E$122&amp;'Malaria-Equipment &amp; Other HPs'!$I$64:$I$122,0)),0)</f>
        <v>0</v>
      </c>
      <c r="J118" s="625">
        <f t="array" ref="J118">IFERROR(INDEX('Malaria-Equipment &amp; Other HPs'!$O$64:$O$122,MATCH($E118&amp;$F118,'Malaria-Equipment &amp; Other HPs'!$E$64:$E$122&amp;'Malaria-Equipment &amp; Other HPs'!$I$64:$I$122,0)),0)</f>
        <v>0</v>
      </c>
      <c r="K118" s="626">
        <f t="shared" si="108"/>
        <v>0</v>
      </c>
      <c r="L118" s="626">
        <f t="shared" si="109"/>
        <v>0</v>
      </c>
      <c r="M118" s="626">
        <f t="shared" si="110"/>
        <v>0</v>
      </c>
      <c r="N118" s="625">
        <f t="array" ref="N118">IFERROR(INDEX('Malaria-Equipment &amp; Other HPs'!$P$64:$P$122,MATCH($E118&amp;$F118,'Malaria-Equipment &amp; Other HPs'!$E$64:$E$122&amp;'Malaria-Equipment &amp; Other HPs'!$I$64:$I$122,0)),0)</f>
        <v>0</v>
      </c>
      <c r="O118" s="626">
        <f t="shared" si="111"/>
        <v>0</v>
      </c>
      <c r="P118" s="626">
        <f t="shared" si="112"/>
        <v>0</v>
      </c>
      <c r="Q118" s="626">
        <f t="shared" si="113"/>
        <v>0</v>
      </c>
      <c r="R118" s="625">
        <f t="array" ref="R118">IFERROR(INDEX('Malaria-Equipment &amp; Other HPs'!$Q$64:$Q$122,MATCH($E118&amp;$F118,'Malaria-Equipment &amp; Other HPs'!$E$64:$E$122&amp;'Malaria-Equipment &amp; Other HPs'!$I$64:$I$122,0)),0)</f>
        <v>0</v>
      </c>
      <c r="S118" s="626">
        <f t="shared" si="114"/>
        <v>0</v>
      </c>
      <c r="T118" s="626">
        <f t="shared" si="115"/>
        <v>0</v>
      </c>
      <c r="U118" s="626">
        <f t="shared" si="116"/>
        <v>0</v>
      </c>
      <c r="V118" s="625">
        <f t="array" ref="V118">IFERROR(INDEX('Malaria-Equipment &amp; Other HPs'!$R$64:$R$122,MATCH($E118&amp;$F118,'Malaria-Equipment &amp; Other HPs'!$E$64:$E$122&amp;'Malaria-Equipment &amp; Other HPs'!$I$64:$I$122,0)),0)</f>
        <v>0</v>
      </c>
      <c r="W118" s="626">
        <f t="shared" si="117"/>
        <v>0</v>
      </c>
      <c r="X118" s="626">
        <f t="shared" si="118"/>
        <v>0</v>
      </c>
      <c r="Y118" s="626">
        <f t="shared" si="119"/>
        <v>0</v>
      </c>
      <c r="Z118" s="630"/>
      <c r="AA118" s="625">
        <f t="array" ref="AA118">IFERROR(INDEX('Malaria-Equipment &amp; Other HPs'!$U$64:$U$122,MATCH($E118&amp;$F118,'Malaria-Equipment &amp; Other HPs'!$E$64:$E$122&amp;'Malaria-Equipment &amp; Other HPs'!$I$64:$I$122,0)),0)</f>
        <v>0</v>
      </c>
      <c r="AB118" s="625">
        <f t="array" ref="AB118">IFERROR(INDEX('Malaria-Equipment &amp; Other HPs'!$V$64:$V$122,MATCH($E118&amp;$F118,'Malaria-Equipment &amp; Other HPs'!$E$64:$E$122&amp;'Malaria-Equipment &amp; Other HPs'!$I$64:$I$122,0)),0)</f>
        <v>0</v>
      </c>
      <c r="AC118" s="625">
        <f t="shared" si="120"/>
        <v>0</v>
      </c>
      <c r="AD118" s="626">
        <f t="shared" si="121"/>
        <v>0</v>
      </c>
      <c r="AE118" s="626">
        <f t="shared" si="122"/>
        <v>0</v>
      </c>
      <c r="AF118" s="625">
        <f t="array" ref="AF118">IFERROR(INDEX('Malaria-Equipment &amp; Other HPs'!$W$64:$W$122,MATCH($E118&amp;$F118,'Malaria-Equipment &amp; Other HPs'!$E$64:$E$122&amp;'Malaria-Equipment &amp; Other HPs'!$I$64:$I$122,0)),0)</f>
        <v>0</v>
      </c>
      <c r="AG118" s="625">
        <f t="shared" si="123"/>
        <v>0</v>
      </c>
      <c r="AH118" s="626">
        <f t="shared" si="124"/>
        <v>0</v>
      </c>
      <c r="AI118" s="626">
        <f t="shared" si="125"/>
        <v>0</v>
      </c>
      <c r="AJ118" s="625">
        <f t="array" ref="AJ118">IFERROR(INDEX('Malaria-Equipment &amp; Other HPs'!$X$64:$X$122,MATCH($E118&amp;$F118,'Malaria-Equipment &amp; Other HPs'!$E$64:$E$122&amp;'Malaria-Equipment &amp; Other HPs'!$I$64:$I$122,0)),0)</f>
        <v>0</v>
      </c>
      <c r="AK118" s="625">
        <f t="shared" si="126"/>
        <v>0</v>
      </c>
      <c r="AL118" s="626">
        <f t="shared" si="127"/>
        <v>0</v>
      </c>
      <c r="AM118" s="626">
        <f t="shared" si="128"/>
        <v>0</v>
      </c>
      <c r="AN118" s="625">
        <f t="array" ref="AN118">IFERROR(INDEX('Malaria-Equipment &amp; Other HPs'!$Y$64:$Y$122,MATCH($E118&amp;$F118,'Malaria-Equipment &amp; Other HPs'!$E$64:$E$122&amp;'Malaria-Equipment &amp; Other HPs'!$I$64:$I$122,0)),0)</f>
        <v>0</v>
      </c>
      <c r="AO118" s="625">
        <f t="shared" si="129"/>
        <v>0</v>
      </c>
      <c r="AP118" s="626">
        <f t="shared" si="130"/>
        <v>0</v>
      </c>
      <c r="AQ118" s="626">
        <f t="shared" si="131"/>
        <v>0</v>
      </c>
      <c r="AR118" s="630"/>
      <c r="AS118" s="625">
        <f t="array" ref="AS118">IFERROR(INDEX('Malaria-Equipment &amp; Other HPs'!$AB$64:$AB$122,MATCH($E118&amp;$F118,'Malaria-Equipment &amp; Other HPs'!$E$64:$E$122&amp;'Malaria-Equipment &amp; Other HPs'!$I$64:$I$122,0)),0)</f>
        <v>0</v>
      </c>
      <c r="AT118" s="625">
        <f t="array" ref="AT118">IFERROR(INDEX('Malaria-Equipment &amp; Other HPs'!$AC$64:$AC$122,MATCH($E118&amp;$F118,'Malaria-Equipment &amp; Other HPs'!$E$64:$E$122&amp;'Malaria-Equipment &amp; Other HPs'!$I$64:$I$122,0)),0)</f>
        <v>0</v>
      </c>
      <c r="AU118" s="625">
        <f t="shared" si="132"/>
        <v>0</v>
      </c>
      <c r="AV118" s="626">
        <f t="shared" si="133"/>
        <v>0</v>
      </c>
      <c r="AW118" s="626">
        <f t="shared" si="134"/>
        <v>0</v>
      </c>
      <c r="AX118" s="625">
        <f t="array" ref="AX118">IFERROR(INDEX('Malaria-Equipment &amp; Other HPs'!$AD$64:$AD$122,MATCH($E118&amp;$F118,'Malaria-Equipment &amp; Other HPs'!$E$64:$E$122&amp;'Malaria-Equipment &amp; Other HPs'!$I$64:$I$122,0)),0)</f>
        <v>0</v>
      </c>
      <c r="AY118" s="625">
        <f t="shared" si="135"/>
        <v>0</v>
      </c>
      <c r="AZ118" s="626">
        <f t="shared" si="136"/>
        <v>0</v>
      </c>
      <c r="BA118" s="626">
        <f t="shared" si="137"/>
        <v>0</v>
      </c>
      <c r="BB118" s="625">
        <f t="array" ref="BB118">IFERROR(INDEX('Malaria-Equipment &amp; Other HPs'!$AE$64:$AE$122,MATCH($E118&amp;$F118,'Malaria-Equipment &amp; Other HPs'!$E$64:$E$122&amp;'Malaria-Equipment &amp; Other HPs'!$I$64:$I$122,0)),0)</f>
        <v>0</v>
      </c>
      <c r="BC118" s="625">
        <f t="shared" si="138"/>
        <v>0</v>
      </c>
      <c r="BD118" s="626">
        <f t="shared" si="139"/>
        <v>0</v>
      </c>
      <c r="BE118" s="626">
        <f t="shared" si="140"/>
        <v>0</v>
      </c>
      <c r="BF118" s="625">
        <f t="array" ref="BF118">IFERROR(INDEX('Malaria-Equipment &amp; Other HPs'!$AF$64:$AF$122,MATCH($E118&amp;$F118,'Malaria-Equipment &amp; Other HPs'!$E$64:$E$122&amp;'Malaria-Equipment &amp; Other HPs'!$I$64:$I$122,0)),0)</f>
        <v>0</v>
      </c>
      <c r="BG118" s="625">
        <f t="shared" si="141"/>
        <v>0</v>
      </c>
      <c r="BH118" s="626">
        <f t="shared" si="142"/>
        <v>0</v>
      </c>
      <c r="BI118" s="626">
        <f t="shared" si="143"/>
        <v>0</v>
      </c>
      <c r="BJ118" s="630"/>
      <c r="BK118" s="625"/>
      <c r="BL118" s="625"/>
      <c r="BM118" s="625"/>
      <c r="BN118" s="625"/>
      <c r="BO118" s="625"/>
      <c r="BP118" s="625"/>
      <c r="BQ118" s="625"/>
      <c r="BR118" s="625"/>
      <c r="BT118" s="21" t="s">
        <v>6821</v>
      </c>
    </row>
    <row r="119" spans="1:72">
      <c r="A119" s="29" t="s">
        <v>1242</v>
      </c>
      <c r="B119" s="29" t="s">
        <v>1549</v>
      </c>
      <c r="C119" s="626">
        <f>SETUP!$F$54</f>
        <v>0</v>
      </c>
      <c r="D119" s="25">
        <v>5.0999999999999996</v>
      </c>
      <c r="E119" s="26" t="s">
        <v>582</v>
      </c>
      <c r="F119" s="26" t="s">
        <v>841</v>
      </c>
      <c r="G119" s="625" t="str">
        <f t="array" ref="G119">IFERROR(INDEX('Malaria-Equipment &amp; Other HPs'!$L$64:$L$122,MATCH($E119&amp;$F119,'Malaria-Equipment &amp; Other HPs'!$E$64:$E$122&amp;'Malaria-Equipment &amp; Other HPs'!$I$64:$I$122,0)),"")</f>
        <v/>
      </c>
      <c r="H119" s="625" t="str">
        <f t="array" ref="H119">IFERROR(INDEX('Malaria-Equipment &amp; Other HPs'!$M$64:$M$122,MATCH($E119&amp;$F119,'Malaria-Equipment &amp; Other HPs'!$E$64:$E$122&amp;'Malaria-Equipment &amp; Other HPs'!$I$64:$I$122,0)),"")</f>
        <v/>
      </c>
      <c r="I119" s="625">
        <f t="array" ref="I119">IFERROR(INDEX('Malaria-Equipment &amp; Other HPs'!$N$64:$N$122,MATCH($E119&amp;$F119,'Malaria-Equipment &amp; Other HPs'!$E$64:$E$122&amp;'Malaria-Equipment &amp; Other HPs'!$I$64:$I$122,0)),0)</f>
        <v>0</v>
      </c>
      <c r="J119" s="625">
        <f t="array" ref="J119">IFERROR(INDEX('Malaria-Equipment &amp; Other HPs'!$O$64:$O$122,MATCH($E119&amp;$F119,'Malaria-Equipment &amp; Other HPs'!$E$64:$E$122&amp;'Malaria-Equipment &amp; Other HPs'!$I$64:$I$122,0)),0)</f>
        <v>0</v>
      </c>
      <c r="K119" s="626">
        <f t="shared" si="108"/>
        <v>0</v>
      </c>
      <c r="L119" s="626">
        <f t="shared" si="109"/>
        <v>0</v>
      </c>
      <c r="M119" s="626">
        <f t="shared" si="110"/>
        <v>0</v>
      </c>
      <c r="N119" s="625">
        <f t="array" ref="N119">IFERROR(INDEX('Malaria-Equipment &amp; Other HPs'!$P$64:$P$122,MATCH($E119&amp;$F119,'Malaria-Equipment &amp; Other HPs'!$E$64:$E$122&amp;'Malaria-Equipment &amp; Other HPs'!$I$64:$I$122,0)),0)</f>
        <v>0</v>
      </c>
      <c r="O119" s="626">
        <f t="shared" si="111"/>
        <v>0</v>
      </c>
      <c r="P119" s="626">
        <f t="shared" si="112"/>
        <v>0</v>
      </c>
      <c r="Q119" s="626">
        <f t="shared" si="113"/>
        <v>0</v>
      </c>
      <c r="R119" s="625">
        <f t="array" ref="R119">IFERROR(INDEX('Malaria-Equipment &amp; Other HPs'!$Q$64:$Q$122,MATCH($E119&amp;$F119,'Malaria-Equipment &amp; Other HPs'!$E$64:$E$122&amp;'Malaria-Equipment &amp; Other HPs'!$I$64:$I$122,0)),0)</f>
        <v>0</v>
      </c>
      <c r="S119" s="626">
        <f t="shared" si="114"/>
        <v>0</v>
      </c>
      <c r="T119" s="626">
        <f t="shared" si="115"/>
        <v>0</v>
      </c>
      <c r="U119" s="626">
        <f t="shared" si="116"/>
        <v>0</v>
      </c>
      <c r="V119" s="625">
        <f t="array" ref="V119">IFERROR(INDEX('Malaria-Equipment &amp; Other HPs'!$R$64:$R$122,MATCH($E119&amp;$F119,'Malaria-Equipment &amp; Other HPs'!$E$64:$E$122&amp;'Malaria-Equipment &amp; Other HPs'!$I$64:$I$122,0)),0)</f>
        <v>0</v>
      </c>
      <c r="W119" s="626">
        <f t="shared" si="117"/>
        <v>0</v>
      </c>
      <c r="X119" s="626">
        <f t="shared" si="118"/>
        <v>0</v>
      </c>
      <c r="Y119" s="626">
        <f t="shared" si="119"/>
        <v>0</v>
      </c>
      <c r="Z119" s="630"/>
      <c r="AA119" s="625">
        <f t="array" ref="AA119">IFERROR(INDEX('Malaria-Equipment &amp; Other HPs'!$U$64:$U$122,MATCH($E119&amp;$F119,'Malaria-Equipment &amp; Other HPs'!$E$64:$E$122&amp;'Malaria-Equipment &amp; Other HPs'!$I$64:$I$122,0)),0)</f>
        <v>0</v>
      </c>
      <c r="AB119" s="625">
        <f t="array" ref="AB119">IFERROR(INDEX('Malaria-Equipment &amp; Other HPs'!$V$64:$V$122,MATCH($E119&amp;$F119,'Malaria-Equipment &amp; Other HPs'!$E$64:$E$122&amp;'Malaria-Equipment &amp; Other HPs'!$I$64:$I$122,0)),0)</f>
        <v>0</v>
      </c>
      <c r="AC119" s="625">
        <f t="shared" si="120"/>
        <v>0</v>
      </c>
      <c r="AD119" s="626">
        <f t="shared" si="121"/>
        <v>0</v>
      </c>
      <c r="AE119" s="626">
        <f t="shared" si="122"/>
        <v>0</v>
      </c>
      <c r="AF119" s="625">
        <f t="array" ref="AF119">IFERROR(INDEX('Malaria-Equipment &amp; Other HPs'!$W$64:$W$122,MATCH($E119&amp;$F119,'Malaria-Equipment &amp; Other HPs'!$E$64:$E$122&amp;'Malaria-Equipment &amp; Other HPs'!$I$64:$I$122,0)),0)</f>
        <v>0</v>
      </c>
      <c r="AG119" s="625">
        <f t="shared" si="123"/>
        <v>0</v>
      </c>
      <c r="AH119" s="626">
        <f t="shared" si="124"/>
        <v>0</v>
      </c>
      <c r="AI119" s="626">
        <f t="shared" si="125"/>
        <v>0</v>
      </c>
      <c r="AJ119" s="625">
        <f t="array" ref="AJ119">IFERROR(INDEX('Malaria-Equipment &amp; Other HPs'!$X$64:$X$122,MATCH($E119&amp;$F119,'Malaria-Equipment &amp; Other HPs'!$E$64:$E$122&amp;'Malaria-Equipment &amp; Other HPs'!$I$64:$I$122,0)),0)</f>
        <v>0</v>
      </c>
      <c r="AK119" s="625">
        <f t="shared" si="126"/>
        <v>0</v>
      </c>
      <c r="AL119" s="626">
        <f t="shared" si="127"/>
        <v>0</v>
      </c>
      <c r="AM119" s="626">
        <f t="shared" si="128"/>
        <v>0</v>
      </c>
      <c r="AN119" s="625">
        <f t="array" ref="AN119">IFERROR(INDEX('Malaria-Equipment &amp; Other HPs'!$Y$64:$Y$122,MATCH($E119&amp;$F119,'Malaria-Equipment &amp; Other HPs'!$E$64:$E$122&amp;'Malaria-Equipment &amp; Other HPs'!$I$64:$I$122,0)),0)</f>
        <v>0</v>
      </c>
      <c r="AO119" s="625">
        <f t="shared" si="129"/>
        <v>0</v>
      </c>
      <c r="AP119" s="626">
        <f t="shared" si="130"/>
        <v>0</v>
      </c>
      <c r="AQ119" s="626">
        <f t="shared" si="131"/>
        <v>0</v>
      </c>
      <c r="AR119" s="630"/>
      <c r="AS119" s="625">
        <f t="array" ref="AS119">IFERROR(INDEX('Malaria-Equipment &amp; Other HPs'!$AB$64:$AB$122,MATCH($E119&amp;$F119,'Malaria-Equipment &amp; Other HPs'!$E$64:$E$122&amp;'Malaria-Equipment &amp; Other HPs'!$I$64:$I$122,0)),0)</f>
        <v>0</v>
      </c>
      <c r="AT119" s="625">
        <f t="array" ref="AT119">IFERROR(INDEX('Malaria-Equipment &amp; Other HPs'!$AC$64:$AC$122,MATCH($E119&amp;$F119,'Malaria-Equipment &amp; Other HPs'!$E$64:$E$122&amp;'Malaria-Equipment &amp; Other HPs'!$I$64:$I$122,0)),0)</f>
        <v>0</v>
      </c>
      <c r="AU119" s="625">
        <f t="shared" si="132"/>
        <v>0</v>
      </c>
      <c r="AV119" s="626">
        <f t="shared" si="133"/>
        <v>0</v>
      </c>
      <c r="AW119" s="626">
        <f t="shared" si="134"/>
        <v>0</v>
      </c>
      <c r="AX119" s="625">
        <f t="array" ref="AX119">IFERROR(INDEX('Malaria-Equipment &amp; Other HPs'!$AD$64:$AD$122,MATCH($E119&amp;$F119,'Malaria-Equipment &amp; Other HPs'!$E$64:$E$122&amp;'Malaria-Equipment &amp; Other HPs'!$I$64:$I$122,0)),0)</f>
        <v>0</v>
      </c>
      <c r="AY119" s="625">
        <f t="shared" si="135"/>
        <v>0</v>
      </c>
      <c r="AZ119" s="626">
        <f t="shared" si="136"/>
        <v>0</v>
      </c>
      <c r="BA119" s="626">
        <f t="shared" si="137"/>
        <v>0</v>
      </c>
      <c r="BB119" s="625">
        <f t="array" ref="BB119">IFERROR(INDEX('Malaria-Equipment &amp; Other HPs'!$AE$64:$AE$122,MATCH($E119&amp;$F119,'Malaria-Equipment &amp; Other HPs'!$E$64:$E$122&amp;'Malaria-Equipment &amp; Other HPs'!$I$64:$I$122,0)),0)</f>
        <v>0</v>
      </c>
      <c r="BC119" s="625">
        <f t="shared" si="138"/>
        <v>0</v>
      </c>
      <c r="BD119" s="626">
        <f t="shared" si="139"/>
        <v>0</v>
      </c>
      <c r="BE119" s="626">
        <f t="shared" si="140"/>
        <v>0</v>
      </c>
      <c r="BF119" s="625">
        <f t="array" ref="BF119">IFERROR(INDEX('Malaria-Equipment &amp; Other HPs'!$AF$64:$AF$122,MATCH($E119&amp;$F119,'Malaria-Equipment &amp; Other HPs'!$E$64:$E$122&amp;'Malaria-Equipment &amp; Other HPs'!$I$64:$I$122,0)),0)</f>
        <v>0</v>
      </c>
      <c r="BG119" s="625">
        <f t="shared" si="141"/>
        <v>0</v>
      </c>
      <c r="BH119" s="626">
        <f t="shared" si="142"/>
        <v>0</v>
      </c>
      <c r="BI119" s="626">
        <f t="shared" si="143"/>
        <v>0</v>
      </c>
      <c r="BJ119" s="630"/>
      <c r="BK119" s="625"/>
      <c r="BL119" s="625"/>
      <c r="BM119" s="625"/>
      <c r="BN119" s="625"/>
      <c r="BO119" s="625"/>
      <c r="BP119" s="625"/>
      <c r="BQ119" s="625"/>
      <c r="BR119" s="625"/>
      <c r="BT119" s="21" t="s">
        <v>6821</v>
      </c>
    </row>
    <row r="120" spans="1:72">
      <c r="A120" s="29" t="s">
        <v>1242</v>
      </c>
      <c r="B120" s="29" t="s">
        <v>1549</v>
      </c>
      <c r="C120" s="626">
        <f>SETUP!$F$54</f>
        <v>0</v>
      </c>
      <c r="D120" s="25">
        <v>5.0999999999999996</v>
      </c>
      <c r="E120" s="26" t="s">
        <v>582</v>
      </c>
      <c r="F120" s="26" t="s">
        <v>1179</v>
      </c>
      <c r="G120" s="625" t="str">
        <f t="array" ref="G120">IFERROR(INDEX('Malaria-Equipment &amp; Other HPs'!$L$64:$L$122,MATCH($E120&amp;$F120,'Malaria-Equipment &amp; Other HPs'!$E$64:$E$122&amp;'Malaria-Equipment &amp; Other HPs'!$I$64:$I$122,0)),"")</f>
        <v/>
      </c>
      <c r="H120" s="625" t="str">
        <f t="array" ref="H120">IFERROR(INDEX('Malaria-Equipment &amp; Other HPs'!$M$64:$M$122,MATCH($E120&amp;$F120,'Malaria-Equipment &amp; Other HPs'!$E$64:$E$122&amp;'Malaria-Equipment &amp; Other HPs'!$I$64:$I$122,0)),"")</f>
        <v/>
      </c>
      <c r="I120" s="625">
        <f t="array" ref="I120">IFERROR(INDEX('Malaria-Equipment &amp; Other HPs'!$N$64:$N$122,MATCH($E120&amp;$F120,'Malaria-Equipment &amp; Other HPs'!$E$64:$E$122&amp;'Malaria-Equipment &amp; Other HPs'!$I$64:$I$122,0)),0)</f>
        <v>0</v>
      </c>
      <c r="J120" s="625">
        <f t="array" ref="J120">IFERROR(INDEX('Malaria-Equipment &amp; Other HPs'!$O$64:$O$122,MATCH($E120&amp;$F120,'Malaria-Equipment &amp; Other HPs'!$E$64:$E$122&amp;'Malaria-Equipment &amp; Other HPs'!$I$64:$I$122,0)),0)</f>
        <v>0</v>
      </c>
      <c r="K120" s="626">
        <f t="shared" si="108"/>
        <v>0</v>
      </c>
      <c r="L120" s="626">
        <f t="shared" si="109"/>
        <v>0</v>
      </c>
      <c r="M120" s="626">
        <f t="shared" si="110"/>
        <v>0</v>
      </c>
      <c r="N120" s="625">
        <f t="array" ref="N120">IFERROR(INDEX('Malaria-Equipment &amp; Other HPs'!$P$64:$P$122,MATCH($E120&amp;$F120,'Malaria-Equipment &amp; Other HPs'!$E$64:$E$122&amp;'Malaria-Equipment &amp; Other HPs'!$I$64:$I$122,0)),0)</f>
        <v>0</v>
      </c>
      <c r="O120" s="626">
        <f t="shared" si="111"/>
        <v>0</v>
      </c>
      <c r="P120" s="626">
        <f t="shared" si="112"/>
        <v>0</v>
      </c>
      <c r="Q120" s="626">
        <f t="shared" si="113"/>
        <v>0</v>
      </c>
      <c r="R120" s="625">
        <f t="array" ref="R120">IFERROR(INDEX('Malaria-Equipment &amp; Other HPs'!$Q$64:$Q$122,MATCH($E120&amp;$F120,'Malaria-Equipment &amp; Other HPs'!$E$64:$E$122&amp;'Malaria-Equipment &amp; Other HPs'!$I$64:$I$122,0)),0)</f>
        <v>0</v>
      </c>
      <c r="S120" s="626">
        <f t="shared" si="114"/>
        <v>0</v>
      </c>
      <c r="T120" s="626">
        <f t="shared" si="115"/>
        <v>0</v>
      </c>
      <c r="U120" s="626">
        <f t="shared" si="116"/>
        <v>0</v>
      </c>
      <c r="V120" s="625">
        <f t="array" ref="V120">IFERROR(INDEX('Malaria-Equipment &amp; Other HPs'!$R$64:$R$122,MATCH($E120&amp;$F120,'Malaria-Equipment &amp; Other HPs'!$E$64:$E$122&amp;'Malaria-Equipment &amp; Other HPs'!$I$64:$I$122,0)),0)</f>
        <v>0</v>
      </c>
      <c r="W120" s="626">
        <f t="shared" si="117"/>
        <v>0</v>
      </c>
      <c r="X120" s="626">
        <f t="shared" si="118"/>
        <v>0</v>
      </c>
      <c r="Y120" s="626">
        <f t="shared" si="119"/>
        <v>0</v>
      </c>
      <c r="Z120" s="630"/>
      <c r="AA120" s="625">
        <f t="array" ref="AA120">IFERROR(INDEX('Malaria-Equipment &amp; Other HPs'!$U$64:$U$122,MATCH($E120&amp;$F120,'Malaria-Equipment &amp; Other HPs'!$E$64:$E$122&amp;'Malaria-Equipment &amp; Other HPs'!$I$64:$I$122,0)),0)</f>
        <v>0</v>
      </c>
      <c r="AB120" s="625">
        <f t="array" ref="AB120">IFERROR(INDEX('Malaria-Equipment &amp; Other HPs'!$V$64:$V$122,MATCH($E120&amp;$F120,'Malaria-Equipment &amp; Other HPs'!$E$64:$E$122&amp;'Malaria-Equipment &amp; Other HPs'!$I$64:$I$122,0)),0)</f>
        <v>0</v>
      </c>
      <c r="AC120" s="625">
        <f t="shared" si="120"/>
        <v>0</v>
      </c>
      <c r="AD120" s="626">
        <f t="shared" si="121"/>
        <v>0</v>
      </c>
      <c r="AE120" s="626">
        <f t="shared" si="122"/>
        <v>0</v>
      </c>
      <c r="AF120" s="625">
        <f t="array" ref="AF120">IFERROR(INDEX('Malaria-Equipment &amp; Other HPs'!$W$64:$W$122,MATCH($E120&amp;$F120,'Malaria-Equipment &amp; Other HPs'!$E$64:$E$122&amp;'Malaria-Equipment &amp; Other HPs'!$I$64:$I$122,0)),0)</f>
        <v>0</v>
      </c>
      <c r="AG120" s="625">
        <f t="shared" si="123"/>
        <v>0</v>
      </c>
      <c r="AH120" s="626">
        <f t="shared" si="124"/>
        <v>0</v>
      </c>
      <c r="AI120" s="626">
        <f t="shared" si="125"/>
        <v>0</v>
      </c>
      <c r="AJ120" s="625">
        <f t="array" ref="AJ120">IFERROR(INDEX('Malaria-Equipment &amp; Other HPs'!$X$64:$X$122,MATCH($E120&amp;$F120,'Malaria-Equipment &amp; Other HPs'!$E$64:$E$122&amp;'Malaria-Equipment &amp; Other HPs'!$I$64:$I$122,0)),0)</f>
        <v>0</v>
      </c>
      <c r="AK120" s="625">
        <f t="shared" si="126"/>
        <v>0</v>
      </c>
      <c r="AL120" s="626">
        <f t="shared" si="127"/>
        <v>0</v>
      </c>
      <c r="AM120" s="626">
        <f t="shared" si="128"/>
        <v>0</v>
      </c>
      <c r="AN120" s="625">
        <f t="array" ref="AN120">IFERROR(INDEX('Malaria-Equipment &amp; Other HPs'!$Y$64:$Y$122,MATCH($E120&amp;$F120,'Malaria-Equipment &amp; Other HPs'!$E$64:$E$122&amp;'Malaria-Equipment &amp; Other HPs'!$I$64:$I$122,0)),0)</f>
        <v>0</v>
      </c>
      <c r="AO120" s="625">
        <f t="shared" si="129"/>
        <v>0</v>
      </c>
      <c r="AP120" s="626">
        <f t="shared" si="130"/>
        <v>0</v>
      </c>
      <c r="AQ120" s="626">
        <f t="shared" si="131"/>
        <v>0</v>
      </c>
      <c r="AR120" s="630"/>
      <c r="AS120" s="625">
        <f t="array" ref="AS120">IFERROR(INDEX('Malaria-Equipment &amp; Other HPs'!$AB$64:$AB$122,MATCH($E120&amp;$F120,'Malaria-Equipment &amp; Other HPs'!$E$64:$E$122&amp;'Malaria-Equipment &amp; Other HPs'!$I$64:$I$122,0)),0)</f>
        <v>0</v>
      </c>
      <c r="AT120" s="625">
        <f t="array" ref="AT120">IFERROR(INDEX('Malaria-Equipment &amp; Other HPs'!$AC$64:$AC$122,MATCH($E120&amp;$F120,'Malaria-Equipment &amp; Other HPs'!$E$64:$E$122&amp;'Malaria-Equipment &amp; Other HPs'!$I$64:$I$122,0)),0)</f>
        <v>0</v>
      </c>
      <c r="AU120" s="625">
        <f t="shared" si="132"/>
        <v>0</v>
      </c>
      <c r="AV120" s="626">
        <f t="shared" si="133"/>
        <v>0</v>
      </c>
      <c r="AW120" s="626">
        <f t="shared" si="134"/>
        <v>0</v>
      </c>
      <c r="AX120" s="625">
        <f t="array" ref="AX120">IFERROR(INDEX('Malaria-Equipment &amp; Other HPs'!$AD$64:$AD$122,MATCH($E120&amp;$F120,'Malaria-Equipment &amp; Other HPs'!$E$64:$E$122&amp;'Malaria-Equipment &amp; Other HPs'!$I$64:$I$122,0)),0)</f>
        <v>0</v>
      </c>
      <c r="AY120" s="625">
        <f t="shared" si="135"/>
        <v>0</v>
      </c>
      <c r="AZ120" s="626">
        <f t="shared" si="136"/>
        <v>0</v>
      </c>
      <c r="BA120" s="626">
        <f t="shared" si="137"/>
        <v>0</v>
      </c>
      <c r="BB120" s="625">
        <f t="array" ref="BB120">IFERROR(INDEX('Malaria-Equipment &amp; Other HPs'!$AE$64:$AE$122,MATCH($E120&amp;$F120,'Malaria-Equipment &amp; Other HPs'!$E$64:$E$122&amp;'Malaria-Equipment &amp; Other HPs'!$I$64:$I$122,0)),0)</f>
        <v>0</v>
      </c>
      <c r="BC120" s="625">
        <f t="shared" si="138"/>
        <v>0</v>
      </c>
      <c r="BD120" s="626">
        <f t="shared" si="139"/>
        <v>0</v>
      </c>
      <c r="BE120" s="626">
        <f t="shared" si="140"/>
        <v>0</v>
      </c>
      <c r="BF120" s="625">
        <f t="array" ref="BF120">IFERROR(INDEX('Malaria-Equipment &amp; Other HPs'!$AF$64:$AF$122,MATCH($E120&amp;$F120,'Malaria-Equipment &amp; Other HPs'!$E$64:$E$122&amp;'Malaria-Equipment &amp; Other HPs'!$I$64:$I$122,0)),0)</f>
        <v>0</v>
      </c>
      <c r="BG120" s="625">
        <f t="shared" si="141"/>
        <v>0</v>
      </c>
      <c r="BH120" s="626">
        <f t="shared" si="142"/>
        <v>0</v>
      </c>
      <c r="BI120" s="626">
        <f t="shared" si="143"/>
        <v>0</v>
      </c>
      <c r="BJ120" s="630"/>
      <c r="BK120" s="625"/>
      <c r="BL120" s="625"/>
      <c r="BM120" s="625"/>
      <c r="BN120" s="625"/>
      <c r="BO120" s="625"/>
      <c r="BP120" s="625"/>
      <c r="BQ120" s="625"/>
      <c r="BR120" s="625"/>
      <c r="BT120" s="21" t="s">
        <v>6821</v>
      </c>
    </row>
    <row r="121" spans="1:72">
      <c r="A121" s="29" t="s">
        <v>1242</v>
      </c>
      <c r="B121" s="29" t="s">
        <v>1549</v>
      </c>
      <c r="C121" s="626">
        <f>SETUP!$F$54</f>
        <v>0</v>
      </c>
      <c r="D121" s="25">
        <v>5.0999999999999996</v>
      </c>
      <c r="E121" s="26" t="s">
        <v>582</v>
      </c>
      <c r="F121" s="26" t="s">
        <v>842</v>
      </c>
      <c r="G121" s="625" t="str">
        <f t="array" ref="G121">IFERROR(INDEX('Malaria-Equipment &amp; Other HPs'!$L$64:$L$122,MATCH($E121&amp;$F121,'Malaria-Equipment &amp; Other HPs'!$E$64:$E$122&amp;'Malaria-Equipment &amp; Other HPs'!$I$64:$I$122,0)),"")</f>
        <v/>
      </c>
      <c r="H121" s="625" t="str">
        <f t="array" ref="H121">IFERROR(INDEX('Malaria-Equipment &amp; Other HPs'!$M$64:$M$122,MATCH($E121&amp;$F121,'Malaria-Equipment &amp; Other HPs'!$E$64:$E$122&amp;'Malaria-Equipment &amp; Other HPs'!$I$64:$I$122,0)),"")</f>
        <v/>
      </c>
      <c r="I121" s="625">
        <f t="array" ref="I121">IFERROR(INDEX('Malaria-Equipment &amp; Other HPs'!$N$64:$N$122,MATCH($E121&amp;$F121,'Malaria-Equipment &amp; Other HPs'!$E$64:$E$122&amp;'Malaria-Equipment &amp; Other HPs'!$I$64:$I$122,0)),0)</f>
        <v>0</v>
      </c>
      <c r="J121" s="625">
        <f t="array" ref="J121">IFERROR(INDEX('Malaria-Equipment &amp; Other HPs'!$O$64:$O$122,MATCH($E121&amp;$F121,'Malaria-Equipment &amp; Other HPs'!$E$64:$E$122&amp;'Malaria-Equipment &amp; Other HPs'!$I$64:$I$122,0)),0)</f>
        <v>0</v>
      </c>
      <c r="K121" s="626">
        <f t="shared" si="108"/>
        <v>0</v>
      </c>
      <c r="L121" s="626">
        <f t="shared" si="109"/>
        <v>0</v>
      </c>
      <c r="M121" s="626">
        <f t="shared" si="110"/>
        <v>0</v>
      </c>
      <c r="N121" s="625">
        <f t="array" ref="N121">IFERROR(INDEX('Malaria-Equipment &amp; Other HPs'!$P$64:$P$122,MATCH($E121&amp;$F121,'Malaria-Equipment &amp; Other HPs'!$E$64:$E$122&amp;'Malaria-Equipment &amp; Other HPs'!$I$64:$I$122,0)),0)</f>
        <v>0</v>
      </c>
      <c r="O121" s="626">
        <f t="shared" si="111"/>
        <v>0</v>
      </c>
      <c r="P121" s="626">
        <f t="shared" si="112"/>
        <v>0</v>
      </c>
      <c r="Q121" s="626">
        <f t="shared" si="113"/>
        <v>0</v>
      </c>
      <c r="R121" s="625">
        <f t="array" ref="R121">IFERROR(INDEX('Malaria-Equipment &amp; Other HPs'!$Q$64:$Q$122,MATCH($E121&amp;$F121,'Malaria-Equipment &amp; Other HPs'!$E$64:$E$122&amp;'Malaria-Equipment &amp; Other HPs'!$I$64:$I$122,0)),0)</f>
        <v>0</v>
      </c>
      <c r="S121" s="626">
        <f t="shared" si="114"/>
        <v>0</v>
      </c>
      <c r="T121" s="626">
        <f t="shared" si="115"/>
        <v>0</v>
      </c>
      <c r="U121" s="626">
        <f t="shared" si="116"/>
        <v>0</v>
      </c>
      <c r="V121" s="625">
        <f t="array" ref="V121">IFERROR(INDEX('Malaria-Equipment &amp; Other HPs'!$R$64:$R$122,MATCH($E121&amp;$F121,'Malaria-Equipment &amp; Other HPs'!$E$64:$E$122&amp;'Malaria-Equipment &amp; Other HPs'!$I$64:$I$122,0)),0)</f>
        <v>0</v>
      </c>
      <c r="W121" s="626">
        <f t="shared" si="117"/>
        <v>0</v>
      </c>
      <c r="X121" s="626">
        <f t="shared" si="118"/>
        <v>0</v>
      </c>
      <c r="Y121" s="626">
        <f t="shared" si="119"/>
        <v>0</v>
      </c>
      <c r="Z121" s="630"/>
      <c r="AA121" s="625">
        <f t="array" ref="AA121">IFERROR(INDEX('Malaria-Equipment &amp; Other HPs'!$U$64:$U$122,MATCH($E121&amp;$F121,'Malaria-Equipment &amp; Other HPs'!$E$64:$E$122&amp;'Malaria-Equipment &amp; Other HPs'!$I$64:$I$122,0)),0)</f>
        <v>0</v>
      </c>
      <c r="AB121" s="625">
        <f t="array" ref="AB121">IFERROR(INDEX('Malaria-Equipment &amp; Other HPs'!$V$64:$V$122,MATCH($E121&amp;$F121,'Malaria-Equipment &amp; Other HPs'!$E$64:$E$122&amp;'Malaria-Equipment &amp; Other HPs'!$I$64:$I$122,0)),0)</f>
        <v>0</v>
      </c>
      <c r="AC121" s="625">
        <f t="shared" si="120"/>
        <v>0</v>
      </c>
      <c r="AD121" s="626">
        <f t="shared" si="121"/>
        <v>0</v>
      </c>
      <c r="AE121" s="626">
        <f t="shared" si="122"/>
        <v>0</v>
      </c>
      <c r="AF121" s="625">
        <f t="array" ref="AF121">IFERROR(INDEX('Malaria-Equipment &amp; Other HPs'!$W$64:$W$122,MATCH($E121&amp;$F121,'Malaria-Equipment &amp; Other HPs'!$E$64:$E$122&amp;'Malaria-Equipment &amp; Other HPs'!$I$64:$I$122,0)),0)</f>
        <v>0</v>
      </c>
      <c r="AG121" s="625">
        <f t="shared" si="123"/>
        <v>0</v>
      </c>
      <c r="AH121" s="626">
        <f t="shared" si="124"/>
        <v>0</v>
      </c>
      <c r="AI121" s="626">
        <f t="shared" si="125"/>
        <v>0</v>
      </c>
      <c r="AJ121" s="625">
        <f t="array" ref="AJ121">IFERROR(INDEX('Malaria-Equipment &amp; Other HPs'!$X$64:$X$122,MATCH($E121&amp;$F121,'Malaria-Equipment &amp; Other HPs'!$E$64:$E$122&amp;'Malaria-Equipment &amp; Other HPs'!$I$64:$I$122,0)),0)</f>
        <v>0</v>
      </c>
      <c r="AK121" s="625">
        <f t="shared" si="126"/>
        <v>0</v>
      </c>
      <c r="AL121" s="626">
        <f t="shared" si="127"/>
        <v>0</v>
      </c>
      <c r="AM121" s="626">
        <f t="shared" si="128"/>
        <v>0</v>
      </c>
      <c r="AN121" s="625">
        <f t="array" ref="AN121">IFERROR(INDEX('Malaria-Equipment &amp; Other HPs'!$Y$64:$Y$122,MATCH($E121&amp;$F121,'Malaria-Equipment &amp; Other HPs'!$E$64:$E$122&amp;'Malaria-Equipment &amp; Other HPs'!$I$64:$I$122,0)),0)</f>
        <v>0</v>
      </c>
      <c r="AO121" s="625">
        <f t="shared" si="129"/>
        <v>0</v>
      </c>
      <c r="AP121" s="626">
        <f t="shared" si="130"/>
        <v>0</v>
      </c>
      <c r="AQ121" s="626">
        <f t="shared" si="131"/>
        <v>0</v>
      </c>
      <c r="AR121" s="630"/>
      <c r="AS121" s="625">
        <f t="array" ref="AS121">IFERROR(INDEX('Malaria-Equipment &amp; Other HPs'!$AB$64:$AB$122,MATCH($E121&amp;$F121,'Malaria-Equipment &amp; Other HPs'!$E$64:$E$122&amp;'Malaria-Equipment &amp; Other HPs'!$I$64:$I$122,0)),0)</f>
        <v>0</v>
      </c>
      <c r="AT121" s="625">
        <f t="array" ref="AT121">IFERROR(INDEX('Malaria-Equipment &amp; Other HPs'!$AC$64:$AC$122,MATCH($E121&amp;$F121,'Malaria-Equipment &amp; Other HPs'!$E$64:$E$122&amp;'Malaria-Equipment &amp; Other HPs'!$I$64:$I$122,0)),0)</f>
        <v>0</v>
      </c>
      <c r="AU121" s="625">
        <f t="shared" si="132"/>
        <v>0</v>
      </c>
      <c r="AV121" s="626">
        <f t="shared" si="133"/>
        <v>0</v>
      </c>
      <c r="AW121" s="626">
        <f t="shared" si="134"/>
        <v>0</v>
      </c>
      <c r="AX121" s="625">
        <f t="array" ref="AX121">IFERROR(INDEX('Malaria-Equipment &amp; Other HPs'!$AD$64:$AD$122,MATCH($E121&amp;$F121,'Malaria-Equipment &amp; Other HPs'!$E$64:$E$122&amp;'Malaria-Equipment &amp; Other HPs'!$I$64:$I$122,0)),0)</f>
        <v>0</v>
      </c>
      <c r="AY121" s="625">
        <f t="shared" si="135"/>
        <v>0</v>
      </c>
      <c r="AZ121" s="626">
        <f t="shared" si="136"/>
        <v>0</v>
      </c>
      <c r="BA121" s="626">
        <f t="shared" si="137"/>
        <v>0</v>
      </c>
      <c r="BB121" s="625">
        <f t="array" ref="BB121">IFERROR(INDEX('Malaria-Equipment &amp; Other HPs'!$AE$64:$AE$122,MATCH($E121&amp;$F121,'Malaria-Equipment &amp; Other HPs'!$E$64:$E$122&amp;'Malaria-Equipment &amp; Other HPs'!$I$64:$I$122,0)),0)</f>
        <v>0</v>
      </c>
      <c r="BC121" s="625">
        <f t="shared" si="138"/>
        <v>0</v>
      </c>
      <c r="BD121" s="626">
        <f t="shared" si="139"/>
        <v>0</v>
      </c>
      <c r="BE121" s="626">
        <f t="shared" si="140"/>
        <v>0</v>
      </c>
      <c r="BF121" s="625">
        <f t="array" ref="BF121">IFERROR(INDEX('Malaria-Equipment &amp; Other HPs'!$AF$64:$AF$122,MATCH($E121&amp;$F121,'Malaria-Equipment &amp; Other HPs'!$E$64:$E$122&amp;'Malaria-Equipment &amp; Other HPs'!$I$64:$I$122,0)),0)</f>
        <v>0</v>
      </c>
      <c r="BG121" s="625">
        <f t="shared" si="141"/>
        <v>0</v>
      </c>
      <c r="BH121" s="626">
        <f t="shared" si="142"/>
        <v>0</v>
      </c>
      <c r="BI121" s="626">
        <f t="shared" si="143"/>
        <v>0</v>
      </c>
      <c r="BJ121" s="630"/>
      <c r="BK121" s="625"/>
      <c r="BL121" s="625"/>
      <c r="BM121" s="625"/>
      <c r="BN121" s="625"/>
      <c r="BO121" s="625"/>
      <c r="BP121" s="625"/>
      <c r="BQ121" s="625"/>
      <c r="BR121" s="625"/>
      <c r="BT121" s="21" t="s">
        <v>6821</v>
      </c>
    </row>
    <row r="122" spans="1:72">
      <c r="A122" s="29" t="s">
        <v>1242</v>
      </c>
      <c r="B122" s="29" t="s">
        <v>1549</v>
      </c>
      <c r="C122" s="626">
        <f>SETUP!$F$54</f>
        <v>0</v>
      </c>
      <c r="D122" s="25">
        <v>5.0999999999999996</v>
      </c>
      <c r="E122" s="26" t="s">
        <v>582</v>
      </c>
      <c r="F122" s="26" t="s">
        <v>1180</v>
      </c>
      <c r="G122" s="625" t="str">
        <f t="array" ref="G122">IFERROR(INDEX('Malaria-Equipment &amp; Other HPs'!$L$64:$L$122,MATCH($E122&amp;$F122,'Malaria-Equipment &amp; Other HPs'!$E$64:$E$122&amp;'Malaria-Equipment &amp; Other HPs'!$I$64:$I$122,0)),"")</f>
        <v/>
      </c>
      <c r="H122" s="625" t="str">
        <f t="array" ref="H122">IFERROR(INDEX('Malaria-Equipment &amp; Other HPs'!$M$64:$M$122,MATCH($E122&amp;$F122,'Malaria-Equipment &amp; Other HPs'!$E$64:$E$122&amp;'Malaria-Equipment &amp; Other HPs'!$I$64:$I$122,0)),"")</f>
        <v/>
      </c>
      <c r="I122" s="625">
        <f t="array" ref="I122">IFERROR(INDEX('Malaria-Equipment &amp; Other HPs'!$N$64:$N$122,MATCH($E122&amp;$F122,'Malaria-Equipment &amp; Other HPs'!$E$64:$E$122&amp;'Malaria-Equipment &amp; Other HPs'!$I$64:$I$122,0)),0)</f>
        <v>0</v>
      </c>
      <c r="J122" s="625">
        <f t="array" ref="J122">IFERROR(INDEX('Malaria-Equipment &amp; Other HPs'!$O$64:$O$122,MATCH($E122&amp;$F122,'Malaria-Equipment &amp; Other HPs'!$E$64:$E$122&amp;'Malaria-Equipment &amp; Other HPs'!$I$64:$I$122,0)),0)</f>
        <v>0</v>
      </c>
      <c r="K122" s="626">
        <f t="shared" si="108"/>
        <v>0</v>
      </c>
      <c r="L122" s="626">
        <f t="shared" si="109"/>
        <v>0</v>
      </c>
      <c r="M122" s="626">
        <f t="shared" si="110"/>
        <v>0</v>
      </c>
      <c r="N122" s="625">
        <f t="array" ref="N122">IFERROR(INDEX('Malaria-Equipment &amp; Other HPs'!$P$64:$P$122,MATCH($E122&amp;$F122,'Malaria-Equipment &amp; Other HPs'!$E$64:$E$122&amp;'Malaria-Equipment &amp; Other HPs'!$I$64:$I$122,0)),0)</f>
        <v>0</v>
      </c>
      <c r="O122" s="626">
        <f t="shared" si="111"/>
        <v>0</v>
      </c>
      <c r="P122" s="626">
        <f t="shared" si="112"/>
        <v>0</v>
      </c>
      <c r="Q122" s="626">
        <f t="shared" si="113"/>
        <v>0</v>
      </c>
      <c r="R122" s="625">
        <f t="array" ref="R122">IFERROR(INDEX('Malaria-Equipment &amp; Other HPs'!$Q$64:$Q$122,MATCH($E122&amp;$F122,'Malaria-Equipment &amp; Other HPs'!$E$64:$E$122&amp;'Malaria-Equipment &amp; Other HPs'!$I$64:$I$122,0)),0)</f>
        <v>0</v>
      </c>
      <c r="S122" s="626">
        <f t="shared" si="114"/>
        <v>0</v>
      </c>
      <c r="T122" s="626">
        <f t="shared" si="115"/>
        <v>0</v>
      </c>
      <c r="U122" s="626">
        <f t="shared" si="116"/>
        <v>0</v>
      </c>
      <c r="V122" s="625">
        <f t="array" ref="V122">IFERROR(INDEX('Malaria-Equipment &amp; Other HPs'!$R$64:$R$122,MATCH($E122&amp;$F122,'Malaria-Equipment &amp; Other HPs'!$E$64:$E$122&amp;'Malaria-Equipment &amp; Other HPs'!$I$64:$I$122,0)),0)</f>
        <v>0</v>
      </c>
      <c r="W122" s="626">
        <f t="shared" si="117"/>
        <v>0</v>
      </c>
      <c r="X122" s="626">
        <f t="shared" si="118"/>
        <v>0</v>
      </c>
      <c r="Y122" s="626">
        <f t="shared" si="119"/>
        <v>0</v>
      </c>
      <c r="Z122" s="630"/>
      <c r="AA122" s="625">
        <f t="array" ref="AA122">IFERROR(INDEX('Malaria-Equipment &amp; Other HPs'!$U$64:$U$122,MATCH($E122&amp;$F122,'Malaria-Equipment &amp; Other HPs'!$E$64:$E$122&amp;'Malaria-Equipment &amp; Other HPs'!$I$64:$I$122,0)),0)</f>
        <v>0</v>
      </c>
      <c r="AB122" s="625">
        <f t="array" ref="AB122">IFERROR(INDEX('Malaria-Equipment &amp; Other HPs'!$V$64:$V$122,MATCH($E122&amp;$F122,'Malaria-Equipment &amp; Other HPs'!$E$64:$E$122&amp;'Malaria-Equipment &amp; Other HPs'!$I$64:$I$122,0)),0)</f>
        <v>0</v>
      </c>
      <c r="AC122" s="625">
        <f t="shared" si="120"/>
        <v>0</v>
      </c>
      <c r="AD122" s="626">
        <f t="shared" si="121"/>
        <v>0</v>
      </c>
      <c r="AE122" s="626">
        <f t="shared" si="122"/>
        <v>0</v>
      </c>
      <c r="AF122" s="625">
        <f t="array" ref="AF122">IFERROR(INDEX('Malaria-Equipment &amp; Other HPs'!$W$64:$W$122,MATCH($E122&amp;$F122,'Malaria-Equipment &amp; Other HPs'!$E$64:$E$122&amp;'Malaria-Equipment &amp; Other HPs'!$I$64:$I$122,0)),0)</f>
        <v>0</v>
      </c>
      <c r="AG122" s="625">
        <f t="shared" si="123"/>
        <v>0</v>
      </c>
      <c r="AH122" s="626">
        <f t="shared" si="124"/>
        <v>0</v>
      </c>
      <c r="AI122" s="626">
        <f t="shared" si="125"/>
        <v>0</v>
      </c>
      <c r="AJ122" s="625">
        <f t="array" ref="AJ122">IFERROR(INDEX('Malaria-Equipment &amp; Other HPs'!$X$64:$X$122,MATCH($E122&amp;$F122,'Malaria-Equipment &amp; Other HPs'!$E$64:$E$122&amp;'Malaria-Equipment &amp; Other HPs'!$I$64:$I$122,0)),0)</f>
        <v>0</v>
      </c>
      <c r="AK122" s="625">
        <f t="shared" si="126"/>
        <v>0</v>
      </c>
      <c r="AL122" s="626">
        <f t="shared" si="127"/>
        <v>0</v>
      </c>
      <c r="AM122" s="626">
        <f t="shared" si="128"/>
        <v>0</v>
      </c>
      <c r="AN122" s="625">
        <f t="array" ref="AN122">IFERROR(INDEX('Malaria-Equipment &amp; Other HPs'!$Y$64:$Y$122,MATCH($E122&amp;$F122,'Malaria-Equipment &amp; Other HPs'!$E$64:$E$122&amp;'Malaria-Equipment &amp; Other HPs'!$I$64:$I$122,0)),0)</f>
        <v>0</v>
      </c>
      <c r="AO122" s="625">
        <f t="shared" si="129"/>
        <v>0</v>
      </c>
      <c r="AP122" s="626">
        <f t="shared" si="130"/>
        <v>0</v>
      </c>
      <c r="AQ122" s="626">
        <f t="shared" si="131"/>
        <v>0</v>
      </c>
      <c r="AR122" s="630"/>
      <c r="AS122" s="625">
        <f t="array" ref="AS122">IFERROR(INDEX('Malaria-Equipment &amp; Other HPs'!$AB$64:$AB$122,MATCH($E122&amp;$F122,'Malaria-Equipment &amp; Other HPs'!$E$64:$E$122&amp;'Malaria-Equipment &amp; Other HPs'!$I$64:$I$122,0)),0)</f>
        <v>0</v>
      </c>
      <c r="AT122" s="625">
        <f t="array" ref="AT122">IFERROR(INDEX('Malaria-Equipment &amp; Other HPs'!$AC$64:$AC$122,MATCH($E122&amp;$F122,'Malaria-Equipment &amp; Other HPs'!$E$64:$E$122&amp;'Malaria-Equipment &amp; Other HPs'!$I$64:$I$122,0)),0)</f>
        <v>0</v>
      </c>
      <c r="AU122" s="625">
        <f t="shared" si="132"/>
        <v>0</v>
      </c>
      <c r="AV122" s="626">
        <f t="shared" si="133"/>
        <v>0</v>
      </c>
      <c r="AW122" s="626">
        <f t="shared" si="134"/>
        <v>0</v>
      </c>
      <c r="AX122" s="625">
        <f t="array" ref="AX122">IFERROR(INDEX('Malaria-Equipment &amp; Other HPs'!$AD$64:$AD$122,MATCH($E122&amp;$F122,'Malaria-Equipment &amp; Other HPs'!$E$64:$E$122&amp;'Malaria-Equipment &amp; Other HPs'!$I$64:$I$122,0)),0)</f>
        <v>0</v>
      </c>
      <c r="AY122" s="625">
        <f t="shared" si="135"/>
        <v>0</v>
      </c>
      <c r="AZ122" s="626">
        <f t="shared" si="136"/>
        <v>0</v>
      </c>
      <c r="BA122" s="626">
        <f t="shared" si="137"/>
        <v>0</v>
      </c>
      <c r="BB122" s="625">
        <f t="array" ref="BB122">IFERROR(INDEX('Malaria-Equipment &amp; Other HPs'!$AE$64:$AE$122,MATCH($E122&amp;$F122,'Malaria-Equipment &amp; Other HPs'!$E$64:$E$122&amp;'Malaria-Equipment &amp; Other HPs'!$I$64:$I$122,0)),0)</f>
        <v>0</v>
      </c>
      <c r="BC122" s="625">
        <f t="shared" si="138"/>
        <v>0</v>
      </c>
      <c r="BD122" s="626">
        <f t="shared" si="139"/>
        <v>0</v>
      </c>
      <c r="BE122" s="626">
        <f t="shared" si="140"/>
        <v>0</v>
      </c>
      <c r="BF122" s="625">
        <f t="array" ref="BF122">IFERROR(INDEX('Malaria-Equipment &amp; Other HPs'!$AF$64:$AF$122,MATCH($E122&amp;$F122,'Malaria-Equipment &amp; Other HPs'!$E$64:$E$122&amp;'Malaria-Equipment &amp; Other HPs'!$I$64:$I$122,0)),0)</f>
        <v>0</v>
      </c>
      <c r="BG122" s="625">
        <f t="shared" si="141"/>
        <v>0</v>
      </c>
      <c r="BH122" s="626">
        <f t="shared" si="142"/>
        <v>0</v>
      </c>
      <c r="BI122" s="626">
        <f t="shared" si="143"/>
        <v>0</v>
      </c>
      <c r="BJ122" s="630"/>
      <c r="BK122" s="625"/>
      <c r="BL122" s="625"/>
      <c r="BM122" s="625"/>
      <c r="BN122" s="625"/>
      <c r="BO122" s="625"/>
      <c r="BP122" s="625"/>
      <c r="BQ122" s="625"/>
      <c r="BR122" s="625"/>
      <c r="BT122" s="21" t="s">
        <v>6821</v>
      </c>
    </row>
    <row r="123" spans="1:72">
      <c r="A123" s="29" t="s">
        <v>1242</v>
      </c>
      <c r="B123" s="29" t="s">
        <v>1549</v>
      </c>
      <c r="C123" s="626">
        <f>SETUP!$F$54</f>
        <v>0</v>
      </c>
      <c r="D123" s="25">
        <v>5.0999999999999996</v>
      </c>
      <c r="E123" s="26" t="s">
        <v>582</v>
      </c>
      <c r="F123" s="26" t="s">
        <v>843</v>
      </c>
      <c r="G123" s="625" t="str">
        <f t="array" ref="G123">IFERROR(INDEX('Malaria-Equipment &amp; Other HPs'!$L$64:$L$122,MATCH($E123&amp;$F123,'Malaria-Equipment &amp; Other HPs'!$E$64:$E$122&amp;'Malaria-Equipment &amp; Other HPs'!$I$64:$I$122,0)),"")</f>
        <v/>
      </c>
      <c r="H123" s="625" t="str">
        <f t="array" ref="H123">IFERROR(INDEX('Malaria-Equipment &amp; Other HPs'!$M$64:$M$122,MATCH($E123&amp;$F123,'Malaria-Equipment &amp; Other HPs'!$E$64:$E$122&amp;'Malaria-Equipment &amp; Other HPs'!$I$64:$I$122,0)),"")</f>
        <v/>
      </c>
      <c r="I123" s="625">
        <f t="array" ref="I123">IFERROR(INDEX('Malaria-Equipment &amp; Other HPs'!$N$64:$N$122,MATCH($E123&amp;$F123,'Malaria-Equipment &amp; Other HPs'!$E$64:$E$122&amp;'Malaria-Equipment &amp; Other HPs'!$I$64:$I$122,0)),0)</f>
        <v>0</v>
      </c>
      <c r="J123" s="625">
        <f t="array" ref="J123">IFERROR(INDEX('Malaria-Equipment &amp; Other HPs'!$O$64:$O$122,MATCH($E123&amp;$F123,'Malaria-Equipment &amp; Other HPs'!$E$64:$E$122&amp;'Malaria-Equipment &amp; Other HPs'!$I$64:$I$122,0)),0)</f>
        <v>0</v>
      </c>
      <c r="K123" s="626">
        <f t="shared" si="108"/>
        <v>0</v>
      </c>
      <c r="L123" s="626">
        <f t="shared" si="109"/>
        <v>0</v>
      </c>
      <c r="M123" s="626">
        <f t="shared" si="110"/>
        <v>0</v>
      </c>
      <c r="N123" s="625">
        <f t="array" ref="N123">IFERROR(INDEX('Malaria-Equipment &amp; Other HPs'!$P$64:$P$122,MATCH($E123&amp;$F123,'Malaria-Equipment &amp; Other HPs'!$E$64:$E$122&amp;'Malaria-Equipment &amp; Other HPs'!$I$64:$I$122,0)),0)</f>
        <v>0</v>
      </c>
      <c r="O123" s="626">
        <f t="shared" si="111"/>
        <v>0</v>
      </c>
      <c r="P123" s="626">
        <f t="shared" si="112"/>
        <v>0</v>
      </c>
      <c r="Q123" s="626">
        <f t="shared" si="113"/>
        <v>0</v>
      </c>
      <c r="R123" s="625">
        <f t="array" ref="R123">IFERROR(INDEX('Malaria-Equipment &amp; Other HPs'!$Q$64:$Q$122,MATCH($E123&amp;$F123,'Malaria-Equipment &amp; Other HPs'!$E$64:$E$122&amp;'Malaria-Equipment &amp; Other HPs'!$I$64:$I$122,0)),0)</f>
        <v>0</v>
      </c>
      <c r="S123" s="626">
        <f t="shared" si="114"/>
        <v>0</v>
      </c>
      <c r="T123" s="626">
        <f t="shared" si="115"/>
        <v>0</v>
      </c>
      <c r="U123" s="626">
        <f t="shared" si="116"/>
        <v>0</v>
      </c>
      <c r="V123" s="625">
        <f t="array" ref="V123">IFERROR(INDEX('Malaria-Equipment &amp; Other HPs'!$R$64:$R$122,MATCH($E123&amp;$F123,'Malaria-Equipment &amp; Other HPs'!$E$64:$E$122&amp;'Malaria-Equipment &amp; Other HPs'!$I$64:$I$122,0)),0)</f>
        <v>0</v>
      </c>
      <c r="W123" s="626">
        <f t="shared" si="117"/>
        <v>0</v>
      </c>
      <c r="X123" s="626">
        <f t="shared" si="118"/>
        <v>0</v>
      </c>
      <c r="Y123" s="626">
        <f t="shared" si="119"/>
        <v>0</v>
      </c>
      <c r="Z123" s="630"/>
      <c r="AA123" s="625">
        <f t="array" ref="AA123">IFERROR(INDEX('Malaria-Equipment &amp; Other HPs'!$U$64:$U$122,MATCH($E123&amp;$F123,'Malaria-Equipment &amp; Other HPs'!$E$64:$E$122&amp;'Malaria-Equipment &amp; Other HPs'!$I$64:$I$122,0)),0)</f>
        <v>0</v>
      </c>
      <c r="AB123" s="625">
        <f t="array" ref="AB123">IFERROR(INDEX('Malaria-Equipment &amp; Other HPs'!$V$64:$V$122,MATCH($E123&amp;$F123,'Malaria-Equipment &amp; Other HPs'!$E$64:$E$122&amp;'Malaria-Equipment &amp; Other HPs'!$I$64:$I$122,0)),0)</f>
        <v>0</v>
      </c>
      <c r="AC123" s="625">
        <f t="shared" si="120"/>
        <v>0</v>
      </c>
      <c r="AD123" s="626">
        <f t="shared" si="121"/>
        <v>0</v>
      </c>
      <c r="AE123" s="626">
        <f t="shared" si="122"/>
        <v>0</v>
      </c>
      <c r="AF123" s="625">
        <f t="array" ref="AF123">IFERROR(INDEX('Malaria-Equipment &amp; Other HPs'!$W$64:$W$122,MATCH($E123&amp;$F123,'Malaria-Equipment &amp; Other HPs'!$E$64:$E$122&amp;'Malaria-Equipment &amp; Other HPs'!$I$64:$I$122,0)),0)</f>
        <v>0</v>
      </c>
      <c r="AG123" s="625">
        <f t="shared" si="123"/>
        <v>0</v>
      </c>
      <c r="AH123" s="626">
        <f t="shared" si="124"/>
        <v>0</v>
      </c>
      <c r="AI123" s="626">
        <f t="shared" si="125"/>
        <v>0</v>
      </c>
      <c r="AJ123" s="625">
        <f t="array" ref="AJ123">IFERROR(INDEX('Malaria-Equipment &amp; Other HPs'!$X$64:$X$122,MATCH($E123&amp;$F123,'Malaria-Equipment &amp; Other HPs'!$E$64:$E$122&amp;'Malaria-Equipment &amp; Other HPs'!$I$64:$I$122,0)),0)</f>
        <v>0</v>
      </c>
      <c r="AK123" s="625">
        <f t="shared" si="126"/>
        <v>0</v>
      </c>
      <c r="AL123" s="626">
        <f t="shared" si="127"/>
        <v>0</v>
      </c>
      <c r="AM123" s="626">
        <f t="shared" si="128"/>
        <v>0</v>
      </c>
      <c r="AN123" s="625">
        <f t="array" ref="AN123">IFERROR(INDEX('Malaria-Equipment &amp; Other HPs'!$Y$64:$Y$122,MATCH($E123&amp;$F123,'Malaria-Equipment &amp; Other HPs'!$E$64:$E$122&amp;'Malaria-Equipment &amp; Other HPs'!$I$64:$I$122,0)),0)</f>
        <v>0</v>
      </c>
      <c r="AO123" s="625">
        <f t="shared" si="129"/>
        <v>0</v>
      </c>
      <c r="AP123" s="626">
        <f t="shared" si="130"/>
        <v>0</v>
      </c>
      <c r="AQ123" s="626">
        <f t="shared" si="131"/>
        <v>0</v>
      </c>
      <c r="AR123" s="630"/>
      <c r="AS123" s="625">
        <f t="array" ref="AS123">IFERROR(INDEX('Malaria-Equipment &amp; Other HPs'!$AB$64:$AB$122,MATCH($E123&amp;$F123,'Malaria-Equipment &amp; Other HPs'!$E$64:$E$122&amp;'Malaria-Equipment &amp; Other HPs'!$I$64:$I$122,0)),0)</f>
        <v>0</v>
      </c>
      <c r="AT123" s="625">
        <f t="array" ref="AT123">IFERROR(INDEX('Malaria-Equipment &amp; Other HPs'!$AC$64:$AC$122,MATCH($E123&amp;$F123,'Malaria-Equipment &amp; Other HPs'!$E$64:$E$122&amp;'Malaria-Equipment &amp; Other HPs'!$I$64:$I$122,0)),0)</f>
        <v>0</v>
      </c>
      <c r="AU123" s="625">
        <f t="shared" si="132"/>
        <v>0</v>
      </c>
      <c r="AV123" s="626">
        <f t="shared" si="133"/>
        <v>0</v>
      </c>
      <c r="AW123" s="626">
        <f t="shared" si="134"/>
        <v>0</v>
      </c>
      <c r="AX123" s="625">
        <f t="array" ref="AX123">IFERROR(INDEX('Malaria-Equipment &amp; Other HPs'!$AD$64:$AD$122,MATCH($E123&amp;$F123,'Malaria-Equipment &amp; Other HPs'!$E$64:$E$122&amp;'Malaria-Equipment &amp; Other HPs'!$I$64:$I$122,0)),0)</f>
        <v>0</v>
      </c>
      <c r="AY123" s="625">
        <f t="shared" si="135"/>
        <v>0</v>
      </c>
      <c r="AZ123" s="626">
        <f t="shared" si="136"/>
        <v>0</v>
      </c>
      <c r="BA123" s="626">
        <f t="shared" si="137"/>
        <v>0</v>
      </c>
      <c r="BB123" s="625">
        <f t="array" ref="BB123">IFERROR(INDEX('Malaria-Equipment &amp; Other HPs'!$AE$64:$AE$122,MATCH($E123&amp;$F123,'Malaria-Equipment &amp; Other HPs'!$E$64:$E$122&amp;'Malaria-Equipment &amp; Other HPs'!$I$64:$I$122,0)),0)</f>
        <v>0</v>
      </c>
      <c r="BC123" s="625">
        <f t="shared" si="138"/>
        <v>0</v>
      </c>
      <c r="BD123" s="626">
        <f t="shared" si="139"/>
        <v>0</v>
      </c>
      <c r="BE123" s="626">
        <f t="shared" si="140"/>
        <v>0</v>
      </c>
      <c r="BF123" s="625">
        <f t="array" ref="BF123">IFERROR(INDEX('Malaria-Equipment &amp; Other HPs'!$AF$64:$AF$122,MATCH($E123&amp;$F123,'Malaria-Equipment &amp; Other HPs'!$E$64:$E$122&amp;'Malaria-Equipment &amp; Other HPs'!$I$64:$I$122,0)),0)</f>
        <v>0</v>
      </c>
      <c r="BG123" s="625">
        <f t="shared" si="141"/>
        <v>0</v>
      </c>
      <c r="BH123" s="626">
        <f t="shared" si="142"/>
        <v>0</v>
      </c>
      <c r="BI123" s="626">
        <f t="shared" si="143"/>
        <v>0</v>
      </c>
      <c r="BJ123" s="630"/>
      <c r="BK123" s="625"/>
      <c r="BL123" s="625"/>
      <c r="BM123" s="625"/>
      <c r="BN123" s="625"/>
      <c r="BO123" s="625"/>
      <c r="BP123" s="625"/>
      <c r="BQ123" s="625"/>
      <c r="BR123" s="625"/>
      <c r="BT123" s="21" t="s">
        <v>6821</v>
      </c>
    </row>
    <row r="124" spans="1:72">
      <c r="A124" s="29" t="s">
        <v>1242</v>
      </c>
      <c r="B124" s="29" t="s">
        <v>1549</v>
      </c>
      <c r="C124" s="626">
        <f>SETUP!$F$54</f>
        <v>0</v>
      </c>
      <c r="D124" s="25">
        <v>5.0999999999999996</v>
      </c>
      <c r="E124" s="26" t="s">
        <v>582</v>
      </c>
      <c r="F124" s="26" t="s">
        <v>1181</v>
      </c>
      <c r="G124" s="625" t="str">
        <f t="array" ref="G124">IFERROR(INDEX('Malaria-Equipment &amp; Other HPs'!$L$64:$L$122,MATCH($E124&amp;$F124,'Malaria-Equipment &amp; Other HPs'!$E$64:$E$122&amp;'Malaria-Equipment &amp; Other HPs'!$I$64:$I$122,0)),"")</f>
        <v/>
      </c>
      <c r="H124" s="625" t="str">
        <f t="array" ref="H124">IFERROR(INDEX('Malaria-Equipment &amp; Other HPs'!$M$64:$M$122,MATCH($E124&amp;$F124,'Malaria-Equipment &amp; Other HPs'!$E$64:$E$122&amp;'Malaria-Equipment &amp; Other HPs'!$I$64:$I$122,0)),"")</f>
        <v/>
      </c>
      <c r="I124" s="625">
        <f t="array" ref="I124">IFERROR(INDEX('Malaria-Equipment &amp; Other HPs'!$N$64:$N$122,MATCH($E124&amp;$F124,'Malaria-Equipment &amp; Other HPs'!$E$64:$E$122&amp;'Malaria-Equipment &amp; Other HPs'!$I$64:$I$122,0)),0)</f>
        <v>0</v>
      </c>
      <c r="J124" s="625">
        <f t="array" ref="J124">IFERROR(INDEX('Malaria-Equipment &amp; Other HPs'!$O$64:$O$122,MATCH($E124&amp;$F124,'Malaria-Equipment &amp; Other HPs'!$E$64:$E$122&amp;'Malaria-Equipment &amp; Other HPs'!$I$64:$I$122,0)),0)</f>
        <v>0</v>
      </c>
      <c r="K124" s="626">
        <f t="shared" si="108"/>
        <v>0</v>
      </c>
      <c r="L124" s="626">
        <f t="shared" si="109"/>
        <v>0</v>
      </c>
      <c r="M124" s="626">
        <f t="shared" si="110"/>
        <v>0</v>
      </c>
      <c r="N124" s="625">
        <f t="array" ref="N124">IFERROR(INDEX('Malaria-Equipment &amp; Other HPs'!$P$64:$P$122,MATCH($E124&amp;$F124,'Malaria-Equipment &amp; Other HPs'!$E$64:$E$122&amp;'Malaria-Equipment &amp; Other HPs'!$I$64:$I$122,0)),0)</f>
        <v>0</v>
      </c>
      <c r="O124" s="626">
        <f t="shared" si="111"/>
        <v>0</v>
      </c>
      <c r="P124" s="626">
        <f t="shared" si="112"/>
        <v>0</v>
      </c>
      <c r="Q124" s="626">
        <f t="shared" si="113"/>
        <v>0</v>
      </c>
      <c r="R124" s="625">
        <f t="array" ref="R124">IFERROR(INDEX('Malaria-Equipment &amp; Other HPs'!$Q$64:$Q$122,MATCH($E124&amp;$F124,'Malaria-Equipment &amp; Other HPs'!$E$64:$E$122&amp;'Malaria-Equipment &amp; Other HPs'!$I$64:$I$122,0)),0)</f>
        <v>0</v>
      </c>
      <c r="S124" s="626">
        <f t="shared" si="114"/>
        <v>0</v>
      </c>
      <c r="T124" s="626">
        <f t="shared" si="115"/>
        <v>0</v>
      </c>
      <c r="U124" s="626">
        <f t="shared" si="116"/>
        <v>0</v>
      </c>
      <c r="V124" s="625">
        <f t="array" ref="V124">IFERROR(INDEX('Malaria-Equipment &amp; Other HPs'!$R$64:$R$122,MATCH($E124&amp;$F124,'Malaria-Equipment &amp; Other HPs'!$E$64:$E$122&amp;'Malaria-Equipment &amp; Other HPs'!$I$64:$I$122,0)),0)</f>
        <v>0</v>
      </c>
      <c r="W124" s="626">
        <f t="shared" si="117"/>
        <v>0</v>
      </c>
      <c r="X124" s="626">
        <f t="shared" si="118"/>
        <v>0</v>
      </c>
      <c r="Y124" s="626">
        <f t="shared" si="119"/>
        <v>0</v>
      </c>
      <c r="Z124" s="630"/>
      <c r="AA124" s="625">
        <f t="array" ref="AA124">IFERROR(INDEX('Malaria-Equipment &amp; Other HPs'!$U$64:$U$122,MATCH($E124&amp;$F124,'Malaria-Equipment &amp; Other HPs'!$E$64:$E$122&amp;'Malaria-Equipment &amp; Other HPs'!$I$64:$I$122,0)),0)</f>
        <v>0</v>
      </c>
      <c r="AB124" s="625">
        <f t="array" ref="AB124">IFERROR(INDEX('Malaria-Equipment &amp; Other HPs'!$V$64:$V$122,MATCH($E124&amp;$F124,'Malaria-Equipment &amp; Other HPs'!$E$64:$E$122&amp;'Malaria-Equipment &amp; Other HPs'!$I$64:$I$122,0)),0)</f>
        <v>0</v>
      </c>
      <c r="AC124" s="625">
        <f t="shared" si="120"/>
        <v>0</v>
      </c>
      <c r="AD124" s="626">
        <f t="shared" si="121"/>
        <v>0</v>
      </c>
      <c r="AE124" s="626">
        <f t="shared" si="122"/>
        <v>0</v>
      </c>
      <c r="AF124" s="625">
        <f t="array" ref="AF124">IFERROR(INDEX('Malaria-Equipment &amp; Other HPs'!$W$64:$W$122,MATCH($E124&amp;$F124,'Malaria-Equipment &amp; Other HPs'!$E$64:$E$122&amp;'Malaria-Equipment &amp; Other HPs'!$I$64:$I$122,0)),0)</f>
        <v>0</v>
      </c>
      <c r="AG124" s="625">
        <f t="shared" si="123"/>
        <v>0</v>
      </c>
      <c r="AH124" s="626">
        <f t="shared" si="124"/>
        <v>0</v>
      </c>
      <c r="AI124" s="626">
        <f t="shared" si="125"/>
        <v>0</v>
      </c>
      <c r="AJ124" s="625">
        <f t="array" ref="AJ124">IFERROR(INDEX('Malaria-Equipment &amp; Other HPs'!$X$64:$X$122,MATCH($E124&amp;$F124,'Malaria-Equipment &amp; Other HPs'!$E$64:$E$122&amp;'Malaria-Equipment &amp; Other HPs'!$I$64:$I$122,0)),0)</f>
        <v>0</v>
      </c>
      <c r="AK124" s="625">
        <f t="shared" si="126"/>
        <v>0</v>
      </c>
      <c r="AL124" s="626">
        <f t="shared" si="127"/>
        <v>0</v>
      </c>
      <c r="AM124" s="626">
        <f t="shared" si="128"/>
        <v>0</v>
      </c>
      <c r="AN124" s="625">
        <f t="array" ref="AN124">IFERROR(INDEX('Malaria-Equipment &amp; Other HPs'!$Y$64:$Y$122,MATCH($E124&amp;$F124,'Malaria-Equipment &amp; Other HPs'!$E$64:$E$122&amp;'Malaria-Equipment &amp; Other HPs'!$I$64:$I$122,0)),0)</f>
        <v>0</v>
      </c>
      <c r="AO124" s="625">
        <f t="shared" si="129"/>
        <v>0</v>
      </c>
      <c r="AP124" s="626">
        <f t="shared" si="130"/>
        <v>0</v>
      </c>
      <c r="AQ124" s="626">
        <f t="shared" si="131"/>
        <v>0</v>
      </c>
      <c r="AR124" s="630"/>
      <c r="AS124" s="625">
        <f t="array" ref="AS124">IFERROR(INDEX('Malaria-Equipment &amp; Other HPs'!$AB$64:$AB$122,MATCH($E124&amp;$F124,'Malaria-Equipment &amp; Other HPs'!$E$64:$E$122&amp;'Malaria-Equipment &amp; Other HPs'!$I$64:$I$122,0)),0)</f>
        <v>0</v>
      </c>
      <c r="AT124" s="625">
        <f t="array" ref="AT124">IFERROR(INDEX('Malaria-Equipment &amp; Other HPs'!$AC$64:$AC$122,MATCH($E124&amp;$F124,'Malaria-Equipment &amp; Other HPs'!$E$64:$E$122&amp;'Malaria-Equipment &amp; Other HPs'!$I$64:$I$122,0)),0)</f>
        <v>0</v>
      </c>
      <c r="AU124" s="625">
        <f t="shared" si="132"/>
        <v>0</v>
      </c>
      <c r="AV124" s="626">
        <f t="shared" si="133"/>
        <v>0</v>
      </c>
      <c r="AW124" s="626">
        <f t="shared" si="134"/>
        <v>0</v>
      </c>
      <c r="AX124" s="625">
        <f t="array" ref="AX124">IFERROR(INDEX('Malaria-Equipment &amp; Other HPs'!$AD$64:$AD$122,MATCH($E124&amp;$F124,'Malaria-Equipment &amp; Other HPs'!$E$64:$E$122&amp;'Malaria-Equipment &amp; Other HPs'!$I$64:$I$122,0)),0)</f>
        <v>0</v>
      </c>
      <c r="AY124" s="625">
        <f t="shared" si="135"/>
        <v>0</v>
      </c>
      <c r="AZ124" s="626">
        <f t="shared" si="136"/>
        <v>0</v>
      </c>
      <c r="BA124" s="626">
        <f t="shared" si="137"/>
        <v>0</v>
      </c>
      <c r="BB124" s="625">
        <f t="array" ref="BB124">IFERROR(INDEX('Malaria-Equipment &amp; Other HPs'!$AE$64:$AE$122,MATCH($E124&amp;$F124,'Malaria-Equipment &amp; Other HPs'!$E$64:$E$122&amp;'Malaria-Equipment &amp; Other HPs'!$I$64:$I$122,0)),0)</f>
        <v>0</v>
      </c>
      <c r="BC124" s="625">
        <f t="shared" si="138"/>
        <v>0</v>
      </c>
      <c r="BD124" s="626">
        <f t="shared" si="139"/>
        <v>0</v>
      </c>
      <c r="BE124" s="626">
        <f t="shared" si="140"/>
        <v>0</v>
      </c>
      <c r="BF124" s="625">
        <f t="array" ref="BF124">IFERROR(INDEX('Malaria-Equipment &amp; Other HPs'!$AF$64:$AF$122,MATCH($E124&amp;$F124,'Malaria-Equipment &amp; Other HPs'!$E$64:$E$122&amp;'Malaria-Equipment &amp; Other HPs'!$I$64:$I$122,0)),0)</f>
        <v>0</v>
      </c>
      <c r="BG124" s="625">
        <f t="shared" si="141"/>
        <v>0</v>
      </c>
      <c r="BH124" s="626">
        <f t="shared" si="142"/>
        <v>0</v>
      </c>
      <c r="BI124" s="626">
        <f t="shared" si="143"/>
        <v>0</v>
      </c>
      <c r="BJ124" s="630"/>
      <c r="BK124" s="625"/>
      <c r="BL124" s="625"/>
      <c r="BM124" s="625"/>
      <c r="BN124" s="625"/>
      <c r="BO124" s="625"/>
      <c r="BP124" s="625"/>
      <c r="BQ124" s="625"/>
      <c r="BR124" s="625"/>
      <c r="BT124" s="21" t="s">
        <v>6821</v>
      </c>
    </row>
    <row r="125" spans="1:72">
      <c r="A125" s="29" t="s">
        <v>1242</v>
      </c>
      <c r="B125" s="29" t="s">
        <v>1549</v>
      </c>
      <c r="C125" s="626">
        <f>SETUP!$F$54</f>
        <v>0</v>
      </c>
      <c r="D125" s="25">
        <v>5.0999999999999996</v>
      </c>
      <c r="E125" s="26" t="s">
        <v>582</v>
      </c>
      <c r="F125" s="26" t="s">
        <v>844</v>
      </c>
      <c r="G125" s="625" t="str">
        <f t="array" ref="G125">IFERROR(INDEX('Malaria-Equipment &amp; Other HPs'!$L$64:$L$122,MATCH($E125&amp;$F125,'Malaria-Equipment &amp; Other HPs'!$E$64:$E$122&amp;'Malaria-Equipment &amp; Other HPs'!$I$64:$I$122,0)),"")</f>
        <v/>
      </c>
      <c r="H125" s="625" t="str">
        <f t="array" ref="H125">IFERROR(INDEX('Malaria-Equipment &amp; Other HPs'!$M$64:$M$122,MATCH($E125&amp;$F125,'Malaria-Equipment &amp; Other HPs'!$E$64:$E$122&amp;'Malaria-Equipment &amp; Other HPs'!$I$64:$I$122,0)),"")</f>
        <v/>
      </c>
      <c r="I125" s="625">
        <f t="array" ref="I125">IFERROR(INDEX('Malaria-Equipment &amp; Other HPs'!$N$64:$N$122,MATCH($E125&amp;$F125,'Malaria-Equipment &amp; Other HPs'!$E$64:$E$122&amp;'Malaria-Equipment &amp; Other HPs'!$I$64:$I$122,0)),0)</f>
        <v>0</v>
      </c>
      <c r="J125" s="625">
        <f t="array" ref="J125">IFERROR(INDEX('Malaria-Equipment &amp; Other HPs'!$O$64:$O$122,MATCH($E125&amp;$F125,'Malaria-Equipment &amp; Other HPs'!$E$64:$E$122&amp;'Malaria-Equipment &amp; Other HPs'!$I$64:$I$122,0)),0)</f>
        <v>0</v>
      </c>
      <c r="K125" s="626">
        <f t="shared" si="108"/>
        <v>0</v>
      </c>
      <c r="L125" s="626">
        <f t="shared" si="109"/>
        <v>0</v>
      </c>
      <c r="M125" s="626">
        <f t="shared" si="110"/>
        <v>0</v>
      </c>
      <c r="N125" s="625">
        <f t="array" ref="N125">IFERROR(INDEX('Malaria-Equipment &amp; Other HPs'!$P$64:$P$122,MATCH($E125&amp;$F125,'Malaria-Equipment &amp; Other HPs'!$E$64:$E$122&amp;'Malaria-Equipment &amp; Other HPs'!$I$64:$I$122,0)),0)</f>
        <v>0</v>
      </c>
      <c r="O125" s="626">
        <f t="shared" si="111"/>
        <v>0</v>
      </c>
      <c r="P125" s="626">
        <f t="shared" si="112"/>
        <v>0</v>
      </c>
      <c r="Q125" s="626">
        <f t="shared" si="113"/>
        <v>0</v>
      </c>
      <c r="R125" s="625">
        <f t="array" ref="R125">IFERROR(INDEX('Malaria-Equipment &amp; Other HPs'!$Q$64:$Q$122,MATCH($E125&amp;$F125,'Malaria-Equipment &amp; Other HPs'!$E$64:$E$122&amp;'Malaria-Equipment &amp; Other HPs'!$I$64:$I$122,0)),0)</f>
        <v>0</v>
      </c>
      <c r="S125" s="626">
        <f t="shared" si="114"/>
        <v>0</v>
      </c>
      <c r="T125" s="626">
        <f t="shared" si="115"/>
        <v>0</v>
      </c>
      <c r="U125" s="626">
        <f t="shared" si="116"/>
        <v>0</v>
      </c>
      <c r="V125" s="625">
        <f t="array" ref="V125">IFERROR(INDEX('Malaria-Equipment &amp; Other HPs'!$R$64:$R$122,MATCH($E125&amp;$F125,'Malaria-Equipment &amp; Other HPs'!$E$64:$E$122&amp;'Malaria-Equipment &amp; Other HPs'!$I$64:$I$122,0)),0)</f>
        <v>0</v>
      </c>
      <c r="W125" s="626">
        <f t="shared" si="117"/>
        <v>0</v>
      </c>
      <c r="X125" s="626">
        <f t="shared" si="118"/>
        <v>0</v>
      </c>
      <c r="Y125" s="626">
        <f t="shared" si="119"/>
        <v>0</v>
      </c>
      <c r="Z125" s="630"/>
      <c r="AA125" s="625">
        <f t="array" ref="AA125">IFERROR(INDEX('Malaria-Equipment &amp; Other HPs'!$U$64:$U$122,MATCH($E125&amp;$F125,'Malaria-Equipment &amp; Other HPs'!$E$64:$E$122&amp;'Malaria-Equipment &amp; Other HPs'!$I$64:$I$122,0)),0)</f>
        <v>0</v>
      </c>
      <c r="AB125" s="625">
        <f t="array" ref="AB125">IFERROR(INDEX('Malaria-Equipment &amp; Other HPs'!$V$64:$V$122,MATCH($E125&amp;$F125,'Malaria-Equipment &amp; Other HPs'!$E$64:$E$122&amp;'Malaria-Equipment &amp; Other HPs'!$I$64:$I$122,0)),0)</f>
        <v>0</v>
      </c>
      <c r="AC125" s="625">
        <f t="shared" si="120"/>
        <v>0</v>
      </c>
      <c r="AD125" s="626">
        <f t="shared" si="121"/>
        <v>0</v>
      </c>
      <c r="AE125" s="626">
        <f t="shared" si="122"/>
        <v>0</v>
      </c>
      <c r="AF125" s="625">
        <f t="array" ref="AF125">IFERROR(INDEX('Malaria-Equipment &amp; Other HPs'!$W$64:$W$122,MATCH($E125&amp;$F125,'Malaria-Equipment &amp; Other HPs'!$E$64:$E$122&amp;'Malaria-Equipment &amp; Other HPs'!$I$64:$I$122,0)),0)</f>
        <v>0</v>
      </c>
      <c r="AG125" s="625">
        <f t="shared" si="123"/>
        <v>0</v>
      </c>
      <c r="AH125" s="626">
        <f t="shared" si="124"/>
        <v>0</v>
      </c>
      <c r="AI125" s="626">
        <f t="shared" si="125"/>
        <v>0</v>
      </c>
      <c r="AJ125" s="625">
        <f t="array" ref="AJ125">IFERROR(INDEX('Malaria-Equipment &amp; Other HPs'!$X$64:$X$122,MATCH($E125&amp;$F125,'Malaria-Equipment &amp; Other HPs'!$E$64:$E$122&amp;'Malaria-Equipment &amp; Other HPs'!$I$64:$I$122,0)),0)</f>
        <v>0</v>
      </c>
      <c r="AK125" s="625">
        <f t="shared" si="126"/>
        <v>0</v>
      </c>
      <c r="AL125" s="626">
        <f t="shared" si="127"/>
        <v>0</v>
      </c>
      <c r="AM125" s="626">
        <f t="shared" si="128"/>
        <v>0</v>
      </c>
      <c r="AN125" s="625">
        <f t="array" ref="AN125">IFERROR(INDEX('Malaria-Equipment &amp; Other HPs'!$Y$64:$Y$122,MATCH($E125&amp;$F125,'Malaria-Equipment &amp; Other HPs'!$E$64:$E$122&amp;'Malaria-Equipment &amp; Other HPs'!$I$64:$I$122,0)),0)</f>
        <v>0</v>
      </c>
      <c r="AO125" s="625">
        <f t="shared" si="129"/>
        <v>0</v>
      </c>
      <c r="AP125" s="626">
        <f t="shared" si="130"/>
        <v>0</v>
      </c>
      <c r="AQ125" s="626">
        <f t="shared" si="131"/>
        <v>0</v>
      </c>
      <c r="AR125" s="630"/>
      <c r="AS125" s="625">
        <f t="array" ref="AS125">IFERROR(INDEX('Malaria-Equipment &amp; Other HPs'!$AB$64:$AB$122,MATCH($E125&amp;$F125,'Malaria-Equipment &amp; Other HPs'!$E$64:$E$122&amp;'Malaria-Equipment &amp; Other HPs'!$I$64:$I$122,0)),0)</f>
        <v>0</v>
      </c>
      <c r="AT125" s="625">
        <f t="array" ref="AT125">IFERROR(INDEX('Malaria-Equipment &amp; Other HPs'!$AC$64:$AC$122,MATCH($E125&amp;$F125,'Malaria-Equipment &amp; Other HPs'!$E$64:$E$122&amp;'Malaria-Equipment &amp; Other HPs'!$I$64:$I$122,0)),0)</f>
        <v>0</v>
      </c>
      <c r="AU125" s="625">
        <f t="shared" si="132"/>
        <v>0</v>
      </c>
      <c r="AV125" s="626">
        <f t="shared" si="133"/>
        <v>0</v>
      </c>
      <c r="AW125" s="626">
        <f t="shared" si="134"/>
        <v>0</v>
      </c>
      <c r="AX125" s="625">
        <f t="array" ref="AX125">IFERROR(INDEX('Malaria-Equipment &amp; Other HPs'!$AD$64:$AD$122,MATCH($E125&amp;$F125,'Malaria-Equipment &amp; Other HPs'!$E$64:$E$122&amp;'Malaria-Equipment &amp; Other HPs'!$I$64:$I$122,0)),0)</f>
        <v>0</v>
      </c>
      <c r="AY125" s="625">
        <f t="shared" si="135"/>
        <v>0</v>
      </c>
      <c r="AZ125" s="626">
        <f t="shared" si="136"/>
        <v>0</v>
      </c>
      <c r="BA125" s="626">
        <f t="shared" si="137"/>
        <v>0</v>
      </c>
      <c r="BB125" s="625">
        <f t="array" ref="BB125">IFERROR(INDEX('Malaria-Equipment &amp; Other HPs'!$AE$64:$AE$122,MATCH($E125&amp;$F125,'Malaria-Equipment &amp; Other HPs'!$E$64:$E$122&amp;'Malaria-Equipment &amp; Other HPs'!$I$64:$I$122,0)),0)</f>
        <v>0</v>
      </c>
      <c r="BC125" s="625">
        <f t="shared" si="138"/>
        <v>0</v>
      </c>
      <c r="BD125" s="626">
        <f t="shared" si="139"/>
        <v>0</v>
      </c>
      <c r="BE125" s="626">
        <f t="shared" si="140"/>
        <v>0</v>
      </c>
      <c r="BF125" s="625">
        <f t="array" ref="BF125">IFERROR(INDEX('Malaria-Equipment &amp; Other HPs'!$AF$64:$AF$122,MATCH($E125&amp;$F125,'Malaria-Equipment &amp; Other HPs'!$E$64:$E$122&amp;'Malaria-Equipment &amp; Other HPs'!$I$64:$I$122,0)),0)</f>
        <v>0</v>
      </c>
      <c r="BG125" s="625">
        <f t="shared" si="141"/>
        <v>0</v>
      </c>
      <c r="BH125" s="626">
        <f t="shared" si="142"/>
        <v>0</v>
      </c>
      <c r="BI125" s="626">
        <f t="shared" si="143"/>
        <v>0</v>
      </c>
      <c r="BJ125" s="630"/>
      <c r="BK125" s="625"/>
      <c r="BL125" s="625"/>
      <c r="BM125" s="625"/>
      <c r="BN125" s="625"/>
      <c r="BO125" s="625"/>
      <c r="BP125" s="625"/>
      <c r="BQ125" s="625"/>
      <c r="BR125" s="625"/>
      <c r="BT125" s="21" t="s">
        <v>6821</v>
      </c>
    </row>
    <row r="126" spans="1:72">
      <c r="A126" s="29" t="s">
        <v>1242</v>
      </c>
      <c r="B126" s="29" t="s">
        <v>1549</v>
      </c>
      <c r="C126" s="626">
        <f>SETUP!$F$54</f>
        <v>0</v>
      </c>
      <c r="D126" s="25">
        <v>5.0999999999999996</v>
      </c>
      <c r="E126" s="26" t="s">
        <v>582</v>
      </c>
      <c r="F126" s="26" t="s">
        <v>1182</v>
      </c>
      <c r="G126" s="625" t="str">
        <f t="array" ref="G126">IFERROR(INDEX('Malaria-Equipment &amp; Other HPs'!$L$64:$L$122,MATCH($E126&amp;$F126,'Malaria-Equipment &amp; Other HPs'!$E$64:$E$122&amp;'Malaria-Equipment &amp; Other HPs'!$I$64:$I$122,0)),"")</f>
        <v/>
      </c>
      <c r="H126" s="625" t="str">
        <f t="array" ref="H126">IFERROR(INDEX('Malaria-Equipment &amp; Other HPs'!$M$64:$M$122,MATCH($E126&amp;$F126,'Malaria-Equipment &amp; Other HPs'!$E$64:$E$122&amp;'Malaria-Equipment &amp; Other HPs'!$I$64:$I$122,0)),"")</f>
        <v/>
      </c>
      <c r="I126" s="625">
        <f t="array" ref="I126">IFERROR(INDEX('Malaria-Equipment &amp; Other HPs'!$N$64:$N$122,MATCH($E126&amp;$F126,'Malaria-Equipment &amp; Other HPs'!$E$64:$E$122&amp;'Malaria-Equipment &amp; Other HPs'!$I$64:$I$122,0)),0)</f>
        <v>0</v>
      </c>
      <c r="J126" s="625">
        <f t="array" ref="J126">IFERROR(INDEX('Malaria-Equipment &amp; Other HPs'!$O$64:$O$122,MATCH($E126&amp;$F126,'Malaria-Equipment &amp; Other HPs'!$E$64:$E$122&amp;'Malaria-Equipment &amp; Other HPs'!$I$64:$I$122,0)),0)</f>
        <v>0</v>
      </c>
      <c r="K126" s="626">
        <f t="shared" si="108"/>
        <v>0</v>
      </c>
      <c r="L126" s="626">
        <f t="shared" si="109"/>
        <v>0</v>
      </c>
      <c r="M126" s="626">
        <f t="shared" si="110"/>
        <v>0</v>
      </c>
      <c r="N126" s="625">
        <f t="array" ref="N126">IFERROR(INDEX('Malaria-Equipment &amp; Other HPs'!$P$64:$P$122,MATCH($E126&amp;$F126,'Malaria-Equipment &amp; Other HPs'!$E$64:$E$122&amp;'Malaria-Equipment &amp; Other HPs'!$I$64:$I$122,0)),0)</f>
        <v>0</v>
      </c>
      <c r="O126" s="626">
        <f t="shared" si="111"/>
        <v>0</v>
      </c>
      <c r="P126" s="626">
        <f t="shared" si="112"/>
        <v>0</v>
      </c>
      <c r="Q126" s="626">
        <f t="shared" si="113"/>
        <v>0</v>
      </c>
      <c r="R126" s="625">
        <f t="array" ref="R126">IFERROR(INDEX('Malaria-Equipment &amp; Other HPs'!$Q$64:$Q$122,MATCH($E126&amp;$F126,'Malaria-Equipment &amp; Other HPs'!$E$64:$E$122&amp;'Malaria-Equipment &amp; Other HPs'!$I$64:$I$122,0)),0)</f>
        <v>0</v>
      </c>
      <c r="S126" s="626">
        <f t="shared" si="114"/>
        <v>0</v>
      </c>
      <c r="T126" s="626">
        <f t="shared" si="115"/>
        <v>0</v>
      </c>
      <c r="U126" s="626">
        <f t="shared" si="116"/>
        <v>0</v>
      </c>
      <c r="V126" s="625">
        <f t="array" ref="V126">IFERROR(INDEX('Malaria-Equipment &amp; Other HPs'!$R$64:$R$122,MATCH($E126&amp;$F126,'Malaria-Equipment &amp; Other HPs'!$E$64:$E$122&amp;'Malaria-Equipment &amp; Other HPs'!$I$64:$I$122,0)),0)</f>
        <v>0</v>
      </c>
      <c r="W126" s="626">
        <f t="shared" si="117"/>
        <v>0</v>
      </c>
      <c r="X126" s="626">
        <f t="shared" si="118"/>
        <v>0</v>
      </c>
      <c r="Y126" s="626">
        <f t="shared" si="119"/>
        <v>0</v>
      </c>
      <c r="Z126" s="630"/>
      <c r="AA126" s="625">
        <f t="array" ref="AA126">IFERROR(INDEX('Malaria-Equipment &amp; Other HPs'!$U$64:$U$122,MATCH($E126&amp;$F126,'Malaria-Equipment &amp; Other HPs'!$E$64:$E$122&amp;'Malaria-Equipment &amp; Other HPs'!$I$64:$I$122,0)),0)</f>
        <v>0</v>
      </c>
      <c r="AB126" s="625">
        <f t="array" ref="AB126">IFERROR(INDEX('Malaria-Equipment &amp; Other HPs'!$V$64:$V$122,MATCH($E126&amp;$F126,'Malaria-Equipment &amp; Other HPs'!$E$64:$E$122&amp;'Malaria-Equipment &amp; Other HPs'!$I$64:$I$122,0)),0)</f>
        <v>0</v>
      </c>
      <c r="AC126" s="625">
        <f t="shared" si="120"/>
        <v>0</v>
      </c>
      <c r="AD126" s="626">
        <f t="shared" si="121"/>
        <v>0</v>
      </c>
      <c r="AE126" s="626">
        <f t="shared" si="122"/>
        <v>0</v>
      </c>
      <c r="AF126" s="625">
        <f t="array" ref="AF126">IFERROR(INDEX('Malaria-Equipment &amp; Other HPs'!$W$64:$W$122,MATCH($E126&amp;$F126,'Malaria-Equipment &amp; Other HPs'!$E$64:$E$122&amp;'Malaria-Equipment &amp; Other HPs'!$I$64:$I$122,0)),0)</f>
        <v>0</v>
      </c>
      <c r="AG126" s="625">
        <f t="shared" si="123"/>
        <v>0</v>
      </c>
      <c r="AH126" s="626">
        <f t="shared" si="124"/>
        <v>0</v>
      </c>
      <c r="AI126" s="626">
        <f t="shared" si="125"/>
        <v>0</v>
      </c>
      <c r="AJ126" s="625">
        <f t="array" ref="AJ126">IFERROR(INDEX('Malaria-Equipment &amp; Other HPs'!$X$64:$X$122,MATCH($E126&amp;$F126,'Malaria-Equipment &amp; Other HPs'!$E$64:$E$122&amp;'Malaria-Equipment &amp; Other HPs'!$I$64:$I$122,0)),0)</f>
        <v>0</v>
      </c>
      <c r="AK126" s="625">
        <f t="shared" si="126"/>
        <v>0</v>
      </c>
      <c r="AL126" s="626">
        <f t="shared" si="127"/>
        <v>0</v>
      </c>
      <c r="AM126" s="626">
        <f t="shared" si="128"/>
        <v>0</v>
      </c>
      <c r="AN126" s="625">
        <f t="array" ref="AN126">IFERROR(INDEX('Malaria-Equipment &amp; Other HPs'!$Y$64:$Y$122,MATCH($E126&amp;$F126,'Malaria-Equipment &amp; Other HPs'!$E$64:$E$122&amp;'Malaria-Equipment &amp; Other HPs'!$I$64:$I$122,0)),0)</f>
        <v>0</v>
      </c>
      <c r="AO126" s="625">
        <f t="shared" si="129"/>
        <v>0</v>
      </c>
      <c r="AP126" s="626">
        <f t="shared" si="130"/>
        <v>0</v>
      </c>
      <c r="AQ126" s="626">
        <f t="shared" si="131"/>
        <v>0</v>
      </c>
      <c r="AR126" s="630"/>
      <c r="AS126" s="625">
        <f t="array" ref="AS126">IFERROR(INDEX('Malaria-Equipment &amp; Other HPs'!$AB$64:$AB$122,MATCH($E126&amp;$F126,'Malaria-Equipment &amp; Other HPs'!$E$64:$E$122&amp;'Malaria-Equipment &amp; Other HPs'!$I$64:$I$122,0)),0)</f>
        <v>0</v>
      </c>
      <c r="AT126" s="625">
        <f t="array" ref="AT126">IFERROR(INDEX('Malaria-Equipment &amp; Other HPs'!$AC$64:$AC$122,MATCH($E126&amp;$F126,'Malaria-Equipment &amp; Other HPs'!$E$64:$E$122&amp;'Malaria-Equipment &amp; Other HPs'!$I$64:$I$122,0)),0)</f>
        <v>0</v>
      </c>
      <c r="AU126" s="625">
        <f t="shared" si="132"/>
        <v>0</v>
      </c>
      <c r="AV126" s="626">
        <f t="shared" si="133"/>
        <v>0</v>
      </c>
      <c r="AW126" s="626">
        <f t="shared" si="134"/>
        <v>0</v>
      </c>
      <c r="AX126" s="625">
        <f t="array" ref="AX126">IFERROR(INDEX('Malaria-Equipment &amp; Other HPs'!$AD$64:$AD$122,MATCH($E126&amp;$F126,'Malaria-Equipment &amp; Other HPs'!$E$64:$E$122&amp;'Malaria-Equipment &amp; Other HPs'!$I$64:$I$122,0)),0)</f>
        <v>0</v>
      </c>
      <c r="AY126" s="625">
        <f t="shared" si="135"/>
        <v>0</v>
      </c>
      <c r="AZ126" s="626">
        <f t="shared" si="136"/>
        <v>0</v>
      </c>
      <c r="BA126" s="626">
        <f t="shared" si="137"/>
        <v>0</v>
      </c>
      <c r="BB126" s="625">
        <f t="array" ref="BB126">IFERROR(INDEX('Malaria-Equipment &amp; Other HPs'!$AE$64:$AE$122,MATCH($E126&amp;$F126,'Malaria-Equipment &amp; Other HPs'!$E$64:$E$122&amp;'Malaria-Equipment &amp; Other HPs'!$I$64:$I$122,0)),0)</f>
        <v>0</v>
      </c>
      <c r="BC126" s="625">
        <f t="shared" si="138"/>
        <v>0</v>
      </c>
      <c r="BD126" s="626">
        <f t="shared" si="139"/>
        <v>0</v>
      </c>
      <c r="BE126" s="626">
        <f t="shared" si="140"/>
        <v>0</v>
      </c>
      <c r="BF126" s="625">
        <f t="array" ref="BF126">IFERROR(INDEX('Malaria-Equipment &amp; Other HPs'!$AF$64:$AF$122,MATCH($E126&amp;$F126,'Malaria-Equipment &amp; Other HPs'!$E$64:$E$122&amp;'Malaria-Equipment &amp; Other HPs'!$I$64:$I$122,0)),0)</f>
        <v>0</v>
      </c>
      <c r="BG126" s="625">
        <f t="shared" si="141"/>
        <v>0</v>
      </c>
      <c r="BH126" s="626">
        <f t="shared" si="142"/>
        <v>0</v>
      </c>
      <c r="BI126" s="626">
        <f t="shared" si="143"/>
        <v>0</v>
      </c>
      <c r="BJ126" s="630"/>
      <c r="BK126" s="625"/>
      <c r="BL126" s="625"/>
      <c r="BM126" s="625"/>
      <c r="BN126" s="625"/>
      <c r="BO126" s="625"/>
      <c r="BP126" s="625"/>
      <c r="BQ126" s="625"/>
      <c r="BR126" s="625"/>
      <c r="BT126" s="21" t="s">
        <v>6821</v>
      </c>
    </row>
    <row r="127" spans="1:72">
      <c r="A127" s="29" t="s">
        <v>1242</v>
      </c>
      <c r="B127" s="29" t="s">
        <v>1549</v>
      </c>
      <c r="C127" s="626">
        <f>SETUP!$F$54</f>
        <v>0</v>
      </c>
      <c r="D127" s="25">
        <v>5.0999999999999996</v>
      </c>
      <c r="E127" s="26" t="s">
        <v>582</v>
      </c>
      <c r="F127" s="26" t="s">
        <v>845</v>
      </c>
      <c r="G127" s="625" t="str">
        <f t="array" ref="G127">IFERROR(INDEX('Malaria-Equipment &amp; Other HPs'!$L$64:$L$122,MATCH($E127&amp;$F127,'Malaria-Equipment &amp; Other HPs'!$E$64:$E$122&amp;'Malaria-Equipment &amp; Other HPs'!$I$64:$I$122,0)),"")</f>
        <v/>
      </c>
      <c r="H127" s="625" t="str">
        <f t="array" ref="H127">IFERROR(INDEX('Malaria-Equipment &amp; Other HPs'!$M$64:$M$122,MATCH($E127&amp;$F127,'Malaria-Equipment &amp; Other HPs'!$E$64:$E$122&amp;'Malaria-Equipment &amp; Other HPs'!$I$64:$I$122,0)),"")</f>
        <v/>
      </c>
      <c r="I127" s="625">
        <f t="array" ref="I127">IFERROR(INDEX('Malaria-Equipment &amp; Other HPs'!$N$64:$N$122,MATCH($E127&amp;$F127,'Malaria-Equipment &amp; Other HPs'!$E$64:$E$122&amp;'Malaria-Equipment &amp; Other HPs'!$I$64:$I$122,0)),0)</f>
        <v>0</v>
      </c>
      <c r="J127" s="625">
        <f t="array" ref="J127">IFERROR(INDEX('Malaria-Equipment &amp; Other HPs'!$O$64:$O$122,MATCH($E127&amp;$F127,'Malaria-Equipment &amp; Other HPs'!$E$64:$E$122&amp;'Malaria-Equipment &amp; Other HPs'!$I$64:$I$122,0)),0)</f>
        <v>0</v>
      </c>
      <c r="K127" s="626">
        <f t="shared" si="108"/>
        <v>0</v>
      </c>
      <c r="L127" s="626">
        <f t="shared" si="109"/>
        <v>0</v>
      </c>
      <c r="M127" s="626">
        <f t="shared" si="110"/>
        <v>0</v>
      </c>
      <c r="N127" s="625">
        <f t="array" ref="N127">IFERROR(INDEX('Malaria-Equipment &amp; Other HPs'!$P$64:$P$122,MATCH($E127&amp;$F127,'Malaria-Equipment &amp; Other HPs'!$E$64:$E$122&amp;'Malaria-Equipment &amp; Other HPs'!$I$64:$I$122,0)),0)</f>
        <v>0</v>
      </c>
      <c r="O127" s="626">
        <f t="shared" si="111"/>
        <v>0</v>
      </c>
      <c r="P127" s="626">
        <f t="shared" si="112"/>
        <v>0</v>
      </c>
      <c r="Q127" s="626">
        <f t="shared" si="113"/>
        <v>0</v>
      </c>
      <c r="R127" s="625">
        <f t="array" ref="R127">IFERROR(INDEX('Malaria-Equipment &amp; Other HPs'!$Q$64:$Q$122,MATCH($E127&amp;$F127,'Malaria-Equipment &amp; Other HPs'!$E$64:$E$122&amp;'Malaria-Equipment &amp; Other HPs'!$I$64:$I$122,0)),0)</f>
        <v>0</v>
      </c>
      <c r="S127" s="626">
        <f t="shared" si="114"/>
        <v>0</v>
      </c>
      <c r="T127" s="626">
        <f t="shared" si="115"/>
        <v>0</v>
      </c>
      <c r="U127" s="626">
        <f t="shared" si="116"/>
        <v>0</v>
      </c>
      <c r="V127" s="625">
        <f t="array" ref="V127">IFERROR(INDEX('Malaria-Equipment &amp; Other HPs'!$R$64:$R$122,MATCH($E127&amp;$F127,'Malaria-Equipment &amp; Other HPs'!$E$64:$E$122&amp;'Malaria-Equipment &amp; Other HPs'!$I$64:$I$122,0)),0)</f>
        <v>0</v>
      </c>
      <c r="W127" s="626">
        <f t="shared" si="117"/>
        <v>0</v>
      </c>
      <c r="X127" s="626">
        <f t="shared" si="118"/>
        <v>0</v>
      </c>
      <c r="Y127" s="626">
        <f t="shared" si="119"/>
        <v>0</v>
      </c>
      <c r="Z127" s="630"/>
      <c r="AA127" s="625">
        <f t="array" ref="AA127">IFERROR(INDEX('Malaria-Equipment &amp; Other HPs'!$U$64:$U$122,MATCH($E127&amp;$F127,'Malaria-Equipment &amp; Other HPs'!$E$64:$E$122&amp;'Malaria-Equipment &amp; Other HPs'!$I$64:$I$122,0)),0)</f>
        <v>0</v>
      </c>
      <c r="AB127" s="625">
        <f t="array" ref="AB127">IFERROR(INDEX('Malaria-Equipment &amp; Other HPs'!$V$64:$V$122,MATCH($E127&amp;$F127,'Malaria-Equipment &amp; Other HPs'!$E$64:$E$122&amp;'Malaria-Equipment &amp; Other HPs'!$I$64:$I$122,0)),0)</f>
        <v>0</v>
      </c>
      <c r="AC127" s="625">
        <f t="shared" si="120"/>
        <v>0</v>
      </c>
      <c r="AD127" s="626">
        <f t="shared" si="121"/>
        <v>0</v>
      </c>
      <c r="AE127" s="626">
        <f t="shared" si="122"/>
        <v>0</v>
      </c>
      <c r="AF127" s="625">
        <f t="array" ref="AF127">IFERROR(INDEX('Malaria-Equipment &amp; Other HPs'!$W$64:$W$122,MATCH($E127&amp;$F127,'Malaria-Equipment &amp; Other HPs'!$E$64:$E$122&amp;'Malaria-Equipment &amp; Other HPs'!$I$64:$I$122,0)),0)</f>
        <v>0</v>
      </c>
      <c r="AG127" s="625">
        <f t="shared" si="123"/>
        <v>0</v>
      </c>
      <c r="AH127" s="626">
        <f t="shared" si="124"/>
        <v>0</v>
      </c>
      <c r="AI127" s="626">
        <f t="shared" si="125"/>
        <v>0</v>
      </c>
      <c r="AJ127" s="625">
        <f t="array" ref="AJ127">IFERROR(INDEX('Malaria-Equipment &amp; Other HPs'!$X$64:$X$122,MATCH($E127&amp;$F127,'Malaria-Equipment &amp; Other HPs'!$E$64:$E$122&amp;'Malaria-Equipment &amp; Other HPs'!$I$64:$I$122,0)),0)</f>
        <v>0</v>
      </c>
      <c r="AK127" s="625">
        <f t="shared" si="126"/>
        <v>0</v>
      </c>
      <c r="AL127" s="626">
        <f t="shared" si="127"/>
        <v>0</v>
      </c>
      <c r="AM127" s="626">
        <f t="shared" si="128"/>
        <v>0</v>
      </c>
      <c r="AN127" s="625">
        <f t="array" ref="AN127">IFERROR(INDEX('Malaria-Equipment &amp; Other HPs'!$Y$64:$Y$122,MATCH($E127&amp;$F127,'Malaria-Equipment &amp; Other HPs'!$E$64:$E$122&amp;'Malaria-Equipment &amp; Other HPs'!$I$64:$I$122,0)),0)</f>
        <v>0</v>
      </c>
      <c r="AO127" s="625">
        <f t="shared" si="129"/>
        <v>0</v>
      </c>
      <c r="AP127" s="626">
        <f t="shared" si="130"/>
        <v>0</v>
      </c>
      <c r="AQ127" s="626">
        <f t="shared" si="131"/>
        <v>0</v>
      </c>
      <c r="AR127" s="630"/>
      <c r="AS127" s="625">
        <f t="array" ref="AS127">IFERROR(INDEX('Malaria-Equipment &amp; Other HPs'!$AB$64:$AB$122,MATCH($E127&amp;$F127,'Malaria-Equipment &amp; Other HPs'!$E$64:$E$122&amp;'Malaria-Equipment &amp; Other HPs'!$I$64:$I$122,0)),0)</f>
        <v>0</v>
      </c>
      <c r="AT127" s="625">
        <f t="array" ref="AT127">IFERROR(INDEX('Malaria-Equipment &amp; Other HPs'!$AC$64:$AC$122,MATCH($E127&amp;$F127,'Malaria-Equipment &amp; Other HPs'!$E$64:$E$122&amp;'Malaria-Equipment &amp; Other HPs'!$I$64:$I$122,0)),0)</f>
        <v>0</v>
      </c>
      <c r="AU127" s="625">
        <f t="shared" si="132"/>
        <v>0</v>
      </c>
      <c r="AV127" s="626">
        <f t="shared" si="133"/>
        <v>0</v>
      </c>
      <c r="AW127" s="626">
        <f t="shared" si="134"/>
        <v>0</v>
      </c>
      <c r="AX127" s="625">
        <f t="array" ref="AX127">IFERROR(INDEX('Malaria-Equipment &amp; Other HPs'!$AD$64:$AD$122,MATCH($E127&amp;$F127,'Malaria-Equipment &amp; Other HPs'!$E$64:$E$122&amp;'Malaria-Equipment &amp; Other HPs'!$I$64:$I$122,0)),0)</f>
        <v>0</v>
      </c>
      <c r="AY127" s="625">
        <f t="shared" si="135"/>
        <v>0</v>
      </c>
      <c r="AZ127" s="626">
        <f t="shared" si="136"/>
        <v>0</v>
      </c>
      <c r="BA127" s="626">
        <f t="shared" si="137"/>
        <v>0</v>
      </c>
      <c r="BB127" s="625">
        <f t="array" ref="BB127">IFERROR(INDEX('Malaria-Equipment &amp; Other HPs'!$AE$64:$AE$122,MATCH($E127&amp;$F127,'Malaria-Equipment &amp; Other HPs'!$E$64:$E$122&amp;'Malaria-Equipment &amp; Other HPs'!$I$64:$I$122,0)),0)</f>
        <v>0</v>
      </c>
      <c r="BC127" s="625">
        <f t="shared" si="138"/>
        <v>0</v>
      </c>
      <c r="BD127" s="626">
        <f t="shared" si="139"/>
        <v>0</v>
      </c>
      <c r="BE127" s="626">
        <f t="shared" si="140"/>
        <v>0</v>
      </c>
      <c r="BF127" s="625">
        <f t="array" ref="BF127">IFERROR(INDEX('Malaria-Equipment &amp; Other HPs'!$AF$64:$AF$122,MATCH($E127&amp;$F127,'Malaria-Equipment &amp; Other HPs'!$E$64:$E$122&amp;'Malaria-Equipment &amp; Other HPs'!$I$64:$I$122,0)),0)</f>
        <v>0</v>
      </c>
      <c r="BG127" s="625">
        <f t="shared" si="141"/>
        <v>0</v>
      </c>
      <c r="BH127" s="626">
        <f t="shared" si="142"/>
        <v>0</v>
      </c>
      <c r="BI127" s="626">
        <f t="shared" si="143"/>
        <v>0</v>
      </c>
      <c r="BJ127" s="630"/>
      <c r="BK127" s="625"/>
      <c r="BL127" s="625"/>
      <c r="BM127" s="625"/>
      <c r="BN127" s="625"/>
      <c r="BO127" s="625"/>
      <c r="BP127" s="625"/>
      <c r="BQ127" s="625"/>
      <c r="BR127" s="625"/>
      <c r="BT127" s="21" t="s">
        <v>6821</v>
      </c>
    </row>
    <row r="128" spans="1:72">
      <c r="A128" s="29" t="s">
        <v>1242</v>
      </c>
      <c r="B128" s="29" t="s">
        <v>1549</v>
      </c>
      <c r="C128" s="626">
        <f>SETUP!$F$54</f>
        <v>0</v>
      </c>
      <c r="D128" s="25">
        <v>5.0999999999999996</v>
      </c>
      <c r="E128" s="26" t="s">
        <v>582</v>
      </c>
      <c r="F128" s="26" t="s">
        <v>1183</v>
      </c>
      <c r="G128" s="625" t="str">
        <f t="array" ref="G128">IFERROR(INDEX('Malaria-Equipment &amp; Other HPs'!$L$64:$L$122,MATCH($E128&amp;$F128,'Malaria-Equipment &amp; Other HPs'!$E$64:$E$122&amp;'Malaria-Equipment &amp; Other HPs'!$I$64:$I$122,0)),"")</f>
        <v/>
      </c>
      <c r="H128" s="625" t="str">
        <f t="array" ref="H128">IFERROR(INDEX('Malaria-Equipment &amp; Other HPs'!$M$64:$M$122,MATCH($E128&amp;$F128,'Malaria-Equipment &amp; Other HPs'!$E$64:$E$122&amp;'Malaria-Equipment &amp; Other HPs'!$I$64:$I$122,0)),"")</f>
        <v/>
      </c>
      <c r="I128" s="625">
        <f t="array" ref="I128">IFERROR(INDEX('Malaria-Equipment &amp; Other HPs'!$N$64:$N$122,MATCH($E128&amp;$F128,'Malaria-Equipment &amp; Other HPs'!$E$64:$E$122&amp;'Malaria-Equipment &amp; Other HPs'!$I$64:$I$122,0)),0)</f>
        <v>0</v>
      </c>
      <c r="J128" s="625">
        <f t="array" ref="J128">IFERROR(INDEX('Malaria-Equipment &amp; Other HPs'!$O$64:$O$122,MATCH($E128&amp;$F128,'Malaria-Equipment &amp; Other HPs'!$E$64:$E$122&amp;'Malaria-Equipment &amp; Other HPs'!$I$64:$I$122,0)),0)</f>
        <v>0</v>
      </c>
      <c r="K128" s="626">
        <f t="shared" si="108"/>
        <v>0</v>
      </c>
      <c r="L128" s="626">
        <f t="shared" si="109"/>
        <v>0</v>
      </c>
      <c r="M128" s="626">
        <f t="shared" si="110"/>
        <v>0</v>
      </c>
      <c r="N128" s="625">
        <f t="array" ref="N128">IFERROR(INDEX('Malaria-Equipment &amp; Other HPs'!$P$64:$P$122,MATCH($E128&amp;$F128,'Malaria-Equipment &amp; Other HPs'!$E$64:$E$122&amp;'Malaria-Equipment &amp; Other HPs'!$I$64:$I$122,0)),0)</f>
        <v>0</v>
      </c>
      <c r="O128" s="626">
        <f t="shared" si="111"/>
        <v>0</v>
      </c>
      <c r="P128" s="626">
        <f t="shared" si="112"/>
        <v>0</v>
      </c>
      <c r="Q128" s="626">
        <f t="shared" si="113"/>
        <v>0</v>
      </c>
      <c r="R128" s="625">
        <f t="array" ref="R128">IFERROR(INDEX('Malaria-Equipment &amp; Other HPs'!$Q$64:$Q$122,MATCH($E128&amp;$F128,'Malaria-Equipment &amp; Other HPs'!$E$64:$E$122&amp;'Malaria-Equipment &amp; Other HPs'!$I$64:$I$122,0)),0)</f>
        <v>0</v>
      </c>
      <c r="S128" s="626">
        <f t="shared" si="114"/>
        <v>0</v>
      </c>
      <c r="T128" s="626">
        <f t="shared" si="115"/>
        <v>0</v>
      </c>
      <c r="U128" s="626">
        <f t="shared" si="116"/>
        <v>0</v>
      </c>
      <c r="V128" s="625">
        <f t="array" ref="V128">IFERROR(INDEX('Malaria-Equipment &amp; Other HPs'!$R$64:$R$122,MATCH($E128&amp;$F128,'Malaria-Equipment &amp; Other HPs'!$E$64:$E$122&amp;'Malaria-Equipment &amp; Other HPs'!$I$64:$I$122,0)),0)</f>
        <v>0</v>
      </c>
      <c r="W128" s="626">
        <f t="shared" si="117"/>
        <v>0</v>
      </c>
      <c r="X128" s="626">
        <f t="shared" si="118"/>
        <v>0</v>
      </c>
      <c r="Y128" s="626">
        <f t="shared" si="119"/>
        <v>0</v>
      </c>
      <c r="Z128" s="630"/>
      <c r="AA128" s="625">
        <f t="array" ref="AA128">IFERROR(INDEX('Malaria-Equipment &amp; Other HPs'!$U$64:$U$122,MATCH($E128&amp;$F128,'Malaria-Equipment &amp; Other HPs'!$E$64:$E$122&amp;'Malaria-Equipment &amp; Other HPs'!$I$64:$I$122,0)),0)</f>
        <v>0</v>
      </c>
      <c r="AB128" s="625">
        <f t="array" ref="AB128">IFERROR(INDEX('Malaria-Equipment &amp; Other HPs'!$V$64:$V$122,MATCH($E128&amp;$F128,'Malaria-Equipment &amp; Other HPs'!$E$64:$E$122&amp;'Malaria-Equipment &amp; Other HPs'!$I$64:$I$122,0)),0)</f>
        <v>0</v>
      </c>
      <c r="AC128" s="625">
        <f t="shared" si="120"/>
        <v>0</v>
      </c>
      <c r="AD128" s="626">
        <f t="shared" si="121"/>
        <v>0</v>
      </c>
      <c r="AE128" s="626">
        <f t="shared" si="122"/>
        <v>0</v>
      </c>
      <c r="AF128" s="625">
        <f t="array" ref="AF128">IFERROR(INDEX('Malaria-Equipment &amp; Other HPs'!$W$64:$W$122,MATCH($E128&amp;$F128,'Malaria-Equipment &amp; Other HPs'!$E$64:$E$122&amp;'Malaria-Equipment &amp; Other HPs'!$I$64:$I$122,0)),0)</f>
        <v>0</v>
      </c>
      <c r="AG128" s="625">
        <f t="shared" si="123"/>
        <v>0</v>
      </c>
      <c r="AH128" s="626">
        <f t="shared" si="124"/>
        <v>0</v>
      </c>
      <c r="AI128" s="626">
        <f t="shared" si="125"/>
        <v>0</v>
      </c>
      <c r="AJ128" s="625">
        <f t="array" ref="AJ128">IFERROR(INDEX('Malaria-Equipment &amp; Other HPs'!$X$64:$X$122,MATCH($E128&amp;$F128,'Malaria-Equipment &amp; Other HPs'!$E$64:$E$122&amp;'Malaria-Equipment &amp; Other HPs'!$I$64:$I$122,0)),0)</f>
        <v>0</v>
      </c>
      <c r="AK128" s="625">
        <f t="shared" si="126"/>
        <v>0</v>
      </c>
      <c r="AL128" s="626">
        <f t="shared" si="127"/>
        <v>0</v>
      </c>
      <c r="AM128" s="626">
        <f t="shared" si="128"/>
        <v>0</v>
      </c>
      <c r="AN128" s="625">
        <f t="array" ref="AN128">IFERROR(INDEX('Malaria-Equipment &amp; Other HPs'!$Y$64:$Y$122,MATCH($E128&amp;$F128,'Malaria-Equipment &amp; Other HPs'!$E$64:$E$122&amp;'Malaria-Equipment &amp; Other HPs'!$I$64:$I$122,0)),0)</f>
        <v>0</v>
      </c>
      <c r="AO128" s="625">
        <f t="shared" si="129"/>
        <v>0</v>
      </c>
      <c r="AP128" s="626">
        <f t="shared" si="130"/>
        <v>0</v>
      </c>
      <c r="AQ128" s="626">
        <f t="shared" si="131"/>
        <v>0</v>
      </c>
      <c r="AR128" s="630"/>
      <c r="AS128" s="625">
        <f t="array" ref="AS128">IFERROR(INDEX('Malaria-Equipment &amp; Other HPs'!$AB$64:$AB$122,MATCH($E128&amp;$F128,'Malaria-Equipment &amp; Other HPs'!$E$64:$E$122&amp;'Malaria-Equipment &amp; Other HPs'!$I$64:$I$122,0)),0)</f>
        <v>0</v>
      </c>
      <c r="AT128" s="625">
        <f t="array" ref="AT128">IFERROR(INDEX('Malaria-Equipment &amp; Other HPs'!$AC$64:$AC$122,MATCH($E128&amp;$F128,'Malaria-Equipment &amp; Other HPs'!$E$64:$E$122&amp;'Malaria-Equipment &amp; Other HPs'!$I$64:$I$122,0)),0)</f>
        <v>0</v>
      </c>
      <c r="AU128" s="625">
        <f t="shared" si="132"/>
        <v>0</v>
      </c>
      <c r="AV128" s="626">
        <f t="shared" si="133"/>
        <v>0</v>
      </c>
      <c r="AW128" s="626">
        <f t="shared" si="134"/>
        <v>0</v>
      </c>
      <c r="AX128" s="625">
        <f t="array" ref="AX128">IFERROR(INDEX('Malaria-Equipment &amp; Other HPs'!$AD$64:$AD$122,MATCH($E128&amp;$F128,'Malaria-Equipment &amp; Other HPs'!$E$64:$E$122&amp;'Malaria-Equipment &amp; Other HPs'!$I$64:$I$122,0)),0)</f>
        <v>0</v>
      </c>
      <c r="AY128" s="625">
        <f t="shared" si="135"/>
        <v>0</v>
      </c>
      <c r="AZ128" s="626">
        <f t="shared" si="136"/>
        <v>0</v>
      </c>
      <c r="BA128" s="626">
        <f t="shared" si="137"/>
        <v>0</v>
      </c>
      <c r="BB128" s="625">
        <f t="array" ref="BB128">IFERROR(INDEX('Malaria-Equipment &amp; Other HPs'!$AE$64:$AE$122,MATCH($E128&amp;$F128,'Malaria-Equipment &amp; Other HPs'!$E$64:$E$122&amp;'Malaria-Equipment &amp; Other HPs'!$I$64:$I$122,0)),0)</f>
        <v>0</v>
      </c>
      <c r="BC128" s="625">
        <f t="shared" si="138"/>
        <v>0</v>
      </c>
      <c r="BD128" s="626">
        <f t="shared" si="139"/>
        <v>0</v>
      </c>
      <c r="BE128" s="626">
        <f t="shared" si="140"/>
        <v>0</v>
      </c>
      <c r="BF128" s="625">
        <f t="array" ref="BF128">IFERROR(INDEX('Malaria-Equipment &amp; Other HPs'!$AF$64:$AF$122,MATCH($E128&amp;$F128,'Malaria-Equipment &amp; Other HPs'!$E$64:$E$122&amp;'Malaria-Equipment &amp; Other HPs'!$I$64:$I$122,0)),0)</f>
        <v>0</v>
      </c>
      <c r="BG128" s="625">
        <f t="shared" si="141"/>
        <v>0</v>
      </c>
      <c r="BH128" s="626">
        <f t="shared" si="142"/>
        <v>0</v>
      </c>
      <c r="BI128" s="626">
        <f t="shared" si="143"/>
        <v>0</v>
      </c>
      <c r="BJ128" s="630"/>
      <c r="BK128" s="625"/>
      <c r="BL128" s="625"/>
      <c r="BM128" s="625"/>
      <c r="BN128" s="625"/>
      <c r="BO128" s="625"/>
      <c r="BP128" s="625"/>
      <c r="BQ128" s="625"/>
      <c r="BR128" s="625"/>
      <c r="BT128" s="21" t="s">
        <v>6821</v>
      </c>
    </row>
    <row r="129" spans="1:72">
      <c r="A129" s="29" t="s">
        <v>1242</v>
      </c>
      <c r="B129" s="29" t="s">
        <v>1549</v>
      </c>
      <c r="C129" s="626">
        <f>SETUP!$F$54</f>
        <v>0</v>
      </c>
      <c r="D129" s="25">
        <v>5.0999999999999996</v>
      </c>
      <c r="E129" s="26" t="s">
        <v>582</v>
      </c>
      <c r="F129" s="26" t="s">
        <v>846</v>
      </c>
      <c r="G129" s="625" t="str">
        <f t="array" ref="G129">IFERROR(INDEX('Malaria-Equipment &amp; Other HPs'!$L$64:$L$122,MATCH($E129&amp;$F129,'Malaria-Equipment &amp; Other HPs'!$E$64:$E$122&amp;'Malaria-Equipment &amp; Other HPs'!$I$64:$I$122,0)),"")</f>
        <v/>
      </c>
      <c r="H129" s="625" t="str">
        <f t="array" ref="H129">IFERROR(INDEX('Malaria-Equipment &amp; Other HPs'!$M$64:$M$122,MATCH($E129&amp;$F129,'Malaria-Equipment &amp; Other HPs'!$E$64:$E$122&amp;'Malaria-Equipment &amp; Other HPs'!$I$64:$I$122,0)),"")</f>
        <v/>
      </c>
      <c r="I129" s="625">
        <f t="array" ref="I129">IFERROR(INDEX('Malaria-Equipment &amp; Other HPs'!$N$64:$N$122,MATCH($E129&amp;$F129,'Malaria-Equipment &amp; Other HPs'!$E$64:$E$122&amp;'Malaria-Equipment &amp; Other HPs'!$I$64:$I$122,0)),0)</f>
        <v>0</v>
      </c>
      <c r="J129" s="625">
        <f t="array" ref="J129">IFERROR(INDEX('Malaria-Equipment &amp; Other HPs'!$O$64:$O$122,MATCH($E129&amp;$F129,'Malaria-Equipment &amp; Other HPs'!$E$64:$E$122&amp;'Malaria-Equipment &amp; Other HPs'!$I$64:$I$122,0)),0)</f>
        <v>0</v>
      </c>
      <c r="K129" s="626">
        <f t="shared" si="108"/>
        <v>0</v>
      </c>
      <c r="L129" s="626">
        <f t="shared" si="109"/>
        <v>0</v>
      </c>
      <c r="M129" s="626">
        <f t="shared" si="110"/>
        <v>0</v>
      </c>
      <c r="N129" s="625">
        <f t="array" ref="N129">IFERROR(INDEX('Malaria-Equipment &amp; Other HPs'!$P$64:$P$122,MATCH($E129&amp;$F129,'Malaria-Equipment &amp; Other HPs'!$E$64:$E$122&amp;'Malaria-Equipment &amp; Other HPs'!$I$64:$I$122,0)),0)</f>
        <v>0</v>
      </c>
      <c r="O129" s="626">
        <f t="shared" si="111"/>
        <v>0</v>
      </c>
      <c r="P129" s="626">
        <f t="shared" si="112"/>
        <v>0</v>
      </c>
      <c r="Q129" s="626">
        <f t="shared" si="113"/>
        <v>0</v>
      </c>
      <c r="R129" s="625">
        <f t="array" ref="R129">IFERROR(INDEX('Malaria-Equipment &amp; Other HPs'!$Q$64:$Q$122,MATCH($E129&amp;$F129,'Malaria-Equipment &amp; Other HPs'!$E$64:$E$122&amp;'Malaria-Equipment &amp; Other HPs'!$I$64:$I$122,0)),0)</f>
        <v>0</v>
      </c>
      <c r="S129" s="626">
        <f t="shared" si="114"/>
        <v>0</v>
      </c>
      <c r="T129" s="626">
        <f t="shared" si="115"/>
        <v>0</v>
      </c>
      <c r="U129" s="626">
        <f t="shared" si="116"/>
        <v>0</v>
      </c>
      <c r="V129" s="625">
        <f t="array" ref="V129">IFERROR(INDEX('Malaria-Equipment &amp; Other HPs'!$R$64:$R$122,MATCH($E129&amp;$F129,'Malaria-Equipment &amp; Other HPs'!$E$64:$E$122&amp;'Malaria-Equipment &amp; Other HPs'!$I$64:$I$122,0)),0)</f>
        <v>0</v>
      </c>
      <c r="W129" s="626">
        <f t="shared" si="117"/>
        <v>0</v>
      </c>
      <c r="X129" s="626">
        <f t="shared" si="118"/>
        <v>0</v>
      </c>
      <c r="Y129" s="626">
        <f t="shared" si="119"/>
        <v>0</v>
      </c>
      <c r="Z129" s="630"/>
      <c r="AA129" s="625">
        <f t="array" ref="AA129">IFERROR(INDEX('Malaria-Equipment &amp; Other HPs'!$U$64:$U$122,MATCH($E129&amp;$F129,'Malaria-Equipment &amp; Other HPs'!$E$64:$E$122&amp;'Malaria-Equipment &amp; Other HPs'!$I$64:$I$122,0)),0)</f>
        <v>0</v>
      </c>
      <c r="AB129" s="625">
        <f t="array" ref="AB129">IFERROR(INDEX('Malaria-Equipment &amp; Other HPs'!$V$64:$V$122,MATCH($E129&amp;$F129,'Malaria-Equipment &amp; Other HPs'!$E$64:$E$122&amp;'Malaria-Equipment &amp; Other HPs'!$I$64:$I$122,0)),0)</f>
        <v>0</v>
      </c>
      <c r="AC129" s="625">
        <f t="shared" si="120"/>
        <v>0</v>
      </c>
      <c r="AD129" s="626">
        <f t="shared" si="121"/>
        <v>0</v>
      </c>
      <c r="AE129" s="626">
        <f t="shared" si="122"/>
        <v>0</v>
      </c>
      <c r="AF129" s="625">
        <f t="array" ref="AF129">IFERROR(INDEX('Malaria-Equipment &amp; Other HPs'!$W$64:$W$122,MATCH($E129&amp;$F129,'Malaria-Equipment &amp; Other HPs'!$E$64:$E$122&amp;'Malaria-Equipment &amp; Other HPs'!$I$64:$I$122,0)),0)</f>
        <v>0</v>
      </c>
      <c r="AG129" s="625">
        <f t="shared" si="123"/>
        <v>0</v>
      </c>
      <c r="AH129" s="626">
        <f t="shared" si="124"/>
        <v>0</v>
      </c>
      <c r="AI129" s="626">
        <f t="shared" si="125"/>
        <v>0</v>
      </c>
      <c r="AJ129" s="625">
        <f t="array" ref="AJ129">IFERROR(INDEX('Malaria-Equipment &amp; Other HPs'!$X$64:$X$122,MATCH($E129&amp;$F129,'Malaria-Equipment &amp; Other HPs'!$E$64:$E$122&amp;'Malaria-Equipment &amp; Other HPs'!$I$64:$I$122,0)),0)</f>
        <v>0</v>
      </c>
      <c r="AK129" s="625">
        <f t="shared" si="126"/>
        <v>0</v>
      </c>
      <c r="AL129" s="626">
        <f t="shared" si="127"/>
        <v>0</v>
      </c>
      <c r="AM129" s="626">
        <f t="shared" si="128"/>
        <v>0</v>
      </c>
      <c r="AN129" s="625">
        <f t="array" ref="AN129">IFERROR(INDEX('Malaria-Equipment &amp; Other HPs'!$Y$64:$Y$122,MATCH($E129&amp;$F129,'Malaria-Equipment &amp; Other HPs'!$E$64:$E$122&amp;'Malaria-Equipment &amp; Other HPs'!$I$64:$I$122,0)),0)</f>
        <v>0</v>
      </c>
      <c r="AO129" s="625">
        <f t="shared" si="129"/>
        <v>0</v>
      </c>
      <c r="AP129" s="626">
        <f t="shared" si="130"/>
        <v>0</v>
      </c>
      <c r="AQ129" s="626">
        <f t="shared" si="131"/>
        <v>0</v>
      </c>
      <c r="AR129" s="630"/>
      <c r="AS129" s="625">
        <f t="array" ref="AS129">IFERROR(INDEX('Malaria-Equipment &amp; Other HPs'!$AB$64:$AB$122,MATCH($E129&amp;$F129,'Malaria-Equipment &amp; Other HPs'!$E$64:$E$122&amp;'Malaria-Equipment &amp; Other HPs'!$I$64:$I$122,0)),0)</f>
        <v>0</v>
      </c>
      <c r="AT129" s="625">
        <f t="array" ref="AT129">IFERROR(INDEX('Malaria-Equipment &amp; Other HPs'!$AC$64:$AC$122,MATCH($E129&amp;$F129,'Malaria-Equipment &amp; Other HPs'!$E$64:$E$122&amp;'Malaria-Equipment &amp; Other HPs'!$I$64:$I$122,0)),0)</f>
        <v>0</v>
      </c>
      <c r="AU129" s="625">
        <f t="shared" si="132"/>
        <v>0</v>
      </c>
      <c r="AV129" s="626">
        <f t="shared" si="133"/>
        <v>0</v>
      </c>
      <c r="AW129" s="626">
        <f t="shared" si="134"/>
        <v>0</v>
      </c>
      <c r="AX129" s="625">
        <f t="array" ref="AX129">IFERROR(INDEX('Malaria-Equipment &amp; Other HPs'!$AD$64:$AD$122,MATCH($E129&amp;$F129,'Malaria-Equipment &amp; Other HPs'!$E$64:$E$122&amp;'Malaria-Equipment &amp; Other HPs'!$I$64:$I$122,0)),0)</f>
        <v>0</v>
      </c>
      <c r="AY129" s="625">
        <f t="shared" si="135"/>
        <v>0</v>
      </c>
      <c r="AZ129" s="626">
        <f t="shared" si="136"/>
        <v>0</v>
      </c>
      <c r="BA129" s="626">
        <f t="shared" si="137"/>
        <v>0</v>
      </c>
      <c r="BB129" s="625">
        <f t="array" ref="BB129">IFERROR(INDEX('Malaria-Equipment &amp; Other HPs'!$AE$64:$AE$122,MATCH($E129&amp;$F129,'Malaria-Equipment &amp; Other HPs'!$E$64:$E$122&amp;'Malaria-Equipment &amp; Other HPs'!$I$64:$I$122,0)),0)</f>
        <v>0</v>
      </c>
      <c r="BC129" s="625">
        <f t="shared" si="138"/>
        <v>0</v>
      </c>
      <c r="BD129" s="626">
        <f t="shared" si="139"/>
        <v>0</v>
      </c>
      <c r="BE129" s="626">
        <f t="shared" si="140"/>
        <v>0</v>
      </c>
      <c r="BF129" s="625">
        <f t="array" ref="BF129">IFERROR(INDEX('Malaria-Equipment &amp; Other HPs'!$AF$64:$AF$122,MATCH($E129&amp;$F129,'Malaria-Equipment &amp; Other HPs'!$E$64:$E$122&amp;'Malaria-Equipment &amp; Other HPs'!$I$64:$I$122,0)),0)</f>
        <v>0</v>
      </c>
      <c r="BG129" s="625">
        <f t="shared" si="141"/>
        <v>0</v>
      </c>
      <c r="BH129" s="626">
        <f t="shared" si="142"/>
        <v>0</v>
      </c>
      <c r="BI129" s="626">
        <f t="shared" si="143"/>
        <v>0</v>
      </c>
      <c r="BJ129" s="630"/>
      <c r="BK129" s="625"/>
      <c r="BL129" s="625"/>
      <c r="BM129" s="625"/>
      <c r="BN129" s="625"/>
      <c r="BO129" s="625"/>
      <c r="BP129" s="625"/>
      <c r="BQ129" s="625"/>
      <c r="BR129" s="625"/>
      <c r="BT129" s="21" t="s">
        <v>6821</v>
      </c>
    </row>
    <row r="130" spans="1:72">
      <c r="A130" s="29" t="s">
        <v>1242</v>
      </c>
      <c r="B130" s="29" t="s">
        <v>1549</v>
      </c>
      <c r="C130" s="626">
        <f>SETUP!$F$54</f>
        <v>0</v>
      </c>
      <c r="D130" s="25">
        <v>5.0999999999999996</v>
      </c>
      <c r="E130" s="26" t="s">
        <v>582</v>
      </c>
      <c r="F130" s="26" t="s">
        <v>1184</v>
      </c>
      <c r="G130" s="625" t="str">
        <f t="array" ref="G130">IFERROR(INDEX('Malaria-Equipment &amp; Other HPs'!$L$64:$L$122,MATCH($E130&amp;$F130,'Malaria-Equipment &amp; Other HPs'!$E$64:$E$122&amp;'Malaria-Equipment &amp; Other HPs'!$I$64:$I$122,0)),"")</f>
        <v/>
      </c>
      <c r="H130" s="625" t="str">
        <f t="array" ref="H130">IFERROR(INDEX('Malaria-Equipment &amp; Other HPs'!$M$64:$M$122,MATCH($E130&amp;$F130,'Malaria-Equipment &amp; Other HPs'!$E$64:$E$122&amp;'Malaria-Equipment &amp; Other HPs'!$I$64:$I$122,0)),"")</f>
        <v/>
      </c>
      <c r="I130" s="625">
        <f t="array" ref="I130">IFERROR(INDEX('Malaria-Equipment &amp; Other HPs'!$N$64:$N$122,MATCH($E130&amp;$F130,'Malaria-Equipment &amp; Other HPs'!$E$64:$E$122&amp;'Malaria-Equipment &amp; Other HPs'!$I$64:$I$122,0)),0)</f>
        <v>0</v>
      </c>
      <c r="J130" s="625">
        <f t="array" ref="J130">IFERROR(INDEX('Malaria-Equipment &amp; Other HPs'!$O$64:$O$122,MATCH($E130&amp;$F130,'Malaria-Equipment &amp; Other HPs'!$E$64:$E$122&amp;'Malaria-Equipment &amp; Other HPs'!$I$64:$I$122,0)),0)</f>
        <v>0</v>
      </c>
      <c r="K130" s="626">
        <f t="shared" si="108"/>
        <v>0</v>
      </c>
      <c r="L130" s="626">
        <f t="shared" si="109"/>
        <v>0</v>
      </c>
      <c r="M130" s="626">
        <f t="shared" si="110"/>
        <v>0</v>
      </c>
      <c r="N130" s="625">
        <f t="array" ref="N130">IFERROR(INDEX('Malaria-Equipment &amp; Other HPs'!$P$64:$P$122,MATCH($E130&amp;$F130,'Malaria-Equipment &amp; Other HPs'!$E$64:$E$122&amp;'Malaria-Equipment &amp; Other HPs'!$I$64:$I$122,0)),0)</f>
        <v>0</v>
      </c>
      <c r="O130" s="626">
        <f t="shared" si="111"/>
        <v>0</v>
      </c>
      <c r="P130" s="626">
        <f t="shared" si="112"/>
        <v>0</v>
      </c>
      <c r="Q130" s="626">
        <f t="shared" si="113"/>
        <v>0</v>
      </c>
      <c r="R130" s="625">
        <f t="array" ref="R130">IFERROR(INDEX('Malaria-Equipment &amp; Other HPs'!$Q$64:$Q$122,MATCH($E130&amp;$F130,'Malaria-Equipment &amp; Other HPs'!$E$64:$E$122&amp;'Malaria-Equipment &amp; Other HPs'!$I$64:$I$122,0)),0)</f>
        <v>0</v>
      </c>
      <c r="S130" s="626">
        <f t="shared" si="114"/>
        <v>0</v>
      </c>
      <c r="T130" s="626">
        <f t="shared" si="115"/>
        <v>0</v>
      </c>
      <c r="U130" s="626">
        <f t="shared" si="116"/>
        <v>0</v>
      </c>
      <c r="V130" s="625">
        <f t="array" ref="V130">IFERROR(INDEX('Malaria-Equipment &amp; Other HPs'!$R$64:$R$122,MATCH($E130&amp;$F130,'Malaria-Equipment &amp; Other HPs'!$E$64:$E$122&amp;'Malaria-Equipment &amp; Other HPs'!$I$64:$I$122,0)),0)</f>
        <v>0</v>
      </c>
      <c r="W130" s="626">
        <f t="shared" si="117"/>
        <v>0</v>
      </c>
      <c r="X130" s="626">
        <f t="shared" si="118"/>
        <v>0</v>
      </c>
      <c r="Y130" s="626">
        <f t="shared" si="119"/>
        <v>0</v>
      </c>
      <c r="Z130" s="630"/>
      <c r="AA130" s="625">
        <f t="array" ref="AA130">IFERROR(INDEX('Malaria-Equipment &amp; Other HPs'!$U$64:$U$122,MATCH($E130&amp;$F130,'Malaria-Equipment &amp; Other HPs'!$E$64:$E$122&amp;'Malaria-Equipment &amp; Other HPs'!$I$64:$I$122,0)),0)</f>
        <v>0</v>
      </c>
      <c r="AB130" s="625">
        <f t="array" ref="AB130">IFERROR(INDEX('Malaria-Equipment &amp; Other HPs'!$V$64:$V$122,MATCH($E130&amp;$F130,'Malaria-Equipment &amp; Other HPs'!$E$64:$E$122&amp;'Malaria-Equipment &amp; Other HPs'!$I$64:$I$122,0)),0)</f>
        <v>0</v>
      </c>
      <c r="AC130" s="625">
        <f t="shared" si="120"/>
        <v>0</v>
      </c>
      <c r="AD130" s="626">
        <f t="shared" si="121"/>
        <v>0</v>
      </c>
      <c r="AE130" s="626">
        <f t="shared" si="122"/>
        <v>0</v>
      </c>
      <c r="AF130" s="625">
        <f t="array" ref="AF130">IFERROR(INDEX('Malaria-Equipment &amp; Other HPs'!$W$64:$W$122,MATCH($E130&amp;$F130,'Malaria-Equipment &amp; Other HPs'!$E$64:$E$122&amp;'Malaria-Equipment &amp; Other HPs'!$I$64:$I$122,0)),0)</f>
        <v>0</v>
      </c>
      <c r="AG130" s="625">
        <f t="shared" si="123"/>
        <v>0</v>
      </c>
      <c r="AH130" s="626">
        <f t="shared" si="124"/>
        <v>0</v>
      </c>
      <c r="AI130" s="626">
        <f t="shared" si="125"/>
        <v>0</v>
      </c>
      <c r="AJ130" s="625">
        <f t="array" ref="AJ130">IFERROR(INDEX('Malaria-Equipment &amp; Other HPs'!$X$64:$X$122,MATCH($E130&amp;$F130,'Malaria-Equipment &amp; Other HPs'!$E$64:$E$122&amp;'Malaria-Equipment &amp; Other HPs'!$I$64:$I$122,0)),0)</f>
        <v>0</v>
      </c>
      <c r="AK130" s="625">
        <f t="shared" si="126"/>
        <v>0</v>
      </c>
      <c r="AL130" s="626">
        <f t="shared" si="127"/>
        <v>0</v>
      </c>
      <c r="AM130" s="626">
        <f t="shared" si="128"/>
        <v>0</v>
      </c>
      <c r="AN130" s="625">
        <f t="array" ref="AN130">IFERROR(INDEX('Malaria-Equipment &amp; Other HPs'!$Y$64:$Y$122,MATCH($E130&amp;$F130,'Malaria-Equipment &amp; Other HPs'!$E$64:$E$122&amp;'Malaria-Equipment &amp; Other HPs'!$I$64:$I$122,0)),0)</f>
        <v>0</v>
      </c>
      <c r="AO130" s="625">
        <f t="shared" si="129"/>
        <v>0</v>
      </c>
      <c r="AP130" s="626">
        <f t="shared" si="130"/>
        <v>0</v>
      </c>
      <c r="AQ130" s="626">
        <f t="shared" si="131"/>
        <v>0</v>
      </c>
      <c r="AR130" s="630"/>
      <c r="AS130" s="625">
        <f t="array" ref="AS130">IFERROR(INDEX('Malaria-Equipment &amp; Other HPs'!$AB$64:$AB$122,MATCH($E130&amp;$F130,'Malaria-Equipment &amp; Other HPs'!$E$64:$E$122&amp;'Malaria-Equipment &amp; Other HPs'!$I$64:$I$122,0)),0)</f>
        <v>0</v>
      </c>
      <c r="AT130" s="625">
        <f t="array" ref="AT130">IFERROR(INDEX('Malaria-Equipment &amp; Other HPs'!$AC$64:$AC$122,MATCH($E130&amp;$F130,'Malaria-Equipment &amp; Other HPs'!$E$64:$E$122&amp;'Malaria-Equipment &amp; Other HPs'!$I$64:$I$122,0)),0)</f>
        <v>0</v>
      </c>
      <c r="AU130" s="625">
        <f t="shared" si="132"/>
        <v>0</v>
      </c>
      <c r="AV130" s="626">
        <f t="shared" si="133"/>
        <v>0</v>
      </c>
      <c r="AW130" s="626">
        <f t="shared" si="134"/>
        <v>0</v>
      </c>
      <c r="AX130" s="625">
        <f t="array" ref="AX130">IFERROR(INDEX('Malaria-Equipment &amp; Other HPs'!$AD$64:$AD$122,MATCH($E130&amp;$F130,'Malaria-Equipment &amp; Other HPs'!$E$64:$E$122&amp;'Malaria-Equipment &amp; Other HPs'!$I$64:$I$122,0)),0)</f>
        <v>0</v>
      </c>
      <c r="AY130" s="625">
        <f t="shared" si="135"/>
        <v>0</v>
      </c>
      <c r="AZ130" s="626">
        <f t="shared" si="136"/>
        <v>0</v>
      </c>
      <c r="BA130" s="626">
        <f t="shared" si="137"/>
        <v>0</v>
      </c>
      <c r="BB130" s="625">
        <f t="array" ref="BB130">IFERROR(INDEX('Malaria-Equipment &amp; Other HPs'!$AE$64:$AE$122,MATCH($E130&amp;$F130,'Malaria-Equipment &amp; Other HPs'!$E$64:$E$122&amp;'Malaria-Equipment &amp; Other HPs'!$I$64:$I$122,0)),0)</f>
        <v>0</v>
      </c>
      <c r="BC130" s="625">
        <f t="shared" si="138"/>
        <v>0</v>
      </c>
      <c r="BD130" s="626">
        <f t="shared" si="139"/>
        <v>0</v>
      </c>
      <c r="BE130" s="626">
        <f t="shared" si="140"/>
        <v>0</v>
      </c>
      <c r="BF130" s="625">
        <f t="array" ref="BF130">IFERROR(INDEX('Malaria-Equipment &amp; Other HPs'!$AF$64:$AF$122,MATCH($E130&amp;$F130,'Malaria-Equipment &amp; Other HPs'!$E$64:$E$122&amp;'Malaria-Equipment &amp; Other HPs'!$I$64:$I$122,0)),0)</f>
        <v>0</v>
      </c>
      <c r="BG130" s="625">
        <f t="shared" si="141"/>
        <v>0</v>
      </c>
      <c r="BH130" s="626">
        <f t="shared" si="142"/>
        <v>0</v>
      </c>
      <c r="BI130" s="626">
        <f t="shared" si="143"/>
        <v>0</v>
      </c>
      <c r="BJ130" s="630"/>
      <c r="BK130" s="625"/>
      <c r="BL130" s="625"/>
      <c r="BM130" s="625"/>
      <c r="BN130" s="625"/>
      <c r="BO130" s="625"/>
      <c r="BP130" s="625"/>
      <c r="BQ130" s="625"/>
      <c r="BR130" s="625"/>
      <c r="BT130" s="21" t="s">
        <v>6821</v>
      </c>
    </row>
    <row r="131" spans="1:72">
      <c r="A131" s="29" t="s">
        <v>1242</v>
      </c>
      <c r="B131" s="29" t="s">
        <v>1549</v>
      </c>
      <c r="C131" s="626">
        <f>SETUP!$F$54</f>
        <v>0</v>
      </c>
      <c r="D131" s="25">
        <v>5.0999999999999996</v>
      </c>
      <c r="E131" s="26" t="s">
        <v>582</v>
      </c>
      <c r="F131" s="26" t="s">
        <v>847</v>
      </c>
      <c r="G131" s="625" t="str">
        <f t="array" ref="G131">IFERROR(INDEX('Malaria-Equipment &amp; Other HPs'!$L$64:$L$122,MATCH($E131&amp;$F131,'Malaria-Equipment &amp; Other HPs'!$E$64:$E$122&amp;'Malaria-Equipment &amp; Other HPs'!$I$64:$I$122,0)),"")</f>
        <v/>
      </c>
      <c r="H131" s="625" t="str">
        <f t="array" ref="H131">IFERROR(INDEX('Malaria-Equipment &amp; Other HPs'!$M$64:$M$122,MATCH($E131&amp;$F131,'Malaria-Equipment &amp; Other HPs'!$E$64:$E$122&amp;'Malaria-Equipment &amp; Other HPs'!$I$64:$I$122,0)),"")</f>
        <v/>
      </c>
      <c r="I131" s="625">
        <f t="array" ref="I131">IFERROR(INDEX('Malaria-Equipment &amp; Other HPs'!$N$64:$N$122,MATCH($E131&amp;$F131,'Malaria-Equipment &amp; Other HPs'!$E$64:$E$122&amp;'Malaria-Equipment &amp; Other HPs'!$I$64:$I$122,0)),0)</f>
        <v>0</v>
      </c>
      <c r="J131" s="625">
        <f t="array" ref="J131">IFERROR(INDEX('Malaria-Equipment &amp; Other HPs'!$O$64:$O$122,MATCH($E131&amp;$F131,'Malaria-Equipment &amp; Other HPs'!$E$64:$E$122&amp;'Malaria-Equipment &amp; Other HPs'!$I$64:$I$122,0)),0)</f>
        <v>0</v>
      </c>
      <c r="K131" s="626">
        <f t="shared" si="108"/>
        <v>0</v>
      </c>
      <c r="L131" s="626">
        <f t="shared" si="109"/>
        <v>0</v>
      </c>
      <c r="M131" s="626">
        <f t="shared" si="110"/>
        <v>0</v>
      </c>
      <c r="N131" s="625">
        <f t="array" ref="N131">IFERROR(INDEX('Malaria-Equipment &amp; Other HPs'!$P$64:$P$122,MATCH($E131&amp;$F131,'Malaria-Equipment &amp; Other HPs'!$E$64:$E$122&amp;'Malaria-Equipment &amp; Other HPs'!$I$64:$I$122,0)),0)</f>
        <v>0</v>
      </c>
      <c r="O131" s="626">
        <f t="shared" si="111"/>
        <v>0</v>
      </c>
      <c r="P131" s="626">
        <f t="shared" si="112"/>
        <v>0</v>
      </c>
      <c r="Q131" s="626">
        <f t="shared" si="113"/>
        <v>0</v>
      </c>
      <c r="R131" s="625">
        <f t="array" ref="R131">IFERROR(INDEX('Malaria-Equipment &amp; Other HPs'!$Q$64:$Q$122,MATCH($E131&amp;$F131,'Malaria-Equipment &amp; Other HPs'!$E$64:$E$122&amp;'Malaria-Equipment &amp; Other HPs'!$I$64:$I$122,0)),0)</f>
        <v>0</v>
      </c>
      <c r="S131" s="626">
        <f t="shared" si="114"/>
        <v>0</v>
      </c>
      <c r="T131" s="626">
        <f t="shared" si="115"/>
        <v>0</v>
      </c>
      <c r="U131" s="626">
        <f t="shared" si="116"/>
        <v>0</v>
      </c>
      <c r="V131" s="625">
        <f t="array" ref="V131">IFERROR(INDEX('Malaria-Equipment &amp; Other HPs'!$R$64:$R$122,MATCH($E131&amp;$F131,'Malaria-Equipment &amp; Other HPs'!$E$64:$E$122&amp;'Malaria-Equipment &amp; Other HPs'!$I$64:$I$122,0)),0)</f>
        <v>0</v>
      </c>
      <c r="W131" s="626">
        <f t="shared" si="117"/>
        <v>0</v>
      </c>
      <c r="X131" s="626">
        <f t="shared" si="118"/>
        <v>0</v>
      </c>
      <c r="Y131" s="626">
        <f t="shared" si="119"/>
        <v>0</v>
      </c>
      <c r="Z131" s="630"/>
      <c r="AA131" s="625">
        <f t="array" ref="AA131">IFERROR(INDEX('Malaria-Equipment &amp; Other HPs'!$U$64:$U$122,MATCH($E131&amp;$F131,'Malaria-Equipment &amp; Other HPs'!$E$64:$E$122&amp;'Malaria-Equipment &amp; Other HPs'!$I$64:$I$122,0)),0)</f>
        <v>0</v>
      </c>
      <c r="AB131" s="625">
        <f t="array" ref="AB131">IFERROR(INDEX('Malaria-Equipment &amp; Other HPs'!$V$64:$V$122,MATCH($E131&amp;$F131,'Malaria-Equipment &amp; Other HPs'!$E$64:$E$122&amp;'Malaria-Equipment &amp; Other HPs'!$I$64:$I$122,0)),0)</f>
        <v>0</v>
      </c>
      <c r="AC131" s="625">
        <f t="shared" si="120"/>
        <v>0</v>
      </c>
      <c r="AD131" s="626">
        <f t="shared" si="121"/>
        <v>0</v>
      </c>
      <c r="AE131" s="626">
        <f t="shared" si="122"/>
        <v>0</v>
      </c>
      <c r="AF131" s="625">
        <f t="array" ref="AF131">IFERROR(INDEX('Malaria-Equipment &amp; Other HPs'!$W$64:$W$122,MATCH($E131&amp;$F131,'Malaria-Equipment &amp; Other HPs'!$E$64:$E$122&amp;'Malaria-Equipment &amp; Other HPs'!$I$64:$I$122,0)),0)</f>
        <v>0</v>
      </c>
      <c r="AG131" s="625">
        <f t="shared" si="123"/>
        <v>0</v>
      </c>
      <c r="AH131" s="626">
        <f t="shared" si="124"/>
        <v>0</v>
      </c>
      <c r="AI131" s="626">
        <f t="shared" si="125"/>
        <v>0</v>
      </c>
      <c r="AJ131" s="625">
        <f t="array" ref="AJ131">IFERROR(INDEX('Malaria-Equipment &amp; Other HPs'!$X$64:$X$122,MATCH($E131&amp;$F131,'Malaria-Equipment &amp; Other HPs'!$E$64:$E$122&amp;'Malaria-Equipment &amp; Other HPs'!$I$64:$I$122,0)),0)</f>
        <v>0</v>
      </c>
      <c r="AK131" s="625">
        <f t="shared" si="126"/>
        <v>0</v>
      </c>
      <c r="AL131" s="626">
        <f t="shared" si="127"/>
        <v>0</v>
      </c>
      <c r="AM131" s="626">
        <f t="shared" si="128"/>
        <v>0</v>
      </c>
      <c r="AN131" s="625">
        <f t="array" ref="AN131">IFERROR(INDEX('Malaria-Equipment &amp; Other HPs'!$Y$64:$Y$122,MATCH($E131&amp;$F131,'Malaria-Equipment &amp; Other HPs'!$E$64:$E$122&amp;'Malaria-Equipment &amp; Other HPs'!$I$64:$I$122,0)),0)</f>
        <v>0</v>
      </c>
      <c r="AO131" s="625">
        <f t="shared" si="129"/>
        <v>0</v>
      </c>
      <c r="AP131" s="626">
        <f t="shared" si="130"/>
        <v>0</v>
      </c>
      <c r="AQ131" s="626">
        <f t="shared" si="131"/>
        <v>0</v>
      </c>
      <c r="AR131" s="630"/>
      <c r="AS131" s="625">
        <f t="array" ref="AS131">IFERROR(INDEX('Malaria-Equipment &amp; Other HPs'!$AB$64:$AB$122,MATCH($E131&amp;$F131,'Malaria-Equipment &amp; Other HPs'!$E$64:$E$122&amp;'Malaria-Equipment &amp; Other HPs'!$I$64:$I$122,0)),0)</f>
        <v>0</v>
      </c>
      <c r="AT131" s="625">
        <f t="array" ref="AT131">IFERROR(INDEX('Malaria-Equipment &amp; Other HPs'!$AC$64:$AC$122,MATCH($E131&amp;$F131,'Malaria-Equipment &amp; Other HPs'!$E$64:$E$122&amp;'Malaria-Equipment &amp; Other HPs'!$I$64:$I$122,0)),0)</f>
        <v>0</v>
      </c>
      <c r="AU131" s="625">
        <f t="shared" si="132"/>
        <v>0</v>
      </c>
      <c r="AV131" s="626">
        <f t="shared" si="133"/>
        <v>0</v>
      </c>
      <c r="AW131" s="626">
        <f t="shared" si="134"/>
        <v>0</v>
      </c>
      <c r="AX131" s="625">
        <f t="array" ref="AX131">IFERROR(INDEX('Malaria-Equipment &amp; Other HPs'!$AD$64:$AD$122,MATCH($E131&amp;$F131,'Malaria-Equipment &amp; Other HPs'!$E$64:$E$122&amp;'Malaria-Equipment &amp; Other HPs'!$I$64:$I$122,0)),0)</f>
        <v>0</v>
      </c>
      <c r="AY131" s="625">
        <f t="shared" si="135"/>
        <v>0</v>
      </c>
      <c r="AZ131" s="626">
        <f t="shared" si="136"/>
        <v>0</v>
      </c>
      <c r="BA131" s="626">
        <f t="shared" si="137"/>
        <v>0</v>
      </c>
      <c r="BB131" s="625">
        <f t="array" ref="BB131">IFERROR(INDEX('Malaria-Equipment &amp; Other HPs'!$AE$64:$AE$122,MATCH($E131&amp;$F131,'Malaria-Equipment &amp; Other HPs'!$E$64:$E$122&amp;'Malaria-Equipment &amp; Other HPs'!$I$64:$I$122,0)),0)</f>
        <v>0</v>
      </c>
      <c r="BC131" s="625">
        <f t="shared" si="138"/>
        <v>0</v>
      </c>
      <c r="BD131" s="626">
        <f t="shared" si="139"/>
        <v>0</v>
      </c>
      <c r="BE131" s="626">
        <f t="shared" si="140"/>
        <v>0</v>
      </c>
      <c r="BF131" s="625">
        <f t="array" ref="BF131">IFERROR(INDEX('Malaria-Equipment &amp; Other HPs'!$AF$64:$AF$122,MATCH($E131&amp;$F131,'Malaria-Equipment &amp; Other HPs'!$E$64:$E$122&amp;'Malaria-Equipment &amp; Other HPs'!$I$64:$I$122,0)),0)</f>
        <v>0</v>
      </c>
      <c r="BG131" s="625">
        <f t="shared" si="141"/>
        <v>0</v>
      </c>
      <c r="BH131" s="626">
        <f t="shared" si="142"/>
        <v>0</v>
      </c>
      <c r="BI131" s="626">
        <f t="shared" si="143"/>
        <v>0</v>
      </c>
      <c r="BJ131" s="630"/>
      <c r="BK131" s="625"/>
      <c r="BL131" s="625"/>
      <c r="BM131" s="625"/>
      <c r="BN131" s="625"/>
      <c r="BO131" s="625"/>
      <c r="BP131" s="625"/>
      <c r="BQ131" s="625"/>
      <c r="BR131" s="625"/>
      <c r="BT131" s="21" t="s">
        <v>6821</v>
      </c>
    </row>
    <row r="132" spans="1:72">
      <c r="A132" s="29" t="s">
        <v>1242</v>
      </c>
      <c r="B132" s="29" t="s">
        <v>1549</v>
      </c>
      <c r="C132" s="626">
        <f>SETUP!$F$54</f>
        <v>0</v>
      </c>
      <c r="D132" s="25">
        <v>5.0999999999999996</v>
      </c>
      <c r="E132" s="26" t="s">
        <v>582</v>
      </c>
      <c r="F132" s="26" t="s">
        <v>1185</v>
      </c>
      <c r="G132" s="625" t="str">
        <f t="array" ref="G132">IFERROR(INDEX('Malaria-Equipment &amp; Other HPs'!$L$64:$L$122,MATCH($E132&amp;$F132,'Malaria-Equipment &amp; Other HPs'!$E$64:$E$122&amp;'Malaria-Equipment &amp; Other HPs'!$I$64:$I$122,0)),"")</f>
        <v/>
      </c>
      <c r="H132" s="625" t="str">
        <f t="array" ref="H132">IFERROR(INDEX('Malaria-Equipment &amp; Other HPs'!$M$64:$M$122,MATCH($E132&amp;$F132,'Malaria-Equipment &amp; Other HPs'!$E$64:$E$122&amp;'Malaria-Equipment &amp; Other HPs'!$I$64:$I$122,0)),"")</f>
        <v/>
      </c>
      <c r="I132" s="625">
        <f t="array" ref="I132">IFERROR(INDEX('Malaria-Equipment &amp; Other HPs'!$N$64:$N$122,MATCH($E132&amp;$F132,'Malaria-Equipment &amp; Other HPs'!$E$64:$E$122&amp;'Malaria-Equipment &amp; Other HPs'!$I$64:$I$122,0)),0)</f>
        <v>0</v>
      </c>
      <c r="J132" s="625">
        <f t="array" ref="J132">IFERROR(INDEX('Malaria-Equipment &amp; Other HPs'!$O$64:$O$122,MATCH($E132&amp;$F132,'Malaria-Equipment &amp; Other HPs'!$E$64:$E$122&amp;'Malaria-Equipment &amp; Other HPs'!$I$64:$I$122,0)),0)</f>
        <v>0</v>
      </c>
      <c r="K132" s="626">
        <f t="shared" si="108"/>
        <v>0</v>
      </c>
      <c r="L132" s="626">
        <f t="shared" si="109"/>
        <v>0</v>
      </c>
      <c r="M132" s="626">
        <f t="shared" si="110"/>
        <v>0</v>
      </c>
      <c r="N132" s="625">
        <f t="array" ref="N132">IFERROR(INDEX('Malaria-Equipment &amp; Other HPs'!$P$64:$P$122,MATCH($E132&amp;$F132,'Malaria-Equipment &amp; Other HPs'!$E$64:$E$122&amp;'Malaria-Equipment &amp; Other HPs'!$I$64:$I$122,0)),0)</f>
        <v>0</v>
      </c>
      <c r="O132" s="626">
        <f t="shared" si="111"/>
        <v>0</v>
      </c>
      <c r="P132" s="626">
        <f t="shared" si="112"/>
        <v>0</v>
      </c>
      <c r="Q132" s="626">
        <f t="shared" si="113"/>
        <v>0</v>
      </c>
      <c r="R132" s="625">
        <f t="array" ref="R132">IFERROR(INDEX('Malaria-Equipment &amp; Other HPs'!$Q$64:$Q$122,MATCH($E132&amp;$F132,'Malaria-Equipment &amp; Other HPs'!$E$64:$E$122&amp;'Malaria-Equipment &amp; Other HPs'!$I$64:$I$122,0)),0)</f>
        <v>0</v>
      </c>
      <c r="S132" s="626">
        <f t="shared" si="114"/>
        <v>0</v>
      </c>
      <c r="T132" s="626">
        <f t="shared" si="115"/>
        <v>0</v>
      </c>
      <c r="U132" s="626">
        <f t="shared" si="116"/>
        <v>0</v>
      </c>
      <c r="V132" s="625">
        <f t="array" ref="V132">IFERROR(INDEX('Malaria-Equipment &amp; Other HPs'!$R$64:$R$122,MATCH($E132&amp;$F132,'Malaria-Equipment &amp; Other HPs'!$E$64:$E$122&amp;'Malaria-Equipment &amp; Other HPs'!$I$64:$I$122,0)),0)</f>
        <v>0</v>
      </c>
      <c r="W132" s="626">
        <f t="shared" si="117"/>
        <v>0</v>
      </c>
      <c r="X132" s="626">
        <f t="shared" si="118"/>
        <v>0</v>
      </c>
      <c r="Y132" s="626">
        <f t="shared" si="119"/>
        <v>0</v>
      </c>
      <c r="Z132" s="630"/>
      <c r="AA132" s="625">
        <f t="array" ref="AA132">IFERROR(INDEX('Malaria-Equipment &amp; Other HPs'!$U$64:$U$122,MATCH($E132&amp;$F132,'Malaria-Equipment &amp; Other HPs'!$E$64:$E$122&amp;'Malaria-Equipment &amp; Other HPs'!$I$64:$I$122,0)),0)</f>
        <v>0</v>
      </c>
      <c r="AB132" s="625">
        <f t="array" ref="AB132">IFERROR(INDEX('Malaria-Equipment &amp; Other HPs'!$V$64:$V$122,MATCH($E132&amp;$F132,'Malaria-Equipment &amp; Other HPs'!$E$64:$E$122&amp;'Malaria-Equipment &amp; Other HPs'!$I$64:$I$122,0)),0)</f>
        <v>0</v>
      </c>
      <c r="AC132" s="625">
        <f t="shared" si="120"/>
        <v>0</v>
      </c>
      <c r="AD132" s="626">
        <f t="shared" si="121"/>
        <v>0</v>
      </c>
      <c r="AE132" s="626">
        <f t="shared" si="122"/>
        <v>0</v>
      </c>
      <c r="AF132" s="625">
        <f t="array" ref="AF132">IFERROR(INDEX('Malaria-Equipment &amp; Other HPs'!$W$64:$W$122,MATCH($E132&amp;$F132,'Malaria-Equipment &amp; Other HPs'!$E$64:$E$122&amp;'Malaria-Equipment &amp; Other HPs'!$I$64:$I$122,0)),0)</f>
        <v>0</v>
      </c>
      <c r="AG132" s="625">
        <f t="shared" si="123"/>
        <v>0</v>
      </c>
      <c r="AH132" s="626">
        <f t="shared" si="124"/>
        <v>0</v>
      </c>
      <c r="AI132" s="626">
        <f t="shared" si="125"/>
        <v>0</v>
      </c>
      <c r="AJ132" s="625">
        <f t="array" ref="AJ132">IFERROR(INDEX('Malaria-Equipment &amp; Other HPs'!$X$64:$X$122,MATCH($E132&amp;$F132,'Malaria-Equipment &amp; Other HPs'!$E$64:$E$122&amp;'Malaria-Equipment &amp; Other HPs'!$I$64:$I$122,0)),0)</f>
        <v>0</v>
      </c>
      <c r="AK132" s="625">
        <f t="shared" si="126"/>
        <v>0</v>
      </c>
      <c r="AL132" s="626">
        <f t="shared" si="127"/>
        <v>0</v>
      </c>
      <c r="AM132" s="626">
        <f t="shared" si="128"/>
        <v>0</v>
      </c>
      <c r="AN132" s="625">
        <f t="array" ref="AN132">IFERROR(INDEX('Malaria-Equipment &amp; Other HPs'!$Y$64:$Y$122,MATCH($E132&amp;$F132,'Malaria-Equipment &amp; Other HPs'!$E$64:$E$122&amp;'Malaria-Equipment &amp; Other HPs'!$I$64:$I$122,0)),0)</f>
        <v>0</v>
      </c>
      <c r="AO132" s="625">
        <f t="shared" si="129"/>
        <v>0</v>
      </c>
      <c r="AP132" s="626">
        <f t="shared" si="130"/>
        <v>0</v>
      </c>
      <c r="AQ132" s="626">
        <f t="shared" si="131"/>
        <v>0</v>
      </c>
      <c r="AR132" s="630"/>
      <c r="AS132" s="625">
        <f t="array" ref="AS132">IFERROR(INDEX('Malaria-Equipment &amp; Other HPs'!$AB$64:$AB$122,MATCH($E132&amp;$F132,'Malaria-Equipment &amp; Other HPs'!$E$64:$E$122&amp;'Malaria-Equipment &amp; Other HPs'!$I$64:$I$122,0)),0)</f>
        <v>0</v>
      </c>
      <c r="AT132" s="625">
        <f t="array" ref="AT132">IFERROR(INDEX('Malaria-Equipment &amp; Other HPs'!$AC$64:$AC$122,MATCH($E132&amp;$F132,'Malaria-Equipment &amp; Other HPs'!$E$64:$E$122&amp;'Malaria-Equipment &amp; Other HPs'!$I$64:$I$122,0)),0)</f>
        <v>0</v>
      </c>
      <c r="AU132" s="625">
        <f t="shared" si="132"/>
        <v>0</v>
      </c>
      <c r="AV132" s="626">
        <f t="shared" si="133"/>
        <v>0</v>
      </c>
      <c r="AW132" s="626">
        <f t="shared" si="134"/>
        <v>0</v>
      </c>
      <c r="AX132" s="625">
        <f t="array" ref="AX132">IFERROR(INDEX('Malaria-Equipment &amp; Other HPs'!$AD$64:$AD$122,MATCH($E132&amp;$F132,'Malaria-Equipment &amp; Other HPs'!$E$64:$E$122&amp;'Malaria-Equipment &amp; Other HPs'!$I$64:$I$122,0)),0)</f>
        <v>0</v>
      </c>
      <c r="AY132" s="625">
        <f t="shared" si="135"/>
        <v>0</v>
      </c>
      <c r="AZ132" s="626">
        <f t="shared" si="136"/>
        <v>0</v>
      </c>
      <c r="BA132" s="626">
        <f t="shared" si="137"/>
        <v>0</v>
      </c>
      <c r="BB132" s="625">
        <f t="array" ref="BB132">IFERROR(INDEX('Malaria-Equipment &amp; Other HPs'!$AE$64:$AE$122,MATCH($E132&amp;$F132,'Malaria-Equipment &amp; Other HPs'!$E$64:$E$122&amp;'Malaria-Equipment &amp; Other HPs'!$I$64:$I$122,0)),0)</f>
        <v>0</v>
      </c>
      <c r="BC132" s="625">
        <f t="shared" si="138"/>
        <v>0</v>
      </c>
      <c r="BD132" s="626">
        <f t="shared" si="139"/>
        <v>0</v>
      </c>
      <c r="BE132" s="626">
        <f t="shared" si="140"/>
        <v>0</v>
      </c>
      <c r="BF132" s="625">
        <f t="array" ref="BF132">IFERROR(INDEX('Malaria-Equipment &amp; Other HPs'!$AF$64:$AF$122,MATCH($E132&amp;$F132,'Malaria-Equipment &amp; Other HPs'!$E$64:$E$122&amp;'Malaria-Equipment &amp; Other HPs'!$I$64:$I$122,0)),0)</f>
        <v>0</v>
      </c>
      <c r="BG132" s="625">
        <f t="shared" si="141"/>
        <v>0</v>
      </c>
      <c r="BH132" s="626">
        <f t="shared" si="142"/>
        <v>0</v>
      </c>
      <c r="BI132" s="626">
        <f t="shared" si="143"/>
        <v>0</v>
      </c>
      <c r="BJ132" s="630"/>
      <c r="BK132" s="625"/>
      <c r="BL132" s="625"/>
      <c r="BM132" s="625"/>
      <c r="BN132" s="625"/>
      <c r="BO132" s="625"/>
      <c r="BP132" s="625"/>
      <c r="BQ132" s="625"/>
      <c r="BR132" s="625"/>
      <c r="BT132" s="21" t="s">
        <v>6821</v>
      </c>
    </row>
    <row r="133" spans="1:72">
      <c r="A133" s="29" t="s">
        <v>1242</v>
      </c>
      <c r="B133" s="29" t="s">
        <v>1549</v>
      </c>
      <c r="C133" s="626">
        <f>SETUP!$F$54</f>
        <v>0</v>
      </c>
      <c r="D133" s="25">
        <v>5.0999999999999996</v>
      </c>
      <c r="E133" s="26" t="s">
        <v>582</v>
      </c>
      <c r="F133" s="26" t="s">
        <v>848</v>
      </c>
      <c r="G133" s="625" t="str">
        <f t="array" ref="G133">IFERROR(INDEX('Malaria-Equipment &amp; Other HPs'!$L$64:$L$122,MATCH($E133&amp;$F133,'Malaria-Equipment &amp; Other HPs'!$E$64:$E$122&amp;'Malaria-Equipment &amp; Other HPs'!$I$64:$I$122,0)),"")</f>
        <v/>
      </c>
      <c r="H133" s="625" t="str">
        <f t="array" ref="H133">IFERROR(INDEX('Malaria-Equipment &amp; Other HPs'!$M$64:$M$122,MATCH($E133&amp;$F133,'Malaria-Equipment &amp; Other HPs'!$E$64:$E$122&amp;'Malaria-Equipment &amp; Other HPs'!$I$64:$I$122,0)),"")</f>
        <v/>
      </c>
      <c r="I133" s="625">
        <f t="array" ref="I133">IFERROR(INDEX('Malaria-Equipment &amp; Other HPs'!$N$64:$N$122,MATCH($E133&amp;$F133,'Malaria-Equipment &amp; Other HPs'!$E$64:$E$122&amp;'Malaria-Equipment &amp; Other HPs'!$I$64:$I$122,0)),0)</f>
        <v>0</v>
      </c>
      <c r="J133" s="625">
        <f t="array" ref="J133">IFERROR(INDEX('Malaria-Equipment &amp; Other HPs'!$O$64:$O$122,MATCH($E133&amp;$F133,'Malaria-Equipment &amp; Other HPs'!$E$64:$E$122&amp;'Malaria-Equipment &amp; Other HPs'!$I$64:$I$122,0)),0)</f>
        <v>0</v>
      </c>
      <c r="K133" s="626">
        <f t="shared" si="108"/>
        <v>0</v>
      </c>
      <c r="L133" s="626">
        <f t="shared" si="109"/>
        <v>0</v>
      </c>
      <c r="M133" s="626">
        <f t="shared" si="110"/>
        <v>0</v>
      </c>
      <c r="N133" s="625">
        <f t="array" ref="N133">IFERROR(INDEX('Malaria-Equipment &amp; Other HPs'!$P$64:$P$122,MATCH($E133&amp;$F133,'Malaria-Equipment &amp; Other HPs'!$E$64:$E$122&amp;'Malaria-Equipment &amp; Other HPs'!$I$64:$I$122,0)),0)</f>
        <v>0</v>
      </c>
      <c r="O133" s="626">
        <f t="shared" si="111"/>
        <v>0</v>
      </c>
      <c r="P133" s="626">
        <f t="shared" si="112"/>
        <v>0</v>
      </c>
      <c r="Q133" s="626">
        <f t="shared" si="113"/>
        <v>0</v>
      </c>
      <c r="R133" s="625">
        <f t="array" ref="R133">IFERROR(INDEX('Malaria-Equipment &amp; Other HPs'!$Q$64:$Q$122,MATCH($E133&amp;$F133,'Malaria-Equipment &amp; Other HPs'!$E$64:$E$122&amp;'Malaria-Equipment &amp; Other HPs'!$I$64:$I$122,0)),0)</f>
        <v>0</v>
      </c>
      <c r="S133" s="626">
        <f t="shared" si="114"/>
        <v>0</v>
      </c>
      <c r="T133" s="626">
        <f t="shared" si="115"/>
        <v>0</v>
      </c>
      <c r="U133" s="626">
        <f t="shared" si="116"/>
        <v>0</v>
      </c>
      <c r="V133" s="625">
        <f t="array" ref="V133">IFERROR(INDEX('Malaria-Equipment &amp; Other HPs'!$R$64:$R$122,MATCH($E133&amp;$F133,'Malaria-Equipment &amp; Other HPs'!$E$64:$E$122&amp;'Malaria-Equipment &amp; Other HPs'!$I$64:$I$122,0)),0)</f>
        <v>0</v>
      </c>
      <c r="W133" s="626">
        <f t="shared" si="117"/>
        <v>0</v>
      </c>
      <c r="X133" s="626">
        <f t="shared" si="118"/>
        <v>0</v>
      </c>
      <c r="Y133" s="626">
        <f t="shared" si="119"/>
        <v>0</v>
      </c>
      <c r="Z133" s="630"/>
      <c r="AA133" s="625">
        <f t="array" ref="AA133">IFERROR(INDEX('Malaria-Equipment &amp; Other HPs'!$U$64:$U$122,MATCH($E133&amp;$F133,'Malaria-Equipment &amp; Other HPs'!$E$64:$E$122&amp;'Malaria-Equipment &amp; Other HPs'!$I$64:$I$122,0)),0)</f>
        <v>0</v>
      </c>
      <c r="AB133" s="625">
        <f t="array" ref="AB133">IFERROR(INDEX('Malaria-Equipment &amp; Other HPs'!$V$64:$V$122,MATCH($E133&amp;$F133,'Malaria-Equipment &amp; Other HPs'!$E$64:$E$122&amp;'Malaria-Equipment &amp; Other HPs'!$I$64:$I$122,0)),0)</f>
        <v>0</v>
      </c>
      <c r="AC133" s="625">
        <f t="shared" si="120"/>
        <v>0</v>
      </c>
      <c r="AD133" s="626">
        <f t="shared" si="121"/>
        <v>0</v>
      </c>
      <c r="AE133" s="626">
        <f t="shared" si="122"/>
        <v>0</v>
      </c>
      <c r="AF133" s="625">
        <f t="array" ref="AF133">IFERROR(INDEX('Malaria-Equipment &amp; Other HPs'!$W$64:$W$122,MATCH($E133&amp;$F133,'Malaria-Equipment &amp; Other HPs'!$E$64:$E$122&amp;'Malaria-Equipment &amp; Other HPs'!$I$64:$I$122,0)),0)</f>
        <v>0</v>
      </c>
      <c r="AG133" s="625">
        <f t="shared" si="123"/>
        <v>0</v>
      </c>
      <c r="AH133" s="626">
        <f t="shared" si="124"/>
        <v>0</v>
      </c>
      <c r="AI133" s="626">
        <f t="shared" si="125"/>
        <v>0</v>
      </c>
      <c r="AJ133" s="625">
        <f t="array" ref="AJ133">IFERROR(INDEX('Malaria-Equipment &amp; Other HPs'!$X$64:$X$122,MATCH($E133&amp;$F133,'Malaria-Equipment &amp; Other HPs'!$E$64:$E$122&amp;'Malaria-Equipment &amp; Other HPs'!$I$64:$I$122,0)),0)</f>
        <v>0</v>
      </c>
      <c r="AK133" s="625">
        <f t="shared" si="126"/>
        <v>0</v>
      </c>
      <c r="AL133" s="626">
        <f t="shared" si="127"/>
        <v>0</v>
      </c>
      <c r="AM133" s="626">
        <f t="shared" si="128"/>
        <v>0</v>
      </c>
      <c r="AN133" s="625">
        <f t="array" ref="AN133">IFERROR(INDEX('Malaria-Equipment &amp; Other HPs'!$Y$64:$Y$122,MATCH($E133&amp;$F133,'Malaria-Equipment &amp; Other HPs'!$E$64:$E$122&amp;'Malaria-Equipment &amp; Other HPs'!$I$64:$I$122,0)),0)</f>
        <v>0</v>
      </c>
      <c r="AO133" s="625">
        <f t="shared" si="129"/>
        <v>0</v>
      </c>
      <c r="AP133" s="626">
        <f t="shared" si="130"/>
        <v>0</v>
      </c>
      <c r="AQ133" s="626">
        <f t="shared" si="131"/>
        <v>0</v>
      </c>
      <c r="AR133" s="630"/>
      <c r="AS133" s="625">
        <f t="array" ref="AS133">IFERROR(INDEX('Malaria-Equipment &amp; Other HPs'!$AB$64:$AB$122,MATCH($E133&amp;$F133,'Malaria-Equipment &amp; Other HPs'!$E$64:$E$122&amp;'Malaria-Equipment &amp; Other HPs'!$I$64:$I$122,0)),0)</f>
        <v>0</v>
      </c>
      <c r="AT133" s="625">
        <f t="array" ref="AT133">IFERROR(INDEX('Malaria-Equipment &amp; Other HPs'!$AC$64:$AC$122,MATCH($E133&amp;$F133,'Malaria-Equipment &amp; Other HPs'!$E$64:$E$122&amp;'Malaria-Equipment &amp; Other HPs'!$I$64:$I$122,0)),0)</f>
        <v>0</v>
      </c>
      <c r="AU133" s="625">
        <f t="shared" si="132"/>
        <v>0</v>
      </c>
      <c r="AV133" s="626">
        <f t="shared" si="133"/>
        <v>0</v>
      </c>
      <c r="AW133" s="626">
        <f t="shared" si="134"/>
        <v>0</v>
      </c>
      <c r="AX133" s="625">
        <f t="array" ref="AX133">IFERROR(INDEX('Malaria-Equipment &amp; Other HPs'!$AD$64:$AD$122,MATCH($E133&amp;$F133,'Malaria-Equipment &amp; Other HPs'!$E$64:$E$122&amp;'Malaria-Equipment &amp; Other HPs'!$I$64:$I$122,0)),0)</f>
        <v>0</v>
      </c>
      <c r="AY133" s="625">
        <f t="shared" si="135"/>
        <v>0</v>
      </c>
      <c r="AZ133" s="626">
        <f t="shared" si="136"/>
        <v>0</v>
      </c>
      <c r="BA133" s="626">
        <f t="shared" si="137"/>
        <v>0</v>
      </c>
      <c r="BB133" s="625">
        <f t="array" ref="BB133">IFERROR(INDEX('Malaria-Equipment &amp; Other HPs'!$AE$64:$AE$122,MATCH($E133&amp;$F133,'Malaria-Equipment &amp; Other HPs'!$E$64:$E$122&amp;'Malaria-Equipment &amp; Other HPs'!$I$64:$I$122,0)),0)</f>
        <v>0</v>
      </c>
      <c r="BC133" s="625">
        <f t="shared" si="138"/>
        <v>0</v>
      </c>
      <c r="BD133" s="626">
        <f t="shared" si="139"/>
        <v>0</v>
      </c>
      <c r="BE133" s="626">
        <f t="shared" si="140"/>
        <v>0</v>
      </c>
      <c r="BF133" s="625">
        <f t="array" ref="BF133">IFERROR(INDEX('Malaria-Equipment &amp; Other HPs'!$AF$64:$AF$122,MATCH($E133&amp;$F133,'Malaria-Equipment &amp; Other HPs'!$E$64:$E$122&amp;'Malaria-Equipment &amp; Other HPs'!$I$64:$I$122,0)),0)</f>
        <v>0</v>
      </c>
      <c r="BG133" s="625">
        <f t="shared" si="141"/>
        <v>0</v>
      </c>
      <c r="BH133" s="626">
        <f t="shared" si="142"/>
        <v>0</v>
      </c>
      <c r="BI133" s="626">
        <f t="shared" si="143"/>
        <v>0</v>
      </c>
      <c r="BJ133" s="630"/>
      <c r="BK133" s="625"/>
      <c r="BL133" s="625"/>
      <c r="BM133" s="625"/>
      <c r="BN133" s="625"/>
      <c r="BO133" s="625"/>
      <c r="BP133" s="625"/>
      <c r="BQ133" s="625"/>
      <c r="BR133" s="625"/>
      <c r="BT133" s="21" t="s">
        <v>6821</v>
      </c>
    </row>
    <row r="134" spans="1:72">
      <c r="A134" s="29" t="s">
        <v>1242</v>
      </c>
      <c r="B134" s="29" t="s">
        <v>1549</v>
      </c>
      <c r="C134" s="626">
        <f>SETUP!$F$54</f>
        <v>0</v>
      </c>
      <c r="D134" s="25">
        <v>5.0999999999999996</v>
      </c>
      <c r="E134" s="26" t="s">
        <v>582</v>
      </c>
      <c r="F134" s="26" t="s">
        <v>1186</v>
      </c>
      <c r="G134" s="625" t="str">
        <f t="array" ref="G134">IFERROR(INDEX('Malaria-Equipment &amp; Other HPs'!$L$64:$L$122,MATCH($E134&amp;$F134,'Malaria-Equipment &amp; Other HPs'!$E$64:$E$122&amp;'Malaria-Equipment &amp; Other HPs'!$I$64:$I$122,0)),"")</f>
        <v/>
      </c>
      <c r="H134" s="625" t="str">
        <f t="array" ref="H134">IFERROR(INDEX('Malaria-Equipment &amp; Other HPs'!$M$64:$M$122,MATCH($E134&amp;$F134,'Malaria-Equipment &amp; Other HPs'!$E$64:$E$122&amp;'Malaria-Equipment &amp; Other HPs'!$I$64:$I$122,0)),"")</f>
        <v/>
      </c>
      <c r="I134" s="625">
        <f t="array" ref="I134">IFERROR(INDEX('Malaria-Equipment &amp; Other HPs'!$N$64:$N$122,MATCH($E134&amp;$F134,'Malaria-Equipment &amp; Other HPs'!$E$64:$E$122&amp;'Malaria-Equipment &amp; Other HPs'!$I$64:$I$122,0)),0)</f>
        <v>0</v>
      </c>
      <c r="J134" s="625">
        <f t="array" ref="J134">IFERROR(INDEX('Malaria-Equipment &amp; Other HPs'!$O$64:$O$122,MATCH($E134&amp;$F134,'Malaria-Equipment &amp; Other HPs'!$E$64:$E$122&amp;'Malaria-Equipment &amp; Other HPs'!$I$64:$I$122,0)),0)</f>
        <v>0</v>
      </c>
      <c r="K134" s="626">
        <f t="shared" si="108"/>
        <v>0</v>
      </c>
      <c r="L134" s="626">
        <f t="shared" si="109"/>
        <v>0</v>
      </c>
      <c r="M134" s="626">
        <f t="shared" si="110"/>
        <v>0</v>
      </c>
      <c r="N134" s="625">
        <f t="array" ref="N134">IFERROR(INDEX('Malaria-Equipment &amp; Other HPs'!$P$64:$P$122,MATCH($E134&amp;$F134,'Malaria-Equipment &amp; Other HPs'!$E$64:$E$122&amp;'Malaria-Equipment &amp; Other HPs'!$I$64:$I$122,0)),0)</f>
        <v>0</v>
      </c>
      <c r="O134" s="626">
        <f t="shared" si="111"/>
        <v>0</v>
      </c>
      <c r="P134" s="626">
        <f t="shared" si="112"/>
        <v>0</v>
      </c>
      <c r="Q134" s="626">
        <f t="shared" si="113"/>
        <v>0</v>
      </c>
      <c r="R134" s="625">
        <f t="array" ref="R134">IFERROR(INDEX('Malaria-Equipment &amp; Other HPs'!$Q$64:$Q$122,MATCH($E134&amp;$F134,'Malaria-Equipment &amp; Other HPs'!$E$64:$E$122&amp;'Malaria-Equipment &amp; Other HPs'!$I$64:$I$122,0)),0)</f>
        <v>0</v>
      </c>
      <c r="S134" s="626">
        <f t="shared" si="114"/>
        <v>0</v>
      </c>
      <c r="T134" s="626">
        <f t="shared" si="115"/>
        <v>0</v>
      </c>
      <c r="U134" s="626">
        <f t="shared" si="116"/>
        <v>0</v>
      </c>
      <c r="V134" s="625">
        <f t="array" ref="V134">IFERROR(INDEX('Malaria-Equipment &amp; Other HPs'!$R$64:$R$122,MATCH($E134&amp;$F134,'Malaria-Equipment &amp; Other HPs'!$E$64:$E$122&amp;'Malaria-Equipment &amp; Other HPs'!$I$64:$I$122,0)),0)</f>
        <v>0</v>
      </c>
      <c r="W134" s="626">
        <f t="shared" si="117"/>
        <v>0</v>
      </c>
      <c r="X134" s="626">
        <f t="shared" si="118"/>
        <v>0</v>
      </c>
      <c r="Y134" s="626">
        <f t="shared" si="119"/>
        <v>0</v>
      </c>
      <c r="Z134" s="630"/>
      <c r="AA134" s="625">
        <f t="array" ref="AA134">IFERROR(INDEX('Malaria-Equipment &amp; Other HPs'!$U$64:$U$122,MATCH($E134&amp;$F134,'Malaria-Equipment &amp; Other HPs'!$E$64:$E$122&amp;'Malaria-Equipment &amp; Other HPs'!$I$64:$I$122,0)),0)</f>
        <v>0</v>
      </c>
      <c r="AB134" s="625">
        <f t="array" ref="AB134">IFERROR(INDEX('Malaria-Equipment &amp; Other HPs'!$V$64:$V$122,MATCH($E134&amp;$F134,'Malaria-Equipment &amp; Other HPs'!$E$64:$E$122&amp;'Malaria-Equipment &amp; Other HPs'!$I$64:$I$122,0)),0)</f>
        <v>0</v>
      </c>
      <c r="AC134" s="625">
        <f t="shared" si="120"/>
        <v>0</v>
      </c>
      <c r="AD134" s="626">
        <f t="shared" si="121"/>
        <v>0</v>
      </c>
      <c r="AE134" s="626">
        <f t="shared" si="122"/>
        <v>0</v>
      </c>
      <c r="AF134" s="625">
        <f t="array" ref="AF134">IFERROR(INDEX('Malaria-Equipment &amp; Other HPs'!$W$64:$W$122,MATCH($E134&amp;$F134,'Malaria-Equipment &amp; Other HPs'!$E$64:$E$122&amp;'Malaria-Equipment &amp; Other HPs'!$I$64:$I$122,0)),0)</f>
        <v>0</v>
      </c>
      <c r="AG134" s="625">
        <f t="shared" si="123"/>
        <v>0</v>
      </c>
      <c r="AH134" s="626">
        <f t="shared" si="124"/>
        <v>0</v>
      </c>
      <c r="AI134" s="626">
        <f t="shared" si="125"/>
        <v>0</v>
      </c>
      <c r="AJ134" s="625">
        <f t="array" ref="AJ134">IFERROR(INDEX('Malaria-Equipment &amp; Other HPs'!$X$64:$X$122,MATCH($E134&amp;$F134,'Malaria-Equipment &amp; Other HPs'!$E$64:$E$122&amp;'Malaria-Equipment &amp; Other HPs'!$I$64:$I$122,0)),0)</f>
        <v>0</v>
      </c>
      <c r="AK134" s="625">
        <f t="shared" si="126"/>
        <v>0</v>
      </c>
      <c r="AL134" s="626">
        <f t="shared" si="127"/>
        <v>0</v>
      </c>
      <c r="AM134" s="626">
        <f t="shared" si="128"/>
        <v>0</v>
      </c>
      <c r="AN134" s="625">
        <f t="array" ref="AN134">IFERROR(INDEX('Malaria-Equipment &amp; Other HPs'!$Y$64:$Y$122,MATCH($E134&amp;$F134,'Malaria-Equipment &amp; Other HPs'!$E$64:$E$122&amp;'Malaria-Equipment &amp; Other HPs'!$I$64:$I$122,0)),0)</f>
        <v>0</v>
      </c>
      <c r="AO134" s="625">
        <f t="shared" si="129"/>
        <v>0</v>
      </c>
      <c r="AP134" s="626">
        <f t="shared" si="130"/>
        <v>0</v>
      </c>
      <c r="AQ134" s="626">
        <f t="shared" si="131"/>
        <v>0</v>
      </c>
      <c r="AR134" s="630"/>
      <c r="AS134" s="625">
        <f t="array" ref="AS134">IFERROR(INDEX('Malaria-Equipment &amp; Other HPs'!$AB$64:$AB$122,MATCH($E134&amp;$F134,'Malaria-Equipment &amp; Other HPs'!$E$64:$E$122&amp;'Malaria-Equipment &amp; Other HPs'!$I$64:$I$122,0)),0)</f>
        <v>0</v>
      </c>
      <c r="AT134" s="625">
        <f t="array" ref="AT134">IFERROR(INDEX('Malaria-Equipment &amp; Other HPs'!$AC$64:$AC$122,MATCH($E134&amp;$F134,'Malaria-Equipment &amp; Other HPs'!$E$64:$E$122&amp;'Malaria-Equipment &amp; Other HPs'!$I$64:$I$122,0)),0)</f>
        <v>0</v>
      </c>
      <c r="AU134" s="625">
        <f t="shared" si="132"/>
        <v>0</v>
      </c>
      <c r="AV134" s="626">
        <f t="shared" si="133"/>
        <v>0</v>
      </c>
      <c r="AW134" s="626">
        <f t="shared" si="134"/>
        <v>0</v>
      </c>
      <c r="AX134" s="625">
        <f t="array" ref="AX134">IFERROR(INDEX('Malaria-Equipment &amp; Other HPs'!$AD$64:$AD$122,MATCH($E134&amp;$F134,'Malaria-Equipment &amp; Other HPs'!$E$64:$E$122&amp;'Malaria-Equipment &amp; Other HPs'!$I$64:$I$122,0)),0)</f>
        <v>0</v>
      </c>
      <c r="AY134" s="625">
        <f t="shared" si="135"/>
        <v>0</v>
      </c>
      <c r="AZ134" s="626">
        <f t="shared" si="136"/>
        <v>0</v>
      </c>
      <c r="BA134" s="626">
        <f t="shared" si="137"/>
        <v>0</v>
      </c>
      <c r="BB134" s="625">
        <f t="array" ref="BB134">IFERROR(INDEX('Malaria-Equipment &amp; Other HPs'!$AE$64:$AE$122,MATCH($E134&amp;$F134,'Malaria-Equipment &amp; Other HPs'!$E$64:$E$122&amp;'Malaria-Equipment &amp; Other HPs'!$I$64:$I$122,0)),0)</f>
        <v>0</v>
      </c>
      <c r="BC134" s="625">
        <f t="shared" si="138"/>
        <v>0</v>
      </c>
      <c r="BD134" s="626">
        <f t="shared" si="139"/>
        <v>0</v>
      </c>
      <c r="BE134" s="626">
        <f t="shared" si="140"/>
        <v>0</v>
      </c>
      <c r="BF134" s="625">
        <f t="array" ref="BF134">IFERROR(INDEX('Malaria-Equipment &amp; Other HPs'!$AF$64:$AF$122,MATCH($E134&amp;$F134,'Malaria-Equipment &amp; Other HPs'!$E$64:$E$122&amp;'Malaria-Equipment &amp; Other HPs'!$I$64:$I$122,0)),0)</f>
        <v>0</v>
      </c>
      <c r="BG134" s="625">
        <f t="shared" si="141"/>
        <v>0</v>
      </c>
      <c r="BH134" s="626">
        <f t="shared" si="142"/>
        <v>0</v>
      </c>
      <c r="BI134" s="626">
        <f t="shared" si="143"/>
        <v>0</v>
      </c>
      <c r="BJ134" s="630"/>
      <c r="BK134" s="625"/>
      <c r="BL134" s="625"/>
      <c r="BM134" s="625"/>
      <c r="BN134" s="625"/>
      <c r="BO134" s="625"/>
      <c r="BP134" s="625"/>
      <c r="BQ134" s="625"/>
      <c r="BR134" s="625"/>
      <c r="BT134" s="21" t="s">
        <v>6821</v>
      </c>
    </row>
    <row r="135" spans="1:72">
      <c r="A135" s="29" t="s">
        <v>1242</v>
      </c>
      <c r="B135" s="29" t="s">
        <v>1549</v>
      </c>
      <c r="C135" s="626">
        <f>SETUP!$F$54</f>
        <v>0</v>
      </c>
      <c r="D135" s="25">
        <v>5.0999999999999996</v>
      </c>
      <c r="E135" s="26" t="s">
        <v>582</v>
      </c>
      <c r="F135" s="26" t="s">
        <v>849</v>
      </c>
      <c r="G135" s="625" t="str">
        <f t="array" ref="G135">IFERROR(INDEX('Malaria-Equipment &amp; Other HPs'!$L$64:$L$122,MATCH($E135&amp;$F135,'Malaria-Equipment &amp; Other HPs'!$E$64:$E$122&amp;'Malaria-Equipment &amp; Other HPs'!$I$64:$I$122,0)),"")</f>
        <v/>
      </c>
      <c r="H135" s="625" t="str">
        <f t="array" ref="H135">IFERROR(INDEX('Malaria-Equipment &amp; Other HPs'!$M$64:$M$122,MATCH($E135&amp;$F135,'Malaria-Equipment &amp; Other HPs'!$E$64:$E$122&amp;'Malaria-Equipment &amp; Other HPs'!$I$64:$I$122,0)),"")</f>
        <v/>
      </c>
      <c r="I135" s="625">
        <f t="array" ref="I135">IFERROR(INDEX('Malaria-Equipment &amp; Other HPs'!$N$64:$N$122,MATCH($E135&amp;$F135,'Malaria-Equipment &amp; Other HPs'!$E$64:$E$122&amp;'Malaria-Equipment &amp; Other HPs'!$I$64:$I$122,0)),0)</f>
        <v>0</v>
      </c>
      <c r="J135" s="625">
        <f t="array" ref="J135">IFERROR(INDEX('Malaria-Equipment &amp; Other HPs'!$O$64:$O$122,MATCH($E135&amp;$F135,'Malaria-Equipment &amp; Other HPs'!$E$64:$E$122&amp;'Malaria-Equipment &amp; Other HPs'!$I$64:$I$122,0)),0)</f>
        <v>0</v>
      </c>
      <c r="K135" s="626">
        <f t="shared" si="108"/>
        <v>0</v>
      </c>
      <c r="L135" s="626">
        <f t="shared" si="109"/>
        <v>0</v>
      </c>
      <c r="M135" s="626">
        <f t="shared" si="110"/>
        <v>0</v>
      </c>
      <c r="N135" s="625">
        <f t="array" ref="N135">IFERROR(INDEX('Malaria-Equipment &amp; Other HPs'!$P$64:$P$122,MATCH($E135&amp;$F135,'Malaria-Equipment &amp; Other HPs'!$E$64:$E$122&amp;'Malaria-Equipment &amp; Other HPs'!$I$64:$I$122,0)),0)</f>
        <v>0</v>
      </c>
      <c r="O135" s="626">
        <f t="shared" si="111"/>
        <v>0</v>
      </c>
      <c r="P135" s="626">
        <f t="shared" si="112"/>
        <v>0</v>
      </c>
      <c r="Q135" s="626">
        <f t="shared" si="113"/>
        <v>0</v>
      </c>
      <c r="R135" s="625">
        <f t="array" ref="R135">IFERROR(INDEX('Malaria-Equipment &amp; Other HPs'!$Q$64:$Q$122,MATCH($E135&amp;$F135,'Malaria-Equipment &amp; Other HPs'!$E$64:$E$122&amp;'Malaria-Equipment &amp; Other HPs'!$I$64:$I$122,0)),0)</f>
        <v>0</v>
      </c>
      <c r="S135" s="626">
        <f t="shared" si="114"/>
        <v>0</v>
      </c>
      <c r="T135" s="626">
        <f t="shared" si="115"/>
        <v>0</v>
      </c>
      <c r="U135" s="626">
        <f t="shared" si="116"/>
        <v>0</v>
      </c>
      <c r="V135" s="625">
        <f t="array" ref="V135">IFERROR(INDEX('Malaria-Equipment &amp; Other HPs'!$R$64:$R$122,MATCH($E135&amp;$F135,'Malaria-Equipment &amp; Other HPs'!$E$64:$E$122&amp;'Malaria-Equipment &amp; Other HPs'!$I$64:$I$122,0)),0)</f>
        <v>0</v>
      </c>
      <c r="W135" s="626">
        <f t="shared" si="117"/>
        <v>0</v>
      </c>
      <c r="X135" s="626">
        <f t="shared" si="118"/>
        <v>0</v>
      </c>
      <c r="Y135" s="626">
        <f t="shared" si="119"/>
        <v>0</v>
      </c>
      <c r="Z135" s="630"/>
      <c r="AA135" s="625">
        <f t="array" ref="AA135">IFERROR(INDEX('Malaria-Equipment &amp; Other HPs'!$U$64:$U$122,MATCH($E135&amp;$F135,'Malaria-Equipment &amp; Other HPs'!$E$64:$E$122&amp;'Malaria-Equipment &amp; Other HPs'!$I$64:$I$122,0)),0)</f>
        <v>0</v>
      </c>
      <c r="AB135" s="625">
        <f t="array" ref="AB135">IFERROR(INDEX('Malaria-Equipment &amp; Other HPs'!$V$64:$V$122,MATCH($E135&amp;$F135,'Malaria-Equipment &amp; Other HPs'!$E$64:$E$122&amp;'Malaria-Equipment &amp; Other HPs'!$I$64:$I$122,0)),0)</f>
        <v>0</v>
      </c>
      <c r="AC135" s="625">
        <f t="shared" si="120"/>
        <v>0</v>
      </c>
      <c r="AD135" s="626">
        <f t="shared" si="121"/>
        <v>0</v>
      </c>
      <c r="AE135" s="626">
        <f t="shared" si="122"/>
        <v>0</v>
      </c>
      <c r="AF135" s="625">
        <f t="array" ref="AF135">IFERROR(INDEX('Malaria-Equipment &amp; Other HPs'!$W$64:$W$122,MATCH($E135&amp;$F135,'Malaria-Equipment &amp; Other HPs'!$E$64:$E$122&amp;'Malaria-Equipment &amp; Other HPs'!$I$64:$I$122,0)),0)</f>
        <v>0</v>
      </c>
      <c r="AG135" s="625">
        <f t="shared" si="123"/>
        <v>0</v>
      </c>
      <c r="AH135" s="626">
        <f t="shared" si="124"/>
        <v>0</v>
      </c>
      <c r="AI135" s="626">
        <f t="shared" si="125"/>
        <v>0</v>
      </c>
      <c r="AJ135" s="625">
        <f t="array" ref="AJ135">IFERROR(INDEX('Malaria-Equipment &amp; Other HPs'!$X$64:$X$122,MATCH($E135&amp;$F135,'Malaria-Equipment &amp; Other HPs'!$E$64:$E$122&amp;'Malaria-Equipment &amp; Other HPs'!$I$64:$I$122,0)),0)</f>
        <v>0</v>
      </c>
      <c r="AK135" s="625">
        <f t="shared" si="126"/>
        <v>0</v>
      </c>
      <c r="AL135" s="626">
        <f t="shared" si="127"/>
        <v>0</v>
      </c>
      <c r="AM135" s="626">
        <f t="shared" si="128"/>
        <v>0</v>
      </c>
      <c r="AN135" s="625">
        <f t="array" ref="AN135">IFERROR(INDEX('Malaria-Equipment &amp; Other HPs'!$Y$64:$Y$122,MATCH($E135&amp;$F135,'Malaria-Equipment &amp; Other HPs'!$E$64:$E$122&amp;'Malaria-Equipment &amp; Other HPs'!$I$64:$I$122,0)),0)</f>
        <v>0</v>
      </c>
      <c r="AO135" s="625">
        <f t="shared" si="129"/>
        <v>0</v>
      </c>
      <c r="AP135" s="626">
        <f t="shared" si="130"/>
        <v>0</v>
      </c>
      <c r="AQ135" s="626">
        <f t="shared" si="131"/>
        <v>0</v>
      </c>
      <c r="AR135" s="630"/>
      <c r="AS135" s="625">
        <f t="array" ref="AS135">IFERROR(INDEX('Malaria-Equipment &amp; Other HPs'!$AB$64:$AB$122,MATCH($E135&amp;$F135,'Malaria-Equipment &amp; Other HPs'!$E$64:$E$122&amp;'Malaria-Equipment &amp; Other HPs'!$I$64:$I$122,0)),0)</f>
        <v>0</v>
      </c>
      <c r="AT135" s="625">
        <f t="array" ref="AT135">IFERROR(INDEX('Malaria-Equipment &amp; Other HPs'!$AC$64:$AC$122,MATCH($E135&amp;$F135,'Malaria-Equipment &amp; Other HPs'!$E$64:$E$122&amp;'Malaria-Equipment &amp; Other HPs'!$I$64:$I$122,0)),0)</f>
        <v>0</v>
      </c>
      <c r="AU135" s="625">
        <f t="shared" si="132"/>
        <v>0</v>
      </c>
      <c r="AV135" s="626">
        <f t="shared" si="133"/>
        <v>0</v>
      </c>
      <c r="AW135" s="626">
        <f t="shared" si="134"/>
        <v>0</v>
      </c>
      <c r="AX135" s="625">
        <f t="array" ref="AX135">IFERROR(INDEX('Malaria-Equipment &amp; Other HPs'!$AD$64:$AD$122,MATCH($E135&amp;$F135,'Malaria-Equipment &amp; Other HPs'!$E$64:$E$122&amp;'Malaria-Equipment &amp; Other HPs'!$I$64:$I$122,0)),0)</f>
        <v>0</v>
      </c>
      <c r="AY135" s="625">
        <f t="shared" si="135"/>
        <v>0</v>
      </c>
      <c r="AZ135" s="626">
        <f t="shared" si="136"/>
        <v>0</v>
      </c>
      <c r="BA135" s="626">
        <f t="shared" si="137"/>
        <v>0</v>
      </c>
      <c r="BB135" s="625">
        <f t="array" ref="BB135">IFERROR(INDEX('Malaria-Equipment &amp; Other HPs'!$AE$64:$AE$122,MATCH($E135&amp;$F135,'Malaria-Equipment &amp; Other HPs'!$E$64:$E$122&amp;'Malaria-Equipment &amp; Other HPs'!$I$64:$I$122,0)),0)</f>
        <v>0</v>
      </c>
      <c r="BC135" s="625">
        <f t="shared" si="138"/>
        <v>0</v>
      </c>
      <c r="BD135" s="626">
        <f t="shared" si="139"/>
        <v>0</v>
      </c>
      <c r="BE135" s="626">
        <f t="shared" si="140"/>
        <v>0</v>
      </c>
      <c r="BF135" s="625">
        <f t="array" ref="BF135">IFERROR(INDEX('Malaria-Equipment &amp; Other HPs'!$AF$64:$AF$122,MATCH($E135&amp;$F135,'Malaria-Equipment &amp; Other HPs'!$E$64:$E$122&amp;'Malaria-Equipment &amp; Other HPs'!$I$64:$I$122,0)),0)</f>
        <v>0</v>
      </c>
      <c r="BG135" s="625">
        <f t="shared" si="141"/>
        <v>0</v>
      </c>
      <c r="BH135" s="626">
        <f t="shared" si="142"/>
        <v>0</v>
      </c>
      <c r="BI135" s="626">
        <f t="shared" si="143"/>
        <v>0</v>
      </c>
      <c r="BJ135" s="630"/>
      <c r="BK135" s="625"/>
      <c r="BL135" s="625"/>
      <c r="BM135" s="625"/>
      <c r="BN135" s="625"/>
      <c r="BO135" s="625"/>
      <c r="BP135" s="625"/>
      <c r="BQ135" s="625"/>
      <c r="BR135" s="625"/>
      <c r="BT135" s="21" t="s">
        <v>6821</v>
      </c>
    </row>
    <row r="136" spans="1:72">
      <c r="A136" s="29" t="s">
        <v>1242</v>
      </c>
      <c r="B136" s="29" t="s">
        <v>1549</v>
      </c>
      <c r="C136" s="626">
        <f>SETUP!$F$54</f>
        <v>0</v>
      </c>
      <c r="D136" s="25">
        <v>5.0999999999999996</v>
      </c>
      <c r="E136" s="26" t="s">
        <v>582</v>
      </c>
      <c r="F136" s="26" t="s">
        <v>1187</v>
      </c>
      <c r="G136" s="625" t="str">
        <f t="array" ref="G136">IFERROR(INDEX('Malaria-Equipment &amp; Other HPs'!$L$64:$L$122,MATCH($E136&amp;$F136,'Malaria-Equipment &amp; Other HPs'!$E$64:$E$122&amp;'Malaria-Equipment &amp; Other HPs'!$I$64:$I$122,0)),"")</f>
        <v/>
      </c>
      <c r="H136" s="625" t="str">
        <f t="array" ref="H136">IFERROR(INDEX('Malaria-Equipment &amp; Other HPs'!$M$64:$M$122,MATCH($E136&amp;$F136,'Malaria-Equipment &amp; Other HPs'!$E$64:$E$122&amp;'Malaria-Equipment &amp; Other HPs'!$I$64:$I$122,0)),"")</f>
        <v/>
      </c>
      <c r="I136" s="625">
        <f t="array" ref="I136">IFERROR(INDEX('Malaria-Equipment &amp; Other HPs'!$N$64:$N$122,MATCH($E136&amp;$F136,'Malaria-Equipment &amp; Other HPs'!$E$64:$E$122&amp;'Malaria-Equipment &amp; Other HPs'!$I$64:$I$122,0)),0)</f>
        <v>0</v>
      </c>
      <c r="J136" s="625">
        <f t="array" ref="J136">IFERROR(INDEX('Malaria-Equipment &amp; Other HPs'!$O$64:$O$122,MATCH($E136&amp;$F136,'Malaria-Equipment &amp; Other HPs'!$E$64:$E$122&amp;'Malaria-Equipment &amp; Other HPs'!$I$64:$I$122,0)),0)</f>
        <v>0</v>
      </c>
      <c r="K136" s="626">
        <f t="shared" si="108"/>
        <v>0</v>
      </c>
      <c r="L136" s="626">
        <f t="shared" si="109"/>
        <v>0</v>
      </c>
      <c r="M136" s="626">
        <f t="shared" si="110"/>
        <v>0</v>
      </c>
      <c r="N136" s="625">
        <f t="array" ref="N136">IFERROR(INDEX('Malaria-Equipment &amp; Other HPs'!$P$64:$P$122,MATCH($E136&amp;$F136,'Malaria-Equipment &amp; Other HPs'!$E$64:$E$122&amp;'Malaria-Equipment &amp; Other HPs'!$I$64:$I$122,0)),0)</f>
        <v>0</v>
      </c>
      <c r="O136" s="626">
        <f t="shared" si="111"/>
        <v>0</v>
      </c>
      <c r="P136" s="626">
        <f t="shared" si="112"/>
        <v>0</v>
      </c>
      <c r="Q136" s="626">
        <f t="shared" si="113"/>
        <v>0</v>
      </c>
      <c r="R136" s="625">
        <f t="array" ref="R136">IFERROR(INDEX('Malaria-Equipment &amp; Other HPs'!$Q$64:$Q$122,MATCH($E136&amp;$F136,'Malaria-Equipment &amp; Other HPs'!$E$64:$E$122&amp;'Malaria-Equipment &amp; Other HPs'!$I$64:$I$122,0)),0)</f>
        <v>0</v>
      </c>
      <c r="S136" s="626">
        <f t="shared" si="114"/>
        <v>0</v>
      </c>
      <c r="T136" s="626">
        <f t="shared" si="115"/>
        <v>0</v>
      </c>
      <c r="U136" s="626">
        <f t="shared" si="116"/>
        <v>0</v>
      </c>
      <c r="V136" s="625">
        <f t="array" ref="V136">IFERROR(INDEX('Malaria-Equipment &amp; Other HPs'!$R$64:$R$122,MATCH($E136&amp;$F136,'Malaria-Equipment &amp; Other HPs'!$E$64:$E$122&amp;'Malaria-Equipment &amp; Other HPs'!$I$64:$I$122,0)),0)</f>
        <v>0</v>
      </c>
      <c r="W136" s="626">
        <f t="shared" si="117"/>
        <v>0</v>
      </c>
      <c r="X136" s="626">
        <f t="shared" si="118"/>
        <v>0</v>
      </c>
      <c r="Y136" s="626">
        <f t="shared" si="119"/>
        <v>0</v>
      </c>
      <c r="Z136" s="630"/>
      <c r="AA136" s="625">
        <f t="array" ref="AA136">IFERROR(INDEX('Malaria-Equipment &amp; Other HPs'!$U$64:$U$122,MATCH($E136&amp;$F136,'Malaria-Equipment &amp; Other HPs'!$E$64:$E$122&amp;'Malaria-Equipment &amp; Other HPs'!$I$64:$I$122,0)),0)</f>
        <v>0</v>
      </c>
      <c r="AB136" s="625">
        <f t="array" ref="AB136">IFERROR(INDEX('Malaria-Equipment &amp; Other HPs'!$V$64:$V$122,MATCH($E136&amp;$F136,'Malaria-Equipment &amp; Other HPs'!$E$64:$E$122&amp;'Malaria-Equipment &amp; Other HPs'!$I$64:$I$122,0)),0)</f>
        <v>0</v>
      </c>
      <c r="AC136" s="625">
        <f t="shared" si="120"/>
        <v>0</v>
      </c>
      <c r="AD136" s="626">
        <f t="shared" si="121"/>
        <v>0</v>
      </c>
      <c r="AE136" s="626">
        <f t="shared" si="122"/>
        <v>0</v>
      </c>
      <c r="AF136" s="625">
        <f t="array" ref="AF136">IFERROR(INDEX('Malaria-Equipment &amp; Other HPs'!$W$64:$W$122,MATCH($E136&amp;$F136,'Malaria-Equipment &amp; Other HPs'!$E$64:$E$122&amp;'Malaria-Equipment &amp; Other HPs'!$I$64:$I$122,0)),0)</f>
        <v>0</v>
      </c>
      <c r="AG136" s="625">
        <f t="shared" si="123"/>
        <v>0</v>
      </c>
      <c r="AH136" s="626">
        <f t="shared" si="124"/>
        <v>0</v>
      </c>
      <c r="AI136" s="626">
        <f t="shared" si="125"/>
        <v>0</v>
      </c>
      <c r="AJ136" s="625">
        <f t="array" ref="AJ136">IFERROR(INDEX('Malaria-Equipment &amp; Other HPs'!$X$64:$X$122,MATCH($E136&amp;$F136,'Malaria-Equipment &amp; Other HPs'!$E$64:$E$122&amp;'Malaria-Equipment &amp; Other HPs'!$I$64:$I$122,0)),0)</f>
        <v>0</v>
      </c>
      <c r="AK136" s="625">
        <f t="shared" si="126"/>
        <v>0</v>
      </c>
      <c r="AL136" s="626">
        <f t="shared" si="127"/>
        <v>0</v>
      </c>
      <c r="AM136" s="626">
        <f t="shared" si="128"/>
        <v>0</v>
      </c>
      <c r="AN136" s="625">
        <f t="array" ref="AN136">IFERROR(INDEX('Malaria-Equipment &amp; Other HPs'!$Y$64:$Y$122,MATCH($E136&amp;$F136,'Malaria-Equipment &amp; Other HPs'!$E$64:$E$122&amp;'Malaria-Equipment &amp; Other HPs'!$I$64:$I$122,0)),0)</f>
        <v>0</v>
      </c>
      <c r="AO136" s="625">
        <f t="shared" si="129"/>
        <v>0</v>
      </c>
      <c r="AP136" s="626">
        <f t="shared" si="130"/>
        <v>0</v>
      </c>
      <c r="AQ136" s="626">
        <f t="shared" si="131"/>
        <v>0</v>
      </c>
      <c r="AR136" s="630"/>
      <c r="AS136" s="625">
        <f t="array" ref="AS136">IFERROR(INDEX('Malaria-Equipment &amp; Other HPs'!$AB$64:$AB$122,MATCH($E136&amp;$F136,'Malaria-Equipment &amp; Other HPs'!$E$64:$E$122&amp;'Malaria-Equipment &amp; Other HPs'!$I$64:$I$122,0)),0)</f>
        <v>0</v>
      </c>
      <c r="AT136" s="625">
        <f t="array" ref="AT136">IFERROR(INDEX('Malaria-Equipment &amp; Other HPs'!$AC$64:$AC$122,MATCH($E136&amp;$F136,'Malaria-Equipment &amp; Other HPs'!$E$64:$E$122&amp;'Malaria-Equipment &amp; Other HPs'!$I$64:$I$122,0)),0)</f>
        <v>0</v>
      </c>
      <c r="AU136" s="625">
        <f t="shared" si="132"/>
        <v>0</v>
      </c>
      <c r="AV136" s="626">
        <f t="shared" si="133"/>
        <v>0</v>
      </c>
      <c r="AW136" s="626">
        <f t="shared" si="134"/>
        <v>0</v>
      </c>
      <c r="AX136" s="625">
        <f t="array" ref="AX136">IFERROR(INDEX('Malaria-Equipment &amp; Other HPs'!$AD$64:$AD$122,MATCH($E136&amp;$F136,'Malaria-Equipment &amp; Other HPs'!$E$64:$E$122&amp;'Malaria-Equipment &amp; Other HPs'!$I$64:$I$122,0)),0)</f>
        <v>0</v>
      </c>
      <c r="AY136" s="625">
        <f t="shared" si="135"/>
        <v>0</v>
      </c>
      <c r="AZ136" s="626">
        <f t="shared" si="136"/>
        <v>0</v>
      </c>
      <c r="BA136" s="626">
        <f t="shared" si="137"/>
        <v>0</v>
      </c>
      <c r="BB136" s="625">
        <f t="array" ref="BB136">IFERROR(INDEX('Malaria-Equipment &amp; Other HPs'!$AE$64:$AE$122,MATCH($E136&amp;$F136,'Malaria-Equipment &amp; Other HPs'!$E$64:$E$122&amp;'Malaria-Equipment &amp; Other HPs'!$I$64:$I$122,0)),0)</f>
        <v>0</v>
      </c>
      <c r="BC136" s="625">
        <f t="shared" si="138"/>
        <v>0</v>
      </c>
      <c r="BD136" s="626">
        <f t="shared" si="139"/>
        <v>0</v>
      </c>
      <c r="BE136" s="626">
        <f t="shared" si="140"/>
        <v>0</v>
      </c>
      <c r="BF136" s="625">
        <f t="array" ref="BF136">IFERROR(INDEX('Malaria-Equipment &amp; Other HPs'!$AF$64:$AF$122,MATCH($E136&amp;$F136,'Malaria-Equipment &amp; Other HPs'!$E$64:$E$122&amp;'Malaria-Equipment &amp; Other HPs'!$I$64:$I$122,0)),0)</f>
        <v>0</v>
      </c>
      <c r="BG136" s="625">
        <f t="shared" si="141"/>
        <v>0</v>
      </c>
      <c r="BH136" s="626">
        <f t="shared" si="142"/>
        <v>0</v>
      </c>
      <c r="BI136" s="626">
        <f t="shared" si="143"/>
        <v>0</v>
      </c>
      <c r="BJ136" s="630"/>
      <c r="BK136" s="625"/>
      <c r="BL136" s="625"/>
      <c r="BM136" s="625"/>
      <c r="BN136" s="625"/>
      <c r="BO136" s="625"/>
      <c r="BP136" s="625"/>
      <c r="BQ136" s="625"/>
      <c r="BR136" s="625"/>
      <c r="BT136" s="21" t="s">
        <v>6821</v>
      </c>
    </row>
    <row r="137" spans="1:72">
      <c r="A137" s="29" t="s">
        <v>1242</v>
      </c>
      <c r="B137" s="29" t="s">
        <v>1549</v>
      </c>
      <c r="C137" s="626">
        <f>SETUP!$F$54</f>
        <v>0</v>
      </c>
      <c r="D137" s="25">
        <v>5.0999999999999996</v>
      </c>
      <c r="E137" s="26" t="s">
        <v>582</v>
      </c>
      <c r="F137" s="26" t="s">
        <v>850</v>
      </c>
      <c r="G137" s="625" t="str">
        <f t="array" ref="G137">IFERROR(INDEX('Malaria-Equipment &amp; Other HPs'!$L$64:$L$122,MATCH($E137&amp;$F137,'Malaria-Equipment &amp; Other HPs'!$E$64:$E$122&amp;'Malaria-Equipment &amp; Other HPs'!$I$64:$I$122,0)),"")</f>
        <v/>
      </c>
      <c r="H137" s="625" t="str">
        <f t="array" ref="H137">IFERROR(INDEX('Malaria-Equipment &amp; Other HPs'!$M$64:$M$122,MATCH($E137&amp;$F137,'Malaria-Equipment &amp; Other HPs'!$E$64:$E$122&amp;'Malaria-Equipment &amp; Other HPs'!$I$64:$I$122,0)),"")</f>
        <v/>
      </c>
      <c r="I137" s="625">
        <f t="array" ref="I137">IFERROR(INDEX('Malaria-Equipment &amp; Other HPs'!$N$64:$N$122,MATCH($E137&amp;$F137,'Malaria-Equipment &amp; Other HPs'!$E$64:$E$122&amp;'Malaria-Equipment &amp; Other HPs'!$I$64:$I$122,0)),0)</f>
        <v>0</v>
      </c>
      <c r="J137" s="625">
        <f t="array" ref="J137">IFERROR(INDEX('Malaria-Equipment &amp; Other HPs'!$O$64:$O$122,MATCH($E137&amp;$F137,'Malaria-Equipment &amp; Other HPs'!$E$64:$E$122&amp;'Malaria-Equipment &amp; Other HPs'!$I$64:$I$122,0)),0)</f>
        <v>0</v>
      </c>
      <c r="K137" s="626">
        <f t="shared" si="108"/>
        <v>0</v>
      </c>
      <c r="L137" s="626">
        <f t="shared" si="109"/>
        <v>0</v>
      </c>
      <c r="M137" s="626">
        <f t="shared" si="110"/>
        <v>0</v>
      </c>
      <c r="N137" s="625">
        <f t="array" ref="N137">IFERROR(INDEX('Malaria-Equipment &amp; Other HPs'!$P$64:$P$122,MATCH($E137&amp;$F137,'Malaria-Equipment &amp; Other HPs'!$E$64:$E$122&amp;'Malaria-Equipment &amp; Other HPs'!$I$64:$I$122,0)),0)</f>
        <v>0</v>
      </c>
      <c r="O137" s="626">
        <f t="shared" si="111"/>
        <v>0</v>
      </c>
      <c r="P137" s="626">
        <f t="shared" si="112"/>
        <v>0</v>
      </c>
      <c r="Q137" s="626">
        <f t="shared" si="113"/>
        <v>0</v>
      </c>
      <c r="R137" s="625">
        <f t="array" ref="R137">IFERROR(INDEX('Malaria-Equipment &amp; Other HPs'!$Q$64:$Q$122,MATCH($E137&amp;$F137,'Malaria-Equipment &amp; Other HPs'!$E$64:$E$122&amp;'Malaria-Equipment &amp; Other HPs'!$I$64:$I$122,0)),0)</f>
        <v>0</v>
      </c>
      <c r="S137" s="626">
        <f t="shared" si="114"/>
        <v>0</v>
      </c>
      <c r="T137" s="626">
        <f t="shared" si="115"/>
        <v>0</v>
      </c>
      <c r="U137" s="626">
        <f t="shared" si="116"/>
        <v>0</v>
      </c>
      <c r="V137" s="625">
        <f t="array" ref="V137">IFERROR(INDEX('Malaria-Equipment &amp; Other HPs'!$R$64:$R$122,MATCH($E137&amp;$F137,'Malaria-Equipment &amp; Other HPs'!$E$64:$E$122&amp;'Malaria-Equipment &amp; Other HPs'!$I$64:$I$122,0)),0)</f>
        <v>0</v>
      </c>
      <c r="W137" s="626">
        <f t="shared" si="117"/>
        <v>0</v>
      </c>
      <c r="X137" s="626">
        <f t="shared" si="118"/>
        <v>0</v>
      </c>
      <c r="Y137" s="626">
        <f t="shared" si="119"/>
        <v>0</v>
      </c>
      <c r="Z137" s="630"/>
      <c r="AA137" s="625">
        <f t="array" ref="AA137">IFERROR(INDEX('Malaria-Equipment &amp; Other HPs'!$U$64:$U$122,MATCH($E137&amp;$F137,'Malaria-Equipment &amp; Other HPs'!$E$64:$E$122&amp;'Malaria-Equipment &amp; Other HPs'!$I$64:$I$122,0)),0)</f>
        <v>0</v>
      </c>
      <c r="AB137" s="625">
        <f t="array" ref="AB137">IFERROR(INDEX('Malaria-Equipment &amp; Other HPs'!$V$64:$V$122,MATCH($E137&amp;$F137,'Malaria-Equipment &amp; Other HPs'!$E$64:$E$122&amp;'Malaria-Equipment &amp; Other HPs'!$I$64:$I$122,0)),0)</f>
        <v>0</v>
      </c>
      <c r="AC137" s="625">
        <f t="shared" si="120"/>
        <v>0</v>
      </c>
      <c r="AD137" s="626">
        <f t="shared" si="121"/>
        <v>0</v>
      </c>
      <c r="AE137" s="626">
        <f t="shared" si="122"/>
        <v>0</v>
      </c>
      <c r="AF137" s="625">
        <f t="array" ref="AF137">IFERROR(INDEX('Malaria-Equipment &amp; Other HPs'!$W$64:$W$122,MATCH($E137&amp;$F137,'Malaria-Equipment &amp; Other HPs'!$E$64:$E$122&amp;'Malaria-Equipment &amp; Other HPs'!$I$64:$I$122,0)),0)</f>
        <v>0</v>
      </c>
      <c r="AG137" s="625">
        <f t="shared" si="123"/>
        <v>0</v>
      </c>
      <c r="AH137" s="626">
        <f t="shared" si="124"/>
        <v>0</v>
      </c>
      <c r="AI137" s="626">
        <f t="shared" si="125"/>
        <v>0</v>
      </c>
      <c r="AJ137" s="625">
        <f t="array" ref="AJ137">IFERROR(INDEX('Malaria-Equipment &amp; Other HPs'!$X$64:$X$122,MATCH($E137&amp;$F137,'Malaria-Equipment &amp; Other HPs'!$E$64:$E$122&amp;'Malaria-Equipment &amp; Other HPs'!$I$64:$I$122,0)),0)</f>
        <v>0</v>
      </c>
      <c r="AK137" s="625">
        <f t="shared" si="126"/>
        <v>0</v>
      </c>
      <c r="AL137" s="626">
        <f t="shared" si="127"/>
        <v>0</v>
      </c>
      <c r="AM137" s="626">
        <f t="shared" si="128"/>
        <v>0</v>
      </c>
      <c r="AN137" s="625">
        <f t="array" ref="AN137">IFERROR(INDEX('Malaria-Equipment &amp; Other HPs'!$Y$64:$Y$122,MATCH($E137&amp;$F137,'Malaria-Equipment &amp; Other HPs'!$E$64:$E$122&amp;'Malaria-Equipment &amp; Other HPs'!$I$64:$I$122,0)),0)</f>
        <v>0</v>
      </c>
      <c r="AO137" s="625">
        <f t="shared" si="129"/>
        <v>0</v>
      </c>
      <c r="AP137" s="626">
        <f t="shared" si="130"/>
        <v>0</v>
      </c>
      <c r="AQ137" s="626">
        <f t="shared" si="131"/>
        <v>0</v>
      </c>
      <c r="AR137" s="630"/>
      <c r="AS137" s="625">
        <f t="array" ref="AS137">IFERROR(INDEX('Malaria-Equipment &amp; Other HPs'!$AB$64:$AB$122,MATCH($E137&amp;$F137,'Malaria-Equipment &amp; Other HPs'!$E$64:$E$122&amp;'Malaria-Equipment &amp; Other HPs'!$I$64:$I$122,0)),0)</f>
        <v>0</v>
      </c>
      <c r="AT137" s="625">
        <f t="array" ref="AT137">IFERROR(INDEX('Malaria-Equipment &amp; Other HPs'!$AC$64:$AC$122,MATCH($E137&amp;$F137,'Malaria-Equipment &amp; Other HPs'!$E$64:$E$122&amp;'Malaria-Equipment &amp; Other HPs'!$I$64:$I$122,0)),0)</f>
        <v>0</v>
      </c>
      <c r="AU137" s="625">
        <f t="shared" si="132"/>
        <v>0</v>
      </c>
      <c r="AV137" s="626">
        <f t="shared" si="133"/>
        <v>0</v>
      </c>
      <c r="AW137" s="626">
        <f t="shared" si="134"/>
        <v>0</v>
      </c>
      <c r="AX137" s="625">
        <f t="array" ref="AX137">IFERROR(INDEX('Malaria-Equipment &amp; Other HPs'!$AD$64:$AD$122,MATCH($E137&amp;$F137,'Malaria-Equipment &amp; Other HPs'!$E$64:$E$122&amp;'Malaria-Equipment &amp; Other HPs'!$I$64:$I$122,0)),0)</f>
        <v>0</v>
      </c>
      <c r="AY137" s="625">
        <f t="shared" si="135"/>
        <v>0</v>
      </c>
      <c r="AZ137" s="626">
        <f t="shared" si="136"/>
        <v>0</v>
      </c>
      <c r="BA137" s="626">
        <f t="shared" si="137"/>
        <v>0</v>
      </c>
      <c r="BB137" s="625">
        <f t="array" ref="BB137">IFERROR(INDEX('Malaria-Equipment &amp; Other HPs'!$AE$64:$AE$122,MATCH($E137&amp;$F137,'Malaria-Equipment &amp; Other HPs'!$E$64:$E$122&amp;'Malaria-Equipment &amp; Other HPs'!$I$64:$I$122,0)),0)</f>
        <v>0</v>
      </c>
      <c r="BC137" s="625">
        <f t="shared" si="138"/>
        <v>0</v>
      </c>
      <c r="BD137" s="626">
        <f t="shared" si="139"/>
        <v>0</v>
      </c>
      <c r="BE137" s="626">
        <f t="shared" si="140"/>
        <v>0</v>
      </c>
      <c r="BF137" s="625">
        <f t="array" ref="BF137">IFERROR(INDEX('Malaria-Equipment &amp; Other HPs'!$AF$64:$AF$122,MATCH($E137&amp;$F137,'Malaria-Equipment &amp; Other HPs'!$E$64:$E$122&amp;'Malaria-Equipment &amp; Other HPs'!$I$64:$I$122,0)),0)</f>
        <v>0</v>
      </c>
      <c r="BG137" s="625">
        <f t="shared" si="141"/>
        <v>0</v>
      </c>
      <c r="BH137" s="626">
        <f t="shared" si="142"/>
        <v>0</v>
      </c>
      <c r="BI137" s="626">
        <f t="shared" si="143"/>
        <v>0</v>
      </c>
      <c r="BJ137" s="630"/>
      <c r="BK137" s="625"/>
      <c r="BL137" s="625"/>
      <c r="BM137" s="625"/>
      <c r="BN137" s="625"/>
      <c r="BO137" s="625"/>
      <c r="BP137" s="625"/>
      <c r="BQ137" s="625"/>
      <c r="BR137" s="625"/>
      <c r="BT137" s="21" t="s">
        <v>6821</v>
      </c>
    </row>
    <row r="138" spans="1:72">
      <c r="A138" s="29" t="s">
        <v>1242</v>
      </c>
      <c r="B138" s="29" t="s">
        <v>1549</v>
      </c>
      <c r="C138" s="626">
        <f>SETUP!$F$54</f>
        <v>0</v>
      </c>
      <c r="D138" s="25">
        <v>5.0999999999999996</v>
      </c>
      <c r="E138" s="26" t="s">
        <v>582</v>
      </c>
      <c r="F138" s="26" t="s">
        <v>1188</v>
      </c>
      <c r="G138" s="625" t="str">
        <f t="array" ref="G138">IFERROR(INDEX('Malaria-Equipment &amp; Other HPs'!$L$64:$L$122,MATCH($E138&amp;$F138,'Malaria-Equipment &amp; Other HPs'!$E$64:$E$122&amp;'Malaria-Equipment &amp; Other HPs'!$I$64:$I$122,0)),"")</f>
        <v/>
      </c>
      <c r="H138" s="625" t="str">
        <f t="array" ref="H138">IFERROR(INDEX('Malaria-Equipment &amp; Other HPs'!$M$64:$M$122,MATCH($E138&amp;$F138,'Malaria-Equipment &amp; Other HPs'!$E$64:$E$122&amp;'Malaria-Equipment &amp; Other HPs'!$I$64:$I$122,0)),"")</f>
        <v/>
      </c>
      <c r="I138" s="625">
        <f t="array" ref="I138">IFERROR(INDEX('Malaria-Equipment &amp; Other HPs'!$N$64:$N$122,MATCH($E138&amp;$F138,'Malaria-Equipment &amp; Other HPs'!$E$64:$E$122&amp;'Malaria-Equipment &amp; Other HPs'!$I$64:$I$122,0)),0)</f>
        <v>0</v>
      </c>
      <c r="J138" s="625">
        <f t="array" ref="J138">IFERROR(INDEX('Malaria-Equipment &amp; Other HPs'!$O$64:$O$122,MATCH($E138&amp;$F138,'Malaria-Equipment &amp; Other HPs'!$E$64:$E$122&amp;'Malaria-Equipment &amp; Other HPs'!$I$64:$I$122,0)),0)</f>
        <v>0</v>
      </c>
      <c r="K138" s="626">
        <f t="shared" si="108"/>
        <v>0</v>
      </c>
      <c r="L138" s="626">
        <f t="shared" si="109"/>
        <v>0</v>
      </c>
      <c r="M138" s="626">
        <f t="shared" si="110"/>
        <v>0</v>
      </c>
      <c r="N138" s="625">
        <f t="array" ref="N138">IFERROR(INDEX('Malaria-Equipment &amp; Other HPs'!$P$64:$P$122,MATCH($E138&amp;$F138,'Malaria-Equipment &amp; Other HPs'!$E$64:$E$122&amp;'Malaria-Equipment &amp; Other HPs'!$I$64:$I$122,0)),0)</f>
        <v>0</v>
      </c>
      <c r="O138" s="626">
        <f t="shared" si="111"/>
        <v>0</v>
      </c>
      <c r="P138" s="626">
        <f t="shared" si="112"/>
        <v>0</v>
      </c>
      <c r="Q138" s="626">
        <f t="shared" si="113"/>
        <v>0</v>
      </c>
      <c r="R138" s="625">
        <f t="array" ref="R138">IFERROR(INDEX('Malaria-Equipment &amp; Other HPs'!$Q$64:$Q$122,MATCH($E138&amp;$F138,'Malaria-Equipment &amp; Other HPs'!$E$64:$E$122&amp;'Malaria-Equipment &amp; Other HPs'!$I$64:$I$122,0)),0)</f>
        <v>0</v>
      </c>
      <c r="S138" s="626">
        <f t="shared" si="114"/>
        <v>0</v>
      </c>
      <c r="T138" s="626">
        <f t="shared" si="115"/>
        <v>0</v>
      </c>
      <c r="U138" s="626">
        <f t="shared" si="116"/>
        <v>0</v>
      </c>
      <c r="V138" s="625">
        <f t="array" ref="V138">IFERROR(INDEX('Malaria-Equipment &amp; Other HPs'!$R$64:$R$122,MATCH($E138&amp;$F138,'Malaria-Equipment &amp; Other HPs'!$E$64:$E$122&amp;'Malaria-Equipment &amp; Other HPs'!$I$64:$I$122,0)),0)</f>
        <v>0</v>
      </c>
      <c r="W138" s="626">
        <f t="shared" si="117"/>
        <v>0</v>
      </c>
      <c r="X138" s="626">
        <f t="shared" si="118"/>
        <v>0</v>
      </c>
      <c r="Y138" s="626">
        <f t="shared" si="119"/>
        <v>0</v>
      </c>
      <c r="Z138" s="630"/>
      <c r="AA138" s="625">
        <f t="array" ref="AA138">IFERROR(INDEX('Malaria-Equipment &amp; Other HPs'!$U$64:$U$122,MATCH($E138&amp;$F138,'Malaria-Equipment &amp; Other HPs'!$E$64:$E$122&amp;'Malaria-Equipment &amp; Other HPs'!$I$64:$I$122,0)),0)</f>
        <v>0</v>
      </c>
      <c r="AB138" s="625">
        <f t="array" ref="AB138">IFERROR(INDEX('Malaria-Equipment &amp; Other HPs'!$V$64:$V$122,MATCH($E138&amp;$F138,'Malaria-Equipment &amp; Other HPs'!$E$64:$E$122&amp;'Malaria-Equipment &amp; Other HPs'!$I$64:$I$122,0)),0)</f>
        <v>0</v>
      </c>
      <c r="AC138" s="625">
        <f t="shared" si="120"/>
        <v>0</v>
      </c>
      <c r="AD138" s="626">
        <f t="shared" si="121"/>
        <v>0</v>
      </c>
      <c r="AE138" s="626">
        <f t="shared" si="122"/>
        <v>0</v>
      </c>
      <c r="AF138" s="625">
        <f t="array" ref="AF138">IFERROR(INDEX('Malaria-Equipment &amp; Other HPs'!$W$64:$W$122,MATCH($E138&amp;$F138,'Malaria-Equipment &amp; Other HPs'!$E$64:$E$122&amp;'Malaria-Equipment &amp; Other HPs'!$I$64:$I$122,0)),0)</f>
        <v>0</v>
      </c>
      <c r="AG138" s="625">
        <f t="shared" si="123"/>
        <v>0</v>
      </c>
      <c r="AH138" s="626">
        <f t="shared" si="124"/>
        <v>0</v>
      </c>
      <c r="AI138" s="626">
        <f t="shared" si="125"/>
        <v>0</v>
      </c>
      <c r="AJ138" s="625">
        <f t="array" ref="AJ138">IFERROR(INDEX('Malaria-Equipment &amp; Other HPs'!$X$64:$X$122,MATCH($E138&amp;$F138,'Malaria-Equipment &amp; Other HPs'!$E$64:$E$122&amp;'Malaria-Equipment &amp; Other HPs'!$I$64:$I$122,0)),0)</f>
        <v>0</v>
      </c>
      <c r="AK138" s="625">
        <f t="shared" si="126"/>
        <v>0</v>
      </c>
      <c r="AL138" s="626">
        <f t="shared" si="127"/>
        <v>0</v>
      </c>
      <c r="AM138" s="626">
        <f t="shared" si="128"/>
        <v>0</v>
      </c>
      <c r="AN138" s="625">
        <f t="array" ref="AN138">IFERROR(INDEX('Malaria-Equipment &amp; Other HPs'!$Y$64:$Y$122,MATCH($E138&amp;$F138,'Malaria-Equipment &amp; Other HPs'!$E$64:$E$122&amp;'Malaria-Equipment &amp; Other HPs'!$I$64:$I$122,0)),0)</f>
        <v>0</v>
      </c>
      <c r="AO138" s="625">
        <f t="shared" si="129"/>
        <v>0</v>
      </c>
      <c r="AP138" s="626">
        <f t="shared" si="130"/>
        <v>0</v>
      </c>
      <c r="AQ138" s="626">
        <f t="shared" si="131"/>
        <v>0</v>
      </c>
      <c r="AR138" s="630"/>
      <c r="AS138" s="625">
        <f t="array" ref="AS138">IFERROR(INDEX('Malaria-Equipment &amp; Other HPs'!$AB$64:$AB$122,MATCH($E138&amp;$F138,'Malaria-Equipment &amp; Other HPs'!$E$64:$E$122&amp;'Malaria-Equipment &amp; Other HPs'!$I$64:$I$122,0)),0)</f>
        <v>0</v>
      </c>
      <c r="AT138" s="625">
        <f t="array" ref="AT138">IFERROR(INDEX('Malaria-Equipment &amp; Other HPs'!$AC$64:$AC$122,MATCH($E138&amp;$F138,'Malaria-Equipment &amp; Other HPs'!$E$64:$E$122&amp;'Malaria-Equipment &amp; Other HPs'!$I$64:$I$122,0)),0)</f>
        <v>0</v>
      </c>
      <c r="AU138" s="625">
        <f t="shared" si="132"/>
        <v>0</v>
      </c>
      <c r="AV138" s="626">
        <f t="shared" si="133"/>
        <v>0</v>
      </c>
      <c r="AW138" s="626">
        <f t="shared" si="134"/>
        <v>0</v>
      </c>
      <c r="AX138" s="625">
        <f t="array" ref="AX138">IFERROR(INDEX('Malaria-Equipment &amp; Other HPs'!$AD$64:$AD$122,MATCH($E138&amp;$F138,'Malaria-Equipment &amp; Other HPs'!$E$64:$E$122&amp;'Malaria-Equipment &amp; Other HPs'!$I$64:$I$122,0)),0)</f>
        <v>0</v>
      </c>
      <c r="AY138" s="625">
        <f t="shared" si="135"/>
        <v>0</v>
      </c>
      <c r="AZ138" s="626">
        <f t="shared" si="136"/>
        <v>0</v>
      </c>
      <c r="BA138" s="626">
        <f t="shared" si="137"/>
        <v>0</v>
      </c>
      <c r="BB138" s="625">
        <f t="array" ref="BB138">IFERROR(INDEX('Malaria-Equipment &amp; Other HPs'!$AE$64:$AE$122,MATCH($E138&amp;$F138,'Malaria-Equipment &amp; Other HPs'!$E$64:$E$122&amp;'Malaria-Equipment &amp; Other HPs'!$I$64:$I$122,0)),0)</f>
        <v>0</v>
      </c>
      <c r="BC138" s="625">
        <f t="shared" si="138"/>
        <v>0</v>
      </c>
      <c r="BD138" s="626">
        <f t="shared" si="139"/>
        <v>0</v>
      </c>
      <c r="BE138" s="626">
        <f t="shared" si="140"/>
        <v>0</v>
      </c>
      <c r="BF138" s="625">
        <f t="array" ref="BF138">IFERROR(INDEX('Malaria-Equipment &amp; Other HPs'!$AF$64:$AF$122,MATCH($E138&amp;$F138,'Malaria-Equipment &amp; Other HPs'!$E$64:$E$122&amp;'Malaria-Equipment &amp; Other HPs'!$I$64:$I$122,0)),0)</f>
        <v>0</v>
      </c>
      <c r="BG138" s="625">
        <f t="shared" si="141"/>
        <v>0</v>
      </c>
      <c r="BH138" s="626">
        <f t="shared" si="142"/>
        <v>0</v>
      </c>
      <c r="BI138" s="626">
        <f t="shared" si="143"/>
        <v>0</v>
      </c>
      <c r="BJ138" s="630"/>
      <c r="BK138" s="625"/>
      <c r="BL138" s="625"/>
      <c r="BM138" s="625"/>
      <c r="BN138" s="625"/>
      <c r="BO138" s="625"/>
      <c r="BP138" s="625"/>
      <c r="BQ138" s="625"/>
      <c r="BR138" s="625"/>
      <c r="BT138" s="21" t="s">
        <v>6821</v>
      </c>
    </row>
    <row r="139" spans="1:72">
      <c r="A139" s="29" t="s">
        <v>1242</v>
      </c>
      <c r="B139" s="29" t="s">
        <v>1549</v>
      </c>
      <c r="C139" s="626">
        <f>SETUP!$F$54</f>
        <v>0</v>
      </c>
      <c r="D139" s="25">
        <v>5.0999999999999996</v>
      </c>
      <c r="E139" s="26" t="s">
        <v>582</v>
      </c>
      <c r="F139" s="26" t="s">
        <v>851</v>
      </c>
      <c r="G139" s="625" t="str">
        <f t="array" ref="G139">IFERROR(INDEX('Malaria-Equipment &amp; Other HPs'!$L$64:$L$122,MATCH($E139&amp;$F139,'Malaria-Equipment &amp; Other HPs'!$E$64:$E$122&amp;'Malaria-Equipment &amp; Other HPs'!$I$64:$I$122,0)),"")</f>
        <v/>
      </c>
      <c r="H139" s="625" t="str">
        <f t="array" ref="H139">IFERROR(INDEX('Malaria-Equipment &amp; Other HPs'!$M$64:$M$122,MATCH($E139&amp;$F139,'Malaria-Equipment &amp; Other HPs'!$E$64:$E$122&amp;'Malaria-Equipment &amp; Other HPs'!$I$64:$I$122,0)),"")</f>
        <v/>
      </c>
      <c r="I139" s="625">
        <f t="array" ref="I139">IFERROR(INDEX('Malaria-Equipment &amp; Other HPs'!$N$64:$N$122,MATCH($E139&amp;$F139,'Malaria-Equipment &amp; Other HPs'!$E$64:$E$122&amp;'Malaria-Equipment &amp; Other HPs'!$I$64:$I$122,0)),0)</f>
        <v>0</v>
      </c>
      <c r="J139" s="625">
        <f t="array" ref="J139">IFERROR(INDEX('Malaria-Equipment &amp; Other HPs'!$O$64:$O$122,MATCH($E139&amp;$F139,'Malaria-Equipment &amp; Other HPs'!$E$64:$E$122&amp;'Malaria-Equipment &amp; Other HPs'!$I$64:$I$122,0)),0)</f>
        <v>0</v>
      </c>
      <c r="K139" s="626">
        <f t="shared" si="108"/>
        <v>0</v>
      </c>
      <c r="L139" s="626">
        <f t="shared" si="109"/>
        <v>0</v>
      </c>
      <c r="M139" s="626">
        <f t="shared" si="110"/>
        <v>0</v>
      </c>
      <c r="N139" s="625">
        <f t="array" ref="N139">IFERROR(INDEX('Malaria-Equipment &amp; Other HPs'!$P$64:$P$122,MATCH($E139&amp;$F139,'Malaria-Equipment &amp; Other HPs'!$E$64:$E$122&amp;'Malaria-Equipment &amp; Other HPs'!$I$64:$I$122,0)),0)</f>
        <v>0</v>
      </c>
      <c r="O139" s="626">
        <f t="shared" si="111"/>
        <v>0</v>
      </c>
      <c r="P139" s="626">
        <f t="shared" si="112"/>
        <v>0</v>
      </c>
      <c r="Q139" s="626">
        <f t="shared" si="113"/>
        <v>0</v>
      </c>
      <c r="R139" s="625">
        <f t="array" ref="R139">IFERROR(INDEX('Malaria-Equipment &amp; Other HPs'!$Q$64:$Q$122,MATCH($E139&amp;$F139,'Malaria-Equipment &amp; Other HPs'!$E$64:$E$122&amp;'Malaria-Equipment &amp; Other HPs'!$I$64:$I$122,0)),0)</f>
        <v>0</v>
      </c>
      <c r="S139" s="626">
        <f t="shared" si="114"/>
        <v>0</v>
      </c>
      <c r="T139" s="626">
        <f t="shared" si="115"/>
        <v>0</v>
      </c>
      <c r="U139" s="626">
        <f t="shared" si="116"/>
        <v>0</v>
      </c>
      <c r="V139" s="625">
        <f t="array" ref="V139">IFERROR(INDEX('Malaria-Equipment &amp; Other HPs'!$R$64:$R$122,MATCH($E139&amp;$F139,'Malaria-Equipment &amp; Other HPs'!$E$64:$E$122&amp;'Malaria-Equipment &amp; Other HPs'!$I$64:$I$122,0)),0)</f>
        <v>0</v>
      </c>
      <c r="W139" s="626">
        <f t="shared" si="117"/>
        <v>0</v>
      </c>
      <c r="X139" s="626">
        <f t="shared" si="118"/>
        <v>0</v>
      </c>
      <c r="Y139" s="626">
        <f t="shared" si="119"/>
        <v>0</v>
      </c>
      <c r="Z139" s="630"/>
      <c r="AA139" s="625">
        <f t="array" ref="AA139">IFERROR(INDEX('Malaria-Equipment &amp; Other HPs'!$U$64:$U$122,MATCH($E139&amp;$F139,'Malaria-Equipment &amp; Other HPs'!$E$64:$E$122&amp;'Malaria-Equipment &amp; Other HPs'!$I$64:$I$122,0)),0)</f>
        <v>0</v>
      </c>
      <c r="AB139" s="625">
        <f t="array" ref="AB139">IFERROR(INDEX('Malaria-Equipment &amp; Other HPs'!$V$64:$V$122,MATCH($E139&amp;$F139,'Malaria-Equipment &amp; Other HPs'!$E$64:$E$122&amp;'Malaria-Equipment &amp; Other HPs'!$I$64:$I$122,0)),0)</f>
        <v>0</v>
      </c>
      <c r="AC139" s="625">
        <f t="shared" si="120"/>
        <v>0</v>
      </c>
      <c r="AD139" s="626">
        <f t="shared" si="121"/>
        <v>0</v>
      </c>
      <c r="AE139" s="626">
        <f t="shared" si="122"/>
        <v>0</v>
      </c>
      <c r="AF139" s="625">
        <f t="array" ref="AF139">IFERROR(INDEX('Malaria-Equipment &amp; Other HPs'!$W$64:$W$122,MATCH($E139&amp;$F139,'Malaria-Equipment &amp; Other HPs'!$E$64:$E$122&amp;'Malaria-Equipment &amp; Other HPs'!$I$64:$I$122,0)),0)</f>
        <v>0</v>
      </c>
      <c r="AG139" s="625">
        <f t="shared" si="123"/>
        <v>0</v>
      </c>
      <c r="AH139" s="626">
        <f t="shared" si="124"/>
        <v>0</v>
      </c>
      <c r="AI139" s="626">
        <f t="shared" si="125"/>
        <v>0</v>
      </c>
      <c r="AJ139" s="625">
        <f t="array" ref="AJ139">IFERROR(INDEX('Malaria-Equipment &amp; Other HPs'!$X$64:$X$122,MATCH($E139&amp;$F139,'Malaria-Equipment &amp; Other HPs'!$E$64:$E$122&amp;'Malaria-Equipment &amp; Other HPs'!$I$64:$I$122,0)),0)</f>
        <v>0</v>
      </c>
      <c r="AK139" s="625">
        <f t="shared" si="126"/>
        <v>0</v>
      </c>
      <c r="AL139" s="626">
        <f t="shared" si="127"/>
        <v>0</v>
      </c>
      <c r="AM139" s="626">
        <f t="shared" si="128"/>
        <v>0</v>
      </c>
      <c r="AN139" s="625">
        <f t="array" ref="AN139">IFERROR(INDEX('Malaria-Equipment &amp; Other HPs'!$Y$64:$Y$122,MATCH($E139&amp;$F139,'Malaria-Equipment &amp; Other HPs'!$E$64:$E$122&amp;'Malaria-Equipment &amp; Other HPs'!$I$64:$I$122,0)),0)</f>
        <v>0</v>
      </c>
      <c r="AO139" s="625">
        <f t="shared" si="129"/>
        <v>0</v>
      </c>
      <c r="AP139" s="626">
        <f t="shared" si="130"/>
        <v>0</v>
      </c>
      <c r="AQ139" s="626">
        <f t="shared" si="131"/>
        <v>0</v>
      </c>
      <c r="AR139" s="630"/>
      <c r="AS139" s="625">
        <f t="array" ref="AS139">IFERROR(INDEX('Malaria-Equipment &amp; Other HPs'!$AB$64:$AB$122,MATCH($E139&amp;$F139,'Malaria-Equipment &amp; Other HPs'!$E$64:$E$122&amp;'Malaria-Equipment &amp; Other HPs'!$I$64:$I$122,0)),0)</f>
        <v>0</v>
      </c>
      <c r="AT139" s="625">
        <f t="array" ref="AT139">IFERROR(INDEX('Malaria-Equipment &amp; Other HPs'!$AC$64:$AC$122,MATCH($E139&amp;$F139,'Malaria-Equipment &amp; Other HPs'!$E$64:$E$122&amp;'Malaria-Equipment &amp; Other HPs'!$I$64:$I$122,0)),0)</f>
        <v>0</v>
      </c>
      <c r="AU139" s="625">
        <f t="shared" si="132"/>
        <v>0</v>
      </c>
      <c r="AV139" s="626">
        <f t="shared" si="133"/>
        <v>0</v>
      </c>
      <c r="AW139" s="626">
        <f t="shared" si="134"/>
        <v>0</v>
      </c>
      <c r="AX139" s="625">
        <f t="array" ref="AX139">IFERROR(INDEX('Malaria-Equipment &amp; Other HPs'!$AD$64:$AD$122,MATCH($E139&amp;$F139,'Malaria-Equipment &amp; Other HPs'!$E$64:$E$122&amp;'Malaria-Equipment &amp; Other HPs'!$I$64:$I$122,0)),0)</f>
        <v>0</v>
      </c>
      <c r="AY139" s="625">
        <f t="shared" si="135"/>
        <v>0</v>
      </c>
      <c r="AZ139" s="626">
        <f t="shared" si="136"/>
        <v>0</v>
      </c>
      <c r="BA139" s="626">
        <f t="shared" si="137"/>
        <v>0</v>
      </c>
      <c r="BB139" s="625">
        <f t="array" ref="BB139">IFERROR(INDEX('Malaria-Equipment &amp; Other HPs'!$AE$64:$AE$122,MATCH($E139&amp;$F139,'Malaria-Equipment &amp; Other HPs'!$E$64:$E$122&amp;'Malaria-Equipment &amp; Other HPs'!$I$64:$I$122,0)),0)</f>
        <v>0</v>
      </c>
      <c r="BC139" s="625">
        <f t="shared" si="138"/>
        <v>0</v>
      </c>
      <c r="BD139" s="626">
        <f t="shared" si="139"/>
        <v>0</v>
      </c>
      <c r="BE139" s="626">
        <f t="shared" si="140"/>
        <v>0</v>
      </c>
      <c r="BF139" s="625">
        <f t="array" ref="BF139">IFERROR(INDEX('Malaria-Equipment &amp; Other HPs'!$AF$64:$AF$122,MATCH($E139&amp;$F139,'Malaria-Equipment &amp; Other HPs'!$E$64:$E$122&amp;'Malaria-Equipment &amp; Other HPs'!$I$64:$I$122,0)),0)</f>
        <v>0</v>
      </c>
      <c r="BG139" s="625">
        <f t="shared" si="141"/>
        <v>0</v>
      </c>
      <c r="BH139" s="626">
        <f t="shared" si="142"/>
        <v>0</v>
      </c>
      <c r="BI139" s="626">
        <f t="shared" si="143"/>
        <v>0</v>
      </c>
      <c r="BJ139" s="630"/>
      <c r="BK139" s="625"/>
      <c r="BL139" s="625"/>
      <c r="BM139" s="625"/>
      <c r="BN139" s="625"/>
      <c r="BO139" s="625"/>
      <c r="BP139" s="625"/>
      <c r="BQ139" s="625"/>
      <c r="BR139" s="625"/>
      <c r="BT139" s="21" t="s">
        <v>6821</v>
      </c>
    </row>
    <row r="140" spans="1:72">
      <c r="A140" s="29" t="s">
        <v>1242</v>
      </c>
      <c r="B140" s="29" t="s">
        <v>1549</v>
      </c>
      <c r="C140" s="626">
        <f>SETUP!$F$54</f>
        <v>0</v>
      </c>
      <c r="D140" s="25">
        <v>5.0999999999999996</v>
      </c>
      <c r="E140" s="26" t="s">
        <v>582</v>
      </c>
      <c r="F140" s="26" t="s">
        <v>1189</v>
      </c>
      <c r="G140" s="625" t="str">
        <f t="array" ref="G140">IFERROR(INDEX('Malaria-Equipment &amp; Other HPs'!$L$64:$L$122,MATCH($E140&amp;$F140,'Malaria-Equipment &amp; Other HPs'!$E$64:$E$122&amp;'Malaria-Equipment &amp; Other HPs'!$I$64:$I$122,0)),"")</f>
        <v/>
      </c>
      <c r="H140" s="625" t="str">
        <f t="array" ref="H140">IFERROR(INDEX('Malaria-Equipment &amp; Other HPs'!$M$64:$M$122,MATCH($E140&amp;$F140,'Malaria-Equipment &amp; Other HPs'!$E$64:$E$122&amp;'Malaria-Equipment &amp; Other HPs'!$I$64:$I$122,0)),"")</f>
        <v/>
      </c>
      <c r="I140" s="625">
        <f t="array" ref="I140">IFERROR(INDEX('Malaria-Equipment &amp; Other HPs'!$N$64:$N$122,MATCH($E140&amp;$F140,'Malaria-Equipment &amp; Other HPs'!$E$64:$E$122&amp;'Malaria-Equipment &amp; Other HPs'!$I$64:$I$122,0)),0)</f>
        <v>0</v>
      </c>
      <c r="J140" s="625">
        <f t="array" ref="J140">IFERROR(INDEX('Malaria-Equipment &amp; Other HPs'!$O$64:$O$122,MATCH($E140&amp;$F140,'Malaria-Equipment &amp; Other HPs'!$E$64:$E$122&amp;'Malaria-Equipment &amp; Other HPs'!$I$64:$I$122,0)),0)</f>
        <v>0</v>
      </c>
      <c r="K140" s="626">
        <f t="shared" si="108"/>
        <v>0</v>
      </c>
      <c r="L140" s="626">
        <f t="shared" si="109"/>
        <v>0</v>
      </c>
      <c r="M140" s="626">
        <f t="shared" si="110"/>
        <v>0</v>
      </c>
      <c r="N140" s="625">
        <f t="array" ref="N140">IFERROR(INDEX('Malaria-Equipment &amp; Other HPs'!$P$64:$P$122,MATCH($E140&amp;$F140,'Malaria-Equipment &amp; Other HPs'!$E$64:$E$122&amp;'Malaria-Equipment &amp; Other HPs'!$I$64:$I$122,0)),0)</f>
        <v>0</v>
      </c>
      <c r="O140" s="626">
        <f t="shared" si="111"/>
        <v>0</v>
      </c>
      <c r="P140" s="626">
        <f t="shared" si="112"/>
        <v>0</v>
      </c>
      <c r="Q140" s="626">
        <f t="shared" si="113"/>
        <v>0</v>
      </c>
      <c r="R140" s="625">
        <f t="array" ref="R140">IFERROR(INDEX('Malaria-Equipment &amp; Other HPs'!$Q$64:$Q$122,MATCH($E140&amp;$F140,'Malaria-Equipment &amp; Other HPs'!$E$64:$E$122&amp;'Malaria-Equipment &amp; Other HPs'!$I$64:$I$122,0)),0)</f>
        <v>0</v>
      </c>
      <c r="S140" s="626">
        <f t="shared" si="114"/>
        <v>0</v>
      </c>
      <c r="T140" s="626">
        <f t="shared" si="115"/>
        <v>0</v>
      </c>
      <c r="U140" s="626">
        <f t="shared" si="116"/>
        <v>0</v>
      </c>
      <c r="V140" s="625">
        <f t="array" ref="V140">IFERROR(INDEX('Malaria-Equipment &amp; Other HPs'!$R$64:$R$122,MATCH($E140&amp;$F140,'Malaria-Equipment &amp; Other HPs'!$E$64:$E$122&amp;'Malaria-Equipment &amp; Other HPs'!$I$64:$I$122,0)),0)</f>
        <v>0</v>
      </c>
      <c r="W140" s="626">
        <f t="shared" si="117"/>
        <v>0</v>
      </c>
      <c r="X140" s="626">
        <f t="shared" si="118"/>
        <v>0</v>
      </c>
      <c r="Y140" s="626">
        <f t="shared" si="119"/>
        <v>0</v>
      </c>
      <c r="Z140" s="630"/>
      <c r="AA140" s="625">
        <f t="array" ref="AA140">IFERROR(INDEX('Malaria-Equipment &amp; Other HPs'!$U$64:$U$122,MATCH($E140&amp;$F140,'Malaria-Equipment &amp; Other HPs'!$E$64:$E$122&amp;'Malaria-Equipment &amp; Other HPs'!$I$64:$I$122,0)),0)</f>
        <v>0</v>
      </c>
      <c r="AB140" s="625">
        <f t="array" ref="AB140">IFERROR(INDEX('Malaria-Equipment &amp; Other HPs'!$V$64:$V$122,MATCH($E140&amp;$F140,'Malaria-Equipment &amp; Other HPs'!$E$64:$E$122&amp;'Malaria-Equipment &amp; Other HPs'!$I$64:$I$122,0)),0)</f>
        <v>0</v>
      </c>
      <c r="AC140" s="625">
        <f t="shared" si="120"/>
        <v>0</v>
      </c>
      <c r="AD140" s="626">
        <f t="shared" si="121"/>
        <v>0</v>
      </c>
      <c r="AE140" s="626">
        <f t="shared" si="122"/>
        <v>0</v>
      </c>
      <c r="AF140" s="625">
        <f t="array" ref="AF140">IFERROR(INDEX('Malaria-Equipment &amp; Other HPs'!$W$64:$W$122,MATCH($E140&amp;$F140,'Malaria-Equipment &amp; Other HPs'!$E$64:$E$122&amp;'Malaria-Equipment &amp; Other HPs'!$I$64:$I$122,0)),0)</f>
        <v>0</v>
      </c>
      <c r="AG140" s="625">
        <f t="shared" si="123"/>
        <v>0</v>
      </c>
      <c r="AH140" s="626">
        <f t="shared" si="124"/>
        <v>0</v>
      </c>
      <c r="AI140" s="626">
        <f t="shared" si="125"/>
        <v>0</v>
      </c>
      <c r="AJ140" s="625">
        <f t="array" ref="AJ140">IFERROR(INDEX('Malaria-Equipment &amp; Other HPs'!$X$64:$X$122,MATCH($E140&amp;$F140,'Malaria-Equipment &amp; Other HPs'!$E$64:$E$122&amp;'Malaria-Equipment &amp; Other HPs'!$I$64:$I$122,0)),0)</f>
        <v>0</v>
      </c>
      <c r="AK140" s="625">
        <f t="shared" si="126"/>
        <v>0</v>
      </c>
      <c r="AL140" s="626">
        <f t="shared" si="127"/>
        <v>0</v>
      </c>
      <c r="AM140" s="626">
        <f t="shared" si="128"/>
        <v>0</v>
      </c>
      <c r="AN140" s="625">
        <f t="array" ref="AN140">IFERROR(INDEX('Malaria-Equipment &amp; Other HPs'!$Y$64:$Y$122,MATCH($E140&amp;$F140,'Malaria-Equipment &amp; Other HPs'!$E$64:$E$122&amp;'Malaria-Equipment &amp; Other HPs'!$I$64:$I$122,0)),0)</f>
        <v>0</v>
      </c>
      <c r="AO140" s="625">
        <f t="shared" si="129"/>
        <v>0</v>
      </c>
      <c r="AP140" s="626">
        <f t="shared" si="130"/>
        <v>0</v>
      </c>
      <c r="AQ140" s="626">
        <f t="shared" si="131"/>
        <v>0</v>
      </c>
      <c r="AR140" s="630"/>
      <c r="AS140" s="625">
        <f t="array" ref="AS140">IFERROR(INDEX('Malaria-Equipment &amp; Other HPs'!$AB$64:$AB$122,MATCH($E140&amp;$F140,'Malaria-Equipment &amp; Other HPs'!$E$64:$E$122&amp;'Malaria-Equipment &amp; Other HPs'!$I$64:$I$122,0)),0)</f>
        <v>0</v>
      </c>
      <c r="AT140" s="625">
        <f t="array" ref="AT140">IFERROR(INDEX('Malaria-Equipment &amp; Other HPs'!$AC$64:$AC$122,MATCH($E140&amp;$F140,'Malaria-Equipment &amp; Other HPs'!$E$64:$E$122&amp;'Malaria-Equipment &amp; Other HPs'!$I$64:$I$122,0)),0)</f>
        <v>0</v>
      </c>
      <c r="AU140" s="625">
        <f t="shared" si="132"/>
        <v>0</v>
      </c>
      <c r="AV140" s="626">
        <f t="shared" si="133"/>
        <v>0</v>
      </c>
      <c r="AW140" s="626">
        <f t="shared" si="134"/>
        <v>0</v>
      </c>
      <c r="AX140" s="625">
        <f t="array" ref="AX140">IFERROR(INDEX('Malaria-Equipment &amp; Other HPs'!$AD$64:$AD$122,MATCH($E140&amp;$F140,'Malaria-Equipment &amp; Other HPs'!$E$64:$E$122&amp;'Malaria-Equipment &amp; Other HPs'!$I$64:$I$122,0)),0)</f>
        <v>0</v>
      </c>
      <c r="AY140" s="625">
        <f t="shared" si="135"/>
        <v>0</v>
      </c>
      <c r="AZ140" s="626">
        <f t="shared" si="136"/>
        <v>0</v>
      </c>
      <c r="BA140" s="626">
        <f t="shared" si="137"/>
        <v>0</v>
      </c>
      <c r="BB140" s="625">
        <f t="array" ref="BB140">IFERROR(INDEX('Malaria-Equipment &amp; Other HPs'!$AE$64:$AE$122,MATCH($E140&amp;$F140,'Malaria-Equipment &amp; Other HPs'!$E$64:$E$122&amp;'Malaria-Equipment &amp; Other HPs'!$I$64:$I$122,0)),0)</f>
        <v>0</v>
      </c>
      <c r="BC140" s="625">
        <f t="shared" si="138"/>
        <v>0</v>
      </c>
      <c r="BD140" s="626">
        <f t="shared" si="139"/>
        <v>0</v>
      </c>
      <c r="BE140" s="626">
        <f t="shared" si="140"/>
        <v>0</v>
      </c>
      <c r="BF140" s="625">
        <f t="array" ref="BF140">IFERROR(INDEX('Malaria-Equipment &amp; Other HPs'!$AF$64:$AF$122,MATCH($E140&amp;$F140,'Malaria-Equipment &amp; Other HPs'!$E$64:$E$122&amp;'Malaria-Equipment &amp; Other HPs'!$I$64:$I$122,0)),0)</f>
        <v>0</v>
      </c>
      <c r="BG140" s="625">
        <f t="shared" si="141"/>
        <v>0</v>
      </c>
      <c r="BH140" s="626">
        <f t="shared" si="142"/>
        <v>0</v>
      </c>
      <c r="BI140" s="626">
        <f t="shared" si="143"/>
        <v>0</v>
      </c>
      <c r="BJ140" s="630"/>
      <c r="BK140" s="625"/>
      <c r="BL140" s="625"/>
      <c r="BM140" s="625"/>
      <c r="BN140" s="625"/>
      <c r="BO140" s="625"/>
      <c r="BP140" s="625"/>
      <c r="BQ140" s="625"/>
      <c r="BR140" s="625"/>
      <c r="BT140" s="21" t="s">
        <v>6821</v>
      </c>
    </row>
    <row r="141" spans="1:72">
      <c r="A141" s="29" t="s">
        <v>1242</v>
      </c>
      <c r="B141" s="29" t="s">
        <v>1549</v>
      </c>
      <c r="C141" s="626">
        <f>SETUP!$F$54</f>
        <v>0</v>
      </c>
      <c r="D141" s="25">
        <v>5.0999999999999996</v>
      </c>
      <c r="E141" s="26" t="s">
        <v>582</v>
      </c>
      <c r="F141" s="26" t="s">
        <v>852</v>
      </c>
      <c r="G141" s="625" t="str">
        <f t="array" ref="G141">IFERROR(INDEX('Malaria-Equipment &amp; Other HPs'!$L$64:$L$122,MATCH($E141&amp;$F141,'Malaria-Equipment &amp; Other HPs'!$E$64:$E$122&amp;'Malaria-Equipment &amp; Other HPs'!$I$64:$I$122,0)),"")</f>
        <v/>
      </c>
      <c r="H141" s="625" t="str">
        <f t="array" ref="H141">IFERROR(INDEX('Malaria-Equipment &amp; Other HPs'!$M$64:$M$122,MATCH($E141&amp;$F141,'Malaria-Equipment &amp; Other HPs'!$E$64:$E$122&amp;'Malaria-Equipment &amp; Other HPs'!$I$64:$I$122,0)),"")</f>
        <v/>
      </c>
      <c r="I141" s="625">
        <f t="array" ref="I141">IFERROR(INDEX('Malaria-Equipment &amp; Other HPs'!$N$64:$N$122,MATCH($E141&amp;$F141,'Malaria-Equipment &amp; Other HPs'!$E$64:$E$122&amp;'Malaria-Equipment &amp; Other HPs'!$I$64:$I$122,0)),0)</f>
        <v>0</v>
      </c>
      <c r="J141" s="625">
        <f t="array" ref="J141">IFERROR(INDEX('Malaria-Equipment &amp; Other HPs'!$O$64:$O$122,MATCH($E141&amp;$F141,'Malaria-Equipment &amp; Other HPs'!$E$64:$E$122&amp;'Malaria-Equipment &amp; Other HPs'!$I$64:$I$122,0)),0)</f>
        <v>0</v>
      </c>
      <c r="K141" s="626">
        <f t="shared" si="108"/>
        <v>0</v>
      </c>
      <c r="L141" s="626">
        <f t="shared" si="109"/>
        <v>0</v>
      </c>
      <c r="M141" s="626">
        <f t="shared" si="110"/>
        <v>0</v>
      </c>
      <c r="N141" s="625">
        <f t="array" ref="N141">IFERROR(INDEX('Malaria-Equipment &amp; Other HPs'!$P$64:$P$122,MATCH($E141&amp;$F141,'Malaria-Equipment &amp; Other HPs'!$E$64:$E$122&amp;'Malaria-Equipment &amp; Other HPs'!$I$64:$I$122,0)),0)</f>
        <v>0</v>
      </c>
      <c r="O141" s="626">
        <f t="shared" si="111"/>
        <v>0</v>
      </c>
      <c r="P141" s="626">
        <f t="shared" si="112"/>
        <v>0</v>
      </c>
      <c r="Q141" s="626">
        <f t="shared" si="113"/>
        <v>0</v>
      </c>
      <c r="R141" s="625">
        <f t="array" ref="R141">IFERROR(INDEX('Malaria-Equipment &amp; Other HPs'!$Q$64:$Q$122,MATCH($E141&amp;$F141,'Malaria-Equipment &amp; Other HPs'!$E$64:$E$122&amp;'Malaria-Equipment &amp; Other HPs'!$I$64:$I$122,0)),0)</f>
        <v>0</v>
      </c>
      <c r="S141" s="626">
        <f t="shared" si="114"/>
        <v>0</v>
      </c>
      <c r="T141" s="626">
        <f t="shared" si="115"/>
        <v>0</v>
      </c>
      <c r="U141" s="626">
        <f t="shared" si="116"/>
        <v>0</v>
      </c>
      <c r="V141" s="625">
        <f t="array" ref="V141">IFERROR(INDEX('Malaria-Equipment &amp; Other HPs'!$R$64:$R$122,MATCH($E141&amp;$F141,'Malaria-Equipment &amp; Other HPs'!$E$64:$E$122&amp;'Malaria-Equipment &amp; Other HPs'!$I$64:$I$122,0)),0)</f>
        <v>0</v>
      </c>
      <c r="W141" s="626">
        <f t="shared" si="117"/>
        <v>0</v>
      </c>
      <c r="X141" s="626">
        <f t="shared" si="118"/>
        <v>0</v>
      </c>
      <c r="Y141" s="626">
        <f t="shared" si="119"/>
        <v>0</v>
      </c>
      <c r="Z141" s="630"/>
      <c r="AA141" s="625">
        <f t="array" ref="AA141">IFERROR(INDEX('Malaria-Equipment &amp; Other HPs'!$U$64:$U$122,MATCH($E141&amp;$F141,'Malaria-Equipment &amp; Other HPs'!$E$64:$E$122&amp;'Malaria-Equipment &amp; Other HPs'!$I$64:$I$122,0)),0)</f>
        <v>0</v>
      </c>
      <c r="AB141" s="625">
        <f t="array" ref="AB141">IFERROR(INDEX('Malaria-Equipment &amp; Other HPs'!$V$64:$V$122,MATCH($E141&amp;$F141,'Malaria-Equipment &amp; Other HPs'!$E$64:$E$122&amp;'Malaria-Equipment &amp; Other HPs'!$I$64:$I$122,0)),0)</f>
        <v>0</v>
      </c>
      <c r="AC141" s="625">
        <f t="shared" si="120"/>
        <v>0</v>
      </c>
      <c r="AD141" s="626">
        <f t="shared" si="121"/>
        <v>0</v>
      </c>
      <c r="AE141" s="626">
        <f t="shared" si="122"/>
        <v>0</v>
      </c>
      <c r="AF141" s="625">
        <f t="array" ref="AF141">IFERROR(INDEX('Malaria-Equipment &amp; Other HPs'!$W$64:$W$122,MATCH($E141&amp;$F141,'Malaria-Equipment &amp; Other HPs'!$E$64:$E$122&amp;'Malaria-Equipment &amp; Other HPs'!$I$64:$I$122,0)),0)</f>
        <v>0</v>
      </c>
      <c r="AG141" s="625">
        <f t="shared" si="123"/>
        <v>0</v>
      </c>
      <c r="AH141" s="626">
        <f t="shared" si="124"/>
        <v>0</v>
      </c>
      <c r="AI141" s="626">
        <f t="shared" si="125"/>
        <v>0</v>
      </c>
      <c r="AJ141" s="625">
        <f t="array" ref="AJ141">IFERROR(INDEX('Malaria-Equipment &amp; Other HPs'!$X$64:$X$122,MATCH($E141&amp;$F141,'Malaria-Equipment &amp; Other HPs'!$E$64:$E$122&amp;'Malaria-Equipment &amp; Other HPs'!$I$64:$I$122,0)),0)</f>
        <v>0</v>
      </c>
      <c r="AK141" s="625">
        <f t="shared" si="126"/>
        <v>0</v>
      </c>
      <c r="AL141" s="626">
        <f t="shared" si="127"/>
        <v>0</v>
      </c>
      <c r="AM141" s="626">
        <f t="shared" si="128"/>
        <v>0</v>
      </c>
      <c r="AN141" s="625">
        <f t="array" ref="AN141">IFERROR(INDEX('Malaria-Equipment &amp; Other HPs'!$Y$64:$Y$122,MATCH($E141&amp;$F141,'Malaria-Equipment &amp; Other HPs'!$E$64:$E$122&amp;'Malaria-Equipment &amp; Other HPs'!$I$64:$I$122,0)),0)</f>
        <v>0</v>
      </c>
      <c r="AO141" s="625">
        <f t="shared" si="129"/>
        <v>0</v>
      </c>
      <c r="AP141" s="626">
        <f t="shared" si="130"/>
        <v>0</v>
      </c>
      <c r="AQ141" s="626">
        <f t="shared" si="131"/>
        <v>0</v>
      </c>
      <c r="AR141" s="630"/>
      <c r="AS141" s="625">
        <f t="array" ref="AS141">IFERROR(INDEX('Malaria-Equipment &amp; Other HPs'!$AB$64:$AB$122,MATCH($E141&amp;$F141,'Malaria-Equipment &amp; Other HPs'!$E$64:$E$122&amp;'Malaria-Equipment &amp; Other HPs'!$I$64:$I$122,0)),0)</f>
        <v>0</v>
      </c>
      <c r="AT141" s="625">
        <f t="array" ref="AT141">IFERROR(INDEX('Malaria-Equipment &amp; Other HPs'!$AC$64:$AC$122,MATCH($E141&amp;$F141,'Malaria-Equipment &amp; Other HPs'!$E$64:$E$122&amp;'Malaria-Equipment &amp; Other HPs'!$I$64:$I$122,0)),0)</f>
        <v>0</v>
      </c>
      <c r="AU141" s="625">
        <f t="shared" si="132"/>
        <v>0</v>
      </c>
      <c r="AV141" s="626">
        <f t="shared" si="133"/>
        <v>0</v>
      </c>
      <c r="AW141" s="626">
        <f t="shared" si="134"/>
        <v>0</v>
      </c>
      <c r="AX141" s="625">
        <f t="array" ref="AX141">IFERROR(INDEX('Malaria-Equipment &amp; Other HPs'!$AD$64:$AD$122,MATCH($E141&amp;$F141,'Malaria-Equipment &amp; Other HPs'!$E$64:$E$122&amp;'Malaria-Equipment &amp; Other HPs'!$I$64:$I$122,0)),0)</f>
        <v>0</v>
      </c>
      <c r="AY141" s="625">
        <f t="shared" si="135"/>
        <v>0</v>
      </c>
      <c r="AZ141" s="626">
        <f t="shared" si="136"/>
        <v>0</v>
      </c>
      <c r="BA141" s="626">
        <f t="shared" si="137"/>
        <v>0</v>
      </c>
      <c r="BB141" s="625">
        <f t="array" ref="BB141">IFERROR(INDEX('Malaria-Equipment &amp; Other HPs'!$AE$64:$AE$122,MATCH($E141&amp;$F141,'Malaria-Equipment &amp; Other HPs'!$E$64:$E$122&amp;'Malaria-Equipment &amp; Other HPs'!$I$64:$I$122,0)),0)</f>
        <v>0</v>
      </c>
      <c r="BC141" s="625">
        <f t="shared" si="138"/>
        <v>0</v>
      </c>
      <c r="BD141" s="626">
        <f t="shared" si="139"/>
        <v>0</v>
      </c>
      <c r="BE141" s="626">
        <f t="shared" si="140"/>
        <v>0</v>
      </c>
      <c r="BF141" s="625">
        <f t="array" ref="BF141">IFERROR(INDEX('Malaria-Equipment &amp; Other HPs'!$AF$64:$AF$122,MATCH($E141&amp;$F141,'Malaria-Equipment &amp; Other HPs'!$E$64:$E$122&amp;'Malaria-Equipment &amp; Other HPs'!$I$64:$I$122,0)),0)</f>
        <v>0</v>
      </c>
      <c r="BG141" s="625">
        <f t="shared" si="141"/>
        <v>0</v>
      </c>
      <c r="BH141" s="626">
        <f t="shared" si="142"/>
        <v>0</v>
      </c>
      <c r="BI141" s="626">
        <f t="shared" si="143"/>
        <v>0</v>
      </c>
      <c r="BJ141" s="630"/>
      <c r="BK141" s="625"/>
      <c r="BL141" s="625"/>
      <c r="BM141" s="625"/>
      <c r="BN141" s="625"/>
      <c r="BO141" s="625"/>
      <c r="BP141" s="625"/>
      <c r="BQ141" s="625"/>
      <c r="BR141" s="625"/>
      <c r="BT141" s="21" t="s">
        <v>6821</v>
      </c>
    </row>
    <row r="142" spans="1:72">
      <c r="A142" s="29" t="s">
        <v>1242</v>
      </c>
      <c r="B142" s="29" t="s">
        <v>1549</v>
      </c>
      <c r="C142" s="626">
        <f>SETUP!$F$54</f>
        <v>0</v>
      </c>
      <c r="D142" s="25">
        <v>5.0999999999999996</v>
      </c>
      <c r="E142" s="26" t="s">
        <v>582</v>
      </c>
      <c r="F142" s="26" t="s">
        <v>1140</v>
      </c>
      <c r="G142" s="625" t="str">
        <f t="array" ref="G142">IFERROR(INDEX('Malaria-Equipment &amp; Other HPs'!$L$64:$L$122,MATCH($E142&amp;$F142,'Malaria-Equipment &amp; Other HPs'!$E$64:$E$122&amp;'Malaria-Equipment &amp; Other HPs'!$I$64:$I$122,0)),"")</f>
        <v/>
      </c>
      <c r="H142" s="625" t="str">
        <f t="array" ref="H142">IFERROR(INDEX('Malaria-Equipment &amp; Other HPs'!$M$64:$M$122,MATCH($E142&amp;$F142,'Malaria-Equipment &amp; Other HPs'!$E$64:$E$122&amp;'Malaria-Equipment &amp; Other HPs'!$I$64:$I$122,0)),"")</f>
        <v/>
      </c>
      <c r="I142" s="625">
        <f t="array" ref="I142">IFERROR(INDEX('Malaria-Equipment &amp; Other HPs'!$N$64:$N$122,MATCH($E142&amp;$F142,'Malaria-Equipment &amp; Other HPs'!$E$64:$E$122&amp;'Malaria-Equipment &amp; Other HPs'!$I$64:$I$122,0)),0)</f>
        <v>0</v>
      </c>
      <c r="J142" s="625">
        <f t="array" ref="J142">IFERROR(INDEX('Malaria-Equipment &amp; Other HPs'!$O$64:$O$122,MATCH($E142&amp;$F142,'Malaria-Equipment &amp; Other HPs'!$E$64:$E$122&amp;'Malaria-Equipment &amp; Other HPs'!$I$64:$I$122,0)),0)</f>
        <v>0</v>
      </c>
      <c r="K142" s="626">
        <f t="shared" si="108"/>
        <v>0</v>
      </c>
      <c r="L142" s="626">
        <f t="shared" si="109"/>
        <v>0</v>
      </c>
      <c r="M142" s="626">
        <f t="shared" si="110"/>
        <v>0</v>
      </c>
      <c r="N142" s="625">
        <f t="array" ref="N142">IFERROR(INDEX('Malaria-Equipment &amp; Other HPs'!$P$64:$P$122,MATCH($E142&amp;$F142,'Malaria-Equipment &amp; Other HPs'!$E$64:$E$122&amp;'Malaria-Equipment &amp; Other HPs'!$I$64:$I$122,0)),0)</f>
        <v>0</v>
      </c>
      <c r="O142" s="626">
        <f t="shared" si="111"/>
        <v>0</v>
      </c>
      <c r="P142" s="626">
        <f t="shared" si="112"/>
        <v>0</v>
      </c>
      <c r="Q142" s="626">
        <f t="shared" si="113"/>
        <v>0</v>
      </c>
      <c r="R142" s="625">
        <f t="array" ref="R142">IFERROR(INDEX('Malaria-Equipment &amp; Other HPs'!$Q$64:$Q$122,MATCH($E142&amp;$F142,'Malaria-Equipment &amp; Other HPs'!$E$64:$E$122&amp;'Malaria-Equipment &amp; Other HPs'!$I$64:$I$122,0)),0)</f>
        <v>0</v>
      </c>
      <c r="S142" s="626">
        <f t="shared" si="114"/>
        <v>0</v>
      </c>
      <c r="T142" s="626">
        <f t="shared" si="115"/>
        <v>0</v>
      </c>
      <c r="U142" s="626">
        <f t="shared" si="116"/>
        <v>0</v>
      </c>
      <c r="V142" s="625">
        <f t="array" ref="V142">IFERROR(INDEX('Malaria-Equipment &amp; Other HPs'!$R$64:$R$122,MATCH($E142&amp;$F142,'Malaria-Equipment &amp; Other HPs'!$E$64:$E$122&amp;'Malaria-Equipment &amp; Other HPs'!$I$64:$I$122,0)),0)</f>
        <v>0</v>
      </c>
      <c r="W142" s="626">
        <f t="shared" si="117"/>
        <v>0</v>
      </c>
      <c r="X142" s="626">
        <f t="shared" si="118"/>
        <v>0</v>
      </c>
      <c r="Y142" s="626">
        <f t="shared" si="119"/>
        <v>0</v>
      </c>
      <c r="Z142" s="630"/>
      <c r="AA142" s="625">
        <f t="array" ref="AA142">IFERROR(INDEX('Malaria-Equipment &amp; Other HPs'!$U$64:$U$122,MATCH($E142&amp;$F142,'Malaria-Equipment &amp; Other HPs'!$E$64:$E$122&amp;'Malaria-Equipment &amp; Other HPs'!$I$64:$I$122,0)),0)</f>
        <v>0</v>
      </c>
      <c r="AB142" s="625">
        <f t="array" ref="AB142">IFERROR(INDEX('Malaria-Equipment &amp; Other HPs'!$V$64:$V$122,MATCH($E142&amp;$F142,'Malaria-Equipment &amp; Other HPs'!$E$64:$E$122&amp;'Malaria-Equipment &amp; Other HPs'!$I$64:$I$122,0)),0)</f>
        <v>0</v>
      </c>
      <c r="AC142" s="625">
        <f t="shared" si="120"/>
        <v>0</v>
      </c>
      <c r="AD142" s="626">
        <f t="shared" si="121"/>
        <v>0</v>
      </c>
      <c r="AE142" s="626">
        <f t="shared" si="122"/>
        <v>0</v>
      </c>
      <c r="AF142" s="625">
        <f t="array" ref="AF142">IFERROR(INDEX('Malaria-Equipment &amp; Other HPs'!$W$64:$W$122,MATCH($E142&amp;$F142,'Malaria-Equipment &amp; Other HPs'!$E$64:$E$122&amp;'Malaria-Equipment &amp; Other HPs'!$I$64:$I$122,0)),0)</f>
        <v>0</v>
      </c>
      <c r="AG142" s="625">
        <f t="shared" si="123"/>
        <v>0</v>
      </c>
      <c r="AH142" s="626">
        <f t="shared" si="124"/>
        <v>0</v>
      </c>
      <c r="AI142" s="626">
        <f t="shared" si="125"/>
        <v>0</v>
      </c>
      <c r="AJ142" s="625">
        <f t="array" ref="AJ142">IFERROR(INDEX('Malaria-Equipment &amp; Other HPs'!$X$64:$X$122,MATCH($E142&amp;$F142,'Malaria-Equipment &amp; Other HPs'!$E$64:$E$122&amp;'Malaria-Equipment &amp; Other HPs'!$I$64:$I$122,0)),0)</f>
        <v>0</v>
      </c>
      <c r="AK142" s="625">
        <f t="shared" si="126"/>
        <v>0</v>
      </c>
      <c r="AL142" s="626">
        <f t="shared" si="127"/>
        <v>0</v>
      </c>
      <c r="AM142" s="626">
        <f t="shared" si="128"/>
        <v>0</v>
      </c>
      <c r="AN142" s="625">
        <f t="array" ref="AN142">IFERROR(INDEX('Malaria-Equipment &amp; Other HPs'!$Y$64:$Y$122,MATCH($E142&amp;$F142,'Malaria-Equipment &amp; Other HPs'!$E$64:$E$122&amp;'Malaria-Equipment &amp; Other HPs'!$I$64:$I$122,0)),0)</f>
        <v>0</v>
      </c>
      <c r="AO142" s="625">
        <f t="shared" si="129"/>
        <v>0</v>
      </c>
      <c r="AP142" s="626">
        <f t="shared" si="130"/>
        <v>0</v>
      </c>
      <c r="AQ142" s="626">
        <f t="shared" si="131"/>
        <v>0</v>
      </c>
      <c r="AR142" s="630"/>
      <c r="AS142" s="625">
        <f t="array" ref="AS142">IFERROR(INDEX('Malaria-Equipment &amp; Other HPs'!$AB$64:$AB$122,MATCH($E142&amp;$F142,'Malaria-Equipment &amp; Other HPs'!$E$64:$E$122&amp;'Malaria-Equipment &amp; Other HPs'!$I$64:$I$122,0)),0)</f>
        <v>0</v>
      </c>
      <c r="AT142" s="625">
        <f t="array" ref="AT142">IFERROR(INDEX('Malaria-Equipment &amp; Other HPs'!$AC$64:$AC$122,MATCH($E142&amp;$F142,'Malaria-Equipment &amp; Other HPs'!$E$64:$E$122&amp;'Malaria-Equipment &amp; Other HPs'!$I$64:$I$122,0)),0)</f>
        <v>0</v>
      </c>
      <c r="AU142" s="625">
        <f t="shared" si="132"/>
        <v>0</v>
      </c>
      <c r="AV142" s="626">
        <f t="shared" si="133"/>
        <v>0</v>
      </c>
      <c r="AW142" s="626">
        <f t="shared" si="134"/>
        <v>0</v>
      </c>
      <c r="AX142" s="625">
        <f t="array" ref="AX142">IFERROR(INDEX('Malaria-Equipment &amp; Other HPs'!$AD$64:$AD$122,MATCH($E142&amp;$F142,'Malaria-Equipment &amp; Other HPs'!$E$64:$E$122&amp;'Malaria-Equipment &amp; Other HPs'!$I$64:$I$122,0)),0)</f>
        <v>0</v>
      </c>
      <c r="AY142" s="625">
        <f t="shared" si="135"/>
        <v>0</v>
      </c>
      <c r="AZ142" s="626">
        <f t="shared" si="136"/>
        <v>0</v>
      </c>
      <c r="BA142" s="626">
        <f t="shared" si="137"/>
        <v>0</v>
      </c>
      <c r="BB142" s="625">
        <f t="array" ref="BB142">IFERROR(INDEX('Malaria-Equipment &amp; Other HPs'!$AE$64:$AE$122,MATCH($E142&amp;$F142,'Malaria-Equipment &amp; Other HPs'!$E$64:$E$122&amp;'Malaria-Equipment &amp; Other HPs'!$I$64:$I$122,0)),0)</f>
        <v>0</v>
      </c>
      <c r="BC142" s="625">
        <f t="shared" si="138"/>
        <v>0</v>
      </c>
      <c r="BD142" s="626">
        <f t="shared" si="139"/>
        <v>0</v>
      </c>
      <c r="BE142" s="626">
        <f t="shared" si="140"/>
        <v>0</v>
      </c>
      <c r="BF142" s="625">
        <f t="array" ref="BF142">IFERROR(INDEX('Malaria-Equipment &amp; Other HPs'!$AF$64:$AF$122,MATCH($E142&amp;$F142,'Malaria-Equipment &amp; Other HPs'!$E$64:$E$122&amp;'Malaria-Equipment &amp; Other HPs'!$I$64:$I$122,0)),0)</f>
        <v>0</v>
      </c>
      <c r="BG142" s="625">
        <f t="shared" si="141"/>
        <v>0</v>
      </c>
      <c r="BH142" s="626">
        <f t="shared" si="142"/>
        <v>0</v>
      </c>
      <c r="BI142" s="626">
        <f t="shared" si="143"/>
        <v>0</v>
      </c>
      <c r="BJ142" s="630"/>
      <c r="BK142" s="625"/>
      <c r="BL142" s="625"/>
      <c r="BM142" s="625"/>
      <c r="BN142" s="625"/>
      <c r="BO142" s="625"/>
      <c r="BP142" s="625"/>
      <c r="BQ142" s="625"/>
      <c r="BR142" s="625"/>
      <c r="BT142" s="21" t="s">
        <v>6821</v>
      </c>
    </row>
    <row r="143" spans="1:72">
      <c r="A143" s="29" t="s">
        <v>1240</v>
      </c>
      <c r="B143" s="29" t="s">
        <v>1549</v>
      </c>
      <c r="C143" s="626">
        <f>SETUP!$F$54</f>
        <v>0</v>
      </c>
      <c r="D143" s="25">
        <v>5.5</v>
      </c>
      <c r="E143" s="26" t="s">
        <v>1190</v>
      </c>
      <c r="F143" s="26" t="s">
        <v>1140</v>
      </c>
      <c r="G143" s="625" t="str">
        <f t="array" ref="G143">IFERROR(INDEX('Malaria-Equipment &amp; Other HPs'!$L$64:$L$122,MATCH($E143&amp;$F143,'Malaria-Equipment &amp; Other HPs'!$E$64:$E$122&amp;'Malaria-Equipment &amp; Other HPs'!$I$64:$I$122,0)),"")</f>
        <v/>
      </c>
      <c r="H143" s="625" t="str">
        <f t="array" ref="H143">IFERROR(INDEX('Malaria-Equipment &amp; Other HPs'!$M$64:$M$122,MATCH($E143&amp;$F143,'Malaria-Equipment &amp; Other HPs'!$E$64:$E$122&amp;'Malaria-Equipment &amp; Other HPs'!$I$64:$I$122,0)),"")</f>
        <v/>
      </c>
      <c r="I143" s="625">
        <f t="array" ref="I143">IFERROR(INDEX('Malaria-Equipment &amp; Other HPs'!$N$64:$N$122,MATCH($E143&amp;$F143,'Malaria-Equipment &amp; Other HPs'!$E$64:$E$122&amp;'Malaria-Equipment &amp; Other HPs'!$I$64:$I$122,0)),0)</f>
        <v>0</v>
      </c>
      <c r="J143" s="625">
        <f t="array" ref="J143">IFERROR(INDEX('Malaria-Equipment &amp; Other HPs'!$O$64:$O$122,MATCH($E143&amp;$F143,'Malaria-Equipment &amp; Other HPs'!$E$64:$E$122&amp;'Malaria-Equipment &amp; Other HPs'!$I$64:$I$122,0)),0)</f>
        <v>0</v>
      </c>
      <c r="K143" s="626">
        <f t="shared" si="108"/>
        <v>0</v>
      </c>
      <c r="L143" s="626">
        <f t="shared" si="109"/>
        <v>0</v>
      </c>
      <c r="M143" s="626">
        <f t="shared" si="110"/>
        <v>0</v>
      </c>
      <c r="N143" s="625">
        <f t="array" ref="N143">IFERROR(INDEX('Malaria-Equipment &amp; Other HPs'!$P$64:$P$122,MATCH($E143&amp;$F143,'Malaria-Equipment &amp; Other HPs'!$E$64:$E$122&amp;'Malaria-Equipment &amp; Other HPs'!$I$64:$I$122,0)),0)</f>
        <v>0</v>
      </c>
      <c r="O143" s="626">
        <f t="shared" si="111"/>
        <v>0</v>
      </c>
      <c r="P143" s="626">
        <f t="shared" si="112"/>
        <v>0</v>
      </c>
      <c r="Q143" s="626">
        <f t="shared" si="113"/>
        <v>0</v>
      </c>
      <c r="R143" s="625">
        <f t="array" ref="R143">IFERROR(INDEX('Malaria-Equipment &amp; Other HPs'!$Q$64:$Q$122,MATCH($E143&amp;$F143,'Malaria-Equipment &amp; Other HPs'!$E$64:$E$122&amp;'Malaria-Equipment &amp; Other HPs'!$I$64:$I$122,0)),0)</f>
        <v>0</v>
      </c>
      <c r="S143" s="626">
        <f t="shared" si="114"/>
        <v>0</v>
      </c>
      <c r="T143" s="626">
        <f t="shared" si="115"/>
        <v>0</v>
      </c>
      <c r="U143" s="626">
        <f t="shared" si="116"/>
        <v>0</v>
      </c>
      <c r="V143" s="625">
        <f t="array" ref="V143">IFERROR(INDEX('Malaria-Equipment &amp; Other HPs'!$R$64:$R$122,MATCH($E143&amp;$F143,'Malaria-Equipment &amp; Other HPs'!$E$64:$E$122&amp;'Malaria-Equipment &amp; Other HPs'!$I$64:$I$122,0)),0)</f>
        <v>0</v>
      </c>
      <c r="W143" s="626">
        <f t="shared" si="117"/>
        <v>0</v>
      </c>
      <c r="X143" s="626">
        <f t="shared" si="118"/>
        <v>0</v>
      </c>
      <c r="Y143" s="626">
        <f t="shared" si="119"/>
        <v>0</v>
      </c>
      <c r="Z143" s="630"/>
      <c r="AA143" s="625">
        <f t="array" ref="AA143">IFERROR(INDEX('Malaria-Equipment &amp; Other HPs'!$U$64:$U$122,MATCH($E143&amp;$F143,'Malaria-Equipment &amp; Other HPs'!$E$64:$E$122&amp;'Malaria-Equipment &amp; Other HPs'!$I$64:$I$122,0)),0)</f>
        <v>0</v>
      </c>
      <c r="AB143" s="625">
        <f t="array" ref="AB143">IFERROR(INDEX('Malaria-Equipment &amp; Other HPs'!$V$64:$V$122,MATCH($E143&amp;$F143,'Malaria-Equipment &amp; Other HPs'!$E$64:$E$122&amp;'Malaria-Equipment &amp; Other HPs'!$I$64:$I$122,0)),0)</f>
        <v>0</v>
      </c>
      <c r="AC143" s="625">
        <f t="shared" si="120"/>
        <v>0</v>
      </c>
      <c r="AD143" s="626">
        <f t="shared" si="121"/>
        <v>0</v>
      </c>
      <c r="AE143" s="626">
        <f t="shared" si="122"/>
        <v>0</v>
      </c>
      <c r="AF143" s="625">
        <f t="array" ref="AF143">IFERROR(INDEX('Malaria-Equipment &amp; Other HPs'!$W$64:$W$122,MATCH($E143&amp;$F143,'Malaria-Equipment &amp; Other HPs'!$E$64:$E$122&amp;'Malaria-Equipment &amp; Other HPs'!$I$64:$I$122,0)),0)</f>
        <v>0</v>
      </c>
      <c r="AG143" s="625">
        <f t="shared" si="123"/>
        <v>0</v>
      </c>
      <c r="AH143" s="626">
        <f t="shared" si="124"/>
        <v>0</v>
      </c>
      <c r="AI143" s="626">
        <f t="shared" si="125"/>
        <v>0</v>
      </c>
      <c r="AJ143" s="625">
        <f t="array" ref="AJ143">IFERROR(INDEX('Malaria-Equipment &amp; Other HPs'!$X$64:$X$122,MATCH($E143&amp;$F143,'Malaria-Equipment &amp; Other HPs'!$E$64:$E$122&amp;'Malaria-Equipment &amp; Other HPs'!$I$64:$I$122,0)),0)</f>
        <v>0</v>
      </c>
      <c r="AK143" s="625">
        <f t="shared" si="126"/>
        <v>0</v>
      </c>
      <c r="AL143" s="626">
        <f t="shared" si="127"/>
        <v>0</v>
      </c>
      <c r="AM143" s="626">
        <f t="shared" si="128"/>
        <v>0</v>
      </c>
      <c r="AN143" s="625">
        <f t="array" ref="AN143">IFERROR(INDEX('Malaria-Equipment &amp; Other HPs'!$Y$64:$Y$122,MATCH($E143&amp;$F143,'Malaria-Equipment &amp; Other HPs'!$E$64:$E$122&amp;'Malaria-Equipment &amp; Other HPs'!$I$64:$I$122,0)),0)</f>
        <v>0</v>
      </c>
      <c r="AO143" s="625">
        <f t="shared" si="129"/>
        <v>0</v>
      </c>
      <c r="AP143" s="626">
        <f t="shared" si="130"/>
        <v>0</v>
      </c>
      <c r="AQ143" s="626">
        <f t="shared" si="131"/>
        <v>0</v>
      </c>
      <c r="AR143" s="630"/>
      <c r="AS143" s="625">
        <f t="array" ref="AS143">IFERROR(INDEX('Malaria-Equipment &amp; Other HPs'!$AB$64:$AB$122,MATCH($E143&amp;$F143,'Malaria-Equipment &amp; Other HPs'!$E$64:$E$122&amp;'Malaria-Equipment &amp; Other HPs'!$I$64:$I$122,0)),0)</f>
        <v>0</v>
      </c>
      <c r="AT143" s="625">
        <f t="array" ref="AT143">IFERROR(INDEX('Malaria-Equipment &amp; Other HPs'!$AC$64:$AC$122,MATCH($E143&amp;$F143,'Malaria-Equipment &amp; Other HPs'!$E$64:$E$122&amp;'Malaria-Equipment &amp; Other HPs'!$I$64:$I$122,0)),0)</f>
        <v>0</v>
      </c>
      <c r="AU143" s="625">
        <f t="shared" si="132"/>
        <v>0</v>
      </c>
      <c r="AV143" s="626">
        <f t="shared" si="133"/>
        <v>0</v>
      </c>
      <c r="AW143" s="626">
        <f t="shared" si="134"/>
        <v>0</v>
      </c>
      <c r="AX143" s="625">
        <f t="array" ref="AX143">IFERROR(INDEX('Malaria-Equipment &amp; Other HPs'!$AD$64:$AD$122,MATCH($E143&amp;$F143,'Malaria-Equipment &amp; Other HPs'!$E$64:$E$122&amp;'Malaria-Equipment &amp; Other HPs'!$I$64:$I$122,0)),0)</f>
        <v>0</v>
      </c>
      <c r="AY143" s="625">
        <f t="shared" si="135"/>
        <v>0</v>
      </c>
      <c r="AZ143" s="626">
        <f t="shared" si="136"/>
        <v>0</v>
      </c>
      <c r="BA143" s="626">
        <f t="shared" si="137"/>
        <v>0</v>
      </c>
      <c r="BB143" s="625">
        <f t="array" ref="BB143">IFERROR(INDEX('Malaria-Equipment &amp; Other HPs'!$AE$64:$AE$122,MATCH($E143&amp;$F143,'Malaria-Equipment &amp; Other HPs'!$E$64:$E$122&amp;'Malaria-Equipment &amp; Other HPs'!$I$64:$I$122,0)),0)</f>
        <v>0</v>
      </c>
      <c r="BC143" s="625">
        <f t="shared" si="138"/>
        <v>0</v>
      </c>
      <c r="BD143" s="626">
        <f t="shared" si="139"/>
        <v>0</v>
      </c>
      <c r="BE143" s="626">
        <f t="shared" si="140"/>
        <v>0</v>
      </c>
      <c r="BF143" s="625">
        <f t="array" ref="BF143">IFERROR(INDEX('Malaria-Equipment &amp; Other HPs'!$AF$64:$AF$122,MATCH($E143&amp;$F143,'Malaria-Equipment &amp; Other HPs'!$E$64:$E$122&amp;'Malaria-Equipment &amp; Other HPs'!$I$64:$I$122,0)),0)</f>
        <v>0</v>
      </c>
      <c r="BG143" s="625">
        <f t="shared" si="141"/>
        <v>0</v>
      </c>
      <c r="BH143" s="626">
        <f t="shared" si="142"/>
        <v>0</v>
      </c>
      <c r="BI143" s="626">
        <f t="shared" si="143"/>
        <v>0</v>
      </c>
      <c r="BJ143" s="630"/>
      <c r="BK143" s="625"/>
      <c r="BL143" s="625"/>
      <c r="BM143" s="625"/>
      <c r="BN143" s="625"/>
      <c r="BO143" s="625"/>
      <c r="BP143" s="625"/>
      <c r="BQ143" s="625"/>
      <c r="BR143" s="625"/>
      <c r="BT143" s="21" t="s">
        <v>6822</v>
      </c>
    </row>
    <row r="144" spans="1:72">
      <c r="A144" s="29" t="s">
        <v>583</v>
      </c>
      <c r="B144" s="29" t="s">
        <v>1549</v>
      </c>
      <c r="C144" s="626">
        <f>SETUP!$F$54</f>
        <v>0</v>
      </c>
      <c r="D144" s="25">
        <v>5.5</v>
      </c>
      <c r="E144" s="26" t="s">
        <v>415</v>
      </c>
      <c r="F144" s="26" t="s">
        <v>1193</v>
      </c>
      <c r="G144" s="625" t="str">
        <f t="array" ref="G144">IFERROR(INDEX('Malaria-Equipment &amp; Other HPs'!$L$64:$L$122,MATCH($E144&amp;$F144,'Malaria-Equipment &amp; Other HPs'!$E$64:$E$122&amp;'Malaria-Equipment &amp; Other HPs'!$I$64:$I$122,0)),"")</f>
        <v/>
      </c>
      <c r="H144" s="625" t="str">
        <f t="array" ref="H144">IFERROR(INDEX('Malaria-Equipment &amp; Other HPs'!$M$64:$M$122,MATCH($E144&amp;$F144,'Malaria-Equipment &amp; Other HPs'!$E$64:$E$122&amp;'Malaria-Equipment &amp; Other HPs'!$I$64:$I$122,0)),"")</f>
        <v/>
      </c>
      <c r="I144" s="625">
        <f t="array" ref="I144">IFERROR(INDEX('Malaria-Equipment &amp; Other HPs'!$N$64:$N$122,MATCH($E144&amp;$F144,'Malaria-Equipment &amp; Other HPs'!$E$64:$E$122&amp;'Malaria-Equipment &amp; Other HPs'!$I$64:$I$122,0)),0)</f>
        <v>0</v>
      </c>
      <c r="J144" s="625">
        <f t="array" ref="J144">IFERROR(INDEX('Malaria-Equipment &amp; Other HPs'!$O$64:$O$122,MATCH($E144&amp;$F144,'Malaria-Equipment &amp; Other HPs'!$E$64:$E$122&amp;'Malaria-Equipment &amp; Other HPs'!$I$64:$I$122,0)),0)</f>
        <v>0</v>
      </c>
      <c r="K144" s="626">
        <f t="shared" si="108"/>
        <v>0</v>
      </c>
      <c r="L144" s="626">
        <f t="shared" si="109"/>
        <v>0</v>
      </c>
      <c r="M144" s="626">
        <f t="shared" si="110"/>
        <v>0</v>
      </c>
      <c r="N144" s="625">
        <f t="array" ref="N144">IFERROR(INDEX('Malaria-Equipment &amp; Other HPs'!$P$64:$P$122,MATCH($E144&amp;$F144,'Malaria-Equipment &amp; Other HPs'!$E$64:$E$122&amp;'Malaria-Equipment &amp; Other HPs'!$I$64:$I$122,0)),0)</f>
        <v>0</v>
      </c>
      <c r="O144" s="626">
        <f t="shared" si="111"/>
        <v>0</v>
      </c>
      <c r="P144" s="626">
        <f t="shared" si="112"/>
        <v>0</v>
      </c>
      <c r="Q144" s="626">
        <f t="shared" si="113"/>
        <v>0</v>
      </c>
      <c r="R144" s="625">
        <f t="array" ref="R144">IFERROR(INDEX('Malaria-Equipment &amp; Other HPs'!$Q$64:$Q$122,MATCH($E144&amp;$F144,'Malaria-Equipment &amp; Other HPs'!$E$64:$E$122&amp;'Malaria-Equipment &amp; Other HPs'!$I$64:$I$122,0)),0)</f>
        <v>0</v>
      </c>
      <c r="S144" s="626">
        <f t="shared" si="114"/>
        <v>0</v>
      </c>
      <c r="T144" s="626">
        <f t="shared" si="115"/>
        <v>0</v>
      </c>
      <c r="U144" s="626">
        <f t="shared" si="116"/>
        <v>0</v>
      </c>
      <c r="V144" s="625">
        <f t="array" ref="V144">IFERROR(INDEX('Malaria-Equipment &amp; Other HPs'!$R$64:$R$122,MATCH($E144&amp;$F144,'Malaria-Equipment &amp; Other HPs'!$E$64:$E$122&amp;'Malaria-Equipment &amp; Other HPs'!$I$64:$I$122,0)),0)</f>
        <v>0</v>
      </c>
      <c r="W144" s="626">
        <f t="shared" si="117"/>
        <v>0</v>
      </c>
      <c r="X144" s="626">
        <f t="shared" si="118"/>
        <v>0</v>
      </c>
      <c r="Y144" s="626">
        <f t="shared" si="119"/>
        <v>0</v>
      </c>
      <c r="Z144" s="630"/>
      <c r="AA144" s="625">
        <f t="array" ref="AA144">IFERROR(INDEX('Malaria-Equipment &amp; Other HPs'!$U$64:$U$122,MATCH($E144&amp;$F144,'Malaria-Equipment &amp; Other HPs'!$E$64:$E$122&amp;'Malaria-Equipment &amp; Other HPs'!$I$64:$I$122,0)),0)</f>
        <v>0</v>
      </c>
      <c r="AB144" s="625">
        <f t="array" ref="AB144">IFERROR(INDEX('Malaria-Equipment &amp; Other HPs'!$V$64:$V$122,MATCH($E144&amp;$F144,'Malaria-Equipment &amp; Other HPs'!$E$64:$E$122&amp;'Malaria-Equipment &amp; Other HPs'!$I$64:$I$122,0)),0)</f>
        <v>0</v>
      </c>
      <c r="AC144" s="625">
        <f t="shared" si="120"/>
        <v>0</v>
      </c>
      <c r="AD144" s="626">
        <f t="shared" si="121"/>
        <v>0</v>
      </c>
      <c r="AE144" s="626">
        <f t="shared" si="122"/>
        <v>0</v>
      </c>
      <c r="AF144" s="625">
        <f t="array" ref="AF144">IFERROR(INDEX('Malaria-Equipment &amp; Other HPs'!$W$64:$W$122,MATCH($E144&amp;$F144,'Malaria-Equipment &amp; Other HPs'!$E$64:$E$122&amp;'Malaria-Equipment &amp; Other HPs'!$I$64:$I$122,0)),0)</f>
        <v>0</v>
      </c>
      <c r="AG144" s="625">
        <f t="shared" si="123"/>
        <v>0</v>
      </c>
      <c r="AH144" s="626">
        <f t="shared" si="124"/>
        <v>0</v>
      </c>
      <c r="AI144" s="626">
        <f t="shared" si="125"/>
        <v>0</v>
      </c>
      <c r="AJ144" s="625">
        <f t="array" ref="AJ144">IFERROR(INDEX('Malaria-Equipment &amp; Other HPs'!$X$64:$X$122,MATCH($E144&amp;$F144,'Malaria-Equipment &amp; Other HPs'!$E$64:$E$122&amp;'Malaria-Equipment &amp; Other HPs'!$I$64:$I$122,0)),0)</f>
        <v>0</v>
      </c>
      <c r="AK144" s="625">
        <f t="shared" si="126"/>
        <v>0</v>
      </c>
      <c r="AL144" s="626">
        <f t="shared" si="127"/>
        <v>0</v>
      </c>
      <c r="AM144" s="626">
        <f t="shared" si="128"/>
        <v>0</v>
      </c>
      <c r="AN144" s="625">
        <f t="array" ref="AN144">IFERROR(INDEX('Malaria-Equipment &amp; Other HPs'!$Y$64:$Y$122,MATCH($E144&amp;$F144,'Malaria-Equipment &amp; Other HPs'!$E$64:$E$122&amp;'Malaria-Equipment &amp; Other HPs'!$I$64:$I$122,0)),0)</f>
        <v>0</v>
      </c>
      <c r="AO144" s="625">
        <f t="shared" si="129"/>
        <v>0</v>
      </c>
      <c r="AP144" s="626">
        <f t="shared" si="130"/>
        <v>0</v>
      </c>
      <c r="AQ144" s="626">
        <f t="shared" si="131"/>
        <v>0</v>
      </c>
      <c r="AR144" s="630"/>
      <c r="AS144" s="625">
        <f t="array" ref="AS144">IFERROR(INDEX('Malaria-Equipment &amp; Other HPs'!$AB$64:$AB$122,MATCH($E144&amp;$F144,'Malaria-Equipment &amp; Other HPs'!$E$64:$E$122&amp;'Malaria-Equipment &amp; Other HPs'!$I$64:$I$122,0)),0)</f>
        <v>0</v>
      </c>
      <c r="AT144" s="625">
        <f t="array" ref="AT144">IFERROR(INDEX('Malaria-Equipment &amp; Other HPs'!$AC$64:$AC$122,MATCH($E144&amp;$F144,'Malaria-Equipment &amp; Other HPs'!$E$64:$E$122&amp;'Malaria-Equipment &amp; Other HPs'!$I$64:$I$122,0)),0)</f>
        <v>0</v>
      </c>
      <c r="AU144" s="625">
        <f t="shared" si="132"/>
        <v>0</v>
      </c>
      <c r="AV144" s="626">
        <f t="shared" si="133"/>
        <v>0</v>
      </c>
      <c r="AW144" s="626">
        <f t="shared" si="134"/>
        <v>0</v>
      </c>
      <c r="AX144" s="625">
        <f t="array" ref="AX144">IFERROR(INDEX('Malaria-Equipment &amp; Other HPs'!$AD$64:$AD$122,MATCH($E144&amp;$F144,'Malaria-Equipment &amp; Other HPs'!$E$64:$E$122&amp;'Malaria-Equipment &amp; Other HPs'!$I$64:$I$122,0)),0)</f>
        <v>0</v>
      </c>
      <c r="AY144" s="625">
        <f t="shared" si="135"/>
        <v>0</v>
      </c>
      <c r="AZ144" s="626">
        <f t="shared" si="136"/>
        <v>0</v>
      </c>
      <c r="BA144" s="626">
        <f t="shared" si="137"/>
        <v>0</v>
      </c>
      <c r="BB144" s="625">
        <f t="array" ref="BB144">IFERROR(INDEX('Malaria-Equipment &amp; Other HPs'!$AE$64:$AE$122,MATCH($E144&amp;$F144,'Malaria-Equipment &amp; Other HPs'!$E$64:$E$122&amp;'Malaria-Equipment &amp; Other HPs'!$I$64:$I$122,0)),0)</f>
        <v>0</v>
      </c>
      <c r="BC144" s="625">
        <f t="shared" si="138"/>
        <v>0</v>
      </c>
      <c r="BD144" s="626">
        <f t="shared" si="139"/>
        <v>0</v>
      </c>
      <c r="BE144" s="626">
        <f t="shared" si="140"/>
        <v>0</v>
      </c>
      <c r="BF144" s="625">
        <f t="array" ref="BF144">IFERROR(INDEX('Malaria-Equipment &amp; Other HPs'!$AF$64:$AF$122,MATCH($E144&amp;$F144,'Malaria-Equipment &amp; Other HPs'!$E$64:$E$122&amp;'Malaria-Equipment &amp; Other HPs'!$I$64:$I$122,0)),0)</f>
        <v>0</v>
      </c>
      <c r="BG144" s="625">
        <f t="shared" si="141"/>
        <v>0</v>
      </c>
      <c r="BH144" s="626">
        <f t="shared" si="142"/>
        <v>0</v>
      </c>
      <c r="BI144" s="626">
        <f t="shared" si="143"/>
        <v>0</v>
      </c>
      <c r="BJ144" s="630"/>
      <c r="BK144" s="625"/>
      <c r="BL144" s="625"/>
      <c r="BM144" s="625"/>
      <c r="BN144" s="625"/>
      <c r="BO144" s="625"/>
      <c r="BP144" s="625"/>
      <c r="BQ144" s="625"/>
      <c r="BR144" s="625"/>
      <c r="BT144" s="21" t="s">
        <v>6823</v>
      </c>
    </row>
    <row r="145" spans="1:72">
      <c r="A145" s="29" t="s">
        <v>583</v>
      </c>
      <c r="B145" s="29" t="s">
        <v>1549</v>
      </c>
      <c r="C145" s="626">
        <f>SETUP!$F$54</f>
        <v>0</v>
      </c>
      <c r="D145" s="25">
        <v>5.5</v>
      </c>
      <c r="E145" s="26" t="s">
        <v>415</v>
      </c>
      <c r="F145" s="26" t="s">
        <v>1194</v>
      </c>
      <c r="G145" s="625" t="str">
        <f t="array" ref="G145">IFERROR(INDEX('Malaria-Equipment &amp; Other HPs'!$L$64:$L$122,MATCH($E145&amp;$F145,'Malaria-Equipment &amp; Other HPs'!$E$64:$E$122&amp;'Malaria-Equipment &amp; Other HPs'!$I$64:$I$122,0)),"")</f>
        <v/>
      </c>
      <c r="H145" s="625" t="str">
        <f t="array" ref="H145">IFERROR(INDEX('Malaria-Equipment &amp; Other HPs'!$M$64:$M$122,MATCH($E145&amp;$F145,'Malaria-Equipment &amp; Other HPs'!$E$64:$E$122&amp;'Malaria-Equipment &amp; Other HPs'!$I$64:$I$122,0)),"")</f>
        <v/>
      </c>
      <c r="I145" s="625">
        <f t="array" ref="I145">IFERROR(INDEX('Malaria-Equipment &amp; Other HPs'!$N$64:$N$122,MATCH($E145&amp;$F145,'Malaria-Equipment &amp; Other HPs'!$E$64:$E$122&amp;'Malaria-Equipment &amp; Other HPs'!$I$64:$I$122,0)),0)</f>
        <v>0</v>
      </c>
      <c r="J145" s="625">
        <f t="array" ref="J145">IFERROR(INDEX('Malaria-Equipment &amp; Other HPs'!$O$64:$O$122,MATCH($E145&amp;$F145,'Malaria-Equipment &amp; Other HPs'!$E$64:$E$122&amp;'Malaria-Equipment &amp; Other HPs'!$I$64:$I$122,0)),0)</f>
        <v>0</v>
      </c>
      <c r="K145" s="626">
        <f t="shared" si="108"/>
        <v>0</v>
      </c>
      <c r="L145" s="626">
        <f t="shared" si="109"/>
        <v>0</v>
      </c>
      <c r="M145" s="626">
        <f t="shared" si="110"/>
        <v>0</v>
      </c>
      <c r="N145" s="625">
        <f t="array" ref="N145">IFERROR(INDEX('Malaria-Equipment &amp; Other HPs'!$P$64:$P$122,MATCH($E145&amp;$F145,'Malaria-Equipment &amp; Other HPs'!$E$64:$E$122&amp;'Malaria-Equipment &amp; Other HPs'!$I$64:$I$122,0)),0)</f>
        <v>0</v>
      </c>
      <c r="O145" s="626">
        <f t="shared" si="111"/>
        <v>0</v>
      </c>
      <c r="P145" s="626">
        <f t="shared" si="112"/>
        <v>0</v>
      </c>
      <c r="Q145" s="626">
        <f t="shared" si="113"/>
        <v>0</v>
      </c>
      <c r="R145" s="625">
        <f t="array" ref="R145">IFERROR(INDEX('Malaria-Equipment &amp; Other HPs'!$Q$64:$Q$122,MATCH($E145&amp;$F145,'Malaria-Equipment &amp; Other HPs'!$E$64:$E$122&amp;'Malaria-Equipment &amp; Other HPs'!$I$64:$I$122,0)),0)</f>
        <v>0</v>
      </c>
      <c r="S145" s="626">
        <f t="shared" si="114"/>
        <v>0</v>
      </c>
      <c r="T145" s="626">
        <f t="shared" si="115"/>
        <v>0</v>
      </c>
      <c r="U145" s="626">
        <f t="shared" si="116"/>
        <v>0</v>
      </c>
      <c r="V145" s="625">
        <f t="array" ref="V145">IFERROR(INDEX('Malaria-Equipment &amp; Other HPs'!$R$64:$R$122,MATCH($E145&amp;$F145,'Malaria-Equipment &amp; Other HPs'!$E$64:$E$122&amp;'Malaria-Equipment &amp; Other HPs'!$I$64:$I$122,0)),0)</f>
        <v>0</v>
      </c>
      <c r="W145" s="626">
        <f t="shared" si="117"/>
        <v>0</v>
      </c>
      <c r="X145" s="626">
        <f t="shared" si="118"/>
        <v>0</v>
      </c>
      <c r="Y145" s="626">
        <f t="shared" si="119"/>
        <v>0</v>
      </c>
      <c r="Z145" s="630"/>
      <c r="AA145" s="625">
        <f t="array" ref="AA145">IFERROR(INDEX('Malaria-Equipment &amp; Other HPs'!$U$64:$U$122,MATCH($E145&amp;$F145,'Malaria-Equipment &amp; Other HPs'!$E$64:$E$122&amp;'Malaria-Equipment &amp; Other HPs'!$I$64:$I$122,0)),0)</f>
        <v>0</v>
      </c>
      <c r="AB145" s="625">
        <f t="array" ref="AB145">IFERROR(INDEX('Malaria-Equipment &amp; Other HPs'!$V$64:$V$122,MATCH($E145&amp;$F145,'Malaria-Equipment &amp; Other HPs'!$E$64:$E$122&amp;'Malaria-Equipment &amp; Other HPs'!$I$64:$I$122,0)),0)</f>
        <v>0</v>
      </c>
      <c r="AC145" s="625">
        <f t="shared" si="120"/>
        <v>0</v>
      </c>
      <c r="AD145" s="626">
        <f t="shared" si="121"/>
        <v>0</v>
      </c>
      <c r="AE145" s="626">
        <f t="shared" si="122"/>
        <v>0</v>
      </c>
      <c r="AF145" s="625">
        <f t="array" ref="AF145">IFERROR(INDEX('Malaria-Equipment &amp; Other HPs'!$W$64:$W$122,MATCH($E145&amp;$F145,'Malaria-Equipment &amp; Other HPs'!$E$64:$E$122&amp;'Malaria-Equipment &amp; Other HPs'!$I$64:$I$122,0)),0)</f>
        <v>0</v>
      </c>
      <c r="AG145" s="625">
        <f t="shared" si="123"/>
        <v>0</v>
      </c>
      <c r="AH145" s="626">
        <f t="shared" si="124"/>
        <v>0</v>
      </c>
      <c r="AI145" s="626">
        <f t="shared" si="125"/>
        <v>0</v>
      </c>
      <c r="AJ145" s="625">
        <f t="array" ref="AJ145">IFERROR(INDEX('Malaria-Equipment &amp; Other HPs'!$X$64:$X$122,MATCH($E145&amp;$F145,'Malaria-Equipment &amp; Other HPs'!$E$64:$E$122&amp;'Malaria-Equipment &amp; Other HPs'!$I$64:$I$122,0)),0)</f>
        <v>0</v>
      </c>
      <c r="AK145" s="625">
        <f t="shared" si="126"/>
        <v>0</v>
      </c>
      <c r="AL145" s="626">
        <f t="shared" si="127"/>
        <v>0</v>
      </c>
      <c r="AM145" s="626">
        <f t="shared" si="128"/>
        <v>0</v>
      </c>
      <c r="AN145" s="625">
        <f t="array" ref="AN145">IFERROR(INDEX('Malaria-Equipment &amp; Other HPs'!$Y$64:$Y$122,MATCH($E145&amp;$F145,'Malaria-Equipment &amp; Other HPs'!$E$64:$E$122&amp;'Malaria-Equipment &amp; Other HPs'!$I$64:$I$122,0)),0)</f>
        <v>0</v>
      </c>
      <c r="AO145" s="625">
        <f t="shared" si="129"/>
        <v>0</v>
      </c>
      <c r="AP145" s="626">
        <f t="shared" si="130"/>
        <v>0</v>
      </c>
      <c r="AQ145" s="626">
        <f t="shared" si="131"/>
        <v>0</v>
      </c>
      <c r="AR145" s="630"/>
      <c r="AS145" s="625">
        <f t="array" ref="AS145">IFERROR(INDEX('Malaria-Equipment &amp; Other HPs'!$AB$64:$AB$122,MATCH($E145&amp;$F145,'Malaria-Equipment &amp; Other HPs'!$E$64:$E$122&amp;'Malaria-Equipment &amp; Other HPs'!$I$64:$I$122,0)),0)</f>
        <v>0</v>
      </c>
      <c r="AT145" s="625">
        <f t="array" ref="AT145">IFERROR(INDEX('Malaria-Equipment &amp; Other HPs'!$AC$64:$AC$122,MATCH($E145&amp;$F145,'Malaria-Equipment &amp; Other HPs'!$E$64:$E$122&amp;'Malaria-Equipment &amp; Other HPs'!$I$64:$I$122,0)),0)</f>
        <v>0</v>
      </c>
      <c r="AU145" s="625">
        <f t="shared" si="132"/>
        <v>0</v>
      </c>
      <c r="AV145" s="626">
        <f t="shared" si="133"/>
        <v>0</v>
      </c>
      <c r="AW145" s="626">
        <f t="shared" si="134"/>
        <v>0</v>
      </c>
      <c r="AX145" s="625">
        <f t="array" ref="AX145">IFERROR(INDEX('Malaria-Equipment &amp; Other HPs'!$AD$64:$AD$122,MATCH($E145&amp;$F145,'Malaria-Equipment &amp; Other HPs'!$E$64:$E$122&amp;'Malaria-Equipment &amp; Other HPs'!$I$64:$I$122,0)),0)</f>
        <v>0</v>
      </c>
      <c r="AY145" s="625">
        <f t="shared" si="135"/>
        <v>0</v>
      </c>
      <c r="AZ145" s="626">
        <f t="shared" si="136"/>
        <v>0</v>
      </c>
      <c r="BA145" s="626">
        <f t="shared" si="137"/>
        <v>0</v>
      </c>
      <c r="BB145" s="625">
        <f t="array" ref="BB145">IFERROR(INDEX('Malaria-Equipment &amp; Other HPs'!$AE$64:$AE$122,MATCH($E145&amp;$F145,'Malaria-Equipment &amp; Other HPs'!$E$64:$E$122&amp;'Malaria-Equipment &amp; Other HPs'!$I$64:$I$122,0)),0)</f>
        <v>0</v>
      </c>
      <c r="BC145" s="625">
        <f t="shared" si="138"/>
        <v>0</v>
      </c>
      <c r="BD145" s="626">
        <f t="shared" si="139"/>
        <v>0</v>
      </c>
      <c r="BE145" s="626">
        <f t="shared" si="140"/>
        <v>0</v>
      </c>
      <c r="BF145" s="625">
        <f t="array" ref="BF145">IFERROR(INDEX('Malaria-Equipment &amp; Other HPs'!$AF$64:$AF$122,MATCH($E145&amp;$F145,'Malaria-Equipment &amp; Other HPs'!$E$64:$E$122&amp;'Malaria-Equipment &amp; Other HPs'!$I$64:$I$122,0)),0)</f>
        <v>0</v>
      </c>
      <c r="BG145" s="625">
        <f t="shared" si="141"/>
        <v>0</v>
      </c>
      <c r="BH145" s="626">
        <f t="shared" si="142"/>
        <v>0</v>
      </c>
      <c r="BI145" s="626">
        <f t="shared" si="143"/>
        <v>0</v>
      </c>
      <c r="BJ145" s="630"/>
      <c r="BK145" s="625"/>
      <c r="BL145" s="625"/>
      <c r="BM145" s="625"/>
      <c r="BN145" s="625"/>
      <c r="BO145" s="625"/>
      <c r="BP145" s="625"/>
      <c r="BQ145" s="625"/>
      <c r="BR145" s="625"/>
      <c r="BT145" s="21" t="s">
        <v>6823</v>
      </c>
    </row>
    <row r="146" spans="1:72">
      <c r="A146" s="29" t="s">
        <v>583</v>
      </c>
      <c r="B146" s="29" t="s">
        <v>1549</v>
      </c>
      <c r="C146" s="626">
        <f>SETUP!$F$54</f>
        <v>0</v>
      </c>
      <c r="D146" s="25">
        <v>5.5</v>
      </c>
      <c r="E146" s="26" t="s">
        <v>415</v>
      </c>
      <c r="F146" s="26" t="s">
        <v>1195</v>
      </c>
      <c r="G146" s="625" t="str">
        <f t="array" ref="G146">IFERROR(INDEX('Malaria-Equipment &amp; Other HPs'!$L$64:$L$122,MATCH($E146&amp;$F146,'Malaria-Equipment &amp; Other HPs'!$E$64:$E$122&amp;'Malaria-Equipment &amp; Other HPs'!$I$64:$I$122,0)),"")</f>
        <v/>
      </c>
      <c r="H146" s="625" t="str">
        <f t="array" ref="H146">IFERROR(INDEX('Malaria-Equipment &amp; Other HPs'!$M$64:$M$122,MATCH($E146&amp;$F146,'Malaria-Equipment &amp; Other HPs'!$E$64:$E$122&amp;'Malaria-Equipment &amp; Other HPs'!$I$64:$I$122,0)),"")</f>
        <v/>
      </c>
      <c r="I146" s="625">
        <f t="array" ref="I146">IFERROR(INDEX('Malaria-Equipment &amp; Other HPs'!$N$64:$N$122,MATCH($E146&amp;$F146,'Malaria-Equipment &amp; Other HPs'!$E$64:$E$122&amp;'Malaria-Equipment &amp; Other HPs'!$I$64:$I$122,0)),0)</f>
        <v>0</v>
      </c>
      <c r="J146" s="625">
        <f t="array" ref="J146">IFERROR(INDEX('Malaria-Equipment &amp; Other HPs'!$O$64:$O$122,MATCH($E146&amp;$F146,'Malaria-Equipment &amp; Other HPs'!$E$64:$E$122&amp;'Malaria-Equipment &amp; Other HPs'!$I$64:$I$122,0)),0)</f>
        <v>0</v>
      </c>
      <c r="K146" s="626">
        <f t="shared" si="108"/>
        <v>0</v>
      </c>
      <c r="L146" s="626">
        <f t="shared" si="109"/>
        <v>0</v>
      </c>
      <c r="M146" s="626">
        <f t="shared" si="110"/>
        <v>0</v>
      </c>
      <c r="N146" s="625">
        <f t="array" ref="N146">IFERROR(INDEX('Malaria-Equipment &amp; Other HPs'!$P$64:$P$122,MATCH($E146&amp;$F146,'Malaria-Equipment &amp; Other HPs'!$E$64:$E$122&amp;'Malaria-Equipment &amp; Other HPs'!$I$64:$I$122,0)),0)</f>
        <v>0</v>
      </c>
      <c r="O146" s="626">
        <f t="shared" si="111"/>
        <v>0</v>
      </c>
      <c r="P146" s="626">
        <f t="shared" si="112"/>
        <v>0</v>
      </c>
      <c r="Q146" s="626">
        <f t="shared" si="113"/>
        <v>0</v>
      </c>
      <c r="R146" s="625">
        <f t="array" ref="R146">IFERROR(INDEX('Malaria-Equipment &amp; Other HPs'!$Q$64:$Q$122,MATCH($E146&amp;$F146,'Malaria-Equipment &amp; Other HPs'!$E$64:$E$122&amp;'Malaria-Equipment &amp; Other HPs'!$I$64:$I$122,0)),0)</f>
        <v>0</v>
      </c>
      <c r="S146" s="626">
        <f t="shared" si="114"/>
        <v>0</v>
      </c>
      <c r="T146" s="626">
        <f t="shared" si="115"/>
        <v>0</v>
      </c>
      <c r="U146" s="626">
        <f t="shared" si="116"/>
        <v>0</v>
      </c>
      <c r="V146" s="625">
        <f t="array" ref="V146">IFERROR(INDEX('Malaria-Equipment &amp; Other HPs'!$R$64:$R$122,MATCH($E146&amp;$F146,'Malaria-Equipment &amp; Other HPs'!$E$64:$E$122&amp;'Malaria-Equipment &amp; Other HPs'!$I$64:$I$122,0)),0)</f>
        <v>0</v>
      </c>
      <c r="W146" s="626">
        <f t="shared" si="117"/>
        <v>0</v>
      </c>
      <c r="X146" s="626">
        <f t="shared" si="118"/>
        <v>0</v>
      </c>
      <c r="Y146" s="626">
        <f t="shared" si="119"/>
        <v>0</v>
      </c>
      <c r="Z146" s="630"/>
      <c r="AA146" s="625">
        <f t="array" ref="AA146">IFERROR(INDEX('Malaria-Equipment &amp; Other HPs'!$U$64:$U$122,MATCH($E146&amp;$F146,'Malaria-Equipment &amp; Other HPs'!$E$64:$E$122&amp;'Malaria-Equipment &amp; Other HPs'!$I$64:$I$122,0)),0)</f>
        <v>0</v>
      </c>
      <c r="AB146" s="625">
        <f t="array" ref="AB146">IFERROR(INDEX('Malaria-Equipment &amp; Other HPs'!$V$64:$V$122,MATCH($E146&amp;$F146,'Malaria-Equipment &amp; Other HPs'!$E$64:$E$122&amp;'Malaria-Equipment &amp; Other HPs'!$I$64:$I$122,0)),0)</f>
        <v>0</v>
      </c>
      <c r="AC146" s="625">
        <f t="shared" si="120"/>
        <v>0</v>
      </c>
      <c r="AD146" s="626">
        <f t="shared" si="121"/>
        <v>0</v>
      </c>
      <c r="AE146" s="626">
        <f t="shared" si="122"/>
        <v>0</v>
      </c>
      <c r="AF146" s="625">
        <f t="array" ref="AF146">IFERROR(INDEX('Malaria-Equipment &amp; Other HPs'!$W$64:$W$122,MATCH($E146&amp;$F146,'Malaria-Equipment &amp; Other HPs'!$E$64:$E$122&amp;'Malaria-Equipment &amp; Other HPs'!$I$64:$I$122,0)),0)</f>
        <v>0</v>
      </c>
      <c r="AG146" s="625">
        <f t="shared" si="123"/>
        <v>0</v>
      </c>
      <c r="AH146" s="626">
        <f t="shared" si="124"/>
        <v>0</v>
      </c>
      <c r="AI146" s="626">
        <f t="shared" si="125"/>
        <v>0</v>
      </c>
      <c r="AJ146" s="625">
        <f t="array" ref="AJ146">IFERROR(INDEX('Malaria-Equipment &amp; Other HPs'!$X$64:$X$122,MATCH($E146&amp;$F146,'Malaria-Equipment &amp; Other HPs'!$E$64:$E$122&amp;'Malaria-Equipment &amp; Other HPs'!$I$64:$I$122,0)),0)</f>
        <v>0</v>
      </c>
      <c r="AK146" s="625">
        <f t="shared" si="126"/>
        <v>0</v>
      </c>
      <c r="AL146" s="626">
        <f t="shared" si="127"/>
        <v>0</v>
      </c>
      <c r="AM146" s="626">
        <f t="shared" si="128"/>
        <v>0</v>
      </c>
      <c r="AN146" s="625">
        <f t="array" ref="AN146">IFERROR(INDEX('Malaria-Equipment &amp; Other HPs'!$Y$64:$Y$122,MATCH($E146&amp;$F146,'Malaria-Equipment &amp; Other HPs'!$E$64:$E$122&amp;'Malaria-Equipment &amp; Other HPs'!$I$64:$I$122,0)),0)</f>
        <v>0</v>
      </c>
      <c r="AO146" s="625">
        <f t="shared" si="129"/>
        <v>0</v>
      </c>
      <c r="AP146" s="626">
        <f t="shared" si="130"/>
        <v>0</v>
      </c>
      <c r="AQ146" s="626">
        <f t="shared" si="131"/>
        <v>0</v>
      </c>
      <c r="AR146" s="630"/>
      <c r="AS146" s="625">
        <f t="array" ref="AS146">IFERROR(INDEX('Malaria-Equipment &amp; Other HPs'!$AB$64:$AB$122,MATCH($E146&amp;$F146,'Malaria-Equipment &amp; Other HPs'!$E$64:$E$122&amp;'Malaria-Equipment &amp; Other HPs'!$I$64:$I$122,0)),0)</f>
        <v>0</v>
      </c>
      <c r="AT146" s="625">
        <f t="array" ref="AT146">IFERROR(INDEX('Malaria-Equipment &amp; Other HPs'!$AC$64:$AC$122,MATCH($E146&amp;$F146,'Malaria-Equipment &amp; Other HPs'!$E$64:$E$122&amp;'Malaria-Equipment &amp; Other HPs'!$I$64:$I$122,0)),0)</f>
        <v>0</v>
      </c>
      <c r="AU146" s="625">
        <f t="shared" si="132"/>
        <v>0</v>
      </c>
      <c r="AV146" s="626">
        <f t="shared" si="133"/>
        <v>0</v>
      </c>
      <c r="AW146" s="626">
        <f t="shared" si="134"/>
        <v>0</v>
      </c>
      <c r="AX146" s="625">
        <f t="array" ref="AX146">IFERROR(INDEX('Malaria-Equipment &amp; Other HPs'!$AD$64:$AD$122,MATCH($E146&amp;$F146,'Malaria-Equipment &amp; Other HPs'!$E$64:$E$122&amp;'Malaria-Equipment &amp; Other HPs'!$I$64:$I$122,0)),0)</f>
        <v>0</v>
      </c>
      <c r="AY146" s="625">
        <f t="shared" si="135"/>
        <v>0</v>
      </c>
      <c r="AZ146" s="626">
        <f t="shared" si="136"/>
        <v>0</v>
      </c>
      <c r="BA146" s="626">
        <f t="shared" si="137"/>
        <v>0</v>
      </c>
      <c r="BB146" s="625">
        <f t="array" ref="BB146">IFERROR(INDEX('Malaria-Equipment &amp; Other HPs'!$AE$64:$AE$122,MATCH($E146&amp;$F146,'Malaria-Equipment &amp; Other HPs'!$E$64:$E$122&amp;'Malaria-Equipment &amp; Other HPs'!$I$64:$I$122,0)),0)</f>
        <v>0</v>
      </c>
      <c r="BC146" s="625">
        <f t="shared" si="138"/>
        <v>0</v>
      </c>
      <c r="BD146" s="626">
        <f t="shared" si="139"/>
        <v>0</v>
      </c>
      <c r="BE146" s="626">
        <f t="shared" si="140"/>
        <v>0</v>
      </c>
      <c r="BF146" s="625">
        <f t="array" ref="BF146">IFERROR(INDEX('Malaria-Equipment &amp; Other HPs'!$AF$64:$AF$122,MATCH($E146&amp;$F146,'Malaria-Equipment &amp; Other HPs'!$E$64:$E$122&amp;'Malaria-Equipment &amp; Other HPs'!$I$64:$I$122,0)),0)</f>
        <v>0</v>
      </c>
      <c r="BG146" s="625">
        <f t="shared" si="141"/>
        <v>0</v>
      </c>
      <c r="BH146" s="626">
        <f t="shared" si="142"/>
        <v>0</v>
      </c>
      <c r="BI146" s="626">
        <f t="shared" si="143"/>
        <v>0</v>
      </c>
      <c r="BJ146" s="630"/>
      <c r="BK146" s="625"/>
      <c r="BL146" s="625"/>
      <c r="BM146" s="625"/>
      <c r="BN146" s="625"/>
      <c r="BO146" s="625"/>
      <c r="BP146" s="625"/>
      <c r="BQ146" s="625"/>
      <c r="BR146" s="625"/>
      <c r="BT146" s="21" t="s">
        <v>6823</v>
      </c>
    </row>
    <row r="147" spans="1:72">
      <c r="A147" s="29" t="s">
        <v>583</v>
      </c>
      <c r="B147" s="29" t="s">
        <v>1549</v>
      </c>
      <c r="C147" s="626">
        <f>SETUP!$F$54</f>
        <v>0</v>
      </c>
      <c r="D147" s="25">
        <v>5.5</v>
      </c>
      <c r="E147" s="26" t="s">
        <v>415</v>
      </c>
      <c r="F147" s="26" t="s">
        <v>1196</v>
      </c>
      <c r="G147" s="625" t="str">
        <f t="array" ref="G147">IFERROR(INDEX('Malaria-Equipment &amp; Other HPs'!$L$64:$L$122,MATCH($E147&amp;$F147,'Malaria-Equipment &amp; Other HPs'!$E$64:$E$122&amp;'Malaria-Equipment &amp; Other HPs'!$I$64:$I$122,0)),"")</f>
        <v/>
      </c>
      <c r="H147" s="625" t="str">
        <f t="array" ref="H147">IFERROR(INDEX('Malaria-Equipment &amp; Other HPs'!$M$64:$M$122,MATCH($E147&amp;$F147,'Malaria-Equipment &amp; Other HPs'!$E$64:$E$122&amp;'Malaria-Equipment &amp; Other HPs'!$I$64:$I$122,0)),"")</f>
        <v/>
      </c>
      <c r="I147" s="625">
        <f t="array" ref="I147">IFERROR(INDEX('Malaria-Equipment &amp; Other HPs'!$N$64:$N$122,MATCH($E147&amp;$F147,'Malaria-Equipment &amp; Other HPs'!$E$64:$E$122&amp;'Malaria-Equipment &amp; Other HPs'!$I$64:$I$122,0)),0)</f>
        <v>0</v>
      </c>
      <c r="J147" s="625">
        <f t="array" ref="J147">IFERROR(INDEX('Malaria-Equipment &amp; Other HPs'!$O$64:$O$122,MATCH($E147&amp;$F147,'Malaria-Equipment &amp; Other HPs'!$E$64:$E$122&amp;'Malaria-Equipment &amp; Other HPs'!$I$64:$I$122,0)),0)</f>
        <v>0</v>
      </c>
      <c r="K147" s="626">
        <f t="shared" si="108"/>
        <v>0</v>
      </c>
      <c r="L147" s="626">
        <f t="shared" si="109"/>
        <v>0</v>
      </c>
      <c r="M147" s="626">
        <f t="shared" si="110"/>
        <v>0</v>
      </c>
      <c r="N147" s="625">
        <f t="array" ref="N147">IFERROR(INDEX('Malaria-Equipment &amp; Other HPs'!$P$64:$P$122,MATCH($E147&amp;$F147,'Malaria-Equipment &amp; Other HPs'!$E$64:$E$122&amp;'Malaria-Equipment &amp; Other HPs'!$I$64:$I$122,0)),0)</f>
        <v>0</v>
      </c>
      <c r="O147" s="626">
        <f t="shared" si="111"/>
        <v>0</v>
      </c>
      <c r="P147" s="626">
        <f t="shared" si="112"/>
        <v>0</v>
      </c>
      <c r="Q147" s="626">
        <f t="shared" si="113"/>
        <v>0</v>
      </c>
      <c r="R147" s="625">
        <f t="array" ref="R147">IFERROR(INDEX('Malaria-Equipment &amp; Other HPs'!$Q$64:$Q$122,MATCH($E147&amp;$F147,'Malaria-Equipment &amp; Other HPs'!$E$64:$E$122&amp;'Malaria-Equipment &amp; Other HPs'!$I$64:$I$122,0)),0)</f>
        <v>0</v>
      </c>
      <c r="S147" s="626">
        <f t="shared" si="114"/>
        <v>0</v>
      </c>
      <c r="T147" s="626">
        <f t="shared" si="115"/>
        <v>0</v>
      </c>
      <c r="U147" s="626">
        <f t="shared" si="116"/>
        <v>0</v>
      </c>
      <c r="V147" s="625">
        <f t="array" ref="V147">IFERROR(INDEX('Malaria-Equipment &amp; Other HPs'!$R$64:$R$122,MATCH($E147&amp;$F147,'Malaria-Equipment &amp; Other HPs'!$E$64:$E$122&amp;'Malaria-Equipment &amp; Other HPs'!$I$64:$I$122,0)),0)</f>
        <v>0</v>
      </c>
      <c r="W147" s="626">
        <f t="shared" si="117"/>
        <v>0</v>
      </c>
      <c r="X147" s="626">
        <f t="shared" si="118"/>
        <v>0</v>
      </c>
      <c r="Y147" s="626">
        <f t="shared" si="119"/>
        <v>0</v>
      </c>
      <c r="Z147" s="630"/>
      <c r="AA147" s="625">
        <f t="array" ref="AA147">IFERROR(INDEX('Malaria-Equipment &amp; Other HPs'!$U$64:$U$122,MATCH($E147&amp;$F147,'Malaria-Equipment &amp; Other HPs'!$E$64:$E$122&amp;'Malaria-Equipment &amp; Other HPs'!$I$64:$I$122,0)),0)</f>
        <v>0</v>
      </c>
      <c r="AB147" s="625">
        <f t="array" ref="AB147">IFERROR(INDEX('Malaria-Equipment &amp; Other HPs'!$V$64:$V$122,MATCH($E147&amp;$F147,'Malaria-Equipment &amp; Other HPs'!$E$64:$E$122&amp;'Malaria-Equipment &amp; Other HPs'!$I$64:$I$122,0)),0)</f>
        <v>0</v>
      </c>
      <c r="AC147" s="625">
        <f t="shared" si="120"/>
        <v>0</v>
      </c>
      <c r="AD147" s="626">
        <f t="shared" si="121"/>
        <v>0</v>
      </c>
      <c r="AE147" s="626">
        <f t="shared" si="122"/>
        <v>0</v>
      </c>
      <c r="AF147" s="625">
        <f t="array" ref="AF147">IFERROR(INDEX('Malaria-Equipment &amp; Other HPs'!$W$64:$W$122,MATCH($E147&amp;$F147,'Malaria-Equipment &amp; Other HPs'!$E$64:$E$122&amp;'Malaria-Equipment &amp; Other HPs'!$I$64:$I$122,0)),0)</f>
        <v>0</v>
      </c>
      <c r="AG147" s="625">
        <f t="shared" si="123"/>
        <v>0</v>
      </c>
      <c r="AH147" s="626">
        <f t="shared" si="124"/>
        <v>0</v>
      </c>
      <c r="AI147" s="626">
        <f t="shared" si="125"/>
        <v>0</v>
      </c>
      <c r="AJ147" s="625">
        <f t="array" ref="AJ147">IFERROR(INDEX('Malaria-Equipment &amp; Other HPs'!$X$64:$X$122,MATCH($E147&amp;$F147,'Malaria-Equipment &amp; Other HPs'!$E$64:$E$122&amp;'Malaria-Equipment &amp; Other HPs'!$I$64:$I$122,0)),0)</f>
        <v>0</v>
      </c>
      <c r="AK147" s="625">
        <f t="shared" si="126"/>
        <v>0</v>
      </c>
      <c r="AL147" s="626">
        <f t="shared" si="127"/>
        <v>0</v>
      </c>
      <c r="AM147" s="626">
        <f t="shared" si="128"/>
        <v>0</v>
      </c>
      <c r="AN147" s="625">
        <f t="array" ref="AN147">IFERROR(INDEX('Malaria-Equipment &amp; Other HPs'!$Y$64:$Y$122,MATCH($E147&amp;$F147,'Malaria-Equipment &amp; Other HPs'!$E$64:$E$122&amp;'Malaria-Equipment &amp; Other HPs'!$I$64:$I$122,0)),0)</f>
        <v>0</v>
      </c>
      <c r="AO147" s="625">
        <f t="shared" si="129"/>
        <v>0</v>
      </c>
      <c r="AP147" s="626">
        <f t="shared" si="130"/>
        <v>0</v>
      </c>
      <c r="AQ147" s="626">
        <f t="shared" si="131"/>
        <v>0</v>
      </c>
      <c r="AR147" s="630"/>
      <c r="AS147" s="625">
        <f t="array" ref="AS147">IFERROR(INDEX('Malaria-Equipment &amp; Other HPs'!$AB$64:$AB$122,MATCH($E147&amp;$F147,'Malaria-Equipment &amp; Other HPs'!$E$64:$E$122&amp;'Malaria-Equipment &amp; Other HPs'!$I$64:$I$122,0)),0)</f>
        <v>0</v>
      </c>
      <c r="AT147" s="625">
        <f t="array" ref="AT147">IFERROR(INDEX('Malaria-Equipment &amp; Other HPs'!$AC$64:$AC$122,MATCH($E147&amp;$F147,'Malaria-Equipment &amp; Other HPs'!$E$64:$E$122&amp;'Malaria-Equipment &amp; Other HPs'!$I$64:$I$122,0)),0)</f>
        <v>0</v>
      </c>
      <c r="AU147" s="625">
        <f t="shared" si="132"/>
        <v>0</v>
      </c>
      <c r="AV147" s="626">
        <f t="shared" si="133"/>
        <v>0</v>
      </c>
      <c r="AW147" s="626">
        <f t="shared" si="134"/>
        <v>0</v>
      </c>
      <c r="AX147" s="625">
        <f t="array" ref="AX147">IFERROR(INDEX('Malaria-Equipment &amp; Other HPs'!$AD$64:$AD$122,MATCH($E147&amp;$F147,'Malaria-Equipment &amp; Other HPs'!$E$64:$E$122&amp;'Malaria-Equipment &amp; Other HPs'!$I$64:$I$122,0)),0)</f>
        <v>0</v>
      </c>
      <c r="AY147" s="625">
        <f t="shared" si="135"/>
        <v>0</v>
      </c>
      <c r="AZ147" s="626">
        <f t="shared" si="136"/>
        <v>0</v>
      </c>
      <c r="BA147" s="626">
        <f t="shared" si="137"/>
        <v>0</v>
      </c>
      <c r="BB147" s="625">
        <f t="array" ref="BB147">IFERROR(INDEX('Malaria-Equipment &amp; Other HPs'!$AE$64:$AE$122,MATCH($E147&amp;$F147,'Malaria-Equipment &amp; Other HPs'!$E$64:$E$122&amp;'Malaria-Equipment &amp; Other HPs'!$I$64:$I$122,0)),0)</f>
        <v>0</v>
      </c>
      <c r="BC147" s="625">
        <f t="shared" si="138"/>
        <v>0</v>
      </c>
      <c r="BD147" s="626">
        <f t="shared" si="139"/>
        <v>0</v>
      </c>
      <c r="BE147" s="626">
        <f t="shared" si="140"/>
        <v>0</v>
      </c>
      <c r="BF147" s="625">
        <f t="array" ref="BF147">IFERROR(INDEX('Malaria-Equipment &amp; Other HPs'!$AF$64:$AF$122,MATCH($E147&amp;$F147,'Malaria-Equipment &amp; Other HPs'!$E$64:$E$122&amp;'Malaria-Equipment &amp; Other HPs'!$I$64:$I$122,0)),0)</f>
        <v>0</v>
      </c>
      <c r="BG147" s="625">
        <f t="shared" si="141"/>
        <v>0</v>
      </c>
      <c r="BH147" s="626">
        <f t="shared" si="142"/>
        <v>0</v>
      </c>
      <c r="BI147" s="626">
        <f t="shared" si="143"/>
        <v>0</v>
      </c>
      <c r="BJ147" s="630"/>
      <c r="BK147" s="625"/>
      <c r="BL147" s="625"/>
      <c r="BM147" s="625"/>
      <c r="BN147" s="625"/>
      <c r="BO147" s="625"/>
      <c r="BP147" s="625"/>
      <c r="BQ147" s="625"/>
      <c r="BR147" s="625"/>
      <c r="BT147" s="21" t="s">
        <v>6823</v>
      </c>
    </row>
    <row r="148" spans="1:72">
      <c r="A148" s="29" t="s">
        <v>583</v>
      </c>
      <c r="B148" s="29" t="s">
        <v>1549</v>
      </c>
      <c r="C148" s="626">
        <f>SETUP!$F$54</f>
        <v>0</v>
      </c>
      <c r="D148" s="25">
        <v>5.5</v>
      </c>
      <c r="E148" s="26" t="s">
        <v>415</v>
      </c>
      <c r="F148" s="26" t="s">
        <v>1197</v>
      </c>
      <c r="G148" s="625" t="str">
        <f t="array" ref="G148">IFERROR(INDEX('Malaria-Equipment &amp; Other HPs'!$L$64:$L$122,MATCH($E148&amp;$F148,'Malaria-Equipment &amp; Other HPs'!$E$64:$E$122&amp;'Malaria-Equipment &amp; Other HPs'!$I$64:$I$122,0)),"")</f>
        <v/>
      </c>
      <c r="H148" s="625" t="str">
        <f t="array" ref="H148">IFERROR(INDEX('Malaria-Equipment &amp; Other HPs'!$M$64:$M$122,MATCH($E148&amp;$F148,'Malaria-Equipment &amp; Other HPs'!$E$64:$E$122&amp;'Malaria-Equipment &amp; Other HPs'!$I$64:$I$122,0)),"")</f>
        <v/>
      </c>
      <c r="I148" s="625">
        <f t="array" ref="I148">IFERROR(INDEX('Malaria-Equipment &amp; Other HPs'!$N$64:$N$122,MATCH($E148&amp;$F148,'Malaria-Equipment &amp; Other HPs'!$E$64:$E$122&amp;'Malaria-Equipment &amp; Other HPs'!$I$64:$I$122,0)),0)</f>
        <v>0</v>
      </c>
      <c r="J148" s="625">
        <f t="array" ref="J148">IFERROR(INDEX('Malaria-Equipment &amp; Other HPs'!$O$64:$O$122,MATCH($E148&amp;$F148,'Malaria-Equipment &amp; Other HPs'!$E$64:$E$122&amp;'Malaria-Equipment &amp; Other HPs'!$I$64:$I$122,0)),0)</f>
        <v>0</v>
      </c>
      <c r="K148" s="626">
        <f t="shared" si="108"/>
        <v>0</v>
      </c>
      <c r="L148" s="626">
        <f t="shared" si="109"/>
        <v>0</v>
      </c>
      <c r="M148" s="626">
        <f t="shared" si="110"/>
        <v>0</v>
      </c>
      <c r="N148" s="625">
        <f t="array" ref="N148">IFERROR(INDEX('Malaria-Equipment &amp; Other HPs'!$P$64:$P$122,MATCH($E148&amp;$F148,'Malaria-Equipment &amp; Other HPs'!$E$64:$E$122&amp;'Malaria-Equipment &amp; Other HPs'!$I$64:$I$122,0)),0)</f>
        <v>0</v>
      </c>
      <c r="O148" s="626">
        <f t="shared" si="111"/>
        <v>0</v>
      </c>
      <c r="P148" s="626">
        <f t="shared" si="112"/>
        <v>0</v>
      </c>
      <c r="Q148" s="626">
        <f t="shared" si="113"/>
        <v>0</v>
      </c>
      <c r="R148" s="625">
        <f t="array" ref="R148">IFERROR(INDEX('Malaria-Equipment &amp; Other HPs'!$Q$64:$Q$122,MATCH($E148&amp;$F148,'Malaria-Equipment &amp; Other HPs'!$E$64:$E$122&amp;'Malaria-Equipment &amp; Other HPs'!$I$64:$I$122,0)),0)</f>
        <v>0</v>
      </c>
      <c r="S148" s="626">
        <f t="shared" si="114"/>
        <v>0</v>
      </c>
      <c r="T148" s="626">
        <f t="shared" si="115"/>
        <v>0</v>
      </c>
      <c r="U148" s="626">
        <f t="shared" si="116"/>
        <v>0</v>
      </c>
      <c r="V148" s="625">
        <f t="array" ref="V148">IFERROR(INDEX('Malaria-Equipment &amp; Other HPs'!$R$64:$R$122,MATCH($E148&amp;$F148,'Malaria-Equipment &amp; Other HPs'!$E$64:$E$122&amp;'Malaria-Equipment &amp; Other HPs'!$I$64:$I$122,0)),0)</f>
        <v>0</v>
      </c>
      <c r="W148" s="626">
        <f t="shared" si="117"/>
        <v>0</v>
      </c>
      <c r="X148" s="626">
        <f t="shared" si="118"/>
        <v>0</v>
      </c>
      <c r="Y148" s="626">
        <f t="shared" si="119"/>
        <v>0</v>
      </c>
      <c r="Z148" s="630"/>
      <c r="AA148" s="625">
        <f t="array" ref="AA148">IFERROR(INDEX('Malaria-Equipment &amp; Other HPs'!$U$64:$U$122,MATCH($E148&amp;$F148,'Malaria-Equipment &amp; Other HPs'!$E$64:$E$122&amp;'Malaria-Equipment &amp; Other HPs'!$I$64:$I$122,0)),0)</f>
        <v>0</v>
      </c>
      <c r="AB148" s="625">
        <f t="array" ref="AB148">IFERROR(INDEX('Malaria-Equipment &amp; Other HPs'!$V$64:$V$122,MATCH($E148&amp;$F148,'Malaria-Equipment &amp; Other HPs'!$E$64:$E$122&amp;'Malaria-Equipment &amp; Other HPs'!$I$64:$I$122,0)),0)</f>
        <v>0</v>
      </c>
      <c r="AC148" s="625">
        <f t="shared" si="120"/>
        <v>0</v>
      </c>
      <c r="AD148" s="626">
        <f t="shared" si="121"/>
        <v>0</v>
      </c>
      <c r="AE148" s="626">
        <f t="shared" si="122"/>
        <v>0</v>
      </c>
      <c r="AF148" s="625">
        <f t="array" ref="AF148">IFERROR(INDEX('Malaria-Equipment &amp; Other HPs'!$W$64:$W$122,MATCH($E148&amp;$F148,'Malaria-Equipment &amp; Other HPs'!$E$64:$E$122&amp;'Malaria-Equipment &amp; Other HPs'!$I$64:$I$122,0)),0)</f>
        <v>0</v>
      </c>
      <c r="AG148" s="625">
        <f t="shared" si="123"/>
        <v>0</v>
      </c>
      <c r="AH148" s="626">
        <f t="shared" si="124"/>
        <v>0</v>
      </c>
      <c r="AI148" s="626">
        <f t="shared" si="125"/>
        <v>0</v>
      </c>
      <c r="AJ148" s="625">
        <f t="array" ref="AJ148">IFERROR(INDEX('Malaria-Equipment &amp; Other HPs'!$X$64:$X$122,MATCH($E148&amp;$F148,'Malaria-Equipment &amp; Other HPs'!$E$64:$E$122&amp;'Malaria-Equipment &amp; Other HPs'!$I$64:$I$122,0)),0)</f>
        <v>0</v>
      </c>
      <c r="AK148" s="625">
        <f t="shared" si="126"/>
        <v>0</v>
      </c>
      <c r="AL148" s="626">
        <f t="shared" si="127"/>
        <v>0</v>
      </c>
      <c r="AM148" s="626">
        <f t="shared" si="128"/>
        <v>0</v>
      </c>
      <c r="AN148" s="625">
        <f t="array" ref="AN148">IFERROR(INDEX('Malaria-Equipment &amp; Other HPs'!$Y$64:$Y$122,MATCH($E148&amp;$F148,'Malaria-Equipment &amp; Other HPs'!$E$64:$E$122&amp;'Malaria-Equipment &amp; Other HPs'!$I$64:$I$122,0)),0)</f>
        <v>0</v>
      </c>
      <c r="AO148" s="625">
        <f t="shared" si="129"/>
        <v>0</v>
      </c>
      <c r="AP148" s="626">
        <f t="shared" si="130"/>
        <v>0</v>
      </c>
      <c r="AQ148" s="626">
        <f t="shared" si="131"/>
        <v>0</v>
      </c>
      <c r="AR148" s="630"/>
      <c r="AS148" s="625">
        <f t="array" ref="AS148">IFERROR(INDEX('Malaria-Equipment &amp; Other HPs'!$AB$64:$AB$122,MATCH($E148&amp;$F148,'Malaria-Equipment &amp; Other HPs'!$E$64:$E$122&amp;'Malaria-Equipment &amp; Other HPs'!$I$64:$I$122,0)),0)</f>
        <v>0</v>
      </c>
      <c r="AT148" s="625">
        <f t="array" ref="AT148">IFERROR(INDEX('Malaria-Equipment &amp; Other HPs'!$AC$64:$AC$122,MATCH($E148&amp;$F148,'Malaria-Equipment &amp; Other HPs'!$E$64:$E$122&amp;'Malaria-Equipment &amp; Other HPs'!$I$64:$I$122,0)),0)</f>
        <v>0</v>
      </c>
      <c r="AU148" s="625">
        <f t="shared" si="132"/>
        <v>0</v>
      </c>
      <c r="AV148" s="626">
        <f t="shared" si="133"/>
        <v>0</v>
      </c>
      <c r="AW148" s="626">
        <f t="shared" si="134"/>
        <v>0</v>
      </c>
      <c r="AX148" s="625">
        <f t="array" ref="AX148">IFERROR(INDEX('Malaria-Equipment &amp; Other HPs'!$AD$64:$AD$122,MATCH($E148&amp;$F148,'Malaria-Equipment &amp; Other HPs'!$E$64:$E$122&amp;'Malaria-Equipment &amp; Other HPs'!$I$64:$I$122,0)),0)</f>
        <v>0</v>
      </c>
      <c r="AY148" s="625">
        <f t="shared" si="135"/>
        <v>0</v>
      </c>
      <c r="AZ148" s="626">
        <f t="shared" si="136"/>
        <v>0</v>
      </c>
      <c r="BA148" s="626">
        <f t="shared" si="137"/>
        <v>0</v>
      </c>
      <c r="BB148" s="625">
        <f t="array" ref="BB148">IFERROR(INDEX('Malaria-Equipment &amp; Other HPs'!$AE$64:$AE$122,MATCH($E148&amp;$F148,'Malaria-Equipment &amp; Other HPs'!$E$64:$E$122&amp;'Malaria-Equipment &amp; Other HPs'!$I$64:$I$122,0)),0)</f>
        <v>0</v>
      </c>
      <c r="BC148" s="625">
        <f t="shared" si="138"/>
        <v>0</v>
      </c>
      <c r="BD148" s="626">
        <f t="shared" si="139"/>
        <v>0</v>
      </c>
      <c r="BE148" s="626">
        <f t="shared" si="140"/>
        <v>0</v>
      </c>
      <c r="BF148" s="625">
        <f t="array" ref="BF148">IFERROR(INDEX('Malaria-Equipment &amp; Other HPs'!$AF$64:$AF$122,MATCH($E148&amp;$F148,'Malaria-Equipment &amp; Other HPs'!$E$64:$E$122&amp;'Malaria-Equipment &amp; Other HPs'!$I$64:$I$122,0)),0)</f>
        <v>0</v>
      </c>
      <c r="BG148" s="625">
        <f t="shared" si="141"/>
        <v>0</v>
      </c>
      <c r="BH148" s="626">
        <f t="shared" si="142"/>
        <v>0</v>
      </c>
      <c r="BI148" s="626">
        <f t="shared" si="143"/>
        <v>0</v>
      </c>
      <c r="BJ148" s="630"/>
      <c r="BK148" s="625"/>
      <c r="BL148" s="625"/>
      <c r="BM148" s="625"/>
      <c r="BN148" s="625"/>
      <c r="BO148" s="625"/>
      <c r="BP148" s="625"/>
      <c r="BQ148" s="625"/>
      <c r="BR148" s="625"/>
      <c r="BT148" s="21" t="s">
        <v>6823</v>
      </c>
    </row>
    <row r="149" spans="1:72">
      <c r="A149" s="29" t="s">
        <v>583</v>
      </c>
      <c r="B149" s="29" t="s">
        <v>1549</v>
      </c>
      <c r="C149" s="626">
        <f>SETUP!$F$54</f>
        <v>0</v>
      </c>
      <c r="D149" s="25">
        <v>5.5</v>
      </c>
      <c r="E149" s="26" t="s">
        <v>415</v>
      </c>
      <c r="F149" s="26" t="s">
        <v>1198</v>
      </c>
      <c r="G149" s="625" t="str">
        <f t="array" ref="G149">IFERROR(INDEX('Malaria-Equipment &amp; Other HPs'!$L$64:$L$122,MATCH($E149&amp;$F149,'Malaria-Equipment &amp; Other HPs'!$E$64:$E$122&amp;'Malaria-Equipment &amp; Other HPs'!$I$64:$I$122,0)),"")</f>
        <v/>
      </c>
      <c r="H149" s="625" t="str">
        <f t="array" ref="H149">IFERROR(INDEX('Malaria-Equipment &amp; Other HPs'!$M$64:$M$122,MATCH($E149&amp;$F149,'Malaria-Equipment &amp; Other HPs'!$E$64:$E$122&amp;'Malaria-Equipment &amp; Other HPs'!$I$64:$I$122,0)),"")</f>
        <v/>
      </c>
      <c r="I149" s="625">
        <f t="array" ref="I149">IFERROR(INDEX('Malaria-Equipment &amp; Other HPs'!$N$64:$N$122,MATCH($E149&amp;$F149,'Malaria-Equipment &amp; Other HPs'!$E$64:$E$122&amp;'Malaria-Equipment &amp; Other HPs'!$I$64:$I$122,0)),0)</f>
        <v>0</v>
      </c>
      <c r="J149" s="625">
        <f t="array" ref="J149">IFERROR(INDEX('Malaria-Equipment &amp; Other HPs'!$O$64:$O$122,MATCH($E149&amp;$F149,'Malaria-Equipment &amp; Other HPs'!$E$64:$E$122&amp;'Malaria-Equipment &amp; Other HPs'!$I$64:$I$122,0)),0)</f>
        <v>0</v>
      </c>
      <c r="K149" s="626">
        <f t="shared" si="108"/>
        <v>0</v>
      </c>
      <c r="L149" s="626">
        <f t="shared" si="109"/>
        <v>0</v>
      </c>
      <c r="M149" s="626">
        <f t="shared" si="110"/>
        <v>0</v>
      </c>
      <c r="N149" s="625">
        <f t="array" ref="N149">IFERROR(INDEX('Malaria-Equipment &amp; Other HPs'!$P$64:$P$122,MATCH($E149&amp;$F149,'Malaria-Equipment &amp; Other HPs'!$E$64:$E$122&amp;'Malaria-Equipment &amp; Other HPs'!$I$64:$I$122,0)),0)</f>
        <v>0</v>
      </c>
      <c r="O149" s="626">
        <f t="shared" si="111"/>
        <v>0</v>
      </c>
      <c r="P149" s="626">
        <f t="shared" si="112"/>
        <v>0</v>
      </c>
      <c r="Q149" s="626">
        <f t="shared" si="113"/>
        <v>0</v>
      </c>
      <c r="R149" s="625">
        <f t="array" ref="R149">IFERROR(INDEX('Malaria-Equipment &amp; Other HPs'!$Q$64:$Q$122,MATCH($E149&amp;$F149,'Malaria-Equipment &amp; Other HPs'!$E$64:$E$122&amp;'Malaria-Equipment &amp; Other HPs'!$I$64:$I$122,0)),0)</f>
        <v>0</v>
      </c>
      <c r="S149" s="626">
        <f t="shared" si="114"/>
        <v>0</v>
      </c>
      <c r="T149" s="626">
        <f t="shared" si="115"/>
        <v>0</v>
      </c>
      <c r="U149" s="626">
        <f t="shared" si="116"/>
        <v>0</v>
      </c>
      <c r="V149" s="625">
        <f t="array" ref="V149">IFERROR(INDEX('Malaria-Equipment &amp; Other HPs'!$R$64:$R$122,MATCH($E149&amp;$F149,'Malaria-Equipment &amp; Other HPs'!$E$64:$E$122&amp;'Malaria-Equipment &amp; Other HPs'!$I$64:$I$122,0)),0)</f>
        <v>0</v>
      </c>
      <c r="W149" s="626">
        <f t="shared" si="117"/>
        <v>0</v>
      </c>
      <c r="X149" s="626">
        <f t="shared" si="118"/>
        <v>0</v>
      </c>
      <c r="Y149" s="626">
        <f t="shared" si="119"/>
        <v>0</v>
      </c>
      <c r="Z149" s="630"/>
      <c r="AA149" s="625">
        <f t="array" ref="AA149">IFERROR(INDEX('Malaria-Equipment &amp; Other HPs'!$U$64:$U$122,MATCH($E149&amp;$F149,'Malaria-Equipment &amp; Other HPs'!$E$64:$E$122&amp;'Malaria-Equipment &amp; Other HPs'!$I$64:$I$122,0)),0)</f>
        <v>0</v>
      </c>
      <c r="AB149" s="625">
        <f t="array" ref="AB149">IFERROR(INDEX('Malaria-Equipment &amp; Other HPs'!$V$64:$V$122,MATCH($E149&amp;$F149,'Malaria-Equipment &amp; Other HPs'!$E$64:$E$122&amp;'Malaria-Equipment &amp; Other HPs'!$I$64:$I$122,0)),0)</f>
        <v>0</v>
      </c>
      <c r="AC149" s="625">
        <f t="shared" si="120"/>
        <v>0</v>
      </c>
      <c r="AD149" s="626">
        <f t="shared" si="121"/>
        <v>0</v>
      </c>
      <c r="AE149" s="626">
        <f t="shared" si="122"/>
        <v>0</v>
      </c>
      <c r="AF149" s="625">
        <f t="array" ref="AF149">IFERROR(INDEX('Malaria-Equipment &amp; Other HPs'!$W$64:$W$122,MATCH($E149&amp;$F149,'Malaria-Equipment &amp; Other HPs'!$E$64:$E$122&amp;'Malaria-Equipment &amp; Other HPs'!$I$64:$I$122,0)),0)</f>
        <v>0</v>
      </c>
      <c r="AG149" s="625">
        <f t="shared" si="123"/>
        <v>0</v>
      </c>
      <c r="AH149" s="626">
        <f t="shared" si="124"/>
        <v>0</v>
      </c>
      <c r="AI149" s="626">
        <f t="shared" si="125"/>
        <v>0</v>
      </c>
      <c r="AJ149" s="625">
        <f t="array" ref="AJ149">IFERROR(INDEX('Malaria-Equipment &amp; Other HPs'!$X$64:$X$122,MATCH($E149&amp;$F149,'Malaria-Equipment &amp; Other HPs'!$E$64:$E$122&amp;'Malaria-Equipment &amp; Other HPs'!$I$64:$I$122,0)),0)</f>
        <v>0</v>
      </c>
      <c r="AK149" s="625">
        <f t="shared" si="126"/>
        <v>0</v>
      </c>
      <c r="AL149" s="626">
        <f t="shared" si="127"/>
        <v>0</v>
      </c>
      <c r="AM149" s="626">
        <f t="shared" si="128"/>
        <v>0</v>
      </c>
      <c r="AN149" s="625">
        <f t="array" ref="AN149">IFERROR(INDEX('Malaria-Equipment &amp; Other HPs'!$Y$64:$Y$122,MATCH($E149&amp;$F149,'Malaria-Equipment &amp; Other HPs'!$E$64:$E$122&amp;'Malaria-Equipment &amp; Other HPs'!$I$64:$I$122,0)),0)</f>
        <v>0</v>
      </c>
      <c r="AO149" s="625">
        <f t="shared" si="129"/>
        <v>0</v>
      </c>
      <c r="AP149" s="626">
        <f t="shared" si="130"/>
        <v>0</v>
      </c>
      <c r="AQ149" s="626">
        <f t="shared" si="131"/>
        <v>0</v>
      </c>
      <c r="AR149" s="630"/>
      <c r="AS149" s="625">
        <f t="array" ref="AS149">IFERROR(INDEX('Malaria-Equipment &amp; Other HPs'!$AB$64:$AB$122,MATCH($E149&amp;$F149,'Malaria-Equipment &amp; Other HPs'!$E$64:$E$122&amp;'Malaria-Equipment &amp; Other HPs'!$I$64:$I$122,0)),0)</f>
        <v>0</v>
      </c>
      <c r="AT149" s="625">
        <f t="array" ref="AT149">IFERROR(INDEX('Malaria-Equipment &amp; Other HPs'!$AC$64:$AC$122,MATCH($E149&amp;$F149,'Malaria-Equipment &amp; Other HPs'!$E$64:$E$122&amp;'Malaria-Equipment &amp; Other HPs'!$I$64:$I$122,0)),0)</f>
        <v>0</v>
      </c>
      <c r="AU149" s="625">
        <f t="shared" si="132"/>
        <v>0</v>
      </c>
      <c r="AV149" s="626">
        <f t="shared" si="133"/>
        <v>0</v>
      </c>
      <c r="AW149" s="626">
        <f t="shared" si="134"/>
        <v>0</v>
      </c>
      <c r="AX149" s="625">
        <f t="array" ref="AX149">IFERROR(INDEX('Malaria-Equipment &amp; Other HPs'!$AD$64:$AD$122,MATCH($E149&amp;$F149,'Malaria-Equipment &amp; Other HPs'!$E$64:$E$122&amp;'Malaria-Equipment &amp; Other HPs'!$I$64:$I$122,0)),0)</f>
        <v>0</v>
      </c>
      <c r="AY149" s="625">
        <f t="shared" si="135"/>
        <v>0</v>
      </c>
      <c r="AZ149" s="626">
        <f t="shared" si="136"/>
        <v>0</v>
      </c>
      <c r="BA149" s="626">
        <f t="shared" si="137"/>
        <v>0</v>
      </c>
      <c r="BB149" s="625">
        <f t="array" ref="BB149">IFERROR(INDEX('Malaria-Equipment &amp; Other HPs'!$AE$64:$AE$122,MATCH($E149&amp;$F149,'Malaria-Equipment &amp; Other HPs'!$E$64:$E$122&amp;'Malaria-Equipment &amp; Other HPs'!$I$64:$I$122,0)),0)</f>
        <v>0</v>
      </c>
      <c r="BC149" s="625">
        <f t="shared" si="138"/>
        <v>0</v>
      </c>
      <c r="BD149" s="626">
        <f t="shared" si="139"/>
        <v>0</v>
      </c>
      <c r="BE149" s="626">
        <f t="shared" si="140"/>
        <v>0</v>
      </c>
      <c r="BF149" s="625">
        <f t="array" ref="BF149">IFERROR(INDEX('Malaria-Equipment &amp; Other HPs'!$AF$64:$AF$122,MATCH($E149&amp;$F149,'Malaria-Equipment &amp; Other HPs'!$E$64:$E$122&amp;'Malaria-Equipment &amp; Other HPs'!$I$64:$I$122,0)),0)</f>
        <v>0</v>
      </c>
      <c r="BG149" s="625">
        <f t="shared" si="141"/>
        <v>0</v>
      </c>
      <c r="BH149" s="626">
        <f t="shared" si="142"/>
        <v>0</v>
      </c>
      <c r="BI149" s="626">
        <f t="shared" si="143"/>
        <v>0</v>
      </c>
      <c r="BJ149" s="630"/>
      <c r="BK149" s="625"/>
      <c r="BL149" s="625"/>
      <c r="BM149" s="625"/>
      <c r="BN149" s="625"/>
      <c r="BO149" s="625"/>
      <c r="BP149" s="625"/>
      <c r="BQ149" s="625"/>
      <c r="BR149" s="625"/>
      <c r="BT149" s="21" t="s">
        <v>6823</v>
      </c>
    </row>
    <row r="150" spans="1:72">
      <c r="A150" s="29" t="s">
        <v>583</v>
      </c>
      <c r="B150" s="29" t="s">
        <v>1549</v>
      </c>
      <c r="C150" s="626">
        <f>SETUP!$F$54</f>
        <v>0</v>
      </c>
      <c r="D150" s="25">
        <v>5.5</v>
      </c>
      <c r="E150" s="26" t="s">
        <v>415</v>
      </c>
      <c r="F150" s="26" t="s">
        <v>1199</v>
      </c>
      <c r="G150" s="625" t="str">
        <f t="array" ref="G150">IFERROR(INDEX('Malaria-Equipment &amp; Other HPs'!$L$64:$L$122,MATCH($E150&amp;$F150,'Malaria-Equipment &amp; Other HPs'!$E$64:$E$122&amp;'Malaria-Equipment &amp; Other HPs'!$I$64:$I$122,0)),"")</f>
        <v/>
      </c>
      <c r="H150" s="625" t="str">
        <f t="array" ref="H150">IFERROR(INDEX('Malaria-Equipment &amp; Other HPs'!$M$64:$M$122,MATCH($E150&amp;$F150,'Malaria-Equipment &amp; Other HPs'!$E$64:$E$122&amp;'Malaria-Equipment &amp; Other HPs'!$I$64:$I$122,0)),"")</f>
        <v/>
      </c>
      <c r="I150" s="625">
        <f t="array" ref="I150">IFERROR(INDEX('Malaria-Equipment &amp; Other HPs'!$N$64:$N$122,MATCH($E150&amp;$F150,'Malaria-Equipment &amp; Other HPs'!$E$64:$E$122&amp;'Malaria-Equipment &amp; Other HPs'!$I$64:$I$122,0)),0)</f>
        <v>0</v>
      </c>
      <c r="J150" s="625">
        <f t="array" ref="J150">IFERROR(INDEX('Malaria-Equipment &amp; Other HPs'!$O$64:$O$122,MATCH($E150&amp;$F150,'Malaria-Equipment &amp; Other HPs'!$E$64:$E$122&amp;'Malaria-Equipment &amp; Other HPs'!$I$64:$I$122,0)),0)</f>
        <v>0</v>
      </c>
      <c r="K150" s="626">
        <f t="shared" si="108"/>
        <v>0</v>
      </c>
      <c r="L150" s="626">
        <f t="shared" si="109"/>
        <v>0</v>
      </c>
      <c r="M150" s="626">
        <f t="shared" si="110"/>
        <v>0</v>
      </c>
      <c r="N150" s="625">
        <f t="array" ref="N150">IFERROR(INDEX('Malaria-Equipment &amp; Other HPs'!$P$64:$P$122,MATCH($E150&amp;$F150,'Malaria-Equipment &amp; Other HPs'!$E$64:$E$122&amp;'Malaria-Equipment &amp; Other HPs'!$I$64:$I$122,0)),0)</f>
        <v>0</v>
      </c>
      <c r="O150" s="626">
        <f t="shared" si="111"/>
        <v>0</v>
      </c>
      <c r="P150" s="626">
        <f t="shared" si="112"/>
        <v>0</v>
      </c>
      <c r="Q150" s="626">
        <f t="shared" si="113"/>
        <v>0</v>
      </c>
      <c r="R150" s="625">
        <f t="array" ref="R150">IFERROR(INDEX('Malaria-Equipment &amp; Other HPs'!$Q$64:$Q$122,MATCH($E150&amp;$F150,'Malaria-Equipment &amp; Other HPs'!$E$64:$E$122&amp;'Malaria-Equipment &amp; Other HPs'!$I$64:$I$122,0)),0)</f>
        <v>0</v>
      </c>
      <c r="S150" s="626">
        <f t="shared" si="114"/>
        <v>0</v>
      </c>
      <c r="T150" s="626">
        <f t="shared" si="115"/>
        <v>0</v>
      </c>
      <c r="U150" s="626">
        <f t="shared" si="116"/>
        <v>0</v>
      </c>
      <c r="V150" s="625">
        <f t="array" ref="V150">IFERROR(INDEX('Malaria-Equipment &amp; Other HPs'!$R$64:$R$122,MATCH($E150&amp;$F150,'Malaria-Equipment &amp; Other HPs'!$E$64:$E$122&amp;'Malaria-Equipment &amp; Other HPs'!$I$64:$I$122,0)),0)</f>
        <v>0</v>
      </c>
      <c r="W150" s="626">
        <f t="shared" si="117"/>
        <v>0</v>
      </c>
      <c r="X150" s="626">
        <f t="shared" si="118"/>
        <v>0</v>
      </c>
      <c r="Y150" s="626">
        <f t="shared" si="119"/>
        <v>0</v>
      </c>
      <c r="Z150" s="630"/>
      <c r="AA150" s="625">
        <f t="array" ref="AA150">IFERROR(INDEX('Malaria-Equipment &amp; Other HPs'!$U$64:$U$122,MATCH($E150&amp;$F150,'Malaria-Equipment &amp; Other HPs'!$E$64:$E$122&amp;'Malaria-Equipment &amp; Other HPs'!$I$64:$I$122,0)),0)</f>
        <v>0</v>
      </c>
      <c r="AB150" s="625">
        <f t="array" ref="AB150">IFERROR(INDEX('Malaria-Equipment &amp; Other HPs'!$V$64:$V$122,MATCH($E150&amp;$F150,'Malaria-Equipment &amp; Other HPs'!$E$64:$E$122&amp;'Malaria-Equipment &amp; Other HPs'!$I$64:$I$122,0)),0)</f>
        <v>0</v>
      </c>
      <c r="AC150" s="625">
        <f t="shared" si="120"/>
        <v>0</v>
      </c>
      <c r="AD150" s="626">
        <f t="shared" si="121"/>
        <v>0</v>
      </c>
      <c r="AE150" s="626">
        <f t="shared" si="122"/>
        <v>0</v>
      </c>
      <c r="AF150" s="625">
        <f t="array" ref="AF150">IFERROR(INDEX('Malaria-Equipment &amp; Other HPs'!$W$64:$W$122,MATCH($E150&amp;$F150,'Malaria-Equipment &amp; Other HPs'!$E$64:$E$122&amp;'Malaria-Equipment &amp; Other HPs'!$I$64:$I$122,0)),0)</f>
        <v>0</v>
      </c>
      <c r="AG150" s="625">
        <f t="shared" si="123"/>
        <v>0</v>
      </c>
      <c r="AH150" s="626">
        <f t="shared" si="124"/>
        <v>0</v>
      </c>
      <c r="AI150" s="626">
        <f t="shared" si="125"/>
        <v>0</v>
      </c>
      <c r="AJ150" s="625">
        <f t="array" ref="AJ150">IFERROR(INDEX('Malaria-Equipment &amp; Other HPs'!$X$64:$X$122,MATCH($E150&amp;$F150,'Malaria-Equipment &amp; Other HPs'!$E$64:$E$122&amp;'Malaria-Equipment &amp; Other HPs'!$I$64:$I$122,0)),0)</f>
        <v>0</v>
      </c>
      <c r="AK150" s="625">
        <f t="shared" si="126"/>
        <v>0</v>
      </c>
      <c r="AL150" s="626">
        <f t="shared" si="127"/>
        <v>0</v>
      </c>
      <c r="AM150" s="626">
        <f t="shared" si="128"/>
        <v>0</v>
      </c>
      <c r="AN150" s="625">
        <f t="array" ref="AN150">IFERROR(INDEX('Malaria-Equipment &amp; Other HPs'!$Y$64:$Y$122,MATCH($E150&amp;$F150,'Malaria-Equipment &amp; Other HPs'!$E$64:$E$122&amp;'Malaria-Equipment &amp; Other HPs'!$I$64:$I$122,0)),0)</f>
        <v>0</v>
      </c>
      <c r="AO150" s="625">
        <f t="shared" si="129"/>
        <v>0</v>
      </c>
      <c r="AP150" s="626">
        <f t="shared" si="130"/>
        <v>0</v>
      </c>
      <c r="AQ150" s="626">
        <f t="shared" si="131"/>
        <v>0</v>
      </c>
      <c r="AR150" s="630"/>
      <c r="AS150" s="625">
        <f t="array" ref="AS150">IFERROR(INDEX('Malaria-Equipment &amp; Other HPs'!$AB$64:$AB$122,MATCH($E150&amp;$F150,'Malaria-Equipment &amp; Other HPs'!$E$64:$E$122&amp;'Malaria-Equipment &amp; Other HPs'!$I$64:$I$122,0)),0)</f>
        <v>0</v>
      </c>
      <c r="AT150" s="625">
        <f t="array" ref="AT150">IFERROR(INDEX('Malaria-Equipment &amp; Other HPs'!$AC$64:$AC$122,MATCH($E150&amp;$F150,'Malaria-Equipment &amp; Other HPs'!$E$64:$E$122&amp;'Malaria-Equipment &amp; Other HPs'!$I$64:$I$122,0)),0)</f>
        <v>0</v>
      </c>
      <c r="AU150" s="625">
        <f t="shared" si="132"/>
        <v>0</v>
      </c>
      <c r="AV150" s="626">
        <f t="shared" si="133"/>
        <v>0</v>
      </c>
      <c r="AW150" s="626">
        <f t="shared" si="134"/>
        <v>0</v>
      </c>
      <c r="AX150" s="625">
        <f t="array" ref="AX150">IFERROR(INDEX('Malaria-Equipment &amp; Other HPs'!$AD$64:$AD$122,MATCH($E150&amp;$F150,'Malaria-Equipment &amp; Other HPs'!$E$64:$E$122&amp;'Malaria-Equipment &amp; Other HPs'!$I$64:$I$122,0)),0)</f>
        <v>0</v>
      </c>
      <c r="AY150" s="625">
        <f t="shared" si="135"/>
        <v>0</v>
      </c>
      <c r="AZ150" s="626">
        <f t="shared" si="136"/>
        <v>0</v>
      </c>
      <c r="BA150" s="626">
        <f t="shared" si="137"/>
        <v>0</v>
      </c>
      <c r="BB150" s="625">
        <f t="array" ref="BB150">IFERROR(INDEX('Malaria-Equipment &amp; Other HPs'!$AE$64:$AE$122,MATCH($E150&amp;$F150,'Malaria-Equipment &amp; Other HPs'!$E$64:$E$122&amp;'Malaria-Equipment &amp; Other HPs'!$I$64:$I$122,0)),0)</f>
        <v>0</v>
      </c>
      <c r="BC150" s="625">
        <f t="shared" si="138"/>
        <v>0</v>
      </c>
      <c r="BD150" s="626">
        <f t="shared" si="139"/>
        <v>0</v>
      </c>
      <c r="BE150" s="626">
        <f t="shared" si="140"/>
        <v>0</v>
      </c>
      <c r="BF150" s="625">
        <f t="array" ref="BF150">IFERROR(INDEX('Malaria-Equipment &amp; Other HPs'!$AF$64:$AF$122,MATCH($E150&amp;$F150,'Malaria-Equipment &amp; Other HPs'!$E$64:$E$122&amp;'Malaria-Equipment &amp; Other HPs'!$I$64:$I$122,0)),0)</f>
        <v>0</v>
      </c>
      <c r="BG150" s="625">
        <f t="shared" si="141"/>
        <v>0</v>
      </c>
      <c r="BH150" s="626">
        <f t="shared" si="142"/>
        <v>0</v>
      </c>
      <c r="BI150" s="626">
        <f t="shared" si="143"/>
        <v>0</v>
      </c>
      <c r="BJ150" s="630"/>
      <c r="BK150" s="625"/>
      <c r="BL150" s="625"/>
      <c r="BM150" s="625"/>
      <c r="BN150" s="625"/>
      <c r="BO150" s="625"/>
      <c r="BP150" s="625"/>
      <c r="BQ150" s="625"/>
      <c r="BR150" s="625"/>
      <c r="BT150" s="21" t="s">
        <v>6823</v>
      </c>
    </row>
    <row r="151" spans="1:72">
      <c r="A151" s="29" t="s">
        <v>583</v>
      </c>
      <c r="B151" s="29" t="s">
        <v>1549</v>
      </c>
      <c r="C151" s="626">
        <f>SETUP!$F$54</f>
        <v>0</v>
      </c>
      <c r="D151" s="25">
        <v>5.5</v>
      </c>
      <c r="E151" s="26" t="s">
        <v>415</v>
      </c>
      <c r="F151" s="26" t="s">
        <v>1200</v>
      </c>
      <c r="G151" s="625" t="str">
        <f t="array" ref="G151">IFERROR(INDEX('Malaria-Equipment &amp; Other HPs'!$L$64:$L$122,MATCH($E151&amp;$F151,'Malaria-Equipment &amp; Other HPs'!$E$64:$E$122&amp;'Malaria-Equipment &amp; Other HPs'!$I$64:$I$122,0)),"")</f>
        <v/>
      </c>
      <c r="H151" s="625" t="str">
        <f t="array" ref="H151">IFERROR(INDEX('Malaria-Equipment &amp; Other HPs'!$M$64:$M$122,MATCH($E151&amp;$F151,'Malaria-Equipment &amp; Other HPs'!$E$64:$E$122&amp;'Malaria-Equipment &amp; Other HPs'!$I$64:$I$122,0)),"")</f>
        <v/>
      </c>
      <c r="I151" s="625">
        <f t="array" ref="I151">IFERROR(INDEX('Malaria-Equipment &amp; Other HPs'!$N$64:$N$122,MATCH($E151&amp;$F151,'Malaria-Equipment &amp; Other HPs'!$E$64:$E$122&amp;'Malaria-Equipment &amp; Other HPs'!$I$64:$I$122,0)),0)</f>
        <v>0</v>
      </c>
      <c r="J151" s="625">
        <f t="array" ref="J151">IFERROR(INDEX('Malaria-Equipment &amp; Other HPs'!$O$64:$O$122,MATCH($E151&amp;$F151,'Malaria-Equipment &amp; Other HPs'!$E$64:$E$122&amp;'Malaria-Equipment &amp; Other HPs'!$I$64:$I$122,0)),0)</f>
        <v>0</v>
      </c>
      <c r="K151" s="626">
        <f t="shared" si="108"/>
        <v>0</v>
      </c>
      <c r="L151" s="626">
        <f t="shared" si="109"/>
        <v>0</v>
      </c>
      <c r="M151" s="626">
        <f t="shared" si="110"/>
        <v>0</v>
      </c>
      <c r="N151" s="625">
        <f t="array" ref="N151">IFERROR(INDEX('Malaria-Equipment &amp; Other HPs'!$P$64:$P$122,MATCH($E151&amp;$F151,'Malaria-Equipment &amp; Other HPs'!$E$64:$E$122&amp;'Malaria-Equipment &amp; Other HPs'!$I$64:$I$122,0)),0)</f>
        <v>0</v>
      </c>
      <c r="O151" s="626">
        <f t="shared" si="111"/>
        <v>0</v>
      </c>
      <c r="P151" s="626">
        <f t="shared" si="112"/>
        <v>0</v>
      </c>
      <c r="Q151" s="626">
        <f t="shared" si="113"/>
        <v>0</v>
      </c>
      <c r="R151" s="625">
        <f t="array" ref="R151">IFERROR(INDEX('Malaria-Equipment &amp; Other HPs'!$Q$64:$Q$122,MATCH($E151&amp;$F151,'Malaria-Equipment &amp; Other HPs'!$E$64:$E$122&amp;'Malaria-Equipment &amp; Other HPs'!$I$64:$I$122,0)),0)</f>
        <v>0</v>
      </c>
      <c r="S151" s="626">
        <f t="shared" si="114"/>
        <v>0</v>
      </c>
      <c r="T151" s="626">
        <f t="shared" si="115"/>
        <v>0</v>
      </c>
      <c r="U151" s="626">
        <f t="shared" si="116"/>
        <v>0</v>
      </c>
      <c r="V151" s="625">
        <f t="array" ref="V151">IFERROR(INDEX('Malaria-Equipment &amp; Other HPs'!$R$64:$R$122,MATCH($E151&amp;$F151,'Malaria-Equipment &amp; Other HPs'!$E$64:$E$122&amp;'Malaria-Equipment &amp; Other HPs'!$I$64:$I$122,0)),0)</f>
        <v>0</v>
      </c>
      <c r="W151" s="626">
        <f t="shared" si="117"/>
        <v>0</v>
      </c>
      <c r="X151" s="626">
        <f t="shared" si="118"/>
        <v>0</v>
      </c>
      <c r="Y151" s="626">
        <f t="shared" si="119"/>
        <v>0</v>
      </c>
      <c r="Z151" s="630"/>
      <c r="AA151" s="625">
        <f t="array" ref="AA151">IFERROR(INDEX('Malaria-Equipment &amp; Other HPs'!$U$64:$U$122,MATCH($E151&amp;$F151,'Malaria-Equipment &amp; Other HPs'!$E$64:$E$122&amp;'Malaria-Equipment &amp; Other HPs'!$I$64:$I$122,0)),0)</f>
        <v>0</v>
      </c>
      <c r="AB151" s="625">
        <f t="array" ref="AB151">IFERROR(INDEX('Malaria-Equipment &amp; Other HPs'!$V$64:$V$122,MATCH($E151&amp;$F151,'Malaria-Equipment &amp; Other HPs'!$E$64:$E$122&amp;'Malaria-Equipment &amp; Other HPs'!$I$64:$I$122,0)),0)</f>
        <v>0</v>
      </c>
      <c r="AC151" s="625">
        <f t="shared" si="120"/>
        <v>0</v>
      </c>
      <c r="AD151" s="626">
        <f t="shared" si="121"/>
        <v>0</v>
      </c>
      <c r="AE151" s="626">
        <f t="shared" si="122"/>
        <v>0</v>
      </c>
      <c r="AF151" s="625">
        <f t="array" ref="AF151">IFERROR(INDEX('Malaria-Equipment &amp; Other HPs'!$W$64:$W$122,MATCH($E151&amp;$F151,'Malaria-Equipment &amp; Other HPs'!$E$64:$E$122&amp;'Malaria-Equipment &amp; Other HPs'!$I$64:$I$122,0)),0)</f>
        <v>0</v>
      </c>
      <c r="AG151" s="625">
        <f t="shared" si="123"/>
        <v>0</v>
      </c>
      <c r="AH151" s="626">
        <f t="shared" si="124"/>
        <v>0</v>
      </c>
      <c r="AI151" s="626">
        <f t="shared" si="125"/>
        <v>0</v>
      </c>
      <c r="AJ151" s="625">
        <f t="array" ref="AJ151">IFERROR(INDEX('Malaria-Equipment &amp; Other HPs'!$X$64:$X$122,MATCH($E151&amp;$F151,'Malaria-Equipment &amp; Other HPs'!$E$64:$E$122&amp;'Malaria-Equipment &amp; Other HPs'!$I$64:$I$122,0)),0)</f>
        <v>0</v>
      </c>
      <c r="AK151" s="625">
        <f t="shared" si="126"/>
        <v>0</v>
      </c>
      <c r="AL151" s="626">
        <f t="shared" si="127"/>
        <v>0</v>
      </c>
      <c r="AM151" s="626">
        <f t="shared" si="128"/>
        <v>0</v>
      </c>
      <c r="AN151" s="625">
        <f t="array" ref="AN151">IFERROR(INDEX('Malaria-Equipment &amp; Other HPs'!$Y$64:$Y$122,MATCH($E151&amp;$F151,'Malaria-Equipment &amp; Other HPs'!$E$64:$E$122&amp;'Malaria-Equipment &amp; Other HPs'!$I$64:$I$122,0)),0)</f>
        <v>0</v>
      </c>
      <c r="AO151" s="625">
        <f t="shared" si="129"/>
        <v>0</v>
      </c>
      <c r="AP151" s="626">
        <f t="shared" si="130"/>
        <v>0</v>
      </c>
      <c r="AQ151" s="626">
        <f t="shared" si="131"/>
        <v>0</v>
      </c>
      <c r="AR151" s="630"/>
      <c r="AS151" s="625">
        <f t="array" ref="AS151">IFERROR(INDEX('Malaria-Equipment &amp; Other HPs'!$AB$64:$AB$122,MATCH($E151&amp;$F151,'Malaria-Equipment &amp; Other HPs'!$E$64:$E$122&amp;'Malaria-Equipment &amp; Other HPs'!$I$64:$I$122,0)),0)</f>
        <v>0</v>
      </c>
      <c r="AT151" s="625">
        <f t="array" ref="AT151">IFERROR(INDEX('Malaria-Equipment &amp; Other HPs'!$AC$64:$AC$122,MATCH($E151&amp;$F151,'Malaria-Equipment &amp; Other HPs'!$E$64:$E$122&amp;'Malaria-Equipment &amp; Other HPs'!$I$64:$I$122,0)),0)</f>
        <v>0</v>
      </c>
      <c r="AU151" s="625">
        <f t="shared" si="132"/>
        <v>0</v>
      </c>
      <c r="AV151" s="626">
        <f t="shared" si="133"/>
        <v>0</v>
      </c>
      <c r="AW151" s="626">
        <f t="shared" si="134"/>
        <v>0</v>
      </c>
      <c r="AX151" s="625">
        <f t="array" ref="AX151">IFERROR(INDEX('Malaria-Equipment &amp; Other HPs'!$AD$64:$AD$122,MATCH($E151&amp;$F151,'Malaria-Equipment &amp; Other HPs'!$E$64:$E$122&amp;'Malaria-Equipment &amp; Other HPs'!$I$64:$I$122,0)),0)</f>
        <v>0</v>
      </c>
      <c r="AY151" s="625">
        <f t="shared" si="135"/>
        <v>0</v>
      </c>
      <c r="AZ151" s="626">
        <f t="shared" si="136"/>
        <v>0</v>
      </c>
      <c r="BA151" s="626">
        <f t="shared" si="137"/>
        <v>0</v>
      </c>
      <c r="BB151" s="625">
        <f t="array" ref="BB151">IFERROR(INDEX('Malaria-Equipment &amp; Other HPs'!$AE$64:$AE$122,MATCH($E151&amp;$F151,'Malaria-Equipment &amp; Other HPs'!$E$64:$E$122&amp;'Malaria-Equipment &amp; Other HPs'!$I$64:$I$122,0)),0)</f>
        <v>0</v>
      </c>
      <c r="BC151" s="625">
        <f t="shared" si="138"/>
        <v>0</v>
      </c>
      <c r="BD151" s="626">
        <f t="shared" si="139"/>
        <v>0</v>
      </c>
      <c r="BE151" s="626">
        <f t="shared" si="140"/>
        <v>0</v>
      </c>
      <c r="BF151" s="625">
        <f t="array" ref="BF151">IFERROR(INDEX('Malaria-Equipment &amp; Other HPs'!$AF$64:$AF$122,MATCH($E151&amp;$F151,'Malaria-Equipment &amp; Other HPs'!$E$64:$E$122&amp;'Malaria-Equipment &amp; Other HPs'!$I$64:$I$122,0)),0)</f>
        <v>0</v>
      </c>
      <c r="BG151" s="625">
        <f t="shared" si="141"/>
        <v>0</v>
      </c>
      <c r="BH151" s="626">
        <f t="shared" si="142"/>
        <v>0</v>
      </c>
      <c r="BI151" s="626">
        <f t="shared" si="143"/>
        <v>0</v>
      </c>
      <c r="BJ151" s="630"/>
      <c r="BK151" s="625"/>
      <c r="BL151" s="625"/>
      <c r="BM151" s="625"/>
      <c r="BN151" s="625"/>
      <c r="BO151" s="625"/>
      <c r="BP151" s="625"/>
      <c r="BQ151" s="625"/>
      <c r="BR151" s="625"/>
      <c r="BT151" s="21" t="s">
        <v>6823</v>
      </c>
    </row>
    <row r="152" spans="1:72">
      <c r="A152" s="29" t="s">
        <v>583</v>
      </c>
      <c r="B152" s="29" t="s">
        <v>1549</v>
      </c>
      <c r="C152" s="626">
        <f>SETUP!$F$54</f>
        <v>0</v>
      </c>
      <c r="D152" s="25">
        <v>5.5</v>
      </c>
      <c r="E152" s="26" t="s">
        <v>415</v>
      </c>
      <c r="F152" s="26" t="s">
        <v>1201</v>
      </c>
      <c r="G152" s="625" t="str">
        <f t="array" ref="G152">IFERROR(INDEX('Malaria-Equipment &amp; Other HPs'!$L$64:$L$122,MATCH($E152&amp;$F152,'Malaria-Equipment &amp; Other HPs'!$E$64:$E$122&amp;'Malaria-Equipment &amp; Other HPs'!$I$64:$I$122,0)),"")</f>
        <v/>
      </c>
      <c r="H152" s="625" t="str">
        <f t="array" ref="H152">IFERROR(INDEX('Malaria-Equipment &amp; Other HPs'!$M$64:$M$122,MATCH($E152&amp;$F152,'Malaria-Equipment &amp; Other HPs'!$E$64:$E$122&amp;'Malaria-Equipment &amp; Other HPs'!$I$64:$I$122,0)),"")</f>
        <v/>
      </c>
      <c r="I152" s="625">
        <f t="array" ref="I152">IFERROR(INDEX('Malaria-Equipment &amp; Other HPs'!$N$64:$N$122,MATCH($E152&amp;$F152,'Malaria-Equipment &amp; Other HPs'!$E$64:$E$122&amp;'Malaria-Equipment &amp; Other HPs'!$I$64:$I$122,0)),0)</f>
        <v>0</v>
      </c>
      <c r="J152" s="625">
        <f t="array" ref="J152">IFERROR(INDEX('Malaria-Equipment &amp; Other HPs'!$O$64:$O$122,MATCH($E152&amp;$F152,'Malaria-Equipment &amp; Other HPs'!$E$64:$E$122&amp;'Malaria-Equipment &amp; Other HPs'!$I$64:$I$122,0)),0)</f>
        <v>0</v>
      </c>
      <c r="K152" s="626">
        <f t="shared" si="108"/>
        <v>0</v>
      </c>
      <c r="L152" s="626">
        <f t="shared" si="109"/>
        <v>0</v>
      </c>
      <c r="M152" s="626">
        <f t="shared" si="110"/>
        <v>0</v>
      </c>
      <c r="N152" s="625">
        <f t="array" ref="N152">IFERROR(INDEX('Malaria-Equipment &amp; Other HPs'!$P$64:$P$122,MATCH($E152&amp;$F152,'Malaria-Equipment &amp; Other HPs'!$E$64:$E$122&amp;'Malaria-Equipment &amp; Other HPs'!$I$64:$I$122,0)),0)</f>
        <v>0</v>
      </c>
      <c r="O152" s="626">
        <f t="shared" si="111"/>
        <v>0</v>
      </c>
      <c r="P152" s="626">
        <f t="shared" si="112"/>
        <v>0</v>
      </c>
      <c r="Q152" s="626">
        <f t="shared" si="113"/>
        <v>0</v>
      </c>
      <c r="R152" s="625">
        <f t="array" ref="R152">IFERROR(INDEX('Malaria-Equipment &amp; Other HPs'!$Q$64:$Q$122,MATCH($E152&amp;$F152,'Malaria-Equipment &amp; Other HPs'!$E$64:$E$122&amp;'Malaria-Equipment &amp; Other HPs'!$I$64:$I$122,0)),0)</f>
        <v>0</v>
      </c>
      <c r="S152" s="626">
        <f t="shared" si="114"/>
        <v>0</v>
      </c>
      <c r="T152" s="626">
        <f t="shared" si="115"/>
        <v>0</v>
      </c>
      <c r="U152" s="626">
        <f t="shared" si="116"/>
        <v>0</v>
      </c>
      <c r="V152" s="625">
        <f t="array" ref="V152">IFERROR(INDEX('Malaria-Equipment &amp; Other HPs'!$R$64:$R$122,MATCH($E152&amp;$F152,'Malaria-Equipment &amp; Other HPs'!$E$64:$E$122&amp;'Malaria-Equipment &amp; Other HPs'!$I$64:$I$122,0)),0)</f>
        <v>0</v>
      </c>
      <c r="W152" s="626">
        <f t="shared" si="117"/>
        <v>0</v>
      </c>
      <c r="X152" s="626">
        <f t="shared" si="118"/>
        <v>0</v>
      </c>
      <c r="Y152" s="626">
        <f t="shared" si="119"/>
        <v>0</v>
      </c>
      <c r="Z152" s="630"/>
      <c r="AA152" s="625">
        <f t="array" ref="AA152">IFERROR(INDEX('Malaria-Equipment &amp; Other HPs'!$U$64:$U$122,MATCH($E152&amp;$F152,'Malaria-Equipment &amp; Other HPs'!$E$64:$E$122&amp;'Malaria-Equipment &amp; Other HPs'!$I$64:$I$122,0)),0)</f>
        <v>0</v>
      </c>
      <c r="AB152" s="625">
        <f t="array" ref="AB152">IFERROR(INDEX('Malaria-Equipment &amp; Other HPs'!$V$64:$V$122,MATCH($E152&amp;$F152,'Malaria-Equipment &amp; Other HPs'!$E$64:$E$122&amp;'Malaria-Equipment &amp; Other HPs'!$I$64:$I$122,0)),0)</f>
        <v>0</v>
      </c>
      <c r="AC152" s="625">
        <f t="shared" si="120"/>
        <v>0</v>
      </c>
      <c r="AD152" s="626">
        <f t="shared" si="121"/>
        <v>0</v>
      </c>
      <c r="AE152" s="626">
        <f t="shared" si="122"/>
        <v>0</v>
      </c>
      <c r="AF152" s="625">
        <f t="array" ref="AF152">IFERROR(INDEX('Malaria-Equipment &amp; Other HPs'!$W$64:$W$122,MATCH($E152&amp;$F152,'Malaria-Equipment &amp; Other HPs'!$E$64:$E$122&amp;'Malaria-Equipment &amp; Other HPs'!$I$64:$I$122,0)),0)</f>
        <v>0</v>
      </c>
      <c r="AG152" s="625">
        <f t="shared" si="123"/>
        <v>0</v>
      </c>
      <c r="AH152" s="626">
        <f t="shared" si="124"/>
        <v>0</v>
      </c>
      <c r="AI152" s="626">
        <f t="shared" si="125"/>
        <v>0</v>
      </c>
      <c r="AJ152" s="625">
        <f t="array" ref="AJ152">IFERROR(INDEX('Malaria-Equipment &amp; Other HPs'!$X$64:$X$122,MATCH($E152&amp;$F152,'Malaria-Equipment &amp; Other HPs'!$E$64:$E$122&amp;'Malaria-Equipment &amp; Other HPs'!$I$64:$I$122,0)),0)</f>
        <v>0</v>
      </c>
      <c r="AK152" s="625">
        <f t="shared" si="126"/>
        <v>0</v>
      </c>
      <c r="AL152" s="626">
        <f t="shared" si="127"/>
        <v>0</v>
      </c>
      <c r="AM152" s="626">
        <f t="shared" si="128"/>
        <v>0</v>
      </c>
      <c r="AN152" s="625">
        <f t="array" ref="AN152">IFERROR(INDEX('Malaria-Equipment &amp; Other HPs'!$Y$64:$Y$122,MATCH($E152&amp;$F152,'Malaria-Equipment &amp; Other HPs'!$E$64:$E$122&amp;'Malaria-Equipment &amp; Other HPs'!$I$64:$I$122,0)),0)</f>
        <v>0</v>
      </c>
      <c r="AO152" s="625">
        <f t="shared" si="129"/>
        <v>0</v>
      </c>
      <c r="AP152" s="626">
        <f t="shared" si="130"/>
        <v>0</v>
      </c>
      <c r="AQ152" s="626">
        <f t="shared" si="131"/>
        <v>0</v>
      </c>
      <c r="AR152" s="630"/>
      <c r="AS152" s="625">
        <f t="array" ref="AS152">IFERROR(INDEX('Malaria-Equipment &amp; Other HPs'!$AB$64:$AB$122,MATCH($E152&amp;$F152,'Malaria-Equipment &amp; Other HPs'!$E$64:$E$122&amp;'Malaria-Equipment &amp; Other HPs'!$I$64:$I$122,0)),0)</f>
        <v>0</v>
      </c>
      <c r="AT152" s="625">
        <f t="array" ref="AT152">IFERROR(INDEX('Malaria-Equipment &amp; Other HPs'!$AC$64:$AC$122,MATCH($E152&amp;$F152,'Malaria-Equipment &amp; Other HPs'!$E$64:$E$122&amp;'Malaria-Equipment &amp; Other HPs'!$I$64:$I$122,0)),0)</f>
        <v>0</v>
      </c>
      <c r="AU152" s="625">
        <f t="shared" si="132"/>
        <v>0</v>
      </c>
      <c r="AV152" s="626">
        <f t="shared" si="133"/>
        <v>0</v>
      </c>
      <c r="AW152" s="626">
        <f t="shared" si="134"/>
        <v>0</v>
      </c>
      <c r="AX152" s="625">
        <f t="array" ref="AX152">IFERROR(INDEX('Malaria-Equipment &amp; Other HPs'!$AD$64:$AD$122,MATCH($E152&amp;$F152,'Malaria-Equipment &amp; Other HPs'!$E$64:$E$122&amp;'Malaria-Equipment &amp; Other HPs'!$I$64:$I$122,0)),0)</f>
        <v>0</v>
      </c>
      <c r="AY152" s="625">
        <f t="shared" si="135"/>
        <v>0</v>
      </c>
      <c r="AZ152" s="626">
        <f t="shared" si="136"/>
        <v>0</v>
      </c>
      <c r="BA152" s="626">
        <f t="shared" si="137"/>
        <v>0</v>
      </c>
      <c r="BB152" s="625">
        <f t="array" ref="BB152">IFERROR(INDEX('Malaria-Equipment &amp; Other HPs'!$AE$64:$AE$122,MATCH($E152&amp;$F152,'Malaria-Equipment &amp; Other HPs'!$E$64:$E$122&amp;'Malaria-Equipment &amp; Other HPs'!$I$64:$I$122,0)),0)</f>
        <v>0</v>
      </c>
      <c r="BC152" s="625">
        <f t="shared" si="138"/>
        <v>0</v>
      </c>
      <c r="BD152" s="626">
        <f t="shared" si="139"/>
        <v>0</v>
      </c>
      <c r="BE152" s="626">
        <f t="shared" si="140"/>
        <v>0</v>
      </c>
      <c r="BF152" s="625">
        <f t="array" ref="BF152">IFERROR(INDEX('Malaria-Equipment &amp; Other HPs'!$AF$64:$AF$122,MATCH($E152&amp;$F152,'Malaria-Equipment &amp; Other HPs'!$E$64:$E$122&amp;'Malaria-Equipment &amp; Other HPs'!$I$64:$I$122,0)),0)</f>
        <v>0</v>
      </c>
      <c r="BG152" s="625">
        <f t="shared" si="141"/>
        <v>0</v>
      </c>
      <c r="BH152" s="626">
        <f t="shared" si="142"/>
        <v>0</v>
      </c>
      <c r="BI152" s="626">
        <f t="shared" si="143"/>
        <v>0</v>
      </c>
      <c r="BJ152" s="630"/>
      <c r="BK152" s="625"/>
      <c r="BL152" s="625"/>
      <c r="BM152" s="625"/>
      <c r="BN152" s="625"/>
      <c r="BO152" s="625"/>
      <c r="BP152" s="625"/>
      <c r="BQ152" s="625"/>
      <c r="BR152" s="625"/>
      <c r="BT152" s="21" t="s">
        <v>6823</v>
      </c>
    </row>
    <row r="153" spans="1:72">
      <c r="A153" s="29" t="s">
        <v>583</v>
      </c>
      <c r="B153" s="29" t="s">
        <v>1549</v>
      </c>
      <c r="C153" s="626">
        <f>SETUP!$F$54</f>
        <v>0</v>
      </c>
      <c r="D153" s="25">
        <v>5.5</v>
      </c>
      <c r="E153" s="26" t="s">
        <v>415</v>
      </c>
      <c r="F153" s="26" t="s">
        <v>1202</v>
      </c>
      <c r="G153" s="625" t="str">
        <f t="array" ref="G153">IFERROR(INDEX('Malaria-Equipment &amp; Other HPs'!$L$64:$L$122,MATCH($E153&amp;$F153,'Malaria-Equipment &amp; Other HPs'!$E$64:$E$122&amp;'Malaria-Equipment &amp; Other HPs'!$I$64:$I$122,0)),"")</f>
        <v/>
      </c>
      <c r="H153" s="625" t="str">
        <f t="array" ref="H153">IFERROR(INDEX('Malaria-Equipment &amp; Other HPs'!$M$64:$M$122,MATCH($E153&amp;$F153,'Malaria-Equipment &amp; Other HPs'!$E$64:$E$122&amp;'Malaria-Equipment &amp; Other HPs'!$I$64:$I$122,0)),"")</f>
        <v/>
      </c>
      <c r="I153" s="625">
        <f t="array" ref="I153">IFERROR(INDEX('Malaria-Equipment &amp; Other HPs'!$N$64:$N$122,MATCH($E153&amp;$F153,'Malaria-Equipment &amp; Other HPs'!$E$64:$E$122&amp;'Malaria-Equipment &amp; Other HPs'!$I$64:$I$122,0)),0)</f>
        <v>0</v>
      </c>
      <c r="J153" s="625">
        <f t="array" ref="J153">IFERROR(INDEX('Malaria-Equipment &amp; Other HPs'!$O$64:$O$122,MATCH($E153&amp;$F153,'Malaria-Equipment &amp; Other HPs'!$E$64:$E$122&amp;'Malaria-Equipment &amp; Other HPs'!$I$64:$I$122,0)),0)</f>
        <v>0</v>
      </c>
      <c r="K153" s="626">
        <f t="shared" si="108"/>
        <v>0</v>
      </c>
      <c r="L153" s="626">
        <f t="shared" si="109"/>
        <v>0</v>
      </c>
      <c r="M153" s="626">
        <f t="shared" si="110"/>
        <v>0</v>
      </c>
      <c r="N153" s="625">
        <f t="array" ref="N153">IFERROR(INDEX('Malaria-Equipment &amp; Other HPs'!$P$64:$P$122,MATCH($E153&amp;$F153,'Malaria-Equipment &amp; Other HPs'!$E$64:$E$122&amp;'Malaria-Equipment &amp; Other HPs'!$I$64:$I$122,0)),0)</f>
        <v>0</v>
      </c>
      <c r="O153" s="626">
        <f t="shared" si="111"/>
        <v>0</v>
      </c>
      <c r="P153" s="626">
        <f t="shared" si="112"/>
        <v>0</v>
      </c>
      <c r="Q153" s="626">
        <f t="shared" si="113"/>
        <v>0</v>
      </c>
      <c r="R153" s="625">
        <f t="array" ref="R153">IFERROR(INDEX('Malaria-Equipment &amp; Other HPs'!$Q$64:$Q$122,MATCH($E153&amp;$F153,'Malaria-Equipment &amp; Other HPs'!$E$64:$E$122&amp;'Malaria-Equipment &amp; Other HPs'!$I$64:$I$122,0)),0)</f>
        <v>0</v>
      </c>
      <c r="S153" s="626">
        <f t="shared" si="114"/>
        <v>0</v>
      </c>
      <c r="T153" s="626">
        <f t="shared" si="115"/>
        <v>0</v>
      </c>
      <c r="U153" s="626">
        <f t="shared" si="116"/>
        <v>0</v>
      </c>
      <c r="V153" s="625">
        <f t="array" ref="V153">IFERROR(INDEX('Malaria-Equipment &amp; Other HPs'!$R$64:$R$122,MATCH($E153&amp;$F153,'Malaria-Equipment &amp; Other HPs'!$E$64:$E$122&amp;'Malaria-Equipment &amp; Other HPs'!$I$64:$I$122,0)),0)</f>
        <v>0</v>
      </c>
      <c r="W153" s="626">
        <f t="shared" si="117"/>
        <v>0</v>
      </c>
      <c r="X153" s="626">
        <f t="shared" si="118"/>
        <v>0</v>
      </c>
      <c r="Y153" s="626">
        <f t="shared" si="119"/>
        <v>0</v>
      </c>
      <c r="Z153" s="630"/>
      <c r="AA153" s="625">
        <f t="array" ref="AA153">IFERROR(INDEX('Malaria-Equipment &amp; Other HPs'!$U$64:$U$122,MATCH($E153&amp;$F153,'Malaria-Equipment &amp; Other HPs'!$E$64:$E$122&amp;'Malaria-Equipment &amp; Other HPs'!$I$64:$I$122,0)),0)</f>
        <v>0</v>
      </c>
      <c r="AB153" s="625">
        <f t="array" ref="AB153">IFERROR(INDEX('Malaria-Equipment &amp; Other HPs'!$V$64:$V$122,MATCH($E153&amp;$F153,'Malaria-Equipment &amp; Other HPs'!$E$64:$E$122&amp;'Malaria-Equipment &amp; Other HPs'!$I$64:$I$122,0)),0)</f>
        <v>0</v>
      </c>
      <c r="AC153" s="625">
        <f t="shared" si="120"/>
        <v>0</v>
      </c>
      <c r="AD153" s="626">
        <f t="shared" si="121"/>
        <v>0</v>
      </c>
      <c r="AE153" s="626">
        <f t="shared" si="122"/>
        <v>0</v>
      </c>
      <c r="AF153" s="625">
        <f t="array" ref="AF153">IFERROR(INDEX('Malaria-Equipment &amp; Other HPs'!$W$64:$W$122,MATCH($E153&amp;$F153,'Malaria-Equipment &amp; Other HPs'!$E$64:$E$122&amp;'Malaria-Equipment &amp; Other HPs'!$I$64:$I$122,0)),0)</f>
        <v>0</v>
      </c>
      <c r="AG153" s="625">
        <f t="shared" si="123"/>
        <v>0</v>
      </c>
      <c r="AH153" s="626">
        <f t="shared" si="124"/>
        <v>0</v>
      </c>
      <c r="AI153" s="626">
        <f t="shared" si="125"/>
        <v>0</v>
      </c>
      <c r="AJ153" s="625">
        <f t="array" ref="AJ153">IFERROR(INDEX('Malaria-Equipment &amp; Other HPs'!$X$64:$X$122,MATCH($E153&amp;$F153,'Malaria-Equipment &amp; Other HPs'!$E$64:$E$122&amp;'Malaria-Equipment &amp; Other HPs'!$I$64:$I$122,0)),0)</f>
        <v>0</v>
      </c>
      <c r="AK153" s="625">
        <f t="shared" si="126"/>
        <v>0</v>
      </c>
      <c r="AL153" s="626">
        <f t="shared" si="127"/>
        <v>0</v>
      </c>
      <c r="AM153" s="626">
        <f t="shared" si="128"/>
        <v>0</v>
      </c>
      <c r="AN153" s="625">
        <f t="array" ref="AN153">IFERROR(INDEX('Malaria-Equipment &amp; Other HPs'!$Y$64:$Y$122,MATCH($E153&amp;$F153,'Malaria-Equipment &amp; Other HPs'!$E$64:$E$122&amp;'Malaria-Equipment &amp; Other HPs'!$I$64:$I$122,0)),0)</f>
        <v>0</v>
      </c>
      <c r="AO153" s="625">
        <f t="shared" si="129"/>
        <v>0</v>
      </c>
      <c r="AP153" s="626">
        <f t="shared" si="130"/>
        <v>0</v>
      </c>
      <c r="AQ153" s="626">
        <f t="shared" si="131"/>
        <v>0</v>
      </c>
      <c r="AR153" s="630"/>
      <c r="AS153" s="625">
        <f t="array" ref="AS153">IFERROR(INDEX('Malaria-Equipment &amp; Other HPs'!$AB$64:$AB$122,MATCH($E153&amp;$F153,'Malaria-Equipment &amp; Other HPs'!$E$64:$E$122&amp;'Malaria-Equipment &amp; Other HPs'!$I$64:$I$122,0)),0)</f>
        <v>0</v>
      </c>
      <c r="AT153" s="625">
        <f t="array" ref="AT153">IFERROR(INDEX('Malaria-Equipment &amp; Other HPs'!$AC$64:$AC$122,MATCH($E153&amp;$F153,'Malaria-Equipment &amp; Other HPs'!$E$64:$E$122&amp;'Malaria-Equipment &amp; Other HPs'!$I$64:$I$122,0)),0)</f>
        <v>0</v>
      </c>
      <c r="AU153" s="625">
        <f t="shared" si="132"/>
        <v>0</v>
      </c>
      <c r="AV153" s="626">
        <f t="shared" si="133"/>
        <v>0</v>
      </c>
      <c r="AW153" s="626">
        <f t="shared" si="134"/>
        <v>0</v>
      </c>
      <c r="AX153" s="625">
        <f t="array" ref="AX153">IFERROR(INDEX('Malaria-Equipment &amp; Other HPs'!$AD$64:$AD$122,MATCH($E153&amp;$F153,'Malaria-Equipment &amp; Other HPs'!$E$64:$E$122&amp;'Malaria-Equipment &amp; Other HPs'!$I$64:$I$122,0)),0)</f>
        <v>0</v>
      </c>
      <c r="AY153" s="625">
        <f t="shared" si="135"/>
        <v>0</v>
      </c>
      <c r="AZ153" s="626">
        <f t="shared" si="136"/>
        <v>0</v>
      </c>
      <c r="BA153" s="626">
        <f t="shared" si="137"/>
        <v>0</v>
      </c>
      <c r="BB153" s="625">
        <f t="array" ref="BB153">IFERROR(INDEX('Malaria-Equipment &amp; Other HPs'!$AE$64:$AE$122,MATCH($E153&amp;$F153,'Malaria-Equipment &amp; Other HPs'!$E$64:$E$122&amp;'Malaria-Equipment &amp; Other HPs'!$I$64:$I$122,0)),0)</f>
        <v>0</v>
      </c>
      <c r="BC153" s="625">
        <f t="shared" si="138"/>
        <v>0</v>
      </c>
      <c r="BD153" s="626">
        <f t="shared" si="139"/>
        <v>0</v>
      </c>
      <c r="BE153" s="626">
        <f t="shared" si="140"/>
        <v>0</v>
      </c>
      <c r="BF153" s="625">
        <f t="array" ref="BF153">IFERROR(INDEX('Malaria-Equipment &amp; Other HPs'!$AF$64:$AF$122,MATCH($E153&amp;$F153,'Malaria-Equipment &amp; Other HPs'!$E$64:$E$122&amp;'Malaria-Equipment &amp; Other HPs'!$I$64:$I$122,0)),0)</f>
        <v>0</v>
      </c>
      <c r="BG153" s="625">
        <f t="shared" si="141"/>
        <v>0</v>
      </c>
      <c r="BH153" s="626">
        <f t="shared" si="142"/>
        <v>0</v>
      </c>
      <c r="BI153" s="626">
        <f t="shared" si="143"/>
        <v>0</v>
      </c>
      <c r="BJ153" s="630"/>
      <c r="BK153" s="625"/>
      <c r="BL153" s="625"/>
      <c r="BM153" s="625"/>
      <c r="BN153" s="625"/>
      <c r="BO153" s="625"/>
      <c r="BP153" s="625"/>
      <c r="BQ153" s="625"/>
      <c r="BR153" s="625"/>
      <c r="BT153" s="21" t="s">
        <v>6823</v>
      </c>
    </row>
    <row r="154" spans="1:72">
      <c r="A154" s="29" t="s">
        <v>583</v>
      </c>
      <c r="B154" s="29" t="s">
        <v>1549</v>
      </c>
      <c r="C154" s="626">
        <f>SETUP!$F$54</f>
        <v>0</v>
      </c>
      <c r="D154" s="25">
        <v>5.5</v>
      </c>
      <c r="E154" s="26" t="s">
        <v>415</v>
      </c>
      <c r="F154" s="26" t="s">
        <v>1203</v>
      </c>
      <c r="G154" s="625" t="str">
        <f t="array" ref="G154">IFERROR(INDEX('Malaria-Equipment &amp; Other HPs'!$L$64:$L$122,MATCH($E154&amp;$F154,'Malaria-Equipment &amp; Other HPs'!$E$64:$E$122&amp;'Malaria-Equipment &amp; Other HPs'!$I$64:$I$122,0)),"")</f>
        <v/>
      </c>
      <c r="H154" s="625" t="str">
        <f t="array" ref="H154">IFERROR(INDEX('Malaria-Equipment &amp; Other HPs'!$M$64:$M$122,MATCH($E154&amp;$F154,'Malaria-Equipment &amp; Other HPs'!$E$64:$E$122&amp;'Malaria-Equipment &amp; Other HPs'!$I$64:$I$122,0)),"")</f>
        <v/>
      </c>
      <c r="I154" s="625">
        <f t="array" ref="I154">IFERROR(INDEX('Malaria-Equipment &amp; Other HPs'!$N$64:$N$122,MATCH($E154&amp;$F154,'Malaria-Equipment &amp; Other HPs'!$E$64:$E$122&amp;'Malaria-Equipment &amp; Other HPs'!$I$64:$I$122,0)),0)</f>
        <v>0</v>
      </c>
      <c r="J154" s="625">
        <f t="array" ref="J154">IFERROR(INDEX('Malaria-Equipment &amp; Other HPs'!$O$64:$O$122,MATCH($E154&amp;$F154,'Malaria-Equipment &amp; Other HPs'!$E$64:$E$122&amp;'Malaria-Equipment &amp; Other HPs'!$I$64:$I$122,0)),0)</f>
        <v>0</v>
      </c>
      <c r="K154" s="626">
        <f t="shared" ref="K154:K162" si="144">IF(ISERROR($I154*J154),0,$I154*J154)</f>
        <v>0</v>
      </c>
      <c r="L154" s="626">
        <f t="shared" ref="L154:L162" si="145">IF(C154="Upfront",J154,0)</f>
        <v>0</v>
      </c>
      <c r="M154" s="626">
        <f t="shared" ref="M154:M162" si="146">IF(C154="Upfront",K154,0)</f>
        <v>0</v>
      </c>
      <c r="N154" s="625">
        <f t="array" ref="N154">IFERROR(INDEX('Malaria-Equipment &amp; Other HPs'!$P$64:$P$122,MATCH($E154&amp;$F154,'Malaria-Equipment &amp; Other HPs'!$E$64:$E$122&amp;'Malaria-Equipment &amp; Other HPs'!$I$64:$I$122,0)),0)</f>
        <v>0</v>
      </c>
      <c r="O154" s="626">
        <f t="shared" ref="O154:O162" si="147">IF(ISERROR($I154*N154),0,$I154*N154)</f>
        <v>0</v>
      </c>
      <c r="P154" s="626">
        <f t="shared" ref="P154:P162" si="148">IF(C154="Upfront",N154,0)</f>
        <v>0</v>
      </c>
      <c r="Q154" s="626">
        <f t="shared" ref="Q154:Q162" si="149">IF(C154="Upfront",O154,0)</f>
        <v>0</v>
      </c>
      <c r="R154" s="625">
        <f t="array" ref="R154">IFERROR(INDEX('Malaria-Equipment &amp; Other HPs'!$Q$64:$Q$122,MATCH($E154&amp;$F154,'Malaria-Equipment &amp; Other HPs'!$E$64:$E$122&amp;'Malaria-Equipment &amp; Other HPs'!$I$64:$I$122,0)),0)</f>
        <v>0</v>
      </c>
      <c r="S154" s="626">
        <f t="shared" ref="S154:S162" si="150">IF(ISERROR($I154*R154),0,$I154*R154)</f>
        <v>0</v>
      </c>
      <c r="T154" s="626">
        <f t="shared" ref="T154:T162" si="151">IF(C154="Upfront",R154,IF(C154="At delivery",J154,0))</f>
        <v>0</v>
      </c>
      <c r="U154" s="626">
        <f t="shared" ref="U154:U162" si="152">IF(C154="Upfront",S154,IF(C154="At delivery",K154,0))</f>
        <v>0</v>
      </c>
      <c r="V154" s="625">
        <f t="array" ref="V154">IFERROR(INDEX('Malaria-Equipment &amp; Other HPs'!$R$64:$R$122,MATCH($E154&amp;$F154,'Malaria-Equipment &amp; Other HPs'!$E$64:$E$122&amp;'Malaria-Equipment &amp; Other HPs'!$I$64:$I$122,0)),0)</f>
        <v>0</v>
      </c>
      <c r="W154" s="626">
        <f t="shared" ref="W154:W162" si="153">IF(ISERROR($I154*V154),0,$I154*V154)</f>
        <v>0</v>
      </c>
      <c r="X154" s="626">
        <f t="shared" ref="X154:X162" si="154">IF(C154="Upfront",V154,IF(C154="At delivery",N154,0))</f>
        <v>0</v>
      </c>
      <c r="Y154" s="626">
        <f t="shared" ref="Y154:Y162" si="155">IF(C154="Upfront",W154,IF(C154="At delivery",O154,0))</f>
        <v>0</v>
      </c>
      <c r="Z154" s="630"/>
      <c r="AA154" s="625">
        <f t="array" ref="AA154">IFERROR(INDEX('Malaria-Equipment &amp; Other HPs'!$U$64:$U$122,MATCH($E154&amp;$F154,'Malaria-Equipment &amp; Other HPs'!$E$64:$E$122&amp;'Malaria-Equipment &amp; Other HPs'!$I$64:$I$122,0)),0)</f>
        <v>0</v>
      </c>
      <c r="AB154" s="625">
        <f t="array" ref="AB154">IFERROR(INDEX('Malaria-Equipment &amp; Other HPs'!$V$64:$V$122,MATCH($E154&amp;$F154,'Malaria-Equipment &amp; Other HPs'!$E$64:$E$122&amp;'Malaria-Equipment &amp; Other HPs'!$I$64:$I$122,0)),0)</f>
        <v>0</v>
      </c>
      <c r="AC154" s="625">
        <f t="shared" ref="AC154:AC162" si="156">IF(ISERROR($AA154*AB154),0,$AA154*AB154)</f>
        <v>0</v>
      </c>
      <c r="AD154" s="626">
        <f t="shared" ref="AD154:AD162" si="157">IF(C154="Upfront",AB154,IF(C154="At delivery",R154,0))</f>
        <v>0</v>
      </c>
      <c r="AE154" s="626">
        <f t="shared" ref="AE154:AE162" si="158">IF(C154="Upfront",AC154,IF(C154="At delivery",S154,0))</f>
        <v>0</v>
      </c>
      <c r="AF154" s="625">
        <f t="array" ref="AF154">IFERROR(INDEX('Malaria-Equipment &amp; Other HPs'!$W$64:$W$122,MATCH($E154&amp;$F154,'Malaria-Equipment &amp; Other HPs'!$E$64:$E$122&amp;'Malaria-Equipment &amp; Other HPs'!$I$64:$I$122,0)),0)</f>
        <v>0</v>
      </c>
      <c r="AG154" s="625">
        <f t="shared" ref="AG154:AG162" si="159">IF(ISERROR($AA154*AF154),0,$AA154*AF154)</f>
        <v>0</v>
      </c>
      <c r="AH154" s="626">
        <f t="shared" ref="AH154:AH162" si="160">IF(C154="Upfront",AF154,IF(C154="At delivery",V154,0))</f>
        <v>0</v>
      </c>
      <c r="AI154" s="626">
        <f t="shared" ref="AI154:AI162" si="161">IF(C154="Upfront",AG154,IF(C154="At delivery",W154,0))</f>
        <v>0</v>
      </c>
      <c r="AJ154" s="625">
        <f t="array" ref="AJ154">IFERROR(INDEX('Malaria-Equipment &amp; Other HPs'!$X$64:$X$122,MATCH($E154&amp;$F154,'Malaria-Equipment &amp; Other HPs'!$E$64:$E$122&amp;'Malaria-Equipment &amp; Other HPs'!$I$64:$I$122,0)),0)</f>
        <v>0</v>
      </c>
      <c r="AK154" s="625">
        <f t="shared" ref="AK154:AK162" si="162">IF(ISERROR($AA154*AJ154),0,$AA154*AJ154)</f>
        <v>0</v>
      </c>
      <c r="AL154" s="626">
        <f t="shared" ref="AL154:AL162" si="163">IF(C154="Upfront",AJ154,IF(C154="At delivery",AB154,0))</f>
        <v>0</v>
      </c>
      <c r="AM154" s="626">
        <f t="shared" ref="AM154:AM162" si="164">IF(C154="Upfront",AK154,IF(C154="At delivery",AC154,0))</f>
        <v>0</v>
      </c>
      <c r="AN154" s="625">
        <f t="array" ref="AN154">IFERROR(INDEX('Malaria-Equipment &amp; Other HPs'!$Y$64:$Y$122,MATCH($E154&amp;$F154,'Malaria-Equipment &amp; Other HPs'!$E$64:$E$122&amp;'Malaria-Equipment &amp; Other HPs'!$I$64:$I$122,0)),0)</f>
        <v>0</v>
      </c>
      <c r="AO154" s="625">
        <f t="shared" ref="AO154:AO162" si="165">IF(ISERROR($AA154*AN154),0,$AA154*AN154)</f>
        <v>0</v>
      </c>
      <c r="AP154" s="626">
        <f t="shared" ref="AP154:AP162" si="166">IF(C154="Upfront",AN154,IF(C154="At delivery",AF154,0))</f>
        <v>0</v>
      </c>
      <c r="AQ154" s="626">
        <f t="shared" ref="AQ154:AQ162" si="167">IF(C154="Upfront",AO154,IF(C154="At delivery",AG154,0))</f>
        <v>0</v>
      </c>
      <c r="AR154" s="630"/>
      <c r="AS154" s="625">
        <f t="array" ref="AS154">IFERROR(INDEX('Malaria-Equipment &amp; Other HPs'!$AB$64:$AB$122,MATCH($E154&amp;$F154,'Malaria-Equipment &amp; Other HPs'!$E$64:$E$122&amp;'Malaria-Equipment &amp; Other HPs'!$I$64:$I$122,0)),0)</f>
        <v>0</v>
      </c>
      <c r="AT154" s="625">
        <f t="array" ref="AT154">IFERROR(INDEX('Malaria-Equipment &amp; Other HPs'!$AC$64:$AC$122,MATCH($E154&amp;$F154,'Malaria-Equipment &amp; Other HPs'!$E$64:$E$122&amp;'Malaria-Equipment &amp; Other HPs'!$I$64:$I$122,0)),0)</f>
        <v>0</v>
      </c>
      <c r="AU154" s="625">
        <f t="shared" ref="AU154:AU162" si="168">IF(ISERROR($AS154*AT154),0,$AS154*AT154)</f>
        <v>0</v>
      </c>
      <c r="AV154" s="626">
        <f t="shared" ref="AV154:AV162" si="169">IF(C154="Upfront",AT154,IF(C154="At delivery",AJ154,0))</f>
        <v>0</v>
      </c>
      <c r="AW154" s="626">
        <f t="shared" ref="AW154:AW162" si="170">IF(C154="Upfront",AU154,IF(C154="At delivery",AK154,0))</f>
        <v>0</v>
      </c>
      <c r="AX154" s="625">
        <f t="array" ref="AX154">IFERROR(INDEX('Malaria-Equipment &amp; Other HPs'!$AD$64:$AD$122,MATCH($E154&amp;$F154,'Malaria-Equipment &amp; Other HPs'!$E$64:$E$122&amp;'Malaria-Equipment &amp; Other HPs'!$I$64:$I$122,0)),0)</f>
        <v>0</v>
      </c>
      <c r="AY154" s="625">
        <f t="shared" ref="AY154:AY162" si="171">IF(ISERROR($AS154*AX154),0,$AS154*AX154)</f>
        <v>0</v>
      </c>
      <c r="AZ154" s="626">
        <f t="shared" ref="AZ154:AZ162" si="172">IF(C154="Upfront",AX154,IF(C154="At delivery",AN154,0))</f>
        <v>0</v>
      </c>
      <c r="BA154" s="626">
        <f t="shared" ref="BA154:BA162" si="173">IF(C154="Upfront",AY154,IF(C154="At delivery",AO154,0))</f>
        <v>0</v>
      </c>
      <c r="BB154" s="625">
        <f t="array" ref="BB154">IFERROR(INDEX('Malaria-Equipment &amp; Other HPs'!$AE$64:$AE$122,MATCH($E154&amp;$F154,'Malaria-Equipment &amp; Other HPs'!$E$64:$E$122&amp;'Malaria-Equipment &amp; Other HPs'!$I$64:$I$122,0)),0)</f>
        <v>0</v>
      </c>
      <c r="BC154" s="625">
        <f t="shared" ref="BC154:BC162" si="174">IF(ISERROR($AS154*BB154),0,$AS154*BB154)</f>
        <v>0</v>
      </c>
      <c r="BD154" s="626">
        <f t="shared" ref="BD154:BD162" si="175">IF(C154="Upfront",BB154,IF(C154="At delivery",AT154,0))</f>
        <v>0</v>
      </c>
      <c r="BE154" s="626">
        <f t="shared" ref="BE154:BE162" si="176">IF(C154="Upfront",BC154,IF(C154="At delivery",AU154,0))</f>
        <v>0</v>
      </c>
      <c r="BF154" s="625">
        <f t="array" ref="BF154">IFERROR(INDEX('Malaria-Equipment &amp; Other HPs'!$AF$64:$AF$122,MATCH($E154&amp;$F154,'Malaria-Equipment &amp; Other HPs'!$E$64:$E$122&amp;'Malaria-Equipment &amp; Other HPs'!$I$64:$I$122,0)),0)</f>
        <v>0</v>
      </c>
      <c r="BG154" s="625">
        <f t="shared" ref="BG154:BG162" si="177">IF(ISERROR($AS154*BF154),0,$AS154*BF154)</f>
        <v>0</v>
      </c>
      <c r="BH154" s="626">
        <f t="shared" ref="BH154:BH162" si="178">IF(C154="Upfront",BF154,IF(C154="At delivery",AX154,0))</f>
        <v>0</v>
      </c>
      <c r="BI154" s="626">
        <f t="shared" ref="BI154:BI162" si="179">IF(C154="Upfront",BG154,IF(C154="At delivery",AY154,0))</f>
        <v>0</v>
      </c>
      <c r="BJ154" s="630"/>
      <c r="BK154" s="625"/>
      <c r="BL154" s="625"/>
      <c r="BM154" s="625"/>
      <c r="BN154" s="625"/>
      <c r="BO154" s="625"/>
      <c r="BP154" s="625"/>
      <c r="BQ154" s="625"/>
      <c r="BR154" s="625"/>
      <c r="BT154" s="21" t="s">
        <v>6823</v>
      </c>
    </row>
    <row r="155" spans="1:72">
      <c r="A155" s="29" t="s">
        <v>583</v>
      </c>
      <c r="B155" s="29" t="s">
        <v>1549</v>
      </c>
      <c r="C155" s="626">
        <f>SETUP!$F$54</f>
        <v>0</v>
      </c>
      <c r="D155" s="25">
        <v>5.5</v>
      </c>
      <c r="E155" s="26" t="s">
        <v>415</v>
      </c>
      <c r="F155" s="26" t="s">
        <v>1204</v>
      </c>
      <c r="G155" s="625" t="str">
        <f t="array" ref="G155">IFERROR(INDEX('Malaria-Equipment &amp; Other HPs'!$L$64:$L$122,MATCH($E155&amp;$F155,'Malaria-Equipment &amp; Other HPs'!$E$64:$E$122&amp;'Malaria-Equipment &amp; Other HPs'!$I$64:$I$122,0)),"")</f>
        <v/>
      </c>
      <c r="H155" s="625" t="str">
        <f t="array" ref="H155">IFERROR(INDEX('Malaria-Equipment &amp; Other HPs'!$M$64:$M$122,MATCH($E155&amp;$F155,'Malaria-Equipment &amp; Other HPs'!$E$64:$E$122&amp;'Malaria-Equipment &amp; Other HPs'!$I$64:$I$122,0)),"")</f>
        <v/>
      </c>
      <c r="I155" s="625">
        <f t="array" ref="I155">IFERROR(INDEX('Malaria-Equipment &amp; Other HPs'!$N$64:$N$122,MATCH($E155&amp;$F155,'Malaria-Equipment &amp; Other HPs'!$E$64:$E$122&amp;'Malaria-Equipment &amp; Other HPs'!$I$64:$I$122,0)),0)</f>
        <v>0</v>
      </c>
      <c r="J155" s="625">
        <f t="array" ref="J155">IFERROR(INDEX('Malaria-Equipment &amp; Other HPs'!$O$64:$O$122,MATCH($E155&amp;$F155,'Malaria-Equipment &amp; Other HPs'!$E$64:$E$122&amp;'Malaria-Equipment &amp; Other HPs'!$I$64:$I$122,0)),0)</f>
        <v>0</v>
      </c>
      <c r="K155" s="626">
        <f t="shared" si="144"/>
        <v>0</v>
      </c>
      <c r="L155" s="626">
        <f t="shared" si="145"/>
        <v>0</v>
      </c>
      <c r="M155" s="626">
        <f t="shared" si="146"/>
        <v>0</v>
      </c>
      <c r="N155" s="625">
        <f t="array" ref="N155">IFERROR(INDEX('Malaria-Equipment &amp; Other HPs'!$P$64:$P$122,MATCH($E155&amp;$F155,'Malaria-Equipment &amp; Other HPs'!$E$64:$E$122&amp;'Malaria-Equipment &amp; Other HPs'!$I$64:$I$122,0)),0)</f>
        <v>0</v>
      </c>
      <c r="O155" s="626">
        <f t="shared" si="147"/>
        <v>0</v>
      </c>
      <c r="P155" s="626">
        <f t="shared" si="148"/>
        <v>0</v>
      </c>
      <c r="Q155" s="626">
        <f t="shared" si="149"/>
        <v>0</v>
      </c>
      <c r="R155" s="625">
        <f t="array" ref="R155">IFERROR(INDEX('Malaria-Equipment &amp; Other HPs'!$Q$64:$Q$122,MATCH($E155&amp;$F155,'Malaria-Equipment &amp; Other HPs'!$E$64:$E$122&amp;'Malaria-Equipment &amp; Other HPs'!$I$64:$I$122,0)),0)</f>
        <v>0</v>
      </c>
      <c r="S155" s="626">
        <f t="shared" si="150"/>
        <v>0</v>
      </c>
      <c r="T155" s="626">
        <f t="shared" si="151"/>
        <v>0</v>
      </c>
      <c r="U155" s="626">
        <f t="shared" si="152"/>
        <v>0</v>
      </c>
      <c r="V155" s="625">
        <f t="array" ref="V155">IFERROR(INDEX('Malaria-Equipment &amp; Other HPs'!$R$64:$R$122,MATCH($E155&amp;$F155,'Malaria-Equipment &amp; Other HPs'!$E$64:$E$122&amp;'Malaria-Equipment &amp; Other HPs'!$I$64:$I$122,0)),0)</f>
        <v>0</v>
      </c>
      <c r="W155" s="626">
        <f t="shared" si="153"/>
        <v>0</v>
      </c>
      <c r="X155" s="626">
        <f t="shared" si="154"/>
        <v>0</v>
      </c>
      <c r="Y155" s="626">
        <f t="shared" si="155"/>
        <v>0</v>
      </c>
      <c r="Z155" s="630"/>
      <c r="AA155" s="625">
        <f t="array" ref="AA155">IFERROR(INDEX('Malaria-Equipment &amp; Other HPs'!$U$64:$U$122,MATCH($E155&amp;$F155,'Malaria-Equipment &amp; Other HPs'!$E$64:$E$122&amp;'Malaria-Equipment &amp; Other HPs'!$I$64:$I$122,0)),0)</f>
        <v>0</v>
      </c>
      <c r="AB155" s="625">
        <f t="array" ref="AB155">IFERROR(INDEX('Malaria-Equipment &amp; Other HPs'!$V$64:$V$122,MATCH($E155&amp;$F155,'Malaria-Equipment &amp; Other HPs'!$E$64:$E$122&amp;'Malaria-Equipment &amp; Other HPs'!$I$64:$I$122,0)),0)</f>
        <v>0</v>
      </c>
      <c r="AC155" s="625">
        <f t="shared" si="156"/>
        <v>0</v>
      </c>
      <c r="AD155" s="626">
        <f t="shared" si="157"/>
        <v>0</v>
      </c>
      <c r="AE155" s="626">
        <f t="shared" si="158"/>
        <v>0</v>
      </c>
      <c r="AF155" s="625">
        <f t="array" ref="AF155">IFERROR(INDEX('Malaria-Equipment &amp; Other HPs'!$W$64:$W$122,MATCH($E155&amp;$F155,'Malaria-Equipment &amp; Other HPs'!$E$64:$E$122&amp;'Malaria-Equipment &amp; Other HPs'!$I$64:$I$122,0)),0)</f>
        <v>0</v>
      </c>
      <c r="AG155" s="625">
        <f t="shared" si="159"/>
        <v>0</v>
      </c>
      <c r="AH155" s="626">
        <f t="shared" si="160"/>
        <v>0</v>
      </c>
      <c r="AI155" s="626">
        <f t="shared" si="161"/>
        <v>0</v>
      </c>
      <c r="AJ155" s="625">
        <f t="array" ref="AJ155">IFERROR(INDEX('Malaria-Equipment &amp; Other HPs'!$X$64:$X$122,MATCH($E155&amp;$F155,'Malaria-Equipment &amp; Other HPs'!$E$64:$E$122&amp;'Malaria-Equipment &amp; Other HPs'!$I$64:$I$122,0)),0)</f>
        <v>0</v>
      </c>
      <c r="AK155" s="625">
        <f t="shared" si="162"/>
        <v>0</v>
      </c>
      <c r="AL155" s="626">
        <f t="shared" si="163"/>
        <v>0</v>
      </c>
      <c r="AM155" s="626">
        <f t="shared" si="164"/>
        <v>0</v>
      </c>
      <c r="AN155" s="625">
        <f t="array" ref="AN155">IFERROR(INDEX('Malaria-Equipment &amp; Other HPs'!$Y$64:$Y$122,MATCH($E155&amp;$F155,'Malaria-Equipment &amp; Other HPs'!$E$64:$E$122&amp;'Malaria-Equipment &amp; Other HPs'!$I$64:$I$122,0)),0)</f>
        <v>0</v>
      </c>
      <c r="AO155" s="625">
        <f t="shared" si="165"/>
        <v>0</v>
      </c>
      <c r="AP155" s="626">
        <f t="shared" si="166"/>
        <v>0</v>
      </c>
      <c r="AQ155" s="626">
        <f t="shared" si="167"/>
        <v>0</v>
      </c>
      <c r="AR155" s="630"/>
      <c r="AS155" s="625">
        <f t="array" ref="AS155">IFERROR(INDEX('Malaria-Equipment &amp; Other HPs'!$AB$64:$AB$122,MATCH($E155&amp;$F155,'Malaria-Equipment &amp; Other HPs'!$E$64:$E$122&amp;'Malaria-Equipment &amp; Other HPs'!$I$64:$I$122,0)),0)</f>
        <v>0</v>
      </c>
      <c r="AT155" s="625">
        <f t="array" ref="AT155">IFERROR(INDEX('Malaria-Equipment &amp; Other HPs'!$AC$64:$AC$122,MATCH($E155&amp;$F155,'Malaria-Equipment &amp; Other HPs'!$E$64:$E$122&amp;'Malaria-Equipment &amp; Other HPs'!$I$64:$I$122,0)),0)</f>
        <v>0</v>
      </c>
      <c r="AU155" s="625">
        <f t="shared" si="168"/>
        <v>0</v>
      </c>
      <c r="AV155" s="626">
        <f t="shared" si="169"/>
        <v>0</v>
      </c>
      <c r="AW155" s="626">
        <f t="shared" si="170"/>
        <v>0</v>
      </c>
      <c r="AX155" s="625">
        <f t="array" ref="AX155">IFERROR(INDEX('Malaria-Equipment &amp; Other HPs'!$AD$64:$AD$122,MATCH($E155&amp;$F155,'Malaria-Equipment &amp; Other HPs'!$E$64:$E$122&amp;'Malaria-Equipment &amp; Other HPs'!$I$64:$I$122,0)),0)</f>
        <v>0</v>
      </c>
      <c r="AY155" s="625">
        <f t="shared" si="171"/>
        <v>0</v>
      </c>
      <c r="AZ155" s="626">
        <f t="shared" si="172"/>
        <v>0</v>
      </c>
      <c r="BA155" s="626">
        <f t="shared" si="173"/>
        <v>0</v>
      </c>
      <c r="BB155" s="625">
        <f t="array" ref="BB155">IFERROR(INDEX('Malaria-Equipment &amp; Other HPs'!$AE$64:$AE$122,MATCH($E155&amp;$F155,'Malaria-Equipment &amp; Other HPs'!$E$64:$E$122&amp;'Malaria-Equipment &amp; Other HPs'!$I$64:$I$122,0)),0)</f>
        <v>0</v>
      </c>
      <c r="BC155" s="625">
        <f t="shared" si="174"/>
        <v>0</v>
      </c>
      <c r="BD155" s="626">
        <f t="shared" si="175"/>
        <v>0</v>
      </c>
      <c r="BE155" s="626">
        <f t="shared" si="176"/>
        <v>0</v>
      </c>
      <c r="BF155" s="625">
        <f t="array" ref="BF155">IFERROR(INDEX('Malaria-Equipment &amp; Other HPs'!$AF$64:$AF$122,MATCH($E155&amp;$F155,'Malaria-Equipment &amp; Other HPs'!$E$64:$E$122&amp;'Malaria-Equipment &amp; Other HPs'!$I$64:$I$122,0)),0)</f>
        <v>0</v>
      </c>
      <c r="BG155" s="625">
        <f t="shared" si="177"/>
        <v>0</v>
      </c>
      <c r="BH155" s="626">
        <f t="shared" si="178"/>
        <v>0</v>
      </c>
      <c r="BI155" s="626">
        <f t="shared" si="179"/>
        <v>0</v>
      </c>
      <c r="BJ155" s="630"/>
      <c r="BK155" s="625"/>
      <c r="BL155" s="625"/>
      <c r="BM155" s="625"/>
      <c r="BN155" s="625"/>
      <c r="BO155" s="625"/>
      <c r="BP155" s="625"/>
      <c r="BQ155" s="625"/>
      <c r="BR155" s="625"/>
      <c r="BT155" s="21" t="s">
        <v>6823</v>
      </c>
    </row>
    <row r="156" spans="1:72">
      <c r="A156" s="29" t="s">
        <v>583</v>
      </c>
      <c r="B156" s="29" t="s">
        <v>1549</v>
      </c>
      <c r="C156" s="626">
        <f>SETUP!$F$54</f>
        <v>0</v>
      </c>
      <c r="D156" s="25">
        <v>5.5</v>
      </c>
      <c r="E156" s="26" t="s">
        <v>415</v>
      </c>
      <c r="F156" s="26" t="s">
        <v>1205</v>
      </c>
      <c r="G156" s="625" t="str">
        <f t="array" ref="G156">IFERROR(INDEX('Malaria-Equipment &amp; Other HPs'!$L$64:$L$122,MATCH($E156&amp;$F156,'Malaria-Equipment &amp; Other HPs'!$E$64:$E$122&amp;'Malaria-Equipment &amp; Other HPs'!$I$64:$I$122,0)),"")</f>
        <v/>
      </c>
      <c r="H156" s="625" t="str">
        <f t="array" ref="H156">IFERROR(INDEX('Malaria-Equipment &amp; Other HPs'!$M$64:$M$122,MATCH($E156&amp;$F156,'Malaria-Equipment &amp; Other HPs'!$E$64:$E$122&amp;'Malaria-Equipment &amp; Other HPs'!$I$64:$I$122,0)),"")</f>
        <v/>
      </c>
      <c r="I156" s="625">
        <f t="array" ref="I156">IFERROR(INDEX('Malaria-Equipment &amp; Other HPs'!$N$64:$N$122,MATCH($E156&amp;$F156,'Malaria-Equipment &amp; Other HPs'!$E$64:$E$122&amp;'Malaria-Equipment &amp; Other HPs'!$I$64:$I$122,0)),0)</f>
        <v>0</v>
      </c>
      <c r="J156" s="625">
        <f t="array" ref="J156">IFERROR(INDEX('Malaria-Equipment &amp; Other HPs'!$O$64:$O$122,MATCH($E156&amp;$F156,'Malaria-Equipment &amp; Other HPs'!$E$64:$E$122&amp;'Malaria-Equipment &amp; Other HPs'!$I$64:$I$122,0)),0)</f>
        <v>0</v>
      </c>
      <c r="K156" s="626">
        <f t="shared" si="144"/>
        <v>0</v>
      </c>
      <c r="L156" s="626">
        <f t="shared" si="145"/>
        <v>0</v>
      </c>
      <c r="M156" s="626">
        <f t="shared" si="146"/>
        <v>0</v>
      </c>
      <c r="N156" s="625">
        <f t="array" ref="N156">IFERROR(INDEX('Malaria-Equipment &amp; Other HPs'!$P$64:$P$122,MATCH($E156&amp;$F156,'Malaria-Equipment &amp; Other HPs'!$E$64:$E$122&amp;'Malaria-Equipment &amp; Other HPs'!$I$64:$I$122,0)),0)</f>
        <v>0</v>
      </c>
      <c r="O156" s="626">
        <f t="shared" si="147"/>
        <v>0</v>
      </c>
      <c r="P156" s="626">
        <f t="shared" si="148"/>
        <v>0</v>
      </c>
      <c r="Q156" s="626">
        <f t="shared" si="149"/>
        <v>0</v>
      </c>
      <c r="R156" s="625">
        <f t="array" ref="R156">IFERROR(INDEX('Malaria-Equipment &amp; Other HPs'!$Q$64:$Q$122,MATCH($E156&amp;$F156,'Malaria-Equipment &amp; Other HPs'!$E$64:$E$122&amp;'Malaria-Equipment &amp; Other HPs'!$I$64:$I$122,0)),0)</f>
        <v>0</v>
      </c>
      <c r="S156" s="626">
        <f t="shared" si="150"/>
        <v>0</v>
      </c>
      <c r="T156" s="626">
        <f t="shared" si="151"/>
        <v>0</v>
      </c>
      <c r="U156" s="626">
        <f t="shared" si="152"/>
        <v>0</v>
      </c>
      <c r="V156" s="625">
        <f t="array" ref="V156">IFERROR(INDEX('Malaria-Equipment &amp; Other HPs'!$R$64:$R$122,MATCH($E156&amp;$F156,'Malaria-Equipment &amp; Other HPs'!$E$64:$E$122&amp;'Malaria-Equipment &amp; Other HPs'!$I$64:$I$122,0)),0)</f>
        <v>0</v>
      </c>
      <c r="W156" s="626">
        <f t="shared" si="153"/>
        <v>0</v>
      </c>
      <c r="X156" s="626">
        <f t="shared" si="154"/>
        <v>0</v>
      </c>
      <c r="Y156" s="626">
        <f t="shared" si="155"/>
        <v>0</v>
      </c>
      <c r="Z156" s="630"/>
      <c r="AA156" s="625">
        <f t="array" ref="AA156">IFERROR(INDEX('Malaria-Equipment &amp; Other HPs'!$U$64:$U$122,MATCH($E156&amp;$F156,'Malaria-Equipment &amp; Other HPs'!$E$64:$E$122&amp;'Malaria-Equipment &amp; Other HPs'!$I$64:$I$122,0)),0)</f>
        <v>0</v>
      </c>
      <c r="AB156" s="625">
        <f t="array" ref="AB156">IFERROR(INDEX('Malaria-Equipment &amp; Other HPs'!$V$64:$V$122,MATCH($E156&amp;$F156,'Malaria-Equipment &amp; Other HPs'!$E$64:$E$122&amp;'Malaria-Equipment &amp; Other HPs'!$I$64:$I$122,0)),0)</f>
        <v>0</v>
      </c>
      <c r="AC156" s="625">
        <f t="shared" si="156"/>
        <v>0</v>
      </c>
      <c r="AD156" s="626">
        <f t="shared" si="157"/>
        <v>0</v>
      </c>
      <c r="AE156" s="626">
        <f t="shared" si="158"/>
        <v>0</v>
      </c>
      <c r="AF156" s="625">
        <f t="array" ref="AF156">IFERROR(INDEX('Malaria-Equipment &amp; Other HPs'!$W$64:$W$122,MATCH($E156&amp;$F156,'Malaria-Equipment &amp; Other HPs'!$E$64:$E$122&amp;'Malaria-Equipment &amp; Other HPs'!$I$64:$I$122,0)),0)</f>
        <v>0</v>
      </c>
      <c r="AG156" s="625">
        <f t="shared" si="159"/>
        <v>0</v>
      </c>
      <c r="AH156" s="626">
        <f t="shared" si="160"/>
        <v>0</v>
      </c>
      <c r="AI156" s="626">
        <f t="shared" si="161"/>
        <v>0</v>
      </c>
      <c r="AJ156" s="625">
        <f t="array" ref="AJ156">IFERROR(INDEX('Malaria-Equipment &amp; Other HPs'!$X$64:$X$122,MATCH($E156&amp;$F156,'Malaria-Equipment &amp; Other HPs'!$E$64:$E$122&amp;'Malaria-Equipment &amp; Other HPs'!$I$64:$I$122,0)),0)</f>
        <v>0</v>
      </c>
      <c r="AK156" s="625">
        <f t="shared" si="162"/>
        <v>0</v>
      </c>
      <c r="AL156" s="626">
        <f t="shared" si="163"/>
        <v>0</v>
      </c>
      <c r="AM156" s="626">
        <f t="shared" si="164"/>
        <v>0</v>
      </c>
      <c r="AN156" s="625">
        <f t="array" ref="AN156">IFERROR(INDEX('Malaria-Equipment &amp; Other HPs'!$Y$64:$Y$122,MATCH($E156&amp;$F156,'Malaria-Equipment &amp; Other HPs'!$E$64:$E$122&amp;'Malaria-Equipment &amp; Other HPs'!$I$64:$I$122,0)),0)</f>
        <v>0</v>
      </c>
      <c r="AO156" s="625">
        <f t="shared" si="165"/>
        <v>0</v>
      </c>
      <c r="AP156" s="626">
        <f t="shared" si="166"/>
        <v>0</v>
      </c>
      <c r="AQ156" s="626">
        <f t="shared" si="167"/>
        <v>0</v>
      </c>
      <c r="AR156" s="630"/>
      <c r="AS156" s="625">
        <f t="array" ref="AS156">IFERROR(INDEX('Malaria-Equipment &amp; Other HPs'!$AB$64:$AB$122,MATCH($E156&amp;$F156,'Malaria-Equipment &amp; Other HPs'!$E$64:$E$122&amp;'Malaria-Equipment &amp; Other HPs'!$I$64:$I$122,0)),0)</f>
        <v>0</v>
      </c>
      <c r="AT156" s="625">
        <f t="array" ref="AT156">IFERROR(INDEX('Malaria-Equipment &amp; Other HPs'!$AC$64:$AC$122,MATCH($E156&amp;$F156,'Malaria-Equipment &amp; Other HPs'!$E$64:$E$122&amp;'Malaria-Equipment &amp; Other HPs'!$I$64:$I$122,0)),0)</f>
        <v>0</v>
      </c>
      <c r="AU156" s="625">
        <f t="shared" si="168"/>
        <v>0</v>
      </c>
      <c r="AV156" s="626">
        <f t="shared" si="169"/>
        <v>0</v>
      </c>
      <c r="AW156" s="626">
        <f t="shared" si="170"/>
        <v>0</v>
      </c>
      <c r="AX156" s="625">
        <f t="array" ref="AX156">IFERROR(INDEX('Malaria-Equipment &amp; Other HPs'!$AD$64:$AD$122,MATCH($E156&amp;$F156,'Malaria-Equipment &amp; Other HPs'!$E$64:$E$122&amp;'Malaria-Equipment &amp; Other HPs'!$I$64:$I$122,0)),0)</f>
        <v>0</v>
      </c>
      <c r="AY156" s="625">
        <f t="shared" si="171"/>
        <v>0</v>
      </c>
      <c r="AZ156" s="626">
        <f t="shared" si="172"/>
        <v>0</v>
      </c>
      <c r="BA156" s="626">
        <f t="shared" si="173"/>
        <v>0</v>
      </c>
      <c r="BB156" s="625">
        <f t="array" ref="BB156">IFERROR(INDEX('Malaria-Equipment &amp; Other HPs'!$AE$64:$AE$122,MATCH($E156&amp;$F156,'Malaria-Equipment &amp; Other HPs'!$E$64:$E$122&amp;'Malaria-Equipment &amp; Other HPs'!$I$64:$I$122,0)),0)</f>
        <v>0</v>
      </c>
      <c r="BC156" s="625">
        <f t="shared" si="174"/>
        <v>0</v>
      </c>
      <c r="BD156" s="626">
        <f t="shared" si="175"/>
        <v>0</v>
      </c>
      <c r="BE156" s="626">
        <f t="shared" si="176"/>
        <v>0</v>
      </c>
      <c r="BF156" s="625">
        <f t="array" ref="BF156">IFERROR(INDEX('Malaria-Equipment &amp; Other HPs'!$AF$64:$AF$122,MATCH($E156&amp;$F156,'Malaria-Equipment &amp; Other HPs'!$E$64:$E$122&amp;'Malaria-Equipment &amp; Other HPs'!$I$64:$I$122,0)),0)</f>
        <v>0</v>
      </c>
      <c r="BG156" s="625">
        <f t="shared" si="177"/>
        <v>0</v>
      </c>
      <c r="BH156" s="626">
        <f t="shared" si="178"/>
        <v>0</v>
      </c>
      <c r="BI156" s="626">
        <f t="shared" si="179"/>
        <v>0</v>
      </c>
      <c r="BJ156" s="630"/>
      <c r="BK156" s="625"/>
      <c r="BL156" s="625"/>
      <c r="BM156" s="625"/>
      <c r="BN156" s="625"/>
      <c r="BO156" s="625"/>
      <c r="BP156" s="625"/>
      <c r="BQ156" s="625"/>
      <c r="BR156" s="625"/>
      <c r="BT156" s="21" t="s">
        <v>6823</v>
      </c>
    </row>
    <row r="157" spans="1:72">
      <c r="A157" s="29" t="s">
        <v>583</v>
      </c>
      <c r="B157" s="29" t="s">
        <v>1549</v>
      </c>
      <c r="C157" s="626">
        <f>SETUP!$F$54</f>
        <v>0</v>
      </c>
      <c r="D157" s="25">
        <v>5.5</v>
      </c>
      <c r="E157" s="26" t="s">
        <v>415</v>
      </c>
      <c r="F157" s="26" t="s">
        <v>1206</v>
      </c>
      <c r="G157" s="625" t="str">
        <f t="array" ref="G157">IFERROR(INDEX('Malaria-Equipment &amp; Other HPs'!$L$64:$L$122,MATCH($E157&amp;$F157,'Malaria-Equipment &amp; Other HPs'!$E$64:$E$122&amp;'Malaria-Equipment &amp; Other HPs'!$I$64:$I$122,0)),"")</f>
        <v/>
      </c>
      <c r="H157" s="625" t="str">
        <f t="array" ref="H157">IFERROR(INDEX('Malaria-Equipment &amp; Other HPs'!$M$64:$M$122,MATCH($E157&amp;$F157,'Malaria-Equipment &amp; Other HPs'!$E$64:$E$122&amp;'Malaria-Equipment &amp; Other HPs'!$I$64:$I$122,0)),"")</f>
        <v/>
      </c>
      <c r="I157" s="625">
        <f t="array" ref="I157">IFERROR(INDEX('Malaria-Equipment &amp; Other HPs'!$N$64:$N$122,MATCH($E157&amp;$F157,'Malaria-Equipment &amp; Other HPs'!$E$64:$E$122&amp;'Malaria-Equipment &amp; Other HPs'!$I$64:$I$122,0)),0)</f>
        <v>0</v>
      </c>
      <c r="J157" s="625">
        <f t="array" ref="J157">IFERROR(INDEX('Malaria-Equipment &amp; Other HPs'!$O$64:$O$122,MATCH($E157&amp;$F157,'Malaria-Equipment &amp; Other HPs'!$E$64:$E$122&amp;'Malaria-Equipment &amp; Other HPs'!$I$64:$I$122,0)),0)</f>
        <v>0</v>
      </c>
      <c r="K157" s="626">
        <f t="shared" si="144"/>
        <v>0</v>
      </c>
      <c r="L157" s="626">
        <f t="shared" si="145"/>
        <v>0</v>
      </c>
      <c r="M157" s="626">
        <f t="shared" si="146"/>
        <v>0</v>
      </c>
      <c r="N157" s="625">
        <f t="array" ref="N157">IFERROR(INDEX('Malaria-Equipment &amp; Other HPs'!$P$64:$P$122,MATCH($E157&amp;$F157,'Malaria-Equipment &amp; Other HPs'!$E$64:$E$122&amp;'Malaria-Equipment &amp; Other HPs'!$I$64:$I$122,0)),0)</f>
        <v>0</v>
      </c>
      <c r="O157" s="626">
        <f t="shared" si="147"/>
        <v>0</v>
      </c>
      <c r="P157" s="626">
        <f t="shared" si="148"/>
        <v>0</v>
      </c>
      <c r="Q157" s="626">
        <f t="shared" si="149"/>
        <v>0</v>
      </c>
      <c r="R157" s="625">
        <f t="array" ref="R157">IFERROR(INDEX('Malaria-Equipment &amp; Other HPs'!$Q$64:$Q$122,MATCH($E157&amp;$F157,'Malaria-Equipment &amp; Other HPs'!$E$64:$E$122&amp;'Malaria-Equipment &amp; Other HPs'!$I$64:$I$122,0)),0)</f>
        <v>0</v>
      </c>
      <c r="S157" s="626">
        <f t="shared" si="150"/>
        <v>0</v>
      </c>
      <c r="T157" s="626">
        <f t="shared" si="151"/>
        <v>0</v>
      </c>
      <c r="U157" s="626">
        <f t="shared" si="152"/>
        <v>0</v>
      </c>
      <c r="V157" s="625">
        <f t="array" ref="V157">IFERROR(INDEX('Malaria-Equipment &amp; Other HPs'!$R$64:$R$122,MATCH($E157&amp;$F157,'Malaria-Equipment &amp; Other HPs'!$E$64:$E$122&amp;'Malaria-Equipment &amp; Other HPs'!$I$64:$I$122,0)),0)</f>
        <v>0</v>
      </c>
      <c r="W157" s="626">
        <f t="shared" si="153"/>
        <v>0</v>
      </c>
      <c r="X157" s="626">
        <f t="shared" si="154"/>
        <v>0</v>
      </c>
      <c r="Y157" s="626">
        <f t="shared" si="155"/>
        <v>0</v>
      </c>
      <c r="Z157" s="630"/>
      <c r="AA157" s="625">
        <f t="array" ref="AA157">IFERROR(INDEX('Malaria-Equipment &amp; Other HPs'!$U$64:$U$122,MATCH($E157&amp;$F157,'Malaria-Equipment &amp; Other HPs'!$E$64:$E$122&amp;'Malaria-Equipment &amp; Other HPs'!$I$64:$I$122,0)),0)</f>
        <v>0</v>
      </c>
      <c r="AB157" s="625">
        <f t="array" ref="AB157">IFERROR(INDEX('Malaria-Equipment &amp; Other HPs'!$V$64:$V$122,MATCH($E157&amp;$F157,'Malaria-Equipment &amp; Other HPs'!$E$64:$E$122&amp;'Malaria-Equipment &amp; Other HPs'!$I$64:$I$122,0)),0)</f>
        <v>0</v>
      </c>
      <c r="AC157" s="625">
        <f t="shared" si="156"/>
        <v>0</v>
      </c>
      <c r="AD157" s="626">
        <f t="shared" si="157"/>
        <v>0</v>
      </c>
      <c r="AE157" s="626">
        <f t="shared" si="158"/>
        <v>0</v>
      </c>
      <c r="AF157" s="625">
        <f t="array" ref="AF157">IFERROR(INDEX('Malaria-Equipment &amp; Other HPs'!$W$64:$W$122,MATCH($E157&amp;$F157,'Malaria-Equipment &amp; Other HPs'!$E$64:$E$122&amp;'Malaria-Equipment &amp; Other HPs'!$I$64:$I$122,0)),0)</f>
        <v>0</v>
      </c>
      <c r="AG157" s="625">
        <f t="shared" si="159"/>
        <v>0</v>
      </c>
      <c r="AH157" s="626">
        <f t="shared" si="160"/>
        <v>0</v>
      </c>
      <c r="AI157" s="626">
        <f t="shared" si="161"/>
        <v>0</v>
      </c>
      <c r="AJ157" s="625">
        <f t="array" ref="AJ157">IFERROR(INDEX('Malaria-Equipment &amp; Other HPs'!$X$64:$X$122,MATCH($E157&amp;$F157,'Malaria-Equipment &amp; Other HPs'!$E$64:$E$122&amp;'Malaria-Equipment &amp; Other HPs'!$I$64:$I$122,0)),0)</f>
        <v>0</v>
      </c>
      <c r="AK157" s="625">
        <f t="shared" si="162"/>
        <v>0</v>
      </c>
      <c r="AL157" s="626">
        <f t="shared" si="163"/>
        <v>0</v>
      </c>
      <c r="AM157" s="626">
        <f t="shared" si="164"/>
        <v>0</v>
      </c>
      <c r="AN157" s="625">
        <f t="array" ref="AN157">IFERROR(INDEX('Malaria-Equipment &amp; Other HPs'!$Y$64:$Y$122,MATCH($E157&amp;$F157,'Malaria-Equipment &amp; Other HPs'!$E$64:$E$122&amp;'Malaria-Equipment &amp; Other HPs'!$I$64:$I$122,0)),0)</f>
        <v>0</v>
      </c>
      <c r="AO157" s="625">
        <f t="shared" si="165"/>
        <v>0</v>
      </c>
      <c r="AP157" s="626">
        <f t="shared" si="166"/>
        <v>0</v>
      </c>
      <c r="AQ157" s="626">
        <f t="shared" si="167"/>
        <v>0</v>
      </c>
      <c r="AR157" s="630"/>
      <c r="AS157" s="625">
        <f t="array" ref="AS157">IFERROR(INDEX('Malaria-Equipment &amp; Other HPs'!$AB$64:$AB$122,MATCH($E157&amp;$F157,'Malaria-Equipment &amp; Other HPs'!$E$64:$E$122&amp;'Malaria-Equipment &amp; Other HPs'!$I$64:$I$122,0)),0)</f>
        <v>0</v>
      </c>
      <c r="AT157" s="625">
        <f t="array" ref="AT157">IFERROR(INDEX('Malaria-Equipment &amp; Other HPs'!$AC$64:$AC$122,MATCH($E157&amp;$F157,'Malaria-Equipment &amp; Other HPs'!$E$64:$E$122&amp;'Malaria-Equipment &amp; Other HPs'!$I$64:$I$122,0)),0)</f>
        <v>0</v>
      </c>
      <c r="AU157" s="625">
        <f t="shared" si="168"/>
        <v>0</v>
      </c>
      <c r="AV157" s="626">
        <f t="shared" si="169"/>
        <v>0</v>
      </c>
      <c r="AW157" s="626">
        <f t="shared" si="170"/>
        <v>0</v>
      </c>
      <c r="AX157" s="625">
        <f t="array" ref="AX157">IFERROR(INDEX('Malaria-Equipment &amp; Other HPs'!$AD$64:$AD$122,MATCH($E157&amp;$F157,'Malaria-Equipment &amp; Other HPs'!$E$64:$E$122&amp;'Malaria-Equipment &amp; Other HPs'!$I$64:$I$122,0)),0)</f>
        <v>0</v>
      </c>
      <c r="AY157" s="625">
        <f t="shared" si="171"/>
        <v>0</v>
      </c>
      <c r="AZ157" s="626">
        <f t="shared" si="172"/>
        <v>0</v>
      </c>
      <c r="BA157" s="626">
        <f t="shared" si="173"/>
        <v>0</v>
      </c>
      <c r="BB157" s="625">
        <f t="array" ref="BB157">IFERROR(INDEX('Malaria-Equipment &amp; Other HPs'!$AE$64:$AE$122,MATCH($E157&amp;$F157,'Malaria-Equipment &amp; Other HPs'!$E$64:$E$122&amp;'Malaria-Equipment &amp; Other HPs'!$I$64:$I$122,0)),0)</f>
        <v>0</v>
      </c>
      <c r="BC157" s="625">
        <f t="shared" si="174"/>
        <v>0</v>
      </c>
      <c r="BD157" s="626">
        <f t="shared" si="175"/>
        <v>0</v>
      </c>
      <c r="BE157" s="626">
        <f t="shared" si="176"/>
        <v>0</v>
      </c>
      <c r="BF157" s="625">
        <f t="array" ref="BF157">IFERROR(INDEX('Malaria-Equipment &amp; Other HPs'!$AF$64:$AF$122,MATCH($E157&amp;$F157,'Malaria-Equipment &amp; Other HPs'!$E$64:$E$122&amp;'Malaria-Equipment &amp; Other HPs'!$I$64:$I$122,0)),0)</f>
        <v>0</v>
      </c>
      <c r="BG157" s="625">
        <f t="shared" si="177"/>
        <v>0</v>
      </c>
      <c r="BH157" s="626">
        <f t="shared" si="178"/>
        <v>0</v>
      </c>
      <c r="BI157" s="626">
        <f t="shared" si="179"/>
        <v>0</v>
      </c>
      <c r="BJ157" s="630"/>
      <c r="BK157" s="625"/>
      <c r="BL157" s="625"/>
      <c r="BM157" s="625"/>
      <c r="BN157" s="625"/>
      <c r="BO157" s="625"/>
      <c r="BP157" s="625"/>
      <c r="BQ157" s="625"/>
      <c r="BR157" s="625"/>
      <c r="BT157" s="21" t="s">
        <v>6823</v>
      </c>
    </row>
    <row r="158" spans="1:72">
      <c r="A158" s="29" t="s">
        <v>583</v>
      </c>
      <c r="B158" s="29" t="s">
        <v>1549</v>
      </c>
      <c r="C158" s="626">
        <f>SETUP!$F$54</f>
        <v>0</v>
      </c>
      <c r="D158" s="25">
        <v>5.5</v>
      </c>
      <c r="E158" s="26" t="s">
        <v>415</v>
      </c>
      <c r="F158" s="26" t="s">
        <v>1207</v>
      </c>
      <c r="G158" s="625" t="str">
        <f t="array" ref="G158">IFERROR(INDEX('Malaria-Equipment &amp; Other HPs'!$L$64:$L$122,MATCH($E158&amp;$F158,'Malaria-Equipment &amp; Other HPs'!$E$64:$E$122&amp;'Malaria-Equipment &amp; Other HPs'!$I$64:$I$122,0)),"")</f>
        <v/>
      </c>
      <c r="H158" s="625" t="str">
        <f t="array" ref="H158">IFERROR(INDEX('Malaria-Equipment &amp; Other HPs'!$M$64:$M$122,MATCH($E158&amp;$F158,'Malaria-Equipment &amp; Other HPs'!$E$64:$E$122&amp;'Malaria-Equipment &amp; Other HPs'!$I$64:$I$122,0)),"")</f>
        <v/>
      </c>
      <c r="I158" s="625">
        <f t="array" ref="I158">IFERROR(INDEX('Malaria-Equipment &amp; Other HPs'!$N$64:$N$122,MATCH($E158&amp;$F158,'Malaria-Equipment &amp; Other HPs'!$E$64:$E$122&amp;'Malaria-Equipment &amp; Other HPs'!$I$64:$I$122,0)),0)</f>
        <v>0</v>
      </c>
      <c r="J158" s="625">
        <f t="array" ref="J158">IFERROR(INDEX('Malaria-Equipment &amp; Other HPs'!$O$64:$O$122,MATCH($E158&amp;$F158,'Malaria-Equipment &amp; Other HPs'!$E$64:$E$122&amp;'Malaria-Equipment &amp; Other HPs'!$I$64:$I$122,0)),0)</f>
        <v>0</v>
      </c>
      <c r="K158" s="626">
        <f t="shared" si="144"/>
        <v>0</v>
      </c>
      <c r="L158" s="626">
        <f t="shared" si="145"/>
        <v>0</v>
      </c>
      <c r="M158" s="626">
        <f t="shared" si="146"/>
        <v>0</v>
      </c>
      <c r="N158" s="625">
        <f t="array" ref="N158">IFERROR(INDEX('Malaria-Equipment &amp; Other HPs'!$P$64:$P$122,MATCH($E158&amp;$F158,'Malaria-Equipment &amp; Other HPs'!$E$64:$E$122&amp;'Malaria-Equipment &amp; Other HPs'!$I$64:$I$122,0)),0)</f>
        <v>0</v>
      </c>
      <c r="O158" s="626">
        <f t="shared" si="147"/>
        <v>0</v>
      </c>
      <c r="P158" s="626">
        <f t="shared" si="148"/>
        <v>0</v>
      </c>
      <c r="Q158" s="626">
        <f t="shared" si="149"/>
        <v>0</v>
      </c>
      <c r="R158" s="625">
        <f t="array" ref="R158">IFERROR(INDEX('Malaria-Equipment &amp; Other HPs'!$Q$64:$Q$122,MATCH($E158&amp;$F158,'Malaria-Equipment &amp; Other HPs'!$E$64:$E$122&amp;'Malaria-Equipment &amp; Other HPs'!$I$64:$I$122,0)),0)</f>
        <v>0</v>
      </c>
      <c r="S158" s="626">
        <f t="shared" si="150"/>
        <v>0</v>
      </c>
      <c r="T158" s="626">
        <f t="shared" si="151"/>
        <v>0</v>
      </c>
      <c r="U158" s="626">
        <f t="shared" si="152"/>
        <v>0</v>
      </c>
      <c r="V158" s="625">
        <f t="array" ref="V158">IFERROR(INDEX('Malaria-Equipment &amp; Other HPs'!$R$64:$R$122,MATCH($E158&amp;$F158,'Malaria-Equipment &amp; Other HPs'!$E$64:$E$122&amp;'Malaria-Equipment &amp; Other HPs'!$I$64:$I$122,0)),0)</f>
        <v>0</v>
      </c>
      <c r="W158" s="626">
        <f t="shared" si="153"/>
        <v>0</v>
      </c>
      <c r="X158" s="626">
        <f t="shared" si="154"/>
        <v>0</v>
      </c>
      <c r="Y158" s="626">
        <f t="shared" si="155"/>
        <v>0</v>
      </c>
      <c r="Z158" s="630"/>
      <c r="AA158" s="625">
        <f t="array" ref="AA158">IFERROR(INDEX('Malaria-Equipment &amp; Other HPs'!$U$64:$U$122,MATCH($E158&amp;$F158,'Malaria-Equipment &amp; Other HPs'!$E$64:$E$122&amp;'Malaria-Equipment &amp; Other HPs'!$I$64:$I$122,0)),0)</f>
        <v>0</v>
      </c>
      <c r="AB158" s="625">
        <f t="array" ref="AB158">IFERROR(INDEX('Malaria-Equipment &amp; Other HPs'!$V$64:$V$122,MATCH($E158&amp;$F158,'Malaria-Equipment &amp; Other HPs'!$E$64:$E$122&amp;'Malaria-Equipment &amp; Other HPs'!$I$64:$I$122,0)),0)</f>
        <v>0</v>
      </c>
      <c r="AC158" s="625">
        <f t="shared" si="156"/>
        <v>0</v>
      </c>
      <c r="AD158" s="626">
        <f t="shared" si="157"/>
        <v>0</v>
      </c>
      <c r="AE158" s="626">
        <f t="shared" si="158"/>
        <v>0</v>
      </c>
      <c r="AF158" s="625">
        <f t="array" ref="AF158">IFERROR(INDEX('Malaria-Equipment &amp; Other HPs'!$W$64:$W$122,MATCH($E158&amp;$F158,'Malaria-Equipment &amp; Other HPs'!$E$64:$E$122&amp;'Malaria-Equipment &amp; Other HPs'!$I$64:$I$122,0)),0)</f>
        <v>0</v>
      </c>
      <c r="AG158" s="625">
        <f t="shared" si="159"/>
        <v>0</v>
      </c>
      <c r="AH158" s="626">
        <f t="shared" si="160"/>
        <v>0</v>
      </c>
      <c r="AI158" s="626">
        <f t="shared" si="161"/>
        <v>0</v>
      </c>
      <c r="AJ158" s="625">
        <f t="array" ref="AJ158">IFERROR(INDEX('Malaria-Equipment &amp; Other HPs'!$X$64:$X$122,MATCH($E158&amp;$F158,'Malaria-Equipment &amp; Other HPs'!$E$64:$E$122&amp;'Malaria-Equipment &amp; Other HPs'!$I$64:$I$122,0)),0)</f>
        <v>0</v>
      </c>
      <c r="AK158" s="625">
        <f t="shared" si="162"/>
        <v>0</v>
      </c>
      <c r="AL158" s="626">
        <f t="shared" si="163"/>
        <v>0</v>
      </c>
      <c r="AM158" s="626">
        <f t="shared" si="164"/>
        <v>0</v>
      </c>
      <c r="AN158" s="625">
        <f t="array" ref="AN158">IFERROR(INDEX('Malaria-Equipment &amp; Other HPs'!$Y$64:$Y$122,MATCH($E158&amp;$F158,'Malaria-Equipment &amp; Other HPs'!$E$64:$E$122&amp;'Malaria-Equipment &amp; Other HPs'!$I$64:$I$122,0)),0)</f>
        <v>0</v>
      </c>
      <c r="AO158" s="625">
        <f t="shared" si="165"/>
        <v>0</v>
      </c>
      <c r="AP158" s="626">
        <f t="shared" si="166"/>
        <v>0</v>
      </c>
      <c r="AQ158" s="626">
        <f t="shared" si="167"/>
        <v>0</v>
      </c>
      <c r="AR158" s="630"/>
      <c r="AS158" s="625">
        <f t="array" ref="AS158">IFERROR(INDEX('Malaria-Equipment &amp; Other HPs'!$AB$64:$AB$122,MATCH($E158&amp;$F158,'Malaria-Equipment &amp; Other HPs'!$E$64:$E$122&amp;'Malaria-Equipment &amp; Other HPs'!$I$64:$I$122,0)),0)</f>
        <v>0</v>
      </c>
      <c r="AT158" s="625">
        <f t="array" ref="AT158">IFERROR(INDEX('Malaria-Equipment &amp; Other HPs'!$AC$64:$AC$122,MATCH($E158&amp;$F158,'Malaria-Equipment &amp; Other HPs'!$E$64:$E$122&amp;'Malaria-Equipment &amp; Other HPs'!$I$64:$I$122,0)),0)</f>
        <v>0</v>
      </c>
      <c r="AU158" s="625">
        <f t="shared" si="168"/>
        <v>0</v>
      </c>
      <c r="AV158" s="626">
        <f t="shared" si="169"/>
        <v>0</v>
      </c>
      <c r="AW158" s="626">
        <f t="shared" si="170"/>
        <v>0</v>
      </c>
      <c r="AX158" s="625">
        <f t="array" ref="AX158">IFERROR(INDEX('Malaria-Equipment &amp; Other HPs'!$AD$64:$AD$122,MATCH($E158&amp;$F158,'Malaria-Equipment &amp; Other HPs'!$E$64:$E$122&amp;'Malaria-Equipment &amp; Other HPs'!$I$64:$I$122,0)),0)</f>
        <v>0</v>
      </c>
      <c r="AY158" s="625">
        <f t="shared" si="171"/>
        <v>0</v>
      </c>
      <c r="AZ158" s="626">
        <f t="shared" si="172"/>
        <v>0</v>
      </c>
      <c r="BA158" s="626">
        <f t="shared" si="173"/>
        <v>0</v>
      </c>
      <c r="BB158" s="625">
        <f t="array" ref="BB158">IFERROR(INDEX('Malaria-Equipment &amp; Other HPs'!$AE$64:$AE$122,MATCH($E158&amp;$F158,'Malaria-Equipment &amp; Other HPs'!$E$64:$E$122&amp;'Malaria-Equipment &amp; Other HPs'!$I$64:$I$122,0)),0)</f>
        <v>0</v>
      </c>
      <c r="BC158" s="625">
        <f t="shared" si="174"/>
        <v>0</v>
      </c>
      <c r="BD158" s="626">
        <f t="shared" si="175"/>
        <v>0</v>
      </c>
      <c r="BE158" s="626">
        <f t="shared" si="176"/>
        <v>0</v>
      </c>
      <c r="BF158" s="625">
        <f t="array" ref="BF158">IFERROR(INDEX('Malaria-Equipment &amp; Other HPs'!$AF$64:$AF$122,MATCH($E158&amp;$F158,'Malaria-Equipment &amp; Other HPs'!$E$64:$E$122&amp;'Malaria-Equipment &amp; Other HPs'!$I$64:$I$122,0)),0)</f>
        <v>0</v>
      </c>
      <c r="BG158" s="625">
        <f t="shared" si="177"/>
        <v>0</v>
      </c>
      <c r="BH158" s="626">
        <f t="shared" si="178"/>
        <v>0</v>
      </c>
      <c r="BI158" s="626">
        <f t="shared" si="179"/>
        <v>0</v>
      </c>
      <c r="BJ158" s="630"/>
      <c r="BK158" s="625"/>
      <c r="BL158" s="625"/>
      <c r="BM158" s="625"/>
      <c r="BN158" s="625"/>
      <c r="BO158" s="625"/>
      <c r="BP158" s="625"/>
      <c r="BQ158" s="625"/>
      <c r="BR158" s="625"/>
      <c r="BT158" s="21" t="s">
        <v>6823</v>
      </c>
    </row>
    <row r="159" spans="1:72">
      <c r="A159" s="29" t="s">
        <v>583</v>
      </c>
      <c r="B159" s="29" t="s">
        <v>1549</v>
      </c>
      <c r="C159" s="626">
        <f>SETUP!$F$54</f>
        <v>0</v>
      </c>
      <c r="D159" s="25">
        <v>5.5</v>
      </c>
      <c r="E159" s="26" t="s">
        <v>415</v>
      </c>
      <c r="F159" s="26" t="s">
        <v>1208</v>
      </c>
      <c r="G159" s="625" t="str">
        <f t="array" ref="G159">IFERROR(INDEX('Malaria-Equipment &amp; Other HPs'!$L$64:$L$122,MATCH($E159&amp;$F159,'Malaria-Equipment &amp; Other HPs'!$E$64:$E$122&amp;'Malaria-Equipment &amp; Other HPs'!$I$64:$I$122,0)),"")</f>
        <v/>
      </c>
      <c r="H159" s="625" t="str">
        <f t="array" ref="H159">IFERROR(INDEX('Malaria-Equipment &amp; Other HPs'!$M$64:$M$122,MATCH($E159&amp;$F159,'Malaria-Equipment &amp; Other HPs'!$E$64:$E$122&amp;'Malaria-Equipment &amp; Other HPs'!$I$64:$I$122,0)),"")</f>
        <v/>
      </c>
      <c r="I159" s="625">
        <f t="array" ref="I159">IFERROR(INDEX('Malaria-Equipment &amp; Other HPs'!$N$64:$N$122,MATCH($E159&amp;$F159,'Malaria-Equipment &amp; Other HPs'!$E$64:$E$122&amp;'Malaria-Equipment &amp; Other HPs'!$I$64:$I$122,0)),0)</f>
        <v>0</v>
      </c>
      <c r="J159" s="625">
        <f t="array" ref="J159">IFERROR(INDEX('Malaria-Equipment &amp; Other HPs'!$O$64:$O$122,MATCH($E159&amp;$F159,'Malaria-Equipment &amp; Other HPs'!$E$64:$E$122&amp;'Malaria-Equipment &amp; Other HPs'!$I$64:$I$122,0)),0)</f>
        <v>0</v>
      </c>
      <c r="K159" s="626">
        <f t="shared" si="144"/>
        <v>0</v>
      </c>
      <c r="L159" s="626">
        <f t="shared" si="145"/>
        <v>0</v>
      </c>
      <c r="M159" s="626">
        <f t="shared" si="146"/>
        <v>0</v>
      </c>
      <c r="N159" s="625">
        <f t="array" ref="N159">IFERROR(INDEX('Malaria-Equipment &amp; Other HPs'!$P$64:$P$122,MATCH($E159&amp;$F159,'Malaria-Equipment &amp; Other HPs'!$E$64:$E$122&amp;'Malaria-Equipment &amp; Other HPs'!$I$64:$I$122,0)),0)</f>
        <v>0</v>
      </c>
      <c r="O159" s="626">
        <f t="shared" si="147"/>
        <v>0</v>
      </c>
      <c r="P159" s="626">
        <f t="shared" si="148"/>
        <v>0</v>
      </c>
      <c r="Q159" s="626">
        <f t="shared" si="149"/>
        <v>0</v>
      </c>
      <c r="R159" s="625">
        <f t="array" ref="R159">IFERROR(INDEX('Malaria-Equipment &amp; Other HPs'!$Q$64:$Q$122,MATCH($E159&amp;$F159,'Malaria-Equipment &amp; Other HPs'!$E$64:$E$122&amp;'Malaria-Equipment &amp; Other HPs'!$I$64:$I$122,0)),0)</f>
        <v>0</v>
      </c>
      <c r="S159" s="626">
        <f t="shared" si="150"/>
        <v>0</v>
      </c>
      <c r="T159" s="626">
        <f t="shared" si="151"/>
        <v>0</v>
      </c>
      <c r="U159" s="626">
        <f t="shared" si="152"/>
        <v>0</v>
      </c>
      <c r="V159" s="625">
        <f t="array" ref="V159">IFERROR(INDEX('Malaria-Equipment &amp; Other HPs'!$R$64:$R$122,MATCH($E159&amp;$F159,'Malaria-Equipment &amp; Other HPs'!$E$64:$E$122&amp;'Malaria-Equipment &amp; Other HPs'!$I$64:$I$122,0)),0)</f>
        <v>0</v>
      </c>
      <c r="W159" s="626">
        <f t="shared" si="153"/>
        <v>0</v>
      </c>
      <c r="X159" s="626">
        <f t="shared" si="154"/>
        <v>0</v>
      </c>
      <c r="Y159" s="626">
        <f t="shared" si="155"/>
        <v>0</v>
      </c>
      <c r="Z159" s="630"/>
      <c r="AA159" s="625">
        <f t="array" ref="AA159">IFERROR(INDEX('Malaria-Equipment &amp; Other HPs'!$U$64:$U$122,MATCH($E159&amp;$F159,'Malaria-Equipment &amp; Other HPs'!$E$64:$E$122&amp;'Malaria-Equipment &amp; Other HPs'!$I$64:$I$122,0)),0)</f>
        <v>0</v>
      </c>
      <c r="AB159" s="625">
        <f t="array" ref="AB159">IFERROR(INDEX('Malaria-Equipment &amp; Other HPs'!$V$64:$V$122,MATCH($E159&amp;$F159,'Malaria-Equipment &amp; Other HPs'!$E$64:$E$122&amp;'Malaria-Equipment &amp; Other HPs'!$I$64:$I$122,0)),0)</f>
        <v>0</v>
      </c>
      <c r="AC159" s="625">
        <f t="shared" si="156"/>
        <v>0</v>
      </c>
      <c r="AD159" s="626">
        <f t="shared" si="157"/>
        <v>0</v>
      </c>
      <c r="AE159" s="626">
        <f t="shared" si="158"/>
        <v>0</v>
      </c>
      <c r="AF159" s="625">
        <f t="array" ref="AF159">IFERROR(INDEX('Malaria-Equipment &amp; Other HPs'!$W$64:$W$122,MATCH($E159&amp;$F159,'Malaria-Equipment &amp; Other HPs'!$E$64:$E$122&amp;'Malaria-Equipment &amp; Other HPs'!$I$64:$I$122,0)),0)</f>
        <v>0</v>
      </c>
      <c r="AG159" s="625">
        <f t="shared" si="159"/>
        <v>0</v>
      </c>
      <c r="AH159" s="626">
        <f t="shared" si="160"/>
        <v>0</v>
      </c>
      <c r="AI159" s="626">
        <f t="shared" si="161"/>
        <v>0</v>
      </c>
      <c r="AJ159" s="625">
        <f t="array" ref="AJ159">IFERROR(INDEX('Malaria-Equipment &amp; Other HPs'!$X$64:$X$122,MATCH($E159&amp;$F159,'Malaria-Equipment &amp; Other HPs'!$E$64:$E$122&amp;'Malaria-Equipment &amp; Other HPs'!$I$64:$I$122,0)),0)</f>
        <v>0</v>
      </c>
      <c r="AK159" s="625">
        <f t="shared" si="162"/>
        <v>0</v>
      </c>
      <c r="AL159" s="626">
        <f t="shared" si="163"/>
        <v>0</v>
      </c>
      <c r="AM159" s="626">
        <f t="shared" si="164"/>
        <v>0</v>
      </c>
      <c r="AN159" s="625">
        <f t="array" ref="AN159">IFERROR(INDEX('Malaria-Equipment &amp; Other HPs'!$Y$64:$Y$122,MATCH($E159&amp;$F159,'Malaria-Equipment &amp; Other HPs'!$E$64:$E$122&amp;'Malaria-Equipment &amp; Other HPs'!$I$64:$I$122,0)),0)</f>
        <v>0</v>
      </c>
      <c r="AO159" s="625">
        <f t="shared" si="165"/>
        <v>0</v>
      </c>
      <c r="AP159" s="626">
        <f t="shared" si="166"/>
        <v>0</v>
      </c>
      <c r="AQ159" s="626">
        <f t="shared" si="167"/>
        <v>0</v>
      </c>
      <c r="AR159" s="630"/>
      <c r="AS159" s="625">
        <f t="array" ref="AS159">IFERROR(INDEX('Malaria-Equipment &amp; Other HPs'!$AB$64:$AB$122,MATCH($E159&amp;$F159,'Malaria-Equipment &amp; Other HPs'!$E$64:$E$122&amp;'Malaria-Equipment &amp; Other HPs'!$I$64:$I$122,0)),0)</f>
        <v>0</v>
      </c>
      <c r="AT159" s="625">
        <f t="array" ref="AT159">IFERROR(INDEX('Malaria-Equipment &amp; Other HPs'!$AC$64:$AC$122,MATCH($E159&amp;$F159,'Malaria-Equipment &amp; Other HPs'!$E$64:$E$122&amp;'Malaria-Equipment &amp; Other HPs'!$I$64:$I$122,0)),0)</f>
        <v>0</v>
      </c>
      <c r="AU159" s="625">
        <f t="shared" si="168"/>
        <v>0</v>
      </c>
      <c r="AV159" s="626">
        <f t="shared" si="169"/>
        <v>0</v>
      </c>
      <c r="AW159" s="626">
        <f t="shared" si="170"/>
        <v>0</v>
      </c>
      <c r="AX159" s="625">
        <f t="array" ref="AX159">IFERROR(INDEX('Malaria-Equipment &amp; Other HPs'!$AD$64:$AD$122,MATCH($E159&amp;$F159,'Malaria-Equipment &amp; Other HPs'!$E$64:$E$122&amp;'Malaria-Equipment &amp; Other HPs'!$I$64:$I$122,0)),0)</f>
        <v>0</v>
      </c>
      <c r="AY159" s="625">
        <f t="shared" si="171"/>
        <v>0</v>
      </c>
      <c r="AZ159" s="626">
        <f t="shared" si="172"/>
        <v>0</v>
      </c>
      <c r="BA159" s="626">
        <f t="shared" si="173"/>
        <v>0</v>
      </c>
      <c r="BB159" s="625">
        <f t="array" ref="BB159">IFERROR(INDEX('Malaria-Equipment &amp; Other HPs'!$AE$64:$AE$122,MATCH($E159&amp;$F159,'Malaria-Equipment &amp; Other HPs'!$E$64:$E$122&amp;'Malaria-Equipment &amp; Other HPs'!$I$64:$I$122,0)),0)</f>
        <v>0</v>
      </c>
      <c r="BC159" s="625">
        <f t="shared" si="174"/>
        <v>0</v>
      </c>
      <c r="BD159" s="626">
        <f t="shared" si="175"/>
        <v>0</v>
      </c>
      <c r="BE159" s="626">
        <f t="shared" si="176"/>
        <v>0</v>
      </c>
      <c r="BF159" s="625">
        <f t="array" ref="BF159">IFERROR(INDEX('Malaria-Equipment &amp; Other HPs'!$AF$64:$AF$122,MATCH($E159&amp;$F159,'Malaria-Equipment &amp; Other HPs'!$E$64:$E$122&amp;'Malaria-Equipment &amp; Other HPs'!$I$64:$I$122,0)),0)</f>
        <v>0</v>
      </c>
      <c r="BG159" s="625">
        <f t="shared" si="177"/>
        <v>0</v>
      </c>
      <c r="BH159" s="626">
        <f t="shared" si="178"/>
        <v>0</v>
      </c>
      <c r="BI159" s="626">
        <f t="shared" si="179"/>
        <v>0</v>
      </c>
      <c r="BJ159" s="630"/>
      <c r="BK159" s="625"/>
      <c r="BL159" s="625"/>
      <c r="BM159" s="625"/>
      <c r="BN159" s="625"/>
      <c r="BO159" s="625"/>
      <c r="BP159" s="625"/>
      <c r="BQ159" s="625"/>
      <c r="BR159" s="625"/>
      <c r="BT159" s="21" t="s">
        <v>6823</v>
      </c>
    </row>
    <row r="160" spans="1:72">
      <c r="A160" s="29" t="s">
        <v>583</v>
      </c>
      <c r="B160" s="29" t="s">
        <v>1549</v>
      </c>
      <c r="C160" s="626">
        <f>SETUP!$F$54</f>
        <v>0</v>
      </c>
      <c r="D160" s="25">
        <v>5.5</v>
      </c>
      <c r="E160" s="26" t="s">
        <v>415</v>
      </c>
      <c r="F160" s="26" t="s">
        <v>1140</v>
      </c>
      <c r="G160" s="625" t="str">
        <f t="array" ref="G160">IFERROR(INDEX('Malaria-Equipment &amp; Other HPs'!$L$64:$L$122,MATCH($E160&amp;$F160,'Malaria-Equipment &amp; Other HPs'!$E$64:$E$122&amp;'Malaria-Equipment &amp; Other HPs'!$I$64:$I$122,0)),"")</f>
        <v/>
      </c>
      <c r="H160" s="625" t="str">
        <f t="array" ref="H160">IFERROR(INDEX('Malaria-Equipment &amp; Other HPs'!$M$64:$M$122,MATCH($E160&amp;$F160,'Malaria-Equipment &amp; Other HPs'!$E$64:$E$122&amp;'Malaria-Equipment &amp; Other HPs'!$I$64:$I$122,0)),"")</f>
        <v/>
      </c>
      <c r="I160" s="625">
        <f t="array" ref="I160">IFERROR(INDEX('Malaria-Equipment &amp; Other HPs'!$N$64:$N$122,MATCH($E160&amp;$F160,'Malaria-Equipment &amp; Other HPs'!$E$64:$E$122&amp;'Malaria-Equipment &amp; Other HPs'!$I$64:$I$122,0)),0)</f>
        <v>0</v>
      </c>
      <c r="J160" s="625">
        <f t="array" ref="J160">IFERROR(INDEX('Malaria-Equipment &amp; Other HPs'!$O$64:$O$122,MATCH($E160&amp;$F160,'Malaria-Equipment &amp; Other HPs'!$E$64:$E$122&amp;'Malaria-Equipment &amp; Other HPs'!$I$64:$I$122,0)),0)</f>
        <v>0</v>
      </c>
      <c r="K160" s="626">
        <f t="shared" si="144"/>
        <v>0</v>
      </c>
      <c r="L160" s="626">
        <f t="shared" si="145"/>
        <v>0</v>
      </c>
      <c r="M160" s="626">
        <f t="shared" si="146"/>
        <v>0</v>
      </c>
      <c r="N160" s="625">
        <f t="array" ref="N160">IFERROR(INDEX('Malaria-Equipment &amp; Other HPs'!$P$64:$P$122,MATCH($E160&amp;$F160,'Malaria-Equipment &amp; Other HPs'!$E$64:$E$122&amp;'Malaria-Equipment &amp; Other HPs'!$I$64:$I$122,0)),0)</f>
        <v>0</v>
      </c>
      <c r="O160" s="626">
        <f t="shared" si="147"/>
        <v>0</v>
      </c>
      <c r="P160" s="626">
        <f t="shared" si="148"/>
        <v>0</v>
      </c>
      <c r="Q160" s="626">
        <f t="shared" si="149"/>
        <v>0</v>
      </c>
      <c r="R160" s="625">
        <f t="array" ref="R160">IFERROR(INDEX('Malaria-Equipment &amp; Other HPs'!$Q$64:$Q$122,MATCH($E160&amp;$F160,'Malaria-Equipment &amp; Other HPs'!$E$64:$E$122&amp;'Malaria-Equipment &amp; Other HPs'!$I$64:$I$122,0)),0)</f>
        <v>0</v>
      </c>
      <c r="S160" s="626">
        <f t="shared" si="150"/>
        <v>0</v>
      </c>
      <c r="T160" s="626">
        <f t="shared" si="151"/>
        <v>0</v>
      </c>
      <c r="U160" s="626">
        <f t="shared" si="152"/>
        <v>0</v>
      </c>
      <c r="V160" s="625">
        <f t="array" ref="V160">IFERROR(INDEX('Malaria-Equipment &amp; Other HPs'!$R$64:$R$122,MATCH($E160&amp;$F160,'Malaria-Equipment &amp; Other HPs'!$E$64:$E$122&amp;'Malaria-Equipment &amp; Other HPs'!$I$64:$I$122,0)),0)</f>
        <v>0</v>
      </c>
      <c r="W160" s="626">
        <f t="shared" si="153"/>
        <v>0</v>
      </c>
      <c r="X160" s="626">
        <f t="shared" si="154"/>
        <v>0</v>
      </c>
      <c r="Y160" s="626">
        <f t="shared" si="155"/>
        <v>0</v>
      </c>
      <c r="Z160" s="630"/>
      <c r="AA160" s="625">
        <f t="array" ref="AA160">IFERROR(INDEX('Malaria-Equipment &amp; Other HPs'!$U$64:$U$122,MATCH($E160&amp;$F160,'Malaria-Equipment &amp; Other HPs'!$E$64:$E$122&amp;'Malaria-Equipment &amp; Other HPs'!$I$64:$I$122,0)),0)</f>
        <v>0</v>
      </c>
      <c r="AB160" s="625">
        <f t="array" ref="AB160">IFERROR(INDEX('Malaria-Equipment &amp; Other HPs'!$V$64:$V$122,MATCH($E160&amp;$F160,'Malaria-Equipment &amp; Other HPs'!$E$64:$E$122&amp;'Malaria-Equipment &amp; Other HPs'!$I$64:$I$122,0)),0)</f>
        <v>0</v>
      </c>
      <c r="AC160" s="625">
        <f t="shared" si="156"/>
        <v>0</v>
      </c>
      <c r="AD160" s="626">
        <f t="shared" si="157"/>
        <v>0</v>
      </c>
      <c r="AE160" s="626">
        <f t="shared" si="158"/>
        <v>0</v>
      </c>
      <c r="AF160" s="625">
        <f t="array" ref="AF160">IFERROR(INDEX('Malaria-Equipment &amp; Other HPs'!$W$64:$W$122,MATCH($E160&amp;$F160,'Malaria-Equipment &amp; Other HPs'!$E$64:$E$122&amp;'Malaria-Equipment &amp; Other HPs'!$I$64:$I$122,0)),0)</f>
        <v>0</v>
      </c>
      <c r="AG160" s="625">
        <f t="shared" si="159"/>
        <v>0</v>
      </c>
      <c r="AH160" s="626">
        <f t="shared" si="160"/>
        <v>0</v>
      </c>
      <c r="AI160" s="626">
        <f t="shared" si="161"/>
        <v>0</v>
      </c>
      <c r="AJ160" s="625">
        <f t="array" ref="AJ160">IFERROR(INDEX('Malaria-Equipment &amp; Other HPs'!$X$64:$X$122,MATCH($E160&amp;$F160,'Malaria-Equipment &amp; Other HPs'!$E$64:$E$122&amp;'Malaria-Equipment &amp; Other HPs'!$I$64:$I$122,0)),0)</f>
        <v>0</v>
      </c>
      <c r="AK160" s="625">
        <f t="shared" si="162"/>
        <v>0</v>
      </c>
      <c r="AL160" s="626">
        <f t="shared" si="163"/>
        <v>0</v>
      </c>
      <c r="AM160" s="626">
        <f t="shared" si="164"/>
        <v>0</v>
      </c>
      <c r="AN160" s="625">
        <f t="array" ref="AN160">IFERROR(INDEX('Malaria-Equipment &amp; Other HPs'!$Y$64:$Y$122,MATCH($E160&amp;$F160,'Malaria-Equipment &amp; Other HPs'!$E$64:$E$122&amp;'Malaria-Equipment &amp; Other HPs'!$I$64:$I$122,0)),0)</f>
        <v>0</v>
      </c>
      <c r="AO160" s="625">
        <f t="shared" si="165"/>
        <v>0</v>
      </c>
      <c r="AP160" s="626">
        <f t="shared" si="166"/>
        <v>0</v>
      </c>
      <c r="AQ160" s="626">
        <f t="shared" si="167"/>
        <v>0</v>
      </c>
      <c r="AR160" s="630"/>
      <c r="AS160" s="625">
        <f t="array" ref="AS160">IFERROR(INDEX('Malaria-Equipment &amp; Other HPs'!$AB$64:$AB$122,MATCH($E160&amp;$F160,'Malaria-Equipment &amp; Other HPs'!$E$64:$E$122&amp;'Malaria-Equipment &amp; Other HPs'!$I$64:$I$122,0)),0)</f>
        <v>0</v>
      </c>
      <c r="AT160" s="625">
        <f t="array" ref="AT160">IFERROR(INDEX('Malaria-Equipment &amp; Other HPs'!$AC$64:$AC$122,MATCH($E160&amp;$F160,'Malaria-Equipment &amp; Other HPs'!$E$64:$E$122&amp;'Malaria-Equipment &amp; Other HPs'!$I$64:$I$122,0)),0)</f>
        <v>0</v>
      </c>
      <c r="AU160" s="625">
        <f t="shared" si="168"/>
        <v>0</v>
      </c>
      <c r="AV160" s="626">
        <f t="shared" si="169"/>
        <v>0</v>
      </c>
      <c r="AW160" s="626">
        <f t="shared" si="170"/>
        <v>0</v>
      </c>
      <c r="AX160" s="625">
        <f t="array" ref="AX160">IFERROR(INDEX('Malaria-Equipment &amp; Other HPs'!$AD$64:$AD$122,MATCH($E160&amp;$F160,'Malaria-Equipment &amp; Other HPs'!$E$64:$E$122&amp;'Malaria-Equipment &amp; Other HPs'!$I$64:$I$122,0)),0)</f>
        <v>0</v>
      </c>
      <c r="AY160" s="625">
        <f t="shared" si="171"/>
        <v>0</v>
      </c>
      <c r="AZ160" s="626">
        <f t="shared" si="172"/>
        <v>0</v>
      </c>
      <c r="BA160" s="626">
        <f t="shared" si="173"/>
        <v>0</v>
      </c>
      <c r="BB160" s="625">
        <f t="array" ref="BB160">IFERROR(INDEX('Malaria-Equipment &amp; Other HPs'!$AE$64:$AE$122,MATCH($E160&amp;$F160,'Malaria-Equipment &amp; Other HPs'!$E$64:$E$122&amp;'Malaria-Equipment &amp; Other HPs'!$I$64:$I$122,0)),0)</f>
        <v>0</v>
      </c>
      <c r="BC160" s="625">
        <f t="shared" si="174"/>
        <v>0</v>
      </c>
      <c r="BD160" s="626">
        <f t="shared" si="175"/>
        <v>0</v>
      </c>
      <c r="BE160" s="626">
        <f t="shared" si="176"/>
        <v>0</v>
      </c>
      <c r="BF160" s="625">
        <f t="array" ref="BF160">IFERROR(INDEX('Malaria-Equipment &amp; Other HPs'!$AF$64:$AF$122,MATCH($E160&amp;$F160,'Malaria-Equipment &amp; Other HPs'!$E$64:$E$122&amp;'Malaria-Equipment &amp; Other HPs'!$I$64:$I$122,0)),0)</f>
        <v>0</v>
      </c>
      <c r="BG160" s="625">
        <f t="shared" si="177"/>
        <v>0</v>
      </c>
      <c r="BH160" s="626">
        <f t="shared" si="178"/>
        <v>0</v>
      </c>
      <c r="BI160" s="626">
        <f t="shared" si="179"/>
        <v>0</v>
      </c>
      <c r="BJ160" s="630"/>
      <c r="BK160" s="625"/>
      <c r="BL160" s="625"/>
      <c r="BM160" s="625"/>
      <c r="BN160" s="625"/>
      <c r="BO160" s="625"/>
      <c r="BP160" s="625"/>
      <c r="BQ160" s="625"/>
      <c r="BR160" s="625"/>
      <c r="BT160" s="21" t="s">
        <v>6823</v>
      </c>
    </row>
    <row r="161" spans="1:72">
      <c r="A161" s="29" t="s">
        <v>583</v>
      </c>
      <c r="B161" s="29" t="s">
        <v>1549</v>
      </c>
      <c r="C161" s="626">
        <f>SETUP!$F$54</f>
        <v>0</v>
      </c>
      <c r="D161" s="25">
        <v>6.6</v>
      </c>
      <c r="E161" s="26" t="s">
        <v>1191</v>
      </c>
      <c r="F161" s="26" t="s">
        <v>1140</v>
      </c>
      <c r="G161" s="625" t="str">
        <f t="array" ref="G161">IFERROR(INDEX('Malaria-Equipment &amp; Other HPs'!$L$64:$L$122,MATCH($E161&amp;$F161,'Malaria-Equipment &amp; Other HPs'!$E$64:$E$122&amp;'Malaria-Equipment &amp; Other HPs'!$I$64:$I$122,0)),"")</f>
        <v/>
      </c>
      <c r="H161" s="625" t="str">
        <f t="array" ref="H161">IFERROR(INDEX('Malaria-Equipment &amp; Other HPs'!$M$64:$M$122,MATCH($E161&amp;$F161,'Malaria-Equipment &amp; Other HPs'!$E$64:$E$122&amp;'Malaria-Equipment &amp; Other HPs'!$I$64:$I$122,0)),"")</f>
        <v/>
      </c>
      <c r="I161" s="625">
        <f t="array" ref="I161">IFERROR(INDEX('Malaria-Equipment &amp; Other HPs'!$N$64:$N$122,MATCH($E161&amp;$F161,'Malaria-Equipment &amp; Other HPs'!$E$64:$E$122&amp;'Malaria-Equipment &amp; Other HPs'!$I$64:$I$122,0)),0)</f>
        <v>0</v>
      </c>
      <c r="J161" s="625">
        <f t="array" ref="J161">IFERROR(INDEX('Malaria-Equipment &amp; Other HPs'!$O$64:$O$122,MATCH($E161&amp;$F161,'Malaria-Equipment &amp; Other HPs'!$E$64:$E$122&amp;'Malaria-Equipment &amp; Other HPs'!$I$64:$I$122,0)),0)</f>
        <v>0</v>
      </c>
      <c r="K161" s="626">
        <f t="shared" si="144"/>
        <v>0</v>
      </c>
      <c r="L161" s="626">
        <f t="shared" si="145"/>
        <v>0</v>
      </c>
      <c r="M161" s="626">
        <f t="shared" si="146"/>
        <v>0</v>
      </c>
      <c r="N161" s="625">
        <f t="array" ref="N161">IFERROR(INDEX('Malaria-Equipment &amp; Other HPs'!$P$64:$P$122,MATCH($E161&amp;$F161,'Malaria-Equipment &amp; Other HPs'!$E$64:$E$122&amp;'Malaria-Equipment &amp; Other HPs'!$I$64:$I$122,0)),0)</f>
        <v>0</v>
      </c>
      <c r="O161" s="626">
        <f t="shared" si="147"/>
        <v>0</v>
      </c>
      <c r="P161" s="626">
        <f t="shared" si="148"/>
        <v>0</v>
      </c>
      <c r="Q161" s="626">
        <f t="shared" si="149"/>
        <v>0</v>
      </c>
      <c r="R161" s="625">
        <f t="array" ref="R161">IFERROR(INDEX('Malaria-Equipment &amp; Other HPs'!$Q$64:$Q$122,MATCH($E161&amp;$F161,'Malaria-Equipment &amp; Other HPs'!$E$64:$E$122&amp;'Malaria-Equipment &amp; Other HPs'!$I$64:$I$122,0)),0)</f>
        <v>0</v>
      </c>
      <c r="S161" s="626">
        <f t="shared" si="150"/>
        <v>0</v>
      </c>
      <c r="T161" s="626">
        <f t="shared" si="151"/>
        <v>0</v>
      </c>
      <c r="U161" s="626">
        <f t="shared" si="152"/>
        <v>0</v>
      </c>
      <c r="V161" s="625">
        <f t="array" ref="V161">IFERROR(INDEX('Malaria-Equipment &amp; Other HPs'!$R$64:$R$122,MATCH($E161&amp;$F161,'Malaria-Equipment &amp; Other HPs'!$E$64:$E$122&amp;'Malaria-Equipment &amp; Other HPs'!$I$64:$I$122,0)),0)</f>
        <v>0</v>
      </c>
      <c r="W161" s="626">
        <f t="shared" si="153"/>
        <v>0</v>
      </c>
      <c r="X161" s="626">
        <f t="shared" si="154"/>
        <v>0</v>
      </c>
      <c r="Y161" s="626">
        <f t="shared" si="155"/>
        <v>0</v>
      </c>
      <c r="Z161" s="630"/>
      <c r="AA161" s="625">
        <f t="array" ref="AA161">IFERROR(INDEX('Malaria-Equipment &amp; Other HPs'!$U$64:$U$122,MATCH($E161&amp;$F161,'Malaria-Equipment &amp; Other HPs'!$E$64:$E$122&amp;'Malaria-Equipment &amp; Other HPs'!$I$64:$I$122,0)),0)</f>
        <v>0</v>
      </c>
      <c r="AB161" s="625">
        <f t="array" ref="AB161">IFERROR(INDEX('Malaria-Equipment &amp; Other HPs'!$V$64:$V$122,MATCH($E161&amp;$F161,'Malaria-Equipment &amp; Other HPs'!$E$64:$E$122&amp;'Malaria-Equipment &amp; Other HPs'!$I$64:$I$122,0)),0)</f>
        <v>0</v>
      </c>
      <c r="AC161" s="625">
        <f t="shared" si="156"/>
        <v>0</v>
      </c>
      <c r="AD161" s="626">
        <f t="shared" si="157"/>
        <v>0</v>
      </c>
      <c r="AE161" s="626">
        <f t="shared" si="158"/>
        <v>0</v>
      </c>
      <c r="AF161" s="625">
        <f t="array" ref="AF161">IFERROR(INDEX('Malaria-Equipment &amp; Other HPs'!$W$64:$W$122,MATCH($E161&amp;$F161,'Malaria-Equipment &amp; Other HPs'!$E$64:$E$122&amp;'Malaria-Equipment &amp; Other HPs'!$I$64:$I$122,0)),0)</f>
        <v>0</v>
      </c>
      <c r="AG161" s="625">
        <f t="shared" si="159"/>
        <v>0</v>
      </c>
      <c r="AH161" s="626">
        <f t="shared" si="160"/>
        <v>0</v>
      </c>
      <c r="AI161" s="626">
        <f t="shared" si="161"/>
        <v>0</v>
      </c>
      <c r="AJ161" s="625">
        <f t="array" ref="AJ161">IFERROR(INDEX('Malaria-Equipment &amp; Other HPs'!$X$64:$X$122,MATCH($E161&amp;$F161,'Malaria-Equipment &amp; Other HPs'!$E$64:$E$122&amp;'Malaria-Equipment &amp; Other HPs'!$I$64:$I$122,0)),0)</f>
        <v>0</v>
      </c>
      <c r="AK161" s="625">
        <f t="shared" si="162"/>
        <v>0</v>
      </c>
      <c r="AL161" s="626">
        <f t="shared" si="163"/>
        <v>0</v>
      </c>
      <c r="AM161" s="626">
        <f t="shared" si="164"/>
        <v>0</v>
      </c>
      <c r="AN161" s="625">
        <f t="array" ref="AN161">IFERROR(INDEX('Malaria-Equipment &amp; Other HPs'!$Y$64:$Y$122,MATCH($E161&amp;$F161,'Malaria-Equipment &amp; Other HPs'!$E$64:$E$122&amp;'Malaria-Equipment &amp; Other HPs'!$I$64:$I$122,0)),0)</f>
        <v>0</v>
      </c>
      <c r="AO161" s="625">
        <f t="shared" si="165"/>
        <v>0</v>
      </c>
      <c r="AP161" s="626">
        <f t="shared" si="166"/>
        <v>0</v>
      </c>
      <c r="AQ161" s="626">
        <f t="shared" si="167"/>
        <v>0</v>
      </c>
      <c r="AR161" s="630"/>
      <c r="AS161" s="625">
        <f t="array" ref="AS161">IFERROR(INDEX('Malaria-Equipment &amp; Other HPs'!$AB$64:$AB$122,MATCH($E161&amp;$F161,'Malaria-Equipment &amp; Other HPs'!$E$64:$E$122&amp;'Malaria-Equipment &amp; Other HPs'!$I$64:$I$122,0)),0)</f>
        <v>0</v>
      </c>
      <c r="AT161" s="625">
        <f t="array" ref="AT161">IFERROR(INDEX('Malaria-Equipment &amp; Other HPs'!$AC$64:$AC$122,MATCH($E161&amp;$F161,'Malaria-Equipment &amp; Other HPs'!$E$64:$E$122&amp;'Malaria-Equipment &amp; Other HPs'!$I$64:$I$122,0)),0)</f>
        <v>0</v>
      </c>
      <c r="AU161" s="625">
        <f t="shared" si="168"/>
        <v>0</v>
      </c>
      <c r="AV161" s="626">
        <f t="shared" si="169"/>
        <v>0</v>
      </c>
      <c r="AW161" s="626">
        <f t="shared" si="170"/>
        <v>0</v>
      </c>
      <c r="AX161" s="625">
        <f t="array" ref="AX161">IFERROR(INDEX('Malaria-Equipment &amp; Other HPs'!$AD$64:$AD$122,MATCH($E161&amp;$F161,'Malaria-Equipment &amp; Other HPs'!$E$64:$E$122&amp;'Malaria-Equipment &amp; Other HPs'!$I$64:$I$122,0)),0)</f>
        <v>0</v>
      </c>
      <c r="AY161" s="625">
        <f t="shared" si="171"/>
        <v>0</v>
      </c>
      <c r="AZ161" s="626">
        <f t="shared" si="172"/>
        <v>0</v>
      </c>
      <c r="BA161" s="626">
        <f t="shared" si="173"/>
        <v>0</v>
      </c>
      <c r="BB161" s="625">
        <f t="array" ref="BB161">IFERROR(INDEX('Malaria-Equipment &amp; Other HPs'!$AE$64:$AE$122,MATCH($E161&amp;$F161,'Malaria-Equipment &amp; Other HPs'!$E$64:$E$122&amp;'Malaria-Equipment &amp; Other HPs'!$I$64:$I$122,0)),0)</f>
        <v>0</v>
      </c>
      <c r="BC161" s="625">
        <f t="shared" si="174"/>
        <v>0</v>
      </c>
      <c r="BD161" s="626">
        <f t="shared" si="175"/>
        <v>0</v>
      </c>
      <c r="BE161" s="626">
        <f t="shared" si="176"/>
        <v>0</v>
      </c>
      <c r="BF161" s="625">
        <f t="array" ref="BF161">IFERROR(INDEX('Malaria-Equipment &amp; Other HPs'!$AF$64:$AF$122,MATCH($E161&amp;$F161,'Malaria-Equipment &amp; Other HPs'!$E$64:$E$122&amp;'Malaria-Equipment &amp; Other HPs'!$I$64:$I$122,0)),0)</f>
        <v>0</v>
      </c>
      <c r="BG161" s="625">
        <f t="shared" si="177"/>
        <v>0</v>
      </c>
      <c r="BH161" s="626">
        <f t="shared" si="178"/>
        <v>0</v>
      </c>
      <c r="BI161" s="626">
        <f t="shared" si="179"/>
        <v>0</v>
      </c>
      <c r="BJ161" s="630"/>
      <c r="BK161" s="625"/>
      <c r="BL161" s="625"/>
      <c r="BM161" s="625"/>
      <c r="BN161" s="625"/>
      <c r="BO161" s="625"/>
      <c r="BP161" s="625"/>
      <c r="BQ161" s="625"/>
      <c r="BR161" s="625"/>
      <c r="BT161" s="21" t="s">
        <v>6824</v>
      </c>
    </row>
    <row r="162" spans="1:72">
      <c r="A162" s="29" t="s">
        <v>62</v>
      </c>
      <c r="B162" s="29" t="s">
        <v>1549</v>
      </c>
      <c r="C162" s="626">
        <f>SETUP!$F$54</f>
        <v>0</v>
      </c>
      <c r="D162" s="25">
        <v>6.6</v>
      </c>
      <c r="E162" s="26" t="s">
        <v>1192</v>
      </c>
      <c r="F162" s="26" t="s">
        <v>1140</v>
      </c>
      <c r="G162" s="625" t="str">
        <f t="array" ref="G162">IFERROR(INDEX('Malaria-Equipment &amp; Other HPs'!$L$64:$L$122,MATCH($E162&amp;$F162,'Malaria-Equipment &amp; Other HPs'!$E$64:$E$122&amp;'Malaria-Equipment &amp; Other HPs'!$I$64:$I$122,0)),"")</f>
        <v/>
      </c>
      <c r="H162" s="625" t="str">
        <f t="array" ref="H162">IFERROR(INDEX('Malaria-Equipment &amp; Other HPs'!$M$64:$M$122,MATCH($E162&amp;$F162,'Malaria-Equipment &amp; Other HPs'!$E$64:$E$122&amp;'Malaria-Equipment &amp; Other HPs'!$I$64:$I$122,0)),"")</f>
        <v/>
      </c>
      <c r="I162" s="625">
        <f t="array" ref="I162">IFERROR(INDEX('Malaria-Equipment &amp; Other HPs'!$N$64:$N$122,MATCH($E162&amp;$F162,'Malaria-Equipment &amp; Other HPs'!$E$64:$E$122&amp;'Malaria-Equipment &amp; Other HPs'!$I$64:$I$122,0)),0)</f>
        <v>0</v>
      </c>
      <c r="J162" s="625">
        <f t="array" ref="J162">IFERROR(INDEX('Malaria-Equipment &amp; Other HPs'!$O$64:$O$122,MATCH($E162&amp;$F162,'Malaria-Equipment &amp; Other HPs'!$E$64:$E$122&amp;'Malaria-Equipment &amp; Other HPs'!$I$64:$I$122,0)),0)</f>
        <v>0</v>
      </c>
      <c r="K162" s="626">
        <f t="shared" si="144"/>
        <v>0</v>
      </c>
      <c r="L162" s="626">
        <f t="shared" si="145"/>
        <v>0</v>
      </c>
      <c r="M162" s="626">
        <f t="shared" si="146"/>
        <v>0</v>
      </c>
      <c r="N162" s="625">
        <f t="array" ref="N162">IFERROR(INDEX('Malaria-Equipment &amp; Other HPs'!$P$64:$P$122,MATCH($E162&amp;$F162,'Malaria-Equipment &amp; Other HPs'!$E$64:$E$122&amp;'Malaria-Equipment &amp; Other HPs'!$I$64:$I$122,0)),0)</f>
        <v>0</v>
      </c>
      <c r="O162" s="626">
        <f t="shared" si="147"/>
        <v>0</v>
      </c>
      <c r="P162" s="626">
        <f t="shared" si="148"/>
        <v>0</v>
      </c>
      <c r="Q162" s="626">
        <f t="shared" si="149"/>
        <v>0</v>
      </c>
      <c r="R162" s="625">
        <f t="array" ref="R162">IFERROR(INDEX('Malaria-Equipment &amp; Other HPs'!$Q$64:$Q$122,MATCH($E162&amp;$F162,'Malaria-Equipment &amp; Other HPs'!$E$64:$E$122&amp;'Malaria-Equipment &amp; Other HPs'!$I$64:$I$122,0)),0)</f>
        <v>0</v>
      </c>
      <c r="S162" s="626">
        <f t="shared" si="150"/>
        <v>0</v>
      </c>
      <c r="T162" s="626">
        <f t="shared" si="151"/>
        <v>0</v>
      </c>
      <c r="U162" s="626">
        <f t="shared" si="152"/>
        <v>0</v>
      </c>
      <c r="V162" s="625">
        <f t="array" ref="V162">IFERROR(INDEX('Malaria-Equipment &amp; Other HPs'!$R$64:$R$122,MATCH($E162&amp;$F162,'Malaria-Equipment &amp; Other HPs'!$E$64:$E$122&amp;'Malaria-Equipment &amp; Other HPs'!$I$64:$I$122,0)),0)</f>
        <v>0</v>
      </c>
      <c r="W162" s="626">
        <f t="shared" si="153"/>
        <v>0</v>
      </c>
      <c r="X162" s="626">
        <f t="shared" si="154"/>
        <v>0</v>
      </c>
      <c r="Y162" s="626">
        <f t="shared" si="155"/>
        <v>0</v>
      </c>
      <c r="Z162" s="630"/>
      <c r="AA162" s="625">
        <f t="array" ref="AA162">IFERROR(INDEX('Malaria-Equipment &amp; Other HPs'!$U$64:$U$122,MATCH($E162&amp;$F162,'Malaria-Equipment &amp; Other HPs'!$E$64:$E$122&amp;'Malaria-Equipment &amp; Other HPs'!$I$64:$I$122,0)),0)</f>
        <v>0</v>
      </c>
      <c r="AB162" s="625">
        <f t="array" ref="AB162">IFERROR(INDEX('Malaria-Equipment &amp; Other HPs'!$V$64:$V$122,MATCH($E162&amp;$F162,'Malaria-Equipment &amp; Other HPs'!$E$64:$E$122&amp;'Malaria-Equipment &amp; Other HPs'!$I$64:$I$122,0)),0)</f>
        <v>0</v>
      </c>
      <c r="AC162" s="625">
        <f t="shared" si="156"/>
        <v>0</v>
      </c>
      <c r="AD162" s="626">
        <f t="shared" si="157"/>
        <v>0</v>
      </c>
      <c r="AE162" s="626">
        <f t="shared" si="158"/>
        <v>0</v>
      </c>
      <c r="AF162" s="625">
        <f t="array" ref="AF162">IFERROR(INDEX('Malaria-Equipment &amp; Other HPs'!$W$64:$W$122,MATCH($E162&amp;$F162,'Malaria-Equipment &amp; Other HPs'!$E$64:$E$122&amp;'Malaria-Equipment &amp; Other HPs'!$I$64:$I$122,0)),0)</f>
        <v>0</v>
      </c>
      <c r="AG162" s="625">
        <f t="shared" si="159"/>
        <v>0</v>
      </c>
      <c r="AH162" s="626">
        <f t="shared" si="160"/>
        <v>0</v>
      </c>
      <c r="AI162" s="626">
        <f t="shared" si="161"/>
        <v>0</v>
      </c>
      <c r="AJ162" s="625">
        <f t="array" ref="AJ162">IFERROR(INDEX('Malaria-Equipment &amp; Other HPs'!$X$64:$X$122,MATCH($E162&amp;$F162,'Malaria-Equipment &amp; Other HPs'!$E$64:$E$122&amp;'Malaria-Equipment &amp; Other HPs'!$I$64:$I$122,0)),0)</f>
        <v>0</v>
      </c>
      <c r="AK162" s="625">
        <f t="shared" si="162"/>
        <v>0</v>
      </c>
      <c r="AL162" s="626">
        <f t="shared" si="163"/>
        <v>0</v>
      </c>
      <c r="AM162" s="626">
        <f t="shared" si="164"/>
        <v>0</v>
      </c>
      <c r="AN162" s="625">
        <f t="array" ref="AN162">IFERROR(INDEX('Malaria-Equipment &amp; Other HPs'!$Y$64:$Y$122,MATCH($E162&amp;$F162,'Malaria-Equipment &amp; Other HPs'!$E$64:$E$122&amp;'Malaria-Equipment &amp; Other HPs'!$I$64:$I$122,0)),0)</f>
        <v>0</v>
      </c>
      <c r="AO162" s="625">
        <f t="shared" si="165"/>
        <v>0</v>
      </c>
      <c r="AP162" s="626">
        <f t="shared" si="166"/>
        <v>0</v>
      </c>
      <c r="AQ162" s="626">
        <f t="shared" si="167"/>
        <v>0</v>
      </c>
      <c r="AR162" s="630"/>
      <c r="AS162" s="625">
        <f t="array" ref="AS162">IFERROR(INDEX('Malaria-Equipment &amp; Other HPs'!$AB$64:$AB$122,MATCH($E162&amp;$F162,'Malaria-Equipment &amp; Other HPs'!$E$64:$E$122&amp;'Malaria-Equipment &amp; Other HPs'!$I$64:$I$122,0)),0)</f>
        <v>0</v>
      </c>
      <c r="AT162" s="625">
        <f t="array" ref="AT162">IFERROR(INDEX('Malaria-Equipment &amp; Other HPs'!$AC$64:$AC$122,MATCH($E162&amp;$F162,'Malaria-Equipment &amp; Other HPs'!$E$64:$E$122&amp;'Malaria-Equipment &amp; Other HPs'!$I$64:$I$122,0)),0)</f>
        <v>0</v>
      </c>
      <c r="AU162" s="625">
        <f t="shared" si="168"/>
        <v>0</v>
      </c>
      <c r="AV162" s="626">
        <f t="shared" si="169"/>
        <v>0</v>
      </c>
      <c r="AW162" s="626">
        <f t="shared" si="170"/>
        <v>0</v>
      </c>
      <c r="AX162" s="625">
        <f t="array" ref="AX162">IFERROR(INDEX('Malaria-Equipment &amp; Other HPs'!$AD$64:$AD$122,MATCH($E162&amp;$F162,'Malaria-Equipment &amp; Other HPs'!$E$64:$E$122&amp;'Malaria-Equipment &amp; Other HPs'!$I$64:$I$122,0)),0)</f>
        <v>0</v>
      </c>
      <c r="AY162" s="625">
        <f t="shared" si="171"/>
        <v>0</v>
      </c>
      <c r="AZ162" s="626">
        <f t="shared" si="172"/>
        <v>0</v>
      </c>
      <c r="BA162" s="626">
        <f t="shared" si="173"/>
        <v>0</v>
      </c>
      <c r="BB162" s="625">
        <f t="array" ref="BB162">IFERROR(INDEX('Malaria-Equipment &amp; Other HPs'!$AE$64:$AE$122,MATCH($E162&amp;$F162,'Malaria-Equipment &amp; Other HPs'!$E$64:$E$122&amp;'Malaria-Equipment &amp; Other HPs'!$I$64:$I$122,0)),0)</f>
        <v>0</v>
      </c>
      <c r="BC162" s="625">
        <f t="shared" si="174"/>
        <v>0</v>
      </c>
      <c r="BD162" s="626">
        <f t="shared" si="175"/>
        <v>0</v>
      </c>
      <c r="BE162" s="626">
        <f t="shared" si="176"/>
        <v>0</v>
      </c>
      <c r="BF162" s="625">
        <f t="array" ref="BF162">IFERROR(INDEX('Malaria-Equipment &amp; Other HPs'!$AF$64:$AF$122,MATCH($E162&amp;$F162,'Malaria-Equipment &amp; Other HPs'!$E$64:$E$122&amp;'Malaria-Equipment &amp; Other HPs'!$I$64:$I$122,0)),0)</f>
        <v>0</v>
      </c>
      <c r="BG162" s="625">
        <f t="shared" si="177"/>
        <v>0</v>
      </c>
      <c r="BH162" s="626">
        <f t="shared" si="178"/>
        <v>0</v>
      </c>
      <c r="BI162" s="626">
        <f t="shared" si="179"/>
        <v>0</v>
      </c>
      <c r="BJ162" s="630"/>
      <c r="BK162" s="625"/>
      <c r="BL162" s="625"/>
      <c r="BM162" s="625"/>
      <c r="BN162" s="625"/>
      <c r="BO162" s="625"/>
      <c r="BP162" s="625"/>
      <c r="BQ162" s="625"/>
      <c r="BR162" s="625"/>
      <c r="BT162" s="21" t="s">
        <v>6825</v>
      </c>
    </row>
    <row r="163" spans="1:72">
      <c r="BT163" s="21" t="s">
        <v>857</v>
      </c>
    </row>
    <row r="164" spans="1:72">
      <c r="A164" s="2566" t="s">
        <v>1550</v>
      </c>
      <c r="B164" s="2566"/>
      <c r="C164" s="2566"/>
      <c r="D164" s="2566"/>
      <c r="E164" s="2566"/>
      <c r="F164" s="2566"/>
      <c r="G164" s="628"/>
      <c r="H164" s="628"/>
      <c r="I164" s="628"/>
      <c r="J164" s="628"/>
      <c r="K164" s="628"/>
      <c r="L164" s="628"/>
      <c r="M164" s="628"/>
      <c r="N164" s="628"/>
      <c r="O164" s="628"/>
      <c r="P164" s="628"/>
      <c r="Q164" s="628"/>
      <c r="R164" s="628"/>
      <c r="S164" s="628"/>
      <c r="T164" s="628"/>
      <c r="U164" s="628"/>
      <c r="V164" s="628"/>
      <c r="W164" s="628"/>
      <c r="X164" s="628"/>
      <c r="Y164" s="628"/>
      <c r="Z164" s="628"/>
      <c r="AA164" s="628"/>
      <c r="AB164" s="628"/>
      <c r="AC164" s="628"/>
      <c r="AD164" s="628"/>
      <c r="AE164" s="628"/>
      <c r="AF164" s="628"/>
      <c r="AG164" s="628"/>
      <c r="AH164" s="628"/>
      <c r="AI164" s="628"/>
      <c r="AJ164" s="628"/>
      <c r="AK164" s="628"/>
      <c r="AL164" s="628"/>
      <c r="AM164" s="628"/>
      <c r="AN164" s="628"/>
      <c r="AO164" s="628"/>
      <c r="AP164" s="628"/>
      <c r="AQ164" s="628"/>
      <c r="AR164" s="628"/>
      <c r="AS164" s="628"/>
      <c r="AT164" s="628"/>
      <c r="AU164" s="628"/>
      <c r="AV164" s="628"/>
      <c r="AW164" s="628"/>
      <c r="AX164" s="628"/>
      <c r="AY164" s="628"/>
      <c r="AZ164" s="628"/>
      <c r="BA164" s="628"/>
      <c r="BB164" s="628"/>
      <c r="BC164" s="628"/>
      <c r="BD164" s="628"/>
      <c r="BE164" s="628"/>
      <c r="BF164" s="628"/>
      <c r="BG164" s="628"/>
      <c r="BH164" s="628"/>
      <c r="BI164" s="628"/>
      <c r="BJ164" s="628"/>
      <c r="BK164" s="628"/>
      <c r="BL164" s="628"/>
      <c r="BM164" s="628"/>
      <c r="BN164" s="628"/>
      <c r="BO164" s="628"/>
      <c r="BP164" s="628"/>
      <c r="BQ164" s="628"/>
      <c r="BR164" s="628"/>
      <c r="BT164" s="21" t="s">
        <v>857</v>
      </c>
    </row>
    <row r="165" spans="1:72">
      <c r="A165" s="24" t="s">
        <v>1545</v>
      </c>
      <c r="B165" s="24" t="s">
        <v>203</v>
      </c>
      <c r="C165" s="672" t="s">
        <v>459</v>
      </c>
      <c r="D165" s="24" t="s">
        <v>460</v>
      </c>
      <c r="E165" s="24" t="s">
        <v>461</v>
      </c>
      <c r="F165" s="24" t="s">
        <v>214</v>
      </c>
      <c r="G165" s="672" t="s">
        <v>462</v>
      </c>
      <c r="H165" s="672" t="s">
        <v>49</v>
      </c>
      <c r="I165" s="672" t="s">
        <v>463</v>
      </c>
      <c r="J165" s="672" t="s">
        <v>464</v>
      </c>
      <c r="K165" s="672" t="s">
        <v>465</v>
      </c>
      <c r="L165" s="723" t="s">
        <v>466</v>
      </c>
      <c r="M165" s="723" t="s">
        <v>467</v>
      </c>
      <c r="N165" s="672" t="s">
        <v>468</v>
      </c>
      <c r="O165" s="672" t="s">
        <v>469</v>
      </c>
      <c r="P165" s="723" t="s">
        <v>470</v>
      </c>
      <c r="Q165" s="723" t="s">
        <v>471</v>
      </c>
      <c r="R165" s="672" t="s">
        <v>472</v>
      </c>
      <c r="S165" s="672" t="s">
        <v>473</v>
      </c>
      <c r="T165" s="723" t="s">
        <v>474</v>
      </c>
      <c r="U165" s="723" t="s">
        <v>475</v>
      </c>
      <c r="V165" s="672" t="s">
        <v>476</v>
      </c>
      <c r="W165" s="672" t="s">
        <v>477</v>
      </c>
      <c r="X165" s="723" t="s">
        <v>478</v>
      </c>
      <c r="Y165" s="723" t="s">
        <v>479</v>
      </c>
      <c r="Z165" s="632"/>
      <c r="AA165" s="672" t="s">
        <v>480</v>
      </c>
      <c r="AB165" s="672" t="s">
        <v>481</v>
      </c>
      <c r="AC165" s="672" t="s">
        <v>482</v>
      </c>
      <c r="AD165" s="723" t="s">
        <v>483</v>
      </c>
      <c r="AE165" s="723" t="s">
        <v>484</v>
      </c>
      <c r="AF165" s="672" t="s">
        <v>485</v>
      </c>
      <c r="AG165" s="672" t="s">
        <v>486</v>
      </c>
      <c r="AH165" s="723" t="s">
        <v>487</v>
      </c>
      <c r="AI165" s="723" t="s">
        <v>488</v>
      </c>
      <c r="AJ165" s="672" t="s">
        <v>489</v>
      </c>
      <c r="AK165" s="672" t="s">
        <v>490</v>
      </c>
      <c r="AL165" s="723" t="s">
        <v>491</v>
      </c>
      <c r="AM165" s="723" t="s">
        <v>492</v>
      </c>
      <c r="AN165" s="672" t="s">
        <v>493</v>
      </c>
      <c r="AO165" s="672" t="s">
        <v>494</v>
      </c>
      <c r="AP165" s="723" t="s">
        <v>495</v>
      </c>
      <c r="AQ165" s="723" t="s">
        <v>496</v>
      </c>
      <c r="AR165" s="632"/>
      <c r="AS165" s="672" t="s">
        <v>497</v>
      </c>
      <c r="AT165" s="672" t="s">
        <v>498</v>
      </c>
      <c r="AU165" s="672" t="s">
        <v>499</v>
      </c>
      <c r="AV165" s="723" t="s">
        <v>500</v>
      </c>
      <c r="AW165" s="723" t="s">
        <v>501</v>
      </c>
      <c r="AX165" s="672" t="s">
        <v>502</v>
      </c>
      <c r="AY165" s="672" t="s">
        <v>503</v>
      </c>
      <c r="AZ165" s="723" t="s">
        <v>504</v>
      </c>
      <c r="BA165" s="723" t="s">
        <v>505</v>
      </c>
      <c r="BB165" s="672" t="s">
        <v>506</v>
      </c>
      <c r="BC165" s="672" t="s">
        <v>507</v>
      </c>
      <c r="BD165" s="723" t="s">
        <v>508</v>
      </c>
      <c r="BE165" s="723" t="s">
        <v>509</v>
      </c>
      <c r="BF165" s="672" t="s">
        <v>510</v>
      </c>
      <c r="BG165" s="672" t="s">
        <v>511</v>
      </c>
      <c r="BH165" s="723" t="s">
        <v>512</v>
      </c>
      <c r="BI165" s="723" t="s">
        <v>513</v>
      </c>
      <c r="BJ165" s="632"/>
      <c r="BK165" s="723" t="s">
        <v>514</v>
      </c>
      <c r="BL165" s="723" t="s">
        <v>515</v>
      </c>
      <c r="BM165" s="723" t="s">
        <v>516</v>
      </c>
      <c r="BN165" s="723" t="s">
        <v>517</v>
      </c>
      <c r="BO165" s="723" t="s">
        <v>518</v>
      </c>
      <c r="BP165" s="723" t="s">
        <v>519</v>
      </c>
      <c r="BQ165" s="723" t="s">
        <v>520</v>
      </c>
      <c r="BR165" s="723" t="s">
        <v>521</v>
      </c>
      <c r="BT165" s="21" t="s">
        <v>6799</v>
      </c>
    </row>
    <row r="166" spans="1:72">
      <c r="A166" s="29" t="s">
        <v>1244</v>
      </c>
      <c r="B166" s="29" t="s">
        <v>1550</v>
      </c>
      <c r="C166" s="626">
        <f>SETUP!$F$58</f>
        <v>0</v>
      </c>
      <c r="D166" s="25">
        <v>5.6</v>
      </c>
      <c r="E166" s="26" t="s">
        <v>1243</v>
      </c>
      <c r="F166" s="26" t="s">
        <v>1140</v>
      </c>
      <c r="G166" s="26" t="str">
        <f t="array" ref="G166">IFERROR(INDEX('Malaria-Equipment &amp; Other HPs'!$L$130:$L$230,MATCH($E166&amp;$F166,'Malaria-Equipment &amp; Other HPs'!$E$130:$E$230&amp;'Malaria-Equipment &amp; Other HPs'!$H$130:$H$230,0)),"")</f>
        <v/>
      </c>
      <c r="H166" s="26" t="str">
        <f t="array" ref="H166">IFERROR(INDEX('Malaria-Equipment &amp; Other HPs'!$M$130:$M$230,MATCH($E166&amp;$F166,'Malaria-Equipment &amp; Other HPs'!$E$130:$E$230&amp;'Malaria-Equipment &amp; Other HPs'!$H$130:$H$230,0)),"")</f>
        <v/>
      </c>
      <c r="I166" s="26">
        <f t="array" ref="I166">IFERROR(INDEX('Malaria-Equipment &amp; Other HPs'!$N$130:$N$230,MATCH($E166&amp;$F166,'Malaria-Equipment &amp; Other HPs'!$E$130:$E$230&amp;'Malaria-Equipment &amp; Other HPs'!$H$130:$H$230,0)),0)</f>
        <v>0</v>
      </c>
      <c r="J166" s="26">
        <f t="array" ref="J166">IFERROR(INDEX('Malaria-Equipment &amp; Other HPs'!$O$130:$O$230,MATCH($E166&amp;$F166,'Malaria-Equipment &amp; Other HPs'!$E$130:$E$230&amp;'Malaria-Equipment &amp; Other HPs'!$H$130:$H$230,0)),0)</f>
        <v>0</v>
      </c>
      <c r="K166" s="25">
        <f t="shared" ref="K166:K197" si="180">IF(ISERROR($I166*J166),0,$I166*J166)</f>
        <v>0</v>
      </c>
      <c r="L166" s="25">
        <f t="shared" ref="L166:L197" si="181">IF(C166="Upfront",J166,0)</f>
        <v>0</v>
      </c>
      <c r="M166" s="25">
        <f t="shared" ref="M166:M197" si="182">IF(C166="Upfront",K166,0)</f>
        <v>0</v>
      </c>
      <c r="N166" s="26">
        <f t="array" ref="N166">IFERROR(INDEX('Malaria-Equipment &amp; Other HPs'!$P$130:$P$230,MATCH($E166&amp;$F166,'Malaria-Equipment &amp; Other HPs'!$E$130:$E$230&amp;'Malaria-Equipment &amp; Other HPs'!$H$130:$H$230,0)),0)</f>
        <v>0</v>
      </c>
      <c r="O166" s="25">
        <f t="shared" ref="O166:O197" si="183">IF(ISERROR($I166*N166),0,$I166*N166)</f>
        <v>0</v>
      </c>
      <c r="P166" s="25">
        <f t="shared" ref="P166:P197" si="184">IF(C166="Upfront",N166,0)</f>
        <v>0</v>
      </c>
      <c r="Q166" s="25">
        <f t="shared" ref="Q166:Q197" si="185">IF(C166="Upfront",O166,0)</f>
        <v>0</v>
      </c>
      <c r="R166" s="26">
        <f t="array" ref="R166">IFERROR(INDEX('Malaria-Equipment &amp; Other HPs'!$Q$130:$Q$230,MATCH($E166&amp;$F166,'Malaria-Equipment &amp; Other HPs'!$E$130:$E$230&amp;'Malaria-Equipment &amp; Other HPs'!$H$130:$H$230,0)),0)</f>
        <v>0</v>
      </c>
      <c r="S166" s="25">
        <f t="shared" ref="S166:S197" si="186">IF(ISERROR($I166*R166),0,$I166*R166)</f>
        <v>0</v>
      </c>
      <c r="T166" s="25">
        <f t="shared" ref="T166:T197" si="187">IF(C166="Upfront",R166,IF(C166="At delivery",J166,0))</f>
        <v>0</v>
      </c>
      <c r="U166" s="25">
        <f t="shared" ref="U166:U197" si="188">IF(C166="Upfront",S166,IF(C166="At delivery",K166,0))</f>
        <v>0</v>
      </c>
      <c r="V166" s="26">
        <f t="array" ref="V166">IFERROR(INDEX('Malaria-Equipment &amp; Other HPs'!$R$130:$R$230,MATCH($E166&amp;$F166,'Malaria-Equipment &amp; Other HPs'!$E$130:$E$230&amp;'Malaria-Equipment &amp; Other HPs'!$H$130:$H$230,0)),0)</f>
        <v>0</v>
      </c>
      <c r="W166" s="25">
        <f t="shared" ref="W166:W197" si="189">IF(ISERROR($I166*V166),0,$I166*V166)</f>
        <v>0</v>
      </c>
      <c r="X166" s="25">
        <f t="shared" ref="X166:X197" si="190">IF(C166="Upfront",V166,IF(C166="At delivery",N166,0))</f>
        <v>0</v>
      </c>
      <c r="Y166" s="25">
        <f t="shared" ref="Y166:Y197" si="191">IF(C166="Upfront",W166,IF(C166="At delivery",O166,0))</f>
        <v>0</v>
      </c>
      <c r="Z166" s="680"/>
      <c r="AA166" s="26">
        <f t="array" ref="AA166">IFERROR(INDEX('Malaria-Equipment &amp; Other HPs'!$U$130:$U$230,MATCH($E166&amp;$F166,'Malaria-Equipment &amp; Other HPs'!$E$130:$E$230&amp;'Malaria-Equipment &amp; Other HPs'!$H$130:$H$230,0)),0)</f>
        <v>0</v>
      </c>
      <c r="AB166" s="26">
        <f t="array" ref="AB166">IFERROR(INDEX('Malaria-Equipment &amp; Other HPs'!$V$130:$V$230,MATCH($E166&amp;$F166,'Malaria-Equipment &amp; Other HPs'!$E$130:$E$230&amp;'Malaria-Equipment &amp; Other HPs'!$H$130:$H$230,0)),0)</f>
        <v>0</v>
      </c>
      <c r="AC166" s="26">
        <f t="shared" ref="AC166:AC197" si="192">IF(ISERROR($AA166*AB166),0,$AA166*AB166)</f>
        <v>0</v>
      </c>
      <c r="AD166" s="25">
        <f t="shared" ref="AD166:AD197" si="193">IF(C166="Upfront",AB166,IF(C166="At delivery",R166,0))</f>
        <v>0</v>
      </c>
      <c r="AE166" s="25">
        <f t="shared" ref="AE166:AE197" si="194">IF(C166="Upfront",AC166,IF(C166="At delivery",S166,0))</f>
        <v>0</v>
      </c>
      <c r="AF166" s="26">
        <f t="array" ref="AF166">IFERROR(INDEX('Malaria-Equipment &amp; Other HPs'!$W$130:$W$230,MATCH($E166&amp;$F166,'Malaria-Equipment &amp; Other HPs'!$E$130:$E$230&amp;'Malaria-Equipment &amp; Other HPs'!$H$130:$H$230,0)),0)</f>
        <v>0</v>
      </c>
      <c r="AG166" s="26">
        <f t="shared" ref="AG166:AG197" si="195">IF(ISERROR($AA166*AF166),0,$AA166*AF166)</f>
        <v>0</v>
      </c>
      <c r="AH166" s="25">
        <f t="shared" ref="AH166:AH197" si="196">IF(C166="Upfront",AF166,IF(C166="At delivery",V166,0))</f>
        <v>0</v>
      </c>
      <c r="AI166" s="25">
        <f t="shared" ref="AI166:AI197" si="197">IF(C166="Upfront",AG166,IF(C166="At delivery",W166,0))</f>
        <v>0</v>
      </c>
      <c r="AJ166" s="26">
        <f t="array" ref="AJ166">IFERROR(INDEX('Malaria-Equipment &amp; Other HPs'!$X$130:$X$230,MATCH($E166&amp;$F166,'Malaria-Equipment &amp; Other HPs'!$E$130:$E$230&amp;'Malaria-Equipment &amp; Other HPs'!$H$130:$H$230,0)),0)</f>
        <v>0</v>
      </c>
      <c r="AK166" s="26">
        <f t="shared" ref="AK166:AK197" si="198">IF(ISERROR($AA166*AJ166),0,$AA166*AJ166)</f>
        <v>0</v>
      </c>
      <c r="AL166" s="25">
        <f t="shared" ref="AL166:AL197" si="199">IF(C166="Upfront",AJ166,IF(C166="At delivery",AB166,0))</f>
        <v>0</v>
      </c>
      <c r="AM166" s="25">
        <f t="shared" ref="AM166:AM197" si="200">IF(C166="Upfront",AK166,IF(C166="At delivery",AC166,0))</f>
        <v>0</v>
      </c>
      <c r="AN166" s="26">
        <f t="array" ref="AN166">IFERROR(INDEX('Malaria-Equipment &amp; Other HPs'!$Y$130:$Y$230,MATCH($E166&amp;$F166,'Malaria-Equipment &amp; Other HPs'!$E$130:$E$230&amp;'Malaria-Equipment &amp; Other HPs'!$H$130:$H$230,0)),0)</f>
        <v>0</v>
      </c>
      <c r="AO166" s="26">
        <f t="shared" ref="AO166:AO197" si="201">IF(ISERROR($AA166*AN166),0,$AA166*AN166)</f>
        <v>0</v>
      </c>
      <c r="AP166" s="25">
        <f t="shared" ref="AP166:AP197" si="202">IF(C166="Upfront",AN166,IF(C166="At delivery",AF166,0))</f>
        <v>0</v>
      </c>
      <c r="AQ166" s="25">
        <f t="shared" ref="AQ166:AQ197" si="203">IF(C166="Upfront",AO166,IF(C166="At delivery",AG166,0))</f>
        <v>0</v>
      </c>
      <c r="AR166" s="680"/>
      <c r="AS166" s="26">
        <f t="array" ref="AS166">IFERROR(INDEX('Malaria-Equipment &amp; Other HPs'!$AB$130:$AB$230,MATCH($E166&amp;$F166,'Malaria-Equipment &amp; Other HPs'!$E$130:$E$230&amp;'Malaria-Equipment &amp; Other HPs'!$H$130:$H$230,0)),0)</f>
        <v>0</v>
      </c>
      <c r="AT166" s="26">
        <f t="array" ref="AT166">IFERROR(INDEX('Malaria-Equipment &amp; Other HPs'!$AC$130:$AC$230,MATCH($E166&amp;$F166,'Malaria-Equipment &amp; Other HPs'!$E$130:$E$230&amp;'Malaria-Equipment &amp; Other HPs'!$H$130:$H$230,0)),0)</f>
        <v>0</v>
      </c>
      <c r="AU166" s="26">
        <f t="shared" ref="AU166:AU197" si="204">IF(ISERROR($AS166*AT166),0,$AS166*AT166)</f>
        <v>0</v>
      </c>
      <c r="AV166" s="25">
        <f t="shared" ref="AV166:AV197" si="205">IF(C166="Upfront",AT166,IF(C166="At delivery",AJ166,0))</f>
        <v>0</v>
      </c>
      <c r="AW166" s="25">
        <f t="shared" ref="AW166:AW197" si="206">IF(C166="Upfront",AU166,IF(C166="At delivery",AK166,0))</f>
        <v>0</v>
      </c>
      <c r="AX166" s="26">
        <f t="array" ref="AX166">IFERROR(INDEX('Malaria-Equipment &amp; Other HPs'!$AD$130:$AD$230,MATCH($E166&amp;$F166,'Malaria-Equipment &amp; Other HPs'!$E$130:$E$230&amp;'Malaria-Equipment &amp; Other HPs'!$H$130:$H$230,0)),0)</f>
        <v>0</v>
      </c>
      <c r="AY166" s="26">
        <f t="shared" ref="AY166:AY197" si="207">IF(ISERROR($AS166*AX166),0,$AS166*AX166)</f>
        <v>0</v>
      </c>
      <c r="AZ166" s="25">
        <f t="shared" ref="AZ166:AZ197" si="208">IF(C166="Upfront",AX166,IF(C166="At delivery",AN166,0))</f>
        <v>0</v>
      </c>
      <c r="BA166" s="25">
        <f t="shared" ref="BA166:BA197" si="209">IF(C166="Upfront",AY166,IF(C166="At delivery",AO166,0))</f>
        <v>0</v>
      </c>
      <c r="BB166" s="26">
        <f t="array" ref="BB166">IFERROR(INDEX('Malaria-Equipment &amp; Other HPs'!$AE$130:$AE$230,MATCH($E166&amp;$F166,'Malaria-Equipment &amp; Other HPs'!$E$130:$E$230&amp;'Malaria-Equipment &amp; Other HPs'!$H$130:$H$230,0)),0)</f>
        <v>0</v>
      </c>
      <c r="BC166" s="26">
        <f t="shared" ref="BC166:BC197" si="210">IF(ISERROR($AS166*BB166),0,$AS166*BB166)</f>
        <v>0</v>
      </c>
      <c r="BD166" s="25">
        <f t="shared" ref="BD166:BD197" si="211">IF(C166="Upfront",BB166,IF(C166="At delivery",AT166,0))</f>
        <v>0</v>
      </c>
      <c r="BE166" s="25">
        <f t="shared" ref="BE166:BE197" si="212">IF(C166="Upfront",BC166,IF(C166="At delivery",AU166,0))</f>
        <v>0</v>
      </c>
      <c r="BF166" s="26">
        <f t="array" ref="BF166">IFERROR(INDEX('Malaria-Equipment &amp; Other HPs'!$AF$130:$AF$230,MATCH($E166&amp;$F166,'Malaria-Equipment &amp; Other HPs'!$E$130:$E$230&amp;'Malaria-Equipment &amp; Other HPs'!$H$130:$H$230,0)),0)</f>
        <v>0</v>
      </c>
      <c r="BG166" s="26">
        <f t="shared" ref="BG166:BG197" si="213">IF(ISERROR($AS166*BF166),0,$AS166*BF166)</f>
        <v>0</v>
      </c>
      <c r="BH166" s="25">
        <f t="shared" ref="BH166:BH197" si="214">IF(C166="Upfront",BF166,IF(C166="At delivery",AX166,0))</f>
        <v>0</v>
      </c>
      <c r="BI166" s="25">
        <f t="shared" ref="BI166:BI197" si="215">IF(C166="Upfront",BG166,IF(C166="At delivery",AY166,0))</f>
        <v>0</v>
      </c>
      <c r="BJ166" s="680"/>
      <c r="BK166" s="26"/>
      <c r="BL166" s="26"/>
      <c r="BM166" s="26"/>
      <c r="BN166" s="26"/>
      <c r="BO166" s="26"/>
      <c r="BP166" s="26"/>
      <c r="BQ166" s="26"/>
      <c r="BR166" s="26"/>
      <c r="BT166" s="21" t="s">
        <v>6826</v>
      </c>
    </row>
    <row r="167" spans="1:72">
      <c r="A167" s="29" t="s">
        <v>1244</v>
      </c>
      <c r="B167" s="29" t="s">
        <v>1550</v>
      </c>
      <c r="C167" s="626">
        <f>SETUP!$F$58</f>
        <v>0</v>
      </c>
      <c r="D167" s="25">
        <v>5.6</v>
      </c>
      <c r="E167" s="26" t="s">
        <v>1222</v>
      </c>
      <c r="F167" s="26" t="s">
        <v>1140</v>
      </c>
      <c r="G167" s="26" t="str">
        <f t="array" ref="G167">IFERROR(INDEX('Malaria-Equipment &amp; Other HPs'!$L$130:$L$230,MATCH($E167&amp;$F167,'Malaria-Equipment &amp; Other HPs'!$E$130:$E$230&amp;'Malaria-Equipment &amp; Other HPs'!$H$130:$H$230,0)),"")</f>
        <v/>
      </c>
      <c r="H167" s="26" t="str">
        <f t="array" ref="H167">IFERROR(INDEX('Malaria-Equipment &amp; Other HPs'!$M$130:$M$230,MATCH($E167&amp;$F167,'Malaria-Equipment &amp; Other HPs'!$E$130:$E$230&amp;'Malaria-Equipment &amp; Other HPs'!$H$130:$H$230,0)),"")</f>
        <v/>
      </c>
      <c r="I167" s="26">
        <f t="array" ref="I167">IFERROR(INDEX('Malaria-Equipment &amp; Other HPs'!$N$130:$N$230,MATCH($E167&amp;$F167,'Malaria-Equipment &amp; Other HPs'!$E$130:$E$230&amp;'Malaria-Equipment &amp; Other HPs'!$H$130:$H$230,0)),0)</f>
        <v>0</v>
      </c>
      <c r="J167" s="26">
        <f t="array" ref="J167">IFERROR(INDEX('Malaria-Equipment &amp; Other HPs'!$O$130:$O$230,MATCH($E167&amp;$F167,'Malaria-Equipment &amp; Other HPs'!$E$130:$E$230&amp;'Malaria-Equipment &amp; Other HPs'!$H$130:$H$230,0)),0)</f>
        <v>0</v>
      </c>
      <c r="K167" s="25">
        <f t="shared" si="180"/>
        <v>0</v>
      </c>
      <c r="L167" s="25">
        <f t="shared" si="181"/>
        <v>0</v>
      </c>
      <c r="M167" s="25">
        <f t="shared" si="182"/>
        <v>0</v>
      </c>
      <c r="N167" s="26">
        <f t="array" ref="N167">IFERROR(INDEX('Malaria-Equipment &amp; Other HPs'!$P$130:$P$230,MATCH($E167&amp;$F167,'Malaria-Equipment &amp; Other HPs'!$E$130:$E$230&amp;'Malaria-Equipment &amp; Other HPs'!$H$130:$H$230,0)),0)</f>
        <v>0</v>
      </c>
      <c r="O167" s="25">
        <f t="shared" si="183"/>
        <v>0</v>
      </c>
      <c r="P167" s="25">
        <f t="shared" si="184"/>
        <v>0</v>
      </c>
      <c r="Q167" s="25">
        <f t="shared" si="185"/>
        <v>0</v>
      </c>
      <c r="R167" s="26">
        <f t="array" ref="R167">IFERROR(INDEX('Malaria-Equipment &amp; Other HPs'!$Q$130:$Q$230,MATCH($E167&amp;$F167,'Malaria-Equipment &amp; Other HPs'!$E$130:$E$230&amp;'Malaria-Equipment &amp; Other HPs'!$H$130:$H$230,0)),0)</f>
        <v>0</v>
      </c>
      <c r="S167" s="25">
        <f t="shared" si="186"/>
        <v>0</v>
      </c>
      <c r="T167" s="25">
        <f t="shared" si="187"/>
        <v>0</v>
      </c>
      <c r="U167" s="25">
        <f t="shared" si="188"/>
        <v>0</v>
      </c>
      <c r="V167" s="26">
        <f t="array" ref="V167">IFERROR(INDEX('Malaria-Equipment &amp; Other HPs'!$R$130:$R$230,MATCH($E167&amp;$F167,'Malaria-Equipment &amp; Other HPs'!$E$130:$E$230&amp;'Malaria-Equipment &amp; Other HPs'!$H$130:$H$230,0)),0)</f>
        <v>0</v>
      </c>
      <c r="W167" s="25">
        <f t="shared" si="189"/>
        <v>0</v>
      </c>
      <c r="X167" s="25">
        <f t="shared" si="190"/>
        <v>0</v>
      </c>
      <c r="Y167" s="25">
        <f t="shared" si="191"/>
        <v>0</v>
      </c>
      <c r="Z167" s="680"/>
      <c r="AA167" s="26">
        <f t="array" ref="AA167">IFERROR(INDEX('Malaria-Equipment &amp; Other HPs'!$U$130:$U$230,MATCH($E167&amp;$F167,'Malaria-Equipment &amp; Other HPs'!$E$130:$E$230&amp;'Malaria-Equipment &amp; Other HPs'!$H$130:$H$230,0)),0)</f>
        <v>0</v>
      </c>
      <c r="AB167" s="26">
        <f t="array" ref="AB167">IFERROR(INDEX('Malaria-Equipment &amp; Other HPs'!$V$130:$V$230,MATCH($E167&amp;$F167,'Malaria-Equipment &amp; Other HPs'!$E$130:$E$230&amp;'Malaria-Equipment &amp; Other HPs'!$H$130:$H$230,0)),0)</f>
        <v>0</v>
      </c>
      <c r="AC167" s="26">
        <f t="shared" si="192"/>
        <v>0</v>
      </c>
      <c r="AD167" s="25">
        <f t="shared" si="193"/>
        <v>0</v>
      </c>
      <c r="AE167" s="25">
        <f t="shared" si="194"/>
        <v>0</v>
      </c>
      <c r="AF167" s="26">
        <f t="array" ref="AF167">IFERROR(INDEX('Malaria-Equipment &amp; Other HPs'!$W$130:$W$230,MATCH($E167&amp;$F167,'Malaria-Equipment &amp; Other HPs'!$E$130:$E$230&amp;'Malaria-Equipment &amp; Other HPs'!$H$130:$H$230,0)),0)</f>
        <v>0</v>
      </c>
      <c r="AG167" s="26">
        <f t="shared" si="195"/>
        <v>0</v>
      </c>
      <c r="AH167" s="25">
        <f t="shared" si="196"/>
        <v>0</v>
      </c>
      <c r="AI167" s="25">
        <f t="shared" si="197"/>
        <v>0</v>
      </c>
      <c r="AJ167" s="26">
        <f t="array" ref="AJ167">IFERROR(INDEX('Malaria-Equipment &amp; Other HPs'!$X$130:$X$230,MATCH($E167&amp;$F167,'Malaria-Equipment &amp; Other HPs'!$E$130:$E$230&amp;'Malaria-Equipment &amp; Other HPs'!$H$130:$H$230,0)),0)</f>
        <v>0</v>
      </c>
      <c r="AK167" s="26">
        <f t="shared" si="198"/>
        <v>0</v>
      </c>
      <c r="AL167" s="25">
        <f t="shared" si="199"/>
        <v>0</v>
      </c>
      <c r="AM167" s="25">
        <f t="shared" si="200"/>
        <v>0</v>
      </c>
      <c r="AN167" s="26">
        <f t="array" ref="AN167">IFERROR(INDEX('Malaria-Equipment &amp; Other HPs'!$Y$130:$Y$230,MATCH($E167&amp;$F167,'Malaria-Equipment &amp; Other HPs'!$E$130:$E$230&amp;'Malaria-Equipment &amp; Other HPs'!$H$130:$H$230,0)),0)</f>
        <v>0</v>
      </c>
      <c r="AO167" s="26">
        <f t="shared" si="201"/>
        <v>0</v>
      </c>
      <c r="AP167" s="25">
        <f t="shared" si="202"/>
        <v>0</v>
      </c>
      <c r="AQ167" s="25">
        <f t="shared" si="203"/>
        <v>0</v>
      </c>
      <c r="AR167" s="680"/>
      <c r="AS167" s="26">
        <f t="array" ref="AS167">IFERROR(INDEX('Malaria-Equipment &amp; Other HPs'!$AB$130:$AB$230,MATCH($E167&amp;$F167,'Malaria-Equipment &amp; Other HPs'!$E$130:$E$230&amp;'Malaria-Equipment &amp; Other HPs'!$H$130:$H$230,0)),0)</f>
        <v>0</v>
      </c>
      <c r="AT167" s="26">
        <f t="array" ref="AT167">IFERROR(INDEX('Malaria-Equipment &amp; Other HPs'!$AC$130:$AC$230,MATCH($E167&amp;$F167,'Malaria-Equipment &amp; Other HPs'!$E$130:$E$230&amp;'Malaria-Equipment &amp; Other HPs'!$H$130:$H$230,0)),0)</f>
        <v>0</v>
      </c>
      <c r="AU167" s="26">
        <f t="shared" si="204"/>
        <v>0</v>
      </c>
      <c r="AV167" s="25">
        <f t="shared" si="205"/>
        <v>0</v>
      </c>
      <c r="AW167" s="25">
        <f t="shared" si="206"/>
        <v>0</v>
      </c>
      <c r="AX167" s="26">
        <f t="array" ref="AX167">IFERROR(INDEX('Malaria-Equipment &amp; Other HPs'!$AD$130:$AD$230,MATCH($E167&amp;$F167,'Malaria-Equipment &amp; Other HPs'!$E$130:$E$230&amp;'Malaria-Equipment &amp; Other HPs'!$H$130:$H$230,0)),0)</f>
        <v>0</v>
      </c>
      <c r="AY167" s="26">
        <f t="shared" si="207"/>
        <v>0</v>
      </c>
      <c r="AZ167" s="25">
        <f t="shared" si="208"/>
        <v>0</v>
      </c>
      <c r="BA167" s="25">
        <f t="shared" si="209"/>
        <v>0</v>
      </c>
      <c r="BB167" s="26">
        <f t="array" ref="BB167">IFERROR(INDEX('Malaria-Equipment &amp; Other HPs'!$AE$130:$AE$230,MATCH($E167&amp;$F167,'Malaria-Equipment &amp; Other HPs'!$E$130:$E$230&amp;'Malaria-Equipment &amp; Other HPs'!$H$130:$H$230,0)),0)</f>
        <v>0</v>
      </c>
      <c r="BC167" s="26">
        <f t="shared" si="210"/>
        <v>0</v>
      </c>
      <c r="BD167" s="25">
        <f t="shared" si="211"/>
        <v>0</v>
      </c>
      <c r="BE167" s="25">
        <f t="shared" si="212"/>
        <v>0</v>
      </c>
      <c r="BF167" s="26">
        <f t="array" ref="BF167">IFERROR(INDEX('Malaria-Equipment &amp; Other HPs'!$AF$130:$AF$230,MATCH($E167&amp;$F167,'Malaria-Equipment &amp; Other HPs'!$E$130:$E$230&amp;'Malaria-Equipment &amp; Other HPs'!$H$130:$H$230,0)),0)</f>
        <v>0</v>
      </c>
      <c r="BG167" s="26">
        <f t="shared" si="213"/>
        <v>0</v>
      </c>
      <c r="BH167" s="25">
        <f t="shared" si="214"/>
        <v>0</v>
      </c>
      <c r="BI167" s="25">
        <f t="shared" si="215"/>
        <v>0</v>
      </c>
      <c r="BJ167" s="680"/>
      <c r="BK167" s="26"/>
      <c r="BL167" s="26"/>
      <c r="BM167" s="26"/>
      <c r="BN167" s="26"/>
      <c r="BO167" s="26"/>
      <c r="BP167" s="26"/>
      <c r="BQ167" s="26"/>
      <c r="BR167" s="26"/>
      <c r="BT167" s="21" t="s">
        <v>6827</v>
      </c>
    </row>
    <row r="168" spans="1:72">
      <c r="A168" s="29" t="s">
        <v>1244</v>
      </c>
      <c r="B168" s="29" t="s">
        <v>1550</v>
      </c>
      <c r="C168" s="626">
        <f>SETUP!$F$58</f>
        <v>0</v>
      </c>
      <c r="D168" s="25">
        <v>5.6</v>
      </c>
      <c r="E168" s="26" t="s">
        <v>1223</v>
      </c>
      <c r="F168" s="26" t="s">
        <v>1140</v>
      </c>
      <c r="G168" s="26" t="str">
        <f t="array" ref="G168">IFERROR(INDEX('Malaria-Equipment &amp; Other HPs'!$L$130:$L$230,MATCH($E168&amp;$F168,'Malaria-Equipment &amp; Other HPs'!$E$130:$E$230&amp;'Malaria-Equipment &amp; Other HPs'!$H$130:$H$230,0)),"")</f>
        <v/>
      </c>
      <c r="H168" s="26" t="str">
        <f t="array" ref="H168">IFERROR(INDEX('Malaria-Equipment &amp; Other HPs'!$M$130:$M$230,MATCH($E168&amp;$F168,'Malaria-Equipment &amp; Other HPs'!$E$130:$E$230&amp;'Malaria-Equipment &amp; Other HPs'!$H$130:$H$230,0)),"")</f>
        <v/>
      </c>
      <c r="I168" s="26">
        <f t="array" ref="I168">IFERROR(INDEX('Malaria-Equipment &amp; Other HPs'!$N$130:$N$230,MATCH($E168&amp;$F168,'Malaria-Equipment &amp; Other HPs'!$E$130:$E$230&amp;'Malaria-Equipment &amp; Other HPs'!$H$130:$H$230,0)),0)</f>
        <v>0</v>
      </c>
      <c r="J168" s="26">
        <f t="array" ref="J168">IFERROR(INDEX('Malaria-Equipment &amp; Other HPs'!$O$130:$O$230,MATCH($E168&amp;$F168,'Malaria-Equipment &amp; Other HPs'!$E$130:$E$230&amp;'Malaria-Equipment &amp; Other HPs'!$H$130:$H$230,0)),0)</f>
        <v>0</v>
      </c>
      <c r="K168" s="25">
        <f t="shared" si="180"/>
        <v>0</v>
      </c>
      <c r="L168" s="25">
        <f t="shared" si="181"/>
        <v>0</v>
      </c>
      <c r="M168" s="25">
        <f t="shared" si="182"/>
        <v>0</v>
      </c>
      <c r="N168" s="26">
        <f t="array" ref="N168">IFERROR(INDEX('Malaria-Equipment &amp; Other HPs'!$P$130:$P$230,MATCH($E168&amp;$F168,'Malaria-Equipment &amp; Other HPs'!$E$130:$E$230&amp;'Malaria-Equipment &amp; Other HPs'!$H$130:$H$230,0)),0)</f>
        <v>0</v>
      </c>
      <c r="O168" s="25">
        <f t="shared" si="183"/>
        <v>0</v>
      </c>
      <c r="P168" s="25">
        <f t="shared" si="184"/>
        <v>0</v>
      </c>
      <c r="Q168" s="25">
        <f t="shared" si="185"/>
        <v>0</v>
      </c>
      <c r="R168" s="26">
        <f t="array" ref="R168">IFERROR(INDEX('Malaria-Equipment &amp; Other HPs'!$Q$130:$Q$230,MATCH($E168&amp;$F168,'Malaria-Equipment &amp; Other HPs'!$E$130:$E$230&amp;'Malaria-Equipment &amp; Other HPs'!$H$130:$H$230,0)),0)</f>
        <v>0</v>
      </c>
      <c r="S168" s="25">
        <f t="shared" si="186"/>
        <v>0</v>
      </c>
      <c r="T168" s="25">
        <f t="shared" si="187"/>
        <v>0</v>
      </c>
      <c r="U168" s="25">
        <f t="shared" si="188"/>
        <v>0</v>
      </c>
      <c r="V168" s="26">
        <f t="array" ref="V168">IFERROR(INDEX('Malaria-Equipment &amp; Other HPs'!$R$130:$R$230,MATCH($E168&amp;$F168,'Malaria-Equipment &amp; Other HPs'!$E$130:$E$230&amp;'Malaria-Equipment &amp; Other HPs'!$H$130:$H$230,0)),0)</f>
        <v>0</v>
      </c>
      <c r="W168" s="25">
        <f t="shared" si="189"/>
        <v>0</v>
      </c>
      <c r="X168" s="25">
        <f t="shared" si="190"/>
        <v>0</v>
      </c>
      <c r="Y168" s="25">
        <f t="shared" si="191"/>
        <v>0</v>
      </c>
      <c r="Z168" s="680"/>
      <c r="AA168" s="26">
        <f t="array" ref="AA168">IFERROR(INDEX('Malaria-Equipment &amp; Other HPs'!$U$130:$U$230,MATCH($E168&amp;$F168,'Malaria-Equipment &amp; Other HPs'!$E$130:$E$230&amp;'Malaria-Equipment &amp; Other HPs'!$H$130:$H$230,0)),0)</f>
        <v>0</v>
      </c>
      <c r="AB168" s="26">
        <f t="array" ref="AB168">IFERROR(INDEX('Malaria-Equipment &amp; Other HPs'!$V$130:$V$230,MATCH($E168&amp;$F168,'Malaria-Equipment &amp; Other HPs'!$E$130:$E$230&amp;'Malaria-Equipment &amp; Other HPs'!$H$130:$H$230,0)),0)</f>
        <v>0</v>
      </c>
      <c r="AC168" s="26">
        <f t="shared" si="192"/>
        <v>0</v>
      </c>
      <c r="AD168" s="25">
        <f t="shared" si="193"/>
        <v>0</v>
      </c>
      <c r="AE168" s="25">
        <f t="shared" si="194"/>
        <v>0</v>
      </c>
      <c r="AF168" s="26">
        <f t="array" ref="AF168">IFERROR(INDEX('Malaria-Equipment &amp; Other HPs'!$W$130:$W$230,MATCH($E168&amp;$F168,'Malaria-Equipment &amp; Other HPs'!$E$130:$E$230&amp;'Malaria-Equipment &amp; Other HPs'!$H$130:$H$230,0)),0)</f>
        <v>0</v>
      </c>
      <c r="AG168" s="26">
        <f t="shared" si="195"/>
        <v>0</v>
      </c>
      <c r="AH168" s="25">
        <f t="shared" si="196"/>
        <v>0</v>
      </c>
      <c r="AI168" s="25">
        <f t="shared" si="197"/>
        <v>0</v>
      </c>
      <c r="AJ168" s="26">
        <f t="array" ref="AJ168">IFERROR(INDEX('Malaria-Equipment &amp; Other HPs'!$X$130:$X$230,MATCH($E168&amp;$F168,'Malaria-Equipment &amp; Other HPs'!$E$130:$E$230&amp;'Malaria-Equipment &amp; Other HPs'!$H$130:$H$230,0)),0)</f>
        <v>0</v>
      </c>
      <c r="AK168" s="26">
        <f t="shared" si="198"/>
        <v>0</v>
      </c>
      <c r="AL168" s="25">
        <f t="shared" si="199"/>
        <v>0</v>
      </c>
      <c r="AM168" s="25">
        <f t="shared" si="200"/>
        <v>0</v>
      </c>
      <c r="AN168" s="26">
        <f t="array" ref="AN168">IFERROR(INDEX('Malaria-Equipment &amp; Other HPs'!$Y$130:$Y$230,MATCH($E168&amp;$F168,'Malaria-Equipment &amp; Other HPs'!$E$130:$E$230&amp;'Malaria-Equipment &amp; Other HPs'!$H$130:$H$230,0)),0)</f>
        <v>0</v>
      </c>
      <c r="AO168" s="26">
        <f t="shared" si="201"/>
        <v>0</v>
      </c>
      <c r="AP168" s="25">
        <f t="shared" si="202"/>
        <v>0</v>
      </c>
      <c r="AQ168" s="25">
        <f t="shared" si="203"/>
        <v>0</v>
      </c>
      <c r="AR168" s="680"/>
      <c r="AS168" s="26">
        <f t="array" ref="AS168">IFERROR(INDEX('Malaria-Equipment &amp; Other HPs'!$AB$130:$AB$230,MATCH($E168&amp;$F168,'Malaria-Equipment &amp; Other HPs'!$E$130:$E$230&amp;'Malaria-Equipment &amp; Other HPs'!$H$130:$H$230,0)),0)</f>
        <v>0</v>
      </c>
      <c r="AT168" s="26">
        <f t="array" ref="AT168">IFERROR(INDEX('Malaria-Equipment &amp; Other HPs'!$AC$130:$AC$230,MATCH($E168&amp;$F168,'Malaria-Equipment &amp; Other HPs'!$E$130:$E$230&amp;'Malaria-Equipment &amp; Other HPs'!$H$130:$H$230,0)),0)</f>
        <v>0</v>
      </c>
      <c r="AU168" s="26">
        <f t="shared" si="204"/>
        <v>0</v>
      </c>
      <c r="AV168" s="25">
        <f t="shared" si="205"/>
        <v>0</v>
      </c>
      <c r="AW168" s="25">
        <f t="shared" si="206"/>
        <v>0</v>
      </c>
      <c r="AX168" s="26">
        <f t="array" ref="AX168">IFERROR(INDEX('Malaria-Equipment &amp; Other HPs'!$AD$130:$AD$230,MATCH($E168&amp;$F168,'Malaria-Equipment &amp; Other HPs'!$E$130:$E$230&amp;'Malaria-Equipment &amp; Other HPs'!$H$130:$H$230,0)),0)</f>
        <v>0</v>
      </c>
      <c r="AY168" s="26">
        <f t="shared" si="207"/>
        <v>0</v>
      </c>
      <c r="AZ168" s="25">
        <f t="shared" si="208"/>
        <v>0</v>
      </c>
      <c r="BA168" s="25">
        <f t="shared" si="209"/>
        <v>0</v>
      </c>
      <c r="BB168" s="26">
        <f t="array" ref="BB168">IFERROR(INDEX('Malaria-Equipment &amp; Other HPs'!$AE$130:$AE$230,MATCH($E168&amp;$F168,'Malaria-Equipment &amp; Other HPs'!$E$130:$E$230&amp;'Malaria-Equipment &amp; Other HPs'!$H$130:$H$230,0)),0)</f>
        <v>0</v>
      </c>
      <c r="BC168" s="26">
        <f t="shared" si="210"/>
        <v>0</v>
      </c>
      <c r="BD168" s="25">
        <f t="shared" si="211"/>
        <v>0</v>
      </c>
      <c r="BE168" s="25">
        <f t="shared" si="212"/>
        <v>0</v>
      </c>
      <c r="BF168" s="26">
        <f t="array" ref="BF168">IFERROR(INDEX('Malaria-Equipment &amp; Other HPs'!$AF$130:$AF$230,MATCH($E168&amp;$F168,'Malaria-Equipment &amp; Other HPs'!$E$130:$E$230&amp;'Malaria-Equipment &amp; Other HPs'!$H$130:$H$230,0)),0)</f>
        <v>0</v>
      </c>
      <c r="BG168" s="26">
        <f t="shared" si="213"/>
        <v>0</v>
      </c>
      <c r="BH168" s="25">
        <f t="shared" si="214"/>
        <v>0</v>
      </c>
      <c r="BI168" s="25">
        <f t="shared" si="215"/>
        <v>0</v>
      </c>
      <c r="BJ168" s="680"/>
      <c r="BK168" s="26"/>
      <c r="BL168" s="26"/>
      <c r="BM168" s="26"/>
      <c r="BN168" s="26"/>
      <c r="BO168" s="26"/>
      <c r="BP168" s="26"/>
      <c r="BQ168" s="26"/>
      <c r="BR168" s="26"/>
      <c r="BT168" s="21" t="s">
        <v>6828</v>
      </c>
    </row>
    <row r="169" spans="1:72">
      <c r="A169" s="29" t="s">
        <v>1244</v>
      </c>
      <c r="B169" s="29" t="s">
        <v>1550</v>
      </c>
      <c r="C169" s="626">
        <f>SETUP!$F$58</f>
        <v>0</v>
      </c>
      <c r="D169" s="25">
        <v>5.6</v>
      </c>
      <c r="E169" s="26" t="s">
        <v>1224</v>
      </c>
      <c r="F169" s="26" t="s">
        <v>1140</v>
      </c>
      <c r="G169" s="26" t="str">
        <f t="array" ref="G169">IFERROR(INDEX('Malaria-Equipment &amp; Other HPs'!$L$130:$L$230,MATCH($E169&amp;$F169,'Malaria-Equipment &amp; Other HPs'!$E$130:$E$230&amp;'Malaria-Equipment &amp; Other HPs'!$H$130:$H$230,0)),"")</f>
        <v/>
      </c>
      <c r="H169" s="26" t="str">
        <f t="array" ref="H169">IFERROR(INDEX('Malaria-Equipment &amp; Other HPs'!$M$130:$M$230,MATCH($E169&amp;$F169,'Malaria-Equipment &amp; Other HPs'!$E$130:$E$230&amp;'Malaria-Equipment &amp; Other HPs'!$H$130:$H$230,0)),"")</f>
        <v/>
      </c>
      <c r="I169" s="26">
        <f t="array" ref="I169">IFERROR(INDEX('Malaria-Equipment &amp; Other HPs'!$N$130:$N$230,MATCH($E169&amp;$F169,'Malaria-Equipment &amp; Other HPs'!$E$130:$E$230&amp;'Malaria-Equipment &amp; Other HPs'!$H$130:$H$230,0)),0)</f>
        <v>0</v>
      </c>
      <c r="J169" s="26">
        <f t="array" ref="J169">IFERROR(INDEX('Malaria-Equipment &amp; Other HPs'!$O$130:$O$230,MATCH($E169&amp;$F169,'Malaria-Equipment &amp; Other HPs'!$E$130:$E$230&amp;'Malaria-Equipment &amp; Other HPs'!$H$130:$H$230,0)),0)</f>
        <v>0</v>
      </c>
      <c r="K169" s="25">
        <f t="shared" si="180"/>
        <v>0</v>
      </c>
      <c r="L169" s="25">
        <f t="shared" si="181"/>
        <v>0</v>
      </c>
      <c r="M169" s="25">
        <f t="shared" si="182"/>
        <v>0</v>
      </c>
      <c r="N169" s="26">
        <f t="array" ref="N169">IFERROR(INDEX('Malaria-Equipment &amp; Other HPs'!$P$130:$P$230,MATCH($E169&amp;$F169,'Malaria-Equipment &amp; Other HPs'!$E$130:$E$230&amp;'Malaria-Equipment &amp; Other HPs'!$H$130:$H$230,0)),0)</f>
        <v>0</v>
      </c>
      <c r="O169" s="25">
        <f t="shared" si="183"/>
        <v>0</v>
      </c>
      <c r="P169" s="25">
        <f t="shared" si="184"/>
        <v>0</v>
      </c>
      <c r="Q169" s="25">
        <f t="shared" si="185"/>
        <v>0</v>
      </c>
      <c r="R169" s="26">
        <f t="array" ref="R169">IFERROR(INDEX('Malaria-Equipment &amp; Other HPs'!$Q$130:$Q$230,MATCH($E169&amp;$F169,'Malaria-Equipment &amp; Other HPs'!$E$130:$E$230&amp;'Malaria-Equipment &amp; Other HPs'!$H$130:$H$230,0)),0)</f>
        <v>0</v>
      </c>
      <c r="S169" s="25">
        <f t="shared" si="186"/>
        <v>0</v>
      </c>
      <c r="T169" s="25">
        <f t="shared" si="187"/>
        <v>0</v>
      </c>
      <c r="U169" s="25">
        <f t="shared" si="188"/>
        <v>0</v>
      </c>
      <c r="V169" s="26">
        <f t="array" ref="V169">IFERROR(INDEX('Malaria-Equipment &amp; Other HPs'!$R$130:$R$230,MATCH($E169&amp;$F169,'Malaria-Equipment &amp; Other HPs'!$E$130:$E$230&amp;'Malaria-Equipment &amp; Other HPs'!$H$130:$H$230,0)),0)</f>
        <v>0</v>
      </c>
      <c r="W169" s="25">
        <f t="shared" si="189"/>
        <v>0</v>
      </c>
      <c r="X169" s="25">
        <f t="shared" si="190"/>
        <v>0</v>
      </c>
      <c r="Y169" s="25">
        <f t="shared" si="191"/>
        <v>0</v>
      </c>
      <c r="Z169" s="680"/>
      <c r="AA169" s="26">
        <f t="array" ref="AA169">IFERROR(INDEX('Malaria-Equipment &amp; Other HPs'!$U$130:$U$230,MATCH($E169&amp;$F169,'Malaria-Equipment &amp; Other HPs'!$E$130:$E$230&amp;'Malaria-Equipment &amp; Other HPs'!$H$130:$H$230,0)),0)</f>
        <v>0</v>
      </c>
      <c r="AB169" s="26">
        <f t="array" ref="AB169">IFERROR(INDEX('Malaria-Equipment &amp; Other HPs'!$V$130:$V$230,MATCH($E169&amp;$F169,'Malaria-Equipment &amp; Other HPs'!$E$130:$E$230&amp;'Malaria-Equipment &amp; Other HPs'!$H$130:$H$230,0)),0)</f>
        <v>0</v>
      </c>
      <c r="AC169" s="26">
        <f t="shared" si="192"/>
        <v>0</v>
      </c>
      <c r="AD169" s="25">
        <f t="shared" si="193"/>
        <v>0</v>
      </c>
      <c r="AE169" s="25">
        <f t="shared" si="194"/>
        <v>0</v>
      </c>
      <c r="AF169" s="26">
        <f t="array" ref="AF169">IFERROR(INDEX('Malaria-Equipment &amp; Other HPs'!$W$130:$W$230,MATCH($E169&amp;$F169,'Malaria-Equipment &amp; Other HPs'!$E$130:$E$230&amp;'Malaria-Equipment &amp; Other HPs'!$H$130:$H$230,0)),0)</f>
        <v>0</v>
      </c>
      <c r="AG169" s="26">
        <f t="shared" si="195"/>
        <v>0</v>
      </c>
      <c r="AH169" s="25">
        <f t="shared" si="196"/>
        <v>0</v>
      </c>
      <c r="AI169" s="25">
        <f t="shared" si="197"/>
        <v>0</v>
      </c>
      <c r="AJ169" s="26">
        <f t="array" ref="AJ169">IFERROR(INDEX('Malaria-Equipment &amp; Other HPs'!$X$130:$X$230,MATCH($E169&amp;$F169,'Malaria-Equipment &amp; Other HPs'!$E$130:$E$230&amp;'Malaria-Equipment &amp; Other HPs'!$H$130:$H$230,0)),0)</f>
        <v>0</v>
      </c>
      <c r="AK169" s="26">
        <f t="shared" si="198"/>
        <v>0</v>
      </c>
      <c r="AL169" s="25">
        <f t="shared" si="199"/>
        <v>0</v>
      </c>
      <c r="AM169" s="25">
        <f t="shared" si="200"/>
        <v>0</v>
      </c>
      <c r="AN169" s="26">
        <f t="array" ref="AN169">IFERROR(INDEX('Malaria-Equipment &amp; Other HPs'!$Y$130:$Y$230,MATCH($E169&amp;$F169,'Malaria-Equipment &amp; Other HPs'!$E$130:$E$230&amp;'Malaria-Equipment &amp; Other HPs'!$H$130:$H$230,0)),0)</f>
        <v>0</v>
      </c>
      <c r="AO169" s="26">
        <f t="shared" si="201"/>
        <v>0</v>
      </c>
      <c r="AP169" s="25">
        <f t="shared" si="202"/>
        <v>0</v>
      </c>
      <c r="AQ169" s="25">
        <f t="shared" si="203"/>
        <v>0</v>
      </c>
      <c r="AR169" s="680"/>
      <c r="AS169" s="26">
        <f t="array" ref="AS169">IFERROR(INDEX('Malaria-Equipment &amp; Other HPs'!$AB$130:$AB$230,MATCH($E169&amp;$F169,'Malaria-Equipment &amp; Other HPs'!$E$130:$E$230&amp;'Malaria-Equipment &amp; Other HPs'!$H$130:$H$230,0)),0)</f>
        <v>0</v>
      </c>
      <c r="AT169" s="26">
        <f t="array" ref="AT169">IFERROR(INDEX('Malaria-Equipment &amp; Other HPs'!$AC$130:$AC$230,MATCH($E169&amp;$F169,'Malaria-Equipment &amp; Other HPs'!$E$130:$E$230&amp;'Malaria-Equipment &amp; Other HPs'!$H$130:$H$230,0)),0)</f>
        <v>0</v>
      </c>
      <c r="AU169" s="26">
        <f t="shared" si="204"/>
        <v>0</v>
      </c>
      <c r="AV169" s="25">
        <f t="shared" si="205"/>
        <v>0</v>
      </c>
      <c r="AW169" s="25">
        <f t="shared" si="206"/>
        <v>0</v>
      </c>
      <c r="AX169" s="26">
        <f t="array" ref="AX169">IFERROR(INDEX('Malaria-Equipment &amp; Other HPs'!$AD$130:$AD$230,MATCH($E169&amp;$F169,'Malaria-Equipment &amp; Other HPs'!$E$130:$E$230&amp;'Malaria-Equipment &amp; Other HPs'!$H$130:$H$230,0)),0)</f>
        <v>0</v>
      </c>
      <c r="AY169" s="26">
        <f t="shared" si="207"/>
        <v>0</v>
      </c>
      <c r="AZ169" s="25">
        <f t="shared" si="208"/>
        <v>0</v>
      </c>
      <c r="BA169" s="25">
        <f t="shared" si="209"/>
        <v>0</v>
      </c>
      <c r="BB169" s="26">
        <f t="array" ref="BB169">IFERROR(INDEX('Malaria-Equipment &amp; Other HPs'!$AE$130:$AE$230,MATCH($E169&amp;$F169,'Malaria-Equipment &amp; Other HPs'!$E$130:$E$230&amp;'Malaria-Equipment &amp; Other HPs'!$H$130:$H$230,0)),0)</f>
        <v>0</v>
      </c>
      <c r="BC169" s="26">
        <f t="shared" si="210"/>
        <v>0</v>
      </c>
      <c r="BD169" s="25">
        <f t="shared" si="211"/>
        <v>0</v>
      </c>
      <c r="BE169" s="25">
        <f t="shared" si="212"/>
        <v>0</v>
      </c>
      <c r="BF169" s="26">
        <f t="array" ref="BF169">IFERROR(INDEX('Malaria-Equipment &amp; Other HPs'!$AF$130:$AF$230,MATCH($E169&amp;$F169,'Malaria-Equipment &amp; Other HPs'!$E$130:$E$230&amp;'Malaria-Equipment &amp; Other HPs'!$H$130:$H$230,0)),0)</f>
        <v>0</v>
      </c>
      <c r="BG169" s="26">
        <f t="shared" si="213"/>
        <v>0</v>
      </c>
      <c r="BH169" s="25">
        <f t="shared" si="214"/>
        <v>0</v>
      </c>
      <c r="BI169" s="25">
        <f t="shared" si="215"/>
        <v>0</v>
      </c>
      <c r="BJ169" s="680"/>
      <c r="BK169" s="26"/>
      <c r="BL169" s="26"/>
      <c r="BM169" s="26"/>
      <c r="BN169" s="26"/>
      <c r="BO169" s="26"/>
      <c r="BP169" s="26"/>
      <c r="BQ169" s="26"/>
      <c r="BR169" s="26"/>
      <c r="BT169" s="21" t="s">
        <v>6829</v>
      </c>
    </row>
    <row r="170" spans="1:72">
      <c r="A170" s="29" t="s">
        <v>1244</v>
      </c>
      <c r="B170" s="29" t="s">
        <v>1550</v>
      </c>
      <c r="C170" s="626">
        <f>SETUP!$F$58</f>
        <v>0</v>
      </c>
      <c r="D170" s="25">
        <v>5.6</v>
      </c>
      <c r="E170" s="26" t="s">
        <v>1225</v>
      </c>
      <c r="F170" s="26" t="s">
        <v>1140</v>
      </c>
      <c r="G170" s="26" t="str">
        <f t="array" ref="G170">IFERROR(INDEX('Malaria-Equipment &amp; Other HPs'!$L$130:$L$230,MATCH($E170&amp;$F170,'Malaria-Equipment &amp; Other HPs'!$E$130:$E$230&amp;'Malaria-Equipment &amp; Other HPs'!$H$130:$H$230,0)),"")</f>
        <v/>
      </c>
      <c r="H170" s="26" t="str">
        <f t="array" ref="H170">IFERROR(INDEX('Malaria-Equipment &amp; Other HPs'!$M$130:$M$230,MATCH($E170&amp;$F170,'Malaria-Equipment &amp; Other HPs'!$E$130:$E$230&amp;'Malaria-Equipment &amp; Other HPs'!$H$130:$H$230,0)),"")</f>
        <v/>
      </c>
      <c r="I170" s="26">
        <f t="array" ref="I170">IFERROR(INDEX('Malaria-Equipment &amp; Other HPs'!$N$130:$N$230,MATCH($E170&amp;$F170,'Malaria-Equipment &amp; Other HPs'!$E$130:$E$230&amp;'Malaria-Equipment &amp; Other HPs'!$H$130:$H$230,0)),0)</f>
        <v>0</v>
      </c>
      <c r="J170" s="26">
        <f t="array" ref="J170">IFERROR(INDEX('Malaria-Equipment &amp; Other HPs'!$O$130:$O$230,MATCH($E170&amp;$F170,'Malaria-Equipment &amp; Other HPs'!$E$130:$E$230&amp;'Malaria-Equipment &amp; Other HPs'!$H$130:$H$230,0)),0)</f>
        <v>0</v>
      </c>
      <c r="K170" s="25">
        <f t="shared" si="180"/>
        <v>0</v>
      </c>
      <c r="L170" s="25">
        <f t="shared" si="181"/>
        <v>0</v>
      </c>
      <c r="M170" s="25">
        <f t="shared" si="182"/>
        <v>0</v>
      </c>
      <c r="N170" s="26">
        <f t="array" ref="N170">IFERROR(INDEX('Malaria-Equipment &amp; Other HPs'!$P$130:$P$230,MATCH($E170&amp;$F170,'Malaria-Equipment &amp; Other HPs'!$E$130:$E$230&amp;'Malaria-Equipment &amp; Other HPs'!$H$130:$H$230,0)),0)</f>
        <v>0</v>
      </c>
      <c r="O170" s="25">
        <f t="shared" si="183"/>
        <v>0</v>
      </c>
      <c r="P170" s="25">
        <f t="shared" si="184"/>
        <v>0</v>
      </c>
      <c r="Q170" s="25">
        <f t="shared" si="185"/>
        <v>0</v>
      </c>
      <c r="R170" s="26">
        <f t="array" ref="R170">IFERROR(INDEX('Malaria-Equipment &amp; Other HPs'!$Q$130:$Q$230,MATCH($E170&amp;$F170,'Malaria-Equipment &amp; Other HPs'!$E$130:$E$230&amp;'Malaria-Equipment &amp; Other HPs'!$H$130:$H$230,0)),0)</f>
        <v>0</v>
      </c>
      <c r="S170" s="25">
        <f t="shared" si="186"/>
        <v>0</v>
      </c>
      <c r="T170" s="25">
        <f t="shared" si="187"/>
        <v>0</v>
      </c>
      <c r="U170" s="25">
        <f t="shared" si="188"/>
        <v>0</v>
      </c>
      <c r="V170" s="26">
        <f t="array" ref="V170">IFERROR(INDEX('Malaria-Equipment &amp; Other HPs'!$R$130:$R$230,MATCH($E170&amp;$F170,'Malaria-Equipment &amp; Other HPs'!$E$130:$E$230&amp;'Malaria-Equipment &amp; Other HPs'!$H$130:$H$230,0)),0)</f>
        <v>0</v>
      </c>
      <c r="W170" s="25">
        <f t="shared" si="189"/>
        <v>0</v>
      </c>
      <c r="X170" s="25">
        <f t="shared" si="190"/>
        <v>0</v>
      </c>
      <c r="Y170" s="25">
        <f t="shared" si="191"/>
        <v>0</v>
      </c>
      <c r="Z170" s="680"/>
      <c r="AA170" s="26">
        <f t="array" ref="AA170">IFERROR(INDEX('Malaria-Equipment &amp; Other HPs'!$U$130:$U$230,MATCH($E170&amp;$F170,'Malaria-Equipment &amp; Other HPs'!$E$130:$E$230&amp;'Malaria-Equipment &amp; Other HPs'!$H$130:$H$230,0)),0)</f>
        <v>0</v>
      </c>
      <c r="AB170" s="26">
        <f t="array" ref="AB170">IFERROR(INDEX('Malaria-Equipment &amp; Other HPs'!$V$130:$V$230,MATCH($E170&amp;$F170,'Malaria-Equipment &amp; Other HPs'!$E$130:$E$230&amp;'Malaria-Equipment &amp; Other HPs'!$H$130:$H$230,0)),0)</f>
        <v>0</v>
      </c>
      <c r="AC170" s="26">
        <f t="shared" si="192"/>
        <v>0</v>
      </c>
      <c r="AD170" s="25">
        <f t="shared" si="193"/>
        <v>0</v>
      </c>
      <c r="AE170" s="25">
        <f t="shared" si="194"/>
        <v>0</v>
      </c>
      <c r="AF170" s="26">
        <f t="array" ref="AF170">IFERROR(INDEX('Malaria-Equipment &amp; Other HPs'!$W$130:$W$230,MATCH($E170&amp;$F170,'Malaria-Equipment &amp; Other HPs'!$E$130:$E$230&amp;'Malaria-Equipment &amp; Other HPs'!$H$130:$H$230,0)),0)</f>
        <v>0</v>
      </c>
      <c r="AG170" s="26">
        <f t="shared" si="195"/>
        <v>0</v>
      </c>
      <c r="AH170" s="25">
        <f t="shared" si="196"/>
        <v>0</v>
      </c>
      <c r="AI170" s="25">
        <f t="shared" si="197"/>
        <v>0</v>
      </c>
      <c r="AJ170" s="26">
        <f t="array" ref="AJ170">IFERROR(INDEX('Malaria-Equipment &amp; Other HPs'!$X$130:$X$230,MATCH($E170&amp;$F170,'Malaria-Equipment &amp; Other HPs'!$E$130:$E$230&amp;'Malaria-Equipment &amp; Other HPs'!$H$130:$H$230,0)),0)</f>
        <v>0</v>
      </c>
      <c r="AK170" s="26">
        <f t="shared" si="198"/>
        <v>0</v>
      </c>
      <c r="AL170" s="25">
        <f t="shared" si="199"/>
        <v>0</v>
      </c>
      <c r="AM170" s="25">
        <f t="shared" si="200"/>
        <v>0</v>
      </c>
      <c r="AN170" s="26">
        <f t="array" ref="AN170">IFERROR(INDEX('Malaria-Equipment &amp; Other HPs'!$Y$130:$Y$230,MATCH($E170&amp;$F170,'Malaria-Equipment &amp; Other HPs'!$E$130:$E$230&amp;'Malaria-Equipment &amp; Other HPs'!$H$130:$H$230,0)),0)</f>
        <v>0</v>
      </c>
      <c r="AO170" s="26">
        <f t="shared" si="201"/>
        <v>0</v>
      </c>
      <c r="AP170" s="25">
        <f t="shared" si="202"/>
        <v>0</v>
      </c>
      <c r="AQ170" s="25">
        <f t="shared" si="203"/>
        <v>0</v>
      </c>
      <c r="AR170" s="680"/>
      <c r="AS170" s="26">
        <f t="array" ref="AS170">IFERROR(INDEX('Malaria-Equipment &amp; Other HPs'!$AB$130:$AB$230,MATCH($E170&amp;$F170,'Malaria-Equipment &amp; Other HPs'!$E$130:$E$230&amp;'Malaria-Equipment &amp; Other HPs'!$H$130:$H$230,0)),0)</f>
        <v>0</v>
      </c>
      <c r="AT170" s="26">
        <f t="array" ref="AT170">IFERROR(INDEX('Malaria-Equipment &amp; Other HPs'!$AC$130:$AC$230,MATCH($E170&amp;$F170,'Malaria-Equipment &amp; Other HPs'!$E$130:$E$230&amp;'Malaria-Equipment &amp; Other HPs'!$H$130:$H$230,0)),0)</f>
        <v>0</v>
      </c>
      <c r="AU170" s="26">
        <f t="shared" si="204"/>
        <v>0</v>
      </c>
      <c r="AV170" s="25">
        <f t="shared" si="205"/>
        <v>0</v>
      </c>
      <c r="AW170" s="25">
        <f t="shared" si="206"/>
        <v>0</v>
      </c>
      <c r="AX170" s="26">
        <f t="array" ref="AX170">IFERROR(INDEX('Malaria-Equipment &amp; Other HPs'!$AD$130:$AD$230,MATCH($E170&amp;$F170,'Malaria-Equipment &amp; Other HPs'!$E$130:$E$230&amp;'Malaria-Equipment &amp; Other HPs'!$H$130:$H$230,0)),0)</f>
        <v>0</v>
      </c>
      <c r="AY170" s="26">
        <f t="shared" si="207"/>
        <v>0</v>
      </c>
      <c r="AZ170" s="25">
        <f t="shared" si="208"/>
        <v>0</v>
      </c>
      <c r="BA170" s="25">
        <f t="shared" si="209"/>
        <v>0</v>
      </c>
      <c r="BB170" s="26">
        <f t="array" ref="BB170">IFERROR(INDEX('Malaria-Equipment &amp; Other HPs'!$AE$130:$AE$230,MATCH($E170&amp;$F170,'Malaria-Equipment &amp; Other HPs'!$E$130:$E$230&amp;'Malaria-Equipment &amp; Other HPs'!$H$130:$H$230,0)),0)</f>
        <v>0</v>
      </c>
      <c r="BC170" s="26">
        <f t="shared" si="210"/>
        <v>0</v>
      </c>
      <c r="BD170" s="25">
        <f t="shared" si="211"/>
        <v>0</v>
      </c>
      <c r="BE170" s="25">
        <f t="shared" si="212"/>
        <v>0</v>
      </c>
      <c r="BF170" s="26">
        <f t="array" ref="BF170">IFERROR(INDEX('Malaria-Equipment &amp; Other HPs'!$AF$130:$AF$230,MATCH($E170&amp;$F170,'Malaria-Equipment &amp; Other HPs'!$E$130:$E$230&amp;'Malaria-Equipment &amp; Other HPs'!$H$130:$H$230,0)),0)</f>
        <v>0</v>
      </c>
      <c r="BG170" s="26">
        <f t="shared" si="213"/>
        <v>0</v>
      </c>
      <c r="BH170" s="25">
        <f t="shared" si="214"/>
        <v>0</v>
      </c>
      <c r="BI170" s="25">
        <f t="shared" si="215"/>
        <v>0</v>
      </c>
      <c r="BJ170" s="680"/>
      <c r="BK170" s="26"/>
      <c r="BL170" s="26"/>
      <c r="BM170" s="26"/>
      <c r="BN170" s="26"/>
      <c r="BO170" s="26"/>
      <c r="BP170" s="26"/>
      <c r="BQ170" s="26"/>
      <c r="BR170" s="26"/>
      <c r="BT170" s="21" t="s">
        <v>6830</v>
      </c>
    </row>
    <row r="171" spans="1:72">
      <c r="A171" s="29" t="s">
        <v>1244</v>
      </c>
      <c r="B171" s="29" t="s">
        <v>1550</v>
      </c>
      <c r="C171" s="626">
        <f>SETUP!$F$58</f>
        <v>0</v>
      </c>
      <c r="D171" s="25">
        <v>5.6</v>
      </c>
      <c r="E171" s="26" t="s">
        <v>1227</v>
      </c>
      <c r="F171" s="26" t="s">
        <v>1140</v>
      </c>
      <c r="G171" s="26" t="str">
        <f t="array" ref="G171">IFERROR(INDEX('Malaria-Equipment &amp; Other HPs'!$L$130:$L$230,MATCH($E171&amp;$F171,'Malaria-Equipment &amp; Other HPs'!$E$130:$E$230&amp;'Malaria-Equipment &amp; Other HPs'!$H$130:$H$230,0)),"")</f>
        <v/>
      </c>
      <c r="H171" s="26" t="str">
        <f t="array" ref="H171">IFERROR(INDEX('Malaria-Equipment &amp; Other HPs'!$M$130:$M$230,MATCH($E171&amp;$F171,'Malaria-Equipment &amp; Other HPs'!$E$130:$E$230&amp;'Malaria-Equipment &amp; Other HPs'!$H$130:$H$230,0)),"")</f>
        <v/>
      </c>
      <c r="I171" s="26">
        <f t="array" ref="I171">IFERROR(INDEX('Malaria-Equipment &amp; Other HPs'!$N$130:$N$230,MATCH($E171&amp;$F171,'Malaria-Equipment &amp; Other HPs'!$E$130:$E$230&amp;'Malaria-Equipment &amp; Other HPs'!$H$130:$H$230,0)),0)</f>
        <v>0</v>
      </c>
      <c r="J171" s="26">
        <f t="array" ref="J171">IFERROR(INDEX('Malaria-Equipment &amp; Other HPs'!$O$130:$O$230,MATCH($E171&amp;$F171,'Malaria-Equipment &amp; Other HPs'!$E$130:$E$230&amp;'Malaria-Equipment &amp; Other HPs'!$H$130:$H$230,0)),0)</f>
        <v>0</v>
      </c>
      <c r="K171" s="25">
        <f t="shared" si="180"/>
        <v>0</v>
      </c>
      <c r="L171" s="25">
        <f t="shared" si="181"/>
        <v>0</v>
      </c>
      <c r="M171" s="25">
        <f t="shared" si="182"/>
        <v>0</v>
      </c>
      <c r="N171" s="26">
        <f t="array" ref="N171">IFERROR(INDEX('Malaria-Equipment &amp; Other HPs'!$P$130:$P$230,MATCH($E171&amp;$F171,'Malaria-Equipment &amp; Other HPs'!$E$130:$E$230&amp;'Malaria-Equipment &amp; Other HPs'!$H$130:$H$230,0)),0)</f>
        <v>0</v>
      </c>
      <c r="O171" s="25">
        <f t="shared" si="183"/>
        <v>0</v>
      </c>
      <c r="P171" s="25">
        <f t="shared" si="184"/>
        <v>0</v>
      </c>
      <c r="Q171" s="25">
        <f t="shared" si="185"/>
        <v>0</v>
      </c>
      <c r="R171" s="26">
        <f t="array" ref="R171">IFERROR(INDEX('Malaria-Equipment &amp; Other HPs'!$Q$130:$Q$230,MATCH($E171&amp;$F171,'Malaria-Equipment &amp; Other HPs'!$E$130:$E$230&amp;'Malaria-Equipment &amp; Other HPs'!$H$130:$H$230,0)),0)</f>
        <v>0</v>
      </c>
      <c r="S171" s="25">
        <f t="shared" si="186"/>
        <v>0</v>
      </c>
      <c r="T171" s="25">
        <f t="shared" si="187"/>
        <v>0</v>
      </c>
      <c r="U171" s="25">
        <f t="shared" si="188"/>
        <v>0</v>
      </c>
      <c r="V171" s="26">
        <f t="array" ref="V171">IFERROR(INDEX('Malaria-Equipment &amp; Other HPs'!$R$130:$R$230,MATCH($E171&amp;$F171,'Malaria-Equipment &amp; Other HPs'!$E$130:$E$230&amp;'Malaria-Equipment &amp; Other HPs'!$H$130:$H$230,0)),0)</f>
        <v>0</v>
      </c>
      <c r="W171" s="25">
        <f t="shared" si="189"/>
        <v>0</v>
      </c>
      <c r="X171" s="25">
        <f t="shared" si="190"/>
        <v>0</v>
      </c>
      <c r="Y171" s="25">
        <f t="shared" si="191"/>
        <v>0</v>
      </c>
      <c r="Z171" s="680"/>
      <c r="AA171" s="26">
        <f t="array" ref="AA171">IFERROR(INDEX('Malaria-Equipment &amp; Other HPs'!$U$130:$U$230,MATCH($E171&amp;$F171,'Malaria-Equipment &amp; Other HPs'!$E$130:$E$230&amp;'Malaria-Equipment &amp; Other HPs'!$H$130:$H$230,0)),0)</f>
        <v>0</v>
      </c>
      <c r="AB171" s="26">
        <f t="array" ref="AB171">IFERROR(INDEX('Malaria-Equipment &amp; Other HPs'!$V$130:$V$230,MATCH($E171&amp;$F171,'Malaria-Equipment &amp; Other HPs'!$E$130:$E$230&amp;'Malaria-Equipment &amp; Other HPs'!$H$130:$H$230,0)),0)</f>
        <v>0</v>
      </c>
      <c r="AC171" s="26">
        <f t="shared" si="192"/>
        <v>0</v>
      </c>
      <c r="AD171" s="25">
        <f t="shared" si="193"/>
        <v>0</v>
      </c>
      <c r="AE171" s="25">
        <f t="shared" si="194"/>
        <v>0</v>
      </c>
      <c r="AF171" s="26">
        <f t="array" ref="AF171">IFERROR(INDEX('Malaria-Equipment &amp; Other HPs'!$W$130:$W$230,MATCH($E171&amp;$F171,'Malaria-Equipment &amp; Other HPs'!$E$130:$E$230&amp;'Malaria-Equipment &amp; Other HPs'!$H$130:$H$230,0)),0)</f>
        <v>0</v>
      </c>
      <c r="AG171" s="26">
        <f t="shared" si="195"/>
        <v>0</v>
      </c>
      <c r="AH171" s="25">
        <f t="shared" si="196"/>
        <v>0</v>
      </c>
      <c r="AI171" s="25">
        <f t="shared" si="197"/>
        <v>0</v>
      </c>
      <c r="AJ171" s="26">
        <f t="array" ref="AJ171">IFERROR(INDEX('Malaria-Equipment &amp; Other HPs'!$X$130:$X$230,MATCH($E171&amp;$F171,'Malaria-Equipment &amp; Other HPs'!$E$130:$E$230&amp;'Malaria-Equipment &amp; Other HPs'!$H$130:$H$230,0)),0)</f>
        <v>0</v>
      </c>
      <c r="AK171" s="26">
        <f t="shared" si="198"/>
        <v>0</v>
      </c>
      <c r="AL171" s="25">
        <f t="shared" si="199"/>
        <v>0</v>
      </c>
      <c r="AM171" s="25">
        <f t="shared" si="200"/>
        <v>0</v>
      </c>
      <c r="AN171" s="26">
        <f t="array" ref="AN171">IFERROR(INDEX('Malaria-Equipment &amp; Other HPs'!$Y$130:$Y$230,MATCH($E171&amp;$F171,'Malaria-Equipment &amp; Other HPs'!$E$130:$E$230&amp;'Malaria-Equipment &amp; Other HPs'!$H$130:$H$230,0)),0)</f>
        <v>0</v>
      </c>
      <c r="AO171" s="26">
        <f t="shared" si="201"/>
        <v>0</v>
      </c>
      <c r="AP171" s="25">
        <f t="shared" si="202"/>
        <v>0</v>
      </c>
      <c r="AQ171" s="25">
        <f t="shared" si="203"/>
        <v>0</v>
      </c>
      <c r="AR171" s="680"/>
      <c r="AS171" s="26">
        <f t="array" ref="AS171">IFERROR(INDEX('Malaria-Equipment &amp; Other HPs'!$AB$130:$AB$230,MATCH($E171&amp;$F171,'Malaria-Equipment &amp; Other HPs'!$E$130:$E$230&amp;'Malaria-Equipment &amp; Other HPs'!$H$130:$H$230,0)),0)</f>
        <v>0</v>
      </c>
      <c r="AT171" s="26">
        <f t="array" ref="AT171">IFERROR(INDEX('Malaria-Equipment &amp; Other HPs'!$AC$130:$AC$230,MATCH($E171&amp;$F171,'Malaria-Equipment &amp; Other HPs'!$E$130:$E$230&amp;'Malaria-Equipment &amp; Other HPs'!$H$130:$H$230,0)),0)</f>
        <v>0</v>
      </c>
      <c r="AU171" s="26">
        <f t="shared" si="204"/>
        <v>0</v>
      </c>
      <c r="AV171" s="25">
        <f t="shared" si="205"/>
        <v>0</v>
      </c>
      <c r="AW171" s="25">
        <f t="shared" si="206"/>
        <v>0</v>
      </c>
      <c r="AX171" s="26">
        <f t="array" ref="AX171">IFERROR(INDEX('Malaria-Equipment &amp; Other HPs'!$AD$130:$AD$230,MATCH($E171&amp;$F171,'Malaria-Equipment &amp; Other HPs'!$E$130:$E$230&amp;'Malaria-Equipment &amp; Other HPs'!$H$130:$H$230,0)),0)</f>
        <v>0</v>
      </c>
      <c r="AY171" s="26">
        <f t="shared" si="207"/>
        <v>0</v>
      </c>
      <c r="AZ171" s="25">
        <f t="shared" si="208"/>
        <v>0</v>
      </c>
      <c r="BA171" s="25">
        <f t="shared" si="209"/>
        <v>0</v>
      </c>
      <c r="BB171" s="26">
        <f t="array" ref="BB171">IFERROR(INDEX('Malaria-Equipment &amp; Other HPs'!$AE$130:$AE$230,MATCH($E171&amp;$F171,'Malaria-Equipment &amp; Other HPs'!$E$130:$E$230&amp;'Malaria-Equipment &amp; Other HPs'!$H$130:$H$230,0)),0)</f>
        <v>0</v>
      </c>
      <c r="BC171" s="26">
        <f t="shared" si="210"/>
        <v>0</v>
      </c>
      <c r="BD171" s="25">
        <f t="shared" si="211"/>
        <v>0</v>
      </c>
      <c r="BE171" s="25">
        <f t="shared" si="212"/>
        <v>0</v>
      </c>
      <c r="BF171" s="26">
        <f t="array" ref="BF171">IFERROR(INDEX('Malaria-Equipment &amp; Other HPs'!$AF$130:$AF$230,MATCH($E171&amp;$F171,'Malaria-Equipment &amp; Other HPs'!$E$130:$E$230&amp;'Malaria-Equipment &amp; Other HPs'!$H$130:$H$230,0)),0)</f>
        <v>0</v>
      </c>
      <c r="BG171" s="26">
        <f t="shared" si="213"/>
        <v>0</v>
      </c>
      <c r="BH171" s="25">
        <f t="shared" si="214"/>
        <v>0</v>
      </c>
      <c r="BI171" s="25">
        <f t="shared" si="215"/>
        <v>0</v>
      </c>
      <c r="BJ171" s="680"/>
      <c r="BK171" s="26"/>
      <c r="BL171" s="26"/>
      <c r="BM171" s="26"/>
      <c r="BN171" s="26"/>
      <c r="BO171" s="26"/>
      <c r="BP171" s="26"/>
      <c r="BQ171" s="26"/>
      <c r="BR171" s="26"/>
      <c r="BT171" s="21" t="s">
        <v>6831</v>
      </c>
    </row>
    <row r="172" spans="1:72">
      <c r="A172" s="29" t="s">
        <v>537</v>
      </c>
      <c r="B172" s="29" t="s">
        <v>1550</v>
      </c>
      <c r="C172" s="626">
        <f>SETUP!$F$57</f>
        <v>0</v>
      </c>
      <c r="D172" s="25">
        <v>5.7</v>
      </c>
      <c r="E172" s="26" t="s">
        <v>944</v>
      </c>
      <c r="F172" s="26" t="s">
        <v>1140</v>
      </c>
      <c r="G172" s="26" t="str">
        <f t="array" ref="G172">IFERROR(INDEX('Malaria-Equipment &amp; Other HPs'!$L$130:$L$230,MATCH($E172&amp;$F172,'Malaria-Equipment &amp; Other HPs'!$E$130:$E$230&amp;'Malaria-Equipment &amp; Other HPs'!$H$130:$H$230,0)),"")</f>
        <v/>
      </c>
      <c r="H172" s="26" t="str">
        <f t="array" ref="H172">IFERROR(INDEX('Malaria-Equipment &amp; Other HPs'!$M$130:$M$230,MATCH($E172&amp;$F172,'Malaria-Equipment &amp; Other HPs'!$E$130:$E$230&amp;'Malaria-Equipment &amp; Other HPs'!$H$130:$H$230,0)),"")</f>
        <v/>
      </c>
      <c r="I172" s="26">
        <f t="array" ref="I172">IFERROR(INDEX('Malaria-Equipment &amp; Other HPs'!$N$130:$N$230,MATCH($E172&amp;$F172,'Malaria-Equipment &amp; Other HPs'!$E$130:$E$230&amp;'Malaria-Equipment &amp; Other HPs'!$H$130:$H$230,0)),0)</f>
        <v>0</v>
      </c>
      <c r="J172" s="26">
        <f t="array" ref="J172">IFERROR(INDEX('Malaria-Equipment &amp; Other HPs'!$O$130:$O$230,MATCH($E172&amp;$F172,'Malaria-Equipment &amp; Other HPs'!$E$130:$E$230&amp;'Malaria-Equipment &amp; Other HPs'!$H$130:$H$230,0)),0)</f>
        <v>0</v>
      </c>
      <c r="K172" s="25">
        <f t="shared" si="180"/>
        <v>0</v>
      </c>
      <c r="L172" s="25">
        <f t="shared" si="181"/>
        <v>0</v>
      </c>
      <c r="M172" s="25">
        <f t="shared" si="182"/>
        <v>0</v>
      </c>
      <c r="N172" s="26">
        <f t="array" ref="N172">IFERROR(INDEX('Malaria-Equipment &amp; Other HPs'!$P$130:$P$230,MATCH($E172&amp;$F172,'Malaria-Equipment &amp; Other HPs'!$E$130:$E$230&amp;'Malaria-Equipment &amp; Other HPs'!$H$130:$H$230,0)),0)</f>
        <v>0</v>
      </c>
      <c r="O172" s="25">
        <f t="shared" si="183"/>
        <v>0</v>
      </c>
      <c r="P172" s="25">
        <f t="shared" si="184"/>
        <v>0</v>
      </c>
      <c r="Q172" s="25">
        <f t="shared" si="185"/>
        <v>0</v>
      </c>
      <c r="R172" s="26">
        <f t="array" ref="R172">IFERROR(INDEX('Malaria-Equipment &amp; Other HPs'!$Q$130:$Q$230,MATCH($E172&amp;$F172,'Malaria-Equipment &amp; Other HPs'!$E$130:$E$230&amp;'Malaria-Equipment &amp; Other HPs'!$H$130:$H$230,0)),0)</f>
        <v>0</v>
      </c>
      <c r="S172" s="25">
        <f t="shared" si="186"/>
        <v>0</v>
      </c>
      <c r="T172" s="25">
        <f t="shared" si="187"/>
        <v>0</v>
      </c>
      <c r="U172" s="25">
        <f t="shared" si="188"/>
        <v>0</v>
      </c>
      <c r="V172" s="26">
        <f t="array" ref="V172">IFERROR(INDEX('Malaria-Equipment &amp; Other HPs'!$R$130:$R$230,MATCH($E172&amp;$F172,'Malaria-Equipment &amp; Other HPs'!$E$130:$E$230&amp;'Malaria-Equipment &amp; Other HPs'!$H$130:$H$230,0)),0)</f>
        <v>0</v>
      </c>
      <c r="W172" s="25">
        <f t="shared" si="189"/>
        <v>0</v>
      </c>
      <c r="X172" s="25">
        <f t="shared" si="190"/>
        <v>0</v>
      </c>
      <c r="Y172" s="25">
        <f t="shared" si="191"/>
        <v>0</v>
      </c>
      <c r="Z172" s="680"/>
      <c r="AA172" s="26">
        <f t="array" ref="AA172">IFERROR(INDEX('Malaria-Equipment &amp; Other HPs'!$U$130:$U$230,MATCH($E172&amp;$F172,'Malaria-Equipment &amp; Other HPs'!$E$130:$E$230&amp;'Malaria-Equipment &amp; Other HPs'!$H$130:$H$230,0)),0)</f>
        <v>0</v>
      </c>
      <c r="AB172" s="26">
        <f t="array" ref="AB172">IFERROR(INDEX('Malaria-Equipment &amp; Other HPs'!$V$130:$V$230,MATCH($E172&amp;$F172,'Malaria-Equipment &amp; Other HPs'!$E$130:$E$230&amp;'Malaria-Equipment &amp; Other HPs'!$H$130:$H$230,0)),0)</f>
        <v>0</v>
      </c>
      <c r="AC172" s="26">
        <f t="shared" si="192"/>
        <v>0</v>
      </c>
      <c r="AD172" s="25">
        <f t="shared" si="193"/>
        <v>0</v>
      </c>
      <c r="AE172" s="25">
        <f t="shared" si="194"/>
        <v>0</v>
      </c>
      <c r="AF172" s="26">
        <f t="array" ref="AF172">IFERROR(INDEX('Malaria-Equipment &amp; Other HPs'!$W$130:$W$230,MATCH($E172&amp;$F172,'Malaria-Equipment &amp; Other HPs'!$E$130:$E$230&amp;'Malaria-Equipment &amp; Other HPs'!$H$130:$H$230,0)),0)</f>
        <v>0</v>
      </c>
      <c r="AG172" s="26">
        <f t="shared" si="195"/>
        <v>0</v>
      </c>
      <c r="AH172" s="25">
        <f t="shared" si="196"/>
        <v>0</v>
      </c>
      <c r="AI172" s="25">
        <f t="shared" si="197"/>
        <v>0</v>
      </c>
      <c r="AJ172" s="26">
        <f t="array" ref="AJ172">IFERROR(INDEX('Malaria-Equipment &amp; Other HPs'!$X$130:$X$230,MATCH($E172&amp;$F172,'Malaria-Equipment &amp; Other HPs'!$E$130:$E$230&amp;'Malaria-Equipment &amp; Other HPs'!$H$130:$H$230,0)),0)</f>
        <v>0</v>
      </c>
      <c r="AK172" s="26">
        <f t="shared" si="198"/>
        <v>0</v>
      </c>
      <c r="AL172" s="25">
        <f t="shared" si="199"/>
        <v>0</v>
      </c>
      <c r="AM172" s="25">
        <f t="shared" si="200"/>
        <v>0</v>
      </c>
      <c r="AN172" s="26">
        <f t="array" ref="AN172">IFERROR(INDEX('Malaria-Equipment &amp; Other HPs'!$Y$130:$Y$230,MATCH($E172&amp;$F172,'Malaria-Equipment &amp; Other HPs'!$E$130:$E$230&amp;'Malaria-Equipment &amp; Other HPs'!$H$130:$H$230,0)),0)</f>
        <v>0</v>
      </c>
      <c r="AO172" s="26">
        <f t="shared" si="201"/>
        <v>0</v>
      </c>
      <c r="AP172" s="25">
        <f t="shared" si="202"/>
        <v>0</v>
      </c>
      <c r="AQ172" s="25">
        <f t="shared" si="203"/>
        <v>0</v>
      </c>
      <c r="AR172" s="680"/>
      <c r="AS172" s="26">
        <f t="array" ref="AS172">IFERROR(INDEX('Malaria-Equipment &amp; Other HPs'!$AB$130:$AB$230,MATCH($E172&amp;$F172,'Malaria-Equipment &amp; Other HPs'!$E$130:$E$230&amp;'Malaria-Equipment &amp; Other HPs'!$H$130:$H$230,0)),0)</f>
        <v>0</v>
      </c>
      <c r="AT172" s="26">
        <f t="array" ref="AT172">IFERROR(INDEX('Malaria-Equipment &amp; Other HPs'!$AC$130:$AC$230,MATCH($E172&amp;$F172,'Malaria-Equipment &amp; Other HPs'!$E$130:$E$230&amp;'Malaria-Equipment &amp; Other HPs'!$H$130:$H$230,0)),0)</f>
        <v>0</v>
      </c>
      <c r="AU172" s="26">
        <f t="shared" si="204"/>
        <v>0</v>
      </c>
      <c r="AV172" s="25">
        <f t="shared" si="205"/>
        <v>0</v>
      </c>
      <c r="AW172" s="25">
        <f t="shared" si="206"/>
        <v>0</v>
      </c>
      <c r="AX172" s="26">
        <f t="array" ref="AX172">IFERROR(INDEX('Malaria-Equipment &amp; Other HPs'!$AD$130:$AD$230,MATCH($E172&amp;$F172,'Malaria-Equipment &amp; Other HPs'!$E$130:$E$230&amp;'Malaria-Equipment &amp; Other HPs'!$H$130:$H$230,0)),0)</f>
        <v>0</v>
      </c>
      <c r="AY172" s="26">
        <f t="shared" si="207"/>
        <v>0</v>
      </c>
      <c r="AZ172" s="25">
        <f t="shared" si="208"/>
        <v>0</v>
      </c>
      <c r="BA172" s="25">
        <f t="shared" si="209"/>
        <v>0</v>
      </c>
      <c r="BB172" s="26">
        <f t="array" ref="BB172">IFERROR(INDEX('Malaria-Equipment &amp; Other HPs'!$AE$130:$AE$230,MATCH($E172&amp;$F172,'Malaria-Equipment &amp; Other HPs'!$E$130:$E$230&amp;'Malaria-Equipment &amp; Other HPs'!$H$130:$H$230,0)),0)</f>
        <v>0</v>
      </c>
      <c r="BC172" s="26">
        <f t="shared" si="210"/>
        <v>0</v>
      </c>
      <c r="BD172" s="25">
        <f t="shared" si="211"/>
        <v>0</v>
      </c>
      <c r="BE172" s="25">
        <f t="shared" si="212"/>
        <v>0</v>
      </c>
      <c r="BF172" s="26">
        <f t="array" ref="BF172">IFERROR(INDEX('Malaria-Equipment &amp; Other HPs'!$AF$130:$AF$230,MATCH($E172&amp;$F172,'Malaria-Equipment &amp; Other HPs'!$E$130:$E$230&amp;'Malaria-Equipment &amp; Other HPs'!$H$130:$H$230,0)),0)</f>
        <v>0</v>
      </c>
      <c r="BG172" s="26">
        <f t="shared" si="213"/>
        <v>0</v>
      </c>
      <c r="BH172" s="25">
        <f t="shared" si="214"/>
        <v>0</v>
      </c>
      <c r="BI172" s="25">
        <f t="shared" si="215"/>
        <v>0</v>
      </c>
      <c r="BJ172" s="680"/>
      <c r="BK172" s="26"/>
      <c r="BL172" s="26"/>
      <c r="BM172" s="26"/>
      <c r="BN172" s="26"/>
      <c r="BO172" s="26"/>
      <c r="BP172" s="26"/>
      <c r="BQ172" s="26"/>
      <c r="BR172" s="26"/>
      <c r="BT172" s="21" t="s">
        <v>781</v>
      </c>
    </row>
    <row r="173" spans="1:72">
      <c r="A173" s="29" t="s">
        <v>537</v>
      </c>
      <c r="B173" s="29" t="s">
        <v>1550</v>
      </c>
      <c r="C173" s="626">
        <f>SETUP!$F$57</f>
        <v>0</v>
      </c>
      <c r="D173" s="25">
        <v>5.8</v>
      </c>
      <c r="E173" s="26" t="s">
        <v>1220</v>
      </c>
      <c r="F173" s="26" t="s">
        <v>1140</v>
      </c>
      <c r="G173" s="26" t="str">
        <f t="array" ref="G173">IFERROR(INDEX('Malaria-Equipment &amp; Other HPs'!$L$130:$L$230,MATCH($E173&amp;$F173,'Malaria-Equipment &amp; Other HPs'!$E$130:$E$230&amp;'Malaria-Equipment &amp; Other HPs'!$H$130:$H$230,0)),"")</f>
        <v/>
      </c>
      <c r="H173" s="26" t="str">
        <f t="array" ref="H173">IFERROR(INDEX('Malaria-Equipment &amp; Other HPs'!$M$130:$M$230,MATCH($E173&amp;$F173,'Malaria-Equipment &amp; Other HPs'!$E$130:$E$230&amp;'Malaria-Equipment &amp; Other HPs'!$H$130:$H$230,0)),"")</f>
        <v/>
      </c>
      <c r="I173" s="26">
        <f t="array" ref="I173">IFERROR(INDEX('Malaria-Equipment &amp; Other HPs'!$N$130:$N$230,MATCH($E173&amp;$F173,'Malaria-Equipment &amp; Other HPs'!$E$130:$E$230&amp;'Malaria-Equipment &amp; Other HPs'!$H$130:$H$230,0)),0)</f>
        <v>0</v>
      </c>
      <c r="J173" s="26">
        <f t="array" ref="J173">IFERROR(INDEX('Malaria-Equipment &amp; Other HPs'!$O$130:$O$230,MATCH($E173&amp;$F173,'Malaria-Equipment &amp; Other HPs'!$E$130:$E$230&amp;'Malaria-Equipment &amp; Other HPs'!$H$130:$H$230,0)),0)</f>
        <v>0</v>
      </c>
      <c r="K173" s="25">
        <f t="shared" si="180"/>
        <v>0</v>
      </c>
      <c r="L173" s="25">
        <f t="shared" si="181"/>
        <v>0</v>
      </c>
      <c r="M173" s="25">
        <f t="shared" si="182"/>
        <v>0</v>
      </c>
      <c r="N173" s="26">
        <f t="array" ref="N173">IFERROR(INDEX('Malaria-Equipment &amp; Other HPs'!$P$130:$P$230,MATCH($E173&amp;$F173,'Malaria-Equipment &amp; Other HPs'!$E$130:$E$230&amp;'Malaria-Equipment &amp; Other HPs'!$H$130:$H$230,0)),0)</f>
        <v>0</v>
      </c>
      <c r="O173" s="25">
        <f t="shared" si="183"/>
        <v>0</v>
      </c>
      <c r="P173" s="25">
        <f t="shared" si="184"/>
        <v>0</v>
      </c>
      <c r="Q173" s="25">
        <f t="shared" si="185"/>
        <v>0</v>
      </c>
      <c r="R173" s="26">
        <f t="array" ref="R173">IFERROR(INDEX('Malaria-Equipment &amp; Other HPs'!$Q$130:$Q$230,MATCH($E173&amp;$F173,'Malaria-Equipment &amp; Other HPs'!$E$130:$E$230&amp;'Malaria-Equipment &amp; Other HPs'!$H$130:$H$230,0)),0)</f>
        <v>0</v>
      </c>
      <c r="S173" s="25">
        <f t="shared" si="186"/>
        <v>0</v>
      </c>
      <c r="T173" s="25">
        <f t="shared" si="187"/>
        <v>0</v>
      </c>
      <c r="U173" s="25">
        <f t="shared" si="188"/>
        <v>0</v>
      </c>
      <c r="V173" s="26">
        <f t="array" ref="V173">IFERROR(INDEX('Malaria-Equipment &amp; Other HPs'!$R$130:$R$230,MATCH($E173&amp;$F173,'Malaria-Equipment &amp; Other HPs'!$E$130:$E$230&amp;'Malaria-Equipment &amp; Other HPs'!$H$130:$H$230,0)),0)</f>
        <v>0</v>
      </c>
      <c r="W173" s="25">
        <f t="shared" si="189"/>
        <v>0</v>
      </c>
      <c r="X173" s="25">
        <f t="shared" si="190"/>
        <v>0</v>
      </c>
      <c r="Y173" s="25">
        <f t="shared" si="191"/>
        <v>0</v>
      </c>
      <c r="Z173" s="680"/>
      <c r="AA173" s="26">
        <f t="array" ref="AA173">IFERROR(INDEX('Malaria-Equipment &amp; Other HPs'!$U$130:$U$230,MATCH($E173&amp;$F173,'Malaria-Equipment &amp; Other HPs'!$E$130:$E$230&amp;'Malaria-Equipment &amp; Other HPs'!$H$130:$H$230,0)),0)</f>
        <v>0</v>
      </c>
      <c r="AB173" s="26">
        <f t="array" ref="AB173">IFERROR(INDEX('Malaria-Equipment &amp; Other HPs'!$V$130:$V$230,MATCH($E173&amp;$F173,'Malaria-Equipment &amp; Other HPs'!$E$130:$E$230&amp;'Malaria-Equipment &amp; Other HPs'!$H$130:$H$230,0)),0)</f>
        <v>0</v>
      </c>
      <c r="AC173" s="26">
        <f t="shared" si="192"/>
        <v>0</v>
      </c>
      <c r="AD173" s="25">
        <f t="shared" si="193"/>
        <v>0</v>
      </c>
      <c r="AE173" s="25">
        <f t="shared" si="194"/>
        <v>0</v>
      </c>
      <c r="AF173" s="26">
        <f t="array" ref="AF173">IFERROR(INDEX('Malaria-Equipment &amp; Other HPs'!$W$130:$W$230,MATCH($E173&amp;$F173,'Malaria-Equipment &amp; Other HPs'!$E$130:$E$230&amp;'Malaria-Equipment &amp; Other HPs'!$H$130:$H$230,0)),0)</f>
        <v>0</v>
      </c>
      <c r="AG173" s="26">
        <f t="shared" si="195"/>
        <v>0</v>
      </c>
      <c r="AH173" s="25">
        <f t="shared" si="196"/>
        <v>0</v>
      </c>
      <c r="AI173" s="25">
        <f t="shared" si="197"/>
        <v>0</v>
      </c>
      <c r="AJ173" s="26">
        <f t="array" ref="AJ173">IFERROR(INDEX('Malaria-Equipment &amp; Other HPs'!$X$130:$X$230,MATCH($E173&amp;$F173,'Malaria-Equipment &amp; Other HPs'!$E$130:$E$230&amp;'Malaria-Equipment &amp; Other HPs'!$H$130:$H$230,0)),0)</f>
        <v>0</v>
      </c>
      <c r="AK173" s="26">
        <f t="shared" si="198"/>
        <v>0</v>
      </c>
      <c r="AL173" s="25">
        <f t="shared" si="199"/>
        <v>0</v>
      </c>
      <c r="AM173" s="25">
        <f t="shared" si="200"/>
        <v>0</v>
      </c>
      <c r="AN173" s="26">
        <f t="array" ref="AN173">IFERROR(INDEX('Malaria-Equipment &amp; Other HPs'!$Y$130:$Y$230,MATCH($E173&amp;$F173,'Malaria-Equipment &amp; Other HPs'!$E$130:$E$230&amp;'Malaria-Equipment &amp; Other HPs'!$H$130:$H$230,0)),0)</f>
        <v>0</v>
      </c>
      <c r="AO173" s="26">
        <f t="shared" si="201"/>
        <v>0</v>
      </c>
      <c r="AP173" s="25">
        <f t="shared" si="202"/>
        <v>0</v>
      </c>
      <c r="AQ173" s="25">
        <f t="shared" si="203"/>
        <v>0</v>
      </c>
      <c r="AR173" s="680"/>
      <c r="AS173" s="26">
        <f t="array" ref="AS173">IFERROR(INDEX('Malaria-Equipment &amp; Other HPs'!$AB$130:$AB$230,MATCH($E173&amp;$F173,'Malaria-Equipment &amp; Other HPs'!$E$130:$E$230&amp;'Malaria-Equipment &amp; Other HPs'!$H$130:$H$230,0)),0)</f>
        <v>0</v>
      </c>
      <c r="AT173" s="26">
        <f t="array" ref="AT173">IFERROR(INDEX('Malaria-Equipment &amp; Other HPs'!$AC$130:$AC$230,MATCH($E173&amp;$F173,'Malaria-Equipment &amp; Other HPs'!$E$130:$E$230&amp;'Malaria-Equipment &amp; Other HPs'!$H$130:$H$230,0)),0)</f>
        <v>0</v>
      </c>
      <c r="AU173" s="26">
        <f t="shared" si="204"/>
        <v>0</v>
      </c>
      <c r="AV173" s="25">
        <f t="shared" si="205"/>
        <v>0</v>
      </c>
      <c r="AW173" s="25">
        <f t="shared" si="206"/>
        <v>0</v>
      </c>
      <c r="AX173" s="26">
        <f t="array" ref="AX173">IFERROR(INDEX('Malaria-Equipment &amp; Other HPs'!$AD$130:$AD$230,MATCH($E173&amp;$F173,'Malaria-Equipment &amp; Other HPs'!$E$130:$E$230&amp;'Malaria-Equipment &amp; Other HPs'!$H$130:$H$230,0)),0)</f>
        <v>0</v>
      </c>
      <c r="AY173" s="26">
        <f t="shared" si="207"/>
        <v>0</v>
      </c>
      <c r="AZ173" s="25">
        <f t="shared" si="208"/>
        <v>0</v>
      </c>
      <c r="BA173" s="25">
        <f t="shared" si="209"/>
        <v>0</v>
      </c>
      <c r="BB173" s="26">
        <f t="array" ref="BB173">IFERROR(INDEX('Malaria-Equipment &amp; Other HPs'!$AE$130:$AE$230,MATCH($E173&amp;$F173,'Malaria-Equipment &amp; Other HPs'!$E$130:$E$230&amp;'Malaria-Equipment &amp; Other HPs'!$H$130:$H$230,0)),0)</f>
        <v>0</v>
      </c>
      <c r="BC173" s="26">
        <f t="shared" si="210"/>
        <v>0</v>
      </c>
      <c r="BD173" s="25">
        <f t="shared" si="211"/>
        <v>0</v>
      </c>
      <c r="BE173" s="25">
        <f t="shared" si="212"/>
        <v>0</v>
      </c>
      <c r="BF173" s="26">
        <f t="array" ref="BF173">IFERROR(INDEX('Malaria-Equipment &amp; Other HPs'!$AF$130:$AF$230,MATCH($E173&amp;$F173,'Malaria-Equipment &amp; Other HPs'!$E$130:$E$230&amp;'Malaria-Equipment &amp; Other HPs'!$H$130:$H$230,0)),0)</f>
        <v>0</v>
      </c>
      <c r="BG173" s="26">
        <f t="shared" si="213"/>
        <v>0</v>
      </c>
      <c r="BH173" s="25">
        <f t="shared" si="214"/>
        <v>0</v>
      </c>
      <c r="BI173" s="25">
        <f t="shared" si="215"/>
        <v>0</v>
      </c>
      <c r="BJ173" s="680"/>
      <c r="BK173" s="26"/>
      <c r="BL173" s="26"/>
      <c r="BM173" s="26"/>
      <c r="BN173" s="26"/>
      <c r="BO173" s="26"/>
      <c r="BP173" s="26"/>
      <c r="BQ173" s="26"/>
      <c r="BR173" s="26"/>
      <c r="BT173" s="21" t="s">
        <v>6832</v>
      </c>
    </row>
    <row r="174" spans="1:72">
      <c r="A174" s="29" t="s">
        <v>537</v>
      </c>
      <c r="B174" s="29" t="s">
        <v>1550</v>
      </c>
      <c r="C174" s="626">
        <f>SETUP!$F$57</f>
        <v>0</v>
      </c>
      <c r="D174" s="25">
        <v>5.8</v>
      </c>
      <c r="E174" s="26" t="s">
        <v>1214</v>
      </c>
      <c r="F174" s="26" t="s">
        <v>1140</v>
      </c>
      <c r="G174" s="26" t="str">
        <f t="array" ref="G174">IFERROR(INDEX('Malaria-Equipment &amp; Other HPs'!$L$130:$L$230,MATCH($E174&amp;$F174,'Malaria-Equipment &amp; Other HPs'!$E$130:$E$230&amp;'Malaria-Equipment &amp; Other HPs'!$H$130:$H$230,0)),"")</f>
        <v/>
      </c>
      <c r="H174" s="26" t="str">
        <f t="array" ref="H174">IFERROR(INDEX('Malaria-Equipment &amp; Other HPs'!$M$130:$M$230,MATCH($E174&amp;$F174,'Malaria-Equipment &amp; Other HPs'!$E$130:$E$230&amp;'Malaria-Equipment &amp; Other HPs'!$H$130:$H$230,0)),"")</f>
        <v/>
      </c>
      <c r="I174" s="26">
        <f t="array" ref="I174">IFERROR(INDEX('Malaria-Equipment &amp; Other HPs'!$N$130:$N$230,MATCH($E174&amp;$F174,'Malaria-Equipment &amp; Other HPs'!$E$130:$E$230&amp;'Malaria-Equipment &amp; Other HPs'!$H$130:$H$230,0)),0)</f>
        <v>0</v>
      </c>
      <c r="J174" s="26">
        <f t="array" ref="J174">IFERROR(INDEX('Malaria-Equipment &amp; Other HPs'!$O$130:$O$230,MATCH($E174&amp;$F174,'Malaria-Equipment &amp; Other HPs'!$E$130:$E$230&amp;'Malaria-Equipment &amp; Other HPs'!$H$130:$H$230,0)),0)</f>
        <v>0</v>
      </c>
      <c r="K174" s="25">
        <f t="shared" si="180"/>
        <v>0</v>
      </c>
      <c r="L174" s="25">
        <f t="shared" si="181"/>
        <v>0</v>
      </c>
      <c r="M174" s="25">
        <f t="shared" si="182"/>
        <v>0</v>
      </c>
      <c r="N174" s="26">
        <f t="array" ref="N174">IFERROR(INDEX('Malaria-Equipment &amp; Other HPs'!$P$130:$P$230,MATCH($E174&amp;$F174,'Malaria-Equipment &amp; Other HPs'!$E$130:$E$230&amp;'Malaria-Equipment &amp; Other HPs'!$H$130:$H$230,0)),0)</f>
        <v>0</v>
      </c>
      <c r="O174" s="25">
        <f t="shared" si="183"/>
        <v>0</v>
      </c>
      <c r="P174" s="25">
        <f t="shared" si="184"/>
        <v>0</v>
      </c>
      <c r="Q174" s="25">
        <f t="shared" si="185"/>
        <v>0</v>
      </c>
      <c r="R174" s="26">
        <f t="array" ref="R174">IFERROR(INDEX('Malaria-Equipment &amp; Other HPs'!$Q$130:$Q$230,MATCH($E174&amp;$F174,'Malaria-Equipment &amp; Other HPs'!$E$130:$E$230&amp;'Malaria-Equipment &amp; Other HPs'!$H$130:$H$230,0)),0)</f>
        <v>0</v>
      </c>
      <c r="S174" s="25">
        <f t="shared" si="186"/>
        <v>0</v>
      </c>
      <c r="T174" s="25">
        <f t="shared" si="187"/>
        <v>0</v>
      </c>
      <c r="U174" s="25">
        <f t="shared" si="188"/>
        <v>0</v>
      </c>
      <c r="V174" s="26">
        <f t="array" ref="V174">IFERROR(INDEX('Malaria-Equipment &amp; Other HPs'!$R$130:$R$230,MATCH($E174&amp;$F174,'Malaria-Equipment &amp; Other HPs'!$E$130:$E$230&amp;'Malaria-Equipment &amp; Other HPs'!$H$130:$H$230,0)),0)</f>
        <v>0</v>
      </c>
      <c r="W174" s="25">
        <f t="shared" si="189"/>
        <v>0</v>
      </c>
      <c r="X174" s="25">
        <f t="shared" si="190"/>
        <v>0</v>
      </c>
      <c r="Y174" s="25">
        <f t="shared" si="191"/>
        <v>0</v>
      </c>
      <c r="Z174" s="680"/>
      <c r="AA174" s="26">
        <f t="array" ref="AA174">IFERROR(INDEX('Malaria-Equipment &amp; Other HPs'!$U$130:$U$230,MATCH($E174&amp;$F174,'Malaria-Equipment &amp; Other HPs'!$E$130:$E$230&amp;'Malaria-Equipment &amp; Other HPs'!$H$130:$H$230,0)),0)</f>
        <v>0</v>
      </c>
      <c r="AB174" s="26">
        <f t="array" ref="AB174">IFERROR(INDEX('Malaria-Equipment &amp; Other HPs'!$V$130:$V$230,MATCH($E174&amp;$F174,'Malaria-Equipment &amp; Other HPs'!$E$130:$E$230&amp;'Malaria-Equipment &amp; Other HPs'!$H$130:$H$230,0)),0)</f>
        <v>0</v>
      </c>
      <c r="AC174" s="26">
        <f t="shared" si="192"/>
        <v>0</v>
      </c>
      <c r="AD174" s="25">
        <f t="shared" si="193"/>
        <v>0</v>
      </c>
      <c r="AE174" s="25">
        <f t="shared" si="194"/>
        <v>0</v>
      </c>
      <c r="AF174" s="26">
        <f t="array" ref="AF174">IFERROR(INDEX('Malaria-Equipment &amp; Other HPs'!$W$130:$W$230,MATCH($E174&amp;$F174,'Malaria-Equipment &amp; Other HPs'!$E$130:$E$230&amp;'Malaria-Equipment &amp; Other HPs'!$H$130:$H$230,0)),0)</f>
        <v>0</v>
      </c>
      <c r="AG174" s="26">
        <f t="shared" si="195"/>
        <v>0</v>
      </c>
      <c r="AH174" s="25">
        <f t="shared" si="196"/>
        <v>0</v>
      </c>
      <c r="AI174" s="25">
        <f t="shared" si="197"/>
        <v>0</v>
      </c>
      <c r="AJ174" s="26">
        <f t="array" ref="AJ174">IFERROR(INDEX('Malaria-Equipment &amp; Other HPs'!$X$130:$X$230,MATCH($E174&amp;$F174,'Malaria-Equipment &amp; Other HPs'!$E$130:$E$230&amp;'Malaria-Equipment &amp; Other HPs'!$H$130:$H$230,0)),0)</f>
        <v>0</v>
      </c>
      <c r="AK174" s="26">
        <f t="shared" si="198"/>
        <v>0</v>
      </c>
      <c r="AL174" s="25">
        <f t="shared" si="199"/>
        <v>0</v>
      </c>
      <c r="AM174" s="25">
        <f t="shared" si="200"/>
        <v>0</v>
      </c>
      <c r="AN174" s="26">
        <f t="array" ref="AN174">IFERROR(INDEX('Malaria-Equipment &amp; Other HPs'!$Y$130:$Y$230,MATCH($E174&amp;$F174,'Malaria-Equipment &amp; Other HPs'!$E$130:$E$230&amp;'Malaria-Equipment &amp; Other HPs'!$H$130:$H$230,0)),0)</f>
        <v>0</v>
      </c>
      <c r="AO174" s="26">
        <f t="shared" si="201"/>
        <v>0</v>
      </c>
      <c r="AP174" s="25">
        <f t="shared" si="202"/>
        <v>0</v>
      </c>
      <c r="AQ174" s="25">
        <f t="shared" si="203"/>
        <v>0</v>
      </c>
      <c r="AR174" s="680"/>
      <c r="AS174" s="26">
        <f t="array" ref="AS174">IFERROR(INDEX('Malaria-Equipment &amp; Other HPs'!$AB$130:$AB$230,MATCH($E174&amp;$F174,'Malaria-Equipment &amp; Other HPs'!$E$130:$E$230&amp;'Malaria-Equipment &amp; Other HPs'!$H$130:$H$230,0)),0)</f>
        <v>0</v>
      </c>
      <c r="AT174" s="26">
        <f t="array" ref="AT174">IFERROR(INDEX('Malaria-Equipment &amp; Other HPs'!$AC$130:$AC$230,MATCH($E174&amp;$F174,'Malaria-Equipment &amp; Other HPs'!$E$130:$E$230&amp;'Malaria-Equipment &amp; Other HPs'!$H$130:$H$230,0)),0)</f>
        <v>0</v>
      </c>
      <c r="AU174" s="26">
        <f t="shared" si="204"/>
        <v>0</v>
      </c>
      <c r="AV174" s="25">
        <f t="shared" si="205"/>
        <v>0</v>
      </c>
      <c r="AW174" s="25">
        <f t="shared" si="206"/>
        <v>0</v>
      </c>
      <c r="AX174" s="26">
        <f t="array" ref="AX174">IFERROR(INDEX('Malaria-Equipment &amp; Other HPs'!$AD$130:$AD$230,MATCH($E174&amp;$F174,'Malaria-Equipment &amp; Other HPs'!$E$130:$E$230&amp;'Malaria-Equipment &amp; Other HPs'!$H$130:$H$230,0)),0)</f>
        <v>0</v>
      </c>
      <c r="AY174" s="26">
        <f t="shared" si="207"/>
        <v>0</v>
      </c>
      <c r="AZ174" s="25">
        <f t="shared" si="208"/>
        <v>0</v>
      </c>
      <c r="BA174" s="25">
        <f t="shared" si="209"/>
        <v>0</v>
      </c>
      <c r="BB174" s="26">
        <f t="array" ref="BB174">IFERROR(INDEX('Malaria-Equipment &amp; Other HPs'!$AE$130:$AE$230,MATCH($E174&amp;$F174,'Malaria-Equipment &amp; Other HPs'!$E$130:$E$230&amp;'Malaria-Equipment &amp; Other HPs'!$H$130:$H$230,0)),0)</f>
        <v>0</v>
      </c>
      <c r="BC174" s="26">
        <f t="shared" si="210"/>
        <v>0</v>
      </c>
      <c r="BD174" s="25">
        <f t="shared" si="211"/>
        <v>0</v>
      </c>
      <c r="BE174" s="25">
        <f t="shared" si="212"/>
        <v>0</v>
      </c>
      <c r="BF174" s="26">
        <f t="array" ref="BF174">IFERROR(INDEX('Malaria-Equipment &amp; Other HPs'!$AF$130:$AF$230,MATCH($E174&amp;$F174,'Malaria-Equipment &amp; Other HPs'!$E$130:$E$230&amp;'Malaria-Equipment &amp; Other HPs'!$H$130:$H$230,0)),0)</f>
        <v>0</v>
      </c>
      <c r="BG174" s="26">
        <f t="shared" si="213"/>
        <v>0</v>
      </c>
      <c r="BH174" s="25">
        <f t="shared" si="214"/>
        <v>0</v>
      </c>
      <c r="BI174" s="25">
        <f t="shared" si="215"/>
        <v>0</v>
      </c>
      <c r="BJ174" s="680"/>
      <c r="BK174" s="26"/>
      <c r="BL174" s="26"/>
      <c r="BM174" s="26"/>
      <c r="BN174" s="26"/>
      <c r="BO174" s="26"/>
      <c r="BP174" s="26"/>
      <c r="BQ174" s="26"/>
      <c r="BR174" s="26"/>
      <c r="BT174" s="21" t="s">
        <v>6833</v>
      </c>
    </row>
    <row r="175" spans="1:72">
      <c r="A175" s="29" t="s">
        <v>537</v>
      </c>
      <c r="B175" s="29" t="s">
        <v>1550</v>
      </c>
      <c r="C175" s="626">
        <f>SETUP!$F$57</f>
        <v>0</v>
      </c>
      <c r="D175" s="25">
        <v>5.8</v>
      </c>
      <c r="E175" s="26" t="s">
        <v>1215</v>
      </c>
      <c r="F175" s="26" t="s">
        <v>1140</v>
      </c>
      <c r="G175" s="26" t="str">
        <f t="array" ref="G175">IFERROR(INDEX('Malaria-Equipment &amp; Other HPs'!$L$130:$L$230,MATCH($E175&amp;$F175,'Malaria-Equipment &amp; Other HPs'!$E$130:$E$230&amp;'Malaria-Equipment &amp; Other HPs'!$H$130:$H$230,0)),"")</f>
        <v/>
      </c>
      <c r="H175" s="26" t="str">
        <f t="array" ref="H175">IFERROR(INDEX('Malaria-Equipment &amp; Other HPs'!$M$130:$M$230,MATCH($E175&amp;$F175,'Malaria-Equipment &amp; Other HPs'!$E$130:$E$230&amp;'Malaria-Equipment &amp; Other HPs'!$H$130:$H$230,0)),"")</f>
        <v/>
      </c>
      <c r="I175" s="26">
        <f t="array" ref="I175">IFERROR(INDEX('Malaria-Equipment &amp; Other HPs'!$N$130:$N$230,MATCH($E175&amp;$F175,'Malaria-Equipment &amp; Other HPs'!$E$130:$E$230&amp;'Malaria-Equipment &amp; Other HPs'!$H$130:$H$230,0)),0)</f>
        <v>0</v>
      </c>
      <c r="J175" s="26">
        <f t="array" ref="J175">IFERROR(INDEX('Malaria-Equipment &amp; Other HPs'!$O$130:$O$230,MATCH($E175&amp;$F175,'Malaria-Equipment &amp; Other HPs'!$E$130:$E$230&amp;'Malaria-Equipment &amp; Other HPs'!$H$130:$H$230,0)),0)</f>
        <v>0</v>
      </c>
      <c r="K175" s="25">
        <f t="shared" si="180"/>
        <v>0</v>
      </c>
      <c r="L175" s="25">
        <f t="shared" si="181"/>
        <v>0</v>
      </c>
      <c r="M175" s="25">
        <f t="shared" si="182"/>
        <v>0</v>
      </c>
      <c r="N175" s="26">
        <f t="array" ref="N175">IFERROR(INDEX('Malaria-Equipment &amp; Other HPs'!$P$130:$P$230,MATCH($E175&amp;$F175,'Malaria-Equipment &amp; Other HPs'!$E$130:$E$230&amp;'Malaria-Equipment &amp; Other HPs'!$H$130:$H$230,0)),0)</f>
        <v>0</v>
      </c>
      <c r="O175" s="25">
        <f t="shared" si="183"/>
        <v>0</v>
      </c>
      <c r="P175" s="25">
        <f t="shared" si="184"/>
        <v>0</v>
      </c>
      <c r="Q175" s="25">
        <f t="shared" si="185"/>
        <v>0</v>
      </c>
      <c r="R175" s="26">
        <f t="array" ref="R175">IFERROR(INDEX('Malaria-Equipment &amp; Other HPs'!$Q$130:$Q$230,MATCH($E175&amp;$F175,'Malaria-Equipment &amp; Other HPs'!$E$130:$E$230&amp;'Malaria-Equipment &amp; Other HPs'!$H$130:$H$230,0)),0)</f>
        <v>0</v>
      </c>
      <c r="S175" s="25">
        <f t="shared" si="186"/>
        <v>0</v>
      </c>
      <c r="T175" s="25">
        <f t="shared" si="187"/>
        <v>0</v>
      </c>
      <c r="U175" s="25">
        <f t="shared" si="188"/>
        <v>0</v>
      </c>
      <c r="V175" s="26">
        <f t="array" ref="V175">IFERROR(INDEX('Malaria-Equipment &amp; Other HPs'!$R$130:$R$230,MATCH($E175&amp;$F175,'Malaria-Equipment &amp; Other HPs'!$E$130:$E$230&amp;'Malaria-Equipment &amp; Other HPs'!$H$130:$H$230,0)),0)</f>
        <v>0</v>
      </c>
      <c r="W175" s="25">
        <f t="shared" si="189"/>
        <v>0</v>
      </c>
      <c r="X175" s="25">
        <f t="shared" si="190"/>
        <v>0</v>
      </c>
      <c r="Y175" s="25">
        <f t="shared" si="191"/>
        <v>0</v>
      </c>
      <c r="Z175" s="680"/>
      <c r="AA175" s="26">
        <f t="array" ref="AA175">IFERROR(INDEX('Malaria-Equipment &amp; Other HPs'!$U$130:$U$230,MATCH($E175&amp;$F175,'Malaria-Equipment &amp; Other HPs'!$E$130:$E$230&amp;'Malaria-Equipment &amp; Other HPs'!$H$130:$H$230,0)),0)</f>
        <v>0</v>
      </c>
      <c r="AB175" s="26">
        <f t="array" ref="AB175">IFERROR(INDEX('Malaria-Equipment &amp; Other HPs'!$V$130:$V$230,MATCH($E175&amp;$F175,'Malaria-Equipment &amp; Other HPs'!$E$130:$E$230&amp;'Malaria-Equipment &amp; Other HPs'!$H$130:$H$230,0)),0)</f>
        <v>0</v>
      </c>
      <c r="AC175" s="26">
        <f t="shared" si="192"/>
        <v>0</v>
      </c>
      <c r="AD175" s="25">
        <f t="shared" si="193"/>
        <v>0</v>
      </c>
      <c r="AE175" s="25">
        <f t="shared" si="194"/>
        <v>0</v>
      </c>
      <c r="AF175" s="26">
        <f t="array" ref="AF175">IFERROR(INDEX('Malaria-Equipment &amp; Other HPs'!$W$130:$W$230,MATCH($E175&amp;$F175,'Malaria-Equipment &amp; Other HPs'!$E$130:$E$230&amp;'Malaria-Equipment &amp; Other HPs'!$H$130:$H$230,0)),0)</f>
        <v>0</v>
      </c>
      <c r="AG175" s="26">
        <f t="shared" si="195"/>
        <v>0</v>
      </c>
      <c r="AH175" s="25">
        <f t="shared" si="196"/>
        <v>0</v>
      </c>
      <c r="AI175" s="25">
        <f t="shared" si="197"/>
        <v>0</v>
      </c>
      <c r="AJ175" s="26">
        <f t="array" ref="AJ175">IFERROR(INDEX('Malaria-Equipment &amp; Other HPs'!$X$130:$X$230,MATCH($E175&amp;$F175,'Malaria-Equipment &amp; Other HPs'!$E$130:$E$230&amp;'Malaria-Equipment &amp; Other HPs'!$H$130:$H$230,0)),0)</f>
        <v>0</v>
      </c>
      <c r="AK175" s="26">
        <f t="shared" si="198"/>
        <v>0</v>
      </c>
      <c r="AL175" s="25">
        <f t="shared" si="199"/>
        <v>0</v>
      </c>
      <c r="AM175" s="25">
        <f t="shared" si="200"/>
        <v>0</v>
      </c>
      <c r="AN175" s="26">
        <f t="array" ref="AN175">IFERROR(INDEX('Malaria-Equipment &amp; Other HPs'!$Y$130:$Y$230,MATCH($E175&amp;$F175,'Malaria-Equipment &amp; Other HPs'!$E$130:$E$230&amp;'Malaria-Equipment &amp; Other HPs'!$H$130:$H$230,0)),0)</f>
        <v>0</v>
      </c>
      <c r="AO175" s="26">
        <f t="shared" si="201"/>
        <v>0</v>
      </c>
      <c r="AP175" s="25">
        <f t="shared" si="202"/>
        <v>0</v>
      </c>
      <c r="AQ175" s="25">
        <f t="shared" si="203"/>
        <v>0</v>
      </c>
      <c r="AR175" s="680"/>
      <c r="AS175" s="26">
        <f t="array" ref="AS175">IFERROR(INDEX('Malaria-Equipment &amp; Other HPs'!$AB$130:$AB$230,MATCH($E175&amp;$F175,'Malaria-Equipment &amp; Other HPs'!$E$130:$E$230&amp;'Malaria-Equipment &amp; Other HPs'!$H$130:$H$230,0)),0)</f>
        <v>0</v>
      </c>
      <c r="AT175" s="26">
        <f t="array" ref="AT175">IFERROR(INDEX('Malaria-Equipment &amp; Other HPs'!$AC$130:$AC$230,MATCH($E175&amp;$F175,'Malaria-Equipment &amp; Other HPs'!$E$130:$E$230&amp;'Malaria-Equipment &amp; Other HPs'!$H$130:$H$230,0)),0)</f>
        <v>0</v>
      </c>
      <c r="AU175" s="26">
        <f t="shared" si="204"/>
        <v>0</v>
      </c>
      <c r="AV175" s="25">
        <f t="shared" si="205"/>
        <v>0</v>
      </c>
      <c r="AW175" s="25">
        <f t="shared" si="206"/>
        <v>0</v>
      </c>
      <c r="AX175" s="26">
        <f t="array" ref="AX175">IFERROR(INDEX('Malaria-Equipment &amp; Other HPs'!$AD$130:$AD$230,MATCH($E175&amp;$F175,'Malaria-Equipment &amp; Other HPs'!$E$130:$E$230&amp;'Malaria-Equipment &amp; Other HPs'!$H$130:$H$230,0)),0)</f>
        <v>0</v>
      </c>
      <c r="AY175" s="26">
        <f t="shared" si="207"/>
        <v>0</v>
      </c>
      <c r="AZ175" s="25">
        <f t="shared" si="208"/>
        <v>0</v>
      </c>
      <c r="BA175" s="25">
        <f t="shared" si="209"/>
        <v>0</v>
      </c>
      <c r="BB175" s="26">
        <f t="array" ref="BB175">IFERROR(INDEX('Malaria-Equipment &amp; Other HPs'!$AE$130:$AE$230,MATCH($E175&amp;$F175,'Malaria-Equipment &amp; Other HPs'!$E$130:$E$230&amp;'Malaria-Equipment &amp; Other HPs'!$H$130:$H$230,0)),0)</f>
        <v>0</v>
      </c>
      <c r="BC175" s="26">
        <f t="shared" si="210"/>
        <v>0</v>
      </c>
      <c r="BD175" s="25">
        <f t="shared" si="211"/>
        <v>0</v>
      </c>
      <c r="BE175" s="25">
        <f t="shared" si="212"/>
        <v>0</v>
      </c>
      <c r="BF175" s="26">
        <f t="array" ref="BF175">IFERROR(INDEX('Malaria-Equipment &amp; Other HPs'!$AF$130:$AF$230,MATCH($E175&amp;$F175,'Malaria-Equipment &amp; Other HPs'!$E$130:$E$230&amp;'Malaria-Equipment &amp; Other HPs'!$H$130:$H$230,0)),0)</f>
        <v>0</v>
      </c>
      <c r="BG175" s="26">
        <f t="shared" si="213"/>
        <v>0</v>
      </c>
      <c r="BH175" s="25">
        <f t="shared" si="214"/>
        <v>0</v>
      </c>
      <c r="BI175" s="25">
        <f t="shared" si="215"/>
        <v>0</v>
      </c>
      <c r="BJ175" s="680"/>
      <c r="BK175" s="26"/>
      <c r="BL175" s="26"/>
      <c r="BM175" s="26"/>
      <c r="BN175" s="26"/>
      <c r="BO175" s="26"/>
      <c r="BP175" s="26"/>
      <c r="BQ175" s="26"/>
      <c r="BR175" s="26"/>
      <c r="BT175" s="21" t="s">
        <v>6834</v>
      </c>
    </row>
    <row r="176" spans="1:72">
      <c r="A176" s="29" t="s">
        <v>537</v>
      </c>
      <c r="B176" s="29" t="s">
        <v>1550</v>
      </c>
      <c r="C176" s="626">
        <f>SETUP!$F$57</f>
        <v>0</v>
      </c>
      <c r="D176" s="25">
        <v>5.8</v>
      </c>
      <c r="E176" s="26" t="s">
        <v>1216</v>
      </c>
      <c r="F176" s="26" t="s">
        <v>1140</v>
      </c>
      <c r="G176" s="26" t="str">
        <f t="array" ref="G176">IFERROR(INDEX('Malaria-Equipment &amp; Other HPs'!$L$130:$L$230,MATCH($E176&amp;$F176,'Malaria-Equipment &amp; Other HPs'!$E$130:$E$230&amp;'Malaria-Equipment &amp; Other HPs'!$H$130:$H$230,0)),"")</f>
        <v/>
      </c>
      <c r="H176" s="26" t="str">
        <f t="array" ref="H176">IFERROR(INDEX('Malaria-Equipment &amp; Other HPs'!$M$130:$M$230,MATCH($E176&amp;$F176,'Malaria-Equipment &amp; Other HPs'!$E$130:$E$230&amp;'Malaria-Equipment &amp; Other HPs'!$H$130:$H$230,0)),"")</f>
        <v/>
      </c>
      <c r="I176" s="26">
        <f t="array" ref="I176">IFERROR(INDEX('Malaria-Equipment &amp; Other HPs'!$N$130:$N$230,MATCH($E176&amp;$F176,'Malaria-Equipment &amp; Other HPs'!$E$130:$E$230&amp;'Malaria-Equipment &amp; Other HPs'!$H$130:$H$230,0)),0)</f>
        <v>0</v>
      </c>
      <c r="J176" s="26">
        <f t="array" ref="J176">IFERROR(INDEX('Malaria-Equipment &amp; Other HPs'!$O$130:$O$230,MATCH($E176&amp;$F176,'Malaria-Equipment &amp; Other HPs'!$E$130:$E$230&amp;'Malaria-Equipment &amp; Other HPs'!$H$130:$H$230,0)),0)</f>
        <v>0</v>
      </c>
      <c r="K176" s="25">
        <f t="shared" si="180"/>
        <v>0</v>
      </c>
      <c r="L176" s="25">
        <f t="shared" si="181"/>
        <v>0</v>
      </c>
      <c r="M176" s="25">
        <f t="shared" si="182"/>
        <v>0</v>
      </c>
      <c r="N176" s="26">
        <f t="array" ref="N176">IFERROR(INDEX('Malaria-Equipment &amp; Other HPs'!$P$130:$P$230,MATCH($E176&amp;$F176,'Malaria-Equipment &amp; Other HPs'!$E$130:$E$230&amp;'Malaria-Equipment &amp; Other HPs'!$H$130:$H$230,0)),0)</f>
        <v>0</v>
      </c>
      <c r="O176" s="25">
        <f t="shared" si="183"/>
        <v>0</v>
      </c>
      <c r="P176" s="25">
        <f t="shared" si="184"/>
        <v>0</v>
      </c>
      <c r="Q176" s="25">
        <f t="shared" si="185"/>
        <v>0</v>
      </c>
      <c r="R176" s="26">
        <f t="array" ref="R176">IFERROR(INDEX('Malaria-Equipment &amp; Other HPs'!$Q$130:$Q$230,MATCH($E176&amp;$F176,'Malaria-Equipment &amp; Other HPs'!$E$130:$E$230&amp;'Malaria-Equipment &amp; Other HPs'!$H$130:$H$230,0)),0)</f>
        <v>0</v>
      </c>
      <c r="S176" s="25">
        <f t="shared" si="186"/>
        <v>0</v>
      </c>
      <c r="T176" s="25">
        <f t="shared" si="187"/>
        <v>0</v>
      </c>
      <c r="U176" s="25">
        <f t="shared" si="188"/>
        <v>0</v>
      </c>
      <c r="V176" s="26">
        <f t="array" ref="V176">IFERROR(INDEX('Malaria-Equipment &amp; Other HPs'!$R$130:$R$230,MATCH($E176&amp;$F176,'Malaria-Equipment &amp; Other HPs'!$E$130:$E$230&amp;'Malaria-Equipment &amp; Other HPs'!$H$130:$H$230,0)),0)</f>
        <v>0</v>
      </c>
      <c r="W176" s="25">
        <f t="shared" si="189"/>
        <v>0</v>
      </c>
      <c r="X176" s="25">
        <f t="shared" si="190"/>
        <v>0</v>
      </c>
      <c r="Y176" s="25">
        <f t="shared" si="191"/>
        <v>0</v>
      </c>
      <c r="Z176" s="680"/>
      <c r="AA176" s="26">
        <f t="array" ref="AA176">IFERROR(INDEX('Malaria-Equipment &amp; Other HPs'!$U$130:$U$230,MATCH($E176&amp;$F176,'Malaria-Equipment &amp; Other HPs'!$E$130:$E$230&amp;'Malaria-Equipment &amp; Other HPs'!$H$130:$H$230,0)),0)</f>
        <v>0</v>
      </c>
      <c r="AB176" s="26">
        <f t="array" ref="AB176">IFERROR(INDEX('Malaria-Equipment &amp; Other HPs'!$V$130:$V$230,MATCH($E176&amp;$F176,'Malaria-Equipment &amp; Other HPs'!$E$130:$E$230&amp;'Malaria-Equipment &amp; Other HPs'!$H$130:$H$230,0)),0)</f>
        <v>0</v>
      </c>
      <c r="AC176" s="26">
        <f t="shared" si="192"/>
        <v>0</v>
      </c>
      <c r="AD176" s="25">
        <f t="shared" si="193"/>
        <v>0</v>
      </c>
      <c r="AE176" s="25">
        <f t="shared" si="194"/>
        <v>0</v>
      </c>
      <c r="AF176" s="26">
        <f t="array" ref="AF176">IFERROR(INDEX('Malaria-Equipment &amp; Other HPs'!$W$130:$W$230,MATCH($E176&amp;$F176,'Malaria-Equipment &amp; Other HPs'!$E$130:$E$230&amp;'Malaria-Equipment &amp; Other HPs'!$H$130:$H$230,0)),0)</f>
        <v>0</v>
      </c>
      <c r="AG176" s="26">
        <f t="shared" si="195"/>
        <v>0</v>
      </c>
      <c r="AH176" s="25">
        <f t="shared" si="196"/>
        <v>0</v>
      </c>
      <c r="AI176" s="25">
        <f t="shared" si="197"/>
        <v>0</v>
      </c>
      <c r="AJ176" s="26">
        <f t="array" ref="AJ176">IFERROR(INDEX('Malaria-Equipment &amp; Other HPs'!$X$130:$X$230,MATCH($E176&amp;$F176,'Malaria-Equipment &amp; Other HPs'!$E$130:$E$230&amp;'Malaria-Equipment &amp; Other HPs'!$H$130:$H$230,0)),0)</f>
        <v>0</v>
      </c>
      <c r="AK176" s="26">
        <f t="shared" si="198"/>
        <v>0</v>
      </c>
      <c r="AL176" s="25">
        <f t="shared" si="199"/>
        <v>0</v>
      </c>
      <c r="AM176" s="25">
        <f t="shared" si="200"/>
        <v>0</v>
      </c>
      <c r="AN176" s="26">
        <f t="array" ref="AN176">IFERROR(INDEX('Malaria-Equipment &amp; Other HPs'!$Y$130:$Y$230,MATCH($E176&amp;$F176,'Malaria-Equipment &amp; Other HPs'!$E$130:$E$230&amp;'Malaria-Equipment &amp; Other HPs'!$H$130:$H$230,0)),0)</f>
        <v>0</v>
      </c>
      <c r="AO176" s="26">
        <f t="shared" si="201"/>
        <v>0</v>
      </c>
      <c r="AP176" s="25">
        <f t="shared" si="202"/>
        <v>0</v>
      </c>
      <c r="AQ176" s="25">
        <f t="shared" si="203"/>
        <v>0</v>
      </c>
      <c r="AR176" s="680"/>
      <c r="AS176" s="26">
        <f t="array" ref="AS176">IFERROR(INDEX('Malaria-Equipment &amp; Other HPs'!$AB$130:$AB$230,MATCH($E176&amp;$F176,'Malaria-Equipment &amp; Other HPs'!$E$130:$E$230&amp;'Malaria-Equipment &amp; Other HPs'!$H$130:$H$230,0)),0)</f>
        <v>0</v>
      </c>
      <c r="AT176" s="26">
        <f t="array" ref="AT176">IFERROR(INDEX('Malaria-Equipment &amp; Other HPs'!$AC$130:$AC$230,MATCH($E176&amp;$F176,'Malaria-Equipment &amp; Other HPs'!$E$130:$E$230&amp;'Malaria-Equipment &amp; Other HPs'!$H$130:$H$230,0)),0)</f>
        <v>0</v>
      </c>
      <c r="AU176" s="26">
        <f t="shared" si="204"/>
        <v>0</v>
      </c>
      <c r="AV176" s="25">
        <f t="shared" si="205"/>
        <v>0</v>
      </c>
      <c r="AW176" s="25">
        <f t="shared" si="206"/>
        <v>0</v>
      </c>
      <c r="AX176" s="26">
        <f t="array" ref="AX176">IFERROR(INDEX('Malaria-Equipment &amp; Other HPs'!$AD$130:$AD$230,MATCH($E176&amp;$F176,'Malaria-Equipment &amp; Other HPs'!$E$130:$E$230&amp;'Malaria-Equipment &amp; Other HPs'!$H$130:$H$230,0)),0)</f>
        <v>0</v>
      </c>
      <c r="AY176" s="26">
        <f t="shared" si="207"/>
        <v>0</v>
      </c>
      <c r="AZ176" s="25">
        <f t="shared" si="208"/>
        <v>0</v>
      </c>
      <c r="BA176" s="25">
        <f t="shared" si="209"/>
        <v>0</v>
      </c>
      <c r="BB176" s="26">
        <f t="array" ref="BB176">IFERROR(INDEX('Malaria-Equipment &amp; Other HPs'!$AE$130:$AE$230,MATCH($E176&amp;$F176,'Malaria-Equipment &amp; Other HPs'!$E$130:$E$230&amp;'Malaria-Equipment &amp; Other HPs'!$H$130:$H$230,0)),0)</f>
        <v>0</v>
      </c>
      <c r="BC176" s="26">
        <f t="shared" si="210"/>
        <v>0</v>
      </c>
      <c r="BD176" s="25">
        <f t="shared" si="211"/>
        <v>0</v>
      </c>
      <c r="BE176" s="25">
        <f t="shared" si="212"/>
        <v>0</v>
      </c>
      <c r="BF176" s="26">
        <f t="array" ref="BF176">IFERROR(INDEX('Malaria-Equipment &amp; Other HPs'!$AF$130:$AF$230,MATCH($E176&amp;$F176,'Malaria-Equipment &amp; Other HPs'!$E$130:$E$230&amp;'Malaria-Equipment &amp; Other HPs'!$H$130:$H$230,0)),0)</f>
        <v>0</v>
      </c>
      <c r="BG176" s="26">
        <f t="shared" si="213"/>
        <v>0</v>
      </c>
      <c r="BH176" s="25">
        <f t="shared" si="214"/>
        <v>0</v>
      </c>
      <c r="BI176" s="25">
        <f t="shared" si="215"/>
        <v>0</v>
      </c>
      <c r="BJ176" s="680"/>
      <c r="BK176" s="26"/>
      <c r="BL176" s="26"/>
      <c r="BM176" s="26"/>
      <c r="BN176" s="26"/>
      <c r="BO176" s="26"/>
      <c r="BP176" s="26"/>
      <c r="BQ176" s="26"/>
      <c r="BR176" s="26"/>
      <c r="BT176" s="21" t="s">
        <v>6835</v>
      </c>
    </row>
    <row r="177" spans="1:72">
      <c r="A177" s="29" t="s">
        <v>537</v>
      </c>
      <c r="B177" s="29" t="s">
        <v>1550</v>
      </c>
      <c r="C177" s="626">
        <f>SETUP!$F$57</f>
        <v>0</v>
      </c>
      <c r="D177" s="25">
        <v>5.8</v>
      </c>
      <c r="E177" s="26" t="s">
        <v>1217</v>
      </c>
      <c r="F177" s="26" t="s">
        <v>1140</v>
      </c>
      <c r="G177" s="26" t="str">
        <f t="array" ref="G177">IFERROR(INDEX('Malaria-Equipment &amp; Other HPs'!$L$130:$L$230,MATCH($E177&amp;$F177,'Malaria-Equipment &amp; Other HPs'!$E$130:$E$230&amp;'Malaria-Equipment &amp; Other HPs'!$H$130:$H$230,0)),"")</f>
        <v/>
      </c>
      <c r="H177" s="26" t="str">
        <f t="array" ref="H177">IFERROR(INDEX('Malaria-Equipment &amp; Other HPs'!$M$130:$M$230,MATCH($E177&amp;$F177,'Malaria-Equipment &amp; Other HPs'!$E$130:$E$230&amp;'Malaria-Equipment &amp; Other HPs'!$H$130:$H$230,0)),"")</f>
        <v/>
      </c>
      <c r="I177" s="26">
        <f t="array" ref="I177">IFERROR(INDEX('Malaria-Equipment &amp; Other HPs'!$N$130:$N$230,MATCH($E177&amp;$F177,'Malaria-Equipment &amp; Other HPs'!$E$130:$E$230&amp;'Malaria-Equipment &amp; Other HPs'!$H$130:$H$230,0)),0)</f>
        <v>0</v>
      </c>
      <c r="J177" s="26">
        <f t="array" ref="J177">IFERROR(INDEX('Malaria-Equipment &amp; Other HPs'!$O$130:$O$230,MATCH($E177&amp;$F177,'Malaria-Equipment &amp; Other HPs'!$E$130:$E$230&amp;'Malaria-Equipment &amp; Other HPs'!$H$130:$H$230,0)),0)</f>
        <v>0</v>
      </c>
      <c r="K177" s="25">
        <f t="shared" si="180"/>
        <v>0</v>
      </c>
      <c r="L177" s="25">
        <f t="shared" si="181"/>
        <v>0</v>
      </c>
      <c r="M177" s="25">
        <f t="shared" si="182"/>
        <v>0</v>
      </c>
      <c r="N177" s="26">
        <f t="array" ref="N177">IFERROR(INDEX('Malaria-Equipment &amp; Other HPs'!$P$130:$P$230,MATCH($E177&amp;$F177,'Malaria-Equipment &amp; Other HPs'!$E$130:$E$230&amp;'Malaria-Equipment &amp; Other HPs'!$H$130:$H$230,0)),0)</f>
        <v>0</v>
      </c>
      <c r="O177" s="25">
        <f t="shared" si="183"/>
        <v>0</v>
      </c>
      <c r="P177" s="25">
        <f t="shared" si="184"/>
        <v>0</v>
      </c>
      <c r="Q177" s="25">
        <f t="shared" si="185"/>
        <v>0</v>
      </c>
      <c r="R177" s="26">
        <f t="array" ref="R177">IFERROR(INDEX('Malaria-Equipment &amp; Other HPs'!$Q$130:$Q$230,MATCH($E177&amp;$F177,'Malaria-Equipment &amp; Other HPs'!$E$130:$E$230&amp;'Malaria-Equipment &amp; Other HPs'!$H$130:$H$230,0)),0)</f>
        <v>0</v>
      </c>
      <c r="S177" s="25">
        <f t="shared" si="186"/>
        <v>0</v>
      </c>
      <c r="T177" s="25">
        <f t="shared" si="187"/>
        <v>0</v>
      </c>
      <c r="U177" s="25">
        <f t="shared" si="188"/>
        <v>0</v>
      </c>
      <c r="V177" s="26">
        <f t="array" ref="V177">IFERROR(INDEX('Malaria-Equipment &amp; Other HPs'!$R$130:$R$230,MATCH($E177&amp;$F177,'Malaria-Equipment &amp; Other HPs'!$E$130:$E$230&amp;'Malaria-Equipment &amp; Other HPs'!$H$130:$H$230,0)),0)</f>
        <v>0</v>
      </c>
      <c r="W177" s="25">
        <f t="shared" si="189"/>
        <v>0</v>
      </c>
      <c r="X177" s="25">
        <f t="shared" si="190"/>
        <v>0</v>
      </c>
      <c r="Y177" s="25">
        <f t="shared" si="191"/>
        <v>0</v>
      </c>
      <c r="Z177" s="680"/>
      <c r="AA177" s="26">
        <f t="array" ref="AA177">IFERROR(INDEX('Malaria-Equipment &amp; Other HPs'!$U$130:$U$230,MATCH($E177&amp;$F177,'Malaria-Equipment &amp; Other HPs'!$E$130:$E$230&amp;'Malaria-Equipment &amp; Other HPs'!$H$130:$H$230,0)),0)</f>
        <v>0</v>
      </c>
      <c r="AB177" s="26">
        <f t="array" ref="AB177">IFERROR(INDEX('Malaria-Equipment &amp; Other HPs'!$V$130:$V$230,MATCH($E177&amp;$F177,'Malaria-Equipment &amp; Other HPs'!$E$130:$E$230&amp;'Malaria-Equipment &amp; Other HPs'!$H$130:$H$230,0)),0)</f>
        <v>0</v>
      </c>
      <c r="AC177" s="26">
        <f t="shared" si="192"/>
        <v>0</v>
      </c>
      <c r="AD177" s="25">
        <f t="shared" si="193"/>
        <v>0</v>
      </c>
      <c r="AE177" s="25">
        <f t="shared" si="194"/>
        <v>0</v>
      </c>
      <c r="AF177" s="26">
        <f t="array" ref="AF177">IFERROR(INDEX('Malaria-Equipment &amp; Other HPs'!$W$130:$W$230,MATCH($E177&amp;$F177,'Malaria-Equipment &amp; Other HPs'!$E$130:$E$230&amp;'Malaria-Equipment &amp; Other HPs'!$H$130:$H$230,0)),0)</f>
        <v>0</v>
      </c>
      <c r="AG177" s="26">
        <f t="shared" si="195"/>
        <v>0</v>
      </c>
      <c r="AH177" s="25">
        <f t="shared" si="196"/>
        <v>0</v>
      </c>
      <c r="AI177" s="25">
        <f t="shared" si="197"/>
        <v>0</v>
      </c>
      <c r="AJ177" s="26">
        <f t="array" ref="AJ177">IFERROR(INDEX('Malaria-Equipment &amp; Other HPs'!$X$130:$X$230,MATCH($E177&amp;$F177,'Malaria-Equipment &amp; Other HPs'!$E$130:$E$230&amp;'Malaria-Equipment &amp; Other HPs'!$H$130:$H$230,0)),0)</f>
        <v>0</v>
      </c>
      <c r="AK177" s="26">
        <f t="shared" si="198"/>
        <v>0</v>
      </c>
      <c r="AL177" s="25">
        <f t="shared" si="199"/>
        <v>0</v>
      </c>
      <c r="AM177" s="25">
        <f t="shared" si="200"/>
        <v>0</v>
      </c>
      <c r="AN177" s="26">
        <f t="array" ref="AN177">IFERROR(INDEX('Malaria-Equipment &amp; Other HPs'!$Y$130:$Y$230,MATCH($E177&amp;$F177,'Malaria-Equipment &amp; Other HPs'!$E$130:$E$230&amp;'Malaria-Equipment &amp; Other HPs'!$H$130:$H$230,0)),0)</f>
        <v>0</v>
      </c>
      <c r="AO177" s="26">
        <f t="shared" si="201"/>
        <v>0</v>
      </c>
      <c r="AP177" s="25">
        <f t="shared" si="202"/>
        <v>0</v>
      </c>
      <c r="AQ177" s="25">
        <f t="shared" si="203"/>
        <v>0</v>
      </c>
      <c r="AR177" s="680"/>
      <c r="AS177" s="26">
        <f t="array" ref="AS177">IFERROR(INDEX('Malaria-Equipment &amp; Other HPs'!$AB$130:$AB$230,MATCH($E177&amp;$F177,'Malaria-Equipment &amp; Other HPs'!$E$130:$E$230&amp;'Malaria-Equipment &amp; Other HPs'!$H$130:$H$230,0)),0)</f>
        <v>0</v>
      </c>
      <c r="AT177" s="26">
        <f t="array" ref="AT177">IFERROR(INDEX('Malaria-Equipment &amp; Other HPs'!$AC$130:$AC$230,MATCH($E177&amp;$F177,'Malaria-Equipment &amp; Other HPs'!$E$130:$E$230&amp;'Malaria-Equipment &amp; Other HPs'!$H$130:$H$230,0)),0)</f>
        <v>0</v>
      </c>
      <c r="AU177" s="26">
        <f t="shared" si="204"/>
        <v>0</v>
      </c>
      <c r="AV177" s="25">
        <f t="shared" si="205"/>
        <v>0</v>
      </c>
      <c r="AW177" s="25">
        <f t="shared" si="206"/>
        <v>0</v>
      </c>
      <c r="AX177" s="26">
        <f t="array" ref="AX177">IFERROR(INDEX('Malaria-Equipment &amp; Other HPs'!$AD$130:$AD$230,MATCH($E177&amp;$F177,'Malaria-Equipment &amp; Other HPs'!$E$130:$E$230&amp;'Malaria-Equipment &amp; Other HPs'!$H$130:$H$230,0)),0)</f>
        <v>0</v>
      </c>
      <c r="AY177" s="26">
        <f t="shared" si="207"/>
        <v>0</v>
      </c>
      <c r="AZ177" s="25">
        <f t="shared" si="208"/>
        <v>0</v>
      </c>
      <c r="BA177" s="25">
        <f t="shared" si="209"/>
        <v>0</v>
      </c>
      <c r="BB177" s="26">
        <f t="array" ref="BB177">IFERROR(INDEX('Malaria-Equipment &amp; Other HPs'!$AE$130:$AE$230,MATCH($E177&amp;$F177,'Malaria-Equipment &amp; Other HPs'!$E$130:$E$230&amp;'Malaria-Equipment &amp; Other HPs'!$H$130:$H$230,0)),0)</f>
        <v>0</v>
      </c>
      <c r="BC177" s="26">
        <f t="shared" si="210"/>
        <v>0</v>
      </c>
      <c r="BD177" s="25">
        <f t="shared" si="211"/>
        <v>0</v>
      </c>
      <c r="BE177" s="25">
        <f t="shared" si="212"/>
        <v>0</v>
      </c>
      <c r="BF177" s="26">
        <f t="array" ref="BF177">IFERROR(INDEX('Malaria-Equipment &amp; Other HPs'!$AF$130:$AF$230,MATCH($E177&amp;$F177,'Malaria-Equipment &amp; Other HPs'!$E$130:$E$230&amp;'Malaria-Equipment &amp; Other HPs'!$H$130:$H$230,0)),0)</f>
        <v>0</v>
      </c>
      <c r="BG177" s="26">
        <f t="shared" si="213"/>
        <v>0</v>
      </c>
      <c r="BH177" s="25">
        <f t="shared" si="214"/>
        <v>0</v>
      </c>
      <c r="BI177" s="25">
        <f t="shared" si="215"/>
        <v>0</v>
      </c>
      <c r="BJ177" s="680"/>
      <c r="BK177" s="26"/>
      <c r="BL177" s="26"/>
      <c r="BM177" s="26"/>
      <c r="BN177" s="26"/>
      <c r="BO177" s="26"/>
      <c r="BP177" s="26"/>
      <c r="BQ177" s="26"/>
      <c r="BR177" s="26"/>
      <c r="BT177" s="21" t="s">
        <v>6836</v>
      </c>
    </row>
    <row r="178" spans="1:72">
      <c r="A178" s="29" t="s">
        <v>537</v>
      </c>
      <c r="B178" s="29" t="s">
        <v>1550</v>
      </c>
      <c r="C178" s="626">
        <f>SETUP!$F$57</f>
        <v>0</v>
      </c>
      <c r="D178" s="25">
        <v>5.8</v>
      </c>
      <c r="E178" s="26" t="s">
        <v>1218</v>
      </c>
      <c r="F178" s="26" t="s">
        <v>1140</v>
      </c>
      <c r="G178" s="26" t="str">
        <f t="array" ref="G178">IFERROR(INDEX('Malaria-Equipment &amp; Other HPs'!$L$130:$L$230,MATCH($E178&amp;$F178,'Malaria-Equipment &amp; Other HPs'!$E$130:$E$230&amp;'Malaria-Equipment &amp; Other HPs'!$H$130:$H$230,0)),"")</f>
        <v/>
      </c>
      <c r="H178" s="26" t="str">
        <f t="array" ref="H178">IFERROR(INDEX('Malaria-Equipment &amp; Other HPs'!$M$130:$M$230,MATCH($E178&amp;$F178,'Malaria-Equipment &amp; Other HPs'!$E$130:$E$230&amp;'Malaria-Equipment &amp; Other HPs'!$H$130:$H$230,0)),"")</f>
        <v/>
      </c>
      <c r="I178" s="26">
        <f t="array" ref="I178">IFERROR(INDEX('Malaria-Equipment &amp; Other HPs'!$N$130:$N$230,MATCH($E178&amp;$F178,'Malaria-Equipment &amp; Other HPs'!$E$130:$E$230&amp;'Malaria-Equipment &amp; Other HPs'!$H$130:$H$230,0)),0)</f>
        <v>0</v>
      </c>
      <c r="J178" s="26">
        <f t="array" ref="J178">IFERROR(INDEX('Malaria-Equipment &amp; Other HPs'!$O$130:$O$230,MATCH($E178&amp;$F178,'Malaria-Equipment &amp; Other HPs'!$E$130:$E$230&amp;'Malaria-Equipment &amp; Other HPs'!$H$130:$H$230,0)),0)</f>
        <v>0</v>
      </c>
      <c r="K178" s="25">
        <f t="shared" si="180"/>
        <v>0</v>
      </c>
      <c r="L178" s="25">
        <f t="shared" si="181"/>
        <v>0</v>
      </c>
      <c r="M178" s="25">
        <f t="shared" si="182"/>
        <v>0</v>
      </c>
      <c r="N178" s="26">
        <f t="array" ref="N178">IFERROR(INDEX('Malaria-Equipment &amp; Other HPs'!$P$130:$P$230,MATCH($E178&amp;$F178,'Malaria-Equipment &amp; Other HPs'!$E$130:$E$230&amp;'Malaria-Equipment &amp; Other HPs'!$H$130:$H$230,0)),0)</f>
        <v>0</v>
      </c>
      <c r="O178" s="25">
        <f t="shared" si="183"/>
        <v>0</v>
      </c>
      <c r="P178" s="25">
        <f t="shared" si="184"/>
        <v>0</v>
      </c>
      <c r="Q178" s="25">
        <f t="shared" si="185"/>
        <v>0</v>
      </c>
      <c r="R178" s="26">
        <f t="array" ref="R178">IFERROR(INDEX('Malaria-Equipment &amp; Other HPs'!$Q$130:$Q$230,MATCH($E178&amp;$F178,'Malaria-Equipment &amp; Other HPs'!$E$130:$E$230&amp;'Malaria-Equipment &amp; Other HPs'!$H$130:$H$230,0)),0)</f>
        <v>0</v>
      </c>
      <c r="S178" s="25">
        <f t="shared" si="186"/>
        <v>0</v>
      </c>
      <c r="T178" s="25">
        <f t="shared" si="187"/>
        <v>0</v>
      </c>
      <c r="U178" s="25">
        <f t="shared" si="188"/>
        <v>0</v>
      </c>
      <c r="V178" s="26">
        <f t="array" ref="V178">IFERROR(INDEX('Malaria-Equipment &amp; Other HPs'!$R$130:$R$230,MATCH($E178&amp;$F178,'Malaria-Equipment &amp; Other HPs'!$E$130:$E$230&amp;'Malaria-Equipment &amp; Other HPs'!$H$130:$H$230,0)),0)</f>
        <v>0</v>
      </c>
      <c r="W178" s="25">
        <f t="shared" si="189"/>
        <v>0</v>
      </c>
      <c r="X178" s="25">
        <f t="shared" si="190"/>
        <v>0</v>
      </c>
      <c r="Y178" s="25">
        <f t="shared" si="191"/>
        <v>0</v>
      </c>
      <c r="Z178" s="680"/>
      <c r="AA178" s="26">
        <f t="array" ref="AA178">IFERROR(INDEX('Malaria-Equipment &amp; Other HPs'!$U$130:$U$230,MATCH($E178&amp;$F178,'Malaria-Equipment &amp; Other HPs'!$E$130:$E$230&amp;'Malaria-Equipment &amp; Other HPs'!$H$130:$H$230,0)),0)</f>
        <v>0</v>
      </c>
      <c r="AB178" s="26">
        <f t="array" ref="AB178">IFERROR(INDEX('Malaria-Equipment &amp; Other HPs'!$V$130:$V$230,MATCH($E178&amp;$F178,'Malaria-Equipment &amp; Other HPs'!$E$130:$E$230&amp;'Malaria-Equipment &amp; Other HPs'!$H$130:$H$230,0)),0)</f>
        <v>0</v>
      </c>
      <c r="AC178" s="26">
        <f t="shared" si="192"/>
        <v>0</v>
      </c>
      <c r="AD178" s="25">
        <f t="shared" si="193"/>
        <v>0</v>
      </c>
      <c r="AE178" s="25">
        <f t="shared" si="194"/>
        <v>0</v>
      </c>
      <c r="AF178" s="26">
        <f t="array" ref="AF178">IFERROR(INDEX('Malaria-Equipment &amp; Other HPs'!$W$130:$W$230,MATCH($E178&amp;$F178,'Malaria-Equipment &amp; Other HPs'!$E$130:$E$230&amp;'Malaria-Equipment &amp; Other HPs'!$H$130:$H$230,0)),0)</f>
        <v>0</v>
      </c>
      <c r="AG178" s="26">
        <f t="shared" si="195"/>
        <v>0</v>
      </c>
      <c r="AH178" s="25">
        <f t="shared" si="196"/>
        <v>0</v>
      </c>
      <c r="AI178" s="25">
        <f t="shared" si="197"/>
        <v>0</v>
      </c>
      <c r="AJ178" s="26">
        <f t="array" ref="AJ178">IFERROR(INDEX('Malaria-Equipment &amp; Other HPs'!$X$130:$X$230,MATCH($E178&amp;$F178,'Malaria-Equipment &amp; Other HPs'!$E$130:$E$230&amp;'Malaria-Equipment &amp; Other HPs'!$H$130:$H$230,0)),0)</f>
        <v>0</v>
      </c>
      <c r="AK178" s="26">
        <f t="shared" si="198"/>
        <v>0</v>
      </c>
      <c r="AL178" s="25">
        <f t="shared" si="199"/>
        <v>0</v>
      </c>
      <c r="AM178" s="25">
        <f t="shared" si="200"/>
        <v>0</v>
      </c>
      <c r="AN178" s="26">
        <f t="array" ref="AN178">IFERROR(INDEX('Malaria-Equipment &amp; Other HPs'!$Y$130:$Y$230,MATCH($E178&amp;$F178,'Malaria-Equipment &amp; Other HPs'!$E$130:$E$230&amp;'Malaria-Equipment &amp; Other HPs'!$H$130:$H$230,0)),0)</f>
        <v>0</v>
      </c>
      <c r="AO178" s="26">
        <f t="shared" si="201"/>
        <v>0</v>
      </c>
      <c r="AP178" s="25">
        <f t="shared" si="202"/>
        <v>0</v>
      </c>
      <c r="AQ178" s="25">
        <f t="shared" si="203"/>
        <v>0</v>
      </c>
      <c r="AR178" s="680"/>
      <c r="AS178" s="26">
        <f t="array" ref="AS178">IFERROR(INDEX('Malaria-Equipment &amp; Other HPs'!$AB$130:$AB$230,MATCH($E178&amp;$F178,'Malaria-Equipment &amp; Other HPs'!$E$130:$E$230&amp;'Malaria-Equipment &amp; Other HPs'!$H$130:$H$230,0)),0)</f>
        <v>0</v>
      </c>
      <c r="AT178" s="26">
        <f t="array" ref="AT178">IFERROR(INDEX('Malaria-Equipment &amp; Other HPs'!$AC$130:$AC$230,MATCH($E178&amp;$F178,'Malaria-Equipment &amp; Other HPs'!$E$130:$E$230&amp;'Malaria-Equipment &amp; Other HPs'!$H$130:$H$230,0)),0)</f>
        <v>0</v>
      </c>
      <c r="AU178" s="26">
        <f t="shared" si="204"/>
        <v>0</v>
      </c>
      <c r="AV178" s="25">
        <f t="shared" si="205"/>
        <v>0</v>
      </c>
      <c r="AW178" s="25">
        <f t="shared" si="206"/>
        <v>0</v>
      </c>
      <c r="AX178" s="26">
        <f t="array" ref="AX178">IFERROR(INDEX('Malaria-Equipment &amp; Other HPs'!$AD$130:$AD$230,MATCH($E178&amp;$F178,'Malaria-Equipment &amp; Other HPs'!$E$130:$E$230&amp;'Malaria-Equipment &amp; Other HPs'!$H$130:$H$230,0)),0)</f>
        <v>0</v>
      </c>
      <c r="AY178" s="26">
        <f t="shared" si="207"/>
        <v>0</v>
      </c>
      <c r="AZ178" s="25">
        <f t="shared" si="208"/>
        <v>0</v>
      </c>
      <c r="BA178" s="25">
        <f t="shared" si="209"/>
        <v>0</v>
      </c>
      <c r="BB178" s="26">
        <f t="array" ref="BB178">IFERROR(INDEX('Malaria-Equipment &amp; Other HPs'!$AE$130:$AE$230,MATCH($E178&amp;$F178,'Malaria-Equipment &amp; Other HPs'!$E$130:$E$230&amp;'Malaria-Equipment &amp; Other HPs'!$H$130:$H$230,0)),0)</f>
        <v>0</v>
      </c>
      <c r="BC178" s="26">
        <f t="shared" si="210"/>
        <v>0</v>
      </c>
      <c r="BD178" s="25">
        <f t="shared" si="211"/>
        <v>0</v>
      </c>
      <c r="BE178" s="25">
        <f t="shared" si="212"/>
        <v>0</v>
      </c>
      <c r="BF178" s="26">
        <f t="array" ref="BF178">IFERROR(INDEX('Malaria-Equipment &amp; Other HPs'!$AF$130:$AF$230,MATCH($E178&amp;$F178,'Malaria-Equipment &amp; Other HPs'!$E$130:$E$230&amp;'Malaria-Equipment &amp; Other HPs'!$H$130:$H$230,0)),0)</f>
        <v>0</v>
      </c>
      <c r="BG178" s="26">
        <f t="shared" si="213"/>
        <v>0</v>
      </c>
      <c r="BH178" s="25">
        <f t="shared" si="214"/>
        <v>0</v>
      </c>
      <c r="BI178" s="25">
        <f t="shared" si="215"/>
        <v>0</v>
      </c>
      <c r="BJ178" s="680"/>
      <c r="BK178" s="26"/>
      <c r="BL178" s="26"/>
      <c r="BM178" s="26"/>
      <c r="BN178" s="26"/>
      <c r="BO178" s="26"/>
      <c r="BP178" s="26"/>
      <c r="BQ178" s="26"/>
      <c r="BR178" s="26"/>
      <c r="BT178" s="21" t="s">
        <v>6837</v>
      </c>
    </row>
    <row r="179" spans="1:72">
      <c r="A179" s="29" t="s">
        <v>537</v>
      </c>
      <c r="B179" s="29" t="s">
        <v>1550</v>
      </c>
      <c r="C179" s="626">
        <f>SETUP!$F$57</f>
        <v>0</v>
      </c>
      <c r="D179" s="25">
        <v>5.8</v>
      </c>
      <c r="E179" s="26" t="s">
        <v>1219</v>
      </c>
      <c r="F179" s="26" t="s">
        <v>1140</v>
      </c>
      <c r="G179" s="26" t="str">
        <f t="array" ref="G179">IFERROR(INDEX('Malaria-Equipment &amp; Other HPs'!$L$130:$L$230,MATCH($E179&amp;$F179,'Malaria-Equipment &amp; Other HPs'!$E$130:$E$230&amp;'Malaria-Equipment &amp; Other HPs'!$H$130:$H$230,0)),"")</f>
        <v/>
      </c>
      <c r="H179" s="26" t="str">
        <f t="array" ref="H179">IFERROR(INDEX('Malaria-Equipment &amp; Other HPs'!$M$130:$M$230,MATCH($E179&amp;$F179,'Malaria-Equipment &amp; Other HPs'!$E$130:$E$230&amp;'Malaria-Equipment &amp; Other HPs'!$H$130:$H$230,0)),"")</f>
        <v/>
      </c>
      <c r="I179" s="26">
        <f t="array" ref="I179">IFERROR(INDEX('Malaria-Equipment &amp; Other HPs'!$N$130:$N$230,MATCH($E179&amp;$F179,'Malaria-Equipment &amp; Other HPs'!$E$130:$E$230&amp;'Malaria-Equipment &amp; Other HPs'!$H$130:$H$230,0)),0)</f>
        <v>0</v>
      </c>
      <c r="J179" s="26">
        <f t="array" ref="J179">IFERROR(INDEX('Malaria-Equipment &amp; Other HPs'!$O$130:$O$230,MATCH($E179&amp;$F179,'Malaria-Equipment &amp; Other HPs'!$E$130:$E$230&amp;'Malaria-Equipment &amp; Other HPs'!$H$130:$H$230,0)),0)</f>
        <v>0</v>
      </c>
      <c r="K179" s="25">
        <f t="shared" si="180"/>
        <v>0</v>
      </c>
      <c r="L179" s="25">
        <f t="shared" si="181"/>
        <v>0</v>
      </c>
      <c r="M179" s="25">
        <f t="shared" si="182"/>
        <v>0</v>
      </c>
      <c r="N179" s="26">
        <f t="array" ref="N179">IFERROR(INDEX('Malaria-Equipment &amp; Other HPs'!$P$130:$P$230,MATCH($E179&amp;$F179,'Malaria-Equipment &amp; Other HPs'!$E$130:$E$230&amp;'Malaria-Equipment &amp; Other HPs'!$H$130:$H$230,0)),0)</f>
        <v>0</v>
      </c>
      <c r="O179" s="25">
        <f t="shared" si="183"/>
        <v>0</v>
      </c>
      <c r="P179" s="25">
        <f t="shared" si="184"/>
        <v>0</v>
      </c>
      <c r="Q179" s="25">
        <f t="shared" si="185"/>
        <v>0</v>
      </c>
      <c r="R179" s="26">
        <f t="array" ref="R179">IFERROR(INDEX('Malaria-Equipment &amp; Other HPs'!$Q$130:$Q$230,MATCH($E179&amp;$F179,'Malaria-Equipment &amp; Other HPs'!$E$130:$E$230&amp;'Malaria-Equipment &amp; Other HPs'!$H$130:$H$230,0)),0)</f>
        <v>0</v>
      </c>
      <c r="S179" s="25">
        <f t="shared" si="186"/>
        <v>0</v>
      </c>
      <c r="T179" s="25">
        <f t="shared" si="187"/>
        <v>0</v>
      </c>
      <c r="U179" s="25">
        <f t="shared" si="188"/>
        <v>0</v>
      </c>
      <c r="V179" s="26">
        <f t="array" ref="V179">IFERROR(INDEX('Malaria-Equipment &amp; Other HPs'!$R$130:$R$230,MATCH($E179&amp;$F179,'Malaria-Equipment &amp; Other HPs'!$E$130:$E$230&amp;'Malaria-Equipment &amp; Other HPs'!$H$130:$H$230,0)),0)</f>
        <v>0</v>
      </c>
      <c r="W179" s="25">
        <f t="shared" si="189"/>
        <v>0</v>
      </c>
      <c r="X179" s="25">
        <f t="shared" si="190"/>
        <v>0</v>
      </c>
      <c r="Y179" s="25">
        <f t="shared" si="191"/>
        <v>0</v>
      </c>
      <c r="Z179" s="680"/>
      <c r="AA179" s="26">
        <f t="array" ref="AA179">IFERROR(INDEX('Malaria-Equipment &amp; Other HPs'!$U$130:$U$230,MATCH($E179&amp;$F179,'Malaria-Equipment &amp; Other HPs'!$E$130:$E$230&amp;'Malaria-Equipment &amp; Other HPs'!$H$130:$H$230,0)),0)</f>
        <v>0</v>
      </c>
      <c r="AB179" s="26">
        <f t="array" ref="AB179">IFERROR(INDEX('Malaria-Equipment &amp; Other HPs'!$V$130:$V$230,MATCH($E179&amp;$F179,'Malaria-Equipment &amp; Other HPs'!$E$130:$E$230&amp;'Malaria-Equipment &amp; Other HPs'!$H$130:$H$230,0)),0)</f>
        <v>0</v>
      </c>
      <c r="AC179" s="26">
        <f t="shared" si="192"/>
        <v>0</v>
      </c>
      <c r="AD179" s="25">
        <f t="shared" si="193"/>
        <v>0</v>
      </c>
      <c r="AE179" s="25">
        <f t="shared" si="194"/>
        <v>0</v>
      </c>
      <c r="AF179" s="26">
        <f t="array" ref="AF179">IFERROR(INDEX('Malaria-Equipment &amp; Other HPs'!$W$130:$W$230,MATCH($E179&amp;$F179,'Malaria-Equipment &amp; Other HPs'!$E$130:$E$230&amp;'Malaria-Equipment &amp; Other HPs'!$H$130:$H$230,0)),0)</f>
        <v>0</v>
      </c>
      <c r="AG179" s="26">
        <f t="shared" si="195"/>
        <v>0</v>
      </c>
      <c r="AH179" s="25">
        <f t="shared" si="196"/>
        <v>0</v>
      </c>
      <c r="AI179" s="25">
        <f t="shared" si="197"/>
        <v>0</v>
      </c>
      <c r="AJ179" s="26">
        <f t="array" ref="AJ179">IFERROR(INDEX('Malaria-Equipment &amp; Other HPs'!$X$130:$X$230,MATCH($E179&amp;$F179,'Malaria-Equipment &amp; Other HPs'!$E$130:$E$230&amp;'Malaria-Equipment &amp; Other HPs'!$H$130:$H$230,0)),0)</f>
        <v>0</v>
      </c>
      <c r="AK179" s="26">
        <f t="shared" si="198"/>
        <v>0</v>
      </c>
      <c r="AL179" s="25">
        <f t="shared" si="199"/>
        <v>0</v>
      </c>
      <c r="AM179" s="25">
        <f t="shared" si="200"/>
        <v>0</v>
      </c>
      <c r="AN179" s="26">
        <f t="array" ref="AN179">IFERROR(INDEX('Malaria-Equipment &amp; Other HPs'!$Y$130:$Y$230,MATCH($E179&amp;$F179,'Malaria-Equipment &amp; Other HPs'!$E$130:$E$230&amp;'Malaria-Equipment &amp; Other HPs'!$H$130:$H$230,0)),0)</f>
        <v>0</v>
      </c>
      <c r="AO179" s="26">
        <f t="shared" si="201"/>
        <v>0</v>
      </c>
      <c r="AP179" s="25">
        <f t="shared" si="202"/>
        <v>0</v>
      </c>
      <c r="AQ179" s="25">
        <f t="shared" si="203"/>
        <v>0</v>
      </c>
      <c r="AR179" s="680"/>
      <c r="AS179" s="26">
        <f t="array" ref="AS179">IFERROR(INDEX('Malaria-Equipment &amp; Other HPs'!$AB$130:$AB$230,MATCH($E179&amp;$F179,'Malaria-Equipment &amp; Other HPs'!$E$130:$E$230&amp;'Malaria-Equipment &amp; Other HPs'!$H$130:$H$230,0)),0)</f>
        <v>0</v>
      </c>
      <c r="AT179" s="26">
        <f t="array" ref="AT179">IFERROR(INDEX('Malaria-Equipment &amp; Other HPs'!$AC$130:$AC$230,MATCH($E179&amp;$F179,'Malaria-Equipment &amp; Other HPs'!$E$130:$E$230&amp;'Malaria-Equipment &amp; Other HPs'!$H$130:$H$230,0)),0)</f>
        <v>0</v>
      </c>
      <c r="AU179" s="26">
        <f t="shared" si="204"/>
        <v>0</v>
      </c>
      <c r="AV179" s="25">
        <f t="shared" si="205"/>
        <v>0</v>
      </c>
      <c r="AW179" s="25">
        <f t="shared" si="206"/>
        <v>0</v>
      </c>
      <c r="AX179" s="26">
        <f t="array" ref="AX179">IFERROR(INDEX('Malaria-Equipment &amp; Other HPs'!$AD$130:$AD$230,MATCH($E179&amp;$F179,'Malaria-Equipment &amp; Other HPs'!$E$130:$E$230&amp;'Malaria-Equipment &amp; Other HPs'!$H$130:$H$230,0)),0)</f>
        <v>0</v>
      </c>
      <c r="AY179" s="26">
        <f t="shared" si="207"/>
        <v>0</v>
      </c>
      <c r="AZ179" s="25">
        <f t="shared" si="208"/>
        <v>0</v>
      </c>
      <c r="BA179" s="25">
        <f t="shared" si="209"/>
        <v>0</v>
      </c>
      <c r="BB179" s="26">
        <f t="array" ref="BB179">IFERROR(INDEX('Malaria-Equipment &amp; Other HPs'!$AE$130:$AE$230,MATCH($E179&amp;$F179,'Malaria-Equipment &amp; Other HPs'!$E$130:$E$230&amp;'Malaria-Equipment &amp; Other HPs'!$H$130:$H$230,0)),0)</f>
        <v>0</v>
      </c>
      <c r="BC179" s="26">
        <f t="shared" si="210"/>
        <v>0</v>
      </c>
      <c r="BD179" s="25">
        <f t="shared" si="211"/>
        <v>0</v>
      </c>
      <c r="BE179" s="25">
        <f t="shared" si="212"/>
        <v>0</v>
      </c>
      <c r="BF179" s="26">
        <f t="array" ref="BF179">IFERROR(INDEX('Malaria-Equipment &amp; Other HPs'!$AF$130:$AF$230,MATCH($E179&amp;$F179,'Malaria-Equipment &amp; Other HPs'!$E$130:$E$230&amp;'Malaria-Equipment &amp; Other HPs'!$H$130:$H$230,0)),0)</f>
        <v>0</v>
      </c>
      <c r="BG179" s="26">
        <f t="shared" si="213"/>
        <v>0</v>
      </c>
      <c r="BH179" s="25">
        <f t="shared" si="214"/>
        <v>0</v>
      </c>
      <c r="BI179" s="25">
        <f t="shared" si="215"/>
        <v>0</v>
      </c>
      <c r="BJ179" s="680"/>
      <c r="BK179" s="26"/>
      <c r="BL179" s="26"/>
      <c r="BM179" s="26"/>
      <c r="BN179" s="26"/>
      <c r="BO179" s="26"/>
      <c r="BP179" s="26"/>
      <c r="BQ179" s="26"/>
      <c r="BR179" s="26"/>
      <c r="BT179" s="21" t="s">
        <v>6838</v>
      </c>
    </row>
    <row r="180" spans="1:72">
      <c r="A180" s="29" t="s">
        <v>537</v>
      </c>
      <c r="B180" s="29" t="s">
        <v>1550</v>
      </c>
      <c r="C180" s="626">
        <f>SETUP!$F$57</f>
        <v>0</v>
      </c>
      <c r="D180" s="25">
        <v>5.8</v>
      </c>
      <c r="E180" s="26" t="s">
        <v>1228</v>
      </c>
      <c r="F180" s="26" t="s">
        <v>1140</v>
      </c>
      <c r="G180" s="26" t="str">
        <f t="array" ref="G180">IFERROR(INDEX('Malaria-Equipment &amp; Other HPs'!$L$130:$L$230,MATCH($E180&amp;$F180,'Malaria-Equipment &amp; Other HPs'!$E$130:$E$230&amp;'Malaria-Equipment &amp; Other HPs'!$H$130:$H$230,0)),"")</f>
        <v/>
      </c>
      <c r="H180" s="26" t="str">
        <f t="array" ref="H180">IFERROR(INDEX('Malaria-Equipment &amp; Other HPs'!$M$130:$M$230,MATCH($E180&amp;$F180,'Malaria-Equipment &amp; Other HPs'!$E$130:$E$230&amp;'Malaria-Equipment &amp; Other HPs'!$H$130:$H$230,0)),"")</f>
        <v/>
      </c>
      <c r="I180" s="26">
        <f t="array" ref="I180">IFERROR(INDEX('Malaria-Equipment &amp; Other HPs'!$N$130:$N$230,MATCH($E180&amp;$F180,'Malaria-Equipment &amp; Other HPs'!$E$130:$E$230&amp;'Malaria-Equipment &amp; Other HPs'!$H$130:$H$230,0)),0)</f>
        <v>0</v>
      </c>
      <c r="J180" s="26">
        <f t="array" ref="J180">IFERROR(INDEX('Malaria-Equipment &amp; Other HPs'!$O$130:$O$230,MATCH($E180&amp;$F180,'Malaria-Equipment &amp; Other HPs'!$E$130:$E$230&amp;'Malaria-Equipment &amp; Other HPs'!$H$130:$H$230,0)),0)</f>
        <v>0</v>
      </c>
      <c r="K180" s="25">
        <f t="shared" si="180"/>
        <v>0</v>
      </c>
      <c r="L180" s="25">
        <f t="shared" si="181"/>
        <v>0</v>
      </c>
      <c r="M180" s="25">
        <f t="shared" si="182"/>
        <v>0</v>
      </c>
      <c r="N180" s="26">
        <f t="array" ref="N180">IFERROR(INDEX('Malaria-Equipment &amp; Other HPs'!$P$130:$P$230,MATCH($E180&amp;$F180,'Malaria-Equipment &amp; Other HPs'!$E$130:$E$230&amp;'Malaria-Equipment &amp; Other HPs'!$H$130:$H$230,0)),0)</f>
        <v>0</v>
      </c>
      <c r="O180" s="25">
        <f t="shared" si="183"/>
        <v>0</v>
      </c>
      <c r="P180" s="25">
        <f t="shared" si="184"/>
        <v>0</v>
      </c>
      <c r="Q180" s="25">
        <f t="shared" si="185"/>
        <v>0</v>
      </c>
      <c r="R180" s="26">
        <f t="array" ref="R180">IFERROR(INDEX('Malaria-Equipment &amp; Other HPs'!$Q$130:$Q$230,MATCH($E180&amp;$F180,'Malaria-Equipment &amp; Other HPs'!$E$130:$E$230&amp;'Malaria-Equipment &amp; Other HPs'!$H$130:$H$230,0)),0)</f>
        <v>0</v>
      </c>
      <c r="S180" s="25">
        <f t="shared" si="186"/>
        <v>0</v>
      </c>
      <c r="T180" s="25">
        <f t="shared" si="187"/>
        <v>0</v>
      </c>
      <c r="U180" s="25">
        <f t="shared" si="188"/>
        <v>0</v>
      </c>
      <c r="V180" s="26">
        <f t="array" ref="V180">IFERROR(INDEX('Malaria-Equipment &amp; Other HPs'!$R$130:$R$230,MATCH($E180&amp;$F180,'Malaria-Equipment &amp; Other HPs'!$E$130:$E$230&amp;'Malaria-Equipment &amp; Other HPs'!$H$130:$H$230,0)),0)</f>
        <v>0</v>
      </c>
      <c r="W180" s="25">
        <f t="shared" si="189"/>
        <v>0</v>
      </c>
      <c r="X180" s="25">
        <f t="shared" si="190"/>
        <v>0</v>
      </c>
      <c r="Y180" s="25">
        <f t="shared" si="191"/>
        <v>0</v>
      </c>
      <c r="Z180" s="680"/>
      <c r="AA180" s="26">
        <f t="array" ref="AA180">IFERROR(INDEX('Malaria-Equipment &amp; Other HPs'!$U$130:$U$230,MATCH($E180&amp;$F180,'Malaria-Equipment &amp; Other HPs'!$E$130:$E$230&amp;'Malaria-Equipment &amp; Other HPs'!$H$130:$H$230,0)),0)</f>
        <v>0</v>
      </c>
      <c r="AB180" s="26">
        <f t="array" ref="AB180">IFERROR(INDEX('Malaria-Equipment &amp; Other HPs'!$V$130:$V$230,MATCH($E180&amp;$F180,'Malaria-Equipment &amp; Other HPs'!$E$130:$E$230&amp;'Malaria-Equipment &amp; Other HPs'!$H$130:$H$230,0)),0)</f>
        <v>0</v>
      </c>
      <c r="AC180" s="26">
        <f t="shared" si="192"/>
        <v>0</v>
      </c>
      <c r="AD180" s="25">
        <f t="shared" si="193"/>
        <v>0</v>
      </c>
      <c r="AE180" s="25">
        <f t="shared" si="194"/>
        <v>0</v>
      </c>
      <c r="AF180" s="26">
        <f t="array" ref="AF180">IFERROR(INDEX('Malaria-Equipment &amp; Other HPs'!$W$130:$W$230,MATCH($E180&amp;$F180,'Malaria-Equipment &amp; Other HPs'!$E$130:$E$230&amp;'Malaria-Equipment &amp; Other HPs'!$H$130:$H$230,0)),0)</f>
        <v>0</v>
      </c>
      <c r="AG180" s="26">
        <f t="shared" si="195"/>
        <v>0</v>
      </c>
      <c r="AH180" s="25">
        <f t="shared" si="196"/>
        <v>0</v>
      </c>
      <c r="AI180" s="25">
        <f t="shared" si="197"/>
        <v>0</v>
      </c>
      <c r="AJ180" s="26">
        <f t="array" ref="AJ180">IFERROR(INDEX('Malaria-Equipment &amp; Other HPs'!$X$130:$X$230,MATCH($E180&amp;$F180,'Malaria-Equipment &amp; Other HPs'!$E$130:$E$230&amp;'Malaria-Equipment &amp; Other HPs'!$H$130:$H$230,0)),0)</f>
        <v>0</v>
      </c>
      <c r="AK180" s="26">
        <f t="shared" si="198"/>
        <v>0</v>
      </c>
      <c r="AL180" s="25">
        <f t="shared" si="199"/>
        <v>0</v>
      </c>
      <c r="AM180" s="25">
        <f t="shared" si="200"/>
        <v>0</v>
      </c>
      <c r="AN180" s="26">
        <f t="array" ref="AN180">IFERROR(INDEX('Malaria-Equipment &amp; Other HPs'!$Y$130:$Y$230,MATCH($E180&amp;$F180,'Malaria-Equipment &amp; Other HPs'!$E$130:$E$230&amp;'Malaria-Equipment &amp; Other HPs'!$H$130:$H$230,0)),0)</f>
        <v>0</v>
      </c>
      <c r="AO180" s="26">
        <f t="shared" si="201"/>
        <v>0</v>
      </c>
      <c r="AP180" s="25">
        <f t="shared" si="202"/>
        <v>0</v>
      </c>
      <c r="AQ180" s="25">
        <f t="shared" si="203"/>
        <v>0</v>
      </c>
      <c r="AR180" s="680"/>
      <c r="AS180" s="26">
        <f t="array" ref="AS180">IFERROR(INDEX('Malaria-Equipment &amp; Other HPs'!$AB$130:$AB$230,MATCH($E180&amp;$F180,'Malaria-Equipment &amp; Other HPs'!$E$130:$E$230&amp;'Malaria-Equipment &amp; Other HPs'!$H$130:$H$230,0)),0)</f>
        <v>0</v>
      </c>
      <c r="AT180" s="26">
        <f t="array" ref="AT180">IFERROR(INDEX('Malaria-Equipment &amp; Other HPs'!$AC$130:$AC$230,MATCH($E180&amp;$F180,'Malaria-Equipment &amp; Other HPs'!$E$130:$E$230&amp;'Malaria-Equipment &amp; Other HPs'!$H$130:$H$230,0)),0)</f>
        <v>0</v>
      </c>
      <c r="AU180" s="26">
        <f t="shared" si="204"/>
        <v>0</v>
      </c>
      <c r="AV180" s="25">
        <f t="shared" si="205"/>
        <v>0</v>
      </c>
      <c r="AW180" s="25">
        <f t="shared" si="206"/>
        <v>0</v>
      </c>
      <c r="AX180" s="26">
        <f t="array" ref="AX180">IFERROR(INDEX('Malaria-Equipment &amp; Other HPs'!$AD$130:$AD$230,MATCH($E180&amp;$F180,'Malaria-Equipment &amp; Other HPs'!$E$130:$E$230&amp;'Malaria-Equipment &amp; Other HPs'!$H$130:$H$230,0)),0)</f>
        <v>0</v>
      </c>
      <c r="AY180" s="26">
        <f t="shared" si="207"/>
        <v>0</v>
      </c>
      <c r="AZ180" s="25">
        <f t="shared" si="208"/>
        <v>0</v>
      </c>
      <c r="BA180" s="25">
        <f t="shared" si="209"/>
        <v>0</v>
      </c>
      <c r="BB180" s="26">
        <f t="array" ref="BB180">IFERROR(INDEX('Malaria-Equipment &amp; Other HPs'!$AE$130:$AE$230,MATCH($E180&amp;$F180,'Malaria-Equipment &amp; Other HPs'!$E$130:$E$230&amp;'Malaria-Equipment &amp; Other HPs'!$H$130:$H$230,0)),0)</f>
        <v>0</v>
      </c>
      <c r="BC180" s="26">
        <f t="shared" si="210"/>
        <v>0</v>
      </c>
      <c r="BD180" s="25">
        <f t="shared" si="211"/>
        <v>0</v>
      </c>
      <c r="BE180" s="25">
        <f t="shared" si="212"/>
        <v>0</v>
      </c>
      <c r="BF180" s="26">
        <f t="array" ref="BF180">IFERROR(INDEX('Malaria-Equipment &amp; Other HPs'!$AF$130:$AF$230,MATCH($E180&amp;$F180,'Malaria-Equipment &amp; Other HPs'!$E$130:$E$230&amp;'Malaria-Equipment &amp; Other HPs'!$H$130:$H$230,0)),0)</f>
        <v>0</v>
      </c>
      <c r="BG180" s="26">
        <f t="shared" si="213"/>
        <v>0</v>
      </c>
      <c r="BH180" s="25">
        <f t="shared" si="214"/>
        <v>0</v>
      </c>
      <c r="BI180" s="25">
        <f t="shared" si="215"/>
        <v>0</v>
      </c>
      <c r="BJ180" s="680"/>
      <c r="BK180" s="26"/>
      <c r="BL180" s="26"/>
      <c r="BM180" s="26"/>
      <c r="BN180" s="26"/>
      <c r="BO180" s="26"/>
      <c r="BP180" s="26"/>
      <c r="BQ180" s="26"/>
      <c r="BR180" s="26"/>
      <c r="BT180" s="21" t="s">
        <v>6839</v>
      </c>
    </row>
    <row r="181" spans="1:72">
      <c r="A181" s="29" t="s">
        <v>63</v>
      </c>
      <c r="B181" s="29" t="s">
        <v>1550</v>
      </c>
      <c r="C181" s="626">
        <f>SETUP!$F$58</f>
        <v>0</v>
      </c>
      <c r="D181" s="25">
        <v>6.5</v>
      </c>
      <c r="E181" s="26" t="s">
        <v>215</v>
      </c>
      <c r="F181" s="26" t="s">
        <v>218</v>
      </c>
      <c r="G181" s="26" t="str">
        <f t="array" ref="G181">IFERROR(INDEX('Malaria-Equipment &amp; Other HPs'!$L$130:$L$230,MATCH($E181&amp;$F181,'Malaria-Equipment &amp; Other HPs'!$E$130:$E$230&amp;'Malaria-Equipment &amp; Other HPs'!$H$130:$H$230,0)),"")</f>
        <v/>
      </c>
      <c r="H181" s="26" t="str">
        <f t="array" ref="H181">IFERROR(INDEX('Malaria-Equipment &amp; Other HPs'!$M$130:$M$230,MATCH($E181&amp;$F181,'Malaria-Equipment &amp; Other HPs'!$E$130:$E$230&amp;'Malaria-Equipment &amp; Other HPs'!$H$130:$H$230,0)),"")</f>
        <v/>
      </c>
      <c r="I181" s="26">
        <f t="array" ref="I181">IFERROR(INDEX('Malaria-Equipment &amp; Other HPs'!$N$130:$N$230,MATCH($E181&amp;$F181,'Malaria-Equipment &amp; Other HPs'!$E$130:$E$230&amp;'Malaria-Equipment &amp; Other HPs'!$H$130:$H$230,0)),0)</f>
        <v>0</v>
      </c>
      <c r="J181" s="26">
        <f t="array" ref="J181">IFERROR(INDEX('Malaria-Equipment &amp; Other HPs'!$O$130:$O$230,MATCH($E181&amp;$F181,'Malaria-Equipment &amp; Other HPs'!$E$130:$E$230&amp;'Malaria-Equipment &amp; Other HPs'!$H$130:$H$230,0)),0)</f>
        <v>0</v>
      </c>
      <c r="K181" s="25">
        <f t="shared" si="180"/>
        <v>0</v>
      </c>
      <c r="L181" s="25">
        <f t="shared" si="181"/>
        <v>0</v>
      </c>
      <c r="M181" s="25">
        <f t="shared" si="182"/>
        <v>0</v>
      </c>
      <c r="N181" s="26">
        <f t="array" ref="N181">IFERROR(INDEX('Malaria-Equipment &amp; Other HPs'!$P$130:$P$230,MATCH($E181&amp;$F181,'Malaria-Equipment &amp; Other HPs'!$E$130:$E$230&amp;'Malaria-Equipment &amp; Other HPs'!$H$130:$H$230,0)),0)</f>
        <v>0</v>
      </c>
      <c r="O181" s="25">
        <f t="shared" si="183"/>
        <v>0</v>
      </c>
      <c r="P181" s="25">
        <f t="shared" si="184"/>
        <v>0</v>
      </c>
      <c r="Q181" s="25">
        <f t="shared" si="185"/>
        <v>0</v>
      </c>
      <c r="R181" s="26">
        <f t="array" ref="R181">IFERROR(INDEX('Malaria-Equipment &amp; Other HPs'!$Q$130:$Q$230,MATCH($E181&amp;$F181,'Malaria-Equipment &amp; Other HPs'!$E$130:$E$230&amp;'Malaria-Equipment &amp; Other HPs'!$H$130:$H$230,0)),0)</f>
        <v>0</v>
      </c>
      <c r="S181" s="25">
        <f t="shared" si="186"/>
        <v>0</v>
      </c>
      <c r="T181" s="25">
        <f t="shared" si="187"/>
        <v>0</v>
      </c>
      <c r="U181" s="25">
        <f t="shared" si="188"/>
        <v>0</v>
      </c>
      <c r="V181" s="26">
        <f t="array" ref="V181">IFERROR(INDEX('Malaria-Equipment &amp; Other HPs'!$R$130:$R$230,MATCH($E181&amp;$F181,'Malaria-Equipment &amp; Other HPs'!$E$130:$E$230&amp;'Malaria-Equipment &amp; Other HPs'!$H$130:$H$230,0)),0)</f>
        <v>0</v>
      </c>
      <c r="W181" s="25">
        <f t="shared" si="189"/>
        <v>0</v>
      </c>
      <c r="X181" s="25">
        <f t="shared" si="190"/>
        <v>0</v>
      </c>
      <c r="Y181" s="25">
        <f t="shared" si="191"/>
        <v>0</v>
      </c>
      <c r="Z181" s="680"/>
      <c r="AA181" s="26">
        <f t="array" ref="AA181">IFERROR(INDEX('Malaria-Equipment &amp; Other HPs'!$U$130:$U$230,MATCH($E181&amp;$F181,'Malaria-Equipment &amp; Other HPs'!$E$130:$E$230&amp;'Malaria-Equipment &amp; Other HPs'!$H$130:$H$230,0)),0)</f>
        <v>0</v>
      </c>
      <c r="AB181" s="26">
        <f t="array" ref="AB181">IFERROR(INDEX('Malaria-Equipment &amp; Other HPs'!$V$130:$V$230,MATCH($E181&amp;$F181,'Malaria-Equipment &amp; Other HPs'!$E$130:$E$230&amp;'Malaria-Equipment &amp; Other HPs'!$H$130:$H$230,0)),0)</f>
        <v>0</v>
      </c>
      <c r="AC181" s="26">
        <f t="shared" si="192"/>
        <v>0</v>
      </c>
      <c r="AD181" s="25">
        <f t="shared" si="193"/>
        <v>0</v>
      </c>
      <c r="AE181" s="25">
        <f t="shared" si="194"/>
        <v>0</v>
      </c>
      <c r="AF181" s="26">
        <f t="array" ref="AF181">IFERROR(INDEX('Malaria-Equipment &amp; Other HPs'!$W$130:$W$230,MATCH($E181&amp;$F181,'Malaria-Equipment &amp; Other HPs'!$E$130:$E$230&amp;'Malaria-Equipment &amp; Other HPs'!$H$130:$H$230,0)),0)</f>
        <v>0</v>
      </c>
      <c r="AG181" s="26">
        <f t="shared" si="195"/>
        <v>0</v>
      </c>
      <c r="AH181" s="25">
        <f t="shared" si="196"/>
        <v>0</v>
      </c>
      <c r="AI181" s="25">
        <f t="shared" si="197"/>
        <v>0</v>
      </c>
      <c r="AJ181" s="26">
        <f t="array" ref="AJ181">IFERROR(INDEX('Malaria-Equipment &amp; Other HPs'!$X$130:$X$230,MATCH($E181&amp;$F181,'Malaria-Equipment &amp; Other HPs'!$E$130:$E$230&amp;'Malaria-Equipment &amp; Other HPs'!$H$130:$H$230,0)),0)</f>
        <v>0</v>
      </c>
      <c r="AK181" s="26">
        <f t="shared" si="198"/>
        <v>0</v>
      </c>
      <c r="AL181" s="25">
        <f t="shared" si="199"/>
        <v>0</v>
      </c>
      <c r="AM181" s="25">
        <f t="shared" si="200"/>
        <v>0</v>
      </c>
      <c r="AN181" s="26">
        <f t="array" ref="AN181">IFERROR(INDEX('Malaria-Equipment &amp; Other HPs'!$Y$130:$Y$230,MATCH($E181&amp;$F181,'Malaria-Equipment &amp; Other HPs'!$E$130:$E$230&amp;'Malaria-Equipment &amp; Other HPs'!$H$130:$H$230,0)),0)</f>
        <v>0</v>
      </c>
      <c r="AO181" s="26">
        <f t="shared" si="201"/>
        <v>0</v>
      </c>
      <c r="AP181" s="25">
        <f t="shared" si="202"/>
        <v>0</v>
      </c>
      <c r="AQ181" s="25">
        <f t="shared" si="203"/>
        <v>0</v>
      </c>
      <c r="AR181" s="680"/>
      <c r="AS181" s="26">
        <f t="array" ref="AS181">IFERROR(INDEX('Malaria-Equipment &amp; Other HPs'!$AB$130:$AB$230,MATCH($E181&amp;$F181,'Malaria-Equipment &amp; Other HPs'!$E$130:$E$230&amp;'Malaria-Equipment &amp; Other HPs'!$H$130:$H$230,0)),0)</f>
        <v>0</v>
      </c>
      <c r="AT181" s="26">
        <f t="array" ref="AT181">IFERROR(INDEX('Malaria-Equipment &amp; Other HPs'!$AC$130:$AC$230,MATCH($E181&amp;$F181,'Malaria-Equipment &amp; Other HPs'!$E$130:$E$230&amp;'Malaria-Equipment &amp; Other HPs'!$H$130:$H$230,0)),0)</f>
        <v>0</v>
      </c>
      <c r="AU181" s="26">
        <f t="shared" si="204"/>
        <v>0</v>
      </c>
      <c r="AV181" s="25">
        <f t="shared" si="205"/>
        <v>0</v>
      </c>
      <c r="AW181" s="25">
        <f t="shared" si="206"/>
        <v>0</v>
      </c>
      <c r="AX181" s="26">
        <f t="array" ref="AX181">IFERROR(INDEX('Malaria-Equipment &amp; Other HPs'!$AD$130:$AD$230,MATCH($E181&amp;$F181,'Malaria-Equipment &amp; Other HPs'!$E$130:$E$230&amp;'Malaria-Equipment &amp; Other HPs'!$H$130:$H$230,0)),0)</f>
        <v>0</v>
      </c>
      <c r="AY181" s="26">
        <f t="shared" si="207"/>
        <v>0</v>
      </c>
      <c r="AZ181" s="25">
        <f t="shared" si="208"/>
        <v>0</v>
      </c>
      <c r="BA181" s="25">
        <f t="shared" si="209"/>
        <v>0</v>
      </c>
      <c r="BB181" s="26">
        <f t="array" ref="BB181">IFERROR(INDEX('Malaria-Equipment &amp; Other HPs'!$AE$130:$AE$230,MATCH($E181&amp;$F181,'Malaria-Equipment &amp; Other HPs'!$E$130:$E$230&amp;'Malaria-Equipment &amp; Other HPs'!$H$130:$H$230,0)),0)</f>
        <v>0</v>
      </c>
      <c r="BC181" s="26">
        <f t="shared" si="210"/>
        <v>0</v>
      </c>
      <c r="BD181" s="25">
        <f t="shared" si="211"/>
        <v>0</v>
      </c>
      <c r="BE181" s="25">
        <f t="shared" si="212"/>
        <v>0</v>
      </c>
      <c r="BF181" s="26">
        <f t="array" ref="BF181">IFERROR(INDEX('Malaria-Equipment &amp; Other HPs'!$AF$130:$AF$230,MATCH($E181&amp;$F181,'Malaria-Equipment &amp; Other HPs'!$E$130:$E$230&amp;'Malaria-Equipment &amp; Other HPs'!$H$130:$H$230,0)),0)</f>
        <v>0</v>
      </c>
      <c r="BG181" s="26">
        <f t="shared" si="213"/>
        <v>0</v>
      </c>
      <c r="BH181" s="25">
        <f t="shared" si="214"/>
        <v>0</v>
      </c>
      <c r="BI181" s="25">
        <f t="shared" si="215"/>
        <v>0</v>
      </c>
      <c r="BJ181" s="680"/>
      <c r="BK181" s="26"/>
      <c r="BL181" s="26"/>
      <c r="BM181" s="26"/>
      <c r="BN181" s="26"/>
      <c r="BO181" s="26"/>
      <c r="BP181" s="26"/>
      <c r="BQ181" s="26"/>
      <c r="BR181" s="26"/>
      <c r="BT181" s="21" t="s">
        <v>6839</v>
      </c>
    </row>
    <row r="182" spans="1:72">
      <c r="A182" s="29" t="s">
        <v>63</v>
      </c>
      <c r="B182" s="29" t="s">
        <v>1550</v>
      </c>
      <c r="C182" s="626">
        <f>SETUP!$F$58</f>
        <v>0</v>
      </c>
      <c r="D182" s="25">
        <v>6.6</v>
      </c>
      <c r="E182" s="26" t="s">
        <v>215</v>
      </c>
      <c r="F182" s="26" t="s">
        <v>201</v>
      </c>
      <c r="G182" s="26" t="str">
        <f t="array" ref="G182">IFERROR(INDEX('Malaria-Equipment &amp; Other HPs'!$L$130:$L$230,MATCH($E182&amp;$F182,'Malaria-Equipment &amp; Other HPs'!$E$130:$E$230&amp;'Malaria-Equipment &amp; Other HPs'!$H$130:$H$230,0)),"")</f>
        <v/>
      </c>
      <c r="H182" s="26" t="str">
        <f t="array" ref="H182">IFERROR(INDEX('Malaria-Equipment &amp; Other HPs'!$M$130:$M$230,MATCH($E182&amp;$F182,'Malaria-Equipment &amp; Other HPs'!$E$130:$E$230&amp;'Malaria-Equipment &amp; Other HPs'!$H$130:$H$230,0)),"")</f>
        <v/>
      </c>
      <c r="I182" s="26">
        <f t="array" ref="I182">IFERROR(INDEX('Malaria-Equipment &amp; Other HPs'!$N$130:$N$230,MATCH($E182&amp;$F182,'Malaria-Equipment &amp; Other HPs'!$E$130:$E$230&amp;'Malaria-Equipment &amp; Other HPs'!$H$130:$H$230,0)),0)</f>
        <v>0</v>
      </c>
      <c r="J182" s="26">
        <f t="array" ref="J182">IFERROR(INDEX('Malaria-Equipment &amp; Other HPs'!$O$130:$O$230,MATCH($E182&amp;$F182,'Malaria-Equipment &amp; Other HPs'!$E$130:$E$230&amp;'Malaria-Equipment &amp; Other HPs'!$H$130:$H$230,0)),0)</f>
        <v>0</v>
      </c>
      <c r="K182" s="25">
        <f t="shared" si="180"/>
        <v>0</v>
      </c>
      <c r="L182" s="25">
        <f t="shared" si="181"/>
        <v>0</v>
      </c>
      <c r="M182" s="25">
        <f t="shared" si="182"/>
        <v>0</v>
      </c>
      <c r="N182" s="26">
        <f t="array" ref="N182">IFERROR(INDEX('Malaria-Equipment &amp; Other HPs'!$P$130:$P$230,MATCH($E182&amp;$F182,'Malaria-Equipment &amp; Other HPs'!$E$130:$E$230&amp;'Malaria-Equipment &amp; Other HPs'!$H$130:$H$230,0)),0)</f>
        <v>0</v>
      </c>
      <c r="O182" s="25">
        <f t="shared" si="183"/>
        <v>0</v>
      </c>
      <c r="P182" s="25">
        <f t="shared" si="184"/>
        <v>0</v>
      </c>
      <c r="Q182" s="25">
        <f t="shared" si="185"/>
        <v>0</v>
      </c>
      <c r="R182" s="26">
        <f t="array" ref="R182">IFERROR(INDEX('Malaria-Equipment &amp; Other HPs'!$Q$130:$Q$230,MATCH($E182&amp;$F182,'Malaria-Equipment &amp; Other HPs'!$E$130:$E$230&amp;'Malaria-Equipment &amp; Other HPs'!$H$130:$H$230,0)),0)</f>
        <v>0</v>
      </c>
      <c r="S182" s="25">
        <f t="shared" si="186"/>
        <v>0</v>
      </c>
      <c r="T182" s="25">
        <f t="shared" si="187"/>
        <v>0</v>
      </c>
      <c r="U182" s="25">
        <f t="shared" si="188"/>
        <v>0</v>
      </c>
      <c r="V182" s="26">
        <f t="array" ref="V182">IFERROR(INDEX('Malaria-Equipment &amp; Other HPs'!$R$130:$R$230,MATCH($E182&amp;$F182,'Malaria-Equipment &amp; Other HPs'!$E$130:$E$230&amp;'Malaria-Equipment &amp; Other HPs'!$H$130:$H$230,0)),0)</f>
        <v>0</v>
      </c>
      <c r="W182" s="25">
        <f t="shared" si="189"/>
        <v>0</v>
      </c>
      <c r="X182" s="25">
        <f t="shared" si="190"/>
        <v>0</v>
      </c>
      <c r="Y182" s="25">
        <f t="shared" si="191"/>
        <v>0</v>
      </c>
      <c r="Z182" s="680"/>
      <c r="AA182" s="26">
        <f t="array" ref="AA182">IFERROR(INDEX('Malaria-Equipment &amp; Other HPs'!$U$130:$U$230,MATCH($E182&amp;$F182,'Malaria-Equipment &amp; Other HPs'!$E$130:$E$230&amp;'Malaria-Equipment &amp; Other HPs'!$H$130:$H$230,0)),0)</f>
        <v>0</v>
      </c>
      <c r="AB182" s="26">
        <f t="array" ref="AB182">IFERROR(INDEX('Malaria-Equipment &amp; Other HPs'!$V$130:$V$230,MATCH($E182&amp;$F182,'Malaria-Equipment &amp; Other HPs'!$E$130:$E$230&amp;'Malaria-Equipment &amp; Other HPs'!$H$130:$H$230,0)),0)</f>
        <v>0</v>
      </c>
      <c r="AC182" s="26">
        <f t="shared" si="192"/>
        <v>0</v>
      </c>
      <c r="AD182" s="25">
        <f t="shared" si="193"/>
        <v>0</v>
      </c>
      <c r="AE182" s="25">
        <f t="shared" si="194"/>
        <v>0</v>
      </c>
      <c r="AF182" s="26">
        <f t="array" ref="AF182">IFERROR(INDEX('Malaria-Equipment &amp; Other HPs'!$W$130:$W$230,MATCH($E182&amp;$F182,'Malaria-Equipment &amp; Other HPs'!$E$130:$E$230&amp;'Malaria-Equipment &amp; Other HPs'!$H$130:$H$230,0)),0)</f>
        <v>0</v>
      </c>
      <c r="AG182" s="26">
        <f t="shared" si="195"/>
        <v>0</v>
      </c>
      <c r="AH182" s="25">
        <f t="shared" si="196"/>
        <v>0</v>
      </c>
      <c r="AI182" s="25">
        <f t="shared" si="197"/>
        <v>0</v>
      </c>
      <c r="AJ182" s="26">
        <f t="array" ref="AJ182">IFERROR(INDEX('Malaria-Equipment &amp; Other HPs'!$X$130:$X$230,MATCH($E182&amp;$F182,'Malaria-Equipment &amp; Other HPs'!$E$130:$E$230&amp;'Malaria-Equipment &amp; Other HPs'!$H$130:$H$230,0)),0)</f>
        <v>0</v>
      </c>
      <c r="AK182" s="26">
        <f t="shared" si="198"/>
        <v>0</v>
      </c>
      <c r="AL182" s="25">
        <f t="shared" si="199"/>
        <v>0</v>
      </c>
      <c r="AM182" s="25">
        <f t="shared" si="200"/>
        <v>0</v>
      </c>
      <c r="AN182" s="26">
        <f t="array" ref="AN182">IFERROR(INDEX('Malaria-Equipment &amp; Other HPs'!$Y$130:$Y$230,MATCH($E182&amp;$F182,'Malaria-Equipment &amp; Other HPs'!$E$130:$E$230&amp;'Malaria-Equipment &amp; Other HPs'!$H$130:$H$230,0)),0)</f>
        <v>0</v>
      </c>
      <c r="AO182" s="26">
        <f t="shared" si="201"/>
        <v>0</v>
      </c>
      <c r="AP182" s="25">
        <f t="shared" si="202"/>
        <v>0</v>
      </c>
      <c r="AQ182" s="25">
        <f t="shared" si="203"/>
        <v>0</v>
      </c>
      <c r="AR182" s="680"/>
      <c r="AS182" s="26">
        <f t="array" ref="AS182">IFERROR(INDEX('Malaria-Equipment &amp; Other HPs'!$AB$130:$AB$230,MATCH($E182&amp;$F182,'Malaria-Equipment &amp; Other HPs'!$E$130:$E$230&amp;'Malaria-Equipment &amp; Other HPs'!$H$130:$H$230,0)),0)</f>
        <v>0</v>
      </c>
      <c r="AT182" s="26">
        <f t="array" ref="AT182">IFERROR(INDEX('Malaria-Equipment &amp; Other HPs'!$AC$130:$AC$230,MATCH($E182&amp;$F182,'Malaria-Equipment &amp; Other HPs'!$E$130:$E$230&amp;'Malaria-Equipment &amp; Other HPs'!$H$130:$H$230,0)),0)</f>
        <v>0</v>
      </c>
      <c r="AU182" s="26">
        <f t="shared" si="204"/>
        <v>0</v>
      </c>
      <c r="AV182" s="25">
        <f t="shared" si="205"/>
        <v>0</v>
      </c>
      <c r="AW182" s="25">
        <f t="shared" si="206"/>
        <v>0</v>
      </c>
      <c r="AX182" s="26">
        <f t="array" ref="AX182">IFERROR(INDEX('Malaria-Equipment &amp; Other HPs'!$AD$130:$AD$230,MATCH($E182&amp;$F182,'Malaria-Equipment &amp; Other HPs'!$E$130:$E$230&amp;'Malaria-Equipment &amp; Other HPs'!$H$130:$H$230,0)),0)</f>
        <v>0</v>
      </c>
      <c r="AY182" s="26">
        <f t="shared" si="207"/>
        <v>0</v>
      </c>
      <c r="AZ182" s="25">
        <f t="shared" si="208"/>
        <v>0</v>
      </c>
      <c r="BA182" s="25">
        <f t="shared" si="209"/>
        <v>0</v>
      </c>
      <c r="BB182" s="26">
        <f t="array" ref="BB182">IFERROR(INDEX('Malaria-Equipment &amp; Other HPs'!$AE$130:$AE$230,MATCH($E182&amp;$F182,'Malaria-Equipment &amp; Other HPs'!$E$130:$E$230&amp;'Malaria-Equipment &amp; Other HPs'!$H$130:$H$230,0)),0)</f>
        <v>0</v>
      </c>
      <c r="BC182" s="26">
        <f t="shared" si="210"/>
        <v>0</v>
      </c>
      <c r="BD182" s="25">
        <f t="shared" si="211"/>
        <v>0</v>
      </c>
      <c r="BE182" s="25">
        <f t="shared" si="212"/>
        <v>0</v>
      </c>
      <c r="BF182" s="26">
        <f t="array" ref="BF182">IFERROR(INDEX('Malaria-Equipment &amp; Other HPs'!$AF$130:$AF$230,MATCH($E182&amp;$F182,'Malaria-Equipment &amp; Other HPs'!$E$130:$E$230&amp;'Malaria-Equipment &amp; Other HPs'!$H$130:$H$230,0)),0)</f>
        <v>0</v>
      </c>
      <c r="BG182" s="26">
        <f t="shared" si="213"/>
        <v>0</v>
      </c>
      <c r="BH182" s="25">
        <f t="shared" si="214"/>
        <v>0</v>
      </c>
      <c r="BI182" s="25">
        <f t="shared" si="215"/>
        <v>0</v>
      </c>
      <c r="BJ182" s="680"/>
      <c r="BK182" s="26"/>
      <c r="BL182" s="26"/>
      <c r="BM182" s="26"/>
      <c r="BN182" s="26"/>
      <c r="BO182" s="26"/>
      <c r="BP182" s="26"/>
      <c r="BQ182" s="26"/>
      <c r="BR182" s="26"/>
      <c r="BT182" s="21" t="s">
        <v>6839</v>
      </c>
    </row>
    <row r="183" spans="1:72">
      <c r="A183" s="29" t="s">
        <v>63</v>
      </c>
      <c r="B183" s="29" t="s">
        <v>1550</v>
      </c>
      <c r="C183" s="626">
        <f>SETUP!$F$58</f>
        <v>0</v>
      </c>
      <c r="D183" s="25">
        <v>6.6</v>
      </c>
      <c r="E183" s="26" t="s">
        <v>215</v>
      </c>
      <c r="F183" s="26" t="s">
        <v>200</v>
      </c>
      <c r="G183" s="26" t="str">
        <f t="array" ref="G183">IFERROR(INDEX('Malaria-Equipment &amp; Other HPs'!$L$130:$L$230,MATCH($E183&amp;$F183,'Malaria-Equipment &amp; Other HPs'!$E$130:$E$230&amp;'Malaria-Equipment &amp; Other HPs'!$H$130:$H$230,0)),"")</f>
        <v/>
      </c>
      <c r="H183" s="26" t="str">
        <f t="array" ref="H183">IFERROR(INDEX('Malaria-Equipment &amp; Other HPs'!$M$130:$M$230,MATCH($E183&amp;$F183,'Malaria-Equipment &amp; Other HPs'!$E$130:$E$230&amp;'Malaria-Equipment &amp; Other HPs'!$H$130:$H$230,0)),"")</f>
        <v/>
      </c>
      <c r="I183" s="26">
        <f t="array" ref="I183">IFERROR(INDEX('Malaria-Equipment &amp; Other HPs'!$N$130:$N$230,MATCH($E183&amp;$F183,'Malaria-Equipment &amp; Other HPs'!$E$130:$E$230&amp;'Malaria-Equipment &amp; Other HPs'!$H$130:$H$230,0)),0)</f>
        <v>0</v>
      </c>
      <c r="J183" s="26">
        <f t="array" ref="J183">IFERROR(INDEX('Malaria-Equipment &amp; Other HPs'!$O$130:$O$230,MATCH($E183&amp;$F183,'Malaria-Equipment &amp; Other HPs'!$E$130:$E$230&amp;'Malaria-Equipment &amp; Other HPs'!$H$130:$H$230,0)),0)</f>
        <v>0</v>
      </c>
      <c r="K183" s="25">
        <f t="shared" si="180"/>
        <v>0</v>
      </c>
      <c r="L183" s="25">
        <f t="shared" si="181"/>
        <v>0</v>
      </c>
      <c r="M183" s="25">
        <f t="shared" si="182"/>
        <v>0</v>
      </c>
      <c r="N183" s="26">
        <f t="array" ref="N183">IFERROR(INDEX('Malaria-Equipment &amp; Other HPs'!$P$130:$P$230,MATCH($E183&amp;$F183,'Malaria-Equipment &amp; Other HPs'!$E$130:$E$230&amp;'Malaria-Equipment &amp; Other HPs'!$H$130:$H$230,0)),0)</f>
        <v>0</v>
      </c>
      <c r="O183" s="25">
        <f t="shared" si="183"/>
        <v>0</v>
      </c>
      <c r="P183" s="25">
        <f t="shared" si="184"/>
        <v>0</v>
      </c>
      <c r="Q183" s="25">
        <f t="shared" si="185"/>
        <v>0</v>
      </c>
      <c r="R183" s="26">
        <f t="array" ref="R183">IFERROR(INDEX('Malaria-Equipment &amp; Other HPs'!$Q$130:$Q$230,MATCH($E183&amp;$F183,'Malaria-Equipment &amp; Other HPs'!$E$130:$E$230&amp;'Malaria-Equipment &amp; Other HPs'!$H$130:$H$230,0)),0)</f>
        <v>0</v>
      </c>
      <c r="S183" s="25">
        <f t="shared" si="186"/>
        <v>0</v>
      </c>
      <c r="T183" s="25">
        <f t="shared" si="187"/>
        <v>0</v>
      </c>
      <c r="U183" s="25">
        <f t="shared" si="188"/>
        <v>0</v>
      </c>
      <c r="V183" s="26">
        <f t="array" ref="V183">IFERROR(INDEX('Malaria-Equipment &amp; Other HPs'!$R$130:$R$230,MATCH($E183&amp;$F183,'Malaria-Equipment &amp; Other HPs'!$E$130:$E$230&amp;'Malaria-Equipment &amp; Other HPs'!$H$130:$H$230,0)),0)</f>
        <v>0</v>
      </c>
      <c r="W183" s="25">
        <f t="shared" si="189"/>
        <v>0</v>
      </c>
      <c r="X183" s="25">
        <f t="shared" si="190"/>
        <v>0</v>
      </c>
      <c r="Y183" s="25">
        <f t="shared" si="191"/>
        <v>0</v>
      </c>
      <c r="Z183" s="680"/>
      <c r="AA183" s="26">
        <f t="array" ref="AA183">IFERROR(INDEX('Malaria-Equipment &amp; Other HPs'!$U$130:$U$230,MATCH($E183&amp;$F183,'Malaria-Equipment &amp; Other HPs'!$E$130:$E$230&amp;'Malaria-Equipment &amp; Other HPs'!$H$130:$H$230,0)),0)</f>
        <v>0</v>
      </c>
      <c r="AB183" s="26">
        <f t="array" ref="AB183">IFERROR(INDEX('Malaria-Equipment &amp; Other HPs'!$V$130:$V$230,MATCH($E183&amp;$F183,'Malaria-Equipment &amp; Other HPs'!$E$130:$E$230&amp;'Malaria-Equipment &amp; Other HPs'!$H$130:$H$230,0)),0)</f>
        <v>0</v>
      </c>
      <c r="AC183" s="26">
        <f t="shared" si="192"/>
        <v>0</v>
      </c>
      <c r="AD183" s="25">
        <f t="shared" si="193"/>
        <v>0</v>
      </c>
      <c r="AE183" s="25">
        <f t="shared" si="194"/>
        <v>0</v>
      </c>
      <c r="AF183" s="26">
        <f t="array" ref="AF183">IFERROR(INDEX('Malaria-Equipment &amp; Other HPs'!$W$130:$W$230,MATCH($E183&amp;$F183,'Malaria-Equipment &amp; Other HPs'!$E$130:$E$230&amp;'Malaria-Equipment &amp; Other HPs'!$H$130:$H$230,0)),0)</f>
        <v>0</v>
      </c>
      <c r="AG183" s="26">
        <f t="shared" si="195"/>
        <v>0</v>
      </c>
      <c r="AH183" s="25">
        <f t="shared" si="196"/>
        <v>0</v>
      </c>
      <c r="AI183" s="25">
        <f t="shared" si="197"/>
        <v>0</v>
      </c>
      <c r="AJ183" s="26">
        <f t="array" ref="AJ183">IFERROR(INDEX('Malaria-Equipment &amp; Other HPs'!$X$130:$X$230,MATCH($E183&amp;$F183,'Malaria-Equipment &amp; Other HPs'!$E$130:$E$230&amp;'Malaria-Equipment &amp; Other HPs'!$H$130:$H$230,0)),0)</f>
        <v>0</v>
      </c>
      <c r="AK183" s="26">
        <f t="shared" si="198"/>
        <v>0</v>
      </c>
      <c r="AL183" s="25">
        <f t="shared" si="199"/>
        <v>0</v>
      </c>
      <c r="AM183" s="25">
        <f t="shared" si="200"/>
        <v>0</v>
      </c>
      <c r="AN183" s="26">
        <f t="array" ref="AN183">IFERROR(INDEX('Malaria-Equipment &amp; Other HPs'!$Y$130:$Y$230,MATCH($E183&amp;$F183,'Malaria-Equipment &amp; Other HPs'!$E$130:$E$230&amp;'Malaria-Equipment &amp; Other HPs'!$H$130:$H$230,0)),0)</f>
        <v>0</v>
      </c>
      <c r="AO183" s="26">
        <f t="shared" si="201"/>
        <v>0</v>
      </c>
      <c r="AP183" s="25">
        <f t="shared" si="202"/>
        <v>0</v>
      </c>
      <c r="AQ183" s="25">
        <f t="shared" si="203"/>
        <v>0</v>
      </c>
      <c r="AR183" s="680"/>
      <c r="AS183" s="26">
        <f t="array" ref="AS183">IFERROR(INDEX('Malaria-Equipment &amp; Other HPs'!$AB$130:$AB$230,MATCH($E183&amp;$F183,'Malaria-Equipment &amp; Other HPs'!$E$130:$E$230&amp;'Malaria-Equipment &amp; Other HPs'!$H$130:$H$230,0)),0)</f>
        <v>0</v>
      </c>
      <c r="AT183" s="26">
        <f t="array" ref="AT183">IFERROR(INDEX('Malaria-Equipment &amp; Other HPs'!$AC$130:$AC$230,MATCH($E183&amp;$F183,'Malaria-Equipment &amp; Other HPs'!$E$130:$E$230&amp;'Malaria-Equipment &amp; Other HPs'!$H$130:$H$230,0)),0)</f>
        <v>0</v>
      </c>
      <c r="AU183" s="26">
        <f t="shared" si="204"/>
        <v>0</v>
      </c>
      <c r="AV183" s="25">
        <f t="shared" si="205"/>
        <v>0</v>
      </c>
      <c r="AW183" s="25">
        <f t="shared" si="206"/>
        <v>0</v>
      </c>
      <c r="AX183" s="26">
        <f t="array" ref="AX183">IFERROR(INDEX('Malaria-Equipment &amp; Other HPs'!$AD$130:$AD$230,MATCH($E183&amp;$F183,'Malaria-Equipment &amp; Other HPs'!$E$130:$E$230&amp;'Malaria-Equipment &amp; Other HPs'!$H$130:$H$230,0)),0)</f>
        <v>0</v>
      </c>
      <c r="AY183" s="26">
        <f t="shared" si="207"/>
        <v>0</v>
      </c>
      <c r="AZ183" s="25">
        <f t="shared" si="208"/>
        <v>0</v>
      </c>
      <c r="BA183" s="25">
        <f t="shared" si="209"/>
        <v>0</v>
      </c>
      <c r="BB183" s="26">
        <f t="array" ref="BB183">IFERROR(INDEX('Malaria-Equipment &amp; Other HPs'!$AE$130:$AE$230,MATCH($E183&amp;$F183,'Malaria-Equipment &amp; Other HPs'!$E$130:$E$230&amp;'Malaria-Equipment &amp; Other HPs'!$H$130:$H$230,0)),0)</f>
        <v>0</v>
      </c>
      <c r="BC183" s="26">
        <f t="shared" si="210"/>
        <v>0</v>
      </c>
      <c r="BD183" s="25">
        <f t="shared" si="211"/>
        <v>0</v>
      </c>
      <c r="BE183" s="25">
        <f t="shared" si="212"/>
        <v>0</v>
      </c>
      <c r="BF183" s="26">
        <f t="array" ref="BF183">IFERROR(INDEX('Malaria-Equipment &amp; Other HPs'!$AF$130:$AF$230,MATCH($E183&amp;$F183,'Malaria-Equipment &amp; Other HPs'!$E$130:$E$230&amp;'Malaria-Equipment &amp; Other HPs'!$H$130:$H$230,0)),0)</f>
        <v>0</v>
      </c>
      <c r="BG183" s="26">
        <f t="shared" si="213"/>
        <v>0</v>
      </c>
      <c r="BH183" s="25">
        <f t="shared" si="214"/>
        <v>0</v>
      </c>
      <c r="BI183" s="25">
        <f t="shared" si="215"/>
        <v>0</v>
      </c>
      <c r="BJ183" s="680"/>
      <c r="BK183" s="26"/>
      <c r="BL183" s="26"/>
      <c r="BM183" s="26"/>
      <c r="BN183" s="26"/>
      <c r="BO183" s="26"/>
      <c r="BP183" s="26"/>
      <c r="BQ183" s="26"/>
      <c r="BR183" s="26"/>
      <c r="BT183" s="21" t="s">
        <v>6839</v>
      </c>
    </row>
    <row r="184" spans="1:72">
      <c r="A184" s="29" t="s">
        <v>63</v>
      </c>
      <c r="B184" s="29" t="s">
        <v>1550</v>
      </c>
      <c r="C184" s="626">
        <f>SETUP!$F$58</f>
        <v>0</v>
      </c>
      <c r="D184" s="25">
        <v>6.5</v>
      </c>
      <c r="E184" s="26" t="s">
        <v>216</v>
      </c>
      <c r="F184" s="26" t="s">
        <v>218</v>
      </c>
      <c r="G184" s="26" t="str">
        <f t="array" ref="G184">IFERROR(INDEX('Malaria-Equipment &amp; Other HPs'!$L$130:$L$230,MATCH($E184&amp;$F184,'Malaria-Equipment &amp; Other HPs'!$E$130:$E$230&amp;'Malaria-Equipment &amp; Other HPs'!$H$130:$H$230,0)),"")</f>
        <v/>
      </c>
      <c r="H184" s="26" t="str">
        <f t="array" ref="H184">IFERROR(INDEX('Malaria-Equipment &amp; Other HPs'!$M$130:$M$230,MATCH($E184&amp;$F184,'Malaria-Equipment &amp; Other HPs'!$E$130:$E$230&amp;'Malaria-Equipment &amp; Other HPs'!$H$130:$H$230,0)),"")</f>
        <v/>
      </c>
      <c r="I184" s="26">
        <f t="array" ref="I184">IFERROR(INDEX('Malaria-Equipment &amp; Other HPs'!$N$130:$N$230,MATCH($E184&amp;$F184,'Malaria-Equipment &amp; Other HPs'!$E$130:$E$230&amp;'Malaria-Equipment &amp; Other HPs'!$H$130:$H$230,0)),0)</f>
        <v>0</v>
      </c>
      <c r="J184" s="26">
        <f t="array" ref="J184">IFERROR(INDEX('Malaria-Equipment &amp; Other HPs'!$O$130:$O$230,MATCH($E184&amp;$F184,'Malaria-Equipment &amp; Other HPs'!$E$130:$E$230&amp;'Malaria-Equipment &amp; Other HPs'!$H$130:$H$230,0)),0)</f>
        <v>0</v>
      </c>
      <c r="K184" s="25">
        <f t="shared" si="180"/>
        <v>0</v>
      </c>
      <c r="L184" s="25">
        <f t="shared" si="181"/>
        <v>0</v>
      </c>
      <c r="M184" s="25">
        <f t="shared" si="182"/>
        <v>0</v>
      </c>
      <c r="N184" s="26">
        <f t="array" ref="N184">IFERROR(INDEX('Malaria-Equipment &amp; Other HPs'!$P$130:$P$230,MATCH($E184&amp;$F184,'Malaria-Equipment &amp; Other HPs'!$E$130:$E$230&amp;'Malaria-Equipment &amp; Other HPs'!$H$130:$H$230,0)),0)</f>
        <v>0</v>
      </c>
      <c r="O184" s="25">
        <f t="shared" si="183"/>
        <v>0</v>
      </c>
      <c r="P184" s="25">
        <f t="shared" si="184"/>
        <v>0</v>
      </c>
      <c r="Q184" s="25">
        <f t="shared" si="185"/>
        <v>0</v>
      </c>
      <c r="R184" s="26">
        <f t="array" ref="R184">IFERROR(INDEX('Malaria-Equipment &amp; Other HPs'!$Q$130:$Q$230,MATCH($E184&amp;$F184,'Malaria-Equipment &amp; Other HPs'!$E$130:$E$230&amp;'Malaria-Equipment &amp; Other HPs'!$H$130:$H$230,0)),0)</f>
        <v>0</v>
      </c>
      <c r="S184" s="25">
        <f t="shared" si="186"/>
        <v>0</v>
      </c>
      <c r="T184" s="25">
        <f t="shared" si="187"/>
        <v>0</v>
      </c>
      <c r="U184" s="25">
        <f t="shared" si="188"/>
        <v>0</v>
      </c>
      <c r="V184" s="26">
        <f t="array" ref="V184">IFERROR(INDEX('Malaria-Equipment &amp; Other HPs'!$R$130:$R$230,MATCH($E184&amp;$F184,'Malaria-Equipment &amp; Other HPs'!$E$130:$E$230&amp;'Malaria-Equipment &amp; Other HPs'!$H$130:$H$230,0)),0)</f>
        <v>0</v>
      </c>
      <c r="W184" s="25">
        <f t="shared" si="189"/>
        <v>0</v>
      </c>
      <c r="X184" s="25">
        <f t="shared" si="190"/>
        <v>0</v>
      </c>
      <c r="Y184" s="25">
        <f t="shared" si="191"/>
        <v>0</v>
      </c>
      <c r="Z184" s="680"/>
      <c r="AA184" s="26">
        <f t="array" ref="AA184">IFERROR(INDEX('Malaria-Equipment &amp; Other HPs'!$U$130:$U$230,MATCH($E184&amp;$F184,'Malaria-Equipment &amp; Other HPs'!$E$130:$E$230&amp;'Malaria-Equipment &amp; Other HPs'!$H$130:$H$230,0)),0)</f>
        <v>0</v>
      </c>
      <c r="AB184" s="26">
        <f t="array" ref="AB184">IFERROR(INDEX('Malaria-Equipment &amp; Other HPs'!$V$130:$V$230,MATCH($E184&amp;$F184,'Malaria-Equipment &amp; Other HPs'!$E$130:$E$230&amp;'Malaria-Equipment &amp; Other HPs'!$H$130:$H$230,0)),0)</f>
        <v>0</v>
      </c>
      <c r="AC184" s="26">
        <f t="shared" si="192"/>
        <v>0</v>
      </c>
      <c r="AD184" s="25">
        <f t="shared" si="193"/>
        <v>0</v>
      </c>
      <c r="AE184" s="25">
        <f t="shared" si="194"/>
        <v>0</v>
      </c>
      <c r="AF184" s="26">
        <f t="array" ref="AF184">IFERROR(INDEX('Malaria-Equipment &amp; Other HPs'!$W$130:$W$230,MATCH($E184&amp;$F184,'Malaria-Equipment &amp; Other HPs'!$E$130:$E$230&amp;'Malaria-Equipment &amp; Other HPs'!$H$130:$H$230,0)),0)</f>
        <v>0</v>
      </c>
      <c r="AG184" s="26">
        <f t="shared" si="195"/>
        <v>0</v>
      </c>
      <c r="AH184" s="25">
        <f t="shared" si="196"/>
        <v>0</v>
      </c>
      <c r="AI184" s="25">
        <f t="shared" si="197"/>
        <v>0</v>
      </c>
      <c r="AJ184" s="26">
        <f t="array" ref="AJ184">IFERROR(INDEX('Malaria-Equipment &amp; Other HPs'!$X$130:$X$230,MATCH($E184&amp;$F184,'Malaria-Equipment &amp; Other HPs'!$E$130:$E$230&amp;'Malaria-Equipment &amp; Other HPs'!$H$130:$H$230,0)),0)</f>
        <v>0</v>
      </c>
      <c r="AK184" s="26">
        <f t="shared" si="198"/>
        <v>0</v>
      </c>
      <c r="AL184" s="25">
        <f t="shared" si="199"/>
        <v>0</v>
      </c>
      <c r="AM184" s="25">
        <f t="shared" si="200"/>
        <v>0</v>
      </c>
      <c r="AN184" s="26">
        <f t="array" ref="AN184">IFERROR(INDEX('Malaria-Equipment &amp; Other HPs'!$Y$130:$Y$230,MATCH($E184&amp;$F184,'Malaria-Equipment &amp; Other HPs'!$E$130:$E$230&amp;'Malaria-Equipment &amp; Other HPs'!$H$130:$H$230,0)),0)</f>
        <v>0</v>
      </c>
      <c r="AO184" s="26">
        <f t="shared" si="201"/>
        <v>0</v>
      </c>
      <c r="AP184" s="25">
        <f t="shared" si="202"/>
        <v>0</v>
      </c>
      <c r="AQ184" s="25">
        <f t="shared" si="203"/>
        <v>0</v>
      </c>
      <c r="AR184" s="680"/>
      <c r="AS184" s="26">
        <f t="array" ref="AS184">IFERROR(INDEX('Malaria-Equipment &amp; Other HPs'!$AB$130:$AB$230,MATCH($E184&amp;$F184,'Malaria-Equipment &amp; Other HPs'!$E$130:$E$230&amp;'Malaria-Equipment &amp; Other HPs'!$H$130:$H$230,0)),0)</f>
        <v>0</v>
      </c>
      <c r="AT184" s="26">
        <f t="array" ref="AT184">IFERROR(INDEX('Malaria-Equipment &amp; Other HPs'!$AC$130:$AC$230,MATCH($E184&amp;$F184,'Malaria-Equipment &amp; Other HPs'!$E$130:$E$230&amp;'Malaria-Equipment &amp; Other HPs'!$H$130:$H$230,0)),0)</f>
        <v>0</v>
      </c>
      <c r="AU184" s="26">
        <f t="shared" si="204"/>
        <v>0</v>
      </c>
      <c r="AV184" s="25">
        <f t="shared" si="205"/>
        <v>0</v>
      </c>
      <c r="AW184" s="25">
        <f t="shared" si="206"/>
        <v>0</v>
      </c>
      <c r="AX184" s="26">
        <f t="array" ref="AX184">IFERROR(INDEX('Malaria-Equipment &amp; Other HPs'!$AD$130:$AD$230,MATCH($E184&amp;$F184,'Malaria-Equipment &amp; Other HPs'!$E$130:$E$230&amp;'Malaria-Equipment &amp; Other HPs'!$H$130:$H$230,0)),0)</f>
        <v>0</v>
      </c>
      <c r="AY184" s="26">
        <f t="shared" si="207"/>
        <v>0</v>
      </c>
      <c r="AZ184" s="25">
        <f t="shared" si="208"/>
        <v>0</v>
      </c>
      <c r="BA184" s="25">
        <f t="shared" si="209"/>
        <v>0</v>
      </c>
      <c r="BB184" s="26">
        <f t="array" ref="BB184">IFERROR(INDEX('Malaria-Equipment &amp; Other HPs'!$AE$130:$AE$230,MATCH($E184&amp;$F184,'Malaria-Equipment &amp; Other HPs'!$E$130:$E$230&amp;'Malaria-Equipment &amp; Other HPs'!$H$130:$H$230,0)),0)</f>
        <v>0</v>
      </c>
      <c r="BC184" s="26">
        <f t="shared" si="210"/>
        <v>0</v>
      </c>
      <c r="BD184" s="25">
        <f t="shared" si="211"/>
        <v>0</v>
      </c>
      <c r="BE184" s="25">
        <f t="shared" si="212"/>
        <v>0</v>
      </c>
      <c r="BF184" s="26">
        <f t="array" ref="BF184">IFERROR(INDEX('Malaria-Equipment &amp; Other HPs'!$AF$130:$AF$230,MATCH($E184&amp;$F184,'Malaria-Equipment &amp; Other HPs'!$E$130:$E$230&amp;'Malaria-Equipment &amp; Other HPs'!$H$130:$H$230,0)),0)</f>
        <v>0</v>
      </c>
      <c r="BG184" s="26">
        <f t="shared" si="213"/>
        <v>0</v>
      </c>
      <c r="BH184" s="25">
        <f t="shared" si="214"/>
        <v>0</v>
      </c>
      <c r="BI184" s="25">
        <f t="shared" si="215"/>
        <v>0</v>
      </c>
      <c r="BJ184" s="680"/>
      <c r="BK184" s="26"/>
      <c r="BL184" s="26"/>
      <c r="BM184" s="26"/>
      <c r="BN184" s="26"/>
      <c r="BO184" s="26"/>
      <c r="BP184" s="26"/>
      <c r="BQ184" s="26"/>
      <c r="BR184" s="26"/>
      <c r="BT184" s="21" t="s">
        <v>6839</v>
      </c>
    </row>
    <row r="185" spans="1:72">
      <c r="A185" s="29" t="s">
        <v>63</v>
      </c>
      <c r="B185" s="29" t="s">
        <v>1550</v>
      </c>
      <c r="C185" s="626">
        <f>SETUP!$F$58</f>
        <v>0</v>
      </c>
      <c r="D185" s="25">
        <v>6.6</v>
      </c>
      <c r="E185" s="26" t="s">
        <v>216</v>
      </c>
      <c r="F185" s="26" t="s">
        <v>201</v>
      </c>
      <c r="G185" s="26" t="str">
        <f t="array" ref="G185">IFERROR(INDEX('Malaria-Equipment &amp; Other HPs'!$L$130:$L$230,MATCH($E185&amp;$F185,'Malaria-Equipment &amp; Other HPs'!$E$130:$E$230&amp;'Malaria-Equipment &amp; Other HPs'!$H$130:$H$230,0)),"")</f>
        <v/>
      </c>
      <c r="H185" s="26" t="str">
        <f t="array" ref="H185">IFERROR(INDEX('Malaria-Equipment &amp; Other HPs'!$M$130:$M$230,MATCH($E185&amp;$F185,'Malaria-Equipment &amp; Other HPs'!$E$130:$E$230&amp;'Malaria-Equipment &amp; Other HPs'!$H$130:$H$230,0)),"")</f>
        <v/>
      </c>
      <c r="I185" s="26">
        <f t="array" ref="I185">IFERROR(INDEX('Malaria-Equipment &amp; Other HPs'!$N$130:$N$230,MATCH($E185&amp;$F185,'Malaria-Equipment &amp; Other HPs'!$E$130:$E$230&amp;'Malaria-Equipment &amp; Other HPs'!$H$130:$H$230,0)),0)</f>
        <v>0</v>
      </c>
      <c r="J185" s="26">
        <f t="array" ref="J185">IFERROR(INDEX('Malaria-Equipment &amp; Other HPs'!$O$130:$O$230,MATCH($E185&amp;$F185,'Malaria-Equipment &amp; Other HPs'!$E$130:$E$230&amp;'Malaria-Equipment &amp; Other HPs'!$H$130:$H$230,0)),0)</f>
        <v>0</v>
      </c>
      <c r="K185" s="25">
        <f t="shared" si="180"/>
        <v>0</v>
      </c>
      <c r="L185" s="25">
        <f t="shared" si="181"/>
        <v>0</v>
      </c>
      <c r="M185" s="25">
        <f t="shared" si="182"/>
        <v>0</v>
      </c>
      <c r="N185" s="26">
        <f t="array" ref="N185">IFERROR(INDEX('Malaria-Equipment &amp; Other HPs'!$P$130:$P$230,MATCH($E185&amp;$F185,'Malaria-Equipment &amp; Other HPs'!$E$130:$E$230&amp;'Malaria-Equipment &amp; Other HPs'!$H$130:$H$230,0)),0)</f>
        <v>0</v>
      </c>
      <c r="O185" s="25">
        <f t="shared" si="183"/>
        <v>0</v>
      </c>
      <c r="P185" s="25">
        <f t="shared" si="184"/>
        <v>0</v>
      </c>
      <c r="Q185" s="25">
        <f t="shared" si="185"/>
        <v>0</v>
      </c>
      <c r="R185" s="26">
        <f t="array" ref="R185">IFERROR(INDEX('Malaria-Equipment &amp; Other HPs'!$Q$130:$Q$230,MATCH($E185&amp;$F185,'Malaria-Equipment &amp; Other HPs'!$E$130:$E$230&amp;'Malaria-Equipment &amp; Other HPs'!$H$130:$H$230,0)),0)</f>
        <v>0</v>
      </c>
      <c r="S185" s="25">
        <f t="shared" si="186"/>
        <v>0</v>
      </c>
      <c r="T185" s="25">
        <f t="shared" si="187"/>
        <v>0</v>
      </c>
      <c r="U185" s="25">
        <f t="shared" si="188"/>
        <v>0</v>
      </c>
      <c r="V185" s="26">
        <f t="array" ref="V185">IFERROR(INDEX('Malaria-Equipment &amp; Other HPs'!$R$130:$R$230,MATCH($E185&amp;$F185,'Malaria-Equipment &amp; Other HPs'!$E$130:$E$230&amp;'Malaria-Equipment &amp; Other HPs'!$H$130:$H$230,0)),0)</f>
        <v>0</v>
      </c>
      <c r="W185" s="25">
        <f t="shared" si="189"/>
        <v>0</v>
      </c>
      <c r="X185" s="25">
        <f t="shared" si="190"/>
        <v>0</v>
      </c>
      <c r="Y185" s="25">
        <f t="shared" si="191"/>
        <v>0</v>
      </c>
      <c r="Z185" s="680"/>
      <c r="AA185" s="26">
        <f t="array" ref="AA185">IFERROR(INDEX('Malaria-Equipment &amp; Other HPs'!$U$130:$U$230,MATCH($E185&amp;$F185,'Malaria-Equipment &amp; Other HPs'!$E$130:$E$230&amp;'Malaria-Equipment &amp; Other HPs'!$H$130:$H$230,0)),0)</f>
        <v>0</v>
      </c>
      <c r="AB185" s="26">
        <f t="array" ref="AB185">IFERROR(INDEX('Malaria-Equipment &amp; Other HPs'!$V$130:$V$230,MATCH($E185&amp;$F185,'Malaria-Equipment &amp; Other HPs'!$E$130:$E$230&amp;'Malaria-Equipment &amp; Other HPs'!$H$130:$H$230,0)),0)</f>
        <v>0</v>
      </c>
      <c r="AC185" s="26">
        <f t="shared" si="192"/>
        <v>0</v>
      </c>
      <c r="AD185" s="25">
        <f t="shared" si="193"/>
        <v>0</v>
      </c>
      <c r="AE185" s="25">
        <f t="shared" si="194"/>
        <v>0</v>
      </c>
      <c r="AF185" s="26">
        <f t="array" ref="AF185">IFERROR(INDEX('Malaria-Equipment &amp; Other HPs'!$W$130:$W$230,MATCH($E185&amp;$F185,'Malaria-Equipment &amp; Other HPs'!$E$130:$E$230&amp;'Malaria-Equipment &amp; Other HPs'!$H$130:$H$230,0)),0)</f>
        <v>0</v>
      </c>
      <c r="AG185" s="26">
        <f t="shared" si="195"/>
        <v>0</v>
      </c>
      <c r="AH185" s="25">
        <f t="shared" si="196"/>
        <v>0</v>
      </c>
      <c r="AI185" s="25">
        <f t="shared" si="197"/>
        <v>0</v>
      </c>
      <c r="AJ185" s="26">
        <f t="array" ref="AJ185">IFERROR(INDEX('Malaria-Equipment &amp; Other HPs'!$X$130:$X$230,MATCH($E185&amp;$F185,'Malaria-Equipment &amp; Other HPs'!$E$130:$E$230&amp;'Malaria-Equipment &amp; Other HPs'!$H$130:$H$230,0)),0)</f>
        <v>0</v>
      </c>
      <c r="AK185" s="26">
        <f t="shared" si="198"/>
        <v>0</v>
      </c>
      <c r="AL185" s="25">
        <f t="shared" si="199"/>
        <v>0</v>
      </c>
      <c r="AM185" s="25">
        <f t="shared" si="200"/>
        <v>0</v>
      </c>
      <c r="AN185" s="26">
        <f t="array" ref="AN185">IFERROR(INDEX('Malaria-Equipment &amp; Other HPs'!$Y$130:$Y$230,MATCH($E185&amp;$F185,'Malaria-Equipment &amp; Other HPs'!$E$130:$E$230&amp;'Malaria-Equipment &amp; Other HPs'!$H$130:$H$230,0)),0)</f>
        <v>0</v>
      </c>
      <c r="AO185" s="26">
        <f t="shared" si="201"/>
        <v>0</v>
      </c>
      <c r="AP185" s="25">
        <f t="shared" si="202"/>
        <v>0</v>
      </c>
      <c r="AQ185" s="25">
        <f t="shared" si="203"/>
        <v>0</v>
      </c>
      <c r="AR185" s="680"/>
      <c r="AS185" s="26">
        <f t="array" ref="AS185">IFERROR(INDEX('Malaria-Equipment &amp; Other HPs'!$AB$130:$AB$230,MATCH($E185&amp;$F185,'Malaria-Equipment &amp; Other HPs'!$E$130:$E$230&amp;'Malaria-Equipment &amp; Other HPs'!$H$130:$H$230,0)),0)</f>
        <v>0</v>
      </c>
      <c r="AT185" s="26">
        <f t="array" ref="AT185">IFERROR(INDEX('Malaria-Equipment &amp; Other HPs'!$AC$130:$AC$230,MATCH($E185&amp;$F185,'Malaria-Equipment &amp; Other HPs'!$E$130:$E$230&amp;'Malaria-Equipment &amp; Other HPs'!$H$130:$H$230,0)),0)</f>
        <v>0</v>
      </c>
      <c r="AU185" s="26">
        <f t="shared" si="204"/>
        <v>0</v>
      </c>
      <c r="AV185" s="25">
        <f t="shared" si="205"/>
        <v>0</v>
      </c>
      <c r="AW185" s="25">
        <f t="shared" si="206"/>
        <v>0</v>
      </c>
      <c r="AX185" s="26">
        <f t="array" ref="AX185">IFERROR(INDEX('Malaria-Equipment &amp; Other HPs'!$AD$130:$AD$230,MATCH($E185&amp;$F185,'Malaria-Equipment &amp; Other HPs'!$E$130:$E$230&amp;'Malaria-Equipment &amp; Other HPs'!$H$130:$H$230,0)),0)</f>
        <v>0</v>
      </c>
      <c r="AY185" s="26">
        <f t="shared" si="207"/>
        <v>0</v>
      </c>
      <c r="AZ185" s="25">
        <f t="shared" si="208"/>
        <v>0</v>
      </c>
      <c r="BA185" s="25">
        <f t="shared" si="209"/>
        <v>0</v>
      </c>
      <c r="BB185" s="26">
        <f t="array" ref="BB185">IFERROR(INDEX('Malaria-Equipment &amp; Other HPs'!$AE$130:$AE$230,MATCH($E185&amp;$F185,'Malaria-Equipment &amp; Other HPs'!$E$130:$E$230&amp;'Malaria-Equipment &amp; Other HPs'!$H$130:$H$230,0)),0)</f>
        <v>0</v>
      </c>
      <c r="BC185" s="26">
        <f t="shared" si="210"/>
        <v>0</v>
      </c>
      <c r="BD185" s="25">
        <f t="shared" si="211"/>
        <v>0</v>
      </c>
      <c r="BE185" s="25">
        <f t="shared" si="212"/>
        <v>0</v>
      </c>
      <c r="BF185" s="26">
        <f t="array" ref="BF185">IFERROR(INDEX('Malaria-Equipment &amp; Other HPs'!$AF$130:$AF$230,MATCH($E185&amp;$F185,'Malaria-Equipment &amp; Other HPs'!$E$130:$E$230&amp;'Malaria-Equipment &amp; Other HPs'!$H$130:$H$230,0)),0)</f>
        <v>0</v>
      </c>
      <c r="BG185" s="26">
        <f t="shared" si="213"/>
        <v>0</v>
      </c>
      <c r="BH185" s="25">
        <f t="shared" si="214"/>
        <v>0</v>
      </c>
      <c r="BI185" s="25">
        <f t="shared" si="215"/>
        <v>0</v>
      </c>
      <c r="BJ185" s="680"/>
      <c r="BK185" s="26"/>
      <c r="BL185" s="26"/>
      <c r="BM185" s="26"/>
      <c r="BN185" s="26"/>
      <c r="BO185" s="26"/>
      <c r="BP185" s="26"/>
      <c r="BQ185" s="26"/>
      <c r="BR185" s="26"/>
      <c r="BT185" s="21" t="s">
        <v>6839</v>
      </c>
    </row>
    <row r="186" spans="1:72">
      <c r="A186" s="29" t="s">
        <v>63</v>
      </c>
      <c r="B186" s="29" t="s">
        <v>1550</v>
      </c>
      <c r="C186" s="626">
        <f>SETUP!$F$58</f>
        <v>0</v>
      </c>
      <c r="D186" s="25">
        <v>6.6</v>
      </c>
      <c r="E186" s="26" t="s">
        <v>216</v>
      </c>
      <c r="F186" s="26" t="s">
        <v>200</v>
      </c>
      <c r="G186" s="26" t="str">
        <f t="array" ref="G186">IFERROR(INDEX('Malaria-Equipment &amp; Other HPs'!$L$130:$L$230,MATCH($E186&amp;$F186,'Malaria-Equipment &amp; Other HPs'!$E$130:$E$230&amp;'Malaria-Equipment &amp; Other HPs'!$H$130:$H$230,0)),"")</f>
        <v/>
      </c>
      <c r="H186" s="26" t="str">
        <f t="array" ref="H186">IFERROR(INDEX('Malaria-Equipment &amp; Other HPs'!$M$130:$M$230,MATCH($E186&amp;$F186,'Malaria-Equipment &amp; Other HPs'!$E$130:$E$230&amp;'Malaria-Equipment &amp; Other HPs'!$H$130:$H$230,0)),"")</f>
        <v/>
      </c>
      <c r="I186" s="26">
        <f t="array" ref="I186">IFERROR(INDEX('Malaria-Equipment &amp; Other HPs'!$N$130:$N$230,MATCH($E186&amp;$F186,'Malaria-Equipment &amp; Other HPs'!$E$130:$E$230&amp;'Malaria-Equipment &amp; Other HPs'!$H$130:$H$230,0)),0)</f>
        <v>0</v>
      </c>
      <c r="J186" s="26">
        <f t="array" ref="J186">IFERROR(INDEX('Malaria-Equipment &amp; Other HPs'!$O$130:$O$230,MATCH($E186&amp;$F186,'Malaria-Equipment &amp; Other HPs'!$E$130:$E$230&amp;'Malaria-Equipment &amp; Other HPs'!$H$130:$H$230,0)),0)</f>
        <v>0</v>
      </c>
      <c r="K186" s="25">
        <f t="shared" si="180"/>
        <v>0</v>
      </c>
      <c r="L186" s="25">
        <f t="shared" si="181"/>
        <v>0</v>
      </c>
      <c r="M186" s="25">
        <f t="shared" si="182"/>
        <v>0</v>
      </c>
      <c r="N186" s="26">
        <f t="array" ref="N186">IFERROR(INDEX('Malaria-Equipment &amp; Other HPs'!$P$130:$P$230,MATCH($E186&amp;$F186,'Malaria-Equipment &amp; Other HPs'!$E$130:$E$230&amp;'Malaria-Equipment &amp; Other HPs'!$H$130:$H$230,0)),0)</f>
        <v>0</v>
      </c>
      <c r="O186" s="25">
        <f t="shared" si="183"/>
        <v>0</v>
      </c>
      <c r="P186" s="25">
        <f t="shared" si="184"/>
        <v>0</v>
      </c>
      <c r="Q186" s="25">
        <f t="shared" si="185"/>
        <v>0</v>
      </c>
      <c r="R186" s="26">
        <f t="array" ref="R186">IFERROR(INDEX('Malaria-Equipment &amp; Other HPs'!$Q$130:$Q$230,MATCH($E186&amp;$F186,'Malaria-Equipment &amp; Other HPs'!$E$130:$E$230&amp;'Malaria-Equipment &amp; Other HPs'!$H$130:$H$230,0)),0)</f>
        <v>0</v>
      </c>
      <c r="S186" s="25">
        <f t="shared" si="186"/>
        <v>0</v>
      </c>
      <c r="T186" s="25">
        <f t="shared" si="187"/>
        <v>0</v>
      </c>
      <c r="U186" s="25">
        <f t="shared" si="188"/>
        <v>0</v>
      </c>
      <c r="V186" s="26">
        <f t="array" ref="V186">IFERROR(INDEX('Malaria-Equipment &amp; Other HPs'!$R$130:$R$230,MATCH($E186&amp;$F186,'Malaria-Equipment &amp; Other HPs'!$E$130:$E$230&amp;'Malaria-Equipment &amp; Other HPs'!$H$130:$H$230,0)),0)</f>
        <v>0</v>
      </c>
      <c r="W186" s="25">
        <f t="shared" si="189"/>
        <v>0</v>
      </c>
      <c r="X186" s="25">
        <f t="shared" si="190"/>
        <v>0</v>
      </c>
      <c r="Y186" s="25">
        <f t="shared" si="191"/>
        <v>0</v>
      </c>
      <c r="Z186" s="680"/>
      <c r="AA186" s="26">
        <f t="array" ref="AA186">IFERROR(INDEX('Malaria-Equipment &amp; Other HPs'!$U$130:$U$230,MATCH($E186&amp;$F186,'Malaria-Equipment &amp; Other HPs'!$E$130:$E$230&amp;'Malaria-Equipment &amp; Other HPs'!$H$130:$H$230,0)),0)</f>
        <v>0</v>
      </c>
      <c r="AB186" s="26">
        <f t="array" ref="AB186">IFERROR(INDEX('Malaria-Equipment &amp; Other HPs'!$V$130:$V$230,MATCH($E186&amp;$F186,'Malaria-Equipment &amp; Other HPs'!$E$130:$E$230&amp;'Malaria-Equipment &amp; Other HPs'!$H$130:$H$230,0)),0)</f>
        <v>0</v>
      </c>
      <c r="AC186" s="26">
        <f t="shared" si="192"/>
        <v>0</v>
      </c>
      <c r="AD186" s="25">
        <f t="shared" si="193"/>
        <v>0</v>
      </c>
      <c r="AE186" s="25">
        <f t="shared" si="194"/>
        <v>0</v>
      </c>
      <c r="AF186" s="26">
        <f t="array" ref="AF186">IFERROR(INDEX('Malaria-Equipment &amp; Other HPs'!$W$130:$W$230,MATCH($E186&amp;$F186,'Malaria-Equipment &amp; Other HPs'!$E$130:$E$230&amp;'Malaria-Equipment &amp; Other HPs'!$H$130:$H$230,0)),0)</f>
        <v>0</v>
      </c>
      <c r="AG186" s="26">
        <f t="shared" si="195"/>
        <v>0</v>
      </c>
      <c r="AH186" s="25">
        <f t="shared" si="196"/>
        <v>0</v>
      </c>
      <c r="AI186" s="25">
        <f t="shared" si="197"/>
        <v>0</v>
      </c>
      <c r="AJ186" s="26">
        <f t="array" ref="AJ186">IFERROR(INDEX('Malaria-Equipment &amp; Other HPs'!$X$130:$X$230,MATCH($E186&amp;$F186,'Malaria-Equipment &amp; Other HPs'!$E$130:$E$230&amp;'Malaria-Equipment &amp; Other HPs'!$H$130:$H$230,0)),0)</f>
        <v>0</v>
      </c>
      <c r="AK186" s="26">
        <f t="shared" si="198"/>
        <v>0</v>
      </c>
      <c r="AL186" s="25">
        <f t="shared" si="199"/>
        <v>0</v>
      </c>
      <c r="AM186" s="25">
        <f t="shared" si="200"/>
        <v>0</v>
      </c>
      <c r="AN186" s="26">
        <f t="array" ref="AN186">IFERROR(INDEX('Malaria-Equipment &amp; Other HPs'!$Y$130:$Y$230,MATCH($E186&amp;$F186,'Malaria-Equipment &amp; Other HPs'!$E$130:$E$230&amp;'Malaria-Equipment &amp; Other HPs'!$H$130:$H$230,0)),0)</f>
        <v>0</v>
      </c>
      <c r="AO186" s="26">
        <f t="shared" si="201"/>
        <v>0</v>
      </c>
      <c r="AP186" s="25">
        <f t="shared" si="202"/>
        <v>0</v>
      </c>
      <c r="AQ186" s="25">
        <f t="shared" si="203"/>
        <v>0</v>
      </c>
      <c r="AR186" s="680"/>
      <c r="AS186" s="26">
        <f t="array" ref="AS186">IFERROR(INDEX('Malaria-Equipment &amp; Other HPs'!$AB$130:$AB$230,MATCH($E186&amp;$F186,'Malaria-Equipment &amp; Other HPs'!$E$130:$E$230&amp;'Malaria-Equipment &amp; Other HPs'!$H$130:$H$230,0)),0)</f>
        <v>0</v>
      </c>
      <c r="AT186" s="26">
        <f t="array" ref="AT186">IFERROR(INDEX('Malaria-Equipment &amp; Other HPs'!$AC$130:$AC$230,MATCH($E186&amp;$F186,'Malaria-Equipment &amp; Other HPs'!$E$130:$E$230&amp;'Malaria-Equipment &amp; Other HPs'!$H$130:$H$230,0)),0)</f>
        <v>0</v>
      </c>
      <c r="AU186" s="26">
        <f t="shared" si="204"/>
        <v>0</v>
      </c>
      <c r="AV186" s="25">
        <f t="shared" si="205"/>
        <v>0</v>
      </c>
      <c r="AW186" s="25">
        <f t="shared" si="206"/>
        <v>0</v>
      </c>
      <c r="AX186" s="26">
        <f t="array" ref="AX186">IFERROR(INDEX('Malaria-Equipment &amp; Other HPs'!$AD$130:$AD$230,MATCH($E186&amp;$F186,'Malaria-Equipment &amp; Other HPs'!$E$130:$E$230&amp;'Malaria-Equipment &amp; Other HPs'!$H$130:$H$230,0)),0)</f>
        <v>0</v>
      </c>
      <c r="AY186" s="26">
        <f t="shared" si="207"/>
        <v>0</v>
      </c>
      <c r="AZ186" s="25">
        <f t="shared" si="208"/>
        <v>0</v>
      </c>
      <c r="BA186" s="25">
        <f t="shared" si="209"/>
        <v>0</v>
      </c>
      <c r="BB186" s="26">
        <f t="array" ref="BB186">IFERROR(INDEX('Malaria-Equipment &amp; Other HPs'!$AE$130:$AE$230,MATCH($E186&amp;$F186,'Malaria-Equipment &amp; Other HPs'!$E$130:$E$230&amp;'Malaria-Equipment &amp; Other HPs'!$H$130:$H$230,0)),0)</f>
        <v>0</v>
      </c>
      <c r="BC186" s="26">
        <f t="shared" si="210"/>
        <v>0</v>
      </c>
      <c r="BD186" s="25">
        <f t="shared" si="211"/>
        <v>0</v>
      </c>
      <c r="BE186" s="25">
        <f t="shared" si="212"/>
        <v>0</v>
      </c>
      <c r="BF186" s="26">
        <f t="array" ref="BF186">IFERROR(INDEX('Malaria-Equipment &amp; Other HPs'!$AF$130:$AF$230,MATCH($E186&amp;$F186,'Malaria-Equipment &amp; Other HPs'!$E$130:$E$230&amp;'Malaria-Equipment &amp; Other HPs'!$H$130:$H$230,0)),0)</f>
        <v>0</v>
      </c>
      <c r="BG186" s="26">
        <f t="shared" si="213"/>
        <v>0</v>
      </c>
      <c r="BH186" s="25">
        <f t="shared" si="214"/>
        <v>0</v>
      </c>
      <c r="BI186" s="25">
        <f t="shared" si="215"/>
        <v>0</v>
      </c>
      <c r="BJ186" s="680"/>
      <c r="BK186" s="26"/>
      <c r="BL186" s="26"/>
      <c r="BM186" s="26"/>
      <c r="BN186" s="26"/>
      <c r="BO186" s="26"/>
      <c r="BP186" s="26"/>
      <c r="BQ186" s="26"/>
      <c r="BR186" s="26"/>
      <c r="BT186" s="21" t="s">
        <v>6839</v>
      </c>
    </row>
    <row r="187" spans="1:72">
      <c r="A187" s="29" t="s">
        <v>63</v>
      </c>
      <c r="B187" s="29" t="s">
        <v>1550</v>
      </c>
      <c r="C187" s="626">
        <f>SETUP!$F$58</f>
        <v>0</v>
      </c>
      <c r="D187" s="25">
        <v>6.5</v>
      </c>
      <c r="E187" s="26" t="s">
        <v>217</v>
      </c>
      <c r="F187" s="26" t="s">
        <v>218</v>
      </c>
      <c r="G187" s="26" t="str">
        <f t="array" ref="G187">IFERROR(INDEX('Malaria-Equipment &amp; Other HPs'!$L$130:$L$230,MATCH($E187&amp;$F187,'Malaria-Equipment &amp; Other HPs'!$E$130:$E$230&amp;'Malaria-Equipment &amp; Other HPs'!$H$130:$H$230,0)),"")</f>
        <v/>
      </c>
      <c r="H187" s="26" t="str">
        <f t="array" ref="H187">IFERROR(INDEX('Malaria-Equipment &amp; Other HPs'!$M$130:$M$230,MATCH($E187&amp;$F187,'Malaria-Equipment &amp; Other HPs'!$E$130:$E$230&amp;'Malaria-Equipment &amp; Other HPs'!$H$130:$H$230,0)),"")</f>
        <v/>
      </c>
      <c r="I187" s="26">
        <f t="array" ref="I187">IFERROR(INDEX('Malaria-Equipment &amp; Other HPs'!$N$130:$N$230,MATCH($E187&amp;$F187,'Malaria-Equipment &amp; Other HPs'!$E$130:$E$230&amp;'Malaria-Equipment &amp; Other HPs'!$H$130:$H$230,0)),0)</f>
        <v>0</v>
      </c>
      <c r="J187" s="26">
        <f t="array" ref="J187">IFERROR(INDEX('Malaria-Equipment &amp; Other HPs'!$O$130:$O$230,MATCH($E187&amp;$F187,'Malaria-Equipment &amp; Other HPs'!$E$130:$E$230&amp;'Malaria-Equipment &amp; Other HPs'!$H$130:$H$230,0)),0)</f>
        <v>0</v>
      </c>
      <c r="K187" s="25">
        <f t="shared" si="180"/>
        <v>0</v>
      </c>
      <c r="L187" s="25">
        <f t="shared" si="181"/>
        <v>0</v>
      </c>
      <c r="M187" s="25">
        <f t="shared" si="182"/>
        <v>0</v>
      </c>
      <c r="N187" s="26">
        <f t="array" ref="N187">IFERROR(INDEX('Malaria-Equipment &amp; Other HPs'!$P$130:$P$230,MATCH($E187&amp;$F187,'Malaria-Equipment &amp; Other HPs'!$E$130:$E$230&amp;'Malaria-Equipment &amp; Other HPs'!$H$130:$H$230,0)),0)</f>
        <v>0</v>
      </c>
      <c r="O187" s="25">
        <f t="shared" si="183"/>
        <v>0</v>
      </c>
      <c r="P187" s="25">
        <f t="shared" si="184"/>
        <v>0</v>
      </c>
      <c r="Q187" s="25">
        <f t="shared" si="185"/>
        <v>0</v>
      </c>
      <c r="R187" s="26">
        <f t="array" ref="R187">IFERROR(INDEX('Malaria-Equipment &amp; Other HPs'!$Q$130:$Q$230,MATCH($E187&amp;$F187,'Malaria-Equipment &amp; Other HPs'!$E$130:$E$230&amp;'Malaria-Equipment &amp; Other HPs'!$H$130:$H$230,0)),0)</f>
        <v>0</v>
      </c>
      <c r="S187" s="25">
        <f t="shared" si="186"/>
        <v>0</v>
      </c>
      <c r="T187" s="25">
        <f t="shared" si="187"/>
        <v>0</v>
      </c>
      <c r="U187" s="25">
        <f t="shared" si="188"/>
        <v>0</v>
      </c>
      <c r="V187" s="26">
        <f t="array" ref="V187">IFERROR(INDEX('Malaria-Equipment &amp; Other HPs'!$R$130:$R$230,MATCH($E187&amp;$F187,'Malaria-Equipment &amp; Other HPs'!$E$130:$E$230&amp;'Malaria-Equipment &amp; Other HPs'!$H$130:$H$230,0)),0)</f>
        <v>0</v>
      </c>
      <c r="W187" s="25">
        <f t="shared" si="189"/>
        <v>0</v>
      </c>
      <c r="X187" s="25">
        <f t="shared" si="190"/>
        <v>0</v>
      </c>
      <c r="Y187" s="25">
        <f t="shared" si="191"/>
        <v>0</v>
      </c>
      <c r="Z187" s="680"/>
      <c r="AA187" s="26">
        <f t="array" ref="AA187">IFERROR(INDEX('Malaria-Equipment &amp; Other HPs'!$U$130:$U$230,MATCH($E187&amp;$F187,'Malaria-Equipment &amp; Other HPs'!$E$130:$E$230&amp;'Malaria-Equipment &amp; Other HPs'!$H$130:$H$230,0)),0)</f>
        <v>0</v>
      </c>
      <c r="AB187" s="26">
        <f t="array" ref="AB187">IFERROR(INDEX('Malaria-Equipment &amp; Other HPs'!$V$130:$V$230,MATCH($E187&amp;$F187,'Malaria-Equipment &amp; Other HPs'!$E$130:$E$230&amp;'Malaria-Equipment &amp; Other HPs'!$H$130:$H$230,0)),0)</f>
        <v>0</v>
      </c>
      <c r="AC187" s="26">
        <f t="shared" si="192"/>
        <v>0</v>
      </c>
      <c r="AD187" s="25">
        <f t="shared" si="193"/>
        <v>0</v>
      </c>
      <c r="AE187" s="25">
        <f t="shared" si="194"/>
        <v>0</v>
      </c>
      <c r="AF187" s="26">
        <f t="array" ref="AF187">IFERROR(INDEX('Malaria-Equipment &amp; Other HPs'!$W$130:$W$230,MATCH($E187&amp;$F187,'Malaria-Equipment &amp; Other HPs'!$E$130:$E$230&amp;'Malaria-Equipment &amp; Other HPs'!$H$130:$H$230,0)),0)</f>
        <v>0</v>
      </c>
      <c r="AG187" s="26">
        <f t="shared" si="195"/>
        <v>0</v>
      </c>
      <c r="AH187" s="25">
        <f t="shared" si="196"/>
        <v>0</v>
      </c>
      <c r="AI187" s="25">
        <f t="shared" si="197"/>
        <v>0</v>
      </c>
      <c r="AJ187" s="26">
        <f t="array" ref="AJ187">IFERROR(INDEX('Malaria-Equipment &amp; Other HPs'!$X$130:$X$230,MATCH($E187&amp;$F187,'Malaria-Equipment &amp; Other HPs'!$E$130:$E$230&amp;'Malaria-Equipment &amp; Other HPs'!$H$130:$H$230,0)),0)</f>
        <v>0</v>
      </c>
      <c r="AK187" s="26">
        <f t="shared" si="198"/>
        <v>0</v>
      </c>
      <c r="AL187" s="25">
        <f t="shared" si="199"/>
        <v>0</v>
      </c>
      <c r="AM187" s="25">
        <f t="shared" si="200"/>
        <v>0</v>
      </c>
      <c r="AN187" s="26">
        <f t="array" ref="AN187">IFERROR(INDEX('Malaria-Equipment &amp; Other HPs'!$Y$130:$Y$230,MATCH($E187&amp;$F187,'Malaria-Equipment &amp; Other HPs'!$E$130:$E$230&amp;'Malaria-Equipment &amp; Other HPs'!$H$130:$H$230,0)),0)</f>
        <v>0</v>
      </c>
      <c r="AO187" s="26">
        <f t="shared" si="201"/>
        <v>0</v>
      </c>
      <c r="AP187" s="25">
        <f t="shared" si="202"/>
        <v>0</v>
      </c>
      <c r="AQ187" s="25">
        <f t="shared" si="203"/>
        <v>0</v>
      </c>
      <c r="AR187" s="680"/>
      <c r="AS187" s="26">
        <f t="array" ref="AS187">IFERROR(INDEX('Malaria-Equipment &amp; Other HPs'!$AB$130:$AB$230,MATCH($E187&amp;$F187,'Malaria-Equipment &amp; Other HPs'!$E$130:$E$230&amp;'Malaria-Equipment &amp; Other HPs'!$H$130:$H$230,0)),0)</f>
        <v>0</v>
      </c>
      <c r="AT187" s="26">
        <f t="array" ref="AT187">IFERROR(INDEX('Malaria-Equipment &amp; Other HPs'!$AC$130:$AC$230,MATCH($E187&amp;$F187,'Malaria-Equipment &amp; Other HPs'!$E$130:$E$230&amp;'Malaria-Equipment &amp; Other HPs'!$H$130:$H$230,0)),0)</f>
        <v>0</v>
      </c>
      <c r="AU187" s="26">
        <f t="shared" si="204"/>
        <v>0</v>
      </c>
      <c r="AV187" s="25">
        <f t="shared" si="205"/>
        <v>0</v>
      </c>
      <c r="AW187" s="25">
        <f t="shared" si="206"/>
        <v>0</v>
      </c>
      <c r="AX187" s="26">
        <f t="array" ref="AX187">IFERROR(INDEX('Malaria-Equipment &amp; Other HPs'!$AD$130:$AD$230,MATCH($E187&amp;$F187,'Malaria-Equipment &amp; Other HPs'!$E$130:$E$230&amp;'Malaria-Equipment &amp; Other HPs'!$H$130:$H$230,0)),0)</f>
        <v>0</v>
      </c>
      <c r="AY187" s="26">
        <f t="shared" si="207"/>
        <v>0</v>
      </c>
      <c r="AZ187" s="25">
        <f t="shared" si="208"/>
        <v>0</v>
      </c>
      <c r="BA187" s="25">
        <f t="shared" si="209"/>
        <v>0</v>
      </c>
      <c r="BB187" s="26">
        <f t="array" ref="BB187">IFERROR(INDEX('Malaria-Equipment &amp; Other HPs'!$AE$130:$AE$230,MATCH($E187&amp;$F187,'Malaria-Equipment &amp; Other HPs'!$E$130:$E$230&amp;'Malaria-Equipment &amp; Other HPs'!$H$130:$H$230,0)),0)</f>
        <v>0</v>
      </c>
      <c r="BC187" s="26">
        <f t="shared" si="210"/>
        <v>0</v>
      </c>
      <c r="BD187" s="25">
        <f t="shared" si="211"/>
        <v>0</v>
      </c>
      <c r="BE187" s="25">
        <f t="shared" si="212"/>
        <v>0</v>
      </c>
      <c r="BF187" s="26">
        <f t="array" ref="BF187">IFERROR(INDEX('Malaria-Equipment &amp; Other HPs'!$AF$130:$AF$230,MATCH($E187&amp;$F187,'Malaria-Equipment &amp; Other HPs'!$E$130:$E$230&amp;'Malaria-Equipment &amp; Other HPs'!$H$130:$H$230,0)),0)</f>
        <v>0</v>
      </c>
      <c r="BG187" s="26">
        <f t="shared" si="213"/>
        <v>0</v>
      </c>
      <c r="BH187" s="25">
        <f t="shared" si="214"/>
        <v>0</v>
      </c>
      <c r="BI187" s="25">
        <f t="shared" si="215"/>
        <v>0</v>
      </c>
      <c r="BJ187" s="680"/>
      <c r="BK187" s="26"/>
      <c r="BL187" s="26"/>
      <c r="BM187" s="26"/>
      <c r="BN187" s="26"/>
      <c r="BO187" s="26"/>
      <c r="BP187" s="26"/>
      <c r="BQ187" s="26"/>
      <c r="BR187" s="26"/>
      <c r="BT187" s="21" t="s">
        <v>6839</v>
      </c>
    </row>
    <row r="188" spans="1:72">
      <c r="A188" s="29" t="s">
        <v>63</v>
      </c>
      <c r="B188" s="29" t="s">
        <v>1550</v>
      </c>
      <c r="C188" s="626">
        <f>SETUP!$F$58</f>
        <v>0</v>
      </c>
      <c r="D188" s="25">
        <v>6.6</v>
      </c>
      <c r="E188" s="26" t="s">
        <v>217</v>
      </c>
      <c r="F188" s="26" t="s">
        <v>201</v>
      </c>
      <c r="G188" s="26" t="str">
        <f t="array" ref="G188">IFERROR(INDEX('Malaria-Equipment &amp; Other HPs'!$L$130:$L$230,MATCH($E188&amp;$F188,'Malaria-Equipment &amp; Other HPs'!$E$130:$E$230&amp;'Malaria-Equipment &amp; Other HPs'!$H$130:$H$230,0)),"")</f>
        <v/>
      </c>
      <c r="H188" s="26" t="str">
        <f t="array" ref="H188">IFERROR(INDEX('Malaria-Equipment &amp; Other HPs'!$M$130:$M$230,MATCH($E188&amp;$F188,'Malaria-Equipment &amp; Other HPs'!$E$130:$E$230&amp;'Malaria-Equipment &amp; Other HPs'!$H$130:$H$230,0)),"")</f>
        <v/>
      </c>
      <c r="I188" s="26">
        <f t="array" ref="I188">IFERROR(INDEX('Malaria-Equipment &amp; Other HPs'!$N$130:$N$230,MATCH($E188&amp;$F188,'Malaria-Equipment &amp; Other HPs'!$E$130:$E$230&amp;'Malaria-Equipment &amp; Other HPs'!$H$130:$H$230,0)),0)</f>
        <v>0</v>
      </c>
      <c r="J188" s="26">
        <f t="array" ref="J188">IFERROR(INDEX('Malaria-Equipment &amp; Other HPs'!$O$130:$O$230,MATCH($E188&amp;$F188,'Malaria-Equipment &amp; Other HPs'!$E$130:$E$230&amp;'Malaria-Equipment &amp; Other HPs'!$H$130:$H$230,0)),0)</f>
        <v>0</v>
      </c>
      <c r="K188" s="25">
        <f t="shared" si="180"/>
        <v>0</v>
      </c>
      <c r="L188" s="25">
        <f t="shared" si="181"/>
        <v>0</v>
      </c>
      <c r="M188" s="25">
        <f t="shared" si="182"/>
        <v>0</v>
      </c>
      <c r="N188" s="26">
        <f t="array" ref="N188">IFERROR(INDEX('Malaria-Equipment &amp; Other HPs'!$P$130:$P$230,MATCH($E188&amp;$F188,'Malaria-Equipment &amp; Other HPs'!$E$130:$E$230&amp;'Malaria-Equipment &amp; Other HPs'!$H$130:$H$230,0)),0)</f>
        <v>0</v>
      </c>
      <c r="O188" s="25">
        <f t="shared" si="183"/>
        <v>0</v>
      </c>
      <c r="P188" s="25">
        <f t="shared" si="184"/>
        <v>0</v>
      </c>
      <c r="Q188" s="25">
        <f t="shared" si="185"/>
        <v>0</v>
      </c>
      <c r="R188" s="26">
        <f t="array" ref="R188">IFERROR(INDEX('Malaria-Equipment &amp; Other HPs'!$Q$130:$Q$230,MATCH($E188&amp;$F188,'Malaria-Equipment &amp; Other HPs'!$E$130:$E$230&amp;'Malaria-Equipment &amp; Other HPs'!$H$130:$H$230,0)),0)</f>
        <v>0</v>
      </c>
      <c r="S188" s="25">
        <f t="shared" si="186"/>
        <v>0</v>
      </c>
      <c r="T188" s="25">
        <f t="shared" si="187"/>
        <v>0</v>
      </c>
      <c r="U188" s="25">
        <f t="shared" si="188"/>
        <v>0</v>
      </c>
      <c r="V188" s="26">
        <f t="array" ref="V188">IFERROR(INDEX('Malaria-Equipment &amp; Other HPs'!$R$130:$R$230,MATCH($E188&amp;$F188,'Malaria-Equipment &amp; Other HPs'!$E$130:$E$230&amp;'Malaria-Equipment &amp; Other HPs'!$H$130:$H$230,0)),0)</f>
        <v>0</v>
      </c>
      <c r="W188" s="25">
        <f t="shared" si="189"/>
        <v>0</v>
      </c>
      <c r="X188" s="25">
        <f t="shared" si="190"/>
        <v>0</v>
      </c>
      <c r="Y188" s="25">
        <f t="shared" si="191"/>
        <v>0</v>
      </c>
      <c r="Z188" s="680"/>
      <c r="AA188" s="26">
        <f t="array" ref="AA188">IFERROR(INDEX('Malaria-Equipment &amp; Other HPs'!$U$130:$U$230,MATCH($E188&amp;$F188,'Malaria-Equipment &amp; Other HPs'!$E$130:$E$230&amp;'Malaria-Equipment &amp; Other HPs'!$H$130:$H$230,0)),0)</f>
        <v>0</v>
      </c>
      <c r="AB188" s="26">
        <f t="array" ref="AB188">IFERROR(INDEX('Malaria-Equipment &amp; Other HPs'!$V$130:$V$230,MATCH($E188&amp;$F188,'Malaria-Equipment &amp; Other HPs'!$E$130:$E$230&amp;'Malaria-Equipment &amp; Other HPs'!$H$130:$H$230,0)),0)</f>
        <v>0</v>
      </c>
      <c r="AC188" s="26">
        <f t="shared" si="192"/>
        <v>0</v>
      </c>
      <c r="AD188" s="25">
        <f t="shared" si="193"/>
        <v>0</v>
      </c>
      <c r="AE188" s="25">
        <f t="shared" si="194"/>
        <v>0</v>
      </c>
      <c r="AF188" s="26">
        <f t="array" ref="AF188">IFERROR(INDEX('Malaria-Equipment &amp; Other HPs'!$W$130:$W$230,MATCH($E188&amp;$F188,'Malaria-Equipment &amp; Other HPs'!$E$130:$E$230&amp;'Malaria-Equipment &amp; Other HPs'!$H$130:$H$230,0)),0)</f>
        <v>0</v>
      </c>
      <c r="AG188" s="26">
        <f t="shared" si="195"/>
        <v>0</v>
      </c>
      <c r="AH188" s="25">
        <f t="shared" si="196"/>
        <v>0</v>
      </c>
      <c r="AI188" s="25">
        <f t="shared" si="197"/>
        <v>0</v>
      </c>
      <c r="AJ188" s="26">
        <f t="array" ref="AJ188">IFERROR(INDEX('Malaria-Equipment &amp; Other HPs'!$X$130:$X$230,MATCH($E188&amp;$F188,'Malaria-Equipment &amp; Other HPs'!$E$130:$E$230&amp;'Malaria-Equipment &amp; Other HPs'!$H$130:$H$230,0)),0)</f>
        <v>0</v>
      </c>
      <c r="AK188" s="26">
        <f t="shared" si="198"/>
        <v>0</v>
      </c>
      <c r="AL188" s="25">
        <f t="shared" si="199"/>
        <v>0</v>
      </c>
      <c r="AM188" s="25">
        <f t="shared" si="200"/>
        <v>0</v>
      </c>
      <c r="AN188" s="26">
        <f t="array" ref="AN188">IFERROR(INDEX('Malaria-Equipment &amp; Other HPs'!$Y$130:$Y$230,MATCH($E188&amp;$F188,'Malaria-Equipment &amp; Other HPs'!$E$130:$E$230&amp;'Malaria-Equipment &amp; Other HPs'!$H$130:$H$230,0)),0)</f>
        <v>0</v>
      </c>
      <c r="AO188" s="26">
        <f t="shared" si="201"/>
        <v>0</v>
      </c>
      <c r="AP188" s="25">
        <f t="shared" si="202"/>
        <v>0</v>
      </c>
      <c r="AQ188" s="25">
        <f t="shared" si="203"/>
        <v>0</v>
      </c>
      <c r="AR188" s="680"/>
      <c r="AS188" s="26">
        <f t="array" ref="AS188">IFERROR(INDEX('Malaria-Equipment &amp; Other HPs'!$AB$130:$AB$230,MATCH($E188&amp;$F188,'Malaria-Equipment &amp; Other HPs'!$E$130:$E$230&amp;'Malaria-Equipment &amp; Other HPs'!$H$130:$H$230,0)),0)</f>
        <v>0</v>
      </c>
      <c r="AT188" s="26">
        <f t="array" ref="AT188">IFERROR(INDEX('Malaria-Equipment &amp; Other HPs'!$AC$130:$AC$230,MATCH($E188&amp;$F188,'Malaria-Equipment &amp; Other HPs'!$E$130:$E$230&amp;'Malaria-Equipment &amp; Other HPs'!$H$130:$H$230,0)),0)</f>
        <v>0</v>
      </c>
      <c r="AU188" s="26">
        <f t="shared" si="204"/>
        <v>0</v>
      </c>
      <c r="AV188" s="25">
        <f t="shared" si="205"/>
        <v>0</v>
      </c>
      <c r="AW188" s="25">
        <f t="shared" si="206"/>
        <v>0</v>
      </c>
      <c r="AX188" s="26">
        <f t="array" ref="AX188">IFERROR(INDEX('Malaria-Equipment &amp; Other HPs'!$AD$130:$AD$230,MATCH($E188&amp;$F188,'Malaria-Equipment &amp; Other HPs'!$E$130:$E$230&amp;'Malaria-Equipment &amp; Other HPs'!$H$130:$H$230,0)),0)</f>
        <v>0</v>
      </c>
      <c r="AY188" s="26">
        <f t="shared" si="207"/>
        <v>0</v>
      </c>
      <c r="AZ188" s="25">
        <f t="shared" si="208"/>
        <v>0</v>
      </c>
      <c r="BA188" s="25">
        <f t="shared" si="209"/>
        <v>0</v>
      </c>
      <c r="BB188" s="26">
        <f t="array" ref="BB188">IFERROR(INDEX('Malaria-Equipment &amp; Other HPs'!$AE$130:$AE$230,MATCH($E188&amp;$F188,'Malaria-Equipment &amp; Other HPs'!$E$130:$E$230&amp;'Malaria-Equipment &amp; Other HPs'!$H$130:$H$230,0)),0)</f>
        <v>0</v>
      </c>
      <c r="BC188" s="26">
        <f t="shared" si="210"/>
        <v>0</v>
      </c>
      <c r="BD188" s="25">
        <f t="shared" si="211"/>
        <v>0</v>
      </c>
      <c r="BE188" s="25">
        <f t="shared" si="212"/>
        <v>0</v>
      </c>
      <c r="BF188" s="26">
        <f t="array" ref="BF188">IFERROR(INDEX('Malaria-Equipment &amp; Other HPs'!$AF$130:$AF$230,MATCH($E188&amp;$F188,'Malaria-Equipment &amp; Other HPs'!$E$130:$E$230&amp;'Malaria-Equipment &amp; Other HPs'!$H$130:$H$230,0)),0)</f>
        <v>0</v>
      </c>
      <c r="BG188" s="26">
        <f t="shared" si="213"/>
        <v>0</v>
      </c>
      <c r="BH188" s="25">
        <f t="shared" si="214"/>
        <v>0</v>
      </c>
      <c r="BI188" s="25">
        <f t="shared" si="215"/>
        <v>0</v>
      </c>
      <c r="BJ188" s="680"/>
      <c r="BK188" s="26"/>
      <c r="BL188" s="26"/>
      <c r="BM188" s="26"/>
      <c r="BN188" s="26"/>
      <c r="BO188" s="26"/>
      <c r="BP188" s="26"/>
      <c r="BQ188" s="26"/>
      <c r="BR188" s="26"/>
      <c r="BT188" s="21" t="s">
        <v>6839</v>
      </c>
    </row>
    <row r="189" spans="1:72">
      <c r="A189" s="29" t="s">
        <v>63</v>
      </c>
      <c r="B189" s="29" t="s">
        <v>1550</v>
      </c>
      <c r="C189" s="626">
        <f>SETUP!$F$58</f>
        <v>0</v>
      </c>
      <c r="D189" s="25">
        <v>6.6</v>
      </c>
      <c r="E189" s="26" t="s">
        <v>217</v>
      </c>
      <c r="F189" s="26" t="s">
        <v>200</v>
      </c>
      <c r="G189" s="26" t="str">
        <f t="array" ref="G189">IFERROR(INDEX('Malaria-Equipment &amp; Other HPs'!$L$130:$L$230,MATCH($E189&amp;$F189,'Malaria-Equipment &amp; Other HPs'!$E$130:$E$230&amp;'Malaria-Equipment &amp; Other HPs'!$H$130:$H$230,0)),"")</f>
        <v/>
      </c>
      <c r="H189" s="26" t="str">
        <f t="array" ref="H189">IFERROR(INDEX('Malaria-Equipment &amp; Other HPs'!$M$130:$M$230,MATCH($E189&amp;$F189,'Malaria-Equipment &amp; Other HPs'!$E$130:$E$230&amp;'Malaria-Equipment &amp; Other HPs'!$H$130:$H$230,0)),"")</f>
        <v/>
      </c>
      <c r="I189" s="26">
        <f t="array" ref="I189">IFERROR(INDEX('Malaria-Equipment &amp; Other HPs'!$N$130:$N$230,MATCH($E189&amp;$F189,'Malaria-Equipment &amp; Other HPs'!$E$130:$E$230&amp;'Malaria-Equipment &amp; Other HPs'!$H$130:$H$230,0)),0)</f>
        <v>0</v>
      </c>
      <c r="J189" s="26">
        <f t="array" ref="J189">IFERROR(INDEX('Malaria-Equipment &amp; Other HPs'!$O$130:$O$230,MATCH($E189&amp;$F189,'Malaria-Equipment &amp; Other HPs'!$E$130:$E$230&amp;'Malaria-Equipment &amp; Other HPs'!$H$130:$H$230,0)),0)</f>
        <v>0</v>
      </c>
      <c r="K189" s="25">
        <f t="shared" si="180"/>
        <v>0</v>
      </c>
      <c r="L189" s="25">
        <f t="shared" si="181"/>
        <v>0</v>
      </c>
      <c r="M189" s="25">
        <f t="shared" si="182"/>
        <v>0</v>
      </c>
      <c r="N189" s="26">
        <f t="array" ref="N189">IFERROR(INDEX('Malaria-Equipment &amp; Other HPs'!$P$130:$P$230,MATCH($E189&amp;$F189,'Malaria-Equipment &amp; Other HPs'!$E$130:$E$230&amp;'Malaria-Equipment &amp; Other HPs'!$H$130:$H$230,0)),0)</f>
        <v>0</v>
      </c>
      <c r="O189" s="25">
        <f t="shared" si="183"/>
        <v>0</v>
      </c>
      <c r="P189" s="25">
        <f t="shared" si="184"/>
        <v>0</v>
      </c>
      <c r="Q189" s="25">
        <f t="shared" si="185"/>
        <v>0</v>
      </c>
      <c r="R189" s="26">
        <f t="array" ref="R189">IFERROR(INDEX('Malaria-Equipment &amp; Other HPs'!$Q$130:$Q$230,MATCH($E189&amp;$F189,'Malaria-Equipment &amp; Other HPs'!$E$130:$E$230&amp;'Malaria-Equipment &amp; Other HPs'!$H$130:$H$230,0)),0)</f>
        <v>0</v>
      </c>
      <c r="S189" s="25">
        <f t="shared" si="186"/>
        <v>0</v>
      </c>
      <c r="T189" s="25">
        <f t="shared" si="187"/>
        <v>0</v>
      </c>
      <c r="U189" s="25">
        <f t="shared" si="188"/>
        <v>0</v>
      </c>
      <c r="V189" s="26">
        <f t="array" ref="V189">IFERROR(INDEX('Malaria-Equipment &amp; Other HPs'!$R$130:$R$230,MATCH($E189&amp;$F189,'Malaria-Equipment &amp; Other HPs'!$E$130:$E$230&amp;'Malaria-Equipment &amp; Other HPs'!$H$130:$H$230,0)),0)</f>
        <v>0</v>
      </c>
      <c r="W189" s="25">
        <f t="shared" si="189"/>
        <v>0</v>
      </c>
      <c r="X189" s="25">
        <f t="shared" si="190"/>
        <v>0</v>
      </c>
      <c r="Y189" s="25">
        <f t="shared" si="191"/>
        <v>0</v>
      </c>
      <c r="Z189" s="680"/>
      <c r="AA189" s="26">
        <f t="array" ref="AA189">IFERROR(INDEX('Malaria-Equipment &amp; Other HPs'!$U$130:$U$230,MATCH($E189&amp;$F189,'Malaria-Equipment &amp; Other HPs'!$E$130:$E$230&amp;'Malaria-Equipment &amp; Other HPs'!$H$130:$H$230,0)),0)</f>
        <v>0</v>
      </c>
      <c r="AB189" s="26">
        <f t="array" ref="AB189">IFERROR(INDEX('Malaria-Equipment &amp; Other HPs'!$V$130:$V$230,MATCH($E189&amp;$F189,'Malaria-Equipment &amp; Other HPs'!$E$130:$E$230&amp;'Malaria-Equipment &amp; Other HPs'!$H$130:$H$230,0)),0)</f>
        <v>0</v>
      </c>
      <c r="AC189" s="26">
        <f t="shared" si="192"/>
        <v>0</v>
      </c>
      <c r="AD189" s="25">
        <f t="shared" si="193"/>
        <v>0</v>
      </c>
      <c r="AE189" s="25">
        <f t="shared" si="194"/>
        <v>0</v>
      </c>
      <c r="AF189" s="26">
        <f t="array" ref="AF189">IFERROR(INDEX('Malaria-Equipment &amp; Other HPs'!$W$130:$W$230,MATCH($E189&amp;$F189,'Malaria-Equipment &amp; Other HPs'!$E$130:$E$230&amp;'Malaria-Equipment &amp; Other HPs'!$H$130:$H$230,0)),0)</f>
        <v>0</v>
      </c>
      <c r="AG189" s="26">
        <f t="shared" si="195"/>
        <v>0</v>
      </c>
      <c r="AH189" s="25">
        <f t="shared" si="196"/>
        <v>0</v>
      </c>
      <c r="AI189" s="25">
        <f t="shared" si="197"/>
        <v>0</v>
      </c>
      <c r="AJ189" s="26">
        <f t="array" ref="AJ189">IFERROR(INDEX('Malaria-Equipment &amp; Other HPs'!$X$130:$X$230,MATCH($E189&amp;$F189,'Malaria-Equipment &amp; Other HPs'!$E$130:$E$230&amp;'Malaria-Equipment &amp; Other HPs'!$H$130:$H$230,0)),0)</f>
        <v>0</v>
      </c>
      <c r="AK189" s="26">
        <f t="shared" si="198"/>
        <v>0</v>
      </c>
      <c r="AL189" s="25">
        <f t="shared" si="199"/>
        <v>0</v>
      </c>
      <c r="AM189" s="25">
        <f t="shared" si="200"/>
        <v>0</v>
      </c>
      <c r="AN189" s="26">
        <f t="array" ref="AN189">IFERROR(INDEX('Malaria-Equipment &amp; Other HPs'!$Y$130:$Y$230,MATCH($E189&amp;$F189,'Malaria-Equipment &amp; Other HPs'!$E$130:$E$230&amp;'Malaria-Equipment &amp; Other HPs'!$H$130:$H$230,0)),0)</f>
        <v>0</v>
      </c>
      <c r="AO189" s="26">
        <f t="shared" si="201"/>
        <v>0</v>
      </c>
      <c r="AP189" s="25">
        <f t="shared" si="202"/>
        <v>0</v>
      </c>
      <c r="AQ189" s="25">
        <f t="shared" si="203"/>
        <v>0</v>
      </c>
      <c r="AR189" s="680"/>
      <c r="AS189" s="26">
        <f t="array" ref="AS189">IFERROR(INDEX('Malaria-Equipment &amp; Other HPs'!$AB$130:$AB$230,MATCH($E189&amp;$F189,'Malaria-Equipment &amp; Other HPs'!$E$130:$E$230&amp;'Malaria-Equipment &amp; Other HPs'!$H$130:$H$230,0)),0)</f>
        <v>0</v>
      </c>
      <c r="AT189" s="26">
        <f t="array" ref="AT189">IFERROR(INDEX('Malaria-Equipment &amp; Other HPs'!$AC$130:$AC$230,MATCH($E189&amp;$F189,'Malaria-Equipment &amp; Other HPs'!$E$130:$E$230&amp;'Malaria-Equipment &amp; Other HPs'!$H$130:$H$230,0)),0)</f>
        <v>0</v>
      </c>
      <c r="AU189" s="26">
        <f t="shared" si="204"/>
        <v>0</v>
      </c>
      <c r="AV189" s="25">
        <f t="shared" si="205"/>
        <v>0</v>
      </c>
      <c r="AW189" s="25">
        <f t="shared" si="206"/>
        <v>0</v>
      </c>
      <c r="AX189" s="26">
        <f t="array" ref="AX189">IFERROR(INDEX('Malaria-Equipment &amp; Other HPs'!$AD$130:$AD$230,MATCH($E189&amp;$F189,'Malaria-Equipment &amp; Other HPs'!$E$130:$E$230&amp;'Malaria-Equipment &amp; Other HPs'!$H$130:$H$230,0)),0)</f>
        <v>0</v>
      </c>
      <c r="AY189" s="26">
        <f t="shared" si="207"/>
        <v>0</v>
      </c>
      <c r="AZ189" s="25">
        <f t="shared" si="208"/>
        <v>0</v>
      </c>
      <c r="BA189" s="25">
        <f t="shared" si="209"/>
        <v>0</v>
      </c>
      <c r="BB189" s="26">
        <f t="array" ref="BB189">IFERROR(INDEX('Malaria-Equipment &amp; Other HPs'!$AE$130:$AE$230,MATCH($E189&amp;$F189,'Malaria-Equipment &amp; Other HPs'!$E$130:$E$230&amp;'Malaria-Equipment &amp; Other HPs'!$H$130:$H$230,0)),0)</f>
        <v>0</v>
      </c>
      <c r="BC189" s="26">
        <f t="shared" si="210"/>
        <v>0</v>
      </c>
      <c r="BD189" s="25">
        <f t="shared" si="211"/>
        <v>0</v>
      </c>
      <c r="BE189" s="25">
        <f t="shared" si="212"/>
        <v>0</v>
      </c>
      <c r="BF189" s="26">
        <f t="array" ref="BF189">IFERROR(INDEX('Malaria-Equipment &amp; Other HPs'!$AF$130:$AF$230,MATCH($E189&amp;$F189,'Malaria-Equipment &amp; Other HPs'!$E$130:$E$230&amp;'Malaria-Equipment &amp; Other HPs'!$H$130:$H$230,0)),0)</f>
        <v>0</v>
      </c>
      <c r="BG189" s="26">
        <f t="shared" si="213"/>
        <v>0</v>
      </c>
      <c r="BH189" s="25">
        <f t="shared" si="214"/>
        <v>0</v>
      </c>
      <c r="BI189" s="25">
        <f t="shared" si="215"/>
        <v>0</v>
      </c>
      <c r="BJ189" s="680"/>
      <c r="BK189" s="26"/>
      <c r="BL189" s="26"/>
      <c r="BM189" s="26"/>
      <c r="BN189" s="26"/>
      <c r="BO189" s="26"/>
      <c r="BP189" s="26"/>
      <c r="BQ189" s="26"/>
      <c r="BR189" s="26"/>
      <c r="BT189" s="21" t="s">
        <v>6839</v>
      </c>
    </row>
    <row r="190" spans="1:72">
      <c r="A190" s="29" t="s">
        <v>63</v>
      </c>
      <c r="B190" s="29" t="s">
        <v>1550</v>
      </c>
      <c r="C190" s="626">
        <f>SETUP!$F$58</f>
        <v>0</v>
      </c>
      <c r="D190" s="25">
        <v>6.5</v>
      </c>
      <c r="E190" s="26" t="s">
        <v>219</v>
      </c>
      <c r="F190" s="26" t="s">
        <v>218</v>
      </c>
      <c r="G190" s="26" t="str">
        <f t="array" ref="G190">IFERROR(INDEX('Malaria-Equipment &amp; Other HPs'!$L$130:$L$230,MATCH($E190&amp;$F190,'Malaria-Equipment &amp; Other HPs'!$E$130:$E$230&amp;'Malaria-Equipment &amp; Other HPs'!$H$130:$H$230,0)),"")</f>
        <v/>
      </c>
      <c r="H190" s="26" t="str">
        <f t="array" ref="H190">IFERROR(INDEX('Malaria-Equipment &amp; Other HPs'!$M$130:$M$230,MATCH($E190&amp;$F190,'Malaria-Equipment &amp; Other HPs'!$E$130:$E$230&amp;'Malaria-Equipment &amp; Other HPs'!$H$130:$H$230,0)),"")</f>
        <v/>
      </c>
      <c r="I190" s="26">
        <f t="array" ref="I190">IFERROR(INDEX('Malaria-Equipment &amp; Other HPs'!$N$130:$N$230,MATCH($E190&amp;$F190,'Malaria-Equipment &amp; Other HPs'!$E$130:$E$230&amp;'Malaria-Equipment &amp; Other HPs'!$H$130:$H$230,0)),0)</f>
        <v>0</v>
      </c>
      <c r="J190" s="26">
        <f t="array" ref="J190">IFERROR(INDEX('Malaria-Equipment &amp; Other HPs'!$O$130:$O$230,MATCH($E190&amp;$F190,'Malaria-Equipment &amp; Other HPs'!$E$130:$E$230&amp;'Malaria-Equipment &amp; Other HPs'!$H$130:$H$230,0)),0)</f>
        <v>0</v>
      </c>
      <c r="K190" s="25">
        <f t="shared" si="180"/>
        <v>0</v>
      </c>
      <c r="L190" s="25">
        <f t="shared" si="181"/>
        <v>0</v>
      </c>
      <c r="M190" s="25">
        <f t="shared" si="182"/>
        <v>0</v>
      </c>
      <c r="N190" s="26">
        <f t="array" ref="N190">IFERROR(INDEX('Malaria-Equipment &amp; Other HPs'!$P$130:$P$230,MATCH($E190&amp;$F190,'Malaria-Equipment &amp; Other HPs'!$E$130:$E$230&amp;'Malaria-Equipment &amp; Other HPs'!$H$130:$H$230,0)),0)</f>
        <v>0</v>
      </c>
      <c r="O190" s="25">
        <f t="shared" si="183"/>
        <v>0</v>
      </c>
      <c r="P190" s="25">
        <f t="shared" si="184"/>
        <v>0</v>
      </c>
      <c r="Q190" s="25">
        <f t="shared" si="185"/>
        <v>0</v>
      </c>
      <c r="R190" s="26">
        <f t="array" ref="R190">IFERROR(INDEX('Malaria-Equipment &amp; Other HPs'!$Q$130:$Q$230,MATCH($E190&amp;$F190,'Malaria-Equipment &amp; Other HPs'!$E$130:$E$230&amp;'Malaria-Equipment &amp; Other HPs'!$H$130:$H$230,0)),0)</f>
        <v>0</v>
      </c>
      <c r="S190" s="25">
        <f t="shared" si="186"/>
        <v>0</v>
      </c>
      <c r="T190" s="25">
        <f t="shared" si="187"/>
        <v>0</v>
      </c>
      <c r="U190" s="25">
        <f t="shared" si="188"/>
        <v>0</v>
      </c>
      <c r="V190" s="26">
        <f t="array" ref="V190">IFERROR(INDEX('Malaria-Equipment &amp; Other HPs'!$R$130:$R$230,MATCH($E190&amp;$F190,'Malaria-Equipment &amp; Other HPs'!$E$130:$E$230&amp;'Malaria-Equipment &amp; Other HPs'!$H$130:$H$230,0)),0)</f>
        <v>0</v>
      </c>
      <c r="W190" s="25">
        <f t="shared" si="189"/>
        <v>0</v>
      </c>
      <c r="X190" s="25">
        <f t="shared" si="190"/>
        <v>0</v>
      </c>
      <c r="Y190" s="25">
        <f t="shared" si="191"/>
        <v>0</v>
      </c>
      <c r="Z190" s="680"/>
      <c r="AA190" s="26">
        <f t="array" ref="AA190">IFERROR(INDEX('Malaria-Equipment &amp; Other HPs'!$U$130:$U$230,MATCH($E190&amp;$F190,'Malaria-Equipment &amp; Other HPs'!$E$130:$E$230&amp;'Malaria-Equipment &amp; Other HPs'!$H$130:$H$230,0)),0)</f>
        <v>0</v>
      </c>
      <c r="AB190" s="26">
        <f t="array" ref="AB190">IFERROR(INDEX('Malaria-Equipment &amp; Other HPs'!$V$130:$V$230,MATCH($E190&amp;$F190,'Malaria-Equipment &amp; Other HPs'!$E$130:$E$230&amp;'Malaria-Equipment &amp; Other HPs'!$H$130:$H$230,0)),0)</f>
        <v>0</v>
      </c>
      <c r="AC190" s="26">
        <f t="shared" si="192"/>
        <v>0</v>
      </c>
      <c r="AD190" s="25">
        <f t="shared" si="193"/>
        <v>0</v>
      </c>
      <c r="AE190" s="25">
        <f t="shared" si="194"/>
        <v>0</v>
      </c>
      <c r="AF190" s="26">
        <f t="array" ref="AF190">IFERROR(INDEX('Malaria-Equipment &amp; Other HPs'!$W$130:$W$230,MATCH($E190&amp;$F190,'Malaria-Equipment &amp; Other HPs'!$E$130:$E$230&amp;'Malaria-Equipment &amp; Other HPs'!$H$130:$H$230,0)),0)</f>
        <v>0</v>
      </c>
      <c r="AG190" s="26">
        <f t="shared" si="195"/>
        <v>0</v>
      </c>
      <c r="AH190" s="25">
        <f t="shared" si="196"/>
        <v>0</v>
      </c>
      <c r="AI190" s="25">
        <f t="shared" si="197"/>
        <v>0</v>
      </c>
      <c r="AJ190" s="26">
        <f t="array" ref="AJ190">IFERROR(INDEX('Malaria-Equipment &amp; Other HPs'!$X$130:$X$230,MATCH($E190&amp;$F190,'Malaria-Equipment &amp; Other HPs'!$E$130:$E$230&amp;'Malaria-Equipment &amp; Other HPs'!$H$130:$H$230,0)),0)</f>
        <v>0</v>
      </c>
      <c r="AK190" s="26">
        <f t="shared" si="198"/>
        <v>0</v>
      </c>
      <c r="AL190" s="25">
        <f t="shared" si="199"/>
        <v>0</v>
      </c>
      <c r="AM190" s="25">
        <f t="shared" si="200"/>
        <v>0</v>
      </c>
      <c r="AN190" s="26">
        <f t="array" ref="AN190">IFERROR(INDEX('Malaria-Equipment &amp; Other HPs'!$Y$130:$Y$230,MATCH($E190&amp;$F190,'Malaria-Equipment &amp; Other HPs'!$E$130:$E$230&amp;'Malaria-Equipment &amp; Other HPs'!$H$130:$H$230,0)),0)</f>
        <v>0</v>
      </c>
      <c r="AO190" s="26">
        <f t="shared" si="201"/>
        <v>0</v>
      </c>
      <c r="AP190" s="25">
        <f t="shared" si="202"/>
        <v>0</v>
      </c>
      <c r="AQ190" s="25">
        <f t="shared" si="203"/>
        <v>0</v>
      </c>
      <c r="AR190" s="680"/>
      <c r="AS190" s="26">
        <f t="array" ref="AS190">IFERROR(INDEX('Malaria-Equipment &amp; Other HPs'!$AB$130:$AB$230,MATCH($E190&amp;$F190,'Malaria-Equipment &amp; Other HPs'!$E$130:$E$230&amp;'Malaria-Equipment &amp; Other HPs'!$H$130:$H$230,0)),0)</f>
        <v>0</v>
      </c>
      <c r="AT190" s="26">
        <f t="array" ref="AT190">IFERROR(INDEX('Malaria-Equipment &amp; Other HPs'!$AC$130:$AC$230,MATCH($E190&amp;$F190,'Malaria-Equipment &amp; Other HPs'!$E$130:$E$230&amp;'Malaria-Equipment &amp; Other HPs'!$H$130:$H$230,0)),0)</f>
        <v>0</v>
      </c>
      <c r="AU190" s="26">
        <f t="shared" si="204"/>
        <v>0</v>
      </c>
      <c r="AV190" s="25">
        <f t="shared" si="205"/>
        <v>0</v>
      </c>
      <c r="AW190" s="25">
        <f t="shared" si="206"/>
        <v>0</v>
      </c>
      <c r="AX190" s="26">
        <f t="array" ref="AX190">IFERROR(INDEX('Malaria-Equipment &amp; Other HPs'!$AD$130:$AD$230,MATCH($E190&amp;$F190,'Malaria-Equipment &amp; Other HPs'!$E$130:$E$230&amp;'Malaria-Equipment &amp; Other HPs'!$H$130:$H$230,0)),0)</f>
        <v>0</v>
      </c>
      <c r="AY190" s="26">
        <f t="shared" si="207"/>
        <v>0</v>
      </c>
      <c r="AZ190" s="25">
        <f t="shared" si="208"/>
        <v>0</v>
      </c>
      <c r="BA190" s="25">
        <f t="shared" si="209"/>
        <v>0</v>
      </c>
      <c r="BB190" s="26">
        <f t="array" ref="BB190">IFERROR(INDEX('Malaria-Equipment &amp; Other HPs'!$AE$130:$AE$230,MATCH($E190&amp;$F190,'Malaria-Equipment &amp; Other HPs'!$E$130:$E$230&amp;'Malaria-Equipment &amp; Other HPs'!$H$130:$H$230,0)),0)</f>
        <v>0</v>
      </c>
      <c r="BC190" s="26">
        <f t="shared" si="210"/>
        <v>0</v>
      </c>
      <c r="BD190" s="25">
        <f t="shared" si="211"/>
        <v>0</v>
      </c>
      <c r="BE190" s="25">
        <f t="shared" si="212"/>
        <v>0</v>
      </c>
      <c r="BF190" s="26">
        <f t="array" ref="BF190">IFERROR(INDEX('Malaria-Equipment &amp; Other HPs'!$AF$130:$AF$230,MATCH($E190&amp;$F190,'Malaria-Equipment &amp; Other HPs'!$E$130:$E$230&amp;'Malaria-Equipment &amp; Other HPs'!$H$130:$H$230,0)),0)</f>
        <v>0</v>
      </c>
      <c r="BG190" s="26">
        <f t="shared" si="213"/>
        <v>0</v>
      </c>
      <c r="BH190" s="25">
        <f t="shared" si="214"/>
        <v>0</v>
      </c>
      <c r="BI190" s="25">
        <f t="shared" si="215"/>
        <v>0</v>
      </c>
      <c r="BJ190" s="680"/>
      <c r="BK190" s="26"/>
      <c r="BL190" s="26"/>
      <c r="BM190" s="26"/>
      <c r="BN190" s="26"/>
      <c r="BO190" s="26"/>
      <c r="BP190" s="26"/>
      <c r="BQ190" s="26"/>
      <c r="BR190" s="26"/>
      <c r="BT190" s="21" t="s">
        <v>6839</v>
      </c>
    </row>
    <row r="191" spans="1:72">
      <c r="A191" s="29" t="s">
        <v>63</v>
      </c>
      <c r="B191" s="29" t="s">
        <v>1550</v>
      </c>
      <c r="C191" s="626">
        <f>SETUP!$F$58</f>
        <v>0</v>
      </c>
      <c r="D191" s="25">
        <v>6.6</v>
      </c>
      <c r="E191" s="26" t="s">
        <v>219</v>
      </c>
      <c r="F191" s="26" t="s">
        <v>201</v>
      </c>
      <c r="G191" s="26" t="str">
        <f t="array" ref="G191">IFERROR(INDEX('Malaria-Equipment &amp; Other HPs'!$L$130:$L$230,MATCH($E191&amp;$F191,'Malaria-Equipment &amp; Other HPs'!$E$130:$E$230&amp;'Malaria-Equipment &amp; Other HPs'!$H$130:$H$230,0)),"")</f>
        <v/>
      </c>
      <c r="H191" s="26" t="str">
        <f t="array" ref="H191">IFERROR(INDEX('Malaria-Equipment &amp; Other HPs'!$M$130:$M$230,MATCH($E191&amp;$F191,'Malaria-Equipment &amp; Other HPs'!$E$130:$E$230&amp;'Malaria-Equipment &amp; Other HPs'!$H$130:$H$230,0)),"")</f>
        <v/>
      </c>
      <c r="I191" s="26">
        <f t="array" ref="I191">IFERROR(INDEX('Malaria-Equipment &amp; Other HPs'!$N$130:$N$230,MATCH($E191&amp;$F191,'Malaria-Equipment &amp; Other HPs'!$E$130:$E$230&amp;'Malaria-Equipment &amp; Other HPs'!$H$130:$H$230,0)),0)</f>
        <v>0</v>
      </c>
      <c r="J191" s="26">
        <f t="array" ref="J191">IFERROR(INDEX('Malaria-Equipment &amp; Other HPs'!$O$130:$O$230,MATCH($E191&amp;$F191,'Malaria-Equipment &amp; Other HPs'!$E$130:$E$230&amp;'Malaria-Equipment &amp; Other HPs'!$H$130:$H$230,0)),0)</f>
        <v>0</v>
      </c>
      <c r="K191" s="25">
        <f t="shared" si="180"/>
        <v>0</v>
      </c>
      <c r="L191" s="25">
        <f t="shared" si="181"/>
        <v>0</v>
      </c>
      <c r="M191" s="25">
        <f t="shared" si="182"/>
        <v>0</v>
      </c>
      <c r="N191" s="26">
        <f t="array" ref="N191">IFERROR(INDEX('Malaria-Equipment &amp; Other HPs'!$P$130:$P$230,MATCH($E191&amp;$F191,'Malaria-Equipment &amp; Other HPs'!$E$130:$E$230&amp;'Malaria-Equipment &amp; Other HPs'!$H$130:$H$230,0)),0)</f>
        <v>0</v>
      </c>
      <c r="O191" s="25">
        <f t="shared" si="183"/>
        <v>0</v>
      </c>
      <c r="P191" s="25">
        <f t="shared" si="184"/>
        <v>0</v>
      </c>
      <c r="Q191" s="25">
        <f t="shared" si="185"/>
        <v>0</v>
      </c>
      <c r="R191" s="26">
        <f t="array" ref="R191">IFERROR(INDEX('Malaria-Equipment &amp; Other HPs'!$Q$130:$Q$230,MATCH($E191&amp;$F191,'Malaria-Equipment &amp; Other HPs'!$E$130:$E$230&amp;'Malaria-Equipment &amp; Other HPs'!$H$130:$H$230,0)),0)</f>
        <v>0</v>
      </c>
      <c r="S191" s="25">
        <f t="shared" si="186"/>
        <v>0</v>
      </c>
      <c r="T191" s="25">
        <f t="shared" si="187"/>
        <v>0</v>
      </c>
      <c r="U191" s="25">
        <f t="shared" si="188"/>
        <v>0</v>
      </c>
      <c r="V191" s="26">
        <f t="array" ref="V191">IFERROR(INDEX('Malaria-Equipment &amp; Other HPs'!$R$130:$R$230,MATCH($E191&amp;$F191,'Malaria-Equipment &amp; Other HPs'!$E$130:$E$230&amp;'Malaria-Equipment &amp; Other HPs'!$H$130:$H$230,0)),0)</f>
        <v>0</v>
      </c>
      <c r="W191" s="25">
        <f t="shared" si="189"/>
        <v>0</v>
      </c>
      <c r="X191" s="25">
        <f t="shared" si="190"/>
        <v>0</v>
      </c>
      <c r="Y191" s="25">
        <f t="shared" si="191"/>
        <v>0</v>
      </c>
      <c r="Z191" s="680"/>
      <c r="AA191" s="26">
        <f t="array" ref="AA191">IFERROR(INDEX('Malaria-Equipment &amp; Other HPs'!$U$130:$U$230,MATCH($E191&amp;$F191,'Malaria-Equipment &amp; Other HPs'!$E$130:$E$230&amp;'Malaria-Equipment &amp; Other HPs'!$H$130:$H$230,0)),0)</f>
        <v>0</v>
      </c>
      <c r="AB191" s="26">
        <f t="array" ref="AB191">IFERROR(INDEX('Malaria-Equipment &amp; Other HPs'!$V$130:$V$230,MATCH($E191&amp;$F191,'Malaria-Equipment &amp; Other HPs'!$E$130:$E$230&amp;'Malaria-Equipment &amp; Other HPs'!$H$130:$H$230,0)),0)</f>
        <v>0</v>
      </c>
      <c r="AC191" s="26">
        <f t="shared" si="192"/>
        <v>0</v>
      </c>
      <c r="AD191" s="25">
        <f t="shared" si="193"/>
        <v>0</v>
      </c>
      <c r="AE191" s="25">
        <f t="shared" si="194"/>
        <v>0</v>
      </c>
      <c r="AF191" s="26">
        <f t="array" ref="AF191">IFERROR(INDEX('Malaria-Equipment &amp; Other HPs'!$W$130:$W$230,MATCH($E191&amp;$F191,'Malaria-Equipment &amp; Other HPs'!$E$130:$E$230&amp;'Malaria-Equipment &amp; Other HPs'!$H$130:$H$230,0)),0)</f>
        <v>0</v>
      </c>
      <c r="AG191" s="26">
        <f t="shared" si="195"/>
        <v>0</v>
      </c>
      <c r="AH191" s="25">
        <f t="shared" si="196"/>
        <v>0</v>
      </c>
      <c r="AI191" s="25">
        <f t="shared" si="197"/>
        <v>0</v>
      </c>
      <c r="AJ191" s="26">
        <f t="array" ref="AJ191">IFERROR(INDEX('Malaria-Equipment &amp; Other HPs'!$X$130:$X$230,MATCH($E191&amp;$F191,'Malaria-Equipment &amp; Other HPs'!$E$130:$E$230&amp;'Malaria-Equipment &amp; Other HPs'!$H$130:$H$230,0)),0)</f>
        <v>0</v>
      </c>
      <c r="AK191" s="26">
        <f t="shared" si="198"/>
        <v>0</v>
      </c>
      <c r="AL191" s="25">
        <f t="shared" si="199"/>
        <v>0</v>
      </c>
      <c r="AM191" s="25">
        <f t="shared" si="200"/>
        <v>0</v>
      </c>
      <c r="AN191" s="26">
        <f t="array" ref="AN191">IFERROR(INDEX('Malaria-Equipment &amp; Other HPs'!$Y$130:$Y$230,MATCH($E191&amp;$F191,'Malaria-Equipment &amp; Other HPs'!$E$130:$E$230&amp;'Malaria-Equipment &amp; Other HPs'!$H$130:$H$230,0)),0)</f>
        <v>0</v>
      </c>
      <c r="AO191" s="26">
        <f t="shared" si="201"/>
        <v>0</v>
      </c>
      <c r="AP191" s="25">
        <f t="shared" si="202"/>
        <v>0</v>
      </c>
      <c r="AQ191" s="25">
        <f t="shared" si="203"/>
        <v>0</v>
      </c>
      <c r="AR191" s="680"/>
      <c r="AS191" s="26">
        <f t="array" ref="AS191">IFERROR(INDEX('Malaria-Equipment &amp; Other HPs'!$AB$130:$AB$230,MATCH($E191&amp;$F191,'Malaria-Equipment &amp; Other HPs'!$E$130:$E$230&amp;'Malaria-Equipment &amp; Other HPs'!$H$130:$H$230,0)),0)</f>
        <v>0</v>
      </c>
      <c r="AT191" s="26">
        <f t="array" ref="AT191">IFERROR(INDEX('Malaria-Equipment &amp; Other HPs'!$AC$130:$AC$230,MATCH($E191&amp;$F191,'Malaria-Equipment &amp; Other HPs'!$E$130:$E$230&amp;'Malaria-Equipment &amp; Other HPs'!$H$130:$H$230,0)),0)</f>
        <v>0</v>
      </c>
      <c r="AU191" s="26">
        <f t="shared" si="204"/>
        <v>0</v>
      </c>
      <c r="AV191" s="25">
        <f t="shared" si="205"/>
        <v>0</v>
      </c>
      <c r="AW191" s="25">
        <f t="shared" si="206"/>
        <v>0</v>
      </c>
      <c r="AX191" s="26">
        <f t="array" ref="AX191">IFERROR(INDEX('Malaria-Equipment &amp; Other HPs'!$AD$130:$AD$230,MATCH($E191&amp;$F191,'Malaria-Equipment &amp; Other HPs'!$E$130:$E$230&amp;'Malaria-Equipment &amp; Other HPs'!$H$130:$H$230,0)),0)</f>
        <v>0</v>
      </c>
      <c r="AY191" s="26">
        <f t="shared" si="207"/>
        <v>0</v>
      </c>
      <c r="AZ191" s="25">
        <f t="shared" si="208"/>
        <v>0</v>
      </c>
      <c r="BA191" s="25">
        <f t="shared" si="209"/>
        <v>0</v>
      </c>
      <c r="BB191" s="26">
        <f t="array" ref="BB191">IFERROR(INDEX('Malaria-Equipment &amp; Other HPs'!$AE$130:$AE$230,MATCH($E191&amp;$F191,'Malaria-Equipment &amp; Other HPs'!$E$130:$E$230&amp;'Malaria-Equipment &amp; Other HPs'!$H$130:$H$230,0)),0)</f>
        <v>0</v>
      </c>
      <c r="BC191" s="26">
        <f t="shared" si="210"/>
        <v>0</v>
      </c>
      <c r="BD191" s="25">
        <f t="shared" si="211"/>
        <v>0</v>
      </c>
      <c r="BE191" s="25">
        <f t="shared" si="212"/>
        <v>0</v>
      </c>
      <c r="BF191" s="26">
        <f t="array" ref="BF191">IFERROR(INDEX('Malaria-Equipment &amp; Other HPs'!$AF$130:$AF$230,MATCH($E191&amp;$F191,'Malaria-Equipment &amp; Other HPs'!$E$130:$E$230&amp;'Malaria-Equipment &amp; Other HPs'!$H$130:$H$230,0)),0)</f>
        <v>0</v>
      </c>
      <c r="BG191" s="26">
        <f t="shared" si="213"/>
        <v>0</v>
      </c>
      <c r="BH191" s="25">
        <f t="shared" si="214"/>
        <v>0</v>
      </c>
      <c r="BI191" s="25">
        <f t="shared" si="215"/>
        <v>0</v>
      </c>
      <c r="BJ191" s="680"/>
      <c r="BK191" s="26"/>
      <c r="BL191" s="26"/>
      <c r="BM191" s="26"/>
      <c r="BN191" s="26"/>
      <c r="BO191" s="26"/>
      <c r="BP191" s="26"/>
      <c r="BQ191" s="26"/>
      <c r="BR191" s="26"/>
      <c r="BT191" s="21" t="s">
        <v>6839</v>
      </c>
    </row>
    <row r="192" spans="1:72">
      <c r="A192" s="29" t="s">
        <v>63</v>
      </c>
      <c r="B192" s="29" t="s">
        <v>1550</v>
      </c>
      <c r="C192" s="626">
        <f>SETUP!$F$58</f>
        <v>0</v>
      </c>
      <c r="D192" s="25">
        <v>6.6</v>
      </c>
      <c r="E192" s="26" t="s">
        <v>219</v>
      </c>
      <c r="F192" s="26" t="s">
        <v>200</v>
      </c>
      <c r="G192" s="26" t="str">
        <f t="array" ref="G192">IFERROR(INDEX('Malaria-Equipment &amp; Other HPs'!$L$130:$L$230,MATCH($E192&amp;$F192,'Malaria-Equipment &amp; Other HPs'!$E$130:$E$230&amp;'Malaria-Equipment &amp; Other HPs'!$H$130:$H$230,0)),"")</f>
        <v/>
      </c>
      <c r="H192" s="26" t="str">
        <f t="array" ref="H192">IFERROR(INDEX('Malaria-Equipment &amp; Other HPs'!$M$130:$M$230,MATCH($E192&amp;$F192,'Malaria-Equipment &amp; Other HPs'!$E$130:$E$230&amp;'Malaria-Equipment &amp; Other HPs'!$H$130:$H$230,0)),"")</f>
        <v/>
      </c>
      <c r="I192" s="26">
        <f t="array" ref="I192">IFERROR(INDEX('Malaria-Equipment &amp; Other HPs'!$N$130:$N$230,MATCH($E192&amp;$F192,'Malaria-Equipment &amp; Other HPs'!$E$130:$E$230&amp;'Malaria-Equipment &amp; Other HPs'!$H$130:$H$230,0)),0)</f>
        <v>0</v>
      </c>
      <c r="J192" s="26">
        <f t="array" ref="J192">IFERROR(INDEX('Malaria-Equipment &amp; Other HPs'!$O$130:$O$230,MATCH($E192&amp;$F192,'Malaria-Equipment &amp; Other HPs'!$E$130:$E$230&amp;'Malaria-Equipment &amp; Other HPs'!$H$130:$H$230,0)),0)</f>
        <v>0</v>
      </c>
      <c r="K192" s="25">
        <f t="shared" si="180"/>
        <v>0</v>
      </c>
      <c r="L192" s="25">
        <f t="shared" si="181"/>
        <v>0</v>
      </c>
      <c r="M192" s="25">
        <f t="shared" si="182"/>
        <v>0</v>
      </c>
      <c r="N192" s="26">
        <f t="array" ref="N192">IFERROR(INDEX('Malaria-Equipment &amp; Other HPs'!$P$130:$P$230,MATCH($E192&amp;$F192,'Malaria-Equipment &amp; Other HPs'!$E$130:$E$230&amp;'Malaria-Equipment &amp; Other HPs'!$H$130:$H$230,0)),0)</f>
        <v>0</v>
      </c>
      <c r="O192" s="25">
        <f t="shared" si="183"/>
        <v>0</v>
      </c>
      <c r="P192" s="25">
        <f t="shared" si="184"/>
        <v>0</v>
      </c>
      <c r="Q192" s="25">
        <f t="shared" si="185"/>
        <v>0</v>
      </c>
      <c r="R192" s="26">
        <f t="array" ref="R192">IFERROR(INDEX('Malaria-Equipment &amp; Other HPs'!$Q$130:$Q$230,MATCH($E192&amp;$F192,'Malaria-Equipment &amp; Other HPs'!$E$130:$E$230&amp;'Malaria-Equipment &amp; Other HPs'!$H$130:$H$230,0)),0)</f>
        <v>0</v>
      </c>
      <c r="S192" s="25">
        <f t="shared" si="186"/>
        <v>0</v>
      </c>
      <c r="T192" s="25">
        <f t="shared" si="187"/>
        <v>0</v>
      </c>
      <c r="U192" s="25">
        <f t="shared" si="188"/>
        <v>0</v>
      </c>
      <c r="V192" s="26">
        <f t="array" ref="V192">IFERROR(INDEX('Malaria-Equipment &amp; Other HPs'!$R$130:$R$230,MATCH($E192&amp;$F192,'Malaria-Equipment &amp; Other HPs'!$E$130:$E$230&amp;'Malaria-Equipment &amp; Other HPs'!$H$130:$H$230,0)),0)</f>
        <v>0</v>
      </c>
      <c r="W192" s="25">
        <f t="shared" si="189"/>
        <v>0</v>
      </c>
      <c r="X192" s="25">
        <f t="shared" si="190"/>
        <v>0</v>
      </c>
      <c r="Y192" s="25">
        <f t="shared" si="191"/>
        <v>0</v>
      </c>
      <c r="Z192" s="680"/>
      <c r="AA192" s="26">
        <f t="array" ref="AA192">IFERROR(INDEX('Malaria-Equipment &amp; Other HPs'!$U$130:$U$230,MATCH($E192&amp;$F192,'Malaria-Equipment &amp; Other HPs'!$E$130:$E$230&amp;'Malaria-Equipment &amp; Other HPs'!$H$130:$H$230,0)),0)</f>
        <v>0</v>
      </c>
      <c r="AB192" s="26">
        <f t="array" ref="AB192">IFERROR(INDEX('Malaria-Equipment &amp; Other HPs'!$V$130:$V$230,MATCH($E192&amp;$F192,'Malaria-Equipment &amp; Other HPs'!$E$130:$E$230&amp;'Malaria-Equipment &amp; Other HPs'!$H$130:$H$230,0)),0)</f>
        <v>0</v>
      </c>
      <c r="AC192" s="26">
        <f t="shared" si="192"/>
        <v>0</v>
      </c>
      <c r="AD192" s="25">
        <f t="shared" si="193"/>
        <v>0</v>
      </c>
      <c r="AE192" s="25">
        <f t="shared" si="194"/>
        <v>0</v>
      </c>
      <c r="AF192" s="26">
        <f t="array" ref="AF192">IFERROR(INDEX('Malaria-Equipment &amp; Other HPs'!$W$130:$W$230,MATCH($E192&amp;$F192,'Malaria-Equipment &amp; Other HPs'!$E$130:$E$230&amp;'Malaria-Equipment &amp; Other HPs'!$H$130:$H$230,0)),0)</f>
        <v>0</v>
      </c>
      <c r="AG192" s="26">
        <f t="shared" si="195"/>
        <v>0</v>
      </c>
      <c r="AH192" s="25">
        <f t="shared" si="196"/>
        <v>0</v>
      </c>
      <c r="AI192" s="25">
        <f t="shared" si="197"/>
        <v>0</v>
      </c>
      <c r="AJ192" s="26">
        <f t="array" ref="AJ192">IFERROR(INDEX('Malaria-Equipment &amp; Other HPs'!$X$130:$X$230,MATCH($E192&amp;$F192,'Malaria-Equipment &amp; Other HPs'!$E$130:$E$230&amp;'Malaria-Equipment &amp; Other HPs'!$H$130:$H$230,0)),0)</f>
        <v>0</v>
      </c>
      <c r="AK192" s="26">
        <f t="shared" si="198"/>
        <v>0</v>
      </c>
      <c r="AL192" s="25">
        <f t="shared" si="199"/>
        <v>0</v>
      </c>
      <c r="AM192" s="25">
        <f t="shared" si="200"/>
        <v>0</v>
      </c>
      <c r="AN192" s="26">
        <f t="array" ref="AN192">IFERROR(INDEX('Malaria-Equipment &amp; Other HPs'!$Y$130:$Y$230,MATCH($E192&amp;$F192,'Malaria-Equipment &amp; Other HPs'!$E$130:$E$230&amp;'Malaria-Equipment &amp; Other HPs'!$H$130:$H$230,0)),0)</f>
        <v>0</v>
      </c>
      <c r="AO192" s="26">
        <f t="shared" si="201"/>
        <v>0</v>
      </c>
      <c r="AP192" s="25">
        <f t="shared" si="202"/>
        <v>0</v>
      </c>
      <c r="AQ192" s="25">
        <f t="shared" si="203"/>
        <v>0</v>
      </c>
      <c r="AR192" s="680"/>
      <c r="AS192" s="26">
        <f t="array" ref="AS192">IFERROR(INDEX('Malaria-Equipment &amp; Other HPs'!$AB$130:$AB$230,MATCH($E192&amp;$F192,'Malaria-Equipment &amp; Other HPs'!$E$130:$E$230&amp;'Malaria-Equipment &amp; Other HPs'!$H$130:$H$230,0)),0)</f>
        <v>0</v>
      </c>
      <c r="AT192" s="26">
        <f t="array" ref="AT192">IFERROR(INDEX('Malaria-Equipment &amp; Other HPs'!$AC$130:$AC$230,MATCH($E192&amp;$F192,'Malaria-Equipment &amp; Other HPs'!$E$130:$E$230&amp;'Malaria-Equipment &amp; Other HPs'!$H$130:$H$230,0)),0)</f>
        <v>0</v>
      </c>
      <c r="AU192" s="26">
        <f t="shared" si="204"/>
        <v>0</v>
      </c>
      <c r="AV192" s="25">
        <f t="shared" si="205"/>
        <v>0</v>
      </c>
      <c r="AW192" s="25">
        <f t="shared" si="206"/>
        <v>0</v>
      </c>
      <c r="AX192" s="26">
        <f t="array" ref="AX192">IFERROR(INDEX('Malaria-Equipment &amp; Other HPs'!$AD$130:$AD$230,MATCH($E192&amp;$F192,'Malaria-Equipment &amp; Other HPs'!$E$130:$E$230&amp;'Malaria-Equipment &amp; Other HPs'!$H$130:$H$230,0)),0)</f>
        <v>0</v>
      </c>
      <c r="AY192" s="26">
        <f t="shared" si="207"/>
        <v>0</v>
      </c>
      <c r="AZ192" s="25">
        <f t="shared" si="208"/>
        <v>0</v>
      </c>
      <c r="BA192" s="25">
        <f t="shared" si="209"/>
        <v>0</v>
      </c>
      <c r="BB192" s="26">
        <f t="array" ref="BB192">IFERROR(INDEX('Malaria-Equipment &amp; Other HPs'!$AE$130:$AE$230,MATCH($E192&amp;$F192,'Malaria-Equipment &amp; Other HPs'!$E$130:$E$230&amp;'Malaria-Equipment &amp; Other HPs'!$H$130:$H$230,0)),0)</f>
        <v>0</v>
      </c>
      <c r="BC192" s="26">
        <f t="shared" si="210"/>
        <v>0</v>
      </c>
      <c r="BD192" s="25">
        <f t="shared" si="211"/>
        <v>0</v>
      </c>
      <c r="BE192" s="25">
        <f t="shared" si="212"/>
        <v>0</v>
      </c>
      <c r="BF192" s="26">
        <f t="array" ref="BF192">IFERROR(INDEX('Malaria-Equipment &amp; Other HPs'!$AF$130:$AF$230,MATCH($E192&amp;$F192,'Malaria-Equipment &amp; Other HPs'!$E$130:$E$230&amp;'Malaria-Equipment &amp; Other HPs'!$H$130:$H$230,0)),0)</f>
        <v>0</v>
      </c>
      <c r="BG192" s="26">
        <f t="shared" si="213"/>
        <v>0</v>
      </c>
      <c r="BH192" s="25">
        <f t="shared" si="214"/>
        <v>0</v>
      </c>
      <c r="BI192" s="25">
        <f t="shared" si="215"/>
        <v>0</v>
      </c>
      <c r="BJ192" s="680"/>
      <c r="BK192" s="26"/>
      <c r="BL192" s="26"/>
      <c r="BM192" s="26"/>
      <c r="BN192" s="26"/>
      <c r="BO192" s="26"/>
      <c r="BP192" s="26"/>
      <c r="BQ192" s="26"/>
      <c r="BR192" s="26"/>
      <c r="BT192" s="21" t="s">
        <v>6839</v>
      </c>
    </row>
    <row r="193" spans="1:72">
      <c r="A193" s="29" t="s">
        <v>63</v>
      </c>
      <c r="B193" s="29" t="s">
        <v>1550</v>
      </c>
      <c r="C193" s="626">
        <f>SETUP!$F$58</f>
        <v>0</v>
      </c>
      <c r="D193" s="25">
        <v>6.5</v>
      </c>
      <c r="E193" s="26" t="s">
        <v>220</v>
      </c>
      <c r="F193" s="26" t="s">
        <v>218</v>
      </c>
      <c r="G193" s="26" t="str">
        <f t="array" ref="G193">IFERROR(INDEX('Malaria-Equipment &amp; Other HPs'!$L$130:$L$230,MATCH($E193&amp;$F193,'Malaria-Equipment &amp; Other HPs'!$E$130:$E$230&amp;'Malaria-Equipment &amp; Other HPs'!$H$130:$H$230,0)),"")</f>
        <v/>
      </c>
      <c r="H193" s="26" t="str">
        <f t="array" ref="H193">IFERROR(INDEX('Malaria-Equipment &amp; Other HPs'!$M$130:$M$230,MATCH($E193&amp;$F193,'Malaria-Equipment &amp; Other HPs'!$E$130:$E$230&amp;'Malaria-Equipment &amp; Other HPs'!$H$130:$H$230,0)),"")</f>
        <v/>
      </c>
      <c r="I193" s="26">
        <f t="array" ref="I193">IFERROR(INDEX('Malaria-Equipment &amp; Other HPs'!$N$130:$N$230,MATCH($E193&amp;$F193,'Malaria-Equipment &amp; Other HPs'!$E$130:$E$230&amp;'Malaria-Equipment &amp; Other HPs'!$H$130:$H$230,0)),0)</f>
        <v>0</v>
      </c>
      <c r="J193" s="26">
        <f t="array" ref="J193">IFERROR(INDEX('Malaria-Equipment &amp; Other HPs'!$O$130:$O$230,MATCH($E193&amp;$F193,'Malaria-Equipment &amp; Other HPs'!$E$130:$E$230&amp;'Malaria-Equipment &amp; Other HPs'!$H$130:$H$230,0)),0)</f>
        <v>0</v>
      </c>
      <c r="K193" s="25">
        <f t="shared" si="180"/>
        <v>0</v>
      </c>
      <c r="L193" s="25">
        <f t="shared" si="181"/>
        <v>0</v>
      </c>
      <c r="M193" s="25">
        <f t="shared" si="182"/>
        <v>0</v>
      </c>
      <c r="N193" s="26">
        <f t="array" ref="N193">IFERROR(INDEX('Malaria-Equipment &amp; Other HPs'!$P$130:$P$230,MATCH($E193&amp;$F193,'Malaria-Equipment &amp; Other HPs'!$E$130:$E$230&amp;'Malaria-Equipment &amp; Other HPs'!$H$130:$H$230,0)),0)</f>
        <v>0</v>
      </c>
      <c r="O193" s="25">
        <f t="shared" si="183"/>
        <v>0</v>
      </c>
      <c r="P193" s="25">
        <f t="shared" si="184"/>
        <v>0</v>
      </c>
      <c r="Q193" s="25">
        <f t="shared" si="185"/>
        <v>0</v>
      </c>
      <c r="R193" s="26">
        <f t="array" ref="R193">IFERROR(INDEX('Malaria-Equipment &amp; Other HPs'!$Q$130:$Q$230,MATCH($E193&amp;$F193,'Malaria-Equipment &amp; Other HPs'!$E$130:$E$230&amp;'Malaria-Equipment &amp; Other HPs'!$H$130:$H$230,0)),0)</f>
        <v>0</v>
      </c>
      <c r="S193" s="25">
        <f t="shared" si="186"/>
        <v>0</v>
      </c>
      <c r="T193" s="25">
        <f t="shared" si="187"/>
        <v>0</v>
      </c>
      <c r="U193" s="25">
        <f t="shared" si="188"/>
        <v>0</v>
      </c>
      <c r="V193" s="26">
        <f t="array" ref="V193">IFERROR(INDEX('Malaria-Equipment &amp; Other HPs'!$R$130:$R$230,MATCH($E193&amp;$F193,'Malaria-Equipment &amp; Other HPs'!$E$130:$E$230&amp;'Malaria-Equipment &amp; Other HPs'!$H$130:$H$230,0)),0)</f>
        <v>0</v>
      </c>
      <c r="W193" s="25">
        <f t="shared" si="189"/>
        <v>0</v>
      </c>
      <c r="X193" s="25">
        <f t="shared" si="190"/>
        <v>0</v>
      </c>
      <c r="Y193" s="25">
        <f t="shared" si="191"/>
        <v>0</v>
      </c>
      <c r="Z193" s="680"/>
      <c r="AA193" s="26">
        <f t="array" ref="AA193">IFERROR(INDEX('Malaria-Equipment &amp; Other HPs'!$U$130:$U$230,MATCH($E193&amp;$F193,'Malaria-Equipment &amp; Other HPs'!$E$130:$E$230&amp;'Malaria-Equipment &amp; Other HPs'!$H$130:$H$230,0)),0)</f>
        <v>0</v>
      </c>
      <c r="AB193" s="26">
        <f t="array" ref="AB193">IFERROR(INDEX('Malaria-Equipment &amp; Other HPs'!$V$130:$V$230,MATCH($E193&amp;$F193,'Malaria-Equipment &amp; Other HPs'!$E$130:$E$230&amp;'Malaria-Equipment &amp; Other HPs'!$H$130:$H$230,0)),0)</f>
        <v>0</v>
      </c>
      <c r="AC193" s="26">
        <f t="shared" si="192"/>
        <v>0</v>
      </c>
      <c r="AD193" s="25">
        <f t="shared" si="193"/>
        <v>0</v>
      </c>
      <c r="AE193" s="25">
        <f t="shared" si="194"/>
        <v>0</v>
      </c>
      <c r="AF193" s="26">
        <f t="array" ref="AF193">IFERROR(INDEX('Malaria-Equipment &amp; Other HPs'!$W$130:$W$230,MATCH($E193&amp;$F193,'Malaria-Equipment &amp; Other HPs'!$E$130:$E$230&amp;'Malaria-Equipment &amp; Other HPs'!$H$130:$H$230,0)),0)</f>
        <v>0</v>
      </c>
      <c r="AG193" s="26">
        <f t="shared" si="195"/>
        <v>0</v>
      </c>
      <c r="AH193" s="25">
        <f t="shared" si="196"/>
        <v>0</v>
      </c>
      <c r="AI193" s="25">
        <f t="shared" si="197"/>
        <v>0</v>
      </c>
      <c r="AJ193" s="26">
        <f t="array" ref="AJ193">IFERROR(INDEX('Malaria-Equipment &amp; Other HPs'!$X$130:$X$230,MATCH($E193&amp;$F193,'Malaria-Equipment &amp; Other HPs'!$E$130:$E$230&amp;'Malaria-Equipment &amp; Other HPs'!$H$130:$H$230,0)),0)</f>
        <v>0</v>
      </c>
      <c r="AK193" s="26">
        <f t="shared" si="198"/>
        <v>0</v>
      </c>
      <c r="AL193" s="25">
        <f t="shared" si="199"/>
        <v>0</v>
      </c>
      <c r="AM193" s="25">
        <f t="shared" si="200"/>
        <v>0</v>
      </c>
      <c r="AN193" s="26">
        <f t="array" ref="AN193">IFERROR(INDEX('Malaria-Equipment &amp; Other HPs'!$Y$130:$Y$230,MATCH($E193&amp;$F193,'Malaria-Equipment &amp; Other HPs'!$E$130:$E$230&amp;'Malaria-Equipment &amp; Other HPs'!$H$130:$H$230,0)),0)</f>
        <v>0</v>
      </c>
      <c r="AO193" s="26">
        <f t="shared" si="201"/>
        <v>0</v>
      </c>
      <c r="AP193" s="25">
        <f t="shared" si="202"/>
        <v>0</v>
      </c>
      <c r="AQ193" s="25">
        <f t="shared" si="203"/>
        <v>0</v>
      </c>
      <c r="AR193" s="680"/>
      <c r="AS193" s="26">
        <f t="array" ref="AS193">IFERROR(INDEX('Malaria-Equipment &amp; Other HPs'!$AB$130:$AB$230,MATCH($E193&amp;$F193,'Malaria-Equipment &amp; Other HPs'!$E$130:$E$230&amp;'Malaria-Equipment &amp; Other HPs'!$H$130:$H$230,0)),0)</f>
        <v>0</v>
      </c>
      <c r="AT193" s="26">
        <f t="array" ref="AT193">IFERROR(INDEX('Malaria-Equipment &amp; Other HPs'!$AC$130:$AC$230,MATCH($E193&amp;$F193,'Malaria-Equipment &amp; Other HPs'!$E$130:$E$230&amp;'Malaria-Equipment &amp; Other HPs'!$H$130:$H$230,0)),0)</f>
        <v>0</v>
      </c>
      <c r="AU193" s="26">
        <f t="shared" si="204"/>
        <v>0</v>
      </c>
      <c r="AV193" s="25">
        <f t="shared" si="205"/>
        <v>0</v>
      </c>
      <c r="AW193" s="25">
        <f t="shared" si="206"/>
        <v>0</v>
      </c>
      <c r="AX193" s="26">
        <f t="array" ref="AX193">IFERROR(INDEX('Malaria-Equipment &amp; Other HPs'!$AD$130:$AD$230,MATCH($E193&amp;$F193,'Malaria-Equipment &amp; Other HPs'!$E$130:$E$230&amp;'Malaria-Equipment &amp; Other HPs'!$H$130:$H$230,0)),0)</f>
        <v>0</v>
      </c>
      <c r="AY193" s="26">
        <f t="shared" si="207"/>
        <v>0</v>
      </c>
      <c r="AZ193" s="25">
        <f t="shared" si="208"/>
        <v>0</v>
      </c>
      <c r="BA193" s="25">
        <f t="shared" si="209"/>
        <v>0</v>
      </c>
      <c r="BB193" s="26">
        <f t="array" ref="BB193">IFERROR(INDEX('Malaria-Equipment &amp; Other HPs'!$AE$130:$AE$230,MATCH($E193&amp;$F193,'Malaria-Equipment &amp; Other HPs'!$E$130:$E$230&amp;'Malaria-Equipment &amp; Other HPs'!$H$130:$H$230,0)),0)</f>
        <v>0</v>
      </c>
      <c r="BC193" s="26">
        <f t="shared" si="210"/>
        <v>0</v>
      </c>
      <c r="BD193" s="25">
        <f t="shared" si="211"/>
        <v>0</v>
      </c>
      <c r="BE193" s="25">
        <f t="shared" si="212"/>
        <v>0</v>
      </c>
      <c r="BF193" s="26">
        <f t="array" ref="BF193">IFERROR(INDEX('Malaria-Equipment &amp; Other HPs'!$AF$130:$AF$230,MATCH($E193&amp;$F193,'Malaria-Equipment &amp; Other HPs'!$E$130:$E$230&amp;'Malaria-Equipment &amp; Other HPs'!$H$130:$H$230,0)),0)</f>
        <v>0</v>
      </c>
      <c r="BG193" s="26">
        <f t="shared" si="213"/>
        <v>0</v>
      </c>
      <c r="BH193" s="25">
        <f t="shared" si="214"/>
        <v>0</v>
      </c>
      <c r="BI193" s="25">
        <f t="shared" si="215"/>
        <v>0</v>
      </c>
      <c r="BJ193" s="680"/>
      <c r="BK193" s="26"/>
      <c r="BL193" s="26"/>
      <c r="BM193" s="26"/>
      <c r="BN193" s="26"/>
      <c r="BO193" s="26"/>
      <c r="BP193" s="26"/>
      <c r="BQ193" s="26"/>
      <c r="BR193" s="26"/>
      <c r="BT193" s="21" t="s">
        <v>6839</v>
      </c>
    </row>
    <row r="194" spans="1:72">
      <c r="A194" s="29" t="s">
        <v>538</v>
      </c>
      <c r="B194" s="29" t="s">
        <v>1550</v>
      </c>
      <c r="C194" s="626">
        <f>SETUP!$F$58</f>
        <v>0</v>
      </c>
      <c r="D194" s="25">
        <v>6.6</v>
      </c>
      <c r="E194" s="26" t="s">
        <v>220</v>
      </c>
      <c r="F194" s="26" t="s">
        <v>201</v>
      </c>
      <c r="G194" s="26" t="str">
        <f t="array" ref="G194">IFERROR(INDEX('Malaria-Equipment &amp; Other HPs'!$L$130:$L$230,MATCH($E194&amp;$F194,'Malaria-Equipment &amp; Other HPs'!$E$130:$E$230&amp;'Malaria-Equipment &amp; Other HPs'!$H$130:$H$230,0)),"")</f>
        <v/>
      </c>
      <c r="H194" s="26" t="str">
        <f t="array" ref="H194">IFERROR(INDEX('Malaria-Equipment &amp; Other HPs'!$M$130:$M$230,MATCH($E194&amp;$F194,'Malaria-Equipment &amp; Other HPs'!$E$130:$E$230&amp;'Malaria-Equipment &amp; Other HPs'!$H$130:$H$230,0)),"")</f>
        <v/>
      </c>
      <c r="I194" s="26">
        <f t="array" ref="I194">IFERROR(INDEX('Malaria-Equipment &amp; Other HPs'!$N$130:$N$230,MATCH($E194&amp;$F194,'Malaria-Equipment &amp; Other HPs'!$E$130:$E$230&amp;'Malaria-Equipment &amp; Other HPs'!$H$130:$H$230,0)),0)</f>
        <v>0</v>
      </c>
      <c r="J194" s="26">
        <f t="array" ref="J194">IFERROR(INDEX('Malaria-Equipment &amp; Other HPs'!$O$130:$O$230,MATCH($E194&amp;$F194,'Malaria-Equipment &amp; Other HPs'!$E$130:$E$230&amp;'Malaria-Equipment &amp; Other HPs'!$H$130:$H$230,0)),0)</f>
        <v>0</v>
      </c>
      <c r="K194" s="25">
        <f t="shared" si="180"/>
        <v>0</v>
      </c>
      <c r="L194" s="25">
        <f t="shared" si="181"/>
        <v>0</v>
      </c>
      <c r="M194" s="25">
        <f t="shared" si="182"/>
        <v>0</v>
      </c>
      <c r="N194" s="26">
        <f t="array" ref="N194">IFERROR(INDEX('Malaria-Equipment &amp; Other HPs'!$P$130:$P$230,MATCH($E194&amp;$F194,'Malaria-Equipment &amp; Other HPs'!$E$130:$E$230&amp;'Malaria-Equipment &amp; Other HPs'!$H$130:$H$230,0)),0)</f>
        <v>0</v>
      </c>
      <c r="O194" s="25">
        <f t="shared" si="183"/>
        <v>0</v>
      </c>
      <c r="P194" s="25">
        <f t="shared" si="184"/>
        <v>0</v>
      </c>
      <c r="Q194" s="25">
        <f t="shared" si="185"/>
        <v>0</v>
      </c>
      <c r="R194" s="26">
        <f t="array" ref="R194">IFERROR(INDEX('Malaria-Equipment &amp; Other HPs'!$Q$130:$Q$230,MATCH($E194&amp;$F194,'Malaria-Equipment &amp; Other HPs'!$E$130:$E$230&amp;'Malaria-Equipment &amp; Other HPs'!$H$130:$H$230,0)),0)</f>
        <v>0</v>
      </c>
      <c r="S194" s="25">
        <f t="shared" si="186"/>
        <v>0</v>
      </c>
      <c r="T194" s="25">
        <f t="shared" si="187"/>
        <v>0</v>
      </c>
      <c r="U194" s="25">
        <f t="shared" si="188"/>
        <v>0</v>
      </c>
      <c r="V194" s="26">
        <f t="array" ref="V194">IFERROR(INDEX('Malaria-Equipment &amp; Other HPs'!$R$130:$R$230,MATCH($E194&amp;$F194,'Malaria-Equipment &amp; Other HPs'!$E$130:$E$230&amp;'Malaria-Equipment &amp; Other HPs'!$H$130:$H$230,0)),0)</f>
        <v>0</v>
      </c>
      <c r="W194" s="25">
        <f t="shared" si="189"/>
        <v>0</v>
      </c>
      <c r="X194" s="25">
        <f t="shared" si="190"/>
        <v>0</v>
      </c>
      <c r="Y194" s="25">
        <f t="shared" si="191"/>
        <v>0</v>
      </c>
      <c r="Z194" s="680"/>
      <c r="AA194" s="26">
        <f t="array" ref="AA194">IFERROR(INDEX('Malaria-Equipment &amp; Other HPs'!$U$130:$U$230,MATCH($E194&amp;$F194,'Malaria-Equipment &amp; Other HPs'!$E$130:$E$230&amp;'Malaria-Equipment &amp; Other HPs'!$H$130:$H$230,0)),0)</f>
        <v>0</v>
      </c>
      <c r="AB194" s="26">
        <f t="array" ref="AB194">IFERROR(INDEX('Malaria-Equipment &amp; Other HPs'!$V$130:$V$230,MATCH($E194&amp;$F194,'Malaria-Equipment &amp; Other HPs'!$E$130:$E$230&amp;'Malaria-Equipment &amp; Other HPs'!$H$130:$H$230,0)),0)</f>
        <v>0</v>
      </c>
      <c r="AC194" s="26">
        <f t="shared" si="192"/>
        <v>0</v>
      </c>
      <c r="AD194" s="25">
        <f t="shared" si="193"/>
        <v>0</v>
      </c>
      <c r="AE194" s="25">
        <f t="shared" si="194"/>
        <v>0</v>
      </c>
      <c r="AF194" s="26">
        <f t="array" ref="AF194">IFERROR(INDEX('Malaria-Equipment &amp; Other HPs'!$W$130:$W$230,MATCH($E194&amp;$F194,'Malaria-Equipment &amp; Other HPs'!$E$130:$E$230&amp;'Malaria-Equipment &amp; Other HPs'!$H$130:$H$230,0)),0)</f>
        <v>0</v>
      </c>
      <c r="AG194" s="26">
        <f t="shared" si="195"/>
        <v>0</v>
      </c>
      <c r="AH194" s="25">
        <f t="shared" si="196"/>
        <v>0</v>
      </c>
      <c r="AI194" s="25">
        <f t="shared" si="197"/>
        <v>0</v>
      </c>
      <c r="AJ194" s="26">
        <f t="array" ref="AJ194">IFERROR(INDEX('Malaria-Equipment &amp; Other HPs'!$X$130:$X$230,MATCH($E194&amp;$F194,'Malaria-Equipment &amp; Other HPs'!$E$130:$E$230&amp;'Malaria-Equipment &amp; Other HPs'!$H$130:$H$230,0)),0)</f>
        <v>0</v>
      </c>
      <c r="AK194" s="26">
        <f t="shared" si="198"/>
        <v>0</v>
      </c>
      <c r="AL194" s="25">
        <f t="shared" si="199"/>
        <v>0</v>
      </c>
      <c r="AM194" s="25">
        <f t="shared" si="200"/>
        <v>0</v>
      </c>
      <c r="AN194" s="26">
        <f t="array" ref="AN194">IFERROR(INDEX('Malaria-Equipment &amp; Other HPs'!$Y$130:$Y$230,MATCH($E194&amp;$F194,'Malaria-Equipment &amp; Other HPs'!$E$130:$E$230&amp;'Malaria-Equipment &amp; Other HPs'!$H$130:$H$230,0)),0)</f>
        <v>0</v>
      </c>
      <c r="AO194" s="26">
        <f t="shared" si="201"/>
        <v>0</v>
      </c>
      <c r="AP194" s="25">
        <f t="shared" si="202"/>
        <v>0</v>
      </c>
      <c r="AQ194" s="25">
        <f t="shared" si="203"/>
        <v>0</v>
      </c>
      <c r="AR194" s="680"/>
      <c r="AS194" s="26">
        <f t="array" ref="AS194">IFERROR(INDEX('Malaria-Equipment &amp; Other HPs'!$AB$130:$AB$230,MATCH($E194&amp;$F194,'Malaria-Equipment &amp; Other HPs'!$E$130:$E$230&amp;'Malaria-Equipment &amp; Other HPs'!$H$130:$H$230,0)),0)</f>
        <v>0</v>
      </c>
      <c r="AT194" s="26">
        <f t="array" ref="AT194">IFERROR(INDEX('Malaria-Equipment &amp; Other HPs'!$AC$130:$AC$230,MATCH($E194&amp;$F194,'Malaria-Equipment &amp; Other HPs'!$E$130:$E$230&amp;'Malaria-Equipment &amp; Other HPs'!$H$130:$H$230,0)),0)</f>
        <v>0</v>
      </c>
      <c r="AU194" s="26">
        <f t="shared" si="204"/>
        <v>0</v>
      </c>
      <c r="AV194" s="25">
        <f t="shared" si="205"/>
        <v>0</v>
      </c>
      <c r="AW194" s="25">
        <f t="shared" si="206"/>
        <v>0</v>
      </c>
      <c r="AX194" s="26">
        <f t="array" ref="AX194">IFERROR(INDEX('Malaria-Equipment &amp; Other HPs'!$AD$130:$AD$230,MATCH($E194&amp;$F194,'Malaria-Equipment &amp; Other HPs'!$E$130:$E$230&amp;'Malaria-Equipment &amp; Other HPs'!$H$130:$H$230,0)),0)</f>
        <v>0</v>
      </c>
      <c r="AY194" s="26">
        <f t="shared" si="207"/>
        <v>0</v>
      </c>
      <c r="AZ194" s="25">
        <f t="shared" si="208"/>
        <v>0</v>
      </c>
      <c r="BA194" s="25">
        <f t="shared" si="209"/>
        <v>0</v>
      </c>
      <c r="BB194" s="26">
        <f t="array" ref="BB194">IFERROR(INDEX('Malaria-Equipment &amp; Other HPs'!$AE$130:$AE$230,MATCH($E194&amp;$F194,'Malaria-Equipment &amp; Other HPs'!$E$130:$E$230&amp;'Malaria-Equipment &amp; Other HPs'!$H$130:$H$230,0)),0)</f>
        <v>0</v>
      </c>
      <c r="BC194" s="26">
        <f t="shared" si="210"/>
        <v>0</v>
      </c>
      <c r="BD194" s="25">
        <f t="shared" si="211"/>
        <v>0</v>
      </c>
      <c r="BE194" s="25">
        <f t="shared" si="212"/>
        <v>0</v>
      </c>
      <c r="BF194" s="26">
        <f t="array" ref="BF194">IFERROR(INDEX('Malaria-Equipment &amp; Other HPs'!$AF$130:$AF$230,MATCH($E194&amp;$F194,'Malaria-Equipment &amp; Other HPs'!$E$130:$E$230&amp;'Malaria-Equipment &amp; Other HPs'!$H$130:$H$230,0)),0)</f>
        <v>0</v>
      </c>
      <c r="BG194" s="26">
        <f t="shared" si="213"/>
        <v>0</v>
      </c>
      <c r="BH194" s="25">
        <f t="shared" si="214"/>
        <v>0</v>
      </c>
      <c r="BI194" s="25">
        <f t="shared" si="215"/>
        <v>0</v>
      </c>
      <c r="BJ194" s="680"/>
      <c r="BK194" s="26"/>
      <c r="BL194" s="26"/>
      <c r="BM194" s="26"/>
      <c r="BN194" s="26"/>
      <c r="BO194" s="26"/>
      <c r="BP194" s="26"/>
      <c r="BQ194" s="26"/>
      <c r="BR194" s="26"/>
      <c r="BT194" s="21" t="s">
        <v>6839</v>
      </c>
    </row>
    <row r="195" spans="1:72">
      <c r="A195" s="29" t="s">
        <v>538</v>
      </c>
      <c r="B195" s="29" t="s">
        <v>1550</v>
      </c>
      <c r="C195" s="626">
        <f>SETUP!$F$58</f>
        <v>0</v>
      </c>
      <c r="D195" s="25">
        <v>6.6</v>
      </c>
      <c r="E195" s="26" t="s">
        <v>220</v>
      </c>
      <c r="F195" s="26" t="s">
        <v>200</v>
      </c>
      <c r="G195" s="26" t="str">
        <f t="array" ref="G195">IFERROR(INDEX('Malaria-Equipment &amp; Other HPs'!$L$130:$L$230,MATCH($E195&amp;$F195,'Malaria-Equipment &amp; Other HPs'!$E$130:$E$230&amp;'Malaria-Equipment &amp; Other HPs'!$H$130:$H$230,0)),"")</f>
        <v/>
      </c>
      <c r="H195" s="26" t="str">
        <f t="array" ref="H195">IFERROR(INDEX('Malaria-Equipment &amp; Other HPs'!$M$130:$M$230,MATCH($E195&amp;$F195,'Malaria-Equipment &amp; Other HPs'!$E$130:$E$230&amp;'Malaria-Equipment &amp; Other HPs'!$H$130:$H$230,0)),"")</f>
        <v/>
      </c>
      <c r="I195" s="26">
        <f t="array" ref="I195">IFERROR(INDEX('Malaria-Equipment &amp; Other HPs'!$N$130:$N$230,MATCH($E195&amp;$F195,'Malaria-Equipment &amp; Other HPs'!$E$130:$E$230&amp;'Malaria-Equipment &amp; Other HPs'!$H$130:$H$230,0)),0)</f>
        <v>0</v>
      </c>
      <c r="J195" s="26">
        <f t="array" ref="J195">IFERROR(INDEX('Malaria-Equipment &amp; Other HPs'!$O$130:$O$230,MATCH($E195&amp;$F195,'Malaria-Equipment &amp; Other HPs'!$E$130:$E$230&amp;'Malaria-Equipment &amp; Other HPs'!$H$130:$H$230,0)),0)</f>
        <v>0</v>
      </c>
      <c r="K195" s="25">
        <f t="shared" si="180"/>
        <v>0</v>
      </c>
      <c r="L195" s="25">
        <f t="shared" si="181"/>
        <v>0</v>
      </c>
      <c r="M195" s="25">
        <f t="shared" si="182"/>
        <v>0</v>
      </c>
      <c r="N195" s="26">
        <f t="array" ref="N195">IFERROR(INDEX('Malaria-Equipment &amp; Other HPs'!$P$130:$P$230,MATCH($E195&amp;$F195,'Malaria-Equipment &amp; Other HPs'!$E$130:$E$230&amp;'Malaria-Equipment &amp; Other HPs'!$H$130:$H$230,0)),0)</f>
        <v>0</v>
      </c>
      <c r="O195" s="25">
        <f t="shared" si="183"/>
        <v>0</v>
      </c>
      <c r="P195" s="25">
        <f t="shared" si="184"/>
        <v>0</v>
      </c>
      <c r="Q195" s="25">
        <f t="shared" si="185"/>
        <v>0</v>
      </c>
      <c r="R195" s="26">
        <f t="array" ref="R195">IFERROR(INDEX('Malaria-Equipment &amp; Other HPs'!$Q$130:$Q$230,MATCH($E195&amp;$F195,'Malaria-Equipment &amp; Other HPs'!$E$130:$E$230&amp;'Malaria-Equipment &amp; Other HPs'!$H$130:$H$230,0)),0)</f>
        <v>0</v>
      </c>
      <c r="S195" s="25">
        <f t="shared" si="186"/>
        <v>0</v>
      </c>
      <c r="T195" s="25">
        <f t="shared" si="187"/>
        <v>0</v>
      </c>
      <c r="U195" s="25">
        <f t="shared" si="188"/>
        <v>0</v>
      </c>
      <c r="V195" s="26">
        <f t="array" ref="V195">IFERROR(INDEX('Malaria-Equipment &amp; Other HPs'!$R$130:$R$230,MATCH($E195&amp;$F195,'Malaria-Equipment &amp; Other HPs'!$E$130:$E$230&amp;'Malaria-Equipment &amp; Other HPs'!$H$130:$H$230,0)),0)</f>
        <v>0</v>
      </c>
      <c r="W195" s="25">
        <f t="shared" si="189"/>
        <v>0</v>
      </c>
      <c r="X195" s="25">
        <f t="shared" si="190"/>
        <v>0</v>
      </c>
      <c r="Y195" s="25">
        <f t="shared" si="191"/>
        <v>0</v>
      </c>
      <c r="Z195" s="680"/>
      <c r="AA195" s="26">
        <f t="array" ref="AA195">IFERROR(INDEX('Malaria-Equipment &amp; Other HPs'!$U$130:$U$230,MATCH($E195&amp;$F195,'Malaria-Equipment &amp; Other HPs'!$E$130:$E$230&amp;'Malaria-Equipment &amp; Other HPs'!$H$130:$H$230,0)),0)</f>
        <v>0</v>
      </c>
      <c r="AB195" s="26">
        <f t="array" ref="AB195">IFERROR(INDEX('Malaria-Equipment &amp; Other HPs'!$V$130:$V$230,MATCH($E195&amp;$F195,'Malaria-Equipment &amp; Other HPs'!$E$130:$E$230&amp;'Malaria-Equipment &amp; Other HPs'!$H$130:$H$230,0)),0)</f>
        <v>0</v>
      </c>
      <c r="AC195" s="26">
        <f t="shared" si="192"/>
        <v>0</v>
      </c>
      <c r="AD195" s="25">
        <f t="shared" si="193"/>
        <v>0</v>
      </c>
      <c r="AE195" s="25">
        <f t="shared" si="194"/>
        <v>0</v>
      </c>
      <c r="AF195" s="26">
        <f t="array" ref="AF195">IFERROR(INDEX('Malaria-Equipment &amp; Other HPs'!$W$130:$W$230,MATCH($E195&amp;$F195,'Malaria-Equipment &amp; Other HPs'!$E$130:$E$230&amp;'Malaria-Equipment &amp; Other HPs'!$H$130:$H$230,0)),0)</f>
        <v>0</v>
      </c>
      <c r="AG195" s="26">
        <f t="shared" si="195"/>
        <v>0</v>
      </c>
      <c r="AH195" s="25">
        <f t="shared" si="196"/>
        <v>0</v>
      </c>
      <c r="AI195" s="25">
        <f t="shared" si="197"/>
        <v>0</v>
      </c>
      <c r="AJ195" s="26">
        <f t="array" ref="AJ195">IFERROR(INDEX('Malaria-Equipment &amp; Other HPs'!$X$130:$X$230,MATCH($E195&amp;$F195,'Malaria-Equipment &amp; Other HPs'!$E$130:$E$230&amp;'Malaria-Equipment &amp; Other HPs'!$H$130:$H$230,0)),0)</f>
        <v>0</v>
      </c>
      <c r="AK195" s="26">
        <f t="shared" si="198"/>
        <v>0</v>
      </c>
      <c r="AL195" s="25">
        <f t="shared" si="199"/>
        <v>0</v>
      </c>
      <c r="AM195" s="25">
        <f t="shared" si="200"/>
        <v>0</v>
      </c>
      <c r="AN195" s="26">
        <f t="array" ref="AN195">IFERROR(INDEX('Malaria-Equipment &amp; Other HPs'!$Y$130:$Y$230,MATCH($E195&amp;$F195,'Malaria-Equipment &amp; Other HPs'!$E$130:$E$230&amp;'Malaria-Equipment &amp; Other HPs'!$H$130:$H$230,0)),0)</f>
        <v>0</v>
      </c>
      <c r="AO195" s="26">
        <f t="shared" si="201"/>
        <v>0</v>
      </c>
      <c r="AP195" s="25">
        <f t="shared" si="202"/>
        <v>0</v>
      </c>
      <c r="AQ195" s="25">
        <f t="shared" si="203"/>
        <v>0</v>
      </c>
      <c r="AR195" s="680"/>
      <c r="AS195" s="26">
        <f t="array" ref="AS195">IFERROR(INDEX('Malaria-Equipment &amp; Other HPs'!$AB$130:$AB$230,MATCH($E195&amp;$F195,'Malaria-Equipment &amp; Other HPs'!$E$130:$E$230&amp;'Malaria-Equipment &amp; Other HPs'!$H$130:$H$230,0)),0)</f>
        <v>0</v>
      </c>
      <c r="AT195" s="26">
        <f t="array" ref="AT195">IFERROR(INDEX('Malaria-Equipment &amp; Other HPs'!$AC$130:$AC$230,MATCH($E195&amp;$F195,'Malaria-Equipment &amp; Other HPs'!$E$130:$E$230&amp;'Malaria-Equipment &amp; Other HPs'!$H$130:$H$230,0)),0)</f>
        <v>0</v>
      </c>
      <c r="AU195" s="26">
        <f t="shared" si="204"/>
        <v>0</v>
      </c>
      <c r="AV195" s="25">
        <f t="shared" si="205"/>
        <v>0</v>
      </c>
      <c r="AW195" s="25">
        <f t="shared" si="206"/>
        <v>0</v>
      </c>
      <c r="AX195" s="26">
        <f t="array" ref="AX195">IFERROR(INDEX('Malaria-Equipment &amp; Other HPs'!$AD$130:$AD$230,MATCH($E195&amp;$F195,'Malaria-Equipment &amp; Other HPs'!$E$130:$E$230&amp;'Malaria-Equipment &amp; Other HPs'!$H$130:$H$230,0)),0)</f>
        <v>0</v>
      </c>
      <c r="AY195" s="26">
        <f t="shared" si="207"/>
        <v>0</v>
      </c>
      <c r="AZ195" s="25">
        <f t="shared" si="208"/>
        <v>0</v>
      </c>
      <c r="BA195" s="25">
        <f t="shared" si="209"/>
        <v>0</v>
      </c>
      <c r="BB195" s="26">
        <f t="array" ref="BB195">IFERROR(INDEX('Malaria-Equipment &amp; Other HPs'!$AE$130:$AE$230,MATCH($E195&amp;$F195,'Malaria-Equipment &amp; Other HPs'!$E$130:$E$230&amp;'Malaria-Equipment &amp; Other HPs'!$H$130:$H$230,0)),0)</f>
        <v>0</v>
      </c>
      <c r="BC195" s="26">
        <f t="shared" si="210"/>
        <v>0</v>
      </c>
      <c r="BD195" s="25">
        <f t="shared" si="211"/>
        <v>0</v>
      </c>
      <c r="BE195" s="25">
        <f t="shared" si="212"/>
        <v>0</v>
      </c>
      <c r="BF195" s="26">
        <f t="array" ref="BF195">IFERROR(INDEX('Malaria-Equipment &amp; Other HPs'!$AF$130:$AF$230,MATCH($E195&amp;$F195,'Malaria-Equipment &amp; Other HPs'!$E$130:$E$230&amp;'Malaria-Equipment &amp; Other HPs'!$H$130:$H$230,0)),0)</f>
        <v>0</v>
      </c>
      <c r="BG195" s="26">
        <f t="shared" si="213"/>
        <v>0</v>
      </c>
      <c r="BH195" s="25">
        <f t="shared" si="214"/>
        <v>0</v>
      </c>
      <c r="BI195" s="25">
        <f t="shared" si="215"/>
        <v>0</v>
      </c>
      <c r="BJ195" s="680"/>
      <c r="BK195" s="26"/>
      <c r="BL195" s="26"/>
      <c r="BM195" s="26"/>
      <c r="BN195" s="26"/>
      <c r="BO195" s="26"/>
      <c r="BP195" s="26"/>
      <c r="BQ195" s="26"/>
      <c r="BR195" s="26"/>
      <c r="BT195" s="21" t="s">
        <v>6839</v>
      </c>
    </row>
    <row r="196" spans="1:72">
      <c r="A196" s="29" t="s">
        <v>63</v>
      </c>
      <c r="B196" s="29" t="s">
        <v>1550</v>
      </c>
      <c r="C196" s="626">
        <f>SETUP!$F$58</f>
        <v>0</v>
      </c>
      <c r="D196" s="25">
        <v>6.5</v>
      </c>
      <c r="E196" s="26" t="s">
        <v>221</v>
      </c>
      <c r="F196" s="26" t="s">
        <v>218</v>
      </c>
      <c r="G196" s="26" t="str">
        <f t="array" ref="G196">IFERROR(INDEX('Malaria-Equipment &amp; Other HPs'!$L$130:$L$230,MATCH($E196&amp;$F196,'Malaria-Equipment &amp; Other HPs'!$E$130:$E$230&amp;'Malaria-Equipment &amp; Other HPs'!$H$130:$H$230,0)),"")</f>
        <v/>
      </c>
      <c r="H196" s="26" t="str">
        <f t="array" ref="H196">IFERROR(INDEX('Malaria-Equipment &amp; Other HPs'!$M$130:$M$230,MATCH($E196&amp;$F196,'Malaria-Equipment &amp; Other HPs'!$E$130:$E$230&amp;'Malaria-Equipment &amp; Other HPs'!$H$130:$H$230,0)),"")</f>
        <v/>
      </c>
      <c r="I196" s="26">
        <f t="array" ref="I196">IFERROR(INDEX('Malaria-Equipment &amp; Other HPs'!$N$130:$N$230,MATCH($E196&amp;$F196,'Malaria-Equipment &amp; Other HPs'!$E$130:$E$230&amp;'Malaria-Equipment &amp; Other HPs'!$H$130:$H$230,0)),0)</f>
        <v>0</v>
      </c>
      <c r="J196" s="26">
        <f t="array" ref="J196">IFERROR(INDEX('Malaria-Equipment &amp; Other HPs'!$O$130:$O$230,MATCH($E196&amp;$F196,'Malaria-Equipment &amp; Other HPs'!$E$130:$E$230&amp;'Malaria-Equipment &amp; Other HPs'!$H$130:$H$230,0)),0)</f>
        <v>0</v>
      </c>
      <c r="K196" s="25">
        <f t="shared" si="180"/>
        <v>0</v>
      </c>
      <c r="L196" s="25">
        <f t="shared" si="181"/>
        <v>0</v>
      </c>
      <c r="M196" s="25">
        <f t="shared" si="182"/>
        <v>0</v>
      </c>
      <c r="N196" s="26">
        <f t="array" ref="N196">IFERROR(INDEX('Malaria-Equipment &amp; Other HPs'!$P$130:$P$230,MATCH($E196&amp;$F196,'Malaria-Equipment &amp; Other HPs'!$E$130:$E$230&amp;'Malaria-Equipment &amp; Other HPs'!$H$130:$H$230,0)),0)</f>
        <v>0</v>
      </c>
      <c r="O196" s="25">
        <f t="shared" si="183"/>
        <v>0</v>
      </c>
      <c r="P196" s="25">
        <f t="shared" si="184"/>
        <v>0</v>
      </c>
      <c r="Q196" s="25">
        <f t="shared" si="185"/>
        <v>0</v>
      </c>
      <c r="R196" s="26">
        <f t="array" ref="R196">IFERROR(INDEX('Malaria-Equipment &amp; Other HPs'!$Q$130:$Q$230,MATCH($E196&amp;$F196,'Malaria-Equipment &amp; Other HPs'!$E$130:$E$230&amp;'Malaria-Equipment &amp; Other HPs'!$H$130:$H$230,0)),0)</f>
        <v>0</v>
      </c>
      <c r="S196" s="25">
        <f t="shared" si="186"/>
        <v>0</v>
      </c>
      <c r="T196" s="25">
        <f t="shared" si="187"/>
        <v>0</v>
      </c>
      <c r="U196" s="25">
        <f t="shared" si="188"/>
        <v>0</v>
      </c>
      <c r="V196" s="26">
        <f t="array" ref="V196">IFERROR(INDEX('Malaria-Equipment &amp; Other HPs'!$R$130:$R$230,MATCH($E196&amp;$F196,'Malaria-Equipment &amp; Other HPs'!$E$130:$E$230&amp;'Malaria-Equipment &amp; Other HPs'!$H$130:$H$230,0)),0)</f>
        <v>0</v>
      </c>
      <c r="W196" s="25">
        <f t="shared" si="189"/>
        <v>0</v>
      </c>
      <c r="X196" s="25">
        <f t="shared" si="190"/>
        <v>0</v>
      </c>
      <c r="Y196" s="25">
        <f t="shared" si="191"/>
        <v>0</v>
      </c>
      <c r="Z196" s="680"/>
      <c r="AA196" s="26">
        <f t="array" ref="AA196">IFERROR(INDEX('Malaria-Equipment &amp; Other HPs'!$U$130:$U$230,MATCH($E196&amp;$F196,'Malaria-Equipment &amp; Other HPs'!$E$130:$E$230&amp;'Malaria-Equipment &amp; Other HPs'!$H$130:$H$230,0)),0)</f>
        <v>0</v>
      </c>
      <c r="AB196" s="26">
        <f t="array" ref="AB196">IFERROR(INDEX('Malaria-Equipment &amp; Other HPs'!$V$130:$V$230,MATCH($E196&amp;$F196,'Malaria-Equipment &amp; Other HPs'!$E$130:$E$230&amp;'Malaria-Equipment &amp; Other HPs'!$H$130:$H$230,0)),0)</f>
        <v>0</v>
      </c>
      <c r="AC196" s="26">
        <f t="shared" si="192"/>
        <v>0</v>
      </c>
      <c r="AD196" s="25">
        <f t="shared" si="193"/>
        <v>0</v>
      </c>
      <c r="AE196" s="25">
        <f t="shared" si="194"/>
        <v>0</v>
      </c>
      <c r="AF196" s="26">
        <f t="array" ref="AF196">IFERROR(INDEX('Malaria-Equipment &amp; Other HPs'!$W$130:$W$230,MATCH($E196&amp;$F196,'Malaria-Equipment &amp; Other HPs'!$E$130:$E$230&amp;'Malaria-Equipment &amp; Other HPs'!$H$130:$H$230,0)),0)</f>
        <v>0</v>
      </c>
      <c r="AG196" s="26">
        <f t="shared" si="195"/>
        <v>0</v>
      </c>
      <c r="AH196" s="25">
        <f t="shared" si="196"/>
        <v>0</v>
      </c>
      <c r="AI196" s="25">
        <f t="shared" si="197"/>
        <v>0</v>
      </c>
      <c r="AJ196" s="26">
        <f t="array" ref="AJ196">IFERROR(INDEX('Malaria-Equipment &amp; Other HPs'!$X$130:$X$230,MATCH($E196&amp;$F196,'Malaria-Equipment &amp; Other HPs'!$E$130:$E$230&amp;'Malaria-Equipment &amp; Other HPs'!$H$130:$H$230,0)),0)</f>
        <v>0</v>
      </c>
      <c r="AK196" s="26">
        <f t="shared" si="198"/>
        <v>0</v>
      </c>
      <c r="AL196" s="25">
        <f t="shared" si="199"/>
        <v>0</v>
      </c>
      <c r="AM196" s="25">
        <f t="shared" si="200"/>
        <v>0</v>
      </c>
      <c r="AN196" s="26">
        <f t="array" ref="AN196">IFERROR(INDEX('Malaria-Equipment &amp; Other HPs'!$Y$130:$Y$230,MATCH($E196&amp;$F196,'Malaria-Equipment &amp; Other HPs'!$E$130:$E$230&amp;'Malaria-Equipment &amp; Other HPs'!$H$130:$H$230,0)),0)</f>
        <v>0</v>
      </c>
      <c r="AO196" s="26">
        <f t="shared" si="201"/>
        <v>0</v>
      </c>
      <c r="AP196" s="25">
        <f t="shared" si="202"/>
        <v>0</v>
      </c>
      <c r="AQ196" s="25">
        <f t="shared" si="203"/>
        <v>0</v>
      </c>
      <c r="AR196" s="680"/>
      <c r="AS196" s="26">
        <f t="array" ref="AS196">IFERROR(INDEX('Malaria-Equipment &amp; Other HPs'!$AB$130:$AB$230,MATCH($E196&amp;$F196,'Malaria-Equipment &amp; Other HPs'!$E$130:$E$230&amp;'Malaria-Equipment &amp; Other HPs'!$H$130:$H$230,0)),0)</f>
        <v>0</v>
      </c>
      <c r="AT196" s="26">
        <f t="array" ref="AT196">IFERROR(INDEX('Malaria-Equipment &amp; Other HPs'!$AC$130:$AC$230,MATCH($E196&amp;$F196,'Malaria-Equipment &amp; Other HPs'!$E$130:$E$230&amp;'Malaria-Equipment &amp; Other HPs'!$H$130:$H$230,0)),0)</f>
        <v>0</v>
      </c>
      <c r="AU196" s="26">
        <f t="shared" si="204"/>
        <v>0</v>
      </c>
      <c r="AV196" s="25">
        <f t="shared" si="205"/>
        <v>0</v>
      </c>
      <c r="AW196" s="25">
        <f t="shared" si="206"/>
        <v>0</v>
      </c>
      <c r="AX196" s="26">
        <f t="array" ref="AX196">IFERROR(INDEX('Malaria-Equipment &amp; Other HPs'!$AD$130:$AD$230,MATCH($E196&amp;$F196,'Malaria-Equipment &amp; Other HPs'!$E$130:$E$230&amp;'Malaria-Equipment &amp; Other HPs'!$H$130:$H$230,0)),0)</f>
        <v>0</v>
      </c>
      <c r="AY196" s="26">
        <f t="shared" si="207"/>
        <v>0</v>
      </c>
      <c r="AZ196" s="25">
        <f t="shared" si="208"/>
        <v>0</v>
      </c>
      <c r="BA196" s="25">
        <f t="shared" si="209"/>
        <v>0</v>
      </c>
      <c r="BB196" s="26">
        <f t="array" ref="BB196">IFERROR(INDEX('Malaria-Equipment &amp; Other HPs'!$AE$130:$AE$230,MATCH($E196&amp;$F196,'Malaria-Equipment &amp; Other HPs'!$E$130:$E$230&amp;'Malaria-Equipment &amp; Other HPs'!$H$130:$H$230,0)),0)</f>
        <v>0</v>
      </c>
      <c r="BC196" s="26">
        <f t="shared" si="210"/>
        <v>0</v>
      </c>
      <c r="BD196" s="25">
        <f t="shared" si="211"/>
        <v>0</v>
      </c>
      <c r="BE196" s="25">
        <f t="shared" si="212"/>
        <v>0</v>
      </c>
      <c r="BF196" s="26">
        <f t="array" ref="BF196">IFERROR(INDEX('Malaria-Equipment &amp; Other HPs'!$AF$130:$AF$230,MATCH($E196&amp;$F196,'Malaria-Equipment &amp; Other HPs'!$E$130:$E$230&amp;'Malaria-Equipment &amp; Other HPs'!$H$130:$H$230,0)),0)</f>
        <v>0</v>
      </c>
      <c r="BG196" s="26">
        <f t="shared" si="213"/>
        <v>0</v>
      </c>
      <c r="BH196" s="25">
        <f t="shared" si="214"/>
        <v>0</v>
      </c>
      <c r="BI196" s="25">
        <f t="shared" si="215"/>
        <v>0</v>
      </c>
      <c r="BJ196" s="680"/>
      <c r="BK196" s="26"/>
      <c r="BL196" s="26"/>
      <c r="BM196" s="26"/>
      <c r="BN196" s="26"/>
      <c r="BO196" s="26"/>
      <c r="BP196" s="26"/>
      <c r="BQ196" s="26"/>
      <c r="BR196" s="26"/>
      <c r="BT196" s="21" t="s">
        <v>6839</v>
      </c>
    </row>
    <row r="197" spans="1:72">
      <c r="A197" s="29" t="s">
        <v>63</v>
      </c>
      <c r="B197" s="29" t="s">
        <v>1550</v>
      </c>
      <c r="C197" s="626">
        <f>SETUP!$F$58</f>
        <v>0</v>
      </c>
      <c r="D197" s="25">
        <v>6.6</v>
      </c>
      <c r="E197" s="26" t="s">
        <v>221</v>
      </c>
      <c r="F197" s="26" t="s">
        <v>201</v>
      </c>
      <c r="G197" s="26" t="str">
        <f t="array" ref="G197">IFERROR(INDEX('Malaria-Equipment &amp; Other HPs'!$L$130:$L$230,MATCH($E197&amp;$F197,'Malaria-Equipment &amp; Other HPs'!$E$130:$E$230&amp;'Malaria-Equipment &amp; Other HPs'!$H$130:$H$230,0)),"")</f>
        <v/>
      </c>
      <c r="H197" s="26" t="str">
        <f t="array" ref="H197">IFERROR(INDEX('Malaria-Equipment &amp; Other HPs'!$M$130:$M$230,MATCH($E197&amp;$F197,'Malaria-Equipment &amp; Other HPs'!$E$130:$E$230&amp;'Malaria-Equipment &amp; Other HPs'!$H$130:$H$230,0)),"")</f>
        <v/>
      </c>
      <c r="I197" s="26">
        <f t="array" ref="I197">IFERROR(INDEX('Malaria-Equipment &amp; Other HPs'!$N$130:$N$230,MATCH($E197&amp;$F197,'Malaria-Equipment &amp; Other HPs'!$E$130:$E$230&amp;'Malaria-Equipment &amp; Other HPs'!$H$130:$H$230,0)),0)</f>
        <v>0</v>
      </c>
      <c r="J197" s="26">
        <f t="array" ref="J197">IFERROR(INDEX('Malaria-Equipment &amp; Other HPs'!$O$130:$O$230,MATCH($E197&amp;$F197,'Malaria-Equipment &amp; Other HPs'!$E$130:$E$230&amp;'Malaria-Equipment &amp; Other HPs'!$H$130:$H$230,0)),0)</f>
        <v>0</v>
      </c>
      <c r="K197" s="25">
        <f t="shared" si="180"/>
        <v>0</v>
      </c>
      <c r="L197" s="25">
        <f t="shared" si="181"/>
        <v>0</v>
      </c>
      <c r="M197" s="25">
        <f t="shared" si="182"/>
        <v>0</v>
      </c>
      <c r="N197" s="26">
        <f t="array" ref="N197">IFERROR(INDEX('Malaria-Equipment &amp; Other HPs'!$P$130:$P$230,MATCH($E197&amp;$F197,'Malaria-Equipment &amp; Other HPs'!$E$130:$E$230&amp;'Malaria-Equipment &amp; Other HPs'!$H$130:$H$230,0)),0)</f>
        <v>0</v>
      </c>
      <c r="O197" s="25">
        <f t="shared" si="183"/>
        <v>0</v>
      </c>
      <c r="P197" s="25">
        <f t="shared" si="184"/>
        <v>0</v>
      </c>
      <c r="Q197" s="25">
        <f t="shared" si="185"/>
        <v>0</v>
      </c>
      <c r="R197" s="26">
        <f t="array" ref="R197">IFERROR(INDEX('Malaria-Equipment &amp; Other HPs'!$Q$130:$Q$230,MATCH($E197&amp;$F197,'Malaria-Equipment &amp; Other HPs'!$E$130:$E$230&amp;'Malaria-Equipment &amp; Other HPs'!$H$130:$H$230,0)),0)</f>
        <v>0</v>
      </c>
      <c r="S197" s="25">
        <f t="shared" si="186"/>
        <v>0</v>
      </c>
      <c r="T197" s="25">
        <f t="shared" si="187"/>
        <v>0</v>
      </c>
      <c r="U197" s="25">
        <f t="shared" si="188"/>
        <v>0</v>
      </c>
      <c r="V197" s="26">
        <f t="array" ref="V197">IFERROR(INDEX('Malaria-Equipment &amp; Other HPs'!$R$130:$R$230,MATCH($E197&amp;$F197,'Malaria-Equipment &amp; Other HPs'!$E$130:$E$230&amp;'Malaria-Equipment &amp; Other HPs'!$H$130:$H$230,0)),0)</f>
        <v>0</v>
      </c>
      <c r="W197" s="25">
        <f t="shared" si="189"/>
        <v>0</v>
      </c>
      <c r="X197" s="25">
        <f t="shared" si="190"/>
        <v>0</v>
      </c>
      <c r="Y197" s="25">
        <f t="shared" si="191"/>
        <v>0</v>
      </c>
      <c r="Z197" s="680"/>
      <c r="AA197" s="26">
        <f t="array" ref="AA197">IFERROR(INDEX('Malaria-Equipment &amp; Other HPs'!$U$130:$U$230,MATCH($E197&amp;$F197,'Malaria-Equipment &amp; Other HPs'!$E$130:$E$230&amp;'Malaria-Equipment &amp; Other HPs'!$H$130:$H$230,0)),0)</f>
        <v>0</v>
      </c>
      <c r="AB197" s="26">
        <f t="array" ref="AB197">IFERROR(INDEX('Malaria-Equipment &amp; Other HPs'!$V$130:$V$230,MATCH($E197&amp;$F197,'Malaria-Equipment &amp; Other HPs'!$E$130:$E$230&amp;'Malaria-Equipment &amp; Other HPs'!$H$130:$H$230,0)),0)</f>
        <v>0</v>
      </c>
      <c r="AC197" s="26">
        <f t="shared" si="192"/>
        <v>0</v>
      </c>
      <c r="AD197" s="25">
        <f t="shared" si="193"/>
        <v>0</v>
      </c>
      <c r="AE197" s="25">
        <f t="shared" si="194"/>
        <v>0</v>
      </c>
      <c r="AF197" s="26">
        <f t="array" ref="AF197">IFERROR(INDEX('Malaria-Equipment &amp; Other HPs'!$W$130:$W$230,MATCH($E197&amp;$F197,'Malaria-Equipment &amp; Other HPs'!$E$130:$E$230&amp;'Malaria-Equipment &amp; Other HPs'!$H$130:$H$230,0)),0)</f>
        <v>0</v>
      </c>
      <c r="AG197" s="26">
        <f t="shared" si="195"/>
        <v>0</v>
      </c>
      <c r="AH197" s="25">
        <f t="shared" si="196"/>
        <v>0</v>
      </c>
      <c r="AI197" s="25">
        <f t="shared" si="197"/>
        <v>0</v>
      </c>
      <c r="AJ197" s="26">
        <f t="array" ref="AJ197">IFERROR(INDEX('Malaria-Equipment &amp; Other HPs'!$X$130:$X$230,MATCH($E197&amp;$F197,'Malaria-Equipment &amp; Other HPs'!$E$130:$E$230&amp;'Malaria-Equipment &amp; Other HPs'!$H$130:$H$230,0)),0)</f>
        <v>0</v>
      </c>
      <c r="AK197" s="26">
        <f t="shared" si="198"/>
        <v>0</v>
      </c>
      <c r="AL197" s="25">
        <f t="shared" si="199"/>
        <v>0</v>
      </c>
      <c r="AM197" s="25">
        <f t="shared" si="200"/>
        <v>0</v>
      </c>
      <c r="AN197" s="26">
        <f t="array" ref="AN197">IFERROR(INDEX('Malaria-Equipment &amp; Other HPs'!$Y$130:$Y$230,MATCH($E197&amp;$F197,'Malaria-Equipment &amp; Other HPs'!$E$130:$E$230&amp;'Malaria-Equipment &amp; Other HPs'!$H$130:$H$230,0)),0)</f>
        <v>0</v>
      </c>
      <c r="AO197" s="26">
        <f t="shared" si="201"/>
        <v>0</v>
      </c>
      <c r="AP197" s="25">
        <f t="shared" si="202"/>
        <v>0</v>
      </c>
      <c r="AQ197" s="25">
        <f t="shared" si="203"/>
        <v>0</v>
      </c>
      <c r="AR197" s="680"/>
      <c r="AS197" s="26">
        <f t="array" ref="AS197">IFERROR(INDEX('Malaria-Equipment &amp; Other HPs'!$AB$130:$AB$230,MATCH($E197&amp;$F197,'Malaria-Equipment &amp; Other HPs'!$E$130:$E$230&amp;'Malaria-Equipment &amp; Other HPs'!$H$130:$H$230,0)),0)</f>
        <v>0</v>
      </c>
      <c r="AT197" s="26">
        <f t="array" ref="AT197">IFERROR(INDEX('Malaria-Equipment &amp; Other HPs'!$AC$130:$AC$230,MATCH($E197&amp;$F197,'Malaria-Equipment &amp; Other HPs'!$E$130:$E$230&amp;'Malaria-Equipment &amp; Other HPs'!$H$130:$H$230,0)),0)</f>
        <v>0</v>
      </c>
      <c r="AU197" s="26">
        <f t="shared" si="204"/>
        <v>0</v>
      </c>
      <c r="AV197" s="25">
        <f t="shared" si="205"/>
        <v>0</v>
      </c>
      <c r="AW197" s="25">
        <f t="shared" si="206"/>
        <v>0</v>
      </c>
      <c r="AX197" s="26">
        <f t="array" ref="AX197">IFERROR(INDEX('Malaria-Equipment &amp; Other HPs'!$AD$130:$AD$230,MATCH($E197&amp;$F197,'Malaria-Equipment &amp; Other HPs'!$E$130:$E$230&amp;'Malaria-Equipment &amp; Other HPs'!$H$130:$H$230,0)),0)</f>
        <v>0</v>
      </c>
      <c r="AY197" s="26">
        <f t="shared" si="207"/>
        <v>0</v>
      </c>
      <c r="AZ197" s="25">
        <f t="shared" si="208"/>
        <v>0</v>
      </c>
      <c r="BA197" s="25">
        <f t="shared" si="209"/>
        <v>0</v>
      </c>
      <c r="BB197" s="26">
        <f t="array" ref="BB197">IFERROR(INDEX('Malaria-Equipment &amp; Other HPs'!$AE$130:$AE$230,MATCH($E197&amp;$F197,'Malaria-Equipment &amp; Other HPs'!$E$130:$E$230&amp;'Malaria-Equipment &amp; Other HPs'!$H$130:$H$230,0)),0)</f>
        <v>0</v>
      </c>
      <c r="BC197" s="26">
        <f t="shared" si="210"/>
        <v>0</v>
      </c>
      <c r="BD197" s="25">
        <f t="shared" si="211"/>
        <v>0</v>
      </c>
      <c r="BE197" s="25">
        <f t="shared" si="212"/>
        <v>0</v>
      </c>
      <c r="BF197" s="26">
        <f t="array" ref="BF197">IFERROR(INDEX('Malaria-Equipment &amp; Other HPs'!$AF$130:$AF$230,MATCH($E197&amp;$F197,'Malaria-Equipment &amp; Other HPs'!$E$130:$E$230&amp;'Malaria-Equipment &amp; Other HPs'!$H$130:$H$230,0)),0)</f>
        <v>0</v>
      </c>
      <c r="BG197" s="26">
        <f t="shared" si="213"/>
        <v>0</v>
      </c>
      <c r="BH197" s="25">
        <f t="shared" si="214"/>
        <v>0</v>
      </c>
      <c r="BI197" s="25">
        <f t="shared" si="215"/>
        <v>0</v>
      </c>
      <c r="BJ197" s="680"/>
      <c r="BK197" s="26"/>
      <c r="BL197" s="26"/>
      <c r="BM197" s="26"/>
      <c r="BN197" s="26"/>
      <c r="BO197" s="26"/>
      <c r="BP197" s="26"/>
      <c r="BQ197" s="26"/>
      <c r="BR197" s="26"/>
      <c r="BT197" s="21" t="s">
        <v>6839</v>
      </c>
    </row>
    <row r="198" spans="1:72">
      <c r="A198" s="29" t="s">
        <v>63</v>
      </c>
      <c r="B198" s="29" t="s">
        <v>1550</v>
      </c>
      <c r="C198" s="626">
        <f>SETUP!$F$58</f>
        <v>0</v>
      </c>
      <c r="D198" s="25">
        <v>6.6</v>
      </c>
      <c r="E198" s="26" t="s">
        <v>221</v>
      </c>
      <c r="F198" s="26" t="s">
        <v>200</v>
      </c>
      <c r="G198" s="26" t="str">
        <f t="array" ref="G198">IFERROR(INDEX('Malaria-Equipment &amp; Other HPs'!$L$130:$L$230,MATCH($E198&amp;$F198,'Malaria-Equipment &amp; Other HPs'!$E$130:$E$230&amp;'Malaria-Equipment &amp; Other HPs'!$H$130:$H$230,0)),"")</f>
        <v/>
      </c>
      <c r="H198" s="26" t="str">
        <f t="array" ref="H198">IFERROR(INDEX('Malaria-Equipment &amp; Other HPs'!$M$130:$M$230,MATCH($E198&amp;$F198,'Malaria-Equipment &amp; Other HPs'!$E$130:$E$230&amp;'Malaria-Equipment &amp; Other HPs'!$H$130:$H$230,0)),"")</f>
        <v/>
      </c>
      <c r="I198" s="26">
        <f t="array" ref="I198">IFERROR(INDEX('Malaria-Equipment &amp; Other HPs'!$N$130:$N$230,MATCH($E198&amp;$F198,'Malaria-Equipment &amp; Other HPs'!$E$130:$E$230&amp;'Malaria-Equipment &amp; Other HPs'!$H$130:$H$230,0)),0)</f>
        <v>0</v>
      </c>
      <c r="J198" s="26">
        <f t="array" ref="J198">IFERROR(INDEX('Malaria-Equipment &amp; Other HPs'!$O$130:$O$230,MATCH($E198&amp;$F198,'Malaria-Equipment &amp; Other HPs'!$E$130:$E$230&amp;'Malaria-Equipment &amp; Other HPs'!$H$130:$H$230,0)),0)</f>
        <v>0</v>
      </c>
      <c r="K198" s="25">
        <f t="shared" ref="K198:K229" si="216">IF(ISERROR($I198*J198),0,$I198*J198)</f>
        <v>0</v>
      </c>
      <c r="L198" s="25">
        <f t="shared" ref="L198:L229" si="217">IF(C198="Upfront",J198,0)</f>
        <v>0</v>
      </c>
      <c r="M198" s="25">
        <f t="shared" ref="M198:M229" si="218">IF(C198="Upfront",K198,0)</f>
        <v>0</v>
      </c>
      <c r="N198" s="26">
        <f t="array" ref="N198">IFERROR(INDEX('Malaria-Equipment &amp; Other HPs'!$P$130:$P$230,MATCH($E198&amp;$F198,'Malaria-Equipment &amp; Other HPs'!$E$130:$E$230&amp;'Malaria-Equipment &amp; Other HPs'!$H$130:$H$230,0)),0)</f>
        <v>0</v>
      </c>
      <c r="O198" s="25">
        <f t="shared" ref="O198:O229" si="219">IF(ISERROR($I198*N198),0,$I198*N198)</f>
        <v>0</v>
      </c>
      <c r="P198" s="25">
        <f t="shared" ref="P198:P229" si="220">IF(C198="Upfront",N198,0)</f>
        <v>0</v>
      </c>
      <c r="Q198" s="25">
        <f t="shared" ref="Q198:Q229" si="221">IF(C198="Upfront",O198,0)</f>
        <v>0</v>
      </c>
      <c r="R198" s="26">
        <f t="array" ref="R198">IFERROR(INDEX('Malaria-Equipment &amp; Other HPs'!$Q$130:$Q$230,MATCH($E198&amp;$F198,'Malaria-Equipment &amp; Other HPs'!$E$130:$E$230&amp;'Malaria-Equipment &amp; Other HPs'!$H$130:$H$230,0)),0)</f>
        <v>0</v>
      </c>
      <c r="S198" s="25">
        <f t="shared" ref="S198:S229" si="222">IF(ISERROR($I198*R198),0,$I198*R198)</f>
        <v>0</v>
      </c>
      <c r="T198" s="25">
        <f t="shared" ref="T198:T229" si="223">IF(C198="Upfront",R198,IF(C198="At delivery",J198,0))</f>
        <v>0</v>
      </c>
      <c r="U198" s="25">
        <f t="shared" ref="U198:U229" si="224">IF(C198="Upfront",S198,IF(C198="At delivery",K198,0))</f>
        <v>0</v>
      </c>
      <c r="V198" s="26">
        <f t="array" ref="V198">IFERROR(INDEX('Malaria-Equipment &amp; Other HPs'!$R$130:$R$230,MATCH($E198&amp;$F198,'Malaria-Equipment &amp; Other HPs'!$E$130:$E$230&amp;'Malaria-Equipment &amp; Other HPs'!$H$130:$H$230,0)),0)</f>
        <v>0</v>
      </c>
      <c r="W198" s="25">
        <f t="shared" ref="W198:W229" si="225">IF(ISERROR($I198*V198),0,$I198*V198)</f>
        <v>0</v>
      </c>
      <c r="X198" s="25">
        <f t="shared" ref="X198:X229" si="226">IF(C198="Upfront",V198,IF(C198="At delivery",N198,0))</f>
        <v>0</v>
      </c>
      <c r="Y198" s="25">
        <f t="shared" ref="Y198:Y229" si="227">IF(C198="Upfront",W198,IF(C198="At delivery",O198,0))</f>
        <v>0</v>
      </c>
      <c r="Z198" s="680"/>
      <c r="AA198" s="26">
        <f t="array" ref="AA198">IFERROR(INDEX('Malaria-Equipment &amp; Other HPs'!$U$130:$U$230,MATCH($E198&amp;$F198,'Malaria-Equipment &amp; Other HPs'!$E$130:$E$230&amp;'Malaria-Equipment &amp; Other HPs'!$H$130:$H$230,0)),0)</f>
        <v>0</v>
      </c>
      <c r="AB198" s="26">
        <f t="array" ref="AB198">IFERROR(INDEX('Malaria-Equipment &amp; Other HPs'!$V$130:$V$230,MATCH($E198&amp;$F198,'Malaria-Equipment &amp; Other HPs'!$E$130:$E$230&amp;'Malaria-Equipment &amp; Other HPs'!$H$130:$H$230,0)),0)</f>
        <v>0</v>
      </c>
      <c r="AC198" s="26">
        <f t="shared" ref="AC198:AC229" si="228">IF(ISERROR($AA198*AB198),0,$AA198*AB198)</f>
        <v>0</v>
      </c>
      <c r="AD198" s="25">
        <f t="shared" ref="AD198:AD229" si="229">IF(C198="Upfront",AB198,IF(C198="At delivery",R198,0))</f>
        <v>0</v>
      </c>
      <c r="AE198" s="25">
        <f t="shared" ref="AE198:AE229" si="230">IF(C198="Upfront",AC198,IF(C198="At delivery",S198,0))</f>
        <v>0</v>
      </c>
      <c r="AF198" s="26">
        <f t="array" ref="AF198">IFERROR(INDEX('Malaria-Equipment &amp; Other HPs'!$W$130:$W$230,MATCH($E198&amp;$F198,'Malaria-Equipment &amp; Other HPs'!$E$130:$E$230&amp;'Malaria-Equipment &amp; Other HPs'!$H$130:$H$230,0)),0)</f>
        <v>0</v>
      </c>
      <c r="AG198" s="26">
        <f t="shared" ref="AG198:AG229" si="231">IF(ISERROR($AA198*AF198),0,$AA198*AF198)</f>
        <v>0</v>
      </c>
      <c r="AH198" s="25">
        <f t="shared" ref="AH198:AH229" si="232">IF(C198="Upfront",AF198,IF(C198="At delivery",V198,0))</f>
        <v>0</v>
      </c>
      <c r="AI198" s="25">
        <f t="shared" ref="AI198:AI229" si="233">IF(C198="Upfront",AG198,IF(C198="At delivery",W198,0))</f>
        <v>0</v>
      </c>
      <c r="AJ198" s="26">
        <f t="array" ref="AJ198">IFERROR(INDEX('Malaria-Equipment &amp; Other HPs'!$X$130:$X$230,MATCH($E198&amp;$F198,'Malaria-Equipment &amp; Other HPs'!$E$130:$E$230&amp;'Malaria-Equipment &amp; Other HPs'!$H$130:$H$230,0)),0)</f>
        <v>0</v>
      </c>
      <c r="AK198" s="26">
        <f t="shared" ref="AK198:AK229" si="234">IF(ISERROR($AA198*AJ198),0,$AA198*AJ198)</f>
        <v>0</v>
      </c>
      <c r="AL198" s="25">
        <f t="shared" ref="AL198:AL229" si="235">IF(C198="Upfront",AJ198,IF(C198="At delivery",AB198,0))</f>
        <v>0</v>
      </c>
      <c r="AM198" s="25">
        <f t="shared" ref="AM198:AM229" si="236">IF(C198="Upfront",AK198,IF(C198="At delivery",AC198,0))</f>
        <v>0</v>
      </c>
      <c r="AN198" s="26">
        <f t="array" ref="AN198">IFERROR(INDEX('Malaria-Equipment &amp; Other HPs'!$Y$130:$Y$230,MATCH($E198&amp;$F198,'Malaria-Equipment &amp; Other HPs'!$E$130:$E$230&amp;'Malaria-Equipment &amp; Other HPs'!$H$130:$H$230,0)),0)</f>
        <v>0</v>
      </c>
      <c r="AO198" s="26">
        <f t="shared" ref="AO198:AO229" si="237">IF(ISERROR($AA198*AN198),0,$AA198*AN198)</f>
        <v>0</v>
      </c>
      <c r="AP198" s="25">
        <f t="shared" ref="AP198:AP229" si="238">IF(C198="Upfront",AN198,IF(C198="At delivery",AF198,0))</f>
        <v>0</v>
      </c>
      <c r="AQ198" s="25">
        <f t="shared" ref="AQ198:AQ229" si="239">IF(C198="Upfront",AO198,IF(C198="At delivery",AG198,0))</f>
        <v>0</v>
      </c>
      <c r="AR198" s="680"/>
      <c r="AS198" s="26">
        <f t="array" ref="AS198">IFERROR(INDEX('Malaria-Equipment &amp; Other HPs'!$AB$130:$AB$230,MATCH($E198&amp;$F198,'Malaria-Equipment &amp; Other HPs'!$E$130:$E$230&amp;'Malaria-Equipment &amp; Other HPs'!$H$130:$H$230,0)),0)</f>
        <v>0</v>
      </c>
      <c r="AT198" s="26">
        <f t="array" ref="AT198">IFERROR(INDEX('Malaria-Equipment &amp; Other HPs'!$AC$130:$AC$230,MATCH($E198&amp;$F198,'Malaria-Equipment &amp; Other HPs'!$E$130:$E$230&amp;'Malaria-Equipment &amp; Other HPs'!$H$130:$H$230,0)),0)</f>
        <v>0</v>
      </c>
      <c r="AU198" s="26">
        <f t="shared" ref="AU198:AU229" si="240">IF(ISERROR($AS198*AT198),0,$AS198*AT198)</f>
        <v>0</v>
      </c>
      <c r="AV198" s="25">
        <f t="shared" ref="AV198:AV229" si="241">IF(C198="Upfront",AT198,IF(C198="At delivery",AJ198,0))</f>
        <v>0</v>
      </c>
      <c r="AW198" s="25">
        <f t="shared" ref="AW198:AW229" si="242">IF(C198="Upfront",AU198,IF(C198="At delivery",AK198,0))</f>
        <v>0</v>
      </c>
      <c r="AX198" s="26">
        <f t="array" ref="AX198">IFERROR(INDEX('Malaria-Equipment &amp; Other HPs'!$AD$130:$AD$230,MATCH($E198&amp;$F198,'Malaria-Equipment &amp; Other HPs'!$E$130:$E$230&amp;'Malaria-Equipment &amp; Other HPs'!$H$130:$H$230,0)),0)</f>
        <v>0</v>
      </c>
      <c r="AY198" s="26">
        <f t="shared" ref="AY198:AY229" si="243">IF(ISERROR($AS198*AX198),0,$AS198*AX198)</f>
        <v>0</v>
      </c>
      <c r="AZ198" s="25">
        <f t="shared" ref="AZ198:AZ229" si="244">IF(C198="Upfront",AX198,IF(C198="At delivery",AN198,0))</f>
        <v>0</v>
      </c>
      <c r="BA198" s="25">
        <f t="shared" ref="BA198:BA229" si="245">IF(C198="Upfront",AY198,IF(C198="At delivery",AO198,0))</f>
        <v>0</v>
      </c>
      <c r="BB198" s="26">
        <f t="array" ref="BB198">IFERROR(INDEX('Malaria-Equipment &amp; Other HPs'!$AE$130:$AE$230,MATCH($E198&amp;$F198,'Malaria-Equipment &amp; Other HPs'!$E$130:$E$230&amp;'Malaria-Equipment &amp; Other HPs'!$H$130:$H$230,0)),0)</f>
        <v>0</v>
      </c>
      <c r="BC198" s="26">
        <f t="shared" ref="BC198:BC229" si="246">IF(ISERROR($AS198*BB198),0,$AS198*BB198)</f>
        <v>0</v>
      </c>
      <c r="BD198" s="25">
        <f t="shared" ref="BD198:BD229" si="247">IF(C198="Upfront",BB198,IF(C198="At delivery",AT198,0))</f>
        <v>0</v>
      </c>
      <c r="BE198" s="25">
        <f t="shared" ref="BE198:BE229" si="248">IF(C198="Upfront",BC198,IF(C198="At delivery",AU198,0))</f>
        <v>0</v>
      </c>
      <c r="BF198" s="26">
        <f t="array" ref="BF198">IFERROR(INDEX('Malaria-Equipment &amp; Other HPs'!$AF$130:$AF$230,MATCH($E198&amp;$F198,'Malaria-Equipment &amp; Other HPs'!$E$130:$E$230&amp;'Malaria-Equipment &amp; Other HPs'!$H$130:$H$230,0)),0)</f>
        <v>0</v>
      </c>
      <c r="BG198" s="26">
        <f t="shared" ref="BG198:BG229" si="249">IF(ISERROR($AS198*BF198),0,$AS198*BF198)</f>
        <v>0</v>
      </c>
      <c r="BH198" s="25">
        <f t="shared" ref="BH198:BH229" si="250">IF(C198="Upfront",BF198,IF(C198="At delivery",AX198,0))</f>
        <v>0</v>
      </c>
      <c r="BI198" s="25">
        <f t="shared" ref="BI198:BI229" si="251">IF(C198="Upfront",BG198,IF(C198="At delivery",AY198,0))</f>
        <v>0</v>
      </c>
      <c r="BJ198" s="680"/>
      <c r="BK198" s="26"/>
      <c r="BL198" s="26"/>
      <c r="BM198" s="26"/>
      <c r="BN198" s="26"/>
      <c r="BO198" s="26"/>
      <c r="BP198" s="26"/>
      <c r="BQ198" s="26"/>
      <c r="BR198" s="26"/>
      <c r="BT198" s="21" t="s">
        <v>6839</v>
      </c>
    </row>
    <row r="199" spans="1:72">
      <c r="A199" s="29" t="s">
        <v>63</v>
      </c>
      <c r="B199" s="29" t="s">
        <v>1550</v>
      </c>
      <c r="C199" s="626">
        <f>SETUP!$F$58</f>
        <v>0</v>
      </c>
      <c r="D199" s="25">
        <v>6.5</v>
      </c>
      <c r="E199" s="26" t="s">
        <v>202</v>
      </c>
      <c r="F199" s="26" t="s">
        <v>218</v>
      </c>
      <c r="G199" s="26" t="str">
        <f t="array" ref="G199">IFERROR(INDEX('Malaria-Equipment &amp; Other HPs'!$L$130:$L$230,MATCH($E199&amp;$F199,'Malaria-Equipment &amp; Other HPs'!$E$130:$E$230&amp;'Malaria-Equipment &amp; Other HPs'!$H$130:$H$230,0)),"")</f>
        <v/>
      </c>
      <c r="H199" s="26" t="str">
        <f t="array" ref="H199">IFERROR(INDEX('Malaria-Equipment &amp; Other HPs'!$M$130:$M$230,MATCH($E199&amp;$F199,'Malaria-Equipment &amp; Other HPs'!$E$130:$E$230&amp;'Malaria-Equipment &amp; Other HPs'!$H$130:$H$230,0)),"")</f>
        <v/>
      </c>
      <c r="I199" s="26">
        <f t="array" ref="I199">IFERROR(INDEX('Malaria-Equipment &amp; Other HPs'!$N$130:$N$230,MATCH($E199&amp;$F199,'Malaria-Equipment &amp; Other HPs'!$E$130:$E$230&amp;'Malaria-Equipment &amp; Other HPs'!$H$130:$H$230,0)),0)</f>
        <v>0</v>
      </c>
      <c r="J199" s="26">
        <f t="array" ref="J199">IFERROR(INDEX('Malaria-Equipment &amp; Other HPs'!$O$130:$O$230,MATCH($E199&amp;$F199,'Malaria-Equipment &amp; Other HPs'!$E$130:$E$230&amp;'Malaria-Equipment &amp; Other HPs'!$H$130:$H$230,0)),0)</f>
        <v>0</v>
      </c>
      <c r="K199" s="25">
        <f t="shared" si="216"/>
        <v>0</v>
      </c>
      <c r="L199" s="25">
        <f t="shared" si="217"/>
        <v>0</v>
      </c>
      <c r="M199" s="25">
        <f t="shared" si="218"/>
        <v>0</v>
      </c>
      <c r="N199" s="26">
        <f t="array" ref="N199">IFERROR(INDEX('Malaria-Equipment &amp; Other HPs'!$P$130:$P$230,MATCH($E199&amp;$F199,'Malaria-Equipment &amp; Other HPs'!$E$130:$E$230&amp;'Malaria-Equipment &amp; Other HPs'!$H$130:$H$230,0)),0)</f>
        <v>0</v>
      </c>
      <c r="O199" s="25">
        <f t="shared" si="219"/>
        <v>0</v>
      </c>
      <c r="P199" s="25">
        <f t="shared" si="220"/>
        <v>0</v>
      </c>
      <c r="Q199" s="25">
        <f t="shared" si="221"/>
        <v>0</v>
      </c>
      <c r="R199" s="26">
        <f t="array" ref="R199">IFERROR(INDEX('Malaria-Equipment &amp; Other HPs'!$Q$130:$Q$230,MATCH($E199&amp;$F199,'Malaria-Equipment &amp; Other HPs'!$E$130:$E$230&amp;'Malaria-Equipment &amp; Other HPs'!$H$130:$H$230,0)),0)</f>
        <v>0</v>
      </c>
      <c r="S199" s="25">
        <f t="shared" si="222"/>
        <v>0</v>
      </c>
      <c r="T199" s="25">
        <f t="shared" si="223"/>
        <v>0</v>
      </c>
      <c r="U199" s="25">
        <f t="shared" si="224"/>
        <v>0</v>
      </c>
      <c r="V199" s="26">
        <f t="array" ref="V199">IFERROR(INDEX('Malaria-Equipment &amp; Other HPs'!$R$130:$R$230,MATCH($E199&amp;$F199,'Malaria-Equipment &amp; Other HPs'!$E$130:$E$230&amp;'Malaria-Equipment &amp; Other HPs'!$H$130:$H$230,0)),0)</f>
        <v>0</v>
      </c>
      <c r="W199" s="25">
        <f t="shared" si="225"/>
        <v>0</v>
      </c>
      <c r="X199" s="25">
        <f t="shared" si="226"/>
        <v>0</v>
      </c>
      <c r="Y199" s="25">
        <f t="shared" si="227"/>
        <v>0</v>
      </c>
      <c r="Z199" s="680"/>
      <c r="AA199" s="26">
        <f t="array" ref="AA199">IFERROR(INDEX('Malaria-Equipment &amp; Other HPs'!$U$130:$U$230,MATCH($E199&amp;$F199,'Malaria-Equipment &amp; Other HPs'!$E$130:$E$230&amp;'Malaria-Equipment &amp; Other HPs'!$H$130:$H$230,0)),0)</f>
        <v>0</v>
      </c>
      <c r="AB199" s="26">
        <f t="array" ref="AB199">IFERROR(INDEX('Malaria-Equipment &amp; Other HPs'!$V$130:$V$230,MATCH($E199&amp;$F199,'Malaria-Equipment &amp; Other HPs'!$E$130:$E$230&amp;'Malaria-Equipment &amp; Other HPs'!$H$130:$H$230,0)),0)</f>
        <v>0</v>
      </c>
      <c r="AC199" s="26">
        <f t="shared" si="228"/>
        <v>0</v>
      </c>
      <c r="AD199" s="25">
        <f t="shared" si="229"/>
        <v>0</v>
      </c>
      <c r="AE199" s="25">
        <f t="shared" si="230"/>
        <v>0</v>
      </c>
      <c r="AF199" s="26">
        <f t="array" ref="AF199">IFERROR(INDEX('Malaria-Equipment &amp; Other HPs'!$W$130:$W$230,MATCH($E199&amp;$F199,'Malaria-Equipment &amp; Other HPs'!$E$130:$E$230&amp;'Malaria-Equipment &amp; Other HPs'!$H$130:$H$230,0)),0)</f>
        <v>0</v>
      </c>
      <c r="AG199" s="26">
        <f t="shared" si="231"/>
        <v>0</v>
      </c>
      <c r="AH199" s="25">
        <f t="shared" si="232"/>
        <v>0</v>
      </c>
      <c r="AI199" s="25">
        <f t="shared" si="233"/>
        <v>0</v>
      </c>
      <c r="AJ199" s="26">
        <f t="array" ref="AJ199">IFERROR(INDEX('Malaria-Equipment &amp; Other HPs'!$X$130:$X$230,MATCH($E199&amp;$F199,'Malaria-Equipment &amp; Other HPs'!$E$130:$E$230&amp;'Malaria-Equipment &amp; Other HPs'!$H$130:$H$230,0)),0)</f>
        <v>0</v>
      </c>
      <c r="AK199" s="26">
        <f t="shared" si="234"/>
        <v>0</v>
      </c>
      <c r="AL199" s="25">
        <f t="shared" si="235"/>
        <v>0</v>
      </c>
      <c r="AM199" s="25">
        <f t="shared" si="236"/>
        <v>0</v>
      </c>
      <c r="AN199" s="26">
        <f t="array" ref="AN199">IFERROR(INDEX('Malaria-Equipment &amp; Other HPs'!$Y$130:$Y$230,MATCH($E199&amp;$F199,'Malaria-Equipment &amp; Other HPs'!$E$130:$E$230&amp;'Malaria-Equipment &amp; Other HPs'!$H$130:$H$230,0)),0)</f>
        <v>0</v>
      </c>
      <c r="AO199" s="26">
        <f t="shared" si="237"/>
        <v>0</v>
      </c>
      <c r="AP199" s="25">
        <f t="shared" si="238"/>
        <v>0</v>
      </c>
      <c r="AQ199" s="25">
        <f t="shared" si="239"/>
        <v>0</v>
      </c>
      <c r="AR199" s="680"/>
      <c r="AS199" s="26">
        <f t="array" ref="AS199">IFERROR(INDEX('Malaria-Equipment &amp; Other HPs'!$AB$130:$AB$230,MATCH($E199&amp;$F199,'Malaria-Equipment &amp; Other HPs'!$E$130:$E$230&amp;'Malaria-Equipment &amp; Other HPs'!$H$130:$H$230,0)),0)</f>
        <v>0</v>
      </c>
      <c r="AT199" s="26">
        <f t="array" ref="AT199">IFERROR(INDEX('Malaria-Equipment &amp; Other HPs'!$AC$130:$AC$230,MATCH($E199&amp;$F199,'Malaria-Equipment &amp; Other HPs'!$E$130:$E$230&amp;'Malaria-Equipment &amp; Other HPs'!$H$130:$H$230,0)),0)</f>
        <v>0</v>
      </c>
      <c r="AU199" s="26">
        <f t="shared" si="240"/>
        <v>0</v>
      </c>
      <c r="AV199" s="25">
        <f t="shared" si="241"/>
        <v>0</v>
      </c>
      <c r="AW199" s="25">
        <f t="shared" si="242"/>
        <v>0</v>
      </c>
      <c r="AX199" s="26">
        <f t="array" ref="AX199">IFERROR(INDEX('Malaria-Equipment &amp; Other HPs'!$AD$130:$AD$230,MATCH($E199&amp;$F199,'Malaria-Equipment &amp; Other HPs'!$E$130:$E$230&amp;'Malaria-Equipment &amp; Other HPs'!$H$130:$H$230,0)),0)</f>
        <v>0</v>
      </c>
      <c r="AY199" s="26">
        <f t="shared" si="243"/>
        <v>0</v>
      </c>
      <c r="AZ199" s="25">
        <f t="shared" si="244"/>
        <v>0</v>
      </c>
      <c r="BA199" s="25">
        <f t="shared" si="245"/>
        <v>0</v>
      </c>
      <c r="BB199" s="26">
        <f t="array" ref="BB199">IFERROR(INDEX('Malaria-Equipment &amp; Other HPs'!$AE$130:$AE$230,MATCH($E199&amp;$F199,'Malaria-Equipment &amp; Other HPs'!$E$130:$E$230&amp;'Malaria-Equipment &amp; Other HPs'!$H$130:$H$230,0)),0)</f>
        <v>0</v>
      </c>
      <c r="BC199" s="26">
        <f t="shared" si="246"/>
        <v>0</v>
      </c>
      <c r="BD199" s="25">
        <f t="shared" si="247"/>
        <v>0</v>
      </c>
      <c r="BE199" s="25">
        <f t="shared" si="248"/>
        <v>0</v>
      </c>
      <c r="BF199" s="26">
        <f t="array" ref="BF199">IFERROR(INDEX('Malaria-Equipment &amp; Other HPs'!$AF$130:$AF$230,MATCH($E199&amp;$F199,'Malaria-Equipment &amp; Other HPs'!$E$130:$E$230&amp;'Malaria-Equipment &amp; Other HPs'!$H$130:$H$230,0)),0)</f>
        <v>0</v>
      </c>
      <c r="BG199" s="26">
        <f t="shared" si="249"/>
        <v>0</v>
      </c>
      <c r="BH199" s="25">
        <f t="shared" si="250"/>
        <v>0</v>
      </c>
      <c r="BI199" s="25">
        <f t="shared" si="251"/>
        <v>0</v>
      </c>
      <c r="BJ199" s="680"/>
      <c r="BK199" s="26"/>
      <c r="BL199" s="26"/>
      <c r="BM199" s="26"/>
      <c r="BN199" s="26"/>
      <c r="BO199" s="26"/>
      <c r="BP199" s="26"/>
      <c r="BQ199" s="26"/>
      <c r="BR199" s="26"/>
      <c r="BT199" s="21" t="s">
        <v>6839</v>
      </c>
    </row>
    <row r="200" spans="1:72">
      <c r="A200" s="29" t="s">
        <v>538</v>
      </c>
      <c r="B200" s="29" t="s">
        <v>1550</v>
      </c>
      <c r="C200" s="626">
        <f>SETUP!$F$58</f>
        <v>0</v>
      </c>
      <c r="D200" s="25">
        <v>6.6</v>
      </c>
      <c r="E200" s="26" t="s">
        <v>202</v>
      </c>
      <c r="F200" s="26" t="s">
        <v>201</v>
      </c>
      <c r="G200" s="26" t="str">
        <f t="array" ref="G200">IFERROR(INDEX('Malaria-Equipment &amp; Other HPs'!$L$130:$L$230,MATCH($E200&amp;$F200,'Malaria-Equipment &amp; Other HPs'!$E$130:$E$230&amp;'Malaria-Equipment &amp; Other HPs'!$H$130:$H$230,0)),"")</f>
        <v/>
      </c>
      <c r="H200" s="26" t="str">
        <f t="array" ref="H200">IFERROR(INDEX('Malaria-Equipment &amp; Other HPs'!$M$130:$M$230,MATCH($E200&amp;$F200,'Malaria-Equipment &amp; Other HPs'!$E$130:$E$230&amp;'Malaria-Equipment &amp; Other HPs'!$H$130:$H$230,0)),"")</f>
        <v/>
      </c>
      <c r="I200" s="26">
        <f t="array" ref="I200">IFERROR(INDEX('Malaria-Equipment &amp; Other HPs'!$N$130:$N$230,MATCH($E200&amp;$F200,'Malaria-Equipment &amp; Other HPs'!$E$130:$E$230&amp;'Malaria-Equipment &amp; Other HPs'!$H$130:$H$230,0)),0)</f>
        <v>0</v>
      </c>
      <c r="J200" s="26">
        <f t="array" ref="J200">IFERROR(INDEX('Malaria-Equipment &amp; Other HPs'!$O$130:$O$230,MATCH($E200&amp;$F200,'Malaria-Equipment &amp; Other HPs'!$E$130:$E$230&amp;'Malaria-Equipment &amp; Other HPs'!$H$130:$H$230,0)),0)</f>
        <v>0</v>
      </c>
      <c r="K200" s="25">
        <f t="shared" si="216"/>
        <v>0</v>
      </c>
      <c r="L200" s="25">
        <f t="shared" si="217"/>
        <v>0</v>
      </c>
      <c r="M200" s="25">
        <f t="shared" si="218"/>
        <v>0</v>
      </c>
      <c r="N200" s="26">
        <f t="array" ref="N200">IFERROR(INDEX('Malaria-Equipment &amp; Other HPs'!$P$130:$P$230,MATCH($E200&amp;$F200,'Malaria-Equipment &amp; Other HPs'!$E$130:$E$230&amp;'Malaria-Equipment &amp; Other HPs'!$H$130:$H$230,0)),0)</f>
        <v>0</v>
      </c>
      <c r="O200" s="25">
        <f t="shared" si="219"/>
        <v>0</v>
      </c>
      <c r="P200" s="25">
        <f t="shared" si="220"/>
        <v>0</v>
      </c>
      <c r="Q200" s="25">
        <f t="shared" si="221"/>
        <v>0</v>
      </c>
      <c r="R200" s="26">
        <f t="array" ref="R200">IFERROR(INDEX('Malaria-Equipment &amp; Other HPs'!$Q$130:$Q$230,MATCH($E200&amp;$F200,'Malaria-Equipment &amp; Other HPs'!$E$130:$E$230&amp;'Malaria-Equipment &amp; Other HPs'!$H$130:$H$230,0)),0)</f>
        <v>0</v>
      </c>
      <c r="S200" s="25">
        <f t="shared" si="222"/>
        <v>0</v>
      </c>
      <c r="T200" s="25">
        <f t="shared" si="223"/>
        <v>0</v>
      </c>
      <c r="U200" s="25">
        <f t="shared" si="224"/>
        <v>0</v>
      </c>
      <c r="V200" s="26">
        <f t="array" ref="V200">IFERROR(INDEX('Malaria-Equipment &amp; Other HPs'!$R$130:$R$230,MATCH($E200&amp;$F200,'Malaria-Equipment &amp; Other HPs'!$E$130:$E$230&amp;'Malaria-Equipment &amp; Other HPs'!$H$130:$H$230,0)),0)</f>
        <v>0</v>
      </c>
      <c r="W200" s="25">
        <f t="shared" si="225"/>
        <v>0</v>
      </c>
      <c r="X200" s="25">
        <f t="shared" si="226"/>
        <v>0</v>
      </c>
      <c r="Y200" s="25">
        <f t="shared" si="227"/>
        <v>0</v>
      </c>
      <c r="Z200" s="680"/>
      <c r="AA200" s="26">
        <f t="array" ref="AA200">IFERROR(INDEX('Malaria-Equipment &amp; Other HPs'!$U$130:$U$230,MATCH($E200&amp;$F200,'Malaria-Equipment &amp; Other HPs'!$E$130:$E$230&amp;'Malaria-Equipment &amp; Other HPs'!$H$130:$H$230,0)),0)</f>
        <v>0</v>
      </c>
      <c r="AB200" s="26">
        <f t="array" ref="AB200">IFERROR(INDEX('Malaria-Equipment &amp; Other HPs'!$V$130:$V$230,MATCH($E200&amp;$F200,'Malaria-Equipment &amp; Other HPs'!$E$130:$E$230&amp;'Malaria-Equipment &amp; Other HPs'!$H$130:$H$230,0)),0)</f>
        <v>0</v>
      </c>
      <c r="AC200" s="26">
        <f t="shared" si="228"/>
        <v>0</v>
      </c>
      <c r="AD200" s="25">
        <f t="shared" si="229"/>
        <v>0</v>
      </c>
      <c r="AE200" s="25">
        <f t="shared" si="230"/>
        <v>0</v>
      </c>
      <c r="AF200" s="26">
        <f t="array" ref="AF200">IFERROR(INDEX('Malaria-Equipment &amp; Other HPs'!$W$130:$W$230,MATCH($E200&amp;$F200,'Malaria-Equipment &amp; Other HPs'!$E$130:$E$230&amp;'Malaria-Equipment &amp; Other HPs'!$H$130:$H$230,0)),0)</f>
        <v>0</v>
      </c>
      <c r="AG200" s="26">
        <f t="shared" si="231"/>
        <v>0</v>
      </c>
      <c r="AH200" s="25">
        <f t="shared" si="232"/>
        <v>0</v>
      </c>
      <c r="AI200" s="25">
        <f t="shared" si="233"/>
        <v>0</v>
      </c>
      <c r="AJ200" s="26">
        <f t="array" ref="AJ200">IFERROR(INDEX('Malaria-Equipment &amp; Other HPs'!$X$130:$X$230,MATCH($E200&amp;$F200,'Malaria-Equipment &amp; Other HPs'!$E$130:$E$230&amp;'Malaria-Equipment &amp; Other HPs'!$H$130:$H$230,0)),0)</f>
        <v>0</v>
      </c>
      <c r="AK200" s="26">
        <f t="shared" si="234"/>
        <v>0</v>
      </c>
      <c r="AL200" s="25">
        <f t="shared" si="235"/>
        <v>0</v>
      </c>
      <c r="AM200" s="25">
        <f t="shared" si="236"/>
        <v>0</v>
      </c>
      <c r="AN200" s="26">
        <f t="array" ref="AN200">IFERROR(INDEX('Malaria-Equipment &amp; Other HPs'!$Y$130:$Y$230,MATCH($E200&amp;$F200,'Malaria-Equipment &amp; Other HPs'!$E$130:$E$230&amp;'Malaria-Equipment &amp; Other HPs'!$H$130:$H$230,0)),0)</f>
        <v>0</v>
      </c>
      <c r="AO200" s="26">
        <f t="shared" si="237"/>
        <v>0</v>
      </c>
      <c r="AP200" s="25">
        <f t="shared" si="238"/>
        <v>0</v>
      </c>
      <c r="AQ200" s="25">
        <f t="shared" si="239"/>
        <v>0</v>
      </c>
      <c r="AR200" s="680"/>
      <c r="AS200" s="26">
        <f t="array" ref="AS200">IFERROR(INDEX('Malaria-Equipment &amp; Other HPs'!$AB$130:$AB$230,MATCH($E200&amp;$F200,'Malaria-Equipment &amp; Other HPs'!$E$130:$E$230&amp;'Malaria-Equipment &amp; Other HPs'!$H$130:$H$230,0)),0)</f>
        <v>0</v>
      </c>
      <c r="AT200" s="26">
        <f t="array" ref="AT200">IFERROR(INDEX('Malaria-Equipment &amp; Other HPs'!$AC$130:$AC$230,MATCH($E200&amp;$F200,'Malaria-Equipment &amp; Other HPs'!$E$130:$E$230&amp;'Malaria-Equipment &amp; Other HPs'!$H$130:$H$230,0)),0)</f>
        <v>0</v>
      </c>
      <c r="AU200" s="26">
        <f t="shared" si="240"/>
        <v>0</v>
      </c>
      <c r="AV200" s="25">
        <f t="shared" si="241"/>
        <v>0</v>
      </c>
      <c r="AW200" s="25">
        <f t="shared" si="242"/>
        <v>0</v>
      </c>
      <c r="AX200" s="26">
        <f t="array" ref="AX200">IFERROR(INDEX('Malaria-Equipment &amp; Other HPs'!$AD$130:$AD$230,MATCH($E200&amp;$F200,'Malaria-Equipment &amp; Other HPs'!$E$130:$E$230&amp;'Malaria-Equipment &amp; Other HPs'!$H$130:$H$230,0)),0)</f>
        <v>0</v>
      </c>
      <c r="AY200" s="26">
        <f t="shared" si="243"/>
        <v>0</v>
      </c>
      <c r="AZ200" s="25">
        <f t="shared" si="244"/>
        <v>0</v>
      </c>
      <c r="BA200" s="25">
        <f t="shared" si="245"/>
        <v>0</v>
      </c>
      <c r="BB200" s="26">
        <f t="array" ref="BB200">IFERROR(INDEX('Malaria-Equipment &amp; Other HPs'!$AE$130:$AE$230,MATCH($E200&amp;$F200,'Malaria-Equipment &amp; Other HPs'!$E$130:$E$230&amp;'Malaria-Equipment &amp; Other HPs'!$H$130:$H$230,0)),0)</f>
        <v>0</v>
      </c>
      <c r="BC200" s="26">
        <f t="shared" si="246"/>
        <v>0</v>
      </c>
      <c r="BD200" s="25">
        <f t="shared" si="247"/>
        <v>0</v>
      </c>
      <c r="BE200" s="25">
        <f t="shared" si="248"/>
        <v>0</v>
      </c>
      <c r="BF200" s="26">
        <f t="array" ref="BF200">IFERROR(INDEX('Malaria-Equipment &amp; Other HPs'!$AF$130:$AF$230,MATCH($E200&amp;$F200,'Malaria-Equipment &amp; Other HPs'!$E$130:$E$230&amp;'Malaria-Equipment &amp; Other HPs'!$H$130:$H$230,0)),0)</f>
        <v>0</v>
      </c>
      <c r="BG200" s="26">
        <f t="shared" si="249"/>
        <v>0</v>
      </c>
      <c r="BH200" s="25">
        <f t="shared" si="250"/>
        <v>0</v>
      </c>
      <c r="BI200" s="25">
        <f t="shared" si="251"/>
        <v>0</v>
      </c>
      <c r="BJ200" s="680"/>
      <c r="BK200" s="26"/>
      <c r="BL200" s="26"/>
      <c r="BM200" s="26"/>
      <c r="BN200" s="26"/>
      <c r="BO200" s="26"/>
      <c r="BP200" s="26"/>
      <c r="BQ200" s="26"/>
      <c r="BR200" s="26"/>
      <c r="BT200" s="21" t="s">
        <v>6839</v>
      </c>
    </row>
    <row r="201" spans="1:72">
      <c r="A201" s="29" t="s">
        <v>538</v>
      </c>
      <c r="B201" s="29" t="s">
        <v>1550</v>
      </c>
      <c r="C201" s="626">
        <f>SETUP!$F$58</f>
        <v>0</v>
      </c>
      <c r="D201" s="25">
        <v>6.6</v>
      </c>
      <c r="E201" s="26" t="s">
        <v>202</v>
      </c>
      <c r="F201" s="26" t="s">
        <v>200</v>
      </c>
      <c r="G201" s="26" t="str">
        <f t="array" ref="G201">IFERROR(INDEX('Malaria-Equipment &amp; Other HPs'!$L$130:$L$230,MATCH($E201&amp;$F201,'Malaria-Equipment &amp; Other HPs'!$E$130:$E$230&amp;'Malaria-Equipment &amp; Other HPs'!$H$130:$H$230,0)),"")</f>
        <v/>
      </c>
      <c r="H201" s="26" t="str">
        <f t="array" ref="H201">IFERROR(INDEX('Malaria-Equipment &amp; Other HPs'!$M$130:$M$230,MATCH($E201&amp;$F201,'Malaria-Equipment &amp; Other HPs'!$E$130:$E$230&amp;'Malaria-Equipment &amp; Other HPs'!$H$130:$H$230,0)),"")</f>
        <v/>
      </c>
      <c r="I201" s="26">
        <f t="array" ref="I201">IFERROR(INDEX('Malaria-Equipment &amp; Other HPs'!$N$130:$N$230,MATCH($E201&amp;$F201,'Malaria-Equipment &amp; Other HPs'!$E$130:$E$230&amp;'Malaria-Equipment &amp; Other HPs'!$H$130:$H$230,0)),0)</f>
        <v>0</v>
      </c>
      <c r="J201" s="26">
        <f t="array" ref="J201">IFERROR(INDEX('Malaria-Equipment &amp; Other HPs'!$O$130:$O$230,MATCH($E201&amp;$F201,'Malaria-Equipment &amp; Other HPs'!$E$130:$E$230&amp;'Malaria-Equipment &amp; Other HPs'!$H$130:$H$230,0)),0)</f>
        <v>0</v>
      </c>
      <c r="K201" s="25">
        <f t="shared" si="216"/>
        <v>0</v>
      </c>
      <c r="L201" s="25">
        <f t="shared" si="217"/>
        <v>0</v>
      </c>
      <c r="M201" s="25">
        <f t="shared" si="218"/>
        <v>0</v>
      </c>
      <c r="N201" s="26">
        <f t="array" ref="N201">IFERROR(INDEX('Malaria-Equipment &amp; Other HPs'!$P$130:$P$230,MATCH($E201&amp;$F201,'Malaria-Equipment &amp; Other HPs'!$E$130:$E$230&amp;'Malaria-Equipment &amp; Other HPs'!$H$130:$H$230,0)),0)</f>
        <v>0</v>
      </c>
      <c r="O201" s="25">
        <f t="shared" si="219"/>
        <v>0</v>
      </c>
      <c r="P201" s="25">
        <f t="shared" si="220"/>
        <v>0</v>
      </c>
      <c r="Q201" s="25">
        <f t="shared" si="221"/>
        <v>0</v>
      </c>
      <c r="R201" s="26">
        <f t="array" ref="R201">IFERROR(INDEX('Malaria-Equipment &amp; Other HPs'!$Q$130:$Q$230,MATCH($E201&amp;$F201,'Malaria-Equipment &amp; Other HPs'!$E$130:$E$230&amp;'Malaria-Equipment &amp; Other HPs'!$H$130:$H$230,0)),0)</f>
        <v>0</v>
      </c>
      <c r="S201" s="25">
        <f t="shared" si="222"/>
        <v>0</v>
      </c>
      <c r="T201" s="25">
        <f t="shared" si="223"/>
        <v>0</v>
      </c>
      <c r="U201" s="25">
        <f t="shared" si="224"/>
        <v>0</v>
      </c>
      <c r="V201" s="26">
        <f t="array" ref="V201">IFERROR(INDEX('Malaria-Equipment &amp; Other HPs'!$R$130:$R$230,MATCH($E201&amp;$F201,'Malaria-Equipment &amp; Other HPs'!$E$130:$E$230&amp;'Malaria-Equipment &amp; Other HPs'!$H$130:$H$230,0)),0)</f>
        <v>0</v>
      </c>
      <c r="W201" s="25">
        <f t="shared" si="225"/>
        <v>0</v>
      </c>
      <c r="X201" s="25">
        <f t="shared" si="226"/>
        <v>0</v>
      </c>
      <c r="Y201" s="25">
        <f t="shared" si="227"/>
        <v>0</v>
      </c>
      <c r="Z201" s="680"/>
      <c r="AA201" s="26">
        <f t="array" ref="AA201">IFERROR(INDEX('Malaria-Equipment &amp; Other HPs'!$U$130:$U$230,MATCH($E201&amp;$F201,'Malaria-Equipment &amp; Other HPs'!$E$130:$E$230&amp;'Malaria-Equipment &amp; Other HPs'!$H$130:$H$230,0)),0)</f>
        <v>0</v>
      </c>
      <c r="AB201" s="26">
        <f t="array" ref="AB201">IFERROR(INDEX('Malaria-Equipment &amp; Other HPs'!$V$130:$V$230,MATCH($E201&amp;$F201,'Malaria-Equipment &amp; Other HPs'!$E$130:$E$230&amp;'Malaria-Equipment &amp; Other HPs'!$H$130:$H$230,0)),0)</f>
        <v>0</v>
      </c>
      <c r="AC201" s="26">
        <f t="shared" si="228"/>
        <v>0</v>
      </c>
      <c r="AD201" s="25">
        <f t="shared" si="229"/>
        <v>0</v>
      </c>
      <c r="AE201" s="25">
        <f t="shared" si="230"/>
        <v>0</v>
      </c>
      <c r="AF201" s="26">
        <f t="array" ref="AF201">IFERROR(INDEX('Malaria-Equipment &amp; Other HPs'!$W$130:$W$230,MATCH($E201&amp;$F201,'Malaria-Equipment &amp; Other HPs'!$E$130:$E$230&amp;'Malaria-Equipment &amp; Other HPs'!$H$130:$H$230,0)),0)</f>
        <v>0</v>
      </c>
      <c r="AG201" s="26">
        <f t="shared" si="231"/>
        <v>0</v>
      </c>
      <c r="AH201" s="25">
        <f t="shared" si="232"/>
        <v>0</v>
      </c>
      <c r="AI201" s="25">
        <f t="shared" si="233"/>
        <v>0</v>
      </c>
      <c r="AJ201" s="26">
        <f t="array" ref="AJ201">IFERROR(INDEX('Malaria-Equipment &amp; Other HPs'!$X$130:$X$230,MATCH($E201&amp;$F201,'Malaria-Equipment &amp; Other HPs'!$E$130:$E$230&amp;'Malaria-Equipment &amp; Other HPs'!$H$130:$H$230,0)),0)</f>
        <v>0</v>
      </c>
      <c r="AK201" s="26">
        <f t="shared" si="234"/>
        <v>0</v>
      </c>
      <c r="AL201" s="25">
        <f t="shared" si="235"/>
        <v>0</v>
      </c>
      <c r="AM201" s="25">
        <f t="shared" si="236"/>
        <v>0</v>
      </c>
      <c r="AN201" s="26">
        <f t="array" ref="AN201">IFERROR(INDEX('Malaria-Equipment &amp; Other HPs'!$Y$130:$Y$230,MATCH($E201&amp;$F201,'Malaria-Equipment &amp; Other HPs'!$E$130:$E$230&amp;'Malaria-Equipment &amp; Other HPs'!$H$130:$H$230,0)),0)</f>
        <v>0</v>
      </c>
      <c r="AO201" s="26">
        <f t="shared" si="237"/>
        <v>0</v>
      </c>
      <c r="AP201" s="25">
        <f t="shared" si="238"/>
        <v>0</v>
      </c>
      <c r="AQ201" s="25">
        <f t="shared" si="239"/>
        <v>0</v>
      </c>
      <c r="AR201" s="680"/>
      <c r="AS201" s="26">
        <f t="array" ref="AS201">IFERROR(INDEX('Malaria-Equipment &amp; Other HPs'!$AB$130:$AB$230,MATCH($E201&amp;$F201,'Malaria-Equipment &amp; Other HPs'!$E$130:$E$230&amp;'Malaria-Equipment &amp; Other HPs'!$H$130:$H$230,0)),0)</f>
        <v>0</v>
      </c>
      <c r="AT201" s="26">
        <f t="array" ref="AT201">IFERROR(INDEX('Malaria-Equipment &amp; Other HPs'!$AC$130:$AC$230,MATCH($E201&amp;$F201,'Malaria-Equipment &amp; Other HPs'!$E$130:$E$230&amp;'Malaria-Equipment &amp; Other HPs'!$H$130:$H$230,0)),0)</f>
        <v>0</v>
      </c>
      <c r="AU201" s="26">
        <f t="shared" si="240"/>
        <v>0</v>
      </c>
      <c r="AV201" s="25">
        <f t="shared" si="241"/>
        <v>0</v>
      </c>
      <c r="AW201" s="25">
        <f t="shared" si="242"/>
        <v>0</v>
      </c>
      <c r="AX201" s="26">
        <f t="array" ref="AX201">IFERROR(INDEX('Malaria-Equipment &amp; Other HPs'!$AD$130:$AD$230,MATCH($E201&amp;$F201,'Malaria-Equipment &amp; Other HPs'!$E$130:$E$230&amp;'Malaria-Equipment &amp; Other HPs'!$H$130:$H$230,0)),0)</f>
        <v>0</v>
      </c>
      <c r="AY201" s="26">
        <f t="shared" si="243"/>
        <v>0</v>
      </c>
      <c r="AZ201" s="25">
        <f t="shared" si="244"/>
        <v>0</v>
      </c>
      <c r="BA201" s="25">
        <f t="shared" si="245"/>
        <v>0</v>
      </c>
      <c r="BB201" s="26">
        <f t="array" ref="BB201">IFERROR(INDEX('Malaria-Equipment &amp; Other HPs'!$AE$130:$AE$230,MATCH($E201&amp;$F201,'Malaria-Equipment &amp; Other HPs'!$E$130:$E$230&amp;'Malaria-Equipment &amp; Other HPs'!$H$130:$H$230,0)),0)</f>
        <v>0</v>
      </c>
      <c r="BC201" s="26">
        <f t="shared" si="246"/>
        <v>0</v>
      </c>
      <c r="BD201" s="25">
        <f t="shared" si="247"/>
        <v>0</v>
      </c>
      <c r="BE201" s="25">
        <f t="shared" si="248"/>
        <v>0</v>
      </c>
      <c r="BF201" s="26">
        <f t="array" ref="BF201">IFERROR(INDEX('Malaria-Equipment &amp; Other HPs'!$AF$130:$AF$230,MATCH($E201&amp;$F201,'Malaria-Equipment &amp; Other HPs'!$E$130:$E$230&amp;'Malaria-Equipment &amp; Other HPs'!$H$130:$H$230,0)),0)</f>
        <v>0</v>
      </c>
      <c r="BG201" s="26">
        <f t="shared" si="249"/>
        <v>0</v>
      </c>
      <c r="BH201" s="25">
        <f t="shared" si="250"/>
        <v>0</v>
      </c>
      <c r="BI201" s="25">
        <f t="shared" si="251"/>
        <v>0</v>
      </c>
      <c r="BJ201" s="680"/>
      <c r="BK201" s="26"/>
      <c r="BL201" s="26"/>
      <c r="BM201" s="26"/>
      <c r="BN201" s="26"/>
      <c r="BO201" s="26"/>
      <c r="BP201" s="26"/>
      <c r="BQ201" s="26"/>
      <c r="BR201" s="26"/>
      <c r="BT201" s="21" t="s">
        <v>6839</v>
      </c>
    </row>
    <row r="202" spans="1:72">
      <c r="A202" s="29" t="s">
        <v>63</v>
      </c>
      <c r="B202" s="29" t="s">
        <v>1550</v>
      </c>
      <c r="C202" s="626">
        <f>SETUP!$F$58</f>
        <v>0</v>
      </c>
      <c r="D202" s="25">
        <v>6.5</v>
      </c>
      <c r="E202" s="26" t="s">
        <v>222</v>
      </c>
      <c r="F202" s="26" t="s">
        <v>218</v>
      </c>
      <c r="G202" s="26" t="str">
        <f t="array" ref="G202">IFERROR(INDEX('Malaria-Equipment &amp; Other HPs'!$L$130:$L$230,MATCH($E202&amp;$F202,'Malaria-Equipment &amp; Other HPs'!$E$130:$E$230&amp;'Malaria-Equipment &amp; Other HPs'!$H$130:$H$230,0)),"")</f>
        <v/>
      </c>
      <c r="H202" s="26" t="str">
        <f t="array" ref="H202">IFERROR(INDEX('Malaria-Equipment &amp; Other HPs'!$M$130:$M$230,MATCH($E202&amp;$F202,'Malaria-Equipment &amp; Other HPs'!$E$130:$E$230&amp;'Malaria-Equipment &amp; Other HPs'!$H$130:$H$230,0)),"")</f>
        <v/>
      </c>
      <c r="I202" s="26">
        <f t="array" ref="I202">IFERROR(INDEX('Malaria-Equipment &amp; Other HPs'!$N$130:$N$230,MATCH($E202&amp;$F202,'Malaria-Equipment &amp; Other HPs'!$E$130:$E$230&amp;'Malaria-Equipment &amp; Other HPs'!$H$130:$H$230,0)),0)</f>
        <v>0</v>
      </c>
      <c r="J202" s="26">
        <f t="array" ref="J202">IFERROR(INDEX('Malaria-Equipment &amp; Other HPs'!$O$130:$O$230,MATCH($E202&amp;$F202,'Malaria-Equipment &amp; Other HPs'!$E$130:$E$230&amp;'Malaria-Equipment &amp; Other HPs'!$H$130:$H$230,0)),0)</f>
        <v>0</v>
      </c>
      <c r="K202" s="25">
        <f t="shared" si="216"/>
        <v>0</v>
      </c>
      <c r="L202" s="25">
        <f t="shared" si="217"/>
        <v>0</v>
      </c>
      <c r="M202" s="25">
        <f t="shared" si="218"/>
        <v>0</v>
      </c>
      <c r="N202" s="26">
        <f t="array" ref="N202">IFERROR(INDEX('Malaria-Equipment &amp; Other HPs'!$P$130:$P$230,MATCH($E202&amp;$F202,'Malaria-Equipment &amp; Other HPs'!$E$130:$E$230&amp;'Malaria-Equipment &amp; Other HPs'!$H$130:$H$230,0)),0)</f>
        <v>0</v>
      </c>
      <c r="O202" s="25">
        <f t="shared" si="219"/>
        <v>0</v>
      </c>
      <c r="P202" s="25">
        <f t="shared" si="220"/>
        <v>0</v>
      </c>
      <c r="Q202" s="25">
        <f t="shared" si="221"/>
        <v>0</v>
      </c>
      <c r="R202" s="26">
        <f t="array" ref="R202">IFERROR(INDEX('Malaria-Equipment &amp; Other HPs'!$Q$130:$Q$230,MATCH($E202&amp;$F202,'Malaria-Equipment &amp; Other HPs'!$E$130:$E$230&amp;'Malaria-Equipment &amp; Other HPs'!$H$130:$H$230,0)),0)</f>
        <v>0</v>
      </c>
      <c r="S202" s="25">
        <f t="shared" si="222"/>
        <v>0</v>
      </c>
      <c r="T202" s="25">
        <f t="shared" si="223"/>
        <v>0</v>
      </c>
      <c r="U202" s="25">
        <f t="shared" si="224"/>
        <v>0</v>
      </c>
      <c r="V202" s="26">
        <f t="array" ref="V202">IFERROR(INDEX('Malaria-Equipment &amp; Other HPs'!$R$130:$R$230,MATCH($E202&amp;$F202,'Malaria-Equipment &amp; Other HPs'!$E$130:$E$230&amp;'Malaria-Equipment &amp; Other HPs'!$H$130:$H$230,0)),0)</f>
        <v>0</v>
      </c>
      <c r="W202" s="25">
        <f t="shared" si="225"/>
        <v>0</v>
      </c>
      <c r="X202" s="25">
        <f t="shared" si="226"/>
        <v>0</v>
      </c>
      <c r="Y202" s="25">
        <f t="shared" si="227"/>
        <v>0</v>
      </c>
      <c r="Z202" s="680"/>
      <c r="AA202" s="26">
        <f t="array" ref="AA202">IFERROR(INDEX('Malaria-Equipment &amp; Other HPs'!$U$130:$U$230,MATCH($E202&amp;$F202,'Malaria-Equipment &amp; Other HPs'!$E$130:$E$230&amp;'Malaria-Equipment &amp; Other HPs'!$H$130:$H$230,0)),0)</f>
        <v>0</v>
      </c>
      <c r="AB202" s="26">
        <f t="array" ref="AB202">IFERROR(INDEX('Malaria-Equipment &amp; Other HPs'!$V$130:$V$230,MATCH($E202&amp;$F202,'Malaria-Equipment &amp; Other HPs'!$E$130:$E$230&amp;'Malaria-Equipment &amp; Other HPs'!$H$130:$H$230,0)),0)</f>
        <v>0</v>
      </c>
      <c r="AC202" s="26">
        <f t="shared" si="228"/>
        <v>0</v>
      </c>
      <c r="AD202" s="25">
        <f t="shared" si="229"/>
        <v>0</v>
      </c>
      <c r="AE202" s="25">
        <f t="shared" si="230"/>
        <v>0</v>
      </c>
      <c r="AF202" s="26">
        <f t="array" ref="AF202">IFERROR(INDEX('Malaria-Equipment &amp; Other HPs'!$W$130:$W$230,MATCH($E202&amp;$F202,'Malaria-Equipment &amp; Other HPs'!$E$130:$E$230&amp;'Malaria-Equipment &amp; Other HPs'!$H$130:$H$230,0)),0)</f>
        <v>0</v>
      </c>
      <c r="AG202" s="26">
        <f t="shared" si="231"/>
        <v>0</v>
      </c>
      <c r="AH202" s="25">
        <f t="shared" si="232"/>
        <v>0</v>
      </c>
      <c r="AI202" s="25">
        <f t="shared" si="233"/>
        <v>0</v>
      </c>
      <c r="AJ202" s="26">
        <f t="array" ref="AJ202">IFERROR(INDEX('Malaria-Equipment &amp; Other HPs'!$X$130:$X$230,MATCH($E202&amp;$F202,'Malaria-Equipment &amp; Other HPs'!$E$130:$E$230&amp;'Malaria-Equipment &amp; Other HPs'!$H$130:$H$230,0)),0)</f>
        <v>0</v>
      </c>
      <c r="AK202" s="26">
        <f t="shared" si="234"/>
        <v>0</v>
      </c>
      <c r="AL202" s="25">
        <f t="shared" si="235"/>
        <v>0</v>
      </c>
      <c r="AM202" s="25">
        <f t="shared" si="236"/>
        <v>0</v>
      </c>
      <c r="AN202" s="26">
        <f t="array" ref="AN202">IFERROR(INDEX('Malaria-Equipment &amp; Other HPs'!$Y$130:$Y$230,MATCH($E202&amp;$F202,'Malaria-Equipment &amp; Other HPs'!$E$130:$E$230&amp;'Malaria-Equipment &amp; Other HPs'!$H$130:$H$230,0)),0)</f>
        <v>0</v>
      </c>
      <c r="AO202" s="26">
        <f t="shared" si="237"/>
        <v>0</v>
      </c>
      <c r="AP202" s="25">
        <f t="shared" si="238"/>
        <v>0</v>
      </c>
      <c r="AQ202" s="25">
        <f t="shared" si="239"/>
        <v>0</v>
      </c>
      <c r="AR202" s="680"/>
      <c r="AS202" s="26">
        <f t="array" ref="AS202">IFERROR(INDEX('Malaria-Equipment &amp; Other HPs'!$AB$130:$AB$230,MATCH($E202&amp;$F202,'Malaria-Equipment &amp; Other HPs'!$E$130:$E$230&amp;'Malaria-Equipment &amp; Other HPs'!$H$130:$H$230,0)),0)</f>
        <v>0</v>
      </c>
      <c r="AT202" s="26">
        <f t="array" ref="AT202">IFERROR(INDEX('Malaria-Equipment &amp; Other HPs'!$AC$130:$AC$230,MATCH($E202&amp;$F202,'Malaria-Equipment &amp; Other HPs'!$E$130:$E$230&amp;'Malaria-Equipment &amp; Other HPs'!$H$130:$H$230,0)),0)</f>
        <v>0</v>
      </c>
      <c r="AU202" s="26">
        <f t="shared" si="240"/>
        <v>0</v>
      </c>
      <c r="AV202" s="25">
        <f t="shared" si="241"/>
        <v>0</v>
      </c>
      <c r="AW202" s="25">
        <f t="shared" si="242"/>
        <v>0</v>
      </c>
      <c r="AX202" s="26">
        <f t="array" ref="AX202">IFERROR(INDEX('Malaria-Equipment &amp; Other HPs'!$AD$130:$AD$230,MATCH($E202&amp;$F202,'Malaria-Equipment &amp; Other HPs'!$E$130:$E$230&amp;'Malaria-Equipment &amp; Other HPs'!$H$130:$H$230,0)),0)</f>
        <v>0</v>
      </c>
      <c r="AY202" s="26">
        <f t="shared" si="243"/>
        <v>0</v>
      </c>
      <c r="AZ202" s="25">
        <f t="shared" si="244"/>
        <v>0</v>
      </c>
      <c r="BA202" s="25">
        <f t="shared" si="245"/>
        <v>0</v>
      </c>
      <c r="BB202" s="26">
        <f t="array" ref="BB202">IFERROR(INDEX('Malaria-Equipment &amp; Other HPs'!$AE$130:$AE$230,MATCH($E202&amp;$F202,'Malaria-Equipment &amp; Other HPs'!$E$130:$E$230&amp;'Malaria-Equipment &amp; Other HPs'!$H$130:$H$230,0)),0)</f>
        <v>0</v>
      </c>
      <c r="BC202" s="26">
        <f t="shared" si="246"/>
        <v>0</v>
      </c>
      <c r="BD202" s="25">
        <f t="shared" si="247"/>
        <v>0</v>
      </c>
      <c r="BE202" s="25">
        <f t="shared" si="248"/>
        <v>0</v>
      </c>
      <c r="BF202" s="26">
        <f t="array" ref="BF202">IFERROR(INDEX('Malaria-Equipment &amp; Other HPs'!$AF$130:$AF$230,MATCH($E202&amp;$F202,'Malaria-Equipment &amp; Other HPs'!$E$130:$E$230&amp;'Malaria-Equipment &amp; Other HPs'!$H$130:$H$230,0)),0)</f>
        <v>0</v>
      </c>
      <c r="BG202" s="26">
        <f t="shared" si="249"/>
        <v>0</v>
      </c>
      <c r="BH202" s="25">
        <f t="shared" si="250"/>
        <v>0</v>
      </c>
      <c r="BI202" s="25">
        <f t="shared" si="251"/>
        <v>0</v>
      </c>
      <c r="BJ202" s="680"/>
      <c r="BK202" s="26"/>
      <c r="BL202" s="26"/>
      <c r="BM202" s="26"/>
      <c r="BN202" s="26"/>
      <c r="BO202" s="26"/>
      <c r="BP202" s="26"/>
      <c r="BQ202" s="26"/>
      <c r="BR202" s="26"/>
      <c r="BT202" s="21" t="s">
        <v>6839</v>
      </c>
    </row>
    <row r="203" spans="1:72">
      <c r="A203" s="29" t="s">
        <v>63</v>
      </c>
      <c r="B203" s="29" t="s">
        <v>1550</v>
      </c>
      <c r="C203" s="626">
        <f>SETUP!$F$58</f>
        <v>0</v>
      </c>
      <c r="D203" s="25">
        <v>6.6</v>
      </c>
      <c r="E203" s="26" t="s">
        <v>222</v>
      </c>
      <c r="F203" s="26" t="s">
        <v>201</v>
      </c>
      <c r="G203" s="26" t="str">
        <f t="array" ref="G203">IFERROR(INDEX('Malaria-Equipment &amp; Other HPs'!$L$130:$L$230,MATCH($E203&amp;$F203,'Malaria-Equipment &amp; Other HPs'!$E$130:$E$230&amp;'Malaria-Equipment &amp; Other HPs'!$H$130:$H$230,0)),"")</f>
        <v/>
      </c>
      <c r="H203" s="26" t="str">
        <f t="array" ref="H203">IFERROR(INDEX('Malaria-Equipment &amp; Other HPs'!$M$130:$M$230,MATCH($E203&amp;$F203,'Malaria-Equipment &amp; Other HPs'!$E$130:$E$230&amp;'Malaria-Equipment &amp; Other HPs'!$H$130:$H$230,0)),"")</f>
        <v/>
      </c>
      <c r="I203" s="26">
        <f t="array" ref="I203">IFERROR(INDEX('Malaria-Equipment &amp; Other HPs'!$N$130:$N$230,MATCH($E203&amp;$F203,'Malaria-Equipment &amp; Other HPs'!$E$130:$E$230&amp;'Malaria-Equipment &amp; Other HPs'!$H$130:$H$230,0)),0)</f>
        <v>0</v>
      </c>
      <c r="J203" s="26">
        <f t="array" ref="J203">IFERROR(INDEX('Malaria-Equipment &amp; Other HPs'!$O$130:$O$230,MATCH($E203&amp;$F203,'Malaria-Equipment &amp; Other HPs'!$E$130:$E$230&amp;'Malaria-Equipment &amp; Other HPs'!$H$130:$H$230,0)),0)</f>
        <v>0</v>
      </c>
      <c r="K203" s="25">
        <f t="shared" si="216"/>
        <v>0</v>
      </c>
      <c r="L203" s="25">
        <f t="shared" si="217"/>
        <v>0</v>
      </c>
      <c r="M203" s="25">
        <f t="shared" si="218"/>
        <v>0</v>
      </c>
      <c r="N203" s="26">
        <f t="array" ref="N203">IFERROR(INDEX('Malaria-Equipment &amp; Other HPs'!$P$130:$P$230,MATCH($E203&amp;$F203,'Malaria-Equipment &amp; Other HPs'!$E$130:$E$230&amp;'Malaria-Equipment &amp; Other HPs'!$H$130:$H$230,0)),0)</f>
        <v>0</v>
      </c>
      <c r="O203" s="25">
        <f t="shared" si="219"/>
        <v>0</v>
      </c>
      <c r="P203" s="25">
        <f t="shared" si="220"/>
        <v>0</v>
      </c>
      <c r="Q203" s="25">
        <f t="shared" si="221"/>
        <v>0</v>
      </c>
      <c r="R203" s="26">
        <f t="array" ref="R203">IFERROR(INDEX('Malaria-Equipment &amp; Other HPs'!$Q$130:$Q$230,MATCH($E203&amp;$F203,'Malaria-Equipment &amp; Other HPs'!$E$130:$E$230&amp;'Malaria-Equipment &amp; Other HPs'!$H$130:$H$230,0)),0)</f>
        <v>0</v>
      </c>
      <c r="S203" s="25">
        <f t="shared" si="222"/>
        <v>0</v>
      </c>
      <c r="T203" s="25">
        <f t="shared" si="223"/>
        <v>0</v>
      </c>
      <c r="U203" s="25">
        <f t="shared" si="224"/>
        <v>0</v>
      </c>
      <c r="V203" s="26">
        <f t="array" ref="V203">IFERROR(INDEX('Malaria-Equipment &amp; Other HPs'!$R$130:$R$230,MATCH($E203&amp;$F203,'Malaria-Equipment &amp; Other HPs'!$E$130:$E$230&amp;'Malaria-Equipment &amp; Other HPs'!$H$130:$H$230,0)),0)</f>
        <v>0</v>
      </c>
      <c r="W203" s="25">
        <f t="shared" si="225"/>
        <v>0</v>
      </c>
      <c r="X203" s="25">
        <f t="shared" si="226"/>
        <v>0</v>
      </c>
      <c r="Y203" s="25">
        <f t="shared" si="227"/>
        <v>0</v>
      </c>
      <c r="Z203" s="680"/>
      <c r="AA203" s="26">
        <f t="array" ref="AA203">IFERROR(INDEX('Malaria-Equipment &amp; Other HPs'!$U$130:$U$230,MATCH($E203&amp;$F203,'Malaria-Equipment &amp; Other HPs'!$E$130:$E$230&amp;'Malaria-Equipment &amp; Other HPs'!$H$130:$H$230,0)),0)</f>
        <v>0</v>
      </c>
      <c r="AB203" s="26">
        <f t="array" ref="AB203">IFERROR(INDEX('Malaria-Equipment &amp; Other HPs'!$V$130:$V$230,MATCH($E203&amp;$F203,'Malaria-Equipment &amp; Other HPs'!$E$130:$E$230&amp;'Malaria-Equipment &amp; Other HPs'!$H$130:$H$230,0)),0)</f>
        <v>0</v>
      </c>
      <c r="AC203" s="26">
        <f t="shared" si="228"/>
        <v>0</v>
      </c>
      <c r="AD203" s="25">
        <f t="shared" si="229"/>
        <v>0</v>
      </c>
      <c r="AE203" s="25">
        <f t="shared" si="230"/>
        <v>0</v>
      </c>
      <c r="AF203" s="26">
        <f t="array" ref="AF203">IFERROR(INDEX('Malaria-Equipment &amp; Other HPs'!$W$130:$W$230,MATCH($E203&amp;$F203,'Malaria-Equipment &amp; Other HPs'!$E$130:$E$230&amp;'Malaria-Equipment &amp; Other HPs'!$H$130:$H$230,0)),0)</f>
        <v>0</v>
      </c>
      <c r="AG203" s="26">
        <f t="shared" si="231"/>
        <v>0</v>
      </c>
      <c r="AH203" s="25">
        <f t="shared" si="232"/>
        <v>0</v>
      </c>
      <c r="AI203" s="25">
        <f t="shared" si="233"/>
        <v>0</v>
      </c>
      <c r="AJ203" s="26">
        <f t="array" ref="AJ203">IFERROR(INDEX('Malaria-Equipment &amp; Other HPs'!$X$130:$X$230,MATCH($E203&amp;$F203,'Malaria-Equipment &amp; Other HPs'!$E$130:$E$230&amp;'Malaria-Equipment &amp; Other HPs'!$H$130:$H$230,0)),0)</f>
        <v>0</v>
      </c>
      <c r="AK203" s="26">
        <f t="shared" si="234"/>
        <v>0</v>
      </c>
      <c r="AL203" s="25">
        <f t="shared" si="235"/>
        <v>0</v>
      </c>
      <c r="AM203" s="25">
        <f t="shared" si="236"/>
        <v>0</v>
      </c>
      <c r="AN203" s="26">
        <f t="array" ref="AN203">IFERROR(INDEX('Malaria-Equipment &amp; Other HPs'!$Y$130:$Y$230,MATCH($E203&amp;$F203,'Malaria-Equipment &amp; Other HPs'!$E$130:$E$230&amp;'Malaria-Equipment &amp; Other HPs'!$H$130:$H$230,0)),0)</f>
        <v>0</v>
      </c>
      <c r="AO203" s="26">
        <f t="shared" si="237"/>
        <v>0</v>
      </c>
      <c r="AP203" s="25">
        <f t="shared" si="238"/>
        <v>0</v>
      </c>
      <c r="AQ203" s="25">
        <f t="shared" si="239"/>
        <v>0</v>
      </c>
      <c r="AR203" s="680"/>
      <c r="AS203" s="26">
        <f t="array" ref="AS203">IFERROR(INDEX('Malaria-Equipment &amp; Other HPs'!$AB$130:$AB$230,MATCH($E203&amp;$F203,'Malaria-Equipment &amp; Other HPs'!$E$130:$E$230&amp;'Malaria-Equipment &amp; Other HPs'!$H$130:$H$230,0)),0)</f>
        <v>0</v>
      </c>
      <c r="AT203" s="26">
        <f t="array" ref="AT203">IFERROR(INDEX('Malaria-Equipment &amp; Other HPs'!$AC$130:$AC$230,MATCH($E203&amp;$F203,'Malaria-Equipment &amp; Other HPs'!$E$130:$E$230&amp;'Malaria-Equipment &amp; Other HPs'!$H$130:$H$230,0)),0)</f>
        <v>0</v>
      </c>
      <c r="AU203" s="26">
        <f t="shared" si="240"/>
        <v>0</v>
      </c>
      <c r="AV203" s="25">
        <f t="shared" si="241"/>
        <v>0</v>
      </c>
      <c r="AW203" s="25">
        <f t="shared" si="242"/>
        <v>0</v>
      </c>
      <c r="AX203" s="26">
        <f t="array" ref="AX203">IFERROR(INDEX('Malaria-Equipment &amp; Other HPs'!$AD$130:$AD$230,MATCH($E203&amp;$F203,'Malaria-Equipment &amp; Other HPs'!$E$130:$E$230&amp;'Malaria-Equipment &amp; Other HPs'!$H$130:$H$230,0)),0)</f>
        <v>0</v>
      </c>
      <c r="AY203" s="26">
        <f t="shared" si="243"/>
        <v>0</v>
      </c>
      <c r="AZ203" s="25">
        <f t="shared" si="244"/>
        <v>0</v>
      </c>
      <c r="BA203" s="25">
        <f t="shared" si="245"/>
        <v>0</v>
      </c>
      <c r="BB203" s="26">
        <f t="array" ref="BB203">IFERROR(INDEX('Malaria-Equipment &amp; Other HPs'!$AE$130:$AE$230,MATCH($E203&amp;$F203,'Malaria-Equipment &amp; Other HPs'!$E$130:$E$230&amp;'Malaria-Equipment &amp; Other HPs'!$H$130:$H$230,0)),0)</f>
        <v>0</v>
      </c>
      <c r="BC203" s="26">
        <f t="shared" si="246"/>
        <v>0</v>
      </c>
      <c r="BD203" s="25">
        <f t="shared" si="247"/>
        <v>0</v>
      </c>
      <c r="BE203" s="25">
        <f t="shared" si="248"/>
        <v>0</v>
      </c>
      <c r="BF203" s="26">
        <f t="array" ref="BF203">IFERROR(INDEX('Malaria-Equipment &amp; Other HPs'!$AF$130:$AF$230,MATCH($E203&amp;$F203,'Malaria-Equipment &amp; Other HPs'!$E$130:$E$230&amp;'Malaria-Equipment &amp; Other HPs'!$H$130:$H$230,0)),0)</f>
        <v>0</v>
      </c>
      <c r="BG203" s="26">
        <f t="shared" si="249"/>
        <v>0</v>
      </c>
      <c r="BH203" s="25">
        <f t="shared" si="250"/>
        <v>0</v>
      </c>
      <c r="BI203" s="25">
        <f t="shared" si="251"/>
        <v>0</v>
      </c>
      <c r="BJ203" s="680"/>
      <c r="BK203" s="26"/>
      <c r="BL203" s="26"/>
      <c r="BM203" s="26"/>
      <c r="BN203" s="26"/>
      <c r="BO203" s="26"/>
      <c r="BP203" s="26"/>
      <c r="BQ203" s="26"/>
      <c r="BR203" s="26"/>
      <c r="BT203" s="21" t="s">
        <v>6839</v>
      </c>
    </row>
    <row r="204" spans="1:72">
      <c r="A204" s="29" t="s">
        <v>63</v>
      </c>
      <c r="B204" s="29" t="s">
        <v>1550</v>
      </c>
      <c r="C204" s="626">
        <f>SETUP!$F$58</f>
        <v>0</v>
      </c>
      <c r="D204" s="25">
        <v>6.6</v>
      </c>
      <c r="E204" s="26" t="s">
        <v>222</v>
      </c>
      <c r="F204" s="26" t="s">
        <v>200</v>
      </c>
      <c r="G204" s="26" t="str">
        <f t="array" ref="G204">IFERROR(INDEX('Malaria-Equipment &amp; Other HPs'!$L$130:$L$230,MATCH($E204&amp;$F204,'Malaria-Equipment &amp; Other HPs'!$E$130:$E$230&amp;'Malaria-Equipment &amp; Other HPs'!$H$130:$H$230,0)),"")</f>
        <v/>
      </c>
      <c r="H204" s="26" t="str">
        <f t="array" ref="H204">IFERROR(INDEX('Malaria-Equipment &amp; Other HPs'!$M$130:$M$230,MATCH($E204&amp;$F204,'Malaria-Equipment &amp; Other HPs'!$E$130:$E$230&amp;'Malaria-Equipment &amp; Other HPs'!$H$130:$H$230,0)),"")</f>
        <v/>
      </c>
      <c r="I204" s="26">
        <f t="array" ref="I204">IFERROR(INDEX('Malaria-Equipment &amp; Other HPs'!$N$130:$N$230,MATCH($E204&amp;$F204,'Malaria-Equipment &amp; Other HPs'!$E$130:$E$230&amp;'Malaria-Equipment &amp; Other HPs'!$H$130:$H$230,0)),0)</f>
        <v>0</v>
      </c>
      <c r="J204" s="26">
        <f t="array" ref="J204">IFERROR(INDEX('Malaria-Equipment &amp; Other HPs'!$O$130:$O$230,MATCH($E204&amp;$F204,'Malaria-Equipment &amp; Other HPs'!$E$130:$E$230&amp;'Malaria-Equipment &amp; Other HPs'!$H$130:$H$230,0)),0)</f>
        <v>0</v>
      </c>
      <c r="K204" s="25">
        <f t="shared" si="216"/>
        <v>0</v>
      </c>
      <c r="L204" s="25">
        <f t="shared" si="217"/>
        <v>0</v>
      </c>
      <c r="M204" s="25">
        <f t="shared" si="218"/>
        <v>0</v>
      </c>
      <c r="N204" s="26">
        <f t="array" ref="N204">IFERROR(INDEX('Malaria-Equipment &amp; Other HPs'!$P$130:$P$230,MATCH($E204&amp;$F204,'Malaria-Equipment &amp; Other HPs'!$E$130:$E$230&amp;'Malaria-Equipment &amp; Other HPs'!$H$130:$H$230,0)),0)</f>
        <v>0</v>
      </c>
      <c r="O204" s="25">
        <f t="shared" si="219"/>
        <v>0</v>
      </c>
      <c r="P204" s="25">
        <f t="shared" si="220"/>
        <v>0</v>
      </c>
      <c r="Q204" s="25">
        <f t="shared" si="221"/>
        <v>0</v>
      </c>
      <c r="R204" s="26">
        <f t="array" ref="R204">IFERROR(INDEX('Malaria-Equipment &amp; Other HPs'!$Q$130:$Q$230,MATCH($E204&amp;$F204,'Malaria-Equipment &amp; Other HPs'!$E$130:$E$230&amp;'Malaria-Equipment &amp; Other HPs'!$H$130:$H$230,0)),0)</f>
        <v>0</v>
      </c>
      <c r="S204" s="25">
        <f t="shared" si="222"/>
        <v>0</v>
      </c>
      <c r="T204" s="25">
        <f t="shared" si="223"/>
        <v>0</v>
      </c>
      <c r="U204" s="25">
        <f t="shared" si="224"/>
        <v>0</v>
      </c>
      <c r="V204" s="26">
        <f t="array" ref="V204">IFERROR(INDEX('Malaria-Equipment &amp; Other HPs'!$R$130:$R$230,MATCH($E204&amp;$F204,'Malaria-Equipment &amp; Other HPs'!$E$130:$E$230&amp;'Malaria-Equipment &amp; Other HPs'!$H$130:$H$230,0)),0)</f>
        <v>0</v>
      </c>
      <c r="W204" s="25">
        <f t="shared" si="225"/>
        <v>0</v>
      </c>
      <c r="X204" s="25">
        <f t="shared" si="226"/>
        <v>0</v>
      </c>
      <c r="Y204" s="25">
        <f t="shared" si="227"/>
        <v>0</v>
      </c>
      <c r="Z204" s="680"/>
      <c r="AA204" s="26">
        <f t="array" ref="AA204">IFERROR(INDEX('Malaria-Equipment &amp; Other HPs'!$U$130:$U$230,MATCH($E204&amp;$F204,'Malaria-Equipment &amp; Other HPs'!$E$130:$E$230&amp;'Malaria-Equipment &amp; Other HPs'!$H$130:$H$230,0)),0)</f>
        <v>0</v>
      </c>
      <c r="AB204" s="26">
        <f t="array" ref="AB204">IFERROR(INDEX('Malaria-Equipment &amp; Other HPs'!$V$130:$V$230,MATCH($E204&amp;$F204,'Malaria-Equipment &amp; Other HPs'!$E$130:$E$230&amp;'Malaria-Equipment &amp; Other HPs'!$H$130:$H$230,0)),0)</f>
        <v>0</v>
      </c>
      <c r="AC204" s="26">
        <f t="shared" si="228"/>
        <v>0</v>
      </c>
      <c r="AD204" s="25">
        <f t="shared" si="229"/>
        <v>0</v>
      </c>
      <c r="AE204" s="25">
        <f t="shared" si="230"/>
        <v>0</v>
      </c>
      <c r="AF204" s="26">
        <f t="array" ref="AF204">IFERROR(INDEX('Malaria-Equipment &amp; Other HPs'!$W$130:$W$230,MATCH($E204&amp;$F204,'Malaria-Equipment &amp; Other HPs'!$E$130:$E$230&amp;'Malaria-Equipment &amp; Other HPs'!$H$130:$H$230,0)),0)</f>
        <v>0</v>
      </c>
      <c r="AG204" s="26">
        <f t="shared" si="231"/>
        <v>0</v>
      </c>
      <c r="AH204" s="25">
        <f t="shared" si="232"/>
        <v>0</v>
      </c>
      <c r="AI204" s="25">
        <f t="shared" si="233"/>
        <v>0</v>
      </c>
      <c r="AJ204" s="26">
        <f t="array" ref="AJ204">IFERROR(INDEX('Malaria-Equipment &amp; Other HPs'!$X$130:$X$230,MATCH($E204&amp;$F204,'Malaria-Equipment &amp; Other HPs'!$E$130:$E$230&amp;'Malaria-Equipment &amp; Other HPs'!$H$130:$H$230,0)),0)</f>
        <v>0</v>
      </c>
      <c r="AK204" s="26">
        <f t="shared" si="234"/>
        <v>0</v>
      </c>
      <c r="AL204" s="25">
        <f t="shared" si="235"/>
        <v>0</v>
      </c>
      <c r="AM204" s="25">
        <f t="shared" si="236"/>
        <v>0</v>
      </c>
      <c r="AN204" s="26">
        <f t="array" ref="AN204">IFERROR(INDEX('Malaria-Equipment &amp; Other HPs'!$Y$130:$Y$230,MATCH($E204&amp;$F204,'Malaria-Equipment &amp; Other HPs'!$E$130:$E$230&amp;'Malaria-Equipment &amp; Other HPs'!$H$130:$H$230,0)),0)</f>
        <v>0</v>
      </c>
      <c r="AO204" s="26">
        <f t="shared" si="237"/>
        <v>0</v>
      </c>
      <c r="AP204" s="25">
        <f t="shared" si="238"/>
        <v>0</v>
      </c>
      <c r="AQ204" s="25">
        <f t="shared" si="239"/>
        <v>0</v>
      </c>
      <c r="AR204" s="680"/>
      <c r="AS204" s="26">
        <f t="array" ref="AS204">IFERROR(INDEX('Malaria-Equipment &amp; Other HPs'!$AB$130:$AB$230,MATCH($E204&amp;$F204,'Malaria-Equipment &amp; Other HPs'!$E$130:$E$230&amp;'Malaria-Equipment &amp; Other HPs'!$H$130:$H$230,0)),0)</f>
        <v>0</v>
      </c>
      <c r="AT204" s="26">
        <f t="array" ref="AT204">IFERROR(INDEX('Malaria-Equipment &amp; Other HPs'!$AC$130:$AC$230,MATCH($E204&amp;$F204,'Malaria-Equipment &amp; Other HPs'!$E$130:$E$230&amp;'Malaria-Equipment &amp; Other HPs'!$H$130:$H$230,0)),0)</f>
        <v>0</v>
      </c>
      <c r="AU204" s="26">
        <f t="shared" si="240"/>
        <v>0</v>
      </c>
      <c r="AV204" s="25">
        <f t="shared" si="241"/>
        <v>0</v>
      </c>
      <c r="AW204" s="25">
        <f t="shared" si="242"/>
        <v>0</v>
      </c>
      <c r="AX204" s="26">
        <f t="array" ref="AX204">IFERROR(INDEX('Malaria-Equipment &amp; Other HPs'!$AD$130:$AD$230,MATCH($E204&amp;$F204,'Malaria-Equipment &amp; Other HPs'!$E$130:$E$230&amp;'Malaria-Equipment &amp; Other HPs'!$H$130:$H$230,0)),0)</f>
        <v>0</v>
      </c>
      <c r="AY204" s="26">
        <f t="shared" si="243"/>
        <v>0</v>
      </c>
      <c r="AZ204" s="25">
        <f t="shared" si="244"/>
        <v>0</v>
      </c>
      <c r="BA204" s="25">
        <f t="shared" si="245"/>
        <v>0</v>
      </c>
      <c r="BB204" s="26">
        <f t="array" ref="BB204">IFERROR(INDEX('Malaria-Equipment &amp; Other HPs'!$AE$130:$AE$230,MATCH($E204&amp;$F204,'Malaria-Equipment &amp; Other HPs'!$E$130:$E$230&amp;'Malaria-Equipment &amp; Other HPs'!$H$130:$H$230,0)),0)</f>
        <v>0</v>
      </c>
      <c r="BC204" s="26">
        <f t="shared" si="246"/>
        <v>0</v>
      </c>
      <c r="BD204" s="25">
        <f t="shared" si="247"/>
        <v>0</v>
      </c>
      <c r="BE204" s="25">
        <f t="shared" si="248"/>
        <v>0</v>
      </c>
      <c r="BF204" s="26">
        <f t="array" ref="BF204">IFERROR(INDEX('Malaria-Equipment &amp; Other HPs'!$AF$130:$AF$230,MATCH($E204&amp;$F204,'Malaria-Equipment &amp; Other HPs'!$E$130:$E$230&amp;'Malaria-Equipment &amp; Other HPs'!$H$130:$H$230,0)),0)</f>
        <v>0</v>
      </c>
      <c r="BG204" s="26">
        <f t="shared" si="249"/>
        <v>0</v>
      </c>
      <c r="BH204" s="25">
        <f t="shared" si="250"/>
        <v>0</v>
      </c>
      <c r="BI204" s="25">
        <f t="shared" si="251"/>
        <v>0</v>
      </c>
      <c r="BJ204" s="680"/>
      <c r="BK204" s="26"/>
      <c r="BL204" s="26"/>
      <c r="BM204" s="26"/>
      <c r="BN204" s="26"/>
      <c r="BO204" s="26"/>
      <c r="BP204" s="26"/>
      <c r="BQ204" s="26"/>
      <c r="BR204" s="26"/>
      <c r="BT204" s="21" t="s">
        <v>6839</v>
      </c>
    </row>
    <row r="205" spans="1:72">
      <c r="A205" s="29" t="s">
        <v>63</v>
      </c>
      <c r="B205" s="29" t="s">
        <v>1550</v>
      </c>
      <c r="C205" s="626">
        <f>SETUP!$F$58</f>
        <v>0</v>
      </c>
      <c r="D205" s="25">
        <v>6.5</v>
      </c>
      <c r="E205" s="26" t="s">
        <v>223</v>
      </c>
      <c r="F205" s="26" t="s">
        <v>218</v>
      </c>
      <c r="G205" s="26" t="str">
        <f t="array" ref="G205">IFERROR(INDEX('Malaria-Equipment &amp; Other HPs'!$L$130:$L$230,MATCH($E205&amp;$F205,'Malaria-Equipment &amp; Other HPs'!$E$130:$E$230&amp;'Malaria-Equipment &amp; Other HPs'!$H$130:$H$230,0)),"")</f>
        <v/>
      </c>
      <c r="H205" s="26" t="str">
        <f t="array" ref="H205">IFERROR(INDEX('Malaria-Equipment &amp; Other HPs'!$M$130:$M$230,MATCH($E205&amp;$F205,'Malaria-Equipment &amp; Other HPs'!$E$130:$E$230&amp;'Malaria-Equipment &amp; Other HPs'!$H$130:$H$230,0)),"")</f>
        <v/>
      </c>
      <c r="I205" s="26">
        <f t="array" ref="I205">IFERROR(INDEX('Malaria-Equipment &amp; Other HPs'!$N$130:$N$230,MATCH($E205&amp;$F205,'Malaria-Equipment &amp; Other HPs'!$E$130:$E$230&amp;'Malaria-Equipment &amp; Other HPs'!$H$130:$H$230,0)),0)</f>
        <v>0</v>
      </c>
      <c r="J205" s="26">
        <f t="array" ref="J205">IFERROR(INDEX('Malaria-Equipment &amp; Other HPs'!$O$130:$O$230,MATCH($E205&amp;$F205,'Malaria-Equipment &amp; Other HPs'!$E$130:$E$230&amp;'Malaria-Equipment &amp; Other HPs'!$H$130:$H$230,0)),0)</f>
        <v>0</v>
      </c>
      <c r="K205" s="25">
        <f t="shared" si="216"/>
        <v>0</v>
      </c>
      <c r="L205" s="25">
        <f t="shared" si="217"/>
        <v>0</v>
      </c>
      <c r="M205" s="25">
        <f t="shared" si="218"/>
        <v>0</v>
      </c>
      <c r="N205" s="26">
        <f t="array" ref="N205">IFERROR(INDEX('Malaria-Equipment &amp; Other HPs'!$P$130:$P$230,MATCH($E205&amp;$F205,'Malaria-Equipment &amp; Other HPs'!$E$130:$E$230&amp;'Malaria-Equipment &amp; Other HPs'!$H$130:$H$230,0)),0)</f>
        <v>0</v>
      </c>
      <c r="O205" s="25">
        <f t="shared" si="219"/>
        <v>0</v>
      </c>
      <c r="P205" s="25">
        <f t="shared" si="220"/>
        <v>0</v>
      </c>
      <c r="Q205" s="25">
        <f t="shared" si="221"/>
        <v>0</v>
      </c>
      <c r="R205" s="26">
        <f t="array" ref="R205">IFERROR(INDEX('Malaria-Equipment &amp; Other HPs'!$Q$130:$Q$230,MATCH($E205&amp;$F205,'Malaria-Equipment &amp; Other HPs'!$E$130:$E$230&amp;'Malaria-Equipment &amp; Other HPs'!$H$130:$H$230,0)),0)</f>
        <v>0</v>
      </c>
      <c r="S205" s="25">
        <f t="shared" si="222"/>
        <v>0</v>
      </c>
      <c r="T205" s="25">
        <f t="shared" si="223"/>
        <v>0</v>
      </c>
      <c r="U205" s="25">
        <f t="shared" si="224"/>
        <v>0</v>
      </c>
      <c r="V205" s="26">
        <f t="array" ref="V205">IFERROR(INDEX('Malaria-Equipment &amp; Other HPs'!$R$130:$R$230,MATCH($E205&amp;$F205,'Malaria-Equipment &amp; Other HPs'!$E$130:$E$230&amp;'Malaria-Equipment &amp; Other HPs'!$H$130:$H$230,0)),0)</f>
        <v>0</v>
      </c>
      <c r="W205" s="25">
        <f t="shared" si="225"/>
        <v>0</v>
      </c>
      <c r="X205" s="25">
        <f t="shared" si="226"/>
        <v>0</v>
      </c>
      <c r="Y205" s="25">
        <f t="shared" si="227"/>
        <v>0</v>
      </c>
      <c r="Z205" s="680"/>
      <c r="AA205" s="26">
        <f t="array" ref="AA205">IFERROR(INDEX('Malaria-Equipment &amp; Other HPs'!$U$130:$U$230,MATCH($E205&amp;$F205,'Malaria-Equipment &amp; Other HPs'!$E$130:$E$230&amp;'Malaria-Equipment &amp; Other HPs'!$H$130:$H$230,0)),0)</f>
        <v>0</v>
      </c>
      <c r="AB205" s="26">
        <f t="array" ref="AB205">IFERROR(INDEX('Malaria-Equipment &amp; Other HPs'!$V$130:$V$230,MATCH($E205&amp;$F205,'Malaria-Equipment &amp; Other HPs'!$E$130:$E$230&amp;'Malaria-Equipment &amp; Other HPs'!$H$130:$H$230,0)),0)</f>
        <v>0</v>
      </c>
      <c r="AC205" s="26">
        <f t="shared" si="228"/>
        <v>0</v>
      </c>
      <c r="AD205" s="25">
        <f t="shared" si="229"/>
        <v>0</v>
      </c>
      <c r="AE205" s="25">
        <f t="shared" si="230"/>
        <v>0</v>
      </c>
      <c r="AF205" s="26">
        <f t="array" ref="AF205">IFERROR(INDEX('Malaria-Equipment &amp; Other HPs'!$W$130:$W$230,MATCH($E205&amp;$F205,'Malaria-Equipment &amp; Other HPs'!$E$130:$E$230&amp;'Malaria-Equipment &amp; Other HPs'!$H$130:$H$230,0)),0)</f>
        <v>0</v>
      </c>
      <c r="AG205" s="26">
        <f t="shared" si="231"/>
        <v>0</v>
      </c>
      <c r="AH205" s="25">
        <f t="shared" si="232"/>
        <v>0</v>
      </c>
      <c r="AI205" s="25">
        <f t="shared" si="233"/>
        <v>0</v>
      </c>
      <c r="AJ205" s="26">
        <f t="array" ref="AJ205">IFERROR(INDEX('Malaria-Equipment &amp; Other HPs'!$X$130:$X$230,MATCH($E205&amp;$F205,'Malaria-Equipment &amp; Other HPs'!$E$130:$E$230&amp;'Malaria-Equipment &amp; Other HPs'!$H$130:$H$230,0)),0)</f>
        <v>0</v>
      </c>
      <c r="AK205" s="26">
        <f t="shared" si="234"/>
        <v>0</v>
      </c>
      <c r="AL205" s="25">
        <f t="shared" si="235"/>
        <v>0</v>
      </c>
      <c r="AM205" s="25">
        <f t="shared" si="236"/>
        <v>0</v>
      </c>
      <c r="AN205" s="26">
        <f t="array" ref="AN205">IFERROR(INDEX('Malaria-Equipment &amp; Other HPs'!$Y$130:$Y$230,MATCH($E205&amp;$F205,'Malaria-Equipment &amp; Other HPs'!$E$130:$E$230&amp;'Malaria-Equipment &amp; Other HPs'!$H$130:$H$230,0)),0)</f>
        <v>0</v>
      </c>
      <c r="AO205" s="26">
        <f t="shared" si="237"/>
        <v>0</v>
      </c>
      <c r="AP205" s="25">
        <f t="shared" si="238"/>
        <v>0</v>
      </c>
      <c r="AQ205" s="25">
        <f t="shared" si="239"/>
        <v>0</v>
      </c>
      <c r="AR205" s="680"/>
      <c r="AS205" s="26">
        <f t="array" ref="AS205">IFERROR(INDEX('Malaria-Equipment &amp; Other HPs'!$AB$130:$AB$230,MATCH($E205&amp;$F205,'Malaria-Equipment &amp; Other HPs'!$E$130:$E$230&amp;'Malaria-Equipment &amp; Other HPs'!$H$130:$H$230,0)),0)</f>
        <v>0</v>
      </c>
      <c r="AT205" s="26">
        <f t="array" ref="AT205">IFERROR(INDEX('Malaria-Equipment &amp; Other HPs'!$AC$130:$AC$230,MATCH($E205&amp;$F205,'Malaria-Equipment &amp; Other HPs'!$E$130:$E$230&amp;'Malaria-Equipment &amp; Other HPs'!$H$130:$H$230,0)),0)</f>
        <v>0</v>
      </c>
      <c r="AU205" s="26">
        <f t="shared" si="240"/>
        <v>0</v>
      </c>
      <c r="AV205" s="25">
        <f t="shared" si="241"/>
        <v>0</v>
      </c>
      <c r="AW205" s="25">
        <f t="shared" si="242"/>
        <v>0</v>
      </c>
      <c r="AX205" s="26">
        <f t="array" ref="AX205">IFERROR(INDEX('Malaria-Equipment &amp; Other HPs'!$AD$130:$AD$230,MATCH($E205&amp;$F205,'Malaria-Equipment &amp; Other HPs'!$E$130:$E$230&amp;'Malaria-Equipment &amp; Other HPs'!$H$130:$H$230,0)),0)</f>
        <v>0</v>
      </c>
      <c r="AY205" s="26">
        <f t="shared" si="243"/>
        <v>0</v>
      </c>
      <c r="AZ205" s="25">
        <f t="shared" si="244"/>
        <v>0</v>
      </c>
      <c r="BA205" s="25">
        <f t="shared" si="245"/>
        <v>0</v>
      </c>
      <c r="BB205" s="26">
        <f t="array" ref="BB205">IFERROR(INDEX('Malaria-Equipment &amp; Other HPs'!$AE$130:$AE$230,MATCH($E205&amp;$F205,'Malaria-Equipment &amp; Other HPs'!$E$130:$E$230&amp;'Malaria-Equipment &amp; Other HPs'!$H$130:$H$230,0)),0)</f>
        <v>0</v>
      </c>
      <c r="BC205" s="26">
        <f t="shared" si="246"/>
        <v>0</v>
      </c>
      <c r="BD205" s="25">
        <f t="shared" si="247"/>
        <v>0</v>
      </c>
      <c r="BE205" s="25">
        <f t="shared" si="248"/>
        <v>0</v>
      </c>
      <c r="BF205" s="26">
        <f t="array" ref="BF205">IFERROR(INDEX('Malaria-Equipment &amp; Other HPs'!$AF$130:$AF$230,MATCH($E205&amp;$F205,'Malaria-Equipment &amp; Other HPs'!$E$130:$E$230&amp;'Malaria-Equipment &amp; Other HPs'!$H$130:$H$230,0)),0)</f>
        <v>0</v>
      </c>
      <c r="BG205" s="26">
        <f t="shared" si="249"/>
        <v>0</v>
      </c>
      <c r="BH205" s="25">
        <f t="shared" si="250"/>
        <v>0</v>
      </c>
      <c r="BI205" s="25">
        <f t="shared" si="251"/>
        <v>0</v>
      </c>
      <c r="BJ205" s="680"/>
      <c r="BK205" s="26"/>
      <c r="BL205" s="26"/>
      <c r="BM205" s="26"/>
      <c r="BN205" s="26"/>
      <c r="BO205" s="26"/>
      <c r="BP205" s="26"/>
      <c r="BQ205" s="26"/>
      <c r="BR205" s="26"/>
      <c r="BT205" s="21" t="s">
        <v>6839</v>
      </c>
    </row>
    <row r="206" spans="1:72">
      <c r="A206" s="29" t="s">
        <v>538</v>
      </c>
      <c r="B206" s="29" t="s">
        <v>1550</v>
      </c>
      <c r="C206" s="626">
        <f>SETUP!$F$58</f>
        <v>0</v>
      </c>
      <c r="D206" s="25">
        <v>6.6</v>
      </c>
      <c r="E206" s="26" t="s">
        <v>223</v>
      </c>
      <c r="F206" s="26" t="s">
        <v>201</v>
      </c>
      <c r="G206" s="26" t="str">
        <f t="array" ref="G206">IFERROR(INDEX('Malaria-Equipment &amp; Other HPs'!$L$130:$L$230,MATCH($E206&amp;$F206,'Malaria-Equipment &amp; Other HPs'!$E$130:$E$230&amp;'Malaria-Equipment &amp; Other HPs'!$H$130:$H$230,0)),"")</f>
        <v/>
      </c>
      <c r="H206" s="26" t="str">
        <f t="array" ref="H206">IFERROR(INDEX('Malaria-Equipment &amp; Other HPs'!$M$130:$M$230,MATCH($E206&amp;$F206,'Malaria-Equipment &amp; Other HPs'!$E$130:$E$230&amp;'Malaria-Equipment &amp; Other HPs'!$H$130:$H$230,0)),"")</f>
        <v/>
      </c>
      <c r="I206" s="26">
        <f t="array" ref="I206">IFERROR(INDEX('Malaria-Equipment &amp; Other HPs'!$N$130:$N$230,MATCH($E206&amp;$F206,'Malaria-Equipment &amp; Other HPs'!$E$130:$E$230&amp;'Malaria-Equipment &amp; Other HPs'!$H$130:$H$230,0)),0)</f>
        <v>0</v>
      </c>
      <c r="J206" s="26">
        <f t="array" ref="J206">IFERROR(INDEX('Malaria-Equipment &amp; Other HPs'!$O$130:$O$230,MATCH($E206&amp;$F206,'Malaria-Equipment &amp; Other HPs'!$E$130:$E$230&amp;'Malaria-Equipment &amp; Other HPs'!$H$130:$H$230,0)),0)</f>
        <v>0</v>
      </c>
      <c r="K206" s="25">
        <f t="shared" si="216"/>
        <v>0</v>
      </c>
      <c r="L206" s="25">
        <f t="shared" si="217"/>
        <v>0</v>
      </c>
      <c r="M206" s="25">
        <f t="shared" si="218"/>
        <v>0</v>
      </c>
      <c r="N206" s="26">
        <f t="array" ref="N206">IFERROR(INDEX('Malaria-Equipment &amp; Other HPs'!$P$130:$P$230,MATCH($E206&amp;$F206,'Malaria-Equipment &amp; Other HPs'!$E$130:$E$230&amp;'Malaria-Equipment &amp; Other HPs'!$H$130:$H$230,0)),0)</f>
        <v>0</v>
      </c>
      <c r="O206" s="25">
        <f t="shared" si="219"/>
        <v>0</v>
      </c>
      <c r="P206" s="25">
        <f t="shared" si="220"/>
        <v>0</v>
      </c>
      <c r="Q206" s="25">
        <f t="shared" si="221"/>
        <v>0</v>
      </c>
      <c r="R206" s="26">
        <f t="array" ref="R206">IFERROR(INDEX('Malaria-Equipment &amp; Other HPs'!$Q$130:$Q$230,MATCH($E206&amp;$F206,'Malaria-Equipment &amp; Other HPs'!$E$130:$E$230&amp;'Malaria-Equipment &amp; Other HPs'!$H$130:$H$230,0)),0)</f>
        <v>0</v>
      </c>
      <c r="S206" s="25">
        <f t="shared" si="222"/>
        <v>0</v>
      </c>
      <c r="T206" s="25">
        <f t="shared" si="223"/>
        <v>0</v>
      </c>
      <c r="U206" s="25">
        <f t="shared" si="224"/>
        <v>0</v>
      </c>
      <c r="V206" s="26">
        <f t="array" ref="V206">IFERROR(INDEX('Malaria-Equipment &amp; Other HPs'!$R$130:$R$230,MATCH($E206&amp;$F206,'Malaria-Equipment &amp; Other HPs'!$E$130:$E$230&amp;'Malaria-Equipment &amp; Other HPs'!$H$130:$H$230,0)),0)</f>
        <v>0</v>
      </c>
      <c r="W206" s="25">
        <f t="shared" si="225"/>
        <v>0</v>
      </c>
      <c r="X206" s="25">
        <f t="shared" si="226"/>
        <v>0</v>
      </c>
      <c r="Y206" s="25">
        <f t="shared" si="227"/>
        <v>0</v>
      </c>
      <c r="Z206" s="680"/>
      <c r="AA206" s="26">
        <f t="array" ref="AA206">IFERROR(INDEX('Malaria-Equipment &amp; Other HPs'!$U$130:$U$230,MATCH($E206&amp;$F206,'Malaria-Equipment &amp; Other HPs'!$E$130:$E$230&amp;'Malaria-Equipment &amp; Other HPs'!$H$130:$H$230,0)),0)</f>
        <v>0</v>
      </c>
      <c r="AB206" s="26">
        <f t="array" ref="AB206">IFERROR(INDEX('Malaria-Equipment &amp; Other HPs'!$V$130:$V$230,MATCH($E206&amp;$F206,'Malaria-Equipment &amp; Other HPs'!$E$130:$E$230&amp;'Malaria-Equipment &amp; Other HPs'!$H$130:$H$230,0)),0)</f>
        <v>0</v>
      </c>
      <c r="AC206" s="26">
        <f t="shared" si="228"/>
        <v>0</v>
      </c>
      <c r="AD206" s="25">
        <f t="shared" si="229"/>
        <v>0</v>
      </c>
      <c r="AE206" s="25">
        <f t="shared" si="230"/>
        <v>0</v>
      </c>
      <c r="AF206" s="26">
        <f t="array" ref="AF206">IFERROR(INDEX('Malaria-Equipment &amp; Other HPs'!$W$130:$W$230,MATCH($E206&amp;$F206,'Malaria-Equipment &amp; Other HPs'!$E$130:$E$230&amp;'Malaria-Equipment &amp; Other HPs'!$H$130:$H$230,0)),0)</f>
        <v>0</v>
      </c>
      <c r="AG206" s="26">
        <f t="shared" si="231"/>
        <v>0</v>
      </c>
      <c r="AH206" s="25">
        <f t="shared" si="232"/>
        <v>0</v>
      </c>
      <c r="AI206" s="25">
        <f t="shared" si="233"/>
        <v>0</v>
      </c>
      <c r="AJ206" s="26">
        <f t="array" ref="AJ206">IFERROR(INDEX('Malaria-Equipment &amp; Other HPs'!$X$130:$X$230,MATCH($E206&amp;$F206,'Malaria-Equipment &amp; Other HPs'!$E$130:$E$230&amp;'Malaria-Equipment &amp; Other HPs'!$H$130:$H$230,0)),0)</f>
        <v>0</v>
      </c>
      <c r="AK206" s="26">
        <f t="shared" si="234"/>
        <v>0</v>
      </c>
      <c r="AL206" s="25">
        <f t="shared" si="235"/>
        <v>0</v>
      </c>
      <c r="AM206" s="25">
        <f t="shared" si="236"/>
        <v>0</v>
      </c>
      <c r="AN206" s="26">
        <f t="array" ref="AN206">IFERROR(INDEX('Malaria-Equipment &amp; Other HPs'!$Y$130:$Y$230,MATCH($E206&amp;$F206,'Malaria-Equipment &amp; Other HPs'!$E$130:$E$230&amp;'Malaria-Equipment &amp; Other HPs'!$H$130:$H$230,0)),0)</f>
        <v>0</v>
      </c>
      <c r="AO206" s="26">
        <f t="shared" si="237"/>
        <v>0</v>
      </c>
      <c r="AP206" s="25">
        <f t="shared" si="238"/>
        <v>0</v>
      </c>
      <c r="AQ206" s="25">
        <f t="shared" si="239"/>
        <v>0</v>
      </c>
      <c r="AR206" s="680"/>
      <c r="AS206" s="26">
        <f t="array" ref="AS206">IFERROR(INDEX('Malaria-Equipment &amp; Other HPs'!$AB$130:$AB$230,MATCH($E206&amp;$F206,'Malaria-Equipment &amp; Other HPs'!$E$130:$E$230&amp;'Malaria-Equipment &amp; Other HPs'!$H$130:$H$230,0)),0)</f>
        <v>0</v>
      </c>
      <c r="AT206" s="26">
        <f t="array" ref="AT206">IFERROR(INDEX('Malaria-Equipment &amp; Other HPs'!$AC$130:$AC$230,MATCH($E206&amp;$F206,'Malaria-Equipment &amp; Other HPs'!$E$130:$E$230&amp;'Malaria-Equipment &amp; Other HPs'!$H$130:$H$230,0)),0)</f>
        <v>0</v>
      </c>
      <c r="AU206" s="26">
        <f t="shared" si="240"/>
        <v>0</v>
      </c>
      <c r="AV206" s="25">
        <f t="shared" si="241"/>
        <v>0</v>
      </c>
      <c r="AW206" s="25">
        <f t="shared" si="242"/>
        <v>0</v>
      </c>
      <c r="AX206" s="26">
        <f t="array" ref="AX206">IFERROR(INDEX('Malaria-Equipment &amp; Other HPs'!$AD$130:$AD$230,MATCH($E206&amp;$F206,'Malaria-Equipment &amp; Other HPs'!$E$130:$E$230&amp;'Malaria-Equipment &amp; Other HPs'!$H$130:$H$230,0)),0)</f>
        <v>0</v>
      </c>
      <c r="AY206" s="26">
        <f t="shared" si="243"/>
        <v>0</v>
      </c>
      <c r="AZ206" s="25">
        <f t="shared" si="244"/>
        <v>0</v>
      </c>
      <c r="BA206" s="25">
        <f t="shared" si="245"/>
        <v>0</v>
      </c>
      <c r="BB206" s="26">
        <f t="array" ref="BB206">IFERROR(INDEX('Malaria-Equipment &amp; Other HPs'!$AE$130:$AE$230,MATCH($E206&amp;$F206,'Malaria-Equipment &amp; Other HPs'!$E$130:$E$230&amp;'Malaria-Equipment &amp; Other HPs'!$H$130:$H$230,0)),0)</f>
        <v>0</v>
      </c>
      <c r="BC206" s="26">
        <f t="shared" si="246"/>
        <v>0</v>
      </c>
      <c r="BD206" s="25">
        <f t="shared" si="247"/>
        <v>0</v>
      </c>
      <c r="BE206" s="25">
        <f t="shared" si="248"/>
        <v>0</v>
      </c>
      <c r="BF206" s="26">
        <f t="array" ref="BF206">IFERROR(INDEX('Malaria-Equipment &amp; Other HPs'!$AF$130:$AF$230,MATCH($E206&amp;$F206,'Malaria-Equipment &amp; Other HPs'!$E$130:$E$230&amp;'Malaria-Equipment &amp; Other HPs'!$H$130:$H$230,0)),0)</f>
        <v>0</v>
      </c>
      <c r="BG206" s="26">
        <f t="shared" si="249"/>
        <v>0</v>
      </c>
      <c r="BH206" s="25">
        <f t="shared" si="250"/>
        <v>0</v>
      </c>
      <c r="BI206" s="25">
        <f t="shared" si="251"/>
        <v>0</v>
      </c>
      <c r="BJ206" s="680"/>
      <c r="BK206" s="26"/>
      <c r="BL206" s="26"/>
      <c r="BM206" s="26"/>
      <c r="BN206" s="26"/>
      <c r="BO206" s="26"/>
      <c r="BP206" s="26"/>
      <c r="BQ206" s="26"/>
      <c r="BR206" s="26"/>
      <c r="BT206" s="21" t="s">
        <v>6839</v>
      </c>
    </row>
    <row r="207" spans="1:72">
      <c r="A207" s="29" t="s">
        <v>538</v>
      </c>
      <c r="B207" s="29" t="s">
        <v>1550</v>
      </c>
      <c r="C207" s="626">
        <f>SETUP!$F$58</f>
        <v>0</v>
      </c>
      <c r="D207" s="25">
        <v>6.6</v>
      </c>
      <c r="E207" s="26" t="s">
        <v>223</v>
      </c>
      <c r="F207" s="26" t="s">
        <v>200</v>
      </c>
      <c r="G207" s="26" t="str">
        <f t="array" ref="G207">IFERROR(INDEX('Malaria-Equipment &amp; Other HPs'!$L$130:$L$230,MATCH($E207&amp;$F207,'Malaria-Equipment &amp; Other HPs'!$E$130:$E$230&amp;'Malaria-Equipment &amp; Other HPs'!$H$130:$H$230,0)),"")</f>
        <v/>
      </c>
      <c r="H207" s="26" t="str">
        <f t="array" ref="H207">IFERROR(INDEX('Malaria-Equipment &amp; Other HPs'!$M$130:$M$230,MATCH($E207&amp;$F207,'Malaria-Equipment &amp; Other HPs'!$E$130:$E$230&amp;'Malaria-Equipment &amp; Other HPs'!$H$130:$H$230,0)),"")</f>
        <v/>
      </c>
      <c r="I207" s="26">
        <f t="array" ref="I207">IFERROR(INDEX('Malaria-Equipment &amp; Other HPs'!$N$130:$N$230,MATCH($E207&amp;$F207,'Malaria-Equipment &amp; Other HPs'!$E$130:$E$230&amp;'Malaria-Equipment &amp; Other HPs'!$H$130:$H$230,0)),0)</f>
        <v>0</v>
      </c>
      <c r="J207" s="26">
        <f t="array" ref="J207">IFERROR(INDEX('Malaria-Equipment &amp; Other HPs'!$O$130:$O$230,MATCH($E207&amp;$F207,'Malaria-Equipment &amp; Other HPs'!$E$130:$E$230&amp;'Malaria-Equipment &amp; Other HPs'!$H$130:$H$230,0)),0)</f>
        <v>0</v>
      </c>
      <c r="K207" s="25">
        <f t="shared" si="216"/>
        <v>0</v>
      </c>
      <c r="L207" s="25">
        <f t="shared" si="217"/>
        <v>0</v>
      </c>
      <c r="M207" s="25">
        <f t="shared" si="218"/>
        <v>0</v>
      </c>
      <c r="N207" s="26">
        <f t="array" ref="N207">IFERROR(INDEX('Malaria-Equipment &amp; Other HPs'!$P$130:$P$230,MATCH($E207&amp;$F207,'Malaria-Equipment &amp; Other HPs'!$E$130:$E$230&amp;'Malaria-Equipment &amp; Other HPs'!$H$130:$H$230,0)),0)</f>
        <v>0</v>
      </c>
      <c r="O207" s="25">
        <f t="shared" si="219"/>
        <v>0</v>
      </c>
      <c r="P207" s="25">
        <f t="shared" si="220"/>
        <v>0</v>
      </c>
      <c r="Q207" s="25">
        <f t="shared" si="221"/>
        <v>0</v>
      </c>
      <c r="R207" s="26">
        <f t="array" ref="R207">IFERROR(INDEX('Malaria-Equipment &amp; Other HPs'!$Q$130:$Q$230,MATCH($E207&amp;$F207,'Malaria-Equipment &amp; Other HPs'!$E$130:$E$230&amp;'Malaria-Equipment &amp; Other HPs'!$H$130:$H$230,0)),0)</f>
        <v>0</v>
      </c>
      <c r="S207" s="25">
        <f t="shared" si="222"/>
        <v>0</v>
      </c>
      <c r="T207" s="25">
        <f t="shared" si="223"/>
        <v>0</v>
      </c>
      <c r="U207" s="25">
        <f t="shared" si="224"/>
        <v>0</v>
      </c>
      <c r="V207" s="26">
        <f t="array" ref="V207">IFERROR(INDEX('Malaria-Equipment &amp; Other HPs'!$R$130:$R$230,MATCH($E207&amp;$F207,'Malaria-Equipment &amp; Other HPs'!$E$130:$E$230&amp;'Malaria-Equipment &amp; Other HPs'!$H$130:$H$230,0)),0)</f>
        <v>0</v>
      </c>
      <c r="W207" s="25">
        <f t="shared" si="225"/>
        <v>0</v>
      </c>
      <c r="X207" s="25">
        <f t="shared" si="226"/>
        <v>0</v>
      </c>
      <c r="Y207" s="25">
        <f t="shared" si="227"/>
        <v>0</v>
      </c>
      <c r="Z207" s="680"/>
      <c r="AA207" s="26">
        <f t="array" ref="AA207">IFERROR(INDEX('Malaria-Equipment &amp; Other HPs'!$U$130:$U$230,MATCH($E207&amp;$F207,'Malaria-Equipment &amp; Other HPs'!$E$130:$E$230&amp;'Malaria-Equipment &amp; Other HPs'!$H$130:$H$230,0)),0)</f>
        <v>0</v>
      </c>
      <c r="AB207" s="26">
        <f t="array" ref="AB207">IFERROR(INDEX('Malaria-Equipment &amp; Other HPs'!$V$130:$V$230,MATCH($E207&amp;$F207,'Malaria-Equipment &amp; Other HPs'!$E$130:$E$230&amp;'Malaria-Equipment &amp; Other HPs'!$H$130:$H$230,0)),0)</f>
        <v>0</v>
      </c>
      <c r="AC207" s="26">
        <f t="shared" si="228"/>
        <v>0</v>
      </c>
      <c r="AD207" s="25">
        <f t="shared" si="229"/>
        <v>0</v>
      </c>
      <c r="AE207" s="25">
        <f t="shared" si="230"/>
        <v>0</v>
      </c>
      <c r="AF207" s="26">
        <f t="array" ref="AF207">IFERROR(INDEX('Malaria-Equipment &amp; Other HPs'!$W$130:$W$230,MATCH($E207&amp;$F207,'Malaria-Equipment &amp; Other HPs'!$E$130:$E$230&amp;'Malaria-Equipment &amp; Other HPs'!$H$130:$H$230,0)),0)</f>
        <v>0</v>
      </c>
      <c r="AG207" s="26">
        <f t="shared" si="231"/>
        <v>0</v>
      </c>
      <c r="AH207" s="25">
        <f t="shared" si="232"/>
        <v>0</v>
      </c>
      <c r="AI207" s="25">
        <f t="shared" si="233"/>
        <v>0</v>
      </c>
      <c r="AJ207" s="26">
        <f t="array" ref="AJ207">IFERROR(INDEX('Malaria-Equipment &amp; Other HPs'!$X$130:$X$230,MATCH($E207&amp;$F207,'Malaria-Equipment &amp; Other HPs'!$E$130:$E$230&amp;'Malaria-Equipment &amp; Other HPs'!$H$130:$H$230,0)),0)</f>
        <v>0</v>
      </c>
      <c r="AK207" s="26">
        <f t="shared" si="234"/>
        <v>0</v>
      </c>
      <c r="AL207" s="25">
        <f t="shared" si="235"/>
        <v>0</v>
      </c>
      <c r="AM207" s="25">
        <f t="shared" si="236"/>
        <v>0</v>
      </c>
      <c r="AN207" s="26">
        <f t="array" ref="AN207">IFERROR(INDEX('Malaria-Equipment &amp; Other HPs'!$Y$130:$Y$230,MATCH($E207&amp;$F207,'Malaria-Equipment &amp; Other HPs'!$E$130:$E$230&amp;'Malaria-Equipment &amp; Other HPs'!$H$130:$H$230,0)),0)</f>
        <v>0</v>
      </c>
      <c r="AO207" s="26">
        <f t="shared" si="237"/>
        <v>0</v>
      </c>
      <c r="AP207" s="25">
        <f t="shared" si="238"/>
        <v>0</v>
      </c>
      <c r="AQ207" s="25">
        <f t="shared" si="239"/>
        <v>0</v>
      </c>
      <c r="AR207" s="680"/>
      <c r="AS207" s="26">
        <f t="array" ref="AS207">IFERROR(INDEX('Malaria-Equipment &amp; Other HPs'!$AB$130:$AB$230,MATCH($E207&amp;$F207,'Malaria-Equipment &amp; Other HPs'!$E$130:$E$230&amp;'Malaria-Equipment &amp; Other HPs'!$H$130:$H$230,0)),0)</f>
        <v>0</v>
      </c>
      <c r="AT207" s="26">
        <f t="array" ref="AT207">IFERROR(INDEX('Malaria-Equipment &amp; Other HPs'!$AC$130:$AC$230,MATCH($E207&amp;$F207,'Malaria-Equipment &amp; Other HPs'!$E$130:$E$230&amp;'Malaria-Equipment &amp; Other HPs'!$H$130:$H$230,0)),0)</f>
        <v>0</v>
      </c>
      <c r="AU207" s="26">
        <f t="shared" si="240"/>
        <v>0</v>
      </c>
      <c r="AV207" s="25">
        <f t="shared" si="241"/>
        <v>0</v>
      </c>
      <c r="AW207" s="25">
        <f t="shared" si="242"/>
        <v>0</v>
      </c>
      <c r="AX207" s="26">
        <f t="array" ref="AX207">IFERROR(INDEX('Malaria-Equipment &amp; Other HPs'!$AD$130:$AD$230,MATCH($E207&amp;$F207,'Malaria-Equipment &amp; Other HPs'!$E$130:$E$230&amp;'Malaria-Equipment &amp; Other HPs'!$H$130:$H$230,0)),0)</f>
        <v>0</v>
      </c>
      <c r="AY207" s="26">
        <f t="shared" si="243"/>
        <v>0</v>
      </c>
      <c r="AZ207" s="25">
        <f t="shared" si="244"/>
        <v>0</v>
      </c>
      <c r="BA207" s="25">
        <f t="shared" si="245"/>
        <v>0</v>
      </c>
      <c r="BB207" s="26">
        <f t="array" ref="BB207">IFERROR(INDEX('Malaria-Equipment &amp; Other HPs'!$AE$130:$AE$230,MATCH($E207&amp;$F207,'Malaria-Equipment &amp; Other HPs'!$E$130:$E$230&amp;'Malaria-Equipment &amp; Other HPs'!$H$130:$H$230,0)),0)</f>
        <v>0</v>
      </c>
      <c r="BC207" s="26">
        <f t="shared" si="246"/>
        <v>0</v>
      </c>
      <c r="BD207" s="25">
        <f t="shared" si="247"/>
        <v>0</v>
      </c>
      <c r="BE207" s="25">
        <f t="shared" si="248"/>
        <v>0</v>
      </c>
      <c r="BF207" s="26">
        <f t="array" ref="BF207">IFERROR(INDEX('Malaria-Equipment &amp; Other HPs'!$AF$130:$AF$230,MATCH($E207&amp;$F207,'Malaria-Equipment &amp; Other HPs'!$E$130:$E$230&amp;'Malaria-Equipment &amp; Other HPs'!$H$130:$H$230,0)),0)</f>
        <v>0</v>
      </c>
      <c r="BG207" s="26">
        <f t="shared" si="249"/>
        <v>0</v>
      </c>
      <c r="BH207" s="25">
        <f t="shared" si="250"/>
        <v>0</v>
      </c>
      <c r="BI207" s="25">
        <f t="shared" si="251"/>
        <v>0</v>
      </c>
      <c r="BJ207" s="680"/>
      <c r="BK207" s="26"/>
      <c r="BL207" s="26"/>
      <c r="BM207" s="26"/>
      <c r="BN207" s="26"/>
      <c r="BO207" s="26"/>
      <c r="BP207" s="26"/>
      <c r="BQ207" s="26"/>
      <c r="BR207" s="26"/>
      <c r="BT207" s="21" t="s">
        <v>6839</v>
      </c>
    </row>
    <row r="208" spans="1:72">
      <c r="A208" s="29" t="s">
        <v>63</v>
      </c>
      <c r="B208" s="29" t="s">
        <v>1550</v>
      </c>
      <c r="C208" s="626">
        <f>SETUP!$F$58</f>
        <v>0</v>
      </c>
      <c r="D208" s="25">
        <v>6.5</v>
      </c>
      <c r="E208" s="26" t="s">
        <v>224</v>
      </c>
      <c r="F208" s="26" t="s">
        <v>218</v>
      </c>
      <c r="G208" s="26" t="str">
        <f t="array" ref="G208">IFERROR(INDEX('Malaria-Equipment &amp; Other HPs'!$L$130:$L$230,MATCH($E208&amp;$F208,'Malaria-Equipment &amp; Other HPs'!$E$130:$E$230&amp;'Malaria-Equipment &amp; Other HPs'!$H$130:$H$230,0)),"")</f>
        <v/>
      </c>
      <c r="H208" s="26" t="str">
        <f t="array" ref="H208">IFERROR(INDEX('Malaria-Equipment &amp; Other HPs'!$M$130:$M$230,MATCH($E208&amp;$F208,'Malaria-Equipment &amp; Other HPs'!$E$130:$E$230&amp;'Malaria-Equipment &amp; Other HPs'!$H$130:$H$230,0)),"")</f>
        <v/>
      </c>
      <c r="I208" s="26">
        <f t="array" ref="I208">IFERROR(INDEX('Malaria-Equipment &amp; Other HPs'!$N$130:$N$230,MATCH($E208&amp;$F208,'Malaria-Equipment &amp; Other HPs'!$E$130:$E$230&amp;'Malaria-Equipment &amp; Other HPs'!$H$130:$H$230,0)),0)</f>
        <v>0</v>
      </c>
      <c r="J208" s="26">
        <f t="array" ref="J208">IFERROR(INDEX('Malaria-Equipment &amp; Other HPs'!$O$130:$O$230,MATCH($E208&amp;$F208,'Malaria-Equipment &amp; Other HPs'!$E$130:$E$230&amp;'Malaria-Equipment &amp; Other HPs'!$H$130:$H$230,0)),0)</f>
        <v>0</v>
      </c>
      <c r="K208" s="25">
        <f t="shared" si="216"/>
        <v>0</v>
      </c>
      <c r="L208" s="25">
        <f t="shared" si="217"/>
        <v>0</v>
      </c>
      <c r="M208" s="25">
        <f t="shared" si="218"/>
        <v>0</v>
      </c>
      <c r="N208" s="26">
        <f t="array" ref="N208">IFERROR(INDEX('Malaria-Equipment &amp; Other HPs'!$P$130:$P$230,MATCH($E208&amp;$F208,'Malaria-Equipment &amp; Other HPs'!$E$130:$E$230&amp;'Malaria-Equipment &amp; Other HPs'!$H$130:$H$230,0)),0)</f>
        <v>0</v>
      </c>
      <c r="O208" s="25">
        <f t="shared" si="219"/>
        <v>0</v>
      </c>
      <c r="P208" s="25">
        <f t="shared" si="220"/>
        <v>0</v>
      </c>
      <c r="Q208" s="25">
        <f t="shared" si="221"/>
        <v>0</v>
      </c>
      <c r="R208" s="26">
        <f t="array" ref="R208">IFERROR(INDEX('Malaria-Equipment &amp; Other HPs'!$Q$130:$Q$230,MATCH($E208&amp;$F208,'Malaria-Equipment &amp; Other HPs'!$E$130:$E$230&amp;'Malaria-Equipment &amp; Other HPs'!$H$130:$H$230,0)),0)</f>
        <v>0</v>
      </c>
      <c r="S208" s="25">
        <f t="shared" si="222"/>
        <v>0</v>
      </c>
      <c r="T208" s="25">
        <f t="shared" si="223"/>
        <v>0</v>
      </c>
      <c r="U208" s="25">
        <f t="shared" si="224"/>
        <v>0</v>
      </c>
      <c r="V208" s="26">
        <f t="array" ref="V208">IFERROR(INDEX('Malaria-Equipment &amp; Other HPs'!$R$130:$R$230,MATCH($E208&amp;$F208,'Malaria-Equipment &amp; Other HPs'!$E$130:$E$230&amp;'Malaria-Equipment &amp; Other HPs'!$H$130:$H$230,0)),0)</f>
        <v>0</v>
      </c>
      <c r="W208" s="25">
        <f t="shared" si="225"/>
        <v>0</v>
      </c>
      <c r="X208" s="25">
        <f t="shared" si="226"/>
        <v>0</v>
      </c>
      <c r="Y208" s="25">
        <f t="shared" si="227"/>
        <v>0</v>
      </c>
      <c r="Z208" s="680"/>
      <c r="AA208" s="26">
        <f t="array" ref="AA208">IFERROR(INDEX('Malaria-Equipment &amp; Other HPs'!$U$130:$U$230,MATCH($E208&amp;$F208,'Malaria-Equipment &amp; Other HPs'!$E$130:$E$230&amp;'Malaria-Equipment &amp; Other HPs'!$H$130:$H$230,0)),0)</f>
        <v>0</v>
      </c>
      <c r="AB208" s="26">
        <f t="array" ref="AB208">IFERROR(INDEX('Malaria-Equipment &amp; Other HPs'!$V$130:$V$230,MATCH($E208&amp;$F208,'Malaria-Equipment &amp; Other HPs'!$E$130:$E$230&amp;'Malaria-Equipment &amp; Other HPs'!$H$130:$H$230,0)),0)</f>
        <v>0</v>
      </c>
      <c r="AC208" s="26">
        <f t="shared" si="228"/>
        <v>0</v>
      </c>
      <c r="AD208" s="25">
        <f t="shared" si="229"/>
        <v>0</v>
      </c>
      <c r="AE208" s="25">
        <f t="shared" si="230"/>
        <v>0</v>
      </c>
      <c r="AF208" s="26">
        <f t="array" ref="AF208">IFERROR(INDEX('Malaria-Equipment &amp; Other HPs'!$W$130:$W$230,MATCH($E208&amp;$F208,'Malaria-Equipment &amp; Other HPs'!$E$130:$E$230&amp;'Malaria-Equipment &amp; Other HPs'!$H$130:$H$230,0)),0)</f>
        <v>0</v>
      </c>
      <c r="AG208" s="26">
        <f t="shared" si="231"/>
        <v>0</v>
      </c>
      <c r="AH208" s="25">
        <f t="shared" si="232"/>
        <v>0</v>
      </c>
      <c r="AI208" s="25">
        <f t="shared" si="233"/>
        <v>0</v>
      </c>
      <c r="AJ208" s="26">
        <f t="array" ref="AJ208">IFERROR(INDEX('Malaria-Equipment &amp; Other HPs'!$X$130:$X$230,MATCH($E208&amp;$F208,'Malaria-Equipment &amp; Other HPs'!$E$130:$E$230&amp;'Malaria-Equipment &amp; Other HPs'!$H$130:$H$230,0)),0)</f>
        <v>0</v>
      </c>
      <c r="AK208" s="26">
        <f t="shared" si="234"/>
        <v>0</v>
      </c>
      <c r="AL208" s="25">
        <f t="shared" si="235"/>
        <v>0</v>
      </c>
      <c r="AM208" s="25">
        <f t="shared" si="236"/>
        <v>0</v>
      </c>
      <c r="AN208" s="26">
        <f t="array" ref="AN208">IFERROR(INDEX('Malaria-Equipment &amp; Other HPs'!$Y$130:$Y$230,MATCH($E208&amp;$F208,'Malaria-Equipment &amp; Other HPs'!$E$130:$E$230&amp;'Malaria-Equipment &amp; Other HPs'!$H$130:$H$230,0)),0)</f>
        <v>0</v>
      </c>
      <c r="AO208" s="26">
        <f t="shared" si="237"/>
        <v>0</v>
      </c>
      <c r="AP208" s="25">
        <f t="shared" si="238"/>
        <v>0</v>
      </c>
      <c r="AQ208" s="25">
        <f t="shared" si="239"/>
        <v>0</v>
      </c>
      <c r="AR208" s="680"/>
      <c r="AS208" s="26">
        <f t="array" ref="AS208">IFERROR(INDEX('Malaria-Equipment &amp; Other HPs'!$AB$130:$AB$230,MATCH($E208&amp;$F208,'Malaria-Equipment &amp; Other HPs'!$E$130:$E$230&amp;'Malaria-Equipment &amp; Other HPs'!$H$130:$H$230,0)),0)</f>
        <v>0</v>
      </c>
      <c r="AT208" s="26">
        <f t="array" ref="AT208">IFERROR(INDEX('Malaria-Equipment &amp; Other HPs'!$AC$130:$AC$230,MATCH($E208&amp;$F208,'Malaria-Equipment &amp; Other HPs'!$E$130:$E$230&amp;'Malaria-Equipment &amp; Other HPs'!$H$130:$H$230,0)),0)</f>
        <v>0</v>
      </c>
      <c r="AU208" s="26">
        <f t="shared" si="240"/>
        <v>0</v>
      </c>
      <c r="AV208" s="25">
        <f t="shared" si="241"/>
        <v>0</v>
      </c>
      <c r="AW208" s="25">
        <f t="shared" si="242"/>
        <v>0</v>
      </c>
      <c r="AX208" s="26">
        <f t="array" ref="AX208">IFERROR(INDEX('Malaria-Equipment &amp; Other HPs'!$AD$130:$AD$230,MATCH($E208&amp;$F208,'Malaria-Equipment &amp; Other HPs'!$E$130:$E$230&amp;'Malaria-Equipment &amp; Other HPs'!$H$130:$H$230,0)),0)</f>
        <v>0</v>
      </c>
      <c r="AY208" s="26">
        <f t="shared" si="243"/>
        <v>0</v>
      </c>
      <c r="AZ208" s="25">
        <f t="shared" si="244"/>
        <v>0</v>
      </c>
      <c r="BA208" s="25">
        <f t="shared" si="245"/>
        <v>0</v>
      </c>
      <c r="BB208" s="26">
        <f t="array" ref="BB208">IFERROR(INDEX('Malaria-Equipment &amp; Other HPs'!$AE$130:$AE$230,MATCH($E208&amp;$F208,'Malaria-Equipment &amp; Other HPs'!$E$130:$E$230&amp;'Malaria-Equipment &amp; Other HPs'!$H$130:$H$230,0)),0)</f>
        <v>0</v>
      </c>
      <c r="BC208" s="26">
        <f t="shared" si="246"/>
        <v>0</v>
      </c>
      <c r="BD208" s="25">
        <f t="shared" si="247"/>
        <v>0</v>
      </c>
      <c r="BE208" s="25">
        <f t="shared" si="248"/>
        <v>0</v>
      </c>
      <c r="BF208" s="26">
        <f t="array" ref="BF208">IFERROR(INDEX('Malaria-Equipment &amp; Other HPs'!$AF$130:$AF$230,MATCH($E208&amp;$F208,'Malaria-Equipment &amp; Other HPs'!$E$130:$E$230&amp;'Malaria-Equipment &amp; Other HPs'!$H$130:$H$230,0)),0)</f>
        <v>0</v>
      </c>
      <c r="BG208" s="26">
        <f t="shared" si="249"/>
        <v>0</v>
      </c>
      <c r="BH208" s="25">
        <f t="shared" si="250"/>
        <v>0</v>
      </c>
      <c r="BI208" s="25">
        <f t="shared" si="251"/>
        <v>0</v>
      </c>
      <c r="BJ208" s="680"/>
      <c r="BK208" s="26"/>
      <c r="BL208" s="26"/>
      <c r="BM208" s="26"/>
      <c r="BN208" s="26"/>
      <c r="BO208" s="26"/>
      <c r="BP208" s="26"/>
      <c r="BQ208" s="26"/>
      <c r="BR208" s="26"/>
      <c r="BT208" s="21" t="s">
        <v>6839</v>
      </c>
    </row>
    <row r="209" spans="1:72">
      <c r="A209" s="29" t="s">
        <v>538</v>
      </c>
      <c r="B209" s="29" t="s">
        <v>1550</v>
      </c>
      <c r="C209" s="626">
        <f>SETUP!$F$58</f>
        <v>0</v>
      </c>
      <c r="D209" s="25">
        <v>6.6</v>
      </c>
      <c r="E209" s="26" t="s">
        <v>224</v>
      </c>
      <c r="F209" s="26" t="s">
        <v>201</v>
      </c>
      <c r="G209" s="26" t="str">
        <f t="array" ref="G209">IFERROR(INDEX('Malaria-Equipment &amp; Other HPs'!$L$130:$L$230,MATCH($E209&amp;$F209,'Malaria-Equipment &amp; Other HPs'!$E$130:$E$230&amp;'Malaria-Equipment &amp; Other HPs'!$H$130:$H$230,0)),"")</f>
        <v/>
      </c>
      <c r="H209" s="26" t="str">
        <f t="array" ref="H209">IFERROR(INDEX('Malaria-Equipment &amp; Other HPs'!$M$130:$M$230,MATCH($E209&amp;$F209,'Malaria-Equipment &amp; Other HPs'!$E$130:$E$230&amp;'Malaria-Equipment &amp; Other HPs'!$H$130:$H$230,0)),"")</f>
        <v/>
      </c>
      <c r="I209" s="26">
        <f t="array" ref="I209">IFERROR(INDEX('Malaria-Equipment &amp; Other HPs'!$N$130:$N$230,MATCH($E209&amp;$F209,'Malaria-Equipment &amp; Other HPs'!$E$130:$E$230&amp;'Malaria-Equipment &amp; Other HPs'!$H$130:$H$230,0)),0)</f>
        <v>0</v>
      </c>
      <c r="J209" s="26">
        <f t="array" ref="J209">IFERROR(INDEX('Malaria-Equipment &amp; Other HPs'!$O$130:$O$230,MATCH($E209&amp;$F209,'Malaria-Equipment &amp; Other HPs'!$E$130:$E$230&amp;'Malaria-Equipment &amp; Other HPs'!$H$130:$H$230,0)),0)</f>
        <v>0</v>
      </c>
      <c r="K209" s="25">
        <f t="shared" si="216"/>
        <v>0</v>
      </c>
      <c r="L209" s="25">
        <f t="shared" si="217"/>
        <v>0</v>
      </c>
      <c r="M209" s="25">
        <f t="shared" si="218"/>
        <v>0</v>
      </c>
      <c r="N209" s="26">
        <f t="array" ref="N209">IFERROR(INDEX('Malaria-Equipment &amp; Other HPs'!$P$130:$P$230,MATCH($E209&amp;$F209,'Malaria-Equipment &amp; Other HPs'!$E$130:$E$230&amp;'Malaria-Equipment &amp; Other HPs'!$H$130:$H$230,0)),0)</f>
        <v>0</v>
      </c>
      <c r="O209" s="25">
        <f t="shared" si="219"/>
        <v>0</v>
      </c>
      <c r="P209" s="25">
        <f t="shared" si="220"/>
        <v>0</v>
      </c>
      <c r="Q209" s="25">
        <f t="shared" si="221"/>
        <v>0</v>
      </c>
      <c r="R209" s="26">
        <f t="array" ref="R209">IFERROR(INDEX('Malaria-Equipment &amp; Other HPs'!$Q$130:$Q$230,MATCH($E209&amp;$F209,'Malaria-Equipment &amp; Other HPs'!$E$130:$E$230&amp;'Malaria-Equipment &amp; Other HPs'!$H$130:$H$230,0)),0)</f>
        <v>0</v>
      </c>
      <c r="S209" s="25">
        <f t="shared" si="222"/>
        <v>0</v>
      </c>
      <c r="T209" s="25">
        <f t="shared" si="223"/>
        <v>0</v>
      </c>
      <c r="U209" s="25">
        <f t="shared" si="224"/>
        <v>0</v>
      </c>
      <c r="V209" s="26">
        <f t="array" ref="V209">IFERROR(INDEX('Malaria-Equipment &amp; Other HPs'!$R$130:$R$230,MATCH($E209&amp;$F209,'Malaria-Equipment &amp; Other HPs'!$E$130:$E$230&amp;'Malaria-Equipment &amp; Other HPs'!$H$130:$H$230,0)),0)</f>
        <v>0</v>
      </c>
      <c r="W209" s="25">
        <f t="shared" si="225"/>
        <v>0</v>
      </c>
      <c r="X209" s="25">
        <f t="shared" si="226"/>
        <v>0</v>
      </c>
      <c r="Y209" s="25">
        <f t="shared" si="227"/>
        <v>0</v>
      </c>
      <c r="Z209" s="680"/>
      <c r="AA209" s="26">
        <f t="array" ref="AA209">IFERROR(INDEX('Malaria-Equipment &amp; Other HPs'!$U$130:$U$230,MATCH($E209&amp;$F209,'Malaria-Equipment &amp; Other HPs'!$E$130:$E$230&amp;'Malaria-Equipment &amp; Other HPs'!$H$130:$H$230,0)),0)</f>
        <v>0</v>
      </c>
      <c r="AB209" s="26">
        <f t="array" ref="AB209">IFERROR(INDEX('Malaria-Equipment &amp; Other HPs'!$V$130:$V$230,MATCH($E209&amp;$F209,'Malaria-Equipment &amp; Other HPs'!$E$130:$E$230&amp;'Malaria-Equipment &amp; Other HPs'!$H$130:$H$230,0)),0)</f>
        <v>0</v>
      </c>
      <c r="AC209" s="26">
        <f t="shared" si="228"/>
        <v>0</v>
      </c>
      <c r="AD209" s="25">
        <f t="shared" si="229"/>
        <v>0</v>
      </c>
      <c r="AE209" s="25">
        <f t="shared" si="230"/>
        <v>0</v>
      </c>
      <c r="AF209" s="26">
        <f t="array" ref="AF209">IFERROR(INDEX('Malaria-Equipment &amp; Other HPs'!$W$130:$W$230,MATCH($E209&amp;$F209,'Malaria-Equipment &amp; Other HPs'!$E$130:$E$230&amp;'Malaria-Equipment &amp; Other HPs'!$H$130:$H$230,0)),0)</f>
        <v>0</v>
      </c>
      <c r="AG209" s="26">
        <f t="shared" si="231"/>
        <v>0</v>
      </c>
      <c r="AH209" s="25">
        <f t="shared" si="232"/>
        <v>0</v>
      </c>
      <c r="AI209" s="25">
        <f t="shared" si="233"/>
        <v>0</v>
      </c>
      <c r="AJ209" s="26">
        <f t="array" ref="AJ209">IFERROR(INDEX('Malaria-Equipment &amp; Other HPs'!$X$130:$X$230,MATCH($E209&amp;$F209,'Malaria-Equipment &amp; Other HPs'!$E$130:$E$230&amp;'Malaria-Equipment &amp; Other HPs'!$H$130:$H$230,0)),0)</f>
        <v>0</v>
      </c>
      <c r="AK209" s="26">
        <f t="shared" si="234"/>
        <v>0</v>
      </c>
      <c r="AL209" s="25">
        <f t="shared" si="235"/>
        <v>0</v>
      </c>
      <c r="AM209" s="25">
        <f t="shared" si="236"/>
        <v>0</v>
      </c>
      <c r="AN209" s="26">
        <f t="array" ref="AN209">IFERROR(INDEX('Malaria-Equipment &amp; Other HPs'!$Y$130:$Y$230,MATCH($E209&amp;$F209,'Malaria-Equipment &amp; Other HPs'!$E$130:$E$230&amp;'Malaria-Equipment &amp; Other HPs'!$H$130:$H$230,0)),0)</f>
        <v>0</v>
      </c>
      <c r="AO209" s="26">
        <f t="shared" si="237"/>
        <v>0</v>
      </c>
      <c r="AP209" s="25">
        <f t="shared" si="238"/>
        <v>0</v>
      </c>
      <c r="AQ209" s="25">
        <f t="shared" si="239"/>
        <v>0</v>
      </c>
      <c r="AR209" s="680"/>
      <c r="AS209" s="26">
        <f t="array" ref="AS209">IFERROR(INDEX('Malaria-Equipment &amp; Other HPs'!$AB$130:$AB$230,MATCH($E209&amp;$F209,'Malaria-Equipment &amp; Other HPs'!$E$130:$E$230&amp;'Malaria-Equipment &amp; Other HPs'!$H$130:$H$230,0)),0)</f>
        <v>0</v>
      </c>
      <c r="AT209" s="26">
        <f t="array" ref="AT209">IFERROR(INDEX('Malaria-Equipment &amp; Other HPs'!$AC$130:$AC$230,MATCH($E209&amp;$F209,'Malaria-Equipment &amp; Other HPs'!$E$130:$E$230&amp;'Malaria-Equipment &amp; Other HPs'!$H$130:$H$230,0)),0)</f>
        <v>0</v>
      </c>
      <c r="AU209" s="26">
        <f t="shared" si="240"/>
        <v>0</v>
      </c>
      <c r="AV209" s="25">
        <f t="shared" si="241"/>
        <v>0</v>
      </c>
      <c r="AW209" s="25">
        <f t="shared" si="242"/>
        <v>0</v>
      </c>
      <c r="AX209" s="26">
        <f t="array" ref="AX209">IFERROR(INDEX('Malaria-Equipment &amp; Other HPs'!$AD$130:$AD$230,MATCH($E209&amp;$F209,'Malaria-Equipment &amp; Other HPs'!$E$130:$E$230&amp;'Malaria-Equipment &amp; Other HPs'!$H$130:$H$230,0)),0)</f>
        <v>0</v>
      </c>
      <c r="AY209" s="26">
        <f t="shared" si="243"/>
        <v>0</v>
      </c>
      <c r="AZ209" s="25">
        <f t="shared" si="244"/>
        <v>0</v>
      </c>
      <c r="BA209" s="25">
        <f t="shared" si="245"/>
        <v>0</v>
      </c>
      <c r="BB209" s="26">
        <f t="array" ref="BB209">IFERROR(INDEX('Malaria-Equipment &amp; Other HPs'!$AE$130:$AE$230,MATCH($E209&amp;$F209,'Malaria-Equipment &amp; Other HPs'!$E$130:$E$230&amp;'Malaria-Equipment &amp; Other HPs'!$H$130:$H$230,0)),0)</f>
        <v>0</v>
      </c>
      <c r="BC209" s="26">
        <f t="shared" si="246"/>
        <v>0</v>
      </c>
      <c r="BD209" s="25">
        <f t="shared" si="247"/>
        <v>0</v>
      </c>
      <c r="BE209" s="25">
        <f t="shared" si="248"/>
        <v>0</v>
      </c>
      <c r="BF209" s="26">
        <f t="array" ref="BF209">IFERROR(INDEX('Malaria-Equipment &amp; Other HPs'!$AF$130:$AF$230,MATCH($E209&amp;$F209,'Malaria-Equipment &amp; Other HPs'!$E$130:$E$230&amp;'Malaria-Equipment &amp; Other HPs'!$H$130:$H$230,0)),0)</f>
        <v>0</v>
      </c>
      <c r="BG209" s="26">
        <f t="shared" si="249"/>
        <v>0</v>
      </c>
      <c r="BH209" s="25">
        <f t="shared" si="250"/>
        <v>0</v>
      </c>
      <c r="BI209" s="25">
        <f t="shared" si="251"/>
        <v>0</v>
      </c>
      <c r="BJ209" s="680"/>
      <c r="BK209" s="26"/>
      <c r="BL209" s="26"/>
      <c r="BM209" s="26"/>
      <c r="BN209" s="26"/>
      <c r="BO209" s="26"/>
      <c r="BP209" s="26"/>
      <c r="BQ209" s="26"/>
      <c r="BR209" s="26"/>
      <c r="BT209" s="21" t="s">
        <v>6839</v>
      </c>
    </row>
    <row r="210" spans="1:72">
      <c r="A210" s="29" t="s">
        <v>538</v>
      </c>
      <c r="B210" s="29" t="s">
        <v>1550</v>
      </c>
      <c r="C210" s="626">
        <f>SETUP!$F$58</f>
        <v>0</v>
      </c>
      <c r="D210" s="25">
        <v>6.6</v>
      </c>
      <c r="E210" s="26" t="s">
        <v>224</v>
      </c>
      <c r="F210" s="26" t="s">
        <v>200</v>
      </c>
      <c r="G210" s="26" t="str">
        <f t="array" ref="G210">IFERROR(INDEX('Malaria-Equipment &amp; Other HPs'!$L$130:$L$230,MATCH($E210&amp;$F210,'Malaria-Equipment &amp; Other HPs'!$E$130:$E$230&amp;'Malaria-Equipment &amp; Other HPs'!$H$130:$H$230,0)),"")</f>
        <v/>
      </c>
      <c r="H210" s="26" t="str">
        <f t="array" ref="H210">IFERROR(INDEX('Malaria-Equipment &amp; Other HPs'!$M$130:$M$230,MATCH($E210&amp;$F210,'Malaria-Equipment &amp; Other HPs'!$E$130:$E$230&amp;'Malaria-Equipment &amp; Other HPs'!$H$130:$H$230,0)),"")</f>
        <v/>
      </c>
      <c r="I210" s="26">
        <f t="array" ref="I210">IFERROR(INDEX('Malaria-Equipment &amp; Other HPs'!$N$130:$N$230,MATCH($E210&amp;$F210,'Malaria-Equipment &amp; Other HPs'!$E$130:$E$230&amp;'Malaria-Equipment &amp; Other HPs'!$H$130:$H$230,0)),0)</f>
        <v>0</v>
      </c>
      <c r="J210" s="26">
        <f t="array" ref="J210">IFERROR(INDEX('Malaria-Equipment &amp; Other HPs'!$O$130:$O$230,MATCH($E210&amp;$F210,'Malaria-Equipment &amp; Other HPs'!$E$130:$E$230&amp;'Malaria-Equipment &amp; Other HPs'!$H$130:$H$230,0)),0)</f>
        <v>0</v>
      </c>
      <c r="K210" s="25">
        <f t="shared" si="216"/>
        <v>0</v>
      </c>
      <c r="L210" s="25">
        <f t="shared" si="217"/>
        <v>0</v>
      </c>
      <c r="M210" s="25">
        <f t="shared" si="218"/>
        <v>0</v>
      </c>
      <c r="N210" s="26">
        <f t="array" ref="N210">IFERROR(INDEX('Malaria-Equipment &amp; Other HPs'!$P$130:$P$230,MATCH($E210&amp;$F210,'Malaria-Equipment &amp; Other HPs'!$E$130:$E$230&amp;'Malaria-Equipment &amp; Other HPs'!$H$130:$H$230,0)),0)</f>
        <v>0</v>
      </c>
      <c r="O210" s="25">
        <f t="shared" si="219"/>
        <v>0</v>
      </c>
      <c r="P210" s="25">
        <f t="shared" si="220"/>
        <v>0</v>
      </c>
      <c r="Q210" s="25">
        <f t="shared" si="221"/>
        <v>0</v>
      </c>
      <c r="R210" s="26">
        <f t="array" ref="R210">IFERROR(INDEX('Malaria-Equipment &amp; Other HPs'!$Q$130:$Q$230,MATCH($E210&amp;$F210,'Malaria-Equipment &amp; Other HPs'!$E$130:$E$230&amp;'Malaria-Equipment &amp; Other HPs'!$H$130:$H$230,0)),0)</f>
        <v>0</v>
      </c>
      <c r="S210" s="25">
        <f t="shared" si="222"/>
        <v>0</v>
      </c>
      <c r="T210" s="25">
        <f t="shared" si="223"/>
        <v>0</v>
      </c>
      <c r="U210" s="25">
        <f t="shared" si="224"/>
        <v>0</v>
      </c>
      <c r="V210" s="26">
        <f t="array" ref="V210">IFERROR(INDEX('Malaria-Equipment &amp; Other HPs'!$R$130:$R$230,MATCH($E210&amp;$F210,'Malaria-Equipment &amp; Other HPs'!$E$130:$E$230&amp;'Malaria-Equipment &amp; Other HPs'!$H$130:$H$230,0)),0)</f>
        <v>0</v>
      </c>
      <c r="W210" s="25">
        <f t="shared" si="225"/>
        <v>0</v>
      </c>
      <c r="X210" s="25">
        <f t="shared" si="226"/>
        <v>0</v>
      </c>
      <c r="Y210" s="25">
        <f t="shared" si="227"/>
        <v>0</v>
      </c>
      <c r="Z210" s="680"/>
      <c r="AA210" s="26">
        <f t="array" ref="AA210">IFERROR(INDEX('Malaria-Equipment &amp; Other HPs'!$U$130:$U$230,MATCH($E210&amp;$F210,'Malaria-Equipment &amp; Other HPs'!$E$130:$E$230&amp;'Malaria-Equipment &amp; Other HPs'!$H$130:$H$230,0)),0)</f>
        <v>0</v>
      </c>
      <c r="AB210" s="26">
        <f t="array" ref="AB210">IFERROR(INDEX('Malaria-Equipment &amp; Other HPs'!$V$130:$V$230,MATCH($E210&amp;$F210,'Malaria-Equipment &amp; Other HPs'!$E$130:$E$230&amp;'Malaria-Equipment &amp; Other HPs'!$H$130:$H$230,0)),0)</f>
        <v>0</v>
      </c>
      <c r="AC210" s="26">
        <f t="shared" si="228"/>
        <v>0</v>
      </c>
      <c r="AD210" s="25">
        <f t="shared" si="229"/>
        <v>0</v>
      </c>
      <c r="AE210" s="25">
        <f t="shared" si="230"/>
        <v>0</v>
      </c>
      <c r="AF210" s="26">
        <f t="array" ref="AF210">IFERROR(INDEX('Malaria-Equipment &amp; Other HPs'!$W$130:$W$230,MATCH($E210&amp;$F210,'Malaria-Equipment &amp; Other HPs'!$E$130:$E$230&amp;'Malaria-Equipment &amp; Other HPs'!$H$130:$H$230,0)),0)</f>
        <v>0</v>
      </c>
      <c r="AG210" s="26">
        <f t="shared" si="231"/>
        <v>0</v>
      </c>
      <c r="AH210" s="25">
        <f t="shared" si="232"/>
        <v>0</v>
      </c>
      <c r="AI210" s="25">
        <f t="shared" si="233"/>
        <v>0</v>
      </c>
      <c r="AJ210" s="26">
        <f t="array" ref="AJ210">IFERROR(INDEX('Malaria-Equipment &amp; Other HPs'!$X$130:$X$230,MATCH($E210&amp;$F210,'Malaria-Equipment &amp; Other HPs'!$E$130:$E$230&amp;'Malaria-Equipment &amp; Other HPs'!$H$130:$H$230,0)),0)</f>
        <v>0</v>
      </c>
      <c r="AK210" s="26">
        <f t="shared" si="234"/>
        <v>0</v>
      </c>
      <c r="AL210" s="25">
        <f t="shared" si="235"/>
        <v>0</v>
      </c>
      <c r="AM210" s="25">
        <f t="shared" si="236"/>
        <v>0</v>
      </c>
      <c r="AN210" s="26">
        <f t="array" ref="AN210">IFERROR(INDEX('Malaria-Equipment &amp; Other HPs'!$Y$130:$Y$230,MATCH($E210&amp;$F210,'Malaria-Equipment &amp; Other HPs'!$E$130:$E$230&amp;'Malaria-Equipment &amp; Other HPs'!$H$130:$H$230,0)),0)</f>
        <v>0</v>
      </c>
      <c r="AO210" s="26">
        <f t="shared" si="237"/>
        <v>0</v>
      </c>
      <c r="AP210" s="25">
        <f t="shared" si="238"/>
        <v>0</v>
      </c>
      <c r="AQ210" s="25">
        <f t="shared" si="239"/>
        <v>0</v>
      </c>
      <c r="AR210" s="680"/>
      <c r="AS210" s="26">
        <f t="array" ref="AS210">IFERROR(INDEX('Malaria-Equipment &amp; Other HPs'!$AB$130:$AB$230,MATCH($E210&amp;$F210,'Malaria-Equipment &amp; Other HPs'!$E$130:$E$230&amp;'Malaria-Equipment &amp; Other HPs'!$H$130:$H$230,0)),0)</f>
        <v>0</v>
      </c>
      <c r="AT210" s="26">
        <f t="array" ref="AT210">IFERROR(INDEX('Malaria-Equipment &amp; Other HPs'!$AC$130:$AC$230,MATCH($E210&amp;$F210,'Malaria-Equipment &amp; Other HPs'!$E$130:$E$230&amp;'Malaria-Equipment &amp; Other HPs'!$H$130:$H$230,0)),0)</f>
        <v>0</v>
      </c>
      <c r="AU210" s="26">
        <f t="shared" si="240"/>
        <v>0</v>
      </c>
      <c r="AV210" s="25">
        <f t="shared" si="241"/>
        <v>0</v>
      </c>
      <c r="AW210" s="25">
        <f t="shared" si="242"/>
        <v>0</v>
      </c>
      <c r="AX210" s="26">
        <f t="array" ref="AX210">IFERROR(INDEX('Malaria-Equipment &amp; Other HPs'!$AD$130:$AD$230,MATCH($E210&amp;$F210,'Malaria-Equipment &amp; Other HPs'!$E$130:$E$230&amp;'Malaria-Equipment &amp; Other HPs'!$H$130:$H$230,0)),0)</f>
        <v>0</v>
      </c>
      <c r="AY210" s="26">
        <f t="shared" si="243"/>
        <v>0</v>
      </c>
      <c r="AZ210" s="25">
        <f t="shared" si="244"/>
        <v>0</v>
      </c>
      <c r="BA210" s="25">
        <f t="shared" si="245"/>
        <v>0</v>
      </c>
      <c r="BB210" s="26">
        <f t="array" ref="BB210">IFERROR(INDEX('Malaria-Equipment &amp; Other HPs'!$AE$130:$AE$230,MATCH($E210&amp;$F210,'Malaria-Equipment &amp; Other HPs'!$E$130:$E$230&amp;'Malaria-Equipment &amp; Other HPs'!$H$130:$H$230,0)),0)</f>
        <v>0</v>
      </c>
      <c r="BC210" s="26">
        <f t="shared" si="246"/>
        <v>0</v>
      </c>
      <c r="BD210" s="25">
        <f t="shared" si="247"/>
        <v>0</v>
      </c>
      <c r="BE210" s="25">
        <f t="shared" si="248"/>
        <v>0</v>
      </c>
      <c r="BF210" s="26">
        <f t="array" ref="BF210">IFERROR(INDEX('Malaria-Equipment &amp; Other HPs'!$AF$130:$AF$230,MATCH($E210&amp;$F210,'Malaria-Equipment &amp; Other HPs'!$E$130:$E$230&amp;'Malaria-Equipment &amp; Other HPs'!$H$130:$H$230,0)),0)</f>
        <v>0</v>
      </c>
      <c r="BG210" s="26">
        <f t="shared" si="249"/>
        <v>0</v>
      </c>
      <c r="BH210" s="25">
        <f t="shared" si="250"/>
        <v>0</v>
      </c>
      <c r="BI210" s="25">
        <f t="shared" si="251"/>
        <v>0</v>
      </c>
      <c r="BJ210" s="680"/>
      <c r="BK210" s="26"/>
      <c r="BL210" s="26"/>
      <c r="BM210" s="26"/>
      <c r="BN210" s="26"/>
      <c r="BO210" s="26"/>
      <c r="BP210" s="26"/>
      <c r="BQ210" s="26"/>
      <c r="BR210" s="26"/>
      <c r="BT210" s="21" t="s">
        <v>6839</v>
      </c>
    </row>
    <row r="211" spans="1:72">
      <c r="A211" s="29" t="s">
        <v>63</v>
      </c>
      <c r="B211" s="29" t="s">
        <v>1550</v>
      </c>
      <c r="C211" s="626">
        <f>SETUP!$F$58</f>
        <v>0</v>
      </c>
      <c r="D211" s="25">
        <v>6.5</v>
      </c>
      <c r="E211" s="26" t="s">
        <v>225</v>
      </c>
      <c r="F211" s="26" t="s">
        <v>218</v>
      </c>
      <c r="G211" s="26" t="str">
        <f t="array" ref="G211">IFERROR(INDEX('Malaria-Equipment &amp; Other HPs'!$L$130:$L$230,MATCH($E211&amp;$F211,'Malaria-Equipment &amp; Other HPs'!$E$130:$E$230&amp;'Malaria-Equipment &amp; Other HPs'!$H$130:$H$230,0)),"")</f>
        <v/>
      </c>
      <c r="H211" s="26" t="str">
        <f t="array" ref="H211">IFERROR(INDEX('Malaria-Equipment &amp; Other HPs'!$M$130:$M$230,MATCH($E211&amp;$F211,'Malaria-Equipment &amp; Other HPs'!$E$130:$E$230&amp;'Malaria-Equipment &amp; Other HPs'!$H$130:$H$230,0)),"")</f>
        <v/>
      </c>
      <c r="I211" s="26">
        <f t="array" ref="I211">IFERROR(INDEX('Malaria-Equipment &amp; Other HPs'!$N$130:$N$230,MATCH($E211&amp;$F211,'Malaria-Equipment &amp; Other HPs'!$E$130:$E$230&amp;'Malaria-Equipment &amp; Other HPs'!$H$130:$H$230,0)),0)</f>
        <v>0</v>
      </c>
      <c r="J211" s="26">
        <f t="array" ref="J211">IFERROR(INDEX('Malaria-Equipment &amp; Other HPs'!$O$130:$O$230,MATCH($E211&amp;$F211,'Malaria-Equipment &amp; Other HPs'!$E$130:$E$230&amp;'Malaria-Equipment &amp; Other HPs'!$H$130:$H$230,0)),0)</f>
        <v>0</v>
      </c>
      <c r="K211" s="25">
        <f t="shared" si="216"/>
        <v>0</v>
      </c>
      <c r="L211" s="25">
        <f t="shared" si="217"/>
        <v>0</v>
      </c>
      <c r="M211" s="25">
        <f t="shared" si="218"/>
        <v>0</v>
      </c>
      <c r="N211" s="26">
        <f t="array" ref="N211">IFERROR(INDEX('Malaria-Equipment &amp; Other HPs'!$P$130:$P$230,MATCH($E211&amp;$F211,'Malaria-Equipment &amp; Other HPs'!$E$130:$E$230&amp;'Malaria-Equipment &amp; Other HPs'!$H$130:$H$230,0)),0)</f>
        <v>0</v>
      </c>
      <c r="O211" s="25">
        <f t="shared" si="219"/>
        <v>0</v>
      </c>
      <c r="P211" s="25">
        <f t="shared" si="220"/>
        <v>0</v>
      </c>
      <c r="Q211" s="25">
        <f t="shared" si="221"/>
        <v>0</v>
      </c>
      <c r="R211" s="26">
        <f t="array" ref="R211">IFERROR(INDEX('Malaria-Equipment &amp; Other HPs'!$Q$130:$Q$230,MATCH($E211&amp;$F211,'Malaria-Equipment &amp; Other HPs'!$E$130:$E$230&amp;'Malaria-Equipment &amp; Other HPs'!$H$130:$H$230,0)),0)</f>
        <v>0</v>
      </c>
      <c r="S211" s="25">
        <f t="shared" si="222"/>
        <v>0</v>
      </c>
      <c r="T211" s="25">
        <f t="shared" si="223"/>
        <v>0</v>
      </c>
      <c r="U211" s="25">
        <f t="shared" si="224"/>
        <v>0</v>
      </c>
      <c r="V211" s="26">
        <f t="array" ref="V211">IFERROR(INDEX('Malaria-Equipment &amp; Other HPs'!$R$130:$R$230,MATCH($E211&amp;$F211,'Malaria-Equipment &amp; Other HPs'!$E$130:$E$230&amp;'Malaria-Equipment &amp; Other HPs'!$H$130:$H$230,0)),0)</f>
        <v>0</v>
      </c>
      <c r="W211" s="25">
        <f t="shared" si="225"/>
        <v>0</v>
      </c>
      <c r="X211" s="25">
        <f t="shared" si="226"/>
        <v>0</v>
      </c>
      <c r="Y211" s="25">
        <f t="shared" si="227"/>
        <v>0</v>
      </c>
      <c r="Z211" s="680"/>
      <c r="AA211" s="26">
        <f t="array" ref="AA211">IFERROR(INDEX('Malaria-Equipment &amp; Other HPs'!$U$130:$U$230,MATCH($E211&amp;$F211,'Malaria-Equipment &amp; Other HPs'!$E$130:$E$230&amp;'Malaria-Equipment &amp; Other HPs'!$H$130:$H$230,0)),0)</f>
        <v>0</v>
      </c>
      <c r="AB211" s="26">
        <f t="array" ref="AB211">IFERROR(INDEX('Malaria-Equipment &amp; Other HPs'!$V$130:$V$230,MATCH($E211&amp;$F211,'Malaria-Equipment &amp; Other HPs'!$E$130:$E$230&amp;'Malaria-Equipment &amp; Other HPs'!$H$130:$H$230,0)),0)</f>
        <v>0</v>
      </c>
      <c r="AC211" s="26">
        <f t="shared" si="228"/>
        <v>0</v>
      </c>
      <c r="AD211" s="25">
        <f t="shared" si="229"/>
        <v>0</v>
      </c>
      <c r="AE211" s="25">
        <f t="shared" si="230"/>
        <v>0</v>
      </c>
      <c r="AF211" s="26">
        <f t="array" ref="AF211">IFERROR(INDEX('Malaria-Equipment &amp; Other HPs'!$W$130:$W$230,MATCH($E211&amp;$F211,'Malaria-Equipment &amp; Other HPs'!$E$130:$E$230&amp;'Malaria-Equipment &amp; Other HPs'!$H$130:$H$230,0)),0)</f>
        <v>0</v>
      </c>
      <c r="AG211" s="26">
        <f t="shared" si="231"/>
        <v>0</v>
      </c>
      <c r="AH211" s="25">
        <f t="shared" si="232"/>
        <v>0</v>
      </c>
      <c r="AI211" s="25">
        <f t="shared" si="233"/>
        <v>0</v>
      </c>
      <c r="AJ211" s="26">
        <f t="array" ref="AJ211">IFERROR(INDEX('Malaria-Equipment &amp; Other HPs'!$X$130:$X$230,MATCH($E211&amp;$F211,'Malaria-Equipment &amp; Other HPs'!$E$130:$E$230&amp;'Malaria-Equipment &amp; Other HPs'!$H$130:$H$230,0)),0)</f>
        <v>0</v>
      </c>
      <c r="AK211" s="26">
        <f t="shared" si="234"/>
        <v>0</v>
      </c>
      <c r="AL211" s="25">
        <f t="shared" si="235"/>
        <v>0</v>
      </c>
      <c r="AM211" s="25">
        <f t="shared" si="236"/>
        <v>0</v>
      </c>
      <c r="AN211" s="26">
        <f t="array" ref="AN211">IFERROR(INDEX('Malaria-Equipment &amp; Other HPs'!$Y$130:$Y$230,MATCH($E211&amp;$F211,'Malaria-Equipment &amp; Other HPs'!$E$130:$E$230&amp;'Malaria-Equipment &amp; Other HPs'!$H$130:$H$230,0)),0)</f>
        <v>0</v>
      </c>
      <c r="AO211" s="26">
        <f t="shared" si="237"/>
        <v>0</v>
      </c>
      <c r="AP211" s="25">
        <f t="shared" si="238"/>
        <v>0</v>
      </c>
      <c r="AQ211" s="25">
        <f t="shared" si="239"/>
        <v>0</v>
      </c>
      <c r="AR211" s="680"/>
      <c r="AS211" s="26">
        <f t="array" ref="AS211">IFERROR(INDEX('Malaria-Equipment &amp; Other HPs'!$AB$130:$AB$230,MATCH($E211&amp;$F211,'Malaria-Equipment &amp; Other HPs'!$E$130:$E$230&amp;'Malaria-Equipment &amp; Other HPs'!$H$130:$H$230,0)),0)</f>
        <v>0</v>
      </c>
      <c r="AT211" s="26">
        <f t="array" ref="AT211">IFERROR(INDEX('Malaria-Equipment &amp; Other HPs'!$AC$130:$AC$230,MATCH($E211&amp;$F211,'Malaria-Equipment &amp; Other HPs'!$E$130:$E$230&amp;'Malaria-Equipment &amp; Other HPs'!$H$130:$H$230,0)),0)</f>
        <v>0</v>
      </c>
      <c r="AU211" s="26">
        <f t="shared" si="240"/>
        <v>0</v>
      </c>
      <c r="AV211" s="25">
        <f t="shared" si="241"/>
        <v>0</v>
      </c>
      <c r="AW211" s="25">
        <f t="shared" si="242"/>
        <v>0</v>
      </c>
      <c r="AX211" s="26">
        <f t="array" ref="AX211">IFERROR(INDEX('Malaria-Equipment &amp; Other HPs'!$AD$130:$AD$230,MATCH($E211&amp;$F211,'Malaria-Equipment &amp; Other HPs'!$E$130:$E$230&amp;'Malaria-Equipment &amp; Other HPs'!$H$130:$H$230,0)),0)</f>
        <v>0</v>
      </c>
      <c r="AY211" s="26">
        <f t="shared" si="243"/>
        <v>0</v>
      </c>
      <c r="AZ211" s="25">
        <f t="shared" si="244"/>
        <v>0</v>
      </c>
      <c r="BA211" s="25">
        <f t="shared" si="245"/>
        <v>0</v>
      </c>
      <c r="BB211" s="26">
        <f t="array" ref="BB211">IFERROR(INDEX('Malaria-Equipment &amp; Other HPs'!$AE$130:$AE$230,MATCH($E211&amp;$F211,'Malaria-Equipment &amp; Other HPs'!$E$130:$E$230&amp;'Malaria-Equipment &amp; Other HPs'!$H$130:$H$230,0)),0)</f>
        <v>0</v>
      </c>
      <c r="BC211" s="26">
        <f t="shared" si="246"/>
        <v>0</v>
      </c>
      <c r="BD211" s="25">
        <f t="shared" si="247"/>
        <v>0</v>
      </c>
      <c r="BE211" s="25">
        <f t="shared" si="248"/>
        <v>0</v>
      </c>
      <c r="BF211" s="26">
        <f t="array" ref="BF211">IFERROR(INDEX('Malaria-Equipment &amp; Other HPs'!$AF$130:$AF$230,MATCH($E211&amp;$F211,'Malaria-Equipment &amp; Other HPs'!$E$130:$E$230&amp;'Malaria-Equipment &amp; Other HPs'!$H$130:$H$230,0)),0)</f>
        <v>0</v>
      </c>
      <c r="BG211" s="26">
        <f t="shared" si="249"/>
        <v>0</v>
      </c>
      <c r="BH211" s="25">
        <f t="shared" si="250"/>
        <v>0</v>
      </c>
      <c r="BI211" s="25">
        <f t="shared" si="251"/>
        <v>0</v>
      </c>
      <c r="BJ211" s="680"/>
      <c r="BK211" s="26"/>
      <c r="BL211" s="26"/>
      <c r="BM211" s="26"/>
      <c r="BN211" s="26"/>
      <c r="BO211" s="26"/>
      <c r="BP211" s="26"/>
      <c r="BQ211" s="26"/>
      <c r="BR211" s="26"/>
      <c r="BT211" s="21" t="s">
        <v>6839</v>
      </c>
    </row>
    <row r="212" spans="1:72">
      <c r="A212" s="29" t="s">
        <v>538</v>
      </c>
      <c r="B212" s="29" t="s">
        <v>1550</v>
      </c>
      <c r="C212" s="626">
        <f>SETUP!$F$58</f>
        <v>0</v>
      </c>
      <c r="D212" s="25">
        <v>6.6</v>
      </c>
      <c r="E212" s="26" t="s">
        <v>225</v>
      </c>
      <c r="F212" s="26" t="s">
        <v>201</v>
      </c>
      <c r="G212" s="26" t="str">
        <f t="array" ref="G212">IFERROR(INDEX('Malaria-Equipment &amp; Other HPs'!$L$130:$L$230,MATCH($E212&amp;$F212,'Malaria-Equipment &amp; Other HPs'!$E$130:$E$230&amp;'Malaria-Equipment &amp; Other HPs'!$H$130:$H$230,0)),"")</f>
        <v/>
      </c>
      <c r="H212" s="26" t="str">
        <f t="array" ref="H212">IFERROR(INDEX('Malaria-Equipment &amp; Other HPs'!$M$130:$M$230,MATCH($E212&amp;$F212,'Malaria-Equipment &amp; Other HPs'!$E$130:$E$230&amp;'Malaria-Equipment &amp; Other HPs'!$H$130:$H$230,0)),"")</f>
        <v/>
      </c>
      <c r="I212" s="26">
        <f t="array" ref="I212">IFERROR(INDEX('Malaria-Equipment &amp; Other HPs'!$N$130:$N$230,MATCH($E212&amp;$F212,'Malaria-Equipment &amp; Other HPs'!$E$130:$E$230&amp;'Malaria-Equipment &amp; Other HPs'!$H$130:$H$230,0)),0)</f>
        <v>0</v>
      </c>
      <c r="J212" s="26">
        <f t="array" ref="J212">IFERROR(INDEX('Malaria-Equipment &amp; Other HPs'!$O$130:$O$230,MATCH($E212&amp;$F212,'Malaria-Equipment &amp; Other HPs'!$E$130:$E$230&amp;'Malaria-Equipment &amp; Other HPs'!$H$130:$H$230,0)),0)</f>
        <v>0</v>
      </c>
      <c r="K212" s="25">
        <f t="shared" si="216"/>
        <v>0</v>
      </c>
      <c r="L212" s="25">
        <f t="shared" si="217"/>
        <v>0</v>
      </c>
      <c r="M212" s="25">
        <f t="shared" si="218"/>
        <v>0</v>
      </c>
      <c r="N212" s="26">
        <f t="array" ref="N212">IFERROR(INDEX('Malaria-Equipment &amp; Other HPs'!$P$130:$P$230,MATCH($E212&amp;$F212,'Malaria-Equipment &amp; Other HPs'!$E$130:$E$230&amp;'Malaria-Equipment &amp; Other HPs'!$H$130:$H$230,0)),0)</f>
        <v>0</v>
      </c>
      <c r="O212" s="25">
        <f t="shared" si="219"/>
        <v>0</v>
      </c>
      <c r="P212" s="25">
        <f t="shared" si="220"/>
        <v>0</v>
      </c>
      <c r="Q212" s="25">
        <f t="shared" si="221"/>
        <v>0</v>
      </c>
      <c r="R212" s="26">
        <f t="array" ref="R212">IFERROR(INDEX('Malaria-Equipment &amp; Other HPs'!$Q$130:$Q$230,MATCH($E212&amp;$F212,'Malaria-Equipment &amp; Other HPs'!$E$130:$E$230&amp;'Malaria-Equipment &amp; Other HPs'!$H$130:$H$230,0)),0)</f>
        <v>0</v>
      </c>
      <c r="S212" s="25">
        <f t="shared" si="222"/>
        <v>0</v>
      </c>
      <c r="T212" s="25">
        <f t="shared" si="223"/>
        <v>0</v>
      </c>
      <c r="U212" s="25">
        <f t="shared" si="224"/>
        <v>0</v>
      </c>
      <c r="V212" s="26">
        <f t="array" ref="V212">IFERROR(INDEX('Malaria-Equipment &amp; Other HPs'!$R$130:$R$230,MATCH($E212&amp;$F212,'Malaria-Equipment &amp; Other HPs'!$E$130:$E$230&amp;'Malaria-Equipment &amp; Other HPs'!$H$130:$H$230,0)),0)</f>
        <v>0</v>
      </c>
      <c r="W212" s="25">
        <f t="shared" si="225"/>
        <v>0</v>
      </c>
      <c r="X212" s="25">
        <f t="shared" si="226"/>
        <v>0</v>
      </c>
      <c r="Y212" s="25">
        <f t="shared" si="227"/>
        <v>0</v>
      </c>
      <c r="Z212" s="680"/>
      <c r="AA212" s="26">
        <f t="array" ref="AA212">IFERROR(INDEX('Malaria-Equipment &amp; Other HPs'!$U$130:$U$230,MATCH($E212&amp;$F212,'Malaria-Equipment &amp; Other HPs'!$E$130:$E$230&amp;'Malaria-Equipment &amp; Other HPs'!$H$130:$H$230,0)),0)</f>
        <v>0</v>
      </c>
      <c r="AB212" s="26">
        <f t="array" ref="AB212">IFERROR(INDEX('Malaria-Equipment &amp; Other HPs'!$V$130:$V$230,MATCH($E212&amp;$F212,'Malaria-Equipment &amp; Other HPs'!$E$130:$E$230&amp;'Malaria-Equipment &amp; Other HPs'!$H$130:$H$230,0)),0)</f>
        <v>0</v>
      </c>
      <c r="AC212" s="26">
        <f t="shared" si="228"/>
        <v>0</v>
      </c>
      <c r="AD212" s="25">
        <f t="shared" si="229"/>
        <v>0</v>
      </c>
      <c r="AE212" s="25">
        <f t="shared" si="230"/>
        <v>0</v>
      </c>
      <c r="AF212" s="26">
        <f t="array" ref="AF212">IFERROR(INDEX('Malaria-Equipment &amp; Other HPs'!$W$130:$W$230,MATCH($E212&amp;$F212,'Malaria-Equipment &amp; Other HPs'!$E$130:$E$230&amp;'Malaria-Equipment &amp; Other HPs'!$H$130:$H$230,0)),0)</f>
        <v>0</v>
      </c>
      <c r="AG212" s="26">
        <f t="shared" si="231"/>
        <v>0</v>
      </c>
      <c r="AH212" s="25">
        <f t="shared" si="232"/>
        <v>0</v>
      </c>
      <c r="AI212" s="25">
        <f t="shared" si="233"/>
        <v>0</v>
      </c>
      <c r="AJ212" s="26">
        <f t="array" ref="AJ212">IFERROR(INDEX('Malaria-Equipment &amp; Other HPs'!$X$130:$X$230,MATCH($E212&amp;$F212,'Malaria-Equipment &amp; Other HPs'!$E$130:$E$230&amp;'Malaria-Equipment &amp; Other HPs'!$H$130:$H$230,0)),0)</f>
        <v>0</v>
      </c>
      <c r="AK212" s="26">
        <f t="shared" si="234"/>
        <v>0</v>
      </c>
      <c r="AL212" s="25">
        <f t="shared" si="235"/>
        <v>0</v>
      </c>
      <c r="AM212" s="25">
        <f t="shared" si="236"/>
        <v>0</v>
      </c>
      <c r="AN212" s="26">
        <f t="array" ref="AN212">IFERROR(INDEX('Malaria-Equipment &amp; Other HPs'!$Y$130:$Y$230,MATCH($E212&amp;$F212,'Malaria-Equipment &amp; Other HPs'!$E$130:$E$230&amp;'Malaria-Equipment &amp; Other HPs'!$H$130:$H$230,0)),0)</f>
        <v>0</v>
      </c>
      <c r="AO212" s="26">
        <f t="shared" si="237"/>
        <v>0</v>
      </c>
      <c r="AP212" s="25">
        <f t="shared" si="238"/>
        <v>0</v>
      </c>
      <c r="AQ212" s="25">
        <f t="shared" si="239"/>
        <v>0</v>
      </c>
      <c r="AR212" s="680"/>
      <c r="AS212" s="26">
        <f t="array" ref="AS212">IFERROR(INDEX('Malaria-Equipment &amp; Other HPs'!$AB$130:$AB$230,MATCH($E212&amp;$F212,'Malaria-Equipment &amp; Other HPs'!$E$130:$E$230&amp;'Malaria-Equipment &amp; Other HPs'!$H$130:$H$230,0)),0)</f>
        <v>0</v>
      </c>
      <c r="AT212" s="26">
        <f t="array" ref="AT212">IFERROR(INDEX('Malaria-Equipment &amp; Other HPs'!$AC$130:$AC$230,MATCH($E212&amp;$F212,'Malaria-Equipment &amp; Other HPs'!$E$130:$E$230&amp;'Malaria-Equipment &amp; Other HPs'!$H$130:$H$230,0)),0)</f>
        <v>0</v>
      </c>
      <c r="AU212" s="26">
        <f t="shared" si="240"/>
        <v>0</v>
      </c>
      <c r="AV212" s="25">
        <f t="shared" si="241"/>
        <v>0</v>
      </c>
      <c r="AW212" s="25">
        <f t="shared" si="242"/>
        <v>0</v>
      </c>
      <c r="AX212" s="26">
        <f t="array" ref="AX212">IFERROR(INDEX('Malaria-Equipment &amp; Other HPs'!$AD$130:$AD$230,MATCH($E212&amp;$F212,'Malaria-Equipment &amp; Other HPs'!$E$130:$E$230&amp;'Malaria-Equipment &amp; Other HPs'!$H$130:$H$230,0)),0)</f>
        <v>0</v>
      </c>
      <c r="AY212" s="26">
        <f t="shared" si="243"/>
        <v>0</v>
      </c>
      <c r="AZ212" s="25">
        <f t="shared" si="244"/>
        <v>0</v>
      </c>
      <c r="BA212" s="25">
        <f t="shared" si="245"/>
        <v>0</v>
      </c>
      <c r="BB212" s="26">
        <f t="array" ref="BB212">IFERROR(INDEX('Malaria-Equipment &amp; Other HPs'!$AE$130:$AE$230,MATCH($E212&amp;$F212,'Malaria-Equipment &amp; Other HPs'!$E$130:$E$230&amp;'Malaria-Equipment &amp; Other HPs'!$H$130:$H$230,0)),0)</f>
        <v>0</v>
      </c>
      <c r="BC212" s="26">
        <f t="shared" si="246"/>
        <v>0</v>
      </c>
      <c r="BD212" s="25">
        <f t="shared" si="247"/>
        <v>0</v>
      </c>
      <c r="BE212" s="25">
        <f t="shared" si="248"/>
        <v>0</v>
      </c>
      <c r="BF212" s="26">
        <f t="array" ref="BF212">IFERROR(INDEX('Malaria-Equipment &amp; Other HPs'!$AF$130:$AF$230,MATCH($E212&amp;$F212,'Malaria-Equipment &amp; Other HPs'!$E$130:$E$230&amp;'Malaria-Equipment &amp; Other HPs'!$H$130:$H$230,0)),0)</f>
        <v>0</v>
      </c>
      <c r="BG212" s="26">
        <f t="shared" si="249"/>
        <v>0</v>
      </c>
      <c r="BH212" s="25">
        <f t="shared" si="250"/>
        <v>0</v>
      </c>
      <c r="BI212" s="25">
        <f t="shared" si="251"/>
        <v>0</v>
      </c>
      <c r="BJ212" s="680"/>
      <c r="BK212" s="26"/>
      <c r="BL212" s="26"/>
      <c r="BM212" s="26"/>
      <c r="BN212" s="26"/>
      <c r="BO212" s="26"/>
      <c r="BP212" s="26"/>
      <c r="BQ212" s="26"/>
      <c r="BR212" s="26"/>
      <c r="BT212" s="21" t="s">
        <v>6839</v>
      </c>
    </row>
    <row r="213" spans="1:72">
      <c r="A213" s="29" t="s">
        <v>538</v>
      </c>
      <c r="B213" s="29" t="s">
        <v>1550</v>
      </c>
      <c r="C213" s="626">
        <f>SETUP!$F$58</f>
        <v>0</v>
      </c>
      <c r="D213" s="25">
        <v>6.6</v>
      </c>
      <c r="E213" s="26" t="s">
        <v>225</v>
      </c>
      <c r="F213" s="26" t="s">
        <v>200</v>
      </c>
      <c r="G213" s="26" t="str">
        <f t="array" ref="G213">IFERROR(INDEX('Malaria-Equipment &amp; Other HPs'!$L$130:$L$230,MATCH($E213&amp;$F213,'Malaria-Equipment &amp; Other HPs'!$E$130:$E$230&amp;'Malaria-Equipment &amp; Other HPs'!$H$130:$H$230,0)),"")</f>
        <v/>
      </c>
      <c r="H213" s="26" t="str">
        <f t="array" ref="H213">IFERROR(INDEX('Malaria-Equipment &amp; Other HPs'!$M$130:$M$230,MATCH($E213&amp;$F213,'Malaria-Equipment &amp; Other HPs'!$E$130:$E$230&amp;'Malaria-Equipment &amp; Other HPs'!$H$130:$H$230,0)),"")</f>
        <v/>
      </c>
      <c r="I213" s="26">
        <f t="array" ref="I213">IFERROR(INDEX('Malaria-Equipment &amp; Other HPs'!$N$130:$N$230,MATCH($E213&amp;$F213,'Malaria-Equipment &amp; Other HPs'!$E$130:$E$230&amp;'Malaria-Equipment &amp; Other HPs'!$H$130:$H$230,0)),0)</f>
        <v>0</v>
      </c>
      <c r="J213" s="26">
        <f t="array" ref="J213">IFERROR(INDEX('Malaria-Equipment &amp; Other HPs'!$O$130:$O$230,MATCH($E213&amp;$F213,'Malaria-Equipment &amp; Other HPs'!$E$130:$E$230&amp;'Malaria-Equipment &amp; Other HPs'!$H$130:$H$230,0)),0)</f>
        <v>0</v>
      </c>
      <c r="K213" s="25">
        <f t="shared" si="216"/>
        <v>0</v>
      </c>
      <c r="L213" s="25">
        <f t="shared" si="217"/>
        <v>0</v>
      </c>
      <c r="M213" s="25">
        <f t="shared" si="218"/>
        <v>0</v>
      </c>
      <c r="N213" s="26">
        <f t="array" ref="N213">IFERROR(INDEX('Malaria-Equipment &amp; Other HPs'!$P$130:$P$230,MATCH($E213&amp;$F213,'Malaria-Equipment &amp; Other HPs'!$E$130:$E$230&amp;'Malaria-Equipment &amp; Other HPs'!$H$130:$H$230,0)),0)</f>
        <v>0</v>
      </c>
      <c r="O213" s="25">
        <f t="shared" si="219"/>
        <v>0</v>
      </c>
      <c r="P213" s="25">
        <f t="shared" si="220"/>
        <v>0</v>
      </c>
      <c r="Q213" s="25">
        <f t="shared" si="221"/>
        <v>0</v>
      </c>
      <c r="R213" s="26">
        <f t="array" ref="R213">IFERROR(INDEX('Malaria-Equipment &amp; Other HPs'!$Q$130:$Q$230,MATCH($E213&amp;$F213,'Malaria-Equipment &amp; Other HPs'!$E$130:$E$230&amp;'Malaria-Equipment &amp; Other HPs'!$H$130:$H$230,0)),0)</f>
        <v>0</v>
      </c>
      <c r="S213" s="25">
        <f t="shared" si="222"/>
        <v>0</v>
      </c>
      <c r="T213" s="25">
        <f t="shared" si="223"/>
        <v>0</v>
      </c>
      <c r="U213" s="25">
        <f t="shared" si="224"/>
        <v>0</v>
      </c>
      <c r="V213" s="26">
        <f t="array" ref="V213">IFERROR(INDEX('Malaria-Equipment &amp; Other HPs'!$R$130:$R$230,MATCH($E213&amp;$F213,'Malaria-Equipment &amp; Other HPs'!$E$130:$E$230&amp;'Malaria-Equipment &amp; Other HPs'!$H$130:$H$230,0)),0)</f>
        <v>0</v>
      </c>
      <c r="W213" s="25">
        <f t="shared" si="225"/>
        <v>0</v>
      </c>
      <c r="X213" s="25">
        <f t="shared" si="226"/>
        <v>0</v>
      </c>
      <c r="Y213" s="25">
        <f t="shared" si="227"/>
        <v>0</v>
      </c>
      <c r="Z213" s="680"/>
      <c r="AA213" s="26">
        <f t="array" ref="AA213">IFERROR(INDEX('Malaria-Equipment &amp; Other HPs'!$U$130:$U$230,MATCH($E213&amp;$F213,'Malaria-Equipment &amp; Other HPs'!$E$130:$E$230&amp;'Malaria-Equipment &amp; Other HPs'!$H$130:$H$230,0)),0)</f>
        <v>0</v>
      </c>
      <c r="AB213" s="26">
        <f t="array" ref="AB213">IFERROR(INDEX('Malaria-Equipment &amp; Other HPs'!$V$130:$V$230,MATCH($E213&amp;$F213,'Malaria-Equipment &amp; Other HPs'!$E$130:$E$230&amp;'Malaria-Equipment &amp; Other HPs'!$H$130:$H$230,0)),0)</f>
        <v>0</v>
      </c>
      <c r="AC213" s="26">
        <f t="shared" si="228"/>
        <v>0</v>
      </c>
      <c r="AD213" s="25">
        <f t="shared" si="229"/>
        <v>0</v>
      </c>
      <c r="AE213" s="25">
        <f t="shared" si="230"/>
        <v>0</v>
      </c>
      <c r="AF213" s="26">
        <f t="array" ref="AF213">IFERROR(INDEX('Malaria-Equipment &amp; Other HPs'!$W$130:$W$230,MATCH($E213&amp;$F213,'Malaria-Equipment &amp; Other HPs'!$E$130:$E$230&amp;'Malaria-Equipment &amp; Other HPs'!$H$130:$H$230,0)),0)</f>
        <v>0</v>
      </c>
      <c r="AG213" s="26">
        <f t="shared" si="231"/>
        <v>0</v>
      </c>
      <c r="AH213" s="25">
        <f t="shared" si="232"/>
        <v>0</v>
      </c>
      <c r="AI213" s="25">
        <f t="shared" si="233"/>
        <v>0</v>
      </c>
      <c r="AJ213" s="26">
        <f t="array" ref="AJ213">IFERROR(INDEX('Malaria-Equipment &amp; Other HPs'!$X$130:$X$230,MATCH($E213&amp;$F213,'Malaria-Equipment &amp; Other HPs'!$E$130:$E$230&amp;'Malaria-Equipment &amp; Other HPs'!$H$130:$H$230,0)),0)</f>
        <v>0</v>
      </c>
      <c r="AK213" s="26">
        <f t="shared" si="234"/>
        <v>0</v>
      </c>
      <c r="AL213" s="25">
        <f t="shared" si="235"/>
        <v>0</v>
      </c>
      <c r="AM213" s="25">
        <f t="shared" si="236"/>
        <v>0</v>
      </c>
      <c r="AN213" s="26">
        <f t="array" ref="AN213">IFERROR(INDEX('Malaria-Equipment &amp; Other HPs'!$Y$130:$Y$230,MATCH($E213&amp;$F213,'Malaria-Equipment &amp; Other HPs'!$E$130:$E$230&amp;'Malaria-Equipment &amp; Other HPs'!$H$130:$H$230,0)),0)</f>
        <v>0</v>
      </c>
      <c r="AO213" s="26">
        <f t="shared" si="237"/>
        <v>0</v>
      </c>
      <c r="AP213" s="25">
        <f t="shared" si="238"/>
        <v>0</v>
      </c>
      <c r="AQ213" s="25">
        <f t="shared" si="239"/>
        <v>0</v>
      </c>
      <c r="AR213" s="680"/>
      <c r="AS213" s="26">
        <f t="array" ref="AS213">IFERROR(INDEX('Malaria-Equipment &amp; Other HPs'!$AB$130:$AB$230,MATCH($E213&amp;$F213,'Malaria-Equipment &amp; Other HPs'!$E$130:$E$230&amp;'Malaria-Equipment &amp; Other HPs'!$H$130:$H$230,0)),0)</f>
        <v>0</v>
      </c>
      <c r="AT213" s="26">
        <f t="array" ref="AT213">IFERROR(INDEX('Malaria-Equipment &amp; Other HPs'!$AC$130:$AC$230,MATCH($E213&amp;$F213,'Malaria-Equipment &amp; Other HPs'!$E$130:$E$230&amp;'Malaria-Equipment &amp; Other HPs'!$H$130:$H$230,0)),0)</f>
        <v>0</v>
      </c>
      <c r="AU213" s="26">
        <f t="shared" si="240"/>
        <v>0</v>
      </c>
      <c r="AV213" s="25">
        <f t="shared" si="241"/>
        <v>0</v>
      </c>
      <c r="AW213" s="25">
        <f t="shared" si="242"/>
        <v>0</v>
      </c>
      <c r="AX213" s="26">
        <f t="array" ref="AX213">IFERROR(INDEX('Malaria-Equipment &amp; Other HPs'!$AD$130:$AD$230,MATCH($E213&amp;$F213,'Malaria-Equipment &amp; Other HPs'!$E$130:$E$230&amp;'Malaria-Equipment &amp; Other HPs'!$H$130:$H$230,0)),0)</f>
        <v>0</v>
      </c>
      <c r="AY213" s="26">
        <f t="shared" si="243"/>
        <v>0</v>
      </c>
      <c r="AZ213" s="25">
        <f t="shared" si="244"/>
        <v>0</v>
      </c>
      <c r="BA213" s="25">
        <f t="shared" si="245"/>
        <v>0</v>
      </c>
      <c r="BB213" s="26">
        <f t="array" ref="BB213">IFERROR(INDEX('Malaria-Equipment &amp; Other HPs'!$AE$130:$AE$230,MATCH($E213&amp;$F213,'Malaria-Equipment &amp; Other HPs'!$E$130:$E$230&amp;'Malaria-Equipment &amp; Other HPs'!$H$130:$H$230,0)),0)</f>
        <v>0</v>
      </c>
      <c r="BC213" s="26">
        <f t="shared" si="246"/>
        <v>0</v>
      </c>
      <c r="BD213" s="25">
        <f t="shared" si="247"/>
        <v>0</v>
      </c>
      <c r="BE213" s="25">
        <f t="shared" si="248"/>
        <v>0</v>
      </c>
      <c r="BF213" s="26">
        <f t="array" ref="BF213">IFERROR(INDEX('Malaria-Equipment &amp; Other HPs'!$AF$130:$AF$230,MATCH($E213&amp;$F213,'Malaria-Equipment &amp; Other HPs'!$E$130:$E$230&amp;'Malaria-Equipment &amp; Other HPs'!$H$130:$H$230,0)),0)</f>
        <v>0</v>
      </c>
      <c r="BG213" s="26">
        <f t="shared" si="249"/>
        <v>0</v>
      </c>
      <c r="BH213" s="25">
        <f t="shared" si="250"/>
        <v>0</v>
      </c>
      <c r="BI213" s="25">
        <f t="shared" si="251"/>
        <v>0</v>
      </c>
      <c r="BJ213" s="680"/>
      <c r="BK213" s="26"/>
      <c r="BL213" s="26"/>
      <c r="BM213" s="26"/>
      <c r="BN213" s="26"/>
      <c r="BO213" s="26"/>
      <c r="BP213" s="26"/>
      <c r="BQ213" s="26"/>
      <c r="BR213" s="26"/>
      <c r="BT213" s="21" t="s">
        <v>6839</v>
      </c>
    </row>
    <row r="214" spans="1:72">
      <c r="A214" s="29" t="s">
        <v>63</v>
      </c>
      <c r="B214" s="29" t="s">
        <v>1550</v>
      </c>
      <c r="C214" s="626">
        <f>SETUP!$F$58</f>
        <v>0</v>
      </c>
      <c r="D214" s="25">
        <v>6.6</v>
      </c>
      <c r="E214" s="26" t="s">
        <v>324</v>
      </c>
      <c r="F214" s="26" t="s">
        <v>201</v>
      </c>
      <c r="G214" s="26" t="str">
        <f t="array" ref="G214">IFERROR(INDEX('Malaria-Equipment &amp; Other HPs'!$L$130:$L$230,MATCH($E214&amp;$F214,'Malaria-Equipment &amp; Other HPs'!$E$130:$E$230&amp;'Malaria-Equipment &amp; Other HPs'!$H$130:$H$230,0)),"")</f>
        <v/>
      </c>
      <c r="H214" s="26" t="str">
        <f t="array" ref="H214">IFERROR(INDEX('Malaria-Equipment &amp; Other HPs'!$M$130:$M$230,MATCH($E214&amp;$F214,'Malaria-Equipment &amp; Other HPs'!$E$130:$E$230&amp;'Malaria-Equipment &amp; Other HPs'!$H$130:$H$230,0)),"")</f>
        <v/>
      </c>
      <c r="I214" s="26">
        <f t="array" ref="I214">IFERROR(INDEX('Malaria-Equipment &amp; Other HPs'!$N$130:$N$230,MATCH($E214&amp;$F214,'Malaria-Equipment &amp; Other HPs'!$E$130:$E$230&amp;'Malaria-Equipment &amp; Other HPs'!$H$130:$H$230,0)),0)</f>
        <v>0</v>
      </c>
      <c r="J214" s="26">
        <f t="array" ref="J214">IFERROR(INDEX('Malaria-Equipment &amp; Other HPs'!$O$130:$O$230,MATCH($E214&amp;$F214,'Malaria-Equipment &amp; Other HPs'!$E$130:$E$230&amp;'Malaria-Equipment &amp; Other HPs'!$H$130:$H$230,0)),0)</f>
        <v>0</v>
      </c>
      <c r="K214" s="25">
        <f t="shared" si="216"/>
        <v>0</v>
      </c>
      <c r="L214" s="25">
        <f t="shared" si="217"/>
        <v>0</v>
      </c>
      <c r="M214" s="25">
        <f t="shared" si="218"/>
        <v>0</v>
      </c>
      <c r="N214" s="26">
        <f t="array" ref="N214">IFERROR(INDEX('Malaria-Equipment &amp; Other HPs'!$P$130:$P$230,MATCH($E214&amp;$F214,'Malaria-Equipment &amp; Other HPs'!$E$130:$E$230&amp;'Malaria-Equipment &amp; Other HPs'!$H$130:$H$230,0)),0)</f>
        <v>0</v>
      </c>
      <c r="O214" s="25">
        <f t="shared" si="219"/>
        <v>0</v>
      </c>
      <c r="P214" s="25">
        <f t="shared" si="220"/>
        <v>0</v>
      </c>
      <c r="Q214" s="25">
        <f t="shared" si="221"/>
        <v>0</v>
      </c>
      <c r="R214" s="26">
        <f t="array" ref="R214">IFERROR(INDEX('Malaria-Equipment &amp; Other HPs'!$Q$130:$Q$230,MATCH($E214&amp;$F214,'Malaria-Equipment &amp; Other HPs'!$E$130:$E$230&amp;'Malaria-Equipment &amp; Other HPs'!$H$130:$H$230,0)),0)</f>
        <v>0</v>
      </c>
      <c r="S214" s="25">
        <f t="shared" si="222"/>
        <v>0</v>
      </c>
      <c r="T214" s="25">
        <f t="shared" si="223"/>
        <v>0</v>
      </c>
      <c r="U214" s="25">
        <f t="shared" si="224"/>
        <v>0</v>
      </c>
      <c r="V214" s="26">
        <f t="array" ref="V214">IFERROR(INDEX('Malaria-Equipment &amp; Other HPs'!$R$130:$R$230,MATCH($E214&amp;$F214,'Malaria-Equipment &amp; Other HPs'!$E$130:$E$230&amp;'Malaria-Equipment &amp; Other HPs'!$H$130:$H$230,0)),0)</f>
        <v>0</v>
      </c>
      <c r="W214" s="25">
        <f t="shared" si="225"/>
        <v>0</v>
      </c>
      <c r="X214" s="25">
        <f t="shared" si="226"/>
        <v>0</v>
      </c>
      <c r="Y214" s="25">
        <f t="shared" si="227"/>
        <v>0</v>
      </c>
      <c r="Z214" s="680"/>
      <c r="AA214" s="26">
        <f t="array" ref="AA214">IFERROR(INDEX('Malaria-Equipment &amp; Other HPs'!$U$130:$U$230,MATCH($E214&amp;$F214,'Malaria-Equipment &amp; Other HPs'!$E$130:$E$230&amp;'Malaria-Equipment &amp; Other HPs'!$H$130:$H$230,0)),0)</f>
        <v>0</v>
      </c>
      <c r="AB214" s="26">
        <f t="array" ref="AB214">IFERROR(INDEX('Malaria-Equipment &amp; Other HPs'!$V$130:$V$230,MATCH($E214&amp;$F214,'Malaria-Equipment &amp; Other HPs'!$E$130:$E$230&amp;'Malaria-Equipment &amp; Other HPs'!$H$130:$H$230,0)),0)</f>
        <v>0</v>
      </c>
      <c r="AC214" s="26">
        <f t="shared" si="228"/>
        <v>0</v>
      </c>
      <c r="AD214" s="25">
        <f t="shared" si="229"/>
        <v>0</v>
      </c>
      <c r="AE214" s="25">
        <f t="shared" si="230"/>
        <v>0</v>
      </c>
      <c r="AF214" s="26">
        <f t="array" ref="AF214">IFERROR(INDEX('Malaria-Equipment &amp; Other HPs'!$W$130:$W$230,MATCH($E214&amp;$F214,'Malaria-Equipment &amp; Other HPs'!$E$130:$E$230&amp;'Malaria-Equipment &amp; Other HPs'!$H$130:$H$230,0)),0)</f>
        <v>0</v>
      </c>
      <c r="AG214" s="26">
        <f t="shared" si="231"/>
        <v>0</v>
      </c>
      <c r="AH214" s="25">
        <f t="shared" si="232"/>
        <v>0</v>
      </c>
      <c r="AI214" s="25">
        <f t="shared" si="233"/>
        <v>0</v>
      </c>
      <c r="AJ214" s="26">
        <f t="array" ref="AJ214">IFERROR(INDEX('Malaria-Equipment &amp; Other HPs'!$X$130:$X$230,MATCH($E214&amp;$F214,'Malaria-Equipment &amp; Other HPs'!$E$130:$E$230&amp;'Malaria-Equipment &amp; Other HPs'!$H$130:$H$230,0)),0)</f>
        <v>0</v>
      </c>
      <c r="AK214" s="26">
        <f t="shared" si="234"/>
        <v>0</v>
      </c>
      <c r="AL214" s="25">
        <f t="shared" si="235"/>
        <v>0</v>
      </c>
      <c r="AM214" s="25">
        <f t="shared" si="236"/>
        <v>0</v>
      </c>
      <c r="AN214" s="26">
        <f t="array" ref="AN214">IFERROR(INDEX('Malaria-Equipment &amp; Other HPs'!$Y$130:$Y$230,MATCH($E214&amp;$F214,'Malaria-Equipment &amp; Other HPs'!$E$130:$E$230&amp;'Malaria-Equipment &amp; Other HPs'!$H$130:$H$230,0)),0)</f>
        <v>0</v>
      </c>
      <c r="AO214" s="26">
        <f t="shared" si="237"/>
        <v>0</v>
      </c>
      <c r="AP214" s="25">
        <f t="shared" si="238"/>
        <v>0</v>
      </c>
      <c r="AQ214" s="25">
        <f t="shared" si="239"/>
        <v>0</v>
      </c>
      <c r="AR214" s="680"/>
      <c r="AS214" s="26">
        <f t="array" ref="AS214">IFERROR(INDEX('Malaria-Equipment &amp; Other HPs'!$AB$130:$AB$230,MATCH($E214&amp;$F214,'Malaria-Equipment &amp; Other HPs'!$E$130:$E$230&amp;'Malaria-Equipment &amp; Other HPs'!$H$130:$H$230,0)),0)</f>
        <v>0</v>
      </c>
      <c r="AT214" s="26">
        <f t="array" ref="AT214">IFERROR(INDEX('Malaria-Equipment &amp; Other HPs'!$AC$130:$AC$230,MATCH($E214&amp;$F214,'Malaria-Equipment &amp; Other HPs'!$E$130:$E$230&amp;'Malaria-Equipment &amp; Other HPs'!$H$130:$H$230,0)),0)</f>
        <v>0</v>
      </c>
      <c r="AU214" s="26">
        <f t="shared" si="240"/>
        <v>0</v>
      </c>
      <c r="AV214" s="25">
        <f t="shared" si="241"/>
        <v>0</v>
      </c>
      <c r="AW214" s="25">
        <f t="shared" si="242"/>
        <v>0</v>
      </c>
      <c r="AX214" s="26">
        <f t="array" ref="AX214">IFERROR(INDEX('Malaria-Equipment &amp; Other HPs'!$AD$130:$AD$230,MATCH($E214&amp;$F214,'Malaria-Equipment &amp; Other HPs'!$E$130:$E$230&amp;'Malaria-Equipment &amp; Other HPs'!$H$130:$H$230,0)),0)</f>
        <v>0</v>
      </c>
      <c r="AY214" s="26">
        <f t="shared" si="243"/>
        <v>0</v>
      </c>
      <c r="AZ214" s="25">
        <f t="shared" si="244"/>
        <v>0</v>
      </c>
      <c r="BA214" s="25">
        <f t="shared" si="245"/>
        <v>0</v>
      </c>
      <c r="BB214" s="26">
        <f t="array" ref="BB214">IFERROR(INDEX('Malaria-Equipment &amp; Other HPs'!$AE$130:$AE$230,MATCH($E214&amp;$F214,'Malaria-Equipment &amp; Other HPs'!$E$130:$E$230&amp;'Malaria-Equipment &amp; Other HPs'!$H$130:$H$230,0)),0)</f>
        <v>0</v>
      </c>
      <c r="BC214" s="26">
        <f t="shared" si="246"/>
        <v>0</v>
      </c>
      <c r="BD214" s="25">
        <f t="shared" si="247"/>
        <v>0</v>
      </c>
      <c r="BE214" s="25">
        <f t="shared" si="248"/>
        <v>0</v>
      </c>
      <c r="BF214" s="26">
        <f t="array" ref="BF214">IFERROR(INDEX('Malaria-Equipment &amp; Other HPs'!$AF$130:$AF$230,MATCH($E214&amp;$F214,'Malaria-Equipment &amp; Other HPs'!$E$130:$E$230&amp;'Malaria-Equipment &amp; Other HPs'!$H$130:$H$230,0)),0)</f>
        <v>0</v>
      </c>
      <c r="BG214" s="26">
        <f t="shared" si="249"/>
        <v>0</v>
      </c>
      <c r="BH214" s="25">
        <f t="shared" si="250"/>
        <v>0</v>
      </c>
      <c r="BI214" s="25">
        <f t="shared" si="251"/>
        <v>0</v>
      </c>
      <c r="BJ214" s="680"/>
      <c r="BK214" s="26"/>
      <c r="BL214" s="26"/>
      <c r="BM214" s="26"/>
      <c r="BN214" s="26"/>
      <c r="BO214" s="26"/>
      <c r="BP214" s="26"/>
      <c r="BQ214" s="26"/>
      <c r="BR214" s="26"/>
      <c r="BT214" s="21" t="s">
        <v>6839</v>
      </c>
    </row>
    <row r="215" spans="1:72">
      <c r="A215" s="29" t="s">
        <v>63</v>
      </c>
      <c r="B215" s="29" t="s">
        <v>1550</v>
      </c>
      <c r="C215" s="626">
        <f>SETUP!$F$58</f>
        <v>0</v>
      </c>
      <c r="D215" s="25">
        <v>6.6</v>
      </c>
      <c r="E215" s="26" t="s">
        <v>324</v>
      </c>
      <c r="F215" s="26" t="s">
        <v>200</v>
      </c>
      <c r="G215" s="26" t="str">
        <f t="array" ref="G215">IFERROR(INDEX('Malaria-Equipment &amp; Other HPs'!$L$130:$L$230,MATCH($E215&amp;$F215,'Malaria-Equipment &amp; Other HPs'!$E$130:$E$230&amp;'Malaria-Equipment &amp; Other HPs'!$H$130:$H$230,0)),"")</f>
        <v/>
      </c>
      <c r="H215" s="26" t="str">
        <f t="array" ref="H215">IFERROR(INDEX('Malaria-Equipment &amp; Other HPs'!$M$130:$M$230,MATCH($E215&amp;$F215,'Malaria-Equipment &amp; Other HPs'!$E$130:$E$230&amp;'Malaria-Equipment &amp; Other HPs'!$H$130:$H$230,0)),"")</f>
        <v/>
      </c>
      <c r="I215" s="26">
        <f t="array" ref="I215">IFERROR(INDEX('Malaria-Equipment &amp; Other HPs'!$N$130:$N$230,MATCH($E215&amp;$F215,'Malaria-Equipment &amp; Other HPs'!$E$130:$E$230&amp;'Malaria-Equipment &amp; Other HPs'!$H$130:$H$230,0)),0)</f>
        <v>0</v>
      </c>
      <c r="J215" s="26">
        <f t="array" ref="J215">IFERROR(INDEX('Malaria-Equipment &amp; Other HPs'!$O$130:$O$230,MATCH($E215&amp;$F215,'Malaria-Equipment &amp; Other HPs'!$E$130:$E$230&amp;'Malaria-Equipment &amp; Other HPs'!$H$130:$H$230,0)),0)</f>
        <v>0</v>
      </c>
      <c r="K215" s="25">
        <f t="shared" si="216"/>
        <v>0</v>
      </c>
      <c r="L215" s="25">
        <f t="shared" si="217"/>
        <v>0</v>
      </c>
      <c r="M215" s="25">
        <f t="shared" si="218"/>
        <v>0</v>
      </c>
      <c r="N215" s="26">
        <f t="array" ref="N215">IFERROR(INDEX('Malaria-Equipment &amp; Other HPs'!$P$130:$P$230,MATCH($E215&amp;$F215,'Malaria-Equipment &amp; Other HPs'!$E$130:$E$230&amp;'Malaria-Equipment &amp; Other HPs'!$H$130:$H$230,0)),0)</f>
        <v>0</v>
      </c>
      <c r="O215" s="25">
        <f t="shared" si="219"/>
        <v>0</v>
      </c>
      <c r="P215" s="25">
        <f t="shared" si="220"/>
        <v>0</v>
      </c>
      <c r="Q215" s="25">
        <f t="shared" si="221"/>
        <v>0</v>
      </c>
      <c r="R215" s="26">
        <f t="array" ref="R215">IFERROR(INDEX('Malaria-Equipment &amp; Other HPs'!$Q$130:$Q$230,MATCH($E215&amp;$F215,'Malaria-Equipment &amp; Other HPs'!$E$130:$E$230&amp;'Malaria-Equipment &amp; Other HPs'!$H$130:$H$230,0)),0)</f>
        <v>0</v>
      </c>
      <c r="S215" s="25">
        <f t="shared" si="222"/>
        <v>0</v>
      </c>
      <c r="T215" s="25">
        <f t="shared" si="223"/>
        <v>0</v>
      </c>
      <c r="U215" s="25">
        <f t="shared" si="224"/>
        <v>0</v>
      </c>
      <c r="V215" s="26">
        <f t="array" ref="V215">IFERROR(INDEX('Malaria-Equipment &amp; Other HPs'!$R$130:$R$230,MATCH($E215&amp;$F215,'Malaria-Equipment &amp; Other HPs'!$E$130:$E$230&amp;'Malaria-Equipment &amp; Other HPs'!$H$130:$H$230,0)),0)</f>
        <v>0</v>
      </c>
      <c r="W215" s="25">
        <f t="shared" si="225"/>
        <v>0</v>
      </c>
      <c r="X215" s="25">
        <f t="shared" si="226"/>
        <v>0</v>
      </c>
      <c r="Y215" s="25">
        <f t="shared" si="227"/>
        <v>0</v>
      </c>
      <c r="Z215" s="680"/>
      <c r="AA215" s="26">
        <f t="array" ref="AA215">IFERROR(INDEX('Malaria-Equipment &amp; Other HPs'!$U$130:$U$230,MATCH($E215&amp;$F215,'Malaria-Equipment &amp; Other HPs'!$E$130:$E$230&amp;'Malaria-Equipment &amp; Other HPs'!$H$130:$H$230,0)),0)</f>
        <v>0</v>
      </c>
      <c r="AB215" s="26">
        <f t="array" ref="AB215">IFERROR(INDEX('Malaria-Equipment &amp; Other HPs'!$V$130:$V$230,MATCH($E215&amp;$F215,'Malaria-Equipment &amp; Other HPs'!$E$130:$E$230&amp;'Malaria-Equipment &amp; Other HPs'!$H$130:$H$230,0)),0)</f>
        <v>0</v>
      </c>
      <c r="AC215" s="26">
        <f t="shared" si="228"/>
        <v>0</v>
      </c>
      <c r="AD215" s="25">
        <f t="shared" si="229"/>
        <v>0</v>
      </c>
      <c r="AE215" s="25">
        <f t="shared" si="230"/>
        <v>0</v>
      </c>
      <c r="AF215" s="26">
        <f t="array" ref="AF215">IFERROR(INDEX('Malaria-Equipment &amp; Other HPs'!$W$130:$W$230,MATCH($E215&amp;$F215,'Malaria-Equipment &amp; Other HPs'!$E$130:$E$230&amp;'Malaria-Equipment &amp; Other HPs'!$H$130:$H$230,0)),0)</f>
        <v>0</v>
      </c>
      <c r="AG215" s="26">
        <f t="shared" si="231"/>
        <v>0</v>
      </c>
      <c r="AH215" s="25">
        <f t="shared" si="232"/>
        <v>0</v>
      </c>
      <c r="AI215" s="25">
        <f t="shared" si="233"/>
        <v>0</v>
      </c>
      <c r="AJ215" s="26">
        <f t="array" ref="AJ215">IFERROR(INDEX('Malaria-Equipment &amp; Other HPs'!$X$130:$X$230,MATCH($E215&amp;$F215,'Malaria-Equipment &amp; Other HPs'!$E$130:$E$230&amp;'Malaria-Equipment &amp; Other HPs'!$H$130:$H$230,0)),0)</f>
        <v>0</v>
      </c>
      <c r="AK215" s="26">
        <f t="shared" si="234"/>
        <v>0</v>
      </c>
      <c r="AL215" s="25">
        <f t="shared" si="235"/>
        <v>0</v>
      </c>
      <c r="AM215" s="25">
        <f t="shared" si="236"/>
        <v>0</v>
      </c>
      <c r="AN215" s="26">
        <f t="array" ref="AN215">IFERROR(INDEX('Malaria-Equipment &amp; Other HPs'!$Y$130:$Y$230,MATCH($E215&amp;$F215,'Malaria-Equipment &amp; Other HPs'!$E$130:$E$230&amp;'Malaria-Equipment &amp; Other HPs'!$H$130:$H$230,0)),0)</f>
        <v>0</v>
      </c>
      <c r="AO215" s="26">
        <f t="shared" si="237"/>
        <v>0</v>
      </c>
      <c r="AP215" s="25">
        <f t="shared" si="238"/>
        <v>0</v>
      </c>
      <c r="AQ215" s="25">
        <f t="shared" si="239"/>
        <v>0</v>
      </c>
      <c r="AR215" s="680"/>
      <c r="AS215" s="26">
        <f t="array" ref="AS215">IFERROR(INDEX('Malaria-Equipment &amp; Other HPs'!$AB$130:$AB$230,MATCH($E215&amp;$F215,'Malaria-Equipment &amp; Other HPs'!$E$130:$E$230&amp;'Malaria-Equipment &amp; Other HPs'!$H$130:$H$230,0)),0)</f>
        <v>0</v>
      </c>
      <c r="AT215" s="26">
        <f t="array" ref="AT215">IFERROR(INDEX('Malaria-Equipment &amp; Other HPs'!$AC$130:$AC$230,MATCH($E215&amp;$F215,'Malaria-Equipment &amp; Other HPs'!$E$130:$E$230&amp;'Malaria-Equipment &amp; Other HPs'!$H$130:$H$230,0)),0)</f>
        <v>0</v>
      </c>
      <c r="AU215" s="26">
        <f t="shared" si="240"/>
        <v>0</v>
      </c>
      <c r="AV215" s="25">
        <f t="shared" si="241"/>
        <v>0</v>
      </c>
      <c r="AW215" s="25">
        <f t="shared" si="242"/>
        <v>0</v>
      </c>
      <c r="AX215" s="26">
        <f t="array" ref="AX215">IFERROR(INDEX('Malaria-Equipment &amp; Other HPs'!$AD$130:$AD$230,MATCH($E215&amp;$F215,'Malaria-Equipment &amp; Other HPs'!$E$130:$E$230&amp;'Malaria-Equipment &amp; Other HPs'!$H$130:$H$230,0)),0)</f>
        <v>0</v>
      </c>
      <c r="AY215" s="26">
        <f t="shared" si="243"/>
        <v>0</v>
      </c>
      <c r="AZ215" s="25">
        <f t="shared" si="244"/>
        <v>0</v>
      </c>
      <c r="BA215" s="25">
        <f t="shared" si="245"/>
        <v>0</v>
      </c>
      <c r="BB215" s="26">
        <f t="array" ref="BB215">IFERROR(INDEX('Malaria-Equipment &amp; Other HPs'!$AE$130:$AE$230,MATCH($E215&amp;$F215,'Malaria-Equipment &amp; Other HPs'!$E$130:$E$230&amp;'Malaria-Equipment &amp; Other HPs'!$H$130:$H$230,0)),0)</f>
        <v>0</v>
      </c>
      <c r="BC215" s="26">
        <f t="shared" si="246"/>
        <v>0</v>
      </c>
      <c r="BD215" s="25">
        <f t="shared" si="247"/>
        <v>0</v>
      </c>
      <c r="BE215" s="25">
        <f t="shared" si="248"/>
        <v>0</v>
      </c>
      <c r="BF215" s="26">
        <f t="array" ref="BF215">IFERROR(INDEX('Malaria-Equipment &amp; Other HPs'!$AF$130:$AF$230,MATCH($E215&amp;$F215,'Malaria-Equipment &amp; Other HPs'!$E$130:$E$230&amp;'Malaria-Equipment &amp; Other HPs'!$H$130:$H$230,0)),0)</f>
        <v>0</v>
      </c>
      <c r="BG215" s="26">
        <f t="shared" si="249"/>
        <v>0</v>
      </c>
      <c r="BH215" s="25">
        <f t="shared" si="250"/>
        <v>0</v>
      </c>
      <c r="BI215" s="25">
        <f t="shared" si="251"/>
        <v>0</v>
      </c>
      <c r="BJ215" s="680"/>
      <c r="BK215" s="26"/>
      <c r="BL215" s="26"/>
      <c r="BM215" s="26"/>
      <c r="BN215" s="26"/>
      <c r="BO215" s="26"/>
      <c r="BP215" s="26"/>
      <c r="BQ215" s="26"/>
      <c r="BR215" s="26"/>
      <c r="BT215" s="21" t="s">
        <v>6839</v>
      </c>
    </row>
    <row r="216" spans="1:72">
      <c r="A216" s="29" t="s">
        <v>63</v>
      </c>
      <c r="B216" s="29" t="s">
        <v>1550</v>
      </c>
      <c r="C216" s="626">
        <f>SETUP!$F$58</f>
        <v>0</v>
      </c>
      <c r="D216" s="25">
        <v>6.5</v>
      </c>
      <c r="E216" s="26" t="s">
        <v>324</v>
      </c>
      <c r="F216" s="26" t="s">
        <v>218</v>
      </c>
      <c r="G216" s="26" t="str">
        <f t="array" ref="G216">IFERROR(INDEX('Malaria-Equipment &amp; Other HPs'!$L$130:$L$230,MATCH($E216&amp;$F216,'Malaria-Equipment &amp; Other HPs'!$E$130:$E$230&amp;'Malaria-Equipment &amp; Other HPs'!$H$130:$H$230,0)),"")</f>
        <v/>
      </c>
      <c r="H216" s="26" t="str">
        <f t="array" ref="H216">IFERROR(INDEX('Malaria-Equipment &amp; Other HPs'!$M$130:$M$230,MATCH($E216&amp;$F216,'Malaria-Equipment &amp; Other HPs'!$E$130:$E$230&amp;'Malaria-Equipment &amp; Other HPs'!$H$130:$H$230,0)),"")</f>
        <v/>
      </c>
      <c r="I216" s="26">
        <f t="array" ref="I216">IFERROR(INDEX('Malaria-Equipment &amp; Other HPs'!$N$130:$N$230,MATCH($E216&amp;$F216,'Malaria-Equipment &amp; Other HPs'!$E$130:$E$230&amp;'Malaria-Equipment &amp; Other HPs'!$H$130:$H$230,0)),0)</f>
        <v>0</v>
      </c>
      <c r="J216" s="26">
        <f t="array" ref="J216">IFERROR(INDEX('Malaria-Equipment &amp; Other HPs'!$O$130:$O$230,MATCH($E216&amp;$F216,'Malaria-Equipment &amp; Other HPs'!$E$130:$E$230&amp;'Malaria-Equipment &amp; Other HPs'!$H$130:$H$230,0)),0)</f>
        <v>0</v>
      </c>
      <c r="K216" s="25">
        <f t="shared" si="216"/>
        <v>0</v>
      </c>
      <c r="L216" s="25">
        <f t="shared" si="217"/>
        <v>0</v>
      </c>
      <c r="M216" s="25">
        <f t="shared" si="218"/>
        <v>0</v>
      </c>
      <c r="N216" s="26">
        <f t="array" ref="N216">IFERROR(INDEX('Malaria-Equipment &amp; Other HPs'!$P$130:$P$230,MATCH($E216&amp;$F216,'Malaria-Equipment &amp; Other HPs'!$E$130:$E$230&amp;'Malaria-Equipment &amp; Other HPs'!$H$130:$H$230,0)),0)</f>
        <v>0</v>
      </c>
      <c r="O216" s="25">
        <f t="shared" si="219"/>
        <v>0</v>
      </c>
      <c r="P216" s="25">
        <f t="shared" si="220"/>
        <v>0</v>
      </c>
      <c r="Q216" s="25">
        <f t="shared" si="221"/>
        <v>0</v>
      </c>
      <c r="R216" s="26">
        <f t="array" ref="R216">IFERROR(INDEX('Malaria-Equipment &amp; Other HPs'!$Q$130:$Q$230,MATCH($E216&amp;$F216,'Malaria-Equipment &amp; Other HPs'!$E$130:$E$230&amp;'Malaria-Equipment &amp; Other HPs'!$H$130:$H$230,0)),0)</f>
        <v>0</v>
      </c>
      <c r="S216" s="25">
        <f t="shared" si="222"/>
        <v>0</v>
      </c>
      <c r="T216" s="25">
        <f t="shared" si="223"/>
        <v>0</v>
      </c>
      <c r="U216" s="25">
        <f t="shared" si="224"/>
        <v>0</v>
      </c>
      <c r="V216" s="26">
        <f t="array" ref="V216">IFERROR(INDEX('Malaria-Equipment &amp; Other HPs'!$R$130:$R$230,MATCH($E216&amp;$F216,'Malaria-Equipment &amp; Other HPs'!$E$130:$E$230&amp;'Malaria-Equipment &amp; Other HPs'!$H$130:$H$230,0)),0)</f>
        <v>0</v>
      </c>
      <c r="W216" s="25">
        <f t="shared" si="225"/>
        <v>0</v>
      </c>
      <c r="X216" s="25">
        <f t="shared" si="226"/>
        <v>0</v>
      </c>
      <c r="Y216" s="25">
        <f t="shared" si="227"/>
        <v>0</v>
      </c>
      <c r="Z216" s="680"/>
      <c r="AA216" s="26">
        <f t="array" ref="AA216">IFERROR(INDEX('Malaria-Equipment &amp; Other HPs'!$U$130:$U$230,MATCH($E216&amp;$F216,'Malaria-Equipment &amp; Other HPs'!$E$130:$E$230&amp;'Malaria-Equipment &amp; Other HPs'!$H$130:$H$230,0)),0)</f>
        <v>0</v>
      </c>
      <c r="AB216" s="26">
        <f t="array" ref="AB216">IFERROR(INDEX('Malaria-Equipment &amp; Other HPs'!$V$130:$V$230,MATCH($E216&amp;$F216,'Malaria-Equipment &amp; Other HPs'!$E$130:$E$230&amp;'Malaria-Equipment &amp; Other HPs'!$H$130:$H$230,0)),0)</f>
        <v>0</v>
      </c>
      <c r="AC216" s="26">
        <f t="shared" si="228"/>
        <v>0</v>
      </c>
      <c r="AD216" s="25">
        <f t="shared" si="229"/>
        <v>0</v>
      </c>
      <c r="AE216" s="25">
        <f t="shared" si="230"/>
        <v>0</v>
      </c>
      <c r="AF216" s="26">
        <f t="array" ref="AF216">IFERROR(INDEX('Malaria-Equipment &amp; Other HPs'!$W$130:$W$230,MATCH($E216&amp;$F216,'Malaria-Equipment &amp; Other HPs'!$E$130:$E$230&amp;'Malaria-Equipment &amp; Other HPs'!$H$130:$H$230,0)),0)</f>
        <v>0</v>
      </c>
      <c r="AG216" s="26">
        <f t="shared" si="231"/>
        <v>0</v>
      </c>
      <c r="AH216" s="25">
        <f t="shared" si="232"/>
        <v>0</v>
      </c>
      <c r="AI216" s="25">
        <f t="shared" si="233"/>
        <v>0</v>
      </c>
      <c r="AJ216" s="26">
        <f t="array" ref="AJ216">IFERROR(INDEX('Malaria-Equipment &amp; Other HPs'!$X$130:$X$230,MATCH($E216&amp;$F216,'Malaria-Equipment &amp; Other HPs'!$E$130:$E$230&amp;'Malaria-Equipment &amp; Other HPs'!$H$130:$H$230,0)),0)</f>
        <v>0</v>
      </c>
      <c r="AK216" s="26">
        <f t="shared" si="234"/>
        <v>0</v>
      </c>
      <c r="AL216" s="25">
        <f t="shared" si="235"/>
        <v>0</v>
      </c>
      <c r="AM216" s="25">
        <f t="shared" si="236"/>
        <v>0</v>
      </c>
      <c r="AN216" s="26">
        <f t="array" ref="AN216">IFERROR(INDEX('Malaria-Equipment &amp; Other HPs'!$Y$130:$Y$230,MATCH($E216&amp;$F216,'Malaria-Equipment &amp; Other HPs'!$E$130:$E$230&amp;'Malaria-Equipment &amp; Other HPs'!$H$130:$H$230,0)),0)</f>
        <v>0</v>
      </c>
      <c r="AO216" s="26">
        <f t="shared" si="237"/>
        <v>0</v>
      </c>
      <c r="AP216" s="25">
        <f t="shared" si="238"/>
        <v>0</v>
      </c>
      <c r="AQ216" s="25">
        <f t="shared" si="239"/>
        <v>0</v>
      </c>
      <c r="AR216" s="680"/>
      <c r="AS216" s="26">
        <f t="array" ref="AS216">IFERROR(INDEX('Malaria-Equipment &amp; Other HPs'!$AB$130:$AB$230,MATCH($E216&amp;$F216,'Malaria-Equipment &amp; Other HPs'!$E$130:$E$230&amp;'Malaria-Equipment &amp; Other HPs'!$H$130:$H$230,0)),0)</f>
        <v>0</v>
      </c>
      <c r="AT216" s="26">
        <f t="array" ref="AT216">IFERROR(INDEX('Malaria-Equipment &amp; Other HPs'!$AC$130:$AC$230,MATCH($E216&amp;$F216,'Malaria-Equipment &amp; Other HPs'!$E$130:$E$230&amp;'Malaria-Equipment &amp; Other HPs'!$H$130:$H$230,0)),0)</f>
        <v>0</v>
      </c>
      <c r="AU216" s="26">
        <f t="shared" si="240"/>
        <v>0</v>
      </c>
      <c r="AV216" s="25">
        <f t="shared" si="241"/>
        <v>0</v>
      </c>
      <c r="AW216" s="25">
        <f t="shared" si="242"/>
        <v>0</v>
      </c>
      <c r="AX216" s="26">
        <f t="array" ref="AX216">IFERROR(INDEX('Malaria-Equipment &amp; Other HPs'!$AD$130:$AD$230,MATCH($E216&amp;$F216,'Malaria-Equipment &amp; Other HPs'!$E$130:$E$230&amp;'Malaria-Equipment &amp; Other HPs'!$H$130:$H$230,0)),0)</f>
        <v>0</v>
      </c>
      <c r="AY216" s="26">
        <f t="shared" si="243"/>
        <v>0</v>
      </c>
      <c r="AZ216" s="25">
        <f t="shared" si="244"/>
        <v>0</v>
      </c>
      <c r="BA216" s="25">
        <f t="shared" si="245"/>
        <v>0</v>
      </c>
      <c r="BB216" s="26">
        <f t="array" ref="BB216">IFERROR(INDEX('Malaria-Equipment &amp; Other HPs'!$AE$130:$AE$230,MATCH($E216&amp;$F216,'Malaria-Equipment &amp; Other HPs'!$E$130:$E$230&amp;'Malaria-Equipment &amp; Other HPs'!$H$130:$H$230,0)),0)</f>
        <v>0</v>
      </c>
      <c r="BC216" s="26">
        <f t="shared" si="246"/>
        <v>0</v>
      </c>
      <c r="BD216" s="25">
        <f t="shared" si="247"/>
        <v>0</v>
      </c>
      <c r="BE216" s="25">
        <f t="shared" si="248"/>
        <v>0</v>
      </c>
      <c r="BF216" s="26">
        <f t="array" ref="BF216">IFERROR(INDEX('Malaria-Equipment &amp; Other HPs'!$AF$130:$AF$230,MATCH($E216&amp;$F216,'Malaria-Equipment &amp; Other HPs'!$E$130:$E$230&amp;'Malaria-Equipment &amp; Other HPs'!$H$130:$H$230,0)),0)</f>
        <v>0</v>
      </c>
      <c r="BG216" s="26">
        <f t="shared" si="249"/>
        <v>0</v>
      </c>
      <c r="BH216" s="25">
        <f t="shared" si="250"/>
        <v>0</v>
      </c>
      <c r="BI216" s="25">
        <f t="shared" si="251"/>
        <v>0</v>
      </c>
      <c r="BJ216" s="680"/>
      <c r="BK216" s="26"/>
      <c r="BL216" s="26"/>
      <c r="BM216" s="26"/>
      <c r="BN216" s="26"/>
      <c r="BO216" s="26"/>
      <c r="BP216" s="26"/>
      <c r="BQ216" s="26"/>
      <c r="BR216" s="26"/>
      <c r="BT216" s="21" t="s">
        <v>6839</v>
      </c>
    </row>
    <row r="217" spans="1:72">
      <c r="A217" s="29" t="s">
        <v>63</v>
      </c>
      <c r="B217" s="29" t="s">
        <v>1550</v>
      </c>
      <c r="C217" s="626">
        <f>SETUP!$F$58</f>
        <v>0</v>
      </c>
      <c r="D217" s="25">
        <v>6.5</v>
      </c>
      <c r="E217" s="26" t="s">
        <v>226</v>
      </c>
      <c r="F217" s="26" t="s">
        <v>326</v>
      </c>
      <c r="G217" s="26" t="str">
        <f t="array" ref="G217">IFERROR(INDEX('Malaria-Equipment &amp; Other HPs'!$L$130:$L$230,MATCH($E217&amp;$F217,'Malaria-Equipment &amp; Other HPs'!$E$130:$E$230&amp;'Malaria-Equipment &amp; Other HPs'!$H$130:$H$230,0)),"")</f>
        <v/>
      </c>
      <c r="H217" s="26" t="str">
        <f t="array" ref="H217">IFERROR(INDEX('Malaria-Equipment &amp; Other HPs'!$M$130:$M$230,MATCH($E217&amp;$F217,'Malaria-Equipment &amp; Other HPs'!$E$130:$E$230&amp;'Malaria-Equipment &amp; Other HPs'!$H$130:$H$230,0)),"")</f>
        <v/>
      </c>
      <c r="I217" s="26">
        <f t="array" ref="I217">IFERROR(INDEX('Malaria-Equipment &amp; Other HPs'!$N$130:$N$230,MATCH($E217&amp;$F217,'Malaria-Equipment &amp; Other HPs'!$E$130:$E$230&amp;'Malaria-Equipment &amp; Other HPs'!$H$130:$H$230,0)),0)</f>
        <v>0</v>
      </c>
      <c r="J217" s="26">
        <f t="array" ref="J217">IFERROR(INDEX('Malaria-Equipment &amp; Other HPs'!$O$130:$O$230,MATCH($E217&amp;$F217,'Malaria-Equipment &amp; Other HPs'!$E$130:$E$230&amp;'Malaria-Equipment &amp; Other HPs'!$H$130:$H$230,0)),0)</f>
        <v>0</v>
      </c>
      <c r="K217" s="25">
        <f t="shared" si="216"/>
        <v>0</v>
      </c>
      <c r="L217" s="25">
        <f t="shared" si="217"/>
        <v>0</v>
      </c>
      <c r="M217" s="25">
        <f t="shared" si="218"/>
        <v>0</v>
      </c>
      <c r="N217" s="26">
        <f t="array" ref="N217">IFERROR(INDEX('Malaria-Equipment &amp; Other HPs'!$P$130:$P$230,MATCH($E217&amp;$F217,'Malaria-Equipment &amp; Other HPs'!$E$130:$E$230&amp;'Malaria-Equipment &amp; Other HPs'!$H$130:$H$230,0)),0)</f>
        <v>0</v>
      </c>
      <c r="O217" s="25">
        <f t="shared" si="219"/>
        <v>0</v>
      </c>
      <c r="P217" s="25">
        <f t="shared" si="220"/>
        <v>0</v>
      </c>
      <c r="Q217" s="25">
        <f t="shared" si="221"/>
        <v>0</v>
      </c>
      <c r="R217" s="26">
        <f t="array" ref="R217">IFERROR(INDEX('Malaria-Equipment &amp; Other HPs'!$Q$130:$Q$230,MATCH($E217&amp;$F217,'Malaria-Equipment &amp; Other HPs'!$E$130:$E$230&amp;'Malaria-Equipment &amp; Other HPs'!$H$130:$H$230,0)),0)</f>
        <v>0</v>
      </c>
      <c r="S217" s="25">
        <f t="shared" si="222"/>
        <v>0</v>
      </c>
      <c r="T217" s="25">
        <f t="shared" si="223"/>
        <v>0</v>
      </c>
      <c r="U217" s="25">
        <f t="shared" si="224"/>
        <v>0</v>
      </c>
      <c r="V217" s="26">
        <f t="array" ref="V217">IFERROR(INDEX('Malaria-Equipment &amp; Other HPs'!$R$130:$R$230,MATCH($E217&amp;$F217,'Malaria-Equipment &amp; Other HPs'!$E$130:$E$230&amp;'Malaria-Equipment &amp; Other HPs'!$H$130:$H$230,0)),0)</f>
        <v>0</v>
      </c>
      <c r="W217" s="25">
        <f t="shared" si="225"/>
        <v>0</v>
      </c>
      <c r="X217" s="25">
        <f t="shared" si="226"/>
        <v>0</v>
      </c>
      <c r="Y217" s="25">
        <f t="shared" si="227"/>
        <v>0</v>
      </c>
      <c r="Z217" s="680"/>
      <c r="AA217" s="26">
        <f t="array" ref="AA217">IFERROR(INDEX('Malaria-Equipment &amp; Other HPs'!$U$130:$U$230,MATCH($E217&amp;$F217,'Malaria-Equipment &amp; Other HPs'!$E$130:$E$230&amp;'Malaria-Equipment &amp; Other HPs'!$H$130:$H$230,0)),0)</f>
        <v>0</v>
      </c>
      <c r="AB217" s="26">
        <f t="array" ref="AB217">IFERROR(INDEX('Malaria-Equipment &amp; Other HPs'!$V$130:$V$230,MATCH($E217&amp;$F217,'Malaria-Equipment &amp; Other HPs'!$E$130:$E$230&amp;'Malaria-Equipment &amp; Other HPs'!$H$130:$H$230,0)),0)</f>
        <v>0</v>
      </c>
      <c r="AC217" s="26">
        <f t="shared" si="228"/>
        <v>0</v>
      </c>
      <c r="AD217" s="25">
        <f t="shared" si="229"/>
        <v>0</v>
      </c>
      <c r="AE217" s="25">
        <f t="shared" si="230"/>
        <v>0</v>
      </c>
      <c r="AF217" s="26">
        <f t="array" ref="AF217">IFERROR(INDEX('Malaria-Equipment &amp; Other HPs'!$W$130:$W$230,MATCH($E217&amp;$F217,'Malaria-Equipment &amp; Other HPs'!$E$130:$E$230&amp;'Malaria-Equipment &amp; Other HPs'!$H$130:$H$230,0)),0)</f>
        <v>0</v>
      </c>
      <c r="AG217" s="26">
        <f t="shared" si="231"/>
        <v>0</v>
      </c>
      <c r="AH217" s="25">
        <f t="shared" si="232"/>
        <v>0</v>
      </c>
      <c r="AI217" s="25">
        <f t="shared" si="233"/>
        <v>0</v>
      </c>
      <c r="AJ217" s="26">
        <f t="array" ref="AJ217">IFERROR(INDEX('Malaria-Equipment &amp; Other HPs'!$X$130:$X$230,MATCH($E217&amp;$F217,'Malaria-Equipment &amp; Other HPs'!$E$130:$E$230&amp;'Malaria-Equipment &amp; Other HPs'!$H$130:$H$230,0)),0)</f>
        <v>0</v>
      </c>
      <c r="AK217" s="26">
        <f t="shared" si="234"/>
        <v>0</v>
      </c>
      <c r="AL217" s="25">
        <f t="shared" si="235"/>
        <v>0</v>
      </c>
      <c r="AM217" s="25">
        <f t="shared" si="236"/>
        <v>0</v>
      </c>
      <c r="AN217" s="26">
        <f t="array" ref="AN217">IFERROR(INDEX('Malaria-Equipment &amp; Other HPs'!$Y$130:$Y$230,MATCH($E217&amp;$F217,'Malaria-Equipment &amp; Other HPs'!$E$130:$E$230&amp;'Malaria-Equipment &amp; Other HPs'!$H$130:$H$230,0)),0)</f>
        <v>0</v>
      </c>
      <c r="AO217" s="26">
        <f t="shared" si="237"/>
        <v>0</v>
      </c>
      <c r="AP217" s="25">
        <f t="shared" si="238"/>
        <v>0</v>
      </c>
      <c r="AQ217" s="25">
        <f t="shared" si="239"/>
        <v>0</v>
      </c>
      <c r="AR217" s="680"/>
      <c r="AS217" s="26">
        <f t="array" ref="AS217">IFERROR(INDEX('Malaria-Equipment &amp; Other HPs'!$AB$130:$AB$230,MATCH($E217&amp;$F217,'Malaria-Equipment &amp; Other HPs'!$E$130:$E$230&amp;'Malaria-Equipment &amp; Other HPs'!$H$130:$H$230,0)),0)</f>
        <v>0</v>
      </c>
      <c r="AT217" s="26">
        <f t="array" ref="AT217">IFERROR(INDEX('Malaria-Equipment &amp; Other HPs'!$AC$130:$AC$230,MATCH($E217&amp;$F217,'Malaria-Equipment &amp; Other HPs'!$E$130:$E$230&amp;'Malaria-Equipment &amp; Other HPs'!$H$130:$H$230,0)),0)</f>
        <v>0</v>
      </c>
      <c r="AU217" s="26">
        <f t="shared" si="240"/>
        <v>0</v>
      </c>
      <c r="AV217" s="25">
        <f t="shared" si="241"/>
        <v>0</v>
      </c>
      <c r="AW217" s="25">
        <f t="shared" si="242"/>
        <v>0</v>
      </c>
      <c r="AX217" s="26">
        <f t="array" ref="AX217">IFERROR(INDEX('Malaria-Equipment &amp; Other HPs'!$AD$130:$AD$230,MATCH($E217&amp;$F217,'Malaria-Equipment &amp; Other HPs'!$E$130:$E$230&amp;'Malaria-Equipment &amp; Other HPs'!$H$130:$H$230,0)),0)</f>
        <v>0</v>
      </c>
      <c r="AY217" s="26">
        <f t="shared" si="243"/>
        <v>0</v>
      </c>
      <c r="AZ217" s="25">
        <f t="shared" si="244"/>
        <v>0</v>
      </c>
      <c r="BA217" s="25">
        <f t="shared" si="245"/>
        <v>0</v>
      </c>
      <c r="BB217" s="26">
        <f t="array" ref="BB217">IFERROR(INDEX('Malaria-Equipment &amp; Other HPs'!$AE$130:$AE$230,MATCH($E217&amp;$F217,'Malaria-Equipment &amp; Other HPs'!$E$130:$E$230&amp;'Malaria-Equipment &amp; Other HPs'!$H$130:$H$230,0)),0)</f>
        <v>0</v>
      </c>
      <c r="BC217" s="26">
        <f t="shared" si="246"/>
        <v>0</v>
      </c>
      <c r="BD217" s="25">
        <f t="shared" si="247"/>
        <v>0</v>
      </c>
      <c r="BE217" s="25">
        <f t="shared" si="248"/>
        <v>0</v>
      </c>
      <c r="BF217" s="26">
        <f t="array" ref="BF217">IFERROR(INDEX('Malaria-Equipment &amp; Other HPs'!$AF$130:$AF$230,MATCH($E217&amp;$F217,'Malaria-Equipment &amp; Other HPs'!$E$130:$E$230&amp;'Malaria-Equipment &amp; Other HPs'!$H$130:$H$230,0)),0)</f>
        <v>0</v>
      </c>
      <c r="BG217" s="26">
        <f t="shared" si="249"/>
        <v>0</v>
      </c>
      <c r="BH217" s="25">
        <f t="shared" si="250"/>
        <v>0</v>
      </c>
      <c r="BI217" s="25">
        <f t="shared" si="251"/>
        <v>0</v>
      </c>
      <c r="BJ217" s="680"/>
      <c r="BK217" s="26"/>
      <c r="BL217" s="26"/>
      <c r="BM217" s="26"/>
      <c r="BN217" s="26"/>
      <c r="BO217" s="26"/>
      <c r="BP217" s="26"/>
      <c r="BQ217" s="26"/>
      <c r="BR217" s="26"/>
      <c r="BT217" s="21" t="s">
        <v>6839</v>
      </c>
    </row>
    <row r="218" spans="1:72">
      <c r="A218" s="29" t="s">
        <v>63</v>
      </c>
      <c r="B218" s="29" t="s">
        <v>1550</v>
      </c>
      <c r="C218" s="626">
        <f>SETUP!$F$58</f>
        <v>0</v>
      </c>
      <c r="D218" s="25">
        <v>6.5</v>
      </c>
      <c r="E218" s="26" t="s">
        <v>226</v>
      </c>
      <c r="F218" s="26" t="s">
        <v>218</v>
      </c>
      <c r="G218" s="26" t="str">
        <f t="array" ref="G218">IFERROR(INDEX('Malaria-Equipment &amp; Other HPs'!$L$130:$L$230,MATCH($E218&amp;$F218,'Malaria-Equipment &amp; Other HPs'!$E$130:$E$230&amp;'Malaria-Equipment &amp; Other HPs'!$H$130:$H$230,0)),"")</f>
        <v/>
      </c>
      <c r="H218" s="26" t="str">
        <f t="array" ref="H218">IFERROR(INDEX('Malaria-Equipment &amp; Other HPs'!$M$130:$M$230,MATCH($E218&amp;$F218,'Malaria-Equipment &amp; Other HPs'!$E$130:$E$230&amp;'Malaria-Equipment &amp; Other HPs'!$H$130:$H$230,0)),"")</f>
        <v/>
      </c>
      <c r="I218" s="26">
        <f t="array" ref="I218">IFERROR(INDEX('Malaria-Equipment &amp; Other HPs'!$N$130:$N$230,MATCH($E218&amp;$F218,'Malaria-Equipment &amp; Other HPs'!$E$130:$E$230&amp;'Malaria-Equipment &amp; Other HPs'!$H$130:$H$230,0)),0)</f>
        <v>0</v>
      </c>
      <c r="J218" s="26">
        <f t="array" ref="J218">IFERROR(INDEX('Malaria-Equipment &amp; Other HPs'!$O$130:$O$230,MATCH($E218&amp;$F218,'Malaria-Equipment &amp; Other HPs'!$E$130:$E$230&amp;'Malaria-Equipment &amp; Other HPs'!$H$130:$H$230,0)),0)</f>
        <v>0</v>
      </c>
      <c r="K218" s="25">
        <f t="shared" si="216"/>
        <v>0</v>
      </c>
      <c r="L218" s="25">
        <f t="shared" si="217"/>
        <v>0</v>
      </c>
      <c r="M218" s="25">
        <f t="shared" si="218"/>
        <v>0</v>
      </c>
      <c r="N218" s="26">
        <f t="array" ref="N218">IFERROR(INDEX('Malaria-Equipment &amp; Other HPs'!$P$130:$P$230,MATCH($E218&amp;$F218,'Malaria-Equipment &amp; Other HPs'!$E$130:$E$230&amp;'Malaria-Equipment &amp; Other HPs'!$H$130:$H$230,0)),0)</f>
        <v>0</v>
      </c>
      <c r="O218" s="25">
        <f t="shared" si="219"/>
        <v>0</v>
      </c>
      <c r="P218" s="25">
        <f t="shared" si="220"/>
        <v>0</v>
      </c>
      <c r="Q218" s="25">
        <f t="shared" si="221"/>
        <v>0</v>
      </c>
      <c r="R218" s="26">
        <f t="array" ref="R218">IFERROR(INDEX('Malaria-Equipment &amp; Other HPs'!$Q$130:$Q$230,MATCH($E218&amp;$F218,'Malaria-Equipment &amp; Other HPs'!$E$130:$E$230&amp;'Malaria-Equipment &amp; Other HPs'!$H$130:$H$230,0)),0)</f>
        <v>0</v>
      </c>
      <c r="S218" s="25">
        <f t="shared" si="222"/>
        <v>0</v>
      </c>
      <c r="T218" s="25">
        <f t="shared" si="223"/>
        <v>0</v>
      </c>
      <c r="U218" s="25">
        <f t="shared" si="224"/>
        <v>0</v>
      </c>
      <c r="V218" s="26">
        <f t="array" ref="V218">IFERROR(INDEX('Malaria-Equipment &amp; Other HPs'!$R$130:$R$230,MATCH($E218&amp;$F218,'Malaria-Equipment &amp; Other HPs'!$E$130:$E$230&amp;'Malaria-Equipment &amp; Other HPs'!$H$130:$H$230,0)),0)</f>
        <v>0</v>
      </c>
      <c r="W218" s="25">
        <f t="shared" si="225"/>
        <v>0</v>
      </c>
      <c r="X218" s="25">
        <f t="shared" si="226"/>
        <v>0</v>
      </c>
      <c r="Y218" s="25">
        <f t="shared" si="227"/>
        <v>0</v>
      </c>
      <c r="Z218" s="680"/>
      <c r="AA218" s="26">
        <f t="array" ref="AA218">IFERROR(INDEX('Malaria-Equipment &amp; Other HPs'!$U$130:$U$230,MATCH($E218&amp;$F218,'Malaria-Equipment &amp; Other HPs'!$E$130:$E$230&amp;'Malaria-Equipment &amp; Other HPs'!$H$130:$H$230,0)),0)</f>
        <v>0</v>
      </c>
      <c r="AB218" s="26">
        <f t="array" ref="AB218">IFERROR(INDEX('Malaria-Equipment &amp; Other HPs'!$V$130:$V$230,MATCH($E218&amp;$F218,'Malaria-Equipment &amp; Other HPs'!$E$130:$E$230&amp;'Malaria-Equipment &amp; Other HPs'!$H$130:$H$230,0)),0)</f>
        <v>0</v>
      </c>
      <c r="AC218" s="26">
        <f t="shared" si="228"/>
        <v>0</v>
      </c>
      <c r="AD218" s="25">
        <f t="shared" si="229"/>
        <v>0</v>
      </c>
      <c r="AE218" s="25">
        <f t="shared" si="230"/>
        <v>0</v>
      </c>
      <c r="AF218" s="26">
        <f t="array" ref="AF218">IFERROR(INDEX('Malaria-Equipment &amp; Other HPs'!$W$130:$W$230,MATCH($E218&amp;$F218,'Malaria-Equipment &amp; Other HPs'!$E$130:$E$230&amp;'Malaria-Equipment &amp; Other HPs'!$H$130:$H$230,0)),0)</f>
        <v>0</v>
      </c>
      <c r="AG218" s="26">
        <f t="shared" si="231"/>
        <v>0</v>
      </c>
      <c r="AH218" s="25">
        <f t="shared" si="232"/>
        <v>0</v>
      </c>
      <c r="AI218" s="25">
        <f t="shared" si="233"/>
        <v>0</v>
      </c>
      <c r="AJ218" s="26">
        <f t="array" ref="AJ218">IFERROR(INDEX('Malaria-Equipment &amp; Other HPs'!$X$130:$X$230,MATCH($E218&amp;$F218,'Malaria-Equipment &amp; Other HPs'!$E$130:$E$230&amp;'Malaria-Equipment &amp; Other HPs'!$H$130:$H$230,0)),0)</f>
        <v>0</v>
      </c>
      <c r="AK218" s="26">
        <f t="shared" si="234"/>
        <v>0</v>
      </c>
      <c r="AL218" s="25">
        <f t="shared" si="235"/>
        <v>0</v>
      </c>
      <c r="AM218" s="25">
        <f t="shared" si="236"/>
        <v>0</v>
      </c>
      <c r="AN218" s="26">
        <f t="array" ref="AN218">IFERROR(INDEX('Malaria-Equipment &amp; Other HPs'!$Y$130:$Y$230,MATCH($E218&amp;$F218,'Malaria-Equipment &amp; Other HPs'!$E$130:$E$230&amp;'Malaria-Equipment &amp; Other HPs'!$H$130:$H$230,0)),0)</f>
        <v>0</v>
      </c>
      <c r="AO218" s="26">
        <f t="shared" si="237"/>
        <v>0</v>
      </c>
      <c r="AP218" s="25">
        <f t="shared" si="238"/>
        <v>0</v>
      </c>
      <c r="AQ218" s="25">
        <f t="shared" si="239"/>
        <v>0</v>
      </c>
      <c r="AR218" s="680"/>
      <c r="AS218" s="26">
        <f t="array" ref="AS218">IFERROR(INDEX('Malaria-Equipment &amp; Other HPs'!$AB$130:$AB$230,MATCH($E218&amp;$F218,'Malaria-Equipment &amp; Other HPs'!$E$130:$E$230&amp;'Malaria-Equipment &amp; Other HPs'!$H$130:$H$230,0)),0)</f>
        <v>0</v>
      </c>
      <c r="AT218" s="26">
        <f t="array" ref="AT218">IFERROR(INDEX('Malaria-Equipment &amp; Other HPs'!$AC$130:$AC$230,MATCH($E218&amp;$F218,'Malaria-Equipment &amp; Other HPs'!$E$130:$E$230&amp;'Malaria-Equipment &amp; Other HPs'!$H$130:$H$230,0)),0)</f>
        <v>0</v>
      </c>
      <c r="AU218" s="26">
        <f t="shared" si="240"/>
        <v>0</v>
      </c>
      <c r="AV218" s="25">
        <f t="shared" si="241"/>
        <v>0</v>
      </c>
      <c r="AW218" s="25">
        <f t="shared" si="242"/>
        <v>0</v>
      </c>
      <c r="AX218" s="26">
        <f t="array" ref="AX218">IFERROR(INDEX('Malaria-Equipment &amp; Other HPs'!$AD$130:$AD$230,MATCH($E218&amp;$F218,'Malaria-Equipment &amp; Other HPs'!$E$130:$E$230&amp;'Malaria-Equipment &amp; Other HPs'!$H$130:$H$230,0)),0)</f>
        <v>0</v>
      </c>
      <c r="AY218" s="26">
        <f t="shared" si="243"/>
        <v>0</v>
      </c>
      <c r="AZ218" s="25">
        <f t="shared" si="244"/>
        <v>0</v>
      </c>
      <c r="BA218" s="25">
        <f t="shared" si="245"/>
        <v>0</v>
      </c>
      <c r="BB218" s="26">
        <f t="array" ref="BB218">IFERROR(INDEX('Malaria-Equipment &amp; Other HPs'!$AE$130:$AE$230,MATCH($E218&amp;$F218,'Malaria-Equipment &amp; Other HPs'!$E$130:$E$230&amp;'Malaria-Equipment &amp; Other HPs'!$H$130:$H$230,0)),0)</f>
        <v>0</v>
      </c>
      <c r="BC218" s="26">
        <f t="shared" si="246"/>
        <v>0</v>
      </c>
      <c r="BD218" s="25">
        <f t="shared" si="247"/>
        <v>0</v>
      </c>
      <c r="BE218" s="25">
        <f t="shared" si="248"/>
        <v>0</v>
      </c>
      <c r="BF218" s="26">
        <f t="array" ref="BF218">IFERROR(INDEX('Malaria-Equipment &amp; Other HPs'!$AF$130:$AF$230,MATCH($E218&amp;$F218,'Malaria-Equipment &amp; Other HPs'!$E$130:$E$230&amp;'Malaria-Equipment &amp; Other HPs'!$H$130:$H$230,0)),0)</f>
        <v>0</v>
      </c>
      <c r="BG218" s="26">
        <f t="shared" si="249"/>
        <v>0</v>
      </c>
      <c r="BH218" s="25">
        <f t="shared" si="250"/>
        <v>0</v>
      </c>
      <c r="BI218" s="25">
        <f t="shared" si="251"/>
        <v>0</v>
      </c>
      <c r="BJ218" s="680"/>
      <c r="BK218" s="26"/>
      <c r="BL218" s="26"/>
      <c r="BM218" s="26"/>
      <c r="BN218" s="26"/>
      <c r="BO218" s="26"/>
      <c r="BP218" s="26"/>
      <c r="BQ218" s="26"/>
      <c r="BR218" s="26"/>
      <c r="BT218" s="21" t="s">
        <v>6839</v>
      </c>
    </row>
    <row r="219" spans="1:72">
      <c r="A219" s="29" t="s">
        <v>63</v>
      </c>
      <c r="B219" s="29" t="s">
        <v>1550</v>
      </c>
      <c r="C219" s="626">
        <f>SETUP!$F$58</f>
        <v>0</v>
      </c>
      <c r="D219" s="25">
        <v>6.6</v>
      </c>
      <c r="E219" s="26" t="s">
        <v>226</v>
      </c>
      <c r="F219" s="26" t="s">
        <v>201</v>
      </c>
      <c r="G219" s="26" t="str">
        <f t="array" ref="G219">IFERROR(INDEX('Malaria-Equipment &amp; Other HPs'!$L$130:$L$230,MATCH($E219&amp;$F219,'Malaria-Equipment &amp; Other HPs'!$E$130:$E$230&amp;'Malaria-Equipment &amp; Other HPs'!$H$130:$H$230,0)),"")</f>
        <v/>
      </c>
      <c r="H219" s="26" t="str">
        <f t="array" ref="H219">IFERROR(INDEX('Malaria-Equipment &amp; Other HPs'!$M$130:$M$230,MATCH($E219&amp;$F219,'Malaria-Equipment &amp; Other HPs'!$E$130:$E$230&amp;'Malaria-Equipment &amp; Other HPs'!$H$130:$H$230,0)),"")</f>
        <v/>
      </c>
      <c r="I219" s="26">
        <f t="array" ref="I219">IFERROR(INDEX('Malaria-Equipment &amp; Other HPs'!$N$130:$N$230,MATCH($E219&amp;$F219,'Malaria-Equipment &amp; Other HPs'!$E$130:$E$230&amp;'Malaria-Equipment &amp; Other HPs'!$H$130:$H$230,0)),0)</f>
        <v>0</v>
      </c>
      <c r="J219" s="26">
        <f t="array" ref="J219">IFERROR(INDEX('Malaria-Equipment &amp; Other HPs'!$O$130:$O$230,MATCH($E219&amp;$F219,'Malaria-Equipment &amp; Other HPs'!$E$130:$E$230&amp;'Malaria-Equipment &amp; Other HPs'!$H$130:$H$230,0)),0)</f>
        <v>0</v>
      </c>
      <c r="K219" s="25">
        <f t="shared" si="216"/>
        <v>0</v>
      </c>
      <c r="L219" s="25">
        <f t="shared" si="217"/>
        <v>0</v>
      </c>
      <c r="M219" s="25">
        <f t="shared" si="218"/>
        <v>0</v>
      </c>
      <c r="N219" s="26">
        <f t="array" ref="N219">IFERROR(INDEX('Malaria-Equipment &amp; Other HPs'!$P$130:$P$230,MATCH($E219&amp;$F219,'Malaria-Equipment &amp; Other HPs'!$E$130:$E$230&amp;'Malaria-Equipment &amp; Other HPs'!$H$130:$H$230,0)),0)</f>
        <v>0</v>
      </c>
      <c r="O219" s="25">
        <f t="shared" si="219"/>
        <v>0</v>
      </c>
      <c r="P219" s="25">
        <f t="shared" si="220"/>
        <v>0</v>
      </c>
      <c r="Q219" s="25">
        <f t="shared" si="221"/>
        <v>0</v>
      </c>
      <c r="R219" s="26">
        <f t="array" ref="R219">IFERROR(INDEX('Malaria-Equipment &amp; Other HPs'!$Q$130:$Q$230,MATCH($E219&amp;$F219,'Malaria-Equipment &amp; Other HPs'!$E$130:$E$230&amp;'Malaria-Equipment &amp; Other HPs'!$H$130:$H$230,0)),0)</f>
        <v>0</v>
      </c>
      <c r="S219" s="25">
        <f t="shared" si="222"/>
        <v>0</v>
      </c>
      <c r="T219" s="25">
        <f t="shared" si="223"/>
        <v>0</v>
      </c>
      <c r="U219" s="25">
        <f t="shared" si="224"/>
        <v>0</v>
      </c>
      <c r="V219" s="26">
        <f t="array" ref="V219">IFERROR(INDEX('Malaria-Equipment &amp; Other HPs'!$R$130:$R$230,MATCH($E219&amp;$F219,'Malaria-Equipment &amp; Other HPs'!$E$130:$E$230&amp;'Malaria-Equipment &amp; Other HPs'!$H$130:$H$230,0)),0)</f>
        <v>0</v>
      </c>
      <c r="W219" s="25">
        <f t="shared" si="225"/>
        <v>0</v>
      </c>
      <c r="X219" s="25">
        <f t="shared" si="226"/>
        <v>0</v>
      </c>
      <c r="Y219" s="25">
        <f t="shared" si="227"/>
        <v>0</v>
      </c>
      <c r="Z219" s="680"/>
      <c r="AA219" s="26">
        <f t="array" ref="AA219">IFERROR(INDEX('Malaria-Equipment &amp; Other HPs'!$U$130:$U$230,MATCH($E219&amp;$F219,'Malaria-Equipment &amp; Other HPs'!$E$130:$E$230&amp;'Malaria-Equipment &amp; Other HPs'!$H$130:$H$230,0)),0)</f>
        <v>0</v>
      </c>
      <c r="AB219" s="26">
        <f t="array" ref="AB219">IFERROR(INDEX('Malaria-Equipment &amp; Other HPs'!$V$130:$V$230,MATCH($E219&amp;$F219,'Malaria-Equipment &amp; Other HPs'!$E$130:$E$230&amp;'Malaria-Equipment &amp; Other HPs'!$H$130:$H$230,0)),0)</f>
        <v>0</v>
      </c>
      <c r="AC219" s="26">
        <f t="shared" si="228"/>
        <v>0</v>
      </c>
      <c r="AD219" s="25">
        <f t="shared" si="229"/>
        <v>0</v>
      </c>
      <c r="AE219" s="25">
        <f t="shared" si="230"/>
        <v>0</v>
      </c>
      <c r="AF219" s="26">
        <f t="array" ref="AF219">IFERROR(INDEX('Malaria-Equipment &amp; Other HPs'!$W$130:$W$230,MATCH($E219&amp;$F219,'Malaria-Equipment &amp; Other HPs'!$E$130:$E$230&amp;'Malaria-Equipment &amp; Other HPs'!$H$130:$H$230,0)),0)</f>
        <v>0</v>
      </c>
      <c r="AG219" s="26">
        <f t="shared" si="231"/>
        <v>0</v>
      </c>
      <c r="AH219" s="25">
        <f t="shared" si="232"/>
        <v>0</v>
      </c>
      <c r="AI219" s="25">
        <f t="shared" si="233"/>
        <v>0</v>
      </c>
      <c r="AJ219" s="26">
        <f t="array" ref="AJ219">IFERROR(INDEX('Malaria-Equipment &amp; Other HPs'!$X$130:$X$230,MATCH($E219&amp;$F219,'Malaria-Equipment &amp; Other HPs'!$E$130:$E$230&amp;'Malaria-Equipment &amp; Other HPs'!$H$130:$H$230,0)),0)</f>
        <v>0</v>
      </c>
      <c r="AK219" s="26">
        <f t="shared" si="234"/>
        <v>0</v>
      </c>
      <c r="AL219" s="25">
        <f t="shared" si="235"/>
        <v>0</v>
      </c>
      <c r="AM219" s="25">
        <f t="shared" si="236"/>
        <v>0</v>
      </c>
      <c r="AN219" s="26">
        <f t="array" ref="AN219">IFERROR(INDEX('Malaria-Equipment &amp; Other HPs'!$Y$130:$Y$230,MATCH($E219&amp;$F219,'Malaria-Equipment &amp; Other HPs'!$E$130:$E$230&amp;'Malaria-Equipment &amp; Other HPs'!$H$130:$H$230,0)),0)</f>
        <v>0</v>
      </c>
      <c r="AO219" s="26">
        <f t="shared" si="237"/>
        <v>0</v>
      </c>
      <c r="AP219" s="25">
        <f t="shared" si="238"/>
        <v>0</v>
      </c>
      <c r="AQ219" s="25">
        <f t="shared" si="239"/>
        <v>0</v>
      </c>
      <c r="AR219" s="680"/>
      <c r="AS219" s="26">
        <f t="array" ref="AS219">IFERROR(INDEX('Malaria-Equipment &amp; Other HPs'!$AB$130:$AB$230,MATCH($E219&amp;$F219,'Malaria-Equipment &amp; Other HPs'!$E$130:$E$230&amp;'Malaria-Equipment &amp; Other HPs'!$H$130:$H$230,0)),0)</f>
        <v>0</v>
      </c>
      <c r="AT219" s="26">
        <f t="array" ref="AT219">IFERROR(INDEX('Malaria-Equipment &amp; Other HPs'!$AC$130:$AC$230,MATCH($E219&amp;$F219,'Malaria-Equipment &amp; Other HPs'!$E$130:$E$230&amp;'Malaria-Equipment &amp; Other HPs'!$H$130:$H$230,0)),0)</f>
        <v>0</v>
      </c>
      <c r="AU219" s="26">
        <f t="shared" si="240"/>
        <v>0</v>
      </c>
      <c r="AV219" s="25">
        <f t="shared" si="241"/>
        <v>0</v>
      </c>
      <c r="AW219" s="25">
        <f t="shared" si="242"/>
        <v>0</v>
      </c>
      <c r="AX219" s="26">
        <f t="array" ref="AX219">IFERROR(INDEX('Malaria-Equipment &amp; Other HPs'!$AD$130:$AD$230,MATCH($E219&amp;$F219,'Malaria-Equipment &amp; Other HPs'!$E$130:$E$230&amp;'Malaria-Equipment &amp; Other HPs'!$H$130:$H$230,0)),0)</f>
        <v>0</v>
      </c>
      <c r="AY219" s="26">
        <f t="shared" si="243"/>
        <v>0</v>
      </c>
      <c r="AZ219" s="25">
        <f t="shared" si="244"/>
        <v>0</v>
      </c>
      <c r="BA219" s="25">
        <f t="shared" si="245"/>
        <v>0</v>
      </c>
      <c r="BB219" s="26">
        <f t="array" ref="BB219">IFERROR(INDEX('Malaria-Equipment &amp; Other HPs'!$AE$130:$AE$230,MATCH($E219&amp;$F219,'Malaria-Equipment &amp; Other HPs'!$E$130:$E$230&amp;'Malaria-Equipment &amp; Other HPs'!$H$130:$H$230,0)),0)</f>
        <v>0</v>
      </c>
      <c r="BC219" s="26">
        <f t="shared" si="246"/>
        <v>0</v>
      </c>
      <c r="BD219" s="25">
        <f t="shared" si="247"/>
        <v>0</v>
      </c>
      <c r="BE219" s="25">
        <f t="shared" si="248"/>
        <v>0</v>
      </c>
      <c r="BF219" s="26">
        <f t="array" ref="BF219">IFERROR(INDEX('Malaria-Equipment &amp; Other HPs'!$AF$130:$AF$230,MATCH($E219&amp;$F219,'Malaria-Equipment &amp; Other HPs'!$E$130:$E$230&amp;'Malaria-Equipment &amp; Other HPs'!$H$130:$H$230,0)),0)</f>
        <v>0</v>
      </c>
      <c r="BG219" s="26">
        <f t="shared" si="249"/>
        <v>0</v>
      </c>
      <c r="BH219" s="25">
        <f t="shared" si="250"/>
        <v>0</v>
      </c>
      <c r="BI219" s="25">
        <f t="shared" si="251"/>
        <v>0</v>
      </c>
      <c r="BJ219" s="680"/>
      <c r="BK219" s="26"/>
      <c r="BL219" s="26"/>
      <c r="BM219" s="26"/>
      <c r="BN219" s="26"/>
      <c r="BO219" s="26"/>
      <c r="BP219" s="26"/>
      <c r="BQ219" s="26"/>
      <c r="BR219" s="26"/>
      <c r="BT219" s="21" t="s">
        <v>6839</v>
      </c>
    </row>
    <row r="220" spans="1:72">
      <c r="A220" s="29" t="s">
        <v>63</v>
      </c>
      <c r="B220" s="29" t="s">
        <v>1550</v>
      </c>
      <c r="C220" s="626">
        <f>SETUP!$F$58</f>
        <v>0</v>
      </c>
      <c r="D220" s="25">
        <v>6.6</v>
      </c>
      <c r="E220" s="26" t="s">
        <v>226</v>
      </c>
      <c r="F220" s="26" t="s">
        <v>200</v>
      </c>
      <c r="G220" s="26" t="str">
        <f t="array" ref="G220">IFERROR(INDEX('Malaria-Equipment &amp; Other HPs'!$L$130:$L$230,MATCH($E220&amp;$F220,'Malaria-Equipment &amp; Other HPs'!$E$130:$E$230&amp;'Malaria-Equipment &amp; Other HPs'!$H$130:$H$230,0)),"")</f>
        <v/>
      </c>
      <c r="H220" s="26" t="str">
        <f t="array" ref="H220">IFERROR(INDEX('Malaria-Equipment &amp; Other HPs'!$M$130:$M$230,MATCH($E220&amp;$F220,'Malaria-Equipment &amp; Other HPs'!$E$130:$E$230&amp;'Malaria-Equipment &amp; Other HPs'!$H$130:$H$230,0)),"")</f>
        <v/>
      </c>
      <c r="I220" s="26">
        <f t="array" ref="I220">IFERROR(INDEX('Malaria-Equipment &amp; Other HPs'!$N$130:$N$230,MATCH($E220&amp;$F220,'Malaria-Equipment &amp; Other HPs'!$E$130:$E$230&amp;'Malaria-Equipment &amp; Other HPs'!$H$130:$H$230,0)),0)</f>
        <v>0</v>
      </c>
      <c r="J220" s="26">
        <f t="array" ref="J220">IFERROR(INDEX('Malaria-Equipment &amp; Other HPs'!$O$130:$O$230,MATCH($E220&amp;$F220,'Malaria-Equipment &amp; Other HPs'!$E$130:$E$230&amp;'Malaria-Equipment &amp; Other HPs'!$H$130:$H$230,0)),0)</f>
        <v>0</v>
      </c>
      <c r="K220" s="25">
        <f t="shared" si="216"/>
        <v>0</v>
      </c>
      <c r="L220" s="25">
        <f t="shared" si="217"/>
        <v>0</v>
      </c>
      <c r="M220" s="25">
        <f t="shared" si="218"/>
        <v>0</v>
      </c>
      <c r="N220" s="26">
        <f t="array" ref="N220">IFERROR(INDEX('Malaria-Equipment &amp; Other HPs'!$P$130:$P$230,MATCH($E220&amp;$F220,'Malaria-Equipment &amp; Other HPs'!$E$130:$E$230&amp;'Malaria-Equipment &amp; Other HPs'!$H$130:$H$230,0)),0)</f>
        <v>0</v>
      </c>
      <c r="O220" s="25">
        <f t="shared" si="219"/>
        <v>0</v>
      </c>
      <c r="P220" s="25">
        <f t="shared" si="220"/>
        <v>0</v>
      </c>
      <c r="Q220" s="25">
        <f t="shared" si="221"/>
        <v>0</v>
      </c>
      <c r="R220" s="26">
        <f t="array" ref="R220">IFERROR(INDEX('Malaria-Equipment &amp; Other HPs'!$Q$130:$Q$230,MATCH($E220&amp;$F220,'Malaria-Equipment &amp; Other HPs'!$E$130:$E$230&amp;'Malaria-Equipment &amp; Other HPs'!$H$130:$H$230,0)),0)</f>
        <v>0</v>
      </c>
      <c r="S220" s="25">
        <f t="shared" si="222"/>
        <v>0</v>
      </c>
      <c r="T220" s="25">
        <f t="shared" si="223"/>
        <v>0</v>
      </c>
      <c r="U220" s="25">
        <f t="shared" si="224"/>
        <v>0</v>
      </c>
      <c r="V220" s="26">
        <f t="array" ref="V220">IFERROR(INDEX('Malaria-Equipment &amp; Other HPs'!$R$130:$R$230,MATCH($E220&amp;$F220,'Malaria-Equipment &amp; Other HPs'!$E$130:$E$230&amp;'Malaria-Equipment &amp; Other HPs'!$H$130:$H$230,0)),0)</f>
        <v>0</v>
      </c>
      <c r="W220" s="25">
        <f t="shared" si="225"/>
        <v>0</v>
      </c>
      <c r="X220" s="25">
        <f t="shared" si="226"/>
        <v>0</v>
      </c>
      <c r="Y220" s="25">
        <f t="shared" si="227"/>
        <v>0</v>
      </c>
      <c r="Z220" s="680"/>
      <c r="AA220" s="26">
        <f t="array" ref="AA220">IFERROR(INDEX('Malaria-Equipment &amp; Other HPs'!$U$130:$U$230,MATCH($E220&amp;$F220,'Malaria-Equipment &amp; Other HPs'!$E$130:$E$230&amp;'Malaria-Equipment &amp; Other HPs'!$H$130:$H$230,0)),0)</f>
        <v>0</v>
      </c>
      <c r="AB220" s="26">
        <f t="array" ref="AB220">IFERROR(INDEX('Malaria-Equipment &amp; Other HPs'!$V$130:$V$230,MATCH($E220&amp;$F220,'Malaria-Equipment &amp; Other HPs'!$E$130:$E$230&amp;'Malaria-Equipment &amp; Other HPs'!$H$130:$H$230,0)),0)</f>
        <v>0</v>
      </c>
      <c r="AC220" s="26">
        <f t="shared" si="228"/>
        <v>0</v>
      </c>
      <c r="AD220" s="25">
        <f t="shared" si="229"/>
        <v>0</v>
      </c>
      <c r="AE220" s="25">
        <f t="shared" si="230"/>
        <v>0</v>
      </c>
      <c r="AF220" s="26">
        <f t="array" ref="AF220">IFERROR(INDEX('Malaria-Equipment &amp; Other HPs'!$W$130:$W$230,MATCH($E220&amp;$F220,'Malaria-Equipment &amp; Other HPs'!$E$130:$E$230&amp;'Malaria-Equipment &amp; Other HPs'!$H$130:$H$230,0)),0)</f>
        <v>0</v>
      </c>
      <c r="AG220" s="26">
        <f t="shared" si="231"/>
        <v>0</v>
      </c>
      <c r="AH220" s="25">
        <f t="shared" si="232"/>
        <v>0</v>
      </c>
      <c r="AI220" s="25">
        <f t="shared" si="233"/>
        <v>0</v>
      </c>
      <c r="AJ220" s="26">
        <f t="array" ref="AJ220">IFERROR(INDEX('Malaria-Equipment &amp; Other HPs'!$X$130:$X$230,MATCH($E220&amp;$F220,'Malaria-Equipment &amp; Other HPs'!$E$130:$E$230&amp;'Malaria-Equipment &amp; Other HPs'!$H$130:$H$230,0)),0)</f>
        <v>0</v>
      </c>
      <c r="AK220" s="26">
        <f t="shared" si="234"/>
        <v>0</v>
      </c>
      <c r="AL220" s="25">
        <f t="shared" si="235"/>
        <v>0</v>
      </c>
      <c r="AM220" s="25">
        <f t="shared" si="236"/>
        <v>0</v>
      </c>
      <c r="AN220" s="26">
        <f t="array" ref="AN220">IFERROR(INDEX('Malaria-Equipment &amp; Other HPs'!$Y$130:$Y$230,MATCH($E220&amp;$F220,'Malaria-Equipment &amp; Other HPs'!$E$130:$E$230&amp;'Malaria-Equipment &amp; Other HPs'!$H$130:$H$230,0)),0)</f>
        <v>0</v>
      </c>
      <c r="AO220" s="26">
        <f t="shared" si="237"/>
        <v>0</v>
      </c>
      <c r="AP220" s="25">
        <f t="shared" si="238"/>
        <v>0</v>
      </c>
      <c r="AQ220" s="25">
        <f t="shared" si="239"/>
        <v>0</v>
      </c>
      <c r="AR220" s="680"/>
      <c r="AS220" s="26">
        <f t="array" ref="AS220">IFERROR(INDEX('Malaria-Equipment &amp; Other HPs'!$AB$130:$AB$230,MATCH($E220&amp;$F220,'Malaria-Equipment &amp; Other HPs'!$E$130:$E$230&amp;'Malaria-Equipment &amp; Other HPs'!$H$130:$H$230,0)),0)</f>
        <v>0</v>
      </c>
      <c r="AT220" s="26">
        <f t="array" ref="AT220">IFERROR(INDEX('Malaria-Equipment &amp; Other HPs'!$AC$130:$AC$230,MATCH($E220&amp;$F220,'Malaria-Equipment &amp; Other HPs'!$E$130:$E$230&amp;'Malaria-Equipment &amp; Other HPs'!$H$130:$H$230,0)),0)</f>
        <v>0</v>
      </c>
      <c r="AU220" s="26">
        <f t="shared" si="240"/>
        <v>0</v>
      </c>
      <c r="AV220" s="25">
        <f t="shared" si="241"/>
        <v>0</v>
      </c>
      <c r="AW220" s="25">
        <f t="shared" si="242"/>
        <v>0</v>
      </c>
      <c r="AX220" s="26">
        <f t="array" ref="AX220">IFERROR(INDEX('Malaria-Equipment &amp; Other HPs'!$AD$130:$AD$230,MATCH($E220&amp;$F220,'Malaria-Equipment &amp; Other HPs'!$E$130:$E$230&amp;'Malaria-Equipment &amp; Other HPs'!$H$130:$H$230,0)),0)</f>
        <v>0</v>
      </c>
      <c r="AY220" s="26">
        <f t="shared" si="243"/>
        <v>0</v>
      </c>
      <c r="AZ220" s="25">
        <f t="shared" si="244"/>
        <v>0</v>
      </c>
      <c r="BA220" s="25">
        <f t="shared" si="245"/>
        <v>0</v>
      </c>
      <c r="BB220" s="26">
        <f t="array" ref="BB220">IFERROR(INDEX('Malaria-Equipment &amp; Other HPs'!$AE$130:$AE$230,MATCH($E220&amp;$F220,'Malaria-Equipment &amp; Other HPs'!$E$130:$E$230&amp;'Malaria-Equipment &amp; Other HPs'!$H$130:$H$230,0)),0)</f>
        <v>0</v>
      </c>
      <c r="BC220" s="26">
        <f t="shared" si="246"/>
        <v>0</v>
      </c>
      <c r="BD220" s="25">
        <f t="shared" si="247"/>
        <v>0</v>
      </c>
      <c r="BE220" s="25">
        <f t="shared" si="248"/>
        <v>0</v>
      </c>
      <c r="BF220" s="26">
        <f t="array" ref="BF220">IFERROR(INDEX('Malaria-Equipment &amp; Other HPs'!$AF$130:$AF$230,MATCH($E220&amp;$F220,'Malaria-Equipment &amp; Other HPs'!$E$130:$E$230&amp;'Malaria-Equipment &amp; Other HPs'!$H$130:$H$230,0)),0)</f>
        <v>0</v>
      </c>
      <c r="BG220" s="26">
        <f t="shared" si="249"/>
        <v>0</v>
      </c>
      <c r="BH220" s="25">
        <f t="shared" si="250"/>
        <v>0</v>
      </c>
      <c r="BI220" s="25">
        <f t="shared" si="251"/>
        <v>0</v>
      </c>
      <c r="BJ220" s="680"/>
      <c r="BK220" s="26"/>
      <c r="BL220" s="26"/>
      <c r="BM220" s="26"/>
      <c r="BN220" s="26"/>
      <c r="BO220" s="26"/>
      <c r="BP220" s="26"/>
      <c r="BQ220" s="26"/>
      <c r="BR220" s="26"/>
      <c r="BT220" s="21" t="s">
        <v>6839</v>
      </c>
    </row>
    <row r="221" spans="1:72">
      <c r="A221" s="29" t="s">
        <v>63</v>
      </c>
      <c r="B221" s="29" t="s">
        <v>1550</v>
      </c>
      <c r="C221" s="626">
        <f>SETUP!$F$58</f>
        <v>0</v>
      </c>
      <c r="D221" s="25">
        <v>6.5</v>
      </c>
      <c r="E221" s="26" t="s">
        <v>329</v>
      </c>
      <c r="F221" s="26" t="s">
        <v>218</v>
      </c>
      <c r="G221" s="26" t="str">
        <f t="array" ref="G221">IFERROR(INDEX('Malaria-Equipment &amp; Other HPs'!$L$130:$L$230,MATCH($E221&amp;$F221,'Malaria-Equipment &amp; Other HPs'!$E$130:$E$230&amp;'Malaria-Equipment &amp; Other HPs'!$H$130:$H$230,0)),"")</f>
        <v/>
      </c>
      <c r="H221" s="26" t="str">
        <f t="array" ref="H221">IFERROR(INDEX('Malaria-Equipment &amp; Other HPs'!$M$130:$M$230,MATCH($E221&amp;$F221,'Malaria-Equipment &amp; Other HPs'!$E$130:$E$230&amp;'Malaria-Equipment &amp; Other HPs'!$H$130:$H$230,0)),"")</f>
        <v/>
      </c>
      <c r="I221" s="26">
        <f t="array" ref="I221">IFERROR(INDEX('Malaria-Equipment &amp; Other HPs'!$N$130:$N$230,MATCH($E221&amp;$F221,'Malaria-Equipment &amp; Other HPs'!$E$130:$E$230&amp;'Malaria-Equipment &amp; Other HPs'!$H$130:$H$230,0)),0)</f>
        <v>0</v>
      </c>
      <c r="J221" s="26">
        <f t="array" ref="J221">IFERROR(INDEX('Malaria-Equipment &amp; Other HPs'!$O$130:$O$230,MATCH($E221&amp;$F221,'Malaria-Equipment &amp; Other HPs'!$E$130:$E$230&amp;'Malaria-Equipment &amp; Other HPs'!$H$130:$H$230,0)),0)</f>
        <v>0</v>
      </c>
      <c r="K221" s="25">
        <f t="shared" si="216"/>
        <v>0</v>
      </c>
      <c r="L221" s="25">
        <f t="shared" si="217"/>
        <v>0</v>
      </c>
      <c r="M221" s="25">
        <f t="shared" si="218"/>
        <v>0</v>
      </c>
      <c r="N221" s="26">
        <f t="array" ref="N221">IFERROR(INDEX('Malaria-Equipment &amp; Other HPs'!$P$130:$P$230,MATCH($E221&amp;$F221,'Malaria-Equipment &amp; Other HPs'!$E$130:$E$230&amp;'Malaria-Equipment &amp; Other HPs'!$H$130:$H$230,0)),0)</f>
        <v>0</v>
      </c>
      <c r="O221" s="25">
        <f t="shared" si="219"/>
        <v>0</v>
      </c>
      <c r="P221" s="25">
        <f t="shared" si="220"/>
        <v>0</v>
      </c>
      <c r="Q221" s="25">
        <f t="shared" si="221"/>
        <v>0</v>
      </c>
      <c r="R221" s="26">
        <f t="array" ref="R221">IFERROR(INDEX('Malaria-Equipment &amp; Other HPs'!$Q$130:$Q$230,MATCH($E221&amp;$F221,'Malaria-Equipment &amp; Other HPs'!$E$130:$E$230&amp;'Malaria-Equipment &amp; Other HPs'!$H$130:$H$230,0)),0)</f>
        <v>0</v>
      </c>
      <c r="S221" s="25">
        <f t="shared" si="222"/>
        <v>0</v>
      </c>
      <c r="T221" s="25">
        <f t="shared" si="223"/>
        <v>0</v>
      </c>
      <c r="U221" s="25">
        <f t="shared" si="224"/>
        <v>0</v>
      </c>
      <c r="V221" s="26">
        <f t="array" ref="V221">IFERROR(INDEX('Malaria-Equipment &amp; Other HPs'!$R$130:$R$230,MATCH($E221&amp;$F221,'Malaria-Equipment &amp; Other HPs'!$E$130:$E$230&amp;'Malaria-Equipment &amp; Other HPs'!$H$130:$H$230,0)),0)</f>
        <v>0</v>
      </c>
      <c r="W221" s="25">
        <f t="shared" si="225"/>
        <v>0</v>
      </c>
      <c r="X221" s="25">
        <f t="shared" si="226"/>
        <v>0</v>
      </c>
      <c r="Y221" s="25">
        <f t="shared" si="227"/>
        <v>0</v>
      </c>
      <c r="Z221" s="680"/>
      <c r="AA221" s="26">
        <f t="array" ref="AA221">IFERROR(INDEX('Malaria-Equipment &amp; Other HPs'!$U$130:$U$230,MATCH($E221&amp;$F221,'Malaria-Equipment &amp; Other HPs'!$E$130:$E$230&amp;'Malaria-Equipment &amp; Other HPs'!$H$130:$H$230,0)),0)</f>
        <v>0</v>
      </c>
      <c r="AB221" s="26">
        <f t="array" ref="AB221">IFERROR(INDEX('Malaria-Equipment &amp; Other HPs'!$V$130:$V$230,MATCH($E221&amp;$F221,'Malaria-Equipment &amp; Other HPs'!$E$130:$E$230&amp;'Malaria-Equipment &amp; Other HPs'!$H$130:$H$230,0)),0)</f>
        <v>0</v>
      </c>
      <c r="AC221" s="26">
        <f t="shared" si="228"/>
        <v>0</v>
      </c>
      <c r="AD221" s="25">
        <f t="shared" si="229"/>
        <v>0</v>
      </c>
      <c r="AE221" s="25">
        <f t="shared" si="230"/>
        <v>0</v>
      </c>
      <c r="AF221" s="26">
        <f t="array" ref="AF221">IFERROR(INDEX('Malaria-Equipment &amp; Other HPs'!$W$130:$W$230,MATCH($E221&amp;$F221,'Malaria-Equipment &amp; Other HPs'!$E$130:$E$230&amp;'Malaria-Equipment &amp; Other HPs'!$H$130:$H$230,0)),0)</f>
        <v>0</v>
      </c>
      <c r="AG221" s="26">
        <f t="shared" si="231"/>
        <v>0</v>
      </c>
      <c r="AH221" s="25">
        <f t="shared" si="232"/>
        <v>0</v>
      </c>
      <c r="AI221" s="25">
        <f t="shared" si="233"/>
        <v>0</v>
      </c>
      <c r="AJ221" s="26">
        <f t="array" ref="AJ221">IFERROR(INDEX('Malaria-Equipment &amp; Other HPs'!$X$130:$X$230,MATCH($E221&amp;$F221,'Malaria-Equipment &amp; Other HPs'!$E$130:$E$230&amp;'Malaria-Equipment &amp; Other HPs'!$H$130:$H$230,0)),0)</f>
        <v>0</v>
      </c>
      <c r="AK221" s="26">
        <f t="shared" si="234"/>
        <v>0</v>
      </c>
      <c r="AL221" s="25">
        <f t="shared" si="235"/>
        <v>0</v>
      </c>
      <c r="AM221" s="25">
        <f t="shared" si="236"/>
        <v>0</v>
      </c>
      <c r="AN221" s="26">
        <f t="array" ref="AN221">IFERROR(INDEX('Malaria-Equipment &amp; Other HPs'!$Y$130:$Y$230,MATCH($E221&amp;$F221,'Malaria-Equipment &amp; Other HPs'!$E$130:$E$230&amp;'Malaria-Equipment &amp; Other HPs'!$H$130:$H$230,0)),0)</f>
        <v>0</v>
      </c>
      <c r="AO221" s="26">
        <f t="shared" si="237"/>
        <v>0</v>
      </c>
      <c r="AP221" s="25">
        <f t="shared" si="238"/>
        <v>0</v>
      </c>
      <c r="AQ221" s="25">
        <f t="shared" si="239"/>
        <v>0</v>
      </c>
      <c r="AR221" s="680"/>
      <c r="AS221" s="26">
        <f t="array" ref="AS221">IFERROR(INDEX('Malaria-Equipment &amp; Other HPs'!$AB$130:$AB$230,MATCH($E221&amp;$F221,'Malaria-Equipment &amp; Other HPs'!$E$130:$E$230&amp;'Malaria-Equipment &amp; Other HPs'!$H$130:$H$230,0)),0)</f>
        <v>0</v>
      </c>
      <c r="AT221" s="26">
        <f t="array" ref="AT221">IFERROR(INDEX('Malaria-Equipment &amp; Other HPs'!$AC$130:$AC$230,MATCH($E221&amp;$F221,'Malaria-Equipment &amp; Other HPs'!$E$130:$E$230&amp;'Malaria-Equipment &amp; Other HPs'!$H$130:$H$230,0)),0)</f>
        <v>0</v>
      </c>
      <c r="AU221" s="26">
        <f t="shared" si="240"/>
        <v>0</v>
      </c>
      <c r="AV221" s="25">
        <f t="shared" si="241"/>
        <v>0</v>
      </c>
      <c r="AW221" s="25">
        <f t="shared" si="242"/>
        <v>0</v>
      </c>
      <c r="AX221" s="26">
        <f t="array" ref="AX221">IFERROR(INDEX('Malaria-Equipment &amp; Other HPs'!$AD$130:$AD$230,MATCH($E221&amp;$F221,'Malaria-Equipment &amp; Other HPs'!$E$130:$E$230&amp;'Malaria-Equipment &amp; Other HPs'!$H$130:$H$230,0)),0)</f>
        <v>0</v>
      </c>
      <c r="AY221" s="26">
        <f t="shared" si="243"/>
        <v>0</v>
      </c>
      <c r="AZ221" s="25">
        <f t="shared" si="244"/>
        <v>0</v>
      </c>
      <c r="BA221" s="25">
        <f t="shared" si="245"/>
        <v>0</v>
      </c>
      <c r="BB221" s="26">
        <f t="array" ref="BB221">IFERROR(INDEX('Malaria-Equipment &amp; Other HPs'!$AE$130:$AE$230,MATCH($E221&amp;$F221,'Malaria-Equipment &amp; Other HPs'!$E$130:$E$230&amp;'Malaria-Equipment &amp; Other HPs'!$H$130:$H$230,0)),0)</f>
        <v>0</v>
      </c>
      <c r="BC221" s="26">
        <f t="shared" si="246"/>
        <v>0</v>
      </c>
      <c r="BD221" s="25">
        <f t="shared" si="247"/>
        <v>0</v>
      </c>
      <c r="BE221" s="25">
        <f t="shared" si="248"/>
        <v>0</v>
      </c>
      <c r="BF221" s="26">
        <f t="array" ref="BF221">IFERROR(INDEX('Malaria-Equipment &amp; Other HPs'!$AF$130:$AF$230,MATCH($E221&amp;$F221,'Malaria-Equipment &amp; Other HPs'!$E$130:$E$230&amp;'Malaria-Equipment &amp; Other HPs'!$H$130:$H$230,0)),0)</f>
        <v>0</v>
      </c>
      <c r="BG221" s="26">
        <f t="shared" si="249"/>
        <v>0</v>
      </c>
      <c r="BH221" s="25">
        <f t="shared" si="250"/>
        <v>0</v>
      </c>
      <c r="BI221" s="25">
        <f t="shared" si="251"/>
        <v>0</v>
      </c>
      <c r="BJ221" s="680"/>
      <c r="BK221" s="26"/>
      <c r="BL221" s="26"/>
      <c r="BM221" s="26"/>
      <c r="BN221" s="26"/>
      <c r="BO221" s="26"/>
      <c r="BP221" s="26"/>
      <c r="BQ221" s="26"/>
      <c r="BR221" s="26"/>
      <c r="BT221" s="21" t="s">
        <v>6839</v>
      </c>
    </row>
    <row r="222" spans="1:72">
      <c r="A222" s="29" t="s">
        <v>63</v>
      </c>
      <c r="B222" s="29" t="s">
        <v>1550</v>
      </c>
      <c r="C222" s="626">
        <f>SETUP!$F$58</f>
        <v>0</v>
      </c>
      <c r="D222" s="25">
        <v>6.6</v>
      </c>
      <c r="E222" s="26" t="s">
        <v>329</v>
      </c>
      <c r="F222" s="26" t="s">
        <v>201</v>
      </c>
      <c r="G222" s="26" t="str">
        <f t="array" ref="G222">IFERROR(INDEX('Malaria-Equipment &amp; Other HPs'!$L$130:$L$230,MATCH($E222&amp;$F222,'Malaria-Equipment &amp; Other HPs'!$E$130:$E$230&amp;'Malaria-Equipment &amp; Other HPs'!$H$130:$H$230,0)),"")</f>
        <v/>
      </c>
      <c r="H222" s="26" t="str">
        <f t="array" ref="H222">IFERROR(INDEX('Malaria-Equipment &amp; Other HPs'!$M$130:$M$230,MATCH($E222&amp;$F222,'Malaria-Equipment &amp; Other HPs'!$E$130:$E$230&amp;'Malaria-Equipment &amp; Other HPs'!$H$130:$H$230,0)),"")</f>
        <v/>
      </c>
      <c r="I222" s="26">
        <f t="array" ref="I222">IFERROR(INDEX('Malaria-Equipment &amp; Other HPs'!$N$130:$N$230,MATCH($E222&amp;$F222,'Malaria-Equipment &amp; Other HPs'!$E$130:$E$230&amp;'Malaria-Equipment &amp; Other HPs'!$H$130:$H$230,0)),0)</f>
        <v>0</v>
      </c>
      <c r="J222" s="26">
        <f t="array" ref="J222">IFERROR(INDEX('Malaria-Equipment &amp; Other HPs'!$O$130:$O$230,MATCH($E222&amp;$F222,'Malaria-Equipment &amp; Other HPs'!$E$130:$E$230&amp;'Malaria-Equipment &amp; Other HPs'!$H$130:$H$230,0)),0)</f>
        <v>0</v>
      </c>
      <c r="K222" s="25">
        <f t="shared" si="216"/>
        <v>0</v>
      </c>
      <c r="L222" s="25">
        <f t="shared" si="217"/>
        <v>0</v>
      </c>
      <c r="M222" s="25">
        <f t="shared" si="218"/>
        <v>0</v>
      </c>
      <c r="N222" s="26">
        <f t="array" ref="N222">IFERROR(INDEX('Malaria-Equipment &amp; Other HPs'!$P$130:$P$230,MATCH($E222&amp;$F222,'Malaria-Equipment &amp; Other HPs'!$E$130:$E$230&amp;'Malaria-Equipment &amp; Other HPs'!$H$130:$H$230,0)),0)</f>
        <v>0</v>
      </c>
      <c r="O222" s="25">
        <f t="shared" si="219"/>
        <v>0</v>
      </c>
      <c r="P222" s="25">
        <f t="shared" si="220"/>
        <v>0</v>
      </c>
      <c r="Q222" s="25">
        <f t="shared" si="221"/>
        <v>0</v>
      </c>
      <c r="R222" s="26">
        <f t="array" ref="R222">IFERROR(INDEX('Malaria-Equipment &amp; Other HPs'!$Q$130:$Q$230,MATCH($E222&amp;$F222,'Malaria-Equipment &amp; Other HPs'!$E$130:$E$230&amp;'Malaria-Equipment &amp; Other HPs'!$H$130:$H$230,0)),0)</f>
        <v>0</v>
      </c>
      <c r="S222" s="25">
        <f t="shared" si="222"/>
        <v>0</v>
      </c>
      <c r="T222" s="25">
        <f t="shared" si="223"/>
        <v>0</v>
      </c>
      <c r="U222" s="25">
        <f t="shared" si="224"/>
        <v>0</v>
      </c>
      <c r="V222" s="26">
        <f t="array" ref="V222">IFERROR(INDEX('Malaria-Equipment &amp; Other HPs'!$R$130:$R$230,MATCH($E222&amp;$F222,'Malaria-Equipment &amp; Other HPs'!$E$130:$E$230&amp;'Malaria-Equipment &amp; Other HPs'!$H$130:$H$230,0)),0)</f>
        <v>0</v>
      </c>
      <c r="W222" s="25">
        <f t="shared" si="225"/>
        <v>0</v>
      </c>
      <c r="X222" s="25">
        <f t="shared" si="226"/>
        <v>0</v>
      </c>
      <c r="Y222" s="25">
        <f t="shared" si="227"/>
        <v>0</v>
      </c>
      <c r="Z222" s="680"/>
      <c r="AA222" s="26">
        <f t="array" ref="AA222">IFERROR(INDEX('Malaria-Equipment &amp; Other HPs'!$U$130:$U$230,MATCH($E222&amp;$F222,'Malaria-Equipment &amp; Other HPs'!$E$130:$E$230&amp;'Malaria-Equipment &amp; Other HPs'!$H$130:$H$230,0)),0)</f>
        <v>0</v>
      </c>
      <c r="AB222" s="26">
        <f t="array" ref="AB222">IFERROR(INDEX('Malaria-Equipment &amp; Other HPs'!$V$130:$V$230,MATCH($E222&amp;$F222,'Malaria-Equipment &amp; Other HPs'!$E$130:$E$230&amp;'Malaria-Equipment &amp; Other HPs'!$H$130:$H$230,0)),0)</f>
        <v>0</v>
      </c>
      <c r="AC222" s="26">
        <f t="shared" si="228"/>
        <v>0</v>
      </c>
      <c r="AD222" s="25">
        <f t="shared" si="229"/>
        <v>0</v>
      </c>
      <c r="AE222" s="25">
        <f t="shared" si="230"/>
        <v>0</v>
      </c>
      <c r="AF222" s="26">
        <f t="array" ref="AF222">IFERROR(INDEX('Malaria-Equipment &amp; Other HPs'!$W$130:$W$230,MATCH($E222&amp;$F222,'Malaria-Equipment &amp; Other HPs'!$E$130:$E$230&amp;'Malaria-Equipment &amp; Other HPs'!$H$130:$H$230,0)),0)</f>
        <v>0</v>
      </c>
      <c r="AG222" s="26">
        <f t="shared" si="231"/>
        <v>0</v>
      </c>
      <c r="AH222" s="25">
        <f t="shared" si="232"/>
        <v>0</v>
      </c>
      <c r="AI222" s="25">
        <f t="shared" si="233"/>
        <v>0</v>
      </c>
      <c r="AJ222" s="26">
        <f t="array" ref="AJ222">IFERROR(INDEX('Malaria-Equipment &amp; Other HPs'!$X$130:$X$230,MATCH($E222&amp;$F222,'Malaria-Equipment &amp; Other HPs'!$E$130:$E$230&amp;'Malaria-Equipment &amp; Other HPs'!$H$130:$H$230,0)),0)</f>
        <v>0</v>
      </c>
      <c r="AK222" s="26">
        <f t="shared" si="234"/>
        <v>0</v>
      </c>
      <c r="AL222" s="25">
        <f t="shared" si="235"/>
        <v>0</v>
      </c>
      <c r="AM222" s="25">
        <f t="shared" si="236"/>
        <v>0</v>
      </c>
      <c r="AN222" s="26">
        <f t="array" ref="AN222">IFERROR(INDEX('Malaria-Equipment &amp; Other HPs'!$Y$130:$Y$230,MATCH($E222&amp;$F222,'Malaria-Equipment &amp; Other HPs'!$E$130:$E$230&amp;'Malaria-Equipment &amp; Other HPs'!$H$130:$H$230,0)),0)</f>
        <v>0</v>
      </c>
      <c r="AO222" s="26">
        <f t="shared" si="237"/>
        <v>0</v>
      </c>
      <c r="AP222" s="25">
        <f t="shared" si="238"/>
        <v>0</v>
      </c>
      <c r="AQ222" s="25">
        <f t="shared" si="239"/>
        <v>0</v>
      </c>
      <c r="AR222" s="680"/>
      <c r="AS222" s="26">
        <f t="array" ref="AS222">IFERROR(INDEX('Malaria-Equipment &amp; Other HPs'!$AB$130:$AB$230,MATCH($E222&amp;$F222,'Malaria-Equipment &amp; Other HPs'!$E$130:$E$230&amp;'Malaria-Equipment &amp; Other HPs'!$H$130:$H$230,0)),0)</f>
        <v>0</v>
      </c>
      <c r="AT222" s="26">
        <f t="array" ref="AT222">IFERROR(INDEX('Malaria-Equipment &amp; Other HPs'!$AC$130:$AC$230,MATCH($E222&amp;$F222,'Malaria-Equipment &amp; Other HPs'!$E$130:$E$230&amp;'Malaria-Equipment &amp; Other HPs'!$H$130:$H$230,0)),0)</f>
        <v>0</v>
      </c>
      <c r="AU222" s="26">
        <f t="shared" si="240"/>
        <v>0</v>
      </c>
      <c r="AV222" s="25">
        <f t="shared" si="241"/>
        <v>0</v>
      </c>
      <c r="AW222" s="25">
        <f t="shared" si="242"/>
        <v>0</v>
      </c>
      <c r="AX222" s="26">
        <f t="array" ref="AX222">IFERROR(INDEX('Malaria-Equipment &amp; Other HPs'!$AD$130:$AD$230,MATCH($E222&amp;$F222,'Malaria-Equipment &amp; Other HPs'!$E$130:$E$230&amp;'Malaria-Equipment &amp; Other HPs'!$H$130:$H$230,0)),0)</f>
        <v>0</v>
      </c>
      <c r="AY222" s="26">
        <f t="shared" si="243"/>
        <v>0</v>
      </c>
      <c r="AZ222" s="25">
        <f t="shared" si="244"/>
        <v>0</v>
      </c>
      <c r="BA222" s="25">
        <f t="shared" si="245"/>
        <v>0</v>
      </c>
      <c r="BB222" s="26">
        <f t="array" ref="BB222">IFERROR(INDEX('Malaria-Equipment &amp; Other HPs'!$AE$130:$AE$230,MATCH($E222&amp;$F222,'Malaria-Equipment &amp; Other HPs'!$E$130:$E$230&amp;'Malaria-Equipment &amp; Other HPs'!$H$130:$H$230,0)),0)</f>
        <v>0</v>
      </c>
      <c r="BC222" s="26">
        <f t="shared" si="246"/>
        <v>0</v>
      </c>
      <c r="BD222" s="25">
        <f t="shared" si="247"/>
        <v>0</v>
      </c>
      <c r="BE222" s="25">
        <f t="shared" si="248"/>
        <v>0</v>
      </c>
      <c r="BF222" s="26">
        <f t="array" ref="BF222">IFERROR(INDEX('Malaria-Equipment &amp; Other HPs'!$AF$130:$AF$230,MATCH($E222&amp;$F222,'Malaria-Equipment &amp; Other HPs'!$E$130:$E$230&amp;'Malaria-Equipment &amp; Other HPs'!$H$130:$H$230,0)),0)</f>
        <v>0</v>
      </c>
      <c r="BG222" s="26">
        <f t="shared" si="249"/>
        <v>0</v>
      </c>
      <c r="BH222" s="25">
        <f t="shared" si="250"/>
        <v>0</v>
      </c>
      <c r="BI222" s="25">
        <f t="shared" si="251"/>
        <v>0</v>
      </c>
      <c r="BJ222" s="680"/>
      <c r="BK222" s="26"/>
      <c r="BL222" s="26"/>
      <c r="BM222" s="26"/>
      <c r="BN222" s="26"/>
      <c r="BO222" s="26"/>
      <c r="BP222" s="26"/>
      <c r="BQ222" s="26"/>
      <c r="BR222" s="26"/>
      <c r="BT222" s="21" t="s">
        <v>6839</v>
      </c>
    </row>
    <row r="223" spans="1:72">
      <c r="A223" s="29" t="s">
        <v>63</v>
      </c>
      <c r="B223" s="29" t="s">
        <v>1550</v>
      </c>
      <c r="C223" s="626">
        <f>SETUP!$F$58</f>
        <v>0</v>
      </c>
      <c r="D223" s="25">
        <v>6.6</v>
      </c>
      <c r="E223" s="26" t="s">
        <v>329</v>
      </c>
      <c r="F223" s="26" t="s">
        <v>200</v>
      </c>
      <c r="G223" s="26" t="str">
        <f t="array" ref="G223">IFERROR(INDEX('Malaria-Equipment &amp; Other HPs'!$L$130:$L$230,MATCH($E223&amp;$F223,'Malaria-Equipment &amp; Other HPs'!$E$130:$E$230&amp;'Malaria-Equipment &amp; Other HPs'!$H$130:$H$230,0)),"")</f>
        <v/>
      </c>
      <c r="H223" s="26" t="str">
        <f t="array" ref="H223">IFERROR(INDEX('Malaria-Equipment &amp; Other HPs'!$M$130:$M$230,MATCH($E223&amp;$F223,'Malaria-Equipment &amp; Other HPs'!$E$130:$E$230&amp;'Malaria-Equipment &amp; Other HPs'!$H$130:$H$230,0)),"")</f>
        <v/>
      </c>
      <c r="I223" s="26">
        <f t="array" ref="I223">IFERROR(INDEX('Malaria-Equipment &amp; Other HPs'!$N$130:$N$230,MATCH($E223&amp;$F223,'Malaria-Equipment &amp; Other HPs'!$E$130:$E$230&amp;'Malaria-Equipment &amp; Other HPs'!$H$130:$H$230,0)),0)</f>
        <v>0</v>
      </c>
      <c r="J223" s="26">
        <f t="array" ref="J223">IFERROR(INDEX('Malaria-Equipment &amp; Other HPs'!$O$130:$O$230,MATCH($E223&amp;$F223,'Malaria-Equipment &amp; Other HPs'!$E$130:$E$230&amp;'Malaria-Equipment &amp; Other HPs'!$H$130:$H$230,0)),0)</f>
        <v>0</v>
      </c>
      <c r="K223" s="25">
        <f t="shared" si="216"/>
        <v>0</v>
      </c>
      <c r="L223" s="25">
        <f t="shared" si="217"/>
        <v>0</v>
      </c>
      <c r="M223" s="25">
        <f t="shared" si="218"/>
        <v>0</v>
      </c>
      <c r="N223" s="26">
        <f t="array" ref="N223">IFERROR(INDEX('Malaria-Equipment &amp; Other HPs'!$P$130:$P$230,MATCH($E223&amp;$F223,'Malaria-Equipment &amp; Other HPs'!$E$130:$E$230&amp;'Malaria-Equipment &amp; Other HPs'!$H$130:$H$230,0)),0)</f>
        <v>0</v>
      </c>
      <c r="O223" s="25">
        <f t="shared" si="219"/>
        <v>0</v>
      </c>
      <c r="P223" s="25">
        <f t="shared" si="220"/>
        <v>0</v>
      </c>
      <c r="Q223" s="25">
        <f t="shared" si="221"/>
        <v>0</v>
      </c>
      <c r="R223" s="26">
        <f t="array" ref="R223">IFERROR(INDEX('Malaria-Equipment &amp; Other HPs'!$Q$130:$Q$230,MATCH($E223&amp;$F223,'Malaria-Equipment &amp; Other HPs'!$E$130:$E$230&amp;'Malaria-Equipment &amp; Other HPs'!$H$130:$H$230,0)),0)</f>
        <v>0</v>
      </c>
      <c r="S223" s="25">
        <f t="shared" si="222"/>
        <v>0</v>
      </c>
      <c r="T223" s="25">
        <f t="shared" si="223"/>
        <v>0</v>
      </c>
      <c r="U223" s="25">
        <f t="shared" si="224"/>
        <v>0</v>
      </c>
      <c r="V223" s="26">
        <f t="array" ref="V223">IFERROR(INDEX('Malaria-Equipment &amp; Other HPs'!$R$130:$R$230,MATCH($E223&amp;$F223,'Malaria-Equipment &amp; Other HPs'!$E$130:$E$230&amp;'Malaria-Equipment &amp; Other HPs'!$H$130:$H$230,0)),0)</f>
        <v>0</v>
      </c>
      <c r="W223" s="25">
        <f t="shared" si="225"/>
        <v>0</v>
      </c>
      <c r="X223" s="25">
        <f t="shared" si="226"/>
        <v>0</v>
      </c>
      <c r="Y223" s="25">
        <f t="shared" si="227"/>
        <v>0</v>
      </c>
      <c r="Z223" s="680"/>
      <c r="AA223" s="26">
        <f t="array" ref="AA223">IFERROR(INDEX('Malaria-Equipment &amp; Other HPs'!$U$130:$U$230,MATCH($E223&amp;$F223,'Malaria-Equipment &amp; Other HPs'!$E$130:$E$230&amp;'Malaria-Equipment &amp; Other HPs'!$H$130:$H$230,0)),0)</f>
        <v>0</v>
      </c>
      <c r="AB223" s="26">
        <f t="array" ref="AB223">IFERROR(INDEX('Malaria-Equipment &amp; Other HPs'!$V$130:$V$230,MATCH($E223&amp;$F223,'Malaria-Equipment &amp; Other HPs'!$E$130:$E$230&amp;'Malaria-Equipment &amp; Other HPs'!$H$130:$H$230,0)),0)</f>
        <v>0</v>
      </c>
      <c r="AC223" s="26">
        <f t="shared" si="228"/>
        <v>0</v>
      </c>
      <c r="AD223" s="25">
        <f t="shared" si="229"/>
        <v>0</v>
      </c>
      <c r="AE223" s="25">
        <f t="shared" si="230"/>
        <v>0</v>
      </c>
      <c r="AF223" s="26">
        <f t="array" ref="AF223">IFERROR(INDEX('Malaria-Equipment &amp; Other HPs'!$W$130:$W$230,MATCH($E223&amp;$F223,'Malaria-Equipment &amp; Other HPs'!$E$130:$E$230&amp;'Malaria-Equipment &amp; Other HPs'!$H$130:$H$230,0)),0)</f>
        <v>0</v>
      </c>
      <c r="AG223" s="26">
        <f t="shared" si="231"/>
        <v>0</v>
      </c>
      <c r="AH223" s="25">
        <f t="shared" si="232"/>
        <v>0</v>
      </c>
      <c r="AI223" s="25">
        <f t="shared" si="233"/>
        <v>0</v>
      </c>
      <c r="AJ223" s="26">
        <f t="array" ref="AJ223">IFERROR(INDEX('Malaria-Equipment &amp; Other HPs'!$X$130:$X$230,MATCH($E223&amp;$F223,'Malaria-Equipment &amp; Other HPs'!$E$130:$E$230&amp;'Malaria-Equipment &amp; Other HPs'!$H$130:$H$230,0)),0)</f>
        <v>0</v>
      </c>
      <c r="AK223" s="26">
        <f t="shared" si="234"/>
        <v>0</v>
      </c>
      <c r="AL223" s="25">
        <f t="shared" si="235"/>
        <v>0</v>
      </c>
      <c r="AM223" s="25">
        <f t="shared" si="236"/>
        <v>0</v>
      </c>
      <c r="AN223" s="26">
        <f t="array" ref="AN223">IFERROR(INDEX('Malaria-Equipment &amp; Other HPs'!$Y$130:$Y$230,MATCH($E223&amp;$F223,'Malaria-Equipment &amp; Other HPs'!$E$130:$E$230&amp;'Malaria-Equipment &amp; Other HPs'!$H$130:$H$230,0)),0)</f>
        <v>0</v>
      </c>
      <c r="AO223" s="26">
        <f t="shared" si="237"/>
        <v>0</v>
      </c>
      <c r="AP223" s="25">
        <f t="shared" si="238"/>
        <v>0</v>
      </c>
      <c r="AQ223" s="25">
        <f t="shared" si="239"/>
        <v>0</v>
      </c>
      <c r="AR223" s="680"/>
      <c r="AS223" s="26">
        <f t="array" ref="AS223">IFERROR(INDEX('Malaria-Equipment &amp; Other HPs'!$AB$130:$AB$230,MATCH($E223&amp;$F223,'Malaria-Equipment &amp; Other HPs'!$E$130:$E$230&amp;'Malaria-Equipment &amp; Other HPs'!$H$130:$H$230,0)),0)</f>
        <v>0</v>
      </c>
      <c r="AT223" s="26">
        <f t="array" ref="AT223">IFERROR(INDEX('Malaria-Equipment &amp; Other HPs'!$AC$130:$AC$230,MATCH($E223&amp;$F223,'Malaria-Equipment &amp; Other HPs'!$E$130:$E$230&amp;'Malaria-Equipment &amp; Other HPs'!$H$130:$H$230,0)),0)</f>
        <v>0</v>
      </c>
      <c r="AU223" s="26">
        <f t="shared" si="240"/>
        <v>0</v>
      </c>
      <c r="AV223" s="25">
        <f t="shared" si="241"/>
        <v>0</v>
      </c>
      <c r="AW223" s="25">
        <f t="shared" si="242"/>
        <v>0</v>
      </c>
      <c r="AX223" s="26">
        <f t="array" ref="AX223">IFERROR(INDEX('Malaria-Equipment &amp; Other HPs'!$AD$130:$AD$230,MATCH($E223&amp;$F223,'Malaria-Equipment &amp; Other HPs'!$E$130:$E$230&amp;'Malaria-Equipment &amp; Other HPs'!$H$130:$H$230,0)),0)</f>
        <v>0</v>
      </c>
      <c r="AY223" s="26">
        <f t="shared" si="243"/>
        <v>0</v>
      </c>
      <c r="AZ223" s="25">
        <f t="shared" si="244"/>
        <v>0</v>
      </c>
      <c r="BA223" s="25">
        <f t="shared" si="245"/>
        <v>0</v>
      </c>
      <c r="BB223" s="26">
        <f t="array" ref="BB223">IFERROR(INDEX('Malaria-Equipment &amp; Other HPs'!$AE$130:$AE$230,MATCH($E223&amp;$F223,'Malaria-Equipment &amp; Other HPs'!$E$130:$E$230&amp;'Malaria-Equipment &amp; Other HPs'!$H$130:$H$230,0)),0)</f>
        <v>0</v>
      </c>
      <c r="BC223" s="26">
        <f t="shared" si="246"/>
        <v>0</v>
      </c>
      <c r="BD223" s="25">
        <f t="shared" si="247"/>
        <v>0</v>
      </c>
      <c r="BE223" s="25">
        <f t="shared" si="248"/>
        <v>0</v>
      </c>
      <c r="BF223" s="26">
        <f t="array" ref="BF223">IFERROR(INDEX('Malaria-Equipment &amp; Other HPs'!$AF$130:$AF$230,MATCH($E223&amp;$F223,'Malaria-Equipment &amp; Other HPs'!$E$130:$E$230&amp;'Malaria-Equipment &amp; Other HPs'!$H$130:$H$230,0)),0)</f>
        <v>0</v>
      </c>
      <c r="BG223" s="26">
        <f t="shared" si="249"/>
        <v>0</v>
      </c>
      <c r="BH223" s="25">
        <f t="shared" si="250"/>
        <v>0</v>
      </c>
      <c r="BI223" s="25">
        <f t="shared" si="251"/>
        <v>0</v>
      </c>
      <c r="BJ223" s="680"/>
      <c r="BK223" s="26"/>
      <c r="BL223" s="26"/>
      <c r="BM223" s="26"/>
      <c r="BN223" s="26"/>
      <c r="BO223" s="26"/>
      <c r="BP223" s="26"/>
      <c r="BQ223" s="26"/>
      <c r="BR223" s="26"/>
      <c r="BT223" s="21" t="s">
        <v>6839</v>
      </c>
    </row>
    <row r="224" spans="1:72">
      <c r="A224" s="29" t="s">
        <v>63</v>
      </c>
      <c r="B224" s="29" t="s">
        <v>1550</v>
      </c>
      <c r="C224" s="626">
        <f>SETUP!$F$58</f>
        <v>0</v>
      </c>
      <c r="D224" s="25">
        <v>6.5</v>
      </c>
      <c r="E224" s="26" t="s">
        <v>317</v>
      </c>
      <c r="F224" s="26" t="s">
        <v>1140</v>
      </c>
      <c r="G224" s="26" t="str">
        <f t="array" ref="G224">IFERROR(INDEX('Malaria-Equipment &amp; Other HPs'!$L$130:$L$230,MATCH($E224&amp;$F224,'Malaria-Equipment &amp; Other HPs'!$E$130:$E$230&amp;'Malaria-Equipment &amp; Other HPs'!$H$130:$H$230,0)),"")</f>
        <v/>
      </c>
      <c r="H224" s="26" t="str">
        <f t="array" ref="H224">IFERROR(INDEX('Malaria-Equipment &amp; Other HPs'!$M$130:$M$230,MATCH($E224&amp;$F224,'Malaria-Equipment &amp; Other HPs'!$E$130:$E$230&amp;'Malaria-Equipment &amp; Other HPs'!$H$130:$H$230,0)),"")</f>
        <v/>
      </c>
      <c r="I224" s="26">
        <f t="array" ref="I224">IFERROR(INDEX('Malaria-Equipment &amp; Other HPs'!$N$130:$N$230,MATCH($E224&amp;$F224,'Malaria-Equipment &amp; Other HPs'!$E$130:$E$230&amp;'Malaria-Equipment &amp; Other HPs'!$H$130:$H$230,0)),0)</f>
        <v>0</v>
      </c>
      <c r="J224" s="26">
        <f t="array" ref="J224">IFERROR(INDEX('Malaria-Equipment &amp; Other HPs'!$O$130:$O$230,MATCH($E224&amp;$F224,'Malaria-Equipment &amp; Other HPs'!$E$130:$E$230&amp;'Malaria-Equipment &amp; Other HPs'!$H$130:$H$230,0)),0)</f>
        <v>0</v>
      </c>
      <c r="K224" s="25">
        <f t="shared" si="216"/>
        <v>0</v>
      </c>
      <c r="L224" s="25">
        <f t="shared" si="217"/>
        <v>0</v>
      </c>
      <c r="M224" s="25">
        <f t="shared" si="218"/>
        <v>0</v>
      </c>
      <c r="N224" s="26">
        <f t="array" ref="N224">IFERROR(INDEX('Malaria-Equipment &amp; Other HPs'!$P$130:$P$230,MATCH($E224&amp;$F224,'Malaria-Equipment &amp; Other HPs'!$E$130:$E$230&amp;'Malaria-Equipment &amp; Other HPs'!$H$130:$H$230,0)),0)</f>
        <v>0</v>
      </c>
      <c r="O224" s="25">
        <f t="shared" si="219"/>
        <v>0</v>
      </c>
      <c r="P224" s="25">
        <f t="shared" si="220"/>
        <v>0</v>
      </c>
      <c r="Q224" s="25">
        <f t="shared" si="221"/>
        <v>0</v>
      </c>
      <c r="R224" s="26">
        <f t="array" ref="R224">IFERROR(INDEX('Malaria-Equipment &amp; Other HPs'!$Q$130:$Q$230,MATCH($E224&amp;$F224,'Malaria-Equipment &amp; Other HPs'!$E$130:$E$230&amp;'Malaria-Equipment &amp; Other HPs'!$H$130:$H$230,0)),0)</f>
        <v>0</v>
      </c>
      <c r="S224" s="25">
        <f t="shared" si="222"/>
        <v>0</v>
      </c>
      <c r="T224" s="25">
        <f t="shared" si="223"/>
        <v>0</v>
      </c>
      <c r="U224" s="25">
        <f t="shared" si="224"/>
        <v>0</v>
      </c>
      <c r="V224" s="26">
        <f t="array" ref="V224">IFERROR(INDEX('Malaria-Equipment &amp; Other HPs'!$R$130:$R$230,MATCH($E224&amp;$F224,'Malaria-Equipment &amp; Other HPs'!$E$130:$E$230&amp;'Malaria-Equipment &amp; Other HPs'!$H$130:$H$230,0)),0)</f>
        <v>0</v>
      </c>
      <c r="W224" s="25">
        <f t="shared" si="225"/>
        <v>0</v>
      </c>
      <c r="X224" s="25">
        <f t="shared" si="226"/>
        <v>0</v>
      </c>
      <c r="Y224" s="25">
        <f t="shared" si="227"/>
        <v>0</v>
      </c>
      <c r="Z224" s="680"/>
      <c r="AA224" s="26">
        <f t="array" ref="AA224">IFERROR(INDEX('Malaria-Equipment &amp; Other HPs'!$U$130:$U$230,MATCH($E224&amp;$F224,'Malaria-Equipment &amp; Other HPs'!$E$130:$E$230&amp;'Malaria-Equipment &amp; Other HPs'!$H$130:$H$230,0)),0)</f>
        <v>0</v>
      </c>
      <c r="AB224" s="26">
        <f t="array" ref="AB224">IFERROR(INDEX('Malaria-Equipment &amp; Other HPs'!$V$130:$V$230,MATCH($E224&amp;$F224,'Malaria-Equipment &amp; Other HPs'!$E$130:$E$230&amp;'Malaria-Equipment &amp; Other HPs'!$H$130:$H$230,0)),0)</f>
        <v>0</v>
      </c>
      <c r="AC224" s="26">
        <f t="shared" si="228"/>
        <v>0</v>
      </c>
      <c r="AD224" s="25">
        <f t="shared" si="229"/>
        <v>0</v>
      </c>
      <c r="AE224" s="25">
        <f t="shared" si="230"/>
        <v>0</v>
      </c>
      <c r="AF224" s="26">
        <f t="array" ref="AF224">IFERROR(INDEX('Malaria-Equipment &amp; Other HPs'!$W$130:$W$230,MATCH($E224&amp;$F224,'Malaria-Equipment &amp; Other HPs'!$E$130:$E$230&amp;'Malaria-Equipment &amp; Other HPs'!$H$130:$H$230,0)),0)</f>
        <v>0</v>
      </c>
      <c r="AG224" s="26">
        <f t="shared" si="231"/>
        <v>0</v>
      </c>
      <c r="AH224" s="25">
        <f t="shared" si="232"/>
        <v>0</v>
      </c>
      <c r="AI224" s="25">
        <f t="shared" si="233"/>
        <v>0</v>
      </c>
      <c r="AJ224" s="26">
        <f t="array" ref="AJ224">IFERROR(INDEX('Malaria-Equipment &amp; Other HPs'!$X$130:$X$230,MATCH($E224&amp;$F224,'Malaria-Equipment &amp; Other HPs'!$E$130:$E$230&amp;'Malaria-Equipment &amp; Other HPs'!$H$130:$H$230,0)),0)</f>
        <v>0</v>
      </c>
      <c r="AK224" s="26">
        <f t="shared" si="234"/>
        <v>0</v>
      </c>
      <c r="AL224" s="25">
        <f t="shared" si="235"/>
        <v>0</v>
      </c>
      <c r="AM224" s="25">
        <f t="shared" si="236"/>
        <v>0</v>
      </c>
      <c r="AN224" s="26">
        <f t="array" ref="AN224">IFERROR(INDEX('Malaria-Equipment &amp; Other HPs'!$Y$130:$Y$230,MATCH($E224&amp;$F224,'Malaria-Equipment &amp; Other HPs'!$E$130:$E$230&amp;'Malaria-Equipment &amp; Other HPs'!$H$130:$H$230,0)),0)</f>
        <v>0</v>
      </c>
      <c r="AO224" s="26">
        <f t="shared" si="237"/>
        <v>0</v>
      </c>
      <c r="AP224" s="25">
        <f t="shared" si="238"/>
        <v>0</v>
      </c>
      <c r="AQ224" s="25">
        <f t="shared" si="239"/>
        <v>0</v>
      </c>
      <c r="AR224" s="680"/>
      <c r="AS224" s="26">
        <f t="array" ref="AS224">IFERROR(INDEX('Malaria-Equipment &amp; Other HPs'!$AB$130:$AB$230,MATCH($E224&amp;$F224,'Malaria-Equipment &amp; Other HPs'!$E$130:$E$230&amp;'Malaria-Equipment &amp; Other HPs'!$H$130:$H$230,0)),0)</f>
        <v>0</v>
      </c>
      <c r="AT224" s="26">
        <f t="array" ref="AT224">IFERROR(INDEX('Malaria-Equipment &amp; Other HPs'!$AC$130:$AC$230,MATCH($E224&amp;$F224,'Malaria-Equipment &amp; Other HPs'!$E$130:$E$230&amp;'Malaria-Equipment &amp; Other HPs'!$H$130:$H$230,0)),0)</f>
        <v>0</v>
      </c>
      <c r="AU224" s="26">
        <f t="shared" si="240"/>
        <v>0</v>
      </c>
      <c r="AV224" s="25">
        <f t="shared" si="241"/>
        <v>0</v>
      </c>
      <c r="AW224" s="25">
        <f t="shared" si="242"/>
        <v>0</v>
      </c>
      <c r="AX224" s="26">
        <f t="array" ref="AX224">IFERROR(INDEX('Malaria-Equipment &amp; Other HPs'!$AD$130:$AD$230,MATCH($E224&amp;$F224,'Malaria-Equipment &amp; Other HPs'!$E$130:$E$230&amp;'Malaria-Equipment &amp; Other HPs'!$H$130:$H$230,0)),0)</f>
        <v>0</v>
      </c>
      <c r="AY224" s="26">
        <f t="shared" si="243"/>
        <v>0</v>
      </c>
      <c r="AZ224" s="25">
        <f t="shared" si="244"/>
        <v>0</v>
      </c>
      <c r="BA224" s="25">
        <f t="shared" si="245"/>
        <v>0</v>
      </c>
      <c r="BB224" s="26">
        <f t="array" ref="BB224">IFERROR(INDEX('Malaria-Equipment &amp; Other HPs'!$AE$130:$AE$230,MATCH($E224&amp;$F224,'Malaria-Equipment &amp; Other HPs'!$E$130:$E$230&amp;'Malaria-Equipment &amp; Other HPs'!$H$130:$H$230,0)),0)</f>
        <v>0</v>
      </c>
      <c r="BC224" s="26">
        <f t="shared" si="246"/>
        <v>0</v>
      </c>
      <c r="BD224" s="25">
        <f t="shared" si="247"/>
        <v>0</v>
      </c>
      <c r="BE224" s="25">
        <f t="shared" si="248"/>
        <v>0</v>
      </c>
      <c r="BF224" s="26">
        <f t="array" ref="BF224">IFERROR(INDEX('Malaria-Equipment &amp; Other HPs'!$AF$130:$AF$230,MATCH($E224&amp;$F224,'Malaria-Equipment &amp; Other HPs'!$E$130:$E$230&amp;'Malaria-Equipment &amp; Other HPs'!$H$130:$H$230,0)),0)</f>
        <v>0</v>
      </c>
      <c r="BG224" s="26">
        <f t="shared" si="249"/>
        <v>0</v>
      </c>
      <c r="BH224" s="25">
        <f t="shared" si="250"/>
        <v>0</v>
      </c>
      <c r="BI224" s="25">
        <f t="shared" si="251"/>
        <v>0</v>
      </c>
      <c r="BJ224" s="680"/>
      <c r="BK224" s="26"/>
      <c r="BL224" s="26"/>
      <c r="BM224" s="26"/>
      <c r="BN224" s="26"/>
      <c r="BO224" s="26"/>
      <c r="BP224" s="26"/>
      <c r="BQ224" s="26"/>
      <c r="BR224" s="26"/>
      <c r="BT224" s="21" t="s">
        <v>6839</v>
      </c>
    </row>
    <row r="225" spans="1:72">
      <c r="A225" s="29" t="s">
        <v>63</v>
      </c>
      <c r="B225" s="29" t="s">
        <v>1550</v>
      </c>
      <c r="C225" s="626">
        <f>SETUP!$F$58</f>
        <v>0</v>
      </c>
      <c r="D225" s="25">
        <v>6.5</v>
      </c>
      <c r="E225" s="26" t="s">
        <v>325</v>
      </c>
      <c r="F225" s="26" t="s">
        <v>1140</v>
      </c>
      <c r="G225" s="26" t="str">
        <f t="array" ref="G225">IFERROR(INDEX('Malaria-Equipment &amp; Other HPs'!$L$130:$L$230,MATCH($E225&amp;$F225,'Malaria-Equipment &amp; Other HPs'!$E$130:$E$230&amp;'Malaria-Equipment &amp; Other HPs'!$H$130:$H$230,0)),"")</f>
        <v/>
      </c>
      <c r="H225" s="26" t="str">
        <f t="array" ref="H225">IFERROR(INDEX('Malaria-Equipment &amp; Other HPs'!$M$130:$M$230,MATCH($E225&amp;$F225,'Malaria-Equipment &amp; Other HPs'!$E$130:$E$230&amp;'Malaria-Equipment &amp; Other HPs'!$H$130:$H$230,0)),"")</f>
        <v/>
      </c>
      <c r="I225" s="26">
        <f t="array" ref="I225">IFERROR(INDEX('Malaria-Equipment &amp; Other HPs'!$N$130:$N$230,MATCH($E225&amp;$F225,'Malaria-Equipment &amp; Other HPs'!$E$130:$E$230&amp;'Malaria-Equipment &amp; Other HPs'!$H$130:$H$230,0)),0)</f>
        <v>0</v>
      </c>
      <c r="J225" s="26">
        <f t="array" ref="J225">IFERROR(INDEX('Malaria-Equipment &amp; Other HPs'!$O$130:$O$230,MATCH($E225&amp;$F225,'Malaria-Equipment &amp; Other HPs'!$E$130:$E$230&amp;'Malaria-Equipment &amp; Other HPs'!$H$130:$H$230,0)),0)</f>
        <v>0</v>
      </c>
      <c r="K225" s="25">
        <f t="shared" si="216"/>
        <v>0</v>
      </c>
      <c r="L225" s="25">
        <f t="shared" si="217"/>
        <v>0</v>
      </c>
      <c r="M225" s="25">
        <f t="shared" si="218"/>
        <v>0</v>
      </c>
      <c r="N225" s="26">
        <f t="array" ref="N225">IFERROR(INDEX('Malaria-Equipment &amp; Other HPs'!$P$130:$P$230,MATCH($E225&amp;$F225,'Malaria-Equipment &amp; Other HPs'!$E$130:$E$230&amp;'Malaria-Equipment &amp; Other HPs'!$H$130:$H$230,0)),0)</f>
        <v>0</v>
      </c>
      <c r="O225" s="25">
        <f t="shared" si="219"/>
        <v>0</v>
      </c>
      <c r="P225" s="25">
        <f t="shared" si="220"/>
        <v>0</v>
      </c>
      <c r="Q225" s="25">
        <f t="shared" si="221"/>
        <v>0</v>
      </c>
      <c r="R225" s="26">
        <f t="array" ref="R225">IFERROR(INDEX('Malaria-Equipment &amp; Other HPs'!$Q$130:$Q$230,MATCH($E225&amp;$F225,'Malaria-Equipment &amp; Other HPs'!$E$130:$E$230&amp;'Malaria-Equipment &amp; Other HPs'!$H$130:$H$230,0)),0)</f>
        <v>0</v>
      </c>
      <c r="S225" s="25">
        <f t="shared" si="222"/>
        <v>0</v>
      </c>
      <c r="T225" s="25">
        <f t="shared" si="223"/>
        <v>0</v>
      </c>
      <c r="U225" s="25">
        <f t="shared" si="224"/>
        <v>0</v>
      </c>
      <c r="V225" s="26">
        <f t="array" ref="V225">IFERROR(INDEX('Malaria-Equipment &amp; Other HPs'!$R$130:$R$230,MATCH($E225&amp;$F225,'Malaria-Equipment &amp; Other HPs'!$E$130:$E$230&amp;'Malaria-Equipment &amp; Other HPs'!$H$130:$H$230,0)),0)</f>
        <v>0</v>
      </c>
      <c r="W225" s="25">
        <f t="shared" si="225"/>
        <v>0</v>
      </c>
      <c r="X225" s="25">
        <f t="shared" si="226"/>
        <v>0</v>
      </c>
      <c r="Y225" s="25">
        <f t="shared" si="227"/>
        <v>0</v>
      </c>
      <c r="Z225" s="680"/>
      <c r="AA225" s="26">
        <f t="array" ref="AA225">IFERROR(INDEX('Malaria-Equipment &amp; Other HPs'!$U$130:$U$230,MATCH($E225&amp;$F225,'Malaria-Equipment &amp; Other HPs'!$E$130:$E$230&amp;'Malaria-Equipment &amp; Other HPs'!$H$130:$H$230,0)),0)</f>
        <v>0</v>
      </c>
      <c r="AB225" s="26">
        <f t="array" ref="AB225">IFERROR(INDEX('Malaria-Equipment &amp; Other HPs'!$V$130:$V$230,MATCH($E225&amp;$F225,'Malaria-Equipment &amp; Other HPs'!$E$130:$E$230&amp;'Malaria-Equipment &amp; Other HPs'!$H$130:$H$230,0)),0)</f>
        <v>0</v>
      </c>
      <c r="AC225" s="26">
        <f t="shared" si="228"/>
        <v>0</v>
      </c>
      <c r="AD225" s="25">
        <f t="shared" si="229"/>
        <v>0</v>
      </c>
      <c r="AE225" s="25">
        <f t="shared" si="230"/>
        <v>0</v>
      </c>
      <c r="AF225" s="26">
        <f t="array" ref="AF225">IFERROR(INDEX('Malaria-Equipment &amp; Other HPs'!$W$130:$W$230,MATCH($E225&amp;$F225,'Malaria-Equipment &amp; Other HPs'!$E$130:$E$230&amp;'Malaria-Equipment &amp; Other HPs'!$H$130:$H$230,0)),0)</f>
        <v>0</v>
      </c>
      <c r="AG225" s="26">
        <f t="shared" si="231"/>
        <v>0</v>
      </c>
      <c r="AH225" s="25">
        <f t="shared" si="232"/>
        <v>0</v>
      </c>
      <c r="AI225" s="25">
        <f t="shared" si="233"/>
        <v>0</v>
      </c>
      <c r="AJ225" s="26">
        <f t="array" ref="AJ225">IFERROR(INDEX('Malaria-Equipment &amp; Other HPs'!$X$130:$X$230,MATCH($E225&amp;$F225,'Malaria-Equipment &amp; Other HPs'!$E$130:$E$230&amp;'Malaria-Equipment &amp; Other HPs'!$H$130:$H$230,0)),0)</f>
        <v>0</v>
      </c>
      <c r="AK225" s="26">
        <f t="shared" si="234"/>
        <v>0</v>
      </c>
      <c r="AL225" s="25">
        <f t="shared" si="235"/>
        <v>0</v>
      </c>
      <c r="AM225" s="25">
        <f t="shared" si="236"/>
        <v>0</v>
      </c>
      <c r="AN225" s="26">
        <f t="array" ref="AN225">IFERROR(INDEX('Malaria-Equipment &amp; Other HPs'!$Y$130:$Y$230,MATCH($E225&amp;$F225,'Malaria-Equipment &amp; Other HPs'!$E$130:$E$230&amp;'Malaria-Equipment &amp; Other HPs'!$H$130:$H$230,0)),0)</f>
        <v>0</v>
      </c>
      <c r="AO225" s="26">
        <f t="shared" si="237"/>
        <v>0</v>
      </c>
      <c r="AP225" s="25">
        <f t="shared" si="238"/>
        <v>0</v>
      </c>
      <c r="AQ225" s="25">
        <f t="shared" si="239"/>
        <v>0</v>
      </c>
      <c r="AR225" s="680"/>
      <c r="AS225" s="26">
        <f t="array" ref="AS225">IFERROR(INDEX('Malaria-Equipment &amp; Other HPs'!$AB$130:$AB$230,MATCH($E225&amp;$F225,'Malaria-Equipment &amp; Other HPs'!$E$130:$E$230&amp;'Malaria-Equipment &amp; Other HPs'!$H$130:$H$230,0)),0)</f>
        <v>0</v>
      </c>
      <c r="AT225" s="26">
        <f t="array" ref="AT225">IFERROR(INDEX('Malaria-Equipment &amp; Other HPs'!$AC$130:$AC$230,MATCH($E225&amp;$F225,'Malaria-Equipment &amp; Other HPs'!$E$130:$E$230&amp;'Malaria-Equipment &amp; Other HPs'!$H$130:$H$230,0)),0)</f>
        <v>0</v>
      </c>
      <c r="AU225" s="26">
        <f t="shared" si="240"/>
        <v>0</v>
      </c>
      <c r="AV225" s="25">
        <f t="shared" si="241"/>
        <v>0</v>
      </c>
      <c r="AW225" s="25">
        <f t="shared" si="242"/>
        <v>0</v>
      </c>
      <c r="AX225" s="26">
        <f t="array" ref="AX225">IFERROR(INDEX('Malaria-Equipment &amp; Other HPs'!$AD$130:$AD$230,MATCH($E225&amp;$F225,'Malaria-Equipment &amp; Other HPs'!$E$130:$E$230&amp;'Malaria-Equipment &amp; Other HPs'!$H$130:$H$230,0)),0)</f>
        <v>0</v>
      </c>
      <c r="AY225" s="26">
        <f t="shared" si="243"/>
        <v>0</v>
      </c>
      <c r="AZ225" s="25">
        <f t="shared" si="244"/>
        <v>0</v>
      </c>
      <c r="BA225" s="25">
        <f t="shared" si="245"/>
        <v>0</v>
      </c>
      <c r="BB225" s="26">
        <f t="array" ref="BB225">IFERROR(INDEX('Malaria-Equipment &amp; Other HPs'!$AE$130:$AE$230,MATCH($E225&amp;$F225,'Malaria-Equipment &amp; Other HPs'!$E$130:$E$230&amp;'Malaria-Equipment &amp; Other HPs'!$H$130:$H$230,0)),0)</f>
        <v>0</v>
      </c>
      <c r="BC225" s="26">
        <f t="shared" si="246"/>
        <v>0</v>
      </c>
      <c r="BD225" s="25">
        <f t="shared" si="247"/>
        <v>0</v>
      </c>
      <c r="BE225" s="25">
        <f t="shared" si="248"/>
        <v>0</v>
      </c>
      <c r="BF225" s="26">
        <f t="array" ref="BF225">IFERROR(INDEX('Malaria-Equipment &amp; Other HPs'!$AF$130:$AF$230,MATCH($E225&amp;$F225,'Malaria-Equipment &amp; Other HPs'!$E$130:$E$230&amp;'Malaria-Equipment &amp; Other HPs'!$H$130:$H$230,0)),0)</f>
        <v>0</v>
      </c>
      <c r="BG225" s="26">
        <f t="shared" si="249"/>
        <v>0</v>
      </c>
      <c r="BH225" s="25">
        <f t="shared" si="250"/>
        <v>0</v>
      </c>
      <c r="BI225" s="25">
        <f t="shared" si="251"/>
        <v>0</v>
      </c>
      <c r="BJ225" s="680"/>
      <c r="BK225" s="26"/>
      <c r="BL225" s="26"/>
      <c r="BM225" s="26"/>
      <c r="BN225" s="26"/>
      <c r="BO225" s="26"/>
      <c r="BP225" s="26"/>
      <c r="BQ225" s="26"/>
      <c r="BR225" s="26"/>
      <c r="BT225" s="21" t="s">
        <v>6839</v>
      </c>
    </row>
    <row r="226" spans="1:72">
      <c r="A226" s="29" t="s">
        <v>538</v>
      </c>
      <c r="B226" s="29" t="s">
        <v>1550</v>
      </c>
      <c r="C226" s="626">
        <f>SETUP!$F$58</f>
        <v>0</v>
      </c>
      <c r="D226" s="25">
        <v>6.5</v>
      </c>
      <c r="E226" s="26" t="s">
        <v>1245</v>
      </c>
      <c r="F226" s="26" t="s">
        <v>218</v>
      </c>
      <c r="G226" s="26" t="str">
        <f t="array" ref="G226">IFERROR(INDEX('Malaria-Equipment &amp; Other HPs'!$L$130:$L$230,MATCH($E226&amp;$F226,'Malaria-Equipment &amp; Other HPs'!$E$130:$E$230&amp;'Malaria-Equipment &amp; Other HPs'!$H$130:$H$230,0)),"")</f>
        <v/>
      </c>
      <c r="H226" s="26" t="str">
        <f t="array" ref="H226">IFERROR(INDEX('Malaria-Equipment &amp; Other HPs'!$M$130:$M$230,MATCH($E226&amp;$F226,'Malaria-Equipment &amp; Other HPs'!$E$130:$E$230&amp;'Malaria-Equipment &amp; Other HPs'!$H$130:$H$230,0)),"")</f>
        <v/>
      </c>
      <c r="I226" s="26">
        <f t="array" ref="I226">IFERROR(INDEX('Malaria-Equipment &amp; Other HPs'!$N$130:$N$230,MATCH($E226&amp;$F226,'Malaria-Equipment &amp; Other HPs'!$E$130:$E$230&amp;'Malaria-Equipment &amp; Other HPs'!$H$130:$H$230,0)),0)</f>
        <v>0</v>
      </c>
      <c r="J226" s="26">
        <f t="array" ref="J226">IFERROR(INDEX('Malaria-Equipment &amp; Other HPs'!$O$130:$O$230,MATCH($E226&amp;$F226,'Malaria-Equipment &amp; Other HPs'!$E$130:$E$230&amp;'Malaria-Equipment &amp; Other HPs'!$H$130:$H$230,0)),0)</f>
        <v>0</v>
      </c>
      <c r="K226" s="25">
        <f t="shared" si="216"/>
        <v>0</v>
      </c>
      <c r="L226" s="25">
        <f t="shared" si="217"/>
        <v>0</v>
      </c>
      <c r="M226" s="25">
        <f t="shared" si="218"/>
        <v>0</v>
      </c>
      <c r="N226" s="26">
        <f t="array" ref="N226">IFERROR(INDEX('Malaria-Equipment &amp; Other HPs'!$P$130:$P$230,MATCH($E226&amp;$F226,'Malaria-Equipment &amp; Other HPs'!$E$130:$E$230&amp;'Malaria-Equipment &amp; Other HPs'!$H$130:$H$230,0)),0)</f>
        <v>0</v>
      </c>
      <c r="O226" s="25">
        <f t="shared" si="219"/>
        <v>0</v>
      </c>
      <c r="P226" s="25">
        <f t="shared" si="220"/>
        <v>0</v>
      </c>
      <c r="Q226" s="25">
        <f t="shared" si="221"/>
        <v>0</v>
      </c>
      <c r="R226" s="26">
        <f t="array" ref="R226">IFERROR(INDEX('Malaria-Equipment &amp; Other HPs'!$Q$130:$Q$230,MATCH($E226&amp;$F226,'Malaria-Equipment &amp; Other HPs'!$E$130:$E$230&amp;'Malaria-Equipment &amp; Other HPs'!$H$130:$H$230,0)),0)</f>
        <v>0</v>
      </c>
      <c r="S226" s="25">
        <f t="shared" si="222"/>
        <v>0</v>
      </c>
      <c r="T226" s="25">
        <f t="shared" si="223"/>
        <v>0</v>
      </c>
      <c r="U226" s="25">
        <f t="shared" si="224"/>
        <v>0</v>
      </c>
      <c r="V226" s="26">
        <f t="array" ref="V226">IFERROR(INDEX('Malaria-Equipment &amp; Other HPs'!$R$130:$R$230,MATCH($E226&amp;$F226,'Malaria-Equipment &amp; Other HPs'!$E$130:$E$230&amp;'Malaria-Equipment &amp; Other HPs'!$H$130:$H$230,0)),0)</f>
        <v>0</v>
      </c>
      <c r="W226" s="25">
        <f t="shared" si="225"/>
        <v>0</v>
      </c>
      <c r="X226" s="25">
        <f t="shared" si="226"/>
        <v>0</v>
      </c>
      <c r="Y226" s="25">
        <f t="shared" si="227"/>
        <v>0</v>
      </c>
      <c r="Z226" s="680"/>
      <c r="AA226" s="26">
        <f t="array" ref="AA226">IFERROR(INDEX('Malaria-Equipment &amp; Other HPs'!$U$130:$U$230,MATCH($E226&amp;$F226,'Malaria-Equipment &amp; Other HPs'!$E$130:$E$230&amp;'Malaria-Equipment &amp; Other HPs'!$H$130:$H$230,0)),0)</f>
        <v>0</v>
      </c>
      <c r="AB226" s="26">
        <f t="array" ref="AB226">IFERROR(INDEX('Malaria-Equipment &amp; Other HPs'!$V$130:$V$230,MATCH($E226&amp;$F226,'Malaria-Equipment &amp; Other HPs'!$E$130:$E$230&amp;'Malaria-Equipment &amp; Other HPs'!$H$130:$H$230,0)),0)</f>
        <v>0</v>
      </c>
      <c r="AC226" s="26">
        <f t="shared" si="228"/>
        <v>0</v>
      </c>
      <c r="AD226" s="25">
        <f t="shared" si="229"/>
        <v>0</v>
      </c>
      <c r="AE226" s="25">
        <f t="shared" si="230"/>
        <v>0</v>
      </c>
      <c r="AF226" s="26">
        <f t="array" ref="AF226">IFERROR(INDEX('Malaria-Equipment &amp; Other HPs'!$W$130:$W$230,MATCH($E226&amp;$F226,'Malaria-Equipment &amp; Other HPs'!$E$130:$E$230&amp;'Malaria-Equipment &amp; Other HPs'!$H$130:$H$230,0)),0)</f>
        <v>0</v>
      </c>
      <c r="AG226" s="26">
        <f t="shared" si="231"/>
        <v>0</v>
      </c>
      <c r="AH226" s="25">
        <f t="shared" si="232"/>
        <v>0</v>
      </c>
      <c r="AI226" s="25">
        <f t="shared" si="233"/>
        <v>0</v>
      </c>
      <c r="AJ226" s="26">
        <f t="array" ref="AJ226">IFERROR(INDEX('Malaria-Equipment &amp; Other HPs'!$X$130:$X$230,MATCH($E226&amp;$F226,'Malaria-Equipment &amp; Other HPs'!$E$130:$E$230&amp;'Malaria-Equipment &amp; Other HPs'!$H$130:$H$230,0)),0)</f>
        <v>0</v>
      </c>
      <c r="AK226" s="26">
        <f t="shared" si="234"/>
        <v>0</v>
      </c>
      <c r="AL226" s="25">
        <f t="shared" si="235"/>
        <v>0</v>
      </c>
      <c r="AM226" s="25">
        <f t="shared" si="236"/>
        <v>0</v>
      </c>
      <c r="AN226" s="26">
        <f t="array" ref="AN226">IFERROR(INDEX('Malaria-Equipment &amp; Other HPs'!$Y$130:$Y$230,MATCH($E226&amp;$F226,'Malaria-Equipment &amp; Other HPs'!$E$130:$E$230&amp;'Malaria-Equipment &amp; Other HPs'!$H$130:$H$230,0)),0)</f>
        <v>0</v>
      </c>
      <c r="AO226" s="26">
        <f t="shared" si="237"/>
        <v>0</v>
      </c>
      <c r="AP226" s="25">
        <f t="shared" si="238"/>
        <v>0</v>
      </c>
      <c r="AQ226" s="25">
        <f t="shared" si="239"/>
        <v>0</v>
      </c>
      <c r="AR226" s="680"/>
      <c r="AS226" s="26">
        <f t="array" ref="AS226">IFERROR(INDEX('Malaria-Equipment &amp; Other HPs'!$AB$130:$AB$230,MATCH($E226&amp;$F226,'Malaria-Equipment &amp; Other HPs'!$E$130:$E$230&amp;'Malaria-Equipment &amp; Other HPs'!$H$130:$H$230,0)),0)</f>
        <v>0</v>
      </c>
      <c r="AT226" s="26">
        <f t="array" ref="AT226">IFERROR(INDEX('Malaria-Equipment &amp; Other HPs'!$AC$130:$AC$230,MATCH($E226&amp;$F226,'Malaria-Equipment &amp; Other HPs'!$E$130:$E$230&amp;'Malaria-Equipment &amp; Other HPs'!$H$130:$H$230,0)),0)</f>
        <v>0</v>
      </c>
      <c r="AU226" s="26">
        <f t="shared" si="240"/>
        <v>0</v>
      </c>
      <c r="AV226" s="25">
        <f t="shared" si="241"/>
        <v>0</v>
      </c>
      <c r="AW226" s="25">
        <f t="shared" si="242"/>
        <v>0</v>
      </c>
      <c r="AX226" s="26">
        <f t="array" ref="AX226">IFERROR(INDEX('Malaria-Equipment &amp; Other HPs'!$AD$130:$AD$230,MATCH($E226&amp;$F226,'Malaria-Equipment &amp; Other HPs'!$E$130:$E$230&amp;'Malaria-Equipment &amp; Other HPs'!$H$130:$H$230,0)),0)</f>
        <v>0</v>
      </c>
      <c r="AY226" s="26">
        <f t="shared" si="243"/>
        <v>0</v>
      </c>
      <c r="AZ226" s="25">
        <f t="shared" si="244"/>
        <v>0</v>
      </c>
      <c r="BA226" s="25">
        <f t="shared" si="245"/>
        <v>0</v>
      </c>
      <c r="BB226" s="26">
        <f t="array" ref="BB226">IFERROR(INDEX('Malaria-Equipment &amp; Other HPs'!$AE$130:$AE$230,MATCH($E226&amp;$F226,'Malaria-Equipment &amp; Other HPs'!$E$130:$E$230&amp;'Malaria-Equipment &amp; Other HPs'!$H$130:$H$230,0)),0)</f>
        <v>0</v>
      </c>
      <c r="BC226" s="26">
        <f t="shared" si="246"/>
        <v>0</v>
      </c>
      <c r="BD226" s="25">
        <f t="shared" si="247"/>
        <v>0</v>
      </c>
      <c r="BE226" s="25">
        <f t="shared" si="248"/>
        <v>0</v>
      </c>
      <c r="BF226" s="26">
        <f t="array" ref="BF226">IFERROR(INDEX('Malaria-Equipment &amp; Other HPs'!$AF$130:$AF$230,MATCH($E226&amp;$F226,'Malaria-Equipment &amp; Other HPs'!$E$130:$E$230&amp;'Malaria-Equipment &amp; Other HPs'!$H$130:$H$230,0)),0)</f>
        <v>0</v>
      </c>
      <c r="BG226" s="26">
        <f t="shared" si="249"/>
        <v>0</v>
      </c>
      <c r="BH226" s="25">
        <f t="shared" si="250"/>
        <v>0</v>
      </c>
      <c r="BI226" s="25">
        <f t="shared" si="251"/>
        <v>0</v>
      </c>
      <c r="BJ226" s="680"/>
      <c r="BK226" s="26"/>
      <c r="BL226" s="26"/>
      <c r="BM226" s="26"/>
      <c r="BN226" s="26"/>
      <c r="BO226" s="26"/>
      <c r="BP226" s="26"/>
      <c r="BQ226" s="26"/>
      <c r="BR226" s="26"/>
      <c r="BT226" s="21" t="s">
        <v>6840</v>
      </c>
    </row>
    <row r="227" spans="1:72">
      <c r="A227" s="29" t="s">
        <v>538</v>
      </c>
      <c r="B227" s="29" t="s">
        <v>1550</v>
      </c>
      <c r="C227" s="626">
        <f>SETUP!$F$58</f>
        <v>0</v>
      </c>
      <c r="D227" s="25">
        <v>6.6</v>
      </c>
      <c r="E227" s="26" t="s">
        <v>1245</v>
      </c>
      <c r="F227" s="26" t="s">
        <v>201</v>
      </c>
      <c r="G227" s="26" t="str">
        <f t="array" ref="G227">IFERROR(INDEX('Malaria-Equipment &amp; Other HPs'!$L$130:$L$230,MATCH($E227&amp;$F227,'Malaria-Equipment &amp; Other HPs'!$E$130:$E$230&amp;'Malaria-Equipment &amp; Other HPs'!$H$130:$H$230,0)),"")</f>
        <v/>
      </c>
      <c r="H227" s="26" t="str">
        <f t="array" ref="H227">IFERROR(INDEX('Malaria-Equipment &amp; Other HPs'!$M$130:$M$230,MATCH($E227&amp;$F227,'Malaria-Equipment &amp; Other HPs'!$E$130:$E$230&amp;'Malaria-Equipment &amp; Other HPs'!$H$130:$H$230,0)),"")</f>
        <v/>
      </c>
      <c r="I227" s="26">
        <f t="array" ref="I227">IFERROR(INDEX('Malaria-Equipment &amp; Other HPs'!$N$130:$N$230,MATCH($E227&amp;$F227,'Malaria-Equipment &amp; Other HPs'!$E$130:$E$230&amp;'Malaria-Equipment &amp; Other HPs'!$H$130:$H$230,0)),0)</f>
        <v>0</v>
      </c>
      <c r="J227" s="26">
        <f t="array" ref="J227">IFERROR(INDEX('Malaria-Equipment &amp; Other HPs'!$O$130:$O$230,MATCH($E227&amp;$F227,'Malaria-Equipment &amp; Other HPs'!$E$130:$E$230&amp;'Malaria-Equipment &amp; Other HPs'!$H$130:$H$230,0)),0)</f>
        <v>0</v>
      </c>
      <c r="K227" s="25">
        <f t="shared" si="216"/>
        <v>0</v>
      </c>
      <c r="L227" s="25">
        <f t="shared" si="217"/>
        <v>0</v>
      </c>
      <c r="M227" s="25">
        <f t="shared" si="218"/>
        <v>0</v>
      </c>
      <c r="N227" s="26">
        <f t="array" ref="N227">IFERROR(INDEX('Malaria-Equipment &amp; Other HPs'!$P$130:$P$230,MATCH($E227&amp;$F227,'Malaria-Equipment &amp; Other HPs'!$E$130:$E$230&amp;'Malaria-Equipment &amp; Other HPs'!$H$130:$H$230,0)),0)</f>
        <v>0</v>
      </c>
      <c r="O227" s="25">
        <f t="shared" si="219"/>
        <v>0</v>
      </c>
      <c r="P227" s="25">
        <f t="shared" si="220"/>
        <v>0</v>
      </c>
      <c r="Q227" s="25">
        <f t="shared" si="221"/>
        <v>0</v>
      </c>
      <c r="R227" s="26">
        <f t="array" ref="R227">IFERROR(INDEX('Malaria-Equipment &amp; Other HPs'!$Q$130:$Q$230,MATCH($E227&amp;$F227,'Malaria-Equipment &amp; Other HPs'!$E$130:$E$230&amp;'Malaria-Equipment &amp; Other HPs'!$H$130:$H$230,0)),0)</f>
        <v>0</v>
      </c>
      <c r="S227" s="25">
        <f t="shared" si="222"/>
        <v>0</v>
      </c>
      <c r="T227" s="25">
        <f t="shared" si="223"/>
        <v>0</v>
      </c>
      <c r="U227" s="25">
        <f t="shared" si="224"/>
        <v>0</v>
      </c>
      <c r="V227" s="26">
        <f t="array" ref="V227">IFERROR(INDEX('Malaria-Equipment &amp; Other HPs'!$R$130:$R$230,MATCH($E227&amp;$F227,'Malaria-Equipment &amp; Other HPs'!$E$130:$E$230&amp;'Malaria-Equipment &amp; Other HPs'!$H$130:$H$230,0)),0)</f>
        <v>0</v>
      </c>
      <c r="W227" s="25">
        <f t="shared" si="225"/>
        <v>0</v>
      </c>
      <c r="X227" s="25">
        <f t="shared" si="226"/>
        <v>0</v>
      </c>
      <c r="Y227" s="25">
        <f t="shared" si="227"/>
        <v>0</v>
      </c>
      <c r="Z227" s="680"/>
      <c r="AA227" s="26">
        <f t="array" ref="AA227">IFERROR(INDEX('Malaria-Equipment &amp; Other HPs'!$U$130:$U$230,MATCH($E227&amp;$F227,'Malaria-Equipment &amp; Other HPs'!$E$130:$E$230&amp;'Malaria-Equipment &amp; Other HPs'!$H$130:$H$230,0)),0)</f>
        <v>0</v>
      </c>
      <c r="AB227" s="26">
        <f t="array" ref="AB227">IFERROR(INDEX('Malaria-Equipment &amp; Other HPs'!$V$130:$V$230,MATCH($E227&amp;$F227,'Malaria-Equipment &amp; Other HPs'!$E$130:$E$230&amp;'Malaria-Equipment &amp; Other HPs'!$H$130:$H$230,0)),0)</f>
        <v>0</v>
      </c>
      <c r="AC227" s="26">
        <f t="shared" si="228"/>
        <v>0</v>
      </c>
      <c r="AD227" s="25">
        <f t="shared" si="229"/>
        <v>0</v>
      </c>
      <c r="AE227" s="25">
        <f t="shared" si="230"/>
        <v>0</v>
      </c>
      <c r="AF227" s="26">
        <f t="array" ref="AF227">IFERROR(INDEX('Malaria-Equipment &amp; Other HPs'!$W$130:$W$230,MATCH($E227&amp;$F227,'Malaria-Equipment &amp; Other HPs'!$E$130:$E$230&amp;'Malaria-Equipment &amp; Other HPs'!$H$130:$H$230,0)),0)</f>
        <v>0</v>
      </c>
      <c r="AG227" s="26">
        <f t="shared" si="231"/>
        <v>0</v>
      </c>
      <c r="AH227" s="25">
        <f t="shared" si="232"/>
        <v>0</v>
      </c>
      <c r="AI227" s="25">
        <f t="shared" si="233"/>
        <v>0</v>
      </c>
      <c r="AJ227" s="26">
        <f t="array" ref="AJ227">IFERROR(INDEX('Malaria-Equipment &amp; Other HPs'!$X$130:$X$230,MATCH($E227&amp;$F227,'Malaria-Equipment &amp; Other HPs'!$E$130:$E$230&amp;'Malaria-Equipment &amp; Other HPs'!$H$130:$H$230,0)),0)</f>
        <v>0</v>
      </c>
      <c r="AK227" s="26">
        <f t="shared" si="234"/>
        <v>0</v>
      </c>
      <c r="AL227" s="25">
        <f t="shared" si="235"/>
        <v>0</v>
      </c>
      <c r="AM227" s="25">
        <f t="shared" si="236"/>
        <v>0</v>
      </c>
      <c r="AN227" s="26">
        <f t="array" ref="AN227">IFERROR(INDEX('Malaria-Equipment &amp; Other HPs'!$Y$130:$Y$230,MATCH($E227&amp;$F227,'Malaria-Equipment &amp; Other HPs'!$E$130:$E$230&amp;'Malaria-Equipment &amp; Other HPs'!$H$130:$H$230,0)),0)</f>
        <v>0</v>
      </c>
      <c r="AO227" s="26">
        <f t="shared" si="237"/>
        <v>0</v>
      </c>
      <c r="AP227" s="25">
        <f t="shared" si="238"/>
        <v>0</v>
      </c>
      <c r="AQ227" s="25">
        <f t="shared" si="239"/>
        <v>0</v>
      </c>
      <c r="AR227" s="680"/>
      <c r="AS227" s="26">
        <f t="array" ref="AS227">IFERROR(INDEX('Malaria-Equipment &amp; Other HPs'!$AB$130:$AB$230,MATCH($E227&amp;$F227,'Malaria-Equipment &amp; Other HPs'!$E$130:$E$230&amp;'Malaria-Equipment &amp; Other HPs'!$H$130:$H$230,0)),0)</f>
        <v>0</v>
      </c>
      <c r="AT227" s="26">
        <f t="array" ref="AT227">IFERROR(INDEX('Malaria-Equipment &amp; Other HPs'!$AC$130:$AC$230,MATCH($E227&amp;$F227,'Malaria-Equipment &amp; Other HPs'!$E$130:$E$230&amp;'Malaria-Equipment &amp; Other HPs'!$H$130:$H$230,0)),0)</f>
        <v>0</v>
      </c>
      <c r="AU227" s="26">
        <f t="shared" si="240"/>
        <v>0</v>
      </c>
      <c r="AV227" s="25">
        <f t="shared" si="241"/>
        <v>0</v>
      </c>
      <c r="AW227" s="25">
        <f t="shared" si="242"/>
        <v>0</v>
      </c>
      <c r="AX227" s="26">
        <f t="array" ref="AX227">IFERROR(INDEX('Malaria-Equipment &amp; Other HPs'!$AD$130:$AD$230,MATCH($E227&amp;$F227,'Malaria-Equipment &amp; Other HPs'!$E$130:$E$230&amp;'Malaria-Equipment &amp; Other HPs'!$H$130:$H$230,0)),0)</f>
        <v>0</v>
      </c>
      <c r="AY227" s="26">
        <f t="shared" si="243"/>
        <v>0</v>
      </c>
      <c r="AZ227" s="25">
        <f t="shared" si="244"/>
        <v>0</v>
      </c>
      <c r="BA227" s="25">
        <f t="shared" si="245"/>
        <v>0</v>
      </c>
      <c r="BB227" s="26">
        <f t="array" ref="BB227">IFERROR(INDEX('Malaria-Equipment &amp; Other HPs'!$AE$130:$AE$230,MATCH($E227&amp;$F227,'Malaria-Equipment &amp; Other HPs'!$E$130:$E$230&amp;'Malaria-Equipment &amp; Other HPs'!$H$130:$H$230,0)),0)</f>
        <v>0</v>
      </c>
      <c r="BC227" s="26">
        <f t="shared" si="246"/>
        <v>0</v>
      </c>
      <c r="BD227" s="25">
        <f t="shared" si="247"/>
        <v>0</v>
      </c>
      <c r="BE227" s="25">
        <f t="shared" si="248"/>
        <v>0</v>
      </c>
      <c r="BF227" s="26">
        <f t="array" ref="BF227">IFERROR(INDEX('Malaria-Equipment &amp; Other HPs'!$AF$130:$AF$230,MATCH($E227&amp;$F227,'Malaria-Equipment &amp; Other HPs'!$E$130:$E$230&amp;'Malaria-Equipment &amp; Other HPs'!$H$130:$H$230,0)),0)</f>
        <v>0</v>
      </c>
      <c r="BG227" s="26">
        <f t="shared" si="249"/>
        <v>0</v>
      </c>
      <c r="BH227" s="25">
        <f t="shared" si="250"/>
        <v>0</v>
      </c>
      <c r="BI227" s="25">
        <f t="shared" si="251"/>
        <v>0</v>
      </c>
      <c r="BJ227" s="680"/>
      <c r="BK227" s="26"/>
      <c r="BL227" s="26"/>
      <c r="BM227" s="26"/>
      <c r="BN227" s="26"/>
      <c r="BO227" s="26"/>
      <c r="BP227" s="26"/>
      <c r="BQ227" s="26"/>
      <c r="BR227" s="26"/>
      <c r="BT227" s="21" t="s">
        <v>6841</v>
      </c>
    </row>
    <row r="228" spans="1:72">
      <c r="A228" s="29" t="s">
        <v>538</v>
      </c>
      <c r="B228" s="29" t="s">
        <v>1550</v>
      </c>
      <c r="C228" s="626">
        <f>SETUP!$F$58</f>
        <v>0</v>
      </c>
      <c r="D228" s="25">
        <v>6.6</v>
      </c>
      <c r="E228" s="26" t="s">
        <v>1245</v>
      </c>
      <c r="F228" s="26" t="s">
        <v>200</v>
      </c>
      <c r="G228" s="26" t="str">
        <f t="array" ref="G228">IFERROR(INDEX('Malaria-Equipment &amp; Other HPs'!$L$130:$L$230,MATCH($E228&amp;$F228,'Malaria-Equipment &amp; Other HPs'!$E$130:$E$230&amp;'Malaria-Equipment &amp; Other HPs'!$H$130:$H$230,0)),"")</f>
        <v/>
      </c>
      <c r="H228" s="26" t="str">
        <f t="array" ref="H228">IFERROR(INDEX('Malaria-Equipment &amp; Other HPs'!$M$130:$M$230,MATCH($E228&amp;$F228,'Malaria-Equipment &amp; Other HPs'!$E$130:$E$230&amp;'Malaria-Equipment &amp; Other HPs'!$H$130:$H$230,0)),"")</f>
        <v/>
      </c>
      <c r="I228" s="26">
        <f t="array" ref="I228">IFERROR(INDEX('Malaria-Equipment &amp; Other HPs'!$N$130:$N$230,MATCH($E228&amp;$F228,'Malaria-Equipment &amp; Other HPs'!$E$130:$E$230&amp;'Malaria-Equipment &amp; Other HPs'!$H$130:$H$230,0)),0)</f>
        <v>0</v>
      </c>
      <c r="J228" s="26">
        <f t="array" ref="J228">IFERROR(INDEX('Malaria-Equipment &amp; Other HPs'!$O$130:$O$230,MATCH($E228&amp;$F228,'Malaria-Equipment &amp; Other HPs'!$E$130:$E$230&amp;'Malaria-Equipment &amp; Other HPs'!$H$130:$H$230,0)),0)</f>
        <v>0</v>
      </c>
      <c r="K228" s="25">
        <f t="shared" si="216"/>
        <v>0</v>
      </c>
      <c r="L228" s="25">
        <f t="shared" si="217"/>
        <v>0</v>
      </c>
      <c r="M228" s="25">
        <f t="shared" si="218"/>
        <v>0</v>
      </c>
      <c r="N228" s="26">
        <f t="array" ref="N228">IFERROR(INDEX('Malaria-Equipment &amp; Other HPs'!$P$130:$P$230,MATCH($E228&amp;$F228,'Malaria-Equipment &amp; Other HPs'!$E$130:$E$230&amp;'Malaria-Equipment &amp; Other HPs'!$H$130:$H$230,0)),0)</f>
        <v>0</v>
      </c>
      <c r="O228" s="25">
        <f t="shared" si="219"/>
        <v>0</v>
      </c>
      <c r="P228" s="25">
        <f t="shared" si="220"/>
        <v>0</v>
      </c>
      <c r="Q228" s="25">
        <f t="shared" si="221"/>
        <v>0</v>
      </c>
      <c r="R228" s="26">
        <f t="array" ref="R228">IFERROR(INDEX('Malaria-Equipment &amp; Other HPs'!$Q$130:$Q$230,MATCH($E228&amp;$F228,'Malaria-Equipment &amp; Other HPs'!$E$130:$E$230&amp;'Malaria-Equipment &amp; Other HPs'!$H$130:$H$230,0)),0)</f>
        <v>0</v>
      </c>
      <c r="S228" s="25">
        <f t="shared" si="222"/>
        <v>0</v>
      </c>
      <c r="T228" s="25">
        <f t="shared" si="223"/>
        <v>0</v>
      </c>
      <c r="U228" s="25">
        <f t="shared" si="224"/>
        <v>0</v>
      </c>
      <c r="V228" s="26">
        <f t="array" ref="V228">IFERROR(INDEX('Malaria-Equipment &amp; Other HPs'!$R$130:$R$230,MATCH($E228&amp;$F228,'Malaria-Equipment &amp; Other HPs'!$E$130:$E$230&amp;'Malaria-Equipment &amp; Other HPs'!$H$130:$H$230,0)),0)</f>
        <v>0</v>
      </c>
      <c r="W228" s="25">
        <f t="shared" si="225"/>
        <v>0</v>
      </c>
      <c r="X228" s="25">
        <f t="shared" si="226"/>
        <v>0</v>
      </c>
      <c r="Y228" s="25">
        <f t="shared" si="227"/>
        <v>0</v>
      </c>
      <c r="Z228" s="680"/>
      <c r="AA228" s="26">
        <f t="array" ref="AA228">IFERROR(INDEX('Malaria-Equipment &amp; Other HPs'!$U$130:$U$230,MATCH($E228&amp;$F228,'Malaria-Equipment &amp; Other HPs'!$E$130:$E$230&amp;'Malaria-Equipment &amp; Other HPs'!$H$130:$H$230,0)),0)</f>
        <v>0</v>
      </c>
      <c r="AB228" s="26">
        <f t="array" ref="AB228">IFERROR(INDEX('Malaria-Equipment &amp; Other HPs'!$V$130:$V$230,MATCH($E228&amp;$F228,'Malaria-Equipment &amp; Other HPs'!$E$130:$E$230&amp;'Malaria-Equipment &amp; Other HPs'!$H$130:$H$230,0)),0)</f>
        <v>0</v>
      </c>
      <c r="AC228" s="26">
        <f t="shared" si="228"/>
        <v>0</v>
      </c>
      <c r="AD228" s="25">
        <f t="shared" si="229"/>
        <v>0</v>
      </c>
      <c r="AE228" s="25">
        <f t="shared" si="230"/>
        <v>0</v>
      </c>
      <c r="AF228" s="26">
        <f t="array" ref="AF228">IFERROR(INDEX('Malaria-Equipment &amp; Other HPs'!$W$130:$W$230,MATCH($E228&amp;$F228,'Malaria-Equipment &amp; Other HPs'!$E$130:$E$230&amp;'Malaria-Equipment &amp; Other HPs'!$H$130:$H$230,0)),0)</f>
        <v>0</v>
      </c>
      <c r="AG228" s="26">
        <f t="shared" si="231"/>
        <v>0</v>
      </c>
      <c r="AH228" s="25">
        <f t="shared" si="232"/>
        <v>0</v>
      </c>
      <c r="AI228" s="25">
        <f t="shared" si="233"/>
        <v>0</v>
      </c>
      <c r="AJ228" s="26">
        <f t="array" ref="AJ228">IFERROR(INDEX('Malaria-Equipment &amp; Other HPs'!$X$130:$X$230,MATCH($E228&amp;$F228,'Malaria-Equipment &amp; Other HPs'!$E$130:$E$230&amp;'Malaria-Equipment &amp; Other HPs'!$H$130:$H$230,0)),0)</f>
        <v>0</v>
      </c>
      <c r="AK228" s="26">
        <f t="shared" si="234"/>
        <v>0</v>
      </c>
      <c r="AL228" s="25">
        <f t="shared" si="235"/>
        <v>0</v>
      </c>
      <c r="AM228" s="25">
        <f t="shared" si="236"/>
        <v>0</v>
      </c>
      <c r="AN228" s="26">
        <f t="array" ref="AN228">IFERROR(INDEX('Malaria-Equipment &amp; Other HPs'!$Y$130:$Y$230,MATCH($E228&amp;$F228,'Malaria-Equipment &amp; Other HPs'!$E$130:$E$230&amp;'Malaria-Equipment &amp; Other HPs'!$H$130:$H$230,0)),0)</f>
        <v>0</v>
      </c>
      <c r="AO228" s="26">
        <f t="shared" si="237"/>
        <v>0</v>
      </c>
      <c r="AP228" s="25">
        <f t="shared" si="238"/>
        <v>0</v>
      </c>
      <c r="AQ228" s="25">
        <f t="shared" si="239"/>
        <v>0</v>
      </c>
      <c r="AR228" s="680"/>
      <c r="AS228" s="26">
        <f t="array" ref="AS228">IFERROR(INDEX('Malaria-Equipment &amp; Other HPs'!$AB$130:$AB$230,MATCH($E228&amp;$F228,'Malaria-Equipment &amp; Other HPs'!$E$130:$E$230&amp;'Malaria-Equipment &amp; Other HPs'!$H$130:$H$230,0)),0)</f>
        <v>0</v>
      </c>
      <c r="AT228" s="26">
        <f t="array" ref="AT228">IFERROR(INDEX('Malaria-Equipment &amp; Other HPs'!$AC$130:$AC$230,MATCH($E228&amp;$F228,'Malaria-Equipment &amp; Other HPs'!$E$130:$E$230&amp;'Malaria-Equipment &amp; Other HPs'!$H$130:$H$230,0)),0)</f>
        <v>0</v>
      </c>
      <c r="AU228" s="26">
        <f t="shared" si="240"/>
        <v>0</v>
      </c>
      <c r="AV228" s="25">
        <f t="shared" si="241"/>
        <v>0</v>
      </c>
      <c r="AW228" s="25">
        <f t="shared" si="242"/>
        <v>0</v>
      </c>
      <c r="AX228" s="26">
        <f t="array" ref="AX228">IFERROR(INDEX('Malaria-Equipment &amp; Other HPs'!$AD$130:$AD$230,MATCH($E228&amp;$F228,'Malaria-Equipment &amp; Other HPs'!$E$130:$E$230&amp;'Malaria-Equipment &amp; Other HPs'!$H$130:$H$230,0)),0)</f>
        <v>0</v>
      </c>
      <c r="AY228" s="26">
        <f t="shared" si="243"/>
        <v>0</v>
      </c>
      <c r="AZ228" s="25">
        <f t="shared" si="244"/>
        <v>0</v>
      </c>
      <c r="BA228" s="25">
        <f t="shared" si="245"/>
        <v>0</v>
      </c>
      <c r="BB228" s="26">
        <f t="array" ref="BB228">IFERROR(INDEX('Malaria-Equipment &amp; Other HPs'!$AE$130:$AE$230,MATCH($E228&amp;$F228,'Malaria-Equipment &amp; Other HPs'!$E$130:$E$230&amp;'Malaria-Equipment &amp; Other HPs'!$H$130:$H$230,0)),0)</f>
        <v>0</v>
      </c>
      <c r="BC228" s="26">
        <f t="shared" si="246"/>
        <v>0</v>
      </c>
      <c r="BD228" s="25">
        <f t="shared" si="247"/>
        <v>0</v>
      </c>
      <c r="BE228" s="25">
        <f t="shared" si="248"/>
        <v>0</v>
      </c>
      <c r="BF228" s="26">
        <f t="array" ref="BF228">IFERROR(INDEX('Malaria-Equipment &amp; Other HPs'!$AF$130:$AF$230,MATCH($E228&amp;$F228,'Malaria-Equipment &amp; Other HPs'!$E$130:$E$230&amp;'Malaria-Equipment &amp; Other HPs'!$H$130:$H$230,0)),0)</f>
        <v>0</v>
      </c>
      <c r="BG228" s="26">
        <f t="shared" si="249"/>
        <v>0</v>
      </c>
      <c r="BH228" s="25">
        <f t="shared" si="250"/>
        <v>0</v>
      </c>
      <c r="BI228" s="25">
        <f t="shared" si="251"/>
        <v>0</v>
      </c>
      <c r="BJ228" s="680"/>
      <c r="BK228" s="26"/>
      <c r="BL228" s="26"/>
      <c r="BM228" s="26"/>
      <c r="BN228" s="26"/>
      <c r="BO228" s="26"/>
      <c r="BP228" s="26"/>
      <c r="BQ228" s="26"/>
      <c r="BR228" s="26"/>
      <c r="BT228" s="21" t="s">
        <v>6841</v>
      </c>
    </row>
    <row r="229" spans="1:72">
      <c r="A229" s="29" t="s">
        <v>538</v>
      </c>
      <c r="B229" s="29" t="s">
        <v>1550</v>
      </c>
      <c r="C229" s="626">
        <f>SETUP!$F$58</f>
        <v>0</v>
      </c>
      <c r="D229" s="25">
        <v>6.6</v>
      </c>
      <c r="E229" s="26" t="s">
        <v>1230</v>
      </c>
      <c r="F229" s="26" t="s">
        <v>201</v>
      </c>
      <c r="G229" s="26" t="str">
        <f t="array" ref="G229">IFERROR(INDEX('Malaria-Equipment &amp; Other HPs'!$L$130:$L$230,MATCH($E229&amp;$F229,'Malaria-Equipment &amp; Other HPs'!$E$130:$E$230&amp;'Malaria-Equipment &amp; Other HPs'!$H$130:$H$230,0)),"")</f>
        <v/>
      </c>
      <c r="H229" s="26" t="str">
        <f t="array" ref="H229">IFERROR(INDEX('Malaria-Equipment &amp; Other HPs'!$M$130:$M$230,MATCH($E229&amp;$F229,'Malaria-Equipment &amp; Other HPs'!$E$130:$E$230&amp;'Malaria-Equipment &amp; Other HPs'!$H$130:$H$230,0)),"")</f>
        <v/>
      </c>
      <c r="I229" s="26">
        <f t="array" ref="I229">IFERROR(INDEX('Malaria-Equipment &amp; Other HPs'!$N$130:$N$230,MATCH($E229&amp;$F229,'Malaria-Equipment &amp; Other HPs'!$E$130:$E$230&amp;'Malaria-Equipment &amp; Other HPs'!$H$130:$H$230,0)),0)</f>
        <v>0</v>
      </c>
      <c r="J229" s="26">
        <f t="array" ref="J229">IFERROR(INDEX('Malaria-Equipment &amp; Other HPs'!$O$130:$O$230,MATCH($E229&amp;$F229,'Malaria-Equipment &amp; Other HPs'!$E$130:$E$230&amp;'Malaria-Equipment &amp; Other HPs'!$H$130:$H$230,0)),0)</f>
        <v>0</v>
      </c>
      <c r="K229" s="25">
        <f t="shared" si="216"/>
        <v>0</v>
      </c>
      <c r="L229" s="25">
        <f t="shared" si="217"/>
        <v>0</v>
      </c>
      <c r="M229" s="25">
        <f t="shared" si="218"/>
        <v>0</v>
      </c>
      <c r="N229" s="26">
        <f t="array" ref="N229">IFERROR(INDEX('Malaria-Equipment &amp; Other HPs'!$P$130:$P$230,MATCH($E229&amp;$F229,'Malaria-Equipment &amp; Other HPs'!$E$130:$E$230&amp;'Malaria-Equipment &amp; Other HPs'!$H$130:$H$230,0)),0)</f>
        <v>0</v>
      </c>
      <c r="O229" s="25">
        <f t="shared" si="219"/>
        <v>0</v>
      </c>
      <c r="P229" s="25">
        <f t="shared" si="220"/>
        <v>0</v>
      </c>
      <c r="Q229" s="25">
        <f t="shared" si="221"/>
        <v>0</v>
      </c>
      <c r="R229" s="26">
        <f t="array" ref="R229">IFERROR(INDEX('Malaria-Equipment &amp; Other HPs'!$Q$130:$Q$230,MATCH($E229&amp;$F229,'Malaria-Equipment &amp; Other HPs'!$E$130:$E$230&amp;'Malaria-Equipment &amp; Other HPs'!$H$130:$H$230,0)),0)</f>
        <v>0</v>
      </c>
      <c r="S229" s="25">
        <f t="shared" si="222"/>
        <v>0</v>
      </c>
      <c r="T229" s="25">
        <f t="shared" si="223"/>
        <v>0</v>
      </c>
      <c r="U229" s="25">
        <f t="shared" si="224"/>
        <v>0</v>
      </c>
      <c r="V229" s="26">
        <f t="array" ref="V229">IFERROR(INDEX('Malaria-Equipment &amp; Other HPs'!$R$130:$R$230,MATCH($E229&amp;$F229,'Malaria-Equipment &amp; Other HPs'!$E$130:$E$230&amp;'Malaria-Equipment &amp; Other HPs'!$H$130:$H$230,0)),0)</f>
        <v>0</v>
      </c>
      <c r="W229" s="25">
        <f t="shared" si="225"/>
        <v>0</v>
      </c>
      <c r="X229" s="25">
        <f t="shared" si="226"/>
        <v>0</v>
      </c>
      <c r="Y229" s="25">
        <f t="shared" si="227"/>
        <v>0</v>
      </c>
      <c r="Z229" s="680"/>
      <c r="AA229" s="26">
        <f t="array" ref="AA229">IFERROR(INDEX('Malaria-Equipment &amp; Other HPs'!$U$130:$U$230,MATCH($E229&amp;$F229,'Malaria-Equipment &amp; Other HPs'!$E$130:$E$230&amp;'Malaria-Equipment &amp; Other HPs'!$H$130:$H$230,0)),0)</f>
        <v>0</v>
      </c>
      <c r="AB229" s="26">
        <f t="array" ref="AB229">IFERROR(INDEX('Malaria-Equipment &amp; Other HPs'!$V$130:$V$230,MATCH($E229&amp;$F229,'Malaria-Equipment &amp; Other HPs'!$E$130:$E$230&amp;'Malaria-Equipment &amp; Other HPs'!$H$130:$H$230,0)),0)</f>
        <v>0</v>
      </c>
      <c r="AC229" s="26">
        <f t="shared" si="228"/>
        <v>0</v>
      </c>
      <c r="AD229" s="25">
        <f t="shared" si="229"/>
        <v>0</v>
      </c>
      <c r="AE229" s="25">
        <f t="shared" si="230"/>
        <v>0</v>
      </c>
      <c r="AF229" s="26">
        <f t="array" ref="AF229">IFERROR(INDEX('Malaria-Equipment &amp; Other HPs'!$W$130:$W$230,MATCH($E229&amp;$F229,'Malaria-Equipment &amp; Other HPs'!$E$130:$E$230&amp;'Malaria-Equipment &amp; Other HPs'!$H$130:$H$230,0)),0)</f>
        <v>0</v>
      </c>
      <c r="AG229" s="26">
        <f t="shared" si="231"/>
        <v>0</v>
      </c>
      <c r="AH229" s="25">
        <f t="shared" si="232"/>
        <v>0</v>
      </c>
      <c r="AI229" s="25">
        <f t="shared" si="233"/>
        <v>0</v>
      </c>
      <c r="AJ229" s="26">
        <f t="array" ref="AJ229">IFERROR(INDEX('Malaria-Equipment &amp; Other HPs'!$X$130:$X$230,MATCH($E229&amp;$F229,'Malaria-Equipment &amp; Other HPs'!$E$130:$E$230&amp;'Malaria-Equipment &amp; Other HPs'!$H$130:$H$230,0)),0)</f>
        <v>0</v>
      </c>
      <c r="AK229" s="26">
        <f t="shared" si="234"/>
        <v>0</v>
      </c>
      <c r="AL229" s="25">
        <f t="shared" si="235"/>
        <v>0</v>
      </c>
      <c r="AM229" s="25">
        <f t="shared" si="236"/>
        <v>0</v>
      </c>
      <c r="AN229" s="26">
        <f t="array" ref="AN229">IFERROR(INDEX('Malaria-Equipment &amp; Other HPs'!$Y$130:$Y$230,MATCH($E229&amp;$F229,'Malaria-Equipment &amp; Other HPs'!$E$130:$E$230&amp;'Malaria-Equipment &amp; Other HPs'!$H$130:$H$230,0)),0)</f>
        <v>0</v>
      </c>
      <c r="AO229" s="26">
        <f t="shared" si="237"/>
        <v>0</v>
      </c>
      <c r="AP229" s="25">
        <f t="shared" si="238"/>
        <v>0</v>
      </c>
      <c r="AQ229" s="25">
        <f t="shared" si="239"/>
        <v>0</v>
      </c>
      <c r="AR229" s="680"/>
      <c r="AS229" s="26">
        <f t="array" ref="AS229">IFERROR(INDEX('Malaria-Equipment &amp; Other HPs'!$AB$130:$AB$230,MATCH($E229&amp;$F229,'Malaria-Equipment &amp; Other HPs'!$E$130:$E$230&amp;'Malaria-Equipment &amp; Other HPs'!$H$130:$H$230,0)),0)</f>
        <v>0</v>
      </c>
      <c r="AT229" s="26">
        <f t="array" ref="AT229">IFERROR(INDEX('Malaria-Equipment &amp; Other HPs'!$AC$130:$AC$230,MATCH($E229&amp;$F229,'Malaria-Equipment &amp; Other HPs'!$E$130:$E$230&amp;'Malaria-Equipment &amp; Other HPs'!$H$130:$H$230,0)),0)</f>
        <v>0</v>
      </c>
      <c r="AU229" s="26">
        <f t="shared" si="240"/>
        <v>0</v>
      </c>
      <c r="AV229" s="25">
        <f t="shared" si="241"/>
        <v>0</v>
      </c>
      <c r="AW229" s="25">
        <f t="shared" si="242"/>
        <v>0</v>
      </c>
      <c r="AX229" s="26">
        <f t="array" ref="AX229">IFERROR(INDEX('Malaria-Equipment &amp; Other HPs'!$AD$130:$AD$230,MATCH($E229&amp;$F229,'Malaria-Equipment &amp; Other HPs'!$E$130:$E$230&amp;'Malaria-Equipment &amp; Other HPs'!$H$130:$H$230,0)),0)</f>
        <v>0</v>
      </c>
      <c r="AY229" s="26">
        <f t="shared" si="243"/>
        <v>0</v>
      </c>
      <c r="AZ229" s="25">
        <f t="shared" si="244"/>
        <v>0</v>
      </c>
      <c r="BA229" s="25">
        <f t="shared" si="245"/>
        <v>0</v>
      </c>
      <c r="BB229" s="26">
        <f t="array" ref="BB229">IFERROR(INDEX('Malaria-Equipment &amp; Other HPs'!$AE$130:$AE$230,MATCH($E229&amp;$F229,'Malaria-Equipment &amp; Other HPs'!$E$130:$E$230&amp;'Malaria-Equipment &amp; Other HPs'!$H$130:$H$230,0)),0)</f>
        <v>0</v>
      </c>
      <c r="BC229" s="26">
        <f t="shared" si="246"/>
        <v>0</v>
      </c>
      <c r="BD229" s="25">
        <f t="shared" si="247"/>
        <v>0</v>
      </c>
      <c r="BE229" s="25">
        <f t="shared" si="248"/>
        <v>0</v>
      </c>
      <c r="BF229" s="26">
        <f t="array" ref="BF229">IFERROR(INDEX('Malaria-Equipment &amp; Other HPs'!$AF$130:$AF$230,MATCH($E229&amp;$F229,'Malaria-Equipment &amp; Other HPs'!$E$130:$E$230&amp;'Malaria-Equipment &amp; Other HPs'!$H$130:$H$230,0)),0)</f>
        <v>0</v>
      </c>
      <c r="BG229" s="26">
        <f t="shared" si="249"/>
        <v>0</v>
      </c>
      <c r="BH229" s="25">
        <f t="shared" si="250"/>
        <v>0</v>
      </c>
      <c r="BI229" s="25">
        <f t="shared" si="251"/>
        <v>0</v>
      </c>
      <c r="BJ229" s="680"/>
      <c r="BK229" s="26"/>
      <c r="BL229" s="26"/>
      <c r="BM229" s="26"/>
      <c r="BN229" s="26"/>
      <c r="BO229" s="26"/>
      <c r="BP229" s="26"/>
      <c r="BQ229" s="26"/>
      <c r="BR229" s="26"/>
      <c r="BT229" s="21" t="s">
        <v>6842</v>
      </c>
    </row>
    <row r="230" spans="1:72">
      <c r="A230" s="29" t="s">
        <v>538</v>
      </c>
      <c r="B230" s="29" t="s">
        <v>1550</v>
      </c>
      <c r="C230" s="626">
        <f>SETUP!$F$58</f>
        <v>0</v>
      </c>
      <c r="D230" s="25">
        <v>6.6</v>
      </c>
      <c r="E230" s="26" t="s">
        <v>1230</v>
      </c>
      <c r="F230" s="26" t="s">
        <v>200</v>
      </c>
      <c r="G230" s="26" t="str">
        <f t="array" ref="G230">IFERROR(INDEX('Malaria-Equipment &amp; Other HPs'!$L$130:$L$230,MATCH($E230&amp;$F230,'Malaria-Equipment &amp; Other HPs'!$E$130:$E$230&amp;'Malaria-Equipment &amp; Other HPs'!$H$130:$H$230,0)),"")</f>
        <v/>
      </c>
      <c r="H230" s="26" t="str">
        <f t="array" ref="H230">IFERROR(INDEX('Malaria-Equipment &amp; Other HPs'!$M$130:$M$230,MATCH($E230&amp;$F230,'Malaria-Equipment &amp; Other HPs'!$E$130:$E$230&amp;'Malaria-Equipment &amp; Other HPs'!$H$130:$H$230,0)),"")</f>
        <v/>
      </c>
      <c r="I230" s="26">
        <f t="array" ref="I230">IFERROR(INDEX('Malaria-Equipment &amp; Other HPs'!$N$130:$N$230,MATCH($E230&amp;$F230,'Malaria-Equipment &amp; Other HPs'!$E$130:$E$230&amp;'Malaria-Equipment &amp; Other HPs'!$H$130:$H$230,0)),0)</f>
        <v>0</v>
      </c>
      <c r="J230" s="26">
        <f t="array" ref="J230">IFERROR(INDEX('Malaria-Equipment &amp; Other HPs'!$O$130:$O$230,MATCH($E230&amp;$F230,'Malaria-Equipment &amp; Other HPs'!$E$130:$E$230&amp;'Malaria-Equipment &amp; Other HPs'!$H$130:$H$230,0)),0)</f>
        <v>0</v>
      </c>
      <c r="K230" s="25">
        <f t="shared" ref="K230:K255" si="252">IF(ISERROR($I230*J230),0,$I230*J230)</f>
        <v>0</v>
      </c>
      <c r="L230" s="25">
        <f t="shared" ref="L230:L255" si="253">IF(C230="Upfront",J230,0)</f>
        <v>0</v>
      </c>
      <c r="M230" s="25">
        <f t="shared" ref="M230:M255" si="254">IF(C230="Upfront",K230,0)</f>
        <v>0</v>
      </c>
      <c r="N230" s="26">
        <f t="array" ref="N230">IFERROR(INDEX('Malaria-Equipment &amp; Other HPs'!$P$130:$P$230,MATCH($E230&amp;$F230,'Malaria-Equipment &amp; Other HPs'!$E$130:$E$230&amp;'Malaria-Equipment &amp; Other HPs'!$H$130:$H$230,0)),0)</f>
        <v>0</v>
      </c>
      <c r="O230" s="25">
        <f t="shared" ref="O230:O255" si="255">IF(ISERROR($I230*N230),0,$I230*N230)</f>
        <v>0</v>
      </c>
      <c r="P230" s="25">
        <f t="shared" ref="P230:P255" si="256">IF(C230="Upfront",N230,0)</f>
        <v>0</v>
      </c>
      <c r="Q230" s="25">
        <f t="shared" ref="Q230:Q255" si="257">IF(C230="Upfront",O230,0)</f>
        <v>0</v>
      </c>
      <c r="R230" s="26">
        <f t="array" ref="R230">IFERROR(INDEX('Malaria-Equipment &amp; Other HPs'!$Q$130:$Q$230,MATCH($E230&amp;$F230,'Malaria-Equipment &amp; Other HPs'!$E$130:$E$230&amp;'Malaria-Equipment &amp; Other HPs'!$H$130:$H$230,0)),0)</f>
        <v>0</v>
      </c>
      <c r="S230" s="25">
        <f t="shared" ref="S230:S255" si="258">IF(ISERROR($I230*R230),0,$I230*R230)</f>
        <v>0</v>
      </c>
      <c r="T230" s="25">
        <f t="shared" ref="T230:T255" si="259">IF(C230="Upfront",R230,IF(C230="At delivery",J230,0))</f>
        <v>0</v>
      </c>
      <c r="U230" s="25">
        <f t="shared" ref="U230:U255" si="260">IF(C230="Upfront",S230,IF(C230="At delivery",K230,0))</f>
        <v>0</v>
      </c>
      <c r="V230" s="26">
        <f t="array" ref="V230">IFERROR(INDEX('Malaria-Equipment &amp; Other HPs'!$R$130:$R$230,MATCH($E230&amp;$F230,'Malaria-Equipment &amp; Other HPs'!$E$130:$E$230&amp;'Malaria-Equipment &amp; Other HPs'!$H$130:$H$230,0)),0)</f>
        <v>0</v>
      </c>
      <c r="W230" s="25">
        <f t="shared" ref="W230:W255" si="261">IF(ISERROR($I230*V230),0,$I230*V230)</f>
        <v>0</v>
      </c>
      <c r="X230" s="25">
        <f t="shared" ref="X230:X255" si="262">IF(C230="Upfront",V230,IF(C230="At delivery",N230,0))</f>
        <v>0</v>
      </c>
      <c r="Y230" s="25">
        <f t="shared" ref="Y230:Y255" si="263">IF(C230="Upfront",W230,IF(C230="At delivery",O230,0))</f>
        <v>0</v>
      </c>
      <c r="Z230" s="680"/>
      <c r="AA230" s="26">
        <f t="array" ref="AA230">IFERROR(INDEX('Malaria-Equipment &amp; Other HPs'!$U$130:$U$230,MATCH($E230&amp;$F230,'Malaria-Equipment &amp; Other HPs'!$E$130:$E$230&amp;'Malaria-Equipment &amp; Other HPs'!$H$130:$H$230,0)),0)</f>
        <v>0</v>
      </c>
      <c r="AB230" s="26">
        <f t="array" ref="AB230">IFERROR(INDEX('Malaria-Equipment &amp; Other HPs'!$V$130:$V$230,MATCH($E230&amp;$F230,'Malaria-Equipment &amp; Other HPs'!$E$130:$E$230&amp;'Malaria-Equipment &amp; Other HPs'!$H$130:$H$230,0)),0)</f>
        <v>0</v>
      </c>
      <c r="AC230" s="26">
        <f t="shared" ref="AC230:AC255" si="264">IF(ISERROR($AA230*AB230),0,$AA230*AB230)</f>
        <v>0</v>
      </c>
      <c r="AD230" s="25">
        <f t="shared" ref="AD230:AD255" si="265">IF(C230="Upfront",AB230,IF(C230="At delivery",R230,0))</f>
        <v>0</v>
      </c>
      <c r="AE230" s="25">
        <f t="shared" ref="AE230:AE255" si="266">IF(C230="Upfront",AC230,IF(C230="At delivery",S230,0))</f>
        <v>0</v>
      </c>
      <c r="AF230" s="26">
        <f t="array" ref="AF230">IFERROR(INDEX('Malaria-Equipment &amp; Other HPs'!$W$130:$W$230,MATCH($E230&amp;$F230,'Malaria-Equipment &amp; Other HPs'!$E$130:$E$230&amp;'Malaria-Equipment &amp; Other HPs'!$H$130:$H$230,0)),0)</f>
        <v>0</v>
      </c>
      <c r="AG230" s="26">
        <f t="shared" ref="AG230:AG255" si="267">IF(ISERROR($AA230*AF230),0,$AA230*AF230)</f>
        <v>0</v>
      </c>
      <c r="AH230" s="25">
        <f t="shared" ref="AH230:AH255" si="268">IF(C230="Upfront",AF230,IF(C230="At delivery",V230,0))</f>
        <v>0</v>
      </c>
      <c r="AI230" s="25">
        <f t="shared" ref="AI230:AI255" si="269">IF(C230="Upfront",AG230,IF(C230="At delivery",W230,0))</f>
        <v>0</v>
      </c>
      <c r="AJ230" s="26">
        <f t="array" ref="AJ230">IFERROR(INDEX('Malaria-Equipment &amp; Other HPs'!$X$130:$X$230,MATCH($E230&amp;$F230,'Malaria-Equipment &amp; Other HPs'!$E$130:$E$230&amp;'Malaria-Equipment &amp; Other HPs'!$H$130:$H$230,0)),0)</f>
        <v>0</v>
      </c>
      <c r="AK230" s="26">
        <f t="shared" ref="AK230:AK255" si="270">IF(ISERROR($AA230*AJ230),0,$AA230*AJ230)</f>
        <v>0</v>
      </c>
      <c r="AL230" s="25">
        <f t="shared" ref="AL230:AL255" si="271">IF(C230="Upfront",AJ230,IF(C230="At delivery",AB230,0))</f>
        <v>0</v>
      </c>
      <c r="AM230" s="25">
        <f t="shared" ref="AM230:AM255" si="272">IF(C230="Upfront",AK230,IF(C230="At delivery",AC230,0))</f>
        <v>0</v>
      </c>
      <c r="AN230" s="26">
        <f t="array" ref="AN230">IFERROR(INDEX('Malaria-Equipment &amp; Other HPs'!$Y$130:$Y$230,MATCH($E230&amp;$F230,'Malaria-Equipment &amp; Other HPs'!$E$130:$E$230&amp;'Malaria-Equipment &amp; Other HPs'!$H$130:$H$230,0)),0)</f>
        <v>0</v>
      </c>
      <c r="AO230" s="26">
        <f t="shared" ref="AO230:AO255" si="273">IF(ISERROR($AA230*AN230),0,$AA230*AN230)</f>
        <v>0</v>
      </c>
      <c r="AP230" s="25">
        <f t="shared" ref="AP230:AP255" si="274">IF(C230="Upfront",AN230,IF(C230="At delivery",AF230,0))</f>
        <v>0</v>
      </c>
      <c r="AQ230" s="25">
        <f t="shared" ref="AQ230:AQ255" si="275">IF(C230="Upfront",AO230,IF(C230="At delivery",AG230,0))</f>
        <v>0</v>
      </c>
      <c r="AR230" s="680"/>
      <c r="AS230" s="26">
        <f t="array" ref="AS230">IFERROR(INDEX('Malaria-Equipment &amp; Other HPs'!$AB$130:$AB$230,MATCH($E230&amp;$F230,'Malaria-Equipment &amp; Other HPs'!$E$130:$E$230&amp;'Malaria-Equipment &amp; Other HPs'!$H$130:$H$230,0)),0)</f>
        <v>0</v>
      </c>
      <c r="AT230" s="26">
        <f t="array" ref="AT230">IFERROR(INDEX('Malaria-Equipment &amp; Other HPs'!$AC$130:$AC$230,MATCH($E230&amp;$F230,'Malaria-Equipment &amp; Other HPs'!$E$130:$E$230&amp;'Malaria-Equipment &amp; Other HPs'!$H$130:$H$230,0)),0)</f>
        <v>0</v>
      </c>
      <c r="AU230" s="26">
        <f t="shared" ref="AU230:AU255" si="276">IF(ISERROR($AS230*AT230),0,$AS230*AT230)</f>
        <v>0</v>
      </c>
      <c r="AV230" s="25">
        <f t="shared" ref="AV230:AV255" si="277">IF(C230="Upfront",AT230,IF(C230="At delivery",AJ230,0))</f>
        <v>0</v>
      </c>
      <c r="AW230" s="25">
        <f t="shared" ref="AW230:AW255" si="278">IF(C230="Upfront",AU230,IF(C230="At delivery",AK230,0))</f>
        <v>0</v>
      </c>
      <c r="AX230" s="26">
        <f t="array" ref="AX230">IFERROR(INDEX('Malaria-Equipment &amp; Other HPs'!$AD$130:$AD$230,MATCH($E230&amp;$F230,'Malaria-Equipment &amp; Other HPs'!$E$130:$E$230&amp;'Malaria-Equipment &amp; Other HPs'!$H$130:$H$230,0)),0)</f>
        <v>0</v>
      </c>
      <c r="AY230" s="26">
        <f t="shared" ref="AY230:AY255" si="279">IF(ISERROR($AS230*AX230),0,$AS230*AX230)</f>
        <v>0</v>
      </c>
      <c r="AZ230" s="25">
        <f t="shared" ref="AZ230:AZ255" si="280">IF(C230="Upfront",AX230,IF(C230="At delivery",AN230,0))</f>
        <v>0</v>
      </c>
      <c r="BA230" s="25">
        <f t="shared" ref="BA230:BA255" si="281">IF(C230="Upfront",AY230,IF(C230="At delivery",AO230,0))</f>
        <v>0</v>
      </c>
      <c r="BB230" s="26">
        <f t="array" ref="BB230">IFERROR(INDEX('Malaria-Equipment &amp; Other HPs'!$AE$130:$AE$230,MATCH($E230&amp;$F230,'Malaria-Equipment &amp; Other HPs'!$E$130:$E$230&amp;'Malaria-Equipment &amp; Other HPs'!$H$130:$H$230,0)),0)</f>
        <v>0</v>
      </c>
      <c r="BC230" s="26">
        <f t="shared" ref="BC230:BC255" si="282">IF(ISERROR($AS230*BB230),0,$AS230*BB230)</f>
        <v>0</v>
      </c>
      <c r="BD230" s="25">
        <f t="shared" ref="BD230:BD255" si="283">IF(C230="Upfront",BB230,IF(C230="At delivery",AT230,0))</f>
        <v>0</v>
      </c>
      <c r="BE230" s="25">
        <f t="shared" ref="BE230:BE255" si="284">IF(C230="Upfront",BC230,IF(C230="At delivery",AU230,0))</f>
        <v>0</v>
      </c>
      <c r="BF230" s="26">
        <f t="array" ref="BF230">IFERROR(INDEX('Malaria-Equipment &amp; Other HPs'!$AF$130:$AF$230,MATCH($E230&amp;$F230,'Malaria-Equipment &amp; Other HPs'!$E$130:$E$230&amp;'Malaria-Equipment &amp; Other HPs'!$H$130:$H$230,0)),0)</f>
        <v>0</v>
      </c>
      <c r="BG230" s="26">
        <f t="shared" ref="BG230:BG255" si="285">IF(ISERROR($AS230*BF230),0,$AS230*BF230)</f>
        <v>0</v>
      </c>
      <c r="BH230" s="25">
        <f t="shared" ref="BH230:BH255" si="286">IF(C230="Upfront",BF230,IF(C230="At delivery",AX230,0))</f>
        <v>0</v>
      </c>
      <c r="BI230" s="25">
        <f t="shared" ref="BI230:BI255" si="287">IF(C230="Upfront",BG230,IF(C230="At delivery",AY230,0))</f>
        <v>0</v>
      </c>
      <c r="BJ230" s="680"/>
      <c r="BK230" s="26"/>
      <c r="BL230" s="26"/>
      <c r="BM230" s="26"/>
      <c r="BN230" s="26"/>
      <c r="BO230" s="26"/>
      <c r="BP230" s="26"/>
      <c r="BQ230" s="26"/>
      <c r="BR230" s="26"/>
      <c r="BT230" s="21" t="s">
        <v>6842</v>
      </c>
    </row>
    <row r="231" spans="1:72">
      <c r="A231" s="29" t="s">
        <v>538</v>
      </c>
      <c r="B231" s="29" t="s">
        <v>1550</v>
      </c>
      <c r="C231" s="626">
        <f>SETUP!$F$58</f>
        <v>0</v>
      </c>
      <c r="D231" s="25">
        <v>6.5</v>
      </c>
      <c r="E231" s="26" t="s">
        <v>1230</v>
      </c>
      <c r="F231" s="26" t="s">
        <v>218</v>
      </c>
      <c r="G231" s="26" t="str">
        <f t="array" ref="G231">IFERROR(INDEX('Malaria-Equipment &amp; Other HPs'!$L$130:$L$230,MATCH($E231&amp;$F231,'Malaria-Equipment &amp; Other HPs'!$E$130:$E$230&amp;'Malaria-Equipment &amp; Other HPs'!$H$130:$H$230,0)),"")</f>
        <v/>
      </c>
      <c r="H231" s="26" t="str">
        <f t="array" ref="H231">IFERROR(INDEX('Malaria-Equipment &amp; Other HPs'!$M$130:$M$230,MATCH($E231&amp;$F231,'Malaria-Equipment &amp; Other HPs'!$E$130:$E$230&amp;'Malaria-Equipment &amp; Other HPs'!$H$130:$H$230,0)),"")</f>
        <v/>
      </c>
      <c r="I231" s="26">
        <f t="array" ref="I231">IFERROR(INDEX('Malaria-Equipment &amp; Other HPs'!$N$130:$N$230,MATCH($E231&amp;$F231,'Malaria-Equipment &amp; Other HPs'!$E$130:$E$230&amp;'Malaria-Equipment &amp; Other HPs'!$H$130:$H$230,0)),0)</f>
        <v>0</v>
      </c>
      <c r="J231" s="26">
        <f t="array" ref="J231">IFERROR(INDEX('Malaria-Equipment &amp; Other HPs'!$O$130:$O$230,MATCH($E231&amp;$F231,'Malaria-Equipment &amp; Other HPs'!$E$130:$E$230&amp;'Malaria-Equipment &amp; Other HPs'!$H$130:$H$230,0)),0)</f>
        <v>0</v>
      </c>
      <c r="K231" s="25">
        <f t="shared" si="252"/>
        <v>0</v>
      </c>
      <c r="L231" s="25">
        <f t="shared" si="253"/>
        <v>0</v>
      </c>
      <c r="M231" s="25">
        <f t="shared" si="254"/>
        <v>0</v>
      </c>
      <c r="N231" s="26">
        <f t="array" ref="N231">IFERROR(INDEX('Malaria-Equipment &amp; Other HPs'!$P$130:$P$230,MATCH($E231&amp;$F231,'Malaria-Equipment &amp; Other HPs'!$E$130:$E$230&amp;'Malaria-Equipment &amp; Other HPs'!$H$130:$H$230,0)),0)</f>
        <v>0</v>
      </c>
      <c r="O231" s="25">
        <f t="shared" si="255"/>
        <v>0</v>
      </c>
      <c r="P231" s="25">
        <f t="shared" si="256"/>
        <v>0</v>
      </c>
      <c r="Q231" s="25">
        <f t="shared" si="257"/>
        <v>0</v>
      </c>
      <c r="R231" s="26">
        <f t="array" ref="R231">IFERROR(INDEX('Malaria-Equipment &amp; Other HPs'!$Q$130:$Q$230,MATCH($E231&amp;$F231,'Malaria-Equipment &amp; Other HPs'!$E$130:$E$230&amp;'Malaria-Equipment &amp; Other HPs'!$H$130:$H$230,0)),0)</f>
        <v>0</v>
      </c>
      <c r="S231" s="25">
        <f t="shared" si="258"/>
        <v>0</v>
      </c>
      <c r="T231" s="25">
        <f t="shared" si="259"/>
        <v>0</v>
      </c>
      <c r="U231" s="25">
        <f t="shared" si="260"/>
        <v>0</v>
      </c>
      <c r="V231" s="26">
        <f t="array" ref="V231">IFERROR(INDEX('Malaria-Equipment &amp; Other HPs'!$R$130:$R$230,MATCH($E231&amp;$F231,'Malaria-Equipment &amp; Other HPs'!$E$130:$E$230&amp;'Malaria-Equipment &amp; Other HPs'!$H$130:$H$230,0)),0)</f>
        <v>0</v>
      </c>
      <c r="W231" s="25">
        <f t="shared" si="261"/>
        <v>0</v>
      </c>
      <c r="X231" s="25">
        <f t="shared" si="262"/>
        <v>0</v>
      </c>
      <c r="Y231" s="25">
        <f t="shared" si="263"/>
        <v>0</v>
      </c>
      <c r="Z231" s="680"/>
      <c r="AA231" s="26">
        <f t="array" ref="AA231">IFERROR(INDEX('Malaria-Equipment &amp; Other HPs'!$U$130:$U$230,MATCH($E231&amp;$F231,'Malaria-Equipment &amp; Other HPs'!$E$130:$E$230&amp;'Malaria-Equipment &amp; Other HPs'!$H$130:$H$230,0)),0)</f>
        <v>0</v>
      </c>
      <c r="AB231" s="26">
        <f t="array" ref="AB231">IFERROR(INDEX('Malaria-Equipment &amp; Other HPs'!$V$130:$V$230,MATCH($E231&amp;$F231,'Malaria-Equipment &amp; Other HPs'!$E$130:$E$230&amp;'Malaria-Equipment &amp; Other HPs'!$H$130:$H$230,0)),0)</f>
        <v>0</v>
      </c>
      <c r="AC231" s="26">
        <f t="shared" si="264"/>
        <v>0</v>
      </c>
      <c r="AD231" s="25">
        <f t="shared" si="265"/>
        <v>0</v>
      </c>
      <c r="AE231" s="25">
        <f t="shared" si="266"/>
        <v>0</v>
      </c>
      <c r="AF231" s="26">
        <f t="array" ref="AF231">IFERROR(INDEX('Malaria-Equipment &amp; Other HPs'!$W$130:$W$230,MATCH($E231&amp;$F231,'Malaria-Equipment &amp; Other HPs'!$E$130:$E$230&amp;'Malaria-Equipment &amp; Other HPs'!$H$130:$H$230,0)),0)</f>
        <v>0</v>
      </c>
      <c r="AG231" s="26">
        <f t="shared" si="267"/>
        <v>0</v>
      </c>
      <c r="AH231" s="25">
        <f t="shared" si="268"/>
        <v>0</v>
      </c>
      <c r="AI231" s="25">
        <f t="shared" si="269"/>
        <v>0</v>
      </c>
      <c r="AJ231" s="26">
        <f t="array" ref="AJ231">IFERROR(INDEX('Malaria-Equipment &amp; Other HPs'!$X$130:$X$230,MATCH($E231&amp;$F231,'Malaria-Equipment &amp; Other HPs'!$E$130:$E$230&amp;'Malaria-Equipment &amp; Other HPs'!$H$130:$H$230,0)),0)</f>
        <v>0</v>
      </c>
      <c r="AK231" s="26">
        <f t="shared" si="270"/>
        <v>0</v>
      </c>
      <c r="AL231" s="25">
        <f t="shared" si="271"/>
        <v>0</v>
      </c>
      <c r="AM231" s="25">
        <f t="shared" si="272"/>
        <v>0</v>
      </c>
      <c r="AN231" s="26">
        <f t="array" ref="AN231">IFERROR(INDEX('Malaria-Equipment &amp; Other HPs'!$Y$130:$Y$230,MATCH($E231&amp;$F231,'Malaria-Equipment &amp; Other HPs'!$E$130:$E$230&amp;'Malaria-Equipment &amp; Other HPs'!$H$130:$H$230,0)),0)</f>
        <v>0</v>
      </c>
      <c r="AO231" s="26">
        <f t="shared" si="273"/>
        <v>0</v>
      </c>
      <c r="AP231" s="25">
        <f t="shared" si="274"/>
        <v>0</v>
      </c>
      <c r="AQ231" s="25">
        <f t="shared" si="275"/>
        <v>0</v>
      </c>
      <c r="AR231" s="680"/>
      <c r="AS231" s="26">
        <f t="array" ref="AS231">IFERROR(INDEX('Malaria-Equipment &amp; Other HPs'!$AB$130:$AB$230,MATCH($E231&amp;$F231,'Malaria-Equipment &amp; Other HPs'!$E$130:$E$230&amp;'Malaria-Equipment &amp; Other HPs'!$H$130:$H$230,0)),0)</f>
        <v>0</v>
      </c>
      <c r="AT231" s="26">
        <f t="array" ref="AT231">IFERROR(INDEX('Malaria-Equipment &amp; Other HPs'!$AC$130:$AC$230,MATCH($E231&amp;$F231,'Malaria-Equipment &amp; Other HPs'!$E$130:$E$230&amp;'Malaria-Equipment &amp; Other HPs'!$H$130:$H$230,0)),0)</f>
        <v>0</v>
      </c>
      <c r="AU231" s="26">
        <f t="shared" si="276"/>
        <v>0</v>
      </c>
      <c r="AV231" s="25">
        <f t="shared" si="277"/>
        <v>0</v>
      </c>
      <c r="AW231" s="25">
        <f t="shared" si="278"/>
        <v>0</v>
      </c>
      <c r="AX231" s="26">
        <f t="array" ref="AX231">IFERROR(INDEX('Malaria-Equipment &amp; Other HPs'!$AD$130:$AD$230,MATCH($E231&amp;$F231,'Malaria-Equipment &amp; Other HPs'!$E$130:$E$230&amp;'Malaria-Equipment &amp; Other HPs'!$H$130:$H$230,0)),0)</f>
        <v>0</v>
      </c>
      <c r="AY231" s="26">
        <f t="shared" si="279"/>
        <v>0</v>
      </c>
      <c r="AZ231" s="25">
        <f t="shared" si="280"/>
        <v>0</v>
      </c>
      <c r="BA231" s="25">
        <f t="shared" si="281"/>
        <v>0</v>
      </c>
      <c r="BB231" s="26">
        <f t="array" ref="BB231">IFERROR(INDEX('Malaria-Equipment &amp; Other HPs'!$AE$130:$AE$230,MATCH($E231&amp;$F231,'Malaria-Equipment &amp; Other HPs'!$E$130:$E$230&amp;'Malaria-Equipment &amp; Other HPs'!$H$130:$H$230,0)),0)</f>
        <v>0</v>
      </c>
      <c r="BC231" s="26">
        <f t="shared" si="282"/>
        <v>0</v>
      </c>
      <c r="BD231" s="25">
        <f t="shared" si="283"/>
        <v>0</v>
      </c>
      <c r="BE231" s="25">
        <f t="shared" si="284"/>
        <v>0</v>
      </c>
      <c r="BF231" s="26">
        <f t="array" ref="BF231">IFERROR(INDEX('Malaria-Equipment &amp; Other HPs'!$AF$130:$AF$230,MATCH($E231&amp;$F231,'Malaria-Equipment &amp; Other HPs'!$E$130:$E$230&amp;'Malaria-Equipment &amp; Other HPs'!$H$130:$H$230,0)),0)</f>
        <v>0</v>
      </c>
      <c r="BG231" s="26">
        <f t="shared" si="285"/>
        <v>0</v>
      </c>
      <c r="BH231" s="25">
        <f t="shared" si="286"/>
        <v>0</v>
      </c>
      <c r="BI231" s="25">
        <f t="shared" si="287"/>
        <v>0</v>
      </c>
      <c r="BJ231" s="680"/>
      <c r="BK231" s="26"/>
      <c r="BL231" s="26"/>
      <c r="BM231" s="26"/>
      <c r="BN231" s="26"/>
      <c r="BO231" s="26"/>
      <c r="BP231" s="26"/>
      <c r="BQ231" s="26"/>
      <c r="BR231" s="26"/>
      <c r="BT231" s="21" t="s">
        <v>6843</v>
      </c>
    </row>
    <row r="232" spans="1:72">
      <c r="A232" s="29" t="s">
        <v>538</v>
      </c>
      <c r="B232" s="29" t="s">
        <v>1550</v>
      </c>
      <c r="C232" s="626">
        <f>SETUP!$F$58</f>
        <v>0</v>
      </c>
      <c r="D232" s="25">
        <v>6.5</v>
      </c>
      <c r="E232" s="26" t="s">
        <v>1210</v>
      </c>
      <c r="F232" s="26" t="s">
        <v>218</v>
      </c>
      <c r="G232" s="26" t="str">
        <f t="array" ref="G232">IFERROR(INDEX('Malaria-Equipment &amp; Other HPs'!$L$130:$L$230,MATCH($E232&amp;$F232,'Malaria-Equipment &amp; Other HPs'!$E$130:$E$230&amp;'Malaria-Equipment &amp; Other HPs'!$H$130:$H$230,0)),"")</f>
        <v/>
      </c>
      <c r="H232" s="26" t="str">
        <f t="array" ref="H232">IFERROR(INDEX('Malaria-Equipment &amp; Other HPs'!$M$130:$M$230,MATCH($E232&amp;$F232,'Malaria-Equipment &amp; Other HPs'!$E$130:$E$230&amp;'Malaria-Equipment &amp; Other HPs'!$H$130:$H$230,0)),"")</f>
        <v/>
      </c>
      <c r="I232" s="26">
        <f t="array" ref="I232">IFERROR(INDEX('Malaria-Equipment &amp; Other HPs'!$N$130:$N$230,MATCH($E232&amp;$F232,'Malaria-Equipment &amp; Other HPs'!$E$130:$E$230&amp;'Malaria-Equipment &amp; Other HPs'!$H$130:$H$230,0)),0)</f>
        <v>0</v>
      </c>
      <c r="J232" s="26">
        <f t="array" ref="J232">IFERROR(INDEX('Malaria-Equipment &amp; Other HPs'!$O$130:$O$230,MATCH($E232&amp;$F232,'Malaria-Equipment &amp; Other HPs'!$E$130:$E$230&amp;'Malaria-Equipment &amp; Other HPs'!$H$130:$H$230,0)),0)</f>
        <v>0</v>
      </c>
      <c r="K232" s="25">
        <f t="shared" si="252"/>
        <v>0</v>
      </c>
      <c r="L232" s="25">
        <f t="shared" si="253"/>
        <v>0</v>
      </c>
      <c r="M232" s="25">
        <f t="shared" si="254"/>
        <v>0</v>
      </c>
      <c r="N232" s="26">
        <f t="array" ref="N232">IFERROR(INDEX('Malaria-Equipment &amp; Other HPs'!$P$130:$P$230,MATCH($E232&amp;$F232,'Malaria-Equipment &amp; Other HPs'!$E$130:$E$230&amp;'Malaria-Equipment &amp; Other HPs'!$H$130:$H$230,0)),0)</f>
        <v>0</v>
      </c>
      <c r="O232" s="25">
        <f t="shared" si="255"/>
        <v>0</v>
      </c>
      <c r="P232" s="25">
        <f t="shared" si="256"/>
        <v>0</v>
      </c>
      <c r="Q232" s="25">
        <f t="shared" si="257"/>
        <v>0</v>
      </c>
      <c r="R232" s="26">
        <f t="array" ref="R232">IFERROR(INDEX('Malaria-Equipment &amp; Other HPs'!$Q$130:$Q$230,MATCH($E232&amp;$F232,'Malaria-Equipment &amp; Other HPs'!$E$130:$E$230&amp;'Malaria-Equipment &amp; Other HPs'!$H$130:$H$230,0)),0)</f>
        <v>0</v>
      </c>
      <c r="S232" s="25">
        <f t="shared" si="258"/>
        <v>0</v>
      </c>
      <c r="T232" s="25">
        <f t="shared" si="259"/>
        <v>0</v>
      </c>
      <c r="U232" s="25">
        <f t="shared" si="260"/>
        <v>0</v>
      </c>
      <c r="V232" s="26">
        <f t="array" ref="V232">IFERROR(INDEX('Malaria-Equipment &amp; Other HPs'!$R$130:$R$230,MATCH($E232&amp;$F232,'Malaria-Equipment &amp; Other HPs'!$E$130:$E$230&amp;'Malaria-Equipment &amp; Other HPs'!$H$130:$H$230,0)),0)</f>
        <v>0</v>
      </c>
      <c r="W232" s="25">
        <f t="shared" si="261"/>
        <v>0</v>
      </c>
      <c r="X232" s="25">
        <f t="shared" si="262"/>
        <v>0</v>
      </c>
      <c r="Y232" s="25">
        <f t="shared" si="263"/>
        <v>0</v>
      </c>
      <c r="Z232" s="680"/>
      <c r="AA232" s="26">
        <f t="array" ref="AA232">IFERROR(INDEX('Malaria-Equipment &amp; Other HPs'!$U$130:$U$230,MATCH($E232&amp;$F232,'Malaria-Equipment &amp; Other HPs'!$E$130:$E$230&amp;'Malaria-Equipment &amp; Other HPs'!$H$130:$H$230,0)),0)</f>
        <v>0</v>
      </c>
      <c r="AB232" s="26">
        <f t="array" ref="AB232">IFERROR(INDEX('Malaria-Equipment &amp; Other HPs'!$V$130:$V$230,MATCH($E232&amp;$F232,'Malaria-Equipment &amp; Other HPs'!$E$130:$E$230&amp;'Malaria-Equipment &amp; Other HPs'!$H$130:$H$230,0)),0)</f>
        <v>0</v>
      </c>
      <c r="AC232" s="26">
        <f t="shared" si="264"/>
        <v>0</v>
      </c>
      <c r="AD232" s="25">
        <f t="shared" si="265"/>
        <v>0</v>
      </c>
      <c r="AE232" s="25">
        <f t="shared" si="266"/>
        <v>0</v>
      </c>
      <c r="AF232" s="26">
        <f t="array" ref="AF232">IFERROR(INDEX('Malaria-Equipment &amp; Other HPs'!$W$130:$W$230,MATCH($E232&amp;$F232,'Malaria-Equipment &amp; Other HPs'!$E$130:$E$230&amp;'Malaria-Equipment &amp; Other HPs'!$H$130:$H$230,0)),0)</f>
        <v>0</v>
      </c>
      <c r="AG232" s="26">
        <f t="shared" si="267"/>
        <v>0</v>
      </c>
      <c r="AH232" s="25">
        <f t="shared" si="268"/>
        <v>0</v>
      </c>
      <c r="AI232" s="25">
        <f t="shared" si="269"/>
        <v>0</v>
      </c>
      <c r="AJ232" s="26">
        <f t="array" ref="AJ232">IFERROR(INDEX('Malaria-Equipment &amp; Other HPs'!$X$130:$X$230,MATCH($E232&amp;$F232,'Malaria-Equipment &amp; Other HPs'!$E$130:$E$230&amp;'Malaria-Equipment &amp; Other HPs'!$H$130:$H$230,0)),0)</f>
        <v>0</v>
      </c>
      <c r="AK232" s="26">
        <f t="shared" si="270"/>
        <v>0</v>
      </c>
      <c r="AL232" s="25">
        <f t="shared" si="271"/>
        <v>0</v>
      </c>
      <c r="AM232" s="25">
        <f t="shared" si="272"/>
        <v>0</v>
      </c>
      <c r="AN232" s="26">
        <f t="array" ref="AN232">IFERROR(INDEX('Malaria-Equipment &amp; Other HPs'!$Y$130:$Y$230,MATCH($E232&amp;$F232,'Malaria-Equipment &amp; Other HPs'!$E$130:$E$230&amp;'Malaria-Equipment &amp; Other HPs'!$H$130:$H$230,0)),0)</f>
        <v>0</v>
      </c>
      <c r="AO232" s="26">
        <f t="shared" si="273"/>
        <v>0</v>
      </c>
      <c r="AP232" s="25">
        <f t="shared" si="274"/>
        <v>0</v>
      </c>
      <c r="AQ232" s="25">
        <f t="shared" si="275"/>
        <v>0</v>
      </c>
      <c r="AR232" s="680"/>
      <c r="AS232" s="26">
        <f t="array" ref="AS232">IFERROR(INDEX('Malaria-Equipment &amp; Other HPs'!$AB$130:$AB$230,MATCH($E232&amp;$F232,'Malaria-Equipment &amp; Other HPs'!$E$130:$E$230&amp;'Malaria-Equipment &amp; Other HPs'!$H$130:$H$230,0)),0)</f>
        <v>0</v>
      </c>
      <c r="AT232" s="26">
        <f t="array" ref="AT232">IFERROR(INDEX('Malaria-Equipment &amp; Other HPs'!$AC$130:$AC$230,MATCH($E232&amp;$F232,'Malaria-Equipment &amp; Other HPs'!$E$130:$E$230&amp;'Malaria-Equipment &amp; Other HPs'!$H$130:$H$230,0)),0)</f>
        <v>0</v>
      </c>
      <c r="AU232" s="26">
        <f t="shared" si="276"/>
        <v>0</v>
      </c>
      <c r="AV232" s="25">
        <f t="shared" si="277"/>
        <v>0</v>
      </c>
      <c r="AW232" s="25">
        <f t="shared" si="278"/>
        <v>0</v>
      </c>
      <c r="AX232" s="26">
        <f t="array" ref="AX232">IFERROR(INDEX('Malaria-Equipment &amp; Other HPs'!$AD$130:$AD$230,MATCH($E232&amp;$F232,'Malaria-Equipment &amp; Other HPs'!$E$130:$E$230&amp;'Malaria-Equipment &amp; Other HPs'!$H$130:$H$230,0)),0)</f>
        <v>0</v>
      </c>
      <c r="AY232" s="26">
        <f t="shared" si="279"/>
        <v>0</v>
      </c>
      <c r="AZ232" s="25">
        <f t="shared" si="280"/>
        <v>0</v>
      </c>
      <c r="BA232" s="25">
        <f t="shared" si="281"/>
        <v>0</v>
      </c>
      <c r="BB232" s="26">
        <f t="array" ref="BB232">IFERROR(INDEX('Malaria-Equipment &amp; Other HPs'!$AE$130:$AE$230,MATCH($E232&amp;$F232,'Malaria-Equipment &amp; Other HPs'!$E$130:$E$230&amp;'Malaria-Equipment &amp; Other HPs'!$H$130:$H$230,0)),0)</f>
        <v>0</v>
      </c>
      <c r="BC232" s="26">
        <f t="shared" si="282"/>
        <v>0</v>
      </c>
      <c r="BD232" s="25">
        <f t="shared" si="283"/>
        <v>0</v>
      </c>
      <c r="BE232" s="25">
        <f t="shared" si="284"/>
        <v>0</v>
      </c>
      <c r="BF232" s="26">
        <f t="array" ref="BF232">IFERROR(INDEX('Malaria-Equipment &amp; Other HPs'!$AF$130:$AF$230,MATCH($E232&amp;$F232,'Malaria-Equipment &amp; Other HPs'!$E$130:$E$230&amp;'Malaria-Equipment &amp; Other HPs'!$H$130:$H$230,0)),0)</f>
        <v>0</v>
      </c>
      <c r="BG232" s="26">
        <f t="shared" si="285"/>
        <v>0</v>
      </c>
      <c r="BH232" s="25">
        <f t="shared" si="286"/>
        <v>0</v>
      </c>
      <c r="BI232" s="25">
        <f t="shared" si="287"/>
        <v>0</v>
      </c>
      <c r="BJ232" s="680"/>
      <c r="BK232" s="26"/>
      <c r="BL232" s="26"/>
      <c r="BM232" s="26"/>
      <c r="BN232" s="26"/>
      <c r="BO232" s="26"/>
      <c r="BP232" s="26"/>
      <c r="BQ232" s="26"/>
      <c r="BR232" s="26"/>
      <c r="BT232" s="21" t="s">
        <v>6844</v>
      </c>
    </row>
    <row r="233" spans="1:72">
      <c r="A233" s="29" t="s">
        <v>538</v>
      </c>
      <c r="B233" s="29" t="s">
        <v>1550</v>
      </c>
      <c r="C233" s="626">
        <f>SETUP!$F$58</f>
        <v>0</v>
      </c>
      <c r="D233" s="25">
        <v>6.6</v>
      </c>
      <c r="E233" s="26" t="s">
        <v>1210</v>
      </c>
      <c r="F233" s="26" t="s">
        <v>201</v>
      </c>
      <c r="G233" s="26" t="str">
        <f t="array" ref="G233">IFERROR(INDEX('Malaria-Equipment &amp; Other HPs'!$L$130:$L$230,MATCH($E233&amp;$F233,'Malaria-Equipment &amp; Other HPs'!$E$130:$E$230&amp;'Malaria-Equipment &amp; Other HPs'!$H$130:$H$230,0)),"")</f>
        <v/>
      </c>
      <c r="H233" s="26" t="str">
        <f t="array" ref="H233">IFERROR(INDEX('Malaria-Equipment &amp; Other HPs'!$M$130:$M$230,MATCH($E233&amp;$F233,'Malaria-Equipment &amp; Other HPs'!$E$130:$E$230&amp;'Malaria-Equipment &amp; Other HPs'!$H$130:$H$230,0)),"")</f>
        <v/>
      </c>
      <c r="I233" s="26">
        <f t="array" ref="I233">IFERROR(INDEX('Malaria-Equipment &amp; Other HPs'!$N$130:$N$230,MATCH($E233&amp;$F233,'Malaria-Equipment &amp; Other HPs'!$E$130:$E$230&amp;'Malaria-Equipment &amp; Other HPs'!$H$130:$H$230,0)),0)</f>
        <v>0</v>
      </c>
      <c r="J233" s="26">
        <f t="array" ref="J233">IFERROR(INDEX('Malaria-Equipment &amp; Other HPs'!$O$130:$O$230,MATCH($E233&amp;$F233,'Malaria-Equipment &amp; Other HPs'!$E$130:$E$230&amp;'Malaria-Equipment &amp; Other HPs'!$H$130:$H$230,0)),0)</f>
        <v>0</v>
      </c>
      <c r="K233" s="25">
        <f t="shared" si="252"/>
        <v>0</v>
      </c>
      <c r="L233" s="25">
        <f t="shared" si="253"/>
        <v>0</v>
      </c>
      <c r="M233" s="25">
        <f t="shared" si="254"/>
        <v>0</v>
      </c>
      <c r="N233" s="26">
        <f t="array" ref="N233">IFERROR(INDEX('Malaria-Equipment &amp; Other HPs'!$P$130:$P$230,MATCH($E233&amp;$F233,'Malaria-Equipment &amp; Other HPs'!$E$130:$E$230&amp;'Malaria-Equipment &amp; Other HPs'!$H$130:$H$230,0)),0)</f>
        <v>0</v>
      </c>
      <c r="O233" s="25">
        <f t="shared" si="255"/>
        <v>0</v>
      </c>
      <c r="P233" s="25">
        <f t="shared" si="256"/>
        <v>0</v>
      </c>
      <c r="Q233" s="25">
        <f t="shared" si="257"/>
        <v>0</v>
      </c>
      <c r="R233" s="26">
        <f t="array" ref="R233">IFERROR(INDEX('Malaria-Equipment &amp; Other HPs'!$Q$130:$Q$230,MATCH($E233&amp;$F233,'Malaria-Equipment &amp; Other HPs'!$E$130:$E$230&amp;'Malaria-Equipment &amp; Other HPs'!$H$130:$H$230,0)),0)</f>
        <v>0</v>
      </c>
      <c r="S233" s="25">
        <f t="shared" si="258"/>
        <v>0</v>
      </c>
      <c r="T233" s="25">
        <f t="shared" si="259"/>
        <v>0</v>
      </c>
      <c r="U233" s="25">
        <f t="shared" si="260"/>
        <v>0</v>
      </c>
      <c r="V233" s="26">
        <f t="array" ref="V233">IFERROR(INDEX('Malaria-Equipment &amp; Other HPs'!$R$130:$R$230,MATCH($E233&amp;$F233,'Malaria-Equipment &amp; Other HPs'!$E$130:$E$230&amp;'Malaria-Equipment &amp; Other HPs'!$H$130:$H$230,0)),0)</f>
        <v>0</v>
      </c>
      <c r="W233" s="25">
        <f t="shared" si="261"/>
        <v>0</v>
      </c>
      <c r="X233" s="25">
        <f t="shared" si="262"/>
        <v>0</v>
      </c>
      <c r="Y233" s="25">
        <f t="shared" si="263"/>
        <v>0</v>
      </c>
      <c r="Z233" s="680"/>
      <c r="AA233" s="26">
        <f t="array" ref="AA233">IFERROR(INDEX('Malaria-Equipment &amp; Other HPs'!$U$130:$U$230,MATCH($E233&amp;$F233,'Malaria-Equipment &amp; Other HPs'!$E$130:$E$230&amp;'Malaria-Equipment &amp; Other HPs'!$H$130:$H$230,0)),0)</f>
        <v>0</v>
      </c>
      <c r="AB233" s="26">
        <f t="array" ref="AB233">IFERROR(INDEX('Malaria-Equipment &amp; Other HPs'!$V$130:$V$230,MATCH($E233&amp;$F233,'Malaria-Equipment &amp; Other HPs'!$E$130:$E$230&amp;'Malaria-Equipment &amp; Other HPs'!$H$130:$H$230,0)),0)</f>
        <v>0</v>
      </c>
      <c r="AC233" s="26">
        <f t="shared" si="264"/>
        <v>0</v>
      </c>
      <c r="AD233" s="25">
        <f t="shared" si="265"/>
        <v>0</v>
      </c>
      <c r="AE233" s="25">
        <f t="shared" si="266"/>
        <v>0</v>
      </c>
      <c r="AF233" s="26">
        <f t="array" ref="AF233">IFERROR(INDEX('Malaria-Equipment &amp; Other HPs'!$W$130:$W$230,MATCH($E233&amp;$F233,'Malaria-Equipment &amp; Other HPs'!$E$130:$E$230&amp;'Malaria-Equipment &amp; Other HPs'!$H$130:$H$230,0)),0)</f>
        <v>0</v>
      </c>
      <c r="AG233" s="26">
        <f t="shared" si="267"/>
        <v>0</v>
      </c>
      <c r="AH233" s="25">
        <f t="shared" si="268"/>
        <v>0</v>
      </c>
      <c r="AI233" s="25">
        <f t="shared" si="269"/>
        <v>0</v>
      </c>
      <c r="AJ233" s="26">
        <f t="array" ref="AJ233">IFERROR(INDEX('Malaria-Equipment &amp; Other HPs'!$X$130:$X$230,MATCH($E233&amp;$F233,'Malaria-Equipment &amp; Other HPs'!$E$130:$E$230&amp;'Malaria-Equipment &amp; Other HPs'!$H$130:$H$230,0)),0)</f>
        <v>0</v>
      </c>
      <c r="AK233" s="26">
        <f t="shared" si="270"/>
        <v>0</v>
      </c>
      <c r="AL233" s="25">
        <f t="shared" si="271"/>
        <v>0</v>
      </c>
      <c r="AM233" s="25">
        <f t="shared" si="272"/>
        <v>0</v>
      </c>
      <c r="AN233" s="26">
        <f t="array" ref="AN233">IFERROR(INDEX('Malaria-Equipment &amp; Other HPs'!$Y$130:$Y$230,MATCH($E233&amp;$F233,'Malaria-Equipment &amp; Other HPs'!$E$130:$E$230&amp;'Malaria-Equipment &amp; Other HPs'!$H$130:$H$230,0)),0)</f>
        <v>0</v>
      </c>
      <c r="AO233" s="26">
        <f t="shared" si="273"/>
        <v>0</v>
      </c>
      <c r="AP233" s="25">
        <f t="shared" si="274"/>
        <v>0</v>
      </c>
      <c r="AQ233" s="25">
        <f t="shared" si="275"/>
        <v>0</v>
      </c>
      <c r="AR233" s="680"/>
      <c r="AS233" s="26">
        <f t="array" ref="AS233">IFERROR(INDEX('Malaria-Equipment &amp; Other HPs'!$AB$130:$AB$230,MATCH($E233&amp;$F233,'Malaria-Equipment &amp; Other HPs'!$E$130:$E$230&amp;'Malaria-Equipment &amp; Other HPs'!$H$130:$H$230,0)),0)</f>
        <v>0</v>
      </c>
      <c r="AT233" s="26">
        <f t="array" ref="AT233">IFERROR(INDEX('Malaria-Equipment &amp; Other HPs'!$AC$130:$AC$230,MATCH($E233&amp;$F233,'Malaria-Equipment &amp; Other HPs'!$E$130:$E$230&amp;'Malaria-Equipment &amp; Other HPs'!$H$130:$H$230,0)),0)</f>
        <v>0</v>
      </c>
      <c r="AU233" s="26">
        <f t="shared" si="276"/>
        <v>0</v>
      </c>
      <c r="AV233" s="25">
        <f t="shared" si="277"/>
        <v>0</v>
      </c>
      <c r="AW233" s="25">
        <f t="shared" si="278"/>
        <v>0</v>
      </c>
      <c r="AX233" s="26">
        <f t="array" ref="AX233">IFERROR(INDEX('Malaria-Equipment &amp; Other HPs'!$AD$130:$AD$230,MATCH($E233&amp;$F233,'Malaria-Equipment &amp; Other HPs'!$E$130:$E$230&amp;'Malaria-Equipment &amp; Other HPs'!$H$130:$H$230,0)),0)</f>
        <v>0</v>
      </c>
      <c r="AY233" s="26">
        <f t="shared" si="279"/>
        <v>0</v>
      </c>
      <c r="AZ233" s="25">
        <f t="shared" si="280"/>
        <v>0</v>
      </c>
      <c r="BA233" s="25">
        <f t="shared" si="281"/>
        <v>0</v>
      </c>
      <c r="BB233" s="26">
        <f t="array" ref="BB233">IFERROR(INDEX('Malaria-Equipment &amp; Other HPs'!$AE$130:$AE$230,MATCH($E233&amp;$F233,'Malaria-Equipment &amp; Other HPs'!$E$130:$E$230&amp;'Malaria-Equipment &amp; Other HPs'!$H$130:$H$230,0)),0)</f>
        <v>0</v>
      </c>
      <c r="BC233" s="26">
        <f t="shared" si="282"/>
        <v>0</v>
      </c>
      <c r="BD233" s="25">
        <f t="shared" si="283"/>
        <v>0</v>
      </c>
      <c r="BE233" s="25">
        <f t="shared" si="284"/>
        <v>0</v>
      </c>
      <c r="BF233" s="26">
        <f t="array" ref="BF233">IFERROR(INDEX('Malaria-Equipment &amp; Other HPs'!$AF$130:$AF$230,MATCH($E233&amp;$F233,'Malaria-Equipment &amp; Other HPs'!$E$130:$E$230&amp;'Malaria-Equipment &amp; Other HPs'!$H$130:$H$230,0)),0)</f>
        <v>0</v>
      </c>
      <c r="BG233" s="26">
        <f t="shared" si="285"/>
        <v>0</v>
      </c>
      <c r="BH233" s="25">
        <f t="shared" si="286"/>
        <v>0</v>
      </c>
      <c r="BI233" s="25">
        <f t="shared" si="287"/>
        <v>0</v>
      </c>
      <c r="BJ233" s="680"/>
      <c r="BK233" s="26"/>
      <c r="BL233" s="26"/>
      <c r="BM233" s="26"/>
      <c r="BN233" s="26"/>
      <c r="BO233" s="26"/>
      <c r="BP233" s="26"/>
      <c r="BQ233" s="26"/>
      <c r="BR233" s="26"/>
      <c r="BT233" s="21" t="s">
        <v>6845</v>
      </c>
    </row>
    <row r="234" spans="1:72">
      <c r="A234" s="29" t="s">
        <v>538</v>
      </c>
      <c r="B234" s="29" t="s">
        <v>1550</v>
      </c>
      <c r="C234" s="626">
        <f>SETUP!$F$58</f>
        <v>0</v>
      </c>
      <c r="D234" s="25">
        <v>6.6</v>
      </c>
      <c r="E234" s="26" t="s">
        <v>1210</v>
      </c>
      <c r="F234" s="26" t="s">
        <v>200</v>
      </c>
      <c r="G234" s="26" t="str">
        <f t="array" ref="G234">IFERROR(INDEX('Malaria-Equipment &amp; Other HPs'!$L$130:$L$230,MATCH($E234&amp;$F234,'Malaria-Equipment &amp; Other HPs'!$E$130:$E$230&amp;'Malaria-Equipment &amp; Other HPs'!$H$130:$H$230,0)),"")</f>
        <v/>
      </c>
      <c r="H234" s="26" t="str">
        <f t="array" ref="H234">IFERROR(INDEX('Malaria-Equipment &amp; Other HPs'!$M$130:$M$230,MATCH($E234&amp;$F234,'Malaria-Equipment &amp; Other HPs'!$E$130:$E$230&amp;'Malaria-Equipment &amp; Other HPs'!$H$130:$H$230,0)),"")</f>
        <v/>
      </c>
      <c r="I234" s="26">
        <f t="array" ref="I234">IFERROR(INDEX('Malaria-Equipment &amp; Other HPs'!$N$130:$N$230,MATCH($E234&amp;$F234,'Malaria-Equipment &amp; Other HPs'!$E$130:$E$230&amp;'Malaria-Equipment &amp; Other HPs'!$H$130:$H$230,0)),0)</f>
        <v>0</v>
      </c>
      <c r="J234" s="26">
        <f t="array" ref="J234">IFERROR(INDEX('Malaria-Equipment &amp; Other HPs'!$O$130:$O$230,MATCH($E234&amp;$F234,'Malaria-Equipment &amp; Other HPs'!$E$130:$E$230&amp;'Malaria-Equipment &amp; Other HPs'!$H$130:$H$230,0)),0)</f>
        <v>0</v>
      </c>
      <c r="K234" s="25">
        <f t="shared" si="252"/>
        <v>0</v>
      </c>
      <c r="L234" s="25">
        <f t="shared" si="253"/>
        <v>0</v>
      </c>
      <c r="M234" s="25">
        <f t="shared" si="254"/>
        <v>0</v>
      </c>
      <c r="N234" s="26">
        <f t="array" ref="N234">IFERROR(INDEX('Malaria-Equipment &amp; Other HPs'!$P$130:$P$230,MATCH($E234&amp;$F234,'Malaria-Equipment &amp; Other HPs'!$E$130:$E$230&amp;'Malaria-Equipment &amp; Other HPs'!$H$130:$H$230,0)),0)</f>
        <v>0</v>
      </c>
      <c r="O234" s="25">
        <f t="shared" si="255"/>
        <v>0</v>
      </c>
      <c r="P234" s="25">
        <f t="shared" si="256"/>
        <v>0</v>
      </c>
      <c r="Q234" s="25">
        <f t="shared" si="257"/>
        <v>0</v>
      </c>
      <c r="R234" s="26">
        <f t="array" ref="R234">IFERROR(INDEX('Malaria-Equipment &amp; Other HPs'!$Q$130:$Q$230,MATCH($E234&amp;$F234,'Malaria-Equipment &amp; Other HPs'!$E$130:$E$230&amp;'Malaria-Equipment &amp; Other HPs'!$H$130:$H$230,0)),0)</f>
        <v>0</v>
      </c>
      <c r="S234" s="25">
        <f t="shared" si="258"/>
        <v>0</v>
      </c>
      <c r="T234" s="25">
        <f t="shared" si="259"/>
        <v>0</v>
      </c>
      <c r="U234" s="25">
        <f t="shared" si="260"/>
        <v>0</v>
      </c>
      <c r="V234" s="26">
        <f t="array" ref="V234">IFERROR(INDEX('Malaria-Equipment &amp; Other HPs'!$R$130:$R$230,MATCH($E234&amp;$F234,'Malaria-Equipment &amp; Other HPs'!$E$130:$E$230&amp;'Malaria-Equipment &amp; Other HPs'!$H$130:$H$230,0)),0)</f>
        <v>0</v>
      </c>
      <c r="W234" s="25">
        <f t="shared" si="261"/>
        <v>0</v>
      </c>
      <c r="X234" s="25">
        <f t="shared" si="262"/>
        <v>0</v>
      </c>
      <c r="Y234" s="25">
        <f t="shared" si="263"/>
        <v>0</v>
      </c>
      <c r="Z234" s="680"/>
      <c r="AA234" s="26">
        <f t="array" ref="AA234">IFERROR(INDEX('Malaria-Equipment &amp; Other HPs'!$U$130:$U$230,MATCH($E234&amp;$F234,'Malaria-Equipment &amp; Other HPs'!$E$130:$E$230&amp;'Malaria-Equipment &amp; Other HPs'!$H$130:$H$230,0)),0)</f>
        <v>0</v>
      </c>
      <c r="AB234" s="26">
        <f t="array" ref="AB234">IFERROR(INDEX('Malaria-Equipment &amp; Other HPs'!$V$130:$V$230,MATCH($E234&amp;$F234,'Malaria-Equipment &amp; Other HPs'!$E$130:$E$230&amp;'Malaria-Equipment &amp; Other HPs'!$H$130:$H$230,0)),0)</f>
        <v>0</v>
      </c>
      <c r="AC234" s="26">
        <f t="shared" si="264"/>
        <v>0</v>
      </c>
      <c r="AD234" s="25">
        <f t="shared" si="265"/>
        <v>0</v>
      </c>
      <c r="AE234" s="25">
        <f t="shared" si="266"/>
        <v>0</v>
      </c>
      <c r="AF234" s="26">
        <f t="array" ref="AF234">IFERROR(INDEX('Malaria-Equipment &amp; Other HPs'!$W$130:$W$230,MATCH($E234&amp;$F234,'Malaria-Equipment &amp; Other HPs'!$E$130:$E$230&amp;'Malaria-Equipment &amp; Other HPs'!$H$130:$H$230,0)),0)</f>
        <v>0</v>
      </c>
      <c r="AG234" s="26">
        <f t="shared" si="267"/>
        <v>0</v>
      </c>
      <c r="AH234" s="25">
        <f t="shared" si="268"/>
        <v>0</v>
      </c>
      <c r="AI234" s="25">
        <f t="shared" si="269"/>
        <v>0</v>
      </c>
      <c r="AJ234" s="26">
        <f t="array" ref="AJ234">IFERROR(INDEX('Malaria-Equipment &amp; Other HPs'!$X$130:$X$230,MATCH($E234&amp;$F234,'Malaria-Equipment &amp; Other HPs'!$E$130:$E$230&amp;'Malaria-Equipment &amp; Other HPs'!$H$130:$H$230,0)),0)</f>
        <v>0</v>
      </c>
      <c r="AK234" s="26">
        <f t="shared" si="270"/>
        <v>0</v>
      </c>
      <c r="AL234" s="25">
        <f t="shared" si="271"/>
        <v>0</v>
      </c>
      <c r="AM234" s="25">
        <f t="shared" si="272"/>
        <v>0</v>
      </c>
      <c r="AN234" s="26">
        <f t="array" ref="AN234">IFERROR(INDEX('Malaria-Equipment &amp; Other HPs'!$Y$130:$Y$230,MATCH($E234&amp;$F234,'Malaria-Equipment &amp; Other HPs'!$E$130:$E$230&amp;'Malaria-Equipment &amp; Other HPs'!$H$130:$H$230,0)),0)</f>
        <v>0</v>
      </c>
      <c r="AO234" s="26">
        <f t="shared" si="273"/>
        <v>0</v>
      </c>
      <c r="AP234" s="25">
        <f t="shared" si="274"/>
        <v>0</v>
      </c>
      <c r="AQ234" s="25">
        <f t="shared" si="275"/>
        <v>0</v>
      </c>
      <c r="AR234" s="680"/>
      <c r="AS234" s="26">
        <f t="array" ref="AS234">IFERROR(INDEX('Malaria-Equipment &amp; Other HPs'!$AB$130:$AB$230,MATCH($E234&amp;$F234,'Malaria-Equipment &amp; Other HPs'!$E$130:$E$230&amp;'Malaria-Equipment &amp; Other HPs'!$H$130:$H$230,0)),0)</f>
        <v>0</v>
      </c>
      <c r="AT234" s="26">
        <f t="array" ref="AT234">IFERROR(INDEX('Malaria-Equipment &amp; Other HPs'!$AC$130:$AC$230,MATCH($E234&amp;$F234,'Malaria-Equipment &amp; Other HPs'!$E$130:$E$230&amp;'Malaria-Equipment &amp; Other HPs'!$H$130:$H$230,0)),0)</f>
        <v>0</v>
      </c>
      <c r="AU234" s="26">
        <f t="shared" si="276"/>
        <v>0</v>
      </c>
      <c r="AV234" s="25">
        <f t="shared" si="277"/>
        <v>0</v>
      </c>
      <c r="AW234" s="25">
        <f t="shared" si="278"/>
        <v>0</v>
      </c>
      <c r="AX234" s="26">
        <f t="array" ref="AX234">IFERROR(INDEX('Malaria-Equipment &amp; Other HPs'!$AD$130:$AD$230,MATCH($E234&amp;$F234,'Malaria-Equipment &amp; Other HPs'!$E$130:$E$230&amp;'Malaria-Equipment &amp; Other HPs'!$H$130:$H$230,0)),0)</f>
        <v>0</v>
      </c>
      <c r="AY234" s="26">
        <f t="shared" si="279"/>
        <v>0</v>
      </c>
      <c r="AZ234" s="25">
        <f t="shared" si="280"/>
        <v>0</v>
      </c>
      <c r="BA234" s="25">
        <f t="shared" si="281"/>
        <v>0</v>
      </c>
      <c r="BB234" s="26">
        <f t="array" ref="BB234">IFERROR(INDEX('Malaria-Equipment &amp; Other HPs'!$AE$130:$AE$230,MATCH($E234&amp;$F234,'Malaria-Equipment &amp; Other HPs'!$E$130:$E$230&amp;'Malaria-Equipment &amp; Other HPs'!$H$130:$H$230,0)),0)</f>
        <v>0</v>
      </c>
      <c r="BC234" s="26">
        <f t="shared" si="282"/>
        <v>0</v>
      </c>
      <c r="BD234" s="25">
        <f t="shared" si="283"/>
        <v>0</v>
      </c>
      <c r="BE234" s="25">
        <f t="shared" si="284"/>
        <v>0</v>
      </c>
      <c r="BF234" s="26">
        <f t="array" ref="BF234">IFERROR(INDEX('Malaria-Equipment &amp; Other HPs'!$AF$130:$AF$230,MATCH($E234&amp;$F234,'Malaria-Equipment &amp; Other HPs'!$E$130:$E$230&amp;'Malaria-Equipment &amp; Other HPs'!$H$130:$H$230,0)),0)</f>
        <v>0</v>
      </c>
      <c r="BG234" s="26">
        <f t="shared" si="285"/>
        <v>0</v>
      </c>
      <c r="BH234" s="25">
        <f t="shared" si="286"/>
        <v>0</v>
      </c>
      <c r="BI234" s="25">
        <f t="shared" si="287"/>
        <v>0</v>
      </c>
      <c r="BJ234" s="680"/>
      <c r="BK234" s="26"/>
      <c r="BL234" s="26"/>
      <c r="BM234" s="26"/>
      <c r="BN234" s="26"/>
      <c r="BO234" s="26"/>
      <c r="BP234" s="26"/>
      <c r="BQ234" s="26"/>
      <c r="BR234" s="26"/>
      <c r="BT234" s="21" t="s">
        <v>6845</v>
      </c>
    </row>
    <row r="235" spans="1:72">
      <c r="A235" s="29" t="s">
        <v>538</v>
      </c>
      <c r="B235" s="29" t="s">
        <v>1550</v>
      </c>
      <c r="C235" s="626">
        <f>SETUP!$F$58</f>
        <v>0</v>
      </c>
      <c r="D235" s="25">
        <v>6.5</v>
      </c>
      <c r="E235" s="26" t="s">
        <v>1211</v>
      </c>
      <c r="F235" s="26" t="s">
        <v>218</v>
      </c>
      <c r="G235" s="26" t="str">
        <f t="array" ref="G235">IFERROR(INDEX('Malaria-Equipment &amp; Other HPs'!$L$130:$L$230,MATCH($E235&amp;$F235,'Malaria-Equipment &amp; Other HPs'!$E$130:$E$230&amp;'Malaria-Equipment &amp; Other HPs'!$H$130:$H$230,0)),"")</f>
        <v/>
      </c>
      <c r="H235" s="26" t="str">
        <f t="array" ref="H235">IFERROR(INDEX('Malaria-Equipment &amp; Other HPs'!$M$130:$M$230,MATCH($E235&amp;$F235,'Malaria-Equipment &amp; Other HPs'!$E$130:$E$230&amp;'Malaria-Equipment &amp; Other HPs'!$H$130:$H$230,0)),"")</f>
        <v/>
      </c>
      <c r="I235" s="26">
        <f t="array" ref="I235">IFERROR(INDEX('Malaria-Equipment &amp; Other HPs'!$N$130:$N$230,MATCH($E235&amp;$F235,'Malaria-Equipment &amp; Other HPs'!$E$130:$E$230&amp;'Malaria-Equipment &amp; Other HPs'!$H$130:$H$230,0)),0)</f>
        <v>0</v>
      </c>
      <c r="J235" s="26">
        <f t="array" ref="J235">IFERROR(INDEX('Malaria-Equipment &amp; Other HPs'!$O$130:$O$230,MATCH($E235&amp;$F235,'Malaria-Equipment &amp; Other HPs'!$E$130:$E$230&amp;'Malaria-Equipment &amp; Other HPs'!$H$130:$H$230,0)),0)</f>
        <v>0</v>
      </c>
      <c r="K235" s="25">
        <f t="shared" si="252"/>
        <v>0</v>
      </c>
      <c r="L235" s="25">
        <f t="shared" si="253"/>
        <v>0</v>
      </c>
      <c r="M235" s="25">
        <f t="shared" si="254"/>
        <v>0</v>
      </c>
      <c r="N235" s="26">
        <f t="array" ref="N235">IFERROR(INDEX('Malaria-Equipment &amp; Other HPs'!$P$130:$P$230,MATCH($E235&amp;$F235,'Malaria-Equipment &amp; Other HPs'!$E$130:$E$230&amp;'Malaria-Equipment &amp; Other HPs'!$H$130:$H$230,0)),0)</f>
        <v>0</v>
      </c>
      <c r="O235" s="25">
        <f t="shared" si="255"/>
        <v>0</v>
      </c>
      <c r="P235" s="25">
        <f t="shared" si="256"/>
        <v>0</v>
      </c>
      <c r="Q235" s="25">
        <f t="shared" si="257"/>
        <v>0</v>
      </c>
      <c r="R235" s="26">
        <f t="array" ref="R235">IFERROR(INDEX('Malaria-Equipment &amp; Other HPs'!$Q$130:$Q$230,MATCH($E235&amp;$F235,'Malaria-Equipment &amp; Other HPs'!$E$130:$E$230&amp;'Malaria-Equipment &amp; Other HPs'!$H$130:$H$230,0)),0)</f>
        <v>0</v>
      </c>
      <c r="S235" s="25">
        <f t="shared" si="258"/>
        <v>0</v>
      </c>
      <c r="T235" s="25">
        <f t="shared" si="259"/>
        <v>0</v>
      </c>
      <c r="U235" s="25">
        <f t="shared" si="260"/>
        <v>0</v>
      </c>
      <c r="V235" s="26">
        <f t="array" ref="V235">IFERROR(INDEX('Malaria-Equipment &amp; Other HPs'!$R$130:$R$230,MATCH($E235&amp;$F235,'Malaria-Equipment &amp; Other HPs'!$E$130:$E$230&amp;'Malaria-Equipment &amp; Other HPs'!$H$130:$H$230,0)),0)</f>
        <v>0</v>
      </c>
      <c r="W235" s="25">
        <f t="shared" si="261"/>
        <v>0</v>
      </c>
      <c r="X235" s="25">
        <f t="shared" si="262"/>
        <v>0</v>
      </c>
      <c r="Y235" s="25">
        <f t="shared" si="263"/>
        <v>0</v>
      </c>
      <c r="Z235" s="680"/>
      <c r="AA235" s="26">
        <f t="array" ref="AA235">IFERROR(INDEX('Malaria-Equipment &amp; Other HPs'!$U$130:$U$230,MATCH($E235&amp;$F235,'Malaria-Equipment &amp; Other HPs'!$E$130:$E$230&amp;'Malaria-Equipment &amp; Other HPs'!$H$130:$H$230,0)),0)</f>
        <v>0</v>
      </c>
      <c r="AB235" s="26">
        <f t="array" ref="AB235">IFERROR(INDEX('Malaria-Equipment &amp; Other HPs'!$V$130:$V$230,MATCH($E235&amp;$F235,'Malaria-Equipment &amp; Other HPs'!$E$130:$E$230&amp;'Malaria-Equipment &amp; Other HPs'!$H$130:$H$230,0)),0)</f>
        <v>0</v>
      </c>
      <c r="AC235" s="26">
        <f t="shared" si="264"/>
        <v>0</v>
      </c>
      <c r="AD235" s="25">
        <f t="shared" si="265"/>
        <v>0</v>
      </c>
      <c r="AE235" s="25">
        <f t="shared" si="266"/>
        <v>0</v>
      </c>
      <c r="AF235" s="26">
        <f t="array" ref="AF235">IFERROR(INDEX('Malaria-Equipment &amp; Other HPs'!$W$130:$W$230,MATCH($E235&amp;$F235,'Malaria-Equipment &amp; Other HPs'!$E$130:$E$230&amp;'Malaria-Equipment &amp; Other HPs'!$H$130:$H$230,0)),0)</f>
        <v>0</v>
      </c>
      <c r="AG235" s="26">
        <f t="shared" si="267"/>
        <v>0</v>
      </c>
      <c r="AH235" s="25">
        <f t="shared" si="268"/>
        <v>0</v>
      </c>
      <c r="AI235" s="25">
        <f t="shared" si="269"/>
        <v>0</v>
      </c>
      <c r="AJ235" s="26">
        <f t="array" ref="AJ235">IFERROR(INDEX('Malaria-Equipment &amp; Other HPs'!$X$130:$X$230,MATCH($E235&amp;$F235,'Malaria-Equipment &amp; Other HPs'!$E$130:$E$230&amp;'Malaria-Equipment &amp; Other HPs'!$H$130:$H$230,0)),0)</f>
        <v>0</v>
      </c>
      <c r="AK235" s="26">
        <f t="shared" si="270"/>
        <v>0</v>
      </c>
      <c r="AL235" s="25">
        <f t="shared" si="271"/>
        <v>0</v>
      </c>
      <c r="AM235" s="25">
        <f t="shared" si="272"/>
        <v>0</v>
      </c>
      <c r="AN235" s="26">
        <f t="array" ref="AN235">IFERROR(INDEX('Malaria-Equipment &amp; Other HPs'!$Y$130:$Y$230,MATCH($E235&amp;$F235,'Malaria-Equipment &amp; Other HPs'!$E$130:$E$230&amp;'Malaria-Equipment &amp; Other HPs'!$H$130:$H$230,0)),0)</f>
        <v>0</v>
      </c>
      <c r="AO235" s="26">
        <f t="shared" si="273"/>
        <v>0</v>
      </c>
      <c r="AP235" s="25">
        <f t="shared" si="274"/>
        <v>0</v>
      </c>
      <c r="AQ235" s="25">
        <f t="shared" si="275"/>
        <v>0</v>
      </c>
      <c r="AR235" s="680"/>
      <c r="AS235" s="26">
        <f t="array" ref="AS235">IFERROR(INDEX('Malaria-Equipment &amp; Other HPs'!$AB$130:$AB$230,MATCH($E235&amp;$F235,'Malaria-Equipment &amp; Other HPs'!$E$130:$E$230&amp;'Malaria-Equipment &amp; Other HPs'!$H$130:$H$230,0)),0)</f>
        <v>0</v>
      </c>
      <c r="AT235" s="26">
        <f t="array" ref="AT235">IFERROR(INDEX('Malaria-Equipment &amp; Other HPs'!$AC$130:$AC$230,MATCH($E235&amp;$F235,'Malaria-Equipment &amp; Other HPs'!$E$130:$E$230&amp;'Malaria-Equipment &amp; Other HPs'!$H$130:$H$230,0)),0)</f>
        <v>0</v>
      </c>
      <c r="AU235" s="26">
        <f t="shared" si="276"/>
        <v>0</v>
      </c>
      <c r="AV235" s="25">
        <f t="shared" si="277"/>
        <v>0</v>
      </c>
      <c r="AW235" s="25">
        <f t="shared" si="278"/>
        <v>0</v>
      </c>
      <c r="AX235" s="26">
        <f t="array" ref="AX235">IFERROR(INDEX('Malaria-Equipment &amp; Other HPs'!$AD$130:$AD$230,MATCH($E235&amp;$F235,'Malaria-Equipment &amp; Other HPs'!$E$130:$E$230&amp;'Malaria-Equipment &amp; Other HPs'!$H$130:$H$230,0)),0)</f>
        <v>0</v>
      </c>
      <c r="AY235" s="26">
        <f t="shared" si="279"/>
        <v>0</v>
      </c>
      <c r="AZ235" s="25">
        <f t="shared" si="280"/>
        <v>0</v>
      </c>
      <c r="BA235" s="25">
        <f t="shared" si="281"/>
        <v>0</v>
      </c>
      <c r="BB235" s="26">
        <f t="array" ref="BB235">IFERROR(INDEX('Malaria-Equipment &amp; Other HPs'!$AE$130:$AE$230,MATCH($E235&amp;$F235,'Malaria-Equipment &amp; Other HPs'!$E$130:$E$230&amp;'Malaria-Equipment &amp; Other HPs'!$H$130:$H$230,0)),0)</f>
        <v>0</v>
      </c>
      <c r="BC235" s="26">
        <f t="shared" si="282"/>
        <v>0</v>
      </c>
      <c r="BD235" s="25">
        <f t="shared" si="283"/>
        <v>0</v>
      </c>
      <c r="BE235" s="25">
        <f t="shared" si="284"/>
        <v>0</v>
      </c>
      <c r="BF235" s="26">
        <f t="array" ref="BF235">IFERROR(INDEX('Malaria-Equipment &amp; Other HPs'!$AF$130:$AF$230,MATCH($E235&amp;$F235,'Malaria-Equipment &amp; Other HPs'!$E$130:$E$230&amp;'Malaria-Equipment &amp; Other HPs'!$H$130:$H$230,0)),0)</f>
        <v>0</v>
      </c>
      <c r="BG235" s="26">
        <f t="shared" si="285"/>
        <v>0</v>
      </c>
      <c r="BH235" s="25">
        <f t="shared" si="286"/>
        <v>0</v>
      </c>
      <c r="BI235" s="25">
        <f t="shared" si="287"/>
        <v>0</v>
      </c>
      <c r="BJ235" s="680"/>
      <c r="BK235" s="26"/>
      <c r="BL235" s="26"/>
      <c r="BM235" s="26"/>
      <c r="BN235" s="26"/>
      <c r="BO235" s="26"/>
      <c r="BP235" s="26"/>
      <c r="BQ235" s="26"/>
      <c r="BR235" s="26"/>
      <c r="BT235" s="21" t="s">
        <v>6846</v>
      </c>
    </row>
    <row r="236" spans="1:72">
      <c r="A236" s="29" t="s">
        <v>538</v>
      </c>
      <c r="B236" s="29" t="s">
        <v>1550</v>
      </c>
      <c r="C236" s="626">
        <f>SETUP!$F$58</f>
        <v>0</v>
      </c>
      <c r="D236" s="25">
        <v>6.6</v>
      </c>
      <c r="E236" s="26" t="s">
        <v>1211</v>
      </c>
      <c r="F236" s="26" t="s">
        <v>201</v>
      </c>
      <c r="G236" s="26" t="str">
        <f t="array" ref="G236">IFERROR(INDEX('Malaria-Equipment &amp; Other HPs'!$L$130:$L$230,MATCH($E236&amp;$F236,'Malaria-Equipment &amp; Other HPs'!$E$130:$E$230&amp;'Malaria-Equipment &amp; Other HPs'!$H$130:$H$230,0)),"")</f>
        <v/>
      </c>
      <c r="H236" s="26" t="str">
        <f t="array" ref="H236">IFERROR(INDEX('Malaria-Equipment &amp; Other HPs'!$M$130:$M$230,MATCH($E236&amp;$F236,'Malaria-Equipment &amp; Other HPs'!$E$130:$E$230&amp;'Malaria-Equipment &amp; Other HPs'!$H$130:$H$230,0)),"")</f>
        <v/>
      </c>
      <c r="I236" s="26">
        <f t="array" ref="I236">IFERROR(INDEX('Malaria-Equipment &amp; Other HPs'!$N$130:$N$230,MATCH($E236&amp;$F236,'Malaria-Equipment &amp; Other HPs'!$E$130:$E$230&amp;'Malaria-Equipment &amp; Other HPs'!$H$130:$H$230,0)),0)</f>
        <v>0</v>
      </c>
      <c r="J236" s="26">
        <f t="array" ref="J236">IFERROR(INDEX('Malaria-Equipment &amp; Other HPs'!$O$130:$O$230,MATCH($E236&amp;$F236,'Malaria-Equipment &amp; Other HPs'!$E$130:$E$230&amp;'Malaria-Equipment &amp; Other HPs'!$H$130:$H$230,0)),0)</f>
        <v>0</v>
      </c>
      <c r="K236" s="25">
        <f t="shared" si="252"/>
        <v>0</v>
      </c>
      <c r="L236" s="25">
        <f t="shared" si="253"/>
        <v>0</v>
      </c>
      <c r="M236" s="25">
        <f t="shared" si="254"/>
        <v>0</v>
      </c>
      <c r="N236" s="26">
        <f t="array" ref="N236">IFERROR(INDEX('Malaria-Equipment &amp; Other HPs'!$P$130:$P$230,MATCH($E236&amp;$F236,'Malaria-Equipment &amp; Other HPs'!$E$130:$E$230&amp;'Malaria-Equipment &amp; Other HPs'!$H$130:$H$230,0)),0)</f>
        <v>0</v>
      </c>
      <c r="O236" s="25">
        <f t="shared" si="255"/>
        <v>0</v>
      </c>
      <c r="P236" s="25">
        <f t="shared" si="256"/>
        <v>0</v>
      </c>
      <c r="Q236" s="25">
        <f t="shared" si="257"/>
        <v>0</v>
      </c>
      <c r="R236" s="26">
        <f t="array" ref="R236">IFERROR(INDEX('Malaria-Equipment &amp; Other HPs'!$Q$130:$Q$230,MATCH($E236&amp;$F236,'Malaria-Equipment &amp; Other HPs'!$E$130:$E$230&amp;'Malaria-Equipment &amp; Other HPs'!$H$130:$H$230,0)),0)</f>
        <v>0</v>
      </c>
      <c r="S236" s="25">
        <f t="shared" si="258"/>
        <v>0</v>
      </c>
      <c r="T236" s="25">
        <f t="shared" si="259"/>
        <v>0</v>
      </c>
      <c r="U236" s="25">
        <f t="shared" si="260"/>
        <v>0</v>
      </c>
      <c r="V236" s="26">
        <f t="array" ref="V236">IFERROR(INDEX('Malaria-Equipment &amp; Other HPs'!$R$130:$R$230,MATCH($E236&amp;$F236,'Malaria-Equipment &amp; Other HPs'!$E$130:$E$230&amp;'Malaria-Equipment &amp; Other HPs'!$H$130:$H$230,0)),0)</f>
        <v>0</v>
      </c>
      <c r="W236" s="25">
        <f t="shared" si="261"/>
        <v>0</v>
      </c>
      <c r="X236" s="25">
        <f t="shared" si="262"/>
        <v>0</v>
      </c>
      <c r="Y236" s="25">
        <f t="shared" si="263"/>
        <v>0</v>
      </c>
      <c r="Z236" s="680"/>
      <c r="AA236" s="26">
        <f t="array" ref="AA236">IFERROR(INDEX('Malaria-Equipment &amp; Other HPs'!$U$130:$U$230,MATCH($E236&amp;$F236,'Malaria-Equipment &amp; Other HPs'!$E$130:$E$230&amp;'Malaria-Equipment &amp; Other HPs'!$H$130:$H$230,0)),0)</f>
        <v>0</v>
      </c>
      <c r="AB236" s="26">
        <f t="array" ref="AB236">IFERROR(INDEX('Malaria-Equipment &amp; Other HPs'!$V$130:$V$230,MATCH($E236&amp;$F236,'Malaria-Equipment &amp; Other HPs'!$E$130:$E$230&amp;'Malaria-Equipment &amp; Other HPs'!$H$130:$H$230,0)),0)</f>
        <v>0</v>
      </c>
      <c r="AC236" s="26">
        <f t="shared" si="264"/>
        <v>0</v>
      </c>
      <c r="AD236" s="25">
        <f t="shared" si="265"/>
        <v>0</v>
      </c>
      <c r="AE236" s="25">
        <f t="shared" si="266"/>
        <v>0</v>
      </c>
      <c r="AF236" s="26">
        <f t="array" ref="AF236">IFERROR(INDEX('Malaria-Equipment &amp; Other HPs'!$W$130:$W$230,MATCH($E236&amp;$F236,'Malaria-Equipment &amp; Other HPs'!$E$130:$E$230&amp;'Malaria-Equipment &amp; Other HPs'!$H$130:$H$230,0)),0)</f>
        <v>0</v>
      </c>
      <c r="AG236" s="26">
        <f t="shared" si="267"/>
        <v>0</v>
      </c>
      <c r="AH236" s="25">
        <f t="shared" si="268"/>
        <v>0</v>
      </c>
      <c r="AI236" s="25">
        <f t="shared" si="269"/>
        <v>0</v>
      </c>
      <c r="AJ236" s="26">
        <f t="array" ref="AJ236">IFERROR(INDEX('Malaria-Equipment &amp; Other HPs'!$X$130:$X$230,MATCH($E236&amp;$F236,'Malaria-Equipment &amp; Other HPs'!$E$130:$E$230&amp;'Malaria-Equipment &amp; Other HPs'!$H$130:$H$230,0)),0)</f>
        <v>0</v>
      </c>
      <c r="AK236" s="26">
        <f t="shared" si="270"/>
        <v>0</v>
      </c>
      <c r="AL236" s="25">
        <f t="shared" si="271"/>
        <v>0</v>
      </c>
      <c r="AM236" s="25">
        <f t="shared" si="272"/>
        <v>0</v>
      </c>
      <c r="AN236" s="26">
        <f t="array" ref="AN236">IFERROR(INDEX('Malaria-Equipment &amp; Other HPs'!$Y$130:$Y$230,MATCH($E236&amp;$F236,'Malaria-Equipment &amp; Other HPs'!$E$130:$E$230&amp;'Malaria-Equipment &amp; Other HPs'!$H$130:$H$230,0)),0)</f>
        <v>0</v>
      </c>
      <c r="AO236" s="26">
        <f t="shared" si="273"/>
        <v>0</v>
      </c>
      <c r="AP236" s="25">
        <f t="shared" si="274"/>
        <v>0</v>
      </c>
      <c r="AQ236" s="25">
        <f t="shared" si="275"/>
        <v>0</v>
      </c>
      <c r="AR236" s="680"/>
      <c r="AS236" s="26">
        <f t="array" ref="AS236">IFERROR(INDEX('Malaria-Equipment &amp; Other HPs'!$AB$130:$AB$230,MATCH($E236&amp;$F236,'Malaria-Equipment &amp; Other HPs'!$E$130:$E$230&amp;'Malaria-Equipment &amp; Other HPs'!$H$130:$H$230,0)),0)</f>
        <v>0</v>
      </c>
      <c r="AT236" s="26">
        <f t="array" ref="AT236">IFERROR(INDEX('Malaria-Equipment &amp; Other HPs'!$AC$130:$AC$230,MATCH($E236&amp;$F236,'Malaria-Equipment &amp; Other HPs'!$E$130:$E$230&amp;'Malaria-Equipment &amp; Other HPs'!$H$130:$H$230,0)),0)</f>
        <v>0</v>
      </c>
      <c r="AU236" s="26">
        <f t="shared" si="276"/>
        <v>0</v>
      </c>
      <c r="AV236" s="25">
        <f t="shared" si="277"/>
        <v>0</v>
      </c>
      <c r="AW236" s="25">
        <f t="shared" si="278"/>
        <v>0</v>
      </c>
      <c r="AX236" s="26">
        <f t="array" ref="AX236">IFERROR(INDEX('Malaria-Equipment &amp; Other HPs'!$AD$130:$AD$230,MATCH($E236&amp;$F236,'Malaria-Equipment &amp; Other HPs'!$E$130:$E$230&amp;'Malaria-Equipment &amp; Other HPs'!$H$130:$H$230,0)),0)</f>
        <v>0</v>
      </c>
      <c r="AY236" s="26">
        <f t="shared" si="279"/>
        <v>0</v>
      </c>
      <c r="AZ236" s="25">
        <f t="shared" si="280"/>
        <v>0</v>
      </c>
      <c r="BA236" s="25">
        <f t="shared" si="281"/>
        <v>0</v>
      </c>
      <c r="BB236" s="26">
        <f t="array" ref="BB236">IFERROR(INDEX('Malaria-Equipment &amp; Other HPs'!$AE$130:$AE$230,MATCH($E236&amp;$F236,'Malaria-Equipment &amp; Other HPs'!$E$130:$E$230&amp;'Malaria-Equipment &amp; Other HPs'!$H$130:$H$230,0)),0)</f>
        <v>0</v>
      </c>
      <c r="BC236" s="26">
        <f t="shared" si="282"/>
        <v>0</v>
      </c>
      <c r="BD236" s="25">
        <f t="shared" si="283"/>
        <v>0</v>
      </c>
      <c r="BE236" s="25">
        <f t="shared" si="284"/>
        <v>0</v>
      </c>
      <c r="BF236" s="26">
        <f t="array" ref="BF236">IFERROR(INDEX('Malaria-Equipment &amp; Other HPs'!$AF$130:$AF$230,MATCH($E236&amp;$F236,'Malaria-Equipment &amp; Other HPs'!$E$130:$E$230&amp;'Malaria-Equipment &amp; Other HPs'!$H$130:$H$230,0)),0)</f>
        <v>0</v>
      </c>
      <c r="BG236" s="26">
        <f t="shared" si="285"/>
        <v>0</v>
      </c>
      <c r="BH236" s="25">
        <f t="shared" si="286"/>
        <v>0</v>
      </c>
      <c r="BI236" s="25">
        <f t="shared" si="287"/>
        <v>0</v>
      </c>
      <c r="BJ236" s="680"/>
      <c r="BK236" s="26"/>
      <c r="BL236" s="26"/>
      <c r="BM236" s="26"/>
      <c r="BN236" s="26"/>
      <c r="BO236" s="26"/>
      <c r="BP236" s="26"/>
      <c r="BQ236" s="26"/>
      <c r="BR236" s="26"/>
      <c r="BT236" s="21" t="s">
        <v>6847</v>
      </c>
    </row>
    <row r="237" spans="1:72">
      <c r="A237" s="29" t="s">
        <v>538</v>
      </c>
      <c r="B237" s="29" t="s">
        <v>1550</v>
      </c>
      <c r="C237" s="626">
        <f>SETUP!$F$58</f>
        <v>0</v>
      </c>
      <c r="D237" s="25">
        <v>6.6</v>
      </c>
      <c r="E237" s="26" t="s">
        <v>1211</v>
      </c>
      <c r="F237" s="26" t="s">
        <v>200</v>
      </c>
      <c r="G237" s="26" t="str">
        <f t="array" ref="G237">IFERROR(INDEX('Malaria-Equipment &amp; Other HPs'!$L$130:$L$230,MATCH($E237&amp;$F237,'Malaria-Equipment &amp; Other HPs'!$E$130:$E$230&amp;'Malaria-Equipment &amp; Other HPs'!$H$130:$H$230,0)),"")</f>
        <v/>
      </c>
      <c r="H237" s="26" t="str">
        <f t="array" ref="H237">IFERROR(INDEX('Malaria-Equipment &amp; Other HPs'!$M$130:$M$230,MATCH($E237&amp;$F237,'Malaria-Equipment &amp; Other HPs'!$E$130:$E$230&amp;'Malaria-Equipment &amp; Other HPs'!$H$130:$H$230,0)),"")</f>
        <v/>
      </c>
      <c r="I237" s="26">
        <f t="array" ref="I237">IFERROR(INDEX('Malaria-Equipment &amp; Other HPs'!$N$130:$N$230,MATCH($E237&amp;$F237,'Malaria-Equipment &amp; Other HPs'!$E$130:$E$230&amp;'Malaria-Equipment &amp; Other HPs'!$H$130:$H$230,0)),0)</f>
        <v>0</v>
      </c>
      <c r="J237" s="26">
        <f t="array" ref="J237">IFERROR(INDEX('Malaria-Equipment &amp; Other HPs'!$O$130:$O$230,MATCH($E237&amp;$F237,'Malaria-Equipment &amp; Other HPs'!$E$130:$E$230&amp;'Malaria-Equipment &amp; Other HPs'!$H$130:$H$230,0)),0)</f>
        <v>0</v>
      </c>
      <c r="K237" s="25">
        <f t="shared" si="252"/>
        <v>0</v>
      </c>
      <c r="L237" s="25">
        <f t="shared" si="253"/>
        <v>0</v>
      </c>
      <c r="M237" s="25">
        <f t="shared" si="254"/>
        <v>0</v>
      </c>
      <c r="N237" s="26">
        <f t="array" ref="N237">IFERROR(INDEX('Malaria-Equipment &amp; Other HPs'!$P$130:$P$230,MATCH($E237&amp;$F237,'Malaria-Equipment &amp; Other HPs'!$E$130:$E$230&amp;'Malaria-Equipment &amp; Other HPs'!$H$130:$H$230,0)),0)</f>
        <v>0</v>
      </c>
      <c r="O237" s="25">
        <f t="shared" si="255"/>
        <v>0</v>
      </c>
      <c r="P237" s="25">
        <f t="shared" si="256"/>
        <v>0</v>
      </c>
      <c r="Q237" s="25">
        <f t="shared" si="257"/>
        <v>0</v>
      </c>
      <c r="R237" s="26">
        <f t="array" ref="R237">IFERROR(INDEX('Malaria-Equipment &amp; Other HPs'!$Q$130:$Q$230,MATCH($E237&amp;$F237,'Malaria-Equipment &amp; Other HPs'!$E$130:$E$230&amp;'Malaria-Equipment &amp; Other HPs'!$H$130:$H$230,0)),0)</f>
        <v>0</v>
      </c>
      <c r="S237" s="25">
        <f t="shared" si="258"/>
        <v>0</v>
      </c>
      <c r="T237" s="25">
        <f t="shared" si="259"/>
        <v>0</v>
      </c>
      <c r="U237" s="25">
        <f t="shared" si="260"/>
        <v>0</v>
      </c>
      <c r="V237" s="26">
        <f t="array" ref="V237">IFERROR(INDEX('Malaria-Equipment &amp; Other HPs'!$R$130:$R$230,MATCH($E237&amp;$F237,'Malaria-Equipment &amp; Other HPs'!$E$130:$E$230&amp;'Malaria-Equipment &amp; Other HPs'!$H$130:$H$230,0)),0)</f>
        <v>0</v>
      </c>
      <c r="W237" s="25">
        <f t="shared" si="261"/>
        <v>0</v>
      </c>
      <c r="X237" s="25">
        <f t="shared" si="262"/>
        <v>0</v>
      </c>
      <c r="Y237" s="25">
        <f t="shared" si="263"/>
        <v>0</v>
      </c>
      <c r="Z237" s="680"/>
      <c r="AA237" s="26">
        <f t="array" ref="AA237">IFERROR(INDEX('Malaria-Equipment &amp; Other HPs'!$U$130:$U$230,MATCH($E237&amp;$F237,'Malaria-Equipment &amp; Other HPs'!$E$130:$E$230&amp;'Malaria-Equipment &amp; Other HPs'!$H$130:$H$230,0)),0)</f>
        <v>0</v>
      </c>
      <c r="AB237" s="26">
        <f t="array" ref="AB237">IFERROR(INDEX('Malaria-Equipment &amp; Other HPs'!$V$130:$V$230,MATCH($E237&amp;$F237,'Malaria-Equipment &amp; Other HPs'!$E$130:$E$230&amp;'Malaria-Equipment &amp; Other HPs'!$H$130:$H$230,0)),0)</f>
        <v>0</v>
      </c>
      <c r="AC237" s="26">
        <f t="shared" si="264"/>
        <v>0</v>
      </c>
      <c r="AD237" s="25">
        <f t="shared" si="265"/>
        <v>0</v>
      </c>
      <c r="AE237" s="25">
        <f t="shared" si="266"/>
        <v>0</v>
      </c>
      <c r="AF237" s="26">
        <f t="array" ref="AF237">IFERROR(INDEX('Malaria-Equipment &amp; Other HPs'!$W$130:$W$230,MATCH($E237&amp;$F237,'Malaria-Equipment &amp; Other HPs'!$E$130:$E$230&amp;'Malaria-Equipment &amp; Other HPs'!$H$130:$H$230,0)),0)</f>
        <v>0</v>
      </c>
      <c r="AG237" s="26">
        <f t="shared" si="267"/>
        <v>0</v>
      </c>
      <c r="AH237" s="25">
        <f t="shared" si="268"/>
        <v>0</v>
      </c>
      <c r="AI237" s="25">
        <f t="shared" si="269"/>
        <v>0</v>
      </c>
      <c r="AJ237" s="26">
        <f t="array" ref="AJ237">IFERROR(INDEX('Malaria-Equipment &amp; Other HPs'!$X$130:$X$230,MATCH($E237&amp;$F237,'Malaria-Equipment &amp; Other HPs'!$E$130:$E$230&amp;'Malaria-Equipment &amp; Other HPs'!$H$130:$H$230,0)),0)</f>
        <v>0</v>
      </c>
      <c r="AK237" s="26">
        <f t="shared" si="270"/>
        <v>0</v>
      </c>
      <c r="AL237" s="25">
        <f t="shared" si="271"/>
        <v>0</v>
      </c>
      <c r="AM237" s="25">
        <f t="shared" si="272"/>
        <v>0</v>
      </c>
      <c r="AN237" s="26">
        <f t="array" ref="AN237">IFERROR(INDEX('Malaria-Equipment &amp; Other HPs'!$Y$130:$Y$230,MATCH($E237&amp;$F237,'Malaria-Equipment &amp; Other HPs'!$E$130:$E$230&amp;'Malaria-Equipment &amp; Other HPs'!$H$130:$H$230,0)),0)</f>
        <v>0</v>
      </c>
      <c r="AO237" s="26">
        <f t="shared" si="273"/>
        <v>0</v>
      </c>
      <c r="AP237" s="25">
        <f t="shared" si="274"/>
        <v>0</v>
      </c>
      <c r="AQ237" s="25">
        <f t="shared" si="275"/>
        <v>0</v>
      </c>
      <c r="AR237" s="680"/>
      <c r="AS237" s="26">
        <f t="array" ref="AS237">IFERROR(INDEX('Malaria-Equipment &amp; Other HPs'!$AB$130:$AB$230,MATCH($E237&amp;$F237,'Malaria-Equipment &amp; Other HPs'!$E$130:$E$230&amp;'Malaria-Equipment &amp; Other HPs'!$H$130:$H$230,0)),0)</f>
        <v>0</v>
      </c>
      <c r="AT237" s="26">
        <f t="array" ref="AT237">IFERROR(INDEX('Malaria-Equipment &amp; Other HPs'!$AC$130:$AC$230,MATCH($E237&amp;$F237,'Malaria-Equipment &amp; Other HPs'!$E$130:$E$230&amp;'Malaria-Equipment &amp; Other HPs'!$H$130:$H$230,0)),0)</f>
        <v>0</v>
      </c>
      <c r="AU237" s="26">
        <f t="shared" si="276"/>
        <v>0</v>
      </c>
      <c r="AV237" s="25">
        <f t="shared" si="277"/>
        <v>0</v>
      </c>
      <c r="AW237" s="25">
        <f t="shared" si="278"/>
        <v>0</v>
      </c>
      <c r="AX237" s="26">
        <f t="array" ref="AX237">IFERROR(INDEX('Malaria-Equipment &amp; Other HPs'!$AD$130:$AD$230,MATCH($E237&amp;$F237,'Malaria-Equipment &amp; Other HPs'!$E$130:$E$230&amp;'Malaria-Equipment &amp; Other HPs'!$H$130:$H$230,0)),0)</f>
        <v>0</v>
      </c>
      <c r="AY237" s="26">
        <f t="shared" si="279"/>
        <v>0</v>
      </c>
      <c r="AZ237" s="25">
        <f t="shared" si="280"/>
        <v>0</v>
      </c>
      <c r="BA237" s="25">
        <f t="shared" si="281"/>
        <v>0</v>
      </c>
      <c r="BB237" s="26">
        <f t="array" ref="BB237">IFERROR(INDEX('Malaria-Equipment &amp; Other HPs'!$AE$130:$AE$230,MATCH($E237&amp;$F237,'Malaria-Equipment &amp; Other HPs'!$E$130:$E$230&amp;'Malaria-Equipment &amp; Other HPs'!$H$130:$H$230,0)),0)</f>
        <v>0</v>
      </c>
      <c r="BC237" s="26">
        <f t="shared" si="282"/>
        <v>0</v>
      </c>
      <c r="BD237" s="25">
        <f t="shared" si="283"/>
        <v>0</v>
      </c>
      <c r="BE237" s="25">
        <f t="shared" si="284"/>
        <v>0</v>
      </c>
      <c r="BF237" s="26">
        <f t="array" ref="BF237">IFERROR(INDEX('Malaria-Equipment &amp; Other HPs'!$AF$130:$AF$230,MATCH($E237&amp;$F237,'Malaria-Equipment &amp; Other HPs'!$E$130:$E$230&amp;'Malaria-Equipment &amp; Other HPs'!$H$130:$H$230,0)),0)</f>
        <v>0</v>
      </c>
      <c r="BG237" s="26">
        <f t="shared" si="285"/>
        <v>0</v>
      </c>
      <c r="BH237" s="25">
        <f t="shared" si="286"/>
        <v>0</v>
      </c>
      <c r="BI237" s="25">
        <f t="shared" si="287"/>
        <v>0</v>
      </c>
      <c r="BJ237" s="680"/>
      <c r="BK237" s="26"/>
      <c r="BL237" s="26"/>
      <c r="BM237" s="26"/>
      <c r="BN237" s="26"/>
      <c r="BO237" s="26"/>
      <c r="BP237" s="26"/>
      <c r="BQ237" s="26"/>
      <c r="BR237" s="26"/>
      <c r="BT237" s="21" t="s">
        <v>6847</v>
      </c>
    </row>
    <row r="238" spans="1:72">
      <c r="A238" s="29" t="s">
        <v>538</v>
      </c>
      <c r="B238" s="29" t="s">
        <v>1550</v>
      </c>
      <c r="C238" s="626">
        <f>SETUP!$F$58</f>
        <v>0</v>
      </c>
      <c r="D238" s="25">
        <v>6.5</v>
      </c>
      <c r="E238" s="26" t="s">
        <v>1226</v>
      </c>
      <c r="F238" s="26" t="s">
        <v>218</v>
      </c>
      <c r="G238" s="26" t="str">
        <f t="array" ref="G238">IFERROR(INDEX('Malaria-Equipment &amp; Other HPs'!$L$130:$L$230,MATCH($E238&amp;$F238,'Malaria-Equipment &amp; Other HPs'!$E$130:$E$230&amp;'Malaria-Equipment &amp; Other HPs'!$H$130:$H$230,0)),"")</f>
        <v/>
      </c>
      <c r="H238" s="26" t="str">
        <f t="array" ref="H238">IFERROR(INDEX('Malaria-Equipment &amp; Other HPs'!$M$130:$M$230,MATCH($E238&amp;$F238,'Malaria-Equipment &amp; Other HPs'!$E$130:$E$230&amp;'Malaria-Equipment &amp; Other HPs'!$H$130:$H$230,0)),"")</f>
        <v/>
      </c>
      <c r="I238" s="26">
        <f t="array" ref="I238">IFERROR(INDEX('Malaria-Equipment &amp; Other HPs'!$N$130:$N$230,MATCH($E238&amp;$F238,'Malaria-Equipment &amp; Other HPs'!$E$130:$E$230&amp;'Malaria-Equipment &amp; Other HPs'!$H$130:$H$230,0)),0)</f>
        <v>0</v>
      </c>
      <c r="J238" s="26">
        <f t="array" ref="J238">IFERROR(INDEX('Malaria-Equipment &amp; Other HPs'!$O$130:$O$230,MATCH($E238&amp;$F238,'Malaria-Equipment &amp; Other HPs'!$E$130:$E$230&amp;'Malaria-Equipment &amp; Other HPs'!$H$130:$H$230,0)),0)</f>
        <v>0</v>
      </c>
      <c r="K238" s="25">
        <f t="shared" si="252"/>
        <v>0</v>
      </c>
      <c r="L238" s="25">
        <f t="shared" si="253"/>
        <v>0</v>
      </c>
      <c r="M238" s="25">
        <f t="shared" si="254"/>
        <v>0</v>
      </c>
      <c r="N238" s="26">
        <f t="array" ref="N238">IFERROR(INDEX('Malaria-Equipment &amp; Other HPs'!$P$130:$P$230,MATCH($E238&amp;$F238,'Malaria-Equipment &amp; Other HPs'!$E$130:$E$230&amp;'Malaria-Equipment &amp; Other HPs'!$H$130:$H$230,0)),0)</f>
        <v>0</v>
      </c>
      <c r="O238" s="25">
        <f t="shared" si="255"/>
        <v>0</v>
      </c>
      <c r="P238" s="25">
        <f t="shared" si="256"/>
        <v>0</v>
      </c>
      <c r="Q238" s="25">
        <f t="shared" si="257"/>
        <v>0</v>
      </c>
      <c r="R238" s="26">
        <f t="array" ref="R238">IFERROR(INDEX('Malaria-Equipment &amp; Other HPs'!$Q$130:$Q$230,MATCH($E238&amp;$F238,'Malaria-Equipment &amp; Other HPs'!$E$130:$E$230&amp;'Malaria-Equipment &amp; Other HPs'!$H$130:$H$230,0)),0)</f>
        <v>0</v>
      </c>
      <c r="S238" s="25">
        <f t="shared" si="258"/>
        <v>0</v>
      </c>
      <c r="T238" s="25">
        <f t="shared" si="259"/>
        <v>0</v>
      </c>
      <c r="U238" s="25">
        <f t="shared" si="260"/>
        <v>0</v>
      </c>
      <c r="V238" s="26">
        <f t="array" ref="V238">IFERROR(INDEX('Malaria-Equipment &amp; Other HPs'!$R$130:$R$230,MATCH($E238&amp;$F238,'Malaria-Equipment &amp; Other HPs'!$E$130:$E$230&amp;'Malaria-Equipment &amp; Other HPs'!$H$130:$H$230,0)),0)</f>
        <v>0</v>
      </c>
      <c r="W238" s="25">
        <f t="shared" si="261"/>
        <v>0</v>
      </c>
      <c r="X238" s="25">
        <f t="shared" si="262"/>
        <v>0</v>
      </c>
      <c r="Y238" s="25">
        <f t="shared" si="263"/>
        <v>0</v>
      </c>
      <c r="Z238" s="680"/>
      <c r="AA238" s="26">
        <f t="array" ref="AA238">IFERROR(INDEX('Malaria-Equipment &amp; Other HPs'!$U$130:$U$230,MATCH($E238&amp;$F238,'Malaria-Equipment &amp; Other HPs'!$E$130:$E$230&amp;'Malaria-Equipment &amp; Other HPs'!$H$130:$H$230,0)),0)</f>
        <v>0</v>
      </c>
      <c r="AB238" s="26">
        <f t="array" ref="AB238">IFERROR(INDEX('Malaria-Equipment &amp; Other HPs'!$V$130:$V$230,MATCH($E238&amp;$F238,'Malaria-Equipment &amp; Other HPs'!$E$130:$E$230&amp;'Malaria-Equipment &amp; Other HPs'!$H$130:$H$230,0)),0)</f>
        <v>0</v>
      </c>
      <c r="AC238" s="26">
        <f t="shared" si="264"/>
        <v>0</v>
      </c>
      <c r="AD238" s="25">
        <f t="shared" si="265"/>
        <v>0</v>
      </c>
      <c r="AE238" s="25">
        <f t="shared" si="266"/>
        <v>0</v>
      </c>
      <c r="AF238" s="26">
        <f t="array" ref="AF238">IFERROR(INDEX('Malaria-Equipment &amp; Other HPs'!$W$130:$W$230,MATCH($E238&amp;$F238,'Malaria-Equipment &amp; Other HPs'!$E$130:$E$230&amp;'Malaria-Equipment &amp; Other HPs'!$H$130:$H$230,0)),0)</f>
        <v>0</v>
      </c>
      <c r="AG238" s="26">
        <f t="shared" si="267"/>
        <v>0</v>
      </c>
      <c r="AH238" s="25">
        <f t="shared" si="268"/>
        <v>0</v>
      </c>
      <c r="AI238" s="25">
        <f t="shared" si="269"/>
        <v>0</v>
      </c>
      <c r="AJ238" s="26">
        <f t="array" ref="AJ238">IFERROR(INDEX('Malaria-Equipment &amp; Other HPs'!$X$130:$X$230,MATCH($E238&amp;$F238,'Malaria-Equipment &amp; Other HPs'!$E$130:$E$230&amp;'Malaria-Equipment &amp; Other HPs'!$H$130:$H$230,0)),0)</f>
        <v>0</v>
      </c>
      <c r="AK238" s="26">
        <f t="shared" si="270"/>
        <v>0</v>
      </c>
      <c r="AL238" s="25">
        <f t="shared" si="271"/>
        <v>0</v>
      </c>
      <c r="AM238" s="25">
        <f t="shared" si="272"/>
        <v>0</v>
      </c>
      <c r="AN238" s="26">
        <f t="array" ref="AN238">IFERROR(INDEX('Malaria-Equipment &amp; Other HPs'!$Y$130:$Y$230,MATCH($E238&amp;$F238,'Malaria-Equipment &amp; Other HPs'!$E$130:$E$230&amp;'Malaria-Equipment &amp; Other HPs'!$H$130:$H$230,0)),0)</f>
        <v>0</v>
      </c>
      <c r="AO238" s="26">
        <f t="shared" si="273"/>
        <v>0</v>
      </c>
      <c r="AP238" s="25">
        <f t="shared" si="274"/>
        <v>0</v>
      </c>
      <c r="AQ238" s="25">
        <f t="shared" si="275"/>
        <v>0</v>
      </c>
      <c r="AR238" s="680"/>
      <c r="AS238" s="26">
        <f t="array" ref="AS238">IFERROR(INDEX('Malaria-Equipment &amp; Other HPs'!$AB$130:$AB$230,MATCH($E238&amp;$F238,'Malaria-Equipment &amp; Other HPs'!$E$130:$E$230&amp;'Malaria-Equipment &amp; Other HPs'!$H$130:$H$230,0)),0)</f>
        <v>0</v>
      </c>
      <c r="AT238" s="26">
        <f t="array" ref="AT238">IFERROR(INDEX('Malaria-Equipment &amp; Other HPs'!$AC$130:$AC$230,MATCH($E238&amp;$F238,'Malaria-Equipment &amp; Other HPs'!$E$130:$E$230&amp;'Malaria-Equipment &amp; Other HPs'!$H$130:$H$230,0)),0)</f>
        <v>0</v>
      </c>
      <c r="AU238" s="26">
        <f t="shared" si="276"/>
        <v>0</v>
      </c>
      <c r="AV238" s="25">
        <f t="shared" si="277"/>
        <v>0</v>
      </c>
      <c r="AW238" s="25">
        <f t="shared" si="278"/>
        <v>0</v>
      </c>
      <c r="AX238" s="26">
        <f t="array" ref="AX238">IFERROR(INDEX('Malaria-Equipment &amp; Other HPs'!$AD$130:$AD$230,MATCH($E238&amp;$F238,'Malaria-Equipment &amp; Other HPs'!$E$130:$E$230&amp;'Malaria-Equipment &amp; Other HPs'!$H$130:$H$230,0)),0)</f>
        <v>0</v>
      </c>
      <c r="AY238" s="26">
        <f t="shared" si="279"/>
        <v>0</v>
      </c>
      <c r="AZ238" s="25">
        <f t="shared" si="280"/>
        <v>0</v>
      </c>
      <c r="BA238" s="25">
        <f t="shared" si="281"/>
        <v>0</v>
      </c>
      <c r="BB238" s="26">
        <f t="array" ref="BB238">IFERROR(INDEX('Malaria-Equipment &amp; Other HPs'!$AE$130:$AE$230,MATCH($E238&amp;$F238,'Malaria-Equipment &amp; Other HPs'!$E$130:$E$230&amp;'Malaria-Equipment &amp; Other HPs'!$H$130:$H$230,0)),0)</f>
        <v>0</v>
      </c>
      <c r="BC238" s="26">
        <f t="shared" si="282"/>
        <v>0</v>
      </c>
      <c r="BD238" s="25">
        <f t="shared" si="283"/>
        <v>0</v>
      </c>
      <c r="BE238" s="25">
        <f t="shared" si="284"/>
        <v>0</v>
      </c>
      <c r="BF238" s="26">
        <f t="array" ref="BF238">IFERROR(INDEX('Malaria-Equipment &amp; Other HPs'!$AF$130:$AF$230,MATCH($E238&amp;$F238,'Malaria-Equipment &amp; Other HPs'!$E$130:$E$230&amp;'Malaria-Equipment &amp; Other HPs'!$H$130:$H$230,0)),0)</f>
        <v>0</v>
      </c>
      <c r="BG238" s="26">
        <f t="shared" si="285"/>
        <v>0</v>
      </c>
      <c r="BH238" s="25">
        <f t="shared" si="286"/>
        <v>0</v>
      </c>
      <c r="BI238" s="25">
        <f t="shared" si="287"/>
        <v>0</v>
      </c>
      <c r="BJ238" s="680"/>
      <c r="BK238" s="26"/>
      <c r="BL238" s="26"/>
      <c r="BM238" s="26"/>
      <c r="BN238" s="26"/>
      <c r="BO238" s="26"/>
      <c r="BP238" s="26"/>
      <c r="BQ238" s="26"/>
      <c r="BR238" s="26"/>
      <c r="BT238" s="21" t="s">
        <v>6848</v>
      </c>
    </row>
    <row r="239" spans="1:72">
      <c r="A239" s="29" t="s">
        <v>538</v>
      </c>
      <c r="B239" s="29" t="s">
        <v>1550</v>
      </c>
      <c r="C239" s="626">
        <f>SETUP!$F$58</f>
        <v>0</v>
      </c>
      <c r="D239" s="25">
        <v>6.6</v>
      </c>
      <c r="E239" s="26" t="s">
        <v>1226</v>
      </c>
      <c r="F239" s="26" t="s">
        <v>201</v>
      </c>
      <c r="G239" s="26" t="str">
        <f t="array" ref="G239">IFERROR(INDEX('Malaria-Equipment &amp; Other HPs'!$L$130:$L$230,MATCH($E239&amp;$F239,'Malaria-Equipment &amp; Other HPs'!$E$130:$E$230&amp;'Malaria-Equipment &amp; Other HPs'!$H$130:$H$230,0)),"")</f>
        <v/>
      </c>
      <c r="H239" s="26" t="str">
        <f t="array" ref="H239">IFERROR(INDEX('Malaria-Equipment &amp; Other HPs'!$M$130:$M$230,MATCH($E239&amp;$F239,'Malaria-Equipment &amp; Other HPs'!$E$130:$E$230&amp;'Malaria-Equipment &amp; Other HPs'!$H$130:$H$230,0)),"")</f>
        <v/>
      </c>
      <c r="I239" s="26">
        <f t="array" ref="I239">IFERROR(INDEX('Malaria-Equipment &amp; Other HPs'!$N$130:$N$230,MATCH($E239&amp;$F239,'Malaria-Equipment &amp; Other HPs'!$E$130:$E$230&amp;'Malaria-Equipment &amp; Other HPs'!$H$130:$H$230,0)),0)</f>
        <v>0</v>
      </c>
      <c r="J239" s="26">
        <f t="array" ref="J239">IFERROR(INDEX('Malaria-Equipment &amp; Other HPs'!$O$130:$O$230,MATCH($E239&amp;$F239,'Malaria-Equipment &amp; Other HPs'!$E$130:$E$230&amp;'Malaria-Equipment &amp; Other HPs'!$H$130:$H$230,0)),0)</f>
        <v>0</v>
      </c>
      <c r="K239" s="25">
        <f t="shared" si="252"/>
        <v>0</v>
      </c>
      <c r="L239" s="25">
        <f t="shared" si="253"/>
        <v>0</v>
      </c>
      <c r="M239" s="25">
        <f t="shared" si="254"/>
        <v>0</v>
      </c>
      <c r="N239" s="26">
        <f t="array" ref="N239">IFERROR(INDEX('Malaria-Equipment &amp; Other HPs'!$P$130:$P$230,MATCH($E239&amp;$F239,'Malaria-Equipment &amp; Other HPs'!$E$130:$E$230&amp;'Malaria-Equipment &amp; Other HPs'!$H$130:$H$230,0)),0)</f>
        <v>0</v>
      </c>
      <c r="O239" s="25">
        <f t="shared" si="255"/>
        <v>0</v>
      </c>
      <c r="P239" s="25">
        <f t="shared" si="256"/>
        <v>0</v>
      </c>
      <c r="Q239" s="25">
        <f t="shared" si="257"/>
        <v>0</v>
      </c>
      <c r="R239" s="26">
        <f t="array" ref="R239">IFERROR(INDEX('Malaria-Equipment &amp; Other HPs'!$Q$130:$Q$230,MATCH($E239&amp;$F239,'Malaria-Equipment &amp; Other HPs'!$E$130:$E$230&amp;'Malaria-Equipment &amp; Other HPs'!$H$130:$H$230,0)),0)</f>
        <v>0</v>
      </c>
      <c r="S239" s="25">
        <f t="shared" si="258"/>
        <v>0</v>
      </c>
      <c r="T239" s="25">
        <f t="shared" si="259"/>
        <v>0</v>
      </c>
      <c r="U239" s="25">
        <f t="shared" si="260"/>
        <v>0</v>
      </c>
      <c r="V239" s="26">
        <f t="array" ref="V239">IFERROR(INDEX('Malaria-Equipment &amp; Other HPs'!$R$130:$R$230,MATCH($E239&amp;$F239,'Malaria-Equipment &amp; Other HPs'!$E$130:$E$230&amp;'Malaria-Equipment &amp; Other HPs'!$H$130:$H$230,0)),0)</f>
        <v>0</v>
      </c>
      <c r="W239" s="25">
        <f t="shared" si="261"/>
        <v>0</v>
      </c>
      <c r="X239" s="25">
        <f t="shared" si="262"/>
        <v>0</v>
      </c>
      <c r="Y239" s="25">
        <f t="shared" si="263"/>
        <v>0</v>
      </c>
      <c r="Z239" s="680"/>
      <c r="AA239" s="26">
        <f t="array" ref="AA239">IFERROR(INDEX('Malaria-Equipment &amp; Other HPs'!$U$130:$U$230,MATCH($E239&amp;$F239,'Malaria-Equipment &amp; Other HPs'!$E$130:$E$230&amp;'Malaria-Equipment &amp; Other HPs'!$H$130:$H$230,0)),0)</f>
        <v>0</v>
      </c>
      <c r="AB239" s="26">
        <f t="array" ref="AB239">IFERROR(INDEX('Malaria-Equipment &amp; Other HPs'!$V$130:$V$230,MATCH($E239&amp;$F239,'Malaria-Equipment &amp; Other HPs'!$E$130:$E$230&amp;'Malaria-Equipment &amp; Other HPs'!$H$130:$H$230,0)),0)</f>
        <v>0</v>
      </c>
      <c r="AC239" s="26">
        <f t="shared" si="264"/>
        <v>0</v>
      </c>
      <c r="AD239" s="25">
        <f t="shared" si="265"/>
        <v>0</v>
      </c>
      <c r="AE239" s="25">
        <f t="shared" si="266"/>
        <v>0</v>
      </c>
      <c r="AF239" s="26">
        <f t="array" ref="AF239">IFERROR(INDEX('Malaria-Equipment &amp; Other HPs'!$W$130:$W$230,MATCH($E239&amp;$F239,'Malaria-Equipment &amp; Other HPs'!$E$130:$E$230&amp;'Malaria-Equipment &amp; Other HPs'!$H$130:$H$230,0)),0)</f>
        <v>0</v>
      </c>
      <c r="AG239" s="26">
        <f t="shared" si="267"/>
        <v>0</v>
      </c>
      <c r="AH239" s="25">
        <f t="shared" si="268"/>
        <v>0</v>
      </c>
      <c r="AI239" s="25">
        <f t="shared" si="269"/>
        <v>0</v>
      </c>
      <c r="AJ239" s="26">
        <f t="array" ref="AJ239">IFERROR(INDEX('Malaria-Equipment &amp; Other HPs'!$X$130:$X$230,MATCH($E239&amp;$F239,'Malaria-Equipment &amp; Other HPs'!$E$130:$E$230&amp;'Malaria-Equipment &amp; Other HPs'!$H$130:$H$230,0)),0)</f>
        <v>0</v>
      </c>
      <c r="AK239" s="26">
        <f t="shared" si="270"/>
        <v>0</v>
      </c>
      <c r="AL239" s="25">
        <f t="shared" si="271"/>
        <v>0</v>
      </c>
      <c r="AM239" s="25">
        <f t="shared" si="272"/>
        <v>0</v>
      </c>
      <c r="AN239" s="26">
        <f t="array" ref="AN239">IFERROR(INDEX('Malaria-Equipment &amp; Other HPs'!$Y$130:$Y$230,MATCH($E239&amp;$F239,'Malaria-Equipment &amp; Other HPs'!$E$130:$E$230&amp;'Malaria-Equipment &amp; Other HPs'!$H$130:$H$230,0)),0)</f>
        <v>0</v>
      </c>
      <c r="AO239" s="26">
        <f t="shared" si="273"/>
        <v>0</v>
      </c>
      <c r="AP239" s="25">
        <f t="shared" si="274"/>
        <v>0</v>
      </c>
      <c r="AQ239" s="25">
        <f t="shared" si="275"/>
        <v>0</v>
      </c>
      <c r="AR239" s="680"/>
      <c r="AS239" s="26">
        <f t="array" ref="AS239">IFERROR(INDEX('Malaria-Equipment &amp; Other HPs'!$AB$130:$AB$230,MATCH($E239&amp;$F239,'Malaria-Equipment &amp; Other HPs'!$E$130:$E$230&amp;'Malaria-Equipment &amp; Other HPs'!$H$130:$H$230,0)),0)</f>
        <v>0</v>
      </c>
      <c r="AT239" s="26">
        <f t="array" ref="AT239">IFERROR(INDEX('Malaria-Equipment &amp; Other HPs'!$AC$130:$AC$230,MATCH($E239&amp;$F239,'Malaria-Equipment &amp; Other HPs'!$E$130:$E$230&amp;'Malaria-Equipment &amp; Other HPs'!$H$130:$H$230,0)),0)</f>
        <v>0</v>
      </c>
      <c r="AU239" s="26">
        <f t="shared" si="276"/>
        <v>0</v>
      </c>
      <c r="AV239" s="25">
        <f t="shared" si="277"/>
        <v>0</v>
      </c>
      <c r="AW239" s="25">
        <f t="shared" si="278"/>
        <v>0</v>
      </c>
      <c r="AX239" s="26">
        <f t="array" ref="AX239">IFERROR(INDEX('Malaria-Equipment &amp; Other HPs'!$AD$130:$AD$230,MATCH($E239&amp;$F239,'Malaria-Equipment &amp; Other HPs'!$E$130:$E$230&amp;'Malaria-Equipment &amp; Other HPs'!$H$130:$H$230,0)),0)</f>
        <v>0</v>
      </c>
      <c r="AY239" s="26">
        <f t="shared" si="279"/>
        <v>0</v>
      </c>
      <c r="AZ239" s="25">
        <f t="shared" si="280"/>
        <v>0</v>
      </c>
      <c r="BA239" s="25">
        <f t="shared" si="281"/>
        <v>0</v>
      </c>
      <c r="BB239" s="26">
        <f t="array" ref="BB239">IFERROR(INDEX('Malaria-Equipment &amp; Other HPs'!$AE$130:$AE$230,MATCH($E239&amp;$F239,'Malaria-Equipment &amp; Other HPs'!$E$130:$E$230&amp;'Malaria-Equipment &amp; Other HPs'!$H$130:$H$230,0)),0)</f>
        <v>0</v>
      </c>
      <c r="BC239" s="26">
        <f t="shared" si="282"/>
        <v>0</v>
      </c>
      <c r="BD239" s="25">
        <f t="shared" si="283"/>
        <v>0</v>
      </c>
      <c r="BE239" s="25">
        <f t="shared" si="284"/>
        <v>0</v>
      </c>
      <c r="BF239" s="26">
        <f t="array" ref="BF239">IFERROR(INDEX('Malaria-Equipment &amp; Other HPs'!$AF$130:$AF$230,MATCH($E239&amp;$F239,'Malaria-Equipment &amp; Other HPs'!$E$130:$E$230&amp;'Malaria-Equipment &amp; Other HPs'!$H$130:$H$230,0)),0)</f>
        <v>0</v>
      </c>
      <c r="BG239" s="26">
        <f t="shared" si="285"/>
        <v>0</v>
      </c>
      <c r="BH239" s="25">
        <f t="shared" si="286"/>
        <v>0</v>
      </c>
      <c r="BI239" s="25">
        <f t="shared" si="287"/>
        <v>0</v>
      </c>
      <c r="BJ239" s="680"/>
      <c r="BK239" s="26"/>
      <c r="BL239" s="26"/>
      <c r="BM239" s="26"/>
      <c r="BN239" s="26"/>
      <c r="BO239" s="26"/>
      <c r="BP239" s="26"/>
      <c r="BQ239" s="26"/>
      <c r="BR239" s="26"/>
      <c r="BT239" s="21" t="s">
        <v>6849</v>
      </c>
    </row>
    <row r="240" spans="1:72">
      <c r="A240" s="29" t="s">
        <v>538</v>
      </c>
      <c r="B240" s="29" t="s">
        <v>1550</v>
      </c>
      <c r="C240" s="626">
        <f>SETUP!$F$58</f>
        <v>0</v>
      </c>
      <c r="D240" s="25">
        <v>6.6</v>
      </c>
      <c r="E240" s="26" t="s">
        <v>1226</v>
      </c>
      <c r="F240" s="26" t="s">
        <v>200</v>
      </c>
      <c r="G240" s="26" t="str">
        <f t="array" ref="G240">IFERROR(INDEX('Malaria-Equipment &amp; Other HPs'!$L$130:$L$230,MATCH($E240&amp;$F240,'Malaria-Equipment &amp; Other HPs'!$E$130:$E$230&amp;'Malaria-Equipment &amp; Other HPs'!$H$130:$H$230,0)),"")</f>
        <v/>
      </c>
      <c r="H240" s="26" t="str">
        <f t="array" ref="H240">IFERROR(INDEX('Malaria-Equipment &amp; Other HPs'!$M$130:$M$230,MATCH($E240&amp;$F240,'Malaria-Equipment &amp; Other HPs'!$E$130:$E$230&amp;'Malaria-Equipment &amp; Other HPs'!$H$130:$H$230,0)),"")</f>
        <v/>
      </c>
      <c r="I240" s="26">
        <f t="array" ref="I240">IFERROR(INDEX('Malaria-Equipment &amp; Other HPs'!$N$130:$N$230,MATCH($E240&amp;$F240,'Malaria-Equipment &amp; Other HPs'!$E$130:$E$230&amp;'Malaria-Equipment &amp; Other HPs'!$H$130:$H$230,0)),0)</f>
        <v>0</v>
      </c>
      <c r="J240" s="26">
        <f t="array" ref="J240">IFERROR(INDEX('Malaria-Equipment &amp; Other HPs'!$O$130:$O$230,MATCH($E240&amp;$F240,'Malaria-Equipment &amp; Other HPs'!$E$130:$E$230&amp;'Malaria-Equipment &amp; Other HPs'!$H$130:$H$230,0)),0)</f>
        <v>0</v>
      </c>
      <c r="K240" s="25">
        <f t="shared" si="252"/>
        <v>0</v>
      </c>
      <c r="L240" s="25">
        <f t="shared" si="253"/>
        <v>0</v>
      </c>
      <c r="M240" s="25">
        <f t="shared" si="254"/>
        <v>0</v>
      </c>
      <c r="N240" s="26">
        <f t="array" ref="N240">IFERROR(INDEX('Malaria-Equipment &amp; Other HPs'!$P$130:$P$230,MATCH($E240&amp;$F240,'Malaria-Equipment &amp; Other HPs'!$E$130:$E$230&amp;'Malaria-Equipment &amp; Other HPs'!$H$130:$H$230,0)),0)</f>
        <v>0</v>
      </c>
      <c r="O240" s="25">
        <f t="shared" si="255"/>
        <v>0</v>
      </c>
      <c r="P240" s="25">
        <f t="shared" si="256"/>
        <v>0</v>
      </c>
      <c r="Q240" s="25">
        <f t="shared" si="257"/>
        <v>0</v>
      </c>
      <c r="R240" s="26">
        <f t="array" ref="R240">IFERROR(INDEX('Malaria-Equipment &amp; Other HPs'!$Q$130:$Q$230,MATCH($E240&amp;$F240,'Malaria-Equipment &amp; Other HPs'!$E$130:$E$230&amp;'Malaria-Equipment &amp; Other HPs'!$H$130:$H$230,0)),0)</f>
        <v>0</v>
      </c>
      <c r="S240" s="25">
        <f t="shared" si="258"/>
        <v>0</v>
      </c>
      <c r="T240" s="25">
        <f t="shared" si="259"/>
        <v>0</v>
      </c>
      <c r="U240" s="25">
        <f t="shared" si="260"/>
        <v>0</v>
      </c>
      <c r="V240" s="26">
        <f t="array" ref="V240">IFERROR(INDEX('Malaria-Equipment &amp; Other HPs'!$R$130:$R$230,MATCH($E240&amp;$F240,'Malaria-Equipment &amp; Other HPs'!$E$130:$E$230&amp;'Malaria-Equipment &amp; Other HPs'!$H$130:$H$230,0)),0)</f>
        <v>0</v>
      </c>
      <c r="W240" s="25">
        <f t="shared" si="261"/>
        <v>0</v>
      </c>
      <c r="X240" s="25">
        <f t="shared" si="262"/>
        <v>0</v>
      </c>
      <c r="Y240" s="25">
        <f t="shared" si="263"/>
        <v>0</v>
      </c>
      <c r="Z240" s="680"/>
      <c r="AA240" s="26">
        <f t="array" ref="AA240">IFERROR(INDEX('Malaria-Equipment &amp; Other HPs'!$U$130:$U$230,MATCH($E240&amp;$F240,'Malaria-Equipment &amp; Other HPs'!$E$130:$E$230&amp;'Malaria-Equipment &amp; Other HPs'!$H$130:$H$230,0)),0)</f>
        <v>0</v>
      </c>
      <c r="AB240" s="26">
        <f t="array" ref="AB240">IFERROR(INDEX('Malaria-Equipment &amp; Other HPs'!$V$130:$V$230,MATCH($E240&amp;$F240,'Malaria-Equipment &amp; Other HPs'!$E$130:$E$230&amp;'Malaria-Equipment &amp; Other HPs'!$H$130:$H$230,0)),0)</f>
        <v>0</v>
      </c>
      <c r="AC240" s="26">
        <f t="shared" si="264"/>
        <v>0</v>
      </c>
      <c r="AD240" s="25">
        <f t="shared" si="265"/>
        <v>0</v>
      </c>
      <c r="AE240" s="25">
        <f t="shared" si="266"/>
        <v>0</v>
      </c>
      <c r="AF240" s="26">
        <f t="array" ref="AF240">IFERROR(INDEX('Malaria-Equipment &amp; Other HPs'!$W$130:$W$230,MATCH($E240&amp;$F240,'Malaria-Equipment &amp; Other HPs'!$E$130:$E$230&amp;'Malaria-Equipment &amp; Other HPs'!$H$130:$H$230,0)),0)</f>
        <v>0</v>
      </c>
      <c r="AG240" s="26">
        <f t="shared" si="267"/>
        <v>0</v>
      </c>
      <c r="AH240" s="25">
        <f t="shared" si="268"/>
        <v>0</v>
      </c>
      <c r="AI240" s="25">
        <f t="shared" si="269"/>
        <v>0</v>
      </c>
      <c r="AJ240" s="26">
        <f t="array" ref="AJ240">IFERROR(INDEX('Malaria-Equipment &amp; Other HPs'!$X$130:$X$230,MATCH($E240&amp;$F240,'Malaria-Equipment &amp; Other HPs'!$E$130:$E$230&amp;'Malaria-Equipment &amp; Other HPs'!$H$130:$H$230,0)),0)</f>
        <v>0</v>
      </c>
      <c r="AK240" s="26">
        <f t="shared" si="270"/>
        <v>0</v>
      </c>
      <c r="AL240" s="25">
        <f t="shared" si="271"/>
        <v>0</v>
      </c>
      <c r="AM240" s="25">
        <f t="shared" si="272"/>
        <v>0</v>
      </c>
      <c r="AN240" s="26">
        <f t="array" ref="AN240">IFERROR(INDEX('Malaria-Equipment &amp; Other HPs'!$Y$130:$Y$230,MATCH($E240&amp;$F240,'Malaria-Equipment &amp; Other HPs'!$E$130:$E$230&amp;'Malaria-Equipment &amp; Other HPs'!$H$130:$H$230,0)),0)</f>
        <v>0</v>
      </c>
      <c r="AO240" s="26">
        <f t="shared" si="273"/>
        <v>0</v>
      </c>
      <c r="AP240" s="25">
        <f t="shared" si="274"/>
        <v>0</v>
      </c>
      <c r="AQ240" s="25">
        <f t="shared" si="275"/>
        <v>0</v>
      </c>
      <c r="AR240" s="680"/>
      <c r="AS240" s="26">
        <f t="array" ref="AS240">IFERROR(INDEX('Malaria-Equipment &amp; Other HPs'!$AB$130:$AB$230,MATCH($E240&amp;$F240,'Malaria-Equipment &amp; Other HPs'!$E$130:$E$230&amp;'Malaria-Equipment &amp; Other HPs'!$H$130:$H$230,0)),0)</f>
        <v>0</v>
      </c>
      <c r="AT240" s="26">
        <f t="array" ref="AT240">IFERROR(INDEX('Malaria-Equipment &amp; Other HPs'!$AC$130:$AC$230,MATCH($E240&amp;$F240,'Malaria-Equipment &amp; Other HPs'!$E$130:$E$230&amp;'Malaria-Equipment &amp; Other HPs'!$H$130:$H$230,0)),0)</f>
        <v>0</v>
      </c>
      <c r="AU240" s="26">
        <f t="shared" si="276"/>
        <v>0</v>
      </c>
      <c r="AV240" s="25">
        <f t="shared" si="277"/>
        <v>0</v>
      </c>
      <c r="AW240" s="25">
        <f t="shared" si="278"/>
        <v>0</v>
      </c>
      <c r="AX240" s="26">
        <f t="array" ref="AX240">IFERROR(INDEX('Malaria-Equipment &amp; Other HPs'!$AD$130:$AD$230,MATCH($E240&amp;$F240,'Malaria-Equipment &amp; Other HPs'!$E$130:$E$230&amp;'Malaria-Equipment &amp; Other HPs'!$H$130:$H$230,0)),0)</f>
        <v>0</v>
      </c>
      <c r="AY240" s="26">
        <f t="shared" si="279"/>
        <v>0</v>
      </c>
      <c r="AZ240" s="25">
        <f t="shared" si="280"/>
        <v>0</v>
      </c>
      <c r="BA240" s="25">
        <f t="shared" si="281"/>
        <v>0</v>
      </c>
      <c r="BB240" s="26">
        <f t="array" ref="BB240">IFERROR(INDEX('Malaria-Equipment &amp; Other HPs'!$AE$130:$AE$230,MATCH($E240&amp;$F240,'Malaria-Equipment &amp; Other HPs'!$E$130:$E$230&amp;'Malaria-Equipment &amp; Other HPs'!$H$130:$H$230,0)),0)</f>
        <v>0</v>
      </c>
      <c r="BC240" s="26">
        <f t="shared" si="282"/>
        <v>0</v>
      </c>
      <c r="BD240" s="25">
        <f t="shared" si="283"/>
        <v>0</v>
      </c>
      <c r="BE240" s="25">
        <f t="shared" si="284"/>
        <v>0</v>
      </c>
      <c r="BF240" s="26">
        <f t="array" ref="BF240">IFERROR(INDEX('Malaria-Equipment &amp; Other HPs'!$AF$130:$AF$230,MATCH($E240&amp;$F240,'Malaria-Equipment &amp; Other HPs'!$E$130:$E$230&amp;'Malaria-Equipment &amp; Other HPs'!$H$130:$H$230,0)),0)</f>
        <v>0</v>
      </c>
      <c r="BG240" s="26">
        <f t="shared" si="285"/>
        <v>0</v>
      </c>
      <c r="BH240" s="25">
        <f t="shared" si="286"/>
        <v>0</v>
      </c>
      <c r="BI240" s="25">
        <f t="shared" si="287"/>
        <v>0</v>
      </c>
      <c r="BJ240" s="680"/>
      <c r="BK240" s="26"/>
      <c r="BL240" s="26"/>
      <c r="BM240" s="26"/>
      <c r="BN240" s="26"/>
      <c r="BO240" s="26"/>
      <c r="BP240" s="26"/>
      <c r="BQ240" s="26"/>
      <c r="BR240" s="26"/>
      <c r="BT240" s="21" t="s">
        <v>6849</v>
      </c>
    </row>
    <row r="241" spans="1:72">
      <c r="A241" s="29" t="s">
        <v>538</v>
      </c>
      <c r="B241" s="29" t="s">
        <v>1550</v>
      </c>
      <c r="C241" s="626">
        <f>SETUP!$F$58</f>
        <v>0</v>
      </c>
      <c r="D241" s="25">
        <v>6.5</v>
      </c>
      <c r="E241" s="26" t="s">
        <v>328</v>
      </c>
      <c r="F241" s="26" t="s">
        <v>218</v>
      </c>
      <c r="G241" s="26" t="str">
        <f t="array" ref="G241">IFERROR(INDEX('Malaria-Equipment &amp; Other HPs'!$L$130:$L$230,MATCH($E241&amp;$F241,'Malaria-Equipment &amp; Other HPs'!$E$130:$E$230&amp;'Malaria-Equipment &amp; Other HPs'!$H$130:$H$230,0)),"")</f>
        <v/>
      </c>
      <c r="H241" s="26" t="str">
        <f t="array" ref="H241">IFERROR(INDEX('Malaria-Equipment &amp; Other HPs'!$M$130:$M$230,MATCH($E241&amp;$F241,'Malaria-Equipment &amp; Other HPs'!$E$130:$E$230&amp;'Malaria-Equipment &amp; Other HPs'!$H$130:$H$230,0)),"")</f>
        <v/>
      </c>
      <c r="I241" s="26">
        <f t="array" ref="I241">IFERROR(INDEX('Malaria-Equipment &amp; Other HPs'!$N$130:$N$230,MATCH($E241&amp;$F241,'Malaria-Equipment &amp; Other HPs'!$E$130:$E$230&amp;'Malaria-Equipment &amp; Other HPs'!$H$130:$H$230,0)),0)</f>
        <v>0</v>
      </c>
      <c r="J241" s="26">
        <f t="array" ref="J241">IFERROR(INDEX('Malaria-Equipment &amp; Other HPs'!$O$130:$O$230,MATCH($E241&amp;$F241,'Malaria-Equipment &amp; Other HPs'!$E$130:$E$230&amp;'Malaria-Equipment &amp; Other HPs'!$H$130:$H$230,0)),0)</f>
        <v>0</v>
      </c>
      <c r="K241" s="25">
        <f t="shared" si="252"/>
        <v>0</v>
      </c>
      <c r="L241" s="25">
        <f t="shared" si="253"/>
        <v>0</v>
      </c>
      <c r="M241" s="25">
        <f t="shared" si="254"/>
        <v>0</v>
      </c>
      <c r="N241" s="26">
        <f t="array" ref="N241">IFERROR(INDEX('Malaria-Equipment &amp; Other HPs'!$P$130:$P$230,MATCH($E241&amp;$F241,'Malaria-Equipment &amp; Other HPs'!$E$130:$E$230&amp;'Malaria-Equipment &amp; Other HPs'!$H$130:$H$230,0)),0)</f>
        <v>0</v>
      </c>
      <c r="O241" s="25">
        <f t="shared" si="255"/>
        <v>0</v>
      </c>
      <c r="P241" s="25">
        <f t="shared" si="256"/>
        <v>0</v>
      </c>
      <c r="Q241" s="25">
        <f t="shared" si="257"/>
        <v>0</v>
      </c>
      <c r="R241" s="26">
        <f t="array" ref="R241">IFERROR(INDEX('Malaria-Equipment &amp; Other HPs'!$Q$130:$Q$230,MATCH($E241&amp;$F241,'Malaria-Equipment &amp; Other HPs'!$E$130:$E$230&amp;'Malaria-Equipment &amp; Other HPs'!$H$130:$H$230,0)),0)</f>
        <v>0</v>
      </c>
      <c r="S241" s="25">
        <f t="shared" si="258"/>
        <v>0</v>
      </c>
      <c r="T241" s="25">
        <f t="shared" si="259"/>
        <v>0</v>
      </c>
      <c r="U241" s="25">
        <f t="shared" si="260"/>
        <v>0</v>
      </c>
      <c r="V241" s="26">
        <f t="array" ref="V241">IFERROR(INDEX('Malaria-Equipment &amp; Other HPs'!$R$130:$R$230,MATCH($E241&amp;$F241,'Malaria-Equipment &amp; Other HPs'!$E$130:$E$230&amp;'Malaria-Equipment &amp; Other HPs'!$H$130:$H$230,0)),0)</f>
        <v>0</v>
      </c>
      <c r="W241" s="25">
        <f t="shared" si="261"/>
        <v>0</v>
      </c>
      <c r="X241" s="25">
        <f t="shared" si="262"/>
        <v>0</v>
      </c>
      <c r="Y241" s="25">
        <f t="shared" si="263"/>
        <v>0</v>
      </c>
      <c r="Z241" s="680"/>
      <c r="AA241" s="26">
        <f t="array" ref="AA241">IFERROR(INDEX('Malaria-Equipment &amp; Other HPs'!$U$130:$U$230,MATCH($E241&amp;$F241,'Malaria-Equipment &amp; Other HPs'!$E$130:$E$230&amp;'Malaria-Equipment &amp; Other HPs'!$H$130:$H$230,0)),0)</f>
        <v>0</v>
      </c>
      <c r="AB241" s="26">
        <f t="array" ref="AB241">IFERROR(INDEX('Malaria-Equipment &amp; Other HPs'!$V$130:$V$230,MATCH($E241&amp;$F241,'Malaria-Equipment &amp; Other HPs'!$E$130:$E$230&amp;'Malaria-Equipment &amp; Other HPs'!$H$130:$H$230,0)),0)</f>
        <v>0</v>
      </c>
      <c r="AC241" s="26">
        <f t="shared" si="264"/>
        <v>0</v>
      </c>
      <c r="AD241" s="25">
        <f t="shared" si="265"/>
        <v>0</v>
      </c>
      <c r="AE241" s="25">
        <f t="shared" si="266"/>
        <v>0</v>
      </c>
      <c r="AF241" s="26">
        <f t="array" ref="AF241">IFERROR(INDEX('Malaria-Equipment &amp; Other HPs'!$W$130:$W$230,MATCH($E241&amp;$F241,'Malaria-Equipment &amp; Other HPs'!$E$130:$E$230&amp;'Malaria-Equipment &amp; Other HPs'!$H$130:$H$230,0)),0)</f>
        <v>0</v>
      </c>
      <c r="AG241" s="26">
        <f t="shared" si="267"/>
        <v>0</v>
      </c>
      <c r="AH241" s="25">
        <f t="shared" si="268"/>
        <v>0</v>
      </c>
      <c r="AI241" s="25">
        <f t="shared" si="269"/>
        <v>0</v>
      </c>
      <c r="AJ241" s="26">
        <f t="array" ref="AJ241">IFERROR(INDEX('Malaria-Equipment &amp; Other HPs'!$X$130:$X$230,MATCH($E241&amp;$F241,'Malaria-Equipment &amp; Other HPs'!$E$130:$E$230&amp;'Malaria-Equipment &amp; Other HPs'!$H$130:$H$230,0)),0)</f>
        <v>0</v>
      </c>
      <c r="AK241" s="26">
        <f t="shared" si="270"/>
        <v>0</v>
      </c>
      <c r="AL241" s="25">
        <f t="shared" si="271"/>
        <v>0</v>
      </c>
      <c r="AM241" s="25">
        <f t="shared" si="272"/>
        <v>0</v>
      </c>
      <c r="AN241" s="26">
        <f t="array" ref="AN241">IFERROR(INDEX('Malaria-Equipment &amp; Other HPs'!$Y$130:$Y$230,MATCH($E241&amp;$F241,'Malaria-Equipment &amp; Other HPs'!$E$130:$E$230&amp;'Malaria-Equipment &amp; Other HPs'!$H$130:$H$230,0)),0)</f>
        <v>0</v>
      </c>
      <c r="AO241" s="26">
        <f t="shared" si="273"/>
        <v>0</v>
      </c>
      <c r="AP241" s="25">
        <f t="shared" si="274"/>
        <v>0</v>
      </c>
      <c r="AQ241" s="25">
        <f t="shared" si="275"/>
        <v>0</v>
      </c>
      <c r="AR241" s="680"/>
      <c r="AS241" s="26">
        <f t="array" ref="AS241">IFERROR(INDEX('Malaria-Equipment &amp; Other HPs'!$AB$130:$AB$230,MATCH($E241&amp;$F241,'Malaria-Equipment &amp; Other HPs'!$E$130:$E$230&amp;'Malaria-Equipment &amp; Other HPs'!$H$130:$H$230,0)),0)</f>
        <v>0</v>
      </c>
      <c r="AT241" s="26">
        <f t="array" ref="AT241">IFERROR(INDEX('Malaria-Equipment &amp; Other HPs'!$AC$130:$AC$230,MATCH($E241&amp;$F241,'Malaria-Equipment &amp; Other HPs'!$E$130:$E$230&amp;'Malaria-Equipment &amp; Other HPs'!$H$130:$H$230,0)),0)</f>
        <v>0</v>
      </c>
      <c r="AU241" s="26">
        <f t="shared" si="276"/>
        <v>0</v>
      </c>
      <c r="AV241" s="25">
        <f t="shared" si="277"/>
        <v>0</v>
      </c>
      <c r="AW241" s="25">
        <f t="shared" si="278"/>
        <v>0</v>
      </c>
      <c r="AX241" s="26">
        <f t="array" ref="AX241">IFERROR(INDEX('Malaria-Equipment &amp; Other HPs'!$AD$130:$AD$230,MATCH($E241&amp;$F241,'Malaria-Equipment &amp; Other HPs'!$E$130:$E$230&amp;'Malaria-Equipment &amp; Other HPs'!$H$130:$H$230,0)),0)</f>
        <v>0</v>
      </c>
      <c r="AY241" s="26">
        <f t="shared" si="279"/>
        <v>0</v>
      </c>
      <c r="AZ241" s="25">
        <f t="shared" si="280"/>
        <v>0</v>
      </c>
      <c r="BA241" s="25">
        <f t="shared" si="281"/>
        <v>0</v>
      </c>
      <c r="BB241" s="26">
        <f t="array" ref="BB241">IFERROR(INDEX('Malaria-Equipment &amp; Other HPs'!$AE$130:$AE$230,MATCH($E241&amp;$F241,'Malaria-Equipment &amp; Other HPs'!$E$130:$E$230&amp;'Malaria-Equipment &amp; Other HPs'!$H$130:$H$230,0)),0)</f>
        <v>0</v>
      </c>
      <c r="BC241" s="26">
        <f t="shared" si="282"/>
        <v>0</v>
      </c>
      <c r="BD241" s="25">
        <f t="shared" si="283"/>
        <v>0</v>
      </c>
      <c r="BE241" s="25">
        <f t="shared" si="284"/>
        <v>0</v>
      </c>
      <c r="BF241" s="26">
        <f t="array" ref="BF241">IFERROR(INDEX('Malaria-Equipment &amp; Other HPs'!$AF$130:$AF$230,MATCH($E241&amp;$F241,'Malaria-Equipment &amp; Other HPs'!$E$130:$E$230&amp;'Malaria-Equipment &amp; Other HPs'!$H$130:$H$230,0)),0)</f>
        <v>0</v>
      </c>
      <c r="BG241" s="26">
        <f t="shared" si="285"/>
        <v>0</v>
      </c>
      <c r="BH241" s="25">
        <f t="shared" si="286"/>
        <v>0</v>
      </c>
      <c r="BI241" s="25">
        <f t="shared" si="287"/>
        <v>0</v>
      </c>
      <c r="BJ241" s="680"/>
      <c r="BK241" s="26"/>
      <c r="BL241" s="26"/>
      <c r="BM241" s="26"/>
      <c r="BN241" s="26"/>
      <c r="BO241" s="26"/>
      <c r="BP241" s="26"/>
      <c r="BQ241" s="26"/>
      <c r="BR241" s="26"/>
      <c r="BT241" s="21" t="s">
        <v>6850</v>
      </c>
    </row>
    <row r="242" spans="1:72">
      <c r="A242" s="29" t="s">
        <v>538</v>
      </c>
      <c r="B242" s="29" t="s">
        <v>1550</v>
      </c>
      <c r="C242" s="626">
        <f>SETUP!$F$58</f>
        <v>0</v>
      </c>
      <c r="D242" s="25">
        <v>6.6</v>
      </c>
      <c r="E242" s="26" t="s">
        <v>328</v>
      </c>
      <c r="F242" s="26" t="s">
        <v>201</v>
      </c>
      <c r="G242" s="26" t="str">
        <f t="array" ref="G242">IFERROR(INDEX('Malaria-Equipment &amp; Other HPs'!$L$130:$L$230,MATCH($E242&amp;$F242,'Malaria-Equipment &amp; Other HPs'!$E$130:$E$230&amp;'Malaria-Equipment &amp; Other HPs'!$H$130:$H$230,0)),"")</f>
        <v/>
      </c>
      <c r="H242" s="26" t="str">
        <f t="array" ref="H242">IFERROR(INDEX('Malaria-Equipment &amp; Other HPs'!$M$130:$M$230,MATCH($E242&amp;$F242,'Malaria-Equipment &amp; Other HPs'!$E$130:$E$230&amp;'Malaria-Equipment &amp; Other HPs'!$H$130:$H$230,0)),"")</f>
        <v/>
      </c>
      <c r="I242" s="26">
        <f t="array" ref="I242">IFERROR(INDEX('Malaria-Equipment &amp; Other HPs'!$N$130:$N$230,MATCH($E242&amp;$F242,'Malaria-Equipment &amp; Other HPs'!$E$130:$E$230&amp;'Malaria-Equipment &amp; Other HPs'!$H$130:$H$230,0)),0)</f>
        <v>0</v>
      </c>
      <c r="J242" s="26">
        <f t="array" ref="J242">IFERROR(INDEX('Malaria-Equipment &amp; Other HPs'!$O$130:$O$230,MATCH($E242&amp;$F242,'Malaria-Equipment &amp; Other HPs'!$E$130:$E$230&amp;'Malaria-Equipment &amp; Other HPs'!$H$130:$H$230,0)),0)</f>
        <v>0</v>
      </c>
      <c r="K242" s="25">
        <f t="shared" si="252"/>
        <v>0</v>
      </c>
      <c r="L242" s="25">
        <f t="shared" si="253"/>
        <v>0</v>
      </c>
      <c r="M242" s="25">
        <f t="shared" si="254"/>
        <v>0</v>
      </c>
      <c r="N242" s="26">
        <f t="array" ref="N242">IFERROR(INDEX('Malaria-Equipment &amp; Other HPs'!$P$130:$P$230,MATCH($E242&amp;$F242,'Malaria-Equipment &amp; Other HPs'!$E$130:$E$230&amp;'Malaria-Equipment &amp; Other HPs'!$H$130:$H$230,0)),0)</f>
        <v>0</v>
      </c>
      <c r="O242" s="25">
        <f t="shared" si="255"/>
        <v>0</v>
      </c>
      <c r="P242" s="25">
        <f t="shared" si="256"/>
        <v>0</v>
      </c>
      <c r="Q242" s="25">
        <f t="shared" si="257"/>
        <v>0</v>
      </c>
      <c r="R242" s="26">
        <f t="array" ref="R242">IFERROR(INDEX('Malaria-Equipment &amp; Other HPs'!$Q$130:$Q$230,MATCH($E242&amp;$F242,'Malaria-Equipment &amp; Other HPs'!$E$130:$E$230&amp;'Malaria-Equipment &amp; Other HPs'!$H$130:$H$230,0)),0)</f>
        <v>0</v>
      </c>
      <c r="S242" s="25">
        <f t="shared" si="258"/>
        <v>0</v>
      </c>
      <c r="T242" s="25">
        <f t="shared" si="259"/>
        <v>0</v>
      </c>
      <c r="U242" s="25">
        <f t="shared" si="260"/>
        <v>0</v>
      </c>
      <c r="V242" s="26">
        <f t="array" ref="V242">IFERROR(INDEX('Malaria-Equipment &amp; Other HPs'!$R$130:$R$230,MATCH($E242&amp;$F242,'Malaria-Equipment &amp; Other HPs'!$E$130:$E$230&amp;'Malaria-Equipment &amp; Other HPs'!$H$130:$H$230,0)),0)</f>
        <v>0</v>
      </c>
      <c r="W242" s="25">
        <f t="shared" si="261"/>
        <v>0</v>
      </c>
      <c r="X242" s="25">
        <f t="shared" si="262"/>
        <v>0</v>
      </c>
      <c r="Y242" s="25">
        <f t="shared" si="263"/>
        <v>0</v>
      </c>
      <c r="Z242" s="680"/>
      <c r="AA242" s="26">
        <f t="array" ref="AA242">IFERROR(INDEX('Malaria-Equipment &amp; Other HPs'!$U$130:$U$230,MATCH($E242&amp;$F242,'Malaria-Equipment &amp; Other HPs'!$E$130:$E$230&amp;'Malaria-Equipment &amp; Other HPs'!$H$130:$H$230,0)),0)</f>
        <v>0</v>
      </c>
      <c r="AB242" s="26">
        <f t="array" ref="AB242">IFERROR(INDEX('Malaria-Equipment &amp; Other HPs'!$V$130:$V$230,MATCH($E242&amp;$F242,'Malaria-Equipment &amp; Other HPs'!$E$130:$E$230&amp;'Malaria-Equipment &amp; Other HPs'!$H$130:$H$230,0)),0)</f>
        <v>0</v>
      </c>
      <c r="AC242" s="26">
        <f t="shared" si="264"/>
        <v>0</v>
      </c>
      <c r="AD242" s="25">
        <f t="shared" si="265"/>
        <v>0</v>
      </c>
      <c r="AE242" s="25">
        <f t="shared" si="266"/>
        <v>0</v>
      </c>
      <c r="AF242" s="26">
        <f t="array" ref="AF242">IFERROR(INDEX('Malaria-Equipment &amp; Other HPs'!$W$130:$W$230,MATCH($E242&amp;$F242,'Malaria-Equipment &amp; Other HPs'!$E$130:$E$230&amp;'Malaria-Equipment &amp; Other HPs'!$H$130:$H$230,0)),0)</f>
        <v>0</v>
      </c>
      <c r="AG242" s="26">
        <f t="shared" si="267"/>
        <v>0</v>
      </c>
      <c r="AH242" s="25">
        <f t="shared" si="268"/>
        <v>0</v>
      </c>
      <c r="AI242" s="25">
        <f t="shared" si="269"/>
        <v>0</v>
      </c>
      <c r="AJ242" s="26">
        <f t="array" ref="AJ242">IFERROR(INDEX('Malaria-Equipment &amp; Other HPs'!$X$130:$X$230,MATCH($E242&amp;$F242,'Malaria-Equipment &amp; Other HPs'!$E$130:$E$230&amp;'Malaria-Equipment &amp; Other HPs'!$H$130:$H$230,0)),0)</f>
        <v>0</v>
      </c>
      <c r="AK242" s="26">
        <f t="shared" si="270"/>
        <v>0</v>
      </c>
      <c r="AL242" s="25">
        <f t="shared" si="271"/>
        <v>0</v>
      </c>
      <c r="AM242" s="25">
        <f t="shared" si="272"/>
        <v>0</v>
      </c>
      <c r="AN242" s="26">
        <f t="array" ref="AN242">IFERROR(INDEX('Malaria-Equipment &amp; Other HPs'!$Y$130:$Y$230,MATCH($E242&amp;$F242,'Malaria-Equipment &amp; Other HPs'!$E$130:$E$230&amp;'Malaria-Equipment &amp; Other HPs'!$H$130:$H$230,0)),0)</f>
        <v>0</v>
      </c>
      <c r="AO242" s="26">
        <f t="shared" si="273"/>
        <v>0</v>
      </c>
      <c r="AP242" s="25">
        <f t="shared" si="274"/>
        <v>0</v>
      </c>
      <c r="AQ242" s="25">
        <f t="shared" si="275"/>
        <v>0</v>
      </c>
      <c r="AR242" s="680"/>
      <c r="AS242" s="26">
        <f t="array" ref="AS242">IFERROR(INDEX('Malaria-Equipment &amp; Other HPs'!$AB$130:$AB$230,MATCH($E242&amp;$F242,'Malaria-Equipment &amp; Other HPs'!$E$130:$E$230&amp;'Malaria-Equipment &amp; Other HPs'!$H$130:$H$230,0)),0)</f>
        <v>0</v>
      </c>
      <c r="AT242" s="26">
        <f t="array" ref="AT242">IFERROR(INDEX('Malaria-Equipment &amp; Other HPs'!$AC$130:$AC$230,MATCH($E242&amp;$F242,'Malaria-Equipment &amp; Other HPs'!$E$130:$E$230&amp;'Malaria-Equipment &amp; Other HPs'!$H$130:$H$230,0)),0)</f>
        <v>0</v>
      </c>
      <c r="AU242" s="26">
        <f t="shared" si="276"/>
        <v>0</v>
      </c>
      <c r="AV242" s="25">
        <f t="shared" si="277"/>
        <v>0</v>
      </c>
      <c r="AW242" s="25">
        <f t="shared" si="278"/>
        <v>0</v>
      </c>
      <c r="AX242" s="26">
        <f t="array" ref="AX242">IFERROR(INDEX('Malaria-Equipment &amp; Other HPs'!$AD$130:$AD$230,MATCH($E242&amp;$F242,'Malaria-Equipment &amp; Other HPs'!$E$130:$E$230&amp;'Malaria-Equipment &amp; Other HPs'!$H$130:$H$230,0)),0)</f>
        <v>0</v>
      </c>
      <c r="AY242" s="26">
        <f t="shared" si="279"/>
        <v>0</v>
      </c>
      <c r="AZ242" s="25">
        <f t="shared" si="280"/>
        <v>0</v>
      </c>
      <c r="BA242" s="25">
        <f t="shared" si="281"/>
        <v>0</v>
      </c>
      <c r="BB242" s="26">
        <f t="array" ref="BB242">IFERROR(INDEX('Malaria-Equipment &amp; Other HPs'!$AE$130:$AE$230,MATCH($E242&amp;$F242,'Malaria-Equipment &amp; Other HPs'!$E$130:$E$230&amp;'Malaria-Equipment &amp; Other HPs'!$H$130:$H$230,0)),0)</f>
        <v>0</v>
      </c>
      <c r="BC242" s="26">
        <f t="shared" si="282"/>
        <v>0</v>
      </c>
      <c r="BD242" s="25">
        <f t="shared" si="283"/>
        <v>0</v>
      </c>
      <c r="BE242" s="25">
        <f t="shared" si="284"/>
        <v>0</v>
      </c>
      <c r="BF242" s="26">
        <f t="array" ref="BF242">IFERROR(INDEX('Malaria-Equipment &amp; Other HPs'!$AF$130:$AF$230,MATCH($E242&amp;$F242,'Malaria-Equipment &amp; Other HPs'!$E$130:$E$230&amp;'Malaria-Equipment &amp; Other HPs'!$H$130:$H$230,0)),0)</f>
        <v>0</v>
      </c>
      <c r="BG242" s="26">
        <f t="shared" si="285"/>
        <v>0</v>
      </c>
      <c r="BH242" s="25">
        <f t="shared" si="286"/>
        <v>0</v>
      </c>
      <c r="BI242" s="25">
        <f t="shared" si="287"/>
        <v>0</v>
      </c>
      <c r="BJ242" s="680"/>
      <c r="BK242" s="26"/>
      <c r="BL242" s="26"/>
      <c r="BM242" s="26"/>
      <c r="BN242" s="26"/>
      <c r="BO242" s="26"/>
      <c r="BP242" s="26"/>
      <c r="BQ242" s="26"/>
      <c r="BR242" s="26"/>
      <c r="BT242" s="21" t="s">
        <v>6851</v>
      </c>
    </row>
    <row r="243" spans="1:72">
      <c r="A243" s="29" t="s">
        <v>538</v>
      </c>
      <c r="B243" s="29" t="s">
        <v>1550</v>
      </c>
      <c r="C243" s="626">
        <f>SETUP!$F$58</f>
        <v>0</v>
      </c>
      <c r="D243" s="25">
        <v>6.6</v>
      </c>
      <c r="E243" s="26" t="s">
        <v>328</v>
      </c>
      <c r="F243" s="26" t="s">
        <v>200</v>
      </c>
      <c r="G243" s="26" t="str">
        <f t="array" ref="G243">IFERROR(INDEX('Malaria-Equipment &amp; Other HPs'!$L$130:$L$230,MATCH($E243&amp;$F243,'Malaria-Equipment &amp; Other HPs'!$E$130:$E$230&amp;'Malaria-Equipment &amp; Other HPs'!$H$130:$H$230,0)),"")</f>
        <v/>
      </c>
      <c r="H243" s="26" t="str">
        <f t="array" ref="H243">IFERROR(INDEX('Malaria-Equipment &amp; Other HPs'!$M$130:$M$230,MATCH($E243&amp;$F243,'Malaria-Equipment &amp; Other HPs'!$E$130:$E$230&amp;'Malaria-Equipment &amp; Other HPs'!$H$130:$H$230,0)),"")</f>
        <v/>
      </c>
      <c r="I243" s="26">
        <f t="array" ref="I243">IFERROR(INDEX('Malaria-Equipment &amp; Other HPs'!$N$130:$N$230,MATCH($E243&amp;$F243,'Malaria-Equipment &amp; Other HPs'!$E$130:$E$230&amp;'Malaria-Equipment &amp; Other HPs'!$H$130:$H$230,0)),0)</f>
        <v>0</v>
      </c>
      <c r="J243" s="26">
        <f t="array" ref="J243">IFERROR(INDEX('Malaria-Equipment &amp; Other HPs'!$O$130:$O$230,MATCH($E243&amp;$F243,'Malaria-Equipment &amp; Other HPs'!$E$130:$E$230&amp;'Malaria-Equipment &amp; Other HPs'!$H$130:$H$230,0)),0)</f>
        <v>0</v>
      </c>
      <c r="K243" s="25">
        <f t="shared" si="252"/>
        <v>0</v>
      </c>
      <c r="L243" s="25">
        <f t="shared" si="253"/>
        <v>0</v>
      </c>
      <c r="M243" s="25">
        <f t="shared" si="254"/>
        <v>0</v>
      </c>
      <c r="N243" s="26">
        <f t="array" ref="N243">IFERROR(INDEX('Malaria-Equipment &amp; Other HPs'!$P$130:$P$230,MATCH($E243&amp;$F243,'Malaria-Equipment &amp; Other HPs'!$E$130:$E$230&amp;'Malaria-Equipment &amp; Other HPs'!$H$130:$H$230,0)),0)</f>
        <v>0</v>
      </c>
      <c r="O243" s="25">
        <f t="shared" si="255"/>
        <v>0</v>
      </c>
      <c r="P243" s="25">
        <f t="shared" si="256"/>
        <v>0</v>
      </c>
      <c r="Q243" s="25">
        <f t="shared" si="257"/>
        <v>0</v>
      </c>
      <c r="R243" s="26">
        <f t="array" ref="R243">IFERROR(INDEX('Malaria-Equipment &amp; Other HPs'!$Q$130:$Q$230,MATCH($E243&amp;$F243,'Malaria-Equipment &amp; Other HPs'!$E$130:$E$230&amp;'Malaria-Equipment &amp; Other HPs'!$H$130:$H$230,0)),0)</f>
        <v>0</v>
      </c>
      <c r="S243" s="25">
        <f t="shared" si="258"/>
        <v>0</v>
      </c>
      <c r="T243" s="25">
        <f t="shared" si="259"/>
        <v>0</v>
      </c>
      <c r="U243" s="25">
        <f t="shared" si="260"/>
        <v>0</v>
      </c>
      <c r="V243" s="26">
        <f t="array" ref="V243">IFERROR(INDEX('Malaria-Equipment &amp; Other HPs'!$R$130:$R$230,MATCH($E243&amp;$F243,'Malaria-Equipment &amp; Other HPs'!$E$130:$E$230&amp;'Malaria-Equipment &amp; Other HPs'!$H$130:$H$230,0)),0)</f>
        <v>0</v>
      </c>
      <c r="W243" s="25">
        <f t="shared" si="261"/>
        <v>0</v>
      </c>
      <c r="X243" s="25">
        <f t="shared" si="262"/>
        <v>0</v>
      </c>
      <c r="Y243" s="25">
        <f t="shared" si="263"/>
        <v>0</v>
      </c>
      <c r="Z243" s="680"/>
      <c r="AA243" s="26">
        <f t="array" ref="AA243">IFERROR(INDEX('Malaria-Equipment &amp; Other HPs'!$U$130:$U$230,MATCH($E243&amp;$F243,'Malaria-Equipment &amp; Other HPs'!$E$130:$E$230&amp;'Malaria-Equipment &amp; Other HPs'!$H$130:$H$230,0)),0)</f>
        <v>0</v>
      </c>
      <c r="AB243" s="26">
        <f t="array" ref="AB243">IFERROR(INDEX('Malaria-Equipment &amp; Other HPs'!$V$130:$V$230,MATCH($E243&amp;$F243,'Malaria-Equipment &amp; Other HPs'!$E$130:$E$230&amp;'Malaria-Equipment &amp; Other HPs'!$H$130:$H$230,0)),0)</f>
        <v>0</v>
      </c>
      <c r="AC243" s="26">
        <f t="shared" si="264"/>
        <v>0</v>
      </c>
      <c r="AD243" s="25">
        <f t="shared" si="265"/>
        <v>0</v>
      </c>
      <c r="AE243" s="25">
        <f t="shared" si="266"/>
        <v>0</v>
      </c>
      <c r="AF243" s="26">
        <f t="array" ref="AF243">IFERROR(INDEX('Malaria-Equipment &amp; Other HPs'!$W$130:$W$230,MATCH($E243&amp;$F243,'Malaria-Equipment &amp; Other HPs'!$E$130:$E$230&amp;'Malaria-Equipment &amp; Other HPs'!$H$130:$H$230,0)),0)</f>
        <v>0</v>
      </c>
      <c r="AG243" s="26">
        <f t="shared" si="267"/>
        <v>0</v>
      </c>
      <c r="AH243" s="25">
        <f t="shared" si="268"/>
        <v>0</v>
      </c>
      <c r="AI243" s="25">
        <f t="shared" si="269"/>
        <v>0</v>
      </c>
      <c r="AJ243" s="26">
        <f t="array" ref="AJ243">IFERROR(INDEX('Malaria-Equipment &amp; Other HPs'!$X$130:$X$230,MATCH($E243&amp;$F243,'Malaria-Equipment &amp; Other HPs'!$E$130:$E$230&amp;'Malaria-Equipment &amp; Other HPs'!$H$130:$H$230,0)),0)</f>
        <v>0</v>
      </c>
      <c r="AK243" s="26">
        <f t="shared" si="270"/>
        <v>0</v>
      </c>
      <c r="AL243" s="25">
        <f t="shared" si="271"/>
        <v>0</v>
      </c>
      <c r="AM243" s="25">
        <f t="shared" si="272"/>
        <v>0</v>
      </c>
      <c r="AN243" s="26">
        <f t="array" ref="AN243">IFERROR(INDEX('Malaria-Equipment &amp; Other HPs'!$Y$130:$Y$230,MATCH($E243&amp;$F243,'Malaria-Equipment &amp; Other HPs'!$E$130:$E$230&amp;'Malaria-Equipment &amp; Other HPs'!$H$130:$H$230,0)),0)</f>
        <v>0</v>
      </c>
      <c r="AO243" s="26">
        <f t="shared" si="273"/>
        <v>0</v>
      </c>
      <c r="AP243" s="25">
        <f t="shared" si="274"/>
        <v>0</v>
      </c>
      <c r="AQ243" s="25">
        <f t="shared" si="275"/>
        <v>0</v>
      </c>
      <c r="AR243" s="680"/>
      <c r="AS243" s="26">
        <f t="array" ref="AS243">IFERROR(INDEX('Malaria-Equipment &amp; Other HPs'!$AB$130:$AB$230,MATCH($E243&amp;$F243,'Malaria-Equipment &amp; Other HPs'!$E$130:$E$230&amp;'Malaria-Equipment &amp; Other HPs'!$H$130:$H$230,0)),0)</f>
        <v>0</v>
      </c>
      <c r="AT243" s="26">
        <f t="array" ref="AT243">IFERROR(INDEX('Malaria-Equipment &amp; Other HPs'!$AC$130:$AC$230,MATCH($E243&amp;$F243,'Malaria-Equipment &amp; Other HPs'!$E$130:$E$230&amp;'Malaria-Equipment &amp; Other HPs'!$H$130:$H$230,0)),0)</f>
        <v>0</v>
      </c>
      <c r="AU243" s="26">
        <f t="shared" si="276"/>
        <v>0</v>
      </c>
      <c r="AV243" s="25">
        <f t="shared" si="277"/>
        <v>0</v>
      </c>
      <c r="AW243" s="25">
        <f t="shared" si="278"/>
        <v>0</v>
      </c>
      <c r="AX243" s="26">
        <f t="array" ref="AX243">IFERROR(INDEX('Malaria-Equipment &amp; Other HPs'!$AD$130:$AD$230,MATCH($E243&amp;$F243,'Malaria-Equipment &amp; Other HPs'!$E$130:$E$230&amp;'Malaria-Equipment &amp; Other HPs'!$H$130:$H$230,0)),0)</f>
        <v>0</v>
      </c>
      <c r="AY243" s="26">
        <f t="shared" si="279"/>
        <v>0</v>
      </c>
      <c r="AZ243" s="25">
        <f t="shared" si="280"/>
        <v>0</v>
      </c>
      <c r="BA243" s="25">
        <f t="shared" si="281"/>
        <v>0</v>
      </c>
      <c r="BB243" s="26">
        <f t="array" ref="BB243">IFERROR(INDEX('Malaria-Equipment &amp; Other HPs'!$AE$130:$AE$230,MATCH($E243&amp;$F243,'Malaria-Equipment &amp; Other HPs'!$E$130:$E$230&amp;'Malaria-Equipment &amp; Other HPs'!$H$130:$H$230,0)),0)</f>
        <v>0</v>
      </c>
      <c r="BC243" s="26">
        <f t="shared" si="282"/>
        <v>0</v>
      </c>
      <c r="BD243" s="25">
        <f t="shared" si="283"/>
        <v>0</v>
      </c>
      <c r="BE243" s="25">
        <f t="shared" si="284"/>
        <v>0</v>
      </c>
      <c r="BF243" s="26">
        <f t="array" ref="BF243">IFERROR(INDEX('Malaria-Equipment &amp; Other HPs'!$AF$130:$AF$230,MATCH($E243&amp;$F243,'Malaria-Equipment &amp; Other HPs'!$E$130:$E$230&amp;'Malaria-Equipment &amp; Other HPs'!$H$130:$H$230,0)),0)</f>
        <v>0</v>
      </c>
      <c r="BG243" s="26">
        <f t="shared" si="285"/>
        <v>0</v>
      </c>
      <c r="BH243" s="25">
        <f t="shared" si="286"/>
        <v>0</v>
      </c>
      <c r="BI243" s="25">
        <f t="shared" si="287"/>
        <v>0</v>
      </c>
      <c r="BJ243" s="680"/>
      <c r="BK243" s="26"/>
      <c r="BL243" s="26"/>
      <c r="BM243" s="26"/>
      <c r="BN243" s="26"/>
      <c r="BO243" s="26"/>
      <c r="BP243" s="26"/>
      <c r="BQ243" s="26"/>
      <c r="BR243" s="26"/>
      <c r="BT243" s="21" t="s">
        <v>6851</v>
      </c>
    </row>
    <row r="244" spans="1:72">
      <c r="A244" s="29" t="s">
        <v>538</v>
      </c>
      <c r="B244" s="29" t="s">
        <v>1550</v>
      </c>
      <c r="C244" s="626">
        <f>SETUP!$F$58</f>
        <v>0</v>
      </c>
      <c r="D244" s="25">
        <v>6.6</v>
      </c>
      <c r="E244" s="26" t="s">
        <v>327</v>
      </c>
      <c r="F244" s="26" t="s">
        <v>1140</v>
      </c>
      <c r="G244" s="26" t="str">
        <f t="array" ref="G244">IFERROR(INDEX('Malaria-Equipment &amp; Other HPs'!$L$130:$L$230,MATCH($E244&amp;$F244,'Malaria-Equipment &amp; Other HPs'!$E$130:$E$230&amp;'Malaria-Equipment &amp; Other HPs'!$H$130:$H$230,0)),"")</f>
        <v/>
      </c>
      <c r="H244" s="26" t="str">
        <f t="array" ref="H244">IFERROR(INDEX('Malaria-Equipment &amp; Other HPs'!$M$130:$M$230,MATCH($E244&amp;$F244,'Malaria-Equipment &amp; Other HPs'!$E$130:$E$230&amp;'Malaria-Equipment &amp; Other HPs'!$H$130:$H$230,0)),"")</f>
        <v/>
      </c>
      <c r="I244" s="26">
        <f t="array" ref="I244">IFERROR(INDEX('Malaria-Equipment &amp; Other HPs'!$N$130:$N$230,MATCH($E244&amp;$F244,'Malaria-Equipment &amp; Other HPs'!$E$130:$E$230&amp;'Malaria-Equipment &amp; Other HPs'!$H$130:$H$230,0)),0)</f>
        <v>0</v>
      </c>
      <c r="J244" s="26">
        <f t="array" ref="J244">IFERROR(INDEX('Malaria-Equipment &amp; Other HPs'!$O$130:$O$230,MATCH($E244&amp;$F244,'Malaria-Equipment &amp; Other HPs'!$E$130:$E$230&amp;'Malaria-Equipment &amp; Other HPs'!$H$130:$H$230,0)),0)</f>
        <v>0</v>
      </c>
      <c r="K244" s="25">
        <f t="shared" si="252"/>
        <v>0</v>
      </c>
      <c r="L244" s="25">
        <f t="shared" si="253"/>
        <v>0</v>
      </c>
      <c r="M244" s="25">
        <f t="shared" si="254"/>
        <v>0</v>
      </c>
      <c r="N244" s="26">
        <f t="array" ref="N244">IFERROR(INDEX('Malaria-Equipment &amp; Other HPs'!$P$130:$P$230,MATCH($E244&amp;$F244,'Malaria-Equipment &amp; Other HPs'!$E$130:$E$230&amp;'Malaria-Equipment &amp; Other HPs'!$H$130:$H$230,0)),0)</f>
        <v>0</v>
      </c>
      <c r="O244" s="25">
        <f t="shared" si="255"/>
        <v>0</v>
      </c>
      <c r="P244" s="25">
        <f t="shared" si="256"/>
        <v>0</v>
      </c>
      <c r="Q244" s="25">
        <f t="shared" si="257"/>
        <v>0</v>
      </c>
      <c r="R244" s="26">
        <f t="array" ref="R244">IFERROR(INDEX('Malaria-Equipment &amp; Other HPs'!$Q$130:$Q$230,MATCH($E244&amp;$F244,'Malaria-Equipment &amp; Other HPs'!$E$130:$E$230&amp;'Malaria-Equipment &amp; Other HPs'!$H$130:$H$230,0)),0)</f>
        <v>0</v>
      </c>
      <c r="S244" s="25">
        <f t="shared" si="258"/>
        <v>0</v>
      </c>
      <c r="T244" s="25">
        <f t="shared" si="259"/>
        <v>0</v>
      </c>
      <c r="U244" s="25">
        <f t="shared" si="260"/>
        <v>0</v>
      </c>
      <c r="V244" s="26">
        <f t="array" ref="V244">IFERROR(INDEX('Malaria-Equipment &amp; Other HPs'!$R$130:$R$230,MATCH($E244&amp;$F244,'Malaria-Equipment &amp; Other HPs'!$E$130:$E$230&amp;'Malaria-Equipment &amp; Other HPs'!$H$130:$H$230,0)),0)</f>
        <v>0</v>
      </c>
      <c r="W244" s="25">
        <f t="shared" si="261"/>
        <v>0</v>
      </c>
      <c r="X244" s="25">
        <f t="shared" si="262"/>
        <v>0</v>
      </c>
      <c r="Y244" s="25">
        <f t="shared" si="263"/>
        <v>0</v>
      </c>
      <c r="Z244" s="680"/>
      <c r="AA244" s="26">
        <f t="array" ref="AA244">IFERROR(INDEX('Malaria-Equipment &amp; Other HPs'!$U$130:$U$230,MATCH($E244&amp;$F244,'Malaria-Equipment &amp; Other HPs'!$E$130:$E$230&amp;'Malaria-Equipment &amp; Other HPs'!$H$130:$H$230,0)),0)</f>
        <v>0</v>
      </c>
      <c r="AB244" s="26">
        <f t="array" ref="AB244">IFERROR(INDEX('Malaria-Equipment &amp; Other HPs'!$V$130:$V$230,MATCH($E244&amp;$F244,'Malaria-Equipment &amp; Other HPs'!$E$130:$E$230&amp;'Malaria-Equipment &amp; Other HPs'!$H$130:$H$230,0)),0)</f>
        <v>0</v>
      </c>
      <c r="AC244" s="26">
        <f t="shared" si="264"/>
        <v>0</v>
      </c>
      <c r="AD244" s="25">
        <f t="shared" si="265"/>
        <v>0</v>
      </c>
      <c r="AE244" s="25">
        <f t="shared" si="266"/>
        <v>0</v>
      </c>
      <c r="AF244" s="26">
        <f t="array" ref="AF244">IFERROR(INDEX('Malaria-Equipment &amp; Other HPs'!$W$130:$W$230,MATCH($E244&amp;$F244,'Malaria-Equipment &amp; Other HPs'!$E$130:$E$230&amp;'Malaria-Equipment &amp; Other HPs'!$H$130:$H$230,0)),0)</f>
        <v>0</v>
      </c>
      <c r="AG244" s="26">
        <f t="shared" si="267"/>
        <v>0</v>
      </c>
      <c r="AH244" s="25">
        <f t="shared" si="268"/>
        <v>0</v>
      </c>
      <c r="AI244" s="25">
        <f t="shared" si="269"/>
        <v>0</v>
      </c>
      <c r="AJ244" s="26">
        <f t="array" ref="AJ244">IFERROR(INDEX('Malaria-Equipment &amp; Other HPs'!$X$130:$X$230,MATCH($E244&amp;$F244,'Malaria-Equipment &amp; Other HPs'!$E$130:$E$230&amp;'Malaria-Equipment &amp; Other HPs'!$H$130:$H$230,0)),0)</f>
        <v>0</v>
      </c>
      <c r="AK244" s="26">
        <f t="shared" si="270"/>
        <v>0</v>
      </c>
      <c r="AL244" s="25">
        <f t="shared" si="271"/>
        <v>0</v>
      </c>
      <c r="AM244" s="25">
        <f t="shared" si="272"/>
        <v>0</v>
      </c>
      <c r="AN244" s="26">
        <f t="array" ref="AN244">IFERROR(INDEX('Malaria-Equipment &amp; Other HPs'!$Y$130:$Y$230,MATCH($E244&amp;$F244,'Malaria-Equipment &amp; Other HPs'!$E$130:$E$230&amp;'Malaria-Equipment &amp; Other HPs'!$H$130:$H$230,0)),0)</f>
        <v>0</v>
      </c>
      <c r="AO244" s="26">
        <f t="shared" si="273"/>
        <v>0</v>
      </c>
      <c r="AP244" s="25">
        <f t="shared" si="274"/>
        <v>0</v>
      </c>
      <c r="AQ244" s="25">
        <f t="shared" si="275"/>
        <v>0</v>
      </c>
      <c r="AR244" s="680"/>
      <c r="AS244" s="26">
        <f t="array" ref="AS244">IFERROR(INDEX('Malaria-Equipment &amp; Other HPs'!$AB$130:$AB$230,MATCH($E244&amp;$F244,'Malaria-Equipment &amp; Other HPs'!$E$130:$E$230&amp;'Malaria-Equipment &amp; Other HPs'!$H$130:$H$230,0)),0)</f>
        <v>0</v>
      </c>
      <c r="AT244" s="26">
        <f t="array" ref="AT244">IFERROR(INDEX('Malaria-Equipment &amp; Other HPs'!$AC$130:$AC$230,MATCH($E244&amp;$F244,'Malaria-Equipment &amp; Other HPs'!$E$130:$E$230&amp;'Malaria-Equipment &amp; Other HPs'!$H$130:$H$230,0)),0)</f>
        <v>0</v>
      </c>
      <c r="AU244" s="26">
        <f t="shared" si="276"/>
        <v>0</v>
      </c>
      <c r="AV244" s="25">
        <f t="shared" si="277"/>
        <v>0</v>
      </c>
      <c r="AW244" s="25">
        <f t="shared" si="278"/>
        <v>0</v>
      </c>
      <c r="AX244" s="26">
        <f t="array" ref="AX244">IFERROR(INDEX('Malaria-Equipment &amp; Other HPs'!$AD$130:$AD$230,MATCH($E244&amp;$F244,'Malaria-Equipment &amp; Other HPs'!$E$130:$E$230&amp;'Malaria-Equipment &amp; Other HPs'!$H$130:$H$230,0)),0)</f>
        <v>0</v>
      </c>
      <c r="AY244" s="26">
        <f t="shared" si="279"/>
        <v>0</v>
      </c>
      <c r="AZ244" s="25">
        <f t="shared" si="280"/>
        <v>0</v>
      </c>
      <c r="BA244" s="25">
        <f t="shared" si="281"/>
        <v>0</v>
      </c>
      <c r="BB244" s="26">
        <f t="array" ref="BB244">IFERROR(INDEX('Malaria-Equipment &amp; Other HPs'!$AE$130:$AE$230,MATCH($E244&amp;$F244,'Malaria-Equipment &amp; Other HPs'!$E$130:$E$230&amp;'Malaria-Equipment &amp; Other HPs'!$H$130:$H$230,0)),0)</f>
        <v>0</v>
      </c>
      <c r="BC244" s="26">
        <f t="shared" si="282"/>
        <v>0</v>
      </c>
      <c r="BD244" s="25">
        <f t="shared" si="283"/>
        <v>0</v>
      </c>
      <c r="BE244" s="25">
        <f t="shared" si="284"/>
        <v>0</v>
      </c>
      <c r="BF244" s="26">
        <f t="array" ref="BF244">IFERROR(INDEX('Malaria-Equipment &amp; Other HPs'!$AF$130:$AF$230,MATCH($E244&amp;$F244,'Malaria-Equipment &amp; Other HPs'!$E$130:$E$230&amp;'Malaria-Equipment &amp; Other HPs'!$H$130:$H$230,0)),0)</f>
        <v>0</v>
      </c>
      <c r="BG244" s="26">
        <f t="shared" si="285"/>
        <v>0</v>
      </c>
      <c r="BH244" s="25">
        <f t="shared" si="286"/>
        <v>0</v>
      </c>
      <c r="BI244" s="25">
        <f t="shared" si="287"/>
        <v>0</v>
      </c>
      <c r="BJ244" s="680"/>
      <c r="BK244" s="26"/>
      <c r="BL244" s="26"/>
      <c r="BM244" s="26"/>
      <c r="BN244" s="26"/>
      <c r="BO244" s="26"/>
      <c r="BP244" s="26"/>
      <c r="BQ244" s="26"/>
      <c r="BR244" s="26"/>
      <c r="BT244" s="21" t="s">
        <v>6852</v>
      </c>
    </row>
    <row r="245" spans="1:72">
      <c r="A245" s="29" t="s">
        <v>1581</v>
      </c>
      <c r="B245" s="29" t="s">
        <v>1550</v>
      </c>
      <c r="C245" s="626">
        <f>SETUP!$F$58</f>
        <v>0</v>
      </c>
      <c r="D245" s="25">
        <v>6.6</v>
      </c>
      <c r="E245" s="26" t="s">
        <v>1229</v>
      </c>
      <c r="F245" s="26" t="s">
        <v>1140</v>
      </c>
      <c r="G245" s="26" t="str">
        <f t="array" ref="G245">IFERROR(INDEX('Malaria-Equipment &amp; Other HPs'!$L$130:$L$230,MATCH($E245&amp;$F245,'Malaria-Equipment &amp; Other HPs'!$E$130:$E$230&amp;'Malaria-Equipment &amp; Other HPs'!$H$130:$H$230,0)),"")</f>
        <v/>
      </c>
      <c r="H245" s="26" t="str">
        <f t="array" ref="H245">IFERROR(INDEX('Malaria-Equipment &amp; Other HPs'!$M$130:$M$230,MATCH($E245&amp;$F245,'Malaria-Equipment &amp; Other HPs'!$E$130:$E$230&amp;'Malaria-Equipment &amp; Other HPs'!$H$130:$H$230,0)),"")</f>
        <v/>
      </c>
      <c r="I245" s="26">
        <f t="array" ref="I245">IFERROR(INDEX('Malaria-Equipment &amp; Other HPs'!$N$130:$N$230,MATCH($E245&amp;$F245,'Malaria-Equipment &amp; Other HPs'!$E$130:$E$230&amp;'Malaria-Equipment &amp; Other HPs'!$H$130:$H$230,0)),0)</f>
        <v>0</v>
      </c>
      <c r="J245" s="26">
        <f t="array" ref="J245">IFERROR(INDEX('Malaria-Equipment &amp; Other HPs'!$O$130:$O$230,MATCH($E245&amp;$F245,'Malaria-Equipment &amp; Other HPs'!$E$130:$E$230&amp;'Malaria-Equipment &amp; Other HPs'!$H$130:$H$230,0)),0)</f>
        <v>0</v>
      </c>
      <c r="K245" s="25">
        <f t="shared" si="252"/>
        <v>0</v>
      </c>
      <c r="L245" s="25">
        <f t="shared" si="253"/>
        <v>0</v>
      </c>
      <c r="M245" s="25">
        <f t="shared" si="254"/>
        <v>0</v>
      </c>
      <c r="N245" s="26">
        <f t="array" ref="N245">IFERROR(INDEX('Malaria-Equipment &amp; Other HPs'!$P$130:$P$230,MATCH($E245&amp;$F245,'Malaria-Equipment &amp; Other HPs'!$E$130:$E$230&amp;'Malaria-Equipment &amp; Other HPs'!$H$130:$H$230,0)),0)</f>
        <v>0</v>
      </c>
      <c r="O245" s="25">
        <f t="shared" si="255"/>
        <v>0</v>
      </c>
      <c r="P245" s="25">
        <f t="shared" si="256"/>
        <v>0</v>
      </c>
      <c r="Q245" s="25">
        <f t="shared" si="257"/>
        <v>0</v>
      </c>
      <c r="R245" s="26">
        <f t="array" ref="R245">IFERROR(INDEX('Malaria-Equipment &amp; Other HPs'!$Q$130:$Q$230,MATCH($E245&amp;$F245,'Malaria-Equipment &amp; Other HPs'!$E$130:$E$230&amp;'Malaria-Equipment &amp; Other HPs'!$H$130:$H$230,0)),0)</f>
        <v>0</v>
      </c>
      <c r="S245" s="25">
        <f t="shared" si="258"/>
        <v>0</v>
      </c>
      <c r="T245" s="25">
        <f t="shared" si="259"/>
        <v>0</v>
      </c>
      <c r="U245" s="25">
        <f t="shared" si="260"/>
        <v>0</v>
      </c>
      <c r="V245" s="26">
        <f t="array" ref="V245">IFERROR(INDEX('Malaria-Equipment &amp; Other HPs'!$R$130:$R$230,MATCH($E245&amp;$F245,'Malaria-Equipment &amp; Other HPs'!$E$130:$E$230&amp;'Malaria-Equipment &amp; Other HPs'!$H$130:$H$230,0)),0)</f>
        <v>0</v>
      </c>
      <c r="W245" s="25">
        <f t="shared" si="261"/>
        <v>0</v>
      </c>
      <c r="X245" s="25">
        <f t="shared" si="262"/>
        <v>0</v>
      </c>
      <c r="Y245" s="25">
        <f t="shared" si="263"/>
        <v>0</v>
      </c>
      <c r="Z245" s="680"/>
      <c r="AA245" s="26">
        <f t="array" ref="AA245">IFERROR(INDEX('Malaria-Equipment &amp; Other HPs'!$U$130:$U$230,MATCH($E245&amp;$F245,'Malaria-Equipment &amp; Other HPs'!$E$130:$E$230&amp;'Malaria-Equipment &amp; Other HPs'!$H$130:$H$230,0)),0)</f>
        <v>0</v>
      </c>
      <c r="AB245" s="26">
        <f t="array" ref="AB245">IFERROR(INDEX('Malaria-Equipment &amp; Other HPs'!$V$130:$V$230,MATCH($E245&amp;$F245,'Malaria-Equipment &amp; Other HPs'!$E$130:$E$230&amp;'Malaria-Equipment &amp; Other HPs'!$H$130:$H$230,0)),0)</f>
        <v>0</v>
      </c>
      <c r="AC245" s="26">
        <f t="shared" si="264"/>
        <v>0</v>
      </c>
      <c r="AD245" s="25">
        <f t="shared" si="265"/>
        <v>0</v>
      </c>
      <c r="AE245" s="25">
        <f t="shared" si="266"/>
        <v>0</v>
      </c>
      <c r="AF245" s="26">
        <f t="array" ref="AF245">IFERROR(INDEX('Malaria-Equipment &amp; Other HPs'!$W$130:$W$230,MATCH($E245&amp;$F245,'Malaria-Equipment &amp; Other HPs'!$E$130:$E$230&amp;'Malaria-Equipment &amp; Other HPs'!$H$130:$H$230,0)),0)</f>
        <v>0</v>
      </c>
      <c r="AG245" s="26">
        <f t="shared" si="267"/>
        <v>0</v>
      </c>
      <c r="AH245" s="25">
        <f t="shared" si="268"/>
        <v>0</v>
      </c>
      <c r="AI245" s="25">
        <f t="shared" si="269"/>
        <v>0</v>
      </c>
      <c r="AJ245" s="26">
        <f t="array" ref="AJ245">IFERROR(INDEX('Malaria-Equipment &amp; Other HPs'!$X$130:$X$230,MATCH($E245&amp;$F245,'Malaria-Equipment &amp; Other HPs'!$E$130:$E$230&amp;'Malaria-Equipment &amp; Other HPs'!$H$130:$H$230,0)),0)</f>
        <v>0</v>
      </c>
      <c r="AK245" s="26">
        <f t="shared" si="270"/>
        <v>0</v>
      </c>
      <c r="AL245" s="25">
        <f t="shared" si="271"/>
        <v>0</v>
      </c>
      <c r="AM245" s="25">
        <f t="shared" si="272"/>
        <v>0</v>
      </c>
      <c r="AN245" s="26">
        <f t="array" ref="AN245">IFERROR(INDEX('Malaria-Equipment &amp; Other HPs'!$Y$130:$Y$230,MATCH($E245&amp;$F245,'Malaria-Equipment &amp; Other HPs'!$E$130:$E$230&amp;'Malaria-Equipment &amp; Other HPs'!$H$130:$H$230,0)),0)</f>
        <v>0</v>
      </c>
      <c r="AO245" s="26">
        <f t="shared" si="273"/>
        <v>0</v>
      </c>
      <c r="AP245" s="25">
        <f t="shared" si="274"/>
        <v>0</v>
      </c>
      <c r="AQ245" s="25">
        <f t="shared" si="275"/>
        <v>0</v>
      </c>
      <c r="AR245" s="680"/>
      <c r="AS245" s="26">
        <f t="array" ref="AS245">IFERROR(INDEX('Malaria-Equipment &amp; Other HPs'!$AB$130:$AB$230,MATCH($E245&amp;$F245,'Malaria-Equipment &amp; Other HPs'!$E$130:$E$230&amp;'Malaria-Equipment &amp; Other HPs'!$H$130:$H$230,0)),0)</f>
        <v>0</v>
      </c>
      <c r="AT245" s="26">
        <f t="array" ref="AT245">IFERROR(INDEX('Malaria-Equipment &amp; Other HPs'!$AC$130:$AC$230,MATCH($E245&amp;$F245,'Malaria-Equipment &amp; Other HPs'!$E$130:$E$230&amp;'Malaria-Equipment &amp; Other HPs'!$H$130:$H$230,0)),0)</f>
        <v>0</v>
      </c>
      <c r="AU245" s="26">
        <f t="shared" si="276"/>
        <v>0</v>
      </c>
      <c r="AV245" s="25">
        <f t="shared" si="277"/>
        <v>0</v>
      </c>
      <c r="AW245" s="25">
        <f t="shared" si="278"/>
        <v>0</v>
      </c>
      <c r="AX245" s="26">
        <f t="array" ref="AX245">IFERROR(INDEX('Malaria-Equipment &amp; Other HPs'!$AD$130:$AD$230,MATCH($E245&amp;$F245,'Malaria-Equipment &amp; Other HPs'!$E$130:$E$230&amp;'Malaria-Equipment &amp; Other HPs'!$H$130:$H$230,0)),0)</f>
        <v>0</v>
      </c>
      <c r="AY245" s="26">
        <f t="shared" si="279"/>
        <v>0</v>
      </c>
      <c r="AZ245" s="25">
        <f t="shared" si="280"/>
        <v>0</v>
      </c>
      <c r="BA245" s="25">
        <f t="shared" si="281"/>
        <v>0</v>
      </c>
      <c r="BB245" s="26">
        <f t="array" ref="BB245">IFERROR(INDEX('Malaria-Equipment &amp; Other HPs'!$AE$130:$AE$230,MATCH($E245&amp;$F245,'Malaria-Equipment &amp; Other HPs'!$E$130:$E$230&amp;'Malaria-Equipment &amp; Other HPs'!$H$130:$H$230,0)),0)</f>
        <v>0</v>
      </c>
      <c r="BC245" s="26">
        <f t="shared" si="282"/>
        <v>0</v>
      </c>
      <c r="BD245" s="25">
        <f t="shared" si="283"/>
        <v>0</v>
      </c>
      <c r="BE245" s="25">
        <f t="shared" si="284"/>
        <v>0</v>
      </c>
      <c r="BF245" s="26">
        <f t="array" ref="BF245">IFERROR(INDEX('Malaria-Equipment &amp; Other HPs'!$AF$130:$AF$230,MATCH($E245&amp;$F245,'Malaria-Equipment &amp; Other HPs'!$E$130:$E$230&amp;'Malaria-Equipment &amp; Other HPs'!$H$130:$H$230,0)),0)</f>
        <v>0</v>
      </c>
      <c r="BG245" s="26">
        <f t="shared" si="285"/>
        <v>0</v>
      </c>
      <c r="BH245" s="25">
        <f t="shared" si="286"/>
        <v>0</v>
      </c>
      <c r="BI245" s="25">
        <f t="shared" si="287"/>
        <v>0</v>
      </c>
      <c r="BJ245" s="680"/>
      <c r="BK245" s="26"/>
      <c r="BL245" s="26"/>
      <c r="BM245" s="26"/>
      <c r="BN245" s="26"/>
      <c r="BO245" s="26"/>
      <c r="BP245" s="26"/>
      <c r="BQ245" s="26"/>
      <c r="BR245" s="26"/>
      <c r="BT245" s="21" t="s">
        <v>6853</v>
      </c>
    </row>
    <row r="246" spans="1:72">
      <c r="A246" s="29" t="s">
        <v>538</v>
      </c>
      <c r="B246" s="29" t="s">
        <v>1550</v>
      </c>
      <c r="C246" s="626">
        <f>SETUP!$F$58</f>
        <v>0</v>
      </c>
      <c r="D246" s="25">
        <v>6.6</v>
      </c>
      <c r="E246" s="26" t="s">
        <v>1860</v>
      </c>
      <c r="F246" s="26" t="s">
        <v>201</v>
      </c>
      <c r="G246" s="26" t="str">
        <f t="array" ref="G246">IFERROR(INDEX('Malaria-Equipment &amp; Other HPs'!$L$130:$L$230,MATCH($E246&amp;$F246,'Malaria-Equipment &amp; Other HPs'!$E$130:$E$230&amp;'Malaria-Equipment &amp; Other HPs'!$H$130:$H$230,0)),"")</f>
        <v/>
      </c>
      <c r="H246" s="26" t="str">
        <f t="array" ref="H246">IFERROR(INDEX('Malaria-Equipment &amp; Other HPs'!$M$130:$M$230,MATCH($E246&amp;$F246,'Malaria-Equipment &amp; Other HPs'!$E$130:$E$230&amp;'Malaria-Equipment &amp; Other HPs'!$H$130:$H$230,0)),"")</f>
        <v/>
      </c>
      <c r="I246" s="26">
        <f t="array" ref="I246">IFERROR(INDEX('Malaria-Equipment &amp; Other HPs'!$N$130:$N$230,MATCH($E246&amp;$F246,'Malaria-Equipment &amp; Other HPs'!$E$130:$E$230&amp;'Malaria-Equipment &amp; Other HPs'!$H$130:$H$230,0)),0)</f>
        <v>0</v>
      </c>
      <c r="J246" s="26">
        <f t="array" ref="J246">IFERROR(INDEX('Malaria-Equipment &amp; Other HPs'!$O$130:$O$230,MATCH($E246&amp;$F246,'Malaria-Equipment &amp; Other HPs'!$E$130:$E$230&amp;'Malaria-Equipment &amp; Other HPs'!$H$130:$H$230,0)),0)</f>
        <v>0</v>
      </c>
      <c r="K246" s="25">
        <f t="shared" si="252"/>
        <v>0</v>
      </c>
      <c r="L246" s="25">
        <f t="shared" si="253"/>
        <v>0</v>
      </c>
      <c r="M246" s="25">
        <f t="shared" si="254"/>
        <v>0</v>
      </c>
      <c r="N246" s="26">
        <f t="array" ref="N246">IFERROR(INDEX('Malaria-Equipment &amp; Other HPs'!$P$130:$P$230,MATCH($E246&amp;$F246,'Malaria-Equipment &amp; Other HPs'!$E$130:$E$230&amp;'Malaria-Equipment &amp; Other HPs'!$H$130:$H$230,0)),0)</f>
        <v>0</v>
      </c>
      <c r="O246" s="25">
        <f t="shared" si="255"/>
        <v>0</v>
      </c>
      <c r="P246" s="25">
        <f t="shared" si="256"/>
        <v>0</v>
      </c>
      <c r="Q246" s="25">
        <f t="shared" si="257"/>
        <v>0</v>
      </c>
      <c r="R246" s="26">
        <f t="array" ref="R246">IFERROR(INDEX('Malaria-Equipment &amp; Other HPs'!$Q$130:$Q$230,MATCH($E246&amp;$F246,'Malaria-Equipment &amp; Other HPs'!$E$130:$E$230&amp;'Malaria-Equipment &amp; Other HPs'!$H$130:$H$230,0)),0)</f>
        <v>0</v>
      </c>
      <c r="S246" s="25">
        <f t="shared" si="258"/>
        <v>0</v>
      </c>
      <c r="T246" s="25">
        <f t="shared" si="259"/>
        <v>0</v>
      </c>
      <c r="U246" s="25">
        <f t="shared" si="260"/>
        <v>0</v>
      </c>
      <c r="V246" s="26">
        <f t="array" ref="V246">IFERROR(INDEX('Malaria-Equipment &amp; Other HPs'!$R$130:$R$230,MATCH($E246&amp;$F246,'Malaria-Equipment &amp; Other HPs'!$E$130:$E$230&amp;'Malaria-Equipment &amp; Other HPs'!$H$130:$H$230,0)),0)</f>
        <v>0</v>
      </c>
      <c r="W246" s="25">
        <f t="shared" si="261"/>
        <v>0</v>
      </c>
      <c r="X246" s="25">
        <f t="shared" si="262"/>
        <v>0</v>
      </c>
      <c r="Y246" s="25">
        <f t="shared" si="263"/>
        <v>0</v>
      </c>
      <c r="Z246" s="680"/>
      <c r="AA246" s="26">
        <f t="array" ref="AA246">IFERROR(INDEX('Malaria-Equipment &amp; Other HPs'!$U$130:$U$230,MATCH($E246&amp;$F246,'Malaria-Equipment &amp; Other HPs'!$E$130:$E$230&amp;'Malaria-Equipment &amp; Other HPs'!$H$130:$H$230,0)),0)</f>
        <v>0</v>
      </c>
      <c r="AB246" s="26">
        <f t="array" ref="AB246">IFERROR(INDEX('Malaria-Equipment &amp; Other HPs'!$V$130:$V$230,MATCH($E246&amp;$F246,'Malaria-Equipment &amp; Other HPs'!$E$130:$E$230&amp;'Malaria-Equipment &amp; Other HPs'!$H$130:$H$230,0)),0)</f>
        <v>0</v>
      </c>
      <c r="AC246" s="26">
        <f t="shared" si="264"/>
        <v>0</v>
      </c>
      <c r="AD246" s="25">
        <f t="shared" si="265"/>
        <v>0</v>
      </c>
      <c r="AE246" s="25">
        <f t="shared" si="266"/>
        <v>0</v>
      </c>
      <c r="AF246" s="26">
        <f t="array" ref="AF246">IFERROR(INDEX('Malaria-Equipment &amp; Other HPs'!$W$130:$W$230,MATCH($E246&amp;$F246,'Malaria-Equipment &amp; Other HPs'!$E$130:$E$230&amp;'Malaria-Equipment &amp; Other HPs'!$H$130:$H$230,0)),0)</f>
        <v>0</v>
      </c>
      <c r="AG246" s="26">
        <f t="shared" si="267"/>
        <v>0</v>
      </c>
      <c r="AH246" s="25">
        <f t="shared" si="268"/>
        <v>0</v>
      </c>
      <c r="AI246" s="25">
        <f t="shared" si="269"/>
        <v>0</v>
      </c>
      <c r="AJ246" s="26">
        <f t="array" ref="AJ246">IFERROR(INDEX('Malaria-Equipment &amp; Other HPs'!$X$130:$X$230,MATCH($E246&amp;$F246,'Malaria-Equipment &amp; Other HPs'!$E$130:$E$230&amp;'Malaria-Equipment &amp; Other HPs'!$H$130:$H$230,0)),0)</f>
        <v>0</v>
      </c>
      <c r="AK246" s="26">
        <f t="shared" si="270"/>
        <v>0</v>
      </c>
      <c r="AL246" s="25">
        <f t="shared" si="271"/>
        <v>0</v>
      </c>
      <c r="AM246" s="25">
        <f t="shared" si="272"/>
        <v>0</v>
      </c>
      <c r="AN246" s="26">
        <f t="array" ref="AN246">IFERROR(INDEX('Malaria-Equipment &amp; Other HPs'!$Y$130:$Y$230,MATCH($E246&amp;$F246,'Malaria-Equipment &amp; Other HPs'!$E$130:$E$230&amp;'Malaria-Equipment &amp; Other HPs'!$H$130:$H$230,0)),0)</f>
        <v>0</v>
      </c>
      <c r="AO246" s="26">
        <f t="shared" si="273"/>
        <v>0</v>
      </c>
      <c r="AP246" s="25">
        <f t="shared" si="274"/>
        <v>0</v>
      </c>
      <c r="AQ246" s="25">
        <f t="shared" si="275"/>
        <v>0</v>
      </c>
      <c r="AR246" s="680"/>
      <c r="AS246" s="26">
        <f t="array" ref="AS246">IFERROR(INDEX('Malaria-Equipment &amp; Other HPs'!$AB$130:$AB$230,MATCH($E246&amp;$F246,'Malaria-Equipment &amp; Other HPs'!$E$130:$E$230&amp;'Malaria-Equipment &amp; Other HPs'!$H$130:$H$230,0)),0)</f>
        <v>0</v>
      </c>
      <c r="AT246" s="26">
        <f t="array" ref="AT246">IFERROR(INDEX('Malaria-Equipment &amp; Other HPs'!$AC$130:$AC$230,MATCH($E246&amp;$F246,'Malaria-Equipment &amp; Other HPs'!$E$130:$E$230&amp;'Malaria-Equipment &amp; Other HPs'!$H$130:$H$230,0)),0)</f>
        <v>0</v>
      </c>
      <c r="AU246" s="26">
        <f t="shared" si="276"/>
        <v>0</v>
      </c>
      <c r="AV246" s="25">
        <f t="shared" si="277"/>
        <v>0</v>
      </c>
      <c r="AW246" s="25">
        <f t="shared" si="278"/>
        <v>0</v>
      </c>
      <c r="AX246" s="26">
        <f t="array" ref="AX246">IFERROR(INDEX('Malaria-Equipment &amp; Other HPs'!$AD$130:$AD$230,MATCH($E246&amp;$F246,'Malaria-Equipment &amp; Other HPs'!$E$130:$E$230&amp;'Malaria-Equipment &amp; Other HPs'!$H$130:$H$230,0)),0)</f>
        <v>0</v>
      </c>
      <c r="AY246" s="26">
        <f t="shared" si="279"/>
        <v>0</v>
      </c>
      <c r="AZ246" s="25">
        <f t="shared" si="280"/>
        <v>0</v>
      </c>
      <c r="BA246" s="25">
        <f t="shared" si="281"/>
        <v>0</v>
      </c>
      <c r="BB246" s="26">
        <f t="array" ref="BB246">IFERROR(INDEX('Malaria-Equipment &amp; Other HPs'!$AE$130:$AE$230,MATCH($E246&amp;$F246,'Malaria-Equipment &amp; Other HPs'!$E$130:$E$230&amp;'Malaria-Equipment &amp; Other HPs'!$H$130:$H$230,0)),0)</f>
        <v>0</v>
      </c>
      <c r="BC246" s="26">
        <f t="shared" si="282"/>
        <v>0</v>
      </c>
      <c r="BD246" s="25">
        <f t="shared" si="283"/>
        <v>0</v>
      </c>
      <c r="BE246" s="25">
        <f t="shared" si="284"/>
        <v>0</v>
      </c>
      <c r="BF246" s="26">
        <f t="array" ref="BF246">IFERROR(INDEX('Malaria-Equipment &amp; Other HPs'!$AF$130:$AF$230,MATCH($E246&amp;$F246,'Malaria-Equipment &amp; Other HPs'!$E$130:$E$230&amp;'Malaria-Equipment &amp; Other HPs'!$H$130:$H$230,0)),0)</f>
        <v>0</v>
      </c>
      <c r="BG246" s="26">
        <f t="shared" si="285"/>
        <v>0</v>
      </c>
      <c r="BH246" s="25">
        <f t="shared" si="286"/>
        <v>0</v>
      </c>
      <c r="BI246" s="25">
        <f t="shared" si="287"/>
        <v>0</v>
      </c>
      <c r="BJ246" s="680"/>
      <c r="BK246" s="26"/>
      <c r="BL246" s="26"/>
      <c r="BM246" s="26"/>
      <c r="BN246" s="26"/>
      <c r="BO246" s="26"/>
      <c r="BP246" s="26"/>
      <c r="BQ246" s="26"/>
      <c r="BR246" s="26"/>
      <c r="BT246" s="21" t="s">
        <v>6854</v>
      </c>
    </row>
    <row r="247" spans="1:72">
      <c r="A247" s="29" t="s">
        <v>538</v>
      </c>
      <c r="B247" s="29" t="s">
        <v>1550</v>
      </c>
      <c r="C247" s="626">
        <f>SETUP!$F$58</f>
        <v>0</v>
      </c>
      <c r="D247" s="25">
        <v>6.6</v>
      </c>
      <c r="E247" s="26" t="s">
        <v>1860</v>
      </c>
      <c r="F247" s="26" t="s">
        <v>200</v>
      </c>
      <c r="G247" s="26" t="str">
        <f t="array" ref="G247">IFERROR(INDEX('Malaria-Equipment &amp; Other HPs'!$L$130:$L$230,MATCH($E247&amp;$F247,'Malaria-Equipment &amp; Other HPs'!$E$130:$E$230&amp;'Malaria-Equipment &amp; Other HPs'!$H$130:$H$230,0)),"")</f>
        <v/>
      </c>
      <c r="H247" s="26" t="str">
        <f t="array" ref="H247">IFERROR(INDEX('Malaria-Equipment &amp; Other HPs'!$M$130:$M$230,MATCH($E247&amp;$F247,'Malaria-Equipment &amp; Other HPs'!$E$130:$E$230&amp;'Malaria-Equipment &amp; Other HPs'!$H$130:$H$230,0)),"")</f>
        <v/>
      </c>
      <c r="I247" s="26">
        <f t="array" ref="I247">IFERROR(INDEX('Malaria-Equipment &amp; Other HPs'!$N$130:$N$230,MATCH($E247&amp;$F247,'Malaria-Equipment &amp; Other HPs'!$E$130:$E$230&amp;'Malaria-Equipment &amp; Other HPs'!$H$130:$H$230,0)),0)</f>
        <v>0</v>
      </c>
      <c r="J247" s="26">
        <f t="array" ref="J247">IFERROR(INDEX('Malaria-Equipment &amp; Other HPs'!$O$130:$O$230,MATCH($E247&amp;$F247,'Malaria-Equipment &amp; Other HPs'!$E$130:$E$230&amp;'Malaria-Equipment &amp; Other HPs'!$H$130:$H$230,0)),0)</f>
        <v>0</v>
      </c>
      <c r="K247" s="25">
        <f t="shared" si="252"/>
        <v>0</v>
      </c>
      <c r="L247" s="25">
        <f t="shared" si="253"/>
        <v>0</v>
      </c>
      <c r="M247" s="25">
        <f t="shared" si="254"/>
        <v>0</v>
      </c>
      <c r="N247" s="26">
        <f t="array" ref="N247">IFERROR(INDEX('Malaria-Equipment &amp; Other HPs'!$P$130:$P$230,MATCH($E247&amp;$F247,'Malaria-Equipment &amp; Other HPs'!$E$130:$E$230&amp;'Malaria-Equipment &amp; Other HPs'!$H$130:$H$230,0)),0)</f>
        <v>0</v>
      </c>
      <c r="O247" s="25">
        <f t="shared" si="255"/>
        <v>0</v>
      </c>
      <c r="P247" s="25">
        <f t="shared" si="256"/>
        <v>0</v>
      </c>
      <c r="Q247" s="25">
        <f t="shared" si="257"/>
        <v>0</v>
      </c>
      <c r="R247" s="26">
        <f t="array" ref="R247">IFERROR(INDEX('Malaria-Equipment &amp; Other HPs'!$Q$130:$Q$230,MATCH($E247&amp;$F247,'Malaria-Equipment &amp; Other HPs'!$E$130:$E$230&amp;'Malaria-Equipment &amp; Other HPs'!$H$130:$H$230,0)),0)</f>
        <v>0</v>
      </c>
      <c r="S247" s="25">
        <f t="shared" si="258"/>
        <v>0</v>
      </c>
      <c r="T247" s="25">
        <f t="shared" si="259"/>
        <v>0</v>
      </c>
      <c r="U247" s="25">
        <f t="shared" si="260"/>
        <v>0</v>
      </c>
      <c r="V247" s="26">
        <f t="array" ref="V247">IFERROR(INDEX('Malaria-Equipment &amp; Other HPs'!$R$130:$R$230,MATCH($E247&amp;$F247,'Malaria-Equipment &amp; Other HPs'!$E$130:$E$230&amp;'Malaria-Equipment &amp; Other HPs'!$H$130:$H$230,0)),0)</f>
        <v>0</v>
      </c>
      <c r="W247" s="25">
        <f t="shared" si="261"/>
        <v>0</v>
      </c>
      <c r="X247" s="25">
        <f t="shared" si="262"/>
        <v>0</v>
      </c>
      <c r="Y247" s="25">
        <f t="shared" si="263"/>
        <v>0</v>
      </c>
      <c r="Z247" s="680"/>
      <c r="AA247" s="26">
        <f t="array" ref="AA247">IFERROR(INDEX('Malaria-Equipment &amp; Other HPs'!$U$130:$U$230,MATCH($E247&amp;$F247,'Malaria-Equipment &amp; Other HPs'!$E$130:$E$230&amp;'Malaria-Equipment &amp; Other HPs'!$H$130:$H$230,0)),0)</f>
        <v>0</v>
      </c>
      <c r="AB247" s="26">
        <f t="array" ref="AB247">IFERROR(INDEX('Malaria-Equipment &amp; Other HPs'!$V$130:$V$230,MATCH($E247&amp;$F247,'Malaria-Equipment &amp; Other HPs'!$E$130:$E$230&amp;'Malaria-Equipment &amp; Other HPs'!$H$130:$H$230,0)),0)</f>
        <v>0</v>
      </c>
      <c r="AC247" s="26">
        <f t="shared" si="264"/>
        <v>0</v>
      </c>
      <c r="AD247" s="25">
        <f t="shared" si="265"/>
        <v>0</v>
      </c>
      <c r="AE247" s="25">
        <f t="shared" si="266"/>
        <v>0</v>
      </c>
      <c r="AF247" s="26">
        <f t="array" ref="AF247">IFERROR(INDEX('Malaria-Equipment &amp; Other HPs'!$W$130:$W$230,MATCH($E247&amp;$F247,'Malaria-Equipment &amp; Other HPs'!$E$130:$E$230&amp;'Malaria-Equipment &amp; Other HPs'!$H$130:$H$230,0)),0)</f>
        <v>0</v>
      </c>
      <c r="AG247" s="26">
        <f t="shared" si="267"/>
        <v>0</v>
      </c>
      <c r="AH247" s="25">
        <f t="shared" si="268"/>
        <v>0</v>
      </c>
      <c r="AI247" s="25">
        <f t="shared" si="269"/>
        <v>0</v>
      </c>
      <c r="AJ247" s="26">
        <f t="array" ref="AJ247">IFERROR(INDEX('Malaria-Equipment &amp; Other HPs'!$X$130:$X$230,MATCH($E247&amp;$F247,'Malaria-Equipment &amp; Other HPs'!$E$130:$E$230&amp;'Malaria-Equipment &amp; Other HPs'!$H$130:$H$230,0)),0)</f>
        <v>0</v>
      </c>
      <c r="AK247" s="26">
        <f t="shared" si="270"/>
        <v>0</v>
      </c>
      <c r="AL247" s="25">
        <f t="shared" si="271"/>
        <v>0</v>
      </c>
      <c r="AM247" s="25">
        <f t="shared" si="272"/>
        <v>0</v>
      </c>
      <c r="AN247" s="26">
        <f t="array" ref="AN247">IFERROR(INDEX('Malaria-Equipment &amp; Other HPs'!$Y$130:$Y$230,MATCH($E247&amp;$F247,'Malaria-Equipment &amp; Other HPs'!$E$130:$E$230&amp;'Malaria-Equipment &amp; Other HPs'!$H$130:$H$230,0)),0)</f>
        <v>0</v>
      </c>
      <c r="AO247" s="26">
        <f t="shared" si="273"/>
        <v>0</v>
      </c>
      <c r="AP247" s="25">
        <f t="shared" si="274"/>
        <v>0</v>
      </c>
      <c r="AQ247" s="25">
        <f t="shared" si="275"/>
        <v>0</v>
      </c>
      <c r="AR247" s="680"/>
      <c r="AS247" s="26">
        <f t="array" ref="AS247">IFERROR(INDEX('Malaria-Equipment &amp; Other HPs'!$AB$130:$AB$230,MATCH($E247&amp;$F247,'Malaria-Equipment &amp; Other HPs'!$E$130:$E$230&amp;'Malaria-Equipment &amp; Other HPs'!$H$130:$H$230,0)),0)</f>
        <v>0</v>
      </c>
      <c r="AT247" s="26">
        <f t="array" ref="AT247">IFERROR(INDEX('Malaria-Equipment &amp; Other HPs'!$AC$130:$AC$230,MATCH($E247&amp;$F247,'Malaria-Equipment &amp; Other HPs'!$E$130:$E$230&amp;'Malaria-Equipment &amp; Other HPs'!$H$130:$H$230,0)),0)</f>
        <v>0</v>
      </c>
      <c r="AU247" s="26">
        <f t="shared" si="276"/>
        <v>0</v>
      </c>
      <c r="AV247" s="25">
        <f t="shared" si="277"/>
        <v>0</v>
      </c>
      <c r="AW247" s="25">
        <f t="shared" si="278"/>
        <v>0</v>
      </c>
      <c r="AX247" s="26">
        <f t="array" ref="AX247">IFERROR(INDEX('Malaria-Equipment &amp; Other HPs'!$AD$130:$AD$230,MATCH($E247&amp;$F247,'Malaria-Equipment &amp; Other HPs'!$E$130:$E$230&amp;'Malaria-Equipment &amp; Other HPs'!$H$130:$H$230,0)),0)</f>
        <v>0</v>
      </c>
      <c r="AY247" s="26">
        <f t="shared" si="279"/>
        <v>0</v>
      </c>
      <c r="AZ247" s="25">
        <f t="shared" si="280"/>
        <v>0</v>
      </c>
      <c r="BA247" s="25">
        <f t="shared" si="281"/>
        <v>0</v>
      </c>
      <c r="BB247" s="26">
        <f t="array" ref="BB247">IFERROR(INDEX('Malaria-Equipment &amp; Other HPs'!$AE$130:$AE$230,MATCH($E247&amp;$F247,'Malaria-Equipment &amp; Other HPs'!$E$130:$E$230&amp;'Malaria-Equipment &amp; Other HPs'!$H$130:$H$230,0)),0)</f>
        <v>0</v>
      </c>
      <c r="BC247" s="26">
        <f t="shared" si="282"/>
        <v>0</v>
      </c>
      <c r="BD247" s="25">
        <f t="shared" si="283"/>
        <v>0</v>
      </c>
      <c r="BE247" s="25">
        <f t="shared" si="284"/>
        <v>0</v>
      </c>
      <c r="BF247" s="26">
        <f t="array" ref="BF247">IFERROR(INDEX('Malaria-Equipment &amp; Other HPs'!$AF$130:$AF$230,MATCH($E247&amp;$F247,'Malaria-Equipment &amp; Other HPs'!$E$130:$E$230&amp;'Malaria-Equipment &amp; Other HPs'!$H$130:$H$230,0)),0)</f>
        <v>0</v>
      </c>
      <c r="BG247" s="26">
        <f t="shared" si="285"/>
        <v>0</v>
      </c>
      <c r="BH247" s="25">
        <f t="shared" si="286"/>
        <v>0</v>
      </c>
      <c r="BI247" s="25">
        <f t="shared" si="287"/>
        <v>0</v>
      </c>
      <c r="BJ247" s="680"/>
      <c r="BK247" s="26"/>
      <c r="BL247" s="26"/>
      <c r="BM247" s="26"/>
      <c r="BN247" s="26"/>
      <c r="BO247" s="26"/>
      <c r="BP247" s="26"/>
      <c r="BQ247" s="26"/>
      <c r="BR247" s="26"/>
      <c r="BT247" s="21" t="s">
        <v>6854</v>
      </c>
    </row>
    <row r="248" spans="1:72">
      <c r="A248" s="29" t="s">
        <v>538</v>
      </c>
      <c r="B248" s="29" t="s">
        <v>1550</v>
      </c>
      <c r="C248" s="626">
        <f>SETUP!$F$58</f>
        <v>0</v>
      </c>
      <c r="D248" s="25">
        <v>6.5</v>
      </c>
      <c r="E248" s="26" t="s">
        <v>1860</v>
      </c>
      <c r="F248" s="26" t="s">
        <v>218</v>
      </c>
      <c r="G248" s="26" t="str">
        <f t="array" ref="G248">IFERROR(INDEX('Malaria-Equipment &amp; Other HPs'!$L$130:$L$230,MATCH($E248&amp;$F248,'Malaria-Equipment &amp; Other HPs'!$E$130:$E$230&amp;'Malaria-Equipment &amp; Other HPs'!$H$130:$H$230,0)),"")</f>
        <v/>
      </c>
      <c r="H248" s="26" t="str">
        <f t="array" ref="H248">IFERROR(INDEX('Malaria-Equipment &amp; Other HPs'!$M$130:$M$230,MATCH($E248&amp;$F248,'Malaria-Equipment &amp; Other HPs'!$E$130:$E$230&amp;'Malaria-Equipment &amp; Other HPs'!$H$130:$H$230,0)),"")</f>
        <v/>
      </c>
      <c r="I248" s="26">
        <f t="array" ref="I248">IFERROR(INDEX('Malaria-Equipment &amp; Other HPs'!$N$130:$N$230,MATCH($E248&amp;$F248,'Malaria-Equipment &amp; Other HPs'!$E$130:$E$230&amp;'Malaria-Equipment &amp; Other HPs'!$H$130:$H$230,0)),0)</f>
        <v>0</v>
      </c>
      <c r="J248" s="26">
        <f t="array" ref="J248">IFERROR(INDEX('Malaria-Equipment &amp; Other HPs'!$O$130:$O$230,MATCH($E248&amp;$F248,'Malaria-Equipment &amp; Other HPs'!$E$130:$E$230&amp;'Malaria-Equipment &amp; Other HPs'!$H$130:$H$230,0)),0)</f>
        <v>0</v>
      </c>
      <c r="K248" s="25">
        <f t="shared" si="252"/>
        <v>0</v>
      </c>
      <c r="L248" s="25">
        <f t="shared" si="253"/>
        <v>0</v>
      </c>
      <c r="M248" s="25">
        <f t="shared" si="254"/>
        <v>0</v>
      </c>
      <c r="N248" s="26">
        <f t="array" ref="N248">IFERROR(INDEX('Malaria-Equipment &amp; Other HPs'!$P$130:$P$230,MATCH($E248&amp;$F248,'Malaria-Equipment &amp; Other HPs'!$E$130:$E$230&amp;'Malaria-Equipment &amp; Other HPs'!$H$130:$H$230,0)),0)</f>
        <v>0</v>
      </c>
      <c r="O248" s="25">
        <f t="shared" si="255"/>
        <v>0</v>
      </c>
      <c r="P248" s="25">
        <f t="shared" si="256"/>
        <v>0</v>
      </c>
      <c r="Q248" s="25">
        <f t="shared" si="257"/>
        <v>0</v>
      </c>
      <c r="R248" s="26">
        <f t="array" ref="R248">IFERROR(INDEX('Malaria-Equipment &amp; Other HPs'!$Q$130:$Q$230,MATCH($E248&amp;$F248,'Malaria-Equipment &amp; Other HPs'!$E$130:$E$230&amp;'Malaria-Equipment &amp; Other HPs'!$H$130:$H$230,0)),0)</f>
        <v>0</v>
      </c>
      <c r="S248" s="25">
        <f t="shared" si="258"/>
        <v>0</v>
      </c>
      <c r="T248" s="25">
        <f t="shared" si="259"/>
        <v>0</v>
      </c>
      <c r="U248" s="25">
        <f t="shared" si="260"/>
        <v>0</v>
      </c>
      <c r="V248" s="26">
        <f t="array" ref="V248">IFERROR(INDEX('Malaria-Equipment &amp; Other HPs'!$R$130:$R$230,MATCH($E248&amp;$F248,'Malaria-Equipment &amp; Other HPs'!$E$130:$E$230&amp;'Malaria-Equipment &amp; Other HPs'!$H$130:$H$230,0)),0)</f>
        <v>0</v>
      </c>
      <c r="W248" s="25">
        <f t="shared" si="261"/>
        <v>0</v>
      </c>
      <c r="X248" s="25">
        <f t="shared" si="262"/>
        <v>0</v>
      </c>
      <c r="Y248" s="25">
        <f t="shared" si="263"/>
        <v>0</v>
      </c>
      <c r="Z248" s="680"/>
      <c r="AA248" s="26">
        <f t="array" ref="AA248">IFERROR(INDEX('Malaria-Equipment &amp; Other HPs'!$U$130:$U$230,MATCH($E248&amp;$F248,'Malaria-Equipment &amp; Other HPs'!$E$130:$E$230&amp;'Malaria-Equipment &amp; Other HPs'!$H$130:$H$230,0)),0)</f>
        <v>0</v>
      </c>
      <c r="AB248" s="26">
        <f t="array" ref="AB248">IFERROR(INDEX('Malaria-Equipment &amp; Other HPs'!$V$130:$V$230,MATCH($E248&amp;$F248,'Malaria-Equipment &amp; Other HPs'!$E$130:$E$230&amp;'Malaria-Equipment &amp; Other HPs'!$H$130:$H$230,0)),0)</f>
        <v>0</v>
      </c>
      <c r="AC248" s="26">
        <f t="shared" si="264"/>
        <v>0</v>
      </c>
      <c r="AD248" s="25">
        <f t="shared" si="265"/>
        <v>0</v>
      </c>
      <c r="AE248" s="25">
        <f t="shared" si="266"/>
        <v>0</v>
      </c>
      <c r="AF248" s="26">
        <f t="array" ref="AF248">IFERROR(INDEX('Malaria-Equipment &amp; Other HPs'!$W$130:$W$230,MATCH($E248&amp;$F248,'Malaria-Equipment &amp; Other HPs'!$E$130:$E$230&amp;'Malaria-Equipment &amp; Other HPs'!$H$130:$H$230,0)),0)</f>
        <v>0</v>
      </c>
      <c r="AG248" s="26">
        <f t="shared" si="267"/>
        <v>0</v>
      </c>
      <c r="AH248" s="25">
        <f t="shared" si="268"/>
        <v>0</v>
      </c>
      <c r="AI248" s="25">
        <f t="shared" si="269"/>
        <v>0</v>
      </c>
      <c r="AJ248" s="26">
        <f t="array" ref="AJ248">IFERROR(INDEX('Malaria-Equipment &amp; Other HPs'!$X$130:$X$230,MATCH($E248&amp;$F248,'Malaria-Equipment &amp; Other HPs'!$E$130:$E$230&amp;'Malaria-Equipment &amp; Other HPs'!$H$130:$H$230,0)),0)</f>
        <v>0</v>
      </c>
      <c r="AK248" s="26">
        <f t="shared" si="270"/>
        <v>0</v>
      </c>
      <c r="AL248" s="25">
        <f t="shared" si="271"/>
        <v>0</v>
      </c>
      <c r="AM248" s="25">
        <f t="shared" si="272"/>
        <v>0</v>
      </c>
      <c r="AN248" s="26">
        <f t="array" ref="AN248">IFERROR(INDEX('Malaria-Equipment &amp; Other HPs'!$Y$130:$Y$230,MATCH($E248&amp;$F248,'Malaria-Equipment &amp; Other HPs'!$E$130:$E$230&amp;'Malaria-Equipment &amp; Other HPs'!$H$130:$H$230,0)),0)</f>
        <v>0</v>
      </c>
      <c r="AO248" s="26">
        <f t="shared" si="273"/>
        <v>0</v>
      </c>
      <c r="AP248" s="25">
        <f t="shared" si="274"/>
        <v>0</v>
      </c>
      <c r="AQ248" s="25">
        <f t="shared" si="275"/>
        <v>0</v>
      </c>
      <c r="AR248" s="680"/>
      <c r="AS248" s="26">
        <f t="array" ref="AS248">IFERROR(INDEX('Malaria-Equipment &amp; Other HPs'!$AB$130:$AB$230,MATCH($E248&amp;$F248,'Malaria-Equipment &amp; Other HPs'!$E$130:$E$230&amp;'Malaria-Equipment &amp; Other HPs'!$H$130:$H$230,0)),0)</f>
        <v>0</v>
      </c>
      <c r="AT248" s="26">
        <f t="array" ref="AT248">IFERROR(INDEX('Malaria-Equipment &amp; Other HPs'!$AC$130:$AC$230,MATCH($E248&amp;$F248,'Malaria-Equipment &amp; Other HPs'!$E$130:$E$230&amp;'Malaria-Equipment &amp; Other HPs'!$H$130:$H$230,0)),0)</f>
        <v>0</v>
      </c>
      <c r="AU248" s="26">
        <f t="shared" si="276"/>
        <v>0</v>
      </c>
      <c r="AV248" s="25">
        <f t="shared" si="277"/>
        <v>0</v>
      </c>
      <c r="AW248" s="25">
        <f t="shared" si="278"/>
        <v>0</v>
      </c>
      <c r="AX248" s="26">
        <f t="array" ref="AX248">IFERROR(INDEX('Malaria-Equipment &amp; Other HPs'!$AD$130:$AD$230,MATCH($E248&amp;$F248,'Malaria-Equipment &amp; Other HPs'!$E$130:$E$230&amp;'Malaria-Equipment &amp; Other HPs'!$H$130:$H$230,0)),0)</f>
        <v>0</v>
      </c>
      <c r="AY248" s="26">
        <f t="shared" si="279"/>
        <v>0</v>
      </c>
      <c r="AZ248" s="25">
        <f t="shared" si="280"/>
        <v>0</v>
      </c>
      <c r="BA248" s="25">
        <f t="shared" si="281"/>
        <v>0</v>
      </c>
      <c r="BB248" s="26">
        <f t="array" ref="BB248">IFERROR(INDEX('Malaria-Equipment &amp; Other HPs'!$AE$130:$AE$230,MATCH($E248&amp;$F248,'Malaria-Equipment &amp; Other HPs'!$E$130:$E$230&amp;'Malaria-Equipment &amp; Other HPs'!$H$130:$H$230,0)),0)</f>
        <v>0</v>
      </c>
      <c r="BC248" s="26">
        <f t="shared" si="282"/>
        <v>0</v>
      </c>
      <c r="BD248" s="25">
        <f t="shared" si="283"/>
        <v>0</v>
      </c>
      <c r="BE248" s="25">
        <f t="shared" si="284"/>
        <v>0</v>
      </c>
      <c r="BF248" s="26">
        <f t="array" ref="BF248">IFERROR(INDEX('Malaria-Equipment &amp; Other HPs'!$AF$130:$AF$230,MATCH($E248&amp;$F248,'Malaria-Equipment &amp; Other HPs'!$E$130:$E$230&amp;'Malaria-Equipment &amp; Other HPs'!$H$130:$H$230,0)),0)</f>
        <v>0</v>
      </c>
      <c r="BG248" s="26">
        <f t="shared" si="285"/>
        <v>0</v>
      </c>
      <c r="BH248" s="25">
        <f t="shared" si="286"/>
        <v>0</v>
      </c>
      <c r="BI248" s="25">
        <f t="shared" si="287"/>
        <v>0</v>
      </c>
      <c r="BJ248" s="680"/>
      <c r="BK248" s="26"/>
      <c r="BL248" s="26"/>
      <c r="BM248" s="26"/>
      <c r="BN248" s="26"/>
      <c r="BO248" s="26"/>
      <c r="BP248" s="26"/>
      <c r="BQ248" s="26"/>
      <c r="BR248" s="26"/>
      <c r="BT248" s="21" t="s">
        <v>6855</v>
      </c>
    </row>
    <row r="249" spans="1:72">
      <c r="A249" s="29" t="s">
        <v>1582</v>
      </c>
      <c r="B249" s="29" t="s">
        <v>1550</v>
      </c>
      <c r="C249" s="626">
        <f>SETUP!$F$58</f>
        <v>0</v>
      </c>
      <c r="D249" s="25">
        <v>6.5</v>
      </c>
      <c r="E249" s="26" t="s">
        <v>1212</v>
      </c>
      <c r="F249" s="26" t="s">
        <v>218</v>
      </c>
      <c r="G249" s="26" t="str">
        <f t="array" ref="G249">IFERROR(INDEX('Malaria-Equipment &amp; Other HPs'!$L$130:$L$230,MATCH($E249&amp;$F249,'Malaria-Equipment &amp; Other HPs'!$E$130:$E$230&amp;'Malaria-Equipment &amp; Other HPs'!$H$130:$H$230,0)),"")</f>
        <v/>
      </c>
      <c r="H249" s="26" t="str">
        <f t="array" ref="H249">IFERROR(INDEX('Malaria-Equipment &amp; Other HPs'!$M$130:$M$230,MATCH($E249&amp;$F249,'Malaria-Equipment &amp; Other HPs'!$E$130:$E$230&amp;'Malaria-Equipment &amp; Other HPs'!$H$130:$H$230,0)),"")</f>
        <v/>
      </c>
      <c r="I249" s="26">
        <f t="array" ref="I249">IFERROR(INDEX('Malaria-Equipment &amp; Other HPs'!$N$130:$N$230,MATCH($E249&amp;$F249,'Malaria-Equipment &amp; Other HPs'!$E$130:$E$230&amp;'Malaria-Equipment &amp; Other HPs'!$H$130:$H$230,0)),0)</f>
        <v>0</v>
      </c>
      <c r="J249" s="26">
        <f t="array" ref="J249">IFERROR(INDEX('Malaria-Equipment &amp; Other HPs'!$O$130:$O$230,MATCH($E249&amp;$F249,'Malaria-Equipment &amp; Other HPs'!$E$130:$E$230&amp;'Malaria-Equipment &amp; Other HPs'!$H$130:$H$230,0)),0)</f>
        <v>0</v>
      </c>
      <c r="K249" s="25">
        <f t="shared" si="252"/>
        <v>0</v>
      </c>
      <c r="L249" s="25">
        <f t="shared" si="253"/>
        <v>0</v>
      </c>
      <c r="M249" s="25">
        <f t="shared" si="254"/>
        <v>0</v>
      </c>
      <c r="N249" s="26">
        <f t="array" ref="N249">IFERROR(INDEX('Malaria-Equipment &amp; Other HPs'!$P$130:$P$230,MATCH($E249&amp;$F249,'Malaria-Equipment &amp; Other HPs'!$E$130:$E$230&amp;'Malaria-Equipment &amp; Other HPs'!$H$130:$H$230,0)),0)</f>
        <v>0</v>
      </c>
      <c r="O249" s="25">
        <f t="shared" si="255"/>
        <v>0</v>
      </c>
      <c r="P249" s="25">
        <f t="shared" si="256"/>
        <v>0</v>
      </c>
      <c r="Q249" s="25">
        <f t="shared" si="257"/>
        <v>0</v>
      </c>
      <c r="R249" s="26">
        <f t="array" ref="R249">IFERROR(INDEX('Malaria-Equipment &amp; Other HPs'!$Q$130:$Q$230,MATCH($E249&amp;$F249,'Malaria-Equipment &amp; Other HPs'!$E$130:$E$230&amp;'Malaria-Equipment &amp; Other HPs'!$H$130:$H$230,0)),0)</f>
        <v>0</v>
      </c>
      <c r="S249" s="25">
        <f t="shared" si="258"/>
        <v>0</v>
      </c>
      <c r="T249" s="25">
        <f t="shared" si="259"/>
        <v>0</v>
      </c>
      <c r="U249" s="25">
        <f t="shared" si="260"/>
        <v>0</v>
      </c>
      <c r="V249" s="26">
        <f t="array" ref="V249">IFERROR(INDEX('Malaria-Equipment &amp; Other HPs'!$R$130:$R$230,MATCH($E249&amp;$F249,'Malaria-Equipment &amp; Other HPs'!$E$130:$E$230&amp;'Malaria-Equipment &amp; Other HPs'!$H$130:$H$230,0)),0)</f>
        <v>0</v>
      </c>
      <c r="W249" s="25">
        <f t="shared" si="261"/>
        <v>0</v>
      </c>
      <c r="X249" s="25">
        <f t="shared" si="262"/>
        <v>0</v>
      </c>
      <c r="Y249" s="25">
        <f t="shared" si="263"/>
        <v>0</v>
      </c>
      <c r="Z249" s="680"/>
      <c r="AA249" s="26">
        <f t="array" ref="AA249">IFERROR(INDEX('Malaria-Equipment &amp; Other HPs'!$U$130:$U$230,MATCH($E249&amp;$F249,'Malaria-Equipment &amp; Other HPs'!$E$130:$E$230&amp;'Malaria-Equipment &amp; Other HPs'!$H$130:$H$230,0)),0)</f>
        <v>0</v>
      </c>
      <c r="AB249" s="26">
        <f t="array" ref="AB249">IFERROR(INDEX('Malaria-Equipment &amp; Other HPs'!$V$130:$V$230,MATCH($E249&amp;$F249,'Malaria-Equipment &amp; Other HPs'!$E$130:$E$230&amp;'Malaria-Equipment &amp; Other HPs'!$H$130:$H$230,0)),0)</f>
        <v>0</v>
      </c>
      <c r="AC249" s="26">
        <f t="shared" si="264"/>
        <v>0</v>
      </c>
      <c r="AD249" s="25">
        <f t="shared" si="265"/>
        <v>0</v>
      </c>
      <c r="AE249" s="25">
        <f t="shared" si="266"/>
        <v>0</v>
      </c>
      <c r="AF249" s="26">
        <f t="array" ref="AF249">IFERROR(INDEX('Malaria-Equipment &amp; Other HPs'!$W$130:$W$230,MATCH($E249&amp;$F249,'Malaria-Equipment &amp; Other HPs'!$E$130:$E$230&amp;'Malaria-Equipment &amp; Other HPs'!$H$130:$H$230,0)),0)</f>
        <v>0</v>
      </c>
      <c r="AG249" s="26">
        <f t="shared" si="267"/>
        <v>0</v>
      </c>
      <c r="AH249" s="25">
        <f t="shared" si="268"/>
        <v>0</v>
      </c>
      <c r="AI249" s="25">
        <f t="shared" si="269"/>
        <v>0</v>
      </c>
      <c r="AJ249" s="26">
        <f t="array" ref="AJ249">IFERROR(INDEX('Malaria-Equipment &amp; Other HPs'!$X$130:$X$230,MATCH($E249&amp;$F249,'Malaria-Equipment &amp; Other HPs'!$E$130:$E$230&amp;'Malaria-Equipment &amp; Other HPs'!$H$130:$H$230,0)),0)</f>
        <v>0</v>
      </c>
      <c r="AK249" s="26">
        <f t="shared" si="270"/>
        <v>0</v>
      </c>
      <c r="AL249" s="25">
        <f t="shared" si="271"/>
        <v>0</v>
      </c>
      <c r="AM249" s="25">
        <f t="shared" si="272"/>
        <v>0</v>
      </c>
      <c r="AN249" s="26">
        <f t="array" ref="AN249">IFERROR(INDEX('Malaria-Equipment &amp; Other HPs'!$Y$130:$Y$230,MATCH($E249&amp;$F249,'Malaria-Equipment &amp; Other HPs'!$E$130:$E$230&amp;'Malaria-Equipment &amp; Other HPs'!$H$130:$H$230,0)),0)</f>
        <v>0</v>
      </c>
      <c r="AO249" s="26">
        <f t="shared" si="273"/>
        <v>0</v>
      </c>
      <c r="AP249" s="25">
        <f t="shared" si="274"/>
        <v>0</v>
      </c>
      <c r="AQ249" s="25">
        <f t="shared" si="275"/>
        <v>0</v>
      </c>
      <c r="AR249" s="680"/>
      <c r="AS249" s="26">
        <f t="array" ref="AS249">IFERROR(INDEX('Malaria-Equipment &amp; Other HPs'!$AB$130:$AB$230,MATCH($E249&amp;$F249,'Malaria-Equipment &amp; Other HPs'!$E$130:$E$230&amp;'Malaria-Equipment &amp; Other HPs'!$H$130:$H$230,0)),0)</f>
        <v>0</v>
      </c>
      <c r="AT249" s="26">
        <f t="array" ref="AT249">IFERROR(INDEX('Malaria-Equipment &amp; Other HPs'!$AC$130:$AC$230,MATCH($E249&amp;$F249,'Malaria-Equipment &amp; Other HPs'!$E$130:$E$230&amp;'Malaria-Equipment &amp; Other HPs'!$H$130:$H$230,0)),0)</f>
        <v>0</v>
      </c>
      <c r="AU249" s="26">
        <f t="shared" si="276"/>
        <v>0</v>
      </c>
      <c r="AV249" s="25">
        <f t="shared" si="277"/>
        <v>0</v>
      </c>
      <c r="AW249" s="25">
        <f t="shared" si="278"/>
        <v>0</v>
      </c>
      <c r="AX249" s="26">
        <f t="array" ref="AX249">IFERROR(INDEX('Malaria-Equipment &amp; Other HPs'!$AD$130:$AD$230,MATCH($E249&amp;$F249,'Malaria-Equipment &amp; Other HPs'!$E$130:$E$230&amp;'Malaria-Equipment &amp; Other HPs'!$H$130:$H$230,0)),0)</f>
        <v>0</v>
      </c>
      <c r="AY249" s="26">
        <f t="shared" si="279"/>
        <v>0</v>
      </c>
      <c r="AZ249" s="25">
        <f t="shared" si="280"/>
        <v>0</v>
      </c>
      <c r="BA249" s="25">
        <f t="shared" si="281"/>
        <v>0</v>
      </c>
      <c r="BB249" s="26">
        <f t="array" ref="BB249">IFERROR(INDEX('Malaria-Equipment &amp; Other HPs'!$AE$130:$AE$230,MATCH($E249&amp;$F249,'Malaria-Equipment &amp; Other HPs'!$E$130:$E$230&amp;'Malaria-Equipment &amp; Other HPs'!$H$130:$H$230,0)),0)</f>
        <v>0</v>
      </c>
      <c r="BC249" s="26">
        <f t="shared" si="282"/>
        <v>0</v>
      </c>
      <c r="BD249" s="25">
        <f t="shared" si="283"/>
        <v>0</v>
      </c>
      <c r="BE249" s="25">
        <f t="shared" si="284"/>
        <v>0</v>
      </c>
      <c r="BF249" s="26">
        <f t="array" ref="BF249">IFERROR(INDEX('Malaria-Equipment &amp; Other HPs'!$AF$130:$AF$230,MATCH($E249&amp;$F249,'Malaria-Equipment &amp; Other HPs'!$E$130:$E$230&amp;'Malaria-Equipment &amp; Other HPs'!$H$130:$H$230,0)),0)</f>
        <v>0</v>
      </c>
      <c r="BG249" s="26">
        <f t="shared" si="285"/>
        <v>0</v>
      </c>
      <c r="BH249" s="25">
        <f t="shared" si="286"/>
        <v>0</v>
      </c>
      <c r="BI249" s="25">
        <f t="shared" si="287"/>
        <v>0</v>
      </c>
      <c r="BJ249" s="680"/>
      <c r="BK249" s="26"/>
      <c r="BL249" s="26"/>
      <c r="BM249" s="26"/>
      <c r="BN249" s="26"/>
      <c r="BO249" s="26"/>
      <c r="BP249" s="26"/>
      <c r="BQ249" s="26"/>
      <c r="BR249" s="26"/>
      <c r="BT249" s="21" t="s">
        <v>6856</v>
      </c>
    </row>
    <row r="250" spans="1:72">
      <c r="A250" s="29" t="s">
        <v>1582</v>
      </c>
      <c r="B250" s="29" t="s">
        <v>1550</v>
      </c>
      <c r="C250" s="626">
        <f>SETUP!$F$58</f>
        <v>0</v>
      </c>
      <c r="D250" s="25">
        <v>6.6</v>
      </c>
      <c r="E250" s="26" t="s">
        <v>1212</v>
      </c>
      <c r="F250" s="26" t="s">
        <v>201</v>
      </c>
      <c r="G250" s="26" t="str">
        <f t="array" ref="G250">IFERROR(INDEX('Malaria-Equipment &amp; Other HPs'!$L$130:$L$230,MATCH($E250&amp;$F250,'Malaria-Equipment &amp; Other HPs'!$E$130:$E$230&amp;'Malaria-Equipment &amp; Other HPs'!$H$130:$H$230,0)),"")</f>
        <v/>
      </c>
      <c r="H250" s="26" t="str">
        <f t="array" ref="H250">IFERROR(INDEX('Malaria-Equipment &amp; Other HPs'!$M$130:$M$230,MATCH($E250&amp;$F250,'Malaria-Equipment &amp; Other HPs'!$E$130:$E$230&amp;'Malaria-Equipment &amp; Other HPs'!$H$130:$H$230,0)),"")</f>
        <v/>
      </c>
      <c r="I250" s="26">
        <f t="array" ref="I250">IFERROR(INDEX('Malaria-Equipment &amp; Other HPs'!$N$130:$N$230,MATCH($E250&amp;$F250,'Malaria-Equipment &amp; Other HPs'!$E$130:$E$230&amp;'Malaria-Equipment &amp; Other HPs'!$H$130:$H$230,0)),0)</f>
        <v>0</v>
      </c>
      <c r="J250" s="26">
        <f t="array" ref="J250">IFERROR(INDEX('Malaria-Equipment &amp; Other HPs'!$O$130:$O$230,MATCH($E250&amp;$F250,'Malaria-Equipment &amp; Other HPs'!$E$130:$E$230&amp;'Malaria-Equipment &amp; Other HPs'!$H$130:$H$230,0)),0)</f>
        <v>0</v>
      </c>
      <c r="K250" s="25">
        <f t="shared" si="252"/>
        <v>0</v>
      </c>
      <c r="L250" s="25">
        <f t="shared" si="253"/>
        <v>0</v>
      </c>
      <c r="M250" s="25">
        <f t="shared" si="254"/>
        <v>0</v>
      </c>
      <c r="N250" s="26">
        <f t="array" ref="N250">IFERROR(INDEX('Malaria-Equipment &amp; Other HPs'!$P$130:$P$230,MATCH($E250&amp;$F250,'Malaria-Equipment &amp; Other HPs'!$E$130:$E$230&amp;'Malaria-Equipment &amp; Other HPs'!$H$130:$H$230,0)),0)</f>
        <v>0</v>
      </c>
      <c r="O250" s="25">
        <f t="shared" si="255"/>
        <v>0</v>
      </c>
      <c r="P250" s="25">
        <f t="shared" si="256"/>
        <v>0</v>
      </c>
      <c r="Q250" s="25">
        <f t="shared" si="257"/>
        <v>0</v>
      </c>
      <c r="R250" s="26">
        <f t="array" ref="R250">IFERROR(INDEX('Malaria-Equipment &amp; Other HPs'!$Q$130:$Q$230,MATCH($E250&amp;$F250,'Malaria-Equipment &amp; Other HPs'!$E$130:$E$230&amp;'Malaria-Equipment &amp; Other HPs'!$H$130:$H$230,0)),0)</f>
        <v>0</v>
      </c>
      <c r="S250" s="25">
        <f t="shared" si="258"/>
        <v>0</v>
      </c>
      <c r="T250" s="25">
        <f t="shared" si="259"/>
        <v>0</v>
      </c>
      <c r="U250" s="25">
        <f t="shared" si="260"/>
        <v>0</v>
      </c>
      <c r="V250" s="26">
        <f t="array" ref="V250">IFERROR(INDEX('Malaria-Equipment &amp; Other HPs'!$R$130:$R$230,MATCH($E250&amp;$F250,'Malaria-Equipment &amp; Other HPs'!$E$130:$E$230&amp;'Malaria-Equipment &amp; Other HPs'!$H$130:$H$230,0)),0)</f>
        <v>0</v>
      </c>
      <c r="W250" s="25">
        <f t="shared" si="261"/>
        <v>0</v>
      </c>
      <c r="X250" s="25">
        <f t="shared" si="262"/>
        <v>0</v>
      </c>
      <c r="Y250" s="25">
        <f t="shared" si="263"/>
        <v>0</v>
      </c>
      <c r="Z250" s="680"/>
      <c r="AA250" s="26">
        <f t="array" ref="AA250">IFERROR(INDEX('Malaria-Equipment &amp; Other HPs'!$U$130:$U$230,MATCH($E250&amp;$F250,'Malaria-Equipment &amp; Other HPs'!$E$130:$E$230&amp;'Malaria-Equipment &amp; Other HPs'!$H$130:$H$230,0)),0)</f>
        <v>0</v>
      </c>
      <c r="AB250" s="26">
        <f t="array" ref="AB250">IFERROR(INDEX('Malaria-Equipment &amp; Other HPs'!$V$130:$V$230,MATCH($E250&amp;$F250,'Malaria-Equipment &amp; Other HPs'!$E$130:$E$230&amp;'Malaria-Equipment &amp; Other HPs'!$H$130:$H$230,0)),0)</f>
        <v>0</v>
      </c>
      <c r="AC250" s="26">
        <f t="shared" si="264"/>
        <v>0</v>
      </c>
      <c r="AD250" s="25">
        <f t="shared" si="265"/>
        <v>0</v>
      </c>
      <c r="AE250" s="25">
        <f t="shared" si="266"/>
        <v>0</v>
      </c>
      <c r="AF250" s="26">
        <f t="array" ref="AF250">IFERROR(INDEX('Malaria-Equipment &amp; Other HPs'!$W$130:$W$230,MATCH($E250&amp;$F250,'Malaria-Equipment &amp; Other HPs'!$E$130:$E$230&amp;'Malaria-Equipment &amp; Other HPs'!$H$130:$H$230,0)),0)</f>
        <v>0</v>
      </c>
      <c r="AG250" s="26">
        <f t="shared" si="267"/>
        <v>0</v>
      </c>
      <c r="AH250" s="25">
        <f t="shared" si="268"/>
        <v>0</v>
      </c>
      <c r="AI250" s="25">
        <f t="shared" si="269"/>
        <v>0</v>
      </c>
      <c r="AJ250" s="26">
        <f t="array" ref="AJ250">IFERROR(INDEX('Malaria-Equipment &amp; Other HPs'!$X$130:$X$230,MATCH($E250&amp;$F250,'Malaria-Equipment &amp; Other HPs'!$E$130:$E$230&amp;'Malaria-Equipment &amp; Other HPs'!$H$130:$H$230,0)),0)</f>
        <v>0</v>
      </c>
      <c r="AK250" s="26">
        <f t="shared" si="270"/>
        <v>0</v>
      </c>
      <c r="AL250" s="25">
        <f t="shared" si="271"/>
        <v>0</v>
      </c>
      <c r="AM250" s="25">
        <f t="shared" si="272"/>
        <v>0</v>
      </c>
      <c r="AN250" s="26">
        <f t="array" ref="AN250">IFERROR(INDEX('Malaria-Equipment &amp; Other HPs'!$Y$130:$Y$230,MATCH($E250&amp;$F250,'Malaria-Equipment &amp; Other HPs'!$E$130:$E$230&amp;'Malaria-Equipment &amp; Other HPs'!$H$130:$H$230,0)),0)</f>
        <v>0</v>
      </c>
      <c r="AO250" s="26">
        <f t="shared" si="273"/>
        <v>0</v>
      </c>
      <c r="AP250" s="25">
        <f t="shared" si="274"/>
        <v>0</v>
      </c>
      <c r="AQ250" s="25">
        <f t="shared" si="275"/>
        <v>0</v>
      </c>
      <c r="AR250" s="680"/>
      <c r="AS250" s="26">
        <f t="array" ref="AS250">IFERROR(INDEX('Malaria-Equipment &amp; Other HPs'!$AB$130:$AB$230,MATCH($E250&amp;$F250,'Malaria-Equipment &amp; Other HPs'!$E$130:$E$230&amp;'Malaria-Equipment &amp; Other HPs'!$H$130:$H$230,0)),0)</f>
        <v>0</v>
      </c>
      <c r="AT250" s="26">
        <f t="array" ref="AT250">IFERROR(INDEX('Malaria-Equipment &amp; Other HPs'!$AC$130:$AC$230,MATCH($E250&amp;$F250,'Malaria-Equipment &amp; Other HPs'!$E$130:$E$230&amp;'Malaria-Equipment &amp; Other HPs'!$H$130:$H$230,0)),0)</f>
        <v>0</v>
      </c>
      <c r="AU250" s="26">
        <f t="shared" si="276"/>
        <v>0</v>
      </c>
      <c r="AV250" s="25">
        <f t="shared" si="277"/>
        <v>0</v>
      </c>
      <c r="AW250" s="25">
        <f t="shared" si="278"/>
        <v>0</v>
      </c>
      <c r="AX250" s="26">
        <f t="array" ref="AX250">IFERROR(INDEX('Malaria-Equipment &amp; Other HPs'!$AD$130:$AD$230,MATCH($E250&amp;$F250,'Malaria-Equipment &amp; Other HPs'!$E$130:$E$230&amp;'Malaria-Equipment &amp; Other HPs'!$H$130:$H$230,0)),0)</f>
        <v>0</v>
      </c>
      <c r="AY250" s="26">
        <f t="shared" si="279"/>
        <v>0</v>
      </c>
      <c r="AZ250" s="25">
        <f t="shared" si="280"/>
        <v>0</v>
      </c>
      <c r="BA250" s="25">
        <f t="shared" si="281"/>
        <v>0</v>
      </c>
      <c r="BB250" s="26">
        <f t="array" ref="BB250">IFERROR(INDEX('Malaria-Equipment &amp; Other HPs'!$AE$130:$AE$230,MATCH($E250&amp;$F250,'Malaria-Equipment &amp; Other HPs'!$E$130:$E$230&amp;'Malaria-Equipment &amp; Other HPs'!$H$130:$H$230,0)),0)</f>
        <v>0</v>
      </c>
      <c r="BC250" s="26">
        <f t="shared" si="282"/>
        <v>0</v>
      </c>
      <c r="BD250" s="25">
        <f t="shared" si="283"/>
        <v>0</v>
      </c>
      <c r="BE250" s="25">
        <f t="shared" si="284"/>
        <v>0</v>
      </c>
      <c r="BF250" s="26">
        <f t="array" ref="BF250">IFERROR(INDEX('Malaria-Equipment &amp; Other HPs'!$AF$130:$AF$230,MATCH($E250&amp;$F250,'Malaria-Equipment &amp; Other HPs'!$E$130:$E$230&amp;'Malaria-Equipment &amp; Other HPs'!$H$130:$H$230,0)),0)</f>
        <v>0</v>
      </c>
      <c r="BG250" s="26">
        <f t="shared" si="285"/>
        <v>0</v>
      </c>
      <c r="BH250" s="25">
        <f t="shared" si="286"/>
        <v>0</v>
      </c>
      <c r="BI250" s="25">
        <f t="shared" si="287"/>
        <v>0</v>
      </c>
      <c r="BJ250" s="680"/>
      <c r="BK250" s="26"/>
      <c r="BL250" s="26"/>
      <c r="BM250" s="26"/>
      <c r="BN250" s="26"/>
      <c r="BO250" s="26"/>
      <c r="BP250" s="26"/>
      <c r="BQ250" s="26"/>
      <c r="BR250" s="26"/>
      <c r="BT250" s="21" t="s">
        <v>6857</v>
      </c>
    </row>
    <row r="251" spans="1:72">
      <c r="A251" s="29" t="s">
        <v>1582</v>
      </c>
      <c r="B251" s="29" t="s">
        <v>1550</v>
      </c>
      <c r="C251" s="626">
        <f>SETUP!$F$58</f>
        <v>0</v>
      </c>
      <c r="D251" s="25">
        <v>6.6</v>
      </c>
      <c r="E251" s="26" t="s">
        <v>1212</v>
      </c>
      <c r="F251" s="26" t="s">
        <v>200</v>
      </c>
      <c r="G251" s="26" t="str">
        <f t="array" ref="G251">IFERROR(INDEX('Malaria-Equipment &amp; Other HPs'!$L$130:$L$230,MATCH($E251&amp;$F251,'Malaria-Equipment &amp; Other HPs'!$E$130:$E$230&amp;'Malaria-Equipment &amp; Other HPs'!$H$130:$H$230,0)),"")</f>
        <v/>
      </c>
      <c r="H251" s="26" t="str">
        <f t="array" ref="H251">IFERROR(INDEX('Malaria-Equipment &amp; Other HPs'!$M$130:$M$230,MATCH($E251&amp;$F251,'Malaria-Equipment &amp; Other HPs'!$E$130:$E$230&amp;'Malaria-Equipment &amp; Other HPs'!$H$130:$H$230,0)),"")</f>
        <v/>
      </c>
      <c r="I251" s="26">
        <f t="array" ref="I251">IFERROR(INDEX('Malaria-Equipment &amp; Other HPs'!$N$130:$N$230,MATCH($E251&amp;$F251,'Malaria-Equipment &amp; Other HPs'!$E$130:$E$230&amp;'Malaria-Equipment &amp; Other HPs'!$H$130:$H$230,0)),0)</f>
        <v>0</v>
      </c>
      <c r="J251" s="26">
        <f t="array" ref="J251">IFERROR(INDEX('Malaria-Equipment &amp; Other HPs'!$O$130:$O$230,MATCH($E251&amp;$F251,'Malaria-Equipment &amp; Other HPs'!$E$130:$E$230&amp;'Malaria-Equipment &amp; Other HPs'!$H$130:$H$230,0)),0)</f>
        <v>0</v>
      </c>
      <c r="K251" s="25">
        <f t="shared" si="252"/>
        <v>0</v>
      </c>
      <c r="L251" s="25">
        <f t="shared" si="253"/>
        <v>0</v>
      </c>
      <c r="M251" s="25">
        <f t="shared" si="254"/>
        <v>0</v>
      </c>
      <c r="N251" s="26">
        <f t="array" ref="N251">IFERROR(INDEX('Malaria-Equipment &amp; Other HPs'!$P$130:$P$230,MATCH($E251&amp;$F251,'Malaria-Equipment &amp; Other HPs'!$E$130:$E$230&amp;'Malaria-Equipment &amp; Other HPs'!$H$130:$H$230,0)),0)</f>
        <v>0</v>
      </c>
      <c r="O251" s="25">
        <f t="shared" si="255"/>
        <v>0</v>
      </c>
      <c r="P251" s="25">
        <f t="shared" si="256"/>
        <v>0</v>
      </c>
      <c r="Q251" s="25">
        <f t="shared" si="257"/>
        <v>0</v>
      </c>
      <c r="R251" s="26">
        <f t="array" ref="R251">IFERROR(INDEX('Malaria-Equipment &amp; Other HPs'!$Q$130:$Q$230,MATCH($E251&amp;$F251,'Malaria-Equipment &amp; Other HPs'!$E$130:$E$230&amp;'Malaria-Equipment &amp; Other HPs'!$H$130:$H$230,0)),0)</f>
        <v>0</v>
      </c>
      <c r="S251" s="25">
        <f t="shared" si="258"/>
        <v>0</v>
      </c>
      <c r="T251" s="25">
        <f t="shared" si="259"/>
        <v>0</v>
      </c>
      <c r="U251" s="25">
        <f t="shared" si="260"/>
        <v>0</v>
      </c>
      <c r="V251" s="26">
        <f t="array" ref="V251">IFERROR(INDEX('Malaria-Equipment &amp; Other HPs'!$R$130:$R$230,MATCH($E251&amp;$F251,'Malaria-Equipment &amp; Other HPs'!$E$130:$E$230&amp;'Malaria-Equipment &amp; Other HPs'!$H$130:$H$230,0)),0)</f>
        <v>0</v>
      </c>
      <c r="W251" s="25">
        <f t="shared" si="261"/>
        <v>0</v>
      </c>
      <c r="X251" s="25">
        <f t="shared" si="262"/>
        <v>0</v>
      </c>
      <c r="Y251" s="25">
        <f t="shared" si="263"/>
        <v>0</v>
      </c>
      <c r="Z251" s="680"/>
      <c r="AA251" s="26">
        <f t="array" ref="AA251">IFERROR(INDEX('Malaria-Equipment &amp; Other HPs'!$U$130:$U$230,MATCH($E251&amp;$F251,'Malaria-Equipment &amp; Other HPs'!$E$130:$E$230&amp;'Malaria-Equipment &amp; Other HPs'!$H$130:$H$230,0)),0)</f>
        <v>0</v>
      </c>
      <c r="AB251" s="26">
        <f t="array" ref="AB251">IFERROR(INDEX('Malaria-Equipment &amp; Other HPs'!$V$130:$V$230,MATCH($E251&amp;$F251,'Malaria-Equipment &amp; Other HPs'!$E$130:$E$230&amp;'Malaria-Equipment &amp; Other HPs'!$H$130:$H$230,0)),0)</f>
        <v>0</v>
      </c>
      <c r="AC251" s="26">
        <f t="shared" si="264"/>
        <v>0</v>
      </c>
      <c r="AD251" s="25">
        <f t="shared" si="265"/>
        <v>0</v>
      </c>
      <c r="AE251" s="25">
        <f t="shared" si="266"/>
        <v>0</v>
      </c>
      <c r="AF251" s="26">
        <f t="array" ref="AF251">IFERROR(INDEX('Malaria-Equipment &amp; Other HPs'!$W$130:$W$230,MATCH($E251&amp;$F251,'Malaria-Equipment &amp; Other HPs'!$E$130:$E$230&amp;'Malaria-Equipment &amp; Other HPs'!$H$130:$H$230,0)),0)</f>
        <v>0</v>
      </c>
      <c r="AG251" s="26">
        <f t="shared" si="267"/>
        <v>0</v>
      </c>
      <c r="AH251" s="25">
        <f t="shared" si="268"/>
        <v>0</v>
      </c>
      <c r="AI251" s="25">
        <f t="shared" si="269"/>
        <v>0</v>
      </c>
      <c r="AJ251" s="26">
        <f t="array" ref="AJ251">IFERROR(INDEX('Malaria-Equipment &amp; Other HPs'!$X$130:$X$230,MATCH($E251&amp;$F251,'Malaria-Equipment &amp; Other HPs'!$E$130:$E$230&amp;'Malaria-Equipment &amp; Other HPs'!$H$130:$H$230,0)),0)</f>
        <v>0</v>
      </c>
      <c r="AK251" s="26">
        <f t="shared" si="270"/>
        <v>0</v>
      </c>
      <c r="AL251" s="25">
        <f t="shared" si="271"/>
        <v>0</v>
      </c>
      <c r="AM251" s="25">
        <f t="shared" si="272"/>
        <v>0</v>
      </c>
      <c r="AN251" s="26">
        <f t="array" ref="AN251">IFERROR(INDEX('Malaria-Equipment &amp; Other HPs'!$Y$130:$Y$230,MATCH($E251&amp;$F251,'Malaria-Equipment &amp; Other HPs'!$E$130:$E$230&amp;'Malaria-Equipment &amp; Other HPs'!$H$130:$H$230,0)),0)</f>
        <v>0</v>
      </c>
      <c r="AO251" s="26">
        <f t="shared" si="273"/>
        <v>0</v>
      </c>
      <c r="AP251" s="25">
        <f t="shared" si="274"/>
        <v>0</v>
      </c>
      <c r="AQ251" s="25">
        <f t="shared" si="275"/>
        <v>0</v>
      </c>
      <c r="AR251" s="680"/>
      <c r="AS251" s="26">
        <f t="array" ref="AS251">IFERROR(INDEX('Malaria-Equipment &amp; Other HPs'!$AB$130:$AB$230,MATCH($E251&amp;$F251,'Malaria-Equipment &amp; Other HPs'!$E$130:$E$230&amp;'Malaria-Equipment &amp; Other HPs'!$H$130:$H$230,0)),0)</f>
        <v>0</v>
      </c>
      <c r="AT251" s="26">
        <f t="array" ref="AT251">IFERROR(INDEX('Malaria-Equipment &amp; Other HPs'!$AC$130:$AC$230,MATCH($E251&amp;$F251,'Malaria-Equipment &amp; Other HPs'!$E$130:$E$230&amp;'Malaria-Equipment &amp; Other HPs'!$H$130:$H$230,0)),0)</f>
        <v>0</v>
      </c>
      <c r="AU251" s="26">
        <f t="shared" si="276"/>
        <v>0</v>
      </c>
      <c r="AV251" s="25">
        <f t="shared" si="277"/>
        <v>0</v>
      </c>
      <c r="AW251" s="25">
        <f t="shared" si="278"/>
        <v>0</v>
      </c>
      <c r="AX251" s="26">
        <f t="array" ref="AX251">IFERROR(INDEX('Malaria-Equipment &amp; Other HPs'!$AD$130:$AD$230,MATCH($E251&amp;$F251,'Malaria-Equipment &amp; Other HPs'!$E$130:$E$230&amp;'Malaria-Equipment &amp; Other HPs'!$H$130:$H$230,0)),0)</f>
        <v>0</v>
      </c>
      <c r="AY251" s="26">
        <f t="shared" si="279"/>
        <v>0</v>
      </c>
      <c r="AZ251" s="25">
        <f t="shared" si="280"/>
        <v>0</v>
      </c>
      <c r="BA251" s="25">
        <f t="shared" si="281"/>
        <v>0</v>
      </c>
      <c r="BB251" s="26">
        <f t="array" ref="BB251">IFERROR(INDEX('Malaria-Equipment &amp; Other HPs'!$AE$130:$AE$230,MATCH($E251&amp;$F251,'Malaria-Equipment &amp; Other HPs'!$E$130:$E$230&amp;'Malaria-Equipment &amp; Other HPs'!$H$130:$H$230,0)),0)</f>
        <v>0</v>
      </c>
      <c r="BC251" s="26">
        <f t="shared" si="282"/>
        <v>0</v>
      </c>
      <c r="BD251" s="25">
        <f t="shared" si="283"/>
        <v>0</v>
      </c>
      <c r="BE251" s="25">
        <f t="shared" si="284"/>
        <v>0</v>
      </c>
      <c r="BF251" s="26">
        <f t="array" ref="BF251">IFERROR(INDEX('Malaria-Equipment &amp; Other HPs'!$AF$130:$AF$230,MATCH($E251&amp;$F251,'Malaria-Equipment &amp; Other HPs'!$E$130:$E$230&amp;'Malaria-Equipment &amp; Other HPs'!$H$130:$H$230,0)),0)</f>
        <v>0</v>
      </c>
      <c r="BG251" s="26">
        <f t="shared" si="285"/>
        <v>0</v>
      </c>
      <c r="BH251" s="25">
        <f t="shared" si="286"/>
        <v>0</v>
      </c>
      <c r="BI251" s="25">
        <f t="shared" si="287"/>
        <v>0</v>
      </c>
      <c r="BJ251" s="680"/>
      <c r="BK251" s="26"/>
      <c r="BL251" s="26"/>
      <c r="BM251" s="26"/>
      <c r="BN251" s="26"/>
      <c r="BO251" s="26"/>
      <c r="BP251" s="26"/>
      <c r="BQ251" s="26"/>
      <c r="BR251" s="26"/>
      <c r="BT251" s="21" t="s">
        <v>6857</v>
      </c>
    </row>
    <row r="252" spans="1:72">
      <c r="A252" s="29" t="s">
        <v>1582</v>
      </c>
      <c r="B252" s="29" t="s">
        <v>1550</v>
      </c>
      <c r="C252" s="626">
        <f>SETUP!$F$58</f>
        <v>0</v>
      </c>
      <c r="D252" s="25">
        <v>6.5</v>
      </c>
      <c r="E252" s="26" t="s">
        <v>1213</v>
      </c>
      <c r="F252" s="26" t="s">
        <v>218</v>
      </c>
      <c r="G252" s="26" t="str">
        <f t="array" ref="G252">IFERROR(INDEX('Malaria-Equipment &amp; Other HPs'!$L$130:$L$230,MATCH($E252&amp;$F252,'Malaria-Equipment &amp; Other HPs'!$E$130:$E$230&amp;'Malaria-Equipment &amp; Other HPs'!$H$130:$H$230,0)),"")</f>
        <v/>
      </c>
      <c r="H252" s="26" t="str">
        <f t="array" ref="H252">IFERROR(INDEX('Malaria-Equipment &amp; Other HPs'!$M$130:$M$230,MATCH($E252&amp;$F252,'Malaria-Equipment &amp; Other HPs'!$E$130:$E$230&amp;'Malaria-Equipment &amp; Other HPs'!$H$130:$H$230,0)),"")</f>
        <v/>
      </c>
      <c r="I252" s="26">
        <f t="array" ref="I252">IFERROR(INDEX('Malaria-Equipment &amp; Other HPs'!$N$130:$N$230,MATCH($E252&amp;$F252,'Malaria-Equipment &amp; Other HPs'!$E$130:$E$230&amp;'Malaria-Equipment &amp; Other HPs'!$H$130:$H$230,0)),0)</f>
        <v>0</v>
      </c>
      <c r="J252" s="26">
        <f t="array" ref="J252">IFERROR(INDEX('Malaria-Equipment &amp; Other HPs'!$O$130:$O$230,MATCH($E252&amp;$F252,'Malaria-Equipment &amp; Other HPs'!$E$130:$E$230&amp;'Malaria-Equipment &amp; Other HPs'!$H$130:$H$230,0)),0)</f>
        <v>0</v>
      </c>
      <c r="K252" s="25">
        <f t="shared" si="252"/>
        <v>0</v>
      </c>
      <c r="L252" s="25">
        <f t="shared" si="253"/>
        <v>0</v>
      </c>
      <c r="M252" s="25">
        <f t="shared" si="254"/>
        <v>0</v>
      </c>
      <c r="N252" s="26">
        <f t="array" ref="N252">IFERROR(INDEX('Malaria-Equipment &amp; Other HPs'!$P$130:$P$230,MATCH($E252&amp;$F252,'Malaria-Equipment &amp; Other HPs'!$E$130:$E$230&amp;'Malaria-Equipment &amp; Other HPs'!$H$130:$H$230,0)),0)</f>
        <v>0</v>
      </c>
      <c r="O252" s="25">
        <f t="shared" si="255"/>
        <v>0</v>
      </c>
      <c r="P252" s="25">
        <f t="shared" si="256"/>
        <v>0</v>
      </c>
      <c r="Q252" s="25">
        <f t="shared" si="257"/>
        <v>0</v>
      </c>
      <c r="R252" s="26">
        <f t="array" ref="R252">IFERROR(INDEX('Malaria-Equipment &amp; Other HPs'!$Q$130:$Q$230,MATCH($E252&amp;$F252,'Malaria-Equipment &amp; Other HPs'!$E$130:$E$230&amp;'Malaria-Equipment &amp; Other HPs'!$H$130:$H$230,0)),0)</f>
        <v>0</v>
      </c>
      <c r="S252" s="25">
        <f t="shared" si="258"/>
        <v>0</v>
      </c>
      <c r="T252" s="25">
        <f t="shared" si="259"/>
        <v>0</v>
      </c>
      <c r="U252" s="25">
        <f t="shared" si="260"/>
        <v>0</v>
      </c>
      <c r="V252" s="26">
        <f t="array" ref="V252">IFERROR(INDEX('Malaria-Equipment &amp; Other HPs'!$R$130:$R$230,MATCH($E252&amp;$F252,'Malaria-Equipment &amp; Other HPs'!$E$130:$E$230&amp;'Malaria-Equipment &amp; Other HPs'!$H$130:$H$230,0)),0)</f>
        <v>0</v>
      </c>
      <c r="W252" s="25">
        <f t="shared" si="261"/>
        <v>0</v>
      </c>
      <c r="X252" s="25">
        <f t="shared" si="262"/>
        <v>0</v>
      </c>
      <c r="Y252" s="25">
        <f t="shared" si="263"/>
        <v>0</v>
      </c>
      <c r="Z252" s="680"/>
      <c r="AA252" s="26">
        <f t="array" ref="AA252">IFERROR(INDEX('Malaria-Equipment &amp; Other HPs'!$U$130:$U$230,MATCH($E252&amp;$F252,'Malaria-Equipment &amp; Other HPs'!$E$130:$E$230&amp;'Malaria-Equipment &amp; Other HPs'!$H$130:$H$230,0)),0)</f>
        <v>0</v>
      </c>
      <c r="AB252" s="26">
        <f t="array" ref="AB252">IFERROR(INDEX('Malaria-Equipment &amp; Other HPs'!$V$130:$V$230,MATCH($E252&amp;$F252,'Malaria-Equipment &amp; Other HPs'!$E$130:$E$230&amp;'Malaria-Equipment &amp; Other HPs'!$H$130:$H$230,0)),0)</f>
        <v>0</v>
      </c>
      <c r="AC252" s="26">
        <f t="shared" si="264"/>
        <v>0</v>
      </c>
      <c r="AD252" s="25">
        <f t="shared" si="265"/>
        <v>0</v>
      </c>
      <c r="AE252" s="25">
        <f t="shared" si="266"/>
        <v>0</v>
      </c>
      <c r="AF252" s="26">
        <f t="array" ref="AF252">IFERROR(INDEX('Malaria-Equipment &amp; Other HPs'!$W$130:$W$230,MATCH($E252&amp;$F252,'Malaria-Equipment &amp; Other HPs'!$E$130:$E$230&amp;'Malaria-Equipment &amp; Other HPs'!$H$130:$H$230,0)),0)</f>
        <v>0</v>
      </c>
      <c r="AG252" s="26">
        <f t="shared" si="267"/>
        <v>0</v>
      </c>
      <c r="AH252" s="25">
        <f t="shared" si="268"/>
        <v>0</v>
      </c>
      <c r="AI252" s="25">
        <f t="shared" si="269"/>
        <v>0</v>
      </c>
      <c r="AJ252" s="26">
        <f t="array" ref="AJ252">IFERROR(INDEX('Malaria-Equipment &amp; Other HPs'!$X$130:$X$230,MATCH($E252&amp;$F252,'Malaria-Equipment &amp; Other HPs'!$E$130:$E$230&amp;'Malaria-Equipment &amp; Other HPs'!$H$130:$H$230,0)),0)</f>
        <v>0</v>
      </c>
      <c r="AK252" s="26">
        <f t="shared" si="270"/>
        <v>0</v>
      </c>
      <c r="AL252" s="25">
        <f t="shared" si="271"/>
        <v>0</v>
      </c>
      <c r="AM252" s="25">
        <f t="shared" si="272"/>
        <v>0</v>
      </c>
      <c r="AN252" s="26">
        <f t="array" ref="AN252">IFERROR(INDEX('Malaria-Equipment &amp; Other HPs'!$Y$130:$Y$230,MATCH($E252&amp;$F252,'Malaria-Equipment &amp; Other HPs'!$E$130:$E$230&amp;'Malaria-Equipment &amp; Other HPs'!$H$130:$H$230,0)),0)</f>
        <v>0</v>
      </c>
      <c r="AO252" s="26">
        <f t="shared" si="273"/>
        <v>0</v>
      </c>
      <c r="AP252" s="25">
        <f t="shared" si="274"/>
        <v>0</v>
      </c>
      <c r="AQ252" s="25">
        <f t="shared" si="275"/>
        <v>0</v>
      </c>
      <c r="AR252" s="680"/>
      <c r="AS252" s="26">
        <f t="array" ref="AS252">IFERROR(INDEX('Malaria-Equipment &amp; Other HPs'!$AB$130:$AB$230,MATCH($E252&amp;$F252,'Malaria-Equipment &amp; Other HPs'!$E$130:$E$230&amp;'Malaria-Equipment &amp; Other HPs'!$H$130:$H$230,0)),0)</f>
        <v>0</v>
      </c>
      <c r="AT252" s="26">
        <f t="array" ref="AT252">IFERROR(INDEX('Malaria-Equipment &amp; Other HPs'!$AC$130:$AC$230,MATCH($E252&amp;$F252,'Malaria-Equipment &amp; Other HPs'!$E$130:$E$230&amp;'Malaria-Equipment &amp; Other HPs'!$H$130:$H$230,0)),0)</f>
        <v>0</v>
      </c>
      <c r="AU252" s="26">
        <f t="shared" si="276"/>
        <v>0</v>
      </c>
      <c r="AV252" s="25">
        <f t="shared" si="277"/>
        <v>0</v>
      </c>
      <c r="AW252" s="25">
        <f t="shared" si="278"/>
        <v>0</v>
      </c>
      <c r="AX252" s="26">
        <f t="array" ref="AX252">IFERROR(INDEX('Malaria-Equipment &amp; Other HPs'!$AD$130:$AD$230,MATCH($E252&amp;$F252,'Malaria-Equipment &amp; Other HPs'!$E$130:$E$230&amp;'Malaria-Equipment &amp; Other HPs'!$H$130:$H$230,0)),0)</f>
        <v>0</v>
      </c>
      <c r="AY252" s="26">
        <f t="shared" si="279"/>
        <v>0</v>
      </c>
      <c r="AZ252" s="25">
        <f t="shared" si="280"/>
        <v>0</v>
      </c>
      <c r="BA252" s="25">
        <f t="shared" si="281"/>
        <v>0</v>
      </c>
      <c r="BB252" s="26">
        <f t="array" ref="BB252">IFERROR(INDEX('Malaria-Equipment &amp; Other HPs'!$AE$130:$AE$230,MATCH($E252&amp;$F252,'Malaria-Equipment &amp; Other HPs'!$E$130:$E$230&amp;'Malaria-Equipment &amp; Other HPs'!$H$130:$H$230,0)),0)</f>
        <v>0</v>
      </c>
      <c r="BC252" s="26">
        <f t="shared" si="282"/>
        <v>0</v>
      </c>
      <c r="BD252" s="25">
        <f t="shared" si="283"/>
        <v>0</v>
      </c>
      <c r="BE252" s="25">
        <f t="shared" si="284"/>
        <v>0</v>
      </c>
      <c r="BF252" s="26">
        <f t="array" ref="BF252">IFERROR(INDEX('Malaria-Equipment &amp; Other HPs'!$AF$130:$AF$230,MATCH($E252&amp;$F252,'Malaria-Equipment &amp; Other HPs'!$E$130:$E$230&amp;'Malaria-Equipment &amp; Other HPs'!$H$130:$H$230,0)),0)</f>
        <v>0</v>
      </c>
      <c r="BG252" s="26">
        <f t="shared" si="285"/>
        <v>0</v>
      </c>
      <c r="BH252" s="25">
        <f t="shared" si="286"/>
        <v>0</v>
      </c>
      <c r="BI252" s="25">
        <f t="shared" si="287"/>
        <v>0</v>
      </c>
      <c r="BJ252" s="680"/>
      <c r="BK252" s="26"/>
      <c r="BL252" s="26"/>
      <c r="BM252" s="26"/>
      <c r="BN252" s="26"/>
      <c r="BO252" s="26"/>
      <c r="BP252" s="26"/>
      <c r="BQ252" s="26"/>
      <c r="BR252" s="26"/>
      <c r="BT252" s="21" t="s">
        <v>6858</v>
      </c>
    </row>
    <row r="253" spans="1:72">
      <c r="A253" s="29" t="s">
        <v>1582</v>
      </c>
      <c r="B253" s="29" t="s">
        <v>1550</v>
      </c>
      <c r="C253" s="626">
        <f>SETUP!$F$58</f>
        <v>0</v>
      </c>
      <c r="D253" s="25">
        <v>6.6</v>
      </c>
      <c r="E253" s="26" t="s">
        <v>1213</v>
      </c>
      <c r="F253" s="26" t="s">
        <v>201</v>
      </c>
      <c r="G253" s="26" t="str">
        <f t="array" ref="G253">IFERROR(INDEX('Malaria-Equipment &amp; Other HPs'!$L$130:$L$230,MATCH($E253&amp;$F253,'Malaria-Equipment &amp; Other HPs'!$E$130:$E$230&amp;'Malaria-Equipment &amp; Other HPs'!$H$130:$H$230,0)),"")</f>
        <v/>
      </c>
      <c r="H253" s="26" t="str">
        <f t="array" ref="H253">IFERROR(INDEX('Malaria-Equipment &amp; Other HPs'!$M$130:$M$230,MATCH($E253&amp;$F253,'Malaria-Equipment &amp; Other HPs'!$E$130:$E$230&amp;'Malaria-Equipment &amp; Other HPs'!$H$130:$H$230,0)),"")</f>
        <v/>
      </c>
      <c r="I253" s="26">
        <f t="array" ref="I253">IFERROR(INDEX('Malaria-Equipment &amp; Other HPs'!$N$130:$N$230,MATCH($E253&amp;$F253,'Malaria-Equipment &amp; Other HPs'!$E$130:$E$230&amp;'Malaria-Equipment &amp; Other HPs'!$H$130:$H$230,0)),0)</f>
        <v>0</v>
      </c>
      <c r="J253" s="26">
        <f t="array" ref="J253">IFERROR(INDEX('Malaria-Equipment &amp; Other HPs'!$O$130:$O$230,MATCH($E253&amp;$F253,'Malaria-Equipment &amp; Other HPs'!$E$130:$E$230&amp;'Malaria-Equipment &amp; Other HPs'!$H$130:$H$230,0)),0)</f>
        <v>0</v>
      </c>
      <c r="K253" s="25">
        <f t="shared" si="252"/>
        <v>0</v>
      </c>
      <c r="L253" s="25">
        <f t="shared" si="253"/>
        <v>0</v>
      </c>
      <c r="M253" s="25">
        <f t="shared" si="254"/>
        <v>0</v>
      </c>
      <c r="N253" s="26">
        <f t="array" ref="N253">IFERROR(INDEX('Malaria-Equipment &amp; Other HPs'!$P$130:$P$230,MATCH($E253&amp;$F253,'Malaria-Equipment &amp; Other HPs'!$E$130:$E$230&amp;'Malaria-Equipment &amp; Other HPs'!$H$130:$H$230,0)),0)</f>
        <v>0</v>
      </c>
      <c r="O253" s="25">
        <f t="shared" si="255"/>
        <v>0</v>
      </c>
      <c r="P253" s="25">
        <f t="shared" si="256"/>
        <v>0</v>
      </c>
      <c r="Q253" s="25">
        <f t="shared" si="257"/>
        <v>0</v>
      </c>
      <c r="R253" s="26">
        <f t="array" ref="R253">IFERROR(INDEX('Malaria-Equipment &amp; Other HPs'!$Q$130:$Q$230,MATCH($E253&amp;$F253,'Malaria-Equipment &amp; Other HPs'!$E$130:$E$230&amp;'Malaria-Equipment &amp; Other HPs'!$H$130:$H$230,0)),0)</f>
        <v>0</v>
      </c>
      <c r="S253" s="25">
        <f t="shared" si="258"/>
        <v>0</v>
      </c>
      <c r="T253" s="25">
        <f t="shared" si="259"/>
        <v>0</v>
      </c>
      <c r="U253" s="25">
        <f t="shared" si="260"/>
        <v>0</v>
      </c>
      <c r="V253" s="26">
        <f t="array" ref="V253">IFERROR(INDEX('Malaria-Equipment &amp; Other HPs'!$R$130:$R$230,MATCH($E253&amp;$F253,'Malaria-Equipment &amp; Other HPs'!$E$130:$E$230&amp;'Malaria-Equipment &amp; Other HPs'!$H$130:$H$230,0)),0)</f>
        <v>0</v>
      </c>
      <c r="W253" s="25">
        <f t="shared" si="261"/>
        <v>0</v>
      </c>
      <c r="X253" s="25">
        <f t="shared" si="262"/>
        <v>0</v>
      </c>
      <c r="Y253" s="25">
        <f t="shared" si="263"/>
        <v>0</v>
      </c>
      <c r="Z253" s="680"/>
      <c r="AA253" s="26">
        <f t="array" ref="AA253">IFERROR(INDEX('Malaria-Equipment &amp; Other HPs'!$U$130:$U$230,MATCH($E253&amp;$F253,'Malaria-Equipment &amp; Other HPs'!$E$130:$E$230&amp;'Malaria-Equipment &amp; Other HPs'!$H$130:$H$230,0)),0)</f>
        <v>0</v>
      </c>
      <c r="AB253" s="26">
        <f t="array" ref="AB253">IFERROR(INDEX('Malaria-Equipment &amp; Other HPs'!$V$130:$V$230,MATCH($E253&amp;$F253,'Malaria-Equipment &amp; Other HPs'!$E$130:$E$230&amp;'Malaria-Equipment &amp; Other HPs'!$H$130:$H$230,0)),0)</f>
        <v>0</v>
      </c>
      <c r="AC253" s="26">
        <f t="shared" si="264"/>
        <v>0</v>
      </c>
      <c r="AD253" s="25">
        <f t="shared" si="265"/>
        <v>0</v>
      </c>
      <c r="AE253" s="25">
        <f t="shared" si="266"/>
        <v>0</v>
      </c>
      <c r="AF253" s="26">
        <f t="array" ref="AF253">IFERROR(INDEX('Malaria-Equipment &amp; Other HPs'!$W$130:$W$230,MATCH($E253&amp;$F253,'Malaria-Equipment &amp; Other HPs'!$E$130:$E$230&amp;'Malaria-Equipment &amp; Other HPs'!$H$130:$H$230,0)),0)</f>
        <v>0</v>
      </c>
      <c r="AG253" s="26">
        <f t="shared" si="267"/>
        <v>0</v>
      </c>
      <c r="AH253" s="25">
        <f t="shared" si="268"/>
        <v>0</v>
      </c>
      <c r="AI253" s="25">
        <f t="shared" si="269"/>
        <v>0</v>
      </c>
      <c r="AJ253" s="26">
        <f t="array" ref="AJ253">IFERROR(INDEX('Malaria-Equipment &amp; Other HPs'!$X$130:$X$230,MATCH($E253&amp;$F253,'Malaria-Equipment &amp; Other HPs'!$E$130:$E$230&amp;'Malaria-Equipment &amp; Other HPs'!$H$130:$H$230,0)),0)</f>
        <v>0</v>
      </c>
      <c r="AK253" s="26">
        <f t="shared" si="270"/>
        <v>0</v>
      </c>
      <c r="AL253" s="25">
        <f t="shared" si="271"/>
        <v>0</v>
      </c>
      <c r="AM253" s="25">
        <f t="shared" si="272"/>
        <v>0</v>
      </c>
      <c r="AN253" s="26">
        <f t="array" ref="AN253">IFERROR(INDEX('Malaria-Equipment &amp; Other HPs'!$Y$130:$Y$230,MATCH($E253&amp;$F253,'Malaria-Equipment &amp; Other HPs'!$E$130:$E$230&amp;'Malaria-Equipment &amp; Other HPs'!$H$130:$H$230,0)),0)</f>
        <v>0</v>
      </c>
      <c r="AO253" s="26">
        <f t="shared" si="273"/>
        <v>0</v>
      </c>
      <c r="AP253" s="25">
        <f t="shared" si="274"/>
        <v>0</v>
      </c>
      <c r="AQ253" s="25">
        <f t="shared" si="275"/>
        <v>0</v>
      </c>
      <c r="AR253" s="680"/>
      <c r="AS253" s="26">
        <f t="array" ref="AS253">IFERROR(INDEX('Malaria-Equipment &amp; Other HPs'!$AB$130:$AB$230,MATCH($E253&amp;$F253,'Malaria-Equipment &amp; Other HPs'!$E$130:$E$230&amp;'Malaria-Equipment &amp; Other HPs'!$H$130:$H$230,0)),0)</f>
        <v>0</v>
      </c>
      <c r="AT253" s="26">
        <f t="array" ref="AT253">IFERROR(INDEX('Malaria-Equipment &amp; Other HPs'!$AC$130:$AC$230,MATCH($E253&amp;$F253,'Malaria-Equipment &amp; Other HPs'!$E$130:$E$230&amp;'Malaria-Equipment &amp; Other HPs'!$H$130:$H$230,0)),0)</f>
        <v>0</v>
      </c>
      <c r="AU253" s="26">
        <f t="shared" si="276"/>
        <v>0</v>
      </c>
      <c r="AV253" s="25">
        <f t="shared" si="277"/>
        <v>0</v>
      </c>
      <c r="AW253" s="25">
        <f t="shared" si="278"/>
        <v>0</v>
      </c>
      <c r="AX253" s="26">
        <f t="array" ref="AX253">IFERROR(INDEX('Malaria-Equipment &amp; Other HPs'!$AD$130:$AD$230,MATCH($E253&amp;$F253,'Malaria-Equipment &amp; Other HPs'!$E$130:$E$230&amp;'Malaria-Equipment &amp; Other HPs'!$H$130:$H$230,0)),0)</f>
        <v>0</v>
      </c>
      <c r="AY253" s="26">
        <f t="shared" si="279"/>
        <v>0</v>
      </c>
      <c r="AZ253" s="25">
        <f t="shared" si="280"/>
        <v>0</v>
      </c>
      <c r="BA253" s="25">
        <f t="shared" si="281"/>
        <v>0</v>
      </c>
      <c r="BB253" s="26">
        <f t="array" ref="BB253">IFERROR(INDEX('Malaria-Equipment &amp; Other HPs'!$AE$130:$AE$230,MATCH($E253&amp;$F253,'Malaria-Equipment &amp; Other HPs'!$E$130:$E$230&amp;'Malaria-Equipment &amp; Other HPs'!$H$130:$H$230,0)),0)</f>
        <v>0</v>
      </c>
      <c r="BC253" s="26">
        <f t="shared" si="282"/>
        <v>0</v>
      </c>
      <c r="BD253" s="25">
        <f t="shared" si="283"/>
        <v>0</v>
      </c>
      <c r="BE253" s="25">
        <f t="shared" si="284"/>
        <v>0</v>
      </c>
      <c r="BF253" s="26">
        <f t="array" ref="BF253">IFERROR(INDEX('Malaria-Equipment &amp; Other HPs'!$AF$130:$AF$230,MATCH($E253&amp;$F253,'Malaria-Equipment &amp; Other HPs'!$E$130:$E$230&amp;'Malaria-Equipment &amp; Other HPs'!$H$130:$H$230,0)),0)</f>
        <v>0</v>
      </c>
      <c r="BG253" s="26">
        <f t="shared" si="285"/>
        <v>0</v>
      </c>
      <c r="BH253" s="25">
        <f t="shared" si="286"/>
        <v>0</v>
      </c>
      <c r="BI253" s="25">
        <f t="shared" si="287"/>
        <v>0</v>
      </c>
      <c r="BJ253" s="680"/>
      <c r="BK253" s="26"/>
      <c r="BL253" s="26"/>
      <c r="BM253" s="26"/>
      <c r="BN253" s="26"/>
      <c r="BO253" s="26"/>
      <c r="BP253" s="26"/>
      <c r="BQ253" s="26"/>
      <c r="BR253" s="26"/>
      <c r="BT253" s="21" t="s">
        <v>6859</v>
      </c>
    </row>
    <row r="254" spans="1:72">
      <c r="A254" s="29" t="s">
        <v>1582</v>
      </c>
      <c r="B254" s="29" t="s">
        <v>1550</v>
      </c>
      <c r="C254" s="626">
        <f>SETUP!$F$58</f>
        <v>0</v>
      </c>
      <c r="D254" s="25">
        <v>6.6</v>
      </c>
      <c r="E254" s="26" t="s">
        <v>1213</v>
      </c>
      <c r="F254" s="26" t="s">
        <v>200</v>
      </c>
      <c r="G254" s="26" t="str">
        <f t="array" ref="G254">IFERROR(INDEX('Malaria-Equipment &amp; Other HPs'!$L$130:$L$230,MATCH($E254&amp;$F254,'Malaria-Equipment &amp; Other HPs'!$E$130:$E$230&amp;'Malaria-Equipment &amp; Other HPs'!$H$130:$H$230,0)),"")</f>
        <v/>
      </c>
      <c r="H254" s="26" t="str">
        <f t="array" ref="H254">IFERROR(INDEX('Malaria-Equipment &amp; Other HPs'!$M$130:$M$230,MATCH($E254&amp;$F254,'Malaria-Equipment &amp; Other HPs'!$E$130:$E$230&amp;'Malaria-Equipment &amp; Other HPs'!$H$130:$H$230,0)),"")</f>
        <v/>
      </c>
      <c r="I254" s="26">
        <f t="array" ref="I254">IFERROR(INDEX('Malaria-Equipment &amp; Other HPs'!$N$130:$N$230,MATCH($E254&amp;$F254,'Malaria-Equipment &amp; Other HPs'!$E$130:$E$230&amp;'Malaria-Equipment &amp; Other HPs'!$H$130:$H$230,0)),0)</f>
        <v>0</v>
      </c>
      <c r="J254" s="26">
        <f t="array" ref="J254">IFERROR(INDEX('Malaria-Equipment &amp; Other HPs'!$O$130:$O$230,MATCH($E254&amp;$F254,'Malaria-Equipment &amp; Other HPs'!$E$130:$E$230&amp;'Malaria-Equipment &amp; Other HPs'!$H$130:$H$230,0)),0)</f>
        <v>0</v>
      </c>
      <c r="K254" s="25">
        <f t="shared" si="252"/>
        <v>0</v>
      </c>
      <c r="L254" s="25">
        <f t="shared" si="253"/>
        <v>0</v>
      </c>
      <c r="M254" s="25">
        <f t="shared" si="254"/>
        <v>0</v>
      </c>
      <c r="N254" s="26">
        <f t="array" ref="N254">IFERROR(INDEX('Malaria-Equipment &amp; Other HPs'!$P$130:$P$230,MATCH($E254&amp;$F254,'Malaria-Equipment &amp; Other HPs'!$E$130:$E$230&amp;'Malaria-Equipment &amp; Other HPs'!$H$130:$H$230,0)),0)</f>
        <v>0</v>
      </c>
      <c r="O254" s="25">
        <f t="shared" si="255"/>
        <v>0</v>
      </c>
      <c r="P254" s="25">
        <f t="shared" si="256"/>
        <v>0</v>
      </c>
      <c r="Q254" s="25">
        <f t="shared" si="257"/>
        <v>0</v>
      </c>
      <c r="R254" s="26">
        <f t="array" ref="R254">IFERROR(INDEX('Malaria-Equipment &amp; Other HPs'!$Q$130:$Q$230,MATCH($E254&amp;$F254,'Malaria-Equipment &amp; Other HPs'!$E$130:$E$230&amp;'Malaria-Equipment &amp; Other HPs'!$H$130:$H$230,0)),0)</f>
        <v>0</v>
      </c>
      <c r="S254" s="25">
        <f t="shared" si="258"/>
        <v>0</v>
      </c>
      <c r="T254" s="25">
        <f t="shared" si="259"/>
        <v>0</v>
      </c>
      <c r="U254" s="25">
        <f t="shared" si="260"/>
        <v>0</v>
      </c>
      <c r="V254" s="26">
        <f t="array" ref="V254">IFERROR(INDEX('Malaria-Equipment &amp; Other HPs'!$R$130:$R$230,MATCH($E254&amp;$F254,'Malaria-Equipment &amp; Other HPs'!$E$130:$E$230&amp;'Malaria-Equipment &amp; Other HPs'!$H$130:$H$230,0)),0)</f>
        <v>0</v>
      </c>
      <c r="W254" s="25">
        <f t="shared" si="261"/>
        <v>0</v>
      </c>
      <c r="X254" s="25">
        <f t="shared" si="262"/>
        <v>0</v>
      </c>
      <c r="Y254" s="25">
        <f t="shared" si="263"/>
        <v>0</v>
      </c>
      <c r="Z254" s="680"/>
      <c r="AA254" s="26">
        <f t="array" ref="AA254">IFERROR(INDEX('Malaria-Equipment &amp; Other HPs'!$U$130:$U$230,MATCH($E254&amp;$F254,'Malaria-Equipment &amp; Other HPs'!$E$130:$E$230&amp;'Malaria-Equipment &amp; Other HPs'!$H$130:$H$230,0)),0)</f>
        <v>0</v>
      </c>
      <c r="AB254" s="26">
        <f t="array" ref="AB254">IFERROR(INDEX('Malaria-Equipment &amp; Other HPs'!$V$130:$V$230,MATCH($E254&amp;$F254,'Malaria-Equipment &amp; Other HPs'!$E$130:$E$230&amp;'Malaria-Equipment &amp; Other HPs'!$H$130:$H$230,0)),0)</f>
        <v>0</v>
      </c>
      <c r="AC254" s="26">
        <f t="shared" si="264"/>
        <v>0</v>
      </c>
      <c r="AD254" s="25">
        <f t="shared" si="265"/>
        <v>0</v>
      </c>
      <c r="AE254" s="25">
        <f t="shared" si="266"/>
        <v>0</v>
      </c>
      <c r="AF254" s="26">
        <f t="array" ref="AF254">IFERROR(INDEX('Malaria-Equipment &amp; Other HPs'!$W$130:$W$230,MATCH($E254&amp;$F254,'Malaria-Equipment &amp; Other HPs'!$E$130:$E$230&amp;'Malaria-Equipment &amp; Other HPs'!$H$130:$H$230,0)),0)</f>
        <v>0</v>
      </c>
      <c r="AG254" s="26">
        <f t="shared" si="267"/>
        <v>0</v>
      </c>
      <c r="AH254" s="25">
        <f t="shared" si="268"/>
        <v>0</v>
      </c>
      <c r="AI254" s="25">
        <f t="shared" si="269"/>
        <v>0</v>
      </c>
      <c r="AJ254" s="26">
        <f t="array" ref="AJ254">IFERROR(INDEX('Malaria-Equipment &amp; Other HPs'!$X$130:$X$230,MATCH($E254&amp;$F254,'Malaria-Equipment &amp; Other HPs'!$E$130:$E$230&amp;'Malaria-Equipment &amp; Other HPs'!$H$130:$H$230,0)),0)</f>
        <v>0</v>
      </c>
      <c r="AK254" s="26">
        <f t="shared" si="270"/>
        <v>0</v>
      </c>
      <c r="AL254" s="25">
        <f t="shared" si="271"/>
        <v>0</v>
      </c>
      <c r="AM254" s="25">
        <f t="shared" si="272"/>
        <v>0</v>
      </c>
      <c r="AN254" s="26">
        <f t="array" ref="AN254">IFERROR(INDEX('Malaria-Equipment &amp; Other HPs'!$Y$130:$Y$230,MATCH($E254&amp;$F254,'Malaria-Equipment &amp; Other HPs'!$E$130:$E$230&amp;'Malaria-Equipment &amp; Other HPs'!$H$130:$H$230,0)),0)</f>
        <v>0</v>
      </c>
      <c r="AO254" s="26">
        <f t="shared" si="273"/>
        <v>0</v>
      </c>
      <c r="AP254" s="25">
        <f t="shared" si="274"/>
        <v>0</v>
      </c>
      <c r="AQ254" s="25">
        <f t="shared" si="275"/>
        <v>0</v>
      </c>
      <c r="AR254" s="680"/>
      <c r="AS254" s="26">
        <f t="array" ref="AS254">IFERROR(INDEX('Malaria-Equipment &amp; Other HPs'!$AB$130:$AB$230,MATCH($E254&amp;$F254,'Malaria-Equipment &amp; Other HPs'!$E$130:$E$230&amp;'Malaria-Equipment &amp; Other HPs'!$H$130:$H$230,0)),0)</f>
        <v>0</v>
      </c>
      <c r="AT254" s="26">
        <f t="array" ref="AT254">IFERROR(INDEX('Malaria-Equipment &amp; Other HPs'!$AC$130:$AC$230,MATCH($E254&amp;$F254,'Malaria-Equipment &amp; Other HPs'!$E$130:$E$230&amp;'Malaria-Equipment &amp; Other HPs'!$H$130:$H$230,0)),0)</f>
        <v>0</v>
      </c>
      <c r="AU254" s="26">
        <f t="shared" si="276"/>
        <v>0</v>
      </c>
      <c r="AV254" s="25">
        <f t="shared" si="277"/>
        <v>0</v>
      </c>
      <c r="AW254" s="25">
        <f t="shared" si="278"/>
        <v>0</v>
      </c>
      <c r="AX254" s="26">
        <f t="array" ref="AX254">IFERROR(INDEX('Malaria-Equipment &amp; Other HPs'!$AD$130:$AD$230,MATCH($E254&amp;$F254,'Malaria-Equipment &amp; Other HPs'!$E$130:$E$230&amp;'Malaria-Equipment &amp; Other HPs'!$H$130:$H$230,0)),0)</f>
        <v>0</v>
      </c>
      <c r="AY254" s="26">
        <f t="shared" si="279"/>
        <v>0</v>
      </c>
      <c r="AZ254" s="25">
        <f t="shared" si="280"/>
        <v>0</v>
      </c>
      <c r="BA254" s="25">
        <f t="shared" si="281"/>
        <v>0</v>
      </c>
      <c r="BB254" s="26">
        <f t="array" ref="BB254">IFERROR(INDEX('Malaria-Equipment &amp; Other HPs'!$AE$130:$AE$230,MATCH($E254&amp;$F254,'Malaria-Equipment &amp; Other HPs'!$E$130:$E$230&amp;'Malaria-Equipment &amp; Other HPs'!$H$130:$H$230,0)),0)</f>
        <v>0</v>
      </c>
      <c r="BC254" s="26">
        <f t="shared" si="282"/>
        <v>0</v>
      </c>
      <c r="BD254" s="25">
        <f t="shared" si="283"/>
        <v>0</v>
      </c>
      <c r="BE254" s="25">
        <f t="shared" si="284"/>
        <v>0</v>
      </c>
      <c r="BF254" s="26">
        <f t="array" ref="BF254">IFERROR(INDEX('Malaria-Equipment &amp; Other HPs'!$AF$130:$AF$230,MATCH($E254&amp;$F254,'Malaria-Equipment &amp; Other HPs'!$E$130:$E$230&amp;'Malaria-Equipment &amp; Other HPs'!$H$130:$H$230,0)),0)</f>
        <v>0</v>
      </c>
      <c r="BG254" s="26">
        <f t="shared" si="285"/>
        <v>0</v>
      </c>
      <c r="BH254" s="25">
        <f t="shared" si="286"/>
        <v>0</v>
      </c>
      <c r="BI254" s="25">
        <f t="shared" si="287"/>
        <v>0</v>
      </c>
      <c r="BJ254" s="680"/>
      <c r="BK254" s="26"/>
      <c r="BL254" s="26"/>
      <c r="BM254" s="26"/>
      <c r="BN254" s="26"/>
      <c r="BO254" s="26"/>
      <c r="BP254" s="26"/>
      <c r="BQ254" s="26"/>
      <c r="BR254" s="26"/>
      <c r="BT254" s="21" t="s">
        <v>6859</v>
      </c>
    </row>
    <row r="255" spans="1:72">
      <c r="A255" s="29" t="s">
        <v>1582</v>
      </c>
      <c r="B255" s="29" t="s">
        <v>1550</v>
      </c>
      <c r="C255" s="626">
        <f>SETUP!$F$58</f>
        <v>0</v>
      </c>
      <c r="D255" s="25">
        <v>6.6</v>
      </c>
      <c r="E255" s="26" t="s">
        <v>1221</v>
      </c>
      <c r="F255" s="26" t="s">
        <v>1140</v>
      </c>
      <c r="G255" s="26" t="str">
        <f t="array" ref="G255">IFERROR(INDEX('Malaria-Equipment &amp; Other HPs'!$L$130:$L$230,MATCH($E255&amp;$F255,'Malaria-Equipment &amp; Other HPs'!$E$130:$E$230&amp;'Malaria-Equipment &amp; Other HPs'!$H$130:$H$230,0)),"")</f>
        <v/>
      </c>
      <c r="H255" s="26" t="str">
        <f t="array" ref="H255">IFERROR(INDEX('Malaria-Equipment &amp; Other HPs'!$M$130:$M$230,MATCH($E255&amp;$F255,'Malaria-Equipment &amp; Other HPs'!$E$130:$E$230&amp;'Malaria-Equipment &amp; Other HPs'!$H$130:$H$230,0)),"")</f>
        <v/>
      </c>
      <c r="I255" s="26">
        <f t="array" ref="I255">IFERROR(INDEX('Malaria-Equipment &amp; Other HPs'!$N$130:$N$230,MATCH($E255&amp;$F255,'Malaria-Equipment &amp; Other HPs'!$E$130:$E$230&amp;'Malaria-Equipment &amp; Other HPs'!$H$130:$H$230,0)),0)</f>
        <v>0</v>
      </c>
      <c r="J255" s="26">
        <f t="array" ref="J255">IFERROR(INDEX('Malaria-Equipment &amp; Other HPs'!$O$130:$O$230,MATCH($E255&amp;$F255,'Malaria-Equipment &amp; Other HPs'!$E$130:$E$230&amp;'Malaria-Equipment &amp; Other HPs'!$H$130:$H$230,0)),0)</f>
        <v>0</v>
      </c>
      <c r="K255" s="25">
        <f t="shared" si="252"/>
        <v>0</v>
      </c>
      <c r="L255" s="25">
        <f t="shared" si="253"/>
        <v>0</v>
      </c>
      <c r="M255" s="25">
        <f t="shared" si="254"/>
        <v>0</v>
      </c>
      <c r="N255" s="26">
        <f t="array" ref="N255">IFERROR(INDEX('Malaria-Equipment &amp; Other HPs'!$P$130:$P$230,MATCH($E255&amp;$F255,'Malaria-Equipment &amp; Other HPs'!$E$130:$E$230&amp;'Malaria-Equipment &amp; Other HPs'!$H$130:$H$230,0)),0)</f>
        <v>0</v>
      </c>
      <c r="O255" s="25">
        <f t="shared" si="255"/>
        <v>0</v>
      </c>
      <c r="P255" s="25">
        <f t="shared" si="256"/>
        <v>0</v>
      </c>
      <c r="Q255" s="25">
        <f t="shared" si="257"/>
        <v>0</v>
      </c>
      <c r="R255" s="26">
        <f t="array" ref="R255">IFERROR(INDEX('Malaria-Equipment &amp; Other HPs'!$Q$130:$Q$230,MATCH($E255&amp;$F255,'Malaria-Equipment &amp; Other HPs'!$E$130:$E$230&amp;'Malaria-Equipment &amp; Other HPs'!$H$130:$H$230,0)),0)</f>
        <v>0</v>
      </c>
      <c r="S255" s="25">
        <f t="shared" si="258"/>
        <v>0</v>
      </c>
      <c r="T255" s="25">
        <f t="shared" si="259"/>
        <v>0</v>
      </c>
      <c r="U255" s="25">
        <f t="shared" si="260"/>
        <v>0</v>
      </c>
      <c r="V255" s="26">
        <f t="array" ref="V255">IFERROR(INDEX('Malaria-Equipment &amp; Other HPs'!$R$130:$R$230,MATCH($E255&amp;$F255,'Malaria-Equipment &amp; Other HPs'!$E$130:$E$230&amp;'Malaria-Equipment &amp; Other HPs'!$H$130:$H$230,0)),0)</f>
        <v>0</v>
      </c>
      <c r="W255" s="25">
        <f t="shared" si="261"/>
        <v>0</v>
      </c>
      <c r="X255" s="25">
        <f t="shared" si="262"/>
        <v>0</v>
      </c>
      <c r="Y255" s="25">
        <f t="shared" si="263"/>
        <v>0</v>
      </c>
      <c r="Z255" s="680"/>
      <c r="AA255" s="26">
        <f t="array" ref="AA255">IFERROR(INDEX('Malaria-Equipment &amp; Other HPs'!$U$130:$U$230,MATCH($E255&amp;$F255,'Malaria-Equipment &amp; Other HPs'!$E$130:$E$230&amp;'Malaria-Equipment &amp; Other HPs'!$H$130:$H$230,0)),0)</f>
        <v>0</v>
      </c>
      <c r="AB255" s="26">
        <f t="array" ref="AB255">IFERROR(INDEX('Malaria-Equipment &amp; Other HPs'!$V$130:$V$230,MATCH($E255&amp;$F255,'Malaria-Equipment &amp; Other HPs'!$E$130:$E$230&amp;'Malaria-Equipment &amp; Other HPs'!$H$130:$H$230,0)),0)</f>
        <v>0</v>
      </c>
      <c r="AC255" s="26">
        <f t="shared" si="264"/>
        <v>0</v>
      </c>
      <c r="AD255" s="25">
        <f t="shared" si="265"/>
        <v>0</v>
      </c>
      <c r="AE255" s="25">
        <f t="shared" si="266"/>
        <v>0</v>
      </c>
      <c r="AF255" s="26">
        <f t="array" ref="AF255">IFERROR(INDEX('Malaria-Equipment &amp; Other HPs'!$W$130:$W$230,MATCH($E255&amp;$F255,'Malaria-Equipment &amp; Other HPs'!$E$130:$E$230&amp;'Malaria-Equipment &amp; Other HPs'!$H$130:$H$230,0)),0)</f>
        <v>0</v>
      </c>
      <c r="AG255" s="26">
        <f t="shared" si="267"/>
        <v>0</v>
      </c>
      <c r="AH255" s="25">
        <f t="shared" si="268"/>
        <v>0</v>
      </c>
      <c r="AI255" s="25">
        <f t="shared" si="269"/>
        <v>0</v>
      </c>
      <c r="AJ255" s="26">
        <f t="array" ref="AJ255">IFERROR(INDEX('Malaria-Equipment &amp; Other HPs'!$X$130:$X$230,MATCH($E255&amp;$F255,'Malaria-Equipment &amp; Other HPs'!$E$130:$E$230&amp;'Malaria-Equipment &amp; Other HPs'!$H$130:$H$230,0)),0)</f>
        <v>0</v>
      </c>
      <c r="AK255" s="26">
        <f t="shared" si="270"/>
        <v>0</v>
      </c>
      <c r="AL255" s="25">
        <f t="shared" si="271"/>
        <v>0</v>
      </c>
      <c r="AM255" s="25">
        <f t="shared" si="272"/>
        <v>0</v>
      </c>
      <c r="AN255" s="26">
        <f t="array" ref="AN255">IFERROR(INDEX('Malaria-Equipment &amp; Other HPs'!$Y$130:$Y$230,MATCH($E255&amp;$F255,'Malaria-Equipment &amp; Other HPs'!$E$130:$E$230&amp;'Malaria-Equipment &amp; Other HPs'!$H$130:$H$230,0)),0)</f>
        <v>0</v>
      </c>
      <c r="AO255" s="26">
        <f t="shared" si="273"/>
        <v>0</v>
      </c>
      <c r="AP255" s="25">
        <f t="shared" si="274"/>
        <v>0</v>
      </c>
      <c r="AQ255" s="25">
        <f t="shared" si="275"/>
        <v>0</v>
      </c>
      <c r="AR255" s="680"/>
      <c r="AS255" s="26">
        <f t="array" ref="AS255">IFERROR(INDEX('Malaria-Equipment &amp; Other HPs'!$AB$130:$AB$230,MATCH($E255&amp;$F255,'Malaria-Equipment &amp; Other HPs'!$E$130:$E$230&amp;'Malaria-Equipment &amp; Other HPs'!$H$130:$H$230,0)),0)</f>
        <v>0</v>
      </c>
      <c r="AT255" s="26">
        <f t="array" ref="AT255">IFERROR(INDEX('Malaria-Equipment &amp; Other HPs'!$AC$130:$AC$230,MATCH($E255&amp;$F255,'Malaria-Equipment &amp; Other HPs'!$E$130:$E$230&amp;'Malaria-Equipment &amp; Other HPs'!$H$130:$H$230,0)),0)</f>
        <v>0</v>
      </c>
      <c r="AU255" s="26">
        <f t="shared" si="276"/>
        <v>0</v>
      </c>
      <c r="AV255" s="25">
        <f t="shared" si="277"/>
        <v>0</v>
      </c>
      <c r="AW255" s="25">
        <f t="shared" si="278"/>
        <v>0</v>
      </c>
      <c r="AX255" s="26">
        <f t="array" ref="AX255">IFERROR(INDEX('Malaria-Equipment &amp; Other HPs'!$AD$130:$AD$230,MATCH($E255&amp;$F255,'Malaria-Equipment &amp; Other HPs'!$E$130:$E$230&amp;'Malaria-Equipment &amp; Other HPs'!$H$130:$H$230,0)),0)</f>
        <v>0</v>
      </c>
      <c r="AY255" s="26">
        <f t="shared" si="279"/>
        <v>0</v>
      </c>
      <c r="AZ255" s="25">
        <f t="shared" si="280"/>
        <v>0</v>
      </c>
      <c r="BA255" s="25">
        <f t="shared" si="281"/>
        <v>0</v>
      </c>
      <c r="BB255" s="26">
        <f t="array" ref="BB255">IFERROR(INDEX('Malaria-Equipment &amp; Other HPs'!$AE$130:$AE$230,MATCH($E255&amp;$F255,'Malaria-Equipment &amp; Other HPs'!$E$130:$E$230&amp;'Malaria-Equipment &amp; Other HPs'!$H$130:$H$230,0)),0)</f>
        <v>0</v>
      </c>
      <c r="BC255" s="26">
        <f t="shared" si="282"/>
        <v>0</v>
      </c>
      <c r="BD255" s="25">
        <f t="shared" si="283"/>
        <v>0</v>
      </c>
      <c r="BE255" s="25">
        <f t="shared" si="284"/>
        <v>0</v>
      </c>
      <c r="BF255" s="26">
        <f t="array" ref="BF255">IFERROR(INDEX('Malaria-Equipment &amp; Other HPs'!$AF$130:$AF$230,MATCH($E255&amp;$F255,'Malaria-Equipment &amp; Other HPs'!$E$130:$E$230&amp;'Malaria-Equipment &amp; Other HPs'!$H$130:$H$230,0)),0)</f>
        <v>0</v>
      </c>
      <c r="BG255" s="26">
        <f t="shared" si="285"/>
        <v>0</v>
      </c>
      <c r="BH255" s="25">
        <f t="shared" si="286"/>
        <v>0</v>
      </c>
      <c r="BI255" s="25">
        <f t="shared" si="287"/>
        <v>0</v>
      </c>
      <c r="BJ255" s="680"/>
      <c r="BK255" s="26"/>
      <c r="BL255" s="26"/>
      <c r="BM255" s="26"/>
      <c r="BN255" s="26"/>
      <c r="BO255" s="26"/>
      <c r="BP255" s="26"/>
      <c r="BQ255" s="26"/>
      <c r="BR255" s="26"/>
      <c r="BT255" s="21" t="s">
        <v>6860</v>
      </c>
    </row>
    <row r="257" spans="9:61">
      <c r="I257" s="631">
        <f t="shared" ref="I257:AN257" si="288">SUMIFS(I166:I255,$D166:$D255,6.5)</f>
        <v>0</v>
      </c>
      <c r="J257" s="631">
        <f t="shared" si="288"/>
        <v>0</v>
      </c>
      <c r="K257" s="631">
        <f t="shared" si="288"/>
        <v>0</v>
      </c>
      <c r="L257" s="631">
        <f t="shared" si="288"/>
        <v>0</v>
      </c>
      <c r="M257" s="631">
        <f t="shared" si="288"/>
        <v>0</v>
      </c>
      <c r="N257" s="631">
        <f t="shared" si="288"/>
        <v>0</v>
      </c>
      <c r="O257" s="631">
        <f t="shared" si="288"/>
        <v>0</v>
      </c>
      <c r="P257" s="631">
        <f t="shared" si="288"/>
        <v>0</v>
      </c>
      <c r="Q257" s="631">
        <f t="shared" si="288"/>
        <v>0</v>
      </c>
      <c r="R257" s="631">
        <f t="shared" si="288"/>
        <v>0</v>
      </c>
      <c r="S257" s="631">
        <f t="shared" si="288"/>
        <v>0</v>
      </c>
      <c r="T257" s="631">
        <f t="shared" si="288"/>
        <v>0</v>
      </c>
      <c r="U257" s="631">
        <f t="shared" si="288"/>
        <v>0</v>
      </c>
      <c r="V257" s="631">
        <f t="shared" si="288"/>
        <v>0</v>
      </c>
      <c r="W257" s="631">
        <f t="shared" si="288"/>
        <v>0</v>
      </c>
      <c r="X257" s="631">
        <f t="shared" si="288"/>
        <v>0</v>
      </c>
      <c r="Y257" s="631">
        <f t="shared" si="288"/>
        <v>0</v>
      </c>
      <c r="Z257" s="631">
        <f t="shared" si="288"/>
        <v>0</v>
      </c>
      <c r="AA257" s="631">
        <f t="shared" si="288"/>
        <v>0</v>
      </c>
      <c r="AB257" s="631">
        <f t="shared" si="288"/>
        <v>0</v>
      </c>
      <c r="AC257" s="631">
        <f t="shared" si="288"/>
        <v>0</v>
      </c>
      <c r="AD257" s="631">
        <f t="shared" si="288"/>
        <v>0</v>
      </c>
      <c r="AE257" s="631">
        <f t="shared" si="288"/>
        <v>0</v>
      </c>
      <c r="AF257" s="631">
        <f t="shared" si="288"/>
        <v>0</v>
      </c>
      <c r="AG257" s="631">
        <f t="shared" si="288"/>
        <v>0</v>
      </c>
      <c r="AH257" s="631">
        <f t="shared" si="288"/>
        <v>0</v>
      </c>
      <c r="AI257" s="631">
        <f t="shared" si="288"/>
        <v>0</v>
      </c>
      <c r="AJ257" s="631">
        <f t="shared" si="288"/>
        <v>0</v>
      </c>
      <c r="AK257" s="631">
        <f t="shared" si="288"/>
        <v>0</v>
      </c>
      <c r="AL257" s="631">
        <f t="shared" si="288"/>
        <v>0</v>
      </c>
      <c r="AM257" s="631">
        <f t="shared" si="288"/>
        <v>0</v>
      </c>
      <c r="AN257" s="631">
        <f t="shared" si="288"/>
        <v>0</v>
      </c>
      <c r="AO257" s="631">
        <f t="shared" ref="AO257:BI257" si="289">SUMIFS(AO166:AO255,$D166:$D255,6.5)</f>
        <v>0</v>
      </c>
      <c r="AP257" s="631">
        <f t="shared" si="289"/>
        <v>0</v>
      </c>
      <c r="AQ257" s="631">
        <f t="shared" si="289"/>
        <v>0</v>
      </c>
      <c r="AR257" s="631">
        <f t="shared" si="289"/>
        <v>0</v>
      </c>
      <c r="AS257" s="631">
        <f t="shared" si="289"/>
        <v>0</v>
      </c>
      <c r="AT257" s="631">
        <f t="shared" si="289"/>
        <v>0</v>
      </c>
      <c r="AU257" s="631">
        <f t="shared" si="289"/>
        <v>0</v>
      </c>
      <c r="AV257" s="631">
        <f t="shared" si="289"/>
        <v>0</v>
      </c>
      <c r="AW257" s="631">
        <f t="shared" si="289"/>
        <v>0</v>
      </c>
      <c r="AX257" s="631">
        <f t="shared" si="289"/>
        <v>0</v>
      </c>
      <c r="AY257" s="631">
        <f t="shared" si="289"/>
        <v>0</v>
      </c>
      <c r="AZ257" s="631">
        <f t="shared" si="289"/>
        <v>0</v>
      </c>
      <c r="BA257" s="631">
        <f t="shared" si="289"/>
        <v>0</v>
      </c>
      <c r="BB257" s="631">
        <f t="shared" si="289"/>
        <v>0</v>
      </c>
      <c r="BC257" s="631">
        <f t="shared" si="289"/>
        <v>0</v>
      </c>
      <c r="BD257" s="631">
        <f t="shared" si="289"/>
        <v>0</v>
      </c>
      <c r="BE257" s="631">
        <f t="shared" si="289"/>
        <v>0</v>
      </c>
      <c r="BF257" s="631">
        <f t="shared" si="289"/>
        <v>0</v>
      </c>
      <c r="BG257" s="631">
        <f t="shared" si="289"/>
        <v>0</v>
      </c>
      <c r="BH257" s="631">
        <f t="shared" si="289"/>
        <v>0</v>
      </c>
      <c r="BI257" s="631">
        <f t="shared" si="289"/>
        <v>0</v>
      </c>
    </row>
    <row r="258" spans="9:61">
      <c r="I258" s="631">
        <f t="shared" ref="I258:AN258" si="290">SUMIFS(I166:I255,$D166:$D255,6.6)</f>
        <v>0</v>
      </c>
      <c r="J258" s="631">
        <f t="shared" si="290"/>
        <v>0</v>
      </c>
      <c r="K258" s="631">
        <f t="shared" si="290"/>
        <v>0</v>
      </c>
      <c r="L258" s="631">
        <f t="shared" si="290"/>
        <v>0</v>
      </c>
      <c r="M258" s="631">
        <f t="shared" si="290"/>
        <v>0</v>
      </c>
      <c r="N258" s="631">
        <f t="shared" si="290"/>
        <v>0</v>
      </c>
      <c r="O258" s="631">
        <f t="shared" si="290"/>
        <v>0</v>
      </c>
      <c r="P258" s="631">
        <f t="shared" si="290"/>
        <v>0</v>
      </c>
      <c r="Q258" s="631">
        <f t="shared" si="290"/>
        <v>0</v>
      </c>
      <c r="R258" s="631">
        <f t="shared" si="290"/>
        <v>0</v>
      </c>
      <c r="S258" s="631">
        <f t="shared" si="290"/>
        <v>0</v>
      </c>
      <c r="T258" s="631">
        <f t="shared" si="290"/>
        <v>0</v>
      </c>
      <c r="U258" s="631">
        <f t="shared" si="290"/>
        <v>0</v>
      </c>
      <c r="V258" s="631">
        <f t="shared" si="290"/>
        <v>0</v>
      </c>
      <c r="W258" s="631">
        <f t="shared" si="290"/>
        <v>0</v>
      </c>
      <c r="X258" s="631">
        <f t="shared" si="290"/>
        <v>0</v>
      </c>
      <c r="Y258" s="631">
        <f t="shared" si="290"/>
        <v>0</v>
      </c>
      <c r="Z258" s="631">
        <f t="shared" si="290"/>
        <v>0</v>
      </c>
      <c r="AA258" s="631">
        <f t="shared" si="290"/>
        <v>0</v>
      </c>
      <c r="AB258" s="631">
        <f t="shared" si="290"/>
        <v>0</v>
      </c>
      <c r="AC258" s="631">
        <f t="shared" si="290"/>
        <v>0</v>
      </c>
      <c r="AD258" s="631">
        <f t="shared" si="290"/>
        <v>0</v>
      </c>
      <c r="AE258" s="631">
        <f t="shared" si="290"/>
        <v>0</v>
      </c>
      <c r="AF258" s="631">
        <f t="shared" si="290"/>
        <v>0</v>
      </c>
      <c r="AG258" s="631">
        <f t="shared" si="290"/>
        <v>0</v>
      </c>
      <c r="AH258" s="631">
        <f t="shared" si="290"/>
        <v>0</v>
      </c>
      <c r="AI258" s="631">
        <f t="shared" si="290"/>
        <v>0</v>
      </c>
      <c r="AJ258" s="631">
        <f t="shared" si="290"/>
        <v>0</v>
      </c>
      <c r="AK258" s="631">
        <f t="shared" si="290"/>
        <v>0</v>
      </c>
      <c r="AL258" s="631">
        <f t="shared" si="290"/>
        <v>0</v>
      </c>
      <c r="AM258" s="631">
        <f t="shared" si="290"/>
        <v>0</v>
      </c>
      <c r="AN258" s="631">
        <f t="shared" si="290"/>
        <v>0</v>
      </c>
      <c r="AO258" s="631">
        <f t="shared" ref="AO258:BI258" si="291">SUMIFS(AO166:AO255,$D166:$D255,6.6)</f>
        <v>0</v>
      </c>
      <c r="AP258" s="631">
        <f t="shared" si="291"/>
        <v>0</v>
      </c>
      <c r="AQ258" s="631">
        <f t="shared" si="291"/>
        <v>0</v>
      </c>
      <c r="AR258" s="631">
        <f t="shared" si="291"/>
        <v>0</v>
      </c>
      <c r="AS258" s="631">
        <f t="shared" si="291"/>
        <v>0</v>
      </c>
      <c r="AT258" s="631">
        <f t="shared" si="291"/>
        <v>0</v>
      </c>
      <c r="AU258" s="631">
        <f t="shared" si="291"/>
        <v>0</v>
      </c>
      <c r="AV258" s="631">
        <f t="shared" si="291"/>
        <v>0</v>
      </c>
      <c r="AW258" s="631">
        <f t="shared" si="291"/>
        <v>0</v>
      </c>
      <c r="AX258" s="631">
        <f t="shared" si="291"/>
        <v>0</v>
      </c>
      <c r="AY258" s="631">
        <f t="shared" si="291"/>
        <v>0</v>
      </c>
      <c r="AZ258" s="631">
        <f t="shared" si="291"/>
        <v>0</v>
      </c>
      <c r="BA258" s="631">
        <f t="shared" si="291"/>
        <v>0</v>
      </c>
      <c r="BB258" s="631">
        <f t="shared" si="291"/>
        <v>0</v>
      </c>
      <c r="BC258" s="631">
        <f t="shared" si="291"/>
        <v>0</v>
      </c>
      <c r="BD258" s="631">
        <f t="shared" si="291"/>
        <v>0</v>
      </c>
      <c r="BE258" s="631">
        <f t="shared" si="291"/>
        <v>0</v>
      </c>
      <c r="BF258" s="631">
        <f t="shared" si="291"/>
        <v>0</v>
      </c>
      <c r="BG258" s="631">
        <f t="shared" si="291"/>
        <v>0</v>
      </c>
      <c r="BH258" s="631">
        <f t="shared" si="291"/>
        <v>0</v>
      </c>
      <c r="BI258" s="631">
        <f t="shared" si="291"/>
        <v>0</v>
      </c>
    </row>
  </sheetData>
  <sheetProtection password="9C4D" sheet="1" objects="1" scenarios="1" formatColumns="0" formatRows="0" autoFilter="0"/>
  <autoFilter ref="A165:BT255" xr:uid="{00000000-0009-0000-0000-000013000000}"/>
  <mergeCells count="6">
    <mergeCell ref="A76:F76"/>
    <mergeCell ref="A87:F87"/>
    <mergeCell ref="A164:F164"/>
    <mergeCell ref="A1:F1"/>
    <mergeCell ref="A60:F60"/>
    <mergeCell ref="A68:F68"/>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0000"/>
  </sheetPr>
  <dimension ref="A1:S95"/>
  <sheetViews>
    <sheetView showGridLines="0" zoomScale="85" zoomScaleNormal="85" workbookViewId="0">
      <selection activeCell="I26" sqref="I26"/>
    </sheetView>
  </sheetViews>
  <sheetFormatPr defaultColWidth="8.36328125" defaultRowHeight="14.5"/>
  <cols>
    <col min="1" max="1" width="43.36328125" style="12" customWidth="1"/>
    <col min="2" max="2" width="46.36328125" style="19" bestFit="1" customWidth="1"/>
    <col min="3" max="3" width="67.36328125" style="19" customWidth="1"/>
    <col min="4" max="4" width="14.81640625" style="12" bestFit="1" customWidth="1"/>
    <col min="5" max="5" width="8.36328125" style="12"/>
    <col min="6" max="6" width="85.36328125" style="12" bestFit="1" customWidth="1"/>
    <col min="7" max="7" width="8.36328125" style="12"/>
    <col min="8" max="9" width="37.08984375" style="12" bestFit="1" customWidth="1"/>
    <col min="10" max="10" width="34" style="12" bestFit="1" customWidth="1"/>
    <col min="11" max="11" width="11.81640625" style="12" customWidth="1"/>
    <col min="12" max="12" width="8.36328125" style="12"/>
    <col min="13" max="13" width="46" style="12" bestFit="1" customWidth="1"/>
    <col min="14" max="14" width="8.36328125" style="12"/>
    <col min="15" max="16" width="37.08984375" style="12" bestFit="1" customWidth="1"/>
    <col min="17" max="17" width="8.36328125" style="12"/>
    <col min="18" max="18" width="28" style="12" bestFit="1" customWidth="1"/>
    <col min="19" max="19" width="37.08984375" style="12" bestFit="1" customWidth="1"/>
    <col min="20" max="16384" width="8.36328125" style="12"/>
  </cols>
  <sheetData>
    <row r="1" spans="1:19">
      <c r="A1" s="16" t="s">
        <v>1151</v>
      </c>
      <c r="B1" s="15" t="s">
        <v>1152</v>
      </c>
      <c r="C1" s="15" t="s">
        <v>1153</v>
      </c>
      <c r="D1" s="15" t="s">
        <v>1154</v>
      </c>
      <c r="F1" s="15" t="s">
        <v>1163</v>
      </c>
      <c r="H1" s="16" t="s">
        <v>1162</v>
      </c>
      <c r="I1" s="15" t="s">
        <v>1155</v>
      </c>
      <c r="J1" s="15" t="s">
        <v>1156</v>
      </c>
      <c r="K1" s="15" t="s">
        <v>1157</v>
      </c>
      <c r="M1" s="15" t="s">
        <v>1542</v>
      </c>
      <c r="O1" s="16" t="s">
        <v>1232</v>
      </c>
      <c r="P1" s="16" t="s">
        <v>1151</v>
      </c>
      <c r="R1" s="16" t="s">
        <v>1234</v>
      </c>
      <c r="S1" s="16" t="s">
        <v>1162</v>
      </c>
    </row>
    <row r="2" spans="1:19">
      <c r="A2" s="17" t="s">
        <v>400</v>
      </c>
      <c r="B2" s="17" t="s">
        <v>400</v>
      </c>
      <c r="C2" s="17" t="s">
        <v>1101</v>
      </c>
      <c r="D2" s="18">
        <v>4.3</v>
      </c>
      <c r="F2" s="12" t="str">
        <f>CONCATENATE(B2,C2)</f>
        <v>Amodiaquine+Sulfadoxine/Pyrimethamine150mg+500/25mg 3+1 tablet co-blistered 25 blister</v>
      </c>
      <c r="H2" s="12" t="s">
        <v>390</v>
      </c>
      <c r="I2" s="12" t="s">
        <v>390</v>
      </c>
      <c r="J2" s="12" t="s">
        <v>1158</v>
      </c>
      <c r="K2" s="12">
        <v>4.3</v>
      </c>
      <c r="M2" s="12" t="str">
        <f>CONCATENATE(I2,J2)</f>
        <v>Sulfadoxine/Pyrimethamine500/25mg 3 tablet 10 blister</v>
      </c>
      <c r="O2" s="12" t="s">
        <v>576</v>
      </c>
      <c r="P2" s="12" t="s">
        <v>400</v>
      </c>
      <c r="R2" s="12" t="s">
        <v>1235</v>
      </c>
      <c r="S2" s="12" t="s">
        <v>390</v>
      </c>
    </row>
    <row r="3" spans="1:19">
      <c r="A3" s="17" t="s">
        <v>1098</v>
      </c>
      <c r="B3" s="17" t="s">
        <v>400</v>
      </c>
      <c r="C3" s="17" t="s">
        <v>1102</v>
      </c>
      <c r="D3" s="17">
        <v>4.3</v>
      </c>
      <c r="F3" s="12" t="str">
        <f t="shared" ref="F3:F59" si="0">CONCATENATE(B3,C3)</f>
        <v>Amodiaquine+Sulfadoxine/Pyrimethamine153mg+500/25mg 3+1 tablet dispersible co-blistered 50 blister</v>
      </c>
      <c r="I3" s="12" t="s">
        <v>390</v>
      </c>
      <c r="J3" s="12" t="s">
        <v>1159</v>
      </c>
      <c r="K3" s="12">
        <v>4.3</v>
      </c>
      <c r="M3" s="12" t="str">
        <f>CONCATENATE(I3,J3)</f>
        <v>Sulfadoxine/Pyrimethamine500/25mg 3 tablet 100 blister</v>
      </c>
      <c r="P3" s="12" t="s">
        <v>1098</v>
      </c>
    </row>
    <row r="4" spans="1:19">
      <c r="A4" s="17" t="s">
        <v>386</v>
      </c>
      <c r="B4" s="17" t="s">
        <v>400</v>
      </c>
      <c r="C4" s="17" t="s">
        <v>1103</v>
      </c>
      <c r="D4" s="17">
        <v>4.3</v>
      </c>
      <c r="F4" s="12" t="str">
        <f t="shared" si="0"/>
        <v>Amodiaquine+Sulfadoxine/Pyrimethamine75mg+250/12.5mg 3+1 tablet co-blistered 25 blister</v>
      </c>
      <c r="I4" s="12" t="s">
        <v>390</v>
      </c>
      <c r="J4" s="12" t="s">
        <v>1160</v>
      </c>
      <c r="K4" s="12">
        <v>4.3</v>
      </c>
      <c r="M4" s="12" t="str">
        <f>CONCATENATE(I4,J4)</f>
        <v>Sulfadoxine/Pyrimethamine500/25mg tablet 100</v>
      </c>
      <c r="P4" s="12" t="s">
        <v>386</v>
      </c>
    </row>
    <row r="5" spans="1:19">
      <c r="A5" s="17" t="s">
        <v>394</v>
      </c>
      <c r="B5" s="17" t="s">
        <v>400</v>
      </c>
      <c r="C5" s="17" t="s">
        <v>1104</v>
      </c>
      <c r="D5" s="17">
        <v>4.3</v>
      </c>
      <c r="F5" s="12" t="str">
        <f t="shared" si="0"/>
        <v>Amodiaquine+Sulfadoxine/Pyrimethamine775mg+250/12.5mg 3+1 tablet co-blistered 50 blister</v>
      </c>
      <c r="I5" s="12" t="s">
        <v>390</v>
      </c>
      <c r="J5" s="12" t="s">
        <v>1161</v>
      </c>
      <c r="K5" s="12">
        <v>4.3</v>
      </c>
      <c r="M5" s="12" t="str">
        <f>CONCATENATE(I5,J5)</f>
        <v>Sulfadoxine/Pyrimethamine500/25mg tablet 1000</v>
      </c>
      <c r="P5" s="12" t="s">
        <v>394</v>
      </c>
    </row>
    <row r="6" spans="1:19">
      <c r="A6" s="17" t="s">
        <v>392</v>
      </c>
      <c r="B6" s="17" t="s">
        <v>400</v>
      </c>
      <c r="C6" s="17" t="s">
        <v>1105</v>
      </c>
      <c r="D6" s="17">
        <v>4.3</v>
      </c>
      <c r="F6" s="12" t="str">
        <f t="shared" si="0"/>
        <v>Amodiaquine+Sulfadoxine/Pyrimethamine76.5mg+250/12.5mg 3+1 tablet dispersible co-blistered 50 blister</v>
      </c>
      <c r="P6" s="12" t="s">
        <v>392</v>
      </c>
    </row>
    <row r="7" spans="1:19">
      <c r="A7" s="17" t="s">
        <v>401</v>
      </c>
      <c r="B7" s="17" t="s">
        <v>1098</v>
      </c>
      <c r="C7" s="17" t="s">
        <v>1099</v>
      </c>
      <c r="D7" s="17">
        <v>4.3</v>
      </c>
      <c r="F7" s="12" t="str">
        <f t="shared" si="0"/>
        <v>Artemether80mg/ml Solution for Injection - 1 vial</v>
      </c>
      <c r="P7" s="12" t="s">
        <v>401</v>
      </c>
    </row>
    <row r="8" spans="1:19">
      <c r="A8" s="17" t="s">
        <v>402</v>
      </c>
      <c r="B8" s="17" t="s">
        <v>386</v>
      </c>
      <c r="C8" s="17" t="s">
        <v>1106</v>
      </c>
      <c r="D8" s="17">
        <v>4.3</v>
      </c>
      <c r="F8" s="12" t="str">
        <f t="shared" si="0"/>
        <v>Artemether/Lumefantrine20/120mg 12 tablet dispersible 30 blister</v>
      </c>
      <c r="P8" s="12" t="s">
        <v>402</v>
      </c>
    </row>
    <row r="9" spans="1:19">
      <c r="A9" s="17" t="s">
        <v>403</v>
      </c>
      <c r="B9" s="17" t="s">
        <v>386</v>
      </c>
      <c r="C9" s="17" t="s">
        <v>1107</v>
      </c>
      <c r="D9" s="17">
        <v>4.3</v>
      </c>
      <c r="F9" s="12" t="str">
        <f t="shared" si="0"/>
        <v>Artemether/Lumefantrine20/120mg 24 tablet 30 blister</v>
      </c>
      <c r="P9" s="12" t="s">
        <v>403</v>
      </c>
    </row>
    <row r="10" spans="1:19">
      <c r="A10" s="17" t="s">
        <v>404</v>
      </c>
      <c r="B10" s="17" t="s">
        <v>386</v>
      </c>
      <c r="C10" s="17" t="s">
        <v>1108</v>
      </c>
      <c r="D10" s="17">
        <v>4.3</v>
      </c>
      <c r="F10" s="12" t="str">
        <f t="shared" si="0"/>
        <v>Artemether/Lumefantrine20/120mg 6 tablet dispersible 30 blister</v>
      </c>
      <c r="P10" s="12" t="s">
        <v>404</v>
      </c>
    </row>
    <row r="11" spans="1:19">
      <c r="A11" s="17" t="s">
        <v>405</v>
      </c>
      <c r="B11" s="17" t="s">
        <v>386</v>
      </c>
      <c r="C11" s="17" t="s">
        <v>1109</v>
      </c>
      <c r="D11" s="17">
        <v>4.3</v>
      </c>
      <c r="F11" s="12" t="str">
        <f t="shared" si="0"/>
        <v>Artemether/Lumefantrine40/240mg 12 tablet 30 blister</v>
      </c>
      <c r="P11" s="12" t="s">
        <v>405</v>
      </c>
    </row>
    <row r="12" spans="1:19">
      <c r="A12" s="17" t="s">
        <v>1100</v>
      </c>
      <c r="B12" s="17" t="s">
        <v>386</v>
      </c>
      <c r="C12" s="17" t="s">
        <v>1110</v>
      </c>
      <c r="D12" s="17">
        <v>4.3</v>
      </c>
      <c r="F12" s="12" t="str">
        <f t="shared" si="0"/>
        <v>Artemether/Lumefantrine40/240mg 6 tablet 30 blister</v>
      </c>
      <c r="P12" s="12" t="s">
        <v>1100</v>
      </c>
    </row>
    <row r="13" spans="1:19">
      <c r="A13" s="17" t="s">
        <v>406</v>
      </c>
      <c r="B13" s="17" t="s">
        <v>386</v>
      </c>
      <c r="C13" s="17" t="s">
        <v>1111</v>
      </c>
      <c r="D13" s="17">
        <v>4.3</v>
      </c>
      <c r="F13" s="12" t="str">
        <f t="shared" si="0"/>
        <v>Artemether/Lumefantrine60/360mg 6 tablet 30 blister</v>
      </c>
      <c r="P13" s="12" t="s">
        <v>406</v>
      </c>
    </row>
    <row r="14" spans="1:19">
      <c r="A14" s="17" t="s">
        <v>388</v>
      </c>
      <c r="B14" s="17" t="s">
        <v>386</v>
      </c>
      <c r="C14" s="17" t="s">
        <v>1112</v>
      </c>
      <c r="D14" s="17">
        <v>4.3</v>
      </c>
      <c r="F14" s="12" t="str">
        <f t="shared" si="0"/>
        <v>Artemether/Lumefantrine80/480mg 6 tablet 30 blister</v>
      </c>
      <c r="P14" s="12" t="s">
        <v>388</v>
      </c>
    </row>
    <row r="15" spans="1:19">
      <c r="A15" s="17" t="s">
        <v>407</v>
      </c>
      <c r="B15" s="17" t="s">
        <v>386</v>
      </c>
      <c r="C15" s="17" t="s">
        <v>1113</v>
      </c>
      <c r="D15" s="17">
        <v>4.3</v>
      </c>
      <c r="F15" s="12" t="str">
        <f t="shared" si="0"/>
        <v>Artemether/Lumefantrine20/120mg 12 tablet 30 blister</v>
      </c>
      <c r="P15" s="12" t="s">
        <v>407</v>
      </c>
    </row>
    <row r="16" spans="1:19">
      <c r="A16" s="20" t="s">
        <v>408</v>
      </c>
      <c r="B16" s="17" t="s">
        <v>386</v>
      </c>
      <c r="C16" s="17" t="s">
        <v>1114</v>
      </c>
      <c r="D16" s="17">
        <v>4.3</v>
      </c>
      <c r="F16" s="12" t="str">
        <f t="shared" si="0"/>
        <v>Artemether/Lumefantrine20/120mg 18 tablet 30 blister</v>
      </c>
      <c r="P16" s="12" t="s">
        <v>408</v>
      </c>
    </row>
    <row r="17" spans="1:6">
      <c r="A17" s="20"/>
      <c r="B17" s="17" t="s">
        <v>386</v>
      </c>
      <c r="C17" s="17" t="s">
        <v>1115</v>
      </c>
      <c r="D17" s="17">
        <v>4.3</v>
      </c>
      <c r="F17" s="12" t="str">
        <f t="shared" si="0"/>
        <v>Artemether/Lumefantrine20/120mg 6 tablet 30 blister</v>
      </c>
    </row>
    <row r="18" spans="1:6">
      <c r="A18" s="17"/>
      <c r="B18" s="17" t="s">
        <v>394</v>
      </c>
      <c r="C18" s="17" t="s">
        <v>1116</v>
      </c>
      <c r="D18" s="17">
        <v>4.3</v>
      </c>
      <c r="F18" s="12" t="str">
        <f t="shared" si="0"/>
        <v>Artesunate100mg 2 suppository</v>
      </c>
    </row>
    <row r="19" spans="1:6">
      <c r="A19" s="17"/>
      <c r="B19" s="17" t="s">
        <v>394</v>
      </c>
      <c r="C19" s="17" t="s">
        <v>1117</v>
      </c>
      <c r="D19" s="17">
        <v>4.3</v>
      </c>
      <c r="F19" s="12" t="str">
        <f t="shared" si="0"/>
        <v>Artesunate120mg powder for solution for injection - 1 vial</v>
      </c>
    </row>
    <row r="20" spans="1:6">
      <c r="A20" s="17"/>
      <c r="B20" s="17" t="s">
        <v>394</v>
      </c>
      <c r="C20" s="17" t="s">
        <v>1118</v>
      </c>
      <c r="D20" s="17">
        <v>4.3</v>
      </c>
      <c r="F20" s="12" t="str">
        <f t="shared" si="0"/>
        <v>Artesunate30mg powder for solution for injection - 1 vial</v>
      </c>
    </row>
    <row r="21" spans="1:6">
      <c r="A21" s="17"/>
      <c r="B21" s="17" t="s">
        <v>394</v>
      </c>
      <c r="C21" s="17" t="s">
        <v>1119</v>
      </c>
      <c r="D21" s="17">
        <v>4.3</v>
      </c>
      <c r="F21" s="12" t="str">
        <f t="shared" si="0"/>
        <v>Artesunate60mg powder for solution for injection - 1 vial</v>
      </c>
    </row>
    <row r="22" spans="1:6">
      <c r="A22" s="17"/>
      <c r="B22" s="17" t="s">
        <v>392</v>
      </c>
      <c r="C22" s="17" t="s">
        <v>1120</v>
      </c>
      <c r="D22" s="17">
        <v>4.3</v>
      </c>
      <c r="F22" s="12" t="str">
        <f t="shared" si="0"/>
        <v>Artesunate/amodiaquine100/270mg 3 tablet 25 blister</v>
      </c>
    </row>
    <row r="23" spans="1:6">
      <c r="A23" s="17"/>
      <c r="B23" s="17" t="s">
        <v>392</v>
      </c>
      <c r="C23" s="17" t="s">
        <v>1121</v>
      </c>
      <c r="D23" s="17">
        <v>4.3</v>
      </c>
      <c r="F23" s="12" t="str">
        <f t="shared" si="0"/>
        <v>Artesunate/amodiaquine100/270mg 6 tablet 25 blister</v>
      </c>
    </row>
    <row r="24" spans="1:6">
      <c r="A24" s="17"/>
      <c r="B24" s="17" t="s">
        <v>392</v>
      </c>
      <c r="C24" s="17" t="s">
        <v>1122</v>
      </c>
      <c r="D24" s="17">
        <v>4.3</v>
      </c>
      <c r="F24" s="12" t="str">
        <f t="shared" si="0"/>
        <v>Artesunate/amodiaquine25/67.5mg 3 tablet 25 blister</v>
      </c>
    </row>
    <row r="25" spans="1:6">
      <c r="A25" s="17"/>
      <c r="B25" s="17" t="s">
        <v>392</v>
      </c>
      <c r="C25" s="17" t="s">
        <v>1123</v>
      </c>
      <c r="D25" s="17">
        <v>4.3</v>
      </c>
      <c r="F25" s="12" t="str">
        <f t="shared" si="0"/>
        <v>Artesunate/amodiaquine50/135mg 3 tablet 25 blister</v>
      </c>
    </row>
    <row r="26" spans="1:6">
      <c r="A26" s="17"/>
      <c r="B26" s="17" t="s">
        <v>401</v>
      </c>
      <c r="C26" s="17" t="s">
        <v>1124</v>
      </c>
      <c r="D26" s="17">
        <v>4.3</v>
      </c>
      <c r="F26" s="12" t="str">
        <f t="shared" si="0"/>
        <v>Artesunate/Mefloquine100/200mg 3 tablet</v>
      </c>
    </row>
    <row r="27" spans="1:6">
      <c r="A27" s="17"/>
      <c r="B27" s="17" t="s">
        <v>401</v>
      </c>
      <c r="C27" s="17" t="s">
        <v>1125</v>
      </c>
      <c r="D27" s="17">
        <v>4.3</v>
      </c>
      <c r="F27" s="12" t="str">
        <f t="shared" si="0"/>
        <v>Artesunate/Mefloquine100/200mg 6 tablet</v>
      </c>
    </row>
    <row r="28" spans="1:6">
      <c r="A28" s="17"/>
      <c r="B28" s="17" t="s">
        <v>401</v>
      </c>
      <c r="C28" s="17" t="s">
        <v>1126</v>
      </c>
      <c r="D28" s="17">
        <v>4.3</v>
      </c>
      <c r="F28" s="12" t="str">
        <f t="shared" si="0"/>
        <v>Artesunate/Mefloquine25/50mg 3 tablet</v>
      </c>
    </row>
    <row r="29" spans="1:6">
      <c r="A29" s="17"/>
      <c r="B29" s="17" t="s">
        <v>401</v>
      </c>
      <c r="C29" s="17" t="s">
        <v>1127</v>
      </c>
      <c r="D29" s="17">
        <v>4.3</v>
      </c>
      <c r="F29" s="12" t="str">
        <f t="shared" si="0"/>
        <v>Artesunate/Mefloquine25/50mg 6 tablet</v>
      </c>
    </row>
    <row r="30" spans="1:6">
      <c r="A30" s="17"/>
      <c r="B30" s="17" t="s">
        <v>402</v>
      </c>
      <c r="C30" s="17" t="s">
        <v>1128</v>
      </c>
      <c r="D30" s="17">
        <v>4.3</v>
      </c>
      <c r="F30" s="12" t="str">
        <f t="shared" si="0"/>
        <v>Artesunate/Pyronaridine20/60mg granule for oral suspension 90</v>
      </c>
    </row>
    <row r="31" spans="1:6">
      <c r="A31" s="17"/>
      <c r="B31" s="17" t="s">
        <v>402</v>
      </c>
      <c r="C31" s="17" t="s">
        <v>1129</v>
      </c>
      <c r="D31" s="17">
        <v>4.3</v>
      </c>
      <c r="F31" s="12" t="str">
        <f t="shared" si="0"/>
        <v>Artesunate/Pyronaridine60/180mg tablet 9 tablet 10 blister</v>
      </c>
    </row>
    <row r="32" spans="1:6">
      <c r="A32" s="17"/>
      <c r="B32" s="17" t="s">
        <v>403</v>
      </c>
      <c r="C32" s="17" t="s">
        <v>1130</v>
      </c>
      <c r="D32" s="17">
        <v>4.3</v>
      </c>
      <c r="F32" s="12" t="str">
        <f t="shared" si="0"/>
        <v>Artesunate+Sulfadoxine/Pyrimethamine100mg+500/25mg 6+3 tablet co-blistered 25 blister</v>
      </c>
    </row>
    <row r="33" spans="1:6">
      <c r="A33" s="17"/>
      <c r="B33" s="17" t="s">
        <v>403</v>
      </c>
      <c r="C33" s="17" t="s">
        <v>1131</v>
      </c>
      <c r="D33" s="17">
        <v>4.3</v>
      </c>
      <c r="F33" s="12" t="str">
        <f t="shared" si="0"/>
        <v>Artesunate+Sulfadoxine/Pyrimethamine50mg+500/25mg 6+2 tablet co-blistered 25 blister</v>
      </c>
    </row>
    <row r="34" spans="1:6">
      <c r="A34" s="17"/>
      <c r="B34" s="17" t="s">
        <v>404</v>
      </c>
      <c r="C34" s="17" t="s">
        <v>1132</v>
      </c>
      <c r="D34" s="17">
        <v>4.3</v>
      </c>
      <c r="F34" s="12" t="str">
        <f t="shared" si="0"/>
        <v>Chloroquine250mg as phosphate/sulfate (155mg as base) 10 tablet 10 blister</v>
      </c>
    </row>
    <row r="35" spans="1:6">
      <c r="A35" s="17"/>
      <c r="B35" s="17" t="s">
        <v>404</v>
      </c>
      <c r="C35" s="17" t="s">
        <v>1133</v>
      </c>
      <c r="D35" s="17">
        <v>4.3</v>
      </c>
      <c r="F35" s="12" t="str">
        <f t="shared" si="0"/>
        <v>Chloroquine250mg as phosphate/sulfate (155mg as base) 100 tablet</v>
      </c>
    </row>
    <row r="36" spans="1:6">
      <c r="A36" s="17"/>
      <c r="B36" s="17" t="s">
        <v>404</v>
      </c>
      <c r="C36" s="17" t="s">
        <v>1134</v>
      </c>
      <c r="D36" s="17">
        <v>4.3</v>
      </c>
      <c r="F36" s="12" t="str">
        <f t="shared" si="0"/>
        <v>Chloroquine250mg as phosphate/sulfate (155mg as base) 100 tablet 10 blister</v>
      </c>
    </row>
    <row r="37" spans="1:6">
      <c r="A37" s="17"/>
      <c r="B37" s="17" t="s">
        <v>404</v>
      </c>
      <c r="C37" s="17" t="s">
        <v>1135</v>
      </c>
      <c r="D37" s="17">
        <v>4.3</v>
      </c>
      <c r="F37" s="12" t="str">
        <f t="shared" si="0"/>
        <v>Chloroquine250mg as phosphate/sulfate (155mg as base) 1000 tablet</v>
      </c>
    </row>
    <row r="38" spans="1:6">
      <c r="A38" s="17"/>
      <c r="B38" s="17" t="s">
        <v>404</v>
      </c>
      <c r="C38" s="17" t="s">
        <v>1136</v>
      </c>
      <c r="D38" s="17">
        <v>4.3</v>
      </c>
      <c r="F38" s="12" t="str">
        <f t="shared" si="0"/>
        <v>Chloroquine250mg as phosphate/sulfate (155mg as base) 20 tablet</v>
      </c>
    </row>
    <row r="39" spans="1:6">
      <c r="A39" s="17"/>
      <c r="B39" s="17" t="s">
        <v>404</v>
      </c>
      <c r="C39" s="17" t="s">
        <v>1137</v>
      </c>
      <c r="D39" s="17">
        <v>4.3</v>
      </c>
      <c r="F39" s="12" t="str">
        <f t="shared" si="0"/>
        <v>Chloroquine250mg as phosphate/sulfate (155mg as base) 500 tablet</v>
      </c>
    </row>
    <row r="40" spans="1:6">
      <c r="A40" s="17"/>
      <c r="B40" s="17" t="s">
        <v>404</v>
      </c>
      <c r="C40" s="17" t="s">
        <v>1138</v>
      </c>
      <c r="D40" s="17">
        <v>4.3</v>
      </c>
      <c r="F40" s="12" t="str">
        <f t="shared" si="0"/>
        <v>Chloroquine80mg/5ml as phosphate/sulfate (50mg/5ml as base) 150ml</v>
      </c>
    </row>
    <row r="41" spans="1:6">
      <c r="A41" s="17"/>
      <c r="B41" s="17" t="s">
        <v>405</v>
      </c>
      <c r="C41" s="17" t="s">
        <v>1139</v>
      </c>
      <c r="D41" s="17">
        <v>4.3</v>
      </c>
      <c r="F41" s="12" t="str">
        <f t="shared" si="0"/>
        <v>Mefloquine250mg 8 tablet</v>
      </c>
    </row>
    <row r="42" spans="1:6">
      <c r="A42" s="17"/>
      <c r="B42" s="17" t="s">
        <v>1100</v>
      </c>
      <c r="C42" s="17" t="s">
        <v>1140</v>
      </c>
      <c r="D42" s="17">
        <v>4.3</v>
      </c>
      <c r="F42" s="12" t="str">
        <f t="shared" si="0"/>
        <v>Other antimalaria medicine[enter specifications manually]</v>
      </c>
    </row>
    <row r="43" spans="1:6">
      <c r="A43" s="17"/>
      <c r="B43" s="17" t="s">
        <v>406</v>
      </c>
      <c r="C43" s="17" t="s">
        <v>1141</v>
      </c>
      <c r="D43" s="17">
        <v>4.3</v>
      </c>
      <c r="F43" s="12" t="str">
        <f t="shared" si="0"/>
        <v>Piperaquine/Dihydroartemisinin160/20mg 3 tablet</v>
      </c>
    </row>
    <row r="44" spans="1:6">
      <c r="A44" s="17"/>
      <c r="B44" s="17" t="s">
        <v>406</v>
      </c>
      <c r="C44" s="17" t="s">
        <v>1142</v>
      </c>
      <c r="D44" s="17">
        <v>4.3</v>
      </c>
      <c r="F44" s="12" t="str">
        <f t="shared" si="0"/>
        <v>Piperaquine/Dihydroartemisinin320/40mg 12 tablet</v>
      </c>
    </row>
    <row r="45" spans="1:6">
      <c r="A45" s="17"/>
      <c r="B45" s="17" t="s">
        <v>406</v>
      </c>
      <c r="C45" s="17" t="s">
        <v>1143</v>
      </c>
      <c r="D45" s="17">
        <v>4.3</v>
      </c>
      <c r="F45" s="12" t="str">
        <f t="shared" si="0"/>
        <v>Piperaquine/Dihydroartemisinin320/40mg 3 tablet</v>
      </c>
    </row>
    <row r="46" spans="1:6">
      <c r="A46" s="17"/>
      <c r="B46" s="17" t="s">
        <v>406</v>
      </c>
      <c r="C46" s="17" t="s">
        <v>1144</v>
      </c>
      <c r="D46" s="17">
        <v>4.3</v>
      </c>
      <c r="F46" s="12" t="str">
        <f t="shared" si="0"/>
        <v>Piperaquine/Dihydroartemisinin320/40mg 6 tablet</v>
      </c>
    </row>
    <row r="47" spans="1:6">
      <c r="A47" s="17"/>
      <c r="B47" s="17" t="s">
        <v>406</v>
      </c>
      <c r="C47" s="17" t="s">
        <v>1145</v>
      </c>
      <c r="D47" s="17">
        <v>4.3</v>
      </c>
      <c r="F47" s="12" t="str">
        <f t="shared" si="0"/>
        <v>Piperaquine/Dihydroartemisinin320/40mg 9 tablet</v>
      </c>
    </row>
    <row r="48" spans="1:6">
      <c r="A48" s="17"/>
      <c r="B48" s="17" t="s">
        <v>388</v>
      </c>
      <c r="C48" s="17" t="s">
        <v>1146</v>
      </c>
      <c r="D48" s="17">
        <v>4.3</v>
      </c>
      <c r="F48" s="12" t="str">
        <f t="shared" si="0"/>
        <v>Primaquine15mg (as base) (equivalent to 26.4mg Primaquine Phosphate) tablet 100</v>
      </c>
    </row>
    <row r="49" spans="1:6">
      <c r="A49" s="17"/>
      <c r="B49" s="17" t="s">
        <v>388</v>
      </c>
      <c r="C49" s="17" t="s">
        <v>409</v>
      </c>
      <c r="D49" s="17">
        <v>4.3</v>
      </c>
      <c r="F49" s="12" t="str">
        <f t="shared" si="0"/>
        <v>Primaquine7.5mg (as base) (equivalent to 13.2mg Primaquine Phosphate) 10 tablet 10 blister</v>
      </c>
    </row>
    <row r="50" spans="1:6">
      <c r="A50" s="17"/>
      <c r="B50" s="17" t="s">
        <v>388</v>
      </c>
      <c r="C50" s="17" t="s">
        <v>410</v>
      </c>
      <c r="D50" s="17">
        <v>4.3</v>
      </c>
      <c r="F50" s="12" t="str">
        <f t="shared" si="0"/>
        <v>Primaquine7.5mg (as base) (equivalent to 13.2mg Primaquine Phosphate) 10 tablet 100 blister</v>
      </c>
    </row>
    <row r="51" spans="1:6">
      <c r="A51" s="17"/>
      <c r="B51" s="17" t="s">
        <v>388</v>
      </c>
      <c r="C51" s="17" t="s">
        <v>1147</v>
      </c>
      <c r="D51" s="17">
        <v>4.3</v>
      </c>
      <c r="F51" s="12" t="str">
        <f t="shared" si="0"/>
        <v>Primaquine7.5mg (as base) (equivalent to 13.2mg Primaquine Phosphate) tablet 100</v>
      </c>
    </row>
    <row r="52" spans="1:6">
      <c r="A52" s="17"/>
      <c r="B52" s="17" t="s">
        <v>388</v>
      </c>
      <c r="C52" s="17" t="s">
        <v>1148</v>
      </c>
      <c r="D52" s="17">
        <v>4.3</v>
      </c>
      <c r="F52" s="12" t="str">
        <f t="shared" si="0"/>
        <v>Primaquine7.5mg (as base) (equivalent to 13.2mg Primaquine Phosphate) tablet 1000</v>
      </c>
    </row>
    <row r="53" spans="1:6">
      <c r="A53" s="17"/>
      <c r="B53" s="17" t="s">
        <v>407</v>
      </c>
      <c r="C53" s="17" t="s">
        <v>411</v>
      </c>
      <c r="D53" s="17">
        <v>4.3</v>
      </c>
      <c r="F53" s="12" t="str">
        <f t="shared" si="0"/>
        <v>Proguanil100mg tablet 100</v>
      </c>
    </row>
    <row r="54" spans="1:6">
      <c r="A54" s="17"/>
      <c r="B54" s="17" t="s">
        <v>408</v>
      </c>
      <c r="C54" s="17" t="s">
        <v>412</v>
      </c>
      <c r="D54" s="17">
        <v>4.3</v>
      </c>
      <c r="F54" s="12" t="str">
        <f t="shared" si="0"/>
        <v>Quinine300mg 100</v>
      </c>
    </row>
    <row r="55" spans="1:6">
      <c r="A55" s="17"/>
      <c r="B55" s="17" t="s">
        <v>408</v>
      </c>
      <c r="C55" s="17" t="s">
        <v>413</v>
      </c>
      <c r="D55" s="17">
        <v>4.3</v>
      </c>
      <c r="F55" s="12" t="str">
        <f t="shared" si="0"/>
        <v>Quinine300mg 1000</v>
      </c>
    </row>
    <row r="56" spans="1:6">
      <c r="A56" s="17"/>
      <c r="B56" s="17" t="s">
        <v>408</v>
      </c>
      <c r="C56" s="17" t="s">
        <v>1149</v>
      </c>
      <c r="D56" s="17">
        <v>4.3</v>
      </c>
      <c r="F56" s="12" t="str">
        <f t="shared" si="0"/>
        <v>Quinine300mg/ml Amp 10 * 2ml</v>
      </c>
    </row>
    <row r="57" spans="1:6">
      <c r="A57" s="17"/>
      <c r="B57" s="17" t="s">
        <v>408</v>
      </c>
      <c r="C57" s="17" t="s">
        <v>1150</v>
      </c>
      <c r="D57" s="17">
        <v>4.3</v>
      </c>
      <c r="F57" s="12" t="str">
        <f t="shared" si="0"/>
        <v>Quinine300mg/ml Amp 100 * 2ml</v>
      </c>
    </row>
    <row r="58" spans="1:6">
      <c r="A58" s="17"/>
      <c r="B58" s="17"/>
      <c r="C58" s="17"/>
      <c r="D58" s="17"/>
      <c r="F58" s="12" t="str">
        <f t="shared" si="0"/>
        <v/>
      </c>
    </row>
    <row r="59" spans="1:6">
      <c r="A59" s="17"/>
      <c r="B59" s="17"/>
      <c r="C59" s="17"/>
      <c r="D59" s="17"/>
      <c r="F59" s="12" t="str">
        <f t="shared" si="0"/>
        <v/>
      </c>
    </row>
    <row r="60" spans="1:6">
      <c r="A60" s="17"/>
    </row>
    <row r="61" spans="1:6">
      <c r="A61" s="17"/>
    </row>
    <row r="62" spans="1:6">
      <c r="A62" s="17"/>
    </row>
    <row r="63" spans="1:6">
      <c r="A63" s="17"/>
    </row>
    <row r="64" spans="1:6">
      <c r="A64" s="17"/>
    </row>
    <row r="65" spans="1:1">
      <c r="A65" s="17"/>
    </row>
    <row r="66" spans="1:1">
      <c r="A66" s="17"/>
    </row>
    <row r="67" spans="1:1">
      <c r="A67" s="17"/>
    </row>
    <row r="68" spans="1:1">
      <c r="A68" s="17"/>
    </row>
    <row r="69" spans="1:1">
      <c r="A69" s="17"/>
    </row>
    <row r="70" spans="1:1">
      <c r="A70" s="17"/>
    </row>
    <row r="71" spans="1:1">
      <c r="A71" s="17"/>
    </row>
    <row r="72" spans="1:1">
      <c r="A72" s="17"/>
    </row>
    <row r="73" spans="1:1">
      <c r="A73" s="17"/>
    </row>
    <row r="74" spans="1:1">
      <c r="A74" s="17"/>
    </row>
    <row r="75" spans="1:1">
      <c r="A75" s="17"/>
    </row>
    <row r="76" spans="1:1">
      <c r="A76" s="17"/>
    </row>
    <row r="77" spans="1:1">
      <c r="A77" s="17"/>
    </row>
    <row r="78" spans="1:1">
      <c r="A78" s="17"/>
    </row>
    <row r="79" spans="1:1">
      <c r="A79" s="17"/>
    </row>
    <row r="80" spans="1:1">
      <c r="A80" s="17"/>
    </row>
    <row r="81" spans="1:1">
      <c r="A81" s="17"/>
    </row>
    <row r="82" spans="1:1">
      <c r="A82" s="17"/>
    </row>
    <row r="83" spans="1:1">
      <c r="A83" s="17"/>
    </row>
    <row r="84" spans="1:1">
      <c r="A84" s="18"/>
    </row>
    <row r="85" spans="1:1">
      <c r="A85" s="18"/>
    </row>
    <row r="86" spans="1:1">
      <c r="A86" s="18"/>
    </row>
    <row r="87" spans="1:1">
      <c r="A87" s="18"/>
    </row>
    <row r="88" spans="1:1">
      <c r="A88" s="18"/>
    </row>
    <row r="89" spans="1:1">
      <c r="A89" s="18"/>
    </row>
    <row r="90" spans="1:1">
      <c r="A90" s="18"/>
    </row>
    <row r="91" spans="1:1">
      <c r="A91" s="18"/>
    </row>
    <row r="92" spans="1:1">
      <c r="A92" s="18"/>
    </row>
    <row r="93" spans="1:1">
      <c r="A93" s="18"/>
    </row>
    <row r="94" spans="1:1">
      <c r="A94" s="18"/>
    </row>
    <row r="95" spans="1:1">
      <c r="A95" s="18"/>
    </row>
  </sheetData>
  <sheetProtection password="9C4D" sheet="1" objects="1" scenarios="1" formatColumns="0" formatRows="0" autoFilter="0"/>
  <dataValidations count="1">
    <dataValidation type="list" allowBlank="1" showInputMessage="1" showErrorMessage="1" sqref="S13" xr:uid="{00000000-0002-0000-1400-000000000000}">
      <formula1>INDIRECT((SUBSTITUTE(SUBSTITUTE(SUBSTITUTE(SUBSTITUTE(SUBSTITUTE(SUBSTITUTE(SUBSTITUTE(SUBSTITUTE(SUBSTITUTE(R2,",",""),":",""),"/"," "),"(",""),")",""),"-"," "),"  "," ")," ","_"),"__","_")))</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FF0000"/>
  </sheetPr>
  <dimension ref="A1:AG95"/>
  <sheetViews>
    <sheetView showGridLines="0" zoomScaleNormal="100" workbookViewId="0">
      <selection activeCell="I26" sqref="I26"/>
    </sheetView>
  </sheetViews>
  <sheetFormatPr defaultColWidth="8.36328125" defaultRowHeight="13"/>
  <cols>
    <col min="1" max="1" width="37.08984375" style="13" bestFit="1" customWidth="1"/>
    <col min="2" max="2" width="34" style="13" bestFit="1" customWidth="1"/>
    <col min="3" max="3" width="21.36328125" style="13" bestFit="1" customWidth="1"/>
    <col min="4" max="4" width="15.36328125" style="13" bestFit="1" customWidth="1"/>
    <col min="5" max="5" width="8.36328125" style="13"/>
    <col min="6" max="6" width="37.36328125" style="13" bestFit="1" customWidth="1"/>
    <col min="7" max="7" width="21.81640625" style="13" bestFit="1" customWidth="1"/>
    <col min="8" max="8" width="36.36328125" style="13" bestFit="1" customWidth="1"/>
    <col min="9" max="9" width="15.36328125" style="13" bestFit="1" customWidth="1"/>
    <col min="10" max="10" width="8.36328125" style="13"/>
    <col min="11" max="12" width="37.36328125" style="13" bestFit="1" customWidth="1"/>
    <col min="13" max="13" width="35.36328125" style="13" bestFit="1" customWidth="1"/>
    <col min="14" max="14" width="15.36328125" style="13" bestFit="1" customWidth="1"/>
    <col min="15" max="15" width="8.36328125" style="13"/>
    <col min="16" max="16" width="28.81640625" style="13" customWidth="1"/>
    <col min="17" max="17" width="63.36328125" style="13" bestFit="1" customWidth="1"/>
    <col min="18" max="18" width="26.36328125" style="13" bestFit="1" customWidth="1"/>
    <col min="19" max="19" width="15.81640625" style="13" bestFit="1" customWidth="1"/>
    <col min="20" max="20" width="8.36328125" style="13"/>
    <col min="21" max="21" width="37" style="13" customWidth="1"/>
    <col min="22" max="22" width="37.08984375" style="13" bestFit="1" customWidth="1"/>
    <col min="23" max="23" width="8.36328125" style="13"/>
    <col min="24" max="24" width="14.36328125" style="13" bestFit="1" customWidth="1"/>
    <col min="25" max="25" width="37.08984375" style="13" bestFit="1" customWidth="1"/>
    <col min="26" max="26" width="8.36328125" style="13"/>
    <col min="27" max="27" width="26.81640625" style="13" bestFit="1" customWidth="1"/>
    <col min="28" max="28" width="39.36328125" style="13" bestFit="1" customWidth="1"/>
    <col min="29" max="29" width="8.36328125" style="13"/>
    <col min="30" max="30" width="38.36328125" style="13" bestFit="1" customWidth="1"/>
    <col min="31" max="31" width="60.36328125" style="13" bestFit="1" customWidth="1"/>
    <col min="32" max="32" width="8.36328125" style="13"/>
    <col min="33" max="33" width="60.36328125" style="13" bestFit="1" customWidth="1"/>
    <col min="34" max="16384" width="8.36328125" style="13"/>
  </cols>
  <sheetData>
    <row r="1" spans="1:33">
      <c r="A1" s="16" t="s">
        <v>1151</v>
      </c>
      <c r="B1" s="15" t="s">
        <v>1152</v>
      </c>
      <c r="C1" s="15" t="s">
        <v>1153</v>
      </c>
      <c r="D1" s="15" t="s">
        <v>1154</v>
      </c>
      <c r="F1" s="16" t="s">
        <v>1162</v>
      </c>
      <c r="G1" s="15" t="s">
        <v>1155</v>
      </c>
      <c r="H1" s="15" t="s">
        <v>1156</v>
      </c>
      <c r="I1" s="15" t="s">
        <v>1157</v>
      </c>
      <c r="K1" s="16" t="s">
        <v>1176</v>
      </c>
      <c r="L1" s="15" t="s">
        <v>1177</v>
      </c>
      <c r="M1" s="15" t="s">
        <v>1178</v>
      </c>
      <c r="N1" s="15" t="s">
        <v>1154</v>
      </c>
      <c r="P1" s="16" t="s">
        <v>1558</v>
      </c>
      <c r="Q1" s="15" t="s">
        <v>1315</v>
      </c>
      <c r="R1" s="549" t="s">
        <v>1559</v>
      </c>
      <c r="S1" s="15" t="s">
        <v>1209</v>
      </c>
      <c r="U1" s="16" t="s">
        <v>1236</v>
      </c>
      <c r="V1" s="16" t="s">
        <v>1151</v>
      </c>
      <c r="X1" s="16" t="s">
        <v>1237</v>
      </c>
      <c r="Y1" s="16" t="s">
        <v>1162</v>
      </c>
      <c r="AA1" s="16" t="s">
        <v>1239</v>
      </c>
      <c r="AB1" s="16" t="s">
        <v>1176</v>
      </c>
      <c r="AD1" s="16" t="s">
        <v>1313</v>
      </c>
      <c r="AE1" s="16" t="s">
        <v>1558</v>
      </c>
    </row>
    <row r="2" spans="1:33">
      <c r="A2" s="13" t="s">
        <v>1551</v>
      </c>
      <c r="B2" s="13" t="s">
        <v>1164</v>
      </c>
      <c r="C2" s="13" t="s">
        <v>1140</v>
      </c>
      <c r="D2" s="13">
        <v>5.6</v>
      </c>
      <c r="F2" s="13" t="s">
        <v>1170</v>
      </c>
      <c r="G2" s="13" t="s">
        <v>1170</v>
      </c>
      <c r="H2" s="13" t="s">
        <v>1171</v>
      </c>
      <c r="I2" s="13">
        <v>5.4</v>
      </c>
      <c r="K2" s="13" t="s">
        <v>581</v>
      </c>
      <c r="L2" s="13" t="s">
        <v>581</v>
      </c>
      <c r="M2" s="13" t="s">
        <v>838</v>
      </c>
      <c r="N2" s="13">
        <v>5.0999999999999996</v>
      </c>
      <c r="P2" s="13" t="s">
        <v>1210</v>
      </c>
      <c r="Q2" s="13" t="s">
        <v>215</v>
      </c>
      <c r="R2" s="559" t="s">
        <v>218</v>
      </c>
      <c r="S2" s="560">
        <v>6.5</v>
      </c>
      <c r="U2" s="13" t="s">
        <v>1551</v>
      </c>
      <c r="V2" s="13" t="s">
        <v>1164</v>
      </c>
      <c r="X2" s="13" t="s">
        <v>1238</v>
      </c>
      <c r="Y2" s="13" t="s">
        <v>1170</v>
      </c>
      <c r="AA2" s="13" t="s">
        <v>1241</v>
      </c>
      <c r="AB2" s="13" t="s">
        <v>581</v>
      </c>
      <c r="AD2" s="13" t="s">
        <v>1560</v>
      </c>
      <c r="AE2" s="13" t="s">
        <v>944</v>
      </c>
    </row>
    <row r="3" spans="1:33">
      <c r="B3" s="13" t="s">
        <v>1165</v>
      </c>
      <c r="C3" s="13" t="s">
        <v>1168</v>
      </c>
      <c r="D3" s="13">
        <v>6.3</v>
      </c>
      <c r="G3" s="13" t="s">
        <v>1170</v>
      </c>
      <c r="H3" s="13" t="s">
        <v>1172</v>
      </c>
      <c r="I3" s="13">
        <v>5.4</v>
      </c>
      <c r="K3" s="13" t="s">
        <v>582</v>
      </c>
      <c r="L3" s="13" t="s">
        <v>581</v>
      </c>
      <c r="M3" s="13" t="s">
        <v>839</v>
      </c>
      <c r="N3" s="13">
        <v>5.0999999999999996</v>
      </c>
      <c r="P3" s="13" t="s">
        <v>1211</v>
      </c>
      <c r="Q3" s="13" t="s">
        <v>215</v>
      </c>
      <c r="R3" s="550" t="s">
        <v>201</v>
      </c>
      <c r="S3" s="13">
        <v>6.6</v>
      </c>
      <c r="V3" s="13" t="s">
        <v>1165</v>
      </c>
      <c r="AA3" s="13" t="s">
        <v>1242</v>
      </c>
      <c r="AB3" s="13" t="s">
        <v>582</v>
      </c>
      <c r="AD3" s="13" t="s">
        <v>1552</v>
      </c>
      <c r="AE3" s="13" t="s">
        <v>1214</v>
      </c>
    </row>
    <row r="4" spans="1:33">
      <c r="B4" s="13" t="s">
        <v>1557</v>
      </c>
      <c r="C4" s="13" t="s">
        <v>1169</v>
      </c>
      <c r="D4" s="13">
        <v>6.3</v>
      </c>
      <c r="G4" s="13" t="s">
        <v>1170</v>
      </c>
      <c r="H4" s="13" t="s">
        <v>1173</v>
      </c>
      <c r="I4" s="13">
        <v>5.4</v>
      </c>
      <c r="K4" s="13" t="s">
        <v>1190</v>
      </c>
      <c r="L4" s="13" t="s">
        <v>581</v>
      </c>
      <c r="M4" s="13" t="s">
        <v>840</v>
      </c>
      <c r="N4" s="13">
        <v>5.0999999999999996</v>
      </c>
      <c r="P4" s="13" t="s">
        <v>1212</v>
      </c>
      <c r="Q4" s="13" t="s">
        <v>215</v>
      </c>
      <c r="R4" s="550" t="s">
        <v>200</v>
      </c>
      <c r="S4" s="13">
        <v>6.6</v>
      </c>
      <c r="V4" s="13" t="s">
        <v>1557</v>
      </c>
      <c r="AA4" s="13" t="s">
        <v>1563</v>
      </c>
      <c r="AB4" s="13" t="s">
        <v>1190</v>
      </c>
      <c r="AD4" s="13" t="s">
        <v>1561</v>
      </c>
      <c r="AE4" s="13" t="s">
        <v>1215</v>
      </c>
    </row>
    <row r="5" spans="1:33">
      <c r="B5" s="13" t="s">
        <v>1167</v>
      </c>
      <c r="C5" s="13" t="s">
        <v>1140</v>
      </c>
      <c r="D5" s="13">
        <v>6.3</v>
      </c>
      <c r="G5" s="13" t="s">
        <v>1170</v>
      </c>
      <c r="H5" s="13" t="s">
        <v>417</v>
      </c>
      <c r="I5" s="13">
        <v>5.4</v>
      </c>
      <c r="K5" s="13" t="s">
        <v>415</v>
      </c>
      <c r="L5" s="13" t="s">
        <v>581</v>
      </c>
      <c r="M5" s="13" t="s">
        <v>841</v>
      </c>
      <c r="N5" s="13">
        <v>5.0999999999999996</v>
      </c>
      <c r="P5" s="13" t="s">
        <v>1213</v>
      </c>
      <c r="Q5" s="13" t="s">
        <v>216</v>
      </c>
      <c r="R5" s="559" t="s">
        <v>218</v>
      </c>
      <c r="S5" s="560">
        <v>6.5</v>
      </c>
      <c r="V5" s="13" t="s">
        <v>1167</v>
      </c>
      <c r="AA5" s="13" t="s">
        <v>583</v>
      </c>
      <c r="AB5" s="13" t="s">
        <v>415</v>
      </c>
      <c r="AD5" s="406" t="s">
        <v>2352</v>
      </c>
      <c r="AE5" s="13" t="s">
        <v>1216</v>
      </c>
    </row>
    <row r="6" spans="1:33">
      <c r="C6" s="13" t="s">
        <v>1140</v>
      </c>
      <c r="D6" s="13">
        <v>6.3</v>
      </c>
      <c r="G6" s="13" t="s">
        <v>1170</v>
      </c>
      <c r="H6" s="13" t="s">
        <v>1174</v>
      </c>
      <c r="I6" s="13">
        <v>5.4</v>
      </c>
      <c r="K6" s="13" t="s">
        <v>1191</v>
      </c>
      <c r="L6" s="13" t="s">
        <v>581</v>
      </c>
      <c r="M6" s="13" t="s">
        <v>1179</v>
      </c>
      <c r="N6" s="13">
        <v>5.0999999999999996</v>
      </c>
      <c r="P6" s="13" t="s">
        <v>215</v>
      </c>
      <c r="Q6" s="13" t="s">
        <v>216</v>
      </c>
      <c r="R6" s="550" t="s">
        <v>201</v>
      </c>
      <c r="S6" s="13">
        <v>6.6</v>
      </c>
      <c r="AA6" s="13" t="s">
        <v>1564</v>
      </c>
      <c r="AB6" s="13" t="s">
        <v>1191</v>
      </c>
      <c r="AE6" s="13" t="s">
        <v>1217</v>
      </c>
    </row>
    <row r="7" spans="1:33">
      <c r="G7" s="13" t="s">
        <v>1170</v>
      </c>
      <c r="H7" s="13" t="s">
        <v>416</v>
      </c>
      <c r="I7" s="13">
        <v>5.4</v>
      </c>
      <c r="K7" s="13" t="s">
        <v>1192</v>
      </c>
      <c r="L7" s="13" t="s">
        <v>581</v>
      </c>
      <c r="M7" s="13" t="s">
        <v>842</v>
      </c>
      <c r="N7" s="13">
        <v>5.0999999999999996</v>
      </c>
      <c r="P7" s="13" t="s">
        <v>216</v>
      </c>
      <c r="Q7" s="13" t="s">
        <v>216</v>
      </c>
      <c r="R7" s="550" t="s">
        <v>200</v>
      </c>
      <c r="S7" s="13">
        <v>6.6</v>
      </c>
      <c r="AB7" s="13" t="s">
        <v>1192</v>
      </c>
      <c r="AE7" s="13" t="s">
        <v>1218</v>
      </c>
    </row>
    <row r="8" spans="1:33" ht="14.5">
      <c r="G8" s="13" t="s">
        <v>1170</v>
      </c>
      <c r="H8" s="13" t="s">
        <v>1175</v>
      </c>
      <c r="I8" s="13">
        <v>5.4</v>
      </c>
      <c r="L8" s="13" t="s">
        <v>581</v>
      </c>
      <c r="M8" s="13" t="s">
        <v>1180</v>
      </c>
      <c r="N8" s="13">
        <v>5.0999999999999996</v>
      </c>
      <c r="P8" s="13" t="s">
        <v>217</v>
      </c>
      <c r="Q8" s="13" t="s">
        <v>217</v>
      </c>
      <c r="R8" s="559" t="s">
        <v>218</v>
      </c>
      <c r="S8" s="560">
        <v>6.5</v>
      </c>
      <c r="AE8" s="13" t="s">
        <v>1219</v>
      </c>
      <c r="AG8"/>
    </row>
    <row r="9" spans="1:33" ht="14.5">
      <c r="G9" s="13" t="s">
        <v>1170</v>
      </c>
      <c r="H9" s="13" t="s">
        <v>414</v>
      </c>
      <c r="I9" s="13">
        <v>5.4</v>
      </c>
      <c r="L9" s="13" t="s">
        <v>581</v>
      </c>
      <c r="M9" s="13" t="s">
        <v>843</v>
      </c>
      <c r="N9" s="13">
        <v>5.0999999999999996</v>
      </c>
      <c r="P9" s="13" t="s">
        <v>219</v>
      </c>
      <c r="Q9" s="13" t="s">
        <v>217</v>
      </c>
      <c r="R9" s="550" t="s">
        <v>201</v>
      </c>
      <c r="S9" s="13">
        <v>6.6</v>
      </c>
      <c r="AE9" s="13" t="s">
        <v>1220</v>
      </c>
      <c r="AG9"/>
    </row>
    <row r="10" spans="1:33" ht="14.5">
      <c r="L10" s="13" t="s">
        <v>581</v>
      </c>
      <c r="M10" s="13" t="s">
        <v>1181</v>
      </c>
      <c r="N10" s="13">
        <v>5.0999999999999996</v>
      </c>
      <c r="P10" s="13" t="s">
        <v>1214</v>
      </c>
      <c r="Q10" s="13" t="s">
        <v>217</v>
      </c>
      <c r="R10" s="550" t="s">
        <v>200</v>
      </c>
      <c r="S10" s="13">
        <v>6.6</v>
      </c>
      <c r="AE10" s="13" t="s">
        <v>1228</v>
      </c>
      <c r="AG10"/>
    </row>
    <row r="11" spans="1:33" ht="14.5">
      <c r="L11" s="13" t="s">
        <v>581</v>
      </c>
      <c r="M11" s="13" t="s">
        <v>844</v>
      </c>
      <c r="N11" s="13">
        <v>5.0999999999999996</v>
      </c>
      <c r="P11" s="13" t="s">
        <v>1215</v>
      </c>
      <c r="Q11" s="13" t="s">
        <v>219</v>
      </c>
      <c r="R11" s="559" t="s">
        <v>218</v>
      </c>
      <c r="S11" s="560">
        <v>6.5</v>
      </c>
      <c r="AE11" s="1277" t="s">
        <v>215</v>
      </c>
      <c r="AG11"/>
    </row>
    <row r="12" spans="1:33" ht="14.5">
      <c r="L12" s="13" t="s">
        <v>581</v>
      </c>
      <c r="M12" s="13" t="s">
        <v>1182</v>
      </c>
      <c r="N12" s="13">
        <v>5.0999999999999996</v>
      </c>
      <c r="P12" s="13" t="s">
        <v>1215</v>
      </c>
      <c r="Q12" s="13" t="s">
        <v>219</v>
      </c>
      <c r="R12" s="550" t="s">
        <v>201</v>
      </c>
      <c r="S12" s="13">
        <v>6.6</v>
      </c>
      <c r="AE12" s="1277" t="s">
        <v>216</v>
      </c>
      <c r="AG12"/>
    </row>
    <row r="13" spans="1:33" ht="14.5">
      <c r="L13" s="13" t="s">
        <v>581</v>
      </c>
      <c r="M13" s="13" t="s">
        <v>845</v>
      </c>
      <c r="N13" s="13">
        <v>5.0999999999999996</v>
      </c>
      <c r="P13" s="13" t="s">
        <v>1215</v>
      </c>
      <c r="Q13" s="13" t="s">
        <v>219</v>
      </c>
      <c r="R13" s="550" t="s">
        <v>200</v>
      </c>
      <c r="S13" s="13">
        <v>6.6</v>
      </c>
      <c r="AE13" s="1277" t="s">
        <v>217</v>
      </c>
      <c r="AG13"/>
    </row>
    <row r="14" spans="1:33" ht="14.5">
      <c r="L14" s="13" t="s">
        <v>581</v>
      </c>
      <c r="M14" s="13" t="s">
        <v>1183</v>
      </c>
      <c r="N14" s="13">
        <v>5.0999999999999996</v>
      </c>
      <c r="P14" s="13" t="s">
        <v>1216</v>
      </c>
      <c r="Q14" s="13" t="s">
        <v>220</v>
      </c>
      <c r="R14" s="559" t="s">
        <v>218</v>
      </c>
      <c r="S14" s="560">
        <v>6.5</v>
      </c>
      <c r="AE14" s="1277" t="s">
        <v>2357</v>
      </c>
      <c r="AG14"/>
    </row>
    <row r="15" spans="1:33" ht="14.5">
      <c r="L15" s="13" t="s">
        <v>581</v>
      </c>
      <c r="M15" s="13" t="s">
        <v>846</v>
      </c>
      <c r="N15" s="13">
        <v>5.0999999999999996</v>
      </c>
      <c r="P15" s="13" t="s">
        <v>1217</v>
      </c>
      <c r="Q15" s="13" t="s">
        <v>220</v>
      </c>
      <c r="R15" s="550" t="s">
        <v>201</v>
      </c>
      <c r="S15" s="13">
        <v>6.6</v>
      </c>
      <c r="AE15" s="1277" t="s">
        <v>220</v>
      </c>
      <c r="AG15"/>
    </row>
    <row r="16" spans="1:33" ht="14.5">
      <c r="L16" s="13" t="s">
        <v>581</v>
      </c>
      <c r="M16" s="13" t="s">
        <v>1184</v>
      </c>
      <c r="N16" s="13">
        <v>5.0999999999999996</v>
      </c>
      <c r="P16" s="13" t="s">
        <v>1218</v>
      </c>
      <c r="Q16" s="13" t="s">
        <v>220</v>
      </c>
      <c r="R16" s="550" t="s">
        <v>200</v>
      </c>
      <c r="S16" s="13">
        <v>6.6</v>
      </c>
      <c r="AE16" s="1277" t="s">
        <v>1245</v>
      </c>
      <c r="AG16"/>
    </row>
    <row r="17" spans="12:33" ht="14.5">
      <c r="L17" s="13" t="s">
        <v>581</v>
      </c>
      <c r="M17" s="13" t="s">
        <v>847</v>
      </c>
      <c r="N17" s="13">
        <v>5.0999999999999996</v>
      </c>
      <c r="P17" s="13" t="s">
        <v>1219</v>
      </c>
      <c r="Q17" s="13" t="s">
        <v>1221</v>
      </c>
      <c r="R17" s="559" t="s">
        <v>218</v>
      </c>
      <c r="S17" s="560">
        <v>6.5</v>
      </c>
      <c r="AE17" s="1277" t="s">
        <v>202</v>
      </c>
      <c r="AG17"/>
    </row>
    <row r="18" spans="12:33" ht="14.5">
      <c r="L18" s="13" t="s">
        <v>581</v>
      </c>
      <c r="M18" s="13" t="s">
        <v>1185</v>
      </c>
      <c r="N18" s="13">
        <v>5.0999999999999996</v>
      </c>
      <c r="P18" s="13" t="s">
        <v>1220</v>
      </c>
      <c r="Q18" s="13" t="s">
        <v>1221</v>
      </c>
      <c r="R18" s="550" t="s">
        <v>201</v>
      </c>
      <c r="S18" s="13">
        <v>6.6</v>
      </c>
      <c r="AE18" s="1277" t="s">
        <v>1230</v>
      </c>
      <c r="AG18"/>
    </row>
    <row r="19" spans="12:33" ht="14.5">
      <c r="L19" s="13" t="s">
        <v>581</v>
      </c>
      <c r="M19" s="13" t="s">
        <v>848</v>
      </c>
      <c r="N19" s="13">
        <v>5.0999999999999996</v>
      </c>
      <c r="P19" s="13" t="s">
        <v>220</v>
      </c>
      <c r="Q19" s="13" t="s">
        <v>1221</v>
      </c>
      <c r="R19" s="550" t="s">
        <v>200</v>
      </c>
      <c r="S19" s="13">
        <v>6.6</v>
      </c>
      <c r="AE19" s="1277" t="s">
        <v>223</v>
      </c>
      <c r="AG19"/>
    </row>
    <row r="20" spans="12:33" ht="14.5">
      <c r="L20" s="13" t="s">
        <v>581</v>
      </c>
      <c r="M20" s="13" t="s">
        <v>1186</v>
      </c>
      <c r="N20" s="13">
        <v>5.0999999999999996</v>
      </c>
      <c r="P20" s="13" t="s">
        <v>324</v>
      </c>
      <c r="Q20" s="13" t="s">
        <v>1566</v>
      </c>
      <c r="R20" s="559" t="s">
        <v>218</v>
      </c>
      <c r="S20" s="560">
        <v>6.5</v>
      </c>
      <c r="AE20" s="1277" t="s">
        <v>224</v>
      </c>
      <c r="AG20"/>
    </row>
    <row r="21" spans="12:33" ht="14.5">
      <c r="L21" s="13" t="s">
        <v>581</v>
      </c>
      <c r="M21" s="13" t="s">
        <v>849</v>
      </c>
      <c r="N21" s="13">
        <v>5.0999999999999996</v>
      </c>
      <c r="P21" s="13" t="s">
        <v>324</v>
      </c>
      <c r="Q21" s="13" t="s">
        <v>1566</v>
      </c>
      <c r="R21" s="550" t="s">
        <v>201</v>
      </c>
      <c r="S21" s="13">
        <v>6.6</v>
      </c>
      <c r="AE21" s="1277" t="s">
        <v>225</v>
      </c>
      <c r="AG21"/>
    </row>
    <row r="22" spans="12:33" ht="14.5">
      <c r="L22" s="13" t="s">
        <v>581</v>
      </c>
      <c r="M22" s="13" t="s">
        <v>1187</v>
      </c>
      <c r="N22" s="13">
        <v>5.0999999999999996</v>
      </c>
      <c r="P22" s="13" t="s">
        <v>324</v>
      </c>
      <c r="Q22" s="13" t="s">
        <v>1566</v>
      </c>
      <c r="R22" s="550" t="s">
        <v>200</v>
      </c>
      <c r="S22" s="13">
        <v>6.6</v>
      </c>
      <c r="AE22" s="1277" t="s">
        <v>1210</v>
      </c>
      <c r="AG22"/>
    </row>
    <row r="23" spans="12:33" ht="14.5">
      <c r="L23" s="13" t="s">
        <v>581</v>
      </c>
      <c r="M23" s="13" t="s">
        <v>850</v>
      </c>
      <c r="N23" s="13">
        <v>5.0999999999999996</v>
      </c>
      <c r="P23" s="13" t="s">
        <v>1221</v>
      </c>
      <c r="Q23" s="13" t="s">
        <v>1859</v>
      </c>
      <c r="R23" s="559" t="s">
        <v>218</v>
      </c>
      <c r="S23" s="560">
        <v>6.5</v>
      </c>
      <c r="AD23" s="407" t="s">
        <v>1565</v>
      </c>
      <c r="AE23" s="1277" t="s">
        <v>1211</v>
      </c>
      <c r="AG23"/>
    </row>
    <row r="24" spans="12:33" ht="14.5">
      <c r="L24" s="13" t="s">
        <v>581</v>
      </c>
      <c r="M24" s="13" t="s">
        <v>1188</v>
      </c>
      <c r="N24" s="13">
        <v>5.0999999999999996</v>
      </c>
      <c r="P24" s="13" t="s">
        <v>1859</v>
      </c>
      <c r="Q24" s="13" t="s">
        <v>1859</v>
      </c>
      <c r="R24" s="550" t="s">
        <v>201</v>
      </c>
      <c r="S24" s="13">
        <v>6.6</v>
      </c>
      <c r="AD24" s="407" t="s">
        <v>63</v>
      </c>
      <c r="AE24" s="1277" t="s">
        <v>1226</v>
      </c>
      <c r="AG24"/>
    </row>
    <row r="25" spans="12:33" ht="14.5">
      <c r="L25" s="13" t="s">
        <v>581</v>
      </c>
      <c r="M25" s="13" t="s">
        <v>851</v>
      </c>
      <c r="N25" s="13">
        <v>5.0999999999999996</v>
      </c>
      <c r="P25" s="13" t="s">
        <v>202</v>
      </c>
      <c r="Q25" s="13" t="s">
        <v>1859</v>
      </c>
      <c r="R25" s="550" t="s">
        <v>200</v>
      </c>
      <c r="S25" s="13">
        <v>6.6</v>
      </c>
      <c r="AE25" s="1277" t="s">
        <v>328</v>
      </c>
      <c r="AG25"/>
    </row>
    <row r="26" spans="12:33" ht="14.5">
      <c r="L26" s="13" t="s">
        <v>581</v>
      </c>
      <c r="M26" s="13" t="s">
        <v>1189</v>
      </c>
      <c r="N26" s="13">
        <v>5.0999999999999996</v>
      </c>
      <c r="P26" s="13" t="s">
        <v>226</v>
      </c>
      <c r="Q26" s="13" t="s">
        <v>202</v>
      </c>
      <c r="R26" s="559" t="s">
        <v>218</v>
      </c>
      <c r="S26" s="560">
        <v>6.5</v>
      </c>
      <c r="AE26" s="1277" t="s">
        <v>327</v>
      </c>
      <c r="AG26"/>
    </row>
    <row r="27" spans="12:33" ht="14.5">
      <c r="L27" s="13" t="s">
        <v>581</v>
      </c>
      <c r="M27" s="13" t="s">
        <v>852</v>
      </c>
      <c r="N27" s="13">
        <v>5.0999999999999996</v>
      </c>
      <c r="P27" s="13" t="s">
        <v>222</v>
      </c>
      <c r="Q27" s="13" t="s">
        <v>202</v>
      </c>
      <c r="R27" s="550" t="s">
        <v>201</v>
      </c>
      <c r="S27" s="13">
        <v>6.6</v>
      </c>
      <c r="AE27" s="13" t="s">
        <v>1243</v>
      </c>
      <c r="AG27"/>
    </row>
    <row r="28" spans="12:33" ht="14.5">
      <c r="L28" s="13" t="s">
        <v>581</v>
      </c>
      <c r="M28" s="13" t="s">
        <v>1140</v>
      </c>
      <c r="N28" s="13">
        <v>5.0999999999999996</v>
      </c>
      <c r="P28" s="13" t="s">
        <v>1230</v>
      </c>
      <c r="Q28" s="13" t="s">
        <v>202</v>
      </c>
      <c r="R28" s="550" t="s">
        <v>200</v>
      </c>
      <c r="S28" s="13">
        <v>6.6</v>
      </c>
      <c r="AE28" s="13" t="s">
        <v>1222</v>
      </c>
      <c r="AG28"/>
    </row>
    <row r="29" spans="12:33" ht="14.5">
      <c r="L29" s="13" t="s">
        <v>582</v>
      </c>
      <c r="M29" s="13" t="s">
        <v>838</v>
      </c>
      <c r="N29" s="13">
        <v>5.0999999999999996</v>
      </c>
      <c r="P29" s="13" t="s">
        <v>1231</v>
      </c>
      <c r="Q29" s="13" t="s">
        <v>222</v>
      </c>
      <c r="R29" s="559" t="s">
        <v>218</v>
      </c>
      <c r="S29" s="560">
        <v>6.5</v>
      </c>
      <c r="AE29" s="13" t="s">
        <v>1223</v>
      </c>
      <c r="AG29"/>
    </row>
    <row r="30" spans="12:33" ht="14.5">
      <c r="L30" s="13" t="s">
        <v>582</v>
      </c>
      <c r="M30" s="13" t="s">
        <v>839</v>
      </c>
      <c r="N30" s="13">
        <v>5.0999999999999996</v>
      </c>
      <c r="P30" s="13" t="s">
        <v>1222</v>
      </c>
      <c r="Q30" s="13" t="s">
        <v>222</v>
      </c>
      <c r="R30" s="550" t="s">
        <v>201</v>
      </c>
      <c r="S30" s="560">
        <v>6.6</v>
      </c>
      <c r="AE30" s="13" t="s">
        <v>1224</v>
      </c>
      <c r="AG30"/>
    </row>
    <row r="31" spans="12:33" ht="14.5">
      <c r="L31" s="13" t="s">
        <v>582</v>
      </c>
      <c r="M31" s="13" t="s">
        <v>840</v>
      </c>
      <c r="N31" s="13">
        <v>5.0999999999999996</v>
      </c>
      <c r="P31" s="13" t="s">
        <v>1223</v>
      </c>
      <c r="Q31" s="13" t="s">
        <v>222</v>
      </c>
      <c r="R31" s="550" t="s">
        <v>200</v>
      </c>
      <c r="S31" s="560">
        <v>6.6</v>
      </c>
      <c r="AE31" s="13" t="s">
        <v>1225</v>
      </c>
      <c r="AG31"/>
    </row>
    <row r="32" spans="12:33" ht="14.5">
      <c r="L32" s="13" t="s">
        <v>582</v>
      </c>
      <c r="M32" s="13" t="s">
        <v>841</v>
      </c>
      <c r="N32" s="13">
        <v>5.0999999999999996</v>
      </c>
      <c r="P32" s="13" t="s">
        <v>1224</v>
      </c>
      <c r="Q32" s="13" t="s">
        <v>1230</v>
      </c>
      <c r="R32" s="559" t="s">
        <v>218</v>
      </c>
      <c r="S32" s="560">
        <v>6.5</v>
      </c>
      <c r="AE32" s="13" t="s">
        <v>1227</v>
      </c>
      <c r="AG32"/>
    </row>
    <row r="33" spans="12:33" ht="14.5">
      <c r="L33" s="13" t="s">
        <v>582</v>
      </c>
      <c r="M33" s="13" t="s">
        <v>1179</v>
      </c>
      <c r="N33" s="13">
        <v>5.0999999999999996</v>
      </c>
      <c r="P33" s="13" t="s">
        <v>1225</v>
      </c>
      <c r="Q33" s="13" t="s">
        <v>1230</v>
      </c>
      <c r="R33" s="550" t="s">
        <v>201</v>
      </c>
      <c r="S33" s="13">
        <v>6.6</v>
      </c>
      <c r="AE33" s="13" t="s">
        <v>215</v>
      </c>
      <c r="AG33"/>
    </row>
    <row r="34" spans="12:33" ht="14.5">
      <c r="L34" s="13" t="s">
        <v>582</v>
      </c>
      <c r="M34" s="13" t="s">
        <v>842</v>
      </c>
      <c r="N34" s="13">
        <v>5.0999999999999996</v>
      </c>
      <c r="P34" s="13" t="s">
        <v>1226</v>
      </c>
      <c r="Q34" s="13" t="s">
        <v>1230</v>
      </c>
      <c r="R34" s="550" t="s">
        <v>200</v>
      </c>
      <c r="S34" s="13">
        <v>6.6</v>
      </c>
      <c r="AE34" s="13" t="s">
        <v>216</v>
      </c>
      <c r="AG34"/>
    </row>
    <row r="35" spans="12:33" ht="14.5">
      <c r="L35" s="13" t="s">
        <v>582</v>
      </c>
      <c r="M35" s="13" t="s">
        <v>1180</v>
      </c>
      <c r="N35" s="13">
        <v>5.0999999999999996</v>
      </c>
      <c r="P35" s="13" t="s">
        <v>328</v>
      </c>
      <c r="Q35" s="13" t="s">
        <v>223</v>
      </c>
      <c r="R35" s="559" t="s">
        <v>218</v>
      </c>
      <c r="S35" s="560">
        <v>6.5</v>
      </c>
      <c r="AE35" s="13" t="s">
        <v>217</v>
      </c>
      <c r="AG35"/>
    </row>
    <row r="36" spans="12:33" ht="14.5">
      <c r="L36" s="13" t="s">
        <v>582</v>
      </c>
      <c r="M36" s="13" t="s">
        <v>843</v>
      </c>
      <c r="N36" s="13">
        <v>5.0999999999999996</v>
      </c>
      <c r="P36" s="13" t="s">
        <v>329</v>
      </c>
      <c r="Q36" s="13" t="s">
        <v>223</v>
      </c>
      <c r="R36" s="550" t="s">
        <v>201</v>
      </c>
      <c r="S36" s="13">
        <v>6.6</v>
      </c>
      <c r="AE36" s="13" t="s">
        <v>219</v>
      </c>
      <c r="AG36"/>
    </row>
    <row r="37" spans="12:33" ht="14.5">
      <c r="L37" s="13" t="s">
        <v>582</v>
      </c>
      <c r="M37" s="13" t="s">
        <v>1181</v>
      </c>
      <c r="N37" s="13">
        <v>5.0999999999999996</v>
      </c>
      <c r="P37" s="13" t="s">
        <v>327</v>
      </c>
      <c r="Q37" s="13" t="s">
        <v>223</v>
      </c>
      <c r="R37" s="550" t="s">
        <v>200</v>
      </c>
      <c r="S37" s="13">
        <v>6.6</v>
      </c>
      <c r="AE37" s="13" t="s">
        <v>220</v>
      </c>
      <c r="AG37"/>
    </row>
    <row r="38" spans="12:33" ht="14.5">
      <c r="L38" s="13" t="s">
        <v>582</v>
      </c>
      <c r="M38" s="13" t="s">
        <v>844</v>
      </c>
      <c r="N38" s="13">
        <v>5.0999999999999996</v>
      </c>
      <c r="P38" s="13" t="s">
        <v>1227</v>
      </c>
      <c r="Q38" s="13" t="s">
        <v>224</v>
      </c>
      <c r="R38" s="559" t="s">
        <v>218</v>
      </c>
      <c r="S38" s="560">
        <v>6.5</v>
      </c>
      <c r="AE38" s="13" t="s">
        <v>221</v>
      </c>
      <c r="AG38"/>
    </row>
    <row r="39" spans="12:33" ht="14.5">
      <c r="L39" s="13" t="s">
        <v>582</v>
      </c>
      <c r="M39" s="13" t="s">
        <v>1182</v>
      </c>
      <c r="N39" s="13">
        <v>5.0999999999999996</v>
      </c>
      <c r="P39" s="13" t="s">
        <v>1227</v>
      </c>
      <c r="Q39" s="13" t="s">
        <v>224</v>
      </c>
      <c r="R39" s="550" t="s">
        <v>201</v>
      </c>
      <c r="S39" s="13">
        <v>6.6</v>
      </c>
      <c r="AE39" s="13" t="s">
        <v>202</v>
      </c>
      <c r="AG39"/>
    </row>
    <row r="40" spans="12:33" ht="14.5">
      <c r="L40" s="13" t="s">
        <v>582</v>
      </c>
      <c r="M40" s="13" t="s">
        <v>845</v>
      </c>
      <c r="N40" s="13">
        <v>5.0999999999999996</v>
      </c>
      <c r="P40" s="13" t="s">
        <v>1227</v>
      </c>
      <c r="Q40" s="13" t="s">
        <v>224</v>
      </c>
      <c r="R40" s="550" t="s">
        <v>200</v>
      </c>
      <c r="S40" s="13">
        <v>6.6</v>
      </c>
      <c r="AE40" s="13" t="s">
        <v>222</v>
      </c>
      <c r="AG40"/>
    </row>
    <row r="41" spans="12:33" ht="14.5">
      <c r="L41" s="13" t="s">
        <v>582</v>
      </c>
      <c r="M41" s="13" t="s">
        <v>1183</v>
      </c>
      <c r="N41" s="13">
        <v>5.0999999999999996</v>
      </c>
      <c r="P41" s="13" t="s">
        <v>223</v>
      </c>
      <c r="Q41" s="13" t="s">
        <v>225</v>
      </c>
      <c r="R41" s="559" t="s">
        <v>218</v>
      </c>
      <c r="S41" s="560">
        <v>6.5</v>
      </c>
      <c r="AE41" s="13" t="s">
        <v>223</v>
      </c>
      <c r="AG41"/>
    </row>
    <row r="42" spans="12:33" ht="14.5">
      <c r="L42" s="13" t="s">
        <v>582</v>
      </c>
      <c r="M42" s="13" t="s">
        <v>846</v>
      </c>
      <c r="N42" s="13">
        <v>5.0999999999999996</v>
      </c>
      <c r="P42" s="13" t="s">
        <v>317</v>
      </c>
      <c r="Q42" s="13" t="s">
        <v>225</v>
      </c>
      <c r="R42" s="550" t="s">
        <v>201</v>
      </c>
      <c r="S42" s="560">
        <v>6.5</v>
      </c>
      <c r="AE42" s="13" t="s">
        <v>224</v>
      </c>
      <c r="AG42"/>
    </row>
    <row r="43" spans="12:33" ht="14.5">
      <c r="L43" s="13" t="s">
        <v>582</v>
      </c>
      <c r="M43" s="13" t="s">
        <v>1184</v>
      </c>
      <c r="N43" s="13">
        <v>5.0999999999999996</v>
      </c>
      <c r="P43" s="13" t="s">
        <v>1228</v>
      </c>
      <c r="Q43" s="13" t="s">
        <v>225</v>
      </c>
      <c r="R43" s="550" t="s">
        <v>200</v>
      </c>
      <c r="S43" s="13">
        <v>6.6</v>
      </c>
      <c r="AE43" s="13" t="s">
        <v>225</v>
      </c>
      <c r="AG43"/>
    </row>
    <row r="44" spans="12:33" ht="14.5">
      <c r="L44" s="13" t="s">
        <v>582</v>
      </c>
      <c r="M44" s="13" t="s">
        <v>847</v>
      </c>
      <c r="N44" s="13">
        <v>5.0999999999999996</v>
      </c>
      <c r="P44" s="13" t="s">
        <v>325</v>
      </c>
      <c r="Q44" s="13" t="s">
        <v>1860</v>
      </c>
      <c r="R44" s="559" t="s">
        <v>218</v>
      </c>
      <c r="S44" s="560">
        <v>6.5</v>
      </c>
      <c r="AE44" s="13" t="s">
        <v>199</v>
      </c>
      <c r="AG44"/>
    </row>
    <row r="45" spans="12:33" ht="14.5">
      <c r="L45" s="13" t="s">
        <v>582</v>
      </c>
      <c r="M45" s="13" t="s">
        <v>1185</v>
      </c>
      <c r="N45" s="13">
        <v>5.0999999999999996</v>
      </c>
      <c r="P45" s="13" t="s">
        <v>224</v>
      </c>
      <c r="Q45" s="13" t="s">
        <v>1860</v>
      </c>
      <c r="R45" s="550" t="s">
        <v>201</v>
      </c>
      <c r="S45" s="13">
        <v>6.6</v>
      </c>
      <c r="AE45" s="13" t="s">
        <v>324</v>
      </c>
      <c r="AG45"/>
    </row>
    <row r="46" spans="12:33" ht="14.5">
      <c r="L46" s="13" t="s">
        <v>582</v>
      </c>
      <c r="M46" s="13" t="s">
        <v>848</v>
      </c>
      <c r="N46" s="13">
        <v>5.0999999999999996</v>
      </c>
      <c r="P46" s="13" t="s">
        <v>225</v>
      </c>
      <c r="Q46" s="13" t="s">
        <v>1860</v>
      </c>
      <c r="R46" s="550" t="s">
        <v>200</v>
      </c>
      <c r="S46" s="13">
        <v>6.6</v>
      </c>
      <c r="AE46" s="13" t="s">
        <v>226</v>
      </c>
      <c r="AG46"/>
    </row>
    <row r="47" spans="12:33" ht="14.5">
      <c r="L47" s="13" t="s">
        <v>582</v>
      </c>
      <c r="M47" s="13" t="s">
        <v>1186</v>
      </c>
      <c r="N47" s="13">
        <v>5.0999999999999996</v>
      </c>
      <c r="P47" s="13" t="s">
        <v>944</v>
      </c>
      <c r="Q47" s="13" t="s">
        <v>1210</v>
      </c>
      <c r="R47" s="559" t="s">
        <v>218</v>
      </c>
      <c r="S47" s="560">
        <v>6.5</v>
      </c>
      <c r="AE47" s="13" t="s">
        <v>329</v>
      </c>
      <c r="AG47"/>
    </row>
    <row r="48" spans="12:33" ht="14.5">
      <c r="L48" s="13" t="s">
        <v>582</v>
      </c>
      <c r="M48" s="13" t="s">
        <v>849</v>
      </c>
      <c r="N48" s="13">
        <v>5.0999999999999996</v>
      </c>
      <c r="P48" s="13" t="s">
        <v>1860</v>
      </c>
      <c r="Q48" s="13" t="s">
        <v>1210</v>
      </c>
      <c r="R48" s="550" t="s">
        <v>201</v>
      </c>
      <c r="S48" s="13">
        <v>6.6</v>
      </c>
      <c r="AE48" s="13" t="s">
        <v>317</v>
      </c>
      <c r="AG48"/>
    </row>
    <row r="49" spans="12:33" ht="14.5">
      <c r="L49" s="13" t="s">
        <v>582</v>
      </c>
      <c r="M49" s="13" t="s">
        <v>1187</v>
      </c>
      <c r="N49" s="13">
        <v>5.0999999999999996</v>
      </c>
      <c r="P49" s="13" t="s">
        <v>1229</v>
      </c>
      <c r="Q49" s="13" t="s">
        <v>1210</v>
      </c>
      <c r="R49" s="550" t="s">
        <v>200</v>
      </c>
      <c r="S49" s="13">
        <v>6.6</v>
      </c>
      <c r="AE49" s="13" t="s">
        <v>325</v>
      </c>
      <c r="AG49"/>
    </row>
    <row r="50" spans="12:33" ht="14.5">
      <c r="L50" s="13" t="s">
        <v>582</v>
      </c>
      <c r="M50" s="13" t="s">
        <v>850</v>
      </c>
      <c r="N50" s="13">
        <v>5.0999999999999996</v>
      </c>
      <c r="Q50" s="13" t="s">
        <v>1211</v>
      </c>
      <c r="R50" s="559" t="s">
        <v>218</v>
      </c>
      <c r="S50" s="560">
        <v>6.5</v>
      </c>
      <c r="AE50" s="13" t="s">
        <v>1229</v>
      </c>
      <c r="AG50"/>
    </row>
    <row r="51" spans="12:33" ht="14.5">
      <c r="L51" s="13" t="s">
        <v>582</v>
      </c>
      <c r="M51" s="13" t="s">
        <v>1188</v>
      </c>
      <c r="N51" s="13">
        <v>5.0999999999999996</v>
      </c>
      <c r="Q51" s="13" t="s">
        <v>1211</v>
      </c>
      <c r="R51" s="550" t="s">
        <v>201</v>
      </c>
      <c r="S51" s="13">
        <v>6.6</v>
      </c>
      <c r="AE51" s="563" t="s">
        <v>1212</v>
      </c>
      <c r="AG51"/>
    </row>
    <row r="52" spans="12:33" ht="14.5">
      <c r="L52" s="13" t="s">
        <v>582</v>
      </c>
      <c r="M52" s="13" t="s">
        <v>851</v>
      </c>
      <c r="N52" s="13">
        <v>5.0999999999999996</v>
      </c>
      <c r="Q52" s="13" t="s">
        <v>1211</v>
      </c>
      <c r="R52" s="550" t="s">
        <v>200</v>
      </c>
      <c r="S52" s="13">
        <v>6.6</v>
      </c>
      <c r="AE52" s="563" t="s">
        <v>537</v>
      </c>
      <c r="AG52"/>
    </row>
    <row r="53" spans="12:33" ht="14.5">
      <c r="L53" s="13" t="s">
        <v>582</v>
      </c>
      <c r="M53" s="13" t="s">
        <v>1189</v>
      </c>
      <c r="N53" s="13">
        <v>5.0999999999999996</v>
      </c>
      <c r="Q53" s="13" t="s">
        <v>1212</v>
      </c>
      <c r="R53" s="559" t="s">
        <v>218</v>
      </c>
      <c r="S53" s="560">
        <v>6.5</v>
      </c>
      <c r="AE53" s="563" t="s">
        <v>2354</v>
      </c>
      <c r="AG53"/>
    </row>
    <row r="54" spans="12:33" ht="14.5">
      <c r="L54" s="13" t="s">
        <v>582</v>
      </c>
      <c r="M54" s="13" t="s">
        <v>852</v>
      </c>
      <c r="N54" s="13">
        <v>5.0999999999999996</v>
      </c>
      <c r="Q54" s="13" t="s">
        <v>1212</v>
      </c>
      <c r="R54" s="550" t="s">
        <v>201</v>
      </c>
      <c r="S54" s="13">
        <v>6.6</v>
      </c>
      <c r="AG54"/>
    </row>
    <row r="55" spans="12:33" ht="14.5">
      <c r="L55" s="13" t="s">
        <v>582</v>
      </c>
      <c r="M55" s="13" t="s">
        <v>1140</v>
      </c>
      <c r="N55" s="13">
        <v>5.0999999999999996</v>
      </c>
      <c r="Q55" s="13" t="s">
        <v>1212</v>
      </c>
      <c r="R55" s="550" t="s">
        <v>200</v>
      </c>
      <c r="S55" s="13">
        <v>6.6</v>
      </c>
      <c r="AG55"/>
    </row>
    <row r="56" spans="12:33" ht="14.5">
      <c r="L56" s="13" t="s">
        <v>1190</v>
      </c>
      <c r="M56" s="13" t="s">
        <v>1140</v>
      </c>
      <c r="N56" s="13">
        <v>5.5</v>
      </c>
      <c r="Q56" s="13" t="s">
        <v>1213</v>
      </c>
      <c r="R56" s="559" t="s">
        <v>218</v>
      </c>
      <c r="S56" s="560">
        <v>6.5</v>
      </c>
      <c r="AG56"/>
    </row>
    <row r="57" spans="12:33" ht="14.5">
      <c r="L57" s="13" t="s">
        <v>415</v>
      </c>
      <c r="M57" s="13" t="s">
        <v>1193</v>
      </c>
      <c r="N57" s="13">
        <v>5.5</v>
      </c>
      <c r="Q57" s="13" t="s">
        <v>1213</v>
      </c>
      <c r="R57" s="550" t="s">
        <v>201</v>
      </c>
      <c r="S57" s="13">
        <v>6.6</v>
      </c>
      <c r="AG57"/>
    </row>
    <row r="58" spans="12:33" ht="14.5">
      <c r="L58" s="13" t="s">
        <v>415</v>
      </c>
      <c r="M58" s="13" t="s">
        <v>1194</v>
      </c>
      <c r="N58" s="13">
        <v>5.5</v>
      </c>
      <c r="Q58" s="13" t="s">
        <v>1213</v>
      </c>
      <c r="R58" s="550" t="s">
        <v>200</v>
      </c>
      <c r="S58" s="13">
        <v>6.6</v>
      </c>
      <c r="AG58"/>
    </row>
    <row r="59" spans="12:33" ht="14.5">
      <c r="L59" s="13" t="s">
        <v>415</v>
      </c>
      <c r="M59" s="13" t="s">
        <v>1195</v>
      </c>
      <c r="N59" s="13">
        <v>5.5</v>
      </c>
      <c r="Q59" s="13" t="s">
        <v>1214</v>
      </c>
      <c r="R59" s="550" t="s">
        <v>1140</v>
      </c>
      <c r="S59" s="13">
        <v>5.8</v>
      </c>
      <c r="AG59"/>
    </row>
    <row r="60" spans="12:33" ht="14.5">
      <c r="L60" s="13" t="s">
        <v>415</v>
      </c>
      <c r="M60" s="13" t="s">
        <v>1196</v>
      </c>
      <c r="N60" s="13">
        <v>5.5</v>
      </c>
      <c r="Q60" s="13" t="s">
        <v>1215</v>
      </c>
      <c r="R60" s="550" t="s">
        <v>1140</v>
      </c>
      <c r="S60" s="13">
        <v>5.8</v>
      </c>
      <c r="AG60"/>
    </row>
    <row r="61" spans="12:33" ht="14.5">
      <c r="L61" s="13" t="s">
        <v>415</v>
      </c>
      <c r="M61" s="13" t="s">
        <v>1197</v>
      </c>
      <c r="N61" s="13">
        <v>5.5</v>
      </c>
      <c r="Q61" s="13" t="s">
        <v>1216</v>
      </c>
      <c r="R61" s="550" t="s">
        <v>1140</v>
      </c>
      <c r="S61" s="13">
        <v>5.8</v>
      </c>
      <c r="AG61"/>
    </row>
    <row r="62" spans="12:33" ht="14.5">
      <c r="L62" s="13" t="s">
        <v>415</v>
      </c>
      <c r="M62" s="13" t="s">
        <v>1198</v>
      </c>
      <c r="N62" s="13">
        <v>5.5</v>
      </c>
      <c r="Q62" s="13" t="s">
        <v>1217</v>
      </c>
      <c r="R62" s="550" t="s">
        <v>1140</v>
      </c>
      <c r="S62" s="13">
        <v>5.8</v>
      </c>
      <c r="AG62"/>
    </row>
    <row r="63" spans="12:33" ht="14.5">
      <c r="L63" s="13" t="s">
        <v>415</v>
      </c>
      <c r="M63" s="13" t="s">
        <v>1199</v>
      </c>
      <c r="N63" s="13">
        <v>5.5</v>
      </c>
      <c r="Q63" s="13" t="s">
        <v>1218</v>
      </c>
      <c r="R63" s="550" t="s">
        <v>1140</v>
      </c>
      <c r="S63" s="13">
        <v>5.8</v>
      </c>
      <c r="AG63"/>
    </row>
    <row r="64" spans="12:33" ht="14.5">
      <c r="L64" s="13" t="s">
        <v>415</v>
      </c>
      <c r="M64" s="13" t="s">
        <v>1200</v>
      </c>
      <c r="N64" s="13">
        <v>5.5</v>
      </c>
      <c r="Q64" s="13" t="s">
        <v>1219</v>
      </c>
      <c r="R64" s="550" t="s">
        <v>1140</v>
      </c>
      <c r="S64" s="13">
        <v>5.8</v>
      </c>
      <c r="AG64"/>
    </row>
    <row r="65" spans="12:33" ht="14.5">
      <c r="L65" s="13" t="s">
        <v>415</v>
      </c>
      <c r="M65" s="13" t="s">
        <v>1201</v>
      </c>
      <c r="N65" s="13">
        <v>5.5</v>
      </c>
      <c r="Q65" s="13" t="s">
        <v>1220</v>
      </c>
      <c r="R65" s="550" t="s">
        <v>1140</v>
      </c>
      <c r="S65" s="13">
        <v>5.8</v>
      </c>
      <c r="AG65"/>
    </row>
    <row r="66" spans="12:33" ht="14.5">
      <c r="L66" s="13" t="s">
        <v>415</v>
      </c>
      <c r="M66" s="13" t="s">
        <v>1202</v>
      </c>
      <c r="N66" s="13">
        <v>5.5</v>
      </c>
      <c r="Q66" s="13" t="s">
        <v>324</v>
      </c>
      <c r="R66" s="559" t="s">
        <v>218</v>
      </c>
      <c r="S66" s="560">
        <v>6.5</v>
      </c>
      <c r="AG66"/>
    </row>
    <row r="67" spans="12:33" ht="14.5">
      <c r="L67" s="13" t="s">
        <v>415</v>
      </c>
      <c r="M67" s="13" t="s">
        <v>1203</v>
      </c>
      <c r="N67" s="13">
        <v>5.5</v>
      </c>
      <c r="Q67" s="13" t="s">
        <v>324</v>
      </c>
      <c r="R67" s="550" t="s">
        <v>201</v>
      </c>
      <c r="S67" s="13">
        <v>6.6</v>
      </c>
      <c r="AG67"/>
    </row>
    <row r="68" spans="12:33" ht="14.5">
      <c r="L68" s="13" t="s">
        <v>415</v>
      </c>
      <c r="M68" s="13" t="s">
        <v>1204</v>
      </c>
      <c r="N68" s="13">
        <v>5.5</v>
      </c>
      <c r="Q68" s="13" t="s">
        <v>324</v>
      </c>
      <c r="R68" s="550" t="s">
        <v>200</v>
      </c>
      <c r="S68" s="13">
        <v>6.6</v>
      </c>
      <c r="AG68"/>
    </row>
    <row r="69" spans="12:33" ht="14.5">
      <c r="L69" s="13" t="s">
        <v>415</v>
      </c>
      <c r="M69" s="13" t="s">
        <v>1205</v>
      </c>
      <c r="N69" s="13">
        <v>5.5</v>
      </c>
      <c r="Q69" s="13" t="s">
        <v>226</v>
      </c>
      <c r="R69" s="550" t="s">
        <v>326</v>
      </c>
      <c r="S69" s="13">
        <v>6.5</v>
      </c>
      <c r="AG69"/>
    </row>
    <row r="70" spans="12:33" ht="14.5">
      <c r="L70" s="13" t="s">
        <v>415</v>
      </c>
      <c r="M70" s="13" t="s">
        <v>1206</v>
      </c>
      <c r="N70" s="13">
        <v>5.5</v>
      </c>
      <c r="Q70" s="13" t="s">
        <v>226</v>
      </c>
      <c r="R70" s="559" t="s">
        <v>218</v>
      </c>
      <c r="S70" s="560">
        <v>6.5</v>
      </c>
      <c r="AG70"/>
    </row>
    <row r="71" spans="12:33" ht="14.5">
      <c r="L71" s="13" t="s">
        <v>415</v>
      </c>
      <c r="M71" s="13" t="s">
        <v>1207</v>
      </c>
      <c r="N71" s="13">
        <v>5.5</v>
      </c>
      <c r="Q71" s="13" t="s">
        <v>226</v>
      </c>
      <c r="R71" s="550" t="s">
        <v>201</v>
      </c>
      <c r="S71" s="13">
        <v>6.6</v>
      </c>
      <c r="AG71"/>
    </row>
    <row r="72" spans="12:33" ht="14.5">
      <c r="L72" s="13" t="s">
        <v>415</v>
      </c>
      <c r="M72" s="13" t="s">
        <v>1208</v>
      </c>
      <c r="N72" s="13">
        <v>5.5</v>
      </c>
      <c r="Q72" s="13" t="s">
        <v>226</v>
      </c>
      <c r="R72" s="550" t="s">
        <v>200</v>
      </c>
      <c r="S72" s="13">
        <v>6.6</v>
      </c>
      <c r="AG72"/>
    </row>
    <row r="73" spans="12:33" ht="14.5">
      <c r="L73" s="13" t="s">
        <v>415</v>
      </c>
      <c r="M73" s="13" t="s">
        <v>1140</v>
      </c>
      <c r="N73" s="13">
        <v>5.5</v>
      </c>
      <c r="Q73" s="13" t="s">
        <v>1231</v>
      </c>
      <c r="R73" s="550" t="s">
        <v>1140</v>
      </c>
      <c r="S73" s="13">
        <v>5.6</v>
      </c>
      <c r="AG73"/>
    </row>
    <row r="74" spans="12:33" ht="14.5">
      <c r="L74" s="13" t="s">
        <v>1191</v>
      </c>
      <c r="M74" s="13" t="s">
        <v>1140</v>
      </c>
      <c r="N74" s="13">
        <v>6.6</v>
      </c>
      <c r="Q74" s="13" t="s">
        <v>1222</v>
      </c>
      <c r="R74" s="550" t="s">
        <v>1140</v>
      </c>
      <c r="S74" s="13">
        <v>5.6</v>
      </c>
      <c r="AG74"/>
    </row>
    <row r="75" spans="12:33" ht="14.5">
      <c r="L75" s="13" t="s">
        <v>1192</v>
      </c>
      <c r="M75" s="13" t="s">
        <v>1140</v>
      </c>
      <c r="N75" s="13">
        <v>6.6</v>
      </c>
      <c r="Q75" s="13" t="s">
        <v>1223</v>
      </c>
      <c r="R75" s="550" t="s">
        <v>1140</v>
      </c>
      <c r="S75" s="13">
        <v>5.6</v>
      </c>
      <c r="AG75"/>
    </row>
    <row r="76" spans="12:33">
      <c r="Q76" s="13" t="s">
        <v>1224</v>
      </c>
      <c r="R76" s="550" t="s">
        <v>1140</v>
      </c>
      <c r="S76" s="13">
        <v>5.6</v>
      </c>
    </row>
    <row r="77" spans="12:33">
      <c r="Q77" s="13" t="s">
        <v>1225</v>
      </c>
      <c r="R77" s="550" t="s">
        <v>1140</v>
      </c>
      <c r="S77" s="13">
        <v>5.6</v>
      </c>
    </row>
    <row r="78" spans="12:33">
      <c r="Q78" s="13" t="s">
        <v>1226</v>
      </c>
      <c r="R78" s="559" t="s">
        <v>218</v>
      </c>
      <c r="S78" s="560">
        <v>6.5</v>
      </c>
    </row>
    <row r="79" spans="12:33">
      <c r="Q79" s="13" t="s">
        <v>1226</v>
      </c>
      <c r="R79" s="550" t="s">
        <v>201</v>
      </c>
      <c r="S79" s="13">
        <v>6.6</v>
      </c>
    </row>
    <row r="80" spans="12:33">
      <c r="Q80" s="13" t="s">
        <v>1226</v>
      </c>
      <c r="R80" s="550" t="s">
        <v>200</v>
      </c>
      <c r="S80" s="13">
        <v>6.6</v>
      </c>
    </row>
    <row r="81" spans="17:19">
      <c r="Q81" s="13" t="s">
        <v>328</v>
      </c>
      <c r="R81" s="559" t="s">
        <v>218</v>
      </c>
      <c r="S81" s="560">
        <v>6.5</v>
      </c>
    </row>
    <row r="82" spans="17:19">
      <c r="Q82" s="13" t="s">
        <v>328</v>
      </c>
      <c r="R82" s="550" t="s">
        <v>201</v>
      </c>
      <c r="S82" s="13">
        <v>6.6</v>
      </c>
    </row>
    <row r="83" spans="17:19">
      <c r="Q83" s="13" t="s">
        <v>328</v>
      </c>
      <c r="R83" s="550" t="s">
        <v>200</v>
      </c>
      <c r="S83" s="13">
        <v>6.6</v>
      </c>
    </row>
    <row r="84" spans="17:19">
      <c r="Q84" s="13" t="s">
        <v>329</v>
      </c>
      <c r="R84" s="559" t="s">
        <v>218</v>
      </c>
      <c r="S84" s="560">
        <v>6.5</v>
      </c>
    </row>
    <row r="85" spans="17:19">
      <c r="Q85" s="13" t="s">
        <v>329</v>
      </c>
      <c r="R85" s="550" t="s">
        <v>201</v>
      </c>
      <c r="S85" s="13">
        <v>6.6</v>
      </c>
    </row>
    <row r="86" spans="17:19">
      <c r="Q86" s="13" t="s">
        <v>329</v>
      </c>
      <c r="R86" s="550" t="s">
        <v>200</v>
      </c>
      <c r="S86" s="13">
        <v>6.6</v>
      </c>
    </row>
    <row r="87" spans="17:19">
      <c r="Q87" s="13" t="s">
        <v>327</v>
      </c>
      <c r="R87" s="550" t="s">
        <v>1140</v>
      </c>
      <c r="S87" s="13">
        <v>6.6</v>
      </c>
    </row>
    <row r="88" spans="17:19">
      <c r="Q88" s="13" t="s">
        <v>1227</v>
      </c>
      <c r="R88" s="550" t="s">
        <v>1140</v>
      </c>
      <c r="S88" s="13">
        <v>5.6</v>
      </c>
    </row>
    <row r="89" spans="17:19">
      <c r="Q89" s="13" t="s">
        <v>317</v>
      </c>
      <c r="R89" s="550" t="s">
        <v>1140</v>
      </c>
      <c r="S89" s="13">
        <v>6.5</v>
      </c>
    </row>
    <row r="90" spans="17:19">
      <c r="Q90" s="13" t="s">
        <v>1228</v>
      </c>
      <c r="R90" s="550" t="s">
        <v>1140</v>
      </c>
      <c r="S90" s="13">
        <v>5.8</v>
      </c>
    </row>
    <row r="91" spans="17:19">
      <c r="Q91" s="13" t="s">
        <v>325</v>
      </c>
      <c r="R91" s="550" t="s">
        <v>1140</v>
      </c>
      <c r="S91" s="13">
        <v>6.5</v>
      </c>
    </row>
    <row r="92" spans="17:19">
      <c r="Q92" s="13" t="s">
        <v>944</v>
      </c>
      <c r="R92" s="550" t="s">
        <v>1140</v>
      </c>
      <c r="S92" s="13">
        <v>5.7</v>
      </c>
    </row>
    <row r="93" spans="17:19" ht="13.5" thickBot="1">
      <c r="Q93" s="13" t="s">
        <v>1229</v>
      </c>
      <c r="R93" s="551" t="s">
        <v>1140</v>
      </c>
      <c r="S93" s="13">
        <v>5.6</v>
      </c>
    </row>
    <row r="94" spans="17:19">
      <c r="Q94" s="13" t="s">
        <v>537</v>
      </c>
      <c r="R94" s="13" t="s">
        <v>1140</v>
      </c>
      <c r="S94" s="13">
        <v>5.6</v>
      </c>
    </row>
    <row r="95" spans="17:19">
      <c r="Q95" s="13" t="s">
        <v>2354</v>
      </c>
      <c r="R95" s="13" t="s">
        <v>1140</v>
      </c>
      <c r="S95" s="13">
        <v>5.6</v>
      </c>
    </row>
  </sheetData>
  <sheetProtection password="9C4D" sheet="1" objects="1" scenarios="1" formatColumns="0" formatRows="0" autoFilter="0"/>
  <autoFilter ref="Q1:S93" xr:uid="{00000000-0009-0000-0000-000015000000}"/>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501" id="{06ED71BE-22B8-4606-B0B7-12662791A21C}">
            <xm:f>AND('Malaria-Equipment &amp; Other HPs'!G64&lt;&gt;"",'Malaria-Equipment &amp; Other HPs'!G64&lt;&gt;#REF!)</xm:f>
            <x14:dxf/>
          </x14:cfRule>
          <xm:sqref>A53</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theme="0" tint="-0.499984740745262"/>
  </sheetPr>
  <dimension ref="A1:BT701"/>
  <sheetViews>
    <sheetView showGridLines="0" zoomScale="86" zoomScaleNormal="86" workbookViewId="0">
      <selection sqref="A1:K1"/>
    </sheetView>
  </sheetViews>
  <sheetFormatPr defaultColWidth="9.08984375" defaultRowHeight="14.5" outlineLevelRow="1"/>
  <cols>
    <col min="1" max="1" width="26.36328125" style="852" customWidth="1"/>
    <col min="2" max="2" width="14.36328125" style="852" bestFit="1" customWidth="1"/>
    <col min="3" max="3" width="16.36328125" style="852" customWidth="1"/>
    <col min="4" max="4" width="13.08984375" style="852" customWidth="1"/>
    <col min="5" max="5" width="13.81640625" style="922" customWidth="1"/>
    <col min="6" max="6" width="12.81640625" style="852" bestFit="1" customWidth="1"/>
    <col min="7" max="7" width="13" style="852" customWidth="1"/>
    <col min="8" max="8" width="13.81640625" style="852" bestFit="1" customWidth="1"/>
    <col min="9" max="9" width="14" style="852" customWidth="1"/>
    <col min="10" max="10" width="16.36328125" style="852" customWidth="1"/>
    <col min="11" max="11" width="12.36328125" style="852" bestFit="1" customWidth="1"/>
    <col min="12" max="12" width="14.36328125" style="852" bestFit="1" customWidth="1"/>
    <col min="13" max="13" width="20.36328125" style="852" bestFit="1" customWidth="1"/>
    <col min="14" max="14" width="12.36328125" style="852" bestFit="1" customWidth="1"/>
    <col min="15" max="15" width="14.36328125" style="852" bestFit="1" customWidth="1"/>
    <col min="16" max="18" width="12.36328125" style="852" bestFit="1" customWidth="1"/>
    <col min="19" max="20" width="14.36328125" style="852" bestFit="1" customWidth="1"/>
    <col min="21" max="21" width="15.36328125" style="852" bestFit="1" customWidth="1"/>
    <col min="22" max="22" width="11.81640625" style="941" bestFit="1" customWidth="1"/>
    <col min="23" max="23" width="51.08984375" style="852" customWidth="1"/>
    <col min="24" max="24" width="20.36328125" style="852" hidden="1" customWidth="1"/>
    <col min="25" max="25" width="9.36328125" style="852" hidden="1" customWidth="1"/>
    <col min="26" max="27" width="12.08984375" style="852" customWidth="1"/>
    <col min="28" max="33" width="10.36328125" style="852" customWidth="1"/>
    <col min="34" max="34" width="10.36328125" style="884" customWidth="1"/>
    <col min="35" max="72" width="10.36328125" style="852" customWidth="1"/>
    <col min="73" max="16384" width="9.08984375" style="852"/>
  </cols>
  <sheetData>
    <row r="1" spans="1:72" ht="24" thickBot="1">
      <c r="A1" s="3015" t="s">
        <v>7653</v>
      </c>
      <c r="B1" s="3016"/>
      <c r="C1" s="3016"/>
      <c r="D1" s="3016"/>
      <c r="E1" s="3016"/>
      <c r="F1" s="3016"/>
      <c r="G1" s="3016"/>
      <c r="H1" s="3016"/>
      <c r="I1" s="3016"/>
      <c r="J1" s="3016"/>
      <c r="K1" s="3017"/>
      <c r="L1" s="731"/>
      <c r="M1" s="3027"/>
      <c r="N1" s="1717"/>
      <c r="O1" s="741"/>
      <c r="P1" s="741"/>
      <c r="Q1" s="741"/>
      <c r="R1" s="741"/>
      <c r="S1" s="741"/>
      <c r="T1" s="741"/>
      <c r="U1" s="741"/>
      <c r="V1" s="929"/>
      <c r="W1" s="741"/>
      <c r="X1" s="741"/>
      <c r="Y1" s="741"/>
      <c r="Z1" s="741"/>
      <c r="AA1" s="741"/>
      <c r="AB1" s="741"/>
      <c r="AC1" s="741"/>
      <c r="AD1" s="741"/>
      <c r="AE1" s="741"/>
      <c r="AF1" s="741"/>
      <c r="AG1" s="741"/>
      <c r="AH1" s="851"/>
      <c r="AI1" s="741"/>
      <c r="AJ1" s="741"/>
      <c r="AK1" s="741"/>
      <c r="AL1" s="741"/>
      <c r="AM1" s="741"/>
      <c r="AN1" s="741"/>
      <c r="AO1" s="741"/>
      <c r="AP1" s="741"/>
      <c r="AQ1" s="741"/>
      <c r="AR1" s="741"/>
      <c r="AS1" s="741"/>
      <c r="AT1" s="741"/>
      <c r="AU1" s="741"/>
      <c r="AV1" s="741"/>
      <c r="AW1" s="741"/>
      <c r="AX1" s="741"/>
      <c r="AY1" s="741"/>
      <c r="AZ1" s="741"/>
      <c r="BA1" s="741"/>
      <c r="BB1" s="741"/>
      <c r="BC1" s="741"/>
      <c r="BD1" s="741"/>
      <c r="BE1" s="741"/>
      <c r="BF1" s="741"/>
      <c r="BG1" s="741"/>
      <c r="BH1" s="741"/>
      <c r="BI1" s="741"/>
      <c r="BJ1" s="741"/>
      <c r="BK1" s="741"/>
      <c r="BL1" s="741"/>
      <c r="BM1" s="741"/>
      <c r="BN1" s="741"/>
      <c r="BO1" s="741"/>
      <c r="BP1" s="741"/>
      <c r="BQ1" s="741"/>
      <c r="BR1" s="741"/>
      <c r="BS1" s="741"/>
      <c r="BT1" s="741"/>
    </row>
    <row r="2" spans="1:72" ht="15" thickBot="1">
      <c r="A2" s="174"/>
      <c r="B2" s="174"/>
      <c r="C2" s="174"/>
      <c r="D2" s="174"/>
      <c r="E2" s="916"/>
      <c r="F2" s="174"/>
      <c r="G2" s="174"/>
      <c r="H2" s="174"/>
      <c r="I2" s="271"/>
      <c r="J2" s="735"/>
      <c r="K2" s="736"/>
      <c r="L2" s="731"/>
      <c r="M2" s="2648"/>
      <c r="N2" s="1717"/>
      <c r="O2" s="741"/>
      <c r="P2" s="741"/>
      <c r="Q2" s="741"/>
      <c r="R2" s="741"/>
      <c r="S2" s="741"/>
      <c r="T2" s="741"/>
      <c r="U2" s="741"/>
      <c r="V2" s="929"/>
      <c r="W2" s="741"/>
      <c r="X2" s="741"/>
      <c r="Y2" s="741"/>
      <c r="Z2" s="741"/>
      <c r="AA2" s="741"/>
      <c r="AB2" s="741"/>
      <c r="AC2" s="741"/>
      <c r="AD2" s="741"/>
      <c r="AE2" s="741"/>
      <c r="AF2" s="741"/>
      <c r="AG2" s="741"/>
      <c r="AH2" s="851"/>
      <c r="AI2" s="741"/>
      <c r="AJ2" s="741"/>
      <c r="AK2" s="741"/>
      <c r="AL2" s="741"/>
      <c r="AM2" s="741"/>
      <c r="AN2" s="741"/>
      <c r="AO2" s="741"/>
      <c r="AP2" s="741"/>
      <c r="AQ2" s="741"/>
      <c r="AR2" s="741"/>
      <c r="AS2" s="741"/>
      <c r="AT2" s="741"/>
      <c r="AU2" s="741"/>
      <c r="AV2" s="741"/>
      <c r="AW2" s="741"/>
      <c r="AX2" s="741"/>
      <c r="AY2" s="741"/>
      <c r="AZ2" s="741"/>
      <c r="BA2" s="741"/>
      <c r="BB2" s="741"/>
      <c r="BC2" s="741"/>
      <c r="BD2" s="741"/>
      <c r="BE2" s="741"/>
      <c r="BF2" s="741"/>
      <c r="BG2" s="741"/>
      <c r="BH2" s="741"/>
      <c r="BI2" s="741"/>
      <c r="BJ2" s="741"/>
      <c r="BK2" s="741"/>
      <c r="BL2" s="741"/>
      <c r="BM2" s="741"/>
      <c r="BN2" s="741"/>
      <c r="BO2" s="741"/>
      <c r="BP2" s="741"/>
      <c r="BQ2" s="741"/>
      <c r="BR2" s="741"/>
      <c r="BS2" s="741"/>
      <c r="BT2" s="741"/>
    </row>
    <row r="3" spans="1:72" ht="15" customHeight="1" thickBot="1">
      <c r="A3" s="352"/>
      <c r="B3" s="3028" t="s">
        <v>0</v>
      </c>
      <c r="C3" s="3030">
        <f>SETUP!$E$3</f>
        <v>0</v>
      </c>
      <c r="D3" s="3030"/>
      <c r="E3" s="3030"/>
      <c r="F3" s="737"/>
      <c r="G3" s="3032" t="s">
        <v>1</v>
      </c>
      <c r="H3" s="3033"/>
      <c r="I3" s="3019">
        <f>SETUP!$G$13</f>
        <v>0</v>
      </c>
      <c r="J3" s="3019"/>
      <c r="K3" s="3020"/>
      <c r="L3" s="738"/>
      <c r="M3" s="739"/>
      <c r="N3" s="853"/>
      <c r="O3" s="741"/>
      <c r="P3" s="741"/>
      <c r="Q3" s="741"/>
      <c r="R3" s="741"/>
      <c r="S3" s="741"/>
      <c r="T3" s="741"/>
      <c r="U3" s="741"/>
      <c r="V3" s="929"/>
      <c r="W3" s="741"/>
      <c r="X3" s="741"/>
      <c r="Y3" s="741"/>
      <c r="Z3" s="741"/>
      <c r="AA3" s="741"/>
      <c r="AB3" s="741"/>
      <c r="AC3" s="741"/>
      <c r="AD3" s="741"/>
      <c r="AE3" s="741"/>
      <c r="AF3" s="741"/>
      <c r="AG3" s="741"/>
      <c r="AH3" s="851"/>
      <c r="AI3" s="741"/>
      <c r="AJ3" s="741"/>
      <c r="AK3" s="741"/>
      <c r="AL3" s="741"/>
      <c r="AM3" s="741"/>
      <c r="AN3" s="741"/>
      <c r="AO3" s="741"/>
      <c r="AP3" s="741"/>
      <c r="AQ3" s="741"/>
      <c r="AR3" s="741"/>
      <c r="AS3" s="741"/>
      <c r="AT3" s="741"/>
      <c r="AU3" s="741"/>
      <c r="AV3" s="741"/>
      <c r="AW3" s="741"/>
      <c r="AX3" s="741"/>
      <c r="AY3" s="741"/>
      <c r="AZ3" s="741"/>
      <c r="BA3" s="741"/>
      <c r="BB3" s="741"/>
      <c r="BC3" s="741"/>
      <c r="BD3" s="741"/>
      <c r="BE3" s="741"/>
      <c r="BF3" s="741"/>
      <c r="BG3" s="741"/>
      <c r="BH3" s="741"/>
      <c r="BI3" s="741"/>
      <c r="BJ3" s="741"/>
      <c r="BK3" s="741"/>
      <c r="BL3" s="741"/>
      <c r="BM3" s="741"/>
      <c r="BN3" s="741"/>
      <c r="BO3" s="741"/>
      <c r="BP3" s="741"/>
      <c r="BQ3" s="741"/>
      <c r="BR3" s="741"/>
      <c r="BS3" s="741"/>
      <c r="BT3" s="741"/>
    </row>
    <row r="4" spans="1:72" ht="15.75" customHeight="1" thickTop="1" thickBot="1">
      <c r="A4" s="353"/>
      <c r="B4" s="3029"/>
      <c r="C4" s="3031"/>
      <c r="D4" s="3031"/>
      <c r="E4" s="3031"/>
      <c r="F4" s="741"/>
      <c r="G4" s="3034"/>
      <c r="H4" s="3023"/>
      <c r="I4" s="3021"/>
      <c r="J4" s="3021"/>
      <c r="K4" s="3022"/>
      <c r="L4" s="738"/>
      <c r="M4" s="742"/>
      <c r="N4" s="853"/>
      <c r="O4" s="741"/>
      <c r="P4" s="741"/>
      <c r="Q4" s="741"/>
      <c r="R4" s="741"/>
      <c r="S4" s="741"/>
      <c r="T4" s="741"/>
      <c r="U4" s="741"/>
      <c r="V4" s="929"/>
      <c r="W4" s="741"/>
      <c r="X4" s="741"/>
      <c r="Y4" s="741"/>
      <c r="Z4" s="741"/>
      <c r="AA4" s="741"/>
      <c r="AB4" s="741"/>
      <c r="AC4" s="741"/>
      <c r="AD4" s="741"/>
      <c r="AE4" s="741"/>
      <c r="AF4" s="741"/>
      <c r="AG4" s="741"/>
      <c r="AH4" s="851"/>
      <c r="AI4" s="741"/>
      <c r="AJ4" s="741"/>
      <c r="AK4" s="741"/>
      <c r="AL4" s="741"/>
      <c r="AM4" s="741"/>
      <c r="AN4" s="741"/>
      <c r="AO4" s="741"/>
      <c r="AP4" s="741"/>
      <c r="AQ4" s="741"/>
      <c r="AR4" s="741"/>
      <c r="AS4" s="741"/>
      <c r="AT4" s="741"/>
      <c r="AU4" s="741"/>
      <c r="AV4" s="741"/>
      <c r="AW4" s="741"/>
      <c r="AX4" s="741"/>
      <c r="AY4" s="741"/>
      <c r="AZ4" s="741"/>
      <c r="BA4" s="741"/>
      <c r="BB4" s="741"/>
      <c r="BC4" s="741"/>
      <c r="BD4" s="741"/>
      <c r="BE4" s="741"/>
      <c r="BF4" s="741"/>
      <c r="BG4" s="741"/>
      <c r="BH4" s="741"/>
      <c r="BI4" s="741"/>
      <c r="BJ4" s="741"/>
      <c r="BK4" s="741"/>
      <c r="BL4" s="741"/>
      <c r="BM4" s="741"/>
      <c r="BN4" s="741"/>
      <c r="BO4" s="741"/>
      <c r="BP4" s="741"/>
      <c r="BQ4" s="741"/>
      <c r="BR4" s="741"/>
      <c r="BS4" s="741"/>
      <c r="BT4" s="741"/>
    </row>
    <row r="5" spans="1:72" ht="15.5" thickTop="1" thickBot="1">
      <c r="A5" s="353"/>
      <c r="B5" s="3023" t="s">
        <v>2</v>
      </c>
      <c r="C5" s="3025" t="str">
        <f>SETUP!$E$6</f>
        <v>HIV</v>
      </c>
      <c r="D5" s="3025"/>
      <c r="E5" s="3025"/>
      <c r="F5" s="354"/>
      <c r="G5" s="3013" t="s">
        <v>3</v>
      </c>
      <c r="H5" s="3013"/>
      <c r="I5" s="3009">
        <f>SETUP!E7</f>
        <v>0</v>
      </c>
      <c r="J5" s="3009"/>
      <c r="K5" s="3010"/>
      <c r="L5" s="738"/>
      <c r="M5" s="742"/>
      <c r="N5" s="853"/>
      <c r="O5" s="741"/>
      <c r="P5" s="741"/>
      <c r="Q5" s="741"/>
      <c r="R5" s="741"/>
      <c r="S5" s="741"/>
      <c r="T5" s="741"/>
      <c r="U5" s="741"/>
      <c r="V5" s="929"/>
      <c r="W5" s="741"/>
      <c r="X5" s="741"/>
      <c r="Y5" s="741"/>
      <c r="Z5" s="741"/>
      <c r="AA5" s="741"/>
      <c r="AB5" s="741"/>
      <c r="AC5" s="741"/>
      <c r="AD5" s="741"/>
      <c r="AE5" s="741"/>
      <c r="AF5" s="741"/>
      <c r="AG5" s="741"/>
      <c r="AH5" s="851"/>
      <c r="AI5" s="741"/>
      <c r="AJ5" s="741"/>
      <c r="AK5" s="741"/>
      <c r="AL5" s="741"/>
      <c r="AM5" s="741"/>
      <c r="AN5" s="741"/>
      <c r="AO5" s="741"/>
      <c r="AP5" s="741"/>
      <c r="AQ5" s="741"/>
      <c r="AR5" s="741"/>
      <c r="AS5" s="741"/>
      <c r="AT5" s="741"/>
      <c r="AU5" s="741"/>
      <c r="AV5" s="741"/>
      <c r="AW5" s="741"/>
      <c r="AX5" s="741"/>
      <c r="AY5" s="741"/>
      <c r="AZ5" s="741"/>
      <c r="BA5" s="741"/>
      <c r="BB5" s="741"/>
      <c r="BC5" s="741"/>
      <c r="BD5" s="741"/>
      <c r="BE5" s="741"/>
      <c r="BF5" s="741"/>
      <c r="BG5" s="741"/>
      <c r="BH5" s="741"/>
      <c r="BI5" s="741"/>
      <c r="BJ5" s="741"/>
      <c r="BK5" s="741"/>
      <c r="BL5" s="741"/>
      <c r="BM5" s="741"/>
      <c r="BN5" s="741"/>
      <c r="BO5" s="741"/>
      <c r="BP5" s="741"/>
      <c r="BQ5" s="741"/>
      <c r="BR5" s="741"/>
      <c r="BS5" s="741"/>
      <c r="BT5" s="741"/>
    </row>
    <row r="6" spans="1:72" ht="15.5" thickTop="1" thickBot="1">
      <c r="A6" s="355"/>
      <c r="B6" s="3024"/>
      <c r="C6" s="3026"/>
      <c r="D6" s="3026"/>
      <c r="E6" s="3026"/>
      <c r="F6" s="356"/>
      <c r="G6" s="3014"/>
      <c r="H6" s="3014"/>
      <c r="I6" s="3011"/>
      <c r="J6" s="3011"/>
      <c r="K6" s="3012"/>
      <c r="L6" s="738"/>
      <c r="M6" s="742"/>
      <c r="N6" s="853"/>
      <c r="O6" s="741"/>
      <c r="P6" s="741"/>
      <c r="Q6" s="741"/>
      <c r="R6" s="741"/>
      <c r="S6" s="741"/>
      <c r="T6" s="741"/>
      <c r="U6" s="741"/>
      <c r="V6" s="929"/>
      <c r="W6" s="741"/>
      <c r="X6" s="741"/>
      <c r="Y6" s="741"/>
      <c r="Z6" s="741"/>
      <c r="AA6" s="741"/>
      <c r="AB6" s="741"/>
      <c r="AC6" s="741"/>
      <c r="AD6" s="741"/>
      <c r="AE6" s="741"/>
      <c r="AF6" s="741"/>
      <c r="AG6" s="741"/>
      <c r="AH6" s="851"/>
      <c r="AI6" s="741"/>
      <c r="AJ6" s="741"/>
      <c r="AK6" s="741"/>
      <c r="AL6" s="741"/>
      <c r="AM6" s="741"/>
      <c r="AN6" s="741"/>
      <c r="AO6" s="741"/>
      <c r="AP6" s="741"/>
      <c r="AQ6" s="741"/>
      <c r="AR6" s="741"/>
      <c r="AS6" s="741"/>
      <c r="AT6" s="741"/>
      <c r="AU6" s="741"/>
      <c r="AV6" s="741"/>
      <c r="AW6" s="741"/>
      <c r="AX6" s="741"/>
      <c r="AY6" s="741"/>
      <c r="AZ6" s="741"/>
      <c r="BA6" s="741"/>
      <c r="BB6" s="741"/>
      <c r="BC6" s="741"/>
      <c r="BD6" s="741"/>
      <c r="BE6" s="741"/>
      <c r="BF6" s="741"/>
      <c r="BG6" s="741"/>
      <c r="BH6" s="741"/>
      <c r="BI6" s="741"/>
      <c r="BJ6" s="741"/>
      <c r="BK6" s="741"/>
      <c r="BL6" s="741"/>
      <c r="BM6" s="741"/>
      <c r="BN6" s="741"/>
      <c r="BO6" s="741"/>
      <c r="BP6" s="741"/>
      <c r="BQ6" s="741"/>
      <c r="BR6" s="741"/>
      <c r="BS6" s="741"/>
      <c r="BT6" s="741"/>
    </row>
    <row r="7" spans="1:72" ht="42.75" customHeight="1" thickBot="1">
      <c r="A7" s="3035" t="s">
        <v>6908</v>
      </c>
      <c r="B7" s="3036"/>
      <c r="C7" s="3036"/>
      <c r="D7" s="3036"/>
      <c r="E7" s="3036"/>
      <c r="F7" s="3036"/>
      <c r="G7" s="3036"/>
      <c r="H7" s="3036"/>
      <c r="I7" s="3036"/>
      <c r="J7" s="3037"/>
      <c r="K7" s="745"/>
      <c r="L7" s="746"/>
      <c r="M7" s="746"/>
      <c r="N7" s="747"/>
      <c r="O7" s="748"/>
      <c r="P7" s="748"/>
      <c r="Q7" s="748"/>
      <c r="R7" s="748"/>
      <c r="S7" s="741"/>
      <c r="T7" s="741"/>
      <c r="U7" s="741"/>
      <c r="V7" s="929"/>
      <c r="W7" s="741"/>
      <c r="X7" s="741"/>
      <c r="Y7" s="741"/>
      <c r="Z7" s="741"/>
      <c r="AA7" s="741"/>
      <c r="AB7" s="741"/>
      <c r="AC7" s="741"/>
      <c r="AD7" s="741"/>
      <c r="AE7" s="741"/>
      <c r="AF7" s="741"/>
      <c r="AG7" s="741"/>
      <c r="AH7" s="851"/>
      <c r="AI7" s="741"/>
      <c r="AJ7" s="741"/>
      <c r="AK7" s="741"/>
      <c r="AL7" s="741"/>
      <c r="AM7" s="741"/>
      <c r="AN7" s="741"/>
      <c r="AO7" s="741"/>
      <c r="AP7" s="741"/>
      <c r="AQ7" s="741"/>
      <c r="AR7" s="741"/>
      <c r="AS7" s="741"/>
      <c r="AT7" s="741"/>
      <c r="AU7" s="741"/>
      <c r="AV7" s="741"/>
      <c r="AW7" s="741"/>
      <c r="AX7" s="741"/>
      <c r="AY7" s="741"/>
      <c r="AZ7" s="741"/>
      <c r="BA7" s="741"/>
      <c r="BB7" s="741"/>
      <c r="BC7" s="741"/>
      <c r="BD7" s="741"/>
      <c r="BE7" s="741"/>
      <c r="BF7" s="741"/>
      <c r="BG7" s="741"/>
      <c r="BH7" s="741"/>
      <c r="BI7" s="741"/>
      <c r="BJ7" s="741"/>
      <c r="BK7" s="741"/>
      <c r="BL7" s="741"/>
      <c r="BM7" s="741"/>
      <c r="BN7" s="741"/>
      <c r="BO7" s="741"/>
      <c r="BP7" s="741"/>
      <c r="BQ7" s="741"/>
      <c r="BR7" s="741"/>
      <c r="BS7" s="741"/>
      <c r="BT7" s="741"/>
    </row>
    <row r="8" spans="1:72" ht="15" customHeight="1">
      <c r="A8" s="2924">
        <v>1</v>
      </c>
      <c r="B8" s="2979" t="s">
        <v>539</v>
      </c>
      <c r="C8" s="2979"/>
      <c r="D8" s="2979"/>
      <c r="E8" s="2979"/>
      <c r="F8" s="2979"/>
      <c r="G8" s="2979"/>
      <c r="H8" s="2979"/>
      <c r="I8" s="2979"/>
      <c r="J8" s="2979"/>
      <c r="K8" s="2998" t="s">
        <v>2362</v>
      </c>
      <c r="L8" s="2998"/>
      <c r="M8" s="2998" t="s">
        <v>6894</v>
      </c>
      <c r="N8" s="2998"/>
      <c r="O8" s="2998" t="s">
        <v>6893</v>
      </c>
      <c r="P8" s="2999"/>
      <c r="Q8" s="854"/>
      <c r="R8" s="741"/>
      <c r="S8" s="741"/>
      <c r="T8" s="741"/>
      <c r="U8" s="741"/>
      <c r="V8" s="929"/>
      <c r="W8" s="741"/>
      <c r="X8" s="741"/>
      <c r="Y8" s="741"/>
      <c r="Z8" s="741"/>
      <c r="AA8" s="741"/>
      <c r="AB8" s="741"/>
      <c r="AC8" s="741"/>
      <c r="AD8" s="741"/>
      <c r="AE8" s="741"/>
      <c r="AF8" s="741"/>
      <c r="AG8" s="741"/>
      <c r="AH8" s="741"/>
      <c r="AI8" s="741"/>
      <c r="AJ8" s="741"/>
      <c r="AK8" s="741"/>
      <c r="AL8" s="741"/>
      <c r="AM8" s="741"/>
      <c r="AN8" s="741"/>
      <c r="AO8" s="741"/>
      <c r="AP8" s="741"/>
      <c r="AQ8" s="741"/>
      <c r="AR8" s="741"/>
      <c r="AS8" s="741"/>
      <c r="AT8" s="741"/>
      <c r="AU8" s="741"/>
      <c r="AV8" s="741"/>
      <c r="AW8" s="741"/>
      <c r="AX8" s="741"/>
      <c r="AY8" s="741"/>
      <c r="AZ8" s="741"/>
      <c r="BA8" s="741"/>
      <c r="BB8" s="741"/>
      <c r="BC8" s="741"/>
      <c r="BD8" s="741"/>
      <c r="BE8" s="741"/>
      <c r="BF8" s="741"/>
      <c r="BG8" s="741"/>
      <c r="BH8" s="741"/>
      <c r="BI8" s="741"/>
      <c r="BJ8" s="741"/>
      <c r="BK8" s="741"/>
      <c r="BL8" s="741"/>
      <c r="BM8" s="741"/>
      <c r="BN8" s="741"/>
      <c r="BO8" s="741"/>
      <c r="BP8" s="741"/>
      <c r="BQ8" s="741"/>
      <c r="BR8" s="741"/>
    </row>
    <row r="9" spans="1:72" ht="15" customHeight="1" thickBot="1">
      <c r="A9" s="2925"/>
      <c r="B9" s="2980"/>
      <c r="C9" s="2980"/>
      <c r="D9" s="2980"/>
      <c r="E9" s="2980"/>
      <c r="F9" s="2980"/>
      <c r="G9" s="2980"/>
      <c r="H9" s="2980"/>
      <c r="I9" s="2980"/>
      <c r="J9" s="2980"/>
      <c r="K9" s="3018"/>
      <c r="L9" s="3018"/>
      <c r="M9" s="3018"/>
      <c r="N9" s="3018"/>
      <c r="O9" s="3000"/>
      <c r="P9" s="3000"/>
      <c r="Q9" s="854"/>
      <c r="R9" s="741"/>
      <c r="S9" s="741"/>
      <c r="T9" s="741"/>
      <c r="U9" s="741"/>
      <c r="V9" s="929"/>
      <c r="W9" s="741"/>
      <c r="X9" s="741"/>
      <c r="Y9" s="741"/>
      <c r="Z9" s="741"/>
      <c r="AA9" s="741"/>
      <c r="AB9" s="741"/>
      <c r="AC9" s="741"/>
      <c r="AD9" s="741"/>
      <c r="AE9" s="741"/>
      <c r="AF9" s="741"/>
      <c r="AG9" s="741"/>
      <c r="AH9" s="741"/>
      <c r="AI9" s="741"/>
      <c r="AJ9" s="741"/>
      <c r="AK9" s="741"/>
      <c r="AL9" s="741"/>
      <c r="AM9" s="741"/>
      <c r="AN9" s="741"/>
      <c r="AO9" s="741"/>
      <c r="AP9" s="741"/>
      <c r="AQ9" s="741"/>
      <c r="AR9" s="741"/>
      <c r="AS9" s="741"/>
      <c r="AT9" s="741"/>
      <c r="AU9" s="741"/>
      <c r="AV9" s="741"/>
      <c r="AW9" s="741"/>
      <c r="AX9" s="741"/>
      <c r="AY9" s="741"/>
      <c r="AZ9" s="741"/>
      <c r="BA9" s="741"/>
      <c r="BB9" s="741"/>
      <c r="BC9" s="741"/>
      <c r="BD9" s="741"/>
      <c r="BE9" s="741"/>
      <c r="BF9" s="741"/>
      <c r="BG9" s="741"/>
      <c r="BH9" s="741"/>
      <c r="BI9" s="741"/>
      <c r="BJ9" s="741"/>
      <c r="BK9" s="741"/>
      <c r="BL9" s="741"/>
      <c r="BM9" s="741"/>
      <c r="BN9" s="741"/>
      <c r="BO9" s="741"/>
      <c r="BP9" s="741"/>
      <c r="BQ9" s="741"/>
      <c r="BR9" s="741"/>
    </row>
    <row r="10" spans="1:72" s="859" customFormat="1" ht="15" customHeight="1">
      <c r="A10" s="855"/>
      <c r="B10" s="856"/>
      <c r="C10" s="856"/>
      <c r="D10" s="856"/>
      <c r="E10" s="917"/>
      <c r="F10" s="856"/>
      <c r="G10" s="856"/>
      <c r="H10" s="857"/>
      <c r="I10" s="858"/>
      <c r="J10" s="858"/>
      <c r="K10" s="858"/>
      <c r="L10" s="858"/>
      <c r="M10" s="858"/>
      <c r="N10" s="858"/>
      <c r="O10" s="858"/>
      <c r="P10" s="858"/>
      <c r="Q10" s="858"/>
      <c r="R10" s="858"/>
      <c r="S10" s="858"/>
      <c r="T10" s="858"/>
      <c r="U10" s="858"/>
      <c r="V10" s="930"/>
      <c r="W10" s="858"/>
      <c r="X10" s="858"/>
      <c r="Y10" s="858"/>
      <c r="Z10" s="858"/>
      <c r="AA10" s="858"/>
      <c r="AB10" s="858"/>
      <c r="AC10" s="858"/>
      <c r="AD10" s="858"/>
      <c r="AE10" s="858"/>
      <c r="AF10" s="858"/>
      <c r="AG10" s="858"/>
      <c r="AH10" s="858"/>
      <c r="AI10" s="858"/>
      <c r="AJ10" s="858"/>
      <c r="AK10" s="858"/>
      <c r="AL10" s="858"/>
      <c r="AM10" s="858"/>
      <c r="AN10" s="858"/>
      <c r="AO10" s="858"/>
      <c r="AP10" s="858"/>
      <c r="AQ10" s="858"/>
      <c r="AR10" s="858"/>
      <c r="AS10" s="858"/>
      <c r="AT10" s="858"/>
      <c r="AU10" s="858"/>
      <c r="AV10" s="858"/>
      <c r="AW10" s="858"/>
      <c r="AX10" s="858"/>
      <c r="AY10" s="858"/>
      <c r="AZ10" s="858"/>
      <c r="BA10" s="858"/>
      <c r="BB10" s="858"/>
      <c r="BC10" s="858"/>
      <c r="BD10" s="858"/>
      <c r="BE10" s="858"/>
      <c r="BF10" s="858"/>
      <c r="BG10" s="858"/>
      <c r="BH10" s="858"/>
      <c r="BI10" s="858"/>
      <c r="BJ10" s="858"/>
      <c r="BK10" s="858"/>
      <c r="BL10" s="858"/>
      <c r="BM10" s="858"/>
      <c r="BN10" s="858"/>
      <c r="BO10" s="858"/>
      <c r="BP10" s="858"/>
      <c r="BQ10" s="858"/>
      <c r="BR10" s="858"/>
      <c r="BS10" s="858"/>
      <c r="BT10" s="858"/>
    </row>
    <row r="11" spans="1:72" s="1395" customFormat="1" ht="25.5" customHeight="1" thickBot="1">
      <c r="A11" s="3001" t="s">
        <v>541</v>
      </c>
      <c r="B11" s="3001"/>
      <c r="C11" s="3001"/>
      <c r="D11" s="3001"/>
      <c r="E11" s="3001"/>
      <c r="F11" s="1394"/>
      <c r="G11" s="1394"/>
      <c r="H11" s="1394"/>
      <c r="I11" s="1394"/>
      <c r="J11" s="1394"/>
      <c r="V11" s="1396"/>
    </row>
    <row r="12" spans="1:72" s="860" customFormat="1" ht="15" customHeight="1">
      <c r="A12" s="2962" t="s">
        <v>542</v>
      </c>
      <c r="B12" s="2963"/>
      <c r="C12" s="2963"/>
      <c r="D12" s="2963"/>
      <c r="E12" s="2938" t="s">
        <v>543</v>
      </c>
      <c r="F12" s="2942" t="str">
        <f>IF(ISBLANK(IMP_ST_DATE),"Please fill setup",YEAR(IMP_ST_DATE))</f>
        <v>Please fill setup</v>
      </c>
      <c r="G12" s="2943"/>
      <c r="H12" s="2943"/>
      <c r="I12" s="2943"/>
      <c r="J12" s="2948"/>
      <c r="K12" s="2950" t="str">
        <f>IF(ISBLANK(IMP_ST_DATE),"Please fill setup",YEAR(IMP_ST_DATE)+1)</f>
        <v>Please fill setup</v>
      </c>
      <c r="L12" s="2950"/>
      <c r="M12" s="2950"/>
      <c r="N12" s="2950"/>
      <c r="O12" s="2951"/>
      <c r="P12" s="2942" t="str">
        <f>IF(ISBLANK(IMP_ST_DATE),"Please fill setup",YEAR(IMP_ST_DATE)+2)</f>
        <v>Please fill setup</v>
      </c>
      <c r="Q12" s="2943"/>
      <c r="R12" s="2943"/>
      <c r="S12" s="2943"/>
      <c r="T12" s="2943"/>
      <c r="U12" s="3045" t="s">
        <v>593</v>
      </c>
      <c r="V12" s="3047" t="s">
        <v>153</v>
      </c>
      <c r="W12" s="3045" t="s">
        <v>6865</v>
      </c>
      <c r="X12" s="1802"/>
    </row>
    <row r="13" spans="1:72" s="860" customFormat="1" ht="14.25" customHeight="1" thickBot="1">
      <c r="A13" s="2964"/>
      <c r="B13" s="2965"/>
      <c r="C13" s="2965"/>
      <c r="D13" s="2965"/>
      <c r="E13" s="2939"/>
      <c r="F13" s="2945"/>
      <c r="G13" s="2946"/>
      <c r="H13" s="2946"/>
      <c r="I13" s="2946"/>
      <c r="J13" s="2949"/>
      <c r="K13" s="2952"/>
      <c r="L13" s="2952"/>
      <c r="M13" s="2952"/>
      <c r="N13" s="2952"/>
      <c r="O13" s="2953"/>
      <c r="P13" s="2945"/>
      <c r="Q13" s="2946"/>
      <c r="R13" s="2946"/>
      <c r="S13" s="2946"/>
      <c r="T13" s="2946"/>
      <c r="U13" s="3046"/>
      <c r="V13" s="3048"/>
      <c r="W13" s="3053"/>
      <c r="X13" s="1803"/>
    </row>
    <row r="14" spans="1:72" s="861" customFormat="1" ht="40.5" customHeight="1" thickBot="1">
      <c r="A14" s="2966"/>
      <c r="B14" s="2967"/>
      <c r="C14" s="2967"/>
      <c r="D14" s="2967"/>
      <c r="E14" s="2940"/>
      <c r="F14" s="845" t="s">
        <v>544</v>
      </c>
      <c r="G14" s="1272" t="s">
        <v>545</v>
      </c>
      <c r="H14" s="1272" t="s">
        <v>546</v>
      </c>
      <c r="I14" s="1272" t="s">
        <v>547</v>
      </c>
      <c r="J14" s="1272" t="s">
        <v>548</v>
      </c>
      <c r="K14" s="845" t="s">
        <v>549</v>
      </c>
      <c r="L14" s="1272" t="s">
        <v>550</v>
      </c>
      <c r="M14" s="1272" t="s">
        <v>551</v>
      </c>
      <c r="N14" s="1272" t="s">
        <v>552</v>
      </c>
      <c r="O14" s="1272" t="s">
        <v>553</v>
      </c>
      <c r="P14" s="845" t="s">
        <v>554</v>
      </c>
      <c r="Q14" s="1272" t="s">
        <v>555</v>
      </c>
      <c r="R14" s="1272" t="s">
        <v>556</v>
      </c>
      <c r="S14" s="1272" t="s">
        <v>557</v>
      </c>
      <c r="T14" s="1272" t="s">
        <v>558</v>
      </c>
      <c r="U14" s="1814" t="s">
        <v>250</v>
      </c>
      <c r="V14" s="1815" t="s">
        <v>309</v>
      </c>
      <c r="W14" s="3046"/>
      <c r="X14" s="1797" t="s">
        <v>559</v>
      </c>
    </row>
    <row r="15" spans="1:72" s="860" customFormat="1" ht="15" customHeight="1">
      <c r="A15" s="2913" t="s">
        <v>560</v>
      </c>
      <c r="B15" s="2914"/>
      <c r="C15" s="2972" t="s">
        <v>561</v>
      </c>
      <c r="D15" s="2972"/>
      <c r="E15" s="1648">
        <v>1E-4</v>
      </c>
      <c r="F15" s="1313">
        <f>IF(SETUP!$F$20="Upfront",F16,F17)</f>
        <v>0</v>
      </c>
      <c r="G15" s="1314">
        <f>IF(SETUP!$F$20="Upfront",G16,G17)</f>
        <v>0</v>
      </c>
      <c r="H15" s="1314">
        <f>IF(SETUP!$F$20="Upfront",H16,H17)</f>
        <v>0</v>
      </c>
      <c r="I15" s="1314">
        <f>IF(SETUP!$F$20="Upfront",I16,I17)</f>
        <v>0</v>
      </c>
      <c r="J15" s="1314">
        <f>F15+G15+H15+I15</f>
        <v>0</v>
      </c>
      <c r="K15" s="1313">
        <f>IF(SETUP!$F$20="Upfront",K16,K17)</f>
        <v>0</v>
      </c>
      <c r="L15" s="1314">
        <f>IF(SETUP!$F$20="Upfront",L16,L17)</f>
        <v>0</v>
      </c>
      <c r="M15" s="1314">
        <f>IF(SETUP!$F$20="Upfront",M16,M17)</f>
        <v>0</v>
      </c>
      <c r="N15" s="1314">
        <f>IF(SETUP!$F$20="Upfront",N16,N17)</f>
        <v>0</v>
      </c>
      <c r="O15" s="1315">
        <f t="shared" ref="O15:O36" si="0">K15+L15+M15+N15</f>
        <v>0</v>
      </c>
      <c r="P15" s="1306">
        <f>IF(SETUP!$F$20="Upfront",P16,P17)</f>
        <v>0</v>
      </c>
      <c r="Q15" s="1311">
        <f>IF(SETUP!$F$20="Upfront",Q16,Q17)</f>
        <v>0</v>
      </c>
      <c r="R15" s="1311">
        <f>IF(SETUP!$F$20="Upfront",R16,R17)</f>
        <v>0</v>
      </c>
      <c r="S15" s="1311">
        <f>IF(SETUP!$F$20="Upfront",S16,S17)</f>
        <v>0</v>
      </c>
      <c r="T15" s="1311">
        <f t="shared" ref="T15:T36" si="1">P15+Q15+R15+S15</f>
        <v>0</v>
      </c>
      <c r="U15" s="1306">
        <f t="shared" ref="U15:U36" si="2">J15+O15+T15</f>
        <v>0</v>
      </c>
      <c r="V15" s="1794">
        <v>7.1</v>
      </c>
      <c r="W15" s="1822"/>
      <c r="X15" s="1798"/>
    </row>
    <row r="16" spans="1:72" s="860" customFormat="1" ht="15" hidden="1" customHeight="1" outlineLevel="1">
      <c r="A16" s="2915"/>
      <c r="B16" s="2916"/>
      <c r="C16" s="2912" t="s">
        <v>918</v>
      </c>
      <c r="D16" s="2912"/>
      <c r="E16" s="1649"/>
      <c r="F16" s="1279">
        <f>IF(SETUP!$F$20="Upfront",$E$15*'HIV-Pharmaceuticals'!AW14,0)</f>
        <v>0</v>
      </c>
      <c r="G16" s="1316">
        <f>IF(SETUP!$F$20="Upfront",$E$15*'HIV-Pharmaceuticals'!AX14,0)</f>
        <v>0</v>
      </c>
      <c r="H16" s="1316">
        <f>IF(SETUP!$F$20="Upfront",$E$15*'HIV-Pharmaceuticals'!AY14,0)</f>
        <v>0</v>
      </c>
      <c r="I16" s="1316">
        <f>IF(SETUP!$F$20="Upfront",$E$15*'HIV-Pharmaceuticals'!AZ14,0)</f>
        <v>0</v>
      </c>
      <c r="J16" s="1316">
        <f>'HPM costs'!$F16+'HPM costs'!$G16+'HPM costs'!$H16+'HPM costs'!$I16</f>
        <v>0</v>
      </c>
      <c r="K16" s="1317">
        <f>IF(SETUP!$F$20="Upfront",$E$15*'HIV-Pharmaceuticals'!BA14,0)</f>
        <v>0</v>
      </c>
      <c r="L16" s="1316">
        <f>IF(SETUP!$F$20="Upfront",$E$15*'HIV-Pharmaceuticals'!BB14,0)</f>
        <v>0</v>
      </c>
      <c r="M16" s="1316">
        <f>IF(SETUP!$F$20="Upfront",$E$15*'HIV-Pharmaceuticals'!BC14,0)</f>
        <v>0</v>
      </c>
      <c r="N16" s="1316">
        <f>IF(SETUP!$F$20="Upfront",$E$15*'HIV-Pharmaceuticals'!BD14,0)</f>
        <v>0</v>
      </c>
      <c r="O16" s="1205">
        <f t="shared" si="0"/>
        <v>0</v>
      </c>
      <c r="P16" s="1279">
        <f>IF(SETUP!$F$20="Upfront",$E$15*'HIV-Pharmaceuticals'!BE14,0)</f>
        <v>0</v>
      </c>
      <c r="Q16" s="1189">
        <f>IF(SETUP!$F$20="Upfront",$E$15*'HIV-Pharmaceuticals'!BF14,0)</f>
        <v>0</v>
      </c>
      <c r="R16" s="1189">
        <f>IF(SETUP!$F$20="Upfront",$E$15*'HIV-Pharmaceuticals'!BG14,0)</f>
        <v>0</v>
      </c>
      <c r="S16" s="1189">
        <f>IF(SETUP!$F$20="Upfront",$E$15*'HIV-Pharmaceuticals'!BH14,0)</f>
        <v>0</v>
      </c>
      <c r="T16" s="1189">
        <f t="shared" si="1"/>
        <v>0</v>
      </c>
      <c r="U16" s="1279">
        <f t="shared" si="2"/>
        <v>0</v>
      </c>
      <c r="V16" s="1795"/>
      <c r="W16" s="1823"/>
      <c r="X16" s="1799"/>
    </row>
    <row r="17" spans="1:24" s="860" customFormat="1" ht="15" hidden="1" customHeight="1" outlineLevel="1">
      <c r="A17" s="2915"/>
      <c r="B17" s="2916"/>
      <c r="C17" s="2912" t="s">
        <v>36</v>
      </c>
      <c r="D17" s="2912"/>
      <c r="E17" s="1649"/>
      <c r="F17" s="1279">
        <v>0</v>
      </c>
      <c r="G17" s="1316">
        <f>IF(SETUP!$F$20="At delivery",IF(SETUP!$G$20=1,$E$15*'HIV-Pharmaceuticals'!AW14,0),0)</f>
        <v>0</v>
      </c>
      <c r="H17" s="1316">
        <f>IF(SETUP!$F$20="At delivery",IF(SETUP!$G$20=2,$E$15*'HIV-Pharmaceuticals'!AW14,IF(SETUP!$G$20=1,$E$15*'HIV-Pharmaceuticals'!AX14,0)),0)</f>
        <v>0</v>
      </c>
      <c r="I17" s="1316">
        <f>IF(SETUP!$F$20="At delivery",IF(SETUP!$G$20=3,$E$15*'HIV-Pharmaceuticals'!AW14,IF(SETUP!$G$20=2,$E$15*'HIV-Pharmaceuticals'!AX14,IF(SETUP!$G$20=1,$E$15*'HIV-Pharmaceuticals'!AY14,0))),0)</f>
        <v>0</v>
      </c>
      <c r="J17" s="1316">
        <f>'HPM costs'!$F17+'HPM costs'!$G17+'HPM costs'!$H17+'HPM costs'!$I17</f>
        <v>0</v>
      </c>
      <c r="K17" s="1317">
        <f>IF(SETUP!$F$20="At delivery",IF(SETUP!$G$20=4,$E$15*'HIV-Pharmaceuticals'!AW14,IF(SETUP!$G$20=3,$E$15*'HIV-Pharmaceuticals'!AX14,IF(SETUP!$G$20=2,$E$15*'HIV-Pharmaceuticals'!AY14,IF(SETUP!$G$20=1,$E$15*'HIV-Pharmaceuticals'!AZ14,0)))),0)</f>
        <v>0</v>
      </c>
      <c r="L17" s="1316">
        <f>IF(SETUP!$F$20="At delivery",IF(SETUP!$G$20=4,$E$15*'HIV-Pharmaceuticals'!AX14,IF(SETUP!$G$20=3,$E$15*'HIV-Pharmaceuticals'!AY14,IF(SETUP!$G$20=2,$E$15*'HIV-Pharmaceuticals'!AZ14,IF(SETUP!$G$20=1,$E$15*'HIV-Pharmaceuticals'!BA14,0)))),0)</f>
        <v>0</v>
      </c>
      <c r="M17" s="1316">
        <f>IF(SETUP!$F$20="At delivery",IF(SETUP!$G$20=4,$E$15*'HIV-Pharmaceuticals'!AY14,IF(SETUP!$G$20=3,$E$15*'HIV-Pharmaceuticals'!AZ14,IF(SETUP!$G$20=2,$E$15*'HIV-Pharmaceuticals'!BA14,IF(SETUP!$G$20=1,$E$15*'HIV-Pharmaceuticals'!BB14,0)))),0)</f>
        <v>0</v>
      </c>
      <c r="N17" s="1316">
        <f>IF(SETUP!$F$20="At delivery",IF(SETUP!$G$20=4,$E$15*'HIV-Pharmaceuticals'!AZ14,IF(SETUP!$G$20=3,$E$15*'HIV-Pharmaceuticals'!BA14,IF(SETUP!$G$20=2,$E$15*'HIV-Pharmaceuticals'!BB14,IF(SETUP!$G$20=1,$E$15*'HIV-Pharmaceuticals'!BC14,0)))),0)</f>
        <v>0</v>
      </c>
      <c r="O17" s="1205">
        <f t="shared" si="0"/>
        <v>0</v>
      </c>
      <c r="P17" s="1279">
        <f>IF(SETUP!$F$20="At delivery",IF(SETUP!$G$20=4,$E$15*'HIV-Pharmaceuticals'!BA14,IF(SETUP!$G$20=3,$E$15*'HIV-Pharmaceuticals'!BB14,IF(SETUP!$G$20=2,$E$15*'HIV-Pharmaceuticals'!BC14,IF(SETUP!$G$20=1,$E$15*'HIV-Pharmaceuticals'!BD14,0)))),0)</f>
        <v>0</v>
      </c>
      <c r="Q17" s="1189">
        <f>IF(SETUP!$F$20="At delivery",IF(SETUP!$G$20=4,$E$15*'HIV-Pharmaceuticals'!BB14,IF(SETUP!$G$20=3,$E$15*'HIV-Pharmaceuticals'!BC14,IF(SETUP!$G$20=2,$E$15*'HIV-Pharmaceuticals'!BD14,IF(SETUP!$G$20=1,$E$15*'HIV-Pharmaceuticals'!BE14,0)))),0)</f>
        <v>0</v>
      </c>
      <c r="R17" s="1189">
        <f>IF(SETUP!$F$20="At delivery",IF(SETUP!$G$20=4,$E$15*'HIV-Pharmaceuticals'!BC14,IF(SETUP!$G$20=3,$E$15*'HIV-Pharmaceuticals'!BD14,IF(SETUP!$G$20=2,$E$15*'HIV-Pharmaceuticals'!BE14,IF(SETUP!$G$20=1,$E$15*'HIV-Pharmaceuticals'!BF14,0)))),0)</f>
        <v>0</v>
      </c>
      <c r="S17" s="1189">
        <f>IF(SETUP!$F$20="At delivery",IF(SETUP!$G$20=4,$E$15*('HIV-Pharmaceuticals'!BD14+'HIV-Pharmaceuticals'!BE14+'HIV-Pharmaceuticals'!BF14+'HIV-Pharmaceuticals'!BG14+'HIV-Pharmaceuticals'!BH14),IF(SETUP!$G$20=3,$E$15*('HIV-Pharmaceuticals'!BE14+'HIV-Pharmaceuticals'!BF14+'HIV-Pharmaceuticals'!BG14+'HIV-Pharmaceuticals'!BH14),IF(SETUP!$G$20=2,$E$15*('HIV-Pharmaceuticals'!BF14+'HIV-Pharmaceuticals'!BG14+'HIV-Pharmaceuticals'!BH14),IF(SETUP!$G$20=1,$E$15*('HIV-Pharmaceuticals'!BG14+'HIV-Pharmaceuticals'!BH14),0)))),0)</f>
        <v>0</v>
      </c>
      <c r="T17" s="1189">
        <f t="shared" si="1"/>
        <v>0</v>
      </c>
      <c r="U17" s="1279">
        <f t="shared" si="2"/>
        <v>0</v>
      </c>
      <c r="V17" s="1795"/>
      <c r="W17" s="1823"/>
      <c r="X17" s="1799"/>
    </row>
    <row r="18" spans="1:24" s="860" customFormat="1" ht="15" customHeight="1" collapsed="1">
      <c r="A18" s="2915"/>
      <c r="B18" s="2916"/>
      <c r="C18" s="2941" t="s">
        <v>148</v>
      </c>
      <c r="D18" s="2941"/>
      <c r="E18" s="1649">
        <v>1E-4</v>
      </c>
      <c r="F18" s="1279">
        <f>IF(SETUP!$F$21="Upfront",F19,F20)</f>
        <v>0</v>
      </c>
      <c r="G18" s="1316">
        <f>IF(SETUP!$F$21="Upfront",G19,G20)</f>
        <v>0</v>
      </c>
      <c r="H18" s="1316">
        <f>IF(SETUP!$F$21="Upfront",H19,H20)</f>
        <v>0</v>
      </c>
      <c r="I18" s="1316">
        <f>IF(SETUP!$F$21="Upfront",I19,I20)</f>
        <v>0</v>
      </c>
      <c r="J18" s="1316">
        <f t="shared" ref="J18:J36" si="3">F18+G18+H18+I18</f>
        <v>0</v>
      </c>
      <c r="K18" s="1317">
        <f>IF(SETUP!$F$21="Upfront",K19,K20)</f>
        <v>0</v>
      </c>
      <c r="L18" s="1316">
        <f>IF(SETUP!$F$21="Upfront",L19,L20)</f>
        <v>0</v>
      </c>
      <c r="M18" s="1316">
        <f>IF(SETUP!$F$21="Upfront",M19,M20)</f>
        <v>0</v>
      </c>
      <c r="N18" s="1316">
        <f>IF(SETUP!$F$21="Upfront",N19,N20)</f>
        <v>0</v>
      </c>
      <c r="O18" s="1205">
        <f t="shared" si="0"/>
        <v>0</v>
      </c>
      <c r="P18" s="1279">
        <f>IF(SETUP!$F$21="Upfront",P19,P20)</f>
        <v>0</v>
      </c>
      <c r="Q18" s="1189">
        <f>IF(SETUP!$F$21="Upfront",Q19,Q20)</f>
        <v>0</v>
      </c>
      <c r="R18" s="1189">
        <f>IF(SETUP!$F$21="Upfront",R19,R20)</f>
        <v>0</v>
      </c>
      <c r="S18" s="1189">
        <f>IF(SETUP!$F$21="Upfront",S19,S20)</f>
        <v>0</v>
      </c>
      <c r="T18" s="1189">
        <f t="shared" si="1"/>
        <v>0</v>
      </c>
      <c r="U18" s="1279">
        <f t="shared" si="2"/>
        <v>0</v>
      </c>
      <c r="V18" s="1795">
        <v>7.1</v>
      </c>
      <c r="W18" s="1823"/>
      <c r="X18" s="1799"/>
    </row>
    <row r="19" spans="1:24" s="860" customFormat="1" ht="15" hidden="1" customHeight="1" outlineLevel="1">
      <c r="A19" s="2915"/>
      <c r="B19" s="2916"/>
      <c r="C19" s="2912" t="s">
        <v>918</v>
      </c>
      <c r="D19" s="2912"/>
      <c r="E19" s="1649"/>
      <c r="F19" s="1279">
        <f>IF(SETUP!$F$21="Upfront",$E$18*'HIV-Pharmaceuticals'!AW15,0)</f>
        <v>0</v>
      </c>
      <c r="G19" s="1316">
        <f>IF(SETUP!$F$21="Upfront",$E$18*'HIV-Pharmaceuticals'!AX15,0)</f>
        <v>0</v>
      </c>
      <c r="H19" s="1316">
        <f>IF(SETUP!$F$21="Upfront",$E$18*'HIV-Pharmaceuticals'!AY15,0)</f>
        <v>0</v>
      </c>
      <c r="I19" s="1316">
        <f>IF(SETUP!$F$21="Upfront",$E$18*'HIV-Pharmaceuticals'!AZ15,0)</f>
        <v>0</v>
      </c>
      <c r="J19" s="1316">
        <f t="shared" si="3"/>
        <v>0</v>
      </c>
      <c r="K19" s="1317">
        <f>IF(SETUP!$F$21="Upfront",$E$18*'HIV-Pharmaceuticals'!BA15,0)</f>
        <v>0</v>
      </c>
      <c r="L19" s="1316">
        <f>IF(SETUP!$F$21="Upfront",$E$18*'HIV-Pharmaceuticals'!BB15,0)</f>
        <v>0</v>
      </c>
      <c r="M19" s="1316">
        <f>IF(SETUP!$F$21="Upfront",$E$18*'HIV-Pharmaceuticals'!BC15,0)</f>
        <v>0</v>
      </c>
      <c r="N19" s="1316">
        <f>IF(SETUP!$F$21="Upfront",$E$18*'HIV-Pharmaceuticals'!BD15,0)</f>
        <v>0</v>
      </c>
      <c r="O19" s="1205">
        <f t="shared" si="0"/>
        <v>0</v>
      </c>
      <c r="P19" s="1279">
        <f>IF(SETUP!$F$21="Upfront",$E$18*'HIV-Pharmaceuticals'!BE15,0)</f>
        <v>0</v>
      </c>
      <c r="Q19" s="1189">
        <f>IF(SETUP!$F$21="Upfront",$E$18*'HIV-Pharmaceuticals'!BF15,0)</f>
        <v>0</v>
      </c>
      <c r="R19" s="1189">
        <f>IF(SETUP!$F$21="Upfront",$E$18*'HIV-Pharmaceuticals'!BG15,0)</f>
        <v>0</v>
      </c>
      <c r="S19" s="1189">
        <f>IF(SETUP!$F$21="Upfront",$E$18*'HIV-Pharmaceuticals'!BH15,0)</f>
        <v>0</v>
      </c>
      <c r="T19" s="1189">
        <f t="shared" si="1"/>
        <v>0</v>
      </c>
      <c r="U19" s="1279">
        <f t="shared" si="2"/>
        <v>0</v>
      </c>
      <c r="V19" s="1795"/>
      <c r="W19" s="1823"/>
      <c r="X19" s="1799"/>
    </row>
    <row r="20" spans="1:24" s="860" customFormat="1" ht="15" hidden="1" customHeight="1" outlineLevel="1">
      <c r="A20" s="2915"/>
      <c r="B20" s="2916"/>
      <c r="C20" s="2912" t="s">
        <v>36</v>
      </c>
      <c r="D20" s="2912"/>
      <c r="E20" s="1649"/>
      <c r="F20" s="1279">
        <v>0</v>
      </c>
      <c r="G20" s="1316">
        <f>IF(SETUP!$F$21="At delivery",IF(SETUP!$G$21=1,$E$18*'HIV-Pharmaceuticals'!AW15,0),0)</f>
        <v>0</v>
      </c>
      <c r="H20" s="1316">
        <f>IF(SETUP!$F$21="At delivery",IF(SETUP!$G$21=2,$E$18*'HIV-Pharmaceuticals'!AW15,IF(SETUP!$G$21=1,$E$18*'HIV-Pharmaceuticals'!AX15,0)),0)</f>
        <v>0</v>
      </c>
      <c r="I20" s="1316">
        <f>IF(SETUP!$F$21="At delivery",IF(SETUP!$G$21=3,$E$18*'HIV-Pharmaceuticals'!AW15,IF(SETUP!$G$21=2,$E$18*'HIV-Pharmaceuticals'!AX15,IF(SETUP!$G$21=1,$E$18*'HIV-Pharmaceuticals'!AY15,0))),0)</f>
        <v>0</v>
      </c>
      <c r="J20" s="1316">
        <f t="shared" si="3"/>
        <v>0</v>
      </c>
      <c r="K20" s="1317">
        <f>IF(SETUP!$F$21="At delivery",IF(SETUP!$G$21=4,$E$18*'HIV-Pharmaceuticals'!AW15,IF(SETUP!$G$21=3,$E$18*'HIV-Pharmaceuticals'!AX15,IF(SETUP!$G$21=2,$E$18*'HIV-Pharmaceuticals'!AY15,IF(SETUP!$G$21=1,$E$18*'HIV-Pharmaceuticals'!AZ15,0)))),0)</f>
        <v>0</v>
      </c>
      <c r="L20" s="1316">
        <f>IF(SETUP!$F$21="At delivery",IF(SETUP!$G$21=4,$E$18*'HIV-Pharmaceuticals'!AX15,IF(SETUP!$G$21=3,$E$18*'HIV-Pharmaceuticals'!AY15,IF(SETUP!$G$21=2,$E$18*'HIV-Pharmaceuticals'!AZ15,IF(SETUP!$G$21=1,$E$18*'HIV-Pharmaceuticals'!BA15,0)))),0)</f>
        <v>0</v>
      </c>
      <c r="M20" s="1316">
        <f>IF(SETUP!$F$21="At delivery",IF(SETUP!$G$21=4,$E$18*'HIV-Pharmaceuticals'!AY15,IF(SETUP!$G$21=3,$E$18*'HIV-Pharmaceuticals'!AZ15,IF(SETUP!$G$21=2,$E$18*'HIV-Pharmaceuticals'!BA15,IF(SETUP!$G$21=1,$E$18*'HIV-Pharmaceuticals'!BB15,0)))),0)</f>
        <v>0</v>
      </c>
      <c r="N20" s="1316">
        <f>IF(SETUP!$F$21="At delivery",IF(SETUP!$G$21=4,$E$18*'HIV-Pharmaceuticals'!AZ15,IF(SETUP!$G$21=3,$E$18*'HIV-Pharmaceuticals'!BA15,IF(SETUP!$G$21=2,$E$18*'HIV-Pharmaceuticals'!BB15,IF(SETUP!$G$21=1,$E$18*'HIV-Pharmaceuticals'!BC15,0)))),0)</f>
        <v>0</v>
      </c>
      <c r="O20" s="1205">
        <f t="shared" si="0"/>
        <v>0</v>
      </c>
      <c r="P20" s="1279">
        <f>IF(SETUP!$F$21="At delivery",IF(SETUP!$G$21=4,$E$18*'HIV-Pharmaceuticals'!BA15,IF(SETUP!$G$21=3,$E$18*'HIV-Pharmaceuticals'!BB15,IF(SETUP!$G$21=2,$E$18*'HIV-Pharmaceuticals'!BC15,IF(SETUP!$G$21=1,$E$18*'HIV-Pharmaceuticals'!BD15,0)))),0)</f>
        <v>0</v>
      </c>
      <c r="Q20" s="1189">
        <f>IF(SETUP!$F$21="At delivery",IF(SETUP!$G$21=4,$E$18*'HIV-Pharmaceuticals'!BB15,IF(SETUP!$G$21=3,$E$18*'HIV-Pharmaceuticals'!BC15,IF(SETUP!$G$21=2,$E$18*'HIV-Pharmaceuticals'!BD15,IF(SETUP!$G$21=1,$E$18*'HIV-Pharmaceuticals'!BE15,0)))),0)</f>
        <v>0</v>
      </c>
      <c r="R20" s="1189">
        <f>IF(SETUP!$F$21="At delivery",IF(SETUP!$G$21=4,$E$18*'HIV-Pharmaceuticals'!BC15,IF(SETUP!$G$21=3,$E$18*'HIV-Pharmaceuticals'!BD15,IF(SETUP!$G$21=2,$E$18*'HIV-Pharmaceuticals'!BE15,IF(SETUP!$G$21=1,$E$18*'HIV-Pharmaceuticals'!BF15,0)))),0)</f>
        <v>0</v>
      </c>
      <c r="S20" s="1189">
        <f>IF(SETUP!$F$21="At delivery",IF(SETUP!$G$21=4,$E$18*('HIV-Pharmaceuticals'!BD15+'HIV-Pharmaceuticals'!BE15+'HIV-Pharmaceuticals'!BF15+'HIV-Pharmaceuticals'!BG15+'HIV-Pharmaceuticals'!BH15),IF(SETUP!$G$21=3,$E$18*('HIV-Pharmaceuticals'!BE15+'HIV-Pharmaceuticals'!BF15+'HIV-Pharmaceuticals'!BG15+'HIV-Pharmaceuticals'!BH15),IF(SETUP!$G$21=2,$E$18*('HIV-Pharmaceuticals'!BF15+'HIV-Pharmaceuticals'!BG15+'HIV-Pharmaceuticals'!BH15),IF(SETUP!$G$21=1,$E$18*('HIV-Pharmaceuticals'!BG15+'HIV-Pharmaceuticals'!BH15),0)))),0)</f>
        <v>0</v>
      </c>
      <c r="T20" s="1189">
        <f t="shared" si="1"/>
        <v>0</v>
      </c>
      <c r="U20" s="1279">
        <f t="shared" si="2"/>
        <v>0</v>
      </c>
      <c r="V20" s="1795"/>
      <c r="W20" s="1823"/>
      <c r="X20" s="1799"/>
    </row>
    <row r="21" spans="1:24" s="860" customFormat="1" ht="15" customHeight="1" collapsed="1">
      <c r="A21" s="2915"/>
      <c r="B21" s="2916"/>
      <c r="C21" s="2941" t="s">
        <v>1317</v>
      </c>
      <c r="D21" s="2941"/>
      <c r="E21" s="1649">
        <v>1E-4</v>
      </c>
      <c r="F21" s="1279">
        <f>IF(SETUP!$F$22="Upfront",F22,F23)</f>
        <v>0</v>
      </c>
      <c r="G21" s="1316">
        <f>IF(SETUP!$F$22="Upfront",G22,G23)</f>
        <v>0</v>
      </c>
      <c r="H21" s="1316">
        <f>IF(SETUP!$F$22="Upfront",H22,H23)</f>
        <v>0</v>
      </c>
      <c r="I21" s="1316">
        <f>IF(SETUP!$F$22="Upfront",I22,I23)</f>
        <v>0</v>
      </c>
      <c r="J21" s="1316">
        <f t="shared" si="3"/>
        <v>0</v>
      </c>
      <c r="K21" s="1317">
        <f>IF(SETUP!$F$22="Upfront",K22,K23)</f>
        <v>0</v>
      </c>
      <c r="L21" s="1316">
        <f>IF(SETUP!$F$22="Upfront",L22,L23)</f>
        <v>0</v>
      </c>
      <c r="M21" s="1316">
        <f>IF(SETUP!$F$22="Upfront",M22,M23)</f>
        <v>0</v>
      </c>
      <c r="N21" s="1316">
        <f>IF(SETUP!$F$22="Upfront",N22,N23)</f>
        <v>0</v>
      </c>
      <c r="O21" s="1205">
        <f t="shared" si="0"/>
        <v>0</v>
      </c>
      <c r="P21" s="1279">
        <f>IF(SETUP!$F$22="Upfront",P22,P23)</f>
        <v>0</v>
      </c>
      <c r="Q21" s="1189">
        <f>IF(SETUP!$F$22="Upfront",Q22,Q23)</f>
        <v>0</v>
      </c>
      <c r="R21" s="1189">
        <f>IF(SETUP!$F$22="Upfront",R22,R23)</f>
        <v>0</v>
      </c>
      <c r="S21" s="1189">
        <f>IF(SETUP!$F$22="Upfront",S22,S23)</f>
        <v>0</v>
      </c>
      <c r="T21" s="1189">
        <f t="shared" si="1"/>
        <v>0</v>
      </c>
      <c r="U21" s="1279">
        <f t="shared" si="2"/>
        <v>0</v>
      </c>
      <c r="V21" s="1795">
        <v>7.1</v>
      </c>
      <c r="W21" s="1823"/>
      <c r="X21" s="1800"/>
    </row>
    <row r="22" spans="1:24" s="860" customFormat="1" ht="15" hidden="1" customHeight="1" outlineLevel="1">
      <c r="A22" s="2893" t="s">
        <v>564</v>
      </c>
      <c r="B22" s="2894"/>
      <c r="C22" s="2912" t="s">
        <v>918</v>
      </c>
      <c r="D22" s="2912"/>
      <c r="E22" s="1649"/>
      <c r="F22" s="1279">
        <f>IF(SETUP!$F$22="Upfront",$E$21*'HIV-Pharmaceuticals'!AW16,0)</f>
        <v>0</v>
      </c>
      <c r="G22" s="1316">
        <f>IF(SETUP!$F$22="Upfront",$E$21*'HIV-Pharmaceuticals'!AX16,0)</f>
        <v>0</v>
      </c>
      <c r="H22" s="1316">
        <f>IF(SETUP!$F$22="Upfront",$E$21*'HIV-Pharmaceuticals'!AY16,0)</f>
        <v>0</v>
      </c>
      <c r="I22" s="1316">
        <f>IF(SETUP!$F$22="Upfront",$E$21*'HIV-Pharmaceuticals'!AZ16,0)</f>
        <v>0</v>
      </c>
      <c r="J22" s="1316">
        <f t="shared" si="3"/>
        <v>0</v>
      </c>
      <c r="K22" s="1317">
        <f>IF(SETUP!$F$22="Upfront",$E$21*'HIV-Pharmaceuticals'!BA16,0)</f>
        <v>0</v>
      </c>
      <c r="L22" s="1316">
        <f>IF(SETUP!$F$22="Upfront",$E$21*'HIV-Pharmaceuticals'!BB16,0)</f>
        <v>0</v>
      </c>
      <c r="M22" s="1316">
        <f>IF(SETUP!$F$22="Upfront",$E$21*'HIV-Pharmaceuticals'!BC16,0)</f>
        <v>0</v>
      </c>
      <c r="N22" s="1316">
        <f>IF(SETUP!$F$22="Upfront",$E$21*'HIV-Pharmaceuticals'!BD16,0)</f>
        <v>0</v>
      </c>
      <c r="O22" s="1205">
        <f t="shared" si="0"/>
        <v>0</v>
      </c>
      <c r="P22" s="1279">
        <f>IF(SETUP!$F$22="Upfront",$E$21*'HIV-Pharmaceuticals'!BE16,0)</f>
        <v>0</v>
      </c>
      <c r="Q22" s="1189">
        <f>IF(SETUP!$F$22="Upfront",$E$21*'HIV-Pharmaceuticals'!BF16,0)</f>
        <v>0</v>
      </c>
      <c r="R22" s="1189">
        <f>IF(SETUP!$F$22="Upfront",$E$21*'HIV-Pharmaceuticals'!BG16,0)</f>
        <v>0</v>
      </c>
      <c r="S22" s="1189">
        <f>IF(SETUP!$F$22="Upfront",$E$21*'HIV-Pharmaceuticals'!BH16,0)</f>
        <v>0</v>
      </c>
      <c r="T22" s="1189">
        <f t="shared" si="1"/>
        <v>0</v>
      </c>
      <c r="U22" s="1279">
        <f t="shared" si="2"/>
        <v>0</v>
      </c>
      <c r="V22" s="1795"/>
      <c r="W22" s="1823"/>
      <c r="X22" s="1799"/>
    </row>
    <row r="23" spans="1:24" s="860" customFormat="1" ht="15" hidden="1" customHeight="1" outlineLevel="1">
      <c r="A23" s="2893"/>
      <c r="B23" s="2894"/>
      <c r="C23" s="2912" t="s">
        <v>36</v>
      </c>
      <c r="D23" s="2912"/>
      <c r="E23" s="1649"/>
      <c r="F23" s="1279">
        <v>0</v>
      </c>
      <c r="G23" s="1316">
        <f>IF(SETUP!$F$22="At delivery",IF(SETUP!$G$22=1,$E$21*'HIV-Pharmaceuticals'!AW16,0),0)</f>
        <v>0</v>
      </c>
      <c r="H23" s="1316">
        <f>IF(SETUP!$F$22="At delivery",IF(SETUP!$G$22=2,$E$21*'HIV-Pharmaceuticals'!AW16,IF(SETUP!$G$22=1,$E$21*'HIV-Pharmaceuticals'!AX16,0)),0)</f>
        <v>0</v>
      </c>
      <c r="I23" s="1316">
        <f>IF(SETUP!$F$22="At delivery",IF(SETUP!$G$22=3,$E$21*'HIV-Pharmaceuticals'!AW16,IF(SETUP!$G$22=2,$E$21*'HIV-Pharmaceuticals'!AX16,IF(SETUP!$G$22=1,$E$21*'HIV-Pharmaceuticals'!AY16,0))),0)</f>
        <v>0</v>
      </c>
      <c r="J23" s="1316">
        <f t="shared" si="3"/>
        <v>0</v>
      </c>
      <c r="K23" s="1317">
        <f>IF(SETUP!$F$22="At delivery",IF(SETUP!$G$22=4,$E$21*'HIV-Pharmaceuticals'!AW16,IF(SETUP!$G$22=3,$E$21*'HIV-Pharmaceuticals'!AX16,IF(SETUP!$G$22=2,$E$21*'HIV-Pharmaceuticals'!AY16,IF(SETUP!$G$22=1,$E$21*'HIV-Pharmaceuticals'!AZ16,0)))),0)</f>
        <v>0</v>
      </c>
      <c r="L23" s="1316">
        <f>IF(SETUP!$F$22="At delivery",IF(SETUP!$G$22=4,$E$21*'HIV-Pharmaceuticals'!AX16,IF(SETUP!$G$22=3,$E$21*'HIV-Pharmaceuticals'!AY16,IF(SETUP!$G$22=2,$E$21*'HIV-Pharmaceuticals'!AZ16,IF(SETUP!$G$22=1,$E$21*'HIV-Pharmaceuticals'!BA16,0)))),0)</f>
        <v>0</v>
      </c>
      <c r="M23" s="1316">
        <f>IF(SETUP!$F$22="At delivery",IF(SETUP!$G$22=4,$E$21*'HIV-Pharmaceuticals'!AY16,IF(SETUP!$G$22=3,$E$21*'HIV-Pharmaceuticals'!AZ16,IF(SETUP!$G$22=2,$E$21*'HIV-Pharmaceuticals'!BA16,IF(SETUP!$G$22=1,$E$21*'HIV-Pharmaceuticals'!BB16,0)))),0)</f>
        <v>0</v>
      </c>
      <c r="N23" s="1316">
        <f>IF(SETUP!$F$22="At delivery",IF(SETUP!$G$22=4,$E$21*'HIV-Pharmaceuticals'!AZ16,IF(SETUP!$G$22=3,$E$21*'HIV-Pharmaceuticals'!BA16,IF(SETUP!$G$22=2,$E$21*'HIV-Pharmaceuticals'!BB16,IF(SETUP!$G$22=1,$E$21*'HIV-Pharmaceuticals'!BC16,0)))),0)</f>
        <v>0</v>
      </c>
      <c r="O23" s="1205">
        <f t="shared" si="0"/>
        <v>0</v>
      </c>
      <c r="P23" s="1279">
        <f>IF(SETUP!$F$22="At delivery",IF(SETUP!$G$22=4,$E$21*'HIV-Pharmaceuticals'!BA16,IF(SETUP!$G$22=3,$E$21*'HIV-Pharmaceuticals'!BB16,IF(SETUP!$G$22=2,$E$21*'HIV-Pharmaceuticals'!BC16,IF(SETUP!$G$22=1,$E$21*'HIV-Pharmaceuticals'!BD16,0)))),0)</f>
        <v>0</v>
      </c>
      <c r="Q23" s="1189">
        <f>IF(SETUP!$F$22="At delivery",IF(SETUP!$G$22=4,$E$21*'HIV-Pharmaceuticals'!BB16,IF(SETUP!$G$22=3,$E$21*'HIV-Pharmaceuticals'!BC16,IF(SETUP!$G$22=2,$E$21*'HIV-Pharmaceuticals'!BD16,IF(SETUP!$G$22=1,$E$21*'HIV-Pharmaceuticals'!BE16,0)))),0)</f>
        <v>0</v>
      </c>
      <c r="R23" s="1189">
        <f>IF(SETUP!$F$22="At delivery",IF(SETUP!$G$22=4,$E$21*'HIV-Pharmaceuticals'!BC16,IF(SETUP!$G$22=3,$E$21*'HIV-Pharmaceuticals'!BD16,IF(SETUP!$G$22=2,$E$21*'HIV-Pharmaceuticals'!BE16,IF(SETUP!$G$22=1,$E$21*'HIV-Pharmaceuticals'!BF16,0)))),0)</f>
        <v>0</v>
      </c>
      <c r="S23" s="1189">
        <f>IF(SETUP!$F$22="At delivery",IF(SETUP!$G$22=4,$E$21*('HIV-Pharmaceuticals'!BD16+'HIV-Pharmaceuticals'!BE16+'HIV-Pharmaceuticals'!BF16+'HIV-Pharmaceuticals'!BG16+'HIV-Pharmaceuticals'!BH16),IF(SETUP!$G$22=3,$E$21*('HIV-Pharmaceuticals'!BE16+'HIV-Pharmaceuticals'!BF16+'HIV-Pharmaceuticals'!BG16+'HIV-Pharmaceuticals'!BH16),IF(SETUP!$G$22=2,$E$21*('HIV-Pharmaceuticals'!BF16+'HIV-Pharmaceuticals'!BG16+'HIV-Pharmaceuticals'!BH16),IF(SETUP!$G$22=1,$E$21*('HIV-Pharmaceuticals'!BG16+'HIV-Pharmaceuticals'!BH16),0)))),0)</f>
        <v>0</v>
      </c>
      <c r="T23" s="1189">
        <f t="shared" si="1"/>
        <v>0</v>
      </c>
      <c r="U23" s="1279">
        <f t="shared" si="2"/>
        <v>0</v>
      </c>
      <c r="V23" s="1795"/>
      <c r="W23" s="1823"/>
      <c r="X23" s="1799"/>
    </row>
    <row r="24" spans="1:24" s="860" customFormat="1" ht="15" customHeight="1" collapsed="1" thickBot="1">
      <c r="A24" s="2893"/>
      <c r="B24" s="2894"/>
      <c r="C24" s="2923" t="s">
        <v>1793</v>
      </c>
      <c r="D24" s="2923"/>
      <c r="E24" s="1649">
        <v>1E-4</v>
      </c>
      <c r="F24" s="1279">
        <f>IF(SETUP!$F$23="Upfront",F25,F26)</f>
        <v>0</v>
      </c>
      <c r="G24" s="1316">
        <f>IF(SETUP!$F$23="Upfront",G25,G26)</f>
        <v>0</v>
      </c>
      <c r="H24" s="1316">
        <f>IF(SETUP!$F$23="Upfront",H25,H26)</f>
        <v>0</v>
      </c>
      <c r="I24" s="1316">
        <f>IF(SETUP!$F$23="Upfront",I25,I26)</f>
        <v>0</v>
      </c>
      <c r="J24" s="1316">
        <f t="shared" si="3"/>
        <v>0</v>
      </c>
      <c r="K24" s="1317">
        <f>IF(SETUP!$F$23="Upfront",K25,K26)</f>
        <v>0</v>
      </c>
      <c r="L24" s="1316">
        <f>IF(SETUP!$F$23="Upfront",L25,L26)</f>
        <v>0</v>
      </c>
      <c r="M24" s="1316">
        <f>IF(SETUP!$F$23="Upfront",M25,M26)</f>
        <v>0</v>
      </c>
      <c r="N24" s="1316">
        <f>IF(SETUP!$F$23="Upfront",N25,N26)</f>
        <v>0</v>
      </c>
      <c r="O24" s="1205">
        <f t="shared" si="0"/>
        <v>0</v>
      </c>
      <c r="P24" s="1279">
        <f>IF(SETUP!$F$23="Upfront",P25,P26)</f>
        <v>0</v>
      </c>
      <c r="Q24" s="1189">
        <f>IF(SETUP!$F$23="Upfront",Q25,Q26)</f>
        <v>0</v>
      </c>
      <c r="R24" s="1189">
        <f>IF(SETUP!$F$23="Upfront",R25,R26)</f>
        <v>0</v>
      </c>
      <c r="S24" s="1189">
        <f>IF(SETUP!$F$23="Upfront",S25,S26)</f>
        <v>0</v>
      </c>
      <c r="T24" s="1189">
        <f t="shared" si="1"/>
        <v>0</v>
      </c>
      <c r="U24" s="1279">
        <f t="shared" si="2"/>
        <v>0</v>
      </c>
      <c r="V24" s="1795">
        <v>7.1</v>
      </c>
      <c r="W24" s="1823"/>
      <c r="X24" s="1799"/>
    </row>
    <row r="25" spans="1:24" s="860" customFormat="1" ht="15" hidden="1" customHeight="1" outlineLevel="1">
      <c r="A25" s="2893"/>
      <c r="B25" s="2894"/>
      <c r="C25" s="2912" t="s">
        <v>918</v>
      </c>
      <c r="D25" s="2912"/>
      <c r="E25" s="1649"/>
      <c r="F25" s="1279">
        <f>IF(SETUP!$F$23="Upfront",$E$24*'HIV-Equipment'!AV14,0)</f>
        <v>0</v>
      </c>
      <c r="G25" s="1316">
        <f>IF(SETUP!$F$23="Upfront",$E$24*'HIV-Equipment'!AW14,0)</f>
        <v>0</v>
      </c>
      <c r="H25" s="1316">
        <f>IF(SETUP!$F$23="Upfront",$E$24*'HIV-Equipment'!AX14,0)</f>
        <v>0</v>
      </c>
      <c r="I25" s="1316">
        <f>IF(SETUP!$F$23="Upfront",$E$24*'HIV-Equipment'!AY14,0)</f>
        <v>0</v>
      </c>
      <c r="J25" s="1316">
        <f t="shared" si="3"/>
        <v>0</v>
      </c>
      <c r="K25" s="1317">
        <f>IF(SETUP!$F$23="Upfront",$E$24*'HIV-Equipment'!AZ14,0)</f>
        <v>0</v>
      </c>
      <c r="L25" s="1316">
        <f>IF(SETUP!$F$23="Upfront",$E$24*'HIV-Equipment'!BA14,0)</f>
        <v>0</v>
      </c>
      <c r="M25" s="1316">
        <f>IF(SETUP!$F$23="Upfront",$E$24*'HIV-Equipment'!BB14,0)</f>
        <v>0</v>
      </c>
      <c r="N25" s="1316">
        <f>IF(SETUP!$F$23="Upfront",$E$24*'HIV-Equipment'!BC14,0)</f>
        <v>0</v>
      </c>
      <c r="O25" s="1205">
        <f t="shared" si="0"/>
        <v>0</v>
      </c>
      <c r="P25" s="1279">
        <f>IF(SETUP!$F$23="Upfront",$E$24*'HIV-Equipment'!BD14,0)</f>
        <v>0</v>
      </c>
      <c r="Q25" s="1189">
        <f>IF(SETUP!$F$23="Upfront",$E$24*'HIV-Equipment'!BE14,0)</f>
        <v>0</v>
      </c>
      <c r="R25" s="1189">
        <f>IF(SETUP!$F$23="Upfront",$E$24*'HIV-Equipment'!BF14,0)</f>
        <v>0</v>
      </c>
      <c r="S25" s="1189">
        <f>IF(SETUP!$F$23="Upfront",$E$24*'HIV-Equipment'!BG14,0)</f>
        <v>0</v>
      </c>
      <c r="T25" s="1189">
        <f t="shared" si="1"/>
        <v>0</v>
      </c>
      <c r="U25" s="1279">
        <f t="shared" si="2"/>
        <v>0</v>
      </c>
      <c r="V25" s="1795">
        <v>7.1</v>
      </c>
      <c r="W25" s="1823"/>
      <c r="X25" s="1799"/>
    </row>
    <row r="26" spans="1:24" s="860" customFormat="1" ht="15" hidden="1" customHeight="1" outlineLevel="1">
      <c r="A26" s="2895"/>
      <c r="B26" s="2896"/>
      <c r="C26" s="2912" t="s">
        <v>36</v>
      </c>
      <c r="D26" s="2912"/>
      <c r="E26" s="1649"/>
      <c r="F26" s="1279">
        <v>0</v>
      </c>
      <c r="G26" s="1316">
        <f>IF(SETUP!$F$23="At delivery",IF(SETUP!$G$23=1,$E$24*'HIV-Equipment'!AV14,0),0)</f>
        <v>0</v>
      </c>
      <c r="H26" s="1316">
        <f>IF(SETUP!$F$23="At delivery",IF(SETUP!$G$23=2,$E$24*'HIV-Equipment'!AV14,IF(SETUP!$G$23=1,$E$24*'HIV-Equipment'!AW14,0)),0)</f>
        <v>0</v>
      </c>
      <c r="I26" s="1316">
        <f>IF(SETUP!$F$23="At delivery",IF(SETUP!$G$23=3,$E$24*'HIV-Equipment'!AV14,IF(SETUP!$G$23=2,$E$24*'HIV-Equipment'!AW14,IF(SETUP!$G$23=1,$E$24*'HIV-Equipment'!AX14,0))),0)</f>
        <v>0</v>
      </c>
      <c r="J26" s="1316">
        <f t="shared" si="3"/>
        <v>0</v>
      </c>
      <c r="K26" s="1317">
        <f>IF(SETUP!$F$23="At delivery",IF(SETUP!$G$23=4,$E$24*'HIV-Equipment'!AV14,IF(SETUP!$G$23=3,$E$24*'HIV-Equipment'!AW14,IF(SETUP!$G$23=2,$E$24*'HIV-Equipment'!AX14,IF(SETUP!$G$23=1,$E$24*'HIV-Equipment'!AY14,0)))),0)</f>
        <v>0</v>
      </c>
      <c r="L26" s="1316">
        <f>IF(SETUP!$F$23="At delivery",IF(SETUP!$G$23=4,$E$24*'HIV-Equipment'!AW14,IF(SETUP!$G$23=3,$E$24*'HIV-Equipment'!AX14,IF(SETUP!$G$23=2,$E$24*'HIV-Equipment'!AY14,IF(SETUP!$G$23=1,$E$24*'HIV-Equipment'!AZ14,0)))),0)</f>
        <v>0</v>
      </c>
      <c r="M26" s="1316">
        <f>IF(SETUP!$F$23="At delivery",IF(SETUP!$G$23=4,$E$24*'HIV-Equipment'!AX14,IF(SETUP!$G$23=3,$E$24*'HIV-Equipment'!AY14,IF(SETUP!$G$23=2,$E$24*'HIV-Equipment'!AZ14,IF(SETUP!$G$23=1,$E$24*'HIV-Equipment'!BA14,0)))),0)</f>
        <v>0</v>
      </c>
      <c r="N26" s="1316">
        <f>IF(SETUP!$F$23="At delivery",IF(SETUP!$G$23=4,$E$24*'HIV-Equipment'!AY14,IF(SETUP!$G$23=3,$E$24*'HIV-Equipment'!AZ14,IF(SETUP!$G$23=2,$E$24*'HIV-Equipment'!BA14,IF(SETUP!$G$23=1,$E$24*'HIV-Equipment'!BB14,0)))),0)</f>
        <v>0</v>
      </c>
      <c r="O26" s="1205">
        <f t="shared" si="0"/>
        <v>0</v>
      </c>
      <c r="P26" s="1279">
        <f>IF(SETUP!$F$23="At delivery",IF(SETUP!$G$23=4,$E$24*'HIV-Equipment'!AZ14,IF(SETUP!$G$23=3,$E$24*'HIV-Equipment'!BA14,IF(SETUP!$G$23=2,$E$24*'HIV-Equipment'!BB14,IF(SETUP!$G$23=1,$E$24*'HIV-Equipment'!BC14,0)))),0)</f>
        <v>0</v>
      </c>
      <c r="Q26" s="1189">
        <f>IF(SETUP!$F$23="At delivery",IF(SETUP!$G$23=4,$E$24*'HIV-Equipment'!BA14,IF(SETUP!$G$23=3,$E$24*'HIV-Equipment'!BB14,IF(SETUP!$G$23=2,$E$24*'HIV-Equipment'!BC14,IF(SETUP!$G$23=1,$E$24*'HIV-Equipment'!BD14,0)))),0)</f>
        <v>0</v>
      </c>
      <c r="R26" s="1189">
        <f>IF(SETUP!$F$23="At delivery",IF(SETUP!$G$23=4,$E$24*'HIV-Equipment'!BB14,IF(SETUP!$G$23=3,$E$24*'HIV-Equipment'!BC14,IF(SETUP!$G$23=2,$E$24*'HIV-Equipment'!BD14,IF(SETUP!$G$23=1,$E$24*'HIV-Equipment'!BE14,0)))),0)</f>
        <v>0</v>
      </c>
      <c r="S26" s="1189">
        <f>IF(SETUP!$F$23="At delivery",IF(SETUP!$G$23=4,$E$24*('HIV-Equipment'!BC14+'HIV-Equipment'!BD14+'HIV-Equipment'!BE14+'HIV-Equipment'!BF14+'HIV-Equipment'!BG14),IF(SETUP!$G$23=3,$E$24*('HIV-Equipment'!BD14+'HIV-Equipment'!BE14+'HIV-Equipment'!BF14+'HIV-Equipment'!BG14),IF(SETUP!$G$23=2,$E$24*('HIV-Equipment'!BE14+'HIV-Equipment'!BF14+'HIV-Equipment'!BG14),IF(SETUP!$G$23=1,$E$24*('HIV-Equipment'!BF14+'HIV-Equipment'!BG14),0)))),0)</f>
        <v>0</v>
      </c>
      <c r="T26" s="1189">
        <f t="shared" si="1"/>
        <v>0</v>
      </c>
      <c r="U26" s="1279">
        <f t="shared" si="2"/>
        <v>0</v>
      </c>
      <c r="V26" s="1795">
        <v>7.1</v>
      </c>
      <c r="W26" s="1823"/>
      <c r="X26" s="1799"/>
    </row>
    <row r="27" spans="1:24" s="860" customFormat="1" ht="15" customHeight="1" collapsed="1">
      <c r="A27" s="2897" t="s">
        <v>565</v>
      </c>
      <c r="B27" s="2898"/>
      <c r="C27" s="2907" t="s">
        <v>228</v>
      </c>
      <c r="D27" s="2911"/>
      <c r="E27" s="1649">
        <v>1E-4</v>
      </c>
      <c r="F27" s="1279">
        <f>IF(SETUP!$F$27="Upfront",F28,F29)</f>
        <v>0</v>
      </c>
      <c r="G27" s="1316">
        <f>IF(SETUP!$F$27="Upfront",G28,G29)</f>
        <v>0</v>
      </c>
      <c r="H27" s="1316">
        <f>IF(SETUP!$F$27="Upfront",H28,H29)</f>
        <v>0</v>
      </c>
      <c r="I27" s="1316">
        <f>IF(SETUP!$F$27="Upfront",I28,I29)</f>
        <v>0</v>
      </c>
      <c r="J27" s="1316">
        <f t="shared" si="3"/>
        <v>0</v>
      </c>
      <c r="K27" s="1317">
        <f>IF(SETUP!$F$27="Upfront",K28,K29)</f>
        <v>0</v>
      </c>
      <c r="L27" s="1316">
        <f>IF(SETUP!$F$27="Upfront",L28,L29)</f>
        <v>0</v>
      </c>
      <c r="M27" s="1316">
        <f>IF(SETUP!$F$27="Upfront",M28,M29)</f>
        <v>0</v>
      </c>
      <c r="N27" s="1316">
        <f>IF(SETUP!$F$27="Upfront",N28,N29)</f>
        <v>0</v>
      </c>
      <c r="O27" s="1205">
        <f t="shared" si="0"/>
        <v>0</v>
      </c>
      <c r="P27" s="1279">
        <f>IF(SETUP!$F$27="Upfront",P28,P29)</f>
        <v>0</v>
      </c>
      <c r="Q27" s="1189">
        <f>IF(SETUP!$F$27="Upfront",Q28,Q29)</f>
        <v>0</v>
      </c>
      <c r="R27" s="1189">
        <f>IF(SETUP!$F$27="Upfront",R28,R29)</f>
        <v>0</v>
      </c>
      <c r="S27" s="1189">
        <f>IF(SETUP!$F$27="Upfront",S28,S29)</f>
        <v>0</v>
      </c>
      <c r="T27" s="1189">
        <f t="shared" si="1"/>
        <v>0</v>
      </c>
      <c r="U27" s="1279">
        <f t="shared" si="2"/>
        <v>0</v>
      </c>
      <c r="V27" s="1795">
        <v>7.1</v>
      </c>
      <c r="W27" s="1823"/>
      <c r="X27" s="1800"/>
    </row>
    <row r="28" spans="1:24" s="860" customFormat="1" ht="15" hidden="1" customHeight="1" outlineLevel="1">
      <c r="A28" s="2899"/>
      <c r="B28" s="2900"/>
      <c r="C28" s="2889" t="s">
        <v>918</v>
      </c>
      <c r="D28" s="2912"/>
      <c r="E28" s="1649"/>
      <c r="F28" s="1279">
        <f>IF(SETUP!$F$27="Upfront",$E$27*'HIV-Other HPs'!AW14,0)</f>
        <v>0</v>
      </c>
      <c r="G28" s="1316">
        <f>IF(SETUP!$F$27="Upfront",$E$27*'HIV-Other HPs'!AX14,0)</f>
        <v>0</v>
      </c>
      <c r="H28" s="1316">
        <f>IF(SETUP!$F$27="Upfront",$E$27*'HIV-Other HPs'!AY14,0)</f>
        <v>0</v>
      </c>
      <c r="I28" s="1316">
        <f>IF(SETUP!$F$27="Upfront",$E$27*'HIV-Other HPs'!AZ14,0)</f>
        <v>0</v>
      </c>
      <c r="J28" s="1316">
        <f t="shared" si="3"/>
        <v>0</v>
      </c>
      <c r="K28" s="1317">
        <f>IF(SETUP!$F$27="Upfront",$E$27*'HIV-Other HPs'!BA14,0)</f>
        <v>0</v>
      </c>
      <c r="L28" s="1316">
        <f>IF(SETUP!$F$27="Upfront",$E$27*'HIV-Other HPs'!BB14,0)</f>
        <v>0</v>
      </c>
      <c r="M28" s="1316">
        <f>IF(SETUP!$F$27="Upfront",$E$27*'HIV-Other HPs'!BC14,0)</f>
        <v>0</v>
      </c>
      <c r="N28" s="1316">
        <f>IF(SETUP!$F$27="Upfront",$E$27*'HIV-Other HPs'!BD14,0)</f>
        <v>0</v>
      </c>
      <c r="O28" s="1205">
        <f t="shared" si="0"/>
        <v>0</v>
      </c>
      <c r="P28" s="1279">
        <f>IF(SETUP!$F$27="Upfront",$E$27*'HIV-Other HPs'!BE14,0)</f>
        <v>0</v>
      </c>
      <c r="Q28" s="1189">
        <f>IF(SETUP!$F$27="Upfront",$E$27*'HIV-Other HPs'!BF14,0)</f>
        <v>0</v>
      </c>
      <c r="R28" s="1189">
        <f>IF(SETUP!$F$27="Upfront",$E$27*'HIV-Other HPs'!BG14,0)</f>
        <v>0</v>
      </c>
      <c r="S28" s="1189">
        <f>IF(SETUP!$F$27="Upfront",$E$27*'HIV-Other HPs'!BH14,0)</f>
        <v>0</v>
      </c>
      <c r="T28" s="1189">
        <f t="shared" si="1"/>
        <v>0</v>
      </c>
      <c r="U28" s="1279">
        <f t="shared" si="2"/>
        <v>0</v>
      </c>
      <c r="V28" s="1795"/>
      <c r="W28" s="1823"/>
      <c r="X28" s="1799"/>
    </row>
    <row r="29" spans="1:24" s="860" customFormat="1" ht="15" hidden="1" customHeight="1" outlineLevel="1">
      <c r="A29" s="2899"/>
      <c r="B29" s="2900"/>
      <c r="C29" s="2889" t="s">
        <v>36</v>
      </c>
      <c r="D29" s="2912"/>
      <c r="E29" s="1649"/>
      <c r="F29" s="1279">
        <v>0</v>
      </c>
      <c r="G29" s="1316">
        <f>IF(SETUP!$F$27="At delivery",IF(SETUP!$G$27=1,$E$27*'HIV-Other HPs'!AW14,0),0)</f>
        <v>0</v>
      </c>
      <c r="H29" s="1316">
        <f>IF(SETUP!$F$27="At delivery",IF(SETUP!$G$27=2,$E$27*'HIV-Other HPs'!AW14,IF(SETUP!$G$27=1,$E$27*'HIV-Other HPs'!AX14,0)),0)</f>
        <v>0</v>
      </c>
      <c r="I29" s="1316">
        <f>IF(SETUP!$F$27="At delivery",IF(SETUP!$G$27=3,$E$27*'HIV-Other HPs'!AW14,IF(SETUP!$G$27=2,$E$27*'HIV-Other HPs'!AX14,IF(SETUP!$G$27=1,$E$27*'HIV-Other HPs'!AY14,0))),0)</f>
        <v>0</v>
      </c>
      <c r="J29" s="1316">
        <f t="shared" si="3"/>
        <v>0</v>
      </c>
      <c r="K29" s="1317">
        <f>IF(SETUP!$F$27="At delivery",IF(SETUP!$G$27=4,$E$27*'HIV-Other HPs'!AW14,IF(SETUP!$G$27=3,$E$27*'HIV-Other HPs'!AX14,IF(SETUP!$G$27=2,$E$27*'HIV-Other HPs'!AY14,IF(SETUP!$G$27=1,$E$27*'HIV-Other HPs'!AZ14,0)))),0)</f>
        <v>0</v>
      </c>
      <c r="L29" s="1316">
        <f>IF(SETUP!$F$27="At delivery",IF(SETUP!$G$27=4,$E$27*'HIV-Other HPs'!AX14,IF(SETUP!$G$27=3,$E$27*'HIV-Other HPs'!AY14,IF(SETUP!$G$27=2,$E$27*'HIV-Other HPs'!AZ14,IF(SETUP!$G$27=1,$E$27*'HIV-Other HPs'!BA14,0)))),0)</f>
        <v>0</v>
      </c>
      <c r="M29" s="1316">
        <f>IF(SETUP!$F$27="At delivery",IF(SETUP!$G$27=4,$E$27*'HIV-Other HPs'!AY14,IF(SETUP!$G$27=3,$E$27*'HIV-Other HPs'!AZ14,IF(SETUP!$G$27=2,$E$27*'HIV-Other HPs'!BA14,IF(SETUP!$G$27=1,$E$27*'HIV-Other HPs'!BB14,0)))),0)</f>
        <v>0</v>
      </c>
      <c r="N29" s="1316">
        <f>IF(SETUP!$F$27="At delivery",IF(SETUP!$G$27=4,$E$27*'HIV-Other HPs'!AZ14,IF(SETUP!$G$27=3,$E$27*'HIV-Other HPs'!BA14,IF(SETUP!$G$27=2,$E$27*'HIV-Other HPs'!BB14,IF(SETUP!$G$27=1,$E$27*'HIV-Other HPs'!BC14,0)))),0)</f>
        <v>0</v>
      </c>
      <c r="O29" s="1205">
        <f t="shared" si="0"/>
        <v>0</v>
      </c>
      <c r="P29" s="1279">
        <f>IF(SETUP!$F$27="At delivery",IF(SETUP!$G$27=4,$E$27*'HIV-Other HPs'!BA14,IF(SETUP!$G$27=3,$E$27*'HIV-Other HPs'!BB14,IF(SETUP!$G$27=2,$E$27*'HIV-Other HPs'!BC14,IF(SETUP!$G$27=1,$E$27*'HIV-Other HPs'!BD14,0)))),0)</f>
        <v>0</v>
      </c>
      <c r="Q29" s="1189">
        <f>IF(SETUP!$F$27="At delivery",IF(SETUP!$G$27=4,$E$27*'HIV-Other HPs'!BB14,IF(SETUP!$G$27=3,$E$27*'HIV-Other HPs'!BC14,IF(SETUP!$G$27=2,$E$27*'HIV-Other HPs'!BD14,IF(SETUP!$G$27=1,$E$27*'HIV-Other HPs'!BE14,0)))),0)</f>
        <v>0</v>
      </c>
      <c r="R29" s="1189">
        <f>IF(SETUP!$F$27="At delivery",IF(SETUP!$G$27=4,$E$27*'HIV-Other HPs'!BC14,IF(SETUP!$G$27=3,$E$27*'HIV-Other HPs'!BD14,IF(SETUP!$G$27=2,$E$27*'HIV-Other HPs'!BE14,IF(SETUP!$G$27=1,$E$27*'HIV-Other HPs'!BF14,0)))),0)</f>
        <v>0</v>
      </c>
      <c r="S29" s="1189">
        <f>IF(SETUP!$F$27="At delivery",IF(SETUP!$G$27=4,$E$27*('HIV-Other HPs'!BD14+'HIV-Other HPs'!BE14+'HIV-Other HPs'!BF14+'HIV-Other HPs'!BG14+'HIV-Other HPs'!BH14),IF(SETUP!$G$27=3,$E$27*('HIV-Other HPs'!BE14+'HIV-Other HPs'!BF14+'HIV-Other HPs'!BG14+'HIV-Other HPs'!BH14),IF(SETUP!$G$27=2,$E$27*('HIV-Other HPs'!BF14+'HIV-Other HPs'!BG14+'HIV-Other HPs'!BH14),IF(SETUP!$G$27=1,$E$27*('HIV-Other HPs'!BG14+'HIV-Other HPs'!BH14),0)))),0)</f>
        <v>0</v>
      </c>
      <c r="T29" s="1189">
        <f t="shared" si="1"/>
        <v>0</v>
      </c>
      <c r="U29" s="1279">
        <f t="shared" si="2"/>
        <v>0</v>
      </c>
      <c r="V29" s="1795"/>
      <c r="W29" s="1823"/>
      <c r="X29" s="1799"/>
    </row>
    <row r="30" spans="1:24" s="860" customFormat="1" ht="15" customHeight="1" collapsed="1">
      <c r="A30" s="2899"/>
      <c r="B30" s="2900"/>
      <c r="C30" s="2907" t="s">
        <v>232</v>
      </c>
      <c r="D30" s="2911"/>
      <c r="E30" s="1649">
        <v>1E-4</v>
      </c>
      <c r="F30" s="1279">
        <f>IF(SETUP!$F$28="Upfront",F31,F32)</f>
        <v>0</v>
      </c>
      <c r="G30" s="1316">
        <f>IF(SETUP!$F$28="Upfront",G31,G32)</f>
        <v>0</v>
      </c>
      <c r="H30" s="1316">
        <f>IF(SETUP!$F$28="Upfront",H31,H32)</f>
        <v>0</v>
      </c>
      <c r="I30" s="1316">
        <f>IF(SETUP!$F$28="Upfront",I31,I32)</f>
        <v>0</v>
      </c>
      <c r="J30" s="1316">
        <f t="shared" si="3"/>
        <v>0</v>
      </c>
      <c r="K30" s="1317">
        <f>IF(SETUP!$F$28="Upfront",K31,K32)</f>
        <v>0</v>
      </c>
      <c r="L30" s="1316">
        <f>IF(SETUP!$F$28="Upfront",L31,L32)</f>
        <v>0</v>
      </c>
      <c r="M30" s="1316">
        <f>IF(SETUP!$F$28="Upfront",M31,M32)</f>
        <v>0</v>
      </c>
      <c r="N30" s="1316">
        <f>IF(SETUP!$F$28="Upfront",N31,N32)</f>
        <v>0</v>
      </c>
      <c r="O30" s="1205">
        <f t="shared" si="0"/>
        <v>0</v>
      </c>
      <c r="P30" s="1279">
        <f>IF(SETUP!$F$28="Upfront",P31,P32)</f>
        <v>0</v>
      </c>
      <c r="Q30" s="1189">
        <f>IF(SETUP!$F$28="Upfront",Q31,Q32)</f>
        <v>0</v>
      </c>
      <c r="R30" s="1189">
        <f>IF(SETUP!$F$28="Upfront",R31,R32)</f>
        <v>0</v>
      </c>
      <c r="S30" s="1189">
        <f>IF(SETUP!$F$28="Upfront",S31,S32)</f>
        <v>0</v>
      </c>
      <c r="T30" s="1189">
        <f t="shared" si="1"/>
        <v>0</v>
      </c>
      <c r="U30" s="1279">
        <f t="shared" si="2"/>
        <v>0</v>
      </c>
      <c r="V30" s="1795">
        <v>7.1</v>
      </c>
      <c r="W30" s="1823"/>
      <c r="X30" s="1799"/>
    </row>
    <row r="31" spans="1:24" s="860" customFormat="1" ht="15" hidden="1" customHeight="1" outlineLevel="1">
      <c r="A31" s="2899"/>
      <c r="B31" s="2900"/>
      <c r="C31" s="2889" t="s">
        <v>918</v>
      </c>
      <c r="D31" s="2912"/>
      <c r="E31" s="1649"/>
      <c r="F31" s="1279">
        <f>IF(SETUP!$F$28="Upfront",$E$30*'HIV-Other HPs'!AW15,0)</f>
        <v>0</v>
      </c>
      <c r="G31" s="1316">
        <f>IF(SETUP!$F$28="Upfront",$E$30*'HIV-Other HPs'!AX15,0)</f>
        <v>0</v>
      </c>
      <c r="H31" s="1316">
        <f>IF(SETUP!$F$28="Upfront",$E$30*'HIV-Other HPs'!AY15,0)</f>
        <v>0</v>
      </c>
      <c r="I31" s="1316">
        <f>IF(SETUP!$F$28="Upfront",$E$30*'HIV-Other HPs'!AZ15,0)</f>
        <v>0</v>
      </c>
      <c r="J31" s="1316">
        <f t="shared" si="3"/>
        <v>0</v>
      </c>
      <c r="K31" s="1317">
        <f>IF(SETUP!$F$28="Upfront",$E$30*'HIV-Other HPs'!BA15,0)</f>
        <v>0</v>
      </c>
      <c r="L31" s="1316">
        <f>IF(SETUP!$F$28="Upfront",$E$30*'HIV-Other HPs'!BB15,0)</f>
        <v>0</v>
      </c>
      <c r="M31" s="1316">
        <f>IF(SETUP!$F$28="Upfront",$E$30*'HIV-Other HPs'!BC15,0)</f>
        <v>0</v>
      </c>
      <c r="N31" s="1316">
        <f>IF(SETUP!$F$28="Upfront",$E$30*'HIV-Other HPs'!BD15,0)</f>
        <v>0</v>
      </c>
      <c r="O31" s="1205">
        <f t="shared" si="0"/>
        <v>0</v>
      </c>
      <c r="P31" s="1279">
        <f>IF(SETUP!$F$28="Upfront",$E$30*'HIV-Other HPs'!BE15,0)</f>
        <v>0</v>
      </c>
      <c r="Q31" s="1189">
        <f>IF(SETUP!$F$28="Upfront",$E$30*'HIV-Other HPs'!BF15,0)</f>
        <v>0</v>
      </c>
      <c r="R31" s="1189">
        <f>IF(SETUP!$F$28="Upfront",$E$30*'HIV-Other HPs'!BG15,0)</f>
        <v>0</v>
      </c>
      <c r="S31" s="1189">
        <f>IF(SETUP!$F$28="Upfront",$E$30*'HIV-Other HPs'!BH15,0)</f>
        <v>0</v>
      </c>
      <c r="T31" s="1189">
        <f t="shared" si="1"/>
        <v>0</v>
      </c>
      <c r="U31" s="1279">
        <f t="shared" si="2"/>
        <v>0</v>
      </c>
      <c r="V31" s="1795"/>
      <c r="W31" s="1823"/>
      <c r="X31" s="1799"/>
    </row>
    <row r="32" spans="1:24" s="860" customFormat="1" ht="15" hidden="1" customHeight="1" outlineLevel="1">
      <c r="A32" s="2899"/>
      <c r="B32" s="2900"/>
      <c r="C32" s="2889" t="s">
        <v>36</v>
      </c>
      <c r="D32" s="2912"/>
      <c r="E32" s="1649"/>
      <c r="F32" s="1279">
        <v>0</v>
      </c>
      <c r="G32" s="1316">
        <f>IF(SETUP!$F$28="At delivery",IF(SETUP!$G$28=1,$E$30*'HIV-Other HPs'!AW15,0),0)</f>
        <v>0</v>
      </c>
      <c r="H32" s="1316">
        <f>IF(SETUP!$F$28="At delivery",IF(SETUP!$G$28=2,$E$30*'HIV-Other HPs'!AW15,IF(SETUP!$G$28=1,$E$30*'HIV-Other HPs'!AX15,0)),0)</f>
        <v>0</v>
      </c>
      <c r="I32" s="1316">
        <f>IF(SETUP!$F$28="At delivery",IF(SETUP!$G$28=3,$E$30*'HIV-Other HPs'!AW15,IF(SETUP!$G$28=2,$E$30*'HIV-Other HPs'!AX15,IF(SETUP!$G$28=1,$E$30*'HIV-Other HPs'!AY15,0))),0)</f>
        <v>0</v>
      </c>
      <c r="J32" s="1316">
        <f t="shared" si="3"/>
        <v>0</v>
      </c>
      <c r="K32" s="1317">
        <f>IF(SETUP!$F$28="At delivery",IF(SETUP!$G$28=4,$E$30*'HIV-Other HPs'!AW15,IF(SETUP!$G$28=3,$E$30*'HIV-Other HPs'!AX15,IF(SETUP!$G$28=2,$E$30*'HIV-Other HPs'!AY15,IF(SETUP!$G$28=1,$E$30*'HIV-Other HPs'!AZ15,0)))),0)</f>
        <v>0</v>
      </c>
      <c r="L32" s="1316">
        <f>IF(SETUP!$F$28="At delivery",IF(SETUP!$G$28=4,$E$30*'HIV-Other HPs'!AX15,IF(SETUP!$G$28=3,$E$30*'HIV-Other HPs'!AY15,IF(SETUP!$G$28=2,$E$30*'HIV-Other HPs'!AZ15,IF(SETUP!$G$28=1,$E$30*'HIV-Other HPs'!BA15,0)))),0)</f>
        <v>0</v>
      </c>
      <c r="M32" s="1316">
        <f>IF(SETUP!$F$28="At delivery",IF(SETUP!$G$28=4,$E$30*'HIV-Other HPs'!AY15,IF(SETUP!$G$28=3,$E$30*'HIV-Other HPs'!AZ15,IF(SETUP!$G$28=2,$E$30*'HIV-Other HPs'!BA15,IF(SETUP!$G$28=1,$E$30*'HIV-Other HPs'!BB15,0)))),0)</f>
        <v>0</v>
      </c>
      <c r="N32" s="1316">
        <f>IF(SETUP!$F$28="At delivery",IF(SETUP!$G$28=4,$E$30*'HIV-Other HPs'!AZ15,IF(SETUP!$G$28=3,$E$30*'HIV-Other HPs'!BA15,IF(SETUP!$G$28=2,$E$30*'HIV-Other HPs'!BB15,IF(SETUP!$G$28=1,$E$30*'HIV-Other HPs'!BC15,0)))),0)</f>
        <v>0</v>
      </c>
      <c r="O32" s="1205">
        <f t="shared" si="0"/>
        <v>0</v>
      </c>
      <c r="P32" s="1279">
        <f>IF(SETUP!$F$28="At delivery",IF(SETUP!$G$28=4,$E$30*'HIV-Other HPs'!BA15,IF(SETUP!$G$28=3,$E$30*'HIV-Other HPs'!BB15,IF(SETUP!$G$28=2,$E$30*'HIV-Other HPs'!BC15,IF(SETUP!$G$28=1,$E$30*'HIV-Other HPs'!BD15,0)))),0)</f>
        <v>0</v>
      </c>
      <c r="Q32" s="1189">
        <f>IF(SETUP!$F$28="At delivery",IF(SETUP!$G$28=4,$E$30*'HIV-Other HPs'!BB15,IF(SETUP!$G$28=3,$E$30*'HIV-Other HPs'!BC15,IF(SETUP!$G$28=2,$E$30*'HIV-Other HPs'!BD15,IF(SETUP!$G$28=1,$E$30*'HIV-Other HPs'!BE15,0)))),0)</f>
        <v>0</v>
      </c>
      <c r="R32" s="1189">
        <f>IF(SETUP!$F$28="At delivery",IF(SETUP!$G$28=4,$E$30*'HIV-Other HPs'!BC15,IF(SETUP!$G$28=3,$E$30*'HIV-Other HPs'!BD15,IF(SETUP!$G$28=2,$E$30*'HIV-Other HPs'!BE15,IF(SETUP!$G$28=1,$E$30*'HIV-Other HPs'!BF15,0)))),0)</f>
        <v>0</v>
      </c>
      <c r="S32" s="1189">
        <f>IF(SETUP!$F$28="At delivery",IF(SETUP!$G$28=4,$E$30*('HIV-Other HPs'!BD15+'HIV-Other HPs'!BE15+'HIV-Other HPs'!BF15+'HIV-Other HPs'!BG15+'HIV-Other HPs'!BH15),IF(SETUP!$G$28=3,$E$30*('HIV-Other HPs'!BE15+'HIV-Other HPs'!BF15+'HIV-Other HPs'!BG15+'HIV-Other HPs'!BH15),IF(SETUP!$G$28=2,$E$30*('HIV-Other HPs'!BF15+'HIV-Other HPs'!BG15+'HIV-Other HPs'!BH15),IF(SETUP!$G$28=1,$E$30*('HIV-Other HPs'!BG15+'HIV-Other HPs'!BH15),0)))),0)</f>
        <v>0</v>
      </c>
      <c r="T32" s="1189">
        <f t="shared" si="1"/>
        <v>0</v>
      </c>
      <c r="U32" s="1279">
        <f t="shared" si="2"/>
        <v>0</v>
      </c>
      <c r="V32" s="1795"/>
      <c r="W32" s="1823"/>
      <c r="X32" s="1799"/>
    </row>
    <row r="33" spans="1:24" s="860" customFormat="1" ht="15" customHeight="1" collapsed="1">
      <c r="A33" s="2899"/>
      <c r="B33" s="2900"/>
      <c r="C33" s="2907" t="s">
        <v>566</v>
      </c>
      <c r="D33" s="2911"/>
      <c r="E33" s="1649">
        <v>1E-4</v>
      </c>
      <c r="F33" s="1279">
        <f>IF(SETUP!$F$29="Upfront",F34,F35)</f>
        <v>0</v>
      </c>
      <c r="G33" s="1316">
        <f>IF(SETUP!$F$29="Upfront",G34,G35)</f>
        <v>0</v>
      </c>
      <c r="H33" s="1316">
        <f>IF(SETUP!$F$29="Upfront",H34,H35)</f>
        <v>0</v>
      </c>
      <c r="I33" s="1316">
        <f>IF(SETUP!$F$29="Upfront",I34,I35)</f>
        <v>0</v>
      </c>
      <c r="J33" s="1316">
        <f t="shared" si="3"/>
        <v>0</v>
      </c>
      <c r="K33" s="1317">
        <f>IF(SETUP!$F$29="Upfront",K34,K35)</f>
        <v>0</v>
      </c>
      <c r="L33" s="1316">
        <f>IF(SETUP!$F$29="Upfront",L34,L35)</f>
        <v>0</v>
      </c>
      <c r="M33" s="1316">
        <f>IF(SETUP!$F$29="Upfront",M34,M35)</f>
        <v>0</v>
      </c>
      <c r="N33" s="1316">
        <f>IF(SETUP!$F$29="Upfront",N34,N35)</f>
        <v>0</v>
      </c>
      <c r="O33" s="1205">
        <f t="shared" si="0"/>
        <v>0</v>
      </c>
      <c r="P33" s="1279">
        <f>IF(SETUP!$F$29="Upfront",P34,P35)</f>
        <v>0</v>
      </c>
      <c r="Q33" s="1189">
        <f>IF(SETUP!$F$29="Upfront",Q34,Q35)</f>
        <v>0</v>
      </c>
      <c r="R33" s="1189">
        <f>IF(SETUP!$F$29="Upfront",R34,R35)</f>
        <v>0</v>
      </c>
      <c r="S33" s="1189">
        <f>IF(SETUP!$F$29="Upfront",S34,S35)</f>
        <v>0</v>
      </c>
      <c r="T33" s="1189">
        <f t="shared" si="1"/>
        <v>0</v>
      </c>
      <c r="U33" s="1279">
        <f t="shared" si="2"/>
        <v>0</v>
      </c>
      <c r="V33" s="1795">
        <v>7.1</v>
      </c>
      <c r="W33" s="1823"/>
      <c r="X33" s="1800"/>
    </row>
    <row r="34" spans="1:24" s="860" customFormat="1" ht="15" hidden="1" customHeight="1" outlineLevel="1">
      <c r="A34" s="2899"/>
      <c r="B34" s="2900"/>
      <c r="C34" s="2889" t="s">
        <v>918</v>
      </c>
      <c r="D34" s="2912"/>
      <c r="E34" s="1649"/>
      <c r="F34" s="1279">
        <f>IF(SETUP!$F$29="Upfront",$E$33*'HIV-Other HPs'!AW16,0)</f>
        <v>0</v>
      </c>
      <c r="G34" s="1316">
        <f>IF(SETUP!$F$29="Upfront",$E$33*'HIV-Other HPs'!AX16,0)</f>
        <v>0</v>
      </c>
      <c r="H34" s="1316">
        <f>IF(SETUP!$F$29="Upfront",$E$33*'HIV-Other HPs'!AY16,0)</f>
        <v>0</v>
      </c>
      <c r="I34" s="1316">
        <f>IF(SETUP!$F$29="Upfront",$E$33*'HIV-Other HPs'!AZ16,0)</f>
        <v>0</v>
      </c>
      <c r="J34" s="1316">
        <f t="shared" si="3"/>
        <v>0</v>
      </c>
      <c r="K34" s="1317">
        <f>IF(SETUP!$F$29="Upfront",$E$33*'HIV-Other HPs'!BA16,0)</f>
        <v>0</v>
      </c>
      <c r="L34" s="1316">
        <f>IF(SETUP!$F$29="Upfront",$E$33*'HIV-Other HPs'!BB16,0)</f>
        <v>0</v>
      </c>
      <c r="M34" s="1316">
        <f>IF(SETUP!$F$29="Upfront",$E$33*'HIV-Other HPs'!BC16,0)</f>
        <v>0</v>
      </c>
      <c r="N34" s="1316">
        <f>IF(SETUP!$F$29="Upfront",$E$33*'HIV-Other HPs'!BD16,0)</f>
        <v>0</v>
      </c>
      <c r="O34" s="1205">
        <f t="shared" si="0"/>
        <v>0</v>
      </c>
      <c r="P34" s="1279">
        <f>IF(SETUP!$F$29="Upfront",$E$33*'HIV-Other HPs'!BE16,0)</f>
        <v>0</v>
      </c>
      <c r="Q34" s="1189">
        <f>IF(SETUP!$F$29="Upfront",$E$33*'HIV-Other HPs'!BF16,0)</f>
        <v>0</v>
      </c>
      <c r="R34" s="1189">
        <f>IF(SETUP!$F$29="Upfront",$E$33*'HIV-Other HPs'!BG16,0)</f>
        <v>0</v>
      </c>
      <c r="S34" s="1189">
        <f>IF(SETUP!$F$29="Upfront",$E$33*'HIV-Other HPs'!BH16,0)</f>
        <v>0</v>
      </c>
      <c r="T34" s="1189">
        <f t="shared" si="1"/>
        <v>0</v>
      </c>
      <c r="U34" s="1279">
        <f t="shared" si="2"/>
        <v>0</v>
      </c>
      <c r="V34" s="1795"/>
      <c r="W34" s="1823"/>
      <c r="X34" s="1799"/>
    </row>
    <row r="35" spans="1:24" s="860" customFormat="1" ht="15" hidden="1" customHeight="1" outlineLevel="1">
      <c r="A35" s="2899"/>
      <c r="B35" s="2900"/>
      <c r="C35" s="2889" t="s">
        <v>36</v>
      </c>
      <c r="D35" s="2912"/>
      <c r="E35" s="1649"/>
      <c r="F35" s="1279">
        <v>0</v>
      </c>
      <c r="G35" s="1316">
        <f>IF(SETUP!$F$29="At delivery",IF(SETUP!$G$29=1,$E$33*'HIV-Other HPs'!AW16,0),0)</f>
        <v>0</v>
      </c>
      <c r="H35" s="1316">
        <f>IF(SETUP!$F$29="At delivery",IF(SETUP!$G$29=2,$E$33*'HIV-Other HPs'!AW16,IF(SETUP!$G$29=1,$E$33*'HIV-Other HPs'!AX16,0)),0)</f>
        <v>0</v>
      </c>
      <c r="I35" s="1316">
        <f>IF(SETUP!$F$29="At delivery",IF(SETUP!$G$29=3,$E$33*'HIV-Other HPs'!AW16,IF(SETUP!$G$29=2,$E$33*'HIV-Other HPs'!AX16,IF(SETUP!$G$29=1,$E$33*'HIV-Other HPs'!AY16,0))),0)</f>
        <v>0</v>
      </c>
      <c r="J35" s="1316">
        <f t="shared" si="3"/>
        <v>0</v>
      </c>
      <c r="K35" s="1317">
        <f>IF(SETUP!$F$29="At delivery",IF(SETUP!$G$29=4,$E$33*'HIV-Other HPs'!AW16,IF(SETUP!$G$29=3,$E$33*'HIV-Other HPs'!AX16,IF(SETUP!$G$29=2,$E$33*'HIV-Other HPs'!AY16,IF(SETUP!$G$29=1,$E$33*'HIV-Other HPs'!AZ16,0)))),0)</f>
        <v>0</v>
      </c>
      <c r="L35" s="1316">
        <f>IF(SETUP!$F$29="At delivery",IF(SETUP!$G$29=4,$E$33*'HIV-Other HPs'!AX16,IF(SETUP!$G$29=3,$E$33*'HIV-Other HPs'!AY16,IF(SETUP!$G$29=2,$E$33*'HIV-Other HPs'!AZ16,IF(SETUP!$G$29=1,$E$33*'HIV-Other HPs'!BA16,0)))),0)</f>
        <v>0</v>
      </c>
      <c r="M35" s="1316">
        <f>IF(SETUP!$F$29="At delivery",IF(SETUP!$G$29=4,$E$33*'HIV-Other HPs'!AY16,IF(SETUP!$G$29=3,$E$33*'HIV-Other HPs'!AZ16,IF(SETUP!$G$29=2,$E$33*'HIV-Other HPs'!BA16,IF(SETUP!$G$29=1,$E$33*'HIV-Other HPs'!BB16,0)))),0)</f>
        <v>0</v>
      </c>
      <c r="N35" s="1316">
        <f>IF(SETUP!$F$29="At delivery",IF(SETUP!$G$29=4,$E$33*'HIV-Other HPs'!AZ16,IF(SETUP!$G$29=3,$E$33*'HIV-Other HPs'!BA16,IF(SETUP!$G$29=2,$E$33*'HIV-Other HPs'!BB16,IF(SETUP!$G$29=1,$E$33*'HIV-Other HPs'!BC16,0)))),0)</f>
        <v>0</v>
      </c>
      <c r="O35" s="1205">
        <f t="shared" si="0"/>
        <v>0</v>
      </c>
      <c r="P35" s="1279">
        <f>IF(SETUP!$F$29="At delivery",IF(SETUP!$G$29=4,$E$33*'HIV-Other HPs'!BA16,IF(SETUP!$G$29=3,$E$33*'HIV-Other HPs'!BB16,IF(SETUP!$G$29=2,$E$33*'HIV-Other HPs'!BC16,IF(SETUP!$G$29=1,$E$33*'HIV-Other HPs'!BD16,0)))),0)</f>
        <v>0</v>
      </c>
      <c r="Q35" s="1189">
        <f>IF(SETUP!$F$29="At delivery",IF(SETUP!$G$29=4,$E$33*'HIV-Other HPs'!BB16,IF(SETUP!$G$29=3,$E$33*'HIV-Other HPs'!BC16,IF(SETUP!$G$29=2,$E$33*'HIV-Other HPs'!BD16,IF(SETUP!$G$29=1,$E$33*'HIV-Other HPs'!BE16,0)))),0)</f>
        <v>0</v>
      </c>
      <c r="R35" s="1189">
        <f>IF(SETUP!$F$29="At delivery",IF(SETUP!$G$29=4,$E$33*'HIV-Other HPs'!BC16,IF(SETUP!$G$29=3,$E$33*'HIV-Other HPs'!BD16,IF(SETUP!$G$29=2,$E$33*'HIV-Other HPs'!BE16,IF(SETUP!$G$29=1,$E$33*'HIV-Other HPs'!BF16,0)))),0)</f>
        <v>0</v>
      </c>
      <c r="S35" s="1189">
        <f>IF(SETUP!$F$29="At delivery",IF(SETUP!$G$29=4,$E$33*('HIV-Other HPs'!BD16+'HIV-Other HPs'!BE16+'HIV-Other HPs'!BF16+'HIV-Other HPs'!BG16+'HIV-Other HPs'!BH16),IF(SETUP!$G$29=3,$E$33*('HIV-Other HPs'!BE16+'HIV-Other HPs'!BF16+'HIV-Other HPs'!BG16+'HIV-Other HPs'!BH16),IF(SETUP!$G$29=2,$E$33*('HIV-Other HPs'!BF16+'HIV-Other HPs'!BG16+'HIV-Other HPs'!BH16),IF(SETUP!$G$29=1,$E$33*('HIV-Other HPs'!BG16+'HIV-Other HPs'!BH16),0)))),0)</f>
        <v>0</v>
      </c>
      <c r="T35" s="1189">
        <f t="shared" si="1"/>
        <v>0</v>
      </c>
      <c r="U35" s="1279">
        <f t="shared" si="2"/>
        <v>0</v>
      </c>
      <c r="V35" s="1795"/>
      <c r="W35" s="1823"/>
      <c r="X35" s="1799"/>
    </row>
    <row r="36" spans="1:24" s="860" customFormat="1" ht="15" customHeight="1" collapsed="1">
      <c r="A36" s="2899"/>
      <c r="B36" s="2900"/>
      <c r="C36" s="2907" t="s">
        <v>1863</v>
      </c>
      <c r="D36" s="2911"/>
      <c r="E36" s="1649">
        <v>1E-4</v>
      </c>
      <c r="F36" s="1279">
        <f>IF(SETUP!$F$30="Upfront",F37,F38)</f>
        <v>0</v>
      </c>
      <c r="G36" s="1316">
        <f>IF(SETUP!$F$30="Upfront",G37,G38)</f>
        <v>0</v>
      </c>
      <c r="H36" s="1316">
        <f>IF(SETUP!$F$30="Upfront",H37,H38)</f>
        <v>0</v>
      </c>
      <c r="I36" s="1316">
        <f>IF(SETUP!$F$30="Upfront",I37,I38)</f>
        <v>0</v>
      </c>
      <c r="J36" s="1316">
        <f t="shared" si="3"/>
        <v>0</v>
      </c>
      <c r="K36" s="1317">
        <f>IF(SETUP!$F$30="Upfront",K37,K38)</f>
        <v>0</v>
      </c>
      <c r="L36" s="1316">
        <f>IF(SETUP!$F$30="Upfront",L37,L38)</f>
        <v>0</v>
      </c>
      <c r="M36" s="1316">
        <f>IF(SETUP!$F$30="Upfront",M37,M38)</f>
        <v>0</v>
      </c>
      <c r="N36" s="1316">
        <f>IF(SETUP!$F$30="Upfront",N37,N38)</f>
        <v>0</v>
      </c>
      <c r="O36" s="1205">
        <f t="shared" si="0"/>
        <v>0</v>
      </c>
      <c r="P36" s="1279">
        <f>IF(SETUP!$F$30="Upfront",P37,P38)</f>
        <v>0</v>
      </c>
      <c r="Q36" s="1189">
        <f>IF(SETUP!$F$30="Upfront",Q37,Q38)</f>
        <v>0</v>
      </c>
      <c r="R36" s="1189">
        <f>IF(SETUP!$F$30="Upfront",R37,R38)</f>
        <v>0</v>
      </c>
      <c r="S36" s="1189">
        <f>IF(SETUP!$F$30="Upfront",S37,S38)</f>
        <v>0</v>
      </c>
      <c r="T36" s="1189">
        <f t="shared" si="1"/>
        <v>0</v>
      </c>
      <c r="U36" s="1279">
        <f t="shared" si="2"/>
        <v>0</v>
      </c>
      <c r="V36" s="1795">
        <v>7.1</v>
      </c>
      <c r="W36" s="1823"/>
      <c r="X36" s="1799"/>
    </row>
    <row r="37" spans="1:24" s="860" customFormat="1" ht="15" hidden="1" customHeight="1" outlineLevel="1">
      <c r="A37" s="2899"/>
      <c r="B37" s="2900"/>
      <c r="C37" s="2889" t="s">
        <v>918</v>
      </c>
      <c r="D37" s="2912"/>
      <c r="E37" s="1649"/>
      <c r="F37" s="1279">
        <f>IF(SETUP!$F$30="Upfront",$E$36*'HIV-Other HPs'!AW17,0)</f>
        <v>0</v>
      </c>
      <c r="G37" s="1316">
        <f>IF(SETUP!$F$30="Upfront",$E$36*'HIV-Other HPs'!AX17,0)</f>
        <v>0</v>
      </c>
      <c r="H37" s="1316">
        <f>IF(SETUP!$F$30="Upfront",$E$36*'HIV-Other HPs'!AY17,0)</f>
        <v>0</v>
      </c>
      <c r="I37" s="1316">
        <f>IF(SETUP!$F$30="Upfront",$E$36*'HIV-Other HPs'!AZ17,0)</f>
        <v>0</v>
      </c>
      <c r="J37" s="1316"/>
      <c r="K37" s="1317">
        <f>IF(SETUP!$F$30="Upfront",$E$36*'HIV-Other HPs'!BA17,0)</f>
        <v>0</v>
      </c>
      <c r="L37" s="1316">
        <f>IF(SETUP!$F$30="Upfront",$E$36*'HIV-Other HPs'!BB17,0)</f>
        <v>0</v>
      </c>
      <c r="M37" s="1316">
        <f>IF(SETUP!$F$30="Upfront",$E$36*'HIV-Other HPs'!BC17,0)</f>
        <v>0</v>
      </c>
      <c r="N37" s="1316">
        <f>IF(SETUP!$F$30="Upfront",$E$36*'HIV-Other HPs'!BD17,0)</f>
        <v>0</v>
      </c>
      <c r="O37" s="1205"/>
      <c r="P37" s="1279">
        <f>IF(SETUP!$F$30="Upfront",$E$36*'HIV-Other HPs'!BE17,0)</f>
        <v>0</v>
      </c>
      <c r="Q37" s="1189">
        <f>IF(SETUP!$F$30="Upfront",$E$36*'HIV-Other HPs'!BF17,0)</f>
        <v>0</v>
      </c>
      <c r="R37" s="1189">
        <f>IF(SETUP!$F$30="Upfront",$E$36*'HIV-Other HPs'!BG17,0)</f>
        <v>0</v>
      </c>
      <c r="S37" s="1189">
        <f>IF(SETUP!$F$30="Upfront",$E$36*'HIV-Other HPs'!BH17,0)</f>
        <v>0</v>
      </c>
      <c r="T37" s="1189"/>
      <c r="U37" s="1279"/>
      <c r="V37" s="1795"/>
      <c r="W37" s="1823"/>
      <c r="X37" s="1799"/>
    </row>
    <row r="38" spans="1:24" s="860" customFormat="1" ht="15" hidden="1" customHeight="1" outlineLevel="1">
      <c r="A38" s="2899"/>
      <c r="B38" s="2900"/>
      <c r="C38" s="2889" t="s">
        <v>36</v>
      </c>
      <c r="D38" s="2912"/>
      <c r="E38" s="1649"/>
      <c r="F38" s="1279">
        <v>0</v>
      </c>
      <c r="G38" s="1316">
        <f>IF(SETUP!$F$30="At delivery",IF(SETUP!$G$30=1,$E$36*'HIV-Other HPs'!AW17,0),0)</f>
        <v>0</v>
      </c>
      <c r="H38" s="1316">
        <f>IF(SETUP!$F$30="At delivery",IF(SETUP!$G$30=2,$E$36*'HIV-Other HPs'!AW17,IF(SETUP!$G$30=1,$E$36*'HIV-Other HPs'!AX17,0)),0)</f>
        <v>0</v>
      </c>
      <c r="I38" s="1316">
        <f>IF(SETUP!$F$30="At delivery",IF(SETUP!$G$30=3,$E$36*'HIV-Other HPs'!AW17,IF(SETUP!$G$30=2,$E$36*'HIV-Other HPs'!AX17,IF(SETUP!$G$30=1,$E$36*'HIV-Other HPs'!AY17,0))),0)</f>
        <v>0</v>
      </c>
      <c r="J38" s="1316"/>
      <c r="K38" s="1317">
        <f>IF(SETUP!$F$30="At delivery",IF(SETUP!$G$30=4,$E$36*'HIV-Other HPs'!AW17,IF(SETUP!$G$30=3,$E$36*'HIV-Other HPs'!AX17,IF(SETUP!$G$30=2,$E$36*'HIV-Other HPs'!AY17,IF(SETUP!$G$30=1,$E$36*'HIV-Other HPs'!AZ17,0)))),0)</f>
        <v>0</v>
      </c>
      <c r="L38" s="1316">
        <f>IF(SETUP!$F$30="At delivery",IF(SETUP!$G$30=4,$E$36*'HIV-Other HPs'!AX17,IF(SETUP!$G$30=3,$E$36*'HIV-Other HPs'!AY17,IF(SETUP!$G$30=2,$E$36*'HIV-Other HPs'!AZ17,IF(SETUP!$G$30=1,$E$36*'HIV-Other HPs'!BA17,0)))),0)</f>
        <v>0</v>
      </c>
      <c r="M38" s="1316">
        <f>IF(SETUP!$F$30="At delivery",IF(SETUP!$G$30=4,$E$36*'HIV-Other HPs'!AY17,IF(SETUP!$G$30=3,$E$36*'HIV-Other HPs'!AZ17,IF(SETUP!$G$30=2,$E$36*'HIV-Other HPs'!BA17,IF(SETUP!$G$30=1,$E$36*'HIV-Other HPs'!BB17,0)))),0)</f>
        <v>0</v>
      </c>
      <c r="N38" s="1316">
        <f>IF(SETUP!$F$30="At delivery",IF(SETUP!$G$30=4,$E$36*'HIV-Other HPs'!AZ17,IF(SETUP!$G$30=3,$E$36*'HIV-Other HPs'!BA17,IF(SETUP!$G$30=2,$E$36*'HIV-Other HPs'!BB17,IF(SETUP!$G$30=1,$E$36*'HIV-Other HPs'!BC17,0)))),0)</f>
        <v>0</v>
      </c>
      <c r="O38" s="1205"/>
      <c r="P38" s="1279">
        <f>IF(SETUP!$F$30="At delivery",IF(SETUP!$G$30=4,$E$36*'HIV-Other HPs'!BA17,IF(SETUP!$G$30=3,$E$36*'HIV-Other HPs'!BB17,IF(SETUP!$G$30=2,$E$36*'HIV-Other HPs'!BC17,IF(SETUP!$G$30=1,$E$36*'HIV-Other HPs'!BD17,0)))),0)</f>
        <v>0</v>
      </c>
      <c r="Q38" s="1189">
        <f>IF(SETUP!$F$30="At delivery",IF(SETUP!$G$30=4,$E$36*'HIV-Other HPs'!BB17,IF(SETUP!$G$30=3,$E$36*'HIV-Other HPs'!BC17,IF(SETUP!$G$30=2,$E$36*'HIV-Other HPs'!BD17,IF(SETUP!$G$30=1,$E$36*'HIV-Other HPs'!BE17,0)))),0)</f>
        <v>0</v>
      </c>
      <c r="R38" s="1189">
        <f>IF(SETUP!$F$30="At delivery",IF(SETUP!$G$30=4,$E$36*'HIV-Other HPs'!BC17,IF(SETUP!$G$30=3,$E$36*'HIV-Other HPs'!BD17,IF(SETUP!$G$30=2,$E$36*'HIV-Other HPs'!BE17,IF(SETUP!$G$30=1,$E$36*'HIV-Other HPs'!BF17,0)))),0)</f>
        <v>0</v>
      </c>
      <c r="S38" s="1189">
        <f>IF(SETUP!$F$30="At delivery",IF(SETUP!$G$30=4,$E$36*('HIV-Other HPs'!BD17+'HIV-Other HPs'!BE17+'HIV-Other HPs'!BF17+'HIV-Other HPs'!BG17+'HIV-Other HPs'!BH17),IF(SETUP!$G$30=3,$E$36*('HIV-Other HPs'!BE17+'HIV-Other HPs'!BF17+'HIV-Other HPs'!BG17+'HIV-Other HPs'!BH17),IF(SETUP!$G$30=2,$E$36*('HIV-Other HPs'!BF17+'HIV-Other HPs'!BG17+'HIV-Other HPs'!BH17),IF(SETUP!$G$30=1,$E$36*('HIV-Other HPs'!BG17+'HIV-Other HPs'!BH17),0)))),0)</f>
        <v>0</v>
      </c>
      <c r="T38" s="1189"/>
      <c r="U38" s="1279"/>
      <c r="V38" s="1795"/>
      <c r="W38" s="1823"/>
      <c r="X38" s="1799"/>
    </row>
    <row r="39" spans="1:24" s="860" customFormat="1" ht="15" customHeight="1" collapsed="1">
      <c r="A39" s="2899"/>
      <c r="B39" s="2900"/>
      <c r="C39" s="2907" t="s">
        <v>1794</v>
      </c>
      <c r="D39" s="2911"/>
      <c r="E39" s="1649">
        <v>1E-4</v>
      </c>
      <c r="F39" s="1279">
        <f>IF(SETUP!$F$31="Upfront",F40,F41)</f>
        <v>0</v>
      </c>
      <c r="G39" s="1316">
        <f>IF(SETUP!$F$31="Upfront",G40,G41)</f>
        <v>0</v>
      </c>
      <c r="H39" s="1316">
        <f>IF(SETUP!$F$31="Upfront",H40,H41)</f>
        <v>0</v>
      </c>
      <c r="I39" s="1316">
        <f>IF(SETUP!$F$31="Upfront",I40,I41)</f>
        <v>0</v>
      </c>
      <c r="J39" s="1316">
        <f t="shared" ref="J39:J70" si="4">F39+G39+H39+I39</f>
        <v>0</v>
      </c>
      <c r="K39" s="1317">
        <f>IF(SETUP!$F$31="Upfront",K40,K41)</f>
        <v>0</v>
      </c>
      <c r="L39" s="1316">
        <f>IF(SETUP!$F$31="Upfront",L40,L41)</f>
        <v>0</v>
      </c>
      <c r="M39" s="1316">
        <f>IF(SETUP!$F$31="Upfront",M40,M41)</f>
        <v>0</v>
      </c>
      <c r="N39" s="1316">
        <f>IF(SETUP!$F$31="Upfront",N40,N41)</f>
        <v>0</v>
      </c>
      <c r="O39" s="1205">
        <f t="shared" ref="O39:O70" si="5">K39+L39+M39+N39</f>
        <v>0</v>
      </c>
      <c r="P39" s="1279">
        <f>IF(SETUP!$F$31="Upfront",P40,P41)</f>
        <v>0</v>
      </c>
      <c r="Q39" s="1189">
        <f>IF(SETUP!$F$31="Upfront",Q40,Q41)</f>
        <v>0</v>
      </c>
      <c r="R39" s="1189">
        <f>IF(SETUP!$F$31="Upfront",R40,R41)</f>
        <v>0</v>
      </c>
      <c r="S39" s="1189">
        <f>IF(SETUP!$F$31="Upfront",S40,S41)</f>
        <v>0</v>
      </c>
      <c r="T39" s="1189">
        <f t="shared" ref="T39:T70" si="6">P39+Q39+R39+S39</f>
        <v>0</v>
      </c>
      <c r="U39" s="1279">
        <f t="shared" ref="U39:U70" si="7">J39+O39+T39</f>
        <v>0</v>
      </c>
      <c r="V39" s="1795">
        <v>7.1</v>
      </c>
      <c r="W39" s="1823"/>
      <c r="X39" s="1799"/>
    </row>
    <row r="40" spans="1:24" s="860" customFormat="1" ht="15" hidden="1" customHeight="1" outlineLevel="1">
      <c r="A40" s="2899"/>
      <c r="B40" s="2900"/>
      <c r="C40" s="2889" t="s">
        <v>918</v>
      </c>
      <c r="D40" s="2912"/>
      <c r="E40" s="1649"/>
      <c r="F40" s="1279">
        <f>IF(SETUP!$F$31="Upfront",$E$39*'HIV-Other HPs'!AW18,0)</f>
        <v>0</v>
      </c>
      <c r="G40" s="1316">
        <f>IF(SETUP!$F$31="Upfront",$E$39*'HIV-Other HPs'!AX18,0)</f>
        <v>0</v>
      </c>
      <c r="H40" s="1316">
        <f>IF(SETUP!$F$31="Upfront",$E$39*'HIV-Other HPs'!AY18,0)</f>
        <v>0</v>
      </c>
      <c r="I40" s="1316">
        <f>IF(SETUP!$F$31="Upfront",$E$39*'HIV-Other HPs'!AZ18,0)</f>
        <v>0</v>
      </c>
      <c r="J40" s="1316">
        <f t="shared" si="4"/>
        <v>0</v>
      </c>
      <c r="K40" s="1317">
        <f>IF(SETUP!$F$31="Upfront",$E$39*'HIV-Other HPs'!BA18,0)</f>
        <v>0</v>
      </c>
      <c r="L40" s="1316">
        <f>IF(SETUP!$F$31="Upfront",$E$39*'HIV-Other HPs'!BB18,0)</f>
        <v>0</v>
      </c>
      <c r="M40" s="1316">
        <f>IF(SETUP!$F$31="Upfront",$E$39*'HIV-Other HPs'!BC18,0)</f>
        <v>0</v>
      </c>
      <c r="N40" s="1316">
        <f>IF(SETUP!$F$31="Upfront",$E$39*'HIV-Other HPs'!BD18,0)</f>
        <v>0</v>
      </c>
      <c r="O40" s="1205">
        <f t="shared" si="5"/>
        <v>0</v>
      </c>
      <c r="P40" s="1279">
        <f>IF(SETUP!$F$31="Upfront",$E$39*'HIV-Other HPs'!BE18,0)</f>
        <v>0</v>
      </c>
      <c r="Q40" s="1189">
        <f>IF(SETUP!$F$31="Upfront",$E$39*'HIV-Other HPs'!BF18,0)</f>
        <v>0</v>
      </c>
      <c r="R40" s="1189">
        <f>IF(SETUP!$F$31="Upfront",$E$39*'HIV-Other HPs'!BG18,0)</f>
        <v>0</v>
      </c>
      <c r="S40" s="1189">
        <f>IF(SETUP!$F$31="Upfront",$E$39*'HIV-Other HPs'!BH18,0)</f>
        <v>0</v>
      </c>
      <c r="T40" s="1189">
        <f t="shared" si="6"/>
        <v>0</v>
      </c>
      <c r="U40" s="1279">
        <f t="shared" si="7"/>
        <v>0</v>
      </c>
      <c r="V40" s="1795"/>
      <c r="W40" s="1823"/>
      <c r="X40" s="1799"/>
    </row>
    <row r="41" spans="1:24" s="860" customFormat="1" ht="15" hidden="1" customHeight="1" outlineLevel="1">
      <c r="A41" s="2899"/>
      <c r="B41" s="2900"/>
      <c r="C41" s="2889" t="s">
        <v>36</v>
      </c>
      <c r="D41" s="2912"/>
      <c r="E41" s="1649"/>
      <c r="F41" s="1279">
        <v>0</v>
      </c>
      <c r="G41" s="1316">
        <f>IF(SETUP!$F$31="At delivery",IF(SETUP!$G$31=1,$E$39*'HIV-Other HPs'!AW18,0),0)</f>
        <v>0</v>
      </c>
      <c r="H41" s="1316">
        <f>IF(SETUP!$F$31="At delivery",IF(SETUP!$G$31=2,$E$39*'HIV-Other HPs'!AW18,IF(SETUP!$G$31=1,$E$39*'HIV-Other HPs'!AX18,0)),0)</f>
        <v>0</v>
      </c>
      <c r="I41" s="1316">
        <f>IF(SETUP!$F$31="At delivery",IF(SETUP!$G$31=3,$E$39*'HIV-Other HPs'!AW18,IF(SETUP!$G$31=2,$E$39*'HIV-Other HPs'!AX18,IF(SETUP!$G$31=1,$E$39*'HIV-Other HPs'!AY18,0))),0)</f>
        <v>0</v>
      </c>
      <c r="J41" s="1316">
        <f t="shared" si="4"/>
        <v>0</v>
      </c>
      <c r="K41" s="1317">
        <f>IF(SETUP!$F$31="At delivery",IF(SETUP!$G$31=4,$E$39*'HIV-Other HPs'!AW18,IF(SETUP!$G$31=3,$E$39*'HIV-Other HPs'!AX18,IF(SETUP!$G$31=2,$E$39*'HIV-Other HPs'!AY18,IF(SETUP!$G$31=1,$E$39*'HIV-Other HPs'!AZ18,0)))),0)</f>
        <v>0</v>
      </c>
      <c r="L41" s="1316">
        <f>IF(SETUP!$F$31="At delivery",IF(SETUP!$G$31=4,$E$39*'HIV-Other HPs'!AX18,IF(SETUP!$G$31=3,$E$39*'HIV-Other HPs'!AY18,IF(SETUP!$G$31=2,$E$39*'HIV-Other HPs'!AZ18,IF(SETUP!$G$31=1,$E$39*'HIV-Other HPs'!BA18,0)))),0)</f>
        <v>0</v>
      </c>
      <c r="M41" s="1316">
        <f>IF(SETUP!$F$31="At delivery",IF(SETUP!$G$31=4,$E$39*'HIV-Other HPs'!AY18,IF(SETUP!$G$31=3,$E$39*'HIV-Other HPs'!AZ18,IF(SETUP!$G$31=2,$E$39*'HIV-Other HPs'!BA18,IF(SETUP!$G$31=1,$E$39*'HIV-Other HPs'!BB18,0)))),0)</f>
        <v>0</v>
      </c>
      <c r="N41" s="1316">
        <f>IF(SETUP!$F$31="At delivery",IF(SETUP!$G$31=4,$E$39*'HIV-Other HPs'!AZ18,IF(SETUP!$G$31=3,$E$39*'HIV-Other HPs'!BA18,IF(SETUP!$G$31=2,$E$39*'HIV-Other HPs'!BB18,IF(SETUP!$G$31=1,$E$39*'HIV-Other HPs'!BC18,0)))),0)</f>
        <v>0</v>
      </c>
      <c r="O41" s="1205">
        <f t="shared" si="5"/>
        <v>0</v>
      </c>
      <c r="P41" s="1279">
        <f>IF(SETUP!$F$31="At delivery",IF(SETUP!$G$31=4,$E$39*'HIV-Other HPs'!BA18,IF(SETUP!$G$31=3,$E$39*'HIV-Other HPs'!BB18,IF(SETUP!$G$31=2,$E$39*'HIV-Other HPs'!BC18,IF(SETUP!$G$31=1,$E$39*'HIV-Other HPs'!BD18,0)))),0)</f>
        <v>0</v>
      </c>
      <c r="Q41" s="1189">
        <f>IF(SETUP!$F$31="At delivery",IF(SETUP!$G$31=4,$E$39*'HIV-Other HPs'!BB18,IF(SETUP!$G$31=3,$E$39*'HIV-Other HPs'!BC18,IF(SETUP!$G$31=2,$E$39*'HIV-Other HPs'!BD18,IF(SETUP!$G$31=1,$E$39*'HIV-Other HPs'!BE18,0)))),0)</f>
        <v>0</v>
      </c>
      <c r="R41" s="1189">
        <f>IF(SETUP!$F$31="At delivery",IF(SETUP!$G$31=4,$E$39*'HIV-Other HPs'!BC18,IF(SETUP!$G$31=3,$E$39*'HIV-Other HPs'!BD18,IF(SETUP!$G$31=2,$E$39*'HIV-Other HPs'!BE18,IF(SETUP!$G$31=1,$E$39*'HIV-Other HPs'!BF18,0)))),0)</f>
        <v>0</v>
      </c>
      <c r="S41" s="1189">
        <f>IF(SETUP!$F$31="At delivery",IF(SETUP!$G$31=4,$E$39*('HIV-Other HPs'!BD18+'HIV-Other HPs'!BE18+'HIV-Other HPs'!BF18+'HIV-Other HPs'!BG18+'HIV-Other HPs'!BH18),IF(SETUP!$G$31=3,$E$39*('HIV-Other HPs'!BE18+'HIV-Other HPs'!BF18+'HIV-Other HPs'!BG18+'HIV-Other HPs'!BH18),IF(SETUP!$G$31=2,$E$39*('HIV-Other HPs'!BF18+'HIV-Other HPs'!BG18+'HIV-Other HPs'!BH18),IF(SETUP!$G$31=1,$E$39*('HIV-Other HPs'!BG18+'HIV-Other HPs'!BH18),0)))),0)</f>
        <v>0</v>
      </c>
      <c r="T41" s="1189">
        <f t="shared" si="6"/>
        <v>0</v>
      </c>
      <c r="U41" s="1279">
        <f t="shared" si="7"/>
        <v>0</v>
      </c>
      <c r="V41" s="1795"/>
      <c r="W41" s="1823"/>
      <c r="X41" s="1799"/>
    </row>
    <row r="42" spans="1:24" s="860" customFormat="1" ht="15" customHeight="1" collapsed="1">
      <c r="A42" s="2899"/>
      <c r="B42" s="2900"/>
      <c r="C42" s="2907" t="s">
        <v>568</v>
      </c>
      <c r="D42" s="2911"/>
      <c r="E42" s="1649">
        <v>1E-4</v>
      </c>
      <c r="F42" s="1279">
        <f>IF(SETUP!$F$32="Upfront",F43,F44)</f>
        <v>0</v>
      </c>
      <c r="G42" s="1316">
        <f>IF(SETUP!$F$32="Upfront",G43,G44)</f>
        <v>0</v>
      </c>
      <c r="H42" s="1316">
        <f>IF(SETUP!$F$32="Upfront",H43,H44)</f>
        <v>0</v>
      </c>
      <c r="I42" s="1316">
        <f>IF(SETUP!$F$32="Upfront",I43,I44)</f>
        <v>0</v>
      </c>
      <c r="J42" s="1316">
        <f t="shared" si="4"/>
        <v>0</v>
      </c>
      <c r="K42" s="1317">
        <f>IF(SETUP!$F$32="Upfront",K43,K44)</f>
        <v>0</v>
      </c>
      <c r="L42" s="1316">
        <f>IF(SETUP!$F$32="Upfront",L43,L44)</f>
        <v>0</v>
      </c>
      <c r="M42" s="1316">
        <f>IF(SETUP!$F$32="Upfront",M43,M44)</f>
        <v>0</v>
      </c>
      <c r="N42" s="1316">
        <f>IF(SETUP!$F$32="Upfront",N43,N44)</f>
        <v>0</v>
      </c>
      <c r="O42" s="1205">
        <f t="shared" si="5"/>
        <v>0</v>
      </c>
      <c r="P42" s="1279">
        <f>IF(SETUP!$F$32="Upfront",P43,P44)</f>
        <v>0</v>
      </c>
      <c r="Q42" s="1189">
        <f>IF(SETUP!$F$32="Upfront",Q43,Q44)</f>
        <v>0</v>
      </c>
      <c r="R42" s="1189">
        <f>IF(SETUP!$F$32="Upfront",R43,R44)</f>
        <v>0</v>
      </c>
      <c r="S42" s="1189">
        <f>IF(SETUP!$F$32="Upfront",S43,S44)</f>
        <v>0</v>
      </c>
      <c r="T42" s="1189">
        <f t="shared" si="6"/>
        <v>0</v>
      </c>
      <c r="U42" s="1279">
        <f t="shared" si="7"/>
        <v>0</v>
      </c>
      <c r="V42" s="1795">
        <v>7.1</v>
      </c>
      <c r="W42" s="1823"/>
      <c r="X42" s="1800"/>
    </row>
    <row r="43" spans="1:24" s="860" customFormat="1" ht="15" hidden="1" customHeight="1" outlineLevel="1">
      <c r="A43" s="2899"/>
      <c r="B43" s="2900"/>
      <c r="C43" s="2889" t="s">
        <v>918</v>
      </c>
      <c r="D43" s="2912"/>
      <c r="E43" s="1649"/>
      <c r="F43" s="1279">
        <f>IF(SETUP!$F$32="Upfront",$E$42*'HIV-Other HPs'!AW19,0)</f>
        <v>0</v>
      </c>
      <c r="G43" s="1316">
        <f>IF(SETUP!$F$32="Upfront",$E$42*'HIV-Other HPs'!AX19,0)</f>
        <v>0</v>
      </c>
      <c r="H43" s="1316">
        <f>IF(SETUP!$F$32="Upfront",$E$42*'HIV-Other HPs'!AY19,0)</f>
        <v>0</v>
      </c>
      <c r="I43" s="1316">
        <f>IF(SETUP!$F$32="Upfront",$E$42*'HIV-Other HPs'!AZ19,0)</f>
        <v>0</v>
      </c>
      <c r="J43" s="1316">
        <f t="shared" si="4"/>
        <v>0</v>
      </c>
      <c r="K43" s="1317">
        <f>IF(SETUP!$F$32="Upfront",$E$42*'HIV-Other HPs'!BA19,0)</f>
        <v>0</v>
      </c>
      <c r="L43" s="1316">
        <f>IF(SETUP!$F$32="Upfront",$E$42*'HIV-Other HPs'!BB19,0)</f>
        <v>0</v>
      </c>
      <c r="M43" s="1316">
        <f>IF(SETUP!$F$32="Upfront",$E$42*'HIV-Other HPs'!BC19,0)</f>
        <v>0</v>
      </c>
      <c r="N43" s="1316">
        <f>IF(SETUP!$F$32="Upfront",$E$42*'HIV-Other HPs'!BD19,0)</f>
        <v>0</v>
      </c>
      <c r="O43" s="1205">
        <f t="shared" si="5"/>
        <v>0</v>
      </c>
      <c r="P43" s="1279">
        <f>IF(SETUP!$F$32="Upfront",$E$42*'HIV-Other HPs'!BE19,0)</f>
        <v>0</v>
      </c>
      <c r="Q43" s="1189">
        <f>IF(SETUP!$F$32="Upfront",$E$42*'HIV-Other HPs'!BF19,0)</f>
        <v>0</v>
      </c>
      <c r="R43" s="1189">
        <f>IF(SETUP!$F$32="Upfront",$E$42*'HIV-Other HPs'!BG19,0)</f>
        <v>0</v>
      </c>
      <c r="S43" s="1189">
        <f>IF(SETUP!$F$32="Upfront",$E$42*'HIV-Other HPs'!BH19,0)</f>
        <v>0</v>
      </c>
      <c r="T43" s="1189">
        <f t="shared" si="6"/>
        <v>0</v>
      </c>
      <c r="U43" s="1279">
        <f t="shared" si="7"/>
        <v>0</v>
      </c>
      <c r="V43" s="1795"/>
      <c r="W43" s="1823"/>
      <c r="X43" s="1799"/>
    </row>
    <row r="44" spans="1:24" s="860" customFormat="1" ht="15" hidden="1" customHeight="1" outlineLevel="1">
      <c r="A44" s="2899"/>
      <c r="B44" s="2900"/>
      <c r="C44" s="2889" t="s">
        <v>36</v>
      </c>
      <c r="D44" s="2912"/>
      <c r="E44" s="1649"/>
      <c r="F44" s="1279">
        <v>0</v>
      </c>
      <c r="G44" s="1316">
        <f>IF(SETUP!$F$32="At delivery",IF(SETUP!$G$32=1,$E$42*'HIV-Other HPs'!AW19,0),0)</f>
        <v>0</v>
      </c>
      <c r="H44" s="1316">
        <f>IF(SETUP!$F$32="At delivery",IF(SETUP!$G$32=2,$E$42*'HIV-Other HPs'!AW19,IF(SETUP!$G$32=1,$E$42*'HIV-Other HPs'!AX19,0)),0)</f>
        <v>0</v>
      </c>
      <c r="I44" s="1316">
        <f>IF(SETUP!$F$32="At delivery",IF(SETUP!$G$32=3,$E$42*'HIV-Other HPs'!AW19,IF(SETUP!$G$32=2,$E$42*'HIV-Other HPs'!AX19,IF(SETUP!$G$32=1,$E$42*'HIV-Other HPs'!AY19,0))),0)</f>
        <v>0</v>
      </c>
      <c r="J44" s="1316">
        <f t="shared" si="4"/>
        <v>0</v>
      </c>
      <c r="K44" s="1317">
        <f>IF(SETUP!$F$32="At delivery",IF(SETUP!$G$32=4,$E$42*'HIV-Other HPs'!AW19,IF(SETUP!$G$32=3,$E$42*'HIV-Other HPs'!AX19,IF(SETUP!$G$32=2,$E$42*'HIV-Other HPs'!AY19,IF(SETUP!$G$32=1,$E$42*'HIV-Other HPs'!AZ19,0)))),0)</f>
        <v>0</v>
      </c>
      <c r="L44" s="1316">
        <f>IF(SETUP!$F$32="At delivery",IF(SETUP!$G$32=4,$E$42*'HIV-Other HPs'!AX19,IF(SETUP!$G$32=3,$E$42*'HIV-Other HPs'!AY19,IF(SETUP!$G$32=2,$E$42*'HIV-Other HPs'!AZ19,IF(SETUP!$G$32=1,$E$42*'HIV-Other HPs'!BA19,0)))),0)</f>
        <v>0</v>
      </c>
      <c r="M44" s="1316">
        <f>IF(SETUP!$F$32="At delivery",IF(SETUP!$G$32=4,$E$42*'HIV-Other HPs'!AY19,IF(SETUP!$G$32=3,$E$42*'HIV-Other HPs'!AZ19,IF(SETUP!$G$32=2,$E$42*'HIV-Other HPs'!BA19,IF(SETUP!$G$32=1,$E$42*'HIV-Other HPs'!BB19,0)))),0)</f>
        <v>0</v>
      </c>
      <c r="N44" s="1316">
        <f>IF(SETUP!$F$32="At delivery",IF(SETUP!$G$32=4,$E$42*'HIV-Other HPs'!AZ19,IF(SETUP!$G$32=3,$E$42*'HIV-Other HPs'!BA19,IF(SETUP!$G$32=2,$E$42*'HIV-Other HPs'!BB19,IF(SETUP!$G$32=1,$E$42*'HIV-Other HPs'!BC19,0)))),0)</f>
        <v>0</v>
      </c>
      <c r="O44" s="1205">
        <f t="shared" si="5"/>
        <v>0</v>
      </c>
      <c r="P44" s="1279">
        <f>IF(SETUP!$F$32="At delivery",IF(SETUP!$G$32=4,$E$42*'HIV-Other HPs'!BA19,IF(SETUP!$G$32=3,$E$42*'HIV-Other HPs'!BB19,IF(SETUP!$G$32=2,$E$42*'HIV-Other HPs'!BC19,IF(SETUP!$G$32=1,$E$42*'HIV-Other HPs'!BD19,0)))),0)</f>
        <v>0</v>
      </c>
      <c r="Q44" s="1189">
        <f>IF(SETUP!$F$32="At delivery",IF(SETUP!$G$32=4,$E$42*'HIV-Other HPs'!BB19,IF(SETUP!$G$32=3,$E$42*'HIV-Other HPs'!BC19,IF(SETUP!$G$32=2,$E$42*'HIV-Other HPs'!BD19,IF(SETUP!$G$32=1,$E$42*'HIV-Other HPs'!BE19,0)))),0)</f>
        <v>0</v>
      </c>
      <c r="R44" s="1189">
        <f>IF(SETUP!$F$32="At delivery",IF(SETUP!$G$32=4,$E$42*'HIV-Other HPs'!BC19,IF(SETUP!$G$32=3,$E$42*'HIV-Other HPs'!BD19,IF(SETUP!$G$32=2,$E$42*'HIV-Other HPs'!BE19,IF(SETUP!$G$32=1,$E$42*'HIV-Other HPs'!BF19,0)))),0)</f>
        <v>0</v>
      </c>
      <c r="S44" s="1189">
        <f>IF(SETUP!$F$32="At delivery",IF(SETUP!$G$32=4,$E$42*('HIV-Other HPs'!BD19+'HIV-Other HPs'!BE19+'HIV-Other HPs'!BF19+'HIV-Other HPs'!BG19+'HIV-Other HPs'!BH19),IF(SETUP!$G$32=3,$E$42*('HIV-Other HPs'!BE19+'HIV-Other HPs'!BF19+'HIV-Other HPs'!BG19+'HIV-Other HPs'!BH19),IF(SETUP!$G$32=2,$E$42*('HIV-Other HPs'!BF19+'HIV-Other HPs'!BG19+'HIV-Other HPs'!BH19),IF(SETUP!$G$32=1,$E$42*('HIV-Other HPs'!BG19+'HIV-Other HPs'!BH19),0)))),0)</f>
        <v>0</v>
      </c>
      <c r="T44" s="1189">
        <f t="shared" si="6"/>
        <v>0</v>
      </c>
      <c r="U44" s="1279">
        <f t="shared" si="7"/>
        <v>0</v>
      </c>
      <c r="V44" s="1795"/>
      <c r="W44" s="1823"/>
      <c r="X44" s="1799"/>
    </row>
    <row r="45" spans="1:24" s="860" customFormat="1" ht="15" customHeight="1" collapsed="1" thickBot="1">
      <c r="A45" s="2899"/>
      <c r="B45" s="2900"/>
      <c r="C45" s="2973" t="s">
        <v>1795</v>
      </c>
      <c r="D45" s="2923"/>
      <c r="E45" s="1649">
        <v>1E-4</v>
      </c>
      <c r="F45" s="1279">
        <f>IF(SETUP!$F$33="Upfront",F46,F47)</f>
        <v>0</v>
      </c>
      <c r="G45" s="1316">
        <f>IF(SETUP!$F$33="Upfront",G46,G47)</f>
        <v>0</v>
      </c>
      <c r="H45" s="1316">
        <f>IF(SETUP!$F$33="Upfront",H46,H47)</f>
        <v>0</v>
      </c>
      <c r="I45" s="1316">
        <f>IF(SETUP!$F$33="Upfront",I46,I47)</f>
        <v>0</v>
      </c>
      <c r="J45" s="1316">
        <f t="shared" si="4"/>
        <v>0</v>
      </c>
      <c r="K45" s="1317">
        <f>IF(SETUP!$F$33="Upfront",K46,K47)</f>
        <v>0</v>
      </c>
      <c r="L45" s="1316">
        <f>IF(SETUP!$F$33="Upfront",L46,L47)</f>
        <v>0</v>
      </c>
      <c r="M45" s="1316">
        <f>IF(SETUP!$F$33="Upfront",M46,M47)</f>
        <v>0</v>
      </c>
      <c r="N45" s="1316">
        <f>IF(SETUP!$F$33="Upfront",N46,N47)</f>
        <v>0</v>
      </c>
      <c r="O45" s="1205">
        <f t="shared" si="5"/>
        <v>0</v>
      </c>
      <c r="P45" s="1279">
        <f>IF(SETUP!$F$33="Upfront",P46,P47)</f>
        <v>0</v>
      </c>
      <c r="Q45" s="1189">
        <f>IF(SETUP!$F$33="Upfront",Q46,Q47)</f>
        <v>0</v>
      </c>
      <c r="R45" s="1189">
        <f>IF(SETUP!$F$33="Upfront",R46,R47)</f>
        <v>0</v>
      </c>
      <c r="S45" s="1189">
        <f>IF(SETUP!$F$33="Upfront",S46,S47)</f>
        <v>0</v>
      </c>
      <c r="T45" s="1189">
        <f t="shared" si="6"/>
        <v>0</v>
      </c>
      <c r="U45" s="1279">
        <f t="shared" si="7"/>
        <v>0</v>
      </c>
      <c r="V45" s="1795">
        <v>7.1</v>
      </c>
      <c r="W45" s="1823"/>
      <c r="X45" s="1799"/>
    </row>
    <row r="46" spans="1:24" s="860" customFormat="1" ht="15" hidden="1" customHeight="1" outlineLevel="1">
      <c r="A46" s="2899"/>
      <c r="B46" s="2900"/>
      <c r="C46" s="2889" t="s">
        <v>918</v>
      </c>
      <c r="D46" s="2912"/>
      <c r="E46" s="1649"/>
      <c r="F46" s="1279">
        <f>IF(SETUP!$F$33="Upfront",$E$45*'HIV-Other HPs'!AW20,0)</f>
        <v>0</v>
      </c>
      <c r="G46" s="1316">
        <f>IF(SETUP!$F$33="Upfront",$E$45*'HIV-Other HPs'!AX20,0)</f>
        <v>0</v>
      </c>
      <c r="H46" s="1316">
        <f>IF(SETUP!$F$33="Upfront",$E$45*'HIV-Other HPs'!AY20,0)</f>
        <v>0</v>
      </c>
      <c r="I46" s="1316">
        <f>IF(SETUP!$F$33="Upfront",$E$45*'HIV-Other HPs'!AZ20,0)</f>
        <v>0</v>
      </c>
      <c r="J46" s="1316">
        <f t="shared" si="4"/>
        <v>0</v>
      </c>
      <c r="K46" s="1317">
        <f>IF(SETUP!$F$33="Upfront",$E$45*'HIV-Other HPs'!BA20,0)</f>
        <v>0</v>
      </c>
      <c r="L46" s="1316">
        <f>IF(SETUP!$F$33="Upfront",$E$45*'HIV-Other HPs'!BB20,0)</f>
        <v>0</v>
      </c>
      <c r="M46" s="1316">
        <f>IF(SETUP!$F$33="Upfront",$E$45*'HIV-Other HPs'!BC20,0)</f>
        <v>0</v>
      </c>
      <c r="N46" s="1316">
        <f>IF(SETUP!$F$33="Upfront",$E$45*'HIV-Other HPs'!BD20,0)</f>
        <v>0</v>
      </c>
      <c r="O46" s="1205">
        <f t="shared" si="5"/>
        <v>0</v>
      </c>
      <c r="P46" s="1279">
        <f>IF(SETUP!$F$33="Upfront",$E$45*'HIV-Other HPs'!BE20,0)</f>
        <v>0</v>
      </c>
      <c r="Q46" s="1189">
        <f>IF(SETUP!$F$33="Upfront",$E$45*'HIV-Other HPs'!BF20,0)</f>
        <v>0</v>
      </c>
      <c r="R46" s="1189">
        <f>IF(SETUP!$F$33="Upfront",$E$45*'HIV-Other HPs'!BG20,0)</f>
        <v>0</v>
      </c>
      <c r="S46" s="1189">
        <f>IF(SETUP!$F$33="Upfront",$E$45*'HIV-Other HPs'!BH20,0)</f>
        <v>0</v>
      </c>
      <c r="T46" s="1189">
        <f t="shared" si="6"/>
        <v>0</v>
      </c>
      <c r="U46" s="1279">
        <f t="shared" si="7"/>
        <v>0</v>
      </c>
      <c r="V46" s="1795">
        <v>7.1</v>
      </c>
      <c r="W46" s="1823"/>
      <c r="X46" s="1799"/>
    </row>
    <row r="47" spans="1:24" s="860" customFormat="1" ht="15" hidden="1" customHeight="1" outlineLevel="1">
      <c r="A47" s="2901"/>
      <c r="B47" s="2902"/>
      <c r="C47" s="2889" t="s">
        <v>36</v>
      </c>
      <c r="D47" s="2912"/>
      <c r="E47" s="1649"/>
      <c r="F47" s="1279">
        <v>0</v>
      </c>
      <c r="G47" s="1316">
        <f>IF(SETUP!$F$33="At delivery",IF(SETUP!$G$33=1,$E$45*'HIV-Other HPs'!AW20,0),0)</f>
        <v>0</v>
      </c>
      <c r="H47" s="1316">
        <f>IF(SETUP!$F$33="At delivery",IF(SETUP!$G$33=2,$E$45*'HIV-Other HPs'!AW20,IF(SETUP!$G$33=1,$E$45*'HIV-Other HPs'!AX20,0)),0)</f>
        <v>0</v>
      </c>
      <c r="I47" s="1316">
        <f>IF(SETUP!$F$33="At delivery",IF(SETUP!$G$33=3,$E$45*'HIV-Other HPs'!AW20,IF(SETUP!$G$33=2,$E$45*'HIV-Other HPs'!AX20,IF(SETUP!$G$33=1,$E$45*'HIV-Other HPs'!AY20,0))),0)</f>
        <v>0</v>
      </c>
      <c r="J47" s="1316">
        <f t="shared" si="4"/>
        <v>0</v>
      </c>
      <c r="K47" s="1317">
        <f>IF(SETUP!$F$33="At delivery",IF(SETUP!$G$33=4,$E$45*'HIV-Other HPs'!AW20,IF(SETUP!$G$33=3,$E$45*'HIV-Other HPs'!AX20,IF(SETUP!$G$33=2,$E$45*'HIV-Other HPs'!AY20,IF(SETUP!$G$33=1,$E$45*'HIV-Other HPs'!AZ20,0)))),0)</f>
        <v>0</v>
      </c>
      <c r="L47" s="1316">
        <f>IF(SETUP!$F$33="At delivery",IF(SETUP!$G$33=4,$E$45*'HIV-Other HPs'!AX20,IF(SETUP!$G$33=3,$E$45*'HIV-Other HPs'!AY20,IF(SETUP!$G$33=2,$E$45*'HIV-Other HPs'!AZ20,IF(SETUP!$G$33=1,$E$45*'HIV-Other HPs'!BA20,0)))),0)</f>
        <v>0</v>
      </c>
      <c r="M47" s="1316">
        <f>IF(SETUP!$F$33="At delivery",IF(SETUP!$G$33=4,$E$45*'HIV-Other HPs'!AY20,IF(SETUP!$G$33=3,$E$45*'HIV-Other HPs'!AZ20,IF(SETUP!$G$33=2,$E$45*'HIV-Other HPs'!BA20,IF(SETUP!$G$33=1,$E$45*'HIV-Other HPs'!BB20,0)))),0)</f>
        <v>0</v>
      </c>
      <c r="N47" s="1316">
        <f>IF(SETUP!$F$33="At delivery",IF(SETUP!$G$33=4,$E$45*'HIV-Other HPs'!AZ20,IF(SETUP!$G$33=3,$E$45*'HIV-Other HPs'!BA20,IF(SETUP!$G$33=2,$E$45*'HIV-Other HPs'!BB20,IF(SETUP!$G$33=1,$E$45*'HIV-Other HPs'!BC20,0)))),0)</f>
        <v>0</v>
      </c>
      <c r="O47" s="1205">
        <f t="shared" si="5"/>
        <v>0</v>
      </c>
      <c r="P47" s="1279">
        <f>IF(SETUP!$F$33="At delivery",IF(SETUP!$G$33=4,$E$45*'HIV-Other HPs'!BA20,IF(SETUP!$G$33=3,$E$45*'HIV-Other HPs'!BB20,IF(SETUP!$G$33=2,$E$45*'HIV-Other HPs'!BC20,IF(SETUP!$G$33=1,$E$45*'HIV-Other HPs'!BD20,0)))),0)</f>
        <v>0</v>
      </c>
      <c r="Q47" s="1189">
        <f>IF(SETUP!$F$33="At delivery",IF(SETUP!$G$33=4,$E$45*'HIV-Other HPs'!BB20,IF(SETUP!$G$33=3,$E$45*'HIV-Other HPs'!BC20,IF(SETUP!$G$33=2,$E$45*'HIV-Other HPs'!BD20,IF(SETUP!$G$33=1,$E$45*'HIV-Other HPs'!BE20,0)))),0)</f>
        <v>0</v>
      </c>
      <c r="R47" s="1189">
        <f>IF(SETUP!$F$33="At delivery",IF(SETUP!$G$33=4,$E$45*'HIV-Other HPs'!BC20,IF(SETUP!$G$33=3,$E$45*'HIV-Other HPs'!BD20,IF(SETUP!$G$33=2,$E$45*'HIV-Other HPs'!BE20,IF(SETUP!$G$33=1,$E$45*'HIV-Other HPs'!BF20,0)))),0)</f>
        <v>0</v>
      </c>
      <c r="S47" s="1189">
        <f>IF(SETUP!$F$33="At delivery",IF(SETUP!$G$33=4,$E$45*('HIV-Other HPs'!BD20+'HIV-Other HPs'!BE20+'HIV-Other HPs'!BF20+'HIV-Other HPs'!BG20+'HIV-Other HPs'!BH20),IF(SETUP!$G$33=3,$E$45*('HIV-Other HPs'!BE20+'HIV-Other HPs'!BF20+'HIV-Other HPs'!BG20+'HIV-Other HPs'!BH20),IF(SETUP!$G$33=2,$E$45*('HIV-Other HPs'!BF20+'HIV-Other HPs'!BG20+'HIV-Other HPs'!BH20),IF(SETUP!$G$33=1,$E$45*('HIV-Other HPs'!BG20+'HIV-Other HPs'!BH20),0)))),0)</f>
        <v>0</v>
      </c>
      <c r="T47" s="1189">
        <f t="shared" si="6"/>
        <v>0</v>
      </c>
      <c r="U47" s="1279">
        <f t="shared" si="7"/>
        <v>0</v>
      </c>
      <c r="V47" s="1795">
        <v>7.1</v>
      </c>
      <c r="W47" s="1823"/>
      <c r="X47" s="1799"/>
    </row>
    <row r="48" spans="1:24" s="860" customFormat="1" ht="15" hidden="1" customHeight="1" collapsed="1">
      <c r="A48" s="2917" t="s">
        <v>569</v>
      </c>
      <c r="B48" s="2918"/>
      <c r="C48" s="2911" t="s">
        <v>570</v>
      </c>
      <c r="D48" s="2911"/>
      <c r="E48" s="1649">
        <v>1E-4</v>
      </c>
      <c r="F48" s="1279">
        <f>IF(SETUP!$F$36="Upfront",F49,F50)</f>
        <v>0</v>
      </c>
      <c r="G48" s="1316">
        <f>IF(SETUP!$F$36="Upfront",G49,G50)</f>
        <v>0</v>
      </c>
      <c r="H48" s="1316">
        <f>IF(SETUP!$F$36="Upfront",H49,H50)</f>
        <v>0</v>
      </c>
      <c r="I48" s="1316">
        <f>IF(SETUP!$F$36="Upfront",I49,I50)</f>
        <v>0</v>
      </c>
      <c r="J48" s="1316">
        <f t="shared" si="4"/>
        <v>0</v>
      </c>
      <c r="K48" s="1317">
        <f>IF(SETUP!$F$36="Upfront",K49,K50)</f>
        <v>0</v>
      </c>
      <c r="L48" s="1316">
        <f>IF(SETUP!$F$36="Upfront",L49,L50)</f>
        <v>0</v>
      </c>
      <c r="M48" s="1316">
        <f>IF(SETUP!$F$36="Upfront",M49,M50)</f>
        <v>0</v>
      </c>
      <c r="N48" s="1316">
        <f>IF(SETUP!$F$36="Upfront",N49,N50)</f>
        <v>0</v>
      </c>
      <c r="O48" s="1205">
        <f t="shared" si="5"/>
        <v>0</v>
      </c>
      <c r="P48" s="1279">
        <f>IF(SETUP!$F$36="Upfront",P49,P50)</f>
        <v>0</v>
      </c>
      <c r="Q48" s="1189">
        <f>IF(SETUP!$F$36="Upfront",Q49,Q50)</f>
        <v>0</v>
      </c>
      <c r="R48" s="1189">
        <f>IF(SETUP!$F$36="Upfront",R49,R50)</f>
        <v>0</v>
      </c>
      <c r="S48" s="1189">
        <f>IF(SETUP!$F$36="Upfront",S49,S50)</f>
        <v>0</v>
      </c>
      <c r="T48" s="1189">
        <f t="shared" si="6"/>
        <v>0</v>
      </c>
      <c r="U48" s="1279">
        <f t="shared" si="7"/>
        <v>0</v>
      </c>
      <c r="V48" s="1795">
        <v>7.1</v>
      </c>
      <c r="W48" s="1823"/>
      <c r="X48" s="1800"/>
    </row>
    <row r="49" spans="1:24" s="860" customFormat="1" ht="15" hidden="1" customHeight="1" outlineLevel="1">
      <c r="A49" s="2919"/>
      <c r="B49" s="2920"/>
      <c r="C49" s="2912" t="s">
        <v>918</v>
      </c>
      <c r="D49" s="2912"/>
      <c r="E49" s="1649"/>
      <c r="F49" s="1279">
        <f>IF(SETUP!$F$36="Upfront",$E$48*'TB-Pharmaceuticals'!AW14,0)</f>
        <v>0</v>
      </c>
      <c r="G49" s="1316">
        <f>IF(SETUP!$F$36="Upfront",$E$48*'TB-Pharmaceuticals'!AX14,0)</f>
        <v>0</v>
      </c>
      <c r="H49" s="1316">
        <f>IF(SETUP!$F$36="Upfront",$E$48*'TB-Pharmaceuticals'!AY14,0)</f>
        <v>0</v>
      </c>
      <c r="I49" s="1316">
        <f>IF(SETUP!$F$36="Upfront",$E$48*'TB-Pharmaceuticals'!AZ14,0)</f>
        <v>0</v>
      </c>
      <c r="J49" s="1316">
        <f t="shared" si="4"/>
        <v>0</v>
      </c>
      <c r="K49" s="1317">
        <f>IF(SETUP!$F$36="Upfront",$E$48*'TB-Pharmaceuticals'!BA14,0)</f>
        <v>0</v>
      </c>
      <c r="L49" s="1316">
        <f>IF(SETUP!$F$36="Upfront",$E$48*'TB-Pharmaceuticals'!BB14,0)</f>
        <v>0</v>
      </c>
      <c r="M49" s="1316">
        <f>IF(SETUP!$F$36="Upfront",$E$48*'TB-Pharmaceuticals'!BC14,0)</f>
        <v>0</v>
      </c>
      <c r="N49" s="1316">
        <f>IF(SETUP!$F$36="Upfront",$E$48*'TB-Pharmaceuticals'!BD14,0)</f>
        <v>0</v>
      </c>
      <c r="O49" s="1205">
        <f t="shared" si="5"/>
        <v>0</v>
      </c>
      <c r="P49" s="1317">
        <f>IF(SETUP!$F$36="Upfront",$E$48*'TB-Pharmaceuticals'!BE14,0)</f>
        <v>0</v>
      </c>
      <c r="Q49" s="1189">
        <f>IF(SETUP!$F$36="Upfront",$E$48*'TB-Pharmaceuticals'!BF14,0)</f>
        <v>0</v>
      </c>
      <c r="R49" s="1189">
        <f>IF(SETUP!$F$36="Upfront",$E$48*'TB-Pharmaceuticals'!BG14,0)</f>
        <v>0</v>
      </c>
      <c r="S49" s="1189">
        <f>IF(SETUP!$F$36="Upfront",$E$48*'TB-Pharmaceuticals'!BH14,0)</f>
        <v>0</v>
      </c>
      <c r="T49" s="1189">
        <f t="shared" si="6"/>
        <v>0</v>
      </c>
      <c r="U49" s="1279">
        <f t="shared" si="7"/>
        <v>0</v>
      </c>
      <c r="V49" s="1795"/>
      <c r="W49" s="1823"/>
      <c r="X49" s="1799"/>
    </row>
    <row r="50" spans="1:24" s="860" customFormat="1" ht="15" hidden="1" customHeight="1" outlineLevel="1">
      <c r="A50" s="2919"/>
      <c r="B50" s="2920"/>
      <c r="C50" s="2912" t="s">
        <v>36</v>
      </c>
      <c r="D50" s="2912"/>
      <c r="E50" s="1649"/>
      <c r="F50" s="1279">
        <v>0</v>
      </c>
      <c r="G50" s="1316">
        <f>IF(SETUP!$F$36="At delivery",IF(SETUP!$G$36=1,$E$48*'TB-Pharmaceuticals'!AW14,0),0)</f>
        <v>0</v>
      </c>
      <c r="H50" s="1316">
        <f>IF(SETUP!$F$36="At delivery",IF(SETUP!$G$36=2,$E$48*'TB-Pharmaceuticals'!AW14,IF(SETUP!$G$36=1,$E$48*'TB-Pharmaceuticals'!AX14,0)),0)</f>
        <v>0</v>
      </c>
      <c r="I50" s="1316">
        <f>IF(SETUP!$F$36="At delivery",IF(SETUP!$G$36=3,$E$48*'TB-Pharmaceuticals'!AW14,IF(SETUP!$G$36=2,$E$48*'TB-Pharmaceuticals'!AX14,IF(SETUP!$G$36=1,$E$48*'TB-Pharmaceuticals'!AY14,0))),0)</f>
        <v>0</v>
      </c>
      <c r="J50" s="1316">
        <f t="shared" si="4"/>
        <v>0</v>
      </c>
      <c r="K50" s="1317">
        <f>IF(SETUP!$F$36="At delivery",IF(SETUP!$G$36=4,$E$48*'TB-Pharmaceuticals'!AW14,IF(SETUP!$G$36=3,$E$48*'TB-Pharmaceuticals'!AX14,IF(SETUP!$G$36=2,$E$48*'TB-Pharmaceuticals'!AY14,IF(SETUP!$G$36=1,$E$48*'TB-Pharmaceuticals'!AZ14,0)))),0)</f>
        <v>0</v>
      </c>
      <c r="L50" s="1316">
        <f>IF(SETUP!$F$36="At delivery",IF(SETUP!$G$36=4,$E$48*'TB-Pharmaceuticals'!AX14,IF(SETUP!$G$36=3,$E$48*'TB-Pharmaceuticals'!AY14,IF(SETUP!$G$36=2,$E$48*'TB-Pharmaceuticals'!AZ14,IF(SETUP!$G$36=1,$E$48*'TB-Pharmaceuticals'!BA14,0)))),0)</f>
        <v>0</v>
      </c>
      <c r="M50" s="1316">
        <f>IF(SETUP!$F$36="At delivery",IF(SETUP!$G$36=4,$E$48*'TB-Pharmaceuticals'!AY14,IF(SETUP!$G$36=3,$E$48*'TB-Pharmaceuticals'!AZ14,IF(SETUP!$G$36=2,$E$48*'TB-Pharmaceuticals'!BA14,IF(SETUP!$G$36=1,$E$48*'TB-Pharmaceuticals'!BB14,0)))),0)</f>
        <v>0</v>
      </c>
      <c r="N50" s="1316">
        <f>IF(SETUP!$F$36="At delivery",IF(SETUP!$G$36=4,$E$48*'TB-Pharmaceuticals'!AZ14,IF(SETUP!$G$36=3,$E$48*'TB-Pharmaceuticals'!BA14,IF(SETUP!$G$36=2,$E$48*'TB-Pharmaceuticals'!BB14,IF(SETUP!$G$36=1,$E$48*'TB-Pharmaceuticals'!BC14,0)))),0)</f>
        <v>0</v>
      </c>
      <c r="O50" s="1205">
        <f t="shared" si="5"/>
        <v>0</v>
      </c>
      <c r="P50" s="1279">
        <f>IF(SETUP!$F$36="At delivery",IF(SETUP!$G$36=4,$E$48*'TB-Pharmaceuticals'!BA14,IF(SETUP!$G$36=3,$E$48*'TB-Pharmaceuticals'!BB14,IF(SETUP!$G$36=2,$E$48*'TB-Pharmaceuticals'!BC14,IF(SETUP!$G$36=1,$E$48*'TB-Pharmaceuticals'!BD14,0)))),0)</f>
        <v>0</v>
      </c>
      <c r="Q50" s="1189">
        <f>IF(SETUP!$F$36="At delivery",IF(SETUP!$G$36=4,$E$48*'TB-Pharmaceuticals'!BB14,IF(SETUP!$G$36=3,$E$48*'TB-Pharmaceuticals'!BC14,IF(SETUP!$G$36=2,$E$48*'TB-Pharmaceuticals'!BD14,IF(SETUP!$G$36=1,$E$48*'TB-Pharmaceuticals'!BE14,0)))),0)</f>
        <v>0</v>
      </c>
      <c r="R50" s="1189">
        <f>IF(SETUP!$F$36="At delivery",IF(SETUP!$G$36=4,$E$48*'TB-Pharmaceuticals'!BC14,IF(SETUP!$G$36=3,$E$48*'TB-Pharmaceuticals'!BD14,IF(SETUP!$G$36=2,$E$48*'TB-Pharmaceuticals'!BE14,IF(SETUP!$G$36=1,$E$48*'TB-Pharmaceuticals'!BF14,0)))),0)</f>
        <v>0</v>
      </c>
      <c r="S50" s="1189">
        <f>IF(SETUP!$F$36="At delivery",IF(SETUP!$G$36=4,$E$48*('TB-Pharmaceuticals'!BD14+'TB-Pharmaceuticals'!BE14+'TB-Pharmaceuticals'!BF14+'TB-Pharmaceuticals'!BG14+'TB-Pharmaceuticals'!BH14),IF(SETUP!$G$36=3,$E$48*('TB-Pharmaceuticals'!BE14+'TB-Pharmaceuticals'!BF14+'TB-Pharmaceuticals'!BG14+'TB-Pharmaceuticals'!BH14),IF(SETUP!$G$36=2,$E$48*('TB-Pharmaceuticals'!BF14+'TB-Pharmaceuticals'!BG14+'TB-Pharmaceuticals'!BH14),IF(SETUP!$G$36=1,$E$48*('TB-Pharmaceuticals'!BG14+'TB-Pharmaceuticals'!BH14),0)))),0)</f>
        <v>0</v>
      </c>
      <c r="T50" s="1189">
        <f t="shared" si="6"/>
        <v>0</v>
      </c>
      <c r="U50" s="1279">
        <f t="shared" si="7"/>
        <v>0</v>
      </c>
      <c r="V50" s="1795"/>
      <c r="W50" s="1823"/>
      <c r="X50" s="1799"/>
    </row>
    <row r="51" spans="1:24" s="860" customFormat="1" ht="15" hidden="1" customHeight="1" collapsed="1">
      <c r="A51" s="2919"/>
      <c r="B51" s="2920"/>
      <c r="C51" s="2911" t="s">
        <v>571</v>
      </c>
      <c r="D51" s="2911"/>
      <c r="E51" s="1649">
        <v>1E-4</v>
      </c>
      <c r="F51" s="1279">
        <f>IF(SETUP!$F$38="Upfront",F52,F53)</f>
        <v>0</v>
      </c>
      <c r="G51" s="1316">
        <f>IF(SETUP!$F$38="Upfront",G52,G53)</f>
        <v>0</v>
      </c>
      <c r="H51" s="1316">
        <f>IF(SETUP!$F$38="Upfront",H52,H53)</f>
        <v>0</v>
      </c>
      <c r="I51" s="1316">
        <f>IF(SETUP!$F$38="Upfront",I52,I53)</f>
        <v>0</v>
      </c>
      <c r="J51" s="1316">
        <f t="shared" si="4"/>
        <v>0</v>
      </c>
      <c r="K51" s="1317">
        <f>IF(SETUP!$F$38="Upfront",K52,K53)</f>
        <v>0</v>
      </c>
      <c r="L51" s="1316">
        <f>IF(SETUP!$F$38="Upfront",L52,L53)</f>
        <v>0</v>
      </c>
      <c r="M51" s="1316">
        <f>IF(SETUP!$F$38="Upfront",M52,M53)</f>
        <v>0</v>
      </c>
      <c r="N51" s="1316">
        <f>IF(SETUP!$F$38="Upfront",N52,N53)</f>
        <v>0</v>
      </c>
      <c r="O51" s="1205">
        <f t="shared" si="5"/>
        <v>0</v>
      </c>
      <c r="P51" s="1279">
        <f>IF(SETUP!$F$38="Upfront",P52,P53)</f>
        <v>0</v>
      </c>
      <c r="Q51" s="1189">
        <f>IF(SETUP!$F$38="Upfront",Q52,Q53)</f>
        <v>0</v>
      </c>
      <c r="R51" s="1189">
        <f>IF(SETUP!$F$38="Upfront",R52,R53)</f>
        <v>0</v>
      </c>
      <c r="S51" s="1189">
        <f>IF(SETUP!$F$38="Upfront",S52,S53)</f>
        <v>0</v>
      </c>
      <c r="T51" s="1189">
        <f t="shared" si="6"/>
        <v>0</v>
      </c>
      <c r="U51" s="1279">
        <f t="shared" si="7"/>
        <v>0</v>
      </c>
      <c r="V51" s="1795">
        <v>7.1</v>
      </c>
      <c r="W51" s="1823"/>
      <c r="X51" s="1799"/>
    </row>
    <row r="52" spans="1:24" s="860" customFormat="1" ht="15" hidden="1" customHeight="1" outlineLevel="1">
      <c r="A52" s="2919"/>
      <c r="B52" s="2920"/>
      <c r="C52" s="2912" t="s">
        <v>918</v>
      </c>
      <c r="D52" s="2912"/>
      <c r="E52" s="1649"/>
      <c r="F52" s="1279">
        <f>IF(SETUP!$F$38="Upfront",$E$51*'TB-Pharmaceuticals'!AW15,0)</f>
        <v>0</v>
      </c>
      <c r="G52" s="1316">
        <f>IF(SETUP!$F$38="Upfront",$E$51*'TB-Pharmaceuticals'!AX15,0)</f>
        <v>0</v>
      </c>
      <c r="H52" s="1316">
        <f>IF(SETUP!$F$38="Upfront",$E$51*'TB-Pharmaceuticals'!AY15,0)</f>
        <v>0</v>
      </c>
      <c r="I52" s="1316">
        <f>IF(SETUP!$F$38="Upfront",$E$51*'TB-Pharmaceuticals'!AZ15,0)</f>
        <v>0</v>
      </c>
      <c r="J52" s="1316">
        <f t="shared" si="4"/>
        <v>0</v>
      </c>
      <c r="K52" s="1317">
        <f>IF(SETUP!$F$38="Upfront",$E$51*'TB-Pharmaceuticals'!BA15,0)</f>
        <v>0</v>
      </c>
      <c r="L52" s="1316">
        <f>IF(SETUP!$F$38="Upfront",$E$51*'TB-Pharmaceuticals'!BB15,0)</f>
        <v>0</v>
      </c>
      <c r="M52" s="1316">
        <f>IF(SETUP!$F$38="Upfront",$E$51*'TB-Pharmaceuticals'!BC15,0)</f>
        <v>0</v>
      </c>
      <c r="N52" s="1316">
        <f>IF(SETUP!$F$38="Upfront",$E$51*'TB-Pharmaceuticals'!BD15,0)</f>
        <v>0</v>
      </c>
      <c r="O52" s="1205">
        <f t="shared" si="5"/>
        <v>0</v>
      </c>
      <c r="P52" s="1279">
        <f>IF(SETUP!$F$38="Upfront",$E$51*'TB-Pharmaceuticals'!BE15,0)</f>
        <v>0</v>
      </c>
      <c r="Q52" s="1189">
        <f>IF(SETUP!$F$38="Upfront",$E$51*'TB-Pharmaceuticals'!BF15,0)</f>
        <v>0</v>
      </c>
      <c r="R52" s="1189">
        <f>IF(SETUP!$F$38="Upfront",$E$51*'TB-Pharmaceuticals'!BG15,0)</f>
        <v>0</v>
      </c>
      <c r="S52" s="1189">
        <f>IF(SETUP!$F$38="Upfront",$E$51*'TB-Pharmaceuticals'!BH15,0)</f>
        <v>0</v>
      </c>
      <c r="T52" s="1189">
        <f t="shared" si="6"/>
        <v>0</v>
      </c>
      <c r="U52" s="1279">
        <f t="shared" si="7"/>
        <v>0</v>
      </c>
      <c r="V52" s="1795"/>
      <c r="W52" s="1823"/>
      <c r="X52" s="1799"/>
    </row>
    <row r="53" spans="1:24" s="860" customFormat="1" ht="15" hidden="1" customHeight="1" outlineLevel="1">
      <c r="A53" s="2919"/>
      <c r="B53" s="2920"/>
      <c r="C53" s="2912" t="s">
        <v>36</v>
      </c>
      <c r="D53" s="2912"/>
      <c r="E53" s="1649"/>
      <c r="F53" s="1279">
        <v>0</v>
      </c>
      <c r="G53" s="1316">
        <f>IF(SETUP!$F$38="At delivery",IF(SETUP!$G$38=1,$E$51*'TB-Pharmaceuticals'!AW15,0),0)</f>
        <v>0</v>
      </c>
      <c r="H53" s="1316">
        <f>IF(SETUP!$F$38="At delivery",IF(SETUP!$G$38=2,$E$51*'TB-Pharmaceuticals'!AW15,IF(SETUP!$G$38=1,$E$51*'TB-Pharmaceuticals'!AX15,0)),0)</f>
        <v>0</v>
      </c>
      <c r="I53" s="1316">
        <f>IF(SETUP!$F$38="At delivery",IF(SETUP!$G$38=3,$E$51*'TB-Pharmaceuticals'!AW15,IF(SETUP!$G$38=2,$E$51*'TB-Pharmaceuticals'!AX15,IF(SETUP!$G$38=1,$E$51*'TB-Pharmaceuticals'!AY15,0))),0)</f>
        <v>0</v>
      </c>
      <c r="J53" s="1316">
        <f t="shared" si="4"/>
        <v>0</v>
      </c>
      <c r="K53" s="1317">
        <f>IF(SETUP!$F$38="At delivery",IF(SETUP!$G$38=4,$E$51*'TB-Pharmaceuticals'!AW15,IF(SETUP!$G$38=3,$E$51*'TB-Pharmaceuticals'!AX15,IF(SETUP!$G$38=2,$E$51*'TB-Pharmaceuticals'!AY15,IF(SETUP!$G$38=1,$E$51*'TB-Pharmaceuticals'!AZ15,0)))),0)</f>
        <v>0</v>
      </c>
      <c r="L53" s="1316">
        <f>IF(SETUP!$F$38="At delivery",IF(SETUP!$G$38=4,$E$51*'TB-Pharmaceuticals'!AX15,IF(SETUP!$G$38=3,$E$51*'TB-Pharmaceuticals'!AY15,IF(SETUP!$G$38=2,$E$51*'TB-Pharmaceuticals'!AZ15,IF(SETUP!$G$38=1,$E$51*'TB-Pharmaceuticals'!BA15,0)))),0)</f>
        <v>0</v>
      </c>
      <c r="M53" s="1316">
        <f>IF(SETUP!$F$38="At delivery",IF(SETUP!$G$38=4,$E$51*'TB-Pharmaceuticals'!AY15,IF(SETUP!$G$38=3,$E$51*'TB-Pharmaceuticals'!AZ15,IF(SETUP!$G$38=2,$E$51*'TB-Pharmaceuticals'!BA15,IF(SETUP!$G$38=1,$E$51*'TB-Pharmaceuticals'!BB15,0)))),0)</f>
        <v>0</v>
      </c>
      <c r="N53" s="1316">
        <f>IF(SETUP!$F$38="At delivery",IF(SETUP!$G$38=4,$E$51*'TB-Pharmaceuticals'!AZ15,IF(SETUP!$G$38=3,$E$51*'TB-Pharmaceuticals'!BA15,IF(SETUP!$G$38=2,$E$51*'TB-Pharmaceuticals'!BB15,IF(SETUP!$G$38=1,$E$51*'TB-Pharmaceuticals'!BC15,0)))),0)</f>
        <v>0</v>
      </c>
      <c r="O53" s="1205">
        <f t="shared" si="5"/>
        <v>0</v>
      </c>
      <c r="P53" s="1279">
        <f>IF(SETUP!$F$38="At delivery",IF(SETUP!$G$38=4,$E$51*'TB-Pharmaceuticals'!BA15,IF(SETUP!$G$38=3,$E$51*'TB-Pharmaceuticals'!BB15,IF(SETUP!$G$38=2,$E$51*'TB-Pharmaceuticals'!BC15,IF(SETUP!$G$38=1,$E$51*'TB-Pharmaceuticals'!BD15,0)))),0)</f>
        <v>0</v>
      </c>
      <c r="Q53" s="1189">
        <f>IF(SETUP!$F$38="At delivery",IF(SETUP!$G$38=4,$E$51*'TB-Pharmaceuticals'!BB15,IF(SETUP!$G$38=3,$E$51*'TB-Pharmaceuticals'!BC15,IF(SETUP!$G$38=2,$E$51*'TB-Pharmaceuticals'!BD15,IF(SETUP!$G$38=1,$E$51*'TB-Pharmaceuticals'!BE15,0)))),0)</f>
        <v>0</v>
      </c>
      <c r="R53" s="1189">
        <f>IF(SETUP!$F$38="At delivery",IF(SETUP!$G$38=4,$E$51*'TB-Pharmaceuticals'!BC15,IF(SETUP!$G$38=3,$E$51*'TB-Pharmaceuticals'!BD15,IF(SETUP!$G$38=2,$E$51*'TB-Pharmaceuticals'!BE15,IF(SETUP!$G$38=1,$E$51*'TB-Pharmaceuticals'!BF15,0)))),0)</f>
        <v>0</v>
      </c>
      <c r="S53" s="1189">
        <f>IF(SETUP!$F$38="At delivery",IF(SETUP!$G$38=4,$E$51*('TB-Pharmaceuticals'!BD15+'TB-Pharmaceuticals'!BE15+'TB-Pharmaceuticals'!BF15+'TB-Pharmaceuticals'!BG15+'TB-Pharmaceuticals'!BH15),IF(SETUP!$G$38=3,$E$51*('TB-Pharmaceuticals'!BE15+'TB-Pharmaceuticals'!BF15+'TB-Pharmaceuticals'!BG15+'TB-Pharmaceuticals'!BH15),IF(SETUP!$G$38=2,$E$51*('TB-Pharmaceuticals'!BF15+'TB-Pharmaceuticals'!BG15+'TB-Pharmaceuticals'!BH15),IF(SETUP!$G$38=1,$E$51*('TB-Pharmaceuticals'!BG15+'TB-Pharmaceuticals'!BH15),0)))),0)</f>
        <v>0</v>
      </c>
      <c r="T53" s="1189">
        <f t="shared" si="6"/>
        <v>0</v>
      </c>
      <c r="U53" s="1279">
        <f t="shared" si="7"/>
        <v>0</v>
      </c>
      <c r="V53" s="1795"/>
      <c r="W53" s="1823"/>
      <c r="X53" s="1799"/>
    </row>
    <row r="54" spans="1:24" s="860" customFormat="1" ht="15" hidden="1" customHeight="1" collapsed="1">
      <c r="A54" s="2919"/>
      <c r="B54" s="2920"/>
      <c r="C54" s="2911" t="s">
        <v>1792</v>
      </c>
      <c r="D54" s="2911"/>
      <c r="E54" s="1649">
        <v>1E-4</v>
      </c>
      <c r="F54" s="1279">
        <f>IF(SETUP!$F$39="Upfront",F55,F56)</f>
        <v>0</v>
      </c>
      <c r="G54" s="1316">
        <f>IF(SETUP!$F$39="Upfront",G55,G56)</f>
        <v>0</v>
      </c>
      <c r="H54" s="1316">
        <f>IF(SETUP!$F$39="Upfront",H55,H56)</f>
        <v>0</v>
      </c>
      <c r="I54" s="1316">
        <f>IF(SETUP!$F$39="Upfront",I55,I56)</f>
        <v>0</v>
      </c>
      <c r="J54" s="1316">
        <f t="shared" si="4"/>
        <v>0</v>
      </c>
      <c r="K54" s="1317">
        <f>IF(SETUP!$F$39="Upfront",K55,K56)</f>
        <v>0</v>
      </c>
      <c r="L54" s="1316">
        <f>IF(SETUP!$F$39="Upfront",L55,L56)</f>
        <v>0</v>
      </c>
      <c r="M54" s="1316">
        <f>IF(SETUP!$F$39="Upfront",M55,M56)</f>
        <v>0</v>
      </c>
      <c r="N54" s="1316">
        <f>IF(SETUP!$F$39="Upfront",N55,N56)</f>
        <v>0</v>
      </c>
      <c r="O54" s="1205">
        <f t="shared" si="5"/>
        <v>0</v>
      </c>
      <c r="P54" s="1279">
        <f>IF(SETUP!$F$39="Upfront",P55,P56)</f>
        <v>0</v>
      </c>
      <c r="Q54" s="1189">
        <f>IF(SETUP!$F$39="Upfront",Q55,Q56)</f>
        <v>0</v>
      </c>
      <c r="R54" s="1189">
        <f>IF(SETUP!$F$39="Upfront",R55,R56)</f>
        <v>0</v>
      </c>
      <c r="S54" s="1189">
        <f>IF(SETUP!$F$39="Upfront",S55,S56)</f>
        <v>0</v>
      </c>
      <c r="T54" s="1189">
        <f t="shared" si="6"/>
        <v>0</v>
      </c>
      <c r="U54" s="1279">
        <f t="shared" si="7"/>
        <v>0</v>
      </c>
      <c r="V54" s="1795">
        <v>7.1</v>
      </c>
      <c r="W54" s="1823"/>
      <c r="X54" s="1800"/>
    </row>
    <row r="55" spans="1:24" s="860" customFormat="1" ht="15" hidden="1" customHeight="1" outlineLevel="1">
      <c r="A55" s="2919"/>
      <c r="B55" s="2920"/>
      <c r="C55" s="2912" t="s">
        <v>918</v>
      </c>
      <c r="D55" s="2912"/>
      <c r="E55" s="1649"/>
      <c r="F55" s="1279">
        <f>IF(SETUP!$F$39="Upfront",$E$54*'TB-Pharmaceuticals'!AW16,0)</f>
        <v>0</v>
      </c>
      <c r="G55" s="1316">
        <f>IF(SETUP!$F$39="Upfront",$E$54*'TB-Pharmaceuticals'!AX16,0)</f>
        <v>0</v>
      </c>
      <c r="H55" s="1316">
        <f>IF(SETUP!$F$39="Upfront",$E$54*'TB-Pharmaceuticals'!AY16,0)</f>
        <v>0</v>
      </c>
      <c r="I55" s="1316">
        <f>IF(SETUP!$F$39="Upfront",$E$54*'TB-Pharmaceuticals'!AZ16,0)</f>
        <v>0</v>
      </c>
      <c r="J55" s="1316">
        <f t="shared" si="4"/>
        <v>0</v>
      </c>
      <c r="K55" s="1317">
        <f>IF(SETUP!$F$39="Upfront",$E$54*'TB-Pharmaceuticals'!BA16,0)</f>
        <v>0</v>
      </c>
      <c r="L55" s="1316">
        <f>IF(SETUP!$F$39="Upfront",$E$54*'TB-Pharmaceuticals'!BB16,0)</f>
        <v>0</v>
      </c>
      <c r="M55" s="1316">
        <f>IF(SETUP!$F$39="Upfront",$E$54*'TB-Pharmaceuticals'!BC16,0)</f>
        <v>0</v>
      </c>
      <c r="N55" s="1316">
        <f>IF(SETUP!$F$39="Upfront",$E$54*'TB-Pharmaceuticals'!BD16,0)</f>
        <v>0</v>
      </c>
      <c r="O55" s="1205">
        <f t="shared" si="5"/>
        <v>0</v>
      </c>
      <c r="P55" s="1279">
        <f>IF(SETUP!$F$39="Upfront",$E$54*'TB-Pharmaceuticals'!BE16,0)</f>
        <v>0</v>
      </c>
      <c r="Q55" s="1189">
        <f>IF(SETUP!$F$39="Upfront",$E$54*'TB-Pharmaceuticals'!BF16,0)</f>
        <v>0</v>
      </c>
      <c r="R55" s="1189">
        <f>IF(SETUP!$F$39="Upfront",$E$54*'TB-Pharmaceuticals'!BG16,0)</f>
        <v>0</v>
      </c>
      <c r="S55" s="1189">
        <f>IF(SETUP!$F$39="Upfront",$E$54*'TB-Pharmaceuticals'!BH16,0)</f>
        <v>0</v>
      </c>
      <c r="T55" s="1189">
        <f t="shared" si="6"/>
        <v>0</v>
      </c>
      <c r="U55" s="1279">
        <f t="shared" si="7"/>
        <v>0</v>
      </c>
      <c r="V55" s="1795"/>
      <c r="W55" s="1823"/>
      <c r="X55" s="1799"/>
    </row>
    <row r="56" spans="1:24" s="860" customFormat="1" ht="15" hidden="1" customHeight="1" outlineLevel="1">
      <c r="A56" s="2919"/>
      <c r="B56" s="2920"/>
      <c r="C56" s="2912" t="s">
        <v>36</v>
      </c>
      <c r="D56" s="2912"/>
      <c r="E56" s="1649"/>
      <c r="F56" s="1279">
        <v>0</v>
      </c>
      <c r="G56" s="1316">
        <f>IF(SETUP!$F$39="At delivery",IF(SETUP!$G$39=1,$E$54*'TB-Pharmaceuticals'!AW16,0),0)</f>
        <v>0</v>
      </c>
      <c r="H56" s="1316">
        <f>IF(SETUP!$F$39="At delivery",IF(SETUP!$G$39=2,$E$54*'TB-Pharmaceuticals'!AW16,IF(SETUP!$G$39=1,$E$54*'TB-Pharmaceuticals'!AX16,0)),0)</f>
        <v>0</v>
      </c>
      <c r="I56" s="1316">
        <f>IF(SETUP!$F$39="At delivery",IF(SETUP!$G$39=3,$E$54*'TB-Pharmaceuticals'!AW16,IF(SETUP!$G$39=2,$E$54*'TB-Pharmaceuticals'!AX16,IF(SETUP!$G$39=1,$E$54*'TB-Pharmaceuticals'!AY16,0))),0)</f>
        <v>0</v>
      </c>
      <c r="J56" s="1316">
        <f t="shared" si="4"/>
        <v>0</v>
      </c>
      <c r="K56" s="1317">
        <f>IF(SETUP!$F$39="At delivery",IF(SETUP!$G$39=4,$E$54*'TB-Pharmaceuticals'!AW16,IF(SETUP!$G$39=3,$E$54*'TB-Pharmaceuticals'!AX16,IF(SETUP!$G$39=2,$E$54*'TB-Pharmaceuticals'!AY16,IF(SETUP!$G$39=1,$E$54*'TB-Pharmaceuticals'!AZ16,0)))),0)</f>
        <v>0</v>
      </c>
      <c r="L56" s="1316">
        <f>IF(SETUP!$F$39="At delivery",IF(SETUP!$G$39=4,$E$54*'TB-Pharmaceuticals'!AX16,IF(SETUP!$G$39=3,$E$54*'TB-Pharmaceuticals'!AY16,IF(SETUP!$G$39=2,$E$54*'TB-Pharmaceuticals'!AZ16,IF(SETUP!$G$39=1,$E$54*'TB-Pharmaceuticals'!BA16,0)))),0)</f>
        <v>0</v>
      </c>
      <c r="M56" s="1316">
        <f>IF(SETUP!$F$39="At delivery",IF(SETUP!$G$39=4,$E$54*'TB-Pharmaceuticals'!AY16,IF(SETUP!$G$39=3,$E$54*'TB-Pharmaceuticals'!AZ16,IF(SETUP!$G$39=2,$E$54*'TB-Pharmaceuticals'!BA16,IF(SETUP!$G$39=1,$E$54*'TB-Pharmaceuticals'!BB16,0)))),0)</f>
        <v>0</v>
      </c>
      <c r="N56" s="1316">
        <f>IF(SETUP!$F$39="At delivery",IF(SETUP!$G$39=4,$E$54*'TB-Pharmaceuticals'!AZ16,IF(SETUP!$G$39=3,$E$54*'TB-Pharmaceuticals'!BA16,IF(SETUP!$G$39=2,$E$54*'TB-Pharmaceuticals'!BB16,IF(SETUP!$G$39=1,$E$54*'TB-Pharmaceuticals'!BC16,0)))),0)</f>
        <v>0</v>
      </c>
      <c r="O56" s="1205">
        <f t="shared" si="5"/>
        <v>0</v>
      </c>
      <c r="P56" s="1279">
        <f>IF(SETUP!$F$39="At delivery",IF(SETUP!$G$39=4,$E$54*'TB-Pharmaceuticals'!BA16,IF(SETUP!$G$39=3,$E$54*'TB-Pharmaceuticals'!BB16,IF(SETUP!$G$39=2,$E$54*'TB-Pharmaceuticals'!BC16,IF(SETUP!$G$39=1,$E$54*'TB-Pharmaceuticals'!BD16,0)))),0)</f>
        <v>0</v>
      </c>
      <c r="Q56" s="1189">
        <f>IF(SETUP!$F$39="At delivery",IF(SETUP!$G$39=4,$E$54*'TB-Pharmaceuticals'!BB16,IF(SETUP!$G$39=3,$E$54*'TB-Pharmaceuticals'!BC16,IF(SETUP!$G$39=2,$E$54*'TB-Pharmaceuticals'!BD16,IF(SETUP!$G$39=1,$E$54*'TB-Pharmaceuticals'!BE16,0)))),0)</f>
        <v>0</v>
      </c>
      <c r="R56" s="1189">
        <f>IF(SETUP!$F$39="At delivery",IF(SETUP!$G$39=4,$E$54*'TB-Pharmaceuticals'!BC16,IF(SETUP!$G$39=3,$E$54*'TB-Pharmaceuticals'!BD16,IF(SETUP!$G$39=2,$E$54*'TB-Pharmaceuticals'!BE16,IF(SETUP!$G$39=1,$E$54*'TB-Pharmaceuticals'!BF16,0)))),0)</f>
        <v>0</v>
      </c>
      <c r="S56" s="1189">
        <f>IF(SETUP!$F$39="At delivery",IF(SETUP!$G$39=4,$E$54*('TB-Pharmaceuticals'!BD16+'TB-Pharmaceuticals'!BE16+'TB-Pharmaceuticals'!BF16+'TB-Pharmaceuticals'!BG16+'TB-Pharmaceuticals'!BH16),IF(SETUP!$G$39=3,$E$54*('TB-Pharmaceuticals'!BE16+'TB-Pharmaceuticals'!BF16+'TB-Pharmaceuticals'!BG16+'TB-Pharmaceuticals'!BH16),IF(SETUP!$G$39=2,$E$54*('TB-Pharmaceuticals'!BF16+'TB-Pharmaceuticals'!BG16+'TB-Pharmaceuticals'!BH16),IF(SETUP!$G$39=1,$E$54*('TB-Pharmaceuticals'!BG16+'TB-Pharmaceuticals'!BH16),0)))),0)</f>
        <v>0</v>
      </c>
      <c r="T56" s="1189">
        <f t="shared" si="6"/>
        <v>0</v>
      </c>
      <c r="U56" s="1279">
        <f t="shared" si="7"/>
        <v>0</v>
      </c>
      <c r="V56" s="1795"/>
      <c r="W56" s="1823"/>
      <c r="X56" s="1799"/>
    </row>
    <row r="57" spans="1:24" s="860" customFormat="1" ht="15" hidden="1" customHeight="1" collapsed="1">
      <c r="A57" s="2919" t="s">
        <v>572</v>
      </c>
      <c r="B57" s="2920"/>
      <c r="C57" s="2911" t="s">
        <v>311</v>
      </c>
      <c r="D57" s="2911"/>
      <c r="E57" s="1649">
        <v>1E-4</v>
      </c>
      <c r="F57" s="1279">
        <f>IF(SETUP!$F$40="Upfront",F58,F59)</f>
        <v>0</v>
      </c>
      <c r="G57" s="1316">
        <f>IF(SETUP!$F$40="Upfront",G58,G59)</f>
        <v>0</v>
      </c>
      <c r="H57" s="1316">
        <f>IF(SETUP!$F$40="Upfront",H58,H59)</f>
        <v>0</v>
      </c>
      <c r="I57" s="1316">
        <f>IF(SETUP!$F$40="Upfront",I58,I59)</f>
        <v>0</v>
      </c>
      <c r="J57" s="1316">
        <f t="shared" si="4"/>
        <v>0</v>
      </c>
      <c r="K57" s="1317">
        <f>IF(SETUP!$F$40="Upfront",K58,K59)</f>
        <v>0</v>
      </c>
      <c r="L57" s="1316">
        <f>IF(SETUP!$F$40="Upfront",L58,L59)</f>
        <v>0</v>
      </c>
      <c r="M57" s="1316">
        <f>IF(SETUP!$F$40="Upfront",M58,M59)</f>
        <v>0</v>
      </c>
      <c r="N57" s="1316">
        <f>IF(SETUP!$F$40="Upfront",N58,N59)</f>
        <v>0</v>
      </c>
      <c r="O57" s="1205">
        <f t="shared" si="5"/>
        <v>0</v>
      </c>
      <c r="P57" s="1279">
        <f>IF(SETUP!$F$40="Upfront",P58,P59)</f>
        <v>0</v>
      </c>
      <c r="Q57" s="1189">
        <f>IF(SETUP!$F$40="Upfront",Q58,Q59)</f>
        <v>0</v>
      </c>
      <c r="R57" s="1189">
        <f>IF(SETUP!$F$40="Upfront",R58,R59)</f>
        <v>0</v>
      </c>
      <c r="S57" s="1189">
        <f>IF(SETUP!$F$40="Upfront",S58,S59)</f>
        <v>0</v>
      </c>
      <c r="T57" s="1189">
        <f t="shared" si="6"/>
        <v>0</v>
      </c>
      <c r="U57" s="1279">
        <f t="shared" si="7"/>
        <v>0</v>
      </c>
      <c r="V57" s="1795">
        <v>7.1</v>
      </c>
      <c r="W57" s="1823"/>
      <c r="X57" s="1799"/>
    </row>
    <row r="58" spans="1:24" s="860" customFormat="1" ht="15" hidden="1" customHeight="1" outlineLevel="1">
      <c r="A58" s="2919"/>
      <c r="B58" s="2920"/>
      <c r="C58" s="2912" t="s">
        <v>918</v>
      </c>
      <c r="D58" s="2912"/>
      <c r="E58" s="1649"/>
      <c r="F58" s="1279">
        <f>IF(SETUP!$F$40="Upfront",$E$57*'TB-EQUIPMENT &amp; OTHER HPs'!AW14,0)</f>
        <v>0</v>
      </c>
      <c r="G58" s="1316">
        <f>IF(SETUP!$F$40="Upfront",$E$57*'TB-EQUIPMENT &amp; OTHER HPs'!AX14,0)</f>
        <v>0</v>
      </c>
      <c r="H58" s="1316">
        <f>IF(SETUP!$F$40="Upfront",$E$57*'TB-EQUIPMENT &amp; OTHER HPs'!AY14,0)</f>
        <v>0</v>
      </c>
      <c r="I58" s="1316">
        <f>IF(SETUP!$F$40="Upfront",$E$57*'TB-EQUIPMENT &amp; OTHER HPs'!AZ14,0)</f>
        <v>0</v>
      </c>
      <c r="J58" s="1316">
        <f t="shared" si="4"/>
        <v>0</v>
      </c>
      <c r="K58" s="1317">
        <f>IF(SETUP!$F$40="Upfront",$E$57*'TB-EQUIPMENT &amp; OTHER HPs'!BA14,0)</f>
        <v>0</v>
      </c>
      <c r="L58" s="1316">
        <f>IF(SETUP!$F$40="Upfront",$E$57*'TB-EQUIPMENT &amp; OTHER HPs'!BB14,0)</f>
        <v>0</v>
      </c>
      <c r="M58" s="1316">
        <f>IF(SETUP!$F$40="Upfront",$E$57*'TB-EQUIPMENT &amp; OTHER HPs'!BC14,0)</f>
        <v>0</v>
      </c>
      <c r="N58" s="1316">
        <f>IF(SETUP!$F$40="Upfront",$E$57*'TB-EQUIPMENT &amp; OTHER HPs'!BD14,0)</f>
        <v>0</v>
      </c>
      <c r="O58" s="1205">
        <f t="shared" si="5"/>
        <v>0</v>
      </c>
      <c r="P58" s="1279">
        <f>IF(SETUP!$F$40="Upfront",$E$57*'TB-EQUIPMENT &amp; OTHER HPs'!BE14,0)</f>
        <v>0</v>
      </c>
      <c r="Q58" s="1189">
        <f>IF(SETUP!$F$40="Upfront",$E$57*'TB-EQUIPMENT &amp; OTHER HPs'!BF14,0)</f>
        <v>0</v>
      </c>
      <c r="R58" s="1189">
        <f>IF(SETUP!$F$40="Upfront",$E$57*'TB-EQUIPMENT &amp; OTHER HPs'!BG14,0)</f>
        <v>0</v>
      </c>
      <c r="S58" s="1189">
        <f>IF(SETUP!$F$40="Upfront",$E$57*'TB-EQUIPMENT &amp; OTHER HPs'!BH14,0)</f>
        <v>0</v>
      </c>
      <c r="T58" s="1189">
        <f t="shared" si="6"/>
        <v>0</v>
      </c>
      <c r="U58" s="1279">
        <f t="shared" si="7"/>
        <v>0</v>
      </c>
      <c r="V58" s="1795"/>
      <c r="W58" s="1823"/>
      <c r="X58" s="1799"/>
    </row>
    <row r="59" spans="1:24" s="860" customFormat="1" ht="15" hidden="1" customHeight="1" outlineLevel="1">
      <c r="A59" s="2919"/>
      <c r="B59" s="2920"/>
      <c r="C59" s="2912" t="s">
        <v>36</v>
      </c>
      <c r="D59" s="2912"/>
      <c r="E59" s="1649"/>
      <c r="F59" s="1279">
        <v>0</v>
      </c>
      <c r="G59" s="1316">
        <f>IF(SETUP!$F$40="At delivery",IF(SETUP!$G$40=1,$E$57*'TB-EQUIPMENT &amp; OTHER HPs'!AW14,0),0)</f>
        <v>0</v>
      </c>
      <c r="H59" s="1316">
        <f>IF(SETUP!$F$40="At delivery",IF(SETUP!$G$40=2,$E$57*'TB-EQUIPMENT &amp; OTHER HPs'!AW14,IF(SETUP!$G$40=1,$E$57*'TB-EQUIPMENT &amp; OTHER HPs'!AX14,0)),0)</f>
        <v>0</v>
      </c>
      <c r="I59" s="1316">
        <f>IF(SETUP!$F$40="At delivery",IF(SETUP!$G$40=3,$E$57*'TB-EQUIPMENT &amp; OTHER HPs'!AW14,IF(SETUP!$G$40=2,$E$57*'TB-EQUIPMENT &amp; OTHER HPs'!AX14,IF(SETUP!$G$40=1,$E$57*'TB-EQUIPMENT &amp; OTHER HPs'!AY14,0))),0)</f>
        <v>0</v>
      </c>
      <c r="J59" s="1316">
        <f t="shared" si="4"/>
        <v>0</v>
      </c>
      <c r="K59" s="1317">
        <f>IF(SETUP!$F$40="At delivery",IF(SETUP!$G$40=4,$E$57*'TB-EQUIPMENT &amp; OTHER HPs'!AW14,IF(SETUP!$G$40=3,$E$57*'TB-EQUIPMENT &amp; OTHER HPs'!AX14,IF(SETUP!$G$40=2,$E$57*'TB-EQUIPMENT &amp; OTHER HPs'!AY14,IF(SETUP!$G$40=1,$E$57*'TB-EQUIPMENT &amp; OTHER HPs'!AZ14,0)))),0)</f>
        <v>0</v>
      </c>
      <c r="L59" s="1316">
        <f>IF(SETUP!$F$40="At delivery",IF(SETUP!$G$40=4,$E$57*'TB-EQUIPMENT &amp; OTHER HPs'!AX14,IF(SETUP!$G$40=3,$E$57*'TB-EQUIPMENT &amp; OTHER HPs'!AY14,IF(SETUP!$G$40=2,$E$57*'TB-EQUIPMENT &amp; OTHER HPs'!AZ14,IF(SETUP!$G$40=1,$E$57*'TB-EQUIPMENT &amp; OTHER HPs'!BA14,0)))),0)</f>
        <v>0</v>
      </c>
      <c r="M59" s="1316">
        <f>IF(SETUP!$F$40="At delivery",IF(SETUP!$G$40=4,$E$57*'TB-EQUIPMENT &amp; OTHER HPs'!AY14,IF(SETUP!$G$40=3,$E$57*'TB-EQUIPMENT &amp; OTHER HPs'!AZ14,IF(SETUP!$G$40=2,$E$57*'TB-EQUIPMENT &amp; OTHER HPs'!BA14,IF(SETUP!$G$40=1,$E$57*'TB-EQUIPMENT &amp; OTHER HPs'!BB14,0)))),0)</f>
        <v>0</v>
      </c>
      <c r="N59" s="1316">
        <f>IF(SETUP!$F$40="At delivery",IF(SETUP!$G$40=4,$E$57*'TB-EQUIPMENT &amp; OTHER HPs'!AZ14,IF(SETUP!$G$40=3,$E$57*'TB-EQUIPMENT &amp; OTHER HPs'!BA14,IF(SETUP!$G$40=2,$E$57*'TB-EQUIPMENT &amp; OTHER HPs'!BB14,IF(SETUP!$G$40=1,$E$57*'TB-EQUIPMENT &amp; OTHER HPs'!BC14,0)))),0)</f>
        <v>0</v>
      </c>
      <c r="O59" s="1205">
        <f t="shared" si="5"/>
        <v>0</v>
      </c>
      <c r="P59" s="1279">
        <f>IF(SETUP!$F$40="At delivery",IF(SETUP!$G$40=4,$E$57*'TB-EQUIPMENT &amp; OTHER HPs'!BA14,IF(SETUP!$G$40=3,$E$57*'TB-EQUIPMENT &amp; OTHER HPs'!BB14,IF(SETUP!$G$40=2,$E$57*'TB-EQUIPMENT &amp; OTHER HPs'!BC14,IF(SETUP!$G$40=1,$E$57*'TB-EQUIPMENT &amp; OTHER HPs'!BD14,0)))),0)</f>
        <v>0</v>
      </c>
      <c r="Q59" s="1189">
        <f>IF(SETUP!$F$40="At delivery",IF(SETUP!$G$40=4,$E$57*'TB-EQUIPMENT &amp; OTHER HPs'!BB14,IF(SETUP!$G$40=3,$E$57*'TB-EQUIPMENT &amp; OTHER HPs'!BC14,IF(SETUP!$G$40=2,$E$57*'TB-EQUIPMENT &amp; OTHER HPs'!BD14,IF(SETUP!$G$40=1,$E$57*'TB-EQUIPMENT &amp; OTHER HPs'!BE14,0)))),0)</f>
        <v>0</v>
      </c>
      <c r="R59" s="1189">
        <f>IF(SETUP!$F$40="At delivery",IF(SETUP!$G$40=4,$E$57*'TB-EQUIPMENT &amp; OTHER HPs'!BC14,IF(SETUP!$G$40=3,$E$57*'TB-EQUIPMENT &amp; OTHER HPs'!BD14,IF(SETUP!$G$40=2,$E$57*'TB-EQUIPMENT &amp; OTHER HPs'!BE14,IF(SETUP!$G$40=1,$E$57*'TB-EQUIPMENT &amp; OTHER HPs'!BF14,0)))),0)</f>
        <v>0</v>
      </c>
      <c r="S59" s="1189">
        <f>IF(SETUP!$F$40="At delivery",IF(SETUP!$G$40=4,$E$57*('TB-EQUIPMENT &amp; OTHER HPs'!BD14+'TB-EQUIPMENT &amp; OTHER HPs'!BE14+'TB-EQUIPMENT &amp; OTHER HPs'!BF14+'TB-EQUIPMENT &amp; OTHER HPs'!BG14+'TB-EQUIPMENT &amp; OTHER HPs'!BH14),IF(SETUP!$G$40=3,$E$57*('TB-EQUIPMENT &amp; OTHER HPs'!BE14+'TB-EQUIPMENT &amp; OTHER HPs'!BF14+'TB-EQUIPMENT &amp; OTHER HPs'!BG14+'TB-EQUIPMENT &amp; OTHER HPs'!BH14),IF(SETUP!$G$40=2,$E$57*('TB-EQUIPMENT &amp; OTHER HPs'!BF14+'TB-EQUIPMENT &amp; OTHER HPs'!BG14+'TB-EQUIPMENT &amp; OTHER HPs'!BH14),IF(SETUP!$G$40=1,$E$57*('TB-EQUIPMENT &amp; OTHER HPs'!BG14+'TB-EQUIPMENT &amp; OTHER HPs'!BH14),0)))),0)</f>
        <v>0</v>
      </c>
      <c r="T59" s="1189">
        <f t="shared" si="6"/>
        <v>0</v>
      </c>
      <c r="U59" s="1279">
        <f t="shared" si="7"/>
        <v>0</v>
      </c>
      <c r="V59" s="1795"/>
      <c r="W59" s="1823"/>
      <c r="X59" s="1799"/>
    </row>
    <row r="60" spans="1:24" s="860" customFormat="1" ht="15" hidden="1" customHeight="1" collapsed="1">
      <c r="A60" s="2919"/>
      <c r="B60" s="2920"/>
      <c r="C60" s="2911" t="s">
        <v>1748</v>
      </c>
      <c r="D60" s="2911"/>
      <c r="E60" s="1649">
        <v>1E-4</v>
      </c>
      <c r="F60" s="1279">
        <f>IF(SETUP!$F$41="Upfront",F61,F62)</f>
        <v>0</v>
      </c>
      <c r="G60" s="1316">
        <f>IF(SETUP!$F$41="Upfront",G61,G62)</f>
        <v>0</v>
      </c>
      <c r="H60" s="1316">
        <f>IF(SETUP!$F$41="Upfront",H61,H62)</f>
        <v>0</v>
      </c>
      <c r="I60" s="1316">
        <f>IF(SETUP!$F$41="Upfront",I61,I62)</f>
        <v>0</v>
      </c>
      <c r="J60" s="1316">
        <f t="shared" si="4"/>
        <v>0</v>
      </c>
      <c r="K60" s="1317">
        <f>IF(SETUP!$F$41="Upfront",K61,K62)</f>
        <v>0</v>
      </c>
      <c r="L60" s="1316">
        <f>IF(SETUP!$F$41="Upfront",L61,L62)</f>
        <v>0</v>
      </c>
      <c r="M60" s="1316">
        <f>IF(SETUP!$F$41="Upfront",M61,M62)</f>
        <v>0</v>
      </c>
      <c r="N60" s="1316">
        <f>IF(SETUP!$F$41="Upfront",N61,N62)</f>
        <v>0</v>
      </c>
      <c r="O60" s="1205">
        <f t="shared" si="5"/>
        <v>0</v>
      </c>
      <c r="P60" s="1279">
        <f>IF(SETUP!$F$41="Upfront",P61,P62)</f>
        <v>0</v>
      </c>
      <c r="Q60" s="1189">
        <f>IF(SETUP!$F$41="Upfront",Q61,Q62)</f>
        <v>0</v>
      </c>
      <c r="R60" s="1189">
        <f>IF(SETUP!$F$41="Upfront",R61,R62)</f>
        <v>0</v>
      </c>
      <c r="S60" s="1189">
        <f>IF(SETUP!$F$41="Upfront",S61,S62)</f>
        <v>0</v>
      </c>
      <c r="T60" s="1189">
        <f t="shared" si="6"/>
        <v>0</v>
      </c>
      <c r="U60" s="1279">
        <f t="shared" si="7"/>
        <v>0</v>
      </c>
      <c r="V60" s="1795">
        <v>7.1</v>
      </c>
      <c r="W60" s="1823"/>
      <c r="X60" s="1800"/>
    </row>
    <row r="61" spans="1:24" s="860" customFormat="1" ht="15" hidden="1" customHeight="1" outlineLevel="1">
      <c r="A61" s="2919"/>
      <c r="B61" s="2920"/>
      <c r="C61" s="2912" t="s">
        <v>918</v>
      </c>
      <c r="D61" s="2912"/>
      <c r="E61" s="1649"/>
      <c r="F61" s="1279">
        <f>IF(SETUP!$F$41="Upfront",$E$60*'TB-EQUIPMENT &amp; OTHER HPs'!AW15,0)</f>
        <v>0</v>
      </c>
      <c r="G61" s="1316">
        <f>IF(SETUP!$F$41="Upfront",$E$60*'TB-EQUIPMENT &amp; OTHER HPs'!AX15,0)</f>
        <v>0</v>
      </c>
      <c r="H61" s="1316">
        <f>IF(SETUP!$F$41="Upfront",$E$60*'TB-EQUIPMENT &amp; OTHER HPs'!AY15,0)</f>
        <v>0</v>
      </c>
      <c r="I61" s="1316">
        <f>IF(SETUP!$F$41="Upfront",$E$60*'TB-EQUIPMENT &amp; OTHER HPs'!AZ15,0)</f>
        <v>0</v>
      </c>
      <c r="J61" s="1316">
        <f t="shared" si="4"/>
        <v>0</v>
      </c>
      <c r="K61" s="1317">
        <f>IF(SETUP!$F$41="Upfront",$E$60*'TB-EQUIPMENT &amp; OTHER HPs'!BA15,0)</f>
        <v>0</v>
      </c>
      <c r="L61" s="1316">
        <f>IF(SETUP!$F$41="Upfront",$E$60*'TB-EQUIPMENT &amp; OTHER HPs'!BB15,0)</f>
        <v>0</v>
      </c>
      <c r="M61" s="1316">
        <f>IF(SETUP!$F$41="Upfront",$E$60*'TB-EQUIPMENT &amp; OTHER HPs'!BC15,0)</f>
        <v>0</v>
      </c>
      <c r="N61" s="1316">
        <f>IF(SETUP!$F$41="Upfront",$E$60*'TB-EQUIPMENT &amp; OTHER HPs'!BD15,0)</f>
        <v>0</v>
      </c>
      <c r="O61" s="1205">
        <f t="shared" si="5"/>
        <v>0</v>
      </c>
      <c r="P61" s="1279">
        <f>IF(SETUP!$F$41="Upfront",$E$60*'TB-EQUIPMENT &amp; OTHER HPs'!BE15,0)</f>
        <v>0</v>
      </c>
      <c r="Q61" s="1189">
        <f>IF(SETUP!$F$41="Upfront",$E$60*'TB-EQUIPMENT &amp; OTHER HPs'!BF15,0)</f>
        <v>0</v>
      </c>
      <c r="R61" s="1189">
        <f>IF(SETUP!$F$41="Upfront",$E$60*'TB-EQUIPMENT &amp; OTHER HPs'!BG15,0)</f>
        <v>0</v>
      </c>
      <c r="S61" s="1189">
        <f>IF(SETUP!$F$41="Upfront",$E$60*'TB-EQUIPMENT &amp; OTHER HPs'!BH15,0)</f>
        <v>0</v>
      </c>
      <c r="T61" s="1189">
        <f t="shared" si="6"/>
        <v>0</v>
      </c>
      <c r="U61" s="1279">
        <f t="shared" si="7"/>
        <v>0</v>
      </c>
      <c r="V61" s="1795"/>
      <c r="W61" s="1823"/>
      <c r="X61" s="1799"/>
    </row>
    <row r="62" spans="1:24" s="860" customFormat="1" ht="15" hidden="1" customHeight="1" outlineLevel="1">
      <c r="A62" s="2919"/>
      <c r="B62" s="2920"/>
      <c r="C62" s="2912" t="s">
        <v>36</v>
      </c>
      <c r="D62" s="2912"/>
      <c r="E62" s="1649"/>
      <c r="F62" s="1279">
        <v>0</v>
      </c>
      <c r="G62" s="1316">
        <f>IF(SETUP!$F$41="At delivery",IF(SETUP!$G$41=1,$E$60*'TB-EQUIPMENT &amp; OTHER HPs'!AW15,0),0)</f>
        <v>0</v>
      </c>
      <c r="H62" s="1316">
        <f>IF(SETUP!$F$41="At delivery",IF(SETUP!$G$41=2,$E$60*'TB-EQUIPMENT &amp; OTHER HPs'!AW15,IF(SETUP!$G$41=1,$E$60*'TB-EQUIPMENT &amp; OTHER HPs'!AX15,0)),0)</f>
        <v>0</v>
      </c>
      <c r="I62" s="1316">
        <f>IF(SETUP!$F$41="At delivery",IF(SETUP!$G$41=3,$E$60*'TB-EQUIPMENT &amp; OTHER HPs'!AW15,IF(SETUP!$G$41=2,$E$60*'TB-EQUIPMENT &amp; OTHER HPs'!AX15,IF(SETUP!$G$41=1,$E$60*'TB-EQUIPMENT &amp; OTHER HPs'!AY15,0))),0)</f>
        <v>0</v>
      </c>
      <c r="J62" s="1316">
        <f t="shared" si="4"/>
        <v>0</v>
      </c>
      <c r="K62" s="1317">
        <f>IF(SETUP!$F$41="At delivery",IF(SETUP!$G$41=4,$E$60*'TB-EQUIPMENT &amp; OTHER HPs'!AW15,IF(SETUP!$G$41=3,$E$60*'TB-EQUIPMENT &amp; OTHER HPs'!AX15,IF(SETUP!$G$41=2,$E$60*'TB-EQUIPMENT &amp; OTHER HPs'!AY15,IF(SETUP!$G$41=1,$E$60*'TB-EQUIPMENT &amp; OTHER HPs'!AZ15,0)))),0)</f>
        <v>0</v>
      </c>
      <c r="L62" s="1316">
        <f>IF(SETUP!$F$41="At delivery",IF(SETUP!$G$41=4,$E$60*'TB-EQUIPMENT &amp; OTHER HPs'!AX15,IF(SETUP!$G$41=3,$E$60*'TB-EQUIPMENT &amp; OTHER HPs'!AY15,IF(SETUP!$G$41=2,$E$60*'TB-EQUIPMENT &amp; OTHER HPs'!AZ15,IF(SETUP!$G$41=1,$E$60*'TB-EQUIPMENT &amp; OTHER HPs'!BA15,0)))),0)</f>
        <v>0</v>
      </c>
      <c r="M62" s="1316">
        <f>IF(SETUP!$F$41="At delivery",IF(SETUP!$G$41=4,$E$60*'TB-EQUIPMENT &amp; OTHER HPs'!AY15,IF(SETUP!$G$41=3,$E$60*'TB-EQUIPMENT &amp; OTHER HPs'!AZ15,IF(SETUP!$G$41=2,$E$60*'TB-EQUIPMENT &amp; OTHER HPs'!BA15,IF(SETUP!$G$41=1,$E$60*'TB-EQUIPMENT &amp; OTHER HPs'!BB15,0)))),0)</f>
        <v>0</v>
      </c>
      <c r="N62" s="1316">
        <f>IF(SETUP!$F$41="At delivery",IF(SETUP!$G$41=4,$E$60*'TB-EQUIPMENT &amp; OTHER HPs'!AZ15,IF(SETUP!$G$41=3,$E$60*'TB-EQUIPMENT &amp; OTHER HPs'!BA15,IF(SETUP!$G$41=2,$E$60*'TB-EQUIPMENT &amp; OTHER HPs'!BB15,IF(SETUP!$G$41=1,$E$60*'TB-EQUIPMENT &amp; OTHER HPs'!BC15,0)))),0)</f>
        <v>0</v>
      </c>
      <c r="O62" s="1205">
        <f t="shared" si="5"/>
        <v>0</v>
      </c>
      <c r="P62" s="1279">
        <f>IF(SETUP!$F$41="At delivery",IF(SETUP!$G$41=4,$E$60*'TB-EQUIPMENT &amp; OTHER HPs'!BA15,IF(SETUP!$G$41=3,$E$60*'TB-EQUIPMENT &amp; OTHER HPs'!BB15,IF(SETUP!$G$41=2,$E$60*'TB-EQUIPMENT &amp; OTHER HPs'!BC15,IF(SETUP!$G$41=1,$E$60*'TB-EQUIPMENT &amp; OTHER HPs'!BD15,0)))),0)</f>
        <v>0</v>
      </c>
      <c r="Q62" s="1189">
        <f>IF(SETUP!$F$41="At delivery",IF(SETUP!$G$41=4,$E$60*'TB-EQUIPMENT &amp; OTHER HPs'!BB15,IF(SETUP!$G$41=3,$E$60*'TB-EQUIPMENT &amp; OTHER HPs'!BC15,IF(SETUP!$G$41=2,$E$60*'TB-EQUIPMENT &amp; OTHER HPs'!BD15,IF(SETUP!$G$41=1,$E$60*'TB-EQUIPMENT &amp; OTHER HPs'!BE15,0)))),0)</f>
        <v>0</v>
      </c>
      <c r="R62" s="1189">
        <f>IF(SETUP!$F$41="At delivery",IF(SETUP!$G$41=4,$E$60*'TB-EQUIPMENT &amp; OTHER HPs'!BC15,IF(SETUP!$G$41=3,$E$60*'TB-EQUIPMENT &amp; OTHER HPs'!BD15,IF(SETUP!$G$41=2,$E$60*'TB-EQUIPMENT &amp; OTHER HPs'!BE15,IF(SETUP!$G$41=1,$E$60*'TB-EQUIPMENT &amp; OTHER HPs'!BF15,0)))),0)</f>
        <v>0</v>
      </c>
      <c r="S62" s="1189">
        <f>IF(SETUP!$F$41="At delivery",IF(SETUP!$G$41=4,$E$60*('TB-EQUIPMENT &amp; OTHER HPs'!BD15+'TB-EQUIPMENT &amp; OTHER HPs'!BE15+'TB-EQUIPMENT &amp; OTHER HPs'!BF15+'TB-EQUIPMENT &amp; OTHER HPs'!BG15+'TB-EQUIPMENT &amp; OTHER HPs'!BH15),IF(SETUP!$G$41=3,$E$60*('TB-EQUIPMENT &amp; OTHER HPs'!BE15+'TB-EQUIPMENT &amp; OTHER HPs'!BF15+'TB-EQUIPMENT &amp; OTHER HPs'!BG15+'TB-EQUIPMENT &amp; OTHER HPs'!BH15),IF(SETUP!$G$41=2,$E$60*('TB-EQUIPMENT &amp; OTHER HPs'!BF15+'TB-EQUIPMENT &amp; OTHER HPs'!BG15+'TB-EQUIPMENT &amp; OTHER HPs'!BH15),IF(SETUP!$G$41=1,$E$60*('TB-EQUIPMENT &amp; OTHER HPs'!BG15+'TB-EQUIPMENT &amp; OTHER HPs'!BH15),0)))),0)</f>
        <v>0</v>
      </c>
      <c r="T62" s="1189">
        <f t="shared" si="6"/>
        <v>0</v>
      </c>
      <c r="U62" s="1279">
        <f t="shared" si="7"/>
        <v>0</v>
      </c>
      <c r="V62" s="1795"/>
      <c r="W62" s="1823"/>
      <c r="X62" s="1799"/>
    </row>
    <row r="63" spans="1:24" s="860" customFormat="1" ht="15" hidden="1" customHeight="1" collapsed="1">
      <c r="A63" s="2919"/>
      <c r="B63" s="2920"/>
      <c r="C63" s="2911" t="s">
        <v>1754</v>
      </c>
      <c r="D63" s="2911"/>
      <c r="E63" s="1649">
        <v>1E-4</v>
      </c>
      <c r="F63" s="1279">
        <f>IF(SETUP!$F$43="Upfront",F64,F65)</f>
        <v>0</v>
      </c>
      <c r="G63" s="1316">
        <f>IF(SETUP!$F$43="Upfront",G64,G65)</f>
        <v>0</v>
      </c>
      <c r="H63" s="1316">
        <f>IF(SETUP!$F$43="Upfront",H64,H65)</f>
        <v>0</v>
      </c>
      <c r="I63" s="1316">
        <f>IF(SETUP!$F$43="Upfront",I64,I65)</f>
        <v>0</v>
      </c>
      <c r="J63" s="1316">
        <f t="shared" si="4"/>
        <v>0</v>
      </c>
      <c r="K63" s="1317">
        <f>IF(SETUP!$F$43="Upfront",K64,K65)</f>
        <v>0</v>
      </c>
      <c r="L63" s="1316">
        <f>IF(SETUP!$F$43="Upfront",L64,L65)</f>
        <v>0</v>
      </c>
      <c r="M63" s="1316">
        <f>IF(SETUP!$F$43="Upfront",M64,M65)</f>
        <v>0</v>
      </c>
      <c r="N63" s="1316">
        <f>IF(SETUP!$F$43="Upfront",N64,N65)</f>
        <v>0</v>
      </c>
      <c r="O63" s="1205">
        <f t="shared" si="5"/>
        <v>0</v>
      </c>
      <c r="P63" s="1279">
        <f>IF(SETUP!$F$43="Upfront",P64,P65)</f>
        <v>0</v>
      </c>
      <c r="Q63" s="1189">
        <f>IF(SETUP!$F$43="Upfront",Q64,Q65)</f>
        <v>0</v>
      </c>
      <c r="R63" s="1189">
        <f>IF(SETUP!$F$43="Upfront",R64,R65)</f>
        <v>0</v>
      </c>
      <c r="S63" s="1189">
        <f>IF(SETUP!$F$43="Upfront",S64,S65)</f>
        <v>0</v>
      </c>
      <c r="T63" s="1189">
        <f t="shared" si="6"/>
        <v>0</v>
      </c>
      <c r="U63" s="1279">
        <f t="shared" si="7"/>
        <v>0</v>
      </c>
      <c r="V63" s="1795">
        <v>7.1</v>
      </c>
      <c r="W63" s="1823"/>
      <c r="X63" s="1799"/>
    </row>
    <row r="64" spans="1:24" s="860" customFormat="1" ht="15" hidden="1" customHeight="1" outlineLevel="1">
      <c r="A64" s="2919"/>
      <c r="B64" s="2920"/>
      <c r="C64" s="2912" t="s">
        <v>918</v>
      </c>
      <c r="D64" s="2912"/>
      <c r="E64" s="1649"/>
      <c r="F64" s="1279">
        <f>IF(SETUP!$F$43="Upfront",$E$63*'TB-EQUIPMENT &amp; OTHER HPs'!AW16,0)</f>
        <v>0</v>
      </c>
      <c r="G64" s="1316">
        <f>IF(SETUP!$F$43="Upfront",$E$63*'TB-EQUIPMENT &amp; OTHER HPs'!AX16,0)</f>
        <v>0</v>
      </c>
      <c r="H64" s="1316">
        <f>IF(SETUP!$F$43="Upfront",$E$63*'TB-EQUIPMENT &amp; OTHER HPs'!AY16,0)</f>
        <v>0</v>
      </c>
      <c r="I64" s="1316">
        <f>IF(SETUP!$F$43="Upfront",$E$63*'TB-EQUIPMENT &amp; OTHER HPs'!AZ16,0)</f>
        <v>0</v>
      </c>
      <c r="J64" s="1316">
        <f t="shared" si="4"/>
        <v>0</v>
      </c>
      <c r="K64" s="1317">
        <f>IF(SETUP!$F$43="Upfront",$E$63*'TB-EQUIPMENT &amp; OTHER HPs'!BA16,0)</f>
        <v>0</v>
      </c>
      <c r="L64" s="1316">
        <f>IF(SETUP!$F$43="Upfront",$E$63*'TB-EQUIPMENT &amp; OTHER HPs'!BB16,0)</f>
        <v>0</v>
      </c>
      <c r="M64" s="1316">
        <f>IF(SETUP!$F$43="Upfront",$E$63*'TB-EQUIPMENT &amp; OTHER HPs'!BC16,0)</f>
        <v>0</v>
      </c>
      <c r="N64" s="1316">
        <f>IF(SETUP!$F$43="Upfront",$E$63*'TB-EQUIPMENT &amp; OTHER HPs'!BD16,0)</f>
        <v>0</v>
      </c>
      <c r="O64" s="1205">
        <f t="shared" si="5"/>
        <v>0</v>
      </c>
      <c r="P64" s="1279">
        <f>IF(SETUP!$F$43="Upfront",$E$63*'TB-EQUIPMENT &amp; OTHER HPs'!BE16,0)</f>
        <v>0</v>
      </c>
      <c r="Q64" s="1189">
        <f>IF(SETUP!$F$43="Upfront",$E$63*'TB-EQUIPMENT &amp; OTHER HPs'!BF16,0)</f>
        <v>0</v>
      </c>
      <c r="R64" s="1189">
        <f>IF(SETUP!$F$43="Upfront",$E$63*'TB-EQUIPMENT &amp; OTHER HPs'!BG16,0)</f>
        <v>0</v>
      </c>
      <c r="S64" s="1189">
        <f>IF(SETUP!$F$43="Upfront",$E$63*'TB-EQUIPMENT &amp; OTHER HPs'!BH16,0)</f>
        <v>0</v>
      </c>
      <c r="T64" s="1189">
        <f t="shared" si="6"/>
        <v>0</v>
      </c>
      <c r="U64" s="1279">
        <f t="shared" si="7"/>
        <v>0</v>
      </c>
      <c r="V64" s="1795"/>
      <c r="W64" s="1823"/>
      <c r="X64" s="1799"/>
    </row>
    <row r="65" spans="1:24" s="860" customFormat="1" ht="15" hidden="1" customHeight="1" outlineLevel="1">
      <c r="A65" s="2919"/>
      <c r="B65" s="2920"/>
      <c r="C65" s="2912" t="s">
        <v>36</v>
      </c>
      <c r="D65" s="2912"/>
      <c r="E65" s="1649"/>
      <c r="F65" s="1279">
        <v>0</v>
      </c>
      <c r="G65" s="1316">
        <f>IF(SETUP!$F$43="At delivery",IF(SETUP!$G$43=1,$E$63*'TB-EQUIPMENT &amp; OTHER HPs'!AW16,0),0)</f>
        <v>0</v>
      </c>
      <c r="H65" s="1316">
        <f>IF(SETUP!$F$43="At delivery",IF(SETUP!$G$43=2,$E$63*'TB-EQUIPMENT &amp; OTHER HPs'!AW16,IF(SETUP!$G$43=1,$E$63*'TB-EQUIPMENT &amp; OTHER HPs'!AX16,0)),0)</f>
        <v>0</v>
      </c>
      <c r="I65" s="1316">
        <f>IF(SETUP!$F$43="At delivery",IF(SETUP!$G$43=3,$E$63*'TB-EQUIPMENT &amp; OTHER HPs'!AW16,IF(SETUP!$G$43=2,$E$63*'TB-EQUIPMENT &amp; OTHER HPs'!AX16,IF(SETUP!$G$43=1,$E$63*'TB-EQUIPMENT &amp; OTHER HPs'!AY16,0))),0)</f>
        <v>0</v>
      </c>
      <c r="J65" s="1316">
        <f t="shared" si="4"/>
        <v>0</v>
      </c>
      <c r="K65" s="1317">
        <f>IF(SETUP!$F$43="At delivery",IF(SETUP!$G$43=4,$E$63*'TB-EQUIPMENT &amp; OTHER HPs'!AW16,IF(SETUP!$G$43=3,$E$63*'TB-EQUIPMENT &amp; OTHER HPs'!AX16,IF(SETUP!$G$43=2,$E$63*'TB-EQUIPMENT &amp; OTHER HPs'!AY16,IF(SETUP!$G$43=1,$E$63*'TB-EQUIPMENT &amp; OTHER HPs'!AZ16,0)))),0)</f>
        <v>0</v>
      </c>
      <c r="L65" s="1316">
        <f>IF(SETUP!$F$43="At delivery",IF(SETUP!$G$43=4,$E$63*'TB-EQUIPMENT &amp; OTHER HPs'!AX16,IF(SETUP!$G$43=3,$E$63*'TB-EQUIPMENT &amp; OTHER HPs'!AY16,IF(SETUP!$G$43=2,$E$63*'TB-EQUIPMENT &amp; OTHER HPs'!AZ16,IF(SETUP!$G$43=1,$E$63*'TB-EQUIPMENT &amp; OTHER HPs'!BA16,0)))),0)</f>
        <v>0</v>
      </c>
      <c r="M65" s="1316">
        <f>IF(SETUP!$F$43="At delivery",IF(SETUP!$G$43=4,$E$63*'TB-EQUIPMENT &amp; OTHER HPs'!AY16,IF(SETUP!$G$43=3,$E$63*'TB-EQUIPMENT &amp; OTHER HPs'!AZ16,IF(SETUP!$G$43=2,$E$63*'TB-EQUIPMENT &amp; OTHER HPs'!BA16,IF(SETUP!$G$43=1,$E$63*'TB-EQUIPMENT &amp; OTHER HPs'!BB16,0)))),0)</f>
        <v>0</v>
      </c>
      <c r="N65" s="1316">
        <f>IF(SETUP!$F$43="At delivery",IF(SETUP!$G$43=4,$E$63*'TB-EQUIPMENT &amp; OTHER HPs'!AZ16,IF(SETUP!$G$43=3,$E$63*'TB-EQUIPMENT &amp; OTHER HPs'!BA16,IF(SETUP!$G$43=2,$E$63*'TB-EQUIPMENT &amp; OTHER HPs'!BB16,IF(SETUP!$G$43=1,$E$63*'TB-EQUIPMENT &amp; OTHER HPs'!BC16,0)))),0)</f>
        <v>0</v>
      </c>
      <c r="O65" s="1205">
        <f t="shared" si="5"/>
        <v>0</v>
      </c>
      <c r="P65" s="1279">
        <f>IF(SETUP!$F$43="At delivery",IF(SETUP!$G$43=4,$E$63*'TB-EQUIPMENT &amp; OTHER HPs'!BA16,IF(SETUP!$G$43=3,$E$63*'TB-EQUIPMENT &amp; OTHER HPs'!BB16,IF(SETUP!$G$43=2,$E$63*'TB-EQUIPMENT &amp; OTHER HPs'!BC16,IF(SETUP!$G$43=1,$E$63*'TB-EQUIPMENT &amp; OTHER HPs'!BD16,0)))),0)</f>
        <v>0</v>
      </c>
      <c r="Q65" s="1189">
        <f>IF(SETUP!$F$43="At delivery",IF(SETUP!$G$43=4,$E$63*'TB-EQUIPMENT &amp; OTHER HPs'!BB16,IF(SETUP!$G$43=3,$E$63*'TB-EQUIPMENT &amp; OTHER HPs'!BC16,IF(SETUP!$G$43=2,$E$63*'TB-EQUIPMENT &amp; OTHER HPs'!BD16,IF(SETUP!$G$43=1,$E$63*'TB-EQUIPMENT &amp; OTHER HPs'!BE16,0)))),0)</f>
        <v>0</v>
      </c>
      <c r="R65" s="1189">
        <f>IF(SETUP!$F$43="At delivery",IF(SETUP!$G$43=4,$E$63*'TB-EQUIPMENT &amp; OTHER HPs'!BC16,IF(SETUP!$G$43=3,$E$63*'TB-EQUIPMENT &amp; OTHER HPs'!BD16,IF(SETUP!$G$43=2,$E$63*'TB-EQUIPMENT &amp; OTHER HPs'!BE16,IF(SETUP!$G$43=1,$E$63*'TB-EQUIPMENT &amp; OTHER HPs'!BF16,0)))),0)</f>
        <v>0</v>
      </c>
      <c r="S65" s="1189">
        <f>IF(SETUP!$F$43="At delivery",IF(SETUP!$G$43=4,$E$63*('TB-EQUIPMENT &amp; OTHER HPs'!BD16+'TB-EQUIPMENT &amp; OTHER HPs'!BE16+'TB-EQUIPMENT &amp; OTHER HPs'!BF16+'TB-EQUIPMENT &amp; OTHER HPs'!BG16+'TB-EQUIPMENT &amp; OTHER HPs'!BH16),IF(SETUP!$G$43=3,$E$63*('TB-EQUIPMENT &amp; OTHER HPs'!BE16+'TB-EQUIPMENT &amp; OTHER HPs'!BF16+'TB-EQUIPMENT &amp; OTHER HPs'!BG16+'TB-EQUIPMENT &amp; OTHER HPs'!BH16),IF(SETUP!$G$43=2,$E$63*('TB-EQUIPMENT &amp; OTHER HPs'!BF16+'TB-EQUIPMENT &amp; OTHER HPs'!BG16+'TB-EQUIPMENT &amp; OTHER HPs'!BH16),IF(SETUP!$G$43=1,$E$63*('TB-EQUIPMENT &amp; OTHER HPs'!BG16+'TB-EQUIPMENT &amp; OTHER HPs'!BH16),0)))),0)</f>
        <v>0</v>
      </c>
      <c r="T65" s="1189">
        <f t="shared" si="6"/>
        <v>0</v>
      </c>
      <c r="U65" s="1279">
        <f t="shared" si="7"/>
        <v>0</v>
      </c>
      <c r="V65" s="1795"/>
      <c r="W65" s="1823"/>
      <c r="X65" s="1799"/>
    </row>
    <row r="66" spans="1:24" s="860" customFormat="1" ht="15" hidden="1" customHeight="1" collapsed="1">
      <c r="A66" s="2919"/>
      <c r="B66" s="2920"/>
      <c r="C66" s="2911" t="s">
        <v>574</v>
      </c>
      <c r="D66" s="2911"/>
      <c r="E66" s="1649">
        <v>1E-4</v>
      </c>
      <c r="F66" s="1279">
        <f>IF(SETUP!$F$44="Upfront",F67,F68)</f>
        <v>0</v>
      </c>
      <c r="G66" s="1316">
        <f>IF(SETUP!$F$44="Upfront",G67,G68)</f>
        <v>0</v>
      </c>
      <c r="H66" s="1316">
        <f>IF(SETUP!$F$44="Upfront",H67,H68)</f>
        <v>0</v>
      </c>
      <c r="I66" s="1316">
        <f>IF(SETUP!$F$44="Upfront",I67,I68)</f>
        <v>0</v>
      </c>
      <c r="J66" s="1316">
        <f t="shared" si="4"/>
        <v>0</v>
      </c>
      <c r="K66" s="1317">
        <f>IF(SETUP!$F$44="Upfront",K67,K68)</f>
        <v>0</v>
      </c>
      <c r="L66" s="1316">
        <f>IF(SETUP!$F$44="Upfront",L67,L68)</f>
        <v>0</v>
      </c>
      <c r="M66" s="1316">
        <f>IF(SETUP!$F$44="Upfront",M67,M68)</f>
        <v>0</v>
      </c>
      <c r="N66" s="1316">
        <f>IF(SETUP!$F$44="Upfront",N67,N68)</f>
        <v>0</v>
      </c>
      <c r="O66" s="1205">
        <f t="shared" si="5"/>
        <v>0</v>
      </c>
      <c r="P66" s="1279">
        <f>IF(SETUP!$F$44="Upfront",P67,P68)</f>
        <v>0</v>
      </c>
      <c r="Q66" s="1189">
        <f>IF(SETUP!$F$44="Upfront",Q67,Q68)</f>
        <v>0</v>
      </c>
      <c r="R66" s="1189">
        <f>IF(SETUP!$F$44="Upfront",R67,R68)</f>
        <v>0</v>
      </c>
      <c r="S66" s="1189">
        <f>IF(SETUP!$F$44="Upfront",S67,S68)</f>
        <v>0</v>
      </c>
      <c r="T66" s="1189">
        <f t="shared" si="6"/>
        <v>0</v>
      </c>
      <c r="U66" s="1279">
        <f t="shared" si="7"/>
        <v>0</v>
      </c>
      <c r="V66" s="1795">
        <v>7.1</v>
      </c>
      <c r="W66" s="1823"/>
      <c r="X66" s="1800"/>
    </row>
    <row r="67" spans="1:24" s="860" customFormat="1" ht="15" hidden="1" customHeight="1" outlineLevel="1">
      <c r="A67" s="2919"/>
      <c r="B67" s="2920"/>
      <c r="C67" s="2912" t="s">
        <v>918</v>
      </c>
      <c r="D67" s="2912"/>
      <c r="E67" s="1649"/>
      <c r="F67" s="1279">
        <f>IF(SETUP!$F$44="Upfront",$E$66*'TB-EQUIPMENT &amp; OTHER HPs'!AW17,0)</f>
        <v>0</v>
      </c>
      <c r="G67" s="1316">
        <f>IF(SETUP!$F$44="Upfront",$E$66*'TB-EQUIPMENT &amp; OTHER HPs'!AX17,0)</f>
        <v>0</v>
      </c>
      <c r="H67" s="1316">
        <f>IF(SETUP!$F$44="Upfront",$E$66*'TB-EQUIPMENT &amp; OTHER HPs'!AY17,0)</f>
        <v>0</v>
      </c>
      <c r="I67" s="1316">
        <f>IF(SETUP!$F$44="Upfront",$E$66*'TB-EQUIPMENT &amp; OTHER HPs'!AZ17,0)</f>
        <v>0</v>
      </c>
      <c r="J67" s="1316">
        <f t="shared" si="4"/>
        <v>0</v>
      </c>
      <c r="K67" s="1317">
        <f>IF(SETUP!$F$44="Upfront",$E$66*'TB-EQUIPMENT &amp; OTHER HPs'!BA17,0)</f>
        <v>0</v>
      </c>
      <c r="L67" s="1316">
        <f>IF(SETUP!$F$44="Upfront",$E$66*'TB-EQUIPMENT &amp; OTHER HPs'!BB17,0)</f>
        <v>0</v>
      </c>
      <c r="M67" s="1316">
        <f>IF(SETUP!$F$44="Upfront",$E$66*'TB-EQUIPMENT &amp; OTHER HPs'!BC17,0)</f>
        <v>0</v>
      </c>
      <c r="N67" s="1316">
        <f>IF(SETUP!$F$44="Upfront",$E$66*'TB-EQUIPMENT &amp; OTHER HPs'!BD17,0)</f>
        <v>0</v>
      </c>
      <c r="O67" s="1205">
        <f t="shared" si="5"/>
        <v>0</v>
      </c>
      <c r="P67" s="1279">
        <f>IF(SETUP!$F$44="Upfront",$E$66*'TB-EQUIPMENT &amp; OTHER HPs'!BE17,0)</f>
        <v>0</v>
      </c>
      <c r="Q67" s="1189">
        <f>IF(SETUP!$F$44="Upfront",$E$66*'TB-EQUIPMENT &amp; OTHER HPs'!BF17,0)</f>
        <v>0</v>
      </c>
      <c r="R67" s="1189">
        <f>IF(SETUP!$F$44="Upfront",$E$66*'TB-EQUIPMENT &amp; OTHER HPs'!BG17,0)</f>
        <v>0</v>
      </c>
      <c r="S67" s="1189">
        <f>IF(SETUP!$F$44="Upfront",$E$66*'TB-EQUIPMENT &amp; OTHER HPs'!BH17,0)</f>
        <v>0</v>
      </c>
      <c r="T67" s="1189">
        <f t="shared" si="6"/>
        <v>0</v>
      </c>
      <c r="U67" s="1279">
        <f t="shared" si="7"/>
        <v>0</v>
      </c>
      <c r="V67" s="1795"/>
      <c r="W67" s="1823"/>
      <c r="X67" s="1799"/>
    </row>
    <row r="68" spans="1:24" s="860" customFormat="1" ht="15" hidden="1" customHeight="1" outlineLevel="1">
      <c r="A68" s="2919"/>
      <c r="B68" s="2920"/>
      <c r="C68" s="2912" t="s">
        <v>36</v>
      </c>
      <c r="D68" s="2912"/>
      <c r="E68" s="1649"/>
      <c r="F68" s="1279">
        <v>0</v>
      </c>
      <c r="G68" s="1316">
        <f>IF(SETUP!$F$44="At delivery",IF(SETUP!$G$44=1,$E$66*'TB-EQUIPMENT &amp; OTHER HPs'!AW17,0),0)</f>
        <v>0</v>
      </c>
      <c r="H68" s="1316">
        <f>IF(SETUP!$F$44="At delivery",IF(SETUP!$G$44=2,$E$66*'TB-EQUIPMENT &amp; OTHER HPs'!AW17,IF(SETUP!$G$44=1,$E$66*'TB-EQUIPMENT &amp; OTHER HPs'!AX17,0)),0)</f>
        <v>0</v>
      </c>
      <c r="I68" s="1316">
        <f>IF(SETUP!$F$44="At delivery",IF(SETUP!$G$44=3,$E$66*'TB-EQUIPMENT &amp; OTHER HPs'!AW17,IF(SETUP!$G$44=2,$E$66*'TB-EQUIPMENT &amp; OTHER HPs'!AX17,IF(SETUP!$G$44=1,$E$66*'TB-EQUIPMENT &amp; OTHER HPs'!AY17,0))),0)</f>
        <v>0</v>
      </c>
      <c r="J68" s="1316">
        <f t="shared" si="4"/>
        <v>0</v>
      </c>
      <c r="K68" s="1317">
        <f>IF(SETUP!$F$44="At delivery",IF(SETUP!$G$44=4,$E$66*'TB-EQUIPMENT &amp; OTHER HPs'!AW17,IF(SETUP!$G$44=3,$E$66*'TB-EQUIPMENT &amp; OTHER HPs'!AX17,IF(SETUP!$G$44=2,$E$66*'TB-EQUIPMENT &amp; OTHER HPs'!AY17,IF(SETUP!$G$44=1,$E$66*'TB-EQUIPMENT &amp; OTHER HPs'!AZ17,0)))),0)</f>
        <v>0</v>
      </c>
      <c r="L68" s="1316">
        <f>IF(SETUP!$F$44="At delivery",IF(SETUP!$G$44=4,$E$66*'TB-EQUIPMENT &amp; OTHER HPs'!AX17,IF(SETUP!$G$44=3,$E$66*'TB-EQUIPMENT &amp; OTHER HPs'!AY17,IF(SETUP!$G$44=2,$E$66*'TB-EQUIPMENT &amp; OTHER HPs'!AZ17,IF(SETUP!$G$44=1,$E$66*'TB-EQUIPMENT &amp; OTHER HPs'!BA17,0)))),0)</f>
        <v>0</v>
      </c>
      <c r="M68" s="1316">
        <f>IF(SETUP!$F$44="At delivery",IF(SETUP!$G$44=4,$E$66*'TB-EQUIPMENT &amp; OTHER HPs'!AY17,IF(SETUP!$G$44=3,$E$66*'TB-EQUIPMENT &amp; OTHER HPs'!AZ17,IF(SETUP!$G$44=2,$E$66*'TB-EQUIPMENT &amp; OTHER HPs'!BA17,IF(SETUP!$G$44=1,$E$66*'TB-EQUIPMENT &amp; OTHER HPs'!BB17,0)))),0)</f>
        <v>0</v>
      </c>
      <c r="N68" s="1316">
        <f>IF(SETUP!$F$44="At delivery",IF(SETUP!$G$44=4,$E$66*'TB-EQUIPMENT &amp; OTHER HPs'!AZ17,IF(SETUP!$G$44=3,$E$66*'TB-EQUIPMENT &amp; OTHER HPs'!BA17,IF(SETUP!$G$44=2,$E$66*'TB-EQUIPMENT &amp; OTHER HPs'!BB17,IF(SETUP!$G$44=1,$E$66*'TB-EQUIPMENT &amp; OTHER HPs'!BC17,0)))),0)</f>
        <v>0</v>
      </c>
      <c r="O68" s="1205">
        <f t="shared" si="5"/>
        <v>0</v>
      </c>
      <c r="P68" s="1279">
        <f>IF(SETUP!$F$44="At delivery",IF(SETUP!$G$44=4,$E$66*'TB-EQUIPMENT &amp; OTHER HPs'!BA17,IF(SETUP!$G$44=3,$E$66*'TB-EQUIPMENT &amp; OTHER HPs'!BB17,IF(SETUP!$G$44=2,$E$66*'TB-EQUIPMENT &amp; OTHER HPs'!BC17,IF(SETUP!$G$44=1,$E$66*'TB-EQUIPMENT &amp; OTHER HPs'!BD17,0)))),0)</f>
        <v>0</v>
      </c>
      <c r="Q68" s="1189">
        <f>IF(SETUP!$F$44="At delivery",IF(SETUP!$G$44=4,$E$66*'TB-EQUIPMENT &amp; OTHER HPs'!BB17,IF(SETUP!$G$44=3,$E$66*'TB-EQUIPMENT &amp; OTHER HPs'!BC17,IF(SETUP!$G$44=2,$E$66*'TB-EQUIPMENT &amp; OTHER HPs'!BD17,IF(SETUP!$G$44=1,$E$66*'TB-EQUIPMENT &amp; OTHER HPs'!BE17,0)))),0)</f>
        <v>0</v>
      </c>
      <c r="R68" s="1189">
        <f>IF(SETUP!$F$44="At delivery",IF(SETUP!$G$44=4,$E$66*'TB-EQUIPMENT &amp; OTHER HPs'!BC17,IF(SETUP!$G$44=3,$E$66*'TB-EQUIPMENT &amp; OTHER HPs'!BD17,IF(SETUP!$G$44=2,$E$66*'TB-EQUIPMENT &amp; OTHER HPs'!BE17,IF(SETUP!$G$44=1,$E$66*'TB-EQUIPMENT &amp; OTHER HPs'!BF17,0)))),0)</f>
        <v>0</v>
      </c>
      <c r="S68" s="1189">
        <f>IF(SETUP!$F$44="At delivery",IF(SETUP!$G$44=4,$E$66*('TB-EQUIPMENT &amp; OTHER HPs'!BD17+'TB-EQUIPMENT &amp; OTHER HPs'!BE17+'TB-EQUIPMENT &amp; OTHER HPs'!BF17+'TB-EQUIPMENT &amp; OTHER HPs'!BG17+'TB-EQUIPMENT &amp; OTHER HPs'!BH17),IF(SETUP!$G$44=3,$E$66*('TB-EQUIPMENT &amp; OTHER HPs'!BE17+'TB-EQUIPMENT &amp; OTHER HPs'!BF17+'TB-EQUIPMENT &amp; OTHER HPs'!BG17+'TB-EQUIPMENT &amp; OTHER HPs'!BH17),IF(SETUP!$G$44=2,$E$66*('TB-EQUIPMENT &amp; OTHER HPs'!BF17+'TB-EQUIPMENT &amp; OTHER HPs'!BG17+'TB-EQUIPMENT &amp; OTHER HPs'!BH17),IF(SETUP!$G$44=1,$E$66*('TB-EQUIPMENT &amp; OTHER HPs'!BG17+'TB-EQUIPMENT &amp; OTHER HPs'!BH17),0)))),0)</f>
        <v>0</v>
      </c>
      <c r="T68" s="1189">
        <f t="shared" si="6"/>
        <v>0</v>
      </c>
      <c r="U68" s="1279">
        <f t="shared" si="7"/>
        <v>0</v>
      </c>
      <c r="V68" s="1795">
        <v>7.1</v>
      </c>
      <c r="W68" s="1823"/>
      <c r="X68" s="1799"/>
    </row>
    <row r="69" spans="1:24" s="860" customFormat="1" ht="15" hidden="1" customHeight="1" collapsed="1">
      <c r="A69" s="2921" t="s">
        <v>575</v>
      </c>
      <c r="B69" s="2922"/>
      <c r="C69" s="2911" t="s">
        <v>576</v>
      </c>
      <c r="D69" s="2911"/>
      <c r="E69" s="1649">
        <v>1E-4</v>
      </c>
      <c r="F69" s="1279">
        <f>IF(SETUP!$F$50="Upfront",F70,F71)</f>
        <v>0</v>
      </c>
      <c r="G69" s="1189">
        <f>IF(SETUP!$F$50="Upfront",G70,G71)</f>
        <v>0</v>
      </c>
      <c r="H69" s="1189">
        <f>IF(SETUP!$F$50="Upfront",H70,H71)</f>
        <v>0</v>
      </c>
      <c r="I69" s="1189">
        <f>IF(SETUP!$F$50="Upfront",I70,I71)</f>
        <v>0</v>
      </c>
      <c r="J69" s="1316">
        <f t="shared" si="4"/>
        <v>0</v>
      </c>
      <c r="K69" s="1317">
        <f>IF(SETUP!$F$50="Upfront",K70,K71)</f>
        <v>0</v>
      </c>
      <c r="L69" s="1316">
        <f>IF(SETUP!$F$50="Upfront",L70,L71)</f>
        <v>0</v>
      </c>
      <c r="M69" s="1316">
        <f>IF(SETUP!$F$50="Upfront",M70,M71)</f>
        <v>0</v>
      </c>
      <c r="N69" s="1316">
        <f>IF(SETUP!$F$50="Upfront",N70,N71)</f>
        <v>0</v>
      </c>
      <c r="O69" s="1205">
        <f t="shared" si="5"/>
        <v>0</v>
      </c>
      <c r="P69" s="1279">
        <f>IF(SETUP!$F$50="Upfront",P70,P71)</f>
        <v>0</v>
      </c>
      <c r="Q69" s="1189">
        <f>IF(SETUP!$F$50="Upfront",Q70,Q71)</f>
        <v>0</v>
      </c>
      <c r="R69" s="1189">
        <f>IF(SETUP!$F$50="Upfront",R70,R71)</f>
        <v>0</v>
      </c>
      <c r="S69" s="1189">
        <f>IF(SETUP!$F$50="Upfront",S70,S71)</f>
        <v>0</v>
      </c>
      <c r="T69" s="1189">
        <f t="shared" si="6"/>
        <v>0</v>
      </c>
      <c r="U69" s="1279">
        <f t="shared" si="7"/>
        <v>0</v>
      </c>
      <c r="V69" s="1795">
        <v>7.1</v>
      </c>
      <c r="W69" s="1823"/>
      <c r="X69" s="1799" t="s">
        <v>577</v>
      </c>
    </row>
    <row r="70" spans="1:24" s="860" customFormat="1" ht="15" hidden="1" customHeight="1" outlineLevel="1">
      <c r="A70" s="2921"/>
      <c r="B70" s="2922"/>
      <c r="C70" s="2912" t="s">
        <v>918</v>
      </c>
      <c r="D70" s="2912"/>
      <c r="E70" s="1649"/>
      <c r="F70" s="1279">
        <f>IF(SETUP!$F$50="Upfront",$E$69*'Malaria-Pharmaceuticals'!AW14,0)</f>
        <v>0</v>
      </c>
      <c r="G70" s="1316">
        <f>IF(SETUP!$F$50="Upfront",$E$69*'Malaria-Pharmaceuticals'!AX14,0)</f>
        <v>0</v>
      </c>
      <c r="H70" s="1316">
        <f>IF(SETUP!$F$50="Upfront",$E$69*'Malaria-Pharmaceuticals'!AY14,0)</f>
        <v>0</v>
      </c>
      <c r="I70" s="1316">
        <f>IF(SETUP!$F$50="Upfront",$E$69*'Malaria-Pharmaceuticals'!AZ14,0)</f>
        <v>0</v>
      </c>
      <c r="J70" s="1316">
        <f t="shared" si="4"/>
        <v>0</v>
      </c>
      <c r="K70" s="1317">
        <f>IF(SETUP!$F$50="Upfront",$E$69*'Malaria-Pharmaceuticals'!BA14,0)</f>
        <v>0</v>
      </c>
      <c r="L70" s="1316">
        <f>IF(SETUP!$F$50="Upfront",$E$69*'Malaria-Pharmaceuticals'!BB14,0)</f>
        <v>0</v>
      </c>
      <c r="M70" s="1316">
        <f>IF(SETUP!$F$50="Upfront",$E$69*'Malaria-Pharmaceuticals'!BC14,0)</f>
        <v>0</v>
      </c>
      <c r="N70" s="1316">
        <f>IF(SETUP!$F$50="Upfront",$E$69*'Malaria-Pharmaceuticals'!BD14,0)</f>
        <v>0</v>
      </c>
      <c r="O70" s="1205">
        <f t="shared" si="5"/>
        <v>0</v>
      </c>
      <c r="P70" s="1279">
        <f>IF(SETUP!$F$50="Upfront",$E$69*'Malaria-Pharmaceuticals'!BE14,0)</f>
        <v>0</v>
      </c>
      <c r="Q70" s="1189">
        <f>IF(SETUP!$F$50="Upfront",$E$69*'Malaria-Pharmaceuticals'!BF14,0)</f>
        <v>0</v>
      </c>
      <c r="R70" s="1189">
        <f>IF(SETUP!$F$50="Upfront",$E$69*'Malaria-Pharmaceuticals'!BG14,0)</f>
        <v>0</v>
      </c>
      <c r="S70" s="1189">
        <f>IF(SETUP!$F$50="Upfront",$E$69*'Malaria-Pharmaceuticals'!BH14,0)</f>
        <v>0</v>
      </c>
      <c r="T70" s="1189">
        <f t="shared" si="6"/>
        <v>0</v>
      </c>
      <c r="U70" s="1279">
        <f t="shared" si="7"/>
        <v>0</v>
      </c>
      <c r="V70" s="1795"/>
      <c r="W70" s="1823"/>
      <c r="X70" s="1799"/>
    </row>
    <row r="71" spans="1:24" s="860" customFormat="1" ht="15" hidden="1" customHeight="1" outlineLevel="1">
      <c r="A71" s="2921"/>
      <c r="B71" s="2922"/>
      <c r="C71" s="2912" t="s">
        <v>36</v>
      </c>
      <c r="D71" s="2912"/>
      <c r="E71" s="1649"/>
      <c r="F71" s="1279">
        <v>0</v>
      </c>
      <c r="G71" s="1316">
        <f>IF(SETUP!$F$50="At delivery",IF(SETUP!$G$50=1,$E$69*'Malaria-Pharmaceuticals'!AW14,0),0)</f>
        <v>0</v>
      </c>
      <c r="H71" s="1316">
        <f>IF(SETUP!$F$50="At delivery",IF(SETUP!$G$50=2,$E$69*'Malaria-Pharmaceuticals'!AW14,IF(SETUP!$G$50=1,$E$69*'Malaria-Pharmaceuticals'!AX14,0)),0)</f>
        <v>0</v>
      </c>
      <c r="I71" s="1316">
        <f>IF(SETUP!$F$50="At delivery",IF(SETUP!$G$50=3,$E$69*'Malaria-Pharmaceuticals'!AW14,IF(SETUP!$G$50=2,$E$69*'Malaria-Pharmaceuticals'!AX14,IF(SETUP!$G$50=1,$E$69*'Malaria-Pharmaceuticals'!AY14,0))),0)</f>
        <v>0</v>
      </c>
      <c r="J71" s="1316">
        <f t="shared" ref="J71:J93" si="8">F71+G71+H71+I71</f>
        <v>0</v>
      </c>
      <c r="K71" s="1317">
        <f>IF(SETUP!$F$50="At delivery",IF(SETUP!$G$50=4,$E$69*'Malaria-Pharmaceuticals'!AW14,IF(SETUP!$G$50=3,$E$69*'Malaria-Pharmaceuticals'!AX14,IF(SETUP!$G$50=2,$E$69*'Malaria-Pharmaceuticals'!AY14,IF(SETUP!$G$50=1,$E$69*'Malaria-Pharmaceuticals'!AZ14,0)))),0)</f>
        <v>0</v>
      </c>
      <c r="L71" s="1316">
        <f>IF(SETUP!$F$50="At delivery",IF(SETUP!$G$50=4,$E$69*'Malaria-Pharmaceuticals'!AX14,IF(SETUP!$G$50=3,$E$69*'Malaria-Pharmaceuticals'!AY14,IF(SETUP!$G$50=2,$E$69*'Malaria-Pharmaceuticals'!AZ14,IF(SETUP!$G$50=1,$E$69*'Malaria-Pharmaceuticals'!BA14,0)))),0)</f>
        <v>0</v>
      </c>
      <c r="M71" s="1316">
        <f>IF(SETUP!$F$50="At delivery",IF(SETUP!$G$50=4,$E$69*'Malaria-Pharmaceuticals'!AY14,IF(SETUP!$G$50=3,$E$69*'Malaria-Pharmaceuticals'!AZ14,IF(SETUP!$G$50=2,$E$69*'Malaria-Pharmaceuticals'!BA14,IF(SETUP!$G$50=1,$E$69*'Malaria-Pharmaceuticals'!BB14,0)))),0)</f>
        <v>0</v>
      </c>
      <c r="N71" s="1316">
        <f>IF(SETUP!$F$50="At delivery",IF(SETUP!$G$50=4,$E$69*'Malaria-Pharmaceuticals'!AZ14,IF(SETUP!$G$50=3,$E$69*'Malaria-Pharmaceuticals'!BA14,IF(SETUP!$G$50=2,$E$69*'Malaria-Pharmaceuticals'!BB14,IF(SETUP!$G$50=1,$E$69*'Malaria-Pharmaceuticals'!BC14,0)))),0)</f>
        <v>0</v>
      </c>
      <c r="O71" s="1205">
        <f t="shared" ref="O71:O95" si="9">K71+L71+M71+N71</f>
        <v>0</v>
      </c>
      <c r="P71" s="1279">
        <f>IF(SETUP!$F$50="At delivery",IF(SETUP!$G$50=4,$E$69*'Malaria-Pharmaceuticals'!BA14,IF(SETUP!$G$50=3,$E$69*'Malaria-Pharmaceuticals'!BB14,IF(SETUP!$G$50=2,$E$69*'Malaria-Pharmaceuticals'!BC14,IF(SETUP!$G$50=1,$E$69*'Malaria-Pharmaceuticals'!BD14,0)))),0)</f>
        <v>0</v>
      </c>
      <c r="Q71" s="1189">
        <f>IF(SETUP!$F$50="At delivery",IF(SETUP!$G$50=4,$E$69*'Malaria-Pharmaceuticals'!BB14,IF(SETUP!$G$50=3,$E$69*'Malaria-Pharmaceuticals'!BC14,IF(SETUP!$G$50=2,$E$69*'Malaria-Pharmaceuticals'!BD14,IF(SETUP!$G$50=1,$E$69*'Malaria-Pharmaceuticals'!BE14,0)))),0)</f>
        <v>0</v>
      </c>
      <c r="R71" s="1189">
        <f>IF(SETUP!$F$50="At delivery",IF(SETUP!$G$50=4,$E$69*'Malaria-Pharmaceuticals'!BC14,IF(SETUP!$G$50=3,$E$69*'Malaria-Pharmaceuticals'!BD14,IF(SETUP!$G$50=2,$E$69*'Malaria-Pharmaceuticals'!BE14,IF(SETUP!$G$50=1,$E$69*'Malaria-Pharmaceuticals'!BF14,0)))),0)</f>
        <v>0</v>
      </c>
      <c r="S71" s="1189">
        <f>IF(SETUP!$F$50="At delivery",IF(SETUP!$G$50=4,$E$69*('Malaria-Pharmaceuticals'!BD14+'Malaria-Pharmaceuticals'!BE14+'Malaria-Pharmaceuticals'!BF14+'Malaria-Pharmaceuticals'!BG14+'Malaria-Pharmaceuticals'!BH14),IF(SETUP!$G$50=3,$E$69*('Malaria-Pharmaceuticals'!BE14+'Malaria-Pharmaceuticals'!BF14+'Malaria-Pharmaceuticals'!BG14+'Malaria-Pharmaceuticals'!BH14),IF(SETUP!$G$50=2,$E$69*('Malaria-Pharmaceuticals'!BF14+'Malaria-Pharmaceuticals'!BG14+'Malaria-Pharmaceuticals'!BH14),IF(SETUP!$G$50=1,$E$69*('Malaria-Pharmaceuticals'!BG14+'Malaria-Pharmaceuticals'!BH14),0)))),0)</f>
        <v>0</v>
      </c>
      <c r="T71" s="1189">
        <f t="shared" ref="T71:T95" si="10">P71+Q71+R71+S71</f>
        <v>0</v>
      </c>
      <c r="U71" s="1279">
        <f t="shared" ref="U71:U95" si="11">J71+O71+T71</f>
        <v>0</v>
      </c>
      <c r="V71" s="1795"/>
      <c r="W71" s="1823"/>
      <c r="X71" s="1799"/>
    </row>
    <row r="72" spans="1:24" s="860" customFormat="1" ht="15" hidden="1" customHeight="1" collapsed="1">
      <c r="A72" s="2921"/>
      <c r="B72" s="2922"/>
      <c r="C72" s="2911" t="s">
        <v>1235</v>
      </c>
      <c r="D72" s="2911"/>
      <c r="E72" s="1649">
        <v>1E-4</v>
      </c>
      <c r="F72" s="1279">
        <f>IF(SETUP!$F$51="Upfront",F73,F74)</f>
        <v>0</v>
      </c>
      <c r="G72" s="1316">
        <f>IF(SETUP!$F$51="Upfront",G73,G74)</f>
        <v>0</v>
      </c>
      <c r="H72" s="1316">
        <f>IF(SETUP!$F$51="Upfront",H73,H74)</f>
        <v>0</v>
      </c>
      <c r="I72" s="1316">
        <f>IF(SETUP!$F$51="Upfront",I73,I74)</f>
        <v>0</v>
      </c>
      <c r="J72" s="1316">
        <f t="shared" si="8"/>
        <v>0</v>
      </c>
      <c r="K72" s="1317">
        <f>IF(SETUP!$F$51="Upfront",K73,K74)</f>
        <v>0</v>
      </c>
      <c r="L72" s="1316">
        <f>IF(SETUP!$F$51="Upfront",L73,L74)</f>
        <v>0</v>
      </c>
      <c r="M72" s="1316">
        <f>IF(SETUP!$F$51="Upfront",M73,M74)</f>
        <v>0</v>
      </c>
      <c r="N72" s="1316">
        <f>IF(SETUP!$F$51="Upfront",N73,N74)</f>
        <v>0</v>
      </c>
      <c r="O72" s="1205">
        <f t="shared" si="9"/>
        <v>0</v>
      </c>
      <c r="P72" s="1279">
        <f>IF(SETUP!$F$51="Upfront",P73,P74)</f>
        <v>0</v>
      </c>
      <c r="Q72" s="1189">
        <f>IF(SETUP!$F$51="Upfront",Q73,Q74)</f>
        <v>0</v>
      </c>
      <c r="R72" s="1189">
        <f>IF(SETUP!$F$51="Upfront",R73,R74)</f>
        <v>0</v>
      </c>
      <c r="S72" s="1189">
        <f>IF(SETUP!$F$51="Upfront",S73,S74)</f>
        <v>0</v>
      </c>
      <c r="T72" s="1189">
        <f t="shared" si="10"/>
        <v>0</v>
      </c>
      <c r="U72" s="1279">
        <f t="shared" si="11"/>
        <v>0</v>
      </c>
      <c r="V72" s="1795">
        <v>7.1</v>
      </c>
      <c r="W72" s="1823"/>
      <c r="X72" s="1800"/>
    </row>
    <row r="73" spans="1:24" s="860" customFormat="1" ht="15" hidden="1" customHeight="1" outlineLevel="1">
      <c r="A73" s="2921"/>
      <c r="B73" s="2922"/>
      <c r="C73" s="2912" t="s">
        <v>918</v>
      </c>
      <c r="D73" s="2912"/>
      <c r="E73" s="1649"/>
      <c r="F73" s="1279">
        <f>IF(SETUP!$F$51="Upfront",$E$72*'Malaria-Pharmaceuticals'!AW15,0)</f>
        <v>0</v>
      </c>
      <c r="G73" s="1316">
        <f>IF(SETUP!$F$51="Upfront",$E$72*'Malaria-Pharmaceuticals'!AX15,0)</f>
        <v>0</v>
      </c>
      <c r="H73" s="1316">
        <f>IF(SETUP!$F$51="Upfront",$E$72*'Malaria-Pharmaceuticals'!AY15,0)</f>
        <v>0</v>
      </c>
      <c r="I73" s="1316">
        <f>IF(SETUP!$F$51="Upfront",$E$72*'Malaria-Pharmaceuticals'!AZ15,0)</f>
        <v>0</v>
      </c>
      <c r="J73" s="1316">
        <f t="shared" si="8"/>
        <v>0</v>
      </c>
      <c r="K73" s="1317">
        <f>IF(SETUP!$F$51="Upfront",$E$72*'Malaria-Pharmaceuticals'!BA15,0)</f>
        <v>0</v>
      </c>
      <c r="L73" s="1316">
        <f>IF(SETUP!$F$51="Upfront",$E$72*'Malaria-Pharmaceuticals'!BB15,0)</f>
        <v>0</v>
      </c>
      <c r="M73" s="1316">
        <f>IF(SETUP!$F$51="Upfront",$E$72*'Malaria-Pharmaceuticals'!BC15,0)</f>
        <v>0</v>
      </c>
      <c r="N73" s="1316">
        <f>IF(SETUP!$F$51="Upfront",$E$72*'Malaria-Pharmaceuticals'!BD15,0)</f>
        <v>0</v>
      </c>
      <c r="O73" s="1205">
        <f t="shared" si="9"/>
        <v>0</v>
      </c>
      <c r="P73" s="1279">
        <f>IF(SETUP!$F$51="Upfront",$E$72*'Malaria-Pharmaceuticals'!BE15,0)</f>
        <v>0</v>
      </c>
      <c r="Q73" s="1189">
        <f>IF(SETUP!$F$51="Upfront",$E$72*'Malaria-Pharmaceuticals'!BF15,0)</f>
        <v>0</v>
      </c>
      <c r="R73" s="1189">
        <f>IF(SETUP!$F$51="Upfront",$E$72*'Malaria-Pharmaceuticals'!BG15,0)</f>
        <v>0</v>
      </c>
      <c r="S73" s="1189">
        <f>IF(SETUP!$F$51="Upfront",$E$72*'Malaria-Pharmaceuticals'!BH15,0)</f>
        <v>0</v>
      </c>
      <c r="T73" s="1189">
        <f t="shared" si="10"/>
        <v>0</v>
      </c>
      <c r="U73" s="1279">
        <f t="shared" si="11"/>
        <v>0</v>
      </c>
      <c r="V73" s="1795"/>
      <c r="W73" s="1823"/>
      <c r="X73" s="1799"/>
    </row>
    <row r="74" spans="1:24" s="860" customFormat="1" ht="15" hidden="1" customHeight="1" outlineLevel="1">
      <c r="A74" s="2921"/>
      <c r="B74" s="2922"/>
      <c r="C74" s="2912" t="s">
        <v>36</v>
      </c>
      <c r="D74" s="2912"/>
      <c r="E74" s="1649"/>
      <c r="F74" s="1279">
        <v>0</v>
      </c>
      <c r="G74" s="1316">
        <f>IF(SETUP!$F$51="At delivery",IF(SETUP!$G$51=1,$E$72*'Malaria-Pharmaceuticals'!AW15,0),0)</f>
        <v>0</v>
      </c>
      <c r="H74" s="1316">
        <f>IF(SETUP!$F$51="At delivery",IF(SETUP!$G$51=2,$E$72*'Malaria-Pharmaceuticals'!AW15,IF(SETUP!$G$51=1,$E$72*'Malaria-Pharmaceuticals'!AX15,0)),0)</f>
        <v>0</v>
      </c>
      <c r="I74" s="1316">
        <f>IF(SETUP!$F$51="At delivery",IF(SETUP!$G$51=3,$E$72*'Malaria-Pharmaceuticals'!AW15,IF(SETUP!$G$51=2,$E$72*'Malaria-Pharmaceuticals'!AX15,IF(SETUP!$G$51=1,$E$72*'Malaria-Pharmaceuticals'!AY15,0))),0)</f>
        <v>0</v>
      </c>
      <c r="J74" s="1316">
        <f t="shared" si="8"/>
        <v>0</v>
      </c>
      <c r="K74" s="1317">
        <f>IF(SETUP!$F$51="At delivery",IF(SETUP!$G$51=4,$E$72*'Malaria-Pharmaceuticals'!AW15,IF(SETUP!$G$51=3,$E$72*'Malaria-Pharmaceuticals'!AX15,IF(SETUP!$G$51=2,$E$72*'Malaria-Pharmaceuticals'!AY15,IF(SETUP!$G$51=1,$E$72*'Malaria-Pharmaceuticals'!AZ15,0)))),0)</f>
        <v>0</v>
      </c>
      <c r="L74" s="1316">
        <f>IF(SETUP!$F$51="At delivery",IF(SETUP!$G$51=4,$E$72*'Malaria-Pharmaceuticals'!AX15,IF(SETUP!$G$51=3,$E$72*'Malaria-Pharmaceuticals'!AY15,IF(SETUP!$G$51=2,$E$72*'Malaria-Pharmaceuticals'!AZ15,IF(SETUP!$G$51=1,$E$72*'Malaria-Pharmaceuticals'!BA15,0)))),0)</f>
        <v>0</v>
      </c>
      <c r="M74" s="1316">
        <f>IF(SETUP!$F$51="At delivery",IF(SETUP!$G$51=4,$E$72*'Malaria-Pharmaceuticals'!AY15,IF(SETUP!$G$51=3,$E$72*'Malaria-Pharmaceuticals'!AZ15,IF(SETUP!$G$51=2,$E$72*'Malaria-Pharmaceuticals'!BA15,IF(SETUP!$G$51=1,$E$72*'Malaria-Pharmaceuticals'!BB15,0)))),0)</f>
        <v>0</v>
      </c>
      <c r="N74" s="1316">
        <f>IF(SETUP!$F$51="At delivery",IF(SETUP!$G$51=4,$E$72*'Malaria-Pharmaceuticals'!AZ15,IF(SETUP!$G$51=3,$E$72*'Malaria-Pharmaceuticals'!BA15,IF(SETUP!$G$51=2,$E$72*'Malaria-Pharmaceuticals'!BB15,IF(SETUP!$G$51=1,$E$72*'Malaria-Pharmaceuticals'!BC15,0)))),0)</f>
        <v>0</v>
      </c>
      <c r="O74" s="1205">
        <f t="shared" si="9"/>
        <v>0</v>
      </c>
      <c r="P74" s="1279">
        <f>IF(SETUP!$F$51="At delivery",IF(SETUP!$G$51=4,$E$72*'Malaria-Pharmaceuticals'!BA15,IF(SETUP!$G$51=3,$E$72*'Malaria-Pharmaceuticals'!BB15,IF(SETUP!$G$51=2,$E$72*'Malaria-Pharmaceuticals'!BC15,IF(SETUP!$G$51=1,$E$72*'Malaria-Pharmaceuticals'!BD15,0)))),0)</f>
        <v>0</v>
      </c>
      <c r="Q74" s="1189">
        <f>IF(SETUP!$F$51="At delivery",IF(SETUP!$G$51=4,$E$72*'Malaria-Pharmaceuticals'!BB15,IF(SETUP!$G$51=3,$E$72*'Malaria-Pharmaceuticals'!BC15,IF(SETUP!$G$51=2,$E$72*'Malaria-Pharmaceuticals'!BD15,IF(SETUP!$G$51=1,$E$72*'Malaria-Pharmaceuticals'!BE15,0)))),0)</f>
        <v>0</v>
      </c>
      <c r="R74" s="1189">
        <f>IF(SETUP!$F$51="At delivery",IF(SETUP!$G$51=4,$E$72*'Malaria-Pharmaceuticals'!BC15,IF(SETUP!$G$51=3,$E$72*'Malaria-Pharmaceuticals'!BD15,IF(SETUP!$G$51=2,$E$72*'Malaria-Pharmaceuticals'!BE15,IF(SETUP!$G$51=1,$E$72*'Malaria-Pharmaceuticals'!BF15,0)))),0)</f>
        <v>0</v>
      </c>
      <c r="S74" s="1189">
        <f>IF(SETUP!$F$51="At delivery",IF(SETUP!$G$51=4,$E$72*('Malaria-Pharmaceuticals'!BD15+'Malaria-Pharmaceuticals'!BE15+'Malaria-Pharmaceuticals'!BF15+'Malaria-Pharmaceuticals'!BG15+'Malaria-Pharmaceuticals'!BH15),IF(SETUP!$G$51=3,$E$72*('Malaria-Pharmaceuticals'!BE15+'Malaria-Pharmaceuticals'!BF15+'Malaria-Pharmaceuticals'!BG15+'Malaria-Pharmaceuticals'!BH15),IF(SETUP!$G$51=2,$E$72*('Malaria-Pharmaceuticals'!BF15+'Malaria-Pharmaceuticals'!BG15+'Malaria-Pharmaceuticals'!BH15),IF(SETUP!$G$51=1,$E$72*('Malaria-Pharmaceuticals'!BG15+'Malaria-Pharmaceuticals'!BH15),0)))),0)</f>
        <v>0</v>
      </c>
      <c r="T74" s="1189">
        <f t="shared" si="10"/>
        <v>0</v>
      </c>
      <c r="U74" s="1279">
        <f t="shared" si="11"/>
        <v>0</v>
      </c>
      <c r="V74" s="1795">
        <v>7.1</v>
      </c>
      <c r="W74" s="1823"/>
      <c r="X74" s="1799"/>
    </row>
    <row r="75" spans="1:24" s="1305" customFormat="1" ht="31.15" hidden="1" customHeight="1" collapsed="1">
      <c r="A75" s="2932" t="s">
        <v>579</v>
      </c>
      <c r="B75" s="2933"/>
      <c r="C75" s="2911" t="s">
        <v>311</v>
      </c>
      <c r="D75" s="2911"/>
      <c r="E75" s="1649">
        <v>1E-4</v>
      </c>
      <c r="F75" s="1279">
        <f>IF(SETUP!$F$52="Upfront",F76,F77)</f>
        <v>0</v>
      </c>
      <c r="G75" s="1316">
        <f>IF(SETUP!$F$52="Upfront",G76,G77)</f>
        <v>0</v>
      </c>
      <c r="H75" s="1316">
        <f>IF(SETUP!$F$52="Upfront",H76,H77)</f>
        <v>0</v>
      </c>
      <c r="I75" s="1316">
        <f>IF(SETUP!$F$52="Upfront",I76,I77)</f>
        <v>0</v>
      </c>
      <c r="J75" s="1316">
        <f t="shared" si="8"/>
        <v>0</v>
      </c>
      <c r="K75" s="1317">
        <f>IF(SETUP!$F$52="Upfront",K76,K77)</f>
        <v>0</v>
      </c>
      <c r="L75" s="1316">
        <f>IF(SETUP!$F$52="Upfront",L76,L77)</f>
        <v>0</v>
      </c>
      <c r="M75" s="1316">
        <f>IF(SETUP!$F$52="Upfront",M76,M77)</f>
        <v>0</v>
      </c>
      <c r="N75" s="1316">
        <f>IF(SETUP!$F$52="Upfront",N76,N77)</f>
        <v>0</v>
      </c>
      <c r="O75" s="1205">
        <f t="shared" si="9"/>
        <v>0</v>
      </c>
      <c r="P75" s="1279">
        <f>IF(SETUP!$F$52="Upfront",P76,P77)</f>
        <v>0</v>
      </c>
      <c r="Q75" s="1189">
        <f>IF(SETUP!$F$52="Upfront",Q76,Q77)</f>
        <v>0</v>
      </c>
      <c r="R75" s="1189">
        <f>IF(SETUP!$F$52="Upfront",R76,R77)</f>
        <v>0</v>
      </c>
      <c r="S75" s="1189">
        <f>IF(SETUP!$F$52="Upfront",S76,S77)</f>
        <v>0</v>
      </c>
      <c r="T75" s="1189">
        <f t="shared" si="10"/>
        <v>0</v>
      </c>
      <c r="U75" s="1279">
        <f t="shared" si="11"/>
        <v>0</v>
      </c>
      <c r="V75" s="1795">
        <v>7.1</v>
      </c>
      <c r="W75" s="1823"/>
      <c r="X75" s="1799"/>
    </row>
    <row r="76" spans="1:24" s="860" customFormat="1" ht="15" hidden="1" customHeight="1" outlineLevel="1">
      <c r="A76" s="2934"/>
      <c r="B76" s="2935"/>
      <c r="C76" s="2912" t="s">
        <v>918</v>
      </c>
      <c r="D76" s="2912"/>
      <c r="E76" s="1649"/>
      <c r="F76" s="1279">
        <f>IF(SETUP!$F$52="Upfront",$E$75*'Malaria-Equipment &amp; Other HPs'!AW14,0)</f>
        <v>0</v>
      </c>
      <c r="G76" s="1316">
        <f>IF(SETUP!$F$52="Upfront",$E$75*'Malaria-Equipment &amp; Other HPs'!AX14,0)</f>
        <v>0</v>
      </c>
      <c r="H76" s="1316">
        <f>IF(SETUP!$F$52="Upfront",$E$75*'Malaria-Equipment &amp; Other HPs'!AY14,0)</f>
        <v>0</v>
      </c>
      <c r="I76" s="1316">
        <f>IF(SETUP!$F$52="Upfront",$E$75*'Malaria-Equipment &amp; Other HPs'!AZ14,0)</f>
        <v>0</v>
      </c>
      <c r="J76" s="1316">
        <f t="shared" si="8"/>
        <v>0</v>
      </c>
      <c r="K76" s="1317">
        <f>IF(SETUP!$F$52="Upfront",$E$75*'Malaria-Equipment &amp; Other HPs'!BA14,0)</f>
        <v>0</v>
      </c>
      <c r="L76" s="1316">
        <f>IF(SETUP!$F$52="Upfront",$E$75*'Malaria-Equipment &amp; Other HPs'!BB14,0)</f>
        <v>0</v>
      </c>
      <c r="M76" s="1316">
        <f>IF(SETUP!$F$52="Upfront",$E$75*'Malaria-Equipment &amp; Other HPs'!BC14,0)</f>
        <v>0</v>
      </c>
      <c r="N76" s="1316">
        <f>IF(SETUP!$F$52="Upfront",$E$75*'Malaria-Equipment &amp; Other HPs'!BD14,0)</f>
        <v>0</v>
      </c>
      <c r="O76" s="1205">
        <f t="shared" si="9"/>
        <v>0</v>
      </c>
      <c r="P76" s="1279">
        <f>IF(SETUP!$F$52="Upfront",$E$75*'Malaria-Equipment &amp; Other HPs'!BE14,0)</f>
        <v>0</v>
      </c>
      <c r="Q76" s="1189">
        <f>IF(SETUP!$F$52="Upfront",$E$75*'Malaria-Equipment &amp; Other HPs'!BF14,0)</f>
        <v>0</v>
      </c>
      <c r="R76" s="1189">
        <f>IF(SETUP!$F$52="Upfront",$E$75*'Malaria-Equipment &amp; Other HPs'!BG14,0)</f>
        <v>0</v>
      </c>
      <c r="S76" s="1189">
        <f>IF(SETUP!$F$52="Upfront",$E$75*'Malaria-Equipment &amp; Other HPs'!BH14,0)</f>
        <v>0</v>
      </c>
      <c r="T76" s="1189">
        <f t="shared" si="10"/>
        <v>0</v>
      </c>
      <c r="U76" s="1279">
        <f t="shared" si="11"/>
        <v>0</v>
      </c>
      <c r="V76" s="1795"/>
      <c r="W76" s="1823"/>
      <c r="X76" s="1799"/>
    </row>
    <row r="77" spans="1:24" s="860" customFormat="1" ht="15" hidden="1" customHeight="1" outlineLevel="1">
      <c r="A77" s="2934"/>
      <c r="B77" s="2935"/>
      <c r="C77" s="2912" t="s">
        <v>36</v>
      </c>
      <c r="D77" s="2912"/>
      <c r="E77" s="1649"/>
      <c r="F77" s="1279">
        <v>0</v>
      </c>
      <c r="G77" s="1316">
        <f>IF(SETUP!$F$52="At delivery",IF(SETUP!$G$52=1,$E$75*'Malaria-Equipment &amp; Other HPs'!AW14,0),0)</f>
        <v>0</v>
      </c>
      <c r="H77" s="1316">
        <f>IF(SETUP!$F$52="At delivery",IF(SETUP!$G$52=2,$E$75*'Malaria-Equipment &amp; Other HPs'!AW14,IF(SETUP!$G$52=1,$E$75*'Malaria-Equipment &amp; Other HPs'!AX14,0)),0)</f>
        <v>0</v>
      </c>
      <c r="I77" s="1316">
        <f>IF(SETUP!$F$52="At delivery",IF(SETUP!$G$52=3,$E$75*'Malaria-Equipment &amp; Other HPs'!AW14,IF(SETUP!$G$52=2,$E$75*'Malaria-Equipment &amp; Other HPs'!AX14,IF(SETUP!$G$52=1,$E$75*'Malaria-Equipment &amp; Other HPs'!AY14,0))),0)</f>
        <v>0</v>
      </c>
      <c r="J77" s="1316">
        <f t="shared" si="8"/>
        <v>0</v>
      </c>
      <c r="K77" s="1317">
        <f>IF(SETUP!$F$52="At delivery",IF(SETUP!$G$52=4,$E$75*'Malaria-Equipment &amp; Other HPs'!AW14,IF(SETUP!$G$52=3,$E$75*'Malaria-Equipment &amp; Other HPs'!AX14,IF(SETUP!$G$52=2,$E$75*'Malaria-Equipment &amp; Other HPs'!AY14,IF(SETUP!$G$52=1,$E$75*'Malaria-Equipment &amp; Other HPs'!AZ14,0)))),0)</f>
        <v>0</v>
      </c>
      <c r="L77" s="1316">
        <f>IF(SETUP!$F$52="At delivery",IF(SETUP!$G$52=4,$E$75*'Malaria-Equipment &amp; Other HPs'!AX14,IF(SETUP!$G$52=3,$E$75*'Malaria-Equipment &amp; Other HPs'!AY14,IF(SETUP!$G$52=2,$E$75*'Malaria-Equipment &amp; Other HPs'!AZ14,IF(SETUP!$G$52=1,$E$75*'Malaria-Equipment &amp; Other HPs'!BA14,0)))),0)</f>
        <v>0</v>
      </c>
      <c r="M77" s="1316">
        <f>IF(SETUP!$F$52="At delivery",IF(SETUP!$G$52=4,$E$75*'Malaria-Equipment &amp; Other HPs'!AY14,IF(SETUP!$G$52=3,$E$75*'Malaria-Equipment &amp; Other HPs'!AZ14,IF(SETUP!$G$52=2,$E$75*'Malaria-Equipment &amp; Other HPs'!BA14,IF(SETUP!$G$52=1,$E$75*'Malaria-Equipment &amp; Other HPs'!BB14,0)))),0)</f>
        <v>0</v>
      </c>
      <c r="N77" s="1316">
        <f>IF(SETUP!$F$52="At delivery",IF(SETUP!$G$52=4,$E$75*'Malaria-Equipment &amp; Other HPs'!AZ14,IF(SETUP!$G$52=3,$E$75*'Malaria-Equipment &amp; Other HPs'!BA14,IF(SETUP!$G$52=2,$E$75*'Malaria-Equipment &amp; Other HPs'!BB14,IF(SETUP!$G$52=1,$E$75*'Malaria-Equipment &amp; Other HPs'!BC14,0)))),0)</f>
        <v>0</v>
      </c>
      <c r="O77" s="1205">
        <f t="shared" si="9"/>
        <v>0</v>
      </c>
      <c r="P77" s="1279">
        <f>IF(SETUP!$F$52="At delivery",IF(SETUP!$G$52=4,$E$75*'Malaria-Equipment &amp; Other HPs'!BA14,IF(SETUP!$G$52=3,$E$75*'Malaria-Equipment &amp; Other HPs'!BB14,IF(SETUP!$G$52=2,$E$75*'Malaria-Equipment &amp; Other HPs'!BC14,IF(SETUP!$G$52=1,$E$75*'Malaria-Equipment &amp; Other HPs'!BD14,0)))),0)</f>
        <v>0</v>
      </c>
      <c r="Q77" s="1189">
        <f>IF(SETUP!$F$52="At delivery",IF(SETUP!$G$52=4,$E$75*'Malaria-Equipment &amp; Other HPs'!BB14,IF(SETUP!$G$52=3,$E$75*'Malaria-Equipment &amp; Other HPs'!BC14,IF(SETUP!$G$52=2,$E$75*'Malaria-Equipment &amp; Other HPs'!BD14,IF(SETUP!$G$52=1,$E$75*'Malaria-Equipment &amp; Other HPs'!BE14,0)))),0)</f>
        <v>0</v>
      </c>
      <c r="R77" s="1189">
        <f>IF(SETUP!$F$52="At delivery",IF(SETUP!$G$52=4,$E$75*'Malaria-Equipment &amp; Other HPs'!BC14,IF(SETUP!$G$52=3,$E$75*'Malaria-Equipment &amp; Other HPs'!BD14,IF(SETUP!$G$52=2,$E$75*'Malaria-Equipment &amp; Other HPs'!BE14,IF(SETUP!$G$52=1,$E$75*'Malaria-Equipment &amp; Other HPs'!BF14,0)))),0)</f>
        <v>0</v>
      </c>
      <c r="S77" s="1189">
        <f>IF(SETUP!$F$52="At delivery",IF(SETUP!$G$52=4,$E$75*('Malaria-Equipment &amp; Other HPs'!BD14+'Malaria-Equipment &amp; Other HPs'!BE14+'Malaria-Equipment &amp; Other HPs'!BF14+'Malaria-Equipment &amp; Other HPs'!BG14+'Malaria-Equipment &amp; Other HPs'!BH14),IF(SETUP!$G$52=3,$E$75*('Malaria-Equipment &amp; Other HPs'!BE14+'Malaria-Equipment &amp; Other HPs'!BF14+'Malaria-Equipment &amp; Other HPs'!BG14+'Malaria-Equipment &amp; Other HPs'!BH14),IF(SETUP!$G$52=2,$E$75*('Malaria-Equipment &amp; Other HPs'!BF14+'Malaria-Equipment &amp; Other HPs'!BG14+'Malaria-Equipment &amp; Other HPs'!BH14),IF(SETUP!$G$52=1,$E$75*('Malaria-Equipment &amp; Other HPs'!BG14+'Malaria-Equipment &amp; Other HPs'!BH14),0)))),0)</f>
        <v>0</v>
      </c>
      <c r="T77" s="1189">
        <f t="shared" si="10"/>
        <v>0</v>
      </c>
      <c r="U77" s="1279">
        <f t="shared" si="11"/>
        <v>0</v>
      </c>
      <c r="V77" s="1795"/>
      <c r="W77" s="1823"/>
      <c r="X77" s="1799"/>
    </row>
    <row r="78" spans="1:24" s="860" customFormat="1" ht="15" hidden="1" customHeight="1" collapsed="1">
      <c r="A78" s="2934"/>
      <c r="B78" s="2935"/>
      <c r="C78" s="2911" t="s">
        <v>580</v>
      </c>
      <c r="D78" s="2911"/>
      <c r="E78" s="1649">
        <v>1E-4</v>
      </c>
      <c r="F78" s="1279">
        <f>IF(SETUP!$F$53="Upfront",F79,F80)</f>
        <v>0</v>
      </c>
      <c r="G78" s="1316">
        <f>IF(SETUP!$F$53="Upfront",G79,G80)</f>
        <v>0</v>
      </c>
      <c r="H78" s="1316">
        <f>IF(SETUP!$F$53="Upfront",H79,H80)</f>
        <v>0</v>
      </c>
      <c r="I78" s="1316">
        <f>IF(SETUP!$F$53="Upfront",I79,I80)</f>
        <v>0</v>
      </c>
      <c r="J78" s="1316">
        <f t="shared" si="8"/>
        <v>0</v>
      </c>
      <c r="K78" s="1317">
        <f>IF(SETUP!$F$53="Upfront",K79,K80)</f>
        <v>0</v>
      </c>
      <c r="L78" s="1316">
        <f>IF(SETUP!$F$53="Upfront",L79,L80)</f>
        <v>0</v>
      </c>
      <c r="M78" s="1316">
        <f>IF(SETUP!$F$53="Upfront",M79,M80)</f>
        <v>0</v>
      </c>
      <c r="N78" s="1316">
        <f>IF(SETUP!$F$53="Upfront",N79,N80)</f>
        <v>0</v>
      </c>
      <c r="O78" s="1205">
        <f t="shared" si="9"/>
        <v>0</v>
      </c>
      <c r="P78" s="1279">
        <f>IF(SETUP!$F$53="Upfront",P79,P80)</f>
        <v>0</v>
      </c>
      <c r="Q78" s="1189">
        <f>IF(SETUP!$F$53="Upfront",Q79,Q80)</f>
        <v>0</v>
      </c>
      <c r="R78" s="1189">
        <f>IF(SETUP!$F$53="Upfront",R79,R80)</f>
        <v>0</v>
      </c>
      <c r="S78" s="1189">
        <f>IF(SETUP!$F$53="Upfront",S79,S80)</f>
        <v>0</v>
      </c>
      <c r="T78" s="1189">
        <f t="shared" si="10"/>
        <v>0</v>
      </c>
      <c r="U78" s="1279">
        <f t="shared" si="11"/>
        <v>0</v>
      </c>
      <c r="V78" s="1795">
        <v>7.1</v>
      </c>
      <c r="W78" s="1823"/>
      <c r="X78" s="1800"/>
    </row>
    <row r="79" spans="1:24" s="860" customFormat="1" ht="15" hidden="1" customHeight="1" outlineLevel="1">
      <c r="A79" s="2934"/>
      <c r="B79" s="2935"/>
      <c r="C79" s="2912" t="s">
        <v>918</v>
      </c>
      <c r="D79" s="2912"/>
      <c r="E79" s="1649"/>
      <c r="F79" s="1279">
        <f>IF(SETUP!$F$53="Upfront",$E$78*'Malaria-Equipment &amp; Other HPs'!AW15,0)</f>
        <v>0</v>
      </c>
      <c r="G79" s="1316">
        <f>IF(SETUP!$F$53="Upfront",$E$78*'Malaria-Equipment &amp; Other HPs'!AX15,0)</f>
        <v>0</v>
      </c>
      <c r="H79" s="1316">
        <f>IF(SETUP!$F$53="Upfront",$E$78*'Malaria-Equipment &amp; Other HPs'!AY15,0)</f>
        <v>0</v>
      </c>
      <c r="I79" s="1316">
        <f>IF(SETUP!$F$53="Upfront",$E$78*'Malaria-Equipment &amp; Other HPs'!AZ15,0)</f>
        <v>0</v>
      </c>
      <c r="J79" s="1316">
        <f t="shared" si="8"/>
        <v>0</v>
      </c>
      <c r="K79" s="1317">
        <f>IF(SETUP!$F$53="Upfront",$E$78*'Malaria-Equipment &amp; Other HPs'!BA15,0)</f>
        <v>0</v>
      </c>
      <c r="L79" s="1316">
        <f>IF(SETUP!$F$53="Upfront",$E$78*'Malaria-Equipment &amp; Other HPs'!BB15,0)</f>
        <v>0</v>
      </c>
      <c r="M79" s="1316">
        <f>IF(SETUP!$F$53="Upfront",$E$78*'Malaria-Equipment &amp; Other HPs'!BC15,0)</f>
        <v>0</v>
      </c>
      <c r="N79" s="1316">
        <f>IF(SETUP!$F$53="Upfront",$E$78*'Malaria-Equipment &amp; Other HPs'!BD15,0)</f>
        <v>0</v>
      </c>
      <c r="O79" s="1205">
        <f t="shared" si="9"/>
        <v>0</v>
      </c>
      <c r="P79" s="1279">
        <f>IF(SETUP!$F$53="Upfront",$E$78*'Malaria-Equipment &amp; Other HPs'!BE15,0)</f>
        <v>0</v>
      </c>
      <c r="Q79" s="1189">
        <f>IF(SETUP!$F$53="Upfront",$E$78*'Malaria-Equipment &amp; Other HPs'!BF15,0)</f>
        <v>0</v>
      </c>
      <c r="R79" s="1189">
        <f>IF(SETUP!$F$53="Upfront",$E$78*'Malaria-Equipment &amp; Other HPs'!BG15,0)</f>
        <v>0</v>
      </c>
      <c r="S79" s="1189">
        <f>IF(SETUP!$F$53="Upfront",$E$78*'Malaria-Equipment &amp; Other HPs'!BH15,0)</f>
        <v>0</v>
      </c>
      <c r="T79" s="1189">
        <f t="shared" si="10"/>
        <v>0</v>
      </c>
      <c r="U79" s="1279">
        <f t="shared" si="11"/>
        <v>0</v>
      </c>
      <c r="V79" s="1795"/>
      <c r="W79" s="1823"/>
      <c r="X79" s="1799"/>
    </row>
    <row r="80" spans="1:24" s="860" customFormat="1" ht="15" hidden="1" customHeight="1" outlineLevel="1">
      <c r="A80" s="2934"/>
      <c r="B80" s="2935"/>
      <c r="C80" s="2912" t="s">
        <v>36</v>
      </c>
      <c r="D80" s="2912"/>
      <c r="E80" s="1649"/>
      <c r="F80" s="1279">
        <v>0</v>
      </c>
      <c r="G80" s="1316">
        <f>IF(SETUP!$F$53="At delivery",IF(SETUP!$G$53=1,$E$78*'Malaria-Equipment &amp; Other HPs'!AW15,0),0)</f>
        <v>0</v>
      </c>
      <c r="H80" s="1316">
        <f>IF(SETUP!$F$53="At delivery",IF(SETUP!$G$53=2,$E$78*'Malaria-Equipment &amp; Other HPs'!AW15,IF(SETUP!$G$53=1,$E$78*'Malaria-Equipment &amp; Other HPs'!AX15,0)),0)</f>
        <v>0</v>
      </c>
      <c r="I80" s="1316">
        <f>IF(SETUP!$F$53="At delivery",IF(SETUP!$G$53=3,$E$78*'Malaria-Equipment &amp; Other HPs'!AW15,IF(SETUP!$G$53=2,$E$78*'Malaria-Equipment &amp; Other HPs'!AX15,IF(SETUP!$G$53=1,$E$78*'Malaria-Equipment &amp; Other HPs'!AY15,0))),0)</f>
        <v>0</v>
      </c>
      <c r="J80" s="1316">
        <f t="shared" si="8"/>
        <v>0</v>
      </c>
      <c r="K80" s="1317">
        <f>IF(SETUP!$F$53="At delivery",IF(SETUP!$G$53=4,$E$78*'Malaria-Equipment &amp; Other HPs'!AW15,IF(SETUP!$G$53=3,$E$78*'Malaria-Equipment &amp; Other HPs'!AX15,IF(SETUP!$G$53=2,$E$78*'Malaria-Equipment &amp; Other HPs'!AY15,IF(SETUP!$G$53=1,$E$78*'Malaria-Equipment &amp; Other HPs'!AZ15,0)))),0)</f>
        <v>0</v>
      </c>
      <c r="L80" s="1316">
        <f>IF(SETUP!$F$53="At delivery",IF(SETUP!$G$53=4,$E$78*'Malaria-Equipment &amp; Other HPs'!AX15,IF(SETUP!$G$53=3,$E$78*'Malaria-Equipment &amp; Other HPs'!AY15,IF(SETUP!$G$53=2,$E$78*'Malaria-Equipment &amp; Other HPs'!AZ15,IF(SETUP!$G$53=1,$E$78*'Malaria-Equipment &amp; Other HPs'!BA15,0)))),0)</f>
        <v>0</v>
      </c>
      <c r="M80" s="1316">
        <f>IF(SETUP!$F$53="At delivery",IF(SETUP!$G$53=4,$E$78*'Malaria-Equipment &amp; Other HPs'!AY15,IF(SETUP!$G$53=3,$E$78*'Malaria-Equipment &amp; Other HPs'!AZ15,IF(SETUP!$G$53=2,$E$78*'Malaria-Equipment &amp; Other HPs'!BA15,IF(SETUP!$G$53=1,$E$78*'Malaria-Equipment &amp; Other HPs'!BB15,0)))),0)</f>
        <v>0</v>
      </c>
      <c r="N80" s="1316">
        <f>IF(SETUP!$F$53="At delivery",IF(SETUP!$G$53=4,$E$78*'Malaria-Equipment &amp; Other HPs'!AZ15,IF(SETUP!$G$53=3,$E$78*'Malaria-Equipment &amp; Other HPs'!BA15,IF(SETUP!$G$53=2,$E$78*'Malaria-Equipment &amp; Other HPs'!BB15,IF(SETUP!$G$53=1,$E$78*'Malaria-Equipment &amp; Other HPs'!BC15,0)))),0)</f>
        <v>0</v>
      </c>
      <c r="O80" s="1205">
        <f t="shared" si="9"/>
        <v>0</v>
      </c>
      <c r="P80" s="1279">
        <f>IF(SETUP!$F$53="At delivery",IF(SETUP!$G$53=4,$E$78*'Malaria-Equipment &amp; Other HPs'!BA15,IF(SETUP!$G$53=3,$E$78*'Malaria-Equipment &amp; Other HPs'!BB15,IF(SETUP!$G$53=2,$E$78*'Malaria-Equipment &amp; Other HPs'!BC15,IF(SETUP!$G$53=1,$E$78*'Malaria-Equipment &amp; Other HPs'!BD15,0)))),0)</f>
        <v>0</v>
      </c>
      <c r="Q80" s="1189">
        <f>IF(SETUP!$F$53="At delivery",IF(SETUP!$G$53=4,$E$78*'Malaria-Equipment &amp; Other HPs'!BB15,IF(SETUP!$G$53=3,$E$78*'Malaria-Equipment &amp; Other HPs'!BC15,IF(SETUP!$G$53=2,$E$78*'Malaria-Equipment &amp; Other HPs'!BD15,IF(SETUP!$G$53=1,$E$78*'Malaria-Equipment &amp; Other HPs'!BE15,0)))),0)</f>
        <v>0</v>
      </c>
      <c r="R80" s="1189">
        <f>IF(SETUP!$F$53="At delivery",IF(SETUP!$G$53=4,$E$78*'Malaria-Equipment &amp; Other HPs'!BC15,IF(SETUP!$G$53=3,$E$78*'Malaria-Equipment &amp; Other HPs'!BD15,IF(SETUP!$G$53=2,$E$78*'Malaria-Equipment &amp; Other HPs'!BE15,IF(SETUP!$G$53=1,$E$78*'Malaria-Equipment &amp; Other HPs'!BF15,0)))),0)</f>
        <v>0</v>
      </c>
      <c r="S80" s="1189">
        <f>IF(SETUP!$F$53="At delivery",IF(SETUP!$G$53=4,$E$78*('Malaria-Equipment &amp; Other HPs'!BD15+'Malaria-Equipment &amp; Other HPs'!BE15+'Malaria-Equipment &amp; Other HPs'!BF15+'Malaria-Equipment &amp; Other HPs'!BG15+'Malaria-Equipment &amp; Other HPs'!BH15),IF(SETUP!$G$53=3,$E$78*('Malaria-Equipment &amp; Other HPs'!BE15+'Malaria-Equipment &amp; Other HPs'!BF15+'Malaria-Equipment &amp; Other HPs'!BG15+'Malaria-Equipment &amp; Other HPs'!BH15),IF(SETUP!$G$53=2,$E$78*('Malaria-Equipment &amp; Other HPs'!BF15+'Malaria-Equipment &amp; Other HPs'!BG15+'Malaria-Equipment &amp; Other HPs'!BH15),IF(SETUP!$G$53=1,$E$78*('Malaria-Equipment &amp; Other HPs'!BG15+'Malaria-Equipment &amp; Other HPs'!BH15),0)))),0)</f>
        <v>0</v>
      </c>
      <c r="T80" s="1189">
        <f t="shared" si="10"/>
        <v>0</v>
      </c>
      <c r="U80" s="1279">
        <f t="shared" si="11"/>
        <v>0</v>
      </c>
      <c r="V80" s="1795"/>
      <c r="W80" s="1823"/>
      <c r="X80" s="1799"/>
    </row>
    <row r="81" spans="1:38" s="860" customFormat="1" ht="15" hidden="1" customHeight="1" collapsed="1">
      <c r="A81" s="2934"/>
      <c r="B81" s="2935"/>
      <c r="C81" s="2911" t="s">
        <v>581</v>
      </c>
      <c r="D81" s="2911"/>
      <c r="E81" s="1649">
        <v>1E-4</v>
      </c>
      <c r="F81" s="1279">
        <f>IF(SETUP!$F$54="Upfront",F82,F83)</f>
        <v>0</v>
      </c>
      <c r="G81" s="1316">
        <f>IF(SETUP!$F$54="Upfront",G82,G83)</f>
        <v>0</v>
      </c>
      <c r="H81" s="1316">
        <f>IF(SETUP!$F$54="Upfront",H82,H83)</f>
        <v>0</v>
      </c>
      <c r="I81" s="1316">
        <f>IF(SETUP!$F$54="Upfront",I82,I83)</f>
        <v>0</v>
      </c>
      <c r="J81" s="1316">
        <f t="shared" si="8"/>
        <v>0</v>
      </c>
      <c r="K81" s="1317">
        <f>IF(SETUP!$F$54="Upfront",K82,K83)</f>
        <v>0</v>
      </c>
      <c r="L81" s="1316">
        <f>IF(SETUP!$F$54="Upfront",L82,L83)</f>
        <v>0</v>
      </c>
      <c r="M81" s="1316">
        <f>IF(SETUP!$F$54="Upfront",M82,M83)</f>
        <v>0</v>
      </c>
      <c r="N81" s="1316">
        <f>IF(SETUP!$F$54="Upfront",N82,N83)</f>
        <v>0</v>
      </c>
      <c r="O81" s="1205">
        <f t="shared" si="9"/>
        <v>0</v>
      </c>
      <c r="P81" s="1279">
        <f>IF(SETUP!$F$54="Upfront",P82,P83)</f>
        <v>0</v>
      </c>
      <c r="Q81" s="1189">
        <f>IF(SETUP!$F$54="Upfront",Q82,Q83)</f>
        <v>0</v>
      </c>
      <c r="R81" s="1189">
        <f>IF(SETUP!$F$54="Upfront",R82,R83)</f>
        <v>0</v>
      </c>
      <c r="S81" s="1189">
        <f>IF(SETUP!$F$54="Upfront",S82,S83)</f>
        <v>0</v>
      </c>
      <c r="T81" s="1189">
        <f t="shared" si="10"/>
        <v>0</v>
      </c>
      <c r="U81" s="1279">
        <f t="shared" si="11"/>
        <v>0</v>
      </c>
      <c r="V81" s="1795">
        <v>7.1</v>
      </c>
      <c r="W81" s="1823"/>
      <c r="X81" s="1799"/>
    </row>
    <row r="82" spans="1:38" s="860" customFormat="1" ht="15" hidden="1" customHeight="1" outlineLevel="1">
      <c r="A82" s="2934"/>
      <c r="B82" s="2935"/>
      <c r="C82" s="2912" t="s">
        <v>918</v>
      </c>
      <c r="D82" s="2912"/>
      <c r="E82" s="1649"/>
      <c r="F82" s="1279">
        <f>IF(SETUP!$F$54="Upfront",$E$81*'Malaria-Equipment &amp; Other HPs'!AW16,0)</f>
        <v>0</v>
      </c>
      <c r="G82" s="1316">
        <f>IF(SETUP!$F$54="Upfront",$E$81*'Malaria-Equipment &amp; Other HPs'!AX16,0)</f>
        <v>0</v>
      </c>
      <c r="H82" s="1316">
        <f>IF(SETUP!$F$54="Upfront",$E$81*'Malaria-Equipment &amp; Other HPs'!AY16,0)</f>
        <v>0</v>
      </c>
      <c r="I82" s="1316">
        <f>IF(SETUP!$F$54="Upfront",$E$81*'Malaria-Equipment &amp; Other HPs'!AZ16,0)</f>
        <v>0</v>
      </c>
      <c r="J82" s="1316">
        <f t="shared" si="8"/>
        <v>0</v>
      </c>
      <c r="K82" s="1317">
        <f>IF(SETUP!$F$54="Upfront",$E$81*'Malaria-Equipment &amp; Other HPs'!BA16,0)</f>
        <v>0</v>
      </c>
      <c r="L82" s="1316">
        <f>IF(SETUP!$F$54="Upfront",$E$81*'Malaria-Equipment &amp; Other HPs'!BB16,0)</f>
        <v>0</v>
      </c>
      <c r="M82" s="1316">
        <f>IF(SETUP!$F$54="Upfront",$E$81*'Malaria-Equipment &amp; Other HPs'!BC16,0)</f>
        <v>0</v>
      </c>
      <c r="N82" s="1316">
        <f>IF(SETUP!$F$54="Upfront",$E$81*'Malaria-Equipment &amp; Other HPs'!BD16,0)</f>
        <v>0</v>
      </c>
      <c r="O82" s="1205">
        <f t="shared" si="9"/>
        <v>0</v>
      </c>
      <c r="P82" s="1279">
        <f>IF(SETUP!$F$54="Upfront",$E$81*'Malaria-Equipment &amp; Other HPs'!BE16,0)</f>
        <v>0</v>
      </c>
      <c r="Q82" s="1189">
        <f>IF(SETUP!$F$54="Upfront",$E$81*'Malaria-Equipment &amp; Other HPs'!BF16,0)</f>
        <v>0</v>
      </c>
      <c r="R82" s="1189">
        <f>IF(SETUP!$F$54="Upfront",$E$81*'Malaria-Equipment &amp; Other HPs'!BG16,0)</f>
        <v>0</v>
      </c>
      <c r="S82" s="1189">
        <f>IF(SETUP!$F$54="Upfront",$E$81*'Malaria-Equipment &amp; Other HPs'!BH16,0)</f>
        <v>0</v>
      </c>
      <c r="T82" s="1189">
        <f t="shared" si="10"/>
        <v>0</v>
      </c>
      <c r="U82" s="1279">
        <f t="shared" si="11"/>
        <v>0</v>
      </c>
      <c r="V82" s="1795"/>
      <c r="W82" s="1823"/>
      <c r="X82" s="1799"/>
    </row>
    <row r="83" spans="1:38" s="860" customFormat="1" ht="15" hidden="1" customHeight="1" outlineLevel="1">
      <c r="A83" s="2934"/>
      <c r="B83" s="2935"/>
      <c r="C83" s="2912" t="s">
        <v>36</v>
      </c>
      <c r="D83" s="2912"/>
      <c r="E83" s="1649"/>
      <c r="F83" s="1279">
        <v>0</v>
      </c>
      <c r="G83" s="1316">
        <f>IF(SETUP!$F$54="At delivery",IF(SETUP!$G$54=1,$E$81*'Malaria-Equipment &amp; Other HPs'!AW16,0),0)</f>
        <v>0</v>
      </c>
      <c r="H83" s="1316">
        <f>IF(SETUP!$F$54="At delivery",IF(SETUP!$G$54=2,$E$81*'Malaria-Equipment &amp; Other HPs'!AW16,IF(SETUP!$G$54=1,$E$81*'Malaria-Equipment &amp; Other HPs'!AX16,0)),0)</f>
        <v>0</v>
      </c>
      <c r="I83" s="1316">
        <f>IF(SETUP!$F$54="At delivery",IF(SETUP!$G$54=3,$E$81*'Malaria-Equipment &amp; Other HPs'!AW16,IF(SETUP!$G$54=2,$E$81*'Malaria-Equipment &amp; Other HPs'!AX16,IF(SETUP!$G$54=1,$E$81*'Malaria-Equipment &amp; Other HPs'!AY16,0))),0)</f>
        <v>0</v>
      </c>
      <c r="J83" s="1316">
        <f t="shared" si="8"/>
        <v>0</v>
      </c>
      <c r="K83" s="1317">
        <f>IF(SETUP!$F$54="At delivery",IF(SETUP!$G$54=4,$E$81*'Malaria-Equipment &amp; Other HPs'!AW16,IF(SETUP!$G$54=3,$E$81*'Malaria-Equipment &amp; Other HPs'!AX16,IF(SETUP!$G$54=2,$E$81*'Malaria-Equipment &amp; Other HPs'!AY16,IF(SETUP!$G$54=1,$E$81*'Malaria-Equipment &amp; Other HPs'!AZ16,0)))),0)</f>
        <v>0</v>
      </c>
      <c r="L83" s="1316">
        <f>IF(SETUP!$F$54="At delivery",IF(SETUP!$G$54=4,$E$81*'Malaria-Equipment &amp; Other HPs'!AX16,IF(SETUP!$G$54=3,$E$81*'Malaria-Equipment &amp; Other HPs'!AY16,IF(SETUP!$G$54=2,$E$81*'Malaria-Equipment &amp; Other HPs'!AZ16,IF(SETUP!$G$54=1,$E$81*'Malaria-Equipment &amp; Other HPs'!BA16,0)))),0)</f>
        <v>0</v>
      </c>
      <c r="M83" s="1316">
        <f>IF(SETUP!$F$54="At delivery",IF(SETUP!$G$54=4,$E$81*'Malaria-Equipment &amp; Other HPs'!AY16,IF(SETUP!$G$54=3,$E$81*'Malaria-Equipment &amp; Other HPs'!AZ16,IF(SETUP!$G$54=2,$E$81*'Malaria-Equipment &amp; Other HPs'!BA16,IF(SETUP!$G$54=1,$E$81*'Malaria-Equipment &amp; Other HPs'!BB16,0)))),0)</f>
        <v>0</v>
      </c>
      <c r="N83" s="1316">
        <f>IF(SETUP!$F$54="At delivery",IF(SETUP!$G$54=4,$E$81*'Malaria-Equipment &amp; Other HPs'!AZ16,IF(SETUP!$G$54=3,$E$81*'Malaria-Equipment &amp; Other HPs'!BA16,IF(SETUP!$G$54=2,$E$81*'Malaria-Equipment &amp; Other HPs'!BB16,IF(SETUP!$G$54=1,$E$81*'Malaria-Equipment &amp; Other HPs'!BC16,0)))),0)</f>
        <v>0</v>
      </c>
      <c r="O83" s="1205">
        <f t="shared" si="9"/>
        <v>0</v>
      </c>
      <c r="P83" s="1279">
        <f>IF(SETUP!$F$54="At delivery",IF(SETUP!$G$54=4,$E$81*'Malaria-Equipment &amp; Other HPs'!BA16,IF(SETUP!$G$54=3,$E$81*'Malaria-Equipment &amp; Other HPs'!BB16,IF(SETUP!$G$54=2,$E$81*'Malaria-Equipment &amp; Other HPs'!BC16,IF(SETUP!$G$54=1,$E$81*'Malaria-Equipment &amp; Other HPs'!BD16,0)))),0)</f>
        <v>0</v>
      </c>
      <c r="Q83" s="1189">
        <f>IF(SETUP!$F$54="At delivery",IF(SETUP!$G$54=4,$E$81*'Malaria-Equipment &amp; Other HPs'!BB16,IF(SETUP!$G$54=3,$E$81*'Malaria-Equipment &amp; Other HPs'!BC16,IF(SETUP!$G$54=2,$E$81*'Malaria-Equipment &amp; Other HPs'!BD16,IF(SETUP!$G$54=1,$E$81*'Malaria-Equipment &amp; Other HPs'!BE16,0)))),0)</f>
        <v>0</v>
      </c>
      <c r="R83" s="1189">
        <f>IF(SETUP!$F$54="At delivery",IF(SETUP!$G$54=4,$E$81*'Malaria-Equipment &amp; Other HPs'!BC16,IF(SETUP!$G$54=3,$E$81*'Malaria-Equipment &amp; Other HPs'!BD16,IF(SETUP!$G$54=2,$E$81*'Malaria-Equipment &amp; Other HPs'!BE16,IF(SETUP!$G$54=1,$E$81*'Malaria-Equipment &amp; Other HPs'!BF16,0)))),0)</f>
        <v>0</v>
      </c>
      <c r="S83" s="1189">
        <f>IF(SETUP!$F$54="At delivery",IF(SETUP!$G$54=4,$E$81*('Malaria-Equipment &amp; Other HPs'!BD16+'Malaria-Equipment &amp; Other HPs'!BE16+'Malaria-Equipment &amp; Other HPs'!BF16+'Malaria-Equipment &amp; Other HPs'!BG16+'Malaria-Equipment &amp; Other HPs'!BH16),IF(SETUP!$G$54=3,$E$81*('Malaria-Equipment &amp; Other HPs'!BE16+'Malaria-Equipment &amp; Other HPs'!BF16+'Malaria-Equipment &amp; Other HPs'!BG16+'Malaria-Equipment &amp; Other HPs'!BH16),IF(SETUP!$G$54=2,$E$81*('Malaria-Equipment &amp; Other HPs'!BF16+'Malaria-Equipment &amp; Other HPs'!BG16+'Malaria-Equipment &amp; Other HPs'!BH16),IF(SETUP!$G$54=1,$E$81*('Malaria-Equipment &amp; Other HPs'!BG16+'Malaria-Equipment &amp; Other HPs'!BH16),0)))),0)</f>
        <v>0</v>
      </c>
      <c r="T83" s="1189">
        <f t="shared" si="10"/>
        <v>0</v>
      </c>
      <c r="U83" s="1279">
        <f t="shared" si="11"/>
        <v>0</v>
      </c>
      <c r="V83" s="1795"/>
      <c r="W83" s="1823"/>
      <c r="X83" s="1799"/>
    </row>
    <row r="84" spans="1:38" s="860" customFormat="1" ht="15" hidden="1" customHeight="1" collapsed="1">
      <c r="A84" s="2934"/>
      <c r="B84" s="2935"/>
      <c r="C84" s="2911" t="s">
        <v>582</v>
      </c>
      <c r="D84" s="2911"/>
      <c r="E84" s="1649">
        <v>1E-4</v>
      </c>
      <c r="F84" s="1279">
        <f>IF(SETUP!$F$55="Upfront",F85,F86)</f>
        <v>0</v>
      </c>
      <c r="G84" s="1316">
        <f>IF(SETUP!$F$55="Upfront",G85,G86)</f>
        <v>0</v>
      </c>
      <c r="H84" s="1316">
        <f>IF(SETUP!$F$55="Upfront",H85,H86)</f>
        <v>0</v>
      </c>
      <c r="I84" s="1316">
        <f>IF(SETUP!$F$55="Upfront",I85,I86)</f>
        <v>0</v>
      </c>
      <c r="J84" s="1316">
        <f t="shared" si="8"/>
        <v>0</v>
      </c>
      <c r="K84" s="1317">
        <f>IF(SETUP!$F$55="Upfront",K85,K86)</f>
        <v>0</v>
      </c>
      <c r="L84" s="1316">
        <f>IF(SETUP!$F$55="Upfront",L85,L86)</f>
        <v>0</v>
      </c>
      <c r="M84" s="1316">
        <f>IF(SETUP!$F$55="Upfront",M85,M86)</f>
        <v>0</v>
      </c>
      <c r="N84" s="1316">
        <f>IF(SETUP!$F$55="Upfront",N85,N86)</f>
        <v>0</v>
      </c>
      <c r="O84" s="1205">
        <f t="shared" si="9"/>
        <v>0</v>
      </c>
      <c r="P84" s="1279">
        <f>IF(SETUP!$F$55="Upfront",P85,P86)</f>
        <v>0</v>
      </c>
      <c r="Q84" s="1189">
        <f>IF(SETUP!$F$55="Upfront",Q85,Q86)</f>
        <v>0</v>
      </c>
      <c r="R84" s="1189">
        <f>IF(SETUP!$F$55="Upfront",R85,R86)</f>
        <v>0</v>
      </c>
      <c r="S84" s="1189">
        <f>IF(SETUP!$F$55="Upfront",S85,S86)</f>
        <v>0</v>
      </c>
      <c r="T84" s="1189">
        <f t="shared" si="10"/>
        <v>0</v>
      </c>
      <c r="U84" s="1279">
        <f t="shared" si="11"/>
        <v>0</v>
      </c>
      <c r="V84" s="1795">
        <v>7.1</v>
      </c>
      <c r="W84" s="1823"/>
      <c r="X84" s="1800"/>
    </row>
    <row r="85" spans="1:38" s="860" customFormat="1" ht="15" hidden="1" customHeight="1" outlineLevel="1">
      <c r="A85" s="2934"/>
      <c r="B85" s="2935"/>
      <c r="C85" s="2912" t="s">
        <v>918</v>
      </c>
      <c r="D85" s="2912"/>
      <c r="E85" s="1649"/>
      <c r="F85" s="1279">
        <f>IF(SETUP!$F$55="Upfront",$E$84*'Malaria-Equipment &amp; Other HPs'!AW17,0)</f>
        <v>0</v>
      </c>
      <c r="G85" s="1316">
        <f>IF(SETUP!$F$55="Upfront",$E$84*'Malaria-Equipment &amp; Other HPs'!AX17,0)</f>
        <v>0</v>
      </c>
      <c r="H85" s="1316">
        <f>IF(SETUP!$F$55="Upfront",$E$84*'Malaria-Equipment &amp; Other HPs'!AY17,0)</f>
        <v>0</v>
      </c>
      <c r="I85" s="1316">
        <f>IF(SETUP!$F$55="Upfront",$E$84*'Malaria-Equipment &amp; Other HPs'!AZ17,0)</f>
        <v>0</v>
      </c>
      <c r="J85" s="1316">
        <f t="shared" si="8"/>
        <v>0</v>
      </c>
      <c r="K85" s="1317">
        <f>IF(SETUP!$F$55="Upfront",$E$84*'Malaria-Equipment &amp; Other HPs'!BA17,0)</f>
        <v>0</v>
      </c>
      <c r="L85" s="1316">
        <f>IF(SETUP!$F$55="Upfront",$E$84*'Malaria-Equipment &amp; Other HPs'!BB17,0)</f>
        <v>0</v>
      </c>
      <c r="M85" s="1316">
        <f>IF(SETUP!$F$55="Upfront",$E$84*'Malaria-Equipment &amp; Other HPs'!BC17,0)</f>
        <v>0</v>
      </c>
      <c r="N85" s="1316">
        <f>IF(SETUP!$F$55="Upfront",$E$84*'Malaria-Equipment &amp; Other HPs'!BD17,0)</f>
        <v>0</v>
      </c>
      <c r="O85" s="1205">
        <f t="shared" si="9"/>
        <v>0</v>
      </c>
      <c r="P85" s="1279">
        <f>IF(SETUP!$F$55="Upfront",$E$84*'Malaria-Equipment &amp; Other HPs'!BE17,0)</f>
        <v>0</v>
      </c>
      <c r="Q85" s="1189">
        <f>IF(SETUP!$F$55="Upfront",$E$84*'Malaria-Equipment &amp; Other HPs'!BF17,0)</f>
        <v>0</v>
      </c>
      <c r="R85" s="1189">
        <f>IF(SETUP!$F$55="Upfront",$E$84*'Malaria-Equipment &amp; Other HPs'!BG17,0)</f>
        <v>0</v>
      </c>
      <c r="S85" s="1189">
        <f>IF(SETUP!$F$55="Upfront",$E$84*'Malaria-Equipment &amp; Other HPs'!BH17,0)</f>
        <v>0</v>
      </c>
      <c r="T85" s="1189">
        <f t="shared" si="10"/>
        <v>0</v>
      </c>
      <c r="U85" s="1279">
        <f t="shared" si="11"/>
        <v>0</v>
      </c>
      <c r="V85" s="1795"/>
      <c r="W85" s="1823"/>
      <c r="X85" s="1799"/>
    </row>
    <row r="86" spans="1:38" s="860" customFormat="1" ht="15" hidden="1" customHeight="1" outlineLevel="1">
      <c r="A86" s="2934"/>
      <c r="B86" s="2935"/>
      <c r="C86" s="2912" t="s">
        <v>36</v>
      </c>
      <c r="D86" s="2912"/>
      <c r="E86" s="1649"/>
      <c r="F86" s="1279">
        <v>0</v>
      </c>
      <c r="G86" s="1316">
        <f>IF(SETUP!$F$55="At delivery",IF(SETUP!$G$55=1,$E$84*'Malaria-Equipment &amp; Other HPs'!AW17,0),0)</f>
        <v>0</v>
      </c>
      <c r="H86" s="1316">
        <f>IF(SETUP!$F$55="At delivery",IF(SETUP!$G$55=2,$E$84*'Malaria-Equipment &amp; Other HPs'!AW17,IF(SETUP!$G$55=1,$E$84*'Malaria-Equipment &amp; Other HPs'!AX17,0)),0)</f>
        <v>0</v>
      </c>
      <c r="I86" s="1316">
        <f>IF(SETUP!$F$55="At delivery",IF(SETUP!$G$55=3,$E$84*'Malaria-Equipment &amp; Other HPs'!AW17,IF(SETUP!$G$55=2,$E$84*'Malaria-Equipment &amp; Other HPs'!AX17,IF(SETUP!$G$55=1,$E$84*'Malaria-Equipment &amp; Other HPs'!AY17,0))),0)</f>
        <v>0</v>
      </c>
      <c r="J86" s="1316">
        <f t="shared" si="8"/>
        <v>0</v>
      </c>
      <c r="K86" s="1317">
        <f>IF(SETUP!$F$55="At delivery",IF(SETUP!$G$55=4,$E$84*'Malaria-Equipment &amp; Other HPs'!AW17,IF(SETUP!$G$55=3,$E$84*'Malaria-Equipment &amp; Other HPs'!AX17,IF(SETUP!$G$55=2,$E$84*'Malaria-Equipment &amp; Other HPs'!AY17,IF(SETUP!$G$55=1,$E$84*'Malaria-Equipment &amp; Other HPs'!AZ17,0)))),0)</f>
        <v>0</v>
      </c>
      <c r="L86" s="1316">
        <f>IF(SETUP!$F$55="At delivery",IF(SETUP!$G$55=4,$E$84*'Malaria-Equipment &amp; Other HPs'!AX17,IF(SETUP!$G$55=3,$E$84*'Malaria-Equipment &amp; Other HPs'!AY17,IF(SETUP!$G$55=2,$E$84*'Malaria-Equipment &amp; Other HPs'!AZ17,IF(SETUP!$G$55=1,$E$84*'Malaria-Equipment &amp; Other HPs'!BA17,0)))),0)</f>
        <v>0</v>
      </c>
      <c r="M86" s="1316">
        <f>IF(SETUP!$F$55="At delivery",IF(SETUP!$G$55=4,$E$84*'Malaria-Equipment &amp; Other HPs'!AY17,IF(SETUP!$G$55=3,$E$84*'Malaria-Equipment &amp; Other HPs'!AZ17,IF(SETUP!$G$55=2,$E$84*'Malaria-Equipment &amp; Other HPs'!BA17,IF(SETUP!$G$55=1,$E$84*'Malaria-Equipment &amp; Other HPs'!BB17,0)))),0)</f>
        <v>0</v>
      </c>
      <c r="N86" s="1316">
        <f>IF(SETUP!$F$55="At delivery",IF(SETUP!$G$55=4,$E$84*'Malaria-Equipment &amp; Other HPs'!AZ17,IF(SETUP!$G$55=3,$E$84*'Malaria-Equipment &amp; Other HPs'!BA17,IF(SETUP!$G$55=2,$E$84*'Malaria-Equipment &amp; Other HPs'!BB17,IF(SETUP!$G$55=1,$E$84*'Malaria-Equipment &amp; Other HPs'!BC17,0)))),0)</f>
        <v>0</v>
      </c>
      <c r="O86" s="1205">
        <f t="shared" si="9"/>
        <v>0</v>
      </c>
      <c r="P86" s="1279">
        <f>IF(SETUP!$F$55="At delivery",IF(SETUP!$G$55=4,$E$84*'Malaria-Equipment &amp; Other HPs'!BA17,IF(SETUP!$G$55=3,$E$84*'Malaria-Equipment &amp; Other HPs'!BB17,IF(SETUP!$G$55=2,$E$84*'Malaria-Equipment &amp; Other HPs'!BC17,IF(SETUP!$G$55=1,$E$84*'Malaria-Equipment &amp; Other HPs'!BD17,0)))),0)</f>
        <v>0</v>
      </c>
      <c r="Q86" s="1189">
        <f>IF(SETUP!$F$55="At delivery",IF(SETUP!$G$55=4,$E$84*'Malaria-Equipment &amp; Other HPs'!BB17,IF(SETUP!$G$55=3,$E$84*'Malaria-Equipment &amp; Other HPs'!BC17,IF(SETUP!$G$55=2,$E$84*'Malaria-Equipment &amp; Other HPs'!BD17,IF(SETUP!$G$55=1,$E$84*'Malaria-Equipment &amp; Other HPs'!BE17,0)))),0)</f>
        <v>0</v>
      </c>
      <c r="R86" s="1189">
        <f>IF(SETUP!$F$55="At delivery",IF(SETUP!$G$55=4,$E$84*'Malaria-Equipment &amp; Other HPs'!BC17,IF(SETUP!$G$55=3,$E$84*'Malaria-Equipment &amp; Other HPs'!BD17,IF(SETUP!$G$55=2,$E$84*'Malaria-Equipment &amp; Other HPs'!BE17,IF(SETUP!$G$55=1,$E$84*'Malaria-Equipment &amp; Other HPs'!BF17,0)))),0)</f>
        <v>0</v>
      </c>
      <c r="S86" s="1189">
        <f>IF(SETUP!$F$55="At delivery",IF(SETUP!$G$55=4,$E$84*('Malaria-Equipment &amp; Other HPs'!BD17+'Malaria-Equipment &amp; Other HPs'!BE17+'Malaria-Equipment &amp; Other HPs'!BF17+'Malaria-Equipment &amp; Other HPs'!BG17+'Malaria-Equipment &amp; Other HPs'!BH17),IF(SETUP!$G$55=3,$E$84*('Malaria-Equipment &amp; Other HPs'!BE17+'Malaria-Equipment &amp; Other HPs'!BF17+'Malaria-Equipment &amp; Other HPs'!BG17+'Malaria-Equipment &amp; Other HPs'!BH17),IF(SETUP!$G$55=2,$E$84*('Malaria-Equipment &amp; Other HPs'!BF17+'Malaria-Equipment &amp; Other HPs'!BG17+'Malaria-Equipment &amp; Other HPs'!BH17),IF(SETUP!$G$55=1,$E$84*('Malaria-Equipment &amp; Other HPs'!BG17+'Malaria-Equipment &amp; Other HPs'!BH17),0)))),0)</f>
        <v>0</v>
      </c>
      <c r="T86" s="1189">
        <f t="shared" si="10"/>
        <v>0</v>
      </c>
      <c r="U86" s="1279">
        <f t="shared" si="11"/>
        <v>0</v>
      </c>
      <c r="V86" s="1795"/>
      <c r="W86" s="1823"/>
      <c r="X86" s="1799"/>
    </row>
    <row r="87" spans="1:38" s="860" customFormat="1" ht="15" hidden="1" customHeight="1" collapsed="1">
      <c r="A87" s="2934"/>
      <c r="B87" s="2935"/>
      <c r="C87" s="2911" t="s">
        <v>583</v>
      </c>
      <c r="D87" s="2911"/>
      <c r="E87" s="1649">
        <v>1E-4</v>
      </c>
      <c r="F87" s="1279">
        <f>IF(SETUP!$F$56="Upfront",F88,F89)</f>
        <v>0</v>
      </c>
      <c r="G87" s="1316">
        <f>IF(SETUP!$F$56="Upfront",G88,G89)</f>
        <v>0</v>
      </c>
      <c r="H87" s="1316">
        <f>IF(SETUP!$F$56="Upfront",H88,H89)</f>
        <v>0</v>
      </c>
      <c r="I87" s="1316">
        <f>IF(SETUP!$F$56="Upfront",I88,I89)</f>
        <v>0</v>
      </c>
      <c r="J87" s="1316">
        <f t="shared" si="8"/>
        <v>0</v>
      </c>
      <c r="K87" s="1317">
        <f>IF(SETUP!$F$56="Upfront",K88,K89)</f>
        <v>0</v>
      </c>
      <c r="L87" s="1316">
        <f>IF(SETUP!$F$56="Upfront",L88,L89)</f>
        <v>0</v>
      </c>
      <c r="M87" s="1316">
        <f>IF(SETUP!$F$56="Upfront",M88,M89)</f>
        <v>0</v>
      </c>
      <c r="N87" s="1316">
        <f>IF(SETUP!$F$56="Upfront",N88,N89)</f>
        <v>0</v>
      </c>
      <c r="O87" s="1205">
        <f t="shared" si="9"/>
        <v>0</v>
      </c>
      <c r="P87" s="1279">
        <f>IF(SETUP!$F$56="Upfront",P88,P89)</f>
        <v>0</v>
      </c>
      <c r="Q87" s="1189">
        <f>IF(SETUP!$F$56="Upfront",Q88,Q89)</f>
        <v>0</v>
      </c>
      <c r="R87" s="1189">
        <f>IF(SETUP!$F$56="Upfront",R88,R89)</f>
        <v>0</v>
      </c>
      <c r="S87" s="1189">
        <f>IF(SETUP!$F$56="Upfront",S88,S89)</f>
        <v>0</v>
      </c>
      <c r="T87" s="1189">
        <f t="shared" si="10"/>
        <v>0</v>
      </c>
      <c r="U87" s="1279">
        <f t="shared" si="11"/>
        <v>0</v>
      </c>
      <c r="V87" s="1795">
        <v>7.1</v>
      </c>
      <c r="W87" s="1823"/>
      <c r="X87" s="1799"/>
    </row>
    <row r="88" spans="1:38" s="860" customFormat="1" ht="15" hidden="1" customHeight="1" outlineLevel="1">
      <c r="A88" s="2934"/>
      <c r="B88" s="2935"/>
      <c r="C88" s="2912" t="s">
        <v>918</v>
      </c>
      <c r="D88" s="2912"/>
      <c r="E88" s="1649"/>
      <c r="F88" s="1279">
        <f>IF(SETUP!$F$56="Upfront",$E$87*'Malaria-Equipment &amp; Other HPs'!AW18,0)</f>
        <v>0</v>
      </c>
      <c r="G88" s="1316">
        <f>IF(SETUP!$F$56="Upfront",$E$87*'Malaria-Equipment &amp; Other HPs'!AX18,0)</f>
        <v>0</v>
      </c>
      <c r="H88" s="1316">
        <f>IF(SETUP!$F$56="Upfront",$E$87*'Malaria-Equipment &amp; Other HPs'!AY18,0)</f>
        <v>0</v>
      </c>
      <c r="I88" s="1316">
        <f>IF(SETUP!$F$56="Upfront",$E$87*'Malaria-Equipment &amp; Other HPs'!AZ18,0)</f>
        <v>0</v>
      </c>
      <c r="J88" s="1316">
        <f t="shared" si="8"/>
        <v>0</v>
      </c>
      <c r="K88" s="1317">
        <f>IF(SETUP!$F$56="Upfront",$E$87*'Malaria-Equipment &amp; Other HPs'!BA18,0)</f>
        <v>0</v>
      </c>
      <c r="L88" s="1316">
        <f>IF(SETUP!$F$56="Upfront",$E$87*'Malaria-Equipment &amp; Other HPs'!BB18,0)</f>
        <v>0</v>
      </c>
      <c r="M88" s="1316">
        <f>IF(SETUP!$F$56="Upfront",$E$87*'Malaria-Equipment &amp; Other HPs'!BC18,0)</f>
        <v>0</v>
      </c>
      <c r="N88" s="1316">
        <f>IF(SETUP!$F$56="Upfront",$E$87*'Malaria-Equipment &amp; Other HPs'!BD18,0)</f>
        <v>0</v>
      </c>
      <c r="O88" s="1205">
        <f t="shared" si="9"/>
        <v>0</v>
      </c>
      <c r="P88" s="1279">
        <f>IF(SETUP!$F$56="Upfront",$E$87*'Malaria-Equipment &amp; Other HPs'!BE18,0)</f>
        <v>0</v>
      </c>
      <c r="Q88" s="1189">
        <f>IF(SETUP!$F$56="Upfront",$E$87*'Malaria-Equipment &amp; Other HPs'!BF18,0)</f>
        <v>0</v>
      </c>
      <c r="R88" s="1189">
        <f>IF(SETUP!$F$56="Upfront",$E$87*'Malaria-Equipment &amp; Other HPs'!BG18,0)</f>
        <v>0</v>
      </c>
      <c r="S88" s="1189">
        <f>IF(SETUP!$F$56="Upfront",$E$87*'Malaria-Equipment &amp; Other HPs'!BH18,0)</f>
        <v>0</v>
      </c>
      <c r="T88" s="1189">
        <f t="shared" si="10"/>
        <v>0</v>
      </c>
      <c r="U88" s="1279">
        <f t="shared" si="11"/>
        <v>0</v>
      </c>
      <c r="V88" s="1795"/>
      <c r="W88" s="1823"/>
      <c r="X88" s="1799"/>
    </row>
    <row r="89" spans="1:38" s="860" customFormat="1" ht="15" hidden="1" customHeight="1" outlineLevel="1">
      <c r="A89" s="2934"/>
      <c r="B89" s="2935"/>
      <c r="C89" s="2912" t="s">
        <v>36</v>
      </c>
      <c r="D89" s="2912"/>
      <c r="E89" s="1649"/>
      <c r="F89" s="1279">
        <v>0</v>
      </c>
      <c r="G89" s="1316">
        <f>IF(SETUP!$F$56="At delivery",IF(SETUP!$G$56=1,$E$87*'Malaria-Equipment &amp; Other HPs'!AW18,0),0)</f>
        <v>0</v>
      </c>
      <c r="H89" s="1316">
        <f>IF(SETUP!$F$56="At delivery",IF(SETUP!$G$56=2,$E$87*'Malaria-Equipment &amp; Other HPs'!AW18,IF(SETUP!$G$56=1,$E$87*'Malaria-Equipment &amp; Other HPs'!AX18,0)),0)</f>
        <v>0</v>
      </c>
      <c r="I89" s="1316">
        <f>IF(SETUP!$F$56="At delivery",IF(SETUP!$G$56=3,$E$87*'Malaria-Equipment &amp; Other HPs'!AW18,IF(SETUP!$G$56=2,$E$87*'Malaria-Equipment &amp; Other HPs'!AX18,IF(SETUP!$G$56=1,$E$87*'Malaria-Equipment &amp; Other HPs'!AY18,0))),0)</f>
        <v>0</v>
      </c>
      <c r="J89" s="1316">
        <f t="shared" si="8"/>
        <v>0</v>
      </c>
      <c r="K89" s="1317">
        <f>IF(SETUP!$F$56="At delivery",IF(SETUP!$G$56=4,$E$87*'Malaria-Equipment &amp; Other HPs'!AW18,IF(SETUP!$G$56=3,$E$87*'Malaria-Equipment &amp; Other HPs'!AX18,IF(SETUP!$G$56=2,$E$87*'Malaria-Equipment &amp; Other HPs'!AY18,IF(SETUP!$G$56=1,$E$87*'Malaria-Equipment &amp; Other HPs'!AZ18,0)))),0)</f>
        <v>0</v>
      </c>
      <c r="L89" s="1316">
        <f>IF(SETUP!$F$56="At delivery",IF(SETUP!$G$56=4,$E$87*'Malaria-Equipment &amp; Other HPs'!AX18,IF(SETUP!$G$56=3,$E$87*'Malaria-Equipment &amp; Other HPs'!AY18,IF(SETUP!$G$56=2,$E$87*'Malaria-Equipment &amp; Other HPs'!AZ18,IF(SETUP!$G$56=1,$E$87*'Malaria-Equipment &amp; Other HPs'!BA18,0)))),0)</f>
        <v>0</v>
      </c>
      <c r="M89" s="1316">
        <f>IF(SETUP!$F$56="At delivery",IF(SETUP!$G$56=4,$E$87*'Malaria-Equipment &amp; Other HPs'!AY18,IF(SETUP!$G$56=3,$E$87*'Malaria-Equipment &amp; Other HPs'!AZ18,IF(SETUP!$G$56=2,$E$87*'Malaria-Equipment &amp; Other HPs'!BA18,IF(SETUP!$G$56=1,$E$87*'Malaria-Equipment &amp; Other HPs'!BB18,0)))),0)</f>
        <v>0</v>
      </c>
      <c r="N89" s="1316">
        <f>IF(SETUP!$F$56="At delivery",IF(SETUP!$G$56=4,$E$87*'Malaria-Equipment &amp; Other HPs'!AZ18,IF(SETUP!$G$56=3,$E$87*'Malaria-Equipment &amp; Other HPs'!BA18,IF(SETUP!$G$56=2,$E$87*'Malaria-Equipment &amp; Other HPs'!BB18,IF(SETUP!$G$56=1,$E$87*'Malaria-Equipment &amp; Other HPs'!BC18,0)))),0)</f>
        <v>0</v>
      </c>
      <c r="O89" s="1205">
        <f t="shared" si="9"/>
        <v>0</v>
      </c>
      <c r="P89" s="1279">
        <f>IF(SETUP!$F$56="At delivery",IF(SETUP!$G$56=4,$E$87*'Malaria-Equipment &amp; Other HPs'!BA18,IF(SETUP!$G$56=3,$E$87*'Malaria-Equipment &amp; Other HPs'!BB18,IF(SETUP!$G$56=2,$E$87*'Malaria-Equipment &amp; Other HPs'!BC18,IF(SETUP!$G$56=1,$E$87*'Malaria-Equipment &amp; Other HPs'!BD18,0)))),0)</f>
        <v>0</v>
      </c>
      <c r="Q89" s="1189">
        <f>IF(SETUP!$F$56="At delivery",IF(SETUP!$G$56=4,$E$87*'Malaria-Equipment &amp; Other HPs'!BB18,IF(SETUP!$G$56=3,$E$87*'Malaria-Equipment &amp; Other HPs'!BC18,IF(SETUP!$G$56=2,$E$87*'Malaria-Equipment &amp; Other HPs'!BD18,IF(SETUP!$G$56=1,$E$87*'Malaria-Equipment &amp; Other HPs'!BE18,0)))),0)</f>
        <v>0</v>
      </c>
      <c r="R89" s="1189">
        <f>IF(SETUP!$F$56="At delivery",IF(SETUP!$G$56=4,$E$87*'Malaria-Equipment &amp; Other HPs'!BC18,IF(SETUP!$G$56=3,$E$87*'Malaria-Equipment &amp; Other HPs'!BD18,IF(SETUP!$G$56=2,$E$87*'Malaria-Equipment &amp; Other HPs'!BE18,IF(SETUP!$G$56=1,$E$87*'Malaria-Equipment &amp; Other HPs'!BF18,0)))),0)</f>
        <v>0</v>
      </c>
      <c r="S89" s="1189">
        <f>IF(SETUP!$F$56="At delivery",IF(SETUP!$G$56=4,$E$87*('Malaria-Equipment &amp; Other HPs'!BD18+'Malaria-Equipment &amp; Other HPs'!BE18+'Malaria-Equipment &amp; Other HPs'!BF18+'Malaria-Equipment &amp; Other HPs'!BG18+'Malaria-Equipment &amp; Other HPs'!BH18),IF(SETUP!$G$56=3,$E$87*('Malaria-Equipment &amp; Other HPs'!BE18+'Malaria-Equipment &amp; Other HPs'!BF18+'Malaria-Equipment &amp; Other HPs'!BG18+'Malaria-Equipment &amp; Other HPs'!BH18),IF(SETUP!$G$56=2,$E$87*('Malaria-Equipment &amp; Other HPs'!BF18+'Malaria-Equipment &amp; Other HPs'!BG18+'Malaria-Equipment &amp; Other HPs'!BH18),IF(SETUP!$G$56=1,$E$87*('Malaria-Equipment &amp; Other HPs'!BG18+'Malaria-Equipment &amp; Other HPs'!BH18),0)))),0)</f>
        <v>0</v>
      </c>
      <c r="T89" s="1189">
        <f t="shared" si="10"/>
        <v>0</v>
      </c>
      <c r="U89" s="1279">
        <f t="shared" si="11"/>
        <v>0</v>
      </c>
      <c r="V89" s="1795"/>
      <c r="W89" s="1823"/>
      <c r="X89" s="1799"/>
    </row>
    <row r="90" spans="1:38" s="860" customFormat="1" ht="15" hidden="1" customHeight="1" collapsed="1">
      <c r="A90" s="2934"/>
      <c r="B90" s="2935"/>
      <c r="C90" s="2911" t="s">
        <v>537</v>
      </c>
      <c r="D90" s="2911"/>
      <c r="E90" s="1649">
        <v>1E-4</v>
      </c>
      <c r="F90" s="1279">
        <f>IF(SETUP!$F$57="Upfront",F91,F92)</f>
        <v>0</v>
      </c>
      <c r="G90" s="1316">
        <f>IF(SETUP!$F$57="Upfront",G91,G92)</f>
        <v>0</v>
      </c>
      <c r="H90" s="1316">
        <f>IF(SETUP!$F$57="Upfront",H91,H92)</f>
        <v>0</v>
      </c>
      <c r="I90" s="1316">
        <f>IF(SETUP!$F$57="Upfront",I91,I92)</f>
        <v>0</v>
      </c>
      <c r="J90" s="1316">
        <f t="shared" si="8"/>
        <v>0</v>
      </c>
      <c r="K90" s="1317">
        <f>IF(SETUP!$F$57="Upfront",K91,K92)</f>
        <v>0</v>
      </c>
      <c r="L90" s="1316">
        <f>IF(SETUP!$F$57="Upfront",L91,L92)</f>
        <v>0</v>
      </c>
      <c r="M90" s="1316">
        <f>IF(SETUP!$F$57="Upfront",M91,M92)</f>
        <v>0</v>
      </c>
      <c r="N90" s="1316">
        <f>IF(SETUP!$F$57="Upfront",N91,N92)</f>
        <v>0</v>
      </c>
      <c r="O90" s="1205">
        <f t="shared" si="9"/>
        <v>0</v>
      </c>
      <c r="P90" s="1279">
        <f>IF(SETUP!$F$57="Upfront",P91,P92)</f>
        <v>0</v>
      </c>
      <c r="Q90" s="1189">
        <f>IF(SETUP!$F$57="Upfront",Q91,Q92)</f>
        <v>0</v>
      </c>
      <c r="R90" s="1189">
        <f>IF(SETUP!$F$57="Upfront",R91,R92)</f>
        <v>0</v>
      </c>
      <c r="S90" s="1189">
        <f>IF(SETUP!$F$57="Upfront",S91,S92)</f>
        <v>0</v>
      </c>
      <c r="T90" s="1189">
        <f t="shared" si="10"/>
        <v>0</v>
      </c>
      <c r="U90" s="1279">
        <f t="shared" si="11"/>
        <v>0</v>
      </c>
      <c r="V90" s="1795">
        <v>7.1</v>
      </c>
      <c r="W90" s="1823"/>
      <c r="X90" s="1800"/>
    </row>
    <row r="91" spans="1:38" s="860" customFormat="1" ht="15" hidden="1" customHeight="1" outlineLevel="1">
      <c r="A91" s="2934"/>
      <c r="B91" s="2935"/>
      <c r="C91" s="2912" t="s">
        <v>918</v>
      </c>
      <c r="D91" s="2912"/>
      <c r="E91" s="1649"/>
      <c r="F91" s="1279">
        <f>IF(SETUP!$F$57="Upfront",$E$90*'Malaria-Equipment &amp; Other HPs'!AW19,0)</f>
        <v>0</v>
      </c>
      <c r="G91" s="1316">
        <f>IF(SETUP!$F$57="Upfront",$E$90*'Malaria-Equipment &amp; Other HPs'!AX19,0)</f>
        <v>0</v>
      </c>
      <c r="H91" s="1316">
        <f>IF(SETUP!$F$57="Upfront",$E$90*'Malaria-Equipment &amp; Other HPs'!AY19,0)</f>
        <v>0</v>
      </c>
      <c r="I91" s="1316">
        <f>IF(SETUP!$F$57="Upfront",$E$90*'Malaria-Equipment &amp; Other HPs'!AZ19,0)</f>
        <v>0</v>
      </c>
      <c r="J91" s="1316">
        <f t="shared" si="8"/>
        <v>0</v>
      </c>
      <c r="K91" s="1317">
        <f>IF(SETUP!$F$57="Upfront",$E$90*'Malaria-Equipment &amp; Other HPs'!BA19,0)</f>
        <v>0</v>
      </c>
      <c r="L91" s="1316">
        <f>IF(SETUP!$F$57="Upfront",$E$90*'Malaria-Equipment &amp; Other HPs'!BB19,0)</f>
        <v>0</v>
      </c>
      <c r="M91" s="1316">
        <f>IF(SETUP!$F$57="Upfront",$E$90*'Malaria-Equipment &amp; Other HPs'!BC19,0)</f>
        <v>0</v>
      </c>
      <c r="N91" s="1316">
        <f>IF(SETUP!$F$57="Upfront",$E$90*'Malaria-Equipment &amp; Other HPs'!BD19,0)</f>
        <v>0</v>
      </c>
      <c r="O91" s="1205">
        <f t="shared" si="9"/>
        <v>0</v>
      </c>
      <c r="P91" s="1279">
        <f>IF(SETUP!$F$57="Upfront",$E$90*'Malaria-Equipment &amp; Other HPs'!BE19,0)</f>
        <v>0</v>
      </c>
      <c r="Q91" s="1189">
        <f>IF(SETUP!$F$57="Upfront",$E$90*'Malaria-Equipment &amp; Other HPs'!BF19,0)</f>
        <v>0</v>
      </c>
      <c r="R91" s="1189">
        <f>IF(SETUP!$F$57="Upfront",$E$90*'Malaria-Equipment &amp; Other HPs'!BG19,0)</f>
        <v>0</v>
      </c>
      <c r="S91" s="1189">
        <f>IF(SETUP!$F$57="Upfront",$E$90*'Malaria-Equipment &amp; Other HPs'!BH19,0)</f>
        <v>0</v>
      </c>
      <c r="T91" s="1189">
        <f t="shared" si="10"/>
        <v>0</v>
      </c>
      <c r="U91" s="1279">
        <f t="shared" si="11"/>
        <v>0</v>
      </c>
      <c r="V91" s="1795"/>
      <c r="W91" s="1823"/>
      <c r="X91" s="1799"/>
    </row>
    <row r="92" spans="1:38" s="860" customFormat="1" ht="15" hidden="1" customHeight="1" outlineLevel="1">
      <c r="A92" s="2934"/>
      <c r="B92" s="2935"/>
      <c r="C92" s="2912" t="s">
        <v>36</v>
      </c>
      <c r="D92" s="2912"/>
      <c r="E92" s="1649"/>
      <c r="F92" s="1279">
        <v>0</v>
      </c>
      <c r="G92" s="1316">
        <f>IF(SETUP!$F$57="At delivery",IF(SETUP!$G$57=1,$E$90*'Malaria-Equipment &amp; Other HPs'!AW19,0),0)</f>
        <v>0</v>
      </c>
      <c r="H92" s="1316">
        <f>IF(SETUP!$F$57="At delivery",IF(SETUP!$G$57=2,$E$90*'Malaria-Equipment &amp; Other HPs'!AW19,IF(SETUP!$G$57=1,$E$90*'Malaria-Equipment &amp; Other HPs'!AX19,0)),0)</f>
        <v>0</v>
      </c>
      <c r="I92" s="1316">
        <f>IF(SETUP!$F$57="At delivery",IF(SETUP!$G$57=3,$E$90*'Malaria-Equipment &amp; Other HPs'!AW19,IF(SETUP!$G$57=2,$E$90*'Malaria-Equipment &amp; Other HPs'!AX19,IF(SETUP!$G$57=1,$E$90*'Malaria-Equipment &amp; Other HPs'!AY19,0))),0)</f>
        <v>0</v>
      </c>
      <c r="J92" s="1316">
        <f t="shared" si="8"/>
        <v>0</v>
      </c>
      <c r="K92" s="1317">
        <f>IF(SETUP!$F$57="At delivery",IF(SETUP!$G$57=4,$E$90*'Malaria-Equipment &amp; Other HPs'!AW19,IF(SETUP!$G$57=3,$E$90*'Malaria-Equipment &amp; Other HPs'!AX19,IF(SETUP!$G$57=2,$E$90*'Malaria-Equipment &amp; Other HPs'!AY19,IF(SETUP!$G$57=1,$E$90*'Malaria-Equipment &amp; Other HPs'!AZ19,0)))),0)</f>
        <v>0</v>
      </c>
      <c r="L92" s="1316">
        <f>IF(SETUP!$F$57="At delivery",IF(SETUP!$G$57=4,$E$90*'Malaria-Equipment &amp; Other HPs'!AX19,IF(SETUP!$G$57=3,$E$90*'Malaria-Equipment &amp; Other HPs'!AY19,IF(SETUP!$G$57=2,$E$90*'Malaria-Equipment &amp; Other HPs'!AZ19,IF(SETUP!$G$57=1,$E$90*'Malaria-Equipment &amp; Other HPs'!BA19,0)))),0)</f>
        <v>0</v>
      </c>
      <c r="M92" s="1316">
        <f>IF(SETUP!$F$57="At delivery",IF(SETUP!$G$57=4,$E$90*'Malaria-Equipment &amp; Other HPs'!AY19,IF(SETUP!$G$57=3,$E$90*'Malaria-Equipment &amp; Other HPs'!AZ19,IF(SETUP!$G$57=2,$E$90*'Malaria-Equipment &amp; Other HPs'!BA19,IF(SETUP!$G$57=1,$E$90*'Malaria-Equipment &amp; Other HPs'!BB19,0)))),0)</f>
        <v>0</v>
      </c>
      <c r="N92" s="1316">
        <f>IF(SETUP!$F$57="At delivery",IF(SETUP!$G$57=4,$E$90*'Malaria-Equipment &amp; Other HPs'!AZ19,IF(SETUP!$G$57=3,$E$90*'Malaria-Equipment &amp; Other HPs'!BA19,IF(SETUP!$G$57=2,$E$90*'Malaria-Equipment &amp; Other HPs'!BB19,IF(SETUP!$G$57=1,$E$90*'Malaria-Equipment &amp; Other HPs'!BC19,0)))),0)</f>
        <v>0</v>
      </c>
      <c r="O92" s="1205">
        <f t="shared" si="9"/>
        <v>0</v>
      </c>
      <c r="P92" s="1279">
        <f>IF(SETUP!$F$57="At delivery",IF(SETUP!$G$57=4,$E$90*'Malaria-Equipment &amp; Other HPs'!BA19,IF(SETUP!$G$57=3,$E$90*'Malaria-Equipment &amp; Other HPs'!BB19,IF(SETUP!$G$57=2,$E$90*'Malaria-Equipment &amp; Other HPs'!BC19,IF(SETUP!$G$57=1,$E$90*'Malaria-Equipment &amp; Other HPs'!BD19,0)))),0)</f>
        <v>0</v>
      </c>
      <c r="Q92" s="1189">
        <f>IF(SETUP!$F$57="At delivery",IF(SETUP!$G$57=4,$E$90*'Malaria-Equipment &amp; Other HPs'!BB19,IF(SETUP!$G$57=3,$E$90*'Malaria-Equipment &amp; Other HPs'!BC19,IF(SETUP!$G$57=2,$E$90*'Malaria-Equipment &amp; Other HPs'!BD19,IF(SETUP!$G$57=1,$E$90*'Malaria-Equipment &amp; Other HPs'!BE19,0)))),0)</f>
        <v>0</v>
      </c>
      <c r="R92" s="1189">
        <f>IF(SETUP!$F$57="At delivery",IF(SETUP!$G$57=4,$E$90*'Malaria-Equipment &amp; Other HPs'!BC19,IF(SETUP!$G$57=3,$E$90*'Malaria-Equipment &amp; Other HPs'!BD19,IF(SETUP!$G$57=2,$E$90*'Malaria-Equipment &amp; Other HPs'!BE19,IF(SETUP!$G$57=1,$E$90*'Malaria-Equipment &amp; Other HPs'!BF19,0)))),0)</f>
        <v>0</v>
      </c>
      <c r="S92" s="1189">
        <f>IF(SETUP!$F$57="At delivery",IF(SETUP!$G$57=4,$E$90*('Malaria-Equipment &amp; Other HPs'!BD19+'Malaria-Equipment &amp; Other HPs'!BE19+'Malaria-Equipment &amp; Other HPs'!BF19+'Malaria-Equipment &amp; Other HPs'!BG19+'Malaria-Equipment &amp; Other HPs'!BH19),IF(SETUP!$G$57=3,$E$90*('Malaria-Equipment &amp; Other HPs'!BE19+'Malaria-Equipment &amp; Other HPs'!BF19+'Malaria-Equipment &amp; Other HPs'!BG19+'Malaria-Equipment &amp; Other HPs'!BH19),IF(SETUP!$G$57=2,$E$90*('Malaria-Equipment &amp; Other HPs'!BF19+'Malaria-Equipment &amp; Other HPs'!BG19+'Malaria-Equipment &amp; Other HPs'!BH19),IF(SETUP!$G$57=1,$E$90*('Malaria-Equipment &amp; Other HPs'!BG19+'Malaria-Equipment &amp; Other HPs'!BH19),0)))),0)</f>
        <v>0</v>
      </c>
      <c r="T92" s="1189">
        <f t="shared" si="10"/>
        <v>0</v>
      </c>
      <c r="U92" s="1279">
        <f t="shared" si="11"/>
        <v>0</v>
      </c>
      <c r="V92" s="1795"/>
      <c r="W92" s="1823"/>
      <c r="X92" s="1799"/>
    </row>
    <row r="93" spans="1:38" s="860" customFormat="1" ht="15" hidden="1" customHeight="1" collapsed="1" thickBot="1">
      <c r="A93" s="2936"/>
      <c r="B93" s="2935"/>
      <c r="C93" s="2983" t="s">
        <v>584</v>
      </c>
      <c r="D93" s="2983"/>
      <c r="E93" s="1650">
        <v>1E-4</v>
      </c>
      <c r="F93" s="1337">
        <f>IF(SETUP!$F$58="Upfront",F94,F95)</f>
        <v>0</v>
      </c>
      <c r="G93" s="1338">
        <f>IF(SETUP!$F$58="Upfront",G94,G95)</f>
        <v>0</v>
      </c>
      <c r="H93" s="1318">
        <f>IF(SETUP!$F$58="Upfront",H94,H95)</f>
        <v>0</v>
      </c>
      <c r="I93" s="1318">
        <f>IF(SETUP!$F$58="Upfront",I94,I95)</f>
        <v>0</v>
      </c>
      <c r="J93" s="1318">
        <f t="shared" si="8"/>
        <v>0</v>
      </c>
      <c r="K93" s="1319">
        <f>IF(SETUP!$F$58="Upfront",K94,K95)</f>
        <v>0</v>
      </c>
      <c r="L93" s="1318">
        <f>IF(SETUP!$F$58="Upfront",L94,L95)</f>
        <v>0</v>
      </c>
      <c r="M93" s="1318">
        <f>IF(SETUP!$F$58="Upfront",M94,M95)</f>
        <v>0</v>
      </c>
      <c r="N93" s="1318">
        <f>IF(SETUP!$F$58="Upfront",N94,N95)</f>
        <v>0</v>
      </c>
      <c r="O93" s="1320">
        <f t="shared" si="9"/>
        <v>0</v>
      </c>
      <c r="P93" s="1281">
        <f>IF(SETUP!$F$58="Upfront",P94,P95)</f>
        <v>0</v>
      </c>
      <c r="Q93" s="1282">
        <f>IF(SETUP!$F$58="Upfront",Q94,Q95)</f>
        <v>0</v>
      </c>
      <c r="R93" s="1282">
        <f>IF(SETUP!$F$58="Upfront",R94,R95)</f>
        <v>0</v>
      </c>
      <c r="S93" s="1282">
        <f>IF(SETUP!$F$58="Upfront",S94,S95)</f>
        <v>0</v>
      </c>
      <c r="T93" s="1282">
        <f t="shared" si="10"/>
        <v>0</v>
      </c>
      <c r="U93" s="1281">
        <f t="shared" si="11"/>
        <v>0</v>
      </c>
      <c r="V93" s="1796">
        <v>7.1</v>
      </c>
      <c r="W93" s="1824"/>
      <c r="X93" s="1801"/>
    </row>
    <row r="94" spans="1:38" s="860" customFormat="1" ht="15" hidden="1" customHeight="1" outlineLevel="1">
      <c r="A94" s="1871"/>
      <c r="B94" s="1872"/>
      <c r="C94" s="2889" t="s">
        <v>918</v>
      </c>
      <c r="D94" s="2912"/>
      <c r="E94" s="1562"/>
      <c r="F94" s="1177">
        <f>IF(SETUP!$F$58="Upfront",$E$93*'Malaria-Equipment &amp; Other HPs'!AW20,0)</f>
        <v>0</v>
      </c>
      <c r="G94" s="1177">
        <f>IF(SETUP!$F$58="Upfront",$E$93*'Malaria-Equipment &amp; Other HPs'!AX20,0)</f>
        <v>0</v>
      </c>
      <c r="H94" s="1177">
        <f>IF(SETUP!$F$58="Upfront",$E$93*'Malaria-Equipment &amp; Other HPs'!AY20,0)</f>
        <v>0</v>
      </c>
      <c r="I94" s="1177">
        <f>IF(SETUP!$F$58="Upfront",$E$93*'Malaria-Equipment &amp; Other HPs'!AZ20,0)</f>
        <v>0</v>
      </c>
      <c r="J94" s="1178">
        <f>'HPM costs'!$F94+'HPM costs'!$G94+'HPM costs'!$H94+'HPM costs'!$I94</f>
        <v>0</v>
      </c>
      <c r="K94" s="1179">
        <f>IF(SETUP!$F$58="Upfront",$E$93*'Malaria-Equipment &amp; Other HPs'!BA20,0)</f>
        <v>0</v>
      </c>
      <c r="L94" s="1178">
        <f>IF(SETUP!$F$58="Upfront",$E$93*'Malaria-Equipment &amp; Other HPs'!BB20,0)</f>
        <v>0</v>
      </c>
      <c r="M94" s="1178">
        <f>IF(SETUP!$F$58="Upfront",$E$93*'Malaria-Equipment &amp; Other HPs'!BC20,0)</f>
        <v>0</v>
      </c>
      <c r="N94" s="1178">
        <f>IF(SETUP!$F$58="Upfront",$E$93*'Malaria-Equipment &amp; Other HPs'!BD20,0)</f>
        <v>0</v>
      </c>
      <c r="O94" s="1180">
        <f t="shared" si="9"/>
        <v>0</v>
      </c>
      <c r="P94" s="1181">
        <f>IF(SETUP!$F$58="Upfront",$E$93*'Malaria-Equipment &amp; Other HPs'!BE20,0)</f>
        <v>0</v>
      </c>
      <c r="Q94" s="1177">
        <f>IF(SETUP!$F$58="Upfront",$E$93*'Malaria-Equipment &amp; Other HPs'!BF20,0)</f>
        <v>0</v>
      </c>
      <c r="R94" s="1177">
        <f>IF(SETUP!$F$58="Upfront",$E$93*'Malaria-Equipment &amp; Other HPs'!BG20,0)</f>
        <v>0</v>
      </c>
      <c r="S94" s="1177">
        <f>IF(SETUP!$F$58="Upfront",$E$93*'Malaria-Equipment &amp; Other HPs'!BH20,0)</f>
        <v>0</v>
      </c>
      <c r="T94" s="1177">
        <f t="shared" si="10"/>
        <v>0</v>
      </c>
      <c r="U94" s="1181">
        <f t="shared" si="11"/>
        <v>0</v>
      </c>
      <c r="V94" s="923"/>
      <c r="W94" s="846"/>
      <c r="X94" s="847"/>
    </row>
    <row r="95" spans="1:38" s="860" customFormat="1" ht="15" hidden="1" customHeight="1" outlineLevel="1" thickBot="1">
      <c r="A95" s="1874"/>
      <c r="B95" s="1875"/>
      <c r="C95" s="3038" t="s">
        <v>36</v>
      </c>
      <c r="D95" s="2982"/>
      <c r="E95" s="1561"/>
      <c r="F95" s="1182">
        <v>0</v>
      </c>
      <c r="G95" s="1183">
        <f>IF(SETUP!$F$58="At delivery",IF(SETUP!$G$58=1,$E$93*'Malaria-Equipment &amp; Other HPs'!AW20,0),0)</f>
        <v>0</v>
      </c>
      <c r="H95" s="1184">
        <f>IF(SETUP!$F$58="At delivery",IF(SETUP!$G$58=2,$E$93*'Malaria-Equipment &amp; Other HPs'!AW20,IF(SETUP!$G$58=1,$E$93*'Malaria-Equipment &amp; Other HPs'!AX20,0)),0)</f>
        <v>0</v>
      </c>
      <c r="I95" s="1184">
        <f>IF(SETUP!$F$58="At delivery",IF(SETUP!$G$58=3,$E$93*'Malaria-Equipment &amp; Other HPs'!AW20,IF(SETUP!$G$58=2,$E$93*'Malaria-Equipment &amp; Other HPs'!AX20,IF(SETUP!$G$58=1,$E$93*'Malaria-Equipment &amp; Other HPs'!AY20,0))),0)</f>
        <v>0</v>
      </c>
      <c r="J95" s="1185">
        <f>'HPM costs'!$F95+'HPM costs'!$G95+'HPM costs'!$H95+'HPM costs'!$I95</f>
        <v>0</v>
      </c>
      <c r="K95" s="1186">
        <f>IF(SETUP!$F$58="At delivery",IF(SETUP!$G$58=4,$E$93*'Malaria-Equipment &amp; Other HPs'!AW20,IF(SETUP!$G$58=3,$E$93*'Malaria-Equipment &amp; Other HPs'!AX20,IF(SETUP!$G$58=2,$E$93*'Malaria-Equipment &amp; Other HPs'!AY20,IF(SETUP!$G$58=1,$E$93*'Malaria-Equipment &amp; Other HPs'!AZ20,0)))),0)</f>
        <v>0</v>
      </c>
      <c r="L95" s="1184">
        <f>IF(SETUP!$F$58="At delivery",IF(SETUP!$G$58=4,$E$93*'Malaria-Equipment &amp; Other HPs'!AX20,IF(SETUP!$G$58=3,$E$93*'Malaria-Equipment &amp; Other HPs'!AY20,IF(SETUP!$G$58=2,$E$93*'Malaria-Equipment &amp; Other HPs'!AZ20,IF(SETUP!$G$58=1,$E$93*'Malaria-Equipment &amp; Other HPs'!BA20,0)))),0)</f>
        <v>0</v>
      </c>
      <c r="M95" s="1184">
        <f>IF(SETUP!$F$58="At delivery",IF(SETUP!$G$58=4,$E$93*'Malaria-Equipment &amp; Other HPs'!AY20,IF(SETUP!$G$58=3,$E$93*'Malaria-Equipment &amp; Other HPs'!AZ20,IF(SETUP!$G$58=2,$E$93*'Malaria-Equipment &amp; Other HPs'!BA20,IF(SETUP!$G$58=1,$E$93*'Malaria-Equipment &amp; Other HPs'!BB20,0)))),0)</f>
        <v>0</v>
      </c>
      <c r="N95" s="1184">
        <f>IF(SETUP!$F$58="At delivery",IF(SETUP!$G$58=4,$E$93*'Malaria-Equipment &amp; Other HPs'!AZ20,IF(SETUP!$G$58=3,$E$93*'Malaria-Equipment &amp; Other HPs'!BA20,IF(SETUP!$G$58=2,$E$93*'Malaria-Equipment &amp; Other HPs'!BB20,IF(SETUP!$G$58=1,$E$93*'Malaria-Equipment &amp; Other HPs'!BC20,0)))),0)</f>
        <v>0</v>
      </c>
      <c r="O95" s="1187">
        <f t="shared" si="9"/>
        <v>0</v>
      </c>
      <c r="P95" s="1188">
        <f>IF(SETUP!$F$58="At delivery",IF(SETUP!$G$58=4,$E$93*'Malaria-Equipment &amp; Other HPs'!BA20,IF(SETUP!$G$58=3,$E$93*'Malaria-Equipment &amp; Other HPs'!BB20,IF(SETUP!$G$58=2,$E$93*'Malaria-Equipment &amp; Other HPs'!BC20,IF(SETUP!$G$58=1,$E$93*'Malaria-Equipment &amp; Other HPs'!BD20,0)))),0)</f>
        <v>0</v>
      </c>
      <c r="Q95" s="1182">
        <f>IF(SETUP!$F$58="At delivery",IF(SETUP!$G$58=4,$E$93*'Malaria-Equipment &amp; Other HPs'!BB20,IF(SETUP!$G$58=3,$E$93*'Malaria-Equipment &amp; Other HPs'!BC20,IF(SETUP!$G$58=2,$E$93*'Malaria-Equipment &amp; Other HPs'!BD20,IF(SETUP!$G$58=1,$E$93*'Malaria-Equipment &amp; Other HPs'!BE20,0)))),0)</f>
        <v>0</v>
      </c>
      <c r="R95" s="1182">
        <f>IF(SETUP!$F$58="At delivery",IF(SETUP!$G$58=4,$E$93*'Malaria-Equipment &amp; Other HPs'!BC20,IF(SETUP!$G$58=3,$E$93*'Malaria-Equipment &amp; Other HPs'!BD20,IF(SETUP!$G$58=2,$E$93*'Malaria-Equipment &amp; Other HPs'!BE20,IF(SETUP!$G$58=1,$E$93*'Malaria-Equipment &amp; Other HPs'!BF20,0)))),0)</f>
        <v>0</v>
      </c>
      <c r="S95" s="1182">
        <f>IF(SETUP!$F$58="At delivery",IF(SETUP!$G$58=4,$E$93*('Malaria-Equipment &amp; Other HPs'!BD20+'Malaria-Equipment &amp; Other HPs'!BE20+'Malaria-Equipment &amp; Other HPs'!BF20+'Malaria-Equipment &amp; Other HPs'!BG20+'Malaria-Equipment &amp; Other HPs'!BH20),IF(SETUP!$G$58=3,$E$93*('Malaria-Equipment &amp; Other HPs'!BE20+'Malaria-Equipment &amp; Other HPs'!BF20+'Malaria-Equipment &amp; Other HPs'!BG20+'Malaria-Equipment &amp; Other HPs'!BH20),IF(SETUP!$G$58=2,$E$93*('Malaria-Equipment &amp; Other HPs'!BF20+'Malaria-Equipment &amp; Other HPs'!BG20+'Malaria-Equipment &amp; Other HPs'!BH20),IF(SETUP!$G$58=1,$E$93*('Malaria-Equipment &amp; Other HPs'!BG20+'Malaria-Equipment &amp; Other HPs'!BH20),0)))),0)</f>
        <v>0</v>
      </c>
      <c r="T95" s="1182">
        <f t="shared" si="10"/>
        <v>0</v>
      </c>
      <c r="U95" s="1188">
        <f t="shared" si="11"/>
        <v>0</v>
      </c>
      <c r="V95" s="924"/>
      <c r="W95" s="846"/>
      <c r="X95" s="847"/>
    </row>
    <row r="96" spans="1:38" s="860" customFormat="1" ht="15" customHeight="1" collapsed="1">
      <c r="A96" s="1876"/>
      <c r="B96" s="1876"/>
      <c r="C96" s="862"/>
      <c r="D96" s="863"/>
      <c r="E96" s="864"/>
      <c r="F96" s="926"/>
      <c r="G96" s="926"/>
      <c r="H96" s="926"/>
      <c r="I96" s="927"/>
      <c r="J96" s="928"/>
      <c r="K96" s="928"/>
      <c r="L96" s="928"/>
      <c r="M96" s="928"/>
      <c r="N96" s="928"/>
      <c r="O96" s="928"/>
      <c r="P96" s="928"/>
      <c r="Q96" s="928"/>
      <c r="R96" s="928"/>
      <c r="S96" s="928"/>
      <c r="T96" s="928"/>
      <c r="U96" s="928"/>
      <c r="V96" s="925"/>
      <c r="Y96" s="866"/>
      <c r="Z96" s="863"/>
      <c r="AA96" s="863"/>
      <c r="AB96" s="863"/>
      <c r="AC96" s="863"/>
      <c r="AD96" s="863"/>
      <c r="AE96" s="863"/>
      <c r="AF96" s="863"/>
      <c r="AG96" s="863"/>
      <c r="AH96" s="863"/>
      <c r="AI96" s="863"/>
      <c r="AJ96" s="863"/>
      <c r="AK96" s="863"/>
      <c r="AL96" s="863"/>
    </row>
    <row r="97" spans="1:38" s="1392" customFormat="1" ht="25.5" customHeight="1" thickBot="1">
      <c r="A97" s="2937" t="s">
        <v>585</v>
      </c>
      <c r="B97" s="2937"/>
      <c r="C97" s="2937"/>
      <c r="D97" s="2937"/>
      <c r="E97" s="2937"/>
      <c r="F97" s="1391"/>
      <c r="G97" s="1391"/>
      <c r="H97" s="1391"/>
      <c r="V97" s="1393"/>
      <c r="Y97" s="866"/>
      <c r="Z97" s="1391"/>
      <c r="AA97" s="1391"/>
      <c r="AB97" s="1391"/>
      <c r="AC97" s="1391"/>
      <c r="AD97" s="1391"/>
      <c r="AE97" s="1391"/>
      <c r="AF97" s="1391"/>
      <c r="AG97" s="1391"/>
      <c r="AH97" s="1391"/>
      <c r="AI97" s="1391"/>
      <c r="AJ97" s="1391"/>
      <c r="AK97" s="1391"/>
      <c r="AL97" s="1391"/>
    </row>
    <row r="98" spans="1:38" s="860" customFormat="1" ht="15" customHeight="1">
      <c r="A98" s="2962" t="s">
        <v>542</v>
      </c>
      <c r="B98" s="2963"/>
      <c r="C98" s="2963"/>
      <c r="D98" s="2963"/>
      <c r="E98" s="2938" t="s">
        <v>586</v>
      </c>
      <c r="F98" s="2942" t="str">
        <f>IF(ISBLANK(IMP_ST_DATE),"Please fill setup",YEAR(IMP_ST_DATE))</f>
        <v>Please fill setup</v>
      </c>
      <c r="G98" s="2943"/>
      <c r="H98" s="2943"/>
      <c r="I98" s="2943"/>
      <c r="J98" s="2948"/>
      <c r="K98" s="2950" t="str">
        <f>IF(ISBLANK(IMP_ST_DATE),"Please fill setup",YEAR(IMP_ST_DATE)+1)</f>
        <v>Please fill setup</v>
      </c>
      <c r="L98" s="2950"/>
      <c r="M98" s="2950"/>
      <c r="N98" s="2950"/>
      <c r="O98" s="2951"/>
      <c r="P98" s="2942" t="str">
        <f>IF(ISBLANK(IMP_ST_DATE),"Please fill setup",YEAR(IMP_ST_DATE)+2)</f>
        <v>Please fill setup</v>
      </c>
      <c r="Q98" s="2943"/>
      <c r="R98" s="2943"/>
      <c r="S98" s="2943"/>
      <c r="T98" s="2954"/>
      <c r="U98" s="3049" t="s">
        <v>593</v>
      </c>
      <c r="V98" s="3051" t="s">
        <v>153</v>
      </c>
      <c r="W98" s="3045" t="s">
        <v>6865</v>
      </c>
      <c r="X98" s="3054"/>
      <c r="Y98" s="3005" t="s">
        <v>153</v>
      </c>
    </row>
    <row r="99" spans="1:38" s="860" customFormat="1" ht="14.25" customHeight="1" thickBot="1">
      <c r="A99" s="2964"/>
      <c r="B99" s="2965"/>
      <c r="C99" s="2965"/>
      <c r="D99" s="2965"/>
      <c r="E99" s="2939"/>
      <c r="F99" s="2945"/>
      <c r="G99" s="2946"/>
      <c r="H99" s="2946"/>
      <c r="I99" s="2946"/>
      <c r="J99" s="2949"/>
      <c r="K99" s="2952"/>
      <c r="L99" s="2952"/>
      <c r="M99" s="2952"/>
      <c r="N99" s="2952"/>
      <c r="O99" s="2953"/>
      <c r="P99" s="2945"/>
      <c r="Q99" s="2946"/>
      <c r="R99" s="2946"/>
      <c r="S99" s="2946"/>
      <c r="T99" s="2955"/>
      <c r="U99" s="3050"/>
      <c r="V99" s="3052"/>
      <c r="W99" s="3053"/>
      <c r="X99" s="3055"/>
      <c r="Y99" s="3006"/>
    </row>
    <row r="100" spans="1:38" s="861" customFormat="1" ht="40.5" customHeight="1" thickBot="1">
      <c r="A100" s="2966"/>
      <c r="B100" s="2967"/>
      <c r="C100" s="2967"/>
      <c r="D100" s="2967"/>
      <c r="E100" s="2940"/>
      <c r="F100" s="845" t="s">
        <v>544</v>
      </c>
      <c r="G100" s="1272" t="s">
        <v>545</v>
      </c>
      <c r="H100" s="1272" t="s">
        <v>546</v>
      </c>
      <c r="I100" s="1272" t="s">
        <v>547</v>
      </c>
      <c r="J100" s="1273" t="s">
        <v>548</v>
      </c>
      <c r="K100" s="1272" t="s">
        <v>549</v>
      </c>
      <c r="L100" s="1272" t="s">
        <v>550</v>
      </c>
      <c r="M100" s="1272" t="s">
        <v>551</v>
      </c>
      <c r="N100" s="1272" t="s">
        <v>552</v>
      </c>
      <c r="O100" s="1273" t="s">
        <v>553</v>
      </c>
      <c r="P100" s="1272" t="s">
        <v>554</v>
      </c>
      <c r="Q100" s="1272" t="s">
        <v>555</v>
      </c>
      <c r="R100" s="1272" t="s">
        <v>556</v>
      </c>
      <c r="S100" s="1272" t="s">
        <v>557</v>
      </c>
      <c r="T100" s="1273" t="s">
        <v>558</v>
      </c>
      <c r="U100" s="1272" t="s">
        <v>250</v>
      </c>
      <c r="V100" s="1793" t="s">
        <v>309</v>
      </c>
      <c r="W100" s="3046"/>
      <c r="X100" s="3056"/>
    </row>
    <row r="101" spans="1:38" s="860" customFormat="1" ht="15" customHeight="1">
      <c r="A101" s="2913" t="s">
        <v>560</v>
      </c>
      <c r="B101" s="2914"/>
      <c r="C101" s="2972" t="s">
        <v>561</v>
      </c>
      <c r="D101" s="2972"/>
      <c r="E101" s="1648">
        <v>0</v>
      </c>
      <c r="F101" s="1306">
        <f>IF(SETUP!$F$20="Upfront",F102,F103)</f>
        <v>0</v>
      </c>
      <c r="G101" s="1307">
        <f>IF(SETUP!$F$20="Upfront",G102,G103)</f>
        <v>0</v>
      </c>
      <c r="H101" s="1308">
        <f>IF(SETUP!$F$20="Upfront",H102,H103)</f>
        <v>0</v>
      </c>
      <c r="I101" s="1308">
        <f>IF(SETUP!$F$20="Upfront",I102,I103)</f>
        <v>0</v>
      </c>
      <c r="J101" s="1309">
        <f>F101+G101+H101+I101</f>
        <v>0</v>
      </c>
      <c r="K101" s="1308">
        <f>IF(SETUP!$F$20="Upfront",K102,K103)</f>
        <v>0</v>
      </c>
      <c r="L101" s="1308">
        <f>IF(SETUP!$F$20="Upfront",L102,L103)</f>
        <v>0</v>
      </c>
      <c r="M101" s="1308">
        <f>IF(SETUP!$F$20="Upfront",M102,M103)</f>
        <v>0</v>
      </c>
      <c r="N101" s="1308">
        <f>IF(SETUP!$F$20="Upfront",N102,N103)</f>
        <v>0</v>
      </c>
      <c r="O101" s="1310">
        <f>K101+L101+M101+N101</f>
        <v>0</v>
      </c>
      <c r="P101" s="1311">
        <f>IF(SETUP!$F$20="Upfront",P102,P103)</f>
        <v>0</v>
      </c>
      <c r="Q101" s="1311">
        <f>IF(SETUP!$F$20="Upfront",Q102,Q103)</f>
        <v>0</v>
      </c>
      <c r="R101" s="1311">
        <f>IF(SETUP!$F$20="Upfront",R102,R103)</f>
        <v>0</v>
      </c>
      <c r="S101" s="1311">
        <f>IF(SETUP!$F$20="Upfront",S102,S103)</f>
        <v>0</v>
      </c>
      <c r="T101" s="1312">
        <f>P101+Q101+R101+S101</f>
        <v>0</v>
      </c>
      <c r="U101" s="1311">
        <f>J101+O101+T101</f>
        <v>0</v>
      </c>
      <c r="V101" s="1794">
        <v>7.2</v>
      </c>
      <c r="W101" s="1822"/>
      <c r="X101" s="1819"/>
    </row>
    <row r="102" spans="1:38" s="860" customFormat="1" ht="15" hidden="1" customHeight="1" outlineLevel="1">
      <c r="A102" s="2915"/>
      <c r="B102" s="2916"/>
      <c r="C102" s="2912" t="s">
        <v>918</v>
      </c>
      <c r="D102" s="2912"/>
      <c r="E102" s="1649"/>
      <c r="F102" s="1279">
        <f>IF(SETUP!$F$20="Upfront",$E$101*'HIV-Pharmaceuticals'!AW14,0)</f>
        <v>0</v>
      </c>
      <c r="G102" s="1195">
        <f>IF(SETUP!$F$20="Upfront",$E$101*'HIV-Pharmaceuticals'!AX14,0)</f>
        <v>0</v>
      </c>
      <c r="H102" s="1194">
        <f>IF(SETUP!$F$20="Upfront",$E$101*'HIV-Pharmaceuticals'!AY14,0)</f>
        <v>0</v>
      </c>
      <c r="I102" s="1194">
        <f>IF(SETUP!$F$20="Upfront",$E$101*'HIV-Pharmaceuticals'!AZ14,0)</f>
        <v>0</v>
      </c>
      <c r="J102" s="1193"/>
      <c r="K102" s="1194">
        <f>IF(SETUP!$F$20="Upfront",$E$101*'HIV-Pharmaceuticals'!BA14,0)</f>
        <v>0</v>
      </c>
      <c r="L102" s="1194">
        <f>IF(SETUP!$F$20="Upfront",$E$101*'HIV-Pharmaceuticals'!BB14,0)</f>
        <v>0</v>
      </c>
      <c r="M102" s="1194">
        <f>IF(SETUP!$F$20="Upfront",$E$101*'HIV-Pharmaceuticals'!BC14,0)</f>
        <v>0</v>
      </c>
      <c r="N102" s="1194">
        <f>IF(SETUP!$F$20="Upfront",$E$101*'HIV-Pharmaceuticals'!BD14,0)</f>
        <v>0</v>
      </c>
      <c r="O102" s="1191"/>
      <c r="P102" s="1189">
        <f>IF(SETUP!$F$20="Upfront",$E$101*'HIV-Pharmaceuticals'!BE14,0)</f>
        <v>0</v>
      </c>
      <c r="Q102" s="1189">
        <f>IF(SETUP!$F$20="Upfront",$E$101*'HIV-Pharmaceuticals'!BF14,0)</f>
        <v>0</v>
      </c>
      <c r="R102" s="1189">
        <f>IF(SETUP!$F$20="Upfront",$E$101*'HIV-Pharmaceuticals'!BG14,0)</f>
        <v>0</v>
      </c>
      <c r="S102" s="1189">
        <f>IF(SETUP!$F$20="Upfront",$E$101*'HIV-Pharmaceuticals'!BH14,0)</f>
        <v>0</v>
      </c>
      <c r="T102" s="1190">
        <f>'HPM costs'!$F102+'HPM costs'!$G102+'HPM costs'!$H102+'HPM costs'!$I102</f>
        <v>0</v>
      </c>
      <c r="U102" s="1189">
        <f>'HPM costs'!$J102+'HPM costs'!$O102+'HPM costs'!$T102</f>
        <v>0</v>
      </c>
      <c r="V102" s="1795"/>
      <c r="W102" s="1823"/>
      <c r="X102" s="1820"/>
    </row>
    <row r="103" spans="1:38" s="860" customFormat="1" ht="15" hidden="1" customHeight="1" outlineLevel="1" thickBot="1">
      <c r="A103" s="2915"/>
      <c r="B103" s="2916"/>
      <c r="C103" s="2912" t="s">
        <v>36</v>
      </c>
      <c r="D103" s="2912"/>
      <c r="E103" s="1649"/>
      <c r="F103" s="1279">
        <v>0</v>
      </c>
      <c r="G103" s="1195">
        <f>IF(SETUP!$F$20="At delivery",IF(SETUP!$G$20=1,$E$101*'HIV-Pharmaceuticals'!AW14,0),0)</f>
        <v>0</v>
      </c>
      <c r="H103" s="1194">
        <f>IF(SETUP!$F$20="At delivery",IF(SETUP!$G$20=2,$E$101*'HIV-Pharmaceuticals'!AW14,IF(SETUP!$G$20=1,$E$101*'HIV-Pharmaceuticals'!AX14,0)),0)</f>
        <v>0</v>
      </c>
      <c r="I103" s="1194">
        <f>IF(SETUP!$F$20="At delivery",IF(SETUP!$G$20=3,$E$101*'HIV-Pharmaceuticals'!AW14,IF(SETUP!$G$20=2,$E$101*'HIV-Pharmaceuticals'!AX14,IF(SETUP!$G$20=1,$E$101*'HIV-Pharmaceuticals'!AY14,0))),0)</f>
        <v>0</v>
      </c>
      <c r="J103" s="1193">
        <f>'HPM costs'!$F103+'HPM costs'!$G103+'HPM costs'!$H103+'HPM costs'!$I103</f>
        <v>0</v>
      </c>
      <c r="K103" s="1194">
        <f>IF(SETUP!$F$20="At delivery",IF(SETUP!$G$20=4,$E$101*'HIV-Pharmaceuticals'!AW14,IF(SETUP!$G$20=3,$E$101*'HIV-Pharmaceuticals'!AX14,IF(SETUP!$G$20=2,$E$101*'HIV-Pharmaceuticals'!AY14,IF(SETUP!$G$20=1,$E$101*'HIV-Pharmaceuticals'!AZ14,0)))),0)</f>
        <v>0</v>
      </c>
      <c r="L103" s="1194">
        <f>IF(SETUP!$F$20="At delivery",IF(SETUP!$G$20=4,$E$101*'HIV-Pharmaceuticals'!AX14,IF(SETUP!$G$20=3,$E$101*'HIV-Pharmaceuticals'!AY14,IF(SETUP!$G$20=2,$E$101*'HIV-Pharmaceuticals'!AZ14,IF(SETUP!$G$20=1,$E$101*'HIV-Pharmaceuticals'!BA14,0)))),0)</f>
        <v>0</v>
      </c>
      <c r="M103" s="1194">
        <f>IF(SETUP!$F$20="At delivery",IF(SETUP!$G$20=4,$E$101*'HIV-Pharmaceuticals'!AY14,IF(SETUP!$G$20=3,$E$101*'HIV-Pharmaceuticals'!AZ14,IF(SETUP!$G$20=2,$E$101*'HIV-Pharmaceuticals'!BA14,IF(SETUP!$G$20=1,$E$101*'HIV-Pharmaceuticals'!BB14,0)))),0)</f>
        <v>0</v>
      </c>
      <c r="N103" s="1194">
        <f>IF(SETUP!$F$20="At delivery",IF(SETUP!$G$20=4,$E$101*'HIV-Pharmaceuticals'!AZ14,IF(SETUP!$G$20=3,$E$101*'HIV-Pharmaceuticals'!BA14,IF(SETUP!$G$20=2,$E$101*'HIV-Pharmaceuticals'!BB14,IF(SETUP!$G$20=1,$E$101*'HIV-Pharmaceuticals'!BC14,0)))),0)</f>
        <v>0</v>
      </c>
      <c r="O103" s="1191">
        <f>'HPM costs'!$F103+'HPM costs'!$G103+'HPM costs'!$H103+'HPM costs'!$I103</f>
        <v>0</v>
      </c>
      <c r="P103" s="1189">
        <f>IF(SETUP!$F$20="At delivery",IF(SETUP!$G$20=4,$E$101*'HIV-Pharmaceuticals'!BA14,IF(SETUP!$G$20=3,$E$101*'HIV-Pharmaceuticals'!BB14,IF(SETUP!$G$20=2,$E$101*'HIV-Pharmaceuticals'!BC14,IF(SETUP!$G$20=1,$E$101*'HIV-Pharmaceuticals'!BD14,0)))),0)</f>
        <v>0</v>
      </c>
      <c r="Q103" s="1189">
        <f>IF(SETUP!$F$20="At delivery",IF(SETUP!$G$20=4,$E$101*'HIV-Pharmaceuticals'!BB14,IF(SETUP!$G$20=3,$E$101*'HIV-Pharmaceuticals'!BC14,IF(SETUP!$G$20=2,$E$101*'HIV-Pharmaceuticals'!BD14,IF(SETUP!$G$20=1,$E$101*'HIV-Pharmaceuticals'!BE14,0)))),0)</f>
        <v>0</v>
      </c>
      <c r="R103" s="1189">
        <f>IF(SETUP!$F$20="At delivery",IF(SETUP!$G$20=4,$E$101*'HIV-Pharmaceuticals'!BC14,IF(SETUP!$G$20=3,$E$101*'HIV-Pharmaceuticals'!BD14,IF(SETUP!$G$20=2,$E$101*'HIV-Pharmaceuticals'!BE14,IF(SETUP!$G$20=1,$E$101*'HIV-Pharmaceuticals'!BF14,0)))),0)</f>
        <v>0</v>
      </c>
      <c r="S103" s="1189">
        <f>IF(SETUP!$F$20="At delivery",IF(SETUP!$G$20=4,$E$101*('HIV-Pharmaceuticals'!BD14+'HIV-Pharmaceuticals'!BE14+'HIV-Pharmaceuticals'!BF14+'HIV-Pharmaceuticals'!BG14+'HIV-Pharmaceuticals'!BH14),IF(SETUP!$G$20=3,$E$101*('HIV-Pharmaceuticals'!BE14+'HIV-Pharmaceuticals'!BF14+'HIV-Pharmaceuticals'!BG14+'HIV-Pharmaceuticals'!BH14),IF(SETUP!$G$20=2,$E$101*('HIV-Pharmaceuticals'!BF14+'HIV-Pharmaceuticals'!BG14+'HIV-Pharmaceuticals'!BH14),IF(SETUP!$G$20=1,$E$101*('HIV-Pharmaceuticals'!BG14+'HIV-Pharmaceuticals'!BH14),0)))),0)</f>
        <v>0</v>
      </c>
      <c r="T103" s="1190">
        <f>'HPM costs'!$F103+'HPM costs'!$G103+'HPM costs'!$H103+'HPM costs'!$I103</f>
        <v>0</v>
      </c>
      <c r="U103" s="1189">
        <f>'HPM costs'!$J103+'HPM costs'!$O103+'HPM costs'!$T103</f>
        <v>0</v>
      </c>
      <c r="V103" s="1795"/>
      <c r="W103" s="1823"/>
      <c r="X103" s="1820"/>
    </row>
    <row r="104" spans="1:38" s="860" customFormat="1" ht="15" customHeight="1" collapsed="1">
      <c r="A104" s="2915"/>
      <c r="B104" s="2916"/>
      <c r="C104" s="2911" t="s">
        <v>148</v>
      </c>
      <c r="D104" s="2911"/>
      <c r="E104" s="1649">
        <v>0</v>
      </c>
      <c r="F104" s="1279">
        <f>IF(SETUP!$F$21="Upfront",F105,F106)</f>
        <v>0</v>
      </c>
      <c r="G104" s="1195">
        <f>IF(SETUP!$F$21="Upfront",G105,G106)</f>
        <v>0</v>
      </c>
      <c r="H104" s="1194">
        <f>IF(SETUP!$F$21="Upfront",H105,H106)</f>
        <v>0</v>
      </c>
      <c r="I104" s="1194">
        <f>IF(SETUP!$F$21="Upfront",I105,I106)</f>
        <v>0</v>
      </c>
      <c r="J104" s="1193">
        <f t="shared" ref="J104:J122" si="12">F104+G104+H104+I104</f>
        <v>0</v>
      </c>
      <c r="K104" s="1194">
        <f>IF(SETUP!$F$21="Upfront",K105,K106)</f>
        <v>0</v>
      </c>
      <c r="L104" s="1194">
        <f>IF(SETUP!$F$21="Upfront",L105,L106)</f>
        <v>0</v>
      </c>
      <c r="M104" s="1194">
        <f>IF(SETUP!$F$21="Upfront",M105,M106)</f>
        <v>0</v>
      </c>
      <c r="N104" s="1194">
        <f>IF(SETUP!$F$21="Upfront",N105,N106)</f>
        <v>0</v>
      </c>
      <c r="O104" s="1191">
        <f t="shared" ref="O104:O122" si="13">K104+L104+M104+N104</f>
        <v>0</v>
      </c>
      <c r="P104" s="1189">
        <f>IF(SETUP!$F$21="Upfront",P105,P106)</f>
        <v>0</v>
      </c>
      <c r="Q104" s="1189">
        <f>IF(SETUP!$F$21="Upfront",Q105,Q106)</f>
        <v>0</v>
      </c>
      <c r="R104" s="1189">
        <f>IF(SETUP!$F$21="Upfront",R105,R106)</f>
        <v>0</v>
      </c>
      <c r="S104" s="1189">
        <f>IF(SETUP!$F$21="Upfront",S105,S106)</f>
        <v>0</v>
      </c>
      <c r="T104" s="1190">
        <f t="shared" ref="T104:T122" si="14">P104+Q104+R104+S104</f>
        <v>0</v>
      </c>
      <c r="U104" s="1189">
        <f t="shared" ref="U104:U122" si="15">J104+O104+T104</f>
        <v>0</v>
      </c>
      <c r="V104" s="1795">
        <v>7.2</v>
      </c>
      <c r="W104" s="1823"/>
      <c r="X104" s="1820"/>
    </row>
    <row r="105" spans="1:38" s="860" customFormat="1" ht="15" hidden="1" customHeight="1" outlineLevel="1">
      <c r="A105" s="2915"/>
      <c r="B105" s="2916"/>
      <c r="C105" s="2912" t="s">
        <v>918</v>
      </c>
      <c r="D105" s="2912"/>
      <c r="E105" s="1649"/>
      <c r="F105" s="1279">
        <f>IF(SETUP!$F$21="Upfront",$E$104*'HIV-Pharmaceuticals'!AW15,0)</f>
        <v>0</v>
      </c>
      <c r="G105" s="1195">
        <f>IF(SETUP!$F$21="Upfront",$E$104*'HIV-Pharmaceuticals'!AX15,0)</f>
        <v>0</v>
      </c>
      <c r="H105" s="1194">
        <f>IF(SETUP!$F$21="Upfront",$E$104*'HIV-Pharmaceuticals'!AY15,0)</f>
        <v>0</v>
      </c>
      <c r="I105" s="1194">
        <f>IF(SETUP!$F$21="Upfront",$E$104*'HIV-Pharmaceuticals'!AZ15,0)</f>
        <v>0</v>
      </c>
      <c r="J105" s="1193">
        <f t="shared" si="12"/>
        <v>0</v>
      </c>
      <c r="K105" s="1194">
        <f>IF(SETUP!$F$21="Upfront",$E$104*'HIV-Pharmaceuticals'!BA15,0)</f>
        <v>0</v>
      </c>
      <c r="L105" s="1194">
        <f>IF(SETUP!$F$21="Upfront",$E$104*'HIV-Pharmaceuticals'!BB15,0)</f>
        <v>0</v>
      </c>
      <c r="M105" s="1194">
        <f>IF(SETUP!$F$21="Upfront",$E$104*'HIV-Pharmaceuticals'!BC15,0)</f>
        <v>0</v>
      </c>
      <c r="N105" s="1194">
        <f>IF(SETUP!$F$21="Upfront",$E$104*'HIV-Pharmaceuticals'!BD15,0)</f>
        <v>0</v>
      </c>
      <c r="O105" s="1191">
        <f t="shared" si="13"/>
        <v>0</v>
      </c>
      <c r="P105" s="1189">
        <f>IF(SETUP!$F$21="Upfront",$E$104*'HIV-Pharmaceuticals'!BE15,0)</f>
        <v>0</v>
      </c>
      <c r="Q105" s="1189">
        <f>IF(SETUP!$F$21="Upfront",$E$104*'HIV-Pharmaceuticals'!BF15,0)</f>
        <v>0</v>
      </c>
      <c r="R105" s="1189">
        <f>IF(SETUP!$F$21="Upfront",$E$104*'HIV-Pharmaceuticals'!BG15,0)</f>
        <v>0</v>
      </c>
      <c r="S105" s="1189">
        <f>IF(SETUP!$F$21="Upfront",$E$104*'HIV-Pharmaceuticals'!BH15,0)</f>
        <v>0</v>
      </c>
      <c r="T105" s="1190">
        <f t="shared" si="14"/>
        <v>0</v>
      </c>
      <c r="U105" s="1189">
        <f t="shared" si="15"/>
        <v>0</v>
      </c>
      <c r="V105" s="1795">
        <v>7.2</v>
      </c>
      <c r="W105" s="1823"/>
      <c r="X105" s="1820"/>
    </row>
    <row r="106" spans="1:38" s="860" customFormat="1" ht="15" hidden="1" customHeight="1" outlineLevel="1" thickBot="1">
      <c r="A106" s="2915"/>
      <c r="B106" s="2916"/>
      <c r="C106" s="2912" t="s">
        <v>36</v>
      </c>
      <c r="D106" s="2912"/>
      <c r="E106" s="1649"/>
      <c r="F106" s="1279">
        <v>0</v>
      </c>
      <c r="G106" s="1195">
        <f>IF(SETUP!$F$21="At delivery",IF(SETUP!$G$21=1,$E$104*'HIV-Pharmaceuticals'!AW15,0),0)</f>
        <v>0</v>
      </c>
      <c r="H106" s="1194">
        <f>IF(SETUP!$F$21="At delivery",IF(SETUP!$G$21=2,$E$104*'HIV-Pharmaceuticals'!AW15,IF(SETUP!$G$21=1,$E$104*'HIV-Pharmaceuticals'!AX15,0)),0)</f>
        <v>0</v>
      </c>
      <c r="I106" s="1194">
        <f>IF(SETUP!$F$21="At delivery",IF(SETUP!$G$21=3,$E$104*'HIV-Pharmaceuticals'!AW15,IF(SETUP!$G$21=2,$E$104*'HIV-Pharmaceuticals'!AX15,IF(SETUP!$G$21=1,$E$104*'HIV-Pharmaceuticals'!AY15,0))),0)</f>
        <v>0</v>
      </c>
      <c r="J106" s="1193">
        <f t="shared" si="12"/>
        <v>0</v>
      </c>
      <c r="K106" s="1194">
        <f>IF(SETUP!$F$21="At delivery",IF(SETUP!$G$21=4,$E$104*'HIV-Pharmaceuticals'!AW15,IF(SETUP!$G$21=3,$E$104*'HIV-Pharmaceuticals'!AX15,IF(SETUP!$G$21=2,$E$104*'HIV-Pharmaceuticals'!AY15,IF(SETUP!$G$21=1,$E$104*'HIV-Pharmaceuticals'!AZ15,0)))),0)</f>
        <v>0</v>
      </c>
      <c r="L106" s="1194">
        <f>IF(SETUP!$F$21="At delivery",IF(SETUP!$G$21=4,$E$104*'HIV-Pharmaceuticals'!AX15,IF(SETUP!$G$21=3,$E$104*'HIV-Pharmaceuticals'!AY15,IF(SETUP!$G$21=2,$E$104*'HIV-Pharmaceuticals'!AZ15,IF(SETUP!$G$21=1,$E$104*'HIV-Pharmaceuticals'!BA15,0)))),0)</f>
        <v>0</v>
      </c>
      <c r="M106" s="1194">
        <f>IF(SETUP!$F$21="At delivery",IF(SETUP!$G$21=4,$E$104*'HIV-Pharmaceuticals'!AY15,IF(SETUP!$G$21=3,$E$104*'HIV-Pharmaceuticals'!AZ15,IF(SETUP!$G$21=2,$E$104*'HIV-Pharmaceuticals'!BA15,IF(SETUP!$G$21=1,$E$104*'HIV-Pharmaceuticals'!BB15,0)))),0)</f>
        <v>0</v>
      </c>
      <c r="N106" s="1194">
        <f>IF(SETUP!$F$21="At delivery",IF(SETUP!$G$21=4,$E$104*'HIV-Pharmaceuticals'!AZ15,IF(SETUP!$G$21=3,$E$104*'HIV-Pharmaceuticals'!BA15,IF(SETUP!$G$21=2,$E$104*'HIV-Pharmaceuticals'!BB15,IF(SETUP!$G$21=1,$E$104*'HIV-Pharmaceuticals'!BC15,0)))),0)</f>
        <v>0</v>
      </c>
      <c r="O106" s="1191">
        <f t="shared" si="13"/>
        <v>0</v>
      </c>
      <c r="P106" s="1189">
        <f>IF(SETUP!$F$21="At delivery",IF(SETUP!$G$21=4,$E$104*'HIV-Pharmaceuticals'!BA15,IF(SETUP!$G$21=3,$E$104*'HIV-Pharmaceuticals'!BB15,IF(SETUP!$G$21=2,$E$104*'HIV-Pharmaceuticals'!BC15,IF(SETUP!$G$21=1,$E$104*'HIV-Pharmaceuticals'!BD15,0)))),0)</f>
        <v>0</v>
      </c>
      <c r="Q106" s="1189">
        <f>IF(SETUP!$F$21="At delivery",IF(SETUP!$G$21=4,$E$104*'HIV-Pharmaceuticals'!BB15,IF(SETUP!$G$21=3,$E$104*'HIV-Pharmaceuticals'!BC15,IF(SETUP!$G$21=2,$E$104*'HIV-Pharmaceuticals'!BD15,IF(SETUP!$G$21=1,$E$104*'HIV-Pharmaceuticals'!BE15,0)))),0)</f>
        <v>0</v>
      </c>
      <c r="R106" s="1189">
        <f>IF(SETUP!$F$21="At delivery",IF(SETUP!$G$21=4,$E$104*'HIV-Pharmaceuticals'!BC15,IF(SETUP!$G$21=3,$E$104*'HIV-Pharmaceuticals'!BD15,IF(SETUP!$G$21=2,$E$104*'HIV-Pharmaceuticals'!BE15,IF(SETUP!$G$21=1,$E$104*'HIV-Pharmaceuticals'!BF15,0)))),0)</f>
        <v>0</v>
      </c>
      <c r="S106" s="1189">
        <f>IF(SETUP!$F$21="At delivery",IF(SETUP!$G$21=4,$E$104*('HIV-Pharmaceuticals'!BD15+'HIV-Pharmaceuticals'!BE15+'HIV-Pharmaceuticals'!BF15+'HIV-Pharmaceuticals'!BG15+'HIV-Pharmaceuticals'!BH15),IF(SETUP!$G$21=3,$E$104*('HIV-Pharmaceuticals'!BE15+'HIV-Pharmaceuticals'!BF15+'HIV-Pharmaceuticals'!BG15+'HIV-Pharmaceuticals'!BH15),IF(SETUP!$G$21=2,$E$104*('HIV-Pharmaceuticals'!BF15+'HIV-Pharmaceuticals'!BG15+'HIV-Pharmaceuticals'!BH15),IF(SETUP!$G$21=1,$E$104*('HIV-Pharmaceuticals'!BG15+'HIV-Pharmaceuticals'!BH15),0)))),0)</f>
        <v>0</v>
      </c>
      <c r="T106" s="1190">
        <f t="shared" si="14"/>
        <v>0</v>
      </c>
      <c r="U106" s="1189">
        <f t="shared" si="15"/>
        <v>0</v>
      </c>
      <c r="V106" s="1795">
        <v>7.2</v>
      </c>
      <c r="W106" s="1823"/>
      <c r="X106" s="1820"/>
    </row>
    <row r="107" spans="1:38" s="860" customFormat="1" ht="15" customHeight="1" collapsed="1">
      <c r="A107" s="2915"/>
      <c r="B107" s="2916"/>
      <c r="C107" s="2941" t="s">
        <v>1317</v>
      </c>
      <c r="D107" s="2941"/>
      <c r="E107" s="1649">
        <v>0</v>
      </c>
      <c r="F107" s="1279">
        <f>IF(SETUP!$F$22="Upfront",F108,F109)</f>
        <v>0</v>
      </c>
      <c r="G107" s="1195">
        <f>IF(SETUP!$F$22="Upfront",G108,G109)</f>
        <v>0</v>
      </c>
      <c r="H107" s="1194">
        <f>IF(SETUP!$F$22="Upfront",H108,H109)</f>
        <v>0</v>
      </c>
      <c r="I107" s="1194">
        <f>IF(SETUP!$F$22="Upfront",I108,I109)</f>
        <v>0</v>
      </c>
      <c r="J107" s="1193">
        <f t="shared" si="12"/>
        <v>0</v>
      </c>
      <c r="K107" s="1194">
        <f>IF(SETUP!$F$22="Upfront",K108,K109)</f>
        <v>0</v>
      </c>
      <c r="L107" s="1194">
        <f>IF(SETUP!$F$22="Upfront",L108,L109)</f>
        <v>0</v>
      </c>
      <c r="M107" s="1194">
        <f>IF(SETUP!$F$22="Upfront",M108,M109)</f>
        <v>0</v>
      </c>
      <c r="N107" s="1194">
        <f>IF(SETUP!$F$22="Upfront",N108,N109)</f>
        <v>0</v>
      </c>
      <c r="O107" s="1191">
        <f t="shared" si="13"/>
        <v>0</v>
      </c>
      <c r="P107" s="1189">
        <f>IF(SETUP!$F$22="Upfront",P108,P109)</f>
        <v>0</v>
      </c>
      <c r="Q107" s="1189">
        <f>IF(SETUP!$F$22="Upfront",Q108,Q109)</f>
        <v>0</v>
      </c>
      <c r="R107" s="1189">
        <f>IF(SETUP!$F$22="Upfront",R108,R109)</f>
        <v>0</v>
      </c>
      <c r="S107" s="1189">
        <f>IF(SETUP!$F$22="Upfront",S108,S109)</f>
        <v>0</v>
      </c>
      <c r="T107" s="1190">
        <f t="shared" si="14"/>
        <v>0</v>
      </c>
      <c r="U107" s="1189">
        <f t="shared" si="15"/>
        <v>0</v>
      </c>
      <c r="V107" s="1795">
        <v>7.2</v>
      </c>
      <c r="W107" s="1823"/>
      <c r="X107" s="1820"/>
    </row>
    <row r="108" spans="1:38" s="860" customFormat="1" ht="15" hidden="1" customHeight="1" outlineLevel="1">
      <c r="A108" s="2893" t="s">
        <v>564</v>
      </c>
      <c r="B108" s="2894"/>
      <c r="C108" s="2912" t="s">
        <v>918</v>
      </c>
      <c r="D108" s="2912"/>
      <c r="E108" s="1649"/>
      <c r="F108" s="1279">
        <f>IF(SETUP!$F$22="Upfront",$E$107*'HIV-Pharmaceuticals'!AW16,0)</f>
        <v>0</v>
      </c>
      <c r="G108" s="1195">
        <f>IF(SETUP!$F$22="Upfront",$E$107*'HIV-Pharmaceuticals'!AX16,0)</f>
        <v>0</v>
      </c>
      <c r="H108" s="1194">
        <f>IF(SETUP!$F$22="Upfront",$E$107*'HIV-Pharmaceuticals'!AY16,0)</f>
        <v>0</v>
      </c>
      <c r="I108" s="1194">
        <f>IF(SETUP!$F$22="Upfront",$E$107*'HIV-Pharmaceuticals'!AZ16,0)</f>
        <v>0</v>
      </c>
      <c r="J108" s="1193">
        <f t="shared" si="12"/>
        <v>0</v>
      </c>
      <c r="K108" s="1194">
        <f>IF(SETUP!$F$22="Upfront",$E$107*'HIV-Pharmaceuticals'!BA16,0)</f>
        <v>0</v>
      </c>
      <c r="L108" s="1194">
        <f>IF(SETUP!$F$22="Upfront",$E$107*'HIV-Pharmaceuticals'!BB16,0)</f>
        <v>0</v>
      </c>
      <c r="M108" s="1194">
        <f>IF(SETUP!$F$22="Upfront",$E$107*'HIV-Pharmaceuticals'!BC16,0)</f>
        <v>0</v>
      </c>
      <c r="N108" s="1194">
        <f>IF(SETUP!$F$22="Upfront",$E$107*'HIV-Pharmaceuticals'!BD16,0)</f>
        <v>0</v>
      </c>
      <c r="O108" s="1191">
        <f t="shared" si="13"/>
        <v>0</v>
      </c>
      <c r="P108" s="1189">
        <f>IF(SETUP!$F$22="Upfront",$E$107*'HIV-Pharmaceuticals'!BE16,0)</f>
        <v>0</v>
      </c>
      <c r="Q108" s="1189">
        <f>IF(SETUP!$F$22="Upfront",$E$107*'HIV-Pharmaceuticals'!BF16,0)</f>
        <v>0</v>
      </c>
      <c r="R108" s="1189">
        <f>IF(SETUP!$F$22="Upfront",$E$107*'HIV-Pharmaceuticals'!BG16,0)</f>
        <v>0</v>
      </c>
      <c r="S108" s="1189">
        <f>IF(SETUP!$F$22="Upfront",$E$107*'HIV-Pharmaceuticals'!BH16,0)</f>
        <v>0</v>
      </c>
      <c r="T108" s="1190">
        <f t="shared" si="14"/>
        <v>0</v>
      </c>
      <c r="U108" s="1189">
        <f t="shared" si="15"/>
        <v>0</v>
      </c>
      <c r="V108" s="1795">
        <v>7.2</v>
      </c>
      <c r="W108" s="1823"/>
      <c r="X108" s="1820"/>
    </row>
    <row r="109" spans="1:38" s="860" customFormat="1" ht="15" hidden="1" customHeight="1" outlineLevel="1">
      <c r="A109" s="2893"/>
      <c r="B109" s="2894"/>
      <c r="C109" s="2912" t="s">
        <v>36</v>
      </c>
      <c r="D109" s="2912"/>
      <c r="E109" s="1649"/>
      <c r="F109" s="1279">
        <v>0</v>
      </c>
      <c r="G109" s="1195">
        <f>IF(SETUP!$F$22="At delivery",IF(SETUP!$G$22=1,$E$107*'HIV-Pharmaceuticals'!AW16,0),0)</f>
        <v>0</v>
      </c>
      <c r="H109" s="1194">
        <f>IF(SETUP!$F$22="At delivery",IF(SETUP!$G$22=2,$E$107*'HIV-Pharmaceuticals'!AW16,IF(SETUP!$G$22=1,$E$107*'HIV-Pharmaceuticals'!AX16,0)),0)</f>
        <v>0</v>
      </c>
      <c r="I109" s="1194">
        <f>IF(SETUP!$F$22="At delivery",IF(SETUP!$G$22=3,$E$107*'HIV-Pharmaceuticals'!AW16,IF(SETUP!$G$22=2,$E$107*'HIV-Pharmaceuticals'!AX16,IF(SETUP!$G$22=1,$E$107*'HIV-Pharmaceuticals'!AY16,0))),0)</f>
        <v>0</v>
      </c>
      <c r="J109" s="1193">
        <f t="shared" si="12"/>
        <v>0</v>
      </c>
      <c r="K109" s="1194">
        <f>IF(SETUP!$F$22="At delivery",IF(SETUP!$G$22=4,$E$107*'HIV-Pharmaceuticals'!AW16,IF(SETUP!$G$22=3,$E$107*'HIV-Pharmaceuticals'!AX16,IF(SETUP!$G$22=2,$E$107*'HIV-Pharmaceuticals'!AY16,IF(SETUP!$G$22=1,$E$107*'HIV-Pharmaceuticals'!AZ16,0)))),0)</f>
        <v>0</v>
      </c>
      <c r="L109" s="1194">
        <f>IF(SETUP!$F$22="At delivery",IF(SETUP!$G$22=4,$E$107*'HIV-Pharmaceuticals'!AX16,IF(SETUP!$G$22=3,$E$107*'HIV-Pharmaceuticals'!AY16,IF(SETUP!$G$22=2,$E$107*'HIV-Pharmaceuticals'!AZ16,IF(SETUP!$G$22=1,$E$107*'HIV-Pharmaceuticals'!BA16,0)))),0)</f>
        <v>0</v>
      </c>
      <c r="M109" s="1194">
        <f>IF(SETUP!$F$22="At delivery",IF(SETUP!$G$22=4,$E$107*'HIV-Pharmaceuticals'!AY16,IF(SETUP!$G$22=3,$E$107*'HIV-Pharmaceuticals'!AZ16,IF(SETUP!$G$22=2,$E$107*'HIV-Pharmaceuticals'!BA16,IF(SETUP!$G$22=1,$E$107*'HIV-Pharmaceuticals'!BB16,0)))),0)</f>
        <v>0</v>
      </c>
      <c r="N109" s="1194">
        <f>IF(SETUP!$F$22="At delivery",IF(SETUP!$G$22=4,$E$107*'HIV-Pharmaceuticals'!AZ16,IF(SETUP!$G$22=3,$E$107*'HIV-Pharmaceuticals'!BA16,IF(SETUP!$G$22=2,$E$107*'HIV-Pharmaceuticals'!BB16,IF(SETUP!$G$22=1,$E$107*'HIV-Pharmaceuticals'!BC16,0)))),0)</f>
        <v>0</v>
      </c>
      <c r="O109" s="1191">
        <f t="shared" si="13"/>
        <v>0</v>
      </c>
      <c r="P109" s="1189">
        <f>IF(SETUP!$F$22="At delivery",IF(SETUP!$G$22=4,$E$107*'HIV-Pharmaceuticals'!BA16,IF(SETUP!$G$22=3,$E$107*'HIV-Pharmaceuticals'!BB16,IF(SETUP!$G$22=2,$E$107*'HIV-Pharmaceuticals'!BC16,IF(SETUP!$G$22=1,$E$107*'HIV-Pharmaceuticals'!BD16,0)))),0)</f>
        <v>0</v>
      </c>
      <c r="Q109" s="1189">
        <f>IF(SETUP!$F$22="At delivery",IF(SETUP!$G$22=4,$E$107*'HIV-Pharmaceuticals'!BB16,IF(SETUP!$G$22=3,$E$107*'HIV-Pharmaceuticals'!BC16,IF(SETUP!$G$22=2,$E$107*'HIV-Pharmaceuticals'!BD16,IF(SETUP!$G$22=1,$E$107*'HIV-Pharmaceuticals'!BE16,0)))),0)</f>
        <v>0</v>
      </c>
      <c r="R109" s="1189">
        <f>IF(SETUP!$F$22="At delivery",IF(SETUP!$G$22=4,$E$107*'HIV-Pharmaceuticals'!BC16,IF(SETUP!$G$22=3,$E$107*'HIV-Pharmaceuticals'!BD16,IF(SETUP!$G$22=2,$E$107*'HIV-Pharmaceuticals'!BE16,IF(SETUP!$G$22=1,$E$107*'HIV-Pharmaceuticals'!BF16,0)))),0)</f>
        <v>0</v>
      </c>
      <c r="S109" s="1189">
        <f>IF(SETUP!$F$22="At delivery",IF(SETUP!$G$22=4,$E$107*('HIV-Pharmaceuticals'!BD16+'HIV-Pharmaceuticals'!BE16+'HIV-Pharmaceuticals'!BF16+'HIV-Pharmaceuticals'!BG16+'HIV-Pharmaceuticals'!BH16),IF(SETUP!$G$22=3,$E$107*('HIV-Pharmaceuticals'!BE16+'HIV-Pharmaceuticals'!BF16+'HIV-Pharmaceuticals'!BG16+'HIV-Pharmaceuticals'!BH16),IF(SETUP!$G$22=2,$E$107*('HIV-Pharmaceuticals'!BF16+'HIV-Pharmaceuticals'!BG16+'HIV-Pharmaceuticals'!BH16),IF(SETUP!$G$22=1,$E$107*('HIV-Pharmaceuticals'!BG16+'HIV-Pharmaceuticals'!BH16),0)))),0)</f>
        <v>0</v>
      </c>
      <c r="T109" s="1190">
        <f t="shared" si="14"/>
        <v>0</v>
      </c>
      <c r="U109" s="1189">
        <f t="shared" si="15"/>
        <v>0</v>
      </c>
      <c r="V109" s="1795">
        <v>7.2</v>
      </c>
      <c r="W109" s="1823"/>
      <c r="X109" s="1820"/>
    </row>
    <row r="110" spans="1:38" s="860" customFormat="1" ht="15" customHeight="1" collapsed="1" thickBot="1">
      <c r="A110" s="2893"/>
      <c r="B110" s="2894"/>
      <c r="C110" s="2923" t="s">
        <v>1793</v>
      </c>
      <c r="D110" s="2923"/>
      <c r="E110" s="1649">
        <v>0</v>
      </c>
      <c r="F110" s="1279">
        <f>IF(SETUP!$F$23="Upfront",F111,F112)</f>
        <v>0</v>
      </c>
      <c r="G110" s="1195">
        <f>IF(SETUP!$F$23="Upfront",G111,G112)</f>
        <v>0</v>
      </c>
      <c r="H110" s="1194">
        <f>IF(SETUP!$F$23="Upfront",H111,H112)</f>
        <v>0</v>
      </c>
      <c r="I110" s="1194">
        <f>IF(SETUP!$F$23="Upfront",I111,I112)</f>
        <v>0</v>
      </c>
      <c r="J110" s="1193">
        <f t="shared" si="12"/>
        <v>0</v>
      </c>
      <c r="K110" s="1194">
        <f>IF(SETUP!$F$23="Upfront",K111,K112)</f>
        <v>0</v>
      </c>
      <c r="L110" s="1194">
        <f>IF(SETUP!$F$23="Upfront",L111,L112)</f>
        <v>0</v>
      </c>
      <c r="M110" s="1194">
        <f>IF(SETUP!$F$23="Upfront",M111,M112)</f>
        <v>0</v>
      </c>
      <c r="N110" s="1194">
        <f>IF(SETUP!$F$23="Upfront",N111,N112)</f>
        <v>0</v>
      </c>
      <c r="O110" s="1191">
        <f t="shared" si="13"/>
        <v>0</v>
      </c>
      <c r="P110" s="1189">
        <f>IF(SETUP!$F$23="Upfront",P111,P112)</f>
        <v>0</v>
      </c>
      <c r="Q110" s="1189">
        <f>IF(SETUP!$F$23="Upfront",Q111,Q112)</f>
        <v>0</v>
      </c>
      <c r="R110" s="1189">
        <f>IF(SETUP!$F$23="Upfront",R111,R112)</f>
        <v>0</v>
      </c>
      <c r="S110" s="1189">
        <f>IF(SETUP!$F$23="Upfront",S111,S112)</f>
        <v>0</v>
      </c>
      <c r="T110" s="1190">
        <f t="shared" si="14"/>
        <v>0</v>
      </c>
      <c r="U110" s="1189">
        <f t="shared" si="15"/>
        <v>0</v>
      </c>
      <c r="V110" s="1795">
        <v>7.2</v>
      </c>
      <c r="W110" s="1823"/>
      <c r="X110" s="1820"/>
    </row>
    <row r="111" spans="1:38" s="860" customFormat="1" ht="15" hidden="1" customHeight="1" outlineLevel="1">
      <c r="A111" s="2893"/>
      <c r="B111" s="2894"/>
      <c r="C111" s="2912" t="s">
        <v>918</v>
      </c>
      <c r="D111" s="2912"/>
      <c r="E111" s="1649"/>
      <c r="F111" s="1279">
        <f>IF(SETUP!$F$23="Upfront",$E$110*'HIV-Equipment'!AV14,0)</f>
        <v>0</v>
      </c>
      <c r="G111" s="1195">
        <f>IF(SETUP!$F$23="Upfront",$E$110*'HIV-Equipment'!AW14,0)</f>
        <v>0</v>
      </c>
      <c r="H111" s="1194">
        <f>IF(SETUP!$F$23="Upfront",$E$110*'HIV-Equipment'!AX14,0)</f>
        <v>0</v>
      </c>
      <c r="I111" s="1194">
        <f>IF(SETUP!$F$23="Upfront",$E$110*'HIV-Equipment'!AY14,0)</f>
        <v>0</v>
      </c>
      <c r="J111" s="1193">
        <f t="shared" si="12"/>
        <v>0</v>
      </c>
      <c r="K111" s="1194">
        <f>IF(SETUP!$F$23="Upfront",$E$110*'HIV-Equipment'!AZ14,0)</f>
        <v>0</v>
      </c>
      <c r="L111" s="1194">
        <f>IF(SETUP!$F$23="Upfront",$E$110*'HIV-Equipment'!BA14,0)</f>
        <v>0</v>
      </c>
      <c r="M111" s="1194">
        <f>IF(SETUP!$F$23="Upfront",$E$110*'HIV-Equipment'!BB14,0)</f>
        <v>0</v>
      </c>
      <c r="N111" s="1194">
        <f>IF(SETUP!$F$23="Upfront",$E$110*'HIV-Equipment'!BC14,0)</f>
        <v>0</v>
      </c>
      <c r="O111" s="1191">
        <f t="shared" si="13"/>
        <v>0</v>
      </c>
      <c r="P111" s="1189">
        <f>IF(SETUP!$F$23="Upfront",$E$110*'HIV-Equipment'!BD14,0)</f>
        <v>0</v>
      </c>
      <c r="Q111" s="1189">
        <f>IF(SETUP!$F$23="Upfront",$E$110*'HIV-Equipment'!BE14,0)</f>
        <v>0</v>
      </c>
      <c r="R111" s="1189">
        <f>IF(SETUP!$F$23="Upfront",$E$110*'HIV-Equipment'!BF14,0)</f>
        <v>0</v>
      </c>
      <c r="S111" s="1189">
        <f>IF(SETUP!$F$23="Upfront",$E$110*'HIV-Equipment'!BG14,0)</f>
        <v>0</v>
      </c>
      <c r="T111" s="1190">
        <f t="shared" si="14"/>
        <v>0</v>
      </c>
      <c r="U111" s="1189">
        <f t="shared" si="15"/>
        <v>0</v>
      </c>
      <c r="V111" s="1795">
        <v>7.2</v>
      </c>
      <c r="W111" s="1823"/>
      <c r="X111" s="1820"/>
    </row>
    <row r="112" spans="1:38" s="860" customFormat="1" ht="15" hidden="1" customHeight="1" outlineLevel="1">
      <c r="A112" s="2895"/>
      <c r="B112" s="2896"/>
      <c r="C112" s="2912" t="s">
        <v>36</v>
      </c>
      <c r="D112" s="2912"/>
      <c r="E112" s="1649"/>
      <c r="F112" s="1279">
        <v>0</v>
      </c>
      <c r="G112" s="1195">
        <f>IF(SETUP!$F$23="At delivery",IF(SETUP!$G$23=1,$E$110*'HIV-Equipment'!AV14,0),0)</f>
        <v>0</v>
      </c>
      <c r="H112" s="1194">
        <f>IF(SETUP!$F$23="At delivery",IF(SETUP!$G$23=2,$E$110*'HIV-Equipment'!AV14,IF(SETUP!$G$23=1,$E$110*'HIV-Equipment'!AW14,0)),0)</f>
        <v>0</v>
      </c>
      <c r="I112" s="1194">
        <f>IF(SETUP!$F$23="At delivery",IF(SETUP!$G$23=3,$E$110*'HIV-Equipment'!AV14,IF(SETUP!$G$23=2,$E$110*'HIV-Equipment'!AW14,IF(SETUP!$G$23=1,$E$110*'HIV-Equipment'!AX14,0))),0)</f>
        <v>0</v>
      </c>
      <c r="J112" s="1193">
        <f t="shared" si="12"/>
        <v>0</v>
      </c>
      <c r="K112" s="1194">
        <f>IF(SETUP!$F$23="At delivery",IF(SETUP!$G$23=4,$E$110*'HIV-Equipment'!AV14,IF(SETUP!$G$23=3,$E$110*'HIV-Equipment'!AW14,IF(SETUP!$G$23=2,$E$110*'HIV-Equipment'!AX14,IF(SETUP!$G$23=1,$E$110*'HIV-Equipment'!AY14,0)))),0)</f>
        <v>0</v>
      </c>
      <c r="L112" s="1194">
        <f>IF(SETUP!$F$23="At delivery",IF(SETUP!$G$23=4,$E$110*'HIV-Equipment'!AW14,IF(SETUP!$G$23=3,$E$110*'HIV-Equipment'!AX14,IF(SETUP!$G$23=2,$E$110*'HIV-Equipment'!AY14,IF(SETUP!$G$23=1,$E$110*'HIV-Equipment'!AZ14,0)))),0)</f>
        <v>0</v>
      </c>
      <c r="M112" s="1194">
        <f>IF(SETUP!$F$23="At delivery",IF(SETUP!$G$23=4,$E$110*'HIV-Equipment'!AX14,IF(SETUP!$G$23=3,$E$110*'HIV-Equipment'!AY14,IF(SETUP!$G$23=2,$E$110*'HIV-Equipment'!AZ14,IF(SETUP!$G$23=1,$E$110*'HIV-Equipment'!BA14,0)))),0)</f>
        <v>0</v>
      </c>
      <c r="N112" s="1194">
        <f>IF(SETUP!$F$23="At delivery",IF(SETUP!$G$23=4,$E$110*'HIV-Equipment'!AY14,IF(SETUP!$G$23=3,$E$110*'HIV-Equipment'!AZ14,IF(SETUP!$G$23=2,$E$110*'HIV-Equipment'!BA14,IF(SETUP!$G$23=1,$E$110*'HIV-Equipment'!BB14,0)))),0)</f>
        <v>0</v>
      </c>
      <c r="O112" s="1191">
        <f t="shared" si="13"/>
        <v>0</v>
      </c>
      <c r="P112" s="1189">
        <f>IF(SETUP!$F$23="At delivery",IF(SETUP!$G$23=4,$E$110*'HIV-Equipment'!AZ14,IF(SETUP!$G$23=3,$E$110*'HIV-Equipment'!BA14,IF(SETUP!$G$23=2,$E$110*'HIV-Equipment'!BB14,IF(SETUP!$G$23=1,$E$110*'HIV-Equipment'!BC14,0)))),0)</f>
        <v>0</v>
      </c>
      <c r="Q112" s="1189">
        <f>IF(SETUP!$F$23="At delivery",IF(SETUP!$G$23=4,$E$110*'HIV-Equipment'!BA14,IF(SETUP!$G$23=3,$E$110*'HIV-Equipment'!BB14,IF(SETUP!$G$23=2,$E$110*'HIV-Equipment'!BC14,IF(SETUP!$G$23=1,$E$110*'HIV-Equipment'!BD14,0)))),0)</f>
        <v>0</v>
      </c>
      <c r="R112" s="1189">
        <f>IF(SETUP!$F$23="At delivery",IF(SETUP!$G$23=4,$E$110*'HIV-Equipment'!BB14,IF(SETUP!$G$23=3,$E$110*'HIV-Equipment'!BC14,IF(SETUP!$G$23=2,$E$110*'HIV-Equipment'!BD14,IF(SETUP!$G$23=1,$E$110*'HIV-Equipment'!BE14,0)))),0)</f>
        <v>0</v>
      </c>
      <c r="S112" s="1189">
        <f>IF(SETUP!$F$23="At delivery",IF(SETUP!$G$23=4,$E$110*('HIV-Equipment'!BC14+'HIV-Equipment'!BD14+'HIV-Equipment'!BE14+'HIV-Equipment'!BF14+'HIV-Equipment'!BG14),IF(SETUP!$G$23=3,$E$110*('HIV-Equipment'!BD14+'HIV-Equipment'!BE14+'HIV-Equipment'!BF14+'HIV-Equipment'!BG14),IF(SETUP!$G$23=2,$E$110*('HIV-Equipment'!BE14+'HIV-Equipment'!BF14+'HIV-Equipment'!BG14),IF(SETUP!$G$23=1,$E$110*('HIV-Equipment'!BF14+'HIV-Equipment'!BG14),0)))),0)</f>
        <v>0</v>
      </c>
      <c r="T112" s="1190">
        <f t="shared" si="14"/>
        <v>0</v>
      </c>
      <c r="U112" s="1189">
        <f t="shared" si="15"/>
        <v>0</v>
      </c>
      <c r="V112" s="1795">
        <v>7.2</v>
      </c>
      <c r="W112" s="1823"/>
      <c r="X112" s="1820"/>
    </row>
    <row r="113" spans="1:24" s="860" customFormat="1" ht="15" customHeight="1" collapsed="1">
      <c r="A113" s="2897" t="s">
        <v>565</v>
      </c>
      <c r="B113" s="2898"/>
      <c r="C113" s="2907" t="s">
        <v>228</v>
      </c>
      <c r="D113" s="2911"/>
      <c r="E113" s="1649">
        <v>0</v>
      </c>
      <c r="F113" s="1279">
        <f>IF(SETUP!$F$27="Upfront",F114,F115)</f>
        <v>0</v>
      </c>
      <c r="G113" s="1195">
        <f>IF(SETUP!$F$27="Upfront",G114,G115)</f>
        <v>0</v>
      </c>
      <c r="H113" s="1194">
        <f>IF(SETUP!$F$27="Upfront",H114,H115)</f>
        <v>0</v>
      </c>
      <c r="I113" s="1194">
        <f>IF(SETUP!$F$27="Upfront",I114,I115)</f>
        <v>0</v>
      </c>
      <c r="J113" s="1193">
        <f t="shared" si="12"/>
        <v>0</v>
      </c>
      <c r="K113" s="1194">
        <f>IF(SETUP!$F$27="Upfront",K114,K115)</f>
        <v>0</v>
      </c>
      <c r="L113" s="1194">
        <f>IF(SETUP!$F$27="Upfront",L114,L115)</f>
        <v>0</v>
      </c>
      <c r="M113" s="1194">
        <f>IF(SETUP!$F$27="Upfront",M114,M115)</f>
        <v>0</v>
      </c>
      <c r="N113" s="1194">
        <f>IF(SETUP!$F$27="Upfront",N114,N115)</f>
        <v>0</v>
      </c>
      <c r="O113" s="1191">
        <f t="shared" si="13"/>
        <v>0</v>
      </c>
      <c r="P113" s="1189">
        <f>IF(SETUP!$F$27="Upfront",P114,P115)</f>
        <v>0</v>
      </c>
      <c r="Q113" s="1189">
        <f>IF(SETUP!$F$27="Upfront",Q114,Q115)</f>
        <v>0</v>
      </c>
      <c r="R113" s="1189">
        <f>IF(SETUP!$F$27="Upfront",R114,R115)</f>
        <v>0</v>
      </c>
      <c r="S113" s="1189">
        <f>IF(SETUP!$F$27="Upfront",S114,S115)</f>
        <v>0</v>
      </c>
      <c r="T113" s="1190">
        <f t="shared" si="14"/>
        <v>0</v>
      </c>
      <c r="U113" s="1189">
        <f t="shared" si="15"/>
        <v>0</v>
      </c>
      <c r="V113" s="1795">
        <v>7.2</v>
      </c>
      <c r="W113" s="1823"/>
      <c r="X113" s="1820"/>
    </row>
    <row r="114" spans="1:24" s="860" customFormat="1" ht="15" hidden="1" customHeight="1" outlineLevel="1">
      <c r="A114" s="2899"/>
      <c r="B114" s="2900"/>
      <c r="C114" s="2889" t="s">
        <v>918</v>
      </c>
      <c r="D114" s="2912"/>
      <c r="E114" s="1649"/>
      <c r="F114" s="1279">
        <f>IF(SETUP!$F$27="Upfront",$E$113*'HIV-Other HPs'!AW14,0)</f>
        <v>0</v>
      </c>
      <c r="G114" s="1195">
        <f>IF(SETUP!$F$27="Upfront",$E$113*'HIV-Other HPs'!AX14,0)</f>
        <v>0</v>
      </c>
      <c r="H114" s="1194">
        <f>IF(SETUP!$F$27="Upfront",$E$113*'HIV-Other HPs'!AY14,0)</f>
        <v>0</v>
      </c>
      <c r="I114" s="1194">
        <f>IF(SETUP!$F$27="Upfront",$E$113*'HIV-Other HPs'!AZ14,0)</f>
        <v>0</v>
      </c>
      <c r="J114" s="1193">
        <f t="shared" si="12"/>
        <v>0</v>
      </c>
      <c r="K114" s="1194">
        <f>IF(SETUP!$F$27="Upfront",$E$113*'HIV-Other HPs'!BA14,0)</f>
        <v>0</v>
      </c>
      <c r="L114" s="1194">
        <f>IF(SETUP!$F$27="Upfront",$E$113*'HIV-Other HPs'!BB14,0)</f>
        <v>0</v>
      </c>
      <c r="M114" s="1194">
        <f>IF(SETUP!$F$27="Upfront",$E$113*'HIV-Other HPs'!BC14,0)</f>
        <v>0</v>
      </c>
      <c r="N114" s="1194">
        <f>IF(SETUP!$F$27="Upfront",$E$113*'HIV-Other HPs'!BD14,0)</f>
        <v>0</v>
      </c>
      <c r="O114" s="1191">
        <f t="shared" si="13"/>
        <v>0</v>
      </c>
      <c r="P114" s="1189">
        <f>IF(SETUP!$F$27="Upfront",$E$113*'HIV-Other HPs'!BE14,0)</f>
        <v>0</v>
      </c>
      <c r="Q114" s="1189">
        <f>IF(SETUP!$F$27="Upfront",$E$113*'HIV-Other HPs'!BF14,0)</f>
        <v>0</v>
      </c>
      <c r="R114" s="1189">
        <f>IF(SETUP!$F$27="Upfront",$E$113*'HIV-Other HPs'!BG14,0)</f>
        <v>0</v>
      </c>
      <c r="S114" s="1189">
        <f>IF(SETUP!$F$27="Upfront",$E$113*'HIV-Other HPs'!BH14,0)</f>
        <v>0</v>
      </c>
      <c r="T114" s="1190">
        <f t="shared" si="14"/>
        <v>0</v>
      </c>
      <c r="U114" s="1189">
        <f t="shared" si="15"/>
        <v>0</v>
      </c>
      <c r="V114" s="1795">
        <v>7.2</v>
      </c>
      <c r="W114" s="1823"/>
      <c r="X114" s="1820"/>
    </row>
    <row r="115" spans="1:24" s="860" customFormat="1" ht="15" hidden="1" customHeight="1" outlineLevel="1">
      <c r="A115" s="2899"/>
      <c r="B115" s="2900"/>
      <c r="C115" s="2889" t="s">
        <v>36</v>
      </c>
      <c r="D115" s="2912"/>
      <c r="E115" s="1649"/>
      <c r="F115" s="1279">
        <v>0</v>
      </c>
      <c r="G115" s="1195">
        <f>IF(SETUP!$F$27="At delivery",IF(SETUP!$G$27=1,$E$113*'HIV-Other HPs'!AW14,0),0)</f>
        <v>0</v>
      </c>
      <c r="H115" s="1194">
        <f>IF(SETUP!$F$27="At delivery",IF(SETUP!$G$27=2,$E$113*'HIV-Other HPs'!AW14,IF(SETUP!$G$27=1,$E$113*'HIV-Other HPs'!AX14,0)),0)</f>
        <v>0</v>
      </c>
      <c r="I115" s="1194">
        <f>IF(SETUP!$F$27="At delivery",IF(SETUP!$G$27=3,$E$113*'HIV-Other HPs'!AW14,IF(SETUP!$G$27=2,$E$113*'HIV-Other HPs'!AX14,IF(SETUP!$G$27=1,$E$113*'HIV-Other HPs'!AY14,0))),0)</f>
        <v>0</v>
      </c>
      <c r="J115" s="1193">
        <f t="shared" si="12"/>
        <v>0</v>
      </c>
      <c r="K115" s="1194">
        <f>IF(SETUP!$F$27="At delivery",IF(SETUP!$G$27=4,$E$113*'HIV-Other HPs'!AW14,IF(SETUP!$G$27=3,$E$113*'HIV-Other HPs'!AX14,IF(SETUP!$G$27=2,$E$113*'HIV-Other HPs'!AY14,IF(SETUP!$G$27=1,$E$113*'HIV-Other HPs'!AZ14,0)))),0)</f>
        <v>0</v>
      </c>
      <c r="L115" s="1194">
        <f>IF(SETUP!$F$27="At delivery",IF(SETUP!$G$27=4,$E$113*'HIV-Other HPs'!AX14,IF(SETUP!$G$27=3,$E$113*'HIV-Other HPs'!AY14,IF(SETUP!$G$27=2,$E$113*'HIV-Other HPs'!AZ14,IF(SETUP!$G$27=1,$E$113*'HIV-Other HPs'!BA14,0)))),0)</f>
        <v>0</v>
      </c>
      <c r="M115" s="1194">
        <f>IF(SETUP!$F$27="At delivery",IF(SETUP!$G$27=4,$E$113*'HIV-Other HPs'!AY14,IF(SETUP!$G$27=3,$E$113*'HIV-Other HPs'!AZ14,IF(SETUP!$G$27=2,$E$113*'HIV-Other HPs'!BA14,IF(SETUP!$G$27=1,$E$113*'HIV-Other HPs'!BB14,0)))),0)</f>
        <v>0</v>
      </c>
      <c r="N115" s="1194">
        <f>IF(SETUP!$F$27="At delivery",IF(SETUP!$G$27=4,$E$113*'HIV-Other HPs'!AZ14,IF(SETUP!$G$27=3,$E$113*'HIV-Other HPs'!BA14,IF(SETUP!$G$27=2,$E$113*'HIV-Other HPs'!BB14,IF(SETUP!$G$27=1,$E$113*'HIV-Other HPs'!BC14,0)))),0)</f>
        <v>0</v>
      </c>
      <c r="O115" s="1191">
        <f t="shared" si="13"/>
        <v>0</v>
      </c>
      <c r="P115" s="1189">
        <f>IF(SETUP!$F$27="At delivery",IF(SETUP!$G$27=4,$E$113*'HIV-Other HPs'!BA14,IF(SETUP!$G$27=3,$E$113*'HIV-Other HPs'!BB14,IF(SETUP!$G$27=2,$E$113*'HIV-Other HPs'!BC14,IF(SETUP!$G$27=1,$E$113*'HIV-Other HPs'!BD14,0)))),0)</f>
        <v>0</v>
      </c>
      <c r="Q115" s="1189">
        <f>IF(SETUP!$F$27="At delivery",IF(SETUP!$G$27=4,$E$113*'HIV-Other HPs'!BB14,IF(SETUP!$G$27=3,$E$113*'HIV-Other HPs'!BC14,IF(SETUP!$G$27=2,$E$113*'HIV-Other HPs'!BD14,IF(SETUP!$G$27=1,$E$113*'HIV-Other HPs'!BE14,0)))),0)</f>
        <v>0</v>
      </c>
      <c r="R115" s="1189">
        <f>IF(SETUP!$F$27="At delivery",IF(SETUP!$G$27=4,$E$113*'HIV-Other HPs'!BC14,IF(SETUP!$G$27=3,$E$113*'HIV-Other HPs'!BD14,IF(SETUP!$G$27=2,$E$113*'HIV-Other HPs'!BE14,IF(SETUP!$G$27=1,$E$113*'HIV-Other HPs'!BF14,0)))),0)</f>
        <v>0</v>
      </c>
      <c r="S115" s="1189">
        <f>IF(SETUP!$F$27="At delivery",IF(SETUP!$G$27=4,$E$113*('HIV-Other HPs'!BD14+'HIV-Other HPs'!BE14+'HIV-Other HPs'!BF14+'HIV-Other HPs'!BG14+'HIV-Other HPs'!BH14),IF(SETUP!$G$27=3,$E$113*('HIV-Other HPs'!BE14+'HIV-Other HPs'!BF14+'HIV-Other HPs'!BG14+'HIV-Other HPs'!BH14),IF(SETUP!$G$27=2,$E$113*('HIV-Other HPs'!BF14+'HIV-Other HPs'!BG14+'HIV-Other HPs'!BH14),IF(SETUP!$G$27=1,$E$113*('HIV-Other HPs'!BG14+'HIV-Other HPs'!BH14),0)))),0)</f>
        <v>0</v>
      </c>
      <c r="T115" s="1190">
        <f t="shared" si="14"/>
        <v>0</v>
      </c>
      <c r="U115" s="1189">
        <f t="shared" si="15"/>
        <v>0</v>
      </c>
      <c r="V115" s="1795">
        <v>7.2</v>
      </c>
      <c r="W115" s="1823"/>
      <c r="X115" s="1820"/>
    </row>
    <row r="116" spans="1:24" s="860" customFormat="1" ht="15" customHeight="1" collapsed="1">
      <c r="A116" s="2899"/>
      <c r="B116" s="2900"/>
      <c r="C116" s="2907" t="s">
        <v>232</v>
      </c>
      <c r="D116" s="2911"/>
      <c r="E116" s="1649">
        <v>0</v>
      </c>
      <c r="F116" s="1279">
        <f>IF(SETUP!$F$28="Upfront",F117,F118)</f>
        <v>0</v>
      </c>
      <c r="G116" s="1195">
        <f>IF(SETUP!$F$28="Upfront",G117,G118)</f>
        <v>0</v>
      </c>
      <c r="H116" s="1194">
        <f>IF(SETUP!$F$28="Upfront",H117,H118)</f>
        <v>0</v>
      </c>
      <c r="I116" s="1194">
        <f>IF(SETUP!$F$28="Upfront",I117,I118)</f>
        <v>0</v>
      </c>
      <c r="J116" s="1193">
        <f t="shared" si="12"/>
        <v>0</v>
      </c>
      <c r="K116" s="1194">
        <f>IF(SETUP!$F$28="Upfront",K117,K118)</f>
        <v>0</v>
      </c>
      <c r="L116" s="1194">
        <f>IF(SETUP!$F$28="Upfront",L117,L118)</f>
        <v>0</v>
      </c>
      <c r="M116" s="1194">
        <f>IF(SETUP!$F$28="Upfront",M117,M118)</f>
        <v>0</v>
      </c>
      <c r="N116" s="1194">
        <f>IF(SETUP!$F$28="Upfront",N117,N118)</f>
        <v>0</v>
      </c>
      <c r="O116" s="1191">
        <f t="shared" si="13"/>
        <v>0</v>
      </c>
      <c r="P116" s="1189">
        <f>IF(SETUP!$F$28="Upfront",P117,P118)</f>
        <v>0</v>
      </c>
      <c r="Q116" s="1189">
        <f>IF(SETUP!$F$28="Upfront",Q117,Q118)</f>
        <v>0</v>
      </c>
      <c r="R116" s="1189">
        <f>IF(SETUP!$F$28="Upfront",R117,R118)</f>
        <v>0</v>
      </c>
      <c r="S116" s="1189">
        <f>IF(SETUP!$F$28="Upfront",S117,S118)</f>
        <v>0</v>
      </c>
      <c r="T116" s="1190">
        <f t="shared" si="14"/>
        <v>0</v>
      </c>
      <c r="U116" s="1189">
        <f t="shared" si="15"/>
        <v>0</v>
      </c>
      <c r="V116" s="1795">
        <v>7.2</v>
      </c>
      <c r="W116" s="1823"/>
      <c r="X116" s="1820"/>
    </row>
    <row r="117" spans="1:24" s="860" customFormat="1" ht="15" hidden="1" customHeight="1" outlineLevel="1">
      <c r="A117" s="2899"/>
      <c r="B117" s="2900"/>
      <c r="C117" s="2889" t="s">
        <v>918</v>
      </c>
      <c r="D117" s="2912"/>
      <c r="E117" s="1649"/>
      <c r="F117" s="1279">
        <f>IF(SETUP!$F$28="Upfront",$E$116*'HIV-Other HPs'!AW15,0)</f>
        <v>0</v>
      </c>
      <c r="G117" s="1195">
        <f>IF(SETUP!$F$28="Upfront",$E$116*'HIV-Other HPs'!AX15,0)</f>
        <v>0</v>
      </c>
      <c r="H117" s="1194">
        <f>IF(SETUP!$F$28="Upfront",$E$116*'HIV-Other HPs'!AY15,0)</f>
        <v>0</v>
      </c>
      <c r="I117" s="1194">
        <f>IF(SETUP!$F$28="Upfront",$E$116*'HIV-Other HPs'!AZ15,0)</f>
        <v>0</v>
      </c>
      <c r="J117" s="1193">
        <f t="shared" si="12"/>
        <v>0</v>
      </c>
      <c r="K117" s="1194">
        <f>IF(SETUP!$F$28="Upfront",$E$116*'HIV-Other HPs'!BA15,0)</f>
        <v>0</v>
      </c>
      <c r="L117" s="1194">
        <f>IF(SETUP!$F$28="Upfront",$E$116*'HIV-Other HPs'!BB15,0)</f>
        <v>0</v>
      </c>
      <c r="M117" s="1194">
        <f>IF(SETUP!$F$28="Upfront",$E$116*'HIV-Other HPs'!BC15,0)</f>
        <v>0</v>
      </c>
      <c r="N117" s="1194">
        <f>IF(SETUP!$F$28="Upfront",$E$116*'HIV-Other HPs'!BD15,0)</f>
        <v>0</v>
      </c>
      <c r="O117" s="1191">
        <f t="shared" si="13"/>
        <v>0</v>
      </c>
      <c r="P117" s="1189">
        <f>IF(SETUP!$F$28="Upfront",$E$116*'HIV-Other HPs'!BE15,0)</f>
        <v>0</v>
      </c>
      <c r="Q117" s="1189">
        <f>IF(SETUP!$F$28="Upfront",$E$116*'HIV-Other HPs'!BF15,0)</f>
        <v>0</v>
      </c>
      <c r="R117" s="1189">
        <f>IF(SETUP!$F$28="Upfront",$E$116*'HIV-Other HPs'!BG15,0)</f>
        <v>0</v>
      </c>
      <c r="S117" s="1189">
        <f>IF(SETUP!$F$28="Upfront",$E$116*'HIV-Other HPs'!BH15,0)</f>
        <v>0</v>
      </c>
      <c r="T117" s="1190">
        <f t="shared" si="14"/>
        <v>0</v>
      </c>
      <c r="U117" s="1189">
        <f t="shared" si="15"/>
        <v>0</v>
      </c>
      <c r="V117" s="1795">
        <v>7.2</v>
      </c>
      <c r="W117" s="1823"/>
      <c r="X117" s="1820"/>
    </row>
    <row r="118" spans="1:24" s="860" customFormat="1" ht="15" hidden="1" customHeight="1" outlineLevel="1">
      <c r="A118" s="2899"/>
      <c r="B118" s="2900"/>
      <c r="C118" s="2889" t="s">
        <v>36</v>
      </c>
      <c r="D118" s="2912"/>
      <c r="E118" s="1649"/>
      <c r="F118" s="1279">
        <v>0</v>
      </c>
      <c r="G118" s="1195">
        <f>IF(SETUP!$F$28="At delivery",IF(SETUP!$G$28=1,$E$116*'HIV-Other HPs'!AW15,0),0)</f>
        <v>0</v>
      </c>
      <c r="H118" s="1194">
        <f>IF(SETUP!$F$28="At delivery",IF(SETUP!$G$28=2,$E$116*'HIV-Other HPs'!AW15,IF(SETUP!$G$28=1,$E$116*'HIV-Other HPs'!AX15,0)),0)</f>
        <v>0</v>
      </c>
      <c r="I118" s="1194">
        <f>IF(SETUP!$F$28="At delivery",IF(SETUP!$G$28=3,$E$116*'HIV-Other HPs'!AW15,IF(SETUP!$G$28=2,$E$116*'HIV-Other HPs'!AX15,IF(SETUP!$G$28=1,$E$116*'HIV-Other HPs'!AY15,0))),0)</f>
        <v>0</v>
      </c>
      <c r="J118" s="1193">
        <f t="shared" si="12"/>
        <v>0</v>
      </c>
      <c r="K118" s="1194">
        <f>IF(SETUP!$F$28="At delivery",IF(SETUP!$G$28=4,$E$116*'HIV-Other HPs'!AW15,IF(SETUP!$G$28=3,$E$116*'HIV-Other HPs'!AX15,IF(SETUP!$G$28=2,$E$116*'HIV-Other HPs'!AY15,IF(SETUP!$G$28=1,$E$116*'HIV-Other HPs'!AZ15,0)))),0)</f>
        <v>0</v>
      </c>
      <c r="L118" s="1194">
        <f>IF(SETUP!$F$28="At delivery",IF(SETUP!$G$28=4,$E$116*'HIV-Other HPs'!AX15,IF(SETUP!$G$28=3,$E$116*'HIV-Other HPs'!AY15,IF(SETUP!$G$28=2,$E$116*'HIV-Other HPs'!AZ15,IF(SETUP!$G$28=1,$E$116*'HIV-Other HPs'!BA15,0)))),0)</f>
        <v>0</v>
      </c>
      <c r="M118" s="1194">
        <f>IF(SETUP!$F$28="At delivery",IF(SETUP!$G$28=4,$E$116*'HIV-Other HPs'!AY15,IF(SETUP!$G$28=3,$E$116*'HIV-Other HPs'!AZ15,IF(SETUP!$G$28=2,$E$116*'HIV-Other HPs'!BA15,IF(SETUP!$G$28=1,$E$116*'HIV-Other HPs'!BB15,0)))),0)</f>
        <v>0</v>
      </c>
      <c r="N118" s="1194">
        <f>IF(SETUP!$F$28="At delivery",IF(SETUP!$G$28=4,$E$116*'HIV-Other HPs'!AZ15,IF(SETUP!$G$28=3,$E$116*'HIV-Other HPs'!BA15,IF(SETUP!$G$28=2,$E$116*'HIV-Other HPs'!BB15,IF(SETUP!$G$28=1,$E$116*'HIV-Other HPs'!BC15,0)))),0)</f>
        <v>0</v>
      </c>
      <c r="O118" s="1191">
        <f t="shared" si="13"/>
        <v>0</v>
      </c>
      <c r="P118" s="1189">
        <f>IF(SETUP!$F$28="At delivery",IF(SETUP!$G$28=4,$E$116*'HIV-Other HPs'!BA15,IF(SETUP!$G$28=3,$E$116*'HIV-Other HPs'!BB15,IF(SETUP!$G$28=2,$E$116*'HIV-Other HPs'!BC15,IF(SETUP!$G$28=1,$E$116*'HIV-Other HPs'!BD15,0)))),0)</f>
        <v>0</v>
      </c>
      <c r="Q118" s="1189">
        <f>IF(SETUP!$F$28="At delivery",IF(SETUP!$G$28=4,$E$116*'HIV-Other HPs'!BB15,IF(SETUP!$G$28=3,$E$116*'HIV-Other HPs'!BC15,IF(SETUP!$G$28=2,$E$116*'HIV-Other HPs'!BD15,IF(SETUP!$G$28=1,$E$116*'HIV-Other HPs'!BE15,0)))),0)</f>
        <v>0</v>
      </c>
      <c r="R118" s="1189">
        <f>IF(SETUP!$F$28="At delivery",IF(SETUP!$G$28=4,$E$116*'HIV-Other HPs'!BC15,IF(SETUP!$G$28=3,$E$116*'HIV-Other HPs'!BD15,IF(SETUP!$G$28=2,$E$116*'HIV-Other HPs'!BE15,IF(SETUP!$G$28=1,$E$116*'HIV-Other HPs'!BF15,0)))),0)</f>
        <v>0</v>
      </c>
      <c r="S118" s="1189">
        <f>IF(SETUP!$F$28="At delivery",IF(SETUP!$G$28=4,$E$116*('HIV-Other HPs'!BD15+'HIV-Other HPs'!BE15+'HIV-Other HPs'!BF15+'HIV-Other HPs'!BG15+'HIV-Other HPs'!BH15),IF(SETUP!$G$28=3,$E$116*('HIV-Other HPs'!BE15+'HIV-Other HPs'!BF15+'HIV-Other HPs'!BG15+'HIV-Other HPs'!BH15),IF(SETUP!$G$28=2,$E$116*('HIV-Other HPs'!BF15+'HIV-Other HPs'!BG15+'HIV-Other HPs'!BH15),IF(SETUP!$G$28=1,$E$116*('HIV-Other HPs'!BG15+'HIV-Other HPs'!BH15),0)))),0)</f>
        <v>0</v>
      </c>
      <c r="T118" s="1190">
        <f t="shared" si="14"/>
        <v>0</v>
      </c>
      <c r="U118" s="1189">
        <f t="shared" si="15"/>
        <v>0</v>
      </c>
      <c r="V118" s="1795">
        <v>7.2</v>
      </c>
      <c r="W118" s="1823"/>
      <c r="X118" s="1820"/>
    </row>
    <row r="119" spans="1:24" s="860" customFormat="1" ht="15" customHeight="1" collapsed="1">
      <c r="A119" s="2899"/>
      <c r="B119" s="2900"/>
      <c r="C119" s="2907" t="s">
        <v>566</v>
      </c>
      <c r="D119" s="2911"/>
      <c r="E119" s="1649">
        <v>0</v>
      </c>
      <c r="F119" s="1279">
        <f>IF(SETUP!$F$29="Upfront",F120,F121)</f>
        <v>0</v>
      </c>
      <c r="G119" s="1195">
        <f>IF(SETUP!$F$29="Upfront",G120,G121)</f>
        <v>0</v>
      </c>
      <c r="H119" s="1194">
        <f>IF(SETUP!$F$29="Upfront",H120,H121)</f>
        <v>0</v>
      </c>
      <c r="I119" s="1194">
        <f>IF(SETUP!$F$29="Upfront",I120,I121)</f>
        <v>0</v>
      </c>
      <c r="J119" s="1193">
        <f t="shared" si="12"/>
        <v>0</v>
      </c>
      <c r="K119" s="1194">
        <f>IF(SETUP!$F$29="Upfront",K120,K121)</f>
        <v>0</v>
      </c>
      <c r="L119" s="1194">
        <f>IF(SETUP!$F$29="Upfront",L120,L121)</f>
        <v>0</v>
      </c>
      <c r="M119" s="1194">
        <f>IF(SETUP!$F$29="Upfront",M120,M121)</f>
        <v>0</v>
      </c>
      <c r="N119" s="1194">
        <f>IF(SETUP!$F$29="Upfront",N120,N121)</f>
        <v>0</v>
      </c>
      <c r="O119" s="1191">
        <f t="shared" si="13"/>
        <v>0</v>
      </c>
      <c r="P119" s="1189">
        <f>IF(SETUP!$F$29="Upfront",P120,P121)</f>
        <v>0</v>
      </c>
      <c r="Q119" s="1189">
        <f>IF(SETUP!$F$29="Upfront",Q120,Q121)</f>
        <v>0</v>
      </c>
      <c r="R119" s="1189">
        <f>IF(SETUP!$F$29="Upfront",R120,R121)</f>
        <v>0</v>
      </c>
      <c r="S119" s="1189">
        <f>IF(SETUP!$F$29="Upfront",S120,S121)</f>
        <v>0</v>
      </c>
      <c r="T119" s="1190">
        <f t="shared" si="14"/>
        <v>0</v>
      </c>
      <c r="U119" s="1189">
        <f t="shared" si="15"/>
        <v>0</v>
      </c>
      <c r="V119" s="1795">
        <v>7.2</v>
      </c>
      <c r="W119" s="1823"/>
      <c r="X119" s="1820"/>
    </row>
    <row r="120" spans="1:24" s="860" customFormat="1" ht="15" hidden="1" customHeight="1" outlineLevel="1">
      <c r="A120" s="2899"/>
      <c r="B120" s="2900"/>
      <c r="C120" s="2889" t="s">
        <v>918</v>
      </c>
      <c r="D120" s="2912"/>
      <c r="E120" s="1649"/>
      <c r="F120" s="1279">
        <f>IF(SETUP!$F$29="Upfront",$E$119*'HIV-Other HPs'!AW16,0)</f>
        <v>0</v>
      </c>
      <c r="G120" s="1195">
        <f>IF(SETUP!$F$29="Upfront",$E$119*'HIV-Other HPs'!AX16,0)</f>
        <v>0</v>
      </c>
      <c r="H120" s="1194">
        <f>IF(SETUP!$F$29="Upfront",$E$119*'HIV-Other HPs'!AY16,0)</f>
        <v>0</v>
      </c>
      <c r="I120" s="1194">
        <f>IF(SETUP!$F$29="Upfront",$E$119*'HIV-Other HPs'!AZ16,0)</f>
        <v>0</v>
      </c>
      <c r="J120" s="1193">
        <f t="shared" si="12"/>
        <v>0</v>
      </c>
      <c r="K120" s="1194">
        <f>IF(SETUP!$F$29="Upfront",$E$119*'HIV-Other HPs'!BA16,0)</f>
        <v>0</v>
      </c>
      <c r="L120" s="1194">
        <f>IF(SETUP!$F$29="Upfront",$E$119*'HIV-Other HPs'!BB16,0)</f>
        <v>0</v>
      </c>
      <c r="M120" s="1194">
        <f>IF(SETUP!$F$29="Upfront",$E$119*'HIV-Other HPs'!BC16,0)</f>
        <v>0</v>
      </c>
      <c r="N120" s="1194">
        <f>IF(SETUP!$F$29="Upfront",$E$119*'HIV-Other HPs'!BD16,0)</f>
        <v>0</v>
      </c>
      <c r="O120" s="1191">
        <f t="shared" si="13"/>
        <v>0</v>
      </c>
      <c r="P120" s="1189">
        <f>IF(SETUP!$F$29="Upfront",$E$119*'HIV-Other HPs'!BE16,0)</f>
        <v>0</v>
      </c>
      <c r="Q120" s="1189">
        <f>IF(SETUP!$F$29="Upfront",$E$119*'HIV-Other HPs'!BF16,0)</f>
        <v>0</v>
      </c>
      <c r="R120" s="1189">
        <f>IF(SETUP!$F$29="Upfront",$E$119*'HIV-Other HPs'!BG16,0)</f>
        <v>0</v>
      </c>
      <c r="S120" s="1189">
        <f>IF(SETUP!$F$29="Upfront",$E$119*'HIV-Other HPs'!BH16,0)</f>
        <v>0</v>
      </c>
      <c r="T120" s="1190">
        <f t="shared" si="14"/>
        <v>0</v>
      </c>
      <c r="U120" s="1189">
        <f t="shared" si="15"/>
        <v>0</v>
      </c>
      <c r="V120" s="1795">
        <v>7.2</v>
      </c>
      <c r="W120" s="1823"/>
      <c r="X120" s="1820"/>
    </row>
    <row r="121" spans="1:24" s="860" customFormat="1" ht="15" hidden="1" customHeight="1" outlineLevel="1">
      <c r="A121" s="2899"/>
      <c r="B121" s="2900"/>
      <c r="C121" s="2889" t="s">
        <v>36</v>
      </c>
      <c r="D121" s="2912"/>
      <c r="E121" s="1649"/>
      <c r="F121" s="1279">
        <v>0</v>
      </c>
      <c r="G121" s="1195">
        <f>IF(SETUP!$F$29="At delivery",IF(SETUP!$G$29=1,$E$119*'HIV-Other HPs'!AW16,0),0)</f>
        <v>0</v>
      </c>
      <c r="H121" s="1194">
        <f>IF(SETUP!$F$29="At delivery",IF(SETUP!$G$29=2,$E$119*'HIV-Other HPs'!AW16,IF(SETUP!$G$29=1,$E$119*'HIV-Other HPs'!AX16,0)),0)</f>
        <v>0</v>
      </c>
      <c r="I121" s="1194">
        <f>IF(SETUP!$F$29="At delivery",IF(SETUP!$G$29=3,$E$119*'HIV-Other HPs'!AW16,IF(SETUP!$G$29=2,$E$119*'HIV-Other HPs'!AX16,IF(SETUP!$G$29=1,$E$119*'HIV-Other HPs'!AY16,0))),0)</f>
        <v>0</v>
      </c>
      <c r="J121" s="1193">
        <f t="shared" si="12"/>
        <v>0</v>
      </c>
      <c r="K121" s="1194">
        <f>IF(SETUP!$F$29="At delivery",IF(SETUP!$G$29=4,$E$119*'HIV-Other HPs'!AW16,IF(SETUP!$G$29=3,$E$119*'HIV-Other HPs'!AX16,IF(SETUP!$G$29=2,$E$119*'HIV-Other HPs'!AY16,IF(SETUP!$G$29=1,$E$119*'HIV-Other HPs'!AZ16,0)))),0)</f>
        <v>0</v>
      </c>
      <c r="L121" s="1194">
        <f>IF(SETUP!$F$29="At delivery",IF(SETUP!$G$29=4,$E$119*'HIV-Other HPs'!AX16,IF(SETUP!$G$29=3,$E$119*'HIV-Other HPs'!AY16,IF(SETUP!$G$29=2,$E$119*'HIV-Other HPs'!AZ16,IF(SETUP!$G$29=1,$E$119*'HIV-Other HPs'!BA16,0)))),0)</f>
        <v>0</v>
      </c>
      <c r="M121" s="1194">
        <f>IF(SETUP!$F$29="At delivery",IF(SETUP!$G$29=4,$E$119*'HIV-Other HPs'!AY16,IF(SETUP!$G$29=3,$E$119*'HIV-Other HPs'!AZ16,IF(SETUP!$G$29=2,$E$119*'HIV-Other HPs'!BA16,IF(SETUP!$G$29=1,$E$119*'HIV-Other HPs'!BB16,0)))),0)</f>
        <v>0</v>
      </c>
      <c r="N121" s="1194">
        <f>IF(SETUP!$F$29="At delivery",IF(SETUP!$G$29=4,$E$119*'HIV-Other HPs'!AZ16,IF(SETUP!$G$29=3,$E$119*'HIV-Other HPs'!BA16,IF(SETUP!$G$29=2,$E$119*'HIV-Other HPs'!BB16,IF(SETUP!$G$29=1,$E$119*'HIV-Other HPs'!BC16,0)))),0)</f>
        <v>0</v>
      </c>
      <c r="O121" s="1191">
        <f t="shared" si="13"/>
        <v>0</v>
      </c>
      <c r="P121" s="1189">
        <f>IF(SETUP!$F$29="At delivery",IF(SETUP!$G$29=4,$E$119*'HIV-Other HPs'!BA16,IF(SETUP!$G$29=3,$E$119*'HIV-Other HPs'!BB16,IF(SETUP!$G$29=2,$E$119*'HIV-Other HPs'!BC16,IF(SETUP!$G$29=1,$E$119*'HIV-Other HPs'!BD16,0)))),0)</f>
        <v>0</v>
      </c>
      <c r="Q121" s="1189">
        <f>IF(SETUP!$F$29="At delivery",IF(SETUP!$G$29=4,$E$119*'HIV-Other HPs'!BB16,IF(SETUP!$G$29=3,$E$119*'HIV-Other HPs'!BC16,IF(SETUP!$G$29=2,$E$119*'HIV-Other HPs'!BD16,IF(SETUP!$G$29=1,$E$119*'HIV-Other HPs'!BE16,0)))),0)</f>
        <v>0</v>
      </c>
      <c r="R121" s="1189">
        <f>IF(SETUP!$F$29="At delivery",IF(SETUP!$G$29=4,$E$119*'HIV-Other HPs'!BC16,IF(SETUP!$G$29=3,$E$119*'HIV-Other HPs'!BD16,IF(SETUP!$G$29=2,$E$119*'HIV-Other HPs'!BE16,IF(SETUP!$G$29=1,$E$119*'HIV-Other HPs'!BF16,0)))),0)</f>
        <v>0</v>
      </c>
      <c r="S121" s="1189">
        <f>IF(SETUP!$F$29="At delivery",IF(SETUP!$G$29=4,$E$119*('HIV-Other HPs'!BD16+'HIV-Other HPs'!BE16+'HIV-Other HPs'!BF16+'HIV-Other HPs'!BG16+'HIV-Other HPs'!BH16),IF(SETUP!$G$29=3,$E$119*('HIV-Other HPs'!BE16+'HIV-Other HPs'!BF16+'HIV-Other HPs'!BG16+'HIV-Other HPs'!BH16),IF(SETUP!$G$29=2,$E$119*('HIV-Other HPs'!BF16+'HIV-Other HPs'!BG16+'HIV-Other HPs'!BH16),IF(SETUP!$G$29=1,$E$119*('HIV-Other HPs'!BG16+'HIV-Other HPs'!BH16),0)))),0)</f>
        <v>0</v>
      </c>
      <c r="T121" s="1190">
        <f t="shared" si="14"/>
        <v>0</v>
      </c>
      <c r="U121" s="1189">
        <f t="shared" si="15"/>
        <v>0</v>
      </c>
      <c r="V121" s="1795">
        <v>7.2</v>
      </c>
      <c r="W121" s="1823"/>
      <c r="X121" s="1820"/>
    </row>
    <row r="122" spans="1:24" s="860" customFormat="1" ht="15" customHeight="1" collapsed="1">
      <c r="A122" s="2899"/>
      <c r="B122" s="2900"/>
      <c r="C122" s="2907" t="s">
        <v>1863</v>
      </c>
      <c r="D122" s="2911"/>
      <c r="E122" s="1649">
        <v>0</v>
      </c>
      <c r="F122" s="1279">
        <f>IF(SETUP!$F$30="Upfront",F123,F124)</f>
        <v>0</v>
      </c>
      <c r="G122" s="1195">
        <f>IF(SETUP!$F$30="Upfront",G123,G124)</f>
        <v>0</v>
      </c>
      <c r="H122" s="1194">
        <f>IF(SETUP!$F$30="Upfront",H123,H124)</f>
        <v>0</v>
      </c>
      <c r="I122" s="1194">
        <f>IF(SETUP!$F$30="Upfront",I123,I124)</f>
        <v>0</v>
      </c>
      <c r="J122" s="1193">
        <f t="shared" si="12"/>
        <v>0</v>
      </c>
      <c r="K122" s="1194">
        <f>IF(SETUP!$F$30="Upfront",K123,K124)</f>
        <v>0</v>
      </c>
      <c r="L122" s="1194">
        <f>IF(SETUP!$F$30="Upfront",L123,L124)</f>
        <v>0</v>
      </c>
      <c r="M122" s="1194">
        <f>IF(SETUP!$F$30="Upfront",M123,M124)</f>
        <v>0</v>
      </c>
      <c r="N122" s="1194">
        <f>IF(SETUP!$F$30="Upfront",N123,N124)</f>
        <v>0</v>
      </c>
      <c r="O122" s="1191">
        <f t="shared" si="13"/>
        <v>0</v>
      </c>
      <c r="P122" s="1189">
        <f>IF(SETUP!$F$30="Upfront",P123,P124)</f>
        <v>0</v>
      </c>
      <c r="Q122" s="1189">
        <f>IF(SETUP!$F$30="Upfront",Q123,Q124)</f>
        <v>0</v>
      </c>
      <c r="R122" s="1189">
        <f>IF(SETUP!$F$30="Upfront",R123,R124)</f>
        <v>0</v>
      </c>
      <c r="S122" s="1189">
        <f>IF(SETUP!$F$30="Upfront",S123,S124)</f>
        <v>0</v>
      </c>
      <c r="T122" s="1190">
        <f t="shared" si="14"/>
        <v>0</v>
      </c>
      <c r="U122" s="1189">
        <f t="shared" si="15"/>
        <v>0</v>
      </c>
      <c r="V122" s="1795">
        <v>7.2</v>
      </c>
      <c r="W122" s="1823"/>
      <c r="X122" s="1820"/>
    </row>
    <row r="123" spans="1:24" s="860" customFormat="1" ht="15" hidden="1" customHeight="1" outlineLevel="1">
      <c r="A123" s="2899"/>
      <c r="B123" s="2900"/>
      <c r="C123" s="2889" t="s">
        <v>918</v>
      </c>
      <c r="D123" s="2912"/>
      <c r="E123" s="1649"/>
      <c r="F123" s="1279">
        <f>IF(SETUP!$F$30="Upfront",$E$122*'HIV-Other HPs'!AW17,0)</f>
        <v>0</v>
      </c>
      <c r="G123" s="1195">
        <f>IF(SETUP!$F$30="Upfront",$E$122*'HIV-Other HPs'!AX17,0)</f>
        <v>0</v>
      </c>
      <c r="H123" s="1194">
        <f>IF(SETUP!$F$30="Upfront",$E$122*'HIV-Other HPs'!AY17,0)</f>
        <v>0</v>
      </c>
      <c r="I123" s="1194">
        <f>IF(SETUP!$F$30="Upfront",$E$122*'HIV-Other HPs'!AZ17,0)</f>
        <v>0</v>
      </c>
      <c r="J123" s="1193"/>
      <c r="K123" s="1194">
        <f>IF(SETUP!$F$30="Upfront",$E$122*'HIV-Other HPs'!BA17,0)</f>
        <v>0</v>
      </c>
      <c r="L123" s="1194">
        <f>IF(SETUP!$F$30="Upfront",$E$122*'HIV-Other HPs'!BB17,0)</f>
        <v>0</v>
      </c>
      <c r="M123" s="1194">
        <f>IF(SETUP!$F$30="Upfront",$E$122*'HIV-Other HPs'!BC17,0)</f>
        <v>0</v>
      </c>
      <c r="N123" s="1194">
        <f>IF(SETUP!$F$30="Upfront",$E$122*'HIV-Other HPs'!BD17,0)</f>
        <v>0</v>
      </c>
      <c r="O123" s="1191"/>
      <c r="P123" s="1189">
        <f>IF(SETUP!$F$30="Upfront",$E$122*'HIV-Other HPs'!BE17,0)</f>
        <v>0</v>
      </c>
      <c r="Q123" s="1189">
        <f>IF(SETUP!$F$30="Upfront",$E$122*'HIV-Other HPs'!BF17,0)</f>
        <v>0</v>
      </c>
      <c r="R123" s="1189">
        <f>IF(SETUP!$F$30="Upfront",$E$122*'HIV-Other HPs'!BG17,0)</f>
        <v>0</v>
      </c>
      <c r="S123" s="1189">
        <f>IF(SETUP!$F$30="Upfront",$E$122*'HIV-Other HPs'!BH17,0)</f>
        <v>0</v>
      </c>
      <c r="T123" s="1190"/>
      <c r="U123" s="1189"/>
      <c r="V123" s="1795">
        <v>7.2</v>
      </c>
      <c r="W123" s="1823"/>
      <c r="X123" s="1820"/>
    </row>
    <row r="124" spans="1:24" s="860" customFormat="1" ht="15" hidden="1" customHeight="1" outlineLevel="1">
      <c r="A124" s="2899"/>
      <c r="B124" s="2900"/>
      <c r="C124" s="2889" t="s">
        <v>36</v>
      </c>
      <c r="D124" s="2912"/>
      <c r="E124" s="1649"/>
      <c r="F124" s="1279">
        <v>0</v>
      </c>
      <c r="G124" s="1195">
        <f>IF(SETUP!$F$30="At delivery",IF(SETUP!$G$30=1,$E$122*'HIV-Other HPs'!AW17,0),0)</f>
        <v>0</v>
      </c>
      <c r="H124" s="1194">
        <f>IF(SETUP!$F$30="At delivery",IF(SETUP!$G$30=2,$E$122*'HIV-Other HPs'!AW17,IF(SETUP!$G$30=1,$E$122*'HIV-Other HPs'!AX17,0)),0)</f>
        <v>0</v>
      </c>
      <c r="I124" s="1194">
        <f>IF(SETUP!$F$30="At delivery",IF(SETUP!$G$30=3,$E$122*'HIV-Other HPs'!AW17,IF(SETUP!$G$30=2,$E$122*'HIV-Other HPs'!AX17,IF(SETUP!$G$30=1,$E$122*'HIV-Other HPs'!AY17,0))),0)</f>
        <v>0</v>
      </c>
      <c r="J124" s="1193"/>
      <c r="K124" s="1194">
        <f>IF(SETUP!$F$30="At delivery",IF(SETUP!$G$30=4,$E$122*'HIV-Other HPs'!AW17,IF(SETUP!$G$30=3,$E$122*'HIV-Other HPs'!AX17,IF(SETUP!$G$30=2,$E$122*'HIV-Other HPs'!AY17,IF(SETUP!$G$30=1,$E$122*'HIV-Other HPs'!AZ17,0)))),0)</f>
        <v>0</v>
      </c>
      <c r="L124" s="1194">
        <f>IF(SETUP!$F$30="At delivery",IF(SETUP!$G$30=4,$E$122*'HIV-Other HPs'!AX17,IF(SETUP!$G$30=3,$E$122*'HIV-Other HPs'!AY17,IF(SETUP!$G$30=2,$E$122*'HIV-Other HPs'!AZ17,IF(SETUP!$G$30=1,$E$122*'HIV-Other HPs'!BA17,0)))),0)</f>
        <v>0</v>
      </c>
      <c r="M124" s="1194">
        <f>IF(SETUP!$F$30="At delivery",IF(SETUP!$G$30=4,$E$122*'HIV-Other HPs'!AY17,IF(SETUP!$G$30=3,$E$122*'HIV-Other HPs'!AZ17,IF(SETUP!$G$30=2,$E$122*'HIV-Other HPs'!BA17,IF(SETUP!$G$30=1,$E$122*'HIV-Other HPs'!BB17,0)))),0)</f>
        <v>0</v>
      </c>
      <c r="N124" s="1194">
        <f>IF(SETUP!$F$30="At delivery",IF(SETUP!$G$30=4,$E$122*'HIV-Other HPs'!AZ17,IF(SETUP!$G$30=3,$E$122*'HIV-Other HPs'!BA17,IF(SETUP!$G$30=2,$E$122*'HIV-Other HPs'!BB17,IF(SETUP!$G$30=1,$E$122*'HIV-Other HPs'!BC17,0)))),0)</f>
        <v>0</v>
      </c>
      <c r="O124" s="1191"/>
      <c r="P124" s="1189">
        <f>IF(SETUP!$F$30="At delivery",IF(SETUP!$G$30=4,$E$122*'HIV-Other HPs'!BA17,IF(SETUP!$G$30=3,$E$122*'HIV-Other HPs'!BB17,IF(SETUP!$G$30=2,$E$122*'HIV-Other HPs'!BC17,IF(SETUP!$G$30=1,$E$122*'HIV-Other HPs'!BD17,0)))),0)</f>
        <v>0</v>
      </c>
      <c r="Q124" s="1189">
        <f>IF(SETUP!$F$30="At delivery",IF(SETUP!$G$30=4,$E$122*'HIV-Other HPs'!BB17,IF(SETUP!$G$30=3,$E$122*'HIV-Other HPs'!BC17,IF(SETUP!$G$30=2,$E$122*'HIV-Other HPs'!BD17,IF(SETUP!$G$30=1,$E$122*'HIV-Other HPs'!BE17,0)))),0)</f>
        <v>0</v>
      </c>
      <c r="R124" s="1189">
        <f>IF(SETUP!$F$30="At delivery",IF(SETUP!$G$30=4,$E$122*'HIV-Other HPs'!BC17,IF(SETUP!$G$30=3,$E$122*'HIV-Other HPs'!BD17,IF(SETUP!$G$30=2,$E$122*'HIV-Other HPs'!BE17,IF(SETUP!$G$30=1,$E$122*'HIV-Other HPs'!BF17,0)))),0)</f>
        <v>0</v>
      </c>
      <c r="S124" s="1189">
        <f>IF(SETUP!$F$30="At delivery",IF(SETUP!$G$30=4,$E$122*('HIV-Other HPs'!BD17+'HIV-Other HPs'!BE17+'HIV-Other HPs'!BF17+'HIV-Other HPs'!BG17+'HIV-Other HPs'!BH17),IF(SETUP!$G$30=3,$E$122*('HIV-Other HPs'!BE17+'HIV-Other HPs'!BF17+'HIV-Other HPs'!BG17+'HIV-Other HPs'!BH17),IF(SETUP!$G$30=2,$E$122*('HIV-Other HPs'!BF17+'HIV-Other HPs'!BG17+'HIV-Other HPs'!BH17),IF(SETUP!$G$30=1,$E$122*('HIV-Other HPs'!BG17+'HIV-Other HPs'!BH17),0)))),0)</f>
        <v>0</v>
      </c>
      <c r="T124" s="1190"/>
      <c r="U124" s="1189"/>
      <c r="V124" s="1795">
        <v>7.2</v>
      </c>
      <c r="W124" s="1823"/>
      <c r="X124" s="1820"/>
    </row>
    <row r="125" spans="1:24" s="860" customFormat="1" ht="15" customHeight="1" collapsed="1">
      <c r="A125" s="2899"/>
      <c r="B125" s="2900"/>
      <c r="C125" s="2907" t="s">
        <v>1794</v>
      </c>
      <c r="D125" s="2911"/>
      <c r="E125" s="1649">
        <v>0</v>
      </c>
      <c r="F125" s="1279">
        <f>IF(SETUP!$F$31="Upfront",F126,F127)</f>
        <v>0</v>
      </c>
      <c r="G125" s="1195">
        <f>IF(SETUP!$F$31="Upfront",G126,G127)</f>
        <v>0</v>
      </c>
      <c r="H125" s="1194">
        <f>IF(SETUP!$F$31="Upfront",H126,H127)</f>
        <v>0</v>
      </c>
      <c r="I125" s="1194">
        <f>IF(SETUP!$F$31="Upfront",I126,I127)</f>
        <v>0</v>
      </c>
      <c r="J125" s="1193">
        <f t="shared" ref="J125:J156" si="16">F125+G125+H125+I125</f>
        <v>0</v>
      </c>
      <c r="K125" s="1194">
        <f>IF(SETUP!$F$31="Upfront",K126,K127)</f>
        <v>0</v>
      </c>
      <c r="L125" s="1194">
        <f>IF(SETUP!$F$31="Upfront",L126,L127)</f>
        <v>0</v>
      </c>
      <c r="M125" s="1194">
        <f>IF(SETUP!$F$31="Upfront",M126,M127)</f>
        <v>0</v>
      </c>
      <c r="N125" s="1194">
        <f>IF(SETUP!$F$31="Upfront",N126,N127)</f>
        <v>0</v>
      </c>
      <c r="O125" s="1191">
        <f t="shared" ref="O125:O156" si="17">K125+L125+M125+N125</f>
        <v>0</v>
      </c>
      <c r="P125" s="1189">
        <f>IF(SETUP!$F$31="Upfront",P126,P127)</f>
        <v>0</v>
      </c>
      <c r="Q125" s="1189">
        <f>IF(SETUP!$F$31="Upfront",Q126,Q127)</f>
        <v>0</v>
      </c>
      <c r="R125" s="1189">
        <f>IF(SETUP!$F$31="Upfront",R126,R127)</f>
        <v>0</v>
      </c>
      <c r="S125" s="1189">
        <f>IF(SETUP!$F$31="Upfront",S126,S127)</f>
        <v>0</v>
      </c>
      <c r="T125" s="1190">
        <f t="shared" ref="T125:T156" si="18">P125+Q125+R125+S125</f>
        <v>0</v>
      </c>
      <c r="U125" s="1189">
        <f t="shared" ref="U125:U156" si="19">J125+O125+T125</f>
        <v>0</v>
      </c>
      <c r="V125" s="1795">
        <v>7.2</v>
      </c>
      <c r="W125" s="1823"/>
      <c r="X125" s="1820"/>
    </row>
    <row r="126" spans="1:24" s="860" customFormat="1" ht="15" hidden="1" customHeight="1" outlineLevel="1">
      <c r="A126" s="2899"/>
      <c r="B126" s="2900"/>
      <c r="C126" s="2889" t="s">
        <v>918</v>
      </c>
      <c r="D126" s="2912"/>
      <c r="E126" s="1649"/>
      <c r="F126" s="1279">
        <f>IF(SETUP!$F$31="Upfront",$E$125*'HIV-Other HPs'!AW18,0)</f>
        <v>0</v>
      </c>
      <c r="G126" s="1195">
        <f>IF(SETUP!$F$31="Upfront",$E$125*'HIV-Other HPs'!AX18,0)</f>
        <v>0</v>
      </c>
      <c r="H126" s="1194">
        <f>IF(SETUP!$F$31="Upfront",$E$125*'HIV-Other HPs'!AY18,0)</f>
        <v>0</v>
      </c>
      <c r="I126" s="1194">
        <f>IF(SETUP!$F$31="Upfront",$E$125*'HIV-Other HPs'!AZ18,0)</f>
        <v>0</v>
      </c>
      <c r="J126" s="1193">
        <f t="shared" si="16"/>
        <v>0</v>
      </c>
      <c r="K126" s="1194">
        <f>IF(SETUP!$F$31="Upfront",$E$125*'HIV-Other HPs'!BA18,0)</f>
        <v>0</v>
      </c>
      <c r="L126" s="1194">
        <f>IF(SETUP!$F$31="Upfront",$E$125*'HIV-Other HPs'!BB18,0)</f>
        <v>0</v>
      </c>
      <c r="M126" s="1194">
        <f>IF(SETUP!$F$31="Upfront",$E$125*'HIV-Other HPs'!BC18,0)</f>
        <v>0</v>
      </c>
      <c r="N126" s="1194">
        <f>IF(SETUP!$F$31="Upfront",$E$125*'HIV-Other HPs'!BD18,0)</f>
        <v>0</v>
      </c>
      <c r="O126" s="1191">
        <f t="shared" si="17"/>
        <v>0</v>
      </c>
      <c r="P126" s="1189">
        <f>IF(SETUP!$F$31="Upfront",$E$125*'HIV-Other HPs'!BE18,0)</f>
        <v>0</v>
      </c>
      <c r="Q126" s="1189">
        <f>IF(SETUP!$F$31="Upfront",$E$125*'HIV-Other HPs'!BF18,0)</f>
        <v>0</v>
      </c>
      <c r="R126" s="1189">
        <f>IF(SETUP!$F$31="Upfront",$E$125*'HIV-Other HPs'!BG18,0)</f>
        <v>0</v>
      </c>
      <c r="S126" s="1189">
        <f>IF(SETUP!$F$31="Upfront",$E$125*'HIV-Other HPs'!BH18,0)</f>
        <v>0</v>
      </c>
      <c r="T126" s="1190">
        <f t="shared" si="18"/>
        <v>0</v>
      </c>
      <c r="U126" s="1189">
        <f t="shared" si="19"/>
        <v>0</v>
      </c>
      <c r="V126" s="1795">
        <v>7.2</v>
      </c>
      <c r="W126" s="1823"/>
      <c r="X126" s="1820"/>
    </row>
    <row r="127" spans="1:24" s="860" customFormat="1" ht="15" hidden="1" customHeight="1" outlineLevel="1">
      <c r="A127" s="2899"/>
      <c r="B127" s="2900"/>
      <c r="C127" s="2889" t="s">
        <v>36</v>
      </c>
      <c r="D127" s="2912"/>
      <c r="E127" s="1649"/>
      <c r="F127" s="1279">
        <v>0</v>
      </c>
      <c r="G127" s="1195">
        <f>IF(SETUP!$F$31="At delivery",IF(SETUP!$G$31=1,$E$125*'HIV-Other HPs'!AW18,0),0)</f>
        <v>0</v>
      </c>
      <c r="H127" s="1194">
        <f>IF(SETUP!$F$31="At delivery",IF(SETUP!$G$31=2,$E$125*'HIV-Other HPs'!AW18,IF(SETUP!$G$31=1,$E$125*'HIV-Other HPs'!AX18,0)),0)</f>
        <v>0</v>
      </c>
      <c r="I127" s="1194">
        <f>IF(SETUP!$F$31="At delivery",IF(SETUP!$G$31=3,$E$125*'HIV-Other HPs'!AW18,IF(SETUP!$G$31=2,$E$125*'HIV-Other HPs'!AX18,IF(SETUP!$G$31=1,$E$125*'HIV-Other HPs'!AY18,0))),0)</f>
        <v>0</v>
      </c>
      <c r="J127" s="1193">
        <f t="shared" si="16"/>
        <v>0</v>
      </c>
      <c r="K127" s="1194">
        <f>IF(SETUP!$F$31="At delivery",IF(SETUP!$G$31=4,$E$125*'HIV-Other HPs'!AW18,IF(SETUP!$G$31=3,$E$125*'HIV-Other HPs'!AX18,IF(SETUP!$G$31=2,$E$125*'HIV-Other HPs'!AY18,IF(SETUP!$G$31=1,$E$125*'HIV-Other HPs'!AZ18,0)))),0)</f>
        <v>0</v>
      </c>
      <c r="L127" s="1194">
        <f>IF(SETUP!$F$31="At delivery",IF(SETUP!$G$31=4,$E$125*'HIV-Other HPs'!AX18,IF(SETUP!$G$31=3,$E$125*'HIV-Other HPs'!AY18,IF(SETUP!$G$31=2,$E$125*'HIV-Other HPs'!AZ18,IF(SETUP!$G$31=1,$E$125*'HIV-Other HPs'!BA18,0)))),0)</f>
        <v>0</v>
      </c>
      <c r="M127" s="1194">
        <f>IF(SETUP!$F$31="At delivery",IF(SETUP!$G$31=4,$E$125*'HIV-Other HPs'!AY18,IF(SETUP!$G$31=3,$E$125*'HIV-Other HPs'!AZ18,IF(SETUP!$G$31=2,$E$125*'HIV-Other HPs'!BA18,IF(SETUP!$G$31=1,$E$125*'HIV-Other HPs'!BB18,0)))),0)</f>
        <v>0</v>
      </c>
      <c r="N127" s="1194">
        <f>IF(SETUP!$F$31="At delivery",IF(SETUP!$G$31=4,$E$125*'HIV-Other HPs'!AZ18,IF(SETUP!$G$31=3,$E$125*'HIV-Other HPs'!BA18,IF(SETUP!$G$31=2,$E$125*'HIV-Other HPs'!BB18,IF(SETUP!$G$31=1,$E$125*'HIV-Other HPs'!BC18,0)))),0)</f>
        <v>0</v>
      </c>
      <c r="O127" s="1191">
        <f t="shared" si="17"/>
        <v>0</v>
      </c>
      <c r="P127" s="1189">
        <f>IF(SETUP!$F$31="At delivery",IF(SETUP!$G$31=4,$E$125*'HIV-Other HPs'!BA18,IF(SETUP!$G$31=3,$E$125*'HIV-Other HPs'!BB18,IF(SETUP!$G$31=2,$E$125*'HIV-Other HPs'!BC18,IF(SETUP!$G$31=1,$E$125*'HIV-Other HPs'!BD18,0)))),0)</f>
        <v>0</v>
      </c>
      <c r="Q127" s="1189">
        <f>IF(SETUP!$F$31="At delivery",IF(SETUP!$G$31=4,$E$125*'HIV-Other HPs'!BB18,IF(SETUP!$G$31=3,$E$125*'HIV-Other HPs'!BC18,IF(SETUP!$G$31=2,$E$125*'HIV-Other HPs'!BD18,IF(SETUP!$G$31=1,$E$125*'HIV-Other HPs'!BE18,0)))),0)</f>
        <v>0</v>
      </c>
      <c r="R127" s="1189">
        <f>IF(SETUP!$F$31="At delivery",IF(SETUP!$G$31=4,$E$125*'HIV-Other HPs'!BC18,IF(SETUP!$G$31=3,$E$125*'HIV-Other HPs'!BD18,IF(SETUP!$G$31=2,$E$125*'HIV-Other HPs'!BE18,IF(SETUP!$G$31=1,$E$125*'HIV-Other HPs'!BF18,0)))),0)</f>
        <v>0</v>
      </c>
      <c r="S127" s="1189">
        <f>IF(SETUP!$F$31="At delivery",IF(SETUP!$G$31=4,$E$125*('HIV-Other HPs'!BD18+'HIV-Other HPs'!BE18+'HIV-Other HPs'!BF18+'HIV-Other HPs'!BG18+'HIV-Other HPs'!BH18),IF(SETUP!$G$31=3,$E$125*('HIV-Other HPs'!BE18+'HIV-Other HPs'!BF18+'HIV-Other HPs'!BG18+'HIV-Other HPs'!BH18),IF(SETUP!$G$31=2,$E$125*('HIV-Other HPs'!BF18+'HIV-Other HPs'!BG18+'HIV-Other HPs'!BH18),IF(SETUP!$G$31=1,$E$125*('HIV-Other HPs'!BG18+'HIV-Other HPs'!BH18),0)))),0)</f>
        <v>0</v>
      </c>
      <c r="T127" s="1190">
        <f t="shared" si="18"/>
        <v>0</v>
      </c>
      <c r="U127" s="1189">
        <f t="shared" si="19"/>
        <v>0</v>
      </c>
      <c r="V127" s="1795">
        <v>7.2</v>
      </c>
      <c r="W127" s="1823"/>
      <c r="X127" s="1820"/>
    </row>
    <row r="128" spans="1:24" s="860" customFormat="1" ht="15" customHeight="1" collapsed="1">
      <c r="A128" s="2899"/>
      <c r="B128" s="2900"/>
      <c r="C128" s="2907" t="s">
        <v>568</v>
      </c>
      <c r="D128" s="2911"/>
      <c r="E128" s="1649">
        <v>0</v>
      </c>
      <c r="F128" s="1279">
        <f>IF(SETUP!$F$32="Upfront",F129,F130)</f>
        <v>0</v>
      </c>
      <c r="G128" s="1195">
        <f>IF(SETUP!$F$32="Upfront",G129,G130)</f>
        <v>0</v>
      </c>
      <c r="H128" s="1194">
        <f>IF(SETUP!$F$32="Upfront",H129,H130)</f>
        <v>0</v>
      </c>
      <c r="I128" s="1194">
        <f>IF(SETUP!$F$32="Upfront",I129,I130)</f>
        <v>0</v>
      </c>
      <c r="J128" s="1193">
        <f t="shared" si="16"/>
        <v>0</v>
      </c>
      <c r="K128" s="1194">
        <f>IF(SETUP!$F$32="Upfront",K129,K130)</f>
        <v>0</v>
      </c>
      <c r="L128" s="1194">
        <f>IF(SETUP!$F$32="Upfront",L129,L130)</f>
        <v>0</v>
      </c>
      <c r="M128" s="1194">
        <f>IF(SETUP!$F$32="Upfront",M129,M130)</f>
        <v>0</v>
      </c>
      <c r="N128" s="1194">
        <f>IF(SETUP!$F$32="Upfront",N129,N130)</f>
        <v>0</v>
      </c>
      <c r="O128" s="1191">
        <f t="shared" si="17"/>
        <v>0</v>
      </c>
      <c r="P128" s="1189">
        <f>IF(SETUP!$F$32="Upfront",P129,P130)</f>
        <v>0</v>
      </c>
      <c r="Q128" s="1189">
        <f>IF(SETUP!$F$32="Upfront",Q129,Q130)</f>
        <v>0</v>
      </c>
      <c r="R128" s="1189">
        <f>IF(SETUP!$F$32="Upfront",R129,R130)</f>
        <v>0</v>
      </c>
      <c r="S128" s="1189">
        <f>IF(SETUP!$F$32="Upfront",S129,S130)</f>
        <v>0</v>
      </c>
      <c r="T128" s="1190">
        <f t="shared" si="18"/>
        <v>0</v>
      </c>
      <c r="U128" s="1189">
        <f t="shared" si="19"/>
        <v>0</v>
      </c>
      <c r="V128" s="1795">
        <v>7.2</v>
      </c>
      <c r="W128" s="1823"/>
      <c r="X128" s="1820"/>
    </row>
    <row r="129" spans="1:24" s="860" customFormat="1" ht="15" hidden="1" customHeight="1" outlineLevel="1">
      <c r="A129" s="2899"/>
      <c r="B129" s="2900"/>
      <c r="C129" s="2889" t="s">
        <v>918</v>
      </c>
      <c r="D129" s="2912"/>
      <c r="E129" s="1649"/>
      <c r="F129" s="1279">
        <f>IF(SETUP!$F$32="Upfront",$E$128*'HIV-Other HPs'!AW19,0)</f>
        <v>0</v>
      </c>
      <c r="G129" s="1195">
        <f>IF(SETUP!$F$32="Upfront",$E$128*'HIV-Other HPs'!AX19,0)</f>
        <v>0</v>
      </c>
      <c r="H129" s="1194">
        <f>IF(SETUP!$F$32="Upfront",$E$128*'HIV-Other HPs'!AY19,0)</f>
        <v>0</v>
      </c>
      <c r="I129" s="1194">
        <f>IF(SETUP!$F$32="Upfront",$E$128*'HIV-Other HPs'!AZ19,0)</f>
        <v>0</v>
      </c>
      <c r="J129" s="1193">
        <f t="shared" si="16"/>
        <v>0</v>
      </c>
      <c r="K129" s="1194">
        <f>IF(SETUP!$F$32="Upfront",$E$128*'HIV-Other HPs'!BA19,0)</f>
        <v>0</v>
      </c>
      <c r="L129" s="1194">
        <f>IF(SETUP!$F$32="Upfront",$E$128*'HIV-Other HPs'!BB19,0)</f>
        <v>0</v>
      </c>
      <c r="M129" s="1194">
        <f>IF(SETUP!$F$32="Upfront",$E$128*'HIV-Other HPs'!BC19,0)</f>
        <v>0</v>
      </c>
      <c r="N129" s="1194">
        <f>IF(SETUP!$F$32="Upfront",$E$128*'HIV-Other HPs'!BD19,0)</f>
        <v>0</v>
      </c>
      <c r="O129" s="1191">
        <f t="shared" si="17"/>
        <v>0</v>
      </c>
      <c r="P129" s="1189">
        <f>IF(SETUP!$F$32="Upfront",$E$128*'HIV-Other HPs'!BE19,0)</f>
        <v>0</v>
      </c>
      <c r="Q129" s="1189">
        <f>IF(SETUP!$F$32="Upfront",$E$128*'HIV-Other HPs'!BF19,0)</f>
        <v>0</v>
      </c>
      <c r="R129" s="1189">
        <f>IF(SETUP!$F$32="Upfront",$E$128*'HIV-Other HPs'!BG19,0)</f>
        <v>0</v>
      </c>
      <c r="S129" s="1189">
        <f>IF(SETUP!$F$32="Upfront",$E$128*'HIV-Other HPs'!BH19,0)</f>
        <v>0</v>
      </c>
      <c r="T129" s="1190">
        <f t="shared" si="18"/>
        <v>0</v>
      </c>
      <c r="U129" s="1189">
        <f t="shared" si="19"/>
        <v>0</v>
      </c>
      <c r="V129" s="1795">
        <v>7.2</v>
      </c>
      <c r="W129" s="1823"/>
      <c r="X129" s="1820"/>
    </row>
    <row r="130" spans="1:24" s="860" customFormat="1" ht="15" hidden="1" customHeight="1" outlineLevel="1">
      <c r="A130" s="2899"/>
      <c r="B130" s="2900"/>
      <c r="C130" s="2889" t="s">
        <v>36</v>
      </c>
      <c r="D130" s="2912"/>
      <c r="E130" s="1649"/>
      <c r="F130" s="1279">
        <v>0</v>
      </c>
      <c r="G130" s="1195">
        <f>IF(SETUP!$F$32="At delivery",IF(SETUP!$G$32=1,$E$128*'HIV-Other HPs'!AW19,0),0)</f>
        <v>0</v>
      </c>
      <c r="H130" s="1194">
        <f>IF(SETUP!$F$32="At delivery",IF(SETUP!$G$32=2,$E$128*'HIV-Other HPs'!AW19,IF(SETUP!$G$32=1,$E$128*'HIV-Other HPs'!AX19,0)),0)</f>
        <v>0</v>
      </c>
      <c r="I130" s="1194">
        <f>IF(SETUP!$F$32="At delivery",IF(SETUP!$G$32=3,$E$128*'HIV-Other HPs'!AW19,IF(SETUP!$G$32=2,$E$128*'HIV-Other HPs'!AX19,IF(SETUP!$G$32=1,$E$128*'HIV-Other HPs'!AY19,0))),0)</f>
        <v>0</v>
      </c>
      <c r="J130" s="1193">
        <f t="shared" si="16"/>
        <v>0</v>
      </c>
      <c r="K130" s="1194">
        <f>IF(SETUP!$F$32="At delivery",IF(SETUP!$G$32=4,$E$128*'HIV-Other HPs'!AW19,IF(SETUP!$G$32=3,$E$128*'HIV-Other HPs'!AX19,IF(SETUP!$G$32=2,$E$128*'HIV-Other HPs'!AY19,IF(SETUP!$G$32=1,$E$128*'HIV-Other HPs'!AZ19,0)))),0)</f>
        <v>0</v>
      </c>
      <c r="L130" s="1194">
        <f>IF(SETUP!$F$32="At delivery",IF(SETUP!$G$32=4,$E$128*'HIV-Other HPs'!AX19,IF(SETUP!$G$32=3,$E$128*'HIV-Other HPs'!AY19,IF(SETUP!$G$32=2,$E$128*'HIV-Other HPs'!AZ19,IF(SETUP!$G$32=1,$E$128*'HIV-Other HPs'!BA19,0)))),0)</f>
        <v>0</v>
      </c>
      <c r="M130" s="1194">
        <f>IF(SETUP!$F$32="At delivery",IF(SETUP!$G$32=4,$E$128*'HIV-Other HPs'!AY19,IF(SETUP!$G$32=3,$E$128*'HIV-Other HPs'!AZ19,IF(SETUP!$G$32=2,$E$128*'HIV-Other HPs'!BA19,IF(SETUP!$G$32=1,$E$128*'HIV-Other HPs'!BB19,0)))),0)</f>
        <v>0</v>
      </c>
      <c r="N130" s="1194">
        <f>IF(SETUP!$F$32="At delivery",IF(SETUP!$G$32=4,$E$128*'HIV-Other HPs'!AZ19,IF(SETUP!$G$32=3,$E$128*'HIV-Other HPs'!BA19,IF(SETUP!$G$32=2,$E$128*'HIV-Other HPs'!BB19,IF(SETUP!$G$32=1,$E$128*'HIV-Other HPs'!BC19,0)))),0)</f>
        <v>0</v>
      </c>
      <c r="O130" s="1191">
        <f t="shared" si="17"/>
        <v>0</v>
      </c>
      <c r="P130" s="1189">
        <f>IF(SETUP!$F$32="At delivery",IF(SETUP!$G$32=4,$E$128*'HIV-Other HPs'!BA19,IF(SETUP!$G$32=3,$E$128*'HIV-Other HPs'!BB19,IF(SETUP!$G$32=2,$E$128*'HIV-Other HPs'!BC19,IF(SETUP!$G$32=1,$E$128*'HIV-Other HPs'!BD19,0)))),0)</f>
        <v>0</v>
      </c>
      <c r="Q130" s="1189">
        <f>IF(SETUP!$F$32="At delivery",IF(SETUP!$G$32=4,$E$128*'HIV-Other HPs'!BB19,IF(SETUP!$G$32=3,$E$128*'HIV-Other HPs'!BC19,IF(SETUP!$G$32=2,$E$128*'HIV-Other HPs'!BD19,IF(SETUP!$G$32=1,$E$128*'HIV-Other HPs'!BE19,0)))),0)</f>
        <v>0</v>
      </c>
      <c r="R130" s="1189">
        <f>IF(SETUP!$F$32="At delivery",IF(SETUP!$G$32=4,$E$128*'HIV-Other HPs'!BC19,IF(SETUP!$G$32=3,$E$128*'HIV-Other HPs'!BD19,IF(SETUP!$G$32=2,$E$128*'HIV-Other HPs'!BE19,IF(SETUP!$G$32=1,$E$128*'HIV-Other HPs'!BF19,0)))),0)</f>
        <v>0</v>
      </c>
      <c r="S130" s="1189">
        <f>IF(SETUP!$F$32="At delivery",IF(SETUP!$G$32=4,$E$128*('HIV-Other HPs'!BD19+'HIV-Other HPs'!BE19+'HIV-Other HPs'!BF19+'HIV-Other HPs'!BG19+'HIV-Other HPs'!BH19),IF(SETUP!$G$32=3,$E$128*('HIV-Other HPs'!BE19+'HIV-Other HPs'!BF19+'HIV-Other HPs'!BG19+'HIV-Other HPs'!BH19),IF(SETUP!$G$32=2,$E$128*('HIV-Other HPs'!BF19+'HIV-Other HPs'!BG19+'HIV-Other HPs'!BH19),IF(SETUP!$G$32=1,$E$128*('HIV-Other HPs'!BG19+'HIV-Other HPs'!BH19),0)))),0)</f>
        <v>0</v>
      </c>
      <c r="T130" s="1190">
        <f t="shared" si="18"/>
        <v>0</v>
      </c>
      <c r="U130" s="1189">
        <f t="shared" si="19"/>
        <v>0</v>
      </c>
      <c r="V130" s="1795">
        <v>7.2</v>
      </c>
      <c r="W130" s="1823"/>
      <c r="X130" s="1820"/>
    </row>
    <row r="131" spans="1:24" s="860" customFormat="1" ht="15" customHeight="1" collapsed="1" thickBot="1">
      <c r="A131" s="2899"/>
      <c r="B131" s="2900"/>
      <c r="C131" s="3043" t="s">
        <v>1795</v>
      </c>
      <c r="D131" s="3044"/>
      <c r="E131" s="1649">
        <v>0</v>
      </c>
      <c r="F131" s="1279">
        <f>IF(SETUP!$F$33="Upfront",F132,F133)</f>
        <v>0</v>
      </c>
      <c r="G131" s="1195">
        <f>IF(SETUP!$F$33="Upfront",G132,G133)</f>
        <v>0</v>
      </c>
      <c r="H131" s="1194">
        <f>IF(SETUP!$F$33="Upfront",H132,H133)</f>
        <v>0</v>
      </c>
      <c r="I131" s="1194">
        <f>IF(SETUP!$F$33="Upfront",I132,I133)</f>
        <v>0</v>
      </c>
      <c r="J131" s="1193">
        <f t="shared" si="16"/>
        <v>0</v>
      </c>
      <c r="K131" s="1194">
        <f>IF(SETUP!$F$33="Upfront",K132,K133)</f>
        <v>0</v>
      </c>
      <c r="L131" s="1194">
        <f>IF(SETUP!$F$33="Upfront",L132,L133)</f>
        <v>0</v>
      </c>
      <c r="M131" s="1194">
        <f>IF(SETUP!$F$33="Upfront",M132,M133)</f>
        <v>0</v>
      </c>
      <c r="N131" s="1194">
        <f>IF(SETUP!$F$33="Upfront",N132,N133)</f>
        <v>0</v>
      </c>
      <c r="O131" s="1191">
        <f t="shared" si="17"/>
        <v>0</v>
      </c>
      <c r="P131" s="1189">
        <f>IF(SETUP!$F$33="Upfront",P132,P133)</f>
        <v>0</v>
      </c>
      <c r="Q131" s="1189">
        <f>IF(SETUP!$F$33="Upfront",Q132,Q133)</f>
        <v>0</v>
      </c>
      <c r="R131" s="1189">
        <f>IF(SETUP!$F$33="Upfront",R132,R133)</f>
        <v>0</v>
      </c>
      <c r="S131" s="1189">
        <f>IF(SETUP!$F$33="Upfront",S132,S133)</f>
        <v>0</v>
      </c>
      <c r="T131" s="1190">
        <f t="shared" si="18"/>
        <v>0</v>
      </c>
      <c r="U131" s="1189">
        <f t="shared" si="19"/>
        <v>0</v>
      </c>
      <c r="V131" s="1795">
        <v>7.2</v>
      </c>
      <c r="W131" s="1823"/>
      <c r="X131" s="1820"/>
    </row>
    <row r="132" spans="1:24" s="860" customFormat="1" ht="15" hidden="1" customHeight="1" outlineLevel="1">
      <c r="A132" s="2899"/>
      <c r="B132" s="2900"/>
      <c r="C132" s="2977" t="s">
        <v>918</v>
      </c>
      <c r="D132" s="2984"/>
      <c r="E132" s="1649"/>
      <c r="F132" s="1279">
        <f>IF(SETUP!$F$33="Upfront",$E$131*'HIV-Other HPs'!AW20,0)</f>
        <v>0</v>
      </c>
      <c r="G132" s="1195">
        <f>IF(SETUP!$F$33="Upfront",$E$131*'HIV-Other HPs'!AX20,0)</f>
        <v>0</v>
      </c>
      <c r="H132" s="1194">
        <f>IF(SETUP!$F$33="Upfront",$E$131*'HIV-Other HPs'!AY20,0)</f>
        <v>0</v>
      </c>
      <c r="I132" s="1194">
        <f>IF(SETUP!$F$33="Upfront",$E$131*'HIV-Other HPs'!AZ20,0)</f>
        <v>0</v>
      </c>
      <c r="J132" s="1193">
        <f t="shared" si="16"/>
        <v>0</v>
      </c>
      <c r="K132" s="1194">
        <f>IF(SETUP!$F$33="Upfront",$E$131*'HIV-Other HPs'!BA20,0)</f>
        <v>0</v>
      </c>
      <c r="L132" s="1194">
        <f>IF(SETUP!$F$33="Upfront",$E$131*'HIV-Other HPs'!BB20,0)</f>
        <v>0</v>
      </c>
      <c r="M132" s="1194">
        <f>IF(SETUP!$F$33="Upfront",$E$131*'HIV-Other HPs'!BC20,0)</f>
        <v>0</v>
      </c>
      <c r="N132" s="1194">
        <f>IF(SETUP!$F$33="Upfront",$E$131*'HIV-Other HPs'!BD20,0)</f>
        <v>0</v>
      </c>
      <c r="O132" s="1191">
        <f t="shared" si="17"/>
        <v>0</v>
      </c>
      <c r="P132" s="1189">
        <f>IF(SETUP!$F$33="Upfront",$E$131*'HIV-Other HPs'!BE20,0)</f>
        <v>0</v>
      </c>
      <c r="Q132" s="1189">
        <f>IF(SETUP!$F$33="Upfront",$E$131*'HIV-Other HPs'!BF20,0)</f>
        <v>0</v>
      </c>
      <c r="R132" s="1189">
        <f>IF(SETUP!$F$33="Upfront",$E$131*'HIV-Other HPs'!BG20,0)</f>
        <v>0</v>
      </c>
      <c r="S132" s="1189">
        <f>IF(SETUP!$F$33="Upfront",$E$131*'HIV-Other HPs'!BH20,0)</f>
        <v>0</v>
      </c>
      <c r="T132" s="1190">
        <f t="shared" si="18"/>
        <v>0</v>
      </c>
      <c r="U132" s="1189">
        <f t="shared" si="19"/>
        <v>0</v>
      </c>
      <c r="V132" s="1795">
        <v>7.2</v>
      </c>
      <c r="W132" s="1823"/>
      <c r="X132" s="1820"/>
    </row>
    <row r="133" spans="1:24" s="860" customFormat="1" ht="15" hidden="1" customHeight="1" outlineLevel="1">
      <c r="A133" s="2901"/>
      <c r="B133" s="2902"/>
      <c r="C133" s="2960" t="s">
        <v>36</v>
      </c>
      <c r="D133" s="3002"/>
      <c r="E133" s="1649"/>
      <c r="F133" s="1279">
        <v>0</v>
      </c>
      <c r="G133" s="1195">
        <f>IF(SETUP!$F$33="At delivery",IF(SETUP!$G$33=1,$E$131*'HIV-Other HPs'!AW20,0),0)</f>
        <v>0</v>
      </c>
      <c r="H133" s="1194">
        <f>IF(SETUP!$F$33="At delivery",IF(SETUP!$G$33=2,$E$131*'HIV-Other HPs'!AW20,IF(SETUP!$G$33=1,$E$131*'HIV-Other HPs'!AX20,0)),0)</f>
        <v>0</v>
      </c>
      <c r="I133" s="1194">
        <f>IF(SETUP!$F$33="At delivery",IF(SETUP!$G$33=3,$E$131*'HIV-Other HPs'!AW20,IF(SETUP!$G$33=2,$E$131*'HIV-Other HPs'!AX20,IF(SETUP!$G$33=1,$E$131*'HIV-Other HPs'!AY20,0))),0)</f>
        <v>0</v>
      </c>
      <c r="J133" s="1193">
        <f t="shared" si="16"/>
        <v>0</v>
      </c>
      <c r="K133" s="1194">
        <f>IF(SETUP!$F$33="At delivery",IF(SETUP!$G$33=4,$E$131*'HIV-Other HPs'!AW20,IF(SETUP!$G$33=3,$E$131*'HIV-Other HPs'!AX20,IF(SETUP!$G$33=2,$E$131*'HIV-Other HPs'!AY20,IF(SETUP!$G$33=1,$E$131*'HIV-Other HPs'!AZ20,0)))),0)</f>
        <v>0</v>
      </c>
      <c r="L133" s="1194">
        <f>IF(SETUP!$F$33="At delivery",IF(SETUP!$G$33=4,$E$131*'HIV-Other HPs'!AX20,IF(SETUP!$G$33=3,$E$131*'HIV-Other HPs'!AY20,IF(SETUP!$G$33=2,$E$131*'HIV-Other HPs'!AZ20,IF(SETUP!$G$33=1,$E$131*'HIV-Other HPs'!BA20,0)))),0)</f>
        <v>0</v>
      </c>
      <c r="M133" s="1194">
        <f>IF(SETUP!$F$33="At delivery",IF(SETUP!$G$33=4,$E$131*'HIV-Other HPs'!AY20,IF(SETUP!$G$33=3,$E$131*'HIV-Other HPs'!AZ20,IF(SETUP!$G$33=2,$E$131*'HIV-Other HPs'!BA20,IF(SETUP!$G$33=1,$E$131*'HIV-Other HPs'!BB20,0)))),0)</f>
        <v>0</v>
      </c>
      <c r="N133" s="1194">
        <f>IF(SETUP!$F$33="At delivery",IF(SETUP!$G$33=4,$E$131*'HIV-Other HPs'!AZ20,IF(SETUP!$G$33=3,$E$131*'HIV-Other HPs'!BA20,IF(SETUP!$G$33=2,$E$131*'HIV-Other HPs'!BB20,IF(SETUP!$G$33=1,$E$131*'HIV-Other HPs'!BC20,0)))),0)</f>
        <v>0</v>
      </c>
      <c r="O133" s="1191">
        <f t="shared" si="17"/>
        <v>0</v>
      </c>
      <c r="P133" s="1189">
        <f>IF(SETUP!$F$33="At delivery",IF(SETUP!$G$33=4,$E$131*'HIV-Other HPs'!BA20,IF(SETUP!$G$33=3,$E$131*'HIV-Other HPs'!BB20,IF(SETUP!$G$33=2,$E$131*'HIV-Other HPs'!BC20,IF(SETUP!$G$33=1,$E$131*'HIV-Other HPs'!BD20,0)))),0)</f>
        <v>0</v>
      </c>
      <c r="Q133" s="1189">
        <f>IF(SETUP!$F$33="At delivery",IF(SETUP!$G$33=4,$E$131*'HIV-Other HPs'!BB20,IF(SETUP!$G$33=3,$E$131*'HIV-Other HPs'!BC20,IF(SETUP!$G$33=2,$E$131*'HIV-Other HPs'!BD20,IF(SETUP!$G$33=1,$E$131*'HIV-Other HPs'!BE20,0)))),0)</f>
        <v>0</v>
      </c>
      <c r="R133" s="1189">
        <f>IF(SETUP!$F$33="At delivery",IF(SETUP!$G$33=4,$E$131*'HIV-Other HPs'!BC20,IF(SETUP!$G$33=3,$E$131*'HIV-Other HPs'!BD20,IF(SETUP!$G$33=2,$E$131*'HIV-Other HPs'!BE20,IF(SETUP!$G$33=1,$E$131*'HIV-Other HPs'!BF20,0)))),0)</f>
        <v>0</v>
      </c>
      <c r="S133" s="1189">
        <f>IF(SETUP!$F$33="At delivery",IF(SETUP!$G$33=4,$E$131*('HIV-Other HPs'!BD20+'HIV-Other HPs'!BE20+'HIV-Other HPs'!BF20+'HIV-Other HPs'!BG20+'HIV-Other HPs'!BH20),IF(SETUP!$G$33=3,$E$131*('HIV-Other HPs'!BE20+'HIV-Other HPs'!BF20+'HIV-Other HPs'!BG20+'HIV-Other HPs'!BH20),IF(SETUP!$G$33=2,$E$131*('HIV-Other HPs'!BF20+'HIV-Other HPs'!BG20+'HIV-Other HPs'!BH20),IF(SETUP!$G$33=1,$E$131*('HIV-Other HPs'!BG20+'HIV-Other HPs'!BH20),0)))),0)</f>
        <v>0</v>
      </c>
      <c r="T133" s="1190">
        <f t="shared" si="18"/>
        <v>0</v>
      </c>
      <c r="U133" s="1189">
        <f t="shared" si="19"/>
        <v>0</v>
      </c>
      <c r="V133" s="1795">
        <v>7.2</v>
      </c>
      <c r="W133" s="1823"/>
      <c r="X133" s="1820"/>
    </row>
    <row r="134" spans="1:24" s="860" customFormat="1" ht="15" hidden="1" customHeight="1" collapsed="1">
      <c r="A134" s="2903" t="s">
        <v>569</v>
      </c>
      <c r="B134" s="2904"/>
      <c r="C134" s="3003" t="s">
        <v>570</v>
      </c>
      <c r="D134" s="3004"/>
      <c r="E134" s="1649">
        <v>0</v>
      </c>
      <c r="F134" s="1279">
        <f>IF(SETUP!$F$36="Upfront",F135,F136)</f>
        <v>0</v>
      </c>
      <c r="G134" s="1195">
        <f>IF(SETUP!$F$36="Upfront",G135,G136)</f>
        <v>0</v>
      </c>
      <c r="H134" s="1194">
        <f>IF(SETUP!$F$36="Upfront",H135,H136)</f>
        <v>0</v>
      </c>
      <c r="I134" s="1194">
        <f>IF(SETUP!$F$36="Upfront",I135,I136)</f>
        <v>0</v>
      </c>
      <c r="J134" s="1193">
        <f t="shared" si="16"/>
        <v>0</v>
      </c>
      <c r="K134" s="1189">
        <f>IF(SETUP!$F$36="Upfront",K135,K136)</f>
        <v>0</v>
      </c>
      <c r="L134" s="1195">
        <f>IF(SETUP!$F$36="Upfront",L135,L136)</f>
        <v>0</v>
      </c>
      <c r="M134" s="1194">
        <f>IF(SETUP!$F$36="Upfront",M135,M136)</f>
        <v>0</v>
      </c>
      <c r="N134" s="1194">
        <f>IF(SETUP!$F$36="Upfront",N135,N136)</f>
        <v>0</v>
      </c>
      <c r="O134" s="1191">
        <f t="shared" si="17"/>
        <v>0</v>
      </c>
      <c r="P134" s="1189">
        <f>IF(SETUP!$F$36="Upfront",P135,P136)</f>
        <v>0</v>
      </c>
      <c r="Q134" s="1195">
        <f>IF(SETUP!$F$36="Upfront",Q135,Q136)</f>
        <v>0</v>
      </c>
      <c r="R134" s="1194">
        <f>IF(SETUP!$F$36="Upfront",R135,R136)</f>
        <v>0</v>
      </c>
      <c r="S134" s="1194">
        <f>IF(SETUP!$F$36="Upfront",S135,S136)</f>
        <v>0</v>
      </c>
      <c r="T134" s="1190">
        <f t="shared" si="18"/>
        <v>0</v>
      </c>
      <c r="U134" s="1189">
        <f t="shared" si="19"/>
        <v>0</v>
      </c>
      <c r="V134" s="1795">
        <v>7.2</v>
      </c>
      <c r="W134" s="1823"/>
      <c r="X134" s="1820"/>
    </row>
    <row r="135" spans="1:24" s="860" customFormat="1" ht="15" hidden="1" customHeight="1" outlineLevel="1">
      <c r="A135" s="2905"/>
      <c r="B135" s="2906"/>
      <c r="C135" s="2889" t="s">
        <v>918</v>
      </c>
      <c r="D135" s="2912"/>
      <c r="E135" s="1649"/>
      <c r="F135" s="1279">
        <f>IF(SETUP!$F$36="Upfront",$E$134*'TB-Pharmaceuticals'!AW14,0)</f>
        <v>0</v>
      </c>
      <c r="G135" s="1189">
        <f>IF(SETUP!$F$36="Upfront",$E$134*'TB-Pharmaceuticals'!AX14,0)</f>
        <v>0</v>
      </c>
      <c r="H135" s="1189">
        <f>IF(SETUP!$F$36="Upfront",$E$134*'TB-Pharmaceuticals'!AY14,0)</f>
        <v>0</v>
      </c>
      <c r="I135" s="1189">
        <f>IF(SETUP!$F$36="Upfront",$E$134*'TB-Pharmaceuticals'!AZ14,0)</f>
        <v>0</v>
      </c>
      <c r="J135" s="1193">
        <f t="shared" si="16"/>
        <v>0</v>
      </c>
      <c r="K135" s="1189">
        <f>IF(SETUP!$F$36="Upfront",$E$134*'TB-Pharmaceuticals'!BA14,0)</f>
        <v>0</v>
      </c>
      <c r="L135" s="1189">
        <f>IF(SETUP!$F$36="Upfront",$E$134*'TB-Pharmaceuticals'!BB14,0)</f>
        <v>0</v>
      </c>
      <c r="M135" s="1189">
        <f>IF(SETUP!$F$36="Upfront",$E$134*'TB-Pharmaceuticals'!BC14,0)</f>
        <v>0</v>
      </c>
      <c r="N135" s="1189">
        <f>IF(SETUP!$F$36="Upfront",$E$134*'TB-Pharmaceuticals'!BD14,0)</f>
        <v>0</v>
      </c>
      <c r="O135" s="1191">
        <f t="shared" si="17"/>
        <v>0</v>
      </c>
      <c r="P135" s="1189">
        <f>IF(SETUP!$F$36="Upfront",$E$134*'TB-Pharmaceuticals'!BE14,0)</f>
        <v>0</v>
      </c>
      <c r="Q135" s="1189">
        <f>IF(SETUP!$F$36="Upfront",$E$134*'TB-Pharmaceuticals'!BF14,0)</f>
        <v>0</v>
      </c>
      <c r="R135" s="1189">
        <f>IF(SETUP!$F$36="Upfront",$E$134*'TB-Pharmaceuticals'!BG14,0)</f>
        <v>0</v>
      </c>
      <c r="S135" s="1189">
        <f>IF(SETUP!$F$36="Upfront",$E$134*'TB-Pharmaceuticals'!BH14,0)</f>
        <v>0</v>
      </c>
      <c r="T135" s="1190">
        <f t="shared" si="18"/>
        <v>0</v>
      </c>
      <c r="U135" s="1189">
        <f t="shared" si="19"/>
        <v>0</v>
      </c>
      <c r="V135" s="1795">
        <v>7.2</v>
      </c>
      <c r="W135" s="1823"/>
      <c r="X135" s="1820"/>
    </row>
    <row r="136" spans="1:24" s="860" customFormat="1" ht="15" hidden="1" customHeight="1" outlineLevel="1">
      <c r="A136" s="2905"/>
      <c r="B136" s="2906"/>
      <c r="C136" s="2889" t="s">
        <v>36</v>
      </c>
      <c r="D136" s="2912"/>
      <c r="E136" s="1649"/>
      <c r="F136" s="1279">
        <v>0</v>
      </c>
      <c r="G136" s="1195">
        <f>IF(SETUP!$F$36="At delivery",IF(SETUP!$G$36=1,$E$134*'TB-Pharmaceuticals'!AW14,0),0)</f>
        <v>0</v>
      </c>
      <c r="H136" s="1194">
        <f>IF(SETUP!$F$36="At delivery",IF(SETUP!$G$36=2,$E$134*'TB-Pharmaceuticals'!AW14,IF(SETUP!$G$36=1,$E$134*'TB-Pharmaceuticals'!AX14,0)),0)</f>
        <v>0</v>
      </c>
      <c r="I136" s="1194">
        <f>IF(SETUP!$F$36="At delivery",IF(SETUP!$G$36=3,$E$134*'TB-Pharmaceuticals'!AW14,IF(SETUP!$G$36=2,$E$134*'TB-Pharmaceuticals'!AX14,IF(SETUP!$G$36=1,$E$134*'TB-Pharmaceuticals'!AY14,0))),0)</f>
        <v>0</v>
      </c>
      <c r="J136" s="1193">
        <f t="shared" si="16"/>
        <v>0</v>
      </c>
      <c r="K136" s="1194">
        <f>IF(SETUP!$F$36="At delivery",IF(SETUP!$G$36=4,$E$134*'TB-Pharmaceuticals'!AW14,IF(SETUP!$G$36=3,$E$134*'TB-Pharmaceuticals'!AX14,IF(SETUP!$G$36=2,$E$134*'TB-Pharmaceuticals'!AY14,IF(SETUP!$G$36=1,$E$134*'TB-Pharmaceuticals'!AZ14,0)))),0)</f>
        <v>0</v>
      </c>
      <c r="L136" s="1194">
        <f>IF(SETUP!$F$36="At delivery",IF(SETUP!$G$36=4,$E$134*'TB-Pharmaceuticals'!AX14,IF(SETUP!$G$36=3,$E$134*'TB-Pharmaceuticals'!AY14,IF(SETUP!$G$36=2,$E$134*'TB-Pharmaceuticals'!AZ14,IF(SETUP!$G$36=1,$E$134*'TB-Pharmaceuticals'!BA14,0)))),0)</f>
        <v>0</v>
      </c>
      <c r="M136" s="1194">
        <f>IF(SETUP!$F$36="At delivery",IF(SETUP!$G$36=4,$E$134*'TB-Pharmaceuticals'!AY14,IF(SETUP!$G$36=3,$E$134*'TB-Pharmaceuticals'!AZ14,IF(SETUP!$G$36=2,$E$134*'TB-Pharmaceuticals'!BA14,IF(SETUP!$G$36=1,$E$134*'TB-Pharmaceuticals'!BB14,0)))),0)</f>
        <v>0</v>
      </c>
      <c r="N136" s="1194">
        <f>IF(SETUP!$F$36="At delivery",IF(SETUP!$G$36=4,$E$134*'TB-Pharmaceuticals'!AZ14,IF(SETUP!$G$36=3,$E$134*'TB-Pharmaceuticals'!BA14,IF(SETUP!$G$36=2,$E$134*'TB-Pharmaceuticals'!BB14,IF(SETUP!$G$36=1,$E$134*'TB-Pharmaceuticals'!BC14,0)))),0)</f>
        <v>0</v>
      </c>
      <c r="O136" s="1191">
        <f t="shared" si="17"/>
        <v>0</v>
      </c>
      <c r="P136" s="1189">
        <f>IF(SETUP!$F$36="At delivery",IF(SETUP!$G$36=4,$E$134*'TB-Pharmaceuticals'!BA14,IF(SETUP!$G$36=3,$E$134*'TB-Pharmaceuticals'!BB14,IF(SETUP!$G$36=2,$E$134*'TB-Pharmaceuticals'!BC14,IF(SETUP!$G$36=1,$E$134*'TB-Pharmaceuticals'!BD14,0)))),0)</f>
        <v>0</v>
      </c>
      <c r="Q136" s="1189">
        <f>IF(SETUP!$F$36="At delivery",IF(SETUP!$G$36=4,$E$134*'TB-Pharmaceuticals'!BB14,IF(SETUP!$G$36=3,$E$134*'TB-Pharmaceuticals'!BC14,IF(SETUP!$G$36=2,$E$134*'TB-Pharmaceuticals'!BD14,IF(SETUP!$G$36=1,$E$134*'TB-Pharmaceuticals'!BE14,0)))),0)</f>
        <v>0</v>
      </c>
      <c r="R136" s="1189">
        <f>IF(SETUP!$F$36="At delivery",IF(SETUP!$G$36=4,$E$134*'TB-Pharmaceuticals'!BC14,IF(SETUP!$G$36=3,$E$134*'TB-Pharmaceuticals'!BD14,IF(SETUP!$G$36=2,$E$134*'TB-Pharmaceuticals'!BE14,IF(SETUP!$G$36=1,$E$134*'TB-Pharmaceuticals'!BF14,0)))),0)</f>
        <v>0</v>
      </c>
      <c r="S136" s="1189">
        <f>IF(SETUP!$F$36="At delivery",IF(SETUP!$G$36=4,$E$134*('TB-Pharmaceuticals'!BD14+'TB-Pharmaceuticals'!BE14+'TB-Pharmaceuticals'!BF14+'TB-Pharmaceuticals'!BG14+'TB-Pharmaceuticals'!BH14),IF(SETUP!$G$36=3,$E$134*('TB-Pharmaceuticals'!BE14+'TB-Pharmaceuticals'!BF14+'TB-Pharmaceuticals'!BG14+'TB-Pharmaceuticals'!BH14),IF(SETUP!$G$36=2,$E$134*('TB-Pharmaceuticals'!BF14+'TB-Pharmaceuticals'!BG14+'TB-Pharmaceuticals'!BH14),IF(SETUP!$G$36=1,$E$134*('TB-Pharmaceuticals'!BG14+'TB-Pharmaceuticals'!BH14),0)))),0)</f>
        <v>0</v>
      </c>
      <c r="T136" s="1190">
        <f t="shared" si="18"/>
        <v>0</v>
      </c>
      <c r="U136" s="1189">
        <f t="shared" si="19"/>
        <v>0</v>
      </c>
      <c r="V136" s="1795">
        <v>7.2</v>
      </c>
      <c r="W136" s="1823"/>
      <c r="X136" s="1820"/>
    </row>
    <row r="137" spans="1:24" s="860" customFormat="1" ht="15" hidden="1" customHeight="1" collapsed="1">
      <c r="A137" s="2905"/>
      <c r="B137" s="2906"/>
      <c r="C137" s="2907" t="s">
        <v>571</v>
      </c>
      <c r="D137" s="2911"/>
      <c r="E137" s="1649">
        <v>0</v>
      </c>
      <c r="F137" s="1279">
        <f>IF(SETUP!$F$38="Upfront",F138,F139)</f>
        <v>0</v>
      </c>
      <c r="G137" s="1195">
        <f>IF(SETUP!$F$38="Upfront",G138,G139)</f>
        <v>0</v>
      </c>
      <c r="H137" s="1194">
        <f>IF(SETUP!$F$38="Upfront",H138,H139)</f>
        <v>0</v>
      </c>
      <c r="I137" s="1194">
        <f>IF(SETUP!$F$38="Upfront",I138,I139)</f>
        <v>0</v>
      </c>
      <c r="J137" s="1193">
        <f t="shared" si="16"/>
        <v>0</v>
      </c>
      <c r="K137" s="1194">
        <f>IF(SETUP!$F$38="Upfront",K138,K139)</f>
        <v>0</v>
      </c>
      <c r="L137" s="1194">
        <f>IF(SETUP!$F$38="Upfront",L138,L139)</f>
        <v>0</v>
      </c>
      <c r="M137" s="1194">
        <f>IF(SETUP!$F$38="Upfront",M138,M139)</f>
        <v>0</v>
      </c>
      <c r="N137" s="1194">
        <f>IF(SETUP!$F$38="Upfront",N138,N139)</f>
        <v>0</v>
      </c>
      <c r="O137" s="1191">
        <f t="shared" si="17"/>
        <v>0</v>
      </c>
      <c r="P137" s="1189">
        <f>IF(SETUP!$F$38="Upfront",P138,P139)</f>
        <v>0</v>
      </c>
      <c r="Q137" s="1189">
        <f>IF(SETUP!$F$38="Upfront",Q138,Q139)</f>
        <v>0</v>
      </c>
      <c r="R137" s="1189">
        <f>IF(SETUP!$F$38="Upfront",R138,R139)</f>
        <v>0</v>
      </c>
      <c r="S137" s="1189">
        <f>IF(SETUP!$F$38="Upfront",S138,S139)</f>
        <v>0</v>
      </c>
      <c r="T137" s="1190">
        <f t="shared" si="18"/>
        <v>0</v>
      </c>
      <c r="U137" s="1189">
        <f t="shared" si="19"/>
        <v>0</v>
      </c>
      <c r="V137" s="1795">
        <v>7.2</v>
      </c>
      <c r="W137" s="1823"/>
      <c r="X137" s="1820"/>
    </row>
    <row r="138" spans="1:24" s="860" customFormat="1" ht="15" hidden="1" customHeight="1" outlineLevel="1">
      <c r="A138" s="2905"/>
      <c r="B138" s="2906"/>
      <c r="C138" s="2889" t="s">
        <v>918</v>
      </c>
      <c r="D138" s="2912"/>
      <c r="E138" s="1649"/>
      <c r="F138" s="1279">
        <f>IF(SETUP!$F$38="Upfront",$E$137*'TB-Pharmaceuticals'!AW15,0)</f>
        <v>0</v>
      </c>
      <c r="G138" s="1195">
        <f>IF(SETUP!$F$38="Upfront",$E$137*'TB-Pharmaceuticals'!AX15,0)</f>
        <v>0</v>
      </c>
      <c r="H138" s="1194">
        <f>IF(SETUP!$F$38="Upfront",$E$137*'TB-Pharmaceuticals'!AY15,0)</f>
        <v>0</v>
      </c>
      <c r="I138" s="1194">
        <f>IF(SETUP!$F$38="Upfront",$E$137*'TB-Pharmaceuticals'!AZ15,0)</f>
        <v>0</v>
      </c>
      <c r="J138" s="1193">
        <f t="shared" si="16"/>
        <v>0</v>
      </c>
      <c r="K138" s="1194">
        <f>IF(SETUP!$F$38="Upfront",$E$137*'TB-Pharmaceuticals'!BA15,0)</f>
        <v>0</v>
      </c>
      <c r="L138" s="1194">
        <f>IF(SETUP!$F$38="Upfront",$E$137*'TB-Pharmaceuticals'!BB15,0)</f>
        <v>0</v>
      </c>
      <c r="M138" s="1194">
        <f>IF(SETUP!$F$38="Upfront",$E$137*'TB-Pharmaceuticals'!BC15,0)</f>
        <v>0</v>
      </c>
      <c r="N138" s="1194">
        <f>IF(SETUP!$F$38="Upfront",$E$137*'TB-Pharmaceuticals'!BD15,0)</f>
        <v>0</v>
      </c>
      <c r="O138" s="1191">
        <f t="shared" si="17"/>
        <v>0</v>
      </c>
      <c r="P138" s="1189">
        <f>IF(SETUP!$F$38="Upfront",$E$137*'TB-Pharmaceuticals'!BE15,0)</f>
        <v>0</v>
      </c>
      <c r="Q138" s="1189">
        <f>IF(SETUP!$F$38="Upfront",$E$137*'TB-Pharmaceuticals'!BF15,0)</f>
        <v>0</v>
      </c>
      <c r="R138" s="1189">
        <f>IF(SETUP!$F$38="Upfront",$E$137*'TB-Pharmaceuticals'!BG15,0)</f>
        <v>0</v>
      </c>
      <c r="S138" s="1189">
        <f>IF(SETUP!$F$38="Upfront",$E$137*'TB-Pharmaceuticals'!BH15,0)</f>
        <v>0</v>
      </c>
      <c r="T138" s="1190">
        <f t="shared" si="18"/>
        <v>0</v>
      </c>
      <c r="U138" s="1189">
        <f t="shared" si="19"/>
        <v>0</v>
      </c>
      <c r="V138" s="1795">
        <v>7.2</v>
      </c>
      <c r="W138" s="1823"/>
      <c r="X138" s="1820"/>
    </row>
    <row r="139" spans="1:24" s="860" customFormat="1" ht="15" hidden="1" customHeight="1" outlineLevel="1">
      <c r="A139" s="2905"/>
      <c r="B139" s="2906"/>
      <c r="C139" s="2889" t="s">
        <v>36</v>
      </c>
      <c r="D139" s="2912"/>
      <c r="E139" s="1649"/>
      <c r="F139" s="1279">
        <v>0</v>
      </c>
      <c r="G139" s="1195">
        <f>IF(SETUP!$F$38="At delivery",IF(SETUP!$G$38=1,$E$137*'TB-Pharmaceuticals'!AW15,0),0)</f>
        <v>0</v>
      </c>
      <c r="H139" s="1194">
        <f>IF(SETUP!$F$38="At delivery",IF(SETUP!$G$38=2,$E$137*'TB-Pharmaceuticals'!AW15,IF(SETUP!$G$38=1,$E$137*'TB-Pharmaceuticals'!AX15,0)),0)</f>
        <v>0</v>
      </c>
      <c r="I139" s="1194">
        <f>IF(SETUP!$F$38="At delivery",IF(SETUP!$G$38=3,$E$137*'TB-Pharmaceuticals'!AW15,IF(SETUP!$G$38=2,$E$137*'TB-Pharmaceuticals'!AX15,IF(SETUP!$G$38=1,$E$137*'TB-Pharmaceuticals'!AY15,0))),0)</f>
        <v>0</v>
      </c>
      <c r="J139" s="1193">
        <f t="shared" si="16"/>
        <v>0</v>
      </c>
      <c r="K139" s="1194">
        <f>IF(SETUP!$F$38="At delivery",IF(SETUP!$G$38=4,$E$137*'TB-Pharmaceuticals'!AW15,IF(SETUP!$G$38=3,$E$137*'TB-Pharmaceuticals'!AX15,IF(SETUP!$G$38=2,$E$137*'TB-Pharmaceuticals'!AY15,IF(SETUP!$G$38=1,$E$137*'TB-Pharmaceuticals'!AZ15,0)))),0)</f>
        <v>0</v>
      </c>
      <c r="L139" s="1194">
        <f>IF(SETUP!$F$38="At delivery",IF(SETUP!$G$38=4,$E$137*'TB-Pharmaceuticals'!AX15,IF(SETUP!$G$38=3,$E$137*'TB-Pharmaceuticals'!AY15,IF(SETUP!$G$38=2,$E$137*'TB-Pharmaceuticals'!AZ15,IF(SETUP!$G$38=1,$E$137*'TB-Pharmaceuticals'!BA15,0)))),0)</f>
        <v>0</v>
      </c>
      <c r="M139" s="1194">
        <f>IF(SETUP!$F$38="At delivery",IF(SETUP!$G$38=4,$E$137*'TB-Pharmaceuticals'!AY15,IF(SETUP!$G$38=3,$E$137*'TB-Pharmaceuticals'!AZ15,IF(SETUP!$G$38=2,$E$137*'TB-Pharmaceuticals'!BA15,IF(SETUP!$G$38=1,$E$137*'TB-Pharmaceuticals'!BB15,0)))),0)</f>
        <v>0</v>
      </c>
      <c r="N139" s="1194">
        <f>IF(SETUP!$F$38="At delivery",IF(SETUP!$G$38=4,$E$137*'TB-Pharmaceuticals'!AZ15,IF(SETUP!$G$38=3,$E$137*'TB-Pharmaceuticals'!BA15,IF(SETUP!$G$38=2,$E$137*'TB-Pharmaceuticals'!BB15,IF(SETUP!$G$38=1,$E$137*'TB-Pharmaceuticals'!BC15,0)))),0)</f>
        <v>0</v>
      </c>
      <c r="O139" s="1191">
        <f t="shared" si="17"/>
        <v>0</v>
      </c>
      <c r="P139" s="1189">
        <f>IF(SETUP!$F$38="At delivery",IF(SETUP!$G$38=4,$E$137*'TB-Pharmaceuticals'!BA15,IF(SETUP!$G$38=3,$E$137*'TB-Pharmaceuticals'!BB15,IF(SETUP!$G$38=2,$E$137*'TB-Pharmaceuticals'!BC15,IF(SETUP!$G$38=1,$E$137*'TB-Pharmaceuticals'!BD15,0)))),0)</f>
        <v>0</v>
      </c>
      <c r="Q139" s="1189">
        <f>IF(SETUP!$F$38="At delivery",IF(SETUP!$G$38=4,$E$137*'TB-Pharmaceuticals'!BB15,IF(SETUP!$G$38=3,$E$137*'TB-Pharmaceuticals'!BC15,IF(SETUP!$G$38=2,$E$137*'TB-Pharmaceuticals'!BD15,IF(SETUP!$G$38=1,$E$137*'TB-Pharmaceuticals'!BE15,0)))),0)</f>
        <v>0</v>
      </c>
      <c r="R139" s="1189">
        <f>IF(SETUP!$F$38="At delivery",IF(SETUP!$G$38=4,$E$137*'TB-Pharmaceuticals'!BC15,IF(SETUP!$G$38=3,$E$137*'TB-Pharmaceuticals'!BD15,IF(SETUP!$G$38=2,$E$137*'TB-Pharmaceuticals'!BE15,IF(SETUP!$G$38=1,$E$137*'TB-Pharmaceuticals'!BF15,0)))),0)</f>
        <v>0</v>
      </c>
      <c r="S139" s="1189">
        <f>IF(SETUP!$F$38="At delivery",IF(SETUP!$G$38=4,$E$137*('TB-Pharmaceuticals'!BD15+'TB-Pharmaceuticals'!BE15+'TB-Pharmaceuticals'!BF15+'TB-Pharmaceuticals'!BG15+'TB-Pharmaceuticals'!BH15),IF(SETUP!$G$38=3,$E$137*('TB-Pharmaceuticals'!BE15+'TB-Pharmaceuticals'!BF15+'TB-Pharmaceuticals'!BG15+'TB-Pharmaceuticals'!BH15),IF(SETUP!$G$38=2,$E$137*('TB-Pharmaceuticals'!BF15+'TB-Pharmaceuticals'!BG15+'TB-Pharmaceuticals'!BH15),IF(SETUP!$G$38=1,$E$137*('TB-Pharmaceuticals'!BG15+'TB-Pharmaceuticals'!BH15),0)))),0)</f>
        <v>0</v>
      </c>
      <c r="T139" s="1190">
        <f t="shared" si="18"/>
        <v>0</v>
      </c>
      <c r="U139" s="1189">
        <f t="shared" si="19"/>
        <v>0</v>
      </c>
      <c r="V139" s="1795">
        <v>7.2</v>
      </c>
      <c r="W139" s="1823"/>
      <c r="X139" s="1820"/>
    </row>
    <row r="140" spans="1:24" s="860" customFormat="1" ht="15" hidden="1" customHeight="1" collapsed="1">
      <c r="A140" s="2905"/>
      <c r="B140" s="2906"/>
      <c r="C140" s="2907" t="s">
        <v>1792</v>
      </c>
      <c r="D140" s="2911"/>
      <c r="E140" s="1649">
        <v>0</v>
      </c>
      <c r="F140" s="1279">
        <f>IF(SETUP!$F$39="Upfront",F141,F142)</f>
        <v>0</v>
      </c>
      <c r="G140" s="1195">
        <f>IF(SETUP!$F$39="Upfront",G141,G142)</f>
        <v>0</v>
      </c>
      <c r="H140" s="1194">
        <f>IF(SETUP!$F$39="Upfront",H141,H142)</f>
        <v>0</v>
      </c>
      <c r="I140" s="1194">
        <f>IF(SETUP!$F$39="Upfront",I141,I142)</f>
        <v>0</v>
      </c>
      <c r="J140" s="1193">
        <f t="shared" si="16"/>
        <v>0</v>
      </c>
      <c r="K140" s="1194">
        <f>IF(SETUP!$F$39="Upfront",K141,K142)</f>
        <v>0</v>
      </c>
      <c r="L140" s="1194">
        <f>IF(SETUP!$F$39="Upfront",L141,L142)</f>
        <v>0</v>
      </c>
      <c r="M140" s="1194">
        <f>IF(SETUP!$F$39="Upfront",M141,M142)</f>
        <v>0</v>
      </c>
      <c r="N140" s="1194">
        <f>IF(SETUP!$F$39="Upfront",N141,N142)</f>
        <v>0</v>
      </c>
      <c r="O140" s="1191">
        <f t="shared" si="17"/>
        <v>0</v>
      </c>
      <c r="P140" s="1189">
        <f>IF(SETUP!$F$39="Upfront",P141,P142)</f>
        <v>0</v>
      </c>
      <c r="Q140" s="1189">
        <f>IF(SETUP!$F$39="Upfront",Q141,Q142)</f>
        <v>0</v>
      </c>
      <c r="R140" s="1189">
        <f>IF(SETUP!$F$39="Upfront",R141,R142)</f>
        <v>0</v>
      </c>
      <c r="S140" s="1189">
        <f>IF(SETUP!$F$39="Upfront",S141,S142)</f>
        <v>0</v>
      </c>
      <c r="T140" s="1190">
        <f t="shared" si="18"/>
        <v>0</v>
      </c>
      <c r="U140" s="1189">
        <f t="shared" si="19"/>
        <v>0</v>
      </c>
      <c r="V140" s="1795">
        <v>7.2</v>
      </c>
      <c r="W140" s="1823"/>
      <c r="X140" s="1820"/>
    </row>
    <row r="141" spans="1:24" s="860" customFormat="1" ht="15" hidden="1" customHeight="1" outlineLevel="1">
      <c r="A141" s="2905"/>
      <c r="B141" s="2906"/>
      <c r="C141" s="2889" t="s">
        <v>918</v>
      </c>
      <c r="D141" s="2912"/>
      <c r="E141" s="1649"/>
      <c r="F141" s="1279">
        <f>IF(SETUP!$F$39="Upfront",$E$140*'TB-Pharmaceuticals'!AW16,0)</f>
        <v>0</v>
      </c>
      <c r="G141" s="1195">
        <f>IF(SETUP!$F$39="Upfront",$E$140*'TB-Pharmaceuticals'!AX16,0)</f>
        <v>0</v>
      </c>
      <c r="H141" s="1194">
        <f>IF(SETUP!$F$39="Upfront",$E$140*'TB-Pharmaceuticals'!AY16,0)</f>
        <v>0</v>
      </c>
      <c r="I141" s="1194">
        <f>IF(SETUP!$F$39="Upfront",$E$140*'TB-Pharmaceuticals'!AZ16,0)</f>
        <v>0</v>
      </c>
      <c r="J141" s="1193">
        <f t="shared" si="16"/>
        <v>0</v>
      </c>
      <c r="K141" s="1194">
        <f>IF(SETUP!$F$39="Upfront",$E$140*'TB-Pharmaceuticals'!BA16,0)</f>
        <v>0</v>
      </c>
      <c r="L141" s="1194">
        <f>IF(SETUP!$F$39="Upfront",$E$140*'TB-Pharmaceuticals'!BB16,0)</f>
        <v>0</v>
      </c>
      <c r="M141" s="1194">
        <f>IF(SETUP!$F$39="Upfront",$E$140*'TB-Pharmaceuticals'!BC16,0)</f>
        <v>0</v>
      </c>
      <c r="N141" s="1194">
        <f>IF(SETUP!$F$39="Upfront",$E$140*'TB-Pharmaceuticals'!BD16,0)</f>
        <v>0</v>
      </c>
      <c r="O141" s="1191">
        <f t="shared" si="17"/>
        <v>0</v>
      </c>
      <c r="P141" s="1189">
        <f>IF(SETUP!$F$39="Upfront",$E$140*'TB-Pharmaceuticals'!BE16,0)</f>
        <v>0</v>
      </c>
      <c r="Q141" s="1189">
        <f>IF(SETUP!$F$39="Upfront",$E$140*'TB-Pharmaceuticals'!BF16,0)</f>
        <v>0</v>
      </c>
      <c r="R141" s="1189">
        <f>IF(SETUP!$F$39="Upfront",$E$140*'TB-Pharmaceuticals'!BG16,0)</f>
        <v>0</v>
      </c>
      <c r="S141" s="1189">
        <f>IF(SETUP!$F$39="Upfront",$E$140*'TB-Pharmaceuticals'!BH16,0)</f>
        <v>0</v>
      </c>
      <c r="T141" s="1190">
        <f t="shared" si="18"/>
        <v>0</v>
      </c>
      <c r="U141" s="1189">
        <f t="shared" si="19"/>
        <v>0</v>
      </c>
      <c r="V141" s="1795">
        <v>7.2</v>
      </c>
      <c r="W141" s="1823"/>
      <c r="X141" s="1820"/>
    </row>
    <row r="142" spans="1:24" s="860" customFormat="1" ht="15" hidden="1" customHeight="1" outlineLevel="1">
      <c r="A142" s="2905"/>
      <c r="B142" s="2906"/>
      <c r="C142" s="2889" t="s">
        <v>36</v>
      </c>
      <c r="D142" s="2912"/>
      <c r="E142" s="1649"/>
      <c r="F142" s="1279">
        <v>0</v>
      </c>
      <c r="G142" s="1195">
        <f>IF(SETUP!$F$39="At delivery",IF(SETUP!$G$39=1,$E$140*'TB-Pharmaceuticals'!AW16,0),0)</f>
        <v>0</v>
      </c>
      <c r="H142" s="1194">
        <f>IF(SETUP!$F$39="At delivery",IF(SETUP!$G$39=2,$E$140*'TB-Pharmaceuticals'!AW16,IF(SETUP!$G$39=1,$E$140*'TB-Pharmaceuticals'!AX16,0)),0)</f>
        <v>0</v>
      </c>
      <c r="I142" s="1194">
        <f>IF(SETUP!$F$39="At delivery",IF(SETUP!$G$39=3,$E$140*'TB-Pharmaceuticals'!AW16,IF(SETUP!$G$39=2,$E$140*'TB-Pharmaceuticals'!AX16,IF(SETUP!$G$39=1,$E$140*'TB-Pharmaceuticals'!AY16,0))),0)</f>
        <v>0</v>
      </c>
      <c r="J142" s="1193">
        <f t="shared" si="16"/>
        <v>0</v>
      </c>
      <c r="K142" s="1194">
        <f>IF(SETUP!$F$39="At delivery",IF(SETUP!$G$39=4,$E$140*'TB-Pharmaceuticals'!AW16,IF(SETUP!$G$39=3,$E$140*'TB-Pharmaceuticals'!AX16,IF(SETUP!$G$39=2,$E$140*'TB-Pharmaceuticals'!AY16,IF(SETUP!$G$39=1,$E$140*'TB-Pharmaceuticals'!AZ16,0)))),0)</f>
        <v>0</v>
      </c>
      <c r="L142" s="1194">
        <f>IF(SETUP!$F$39="At delivery",IF(SETUP!$G$39=4,$E$140*'TB-Pharmaceuticals'!AX16,IF(SETUP!$G$39=3,$E$140*'TB-Pharmaceuticals'!AY16,IF(SETUP!$G$39=2,$E$140*'TB-Pharmaceuticals'!AZ16,IF(SETUP!$G$39=1,$E$140*'TB-Pharmaceuticals'!BA16,0)))),0)</f>
        <v>0</v>
      </c>
      <c r="M142" s="1194">
        <f>IF(SETUP!$F$39="At delivery",IF(SETUP!$G$39=4,$E$140*'TB-Pharmaceuticals'!AY16,IF(SETUP!$G$39=3,$E$140*'TB-Pharmaceuticals'!AZ16,IF(SETUP!$G$39=2,$E$140*'TB-Pharmaceuticals'!BA16,IF(SETUP!$G$39=1,$E$140*'TB-Pharmaceuticals'!BB16,0)))),0)</f>
        <v>0</v>
      </c>
      <c r="N142" s="1194">
        <f>IF(SETUP!$F$39="At delivery",IF(SETUP!$G$39=4,$E$140*'TB-Pharmaceuticals'!AZ16,IF(SETUP!$G$39=3,$E$140*'TB-Pharmaceuticals'!BA16,IF(SETUP!$G$39=2,$E$140*'TB-Pharmaceuticals'!BB16,IF(SETUP!$G$39=1,$E$140*'TB-Pharmaceuticals'!BC16,0)))),0)</f>
        <v>0</v>
      </c>
      <c r="O142" s="1191">
        <f t="shared" si="17"/>
        <v>0</v>
      </c>
      <c r="P142" s="1189">
        <f>IF(SETUP!$F$39="At delivery",IF(SETUP!$G$39=4,$E$140*'TB-Pharmaceuticals'!BA16,IF(SETUP!$G$39=3,$E$140*'TB-Pharmaceuticals'!BB16,IF(SETUP!$G$39=2,$E$140*'TB-Pharmaceuticals'!BC16,IF(SETUP!$G$39=1,$E$140*'TB-Pharmaceuticals'!BD16,0)))),0)</f>
        <v>0</v>
      </c>
      <c r="Q142" s="1189">
        <f>IF(SETUP!$F$39="At delivery",IF(SETUP!$G$39=4,$E$140*'TB-Pharmaceuticals'!BB16,IF(SETUP!$G$39=3,$E$140*'TB-Pharmaceuticals'!BC16,IF(SETUP!$G$39=2,$E$140*'TB-Pharmaceuticals'!BD16,IF(SETUP!$G$39=1,$E$140*'TB-Pharmaceuticals'!BE16,0)))),0)</f>
        <v>0</v>
      </c>
      <c r="R142" s="1189">
        <f>IF(SETUP!$F$39="At delivery",IF(SETUP!$G$39=4,$E$140*'TB-Pharmaceuticals'!BC16,IF(SETUP!$G$39=3,$E$140*'TB-Pharmaceuticals'!BD16,IF(SETUP!$G$39=2,$E$140*'TB-Pharmaceuticals'!BE16,IF(SETUP!$G$39=1,$E$140*'TB-Pharmaceuticals'!BF16,0)))),0)</f>
        <v>0</v>
      </c>
      <c r="S142" s="1189">
        <f>IF(SETUP!$F$39="At delivery",IF(SETUP!$G$39=4,$E$140*('TB-Pharmaceuticals'!BD16+'TB-Pharmaceuticals'!BE16+'TB-Pharmaceuticals'!BF16+'TB-Pharmaceuticals'!BG16+'TB-Pharmaceuticals'!BH16),IF(SETUP!$G$39=3,$E$140*('TB-Pharmaceuticals'!BE16+'TB-Pharmaceuticals'!BF16+'TB-Pharmaceuticals'!BG16+'TB-Pharmaceuticals'!BH16),IF(SETUP!$G$39=2,$E$140*('TB-Pharmaceuticals'!BF16+'TB-Pharmaceuticals'!BG16+'TB-Pharmaceuticals'!BH16),IF(SETUP!$G$39=1,$E$140*('TB-Pharmaceuticals'!BG16+'TB-Pharmaceuticals'!BH16),0)))),0)</f>
        <v>0</v>
      </c>
      <c r="T142" s="1190">
        <f t="shared" si="18"/>
        <v>0</v>
      </c>
      <c r="U142" s="1189">
        <f t="shared" si="19"/>
        <v>0</v>
      </c>
      <c r="V142" s="1795">
        <v>7.2</v>
      </c>
      <c r="W142" s="1823"/>
      <c r="X142" s="1820"/>
    </row>
    <row r="143" spans="1:24" s="860" customFormat="1" ht="15" hidden="1" customHeight="1" collapsed="1">
      <c r="A143" s="2905" t="s">
        <v>572</v>
      </c>
      <c r="B143" s="2906"/>
      <c r="C143" s="2907" t="s">
        <v>311</v>
      </c>
      <c r="D143" s="2911"/>
      <c r="E143" s="1649">
        <v>0</v>
      </c>
      <c r="F143" s="1279">
        <f>IF(SETUP!$F$40="Upfront",F144,F145)</f>
        <v>0</v>
      </c>
      <c r="G143" s="1195">
        <f>IF(SETUP!$F$40="Upfront",G144,G145)</f>
        <v>0</v>
      </c>
      <c r="H143" s="1194">
        <f>IF(SETUP!$F$40="Upfront",H144,H145)</f>
        <v>0</v>
      </c>
      <c r="I143" s="1194">
        <f>IF(SETUP!$F$40="Upfront",I144,I145)</f>
        <v>0</v>
      </c>
      <c r="J143" s="1193">
        <f t="shared" si="16"/>
        <v>0</v>
      </c>
      <c r="K143" s="1194">
        <f>IF(SETUP!$F$40="Upfront",K144,K145)</f>
        <v>0</v>
      </c>
      <c r="L143" s="1194">
        <f>IF(SETUP!$F$40="Upfront",L144,L145)</f>
        <v>0</v>
      </c>
      <c r="M143" s="1194">
        <f>IF(SETUP!$F$40="Upfront",M144,M145)</f>
        <v>0</v>
      </c>
      <c r="N143" s="1194">
        <f>IF(SETUP!$F$40="Upfront",N144,N145)</f>
        <v>0</v>
      </c>
      <c r="O143" s="1191">
        <f t="shared" si="17"/>
        <v>0</v>
      </c>
      <c r="P143" s="1189">
        <f>IF(SETUP!$F$40="Upfront",P144,P145)</f>
        <v>0</v>
      </c>
      <c r="Q143" s="1189">
        <f>IF(SETUP!$F$40="Upfront",Q144,Q145)</f>
        <v>0</v>
      </c>
      <c r="R143" s="1189">
        <f>IF(SETUP!$F$40="Upfront",R144,R145)</f>
        <v>0</v>
      </c>
      <c r="S143" s="1189">
        <f>IF(SETUP!$F$40="Upfront",S144,S145)</f>
        <v>0</v>
      </c>
      <c r="T143" s="1190">
        <f t="shared" si="18"/>
        <v>0</v>
      </c>
      <c r="U143" s="1189">
        <f t="shared" si="19"/>
        <v>0</v>
      </c>
      <c r="V143" s="1795">
        <v>7.2</v>
      </c>
      <c r="W143" s="1823"/>
      <c r="X143" s="1820"/>
    </row>
    <row r="144" spans="1:24" s="860" customFormat="1" ht="15" hidden="1" customHeight="1" outlineLevel="1">
      <c r="A144" s="2905"/>
      <c r="B144" s="2906"/>
      <c r="C144" s="2889" t="s">
        <v>918</v>
      </c>
      <c r="D144" s="2912"/>
      <c r="E144" s="1649"/>
      <c r="F144" s="1279">
        <f>IF(SETUP!$F$40="Upfront",$E$143*'TB-EQUIPMENT &amp; OTHER HPs'!AW14,0)</f>
        <v>0</v>
      </c>
      <c r="G144" s="1195">
        <f>IF(SETUP!$F$40="Upfront",$E$143*'TB-EQUIPMENT &amp; OTHER HPs'!AX14,0)</f>
        <v>0</v>
      </c>
      <c r="H144" s="1194">
        <f>IF(SETUP!$F$40="Upfront",$E$143*'TB-EQUIPMENT &amp; OTHER HPs'!AY14,0)</f>
        <v>0</v>
      </c>
      <c r="I144" s="1194">
        <f>IF(SETUP!$F$40="Upfront",$E$143*'TB-EQUIPMENT &amp; OTHER HPs'!AZ14,0)</f>
        <v>0</v>
      </c>
      <c r="J144" s="1193">
        <f t="shared" si="16"/>
        <v>0</v>
      </c>
      <c r="K144" s="1194">
        <f>IF(SETUP!$F$40="Upfront",$E$143*'TB-EQUIPMENT &amp; OTHER HPs'!BA14,0)</f>
        <v>0</v>
      </c>
      <c r="L144" s="1194">
        <f>IF(SETUP!$F$40="Upfront",$E$143*'TB-EQUIPMENT &amp; OTHER HPs'!BB14,0)</f>
        <v>0</v>
      </c>
      <c r="M144" s="1194">
        <f>IF(SETUP!$F$40="Upfront",$E$143*'TB-EQUIPMENT &amp; OTHER HPs'!BC14,0)</f>
        <v>0</v>
      </c>
      <c r="N144" s="1194">
        <f>IF(SETUP!$F$40="Upfront",$E$143*'TB-EQUIPMENT &amp; OTHER HPs'!BD14,0)</f>
        <v>0</v>
      </c>
      <c r="O144" s="1191">
        <f t="shared" si="17"/>
        <v>0</v>
      </c>
      <c r="P144" s="1189">
        <f>IF(SETUP!$F$40="Upfront",$E$143*'TB-EQUIPMENT &amp; OTHER HPs'!BE14,0)</f>
        <v>0</v>
      </c>
      <c r="Q144" s="1189">
        <f>IF(SETUP!$F$40="Upfront",$E$143*'TB-EQUIPMENT &amp; OTHER HPs'!BF14,0)</f>
        <v>0</v>
      </c>
      <c r="R144" s="1189">
        <f>IF(SETUP!$F$40="Upfront",$E$143*'TB-EQUIPMENT &amp; OTHER HPs'!BG14,0)</f>
        <v>0</v>
      </c>
      <c r="S144" s="1189">
        <f>IF(SETUP!$F$40="Upfront",$E$143*'TB-EQUIPMENT &amp; OTHER HPs'!BH14,0)</f>
        <v>0</v>
      </c>
      <c r="T144" s="1190">
        <f t="shared" si="18"/>
        <v>0</v>
      </c>
      <c r="U144" s="1189">
        <f t="shared" si="19"/>
        <v>0</v>
      </c>
      <c r="V144" s="1795">
        <v>7.2</v>
      </c>
      <c r="W144" s="1823"/>
      <c r="X144" s="1820"/>
    </row>
    <row r="145" spans="1:24" s="860" customFormat="1" ht="15" hidden="1" customHeight="1" outlineLevel="1">
      <c r="A145" s="2905"/>
      <c r="B145" s="2906"/>
      <c r="C145" s="2889" t="s">
        <v>36</v>
      </c>
      <c r="D145" s="2912"/>
      <c r="E145" s="1649"/>
      <c r="F145" s="1279">
        <v>0</v>
      </c>
      <c r="G145" s="1195">
        <f>IF(SETUP!$F$40="At delivery",IF(SETUP!$G$40=1,$E$143*'TB-EQUIPMENT &amp; OTHER HPs'!AW14,0),0)</f>
        <v>0</v>
      </c>
      <c r="H145" s="1194">
        <f>IF(SETUP!$F$40="At delivery",IF(SETUP!$G$40=2,$E$143*'TB-EQUIPMENT &amp; OTHER HPs'!AW14,IF(SETUP!$G$40=1,$E$143*'TB-EQUIPMENT &amp; OTHER HPs'!AX14,0)),0)</f>
        <v>0</v>
      </c>
      <c r="I145" s="1194">
        <f>IF(SETUP!$F$40="At delivery",IF(SETUP!$G$40=3,$E$143*'TB-EQUIPMENT &amp; OTHER HPs'!AW14,IF(SETUP!$G$40=2,$E$143*'TB-EQUIPMENT &amp; OTHER HPs'!AX14,IF(SETUP!$G$40=1,$E$143*'TB-EQUIPMENT &amp; OTHER HPs'!AY14,0))),0)</f>
        <v>0</v>
      </c>
      <c r="J145" s="1193">
        <f t="shared" si="16"/>
        <v>0</v>
      </c>
      <c r="K145" s="1194">
        <f>IF(SETUP!$F$40="At delivery",IF(SETUP!$G$40=4,$E$143*'TB-EQUIPMENT &amp; OTHER HPs'!AW14,IF(SETUP!$G$40=3,$E$143*'TB-EQUIPMENT &amp; OTHER HPs'!AX14,IF(SETUP!$G$40=2,$E$143*'TB-EQUIPMENT &amp; OTHER HPs'!AY14,IF(SETUP!$G$40=1,$E$143*'TB-EQUIPMENT &amp; OTHER HPs'!AZ14,0)))),0)</f>
        <v>0</v>
      </c>
      <c r="L145" s="1194">
        <f>IF(SETUP!$F$40="At delivery",IF(SETUP!$G$40=4,$E$143*'TB-EQUIPMENT &amp; OTHER HPs'!AX14,IF(SETUP!$G$40=3,$E$143*'TB-EQUIPMENT &amp; OTHER HPs'!AY14,IF(SETUP!$G$40=2,$E$143*'TB-EQUIPMENT &amp; OTHER HPs'!AZ14,IF(SETUP!$G$40=1,$E$143*'TB-EQUIPMENT &amp; OTHER HPs'!BA14,0)))),0)</f>
        <v>0</v>
      </c>
      <c r="M145" s="1194">
        <f>IF(SETUP!$F$40="At delivery",IF(SETUP!$G$40=4,$E$143*'TB-EQUIPMENT &amp; OTHER HPs'!AY14,IF(SETUP!$G$40=3,$E$143*'TB-EQUIPMENT &amp; OTHER HPs'!AZ14,IF(SETUP!$G$40=2,$E$143*'TB-EQUIPMENT &amp; OTHER HPs'!BA14,IF(SETUP!$G$40=1,$E$143*'TB-EQUIPMENT &amp; OTHER HPs'!BB14,0)))),0)</f>
        <v>0</v>
      </c>
      <c r="N145" s="1194">
        <f>IF(SETUP!$F$40="At delivery",IF(SETUP!$G$40=4,$E$143*'TB-EQUIPMENT &amp; OTHER HPs'!AZ14,IF(SETUP!$G$40=3,$E$143*'TB-EQUIPMENT &amp; OTHER HPs'!BA14,IF(SETUP!$G$40=2,$E$143*'TB-EQUIPMENT &amp; OTHER HPs'!BB14,IF(SETUP!$G$40=1,$E$143*'TB-EQUIPMENT &amp; OTHER HPs'!BC14,0)))),0)</f>
        <v>0</v>
      </c>
      <c r="O145" s="1191">
        <f t="shared" si="17"/>
        <v>0</v>
      </c>
      <c r="P145" s="1189">
        <f>IF(SETUP!$F$40="At delivery",IF(SETUP!$G$40=4,$E$143*'TB-EQUIPMENT &amp; OTHER HPs'!BA14,IF(SETUP!$G$40=3,$E$143*'TB-EQUIPMENT &amp; OTHER HPs'!BB14,IF(SETUP!$G$40=2,$E$143*'TB-EQUIPMENT &amp; OTHER HPs'!BC14,IF(SETUP!$G$40=1,$E$143*'TB-EQUIPMENT &amp; OTHER HPs'!BD14,0)))),0)</f>
        <v>0</v>
      </c>
      <c r="Q145" s="1189">
        <f>IF(SETUP!$F$40="At delivery",IF(SETUP!$G$40=4,$E$143*'TB-EQUIPMENT &amp; OTHER HPs'!BB14,IF(SETUP!$G$40=3,$E$143*'TB-EQUIPMENT &amp; OTHER HPs'!BC14,IF(SETUP!$G$40=2,$E$143*'TB-EQUIPMENT &amp; OTHER HPs'!BD14,IF(SETUP!$G$40=1,$E$143*'TB-EQUIPMENT &amp; OTHER HPs'!BE14,0)))),0)</f>
        <v>0</v>
      </c>
      <c r="R145" s="1189">
        <f>IF(SETUP!$F$40="At delivery",IF(SETUP!$G$40=4,$E$143*'TB-EQUIPMENT &amp; OTHER HPs'!BC14,IF(SETUP!$G$40=3,$E$143*'TB-EQUIPMENT &amp; OTHER HPs'!BD14,IF(SETUP!$G$40=2,$E$143*'TB-EQUIPMENT &amp; OTHER HPs'!BE14,IF(SETUP!$G$40=1,$E$143*'TB-EQUIPMENT &amp; OTHER HPs'!BF14,0)))),0)</f>
        <v>0</v>
      </c>
      <c r="S145" s="1189">
        <f>IF(SETUP!$F$40="At delivery",IF(SETUP!$G$40=4,$E$143*('TB-EQUIPMENT &amp; OTHER HPs'!BD14+'TB-EQUIPMENT &amp; OTHER HPs'!BE14+'TB-EQUIPMENT &amp; OTHER HPs'!BF14+'TB-EQUIPMENT &amp; OTHER HPs'!BG14+'TB-EQUIPMENT &amp; OTHER HPs'!BH14),IF(SETUP!$G$40=3,$E$143*('TB-EQUIPMENT &amp; OTHER HPs'!BE14+'TB-EQUIPMENT &amp; OTHER HPs'!BF14+'TB-EQUIPMENT &amp; OTHER HPs'!BG14+'TB-EQUIPMENT &amp; OTHER HPs'!BH14),IF(SETUP!$G$40=2,$E$143*('TB-EQUIPMENT &amp; OTHER HPs'!BF14+'TB-EQUIPMENT &amp; OTHER HPs'!BG14+'TB-EQUIPMENT &amp; OTHER HPs'!BH14),IF(SETUP!$G$40=1,$E$143*('TB-EQUIPMENT &amp; OTHER HPs'!BG14+'TB-EQUIPMENT &amp; OTHER HPs'!BH14),0)))),0)</f>
        <v>0</v>
      </c>
      <c r="T145" s="1190">
        <f t="shared" si="18"/>
        <v>0</v>
      </c>
      <c r="U145" s="1189">
        <f t="shared" si="19"/>
        <v>0</v>
      </c>
      <c r="V145" s="1795">
        <v>7.2</v>
      </c>
      <c r="W145" s="1823"/>
      <c r="X145" s="1820"/>
    </row>
    <row r="146" spans="1:24" s="860" customFormat="1" ht="15" hidden="1" customHeight="1" collapsed="1">
      <c r="A146" s="2905"/>
      <c r="B146" s="2906"/>
      <c r="C146" s="2907" t="s">
        <v>1748</v>
      </c>
      <c r="D146" s="2911"/>
      <c r="E146" s="1649">
        <v>0</v>
      </c>
      <c r="F146" s="1279">
        <f>IF(SETUP!$F$41="Upfront",F147,F148)</f>
        <v>0</v>
      </c>
      <c r="G146" s="1195">
        <f>IF(SETUP!$F$41="Upfront",G147,G148)</f>
        <v>0</v>
      </c>
      <c r="H146" s="1194">
        <f>IF(SETUP!$F$41="Upfront",H147,H148)</f>
        <v>0</v>
      </c>
      <c r="I146" s="1194">
        <f>IF(SETUP!$F$41="Upfront",I147,I148)</f>
        <v>0</v>
      </c>
      <c r="J146" s="1193">
        <f t="shared" si="16"/>
        <v>0</v>
      </c>
      <c r="K146" s="1194">
        <f>IF(SETUP!$F$41="Upfront",K147,K148)</f>
        <v>0</v>
      </c>
      <c r="L146" s="1194">
        <f>IF(SETUP!$F$41="Upfront",L147,L148)</f>
        <v>0</v>
      </c>
      <c r="M146" s="1194">
        <f>IF(SETUP!$F$41="Upfront",M147,M148)</f>
        <v>0</v>
      </c>
      <c r="N146" s="1194">
        <f>IF(SETUP!$F$41="Upfront",N147,N148)</f>
        <v>0</v>
      </c>
      <c r="O146" s="1191">
        <f t="shared" si="17"/>
        <v>0</v>
      </c>
      <c r="P146" s="1189">
        <f>IF(SETUP!$F$41="Upfront",P147,P148)</f>
        <v>0</v>
      </c>
      <c r="Q146" s="1189">
        <f>IF(SETUP!$F$41="Upfront",Q147,Q148)</f>
        <v>0</v>
      </c>
      <c r="R146" s="1189">
        <f>IF(SETUP!$F$41="Upfront",R147,R148)</f>
        <v>0</v>
      </c>
      <c r="S146" s="1189">
        <f>IF(SETUP!$F$41="Upfront",S147,S148)</f>
        <v>0</v>
      </c>
      <c r="T146" s="1190">
        <f t="shared" si="18"/>
        <v>0</v>
      </c>
      <c r="U146" s="1189">
        <f t="shared" si="19"/>
        <v>0</v>
      </c>
      <c r="V146" s="1795">
        <v>7.2</v>
      </c>
      <c r="W146" s="1823"/>
      <c r="X146" s="1820"/>
    </row>
    <row r="147" spans="1:24" s="860" customFormat="1" ht="15" hidden="1" customHeight="1" outlineLevel="1">
      <c r="A147" s="2905"/>
      <c r="B147" s="2906"/>
      <c r="C147" s="2889" t="s">
        <v>918</v>
      </c>
      <c r="D147" s="2912"/>
      <c r="E147" s="1649"/>
      <c r="F147" s="1279">
        <f>IF(SETUP!$F$41="Upfront",$E$146*'TB-EQUIPMENT &amp; OTHER HPs'!AW15,0)</f>
        <v>0</v>
      </c>
      <c r="G147" s="1195">
        <f>IF(SETUP!$F$41="Upfront",$E$146*'TB-EQUIPMENT &amp; OTHER HPs'!AX15,0)</f>
        <v>0</v>
      </c>
      <c r="H147" s="1194">
        <f>IF(SETUP!$F$41="Upfront",$E$146*'TB-EQUIPMENT &amp; OTHER HPs'!AY15,0)</f>
        <v>0</v>
      </c>
      <c r="I147" s="1194">
        <f>IF(SETUP!$F$41="Upfront",$E$146*'TB-EQUIPMENT &amp; OTHER HPs'!AZ15,0)</f>
        <v>0</v>
      </c>
      <c r="J147" s="1193">
        <f t="shared" si="16"/>
        <v>0</v>
      </c>
      <c r="K147" s="1194">
        <f>IF(SETUP!$F$41="Upfront",$E$146*'TB-EQUIPMENT &amp; OTHER HPs'!BA15,0)</f>
        <v>0</v>
      </c>
      <c r="L147" s="1194">
        <f>IF(SETUP!$F$41="Upfront",$E$146*'TB-EQUIPMENT &amp; OTHER HPs'!BB15,0)</f>
        <v>0</v>
      </c>
      <c r="M147" s="1194">
        <f>IF(SETUP!$F$41="Upfront",$E$146*'TB-EQUIPMENT &amp; OTHER HPs'!BC15,0)</f>
        <v>0</v>
      </c>
      <c r="N147" s="1194">
        <f>IF(SETUP!$F$41="Upfront",$E$146*'TB-EQUIPMENT &amp; OTHER HPs'!BD15,0)</f>
        <v>0</v>
      </c>
      <c r="O147" s="1191">
        <f t="shared" si="17"/>
        <v>0</v>
      </c>
      <c r="P147" s="1189">
        <f>IF(SETUP!$F$41="Upfront",$E$146*'TB-EQUIPMENT &amp; OTHER HPs'!BE15,0)</f>
        <v>0</v>
      </c>
      <c r="Q147" s="1189">
        <f>IF(SETUP!$F$41="Upfront",$E$146*'TB-EQUIPMENT &amp; OTHER HPs'!BF15,0)</f>
        <v>0</v>
      </c>
      <c r="R147" s="1189">
        <f>IF(SETUP!$F$41="Upfront",$E$146*'TB-EQUIPMENT &amp; OTHER HPs'!BG15,0)</f>
        <v>0</v>
      </c>
      <c r="S147" s="1189">
        <f>IF(SETUP!$F$41="Upfront",$E$146*'TB-EQUIPMENT &amp; OTHER HPs'!BH15,0)</f>
        <v>0</v>
      </c>
      <c r="T147" s="1190">
        <f t="shared" si="18"/>
        <v>0</v>
      </c>
      <c r="U147" s="1189">
        <f t="shared" si="19"/>
        <v>0</v>
      </c>
      <c r="V147" s="1795">
        <v>7.2</v>
      </c>
      <c r="W147" s="1823"/>
      <c r="X147" s="1820"/>
    </row>
    <row r="148" spans="1:24" s="860" customFormat="1" ht="15" hidden="1" customHeight="1" outlineLevel="1">
      <c r="A148" s="2905"/>
      <c r="B148" s="2906"/>
      <c r="C148" s="2889" t="s">
        <v>36</v>
      </c>
      <c r="D148" s="2912"/>
      <c r="E148" s="1649"/>
      <c r="F148" s="1279">
        <v>0</v>
      </c>
      <c r="G148" s="1195">
        <f>IF(SETUP!$F$41="At delivery",IF(SETUP!$G$41=1,$E$146*'TB-EQUIPMENT &amp; OTHER HPs'!AW15,0),0)</f>
        <v>0</v>
      </c>
      <c r="H148" s="1194">
        <f>IF(SETUP!$F$41="At delivery",IF(SETUP!$G$41=2,$E$146*'TB-EQUIPMENT &amp; OTHER HPs'!AW15,IF(SETUP!$G$41=1,$E$146*'TB-EQUIPMENT &amp; OTHER HPs'!AX15,0)),0)</f>
        <v>0</v>
      </c>
      <c r="I148" s="1194">
        <f>IF(SETUP!$F$41="At delivery",IF(SETUP!$G$41=3,$E$146*'TB-EQUIPMENT &amp; OTHER HPs'!AW15,IF(SETUP!$G$41=2,$E$146*'TB-EQUIPMENT &amp; OTHER HPs'!AX15,IF(SETUP!$G$41=1,$E$146*'TB-EQUIPMENT &amp; OTHER HPs'!AY15,0))),0)</f>
        <v>0</v>
      </c>
      <c r="J148" s="1193">
        <f t="shared" si="16"/>
        <v>0</v>
      </c>
      <c r="K148" s="1194">
        <f>IF(SETUP!$F$41="At delivery",IF(SETUP!$G$41=4,$E$146*'TB-EQUIPMENT &amp; OTHER HPs'!AW15,IF(SETUP!$G$41=3,$E$146*'TB-EQUIPMENT &amp; OTHER HPs'!AX15,IF(SETUP!$G$41=2,$E$146*'TB-EQUIPMENT &amp; OTHER HPs'!AY15,IF(SETUP!$G$41=1,$E$146*'TB-EQUIPMENT &amp; OTHER HPs'!AZ15,0)))),0)</f>
        <v>0</v>
      </c>
      <c r="L148" s="1194">
        <f>IF(SETUP!$F$41="At delivery",IF(SETUP!$G$41=4,$E$146*'TB-EQUIPMENT &amp; OTHER HPs'!AX15,IF(SETUP!$G$41=3,$E$146*'TB-EQUIPMENT &amp; OTHER HPs'!AY15,IF(SETUP!$G$41=2,$E$146*'TB-EQUIPMENT &amp; OTHER HPs'!AZ15,IF(SETUP!$G$41=1,$E$146*'TB-EQUIPMENT &amp; OTHER HPs'!BA15,0)))),0)</f>
        <v>0</v>
      </c>
      <c r="M148" s="1194">
        <f>IF(SETUP!$F$41="At delivery",IF(SETUP!$G$41=4,$E$146*'TB-EQUIPMENT &amp; OTHER HPs'!AY15,IF(SETUP!$G$41=3,$E$146*'TB-EQUIPMENT &amp; OTHER HPs'!AZ15,IF(SETUP!$G$41=2,$E$146*'TB-EQUIPMENT &amp; OTHER HPs'!BA15,IF(SETUP!$G$41=1,$E$146*'TB-EQUIPMENT &amp; OTHER HPs'!BB15,0)))),0)</f>
        <v>0</v>
      </c>
      <c r="N148" s="1194">
        <f>IF(SETUP!$F$41="At delivery",IF(SETUP!$G$41=4,$E$146*'TB-EQUIPMENT &amp; OTHER HPs'!AZ15,IF(SETUP!$G$41=3,$E$146*'TB-EQUIPMENT &amp; OTHER HPs'!BA15,IF(SETUP!$G$41=2,$E$146*'TB-EQUIPMENT &amp; OTHER HPs'!BB15,IF(SETUP!$G$41=1,$E$146*'TB-EQUIPMENT &amp; OTHER HPs'!BC15,0)))),0)</f>
        <v>0</v>
      </c>
      <c r="O148" s="1191">
        <f t="shared" si="17"/>
        <v>0</v>
      </c>
      <c r="P148" s="1189">
        <f>IF(SETUP!$F$41="At delivery",IF(SETUP!$G$41=4,$E$146*'TB-EQUIPMENT &amp; OTHER HPs'!BA15,IF(SETUP!$G$41=3,$E$146*'TB-EQUIPMENT &amp; OTHER HPs'!BB15,IF(SETUP!$G$41=2,$E$146*'TB-EQUIPMENT &amp; OTHER HPs'!BC15,IF(SETUP!$G$41=1,$E$146*'TB-EQUIPMENT &amp; OTHER HPs'!BD15,0)))),0)</f>
        <v>0</v>
      </c>
      <c r="Q148" s="1189">
        <f>IF(SETUP!$F$41="At delivery",IF(SETUP!$G$41=4,$E$146*'TB-EQUIPMENT &amp; OTHER HPs'!BB15,IF(SETUP!$G$41=3,$E$146*'TB-EQUIPMENT &amp; OTHER HPs'!BC15,IF(SETUP!$G$41=2,$E$146*'TB-EQUIPMENT &amp; OTHER HPs'!BD15,IF(SETUP!$G$41=1,$E$146*'TB-EQUIPMENT &amp; OTHER HPs'!BE15,0)))),0)</f>
        <v>0</v>
      </c>
      <c r="R148" s="1189">
        <f>IF(SETUP!$F$41="At delivery",IF(SETUP!$G$41=4,$E$146*'TB-EQUIPMENT &amp; OTHER HPs'!BC15,IF(SETUP!$G$41=3,$E$146*'TB-EQUIPMENT &amp; OTHER HPs'!BD15,IF(SETUP!$G$41=2,$E$146*'TB-EQUIPMENT &amp; OTHER HPs'!BE15,IF(SETUP!$G$41=1,$E$146*'TB-EQUIPMENT &amp; OTHER HPs'!BF15,0)))),0)</f>
        <v>0</v>
      </c>
      <c r="S148" s="1189">
        <f>IF(SETUP!$F$41="At delivery",IF(SETUP!$G$41=4,$E$146*('TB-EQUIPMENT &amp; OTHER HPs'!BD15+'TB-EQUIPMENT &amp; OTHER HPs'!BE15+'TB-EQUIPMENT &amp; OTHER HPs'!BF15+'TB-EQUIPMENT &amp; OTHER HPs'!BG15+'TB-EQUIPMENT &amp; OTHER HPs'!BH15),IF(SETUP!$G$41=3,$E$146*('TB-EQUIPMENT &amp; OTHER HPs'!BE15+'TB-EQUIPMENT &amp; OTHER HPs'!BF15+'TB-EQUIPMENT &amp; OTHER HPs'!BG15+'TB-EQUIPMENT &amp; OTHER HPs'!BH15),IF(SETUP!$G$41=2,$E$146*('TB-EQUIPMENT &amp; OTHER HPs'!BF15+'TB-EQUIPMENT &amp; OTHER HPs'!BG15+'TB-EQUIPMENT &amp; OTHER HPs'!BH15),IF(SETUP!$G$41=1,$E$146*('TB-EQUIPMENT &amp; OTHER HPs'!BG15+'TB-EQUIPMENT &amp; OTHER HPs'!BH15),0)))),0)</f>
        <v>0</v>
      </c>
      <c r="T148" s="1190">
        <f t="shared" si="18"/>
        <v>0</v>
      </c>
      <c r="U148" s="1189">
        <f t="shared" si="19"/>
        <v>0</v>
      </c>
      <c r="V148" s="1795">
        <v>7.2</v>
      </c>
      <c r="W148" s="1823"/>
      <c r="X148" s="1820"/>
    </row>
    <row r="149" spans="1:24" s="860" customFormat="1" ht="15" hidden="1" customHeight="1" collapsed="1">
      <c r="A149" s="2905"/>
      <c r="B149" s="2906"/>
      <c r="C149" s="2907" t="s">
        <v>1754</v>
      </c>
      <c r="D149" s="2911"/>
      <c r="E149" s="1649">
        <v>0</v>
      </c>
      <c r="F149" s="1279">
        <f>IF(SETUP!$F$43="Upfront",F150,F151)</f>
        <v>0</v>
      </c>
      <c r="G149" s="1195">
        <f>IF(SETUP!$F$43="Upfront",G150,G151)</f>
        <v>0</v>
      </c>
      <c r="H149" s="1194">
        <f>IF(SETUP!$F$43="Upfront",H150,H151)</f>
        <v>0</v>
      </c>
      <c r="I149" s="1194">
        <f>IF(SETUP!$F$43="Upfront",I150,I151)</f>
        <v>0</v>
      </c>
      <c r="J149" s="1193">
        <f t="shared" si="16"/>
        <v>0</v>
      </c>
      <c r="K149" s="1194">
        <f>IF(SETUP!$F$43="Upfront",K150,K151)</f>
        <v>0</v>
      </c>
      <c r="L149" s="1194">
        <f>IF(SETUP!$F$43="Upfront",L150,L151)</f>
        <v>0</v>
      </c>
      <c r="M149" s="1194">
        <f>IF(SETUP!$F$43="Upfront",M150,M151)</f>
        <v>0</v>
      </c>
      <c r="N149" s="1194">
        <f>IF(SETUP!$F$43="Upfront",N150,N151)</f>
        <v>0</v>
      </c>
      <c r="O149" s="1191">
        <f t="shared" si="17"/>
        <v>0</v>
      </c>
      <c r="P149" s="1189">
        <f>IF(SETUP!$F$43="Upfront",P150,P151)</f>
        <v>0</v>
      </c>
      <c r="Q149" s="1189">
        <f>IF(SETUP!$F$43="Upfront",Q150,Q151)</f>
        <v>0</v>
      </c>
      <c r="R149" s="1189">
        <f>IF(SETUP!$F$43="Upfront",R150,R151)</f>
        <v>0</v>
      </c>
      <c r="S149" s="1189">
        <f>IF(SETUP!$F$43="Upfront",S150,S151)</f>
        <v>0</v>
      </c>
      <c r="T149" s="1190">
        <f t="shared" si="18"/>
        <v>0</v>
      </c>
      <c r="U149" s="1189">
        <f t="shared" si="19"/>
        <v>0</v>
      </c>
      <c r="V149" s="1795">
        <v>7.2</v>
      </c>
      <c r="W149" s="1823"/>
      <c r="X149" s="1820"/>
    </row>
    <row r="150" spans="1:24" s="860" customFormat="1" ht="15" hidden="1" customHeight="1" outlineLevel="1">
      <c r="A150" s="2905"/>
      <c r="B150" s="2906"/>
      <c r="C150" s="2889" t="s">
        <v>918</v>
      </c>
      <c r="D150" s="2912"/>
      <c r="E150" s="1649"/>
      <c r="F150" s="1279">
        <f>IF(SETUP!$F$43="Upfront",$E$149*'TB-EQUIPMENT &amp; OTHER HPs'!AW16,0)</f>
        <v>0</v>
      </c>
      <c r="G150" s="1195">
        <f>IF(SETUP!$F$43="Upfront",$E$149*'TB-EQUIPMENT &amp; OTHER HPs'!AX16,0)</f>
        <v>0</v>
      </c>
      <c r="H150" s="1194">
        <f>IF(SETUP!$F$43="Upfront",$E$149*'TB-EQUIPMENT &amp; OTHER HPs'!AY16,0)</f>
        <v>0</v>
      </c>
      <c r="I150" s="1194">
        <f>IF(SETUP!$F$43="Upfront",$E$149*'TB-EQUIPMENT &amp; OTHER HPs'!AZ16,0)</f>
        <v>0</v>
      </c>
      <c r="J150" s="1193">
        <f t="shared" si="16"/>
        <v>0</v>
      </c>
      <c r="K150" s="1194">
        <f>IF(SETUP!$F$43="Upfront",$E$149*'TB-EQUIPMENT &amp; OTHER HPs'!BA16,0)</f>
        <v>0</v>
      </c>
      <c r="L150" s="1194">
        <f>IF(SETUP!$F$43="Upfront",$E$149*'TB-EQUIPMENT &amp; OTHER HPs'!BB16,0)</f>
        <v>0</v>
      </c>
      <c r="M150" s="1194">
        <f>IF(SETUP!$F$43="Upfront",$E$149*'TB-EQUIPMENT &amp; OTHER HPs'!BC16,0)</f>
        <v>0</v>
      </c>
      <c r="N150" s="1194">
        <f>IF(SETUP!$F$43="Upfront",$E$149*'TB-EQUIPMENT &amp; OTHER HPs'!BD16,0)</f>
        <v>0</v>
      </c>
      <c r="O150" s="1191">
        <f t="shared" si="17"/>
        <v>0</v>
      </c>
      <c r="P150" s="1189">
        <f>IF(SETUP!$F$43="Upfront",$E$149*'TB-EQUIPMENT &amp; OTHER HPs'!BE16,0)</f>
        <v>0</v>
      </c>
      <c r="Q150" s="1189">
        <f>IF(SETUP!$F$43="Upfront",$E$149*'TB-EQUIPMENT &amp; OTHER HPs'!BF16,0)</f>
        <v>0</v>
      </c>
      <c r="R150" s="1189">
        <f>IF(SETUP!$F$43="Upfront",$E$149*'TB-EQUIPMENT &amp; OTHER HPs'!BG16,0)</f>
        <v>0</v>
      </c>
      <c r="S150" s="1189">
        <f>IF(SETUP!$F$43="Upfront",$E$149*'TB-EQUIPMENT &amp; OTHER HPs'!BH16,0)</f>
        <v>0</v>
      </c>
      <c r="T150" s="1190">
        <f t="shared" si="18"/>
        <v>0</v>
      </c>
      <c r="U150" s="1189">
        <f t="shared" si="19"/>
        <v>0</v>
      </c>
      <c r="V150" s="1795">
        <v>7.2</v>
      </c>
      <c r="W150" s="1823"/>
      <c r="X150" s="1820"/>
    </row>
    <row r="151" spans="1:24" s="860" customFormat="1" ht="15" hidden="1" customHeight="1" outlineLevel="1">
      <c r="A151" s="2905"/>
      <c r="B151" s="2906"/>
      <c r="C151" s="2889" t="s">
        <v>36</v>
      </c>
      <c r="D151" s="2912"/>
      <c r="E151" s="1649"/>
      <c r="F151" s="1279">
        <v>0</v>
      </c>
      <c r="G151" s="1195">
        <f>IF(SETUP!$F$43="At delivery",IF(SETUP!$G$43=1,$E$149*'TB-EQUIPMENT &amp; OTHER HPs'!AW16,0),0)</f>
        <v>0</v>
      </c>
      <c r="H151" s="1194">
        <f>IF(SETUP!$F$43="At delivery",IF(SETUP!$G$43=2,$E$149*'TB-EQUIPMENT &amp; OTHER HPs'!AW16,IF(SETUP!$G$43=1,$E$149*'TB-EQUIPMENT &amp; OTHER HPs'!AX16,0)),0)</f>
        <v>0</v>
      </c>
      <c r="I151" s="1194">
        <f>IF(SETUP!$F$43="At delivery",IF(SETUP!$G$43=3,$E$149*'TB-EQUIPMENT &amp; OTHER HPs'!AW16,IF(SETUP!$G$43=2,$E$149*'TB-EQUIPMENT &amp; OTHER HPs'!AX16,IF(SETUP!$G$43=1,$E$149*'TB-EQUIPMENT &amp; OTHER HPs'!AY16,0))),0)</f>
        <v>0</v>
      </c>
      <c r="J151" s="1193">
        <f t="shared" si="16"/>
        <v>0</v>
      </c>
      <c r="K151" s="1194">
        <f>IF(SETUP!$F$43="At delivery",IF(SETUP!$G$43=4,$E$149*'TB-EQUIPMENT &amp; OTHER HPs'!AW16,IF(SETUP!$G$43=3,$E$149*'TB-EQUIPMENT &amp; OTHER HPs'!AX16,IF(SETUP!$G$43=2,$E$149*'TB-EQUIPMENT &amp; OTHER HPs'!AY16,IF(SETUP!$G$43=1,$E$149*'TB-EQUIPMENT &amp; OTHER HPs'!AZ16,0)))),0)</f>
        <v>0</v>
      </c>
      <c r="L151" s="1194">
        <f>IF(SETUP!$F$43="At delivery",IF(SETUP!$G$43=4,$E$149*'TB-EQUIPMENT &amp; OTHER HPs'!AX16,IF(SETUP!$G$43=3,$E$149*'TB-EQUIPMENT &amp; OTHER HPs'!AY16,IF(SETUP!$G$43=2,$E$149*'TB-EQUIPMENT &amp; OTHER HPs'!AZ16,IF(SETUP!$G$43=1,$E$149*'TB-EQUIPMENT &amp; OTHER HPs'!BA16,0)))),0)</f>
        <v>0</v>
      </c>
      <c r="M151" s="1194">
        <f>IF(SETUP!$F$43="At delivery",IF(SETUP!$G$43=4,$E$149*'TB-EQUIPMENT &amp; OTHER HPs'!AY16,IF(SETUP!$G$43=3,$E$149*'TB-EQUIPMENT &amp; OTHER HPs'!AZ16,IF(SETUP!$G$43=2,$E$149*'TB-EQUIPMENT &amp; OTHER HPs'!BA16,IF(SETUP!$G$43=1,$E$149*'TB-EQUIPMENT &amp; OTHER HPs'!BB16,0)))),0)</f>
        <v>0</v>
      </c>
      <c r="N151" s="1194">
        <f>IF(SETUP!$F$43="At delivery",IF(SETUP!$G$43=4,$E$149*'TB-EQUIPMENT &amp; OTHER HPs'!AZ16,IF(SETUP!$G$43=3,$E$149*'TB-EQUIPMENT &amp; OTHER HPs'!BA16,IF(SETUP!$G$43=2,$E$149*'TB-EQUIPMENT &amp; OTHER HPs'!BB16,IF(SETUP!$G$43=1,$E$149*'TB-EQUIPMENT &amp; OTHER HPs'!BC16,0)))),0)</f>
        <v>0</v>
      </c>
      <c r="O151" s="1191">
        <f t="shared" si="17"/>
        <v>0</v>
      </c>
      <c r="P151" s="1189">
        <f>IF(SETUP!$F$43="At delivery",IF(SETUP!$G$43=4,$E$149*'TB-EQUIPMENT &amp; OTHER HPs'!BA16,IF(SETUP!$G$43=3,$E$149*'TB-EQUIPMENT &amp; OTHER HPs'!BB16,IF(SETUP!$G$43=2,$E$149*'TB-EQUIPMENT &amp; OTHER HPs'!BC16,IF(SETUP!$G$43=1,$E$149*'TB-EQUIPMENT &amp; OTHER HPs'!BD16,0)))),0)</f>
        <v>0</v>
      </c>
      <c r="Q151" s="1189">
        <f>IF(SETUP!$F$43="At delivery",IF(SETUP!$G$43=4,$E$149*'TB-EQUIPMENT &amp; OTHER HPs'!BB16,IF(SETUP!$G$43=3,$E$149*'TB-EQUIPMENT &amp; OTHER HPs'!BC16,IF(SETUP!$G$43=2,$E$149*'TB-EQUIPMENT &amp; OTHER HPs'!BD16,IF(SETUP!$G$43=1,$E$149*'TB-EQUIPMENT &amp; OTHER HPs'!BE16,0)))),0)</f>
        <v>0</v>
      </c>
      <c r="R151" s="1189">
        <f>IF(SETUP!$F$43="At delivery",IF(SETUP!$G$43=4,$E$149*'TB-EQUIPMENT &amp; OTHER HPs'!BC16,IF(SETUP!$G$43=3,$E$149*'TB-EQUIPMENT &amp; OTHER HPs'!BD16,IF(SETUP!$G$43=2,$E$149*'TB-EQUIPMENT &amp; OTHER HPs'!BE16,IF(SETUP!$G$43=1,$E$149*'TB-EQUIPMENT &amp; OTHER HPs'!BF16,0)))),0)</f>
        <v>0</v>
      </c>
      <c r="S151" s="1189">
        <f>IF(SETUP!$F$43="At delivery",IF(SETUP!$G$43=4,$E$149*('TB-EQUIPMENT &amp; OTHER HPs'!BD16+'TB-EQUIPMENT &amp; OTHER HPs'!BE16+'TB-EQUIPMENT &amp; OTHER HPs'!BF16+'TB-EQUIPMENT &amp; OTHER HPs'!BG16+'TB-EQUIPMENT &amp; OTHER HPs'!BH16),IF(SETUP!$G$43=3,$E$149*('TB-EQUIPMENT &amp; OTHER HPs'!BE16+'TB-EQUIPMENT &amp; OTHER HPs'!BF16+'TB-EQUIPMENT &amp; OTHER HPs'!BG16+'TB-EQUIPMENT &amp; OTHER HPs'!BH16),IF(SETUP!$G$43=2,$E$149*('TB-EQUIPMENT &amp; OTHER HPs'!BF16+'TB-EQUIPMENT &amp; OTHER HPs'!BG16+'TB-EQUIPMENT &amp; OTHER HPs'!BH16),IF(SETUP!$G$43=1,$E$149*('TB-EQUIPMENT &amp; OTHER HPs'!BG16+'TB-EQUIPMENT &amp; OTHER HPs'!BH16),0)))),0)</f>
        <v>0</v>
      </c>
      <c r="T151" s="1190">
        <f t="shared" si="18"/>
        <v>0</v>
      </c>
      <c r="U151" s="1189">
        <f t="shared" si="19"/>
        <v>0</v>
      </c>
      <c r="V151" s="1795">
        <v>7.2</v>
      </c>
      <c r="W151" s="1823"/>
      <c r="X151" s="1820"/>
    </row>
    <row r="152" spans="1:24" s="860" customFormat="1" ht="15" hidden="1" customHeight="1" collapsed="1">
      <c r="A152" s="2905"/>
      <c r="B152" s="2906"/>
      <c r="C152" s="2907" t="s">
        <v>574</v>
      </c>
      <c r="D152" s="2911"/>
      <c r="E152" s="1649">
        <v>0</v>
      </c>
      <c r="F152" s="1279">
        <f>IF(SETUP!$F$44="Upfront",F153,F154)</f>
        <v>0</v>
      </c>
      <c r="G152" s="1195">
        <f>IF(SETUP!$F$44="Upfront",G153,G154)</f>
        <v>0</v>
      </c>
      <c r="H152" s="1194">
        <f>IF(SETUP!$F$44="Upfront",H153,H154)</f>
        <v>0</v>
      </c>
      <c r="I152" s="1194">
        <f>IF(SETUP!$F$44="Upfront",I153,I154)</f>
        <v>0</v>
      </c>
      <c r="J152" s="1193">
        <f t="shared" si="16"/>
        <v>0</v>
      </c>
      <c r="K152" s="1194">
        <f>IF(SETUP!$F$44="Upfront",K153,K154)</f>
        <v>0</v>
      </c>
      <c r="L152" s="1194">
        <f>IF(SETUP!$F$44="Upfront",L153,L154)</f>
        <v>0</v>
      </c>
      <c r="M152" s="1194">
        <f>IF(SETUP!$F$44="Upfront",M153,M154)</f>
        <v>0</v>
      </c>
      <c r="N152" s="1194">
        <f>IF(SETUP!$F$44="Upfront",N153,N154)</f>
        <v>0</v>
      </c>
      <c r="O152" s="1191">
        <f t="shared" si="17"/>
        <v>0</v>
      </c>
      <c r="P152" s="1189">
        <f>IF(SETUP!$F$44="Upfront",P153,P154)</f>
        <v>0</v>
      </c>
      <c r="Q152" s="1189">
        <f>IF(SETUP!$F$44="Upfront",Q153,Q154)</f>
        <v>0</v>
      </c>
      <c r="R152" s="1189">
        <f>IF(SETUP!$F$44="Upfront",R153,R154)</f>
        <v>0</v>
      </c>
      <c r="S152" s="1189">
        <f>IF(SETUP!$F$44="Upfront",S153,S154)</f>
        <v>0</v>
      </c>
      <c r="T152" s="1190">
        <f t="shared" si="18"/>
        <v>0</v>
      </c>
      <c r="U152" s="1189">
        <f t="shared" si="19"/>
        <v>0</v>
      </c>
      <c r="V152" s="1795">
        <v>7.2</v>
      </c>
      <c r="W152" s="1823"/>
      <c r="X152" s="1820"/>
    </row>
    <row r="153" spans="1:24" s="860" customFormat="1" ht="15" hidden="1" customHeight="1" outlineLevel="1">
      <c r="A153" s="2905"/>
      <c r="B153" s="2906"/>
      <c r="C153" s="2889" t="s">
        <v>918</v>
      </c>
      <c r="D153" s="2912"/>
      <c r="E153" s="1649"/>
      <c r="F153" s="1279">
        <f>IF(SETUP!$F$44="Upfront",$E$152*'TB-EQUIPMENT &amp; OTHER HPs'!AW17,0)</f>
        <v>0</v>
      </c>
      <c r="G153" s="1195">
        <f>IF(SETUP!$F$44="Upfront",$E$152*'TB-EQUIPMENT &amp; OTHER HPs'!AX17,0)</f>
        <v>0</v>
      </c>
      <c r="H153" s="1194">
        <f>IF(SETUP!$F$44="Upfront",$E$152*'TB-EQUIPMENT &amp; OTHER HPs'!AY17,0)</f>
        <v>0</v>
      </c>
      <c r="I153" s="1194">
        <f>IF(SETUP!$F$44="Upfront",$E$152*'TB-EQUIPMENT &amp; OTHER HPs'!AZ17,0)</f>
        <v>0</v>
      </c>
      <c r="J153" s="1193">
        <f t="shared" si="16"/>
        <v>0</v>
      </c>
      <c r="K153" s="1194">
        <f>IF(SETUP!$F$44="Upfront",$E$152*'TB-EQUIPMENT &amp; OTHER HPs'!BA17,0)</f>
        <v>0</v>
      </c>
      <c r="L153" s="1194">
        <f>IF(SETUP!$F$44="Upfront",$E$152*'TB-EQUIPMENT &amp; OTHER HPs'!BB17,0)</f>
        <v>0</v>
      </c>
      <c r="M153" s="1194">
        <f>IF(SETUP!$F$44="Upfront",$E$152*'TB-EQUIPMENT &amp; OTHER HPs'!BC17,0)</f>
        <v>0</v>
      </c>
      <c r="N153" s="1194">
        <f>IF(SETUP!$F$44="Upfront",$E$152*'TB-EQUIPMENT &amp; OTHER HPs'!BD17,0)</f>
        <v>0</v>
      </c>
      <c r="O153" s="1191">
        <f t="shared" si="17"/>
        <v>0</v>
      </c>
      <c r="P153" s="1189">
        <f>IF(SETUP!$F$44="Upfront",$E$152*'TB-EQUIPMENT &amp; OTHER HPs'!BE17,0)</f>
        <v>0</v>
      </c>
      <c r="Q153" s="1189">
        <f>IF(SETUP!$F$44="Upfront",$E$152*'TB-EQUIPMENT &amp; OTHER HPs'!BF17,0)</f>
        <v>0</v>
      </c>
      <c r="R153" s="1189">
        <f>IF(SETUP!$F$44="Upfront",$E$152*'TB-EQUIPMENT &amp; OTHER HPs'!BG17,0)</f>
        <v>0</v>
      </c>
      <c r="S153" s="1189">
        <f>IF(SETUP!$F$44="Upfront",$E$152*'TB-EQUIPMENT &amp; OTHER HPs'!BH17,0)</f>
        <v>0</v>
      </c>
      <c r="T153" s="1190">
        <f t="shared" si="18"/>
        <v>0</v>
      </c>
      <c r="U153" s="1189">
        <f t="shared" si="19"/>
        <v>0</v>
      </c>
      <c r="V153" s="1795">
        <v>7.2</v>
      </c>
      <c r="W153" s="1823"/>
      <c r="X153" s="1820"/>
    </row>
    <row r="154" spans="1:24" s="860" customFormat="1" ht="15" hidden="1" customHeight="1" outlineLevel="1">
      <c r="A154" s="2905"/>
      <c r="B154" s="2906"/>
      <c r="C154" s="2889" t="s">
        <v>36</v>
      </c>
      <c r="D154" s="2912"/>
      <c r="E154" s="1649"/>
      <c r="F154" s="1279">
        <v>0</v>
      </c>
      <c r="G154" s="1195">
        <f>IF(SETUP!$F$44="At delivery",IF(SETUP!$G$44=1,$E$152*'TB-EQUIPMENT &amp; OTHER HPs'!AW17,0),0)</f>
        <v>0</v>
      </c>
      <c r="H154" s="1194">
        <f>IF(SETUP!$F$44="At delivery",IF(SETUP!$G$44=2,$E$152*'TB-EQUIPMENT &amp; OTHER HPs'!AW17,IF(SETUP!$G$44=1,$E$152*'TB-EQUIPMENT &amp; OTHER HPs'!AX17,0)),0)</f>
        <v>0</v>
      </c>
      <c r="I154" s="1194">
        <f>IF(SETUP!$F$44="At delivery",IF(SETUP!$G$44=3,$E$152*'TB-EQUIPMENT &amp; OTHER HPs'!AW17,IF(SETUP!$G$44=2,$E$152*'TB-EQUIPMENT &amp; OTHER HPs'!AX17,IF(SETUP!$G$44=1,$E$152*'TB-EQUIPMENT &amp; OTHER HPs'!AY17,0))),0)</f>
        <v>0</v>
      </c>
      <c r="J154" s="1193">
        <f t="shared" si="16"/>
        <v>0</v>
      </c>
      <c r="K154" s="1194">
        <f>IF(SETUP!$F$44="At delivery",IF(SETUP!$G$44=4,$E$152*'TB-EQUIPMENT &amp; OTHER HPs'!AW17,IF(SETUP!$G$44=3,$E$152*'TB-EQUIPMENT &amp; OTHER HPs'!AX17,IF(SETUP!$G$44=2,$E$152*'TB-EQUIPMENT &amp; OTHER HPs'!AY17,IF(SETUP!$G$44=1,$E$152*'TB-EQUIPMENT &amp; OTHER HPs'!AZ17,0)))),0)</f>
        <v>0</v>
      </c>
      <c r="L154" s="1194">
        <f>IF(SETUP!$F$44="At delivery",IF(SETUP!$G$44=4,$E$152*'TB-EQUIPMENT &amp; OTHER HPs'!AX17,IF(SETUP!$G$44=3,$E$152*'TB-EQUIPMENT &amp; OTHER HPs'!AY17,IF(SETUP!$G$44=2,$E$152*'TB-EQUIPMENT &amp; OTHER HPs'!AZ17,IF(SETUP!$G$44=1,$E$152*'TB-EQUIPMENT &amp; OTHER HPs'!BA17,0)))),0)</f>
        <v>0</v>
      </c>
      <c r="M154" s="1194">
        <f>IF(SETUP!$F$44="At delivery",IF(SETUP!$G$44=4,$E$152*'TB-EQUIPMENT &amp; OTHER HPs'!AY17,IF(SETUP!$G$44=3,$E$152*'TB-EQUIPMENT &amp; OTHER HPs'!AZ17,IF(SETUP!$G$44=2,$E$152*'TB-EQUIPMENT &amp; OTHER HPs'!BA17,IF(SETUP!$G$44=1,$E$152*'TB-EQUIPMENT &amp; OTHER HPs'!BB17,0)))),0)</f>
        <v>0</v>
      </c>
      <c r="N154" s="1194">
        <f>IF(SETUP!$F$44="At delivery",IF(SETUP!$G$44=4,$E$152*'TB-EQUIPMENT &amp; OTHER HPs'!AZ17,IF(SETUP!$G$44=3,$E$152*'TB-EQUIPMENT &amp; OTHER HPs'!BA17,IF(SETUP!$G$44=2,$E$152*'TB-EQUIPMENT &amp; OTHER HPs'!BB17,IF(SETUP!$G$44=1,$E$152*'TB-EQUIPMENT &amp; OTHER HPs'!BC17,0)))),0)</f>
        <v>0</v>
      </c>
      <c r="O154" s="1191">
        <f t="shared" si="17"/>
        <v>0</v>
      </c>
      <c r="P154" s="1189">
        <f>IF(SETUP!$F$44="At delivery",IF(SETUP!$G$44=4,$E$152*'TB-EQUIPMENT &amp; OTHER HPs'!BA17,IF(SETUP!$G$44=3,$E$152*'TB-EQUIPMENT &amp; OTHER HPs'!BB17,IF(SETUP!$G$44=2,$E$152*'TB-EQUIPMENT &amp; OTHER HPs'!BC17,IF(SETUP!$G$44=1,$E$152*'TB-EQUIPMENT &amp; OTHER HPs'!BD17,0)))),0)</f>
        <v>0</v>
      </c>
      <c r="Q154" s="1189">
        <f>IF(SETUP!$F$44="At delivery",IF(SETUP!$G$44=4,$E$152*'TB-EQUIPMENT &amp; OTHER HPs'!BB17,IF(SETUP!$G$44=3,$E$152*'TB-EQUIPMENT &amp; OTHER HPs'!BC17,IF(SETUP!$G$44=2,$E$152*'TB-EQUIPMENT &amp; OTHER HPs'!BD17,IF(SETUP!$G$44=1,$E$152*'TB-EQUIPMENT &amp; OTHER HPs'!BE17,0)))),0)</f>
        <v>0</v>
      </c>
      <c r="R154" s="1189">
        <f>IF(SETUP!$F$44="At delivery",IF(SETUP!$G$44=4,$E$152*'TB-EQUIPMENT &amp; OTHER HPs'!BC17,IF(SETUP!$G$44=3,$E$152*'TB-EQUIPMENT &amp; OTHER HPs'!BD17,IF(SETUP!$G$44=2,$E$152*'TB-EQUIPMENT &amp; OTHER HPs'!BE17,IF(SETUP!$G$44=1,$E$152*'TB-EQUIPMENT &amp; OTHER HPs'!BF17,0)))),0)</f>
        <v>0</v>
      </c>
      <c r="S154" s="1189">
        <f>IF(SETUP!$F$44="At delivery",IF(SETUP!$G$44=4,$E$152*('TB-EQUIPMENT &amp; OTHER HPs'!BD17+'TB-EQUIPMENT &amp; OTHER HPs'!BE17+'TB-EQUIPMENT &amp; OTHER HPs'!BF17+'TB-EQUIPMENT &amp; OTHER HPs'!BG17+'TB-EQUIPMENT &amp; OTHER HPs'!BH17),IF(SETUP!$G$44=3,$E$152*('TB-EQUIPMENT &amp; OTHER HPs'!BE17+'TB-EQUIPMENT &amp; OTHER HPs'!BF17+'TB-EQUIPMENT &amp; OTHER HPs'!BG17+'TB-EQUIPMENT &amp; OTHER HPs'!BH17),IF(SETUP!$G$44=2,$E$152*('TB-EQUIPMENT &amp; OTHER HPs'!BF17+'TB-EQUIPMENT &amp; OTHER HPs'!BG17+'TB-EQUIPMENT &amp; OTHER HPs'!BH17),IF(SETUP!$G$44=1,$E$152*('TB-EQUIPMENT &amp; OTHER HPs'!BG17+'TB-EQUIPMENT &amp; OTHER HPs'!BH17),0)))),0)</f>
        <v>0</v>
      </c>
      <c r="T154" s="1190">
        <f t="shared" si="18"/>
        <v>0</v>
      </c>
      <c r="U154" s="1189">
        <f t="shared" si="19"/>
        <v>0</v>
      </c>
      <c r="V154" s="1795">
        <v>7.2</v>
      </c>
      <c r="W154" s="1823"/>
      <c r="X154" s="1820"/>
    </row>
    <row r="155" spans="1:24" s="860" customFormat="1" ht="15" hidden="1" customHeight="1" collapsed="1">
      <c r="A155" s="2909" t="s">
        <v>575</v>
      </c>
      <c r="B155" s="2910"/>
      <c r="C155" s="2891" t="s">
        <v>576</v>
      </c>
      <c r="D155" s="2968"/>
      <c r="E155" s="1649">
        <v>0</v>
      </c>
      <c r="F155" s="1279">
        <f>IF(SETUP!$F$50="Upfront",F156,F157)</f>
        <v>0</v>
      </c>
      <c r="G155" s="1189">
        <f>IF(SETUP!$F$50="Upfront",G156,G157)</f>
        <v>0</v>
      </c>
      <c r="H155" s="1189">
        <f>IF(SETUP!$F$50="Upfront",H156,H157)</f>
        <v>0</v>
      </c>
      <c r="I155" s="1189">
        <f>IF(SETUP!$F$50="Upfront",I156,I157)</f>
        <v>0</v>
      </c>
      <c r="J155" s="1193">
        <f t="shared" si="16"/>
        <v>0</v>
      </c>
      <c r="K155" s="1194">
        <f>IF(SETUP!$F$50="Upfront",K156,K157)</f>
        <v>0</v>
      </c>
      <c r="L155" s="1194">
        <f>IF(SETUP!$F$50="Upfront",L156,L157)</f>
        <v>0</v>
      </c>
      <c r="M155" s="1194">
        <f>IF(SETUP!$F$50="Upfront",M156,M157)</f>
        <v>0</v>
      </c>
      <c r="N155" s="1194">
        <f>IF(SETUP!$F$50="Upfront",N156,N157)</f>
        <v>0</v>
      </c>
      <c r="O155" s="1191">
        <f t="shared" si="17"/>
        <v>0</v>
      </c>
      <c r="P155" s="1189">
        <f>IF(SETUP!$F$50="Upfront",P156,P157)</f>
        <v>0</v>
      </c>
      <c r="Q155" s="1189">
        <f>IF(SETUP!$F$50="Upfront",Q156,Q157)</f>
        <v>0</v>
      </c>
      <c r="R155" s="1189">
        <f>IF(SETUP!$F$50="Upfront",R156,R157)</f>
        <v>0</v>
      </c>
      <c r="S155" s="1189">
        <f>IF(SETUP!$F$50="Upfront",S156,S157)</f>
        <v>0</v>
      </c>
      <c r="T155" s="1190">
        <f t="shared" si="18"/>
        <v>0</v>
      </c>
      <c r="U155" s="1189">
        <f t="shared" si="19"/>
        <v>0</v>
      </c>
      <c r="V155" s="1795">
        <v>7.2</v>
      </c>
      <c r="W155" s="1823"/>
      <c r="X155" s="1820" t="s">
        <v>577</v>
      </c>
    </row>
    <row r="156" spans="1:24" s="860" customFormat="1" ht="15" hidden="1" customHeight="1" outlineLevel="1">
      <c r="A156" s="2909"/>
      <c r="B156" s="2910"/>
      <c r="C156" s="2889" t="s">
        <v>918</v>
      </c>
      <c r="D156" s="2912"/>
      <c r="E156" s="1649"/>
      <c r="F156" s="1279">
        <f>IF(SETUP!$F$50="Upfront",$E$155*'Malaria-Pharmaceuticals'!AW14,0)</f>
        <v>0</v>
      </c>
      <c r="G156" s="1189">
        <f>IF(SETUP!$F$50="Upfront",$E$155*'Malaria-Pharmaceuticals'!AX14,0)</f>
        <v>0</v>
      </c>
      <c r="H156" s="1189">
        <f>IF(SETUP!$F$50="Upfront",$E$155*'Malaria-Pharmaceuticals'!AY14,0)</f>
        <v>0</v>
      </c>
      <c r="I156" s="1189">
        <f>IF(SETUP!$F$50="Upfront",$E$155*'Malaria-Pharmaceuticals'!AZ14,0)</f>
        <v>0</v>
      </c>
      <c r="J156" s="1190">
        <f t="shared" si="16"/>
        <v>0</v>
      </c>
      <c r="K156" s="1189">
        <f>IF(SETUP!$F$50="Upfront",$E$155*'Malaria-Pharmaceuticals'!BA14,0)</f>
        <v>0</v>
      </c>
      <c r="L156" s="1189">
        <f>IF(SETUP!$F$50="Upfront",$E$155*'Malaria-Pharmaceuticals'!BB14,0)</f>
        <v>0</v>
      </c>
      <c r="M156" s="1189">
        <f>IF(SETUP!$F$50="Upfront",$E$155*'Malaria-Pharmaceuticals'!BC14,0)</f>
        <v>0</v>
      </c>
      <c r="N156" s="1189">
        <f>IF(SETUP!$F$50="Upfront",$E$155*'Malaria-Pharmaceuticals'!BD14,0)</f>
        <v>0</v>
      </c>
      <c r="O156" s="1191">
        <f t="shared" si="17"/>
        <v>0</v>
      </c>
      <c r="P156" s="1192">
        <f>IF(SETUP!$F$50="Upfront",$E$155*'Malaria-Pharmaceuticals'!BE14,0)</f>
        <v>0</v>
      </c>
      <c r="Q156" s="1192">
        <f>IF(SETUP!$F$50="Upfront",$E$155*'Malaria-Pharmaceuticals'!BF14,0)</f>
        <v>0</v>
      </c>
      <c r="R156" s="1192">
        <f>IF(SETUP!$F$50="Upfront",$E$155*'Malaria-Pharmaceuticals'!BG14,0)</f>
        <v>0</v>
      </c>
      <c r="S156" s="1192">
        <f>IF(SETUP!$F$50="Upfront",$E$155*'Malaria-Pharmaceuticals'!BH14,0)</f>
        <v>0</v>
      </c>
      <c r="T156" s="1190">
        <f t="shared" si="18"/>
        <v>0</v>
      </c>
      <c r="U156" s="1189">
        <f t="shared" si="19"/>
        <v>0</v>
      </c>
      <c r="V156" s="1795">
        <v>7.2</v>
      </c>
      <c r="W156" s="1823"/>
      <c r="X156" s="1820"/>
    </row>
    <row r="157" spans="1:24" s="860" customFormat="1" ht="15" hidden="1" customHeight="1" outlineLevel="1">
      <c r="A157" s="2909"/>
      <c r="B157" s="2910"/>
      <c r="C157" s="2889" t="s">
        <v>36</v>
      </c>
      <c r="D157" s="2912"/>
      <c r="E157" s="1649"/>
      <c r="F157" s="1279">
        <v>0</v>
      </c>
      <c r="G157" s="1192">
        <f>IF(SETUP!$F$50="At delivery",IF(SETUP!$G$50=1,$E$155*'Malaria-Pharmaceuticals'!AW14,0),0)</f>
        <v>0</v>
      </c>
      <c r="H157" s="1192">
        <f>IF(SETUP!$F$50="At delivery",IF(SETUP!$G$50=2,$E$155*'Malaria-Pharmaceuticals'!AW14,IF(SETUP!$G$50=1,$E$155*'Malaria-Pharmaceuticals'!AX14,0)),0)</f>
        <v>0</v>
      </c>
      <c r="I157" s="1192">
        <f>IF(SETUP!$F$50="At delivery",IF(SETUP!$G$50=3,$E$155*'Malaria-Pharmaceuticals'!AW14,IF(SETUP!$G$50=2,$E$155*'Malaria-Pharmaceuticals'!AX14,IF(SETUP!$G$50=1,$E$155*'Malaria-Pharmaceuticals'!AY14,0))),0)</f>
        <v>0</v>
      </c>
      <c r="J157" s="1193">
        <f t="shared" ref="J157:J179" si="20">F157+G157+H157+I157</f>
        <v>0</v>
      </c>
      <c r="K157" s="1194">
        <f>IF(SETUP!$F$50="At delivery",IF(SETUP!$G$50=4,$E$155*'Malaria-Pharmaceuticals'!AW14,IF(SETUP!$G$50=3,$E$155*'Malaria-Pharmaceuticals'!AX14,IF(SETUP!$G$50=2,$E$155*'Malaria-Pharmaceuticals'!AY14,IF(SETUP!$G$50=1,$E$155*'Malaria-Pharmaceuticals'!AZ14,0)))),0)</f>
        <v>0</v>
      </c>
      <c r="L157" s="1194">
        <f>IF(SETUP!$F$50="At delivery",IF(SETUP!$G$50=4,$E$155*'Malaria-Pharmaceuticals'!AX14,IF(SETUP!$G$50=3,$E$155*'Malaria-Pharmaceuticals'!AY14,IF(SETUP!$G$50=2,$E$155*'Malaria-Pharmaceuticals'!AZ14,IF(SETUP!$G$50=1,$E$155*'Malaria-Pharmaceuticals'!BA14,0)))),0)</f>
        <v>0</v>
      </c>
      <c r="M157" s="1194">
        <f>IF(SETUP!$F$50="At delivery",IF(SETUP!$G$50=4,$E$155*'Malaria-Pharmaceuticals'!AY14,IF(SETUP!$G$50=3,$E$155*'Malaria-Pharmaceuticals'!AZ14,IF(SETUP!$G$50=2,$E$155*'Malaria-Pharmaceuticals'!BA14,IF(SETUP!$G$50=1,$E$155*'Malaria-Pharmaceuticals'!BB14,0)))),0)</f>
        <v>0</v>
      </c>
      <c r="N157" s="1194">
        <f>IF(SETUP!$F$50="At delivery",IF(SETUP!$G$50=4,$E$155*'Malaria-Pharmaceuticals'!AZ14,IF(SETUP!$G$50=3,$E$155*'Malaria-Pharmaceuticals'!BA14,IF(SETUP!$G$50=2,$E$155*'Malaria-Pharmaceuticals'!BB14,IF(SETUP!$G$50=1,$E$155*'Malaria-Pharmaceuticals'!BC14,0)))),0)</f>
        <v>0</v>
      </c>
      <c r="O157" s="1191">
        <f t="shared" ref="O157:O179" si="21">K157+L157+M157+N157</f>
        <v>0</v>
      </c>
      <c r="P157" s="1189">
        <f>IF(SETUP!$F$50="At delivery",IF(SETUP!$G$50=4,$E$155*'Malaria-Pharmaceuticals'!BA14,IF(SETUP!$G$50=3,$E$155*'Malaria-Pharmaceuticals'!BB14,IF(SETUP!$G$50=2,$E$155*'Malaria-Pharmaceuticals'!BC14,IF(SETUP!$G$50=1,$E$155*'Malaria-Pharmaceuticals'!BD14,0)))),0)</f>
        <v>0</v>
      </c>
      <c r="Q157" s="1189">
        <f>IF(SETUP!$F$50="At delivery",IF(SETUP!$G$50=4,$E$155*'Malaria-Pharmaceuticals'!BB14,IF(SETUP!$G$50=3,$E$155*'Malaria-Pharmaceuticals'!BC14,IF(SETUP!$G$50=2,$E$155*'Malaria-Pharmaceuticals'!BD14,IF(SETUP!$G$50=1,$E$155*'Malaria-Pharmaceuticals'!BE14,0)))),0)</f>
        <v>0</v>
      </c>
      <c r="R157" s="1189">
        <f>IF(SETUP!$F$50="At delivery",IF(SETUP!$G$50=4,$E$155*'Malaria-Pharmaceuticals'!BC14,IF(SETUP!$G$50=3,$E$155*'Malaria-Pharmaceuticals'!BD14,IF(SETUP!$G$50=2,$E$155*'Malaria-Pharmaceuticals'!BE14,IF(SETUP!$G$50=1,$E$155*'Malaria-Pharmaceuticals'!BF14,0)))),0)</f>
        <v>0</v>
      </c>
      <c r="S157" s="1189">
        <f>IF(SETUP!$F$50="At delivery",IF(SETUP!$G$50=4,$E$155*('Malaria-Pharmaceuticals'!BD14+'Malaria-Pharmaceuticals'!BE14+'Malaria-Pharmaceuticals'!BF14+'Malaria-Pharmaceuticals'!BG14+'Malaria-Pharmaceuticals'!BH14),IF(SETUP!$G$50=3,$E$155*('Malaria-Pharmaceuticals'!BE14+'Malaria-Pharmaceuticals'!BF14+'Malaria-Pharmaceuticals'!BG14+'Malaria-Pharmaceuticals'!BH14),IF(SETUP!$G$50=2,$E$155*('Malaria-Pharmaceuticals'!BF14+'Malaria-Pharmaceuticals'!BG14+'Malaria-Pharmaceuticals'!BH14),IF(SETUP!$G$50=1,$E$155*('Malaria-Pharmaceuticals'!BG14+'Malaria-Pharmaceuticals'!BH14),0)))),0)</f>
        <v>0</v>
      </c>
      <c r="T157" s="1190">
        <f t="shared" ref="T157:T179" si="22">P157+Q157+R157+S157</f>
        <v>0</v>
      </c>
      <c r="U157" s="1189">
        <f t="shared" ref="U157:U179" si="23">J157+O157+T157</f>
        <v>0</v>
      </c>
      <c r="V157" s="1795">
        <v>7.2</v>
      </c>
      <c r="W157" s="1823"/>
      <c r="X157" s="1820"/>
    </row>
    <row r="158" spans="1:24" s="860" customFormat="1" ht="15" hidden="1" customHeight="1" collapsed="1">
      <c r="A158" s="2909"/>
      <c r="B158" s="2910"/>
      <c r="C158" s="2891" t="s">
        <v>1235</v>
      </c>
      <c r="D158" s="2968"/>
      <c r="E158" s="1649">
        <v>0</v>
      </c>
      <c r="F158" s="1279">
        <f>IF(SETUP!$F$51="Upfront",F159,F160)</f>
        <v>0</v>
      </c>
      <c r="G158" s="1189">
        <f>IF(SETUP!$F$51="Upfront",G159,G160)</f>
        <v>0</v>
      </c>
      <c r="H158" s="1189">
        <f>IF(SETUP!$F$51="Upfront",H159,H160)</f>
        <v>0</v>
      </c>
      <c r="I158" s="1189">
        <f>IF(SETUP!$F$51="Upfront",I159,I160)</f>
        <v>0</v>
      </c>
      <c r="J158" s="1193">
        <f t="shared" si="20"/>
        <v>0</v>
      </c>
      <c r="K158" s="1194">
        <f>IF(SETUP!$F$51="Upfront",K159,K160)</f>
        <v>0</v>
      </c>
      <c r="L158" s="1194">
        <f>IF(SETUP!$F$51="Upfront",L159,L160)</f>
        <v>0</v>
      </c>
      <c r="M158" s="1194">
        <f>IF(SETUP!$F$51="Upfront",M159,M160)</f>
        <v>0</v>
      </c>
      <c r="N158" s="1194">
        <f>IF(SETUP!$F$51="Upfront",N159,N160)</f>
        <v>0</v>
      </c>
      <c r="O158" s="1191">
        <f t="shared" si="21"/>
        <v>0</v>
      </c>
      <c r="P158" s="1189">
        <f>IF(SETUP!$F$51="Upfront",P159,P160)</f>
        <v>0</v>
      </c>
      <c r="Q158" s="1189">
        <f>IF(SETUP!$F$51="Upfront",Q159,Q160)</f>
        <v>0</v>
      </c>
      <c r="R158" s="1189">
        <f>IF(SETUP!$F$51="Upfront",R159,R160)</f>
        <v>0</v>
      </c>
      <c r="S158" s="1189">
        <f>IF(SETUP!$F$51="Upfront",S159,S160)</f>
        <v>0</v>
      </c>
      <c r="T158" s="1190">
        <f t="shared" si="22"/>
        <v>0</v>
      </c>
      <c r="U158" s="1189">
        <f t="shared" si="23"/>
        <v>0</v>
      </c>
      <c r="V158" s="1795">
        <v>7.2</v>
      </c>
      <c r="W158" s="1823"/>
      <c r="X158" s="1820"/>
    </row>
    <row r="159" spans="1:24" s="860" customFormat="1" ht="15" hidden="1" customHeight="1" outlineLevel="1">
      <c r="A159" s="2909"/>
      <c r="B159" s="2910"/>
      <c r="C159" s="2889" t="s">
        <v>918</v>
      </c>
      <c r="D159" s="2912"/>
      <c r="E159" s="1649"/>
      <c r="F159" s="1280">
        <f>IF(SETUP!$F$51="Upfront",$E$158*'Malaria-Pharmaceuticals'!AW15,0)</f>
        <v>0</v>
      </c>
      <c r="G159" s="1205">
        <f>IF(SETUP!$F$51="Upfront",$E$158*'Malaria-Pharmaceuticals'!AX15,0)</f>
        <v>0</v>
      </c>
      <c r="H159" s="1205">
        <f>IF(SETUP!$F$51="Upfront",$E$158*'Malaria-Pharmaceuticals'!AY15,0)</f>
        <v>0</v>
      </c>
      <c r="I159" s="1205">
        <f>IF(SETUP!$F$51="Upfront",$E$158*'Malaria-Pharmaceuticals'!AZ15,0)</f>
        <v>0</v>
      </c>
      <c r="J159" s="1193">
        <f t="shared" si="20"/>
        <v>0</v>
      </c>
      <c r="K159" s="1205">
        <f>IF(SETUP!$F$51="Upfront",$E$158*'Malaria-Pharmaceuticals'!BA15,0)</f>
        <v>0</v>
      </c>
      <c r="L159" s="1205">
        <f>IF(SETUP!$F$51="Upfront",$E$158*'Malaria-Pharmaceuticals'!BB15,0)</f>
        <v>0</v>
      </c>
      <c r="M159" s="1205">
        <f>IF(SETUP!$F$51="Upfront",$E$158*'Malaria-Pharmaceuticals'!BC15,0)</f>
        <v>0</v>
      </c>
      <c r="N159" s="1205">
        <f>IF(SETUP!$F$51="Upfront",$E$158*'Malaria-Pharmaceuticals'!BD15,0)</f>
        <v>0</v>
      </c>
      <c r="O159" s="1191">
        <f t="shared" si="21"/>
        <v>0</v>
      </c>
      <c r="P159" s="1205">
        <f>IF(SETUP!$F$51="Upfront",$E$158*'Malaria-Pharmaceuticals'!BE15,0)</f>
        <v>0</v>
      </c>
      <c r="Q159" s="1205">
        <f>IF(SETUP!$F$51="Upfront",$E$158*'Malaria-Pharmaceuticals'!BF15,0)</f>
        <v>0</v>
      </c>
      <c r="R159" s="1205">
        <f>IF(SETUP!$F$51="Upfront",$E$158*'Malaria-Pharmaceuticals'!BG15,0)</f>
        <v>0</v>
      </c>
      <c r="S159" s="1205">
        <f>IF(SETUP!$F$51="Upfront",$E$158*'Malaria-Pharmaceuticals'!BH15,0)</f>
        <v>0</v>
      </c>
      <c r="T159" s="1190">
        <f t="shared" si="22"/>
        <v>0</v>
      </c>
      <c r="U159" s="1189">
        <f t="shared" si="23"/>
        <v>0</v>
      </c>
      <c r="V159" s="1795">
        <v>7.2</v>
      </c>
      <c r="W159" s="1823"/>
      <c r="X159" s="1820"/>
    </row>
    <row r="160" spans="1:24" s="860" customFormat="1" ht="15" hidden="1" customHeight="1" outlineLevel="1">
      <c r="A160" s="2909"/>
      <c r="B160" s="2910"/>
      <c r="C160" s="2889" t="s">
        <v>36</v>
      </c>
      <c r="D160" s="2912"/>
      <c r="E160" s="1649"/>
      <c r="F160" s="1280">
        <v>0</v>
      </c>
      <c r="G160" s="1206">
        <f>IF(SETUP!$F$51="At delivery",IF(SETUP!$G$51=1,$E$158*'Malaria-Pharmaceuticals'!AW15,0),0)</f>
        <v>0</v>
      </c>
      <c r="H160" s="1206">
        <f>IF(SETUP!$F$51="At delivery",IF(SETUP!$G$51=2,$E$158*'Malaria-Pharmaceuticals'!AW15,IF(SETUP!$G$51=1,$E$158*'Malaria-Pharmaceuticals'!AX15,0)),0)</f>
        <v>0</v>
      </c>
      <c r="I160" s="1206">
        <f>IF(SETUP!$F$51="At delivery",IF(SETUP!$G$51=3,$E$158*'Malaria-Pharmaceuticals'!AW15,IF(SETUP!$G$51=2,$E$158*'Malaria-Pharmaceuticals'!AX15,IF(SETUP!$G$51=1,$E$158*'Malaria-Pharmaceuticals'!AY15,0))),0)</f>
        <v>0</v>
      </c>
      <c r="J160" s="1193">
        <f t="shared" si="20"/>
        <v>0</v>
      </c>
      <c r="K160" s="1206">
        <f>IF(SETUP!$F$51="At delivery",IF(SETUP!$G$51=4,$E$158*'Malaria-Pharmaceuticals'!AW15,IF(SETUP!$G$51=3,$E$158*'Malaria-Pharmaceuticals'!AX15,IF(SETUP!$G$51=2,$E$158*'Malaria-Pharmaceuticals'!AY15,IF(SETUP!$G$51=1,$E$158*'Malaria-Pharmaceuticals'!AZ15,0)))),0)</f>
        <v>0</v>
      </c>
      <c r="L160" s="1206">
        <f>IF(SETUP!$F$51="At delivery",IF(SETUP!$G$51=4,$E$158*'Malaria-Pharmaceuticals'!AX15,IF(SETUP!$G$51=3,$E$158*'Malaria-Pharmaceuticals'!AY15,IF(SETUP!$G$51=2,$E$158*'Malaria-Pharmaceuticals'!AZ15,IF(SETUP!$G$51=1,$E$158*'Malaria-Pharmaceuticals'!BA15,0)))),0)</f>
        <v>0</v>
      </c>
      <c r="M160" s="1206">
        <f>IF(SETUP!$F$51="At delivery",IF(SETUP!$G$51=4,$E$158*'Malaria-Pharmaceuticals'!AY15,IF(SETUP!$G$51=3,$E$158*'Malaria-Pharmaceuticals'!AZ15,IF(SETUP!$G$51=2,$E$158*'Malaria-Pharmaceuticals'!BA15,IF(SETUP!$G$51=1,$E$158*'Malaria-Pharmaceuticals'!BB15,0)))),0)</f>
        <v>0</v>
      </c>
      <c r="N160" s="1206">
        <f>IF(SETUP!$F$51="At delivery",IF(SETUP!$G$51=4,$E$158*'Malaria-Pharmaceuticals'!AZ15,IF(SETUP!$G$51=3,$E$158*'Malaria-Pharmaceuticals'!BA15,IF(SETUP!$G$51=2,$E$158*'Malaria-Pharmaceuticals'!BB15,IF(SETUP!$G$51=1,$E$158*'Malaria-Pharmaceuticals'!BC15,0)))),0)</f>
        <v>0</v>
      </c>
      <c r="O160" s="1191">
        <f t="shared" si="21"/>
        <v>0</v>
      </c>
      <c r="P160" s="1205">
        <f>IF(SETUP!$F$51="At delivery",IF(SETUP!$G$51=4,$E$158*'Malaria-Pharmaceuticals'!BA15,IF(SETUP!$G$51=3,$E$158*'Malaria-Pharmaceuticals'!BB15,IF(SETUP!$G$51=2,$E$158*'Malaria-Pharmaceuticals'!BC15,IF(SETUP!$G$51=1,$E$158*'Malaria-Pharmaceuticals'!BD15,0)))),0)</f>
        <v>0</v>
      </c>
      <c r="Q160" s="1205">
        <f>IF(SETUP!$F$51="At delivery",IF(SETUP!$G$51=4,$E$158*'Malaria-Pharmaceuticals'!BB15,IF(SETUP!$G$51=3,$E$158*'Malaria-Pharmaceuticals'!BC15,IF(SETUP!$G$51=2,$E$158*'Malaria-Pharmaceuticals'!BD15,IF(SETUP!$G$51=1,$E$158*'Malaria-Pharmaceuticals'!BE15,0)))),0)</f>
        <v>0</v>
      </c>
      <c r="R160" s="1205">
        <f>IF(SETUP!$F$51="At delivery",IF(SETUP!$G$51=4,$E$158*'Malaria-Pharmaceuticals'!BC15,IF(SETUP!$G$51=3,$E$158*'Malaria-Pharmaceuticals'!BD15,IF(SETUP!$G$51=2,$E$158*'Malaria-Pharmaceuticals'!BE15,IF(SETUP!$G$51=1,$E$158*'Malaria-Pharmaceuticals'!BF15,0)))),0)</f>
        <v>0</v>
      </c>
      <c r="S160" s="1205">
        <f>IF(SETUP!$F$51="At delivery",IF(SETUP!$G$51=4,$E$158*('Malaria-Pharmaceuticals'!BD15+'Malaria-Pharmaceuticals'!BE15+'Malaria-Pharmaceuticals'!BF15+'Malaria-Pharmaceuticals'!BG15+'Malaria-Pharmaceuticals'!BH15),IF(SETUP!$G$51=3,$E$158*('Malaria-Pharmaceuticals'!BE15+'Malaria-Pharmaceuticals'!BF15+'Malaria-Pharmaceuticals'!BG15+'Malaria-Pharmaceuticals'!BH15),IF(SETUP!$G$51=2,$E$158*('Malaria-Pharmaceuticals'!BF15+'Malaria-Pharmaceuticals'!BG15+'Malaria-Pharmaceuticals'!BH15),IF(SETUP!$G$51=1,$E$158*('Malaria-Pharmaceuticals'!BG15+'Malaria-Pharmaceuticals'!BH15),0)))),0)</f>
        <v>0</v>
      </c>
      <c r="T160" s="1190">
        <f t="shared" si="22"/>
        <v>0</v>
      </c>
      <c r="U160" s="1189">
        <f t="shared" si="23"/>
        <v>0</v>
      </c>
      <c r="V160" s="1795">
        <v>7.2</v>
      </c>
      <c r="W160" s="1823"/>
      <c r="X160" s="1820"/>
    </row>
    <row r="161" spans="1:24" s="860" customFormat="1" ht="15" hidden="1" customHeight="1" collapsed="1">
      <c r="A161" s="2926" t="s">
        <v>579</v>
      </c>
      <c r="B161" s="2927"/>
      <c r="C161" s="2907" t="s">
        <v>311</v>
      </c>
      <c r="D161" s="2911"/>
      <c r="E161" s="1649">
        <v>0</v>
      </c>
      <c r="F161" s="1279">
        <f>IF(SETUP!$F$52="Upfront",F162,F163)</f>
        <v>0</v>
      </c>
      <c r="G161" s="1189">
        <f>IF(SETUP!$F$52="Upfront",G162,G163)</f>
        <v>0</v>
      </c>
      <c r="H161" s="1189">
        <f>IF(SETUP!$F$52="Upfront",H162,H163)</f>
        <v>0</v>
      </c>
      <c r="I161" s="1189">
        <f>IF(SETUP!$F$52="Upfront",I162,I163)</f>
        <v>0</v>
      </c>
      <c r="J161" s="1193">
        <f t="shared" si="20"/>
        <v>0</v>
      </c>
      <c r="K161" s="1189">
        <f>IF(SETUP!$F$52="Upfront",K162,K163)</f>
        <v>0</v>
      </c>
      <c r="L161" s="1189">
        <f>IF(SETUP!$F$52="Upfront",L162,L163)</f>
        <v>0</v>
      </c>
      <c r="M161" s="1189">
        <f>IF(SETUP!$F$52="Upfront",M162,M163)</f>
        <v>0</v>
      </c>
      <c r="N161" s="1189">
        <f>IF(SETUP!$F$52="Upfront",N162,N163)</f>
        <v>0</v>
      </c>
      <c r="O161" s="1191">
        <f t="shared" si="21"/>
        <v>0</v>
      </c>
      <c r="P161" s="1189">
        <f>IF(SETUP!$F$52="Upfront",P162,P163)</f>
        <v>0</v>
      </c>
      <c r="Q161" s="1189">
        <f>IF(SETUP!$F$52="Upfront",Q162,Q163)</f>
        <v>0</v>
      </c>
      <c r="R161" s="1189">
        <f>IF(SETUP!$F$52="Upfront",R162,R163)</f>
        <v>0</v>
      </c>
      <c r="S161" s="1189">
        <f>IF(SETUP!$F$52="Upfront",S162,S163)</f>
        <v>0</v>
      </c>
      <c r="T161" s="1190">
        <f t="shared" si="22"/>
        <v>0</v>
      </c>
      <c r="U161" s="1189">
        <f t="shared" si="23"/>
        <v>0</v>
      </c>
      <c r="V161" s="1795">
        <v>7.2</v>
      </c>
      <c r="W161" s="1823"/>
      <c r="X161" s="1820"/>
    </row>
    <row r="162" spans="1:24" s="860" customFormat="1" ht="15" hidden="1" customHeight="1" outlineLevel="1">
      <c r="A162" s="2928"/>
      <c r="B162" s="2929"/>
      <c r="C162" s="2889" t="s">
        <v>918</v>
      </c>
      <c r="D162" s="2912"/>
      <c r="E162" s="1649"/>
      <c r="F162" s="1279">
        <f>IF(SETUP!$F$52="Upfront",$E$161*'Malaria-Equipment &amp; Other HPs'!AW14,0)</f>
        <v>0</v>
      </c>
      <c r="G162" s="1189">
        <f>IF(SETUP!$F$52="Upfront",$E$161*'Malaria-Equipment &amp; Other HPs'!AX14,0)</f>
        <v>0</v>
      </c>
      <c r="H162" s="1189">
        <f>IF(SETUP!$F$52="Upfront",$E$161*'Malaria-Equipment &amp; Other HPs'!AY14,0)</f>
        <v>0</v>
      </c>
      <c r="I162" s="1189">
        <f>IF(SETUP!$F$52="Upfront",$E$161*'Malaria-Equipment &amp; Other HPs'!AZ14,0)</f>
        <v>0</v>
      </c>
      <c r="J162" s="1193">
        <f t="shared" si="20"/>
        <v>0</v>
      </c>
      <c r="K162" s="1189">
        <f>IF(SETUP!$F$52="Upfront",$E$161*'Malaria-Equipment &amp; Other HPs'!BA14,0)</f>
        <v>0</v>
      </c>
      <c r="L162" s="1189">
        <f>IF(SETUP!$F$52="Upfront",$E$161*'Malaria-Equipment &amp; Other HPs'!BB14,0)</f>
        <v>0</v>
      </c>
      <c r="M162" s="1189">
        <f>IF(SETUP!$F$52="Upfront",$E$161*'Malaria-Equipment &amp; Other HPs'!BC14,0)</f>
        <v>0</v>
      </c>
      <c r="N162" s="1189">
        <f>IF(SETUP!$F$52="Upfront",$E$161*'Malaria-Equipment &amp; Other HPs'!BD14,0)</f>
        <v>0</v>
      </c>
      <c r="O162" s="1191">
        <f t="shared" si="21"/>
        <v>0</v>
      </c>
      <c r="P162" s="1189">
        <f>IF(SETUP!$F$52="Upfront",$E$161*'Malaria-Equipment &amp; Other HPs'!BE14,0)</f>
        <v>0</v>
      </c>
      <c r="Q162" s="1189">
        <f>IF(SETUP!$F$52="Upfront",$E$161*'Malaria-Equipment &amp; Other HPs'!BF14,0)</f>
        <v>0</v>
      </c>
      <c r="R162" s="1189">
        <f>IF(SETUP!$F$52="Upfront",$E$161*'Malaria-Equipment &amp; Other HPs'!BG14,0)</f>
        <v>0</v>
      </c>
      <c r="S162" s="1189">
        <f>IF(SETUP!$F$52="Upfront",$E$161*'Malaria-Equipment &amp; Other HPs'!BH14,0)</f>
        <v>0</v>
      </c>
      <c r="T162" s="1190">
        <f t="shared" si="22"/>
        <v>0</v>
      </c>
      <c r="U162" s="1189">
        <f t="shared" si="23"/>
        <v>0</v>
      </c>
      <c r="V162" s="1795">
        <v>7.2</v>
      </c>
      <c r="W162" s="1823"/>
      <c r="X162" s="1820"/>
    </row>
    <row r="163" spans="1:24" s="860" customFormat="1" ht="15" hidden="1" customHeight="1" outlineLevel="1">
      <c r="A163" s="2928"/>
      <c r="B163" s="2929"/>
      <c r="C163" s="2889" t="s">
        <v>36</v>
      </c>
      <c r="D163" s="2912"/>
      <c r="E163" s="1649"/>
      <c r="F163" s="1279">
        <v>0</v>
      </c>
      <c r="G163" s="1195">
        <f>IF(SETUP!$F$52="At delivery",IF(SETUP!$G$52=1,$E$161*'Malaria-Equipment &amp; Other HPs'!AW14,0),0)</f>
        <v>0</v>
      </c>
      <c r="H163" s="1194">
        <f>IF(SETUP!$F$52="At delivery",IF(SETUP!$G$52=2,$E$161*'Malaria-Equipment &amp; Other HPs'!AW14,IF(SETUP!$G$52=1,$E$161*'Malaria-Equipment &amp; Other HPs'!AX14,0)),0)</f>
        <v>0</v>
      </c>
      <c r="I163" s="1194">
        <f>IF(SETUP!$F$52="At delivery",IF(SETUP!$G$52=3,$E$161*'Malaria-Equipment &amp; Other HPs'!AW14,IF(SETUP!$G$52=2,$E$161*'Malaria-Equipment &amp; Other HPs'!AX14,IF(SETUP!$G$52=1,$E$161*'Malaria-Equipment &amp; Other HPs'!AY14,0))),0)</f>
        <v>0</v>
      </c>
      <c r="J163" s="1193">
        <f t="shared" si="20"/>
        <v>0</v>
      </c>
      <c r="K163" s="1194">
        <f>IF(SETUP!$F$52="At delivery",IF(SETUP!$G$52=4,$E$161*'Malaria-Equipment &amp; Other HPs'!AW14,IF(SETUP!$G$52=3,$E$161*'Malaria-Equipment &amp; Other HPs'!AX14,IF(SETUP!$G$52=2,$E$161*'Malaria-Equipment &amp; Other HPs'!AY14,IF(SETUP!$G$52=1,$E$161*'Malaria-Equipment &amp; Other HPs'!AZ14,0)))),0)</f>
        <v>0</v>
      </c>
      <c r="L163" s="1194">
        <f>IF(SETUP!$F$52="At delivery",IF(SETUP!$G$52=4,$E$161*'Malaria-Equipment &amp; Other HPs'!AX14,IF(SETUP!$G$52=3,$E$161*'Malaria-Equipment &amp; Other HPs'!AY14,IF(SETUP!$G$52=2,$E$161*'Malaria-Equipment &amp; Other HPs'!AZ14,IF(SETUP!$G$52=1,$E$161*'Malaria-Equipment &amp; Other HPs'!BA14,0)))),0)</f>
        <v>0</v>
      </c>
      <c r="M163" s="1194">
        <f>IF(SETUP!$F$52="At delivery",IF(SETUP!$G$52=4,$E$161*'Malaria-Equipment &amp; Other HPs'!AY14,IF(SETUP!$G$52=3,$E$161*'Malaria-Equipment &amp; Other HPs'!AZ14,IF(SETUP!$G$52=2,$E$161*'Malaria-Equipment &amp; Other HPs'!BA14,IF(SETUP!$G$52=1,$E$161*'Malaria-Equipment &amp; Other HPs'!BB14,0)))),0)</f>
        <v>0</v>
      </c>
      <c r="N163" s="1194">
        <f>IF(SETUP!$F$52="At delivery",IF(SETUP!$G$52=4,$E$161*'Malaria-Equipment &amp; Other HPs'!AZ14,IF(SETUP!$G$52=3,$E$161*'Malaria-Equipment &amp; Other HPs'!BA14,IF(SETUP!$G$52=2,$E$161*'Malaria-Equipment &amp; Other HPs'!BB14,IF(SETUP!$G$52=1,$E$161*'Malaria-Equipment &amp; Other HPs'!BC14,0)))),0)</f>
        <v>0</v>
      </c>
      <c r="O163" s="1191">
        <f t="shared" si="21"/>
        <v>0</v>
      </c>
      <c r="P163" s="1189">
        <f>IF(SETUP!$F$52="At delivery",IF(SETUP!$G$52=4,$E$161*'Malaria-Equipment &amp; Other HPs'!BA14,IF(SETUP!$G$52=3,$E$161*'Malaria-Equipment &amp; Other HPs'!BB14,IF(SETUP!$G$52=2,$E$161*'Malaria-Equipment &amp; Other HPs'!BC14,IF(SETUP!$G$52=1,$E$161*'Malaria-Equipment &amp; Other HPs'!BD14,0)))),0)</f>
        <v>0</v>
      </c>
      <c r="Q163" s="1189">
        <f>IF(SETUP!$F$52="At delivery",IF(SETUP!$G$52=4,$E$161*'Malaria-Equipment &amp; Other HPs'!BB14,IF(SETUP!$G$52=3,$E$161*'Malaria-Equipment &amp; Other HPs'!BC14,IF(SETUP!$G$52=2,$E$161*'Malaria-Equipment &amp; Other HPs'!BD14,IF(SETUP!$G$52=1,$E$161*'Malaria-Equipment &amp; Other HPs'!BE14,0)))),0)</f>
        <v>0</v>
      </c>
      <c r="R163" s="1189">
        <f>IF(SETUP!$F$52="At delivery",IF(SETUP!$G$52=4,$E$161*'Malaria-Equipment &amp; Other HPs'!BC14,IF(SETUP!$G$52=3,$E$161*'Malaria-Equipment &amp; Other HPs'!BD14,IF(SETUP!$G$52=2,$E$161*'Malaria-Equipment &amp; Other HPs'!BE14,IF(SETUP!$G$52=1,$E$161*'Malaria-Equipment &amp; Other HPs'!BF14,0)))),0)</f>
        <v>0</v>
      </c>
      <c r="S163" s="1189">
        <f>IF(SETUP!$F$52="At delivery",IF(SETUP!$G$52=4,$E$161*('Malaria-Equipment &amp; Other HPs'!BD14+'Malaria-Equipment &amp; Other HPs'!BE14+'Malaria-Equipment &amp; Other HPs'!BF14+'Malaria-Equipment &amp; Other HPs'!BG14+'Malaria-Equipment &amp; Other HPs'!BH14),IF(SETUP!$G$52=3,$E$161*('Malaria-Equipment &amp; Other HPs'!BE14+'Malaria-Equipment &amp; Other HPs'!BF14+'Malaria-Equipment &amp; Other HPs'!BG14+'Malaria-Equipment &amp; Other HPs'!BH14),IF(SETUP!$G$52=2,$E$161*('Malaria-Equipment &amp; Other HPs'!BF14+'Malaria-Equipment &amp; Other HPs'!BG14+'Malaria-Equipment &amp; Other HPs'!BH14),IF(SETUP!$G$52=1,$E$161*('Malaria-Equipment &amp; Other HPs'!BG14+'Malaria-Equipment &amp; Other HPs'!BH14),0)))),0)</f>
        <v>0</v>
      </c>
      <c r="T163" s="1190">
        <f t="shared" si="22"/>
        <v>0</v>
      </c>
      <c r="U163" s="1189">
        <f t="shared" si="23"/>
        <v>0</v>
      </c>
      <c r="V163" s="1795">
        <v>7.2</v>
      </c>
      <c r="W163" s="1823"/>
      <c r="X163" s="1820"/>
    </row>
    <row r="164" spans="1:24" s="860" customFormat="1" ht="15" hidden="1" customHeight="1" collapsed="1">
      <c r="A164" s="2928"/>
      <c r="B164" s="2929"/>
      <c r="C164" s="2907" t="s">
        <v>580</v>
      </c>
      <c r="D164" s="2911"/>
      <c r="E164" s="1649">
        <v>0</v>
      </c>
      <c r="F164" s="1280">
        <f>IF(SETUP!$F$53="Upfront",F165,F166)</f>
        <v>0</v>
      </c>
      <c r="G164" s="1205">
        <f>IF(SETUP!$F$53="Upfront",G165,G166)</f>
        <v>0</v>
      </c>
      <c r="H164" s="1205">
        <f>IF(SETUP!$F$53="Upfront",H165,H166)</f>
        <v>0</v>
      </c>
      <c r="I164" s="1205">
        <f>IF(SETUP!$F$53="Upfront",I165,I166)</f>
        <v>0</v>
      </c>
      <c r="J164" s="1193">
        <f t="shared" si="20"/>
        <v>0</v>
      </c>
      <c r="K164" s="1194">
        <f>IF(SETUP!$F$53="Upfront",K165,K166)</f>
        <v>0</v>
      </c>
      <c r="L164" s="1194">
        <f>IF(SETUP!$F$53="Upfront",L165,L166)</f>
        <v>0</v>
      </c>
      <c r="M164" s="1194">
        <f>IF(SETUP!$F$53="Upfront",M165,M166)</f>
        <v>0</v>
      </c>
      <c r="N164" s="1194">
        <f>IF(SETUP!$F$53="Upfront",N165,N166)</f>
        <v>0</v>
      </c>
      <c r="O164" s="1191">
        <f t="shared" si="21"/>
        <v>0</v>
      </c>
      <c r="P164" s="1189">
        <f>IF(SETUP!$F$53="Upfront",P165,P166)</f>
        <v>0</v>
      </c>
      <c r="Q164" s="1189">
        <f>IF(SETUP!$F$53="Upfront",Q165,Q166)</f>
        <v>0</v>
      </c>
      <c r="R164" s="1189">
        <f>IF(SETUP!$F$53="Upfront",R165,R166)</f>
        <v>0</v>
      </c>
      <c r="S164" s="1189">
        <f>IF(SETUP!$F$53="Upfront",S165,S166)</f>
        <v>0</v>
      </c>
      <c r="T164" s="1190">
        <f t="shared" si="22"/>
        <v>0</v>
      </c>
      <c r="U164" s="1189">
        <f t="shared" si="23"/>
        <v>0</v>
      </c>
      <c r="V164" s="1795">
        <v>7.2</v>
      </c>
      <c r="W164" s="1823"/>
      <c r="X164" s="1820"/>
    </row>
    <row r="165" spans="1:24" s="860" customFormat="1" ht="15" hidden="1" customHeight="1" outlineLevel="1">
      <c r="A165" s="2928"/>
      <c r="B165" s="2929"/>
      <c r="C165" s="2889" t="s">
        <v>918</v>
      </c>
      <c r="D165" s="2912"/>
      <c r="E165" s="1649"/>
      <c r="F165" s="1279">
        <f>IF(SETUP!$F$53="Upfront",$E$164*'Malaria-Equipment &amp; Other HPs'!AW15,0)</f>
        <v>0</v>
      </c>
      <c r="G165" s="1189">
        <f>IF(SETUP!$F$53="Upfront",$E$164*'Malaria-Equipment &amp; Other HPs'!AX15,0)</f>
        <v>0</v>
      </c>
      <c r="H165" s="1189">
        <f>IF(SETUP!$F$53="Upfront",$E$164*'Malaria-Equipment &amp; Other HPs'!AY15,0)</f>
        <v>0</v>
      </c>
      <c r="I165" s="1189">
        <f>IF(SETUP!$F$53="Upfront",$E$164*'Malaria-Equipment &amp; Other HPs'!AZ15,0)</f>
        <v>0</v>
      </c>
      <c r="J165" s="1193">
        <f t="shared" si="20"/>
        <v>0</v>
      </c>
      <c r="K165" s="1189">
        <f>IF(SETUP!$F$53="Upfront",$E$164*'Malaria-Equipment &amp; Other HPs'!BA15,0)</f>
        <v>0</v>
      </c>
      <c r="L165" s="1189">
        <f>IF(SETUP!$F$53="Upfront",$E$164*'Malaria-Equipment &amp; Other HPs'!BB15,0)</f>
        <v>0</v>
      </c>
      <c r="M165" s="1189">
        <f>IF(SETUP!$F$53="Upfront",$E$164*'Malaria-Equipment &amp; Other HPs'!BC15,0)</f>
        <v>0</v>
      </c>
      <c r="N165" s="1189">
        <f>IF(SETUP!$F$53="Upfront",$E$164*'Malaria-Equipment &amp; Other HPs'!BD15,0)</f>
        <v>0</v>
      </c>
      <c r="O165" s="1191">
        <f t="shared" si="21"/>
        <v>0</v>
      </c>
      <c r="P165" s="1189">
        <f>IF(SETUP!$F$53="Upfront",$E$164*'Malaria-Equipment &amp; Other HPs'!BE15,0)</f>
        <v>0</v>
      </c>
      <c r="Q165" s="1189">
        <f>IF(SETUP!$F$53="Upfront",$E$164*'Malaria-Equipment &amp; Other HPs'!BF15,0)</f>
        <v>0</v>
      </c>
      <c r="R165" s="1189">
        <f>IF(SETUP!$F$53="Upfront",$E$164*'Malaria-Equipment &amp; Other HPs'!BG15,0)</f>
        <v>0</v>
      </c>
      <c r="S165" s="1189">
        <f>IF(SETUP!$F$53="Upfront",$E$164*'Malaria-Equipment &amp; Other HPs'!BH15,0)</f>
        <v>0</v>
      </c>
      <c r="T165" s="1190">
        <f t="shared" si="22"/>
        <v>0</v>
      </c>
      <c r="U165" s="1189">
        <f t="shared" si="23"/>
        <v>0</v>
      </c>
      <c r="V165" s="1795">
        <v>7.2</v>
      </c>
      <c r="W165" s="1823"/>
      <c r="X165" s="1820"/>
    </row>
    <row r="166" spans="1:24" s="860" customFormat="1" ht="15" hidden="1" customHeight="1" outlineLevel="1">
      <c r="A166" s="2928"/>
      <c r="B166" s="2929"/>
      <c r="C166" s="2889" t="s">
        <v>36</v>
      </c>
      <c r="D166" s="2912"/>
      <c r="E166" s="1649"/>
      <c r="F166" s="1279">
        <v>0</v>
      </c>
      <c r="G166" s="1195">
        <f>IF(SETUP!$F$53="At delivery",IF(SETUP!$G$53=1,$E$164*'Malaria-Equipment &amp; Other HPs'!AW15,0),0)</f>
        <v>0</v>
      </c>
      <c r="H166" s="1194">
        <f>IF(SETUP!$F$53="At delivery",IF(SETUP!$G$53=2,$E$164*'Malaria-Equipment &amp; Other HPs'!AW15,IF(SETUP!$G$53=1,$E$164*'Malaria-Equipment &amp; Other HPs'!AX15,0)),0)</f>
        <v>0</v>
      </c>
      <c r="I166" s="1194">
        <f>IF(SETUP!$F$53="At delivery",IF(SETUP!$G$53=3,$E$164*'Malaria-Equipment &amp; Other HPs'!AW15,IF(SETUP!$G$53=2,$E$164*'Malaria-Equipment &amp; Other HPs'!AX15,IF(SETUP!$G$53=1,$E$164*'Malaria-Equipment &amp; Other HPs'!AY15,0))),0)</f>
        <v>0</v>
      </c>
      <c r="J166" s="1193">
        <f t="shared" si="20"/>
        <v>0</v>
      </c>
      <c r="K166" s="1194">
        <f>IF(SETUP!$F$53="At delivery",IF(SETUP!$G$53=4,$E$164*'Malaria-Equipment &amp; Other HPs'!AW15,IF(SETUP!$G$53=3,$E$164*'Malaria-Equipment &amp; Other HPs'!AX15,IF(SETUP!$G$53=2,$E$164*'Malaria-Equipment &amp; Other HPs'!AY15,IF(SETUP!$G$53=1,$E$164*'Malaria-Equipment &amp; Other HPs'!AZ15,0)))),0)</f>
        <v>0</v>
      </c>
      <c r="L166" s="1194">
        <f>IF(SETUP!$F$53="At delivery",IF(SETUP!$G$53=4,$E$164*'Malaria-Equipment &amp; Other HPs'!AX15,IF(SETUP!$G$53=3,$E$164*'Malaria-Equipment &amp; Other HPs'!AY15,IF(SETUP!$G$53=2,$E$164*'Malaria-Equipment &amp; Other HPs'!AZ15,IF(SETUP!$G$53=1,$E$164*'Malaria-Equipment &amp; Other HPs'!BA15,0)))),0)</f>
        <v>0</v>
      </c>
      <c r="M166" s="1194">
        <f>IF(SETUP!$F$53="At delivery",IF(SETUP!$G$53=4,$E$164*'Malaria-Equipment &amp; Other HPs'!AY15,IF(SETUP!$G$53=3,$E$164*'Malaria-Equipment &amp; Other HPs'!AZ15,IF(SETUP!$G$53=2,$E$164*'Malaria-Equipment &amp; Other HPs'!BA15,IF(SETUP!$G$53=1,$E$164*'Malaria-Equipment &amp; Other HPs'!BB15,0)))),0)</f>
        <v>0</v>
      </c>
      <c r="N166" s="1194">
        <f>IF(SETUP!$F$53="At delivery",IF(SETUP!$G$53=4,$E$164*'Malaria-Equipment &amp; Other HPs'!AZ15,IF(SETUP!$G$53=3,$E$164*'Malaria-Equipment &amp; Other HPs'!BA15,IF(SETUP!$G$53=2,$E$164*'Malaria-Equipment &amp; Other HPs'!BB15,IF(SETUP!$G$53=1,$E$164*'Malaria-Equipment &amp; Other HPs'!BC15,0)))),0)</f>
        <v>0</v>
      </c>
      <c r="O166" s="1191">
        <f t="shared" si="21"/>
        <v>0</v>
      </c>
      <c r="P166" s="1189">
        <f>IF(SETUP!$F$53="At delivery",IF(SETUP!$G$53=4,$E$164*'Malaria-Equipment &amp; Other HPs'!BA15,IF(SETUP!$G$53=3,$E$164*'Malaria-Equipment &amp; Other HPs'!BB15,IF(SETUP!$G$53=2,$E$164*'Malaria-Equipment &amp; Other HPs'!BC15,IF(SETUP!$G$53=1,$E$164*'Malaria-Equipment &amp; Other HPs'!BD15,0)))),0)</f>
        <v>0</v>
      </c>
      <c r="Q166" s="1189">
        <f>IF(SETUP!$F$53="At delivery",IF(SETUP!$G$53=4,$E$164*'Malaria-Equipment &amp; Other HPs'!BB15,IF(SETUP!$G$53=3,$E$164*'Malaria-Equipment &amp; Other HPs'!BC15,IF(SETUP!$G$53=2,$E$164*'Malaria-Equipment &amp; Other HPs'!BD15,IF(SETUP!$G$53=1,$E$164*'Malaria-Equipment &amp; Other HPs'!BE15,0)))),0)</f>
        <v>0</v>
      </c>
      <c r="R166" s="1189">
        <f>IF(SETUP!$F$53="At delivery",IF(SETUP!$G$53=4,$E$164*'Malaria-Equipment &amp; Other HPs'!BC15,IF(SETUP!$G$53=3,$E$164*'Malaria-Equipment &amp; Other HPs'!BD15,IF(SETUP!$G$53=2,$E$164*'Malaria-Equipment &amp; Other HPs'!BE15,IF(SETUP!$G$53=1,$E$164*'Malaria-Equipment &amp; Other HPs'!BF15,0)))),0)</f>
        <v>0</v>
      </c>
      <c r="S166" s="1189">
        <f>IF(SETUP!$F$53="At delivery",IF(SETUP!$G$53=4,$E$164*('Malaria-Equipment &amp; Other HPs'!BD15+'Malaria-Equipment &amp; Other HPs'!BE15+'Malaria-Equipment &amp; Other HPs'!BF15+'Malaria-Equipment &amp; Other HPs'!BG15+'Malaria-Equipment &amp; Other HPs'!BH15),IF(SETUP!$G$53=3,$E$164*('Malaria-Equipment &amp; Other HPs'!BE15+'Malaria-Equipment &amp; Other HPs'!BF15+'Malaria-Equipment &amp; Other HPs'!BG15+'Malaria-Equipment &amp; Other HPs'!BH15),IF(SETUP!$G$53=2,$E$164*('Malaria-Equipment &amp; Other HPs'!BF15+'Malaria-Equipment &amp; Other HPs'!BG15+'Malaria-Equipment &amp; Other HPs'!BH15),IF(SETUP!$G$53=1,$E$164*('Malaria-Equipment &amp; Other HPs'!BG15+'Malaria-Equipment &amp; Other HPs'!BH15),0)))),0)</f>
        <v>0</v>
      </c>
      <c r="T166" s="1190">
        <f t="shared" si="22"/>
        <v>0</v>
      </c>
      <c r="U166" s="1189">
        <f t="shared" si="23"/>
        <v>0</v>
      </c>
      <c r="V166" s="1795">
        <v>7.2</v>
      </c>
      <c r="W166" s="1823"/>
      <c r="X166" s="1820"/>
    </row>
    <row r="167" spans="1:24" s="860" customFormat="1" ht="15" hidden="1" customHeight="1" collapsed="1">
      <c r="A167" s="2928"/>
      <c r="B167" s="2929"/>
      <c r="C167" s="2907" t="s">
        <v>581</v>
      </c>
      <c r="D167" s="2911"/>
      <c r="E167" s="1649">
        <v>0</v>
      </c>
      <c r="F167" s="1279">
        <f>IF(SETUP!$F$54="Upfront",F168,F169)</f>
        <v>0</v>
      </c>
      <c r="G167" s="1189">
        <f>IF(SETUP!$F$54="Upfront",G168,G169)</f>
        <v>0</v>
      </c>
      <c r="H167" s="1189">
        <f>IF(SETUP!$F$54="Upfront",H168,H169)</f>
        <v>0</v>
      </c>
      <c r="I167" s="1189">
        <f>IF(SETUP!$F$54="Upfront",I168,I169)</f>
        <v>0</v>
      </c>
      <c r="J167" s="1193">
        <f t="shared" si="20"/>
        <v>0</v>
      </c>
      <c r="K167" s="1194">
        <f>IF(SETUP!$F$54="Upfront",K168,K169)</f>
        <v>0</v>
      </c>
      <c r="L167" s="1194">
        <f>IF(SETUP!$F$54="Upfront",L168,L169)</f>
        <v>0</v>
      </c>
      <c r="M167" s="1194">
        <f>IF(SETUP!$F$54="Upfront",M168,M169)</f>
        <v>0</v>
      </c>
      <c r="N167" s="1194">
        <f>IF(SETUP!$F$54="Upfront",N168,N169)</f>
        <v>0</v>
      </c>
      <c r="O167" s="1191">
        <f t="shared" si="21"/>
        <v>0</v>
      </c>
      <c r="P167" s="1189">
        <f>IF(SETUP!$F$54="Upfront",P168,P169)</f>
        <v>0</v>
      </c>
      <c r="Q167" s="1189">
        <f>IF(SETUP!$F$54="Upfront",Q168,Q169)</f>
        <v>0</v>
      </c>
      <c r="R167" s="1189">
        <f>IF(SETUP!$F$54="Upfront",R168,R169)</f>
        <v>0</v>
      </c>
      <c r="S167" s="1189">
        <f>IF(SETUP!$F$54="Upfront",S168,S169)</f>
        <v>0</v>
      </c>
      <c r="T167" s="1190">
        <f t="shared" si="22"/>
        <v>0</v>
      </c>
      <c r="U167" s="1189">
        <f t="shared" si="23"/>
        <v>0</v>
      </c>
      <c r="V167" s="1795">
        <v>7.2</v>
      </c>
      <c r="W167" s="1823"/>
      <c r="X167" s="1820"/>
    </row>
    <row r="168" spans="1:24" s="860" customFormat="1" ht="15" hidden="1" customHeight="1" outlineLevel="1">
      <c r="A168" s="2928"/>
      <c r="B168" s="2929"/>
      <c r="C168" s="2889" t="s">
        <v>918</v>
      </c>
      <c r="D168" s="2912"/>
      <c r="E168" s="1649"/>
      <c r="F168" s="1279">
        <f>IF(SETUP!$F$54="Upfront",$E$167*'Malaria-Equipment &amp; Other HPs'!AW16,0)</f>
        <v>0</v>
      </c>
      <c r="G168" s="1189">
        <f>IF(SETUP!$F$54="Upfront",$E$167*'Malaria-Equipment &amp; Other HPs'!AX16,0)</f>
        <v>0</v>
      </c>
      <c r="H168" s="1189">
        <f>IF(SETUP!$F$54="Upfront",$E$167*'Malaria-Equipment &amp; Other HPs'!AY16,0)</f>
        <v>0</v>
      </c>
      <c r="I168" s="1189">
        <f>IF(SETUP!$F$54="Upfront",$E$167*'Malaria-Equipment &amp; Other HPs'!AZ16,0)</f>
        <v>0</v>
      </c>
      <c r="J168" s="1193">
        <f t="shared" si="20"/>
        <v>0</v>
      </c>
      <c r="K168" s="1189">
        <f>IF(SETUP!$F$54="Upfront",$E$167*'Malaria-Equipment &amp; Other HPs'!BA16,0)</f>
        <v>0</v>
      </c>
      <c r="L168" s="1189">
        <f>IF(SETUP!$F$54="Upfront",$E$167*'Malaria-Equipment &amp; Other HPs'!BB16,0)</f>
        <v>0</v>
      </c>
      <c r="M168" s="1189">
        <f>IF(SETUP!$F$54="Upfront",$E$167*'Malaria-Equipment &amp; Other HPs'!BC16,0)</f>
        <v>0</v>
      </c>
      <c r="N168" s="1189">
        <f>IF(SETUP!$F$54="Upfront",$E$167*'Malaria-Equipment &amp; Other HPs'!BD16,0)</f>
        <v>0</v>
      </c>
      <c r="O168" s="1191">
        <f t="shared" si="21"/>
        <v>0</v>
      </c>
      <c r="P168" s="1189">
        <f>IF(SETUP!$F$54="Upfront",$E$167*'Malaria-Equipment &amp; Other HPs'!BE16,0)</f>
        <v>0</v>
      </c>
      <c r="Q168" s="1189">
        <f>IF(SETUP!$F$54="Upfront",$E$167*'Malaria-Equipment &amp; Other HPs'!BF16,0)</f>
        <v>0</v>
      </c>
      <c r="R168" s="1189">
        <f>IF(SETUP!$F$54="Upfront",$E$167*'Malaria-Equipment &amp; Other HPs'!BG16,0)</f>
        <v>0</v>
      </c>
      <c r="S168" s="1189">
        <f>IF(SETUP!$F$54="Upfront",$E$167*'Malaria-Equipment &amp; Other HPs'!BH16,0)</f>
        <v>0</v>
      </c>
      <c r="T168" s="1190">
        <f t="shared" si="22"/>
        <v>0</v>
      </c>
      <c r="U168" s="1189">
        <f t="shared" si="23"/>
        <v>0</v>
      </c>
      <c r="V168" s="1795">
        <v>7.2</v>
      </c>
      <c r="W168" s="1823"/>
      <c r="X168" s="1820"/>
    </row>
    <row r="169" spans="1:24" s="860" customFormat="1" ht="15" hidden="1" customHeight="1" outlineLevel="1">
      <c r="A169" s="2928"/>
      <c r="B169" s="2929"/>
      <c r="C169" s="2889" t="s">
        <v>36</v>
      </c>
      <c r="D169" s="2912"/>
      <c r="E169" s="1649"/>
      <c r="F169" s="1279">
        <v>0</v>
      </c>
      <c r="G169" s="1195">
        <f>IF(SETUP!$F$54="At delivery",IF(SETUP!$G$54=1,$E$167*'Malaria-Equipment &amp; Other HPs'!AW16,0),0)</f>
        <v>0</v>
      </c>
      <c r="H169" s="1194">
        <f>IF(SETUP!$F$54="At delivery",IF(SETUP!$G$54=2,$E$167*'Malaria-Equipment &amp; Other HPs'!AW16,IF(SETUP!$G$54=1,$E$167*'Malaria-Equipment &amp; Other HPs'!AX16,0)),0)</f>
        <v>0</v>
      </c>
      <c r="I169" s="1194">
        <f>IF(SETUP!$F$54="At delivery",IF(SETUP!$G$54=3,$E$167*'Malaria-Equipment &amp; Other HPs'!AW16,IF(SETUP!$G$54=2,$E$167*'Malaria-Equipment &amp; Other HPs'!AX16,IF(SETUP!$G$54=1,$E$167*'Malaria-Equipment &amp; Other HPs'!AY16,0))),0)</f>
        <v>0</v>
      </c>
      <c r="J169" s="1193">
        <f t="shared" si="20"/>
        <v>0</v>
      </c>
      <c r="K169" s="1194">
        <f>IF(SETUP!$F$54="At delivery",IF(SETUP!$G$54=4,$E$167*'Malaria-Equipment &amp; Other HPs'!AW16,IF(SETUP!$G$54=3,$E$167*'Malaria-Equipment &amp; Other HPs'!AX16,IF(SETUP!$G$54=2,$E$167*'Malaria-Equipment &amp; Other HPs'!AY16,IF(SETUP!$G$54=1,$E$167*'Malaria-Equipment &amp; Other HPs'!AZ16,0)))),0)</f>
        <v>0</v>
      </c>
      <c r="L169" s="1194">
        <f>IF(SETUP!$F$54="At delivery",IF(SETUP!$G$54=4,$E$167*'Malaria-Equipment &amp; Other HPs'!AX16,IF(SETUP!$G$54=3,$E$167*'Malaria-Equipment &amp; Other HPs'!AY16,IF(SETUP!$G$54=2,$E$167*'Malaria-Equipment &amp; Other HPs'!AZ16,IF(SETUP!$G$54=1,$E$167*'Malaria-Equipment &amp; Other HPs'!BA16,0)))),0)</f>
        <v>0</v>
      </c>
      <c r="M169" s="1194">
        <f>IF(SETUP!$F$54="At delivery",IF(SETUP!$G$54=4,$E$167*'Malaria-Equipment &amp; Other HPs'!AY16,IF(SETUP!$G$54=3,$E$167*'Malaria-Equipment &amp; Other HPs'!AZ16,IF(SETUP!$G$54=2,$E$167*'Malaria-Equipment &amp; Other HPs'!BA16,IF(SETUP!$G$54=1,$E$167*'Malaria-Equipment &amp; Other HPs'!BB16,0)))),0)</f>
        <v>0</v>
      </c>
      <c r="N169" s="1194">
        <f>IF(SETUP!$F$54="At delivery",IF(SETUP!$G$54=4,$E$167*'Malaria-Equipment &amp; Other HPs'!AZ16,IF(SETUP!$G$54=3,$E$167*'Malaria-Equipment &amp; Other HPs'!BA16,IF(SETUP!$G$54=2,$E$167*'Malaria-Equipment &amp; Other HPs'!BB16,IF(SETUP!$G$54=1,$E$167*'Malaria-Equipment &amp; Other HPs'!BC16,0)))),0)</f>
        <v>0</v>
      </c>
      <c r="O169" s="1191">
        <f t="shared" si="21"/>
        <v>0</v>
      </c>
      <c r="P169" s="1189">
        <f>IF(SETUP!$F$54="At delivery",IF(SETUP!$G$54=4,$E$167*'Malaria-Equipment &amp; Other HPs'!BA16,IF(SETUP!$G$54=3,$E$167*'Malaria-Equipment &amp; Other HPs'!BB16,IF(SETUP!$G$54=2,$E$167*'Malaria-Equipment &amp; Other HPs'!BC16,IF(SETUP!$G$54=1,$E$167*'Malaria-Equipment &amp; Other HPs'!BD16,0)))),0)</f>
        <v>0</v>
      </c>
      <c r="Q169" s="1189">
        <f>IF(SETUP!$F$54="At delivery",IF(SETUP!$G$54=4,$E$167*'Malaria-Equipment &amp; Other HPs'!BB16,IF(SETUP!$G$54=3,$E$167*'Malaria-Equipment &amp; Other HPs'!BC16,IF(SETUP!$G$54=2,$E$167*'Malaria-Equipment &amp; Other HPs'!BD16,IF(SETUP!$G$54=1,$E$167*'Malaria-Equipment &amp; Other HPs'!BE16,0)))),0)</f>
        <v>0</v>
      </c>
      <c r="R169" s="1189">
        <f>IF(SETUP!$F$54="At delivery",IF(SETUP!$G$54=4,$E$167*'Malaria-Equipment &amp; Other HPs'!BC16,IF(SETUP!$G$54=3,$E$167*'Malaria-Equipment &amp; Other HPs'!BD16,IF(SETUP!$G$54=2,$E$167*'Malaria-Equipment &amp; Other HPs'!BE16,IF(SETUP!$G$54=1,$E$167*'Malaria-Equipment &amp; Other HPs'!BF16,0)))),0)</f>
        <v>0</v>
      </c>
      <c r="S169" s="1189">
        <f>IF(SETUP!$F$54="At delivery",IF(SETUP!$G$54=4,$E$167*('Malaria-Equipment &amp; Other HPs'!BD16+'Malaria-Equipment &amp; Other HPs'!BE16+'Malaria-Equipment &amp; Other HPs'!BF16+'Malaria-Equipment &amp; Other HPs'!BG16+'Malaria-Equipment &amp; Other HPs'!BH16),IF(SETUP!$G$54=3,$E$167*('Malaria-Equipment &amp; Other HPs'!BE16+'Malaria-Equipment &amp; Other HPs'!BF16+'Malaria-Equipment &amp; Other HPs'!BG16+'Malaria-Equipment &amp; Other HPs'!BH16),IF(SETUP!$G$54=2,$E$167*('Malaria-Equipment &amp; Other HPs'!BF16+'Malaria-Equipment &amp; Other HPs'!BG16+'Malaria-Equipment &amp; Other HPs'!BH16),IF(SETUP!$G$54=1,$E$167*('Malaria-Equipment &amp; Other HPs'!BG16+'Malaria-Equipment &amp; Other HPs'!BH16),0)))),0)</f>
        <v>0</v>
      </c>
      <c r="T169" s="1190">
        <f t="shared" si="22"/>
        <v>0</v>
      </c>
      <c r="U169" s="1189">
        <f t="shared" si="23"/>
        <v>0</v>
      </c>
      <c r="V169" s="1795">
        <v>7.2</v>
      </c>
      <c r="W169" s="1823"/>
      <c r="X169" s="1820"/>
    </row>
    <row r="170" spans="1:24" s="860" customFormat="1" ht="15" hidden="1" customHeight="1" collapsed="1">
      <c r="A170" s="2928"/>
      <c r="B170" s="2929"/>
      <c r="C170" s="2907" t="s">
        <v>582</v>
      </c>
      <c r="D170" s="2911"/>
      <c r="E170" s="1649">
        <v>0</v>
      </c>
      <c r="F170" s="1279">
        <f>IF(SETUP!$F$55="Upfront",F171,F172)</f>
        <v>0</v>
      </c>
      <c r="G170" s="1189">
        <f>IF(SETUP!$F$55="Upfront",G171,G172)</f>
        <v>0</v>
      </c>
      <c r="H170" s="1189">
        <f>IF(SETUP!$F$55="Upfront",H171,H172)</f>
        <v>0</v>
      </c>
      <c r="I170" s="1189">
        <f>IF(SETUP!$F$55="Upfront",I171,I172)</f>
        <v>0</v>
      </c>
      <c r="J170" s="1193">
        <f t="shared" si="20"/>
        <v>0</v>
      </c>
      <c r="K170" s="1189">
        <f>IF(SETUP!$F$55="Upfront",K171,K172)</f>
        <v>0</v>
      </c>
      <c r="L170" s="1189">
        <f>IF(SETUP!$F$55="Upfront",L171,L172)</f>
        <v>0</v>
      </c>
      <c r="M170" s="1189">
        <f>IF(SETUP!$F$55="Upfront",M171,M172)</f>
        <v>0</v>
      </c>
      <c r="N170" s="1189">
        <f>IF(SETUP!$F$55="Upfront",N171,N172)</f>
        <v>0</v>
      </c>
      <c r="O170" s="1191">
        <f t="shared" si="21"/>
        <v>0</v>
      </c>
      <c r="P170" s="1189">
        <f>IF(SETUP!$F$55="Upfront",P171,P172)</f>
        <v>0</v>
      </c>
      <c r="Q170" s="1189">
        <f>IF(SETUP!$F$55="Upfront",Q171,Q172)</f>
        <v>0</v>
      </c>
      <c r="R170" s="1189">
        <f>IF(SETUP!$F$55="Upfront",R171,R172)</f>
        <v>0</v>
      </c>
      <c r="S170" s="1189">
        <f>IF(SETUP!$F$55="Upfront",S171,S172)</f>
        <v>0</v>
      </c>
      <c r="T170" s="1190">
        <f t="shared" si="22"/>
        <v>0</v>
      </c>
      <c r="U170" s="1189">
        <f t="shared" si="23"/>
        <v>0</v>
      </c>
      <c r="V170" s="1795">
        <v>7.2</v>
      </c>
      <c r="W170" s="1823"/>
      <c r="X170" s="1820"/>
    </row>
    <row r="171" spans="1:24" s="860" customFormat="1" ht="15" hidden="1" customHeight="1" outlineLevel="1">
      <c r="A171" s="2928"/>
      <c r="B171" s="2929"/>
      <c r="C171" s="2889" t="s">
        <v>918</v>
      </c>
      <c r="D171" s="2912"/>
      <c r="E171" s="1649"/>
      <c r="F171" s="1279">
        <f>IF(SETUP!$F$55="Upfront",$E$170*'Malaria-Equipment &amp; Other HPs'!AW17,0)</f>
        <v>0</v>
      </c>
      <c r="G171" s="1189">
        <f>IF(SETUP!$F$55="Upfront",$E$170*'Malaria-Equipment &amp; Other HPs'!AX17,0)</f>
        <v>0</v>
      </c>
      <c r="H171" s="1189">
        <f>IF(SETUP!$F$55="Upfront",$E$170*'Malaria-Equipment &amp; Other HPs'!AY17,0)</f>
        <v>0</v>
      </c>
      <c r="I171" s="1189">
        <f>IF(SETUP!$F$55="Upfront",$E$170*'Malaria-Equipment &amp; Other HPs'!AZ17,0)</f>
        <v>0</v>
      </c>
      <c r="J171" s="1193">
        <f t="shared" si="20"/>
        <v>0</v>
      </c>
      <c r="K171" s="1189">
        <f>IF(SETUP!$F$55="Upfront",$E$170*'Malaria-Equipment &amp; Other HPs'!BA17,0)</f>
        <v>0</v>
      </c>
      <c r="L171" s="1189">
        <f>IF(SETUP!$F$55="Upfront",$E$170*'Malaria-Equipment &amp; Other HPs'!BB17,0)</f>
        <v>0</v>
      </c>
      <c r="M171" s="1189">
        <f>IF(SETUP!$F$55="Upfront",$E$170*'Malaria-Equipment &amp; Other HPs'!BC17,0)</f>
        <v>0</v>
      </c>
      <c r="N171" s="1189">
        <f>IF(SETUP!$F$55="Upfront",$E$170*'Malaria-Equipment &amp; Other HPs'!BD17,0)</f>
        <v>0</v>
      </c>
      <c r="O171" s="1191">
        <f t="shared" si="21"/>
        <v>0</v>
      </c>
      <c r="P171" s="1189">
        <f>IF(SETUP!$F$55="Upfront",$E$170*'Malaria-Equipment &amp; Other HPs'!BE17,0)</f>
        <v>0</v>
      </c>
      <c r="Q171" s="1189">
        <f>IF(SETUP!$F$55="Upfront",$E$170*'Malaria-Equipment &amp; Other HPs'!BF17,0)</f>
        <v>0</v>
      </c>
      <c r="R171" s="1189">
        <f>IF(SETUP!$F$55="Upfront",$E$170*'Malaria-Equipment &amp; Other HPs'!BG17,0)</f>
        <v>0</v>
      </c>
      <c r="S171" s="1189">
        <f>IF(SETUP!$F$55="Upfront",$E$170*'Malaria-Equipment &amp; Other HPs'!BH17,0)</f>
        <v>0</v>
      </c>
      <c r="T171" s="1190">
        <f t="shared" si="22"/>
        <v>0</v>
      </c>
      <c r="U171" s="1189">
        <f t="shared" si="23"/>
        <v>0</v>
      </c>
      <c r="V171" s="1795">
        <v>7.2</v>
      </c>
      <c r="W171" s="1823"/>
      <c r="X171" s="1820"/>
    </row>
    <row r="172" spans="1:24" s="860" customFormat="1" ht="15" hidden="1" customHeight="1" outlineLevel="1">
      <c r="A172" s="2928"/>
      <c r="B172" s="2929"/>
      <c r="C172" s="2889" t="s">
        <v>36</v>
      </c>
      <c r="D172" s="2912"/>
      <c r="E172" s="1649"/>
      <c r="F172" s="1279">
        <v>0</v>
      </c>
      <c r="G172" s="1195">
        <f>IF(SETUP!$F$55="At delivery",IF(SETUP!$G$55=1,$E$170*'Malaria-Equipment &amp; Other HPs'!AW17,0),0)</f>
        <v>0</v>
      </c>
      <c r="H172" s="1194">
        <f>IF(SETUP!$F$55="At delivery",IF(SETUP!$G$55=2,$E$170*'Malaria-Equipment &amp; Other HPs'!AW17,IF(SETUP!$G$55=1,$E$170*'Malaria-Equipment &amp; Other HPs'!AX17,0)),0)</f>
        <v>0</v>
      </c>
      <c r="I172" s="1194">
        <f>IF(SETUP!$F$55="At delivery",IF(SETUP!$G$55=3,$E$170*'Malaria-Equipment &amp; Other HPs'!AW17,IF(SETUP!$G$55=2,$E$170*'Malaria-Equipment &amp; Other HPs'!AX17,IF(SETUP!$G$55=1,$E$170*'Malaria-Equipment &amp; Other HPs'!AY17,0))),0)</f>
        <v>0</v>
      </c>
      <c r="J172" s="1193">
        <f t="shared" si="20"/>
        <v>0</v>
      </c>
      <c r="K172" s="1194">
        <f>IF(SETUP!$F$55="At delivery",IF(SETUP!$G$55=4,$E$170*'Malaria-Equipment &amp; Other HPs'!AW17,IF(SETUP!$G$55=3,$E$170*'Malaria-Equipment &amp; Other HPs'!AX17,IF(SETUP!$G$55=2,$E$170*'Malaria-Equipment &amp; Other HPs'!AY17,IF(SETUP!$G$55=1,$E$170*'Malaria-Equipment &amp; Other HPs'!AZ17,0)))),0)</f>
        <v>0</v>
      </c>
      <c r="L172" s="1194">
        <f>IF(SETUP!$F$55="At delivery",IF(SETUP!$G$55=4,$E$170*'Malaria-Equipment &amp; Other HPs'!AX17,IF(SETUP!$G$55=3,$E$170*'Malaria-Equipment &amp; Other HPs'!AY17,IF(SETUP!$G$55=2,$E$170*'Malaria-Equipment &amp; Other HPs'!AZ17,IF(SETUP!$G$55=1,$E$170*'Malaria-Equipment &amp; Other HPs'!BA17,0)))),0)</f>
        <v>0</v>
      </c>
      <c r="M172" s="1194">
        <f>IF(SETUP!$F$55="At delivery",IF(SETUP!$G$55=4,$E$170*'Malaria-Equipment &amp; Other HPs'!AY17,IF(SETUP!$G$55=3,$E$170*'Malaria-Equipment &amp; Other HPs'!AZ17,IF(SETUP!$G$55=2,$E$170*'Malaria-Equipment &amp; Other HPs'!BA17,IF(SETUP!$G$55=1,$E$170*'Malaria-Equipment &amp; Other HPs'!BB17,0)))),0)</f>
        <v>0</v>
      </c>
      <c r="N172" s="1194">
        <f>IF(SETUP!$F$55="At delivery",IF(SETUP!$G$55=4,$E$170*'Malaria-Equipment &amp; Other HPs'!AZ17,IF(SETUP!$G$55=3,$E$170*'Malaria-Equipment &amp; Other HPs'!BA17,IF(SETUP!$G$55=2,$E$170*'Malaria-Equipment &amp; Other HPs'!BB17,IF(SETUP!$G$55=1,$E$170*'Malaria-Equipment &amp; Other HPs'!BC17,0)))),0)</f>
        <v>0</v>
      </c>
      <c r="O172" s="1191">
        <f t="shared" si="21"/>
        <v>0</v>
      </c>
      <c r="P172" s="1189">
        <f>IF(SETUP!$F$55="At delivery",IF(SETUP!$G$55=4,$E$170*'Malaria-Equipment &amp; Other HPs'!BA17,IF(SETUP!$G$55=3,$E$170*'Malaria-Equipment &amp; Other HPs'!BB17,IF(SETUP!$G$55=2,$E$170*'Malaria-Equipment &amp; Other HPs'!BC17,IF(SETUP!$G$55=1,$E$170*'Malaria-Equipment &amp; Other HPs'!BD17,0)))),0)</f>
        <v>0</v>
      </c>
      <c r="Q172" s="1189">
        <f>IF(SETUP!$F$55="At delivery",IF(SETUP!$G$55=4,$E$170*'Malaria-Equipment &amp; Other HPs'!BB17,IF(SETUP!$G$55=3,$E$170*'Malaria-Equipment &amp; Other HPs'!BC17,IF(SETUP!$G$55=2,$E$170*'Malaria-Equipment &amp; Other HPs'!BD17,IF(SETUP!$G$55=1,$E$170*'Malaria-Equipment &amp; Other HPs'!BE17,0)))),0)</f>
        <v>0</v>
      </c>
      <c r="R172" s="1189">
        <f>IF(SETUP!$F$55="At delivery",IF(SETUP!$G$55=4,$E$170*'Malaria-Equipment &amp; Other HPs'!BC17,IF(SETUP!$G$55=3,$E$170*'Malaria-Equipment &amp; Other HPs'!BD17,IF(SETUP!$G$55=2,$E$170*'Malaria-Equipment &amp; Other HPs'!BE17,IF(SETUP!$G$55=1,$E$170*'Malaria-Equipment &amp; Other HPs'!BF17,0)))),0)</f>
        <v>0</v>
      </c>
      <c r="S172" s="1189">
        <f>IF(SETUP!$F$55="At delivery",IF(SETUP!$G$55=4,$E$170*('Malaria-Equipment &amp; Other HPs'!BD17+'Malaria-Equipment &amp; Other HPs'!BE17+'Malaria-Equipment &amp; Other HPs'!BF17+'Malaria-Equipment &amp; Other HPs'!BG17+'Malaria-Equipment &amp; Other HPs'!BH17),IF(SETUP!$G$55=3,$E$170*('Malaria-Equipment &amp; Other HPs'!BE17+'Malaria-Equipment &amp; Other HPs'!BF17+'Malaria-Equipment &amp; Other HPs'!BG17+'Malaria-Equipment &amp; Other HPs'!BH17),IF(SETUP!$G$55=2,$E$170*('Malaria-Equipment &amp; Other HPs'!BF17+'Malaria-Equipment &amp; Other HPs'!BG17+'Malaria-Equipment &amp; Other HPs'!BH17),IF(SETUP!$G$55=1,$E$170*('Malaria-Equipment &amp; Other HPs'!BG17+'Malaria-Equipment &amp; Other HPs'!BH17),0)))),0)</f>
        <v>0</v>
      </c>
      <c r="T172" s="1190">
        <f t="shared" si="22"/>
        <v>0</v>
      </c>
      <c r="U172" s="1189">
        <f t="shared" si="23"/>
        <v>0</v>
      </c>
      <c r="V172" s="1795">
        <v>7.2</v>
      </c>
      <c r="W172" s="1823"/>
      <c r="X172" s="1820"/>
    </row>
    <row r="173" spans="1:24" s="860" customFormat="1" ht="15" hidden="1" customHeight="1" collapsed="1">
      <c r="A173" s="2928"/>
      <c r="B173" s="2929"/>
      <c r="C173" s="2907" t="s">
        <v>583</v>
      </c>
      <c r="D173" s="2911"/>
      <c r="E173" s="1649">
        <v>0</v>
      </c>
      <c r="F173" s="1279">
        <f>IF(SETUP!$F$56="Upfront",F174,F175)</f>
        <v>0</v>
      </c>
      <c r="G173" s="1189">
        <f>IF(SETUP!$F$56="Upfront",G174,G175)</f>
        <v>0</v>
      </c>
      <c r="H173" s="1189">
        <f>IF(SETUP!$F$56="Upfront",H174,H175)</f>
        <v>0</v>
      </c>
      <c r="I173" s="1189">
        <f>IF(SETUP!$F$56="Upfront",I174,I175)</f>
        <v>0</v>
      </c>
      <c r="J173" s="1193">
        <f t="shared" si="20"/>
        <v>0</v>
      </c>
      <c r="K173" s="1189">
        <f>IF(SETUP!$F$56="Upfront",K174,K175)</f>
        <v>0</v>
      </c>
      <c r="L173" s="1189">
        <f>IF(SETUP!$F$56="Upfront",L174,L175)</f>
        <v>0</v>
      </c>
      <c r="M173" s="1189">
        <f>IF(SETUP!$F$56="Upfront",M174,M175)</f>
        <v>0</v>
      </c>
      <c r="N173" s="1189">
        <f>IF(SETUP!$F$56="Upfront",N174,N175)</f>
        <v>0</v>
      </c>
      <c r="O173" s="1191">
        <f t="shared" si="21"/>
        <v>0</v>
      </c>
      <c r="P173" s="1189">
        <f>IF(SETUP!$F$56="Upfront",P174,P175)</f>
        <v>0</v>
      </c>
      <c r="Q173" s="1189">
        <f>IF(SETUP!$F$56="Upfront",Q174,Q175)</f>
        <v>0</v>
      </c>
      <c r="R173" s="1189">
        <f>IF(SETUP!$F$56="Upfront",R174,R175)</f>
        <v>0</v>
      </c>
      <c r="S173" s="1189">
        <f>IF(SETUP!$F$56="Upfront",S174,S175)</f>
        <v>0</v>
      </c>
      <c r="T173" s="1190">
        <f t="shared" si="22"/>
        <v>0</v>
      </c>
      <c r="U173" s="1189">
        <f t="shared" si="23"/>
        <v>0</v>
      </c>
      <c r="V173" s="1795">
        <v>7.2</v>
      </c>
      <c r="W173" s="1823"/>
      <c r="X173" s="1820"/>
    </row>
    <row r="174" spans="1:24" s="860" customFormat="1" ht="15" hidden="1" customHeight="1" outlineLevel="1">
      <c r="A174" s="2928"/>
      <c r="B174" s="2929"/>
      <c r="C174" s="2889" t="s">
        <v>918</v>
      </c>
      <c r="D174" s="2912"/>
      <c r="E174" s="1649"/>
      <c r="F174" s="1279">
        <f>IF(SETUP!$F$56="Upfront",$E$173*'Malaria-Equipment &amp; Other HPs'!AW18,0)</f>
        <v>0</v>
      </c>
      <c r="G174" s="1189">
        <f>IF(SETUP!$F$56="Upfront",$E$173*'Malaria-Equipment &amp; Other HPs'!AX18,0)</f>
        <v>0</v>
      </c>
      <c r="H174" s="1189">
        <f>IF(SETUP!$F$56="Upfront",$E$173*'Malaria-Equipment &amp; Other HPs'!AY18,0)</f>
        <v>0</v>
      </c>
      <c r="I174" s="1189">
        <f>IF(SETUP!$F$56="Upfront",$E$173*'Malaria-Equipment &amp; Other HPs'!AZ18,0)</f>
        <v>0</v>
      </c>
      <c r="J174" s="1193">
        <f t="shared" si="20"/>
        <v>0</v>
      </c>
      <c r="K174" s="1189">
        <f>IF(SETUP!$F$56="Upfront",$E$173*'Malaria-Equipment &amp; Other HPs'!BA18,0)</f>
        <v>0</v>
      </c>
      <c r="L174" s="1189">
        <f>IF(SETUP!$F$56="Upfront",$E$173*'Malaria-Equipment &amp; Other HPs'!BB18,0)</f>
        <v>0</v>
      </c>
      <c r="M174" s="1189">
        <f>IF(SETUP!$F$56="Upfront",$E$173*'Malaria-Equipment &amp; Other HPs'!BC18,0)</f>
        <v>0</v>
      </c>
      <c r="N174" s="1189">
        <f>IF(SETUP!$F$56="Upfront",$E$173*'Malaria-Equipment &amp; Other HPs'!BD18,0)</f>
        <v>0</v>
      </c>
      <c r="O174" s="1191">
        <f t="shared" si="21"/>
        <v>0</v>
      </c>
      <c r="P174" s="1189">
        <f>IF(SETUP!$F$56="Upfront",$E$173*'Malaria-Equipment &amp; Other HPs'!BE18,0)</f>
        <v>0</v>
      </c>
      <c r="Q174" s="1189">
        <f>IF(SETUP!$F$56="Upfront",$E$173*'Malaria-Equipment &amp; Other HPs'!BF18,0)</f>
        <v>0</v>
      </c>
      <c r="R174" s="1189">
        <f>IF(SETUP!$F$56="Upfront",$E$173*'Malaria-Equipment &amp; Other HPs'!BG18,0)</f>
        <v>0</v>
      </c>
      <c r="S174" s="1189">
        <f>IF(SETUP!$F$56="Upfront",$E$173*'Malaria-Equipment &amp; Other HPs'!BH18,0)</f>
        <v>0</v>
      </c>
      <c r="T174" s="1190">
        <f t="shared" si="22"/>
        <v>0</v>
      </c>
      <c r="U174" s="1189">
        <f t="shared" si="23"/>
        <v>0</v>
      </c>
      <c r="V174" s="1795">
        <v>7.2</v>
      </c>
      <c r="W174" s="1823"/>
      <c r="X174" s="1820"/>
    </row>
    <row r="175" spans="1:24" s="860" customFormat="1" ht="15" hidden="1" customHeight="1" outlineLevel="1">
      <c r="A175" s="2928"/>
      <c r="B175" s="2929"/>
      <c r="C175" s="2889" t="s">
        <v>36</v>
      </c>
      <c r="D175" s="2912"/>
      <c r="E175" s="1649"/>
      <c r="F175" s="1279">
        <v>0</v>
      </c>
      <c r="G175" s="1195">
        <f>IF(SETUP!$F$56="At delivery",IF(SETUP!$G$56=1,$E$173*'Malaria-Equipment &amp; Other HPs'!AW18,0),0)</f>
        <v>0</v>
      </c>
      <c r="H175" s="1194">
        <f>IF(SETUP!$F$56="At delivery",IF(SETUP!$G$56=2,$E$173*'Malaria-Equipment &amp; Other HPs'!AW18,IF(SETUP!$G$56=1,$E$173*'Malaria-Equipment &amp; Other HPs'!AX18,0)),0)</f>
        <v>0</v>
      </c>
      <c r="I175" s="1194">
        <f>IF(SETUP!$F$56="At delivery",IF(SETUP!$G$56=3,$E$173*'Malaria-Equipment &amp; Other HPs'!AW18,IF(SETUP!$G$56=2,$E$173*'Malaria-Equipment &amp; Other HPs'!AX18,IF(SETUP!$G$56=1,$E$173*'Malaria-Equipment &amp; Other HPs'!AY18,0))),0)</f>
        <v>0</v>
      </c>
      <c r="J175" s="1193">
        <f t="shared" si="20"/>
        <v>0</v>
      </c>
      <c r="K175" s="1194">
        <f>IF(SETUP!$F$56="At delivery",IF(SETUP!$G$56=4,$E$173*'Malaria-Equipment &amp; Other HPs'!AW18,IF(SETUP!$G$56=3,$E$173*'Malaria-Equipment &amp; Other HPs'!AX18,IF(SETUP!$G$56=2,$E$173*'Malaria-Equipment &amp; Other HPs'!AY18,IF(SETUP!$G$56=1,$E$173*'Malaria-Equipment &amp; Other HPs'!AZ18,0)))),0)</f>
        <v>0</v>
      </c>
      <c r="L175" s="1194">
        <f>IF(SETUP!$F$56="At delivery",IF(SETUP!$G$56=4,$E$173*'Malaria-Equipment &amp; Other HPs'!AX18,IF(SETUP!$G$56=3,$E$173*'Malaria-Equipment &amp; Other HPs'!AY18,IF(SETUP!$G$56=2,$E$173*'Malaria-Equipment &amp; Other HPs'!AZ18,IF(SETUP!$G$56=1,$E$173*'Malaria-Equipment &amp; Other HPs'!BA18,0)))),0)</f>
        <v>0</v>
      </c>
      <c r="M175" s="1194">
        <f>IF(SETUP!$F$56="At delivery",IF(SETUP!$G$56=4,$E$173*'Malaria-Equipment &amp; Other HPs'!AY18,IF(SETUP!$G$56=3,$E$173*'Malaria-Equipment &amp; Other HPs'!AZ18,IF(SETUP!$G$56=2,$E$173*'Malaria-Equipment &amp; Other HPs'!BA18,IF(SETUP!$G$56=1,$E$173*'Malaria-Equipment &amp; Other HPs'!BB18,0)))),0)</f>
        <v>0</v>
      </c>
      <c r="N175" s="1194">
        <f>IF(SETUP!$F$56="At delivery",IF(SETUP!$G$56=4,$E$173*'Malaria-Equipment &amp; Other HPs'!AZ18,IF(SETUP!$G$56=3,$E$173*'Malaria-Equipment &amp; Other HPs'!BA18,IF(SETUP!$G$56=2,$E$173*'Malaria-Equipment &amp; Other HPs'!BB18,IF(SETUP!$G$56=1,$E$173*'Malaria-Equipment &amp; Other HPs'!BC18,0)))),0)</f>
        <v>0</v>
      </c>
      <c r="O175" s="1191">
        <f t="shared" si="21"/>
        <v>0</v>
      </c>
      <c r="P175" s="1189">
        <f>IF(SETUP!$F$56="At delivery",IF(SETUP!$G$56=4,$E$173*'Malaria-Equipment &amp; Other HPs'!BA18,IF(SETUP!$G$56=3,$E$173*'Malaria-Equipment &amp; Other HPs'!BB18,IF(SETUP!$G$56=2,$E$173*'Malaria-Equipment &amp; Other HPs'!BC18,IF(SETUP!$G$56=1,$E$173*'Malaria-Equipment &amp; Other HPs'!BD18,0)))),0)</f>
        <v>0</v>
      </c>
      <c r="Q175" s="1189">
        <f>IF(SETUP!$F$56="At delivery",IF(SETUP!$G$56=4,$E$173*'Malaria-Equipment &amp; Other HPs'!BB18,IF(SETUP!$G$56=3,$E$173*'Malaria-Equipment &amp; Other HPs'!BC18,IF(SETUP!$G$56=2,$E$173*'Malaria-Equipment &amp; Other HPs'!BD18,IF(SETUP!$G$56=1,$E$173*'Malaria-Equipment &amp; Other HPs'!BE18,0)))),0)</f>
        <v>0</v>
      </c>
      <c r="R175" s="1189">
        <f>IF(SETUP!$F$56="At delivery",IF(SETUP!$G$56=4,$E$173*'Malaria-Equipment &amp; Other HPs'!BC18,IF(SETUP!$G$56=3,$E$173*'Malaria-Equipment &amp; Other HPs'!BD18,IF(SETUP!$G$56=2,$E$173*'Malaria-Equipment &amp; Other HPs'!BE18,IF(SETUP!$G$56=1,$E$173*'Malaria-Equipment &amp; Other HPs'!BF18,0)))),0)</f>
        <v>0</v>
      </c>
      <c r="S175" s="1189">
        <f>IF(SETUP!$F$56="At delivery",IF(SETUP!$G$56=4,$E$173*('Malaria-Equipment &amp; Other HPs'!BD18+'Malaria-Equipment &amp; Other HPs'!BE18+'Malaria-Equipment &amp; Other HPs'!BF18+'Malaria-Equipment &amp; Other HPs'!BG18+'Malaria-Equipment &amp; Other HPs'!BH18),IF(SETUP!$G$56=3,$E$173*('Malaria-Equipment &amp; Other HPs'!BE18+'Malaria-Equipment &amp; Other HPs'!BF18+'Malaria-Equipment &amp; Other HPs'!BG18+'Malaria-Equipment &amp; Other HPs'!BH18),IF(SETUP!$G$56=2,$E$173*('Malaria-Equipment &amp; Other HPs'!BF18+'Malaria-Equipment &amp; Other HPs'!BG18+'Malaria-Equipment &amp; Other HPs'!BH18),IF(SETUP!$G$56=1,$E$173*('Malaria-Equipment &amp; Other HPs'!BG18+'Malaria-Equipment &amp; Other HPs'!BH18),0)))),0)</f>
        <v>0</v>
      </c>
      <c r="T175" s="1190">
        <f t="shared" si="22"/>
        <v>0</v>
      </c>
      <c r="U175" s="1189">
        <f t="shared" si="23"/>
        <v>0</v>
      </c>
      <c r="V175" s="1795">
        <v>7.2</v>
      </c>
      <c r="W175" s="1823"/>
      <c r="X175" s="1820"/>
    </row>
    <row r="176" spans="1:24" s="860" customFormat="1" ht="15" hidden="1" customHeight="1" collapsed="1">
      <c r="A176" s="2928"/>
      <c r="B176" s="2929"/>
      <c r="C176" s="2907" t="s">
        <v>537</v>
      </c>
      <c r="D176" s="2911"/>
      <c r="E176" s="1649">
        <v>0</v>
      </c>
      <c r="F176" s="1279">
        <f>IF(SETUP!$F$57="Upfront",F177,F178)</f>
        <v>0</v>
      </c>
      <c r="G176" s="1189">
        <f>IF(SETUP!$F$57="Upfront",G177,G178)</f>
        <v>0</v>
      </c>
      <c r="H176" s="1189">
        <f>IF(SETUP!$F$57="Upfront",H177,H178)</f>
        <v>0</v>
      </c>
      <c r="I176" s="1189">
        <f>IF(SETUP!$F$57="Upfront",I177,I178)</f>
        <v>0</v>
      </c>
      <c r="J176" s="1193">
        <f t="shared" si="20"/>
        <v>0</v>
      </c>
      <c r="K176" s="1189">
        <f>IF(SETUP!$F$57="Upfront",K177,K178)</f>
        <v>0</v>
      </c>
      <c r="L176" s="1189">
        <f>IF(SETUP!$F$57="Upfront",L177,L178)</f>
        <v>0</v>
      </c>
      <c r="M176" s="1189">
        <f>IF(SETUP!$F$57="Upfront",M177,M178)</f>
        <v>0</v>
      </c>
      <c r="N176" s="1189">
        <f>IF(SETUP!$F$57="Upfront",N177,N178)</f>
        <v>0</v>
      </c>
      <c r="O176" s="1191">
        <f t="shared" si="21"/>
        <v>0</v>
      </c>
      <c r="P176" s="1189">
        <f>IF(SETUP!$F$57="Upfront",P177,P178)</f>
        <v>0</v>
      </c>
      <c r="Q176" s="1189">
        <f>IF(SETUP!$F$57="Upfront",Q177,Q178)</f>
        <v>0</v>
      </c>
      <c r="R176" s="1189">
        <f>IF(SETUP!$F$57="Upfront",R177,R178)</f>
        <v>0</v>
      </c>
      <c r="S176" s="1189">
        <f>IF(SETUP!$F$57="Upfront",S177,S178)</f>
        <v>0</v>
      </c>
      <c r="T176" s="1190">
        <f t="shared" si="22"/>
        <v>0</v>
      </c>
      <c r="U176" s="1189">
        <f t="shared" si="23"/>
        <v>0</v>
      </c>
      <c r="V176" s="1795">
        <v>7.2</v>
      </c>
      <c r="W176" s="1823"/>
      <c r="X176" s="1820"/>
    </row>
    <row r="177" spans="1:38" s="860" customFormat="1" ht="15" hidden="1" customHeight="1" outlineLevel="1">
      <c r="A177" s="2928"/>
      <c r="B177" s="2929"/>
      <c r="C177" s="2889" t="s">
        <v>918</v>
      </c>
      <c r="D177" s="2912"/>
      <c r="E177" s="1649"/>
      <c r="F177" s="1279">
        <f>IF(SETUP!$F$57="Upfront",$E$176*'Malaria-Equipment &amp; Other HPs'!AW19,0)</f>
        <v>0</v>
      </c>
      <c r="G177" s="1189">
        <f>IF(SETUP!$F$57="Upfront",$E$176*'Malaria-Equipment &amp; Other HPs'!AX19,0)</f>
        <v>0</v>
      </c>
      <c r="H177" s="1189">
        <f>IF(SETUP!$F$57="Upfront",$E$176*'Malaria-Equipment &amp; Other HPs'!AY19,0)</f>
        <v>0</v>
      </c>
      <c r="I177" s="1189">
        <f>IF(SETUP!$F$57="Upfront",$E$176*'Malaria-Equipment &amp; Other HPs'!AZ19,0)</f>
        <v>0</v>
      </c>
      <c r="J177" s="1193">
        <f t="shared" si="20"/>
        <v>0</v>
      </c>
      <c r="K177" s="1189">
        <f>IF(SETUP!$F$57="Upfront",$E$176*'Malaria-Equipment &amp; Other HPs'!BA19,0)</f>
        <v>0</v>
      </c>
      <c r="L177" s="1189">
        <f>IF(SETUP!$F$57="Upfront",$E$176*'Malaria-Equipment &amp; Other HPs'!BB19,0)</f>
        <v>0</v>
      </c>
      <c r="M177" s="1189">
        <f>IF(SETUP!$F$57="Upfront",$E$176*'Malaria-Equipment &amp; Other HPs'!BC19,0)</f>
        <v>0</v>
      </c>
      <c r="N177" s="1189">
        <f>IF(SETUP!$F$57="Upfront",$E$176*'Malaria-Equipment &amp; Other HPs'!BD19,0)</f>
        <v>0</v>
      </c>
      <c r="O177" s="1191">
        <f t="shared" si="21"/>
        <v>0</v>
      </c>
      <c r="P177" s="1189">
        <f>IF(SETUP!$F$57="Upfront",$E$176*'Malaria-Equipment &amp; Other HPs'!BE19,0)</f>
        <v>0</v>
      </c>
      <c r="Q177" s="1189">
        <f>IF(SETUP!$F$57="Upfront",$E$176*'Malaria-Equipment &amp; Other HPs'!BF19,0)</f>
        <v>0</v>
      </c>
      <c r="R177" s="1189">
        <f>IF(SETUP!$F$57="Upfront",$E$176*'Malaria-Equipment &amp; Other HPs'!BG19,0)</f>
        <v>0</v>
      </c>
      <c r="S177" s="1189">
        <f>IF(SETUP!$F$57="Upfront",$E$176*'Malaria-Equipment &amp; Other HPs'!BH19,0)</f>
        <v>0</v>
      </c>
      <c r="T177" s="1190">
        <f t="shared" si="22"/>
        <v>0</v>
      </c>
      <c r="U177" s="1189">
        <f t="shared" si="23"/>
        <v>0</v>
      </c>
      <c r="V177" s="1795">
        <v>7.2</v>
      </c>
      <c r="W177" s="1823"/>
      <c r="X177" s="1820"/>
    </row>
    <row r="178" spans="1:38" s="860" customFormat="1" ht="15" hidden="1" customHeight="1" outlineLevel="1">
      <c r="A178" s="2928"/>
      <c r="B178" s="2929"/>
      <c r="C178" s="2889" t="s">
        <v>36</v>
      </c>
      <c r="D178" s="2912"/>
      <c r="E178" s="1649"/>
      <c r="F178" s="1279">
        <v>0</v>
      </c>
      <c r="G178" s="1195">
        <f>IF(SETUP!$F$57="At delivery",IF(SETUP!$G$57=1,$E$176*'Malaria-Equipment &amp; Other HPs'!AW19,0),0)</f>
        <v>0</v>
      </c>
      <c r="H178" s="1194">
        <f>IF(SETUP!$F$57="At delivery",IF(SETUP!$G$57=2,$E$176*'Malaria-Equipment &amp; Other HPs'!AW19,IF(SETUP!$G$57=1,$E$176*'Malaria-Equipment &amp; Other HPs'!AX19,0)),0)</f>
        <v>0</v>
      </c>
      <c r="I178" s="1194">
        <f>IF(SETUP!$F$57="At delivery",IF(SETUP!$G$57=3,$E$176*'Malaria-Equipment &amp; Other HPs'!AW19,IF(SETUP!$G$57=2,$E$176*'Malaria-Equipment &amp; Other HPs'!AX19,IF(SETUP!$G$57=1,$E$176*'Malaria-Equipment &amp; Other HPs'!AY19,0))),0)</f>
        <v>0</v>
      </c>
      <c r="J178" s="1193">
        <f t="shared" si="20"/>
        <v>0</v>
      </c>
      <c r="K178" s="1194">
        <f>IF(SETUP!$F$57="At delivery",IF(SETUP!$G$57=4,$E$176*'Malaria-Equipment &amp; Other HPs'!AW19,IF(SETUP!$G$57=3,$E$176*'Malaria-Equipment &amp; Other HPs'!AX19,IF(SETUP!$G$57=2,$E$176*'Malaria-Equipment &amp; Other HPs'!AY19,IF(SETUP!$G$57=1,$E$176*'Malaria-Equipment &amp; Other HPs'!AZ19,0)))),0)</f>
        <v>0</v>
      </c>
      <c r="L178" s="1194">
        <f>IF(SETUP!$F$57="At delivery",IF(SETUP!$G$57=4,$E$176*'Malaria-Equipment &amp; Other HPs'!AX19,IF(SETUP!$G$57=3,$E$176*'Malaria-Equipment &amp; Other HPs'!AY19,IF(SETUP!$G$57=2,$E$176*'Malaria-Equipment &amp; Other HPs'!AZ19,IF(SETUP!$G$57=1,$E$176*'Malaria-Equipment &amp; Other HPs'!BA19,0)))),0)</f>
        <v>0</v>
      </c>
      <c r="M178" s="1194">
        <f>IF(SETUP!$F$57="At delivery",IF(SETUP!$G$57=4,$E$176*'Malaria-Equipment &amp; Other HPs'!AY19,IF(SETUP!$G$57=3,$E$176*'Malaria-Equipment &amp; Other HPs'!AZ19,IF(SETUP!$G$57=2,$E$176*'Malaria-Equipment &amp; Other HPs'!BA19,IF(SETUP!$G$57=1,$E$176*'Malaria-Equipment &amp; Other HPs'!BB19,0)))),0)</f>
        <v>0</v>
      </c>
      <c r="N178" s="1194">
        <f>IF(SETUP!$F$57="At delivery",IF(SETUP!$G$57=4,$E$176*'Malaria-Equipment &amp; Other HPs'!AZ19,IF(SETUP!$G$57=3,$E$176*'Malaria-Equipment &amp; Other HPs'!BA19,IF(SETUP!$G$57=2,$E$176*'Malaria-Equipment &amp; Other HPs'!BB19,IF(SETUP!$G$57=1,$E$176*'Malaria-Equipment &amp; Other HPs'!BC19,0)))),0)</f>
        <v>0</v>
      </c>
      <c r="O178" s="1191">
        <f t="shared" si="21"/>
        <v>0</v>
      </c>
      <c r="P178" s="1189">
        <f>IF(SETUP!$F$57="At delivery",IF(SETUP!$G$57=4,$E$176*'Malaria-Equipment &amp; Other HPs'!BA19,IF(SETUP!$G$57=3,$E$176*'Malaria-Equipment &amp; Other HPs'!BB19,IF(SETUP!$G$57=2,$E$176*'Malaria-Equipment &amp; Other HPs'!BC19,IF(SETUP!$G$57=1,$E$176*'Malaria-Equipment &amp; Other HPs'!BD19,0)))),0)</f>
        <v>0</v>
      </c>
      <c r="Q178" s="1189">
        <f>IF(SETUP!$F$57="At delivery",IF(SETUP!$G$57=4,$E$176*'Malaria-Equipment &amp; Other HPs'!BB19,IF(SETUP!$G$57=3,$E$176*'Malaria-Equipment &amp; Other HPs'!BC19,IF(SETUP!$G$57=2,$E$176*'Malaria-Equipment &amp; Other HPs'!BD19,IF(SETUP!$G$57=1,$E$176*'Malaria-Equipment &amp; Other HPs'!BE19,0)))),0)</f>
        <v>0</v>
      </c>
      <c r="R178" s="1189">
        <f>IF(SETUP!$F$57="At delivery",IF(SETUP!$G$57=4,$E$176*'Malaria-Equipment &amp; Other HPs'!BC19,IF(SETUP!$G$57=3,$E$176*'Malaria-Equipment &amp; Other HPs'!BD19,IF(SETUP!$G$57=2,$E$176*'Malaria-Equipment &amp; Other HPs'!BE19,IF(SETUP!$G$57=1,$E$176*'Malaria-Equipment &amp; Other HPs'!BF19,0)))),0)</f>
        <v>0</v>
      </c>
      <c r="S178" s="1189">
        <f>IF(SETUP!$F$57="At delivery",IF(SETUP!$G$57=4,$E$176*('Malaria-Equipment &amp; Other HPs'!BD19+'Malaria-Equipment &amp; Other HPs'!BE19+'Malaria-Equipment &amp; Other HPs'!BF19+'Malaria-Equipment &amp; Other HPs'!BG19+'Malaria-Equipment &amp; Other HPs'!BH19),IF(SETUP!$G$57=3,$E$176*('Malaria-Equipment &amp; Other HPs'!BE19+'Malaria-Equipment &amp; Other HPs'!BF19+'Malaria-Equipment &amp; Other HPs'!BG19+'Malaria-Equipment &amp; Other HPs'!BH19),IF(SETUP!$G$57=2,$E$176*('Malaria-Equipment &amp; Other HPs'!BF19+'Malaria-Equipment &amp; Other HPs'!BG19+'Malaria-Equipment &amp; Other HPs'!BH19),IF(SETUP!$G$57=1,$E$176*('Malaria-Equipment &amp; Other HPs'!BG19+'Malaria-Equipment &amp; Other HPs'!BH19),0)))),0)</f>
        <v>0</v>
      </c>
      <c r="T178" s="1190">
        <f t="shared" si="22"/>
        <v>0</v>
      </c>
      <c r="U178" s="1189">
        <f t="shared" si="23"/>
        <v>0</v>
      </c>
      <c r="V178" s="1795">
        <v>7.2</v>
      </c>
      <c r="W178" s="1823"/>
      <c r="X178" s="1820"/>
    </row>
    <row r="179" spans="1:38" s="860" customFormat="1" ht="15" hidden="1" customHeight="1" collapsed="1" thickBot="1">
      <c r="A179" s="2931"/>
      <c r="B179" s="2929"/>
      <c r="C179" s="2975" t="s">
        <v>584</v>
      </c>
      <c r="D179" s="2983"/>
      <c r="E179" s="1650">
        <v>0</v>
      </c>
      <c r="F179" s="1337">
        <f>IF(SETUP!$F$58="Upfront",F180,F181)</f>
        <v>0</v>
      </c>
      <c r="G179" s="1282">
        <f>IF(SETUP!$F$58="Upfront",G180,G181)</f>
        <v>0</v>
      </c>
      <c r="H179" s="1282">
        <f>IF(SETUP!$F$58="Upfront",H180,H181)</f>
        <v>0</v>
      </c>
      <c r="I179" s="1282">
        <f>IF(SETUP!$F$58="Upfront",I180,I181)</f>
        <v>0</v>
      </c>
      <c r="J179" s="1283">
        <f t="shared" si="20"/>
        <v>0</v>
      </c>
      <c r="K179" s="1282">
        <f>IF(SETUP!$F$58="Upfront",K180,K181)</f>
        <v>0</v>
      </c>
      <c r="L179" s="1282">
        <f>IF(SETUP!$F$58="Upfront",L180,L181)</f>
        <v>0</v>
      </c>
      <c r="M179" s="1282">
        <f>IF(SETUP!$F$58="Upfront",M180,M181)</f>
        <v>0</v>
      </c>
      <c r="N179" s="1282">
        <f>IF(SETUP!$F$58="Upfront",N180,N181)</f>
        <v>0</v>
      </c>
      <c r="O179" s="1284">
        <f t="shared" si="21"/>
        <v>0</v>
      </c>
      <c r="P179" s="1282">
        <f>IF(SETUP!$F$58="Upfront",P180,P181)</f>
        <v>0</v>
      </c>
      <c r="Q179" s="1282">
        <f>IF(SETUP!$F$58="Upfront",Q180,Q181)</f>
        <v>0</v>
      </c>
      <c r="R179" s="1282">
        <f>IF(SETUP!$F$58="Upfront",R180,R181)</f>
        <v>0</v>
      </c>
      <c r="S179" s="1282">
        <f>IF(SETUP!$F$58="Upfront",S180,S181)</f>
        <v>0</v>
      </c>
      <c r="T179" s="1285">
        <f t="shared" si="22"/>
        <v>0</v>
      </c>
      <c r="U179" s="1282">
        <f t="shared" si="23"/>
        <v>0</v>
      </c>
      <c r="V179" s="1796">
        <v>7.2</v>
      </c>
      <c r="W179" s="1848"/>
      <c r="X179" s="1821"/>
    </row>
    <row r="180" spans="1:38" s="860" customFormat="1" ht="15" hidden="1" customHeight="1" outlineLevel="1">
      <c r="A180" s="1878"/>
      <c r="B180" s="1872"/>
      <c r="C180" s="2977" t="s">
        <v>918</v>
      </c>
      <c r="D180" s="2984"/>
      <c r="E180" s="1562"/>
      <c r="F180" s="1196">
        <f>IF(SETUP!$F$58="Upfront",$E$179*'Malaria-Equipment &amp; Other HPs'!AW20,0)</f>
        <v>0</v>
      </c>
      <c r="G180" s="1196">
        <f>IF(SETUP!$F$58="Upfront",$E$179*'Malaria-Equipment &amp; Other HPs'!AX20,0)</f>
        <v>0</v>
      </c>
      <c r="H180" s="1196">
        <f>IF(SETUP!$F$58="Upfront",$E$179*'Malaria-Equipment &amp; Other HPs'!AY20,0)</f>
        <v>0</v>
      </c>
      <c r="I180" s="1196">
        <f>IF(SETUP!$F$58="Upfront",$E$179*'Malaria-Equipment &amp; Other HPs'!AZ20,0)</f>
        <v>0</v>
      </c>
      <c r="J180" s="1197"/>
      <c r="K180" s="1196">
        <f>IF(SETUP!$F$58="Upfront",$E$179*'Malaria-Equipment &amp; Other HPs'!BA20,0)</f>
        <v>0</v>
      </c>
      <c r="L180" s="1196">
        <f>IF(SETUP!$F$58="Upfront",$E$179*'Malaria-Equipment &amp; Other HPs'!BB20,0)</f>
        <v>0</v>
      </c>
      <c r="M180" s="1196">
        <f>IF(SETUP!$F$58="Upfront",$E$179*'Malaria-Equipment &amp; Other HPs'!BC20,0)</f>
        <v>0</v>
      </c>
      <c r="N180" s="1196">
        <f>IF(SETUP!$F$58="Upfront",$E$179*'Malaria-Equipment &amp; Other HPs'!BD20,0)</f>
        <v>0</v>
      </c>
      <c r="O180" s="1198"/>
      <c r="P180" s="1196">
        <f>IF(SETUP!$F$58="Upfront",$E$179*'Malaria-Equipment &amp; Other HPs'!BE20,0)</f>
        <v>0</v>
      </c>
      <c r="Q180" s="1196">
        <f>IF(SETUP!$F$58="Upfront",$E$179*'Malaria-Equipment &amp; Other HPs'!BF20,0)</f>
        <v>0</v>
      </c>
      <c r="R180" s="1196">
        <f>IF(SETUP!$F$58="Upfront",$E$179*'Malaria-Equipment &amp; Other HPs'!BG20,0)</f>
        <v>0</v>
      </c>
      <c r="S180" s="1196">
        <f>IF(SETUP!$F$58="Upfront",$E$179*'Malaria-Equipment &amp; Other HPs'!BH20,0)</f>
        <v>0</v>
      </c>
      <c r="T180" s="1199"/>
      <c r="U180" s="1196"/>
      <c r="V180" s="1846"/>
      <c r="W180" s="1849"/>
    </row>
    <row r="181" spans="1:38" s="860" customFormat="1" ht="15" hidden="1" customHeight="1" outlineLevel="1" thickBot="1">
      <c r="A181" s="1879"/>
      <c r="B181" s="1873"/>
      <c r="C181" s="3038" t="s">
        <v>36</v>
      </c>
      <c r="D181" s="2982"/>
      <c r="E181" s="1561"/>
      <c r="F181" s="1200">
        <v>0</v>
      </c>
      <c r="G181" s="1201">
        <f>IF(SETUP!$F$58="At delivery",IF(SETUP!$G$58=1,$E$179*'Malaria-Equipment &amp; Other HPs'!AW20,0),0)</f>
        <v>0</v>
      </c>
      <c r="H181" s="1202">
        <f>IF(SETUP!$F$58="At delivery",IF(SETUP!$G$58=2,$E$179*'Malaria-Equipment &amp; Other HPs'!AW20,IF(SETUP!$G$58=1,$E$179*'Malaria-Equipment &amp; Other HPs'!AX20,0)),0)</f>
        <v>0</v>
      </c>
      <c r="I181" s="1202">
        <f>IF(SETUP!$F$58="At delivery",IF(SETUP!$G$58=3,$E$179*'Malaria-Equipment &amp; Other HPs'!AW20,IF(SETUP!$G$58=2,$E$179*'Malaria-Equipment &amp; Other HPs'!AX20,IF(SETUP!$G$58=1,$E$179*'Malaria-Equipment &amp; Other HPs'!AY20,0))),0)</f>
        <v>0</v>
      </c>
      <c r="J181" s="1185"/>
      <c r="K181" s="1202">
        <f>IF(SETUP!$F$58="At delivery",IF(SETUP!$G$58=4,$E$179*'Malaria-Equipment &amp; Other HPs'!AW20,IF(SETUP!$G$58=3,$E$179*'Malaria-Equipment &amp; Other HPs'!AX20,IF(SETUP!$G$58=2,$E$179*'Malaria-Equipment &amp; Other HPs'!AY20,IF(SETUP!$G$58=1,$E$179*'Malaria-Equipment &amp; Other HPs'!AZ20,0)))),0)</f>
        <v>0</v>
      </c>
      <c r="L181" s="1202">
        <f>IF(SETUP!$F$58="At delivery",IF(SETUP!$G$58=4,$E$179*'Malaria-Equipment &amp; Other HPs'!AX20,IF(SETUP!$G$58=3,$E$179*'Malaria-Equipment &amp; Other HPs'!AY20,IF(SETUP!$G$58=2,$E$179*'Malaria-Equipment &amp; Other HPs'!AZ20,IF(SETUP!$G$58=1,$E$179*'Malaria-Equipment &amp; Other HPs'!BA20,0)))),0)</f>
        <v>0</v>
      </c>
      <c r="M181" s="1202">
        <f>IF(SETUP!$F$58="At delivery",IF(SETUP!$G$58=4,$E$179*'Malaria-Equipment &amp; Other HPs'!AY20,IF(SETUP!$G$58=3,$E$179*'Malaria-Equipment &amp; Other HPs'!AZ20,IF(SETUP!$G$58=2,$E$179*'Malaria-Equipment &amp; Other HPs'!BA20,IF(SETUP!$G$58=1,$E$179*'Malaria-Equipment &amp; Other HPs'!BB20,0)))),0)</f>
        <v>0</v>
      </c>
      <c r="N181" s="1202">
        <f>IF(SETUP!$F$58="At delivery",IF(SETUP!$G$58=4,$E$179*'Malaria-Equipment &amp; Other HPs'!AZ20,IF(SETUP!$G$58=3,$E$179*'Malaria-Equipment &amp; Other HPs'!BA20,IF(SETUP!$G$58=2,$E$179*'Malaria-Equipment &amp; Other HPs'!BB20,IF(SETUP!$G$58=1,$E$179*'Malaria-Equipment &amp; Other HPs'!BC20,0)))),0)</f>
        <v>0</v>
      </c>
      <c r="O181" s="1203"/>
      <c r="P181" s="1200">
        <f>IF(SETUP!$F$58="At delivery",IF(SETUP!$G$58=4,$E$179*'Malaria-Equipment &amp; Other HPs'!BA20,IF(SETUP!$G$58=3,$E$179*'Malaria-Equipment &amp; Other HPs'!BB20,IF(SETUP!$G$58=2,$E$179*'Malaria-Equipment &amp; Other HPs'!BC20,IF(SETUP!$G$58=1,$E$179*'Malaria-Equipment &amp; Other HPs'!BD20,0)))),0)</f>
        <v>0</v>
      </c>
      <c r="Q181" s="1200">
        <f>IF(SETUP!$F$58="At delivery",IF(SETUP!$G$58=4,$E$179*'Malaria-Equipment &amp; Other HPs'!BB20,IF(SETUP!$G$58=3,$E$179*'Malaria-Equipment &amp; Other HPs'!BC20,IF(SETUP!$G$58=2,$E$179*'Malaria-Equipment &amp; Other HPs'!BD20,IF(SETUP!$G$58=1,$E$179*'Malaria-Equipment &amp; Other HPs'!BE20,0)))),0)</f>
        <v>0</v>
      </c>
      <c r="R181" s="1200">
        <f>IF(SETUP!$F$58="At delivery",IF(SETUP!$G$58=4,$E$179*'Malaria-Equipment &amp; Other HPs'!BC20,IF(SETUP!$G$58=3,$E$179*'Malaria-Equipment &amp; Other HPs'!BD20,IF(SETUP!$G$58=2,$E$179*'Malaria-Equipment &amp; Other HPs'!BE20,IF(SETUP!$G$58=1,$E$179*'Malaria-Equipment &amp; Other HPs'!BF20,0)))),0)</f>
        <v>0</v>
      </c>
      <c r="S181" s="1200">
        <f>IF(SETUP!$F$58="At delivery",IF(SETUP!$G$58=4,$E$179*('Malaria-Equipment &amp; Other HPs'!BD20+'Malaria-Equipment &amp; Other HPs'!BE20+'Malaria-Equipment &amp; Other HPs'!BF20+'Malaria-Equipment &amp; Other HPs'!BG20+'Malaria-Equipment &amp; Other HPs'!BH20),IF(SETUP!$G$58=3,$E$179*('Malaria-Equipment &amp; Other HPs'!BE20+'Malaria-Equipment &amp; Other HPs'!BF20+'Malaria-Equipment &amp; Other HPs'!BG20+'Malaria-Equipment &amp; Other HPs'!BH20),IF(SETUP!$G$58=2,$E$179*('Malaria-Equipment &amp; Other HPs'!BF20+'Malaria-Equipment &amp; Other HPs'!BG20+'Malaria-Equipment &amp; Other HPs'!BH20),IF(SETUP!$G$58=1,$E$179*('Malaria-Equipment &amp; Other HPs'!BG20+'Malaria-Equipment &amp; Other HPs'!BH20),0)))),0)</f>
        <v>0</v>
      </c>
      <c r="T181" s="1204">
        <f>P181+Q181+R181+S181</f>
        <v>0</v>
      </c>
      <c r="U181" s="1200">
        <f>J181+O181+T181</f>
        <v>0</v>
      </c>
      <c r="V181" s="1847"/>
      <c r="W181" s="1850"/>
    </row>
    <row r="182" spans="1:38" s="860" customFormat="1" ht="15" customHeight="1" collapsed="1">
      <c r="A182" s="1876"/>
      <c r="B182" s="1876"/>
      <c r="C182" s="862"/>
      <c r="D182" s="863"/>
      <c r="E182" s="864"/>
      <c r="F182" s="863"/>
      <c r="G182" s="863"/>
      <c r="H182" s="863"/>
      <c r="I182" s="865"/>
      <c r="V182" s="931"/>
      <c r="Y182" s="866"/>
      <c r="Z182" s="863"/>
      <c r="AA182" s="863"/>
      <c r="AB182" s="863"/>
      <c r="AC182" s="863"/>
      <c r="AD182" s="863"/>
      <c r="AE182" s="863"/>
      <c r="AF182" s="863"/>
      <c r="AG182" s="863"/>
      <c r="AH182" s="863"/>
      <c r="AI182" s="863"/>
      <c r="AJ182" s="863"/>
      <c r="AK182" s="863"/>
      <c r="AL182" s="863"/>
    </row>
    <row r="183" spans="1:38" s="1392" customFormat="1" ht="24" customHeight="1" thickBot="1">
      <c r="A183" s="2937" t="s">
        <v>7634</v>
      </c>
      <c r="B183" s="2937"/>
      <c r="C183" s="2937"/>
      <c r="D183" s="2937"/>
      <c r="E183" s="2937"/>
      <c r="F183" s="1391"/>
      <c r="G183" s="1391"/>
      <c r="H183" s="1391"/>
      <c r="V183" s="1393"/>
      <c r="Y183" s="866"/>
      <c r="Z183" s="1391"/>
      <c r="AA183" s="1391"/>
      <c r="AB183" s="1391"/>
      <c r="AC183" s="1391"/>
      <c r="AD183" s="1391"/>
      <c r="AE183" s="1391"/>
      <c r="AF183" s="1391"/>
      <c r="AG183" s="1391"/>
      <c r="AH183" s="1391"/>
      <c r="AI183" s="1391"/>
      <c r="AJ183" s="1391"/>
      <c r="AK183" s="1391"/>
      <c r="AL183" s="1391"/>
    </row>
    <row r="184" spans="1:38" s="860" customFormat="1" ht="15" customHeight="1">
      <c r="A184" s="2962" t="s">
        <v>542</v>
      </c>
      <c r="B184" s="2963"/>
      <c r="C184" s="2963"/>
      <c r="D184" s="2963"/>
      <c r="E184" s="2938" t="s">
        <v>587</v>
      </c>
      <c r="F184" s="2942" t="str">
        <f>IF(ISBLANK(IMP_ST_DATE),"Please fill setup",YEAR(IMP_ST_DATE))</f>
        <v>Please fill setup</v>
      </c>
      <c r="G184" s="2943"/>
      <c r="H184" s="2943"/>
      <c r="I184" s="2943"/>
      <c r="J184" s="2948"/>
      <c r="K184" s="2943" t="str">
        <f>IF(ISBLANK(IMP_ST_DATE),"Please fill setup",YEAR(IMP_ST_DATE)+1)</f>
        <v>Please fill setup</v>
      </c>
      <c r="L184" s="2943"/>
      <c r="M184" s="2943"/>
      <c r="N184" s="2943"/>
      <c r="O184" s="2944"/>
      <c r="P184" s="2956" t="str">
        <f>IF(ISBLANK(IMP_ST_DATE),"Please fill setup",YEAR(IMP_ST_DATE)+2)</f>
        <v>Please fill setup</v>
      </c>
      <c r="Q184" s="2950"/>
      <c r="R184" s="2950"/>
      <c r="S184" s="2950"/>
      <c r="T184" s="2957"/>
      <c r="U184" s="3049" t="s">
        <v>593</v>
      </c>
      <c r="V184" s="3058" t="s">
        <v>153</v>
      </c>
      <c r="W184" s="3045" t="s">
        <v>6865</v>
      </c>
      <c r="X184" s="3054"/>
      <c r="Y184" s="3005" t="s">
        <v>153</v>
      </c>
    </row>
    <row r="185" spans="1:38" s="860" customFormat="1" ht="14.25" customHeight="1" thickBot="1">
      <c r="A185" s="2964"/>
      <c r="B185" s="2965"/>
      <c r="C185" s="2965"/>
      <c r="D185" s="2965"/>
      <c r="E185" s="2939"/>
      <c r="F185" s="2945"/>
      <c r="G185" s="2946"/>
      <c r="H185" s="2946"/>
      <c r="I185" s="2946"/>
      <c r="J185" s="2949"/>
      <c r="K185" s="2946"/>
      <c r="L185" s="2946"/>
      <c r="M185" s="2946"/>
      <c r="N185" s="2946"/>
      <c r="O185" s="2947"/>
      <c r="P185" s="2958"/>
      <c r="Q185" s="2952"/>
      <c r="R185" s="2952"/>
      <c r="S185" s="2952"/>
      <c r="T185" s="2959"/>
      <c r="U185" s="3050"/>
      <c r="V185" s="3059"/>
      <c r="W185" s="3053"/>
      <c r="X185" s="3055"/>
      <c r="Y185" s="3006"/>
    </row>
    <row r="186" spans="1:38" s="861" customFormat="1" ht="40.5" customHeight="1" thickBot="1">
      <c r="A186" s="2966"/>
      <c r="B186" s="2967"/>
      <c r="C186" s="2967"/>
      <c r="D186" s="2967"/>
      <c r="E186" s="2940"/>
      <c r="F186" s="845" t="s">
        <v>544</v>
      </c>
      <c r="G186" s="1272" t="s">
        <v>545</v>
      </c>
      <c r="H186" s="1272" t="s">
        <v>546</v>
      </c>
      <c r="I186" s="1272" t="s">
        <v>547</v>
      </c>
      <c r="J186" s="1863" t="s">
        <v>548</v>
      </c>
      <c r="K186" s="1272" t="s">
        <v>549</v>
      </c>
      <c r="L186" s="1272" t="s">
        <v>550</v>
      </c>
      <c r="M186" s="1272" t="s">
        <v>551</v>
      </c>
      <c r="N186" s="1272" t="s">
        <v>552</v>
      </c>
      <c r="O186" s="1273" t="s">
        <v>553</v>
      </c>
      <c r="P186" s="1272" t="s">
        <v>554</v>
      </c>
      <c r="Q186" s="1272" t="s">
        <v>555</v>
      </c>
      <c r="R186" s="1272" t="s">
        <v>556</v>
      </c>
      <c r="S186" s="1272" t="s">
        <v>557</v>
      </c>
      <c r="T186" s="1273" t="s">
        <v>558</v>
      </c>
      <c r="U186" s="1272" t="s">
        <v>250</v>
      </c>
      <c r="V186" s="1793" t="s">
        <v>309</v>
      </c>
      <c r="W186" s="3046"/>
      <c r="X186" s="3056"/>
    </row>
    <row r="187" spans="1:38" s="860" customFormat="1" ht="15" customHeight="1">
      <c r="A187" s="2913" t="s">
        <v>560</v>
      </c>
      <c r="B187" s="2914"/>
      <c r="C187" s="2972" t="s">
        <v>561</v>
      </c>
      <c r="D187" s="2972"/>
      <c r="E187" s="1648">
        <v>0</v>
      </c>
      <c r="F187" s="1306">
        <f>IF(SETUP!$F$20="Upfront",F188,F189)</f>
        <v>0</v>
      </c>
      <c r="G187" s="1307">
        <f>IF(SETUP!$F$20="Upfront",G188,G189)</f>
        <v>0</v>
      </c>
      <c r="H187" s="1308">
        <f>IF(SETUP!$F$20="Upfront",H188,H189)</f>
        <v>0</v>
      </c>
      <c r="I187" s="1308">
        <f>IF(SETUP!$F$20="Upfront",I188,I189)</f>
        <v>0</v>
      </c>
      <c r="J187" s="1309">
        <f>F187+G187+H187+I187</f>
        <v>0</v>
      </c>
      <c r="K187" s="1308">
        <f>IF(SETUP!$F$20="Upfront",K188,K189)</f>
        <v>0</v>
      </c>
      <c r="L187" s="1308">
        <f>IF(SETUP!$F$20="Upfront",L188,L189)</f>
        <v>0</v>
      </c>
      <c r="M187" s="1308">
        <f>IF(SETUP!$F$20="Upfront",M188,M189)</f>
        <v>0</v>
      </c>
      <c r="N187" s="1308">
        <f>IF(SETUP!$F$20="Upfront",N188,N189)</f>
        <v>0</v>
      </c>
      <c r="O187" s="1310">
        <f>K187+L187+M187+N187</f>
        <v>0</v>
      </c>
      <c r="P187" s="1311">
        <f>IF(SETUP!$F$20="Upfront",P188,P189)</f>
        <v>0</v>
      </c>
      <c r="Q187" s="1311">
        <f>IF(SETUP!$F$20="Upfront",Q188,Q189)</f>
        <v>0</v>
      </c>
      <c r="R187" s="1311">
        <f>IF(SETUP!$F$20="Upfront",R188,R189)</f>
        <v>0</v>
      </c>
      <c r="S187" s="1311">
        <f>IF(SETUP!$F$20="Upfront",S188,S189)</f>
        <v>0</v>
      </c>
      <c r="T187" s="1312">
        <f>P187+Q187+R187+S187</f>
        <v>0</v>
      </c>
      <c r="U187" s="1311">
        <f>J187+O187+T187</f>
        <v>0</v>
      </c>
      <c r="V187" s="1794">
        <v>7.5</v>
      </c>
      <c r="W187" s="1822"/>
      <c r="X187" s="1819"/>
    </row>
    <row r="188" spans="1:38" s="860" customFormat="1" ht="15" hidden="1" customHeight="1" outlineLevel="1">
      <c r="A188" s="2915"/>
      <c r="B188" s="2916"/>
      <c r="C188" s="2912" t="s">
        <v>918</v>
      </c>
      <c r="D188" s="2912"/>
      <c r="E188" s="1649"/>
      <c r="F188" s="1279">
        <f>IF(SETUP!$F$20="Upfront",$E$187*'HIV-Pharmaceuticals'!AW14,0)</f>
        <v>0</v>
      </c>
      <c r="G188" s="1195">
        <f>IF(SETUP!$F$20="Upfront",$E$187*'HIV-Pharmaceuticals'!AX14,0)</f>
        <v>0</v>
      </c>
      <c r="H188" s="1194">
        <f>IF(SETUP!$F$20="Upfront",$E$187*'HIV-Pharmaceuticals'!AY14,0)</f>
        <v>0</v>
      </c>
      <c r="I188" s="1194">
        <f>IF(SETUP!$F$20="Upfront",$E$187*'HIV-Pharmaceuticals'!AZ14,0)</f>
        <v>0</v>
      </c>
      <c r="J188" s="1193">
        <f>'HPM costs'!$F188+'HPM costs'!$G188+'HPM costs'!$H188+'HPM costs'!$I188</f>
        <v>0</v>
      </c>
      <c r="K188" s="1194">
        <f>IF(SETUP!$F$20="Upfront",$E$187*'HIV-Pharmaceuticals'!BA14,0)</f>
        <v>0</v>
      </c>
      <c r="L188" s="1194">
        <f>IF(SETUP!$F$20="Upfront",$E$187*'HIV-Pharmaceuticals'!BB14,0)</f>
        <v>0</v>
      </c>
      <c r="M188" s="1194">
        <f>IF(SETUP!$F$20="Upfront",$E$187*'HIV-Pharmaceuticals'!BC14,0)</f>
        <v>0</v>
      </c>
      <c r="N188" s="1194">
        <f>IF(SETUP!$F$20="Upfront",$E$187*'HIV-Pharmaceuticals'!BD14,0)</f>
        <v>0</v>
      </c>
      <c r="O188" s="1191">
        <f>'HPM costs'!$F188+'HPM costs'!$G188+'HPM costs'!$H188+'HPM costs'!$I188</f>
        <v>0</v>
      </c>
      <c r="P188" s="1189">
        <f>IF(SETUP!$F$20="Upfront",$E$187*'HIV-Pharmaceuticals'!BE14,0)</f>
        <v>0</v>
      </c>
      <c r="Q188" s="1189">
        <f>IF(SETUP!$F$20="Upfront",$E$187*'HIV-Pharmaceuticals'!BF14,0)</f>
        <v>0</v>
      </c>
      <c r="R188" s="1189">
        <f>IF(SETUP!$F$20="Upfront",$E$187*'HIV-Pharmaceuticals'!BG14,0)</f>
        <v>0</v>
      </c>
      <c r="S188" s="1189">
        <f>IF(SETUP!$F$20="Upfront",$E$187*'HIV-Pharmaceuticals'!BH14,0)</f>
        <v>0</v>
      </c>
      <c r="T188" s="1190">
        <f>'HPM costs'!$F188+'HPM costs'!$G188+'HPM costs'!$H188+'HPM costs'!$I188</f>
        <v>0</v>
      </c>
      <c r="U188" s="1189">
        <f>'HPM costs'!$J188+'HPM costs'!$O188+'HPM costs'!$T188</f>
        <v>0</v>
      </c>
      <c r="V188" s="1795"/>
      <c r="W188" s="1823"/>
      <c r="X188" s="1820"/>
    </row>
    <row r="189" spans="1:38" s="860" customFormat="1" ht="15" hidden="1" customHeight="1" outlineLevel="1">
      <c r="A189" s="2915"/>
      <c r="B189" s="2916"/>
      <c r="C189" s="2912" t="s">
        <v>36</v>
      </c>
      <c r="D189" s="2912"/>
      <c r="E189" s="1649"/>
      <c r="F189" s="1279">
        <v>0</v>
      </c>
      <c r="G189" s="1195">
        <f>IF(SETUP!$F$20="At delivery",IF(SETUP!$G$20=1,$E$187*'HIV-Pharmaceuticals'!AW14,0),0)</f>
        <v>0</v>
      </c>
      <c r="H189" s="1194">
        <f>IF(SETUP!$F$20="At delivery",IF(SETUP!$G$20=2,$E$187*'HIV-Pharmaceuticals'!AW14,IF(SETUP!$G$20=1,$E$187*'HIV-Pharmaceuticals'!AX14,0)),0)</f>
        <v>0</v>
      </c>
      <c r="I189" s="1194">
        <f>IF(SETUP!$F$20="At delivery",IF(SETUP!$G$20=3,$E$187*'HIV-Pharmaceuticals'!AW14,IF(SETUP!$G$20=2,$E$187*'HIV-Pharmaceuticals'!AX14,IF(SETUP!$G$20=1,$E$187*'HIV-Pharmaceuticals'!AY14,0))),0)</f>
        <v>0</v>
      </c>
      <c r="J189" s="1193">
        <f>'HPM costs'!$F189+'HPM costs'!$G189+'HPM costs'!$H189+'HPM costs'!$I189</f>
        <v>0</v>
      </c>
      <c r="K189" s="1194">
        <f>IF(SETUP!$F$20="At delivery",IF(SETUP!$G$20=4,$E$187*'HIV-Pharmaceuticals'!AW14,IF(SETUP!$G$20=3,$E$187*'HIV-Pharmaceuticals'!AX14,IF(SETUP!$G$20=2,$E$187*'HIV-Pharmaceuticals'!AY14,IF(SETUP!$G$20=1,$E$187*'HIV-Pharmaceuticals'!AZ14,0)))),0)</f>
        <v>0</v>
      </c>
      <c r="L189" s="1194">
        <f>IF(SETUP!$F$20="At delivery",IF(SETUP!$G$20=4,$E$187*'HIV-Pharmaceuticals'!AX14,IF(SETUP!$G$20=3,$E$187*'HIV-Pharmaceuticals'!AY14,IF(SETUP!$G$20=2,$E$187*'HIV-Pharmaceuticals'!AZ14,IF(SETUP!$G$20=1,$E$187*'HIV-Pharmaceuticals'!BA14,0)))),0)</f>
        <v>0</v>
      </c>
      <c r="M189" s="1194">
        <f>IF(SETUP!$F$20="At delivery",IF(SETUP!$G$20=4,$E$187*'HIV-Pharmaceuticals'!AY14,IF(SETUP!$G$20=3,$E$187*'HIV-Pharmaceuticals'!AZ14,IF(SETUP!$G$20=2,$E$187*'HIV-Pharmaceuticals'!BA14,IF(SETUP!$G$20=1,$E$187*'HIV-Pharmaceuticals'!BB14,0)))),0)</f>
        <v>0</v>
      </c>
      <c r="N189" s="1194">
        <f>IF(SETUP!$F$20="At delivery",IF(SETUP!$G$20=4,$E$187*'HIV-Pharmaceuticals'!AZ14,IF(SETUP!$G$20=3,$E$187*'HIV-Pharmaceuticals'!BA14,IF(SETUP!$G$20=2,$E$187*'HIV-Pharmaceuticals'!BB14,IF(SETUP!$G$20=1,$E$187*'HIV-Pharmaceuticals'!BC14,0)))),0)</f>
        <v>0</v>
      </c>
      <c r="O189" s="1191">
        <f>'HPM costs'!$F189+'HPM costs'!$G189+'HPM costs'!$H189+'HPM costs'!$I189</f>
        <v>0</v>
      </c>
      <c r="P189" s="1189">
        <f>IF(SETUP!$F$20="At delivery",IF(SETUP!$G$20=4,$E$187*'HIV-Pharmaceuticals'!BA14,IF(SETUP!$G$20=3,$E$187*'HIV-Pharmaceuticals'!BB14,IF(SETUP!$G$20=2,$E$187*'HIV-Pharmaceuticals'!BC14,IF(SETUP!$G$20=1,$E$187*'HIV-Pharmaceuticals'!BD14,0)))),0)</f>
        <v>0</v>
      </c>
      <c r="Q189" s="1189">
        <f>IF(SETUP!$F$20="At delivery",IF(SETUP!$G$20=4,$E$187*'HIV-Pharmaceuticals'!BB14,IF(SETUP!$G$20=3,$E$187*'HIV-Pharmaceuticals'!BC14,IF(SETUP!$G$20=2,$E$187*'HIV-Pharmaceuticals'!BD14,IF(SETUP!$G$20=1,$E$187*'HIV-Pharmaceuticals'!BE14,0)))),0)</f>
        <v>0</v>
      </c>
      <c r="R189" s="1189">
        <f>IF(SETUP!$F$20="At delivery",IF(SETUP!$G$20=4,$E$187*'HIV-Pharmaceuticals'!BC14,IF(SETUP!$G$20=3,$E$187*'HIV-Pharmaceuticals'!BD14,IF(SETUP!$G$20=2,$E$187*'HIV-Pharmaceuticals'!BE14,IF(SETUP!$G$20=1,$E$187*'HIV-Pharmaceuticals'!BF14,0)))),0)</f>
        <v>0</v>
      </c>
      <c r="S189" s="1189">
        <f>IF(SETUP!$F$20="At delivery",IF(SETUP!$G$20=4,$E$187*('HIV-Pharmaceuticals'!BD14+'HIV-Pharmaceuticals'!BE14+'HIV-Pharmaceuticals'!BF14+'HIV-Pharmaceuticals'!BG14+'HIV-Pharmaceuticals'!BH14),IF(SETUP!$G$20=3,$E$187*('HIV-Pharmaceuticals'!BE14+'HIV-Pharmaceuticals'!BF14+'HIV-Pharmaceuticals'!BG14+'HIV-Pharmaceuticals'!BH14),IF(SETUP!$G$20=2,$E$187*('HIV-Pharmaceuticals'!BF14+'HIV-Pharmaceuticals'!BG14+'HIV-Pharmaceuticals'!BH14),IF(SETUP!$G$20=1,$E$187*('HIV-Pharmaceuticals'!BG14+'HIV-Pharmaceuticals'!BH14),0)))),0)</f>
        <v>0</v>
      </c>
      <c r="T189" s="1190">
        <f>'HPM costs'!$F189+'HPM costs'!$G189+'HPM costs'!$H189+'HPM costs'!$I189</f>
        <v>0</v>
      </c>
      <c r="U189" s="1189">
        <f>'HPM costs'!$J189+'HPM costs'!$O189+'HPM costs'!$T189</f>
        <v>0</v>
      </c>
      <c r="V189" s="1795"/>
      <c r="W189" s="1823"/>
      <c r="X189" s="1820"/>
    </row>
    <row r="190" spans="1:38" s="860" customFormat="1" ht="15" customHeight="1" collapsed="1">
      <c r="A190" s="2915"/>
      <c r="B190" s="2916"/>
      <c r="C190" s="2911" t="s">
        <v>148</v>
      </c>
      <c r="D190" s="2911"/>
      <c r="E190" s="1649">
        <v>0</v>
      </c>
      <c r="F190" s="1279">
        <f>IF(SETUP!$F$21="Upfront",F191,F192)</f>
        <v>0</v>
      </c>
      <c r="G190" s="1195">
        <f>IF(SETUP!$F$21="Upfront",G191,G192)</f>
        <v>0</v>
      </c>
      <c r="H190" s="1194">
        <f>IF(SETUP!$F$21="Upfront",H191,H192)</f>
        <v>0</v>
      </c>
      <c r="I190" s="1194">
        <f>IF(SETUP!$F$21="Upfront",I191,I192)</f>
        <v>0</v>
      </c>
      <c r="J190" s="1193">
        <f t="shared" ref="J190:J208" si="24">F190+G190+H190+I190</f>
        <v>0</v>
      </c>
      <c r="K190" s="1194">
        <f>IF(SETUP!$F$21="Upfront",K191,K192)</f>
        <v>0</v>
      </c>
      <c r="L190" s="1194">
        <f>IF(SETUP!$F$21="Upfront",L191,L192)</f>
        <v>0</v>
      </c>
      <c r="M190" s="1194">
        <f>IF(SETUP!$F$21="Upfront",M191,M192)</f>
        <v>0</v>
      </c>
      <c r="N190" s="1194">
        <f>IF(SETUP!$F$21="Upfront",N191,N192)</f>
        <v>0</v>
      </c>
      <c r="O190" s="1191">
        <f t="shared" ref="O190:O208" si="25">K190+L190+M190+N190</f>
        <v>0</v>
      </c>
      <c r="P190" s="1189">
        <f>IF(SETUP!$F$21="Upfront",P191,P192)</f>
        <v>0</v>
      </c>
      <c r="Q190" s="1189">
        <f>IF(SETUP!$F$21="Upfront",Q191,Q192)</f>
        <v>0</v>
      </c>
      <c r="R190" s="1189">
        <f>IF(SETUP!$F$21="Upfront",R191,R192)</f>
        <v>0</v>
      </c>
      <c r="S190" s="1189">
        <f>IF(SETUP!$F$21="Upfront",S191,S192)</f>
        <v>0</v>
      </c>
      <c r="T190" s="1190">
        <f t="shared" ref="T190:T207" si="26">P190+Q190+R190+S190</f>
        <v>0</v>
      </c>
      <c r="U190" s="1189">
        <f t="shared" ref="U190:U207" si="27">J190+O190+T190</f>
        <v>0</v>
      </c>
      <c r="V190" s="1795">
        <v>7.5</v>
      </c>
      <c r="W190" s="1823"/>
      <c r="X190" s="1820"/>
    </row>
    <row r="191" spans="1:38" s="860" customFormat="1" ht="15" hidden="1" customHeight="1" outlineLevel="1">
      <c r="A191" s="2915"/>
      <c r="B191" s="2916"/>
      <c r="C191" s="2912" t="s">
        <v>918</v>
      </c>
      <c r="D191" s="2912"/>
      <c r="E191" s="1649"/>
      <c r="F191" s="1279">
        <f>IF(SETUP!$F$21="Upfront",$E$190*'HIV-Pharmaceuticals'!AW15,0)</f>
        <v>0</v>
      </c>
      <c r="G191" s="1195">
        <f>IF(SETUP!$F$21="Upfront",$E$190*'HIV-Pharmaceuticals'!AX15,0)</f>
        <v>0</v>
      </c>
      <c r="H191" s="1194">
        <f>IF(SETUP!$F$21="Upfront",$E$190*'HIV-Pharmaceuticals'!AY15,0)</f>
        <v>0</v>
      </c>
      <c r="I191" s="1194">
        <f>IF(SETUP!$F$21="Upfront",$E$190*'HIV-Pharmaceuticals'!AZ15,0)</f>
        <v>0</v>
      </c>
      <c r="J191" s="1193">
        <f t="shared" si="24"/>
        <v>0</v>
      </c>
      <c r="K191" s="1194">
        <f>IF(SETUP!$F$21="Upfront",$E$190*'HIV-Pharmaceuticals'!BA15,0)</f>
        <v>0</v>
      </c>
      <c r="L191" s="1194">
        <f>IF(SETUP!$F$21="Upfront",$E$190*'HIV-Pharmaceuticals'!BB15,0)</f>
        <v>0</v>
      </c>
      <c r="M191" s="1194">
        <f>IF(SETUP!$F$21="Upfront",$E$190*'HIV-Pharmaceuticals'!BC15,0)</f>
        <v>0</v>
      </c>
      <c r="N191" s="1194">
        <f>IF(SETUP!$F$21="Upfront",$E$190*'HIV-Pharmaceuticals'!BD15,0)</f>
        <v>0</v>
      </c>
      <c r="O191" s="1191">
        <f t="shared" si="25"/>
        <v>0</v>
      </c>
      <c r="P191" s="1189">
        <f>IF(SETUP!$F$21="Upfront",$E$190*'HIV-Pharmaceuticals'!BE15,0)</f>
        <v>0</v>
      </c>
      <c r="Q191" s="1189">
        <f>IF(SETUP!$F$21="Upfront",$E$190*'HIV-Pharmaceuticals'!BF15,0)</f>
        <v>0</v>
      </c>
      <c r="R191" s="1189">
        <f>IF(SETUP!$F$21="Upfront",$E$190*'HIV-Pharmaceuticals'!BG15,0)</f>
        <v>0</v>
      </c>
      <c r="S191" s="1189">
        <f>IF(SETUP!$F$21="Upfront",$E$190*'HIV-Pharmaceuticals'!BH15,0)</f>
        <v>0</v>
      </c>
      <c r="T191" s="1190">
        <f t="shared" si="26"/>
        <v>0</v>
      </c>
      <c r="U191" s="1189">
        <f t="shared" si="27"/>
        <v>0</v>
      </c>
      <c r="V191" s="1795">
        <v>7.5</v>
      </c>
      <c r="W191" s="1823"/>
      <c r="X191" s="1820"/>
    </row>
    <row r="192" spans="1:38" s="860" customFormat="1" ht="15" hidden="1" customHeight="1" outlineLevel="1">
      <c r="A192" s="2915"/>
      <c r="B192" s="2916"/>
      <c r="C192" s="2912" t="s">
        <v>36</v>
      </c>
      <c r="D192" s="2912"/>
      <c r="E192" s="1649"/>
      <c r="F192" s="1279">
        <v>0</v>
      </c>
      <c r="G192" s="1195">
        <f>IF(SETUP!$F$21="At delivery",IF(SETUP!$G$21=1,$E$190*'HIV-Pharmaceuticals'!AW15,0),0)</f>
        <v>0</v>
      </c>
      <c r="H192" s="1194">
        <f>IF(SETUP!$F$21="At delivery",IF(SETUP!$G$21=2,$E$190*'HIV-Pharmaceuticals'!AW15,IF(SETUP!$G$21=1,$E$190*'HIV-Pharmaceuticals'!AX15,0)),0)</f>
        <v>0</v>
      </c>
      <c r="I192" s="1194">
        <f>IF(SETUP!$F$21="At delivery",IF(SETUP!$G$21=3,$E$190*'HIV-Pharmaceuticals'!AW15,IF(SETUP!$G$21=2,$E$190*'HIV-Pharmaceuticals'!AX15,IF(SETUP!$G$21=1,$E$190*'HIV-Pharmaceuticals'!AY15,0))),0)</f>
        <v>0</v>
      </c>
      <c r="J192" s="1193">
        <f t="shared" si="24"/>
        <v>0</v>
      </c>
      <c r="K192" s="1194">
        <f>IF(SETUP!$F$21="At delivery",IF(SETUP!$G$21=4,$E$190*'HIV-Pharmaceuticals'!AW15,IF(SETUP!$G$21=3,$E$190*'HIV-Pharmaceuticals'!AX15,IF(SETUP!$G$21=2,$E$190*'HIV-Pharmaceuticals'!AY15,IF(SETUP!$G$21=1,$E$190*'HIV-Pharmaceuticals'!AZ15,0)))),0)</f>
        <v>0</v>
      </c>
      <c r="L192" s="1194">
        <f>IF(SETUP!$F$21="At delivery",IF(SETUP!$G$21=4,$E$190*'HIV-Pharmaceuticals'!AX15,IF(SETUP!$G$21=3,$E$190*'HIV-Pharmaceuticals'!AY15,IF(SETUP!$G$21=2,$E$190*'HIV-Pharmaceuticals'!AZ15,IF(SETUP!$G$21=1,$E$190*'HIV-Pharmaceuticals'!BA15,0)))),0)</f>
        <v>0</v>
      </c>
      <c r="M192" s="1194">
        <f>IF(SETUP!$F$21="At delivery",IF(SETUP!$G$21=4,$E$190*'HIV-Pharmaceuticals'!AY15,IF(SETUP!$G$21=3,$E$190*'HIV-Pharmaceuticals'!AZ15,IF(SETUP!$G$21=2,$E$190*'HIV-Pharmaceuticals'!BA15,IF(SETUP!$G$21=1,$E$190*'HIV-Pharmaceuticals'!BB15,0)))),0)</f>
        <v>0</v>
      </c>
      <c r="N192" s="1194">
        <f>IF(SETUP!$F$21="At delivery",IF(SETUP!$G$21=4,$E$190*'HIV-Pharmaceuticals'!AZ15,IF(SETUP!$G$21=3,$E$190*'HIV-Pharmaceuticals'!BA15,IF(SETUP!$G$21=2,$E$190*'HIV-Pharmaceuticals'!BB15,IF(SETUP!$G$21=1,$E$190*'HIV-Pharmaceuticals'!BC15,0)))),0)</f>
        <v>0</v>
      </c>
      <c r="O192" s="1191">
        <f t="shared" si="25"/>
        <v>0</v>
      </c>
      <c r="P192" s="1189">
        <f>IF(SETUP!$F$21="At delivery",IF(SETUP!$G$21=4,$E$190*'HIV-Pharmaceuticals'!BA15,IF(SETUP!$G$21=3,$E$190*'HIV-Pharmaceuticals'!BB15,IF(SETUP!$G$21=2,$E$190*'HIV-Pharmaceuticals'!BC15,IF(SETUP!$G$21=1,$E$190*'HIV-Pharmaceuticals'!BD15,0)))),0)</f>
        <v>0</v>
      </c>
      <c r="Q192" s="1189">
        <f>IF(SETUP!$F$21="At delivery",IF(SETUP!$G$21=4,$E$190*'HIV-Pharmaceuticals'!BB15,IF(SETUP!$G$21=3,$E$190*'HIV-Pharmaceuticals'!BC15,IF(SETUP!$G$21=2,$E$190*'HIV-Pharmaceuticals'!BD15,IF(SETUP!$G$21=1,$E$190*'HIV-Pharmaceuticals'!BE15,0)))),0)</f>
        <v>0</v>
      </c>
      <c r="R192" s="1189">
        <f>IF(SETUP!$F$21="At delivery",IF(SETUP!$G$21=4,$E$190*'HIV-Pharmaceuticals'!BC15,IF(SETUP!$G$21=3,$E$190*'HIV-Pharmaceuticals'!BD15,IF(SETUP!$G$21=2,$E$190*'HIV-Pharmaceuticals'!BE15,IF(SETUP!$G$21=1,$E$190*'HIV-Pharmaceuticals'!BF15,0)))),0)</f>
        <v>0</v>
      </c>
      <c r="S192" s="1189">
        <f>IF(SETUP!$F$21="At delivery",IF(SETUP!$G$21=4,$E$190*('HIV-Pharmaceuticals'!BD15+'HIV-Pharmaceuticals'!BE15+'HIV-Pharmaceuticals'!BF15+'HIV-Pharmaceuticals'!BG15+'HIV-Pharmaceuticals'!BH15),IF(SETUP!$G$21=3,$E$190*('HIV-Pharmaceuticals'!BE15+'HIV-Pharmaceuticals'!BF15+'HIV-Pharmaceuticals'!BG15+'HIV-Pharmaceuticals'!BH15),IF(SETUP!$G$21=2,$E$190*('HIV-Pharmaceuticals'!BF15+'HIV-Pharmaceuticals'!BG15+'HIV-Pharmaceuticals'!BH15),IF(SETUP!$G$21=1,$E$190*('HIV-Pharmaceuticals'!BG15+'HIV-Pharmaceuticals'!BH15),0)))),0)</f>
        <v>0</v>
      </c>
      <c r="T192" s="1190">
        <f t="shared" si="26"/>
        <v>0</v>
      </c>
      <c r="U192" s="1189">
        <f t="shared" si="27"/>
        <v>0</v>
      </c>
      <c r="V192" s="1795">
        <v>7.5</v>
      </c>
      <c r="W192" s="1823"/>
      <c r="X192" s="1820"/>
    </row>
    <row r="193" spans="1:24" s="860" customFormat="1" ht="15" customHeight="1" collapsed="1">
      <c r="A193" s="2915"/>
      <c r="B193" s="2916"/>
      <c r="C193" s="2941" t="s">
        <v>1317</v>
      </c>
      <c r="D193" s="2941"/>
      <c r="E193" s="1649">
        <v>0</v>
      </c>
      <c r="F193" s="1279">
        <f>IF(SETUP!$F$22="Upfront",F194,F195)</f>
        <v>0</v>
      </c>
      <c r="G193" s="1195">
        <f>IF(SETUP!$F$22="Upfront",G194,G195)</f>
        <v>0</v>
      </c>
      <c r="H193" s="1194">
        <f>IF(SETUP!$F$22="Upfront",H194,H195)</f>
        <v>0</v>
      </c>
      <c r="I193" s="1194">
        <f>IF(SETUP!$F$22="Upfront",I194,I195)</f>
        <v>0</v>
      </c>
      <c r="J193" s="1193">
        <f t="shared" si="24"/>
        <v>0</v>
      </c>
      <c r="K193" s="1194">
        <f>IF(SETUP!$F$22="Upfront",K194,K195)</f>
        <v>0</v>
      </c>
      <c r="L193" s="1194">
        <f>IF(SETUP!$F$22="Upfront",L194,L195)</f>
        <v>0</v>
      </c>
      <c r="M193" s="1194">
        <f>IF(SETUP!$F$22="Upfront",M194,M195)</f>
        <v>0</v>
      </c>
      <c r="N193" s="1194">
        <f>IF(SETUP!$F$22="Upfront",N194,N195)</f>
        <v>0</v>
      </c>
      <c r="O193" s="1191">
        <f t="shared" si="25"/>
        <v>0</v>
      </c>
      <c r="P193" s="1189">
        <f>IF(SETUP!$F$22="Upfront",P194,P195)</f>
        <v>0</v>
      </c>
      <c r="Q193" s="1189">
        <f>IF(SETUP!$F$22="Upfront",Q194,Q195)</f>
        <v>0</v>
      </c>
      <c r="R193" s="1189">
        <f>IF(SETUP!$F$22="Upfront",R194,R195)</f>
        <v>0</v>
      </c>
      <c r="S193" s="1189">
        <f>IF(SETUP!$F$22="Upfront",S194,S195)</f>
        <v>0</v>
      </c>
      <c r="T193" s="1190">
        <f t="shared" si="26"/>
        <v>0</v>
      </c>
      <c r="U193" s="1813">
        <f t="shared" si="27"/>
        <v>0</v>
      </c>
      <c r="V193" s="1845">
        <v>7.5</v>
      </c>
      <c r="W193" s="1823"/>
      <c r="X193" s="1820"/>
    </row>
    <row r="194" spans="1:24" s="860" customFormat="1" ht="15" hidden="1" customHeight="1" outlineLevel="1">
      <c r="A194" s="2893" t="s">
        <v>564</v>
      </c>
      <c r="B194" s="2894"/>
      <c r="C194" s="2912" t="s">
        <v>918</v>
      </c>
      <c r="D194" s="2912"/>
      <c r="E194" s="1649"/>
      <c r="F194" s="1279">
        <f>IF(SETUP!$F$22="Upfront",$E$193*'HIV-Pharmaceuticals'!AW16,0)</f>
        <v>0</v>
      </c>
      <c r="G194" s="1195">
        <f>IF(SETUP!$F$22="Upfront",$E$193*'HIV-Pharmaceuticals'!AX16,0)</f>
        <v>0</v>
      </c>
      <c r="H194" s="1194">
        <f>IF(SETUP!$F$22="Upfront",$E$193*'HIV-Pharmaceuticals'!AY16,0)</f>
        <v>0</v>
      </c>
      <c r="I194" s="1194">
        <f>IF(SETUP!$F$22="Upfront",$E$193*'HIV-Pharmaceuticals'!AZ16,0)</f>
        <v>0</v>
      </c>
      <c r="J194" s="1193">
        <f t="shared" si="24"/>
        <v>0</v>
      </c>
      <c r="K194" s="1194">
        <f>IF(SETUP!$F$22="Upfront",$E$193*'HIV-Pharmaceuticals'!BA16,0)</f>
        <v>0</v>
      </c>
      <c r="L194" s="1194">
        <f>IF(SETUP!$F$22="Upfront",$E$193*'HIV-Pharmaceuticals'!BB16,0)</f>
        <v>0</v>
      </c>
      <c r="M194" s="1194">
        <f>IF(SETUP!$F$22="Upfront",$E$193*'HIV-Pharmaceuticals'!BC16,0)</f>
        <v>0</v>
      </c>
      <c r="N194" s="1194">
        <f>IF(SETUP!$F$22="Upfront",$E$193*'HIV-Pharmaceuticals'!BD16,0)</f>
        <v>0</v>
      </c>
      <c r="O194" s="1191">
        <f t="shared" si="25"/>
        <v>0</v>
      </c>
      <c r="P194" s="1189">
        <f>IF(SETUP!$F$22="Upfront",$E$193*'HIV-Pharmaceuticals'!BE16,0)</f>
        <v>0</v>
      </c>
      <c r="Q194" s="1189">
        <f>IF(SETUP!$F$22="Upfront",$E$193*'HIV-Pharmaceuticals'!BF16,0)</f>
        <v>0</v>
      </c>
      <c r="R194" s="1189">
        <f>IF(SETUP!$F$22="Upfront",$E$193*'HIV-Pharmaceuticals'!BG16,0)</f>
        <v>0</v>
      </c>
      <c r="S194" s="1189">
        <f>IF(SETUP!$F$22="Upfront",$E$193*'HIV-Pharmaceuticals'!BH16,0)</f>
        <v>0</v>
      </c>
      <c r="T194" s="1190">
        <f t="shared" si="26"/>
        <v>0</v>
      </c>
      <c r="U194" s="1813">
        <f t="shared" si="27"/>
        <v>0</v>
      </c>
      <c r="V194" s="1845">
        <v>7.5</v>
      </c>
      <c r="W194" s="1823"/>
      <c r="X194" s="1820"/>
    </row>
    <row r="195" spans="1:24" s="860" customFormat="1" ht="15" hidden="1" customHeight="1" outlineLevel="1">
      <c r="A195" s="2893"/>
      <c r="B195" s="2894"/>
      <c r="C195" s="2912" t="s">
        <v>36</v>
      </c>
      <c r="D195" s="2912"/>
      <c r="E195" s="1649"/>
      <c r="F195" s="1279">
        <v>0</v>
      </c>
      <c r="G195" s="1195">
        <f>IF(SETUP!$F$22="At delivery",IF(SETUP!$G$22=1,$E$193*'HIV-Pharmaceuticals'!AW16,0),0)</f>
        <v>0</v>
      </c>
      <c r="H195" s="1194">
        <f>IF(SETUP!$F$22="At delivery",IF(SETUP!$G$22=2,$E$193*'HIV-Pharmaceuticals'!AW16,IF(SETUP!$G$22=1,$E$193*'HIV-Pharmaceuticals'!AX16,0)),0)</f>
        <v>0</v>
      </c>
      <c r="I195" s="1194">
        <f>IF(SETUP!$F$22="At delivery",IF(SETUP!$G$22=3,$E$193*'HIV-Pharmaceuticals'!AW16,IF(SETUP!$G$22=2,$E$193*'HIV-Pharmaceuticals'!AX16,IF(SETUP!$G$22=1,$E$193*'HIV-Pharmaceuticals'!AY16,0))),0)</f>
        <v>0</v>
      </c>
      <c r="J195" s="1193">
        <f t="shared" si="24"/>
        <v>0</v>
      </c>
      <c r="K195" s="1194">
        <f>IF(SETUP!$F$22="At delivery",IF(SETUP!$G$22=4,$E$193*'HIV-Pharmaceuticals'!AW16,IF(SETUP!$G$22=3,$E$193*'HIV-Pharmaceuticals'!AX16,IF(SETUP!$G$22=2,$E$193*'HIV-Pharmaceuticals'!AY16,IF(SETUP!$G$22=1,$E$193*'HIV-Pharmaceuticals'!AZ16,0)))),0)</f>
        <v>0</v>
      </c>
      <c r="L195" s="1194">
        <f>IF(SETUP!$F$22="At delivery",IF(SETUP!$G$22=4,$E$193*'HIV-Pharmaceuticals'!AX16,IF(SETUP!$G$22=3,$E$193*'HIV-Pharmaceuticals'!AY16,IF(SETUP!$G$22=2,$E$193*'HIV-Pharmaceuticals'!AZ16,IF(SETUP!$G$22=1,$E$193*'HIV-Pharmaceuticals'!BA16,0)))),0)</f>
        <v>0</v>
      </c>
      <c r="M195" s="1194">
        <f>IF(SETUP!$F$22="At delivery",IF(SETUP!$G$22=4,$E$193*'HIV-Pharmaceuticals'!AY16,IF(SETUP!$G$22=3,$E$193*'HIV-Pharmaceuticals'!AZ16,IF(SETUP!$G$22=2,$E$193*'HIV-Pharmaceuticals'!BA16,IF(SETUP!$G$22=1,$E$193*'HIV-Pharmaceuticals'!BB16,0)))),0)</f>
        <v>0</v>
      </c>
      <c r="N195" s="1194">
        <f>IF(SETUP!$F$22="At delivery",IF(SETUP!$G$22=4,$E$193*'HIV-Pharmaceuticals'!AZ16,IF(SETUP!$G$22=3,$E$193*'HIV-Pharmaceuticals'!BA16,IF(SETUP!$G$22=2,$E$193*'HIV-Pharmaceuticals'!BB16,IF(SETUP!$G$22=1,$E$193*'HIV-Pharmaceuticals'!BC16,0)))),0)</f>
        <v>0</v>
      </c>
      <c r="O195" s="1191">
        <f t="shared" si="25"/>
        <v>0</v>
      </c>
      <c r="P195" s="1189">
        <f>IF(SETUP!$F$22="At delivery",IF(SETUP!$G$22=4,$E$193*'HIV-Pharmaceuticals'!BA16,IF(SETUP!$G$22=3,$E$193*'HIV-Pharmaceuticals'!BB16,IF(SETUP!$G$22=2,$E$193*'HIV-Pharmaceuticals'!BC16,IF(SETUP!$G$22=1,$E$193*'HIV-Pharmaceuticals'!BD16,0)))),0)</f>
        <v>0</v>
      </c>
      <c r="Q195" s="1189">
        <f>IF(SETUP!$F$22="At delivery",IF(SETUP!$G$22=4,$E$193*'HIV-Pharmaceuticals'!BB16,IF(SETUP!$G$22=3,$E$193*'HIV-Pharmaceuticals'!BC16,IF(SETUP!$G$22=2,$E$193*'HIV-Pharmaceuticals'!BD16,IF(SETUP!$G$22=1,$E$193*'HIV-Pharmaceuticals'!BE16,0)))),0)</f>
        <v>0</v>
      </c>
      <c r="R195" s="1189">
        <f>IF(SETUP!$F$22="At delivery",IF(SETUP!$G$22=4,$E$193*'HIV-Pharmaceuticals'!BC16,IF(SETUP!$G$22=3,$E$193*'HIV-Pharmaceuticals'!BD16,IF(SETUP!$G$22=2,$E$193*'HIV-Pharmaceuticals'!BE16,IF(SETUP!$G$22=1,$E$193*'HIV-Pharmaceuticals'!BF16,0)))),0)</f>
        <v>0</v>
      </c>
      <c r="S195" s="1189">
        <f>IF(SETUP!$F$22="At delivery",IF(SETUP!$G$22=4,$E$193*('HIV-Pharmaceuticals'!BD16+'HIV-Pharmaceuticals'!BE16+'HIV-Pharmaceuticals'!BF16+'HIV-Pharmaceuticals'!BG16+'HIV-Pharmaceuticals'!BH16),IF(SETUP!$G$22=3,$E$193*('HIV-Pharmaceuticals'!BE16+'HIV-Pharmaceuticals'!BF16+'HIV-Pharmaceuticals'!BG16+'HIV-Pharmaceuticals'!BH16),IF(SETUP!$G$22=2,$E$193*('HIV-Pharmaceuticals'!BF16+'HIV-Pharmaceuticals'!BG16+'HIV-Pharmaceuticals'!BH16),IF(SETUP!$G$22=1,$E$193*('HIV-Pharmaceuticals'!BG16+'HIV-Pharmaceuticals'!BH16),0)))),0)</f>
        <v>0</v>
      </c>
      <c r="T195" s="1190">
        <f t="shared" si="26"/>
        <v>0</v>
      </c>
      <c r="U195" s="1813">
        <f t="shared" si="27"/>
        <v>0</v>
      </c>
      <c r="V195" s="1845">
        <v>7.5</v>
      </c>
      <c r="W195" s="1823"/>
      <c r="X195" s="1820"/>
    </row>
    <row r="196" spans="1:24" s="860" customFormat="1" ht="15" customHeight="1" collapsed="1" thickBot="1">
      <c r="A196" s="2893"/>
      <c r="B196" s="2894"/>
      <c r="C196" s="2923" t="s">
        <v>1793</v>
      </c>
      <c r="D196" s="2923"/>
      <c r="E196" s="1649">
        <v>0</v>
      </c>
      <c r="F196" s="1279">
        <f>IF(SETUP!$F$23="Upfront",F197,F198)</f>
        <v>0</v>
      </c>
      <c r="G196" s="1195">
        <f>IF(SETUP!$F$23="Upfront",G197,G198)</f>
        <v>0</v>
      </c>
      <c r="H196" s="1194">
        <f>IF(SETUP!$F$23="Upfront",H197,H198)</f>
        <v>0</v>
      </c>
      <c r="I196" s="1194">
        <f>IF(SETUP!$F$23="Upfront",I197,I198)</f>
        <v>0</v>
      </c>
      <c r="J196" s="1193">
        <f t="shared" si="24"/>
        <v>0</v>
      </c>
      <c r="K196" s="1194">
        <f>IF(SETUP!$F$23="Upfront",K197,K198)</f>
        <v>0</v>
      </c>
      <c r="L196" s="1194">
        <f>IF(SETUP!$F$23="Upfront",L197,L198)</f>
        <v>0</v>
      </c>
      <c r="M196" s="1194">
        <f>IF(SETUP!$F$23="Upfront",M197,M198)</f>
        <v>0</v>
      </c>
      <c r="N196" s="1194">
        <f>IF(SETUP!$F$23="Upfront",N197,N198)</f>
        <v>0</v>
      </c>
      <c r="O196" s="1191">
        <f t="shared" si="25"/>
        <v>0</v>
      </c>
      <c r="P196" s="1189">
        <f>IF(SETUP!$F$23="Upfront",P197,P198)</f>
        <v>0</v>
      </c>
      <c r="Q196" s="1189">
        <f>IF(SETUP!$F$23="Upfront",Q197,Q198)</f>
        <v>0</v>
      </c>
      <c r="R196" s="1189">
        <f>IF(SETUP!$F$23="Upfront",R197,R198)</f>
        <v>0</v>
      </c>
      <c r="S196" s="1189">
        <f>IF(SETUP!$F$23="Upfront",S197,S198)</f>
        <v>0</v>
      </c>
      <c r="T196" s="1190">
        <f t="shared" si="26"/>
        <v>0</v>
      </c>
      <c r="U196" s="1813">
        <f t="shared" si="27"/>
        <v>0</v>
      </c>
      <c r="V196" s="1845">
        <v>7.5</v>
      </c>
      <c r="W196" s="1823"/>
      <c r="X196" s="1820"/>
    </row>
    <row r="197" spans="1:24" s="860" customFormat="1" ht="15" hidden="1" customHeight="1" outlineLevel="1">
      <c r="A197" s="2893"/>
      <c r="B197" s="2894"/>
      <c r="C197" s="2912" t="s">
        <v>918</v>
      </c>
      <c r="D197" s="2912"/>
      <c r="E197" s="1649"/>
      <c r="F197" s="1279">
        <f>IF(SETUP!$F$23="Upfront",$E$196*'HIV-Equipment'!AV14,0)</f>
        <v>0</v>
      </c>
      <c r="G197" s="1195">
        <f>IF(SETUP!$F$23="Upfront",$E$196*'HIV-Equipment'!AW14,0)</f>
        <v>0</v>
      </c>
      <c r="H197" s="1194">
        <f>IF(SETUP!$F$23="Upfront",$E$196*'HIV-Equipment'!AX14,0)</f>
        <v>0</v>
      </c>
      <c r="I197" s="1194">
        <f>IF(SETUP!$F$23="Upfront",$E$196*'HIV-Equipment'!AY14,0)</f>
        <v>0</v>
      </c>
      <c r="J197" s="1193">
        <f t="shared" si="24"/>
        <v>0</v>
      </c>
      <c r="K197" s="1194">
        <f>IF(SETUP!$F$23="Upfront",$E$196*'HIV-Equipment'!AZ14,0)</f>
        <v>0</v>
      </c>
      <c r="L197" s="1194">
        <f>IF(SETUP!$F$23="Upfront",$E$196*'HIV-Equipment'!BA14,0)</f>
        <v>0</v>
      </c>
      <c r="M197" s="1194">
        <f>IF(SETUP!$F$23="Upfront",$E$196*'HIV-Equipment'!BB14,0)</f>
        <v>0</v>
      </c>
      <c r="N197" s="1194">
        <f>IF(SETUP!$F$23="Upfront",$E$196*'HIV-Equipment'!BC14,0)</f>
        <v>0</v>
      </c>
      <c r="O197" s="1191">
        <f t="shared" si="25"/>
        <v>0</v>
      </c>
      <c r="P197" s="1189">
        <f>IF(SETUP!$F$23="Upfront",$E$196*'HIV-Equipment'!BD14,0)</f>
        <v>0</v>
      </c>
      <c r="Q197" s="1189">
        <f>IF(SETUP!$F$23="Upfront",$E$196*'HIV-Equipment'!BE14,0)</f>
        <v>0</v>
      </c>
      <c r="R197" s="1189">
        <f>IF(SETUP!$F$23="Upfront",$E$196*'HIV-Equipment'!BF14,0)</f>
        <v>0</v>
      </c>
      <c r="S197" s="1189">
        <f>IF(SETUP!$F$23="Upfront",$E$196*'HIV-Equipment'!BG14,0)</f>
        <v>0</v>
      </c>
      <c r="T197" s="1190">
        <f t="shared" si="26"/>
        <v>0</v>
      </c>
      <c r="U197" s="1813">
        <f t="shared" si="27"/>
        <v>0</v>
      </c>
      <c r="V197" s="1845">
        <v>7.5</v>
      </c>
      <c r="W197" s="1823"/>
      <c r="X197" s="1820"/>
    </row>
    <row r="198" spans="1:24" s="860" customFormat="1" ht="15" hidden="1" customHeight="1" outlineLevel="1">
      <c r="A198" s="2895"/>
      <c r="B198" s="2896"/>
      <c r="C198" s="2969" t="s">
        <v>36</v>
      </c>
      <c r="D198" s="2969"/>
      <c r="E198" s="1649"/>
      <c r="F198" s="1279">
        <v>0</v>
      </c>
      <c r="G198" s="1195">
        <f>IF(SETUP!$F$23="At delivery",IF(SETUP!$G$23=1,$E$196*'HIV-Equipment'!AV14,0),0)</f>
        <v>0</v>
      </c>
      <c r="H198" s="1194">
        <f>IF(SETUP!$F$23="At delivery",IF(SETUP!$G$23=2,$E$196*'HIV-Equipment'!AV14,IF(SETUP!$G$23=1,$E$196*'HIV-Equipment'!AW14,0)),0)</f>
        <v>0</v>
      </c>
      <c r="I198" s="1194">
        <f>IF(SETUP!$F$23="At delivery",IF(SETUP!$G$23=3,$E$196*'HIV-Equipment'!AV14,IF(SETUP!$G$23=2,$E$196*'HIV-Equipment'!AW14,IF(SETUP!$G$23=1,$E$196*'HIV-Equipment'!AX14,0))),0)</f>
        <v>0</v>
      </c>
      <c r="J198" s="1193">
        <f t="shared" si="24"/>
        <v>0</v>
      </c>
      <c r="K198" s="1194">
        <f>IF(SETUP!$F$23="At delivery",IF(SETUP!$G$23=4,$E$196*'HIV-Equipment'!AV14,IF(SETUP!$G$23=3,$E$196*'HIV-Equipment'!AW14,IF(SETUP!$G$23=2,$E$196*'HIV-Equipment'!AX14,IF(SETUP!$G$23=1,$E$196*'HIV-Equipment'!AY14,0)))),0)</f>
        <v>0</v>
      </c>
      <c r="L198" s="1194">
        <f>IF(SETUP!$F$23="At delivery",IF(SETUP!$G$23=4,$E$196*'HIV-Equipment'!AW14,IF(SETUP!$G$23=3,$E$196*'HIV-Equipment'!AX14,IF(SETUP!$G$23=2,$E$196*'HIV-Equipment'!AY14,IF(SETUP!$G$23=1,$E$196*'HIV-Equipment'!AZ14,0)))),0)</f>
        <v>0</v>
      </c>
      <c r="M198" s="1194">
        <f>IF(SETUP!$F$23="At delivery",IF(SETUP!$G$23=4,$E$196*'HIV-Equipment'!AX14,IF(SETUP!$G$23=3,$E$196*'HIV-Equipment'!AY14,IF(SETUP!$G$23=2,$E$196*'HIV-Equipment'!AZ14,IF(SETUP!$G$23=1,$E$196*'HIV-Equipment'!BA14,0)))),0)</f>
        <v>0</v>
      </c>
      <c r="N198" s="1194">
        <f>IF(SETUP!$F$23="At delivery",IF(SETUP!$G$23=4,$E$196*'HIV-Equipment'!AY14,IF(SETUP!$G$23=3,$E$196*'HIV-Equipment'!AZ14,IF(SETUP!$G$23=2,$E$196*'HIV-Equipment'!BA14,IF(SETUP!$G$23=1,$E$196*'HIV-Equipment'!BB14,0)))),0)</f>
        <v>0</v>
      </c>
      <c r="O198" s="1191">
        <f t="shared" si="25"/>
        <v>0</v>
      </c>
      <c r="P198" s="1189">
        <f>IF(SETUP!$F$23="At delivery",IF(SETUP!$G$23=4,$E$196*'HIV-Equipment'!AZ14,IF(SETUP!$G$23=3,$E$196*'HIV-Equipment'!BA14,IF(SETUP!$G$23=2,$E$196*'HIV-Equipment'!BB14,IF(SETUP!$G$23=1,$E$196*'HIV-Equipment'!BC14,0)))),0)</f>
        <v>0</v>
      </c>
      <c r="Q198" s="1189">
        <f>IF(SETUP!$F$23="At delivery",IF(SETUP!$G$23=4,$E$196*'HIV-Equipment'!BA14,IF(SETUP!$G$23=3,$E$196*'HIV-Equipment'!BB14,IF(SETUP!$G$23=2,$E$196*'HIV-Equipment'!BC14,IF(SETUP!$G$23=1,$E$196*'HIV-Equipment'!BD14,0)))),0)</f>
        <v>0</v>
      </c>
      <c r="R198" s="1189">
        <f>IF(SETUP!$F$23="At delivery",IF(SETUP!$G$23=4,$E$196*'HIV-Equipment'!BB14,IF(SETUP!$G$23=3,$E$196*'HIV-Equipment'!BC14,IF(SETUP!$G$23=2,$E$196*'HIV-Equipment'!BD14,IF(SETUP!$G$23=1,$E$196*'HIV-Equipment'!BE14,0)))),0)</f>
        <v>0</v>
      </c>
      <c r="S198" s="1189">
        <f>IF(SETUP!$F$23="At delivery",IF(SETUP!$G$23=4,$E$196*('HIV-Equipment'!BC14+'HIV-Equipment'!BD14+'HIV-Equipment'!BE14+'HIV-Equipment'!BF14+'HIV-Equipment'!BG14),IF(SETUP!$G$23=3,$E$196*('HIV-Equipment'!BD14+'HIV-Equipment'!BE14+'HIV-Equipment'!BF14+'HIV-Equipment'!BG14),IF(SETUP!$G$23=2,$E$196*('HIV-Equipment'!BE14+'HIV-Equipment'!BF14+'HIV-Equipment'!BG14),IF(SETUP!$G$23=1,$E$196*('HIV-Equipment'!BF14+'HIV-Equipment'!BG14),0)))),0)</f>
        <v>0</v>
      </c>
      <c r="T198" s="1190">
        <f t="shared" si="26"/>
        <v>0</v>
      </c>
      <c r="U198" s="1813">
        <f t="shared" si="27"/>
        <v>0</v>
      </c>
      <c r="V198" s="1845">
        <v>7.5</v>
      </c>
      <c r="W198" s="1823"/>
      <c r="X198" s="1820"/>
    </row>
    <row r="199" spans="1:24" s="860" customFormat="1" ht="15" customHeight="1" collapsed="1">
      <c r="A199" s="2897" t="s">
        <v>565</v>
      </c>
      <c r="B199" s="2898"/>
      <c r="C199" s="2970" t="s">
        <v>228</v>
      </c>
      <c r="D199" s="2971"/>
      <c r="E199" s="1880">
        <v>0</v>
      </c>
      <c r="F199" s="1279">
        <f>IF(SETUP!$F$27="Upfront",F200,F201)</f>
        <v>0</v>
      </c>
      <c r="G199" s="1195">
        <f>IF(SETUP!$F$27="Upfront",G200,G201)</f>
        <v>0</v>
      </c>
      <c r="H199" s="1194">
        <f>IF(SETUP!$F$27="Upfront",H200,H201)</f>
        <v>0</v>
      </c>
      <c r="I199" s="1194">
        <f>IF(SETUP!$F$27="Upfront",I200,I201)</f>
        <v>0</v>
      </c>
      <c r="J199" s="1193">
        <f t="shared" si="24"/>
        <v>0</v>
      </c>
      <c r="K199" s="1194">
        <f>IF(SETUP!$F$27="Upfront",K200,K201)</f>
        <v>0</v>
      </c>
      <c r="L199" s="1194">
        <f>IF(SETUP!$F$27="Upfront",L200,L201)</f>
        <v>0</v>
      </c>
      <c r="M199" s="1194">
        <f>IF(SETUP!$F$27="Upfront",M200,M201)</f>
        <v>0</v>
      </c>
      <c r="N199" s="1194">
        <f>IF(SETUP!$F$27="Upfront",N200,N201)</f>
        <v>0</v>
      </c>
      <c r="O199" s="1191">
        <f t="shared" si="25"/>
        <v>0</v>
      </c>
      <c r="P199" s="1189">
        <f>IF(SETUP!$F$27="Upfront",P200,P201)</f>
        <v>0</v>
      </c>
      <c r="Q199" s="1189">
        <f>IF(SETUP!$F$27="Upfront",Q200,Q201)</f>
        <v>0</v>
      </c>
      <c r="R199" s="1189">
        <f>IF(SETUP!$F$27="Upfront",R200,R201)</f>
        <v>0</v>
      </c>
      <c r="S199" s="1189">
        <f>IF(SETUP!$F$27="Upfront",S200,S201)</f>
        <v>0</v>
      </c>
      <c r="T199" s="1190">
        <f t="shared" si="26"/>
        <v>0</v>
      </c>
      <c r="U199" s="1813">
        <f t="shared" si="27"/>
        <v>0</v>
      </c>
      <c r="V199" s="1845">
        <v>7.5</v>
      </c>
      <c r="W199" s="1823"/>
      <c r="X199" s="1820"/>
    </row>
    <row r="200" spans="1:24" s="860" customFormat="1" ht="15" hidden="1" customHeight="1" outlineLevel="1">
      <c r="A200" s="2899"/>
      <c r="B200" s="2900"/>
      <c r="C200" s="2889" t="s">
        <v>918</v>
      </c>
      <c r="D200" s="2890"/>
      <c r="E200" s="1880"/>
      <c r="F200" s="1279">
        <f>IF(SETUP!$F$27="Upfront",$E$199*'HIV-Other HPs'!AW14,0)</f>
        <v>0</v>
      </c>
      <c r="G200" s="1195">
        <f>IF(SETUP!$F$27="Upfront",$E$199*'HIV-Other HPs'!AX14,0)</f>
        <v>0</v>
      </c>
      <c r="H200" s="1194">
        <f>IF(SETUP!$F$27="Upfront",$E$199*'HIV-Other HPs'!AY14,0)</f>
        <v>0</v>
      </c>
      <c r="I200" s="1194">
        <f>IF(SETUP!$F$27="Upfront",$E$199*'HIV-Other HPs'!AZ14,0)</f>
        <v>0</v>
      </c>
      <c r="J200" s="1193">
        <f t="shared" si="24"/>
        <v>0</v>
      </c>
      <c r="K200" s="1194">
        <f>IF(SETUP!$F$27="Upfront",$E$199*'HIV-Other HPs'!BA14,0)</f>
        <v>0</v>
      </c>
      <c r="L200" s="1194">
        <f>IF(SETUP!$F$27="Upfront",$E$199*'HIV-Other HPs'!BB14,0)</f>
        <v>0</v>
      </c>
      <c r="M200" s="1194">
        <f>IF(SETUP!$F$27="Upfront",$E$199*'HIV-Other HPs'!BC14,0)</f>
        <v>0</v>
      </c>
      <c r="N200" s="1194">
        <f>IF(SETUP!$F$27="Upfront",$E$199*'HIV-Other HPs'!BD14,0)</f>
        <v>0</v>
      </c>
      <c r="O200" s="1191">
        <f t="shared" si="25"/>
        <v>0</v>
      </c>
      <c r="P200" s="1189">
        <f>IF(SETUP!$F$27="Upfront",$E$199*'HIV-Other HPs'!BE14,0)</f>
        <v>0</v>
      </c>
      <c r="Q200" s="1189">
        <f>IF(SETUP!$F$27="Upfront",$E$199*'HIV-Other HPs'!BF14,0)</f>
        <v>0</v>
      </c>
      <c r="R200" s="1189">
        <f>IF(SETUP!$F$27="Upfront",$E$199*'HIV-Other HPs'!BG14,0)</f>
        <v>0</v>
      </c>
      <c r="S200" s="1189">
        <f>IF(SETUP!$F$27="Upfront",$E$199*'HIV-Other HPs'!BH14,0)</f>
        <v>0</v>
      </c>
      <c r="T200" s="1190">
        <f t="shared" si="26"/>
        <v>0</v>
      </c>
      <c r="U200" s="1189">
        <f t="shared" si="27"/>
        <v>0</v>
      </c>
      <c r="V200" s="1795">
        <v>7.5</v>
      </c>
      <c r="W200" s="1823"/>
      <c r="X200" s="1820"/>
    </row>
    <row r="201" spans="1:24" s="860" customFormat="1" ht="15" hidden="1" customHeight="1" outlineLevel="1">
      <c r="A201" s="2899"/>
      <c r="B201" s="2900"/>
      <c r="C201" s="2889" t="s">
        <v>36</v>
      </c>
      <c r="D201" s="2890"/>
      <c r="E201" s="1880"/>
      <c r="F201" s="1279">
        <v>0</v>
      </c>
      <c r="G201" s="1195">
        <f>IF(SETUP!$F$27="At delivery",IF(SETUP!$G$27=1,$E$199*'HIV-Other HPs'!AW14,0),0)</f>
        <v>0</v>
      </c>
      <c r="H201" s="1194">
        <f>IF(SETUP!$F$27="At delivery",IF(SETUP!$G$27=2,$E$199*'HIV-Other HPs'!AW14,IF(SETUP!$G$27=1,$E$199*'HIV-Other HPs'!AX14,0)),0)</f>
        <v>0</v>
      </c>
      <c r="I201" s="1194">
        <f>IF(SETUP!$F$27="At delivery",IF(SETUP!$G$27=3,$E$199*'HIV-Other HPs'!AW14,IF(SETUP!$G$27=2,$E$199*'HIV-Other HPs'!AX14,IF(SETUP!$G$27=1,$E$199*'HIV-Other HPs'!AY14,0))),0)</f>
        <v>0</v>
      </c>
      <c r="J201" s="1193">
        <f t="shared" si="24"/>
        <v>0</v>
      </c>
      <c r="K201" s="1194">
        <f>IF(SETUP!$F$27="At delivery",IF(SETUP!$G$27=4,$E$199*'HIV-Other HPs'!AW14,IF(SETUP!$G$27=3,$E$199*'HIV-Other HPs'!AX14,IF(SETUP!$G$27=2,$E$199*'HIV-Other HPs'!AY14,IF(SETUP!$G$27=1,$E$199*'HIV-Other HPs'!AZ14,0)))),0)</f>
        <v>0</v>
      </c>
      <c r="L201" s="1194">
        <f>IF(SETUP!$F$27="At delivery",IF(SETUP!$G$27=4,$E$199*'HIV-Other HPs'!AX14,IF(SETUP!$G$27=3,$E$199*'HIV-Other HPs'!AY14,IF(SETUP!$G$27=2,$E$199*'HIV-Other HPs'!AZ14,IF(SETUP!$G$27=1,$E$199*'HIV-Other HPs'!BA14,0)))),0)</f>
        <v>0</v>
      </c>
      <c r="M201" s="1194">
        <f>IF(SETUP!$F$27="At delivery",IF(SETUP!$G$27=4,$E$199*'HIV-Other HPs'!AY14,IF(SETUP!$G$27=3,$E$199*'HIV-Other HPs'!AZ14,IF(SETUP!$G$27=2,$E$199*'HIV-Other HPs'!BA14,IF(SETUP!$G$27=1,$E$199*'HIV-Other HPs'!BB14,0)))),0)</f>
        <v>0</v>
      </c>
      <c r="N201" s="1194">
        <f>IF(SETUP!$F$27="At delivery",IF(SETUP!$G$27=4,$E$199*'HIV-Other HPs'!AZ14,IF(SETUP!$G$27=3,$E$199*'HIV-Other HPs'!BA14,IF(SETUP!$G$27=2,$E$199*'HIV-Other HPs'!BB14,IF(SETUP!$G$27=1,$E$199*'HIV-Other HPs'!BC14,0)))),0)</f>
        <v>0</v>
      </c>
      <c r="O201" s="1191">
        <f t="shared" si="25"/>
        <v>0</v>
      </c>
      <c r="P201" s="1189">
        <f>IF(SETUP!$F$27="At delivery",IF(SETUP!$G$27=4,$E$199*'HIV-Other HPs'!BA14,IF(SETUP!$G$27=3,$E$199*'HIV-Other HPs'!BB14,IF(SETUP!$G$27=2,$E$199*'HIV-Other HPs'!BC14,IF(SETUP!$G$27=1,$E$199*'HIV-Other HPs'!BD14,0)))),0)</f>
        <v>0</v>
      </c>
      <c r="Q201" s="1189">
        <f>IF(SETUP!$F$27="At delivery",IF(SETUP!$G$27=4,$E$199*'HIV-Other HPs'!BB14,IF(SETUP!$G$27=3,$E$199*'HIV-Other HPs'!BC14,IF(SETUP!$G$27=2,$E$199*'HIV-Other HPs'!BD14,IF(SETUP!$G$27=1,$E$199*'HIV-Other HPs'!BE14,0)))),0)</f>
        <v>0</v>
      </c>
      <c r="R201" s="1189">
        <f>IF(SETUP!$F$27="At delivery",IF(SETUP!$G$27=4,$E$199*'HIV-Other HPs'!BC14,IF(SETUP!$G$27=3,$E$199*'HIV-Other HPs'!BD14,IF(SETUP!$G$27=2,$E$199*'HIV-Other HPs'!BE14,IF(SETUP!$G$27=1,$E$199*'HIV-Other HPs'!BF14,0)))),0)</f>
        <v>0</v>
      </c>
      <c r="S201" s="1189">
        <f>IF(SETUP!$F$27="At delivery",IF(SETUP!$G$27=4,$E$199*('HIV-Other HPs'!BD14+'HIV-Other HPs'!BE14+'HIV-Other HPs'!BF14+'HIV-Other HPs'!BG14+'HIV-Other HPs'!BH14),IF(SETUP!$G$27=3,$E$199*('HIV-Other HPs'!BE14+'HIV-Other HPs'!BF14+'HIV-Other HPs'!BG14+'HIV-Other HPs'!BH14),IF(SETUP!$G$27=2,$E$199*('HIV-Other HPs'!BF14+'HIV-Other HPs'!BG14+'HIV-Other HPs'!BH14),IF(SETUP!$G$27=1,$E$199*('HIV-Other HPs'!BG14+'HIV-Other HPs'!BH14),0)))),0)</f>
        <v>0</v>
      </c>
      <c r="T201" s="1190">
        <f t="shared" si="26"/>
        <v>0</v>
      </c>
      <c r="U201" s="1189">
        <f t="shared" si="27"/>
        <v>0</v>
      </c>
      <c r="V201" s="1795">
        <v>7.5</v>
      </c>
      <c r="W201" s="1823"/>
      <c r="X201" s="1820"/>
    </row>
    <row r="202" spans="1:24" s="860" customFormat="1" ht="15" customHeight="1" collapsed="1">
      <c r="A202" s="2899"/>
      <c r="B202" s="2900"/>
      <c r="C202" s="2907" t="s">
        <v>232</v>
      </c>
      <c r="D202" s="2908"/>
      <c r="E202" s="1880">
        <v>0</v>
      </c>
      <c r="F202" s="1279">
        <f>IF(SETUP!$F$28="Upfront",F203,F204)</f>
        <v>0</v>
      </c>
      <c r="G202" s="1195">
        <f>IF(SETUP!$F$28="Upfront",G203,G204)</f>
        <v>0</v>
      </c>
      <c r="H202" s="1194">
        <f>IF(SETUP!$F$28="Upfront",H203,H204)</f>
        <v>0</v>
      </c>
      <c r="I202" s="1194">
        <f>IF(SETUP!$F$28="Upfront",I203,I204)</f>
        <v>0</v>
      </c>
      <c r="J202" s="1193">
        <f t="shared" si="24"/>
        <v>0</v>
      </c>
      <c r="K202" s="1194">
        <f>IF(SETUP!$F$28="Upfront",K203,K204)</f>
        <v>0</v>
      </c>
      <c r="L202" s="1194">
        <f>IF(SETUP!$F$28="Upfront",L203,L204)</f>
        <v>0</v>
      </c>
      <c r="M202" s="1194">
        <f>IF(SETUP!$F$28="Upfront",M203,M204)</f>
        <v>0</v>
      </c>
      <c r="N202" s="1194">
        <f>IF(SETUP!$F$28="Upfront",N203,N204)</f>
        <v>0</v>
      </c>
      <c r="O202" s="1191">
        <f t="shared" si="25"/>
        <v>0</v>
      </c>
      <c r="P202" s="1189">
        <f>IF(SETUP!$F$28="Upfront",P203,P204)</f>
        <v>0</v>
      </c>
      <c r="Q202" s="1189">
        <f>IF(SETUP!$F$28="Upfront",Q203,Q204)</f>
        <v>0</v>
      </c>
      <c r="R202" s="1189">
        <f>IF(SETUP!$F$28="Upfront",R203,R204)</f>
        <v>0</v>
      </c>
      <c r="S202" s="1189">
        <f>IF(SETUP!$F$28="Upfront",S203,S204)</f>
        <v>0</v>
      </c>
      <c r="T202" s="1190">
        <f t="shared" si="26"/>
        <v>0</v>
      </c>
      <c r="U202" s="1189">
        <f t="shared" si="27"/>
        <v>0</v>
      </c>
      <c r="V202" s="1795">
        <v>7.5</v>
      </c>
      <c r="W202" s="1823"/>
      <c r="X202" s="1820"/>
    </row>
    <row r="203" spans="1:24" s="860" customFormat="1" ht="15" hidden="1" customHeight="1" outlineLevel="1">
      <c r="A203" s="2899"/>
      <c r="B203" s="2900"/>
      <c r="C203" s="2889" t="s">
        <v>918</v>
      </c>
      <c r="D203" s="2890"/>
      <c r="E203" s="1880"/>
      <c r="F203" s="1279">
        <f>IF(SETUP!$F$28="Upfront",$E$202*'HIV-Other HPs'!AW15,0)</f>
        <v>0</v>
      </c>
      <c r="G203" s="1195">
        <f>IF(SETUP!$F$28="Upfront",$E$202*'HIV-Other HPs'!AX15,0)</f>
        <v>0</v>
      </c>
      <c r="H203" s="1194">
        <f>IF(SETUP!$F$28="Upfront",$E$202*'HIV-Other HPs'!AY15,0)</f>
        <v>0</v>
      </c>
      <c r="I203" s="1194">
        <f>IF(SETUP!$F$28="Upfront",$E$202*'HIV-Other HPs'!AZ15,0)</f>
        <v>0</v>
      </c>
      <c r="J203" s="1193">
        <f t="shared" si="24"/>
        <v>0</v>
      </c>
      <c r="K203" s="1194">
        <f>IF(SETUP!$F$28="Upfront",$E$202*'HIV-Other HPs'!BA15,0)</f>
        <v>0</v>
      </c>
      <c r="L203" s="1194">
        <f>IF(SETUP!$F$28="Upfront",$E$202*'HIV-Other HPs'!BB15,0)</f>
        <v>0</v>
      </c>
      <c r="M203" s="1194">
        <f>IF(SETUP!$F$28="Upfront",$E$202*'HIV-Other HPs'!BC15,0)</f>
        <v>0</v>
      </c>
      <c r="N203" s="1194">
        <f>IF(SETUP!$F$28="Upfront",$E$202*'HIV-Other HPs'!BD15,0)</f>
        <v>0</v>
      </c>
      <c r="O203" s="1191">
        <f t="shared" si="25"/>
        <v>0</v>
      </c>
      <c r="P203" s="1189">
        <f>IF(SETUP!$F$28="Upfront",$E$202*'HIV-Other HPs'!BE15,0)</f>
        <v>0</v>
      </c>
      <c r="Q203" s="1189">
        <f>IF(SETUP!$F$28="Upfront",$E$202*'HIV-Other HPs'!BF15,0)</f>
        <v>0</v>
      </c>
      <c r="R203" s="1189">
        <f>IF(SETUP!$F$28="Upfront",$E$202*'HIV-Other HPs'!BG15,0)</f>
        <v>0</v>
      </c>
      <c r="S203" s="1189">
        <f>IF(SETUP!$F$28="Upfront",$E$202*'HIV-Other HPs'!BH15,0)</f>
        <v>0</v>
      </c>
      <c r="T203" s="1190">
        <f t="shared" si="26"/>
        <v>0</v>
      </c>
      <c r="U203" s="1189">
        <f t="shared" si="27"/>
        <v>0</v>
      </c>
      <c r="V203" s="1795">
        <v>7.5</v>
      </c>
      <c r="W203" s="1823"/>
      <c r="X203" s="1820"/>
    </row>
    <row r="204" spans="1:24" s="860" customFormat="1" ht="15" hidden="1" customHeight="1" outlineLevel="1">
      <c r="A204" s="2899"/>
      <c r="B204" s="2900"/>
      <c r="C204" s="2889" t="s">
        <v>36</v>
      </c>
      <c r="D204" s="2890"/>
      <c r="E204" s="1880"/>
      <c r="F204" s="1279">
        <v>0</v>
      </c>
      <c r="G204" s="1195">
        <f>IF(SETUP!$F$28="At delivery",IF(SETUP!$G$28=1,$E$202*'HIV-Other HPs'!AW15,0),0)</f>
        <v>0</v>
      </c>
      <c r="H204" s="1194">
        <f>IF(SETUP!$F$28="At delivery",IF(SETUP!$G$28=2,$E$202*'HIV-Other HPs'!AW15,IF(SETUP!$G$28=1,$E$202*'HIV-Other HPs'!AX15,0)),0)</f>
        <v>0</v>
      </c>
      <c r="I204" s="1194">
        <f>IF(SETUP!$F$28="At delivery",IF(SETUP!$G$28=3,$E$202*'HIV-Other HPs'!AW15,IF(SETUP!$G$28=2,$E$202*'HIV-Other HPs'!AX15,IF(SETUP!$G$28=1,$E$202*'HIV-Other HPs'!AY15,0))),0)</f>
        <v>0</v>
      </c>
      <c r="J204" s="1193">
        <f t="shared" si="24"/>
        <v>0</v>
      </c>
      <c r="K204" s="1194">
        <f>IF(SETUP!$F$28="At delivery",IF(SETUP!$G$28=4,$E$202*'HIV-Other HPs'!AW15,IF(SETUP!$G$28=3,$E$202*'HIV-Other HPs'!AX15,IF(SETUP!$G$28=2,$E$202*'HIV-Other HPs'!AY15,IF(SETUP!$G$28=1,$E$202*'HIV-Other HPs'!AZ15,0)))),0)</f>
        <v>0</v>
      </c>
      <c r="L204" s="1194">
        <f>IF(SETUP!$F$28="At delivery",IF(SETUP!$G$28=4,$E$202*'HIV-Other HPs'!AX15,IF(SETUP!$G$28=3,$E$202*'HIV-Other HPs'!AY15,IF(SETUP!$G$28=2,$E$202*'HIV-Other HPs'!AZ15,IF(SETUP!$G$28=1,$E$202*'HIV-Other HPs'!BA15,0)))),0)</f>
        <v>0</v>
      </c>
      <c r="M204" s="1194">
        <f>IF(SETUP!$F$28="At delivery",IF(SETUP!$G$28=4,$E$202*'HIV-Other HPs'!AY15,IF(SETUP!$G$28=3,$E$202*'HIV-Other HPs'!AZ15,IF(SETUP!$G$28=2,$E$202*'HIV-Other HPs'!BA15,IF(SETUP!$G$28=1,$E$202*'HIV-Other HPs'!BB15,0)))),0)</f>
        <v>0</v>
      </c>
      <c r="N204" s="1194">
        <f>IF(SETUP!$F$28="At delivery",IF(SETUP!$G$28=4,$E$202*'HIV-Other HPs'!AZ15,IF(SETUP!$G$28=3,$E$202*'HIV-Other HPs'!BA15,IF(SETUP!$G$28=2,$E$202*'HIV-Other HPs'!BB15,IF(SETUP!$G$28=1,$E$202*'HIV-Other HPs'!BC15,0)))),0)</f>
        <v>0</v>
      </c>
      <c r="O204" s="1191">
        <f t="shared" si="25"/>
        <v>0</v>
      </c>
      <c r="P204" s="1189">
        <f>IF(SETUP!$F$28="At delivery",IF(SETUP!$G$28=4,$E$202*'HIV-Other HPs'!BA15,IF(SETUP!$G$28=3,$E$202*'HIV-Other HPs'!BB15,IF(SETUP!$G$28=2,$E$202*'HIV-Other HPs'!BC15,IF(SETUP!$G$28=1,$E$202*'HIV-Other HPs'!BD15,0)))),0)</f>
        <v>0</v>
      </c>
      <c r="Q204" s="1189">
        <f>IF(SETUP!$F$28="At delivery",IF(SETUP!$G$28=4,$E$202*'HIV-Other HPs'!BB15,IF(SETUP!$G$28=3,$E$202*'HIV-Other HPs'!BC15,IF(SETUP!$G$28=2,$E$202*'HIV-Other HPs'!BD15,IF(SETUP!$G$28=1,$E$202*'HIV-Other HPs'!BE15,0)))),0)</f>
        <v>0</v>
      </c>
      <c r="R204" s="1189">
        <f>IF(SETUP!$F$28="At delivery",IF(SETUP!$G$28=4,$E$202*'HIV-Other HPs'!BC15,IF(SETUP!$G$28=3,$E$202*'HIV-Other HPs'!BD15,IF(SETUP!$G$28=2,$E$202*'HIV-Other HPs'!BE15,IF(SETUP!$G$28=1,$E$202*'HIV-Other HPs'!BF15,0)))),0)</f>
        <v>0</v>
      </c>
      <c r="S204" s="1189">
        <f>IF(SETUP!$F$28="At delivery",IF(SETUP!$G$28=4,$E$202*('HIV-Other HPs'!BD15+'HIV-Other HPs'!BE15+'HIV-Other HPs'!BF15+'HIV-Other HPs'!BG15+'HIV-Other HPs'!BH15),IF(SETUP!$G$28=3,$E$202*('HIV-Other HPs'!BE15+'HIV-Other HPs'!BF15+'HIV-Other HPs'!BG15+'HIV-Other HPs'!BH15),IF(SETUP!$G$28=2,$E$202*('HIV-Other HPs'!BF15+'HIV-Other HPs'!BG15+'HIV-Other HPs'!BH15),IF(SETUP!$G$28=1,$E$202*('HIV-Other HPs'!BG15+'HIV-Other HPs'!BH15),0)))),0)</f>
        <v>0</v>
      </c>
      <c r="T204" s="1190">
        <f t="shared" si="26"/>
        <v>0</v>
      </c>
      <c r="U204" s="1189">
        <f t="shared" si="27"/>
        <v>0</v>
      </c>
      <c r="V204" s="1795">
        <v>7.5</v>
      </c>
      <c r="W204" s="1823"/>
      <c r="X204" s="1820"/>
    </row>
    <row r="205" spans="1:24" s="860" customFormat="1" ht="15" customHeight="1" collapsed="1">
      <c r="A205" s="2899"/>
      <c r="B205" s="2900"/>
      <c r="C205" s="2907" t="s">
        <v>566</v>
      </c>
      <c r="D205" s="2908"/>
      <c r="E205" s="1880">
        <v>0</v>
      </c>
      <c r="F205" s="1279">
        <f>IF(SETUP!$F$29="Upfront",F206,F207)</f>
        <v>0</v>
      </c>
      <c r="G205" s="1195">
        <f>IF(SETUP!$F$29="Upfront",G206,G207)</f>
        <v>0</v>
      </c>
      <c r="H205" s="1194">
        <f>IF(SETUP!$F$29="Upfront",H206,H207)</f>
        <v>0</v>
      </c>
      <c r="I205" s="1194">
        <f>IF(SETUP!$F$29="Upfront",I206,I207)</f>
        <v>0</v>
      </c>
      <c r="J205" s="1193">
        <f t="shared" si="24"/>
        <v>0</v>
      </c>
      <c r="K205" s="1194">
        <f>IF(SETUP!$F$29="Upfront",K206,K207)</f>
        <v>0</v>
      </c>
      <c r="L205" s="1194">
        <f>IF(SETUP!$F$29="Upfront",L206,L207)</f>
        <v>0</v>
      </c>
      <c r="M205" s="1194">
        <f>IF(SETUP!$F$29="Upfront",M206,M207)</f>
        <v>0</v>
      </c>
      <c r="N205" s="1194">
        <f>IF(SETUP!$F$29="Upfront",N206,N207)</f>
        <v>0</v>
      </c>
      <c r="O205" s="1191">
        <f t="shared" si="25"/>
        <v>0</v>
      </c>
      <c r="P205" s="1189">
        <f>IF(SETUP!$F$29="Upfront",P206,P207)</f>
        <v>0</v>
      </c>
      <c r="Q205" s="1189">
        <f>IF(SETUP!$F$29="Upfront",Q206,Q207)</f>
        <v>0</v>
      </c>
      <c r="R205" s="1189">
        <f>IF(SETUP!$F$29="Upfront",R206,R207)</f>
        <v>0</v>
      </c>
      <c r="S205" s="1189">
        <f>IF(SETUP!$F$29="Upfront",S206,S207)</f>
        <v>0</v>
      </c>
      <c r="T205" s="1190">
        <f t="shared" si="26"/>
        <v>0</v>
      </c>
      <c r="U205" s="1189">
        <f t="shared" si="27"/>
        <v>0</v>
      </c>
      <c r="V205" s="1795">
        <v>7.5</v>
      </c>
      <c r="W205" s="1823"/>
      <c r="X205" s="1820"/>
    </row>
    <row r="206" spans="1:24" s="860" customFormat="1" ht="15" hidden="1" customHeight="1" outlineLevel="1">
      <c r="A206" s="2899"/>
      <c r="B206" s="2900"/>
      <c r="C206" s="2889" t="s">
        <v>918</v>
      </c>
      <c r="D206" s="2890"/>
      <c r="E206" s="1880"/>
      <c r="F206" s="1279">
        <f>IF(SETUP!$F$29="Upfront",$E$205*'HIV-Other HPs'!AW16,0)</f>
        <v>0</v>
      </c>
      <c r="G206" s="1195">
        <f>IF(SETUP!$F$29="Upfront",$E$205*'HIV-Other HPs'!AX16,0)</f>
        <v>0</v>
      </c>
      <c r="H206" s="1194">
        <f>IF(SETUP!$F$29="Upfront",$E$205*'HIV-Other HPs'!AY16,0)</f>
        <v>0</v>
      </c>
      <c r="I206" s="1194">
        <f>IF(SETUP!$F$29="Upfront",$E$205*'HIV-Other HPs'!AZ16,0)</f>
        <v>0</v>
      </c>
      <c r="J206" s="1193">
        <f t="shared" si="24"/>
        <v>0</v>
      </c>
      <c r="K206" s="1194">
        <f>IF(SETUP!$F$29="Upfront",$E$205*'HIV-Other HPs'!BA16,0)</f>
        <v>0</v>
      </c>
      <c r="L206" s="1194">
        <f>IF(SETUP!$F$29="Upfront",$E$205*'HIV-Other HPs'!BB16,0)</f>
        <v>0</v>
      </c>
      <c r="M206" s="1194">
        <f>IF(SETUP!$F$29="Upfront",$E$205*'HIV-Other HPs'!BC16,0)</f>
        <v>0</v>
      </c>
      <c r="N206" s="1194">
        <f>IF(SETUP!$F$29="Upfront",$E$205*'HIV-Other HPs'!BD16,0)</f>
        <v>0</v>
      </c>
      <c r="O206" s="1191">
        <f t="shared" si="25"/>
        <v>0</v>
      </c>
      <c r="P206" s="1189">
        <f>IF(SETUP!$F$29="Upfront",$E$205*'HIV-Other HPs'!BE16,0)</f>
        <v>0</v>
      </c>
      <c r="Q206" s="1189">
        <f>IF(SETUP!$F$29="Upfront",$E$205*'HIV-Other HPs'!BF16,0)</f>
        <v>0</v>
      </c>
      <c r="R206" s="1189">
        <f>IF(SETUP!$F$29="Upfront",$E$205*'HIV-Other HPs'!BG16,0)</f>
        <v>0</v>
      </c>
      <c r="S206" s="1189">
        <f>IF(SETUP!$F$29="Upfront",$E$205*'HIV-Other HPs'!BH16,0)</f>
        <v>0</v>
      </c>
      <c r="T206" s="1190">
        <f t="shared" si="26"/>
        <v>0</v>
      </c>
      <c r="U206" s="1189">
        <f t="shared" si="27"/>
        <v>0</v>
      </c>
      <c r="V206" s="1795">
        <v>7.5</v>
      </c>
      <c r="W206" s="1823"/>
      <c r="X206" s="1820"/>
    </row>
    <row r="207" spans="1:24" s="860" customFormat="1" ht="15" hidden="1" customHeight="1" outlineLevel="1">
      <c r="A207" s="2899"/>
      <c r="B207" s="2900"/>
      <c r="C207" s="2889" t="s">
        <v>36</v>
      </c>
      <c r="D207" s="2890"/>
      <c r="E207" s="1880"/>
      <c r="F207" s="1279">
        <v>0</v>
      </c>
      <c r="G207" s="1195">
        <f>IF(SETUP!$F$29="At delivery",IF(SETUP!$G$29=1,$E$205*'HIV-Other HPs'!AW16,0),0)</f>
        <v>0</v>
      </c>
      <c r="H207" s="1194">
        <f>IF(SETUP!$F$29="At delivery",IF(SETUP!$G$29=2,$E$205*'HIV-Other HPs'!AW16,IF(SETUP!$G$29=1,$E$205*'HIV-Other HPs'!AX16,0)),0)</f>
        <v>0</v>
      </c>
      <c r="I207" s="1194">
        <f>IF(SETUP!$F$29="At delivery",IF(SETUP!$G$29=3,$E$205*'HIV-Other HPs'!AW16,IF(SETUP!$G$29=2,$E$205*'HIV-Other HPs'!AX16,IF(SETUP!$G$29=1,$E$205*'HIV-Other HPs'!AY16,0))),0)</f>
        <v>0</v>
      </c>
      <c r="J207" s="1193">
        <f t="shared" si="24"/>
        <v>0</v>
      </c>
      <c r="K207" s="1194">
        <f>IF(SETUP!$F$29="At delivery",IF(SETUP!$G$29=4,$E$205*'HIV-Other HPs'!AW16,IF(SETUP!$G$29=3,$E$205*'HIV-Other HPs'!AX16,IF(SETUP!$G$29=2,$E$205*'HIV-Other HPs'!AY16,IF(SETUP!$G$29=1,$E$205*'HIV-Other HPs'!AZ16,0)))),0)</f>
        <v>0</v>
      </c>
      <c r="L207" s="1194">
        <f>IF(SETUP!$F$29="At delivery",IF(SETUP!$G$29=4,$E$205*'HIV-Other HPs'!AX16,IF(SETUP!$G$29=3,$E$205*'HIV-Other HPs'!AY16,IF(SETUP!$G$29=2,$E$205*'HIV-Other HPs'!AZ16,IF(SETUP!$G$29=1,$E$205*'HIV-Other HPs'!BA16,0)))),0)</f>
        <v>0</v>
      </c>
      <c r="M207" s="1194">
        <f>IF(SETUP!$F$29="At delivery",IF(SETUP!$G$29=4,$E$205*'HIV-Other HPs'!AY16,IF(SETUP!$G$29=3,$E$205*'HIV-Other HPs'!AZ16,IF(SETUP!$G$29=2,$E$205*'HIV-Other HPs'!BA16,IF(SETUP!$G$29=1,$E$205*'HIV-Other HPs'!BB16,0)))),0)</f>
        <v>0</v>
      </c>
      <c r="N207" s="1194">
        <f>IF(SETUP!$F$29="At delivery",IF(SETUP!$G$29=4,$E$205*'HIV-Other HPs'!AZ16,IF(SETUP!$G$29=3,$E$205*'HIV-Other HPs'!BA16,IF(SETUP!$G$29=2,$E$205*'HIV-Other HPs'!BB16,IF(SETUP!$G$29=1,$E$205*'HIV-Other HPs'!BC16,0)))),0)</f>
        <v>0</v>
      </c>
      <c r="O207" s="1191">
        <f t="shared" si="25"/>
        <v>0</v>
      </c>
      <c r="P207" s="1189">
        <f>IF(SETUP!$F$29="At delivery",IF(SETUP!$G$29=4,$E$205*'HIV-Other HPs'!BA16,IF(SETUP!$G$29=3,$E$205*'HIV-Other HPs'!BB16,IF(SETUP!$G$29=2,$E$205*'HIV-Other HPs'!BC16,IF(SETUP!$G$29=1,$E$205*'HIV-Other HPs'!BD16,0)))),0)</f>
        <v>0</v>
      </c>
      <c r="Q207" s="1189">
        <f>IF(SETUP!$F$29="At delivery",IF(SETUP!$G$29=4,$E$205*'HIV-Other HPs'!BB16,IF(SETUP!$G$29=3,$E$205*'HIV-Other HPs'!BC16,IF(SETUP!$G$29=2,$E$205*'HIV-Other HPs'!BD16,IF(SETUP!$G$29=1,$E$205*'HIV-Other HPs'!BE16,0)))),0)</f>
        <v>0</v>
      </c>
      <c r="R207" s="1189">
        <f>IF(SETUP!$F$29="At delivery",IF(SETUP!$G$29=4,$E$205*'HIV-Other HPs'!BC16,IF(SETUP!$G$29=3,$E$205*'HIV-Other HPs'!BD16,IF(SETUP!$G$29=2,$E$205*'HIV-Other HPs'!BE16,IF(SETUP!$G$29=1,$E$205*'HIV-Other HPs'!BF16,0)))),0)</f>
        <v>0</v>
      </c>
      <c r="S207" s="1189">
        <f>IF(SETUP!$F$29="At delivery",IF(SETUP!$G$29=4,$E$205*('HIV-Other HPs'!BD16+'HIV-Other HPs'!BE16+'HIV-Other HPs'!BF16+'HIV-Other HPs'!BG16+'HIV-Other HPs'!BH16),IF(SETUP!$G$29=3,$E$205*('HIV-Other HPs'!BE16+'HIV-Other HPs'!BF16+'HIV-Other HPs'!BG16+'HIV-Other HPs'!BH16),IF(SETUP!$G$29=2,$E$205*('HIV-Other HPs'!BF16+'HIV-Other HPs'!BG16+'HIV-Other HPs'!BH16),IF(SETUP!$G$29=1,$E$205*('HIV-Other HPs'!BG16+'HIV-Other HPs'!BH16),0)))),0)</f>
        <v>0</v>
      </c>
      <c r="T207" s="1190">
        <f t="shared" si="26"/>
        <v>0</v>
      </c>
      <c r="U207" s="1189">
        <f t="shared" si="27"/>
        <v>0</v>
      </c>
      <c r="V207" s="1795">
        <v>7.5</v>
      </c>
      <c r="W207" s="1823"/>
      <c r="X207" s="1820"/>
    </row>
    <row r="208" spans="1:24" s="860" customFormat="1" ht="15" customHeight="1" collapsed="1">
      <c r="A208" s="2899"/>
      <c r="B208" s="2900"/>
      <c r="C208" s="2907" t="s">
        <v>1863</v>
      </c>
      <c r="D208" s="2908"/>
      <c r="E208" s="1880">
        <v>0</v>
      </c>
      <c r="F208" s="1279">
        <f>IF(SETUP!$F$30="Upfront",F209,F210)</f>
        <v>0</v>
      </c>
      <c r="G208" s="1195">
        <f>IF(SETUP!$F$30="Upfront",G209,G210)</f>
        <v>0</v>
      </c>
      <c r="H208" s="1194">
        <f>IF(SETUP!$F$30="Upfront",H209,H210)</f>
        <v>0</v>
      </c>
      <c r="I208" s="1194">
        <f>IF(SETUP!$F$30="Upfront",I209,I210)</f>
        <v>0</v>
      </c>
      <c r="J208" s="1193">
        <f t="shared" si="24"/>
        <v>0</v>
      </c>
      <c r="K208" s="1194">
        <f>IF(SETUP!$F$30="Upfront",K209,K210)</f>
        <v>0</v>
      </c>
      <c r="L208" s="1194">
        <f>IF(SETUP!$F$30="Upfront",L209,L210)</f>
        <v>0</v>
      </c>
      <c r="M208" s="1194">
        <f>IF(SETUP!$F$30="Upfront",M209,M210)</f>
        <v>0</v>
      </c>
      <c r="N208" s="1194">
        <f>IF(SETUP!$F$30="Upfront",N209,N210)</f>
        <v>0</v>
      </c>
      <c r="O208" s="1191">
        <f t="shared" si="25"/>
        <v>0</v>
      </c>
      <c r="P208" s="1189">
        <f>IF(SETUP!$F$30="Upfront",P209,P210)</f>
        <v>0</v>
      </c>
      <c r="Q208" s="1189">
        <f>IF(SETUP!$F$30="Upfront",Q209,Q210)</f>
        <v>0</v>
      </c>
      <c r="R208" s="1189">
        <f>IF(SETUP!$F$30="Upfront",R209,R210)</f>
        <v>0</v>
      </c>
      <c r="S208" s="1189">
        <f>IF(SETUP!$F$30="Upfront",S209,S210)</f>
        <v>0</v>
      </c>
      <c r="T208" s="1190">
        <f t="shared" ref="T208" si="28">P208+Q208+R208+S208</f>
        <v>0</v>
      </c>
      <c r="U208" s="1189">
        <f t="shared" ref="U208" si="29">J208+O208+T208</f>
        <v>0</v>
      </c>
      <c r="V208" s="1795">
        <v>7.5</v>
      </c>
      <c r="W208" s="1823"/>
      <c r="X208" s="1820"/>
    </row>
    <row r="209" spans="1:24" s="860" customFormat="1" ht="15" hidden="1" customHeight="1" outlineLevel="1">
      <c r="A209" s="2899"/>
      <c r="B209" s="2900"/>
      <c r="C209" s="2889" t="s">
        <v>918</v>
      </c>
      <c r="D209" s="2890"/>
      <c r="E209" s="1880"/>
      <c r="F209" s="1279">
        <f>IF(SETUP!$F$30="Upfront",$E$208*'HIV-Other HPs'!AW17,0)</f>
        <v>0</v>
      </c>
      <c r="G209" s="1195">
        <f>IF(SETUP!$F$30="Upfront",$E$208*'HIV-Other HPs'!AX17,0)</f>
        <v>0</v>
      </c>
      <c r="H209" s="1194">
        <f>IF(SETUP!$F$30="Upfront",$E$208*'HIV-Other HPs'!AY17,0)</f>
        <v>0</v>
      </c>
      <c r="I209" s="1194">
        <f>IF(SETUP!$F$30="Upfront",$E$208*'HIV-Other HPs'!AZ17,0)</f>
        <v>0</v>
      </c>
      <c r="J209" s="1193"/>
      <c r="K209" s="1194">
        <f>IF(SETUP!$F$30="Upfront",$E$208*'HIV-Other HPs'!BA17,0)</f>
        <v>0</v>
      </c>
      <c r="L209" s="1194">
        <f>IF(SETUP!$F$30="Upfront",$E$208*'HIV-Other HPs'!BB17,0)</f>
        <v>0</v>
      </c>
      <c r="M209" s="1194">
        <f>IF(SETUP!$F$30="Upfront",$E$208*'HIV-Other HPs'!BC17,0)</f>
        <v>0</v>
      </c>
      <c r="N209" s="1194">
        <f>IF(SETUP!$F$30="Upfront",$E$208*'HIV-Other HPs'!BD17,0)</f>
        <v>0</v>
      </c>
      <c r="O209" s="1191"/>
      <c r="P209" s="1189">
        <f>IF(SETUP!$F$30="Upfront",$E$208*'HIV-Other HPs'!BE17,0)</f>
        <v>0</v>
      </c>
      <c r="Q209" s="1189">
        <f>IF(SETUP!$F$30="Upfront",$E$208*'HIV-Other HPs'!BF17,0)</f>
        <v>0</v>
      </c>
      <c r="R209" s="1189">
        <f>IF(SETUP!$F$30="Upfront",$E$208*'HIV-Other HPs'!BG17,0)</f>
        <v>0</v>
      </c>
      <c r="S209" s="1189">
        <f>IF(SETUP!$F$30="Upfront",$E$208*'HIV-Other HPs'!BH17,0)</f>
        <v>0</v>
      </c>
      <c r="T209" s="1190"/>
      <c r="U209" s="1189"/>
      <c r="V209" s="1795">
        <v>7.5</v>
      </c>
      <c r="W209" s="1823"/>
      <c r="X209" s="1820"/>
    </row>
    <row r="210" spans="1:24" s="860" customFormat="1" ht="15" hidden="1" customHeight="1" outlineLevel="1">
      <c r="A210" s="2899"/>
      <c r="B210" s="2900"/>
      <c r="C210" s="2889" t="s">
        <v>36</v>
      </c>
      <c r="D210" s="2890"/>
      <c r="E210" s="1880"/>
      <c r="F210" s="1279">
        <v>0</v>
      </c>
      <c r="G210" s="1195">
        <f>IF(SETUP!$F$30="At delivery",IF(SETUP!$G$30=1,$E$208*'HIV-Other HPs'!AW17,0),0)</f>
        <v>0</v>
      </c>
      <c r="H210" s="1194">
        <f>IF(SETUP!$F$30="At delivery",IF(SETUP!$G$30=2,$E$208*'HIV-Other HPs'!AW17,IF(SETUP!$G$30=1,$E$208*'HIV-Other HPs'!AX17,0)),0)</f>
        <v>0</v>
      </c>
      <c r="I210" s="1194">
        <f>IF(SETUP!$F$30="At delivery",IF(SETUP!$G$30=3,$E$208*'HIV-Other HPs'!AW17,IF(SETUP!$G$30=2,$E$208*'HIV-Other HPs'!AX17,IF(SETUP!$G$30=1,$E$208*'HIV-Other HPs'!AY17,0))),0)</f>
        <v>0</v>
      </c>
      <c r="J210" s="1193"/>
      <c r="K210" s="1194">
        <f>IF(SETUP!$F$30="At delivery",IF(SETUP!$G$30=4,$E$208*'HIV-Other HPs'!AW17,IF(SETUP!$G$30=3,$E$208*'HIV-Other HPs'!AX17,IF(SETUP!$G$30=2,$E$208*'HIV-Other HPs'!AY17,IF(SETUP!$G$30=1,$E$208*'HIV-Other HPs'!AZ17,0)))),0)</f>
        <v>0</v>
      </c>
      <c r="L210" s="1194">
        <f>IF(SETUP!$F$30="At delivery",IF(SETUP!$G$30=4,$E$208*'HIV-Other HPs'!AX17,IF(SETUP!$G$30=3,$E$208*'HIV-Other HPs'!AY17,IF(SETUP!$G$30=2,$E$208*'HIV-Other HPs'!AZ17,IF(SETUP!$G$30=1,$E$208*'HIV-Other HPs'!BA17,0)))),0)</f>
        <v>0</v>
      </c>
      <c r="M210" s="1194">
        <f>IF(SETUP!$F$30="At delivery",IF(SETUP!$G$30=4,$E$208*'HIV-Other HPs'!AY17,IF(SETUP!$G$30=3,$E$208*'HIV-Other HPs'!AZ17,IF(SETUP!$G$30=2,$E$208*'HIV-Other HPs'!BA17,IF(SETUP!$G$30=1,$E$208*'HIV-Other HPs'!BB17,0)))),0)</f>
        <v>0</v>
      </c>
      <c r="N210" s="1194">
        <f>IF(SETUP!$F$30="At delivery",IF(SETUP!$G$30=4,$E$208*'HIV-Other HPs'!AZ17,IF(SETUP!$G$30=3,$E$208*'HIV-Other HPs'!BA17,IF(SETUP!$G$30=2,$E$208*'HIV-Other HPs'!BB17,IF(SETUP!$G$30=1,$E$208*'HIV-Other HPs'!BC17,0)))),0)</f>
        <v>0</v>
      </c>
      <c r="O210" s="1191"/>
      <c r="P210" s="1189">
        <f>IF(SETUP!$F$30="At delivery",IF(SETUP!$G$30=4,$E$208*'HIV-Other HPs'!BA17,IF(SETUP!$G$30=3,$E$208*'HIV-Other HPs'!BB17,IF(SETUP!$G$30=2,$E$208*'HIV-Other HPs'!BC17,IF(SETUP!$G$30=1,$E$208*'HIV-Other HPs'!BD17,0)))),0)</f>
        <v>0</v>
      </c>
      <c r="Q210" s="1189">
        <f>IF(SETUP!$F$30="At delivery",IF(SETUP!$G$30=4,$E$208*'HIV-Other HPs'!BB17,IF(SETUP!$G$30=3,$E$208*'HIV-Other HPs'!BC17,IF(SETUP!$G$30=2,$E$208*'HIV-Other HPs'!BD17,IF(SETUP!$G$30=1,$E$208*'HIV-Other HPs'!BE17,0)))),0)</f>
        <v>0</v>
      </c>
      <c r="R210" s="1189">
        <f>IF(SETUP!$F$30="At delivery",IF(SETUP!$G$30=4,$E$208*'HIV-Other HPs'!BC17,IF(SETUP!$G$30=3,$E$208*'HIV-Other HPs'!BD17,IF(SETUP!$G$30=2,$E$208*'HIV-Other HPs'!BE17,IF(SETUP!$G$30=1,$E$208*'HIV-Other HPs'!BF17,0)))),0)</f>
        <v>0</v>
      </c>
      <c r="S210" s="1189">
        <f>IF(SETUP!$F$30="At delivery",IF(SETUP!$G$30=4,$E$208*('HIV-Other HPs'!BD17+'HIV-Other HPs'!BE17+'HIV-Other HPs'!BF17+'HIV-Other HPs'!BG17+'HIV-Other HPs'!BH17),IF(SETUP!$G$30=3,$E$208*('HIV-Other HPs'!BE17+'HIV-Other HPs'!BF17+'HIV-Other HPs'!BG17+'HIV-Other HPs'!BH17),IF(SETUP!$G$30=2,$E$208*('HIV-Other HPs'!BF17+'HIV-Other HPs'!BG17+'HIV-Other HPs'!BH17),IF(SETUP!$G$30=1,$E$208*('HIV-Other HPs'!BG17+'HIV-Other HPs'!BH17),0)))),0)</f>
        <v>0</v>
      </c>
      <c r="T210" s="1190"/>
      <c r="U210" s="1189"/>
      <c r="V210" s="1795">
        <v>7.5</v>
      </c>
      <c r="W210" s="1823"/>
      <c r="X210" s="1820"/>
    </row>
    <row r="211" spans="1:24" s="860" customFormat="1" ht="15" customHeight="1" collapsed="1">
      <c r="A211" s="2899"/>
      <c r="B211" s="2900"/>
      <c r="C211" s="2907" t="s">
        <v>1794</v>
      </c>
      <c r="D211" s="2908"/>
      <c r="E211" s="1880">
        <v>0</v>
      </c>
      <c r="F211" s="1279">
        <f>IF(SETUP!$F$31="Upfront",F212,F213)</f>
        <v>0</v>
      </c>
      <c r="G211" s="1195">
        <f>IF(SETUP!$F$31="Upfront",G212,G213)</f>
        <v>0</v>
      </c>
      <c r="H211" s="1194">
        <f>IF(SETUP!$F$31="Upfront",H212,H213)</f>
        <v>0</v>
      </c>
      <c r="I211" s="1194">
        <f>IF(SETUP!$F$31="Upfront",I212,I213)</f>
        <v>0</v>
      </c>
      <c r="J211" s="1193">
        <f t="shared" ref="J211:J242" si="30">F211+G211+H211+I211</f>
        <v>0</v>
      </c>
      <c r="K211" s="1194">
        <f>IF(SETUP!$F$31="Upfront",K212,K213)</f>
        <v>0</v>
      </c>
      <c r="L211" s="1194">
        <f>IF(SETUP!$F$31="Upfront",L212,L213)</f>
        <v>0</v>
      </c>
      <c r="M211" s="1194">
        <f>IF(SETUP!$F$31="Upfront",M212,M213)</f>
        <v>0</v>
      </c>
      <c r="N211" s="1194">
        <f>IF(SETUP!$F$31="Upfront",N212,N213)</f>
        <v>0</v>
      </c>
      <c r="O211" s="1191">
        <f t="shared" ref="O211:O242" si="31">K211+L211+M211+N211</f>
        <v>0</v>
      </c>
      <c r="P211" s="1189">
        <f>IF(SETUP!$F$31="Upfront",P212,P213)</f>
        <v>0</v>
      </c>
      <c r="Q211" s="1189">
        <f>IF(SETUP!$F$31="Upfront",Q212,Q213)</f>
        <v>0</v>
      </c>
      <c r="R211" s="1189">
        <f>IF(SETUP!$F$31="Upfront",R212,R213)</f>
        <v>0</v>
      </c>
      <c r="S211" s="1189">
        <f>IF(SETUP!$F$31="Upfront",S212,S213)</f>
        <v>0</v>
      </c>
      <c r="T211" s="1190">
        <f t="shared" ref="T211:T242" si="32">P211+Q211+R211+S211</f>
        <v>0</v>
      </c>
      <c r="U211" s="1189">
        <f t="shared" ref="U211:U242" si="33">J211+O211+T211</f>
        <v>0</v>
      </c>
      <c r="V211" s="1795">
        <v>7.5</v>
      </c>
      <c r="W211" s="1823"/>
      <c r="X211" s="1820"/>
    </row>
    <row r="212" spans="1:24" s="860" customFormat="1" ht="15" hidden="1" customHeight="1" outlineLevel="1">
      <c r="A212" s="2899"/>
      <c r="B212" s="2900"/>
      <c r="C212" s="2889" t="s">
        <v>918</v>
      </c>
      <c r="D212" s="2890"/>
      <c r="E212" s="1880"/>
      <c r="F212" s="1279">
        <f>IF(SETUP!$F$31="Upfront",$E$211*'HIV-Other HPs'!AW18,0)</f>
        <v>0</v>
      </c>
      <c r="G212" s="1195">
        <f>IF(SETUP!$F$31="Upfront",$E$211*'HIV-Other HPs'!AX18,0)</f>
        <v>0</v>
      </c>
      <c r="H212" s="1194">
        <f>IF(SETUP!$F$31="Upfront",$E$211*'HIV-Other HPs'!AY18,0)</f>
        <v>0</v>
      </c>
      <c r="I212" s="1194">
        <f>IF(SETUP!$F$31="Upfront",$E$211*'HIV-Other HPs'!AZ18,0)</f>
        <v>0</v>
      </c>
      <c r="J212" s="1193">
        <f t="shared" si="30"/>
        <v>0</v>
      </c>
      <c r="K212" s="1194">
        <f>IF(SETUP!$F$31="Upfront",$E$211*'HIV-Other HPs'!BA18,0)</f>
        <v>0</v>
      </c>
      <c r="L212" s="1194">
        <f>IF(SETUP!$F$31="Upfront",$E$211*'HIV-Other HPs'!BB18,0)</f>
        <v>0</v>
      </c>
      <c r="M212" s="1194">
        <f>IF(SETUP!$F$31="Upfront",$E$211*'HIV-Other HPs'!BC18,0)</f>
        <v>0</v>
      </c>
      <c r="N212" s="1194">
        <f>IF(SETUP!$F$31="Upfront",$E$211*'HIV-Other HPs'!BD18,0)</f>
        <v>0</v>
      </c>
      <c r="O212" s="1191">
        <f t="shared" si="31"/>
        <v>0</v>
      </c>
      <c r="P212" s="1189">
        <f>IF(SETUP!$F$31="Upfront",$E$211*'HIV-Other HPs'!BE18,0)</f>
        <v>0</v>
      </c>
      <c r="Q212" s="1189">
        <f>IF(SETUP!$F$31="Upfront",$E$211*'HIV-Other HPs'!BF18,0)</f>
        <v>0</v>
      </c>
      <c r="R212" s="1189">
        <f>IF(SETUP!$F$31="Upfront",$E$211*'HIV-Other HPs'!BG18,0)</f>
        <v>0</v>
      </c>
      <c r="S212" s="1189">
        <f>IF(SETUP!$F$31="Upfront",$E$211*'HIV-Other HPs'!BH18,0)</f>
        <v>0</v>
      </c>
      <c r="T212" s="1190">
        <f t="shared" si="32"/>
        <v>0</v>
      </c>
      <c r="U212" s="1189">
        <f t="shared" si="33"/>
        <v>0</v>
      </c>
      <c r="V212" s="1795">
        <v>7.5</v>
      </c>
      <c r="W212" s="1823"/>
      <c r="X212" s="1820"/>
    </row>
    <row r="213" spans="1:24" s="860" customFormat="1" ht="15" hidden="1" customHeight="1" outlineLevel="1">
      <c r="A213" s="2899"/>
      <c r="B213" s="2900"/>
      <c r="C213" s="2889" t="s">
        <v>36</v>
      </c>
      <c r="D213" s="2890"/>
      <c r="E213" s="1880"/>
      <c r="F213" s="1279">
        <v>0</v>
      </c>
      <c r="G213" s="1195">
        <f>IF(SETUP!$F$31="At delivery",IF(SETUP!$G$31=1,$E$211*'HIV-Other HPs'!AW18,0),0)</f>
        <v>0</v>
      </c>
      <c r="H213" s="1194">
        <f>IF(SETUP!$F$31="At delivery",IF(SETUP!$G$31=2,$E$211*'HIV-Other HPs'!AW18,IF(SETUP!$G$31=1,$E$211*'HIV-Other HPs'!AX18,0)),0)</f>
        <v>0</v>
      </c>
      <c r="I213" s="1194">
        <f>IF(SETUP!$F$31="At delivery",IF(SETUP!$G$31=3,$E$211*'HIV-Other HPs'!AW18,IF(SETUP!$G$31=2,$E$211*'HIV-Other HPs'!AX18,IF(SETUP!$G$31=1,$E$211*'HIV-Other HPs'!AY18,0))),0)</f>
        <v>0</v>
      </c>
      <c r="J213" s="1193">
        <f t="shared" si="30"/>
        <v>0</v>
      </c>
      <c r="K213" s="1194">
        <f>IF(SETUP!$F$31="At delivery",IF(SETUP!$G$31=4,$E$211*'HIV-Other HPs'!AW18,IF(SETUP!$G$31=3,$E$211*'HIV-Other HPs'!AX18,IF(SETUP!$G$31=2,$E$211*'HIV-Other HPs'!AY18,IF(SETUP!$G$31=1,$E$211*'HIV-Other HPs'!AZ18,0)))),0)</f>
        <v>0</v>
      </c>
      <c r="L213" s="1194">
        <f>IF(SETUP!$F$31="At delivery",IF(SETUP!$G$31=4,$E$211*'HIV-Other HPs'!AX18,IF(SETUP!$G$31=3,$E$211*'HIV-Other HPs'!AY18,IF(SETUP!$G$31=2,$E$211*'HIV-Other HPs'!AZ18,IF(SETUP!$G$31=1,$E$211*'HIV-Other HPs'!BA18,0)))),0)</f>
        <v>0</v>
      </c>
      <c r="M213" s="1194">
        <f>IF(SETUP!$F$31="At delivery",IF(SETUP!$G$31=4,$E$211*'HIV-Other HPs'!AY18,IF(SETUP!$G$31=3,$E$211*'HIV-Other HPs'!AZ18,IF(SETUP!$G$31=2,$E$211*'HIV-Other HPs'!BA18,IF(SETUP!$G$31=1,$E$211*'HIV-Other HPs'!BB18,0)))),0)</f>
        <v>0</v>
      </c>
      <c r="N213" s="1194">
        <f>IF(SETUP!$F$31="At delivery",IF(SETUP!$G$31=4,$E$211*'HIV-Other HPs'!AZ18,IF(SETUP!$G$31=3,$E$211*'HIV-Other HPs'!BA18,IF(SETUP!$G$31=2,$E$211*'HIV-Other HPs'!BB18,IF(SETUP!$G$31=1,$E$211*'HIV-Other HPs'!BC18,0)))),0)</f>
        <v>0</v>
      </c>
      <c r="O213" s="1191">
        <f t="shared" si="31"/>
        <v>0</v>
      </c>
      <c r="P213" s="1189">
        <f>IF(SETUP!$F$31="At delivery",IF(SETUP!$G$31=4,$E$211*'HIV-Other HPs'!BA18,IF(SETUP!$G$31=3,$E$211*'HIV-Other HPs'!BB18,IF(SETUP!$G$31=2,$E$211*'HIV-Other HPs'!BC18,IF(SETUP!$G$31=1,$E$211*'HIV-Other HPs'!BD18,0)))),0)</f>
        <v>0</v>
      </c>
      <c r="Q213" s="1189">
        <f>IF(SETUP!$F$31="At delivery",IF(SETUP!$G$31=4,$E$211*'HIV-Other HPs'!BB18,IF(SETUP!$G$31=3,$E$211*'HIV-Other HPs'!BC18,IF(SETUP!$G$31=2,$E$211*'HIV-Other HPs'!BD18,IF(SETUP!$G$31=1,$E$211*'HIV-Other HPs'!BE18,0)))),0)</f>
        <v>0</v>
      </c>
      <c r="R213" s="1189">
        <f>IF(SETUP!$F$31="At delivery",IF(SETUP!$G$31=4,$E$211*'HIV-Other HPs'!BC18,IF(SETUP!$G$31=3,$E$211*'HIV-Other HPs'!BD18,IF(SETUP!$G$31=2,$E$211*'HIV-Other HPs'!BE18,IF(SETUP!$G$31=1,$E$211*'HIV-Other HPs'!BF18,0)))),0)</f>
        <v>0</v>
      </c>
      <c r="S213" s="1189">
        <f>IF(SETUP!$F$31="At delivery",IF(SETUP!$G$31=4,$E$211*('HIV-Other HPs'!BD18+'HIV-Other HPs'!BE18+'HIV-Other HPs'!BF18+'HIV-Other HPs'!BG18+'HIV-Other HPs'!BH18),IF(SETUP!$G$31=3,$E$211*('HIV-Other HPs'!BE18+'HIV-Other HPs'!BF18+'HIV-Other HPs'!BG18+'HIV-Other HPs'!BH18),IF(SETUP!$G$31=2,$E$211*('HIV-Other HPs'!BF18+'HIV-Other HPs'!BG18+'HIV-Other HPs'!BH18),IF(SETUP!$G$31=1,$E$211*('HIV-Other HPs'!BG18+'HIV-Other HPs'!BH18),0)))),0)</f>
        <v>0</v>
      </c>
      <c r="T213" s="1190">
        <f t="shared" si="32"/>
        <v>0</v>
      </c>
      <c r="U213" s="1189">
        <f t="shared" si="33"/>
        <v>0</v>
      </c>
      <c r="V213" s="1795">
        <v>7.5</v>
      </c>
      <c r="W213" s="1823"/>
      <c r="X213" s="1820"/>
    </row>
    <row r="214" spans="1:24" s="860" customFormat="1" ht="15" customHeight="1" collapsed="1">
      <c r="A214" s="2899"/>
      <c r="B214" s="2900"/>
      <c r="C214" s="2907" t="s">
        <v>568</v>
      </c>
      <c r="D214" s="2908"/>
      <c r="E214" s="1880">
        <v>0</v>
      </c>
      <c r="F214" s="1279">
        <f>IF(SETUP!$F$32="Upfront",F215,F216)</f>
        <v>0</v>
      </c>
      <c r="G214" s="1195">
        <f>IF(SETUP!$F$32="Upfront",G215,G216)</f>
        <v>0</v>
      </c>
      <c r="H214" s="1194">
        <f>IF(SETUP!$F$32="Upfront",H215,H216)</f>
        <v>0</v>
      </c>
      <c r="I214" s="1194">
        <f>IF(SETUP!$F$32="Upfront",I215,I216)</f>
        <v>0</v>
      </c>
      <c r="J214" s="1193">
        <f t="shared" si="30"/>
        <v>0</v>
      </c>
      <c r="K214" s="1194">
        <f>IF(SETUP!$F$32="Upfront",K215,K216)</f>
        <v>0</v>
      </c>
      <c r="L214" s="1194">
        <f>IF(SETUP!$F$32="Upfront",L215,L216)</f>
        <v>0</v>
      </c>
      <c r="M214" s="1194">
        <f>IF(SETUP!$F$32="Upfront",M215,M216)</f>
        <v>0</v>
      </c>
      <c r="N214" s="1194">
        <f>IF(SETUP!$F$32="Upfront",N215,N216)</f>
        <v>0</v>
      </c>
      <c r="O214" s="1191">
        <f t="shared" si="31"/>
        <v>0</v>
      </c>
      <c r="P214" s="1189">
        <f>IF(SETUP!$F$32="Upfront",P215,P216)</f>
        <v>0</v>
      </c>
      <c r="Q214" s="1189">
        <f>IF(SETUP!$F$32="Upfront",Q215,Q216)</f>
        <v>0</v>
      </c>
      <c r="R214" s="1189">
        <f>IF(SETUP!$F$32="Upfront",R215,R216)</f>
        <v>0</v>
      </c>
      <c r="S214" s="1189">
        <f>IF(SETUP!$F$32="Upfront",S215,S216)</f>
        <v>0</v>
      </c>
      <c r="T214" s="1190">
        <f t="shared" si="32"/>
        <v>0</v>
      </c>
      <c r="U214" s="1189">
        <f t="shared" si="33"/>
        <v>0</v>
      </c>
      <c r="V214" s="1795">
        <v>7.5</v>
      </c>
      <c r="W214" s="1823"/>
      <c r="X214" s="1820"/>
    </row>
    <row r="215" spans="1:24" s="860" customFormat="1" ht="15" hidden="1" customHeight="1" outlineLevel="1">
      <c r="A215" s="2899"/>
      <c r="B215" s="2900"/>
      <c r="C215" s="2889" t="s">
        <v>918</v>
      </c>
      <c r="D215" s="2890"/>
      <c r="E215" s="1880"/>
      <c r="F215" s="1279">
        <f>IF(SETUP!$F$32="Upfront",$E$214*'HIV-Other HPs'!AW19,0)</f>
        <v>0</v>
      </c>
      <c r="G215" s="1195">
        <f>IF(SETUP!$F$32="Upfront",$E$214*'HIV-Other HPs'!AX19,0)</f>
        <v>0</v>
      </c>
      <c r="H215" s="1194">
        <f>IF(SETUP!$F$32="Upfront",$E$214*'HIV-Other HPs'!AY19,0)</f>
        <v>0</v>
      </c>
      <c r="I215" s="1194">
        <f>IF(SETUP!$F$32="Upfront",$E$214*'HIV-Other HPs'!AZ19,0)</f>
        <v>0</v>
      </c>
      <c r="J215" s="1193">
        <f t="shared" si="30"/>
        <v>0</v>
      </c>
      <c r="K215" s="1194">
        <f>IF(SETUP!$F$32="Upfront",$E$214*'HIV-Other HPs'!BA19,0)</f>
        <v>0</v>
      </c>
      <c r="L215" s="1194">
        <f>IF(SETUP!$F$32="Upfront",$E$214*'HIV-Other HPs'!BB19,0)</f>
        <v>0</v>
      </c>
      <c r="M215" s="1194">
        <f>IF(SETUP!$F$32="Upfront",$E$214*'HIV-Other HPs'!BC19,0)</f>
        <v>0</v>
      </c>
      <c r="N215" s="1194">
        <f>IF(SETUP!$F$32="Upfront",$E$214*'HIV-Other HPs'!BD19,0)</f>
        <v>0</v>
      </c>
      <c r="O215" s="1191">
        <f t="shared" si="31"/>
        <v>0</v>
      </c>
      <c r="P215" s="1189">
        <f>IF(SETUP!$F$32="Upfront",$E$214*'HIV-Other HPs'!BE19,0)</f>
        <v>0</v>
      </c>
      <c r="Q215" s="1189">
        <f>IF(SETUP!$F$32="Upfront",$E$214*'HIV-Other HPs'!BF19,0)</f>
        <v>0</v>
      </c>
      <c r="R215" s="1189">
        <f>IF(SETUP!$F$32="Upfront",$E$214*'HIV-Other HPs'!BG19,0)</f>
        <v>0</v>
      </c>
      <c r="S215" s="1189">
        <f>IF(SETUP!$F$32="Upfront",$E$214*'HIV-Other HPs'!BH19,0)</f>
        <v>0</v>
      </c>
      <c r="T215" s="1190">
        <f t="shared" si="32"/>
        <v>0</v>
      </c>
      <c r="U215" s="1189">
        <f t="shared" si="33"/>
        <v>0</v>
      </c>
      <c r="V215" s="1795">
        <v>7.5</v>
      </c>
      <c r="W215" s="1823"/>
      <c r="X215" s="1820"/>
    </row>
    <row r="216" spans="1:24" s="860" customFormat="1" ht="15" hidden="1" customHeight="1" outlineLevel="1">
      <c r="A216" s="2899"/>
      <c r="B216" s="2900"/>
      <c r="C216" s="2889" t="s">
        <v>36</v>
      </c>
      <c r="D216" s="2890"/>
      <c r="E216" s="1880"/>
      <c r="F216" s="1279">
        <v>0</v>
      </c>
      <c r="G216" s="1195">
        <f>IF(SETUP!$F$32="At delivery",IF(SETUP!$G$32=1,$E$214*'HIV-Other HPs'!AW19,0),0)</f>
        <v>0</v>
      </c>
      <c r="H216" s="1194">
        <f>IF(SETUP!$F$32="At delivery",IF(SETUP!$G$32=2,$E$214*'HIV-Other HPs'!AW19,IF(SETUP!$G$32=1,$E$214*'HIV-Other HPs'!AX19,0)),0)</f>
        <v>0</v>
      </c>
      <c r="I216" s="1194">
        <f>IF(SETUP!$F$32="At delivery",IF(SETUP!$G$32=3,$E$214*'HIV-Other HPs'!AW19,IF(SETUP!$G$32=2,$E$214*'HIV-Other HPs'!AX19,IF(SETUP!$G$32=1,$E$214*'HIV-Other HPs'!AY19,0))),0)</f>
        <v>0</v>
      </c>
      <c r="J216" s="1193">
        <f t="shared" si="30"/>
        <v>0</v>
      </c>
      <c r="K216" s="1194">
        <f>IF(SETUP!$F$32="At delivery",IF(SETUP!$G$32=4,$E$214*'HIV-Other HPs'!AW19,IF(SETUP!$G$32=3,$E$214*'HIV-Other HPs'!AX19,IF(SETUP!$G$32=2,$E$214*'HIV-Other HPs'!AY19,IF(SETUP!$G$32=1,$E$214*'HIV-Other HPs'!AZ19,0)))),0)</f>
        <v>0</v>
      </c>
      <c r="L216" s="1194">
        <f>IF(SETUP!$F$32="At delivery",IF(SETUP!$G$32=4,$E$214*'HIV-Other HPs'!AX19,IF(SETUP!$G$32=3,$E$214*'HIV-Other HPs'!AY19,IF(SETUP!$G$32=2,$E$214*'HIV-Other HPs'!AZ19,IF(SETUP!$G$32=1,$E$214*'HIV-Other HPs'!BA19,0)))),0)</f>
        <v>0</v>
      </c>
      <c r="M216" s="1194">
        <f>IF(SETUP!$F$32="At delivery",IF(SETUP!$G$32=4,$E$214*'HIV-Other HPs'!AY19,IF(SETUP!$G$32=3,$E$214*'HIV-Other HPs'!AZ19,IF(SETUP!$G$32=2,$E$214*'HIV-Other HPs'!BA19,IF(SETUP!$G$32=1,$E$214*'HIV-Other HPs'!BB19,0)))),0)</f>
        <v>0</v>
      </c>
      <c r="N216" s="1194">
        <f>IF(SETUP!$F$32="At delivery",IF(SETUP!$G$32=4,$E$214*'HIV-Other HPs'!AZ19,IF(SETUP!$G$32=3,$E$214*'HIV-Other HPs'!BA19,IF(SETUP!$G$32=2,$E$214*'HIV-Other HPs'!BB19,IF(SETUP!$G$32=1,$E$214*'HIV-Other HPs'!BC19,0)))),0)</f>
        <v>0</v>
      </c>
      <c r="O216" s="1191">
        <f t="shared" si="31"/>
        <v>0</v>
      </c>
      <c r="P216" s="1189">
        <f>IF(SETUP!$F$32="At delivery",IF(SETUP!$G$32=4,$E$214*'HIV-Other HPs'!BA19,IF(SETUP!$G$32=3,$E$214*'HIV-Other HPs'!BB19,IF(SETUP!$G$32=2,$E$214*'HIV-Other HPs'!BC19,IF(SETUP!$G$32=1,$E$214*'HIV-Other HPs'!BD19,0)))),0)</f>
        <v>0</v>
      </c>
      <c r="Q216" s="1189">
        <f>IF(SETUP!$F$32="At delivery",IF(SETUP!$G$32=4,$E$214*'HIV-Other HPs'!BB19,IF(SETUP!$G$32=3,$E$214*'HIV-Other HPs'!BC19,IF(SETUP!$G$32=2,$E$214*'HIV-Other HPs'!BD19,IF(SETUP!$G$32=1,$E$214*'HIV-Other HPs'!BE19,0)))),0)</f>
        <v>0</v>
      </c>
      <c r="R216" s="1189">
        <f>IF(SETUP!$F$32="At delivery",IF(SETUP!$G$32=4,$E$214*'HIV-Other HPs'!BC19,IF(SETUP!$G$32=3,$E$214*'HIV-Other HPs'!BD19,IF(SETUP!$G$32=2,$E$214*'HIV-Other HPs'!BE19,IF(SETUP!$G$32=1,$E$214*'HIV-Other HPs'!BF19,0)))),0)</f>
        <v>0</v>
      </c>
      <c r="S216" s="1189">
        <f>IF(SETUP!$F$32="At delivery",IF(SETUP!$G$32=4,$E$214*('HIV-Other HPs'!BD19+'HIV-Other HPs'!BE19+'HIV-Other HPs'!BF19+'HIV-Other HPs'!BG19+'HIV-Other HPs'!BH19),IF(SETUP!$G$32=3,$E$214*('HIV-Other HPs'!BE19+'HIV-Other HPs'!BF19+'HIV-Other HPs'!BG19+'HIV-Other HPs'!BH19),IF(SETUP!$G$32=2,$E$214*('HIV-Other HPs'!BF19+'HIV-Other HPs'!BG19+'HIV-Other HPs'!BH19),IF(SETUP!$G$32=1,$E$214*('HIV-Other HPs'!BG19+'HIV-Other HPs'!BH19),0)))),0)</f>
        <v>0</v>
      </c>
      <c r="T216" s="1190">
        <f t="shared" si="32"/>
        <v>0</v>
      </c>
      <c r="U216" s="1189">
        <f t="shared" si="33"/>
        <v>0</v>
      </c>
      <c r="V216" s="1795">
        <v>7.5</v>
      </c>
      <c r="W216" s="1823"/>
      <c r="X216" s="1820"/>
    </row>
    <row r="217" spans="1:24" s="860" customFormat="1" ht="15" customHeight="1" collapsed="1" thickBot="1">
      <c r="A217" s="2899"/>
      <c r="B217" s="2900"/>
      <c r="C217" s="2973" t="s">
        <v>1795</v>
      </c>
      <c r="D217" s="2974"/>
      <c r="E217" s="1880">
        <v>0</v>
      </c>
      <c r="F217" s="1279">
        <f>IF(SETUP!$F$33="Upfront",F218,F219)</f>
        <v>0</v>
      </c>
      <c r="G217" s="1195">
        <f>IF(SETUP!$F$33="Upfront",G218,G219)</f>
        <v>0</v>
      </c>
      <c r="H217" s="1194">
        <f>IF(SETUP!$F$33="Upfront",H218,H219)</f>
        <v>0</v>
      </c>
      <c r="I217" s="1194">
        <f>IF(SETUP!$F$33="Upfront",I218,I219)</f>
        <v>0</v>
      </c>
      <c r="J217" s="1193">
        <f t="shared" si="30"/>
        <v>0</v>
      </c>
      <c r="K217" s="1194">
        <f>IF(SETUP!$F$33="Upfront",K218,K219)</f>
        <v>0</v>
      </c>
      <c r="L217" s="1194">
        <f>IF(SETUP!$F$33="Upfront",L218,L219)</f>
        <v>0</v>
      </c>
      <c r="M217" s="1194">
        <f>IF(SETUP!$F$33="Upfront",M218,M219)</f>
        <v>0</v>
      </c>
      <c r="N217" s="1194">
        <f>IF(SETUP!$F$33="Upfront",N218,N219)</f>
        <v>0</v>
      </c>
      <c r="O217" s="1191">
        <f t="shared" si="31"/>
        <v>0</v>
      </c>
      <c r="P217" s="1189">
        <f>IF(SETUP!$F$33="Upfront",P218,P219)</f>
        <v>0</v>
      </c>
      <c r="Q217" s="1189">
        <f>IF(SETUP!$F$33="Upfront",Q218,Q219)</f>
        <v>0</v>
      </c>
      <c r="R217" s="1189">
        <f>IF(SETUP!$F$33="Upfront",R218,R219)</f>
        <v>0</v>
      </c>
      <c r="S217" s="1189">
        <f>IF(SETUP!$F$33="Upfront",S218,S219)</f>
        <v>0</v>
      </c>
      <c r="T217" s="1190">
        <f t="shared" si="32"/>
        <v>0</v>
      </c>
      <c r="U217" s="1189">
        <f t="shared" si="33"/>
        <v>0</v>
      </c>
      <c r="V217" s="1795">
        <v>7.5</v>
      </c>
      <c r="W217" s="1823"/>
      <c r="X217" s="1820"/>
    </row>
    <row r="218" spans="1:24" s="860" customFormat="1" ht="15" hidden="1" customHeight="1" outlineLevel="1">
      <c r="A218" s="2899"/>
      <c r="B218" s="2900"/>
      <c r="C218" s="2889" t="s">
        <v>918</v>
      </c>
      <c r="D218" s="2890"/>
      <c r="E218" s="1880"/>
      <c r="F218" s="1279">
        <f>IF(SETUP!$F$33="Upfront",$E$217*'HIV-Other HPs'!AW20,0)</f>
        <v>0</v>
      </c>
      <c r="G218" s="1195">
        <f>IF(SETUP!$F$33="Upfront",$E$217*'HIV-Other HPs'!AX20,0)</f>
        <v>0</v>
      </c>
      <c r="H218" s="1194">
        <f>IF(SETUP!$F$33="Upfront",$E$217*'HIV-Other HPs'!AY20,0)</f>
        <v>0</v>
      </c>
      <c r="I218" s="1194">
        <f>IF(SETUP!$F$33="Upfront",$E$217*'HIV-Other HPs'!AZ20,0)</f>
        <v>0</v>
      </c>
      <c r="J218" s="1193">
        <f t="shared" si="30"/>
        <v>0</v>
      </c>
      <c r="K218" s="1194">
        <f>IF(SETUP!$F$33="Upfront",$E$217*'HIV-Other HPs'!BA20,0)</f>
        <v>0</v>
      </c>
      <c r="L218" s="1194">
        <f>IF(SETUP!$F$33="Upfront",$E$217*'HIV-Other HPs'!BB20,0)</f>
        <v>0</v>
      </c>
      <c r="M218" s="1194">
        <f>IF(SETUP!$F$33="Upfront",$E$217*'HIV-Other HPs'!BC20,0)</f>
        <v>0</v>
      </c>
      <c r="N218" s="1194">
        <f>IF(SETUP!$F$33="Upfront",$E$217*'HIV-Other HPs'!BD20,0)</f>
        <v>0</v>
      </c>
      <c r="O218" s="1191">
        <f t="shared" si="31"/>
        <v>0</v>
      </c>
      <c r="P218" s="1189">
        <f>IF(SETUP!$F$33="Upfront",$E$217*'HIV-Other HPs'!BE20,0)</f>
        <v>0</v>
      </c>
      <c r="Q218" s="1189">
        <f>IF(SETUP!$F$33="Upfront",$E$217*'HIV-Other HPs'!BF20,0)</f>
        <v>0</v>
      </c>
      <c r="R218" s="1189">
        <f>IF(SETUP!$F$33="Upfront",$E$217*'HIV-Other HPs'!BG20,0)</f>
        <v>0</v>
      </c>
      <c r="S218" s="1189">
        <f>IF(SETUP!$F$33="Upfront",$E$217*'HIV-Other HPs'!BH20,0)</f>
        <v>0</v>
      </c>
      <c r="T218" s="1190">
        <f t="shared" si="32"/>
        <v>0</v>
      </c>
      <c r="U218" s="1189">
        <f t="shared" si="33"/>
        <v>0</v>
      </c>
      <c r="V218" s="1795">
        <v>7.5</v>
      </c>
      <c r="W218" s="1823"/>
      <c r="X218" s="1820"/>
    </row>
    <row r="219" spans="1:24" s="860" customFormat="1" ht="15" hidden="1" customHeight="1" outlineLevel="1">
      <c r="A219" s="2901"/>
      <c r="B219" s="2902"/>
      <c r="C219" s="2889" t="s">
        <v>36</v>
      </c>
      <c r="D219" s="2890"/>
      <c r="E219" s="1880"/>
      <c r="F219" s="1279">
        <v>0</v>
      </c>
      <c r="G219" s="1195">
        <f>IF(SETUP!$F$33="At delivery",IF(SETUP!$G$33=1,$E$217*'HIV-Other HPs'!AW20,0),0)</f>
        <v>0</v>
      </c>
      <c r="H219" s="1194">
        <f>IF(SETUP!$F$33="At delivery",IF(SETUP!$G$33=2,$E$217*'HIV-Other HPs'!AW20,IF(SETUP!$G$33=1,$E$217*'HIV-Other HPs'!AX20,0)),0)</f>
        <v>0</v>
      </c>
      <c r="I219" s="1194">
        <f>IF(SETUP!$F$33="At delivery",IF(SETUP!$G$33=3,$E$217*'HIV-Other HPs'!AW20,IF(SETUP!$G$33=2,$E$217*'HIV-Other HPs'!AX20,IF(SETUP!$G$33=1,$E$217*'HIV-Other HPs'!AY20,0))),0)</f>
        <v>0</v>
      </c>
      <c r="J219" s="1193">
        <f t="shared" si="30"/>
        <v>0</v>
      </c>
      <c r="K219" s="1194">
        <f>IF(SETUP!$F$33="At delivery",IF(SETUP!$G$33=4,$E$217*'HIV-Other HPs'!AW20,IF(SETUP!$G$33=3,$E$217*'HIV-Other HPs'!AX20,IF(SETUP!$G$33=2,$E$217*'HIV-Other HPs'!AY20,IF(SETUP!$G$33=1,$E$217*'HIV-Other HPs'!AZ20,0)))),0)</f>
        <v>0</v>
      </c>
      <c r="L219" s="1194">
        <f>IF(SETUP!$F$33="At delivery",IF(SETUP!$G$33=4,$E$217*'HIV-Other HPs'!AX20,IF(SETUP!$G$33=3,$E$217*'HIV-Other HPs'!AY20,IF(SETUP!$G$33=2,$E$217*'HIV-Other HPs'!AZ20,IF(SETUP!$G$33=1,$E$217*'HIV-Other HPs'!BA20,0)))),0)</f>
        <v>0</v>
      </c>
      <c r="M219" s="1194">
        <f>IF(SETUP!$F$33="At delivery",IF(SETUP!$G$33=4,$E$217*'HIV-Other HPs'!AY20,IF(SETUP!$G$33=3,$E$217*'HIV-Other HPs'!AZ20,IF(SETUP!$G$33=2,$E$217*'HIV-Other HPs'!BA20,IF(SETUP!$G$33=1,$E$217*'HIV-Other HPs'!BB20,0)))),0)</f>
        <v>0</v>
      </c>
      <c r="N219" s="1194">
        <f>IF(SETUP!$F$33="At delivery",IF(SETUP!$G$33=4,$E$217*'HIV-Other HPs'!AZ20,IF(SETUP!$G$33=3,$E$217*'HIV-Other HPs'!BA20,IF(SETUP!$G$33=2,$E$217*'HIV-Other HPs'!BB20,IF(SETUP!$G$33=1,$E$217*'HIV-Other HPs'!BC20,0)))),0)</f>
        <v>0</v>
      </c>
      <c r="O219" s="1191">
        <f t="shared" si="31"/>
        <v>0</v>
      </c>
      <c r="P219" s="1189">
        <f>IF(SETUP!$F$33="At delivery",IF(SETUP!$G$33=4,$E$217*'HIV-Other HPs'!BA20,IF(SETUP!$G$33=3,$E$217*'HIV-Other HPs'!BB20,IF(SETUP!$G$33=2,$E$217*'HIV-Other HPs'!BC20,IF(SETUP!$G$33=1,$E$217*'HIV-Other HPs'!BD20,0)))),0)</f>
        <v>0</v>
      </c>
      <c r="Q219" s="1189">
        <f>IF(SETUP!$F$33="At delivery",IF(SETUP!$G$33=4,$E$217*'HIV-Other HPs'!BB20,IF(SETUP!$G$33=3,$E$217*'HIV-Other HPs'!BC20,IF(SETUP!$G$33=2,$E$217*'HIV-Other HPs'!BD20,IF(SETUP!$G$33=1,$E$217*'HIV-Other HPs'!BE20,0)))),0)</f>
        <v>0</v>
      </c>
      <c r="R219" s="1189">
        <f>IF(SETUP!$F$33="At delivery",IF(SETUP!$G$33=4,$E$217*'HIV-Other HPs'!BC20,IF(SETUP!$G$33=3,$E$217*'HIV-Other HPs'!BD20,IF(SETUP!$G$33=2,$E$217*'HIV-Other HPs'!BE20,IF(SETUP!$G$33=1,$E$217*'HIV-Other HPs'!BF20,0)))),0)</f>
        <v>0</v>
      </c>
      <c r="S219" s="1189">
        <f>IF(SETUP!$F$33="At delivery",IF(SETUP!$G$33=4,$E$217*('HIV-Other HPs'!BD20+'HIV-Other HPs'!BE20+'HIV-Other HPs'!BF20+'HIV-Other HPs'!BG20+'HIV-Other HPs'!BH20),IF(SETUP!$G$33=3,$E$217*('HIV-Other HPs'!BE20+'HIV-Other HPs'!BF20+'HIV-Other HPs'!BG20+'HIV-Other HPs'!BH20),IF(SETUP!$G$33=2,$E$217*('HIV-Other HPs'!BF20+'HIV-Other HPs'!BG20+'HIV-Other HPs'!BH20),IF(SETUP!$G$33=1,$E$217*('HIV-Other HPs'!BG20+'HIV-Other HPs'!BH20),0)))),0)</f>
        <v>0</v>
      </c>
      <c r="T219" s="1190">
        <f t="shared" si="32"/>
        <v>0</v>
      </c>
      <c r="U219" s="1189">
        <f t="shared" si="33"/>
        <v>0</v>
      </c>
      <c r="V219" s="1795">
        <v>7.5</v>
      </c>
      <c r="W219" s="1823"/>
      <c r="X219" s="1820"/>
    </row>
    <row r="220" spans="1:24" s="860" customFormat="1" ht="15" hidden="1" customHeight="1" collapsed="1">
      <c r="A220" s="2903" t="s">
        <v>569</v>
      </c>
      <c r="B220" s="2904"/>
      <c r="C220" s="2907" t="s">
        <v>570</v>
      </c>
      <c r="D220" s="2908"/>
      <c r="E220" s="1880">
        <v>0</v>
      </c>
      <c r="F220" s="1279">
        <f>IF(SETUP!$F$36="Upfront",F221,F222)</f>
        <v>0</v>
      </c>
      <c r="G220" s="1195">
        <f>IF(SETUP!$F$36="Upfront",G221,G222)</f>
        <v>0</v>
      </c>
      <c r="H220" s="1194">
        <f>IF(SETUP!$F$36="Upfront",H221,H222)</f>
        <v>0</v>
      </c>
      <c r="I220" s="1194">
        <f>IF(SETUP!$F$36="Upfront",I221,I222)</f>
        <v>0</v>
      </c>
      <c r="J220" s="1193">
        <f t="shared" si="30"/>
        <v>0</v>
      </c>
      <c r="K220" s="1194">
        <f>IF(SETUP!$F$36="Upfront",K221,K222)</f>
        <v>0</v>
      </c>
      <c r="L220" s="1194">
        <f>IF(SETUP!$F$36="Upfront",L221,L222)</f>
        <v>0</v>
      </c>
      <c r="M220" s="1194">
        <f>IF(SETUP!$F$36="Upfront",M221,M222)</f>
        <v>0</v>
      </c>
      <c r="N220" s="1194">
        <f>IF(SETUP!$F$36="Upfront",N221,N222)</f>
        <v>0</v>
      </c>
      <c r="O220" s="1191">
        <f t="shared" si="31"/>
        <v>0</v>
      </c>
      <c r="P220" s="1189">
        <f>IF(SETUP!$F$36="Upfront",P221,P222)</f>
        <v>0</v>
      </c>
      <c r="Q220" s="1189">
        <f>IF(SETUP!$F$36="Upfront",Q221,Q222)</f>
        <v>0</v>
      </c>
      <c r="R220" s="1189">
        <f>IF(SETUP!$F$36="Upfront",R221,R222)</f>
        <v>0</v>
      </c>
      <c r="S220" s="1189">
        <f>IF(SETUP!$F$36="Upfront",S221,S222)</f>
        <v>0</v>
      </c>
      <c r="T220" s="1190">
        <f t="shared" si="32"/>
        <v>0</v>
      </c>
      <c r="U220" s="1189">
        <f t="shared" si="33"/>
        <v>0</v>
      </c>
      <c r="V220" s="1795">
        <v>7.5</v>
      </c>
      <c r="W220" s="1823"/>
      <c r="X220" s="1820"/>
    </row>
    <row r="221" spans="1:24" s="860" customFormat="1" ht="15" hidden="1" customHeight="1" outlineLevel="1">
      <c r="A221" s="2905"/>
      <c r="B221" s="2906"/>
      <c r="C221" s="2889" t="s">
        <v>918</v>
      </c>
      <c r="D221" s="2890"/>
      <c r="E221" s="1880"/>
      <c r="F221" s="1279">
        <f>IF(SETUP!$F$36="Upfront",$E$220*'TB-Pharmaceuticals'!AW14,0)</f>
        <v>0</v>
      </c>
      <c r="G221" s="1189">
        <f>IF(SETUP!$F$36="Upfront",$E$220*'TB-Pharmaceuticals'!AX14,0)</f>
        <v>0</v>
      </c>
      <c r="H221" s="1189">
        <f>IF(SETUP!$F$36="Upfront",$E$220*'TB-Pharmaceuticals'!AY14,0)</f>
        <v>0</v>
      </c>
      <c r="I221" s="1189">
        <f>IF(SETUP!$F$36="Upfront",$E$220*'TB-Pharmaceuticals'!AZ14,0)</f>
        <v>0</v>
      </c>
      <c r="J221" s="1193">
        <f t="shared" si="30"/>
        <v>0</v>
      </c>
      <c r="K221" s="1189">
        <f>IF(SETUP!$F$36="Upfront",$E$220*'TB-Pharmaceuticals'!BA14,0)</f>
        <v>0</v>
      </c>
      <c r="L221" s="1189">
        <f>IF(SETUP!$F$36="Upfront",$E$220*'TB-Pharmaceuticals'!BB14,0)</f>
        <v>0</v>
      </c>
      <c r="M221" s="1189">
        <f>IF(SETUP!$F$36="Upfront",$E$220*'TB-Pharmaceuticals'!BC14,0)</f>
        <v>0</v>
      </c>
      <c r="N221" s="1189">
        <f>IF(SETUP!$F$36="Upfront",$E$220*'TB-Pharmaceuticals'!BD14,0)</f>
        <v>0</v>
      </c>
      <c r="O221" s="1191">
        <f t="shared" si="31"/>
        <v>0</v>
      </c>
      <c r="P221" s="1189">
        <f>IF(SETUP!$F$36="Upfront",$E$220*'TB-Pharmaceuticals'!BE14,0)</f>
        <v>0</v>
      </c>
      <c r="Q221" s="1189">
        <f>IF(SETUP!$F$36="Upfront",$E$220*'TB-Pharmaceuticals'!BF14,0)</f>
        <v>0</v>
      </c>
      <c r="R221" s="1189">
        <f>IF(SETUP!$F$36="Upfront",$E$220*'TB-Pharmaceuticals'!BG14,0)</f>
        <v>0</v>
      </c>
      <c r="S221" s="1189">
        <f>IF(SETUP!$F$36="Upfront",$E$220*'TB-Pharmaceuticals'!BH14,0)</f>
        <v>0</v>
      </c>
      <c r="T221" s="1190">
        <f t="shared" si="32"/>
        <v>0</v>
      </c>
      <c r="U221" s="1189">
        <f t="shared" si="33"/>
        <v>0</v>
      </c>
      <c r="V221" s="1795">
        <v>7.5</v>
      </c>
      <c r="W221" s="1823"/>
      <c r="X221" s="1820"/>
    </row>
    <row r="222" spans="1:24" s="860" customFormat="1" ht="15" hidden="1" customHeight="1" outlineLevel="1">
      <c r="A222" s="2905"/>
      <c r="B222" s="2906"/>
      <c r="C222" s="2889" t="s">
        <v>36</v>
      </c>
      <c r="D222" s="2890"/>
      <c r="E222" s="1880"/>
      <c r="F222" s="1279">
        <v>0</v>
      </c>
      <c r="G222" s="1195">
        <f>IF(SETUP!$F$36="At delivery",IF(SETUP!$G$36=1,$E$220*'TB-Pharmaceuticals'!AW14,0),0)</f>
        <v>0</v>
      </c>
      <c r="H222" s="1194">
        <f>IF(SETUP!$F$36="At delivery",IF(SETUP!$G$36=2,$E$220*'TB-Pharmaceuticals'!AW14,IF(SETUP!$G$36=1,$E$220*'TB-Pharmaceuticals'!AX14,0)),0)</f>
        <v>0</v>
      </c>
      <c r="I222" s="1194">
        <f>IF(SETUP!$F$36="At delivery",IF(SETUP!$G$36=3,$E$220*'TB-Pharmaceuticals'!AW14,IF(SETUP!$G$36=2,$E$220*'TB-Pharmaceuticals'!AX14,IF(SETUP!$G$36=1,$E$220*'TB-Pharmaceuticals'!AY14,0))),0)</f>
        <v>0</v>
      </c>
      <c r="J222" s="1193">
        <f t="shared" si="30"/>
        <v>0</v>
      </c>
      <c r="K222" s="1194">
        <f>IF(SETUP!$F$36="At delivery",IF(SETUP!$G$36=4,$E$220*'TB-Pharmaceuticals'!AW14,IF(SETUP!$G$36=3,$E$220*'TB-Pharmaceuticals'!AX14,IF(SETUP!$G$36=2,$E$220*'TB-Pharmaceuticals'!AY14,IF(SETUP!$G$36=1,$E$220*'TB-Pharmaceuticals'!AZ14,0)))),0)</f>
        <v>0</v>
      </c>
      <c r="L222" s="1194">
        <f>IF(SETUP!$F$36="At delivery",IF(SETUP!$G$36=4,$E$220*'TB-Pharmaceuticals'!AX14,IF(SETUP!$G$36=3,$E$220*'TB-Pharmaceuticals'!AY14,IF(SETUP!$G$36=2,$E$220*'TB-Pharmaceuticals'!AZ14,IF(SETUP!$G$36=1,$E$220*'TB-Pharmaceuticals'!BA14,0)))),0)</f>
        <v>0</v>
      </c>
      <c r="M222" s="1194">
        <f>IF(SETUP!$F$36="At delivery",IF(SETUP!$G$36=4,$E$220*'TB-Pharmaceuticals'!AY14,IF(SETUP!$G$36=3,$E$220*'TB-Pharmaceuticals'!AZ14,IF(SETUP!$G$36=2,$E$220*'TB-Pharmaceuticals'!BA14,IF(SETUP!$G$36=1,$E$220*'TB-Pharmaceuticals'!BB14,0)))),0)</f>
        <v>0</v>
      </c>
      <c r="N222" s="1194">
        <f>IF(SETUP!$F$36="At delivery",IF(SETUP!$G$36=4,$E$220*'TB-Pharmaceuticals'!AZ14,IF(SETUP!$G$36=3,$E$220*'TB-Pharmaceuticals'!BA14,IF(SETUP!$G$36=2,$E$220*'TB-Pharmaceuticals'!BB14,IF(SETUP!$G$36=1,$E$220*'TB-Pharmaceuticals'!BC14,0)))),0)</f>
        <v>0</v>
      </c>
      <c r="O222" s="1191">
        <f t="shared" si="31"/>
        <v>0</v>
      </c>
      <c r="P222" s="1189">
        <f>IF(SETUP!$F$36="At delivery",IF(SETUP!$G$36=4,$E$220*'TB-Pharmaceuticals'!BA14,IF(SETUP!$G$36=3,$E$220*'TB-Pharmaceuticals'!BB14,IF(SETUP!$G$36=2,$E$220*'TB-Pharmaceuticals'!BC14,IF(SETUP!$G$36=1,$E$220*'TB-Pharmaceuticals'!BD14,0)))),0)</f>
        <v>0</v>
      </c>
      <c r="Q222" s="1189">
        <f>IF(SETUP!$F$36="At delivery",IF(SETUP!$G$36=4,$E$220*'TB-Pharmaceuticals'!BB14,IF(SETUP!$G$36=3,$E$220*'TB-Pharmaceuticals'!BC14,IF(SETUP!$G$36=2,$E$220*'TB-Pharmaceuticals'!BD14,IF(SETUP!$G$36=1,$E$220*'TB-Pharmaceuticals'!BE14,0)))),0)</f>
        <v>0</v>
      </c>
      <c r="R222" s="1189">
        <f>IF(SETUP!$F$36="At delivery",IF(SETUP!$G$36=4,$E$220*'TB-Pharmaceuticals'!BC14,IF(SETUP!$G$36=3,$E$220*'TB-Pharmaceuticals'!BD14,IF(SETUP!$G$36=2,$E$220*'TB-Pharmaceuticals'!BE14,IF(SETUP!$G$36=1,$E$220*'TB-Pharmaceuticals'!BF14,0)))),0)</f>
        <v>0</v>
      </c>
      <c r="S222" s="1189">
        <f>IF(SETUP!$F$36="At delivery",IF(SETUP!$G$36=4,$E$220*('TB-Pharmaceuticals'!BD14+'TB-Pharmaceuticals'!BE14+'TB-Pharmaceuticals'!BF14+'TB-Pharmaceuticals'!BG14+'TB-Pharmaceuticals'!BH14),IF(SETUP!$G$36=3,$E$220*('TB-Pharmaceuticals'!BE14+'TB-Pharmaceuticals'!BF14+'TB-Pharmaceuticals'!BG14+'TB-Pharmaceuticals'!BH14),IF(SETUP!$G$36=2,$E$220*('TB-Pharmaceuticals'!BF14+'TB-Pharmaceuticals'!BG14+'TB-Pharmaceuticals'!BH14),IF(SETUP!$G$36=1,$E$220*('TB-Pharmaceuticals'!BG14+'TB-Pharmaceuticals'!BH14),0)))),0)</f>
        <v>0</v>
      </c>
      <c r="T222" s="1190">
        <f t="shared" si="32"/>
        <v>0</v>
      </c>
      <c r="U222" s="1189">
        <f t="shared" si="33"/>
        <v>0</v>
      </c>
      <c r="V222" s="1795">
        <v>7.5</v>
      </c>
      <c r="W222" s="1823"/>
      <c r="X222" s="1820"/>
    </row>
    <row r="223" spans="1:24" s="860" customFormat="1" ht="15" hidden="1" customHeight="1" collapsed="1">
      <c r="A223" s="2905"/>
      <c r="B223" s="2906"/>
      <c r="C223" s="2907" t="s">
        <v>571</v>
      </c>
      <c r="D223" s="2908"/>
      <c r="E223" s="1880">
        <v>0</v>
      </c>
      <c r="F223" s="1279">
        <f>IF(SETUP!$F$38="Upfront",F224,F225)</f>
        <v>0</v>
      </c>
      <c r="G223" s="1195">
        <f>IF(SETUP!$F$38="Upfront",G224,G225)</f>
        <v>0</v>
      </c>
      <c r="H223" s="1194">
        <f>IF(SETUP!$F$38="Upfront",H224,H225)</f>
        <v>0</v>
      </c>
      <c r="I223" s="1194">
        <f>IF(SETUP!$F$38="Upfront",I224,I225)</f>
        <v>0</v>
      </c>
      <c r="J223" s="1193">
        <f t="shared" si="30"/>
        <v>0</v>
      </c>
      <c r="K223" s="1194">
        <f>IF(SETUP!$F$38="Upfront",K224,K225)</f>
        <v>0</v>
      </c>
      <c r="L223" s="1194">
        <f>IF(SETUP!$F$38="Upfront",L224,L225)</f>
        <v>0</v>
      </c>
      <c r="M223" s="1194">
        <f>IF(SETUP!$F$38="Upfront",M224,M225)</f>
        <v>0</v>
      </c>
      <c r="N223" s="1194">
        <f>IF(SETUP!$F$38="Upfront",N224,N225)</f>
        <v>0</v>
      </c>
      <c r="O223" s="1191">
        <f t="shared" si="31"/>
        <v>0</v>
      </c>
      <c r="P223" s="1189">
        <f>IF(SETUP!$F$38="Upfront",P224,P225)</f>
        <v>0</v>
      </c>
      <c r="Q223" s="1189">
        <f>IF(SETUP!$F$38="Upfront",Q224,Q225)</f>
        <v>0</v>
      </c>
      <c r="R223" s="1189">
        <f>IF(SETUP!$F$38="Upfront",R224,R225)</f>
        <v>0</v>
      </c>
      <c r="S223" s="1189">
        <f>IF(SETUP!$F$38="Upfront",S224,S225)</f>
        <v>0</v>
      </c>
      <c r="T223" s="1190">
        <f t="shared" si="32"/>
        <v>0</v>
      </c>
      <c r="U223" s="1189">
        <f t="shared" si="33"/>
        <v>0</v>
      </c>
      <c r="V223" s="1795">
        <v>7.5</v>
      </c>
      <c r="W223" s="1823"/>
      <c r="X223" s="1820"/>
    </row>
    <row r="224" spans="1:24" s="860" customFormat="1" ht="15" hidden="1" customHeight="1" outlineLevel="1">
      <c r="A224" s="2905"/>
      <c r="B224" s="2906"/>
      <c r="C224" s="2889" t="s">
        <v>918</v>
      </c>
      <c r="D224" s="2890"/>
      <c r="E224" s="1880"/>
      <c r="F224" s="1279">
        <f>IF(SETUP!$F$38="Upfront",$E$223*'TB-Pharmaceuticals'!AW15,0)</f>
        <v>0</v>
      </c>
      <c r="G224" s="1195">
        <f>IF(SETUP!$F$38="Upfront",$E$223*'TB-Pharmaceuticals'!AX15,0)</f>
        <v>0</v>
      </c>
      <c r="H224" s="1194">
        <f>IF(SETUP!$F$38="Upfront",$E$223*'TB-Pharmaceuticals'!AY15,0)</f>
        <v>0</v>
      </c>
      <c r="I224" s="1194">
        <f>IF(SETUP!$F$38="Upfront",$E$223*'TB-Pharmaceuticals'!AZ15,0)</f>
        <v>0</v>
      </c>
      <c r="J224" s="1193">
        <f t="shared" si="30"/>
        <v>0</v>
      </c>
      <c r="K224" s="1194">
        <f>IF(SETUP!$F$38="Upfront",$E$223*'TB-Pharmaceuticals'!BA15,0)</f>
        <v>0</v>
      </c>
      <c r="L224" s="1194">
        <f>IF(SETUP!$F$38="Upfront",$E$223*'TB-Pharmaceuticals'!BB15,0)</f>
        <v>0</v>
      </c>
      <c r="M224" s="1194">
        <f>IF(SETUP!$F$38="Upfront",$E$223*'TB-Pharmaceuticals'!BC15,0)</f>
        <v>0</v>
      </c>
      <c r="N224" s="1194">
        <f>IF(SETUP!$F$38="Upfront",$E$223*'TB-Pharmaceuticals'!BD15,0)</f>
        <v>0</v>
      </c>
      <c r="O224" s="1191">
        <f t="shared" si="31"/>
        <v>0</v>
      </c>
      <c r="P224" s="1189">
        <f>IF(SETUP!$F$38="Upfront",$E$223*'TB-Pharmaceuticals'!BE15,0)</f>
        <v>0</v>
      </c>
      <c r="Q224" s="1189">
        <f>IF(SETUP!$F$38="Upfront",$E$223*'TB-Pharmaceuticals'!BF15,0)</f>
        <v>0</v>
      </c>
      <c r="R224" s="1189">
        <f>IF(SETUP!$F$38="Upfront",$E$223*'TB-Pharmaceuticals'!BG15,0)</f>
        <v>0</v>
      </c>
      <c r="S224" s="1189">
        <f>IF(SETUP!$F$38="Upfront",$E$223*'TB-Pharmaceuticals'!BH15,0)</f>
        <v>0</v>
      </c>
      <c r="T224" s="1190">
        <f t="shared" si="32"/>
        <v>0</v>
      </c>
      <c r="U224" s="1189">
        <f t="shared" si="33"/>
        <v>0</v>
      </c>
      <c r="V224" s="1795">
        <v>7.5</v>
      </c>
      <c r="W224" s="1823"/>
      <c r="X224" s="1820"/>
    </row>
    <row r="225" spans="1:24" s="860" customFormat="1" ht="15" hidden="1" customHeight="1" outlineLevel="1">
      <c r="A225" s="2905"/>
      <c r="B225" s="2906"/>
      <c r="C225" s="2889" t="s">
        <v>36</v>
      </c>
      <c r="D225" s="2890"/>
      <c r="E225" s="1880"/>
      <c r="F225" s="1279">
        <v>0</v>
      </c>
      <c r="G225" s="1195">
        <f>IF(SETUP!$F$38="At delivery",IF(SETUP!$G$38=1,$E$223*'TB-Pharmaceuticals'!AW15,0),0)</f>
        <v>0</v>
      </c>
      <c r="H225" s="1194">
        <f>IF(SETUP!$F$38="At delivery",IF(SETUP!$G$38=2,$E$223*'TB-Pharmaceuticals'!AW15,IF(SETUP!$G$38=1,$E$223*'TB-Pharmaceuticals'!AX15,0)),0)</f>
        <v>0</v>
      </c>
      <c r="I225" s="1194">
        <f>IF(SETUP!$F$38="At delivery",IF(SETUP!$G$38=3,$E$223*'TB-Pharmaceuticals'!AW15,IF(SETUP!$G$38=2,$E$223*'TB-Pharmaceuticals'!AX15,IF(SETUP!$G$38=1,$E$223*'TB-Pharmaceuticals'!AY15,0))),0)</f>
        <v>0</v>
      </c>
      <c r="J225" s="1193">
        <f t="shared" si="30"/>
        <v>0</v>
      </c>
      <c r="K225" s="1194">
        <f>IF(SETUP!$F$38="At delivery",IF(SETUP!$G$38=4,$E$223*'TB-Pharmaceuticals'!AW15,IF(SETUP!$G$38=3,$E$223*'TB-Pharmaceuticals'!AX15,IF(SETUP!$G$38=2,$E$223*'TB-Pharmaceuticals'!AY15,IF(SETUP!$G$38=1,$E$223*'TB-Pharmaceuticals'!AZ15,0)))),0)</f>
        <v>0</v>
      </c>
      <c r="L225" s="1194">
        <f>IF(SETUP!$F$38="At delivery",IF(SETUP!$G$38=4,$E$223*'TB-Pharmaceuticals'!AX15,IF(SETUP!$G$38=3,$E$223*'TB-Pharmaceuticals'!AY15,IF(SETUP!$G$38=2,$E$223*'TB-Pharmaceuticals'!AZ15,IF(SETUP!$G$38=1,$E$223*'TB-Pharmaceuticals'!BA15,0)))),0)</f>
        <v>0</v>
      </c>
      <c r="M225" s="1194">
        <f>IF(SETUP!$F$38="At delivery",IF(SETUP!$G$38=4,$E$223*'TB-Pharmaceuticals'!AY15,IF(SETUP!$G$38=3,$E$223*'TB-Pharmaceuticals'!AZ15,IF(SETUP!$G$38=2,$E$223*'TB-Pharmaceuticals'!BA15,IF(SETUP!$G$38=1,$E$223*'TB-Pharmaceuticals'!BB15,0)))),0)</f>
        <v>0</v>
      </c>
      <c r="N225" s="1194">
        <f>IF(SETUP!$F$38="At delivery",IF(SETUP!$G$38=4,$E$223*'TB-Pharmaceuticals'!AZ15,IF(SETUP!$G$38=3,$E$223*'TB-Pharmaceuticals'!BA15,IF(SETUP!$G$38=2,$E$223*'TB-Pharmaceuticals'!BB15,IF(SETUP!$G$38=1,$E$223*'TB-Pharmaceuticals'!BC15,0)))),0)</f>
        <v>0</v>
      </c>
      <c r="O225" s="1191">
        <f t="shared" si="31"/>
        <v>0</v>
      </c>
      <c r="P225" s="1189">
        <f>IF(SETUP!$F$38="At delivery",IF(SETUP!$G$38=4,$E$223*'TB-Pharmaceuticals'!BA15,IF(SETUP!$G$38=3,$E$223*'TB-Pharmaceuticals'!BB15,IF(SETUP!$G$38=2,$E$223*'TB-Pharmaceuticals'!BC15,IF(SETUP!$G$38=1,$E$223*'TB-Pharmaceuticals'!BD15,0)))),0)</f>
        <v>0</v>
      </c>
      <c r="Q225" s="1189">
        <f>IF(SETUP!$F$38="At delivery",IF(SETUP!$G$38=4,$E$223*'TB-Pharmaceuticals'!BB15,IF(SETUP!$G$38=3,$E$223*'TB-Pharmaceuticals'!BC15,IF(SETUP!$G$38=2,$E$223*'TB-Pharmaceuticals'!BD15,IF(SETUP!$G$38=1,$E$223*'TB-Pharmaceuticals'!BE15,0)))),0)</f>
        <v>0</v>
      </c>
      <c r="R225" s="1189">
        <f>IF(SETUP!$F$38="At delivery",IF(SETUP!$G$38=4,$E$223*'TB-Pharmaceuticals'!BC15,IF(SETUP!$G$38=3,$E$223*'TB-Pharmaceuticals'!BD15,IF(SETUP!$G$38=2,$E$223*'TB-Pharmaceuticals'!BE15,IF(SETUP!$G$38=1,$E$223*'TB-Pharmaceuticals'!BF15,0)))),0)</f>
        <v>0</v>
      </c>
      <c r="S225" s="1189">
        <f>IF(SETUP!$F$38="At delivery",IF(SETUP!$G$38=4,$E$223*('TB-Pharmaceuticals'!BD15+'TB-Pharmaceuticals'!BE15+'TB-Pharmaceuticals'!BF15+'TB-Pharmaceuticals'!BG15+'TB-Pharmaceuticals'!BH15),IF(SETUP!$G$38=3,$E$223*('TB-Pharmaceuticals'!BE15+'TB-Pharmaceuticals'!BF15+'TB-Pharmaceuticals'!BG15+'TB-Pharmaceuticals'!BH15),IF(SETUP!$G$38=2,$E$223*('TB-Pharmaceuticals'!BF15+'TB-Pharmaceuticals'!BG15+'TB-Pharmaceuticals'!BH15),IF(SETUP!$G$38=1,$E$223*('TB-Pharmaceuticals'!BG15+'TB-Pharmaceuticals'!BH15),0)))),0)</f>
        <v>0</v>
      </c>
      <c r="T225" s="1190">
        <f t="shared" si="32"/>
        <v>0</v>
      </c>
      <c r="U225" s="1189">
        <f t="shared" si="33"/>
        <v>0</v>
      </c>
      <c r="V225" s="1795">
        <v>7.5</v>
      </c>
      <c r="W225" s="1823"/>
      <c r="X225" s="1820"/>
    </row>
    <row r="226" spans="1:24" s="860" customFormat="1" ht="15" hidden="1" customHeight="1" collapsed="1">
      <c r="A226" s="2905"/>
      <c r="B226" s="2906"/>
      <c r="C226" s="2907" t="s">
        <v>1792</v>
      </c>
      <c r="D226" s="2908"/>
      <c r="E226" s="1880">
        <v>0</v>
      </c>
      <c r="F226" s="1279">
        <f>IF(SETUP!$F$39="Upfront",F227,F228)</f>
        <v>0</v>
      </c>
      <c r="G226" s="1195">
        <f>IF(SETUP!$F$39="Upfront",G227,G228)</f>
        <v>0</v>
      </c>
      <c r="H226" s="1194">
        <f>IF(SETUP!$F$39="Upfront",H227,H228)</f>
        <v>0</v>
      </c>
      <c r="I226" s="1194">
        <f>IF(SETUP!$F$39="Upfront",I227,I228)</f>
        <v>0</v>
      </c>
      <c r="J226" s="1193">
        <f t="shared" si="30"/>
        <v>0</v>
      </c>
      <c r="K226" s="1194">
        <f>IF(SETUP!$F$39="Upfront",K227,K228)</f>
        <v>0</v>
      </c>
      <c r="L226" s="1194">
        <f>IF(SETUP!$F$39="Upfront",L227,L228)</f>
        <v>0</v>
      </c>
      <c r="M226" s="1194">
        <f>IF(SETUP!$F$39="Upfront",M227,M228)</f>
        <v>0</v>
      </c>
      <c r="N226" s="1194">
        <f>IF(SETUP!$F$39="Upfront",N227,N228)</f>
        <v>0</v>
      </c>
      <c r="O226" s="1191">
        <f t="shared" si="31"/>
        <v>0</v>
      </c>
      <c r="P226" s="1189">
        <f>IF(SETUP!$F$39="Upfront",P227,P228)</f>
        <v>0</v>
      </c>
      <c r="Q226" s="1189">
        <f>IF(SETUP!$F$39="Upfront",Q227,Q228)</f>
        <v>0</v>
      </c>
      <c r="R226" s="1189">
        <f>IF(SETUP!$F$39="Upfront",R227,R228)</f>
        <v>0</v>
      </c>
      <c r="S226" s="1189">
        <f>IF(SETUP!$F$39="Upfront",S227,S228)</f>
        <v>0</v>
      </c>
      <c r="T226" s="1190">
        <f t="shared" si="32"/>
        <v>0</v>
      </c>
      <c r="U226" s="1189">
        <f t="shared" si="33"/>
        <v>0</v>
      </c>
      <c r="V226" s="1795">
        <v>7.5</v>
      </c>
      <c r="W226" s="1823"/>
      <c r="X226" s="1820"/>
    </row>
    <row r="227" spans="1:24" s="860" customFormat="1" ht="15" hidden="1" customHeight="1" outlineLevel="1">
      <c r="A227" s="2905"/>
      <c r="B227" s="2906"/>
      <c r="C227" s="2889" t="s">
        <v>918</v>
      </c>
      <c r="D227" s="2890"/>
      <c r="E227" s="1880"/>
      <c r="F227" s="1279">
        <f>IF(SETUP!$F$39="Upfront",$E$226*'TB-Pharmaceuticals'!AW16,0)</f>
        <v>0</v>
      </c>
      <c r="G227" s="1195">
        <f>IF(SETUP!$F$39="Upfront",$E$226*'TB-Pharmaceuticals'!AX16,0)</f>
        <v>0</v>
      </c>
      <c r="H227" s="1194">
        <f>IF(SETUP!$F$39="Upfront",$E$226*'TB-Pharmaceuticals'!AY16,0)</f>
        <v>0</v>
      </c>
      <c r="I227" s="1194">
        <f>IF(SETUP!$F$39="Upfront",$E$226*'TB-Pharmaceuticals'!AZ16,0)</f>
        <v>0</v>
      </c>
      <c r="J227" s="1193">
        <f t="shared" si="30"/>
        <v>0</v>
      </c>
      <c r="K227" s="1194">
        <f>IF(SETUP!$F$39="Upfront",$E$226*'TB-Pharmaceuticals'!BA16,0)</f>
        <v>0</v>
      </c>
      <c r="L227" s="1194">
        <f>IF(SETUP!$F$39="Upfront",$E$226*'TB-Pharmaceuticals'!BB16,0)</f>
        <v>0</v>
      </c>
      <c r="M227" s="1194">
        <f>IF(SETUP!$F$39="Upfront",$E$226*'TB-Pharmaceuticals'!BC16,0)</f>
        <v>0</v>
      </c>
      <c r="N227" s="1194">
        <f>IF(SETUP!$F$39="Upfront",$E$226*'TB-Pharmaceuticals'!BD16,0)</f>
        <v>0</v>
      </c>
      <c r="O227" s="1191">
        <f t="shared" si="31"/>
        <v>0</v>
      </c>
      <c r="P227" s="1189">
        <f>IF(SETUP!$F$39="Upfront",$E$226*'TB-Pharmaceuticals'!BE16,0)</f>
        <v>0</v>
      </c>
      <c r="Q227" s="1189">
        <f>IF(SETUP!$F$39="Upfront",$E$226*'TB-Pharmaceuticals'!BF16,0)</f>
        <v>0</v>
      </c>
      <c r="R227" s="1189">
        <f>IF(SETUP!$F$39="Upfront",$E$226*'TB-Pharmaceuticals'!BG16,0)</f>
        <v>0</v>
      </c>
      <c r="S227" s="1189">
        <f>IF(SETUP!$F$39="Upfront",$E$226*'TB-Pharmaceuticals'!BH16,0)</f>
        <v>0</v>
      </c>
      <c r="T227" s="1190">
        <f t="shared" si="32"/>
        <v>0</v>
      </c>
      <c r="U227" s="1189">
        <f t="shared" si="33"/>
        <v>0</v>
      </c>
      <c r="V227" s="1795">
        <v>7.5</v>
      </c>
      <c r="W227" s="1823"/>
      <c r="X227" s="1820"/>
    </row>
    <row r="228" spans="1:24" s="860" customFormat="1" ht="15" hidden="1" customHeight="1" outlineLevel="1">
      <c r="A228" s="2905"/>
      <c r="B228" s="2906"/>
      <c r="C228" s="2889" t="s">
        <v>36</v>
      </c>
      <c r="D228" s="2890"/>
      <c r="E228" s="1880"/>
      <c r="F228" s="1279">
        <v>0</v>
      </c>
      <c r="G228" s="1195">
        <f>IF(SETUP!$F$39="At delivery",IF(SETUP!$G$39=1,$E$226*'TB-Pharmaceuticals'!AW16,0),0)</f>
        <v>0</v>
      </c>
      <c r="H228" s="1194">
        <f>IF(SETUP!$F$39="At delivery",IF(SETUP!$G$39=2,$E$226*'TB-Pharmaceuticals'!AW16,IF(SETUP!$G$39=1,$E$226*'TB-Pharmaceuticals'!AX16,0)),0)</f>
        <v>0</v>
      </c>
      <c r="I228" s="1194">
        <f>IF(SETUP!$F$39="At delivery",IF(SETUP!$G$39=3,$E$226*'TB-Pharmaceuticals'!AW16,IF(SETUP!$G$39=2,$E$226*'TB-Pharmaceuticals'!AX16,IF(SETUP!$G$39=1,$E$226*'TB-Pharmaceuticals'!AY16,0))),0)</f>
        <v>0</v>
      </c>
      <c r="J228" s="1193">
        <f t="shared" si="30"/>
        <v>0</v>
      </c>
      <c r="K228" s="1194">
        <f>IF(SETUP!$F$39="At delivery",IF(SETUP!$G$39=4,$E$226*'TB-Pharmaceuticals'!AW16,IF(SETUP!$G$39=3,$E$226*'TB-Pharmaceuticals'!AX16,IF(SETUP!$G$39=2,$E$226*'TB-Pharmaceuticals'!AY16,IF(SETUP!$G$39=1,$E$226*'TB-Pharmaceuticals'!AZ16,0)))),0)</f>
        <v>0</v>
      </c>
      <c r="L228" s="1194">
        <f>IF(SETUP!$F$39="At delivery",IF(SETUP!$G$39=4,$E$226*'TB-Pharmaceuticals'!AX16,IF(SETUP!$G$39=3,$E$226*'TB-Pharmaceuticals'!AY16,IF(SETUP!$G$39=2,$E$226*'TB-Pharmaceuticals'!AZ16,IF(SETUP!$G$39=1,$E$226*'TB-Pharmaceuticals'!BA16,0)))),0)</f>
        <v>0</v>
      </c>
      <c r="M228" s="1194">
        <f>IF(SETUP!$F$39="At delivery",IF(SETUP!$G$39=4,$E$226*'TB-Pharmaceuticals'!AY16,IF(SETUP!$G$39=3,$E$226*'TB-Pharmaceuticals'!AZ16,IF(SETUP!$G$39=2,$E$226*'TB-Pharmaceuticals'!BA16,IF(SETUP!$G$39=1,$E$226*'TB-Pharmaceuticals'!BB16,0)))),0)</f>
        <v>0</v>
      </c>
      <c r="N228" s="1194">
        <f>IF(SETUP!$F$39="At delivery",IF(SETUP!$G$39=4,$E$226*'TB-Pharmaceuticals'!AZ16,IF(SETUP!$G$39=3,$E$226*'TB-Pharmaceuticals'!BA16,IF(SETUP!$G$39=2,$E$226*'TB-Pharmaceuticals'!BB16,IF(SETUP!$G$39=1,$E$226*'TB-Pharmaceuticals'!BC16,0)))),0)</f>
        <v>0</v>
      </c>
      <c r="O228" s="1191">
        <f t="shared" si="31"/>
        <v>0</v>
      </c>
      <c r="P228" s="1189">
        <f>IF(SETUP!$F$39="At delivery",IF(SETUP!$G$39=4,$E$226*'TB-Pharmaceuticals'!BA16,IF(SETUP!$G$39=3,$E$226*'TB-Pharmaceuticals'!BB16,IF(SETUP!$G$39=2,$E$226*'TB-Pharmaceuticals'!BC16,IF(SETUP!$G$39=1,$E$226*'TB-Pharmaceuticals'!BD16,0)))),0)</f>
        <v>0</v>
      </c>
      <c r="Q228" s="1189">
        <f>IF(SETUP!$F$39="At delivery",IF(SETUP!$G$39=4,$E$226*'TB-Pharmaceuticals'!BB16,IF(SETUP!$G$39=3,$E$226*'TB-Pharmaceuticals'!BC16,IF(SETUP!$G$39=2,$E$226*'TB-Pharmaceuticals'!BD16,IF(SETUP!$G$39=1,$E$226*'TB-Pharmaceuticals'!BE16,0)))),0)</f>
        <v>0</v>
      </c>
      <c r="R228" s="1189">
        <f>IF(SETUP!$F$39="At delivery",IF(SETUP!$G$39=4,$E$226*'TB-Pharmaceuticals'!BC16,IF(SETUP!$G$39=3,$E$226*'TB-Pharmaceuticals'!BD16,IF(SETUP!$G$39=2,$E$226*'TB-Pharmaceuticals'!BE16,IF(SETUP!$G$39=1,$E$226*'TB-Pharmaceuticals'!BF16,0)))),0)</f>
        <v>0</v>
      </c>
      <c r="S228" s="1189">
        <f>IF(SETUP!$F$39="At delivery",IF(SETUP!$G$39=4,$E$226*('TB-Pharmaceuticals'!BD16+'TB-Pharmaceuticals'!BE16+'TB-Pharmaceuticals'!BF16+'TB-Pharmaceuticals'!BG16+'TB-Pharmaceuticals'!BH16),IF(SETUP!$G$39=3,$E$226*('TB-Pharmaceuticals'!BE16+'TB-Pharmaceuticals'!BF16+'TB-Pharmaceuticals'!BG16+'TB-Pharmaceuticals'!BH16),IF(SETUP!$G$39=2,$E$226*('TB-Pharmaceuticals'!BF16+'TB-Pharmaceuticals'!BG16+'TB-Pharmaceuticals'!BH16),IF(SETUP!$G$39=1,$E$226*('TB-Pharmaceuticals'!BG16+'TB-Pharmaceuticals'!BH16),0)))),0)</f>
        <v>0</v>
      </c>
      <c r="T228" s="1190">
        <f t="shared" si="32"/>
        <v>0</v>
      </c>
      <c r="U228" s="1189">
        <f t="shared" si="33"/>
        <v>0</v>
      </c>
      <c r="V228" s="1795">
        <v>7.5</v>
      </c>
      <c r="W228" s="1823"/>
      <c r="X228" s="1820"/>
    </row>
    <row r="229" spans="1:24" s="860" customFormat="1" ht="15" hidden="1" customHeight="1" collapsed="1">
      <c r="A229" s="2905" t="s">
        <v>572</v>
      </c>
      <c r="B229" s="2906"/>
      <c r="C229" s="2907" t="s">
        <v>311</v>
      </c>
      <c r="D229" s="2908"/>
      <c r="E229" s="1880">
        <v>0</v>
      </c>
      <c r="F229" s="1279">
        <f>IF(SETUP!$F$40="Upfront",F230,F231)</f>
        <v>0</v>
      </c>
      <c r="G229" s="1195">
        <f>IF(SETUP!$F$40="Upfront",G230,G231)</f>
        <v>0</v>
      </c>
      <c r="H229" s="1194">
        <f>IF(SETUP!$F$40="Upfront",H230,H231)</f>
        <v>0</v>
      </c>
      <c r="I229" s="1194">
        <f>IF(SETUP!$F$40="Upfront",I230,I231)</f>
        <v>0</v>
      </c>
      <c r="J229" s="1193">
        <f t="shared" si="30"/>
        <v>0</v>
      </c>
      <c r="K229" s="1194">
        <f>IF(SETUP!$F$40="Upfront",K230,K231)</f>
        <v>0</v>
      </c>
      <c r="L229" s="1194">
        <f>IF(SETUP!$F$40="Upfront",L230,L231)</f>
        <v>0</v>
      </c>
      <c r="M229" s="1194">
        <f>IF(SETUP!$F$40="Upfront",M230,M231)</f>
        <v>0</v>
      </c>
      <c r="N229" s="1194">
        <f>IF(SETUP!$F$40="Upfront",N230,N231)</f>
        <v>0</v>
      </c>
      <c r="O229" s="1191">
        <f t="shared" si="31"/>
        <v>0</v>
      </c>
      <c r="P229" s="1189">
        <f>IF(SETUP!$F$40="Upfront",P230,P231)</f>
        <v>0</v>
      </c>
      <c r="Q229" s="1189">
        <f>IF(SETUP!$F$40="Upfront",Q230,Q231)</f>
        <v>0</v>
      </c>
      <c r="R229" s="1189">
        <f>IF(SETUP!$F$40="Upfront",R230,R231)</f>
        <v>0</v>
      </c>
      <c r="S229" s="1189">
        <f>IF(SETUP!$F$40="Upfront",S230,S231)</f>
        <v>0</v>
      </c>
      <c r="T229" s="1190">
        <f t="shared" si="32"/>
        <v>0</v>
      </c>
      <c r="U229" s="1189">
        <f t="shared" si="33"/>
        <v>0</v>
      </c>
      <c r="V229" s="1795">
        <v>7.5</v>
      </c>
      <c r="W229" s="1823"/>
      <c r="X229" s="1820"/>
    </row>
    <row r="230" spans="1:24" s="860" customFormat="1" ht="15" hidden="1" customHeight="1" outlineLevel="1">
      <c r="A230" s="2905"/>
      <c r="B230" s="2906"/>
      <c r="C230" s="2889" t="s">
        <v>918</v>
      </c>
      <c r="D230" s="2890"/>
      <c r="E230" s="1880"/>
      <c r="F230" s="1279">
        <f>IF(SETUP!$F$40="Upfront",$E$229*'TB-EQUIPMENT &amp; OTHER HPs'!AW14,0)</f>
        <v>0</v>
      </c>
      <c r="G230" s="1195">
        <f>IF(SETUP!$F$40="Upfront",$E$229*'TB-EQUIPMENT &amp; OTHER HPs'!AX14,0)</f>
        <v>0</v>
      </c>
      <c r="H230" s="1194">
        <f>IF(SETUP!$F$40="Upfront",$E$229*'TB-EQUIPMENT &amp; OTHER HPs'!AY14,0)</f>
        <v>0</v>
      </c>
      <c r="I230" s="1194">
        <f>IF(SETUP!$F$40="Upfront",$E$229*'TB-EQUIPMENT &amp; OTHER HPs'!AZ14,0)</f>
        <v>0</v>
      </c>
      <c r="J230" s="1193">
        <f t="shared" si="30"/>
        <v>0</v>
      </c>
      <c r="K230" s="1194">
        <f>IF(SETUP!$F$40="Upfront",$E$229*'TB-EQUIPMENT &amp; OTHER HPs'!BA14,0)</f>
        <v>0</v>
      </c>
      <c r="L230" s="1194">
        <f>IF(SETUP!$F$40="Upfront",$E$229*'TB-EQUIPMENT &amp; OTHER HPs'!BB14,0)</f>
        <v>0</v>
      </c>
      <c r="M230" s="1194">
        <f>IF(SETUP!$F$40="Upfront",$E$229*'TB-EQUIPMENT &amp; OTHER HPs'!BC14,0)</f>
        <v>0</v>
      </c>
      <c r="N230" s="1194">
        <f>IF(SETUP!$F$40="Upfront",$E$229*'TB-EQUIPMENT &amp; OTHER HPs'!BD14,0)</f>
        <v>0</v>
      </c>
      <c r="O230" s="1191">
        <f t="shared" si="31"/>
        <v>0</v>
      </c>
      <c r="P230" s="1189">
        <f>IF(SETUP!$F$40="Upfront",$E$229*'TB-EQUIPMENT &amp; OTHER HPs'!BE14,0)</f>
        <v>0</v>
      </c>
      <c r="Q230" s="1189">
        <f>IF(SETUP!$F$40="Upfront",$E$229*'TB-EQUIPMENT &amp; OTHER HPs'!BF14,0)</f>
        <v>0</v>
      </c>
      <c r="R230" s="1189">
        <f>IF(SETUP!$F$40="Upfront",$E$229*'TB-EQUIPMENT &amp; OTHER HPs'!BG14,0)</f>
        <v>0</v>
      </c>
      <c r="S230" s="1189">
        <f>IF(SETUP!$F$40="Upfront",$E$229*'TB-EQUIPMENT &amp; OTHER HPs'!BH14,0)</f>
        <v>0</v>
      </c>
      <c r="T230" s="1190">
        <f t="shared" si="32"/>
        <v>0</v>
      </c>
      <c r="U230" s="1189">
        <f t="shared" si="33"/>
        <v>0</v>
      </c>
      <c r="V230" s="1795">
        <v>7.5</v>
      </c>
      <c r="W230" s="1823"/>
      <c r="X230" s="1820"/>
    </row>
    <row r="231" spans="1:24" s="860" customFormat="1" ht="15" hidden="1" customHeight="1" outlineLevel="1">
      <c r="A231" s="2905"/>
      <c r="B231" s="2906"/>
      <c r="C231" s="2889" t="s">
        <v>36</v>
      </c>
      <c r="D231" s="2890"/>
      <c r="E231" s="1880"/>
      <c r="F231" s="1279">
        <v>0</v>
      </c>
      <c r="G231" s="1195">
        <f>IF(SETUP!$F$40="At delivery",IF(SETUP!$G$40=1,$E$229*'TB-EQUIPMENT &amp; OTHER HPs'!AW14,0),0)</f>
        <v>0</v>
      </c>
      <c r="H231" s="1194">
        <f>IF(SETUP!$F$40="At delivery",IF(SETUP!$G$40=2,$E$229*'TB-EQUIPMENT &amp; OTHER HPs'!AW14,IF(SETUP!$G$40=1,$E$229*'TB-EQUIPMENT &amp; OTHER HPs'!AX14,0)),0)</f>
        <v>0</v>
      </c>
      <c r="I231" s="1194">
        <f>IF(SETUP!$F$40="At delivery",IF(SETUP!$G$40=3,$E$229*'TB-EQUIPMENT &amp; OTHER HPs'!AW14,IF(SETUP!$G$40=2,$E$229*'TB-EQUIPMENT &amp; OTHER HPs'!AX14,IF(SETUP!$G$40=1,$E$229*'TB-EQUIPMENT &amp; OTHER HPs'!AY14,0))),0)</f>
        <v>0</v>
      </c>
      <c r="J231" s="1193">
        <f t="shared" si="30"/>
        <v>0</v>
      </c>
      <c r="K231" s="1194">
        <f>IF(SETUP!$F$40="At delivery",IF(SETUP!$G$40=4,$E$229*'TB-EQUIPMENT &amp; OTHER HPs'!AW14,IF(SETUP!$G$40=3,$E$229*'TB-EQUIPMENT &amp; OTHER HPs'!AX14,IF(SETUP!$G$40=2,$E$229*'TB-EQUIPMENT &amp; OTHER HPs'!AY14,IF(SETUP!$G$40=1,$E$229*'TB-EQUIPMENT &amp; OTHER HPs'!AZ14,0)))),0)</f>
        <v>0</v>
      </c>
      <c r="L231" s="1194">
        <f>IF(SETUP!$F$40="At delivery",IF(SETUP!$G$40=4,$E$229*'TB-EQUIPMENT &amp; OTHER HPs'!AX14,IF(SETUP!$G$40=3,$E$229*'TB-EQUIPMENT &amp; OTHER HPs'!AY14,IF(SETUP!$G$40=2,$E$229*'TB-EQUIPMENT &amp; OTHER HPs'!AZ14,IF(SETUP!$G$40=1,$E$229*'TB-EQUIPMENT &amp; OTHER HPs'!BA14,0)))),0)</f>
        <v>0</v>
      </c>
      <c r="M231" s="1194">
        <f>IF(SETUP!$F$40="At delivery",IF(SETUP!$G$40=4,$E$229*'TB-EQUIPMENT &amp; OTHER HPs'!AY14,IF(SETUP!$G$40=3,$E$229*'TB-EQUIPMENT &amp; OTHER HPs'!AZ14,IF(SETUP!$G$40=2,$E$229*'TB-EQUIPMENT &amp; OTHER HPs'!BA14,IF(SETUP!$G$40=1,$E$229*'TB-EQUIPMENT &amp; OTHER HPs'!BB14,0)))),0)</f>
        <v>0</v>
      </c>
      <c r="N231" s="1194">
        <f>IF(SETUP!$F$40="At delivery",IF(SETUP!$G$40=4,$E$229*'TB-EQUIPMENT &amp; OTHER HPs'!AZ14,IF(SETUP!$G$40=3,$E$229*'TB-EQUIPMENT &amp; OTHER HPs'!BA14,IF(SETUP!$G$40=2,$E$229*'TB-EQUIPMENT &amp; OTHER HPs'!BB14,IF(SETUP!$G$40=1,$E$229*'TB-EQUIPMENT &amp; OTHER HPs'!BC14,0)))),0)</f>
        <v>0</v>
      </c>
      <c r="O231" s="1191">
        <f t="shared" si="31"/>
        <v>0</v>
      </c>
      <c r="P231" s="1189">
        <f>IF(SETUP!$F$40="At delivery",IF(SETUP!$G$40=4,$E$229*'TB-EQUIPMENT &amp; OTHER HPs'!BA14,IF(SETUP!$G$40=3,$E$229*'TB-EQUIPMENT &amp; OTHER HPs'!BB14,IF(SETUP!$G$40=2,$E$229*'TB-EQUIPMENT &amp; OTHER HPs'!BC14,IF(SETUP!$G$40=1,$E$229*'TB-EQUIPMENT &amp; OTHER HPs'!BD14,0)))),0)</f>
        <v>0</v>
      </c>
      <c r="Q231" s="1189">
        <f>IF(SETUP!$F$40="At delivery",IF(SETUP!$G$40=4,$E$229*'TB-EQUIPMENT &amp; OTHER HPs'!BB14,IF(SETUP!$G$40=3,$E$229*'TB-EQUIPMENT &amp; OTHER HPs'!BC14,IF(SETUP!$G$40=2,$E$229*'TB-EQUIPMENT &amp; OTHER HPs'!BD14,IF(SETUP!$G$40=1,$E$229*'TB-EQUIPMENT &amp; OTHER HPs'!BE14,0)))),0)</f>
        <v>0</v>
      </c>
      <c r="R231" s="1189">
        <f>IF(SETUP!$F$40="At delivery",IF(SETUP!$G$40=4,$E$229*'TB-EQUIPMENT &amp; OTHER HPs'!BC14,IF(SETUP!$G$40=3,$E$229*'TB-EQUIPMENT &amp; OTHER HPs'!BD14,IF(SETUP!$G$40=2,$E$229*'TB-EQUIPMENT &amp; OTHER HPs'!BE14,IF(SETUP!$G$40=1,$E$229*'TB-EQUIPMENT &amp; OTHER HPs'!BF14,0)))),0)</f>
        <v>0</v>
      </c>
      <c r="S231" s="1189">
        <f>IF(SETUP!$F$40="At delivery",IF(SETUP!$G$40=4,$E$229*('TB-EQUIPMENT &amp; OTHER HPs'!BD14+'TB-EQUIPMENT &amp; OTHER HPs'!BE14+'TB-EQUIPMENT &amp; OTHER HPs'!BF14+'TB-EQUIPMENT &amp; OTHER HPs'!BG14+'TB-EQUIPMENT &amp; OTHER HPs'!BH14),IF(SETUP!$G$40=3,$E$229*('TB-EQUIPMENT &amp; OTHER HPs'!BE14+'TB-EQUIPMENT &amp; OTHER HPs'!BF14+'TB-EQUIPMENT &amp; OTHER HPs'!BG14+'TB-EQUIPMENT &amp; OTHER HPs'!BH14),IF(SETUP!$G$40=2,$E$229*('TB-EQUIPMENT &amp; OTHER HPs'!BF14+'TB-EQUIPMENT &amp; OTHER HPs'!BG14+'TB-EQUIPMENT &amp; OTHER HPs'!BH14),IF(SETUP!$G$40=1,$E$229*('TB-EQUIPMENT &amp; OTHER HPs'!BG14+'TB-EQUIPMENT &amp; OTHER HPs'!BH14),0)))),0)</f>
        <v>0</v>
      </c>
      <c r="T231" s="1190">
        <f t="shared" si="32"/>
        <v>0</v>
      </c>
      <c r="U231" s="1189">
        <f t="shared" si="33"/>
        <v>0</v>
      </c>
      <c r="V231" s="1795">
        <v>7.5</v>
      </c>
      <c r="W231" s="1823"/>
      <c r="X231" s="1820"/>
    </row>
    <row r="232" spans="1:24" s="860" customFormat="1" ht="15" hidden="1" customHeight="1" collapsed="1">
      <c r="A232" s="2905"/>
      <c r="B232" s="2906"/>
      <c r="C232" s="2907" t="s">
        <v>1748</v>
      </c>
      <c r="D232" s="2908"/>
      <c r="E232" s="1880">
        <v>0</v>
      </c>
      <c r="F232" s="1279">
        <f>IF(SETUP!$F$41="Upfront",F233,F234)</f>
        <v>0</v>
      </c>
      <c r="G232" s="1195">
        <f>IF(SETUP!$F$41="Upfront",G233,G234)</f>
        <v>0</v>
      </c>
      <c r="H232" s="1194">
        <f>IF(SETUP!$F$41="Upfront",H233,H234)</f>
        <v>0</v>
      </c>
      <c r="I232" s="1194">
        <f>IF(SETUP!$F$41="Upfront",I233,I234)</f>
        <v>0</v>
      </c>
      <c r="J232" s="1193">
        <f t="shared" si="30"/>
        <v>0</v>
      </c>
      <c r="K232" s="1194">
        <f>IF(SETUP!$F$41="Upfront",K233,K234)</f>
        <v>0</v>
      </c>
      <c r="L232" s="1194">
        <f>IF(SETUP!$F$41="Upfront",L233,L234)</f>
        <v>0</v>
      </c>
      <c r="M232" s="1194">
        <f>IF(SETUP!$F$41="Upfront",M233,M234)</f>
        <v>0</v>
      </c>
      <c r="N232" s="1194">
        <f>IF(SETUP!$F$41="Upfront",N233,N234)</f>
        <v>0</v>
      </c>
      <c r="O232" s="1191">
        <f t="shared" si="31"/>
        <v>0</v>
      </c>
      <c r="P232" s="1189">
        <f>IF(SETUP!$F$41="Upfront",P233,P234)</f>
        <v>0</v>
      </c>
      <c r="Q232" s="1189">
        <f>IF(SETUP!$F$41="Upfront",Q233,Q234)</f>
        <v>0</v>
      </c>
      <c r="R232" s="1189">
        <f>IF(SETUP!$F$41="Upfront",R233,R234)</f>
        <v>0</v>
      </c>
      <c r="S232" s="1189">
        <f>IF(SETUP!$F$41="Upfront",S233,S234)</f>
        <v>0</v>
      </c>
      <c r="T232" s="1190">
        <f t="shared" si="32"/>
        <v>0</v>
      </c>
      <c r="U232" s="1189">
        <f t="shared" si="33"/>
        <v>0</v>
      </c>
      <c r="V232" s="1795">
        <v>7.5</v>
      </c>
      <c r="W232" s="1823"/>
      <c r="X232" s="1820"/>
    </row>
    <row r="233" spans="1:24" s="860" customFormat="1" ht="15" hidden="1" customHeight="1" outlineLevel="1">
      <c r="A233" s="2905"/>
      <c r="B233" s="2906"/>
      <c r="C233" s="2889" t="s">
        <v>918</v>
      </c>
      <c r="D233" s="2890"/>
      <c r="E233" s="1880"/>
      <c r="F233" s="1279">
        <f>IF(SETUP!$F$40="Upfront",$E$232*'TB-EQUIPMENT &amp; OTHER HPs'!AW15,0)</f>
        <v>0</v>
      </c>
      <c r="G233" s="1195">
        <f>IF(SETUP!$F$40="Upfront",$E$232*'TB-EQUIPMENT &amp; OTHER HPs'!AX15,0)</f>
        <v>0</v>
      </c>
      <c r="H233" s="1194">
        <f>IF(SETUP!$F$40="Upfront",$E$232*'TB-EQUIPMENT &amp; OTHER HPs'!AY15,0)</f>
        <v>0</v>
      </c>
      <c r="I233" s="1194">
        <f>IF(SETUP!$F$40="Upfront",$E$232*'TB-EQUIPMENT &amp; OTHER HPs'!AZ15,0)</f>
        <v>0</v>
      </c>
      <c r="J233" s="1193">
        <f t="shared" si="30"/>
        <v>0</v>
      </c>
      <c r="K233" s="1194">
        <f>IF(SETUP!$F$40="Upfront",$E$232*'TB-EQUIPMENT &amp; OTHER HPs'!BA15,0)</f>
        <v>0</v>
      </c>
      <c r="L233" s="1194">
        <f>IF(SETUP!$F$40="Upfront",$E$232*'TB-EQUIPMENT &amp; OTHER HPs'!BB15,0)</f>
        <v>0</v>
      </c>
      <c r="M233" s="1194">
        <f>IF(SETUP!$F$40="Upfront",$E$232*'TB-EQUIPMENT &amp; OTHER HPs'!BC15,0)</f>
        <v>0</v>
      </c>
      <c r="N233" s="1194">
        <f>IF(SETUP!$F$40="Upfront",$E$232*'TB-EQUIPMENT &amp; OTHER HPs'!BD15,0)</f>
        <v>0</v>
      </c>
      <c r="O233" s="1191">
        <f t="shared" si="31"/>
        <v>0</v>
      </c>
      <c r="P233" s="1189">
        <f>IF(SETUP!$F$40="Upfront",$E$232*'TB-EQUIPMENT &amp; OTHER HPs'!BE15,0)</f>
        <v>0</v>
      </c>
      <c r="Q233" s="1189">
        <f>IF(SETUP!$F$40="Upfront",$E$232*'TB-EQUIPMENT &amp; OTHER HPs'!BF15,0)</f>
        <v>0</v>
      </c>
      <c r="R233" s="1189">
        <f>IF(SETUP!$F$40="Upfront",$E$232*'TB-EQUIPMENT &amp; OTHER HPs'!BG15,0)</f>
        <v>0</v>
      </c>
      <c r="S233" s="1189">
        <f>IF(SETUP!$F$40="Upfront",$E$232*'TB-EQUIPMENT &amp; OTHER HPs'!BH15,0)</f>
        <v>0</v>
      </c>
      <c r="T233" s="1190">
        <f t="shared" si="32"/>
        <v>0</v>
      </c>
      <c r="U233" s="1189">
        <f t="shared" si="33"/>
        <v>0</v>
      </c>
      <c r="V233" s="1795">
        <v>7.5</v>
      </c>
      <c r="W233" s="1823"/>
      <c r="X233" s="1820"/>
    </row>
    <row r="234" spans="1:24" s="860" customFormat="1" ht="15" hidden="1" customHeight="1" outlineLevel="1">
      <c r="A234" s="2905"/>
      <c r="B234" s="2906"/>
      <c r="C234" s="2889" t="s">
        <v>36</v>
      </c>
      <c r="D234" s="2890"/>
      <c r="E234" s="1880"/>
      <c r="F234" s="1279">
        <v>0</v>
      </c>
      <c r="G234" s="1195">
        <f>IF(SETUP!$F$41="At delivery",IF(SETUP!$G$41=1,$E$232*'TB-EQUIPMENT &amp; OTHER HPs'!AW15,0),0)</f>
        <v>0</v>
      </c>
      <c r="H234" s="1194">
        <f>IF(SETUP!$F$41="At delivery",IF(SETUP!$G$41=2,$E$232*'TB-EQUIPMENT &amp; OTHER HPs'!AW15,IF(SETUP!$G$41=1,$E$232*'TB-EQUIPMENT &amp; OTHER HPs'!AX15,0)),0)</f>
        <v>0</v>
      </c>
      <c r="I234" s="1194">
        <f>IF(SETUP!$F$41="At delivery",IF(SETUP!$G$41=3,$E$232*'TB-EQUIPMENT &amp; OTHER HPs'!AW15,IF(SETUP!$G$41=2,$E$232*'TB-EQUIPMENT &amp; OTHER HPs'!AX15,IF(SETUP!$G$41=1,$E$232*'TB-EQUIPMENT &amp; OTHER HPs'!AY15,0))),0)</f>
        <v>0</v>
      </c>
      <c r="J234" s="1193">
        <f t="shared" si="30"/>
        <v>0</v>
      </c>
      <c r="K234" s="1194">
        <f>IF(SETUP!$F$41="At delivery",IF(SETUP!$G$41=4,$E$232*'TB-EQUIPMENT &amp; OTHER HPs'!AW15,IF(SETUP!$G$41=3,$E$232*'TB-EQUIPMENT &amp; OTHER HPs'!AX15,IF(SETUP!$G$41=2,$E$232*'TB-EQUIPMENT &amp; OTHER HPs'!AY15,IF(SETUP!$G$41=1,$E$232*'TB-EQUIPMENT &amp; OTHER HPs'!AZ15,0)))),0)</f>
        <v>0</v>
      </c>
      <c r="L234" s="1194">
        <f>IF(SETUP!$F$41="At delivery",IF(SETUP!$G$41=4,$E$232*'TB-EQUIPMENT &amp; OTHER HPs'!AX15,IF(SETUP!$G$41=3,$E$232*'TB-EQUIPMENT &amp; OTHER HPs'!AY15,IF(SETUP!$G$41=2,$E$232*'TB-EQUIPMENT &amp; OTHER HPs'!AZ15,IF(SETUP!$G$41=1,$E$232*'TB-EQUIPMENT &amp; OTHER HPs'!BA15,0)))),0)</f>
        <v>0</v>
      </c>
      <c r="M234" s="1194">
        <f>IF(SETUP!$F$41="At delivery",IF(SETUP!$G$41=4,$E$232*'TB-EQUIPMENT &amp; OTHER HPs'!AY15,IF(SETUP!$G$41=3,$E$232*'TB-EQUIPMENT &amp; OTHER HPs'!AZ15,IF(SETUP!$G$41=2,$E$232*'TB-EQUIPMENT &amp; OTHER HPs'!BA15,IF(SETUP!$G$41=1,$E$232*'TB-EQUIPMENT &amp; OTHER HPs'!BB15,0)))),0)</f>
        <v>0</v>
      </c>
      <c r="N234" s="1194">
        <f>IF(SETUP!$F$41="At delivery",IF(SETUP!$G$41=4,$E$232*'TB-EQUIPMENT &amp; OTHER HPs'!AZ15,IF(SETUP!$G$41=3,$E$232*'TB-EQUIPMENT &amp; OTHER HPs'!BA15,IF(SETUP!$G$41=2,$E$232*'TB-EQUIPMENT &amp; OTHER HPs'!BB15,IF(SETUP!$G$41=1,$E$232*'TB-EQUIPMENT &amp; OTHER HPs'!BC15,0)))),0)</f>
        <v>0</v>
      </c>
      <c r="O234" s="1191">
        <f t="shared" si="31"/>
        <v>0</v>
      </c>
      <c r="P234" s="1189">
        <f>IF(SETUP!$F$41="At delivery",IF(SETUP!$G$41=4,$E$232*'TB-EQUIPMENT &amp; OTHER HPs'!BA15,IF(SETUP!$G$41=3,$E$232*'TB-EQUIPMENT &amp; OTHER HPs'!BB15,IF(SETUP!$G$41=2,$E$232*'TB-EQUIPMENT &amp; OTHER HPs'!BC15,IF(SETUP!$G$41=1,$E$232*'TB-EQUIPMENT &amp; OTHER HPs'!BD15,0)))),0)</f>
        <v>0</v>
      </c>
      <c r="Q234" s="1189">
        <f>IF(SETUP!$F$41="At delivery",IF(SETUP!$G$41=4,$E$232*'TB-EQUIPMENT &amp; OTHER HPs'!BB15,IF(SETUP!$G$41=3,$E$232*'TB-EQUIPMENT &amp; OTHER HPs'!BC15,IF(SETUP!$G$41=2,$E$232*'TB-EQUIPMENT &amp; OTHER HPs'!BD15,IF(SETUP!$G$41=1,$E$232*'TB-EQUIPMENT &amp; OTHER HPs'!BE15,0)))),0)</f>
        <v>0</v>
      </c>
      <c r="R234" s="1189">
        <f>IF(SETUP!$F$41="At delivery",IF(SETUP!$G$41=4,$E$232*'TB-EQUIPMENT &amp; OTHER HPs'!BC15,IF(SETUP!$G$41=3,$E$232*'TB-EQUIPMENT &amp; OTHER HPs'!BD15,IF(SETUP!$G$41=2,$E$232*'TB-EQUIPMENT &amp; OTHER HPs'!BE15,IF(SETUP!$G$41=1,$E$232*'TB-EQUIPMENT &amp; OTHER HPs'!BF15,0)))),0)</f>
        <v>0</v>
      </c>
      <c r="S234" s="1189">
        <f>IF(SETUP!$F$41="At delivery",IF(SETUP!$G$41=4,$E$232*('TB-EQUIPMENT &amp; OTHER HPs'!BD15+'TB-EQUIPMENT &amp; OTHER HPs'!BE15+'TB-EQUIPMENT &amp; OTHER HPs'!BF15+'TB-EQUIPMENT &amp; OTHER HPs'!BG15+'TB-EQUIPMENT &amp; OTHER HPs'!BH15),IF(SETUP!$G$41=3,$E$232*('TB-EQUIPMENT &amp; OTHER HPs'!BE15+'TB-EQUIPMENT &amp; OTHER HPs'!BF15+'TB-EQUIPMENT &amp; OTHER HPs'!BG15+'TB-EQUIPMENT &amp; OTHER HPs'!BH15),IF(SETUP!$G$41=2,$E$232*('TB-EQUIPMENT &amp; OTHER HPs'!BF15+'TB-EQUIPMENT &amp; OTHER HPs'!BG15+'TB-EQUIPMENT &amp; OTHER HPs'!BH15),IF(SETUP!$G$41=1,$E$232*('TB-EQUIPMENT &amp; OTHER HPs'!BG15+'TB-EQUIPMENT &amp; OTHER HPs'!BH15),0)))),0)</f>
        <v>0</v>
      </c>
      <c r="T234" s="1190">
        <f t="shared" si="32"/>
        <v>0</v>
      </c>
      <c r="U234" s="1189">
        <f t="shared" si="33"/>
        <v>0</v>
      </c>
      <c r="V234" s="1795">
        <v>7.5</v>
      </c>
      <c r="W234" s="1823"/>
      <c r="X234" s="1820"/>
    </row>
    <row r="235" spans="1:24" s="860" customFormat="1" ht="15" hidden="1" customHeight="1" collapsed="1">
      <c r="A235" s="2905"/>
      <c r="B235" s="2906"/>
      <c r="C235" s="2907" t="s">
        <v>1754</v>
      </c>
      <c r="D235" s="2908"/>
      <c r="E235" s="1880">
        <v>0</v>
      </c>
      <c r="F235" s="1279">
        <f>IF(SETUP!$F$43="Upfront",F236,F237)</f>
        <v>0</v>
      </c>
      <c r="G235" s="1195">
        <f>IF(SETUP!$F$43="Upfront",G236,G237)</f>
        <v>0</v>
      </c>
      <c r="H235" s="1194">
        <f>IF(SETUP!$F$43="Upfront",H236,H237)</f>
        <v>0</v>
      </c>
      <c r="I235" s="1194">
        <f>IF(SETUP!$F$43="Upfront",I236,I237)</f>
        <v>0</v>
      </c>
      <c r="J235" s="1193">
        <f t="shared" si="30"/>
        <v>0</v>
      </c>
      <c r="K235" s="1194">
        <f>IF(SETUP!$F$43="Upfront",K236,K237)</f>
        <v>0</v>
      </c>
      <c r="L235" s="1194">
        <f>IF(SETUP!$F$43="Upfront",L236,L237)</f>
        <v>0</v>
      </c>
      <c r="M235" s="1194">
        <f>IF(SETUP!$F$43="Upfront",M236,M237)</f>
        <v>0</v>
      </c>
      <c r="N235" s="1194">
        <f>IF(SETUP!$F$43="Upfront",N236,N237)</f>
        <v>0</v>
      </c>
      <c r="O235" s="1191">
        <f t="shared" si="31"/>
        <v>0</v>
      </c>
      <c r="P235" s="1189">
        <f>IF(SETUP!$F$43="Upfront",P236,P237)</f>
        <v>0</v>
      </c>
      <c r="Q235" s="1189">
        <f>IF(SETUP!$F$43="Upfront",Q236,Q237)</f>
        <v>0</v>
      </c>
      <c r="R235" s="1189">
        <f>IF(SETUP!$F$43="Upfront",R236,R237)</f>
        <v>0</v>
      </c>
      <c r="S235" s="1189">
        <f>IF(SETUP!$F$43="Upfront",S236,S237)</f>
        <v>0</v>
      </c>
      <c r="T235" s="1190">
        <f t="shared" si="32"/>
        <v>0</v>
      </c>
      <c r="U235" s="1189">
        <f t="shared" si="33"/>
        <v>0</v>
      </c>
      <c r="V235" s="1795">
        <v>7.5</v>
      </c>
      <c r="W235" s="1823"/>
      <c r="X235" s="1820"/>
    </row>
    <row r="236" spans="1:24" s="860" customFormat="1" ht="15" hidden="1" customHeight="1" outlineLevel="1">
      <c r="A236" s="2905"/>
      <c r="B236" s="2906"/>
      <c r="C236" s="2889" t="s">
        <v>918</v>
      </c>
      <c r="D236" s="2890"/>
      <c r="E236" s="1880"/>
      <c r="F236" s="1279">
        <f>IF(SETUP!$F$43="Upfront",$E$235*'TB-EQUIPMENT &amp; OTHER HPs'!AW16,0)</f>
        <v>0</v>
      </c>
      <c r="G236" s="1195">
        <f>IF(SETUP!$F$43="Upfront",$E$235*'TB-EQUIPMENT &amp; OTHER HPs'!AX16,0)</f>
        <v>0</v>
      </c>
      <c r="H236" s="1194">
        <f>IF(SETUP!$F$43="Upfront",$E$235*'TB-EQUIPMENT &amp; OTHER HPs'!AY16,0)</f>
        <v>0</v>
      </c>
      <c r="I236" s="1194">
        <f>IF(SETUP!$F$43="Upfront",$E$235*'TB-EQUIPMENT &amp; OTHER HPs'!AZ16,0)</f>
        <v>0</v>
      </c>
      <c r="J236" s="1193">
        <f t="shared" si="30"/>
        <v>0</v>
      </c>
      <c r="K236" s="1194">
        <f>IF(SETUP!$F$43="Upfront",$E$235*'TB-EQUIPMENT &amp; OTHER HPs'!BA16,0)</f>
        <v>0</v>
      </c>
      <c r="L236" s="1194">
        <f>IF(SETUP!$F$43="Upfront",$E$235*'TB-EQUIPMENT &amp; OTHER HPs'!BB16,0)</f>
        <v>0</v>
      </c>
      <c r="M236" s="1194">
        <f>IF(SETUP!$F$43="Upfront",$E$235*'TB-EQUIPMENT &amp; OTHER HPs'!BC16,0)</f>
        <v>0</v>
      </c>
      <c r="N236" s="1194">
        <f>IF(SETUP!$F$43="Upfront",$E$235*'TB-EQUIPMENT &amp; OTHER HPs'!BD16,0)</f>
        <v>0</v>
      </c>
      <c r="O236" s="1191">
        <f t="shared" si="31"/>
        <v>0</v>
      </c>
      <c r="P236" s="1189">
        <f>IF(SETUP!$F$43="Upfront",$E$235*'TB-EQUIPMENT &amp; OTHER HPs'!BE16,0)</f>
        <v>0</v>
      </c>
      <c r="Q236" s="1189">
        <f>IF(SETUP!$F$43="Upfront",$E$235*'TB-EQUIPMENT &amp; OTHER HPs'!BF16,0)</f>
        <v>0</v>
      </c>
      <c r="R236" s="1189">
        <f>IF(SETUP!$F$43="Upfront",$E$235*'TB-EQUIPMENT &amp; OTHER HPs'!BG16,0)</f>
        <v>0</v>
      </c>
      <c r="S236" s="1189">
        <f>IF(SETUP!$F$43="Upfront",$E$235*'TB-EQUIPMENT &amp; OTHER HPs'!BH16,0)</f>
        <v>0</v>
      </c>
      <c r="T236" s="1190">
        <f t="shared" si="32"/>
        <v>0</v>
      </c>
      <c r="U236" s="1189">
        <f t="shared" si="33"/>
        <v>0</v>
      </c>
      <c r="V236" s="1795">
        <v>7.5</v>
      </c>
      <c r="W236" s="1823"/>
      <c r="X236" s="1820"/>
    </row>
    <row r="237" spans="1:24" s="860" customFormat="1" ht="15" hidden="1" customHeight="1" outlineLevel="1">
      <c r="A237" s="2905"/>
      <c r="B237" s="2906"/>
      <c r="C237" s="2889" t="s">
        <v>36</v>
      </c>
      <c r="D237" s="2890"/>
      <c r="E237" s="1880"/>
      <c r="F237" s="1279">
        <v>0</v>
      </c>
      <c r="G237" s="1195">
        <f>IF(SETUP!$F$43="At delivery",IF(SETUP!$G$43=1,$E$235*'TB-EQUIPMENT &amp; OTHER HPs'!AW16,0),0)</f>
        <v>0</v>
      </c>
      <c r="H237" s="1194">
        <f>IF(SETUP!$F$43="At delivery",IF(SETUP!$G$43=2,$E$235*'TB-EQUIPMENT &amp; OTHER HPs'!AW16,IF(SETUP!$G$43=1,$E$235*'TB-EQUIPMENT &amp; OTHER HPs'!AX16,0)),0)</f>
        <v>0</v>
      </c>
      <c r="I237" s="1194">
        <f>IF(SETUP!$F$43="At delivery",IF(SETUP!$G$43=3,$E$235*'TB-EQUIPMENT &amp; OTHER HPs'!AW16,IF(SETUP!$G$43=2,$E$235*'TB-EQUIPMENT &amp; OTHER HPs'!AX16,IF(SETUP!$G$43=1,$E$235*'TB-EQUIPMENT &amp; OTHER HPs'!AY16,0))),0)</f>
        <v>0</v>
      </c>
      <c r="J237" s="1193">
        <f t="shared" si="30"/>
        <v>0</v>
      </c>
      <c r="K237" s="1194">
        <f>IF(SETUP!$F$43="At delivery",IF(SETUP!$G$43=4,$E$235*'TB-EQUIPMENT &amp; OTHER HPs'!AW16,IF(SETUP!$G$43=3,$E$235*'TB-EQUIPMENT &amp; OTHER HPs'!AX16,IF(SETUP!$G$43=2,$E$235*'TB-EQUIPMENT &amp; OTHER HPs'!AY16,IF(SETUP!$G$43=1,$E$235*'TB-EQUIPMENT &amp; OTHER HPs'!AZ16,0)))),0)</f>
        <v>0</v>
      </c>
      <c r="L237" s="1194">
        <f>IF(SETUP!$F$43="At delivery",IF(SETUP!$G$43=4,$E$235*'TB-EQUIPMENT &amp; OTHER HPs'!AX16,IF(SETUP!$G$43=3,$E$235*'TB-EQUIPMENT &amp; OTHER HPs'!AY16,IF(SETUP!$G$43=2,$E$235*'TB-EQUIPMENT &amp; OTHER HPs'!AZ16,IF(SETUP!$G$43=1,$E$235*'TB-EQUIPMENT &amp; OTHER HPs'!BA16,0)))),0)</f>
        <v>0</v>
      </c>
      <c r="M237" s="1194">
        <f>IF(SETUP!$F$43="At delivery",IF(SETUP!$G$43=4,$E$235*'TB-EQUIPMENT &amp; OTHER HPs'!AY16,IF(SETUP!$G$43=3,$E$235*'TB-EQUIPMENT &amp; OTHER HPs'!AZ16,IF(SETUP!$G$43=2,$E$235*'TB-EQUIPMENT &amp; OTHER HPs'!BA16,IF(SETUP!$G$43=1,$E$235*'TB-EQUIPMENT &amp; OTHER HPs'!BB16,0)))),0)</f>
        <v>0</v>
      </c>
      <c r="N237" s="1194">
        <f>IF(SETUP!$F$43="At delivery",IF(SETUP!$G$43=4,$E$235*'TB-EQUIPMENT &amp; OTHER HPs'!AZ16,IF(SETUP!$G$43=3,$E$235*'TB-EQUIPMENT &amp; OTHER HPs'!BA16,IF(SETUP!$G$43=2,$E$235*'TB-EQUIPMENT &amp; OTHER HPs'!BB16,IF(SETUP!$G$43=1,$E$235*'TB-EQUIPMENT &amp; OTHER HPs'!BC16,0)))),0)</f>
        <v>0</v>
      </c>
      <c r="O237" s="1191">
        <f t="shared" si="31"/>
        <v>0</v>
      </c>
      <c r="P237" s="1189">
        <f>IF(SETUP!$F$43="At delivery",IF(SETUP!$G$43=4,$E$235*'TB-EQUIPMENT &amp; OTHER HPs'!BA16,IF(SETUP!$G$43=3,$E$235*'TB-EQUIPMENT &amp; OTHER HPs'!BB16,IF(SETUP!$G$43=2,$E$235*'TB-EQUIPMENT &amp; OTHER HPs'!BC16,IF(SETUP!$G$43=1,$E$235*'TB-EQUIPMENT &amp; OTHER HPs'!BD16,0)))),0)</f>
        <v>0</v>
      </c>
      <c r="Q237" s="1189">
        <f>IF(SETUP!$F$43="At delivery",IF(SETUP!$G$43=4,$E$235*'TB-EQUIPMENT &amp; OTHER HPs'!BB16,IF(SETUP!$G$43=3,$E$235*'TB-EQUIPMENT &amp; OTHER HPs'!BC16,IF(SETUP!$G$43=2,$E$235*'TB-EQUIPMENT &amp; OTHER HPs'!BD16,IF(SETUP!$G$43=1,$E$235*'TB-EQUIPMENT &amp; OTHER HPs'!BE16,0)))),0)</f>
        <v>0</v>
      </c>
      <c r="R237" s="1189">
        <f>IF(SETUP!$F$43="At delivery",IF(SETUP!$G$43=4,$E$235*'TB-EQUIPMENT &amp; OTHER HPs'!BC16,IF(SETUP!$G$43=3,$E$235*'TB-EQUIPMENT &amp; OTHER HPs'!BD16,IF(SETUP!$G$43=2,$E$235*'TB-EQUIPMENT &amp; OTHER HPs'!BE16,IF(SETUP!$G$43=1,$E$235*'TB-EQUIPMENT &amp; OTHER HPs'!BF16,0)))),0)</f>
        <v>0</v>
      </c>
      <c r="S237" s="1189">
        <f>IF(SETUP!$F$43="At delivery",IF(SETUP!$G$43=4,$E$235*('TB-EQUIPMENT &amp; OTHER HPs'!BD16+'TB-EQUIPMENT &amp; OTHER HPs'!BE16+'TB-EQUIPMENT &amp; OTHER HPs'!BF16+'TB-EQUIPMENT &amp; OTHER HPs'!BG16+'TB-EQUIPMENT &amp; OTHER HPs'!BH16),IF(SETUP!$G$43=3,$E$235*('TB-EQUIPMENT &amp; OTHER HPs'!BE16+'TB-EQUIPMENT &amp; OTHER HPs'!BF16+'TB-EQUIPMENT &amp; OTHER HPs'!BG16+'TB-EQUIPMENT &amp; OTHER HPs'!BH16),IF(SETUP!$G$43=2,$E$235*('TB-EQUIPMENT &amp; OTHER HPs'!BF16+'TB-EQUIPMENT &amp; OTHER HPs'!BG16+'TB-EQUIPMENT &amp; OTHER HPs'!BH16),IF(SETUP!$G$43=1,$E$235*('TB-EQUIPMENT &amp; OTHER HPs'!BG16+'TB-EQUIPMENT &amp; OTHER HPs'!BH16),0)))),0)</f>
        <v>0</v>
      </c>
      <c r="T237" s="1190">
        <f t="shared" si="32"/>
        <v>0</v>
      </c>
      <c r="U237" s="1189">
        <f t="shared" si="33"/>
        <v>0</v>
      </c>
      <c r="V237" s="1795">
        <v>7.5</v>
      </c>
      <c r="W237" s="1823"/>
      <c r="X237" s="1820"/>
    </row>
    <row r="238" spans="1:24" s="860" customFormat="1" ht="15" hidden="1" customHeight="1" collapsed="1">
      <c r="A238" s="2905"/>
      <c r="B238" s="2906"/>
      <c r="C238" s="2907" t="s">
        <v>574</v>
      </c>
      <c r="D238" s="2908"/>
      <c r="E238" s="1880">
        <v>0</v>
      </c>
      <c r="F238" s="1279">
        <f>IF(SETUP!$F$44="Upfront",F239,F240)</f>
        <v>0</v>
      </c>
      <c r="G238" s="1195">
        <f>IF(SETUP!$F$44="Upfront",G239,G240)</f>
        <v>0</v>
      </c>
      <c r="H238" s="1194">
        <f>IF(SETUP!$F$44="Upfront",H239,H240)</f>
        <v>0</v>
      </c>
      <c r="I238" s="1194">
        <f>IF(SETUP!$F$44="Upfront",I239,I240)</f>
        <v>0</v>
      </c>
      <c r="J238" s="1193">
        <f t="shared" si="30"/>
        <v>0</v>
      </c>
      <c r="K238" s="1194">
        <f>IF(SETUP!$F$44="Upfront",K239,K240)</f>
        <v>0</v>
      </c>
      <c r="L238" s="1194">
        <f>IF(SETUP!$F$44="Upfront",L239,L240)</f>
        <v>0</v>
      </c>
      <c r="M238" s="1194">
        <f>IF(SETUP!$F$44="Upfront",M239,M240)</f>
        <v>0</v>
      </c>
      <c r="N238" s="1194">
        <f>IF(SETUP!$F$44="Upfront",N239,N240)</f>
        <v>0</v>
      </c>
      <c r="O238" s="1191">
        <f t="shared" si="31"/>
        <v>0</v>
      </c>
      <c r="P238" s="1189">
        <f>IF(SETUP!$F$44="Upfront",P239,P240)</f>
        <v>0</v>
      </c>
      <c r="Q238" s="1189">
        <f>IF(SETUP!$F$44="Upfront",Q239,Q240)</f>
        <v>0</v>
      </c>
      <c r="R238" s="1189">
        <f>IF(SETUP!$F$44="Upfront",R239,R240)</f>
        <v>0</v>
      </c>
      <c r="S238" s="1189">
        <f>IF(SETUP!$F$44="Upfront",S239,S240)</f>
        <v>0</v>
      </c>
      <c r="T238" s="1190">
        <f t="shared" si="32"/>
        <v>0</v>
      </c>
      <c r="U238" s="1189">
        <f t="shared" si="33"/>
        <v>0</v>
      </c>
      <c r="V238" s="1795">
        <v>7.5</v>
      </c>
      <c r="W238" s="1823"/>
      <c r="X238" s="1820"/>
    </row>
    <row r="239" spans="1:24" s="860" customFormat="1" ht="15" hidden="1" customHeight="1" outlineLevel="1">
      <c r="A239" s="2905"/>
      <c r="B239" s="2906"/>
      <c r="C239" s="2889" t="s">
        <v>918</v>
      </c>
      <c r="D239" s="2890"/>
      <c r="E239" s="1880"/>
      <c r="F239" s="1279">
        <f>IF(SETUP!$F$44="Upfront",$E$238*'TB-EQUIPMENT &amp; OTHER HPs'!AW17,0)</f>
        <v>0</v>
      </c>
      <c r="G239" s="1195">
        <f>IF(SETUP!$F$44="Upfront",$E$238*'TB-EQUIPMENT &amp; OTHER HPs'!AX17,0)</f>
        <v>0</v>
      </c>
      <c r="H239" s="1194">
        <f>IF(SETUP!$F$44="Upfront",$E$238*'TB-EQUIPMENT &amp; OTHER HPs'!AY17,0)</f>
        <v>0</v>
      </c>
      <c r="I239" s="1194">
        <f>IF(SETUP!$F$44="Upfront",$E$238*'TB-EQUIPMENT &amp; OTHER HPs'!AZ17,0)</f>
        <v>0</v>
      </c>
      <c r="J239" s="1193">
        <f t="shared" si="30"/>
        <v>0</v>
      </c>
      <c r="K239" s="1194">
        <f>IF(SETUP!$F$44="Upfront",$E$238*'TB-EQUIPMENT &amp; OTHER HPs'!BA17,0)</f>
        <v>0</v>
      </c>
      <c r="L239" s="1194">
        <f>IF(SETUP!$F$44="Upfront",$E$238*'TB-EQUIPMENT &amp; OTHER HPs'!BB17,0)</f>
        <v>0</v>
      </c>
      <c r="M239" s="1194">
        <f>IF(SETUP!$F$44="Upfront",$E$238*'TB-EQUIPMENT &amp; OTHER HPs'!BC17,0)</f>
        <v>0</v>
      </c>
      <c r="N239" s="1194">
        <f>IF(SETUP!$F$44="Upfront",$E$238*'TB-EQUIPMENT &amp; OTHER HPs'!BD17,0)</f>
        <v>0</v>
      </c>
      <c r="O239" s="1191">
        <f t="shared" si="31"/>
        <v>0</v>
      </c>
      <c r="P239" s="1189">
        <f>IF(SETUP!$F$44="Upfront",$E$238*'TB-EQUIPMENT &amp; OTHER HPs'!BE17,0)</f>
        <v>0</v>
      </c>
      <c r="Q239" s="1189">
        <f>IF(SETUP!$F$44="Upfront",$E$238*'TB-EQUIPMENT &amp; OTHER HPs'!BF17,0)</f>
        <v>0</v>
      </c>
      <c r="R239" s="1189">
        <f>IF(SETUP!$F$44="Upfront",$E$238*'TB-EQUIPMENT &amp; OTHER HPs'!BG17,0)</f>
        <v>0</v>
      </c>
      <c r="S239" s="1189">
        <f>IF(SETUP!$F$44="Upfront",$E$238*'TB-EQUIPMENT &amp; OTHER HPs'!BH17,0)</f>
        <v>0</v>
      </c>
      <c r="T239" s="1190">
        <f t="shared" si="32"/>
        <v>0</v>
      </c>
      <c r="U239" s="1189">
        <f t="shared" si="33"/>
        <v>0</v>
      </c>
      <c r="V239" s="1795">
        <v>7.5</v>
      </c>
      <c r="W239" s="1823"/>
      <c r="X239" s="1820"/>
    </row>
    <row r="240" spans="1:24" s="860" customFormat="1" ht="15" hidden="1" customHeight="1" outlineLevel="1">
      <c r="A240" s="2905"/>
      <c r="B240" s="2906"/>
      <c r="C240" s="2889" t="s">
        <v>36</v>
      </c>
      <c r="D240" s="2890"/>
      <c r="E240" s="1880"/>
      <c r="F240" s="1279">
        <v>0</v>
      </c>
      <c r="G240" s="1195">
        <f>IF(SETUP!$F$44="At delivery",IF(SETUP!$G$44=1,$E$238*'TB-EQUIPMENT &amp; OTHER HPs'!AW17,0),0)</f>
        <v>0</v>
      </c>
      <c r="H240" s="1194">
        <f>IF(SETUP!$F$44="At delivery",IF(SETUP!$G$44=2,$E$238*'TB-EQUIPMENT &amp; OTHER HPs'!AW17,IF(SETUP!$G$44=1,$E$238*'TB-EQUIPMENT &amp; OTHER HPs'!AX17,0)),0)</f>
        <v>0</v>
      </c>
      <c r="I240" s="1194">
        <f>IF(SETUP!$F$44="At delivery",IF(SETUP!$G$44=3,$E$238*'TB-EQUIPMENT &amp; OTHER HPs'!AW17,IF(SETUP!$G$44=2,$E$238*'TB-EQUIPMENT &amp; OTHER HPs'!AX17,IF(SETUP!$G$44=1,$E$238*'TB-EQUIPMENT &amp; OTHER HPs'!AY17,0))),0)</f>
        <v>0</v>
      </c>
      <c r="J240" s="1193">
        <f t="shared" si="30"/>
        <v>0</v>
      </c>
      <c r="K240" s="1194">
        <f>IF(SETUP!$F$44="At delivery",IF(SETUP!$G$44=4,$E$238*'TB-EQUIPMENT &amp; OTHER HPs'!AW17,IF(SETUP!$G$44=3,$E$238*'TB-EQUIPMENT &amp; OTHER HPs'!AX17,IF(SETUP!$G$44=2,$E$238*'TB-EQUIPMENT &amp; OTHER HPs'!AY17,IF(SETUP!$G$44=1,$E$238*'TB-EQUIPMENT &amp; OTHER HPs'!AZ17,0)))),0)</f>
        <v>0</v>
      </c>
      <c r="L240" s="1194">
        <f>IF(SETUP!$F$44="At delivery",IF(SETUP!$G$44=4,$E$238*'TB-EQUIPMENT &amp; OTHER HPs'!AX17,IF(SETUP!$G$44=3,$E$238*'TB-EQUIPMENT &amp; OTHER HPs'!AY17,IF(SETUP!$G$44=2,$E$238*'TB-EQUIPMENT &amp; OTHER HPs'!AZ17,IF(SETUP!$G$44=1,$E$238*'TB-EQUIPMENT &amp; OTHER HPs'!BA17,0)))),0)</f>
        <v>0</v>
      </c>
      <c r="M240" s="1194">
        <f>IF(SETUP!$F$44="At delivery",IF(SETUP!$G$44=4,$E$238*'TB-EQUIPMENT &amp; OTHER HPs'!AY17,IF(SETUP!$G$44=3,$E$238*'TB-EQUIPMENT &amp; OTHER HPs'!AZ17,IF(SETUP!$G$44=2,$E$238*'TB-EQUIPMENT &amp; OTHER HPs'!BA17,IF(SETUP!$G$44=1,$E$238*'TB-EQUIPMENT &amp; OTHER HPs'!BB17,0)))),0)</f>
        <v>0</v>
      </c>
      <c r="N240" s="1194">
        <f>IF(SETUP!$F$44="At delivery",IF(SETUP!$G$44=4,$E$238*'TB-EQUIPMENT &amp; OTHER HPs'!AZ17,IF(SETUP!$G$44=3,$E$238*'TB-EQUIPMENT &amp; OTHER HPs'!BA17,IF(SETUP!$G$44=2,$E$238*'TB-EQUIPMENT &amp; OTHER HPs'!BB17,IF(SETUP!$G$44=1,$E$238*'TB-EQUIPMENT &amp; OTHER HPs'!BC17,0)))),0)</f>
        <v>0</v>
      </c>
      <c r="O240" s="1191">
        <f t="shared" si="31"/>
        <v>0</v>
      </c>
      <c r="P240" s="1189">
        <f>IF(SETUP!$F$44="At delivery",IF(SETUP!$G$44=4,$E$238*'TB-EQUIPMENT &amp; OTHER HPs'!BA17,IF(SETUP!$G$44=3,$E$238*'TB-EQUIPMENT &amp; OTHER HPs'!BB17,IF(SETUP!$G$44=2,$E$238*'TB-EQUIPMENT &amp; OTHER HPs'!BC17,IF(SETUP!$G$44=1,$E$238*'TB-EQUIPMENT &amp; OTHER HPs'!BD17,0)))),0)</f>
        <v>0</v>
      </c>
      <c r="Q240" s="1189">
        <f>IF(SETUP!$F$44="At delivery",IF(SETUP!$G$44=4,$E$238*'TB-EQUIPMENT &amp; OTHER HPs'!BB17,IF(SETUP!$G$44=3,$E$238*'TB-EQUIPMENT &amp; OTHER HPs'!BC17,IF(SETUP!$G$44=2,$E$238*'TB-EQUIPMENT &amp; OTHER HPs'!BD17,IF(SETUP!$G$44=1,$E$238*'TB-EQUIPMENT &amp; OTHER HPs'!BE17,0)))),0)</f>
        <v>0</v>
      </c>
      <c r="R240" s="1189">
        <f>IF(SETUP!$F$44="At delivery",IF(SETUP!$G$44=4,$E$238*'TB-EQUIPMENT &amp; OTHER HPs'!BC17,IF(SETUP!$G$44=3,$E$238*'TB-EQUIPMENT &amp; OTHER HPs'!BD17,IF(SETUP!$G$44=2,$E$238*'TB-EQUIPMENT &amp; OTHER HPs'!BE17,IF(SETUP!$G$44=1,$E$238*'TB-EQUIPMENT &amp; OTHER HPs'!BF17,0)))),0)</f>
        <v>0</v>
      </c>
      <c r="S240" s="1189">
        <f>IF(SETUP!$F$44="At delivery",IF(SETUP!$G$44=4,$E$238*('TB-EQUIPMENT &amp; OTHER HPs'!BD17+'TB-EQUIPMENT &amp; OTHER HPs'!BE17+'TB-EQUIPMENT &amp; OTHER HPs'!BF17+'TB-EQUIPMENT &amp; OTHER HPs'!BG17+'TB-EQUIPMENT &amp; OTHER HPs'!BH17),IF(SETUP!$G$44=3,$E$238*('TB-EQUIPMENT &amp; OTHER HPs'!BE17+'TB-EQUIPMENT &amp; OTHER HPs'!BF17+'TB-EQUIPMENT &amp; OTHER HPs'!BG17+'TB-EQUIPMENT &amp; OTHER HPs'!BH17),IF(SETUP!$G$44=2,$E$238*('TB-EQUIPMENT &amp; OTHER HPs'!BF17+'TB-EQUIPMENT &amp; OTHER HPs'!BG17+'TB-EQUIPMENT &amp; OTHER HPs'!BH17),IF(SETUP!$G$44=1,$E$238*('TB-EQUIPMENT &amp; OTHER HPs'!BG17+'TB-EQUIPMENT &amp; OTHER HPs'!BH17),0)))),0)</f>
        <v>0</v>
      </c>
      <c r="T240" s="1190">
        <f t="shared" si="32"/>
        <v>0</v>
      </c>
      <c r="U240" s="1189">
        <f t="shared" si="33"/>
        <v>0</v>
      </c>
      <c r="V240" s="1795">
        <v>7.5</v>
      </c>
      <c r="W240" s="1823"/>
      <c r="X240" s="1820"/>
    </row>
    <row r="241" spans="1:24" s="860" customFormat="1" ht="15" hidden="1" customHeight="1" collapsed="1">
      <c r="A241" s="2909" t="s">
        <v>575</v>
      </c>
      <c r="B241" s="2910"/>
      <c r="C241" s="2891" t="s">
        <v>576</v>
      </c>
      <c r="D241" s="2892"/>
      <c r="E241" s="1880">
        <v>0</v>
      </c>
      <c r="F241" s="1279">
        <f>IF(SETUP!$F$50="Upfront",F242,F243)</f>
        <v>0</v>
      </c>
      <c r="G241" s="1189">
        <f>IF(SETUP!$F$50="Upfront",G242,G243)</f>
        <v>0</v>
      </c>
      <c r="H241" s="1189">
        <f>IF(SETUP!$F$50="Upfront",H242,H243)</f>
        <v>0</v>
      </c>
      <c r="I241" s="1189">
        <f>IF(SETUP!$F$50="Upfront",I242,I243)</f>
        <v>0</v>
      </c>
      <c r="J241" s="1193">
        <f t="shared" si="30"/>
        <v>0</v>
      </c>
      <c r="K241" s="1189">
        <f>IF(SETUP!$F$50="Upfront",K242,K243)</f>
        <v>0</v>
      </c>
      <c r="L241" s="1189">
        <f>IF(SETUP!$F$50="Upfront",L242,L243)</f>
        <v>0</v>
      </c>
      <c r="M241" s="1189">
        <f>IF(SETUP!$F$50="Upfront",M242,M243)</f>
        <v>0</v>
      </c>
      <c r="N241" s="1189">
        <f>IF(SETUP!$F$50="Upfront",N242,N243)</f>
        <v>0</v>
      </c>
      <c r="O241" s="1191">
        <f t="shared" si="31"/>
        <v>0</v>
      </c>
      <c r="P241" s="1189">
        <f>IF(SETUP!$F$50="Upfront",P242,P243)</f>
        <v>0</v>
      </c>
      <c r="Q241" s="1189">
        <f>IF(SETUP!$F$50="Upfront",Q242,Q243)</f>
        <v>0</v>
      </c>
      <c r="R241" s="1189">
        <f>IF(SETUP!$F$50="Upfront",R242,R243)</f>
        <v>0</v>
      </c>
      <c r="S241" s="1189">
        <f>IF(SETUP!$F$50="Upfront",S242,S243)</f>
        <v>0</v>
      </c>
      <c r="T241" s="1190">
        <f t="shared" si="32"/>
        <v>0</v>
      </c>
      <c r="U241" s="1189">
        <f t="shared" si="33"/>
        <v>0</v>
      </c>
      <c r="V241" s="1795">
        <v>7.5</v>
      </c>
      <c r="W241" s="1823"/>
      <c r="X241" s="1820" t="s">
        <v>577</v>
      </c>
    </row>
    <row r="242" spans="1:24" s="860" customFormat="1" ht="15" hidden="1" customHeight="1" outlineLevel="1">
      <c r="A242" s="2909"/>
      <c r="B242" s="2910"/>
      <c r="C242" s="2889" t="s">
        <v>918</v>
      </c>
      <c r="D242" s="2890"/>
      <c r="E242" s="1880"/>
      <c r="F242" s="1279">
        <f>IF(SETUP!$F$50="Upfront",$E$241*'Malaria-Pharmaceuticals'!AW14,0)</f>
        <v>0</v>
      </c>
      <c r="G242" s="1189">
        <f>IF(SETUP!$F$50="Upfront",$E$241*'Malaria-Pharmaceuticals'!AX14,0)</f>
        <v>0</v>
      </c>
      <c r="H242" s="1189">
        <f>IF(SETUP!$F$50="Upfront",$E$241*'Malaria-Pharmaceuticals'!AY14,0)</f>
        <v>0</v>
      </c>
      <c r="I242" s="1189">
        <f>IF(SETUP!$F$50="Upfront",$E$241*'Malaria-Pharmaceuticals'!AZ14,0)</f>
        <v>0</v>
      </c>
      <c r="J242" s="1193">
        <f t="shared" si="30"/>
        <v>0</v>
      </c>
      <c r="K242" s="1189">
        <f>IF(SETUP!$F$50="Upfront",$E$241*'Malaria-Pharmaceuticals'!BA14,0)</f>
        <v>0</v>
      </c>
      <c r="L242" s="1189">
        <f>IF(SETUP!$F$50="Upfront",$E$241*'Malaria-Pharmaceuticals'!BB14,0)</f>
        <v>0</v>
      </c>
      <c r="M242" s="1189">
        <f>IF(SETUP!$F$50="Upfront",$E$241*'Malaria-Pharmaceuticals'!BC14,0)</f>
        <v>0</v>
      </c>
      <c r="N242" s="1189">
        <f>IF(SETUP!$F$50="Upfront",$E$241*'Malaria-Pharmaceuticals'!BD14,0)</f>
        <v>0</v>
      </c>
      <c r="O242" s="1191">
        <f t="shared" si="31"/>
        <v>0</v>
      </c>
      <c r="P242" s="1189">
        <f>IF(SETUP!$F$50="Upfront",$E$241*'Malaria-Pharmaceuticals'!BE14,0)</f>
        <v>0</v>
      </c>
      <c r="Q242" s="1189">
        <f>IF(SETUP!$F$50="Upfront",$E$241*'Malaria-Pharmaceuticals'!BF14,0)</f>
        <v>0</v>
      </c>
      <c r="R242" s="1189">
        <f>IF(SETUP!$F$50="Upfront",$E$241*'Malaria-Pharmaceuticals'!BG14,0)</f>
        <v>0</v>
      </c>
      <c r="S242" s="1189">
        <f>IF(SETUP!$F$50="Upfront",$E$241*'Malaria-Pharmaceuticals'!BH14,0)</f>
        <v>0</v>
      </c>
      <c r="T242" s="1190">
        <f t="shared" si="32"/>
        <v>0</v>
      </c>
      <c r="U242" s="1189">
        <f t="shared" si="33"/>
        <v>0</v>
      </c>
      <c r="V242" s="1795">
        <v>7.5</v>
      </c>
      <c r="W242" s="1823"/>
      <c r="X242" s="1820"/>
    </row>
    <row r="243" spans="1:24" s="860" customFormat="1" ht="15" hidden="1" customHeight="1" outlineLevel="1">
      <c r="A243" s="2909"/>
      <c r="B243" s="2910"/>
      <c r="C243" s="2889" t="s">
        <v>36</v>
      </c>
      <c r="D243" s="2890"/>
      <c r="E243" s="1880"/>
      <c r="F243" s="1279">
        <v>0</v>
      </c>
      <c r="G243" s="1195">
        <f>IF(SETUP!$F$50="At delivery",IF(SETUP!$G$50=1,$E$241*'Malaria-Pharmaceuticals'!AW14,0),0)</f>
        <v>0</v>
      </c>
      <c r="H243" s="1194">
        <f>IF(SETUP!$F$50="At delivery",IF(SETUP!$G$50=2,$E$241*'Malaria-Pharmaceuticals'!AW14,IF(SETUP!$G$50=1,$E$241*'Malaria-Pharmaceuticals'!AX14,0)),0)</f>
        <v>0</v>
      </c>
      <c r="I243" s="1194">
        <f>IF(SETUP!$F$50="At delivery",IF(SETUP!$G$50=3,$E$241*'Malaria-Pharmaceuticals'!AW14,IF(SETUP!$G$50=2,$E$241*'Malaria-Pharmaceuticals'!AX14,IF(SETUP!$G$50=1,$E$241*'Malaria-Pharmaceuticals'!AY14,0))),0)</f>
        <v>0</v>
      </c>
      <c r="J243" s="1193">
        <f t="shared" ref="J243:J265" si="34">F243+G243+H243+I243</f>
        <v>0</v>
      </c>
      <c r="K243" s="1194">
        <f>IF(SETUP!$F$50="At delivery",IF(SETUP!$G$50=4,$E$241*'Malaria-Pharmaceuticals'!AW14,IF(SETUP!$G$50=3,$E$241*'Malaria-Pharmaceuticals'!AX14,IF(SETUP!$G$50=2,$E$241*'Malaria-Pharmaceuticals'!AY14,IF(SETUP!$G$50=1,$E$241*'Malaria-Pharmaceuticals'!AZ14,0)))),0)</f>
        <v>0</v>
      </c>
      <c r="L243" s="1194">
        <f>IF(SETUP!$F$50="At delivery",IF(SETUP!$G$50=4,$E$241*'Malaria-Pharmaceuticals'!AX14,IF(SETUP!$G$50=3,$E$241*'Malaria-Pharmaceuticals'!AY14,IF(SETUP!$G$50=2,$E$241*'Malaria-Pharmaceuticals'!AZ14,IF(SETUP!$G$50=1,$E$241*'Malaria-Pharmaceuticals'!BA14,0)))),0)</f>
        <v>0</v>
      </c>
      <c r="M243" s="1194">
        <f>IF(SETUP!$F$50="At delivery",IF(SETUP!$G$50=4,$E$241*'Malaria-Pharmaceuticals'!AY14,IF(SETUP!$G$50=3,$E$241*'Malaria-Pharmaceuticals'!AZ14,IF(SETUP!$G$50=2,$E$241*'Malaria-Pharmaceuticals'!BA14,IF(SETUP!$G$50=1,$E$241*'Malaria-Pharmaceuticals'!BB14,0)))),0)</f>
        <v>0</v>
      </c>
      <c r="N243" s="1194">
        <f>IF(SETUP!$F$50="At delivery",IF(SETUP!$G$50=4,$E$241*'Malaria-Pharmaceuticals'!AZ14,IF(SETUP!$G$50=3,$E$241*'Malaria-Pharmaceuticals'!BA14,IF(SETUP!$G$50=2,$E$241*'Malaria-Pharmaceuticals'!BB14,IF(SETUP!$G$50=1,$E$241*'Malaria-Pharmaceuticals'!BC14,0)))),0)</f>
        <v>0</v>
      </c>
      <c r="O243" s="1191">
        <f t="shared" ref="O243:O265" si="35">K243+L243+M243+N243</f>
        <v>0</v>
      </c>
      <c r="P243" s="1189">
        <f>IF(SETUP!$F$50="At delivery",IF(SETUP!$G$50=4,$E$241*'Malaria-Pharmaceuticals'!BA14,IF(SETUP!$G$50=3,$E$241*'Malaria-Pharmaceuticals'!BB14,IF(SETUP!$G$50=2,$E$241*'Malaria-Pharmaceuticals'!BC14,IF(SETUP!$G$50=1,$E$241*'Malaria-Pharmaceuticals'!BD14,0)))),0)</f>
        <v>0</v>
      </c>
      <c r="Q243" s="1189">
        <f>IF(SETUP!$F$50="At delivery",IF(SETUP!$G$50=4,$E$241*'Malaria-Pharmaceuticals'!BB14,IF(SETUP!$G$50=3,$E$241*'Malaria-Pharmaceuticals'!BC14,IF(SETUP!$G$50=2,$E$241*'Malaria-Pharmaceuticals'!BD14,IF(SETUP!$G$50=1,$E$241*'Malaria-Pharmaceuticals'!BE14,0)))),0)</f>
        <v>0</v>
      </c>
      <c r="R243" s="1189">
        <f>IF(SETUP!$F$50="At delivery",IF(SETUP!$G$50=4,$E$241*'Malaria-Pharmaceuticals'!BC14,IF(SETUP!$G$50=3,$E$241*'Malaria-Pharmaceuticals'!BD14,IF(SETUP!$G$50=2,$E$241*'Malaria-Pharmaceuticals'!BE14,IF(SETUP!$G$50=1,$E$241*'Malaria-Pharmaceuticals'!BF14,0)))),0)</f>
        <v>0</v>
      </c>
      <c r="S243" s="1189">
        <f>IF(SETUP!$F$50="At delivery",IF(SETUP!$G$50=4,$E$241*('Malaria-Pharmaceuticals'!BD14+'Malaria-Pharmaceuticals'!BE14+'Malaria-Pharmaceuticals'!BF14+'Malaria-Pharmaceuticals'!BG14+'Malaria-Pharmaceuticals'!BH14),IF(SETUP!$G$50=3,$E$241*('Malaria-Pharmaceuticals'!BE14+'Malaria-Pharmaceuticals'!BF14+'Malaria-Pharmaceuticals'!BG14+'Malaria-Pharmaceuticals'!BH14),IF(SETUP!$G$50=2,$E$241*('Malaria-Pharmaceuticals'!BF14+'Malaria-Pharmaceuticals'!BG14+'Malaria-Pharmaceuticals'!BH14),IF(SETUP!$G$50=1,$E$241*('Malaria-Pharmaceuticals'!BG14+'Malaria-Pharmaceuticals'!BH14),0)))),0)</f>
        <v>0</v>
      </c>
      <c r="T243" s="1190">
        <f t="shared" ref="T243:T265" si="36">P243+Q243+R243+S243</f>
        <v>0</v>
      </c>
      <c r="U243" s="1189">
        <f t="shared" ref="U243:U265" si="37">J243+O243+T243</f>
        <v>0</v>
      </c>
      <c r="V243" s="1795">
        <v>7.5</v>
      </c>
      <c r="W243" s="1823"/>
      <c r="X243" s="1820"/>
    </row>
    <row r="244" spans="1:24" s="860" customFormat="1" ht="15" hidden="1" customHeight="1" collapsed="1">
      <c r="A244" s="2909"/>
      <c r="B244" s="2910"/>
      <c r="C244" s="2891" t="s">
        <v>1235</v>
      </c>
      <c r="D244" s="2892"/>
      <c r="E244" s="1880">
        <v>0</v>
      </c>
      <c r="F244" s="1279">
        <f>IF(SETUP!$F$51="Upfront",F245,F246)</f>
        <v>0</v>
      </c>
      <c r="G244" s="1189">
        <f>IF(SETUP!$F$51="Upfront",G245,G246)</f>
        <v>0</v>
      </c>
      <c r="H244" s="1189">
        <f>IF(SETUP!$F$51="Upfront",H245,H246)</f>
        <v>0</v>
      </c>
      <c r="I244" s="1189">
        <f>IF(SETUP!$F$51="Upfront",I245,I246)</f>
        <v>0</v>
      </c>
      <c r="J244" s="1193">
        <f t="shared" si="34"/>
        <v>0</v>
      </c>
      <c r="K244" s="1189">
        <f>IF(SETUP!$F$51="Upfront",K245,K246)</f>
        <v>0</v>
      </c>
      <c r="L244" s="1189">
        <f>IF(SETUP!$F$51="Upfront",L245,L246)</f>
        <v>0</v>
      </c>
      <c r="M244" s="1189">
        <f>IF(SETUP!$F$51="Upfront",M245,M246)</f>
        <v>0</v>
      </c>
      <c r="N244" s="1189">
        <f>IF(SETUP!$F$51="Upfront",N245,N246)</f>
        <v>0</v>
      </c>
      <c r="O244" s="1191">
        <f t="shared" si="35"/>
        <v>0</v>
      </c>
      <c r="P244" s="1189">
        <f>IF(SETUP!$F$51="Upfront",P245,P246)</f>
        <v>0</v>
      </c>
      <c r="Q244" s="1189">
        <f>IF(SETUP!$F$51="Upfront",Q245,Q246)</f>
        <v>0</v>
      </c>
      <c r="R244" s="1189">
        <f>IF(SETUP!$F$51="Upfront",R245,R246)</f>
        <v>0</v>
      </c>
      <c r="S244" s="1189">
        <f>IF(SETUP!$F$51="Upfront",S245,S246)</f>
        <v>0</v>
      </c>
      <c r="T244" s="1190">
        <f t="shared" si="36"/>
        <v>0</v>
      </c>
      <c r="U244" s="1189">
        <f t="shared" si="37"/>
        <v>0</v>
      </c>
      <c r="V244" s="1795">
        <v>7.5</v>
      </c>
      <c r="W244" s="1823"/>
      <c r="X244" s="1820"/>
    </row>
    <row r="245" spans="1:24" s="860" customFormat="1" ht="15" hidden="1" customHeight="1" outlineLevel="1">
      <c r="A245" s="2909"/>
      <c r="B245" s="2910"/>
      <c r="C245" s="2889" t="s">
        <v>918</v>
      </c>
      <c r="D245" s="2890"/>
      <c r="E245" s="1880"/>
      <c r="F245" s="1279">
        <f>IF(SETUP!$F$51="Upfront",$E$244*'Malaria-Pharmaceuticals'!AW15,0)</f>
        <v>0</v>
      </c>
      <c r="G245" s="1189">
        <f>IF(SETUP!$F$51="Upfront",$E$244*'Malaria-Pharmaceuticals'!AX15,0)</f>
        <v>0</v>
      </c>
      <c r="H245" s="1189">
        <f>IF(SETUP!$F$51="Upfront",$E$244*'Malaria-Pharmaceuticals'!AY15,0)</f>
        <v>0</v>
      </c>
      <c r="I245" s="1189">
        <f>IF(SETUP!$F$51="Upfront",$E$244*'Malaria-Pharmaceuticals'!AZ15,0)</f>
        <v>0</v>
      </c>
      <c r="J245" s="1193">
        <f t="shared" si="34"/>
        <v>0</v>
      </c>
      <c r="K245" s="1189">
        <f>IF(SETUP!$F$51="Upfront",$E$244*'Malaria-Pharmaceuticals'!BA15,0)</f>
        <v>0</v>
      </c>
      <c r="L245" s="1189">
        <f>IF(SETUP!$F$51="Upfront",$E$244*'Malaria-Pharmaceuticals'!BB15,0)</f>
        <v>0</v>
      </c>
      <c r="M245" s="1189">
        <f>IF(SETUP!$F$51="Upfront",$E$244*'Malaria-Pharmaceuticals'!BC15,0)</f>
        <v>0</v>
      </c>
      <c r="N245" s="1189">
        <f>IF(SETUP!$F$51="Upfront",$E$244*'Malaria-Pharmaceuticals'!BD15,0)</f>
        <v>0</v>
      </c>
      <c r="O245" s="1191">
        <f t="shared" si="35"/>
        <v>0</v>
      </c>
      <c r="P245" s="1189">
        <f>IF(SETUP!$F$51="Upfront",$E$244*'Malaria-Pharmaceuticals'!BE15,0)</f>
        <v>0</v>
      </c>
      <c r="Q245" s="1189">
        <f>IF(SETUP!$F$51="Upfront",$E$244*'Malaria-Pharmaceuticals'!BF15,0)</f>
        <v>0</v>
      </c>
      <c r="R245" s="1189">
        <f>IF(SETUP!$F$51="Upfront",$E$244*'Malaria-Pharmaceuticals'!BG15,0)</f>
        <v>0</v>
      </c>
      <c r="S245" s="1189">
        <f>IF(SETUP!$F$51="Upfront",$E$244*'Malaria-Pharmaceuticals'!BH15,0)</f>
        <v>0</v>
      </c>
      <c r="T245" s="1190">
        <f t="shared" si="36"/>
        <v>0</v>
      </c>
      <c r="U245" s="1189">
        <f t="shared" si="37"/>
        <v>0</v>
      </c>
      <c r="V245" s="1795">
        <v>7.5</v>
      </c>
      <c r="W245" s="1823"/>
      <c r="X245" s="1820"/>
    </row>
    <row r="246" spans="1:24" s="860" customFormat="1" ht="15" hidden="1" customHeight="1" outlineLevel="1">
      <c r="A246" s="2909"/>
      <c r="B246" s="2910"/>
      <c r="C246" s="2889" t="s">
        <v>36</v>
      </c>
      <c r="D246" s="2890"/>
      <c r="E246" s="1880"/>
      <c r="F246" s="1280">
        <v>0</v>
      </c>
      <c r="G246" s="1206">
        <f>IF(SETUP!$F$51="At delivery",IF(SETUP!$G$51=1,$E$244*'Malaria-Pharmaceuticals'!AW15,0),0)</f>
        <v>0</v>
      </c>
      <c r="H246" s="1206">
        <f>IF(SETUP!$F$51="At delivery",IF(SETUP!$G$51=2,$E$244*'Malaria-Pharmaceuticals'!AW15,IF(SETUP!$G$51=1,$E$244*'Malaria-Pharmaceuticals'!AX15,0)),0)</f>
        <v>0</v>
      </c>
      <c r="I246" s="1206">
        <f>IF(SETUP!$F$51="At delivery",IF(SETUP!$G$51=3,$E$244*'Malaria-Pharmaceuticals'!AW15,IF(SETUP!$G$51=2,$E$244*'Malaria-Pharmaceuticals'!AX15,IF(SETUP!$G$51=1,$E$244*'Malaria-Pharmaceuticals'!AY15,0))),0)</f>
        <v>0</v>
      </c>
      <c r="J246" s="1193">
        <f t="shared" si="34"/>
        <v>0</v>
      </c>
      <c r="K246" s="1206">
        <f>IF(SETUP!$F$51="At delivery",IF(SETUP!$G$51=4,$E$244*'Malaria-Pharmaceuticals'!AW15,IF(SETUP!$G$51=3,$E$244*'Malaria-Pharmaceuticals'!AX15,IF(SETUP!$G$51=2,$E$244*'Malaria-Pharmaceuticals'!AY15,IF(SETUP!$G$51=1,$E$244*'Malaria-Pharmaceuticals'!AZ15,0)))),0)</f>
        <v>0</v>
      </c>
      <c r="L246" s="1206">
        <f>IF(SETUP!$F$51="At delivery",IF(SETUP!$G$51=4,$E$244*'Malaria-Pharmaceuticals'!AX15,IF(SETUP!$G$51=3,$E$244*'Malaria-Pharmaceuticals'!AY15,IF(SETUP!$G$51=2,$E$244*'Malaria-Pharmaceuticals'!AZ15,IF(SETUP!$G$51=1,$E$244*'Malaria-Pharmaceuticals'!BA15,0)))),0)</f>
        <v>0</v>
      </c>
      <c r="M246" s="1206">
        <f>IF(SETUP!$F$51="At delivery",IF(SETUP!$G$51=4,$E$244*'Malaria-Pharmaceuticals'!AY15,IF(SETUP!$G$51=3,$E$244*'Malaria-Pharmaceuticals'!AZ15,IF(SETUP!$G$51=2,$E$244*'Malaria-Pharmaceuticals'!BA15,IF(SETUP!$G$51=1,$E$244*'Malaria-Pharmaceuticals'!BB15,0)))),0)</f>
        <v>0</v>
      </c>
      <c r="N246" s="1206">
        <f>IF(SETUP!$F$51="At delivery",IF(SETUP!$G$51=4,$E$244*'Malaria-Pharmaceuticals'!AZ15,IF(SETUP!$G$51=3,$E$244*'Malaria-Pharmaceuticals'!BA15,IF(SETUP!$G$51=2,$E$244*'Malaria-Pharmaceuticals'!BB15,IF(SETUP!$G$51=1,$E$244*'Malaria-Pharmaceuticals'!BC15,0)))),0)</f>
        <v>0</v>
      </c>
      <c r="O246" s="1191">
        <f t="shared" si="35"/>
        <v>0</v>
      </c>
      <c r="P246" s="1189">
        <f>IF(SETUP!$F$51="At delivery",IF(SETUP!$G$51=4,$E$244*'Malaria-Pharmaceuticals'!BA15,IF(SETUP!$G$51=3,$E$244*'Malaria-Pharmaceuticals'!BB15,IF(SETUP!$G$51=2,$E$244*'Malaria-Pharmaceuticals'!BC15,IF(SETUP!$G$51=1,$E$244*'Malaria-Pharmaceuticals'!BD15,0)))),0)</f>
        <v>0</v>
      </c>
      <c r="Q246" s="1189">
        <f>IF(SETUP!$F$51="At delivery",IF(SETUP!$G$51=4,$E$244*'Malaria-Pharmaceuticals'!BB15,IF(SETUP!$G$51=3,$E$244*'Malaria-Pharmaceuticals'!BC15,IF(SETUP!$G$51=2,$E$244*'Malaria-Pharmaceuticals'!BD15,IF(SETUP!$G$51=1,$E$244*'Malaria-Pharmaceuticals'!BE15,0)))),0)</f>
        <v>0</v>
      </c>
      <c r="R246" s="1189">
        <f>IF(SETUP!$F$51="At delivery",IF(SETUP!$G$51=4,$E$244*'Malaria-Pharmaceuticals'!BC15,IF(SETUP!$G$51=3,$E$244*'Malaria-Pharmaceuticals'!BD15,IF(SETUP!$G$51=2,$E$244*'Malaria-Pharmaceuticals'!BE15,IF(SETUP!$G$51=1,$E$244*'Malaria-Pharmaceuticals'!BF15,0)))),0)</f>
        <v>0</v>
      </c>
      <c r="S246" s="1189">
        <f>IF(SETUP!$F$51="At delivery",IF(SETUP!$G$51=4,$E$244*('Malaria-Pharmaceuticals'!BD15+'Malaria-Pharmaceuticals'!BE15+'Malaria-Pharmaceuticals'!BF15+'Malaria-Pharmaceuticals'!BG15+'Malaria-Pharmaceuticals'!BH15),IF(SETUP!$G$51=3,$E$244*('Malaria-Pharmaceuticals'!BE15+'Malaria-Pharmaceuticals'!BF15+'Malaria-Pharmaceuticals'!BG15+'Malaria-Pharmaceuticals'!BH15),IF(SETUP!$G$51=2,$E$244*('Malaria-Pharmaceuticals'!BF15+'Malaria-Pharmaceuticals'!BG15+'Malaria-Pharmaceuticals'!BH15),IF(SETUP!$G$51=1,$E$244*('Malaria-Pharmaceuticals'!BG15+'Malaria-Pharmaceuticals'!BH15),0)))),0)</f>
        <v>0</v>
      </c>
      <c r="T246" s="1190">
        <f t="shared" si="36"/>
        <v>0</v>
      </c>
      <c r="U246" s="1189">
        <f t="shared" si="37"/>
        <v>0</v>
      </c>
      <c r="V246" s="1795">
        <v>7.5</v>
      </c>
      <c r="W246" s="1823"/>
      <c r="X246" s="1820"/>
    </row>
    <row r="247" spans="1:24" s="860" customFormat="1" ht="15" hidden="1" customHeight="1" collapsed="1">
      <c r="A247" s="2926" t="s">
        <v>579</v>
      </c>
      <c r="B247" s="2927"/>
      <c r="C247" s="2907" t="s">
        <v>311</v>
      </c>
      <c r="D247" s="2908"/>
      <c r="E247" s="1880">
        <v>0</v>
      </c>
      <c r="F247" s="1279">
        <f>IF(SETUP!$F$52="Upfront",F248,F249)</f>
        <v>0</v>
      </c>
      <c r="G247" s="1189">
        <f>IF(SETUP!$F$52="Upfront",G248,G249)</f>
        <v>0</v>
      </c>
      <c r="H247" s="1189">
        <f>IF(SETUP!$F$52="Upfront",H248,H249)</f>
        <v>0</v>
      </c>
      <c r="I247" s="1189">
        <f>IF(SETUP!$F$52="Upfront",I248,I249)</f>
        <v>0</v>
      </c>
      <c r="J247" s="1193">
        <f t="shared" si="34"/>
        <v>0</v>
      </c>
      <c r="K247" s="1189">
        <f>IF(SETUP!$F$52="Upfront",K248,K249)</f>
        <v>0</v>
      </c>
      <c r="L247" s="1189">
        <f>IF(SETUP!$F$52="Upfront",L248,L249)</f>
        <v>0</v>
      </c>
      <c r="M247" s="1189">
        <f>IF(SETUP!$F$52="Upfront",M248,M249)</f>
        <v>0</v>
      </c>
      <c r="N247" s="1189">
        <f>IF(SETUP!$F$52="Upfront",N248,N249)</f>
        <v>0</v>
      </c>
      <c r="O247" s="1191">
        <f t="shared" si="35"/>
        <v>0</v>
      </c>
      <c r="P247" s="1189">
        <f>IF(SETUP!$F$52="Upfront",P248,P249)</f>
        <v>0</v>
      </c>
      <c r="Q247" s="1189">
        <f>IF(SETUP!$F$52="Upfront",Q248,Q249)</f>
        <v>0</v>
      </c>
      <c r="R247" s="1189">
        <f>IF(SETUP!$F$52="Upfront",R248,R249)</f>
        <v>0</v>
      </c>
      <c r="S247" s="1189">
        <f>IF(SETUP!$F$52="Upfront",S248,S249)</f>
        <v>0</v>
      </c>
      <c r="T247" s="1190">
        <f t="shared" si="36"/>
        <v>0</v>
      </c>
      <c r="U247" s="1189">
        <f t="shared" si="37"/>
        <v>0</v>
      </c>
      <c r="V247" s="1795">
        <v>7.5</v>
      </c>
      <c r="W247" s="1823"/>
      <c r="X247" s="1820"/>
    </row>
    <row r="248" spans="1:24" s="860" customFormat="1" ht="15" hidden="1" customHeight="1" outlineLevel="1">
      <c r="A248" s="2928"/>
      <c r="B248" s="2929"/>
      <c r="C248" s="2889" t="s">
        <v>918</v>
      </c>
      <c r="D248" s="2890"/>
      <c r="E248" s="1880"/>
      <c r="F248" s="1279">
        <f>IF(SETUP!$F$52="Upfront",$E$247*'Malaria-Equipment &amp; Other HPs'!AW14,0)</f>
        <v>0</v>
      </c>
      <c r="G248" s="1189">
        <f>IF(SETUP!$F$52="Upfront",$E$247*'Malaria-Equipment &amp; Other HPs'!AX14,0)</f>
        <v>0</v>
      </c>
      <c r="H248" s="1189">
        <f>IF(SETUP!$F$52="Upfront",$E$247*'Malaria-Equipment &amp; Other HPs'!AY14,0)</f>
        <v>0</v>
      </c>
      <c r="I248" s="1189">
        <f>IF(SETUP!$F$52="Upfront",$E$247*'Malaria-Equipment &amp; Other HPs'!AZ14,0)</f>
        <v>0</v>
      </c>
      <c r="J248" s="1193">
        <f t="shared" si="34"/>
        <v>0</v>
      </c>
      <c r="K248" s="1189">
        <f>IF(SETUP!$F$52="Upfront",$E$247*'Malaria-Equipment &amp; Other HPs'!BA14,0)</f>
        <v>0</v>
      </c>
      <c r="L248" s="1189">
        <f>IF(SETUP!$F$52="Upfront",$E$247*'Malaria-Equipment &amp; Other HPs'!BB14,0)</f>
        <v>0</v>
      </c>
      <c r="M248" s="1189">
        <f>IF(SETUP!$F$52="Upfront",$E$247*'Malaria-Equipment &amp; Other HPs'!BC14,0)</f>
        <v>0</v>
      </c>
      <c r="N248" s="1189">
        <f>IF(SETUP!$F$52="Upfront",$E$247*'Malaria-Equipment &amp; Other HPs'!BD14,0)</f>
        <v>0</v>
      </c>
      <c r="O248" s="1191">
        <f t="shared" si="35"/>
        <v>0</v>
      </c>
      <c r="P248" s="1189">
        <f>IF(SETUP!$F$52="Upfront",$E$247*'Malaria-Equipment &amp; Other HPs'!BE14,0)</f>
        <v>0</v>
      </c>
      <c r="Q248" s="1189">
        <f>IF(SETUP!$F$52="Upfront",$E$247*'Malaria-Equipment &amp; Other HPs'!BF14,0)</f>
        <v>0</v>
      </c>
      <c r="R248" s="1189">
        <f>IF(SETUP!$F$52="Upfront",$E$247*'Malaria-Equipment &amp; Other HPs'!BG14,0)</f>
        <v>0</v>
      </c>
      <c r="S248" s="1189">
        <f>IF(SETUP!$F$52="Upfront",$E$247*'Malaria-Equipment &amp; Other HPs'!BH14,0)</f>
        <v>0</v>
      </c>
      <c r="T248" s="1190">
        <f t="shared" si="36"/>
        <v>0</v>
      </c>
      <c r="U248" s="1189">
        <f t="shared" si="37"/>
        <v>0</v>
      </c>
      <c r="V248" s="1795">
        <v>7.5</v>
      </c>
      <c r="W248" s="1823"/>
      <c r="X248" s="1820"/>
    </row>
    <row r="249" spans="1:24" s="860" customFormat="1" ht="15" hidden="1" customHeight="1" outlineLevel="1">
      <c r="A249" s="2928"/>
      <c r="B249" s="2929"/>
      <c r="C249" s="2889" t="s">
        <v>36</v>
      </c>
      <c r="D249" s="2890"/>
      <c r="E249" s="1880"/>
      <c r="F249" s="1279">
        <v>0</v>
      </c>
      <c r="G249" s="1195">
        <f>IF(SETUP!$F$52="At delivery",IF(SETUP!$G$52=1,$E$247*'Malaria-Equipment &amp; Other HPs'!AW14,0),0)</f>
        <v>0</v>
      </c>
      <c r="H249" s="1194">
        <f>IF(SETUP!$F$52="At delivery",IF(SETUP!$G$52=2,$E$247*'Malaria-Equipment &amp; Other HPs'!AW14,IF(SETUP!$G$52=1,$E$247*'Malaria-Equipment &amp; Other HPs'!AX14,0)),0)</f>
        <v>0</v>
      </c>
      <c r="I249" s="1194">
        <f>IF(SETUP!$F$52="At delivery",IF(SETUP!$G$52=3,$E$247*'Malaria-Equipment &amp; Other HPs'!AW14,IF(SETUP!$G$52=2,$E$247*'Malaria-Equipment &amp; Other HPs'!AX14,IF(SETUP!$G$52=1,$E$247*'Malaria-Equipment &amp; Other HPs'!AY14,0))),0)</f>
        <v>0</v>
      </c>
      <c r="J249" s="1193">
        <f t="shared" si="34"/>
        <v>0</v>
      </c>
      <c r="K249" s="1194">
        <f>IF(SETUP!$F$52="At delivery",IF(SETUP!$G$52=4,$E$247*'Malaria-Equipment &amp; Other HPs'!AW14,IF(SETUP!$G$52=3,$E$247*'Malaria-Equipment &amp; Other HPs'!AX14,IF(SETUP!$G$52=2,$E$247*'Malaria-Equipment &amp; Other HPs'!AY14,IF(SETUP!$G$52=1,$E$247*'Malaria-Equipment &amp; Other HPs'!AZ14,0)))),0)</f>
        <v>0</v>
      </c>
      <c r="L249" s="1194">
        <f>IF(SETUP!$F$52="At delivery",IF(SETUP!$G$52=4,$E$247*'Malaria-Equipment &amp; Other HPs'!AX14,IF(SETUP!$G$52=3,$E$247*'Malaria-Equipment &amp; Other HPs'!AY14,IF(SETUP!$G$52=2,$E$247*'Malaria-Equipment &amp; Other HPs'!AZ14,IF(SETUP!$G$52=1,$E$247*'Malaria-Equipment &amp; Other HPs'!BA14,0)))),0)</f>
        <v>0</v>
      </c>
      <c r="M249" s="1194">
        <f>IF(SETUP!$F$52="At delivery",IF(SETUP!$G$52=4,$E$247*'Malaria-Equipment &amp; Other HPs'!AY14,IF(SETUP!$G$52=3,$E$247*'Malaria-Equipment &amp; Other HPs'!AZ14,IF(SETUP!$G$52=2,$E$247*'Malaria-Equipment &amp; Other HPs'!BA14,IF(SETUP!$G$52=1,$E$247*'Malaria-Equipment &amp; Other HPs'!BB14,0)))),0)</f>
        <v>0</v>
      </c>
      <c r="N249" s="1194">
        <f>IF(SETUP!$F$52="At delivery",IF(SETUP!$G$52=4,$E$247*'Malaria-Equipment &amp; Other HPs'!AZ14,IF(SETUP!$G$52=3,$E$247*'Malaria-Equipment &amp; Other HPs'!BA14,IF(SETUP!$G$52=2,$E$247*'Malaria-Equipment &amp; Other HPs'!BB14,IF(SETUP!$G$52=1,$E$247*'Malaria-Equipment &amp; Other HPs'!BC14,0)))),0)</f>
        <v>0</v>
      </c>
      <c r="O249" s="1191">
        <f t="shared" si="35"/>
        <v>0</v>
      </c>
      <c r="P249" s="1189">
        <f>IF(SETUP!$F$52="At delivery",IF(SETUP!$G$52=4,$E$247*'Malaria-Equipment &amp; Other HPs'!BA14,IF(SETUP!$G$52=3,$E$247*'Malaria-Equipment &amp; Other HPs'!BB14,IF(SETUP!$G$52=2,$E$247*'Malaria-Equipment &amp; Other HPs'!BC14,IF(SETUP!$G$52=1,$E$247*'Malaria-Equipment &amp; Other HPs'!BD14,0)))),0)</f>
        <v>0</v>
      </c>
      <c r="Q249" s="1189">
        <f>IF(SETUP!$F$52="At delivery",IF(SETUP!$G$52=4,$E$247*'Malaria-Equipment &amp; Other HPs'!BB14,IF(SETUP!$G$52=3,$E$247*'Malaria-Equipment &amp; Other HPs'!BC14,IF(SETUP!$G$52=2,$E$247*'Malaria-Equipment &amp; Other HPs'!BD14,IF(SETUP!$G$52=1,$E$247*'Malaria-Equipment &amp; Other HPs'!BE14,0)))),0)</f>
        <v>0</v>
      </c>
      <c r="R249" s="1189">
        <f>IF(SETUP!$F$52="At delivery",IF(SETUP!$G$52=4,$E$247*'Malaria-Equipment &amp; Other HPs'!BC14,IF(SETUP!$G$52=3,$E$247*'Malaria-Equipment &amp; Other HPs'!BD14,IF(SETUP!$G$52=2,$E$247*'Malaria-Equipment &amp; Other HPs'!BE14,IF(SETUP!$G$52=1,$E$247*'Malaria-Equipment &amp; Other HPs'!BF14,0)))),0)</f>
        <v>0</v>
      </c>
      <c r="S249" s="1189">
        <f>IF(SETUP!$F$52="At delivery",IF(SETUP!$G$52=4,$E$247*('Malaria-Equipment &amp; Other HPs'!BD14+'Malaria-Equipment &amp; Other HPs'!BE14+'Malaria-Equipment &amp; Other HPs'!BF14+'Malaria-Equipment &amp; Other HPs'!BG14+'Malaria-Equipment &amp; Other HPs'!BH14),IF(SETUP!$G$52=3,$E$247*('Malaria-Equipment &amp; Other HPs'!BE14+'Malaria-Equipment &amp; Other HPs'!BF14+'Malaria-Equipment &amp; Other HPs'!BG14+'Malaria-Equipment &amp; Other HPs'!BH14),IF(SETUP!$G$52=2,$E$247*('Malaria-Equipment &amp; Other HPs'!BF14+'Malaria-Equipment &amp; Other HPs'!BG14+'Malaria-Equipment &amp; Other HPs'!BH14),IF(SETUP!$G$52=1,$E$247*('Malaria-Equipment &amp; Other HPs'!BG14+'Malaria-Equipment &amp; Other HPs'!BH14),0)))),0)</f>
        <v>0</v>
      </c>
      <c r="T249" s="1190">
        <f t="shared" si="36"/>
        <v>0</v>
      </c>
      <c r="U249" s="1189">
        <f t="shared" si="37"/>
        <v>0</v>
      </c>
      <c r="V249" s="1795">
        <v>7.5</v>
      </c>
      <c r="W249" s="1823"/>
      <c r="X249" s="1820"/>
    </row>
    <row r="250" spans="1:24" s="860" customFormat="1" ht="15" hidden="1" customHeight="1" collapsed="1">
      <c r="A250" s="2928"/>
      <c r="B250" s="2929"/>
      <c r="C250" s="2907" t="s">
        <v>580</v>
      </c>
      <c r="D250" s="2908"/>
      <c r="E250" s="1880">
        <v>0</v>
      </c>
      <c r="F250" s="1279">
        <f>IF(SETUP!$F$53="Upfront",F251,F252)</f>
        <v>0</v>
      </c>
      <c r="G250" s="1189">
        <f>IF(SETUP!$F$53="Upfront",G251,G252)</f>
        <v>0</v>
      </c>
      <c r="H250" s="1189">
        <f>IF(SETUP!$F$53="Upfront",H251,H252)</f>
        <v>0</v>
      </c>
      <c r="I250" s="1189">
        <f>IF(SETUP!$F$53="Upfront",I251,I252)</f>
        <v>0</v>
      </c>
      <c r="J250" s="1193">
        <f t="shared" si="34"/>
        <v>0</v>
      </c>
      <c r="K250" s="1189">
        <f>IF(SETUP!$F$53="Upfront",K251,K252)</f>
        <v>0</v>
      </c>
      <c r="L250" s="1189">
        <f>IF(SETUP!$F$53="Upfront",L251,L252)</f>
        <v>0</v>
      </c>
      <c r="M250" s="1189">
        <f>IF(SETUP!$F$53="Upfront",M251,M252)</f>
        <v>0</v>
      </c>
      <c r="N250" s="1189">
        <f>IF(SETUP!$F$53="Upfront",N251,N252)</f>
        <v>0</v>
      </c>
      <c r="O250" s="1191">
        <f t="shared" si="35"/>
        <v>0</v>
      </c>
      <c r="P250" s="1189">
        <f>IF(SETUP!$F$53="Upfront",P251,P252)</f>
        <v>0</v>
      </c>
      <c r="Q250" s="1189">
        <f>IF(SETUP!$F$53="Upfront",Q251,Q252)</f>
        <v>0</v>
      </c>
      <c r="R250" s="1189">
        <f>IF(SETUP!$F$53="Upfront",R251,R252)</f>
        <v>0</v>
      </c>
      <c r="S250" s="1189">
        <f>IF(SETUP!$F$53="Upfront",S251,S252)</f>
        <v>0</v>
      </c>
      <c r="T250" s="1190">
        <f t="shared" si="36"/>
        <v>0</v>
      </c>
      <c r="U250" s="1189">
        <f t="shared" si="37"/>
        <v>0</v>
      </c>
      <c r="V250" s="1795">
        <v>7.5</v>
      </c>
      <c r="W250" s="1823"/>
      <c r="X250" s="1820"/>
    </row>
    <row r="251" spans="1:24" s="860" customFormat="1" ht="15" hidden="1" customHeight="1" outlineLevel="1">
      <c r="A251" s="2928"/>
      <c r="B251" s="2929"/>
      <c r="C251" s="2889" t="s">
        <v>918</v>
      </c>
      <c r="D251" s="2890"/>
      <c r="E251" s="1880"/>
      <c r="F251" s="1279">
        <f>IF(SETUP!$F$53="Upfront",$E$250*'Malaria-Equipment &amp; Other HPs'!AW15,0)</f>
        <v>0</v>
      </c>
      <c r="G251" s="1189">
        <f>IF(SETUP!$F$53="Upfront",$E$250*'Malaria-Equipment &amp; Other HPs'!AX15,0)</f>
        <v>0</v>
      </c>
      <c r="H251" s="1189">
        <f>IF(SETUP!$F$53="Upfront",$E$250*'Malaria-Equipment &amp; Other HPs'!AY15,0)</f>
        <v>0</v>
      </c>
      <c r="I251" s="1189">
        <f>IF(SETUP!$F$53="Upfront",$E$250*'Malaria-Equipment &amp; Other HPs'!AZ15,0)</f>
        <v>0</v>
      </c>
      <c r="J251" s="1193">
        <f t="shared" si="34"/>
        <v>0</v>
      </c>
      <c r="K251" s="1189">
        <f>IF(SETUP!$F$53="Upfront",$E$250*'Malaria-Equipment &amp; Other HPs'!BA15,0)</f>
        <v>0</v>
      </c>
      <c r="L251" s="1189">
        <f>IF(SETUP!$F$53="Upfront",$E$250*'Malaria-Equipment &amp; Other HPs'!BB15,0)</f>
        <v>0</v>
      </c>
      <c r="M251" s="1189">
        <f>IF(SETUP!$F$53="Upfront",$E$250*'Malaria-Equipment &amp; Other HPs'!BC15,0)</f>
        <v>0</v>
      </c>
      <c r="N251" s="1189">
        <f>IF(SETUP!$F$53="Upfront",$E$250*'Malaria-Equipment &amp; Other HPs'!BD15,0)</f>
        <v>0</v>
      </c>
      <c r="O251" s="1191">
        <f t="shared" si="35"/>
        <v>0</v>
      </c>
      <c r="P251" s="1189">
        <f>IF(SETUP!$F$53="Upfront",$E$250*'Malaria-Equipment &amp; Other HPs'!BE15,0)</f>
        <v>0</v>
      </c>
      <c r="Q251" s="1189">
        <f>IF(SETUP!$F$53="Upfront",$E$250*'Malaria-Equipment &amp; Other HPs'!BF15,0)</f>
        <v>0</v>
      </c>
      <c r="R251" s="1189">
        <f>IF(SETUP!$F$53="Upfront",$E$250*'Malaria-Equipment &amp; Other HPs'!BG15,0)</f>
        <v>0</v>
      </c>
      <c r="S251" s="1189">
        <f>IF(SETUP!$F$53="Upfront",$E$250*'Malaria-Equipment &amp; Other HPs'!BH15,0)</f>
        <v>0</v>
      </c>
      <c r="T251" s="1190">
        <f t="shared" si="36"/>
        <v>0</v>
      </c>
      <c r="U251" s="1189">
        <f t="shared" si="37"/>
        <v>0</v>
      </c>
      <c r="V251" s="1795">
        <v>7.5</v>
      </c>
      <c r="W251" s="1823"/>
      <c r="X251" s="1820"/>
    </row>
    <row r="252" spans="1:24" s="860" customFormat="1" ht="15" hidden="1" customHeight="1" outlineLevel="1">
      <c r="A252" s="2928"/>
      <c r="B252" s="2929"/>
      <c r="C252" s="2889" t="s">
        <v>36</v>
      </c>
      <c r="D252" s="2890"/>
      <c r="E252" s="1880"/>
      <c r="F252" s="1279">
        <v>0</v>
      </c>
      <c r="G252" s="1195">
        <f>IF(SETUP!$F$53="At delivery",IF(SETUP!$G$53=1,$E$250*'Malaria-Equipment &amp; Other HPs'!AW15,0),0)</f>
        <v>0</v>
      </c>
      <c r="H252" s="1194">
        <f>IF(SETUP!$F$53="At delivery",IF(SETUP!$G$53=2,$E$250*'Malaria-Equipment &amp; Other HPs'!AW15,IF(SETUP!$G$53=1,$E$250*'Malaria-Equipment &amp; Other HPs'!AX15,0)),0)</f>
        <v>0</v>
      </c>
      <c r="I252" s="1194">
        <f>IF(SETUP!$F$53="At delivery",IF(SETUP!$G$53=3,$E$250*'Malaria-Equipment &amp; Other HPs'!AW15,IF(SETUP!$G$53=2,$E$250*'Malaria-Equipment &amp; Other HPs'!AX15,IF(SETUP!$G$53=1,$E$250*'Malaria-Equipment &amp; Other HPs'!AY15,0))),0)</f>
        <v>0</v>
      </c>
      <c r="J252" s="1193">
        <f t="shared" si="34"/>
        <v>0</v>
      </c>
      <c r="K252" s="1194">
        <f>IF(SETUP!$F$53="At delivery",IF(SETUP!$G$53=4,$E$250*'Malaria-Equipment &amp; Other HPs'!AW15,IF(SETUP!$G$53=3,$E$250*'Malaria-Equipment &amp; Other HPs'!AX15,IF(SETUP!$G$53=2,$E$250*'Malaria-Equipment &amp; Other HPs'!AY15,IF(SETUP!$G$53=1,$E$250*'Malaria-Equipment &amp; Other HPs'!AZ15,0)))),0)</f>
        <v>0</v>
      </c>
      <c r="L252" s="1194">
        <f>IF(SETUP!$F$53="At delivery",IF(SETUP!$G$53=4,$E$250*'Malaria-Equipment &amp; Other HPs'!AX15,IF(SETUP!$G$53=3,$E$250*'Malaria-Equipment &amp; Other HPs'!AY15,IF(SETUP!$G$53=2,$E$250*'Malaria-Equipment &amp; Other HPs'!AZ15,IF(SETUP!$G$53=1,$E$250*'Malaria-Equipment &amp; Other HPs'!BA15,0)))),0)</f>
        <v>0</v>
      </c>
      <c r="M252" s="1194">
        <f>IF(SETUP!$F$53="At delivery",IF(SETUP!$G$53=4,$E$250*'Malaria-Equipment &amp; Other HPs'!AY15,IF(SETUP!$G$53=3,$E$250*'Malaria-Equipment &amp; Other HPs'!AZ15,IF(SETUP!$G$53=2,$E$250*'Malaria-Equipment &amp; Other HPs'!BA15,IF(SETUP!$G$53=1,$E$250*'Malaria-Equipment &amp; Other HPs'!BB15,0)))),0)</f>
        <v>0</v>
      </c>
      <c r="N252" s="1194">
        <f>IF(SETUP!$F$53="At delivery",IF(SETUP!$G$53=4,$E$250*'Malaria-Equipment &amp; Other HPs'!AZ15,IF(SETUP!$G$53=3,$E$250*'Malaria-Equipment &amp; Other HPs'!BA15,IF(SETUP!$G$53=2,$E$250*'Malaria-Equipment &amp; Other HPs'!BB15,IF(SETUP!$G$53=1,$E$250*'Malaria-Equipment &amp; Other HPs'!BC15,0)))),0)</f>
        <v>0</v>
      </c>
      <c r="O252" s="1191">
        <f t="shared" si="35"/>
        <v>0</v>
      </c>
      <c r="P252" s="1189">
        <f>IF(SETUP!$F$53="At delivery",IF(SETUP!$G$53=4,$E$250*'Malaria-Equipment &amp; Other HPs'!BA15,IF(SETUP!$G$53=3,$E$250*'Malaria-Equipment &amp; Other HPs'!BB15,IF(SETUP!$G$53=2,$E$250*'Malaria-Equipment &amp; Other HPs'!BC15,IF(SETUP!$G$53=1,$E$250*'Malaria-Equipment &amp; Other HPs'!BD15,0)))),0)</f>
        <v>0</v>
      </c>
      <c r="Q252" s="1189">
        <f>IF(SETUP!$F$53="At delivery",IF(SETUP!$G$53=4,$E$250*'Malaria-Equipment &amp; Other HPs'!BB15,IF(SETUP!$G$53=3,$E$250*'Malaria-Equipment &amp; Other HPs'!BC15,IF(SETUP!$G$53=2,$E$250*'Malaria-Equipment &amp; Other HPs'!BD15,IF(SETUP!$G$53=1,$E$250*'Malaria-Equipment &amp; Other HPs'!BE15,0)))),0)</f>
        <v>0</v>
      </c>
      <c r="R252" s="1189">
        <f>IF(SETUP!$F$53="At delivery",IF(SETUP!$G$53=4,$E$250*'Malaria-Equipment &amp; Other HPs'!BC15,IF(SETUP!$G$53=3,$E$250*'Malaria-Equipment &amp; Other HPs'!BD15,IF(SETUP!$G$53=2,$E$250*'Malaria-Equipment &amp; Other HPs'!BE15,IF(SETUP!$G$53=1,$E$250*'Malaria-Equipment &amp; Other HPs'!BF15,0)))),0)</f>
        <v>0</v>
      </c>
      <c r="S252" s="1189">
        <f>IF(SETUP!$F$53="At delivery",IF(SETUP!$G$53=4,$E$250*('Malaria-Equipment &amp; Other HPs'!BD15+'Malaria-Equipment &amp; Other HPs'!BE15+'Malaria-Equipment &amp; Other HPs'!BF15+'Malaria-Equipment &amp; Other HPs'!BG15+'Malaria-Equipment &amp; Other HPs'!BH15),IF(SETUP!$G$53=3,$E$250*('Malaria-Equipment &amp; Other HPs'!BE15+'Malaria-Equipment &amp; Other HPs'!BF15+'Malaria-Equipment &amp; Other HPs'!BG15+'Malaria-Equipment &amp; Other HPs'!BH15),IF(SETUP!$G$53=2,$E$250*('Malaria-Equipment &amp; Other HPs'!BF15+'Malaria-Equipment &amp; Other HPs'!BG15+'Malaria-Equipment &amp; Other HPs'!BH15),IF(SETUP!$G$53=1,$E$250*('Malaria-Equipment &amp; Other HPs'!BG15+'Malaria-Equipment &amp; Other HPs'!BH15),0)))),0)</f>
        <v>0</v>
      </c>
      <c r="T252" s="1190">
        <f t="shared" si="36"/>
        <v>0</v>
      </c>
      <c r="U252" s="1189">
        <f t="shared" si="37"/>
        <v>0</v>
      </c>
      <c r="V252" s="1795">
        <v>7.5</v>
      </c>
      <c r="W252" s="1823"/>
      <c r="X252" s="1820"/>
    </row>
    <row r="253" spans="1:24" s="860" customFormat="1" ht="15" hidden="1" customHeight="1" collapsed="1">
      <c r="A253" s="2928"/>
      <c r="B253" s="2929"/>
      <c r="C253" s="2907" t="s">
        <v>581</v>
      </c>
      <c r="D253" s="2908"/>
      <c r="E253" s="1880">
        <v>0</v>
      </c>
      <c r="F253" s="1279">
        <f>IF(SETUP!$F$54="Upfront",F254,F255)</f>
        <v>0</v>
      </c>
      <c r="G253" s="1189">
        <f>IF(SETUP!$F$54="Upfront",G254,G255)</f>
        <v>0</v>
      </c>
      <c r="H253" s="1189">
        <f>IF(SETUP!$F$54="Upfront",H254,H255)</f>
        <v>0</v>
      </c>
      <c r="I253" s="1189">
        <f>IF(SETUP!$F$54="Upfront",I254,I255)</f>
        <v>0</v>
      </c>
      <c r="J253" s="1193">
        <f t="shared" si="34"/>
        <v>0</v>
      </c>
      <c r="K253" s="1189">
        <f>IF(SETUP!$F$54="Upfront",K254,K255)</f>
        <v>0</v>
      </c>
      <c r="L253" s="1189">
        <f>IF(SETUP!$F$54="Upfront",L254,L255)</f>
        <v>0</v>
      </c>
      <c r="M253" s="1189">
        <f>IF(SETUP!$F$54="Upfront",M254,M255)</f>
        <v>0</v>
      </c>
      <c r="N253" s="1189">
        <f>IF(SETUP!$F$54="Upfront",N254,N255)</f>
        <v>0</v>
      </c>
      <c r="O253" s="1191">
        <f t="shared" si="35"/>
        <v>0</v>
      </c>
      <c r="P253" s="1189">
        <f>IF(SETUP!$F$54="Upfront",P254,P255)</f>
        <v>0</v>
      </c>
      <c r="Q253" s="1189">
        <f>IF(SETUP!$F$54="Upfront",Q254,Q255)</f>
        <v>0</v>
      </c>
      <c r="R253" s="1189">
        <f>IF(SETUP!$F$54="Upfront",R254,R255)</f>
        <v>0</v>
      </c>
      <c r="S253" s="1189">
        <f>IF(SETUP!$F$54="Upfront",S254,S255)</f>
        <v>0</v>
      </c>
      <c r="T253" s="1190">
        <f t="shared" si="36"/>
        <v>0</v>
      </c>
      <c r="U253" s="1189">
        <f t="shared" si="37"/>
        <v>0</v>
      </c>
      <c r="V253" s="1795">
        <v>7.5</v>
      </c>
      <c r="W253" s="1823"/>
      <c r="X253" s="1820"/>
    </row>
    <row r="254" spans="1:24" s="860" customFormat="1" ht="15" hidden="1" customHeight="1" outlineLevel="1">
      <c r="A254" s="2928"/>
      <c r="B254" s="2929"/>
      <c r="C254" s="2889" t="s">
        <v>918</v>
      </c>
      <c r="D254" s="2890"/>
      <c r="E254" s="1880"/>
      <c r="F254" s="1279">
        <f>IF(SETUP!$F$54="Upfront",$E$253*'Malaria-Equipment &amp; Other HPs'!AW16,0)</f>
        <v>0</v>
      </c>
      <c r="G254" s="1189">
        <f>IF(SETUP!$F$54="Upfront",$E$253*'Malaria-Equipment &amp; Other HPs'!AX16,0)</f>
        <v>0</v>
      </c>
      <c r="H254" s="1189">
        <f>IF(SETUP!$F$54="Upfront",$E$253*'Malaria-Equipment &amp; Other HPs'!AY16,0)</f>
        <v>0</v>
      </c>
      <c r="I254" s="1189">
        <f>IF(SETUP!$F$54="Upfront",$E$253*'Malaria-Equipment &amp; Other HPs'!AZ16,0)</f>
        <v>0</v>
      </c>
      <c r="J254" s="1193">
        <f t="shared" si="34"/>
        <v>0</v>
      </c>
      <c r="K254" s="1189">
        <f>IF(SETUP!$F$54="Upfront",$E$253*'Malaria-Equipment &amp; Other HPs'!BA16,0)</f>
        <v>0</v>
      </c>
      <c r="L254" s="1189">
        <f>IF(SETUP!$F$54="Upfront",$E$253*'Malaria-Equipment &amp; Other HPs'!BB16,0)</f>
        <v>0</v>
      </c>
      <c r="M254" s="1189">
        <f>IF(SETUP!$F$54="Upfront",$E$253*'Malaria-Equipment &amp; Other HPs'!BC16,0)</f>
        <v>0</v>
      </c>
      <c r="N254" s="1189">
        <f>IF(SETUP!$F$54="Upfront",$E$253*'Malaria-Equipment &amp; Other HPs'!BD16,0)</f>
        <v>0</v>
      </c>
      <c r="O254" s="1191">
        <f t="shared" si="35"/>
        <v>0</v>
      </c>
      <c r="P254" s="1189">
        <f>IF(SETUP!$F$54="Upfront",$E$253*'Malaria-Equipment &amp; Other HPs'!BE16,0)</f>
        <v>0</v>
      </c>
      <c r="Q254" s="1189">
        <f>IF(SETUP!$F$54="Upfront",$E$253*'Malaria-Equipment &amp; Other HPs'!BF16,0)</f>
        <v>0</v>
      </c>
      <c r="R254" s="1189">
        <f>IF(SETUP!$F$54="Upfront",$E$253*'Malaria-Equipment &amp; Other HPs'!BG16,0)</f>
        <v>0</v>
      </c>
      <c r="S254" s="1189">
        <f>IF(SETUP!$F$54="Upfront",$E$253*'Malaria-Equipment &amp; Other HPs'!BH16,0)</f>
        <v>0</v>
      </c>
      <c r="T254" s="1190">
        <f t="shared" si="36"/>
        <v>0</v>
      </c>
      <c r="U254" s="1189">
        <f t="shared" si="37"/>
        <v>0</v>
      </c>
      <c r="V254" s="1795">
        <v>7.5</v>
      </c>
      <c r="W254" s="1823"/>
      <c r="X254" s="1820"/>
    </row>
    <row r="255" spans="1:24" s="860" customFormat="1" ht="15" hidden="1" customHeight="1" outlineLevel="1">
      <c r="A255" s="2928"/>
      <c r="B255" s="2929"/>
      <c r="C255" s="2889" t="s">
        <v>36</v>
      </c>
      <c r="D255" s="2890"/>
      <c r="E255" s="1880"/>
      <c r="F255" s="1279">
        <v>0</v>
      </c>
      <c r="G255" s="1195">
        <f>IF(SETUP!$F$54="At delivery",IF(SETUP!$G$54=1,$E$253*'Malaria-Equipment &amp; Other HPs'!AW16,0),0)</f>
        <v>0</v>
      </c>
      <c r="H255" s="1194">
        <f>IF(SETUP!$F$54="At delivery",IF(SETUP!$G$54=2,$E$253*'Malaria-Equipment &amp; Other HPs'!AW16,IF(SETUP!$G$54=1,$E$253*'Malaria-Equipment &amp; Other HPs'!AX16,0)),0)</f>
        <v>0</v>
      </c>
      <c r="I255" s="1194">
        <f>IF(SETUP!$F$54="At delivery",IF(SETUP!$G$54=3,$E$253*'Malaria-Equipment &amp; Other HPs'!AW16,IF(SETUP!$G$54=2,$E$253*'Malaria-Equipment &amp; Other HPs'!AX16,IF(SETUP!$G$54=1,$E$253*'Malaria-Equipment &amp; Other HPs'!AY16,0))),0)</f>
        <v>0</v>
      </c>
      <c r="J255" s="1193">
        <f t="shared" si="34"/>
        <v>0</v>
      </c>
      <c r="K255" s="1194">
        <f>IF(SETUP!$F$54="At delivery",IF(SETUP!$G$54=4,$E$253*'Malaria-Equipment &amp; Other HPs'!AW16,IF(SETUP!$G$54=3,$E$253*'Malaria-Equipment &amp; Other HPs'!AX16,IF(SETUP!$G$54=2,$E$253*'Malaria-Equipment &amp; Other HPs'!AY16,IF(SETUP!$G$54=1,$E$253*'Malaria-Equipment &amp; Other HPs'!AZ16,0)))),0)</f>
        <v>0</v>
      </c>
      <c r="L255" s="1194">
        <f>IF(SETUP!$F$54="At delivery",IF(SETUP!$G$54=4,$E$253*'Malaria-Equipment &amp; Other HPs'!AX16,IF(SETUP!$G$54=3,$E$253*'Malaria-Equipment &amp; Other HPs'!AY16,IF(SETUP!$G$54=2,$E$253*'Malaria-Equipment &amp; Other HPs'!AZ16,IF(SETUP!$G$54=1,$E$253*'Malaria-Equipment &amp; Other HPs'!BA16,0)))),0)</f>
        <v>0</v>
      </c>
      <c r="M255" s="1194">
        <f>IF(SETUP!$F$54="At delivery",IF(SETUP!$G$54=4,$E$253*'Malaria-Equipment &amp; Other HPs'!AY16,IF(SETUP!$G$54=3,$E$253*'Malaria-Equipment &amp; Other HPs'!AZ16,IF(SETUP!$G$54=2,$E$253*'Malaria-Equipment &amp; Other HPs'!BA16,IF(SETUP!$G$54=1,$E$253*'Malaria-Equipment &amp; Other HPs'!BB16,0)))),0)</f>
        <v>0</v>
      </c>
      <c r="N255" s="1194">
        <f>IF(SETUP!$F$54="At delivery",IF(SETUP!$G$54=4,$E$253*'Malaria-Equipment &amp; Other HPs'!AZ16,IF(SETUP!$G$54=3,$E$253*'Malaria-Equipment &amp; Other HPs'!BA16,IF(SETUP!$G$54=2,$E$253*'Malaria-Equipment &amp; Other HPs'!BB16,IF(SETUP!$G$54=1,$E$253*'Malaria-Equipment &amp; Other HPs'!BC16,0)))),0)</f>
        <v>0</v>
      </c>
      <c r="O255" s="1191">
        <f t="shared" si="35"/>
        <v>0</v>
      </c>
      <c r="P255" s="1189">
        <f>IF(SETUP!$F$54="At delivery",IF(SETUP!$G$54=4,$E$253*'Malaria-Equipment &amp; Other HPs'!BA16,IF(SETUP!$G$54=3,$E$253*'Malaria-Equipment &amp; Other HPs'!BB16,IF(SETUP!$G$54=2,$E$253*'Malaria-Equipment &amp; Other HPs'!BC16,IF(SETUP!$G$54=1,$E$253*'Malaria-Equipment &amp; Other HPs'!BD16,0)))),0)</f>
        <v>0</v>
      </c>
      <c r="Q255" s="1189">
        <f>IF(SETUP!$F$54="At delivery",IF(SETUP!$G$54=4,$E$253*'Malaria-Equipment &amp; Other HPs'!BB16,IF(SETUP!$G$54=3,$E$253*'Malaria-Equipment &amp; Other HPs'!BC16,IF(SETUP!$G$54=2,$E$253*'Malaria-Equipment &amp; Other HPs'!BD16,IF(SETUP!$G$54=1,$E$253*'Malaria-Equipment &amp; Other HPs'!BE16,0)))),0)</f>
        <v>0</v>
      </c>
      <c r="R255" s="1189">
        <f>IF(SETUP!$F$54="At delivery",IF(SETUP!$G$54=4,$E$253*'Malaria-Equipment &amp; Other HPs'!BC16,IF(SETUP!$G$54=3,$E$253*'Malaria-Equipment &amp; Other HPs'!BD16,IF(SETUP!$G$54=2,$E$253*'Malaria-Equipment &amp; Other HPs'!BE16,IF(SETUP!$G$54=1,$E$253*'Malaria-Equipment &amp; Other HPs'!BF16,0)))),0)</f>
        <v>0</v>
      </c>
      <c r="S255" s="1189">
        <f>IF(SETUP!$F$54="At delivery",IF(SETUP!$G$54=4,$E$253*('Malaria-Equipment &amp; Other HPs'!BD16+'Malaria-Equipment &amp; Other HPs'!BE16+'Malaria-Equipment &amp; Other HPs'!BF16+'Malaria-Equipment &amp; Other HPs'!BG16+'Malaria-Equipment &amp; Other HPs'!BH16),IF(SETUP!$G$54=3,$E$253*('Malaria-Equipment &amp; Other HPs'!BE16+'Malaria-Equipment &amp; Other HPs'!BF16+'Malaria-Equipment &amp; Other HPs'!BG16+'Malaria-Equipment &amp; Other HPs'!BH16),IF(SETUP!$G$54=2,$E$253*('Malaria-Equipment &amp; Other HPs'!BF16+'Malaria-Equipment &amp; Other HPs'!BG16+'Malaria-Equipment &amp; Other HPs'!BH16),IF(SETUP!$G$54=1,$E$253*('Malaria-Equipment &amp; Other HPs'!BG16+'Malaria-Equipment &amp; Other HPs'!BH16),0)))),0)</f>
        <v>0</v>
      </c>
      <c r="T255" s="1190">
        <f t="shared" si="36"/>
        <v>0</v>
      </c>
      <c r="U255" s="1189">
        <f t="shared" si="37"/>
        <v>0</v>
      </c>
      <c r="V255" s="1795">
        <v>7.5</v>
      </c>
      <c r="W255" s="1823"/>
      <c r="X255" s="1820"/>
    </row>
    <row r="256" spans="1:24" s="860" customFormat="1" ht="15" hidden="1" customHeight="1" collapsed="1">
      <c r="A256" s="2928"/>
      <c r="B256" s="2929"/>
      <c r="C256" s="2907" t="s">
        <v>582</v>
      </c>
      <c r="D256" s="2908"/>
      <c r="E256" s="1880">
        <v>0</v>
      </c>
      <c r="F256" s="1279">
        <f>IF(SETUP!$F$55="Upfront",F257,F258)</f>
        <v>0</v>
      </c>
      <c r="G256" s="1189">
        <f>IF(SETUP!$F$55="Upfront",G257,G258)</f>
        <v>0</v>
      </c>
      <c r="H256" s="1189">
        <f>IF(SETUP!$F$55="Upfront",H257,H258)</f>
        <v>0</v>
      </c>
      <c r="I256" s="1189">
        <f>IF(SETUP!$F$55="Upfront",I257,I258)</f>
        <v>0</v>
      </c>
      <c r="J256" s="1193">
        <f t="shared" si="34"/>
        <v>0</v>
      </c>
      <c r="K256" s="1189">
        <f>IF(SETUP!$F$55="Upfront",K257,K258)</f>
        <v>0</v>
      </c>
      <c r="L256" s="1189">
        <f>IF(SETUP!$F$55="Upfront",L257,L258)</f>
        <v>0</v>
      </c>
      <c r="M256" s="1189">
        <f>IF(SETUP!$F$55="Upfront",M257,M258)</f>
        <v>0</v>
      </c>
      <c r="N256" s="1189">
        <f>IF(SETUP!$F$55="Upfront",N257,N258)</f>
        <v>0</v>
      </c>
      <c r="O256" s="1191">
        <f t="shared" si="35"/>
        <v>0</v>
      </c>
      <c r="P256" s="1189">
        <f>IF(SETUP!$F$55="Upfront",P257,P258)</f>
        <v>0</v>
      </c>
      <c r="Q256" s="1189">
        <f>IF(SETUP!$F$55="Upfront",Q257,Q258)</f>
        <v>0</v>
      </c>
      <c r="R256" s="1189">
        <f>IF(SETUP!$F$55="Upfront",R257,R258)</f>
        <v>0</v>
      </c>
      <c r="S256" s="1189">
        <f>IF(SETUP!$F$55="Upfront",S257,S258)</f>
        <v>0</v>
      </c>
      <c r="T256" s="1190">
        <f t="shared" si="36"/>
        <v>0</v>
      </c>
      <c r="U256" s="1189">
        <f t="shared" si="37"/>
        <v>0</v>
      </c>
      <c r="V256" s="1795">
        <v>7.5</v>
      </c>
      <c r="W256" s="1823"/>
      <c r="X256" s="1820"/>
    </row>
    <row r="257" spans="1:38" s="860" customFormat="1" ht="15" hidden="1" customHeight="1" outlineLevel="1">
      <c r="A257" s="2928"/>
      <c r="B257" s="2929"/>
      <c r="C257" s="2889" t="s">
        <v>918</v>
      </c>
      <c r="D257" s="2890"/>
      <c r="E257" s="1880"/>
      <c r="F257" s="1279">
        <f>IF(SETUP!$F$55="Upfront",$E$256*'Malaria-Equipment &amp; Other HPs'!AW17,0)</f>
        <v>0</v>
      </c>
      <c r="G257" s="1189">
        <f>IF(SETUP!$F$55="Upfront",$E$256*'Malaria-Equipment &amp; Other HPs'!AX17,0)</f>
        <v>0</v>
      </c>
      <c r="H257" s="1189">
        <f>IF(SETUP!$F$55="Upfront",$E$256*'Malaria-Equipment &amp; Other HPs'!AY17,0)</f>
        <v>0</v>
      </c>
      <c r="I257" s="1189">
        <f>IF(SETUP!$F$55="Upfront",$E$256*'Malaria-Equipment &amp; Other HPs'!AZ17,0)</f>
        <v>0</v>
      </c>
      <c r="J257" s="1193">
        <f t="shared" si="34"/>
        <v>0</v>
      </c>
      <c r="K257" s="1189">
        <f>IF(SETUP!$F$55="Upfront",$E$256*'Malaria-Equipment &amp; Other HPs'!BA17,0)</f>
        <v>0</v>
      </c>
      <c r="L257" s="1189">
        <f>IF(SETUP!$F$55="Upfront",$E$256*'Malaria-Equipment &amp; Other HPs'!BB17,0)</f>
        <v>0</v>
      </c>
      <c r="M257" s="1189">
        <f>IF(SETUP!$F$55="Upfront",$E$256*'Malaria-Equipment &amp; Other HPs'!BC17,0)</f>
        <v>0</v>
      </c>
      <c r="N257" s="1189">
        <f>IF(SETUP!$F$55="Upfront",$E$256*'Malaria-Equipment &amp; Other HPs'!BD17,0)</f>
        <v>0</v>
      </c>
      <c r="O257" s="1191">
        <f t="shared" si="35"/>
        <v>0</v>
      </c>
      <c r="P257" s="1189">
        <f>IF(SETUP!$F$55="Upfront",$E$256*'Malaria-Equipment &amp; Other HPs'!BE17,0)</f>
        <v>0</v>
      </c>
      <c r="Q257" s="1189">
        <f>IF(SETUP!$F$55="Upfront",$E$256*'Malaria-Equipment &amp; Other HPs'!BF17,0)</f>
        <v>0</v>
      </c>
      <c r="R257" s="1189">
        <f>IF(SETUP!$F$55="Upfront",$E$256*'Malaria-Equipment &amp; Other HPs'!BG17,0)</f>
        <v>0</v>
      </c>
      <c r="S257" s="1189">
        <f>IF(SETUP!$F$55="Upfront",$E$256*'Malaria-Equipment &amp; Other HPs'!BH17,0)</f>
        <v>0</v>
      </c>
      <c r="T257" s="1190">
        <f t="shared" si="36"/>
        <v>0</v>
      </c>
      <c r="U257" s="1189">
        <f t="shared" si="37"/>
        <v>0</v>
      </c>
      <c r="V257" s="1795">
        <v>7.5</v>
      </c>
      <c r="W257" s="1823"/>
      <c r="X257" s="1820"/>
    </row>
    <row r="258" spans="1:38" s="860" customFormat="1" ht="15" hidden="1" customHeight="1" outlineLevel="1">
      <c r="A258" s="2928"/>
      <c r="B258" s="2929"/>
      <c r="C258" s="2889" t="s">
        <v>36</v>
      </c>
      <c r="D258" s="2890"/>
      <c r="E258" s="1880"/>
      <c r="F258" s="1279">
        <v>0</v>
      </c>
      <c r="G258" s="1195">
        <f>IF(SETUP!$F$55="At delivery",IF(SETUP!$G$55=1,$E$256*'Malaria-Equipment &amp; Other HPs'!AW17,0),0)</f>
        <v>0</v>
      </c>
      <c r="H258" s="1194">
        <f>IF(SETUP!$F$55="At delivery",IF(SETUP!$G$55=2,$E$256*'Malaria-Equipment &amp; Other HPs'!AW17,IF(SETUP!$G$55=1,$E$256*'Malaria-Equipment &amp; Other HPs'!AX17,0)),0)</f>
        <v>0</v>
      </c>
      <c r="I258" s="1194">
        <f>IF(SETUP!$F$55="At delivery",IF(SETUP!$G$55=3,$E$256*'Malaria-Equipment &amp; Other HPs'!AW17,IF(SETUP!$G$55=2,$E$256*'Malaria-Equipment &amp; Other HPs'!AX17,IF(SETUP!$G$55=1,$E$256*'Malaria-Equipment &amp; Other HPs'!AY17,0))),0)</f>
        <v>0</v>
      </c>
      <c r="J258" s="1193">
        <f t="shared" si="34"/>
        <v>0</v>
      </c>
      <c r="K258" s="1194">
        <f>IF(SETUP!$F$55="At delivery",IF(SETUP!$G$55=4,$E$256*'Malaria-Equipment &amp; Other HPs'!AW17,IF(SETUP!$G$55=3,$E$256*'Malaria-Equipment &amp; Other HPs'!AX17,IF(SETUP!$G$55=2,$E$256*'Malaria-Equipment &amp; Other HPs'!AY17,IF(SETUP!$G$55=1,$E$256*'Malaria-Equipment &amp; Other HPs'!AZ17,0)))),0)</f>
        <v>0</v>
      </c>
      <c r="L258" s="1194">
        <f>IF(SETUP!$F$55="At delivery",IF(SETUP!$G$55=4,$E$256*'Malaria-Equipment &amp; Other HPs'!AX17,IF(SETUP!$G$55=3,$E$256*'Malaria-Equipment &amp; Other HPs'!AY17,IF(SETUP!$G$55=2,$E$256*'Malaria-Equipment &amp; Other HPs'!AZ17,IF(SETUP!$G$55=1,$E$256*'Malaria-Equipment &amp; Other HPs'!BA17,0)))),0)</f>
        <v>0</v>
      </c>
      <c r="M258" s="1194">
        <f>IF(SETUP!$F$55="At delivery",IF(SETUP!$G$55=4,$E$256*'Malaria-Equipment &amp; Other HPs'!AY17,IF(SETUP!$G$55=3,$E$256*'Malaria-Equipment &amp; Other HPs'!AZ17,IF(SETUP!$G$55=2,$E$256*'Malaria-Equipment &amp; Other HPs'!BA17,IF(SETUP!$G$55=1,$E$256*'Malaria-Equipment &amp; Other HPs'!BB17,0)))),0)</f>
        <v>0</v>
      </c>
      <c r="N258" s="1194">
        <f>IF(SETUP!$F$55="At delivery",IF(SETUP!$G$55=4,$E$256*'Malaria-Equipment &amp; Other HPs'!AZ17,IF(SETUP!$G$55=3,$E$256*'Malaria-Equipment &amp; Other HPs'!BA17,IF(SETUP!$G$55=2,$E$256*'Malaria-Equipment &amp; Other HPs'!BB17,IF(SETUP!$G$55=1,$E$256*'Malaria-Equipment &amp; Other HPs'!BC17,0)))),0)</f>
        <v>0</v>
      </c>
      <c r="O258" s="1191">
        <f t="shared" si="35"/>
        <v>0</v>
      </c>
      <c r="P258" s="1189">
        <f>IF(SETUP!$F$55="At delivery",IF(SETUP!$G$55=4,$E$256*'Malaria-Equipment &amp; Other HPs'!BA17,IF(SETUP!$G$55=3,$E$256*'Malaria-Equipment &amp; Other HPs'!BB17,IF(SETUP!$G$55=2,$E$256*'Malaria-Equipment &amp; Other HPs'!BC17,IF(SETUP!$G$55=1,$E$256*'Malaria-Equipment &amp; Other HPs'!BD17,0)))),0)</f>
        <v>0</v>
      </c>
      <c r="Q258" s="1189">
        <f>IF(SETUP!$F$55="At delivery",IF(SETUP!$G$55=4,$E$256*'Malaria-Equipment &amp; Other HPs'!BB17,IF(SETUP!$G$55=3,$E$256*'Malaria-Equipment &amp; Other HPs'!BC17,IF(SETUP!$G$55=2,$E$256*'Malaria-Equipment &amp; Other HPs'!BD17,IF(SETUP!$G$55=1,$E$256*'Malaria-Equipment &amp; Other HPs'!BE17,0)))),0)</f>
        <v>0</v>
      </c>
      <c r="R258" s="1189">
        <f>IF(SETUP!$F$55="At delivery",IF(SETUP!$G$55=4,$E$256*'Malaria-Equipment &amp; Other HPs'!BC17,IF(SETUP!$G$55=3,$E$256*'Malaria-Equipment &amp; Other HPs'!BD17,IF(SETUP!$G$55=2,$E$256*'Malaria-Equipment &amp; Other HPs'!BE17,IF(SETUP!$G$55=1,$E$256*'Malaria-Equipment &amp; Other HPs'!BF17,0)))),0)</f>
        <v>0</v>
      </c>
      <c r="S258" s="1189">
        <f>IF(SETUP!$F$55="At delivery",IF(SETUP!$G$55=4,$E$256*('Malaria-Equipment &amp; Other HPs'!BD17+'Malaria-Equipment &amp; Other HPs'!BE17+'Malaria-Equipment &amp; Other HPs'!BF17+'Malaria-Equipment &amp; Other HPs'!BG17+'Malaria-Equipment &amp; Other HPs'!BH17),IF(SETUP!$G$55=3,$E$256*('Malaria-Equipment &amp; Other HPs'!BE17+'Malaria-Equipment &amp; Other HPs'!BF17+'Malaria-Equipment &amp; Other HPs'!BG17+'Malaria-Equipment &amp; Other HPs'!BH17),IF(SETUP!$G$55=2,$E$256*('Malaria-Equipment &amp; Other HPs'!BF17+'Malaria-Equipment &amp; Other HPs'!BG17+'Malaria-Equipment &amp; Other HPs'!BH17),IF(SETUP!$G$55=1,$E$256*('Malaria-Equipment &amp; Other HPs'!BG17+'Malaria-Equipment &amp; Other HPs'!BH17),0)))),0)</f>
        <v>0</v>
      </c>
      <c r="T258" s="1190">
        <f t="shared" si="36"/>
        <v>0</v>
      </c>
      <c r="U258" s="1189">
        <f t="shared" si="37"/>
        <v>0</v>
      </c>
      <c r="V258" s="1795">
        <v>7.5</v>
      </c>
      <c r="W258" s="1823"/>
      <c r="X258" s="1820"/>
    </row>
    <row r="259" spans="1:38" s="860" customFormat="1" ht="15" hidden="1" customHeight="1" collapsed="1">
      <c r="A259" s="2928"/>
      <c r="B259" s="2929"/>
      <c r="C259" s="2907" t="s">
        <v>583</v>
      </c>
      <c r="D259" s="2908"/>
      <c r="E259" s="1880">
        <v>0</v>
      </c>
      <c r="F259" s="1279">
        <f>IF(SETUP!$F$56="Upfront",F260,F261)</f>
        <v>0</v>
      </c>
      <c r="G259" s="1189">
        <f>IF(SETUP!$F$56="Upfront",G260,G261)</f>
        <v>0</v>
      </c>
      <c r="H259" s="1189">
        <f>IF(SETUP!$F$56="Upfront",H260,H261)</f>
        <v>0</v>
      </c>
      <c r="I259" s="1189">
        <f>IF(SETUP!$F$56="Upfront",I260,I261)</f>
        <v>0</v>
      </c>
      <c r="J259" s="1193">
        <f t="shared" si="34"/>
        <v>0</v>
      </c>
      <c r="K259" s="1189">
        <f>IF(SETUP!$F$56="Upfront",K260,K261)</f>
        <v>0</v>
      </c>
      <c r="L259" s="1189">
        <f>IF(SETUP!$F$56="Upfront",L260,L261)</f>
        <v>0</v>
      </c>
      <c r="M259" s="1189">
        <f>IF(SETUP!$F$56="Upfront",M260,M261)</f>
        <v>0</v>
      </c>
      <c r="N259" s="1189">
        <f>IF(SETUP!$F$56="Upfront",N260,N261)</f>
        <v>0</v>
      </c>
      <c r="O259" s="1191">
        <f t="shared" si="35"/>
        <v>0</v>
      </c>
      <c r="P259" s="1189">
        <f>IF(SETUP!$F$56="Upfront",P260,P261)</f>
        <v>0</v>
      </c>
      <c r="Q259" s="1189">
        <f>IF(SETUP!$F$56="Upfront",Q260,Q261)</f>
        <v>0</v>
      </c>
      <c r="R259" s="1189">
        <f>IF(SETUP!$F$56="Upfront",R260,R261)</f>
        <v>0</v>
      </c>
      <c r="S259" s="1189">
        <f>IF(SETUP!$F$56="Upfront",S260,S261)</f>
        <v>0</v>
      </c>
      <c r="T259" s="1190">
        <f t="shared" si="36"/>
        <v>0</v>
      </c>
      <c r="U259" s="1189">
        <f t="shared" si="37"/>
        <v>0</v>
      </c>
      <c r="V259" s="1795">
        <v>7.5</v>
      </c>
      <c r="W259" s="1823"/>
      <c r="X259" s="1820"/>
    </row>
    <row r="260" spans="1:38" s="860" customFormat="1" ht="15" hidden="1" customHeight="1" outlineLevel="1">
      <c r="A260" s="2928"/>
      <c r="B260" s="2929"/>
      <c r="C260" s="2889" t="s">
        <v>918</v>
      </c>
      <c r="D260" s="2890"/>
      <c r="E260" s="1880"/>
      <c r="F260" s="1279">
        <f>IF(SETUP!$F$56="Upfront",$E$259*'Malaria-Equipment &amp; Other HPs'!AW18,0)</f>
        <v>0</v>
      </c>
      <c r="G260" s="1189">
        <f>IF(SETUP!$F$56="Upfront",$E$259*'Malaria-Equipment &amp; Other HPs'!AX18,0)</f>
        <v>0</v>
      </c>
      <c r="H260" s="1189">
        <f>IF(SETUP!$F$56="Upfront",$E$259*'Malaria-Equipment &amp; Other HPs'!AY18,0)</f>
        <v>0</v>
      </c>
      <c r="I260" s="1189">
        <f>IF(SETUP!$F$56="Upfront",$E$259*'Malaria-Equipment &amp; Other HPs'!AZ18,0)</f>
        <v>0</v>
      </c>
      <c r="J260" s="1193">
        <f t="shared" si="34"/>
        <v>0</v>
      </c>
      <c r="K260" s="1189">
        <f>IF(SETUP!$F$56="Upfront",$E$259*'Malaria-Equipment &amp; Other HPs'!BA18,0)</f>
        <v>0</v>
      </c>
      <c r="L260" s="1189">
        <f>IF(SETUP!$F$56="Upfront",$E$259*'Malaria-Equipment &amp; Other HPs'!BB18,0)</f>
        <v>0</v>
      </c>
      <c r="M260" s="1189">
        <f>IF(SETUP!$F$56="Upfront",$E$259*'Malaria-Equipment &amp; Other HPs'!BC18,0)</f>
        <v>0</v>
      </c>
      <c r="N260" s="1189">
        <f>IF(SETUP!$F$56="Upfront",$E$259*'Malaria-Equipment &amp; Other HPs'!BD18,0)</f>
        <v>0</v>
      </c>
      <c r="O260" s="1191">
        <f t="shared" si="35"/>
        <v>0</v>
      </c>
      <c r="P260" s="1189">
        <f>IF(SETUP!$F$56="Upfront",$E$259*'Malaria-Equipment &amp; Other HPs'!BE18,0)</f>
        <v>0</v>
      </c>
      <c r="Q260" s="1189">
        <f>IF(SETUP!$F$56="Upfront",$E$259*'Malaria-Equipment &amp; Other HPs'!BF18,0)</f>
        <v>0</v>
      </c>
      <c r="R260" s="1189">
        <f>IF(SETUP!$F$56="Upfront",$E$259*'Malaria-Equipment &amp; Other HPs'!BG18,0)</f>
        <v>0</v>
      </c>
      <c r="S260" s="1189">
        <f>IF(SETUP!$F$56="Upfront",$E$259*'Malaria-Equipment &amp; Other HPs'!BH18,0)</f>
        <v>0</v>
      </c>
      <c r="T260" s="1190">
        <f t="shared" si="36"/>
        <v>0</v>
      </c>
      <c r="U260" s="1189">
        <f t="shared" si="37"/>
        <v>0</v>
      </c>
      <c r="V260" s="1795">
        <v>7.5</v>
      </c>
      <c r="W260" s="1823"/>
      <c r="X260" s="1820"/>
    </row>
    <row r="261" spans="1:38" s="860" customFormat="1" ht="15" hidden="1" customHeight="1" outlineLevel="1">
      <c r="A261" s="2928"/>
      <c r="B261" s="2929"/>
      <c r="C261" s="2889" t="s">
        <v>36</v>
      </c>
      <c r="D261" s="2890"/>
      <c r="E261" s="1880"/>
      <c r="F261" s="1280">
        <v>0</v>
      </c>
      <c r="G261" s="1206">
        <f>IF(SETUP!$F$56="At delivery",IF(SETUP!$G$56=1,$E$259*'Malaria-Equipment &amp; Other HPs'!AW18,0),0)</f>
        <v>0</v>
      </c>
      <c r="H261" s="1206">
        <f>IF(SETUP!$F$56="At delivery",IF(SETUP!$G$56=2,$E$259*'Malaria-Equipment &amp; Other HPs'!AW18,IF(SETUP!$G$56=1,$E$259*'Malaria-Equipment &amp; Other HPs'!AX18,0)),0)</f>
        <v>0</v>
      </c>
      <c r="I261" s="1206">
        <f>IF(SETUP!$F$56="At delivery",IF(SETUP!$G$56=3,$E$259*'Malaria-Equipment &amp; Other HPs'!AW18,IF(SETUP!$G$56=2,$E$259*'Malaria-Equipment &amp; Other HPs'!AX18,IF(SETUP!$G$56=1,$E$259*'Malaria-Equipment &amp; Other HPs'!AY18,0))),0)</f>
        <v>0</v>
      </c>
      <c r="J261" s="1193">
        <f t="shared" si="34"/>
        <v>0</v>
      </c>
      <c r="K261" s="1205">
        <f>IF(SETUP!$F$56="At delivery",IF(SETUP!$G$56=4,$E$259*'Malaria-Equipment &amp; Other HPs'!AW18,IF(SETUP!$G$56=3,$E$259*'Malaria-Equipment &amp; Other HPs'!AX18,IF(SETUP!$G$56=2,$E$259*'Malaria-Equipment &amp; Other HPs'!AY18,IF(SETUP!$G$56=1,$E$259*'Malaria-Equipment &amp; Other HPs'!AZ18,0)))),0)</f>
        <v>0</v>
      </c>
      <c r="L261" s="1205">
        <f>IF(SETUP!$F$56="At delivery",IF(SETUP!$G$56=4,$E$259*'Malaria-Equipment &amp; Other HPs'!AX18,IF(SETUP!$G$56=3,$E$259*'Malaria-Equipment &amp; Other HPs'!AY18,IF(SETUP!$G$56=2,$E$259*'Malaria-Equipment &amp; Other HPs'!AZ18,IF(SETUP!$G$56=1,$E$259*'Malaria-Equipment &amp; Other HPs'!BA18,0)))),0)</f>
        <v>0</v>
      </c>
      <c r="M261" s="1205">
        <f>IF(SETUP!$F$56="At delivery",IF(SETUP!$G$56=4,$E$259*'Malaria-Equipment &amp; Other HPs'!AY18,IF(SETUP!$G$56=3,$E$259*'Malaria-Equipment &amp; Other HPs'!AZ18,IF(SETUP!$G$56=2,$E$259*'Malaria-Equipment &amp; Other HPs'!BA18,IF(SETUP!$G$56=1,$E$259*'Malaria-Equipment &amp; Other HPs'!BB18,0)))),0)</f>
        <v>0</v>
      </c>
      <c r="N261" s="1205">
        <f>IF(SETUP!$F$56="At delivery",IF(SETUP!$G$56=4,$E$259*'Malaria-Equipment &amp; Other HPs'!AZ18,IF(SETUP!$G$56=3,$E$259*'Malaria-Equipment &amp; Other HPs'!BA18,IF(SETUP!$G$56=2,$E$259*'Malaria-Equipment &amp; Other HPs'!BB18,IF(SETUP!$G$56=1,$E$259*'Malaria-Equipment &amp; Other HPs'!BC18,0)))),0)</f>
        <v>0</v>
      </c>
      <c r="O261" s="1191">
        <f t="shared" si="35"/>
        <v>0</v>
      </c>
      <c r="P261" s="1189">
        <f>IF(SETUP!$F$56="At delivery",IF(SETUP!$G$56=4,$E$259*'Malaria-Equipment &amp; Other HPs'!BA18,IF(SETUP!$G$56=3,$E$259*'Malaria-Equipment &amp; Other HPs'!BB18,IF(SETUP!$G$56=2,$E$259*'Malaria-Equipment &amp; Other HPs'!BC18,IF(SETUP!$G$56=1,$E$259*'Malaria-Equipment &amp; Other HPs'!BD18,0)))),0)</f>
        <v>0</v>
      </c>
      <c r="Q261" s="1189">
        <f>IF(SETUP!$F$56="At delivery",IF(SETUP!$G$56=4,$E$259*'Malaria-Equipment &amp; Other HPs'!BB18,IF(SETUP!$G$56=3,$E$259*'Malaria-Equipment &amp; Other HPs'!BC18,IF(SETUP!$G$56=2,$E$259*'Malaria-Equipment &amp; Other HPs'!BD18,IF(SETUP!$G$56=1,$E$259*'Malaria-Equipment &amp; Other HPs'!BE18,0)))),0)</f>
        <v>0</v>
      </c>
      <c r="R261" s="1189">
        <f>IF(SETUP!$F$56="At delivery",IF(SETUP!$G$56=4,$E$259*'Malaria-Equipment &amp; Other HPs'!BC18,IF(SETUP!$G$56=3,$E$259*'Malaria-Equipment &amp; Other HPs'!BD18,IF(SETUP!$G$56=2,$E$259*'Malaria-Equipment &amp; Other HPs'!BE18,IF(SETUP!$G$56=1,$E$259*'Malaria-Equipment &amp; Other HPs'!BF18,0)))),0)</f>
        <v>0</v>
      </c>
      <c r="S261" s="1189">
        <f>IF(SETUP!$F$56="At delivery",IF(SETUP!$G$56=4,$E$259*('Malaria-Equipment &amp; Other HPs'!BD18+'Malaria-Equipment &amp; Other HPs'!BE18+'Malaria-Equipment &amp; Other HPs'!BF18+'Malaria-Equipment &amp; Other HPs'!BG18+'Malaria-Equipment &amp; Other HPs'!BH18),IF(SETUP!$G$56=3,$E$259*('Malaria-Equipment &amp; Other HPs'!BE18+'Malaria-Equipment &amp; Other HPs'!BF18+'Malaria-Equipment &amp; Other HPs'!BG18+'Malaria-Equipment &amp; Other HPs'!BH18),IF(SETUP!$G$56=2,$E$259*('Malaria-Equipment &amp; Other HPs'!BF18+'Malaria-Equipment &amp; Other HPs'!BG18+'Malaria-Equipment &amp; Other HPs'!BH18),IF(SETUP!$G$56=1,$E$259*('Malaria-Equipment &amp; Other HPs'!BG18+'Malaria-Equipment &amp; Other HPs'!BH18),0)))),0)</f>
        <v>0</v>
      </c>
      <c r="T261" s="1190">
        <f t="shared" si="36"/>
        <v>0</v>
      </c>
      <c r="U261" s="1189">
        <f t="shared" si="37"/>
        <v>0</v>
      </c>
      <c r="V261" s="1795">
        <v>7.5</v>
      </c>
      <c r="W261" s="1823"/>
      <c r="X261" s="1820"/>
    </row>
    <row r="262" spans="1:38" s="860" customFormat="1" ht="15" hidden="1" customHeight="1" collapsed="1">
      <c r="A262" s="2928"/>
      <c r="B262" s="2929"/>
      <c r="C262" s="2907" t="s">
        <v>537</v>
      </c>
      <c r="D262" s="2908"/>
      <c r="E262" s="1880">
        <v>0</v>
      </c>
      <c r="F262" s="1279">
        <f>IF(SETUP!$F$57="Upfront",F263,F264)</f>
        <v>0</v>
      </c>
      <c r="G262" s="1189">
        <f>IF(SETUP!$F$57="Upfront",G263,G264)</f>
        <v>0</v>
      </c>
      <c r="H262" s="1189">
        <f>IF(SETUP!$F$57="Upfront",H263,H264)</f>
        <v>0</v>
      </c>
      <c r="I262" s="1189">
        <f>IF(SETUP!$F$57="Upfront",I263,I264)</f>
        <v>0</v>
      </c>
      <c r="J262" s="1193">
        <f t="shared" si="34"/>
        <v>0</v>
      </c>
      <c r="K262" s="1189">
        <f>IF(SETUP!$F$57="Upfront",K263,K264)</f>
        <v>0</v>
      </c>
      <c r="L262" s="1189">
        <f>IF(SETUP!$F$57="Upfront",L263,L264)</f>
        <v>0</v>
      </c>
      <c r="M262" s="1189">
        <f>IF(SETUP!$F$57="Upfront",M263,M264)</f>
        <v>0</v>
      </c>
      <c r="N262" s="1189">
        <f>IF(SETUP!$F$57="Upfront",N263,N264)</f>
        <v>0</v>
      </c>
      <c r="O262" s="1191">
        <f t="shared" si="35"/>
        <v>0</v>
      </c>
      <c r="P262" s="1189">
        <f>IF(SETUP!$F$57="Upfront",P263,P264)</f>
        <v>0</v>
      </c>
      <c r="Q262" s="1189">
        <f>IF(SETUP!$F$57="Upfront",Q263,Q264)</f>
        <v>0</v>
      </c>
      <c r="R262" s="1189">
        <f>IF(SETUP!$F$57="Upfront",R263,R264)</f>
        <v>0</v>
      </c>
      <c r="S262" s="1189">
        <f>IF(SETUP!$F$57="Upfront",S263,S264)</f>
        <v>0</v>
      </c>
      <c r="T262" s="1190">
        <f t="shared" si="36"/>
        <v>0</v>
      </c>
      <c r="U262" s="1189">
        <f t="shared" si="37"/>
        <v>0</v>
      </c>
      <c r="V262" s="1795">
        <v>7.5</v>
      </c>
      <c r="W262" s="1823"/>
      <c r="X262" s="1820"/>
    </row>
    <row r="263" spans="1:38" s="860" customFormat="1" ht="15" hidden="1" customHeight="1" outlineLevel="1">
      <c r="A263" s="2928"/>
      <c r="B263" s="2929"/>
      <c r="C263" s="2889" t="s">
        <v>918</v>
      </c>
      <c r="D263" s="2890"/>
      <c r="E263" s="1880"/>
      <c r="F263" s="1279">
        <f>IF(SETUP!$F$57="Upfront",$E$262*'Malaria-Equipment &amp; Other HPs'!AW19,0)</f>
        <v>0</v>
      </c>
      <c r="G263" s="1189">
        <f>IF(SETUP!$F$57="Upfront",$E$262*'Malaria-Equipment &amp; Other HPs'!AX19,0)</f>
        <v>0</v>
      </c>
      <c r="H263" s="1189">
        <f>IF(SETUP!$F$57="Upfront",$E$262*'Malaria-Equipment &amp; Other HPs'!AY19,0)</f>
        <v>0</v>
      </c>
      <c r="I263" s="1189">
        <f>IF(SETUP!$F$57="Upfront",$E$262*'Malaria-Equipment &amp; Other HPs'!AZ19,0)</f>
        <v>0</v>
      </c>
      <c r="J263" s="1193">
        <f t="shared" si="34"/>
        <v>0</v>
      </c>
      <c r="K263" s="1189">
        <f>IF(SETUP!$F$57="Upfront",$E$262*'Malaria-Equipment &amp; Other HPs'!BA19,0)</f>
        <v>0</v>
      </c>
      <c r="L263" s="1189">
        <f>IF(SETUP!$F$57="Upfront",$E$262*'Malaria-Equipment &amp; Other HPs'!BB19,0)</f>
        <v>0</v>
      </c>
      <c r="M263" s="1189">
        <f>IF(SETUP!$F$57="Upfront",$E$262*'Malaria-Equipment &amp; Other HPs'!BC19,0)</f>
        <v>0</v>
      </c>
      <c r="N263" s="1189">
        <f>IF(SETUP!$F$57="Upfront",$E$262*'Malaria-Equipment &amp; Other HPs'!BD19,0)</f>
        <v>0</v>
      </c>
      <c r="O263" s="1191">
        <f t="shared" si="35"/>
        <v>0</v>
      </c>
      <c r="P263" s="1189">
        <f>IF(SETUP!$F$57="Upfront",$E$262*'Malaria-Equipment &amp; Other HPs'!BE19,0)</f>
        <v>0</v>
      </c>
      <c r="Q263" s="1189">
        <f>IF(SETUP!$F$57="Upfront",$E$262*'Malaria-Equipment &amp; Other HPs'!BF19,0)</f>
        <v>0</v>
      </c>
      <c r="R263" s="1189">
        <f>IF(SETUP!$F$57="Upfront",$E$262*'Malaria-Equipment &amp; Other HPs'!BG19,0)</f>
        <v>0</v>
      </c>
      <c r="S263" s="1189">
        <f>IF(SETUP!$F$57="Upfront",$E$262*'Malaria-Equipment &amp; Other HPs'!BH19,0)</f>
        <v>0</v>
      </c>
      <c r="T263" s="1190">
        <f t="shared" si="36"/>
        <v>0</v>
      </c>
      <c r="U263" s="1189">
        <f t="shared" si="37"/>
        <v>0</v>
      </c>
      <c r="V263" s="1795">
        <v>7.5</v>
      </c>
      <c r="W263" s="1823"/>
      <c r="X263" s="1820"/>
    </row>
    <row r="264" spans="1:38" s="860" customFormat="1" ht="15" hidden="1" customHeight="1" outlineLevel="1">
      <c r="A264" s="2928"/>
      <c r="B264" s="2929"/>
      <c r="C264" s="2889" t="s">
        <v>36</v>
      </c>
      <c r="D264" s="2890"/>
      <c r="E264" s="1880"/>
      <c r="F264" s="1279">
        <v>0</v>
      </c>
      <c r="G264" s="1195">
        <f>IF(SETUP!$F$57="At delivery",IF(SETUP!$G$57=1,$E$262*'Malaria-Equipment &amp; Other HPs'!AW19,0),0)</f>
        <v>0</v>
      </c>
      <c r="H264" s="1194">
        <f>IF(SETUP!$F$57="At delivery",IF(SETUP!$G$57=2,$E$262*'Malaria-Equipment &amp; Other HPs'!AW19,IF(SETUP!$G$57=1,$E$262*'Malaria-Equipment &amp; Other HPs'!AX19,0)),0)</f>
        <v>0</v>
      </c>
      <c r="I264" s="1194">
        <f>IF(SETUP!$F$57="At delivery",IF(SETUP!$G$57=3,$E$262*'Malaria-Equipment &amp; Other HPs'!AW19,IF(SETUP!$G$57=2,$E$262*'Malaria-Equipment &amp; Other HPs'!AX19,IF(SETUP!$G$57=1,$E$262*'Malaria-Equipment &amp; Other HPs'!AY19,0))),0)</f>
        <v>0</v>
      </c>
      <c r="J264" s="1193">
        <f t="shared" si="34"/>
        <v>0</v>
      </c>
      <c r="K264" s="1194">
        <f>IF(SETUP!$F$57="At delivery",IF(SETUP!$G$57=4,$E$262*'Malaria-Equipment &amp; Other HPs'!AW19,IF(SETUP!$G$57=3,$E$262*'Malaria-Equipment &amp; Other HPs'!AX19,IF(SETUP!$G$57=2,$E$262*'Malaria-Equipment &amp; Other HPs'!AY19,IF(SETUP!$G$57=1,$E$262*'Malaria-Equipment &amp; Other HPs'!AZ19,0)))),0)</f>
        <v>0</v>
      </c>
      <c r="L264" s="1194">
        <f>IF(SETUP!$F$57="At delivery",IF(SETUP!$G$57=4,$E$262*'Malaria-Equipment &amp; Other HPs'!AX19,IF(SETUP!$G$57=3,$E$262*'Malaria-Equipment &amp; Other HPs'!AY19,IF(SETUP!$G$57=2,$E$262*'Malaria-Equipment &amp; Other HPs'!AZ19,IF(SETUP!$G$57=1,$E$262*'Malaria-Equipment &amp; Other HPs'!BA19,0)))),0)</f>
        <v>0</v>
      </c>
      <c r="M264" s="1194">
        <f>IF(SETUP!$F$57="At delivery",IF(SETUP!$G$57=4,$E$262*'Malaria-Equipment &amp; Other HPs'!AY19,IF(SETUP!$G$57=3,$E$262*'Malaria-Equipment &amp; Other HPs'!AZ19,IF(SETUP!$G$57=2,$E$262*'Malaria-Equipment &amp; Other HPs'!BA19,IF(SETUP!$G$57=1,$E$262*'Malaria-Equipment &amp; Other HPs'!BB19,0)))),0)</f>
        <v>0</v>
      </c>
      <c r="N264" s="1194">
        <f>IF(SETUP!$F$57="At delivery",IF(SETUP!$G$57=4,$E$262*'Malaria-Equipment &amp; Other HPs'!AZ19,IF(SETUP!$G$57=3,$E$262*'Malaria-Equipment &amp; Other HPs'!BA19,IF(SETUP!$G$57=2,$E$262*'Malaria-Equipment &amp; Other HPs'!BB19,IF(SETUP!$G$57=1,$E$262*'Malaria-Equipment &amp; Other HPs'!BC19,0)))),0)</f>
        <v>0</v>
      </c>
      <c r="O264" s="1191">
        <f t="shared" si="35"/>
        <v>0</v>
      </c>
      <c r="P264" s="1189">
        <f>IF(SETUP!$F$57="At delivery",IF(SETUP!$G$57=4,$E$262*'Malaria-Equipment &amp; Other HPs'!BA19,IF(SETUP!$G$57=3,$E$262*'Malaria-Equipment &amp; Other HPs'!BB19,IF(SETUP!$G$57=2,$E$262*'Malaria-Equipment &amp; Other HPs'!BC19,IF(SETUP!$G$57=1,$E$262*'Malaria-Equipment &amp; Other HPs'!BD19,0)))),0)</f>
        <v>0</v>
      </c>
      <c r="Q264" s="1189">
        <f>IF(SETUP!$F$57="At delivery",IF(SETUP!$G$57=4,$E$262*'Malaria-Equipment &amp; Other HPs'!BB19,IF(SETUP!$G$57=3,$E$262*'Malaria-Equipment &amp; Other HPs'!BC19,IF(SETUP!$G$57=2,$E$262*'Malaria-Equipment &amp; Other HPs'!BD19,IF(SETUP!$G$57=1,$E$262*'Malaria-Equipment &amp; Other HPs'!BE19,0)))),0)</f>
        <v>0</v>
      </c>
      <c r="R264" s="1189">
        <f>IF(SETUP!$F$57="At delivery",IF(SETUP!$G$57=4,$E$262*'Malaria-Equipment &amp; Other HPs'!BC19,IF(SETUP!$G$57=3,$E$262*'Malaria-Equipment &amp; Other HPs'!BD19,IF(SETUP!$G$57=2,$E$262*'Malaria-Equipment &amp; Other HPs'!BE19,IF(SETUP!$G$57=1,$E$262*'Malaria-Equipment &amp; Other HPs'!BF19,0)))),0)</f>
        <v>0</v>
      </c>
      <c r="S264" s="1189">
        <f>IF(SETUP!$F$57="At delivery",IF(SETUP!$G$57=4,$E$262*('Malaria-Equipment &amp; Other HPs'!BD19+'Malaria-Equipment &amp; Other HPs'!BE19+'Malaria-Equipment &amp; Other HPs'!BF19+'Malaria-Equipment &amp; Other HPs'!BG19+'Malaria-Equipment &amp; Other HPs'!BH19),IF(SETUP!$G$57=3,$E$262*('Malaria-Equipment &amp; Other HPs'!BE19+'Malaria-Equipment &amp; Other HPs'!BF19+'Malaria-Equipment &amp; Other HPs'!BG19+'Malaria-Equipment &amp; Other HPs'!BH19),IF(SETUP!$G$57=2,$E$262*('Malaria-Equipment &amp; Other HPs'!BF19+'Malaria-Equipment &amp; Other HPs'!BG19+'Malaria-Equipment &amp; Other HPs'!BH19),IF(SETUP!$G$57=1,$E$262*('Malaria-Equipment &amp; Other HPs'!BG19+'Malaria-Equipment &amp; Other HPs'!BH19),0)))),0)</f>
        <v>0</v>
      </c>
      <c r="T264" s="1190">
        <f t="shared" si="36"/>
        <v>0</v>
      </c>
      <c r="U264" s="1189">
        <f t="shared" si="37"/>
        <v>0</v>
      </c>
      <c r="V264" s="1795">
        <v>7.5</v>
      </c>
      <c r="W264" s="1823"/>
      <c r="X264" s="1820"/>
    </row>
    <row r="265" spans="1:38" s="860" customFormat="1" ht="15" hidden="1" customHeight="1" collapsed="1" thickBot="1">
      <c r="A265" s="2928"/>
      <c r="B265" s="2930"/>
      <c r="C265" s="2975" t="s">
        <v>584</v>
      </c>
      <c r="D265" s="2976"/>
      <c r="E265" s="1881">
        <v>0</v>
      </c>
      <c r="F265" s="1337">
        <f>IF(SETUP!$F$58="Upfront",F266,F267)</f>
        <v>0</v>
      </c>
      <c r="G265" s="1282">
        <f>IF(SETUP!$F$58="Upfront",G266,G267)</f>
        <v>0</v>
      </c>
      <c r="H265" s="1282">
        <f>IF(SETUP!$F$58="Upfront",H266,H267)</f>
        <v>0</v>
      </c>
      <c r="I265" s="1282">
        <f>IF(SETUP!$F$58="Upfront",I266,I267)</f>
        <v>0</v>
      </c>
      <c r="J265" s="1283">
        <f t="shared" si="34"/>
        <v>0</v>
      </c>
      <c r="K265" s="1282">
        <f>IF(SETUP!$F$58="Upfront",K266,K267)</f>
        <v>0</v>
      </c>
      <c r="L265" s="1282">
        <f>IF(SETUP!$F$58="Upfront",L266,L267)</f>
        <v>0</v>
      </c>
      <c r="M265" s="1282">
        <f>IF(SETUP!$F$58="Upfront",M266,M267)</f>
        <v>0</v>
      </c>
      <c r="N265" s="1282">
        <f>IF(SETUP!$F$58="Upfront",N266,N267)</f>
        <v>0</v>
      </c>
      <c r="O265" s="1284">
        <f t="shared" si="35"/>
        <v>0</v>
      </c>
      <c r="P265" s="1282">
        <f>IF(SETUP!$F$58="Upfront",P266,P267)</f>
        <v>0</v>
      </c>
      <c r="Q265" s="1282">
        <f>IF(SETUP!$F$58="Upfront",Q266,Q267)</f>
        <v>0</v>
      </c>
      <c r="R265" s="1282">
        <f>IF(SETUP!$F$58="Upfront",R266,R267)</f>
        <v>0</v>
      </c>
      <c r="S265" s="1282">
        <f>IF(SETUP!$F$58="Upfront",S266,S267)</f>
        <v>0</v>
      </c>
      <c r="T265" s="1285">
        <f t="shared" si="36"/>
        <v>0</v>
      </c>
      <c r="U265" s="1282">
        <f t="shared" si="37"/>
        <v>0</v>
      </c>
      <c r="V265" s="1796">
        <v>7.5</v>
      </c>
      <c r="W265" s="1824"/>
      <c r="X265" s="1821"/>
    </row>
    <row r="266" spans="1:38" s="860" customFormat="1" ht="15" hidden="1" customHeight="1" outlineLevel="1">
      <c r="A266" s="1872"/>
      <c r="B266" s="1886"/>
      <c r="C266" s="2977" t="s">
        <v>918</v>
      </c>
      <c r="D266" s="2978"/>
      <c r="E266" s="1882"/>
      <c r="F266" s="1196">
        <f>IF(SETUP!$F$58="Upfront",$E$265*'Malaria-Equipment &amp; Other HPs'!AW20,0)</f>
        <v>0</v>
      </c>
      <c r="G266" s="1196">
        <f>IF(SETUP!$F$58="Upfront",$E$265*'Malaria-Equipment &amp; Other HPs'!AX20,0)</f>
        <v>0</v>
      </c>
      <c r="H266" s="1196">
        <f>IF(SETUP!$F$58="Upfront",$E$265*'Malaria-Equipment &amp; Other HPs'!AY20,0)</f>
        <v>0</v>
      </c>
      <c r="I266" s="1196">
        <f>IF(SETUP!$F$58="Upfront",$E$265*'Malaria-Equipment &amp; Other HPs'!AZ20,0)</f>
        <v>0</v>
      </c>
      <c r="J266" s="1197"/>
      <c r="K266" s="1196">
        <f>IF(SETUP!$F$58="Upfront",$E$265*'Malaria-Equipment &amp; Other HPs'!BA20,0)</f>
        <v>0</v>
      </c>
      <c r="L266" s="1196">
        <f>IF(SETUP!$F$58="Upfront",$E$265*'Malaria-Equipment &amp; Other HPs'!BB20,0)</f>
        <v>0</v>
      </c>
      <c r="M266" s="1196">
        <f>IF(SETUP!$F$58="Upfront",$E$265*'Malaria-Equipment &amp; Other HPs'!BC20,0)</f>
        <v>0</v>
      </c>
      <c r="N266" s="1196">
        <f>IF(SETUP!$F$58="Upfront",$E$265*'Malaria-Equipment &amp; Other HPs'!BD20,0)</f>
        <v>0</v>
      </c>
      <c r="O266" s="1198"/>
      <c r="P266" s="1196">
        <f>IF(SETUP!$F$58="Upfront",$E$265*'Malaria-Equipment &amp; Other HPs'!BE20,0)</f>
        <v>0</v>
      </c>
      <c r="Q266" s="1196">
        <f>IF(SETUP!$F$58="Upfront",$E$265*'Malaria-Equipment &amp; Other HPs'!BF20,0)</f>
        <v>0</v>
      </c>
      <c r="R266" s="1196">
        <f>IF(SETUP!$F$58="Upfront",$E$265*'Malaria-Equipment &amp; Other HPs'!BG20,0)</f>
        <v>0</v>
      </c>
      <c r="S266" s="1196">
        <f>IF(SETUP!$F$58="Upfront",$E$265*'Malaria-Equipment &amp; Other HPs'!BH20,0)</f>
        <v>0</v>
      </c>
      <c r="T266" s="1196"/>
      <c r="U266" s="1196"/>
      <c r="V266" s="932"/>
    </row>
    <row r="267" spans="1:38" s="860" customFormat="1" ht="15" hidden="1" customHeight="1" outlineLevel="1" thickBot="1">
      <c r="A267" s="1873"/>
      <c r="B267" s="1887"/>
      <c r="C267" s="2960" t="s">
        <v>36</v>
      </c>
      <c r="D267" s="2961"/>
      <c r="E267" s="1883"/>
      <c r="F267" s="1200">
        <v>0</v>
      </c>
      <c r="G267" s="1201">
        <f>IF(SETUP!$F$58="At delivery",IF(SETUP!$G$58=1,$E$265*'Malaria-Equipment &amp; Other HPs'!AW20,0),0)</f>
        <v>0</v>
      </c>
      <c r="H267" s="1202">
        <f>IF(SETUP!$F$58="At delivery",IF(SETUP!$G$58=2,$E$265*'Malaria-Equipment &amp; Other HPs'!AW20,IF(SETUP!$G$58=1,$E$265*'Malaria-Equipment &amp; Other HPs'!AX20,0)),0)</f>
        <v>0</v>
      </c>
      <c r="I267" s="1202">
        <f>IF(SETUP!$F$58="At delivery",IF(SETUP!$G$58=3,$E$265*'Malaria-Equipment &amp; Other HPs'!AW20,IF(SETUP!$G$58=2,$E$265*'Malaria-Equipment &amp; Other HPs'!AX20,IF(SETUP!$G$58=1,$E$265*'Malaria-Equipment &amp; Other HPs'!AY20,0))),0)</f>
        <v>0</v>
      </c>
      <c r="J267" s="1185"/>
      <c r="K267" s="1202">
        <f>IF(SETUP!$F$58="At delivery",IF(SETUP!$G$58=4,$E$265*'Malaria-Equipment &amp; Other HPs'!AW20,IF(SETUP!$G$58=3,$E$265*'Malaria-Equipment &amp; Other HPs'!AX20,IF(SETUP!$G$58=2,$E$265*'Malaria-Equipment &amp; Other HPs'!AY20,IF(SETUP!$G$58=1,$E$265*'Malaria-Equipment &amp; Other HPs'!AZ20,0)))),0)</f>
        <v>0</v>
      </c>
      <c r="L267" s="1202">
        <f>IF(SETUP!$F$58="At delivery",IF(SETUP!$G$58=4,$E$265*'Malaria-Equipment &amp; Other HPs'!AX20,IF(SETUP!$G$58=3,$E$265*'Malaria-Equipment &amp; Other HPs'!AY20,IF(SETUP!$G$58=2,$E$265*'Malaria-Equipment &amp; Other HPs'!AZ20,IF(SETUP!$G$58=1,$E$265*'Malaria-Equipment &amp; Other HPs'!BA20,0)))),0)</f>
        <v>0</v>
      </c>
      <c r="M267" s="1202">
        <f>IF(SETUP!$F$58="At delivery",IF(SETUP!$G$58=4,$E$265*'Malaria-Equipment &amp; Other HPs'!AY20,IF(SETUP!$G$58=3,$E$265*'Malaria-Equipment &amp; Other HPs'!AZ20,IF(SETUP!$G$58=2,$E$265*'Malaria-Equipment &amp; Other HPs'!BA20,IF(SETUP!$G$58=1,$E$265*'Malaria-Equipment &amp; Other HPs'!BB20,0)))),0)</f>
        <v>0</v>
      </c>
      <c r="N267" s="1202">
        <f>IF(SETUP!$F$58="At delivery",IF(SETUP!$G$58=4,$E$265*'Malaria-Equipment &amp; Other HPs'!AZ20,IF(SETUP!$G$58=3,$E$265*'Malaria-Equipment &amp; Other HPs'!BA20,IF(SETUP!$G$58=2,$E$265*'Malaria-Equipment &amp; Other HPs'!BB20,IF(SETUP!$G$58=1,$E$265*'Malaria-Equipment &amp; Other HPs'!BC20,0)))),0)</f>
        <v>0</v>
      </c>
      <c r="O267" s="1203"/>
      <c r="P267" s="1200">
        <f>IF(SETUP!$F$58="At delivery",IF(SETUP!$G$58=4,$E$265*'Malaria-Equipment &amp; Other HPs'!BA20,IF(SETUP!$G$58=3,$E$265*'Malaria-Equipment &amp; Other HPs'!BB20,IF(SETUP!$G$58=2,$E$265*'Malaria-Equipment &amp; Other HPs'!BC20,IF(SETUP!$G$58=1,$E$265*'Malaria-Equipment &amp; Other HPs'!BD20,0)))),0)</f>
        <v>0</v>
      </c>
      <c r="Q267" s="1200">
        <f>IF(SETUP!$F$58="At delivery",IF(SETUP!$G$58=4,$E$265*'Malaria-Equipment &amp; Other HPs'!BB20,IF(SETUP!$G$58=3,$E$265*'Malaria-Equipment &amp; Other HPs'!BC20,IF(SETUP!$G$58=2,$E$265*'Malaria-Equipment &amp; Other HPs'!BD20,IF(SETUP!$G$58=1,$E$265*'Malaria-Equipment &amp; Other HPs'!BE20,0)))),0)</f>
        <v>0</v>
      </c>
      <c r="R267" s="1200">
        <f>IF(SETUP!$F$58="At delivery",IF(SETUP!$G$58=4,$E$265*'Malaria-Equipment &amp; Other HPs'!BC20,IF(SETUP!$G$58=3,$E$265*'Malaria-Equipment &amp; Other HPs'!BD20,IF(SETUP!$G$58=2,$E$265*'Malaria-Equipment &amp; Other HPs'!BE20,IF(SETUP!$G$58=1,$E$265*'Malaria-Equipment &amp; Other HPs'!BF20,0)))),0)</f>
        <v>0</v>
      </c>
      <c r="S267" s="1204">
        <f>IF(SETUP!$F$58="At delivery",IF(SETUP!$G$58=4,$E$265*('Malaria-Equipment &amp; Other HPs'!BD20+'Malaria-Equipment &amp; Other HPs'!BE20+'Malaria-Equipment &amp; Other HPs'!BF20+'Malaria-Equipment &amp; Other HPs'!BG20+'Malaria-Equipment &amp; Other HPs'!BH20),IF(SETUP!$G$58=3,$E$265*('Malaria-Equipment &amp; Other HPs'!BE20+'Malaria-Equipment &amp; Other HPs'!BF20+'Malaria-Equipment &amp; Other HPs'!BG20+'Malaria-Equipment &amp; Other HPs'!BH20),IF(SETUP!$G$58=2,$E$265*('Malaria-Equipment &amp; Other HPs'!BF20+'Malaria-Equipment &amp; Other HPs'!BG20+'Malaria-Equipment &amp; Other HPs'!BH20),IF(SETUP!$G$58=1,$E$265*('Malaria-Equipment &amp; Other HPs'!BG20+'Malaria-Equipment &amp; Other HPs'!BH20),0)))),0)</f>
        <v>0</v>
      </c>
      <c r="T267" s="1207"/>
      <c r="U267" s="1207"/>
      <c r="V267" s="934"/>
    </row>
    <row r="268" spans="1:38" s="860" customFormat="1" ht="15" customHeight="1" collapsed="1">
      <c r="A268" s="1876"/>
      <c r="B268" s="1876"/>
      <c r="C268" s="862"/>
      <c r="D268" s="863"/>
      <c r="E268" s="864"/>
      <c r="F268" s="863"/>
      <c r="G268" s="863"/>
      <c r="H268" s="863"/>
      <c r="I268" s="865"/>
      <c r="V268" s="931"/>
      <c r="Y268" s="866"/>
      <c r="Z268" s="863"/>
      <c r="AA268" s="863"/>
      <c r="AB268" s="863"/>
      <c r="AC268" s="863"/>
      <c r="AD268" s="863"/>
      <c r="AE268" s="863"/>
      <c r="AF268" s="863"/>
      <c r="AG268" s="863"/>
      <c r="AH268" s="863"/>
      <c r="AI268" s="863"/>
      <c r="AJ268" s="863"/>
      <c r="AK268" s="863"/>
      <c r="AL268" s="863"/>
    </row>
    <row r="269" spans="1:38" s="1392" customFormat="1" ht="27" customHeight="1" thickBot="1">
      <c r="A269" s="2937" t="s">
        <v>588</v>
      </c>
      <c r="B269" s="2937"/>
      <c r="C269" s="2937"/>
      <c r="D269" s="2937"/>
      <c r="E269" s="2937"/>
      <c r="F269" s="1391"/>
      <c r="G269" s="1391"/>
      <c r="H269" s="1391"/>
      <c r="V269" s="1393"/>
      <c r="Y269" s="866"/>
      <c r="Z269" s="1391"/>
      <c r="AA269" s="1391"/>
      <c r="AB269" s="1391"/>
      <c r="AC269" s="1391"/>
      <c r="AD269" s="1391"/>
      <c r="AE269" s="1391"/>
      <c r="AF269" s="1391"/>
      <c r="AG269" s="1391"/>
      <c r="AH269" s="1391"/>
      <c r="AI269" s="1391"/>
      <c r="AJ269" s="1391"/>
      <c r="AK269" s="1391"/>
      <c r="AL269" s="1391"/>
    </row>
    <row r="270" spans="1:38" s="860" customFormat="1" ht="15" customHeight="1">
      <c r="A270" s="2962" t="s">
        <v>542</v>
      </c>
      <c r="B270" s="2963"/>
      <c r="C270" s="2963"/>
      <c r="D270" s="2963"/>
      <c r="E270" s="2938" t="s">
        <v>589</v>
      </c>
      <c r="F270" s="2942" t="str">
        <f>IF(ISBLANK(IMP_ST_DATE),"Please fill setup",YEAR(IMP_ST_DATE))</f>
        <v>Please fill setup</v>
      </c>
      <c r="G270" s="2943"/>
      <c r="H270" s="2943"/>
      <c r="I270" s="2943"/>
      <c r="J270" s="2948"/>
      <c r="K270" s="2950" t="str">
        <f>IF(ISBLANK(IMP_ST_DATE),"Please fill setup",YEAR(IMP_ST_DATE)+1)</f>
        <v>Please fill setup</v>
      </c>
      <c r="L270" s="2950"/>
      <c r="M270" s="2950"/>
      <c r="N270" s="2950"/>
      <c r="O270" s="2951"/>
      <c r="P270" s="2942" t="str">
        <f>IF(ISBLANK(IMP_ST_DATE),"Please fill setup",YEAR(IMP_ST_DATE)+2)</f>
        <v>Please fill setup</v>
      </c>
      <c r="Q270" s="2943"/>
      <c r="R270" s="2943"/>
      <c r="S270" s="2943"/>
      <c r="T270" s="2954"/>
      <c r="U270" s="3049" t="s">
        <v>593</v>
      </c>
      <c r="V270" s="3051" t="s">
        <v>153</v>
      </c>
      <c r="W270" s="3045" t="s">
        <v>6865</v>
      </c>
      <c r="X270" s="3054"/>
      <c r="Y270" s="3005" t="s">
        <v>153</v>
      </c>
    </row>
    <row r="271" spans="1:38" s="860" customFormat="1" ht="14.25" customHeight="1" thickBot="1">
      <c r="A271" s="2964"/>
      <c r="B271" s="2965"/>
      <c r="C271" s="2965"/>
      <c r="D271" s="2965"/>
      <c r="E271" s="2939"/>
      <c r="F271" s="2945"/>
      <c r="G271" s="2946"/>
      <c r="H271" s="2946"/>
      <c r="I271" s="2946"/>
      <c r="J271" s="2949"/>
      <c r="K271" s="2952"/>
      <c r="L271" s="2952"/>
      <c r="M271" s="2952"/>
      <c r="N271" s="2952"/>
      <c r="O271" s="2953"/>
      <c r="P271" s="2945"/>
      <c r="Q271" s="2946"/>
      <c r="R271" s="2946"/>
      <c r="S271" s="2946"/>
      <c r="T271" s="2955"/>
      <c r="U271" s="3050"/>
      <c r="V271" s="3057"/>
      <c r="W271" s="3053"/>
      <c r="X271" s="3055"/>
      <c r="Y271" s="3006"/>
    </row>
    <row r="272" spans="1:38" s="861" customFormat="1" ht="40.5" customHeight="1" thickBot="1">
      <c r="A272" s="2966"/>
      <c r="B272" s="2967"/>
      <c r="C272" s="2967"/>
      <c r="D272" s="2967"/>
      <c r="E272" s="2940"/>
      <c r="F272" s="845" t="s">
        <v>544</v>
      </c>
      <c r="G272" s="1272" t="s">
        <v>545</v>
      </c>
      <c r="H272" s="1272" t="s">
        <v>546</v>
      </c>
      <c r="I272" s="1272" t="s">
        <v>547</v>
      </c>
      <c r="J272" s="1273" t="s">
        <v>548</v>
      </c>
      <c r="K272" s="1272" t="s">
        <v>549</v>
      </c>
      <c r="L272" s="1272" t="s">
        <v>550</v>
      </c>
      <c r="M272" s="1272" t="s">
        <v>551</v>
      </c>
      <c r="N272" s="1272" t="s">
        <v>552</v>
      </c>
      <c r="O272" s="1273" t="s">
        <v>553</v>
      </c>
      <c r="P272" s="1272" t="s">
        <v>554</v>
      </c>
      <c r="Q272" s="1272" t="s">
        <v>555</v>
      </c>
      <c r="R272" s="1272" t="s">
        <v>556</v>
      </c>
      <c r="S272" s="1272" t="s">
        <v>557</v>
      </c>
      <c r="T272" s="848" t="s">
        <v>558</v>
      </c>
      <c r="U272" s="1816" t="s">
        <v>250</v>
      </c>
      <c r="V272" s="1818" t="s">
        <v>309</v>
      </c>
      <c r="W272" s="3046"/>
      <c r="X272" s="3056"/>
    </row>
    <row r="273" spans="1:24" s="860" customFormat="1" ht="15" customHeight="1">
      <c r="A273" s="2913" t="s">
        <v>560</v>
      </c>
      <c r="B273" s="2914"/>
      <c r="C273" s="2972" t="s">
        <v>561</v>
      </c>
      <c r="D273" s="2972"/>
      <c r="E273" s="1648">
        <v>0</v>
      </c>
      <c r="F273" s="1306">
        <f>IF(SETUP!$F$20="Upfront",F274,F275)</f>
        <v>0</v>
      </c>
      <c r="G273" s="1307">
        <f>IF(SETUP!$F$20="Upfront",G274,G275)</f>
        <v>0</v>
      </c>
      <c r="H273" s="1308">
        <f>IF(SETUP!$F$20="Upfront",H274,H275)</f>
        <v>0</v>
      </c>
      <c r="I273" s="1308">
        <f>IF(SETUP!$F$20="Upfront",I274,I275)</f>
        <v>0</v>
      </c>
      <c r="J273" s="1309">
        <f>F273+G273+H273+I273</f>
        <v>0</v>
      </c>
      <c r="K273" s="1308">
        <f>IF(SETUP!$F$20="Upfront",K274,K275)</f>
        <v>0</v>
      </c>
      <c r="L273" s="1308">
        <f>IF(SETUP!$F$20="Upfront",L274,L275)</f>
        <v>0</v>
      </c>
      <c r="M273" s="1308">
        <f>IF(SETUP!$F$20="Upfront",M274,M275)</f>
        <v>0</v>
      </c>
      <c r="N273" s="1308">
        <f>IF(SETUP!$F$20="Upfront",N274,N275)</f>
        <v>0</v>
      </c>
      <c r="O273" s="1310">
        <f>K273+L273+M273+N273</f>
        <v>0</v>
      </c>
      <c r="P273" s="1311">
        <f>IF(SETUP!$F$20="Upfront",P274,P275)</f>
        <v>0</v>
      </c>
      <c r="Q273" s="1311">
        <f>IF(SETUP!$F$20="Upfront",Q274,Q275)</f>
        <v>0</v>
      </c>
      <c r="R273" s="1311">
        <f>IF(SETUP!$F$20="Upfront",R274,R275)</f>
        <v>0</v>
      </c>
      <c r="S273" s="1311">
        <f>IF(SETUP!$F$20="Upfront",S274,S275)</f>
        <v>0</v>
      </c>
      <c r="T273" s="1321">
        <f>P273+Q273+R273+S273</f>
        <v>0</v>
      </c>
      <c r="U273" s="1311">
        <f>J273+O273+T273</f>
        <v>0</v>
      </c>
      <c r="V273" s="1795">
        <v>7.6</v>
      </c>
      <c r="W273" s="1822"/>
      <c r="X273" s="1819"/>
    </row>
    <row r="274" spans="1:24" s="860" customFormat="1" ht="15" hidden="1" customHeight="1" outlineLevel="1">
      <c r="A274" s="2915"/>
      <c r="B274" s="2916"/>
      <c r="C274" s="2912" t="s">
        <v>918</v>
      </c>
      <c r="D274" s="2912"/>
      <c r="E274" s="1649"/>
      <c r="F274" s="1279">
        <f>IF(SETUP!$F$20="Upfront",$E$273*'HIV-Pharmaceuticals'!AW14,0)</f>
        <v>0</v>
      </c>
      <c r="G274" s="1195">
        <f>IF(SETUP!$F$20="Upfront",$E$273*'HIV-Pharmaceuticals'!AX14,0)</f>
        <v>0</v>
      </c>
      <c r="H274" s="1194">
        <f>IF(SETUP!$F$20="Upfront",$E$273*'HIV-Pharmaceuticals'!AY14,0)</f>
        <v>0</v>
      </c>
      <c r="I274" s="1194">
        <f>IF(SETUP!$F$20="Upfront",$E$273*'HIV-Pharmaceuticals'!AZ14,0)</f>
        <v>0</v>
      </c>
      <c r="J274" s="1193">
        <f>'HPM costs'!$F274+'HPM costs'!$G274+'HPM costs'!$H274+'HPM costs'!$I274</f>
        <v>0</v>
      </c>
      <c r="K274" s="1194">
        <f>IF(SETUP!$F$20="Upfront",$E$273*'HIV-Pharmaceuticals'!BA14,0)</f>
        <v>0</v>
      </c>
      <c r="L274" s="1194">
        <f>IF(SETUP!$F$20="Upfront",$E$273*'HIV-Pharmaceuticals'!BB14,0)</f>
        <v>0</v>
      </c>
      <c r="M274" s="1194">
        <f>IF(SETUP!$F$20="Upfront",$E$273*'HIV-Pharmaceuticals'!BC14,0)</f>
        <v>0</v>
      </c>
      <c r="N274" s="1194">
        <f>IF(SETUP!$F$20="Upfront",$E$273*'HIV-Pharmaceuticals'!BD14,0)</f>
        <v>0</v>
      </c>
      <c r="O274" s="1191">
        <f>'HPM costs'!$F274+'HPM costs'!$G274+'HPM costs'!$H274+'HPM costs'!$I274</f>
        <v>0</v>
      </c>
      <c r="P274" s="1189">
        <f>IF(SETUP!$F$20="Upfront",$E$273*'HIV-Pharmaceuticals'!BE14,0)</f>
        <v>0</v>
      </c>
      <c r="Q274" s="1189">
        <f>IF(SETUP!$F$20="Upfront",$E$273*'HIV-Pharmaceuticals'!BF14,0)</f>
        <v>0</v>
      </c>
      <c r="R274" s="1189">
        <f>IF(SETUP!$F$20="Upfront",$E$273*'HIV-Pharmaceuticals'!BG14,0)</f>
        <v>0</v>
      </c>
      <c r="S274" s="1189">
        <f>IF(SETUP!$F$20="Upfront",$E$273*'HIV-Pharmaceuticals'!BH14,0)</f>
        <v>0</v>
      </c>
      <c r="T274" s="1208">
        <f>'HPM costs'!$F274+'HPM costs'!$G274+'HPM costs'!$H274+'HPM costs'!$I274</f>
        <v>0</v>
      </c>
      <c r="U274" s="1189">
        <f>'HPM costs'!$J274+'HPM costs'!$O274+'HPM costs'!$T274</f>
        <v>0</v>
      </c>
      <c r="V274" s="1795"/>
      <c r="W274" s="1823"/>
      <c r="X274" s="1820"/>
    </row>
    <row r="275" spans="1:24" s="860" customFormat="1" ht="15" hidden="1" customHeight="1" outlineLevel="1">
      <c r="A275" s="2915"/>
      <c r="B275" s="2916"/>
      <c r="C275" s="2912" t="s">
        <v>36</v>
      </c>
      <c r="D275" s="2912"/>
      <c r="E275" s="1649"/>
      <c r="F275" s="1279">
        <v>0</v>
      </c>
      <c r="G275" s="1195">
        <f>IF(SETUP!$F$20="At delivery",IF(SETUP!$G$20=1,$E$273*'HIV-Pharmaceuticals'!AW14,0),0)</f>
        <v>0</v>
      </c>
      <c r="H275" s="1194">
        <f>IF(SETUP!$F$20="At delivery",IF(SETUP!$G$20=2,$E$273*'HIV-Pharmaceuticals'!AW14,IF(SETUP!$G$20=1,$E$273*'HIV-Pharmaceuticals'!AX14,0)),0)</f>
        <v>0</v>
      </c>
      <c r="I275" s="1194">
        <f>IF(SETUP!$F$20="At delivery",IF(SETUP!$G$20=3,$E$273*'HIV-Pharmaceuticals'!AW14,IF(SETUP!$G$20=2,$E$273*'HIV-Pharmaceuticals'!AX14,IF(SETUP!$G$20=1,$E$273*'HIV-Pharmaceuticals'!AY14,0))),0)</f>
        <v>0</v>
      </c>
      <c r="J275" s="1193">
        <f>'HPM costs'!$F275+'HPM costs'!$G275+'HPM costs'!$H275+'HPM costs'!$I275</f>
        <v>0</v>
      </c>
      <c r="K275" s="1194">
        <f>IF(SETUP!$F$20="At delivery",IF(SETUP!$G$20=4,$E$273*'HIV-Pharmaceuticals'!AW14,IF(SETUP!$G$20=3,$E$273*'HIV-Pharmaceuticals'!AX14,IF(SETUP!$G$20=2,$E$273*'HIV-Pharmaceuticals'!AY14,IF(SETUP!$G$20=1,$E$273*'HIV-Pharmaceuticals'!AZ14,0)))),0)</f>
        <v>0</v>
      </c>
      <c r="L275" s="1194">
        <f>IF(SETUP!$F$20="At delivery",IF(SETUP!$G$20=4,$E$273*'HIV-Pharmaceuticals'!AX14,IF(SETUP!$G$20=3,$E$273*'HIV-Pharmaceuticals'!AY14,IF(SETUP!$G$20=2,$E$273*'HIV-Pharmaceuticals'!AZ14,IF(SETUP!$G$20=1,$E$273*'HIV-Pharmaceuticals'!BA14,0)))),0)</f>
        <v>0</v>
      </c>
      <c r="M275" s="1194">
        <f>IF(SETUP!$F$20="At delivery",IF(SETUP!$G$20=4,$E$273*'HIV-Pharmaceuticals'!AY14,IF(SETUP!$G$20=3,$E$273*'HIV-Pharmaceuticals'!AZ14,IF(SETUP!$G$20=2,$E$273*'HIV-Pharmaceuticals'!BA14,IF(SETUP!$G$20=1,$E$273*'HIV-Pharmaceuticals'!BB14,0)))),0)</f>
        <v>0</v>
      </c>
      <c r="N275" s="1194">
        <f>IF(SETUP!$F$20="At delivery",IF(SETUP!$G$20=4,$E$273*'HIV-Pharmaceuticals'!AZ14,IF(SETUP!$G$20=3,$E$273*'HIV-Pharmaceuticals'!BA14,IF(SETUP!$G$20=2,$E$273*'HIV-Pharmaceuticals'!BB14,IF(SETUP!$G$20=1,$E$273*'HIV-Pharmaceuticals'!BC14,0)))),0)</f>
        <v>0</v>
      </c>
      <c r="O275" s="1191">
        <f>'HPM costs'!$F275+'HPM costs'!$G275+'HPM costs'!$H275+'HPM costs'!$I275</f>
        <v>0</v>
      </c>
      <c r="P275" s="1189">
        <f>IF(SETUP!$F$20="At delivery",IF(SETUP!$G$20=4,$E$273*'HIV-Pharmaceuticals'!BA14,IF(SETUP!$G$20=3,$E$273*'HIV-Pharmaceuticals'!BB14,IF(SETUP!$G$20=2,$E$273*'HIV-Pharmaceuticals'!BC14,IF(SETUP!$G$20=1,$E$273*'HIV-Pharmaceuticals'!BD14,0)))),0)</f>
        <v>0</v>
      </c>
      <c r="Q275" s="1189">
        <f>IF(SETUP!$F$20="At delivery",IF(SETUP!$G$20=4,$E$273*'HIV-Pharmaceuticals'!BB14,IF(SETUP!$G$20=3,$E$273*'HIV-Pharmaceuticals'!BC14,IF(SETUP!$G$20=2,$E$273*'HIV-Pharmaceuticals'!BD14,IF(SETUP!$G$20=1,$E$273*'HIV-Pharmaceuticals'!BE14,0)))),0)</f>
        <v>0</v>
      </c>
      <c r="R275" s="1189">
        <f>IF(SETUP!$F$20="At delivery",IF(SETUP!$G$20=4,$E$273*'HIV-Pharmaceuticals'!BC14,IF(SETUP!$G$20=3,$E$273*'HIV-Pharmaceuticals'!BD14,IF(SETUP!$G$20=2,$E$273*'HIV-Pharmaceuticals'!BE14,IF(SETUP!$G$20=1,$E$273*'HIV-Pharmaceuticals'!BF14,0)))),0)</f>
        <v>0</v>
      </c>
      <c r="S275" s="1189">
        <f>IF(SETUP!$F$20="At delivery",IF(SETUP!$G$20=4,$E$273*('HIV-Pharmaceuticals'!BD14+'HIV-Pharmaceuticals'!BE14+'HIV-Pharmaceuticals'!BF14+'HIV-Pharmaceuticals'!BG14+'HIV-Pharmaceuticals'!BH14),IF(SETUP!$G$20=3,$E$273*('HIV-Pharmaceuticals'!BE14+'HIV-Pharmaceuticals'!BF14+'HIV-Pharmaceuticals'!BG14+'HIV-Pharmaceuticals'!BH14),IF(SETUP!$G$20=2,$E$273*('HIV-Pharmaceuticals'!BF14+'HIV-Pharmaceuticals'!BG14+'HIV-Pharmaceuticals'!BH14),IF(SETUP!$G$20=1,$E$273*('HIV-Pharmaceuticals'!BG14+'HIV-Pharmaceuticals'!BH14),0)))),0)</f>
        <v>0</v>
      </c>
      <c r="T275" s="1208">
        <f>'HPM costs'!$F275+'HPM costs'!$G275+'HPM costs'!$H275+'HPM costs'!$I275</f>
        <v>0</v>
      </c>
      <c r="U275" s="1189">
        <f>'HPM costs'!$J275+'HPM costs'!$O275+'HPM costs'!$T275</f>
        <v>0</v>
      </c>
      <c r="V275" s="1795"/>
      <c r="W275" s="1823"/>
      <c r="X275" s="1820"/>
    </row>
    <row r="276" spans="1:24" s="860" customFormat="1" ht="15" customHeight="1" collapsed="1">
      <c r="A276" s="2915"/>
      <c r="B276" s="2916"/>
      <c r="C276" s="2911" t="s">
        <v>148</v>
      </c>
      <c r="D276" s="2911"/>
      <c r="E276" s="1649">
        <v>0</v>
      </c>
      <c r="F276" s="1279">
        <f>IF(SETUP!$F$21="Upfront",F277,F278)</f>
        <v>0</v>
      </c>
      <c r="G276" s="1195">
        <f>IF(SETUP!$F$21="Upfront",G277,G278)</f>
        <v>0</v>
      </c>
      <c r="H276" s="1194">
        <f>IF(SETUP!$F$21="Upfront",H277,H278)</f>
        <v>0</v>
      </c>
      <c r="I276" s="1194">
        <f>IF(SETUP!$F$21="Upfront",I277,I278)</f>
        <v>0</v>
      </c>
      <c r="J276" s="1193">
        <f t="shared" ref="J276:J294" si="38">F276+G276+H276+I276</f>
        <v>0</v>
      </c>
      <c r="K276" s="1194">
        <f>IF(SETUP!$F$21="Upfront",K277,K278)</f>
        <v>0</v>
      </c>
      <c r="L276" s="1194">
        <f>IF(SETUP!$F$21="Upfront",L277,L278)</f>
        <v>0</v>
      </c>
      <c r="M276" s="1194">
        <f>IF(SETUP!$F$21="Upfront",M277,M278)</f>
        <v>0</v>
      </c>
      <c r="N276" s="1194">
        <f>IF(SETUP!$F$21="Upfront",N277,N278)</f>
        <v>0</v>
      </c>
      <c r="O276" s="1191">
        <f t="shared" ref="O276:O294" si="39">K276+L276+M276+N276</f>
        <v>0</v>
      </c>
      <c r="P276" s="1189">
        <f>IF(SETUP!$F$21="Upfront",P277,P278)</f>
        <v>0</v>
      </c>
      <c r="Q276" s="1189">
        <f>IF(SETUP!$F$21="Upfront",Q277,Q278)</f>
        <v>0</v>
      </c>
      <c r="R276" s="1189">
        <f>IF(SETUP!$F$21="Upfront",R277,R278)</f>
        <v>0</v>
      </c>
      <c r="S276" s="1189">
        <f>IF(SETUP!$F$21="Upfront",S277,S278)</f>
        <v>0</v>
      </c>
      <c r="T276" s="1208">
        <f t="shared" ref="T276:T293" si="40">P276+Q276+R276+S276</f>
        <v>0</v>
      </c>
      <c r="U276" s="1189">
        <f t="shared" ref="U276:U293" si="41">J276+O276+T276</f>
        <v>0</v>
      </c>
      <c r="V276" s="1795">
        <v>7.6</v>
      </c>
      <c r="W276" s="1823"/>
      <c r="X276" s="1820"/>
    </row>
    <row r="277" spans="1:24" s="860" customFormat="1" ht="15" hidden="1" customHeight="1" outlineLevel="1">
      <c r="A277" s="2915"/>
      <c r="B277" s="2916"/>
      <c r="C277" s="2912" t="s">
        <v>918</v>
      </c>
      <c r="D277" s="2912"/>
      <c r="E277" s="1649"/>
      <c r="F277" s="1279">
        <f>IF(SETUP!$F$21="Upfront",$E$276*'HIV-Pharmaceuticals'!AW15,0)</f>
        <v>0</v>
      </c>
      <c r="G277" s="1195">
        <f>IF(SETUP!$F$21="Upfront",$E$276*'HIV-Pharmaceuticals'!AX15,0)</f>
        <v>0</v>
      </c>
      <c r="H277" s="1194">
        <f>IF(SETUP!$F$21="Upfront",$E$276*'HIV-Pharmaceuticals'!AY15,0)</f>
        <v>0</v>
      </c>
      <c r="I277" s="1194">
        <f>IF(SETUP!$F$21="Upfront",$E$276*'HIV-Pharmaceuticals'!AZ15,0)</f>
        <v>0</v>
      </c>
      <c r="J277" s="1193">
        <f t="shared" si="38"/>
        <v>0</v>
      </c>
      <c r="K277" s="1194">
        <f>IF(SETUP!$F$21="Upfront",$E$276*'HIV-Pharmaceuticals'!BA15,0)</f>
        <v>0</v>
      </c>
      <c r="L277" s="1194">
        <f>IF(SETUP!$F$21="Upfront",$E$276*'HIV-Pharmaceuticals'!BB15,0)</f>
        <v>0</v>
      </c>
      <c r="M277" s="1194">
        <f>IF(SETUP!$F$21="Upfront",$E$276*'HIV-Pharmaceuticals'!BC15,0)</f>
        <v>0</v>
      </c>
      <c r="N277" s="1194">
        <f>IF(SETUP!$F$21="Upfront",$E$276*'HIV-Pharmaceuticals'!BD15,0)</f>
        <v>0</v>
      </c>
      <c r="O277" s="1191">
        <f t="shared" si="39"/>
        <v>0</v>
      </c>
      <c r="P277" s="1189">
        <f>IF(SETUP!$F$21="Upfront",$E$276*'HIV-Pharmaceuticals'!BE15,0)</f>
        <v>0</v>
      </c>
      <c r="Q277" s="1189">
        <f>IF(SETUP!$F$21="Upfront",$E$276*'HIV-Pharmaceuticals'!BF15,0)</f>
        <v>0</v>
      </c>
      <c r="R277" s="1189">
        <f>IF(SETUP!$F$21="Upfront",$E$276*'HIV-Pharmaceuticals'!BG15,0)</f>
        <v>0</v>
      </c>
      <c r="S277" s="1189">
        <f>IF(SETUP!$F$21="Upfront",$E$276*'HIV-Pharmaceuticals'!BH15,0)</f>
        <v>0</v>
      </c>
      <c r="T277" s="1208">
        <f t="shared" si="40"/>
        <v>0</v>
      </c>
      <c r="U277" s="1189">
        <f t="shared" si="41"/>
        <v>0</v>
      </c>
      <c r="V277" s="1795">
        <v>7.6</v>
      </c>
      <c r="W277" s="1823"/>
      <c r="X277" s="1820"/>
    </row>
    <row r="278" spans="1:24" s="860" customFormat="1" ht="15" hidden="1" customHeight="1" outlineLevel="1">
      <c r="A278" s="2915"/>
      <c r="B278" s="2916"/>
      <c r="C278" s="2912" t="s">
        <v>36</v>
      </c>
      <c r="D278" s="2912"/>
      <c r="E278" s="1649"/>
      <c r="F278" s="1279">
        <v>0</v>
      </c>
      <c r="G278" s="1195">
        <f>IF(SETUP!$F$21="At delivery",IF(SETUP!$G$21=1,$E$276*'HIV-Pharmaceuticals'!AW15,0),0)</f>
        <v>0</v>
      </c>
      <c r="H278" s="1194">
        <f>IF(SETUP!$F$21="At delivery",IF(SETUP!$G$21=2,$E$276*'HIV-Pharmaceuticals'!AW15,IF(SETUP!$G$21=1,$E$276*'HIV-Pharmaceuticals'!AX15,0)),0)</f>
        <v>0</v>
      </c>
      <c r="I278" s="1194">
        <f>IF(SETUP!$F$21="At delivery",IF(SETUP!$G$21=3,$E$276*'HIV-Pharmaceuticals'!AW15,IF(SETUP!$G$21=2,$E$276*'HIV-Pharmaceuticals'!AX15,IF(SETUP!$G$21=1,$E$276*'HIV-Pharmaceuticals'!AY15,0))),0)</f>
        <v>0</v>
      </c>
      <c r="J278" s="1193">
        <f t="shared" si="38"/>
        <v>0</v>
      </c>
      <c r="K278" s="1194">
        <f>IF(SETUP!$F$21="At delivery",IF(SETUP!$G$21=4,$E$276*'HIV-Pharmaceuticals'!AW15,IF(SETUP!$G$21=3,$E$276*'HIV-Pharmaceuticals'!AX15,IF(SETUP!$G$21=2,$E$276*'HIV-Pharmaceuticals'!AY15,IF(SETUP!$G$21=1,$E$276*'HIV-Pharmaceuticals'!AZ15,0)))),0)</f>
        <v>0</v>
      </c>
      <c r="L278" s="1194">
        <f>IF(SETUP!$F$21="At delivery",IF(SETUP!$G$21=4,$E$276*'HIV-Pharmaceuticals'!AX15,IF(SETUP!$G$21=3,$E$276*'HIV-Pharmaceuticals'!AY15,IF(SETUP!$G$21=2,$E$276*'HIV-Pharmaceuticals'!AZ15,IF(SETUP!$G$21=1,$E$276*'HIV-Pharmaceuticals'!BA15,0)))),0)</f>
        <v>0</v>
      </c>
      <c r="M278" s="1194">
        <f>IF(SETUP!$F$21="At delivery",IF(SETUP!$G$21=4,$E$276*'HIV-Pharmaceuticals'!AY15,IF(SETUP!$G$21=3,$E$276*'HIV-Pharmaceuticals'!AZ15,IF(SETUP!$G$21=2,$E$276*'HIV-Pharmaceuticals'!BA15,IF(SETUP!$G$21=1,$E$276*'HIV-Pharmaceuticals'!BB15,0)))),0)</f>
        <v>0</v>
      </c>
      <c r="N278" s="1194">
        <f>IF(SETUP!$F$21="At delivery",IF(SETUP!$G$21=4,$E$276*'HIV-Pharmaceuticals'!AZ15,IF(SETUP!$G$21=3,$E$276*'HIV-Pharmaceuticals'!BA15,IF(SETUP!$G$21=2,$E$276*'HIV-Pharmaceuticals'!BB15,IF(SETUP!$G$21=1,$E$276*'HIV-Pharmaceuticals'!BC15,0)))),0)</f>
        <v>0</v>
      </c>
      <c r="O278" s="1191">
        <f t="shared" si="39"/>
        <v>0</v>
      </c>
      <c r="P278" s="1189">
        <f>IF(SETUP!$F$21="At delivery",IF(SETUP!$G$21=4,$E$276*'HIV-Pharmaceuticals'!BA15,IF(SETUP!$G$21=3,$E$276*'HIV-Pharmaceuticals'!BB15,IF(SETUP!$G$21=2,$E$276*'HIV-Pharmaceuticals'!BC15,IF(SETUP!$G$21=1,$E$276*'HIV-Pharmaceuticals'!BD15,0)))),0)</f>
        <v>0</v>
      </c>
      <c r="Q278" s="1189">
        <f>IF(SETUP!$F$21="At delivery",IF(SETUP!$G$21=4,$E$276*'HIV-Pharmaceuticals'!BB15,IF(SETUP!$G$21=3,$E$276*'HIV-Pharmaceuticals'!BC15,IF(SETUP!$G$21=2,$E$276*'HIV-Pharmaceuticals'!BD15,IF(SETUP!$G$21=1,$E$276*'HIV-Pharmaceuticals'!BE15,0)))),0)</f>
        <v>0</v>
      </c>
      <c r="R278" s="1189">
        <f>IF(SETUP!$F$21="At delivery",IF(SETUP!$G$21=4,$E$276*'HIV-Pharmaceuticals'!BC15,IF(SETUP!$G$21=3,$E$276*'HIV-Pharmaceuticals'!BD15,IF(SETUP!$G$21=2,$E$276*'HIV-Pharmaceuticals'!BE15,IF(SETUP!$G$21=1,$E$276*'HIV-Pharmaceuticals'!BF15,0)))),0)</f>
        <v>0</v>
      </c>
      <c r="S278" s="1189">
        <f>IF(SETUP!$F$21="At delivery",IF(SETUP!$G$21=4,$E$276*('HIV-Pharmaceuticals'!BD15+'HIV-Pharmaceuticals'!BE15+'HIV-Pharmaceuticals'!BF15+'HIV-Pharmaceuticals'!BG15+'HIV-Pharmaceuticals'!BH15),IF(SETUP!$G$21=3,$E$276*('HIV-Pharmaceuticals'!BE15+'HIV-Pharmaceuticals'!BF15+'HIV-Pharmaceuticals'!BG15+'HIV-Pharmaceuticals'!BH15),IF(SETUP!$G$21=2,$E$276*('HIV-Pharmaceuticals'!BF15+'HIV-Pharmaceuticals'!BG15+'HIV-Pharmaceuticals'!BH15),IF(SETUP!$G$21=1,$E$276*('HIV-Pharmaceuticals'!BG15+'HIV-Pharmaceuticals'!BH15),0)))),0)</f>
        <v>0</v>
      </c>
      <c r="T278" s="1208">
        <f t="shared" si="40"/>
        <v>0</v>
      </c>
      <c r="U278" s="1189">
        <f t="shared" si="41"/>
        <v>0</v>
      </c>
      <c r="V278" s="1795">
        <v>7.6</v>
      </c>
      <c r="W278" s="1823"/>
      <c r="X278" s="1820"/>
    </row>
    <row r="279" spans="1:24" s="860" customFormat="1" ht="15" customHeight="1" collapsed="1">
      <c r="A279" s="2915"/>
      <c r="B279" s="2916"/>
      <c r="C279" s="2941" t="s">
        <v>1317</v>
      </c>
      <c r="D279" s="2941"/>
      <c r="E279" s="1649">
        <v>0</v>
      </c>
      <c r="F279" s="1279">
        <f>IF(SETUP!$F$22="Upfront",F280,F281)</f>
        <v>0</v>
      </c>
      <c r="G279" s="1195">
        <f>IF(SETUP!$F$22="Upfront",G280,G281)</f>
        <v>0</v>
      </c>
      <c r="H279" s="1194">
        <f>IF(SETUP!$F$22="Upfront",H280,H281)</f>
        <v>0</v>
      </c>
      <c r="I279" s="1194">
        <f>IF(SETUP!$F$22="Upfront",I280,I281)</f>
        <v>0</v>
      </c>
      <c r="J279" s="1193">
        <f t="shared" si="38"/>
        <v>0</v>
      </c>
      <c r="K279" s="1194">
        <f>IF(SETUP!$F$22="Upfront",K280,K281)</f>
        <v>0</v>
      </c>
      <c r="L279" s="1194">
        <f>IF(SETUP!$F$22="Upfront",L280,L281)</f>
        <v>0</v>
      </c>
      <c r="M279" s="1194">
        <f>IF(SETUP!$F$22="Upfront",M280,M281)</f>
        <v>0</v>
      </c>
      <c r="N279" s="1194">
        <f>IF(SETUP!$F$22="Upfront",N280,N281)</f>
        <v>0</v>
      </c>
      <c r="O279" s="1191">
        <f t="shared" si="39"/>
        <v>0</v>
      </c>
      <c r="P279" s="1189">
        <f>IF(SETUP!$F$22="Upfront",P280,P281)</f>
        <v>0</v>
      </c>
      <c r="Q279" s="1189">
        <f>IF(SETUP!$F$22="Upfront",Q280,Q281)</f>
        <v>0</v>
      </c>
      <c r="R279" s="1189">
        <f>IF(SETUP!$F$22="Upfront",R280,R281)</f>
        <v>0</v>
      </c>
      <c r="S279" s="1189">
        <f>IF(SETUP!$F$22="Upfront",S280,S281)</f>
        <v>0</v>
      </c>
      <c r="T279" s="1208">
        <f t="shared" si="40"/>
        <v>0</v>
      </c>
      <c r="U279" s="1189">
        <f t="shared" si="41"/>
        <v>0</v>
      </c>
      <c r="V279" s="1795">
        <v>7.6</v>
      </c>
      <c r="W279" s="1823"/>
      <c r="X279" s="1820"/>
    </row>
    <row r="280" spans="1:24" s="860" customFormat="1" ht="15" hidden="1" customHeight="1" outlineLevel="1">
      <c r="A280" s="2893" t="s">
        <v>564</v>
      </c>
      <c r="B280" s="2894"/>
      <c r="C280" s="2912" t="s">
        <v>918</v>
      </c>
      <c r="D280" s="2912"/>
      <c r="E280" s="1649"/>
      <c r="F280" s="1279">
        <f>IF(SETUP!$F$22="Upfront",$E$279*'HIV-Pharmaceuticals'!AW16,0)</f>
        <v>0</v>
      </c>
      <c r="G280" s="1195">
        <f>IF(SETUP!$F$22="Upfront",$E$279*'HIV-Pharmaceuticals'!AX16,0)</f>
        <v>0</v>
      </c>
      <c r="H280" s="1194">
        <f>IF(SETUP!$F$22="Upfront",$E$279*'HIV-Pharmaceuticals'!AY16,0)</f>
        <v>0</v>
      </c>
      <c r="I280" s="1194">
        <f>IF(SETUP!$F$22="Upfront",$E$279*'HIV-Pharmaceuticals'!AZ16,0)</f>
        <v>0</v>
      </c>
      <c r="J280" s="1193">
        <f t="shared" si="38"/>
        <v>0</v>
      </c>
      <c r="K280" s="1194">
        <f>IF(SETUP!$F$22="Upfront",$E$279*'HIV-Pharmaceuticals'!BA16,0)</f>
        <v>0</v>
      </c>
      <c r="L280" s="1194">
        <f>IF(SETUP!$F$22="Upfront",$E$279*'HIV-Pharmaceuticals'!BB16,0)</f>
        <v>0</v>
      </c>
      <c r="M280" s="1194">
        <f>IF(SETUP!$F$22="Upfront",$E$279*'HIV-Pharmaceuticals'!BC16,0)</f>
        <v>0</v>
      </c>
      <c r="N280" s="1194">
        <f>IF(SETUP!$F$22="Upfront",$E$279*'HIV-Pharmaceuticals'!BD16,0)</f>
        <v>0</v>
      </c>
      <c r="O280" s="1191">
        <f t="shared" si="39"/>
        <v>0</v>
      </c>
      <c r="P280" s="1189">
        <f>IF(SETUP!$F$22="Upfront",$E$279*'HIV-Pharmaceuticals'!BE16,0)</f>
        <v>0</v>
      </c>
      <c r="Q280" s="1189">
        <f>IF(SETUP!$F$22="Upfront",$E$279*'HIV-Pharmaceuticals'!BF16,0)</f>
        <v>0</v>
      </c>
      <c r="R280" s="1189">
        <f>IF(SETUP!$F$22="Upfront",$E$279*'HIV-Pharmaceuticals'!BG16,0)</f>
        <v>0</v>
      </c>
      <c r="S280" s="1189">
        <f>IF(SETUP!$F$22="Upfront",$E$279*'HIV-Pharmaceuticals'!BH16,0)</f>
        <v>0</v>
      </c>
      <c r="T280" s="1208">
        <f t="shared" si="40"/>
        <v>0</v>
      </c>
      <c r="U280" s="1189">
        <f t="shared" si="41"/>
        <v>0</v>
      </c>
      <c r="V280" s="1795">
        <v>7.6</v>
      </c>
      <c r="W280" s="1823"/>
      <c r="X280" s="1820"/>
    </row>
    <row r="281" spans="1:24" s="860" customFormat="1" ht="15" hidden="1" customHeight="1" outlineLevel="1">
      <c r="A281" s="2893"/>
      <c r="B281" s="2894"/>
      <c r="C281" s="2912" t="s">
        <v>36</v>
      </c>
      <c r="D281" s="2912"/>
      <c r="E281" s="1649"/>
      <c r="F281" s="1279">
        <v>0</v>
      </c>
      <c r="G281" s="1195">
        <f>IF(SETUP!$F$22="At delivery",IF(SETUP!$G$22=1,$E$279*'HIV-Pharmaceuticals'!AW16,0),0)</f>
        <v>0</v>
      </c>
      <c r="H281" s="1194">
        <f>IF(SETUP!$F$22="At delivery",IF(SETUP!$G$22=2,$E$279*'HIV-Pharmaceuticals'!AW16,IF(SETUP!$G$22=1,$E$279*'HIV-Pharmaceuticals'!AX16,0)),0)</f>
        <v>0</v>
      </c>
      <c r="I281" s="1194">
        <f>IF(SETUP!$F$22="At delivery",IF(SETUP!$G$22=3,$E$279*'HIV-Pharmaceuticals'!AW16,IF(SETUP!$G$22=2,$E$279*'HIV-Pharmaceuticals'!AX16,IF(SETUP!$G$22=1,$E$279*'HIV-Pharmaceuticals'!AY16,0))),0)</f>
        <v>0</v>
      </c>
      <c r="J281" s="1193">
        <f t="shared" si="38"/>
        <v>0</v>
      </c>
      <c r="K281" s="1194">
        <f>IF(SETUP!$F$22="At delivery",IF(SETUP!$G$22=4,$E$279*'HIV-Pharmaceuticals'!AW16,IF(SETUP!$G$22=3,$E$279*'HIV-Pharmaceuticals'!AX16,IF(SETUP!$G$22=2,$E$279*'HIV-Pharmaceuticals'!AY16,IF(SETUP!$G$22=1,$E$279*'HIV-Pharmaceuticals'!AZ16,0)))),0)</f>
        <v>0</v>
      </c>
      <c r="L281" s="1194">
        <f>IF(SETUP!$F$22="At delivery",IF(SETUP!$G$22=4,$E$279*'HIV-Pharmaceuticals'!AX16,IF(SETUP!$G$22=3,$E$279*'HIV-Pharmaceuticals'!AY16,IF(SETUP!$G$22=2,$E$279*'HIV-Pharmaceuticals'!AZ16,IF(SETUP!$G$22=1,$E$279*'HIV-Pharmaceuticals'!BA16,0)))),0)</f>
        <v>0</v>
      </c>
      <c r="M281" s="1194">
        <f>IF(SETUP!$F$22="At delivery",IF(SETUP!$G$22=4,$E$279*'HIV-Pharmaceuticals'!AY16,IF(SETUP!$G$22=3,$E$279*'HIV-Pharmaceuticals'!AZ16,IF(SETUP!$G$22=2,$E$279*'HIV-Pharmaceuticals'!BA16,IF(SETUP!$G$22=1,$E$279*'HIV-Pharmaceuticals'!BB16,0)))),0)</f>
        <v>0</v>
      </c>
      <c r="N281" s="1194">
        <f>IF(SETUP!$F$22="At delivery",IF(SETUP!$G$22=4,$E$279*'HIV-Pharmaceuticals'!AZ16,IF(SETUP!$G$22=3,$E$279*'HIV-Pharmaceuticals'!BA16,IF(SETUP!$G$22=2,$E$279*'HIV-Pharmaceuticals'!BB16,IF(SETUP!$G$22=1,$E$279*'HIV-Pharmaceuticals'!BC16,0)))),0)</f>
        <v>0</v>
      </c>
      <c r="O281" s="1191">
        <f t="shared" si="39"/>
        <v>0</v>
      </c>
      <c r="P281" s="1189">
        <f>IF(SETUP!$F$22="At delivery",IF(SETUP!$G$22=4,$E$279*'HIV-Pharmaceuticals'!BA16,IF(SETUP!$G$22=3,$E$279*'HIV-Pharmaceuticals'!BB16,IF(SETUP!$G$22=2,$E$279*'HIV-Pharmaceuticals'!BC16,IF(SETUP!$G$22=1,$E$279*'HIV-Pharmaceuticals'!BD16,0)))),0)</f>
        <v>0</v>
      </c>
      <c r="Q281" s="1189">
        <f>IF(SETUP!$F$22="At delivery",IF(SETUP!$G$22=4,$E$279*'HIV-Pharmaceuticals'!BB16,IF(SETUP!$G$22=3,$E$279*'HIV-Pharmaceuticals'!BC16,IF(SETUP!$G$22=2,$E$279*'HIV-Pharmaceuticals'!BD16,IF(SETUP!$G$22=1,$E$279*'HIV-Pharmaceuticals'!BE16,0)))),0)</f>
        <v>0</v>
      </c>
      <c r="R281" s="1189">
        <f>IF(SETUP!$F$22="At delivery",IF(SETUP!$G$22=4,$E$279*'HIV-Pharmaceuticals'!BC16,IF(SETUP!$G$22=3,$E$279*'HIV-Pharmaceuticals'!BD16,IF(SETUP!$G$22=2,$E$279*'HIV-Pharmaceuticals'!BE16,IF(SETUP!$G$22=1,$E$279*'HIV-Pharmaceuticals'!BF16,0)))),0)</f>
        <v>0</v>
      </c>
      <c r="S281" s="1189">
        <f>IF(SETUP!$F$22="At delivery",IF(SETUP!$G$22=4,$E$279*('HIV-Pharmaceuticals'!BD16+'HIV-Pharmaceuticals'!BE16+'HIV-Pharmaceuticals'!BF16+'HIV-Pharmaceuticals'!BG16+'HIV-Pharmaceuticals'!BH16),IF(SETUP!$G$22=3,$E$279*('HIV-Pharmaceuticals'!BE16+'HIV-Pharmaceuticals'!BF16+'HIV-Pharmaceuticals'!BG16+'HIV-Pharmaceuticals'!BH16),IF(SETUP!$G$22=2,$E$279*('HIV-Pharmaceuticals'!BF16+'HIV-Pharmaceuticals'!BG16+'HIV-Pharmaceuticals'!BH16),IF(SETUP!$G$22=1,$E$279*('HIV-Pharmaceuticals'!BG16+'HIV-Pharmaceuticals'!BH16),0)))),0)</f>
        <v>0</v>
      </c>
      <c r="T281" s="1208">
        <f t="shared" si="40"/>
        <v>0</v>
      </c>
      <c r="U281" s="1189">
        <f t="shared" si="41"/>
        <v>0</v>
      </c>
      <c r="V281" s="1795">
        <v>7.6</v>
      </c>
      <c r="W281" s="1823"/>
      <c r="X281" s="1820"/>
    </row>
    <row r="282" spans="1:24" s="860" customFormat="1" ht="15" customHeight="1" collapsed="1" thickBot="1">
      <c r="A282" s="2893"/>
      <c r="B282" s="2894"/>
      <c r="C282" s="2923" t="s">
        <v>1793</v>
      </c>
      <c r="D282" s="2923"/>
      <c r="E282" s="1649">
        <v>0</v>
      </c>
      <c r="F282" s="1279">
        <f>IF(SETUP!$F$23="Upfront",F283,F284)</f>
        <v>0</v>
      </c>
      <c r="G282" s="1195">
        <f>IF(SETUP!$F$23="Upfront",G283,G284)</f>
        <v>0</v>
      </c>
      <c r="H282" s="1194">
        <f>IF(SETUP!$F$23="Upfront",H283,H284)</f>
        <v>0</v>
      </c>
      <c r="I282" s="1194">
        <f>IF(SETUP!$F$23="Upfront",I283,I284)</f>
        <v>0</v>
      </c>
      <c r="J282" s="1193">
        <f t="shared" si="38"/>
        <v>0</v>
      </c>
      <c r="K282" s="1194">
        <f>IF(SETUP!$F$23="Upfront",K283,K284)</f>
        <v>0</v>
      </c>
      <c r="L282" s="1194">
        <f>IF(SETUP!$F$23="Upfront",L283,L284)</f>
        <v>0</v>
      </c>
      <c r="M282" s="1194">
        <f>IF(SETUP!$F$23="Upfront",M283,M284)</f>
        <v>0</v>
      </c>
      <c r="N282" s="1194">
        <f>IF(SETUP!$F$23="Upfront",N283,N284)</f>
        <v>0</v>
      </c>
      <c r="O282" s="1191">
        <f t="shared" si="39"/>
        <v>0</v>
      </c>
      <c r="P282" s="1189">
        <f>IF(SETUP!$F$23="Upfront",P283,P284)</f>
        <v>0</v>
      </c>
      <c r="Q282" s="1189">
        <f>IF(SETUP!$F$23="Upfront",Q283,Q284)</f>
        <v>0</v>
      </c>
      <c r="R282" s="1189">
        <f>IF(SETUP!$F$23="Upfront",R283,R284)</f>
        <v>0</v>
      </c>
      <c r="S282" s="1189">
        <f>IF(SETUP!$F$23="Upfront",S283,S284)</f>
        <v>0</v>
      </c>
      <c r="T282" s="1208">
        <f t="shared" si="40"/>
        <v>0</v>
      </c>
      <c r="U282" s="1189">
        <f t="shared" si="41"/>
        <v>0</v>
      </c>
      <c r="V282" s="1795">
        <v>7.6</v>
      </c>
      <c r="W282" s="1823"/>
      <c r="X282" s="1820"/>
    </row>
    <row r="283" spans="1:24" s="860" customFormat="1" ht="15" hidden="1" customHeight="1" outlineLevel="1">
      <c r="A283" s="2893"/>
      <c r="B283" s="2894"/>
      <c r="C283" s="2912" t="s">
        <v>918</v>
      </c>
      <c r="D283" s="2912"/>
      <c r="E283" s="1649"/>
      <c r="F283" s="1279">
        <f>IF(SETUP!$F$23="Upfront",$E$282*'HIV-Equipment'!AV14,0)</f>
        <v>0</v>
      </c>
      <c r="G283" s="1195">
        <f>IF(SETUP!$F$23="Upfront",$E$282*'HIV-Equipment'!AW14,0)</f>
        <v>0</v>
      </c>
      <c r="H283" s="1194">
        <f>IF(SETUP!$F$23="Upfront",$E$282*'HIV-Equipment'!AX14,0)</f>
        <v>0</v>
      </c>
      <c r="I283" s="1194">
        <f>IF(SETUP!$F$23="Upfront",$E$282*'HIV-Equipment'!AY14,0)</f>
        <v>0</v>
      </c>
      <c r="J283" s="1193">
        <f t="shared" si="38"/>
        <v>0</v>
      </c>
      <c r="K283" s="1194">
        <f>IF(SETUP!$F$23="Upfront",$E$282*'HIV-Equipment'!AZ14,0)</f>
        <v>0</v>
      </c>
      <c r="L283" s="1194">
        <f>IF(SETUP!$F$23="Upfront",$E$282*'HIV-Equipment'!BA14,0)</f>
        <v>0</v>
      </c>
      <c r="M283" s="1194">
        <f>IF(SETUP!$F$23="Upfront",$E$282*'HIV-Equipment'!BB14,0)</f>
        <v>0</v>
      </c>
      <c r="N283" s="1194">
        <f>IF(SETUP!$F$23="Upfront",$E$282*'HIV-Equipment'!BC14,0)</f>
        <v>0</v>
      </c>
      <c r="O283" s="1191">
        <f t="shared" si="39"/>
        <v>0</v>
      </c>
      <c r="P283" s="1189">
        <f>IF(SETUP!$F$23="Upfront",$E$282*'HIV-Equipment'!BD14,0)</f>
        <v>0</v>
      </c>
      <c r="Q283" s="1189">
        <f>IF(SETUP!$F$23="Upfront",$E$282*'HIV-Equipment'!BE14,0)</f>
        <v>0</v>
      </c>
      <c r="R283" s="1189">
        <f>IF(SETUP!$F$23="Upfront",$E$282*'HIV-Equipment'!BF14,0)</f>
        <v>0</v>
      </c>
      <c r="S283" s="1189">
        <f>IF(SETUP!$F$23="Upfront",$E$282*'HIV-Equipment'!BG14,0)</f>
        <v>0</v>
      </c>
      <c r="T283" s="1208">
        <f t="shared" si="40"/>
        <v>0</v>
      </c>
      <c r="U283" s="1189">
        <f t="shared" si="41"/>
        <v>0</v>
      </c>
      <c r="V283" s="1795">
        <v>7.6</v>
      </c>
      <c r="W283" s="1823"/>
      <c r="X283" s="1820"/>
    </row>
    <row r="284" spans="1:24" s="860" customFormat="1" ht="15" hidden="1" customHeight="1" outlineLevel="1">
      <c r="A284" s="2895"/>
      <c r="B284" s="2896"/>
      <c r="C284" s="2969" t="s">
        <v>36</v>
      </c>
      <c r="D284" s="2969"/>
      <c r="E284" s="1649"/>
      <c r="F284" s="1279">
        <v>0</v>
      </c>
      <c r="G284" s="1195">
        <f>IF(SETUP!$F$23="At delivery",IF(SETUP!$G$23=1,$E$282*'HIV-Equipment'!AV14,0),0)</f>
        <v>0</v>
      </c>
      <c r="H284" s="1194">
        <f>IF(SETUP!$F$23="At delivery",IF(SETUP!$G$23=2,$E$282*'HIV-Equipment'!AV14,IF(SETUP!$G$23=1,$E$282*'HIV-Equipment'!AW14,0)),0)</f>
        <v>0</v>
      </c>
      <c r="I284" s="1194">
        <f>IF(SETUP!$F$23="At delivery",IF(SETUP!$G$23=3,$E$282*'HIV-Equipment'!AV14,IF(SETUP!$G$23=2,$E$282*'HIV-Equipment'!AW14,IF(SETUP!$G$23=1,$E$282*'HIV-Equipment'!AX14,0))),0)</f>
        <v>0</v>
      </c>
      <c r="J284" s="1193">
        <f t="shared" si="38"/>
        <v>0</v>
      </c>
      <c r="K284" s="1194">
        <f>IF(SETUP!$F$23="At delivery",IF(SETUP!$G$23=4,$E$282*'HIV-Equipment'!AV14,IF(SETUP!$G$23=3,$E$282*'HIV-Equipment'!AW14,IF(SETUP!$G$23=2,$E$282*'HIV-Equipment'!AX14,IF(SETUP!$G$23=1,$E$282*'HIV-Equipment'!AY14,0)))),0)</f>
        <v>0</v>
      </c>
      <c r="L284" s="1194">
        <f>IF(SETUP!$F$23="At delivery",IF(SETUP!$G$23=4,$E$282*'HIV-Equipment'!AW14,IF(SETUP!$G$23=3,$E$282*'HIV-Equipment'!AX14,IF(SETUP!$G$23=2,$E$282*'HIV-Equipment'!AY14,IF(SETUP!$G$23=1,$E$282*'HIV-Equipment'!AZ14,0)))),0)</f>
        <v>0</v>
      </c>
      <c r="M284" s="1194">
        <f>IF(SETUP!$F$23="At delivery",IF(SETUP!$G$23=4,$E$282*'HIV-Equipment'!AX14,IF(SETUP!$G$23=3,$E$282*'HIV-Equipment'!AY14,IF(SETUP!$G$23=2,$E$282*'HIV-Equipment'!AZ14,IF(SETUP!$G$23=1,$E$282*'HIV-Equipment'!BA14,0)))),0)</f>
        <v>0</v>
      </c>
      <c r="N284" s="1194">
        <f>IF(SETUP!$F$23="At delivery",IF(SETUP!$G$23=4,$E$282*'HIV-Equipment'!AY14,IF(SETUP!$G$23=3,$E$282*'HIV-Equipment'!AZ14,IF(SETUP!$G$23=2,$E$282*'HIV-Equipment'!BA14,IF(SETUP!$G$23=1,$E$282*'HIV-Equipment'!BB14,0)))),0)</f>
        <v>0</v>
      </c>
      <c r="O284" s="1191">
        <f t="shared" si="39"/>
        <v>0</v>
      </c>
      <c r="P284" s="1189">
        <f>IF(SETUP!$F$23="At delivery",IF(SETUP!$G$23=4,$E$282*'HIV-Equipment'!AZ14,IF(SETUP!$G$23=3,$E$282*'HIV-Equipment'!BA14,IF(SETUP!$G$23=2,$E$282*'HIV-Equipment'!BB14,IF(SETUP!$G$23=1,$E$282*'HIV-Equipment'!BC14,0)))),0)</f>
        <v>0</v>
      </c>
      <c r="Q284" s="1189">
        <f>IF(SETUP!$F$23="At delivery",IF(SETUP!$G$23=4,$E$282*'HIV-Equipment'!BA14,IF(SETUP!$G$23=3,$E$282*'HIV-Equipment'!BB14,IF(SETUP!$G$23=2,$E$282*'HIV-Equipment'!BC14,IF(SETUP!$G$23=1,$E$282*'HIV-Equipment'!BD14,0)))),0)</f>
        <v>0</v>
      </c>
      <c r="R284" s="1189">
        <f>IF(SETUP!$F$23="At delivery",IF(SETUP!$G$23=4,$E$282*'HIV-Equipment'!BB14,IF(SETUP!$G$23=3,$E$282*'HIV-Equipment'!BC14,IF(SETUP!$G$23=2,$E$282*'HIV-Equipment'!BD14,IF(SETUP!$G$23=1,$E$282*'HIV-Equipment'!BE14,0)))),0)</f>
        <v>0</v>
      </c>
      <c r="S284" s="1189">
        <f>IF(SETUP!$F$23="At delivery",IF(SETUP!$G$23=4,$E$282*('HIV-Equipment'!BC14+'HIV-Equipment'!BD14+'HIV-Equipment'!BE14+'HIV-Equipment'!BF14+'HIV-Equipment'!BG14),IF(SETUP!$G$23=3,$E$282*('HIV-Equipment'!BD14+'HIV-Equipment'!BE14+'HIV-Equipment'!BF14+'HIV-Equipment'!BG14),IF(SETUP!$G$23=2,$E$282*('HIV-Equipment'!BE14+'HIV-Equipment'!BF14+'HIV-Equipment'!BG14),IF(SETUP!$G$23=1,$E$282*('HIV-Equipment'!BF14+'HIV-Equipment'!BG14),0)))),0)</f>
        <v>0</v>
      </c>
      <c r="T284" s="1208">
        <f t="shared" si="40"/>
        <v>0</v>
      </c>
      <c r="U284" s="1189">
        <f t="shared" si="41"/>
        <v>0</v>
      </c>
      <c r="V284" s="1795">
        <v>7.6</v>
      </c>
      <c r="W284" s="1823"/>
      <c r="X284" s="1820"/>
    </row>
    <row r="285" spans="1:24" s="860" customFormat="1" ht="15" customHeight="1" collapsed="1">
      <c r="A285" s="2897" t="s">
        <v>565</v>
      </c>
      <c r="B285" s="2898"/>
      <c r="C285" s="2970" t="s">
        <v>228</v>
      </c>
      <c r="D285" s="2971"/>
      <c r="E285" s="1880">
        <v>0</v>
      </c>
      <c r="F285" s="1279">
        <f>IF(SETUP!$F$27="Upfront",F286,F287)</f>
        <v>0</v>
      </c>
      <c r="G285" s="1195">
        <f>IF(SETUP!$F$27="Upfront",G286,G287)</f>
        <v>0</v>
      </c>
      <c r="H285" s="1194">
        <f>IF(SETUP!$F$27="Upfront",H286,H287)</f>
        <v>0</v>
      </c>
      <c r="I285" s="1194">
        <f>IF(SETUP!$F$27="Upfront",I286,I287)</f>
        <v>0</v>
      </c>
      <c r="J285" s="1193">
        <f t="shared" si="38"/>
        <v>0</v>
      </c>
      <c r="K285" s="1194">
        <f>IF(SETUP!$F$27="Upfront",K286,K287)</f>
        <v>0</v>
      </c>
      <c r="L285" s="1194">
        <f>IF(SETUP!$F$27="Upfront",L286,L287)</f>
        <v>0</v>
      </c>
      <c r="M285" s="1194">
        <f>IF(SETUP!$F$27="Upfront",M286,M287)</f>
        <v>0</v>
      </c>
      <c r="N285" s="1194">
        <f>IF(SETUP!$F$27="Upfront",N286,N287)</f>
        <v>0</v>
      </c>
      <c r="O285" s="1191">
        <f t="shared" si="39"/>
        <v>0</v>
      </c>
      <c r="P285" s="1189">
        <f>IF(SETUP!$F$27="Upfront",P286,P287)</f>
        <v>0</v>
      </c>
      <c r="Q285" s="1189">
        <f>IF(SETUP!$F$27="Upfront",Q286,Q287)</f>
        <v>0</v>
      </c>
      <c r="R285" s="1189">
        <f>IF(SETUP!$F$27="Upfront",R286,R287)</f>
        <v>0</v>
      </c>
      <c r="S285" s="1189">
        <f>IF(SETUP!$F$27="Upfront",S286,S287)</f>
        <v>0</v>
      </c>
      <c r="T285" s="1208">
        <f t="shared" si="40"/>
        <v>0</v>
      </c>
      <c r="U285" s="1189">
        <f t="shared" si="41"/>
        <v>0</v>
      </c>
      <c r="V285" s="1795">
        <v>7.6</v>
      </c>
      <c r="W285" s="1823"/>
      <c r="X285" s="1820"/>
    </row>
    <row r="286" spans="1:24" s="860" customFormat="1" ht="15" hidden="1" customHeight="1" outlineLevel="1">
      <c r="A286" s="2899"/>
      <c r="B286" s="2900"/>
      <c r="C286" s="2889" t="s">
        <v>918</v>
      </c>
      <c r="D286" s="2890"/>
      <c r="E286" s="1880"/>
      <c r="F286" s="1279">
        <f>IF(SETUP!$F$27="Upfront",$E$285*'HIV-Other HPs'!AW14,0)</f>
        <v>0</v>
      </c>
      <c r="G286" s="1195">
        <f>IF(SETUP!$F$27="Upfront",$E$285*'HIV-Other HPs'!AX14,0)</f>
        <v>0</v>
      </c>
      <c r="H286" s="1194">
        <f>IF(SETUP!$F$27="Upfront",$E$285*'HIV-Other HPs'!AY14,0)</f>
        <v>0</v>
      </c>
      <c r="I286" s="1194">
        <f>IF(SETUP!$F$27="Upfront",$E$285*'HIV-Other HPs'!AZ14,0)</f>
        <v>0</v>
      </c>
      <c r="J286" s="1193">
        <f t="shared" si="38"/>
        <v>0</v>
      </c>
      <c r="K286" s="1194">
        <f>IF(SETUP!$F$27="Upfront",$E$285*'HIV-Other HPs'!BA14,0)</f>
        <v>0</v>
      </c>
      <c r="L286" s="1194">
        <f>IF(SETUP!$F$27="Upfront",$E$285*'HIV-Other HPs'!BB14,0)</f>
        <v>0</v>
      </c>
      <c r="M286" s="1194">
        <f>IF(SETUP!$F$27="Upfront",$E$285*'HIV-Other HPs'!BC14,0)</f>
        <v>0</v>
      </c>
      <c r="N286" s="1194">
        <f>IF(SETUP!$F$27="Upfront",$E$285*'HIV-Other HPs'!BD14,0)</f>
        <v>0</v>
      </c>
      <c r="O286" s="1191">
        <f t="shared" si="39"/>
        <v>0</v>
      </c>
      <c r="P286" s="1189">
        <f>IF(SETUP!$F$27="Upfront",$E$285*'HIV-Other HPs'!BE14,0)</f>
        <v>0</v>
      </c>
      <c r="Q286" s="1189">
        <f>IF(SETUP!$F$27="Upfront",$E$285*'HIV-Other HPs'!BF14,0)</f>
        <v>0</v>
      </c>
      <c r="R286" s="1189">
        <f>IF(SETUP!$F$27="Upfront",$E$285*'HIV-Other HPs'!BG14,0)</f>
        <v>0</v>
      </c>
      <c r="S286" s="1189">
        <f>IF(SETUP!$F$27="Upfront",$E$285*'HIV-Other HPs'!BH14,0)</f>
        <v>0</v>
      </c>
      <c r="T286" s="1208">
        <f t="shared" si="40"/>
        <v>0</v>
      </c>
      <c r="U286" s="1189">
        <f t="shared" si="41"/>
        <v>0</v>
      </c>
      <c r="V286" s="1795">
        <v>7.6</v>
      </c>
      <c r="W286" s="1823"/>
      <c r="X286" s="1820"/>
    </row>
    <row r="287" spans="1:24" s="860" customFormat="1" ht="15" hidden="1" customHeight="1" outlineLevel="1">
      <c r="A287" s="2899"/>
      <c r="B287" s="2900"/>
      <c r="C287" s="2889" t="s">
        <v>36</v>
      </c>
      <c r="D287" s="2890"/>
      <c r="E287" s="1880"/>
      <c r="F287" s="1279">
        <v>0</v>
      </c>
      <c r="G287" s="1195">
        <f>IF(SETUP!$F$27="At delivery",IF(SETUP!$G$27=1,$E$285*'HIV-Other HPs'!AW14,0),0)</f>
        <v>0</v>
      </c>
      <c r="H287" s="1194">
        <f>IF(SETUP!$F$27="At delivery",IF(SETUP!$G$27=2,$E$285*'HIV-Other HPs'!AW14,IF(SETUP!$G$27=1,$E$285*'HIV-Other HPs'!AX14,0)),0)</f>
        <v>0</v>
      </c>
      <c r="I287" s="1194">
        <f>IF(SETUP!$F$27="At delivery",IF(SETUP!$G$27=3,$E$285*'HIV-Other HPs'!AW14,IF(SETUP!$G$27=2,$E$285*'HIV-Other HPs'!AX14,IF(SETUP!$G$27=1,$E$285*'HIV-Other HPs'!AY14,0))),0)</f>
        <v>0</v>
      </c>
      <c r="J287" s="1193">
        <f t="shared" si="38"/>
        <v>0</v>
      </c>
      <c r="K287" s="1194">
        <f>IF(SETUP!$F$27="At delivery",IF(SETUP!$G$27=4,$E$285*'HIV-Other HPs'!AW14,IF(SETUP!$G$27=3,$E$285*'HIV-Other HPs'!AX14,IF(SETUP!$G$27=2,$E$285*'HIV-Other HPs'!AY14,IF(SETUP!$G$27=1,$E$285*'HIV-Other HPs'!AZ14,0)))),0)</f>
        <v>0</v>
      </c>
      <c r="L287" s="1194">
        <f>IF(SETUP!$F$27="At delivery",IF(SETUP!$G$27=4,$E$285*'HIV-Other HPs'!AX14,IF(SETUP!$G$27=3,$E$285*'HIV-Other HPs'!AY14,IF(SETUP!$G$27=2,$E$285*'HIV-Other HPs'!AZ14,IF(SETUP!$G$27=1,$E$285*'HIV-Other HPs'!BA14,0)))),0)</f>
        <v>0</v>
      </c>
      <c r="M287" s="1194">
        <f>IF(SETUP!$F$27="At delivery",IF(SETUP!$G$27=4,$E$285*'HIV-Other HPs'!AY14,IF(SETUP!$G$27=3,$E$285*'HIV-Other HPs'!AZ14,IF(SETUP!$G$27=2,$E$285*'HIV-Other HPs'!BA14,IF(SETUP!$G$27=1,$E$285*'HIV-Other HPs'!BB14,0)))),0)</f>
        <v>0</v>
      </c>
      <c r="N287" s="1194">
        <f>IF(SETUP!$F$27="At delivery",IF(SETUP!$G$27=4,$E$285*'HIV-Other HPs'!AZ14,IF(SETUP!$G$27=3,$E$285*'HIV-Other HPs'!BA14,IF(SETUP!$G$27=2,$E$285*'HIV-Other HPs'!BB14,IF(SETUP!$G$27=1,$E$285*'HIV-Other HPs'!BC14,0)))),0)</f>
        <v>0</v>
      </c>
      <c r="O287" s="1191">
        <f t="shared" si="39"/>
        <v>0</v>
      </c>
      <c r="P287" s="1189">
        <f>IF(SETUP!$F$27="At delivery",IF(SETUP!$G$27=4,$E$285*'HIV-Other HPs'!BA14,IF(SETUP!$G$27=3,$E$285*'HIV-Other HPs'!BB14,IF(SETUP!$G$27=2,$E$285*'HIV-Other HPs'!BC14,IF(SETUP!$G$27=1,$E$285*'HIV-Other HPs'!BD14,0)))),0)</f>
        <v>0</v>
      </c>
      <c r="Q287" s="1189">
        <f>IF(SETUP!$F$27="At delivery",IF(SETUP!$G$27=4,$E$285*'HIV-Other HPs'!BB14,IF(SETUP!$G$27=3,$E$285*'HIV-Other HPs'!BC14,IF(SETUP!$G$27=2,$E$285*'HIV-Other HPs'!BD14,IF(SETUP!$G$27=1,$E$285*'HIV-Other HPs'!BE14,0)))),0)</f>
        <v>0</v>
      </c>
      <c r="R287" s="1189">
        <f>IF(SETUP!$F$27="At delivery",IF(SETUP!$G$27=4,$E$285*'HIV-Other HPs'!BC14,IF(SETUP!$G$27=3,$E$285*'HIV-Other HPs'!BD14,IF(SETUP!$G$27=2,$E$285*'HIV-Other HPs'!BE14,IF(SETUP!$G$27=1,$E$285*'HIV-Other HPs'!BF14,0)))),0)</f>
        <v>0</v>
      </c>
      <c r="S287" s="1189">
        <f>IF(SETUP!$F$27="At delivery",IF(SETUP!$G$27=4,$E$285*('HIV-Other HPs'!BD14+'HIV-Other HPs'!BE14+'HIV-Other HPs'!BF14+'HIV-Other HPs'!BG14+'HIV-Other HPs'!BH14),IF(SETUP!$G$27=3,$E$285*('HIV-Other HPs'!BE14+'HIV-Other HPs'!BF14+'HIV-Other HPs'!BG14+'HIV-Other HPs'!BH14),IF(SETUP!$G$27=2,$E$285*('HIV-Other HPs'!BF14+'HIV-Other HPs'!BG14+'HIV-Other HPs'!BH14),IF(SETUP!$G$27=1,$E$285*('HIV-Other HPs'!BG14+'HIV-Other HPs'!BH14),0)))),0)</f>
        <v>0</v>
      </c>
      <c r="T287" s="1208">
        <f t="shared" si="40"/>
        <v>0</v>
      </c>
      <c r="U287" s="1189">
        <f t="shared" si="41"/>
        <v>0</v>
      </c>
      <c r="V287" s="1795">
        <v>7.6</v>
      </c>
      <c r="W287" s="1823"/>
      <c r="X287" s="1820"/>
    </row>
    <row r="288" spans="1:24" s="860" customFormat="1" ht="15" customHeight="1" collapsed="1">
      <c r="A288" s="2899"/>
      <c r="B288" s="2900"/>
      <c r="C288" s="2907" t="s">
        <v>232</v>
      </c>
      <c r="D288" s="2908"/>
      <c r="E288" s="1880">
        <v>0</v>
      </c>
      <c r="F288" s="1279">
        <f>IF(SETUP!$F$28="Upfront",F289,F290)</f>
        <v>0</v>
      </c>
      <c r="G288" s="1195">
        <f>IF(SETUP!$F$28="Upfront",G289,G290)</f>
        <v>0</v>
      </c>
      <c r="H288" s="1194">
        <f>IF(SETUP!$F$28="Upfront",H289,H290)</f>
        <v>0</v>
      </c>
      <c r="I288" s="1194">
        <f>IF(SETUP!$F$28="Upfront",I289,I290)</f>
        <v>0</v>
      </c>
      <c r="J288" s="1193">
        <f t="shared" si="38"/>
        <v>0</v>
      </c>
      <c r="K288" s="1194">
        <f>IF(SETUP!$F$28="Upfront",K289,K290)</f>
        <v>0</v>
      </c>
      <c r="L288" s="1194">
        <f>IF(SETUP!$F$28="Upfront",L289,L290)</f>
        <v>0</v>
      </c>
      <c r="M288" s="1194">
        <f>IF(SETUP!$F$28="Upfront",M289,M290)</f>
        <v>0</v>
      </c>
      <c r="N288" s="1194">
        <f>IF(SETUP!$F$28="Upfront",N289,N290)</f>
        <v>0</v>
      </c>
      <c r="O288" s="1191">
        <f t="shared" si="39"/>
        <v>0</v>
      </c>
      <c r="P288" s="1189">
        <f>IF(SETUP!$F$28="Upfront",P289,P290)</f>
        <v>0</v>
      </c>
      <c r="Q288" s="1189">
        <f>IF(SETUP!$F$28="Upfront",Q289,Q290)</f>
        <v>0</v>
      </c>
      <c r="R288" s="1189">
        <f>IF(SETUP!$F$28="Upfront",R289,R290)</f>
        <v>0</v>
      </c>
      <c r="S288" s="1189">
        <f>IF(SETUP!$F$28="Upfront",S289,S290)</f>
        <v>0</v>
      </c>
      <c r="T288" s="1208">
        <f t="shared" si="40"/>
        <v>0</v>
      </c>
      <c r="U288" s="1189">
        <f t="shared" si="41"/>
        <v>0</v>
      </c>
      <c r="V288" s="1795">
        <v>7.6</v>
      </c>
      <c r="W288" s="1823"/>
      <c r="X288" s="1820"/>
    </row>
    <row r="289" spans="1:24" s="860" customFormat="1" ht="15" hidden="1" customHeight="1" outlineLevel="1">
      <c r="A289" s="2899"/>
      <c r="B289" s="2900"/>
      <c r="C289" s="2889" t="s">
        <v>918</v>
      </c>
      <c r="D289" s="2890"/>
      <c r="E289" s="1880"/>
      <c r="F289" s="1279">
        <f>IF(SETUP!$F$28="Upfront",$E$288*'HIV-Other HPs'!AW15,0)</f>
        <v>0</v>
      </c>
      <c r="G289" s="1195">
        <f>IF(SETUP!$F$28="Upfront",$E$288*'HIV-Other HPs'!AX15,0)</f>
        <v>0</v>
      </c>
      <c r="H289" s="1194">
        <f>IF(SETUP!$F$28="Upfront",$E$288*'HIV-Other HPs'!AY15,0)</f>
        <v>0</v>
      </c>
      <c r="I289" s="1194">
        <f>IF(SETUP!$F$28="Upfront",$E$288*'HIV-Other HPs'!AZ15,0)</f>
        <v>0</v>
      </c>
      <c r="J289" s="1193">
        <f t="shared" si="38"/>
        <v>0</v>
      </c>
      <c r="K289" s="1194">
        <f>IF(SETUP!$F$28="Upfront",$E$288*'HIV-Other HPs'!BA15,0)</f>
        <v>0</v>
      </c>
      <c r="L289" s="1194">
        <f>IF(SETUP!$F$28="Upfront",$E$288*'HIV-Other HPs'!BB15,0)</f>
        <v>0</v>
      </c>
      <c r="M289" s="1194">
        <f>IF(SETUP!$F$28="Upfront",$E$288*'HIV-Other HPs'!BC15,0)</f>
        <v>0</v>
      </c>
      <c r="N289" s="1194">
        <f>IF(SETUP!$F$28="Upfront",$E$288*'HIV-Other HPs'!BD15,0)</f>
        <v>0</v>
      </c>
      <c r="O289" s="1191">
        <f t="shared" si="39"/>
        <v>0</v>
      </c>
      <c r="P289" s="1189">
        <f>IF(SETUP!$F$28="Upfront",$E$288*'HIV-Other HPs'!BE15,0)</f>
        <v>0</v>
      </c>
      <c r="Q289" s="1189">
        <f>IF(SETUP!$F$28="Upfront",$E$288*'HIV-Other HPs'!BF15,0)</f>
        <v>0</v>
      </c>
      <c r="R289" s="1189">
        <f>IF(SETUP!$F$28="Upfront",$E$288*'HIV-Other HPs'!BG15,0)</f>
        <v>0</v>
      </c>
      <c r="S289" s="1189">
        <f>IF(SETUP!$F$28="Upfront",$E$288*'HIV-Other HPs'!BH15,0)</f>
        <v>0</v>
      </c>
      <c r="T289" s="1208">
        <f t="shared" si="40"/>
        <v>0</v>
      </c>
      <c r="U289" s="1189">
        <f t="shared" si="41"/>
        <v>0</v>
      </c>
      <c r="V289" s="1795">
        <v>7.6</v>
      </c>
      <c r="W289" s="1823"/>
      <c r="X289" s="1820"/>
    </row>
    <row r="290" spans="1:24" s="860" customFormat="1" ht="15" hidden="1" customHeight="1" outlineLevel="1">
      <c r="A290" s="2899"/>
      <c r="B290" s="2900"/>
      <c r="C290" s="2889" t="s">
        <v>36</v>
      </c>
      <c r="D290" s="2890"/>
      <c r="E290" s="1880"/>
      <c r="F290" s="1279">
        <v>0</v>
      </c>
      <c r="G290" s="1195">
        <f>IF(SETUP!$F$28="At delivery",IF(SETUP!$G$28=1,$E$288*'HIV-Other HPs'!AW15,0),0)</f>
        <v>0</v>
      </c>
      <c r="H290" s="1194">
        <f>IF(SETUP!$F$28="At delivery",IF(SETUP!$G$28=2,$E$288*'HIV-Other HPs'!AW15,IF(SETUP!$G$28=1,$E$288*'HIV-Other HPs'!AX15,0)),0)</f>
        <v>0</v>
      </c>
      <c r="I290" s="1194">
        <f>IF(SETUP!$F$28="At delivery",IF(SETUP!$G$28=3,$E$288*'HIV-Other HPs'!AW15,IF(SETUP!$G$28=2,$E$288*'HIV-Other HPs'!AX15,IF(SETUP!$G$28=1,$E$288*'HIV-Other HPs'!AY15,0))),0)</f>
        <v>0</v>
      </c>
      <c r="J290" s="1193">
        <f t="shared" si="38"/>
        <v>0</v>
      </c>
      <c r="K290" s="1194">
        <f>IF(SETUP!$F$28="At delivery",IF(SETUP!$G$28=4,$E$288*'HIV-Other HPs'!AW15,IF(SETUP!$G$28=3,$E$288*'HIV-Other HPs'!AX15,IF(SETUP!$G$28=2,$E$288*'HIV-Other HPs'!AY15,IF(SETUP!$G$28=1,$E$288*'HIV-Other HPs'!AZ15,0)))),0)</f>
        <v>0</v>
      </c>
      <c r="L290" s="1194">
        <f>IF(SETUP!$F$28="At delivery",IF(SETUP!$G$28=4,$E$288*'HIV-Other HPs'!AX15,IF(SETUP!$G$28=3,$E$288*'HIV-Other HPs'!AY15,IF(SETUP!$G$28=2,$E$288*'HIV-Other HPs'!AZ15,IF(SETUP!$G$28=1,$E$288*'HIV-Other HPs'!BA15,0)))),0)</f>
        <v>0</v>
      </c>
      <c r="M290" s="1194">
        <f>IF(SETUP!$F$28="At delivery",IF(SETUP!$G$28=4,$E$288*'HIV-Other HPs'!AY15,IF(SETUP!$G$28=3,$E$288*'HIV-Other HPs'!AZ15,IF(SETUP!$G$28=2,$E$288*'HIV-Other HPs'!BA15,IF(SETUP!$G$28=1,$E$288*'HIV-Other HPs'!BB15,0)))),0)</f>
        <v>0</v>
      </c>
      <c r="N290" s="1194">
        <f>IF(SETUP!$F$28="At delivery",IF(SETUP!$G$28=4,$E$288*'HIV-Other HPs'!AZ15,IF(SETUP!$G$28=3,$E$288*'HIV-Other HPs'!BA15,IF(SETUP!$G$28=2,$E$288*'HIV-Other HPs'!BB15,IF(SETUP!$G$28=1,$E$288*'HIV-Other HPs'!BC15,0)))),0)</f>
        <v>0</v>
      </c>
      <c r="O290" s="1191">
        <f t="shared" si="39"/>
        <v>0</v>
      </c>
      <c r="P290" s="1189">
        <f>IF(SETUP!$F$28="At delivery",IF(SETUP!$G$28=4,$E$288*'HIV-Other HPs'!BA15,IF(SETUP!$G$28=3,$E$288*'HIV-Other HPs'!BB15,IF(SETUP!$G$28=2,$E$288*'HIV-Other HPs'!BC15,IF(SETUP!$G$28=1,$E$288*'HIV-Other HPs'!BD15,0)))),0)</f>
        <v>0</v>
      </c>
      <c r="Q290" s="1189">
        <f>IF(SETUP!$F$28="At delivery",IF(SETUP!$G$28=4,$E$288*'HIV-Other HPs'!BB15,IF(SETUP!$G$28=3,$E$288*'HIV-Other HPs'!BC15,IF(SETUP!$G$28=2,$E$288*'HIV-Other HPs'!BD15,IF(SETUP!$G$28=1,$E$288*'HIV-Other HPs'!BE15,0)))),0)</f>
        <v>0</v>
      </c>
      <c r="R290" s="1189">
        <f>IF(SETUP!$F$28="At delivery",IF(SETUP!$G$28=4,$E$288*'HIV-Other HPs'!BC15,IF(SETUP!$G$28=3,$E$288*'HIV-Other HPs'!BD15,IF(SETUP!$G$28=2,$E$288*'HIV-Other HPs'!BE15,IF(SETUP!$G$28=1,$E$288*'HIV-Other HPs'!BF15,0)))),0)</f>
        <v>0</v>
      </c>
      <c r="S290" s="1189">
        <f>IF(SETUP!$F$28="At delivery",IF(SETUP!$G$28=4,$E$288*('HIV-Other HPs'!BD15+'HIV-Other HPs'!BE15+'HIV-Other HPs'!BF15+'HIV-Other HPs'!BG15+'HIV-Other HPs'!BH15),IF(SETUP!$G$28=3,$E$288*('HIV-Other HPs'!BE15+'HIV-Other HPs'!BF15+'HIV-Other HPs'!BG15+'HIV-Other HPs'!BH15),IF(SETUP!$G$28=2,$E$288*('HIV-Other HPs'!BF15+'HIV-Other HPs'!BG15+'HIV-Other HPs'!BH15),IF(SETUP!$G$28=1,$E$288*('HIV-Other HPs'!BG15+'HIV-Other HPs'!BH15),0)))),0)</f>
        <v>0</v>
      </c>
      <c r="T290" s="1208">
        <f t="shared" si="40"/>
        <v>0</v>
      </c>
      <c r="U290" s="1189">
        <f t="shared" si="41"/>
        <v>0</v>
      </c>
      <c r="V290" s="1795">
        <v>7.6</v>
      </c>
      <c r="W290" s="1823"/>
      <c r="X290" s="1820"/>
    </row>
    <row r="291" spans="1:24" s="860" customFormat="1" ht="15" customHeight="1" collapsed="1">
      <c r="A291" s="2899"/>
      <c r="B291" s="2900"/>
      <c r="C291" s="2907" t="s">
        <v>566</v>
      </c>
      <c r="D291" s="2908"/>
      <c r="E291" s="1880">
        <v>0</v>
      </c>
      <c r="F291" s="1279">
        <f>IF(SETUP!$F$29="Upfront",F292,F293)</f>
        <v>0</v>
      </c>
      <c r="G291" s="1195">
        <f>IF(SETUP!$F$29="Upfront",G292,G293)</f>
        <v>0</v>
      </c>
      <c r="H291" s="1194">
        <f>IF(SETUP!$F$29="Upfront",H292,H293)</f>
        <v>0</v>
      </c>
      <c r="I291" s="1194">
        <f>IF(SETUP!$F$29="Upfront",I292,I293)</f>
        <v>0</v>
      </c>
      <c r="J291" s="1193">
        <f t="shared" si="38"/>
        <v>0</v>
      </c>
      <c r="K291" s="1194">
        <f>IF(SETUP!$F$29="Upfront",K292,K293)</f>
        <v>0</v>
      </c>
      <c r="L291" s="1194">
        <f>IF(SETUP!$F$29="Upfront",L292,L293)</f>
        <v>0</v>
      </c>
      <c r="M291" s="1194">
        <f>IF(SETUP!$F$29="Upfront",M292,M293)</f>
        <v>0</v>
      </c>
      <c r="N291" s="1194">
        <f>IF(SETUP!$F$29="Upfront",N292,N293)</f>
        <v>0</v>
      </c>
      <c r="O291" s="1191">
        <f t="shared" si="39"/>
        <v>0</v>
      </c>
      <c r="P291" s="1189">
        <f>IF(SETUP!$F$29="Upfront",P292,P293)</f>
        <v>0</v>
      </c>
      <c r="Q291" s="1189">
        <f>IF(SETUP!$F$29="Upfront",Q292,Q293)</f>
        <v>0</v>
      </c>
      <c r="R291" s="1189">
        <f>IF(SETUP!$F$29="Upfront",R292,R293)</f>
        <v>0</v>
      </c>
      <c r="S291" s="1189">
        <f>IF(SETUP!$F$29="Upfront",S292,S293)</f>
        <v>0</v>
      </c>
      <c r="T291" s="1208">
        <f t="shared" si="40"/>
        <v>0</v>
      </c>
      <c r="U291" s="1189">
        <f t="shared" si="41"/>
        <v>0</v>
      </c>
      <c r="V291" s="1795">
        <v>7.6</v>
      </c>
      <c r="W291" s="1823"/>
      <c r="X291" s="1820"/>
    </row>
    <row r="292" spans="1:24" s="860" customFormat="1" ht="15" hidden="1" customHeight="1" outlineLevel="1">
      <c r="A292" s="2899"/>
      <c r="B292" s="2900"/>
      <c r="C292" s="2889" t="s">
        <v>918</v>
      </c>
      <c r="D292" s="2890"/>
      <c r="E292" s="1880"/>
      <c r="F292" s="1279">
        <f>IF(SETUP!$F$29="Upfront",$E$291*'HIV-Other HPs'!AW16,0)</f>
        <v>0</v>
      </c>
      <c r="G292" s="1195">
        <f>IF(SETUP!$F$29="Upfront",$E$291*'HIV-Other HPs'!AX16,0)</f>
        <v>0</v>
      </c>
      <c r="H292" s="1194">
        <f>IF(SETUP!$F$29="Upfront",$E$291*'HIV-Other HPs'!AY16,0)</f>
        <v>0</v>
      </c>
      <c r="I292" s="1194">
        <f>IF(SETUP!$F$29="Upfront",$E$291*'HIV-Other HPs'!AZ16,0)</f>
        <v>0</v>
      </c>
      <c r="J292" s="1193">
        <f t="shared" si="38"/>
        <v>0</v>
      </c>
      <c r="K292" s="1194">
        <f>IF(SETUP!$F$29="Upfront",$E$291*'HIV-Other HPs'!BA16,0)</f>
        <v>0</v>
      </c>
      <c r="L292" s="1194">
        <f>IF(SETUP!$F$29="Upfront",$E$291*'HIV-Other HPs'!BB16,0)</f>
        <v>0</v>
      </c>
      <c r="M292" s="1194">
        <f>IF(SETUP!$F$29="Upfront",$E$291*'HIV-Other HPs'!BC16,0)</f>
        <v>0</v>
      </c>
      <c r="N292" s="1194">
        <f>IF(SETUP!$F$29="Upfront",$E$291*'HIV-Other HPs'!BD16,0)</f>
        <v>0</v>
      </c>
      <c r="O292" s="1191">
        <f t="shared" si="39"/>
        <v>0</v>
      </c>
      <c r="P292" s="1189">
        <f>IF(SETUP!$F$29="Upfront",$E$291*'HIV-Other HPs'!BE16,0)</f>
        <v>0</v>
      </c>
      <c r="Q292" s="1189">
        <f>IF(SETUP!$F$29="Upfront",$E$291*'HIV-Other HPs'!BF16,0)</f>
        <v>0</v>
      </c>
      <c r="R292" s="1189">
        <f>IF(SETUP!$F$29="Upfront",$E$291*'HIV-Other HPs'!BG16,0)</f>
        <v>0</v>
      </c>
      <c r="S292" s="1189">
        <f>IF(SETUP!$F$29="Upfront",$E$291*'HIV-Other HPs'!BH16,0)</f>
        <v>0</v>
      </c>
      <c r="T292" s="1208">
        <f t="shared" si="40"/>
        <v>0</v>
      </c>
      <c r="U292" s="1189">
        <f t="shared" si="41"/>
        <v>0</v>
      </c>
      <c r="V292" s="1795">
        <v>7.6</v>
      </c>
      <c r="W292" s="1823"/>
      <c r="X292" s="1820"/>
    </row>
    <row r="293" spans="1:24" s="860" customFormat="1" ht="15" hidden="1" customHeight="1" outlineLevel="1">
      <c r="A293" s="2899"/>
      <c r="B293" s="2900"/>
      <c r="C293" s="2889" t="s">
        <v>36</v>
      </c>
      <c r="D293" s="2890"/>
      <c r="E293" s="1880"/>
      <c r="F293" s="1279">
        <v>0</v>
      </c>
      <c r="G293" s="1195">
        <f>IF(SETUP!$F$29="At delivery",IF(SETUP!$G$29=1,$E$291*'HIV-Other HPs'!AW16,0),0)</f>
        <v>0</v>
      </c>
      <c r="H293" s="1194">
        <f>IF(SETUP!$F$29="At delivery",IF(SETUP!$G$29=2,$E$291*'HIV-Other HPs'!AW16,IF(SETUP!$G$29=1,$E$291*'HIV-Other HPs'!AX16,0)),0)</f>
        <v>0</v>
      </c>
      <c r="I293" s="1194">
        <f>IF(SETUP!$F$29="At delivery",IF(SETUP!$G$29=3,$E$291*'HIV-Other HPs'!AW16,IF(SETUP!$G$29=2,$E$291*'HIV-Other HPs'!AX16,IF(SETUP!$G$29=1,$E$291*'HIV-Other HPs'!AY16,0))),0)</f>
        <v>0</v>
      </c>
      <c r="J293" s="1193">
        <f t="shared" si="38"/>
        <v>0</v>
      </c>
      <c r="K293" s="1194">
        <f>IF(SETUP!$F$29="At delivery",IF(SETUP!$G$29=4,$E$291*'HIV-Other HPs'!AW16,IF(SETUP!$G$29=3,$E$291*'HIV-Other HPs'!AX16,IF(SETUP!$G$29=2,$E$291*'HIV-Other HPs'!AY16,IF(SETUP!$G$29=1,$E$291*'HIV-Other HPs'!AZ16,0)))),0)</f>
        <v>0</v>
      </c>
      <c r="L293" s="1194">
        <f>IF(SETUP!$F$29="At delivery",IF(SETUP!$G$29=4,$E$291*'HIV-Other HPs'!AX16,IF(SETUP!$G$29=3,$E$291*'HIV-Other HPs'!AY16,IF(SETUP!$G$29=2,$E$291*'HIV-Other HPs'!AZ16,IF(SETUP!$G$29=1,$E$291*'HIV-Other HPs'!BA16,0)))),0)</f>
        <v>0</v>
      </c>
      <c r="M293" s="1194">
        <f>IF(SETUP!$F$29="At delivery",IF(SETUP!$G$29=4,$E$291*'HIV-Other HPs'!AY16,IF(SETUP!$G$29=3,$E$291*'HIV-Other HPs'!AZ16,IF(SETUP!$G$29=2,$E$291*'HIV-Other HPs'!BA16,IF(SETUP!$G$29=1,$E$291*'HIV-Other HPs'!BB16,0)))),0)</f>
        <v>0</v>
      </c>
      <c r="N293" s="1194">
        <f>IF(SETUP!$F$29="At delivery",IF(SETUP!$G$29=4,$E$291*'HIV-Other HPs'!AZ16,IF(SETUP!$G$29=3,$E$291*'HIV-Other HPs'!BA16,IF(SETUP!$G$29=2,$E$291*'HIV-Other HPs'!BB16,IF(SETUP!$G$29=1,$E$291*'HIV-Other HPs'!BC16,0)))),0)</f>
        <v>0</v>
      </c>
      <c r="O293" s="1191">
        <f t="shared" si="39"/>
        <v>0</v>
      </c>
      <c r="P293" s="1189">
        <f>IF(SETUP!$F$29="At delivery",IF(SETUP!$G$29=4,$E$291*'HIV-Other HPs'!BA16,IF(SETUP!$G$29=3,$E$291*'HIV-Other HPs'!BB16,IF(SETUP!$G$29=2,$E$291*'HIV-Other HPs'!BC16,IF(SETUP!$G$29=1,$E$291*'HIV-Other HPs'!BD16,0)))),0)</f>
        <v>0</v>
      </c>
      <c r="Q293" s="1189">
        <f>IF(SETUP!$F$29="At delivery",IF(SETUP!$G$29=4,$E$291*'HIV-Other HPs'!BB16,IF(SETUP!$G$29=3,$E$291*'HIV-Other HPs'!BC16,IF(SETUP!$G$29=2,$E$291*'HIV-Other HPs'!BD16,IF(SETUP!$G$29=1,$E$291*'HIV-Other HPs'!BE16,0)))),0)</f>
        <v>0</v>
      </c>
      <c r="R293" s="1189">
        <f>IF(SETUP!$F$29="At delivery",IF(SETUP!$G$29=4,$E$291*'HIV-Other HPs'!BC16,IF(SETUP!$G$29=3,$E$291*'HIV-Other HPs'!BD16,IF(SETUP!$G$29=2,$E$291*'HIV-Other HPs'!BE16,IF(SETUP!$G$29=1,$E$291*'HIV-Other HPs'!BF16,0)))),0)</f>
        <v>0</v>
      </c>
      <c r="S293" s="1189">
        <f>IF(SETUP!$F$29="At delivery",IF(SETUP!$G$29=4,$E$291*('HIV-Other HPs'!BD16+'HIV-Other HPs'!BE16+'HIV-Other HPs'!BF16+'HIV-Other HPs'!BG16+'HIV-Other HPs'!BH16),IF(SETUP!$G$29=3,$E$291*('HIV-Other HPs'!BE16+'HIV-Other HPs'!BF16+'HIV-Other HPs'!BG16+'HIV-Other HPs'!BH16),IF(SETUP!$G$29=2,$E$291*('HIV-Other HPs'!BF16+'HIV-Other HPs'!BG16+'HIV-Other HPs'!BH16),IF(SETUP!$G$29=1,$E$291*('HIV-Other HPs'!BG16+'HIV-Other HPs'!BH16),0)))),0)</f>
        <v>0</v>
      </c>
      <c r="T293" s="1208">
        <f t="shared" si="40"/>
        <v>0</v>
      </c>
      <c r="U293" s="1189">
        <f t="shared" si="41"/>
        <v>0</v>
      </c>
      <c r="V293" s="1795">
        <v>7.6</v>
      </c>
      <c r="W293" s="1823"/>
      <c r="X293" s="1820"/>
    </row>
    <row r="294" spans="1:24" s="860" customFormat="1" ht="15" customHeight="1" collapsed="1">
      <c r="A294" s="2899"/>
      <c r="B294" s="2900"/>
      <c r="C294" s="2907" t="s">
        <v>1863</v>
      </c>
      <c r="D294" s="2908"/>
      <c r="E294" s="1880">
        <v>0</v>
      </c>
      <c r="F294" s="1279">
        <f>IF(SETUP!$F$30="Upfront",F295,F296)</f>
        <v>0</v>
      </c>
      <c r="G294" s="1195">
        <f>IF(SETUP!$F$30="Upfront",G295,G296)</f>
        <v>0</v>
      </c>
      <c r="H294" s="1194">
        <f>IF(SETUP!$F$30="Upfront",H295,H296)</f>
        <v>0</v>
      </c>
      <c r="I294" s="1194">
        <f>IF(SETUP!$F$30="Upfront",I295,I296)</f>
        <v>0</v>
      </c>
      <c r="J294" s="1193">
        <f t="shared" si="38"/>
        <v>0</v>
      </c>
      <c r="K294" s="1194">
        <f>IF(SETUP!$F$30="Upfront",K295,K296)</f>
        <v>0</v>
      </c>
      <c r="L294" s="1194">
        <f>IF(SETUP!$F$30="Upfront",L295,L296)</f>
        <v>0</v>
      </c>
      <c r="M294" s="1194">
        <f>IF(SETUP!$F$30="Upfront",M295,M296)</f>
        <v>0</v>
      </c>
      <c r="N294" s="1194">
        <f>IF(SETUP!$F$30="Upfront",N295,N296)</f>
        <v>0</v>
      </c>
      <c r="O294" s="1191">
        <f t="shared" si="39"/>
        <v>0</v>
      </c>
      <c r="P294" s="1189">
        <f>IF(SETUP!$F$30="Upfront",P295,P296)</f>
        <v>0</v>
      </c>
      <c r="Q294" s="1189">
        <f>IF(SETUP!$F$30="Upfront",Q295,Q296)</f>
        <v>0</v>
      </c>
      <c r="R294" s="1189">
        <f>IF(SETUP!$F$30="Upfront",R295,R296)</f>
        <v>0</v>
      </c>
      <c r="S294" s="1189">
        <f>IF(SETUP!$F$30="Upfront",S295,S296)</f>
        <v>0</v>
      </c>
      <c r="T294" s="1208">
        <f t="shared" ref="T294" si="42">P294+Q294+R294+S294</f>
        <v>0</v>
      </c>
      <c r="U294" s="1189">
        <f t="shared" ref="U294" si="43">J294+O294+T294</f>
        <v>0</v>
      </c>
      <c r="V294" s="1795">
        <v>7.6</v>
      </c>
      <c r="W294" s="1823"/>
      <c r="X294" s="1820"/>
    </row>
    <row r="295" spans="1:24" s="860" customFormat="1" ht="15" hidden="1" customHeight="1" outlineLevel="1">
      <c r="A295" s="2899"/>
      <c r="B295" s="2900"/>
      <c r="C295" s="2889" t="s">
        <v>918</v>
      </c>
      <c r="D295" s="2890"/>
      <c r="E295" s="1880"/>
      <c r="F295" s="1279">
        <f>IF(SETUP!$F$30="Upfront",$E$294*'HIV-Other HPs'!AW17,0)</f>
        <v>0</v>
      </c>
      <c r="G295" s="1195">
        <f>IF(SETUP!$F$30="Upfront",$E$294*'HIV-Other HPs'!AX17,0)</f>
        <v>0</v>
      </c>
      <c r="H295" s="1194">
        <f>IF(SETUP!$F$30="Upfront",$E$294*'HIV-Other HPs'!AY17,0)</f>
        <v>0</v>
      </c>
      <c r="I295" s="1194">
        <f>IF(SETUP!$F$30="Upfront",$E$294*'HIV-Other HPs'!AZ17,0)</f>
        <v>0</v>
      </c>
      <c r="J295" s="1193"/>
      <c r="K295" s="1194">
        <f>IF(SETUP!$F$30="Upfront",$E$294*'HIV-Other HPs'!BA17,0)</f>
        <v>0</v>
      </c>
      <c r="L295" s="1194">
        <f>IF(SETUP!$F$30="Upfront",$E$294*'HIV-Other HPs'!BB17,0)</f>
        <v>0</v>
      </c>
      <c r="M295" s="1194">
        <f>IF(SETUP!$F$30="Upfront",$E$294*'HIV-Other HPs'!BC17,0)</f>
        <v>0</v>
      </c>
      <c r="N295" s="1194">
        <f>IF(SETUP!$F$30="Upfront",$E$294*'HIV-Other HPs'!BD17,0)</f>
        <v>0</v>
      </c>
      <c r="O295" s="1191"/>
      <c r="P295" s="1189">
        <f>IF(SETUP!$F$30="Upfront",$E$294*'HIV-Other HPs'!BE17,0)</f>
        <v>0</v>
      </c>
      <c r="Q295" s="1189">
        <f>IF(SETUP!$F$30="Upfront",$E$294*'HIV-Other HPs'!BF17,0)</f>
        <v>0</v>
      </c>
      <c r="R295" s="1189">
        <f>IF(SETUP!$F$30="Upfront",$E$294*'HIV-Other HPs'!BG17,0)</f>
        <v>0</v>
      </c>
      <c r="S295" s="1189">
        <f>IF(SETUP!$F$30="Upfront",$E$294*'HIV-Other HPs'!BH17,0)</f>
        <v>0</v>
      </c>
      <c r="T295" s="1208"/>
      <c r="U295" s="1189"/>
      <c r="V295" s="1795">
        <v>7.6</v>
      </c>
      <c r="W295" s="1823"/>
      <c r="X295" s="1820"/>
    </row>
    <row r="296" spans="1:24" s="860" customFormat="1" ht="15" hidden="1" customHeight="1" outlineLevel="1">
      <c r="A296" s="2899"/>
      <c r="B296" s="2900"/>
      <c r="C296" s="2889" t="s">
        <v>36</v>
      </c>
      <c r="D296" s="2890"/>
      <c r="E296" s="1880"/>
      <c r="F296" s="1279">
        <v>0</v>
      </c>
      <c r="G296" s="1195">
        <f>IF(SETUP!$F$30="At delivery",IF(SETUP!$G$30=1,$E$294*'HIV-Other HPs'!AW17,0),0)</f>
        <v>0</v>
      </c>
      <c r="H296" s="1194">
        <f>IF(SETUP!$F$30="At delivery",IF(SETUP!$G$30=2,$E$294*'HIV-Other HPs'!AW17,IF(SETUP!$G$30=1,$E$294*'HIV-Other HPs'!AX17,0)),0)</f>
        <v>0</v>
      </c>
      <c r="I296" s="1194">
        <f>IF(SETUP!$F$30="At delivery",IF(SETUP!$G$30=3,$E$294*'HIV-Other HPs'!AW17,IF(SETUP!$G$30=2,$E$294*'HIV-Other HPs'!AX17,IF(SETUP!$G$30=1,$E$294*'HIV-Other HPs'!AY17,0))),0)</f>
        <v>0</v>
      </c>
      <c r="J296" s="1193"/>
      <c r="K296" s="1194">
        <f>IF(SETUP!$F$30="At delivery",IF(SETUP!$G$30=4,$E$294*'HIV-Other HPs'!AW17,IF(SETUP!$G$30=3,$E$294*'HIV-Other HPs'!AX17,IF(SETUP!$G$30=2,$E$294*'HIV-Other HPs'!AY17,IF(SETUP!$G$30=1,$E$294*'HIV-Other HPs'!AZ17,0)))),0)</f>
        <v>0</v>
      </c>
      <c r="L296" s="1194">
        <f>IF(SETUP!$F$30="At delivery",IF(SETUP!$G$30=4,$E$294*'HIV-Other HPs'!AX17,IF(SETUP!$G$30=3,$E$294*'HIV-Other HPs'!AY17,IF(SETUP!$G$30=2,$E$294*'HIV-Other HPs'!AZ17,IF(SETUP!$G$30=1,$E$294*'HIV-Other HPs'!BA17,0)))),0)</f>
        <v>0</v>
      </c>
      <c r="M296" s="1194">
        <f>IF(SETUP!$F$30="At delivery",IF(SETUP!$G$30=4,$E$294*'HIV-Other HPs'!AY17,IF(SETUP!$G$30=3,$E$294*'HIV-Other HPs'!AZ17,IF(SETUP!$G$30=2,$E$294*'HIV-Other HPs'!BA17,IF(SETUP!$G$30=1,$E$294*'HIV-Other HPs'!BB17,0)))),0)</f>
        <v>0</v>
      </c>
      <c r="N296" s="1194">
        <f>IF(SETUP!$F$30="At delivery",IF(SETUP!$G$30=4,$E$294*'HIV-Other HPs'!AZ17,IF(SETUP!$G$30=3,$E$294*'HIV-Other HPs'!BA17,IF(SETUP!$G$30=2,$E$294*'HIV-Other HPs'!BB17,IF(SETUP!$G$30=1,$E$294*'HIV-Other HPs'!BC17,0)))),0)</f>
        <v>0</v>
      </c>
      <c r="O296" s="1191"/>
      <c r="P296" s="1189">
        <f>IF(SETUP!$F$30="At delivery",IF(SETUP!$G$30=4,$E$294*'HIV-Other HPs'!BA17,IF(SETUP!$G$30=3,$E$294*'HIV-Other HPs'!BB17,IF(SETUP!$G$30=2,$E$294*'HIV-Other HPs'!BC17,IF(SETUP!$G$30=1,$E$294*'HIV-Other HPs'!BD17,0)))),0)</f>
        <v>0</v>
      </c>
      <c r="Q296" s="1189">
        <f>IF(SETUP!$F$30="At delivery",IF(SETUP!$G$30=4,$E$294*'HIV-Other HPs'!BB17,IF(SETUP!$G$30=3,$E$294*'HIV-Other HPs'!BC17,IF(SETUP!$G$30=2,$E$294*'HIV-Other HPs'!BD17,IF(SETUP!$G$30=1,$E$294*'HIV-Other HPs'!BE17,0)))),0)</f>
        <v>0</v>
      </c>
      <c r="R296" s="1189">
        <f>IF(SETUP!$F$30="At delivery",IF(SETUP!$G$30=4,$E$294*'HIV-Other HPs'!BC17,IF(SETUP!$G$30=3,$E$294*'HIV-Other HPs'!BD17,IF(SETUP!$G$30=2,$E$294*'HIV-Other HPs'!BE17,IF(SETUP!$G$30=1,$E$294*'HIV-Other HPs'!BF17,0)))),0)</f>
        <v>0</v>
      </c>
      <c r="S296" s="1189">
        <f>IF(SETUP!$F$30="At delivery",IF(SETUP!$G$30=4,$E$294*('HIV-Other HPs'!BD17+'HIV-Other HPs'!BE17+'HIV-Other HPs'!BF17+'HIV-Other HPs'!BG17+'HIV-Other HPs'!BH17),IF(SETUP!$G$30=3,$E$294*('HIV-Other HPs'!BE17+'HIV-Other HPs'!BF17+'HIV-Other HPs'!BG17+'HIV-Other HPs'!BH17),IF(SETUP!$G$30=2,$E$294*('HIV-Other HPs'!BF17+'HIV-Other HPs'!BG17+'HIV-Other HPs'!BH17),IF(SETUP!$G$30=1,$E$294*('HIV-Other HPs'!BG17+'HIV-Other HPs'!BH17),0)))),0)</f>
        <v>0</v>
      </c>
      <c r="T296" s="1208"/>
      <c r="U296" s="1189"/>
      <c r="V296" s="1795">
        <v>7.6</v>
      </c>
      <c r="W296" s="1823"/>
      <c r="X296" s="1820"/>
    </row>
    <row r="297" spans="1:24" s="860" customFormat="1" ht="15" customHeight="1" collapsed="1">
      <c r="A297" s="2899"/>
      <c r="B297" s="2900"/>
      <c r="C297" s="2907" t="s">
        <v>1794</v>
      </c>
      <c r="D297" s="2908"/>
      <c r="E297" s="1880">
        <v>0</v>
      </c>
      <c r="F297" s="1279">
        <f>IF(SETUP!$F$31="Upfront",F298,F299)</f>
        <v>0</v>
      </c>
      <c r="G297" s="1195">
        <f>IF(SETUP!$F$31="Upfront",G298,G299)</f>
        <v>0</v>
      </c>
      <c r="H297" s="1194">
        <f>IF(SETUP!$F$31="Upfront",H298,H299)</f>
        <v>0</v>
      </c>
      <c r="I297" s="1194">
        <f>IF(SETUP!$F$31="Upfront",I298,I299)</f>
        <v>0</v>
      </c>
      <c r="J297" s="1193">
        <f t="shared" ref="J297:J328" si="44">F297+G297+H297+I297</f>
        <v>0</v>
      </c>
      <c r="K297" s="1194">
        <f>IF(SETUP!$F$31="Upfront",K298,K299)</f>
        <v>0</v>
      </c>
      <c r="L297" s="1194">
        <f>IF(SETUP!$F$31="Upfront",L298,L299)</f>
        <v>0</v>
      </c>
      <c r="M297" s="1194">
        <f>IF(SETUP!$F$31="Upfront",M298,M299)</f>
        <v>0</v>
      </c>
      <c r="N297" s="1194">
        <f>IF(SETUP!$F$31="Upfront",N298,N299)</f>
        <v>0</v>
      </c>
      <c r="O297" s="1191">
        <f t="shared" ref="O297:O328" si="45">K297+L297+M297+N297</f>
        <v>0</v>
      </c>
      <c r="P297" s="1189">
        <f>IF(SETUP!$F$31="Upfront",P298,P299)</f>
        <v>0</v>
      </c>
      <c r="Q297" s="1189">
        <f>IF(SETUP!$F$31="Upfront",Q298,Q299)</f>
        <v>0</v>
      </c>
      <c r="R297" s="1189">
        <f>IF(SETUP!$F$31="Upfront",R298,R299)</f>
        <v>0</v>
      </c>
      <c r="S297" s="1189">
        <f>IF(SETUP!$F$31="Upfront",S298,S299)</f>
        <v>0</v>
      </c>
      <c r="T297" s="1208">
        <f t="shared" ref="T297:T328" si="46">P297+Q297+R297+S297</f>
        <v>0</v>
      </c>
      <c r="U297" s="1189">
        <f t="shared" ref="U297:U328" si="47">J297+O297+T297</f>
        <v>0</v>
      </c>
      <c r="V297" s="1795">
        <v>7.6</v>
      </c>
      <c r="W297" s="1823"/>
      <c r="X297" s="1820"/>
    </row>
    <row r="298" spans="1:24" s="860" customFormat="1" ht="15" hidden="1" customHeight="1" outlineLevel="1">
      <c r="A298" s="2899"/>
      <c r="B298" s="2900"/>
      <c r="C298" s="2889" t="s">
        <v>918</v>
      </c>
      <c r="D298" s="2890"/>
      <c r="E298" s="1880"/>
      <c r="F298" s="1279">
        <f>IF(SETUP!$F$31="Upfront",$E$297*'HIV-Other HPs'!AW18,0)</f>
        <v>0</v>
      </c>
      <c r="G298" s="1195">
        <f>IF(SETUP!$F$31="Upfront",$E$297*'HIV-Other HPs'!AX18,0)</f>
        <v>0</v>
      </c>
      <c r="H298" s="1194">
        <f>IF(SETUP!$F$31="Upfront",$E$297*'HIV-Other HPs'!AY18,0)</f>
        <v>0</v>
      </c>
      <c r="I298" s="1194">
        <f>IF(SETUP!$F$31="Upfront",$E$297*'HIV-Other HPs'!AZ18,0)</f>
        <v>0</v>
      </c>
      <c r="J298" s="1193">
        <f t="shared" si="44"/>
        <v>0</v>
      </c>
      <c r="K298" s="1194">
        <f>IF(SETUP!$F$31="Upfront",$E$297*'HIV-Other HPs'!BA18,0)</f>
        <v>0</v>
      </c>
      <c r="L298" s="1194">
        <f>IF(SETUP!$F$31="Upfront",$E$297*'HIV-Other HPs'!BB18,0)</f>
        <v>0</v>
      </c>
      <c r="M298" s="1194">
        <f>IF(SETUP!$F$31="Upfront",$E$297*'HIV-Other HPs'!BC18,0)</f>
        <v>0</v>
      </c>
      <c r="N298" s="1194">
        <f>IF(SETUP!$F$31="Upfront",$E$297*'HIV-Other HPs'!BD18,0)</f>
        <v>0</v>
      </c>
      <c r="O298" s="1191">
        <f t="shared" si="45"/>
        <v>0</v>
      </c>
      <c r="P298" s="1189">
        <f>IF(SETUP!$F$31="Upfront",$E$297*'HIV-Other HPs'!BE18,0)</f>
        <v>0</v>
      </c>
      <c r="Q298" s="1189">
        <f>IF(SETUP!$F$31="Upfront",$E$297*'HIV-Other HPs'!BF18,0)</f>
        <v>0</v>
      </c>
      <c r="R298" s="1189">
        <f>IF(SETUP!$F$31="Upfront",$E$297*'HIV-Other HPs'!BG18,0)</f>
        <v>0</v>
      </c>
      <c r="S298" s="1189">
        <f>IF(SETUP!$F$31="Upfront",$E$297*'HIV-Other HPs'!BH18,0)</f>
        <v>0</v>
      </c>
      <c r="T298" s="1208">
        <f t="shared" si="46"/>
        <v>0</v>
      </c>
      <c r="U298" s="1189">
        <f t="shared" si="47"/>
        <v>0</v>
      </c>
      <c r="V298" s="1795">
        <v>7.6</v>
      </c>
      <c r="W298" s="1823"/>
      <c r="X298" s="1820"/>
    </row>
    <row r="299" spans="1:24" s="860" customFormat="1" ht="15" hidden="1" customHeight="1" outlineLevel="1">
      <c r="A299" s="2899"/>
      <c r="B299" s="2900"/>
      <c r="C299" s="2889" t="s">
        <v>36</v>
      </c>
      <c r="D299" s="2890"/>
      <c r="E299" s="1880"/>
      <c r="F299" s="1279">
        <v>0</v>
      </c>
      <c r="G299" s="1195">
        <f>IF(SETUP!$F$31="At delivery",IF(SETUP!$G$31=1,$E$297*'HIV-Other HPs'!AW18,0),0)</f>
        <v>0</v>
      </c>
      <c r="H299" s="1194">
        <f>IF(SETUP!$F$31="At delivery",IF(SETUP!$G$31=2,$E$297*'HIV-Other HPs'!AW18,IF(SETUP!$G$31=1,$E$297*'HIV-Other HPs'!AX18,0)),0)</f>
        <v>0</v>
      </c>
      <c r="I299" s="1194">
        <f>IF(SETUP!$F$31="At delivery",IF(SETUP!$G$31=3,$E$297*'HIV-Other HPs'!AW18,IF(SETUP!$G$31=2,$E$297*'HIV-Other HPs'!AX18,IF(SETUP!$G$31=1,$E$297*'HIV-Other HPs'!AY18,0))),0)</f>
        <v>0</v>
      </c>
      <c r="J299" s="1193">
        <f t="shared" si="44"/>
        <v>0</v>
      </c>
      <c r="K299" s="1194">
        <f>IF(SETUP!$F$31="At delivery",IF(SETUP!$G$31=4,$E$297*'HIV-Other HPs'!AW18,IF(SETUP!$G$31=3,$E$297*'HIV-Other HPs'!AX18,IF(SETUP!$G$31=2,$E$297*'HIV-Other HPs'!AY18,IF(SETUP!$G$31=1,$E$297*'HIV-Other HPs'!AZ18,0)))),0)</f>
        <v>0</v>
      </c>
      <c r="L299" s="1194">
        <f>IF(SETUP!$F$31="At delivery",IF(SETUP!$G$31=4,$E$297*'HIV-Other HPs'!AX18,IF(SETUP!$G$31=3,$E$297*'HIV-Other HPs'!AY18,IF(SETUP!$G$31=2,$E$297*'HIV-Other HPs'!AZ18,IF(SETUP!$G$31=1,$E$297*'HIV-Other HPs'!BA18,0)))),0)</f>
        <v>0</v>
      </c>
      <c r="M299" s="1194">
        <f>IF(SETUP!$F$31="At delivery",IF(SETUP!$G$31=4,$E$297*'HIV-Other HPs'!AY18,IF(SETUP!$G$31=3,$E$297*'HIV-Other HPs'!AZ18,IF(SETUP!$G$31=2,$E$297*'HIV-Other HPs'!BA18,IF(SETUP!$G$31=1,$E$297*'HIV-Other HPs'!BB18,0)))),0)</f>
        <v>0</v>
      </c>
      <c r="N299" s="1194">
        <f>IF(SETUP!$F$31="At delivery",IF(SETUP!$G$31=4,$E$297*'HIV-Other HPs'!AZ18,IF(SETUP!$G$31=3,$E$297*'HIV-Other HPs'!BA18,IF(SETUP!$G$31=2,$E$297*'HIV-Other HPs'!BB18,IF(SETUP!$G$31=1,$E$297*'HIV-Other HPs'!BC18,0)))),0)</f>
        <v>0</v>
      </c>
      <c r="O299" s="1191">
        <f t="shared" si="45"/>
        <v>0</v>
      </c>
      <c r="P299" s="1189">
        <f>IF(SETUP!$F$31="At delivery",IF(SETUP!$G$31=4,$E$297*'HIV-Other HPs'!BA18,IF(SETUP!$G$31=3,$E$297*'HIV-Other HPs'!BB18,IF(SETUP!$G$31=2,$E$297*'HIV-Other HPs'!BC18,IF(SETUP!$G$31=1,$E$297*'HIV-Other HPs'!BD18,0)))),0)</f>
        <v>0</v>
      </c>
      <c r="Q299" s="1189">
        <f>IF(SETUP!$F$31="At delivery",IF(SETUP!$G$31=4,$E$297*'HIV-Other HPs'!BB18,IF(SETUP!$G$31=3,$E$297*'HIV-Other HPs'!BC18,IF(SETUP!$G$31=2,$E$297*'HIV-Other HPs'!BD18,IF(SETUP!$G$31=1,$E$297*'HIV-Other HPs'!BE18,0)))),0)</f>
        <v>0</v>
      </c>
      <c r="R299" s="1189">
        <f>IF(SETUP!$F$31="At delivery",IF(SETUP!$G$31=4,$E$297*'HIV-Other HPs'!BC18,IF(SETUP!$G$31=3,$E$297*'HIV-Other HPs'!BD18,IF(SETUP!$G$31=2,$E$297*'HIV-Other HPs'!BE18,IF(SETUP!$G$31=1,$E$297*'HIV-Other HPs'!BF18,0)))),0)</f>
        <v>0</v>
      </c>
      <c r="S299" s="1189">
        <f>IF(SETUP!$F$31="At delivery",IF(SETUP!$G$31=4,$E$297*('HIV-Other HPs'!BD18+'HIV-Other HPs'!BE18+'HIV-Other HPs'!BF18+'HIV-Other HPs'!BG18+'HIV-Other HPs'!BH18),IF(SETUP!$G$31=3,$E$297*('HIV-Other HPs'!BE18+'HIV-Other HPs'!BF18+'HIV-Other HPs'!BG18+'HIV-Other HPs'!BH18),IF(SETUP!$G$31=2,$E$297*('HIV-Other HPs'!BF18+'HIV-Other HPs'!BG18+'HIV-Other HPs'!BH18),IF(SETUP!$G$31=1,$E$297*('HIV-Other HPs'!BG18+'HIV-Other HPs'!BH18),0)))),0)</f>
        <v>0</v>
      </c>
      <c r="T299" s="1208">
        <f t="shared" si="46"/>
        <v>0</v>
      </c>
      <c r="U299" s="1189">
        <f t="shared" si="47"/>
        <v>0</v>
      </c>
      <c r="V299" s="1795">
        <v>7.6</v>
      </c>
      <c r="W299" s="1823"/>
      <c r="X299" s="1820"/>
    </row>
    <row r="300" spans="1:24" s="860" customFormat="1" ht="15" customHeight="1" collapsed="1">
      <c r="A300" s="2899"/>
      <c r="B300" s="2900"/>
      <c r="C300" s="2907" t="s">
        <v>568</v>
      </c>
      <c r="D300" s="2908"/>
      <c r="E300" s="1880">
        <v>0</v>
      </c>
      <c r="F300" s="1279">
        <f>IF(SETUP!$F$32="Upfront",F301,F302)</f>
        <v>0</v>
      </c>
      <c r="G300" s="1195">
        <f>IF(SETUP!$F$32="Upfront",G301,G302)</f>
        <v>0</v>
      </c>
      <c r="H300" s="1194">
        <f>IF(SETUP!$F$32="Upfront",H301,H302)</f>
        <v>0</v>
      </c>
      <c r="I300" s="1194">
        <f>IF(SETUP!$F$32="Upfront",I301,I302)</f>
        <v>0</v>
      </c>
      <c r="J300" s="1193">
        <f t="shared" si="44"/>
        <v>0</v>
      </c>
      <c r="K300" s="1194">
        <f>IF(SETUP!$F$32="Upfront",K301,K302)</f>
        <v>0</v>
      </c>
      <c r="L300" s="1194">
        <f>IF(SETUP!$F$32="Upfront",L301,L302)</f>
        <v>0</v>
      </c>
      <c r="M300" s="1194">
        <f>IF(SETUP!$F$32="Upfront",M301,M302)</f>
        <v>0</v>
      </c>
      <c r="N300" s="1194">
        <f>IF(SETUP!$F$32="Upfront",N301,N302)</f>
        <v>0</v>
      </c>
      <c r="O300" s="1191">
        <f t="shared" si="45"/>
        <v>0</v>
      </c>
      <c r="P300" s="1189">
        <f>IF(SETUP!$F$32="Upfront",P301,P302)</f>
        <v>0</v>
      </c>
      <c r="Q300" s="1189">
        <f>IF(SETUP!$F$32="Upfront",Q301,Q302)</f>
        <v>0</v>
      </c>
      <c r="R300" s="1189">
        <f>IF(SETUP!$F$32="Upfront",R301,R302)</f>
        <v>0</v>
      </c>
      <c r="S300" s="1189">
        <f>IF(SETUP!$F$32="Upfront",S301,S302)</f>
        <v>0</v>
      </c>
      <c r="T300" s="1208">
        <f t="shared" si="46"/>
        <v>0</v>
      </c>
      <c r="U300" s="1189">
        <f t="shared" si="47"/>
        <v>0</v>
      </c>
      <c r="V300" s="1795">
        <v>7.6</v>
      </c>
      <c r="W300" s="1823"/>
      <c r="X300" s="1820"/>
    </row>
    <row r="301" spans="1:24" s="860" customFormat="1" ht="15" hidden="1" customHeight="1" outlineLevel="1">
      <c r="A301" s="2899"/>
      <c r="B301" s="2900"/>
      <c r="C301" s="2889" t="s">
        <v>918</v>
      </c>
      <c r="D301" s="2890"/>
      <c r="E301" s="1880"/>
      <c r="F301" s="1279">
        <f>IF(SETUP!$F$32="Upfront",$E$300*'HIV-Other HPs'!AW19,0)</f>
        <v>0</v>
      </c>
      <c r="G301" s="1195">
        <f>IF(SETUP!$F$32="Upfront",$E$300*'HIV-Other HPs'!AX19,0)</f>
        <v>0</v>
      </c>
      <c r="H301" s="1194">
        <f>IF(SETUP!$F$32="Upfront",$E$300*'HIV-Other HPs'!AY19,0)</f>
        <v>0</v>
      </c>
      <c r="I301" s="1194">
        <f>IF(SETUP!$F$32="Upfront",$E$300*'HIV-Other HPs'!AZ19,0)</f>
        <v>0</v>
      </c>
      <c r="J301" s="1193">
        <f t="shared" si="44"/>
        <v>0</v>
      </c>
      <c r="K301" s="1194">
        <f>IF(SETUP!$F$32="Upfront",$E$300*'HIV-Other HPs'!BA19,0)</f>
        <v>0</v>
      </c>
      <c r="L301" s="1194">
        <f>IF(SETUP!$F$32="Upfront",$E$300*'HIV-Other HPs'!BB19,0)</f>
        <v>0</v>
      </c>
      <c r="M301" s="1194">
        <f>IF(SETUP!$F$32="Upfront",$E$300*'HIV-Other HPs'!BC19,0)</f>
        <v>0</v>
      </c>
      <c r="N301" s="1194">
        <f>IF(SETUP!$F$32="Upfront",$E$300*'HIV-Other HPs'!BD19,0)</f>
        <v>0</v>
      </c>
      <c r="O301" s="1191">
        <f t="shared" si="45"/>
        <v>0</v>
      </c>
      <c r="P301" s="1189">
        <f>IF(SETUP!$F$32="Upfront",$E$300*'HIV-Other HPs'!BE19,0)</f>
        <v>0</v>
      </c>
      <c r="Q301" s="1189">
        <f>IF(SETUP!$F$32="Upfront",$E$300*'HIV-Other HPs'!BF19,0)</f>
        <v>0</v>
      </c>
      <c r="R301" s="1189">
        <f>IF(SETUP!$F$32="Upfront",$E$300*'HIV-Other HPs'!BG19,0)</f>
        <v>0</v>
      </c>
      <c r="S301" s="1189">
        <f>IF(SETUP!$F$32="Upfront",$E$300*'HIV-Other HPs'!BH19,0)</f>
        <v>0</v>
      </c>
      <c r="T301" s="1208">
        <f t="shared" si="46"/>
        <v>0</v>
      </c>
      <c r="U301" s="1189">
        <f t="shared" si="47"/>
        <v>0</v>
      </c>
      <c r="V301" s="1795">
        <v>7.6</v>
      </c>
      <c r="W301" s="1823"/>
      <c r="X301" s="1820"/>
    </row>
    <row r="302" spans="1:24" s="860" customFormat="1" ht="15" hidden="1" customHeight="1" outlineLevel="1">
      <c r="A302" s="2899"/>
      <c r="B302" s="2900"/>
      <c r="C302" s="2889" t="s">
        <v>36</v>
      </c>
      <c r="D302" s="2890"/>
      <c r="E302" s="1880"/>
      <c r="F302" s="1279">
        <v>0</v>
      </c>
      <c r="G302" s="1195">
        <f>IF(SETUP!$F$32="At delivery",IF(SETUP!$G$32=1,$E$300*'HIV-Other HPs'!AW19,0),0)</f>
        <v>0</v>
      </c>
      <c r="H302" s="1194">
        <f>IF(SETUP!$F$32="At delivery",IF(SETUP!$G$32=2,$E$300*'HIV-Other HPs'!AW19,IF(SETUP!$G$32=1,$E$300*'HIV-Other HPs'!AX19,0)),0)</f>
        <v>0</v>
      </c>
      <c r="I302" s="1194">
        <f>IF(SETUP!$F$32="At delivery",IF(SETUP!$G$32=3,$E$300*'HIV-Other HPs'!AW19,IF(SETUP!$G$32=2,$E$300*'HIV-Other HPs'!AX19,IF(SETUP!$G$32=1,$E$300*'HIV-Other HPs'!AY19,0))),0)</f>
        <v>0</v>
      </c>
      <c r="J302" s="1193">
        <f t="shared" si="44"/>
        <v>0</v>
      </c>
      <c r="K302" s="1194">
        <f>IF(SETUP!$F$32="At delivery",IF(SETUP!$G$32=4,$E$300*'HIV-Other HPs'!AW19,IF(SETUP!$G$32=3,$E$300*'HIV-Other HPs'!AX19,IF(SETUP!$G$32=2,$E$300*'HIV-Other HPs'!AY19,IF(SETUP!$G$32=1,$E$300*'HIV-Other HPs'!AZ19,0)))),0)</f>
        <v>0</v>
      </c>
      <c r="L302" s="1194">
        <f>IF(SETUP!$F$32="At delivery",IF(SETUP!$G$32=4,$E$300*'HIV-Other HPs'!AX19,IF(SETUP!$G$32=3,$E$300*'HIV-Other HPs'!AY19,IF(SETUP!$G$32=2,$E$300*'HIV-Other HPs'!AZ19,IF(SETUP!$G$32=1,$E$300*'HIV-Other HPs'!BA19,0)))),0)</f>
        <v>0</v>
      </c>
      <c r="M302" s="1194">
        <f>IF(SETUP!$F$32="At delivery",IF(SETUP!$G$32=4,$E$300*'HIV-Other HPs'!AY19,IF(SETUP!$G$32=3,$E$300*'HIV-Other HPs'!AZ19,IF(SETUP!$G$32=2,$E$300*'HIV-Other HPs'!BA19,IF(SETUP!$G$32=1,$E$300*'HIV-Other HPs'!BB19,0)))),0)</f>
        <v>0</v>
      </c>
      <c r="N302" s="1194">
        <f>IF(SETUP!$F$32="At delivery",IF(SETUP!$G$32=4,$E$300*'HIV-Other HPs'!AZ19,IF(SETUP!$G$32=3,$E$300*'HIV-Other HPs'!BA19,IF(SETUP!$G$32=2,$E$300*'HIV-Other HPs'!BB19,IF(SETUP!$G$32=1,$E$300*'HIV-Other HPs'!BC19,0)))),0)</f>
        <v>0</v>
      </c>
      <c r="O302" s="1191">
        <f t="shared" si="45"/>
        <v>0</v>
      </c>
      <c r="P302" s="1189">
        <f>IF(SETUP!$F$32="At delivery",IF(SETUP!$G$32=4,$E$300*'HIV-Other HPs'!BA19,IF(SETUP!$G$32=3,$E$300*'HIV-Other HPs'!BB19,IF(SETUP!$G$32=2,$E$300*'HIV-Other HPs'!BC19,IF(SETUP!$G$32=1,$E$300*'HIV-Other HPs'!BD19,0)))),0)</f>
        <v>0</v>
      </c>
      <c r="Q302" s="1189">
        <f>IF(SETUP!$F$32="At delivery",IF(SETUP!$G$32=4,$E$300*'HIV-Other HPs'!BB19,IF(SETUP!$G$32=3,$E$300*'HIV-Other HPs'!BC19,IF(SETUP!$G$32=2,$E$300*'HIV-Other HPs'!BD19,IF(SETUP!$G$32=1,$E$300*'HIV-Other HPs'!BE19,0)))),0)</f>
        <v>0</v>
      </c>
      <c r="R302" s="1189">
        <f>IF(SETUP!$F$32="At delivery",IF(SETUP!$G$32=4,$E$300*'HIV-Other HPs'!BC19,IF(SETUP!$G$32=3,$E$300*'HIV-Other HPs'!BD19,IF(SETUP!$G$32=2,$E$300*'HIV-Other HPs'!BE19,IF(SETUP!$G$32=1,$E$300*'HIV-Other HPs'!BF19,0)))),0)</f>
        <v>0</v>
      </c>
      <c r="S302" s="1189">
        <f>IF(SETUP!$F$32="At delivery",IF(SETUP!$G$32=4,$E$300*('HIV-Other HPs'!BD19+'HIV-Other HPs'!BE19+'HIV-Other HPs'!BF19+'HIV-Other HPs'!BG19+'HIV-Other HPs'!BH19),IF(SETUP!$G$32=3,$E$300*('HIV-Other HPs'!BE19+'HIV-Other HPs'!BF19+'HIV-Other HPs'!BG19+'HIV-Other HPs'!BH19),IF(SETUP!$G$32=2,$E$300*('HIV-Other HPs'!BF19+'HIV-Other HPs'!BG19+'HIV-Other HPs'!BH19),IF(SETUP!$G$32=1,$E$300*('HIV-Other HPs'!BG19+'HIV-Other HPs'!BH19),0)))),0)</f>
        <v>0</v>
      </c>
      <c r="T302" s="1208">
        <f t="shared" si="46"/>
        <v>0</v>
      </c>
      <c r="U302" s="1189">
        <f t="shared" si="47"/>
        <v>0</v>
      </c>
      <c r="V302" s="1795">
        <v>7.6</v>
      </c>
      <c r="W302" s="1823"/>
      <c r="X302" s="1820"/>
    </row>
    <row r="303" spans="1:24" s="860" customFormat="1" ht="15" customHeight="1" collapsed="1" thickBot="1">
      <c r="A303" s="2899"/>
      <c r="B303" s="2900"/>
      <c r="C303" s="2973" t="s">
        <v>1795</v>
      </c>
      <c r="D303" s="2974"/>
      <c r="E303" s="1880">
        <v>0</v>
      </c>
      <c r="F303" s="1279">
        <f>IF(SETUP!$F$33="Upfront",F304,F305)</f>
        <v>0</v>
      </c>
      <c r="G303" s="1195">
        <f>IF(SETUP!$F$33="Upfront",G304,G305)</f>
        <v>0</v>
      </c>
      <c r="H303" s="1194">
        <f>IF(SETUP!$F$33="Upfront",H304,H305)</f>
        <v>0</v>
      </c>
      <c r="I303" s="1194">
        <f>IF(SETUP!$F$33="Upfront",I304,I305)</f>
        <v>0</v>
      </c>
      <c r="J303" s="1193">
        <f t="shared" si="44"/>
        <v>0</v>
      </c>
      <c r="K303" s="1194">
        <f>IF(SETUP!$F$33="Upfront",K304,K305)</f>
        <v>0</v>
      </c>
      <c r="L303" s="1194">
        <f>IF(SETUP!$F$33="Upfront",L304,L305)</f>
        <v>0</v>
      </c>
      <c r="M303" s="1194">
        <f>IF(SETUP!$F$33="Upfront",M304,M305)</f>
        <v>0</v>
      </c>
      <c r="N303" s="1194">
        <f>IF(SETUP!$F$33="Upfront",N304,N305)</f>
        <v>0</v>
      </c>
      <c r="O303" s="1191">
        <f t="shared" si="45"/>
        <v>0</v>
      </c>
      <c r="P303" s="1189">
        <f>IF(SETUP!$F$33="Upfront",P304,P305)</f>
        <v>0</v>
      </c>
      <c r="Q303" s="1189">
        <f>IF(SETUP!$F$33="Upfront",Q304,Q305)</f>
        <v>0</v>
      </c>
      <c r="R303" s="1189">
        <f>IF(SETUP!$F$33="Upfront",R304,R305)</f>
        <v>0</v>
      </c>
      <c r="S303" s="1189">
        <f>IF(SETUP!$F$33="Upfront",S304,S305)</f>
        <v>0</v>
      </c>
      <c r="T303" s="1208">
        <f t="shared" si="46"/>
        <v>0</v>
      </c>
      <c r="U303" s="1189">
        <f t="shared" si="47"/>
        <v>0</v>
      </c>
      <c r="V303" s="1795">
        <v>7.6</v>
      </c>
      <c r="W303" s="1823"/>
      <c r="X303" s="1820"/>
    </row>
    <row r="304" spans="1:24" s="860" customFormat="1" ht="15" hidden="1" customHeight="1" outlineLevel="1">
      <c r="A304" s="2899"/>
      <c r="B304" s="2900"/>
      <c r="C304" s="2889" t="s">
        <v>918</v>
      </c>
      <c r="D304" s="2890"/>
      <c r="E304" s="1880"/>
      <c r="F304" s="1279">
        <f>IF(SETUP!$F$33="Upfront",$E$303*'HIV-Other HPs'!AW20,0)</f>
        <v>0</v>
      </c>
      <c r="G304" s="1195">
        <f>IF(SETUP!$F$33="Upfront",$E$303*'HIV-Other HPs'!AX20,0)</f>
        <v>0</v>
      </c>
      <c r="H304" s="1194">
        <f>IF(SETUP!$F$33="Upfront",$E$303*'HIV-Other HPs'!AY20,0)</f>
        <v>0</v>
      </c>
      <c r="I304" s="1194">
        <f>IF(SETUP!$F$33="Upfront",$E$303*'HIV-Other HPs'!AZ20,0)</f>
        <v>0</v>
      </c>
      <c r="J304" s="1193">
        <f t="shared" si="44"/>
        <v>0</v>
      </c>
      <c r="K304" s="1194">
        <f>IF(SETUP!$F$33="Upfront",$E$303*'HIV-Other HPs'!BA20,0)</f>
        <v>0</v>
      </c>
      <c r="L304" s="1194">
        <f>IF(SETUP!$F$33="Upfront",$E$303*'HIV-Other HPs'!BB20,0)</f>
        <v>0</v>
      </c>
      <c r="M304" s="1194">
        <f>IF(SETUP!$F$33="Upfront",$E$303*'HIV-Other HPs'!BC20,0)</f>
        <v>0</v>
      </c>
      <c r="N304" s="1194">
        <f>IF(SETUP!$F$33="Upfront",$E$303*'HIV-Other HPs'!BD20,0)</f>
        <v>0</v>
      </c>
      <c r="O304" s="1191">
        <f t="shared" si="45"/>
        <v>0</v>
      </c>
      <c r="P304" s="1189">
        <f>IF(SETUP!$F$33="Upfront",$E$303*'HIV-Other HPs'!BE20,0)</f>
        <v>0</v>
      </c>
      <c r="Q304" s="1189">
        <f>IF(SETUP!$F$33="Upfront",$E$303*'HIV-Other HPs'!BF20,0)</f>
        <v>0</v>
      </c>
      <c r="R304" s="1189">
        <f>IF(SETUP!$F$33="Upfront",$E$303*'HIV-Other HPs'!BG20,0)</f>
        <v>0</v>
      </c>
      <c r="S304" s="1189">
        <f>IF(SETUP!$F$33="Upfront",$E$303*'HIV-Other HPs'!BH20,0)</f>
        <v>0</v>
      </c>
      <c r="T304" s="1208">
        <f t="shared" si="46"/>
        <v>0</v>
      </c>
      <c r="U304" s="1189">
        <f t="shared" si="47"/>
        <v>0</v>
      </c>
      <c r="V304" s="1795">
        <v>7.6</v>
      </c>
      <c r="W304" s="1823"/>
      <c r="X304" s="1820"/>
    </row>
    <row r="305" spans="1:24" s="860" customFormat="1" ht="15" hidden="1" customHeight="1" outlineLevel="1">
      <c r="A305" s="2901"/>
      <c r="B305" s="2902"/>
      <c r="C305" s="2889" t="s">
        <v>36</v>
      </c>
      <c r="D305" s="2890"/>
      <c r="E305" s="1880"/>
      <c r="F305" s="1279">
        <v>0</v>
      </c>
      <c r="G305" s="1195">
        <f>IF(SETUP!$F$33="At delivery",IF(SETUP!$G$33=1,$E$303*'HIV-Other HPs'!AW20,0),0)</f>
        <v>0</v>
      </c>
      <c r="H305" s="1194">
        <f>IF(SETUP!$F$33="At delivery",IF(SETUP!$G$33=2,$E$303*'HIV-Other HPs'!AW20,IF(SETUP!$G$33=1,$E$303*'HIV-Other HPs'!AX20,0)),0)</f>
        <v>0</v>
      </c>
      <c r="I305" s="1194">
        <f>IF(SETUP!$F$33="At delivery",IF(SETUP!$G$33=3,$E$303*'HIV-Other HPs'!AW20,IF(SETUP!$G$33=2,$E$303*'HIV-Other HPs'!AX20,IF(SETUP!$G$33=1,$E$303*'HIV-Other HPs'!AY20,0))),0)</f>
        <v>0</v>
      </c>
      <c r="J305" s="1193">
        <f t="shared" si="44"/>
        <v>0</v>
      </c>
      <c r="K305" s="1194">
        <f>IF(SETUP!$F$33="At delivery",IF(SETUP!$G$33=4,$E$303*'HIV-Other HPs'!AW20,IF(SETUP!$G$33=3,$E$303*'HIV-Other HPs'!AX20,IF(SETUP!$G$33=2,$E$303*'HIV-Other HPs'!AY20,IF(SETUP!$G$33=1,$E$303*'HIV-Other HPs'!AZ20,0)))),0)</f>
        <v>0</v>
      </c>
      <c r="L305" s="1194">
        <f>IF(SETUP!$F$33="At delivery",IF(SETUP!$G$33=4,$E$303*'HIV-Other HPs'!AX20,IF(SETUP!$G$33=3,$E$303*'HIV-Other HPs'!AY20,IF(SETUP!$G$33=2,$E$303*'HIV-Other HPs'!AZ20,IF(SETUP!$G$33=1,$E$303*'HIV-Other HPs'!BA20,0)))),0)</f>
        <v>0</v>
      </c>
      <c r="M305" s="1194">
        <f>IF(SETUP!$F$33="At delivery",IF(SETUP!$G$33=4,$E$303*'HIV-Other HPs'!AY20,IF(SETUP!$G$33=3,$E$303*'HIV-Other HPs'!AZ20,IF(SETUP!$G$33=2,$E$303*'HIV-Other HPs'!BA20,IF(SETUP!$G$33=1,$E$303*'HIV-Other HPs'!BB20,0)))),0)</f>
        <v>0</v>
      </c>
      <c r="N305" s="1194">
        <f>IF(SETUP!$F$33="At delivery",IF(SETUP!$G$33=4,$E$303*'HIV-Other HPs'!AZ20,IF(SETUP!$G$33=3,$E$303*'HIV-Other HPs'!BA20,IF(SETUP!$G$33=2,$E$303*'HIV-Other HPs'!BB20,IF(SETUP!$G$33=1,$E$303*'HIV-Other HPs'!BC20,0)))),0)</f>
        <v>0</v>
      </c>
      <c r="O305" s="1191">
        <f t="shared" si="45"/>
        <v>0</v>
      </c>
      <c r="P305" s="1189">
        <f>IF(SETUP!$F$33="At delivery",IF(SETUP!$G$33=4,$E$303*'HIV-Other HPs'!BA20,IF(SETUP!$G$33=3,$E$303*'HIV-Other HPs'!BB20,IF(SETUP!$G$33=2,$E$303*'HIV-Other HPs'!BC20,IF(SETUP!$G$33=1,$E$303*'HIV-Other HPs'!BD20,0)))),0)</f>
        <v>0</v>
      </c>
      <c r="Q305" s="1189">
        <f>IF(SETUP!$F$33="At delivery",IF(SETUP!$G$33=4,$E$303*'HIV-Other HPs'!BB20,IF(SETUP!$G$33=3,$E$303*'HIV-Other HPs'!BC20,IF(SETUP!$G$33=2,$E$303*'HIV-Other HPs'!BD20,IF(SETUP!$G$33=1,$E$303*'HIV-Other HPs'!BE20,0)))),0)</f>
        <v>0</v>
      </c>
      <c r="R305" s="1189">
        <f>IF(SETUP!$F$33="At delivery",IF(SETUP!$G$33=4,$E$303*'HIV-Other HPs'!BC20,IF(SETUP!$G$33=3,$E$303*'HIV-Other HPs'!BD20,IF(SETUP!$G$33=2,$E$303*'HIV-Other HPs'!BE20,IF(SETUP!$G$33=1,$E$303*'HIV-Other HPs'!BF20,0)))),0)</f>
        <v>0</v>
      </c>
      <c r="S305" s="1189">
        <f>IF(SETUP!$F$33="At delivery",IF(SETUP!$G$33=4,$E$303*('HIV-Other HPs'!BD20+'HIV-Other HPs'!BE20+'HIV-Other HPs'!BF20+'HIV-Other HPs'!BG20+'HIV-Other HPs'!BH20),IF(SETUP!$G$33=3,$E$303*('HIV-Other HPs'!BE20+'HIV-Other HPs'!BF20+'HIV-Other HPs'!BG20+'HIV-Other HPs'!BH20),IF(SETUP!$G$33=2,$E$303*('HIV-Other HPs'!BF20+'HIV-Other HPs'!BG20+'HIV-Other HPs'!BH20),IF(SETUP!$G$33=1,$E$303*('HIV-Other HPs'!BG20+'HIV-Other HPs'!BH20),0)))),0)</f>
        <v>0</v>
      </c>
      <c r="T305" s="1208">
        <f t="shared" si="46"/>
        <v>0</v>
      </c>
      <c r="U305" s="1189">
        <f t="shared" si="47"/>
        <v>0</v>
      </c>
      <c r="V305" s="1795">
        <v>7.6</v>
      </c>
      <c r="W305" s="1823"/>
      <c r="X305" s="1820"/>
    </row>
    <row r="306" spans="1:24" s="860" customFormat="1" ht="15" hidden="1" customHeight="1" collapsed="1">
      <c r="A306" s="2903" t="s">
        <v>569</v>
      </c>
      <c r="B306" s="2904"/>
      <c r="C306" s="2907" t="s">
        <v>570</v>
      </c>
      <c r="D306" s="2908"/>
      <c r="E306" s="1880">
        <v>0</v>
      </c>
      <c r="F306" s="1279">
        <f>IF(SETUP!$F$36="Upfront",F307,F308)</f>
        <v>0</v>
      </c>
      <c r="G306" s="1195">
        <f>IF(SETUP!$F$36="Upfront",G307,G308)</f>
        <v>0</v>
      </c>
      <c r="H306" s="1194">
        <f>IF(SETUP!$F$36="Upfront",H307,H308)</f>
        <v>0</v>
      </c>
      <c r="I306" s="1194">
        <f>IF(SETUP!$F$36="Upfront",I307,I308)</f>
        <v>0</v>
      </c>
      <c r="J306" s="1193">
        <f t="shared" si="44"/>
        <v>0</v>
      </c>
      <c r="K306" s="1194">
        <f>IF(SETUP!$F$36="Upfront",K307,K308)</f>
        <v>0</v>
      </c>
      <c r="L306" s="1194">
        <f>IF(SETUP!$F$36="Upfront",L307,L308)</f>
        <v>0</v>
      </c>
      <c r="M306" s="1194">
        <f>IF(SETUP!$F$36="Upfront",M307,M308)</f>
        <v>0</v>
      </c>
      <c r="N306" s="1194">
        <f>IF(SETUP!$F$36="Upfront",N307,N308)</f>
        <v>0</v>
      </c>
      <c r="O306" s="1191">
        <f t="shared" si="45"/>
        <v>0</v>
      </c>
      <c r="P306" s="1189">
        <f>IF(SETUP!$F$36="Upfront",P307,P308)</f>
        <v>0</v>
      </c>
      <c r="Q306" s="1189">
        <f>IF(SETUP!$F$36="Upfront",Q307,Q308)</f>
        <v>0</v>
      </c>
      <c r="R306" s="1189">
        <f>IF(SETUP!$F$36="Upfront",R307,R308)</f>
        <v>0</v>
      </c>
      <c r="S306" s="1189">
        <f>IF(SETUP!$F$36="Upfront",S307,S308)</f>
        <v>0</v>
      </c>
      <c r="T306" s="1208">
        <f t="shared" si="46"/>
        <v>0</v>
      </c>
      <c r="U306" s="1189">
        <f t="shared" si="47"/>
        <v>0</v>
      </c>
      <c r="V306" s="1795">
        <v>7.6</v>
      </c>
      <c r="W306" s="1823"/>
      <c r="X306" s="1820"/>
    </row>
    <row r="307" spans="1:24" s="860" customFormat="1" ht="15" hidden="1" customHeight="1" outlineLevel="1">
      <c r="A307" s="2905"/>
      <c r="B307" s="2906"/>
      <c r="C307" s="2889" t="s">
        <v>918</v>
      </c>
      <c r="D307" s="2890"/>
      <c r="E307" s="1880"/>
      <c r="F307" s="1279">
        <f>IF(SETUP!$F$36="Upfront",$E$306*'TB-Pharmaceuticals'!AW14,0)</f>
        <v>0</v>
      </c>
      <c r="G307" s="1189">
        <f>IF(SETUP!$F$36="Upfront",$E$306*'TB-Pharmaceuticals'!AX14,0)</f>
        <v>0</v>
      </c>
      <c r="H307" s="1189">
        <f>IF(SETUP!$F$36="Upfront",$E$306*'TB-Pharmaceuticals'!AY14,0)</f>
        <v>0</v>
      </c>
      <c r="I307" s="1189">
        <f>IF(SETUP!$F$36="Upfront",$E$306*'TB-Pharmaceuticals'!AZ14,0)</f>
        <v>0</v>
      </c>
      <c r="J307" s="1193">
        <f t="shared" si="44"/>
        <v>0</v>
      </c>
      <c r="K307" s="1189">
        <f>IF(SETUP!$F$36="Upfront",$E$306*'TB-Pharmaceuticals'!BA14,0)</f>
        <v>0</v>
      </c>
      <c r="L307" s="1189">
        <f>IF(SETUP!$F$36="Upfront",$E$306*'TB-Pharmaceuticals'!BB14,0)</f>
        <v>0</v>
      </c>
      <c r="M307" s="1189">
        <f>IF(SETUP!$F$36="Upfront",$E$306*'TB-Pharmaceuticals'!BC14,0)</f>
        <v>0</v>
      </c>
      <c r="N307" s="1189">
        <f>IF(SETUP!$F$36="Upfront",$E$306*'TB-Pharmaceuticals'!BD14,0)</f>
        <v>0</v>
      </c>
      <c r="O307" s="1191">
        <f t="shared" si="45"/>
        <v>0</v>
      </c>
      <c r="P307" s="1189">
        <f>IF(SETUP!$F$36="Upfront",$E$306*'TB-Pharmaceuticals'!BE14,0)</f>
        <v>0</v>
      </c>
      <c r="Q307" s="1189">
        <f>IF(SETUP!$F$36="Upfront",$E$306*'TB-Pharmaceuticals'!BF14,0)</f>
        <v>0</v>
      </c>
      <c r="R307" s="1189">
        <f>IF(SETUP!$F$36="Upfront",$E$306*'TB-Pharmaceuticals'!BG14,0)</f>
        <v>0</v>
      </c>
      <c r="S307" s="1189">
        <f>IF(SETUP!$F$36="Upfront",$E$306*'TB-Pharmaceuticals'!BH14,0)</f>
        <v>0</v>
      </c>
      <c r="T307" s="1208">
        <f t="shared" si="46"/>
        <v>0</v>
      </c>
      <c r="U307" s="1189">
        <f t="shared" si="47"/>
        <v>0</v>
      </c>
      <c r="V307" s="1795">
        <v>7.6</v>
      </c>
      <c r="W307" s="1823"/>
      <c r="X307" s="1820"/>
    </row>
    <row r="308" spans="1:24" s="860" customFormat="1" ht="15" hidden="1" customHeight="1" outlineLevel="1">
      <c r="A308" s="2905"/>
      <c r="B308" s="2906"/>
      <c r="C308" s="2889" t="s">
        <v>36</v>
      </c>
      <c r="D308" s="2890"/>
      <c r="E308" s="1880"/>
      <c r="F308" s="1279">
        <v>0</v>
      </c>
      <c r="G308" s="1195">
        <f>IF(SETUP!$F$36="At delivery",IF(SETUP!$G$36=1,$E$306*'TB-Pharmaceuticals'!AW14,0),0)</f>
        <v>0</v>
      </c>
      <c r="H308" s="1194">
        <f>IF(SETUP!$F$36="At delivery",IF(SETUP!$G$36=2,$E$306*'TB-Pharmaceuticals'!AW14,IF(SETUP!$G$36=1,$E$306*'TB-Pharmaceuticals'!AX14,0)),0)</f>
        <v>0</v>
      </c>
      <c r="I308" s="1194">
        <f>IF(SETUP!$F$36="At delivery",IF(SETUP!$G$36=3,$E$306*'TB-Pharmaceuticals'!AW14,IF(SETUP!$G$36=2,$E$306*'TB-Pharmaceuticals'!AX14,IF(SETUP!$G$36=1,$E$306*'TB-Pharmaceuticals'!AY14,0))),0)</f>
        <v>0</v>
      </c>
      <c r="J308" s="1193">
        <f t="shared" si="44"/>
        <v>0</v>
      </c>
      <c r="K308" s="1194">
        <f>IF(SETUP!$F$36="At delivery",IF(SETUP!$G$36=4,$E$306*'TB-Pharmaceuticals'!AW14,IF(SETUP!$G$36=3,$E$306*'TB-Pharmaceuticals'!AX14,IF(SETUP!$G$36=2,$E$306*'TB-Pharmaceuticals'!AY14,IF(SETUP!$G$36=1,$E$306*'TB-Pharmaceuticals'!AZ14,0)))),0)</f>
        <v>0</v>
      </c>
      <c r="L308" s="1194">
        <f>IF(SETUP!$F$36="At delivery",IF(SETUP!$G$36=4,$E$306*'TB-Pharmaceuticals'!AX14,IF(SETUP!$G$36=3,$E$306*'TB-Pharmaceuticals'!AY14,IF(SETUP!$G$36=2,$E$306*'TB-Pharmaceuticals'!AZ14,IF(SETUP!$G$36=1,$E$306*'TB-Pharmaceuticals'!BA14,0)))),0)</f>
        <v>0</v>
      </c>
      <c r="M308" s="1194">
        <f>IF(SETUP!$F$36="At delivery",IF(SETUP!$G$36=4,$E$306*'TB-Pharmaceuticals'!AY14,IF(SETUP!$G$36=3,$E$306*'TB-Pharmaceuticals'!AZ14,IF(SETUP!$G$36=2,$E$306*'TB-Pharmaceuticals'!BA14,IF(SETUP!$G$36=1,$E$306*'TB-Pharmaceuticals'!BB14,0)))),0)</f>
        <v>0</v>
      </c>
      <c r="N308" s="1194">
        <f>IF(SETUP!$F$36="At delivery",IF(SETUP!$G$36=4,$E$306*'TB-Pharmaceuticals'!AZ14,IF(SETUP!$G$36=3,$E$306*'TB-Pharmaceuticals'!BA14,IF(SETUP!$G$36=2,$E$306*'TB-Pharmaceuticals'!BB14,IF(SETUP!$G$36=1,$E$306*'TB-Pharmaceuticals'!BC14,0)))),0)</f>
        <v>0</v>
      </c>
      <c r="O308" s="1191">
        <f t="shared" si="45"/>
        <v>0</v>
      </c>
      <c r="P308" s="1189">
        <f>IF(SETUP!$F$36="At delivery",IF(SETUP!$G$36=4,$E$306*'TB-Pharmaceuticals'!BA14,IF(SETUP!$G$36=3,$E$306*'TB-Pharmaceuticals'!BB14,IF(SETUP!$G$36=2,$E$306*'TB-Pharmaceuticals'!BC14,IF(SETUP!$G$36=1,$E$306*'TB-Pharmaceuticals'!BD14,0)))),0)</f>
        <v>0</v>
      </c>
      <c r="Q308" s="1189">
        <f>IF(SETUP!$F$36="At delivery",IF(SETUP!$G$36=4,$E$306*'TB-Pharmaceuticals'!BB14,IF(SETUP!$G$36=3,$E$306*'TB-Pharmaceuticals'!BC14,IF(SETUP!$G$36=2,$E$306*'TB-Pharmaceuticals'!BD14,IF(SETUP!$G$36=1,$E$306*'TB-Pharmaceuticals'!BE14,0)))),0)</f>
        <v>0</v>
      </c>
      <c r="R308" s="1189">
        <f>IF(SETUP!$F$36="At delivery",IF(SETUP!$G$36=4,$E$306*'TB-Pharmaceuticals'!BC14,IF(SETUP!$G$36=3,$E$306*'TB-Pharmaceuticals'!BD14,IF(SETUP!$G$36=2,$E$306*'TB-Pharmaceuticals'!BE14,IF(SETUP!$G$36=1,$E$306*'TB-Pharmaceuticals'!BF14,0)))),0)</f>
        <v>0</v>
      </c>
      <c r="S308" s="1189">
        <f>IF(SETUP!$F$36="At delivery",IF(SETUP!$G$36=4,$E$306*('TB-Pharmaceuticals'!BD14+'TB-Pharmaceuticals'!BE14+'TB-Pharmaceuticals'!BF14+'TB-Pharmaceuticals'!BG14+'TB-Pharmaceuticals'!BH14),IF(SETUP!$G$36=3,$E$306*('TB-Pharmaceuticals'!BE14+'TB-Pharmaceuticals'!BF14+'TB-Pharmaceuticals'!BG14+'TB-Pharmaceuticals'!BH14),IF(SETUP!$G$36=2,$E$306*('TB-Pharmaceuticals'!BF14+'TB-Pharmaceuticals'!BG14+'TB-Pharmaceuticals'!BH14),IF(SETUP!$G$36=1,$E$306*('TB-Pharmaceuticals'!BG14+'TB-Pharmaceuticals'!BH14),0)))),0)</f>
        <v>0</v>
      </c>
      <c r="T308" s="1208">
        <f t="shared" si="46"/>
        <v>0</v>
      </c>
      <c r="U308" s="1189">
        <f t="shared" si="47"/>
        <v>0</v>
      </c>
      <c r="V308" s="1795">
        <v>7.6</v>
      </c>
      <c r="W308" s="1823"/>
      <c r="X308" s="1820"/>
    </row>
    <row r="309" spans="1:24" s="860" customFormat="1" ht="15" hidden="1" customHeight="1" collapsed="1">
      <c r="A309" s="2905"/>
      <c r="B309" s="2906"/>
      <c r="C309" s="2907" t="s">
        <v>571</v>
      </c>
      <c r="D309" s="2908"/>
      <c r="E309" s="1880">
        <v>0</v>
      </c>
      <c r="F309" s="1279">
        <f>IF(SETUP!$F$38="Upfront",F310,F311)</f>
        <v>0</v>
      </c>
      <c r="G309" s="1195">
        <f>IF(SETUP!$F$38="Upfront",G310,G311)</f>
        <v>0</v>
      </c>
      <c r="H309" s="1194">
        <f>IF(SETUP!$F$38="Upfront",H310,H311)</f>
        <v>0</v>
      </c>
      <c r="I309" s="1194">
        <f>IF(SETUP!$F$38="Upfront",I310,I311)</f>
        <v>0</v>
      </c>
      <c r="J309" s="1193">
        <f t="shared" si="44"/>
        <v>0</v>
      </c>
      <c r="K309" s="1194">
        <f>IF(SETUP!$F$38="Upfront",K310,K311)</f>
        <v>0</v>
      </c>
      <c r="L309" s="1194">
        <f>IF(SETUP!$F$38="Upfront",L310,L311)</f>
        <v>0</v>
      </c>
      <c r="M309" s="1194">
        <f>IF(SETUP!$F$38="Upfront",M310,M311)</f>
        <v>0</v>
      </c>
      <c r="N309" s="1194">
        <f>IF(SETUP!$F$38="Upfront",N310,N311)</f>
        <v>0</v>
      </c>
      <c r="O309" s="1191">
        <f t="shared" si="45"/>
        <v>0</v>
      </c>
      <c r="P309" s="1189">
        <f>IF(SETUP!$F$38="Upfront",P310,P311)</f>
        <v>0</v>
      </c>
      <c r="Q309" s="1189">
        <f>IF(SETUP!$F$38="Upfront",Q310,Q311)</f>
        <v>0</v>
      </c>
      <c r="R309" s="1189">
        <f>IF(SETUP!$F$38="Upfront",R310,R311)</f>
        <v>0</v>
      </c>
      <c r="S309" s="1189">
        <f>IF(SETUP!$F$38="Upfront",S310,S311)</f>
        <v>0</v>
      </c>
      <c r="T309" s="1208">
        <f t="shared" si="46"/>
        <v>0</v>
      </c>
      <c r="U309" s="1189">
        <f t="shared" si="47"/>
        <v>0</v>
      </c>
      <c r="V309" s="1795">
        <v>7.6</v>
      </c>
      <c r="W309" s="1823"/>
      <c r="X309" s="1820"/>
    </row>
    <row r="310" spans="1:24" s="860" customFormat="1" ht="15" hidden="1" customHeight="1" outlineLevel="1">
      <c r="A310" s="2905"/>
      <c r="B310" s="2906"/>
      <c r="C310" s="2889" t="s">
        <v>918</v>
      </c>
      <c r="D310" s="2890"/>
      <c r="E310" s="1880"/>
      <c r="F310" s="1279">
        <f>IF(SETUP!$F$38="Upfront",$E$309*'TB-Pharmaceuticals'!AW15,0)</f>
        <v>0</v>
      </c>
      <c r="G310" s="1195">
        <f>IF(SETUP!$F$38="Upfront",$E$309*'TB-Pharmaceuticals'!AX15,0)</f>
        <v>0</v>
      </c>
      <c r="H310" s="1194">
        <f>IF(SETUP!$F$38="Upfront",$E$309*'TB-Pharmaceuticals'!AY15,0)</f>
        <v>0</v>
      </c>
      <c r="I310" s="1194">
        <f>IF(SETUP!$F$38="Upfront",$E$309*'TB-Pharmaceuticals'!AZ15,0)</f>
        <v>0</v>
      </c>
      <c r="J310" s="1193">
        <f t="shared" si="44"/>
        <v>0</v>
      </c>
      <c r="K310" s="1194">
        <f>IF(SETUP!$F$38="Upfront",$E$309*'TB-Pharmaceuticals'!BA15,0)</f>
        <v>0</v>
      </c>
      <c r="L310" s="1194">
        <f>IF(SETUP!$F$38="Upfront",$E$309*'TB-Pharmaceuticals'!BB15,0)</f>
        <v>0</v>
      </c>
      <c r="M310" s="1194">
        <f>IF(SETUP!$F$38="Upfront",$E$309*'TB-Pharmaceuticals'!BC15,0)</f>
        <v>0</v>
      </c>
      <c r="N310" s="1194">
        <f>IF(SETUP!$F$38="Upfront",$E$309*'TB-Pharmaceuticals'!BD15,0)</f>
        <v>0</v>
      </c>
      <c r="O310" s="1191">
        <f t="shared" si="45"/>
        <v>0</v>
      </c>
      <c r="P310" s="1189">
        <f>IF(SETUP!$F$38="Upfront",$E$309*'TB-Pharmaceuticals'!BE15,0)</f>
        <v>0</v>
      </c>
      <c r="Q310" s="1189">
        <f>IF(SETUP!$F$38="Upfront",$E$309*'TB-Pharmaceuticals'!BF15,0)</f>
        <v>0</v>
      </c>
      <c r="R310" s="1189">
        <f>IF(SETUP!$F$38="Upfront",$E$309*'TB-Pharmaceuticals'!BG15,0)</f>
        <v>0</v>
      </c>
      <c r="S310" s="1189">
        <f>IF(SETUP!$F$38="Upfront",$E$309*'TB-Pharmaceuticals'!BH15,0)</f>
        <v>0</v>
      </c>
      <c r="T310" s="1208">
        <f t="shared" si="46"/>
        <v>0</v>
      </c>
      <c r="U310" s="1189">
        <f t="shared" si="47"/>
        <v>0</v>
      </c>
      <c r="V310" s="1795">
        <v>7.6</v>
      </c>
      <c r="W310" s="1823"/>
      <c r="X310" s="1820"/>
    </row>
    <row r="311" spans="1:24" s="860" customFormat="1" ht="15" hidden="1" customHeight="1" outlineLevel="1">
      <c r="A311" s="2905"/>
      <c r="B311" s="2906"/>
      <c r="C311" s="2889" t="s">
        <v>36</v>
      </c>
      <c r="D311" s="2890"/>
      <c r="E311" s="1880"/>
      <c r="F311" s="1279">
        <v>0</v>
      </c>
      <c r="G311" s="1195">
        <f>IF(SETUP!$F$38="At delivery",IF(SETUP!$G$38=1,$E$309*'TB-Pharmaceuticals'!AW15,0),0)</f>
        <v>0</v>
      </c>
      <c r="H311" s="1194">
        <f>IF(SETUP!$F$38="At delivery",IF(SETUP!$G$38=2,$E$309*'TB-Pharmaceuticals'!AW15,IF(SETUP!$G$38=1,$E$309*'TB-Pharmaceuticals'!AX15,0)),0)</f>
        <v>0</v>
      </c>
      <c r="I311" s="1194">
        <f>IF(SETUP!$F$38="At delivery",IF(SETUP!$G$38=3,$E$309*'TB-Pharmaceuticals'!AW15,IF(SETUP!$G$38=2,$E$309*'TB-Pharmaceuticals'!AX15,IF(SETUP!$G$38=1,$E$309*'TB-Pharmaceuticals'!AY15,0))),0)</f>
        <v>0</v>
      </c>
      <c r="J311" s="1193">
        <f t="shared" si="44"/>
        <v>0</v>
      </c>
      <c r="K311" s="1194">
        <f>IF(SETUP!$F$38="At delivery",IF(SETUP!$G$38=4,$E$309*'TB-Pharmaceuticals'!AW15,IF(SETUP!$G$38=3,$E$309*'TB-Pharmaceuticals'!AX15,IF(SETUP!$G$38=2,$E$309*'TB-Pharmaceuticals'!AY15,IF(SETUP!$G$38=1,$E$309*'TB-Pharmaceuticals'!AZ15,0)))),0)</f>
        <v>0</v>
      </c>
      <c r="L311" s="1194">
        <f>IF(SETUP!$F$38="At delivery",IF(SETUP!$G$38=4,$E$309*'TB-Pharmaceuticals'!AX15,IF(SETUP!$G$38=3,$E$309*'TB-Pharmaceuticals'!AY15,IF(SETUP!$G$38=2,$E$309*'TB-Pharmaceuticals'!AZ15,IF(SETUP!$G$38=1,$E$309*'TB-Pharmaceuticals'!BA15,0)))),0)</f>
        <v>0</v>
      </c>
      <c r="M311" s="1194">
        <f>IF(SETUP!$F$38="At delivery",IF(SETUP!$G$38=4,$E$309*'TB-Pharmaceuticals'!AY15,IF(SETUP!$G$38=3,$E$309*'TB-Pharmaceuticals'!AZ15,IF(SETUP!$G$38=2,$E$309*'TB-Pharmaceuticals'!BA15,IF(SETUP!$G$38=1,$E$309*'TB-Pharmaceuticals'!BB15,0)))),0)</f>
        <v>0</v>
      </c>
      <c r="N311" s="1194">
        <f>IF(SETUP!$F$38="At delivery",IF(SETUP!$G$38=4,$E$309*'TB-Pharmaceuticals'!AZ15,IF(SETUP!$G$38=3,$E$309*'TB-Pharmaceuticals'!BA15,IF(SETUP!$G$38=2,$E$309*'TB-Pharmaceuticals'!BB15,IF(SETUP!$G$38=1,$E$309*'TB-Pharmaceuticals'!BC15,0)))),0)</f>
        <v>0</v>
      </c>
      <c r="O311" s="1191">
        <f t="shared" si="45"/>
        <v>0</v>
      </c>
      <c r="P311" s="1189">
        <f>IF(SETUP!$F$38="At delivery",IF(SETUP!$G$38=4,$E$309*'TB-Pharmaceuticals'!BA15,IF(SETUP!$G$38=3,$E$309*'TB-Pharmaceuticals'!BB15,IF(SETUP!$G$38=2,$E$309*'TB-Pharmaceuticals'!BC15,IF(SETUP!$G$38=1,$E$309*'TB-Pharmaceuticals'!BD15,0)))),0)</f>
        <v>0</v>
      </c>
      <c r="Q311" s="1189">
        <f>IF(SETUP!$F$38="At delivery",IF(SETUP!$G$38=4,$E$309*'TB-Pharmaceuticals'!BB15,IF(SETUP!$G$38=3,$E$309*'TB-Pharmaceuticals'!BC15,IF(SETUP!$G$38=2,$E$309*'TB-Pharmaceuticals'!BD15,IF(SETUP!$G$38=1,$E$309*'TB-Pharmaceuticals'!BE15,0)))),0)</f>
        <v>0</v>
      </c>
      <c r="R311" s="1189">
        <f>IF(SETUP!$F$38="At delivery",IF(SETUP!$G$38=4,$E$309*'TB-Pharmaceuticals'!BC15,IF(SETUP!$G$38=3,$E$309*'TB-Pharmaceuticals'!BD15,IF(SETUP!$G$38=2,$E$309*'TB-Pharmaceuticals'!BE15,IF(SETUP!$G$38=1,$E$309*'TB-Pharmaceuticals'!BF15,0)))),0)</f>
        <v>0</v>
      </c>
      <c r="S311" s="1189">
        <f>IF(SETUP!$F$38="At delivery",IF(SETUP!$G$38=4,$E$309*('TB-Pharmaceuticals'!BD15+'TB-Pharmaceuticals'!BE15+'TB-Pharmaceuticals'!BF15+'TB-Pharmaceuticals'!BG15+'TB-Pharmaceuticals'!BH15),IF(SETUP!$G$38=3,$E$309*('TB-Pharmaceuticals'!BE15+'TB-Pharmaceuticals'!BF15+'TB-Pharmaceuticals'!BG15+'TB-Pharmaceuticals'!BH15),IF(SETUP!$G$38=2,$E$309*('TB-Pharmaceuticals'!BF15+'TB-Pharmaceuticals'!BG15+'TB-Pharmaceuticals'!BH15),IF(SETUP!$G$38=1,$E$309*('TB-Pharmaceuticals'!BG15+'TB-Pharmaceuticals'!BH15),0)))),0)</f>
        <v>0</v>
      </c>
      <c r="T311" s="1208">
        <f t="shared" si="46"/>
        <v>0</v>
      </c>
      <c r="U311" s="1189">
        <f t="shared" si="47"/>
        <v>0</v>
      </c>
      <c r="V311" s="1795">
        <v>7.6</v>
      </c>
      <c r="W311" s="1823"/>
      <c r="X311" s="1820"/>
    </row>
    <row r="312" spans="1:24" s="860" customFormat="1" ht="15" hidden="1" customHeight="1" collapsed="1">
      <c r="A312" s="2905"/>
      <c r="B312" s="2906"/>
      <c r="C312" s="2907" t="s">
        <v>1792</v>
      </c>
      <c r="D312" s="2908"/>
      <c r="E312" s="1880">
        <v>0</v>
      </c>
      <c r="F312" s="1279">
        <f>IF(SETUP!$F$39="Upfront",F313,F314)</f>
        <v>0</v>
      </c>
      <c r="G312" s="1195">
        <f>IF(SETUP!$F$39="Upfront",G313,G314)</f>
        <v>0</v>
      </c>
      <c r="H312" s="1194">
        <f>IF(SETUP!$F$39="Upfront",H313,H314)</f>
        <v>0</v>
      </c>
      <c r="I312" s="1194">
        <f>IF(SETUP!$F$39="Upfront",I313,I314)</f>
        <v>0</v>
      </c>
      <c r="J312" s="1193">
        <f t="shared" si="44"/>
        <v>0</v>
      </c>
      <c r="K312" s="1194">
        <f>IF(SETUP!$F$39="Upfront",K313,K314)</f>
        <v>0</v>
      </c>
      <c r="L312" s="1194">
        <f>IF(SETUP!$F$39="Upfront",L313,L314)</f>
        <v>0</v>
      </c>
      <c r="M312" s="1194">
        <f>IF(SETUP!$F$39="Upfront",M313,M314)</f>
        <v>0</v>
      </c>
      <c r="N312" s="1194">
        <f>IF(SETUP!$F$39="Upfront",N313,N314)</f>
        <v>0</v>
      </c>
      <c r="O312" s="1191">
        <f t="shared" si="45"/>
        <v>0</v>
      </c>
      <c r="P312" s="1189">
        <f>IF(SETUP!$F$39="Upfront",P313,P314)</f>
        <v>0</v>
      </c>
      <c r="Q312" s="1189">
        <f>IF(SETUP!$F$39="Upfront",Q313,Q314)</f>
        <v>0</v>
      </c>
      <c r="R312" s="1189">
        <f>IF(SETUP!$F$39="Upfront",R313,R314)</f>
        <v>0</v>
      </c>
      <c r="S312" s="1189">
        <f>IF(SETUP!$F$39="Upfront",S313,S314)</f>
        <v>0</v>
      </c>
      <c r="T312" s="1208">
        <f t="shared" si="46"/>
        <v>0</v>
      </c>
      <c r="U312" s="1189">
        <f t="shared" si="47"/>
        <v>0</v>
      </c>
      <c r="V312" s="1795">
        <v>7.6</v>
      </c>
      <c r="W312" s="1823"/>
      <c r="X312" s="1820"/>
    </row>
    <row r="313" spans="1:24" s="860" customFormat="1" ht="15" hidden="1" customHeight="1" outlineLevel="1">
      <c r="A313" s="2905"/>
      <c r="B313" s="2906"/>
      <c r="C313" s="2889" t="s">
        <v>918</v>
      </c>
      <c r="D313" s="2890"/>
      <c r="E313" s="1880"/>
      <c r="F313" s="1279">
        <f>IF(SETUP!$F$39="Upfront",$E$312*'TB-Pharmaceuticals'!AW16,0)</f>
        <v>0</v>
      </c>
      <c r="G313" s="1195">
        <f>IF(SETUP!$F$39="Upfront",$E$312*'TB-Pharmaceuticals'!AX16,0)</f>
        <v>0</v>
      </c>
      <c r="H313" s="1194">
        <f>IF(SETUP!$F$39="Upfront",$E$312*'TB-Pharmaceuticals'!AY16,0)</f>
        <v>0</v>
      </c>
      <c r="I313" s="1194">
        <f>IF(SETUP!$F$39="Upfront",$E$312*'TB-Pharmaceuticals'!AZ16,0)</f>
        <v>0</v>
      </c>
      <c r="J313" s="1193">
        <f t="shared" si="44"/>
        <v>0</v>
      </c>
      <c r="K313" s="1194">
        <f>IF(SETUP!$F$39="Upfront",$E$312*'TB-Pharmaceuticals'!BA16,0)</f>
        <v>0</v>
      </c>
      <c r="L313" s="1194">
        <f>IF(SETUP!$F$39="Upfront",$E$312*'TB-Pharmaceuticals'!BB16,0)</f>
        <v>0</v>
      </c>
      <c r="M313" s="1194">
        <f>IF(SETUP!$F$39="Upfront",$E$312*'TB-Pharmaceuticals'!BC16,0)</f>
        <v>0</v>
      </c>
      <c r="N313" s="1194">
        <f>IF(SETUP!$F$39="Upfront",$E$312*'TB-Pharmaceuticals'!BD16,0)</f>
        <v>0</v>
      </c>
      <c r="O313" s="1191">
        <f t="shared" si="45"/>
        <v>0</v>
      </c>
      <c r="P313" s="1189">
        <f>IF(SETUP!$F$39="Upfront",$E$312*'TB-Pharmaceuticals'!BE16,0)</f>
        <v>0</v>
      </c>
      <c r="Q313" s="1189">
        <f>IF(SETUP!$F$39="Upfront",$E$312*'TB-Pharmaceuticals'!BF16,0)</f>
        <v>0</v>
      </c>
      <c r="R313" s="1189">
        <f>IF(SETUP!$F$39="Upfront",$E$312*'TB-Pharmaceuticals'!BG16,0)</f>
        <v>0</v>
      </c>
      <c r="S313" s="1189">
        <f>IF(SETUP!$F$39="Upfront",$E$312*'TB-Pharmaceuticals'!BH16,0)</f>
        <v>0</v>
      </c>
      <c r="T313" s="1208">
        <f t="shared" si="46"/>
        <v>0</v>
      </c>
      <c r="U313" s="1189">
        <f t="shared" si="47"/>
        <v>0</v>
      </c>
      <c r="V313" s="1795">
        <v>7.6</v>
      </c>
      <c r="W313" s="1823"/>
      <c r="X313" s="1820"/>
    </row>
    <row r="314" spans="1:24" s="860" customFormat="1" ht="15" hidden="1" customHeight="1" outlineLevel="1">
      <c r="A314" s="2905"/>
      <c r="B314" s="2906"/>
      <c r="C314" s="2889" t="s">
        <v>36</v>
      </c>
      <c r="D314" s="2890"/>
      <c r="E314" s="1880"/>
      <c r="F314" s="1279">
        <v>0</v>
      </c>
      <c r="G314" s="1195">
        <f>IF(SETUP!$F$39="At delivery",IF(SETUP!$G$39=1,$E$312*'TB-Pharmaceuticals'!AW16,0),0)</f>
        <v>0</v>
      </c>
      <c r="H314" s="1194">
        <f>IF(SETUP!$F$39="At delivery",IF(SETUP!$G$39=2,$E$312*'TB-Pharmaceuticals'!AW16,IF(SETUP!$G$39=1,$E$312*'TB-Pharmaceuticals'!AX16,0)),0)</f>
        <v>0</v>
      </c>
      <c r="I314" s="1194">
        <f>IF(SETUP!$F$39="At delivery",IF(SETUP!$G$39=3,$E$312*'TB-Pharmaceuticals'!AW16,IF(SETUP!$G$39=2,$E$312*'TB-Pharmaceuticals'!AX16,IF(SETUP!$G$39=1,$E$312*'TB-Pharmaceuticals'!AY16,0))),0)</f>
        <v>0</v>
      </c>
      <c r="J314" s="1193">
        <f t="shared" si="44"/>
        <v>0</v>
      </c>
      <c r="K314" s="1194">
        <f>IF(SETUP!$F$39="At delivery",IF(SETUP!$G$39=4,$E$312*'TB-Pharmaceuticals'!AW16,IF(SETUP!$G$39=3,$E$312*'TB-Pharmaceuticals'!AX16,IF(SETUP!$G$39=2,$E$312*'TB-Pharmaceuticals'!AY16,IF(SETUP!$G$39=1,$E$312*'TB-Pharmaceuticals'!AZ16,0)))),0)</f>
        <v>0</v>
      </c>
      <c r="L314" s="1194">
        <f>IF(SETUP!$F$39="At delivery",IF(SETUP!$G$39=4,$E$312*'TB-Pharmaceuticals'!AX16,IF(SETUP!$G$39=3,$E$312*'TB-Pharmaceuticals'!AY16,IF(SETUP!$G$39=2,$E$312*'TB-Pharmaceuticals'!AZ16,IF(SETUP!$G$39=1,$E$312*'TB-Pharmaceuticals'!BA16,0)))),0)</f>
        <v>0</v>
      </c>
      <c r="M314" s="1194">
        <f>IF(SETUP!$F$39="At delivery",IF(SETUP!$G$39=4,$E$312*'TB-Pharmaceuticals'!AY16,IF(SETUP!$G$39=3,$E$312*'TB-Pharmaceuticals'!AZ16,IF(SETUP!$G$39=2,$E$312*'TB-Pharmaceuticals'!BA16,IF(SETUP!$G$39=1,$E$312*'TB-Pharmaceuticals'!BB16,0)))),0)</f>
        <v>0</v>
      </c>
      <c r="N314" s="1194">
        <f>IF(SETUP!$F$39="At delivery",IF(SETUP!$G$39=4,$E$312*'TB-Pharmaceuticals'!AZ16,IF(SETUP!$G$39=3,$E$312*'TB-Pharmaceuticals'!BA16,IF(SETUP!$G$39=2,$E$312*'TB-Pharmaceuticals'!BB16,IF(SETUP!$G$39=1,$E$312*'TB-Pharmaceuticals'!BC16,0)))),0)</f>
        <v>0</v>
      </c>
      <c r="O314" s="1191">
        <f t="shared" si="45"/>
        <v>0</v>
      </c>
      <c r="P314" s="1189">
        <f>IF(SETUP!$F$39="At delivery",IF(SETUP!$G$39=4,$E$312*'TB-Pharmaceuticals'!BA16,IF(SETUP!$G$39=3,$E$312*'TB-Pharmaceuticals'!BB16,IF(SETUP!$G$39=2,$E$312*'TB-Pharmaceuticals'!BC16,IF(SETUP!$G$39=1,$E$312*'TB-Pharmaceuticals'!BD16,0)))),0)</f>
        <v>0</v>
      </c>
      <c r="Q314" s="1189">
        <f>IF(SETUP!$F$39="At delivery",IF(SETUP!$G$39=4,$E$312*'TB-Pharmaceuticals'!BB16,IF(SETUP!$G$39=3,$E$312*'TB-Pharmaceuticals'!BC16,IF(SETUP!$G$39=2,$E$312*'TB-Pharmaceuticals'!BD16,IF(SETUP!$G$39=1,$E$312*'TB-Pharmaceuticals'!BE16,0)))),0)</f>
        <v>0</v>
      </c>
      <c r="R314" s="1189">
        <f>IF(SETUP!$F$39="At delivery",IF(SETUP!$G$39=4,$E$312*'TB-Pharmaceuticals'!BC16,IF(SETUP!$G$39=3,$E$312*'TB-Pharmaceuticals'!BD16,IF(SETUP!$G$39=2,$E$312*'TB-Pharmaceuticals'!BE16,IF(SETUP!$G$39=1,$E$312*'TB-Pharmaceuticals'!BF16,0)))),0)</f>
        <v>0</v>
      </c>
      <c r="S314" s="1189">
        <f>IF(SETUP!$F$39="At delivery",IF(SETUP!$G$39=4,$E$312*('TB-Pharmaceuticals'!BD16+'TB-Pharmaceuticals'!BE16+'TB-Pharmaceuticals'!BF16+'TB-Pharmaceuticals'!BG16+'TB-Pharmaceuticals'!BH16),IF(SETUP!$G$39=3,$E$312*('TB-Pharmaceuticals'!BE16+'TB-Pharmaceuticals'!BF16+'TB-Pharmaceuticals'!BG16+'TB-Pharmaceuticals'!BH16),IF(SETUP!$G$39=2,$E$312*('TB-Pharmaceuticals'!BF16+'TB-Pharmaceuticals'!BG16+'TB-Pharmaceuticals'!BH16),IF(SETUP!$G$39=1,$E$312*('TB-Pharmaceuticals'!BG16+'TB-Pharmaceuticals'!BH16),0)))),0)</f>
        <v>0</v>
      </c>
      <c r="T314" s="1208">
        <f t="shared" si="46"/>
        <v>0</v>
      </c>
      <c r="U314" s="1189">
        <f t="shared" si="47"/>
        <v>0</v>
      </c>
      <c r="V314" s="1795">
        <v>7.6</v>
      </c>
      <c r="W314" s="1823"/>
      <c r="X314" s="1820"/>
    </row>
    <row r="315" spans="1:24" s="860" customFormat="1" ht="15" hidden="1" customHeight="1" collapsed="1">
      <c r="A315" s="2905" t="s">
        <v>572</v>
      </c>
      <c r="B315" s="2906"/>
      <c r="C315" s="2907" t="s">
        <v>311</v>
      </c>
      <c r="D315" s="2908"/>
      <c r="E315" s="1880">
        <v>0</v>
      </c>
      <c r="F315" s="1279">
        <f>IF(SETUP!$F$40="Upfront",F316,F317)</f>
        <v>0</v>
      </c>
      <c r="G315" s="1195">
        <f>IF(SETUP!$F$40="Upfront",G316,G317)</f>
        <v>0</v>
      </c>
      <c r="H315" s="1194">
        <f>IF(SETUP!$F$40="Upfront",H316,H317)</f>
        <v>0</v>
      </c>
      <c r="I315" s="1194">
        <f>IF(SETUP!$F$40="Upfront",I316,I317)</f>
        <v>0</v>
      </c>
      <c r="J315" s="1193">
        <f t="shared" si="44"/>
        <v>0</v>
      </c>
      <c r="K315" s="1194">
        <f>IF(SETUP!$F$40="Upfront",K316,K317)</f>
        <v>0</v>
      </c>
      <c r="L315" s="1194">
        <f>IF(SETUP!$F$40="Upfront",L316,L317)</f>
        <v>0</v>
      </c>
      <c r="M315" s="1194">
        <f>IF(SETUP!$F$40="Upfront",M316,M317)</f>
        <v>0</v>
      </c>
      <c r="N315" s="1194">
        <f>IF(SETUP!$F$40="Upfront",N316,N317)</f>
        <v>0</v>
      </c>
      <c r="O315" s="1191">
        <f t="shared" si="45"/>
        <v>0</v>
      </c>
      <c r="P315" s="1189">
        <f>IF(SETUP!$F$40="Upfront",P316,P317)</f>
        <v>0</v>
      </c>
      <c r="Q315" s="1189">
        <f>IF(SETUP!$F$40="Upfront",Q316,Q317)</f>
        <v>0</v>
      </c>
      <c r="R315" s="1189">
        <f>IF(SETUP!$F$40="Upfront",R316,R317)</f>
        <v>0</v>
      </c>
      <c r="S315" s="1189">
        <f>IF(SETUP!$F$40="Upfront",S316,S317)</f>
        <v>0</v>
      </c>
      <c r="T315" s="1208">
        <f t="shared" si="46"/>
        <v>0</v>
      </c>
      <c r="U315" s="1189">
        <f t="shared" si="47"/>
        <v>0</v>
      </c>
      <c r="V315" s="1795">
        <v>7.6</v>
      </c>
      <c r="W315" s="1823"/>
      <c r="X315" s="1820"/>
    </row>
    <row r="316" spans="1:24" s="860" customFormat="1" ht="15" hidden="1" customHeight="1" outlineLevel="1">
      <c r="A316" s="2905"/>
      <c r="B316" s="2906"/>
      <c r="C316" s="2889" t="s">
        <v>918</v>
      </c>
      <c r="D316" s="2890"/>
      <c r="E316" s="1880"/>
      <c r="F316" s="1279">
        <f>IF(SETUP!$F$40="Upfront",$E$315*'TB-EQUIPMENT &amp; OTHER HPs'!AW14,0)</f>
        <v>0</v>
      </c>
      <c r="G316" s="1195">
        <f>IF(SETUP!$F$40="Upfront",$E$315*'TB-EQUIPMENT &amp; OTHER HPs'!AX14,0)</f>
        <v>0</v>
      </c>
      <c r="H316" s="1194">
        <f>IF(SETUP!$F$40="Upfront",$E$315*'TB-EQUIPMENT &amp; OTHER HPs'!AY14,0)</f>
        <v>0</v>
      </c>
      <c r="I316" s="1194">
        <f>IF(SETUP!$F$40="Upfront",$E$315*'TB-EQUIPMENT &amp; OTHER HPs'!AZ14,0)</f>
        <v>0</v>
      </c>
      <c r="J316" s="1193">
        <f t="shared" si="44"/>
        <v>0</v>
      </c>
      <c r="K316" s="1194">
        <f>IF(SETUP!$F$40="Upfront",$E$315*'TB-EQUIPMENT &amp; OTHER HPs'!BA14,0)</f>
        <v>0</v>
      </c>
      <c r="L316" s="1194">
        <f>IF(SETUP!$F$40="Upfront",$E$315*'TB-EQUIPMENT &amp; OTHER HPs'!BB14,0)</f>
        <v>0</v>
      </c>
      <c r="M316" s="1194">
        <f>IF(SETUP!$F$40="Upfront",$E$315*'TB-EQUIPMENT &amp; OTHER HPs'!BC14,0)</f>
        <v>0</v>
      </c>
      <c r="N316" s="1194">
        <f>IF(SETUP!$F$40="Upfront",$E$315*'TB-EQUIPMENT &amp; OTHER HPs'!BD14,0)</f>
        <v>0</v>
      </c>
      <c r="O316" s="1191">
        <f t="shared" si="45"/>
        <v>0</v>
      </c>
      <c r="P316" s="1189">
        <f>IF(SETUP!$F$40="Upfront",$E$315*'TB-EQUIPMENT &amp; OTHER HPs'!BE14,0)</f>
        <v>0</v>
      </c>
      <c r="Q316" s="1189">
        <f>IF(SETUP!$F$40="Upfront",$E$315*'TB-EQUIPMENT &amp; OTHER HPs'!BF14,0)</f>
        <v>0</v>
      </c>
      <c r="R316" s="1189">
        <f>IF(SETUP!$F$40="Upfront",$E$315*'TB-EQUIPMENT &amp; OTHER HPs'!BG14,0)</f>
        <v>0</v>
      </c>
      <c r="S316" s="1189">
        <f>IF(SETUP!$F$40="Upfront",$E$315*'TB-EQUIPMENT &amp; OTHER HPs'!BH14,0)</f>
        <v>0</v>
      </c>
      <c r="T316" s="1208">
        <f t="shared" si="46"/>
        <v>0</v>
      </c>
      <c r="U316" s="1189">
        <f t="shared" si="47"/>
        <v>0</v>
      </c>
      <c r="V316" s="1795">
        <v>7.6</v>
      </c>
      <c r="W316" s="1823"/>
      <c r="X316" s="1820"/>
    </row>
    <row r="317" spans="1:24" s="860" customFormat="1" ht="15" hidden="1" customHeight="1" outlineLevel="1">
      <c r="A317" s="2905"/>
      <c r="B317" s="2906"/>
      <c r="C317" s="2889" t="s">
        <v>36</v>
      </c>
      <c r="D317" s="2890"/>
      <c r="E317" s="1880"/>
      <c r="F317" s="1279">
        <v>0</v>
      </c>
      <c r="G317" s="1195">
        <f>IF(SETUP!$F$40="At delivery",IF(SETUP!$G$40=1,$E$315*'TB-EQUIPMENT &amp; OTHER HPs'!AW14,0),0)</f>
        <v>0</v>
      </c>
      <c r="H317" s="1194">
        <f>IF(SETUP!$F$40="At delivery",IF(SETUP!$G$40=2,$E$315*'TB-EQUIPMENT &amp; OTHER HPs'!AW14,IF(SETUP!$G$40=1,$E$315*'TB-EQUIPMENT &amp; OTHER HPs'!AX14,0)),0)</f>
        <v>0</v>
      </c>
      <c r="I317" s="1194">
        <f>IF(SETUP!$F$40="At delivery",IF(SETUP!$G$40=3,$E$315*'TB-EQUIPMENT &amp; OTHER HPs'!AW14,IF(SETUP!$G$40=2,$E$315*'TB-EQUIPMENT &amp; OTHER HPs'!AX14,IF(SETUP!$G$40=1,$E$315*'TB-EQUIPMENT &amp; OTHER HPs'!AY14,0))),0)</f>
        <v>0</v>
      </c>
      <c r="J317" s="1193">
        <f t="shared" si="44"/>
        <v>0</v>
      </c>
      <c r="K317" s="1194">
        <f>IF(SETUP!$F$40="At delivery",IF(SETUP!$G$40=4,$E$315*'TB-EQUIPMENT &amp; OTHER HPs'!AW14,IF(SETUP!$G$40=3,$E$315*'TB-EQUIPMENT &amp; OTHER HPs'!AX14,IF(SETUP!$G$40=2,$E$315*'TB-EQUIPMENT &amp; OTHER HPs'!AY14,IF(SETUP!$G$40=1,$E$315*'TB-EQUIPMENT &amp; OTHER HPs'!AZ14,0)))),0)</f>
        <v>0</v>
      </c>
      <c r="L317" s="1194">
        <f>IF(SETUP!$F$40="At delivery",IF(SETUP!$G$40=4,$E$315*'TB-EQUIPMENT &amp; OTHER HPs'!AX14,IF(SETUP!$G$40=3,$E$315*'TB-EQUIPMENT &amp; OTHER HPs'!AY14,IF(SETUP!$G$40=2,$E$315*'TB-EQUIPMENT &amp; OTHER HPs'!AZ14,IF(SETUP!$G$40=1,$E$315*'TB-EQUIPMENT &amp; OTHER HPs'!BA14,0)))),0)</f>
        <v>0</v>
      </c>
      <c r="M317" s="1194">
        <f>IF(SETUP!$F$40="At delivery",IF(SETUP!$G$40=4,$E$315*'TB-EQUIPMENT &amp; OTHER HPs'!AY14,IF(SETUP!$G$40=3,$E$315*'TB-EQUIPMENT &amp; OTHER HPs'!AZ14,IF(SETUP!$G$40=2,$E$315*'TB-EQUIPMENT &amp; OTHER HPs'!BA14,IF(SETUP!$G$40=1,$E$315*'TB-EQUIPMENT &amp; OTHER HPs'!BB14,0)))),0)</f>
        <v>0</v>
      </c>
      <c r="N317" s="1194">
        <f>IF(SETUP!$F$40="At delivery",IF(SETUP!$G$40=4,$E$315*'TB-EQUIPMENT &amp; OTHER HPs'!AZ14,IF(SETUP!$G$40=3,$E$315*'TB-EQUIPMENT &amp; OTHER HPs'!BA14,IF(SETUP!$G$40=2,$E$315*'TB-EQUIPMENT &amp; OTHER HPs'!BB14,IF(SETUP!$G$40=1,$E$315*'TB-EQUIPMENT &amp; OTHER HPs'!BC14,0)))),0)</f>
        <v>0</v>
      </c>
      <c r="O317" s="1191">
        <f t="shared" si="45"/>
        <v>0</v>
      </c>
      <c r="P317" s="1189">
        <f>IF(SETUP!$F$40="At delivery",IF(SETUP!$G$40=4,$E$315*'TB-EQUIPMENT &amp; OTHER HPs'!BA14,IF(SETUP!$G$40=3,$E$315*'TB-EQUIPMENT &amp; OTHER HPs'!BB14,IF(SETUP!$G$40=2,$E$315*'TB-EQUIPMENT &amp; OTHER HPs'!BC14,IF(SETUP!$G$40=1,$E$315*'TB-EQUIPMENT &amp; OTHER HPs'!BD14,0)))),0)</f>
        <v>0</v>
      </c>
      <c r="Q317" s="1189">
        <f>IF(SETUP!$F$40="At delivery",IF(SETUP!$G$40=4,$E$315*'TB-EQUIPMENT &amp; OTHER HPs'!BB14,IF(SETUP!$G$40=3,$E$315*'TB-EQUIPMENT &amp; OTHER HPs'!BC14,IF(SETUP!$G$40=2,$E$315*'TB-EQUIPMENT &amp; OTHER HPs'!BD14,IF(SETUP!$G$40=1,$E$315*'TB-EQUIPMENT &amp; OTHER HPs'!BE14,0)))),0)</f>
        <v>0</v>
      </c>
      <c r="R317" s="1189">
        <f>IF(SETUP!$F$40="At delivery",IF(SETUP!$G$40=4,$E$315*'TB-EQUIPMENT &amp; OTHER HPs'!BC14,IF(SETUP!$G$40=3,$E$315*'TB-EQUIPMENT &amp; OTHER HPs'!BD14,IF(SETUP!$G$40=2,$E$315*'TB-EQUIPMENT &amp; OTHER HPs'!BE14,IF(SETUP!$G$40=1,$E$315*'TB-EQUIPMENT &amp; OTHER HPs'!BF14,0)))),0)</f>
        <v>0</v>
      </c>
      <c r="S317" s="1189">
        <f>IF(SETUP!$F$40="At delivery",IF(SETUP!$G$40=4,$E$315*('TB-EQUIPMENT &amp; OTHER HPs'!BD14+'TB-EQUIPMENT &amp; OTHER HPs'!BE14+'TB-EQUIPMENT &amp; OTHER HPs'!BF14+'TB-EQUIPMENT &amp; OTHER HPs'!BG14+'TB-EQUIPMENT &amp; OTHER HPs'!BH14),IF(SETUP!$G$40=3,$E$315*('TB-EQUIPMENT &amp; OTHER HPs'!BE14+'TB-EQUIPMENT &amp; OTHER HPs'!BF14+'TB-EQUIPMENT &amp; OTHER HPs'!BG14+'TB-EQUIPMENT &amp; OTHER HPs'!BH14),IF(SETUP!$G$40=2,$E$315*('TB-EQUIPMENT &amp; OTHER HPs'!BF14+'TB-EQUIPMENT &amp; OTHER HPs'!BG14+'TB-EQUIPMENT &amp; OTHER HPs'!BH14),IF(SETUP!$G$40=1,$E$315*('TB-EQUIPMENT &amp; OTHER HPs'!BG14+'TB-EQUIPMENT &amp; OTHER HPs'!BH14),0)))),0)</f>
        <v>0</v>
      </c>
      <c r="T317" s="1208">
        <f t="shared" si="46"/>
        <v>0</v>
      </c>
      <c r="U317" s="1189">
        <f t="shared" si="47"/>
        <v>0</v>
      </c>
      <c r="V317" s="1795">
        <v>7.6</v>
      </c>
      <c r="W317" s="1823"/>
      <c r="X317" s="1820"/>
    </row>
    <row r="318" spans="1:24" s="860" customFormat="1" ht="15" hidden="1" customHeight="1" collapsed="1">
      <c r="A318" s="2905"/>
      <c r="B318" s="2906"/>
      <c r="C318" s="2907" t="s">
        <v>1748</v>
      </c>
      <c r="D318" s="2908"/>
      <c r="E318" s="1880">
        <v>0</v>
      </c>
      <c r="F318" s="1279">
        <f>IF(SETUP!$F$41="Upfront",F319,F320)</f>
        <v>0</v>
      </c>
      <c r="G318" s="1195">
        <f>IF(SETUP!$F$41="Upfront",G319,G320)</f>
        <v>0</v>
      </c>
      <c r="H318" s="1194">
        <f>IF(SETUP!$F$41="Upfront",H319,H320)</f>
        <v>0</v>
      </c>
      <c r="I318" s="1194">
        <f>IF(SETUP!$F$41="Upfront",I319,I320)</f>
        <v>0</v>
      </c>
      <c r="J318" s="1193">
        <f t="shared" si="44"/>
        <v>0</v>
      </c>
      <c r="K318" s="1194">
        <f>IF(SETUP!$F$41="Upfront",K319,K320)</f>
        <v>0</v>
      </c>
      <c r="L318" s="1194">
        <f>IF(SETUP!$F$41="Upfront",L319,L320)</f>
        <v>0</v>
      </c>
      <c r="M318" s="1194">
        <f>IF(SETUP!$F$41="Upfront",M319,M320)</f>
        <v>0</v>
      </c>
      <c r="N318" s="1194">
        <f>IF(SETUP!$F$41="Upfront",N319,N320)</f>
        <v>0</v>
      </c>
      <c r="O318" s="1191">
        <f t="shared" si="45"/>
        <v>0</v>
      </c>
      <c r="P318" s="1189">
        <f>IF(SETUP!$F$41="Upfront",P319,P320)</f>
        <v>0</v>
      </c>
      <c r="Q318" s="1189">
        <f>IF(SETUP!$F$41="Upfront",Q319,Q320)</f>
        <v>0</v>
      </c>
      <c r="R318" s="1189">
        <f>IF(SETUP!$F$41="Upfront",R319,R320)</f>
        <v>0</v>
      </c>
      <c r="S318" s="1189">
        <f>IF(SETUP!$F$41="Upfront",S319,S320)</f>
        <v>0</v>
      </c>
      <c r="T318" s="1208">
        <f t="shared" si="46"/>
        <v>0</v>
      </c>
      <c r="U318" s="1189">
        <f t="shared" si="47"/>
        <v>0</v>
      </c>
      <c r="V318" s="1795">
        <v>7.6</v>
      </c>
      <c r="W318" s="1823"/>
      <c r="X318" s="1820"/>
    </row>
    <row r="319" spans="1:24" s="860" customFormat="1" ht="15" hidden="1" customHeight="1" outlineLevel="1">
      <c r="A319" s="2905"/>
      <c r="B319" s="2906"/>
      <c r="C319" s="2889" t="s">
        <v>918</v>
      </c>
      <c r="D319" s="2890"/>
      <c r="E319" s="1880"/>
      <c r="F319" s="1279">
        <f>IF(SETUP!$F$40="Upfront",$E$318*'TB-EQUIPMENT &amp; OTHER HPs'!AW15,0)</f>
        <v>0</v>
      </c>
      <c r="G319" s="1195">
        <f>IF(SETUP!$F$40="Upfront",$E$318*'TB-EQUIPMENT &amp; OTHER HPs'!AX15,0)</f>
        <v>0</v>
      </c>
      <c r="H319" s="1194">
        <f>IF(SETUP!$F$40="Upfront",$E$318*'TB-EQUIPMENT &amp; OTHER HPs'!AY15,0)</f>
        <v>0</v>
      </c>
      <c r="I319" s="1194">
        <f>IF(SETUP!$F$40="Upfront",$E$318*'TB-EQUIPMENT &amp; OTHER HPs'!AZ15,0)</f>
        <v>0</v>
      </c>
      <c r="J319" s="1193">
        <f t="shared" si="44"/>
        <v>0</v>
      </c>
      <c r="K319" s="1194">
        <f>IF(SETUP!$F$40="Upfront",$E$318*'TB-EQUIPMENT &amp; OTHER HPs'!BA15,0)</f>
        <v>0</v>
      </c>
      <c r="L319" s="1194">
        <f>IF(SETUP!$F$40="Upfront",$E$318*'TB-EQUIPMENT &amp; OTHER HPs'!BB15,0)</f>
        <v>0</v>
      </c>
      <c r="M319" s="1194">
        <f>IF(SETUP!$F$40="Upfront",$E$318*'TB-EQUIPMENT &amp; OTHER HPs'!BC15,0)</f>
        <v>0</v>
      </c>
      <c r="N319" s="1194">
        <f>IF(SETUP!$F$40="Upfront",$E$318*'TB-EQUIPMENT &amp; OTHER HPs'!BD15,0)</f>
        <v>0</v>
      </c>
      <c r="O319" s="1191">
        <f t="shared" si="45"/>
        <v>0</v>
      </c>
      <c r="P319" s="1189">
        <f>IF(SETUP!$F$40="Upfront",$E$318*'TB-EQUIPMENT &amp; OTHER HPs'!BE15,0)</f>
        <v>0</v>
      </c>
      <c r="Q319" s="1189">
        <f>IF(SETUP!$F$40="Upfront",$E$318*'TB-EQUIPMENT &amp; OTHER HPs'!BF15,0)</f>
        <v>0</v>
      </c>
      <c r="R319" s="1189">
        <f>IF(SETUP!$F$40="Upfront",$E$318*'TB-EQUIPMENT &amp; OTHER HPs'!BG15,0)</f>
        <v>0</v>
      </c>
      <c r="S319" s="1189">
        <f>IF(SETUP!$F$40="Upfront",$E$318*'TB-EQUIPMENT &amp; OTHER HPs'!BH15,0)</f>
        <v>0</v>
      </c>
      <c r="T319" s="1208">
        <f t="shared" si="46"/>
        <v>0</v>
      </c>
      <c r="U319" s="1189">
        <f t="shared" si="47"/>
        <v>0</v>
      </c>
      <c r="V319" s="1795">
        <v>7.6</v>
      </c>
      <c r="W319" s="1823"/>
      <c r="X319" s="1820"/>
    </row>
    <row r="320" spans="1:24" s="860" customFormat="1" ht="15" hidden="1" customHeight="1" outlineLevel="1">
      <c r="A320" s="2905"/>
      <c r="B320" s="2906"/>
      <c r="C320" s="2889" t="s">
        <v>36</v>
      </c>
      <c r="D320" s="2890"/>
      <c r="E320" s="1880"/>
      <c r="F320" s="1279">
        <v>0</v>
      </c>
      <c r="G320" s="1195">
        <f>IF(SETUP!$F$41="At delivery",IF(SETUP!$G$41=1,$E$318*'TB-EQUIPMENT &amp; OTHER HPs'!AW15,0),0)</f>
        <v>0</v>
      </c>
      <c r="H320" s="1194">
        <f>IF(SETUP!$F$41="At delivery",IF(SETUP!$G$41=2,$E$318*'TB-EQUIPMENT &amp; OTHER HPs'!AW15,IF(SETUP!$G$41=1,$E$318*'TB-EQUIPMENT &amp; OTHER HPs'!AX15,0)),0)</f>
        <v>0</v>
      </c>
      <c r="I320" s="1194">
        <f>IF(SETUP!$F$41="At delivery",IF(SETUP!$G$41=3,$E$318*'TB-EQUIPMENT &amp; OTHER HPs'!AW15,IF(SETUP!$G$41=2,$E$318*'TB-EQUIPMENT &amp; OTHER HPs'!AX15,IF(SETUP!$G$41=1,$E$318*'TB-EQUIPMENT &amp; OTHER HPs'!AY15,0))),0)</f>
        <v>0</v>
      </c>
      <c r="J320" s="1193">
        <f t="shared" si="44"/>
        <v>0</v>
      </c>
      <c r="K320" s="1194">
        <f>IF(SETUP!$F$41="At delivery",IF(SETUP!$G$41=4,$E$318*'TB-EQUIPMENT &amp; OTHER HPs'!AW15,IF(SETUP!$G$41=3,$E$318*'TB-EQUIPMENT &amp; OTHER HPs'!AX15,IF(SETUP!$G$41=2,$E$318*'TB-EQUIPMENT &amp; OTHER HPs'!AY15,IF(SETUP!$G$41=1,$E$318*'TB-EQUIPMENT &amp; OTHER HPs'!AZ15,0)))),0)</f>
        <v>0</v>
      </c>
      <c r="L320" s="1194">
        <f>IF(SETUP!$F$41="At delivery",IF(SETUP!$G$41=4,$E$318*'TB-EQUIPMENT &amp; OTHER HPs'!AX15,IF(SETUP!$G$41=3,$E$318*'TB-EQUIPMENT &amp; OTHER HPs'!AY15,IF(SETUP!$G$41=2,$E$318*'TB-EQUIPMENT &amp; OTHER HPs'!AZ15,IF(SETUP!$G$41=1,$E$318*'TB-EQUIPMENT &amp; OTHER HPs'!BA15,0)))),0)</f>
        <v>0</v>
      </c>
      <c r="M320" s="1194">
        <f>IF(SETUP!$F$41="At delivery",IF(SETUP!$G$41=4,$E$318*'TB-EQUIPMENT &amp; OTHER HPs'!AY15,IF(SETUP!$G$41=3,$E$318*'TB-EQUIPMENT &amp; OTHER HPs'!AZ15,IF(SETUP!$G$41=2,$E$318*'TB-EQUIPMENT &amp; OTHER HPs'!BA15,IF(SETUP!$G$41=1,$E$318*'TB-EQUIPMENT &amp; OTHER HPs'!BB15,0)))),0)</f>
        <v>0</v>
      </c>
      <c r="N320" s="1194">
        <f>IF(SETUP!$F$41="At delivery",IF(SETUP!$G$41=4,$E$318*'TB-EQUIPMENT &amp; OTHER HPs'!AZ15,IF(SETUP!$G$41=3,$E$318*'TB-EQUIPMENT &amp; OTHER HPs'!BA15,IF(SETUP!$G$41=2,$E$318*'TB-EQUIPMENT &amp; OTHER HPs'!BB15,IF(SETUP!$G$41=1,$E$318*'TB-EQUIPMENT &amp; OTHER HPs'!BC15,0)))),0)</f>
        <v>0</v>
      </c>
      <c r="O320" s="1191">
        <f t="shared" si="45"/>
        <v>0</v>
      </c>
      <c r="P320" s="1189">
        <f>IF(SETUP!$F$41="At delivery",IF(SETUP!$G$41=4,$E$318*'TB-EQUIPMENT &amp; OTHER HPs'!BA15,IF(SETUP!$G$41=3,$E$318*'TB-EQUIPMENT &amp; OTHER HPs'!BB15,IF(SETUP!$G$41=2,$E$318*'TB-EQUIPMENT &amp; OTHER HPs'!BC15,IF(SETUP!$G$41=1,$E$318*'TB-EQUIPMENT &amp; OTHER HPs'!BD15,0)))),0)</f>
        <v>0</v>
      </c>
      <c r="Q320" s="1189">
        <f>IF(SETUP!$F$41="At delivery",IF(SETUP!$G$41=4,$E$318*'TB-EQUIPMENT &amp; OTHER HPs'!BB15,IF(SETUP!$G$41=3,$E$318*'TB-EQUIPMENT &amp; OTHER HPs'!BC15,IF(SETUP!$G$41=2,$E$318*'TB-EQUIPMENT &amp; OTHER HPs'!BD15,IF(SETUP!$G$41=1,$E$318*'TB-EQUIPMENT &amp; OTHER HPs'!BE15,0)))),0)</f>
        <v>0</v>
      </c>
      <c r="R320" s="1189">
        <f>IF(SETUP!$F$41="At delivery",IF(SETUP!$G$41=4,$E$318*'TB-EQUIPMENT &amp; OTHER HPs'!BC15,IF(SETUP!$G$41=3,$E$318*'TB-EQUIPMENT &amp; OTHER HPs'!BD15,IF(SETUP!$G$41=2,$E$318*'TB-EQUIPMENT &amp; OTHER HPs'!BE15,IF(SETUP!$G$41=1,$E$318*'TB-EQUIPMENT &amp; OTHER HPs'!BF15,0)))),0)</f>
        <v>0</v>
      </c>
      <c r="S320" s="1189">
        <f>IF(SETUP!$F$41="At delivery",IF(SETUP!$G$41=4,$E$318*('TB-EQUIPMENT &amp; OTHER HPs'!BD15+'TB-EQUIPMENT &amp; OTHER HPs'!BE15+'TB-EQUIPMENT &amp; OTHER HPs'!BF15+'TB-EQUIPMENT &amp; OTHER HPs'!BG15+'TB-EQUIPMENT &amp; OTHER HPs'!BH15),IF(SETUP!$G$41=3,$E$318*('TB-EQUIPMENT &amp; OTHER HPs'!BE15+'TB-EQUIPMENT &amp; OTHER HPs'!BF15+'TB-EQUIPMENT &amp; OTHER HPs'!BG15+'TB-EQUIPMENT &amp; OTHER HPs'!BH15),IF(SETUP!$G$41=2,$E$318*('TB-EQUIPMENT &amp; OTHER HPs'!BF15+'TB-EQUIPMENT &amp; OTHER HPs'!BG15+'TB-EQUIPMENT &amp; OTHER HPs'!BH15),IF(SETUP!$G$41=1,$E$318*('TB-EQUIPMENT &amp; OTHER HPs'!BG15+'TB-EQUIPMENT &amp; OTHER HPs'!BH15),0)))),0)</f>
        <v>0</v>
      </c>
      <c r="T320" s="1208">
        <f t="shared" si="46"/>
        <v>0</v>
      </c>
      <c r="U320" s="1189">
        <f t="shared" si="47"/>
        <v>0</v>
      </c>
      <c r="V320" s="1795">
        <v>7.6</v>
      </c>
      <c r="W320" s="1823"/>
      <c r="X320" s="1820"/>
    </row>
    <row r="321" spans="1:24" s="860" customFormat="1" ht="15" hidden="1" customHeight="1" collapsed="1">
      <c r="A321" s="2905"/>
      <c r="B321" s="2906"/>
      <c r="C321" s="2907" t="s">
        <v>1754</v>
      </c>
      <c r="D321" s="2908"/>
      <c r="E321" s="1880">
        <v>0</v>
      </c>
      <c r="F321" s="1279">
        <f>IF(SETUP!$F$43="Upfront",F322,F323)</f>
        <v>0</v>
      </c>
      <c r="G321" s="1195">
        <f>IF(SETUP!$F$43="Upfront",G322,G323)</f>
        <v>0</v>
      </c>
      <c r="H321" s="1194">
        <f>IF(SETUP!$F$43="Upfront",H322,H323)</f>
        <v>0</v>
      </c>
      <c r="I321" s="1194">
        <f>IF(SETUP!$F$43="Upfront",I322,I323)</f>
        <v>0</v>
      </c>
      <c r="J321" s="1193">
        <f t="shared" si="44"/>
        <v>0</v>
      </c>
      <c r="K321" s="1194">
        <f>IF(SETUP!$F$43="Upfront",K322,K323)</f>
        <v>0</v>
      </c>
      <c r="L321" s="1194">
        <f>IF(SETUP!$F$43="Upfront",L322,L323)</f>
        <v>0</v>
      </c>
      <c r="M321" s="1194">
        <f>IF(SETUP!$F$43="Upfront",M322,M323)</f>
        <v>0</v>
      </c>
      <c r="N321" s="1194">
        <f>IF(SETUP!$F$43="Upfront",N322,N323)</f>
        <v>0</v>
      </c>
      <c r="O321" s="1191">
        <f t="shared" si="45"/>
        <v>0</v>
      </c>
      <c r="P321" s="1189">
        <f>IF(SETUP!$F$43="Upfront",P322,P323)</f>
        <v>0</v>
      </c>
      <c r="Q321" s="1189">
        <f>IF(SETUP!$F$43="Upfront",Q322,Q323)</f>
        <v>0</v>
      </c>
      <c r="R321" s="1189">
        <f>IF(SETUP!$F$43="Upfront",R322,R323)</f>
        <v>0</v>
      </c>
      <c r="S321" s="1189">
        <f>IF(SETUP!$F$43="Upfront",S322,S323)</f>
        <v>0</v>
      </c>
      <c r="T321" s="1208">
        <f t="shared" si="46"/>
        <v>0</v>
      </c>
      <c r="U321" s="1189">
        <f t="shared" si="47"/>
        <v>0</v>
      </c>
      <c r="V321" s="1795">
        <v>7.6</v>
      </c>
      <c r="W321" s="1823"/>
      <c r="X321" s="1820"/>
    </row>
    <row r="322" spans="1:24" s="860" customFormat="1" ht="15" hidden="1" customHeight="1" outlineLevel="1">
      <c r="A322" s="2905"/>
      <c r="B322" s="2906"/>
      <c r="C322" s="2889" t="s">
        <v>918</v>
      </c>
      <c r="D322" s="2890"/>
      <c r="E322" s="1880"/>
      <c r="F322" s="1279">
        <f>IF(SETUP!$F$43="Upfront",$E$321*'TB-EQUIPMENT &amp; OTHER HPs'!AW16,0)</f>
        <v>0</v>
      </c>
      <c r="G322" s="1195">
        <f>IF(SETUP!$F$43="Upfront",$E$321*'TB-EQUIPMENT &amp; OTHER HPs'!AX16,0)</f>
        <v>0</v>
      </c>
      <c r="H322" s="1194">
        <f>IF(SETUP!$F$43="Upfront",$E$321*'TB-EQUIPMENT &amp; OTHER HPs'!AY16,0)</f>
        <v>0</v>
      </c>
      <c r="I322" s="1194">
        <f>IF(SETUP!$F$43="Upfront",$E$321*'TB-EQUIPMENT &amp; OTHER HPs'!AZ16,0)</f>
        <v>0</v>
      </c>
      <c r="J322" s="1193">
        <f t="shared" si="44"/>
        <v>0</v>
      </c>
      <c r="K322" s="1194">
        <f>IF(SETUP!$F$43="Upfront",$E$321*'TB-EQUIPMENT &amp; OTHER HPs'!BA16,0)</f>
        <v>0</v>
      </c>
      <c r="L322" s="1194">
        <f>IF(SETUP!$F$43="Upfront",$E$321*'TB-EQUIPMENT &amp; OTHER HPs'!BB16,0)</f>
        <v>0</v>
      </c>
      <c r="M322" s="1194">
        <f>IF(SETUP!$F$43="Upfront",$E$321*'TB-EQUIPMENT &amp; OTHER HPs'!BC16,0)</f>
        <v>0</v>
      </c>
      <c r="N322" s="1194">
        <f>IF(SETUP!$F$43="Upfront",$E$321*'TB-EQUIPMENT &amp; OTHER HPs'!BD16,0)</f>
        <v>0</v>
      </c>
      <c r="O322" s="1191">
        <f t="shared" si="45"/>
        <v>0</v>
      </c>
      <c r="P322" s="1189">
        <f>IF(SETUP!$F$43="Upfront",$E$321*'TB-EQUIPMENT &amp; OTHER HPs'!BE16,0)</f>
        <v>0</v>
      </c>
      <c r="Q322" s="1189">
        <f>IF(SETUP!$F$43="Upfront",$E$321*'TB-EQUIPMENT &amp; OTHER HPs'!BF16,0)</f>
        <v>0</v>
      </c>
      <c r="R322" s="1189">
        <f>IF(SETUP!$F$43="Upfront",$E$321*'TB-EQUIPMENT &amp; OTHER HPs'!BG16,0)</f>
        <v>0</v>
      </c>
      <c r="S322" s="1189">
        <f>IF(SETUP!$F$43="Upfront",$E$321*'TB-EQUIPMENT &amp; OTHER HPs'!BH16,0)</f>
        <v>0</v>
      </c>
      <c r="T322" s="1208">
        <f t="shared" si="46"/>
        <v>0</v>
      </c>
      <c r="U322" s="1189">
        <f t="shared" si="47"/>
        <v>0</v>
      </c>
      <c r="V322" s="1795">
        <v>7.6</v>
      </c>
      <c r="W322" s="1823"/>
      <c r="X322" s="1820"/>
    </row>
    <row r="323" spans="1:24" s="860" customFormat="1" ht="15" hidden="1" customHeight="1" outlineLevel="1">
      <c r="A323" s="2905"/>
      <c r="B323" s="2906"/>
      <c r="C323" s="2889" t="s">
        <v>36</v>
      </c>
      <c r="D323" s="2890"/>
      <c r="E323" s="1880"/>
      <c r="F323" s="1279">
        <v>0</v>
      </c>
      <c r="G323" s="1195">
        <f>IF(SETUP!$F$43="At delivery",IF(SETUP!$G$43=1,$E$321*'TB-EQUIPMENT &amp; OTHER HPs'!AW16,0),0)</f>
        <v>0</v>
      </c>
      <c r="H323" s="1194">
        <f>IF(SETUP!$F$43="At delivery",IF(SETUP!$G$43=2,$E$321*'TB-EQUIPMENT &amp; OTHER HPs'!AW16,IF(SETUP!$G$43=1,$E$321*'TB-EQUIPMENT &amp; OTHER HPs'!AX16,0)),0)</f>
        <v>0</v>
      </c>
      <c r="I323" s="1194">
        <f>IF(SETUP!$F$43="At delivery",IF(SETUP!$G$43=3,$E$321*'TB-EQUIPMENT &amp; OTHER HPs'!AW16,IF(SETUP!$G$43=2,$E$321*'TB-EQUIPMENT &amp; OTHER HPs'!AX16,IF(SETUP!$G$43=1,$E$321*'TB-EQUIPMENT &amp; OTHER HPs'!AY16,0))),0)</f>
        <v>0</v>
      </c>
      <c r="J323" s="1193">
        <f t="shared" si="44"/>
        <v>0</v>
      </c>
      <c r="K323" s="1194">
        <f>IF(SETUP!$F$43="At delivery",IF(SETUP!$G$43=4,$E$321*'TB-EQUIPMENT &amp; OTHER HPs'!AW16,IF(SETUP!$G$43=3,$E$321*'TB-EQUIPMENT &amp; OTHER HPs'!AX16,IF(SETUP!$G$43=2,$E$321*'TB-EQUIPMENT &amp; OTHER HPs'!AY16,IF(SETUP!$G$43=1,$E$321*'TB-EQUIPMENT &amp; OTHER HPs'!AZ16,0)))),0)</f>
        <v>0</v>
      </c>
      <c r="L323" s="1194">
        <f>IF(SETUP!$F$43="At delivery",IF(SETUP!$G$43=4,$E$321*'TB-EQUIPMENT &amp; OTHER HPs'!AX16,IF(SETUP!$G$43=3,$E$321*'TB-EQUIPMENT &amp; OTHER HPs'!AY16,IF(SETUP!$G$43=2,$E$321*'TB-EQUIPMENT &amp; OTHER HPs'!AZ16,IF(SETUP!$G$43=1,$E$321*'TB-EQUIPMENT &amp; OTHER HPs'!BA16,0)))),0)</f>
        <v>0</v>
      </c>
      <c r="M323" s="1194">
        <f>IF(SETUP!$F$43="At delivery",IF(SETUP!$G$43=4,$E$321*'TB-EQUIPMENT &amp; OTHER HPs'!AY16,IF(SETUP!$G$43=3,$E$321*'TB-EQUIPMENT &amp; OTHER HPs'!AZ16,IF(SETUP!$G$43=2,$E$321*'TB-EQUIPMENT &amp; OTHER HPs'!BA16,IF(SETUP!$G$43=1,$E$321*'TB-EQUIPMENT &amp; OTHER HPs'!BB16,0)))),0)</f>
        <v>0</v>
      </c>
      <c r="N323" s="1194">
        <f>IF(SETUP!$F$43="At delivery",IF(SETUP!$G$43=4,$E$321*'TB-EQUIPMENT &amp; OTHER HPs'!AZ16,IF(SETUP!$G$43=3,$E$321*'TB-EQUIPMENT &amp; OTHER HPs'!BA16,IF(SETUP!$G$43=2,$E$321*'TB-EQUIPMENT &amp; OTHER HPs'!BB16,IF(SETUP!$G$43=1,$E$321*'TB-EQUIPMENT &amp; OTHER HPs'!BC16,0)))),0)</f>
        <v>0</v>
      </c>
      <c r="O323" s="1191">
        <f t="shared" si="45"/>
        <v>0</v>
      </c>
      <c r="P323" s="1189">
        <f>IF(SETUP!$F$43="At delivery",IF(SETUP!$G$43=4,$E$321*'TB-EQUIPMENT &amp; OTHER HPs'!BA16,IF(SETUP!$G$43=3,$E$321*'TB-EQUIPMENT &amp; OTHER HPs'!BB16,IF(SETUP!$G$43=2,$E$321*'TB-EQUIPMENT &amp; OTHER HPs'!BC16,IF(SETUP!$G$43=1,$E$321*'TB-EQUIPMENT &amp; OTHER HPs'!BD16,0)))),0)</f>
        <v>0</v>
      </c>
      <c r="Q323" s="1189">
        <f>IF(SETUP!$F$43="At delivery",IF(SETUP!$G$43=4,$E$321*'TB-EQUIPMENT &amp; OTHER HPs'!BB16,IF(SETUP!$G$43=3,$E$321*'TB-EQUIPMENT &amp; OTHER HPs'!BC16,IF(SETUP!$G$43=2,$E$321*'TB-EQUIPMENT &amp; OTHER HPs'!BD16,IF(SETUP!$G$43=1,$E$321*'TB-EQUIPMENT &amp; OTHER HPs'!BE16,0)))),0)</f>
        <v>0</v>
      </c>
      <c r="R323" s="1189">
        <f>IF(SETUP!$F$43="At delivery",IF(SETUP!$G$43=4,$E$321*'TB-EQUIPMENT &amp; OTHER HPs'!BC16,IF(SETUP!$G$43=3,$E$321*'TB-EQUIPMENT &amp; OTHER HPs'!BD16,IF(SETUP!$G$43=2,$E$321*'TB-EQUIPMENT &amp; OTHER HPs'!BE16,IF(SETUP!$G$43=1,$E$321*'TB-EQUIPMENT &amp; OTHER HPs'!BF16,0)))),0)</f>
        <v>0</v>
      </c>
      <c r="S323" s="1189">
        <f>IF(SETUP!$F$43="At delivery",IF(SETUP!$G$43=4,$E$321*('TB-EQUIPMENT &amp; OTHER HPs'!BD16+'TB-EQUIPMENT &amp; OTHER HPs'!BE16+'TB-EQUIPMENT &amp; OTHER HPs'!BF16+'TB-EQUIPMENT &amp; OTHER HPs'!BG16+'TB-EQUIPMENT &amp; OTHER HPs'!BH16),IF(SETUP!$G$43=3,$E$321*('TB-EQUIPMENT &amp; OTHER HPs'!BE16+'TB-EQUIPMENT &amp; OTHER HPs'!BF16+'TB-EQUIPMENT &amp; OTHER HPs'!BG16+'TB-EQUIPMENT &amp; OTHER HPs'!BH16),IF(SETUP!$G$43=2,$E$321*('TB-EQUIPMENT &amp; OTHER HPs'!BF16+'TB-EQUIPMENT &amp; OTHER HPs'!BG16+'TB-EQUIPMENT &amp; OTHER HPs'!BH16),IF(SETUP!$G$43=1,$E$321*('TB-EQUIPMENT &amp; OTHER HPs'!BG16+'TB-EQUIPMENT &amp; OTHER HPs'!BH16),0)))),0)</f>
        <v>0</v>
      </c>
      <c r="T323" s="1208">
        <f t="shared" si="46"/>
        <v>0</v>
      </c>
      <c r="U323" s="1189">
        <f t="shared" si="47"/>
        <v>0</v>
      </c>
      <c r="V323" s="1795">
        <v>7.6</v>
      </c>
      <c r="W323" s="1823"/>
      <c r="X323" s="1820"/>
    </row>
    <row r="324" spans="1:24" s="860" customFormat="1" ht="15" hidden="1" customHeight="1" collapsed="1">
      <c r="A324" s="2905"/>
      <c r="B324" s="2906"/>
      <c r="C324" s="2907" t="s">
        <v>574</v>
      </c>
      <c r="D324" s="2908"/>
      <c r="E324" s="1880">
        <v>0</v>
      </c>
      <c r="F324" s="1279">
        <f>IF(SETUP!$F$44="Upfront",F325,F326)</f>
        <v>0</v>
      </c>
      <c r="G324" s="1195">
        <f>IF(SETUP!$F$44="Upfront",G325,G326)</f>
        <v>0</v>
      </c>
      <c r="H324" s="1194">
        <f>IF(SETUP!$F$44="Upfront",H325,H326)</f>
        <v>0</v>
      </c>
      <c r="I324" s="1194">
        <f>IF(SETUP!$F$44="Upfront",I325,I326)</f>
        <v>0</v>
      </c>
      <c r="J324" s="1193">
        <f t="shared" si="44"/>
        <v>0</v>
      </c>
      <c r="K324" s="1194">
        <f>IF(SETUP!$F$44="Upfront",K325,K326)</f>
        <v>0</v>
      </c>
      <c r="L324" s="1194">
        <f>IF(SETUP!$F$44="Upfront",L325,L326)</f>
        <v>0</v>
      </c>
      <c r="M324" s="1194">
        <f>IF(SETUP!$F$44="Upfront",M325,M326)</f>
        <v>0</v>
      </c>
      <c r="N324" s="1194">
        <f>IF(SETUP!$F$44="Upfront",N325,N326)</f>
        <v>0</v>
      </c>
      <c r="O324" s="1191">
        <f t="shared" si="45"/>
        <v>0</v>
      </c>
      <c r="P324" s="1189">
        <f>IF(SETUP!$F$44="Upfront",P325,P326)</f>
        <v>0</v>
      </c>
      <c r="Q324" s="1189">
        <f>IF(SETUP!$F$44="Upfront",Q325,Q326)</f>
        <v>0</v>
      </c>
      <c r="R324" s="1189">
        <f>IF(SETUP!$F$44="Upfront",R325,R326)</f>
        <v>0</v>
      </c>
      <c r="S324" s="1189">
        <f>IF(SETUP!$F$44="Upfront",S325,S326)</f>
        <v>0</v>
      </c>
      <c r="T324" s="1208">
        <f t="shared" si="46"/>
        <v>0</v>
      </c>
      <c r="U324" s="1189">
        <f t="shared" si="47"/>
        <v>0</v>
      </c>
      <c r="V324" s="1795">
        <v>7.6</v>
      </c>
      <c r="W324" s="1823"/>
      <c r="X324" s="1820"/>
    </row>
    <row r="325" spans="1:24" s="860" customFormat="1" ht="15" hidden="1" customHeight="1" outlineLevel="1">
      <c r="A325" s="2905"/>
      <c r="B325" s="2906"/>
      <c r="C325" s="2889" t="s">
        <v>918</v>
      </c>
      <c r="D325" s="2890"/>
      <c r="E325" s="1880"/>
      <c r="F325" s="1279">
        <f>IF(SETUP!$F$44="Upfront",$E$324*'TB-EQUIPMENT &amp; OTHER HPs'!AW17,0)</f>
        <v>0</v>
      </c>
      <c r="G325" s="1195">
        <f>IF(SETUP!$F$44="Upfront",$E$324*'TB-EQUIPMENT &amp; OTHER HPs'!AX17,0)</f>
        <v>0</v>
      </c>
      <c r="H325" s="1194">
        <f>IF(SETUP!$F$44="Upfront",$E$324*'TB-EQUIPMENT &amp; OTHER HPs'!AY17,0)</f>
        <v>0</v>
      </c>
      <c r="I325" s="1194">
        <f>IF(SETUP!$F$44="Upfront",$E$324*'TB-EQUIPMENT &amp; OTHER HPs'!AZ17,0)</f>
        <v>0</v>
      </c>
      <c r="J325" s="1193">
        <f t="shared" si="44"/>
        <v>0</v>
      </c>
      <c r="K325" s="1194">
        <f>IF(SETUP!$F$44="Upfront",$E$324*'TB-EQUIPMENT &amp; OTHER HPs'!BA17,0)</f>
        <v>0</v>
      </c>
      <c r="L325" s="1194">
        <f>IF(SETUP!$F$44="Upfront",$E$324*'TB-EQUIPMENT &amp; OTHER HPs'!BB17,0)</f>
        <v>0</v>
      </c>
      <c r="M325" s="1194">
        <f>IF(SETUP!$F$44="Upfront",$E$324*'TB-EQUIPMENT &amp; OTHER HPs'!BC17,0)</f>
        <v>0</v>
      </c>
      <c r="N325" s="1194">
        <f>IF(SETUP!$F$44="Upfront",$E$324*'TB-EQUIPMENT &amp; OTHER HPs'!BD17,0)</f>
        <v>0</v>
      </c>
      <c r="O325" s="1191">
        <f t="shared" si="45"/>
        <v>0</v>
      </c>
      <c r="P325" s="1189">
        <f>IF(SETUP!$F$44="Upfront",$E$324*'TB-EQUIPMENT &amp; OTHER HPs'!BE17,0)</f>
        <v>0</v>
      </c>
      <c r="Q325" s="1189">
        <f>IF(SETUP!$F$44="Upfront",$E$324*'TB-EQUIPMENT &amp; OTHER HPs'!BF17,0)</f>
        <v>0</v>
      </c>
      <c r="R325" s="1189">
        <f>IF(SETUP!$F$44="Upfront",$E$324*'TB-EQUIPMENT &amp; OTHER HPs'!BG17,0)</f>
        <v>0</v>
      </c>
      <c r="S325" s="1189">
        <f>IF(SETUP!$F$44="Upfront",$E$324*'TB-EQUIPMENT &amp; OTHER HPs'!BH17,0)</f>
        <v>0</v>
      </c>
      <c r="T325" s="1208">
        <f t="shared" si="46"/>
        <v>0</v>
      </c>
      <c r="U325" s="1189">
        <f t="shared" si="47"/>
        <v>0</v>
      </c>
      <c r="V325" s="1795">
        <v>7.6</v>
      </c>
      <c r="W325" s="1823"/>
      <c r="X325" s="1820"/>
    </row>
    <row r="326" spans="1:24" s="860" customFormat="1" ht="15" hidden="1" customHeight="1" outlineLevel="1">
      <c r="A326" s="2905"/>
      <c r="B326" s="2906"/>
      <c r="C326" s="2889" t="s">
        <v>36</v>
      </c>
      <c r="D326" s="2890"/>
      <c r="E326" s="1880"/>
      <c r="F326" s="1279">
        <v>0</v>
      </c>
      <c r="G326" s="1195">
        <f>IF(SETUP!$F$44="At delivery",IF(SETUP!$G$44=1,$E$324*'TB-EQUIPMENT &amp; OTHER HPs'!AW17,0),0)</f>
        <v>0</v>
      </c>
      <c r="H326" s="1194">
        <f>IF(SETUP!$F$44="At delivery",IF(SETUP!$G$44=2,$E$324*'TB-EQUIPMENT &amp; OTHER HPs'!AW17,IF(SETUP!$G$44=1,$E$324*'TB-EQUIPMENT &amp; OTHER HPs'!AX17,0)),0)</f>
        <v>0</v>
      </c>
      <c r="I326" s="1194">
        <f>IF(SETUP!$F$44="At delivery",IF(SETUP!$G$44=3,$E$324*'TB-EQUIPMENT &amp; OTHER HPs'!AW17,IF(SETUP!$G$44=2,$E$324*'TB-EQUIPMENT &amp; OTHER HPs'!AX17,IF(SETUP!$G$44=1,$E$324*'TB-EQUIPMENT &amp; OTHER HPs'!AY17,0))),0)</f>
        <v>0</v>
      </c>
      <c r="J326" s="1193">
        <f t="shared" si="44"/>
        <v>0</v>
      </c>
      <c r="K326" s="1194">
        <f>IF(SETUP!$F$44="At delivery",IF(SETUP!$G$44=4,$E$324*'TB-EQUIPMENT &amp; OTHER HPs'!AW17,IF(SETUP!$G$44=3,$E$324*'TB-EQUIPMENT &amp; OTHER HPs'!AX17,IF(SETUP!$G$44=2,$E$324*'TB-EQUIPMENT &amp; OTHER HPs'!AY17,IF(SETUP!$G$44=1,$E$324*'TB-EQUIPMENT &amp; OTHER HPs'!AZ17,0)))),0)</f>
        <v>0</v>
      </c>
      <c r="L326" s="1194">
        <f>IF(SETUP!$F$44="At delivery",IF(SETUP!$G$44=4,$E$324*'TB-EQUIPMENT &amp; OTHER HPs'!AX17,IF(SETUP!$G$44=3,$E$324*'TB-EQUIPMENT &amp; OTHER HPs'!AY17,IF(SETUP!$G$44=2,$E$324*'TB-EQUIPMENT &amp; OTHER HPs'!AZ17,IF(SETUP!$G$44=1,$E$324*'TB-EQUIPMENT &amp; OTHER HPs'!BA17,0)))),0)</f>
        <v>0</v>
      </c>
      <c r="M326" s="1194">
        <f>IF(SETUP!$F$44="At delivery",IF(SETUP!$G$44=4,$E$324*'TB-EQUIPMENT &amp; OTHER HPs'!AY17,IF(SETUP!$G$44=3,$E$324*'TB-EQUIPMENT &amp; OTHER HPs'!AZ17,IF(SETUP!$G$44=2,$E$324*'TB-EQUIPMENT &amp; OTHER HPs'!BA17,IF(SETUP!$G$44=1,$E$324*'TB-EQUIPMENT &amp; OTHER HPs'!BB17,0)))),0)</f>
        <v>0</v>
      </c>
      <c r="N326" s="1194">
        <f>IF(SETUP!$F$44="At delivery",IF(SETUP!$G$44=4,$E$324*'TB-EQUIPMENT &amp; OTHER HPs'!AZ17,IF(SETUP!$G$44=3,$E$324*'TB-EQUIPMENT &amp; OTHER HPs'!BA17,IF(SETUP!$G$44=2,$E$324*'TB-EQUIPMENT &amp; OTHER HPs'!BB17,IF(SETUP!$G$44=1,$E$324*'TB-EQUIPMENT &amp; OTHER HPs'!BC17,0)))),0)</f>
        <v>0</v>
      </c>
      <c r="O326" s="1191">
        <f t="shared" si="45"/>
        <v>0</v>
      </c>
      <c r="P326" s="1189">
        <f>IF(SETUP!$F$44="At delivery",IF(SETUP!$G$44=4,$E$324*'TB-EQUIPMENT &amp; OTHER HPs'!BA17,IF(SETUP!$G$44=3,$E$324*'TB-EQUIPMENT &amp; OTHER HPs'!BB17,IF(SETUP!$G$44=2,$E$324*'TB-EQUIPMENT &amp; OTHER HPs'!BC17,IF(SETUP!$G$44=1,$E$324*'TB-EQUIPMENT &amp; OTHER HPs'!BD17,0)))),0)</f>
        <v>0</v>
      </c>
      <c r="Q326" s="1189">
        <f>IF(SETUP!$F$44="At delivery",IF(SETUP!$G$44=4,$E$324*'TB-EQUIPMENT &amp; OTHER HPs'!BB17,IF(SETUP!$G$44=3,$E$324*'TB-EQUIPMENT &amp; OTHER HPs'!BC17,IF(SETUP!$G$44=2,$E$324*'TB-EQUIPMENT &amp; OTHER HPs'!BD17,IF(SETUP!$G$44=1,$E$324*'TB-EQUIPMENT &amp; OTHER HPs'!BE17,0)))),0)</f>
        <v>0</v>
      </c>
      <c r="R326" s="1189">
        <f>IF(SETUP!$F$44="At delivery",IF(SETUP!$G$44=4,$E$324*'TB-EQUIPMENT &amp; OTHER HPs'!BC17,IF(SETUP!$G$44=3,$E$324*'TB-EQUIPMENT &amp; OTHER HPs'!BD17,IF(SETUP!$G$44=2,$E$324*'TB-EQUIPMENT &amp; OTHER HPs'!BE17,IF(SETUP!$G$44=1,$E$324*'TB-EQUIPMENT &amp; OTHER HPs'!BF17,0)))),0)</f>
        <v>0</v>
      </c>
      <c r="S326" s="1189">
        <f>IF(SETUP!$F$44="At delivery",IF(SETUP!$G$44=4,$E$324*('TB-EQUIPMENT &amp; OTHER HPs'!BD17+'TB-EQUIPMENT &amp; OTHER HPs'!BE17+'TB-EQUIPMENT &amp; OTHER HPs'!BF17+'TB-EQUIPMENT &amp; OTHER HPs'!BG17+'TB-EQUIPMENT &amp; OTHER HPs'!BH17),IF(SETUP!$G$44=3,$E$324*('TB-EQUIPMENT &amp; OTHER HPs'!BE17+'TB-EQUIPMENT &amp; OTHER HPs'!BF17+'TB-EQUIPMENT &amp; OTHER HPs'!BG17+'TB-EQUIPMENT &amp; OTHER HPs'!BH17),IF(SETUP!$G$44=2,$E$324*('TB-EQUIPMENT &amp; OTHER HPs'!BF17+'TB-EQUIPMENT &amp; OTHER HPs'!BG17+'TB-EQUIPMENT &amp; OTHER HPs'!BH17),IF(SETUP!$G$44=1,$E$324*('TB-EQUIPMENT &amp; OTHER HPs'!BG17+'TB-EQUIPMENT &amp; OTHER HPs'!BH17),0)))),0)</f>
        <v>0</v>
      </c>
      <c r="T326" s="1208">
        <f t="shared" si="46"/>
        <v>0</v>
      </c>
      <c r="U326" s="1189">
        <f t="shared" si="47"/>
        <v>0</v>
      </c>
      <c r="V326" s="1795">
        <v>7.6</v>
      </c>
      <c r="W326" s="1823"/>
      <c r="X326" s="1820"/>
    </row>
    <row r="327" spans="1:24" s="860" customFormat="1" ht="15" hidden="1" customHeight="1" collapsed="1">
      <c r="A327" s="2909" t="s">
        <v>575</v>
      </c>
      <c r="B327" s="2910"/>
      <c r="C327" s="2891" t="s">
        <v>576</v>
      </c>
      <c r="D327" s="2892"/>
      <c r="E327" s="1880">
        <v>0</v>
      </c>
      <c r="F327" s="1279">
        <f>IF(SETUP!$F$50="Upfront",F328,F329)</f>
        <v>0</v>
      </c>
      <c r="G327" s="1189">
        <f>IF(SETUP!$F$50="Upfront",G328,G329)</f>
        <v>0</v>
      </c>
      <c r="H327" s="1189">
        <f>IF(SETUP!$F$50="Upfront",H328,H329)</f>
        <v>0</v>
      </c>
      <c r="I327" s="1189">
        <f>IF(SETUP!$F$50="Upfront",I328,I329)</f>
        <v>0</v>
      </c>
      <c r="J327" s="1193">
        <f t="shared" si="44"/>
        <v>0</v>
      </c>
      <c r="K327" s="1189">
        <f>IF(SETUP!$F$50="Upfront",K328,K329)</f>
        <v>0</v>
      </c>
      <c r="L327" s="1189">
        <f>IF(SETUP!$F$50="Upfront",L328,L329)</f>
        <v>0</v>
      </c>
      <c r="M327" s="1189">
        <f>IF(SETUP!$F$50="Upfront",M328,M329)</f>
        <v>0</v>
      </c>
      <c r="N327" s="1189">
        <f>IF(SETUP!$F$50="Upfront",N328,N329)</f>
        <v>0</v>
      </c>
      <c r="O327" s="1191">
        <f t="shared" si="45"/>
        <v>0</v>
      </c>
      <c r="P327" s="1189">
        <f>IF(SETUP!$F$50="Upfront",P328,P329)</f>
        <v>0</v>
      </c>
      <c r="Q327" s="1189">
        <f>IF(SETUP!$F$50="Upfront",Q328,Q329)</f>
        <v>0</v>
      </c>
      <c r="R327" s="1189">
        <f>IF(SETUP!$F$50="Upfront",R328,R329)</f>
        <v>0</v>
      </c>
      <c r="S327" s="1189">
        <f>IF(SETUP!$F$50="Upfront",S328,S329)</f>
        <v>0</v>
      </c>
      <c r="T327" s="1208">
        <f t="shared" si="46"/>
        <v>0</v>
      </c>
      <c r="U327" s="1189">
        <f t="shared" si="47"/>
        <v>0</v>
      </c>
      <c r="V327" s="1795">
        <v>7.6</v>
      </c>
      <c r="W327" s="1823"/>
      <c r="X327" s="1820" t="s">
        <v>577</v>
      </c>
    </row>
    <row r="328" spans="1:24" s="860" customFormat="1" ht="15" hidden="1" customHeight="1" outlineLevel="1">
      <c r="A328" s="2909"/>
      <c r="B328" s="2910"/>
      <c r="C328" s="2889" t="s">
        <v>918</v>
      </c>
      <c r="D328" s="2890"/>
      <c r="E328" s="1880"/>
      <c r="F328" s="1279">
        <f>IF(SETUP!$F$50="Upfront",$E$327*'Malaria-Pharmaceuticals'!AW14,0)</f>
        <v>0</v>
      </c>
      <c r="G328" s="1195">
        <f>IF(SETUP!$F$50="Upfront",$E$327*'Malaria-Pharmaceuticals'!AX14,0)</f>
        <v>0</v>
      </c>
      <c r="H328" s="1194">
        <f>IF(SETUP!$F$50="Upfront",$E$327*'Malaria-Pharmaceuticals'!AY14,0)</f>
        <v>0</v>
      </c>
      <c r="I328" s="1194">
        <f>IF(SETUP!$F$50="Upfront",$E$327*'Malaria-Pharmaceuticals'!AZ14,0)</f>
        <v>0</v>
      </c>
      <c r="J328" s="1193">
        <f t="shared" si="44"/>
        <v>0</v>
      </c>
      <c r="K328" s="1194">
        <f>IF(SETUP!$F$50="Upfront",$E$327*'Malaria-Pharmaceuticals'!BA14,0)</f>
        <v>0</v>
      </c>
      <c r="L328" s="1194">
        <f>IF(SETUP!$F$50="Upfront",$E$327*'Malaria-Pharmaceuticals'!BB14,0)</f>
        <v>0</v>
      </c>
      <c r="M328" s="1194">
        <f>IF(SETUP!$F$50="Upfront",$E$327*'Malaria-Pharmaceuticals'!BC14,0)</f>
        <v>0</v>
      </c>
      <c r="N328" s="1194">
        <f>IF(SETUP!$F$50="Upfront",$E$327*'Malaria-Pharmaceuticals'!BD14,0)</f>
        <v>0</v>
      </c>
      <c r="O328" s="1191">
        <f t="shared" si="45"/>
        <v>0</v>
      </c>
      <c r="P328" s="1194">
        <f>IF(SETUP!$F$50="Upfront",$E$327*'Malaria-Pharmaceuticals'!BE14,0)</f>
        <v>0</v>
      </c>
      <c r="Q328" s="1194">
        <f>IF(SETUP!$F$50="Upfront",$E$327*'Malaria-Pharmaceuticals'!BF14,0)</f>
        <v>0</v>
      </c>
      <c r="R328" s="1194">
        <f>IF(SETUP!$F$50="Upfront",$E$327*'Malaria-Pharmaceuticals'!BG14,0)</f>
        <v>0</v>
      </c>
      <c r="S328" s="1194">
        <f>IF(SETUP!$F$50="Upfront",$E$327*'Malaria-Pharmaceuticals'!BH14,0)</f>
        <v>0</v>
      </c>
      <c r="T328" s="1208">
        <f t="shared" si="46"/>
        <v>0</v>
      </c>
      <c r="U328" s="1189">
        <f t="shared" si="47"/>
        <v>0</v>
      </c>
      <c r="V328" s="1795"/>
      <c r="W328" s="1823"/>
      <c r="X328" s="1820"/>
    </row>
    <row r="329" spans="1:24" s="860" customFormat="1" ht="15" hidden="1" customHeight="1" outlineLevel="1">
      <c r="A329" s="2909"/>
      <c r="B329" s="2910"/>
      <c r="C329" s="2889" t="s">
        <v>36</v>
      </c>
      <c r="D329" s="2890"/>
      <c r="E329" s="1880"/>
      <c r="F329" s="1279">
        <v>0</v>
      </c>
      <c r="G329" s="1195">
        <f>IF(SETUP!$F$50="At delivery",IF(SETUP!$G$50=1,$E$327*'Malaria-Pharmaceuticals'!AW14,0),0)</f>
        <v>0</v>
      </c>
      <c r="H329" s="1194">
        <f>IF(SETUP!$F$50="At delivery",IF(SETUP!$G$50=2,$E$327*'Malaria-Pharmaceuticals'!AW14,IF(SETUP!$G$50=1,$E$327*'Malaria-Pharmaceuticals'!AX14,0)),0)</f>
        <v>0</v>
      </c>
      <c r="I329" s="1194">
        <f>IF(SETUP!$F$50="At delivery",IF(SETUP!$G$50=3,$E$327*'Malaria-Pharmaceuticals'!AW14,IF(SETUP!$G$50=2,$E$327*'Malaria-Pharmaceuticals'!AX14,IF(SETUP!$G$50=1,$E$327*'Malaria-Pharmaceuticals'!AY14,0))),0)</f>
        <v>0</v>
      </c>
      <c r="J329" s="1193">
        <f t="shared" ref="J329:J351" si="48">F329+G329+H329+I329</f>
        <v>0</v>
      </c>
      <c r="K329" s="1194">
        <f>IF(SETUP!$F$50="At delivery",IF(SETUP!$G$50=4,$E$327*'Malaria-Pharmaceuticals'!AW14,IF(SETUP!$G$50=3,$E$327*'Malaria-Pharmaceuticals'!AX14,IF(SETUP!$G$50=2,$E$327*'Malaria-Pharmaceuticals'!AY14,IF(SETUP!$G$50=1,$E$327*'Malaria-Pharmaceuticals'!AZ14,0)))),0)</f>
        <v>0</v>
      </c>
      <c r="L329" s="1194">
        <f>IF(SETUP!$F$50="At delivery",IF(SETUP!$G$50=4,$E$327*'Malaria-Pharmaceuticals'!AX14,IF(SETUP!$G$50=3,$E$327*'Malaria-Pharmaceuticals'!AY14,IF(SETUP!$G$50=2,$E$327*'Malaria-Pharmaceuticals'!AZ14,IF(SETUP!$G$50=1,$E$327*'Malaria-Pharmaceuticals'!BA14,0)))),0)</f>
        <v>0</v>
      </c>
      <c r="M329" s="1194">
        <f>IF(SETUP!$F$50="At delivery",IF(SETUP!$G$50=4,$E$327*'Malaria-Pharmaceuticals'!AY14,IF(SETUP!$G$50=3,$E$327*'Malaria-Pharmaceuticals'!AZ14,IF(SETUP!$G$50=2,$E$327*'Malaria-Pharmaceuticals'!BA14,IF(SETUP!$G$50=1,$E$327*'Malaria-Pharmaceuticals'!BB14,0)))),0)</f>
        <v>0</v>
      </c>
      <c r="N329" s="1194">
        <f>IF(SETUP!$F$50="At delivery",IF(SETUP!$G$50=4,$E$327*'Malaria-Pharmaceuticals'!AZ14,IF(SETUP!$G$50=3,$E$327*'Malaria-Pharmaceuticals'!BA14,IF(SETUP!$G$50=2,$E$327*'Malaria-Pharmaceuticals'!BB14,IF(SETUP!$G$50=1,$E$327*'Malaria-Pharmaceuticals'!BC14,0)))),0)</f>
        <v>0</v>
      </c>
      <c r="O329" s="1191">
        <f t="shared" ref="O329:O351" si="49">K329+L329+M329+N329</f>
        <v>0</v>
      </c>
      <c r="P329" s="1189">
        <f>IF(SETUP!$F$50="At delivery",IF(SETUP!$G$50=4,$E$327*'Malaria-Pharmaceuticals'!BA14,IF(SETUP!$G$50=3,$E$327*'Malaria-Pharmaceuticals'!BB14,IF(SETUP!$G$50=2,$E$327*'Malaria-Pharmaceuticals'!BC14,IF(SETUP!$G$50=1,$E$327*'Malaria-Pharmaceuticals'!BD14,0)))),0)</f>
        <v>0</v>
      </c>
      <c r="Q329" s="1189">
        <f>IF(SETUP!$F$50="At delivery",IF(SETUP!$G$50=4,$E$327*'Malaria-Pharmaceuticals'!BB14,IF(SETUP!$G$50=3,$E$327*'Malaria-Pharmaceuticals'!BC14,IF(SETUP!$G$50=2,$E$327*'Malaria-Pharmaceuticals'!BD14,IF(SETUP!$G$50=1,$E$327*'Malaria-Pharmaceuticals'!BE14,0)))),0)</f>
        <v>0</v>
      </c>
      <c r="R329" s="1189">
        <f>IF(SETUP!$F$50="At delivery",IF(SETUP!$G$50=4,$E$327*'Malaria-Pharmaceuticals'!BC14,IF(SETUP!$G$50=3,$E$327*'Malaria-Pharmaceuticals'!BD14,IF(SETUP!$G$50=2,$E$327*'Malaria-Pharmaceuticals'!BE14,IF(SETUP!$G$50=1,$E$327*'Malaria-Pharmaceuticals'!BF14,0)))),0)</f>
        <v>0</v>
      </c>
      <c r="S329" s="1189">
        <f>IF(SETUP!$F$50="At delivery",IF(SETUP!$G$50=4,$E$327*('Malaria-Pharmaceuticals'!BD14+'Malaria-Pharmaceuticals'!BE14+'Malaria-Pharmaceuticals'!BF14+'Malaria-Pharmaceuticals'!BG14+'Malaria-Pharmaceuticals'!BH14),IF(SETUP!$G$50=3,$E$327*('Malaria-Pharmaceuticals'!BE14+'Malaria-Pharmaceuticals'!BF14+'Malaria-Pharmaceuticals'!BG14+'Malaria-Pharmaceuticals'!BH14),IF(SETUP!$G$50=2,$E$327*('Malaria-Pharmaceuticals'!BF14+'Malaria-Pharmaceuticals'!BG14+'Malaria-Pharmaceuticals'!BH14),IF(SETUP!$G$50=1,$E$327*('Malaria-Pharmaceuticals'!BG14+'Malaria-Pharmaceuticals'!BH14),0)))),0)</f>
        <v>0</v>
      </c>
      <c r="T329" s="1208">
        <f t="shared" ref="T329:T351" si="50">P329+Q329+R329+S329</f>
        <v>0</v>
      </c>
      <c r="U329" s="1189">
        <f t="shared" ref="U329:U351" si="51">J329+O329+T329</f>
        <v>0</v>
      </c>
      <c r="V329" s="1795"/>
      <c r="W329" s="1823"/>
      <c r="X329" s="1820"/>
    </row>
    <row r="330" spans="1:24" s="860" customFormat="1" ht="15" hidden="1" customHeight="1" collapsed="1">
      <c r="A330" s="2909"/>
      <c r="B330" s="2910"/>
      <c r="C330" s="2891" t="s">
        <v>578</v>
      </c>
      <c r="D330" s="2892"/>
      <c r="E330" s="1880">
        <v>0</v>
      </c>
      <c r="F330" s="1279">
        <f>IF(SETUP!$F$51="Upfront",F331,F332)</f>
        <v>0</v>
      </c>
      <c r="G330" s="1189">
        <f>IF(SETUP!$F$51="Upfront",G331,G332)</f>
        <v>0</v>
      </c>
      <c r="H330" s="1189">
        <f>IF(SETUP!$F$51="Upfront",H331,H332)</f>
        <v>0</v>
      </c>
      <c r="I330" s="1189">
        <f>IF(SETUP!$F$51="Upfront",I331,I332)</f>
        <v>0</v>
      </c>
      <c r="J330" s="1193">
        <f t="shared" si="48"/>
        <v>0</v>
      </c>
      <c r="K330" s="1189">
        <f>IF(SETUP!$F$51="Upfront",K331,K332)</f>
        <v>0</v>
      </c>
      <c r="L330" s="1189">
        <f>IF(SETUP!$F$51="Upfront",L331,L332)</f>
        <v>0</v>
      </c>
      <c r="M330" s="1189">
        <f>IF(SETUP!$F$51="Upfront",M331,M332)</f>
        <v>0</v>
      </c>
      <c r="N330" s="1189">
        <f>IF(SETUP!$F$51="Upfront",N331,N332)</f>
        <v>0</v>
      </c>
      <c r="O330" s="1191">
        <f t="shared" si="49"/>
        <v>0</v>
      </c>
      <c r="P330" s="1189">
        <f>IF(SETUP!$F$51="Upfront",P331,P332)</f>
        <v>0</v>
      </c>
      <c r="Q330" s="1189">
        <f>IF(SETUP!$F$51="Upfront",Q331,Q332)</f>
        <v>0</v>
      </c>
      <c r="R330" s="1189">
        <f>IF(SETUP!$F$51="Upfront",R331,R332)</f>
        <v>0</v>
      </c>
      <c r="S330" s="1189">
        <f>IF(SETUP!$F$51="Upfront",S331,S332)</f>
        <v>0</v>
      </c>
      <c r="T330" s="1208">
        <f t="shared" si="50"/>
        <v>0</v>
      </c>
      <c r="U330" s="1189">
        <f t="shared" si="51"/>
        <v>0</v>
      </c>
      <c r="V330" s="1795">
        <v>7.6</v>
      </c>
      <c r="W330" s="1823"/>
      <c r="X330" s="1820"/>
    </row>
    <row r="331" spans="1:24" s="860" customFormat="1" ht="15" hidden="1" customHeight="1" outlineLevel="1">
      <c r="A331" s="2909"/>
      <c r="B331" s="2910"/>
      <c r="C331" s="2889" t="s">
        <v>918</v>
      </c>
      <c r="D331" s="2890"/>
      <c r="E331" s="1880"/>
      <c r="F331" s="1279">
        <f>IF(SETUP!$F$51="Upfront",$E$330*'Malaria-Pharmaceuticals'!AW15,0)</f>
        <v>0</v>
      </c>
      <c r="G331" s="1189">
        <f>IF(SETUP!$F$51="Upfront",$E$330*'Malaria-Pharmaceuticals'!AX15,0)</f>
        <v>0</v>
      </c>
      <c r="H331" s="1189">
        <f>IF(SETUP!$F$51="Upfront",$E$330*'Malaria-Pharmaceuticals'!AY15,0)</f>
        <v>0</v>
      </c>
      <c r="I331" s="1189">
        <f>IF(SETUP!$F$51="Upfront",$E$330*'Malaria-Pharmaceuticals'!AZ15,0)</f>
        <v>0</v>
      </c>
      <c r="J331" s="1193">
        <f t="shared" si="48"/>
        <v>0</v>
      </c>
      <c r="K331" s="1189">
        <f>IF(SETUP!$F$51="Upfront",$E$330*'Malaria-Pharmaceuticals'!BA15,0)</f>
        <v>0</v>
      </c>
      <c r="L331" s="1189">
        <f>IF(SETUP!$F$51="Upfront",$E$330*'Malaria-Pharmaceuticals'!BB15,0)</f>
        <v>0</v>
      </c>
      <c r="M331" s="1189">
        <f>IF(SETUP!$F$51="Upfront",$E$330*'Malaria-Pharmaceuticals'!BC15,0)</f>
        <v>0</v>
      </c>
      <c r="N331" s="1189">
        <f>IF(SETUP!$F$51="Upfront",$E$330*'Malaria-Pharmaceuticals'!BD15,0)</f>
        <v>0</v>
      </c>
      <c r="O331" s="1191">
        <f t="shared" si="49"/>
        <v>0</v>
      </c>
      <c r="P331" s="1189">
        <f>IF(SETUP!$F$51="Upfront",$E$330*'Malaria-Pharmaceuticals'!BE15,0)</f>
        <v>0</v>
      </c>
      <c r="Q331" s="1189">
        <f>IF(SETUP!$F$51="Upfront",$E$330*'Malaria-Pharmaceuticals'!BF15,0)</f>
        <v>0</v>
      </c>
      <c r="R331" s="1189">
        <f>IF(SETUP!$F$51="Upfront",$E$330*'Malaria-Pharmaceuticals'!BG15,0)</f>
        <v>0</v>
      </c>
      <c r="S331" s="1189">
        <f>IF(SETUP!$F$51="Upfront",$E$330*'Malaria-Pharmaceuticals'!BH15,0)</f>
        <v>0</v>
      </c>
      <c r="T331" s="1208">
        <f t="shared" si="50"/>
        <v>0</v>
      </c>
      <c r="U331" s="1189">
        <f t="shared" si="51"/>
        <v>0</v>
      </c>
      <c r="V331" s="1795"/>
      <c r="W331" s="1823"/>
      <c r="X331" s="1820"/>
    </row>
    <row r="332" spans="1:24" s="860" customFormat="1" ht="15" hidden="1" customHeight="1" outlineLevel="1">
      <c r="A332" s="2909"/>
      <c r="B332" s="2910"/>
      <c r="C332" s="2889" t="s">
        <v>36</v>
      </c>
      <c r="D332" s="2890"/>
      <c r="E332" s="1880"/>
      <c r="F332" s="1279">
        <v>0</v>
      </c>
      <c r="G332" s="1195">
        <f>IF(SETUP!$F$51="At delivery",IF(SETUP!$G$51=1,$E$330*'Malaria-Pharmaceuticals'!AW15,0),0)</f>
        <v>0</v>
      </c>
      <c r="H332" s="1194">
        <f>IF(SETUP!$F$51="At delivery",IF(SETUP!$G$51=2,$E$330*'Malaria-Pharmaceuticals'!AW15,IF(SETUP!$G$51=1,$E$330*'Malaria-Pharmaceuticals'!AX15,0)),0)</f>
        <v>0</v>
      </c>
      <c r="I332" s="1194">
        <f>IF(SETUP!$F$51="At delivery",IF(SETUP!$G$51=3,$E$330*'Malaria-Pharmaceuticals'!AW15,IF(SETUP!$G$51=2,$E$330*'Malaria-Pharmaceuticals'!AX15,IF(SETUP!$G$51=1,$E$330*'Malaria-Pharmaceuticals'!AY15,0))),0)</f>
        <v>0</v>
      </c>
      <c r="J332" s="1193">
        <f t="shared" si="48"/>
        <v>0</v>
      </c>
      <c r="K332" s="1194">
        <f>IF(SETUP!$F$51="At delivery",IF(SETUP!$G$51=4,$E$330*'Malaria-Pharmaceuticals'!AW15,IF(SETUP!$G$51=3,$E$330*'Malaria-Pharmaceuticals'!AX15,IF(SETUP!$G$51=2,$E$330*'Malaria-Pharmaceuticals'!AY15,IF(SETUP!$G$51=1,$E$330*'Malaria-Pharmaceuticals'!AZ15,0)))),0)</f>
        <v>0</v>
      </c>
      <c r="L332" s="1194">
        <f>IF(SETUP!$F$51="At delivery",IF(SETUP!$G$51=4,$E$330*'Malaria-Pharmaceuticals'!AX15,IF(SETUP!$G$51=3,$E$330*'Malaria-Pharmaceuticals'!AY15,IF(SETUP!$G$51=2,$E$330*'Malaria-Pharmaceuticals'!AZ15,IF(SETUP!$G$51=1,$E$330*'Malaria-Pharmaceuticals'!BA15,0)))),0)</f>
        <v>0</v>
      </c>
      <c r="M332" s="1194">
        <f>IF(SETUP!$F$51="At delivery",IF(SETUP!$G$51=4,$E$330*'Malaria-Pharmaceuticals'!AY15,IF(SETUP!$G$51=3,$E$330*'Malaria-Pharmaceuticals'!AZ15,IF(SETUP!$G$51=2,$E$330*'Malaria-Pharmaceuticals'!BA15,IF(SETUP!$G$51=1,$E$330*'Malaria-Pharmaceuticals'!BB15,0)))),0)</f>
        <v>0</v>
      </c>
      <c r="N332" s="1194">
        <f>IF(SETUP!$F$51="At delivery",IF(SETUP!$G$51=4,$E$330*'Malaria-Pharmaceuticals'!AZ15,IF(SETUP!$G$51=3,$E$330*'Malaria-Pharmaceuticals'!BA15,IF(SETUP!$G$51=2,$E$330*'Malaria-Pharmaceuticals'!BB15,IF(SETUP!$G$51=1,$E$330*'Malaria-Pharmaceuticals'!BC15,0)))),0)</f>
        <v>0</v>
      </c>
      <c r="O332" s="1191">
        <f t="shared" si="49"/>
        <v>0</v>
      </c>
      <c r="P332" s="1189">
        <f>IF(SETUP!$F$51="At delivery",IF(SETUP!$G$51=4,$E$330*'Malaria-Pharmaceuticals'!BA15,IF(SETUP!$G$51=3,$E$330*'Malaria-Pharmaceuticals'!BB15,IF(SETUP!$G$51=2,$E$330*'Malaria-Pharmaceuticals'!BC15,IF(SETUP!$G$51=1,$E$330*'Malaria-Pharmaceuticals'!BD15,0)))),0)</f>
        <v>0</v>
      </c>
      <c r="Q332" s="1189">
        <f>IF(SETUP!$F$51="At delivery",IF(SETUP!$G$51=4,$E$330*'Malaria-Pharmaceuticals'!BB15,IF(SETUP!$G$51=3,$E$330*'Malaria-Pharmaceuticals'!BC15,IF(SETUP!$G$51=2,$E$330*'Malaria-Pharmaceuticals'!BD15,IF(SETUP!$G$51=1,$E$330*'Malaria-Pharmaceuticals'!BE15,0)))),0)</f>
        <v>0</v>
      </c>
      <c r="R332" s="1189">
        <f>IF(SETUP!$F$51="At delivery",IF(SETUP!$G$51=4,$E$330*'Malaria-Pharmaceuticals'!BC15,IF(SETUP!$G$51=3,$E$330*'Malaria-Pharmaceuticals'!BD15,IF(SETUP!$G$51=2,$E$330*'Malaria-Pharmaceuticals'!BE15,IF(SETUP!$G$51=1,$E$330*'Malaria-Pharmaceuticals'!BF15,0)))),0)</f>
        <v>0</v>
      </c>
      <c r="S332" s="1189">
        <f>IF(SETUP!$F$51="At delivery",IF(SETUP!$G$51=4,$E$330*('Malaria-Pharmaceuticals'!BD15+'Malaria-Pharmaceuticals'!BE15+'Malaria-Pharmaceuticals'!BF15+'Malaria-Pharmaceuticals'!BG15+'Malaria-Pharmaceuticals'!BH15),IF(SETUP!$G$51=3,$E$330*('Malaria-Pharmaceuticals'!BE15+'Malaria-Pharmaceuticals'!BF15+'Malaria-Pharmaceuticals'!BG15+'Malaria-Pharmaceuticals'!BH15),IF(SETUP!$G$51=2,$E$330*('Malaria-Pharmaceuticals'!BF15+'Malaria-Pharmaceuticals'!BG15+'Malaria-Pharmaceuticals'!BH15),IF(SETUP!$G$51=1,$E$330*('Malaria-Pharmaceuticals'!BG15+'Malaria-Pharmaceuticals'!BH15),0)))),0)</f>
        <v>0</v>
      </c>
      <c r="T332" s="1208">
        <f t="shared" si="50"/>
        <v>0</v>
      </c>
      <c r="U332" s="1189">
        <f t="shared" si="51"/>
        <v>0</v>
      </c>
      <c r="V332" s="1795"/>
      <c r="W332" s="1823"/>
      <c r="X332" s="1820"/>
    </row>
    <row r="333" spans="1:24" s="860" customFormat="1" ht="15" hidden="1" customHeight="1" collapsed="1">
      <c r="A333" s="2926" t="s">
        <v>579</v>
      </c>
      <c r="B333" s="2927"/>
      <c r="C333" s="2907" t="s">
        <v>311</v>
      </c>
      <c r="D333" s="2908"/>
      <c r="E333" s="1880">
        <v>0</v>
      </c>
      <c r="F333" s="1279">
        <f>IF(SETUP!$F$52="Upfront",F334,F335)</f>
        <v>0</v>
      </c>
      <c r="G333" s="1189">
        <f>IF(SETUP!$F$52="Upfront",G334,G335)</f>
        <v>0</v>
      </c>
      <c r="H333" s="1189">
        <f>IF(SETUP!$F$52="Upfront",H334,H335)</f>
        <v>0</v>
      </c>
      <c r="I333" s="1189">
        <f>IF(SETUP!$F$52="Upfront",I334,I335)</f>
        <v>0</v>
      </c>
      <c r="J333" s="1193">
        <f t="shared" si="48"/>
        <v>0</v>
      </c>
      <c r="K333" s="1189">
        <f>IF(SETUP!$F$52="Upfront",K334,K335)</f>
        <v>0</v>
      </c>
      <c r="L333" s="1189">
        <f>IF(SETUP!$F$52="Upfront",L334,L335)</f>
        <v>0</v>
      </c>
      <c r="M333" s="1189">
        <f>IF(SETUP!$F$52="Upfront",M334,M335)</f>
        <v>0</v>
      </c>
      <c r="N333" s="1189">
        <f>IF(SETUP!$F$52="Upfront",N334,N335)</f>
        <v>0</v>
      </c>
      <c r="O333" s="1191">
        <f t="shared" si="49"/>
        <v>0</v>
      </c>
      <c r="P333" s="1189">
        <f>IF(SETUP!$F$52="Upfront",P334,P335)</f>
        <v>0</v>
      </c>
      <c r="Q333" s="1189">
        <f>IF(SETUP!$F$52="Upfront",Q334,Q335)</f>
        <v>0</v>
      </c>
      <c r="R333" s="1189">
        <f>IF(SETUP!$F$52="Upfront",R334,R335)</f>
        <v>0</v>
      </c>
      <c r="S333" s="1189">
        <f>IF(SETUP!$F$52="Upfront",S334,S335)</f>
        <v>0</v>
      </c>
      <c r="T333" s="1208">
        <f t="shared" si="50"/>
        <v>0</v>
      </c>
      <c r="U333" s="1189">
        <f t="shared" si="51"/>
        <v>0</v>
      </c>
      <c r="V333" s="1795">
        <v>7.6</v>
      </c>
      <c r="W333" s="1823"/>
      <c r="X333" s="1820"/>
    </row>
    <row r="334" spans="1:24" s="860" customFormat="1" ht="15" hidden="1" customHeight="1" outlineLevel="1">
      <c r="A334" s="2928"/>
      <c r="B334" s="2929"/>
      <c r="C334" s="2889" t="s">
        <v>918</v>
      </c>
      <c r="D334" s="2890"/>
      <c r="E334" s="1880"/>
      <c r="F334" s="1279">
        <f>IF(SETUP!$F$52="Upfront",$E$333*'Malaria-Equipment &amp; Other HPs'!AW14,0)</f>
        <v>0</v>
      </c>
      <c r="G334" s="1189">
        <f>IF(SETUP!$F$52="Upfront",$E$333*'Malaria-Equipment &amp; Other HPs'!AX14,0)</f>
        <v>0</v>
      </c>
      <c r="H334" s="1189">
        <f>IF(SETUP!$F$52="Upfront",$E$333*'Malaria-Equipment &amp; Other HPs'!AY14,0)</f>
        <v>0</v>
      </c>
      <c r="I334" s="1189">
        <f>IF(SETUP!$F$52="Upfront",$E$333*'Malaria-Equipment &amp; Other HPs'!AZ14,0)</f>
        <v>0</v>
      </c>
      <c r="J334" s="1193">
        <f t="shared" si="48"/>
        <v>0</v>
      </c>
      <c r="K334" s="1189">
        <f>IF(SETUP!$F$52="Upfront",$E$333*'Malaria-Equipment &amp; Other HPs'!BA14,0)</f>
        <v>0</v>
      </c>
      <c r="L334" s="1189">
        <f>IF(SETUP!$F$52="Upfront",$E$333*'Malaria-Equipment &amp; Other HPs'!BB14,0)</f>
        <v>0</v>
      </c>
      <c r="M334" s="1189">
        <f>IF(SETUP!$F$52="Upfront",$E$333*'Malaria-Equipment &amp; Other HPs'!BC14,0)</f>
        <v>0</v>
      </c>
      <c r="N334" s="1189">
        <f>IF(SETUP!$F$52="Upfront",$E$333*'Malaria-Equipment &amp; Other HPs'!BD14,0)</f>
        <v>0</v>
      </c>
      <c r="O334" s="1191">
        <f t="shared" si="49"/>
        <v>0</v>
      </c>
      <c r="P334" s="1189">
        <f>IF(SETUP!$F$52="Upfront",$E$333*'Malaria-Equipment &amp; Other HPs'!BE14,0)</f>
        <v>0</v>
      </c>
      <c r="Q334" s="1189">
        <f>IF(SETUP!$F$52="Upfront",$E$333*'Malaria-Equipment &amp; Other HPs'!BF14,0)</f>
        <v>0</v>
      </c>
      <c r="R334" s="1189">
        <f>IF(SETUP!$F$52="Upfront",$E$333*'Malaria-Equipment &amp; Other HPs'!BG14,0)</f>
        <v>0</v>
      </c>
      <c r="S334" s="1189">
        <f>IF(SETUP!$F$52="Upfront",$E$333*'Malaria-Equipment &amp; Other HPs'!BH14,0)</f>
        <v>0</v>
      </c>
      <c r="T334" s="1208">
        <f t="shared" si="50"/>
        <v>0</v>
      </c>
      <c r="U334" s="1189">
        <f t="shared" si="51"/>
        <v>0</v>
      </c>
      <c r="V334" s="1795"/>
      <c r="W334" s="1823"/>
      <c r="X334" s="1820"/>
    </row>
    <row r="335" spans="1:24" s="860" customFormat="1" ht="15" hidden="1" customHeight="1" outlineLevel="1">
      <c r="A335" s="2928"/>
      <c r="B335" s="2929"/>
      <c r="C335" s="2889" t="s">
        <v>36</v>
      </c>
      <c r="D335" s="2890"/>
      <c r="E335" s="1880"/>
      <c r="F335" s="1279">
        <v>0</v>
      </c>
      <c r="G335" s="1195">
        <f>IF(SETUP!$F$52="At delivery",IF(SETUP!$G$52=1,$E$333*'Malaria-Equipment &amp; Other HPs'!AW14,0),0)</f>
        <v>0</v>
      </c>
      <c r="H335" s="1194">
        <f>IF(SETUP!$F$52="At delivery",IF(SETUP!$G$52=2,$E$333*'Malaria-Equipment &amp; Other HPs'!AW14,IF(SETUP!$G$52=1,$E$333*'Malaria-Equipment &amp; Other HPs'!AX14,0)),0)</f>
        <v>0</v>
      </c>
      <c r="I335" s="1194">
        <f>IF(SETUP!$F$52="At delivery",IF(SETUP!$G$52=3,$E$333*'Malaria-Equipment &amp; Other HPs'!AW14,IF(SETUP!$G$52=2,$E$333*'Malaria-Equipment &amp; Other HPs'!AX14,IF(SETUP!$G$52=1,$E$333*'Malaria-Equipment &amp; Other HPs'!AY14,0))),0)</f>
        <v>0</v>
      </c>
      <c r="J335" s="1193">
        <f t="shared" si="48"/>
        <v>0</v>
      </c>
      <c r="K335" s="1194">
        <f>IF(SETUP!$F$52="At delivery",IF(SETUP!$G$52=4,$E$333*'Malaria-Equipment &amp; Other HPs'!AW14,IF(SETUP!$G$52=3,$E$333*'Malaria-Equipment &amp; Other HPs'!AX14,IF(SETUP!$G$52=2,$E$333*'Malaria-Equipment &amp; Other HPs'!AY14,IF(SETUP!$G$52=1,$E$333*'Malaria-Equipment &amp; Other HPs'!AZ14,0)))),0)</f>
        <v>0</v>
      </c>
      <c r="L335" s="1194">
        <f>IF(SETUP!$F$52="At delivery",IF(SETUP!$G$52=4,$E$333*'Malaria-Equipment &amp; Other HPs'!AX14,IF(SETUP!$G$52=3,$E$333*'Malaria-Equipment &amp; Other HPs'!AY14,IF(SETUP!$G$52=2,$E$333*'Malaria-Equipment &amp; Other HPs'!AZ14,IF(SETUP!$G$52=1,$E$333*'Malaria-Equipment &amp; Other HPs'!BA14,0)))),0)</f>
        <v>0</v>
      </c>
      <c r="M335" s="1194">
        <f>IF(SETUP!$F$52="At delivery",IF(SETUP!$G$52=4,$E$333*'Malaria-Equipment &amp; Other HPs'!AY14,IF(SETUP!$G$52=3,$E$333*'Malaria-Equipment &amp; Other HPs'!AZ14,IF(SETUP!$G$52=2,$E$333*'Malaria-Equipment &amp; Other HPs'!BA14,IF(SETUP!$G$52=1,$E$333*'Malaria-Equipment &amp; Other HPs'!BB14,0)))),0)</f>
        <v>0</v>
      </c>
      <c r="N335" s="1194">
        <f>IF(SETUP!$F$52="At delivery",IF(SETUP!$G$52=4,$E$333*'Malaria-Equipment &amp; Other HPs'!AZ14,IF(SETUP!$G$52=3,$E$333*'Malaria-Equipment &amp; Other HPs'!BA14,IF(SETUP!$G$52=2,$E$333*'Malaria-Equipment &amp; Other HPs'!BB14,IF(SETUP!$G$52=1,$E$333*'Malaria-Equipment &amp; Other HPs'!BC14,0)))),0)</f>
        <v>0</v>
      </c>
      <c r="O335" s="1191">
        <f t="shared" si="49"/>
        <v>0</v>
      </c>
      <c r="P335" s="1189">
        <f>IF(SETUP!$F$52="At delivery",IF(SETUP!$G$52=4,$E$333*'Malaria-Equipment &amp; Other HPs'!BA14,IF(SETUP!$G$52=3,$E$333*'Malaria-Equipment &amp; Other HPs'!BB14,IF(SETUP!$G$52=2,$E$333*'Malaria-Equipment &amp; Other HPs'!BC14,IF(SETUP!$G$52=1,$E$333*'Malaria-Equipment &amp; Other HPs'!BD14,0)))),0)</f>
        <v>0</v>
      </c>
      <c r="Q335" s="1189">
        <f>IF(SETUP!$F$52="At delivery",IF(SETUP!$G$52=4,$E$333*'Malaria-Equipment &amp; Other HPs'!BB14,IF(SETUP!$G$52=3,$E$333*'Malaria-Equipment &amp; Other HPs'!BC14,IF(SETUP!$G$52=2,$E$333*'Malaria-Equipment &amp; Other HPs'!BD14,IF(SETUP!$G$52=1,$E$333*'Malaria-Equipment &amp; Other HPs'!BE14,0)))),0)</f>
        <v>0</v>
      </c>
      <c r="R335" s="1189">
        <f>IF(SETUP!$F$52="At delivery",IF(SETUP!$G$52=4,$E$333*'Malaria-Equipment &amp; Other HPs'!BC14,IF(SETUP!$G$52=3,$E$333*'Malaria-Equipment &amp; Other HPs'!BD14,IF(SETUP!$G$52=2,$E$333*'Malaria-Equipment &amp; Other HPs'!BE14,IF(SETUP!$G$52=1,$E$333*'Malaria-Equipment &amp; Other HPs'!BF14,0)))),0)</f>
        <v>0</v>
      </c>
      <c r="S335" s="1189">
        <f>IF(SETUP!$F$52="At delivery",IF(SETUP!$G$52=4,$E$333*('Malaria-Equipment &amp; Other HPs'!BD14+'Malaria-Equipment &amp; Other HPs'!BE14+'Malaria-Equipment &amp; Other HPs'!BF14+'Malaria-Equipment &amp; Other HPs'!BG14+'Malaria-Equipment &amp; Other HPs'!BH14),IF(SETUP!$G$52=3,$E$333*('Malaria-Equipment &amp; Other HPs'!BE14+'Malaria-Equipment &amp; Other HPs'!BF14+'Malaria-Equipment &amp; Other HPs'!BG14+'Malaria-Equipment &amp; Other HPs'!BH14),IF(SETUP!$G$52=2,$E$333*('Malaria-Equipment &amp; Other HPs'!BF14+'Malaria-Equipment &amp; Other HPs'!BG14+'Malaria-Equipment &amp; Other HPs'!BH14),IF(SETUP!$G$52=1,$E$333*('Malaria-Equipment &amp; Other HPs'!BG14+'Malaria-Equipment &amp; Other HPs'!BH14),0)))),0)</f>
        <v>0</v>
      </c>
      <c r="T335" s="1208">
        <f t="shared" si="50"/>
        <v>0</v>
      </c>
      <c r="U335" s="1189">
        <f t="shared" si="51"/>
        <v>0</v>
      </c>
      <c r="V335" s="1795"/>
      <c r="W335" s="1823"/>
      <c r="X335" s="1820"/>
    </row>
    <row r="336" spans="1:24" s="860" customFormat="1" ht="15" hidden="1" customHeight="1" collapsed="1">
      <c r="A336" s="2928"/>
      <c r="B336" s="2929"/>
      <c r="C336" s="2907" t="s">
        <v>580</v>
      </c>
      <c r="D336" s="2908"/>
      <c r="E336" s="1880">
        <v>0</v>
      </c>
      <c r="F336" s="1279">
        <f>IF(SETUP!$F$53="Upfront",F337,F338)</f>
        <v>0</v>
      </c>
      <c r="G336" s="1189">
        <f>IF(SETUP!$F$53="Upfront",G337,G338)</f>
        <v>0</v>
      </c>
      <c r="H336" s="1189">
        <f>IF(SETUP!$F$53="Upfront",H337,H338)</f>
        <v>0</v>
      </c>
      <c r="I336" s="1189">
        <f>IF(SETUP!$F$53="Upfront",I337,I338)</f>
        <v>0</v>
      </c>
      <c r="J336" s="1193">
        <f t="shared" si="48"/>
        <v>0</v>
      </c>
      <c r="K336" s="1189">
        <f>IF(SETUP!$F$53="Upfront",K337,K338)</f>
        <v>0</v>
      </c>
      <c r="L336" s="1189">
        <f>IF(SETUP!$F$53="Upfront",L337,L338)</f>
        <v>0</v>
      </c>
      <c r="M336" s="1189">
        <f>IF(SETUP!$F$53="Upfront",M337,M338)</f>
        <v>0</v>
      </c>
      <c r="N336" s="1189">
        <f>IF(SETUP!$F$53="Upfront",N337,N338)</f>
        <v>0</v>
      </c>
      <c r="O336" s="1191">
        <f t="shared" si="49"/>
        <v>0</v>
      </c>
      <c r="P336" s="1189">
        <f>IF(SETUP!$F$53="Upfront",P337,P338)</f>
        <v>0</v>
      </c>
      <c r="Q336" s="1189">
        <f>IF(SETUP!$F$53="Upfront",Q337,Q338)</f>
        <v>0</v>
      </c>
      <c r="R336" s="1189">
        <f>IF(SETUP!$F$53="Upfront",R337,R338)</f>
        <v>0</v>
      </c>
      <c r="S336" s="1189">
        <f>IF(SETUP!$F$53="Upfront",S337,S338)</f>
        <v>0</v>
      </c>
      <c r="T336" s="1208">
        <f t="shared" si="50"/>
        <v>0</v>
      </c>
      <c r="U336" s="1189">
        <f t="shared" si="51"/>
        <v>0</v>
      </c>
      <c r="V336" s="1795">
        <v>7.6</v>
      </c>
      <c r="W336" s="1823"/>
      <c r="X336" s="1820"/>
    </row>
    <row r="337" spans="1:24" s="860" customFormat="1" ht="15" hidden="1" customHeight="1" outlineLevel="1">
      <c r="A337" s="2928"/>
      <c r="B337" s="2929"/>
      <c r="C337" s="2889" t="s">
        <v>918</v>
      </c>
      <c r="D337" s="2890"/>
      <c r="E337" s="1880"/>
      <c r="F337" s="1279">
        <f>IF(SETUP!$F$53="Upfront",$E$336*'Malaria-Equipment &amp; Other HPs'!AW15,0)</f>
        <v>0</v>
      </c>
      <c r="G337" s="1189">
        <f>IF(SETUP!$F$53="Upfront",$E$336*'Malaria-Equipment &amp; Other HPs'!AX15,0)</f>
        <v>0</v>
      </c>
      <c r="H337" s="1189">
        <f>IF(SETUP!$F$53="Upfront",$E$336*'Malaria-Equipment &amp; Other HPs'!AY15,0)</f>
        <v>0</v>
      </c>
      <c r="I337" s="1189">
        <f>IF(SETUP!$F$53="Upfront",$E$336*'Malaria-Equipment &amp; Other HPs'!AZ15,0)</f>
        <v>0</v>
      </c>
      <c r="J337" s="1193">
        <f t="shared" si="48"/>
        <v>0</v>
      </c>
      <c r="K337" s="1189">
        <f>IF(SETUP!$F$53="Upfront",$E$336*'Malaria-Equipment &amp; Other HPs'!BA15,0)</f>
        <v>0</v>
      </c>
      <c r="L337" s="1189">
        <f>IF(SETUP!$F$53="Upfront",$E$336*'Malaria-Equipment &amp; Other HPs'!BB15,0)</f>
        <v>0</v>
      </c>
      <c r="M337" s="1189">
        <f>IF(SETUP!$F$53="Upfront",$E$336*'Malaria-Equipment &amp; Other HPs'!BC15,0)</f>
        <v>0</v>
      </c>
      <c r="N337" s="1189">
        <f>IF(SETUP!$F$53="Upfront",$E$336*'Malaria-Equipment &amp; Other HPs'!BD15,0)</f>
        <v>0</v>
      </c>
      <c r="O337" s="1191">
        <f t="shared" si="49"/>
        <v>0</v>
      </c>
      <c r="P337" s="1189">
        <f>IF(SETUP!$F$53="Upfront",$E$336*'Malaria-Equipment &amp; Other HPs'!BE15,0)</f>
        <v>0</v>
      </c>
      <c r="Q337" s="1189">
        <f>IF(SETUP!$F$53="Upfront",$E$336*'Malaria-Equipment &amp; Other HPs'!BF15,0)</f>
        <v>0</v>
      </c>
      <c r="R337" s="1189">
        <f>IF(SETUP!$F$53="Upfront",$E$336*'Malaria-Equipment &amp; Other HPs'!BG15,0)</f>
        <v>0</v>
      </c>
      <c r="S337" s="1189">
        <f>IF(SETUP!$F$53="Upfront",$E$336*'Malaria-Equipment &amp; Other HPs'!BH15,0)</f>
        <v>0</v>
      </c>
      <c r="T337" s="1208">
        <f t="shared" si="50"/>
        <v>0</v>
      </c>
      <c r="U337" s="1189">
        <f t="shared" si="51"/>
        <v>0</v>
      </c>
      <c r="V337" s="1795"/>
      <c r="W337" s="1823"/>
      <c r="X337" s="1820"/>
    </row>
    <row r="338" spans="1:24" s="860" customFormat="1" ht="15" hidden="1" customHeight="1" outlineLevel="1">
      <c r="A338" s="2928"/>
      <c r="B338" s="2929"/>
      <c r="C338" s="2889" t="s">
        <v>36</v>
      </c>
      <c r="D338" s="2890"/>
      <c r="E338" s="1880"/>
      <c r="F338" s="1279">
        <v>0</v>
      </c>
      <c r="G338" s="1195">
        <f>IF(SETUP!$F$53="At delivery",IF(SETUP!$G$53=1,$E$336*'Malaria-Equipment &amp; Other HPs'!AW15,0),0)</f>
        <v>0</v>
      </c>
      <c r="H338" s="1194">
        <f>IF(SETUP!$F$53="At delivery",IF(SETUP!$G$53=2,$E$336*'Malaria-Equipment &amp; Other HPs'!AW15,IF(SETUP!$G$53=1,$E$336*'Malaria-Equipment &amp; Other HPs'!AX15,0)),0)</f>
        <v>0</v>
      </c>
      <c r="I338" s="1194">
        <f>IF(SETUP!$F$53="At delivery",IF(SETUP!$G$53=3,$E$336*'Malaria-Equipment &amp; Other HPs'!AW15,IF(SETUP!$G$53=2,$E$336*'Malaria-Equipment &amp; Other HPs'!AX15,IF(SETUP!$G$53=1,$E$336*'Malaria-Equipment &amp; Other HPs'!AY15,0))),0)</f>
        <v>0</v>
      </c>
      <c r="J338" s="1193">
        <f t="shared" si="48"/>
        <v>0</v>
      </c>
      <c r="K338" s="1194">
        <f>IF(SETUP!$F$53="At delivery",IF(SETUP!$G$53=4,$E$336*'Malaria-Equipment &amp; Other HPs'!AW15,IF(SETUP!$G$53=3,$E$336*'Malaria-Equipment &amp; Other HPs'!AX15,IF(SETUP!$G$53=2,$E$336*'Malaria-Equipment &amp; Other HPs'!AY15,IF(SETUP!$G$53=1,$E$336*'Malaria-Equipment &amp; Other HPs'!AZ15,0)))),0)</f>
        <v>0</v>
      </c>
      <c r="L338" s="1194">
        <f>IF(SETUP!$F$53="At delivery",IF(SETUP!$G$53=4,$E$336*'Malaria-Equipment &amp; Other HPs'!AX15,IF(SETUP!$G$53=3,$E$336*'Malaria-Equipment &amp; Other HPs'!AY15,IF(SETUP!$G$53=2,$E$336*'Malaria-Equipment &amp; Other HPs'!AZ15,IF(SETUP!$G$53=1,$E$336*'Malaria-Equipment &amp; Other HPs'!BA15,0)))),0)</f>
        <v>0</v>
      </c>
      <c r="M338" s="1194">
        <f>IF(SETUP!$F$53="At delivery",IF(SETUP!$G$53=4,$E$336*'Malaria-Equipment &amp; Other HPs'!AY15,IF(SETUP!$G$53=3,$E$336*'Malaria-Equipment &amp; Other HPs'!AZ15,IF(SETUP!$G$53=2,$E$336*'Malaria-Equipment &amp; Other HPs'!BA15,IF(SETUP!$G$53=1,$E$336*'Malaria-Equipment &amp; Other HPs'!BB15,0)))),0)</f>
        <v>0</v>
      </c>
      <c r="N338" s="1194">
        <f>IF(SETUP!$F$53="At delivery",IF(SETUP!$G$53=4,$E$336*'Malaria-Equipment &amp; Other HPs'!AZ15,IF(SETUP!$G$53=3,$E$336*'Malaria-Equipment &amp; Other HPs'!BA15,IF(SETUP!$G$53=2,$E$336*'Malaria-Equipment &amp; Other HPs'!BB15,IF(SETUP!$G$53=1,$E$336*'Malaria-Equipment &amp; Other HPs'!BC15,0)))),0)</f>
        <v>0</v>
      </c>
      <c r="O338" s="1191">
        <f t="shared" si="49"/>
        <v>0</v>
      </c>
      <c r="P338" s="1189">
        <f>IF(SETUP!$F$53="At delivery",IF(SETUP!$G$53=4,$E$336*'Malaria-Equipment &amp; Other HPs'!BA15,IF(SETUP!$G$53=3,$E$336*'Malaria-Equipment &amp; Other HPs'!BB15,IF(SETUP!$G$53=2,$E$336*'Malaria-Equipment &amp; Other HPs'!BC15,IF(SETUP!$G$53=1,$E$336*'Malaria-Equipment &amp; Other HPs'!BD15,0)))),0)</f>
        <v>0</v>
      </c>
      <c r="Q338" s="1189">
        <f>IF(SETUP!$F$53="At delivery",IF(SETUP!$G$53=4,$E$336*'Malaria-Equipment &amp; Other HPs'!BB15,IF(SETUP!$G$53=3,$E$336*'Malaria-Equipment &amp; Other HPs'!BC15,IF(SETUP!$G$53=2,$E$336*'Malaria-Equipment &amp; Other HPs'!BD15,IF(SETUP!$G$53=1,$E$336*'Malaria-Equipment &amp; Other HPs'!BE15,0)))),0)</f>
        <v>0</v>
      </c>
      <c r="R338" s="1189">
        <f>IF(SETUP!$F$53="At delivery",IF(SETUP!$G$53=4,$E$336*'Malaria-Equipment &amp; Other HPs'!BC15,IF(SETUP!$G$53=3,$E$336*'Malaria-Equipment &amp; Other HPs'!BD15,IF(SETUP!$G$53=2,$E$336*'Malaria-Equipment &amp; Other HPs'!BE15,IF(SETUP!$G$53=1,$E$336*'Malaria-Equipment &amp; Other HPs'!BF15,0)))),0)</f>
        <v>0</v>
      </c>
      <c r="S338" s="1189">
        <f>IF(SETUP!$F$53="At delivery",IF(SETUP!$G$53=4,$E$336*('Malaria-Equipment &amp; Other HPs'!BD15+'Malaria-Equipment &amp; Other HPs'!BE15+'Malaria-Equipment &amp; Other HPs'!BF15+'Malaria-Equipment &amp; Other HPs'!BG15+'Malaria-Equipment &amp; Other HPs'!BH15),IF(SETUP!$G$53=3,$E$336*('Malaria-Equipment &amp; Other HPs'!BE15+'Malaria-Equipment &amp; Other HPs'!BF15+'Malaria-Equipment &amp; Other HPs'!BG15+'Malaria-Equipment &amp; Other HPs'!BH15),IF(SETUP!$G$53=2,$E$336*('Malaria-Equipment &amp; Other HPs'!BF15+'Malaria-Equipment &amp; Other HPs'!BG15+'Malaria-Equipment &amp; Other HPs'!BH15),IF(SETUP!$G$53=1,$E$336*('Malaria-Equipment &amp; Other HPs'!BG15+'Malaria-Equipment &amp; Other HPs'!BH15),0)))),0)</f>
        <v>0</v>
      </c>
      <c r="T338" s="1208">
        <f t="shared" si="50"/>
        <v>0</v>
      </c>
      <c r="U338" s="1189">
        <f t="shared" si="51"/>
        <v>0</v>
      </c>
      <c r="V338" s="1795"/>
      <c r="W338" s="1823"/>
      <c r="X338" s="1820"/>
    </row>
    <row r="339" spans="1:24" s="860" customFormat="1" ht="15" hidden="1" customHeight="1" collapsed="1">
      <c r="A339" s="2928"/>
      <c r="B339" s="2929"/>
      <c r="C339" s="2907" t="s">
        <v>581</v>
      </c>
      <c r="D339" s="2908"/>
      <c r="E339" s="1880">
        <v>0</v>
      </c>
      <c r="F339" s="1279">
        <f>IF(SETUP!$F$54="Upfront",F340,F341)</f>
        <v>0</v>
      </c>
      <c r="G339" s="1189">
        <f>IF(SETUP!$F$54="Upfront",G340,G341)</f>
        <v>0</v>
      </c>
      <c r="H339" s="1189">
        <f>IF(SETUP!$F$54="Upfront",H340,H341)</f>
        <v>0</v>
      </c>
      <c r="I339" s="1189">
        <f>IF(SETUP!$F$54="Upfront",I340,I341)</f>
        <v>0</v>
      </c>
      <c r="J339" s="1193">
        <f t="shared" si="48"/>
        <v>0</v>
      </c>
      <c r="K339" s="1189">
        <f>IF(SETUP!$F$54="Upfront",K340,K341)</f>
        <v>0</v>
      </c>
      <c r="L339" s="1189">
        <f>IF(SETUP!$F$54="Upfront",L340,L341)</f>
        <v>0</v>
      </c>
      <c r="M339" s="1189">
        <f>IF(SETUP!$F$54="Upfront",M340,M341)</f>
        <v>0</v>
      </c>
      <c r="N339" s="1189">
        <f>IF(SETUP!$F$54="Upfront",N340,N341)</f>
        <v>0</v>
      </c>
      <c r="O339" s="1191">
        <f t="shared" si="49"/>
        <v>0</v>
      </c>
      <c r="P339" s="1189">
        <f>IF(SETUP!$F$54="Upfront",P340,P341)</f>
        <v>0</v>
      </c>
      <c r="Q339" s="1189">
        <f>IF(SETUP!$F$54="Upfront",Q340,Q341)</f>
        <v>0</v>
      </c>
      <c r="R339" s="1189">
        <f>IF(SETUP!$F$54="Upfront",R340,R341)</f>
        <v>0</v>
      </c>
      <c r="S339" s="1189">
        <f>IF(SETUP!$F$54="Upfront",S340,S341)</f>
        <v>0</v>
      </c>
      <c r="T339" s="1208">
        <f t="shared" si="50"/>
        <v>0</v>
      </c>
      <c r="U339" s="1189">
        <f t="shared" si="51"/>
        <v>0</v>
      </c>
      <c r="V339" s="1795">
        <v>7.6</v>
      </c>
      <c r="W339" s="1823"/>
      <c r="X339" s="1820"/>
    </row>
    <row r="340" spans="1:24" s="860" customFormat="1" ht="15" hidden="1" customHeight="1" outlineLevel="1">
      <c r="A340" s="2928"/>
      <c r="B340" s="2929"/>
      <c r="C340" s="2889" t="s">
        <v>918</v>
      </c>
      <c r="D340" s="2890"/>
      <c r="E340" s="1880"/>
      <c r="F340" s="1279">
        <f>IF(SETUP!$F$54="Upfront",$E$339*'Malaria-Equipment &amp; Other HPs'!AW16,0)</f>
        <v>0</v>
      </c>
      <c r="G340" s="1189">
        <f>IF(SETUP!$F$54="Upfront",$E$339*'Malaria-Equipment &amp; Other HPs'!AX16,0)</f>
        <v>0</v>
      </c>
      <c r="H340" s="1189">
        <f>IF(SETUP!$F$54="Upfront",$E$339*'Malaria-Equipment &amp; Other HPs'!AY16,0)</f>
        <v>0</v>
      </c>
      <c r="I340" s="1189">
        <f>IF(SETUP!$F$54="Upfront",$E$339*'Malaria-Equipment &amp; Other HPs'!AZ16,0)</f>
        <v>0</v>
      </c>
      <c r="J340" s="1193">
        <f t="shared" si="48"/>
        <v>0</v>
      </c>
      <c r="K340" s="1189">
        <f>IF(SETUP!$F$54="Upfront",$E$339*'Malaria-Equipment &amp; Other HPs'!BA16,0)</f>
        <v>0</v>
      </c>
      <c r="L340" s="1189">
        <f>IF(SETUP!$F$54="Upfront",$E$339*'Malaria-Equipment &amp; Other HPs'!BB16,0)</f>
        <v>0</v>
      </c>
      <c r="M340" s="1189">
        <f>IF(SETUP!$F$54="Upfront",$E$339*'Malaria-Equipment &amp; Other HPs'!BC16,0)</f>
        <v>0</v>
      </c>
      <c r="N340" s="1189">
        <f>IF(SETUP!$F$54="Upfront",$E$339*'Malaria-Equipment &amp; Other HPs'!BD16,0)</f>
        <v>0</v>
      </c>
      <c r="O340" s="1191">
        <f t="shared" si="49"/>
        <v>0</v>
      </c>
      <c r="P340" s="1189">
        <f>IF(SETUP!$F$54="Upfront",$E$339*'Malaria-Equipment &amp; Other HPs'!BE16,0)</f>
        <v>0</v>
      </c>
      <c r="Q340" s="1189">
        <f>IF(SETUP!$F$54="Upfront",$E$339*'Malaria-Equipment &amp; Other HPs'!BF16,0)</f>
        <v>0</v>
      </c>
      <c r="R340" s="1189">
        <f>IF(SETUP!$F$54="Upfront",$E$339*'Malaria-Equipment &amp; Other HPs'!BG16,0)</f>
        <v>0</v>
      </c>
      <c r="S340" s="1189">
        <f>IF(SETUP!$F$54="Upfront",$E$339*'Malaria-Equipment &amp; Other HPs'!BH16,0)</f>
        <v>0</v>
      </c>
      <c r="T340" s="1208">
        <f t="shared" si="50"/>
        <v>0</v>
      </c>
      <c r="U340" s="1189">
        <f t="shared" si="51"/>
        <v>0</v>
      </c>
      <c r="V340" s="1795"/>
      <c r="W340" s="1823"/>
      <c r="X340" s="1820"/>
    </row>
    <row r="341" spans="1:24" s="860" customFormat="1" ht="15" hidden="1" customHeight="1" outlineLevel="1">
      <c r="A341" s="2928"/>
      <c r="B341" s="2929"/>
      <c r="C341" s="2889" t="s">
        <v>36</v>
      </c>
      <c r="D341" s="2890"/>
      <c r="E341" s="1880"/>
      <c r="F341" s="1279">
        <v>0</v>
      </c>
      <c r="G341" s="1195">
        <f>IF(SETUP!$F$54="At delivery",IF(SETUP!$G$54=1,$E$339*'Malaria-Equipment &amp; Other HPs'!AW16,0),0)</f>
        <v>0</v>
      </c>
      <c r="H341" s="1194">
        <f>IF(SETUP!$F$54="At delivery",IF(SETUP!$G$54=2,$E$339*'Malaria-Equipment &amp; Other HPs'!AW16,IF(SETUP!$G$54=1,$E$339*'Malaria-Equipment &amp; Other HPs'!AX16,0)),0)</f>
        <v>0</v>
      </c>
      <c r="I341" s="1194">
        <f>IF(SETUP!$F$54="At delivery",IF(SETUP!$G$54=3,$E$339*'Malaria-Equipment &amp; Other HPs'!AW16,IF(SETUP!$G$54=2,$E$339*'Malaria-Equipment &amp; Other HPs'!AX16,IF(SETUP!$G$54=1,$E$339*'Malaria-Equipment &amp; Other HPs'!AY16,0))),0)</f>
        <v>0</v>
      </c>
      <c r="J341" s="1193">
        <f t="shared" si="48"/>
        <v>0</v>
      </c>
      <c r="K341" s="1194">
        <f>IF(SETUP!$F$54="At delivery",IF(SETUP!$G$54=4,$E$339*'Malaria-Equipment &amp; Other HPs'!AW16,IF(SETUP!$G$54=3,$E$339*'Malaria-Equipment &amp; Other HPs'!AX16,IF(SETUP!$G$54=2,$E$339*'Malaria-Equipment &amp; Other HPs'!AY16,IF(SETUP!$G$54=1,$E$339*'Malaria-Equipment &amp; Other HPs'!AZ16,0)))),0)</f>
        <v>0</v>
      </c>
      <c r="L341" s="1194">
        <f>IF(SETUP!$F$54="At delivery",IF(SETUP!$G$54=4,$E$339*'Malaria-Equipment &amp; Other HPs'!AX16,IF(SETUP!$G$54=3,$E$339*'Malaria-Equipment &amp; Other HPs'!AY16,IF(SETUP!$G$54=2,$E$339*'Malaria-Equipment &amp; Other HPs'!AZ16,IF(SETUP!$G$54=1,$E$339*'Malaria-Equipment &amp; Other HPs'!BA16,0)))),0)</f>
        <v>0</v>
      </c>
      <c r="M341" s="1194">
        <f>IF(SETUP!$F$54="At delivery",IF(SETUP!$G$54=4,$E$339*'Malaria-Equipment &amp; Other HPs'!AY16,IF(SETUP!$G$54=3,$E$339*'Malaria-Equipment &amp; Other HPs'!AZ16,IF(SETUP!$G$54=2,$E$339*'Malaria-Equipment &amp; Other HPs'!BA16,IF(SETUP!$G$54=1,$E$339*'Malaria-Equipment &amp; Other HPs'!BB16,0)))),0)</f>
        <v>0</v>
      </c>
      <c r="N341" s="1194">
        <f>IF(SETUP!$F$54="At delivery",IF(SETUP!$G$54=4,$E$339*'Malaria-Equipment &amp; Other HPs'!AZ16,IF(SETUP!$G$54=3,$E$339*'Malaria-Equipment &amp; Other HPs'!BA16,IF(SETUP!$G$54=2,$E$339*'Malaria-Equipment &amp; Other HPs'!BB16,IF(SETUP!$G$54=1,$E$339*'Malaria-Equipment &amp; Other HPs'!BC16,0)))),0)</f>
        <v>0</v>
      </c>
      <c r="O341" s="1191">
        <f t="shared" si="49"/>
        <v>0</v>
      </c>
      <c r="P341" s="1189">
        <f>IF(SETUP!$F$54="At delivery",IF(SETUP!$G$54=4,$E$339*'Malaria-Equipment &amp; Other HPs'!BA16,IF(SETUP!$G$54=3,$E$339*'Malaria-Equipment &amp; Other HPs'!BB16,IF(SETUP!$G$54=2,$E$339*'Malaria-Equipment &amp; Other HPs'!BC16,IF(SETUP!$G$54=1,$E$339*'Malaria-Equipment &amp; Other HPs'!BD16,0)))),0)</f>
        <v>0</v>
      </c>
      <c r="Q341" s="1189">
        <f>IF(SETUP!$F$54="At delivery",IF(SETUP!$G$54=4,$E$339*'Malaria-Equipment &amp; Other HPs'!BB16,IF(SETUP!$G$54=3,$E$339*'Malaria-Equipment &amp; Other HPs'!BC16,IF(SETUP!$G$54=2,$E$339*'Malaria-Equipment &amp; Other HPs'!BD16,IF(SETUP!$G$54=1,$E$339*'Malaria-Equipment &amp; Other HPs'!BE16,0)))),0)</f>
        <v>0</v>
      </c>
      <c r="R341" s="1189">
        <f>IF(SETUP!$F$54="At delivery",IF(SETUP!$G$54=4,$E$339*'Malaria-Equipment &amp; Other HPs'!BC16,IF(SETUP!$G$54=3,$E$339*'Malaria-Equipment &amp; Other HPs'!BD16,IF(SETUP!$G$54=2,$E$339*'Malaria-Equipment &amp; Other HPs'!BE16,IF(SETUP!$G$54=1,$E$339*'Malaria-Equipment &amp; Other HPs'!BF16,0)))),0)</f>
        <v>0</v>
      </c>
      <c r="S341" s="1189">
        <f>IF(SETUP!$F$54="At delivery",IF(SETUP!$G$54=4,$E$339*('Malaria-Equipment &amp; Other HPs'!BD16+'Malaria-Equipment &amp; Other HPs'!BE16+'Malaria-Equipment &amp; Other HPs'!BF16+'Malaria-Equipment &amp; Other HPs'!BG16+'Malaria-Equipment &amp; Other HPs'!BH16),IF(SETUP!$G$54=3,$E$339*('Malaria-Equipment &amp; Other HPs'!BE16+'Malaria-Equipment &amp; Other HPs'!BF16+'Malaria-Equipment &amp; Other HPs'!BG16+'Malaria-Equipment &amp; Other HPs'!BH16),IF(SETUP!$G$54=2,$E$339*('Malaria-Equipment &amp; Other HPs'!BF16+'Malaria-Equipment &amp; Other HPs'!BG16+'Malaria-Equipment &amp; Other HPs'!BH16),IF(SETUP!$G$54=1,$E$339*('Malaria-Equipment &amp; Other HPs'!BG16+'Malaria-Equipment &amp; Other HPs'!BH16),0)))),0)</f>
        <v>0</v>
      </c>
      <c r="T341" s="1208">
        <f t="shared" si="50"/>
        <v>0</v>
      </c>
      <c r="U341" s="1189">
        <f t="shared" si="51"/>
        <v>0</v>
      </c>
      <c r="V341" s="1795"/>
      <c r="W341" s="1823"/>
      <c r="X341" s="1820"/>
    </row>
    <row r="342" spans="1:24" s="860" customFormat="1" ht="15" hidden="1" customHeight="1" collapsed="1">
      <c r="A342" s="2928"/>
      <c r="B342" s="2929"/>
      <c r="C342" s="2907" t="s">
        <v>582</v>
      </c>
      <c r="D342" s="2908"/>
      <c r="E342" s="1880">
        <v>0</v>
      </c>
      <c r="F342" s="1279">
        <f>IF(SETUP!$F$55="Upfront",F343,F344)</f>
        <v>0</v>
      </c>
      <c r="G342" s="1189">
        <f>IF(SETUP!$F$55="Upfront",G343,G344)</f>
        <v>0</v>
      </c>
      <c r="H342" s="1189">
        <f>IF(SETUP!$F$55="Upfront",H343,H344)</f>
        <v>0</v>
      </c>
      <c r="I342" s="1189">
        <f>IF(SETUP!$F$55="Upfront",I343,I344)</f>
        <v>0</v>
      </c>
      <c r="J342" s="1193">
        <f t="shared" si="48"/>
        <v>0</v>
      </c>
      <c r="K342" s="1189">
        <f>IF(SETUP!$F$55="Upfront",K343,K344)</f>
        <v>0</v>
      </c>
      <c r="L342" s="1189">
        <f>IF(SETUP!$F$55="Upfront",L343,L344)</f>
        <v>0</v>
      </c>
      <c r="M342" s="1189">
        <f>IF(SETUP!$F$55="Upfront",M343,M344)</f>
        <v>0</v>
      </c>
      <c r="N342" s="1189">
        <f>IF(SETUP!$F$55="Upfront",N343,N344)</f>
        <v>0</v>
      </c>
      <c r="O342" s="1191">
        <f t="shared" si="49"/>
        <v>0</v>
      </c>
      <c r="P342" s="1189">
        <f>IF(SETUP!$F$55="Upfront",P343,P344)</f>
        <v>0</v>
      </c>
      <c r="Q342" s="1189">
        <f>IF(SETUP!$F$55="Upfront",Q343,Q344)</f>
        <v>0</v>
      </c>
      <c r="R342" s="1189">
        <f>IF(SETUP!$F$55="Upfront",R343,R344)</f>
        <v>0</v>
      </c>
      <c r="S342" s="1189">
        <f>IF(SETUP!$F$55="Upfront",S343,S344)</f>
        <v>0</v>
      </c>
      <c r="T342" s="1208">
        <f t="shared" si="50"/>
        <v>0</v>
      </c>
      <c r="U342" s="1189">
        <f t="shared" si="51"/>
        <v>0</v>
      </c>
      <c r="V342" s="1795">
        <v>7.6</v>
      </c>
      <c r="W342" s="1823"/>
      <c r="X342" s="1820"/>
    </row>
    <row r="343" spans="1:24" s="860" customFormat="1" ht="15" hidden="1" customHeight="1" outlineLevel="1">
      <c r="A343" s="2928"/>
      <c r="B343" s="2929"/>
      <c r="C343" s="2889" t="s">
        <v>918</v>
      </c>
      <c r="D343" s="2890"/>
      <c r="E343" s="1880"/>
      <c r="F343" s="1279">
        <f>IF(SETUP!$F$55="Upfront",$E$342*'Malaria-Equipment &amp; Other HPs'!AW17,0)</f>
        <v>0</v>
      </c>
      <c r="G343" s="1189">
        <f>IF(SETUP!$F$55="Upfront",$E$342*'Malaria-Equipment &amp; Other HPs'!AX17,0)</f>
        <v>0</v>
      </c>
      <c r="H343" s="1189">
        <f>IF(SETUP!$F$55="Upfront",$E$342*'Malaria-Equipment &amp; Other HPs'!AY17,0)</f>
        <v>0</v>
      </c>
      <c r="I343" s="1189">
        <f>IF(SETUP!$F$55="Upfront",$E$342*'Malaria-Equipment &amp; Other HPs'!AZ17,0)</f>
        <v>0</v>
      </c>
      <c r="J343" s="1193">
        <f t="shared" si="48"/>
        <v>0</v>
      </c>
      <c r="K343" s="1189">
        <f>IF(SETUP!$F$55="Upfront",$E$342*'Malaria-Equipment &amp; Other HPs'!BA17,0)</f>
        <v>0</v>
      </c>
      <c r="L343" s="1189">
        <f>IF(SETUP!$F$55="Upfront",$E$342*'Malaria-Equipment &amp; Other HPs'!BB17,0)</f>
        <v>0</v>
      </c>
      <c r="M343" s="1189">
        <f>IF(SETUP!$F$55="Upfront",$E$342*'Malaria-Equipment &amp; Other HPs'!BC17,0)</f>
        <v>0</v>
      </c>
      <c r="N343" s="1189">
        <f>IF(SETUP!$F$55="Upfront",$E$342*'Malaria-Equipment &amp; Other HPs'!BD17,0)</f>
        <v>0</v>
      </c>
      <c r="O343" s="1191">
        <f t="shared" si="49"/>
        <v>0</v>
      </c>
      <c r="P343" s="1189">
        <f>IF(SETUP!$F$55="Upfront",$E$342*'Malaria-Equipment &amp; Other HPs'!BE17,0)</f>
        <v>0</v>
      </c>
      <c r="Q343" s="1189">
        <f>IF(SETUP!$F$55="Upfront",$E$342*'Malaria-Equipment &amp; Other HPs'!BF17,0)</f>
        <v>0</v>
      </c>
      <c r="R343" s="1189">
        <f>IF(SETUP!$F$55="Upfront",$E$342*'Malaria-Equipment &amp; Other HPs'!BG17,0)</f>
        <v>0</v>
      </c>
      <c r="S343" s="1189">
        <f>IF(SETUP!$F$55="Upfront",$E$342*'Malaria-Equipment &amp; Other HPs'!BH17,0)</f>
        <v>0</v>
      </c>
      <c r="T343" s="1208">
        <f t="shared" si="50"/>
        <v>0</v>
      </c>
      <c r="U343" s="1189">
        <f t="shared" si="51"/>
        <v>0</v>
      </c>
      <c r="V343" s="1795"/>
      <c r="W343" s="1823"/>
      <c r="X343" s="1820"/>
    </row>
    <row r="344" spans="1:24" s="860" customFormat="1" ht="15" hidden="1" customHeight="1" outlineLevel="1">
      <c r="A344" s="2928"/>
      <c r="B344" s="2929"/>
      <c r="C344" s="2889" t="s">
        <v>36</v>
      </c>
      <c r="D344" s="2890"/>
      <c r="E344" s="1880"/>
      <c r="F344" s="1279">
        <v>0</v>
      </c>
      <c r="G344" s="1195">
        <f>IF(SETUP!$F$55="At delivery",IF(SETUP!$G$55=1,$E$342*'Malaria-Equipment &amp; Other HPs'!AW17,0),0)</f>
        <v>0</v>
      </c>
      <c r="H344" s="1194">
        <f>IF(SETUP!$F$55="At delivery",IF(SETUP!$G$55=2,$E$342*'Malaria-Equipment &amp; Other HPs'!AW17,IF(SETUP!$G$55=1,$E$342*'Malaria-Equipment &amp; Other HPs'!AX17,0)),0)</f>
        <v>0</v>
      </c>
      <c r="I344" s="1194">
        <f>IF(SETUP!$F$55="At delivery",IF(SETUP!$G$55=3,$E$342*'Malaria-Equipment &amp; Other HPs'!AW17,IF(SETUP!$G$55=2,$E$342*'Malaria-Equipment &amp; Other HPs'!AX17,IF(SETUP!$G$55=1,$E$342*'Malaria-Equipment &amp; Other HPs'!AY17,0))),0)</f>
        <v>0</v>
      </c>
      <c r="J344" s="1193">
        <f t="shared" si="48"/>
        <v>0</v>
      </c>
      <c r="K344" s="1194">
        <f>IF(SETUP!$F$55="At delivery",IF(SETUP!$G$55=4,$E$342*'Malaria-Equipment &amp; Other HPs'!AW17,IF(SETUP!$G$55=3,$E$342*'Malaria-Equipment &amp; Other HPs'!AX17,IF(SETUP!$G$55=2,$E$342*'Malaria-Equipment &amp; Other HPs'!AY17,IF(SETUP!$G$55=1,$E$342*'Malaria-Equipment &amp; Other HPs'!AZ17,0)))),0)</f>
        <v>0</v>
      </c>
      <c r="L344" s="1194">
        <f>IF(SETUP!$F$55="At delivery",IF(SETUP!$G$55=4,$E$342*'Malaria-Equipment &amp; Other HPs'!AX17,IF(SETUP!$G$55=3,$E$342*'Malaria-Equipment &amp; Other HPs'!AY17,IF(SETUP!$G$55=2,$E$342*'Malaria-Equipment &amp; Other HPs'!AZ17,IF(SETUP!$G$55=1,$E$342*'Malaria-Equipment &amp; Other HPs'!BA17,0)))),0)</f>
        <v>0</v>
      </c>
      <c r="M344" s="1194">
        <f>IF(SETUP!$F$55="At delivery",IF(SETUP!$G$55=4,$E$342*'Malaria-Equipment &amp; Other HPs'!AY17,IF(SETUP!$G$55=3,$E$342*'Malaria-Equipment &amp; Other HPs'!AZ17,IF(SETUP!$G$55=2,$E$342*'Malaria-Equipment &amp; Other HPs'!BA17,IF(SETUP!$G$55=1,$E$342*'Malaria-Equipment &amp; Other HPs'!BB17,0)))),0)</f>
        <v>0</v>
      </c>
      <c r="N344" s="1194">
        <f>IF(SETUP!$F$55="At delivery",IF(SETUP!$G$55=4,$E$342*'Malaria-Equipment &amp; Other HPs'!AZ17,IF(SETUP!$G$55=3,$E$342*'Malaria-Equipment &amp; Other HPs'!BA17,IF(SETUP!$G$55=2,$E$342*'Malaria-Equipment &amp; Other HPs'!BB17,IF(SETUP!$G$55=1,$E$342*'Malaria-Equipment &amp; Other HPs'!BC17,0)))),0)</f>
        <v>0</v>
      </c>
      <c r="O344" s="1191">
        <f t="shared" si="49"/>
        <v>0</v>
      </c>
      <c r="P344" s="1189">
        <f>IF(SETUP!$F$55="At delivery",IF(SETUP!$G$55=4,$E$342*'Malaria-Equipment &amp; Other HPs'!BA17,IF(SETUP!$G$55=3,$E$342*'Malaria-Equipment &amp; Other HPs'!BB17,IF(SETUP!$G$55=2,$E$342*'Malaria-Equipment &amp; Other HPs'!BC17,IF(SETUP!$G$55=1,$E$342*'Malaria-Equipment &amp; Other HPs'!BD17,0)))),0)</f>
        <v>0</v>
      </c>
      <c r="Q344" s="1189">
        <f>IF(SETUP!$F$55="At delivery",IF(SETUP!$G$55=4,$E$342*'Malaria-Equipment &amp; Other HPs'!BB17,IF(SETUP!$G$55=3,$E$342*'Malaria-Equipment &amp; Other HPs'!BC17,IF(SETUP!$G$55=2,$E$342*'Malaria-Equipment &amp; Other HPs'!BD17,IF(SETUP!$G$55=1,$E$342*'Malaria-Equipment &amp; Other HPs'!BE17,0)))),0)</f>
        <v>0</v>
      </c>
      <c r="R344" s="1189">
        <f>IF(SETUP!$F$55="At delivery",IF(SETUP!$G$55=4,$E$342*'Malaria-Equipment &amp; Other HPs'!BC17,IF(SETUP!$G$55=3,$E$342*'Malaria-Equipment &amp; Other HPs'!BD17,IF(SETUP!$G$55=2,$E$342*'Malaria-Equipment &amp; Other HPs'!BE17,IF(SETUP!$G$55=1,$E$342*'Malaria-Equipment &amp; Other HPs'!BF17,0)))),0)</f>
        <v>0</v>
      </c>
      <c r="S344" s="1189">
        <f>IF(SETUP!$F$55="At delivery",IF(SETUP!$G$55=4,$E$342*('Malaria-Equipment &amp; Other HPs'!BD17+'Malaria-Equipment &amp; Other HPs'!BE17+'Malaria-Equipment &amp; Other HPs'!BF17+'Malaria-Equipment &amp; Other HPs'!BG17+'Malaria-Equipment &amp; Other HPs'!BH17),IF(SETUP!$G$55=3,$E$342*('Malaria-Equipment &amp; Other HPs'!BE17+'Malaria-Equipment &amp; Other HPs'!BF17+'Malaria-Equipment &amp; Other HPs'!BG17+'Malaria-Equipment &amp; Other HPs'!BH17),IF(SETUP!$G$55=2,$E$342*('Malaria-Equipment &amp; Other HPs'!BF17+'Malaria-Equipment &amp; Other HPs'!BG17+'Malaria-Equipment &amp; Other HPs'!BH17),IF(SETUP!$G$55=1,$E$342*('Malaria-Equipment &amp; Other HPs'!BG17+'Malaria-Equipment &amp; Other HPs'!BH17),0)))),0)</f>
        <v>0</v>
      </c>
      <c r="T344" s="1208">
        <f t="shared" si="50"/>
        <v>0</v>
      </c>
      <c r="U344" s="1189">
        <f t="shared" si="51"/>
        <v>0</v>
      </c>
      <c r="V344" s="1795"/>
      <c r="W344" s="1823"/>
      <c r="X344" s="1820"/>
    </row>
    <row r="345" spans="1:24" s="860" customFormat="1" ht="15" hidden="1" customHeight="1" collapsed="1">
      <c r="A345" s="2928"/>
      <c r="B345" s="2929"/>
      <c r="C345" s="2907" t="s">
        <v>583</v>
      </c>
      <c r="D345" s="2908"/>
      <c r="E345" s="1880">
        <v>0</v>
      </c>
      <c r="F345" s="1279">
        <f>IF(SETUP!$F$56="Upfront",F346,F347)</f>
        <v>0</v>
      </c>
      <c r="G345" s="1189">
        <f>IF(SETUP!$F$56="Upfront",G346,G347)</f>
        <v>0</v>
      </c>
      <c r="H345" s="1189">
        <f>IF(SETUP!$F$56="Upfront",H346,H347)</f>
        <v>0</v>
      </c>
      <c r="I345" s="1189">
        <f>IF(SETUP!$F$56="Upfront",I346,I347)</f>
        <v>0</v>
      </c>
      <c r="J345" s="1193">
        <f t="shared" si="48"/>
        <v>0</v>
      </c>
      <c r="K345" s="1189">
        <f>IF(SETUP!$F$56="Upfront",K346,K347)</f>
        <v>0</v>
      </c>
      <c r="L345" s="1189">
        <f>IF(SETUP!$F$56="Upfront",L346,L347)</f>
        <v>0</v>
      </c>
      <c r="M345" s="1189">
        <f>IF(SETUP!$F$56="Upfront",M346,M347)</f>
        <v>0</v>
      </c>
      <c r="N345" s="1189">
        <f>IF(SETUP!$F$56="Upfront",N346,N347)</f>
        <v>0</v>
      </c>
      <c r="O345" s="1191">
        <f t="shared" si="49"/>
        <v>0</v>
      </c>
      <c r="P345" s="1189">
        <f>IF(SETUP!$F$56="Upfront",P346,P347)</f>
        <v>0</v>
      </c>
      <c r="Q345" s="1189">
        <f>IF(SETUP!$F$56="Upfront",Q346,Q347)</f>
        <v>0</v>
      </c>
      <c r="R345" s="1189">
        <f>IF(SETUP!$F$56="Upfront",R346,R347)</f>
        <v>0</v>
      </c>
      <c r="S345" s="1189">
        <f>IF(SETUP!$F$56="Upfront",S346,S347)</f>
        <v>0</v>
      </c>
      <c r="T345" s="1208">
        <f t="shared" si="50"/>
        <v>0</v>
      </c>
      <c r="U345" s="1189">
        <f t="shared" si="51"/>
        <v>0</v>
      </c>
      <c r="V345" s="1795">
        <v>7.6</v>
      </c>
      <c r="W345" s="1823"/>
      <c r="X345" s="1820"/>
    </row>
    <row r="346" spans="1:24" s="860" customFormat="1" ht="15" hidden="1" customHeight="1" outlineLevel="1">
      <c r="A346" s="2928"/>
      <c r="B346" s="2929"/>
      <c r="C346" s="2889" t="s">
        <v>918</v>
      </c>
      <c r="D346" s="2890"/>
      <c r="E346" s="1880"/>
      <c r="F346" s="1279">
        <f>IF(SETUP!$F$56="Upfront",$E$345*'Malaria-Equipment &amp; Other HPs'!AW18,0)</f>
        <v>0</v>
      </c>
      <c r="G346" s="1189">
        <f>IF(SETUP!$F$56="Upfront",$E$345*'Malaria-Equipment &amp; Other HPs'!AX18,0)</f>
        <v>0</v>
      </c>
      <c r="H346" s="1189">
        <f>IF(SETUP!$F$56="Upfront",$E$345*'Malaria-Equipment &amp; Other HPs'!AY18,0)</f>
        <v>0</v>
      </c>
      <c r="I346" s="1189">
        <f>IF(SETUP!$F$56="Upfront",$E$345*'Malaria-Equipment &amp; Other HPs'!AZ18,0)</f>
        <v>0</v>
      </c>
      <c r="J346" s="1193">
        <f t="shared" si="48"/>
        <v>0</v>
      </c>
      <c r="K346" s="1189">
        <f>IF(SETUP!$F$56="Upfront",$E$345*'Malaria-Equipment &amp; Other HPs'!BA18,0)</f>
        <v>0</v>
      </c>
      <c r="L346" s="1189">
        <f>IF(SETUP!$F$56="Upfront",$E$345*'Malaria-Equipment &amp; Other HPs'!BB18,0)</f>
        <v>0</v>
      </c>
      <c r="M346" s="1189">
        <f>IF(SETUP!$F$56="Upfront",$E$345*'Malaria-Equipment &amp; Other HPs'!BC18,0)</f>
        <v>0</v>
      </c>
      <c r="N346" s="1189">
        <f>IF(SETUP!$F$56="Upfront",$E$345*'Malaria-Equipment &amp; Other HPs'!BD18,0)</f>
        <v>0</v>
      </c>
      <c r="O346" s="1191">
        <f t="shared" si="49"/>
        <v>0</v>
      </c>
      <c r="P346" s="1189">
        <f>IF(SETUP!$F$56="Upfront",$E$345*'Malaria-Equipment &amp; Other HPs'!BE18,0)</f>
        <v>0</v>
      </c>
      <c r="Q346" s="1189">
        <f>IF(SETUP!$F$56="Upfront",$E$345*'Malaria-Equipment &amp; Other HPs'!BF18,0)</f>
        <v>0</v>
      </c>
      <c r="R346" s="1189">
        <f>IF(SETUP!$F$56="Upfront",$E$345*'Malaria-Equipment &amp; Other HPs'!BG18,0)</f>
        <v>0</v>
      </c>
      <c r="S346" s="1189">
        <f>IF(SETUP!$F$56="Upfront",$E$345*'Malaria-Equipment &amp; Other HPs'!BH18,0)</f>
        <v>0</v>
      </c>
      <c r="T346" s="1208">
        <f t="shared" si="50"/>
        <v>0</v>
      </c>
      <c r="U346" s="1189">
        <f t="shared" si="51"/>
        <v>0</v>
      </c>
      <c r="V346" s="1795"/>
      <c r="W346" s="1823"/>
      <c r="X346" s="1820"/>
    </row>
    <row r="347" spans="1:24" s="860" customFormat="1" ht="15" hidden="1" customHeight="1" outlineLevel="1">
      <c r="A347" s="2928"/>
      <c r="B347" s="2929"/>
      <c r="C347" s="2889" t="s">
        <v>36</v>
      </c>
      <c r="D347" s="2890"/>
      <c r="E347" s="1880"/>
      <c r="F347" s="1279">
        <v>0</v>
      </c>
      <c r="G347" s="1195">
        <f>IF(SETUP!$F$56="At delivery",IF(SETUP!$G$56=1,$E$345*'Malaria-Equipment &amp; Other HPs'!AW18,0),0)</f>
        <v>0</v>
      </c>
      <c r="H347" s="1194">
        <f>IF(SETUP!$F$56="At delivery",IF(SETUP!$G$56=2,$E$345*'Malaria-Equipment &amp; Other HPs'!AW18,IF(SETUP!$G$56=1,$E$345*'Malaria-Equipment &amp; Other HPs'!AX18,0)),0)</f>
        <v>0</v>
      </c>
      <c r="I347" s="1194">
        <f>IF(SETUP!$F$56="At delivery",IF(SETUP!$G$56=3,$E$345*'Malaria-Equipment &amp; Other HPs'!AW18,IF(SETUP!$G$56=2,$E$345*'Malaria-Equipment &amp; Other HPs'!AX18,IF(SETUP!$G$56=1,$E$345*'Malaria-Equipment &amp; Other HPs'!AY18,0))),0)</f>
        <v>0</v>
      </c>
      <c r="J347" s="1193">
        <f t="shared" si="48"/>
        <v>0</v>
      </c>
      <c r="K347" s="1194">
        <f>IF(SETUP!$F$56="At delivery",IF(SETUP!$G$56=4,$E$345*'Malaria-Equipment &amp; Other HPs'!AW18,IF(SETUP!$G$56=3,$E$345*'Malaria-Equipment &amp; Other HPs'!AX18,IF(SETUP!$G$56=2,$E$345*'Malaria-Equipment &amp; Other HPs'!AY18,IF(SETUP!$G$56=1,$E$345*'Malaria-Equipment &amp; Other HPs'!AZ18,0)))),0)</f>
        <v>0</v>
      </c>
      <c r="L347" s="1194">
        <f>IF(SETUP!$F$56="At delivery",IF(SETUP!$G$56=4,$E$345*'Malaria-Equipment &amp; Other HPs'!AX18,IF(SETUP!$G$56=3,$E$345*'Malaria-Equipment &amp; Other HPs'!AY18,IF(SETUP!$G$56=2,$E$345*'Malaria-Equipment &amp; Other HPs'!AZ18,IF(SETUP!$G$56=1,$E$345*'Malaria-Equipment &amp; Other HPs'!BA18,0)))),0)</f>
        <v>0</v>
      </c>
      <c r="M347" s="1194">
        <f>IF(SETUP!$F$56="At delivery",IF(SETUP!$G$56=4,$E$345*'Malaria-Equipment &amp; Other HPs'!AY18,IF(SETUP!$G$56=3,$E$345*'Malaria-Equipment &amp; Other HPs'!AZ18,IF(SETUP!$G$56=2,$E$345*'Malaria-Equipment &amp; Other HPs'!BA18,IF(SETUP!$G$56=1,$E$345*'Malaria-Equipment &amp; Other HPs'!BB18,0)))),0)</f>
        <v>0</v>
      </c>
      <c r="N347" s="1194">
        <f>IF(SETUP!$F$56="At delivery",IF(SETUP!$G$56=4,$E$345*'Malaria-Equipment &amp; Other HPs'!AZ18,IF(SETUP!$G$56=3,$E$345*'Malaria-Equipment &amp; Other HPs'!BA18,IF(SETUP!$G$56=2,$E$345*'Malaria-Equipment &amp; Other HPs'!BB18,IF(SETUP!$G$56=1,$E$345*'Malaria-Equipment &amp; Other HPs'!BC18,0)))),0)</f>
        <v>0</v>
      </c>
      <c r="O347" s="1191">
        <f t="shared" si="49"/>
        <v>0</v>
      </c>
      <c r="P347" s="1189">
        <f>IF(SETUP!$F$56="At delivery",IF(SETUP!$G$56=4,$E$345*'Malaria-Equipment &amp; Other HPs'!BA18,IF(SETUP!$G$56=3,$E$345*'Malaria-Equipment &amp; Other HPs'!BB18,IF(SETUP!$G$56=2,$E$345*'Malaria-Equipment &amp; Other HPs'!BC18,IF(SETUP!$G$56=1,$E$345*'Malaria-Equipment &amp; Other HPs'!BD18,0)))),0)</f>
        <v>0</v>
      </c>
      <c r="Q347" s="1189">
        <f>IF(SETUP!$F$56="At delivery",IF(SETUP!$G$56=4,$E$345*'Malaria-Equipment &amp; Other HPs'!BB18,IF(SETUP!$G$56=3,$E$345*'Malaria-Equipment &amp; Other HPs'!BC18,IF(SETUP!$G$56=2,$E$345*'Malaria-Equipment &amp; Other HPs'!BD18,IF(SETUP!$G$56=1,$E$345*'Malaria-Equipment &amp; Other HPs'!BE18,0)))),0)</f>
        <v>0</v>
      </c>
      <c r="R347" s="1189">
        <f>IF(SETUP!$F$56="At delivery",IF(SETUP!$G$56=4,$E$345*'Malaria-Equipment &amp; Other HPs'!BC18,IF(SETUP!$G$56=3,$E$345*'Malaria-Equipment &amp; Other HPs'!BD18,IF(SETUP!$G$56=2,$E$345*'Malaria-Equipment &amp; Other HPs'!BE18,IF(SETUP!$G$56=1,$E$345*'Malaria-Equipment &amp; Other HPs'!BF18,0)))),0)</f>
        <v>0</v>
      </c>
      <c r="S347" s="1189">
        <f>IF(SETUP!$F$56="At delivery",IF(SETUP!$G$56=4,$E$345*('Malaria-Equipment &amp; Other HPs'!BD18+'Malaria-Equipment &amp; Other HPs'!BE18+'Malaria-Equipment &amp; Other HPs'!BF18+'Malaria-Equipment &amp; Other HPs'!BG18+'Malaria-Equipment &amp; Other HPs'!BH18),IF(SETUP!$G$56=3,$E$345*('Malaria-Equipment &amp; Other HPs'!BE18+'Malaria-Equipment &amp; Other HPs'!BF18+'Malaria-Equipment &amp; Other HPs'!BG18+'Malaria-Equipment &amp; Other HPs'!BH18),IF(SETUP!$G$56=2,$E$345*('Malaria-Equipment &amp; Other HPs'!BF18+'Malaria-Equipment &amp; Other HPs'!BG18+'Malaria-Equipment &amp; Other HPs'!BH18),IF(SETUP!$G$56=1,$E$345*('Malaria-Equipment &amp; Other HPs'!BG18+'Malaria-Equipment &amp; Other HPs'!BH18),0)))),0)</f>
        <v>0</v>
      </c>
      <c r="T347" s="1208">
        <f t="shared" si="50"/>
        <v>0</v>
      </c>
      <c r="U347" s="1189">
        <f t="shared" si="51"/>
        <v>0</v>
      </c>
      <c r="V347" s="1795"/>
      <c r="W347" s="1823"/>
      <c r="X347" s="1820"/>
    </row>
    <row r="348" spans="1:24" s="860" customFormat="1" ht="15" hidden="1" customHeight="1" collapsed="1">
      <c r="A348" s="2928"/>
      <c r="B348" s="2929"/>
      <c r="C348" s="2907" t="s">
        <v>537</v>
      </c>
      <c r="D348" s="2908"/>
      <c r="E348" s="1880">
        <v>0</v>
      </c>
      <c r="F348" s="1279">
        <f>IF(SETUP!$F$57="Upfront",F349,F350)</f>
        <v>0</v>
      </c>
      <c r="G348" s="1189">
        <f>IF(SETUP!$F$57="Upfront",G349,G350)</f>
        <v>0</v>
      </c>
      <c r="H348" s="1189">
        <f>IF(SETUP!$F$57="Upfront",H349,H350)</f>
        <v>0</v>
      </c>
      <c r="I348" s="1189">
        <f>IF(SETUP!$F$57="Upfront",I349,I350)</f>
        <v>0</v>
      </c>
      <c r="J348" s="1193">
        <f t="shared" si="48"/>
        <v>0</v>
      </c>
      <c r="K348" s="1189">
        <f>IF(SETUP!$F$57="Upfront",K349,K350)</f>
        <v>0</v>
      </c>
      <c r="L348" s="1189">
        <f>IF(SETUP!$F$57="Upfront",L349,L350)</f>
        <v>0</v>
      </c>
      <c r="M348" s="1189">
        <f>IF(SETUP!$F$57="Upfront",M349,M350)</f>
        <v>0</v>
      </c>
      <c r="N348" s="1189">
        <f>IF(SETUP!$F$57="Upfront",N349,N350)</f>
        <v>0</v>
      </c>
      <c r="O348" s="1191">
        <f t="shared" si="49"/>
        <v>0</v>
      </c>
      <c r="P348" s="1189">
        <f>IF(SETUP!$F$57="Upfront",P349,P350)</f>
        <v>0</v>
      </c>
      <c r="Q348" s="1189">
        <f>IF(SETUP!$F$57="Upfront",Q349,Q350)</f>
        <v>0</v>
      </c>
      <c r="R348" s="1189">
        <f>IF(SETUP!$F$57="Upfront",R349,R350)</f>
        <v>0</v>
      </c>
      <c r="S348" s="1189">
        <f>IF(SETUP!$F$57="Upfront",S349,S350)</f>
        <v>0</v>
      </c>
      <c r="T348" s="1208">
        <f t="shared" si="50"/>
        <v>0</v>
      </c>
      <c r="U348" s="1189">
        <f t="shared" si="51"/>
        <v>0</v>
      </c>
      <c r="V348" s="1795">
        <v>7.6</v>
      </c>
      <c r="W348" s="1823"/>
      <c r="X348" s="1820"/>
    </row>
    <row r="349" spans="1:24" s="860" customFormat="1" ht="15" hidden="1" customHeight="1" outlineLevel="1">
      <c r="A349" s="2928"/>
      <c r="B349" s="2929"/>
      <c r="C349" s="2889" t="s">
        <v>918</v>
      </c>
      <c r="D349" s="2890"/>
      <c r="E349" s="1880"/>
      <c r="F349" s="1279">
        <f>IF(SETUP!$F$57="Upfront",$E$348*'Malaria-Equipment &amp; Other HPs'!AW19,0)</f>
        <v>0</v>
      </c>
      <c r="G349" s="1189">
        <f>IF(SETUP!$F$57="Upfront",$E$348*'Malaria-Equipment &amp; Other HPs'!AX19,0)</f>
        <v>0</v>
      </c>
      <c r="H349" s="1189">
        <f>IF(SETUP!$F$57="Upfront",$E$348*'Malaria-Equipment &amp; Other HPs'!AY19,0)</f>
        <v>0</v>
      </c>
      <c r="I349" s="1189">
        <f>IF(SETUP!$F$57="Upfront",$E$348*'Malaria-Equipment &amp; Other HPs'!AZ19,0)</f>
        <v>0</v>
      </c>
      <c r="J349" s="1193">
        <f t="shared" si="48"/>
        <v>0</v>
      </c>
      <c r="K349" s="1189">
        <f>IF(SETUP!$F$57="Upfront",$E$348*'Malaria-Equipment &amp; Other HPs'!BA19,0)</f>
        <v>0</v>
      </c>
      <c r="L349" s="1189">
        <f>IF(SETUP!$F$57="Upfront",$E$348*'Malaria-Equipment &amp; Other HPs'!BB19,0)</f>
        <v>0</v>
      </c>
      <c r="M349" s="1189">
        <f>IF(SETUP!$F$57="Upfront",$E$348*'Malaria-Equipment &amp; Other HPs'!BC19,0)</f>
        <v>0</v>
      </c>
      <c r="N349" s="1189">
        <f>IF(SETUP!$F$57="Upfront",$E$348*'Malaria-Equipment &amp; Other HPs'!BD19,0)</f>
        <v>0</v>
      </c>
      <c r="O349" s="1191">
        <f t="shared" si="49"/>
        <v>0</v>
      </c>
      <c r="P349" s="1189">
        <f>IF(SETUP!$F$57="Upfront",$E$348*'Malaria-Equipment &amp; Other HPs'!BE19,0)</f>
        <v>0</v>
      </c>
      <c r="Q349" s="1189">
        <f>IF(SETUP!$F$57="Upfront",$E$348*'Malaria-Equipment &amp; Other HPs'!BF19,0)</f>
        <v>0</v>
      </c>
      <c r="R349" s="1189">
        <f>IF(SETUP!$F$57="Upfront",$E$348*'Malaria-Equipment &amp; Other HPs'!BG19,0)</f>
        <v>0</v>
      </c>
      <c r="S349" s="1189">
        <f>IF(SETUP!$F$57="Upfront",$E$348*'Malaria-Equipment &amp; Other HPs'!BH19,0)</f>
        <v>0</v>
      </c>
      <c r="T349" s="1208">
        <f t="shared" si="50"/>
        <v>0</v>
      </c>
      <c r="U349" s="1189">
        <f t="shared" si="51"/>
        <v>0</v>
      </c>
      <c r="V349" s="1795"/>
      <c r="W349" s="1823"/>
      <c r="X349" s="1820"/>
    </row>
    <row r="350" spans="1:24" s="860" customFormat="1" ht="15" hidden="1" customHeight="1" outlineLevel="1">
      <c r="A350" s="2928"/>
      <c r="B350" s="2929"/>
      <c r="C350" s="2889" t="s">
        <v>36</v>
      </c>
      <c r="D350" s="2890"/>
      <c r="E350" s="1880"/>
      <c r="F350" s="1279">
        <v>0</v>
      </c>
      <c r="G350" s="1195">
        <f>IF(SETUP!$F$57="At delivery",IF(SETUP!$G$57=1,$E$348*'Malaria-Equipment &amp; Other HPs'!AW19,0),0)</f>
        <v>0</v>
      </c>
      <c r="H350" s="1194">
        <f>IF(SETUP!$F$57="At delivery",IF(SETUP!$G$57=2,$E$348*'Malaria-Equipment &amp; Other HPs'!AW19,IF(SETUP!$G$57=1,$E$348*'Malaria-Equipment &amp; Other HPs'!AX19,0)),0)</f>
        <v>0</v>
      </c>
      <c r="I350" s="1194">
        <f>IF(SETUP!$F$57="At delivery",IF(SETUP!$G$57=3,$E$348*'Malaria-Equipment &amp; Other HPs'!AW19,IF(SETUP!$G$57=2,$E$348*'Malaria-Equipment &amp; Other HPs'!AX19,IF(SETUP!$G$57=1,$E$348*'Malaria-Equipment &amp; Other HPs'!AY19,0))),0)</f>
        <v>0</v>
      </c>
      <c r="J350" s="1193">
        <f t="shared" si="48"/>
        <v>0</v>
      </c>
      <c r="K350" s="1194">
        <f>IF(SETUP!$F$57="At delivery",IF(SETUP!$G$57=4,$E$348*'Malaria-Equipment &amp; Other HPs'!AW19,IF(SETUP!$G$57=3,$E$348*'Malaria-Equipment &amp; Other HPs'!AX19,IF(SETUP!$G$57=2,$E$348*'Malaria-Equipment &amp; Other HPs'!AY19,IF(SETUP!$G$57=1,$E$348*'Malaria-Equipment &amp; Other HPs'!AZ19,0)))),0)</f>
        <v>0</v>
      </c>
      <c r="L350" s="1194">
        <f>IF(SETUP!$F$57="At delivery",IF(SETUP!$G$57=4,$E$348*'Malaria-Equipment &amp; Other HPs'!AX19,IF(SETUP!$G$57=3,$E$348*'Malaria-Equipment &amp; Other HPs'!AY19,IF(SETUP!$G$57=2,$E$348*'Malaria-Equipment &amp; Other HPs'!AZ19,IF(SETUP!$G$57=1,$E$348*'Malaria-Equipment &amp; Other HPs'!BA19,0)))),0)</f>
        <v>0</v>
      </c>
      <c r="M350" s="1194">
        <f>IF(SETUP!$F$57="At delivery",IF(SETUP!$G$57=4,$E$348*'Malaria-Equipment &amp; Other HPs'!AY19,IF(SETUP!$G$57=3,$E$348*'Malaria-Equipment &amp; Other HPs'!AZ19,IF(SETUP!$G$57=2,$E$348*'Malaria-Equipment &amp; Other HPs'!BA19,IF(SETUP!$G$57=1,$E$348*'Malaria-Equipment &amp; Other HPs'!BB19,0)))),0)</f>
        <v>0</v>
      </c>
      <c r="N350" s="1194">
        <f>IF(SETUP!$F$57="At delivery",IF(SETUP!$G$57=4,$E$348*'Malaria-Equipment &amp; Other HPs'!AZ19,IF(SETUP!$G$57=3,$E$348*'Malaria-Equipment &amp; Other HPs'!BA19,IF(SETUP!$G$57=2,$E$348*'Malaria-Equipment &amp; Other HPs'!BB19,IF(SETUP!$G$57=1,$E$348*'Malaria-Equipment &amp; Other HPs'!BC19,0)))),0)</f>
        <v>0</v>
      </c>
      <c r="O350" s="1191">
        <f t="shared" si="49"/>
        <v>0</v>
      </c>
      <c r="P350" s="1189">
        <f>IF(SETUP!$F$57="At delivery",IF(SETUP!$G$57=4,$E$348*'Malaria-Equipment &amp; Other HPs'!BA19,IF(SETUP!$G$57=3,$E$348*'Malaria-Equipment &amp; Other HPs'!BB19,IF(SETUP!$G$57=2,$E$348*'Malaria-Equipment &amp; Other HPs'!BC19,IF(SETUP!$G$57=1,$E$348*'Malaria-Equipment &amp; Other HPs'!BD19,0)))),0)</f>
        <v>0</v>
      </c>
      <c r="Q350" s="1189">
        <f>IF(SETUP!$F$57="At delivery",IF(SETUP!$G$57=4,$E$348*'Malaria-Equipment &amp; Other HPs'!BB19,IF(SETUP!$G$57=3,$E$348*'Malaria-Equipment &amp; Other HPs'!BC19,IF(SETUP!$G$57=2,$E$348*'Malaria-Equipment &amp; Other HPs'!BD19,IF(SETUP!$G$57=1,$E$348*'Malaria-Equipment &amp; Other HPs'!BE19,0)))),0)</f>
        <v>0</v>
      </c>
      <c r="R350" s="1189">
        <f>IF(SETUP!$F$57="At delivery",IF(SETUP!$G$57=4,$E$348*'Malaria-Equipment &amp; Other HPs'!BC19,IF(SETUP!$G$57=3,$E$348*'Malaria-Equipment &amp; Other HPs'!BD19,IF(SETUP!$G$57=2,$E$348*'Malaria-Equipment &amp; Other HPs'!BE19,IF(SETUP!$G$57=1,$E$348*'Malaria-Equipment &amp; Other HPs'!BF19,0)))),0)</f>
        <v>0</v>
      </c>
      <c r="S350" s="1189">
        <f>IF(SETUP!$F$57="At delivery",IF(SETUP!$G$57=4,$E$348*('Malaria-Equipment &amp; Other HPs'!BD19+'Malaria-Equipment &amp; Other HPs'!BE19+'Malaria-Equipment &amp; Other HPs'!BF19+'Malaria-Equipment &amp; Other HPs'!BG19+'Malaria-Equipment &amp; Other HPs'!BH19),IF(SETUP!$G$57=3,$E$348*('Malaria-Equipment &amp; Other HPs'!BE19+'Malaria-Equipment &amp; Other HPs'!BF19+'Malaria-Equipment &amp; Other HPs'!BG19+'Malaria-Equipment &amp; Other HPs'!BH19),IF(SETUP!$G$57=2,$E$348*('Malaria-Equipment &amp; Other HPs'!BF19+'Malaria-Equipment &amp; Other HPs'!BG19+'Malaria-Equipment &amp; Other HPs'!BH19),IF(SETUP!$G$57=1,$E$348*('Malaria-Equipment &amp; Other HPs'!BG19+'Malaria-Equipment &amp; Other HPs'!BH19),0)))),0)</f>
        <v>0</v>
      </c>
      <c r="T350" s="1208">
        <f t="shared" si="50"/>
        <v>0</v>
      </c>
      <c r="U350" s="1189">
        <f t="shared" si="51"/>
        <v>0</v>
      </c>
      <c r="V350" s="1795"/>
      <c r="W350" s="1823"/>
      <c r="X350" s="1820"/>
    </row>
    <row r="351" spans="1:24" s="860" customFormat="1" ht="15" hidden="1" customHeight="1" collapsed="1" thickBot="1">
      <c r="A351" s="2931"/>
      <c r="B351" s="2929"/>
      <c r="C351" s="2975" t="s">
        <v>584</v>
      </c>
      <c r="D351" s="2976"/>
      <c r="E351" s="1881">
        <v>0</v>
      </c>
      <c r="F351" s="1337">
        <f>IF(SETUP!$F$58="Upfront",F352,F353)</f>
        <v>0</v>
      </c>
      <c r="G351" s="1282">
        <f>IF(SETUP!$F$58="Upfront",G352,G353)</f>
        <v>0</v>
      </c>
      <c r="H351" s="1282">
        <f>IF(SETUP!$F$58="Upfront",H352,H353)</f>
        <v>0</v>
      </c>
      <c r="I351" s="1282">
        <f>IF(SETUP!$F$58="Upfront",I352,I353)</f>
        <v>0</v>
      </c>
      <c r="J351" s="1283">
        <f t="shared" si="48"/>
        <v>0</v>
      </c>
      <c r="K351" s="1282">
        <f>IF(SETUP!$F$58="Upfront",K352,K353)</f>
        <v>0</v>
      </c>
      <c r="L351" s="1282">
        <f>IF(SETUP!$F$58="Upfront",L352,L353)</f>
        <v>0</v>
      </c>
      <c r="M351" s="1282">
        <f>IF(SETUP!$F$58="Upfront",M352,M353)</f>
        <v>0</v>
      </c>
      <c r="N351" s="1282">
        <f>IF(SETUP!$F$58="Upfront",N352,N353)</f>
        <v>0</v>
      </c>
      <c r="O351" s="1284">
        <f t="shared" si="49"/>
        <v>0</v>
      </c>
      <c r="P351" s="1282">
        <f>IF(SETUP!$F$58="Upfront",P352,P353)</f>
        <v>0</v>
      </c>
      <c r="Q351" s="1282">
        <f>IF(SETUP!$F$58="Upfront",Q352,Q353)</f>
        <v>0</v>
      </c>
      <c r="R351" s="1282">
        <f>IF(SETUP!$F$58="Upfront",R352,R353)</f>
        <v>0</v>
      </c>
      <c r="S351" s="1282">
        <f>IF(SETUP!$F$58="Upfront",S352,S353)</f>
        <v>0</v>
      </c>
      <c r="T351" s="1286">
        <f t="shared" si="50"/>
        <v>0</v>
      </c>
      <c r="U351" s="1282">
        <f t="shared" si="51"/>
        <v>0</v>
      </c>
      <c r="V351" s="1796">
        <v>7.6</v>
      </c>
      <c r="W351" s="1824"/>
      <c r="X351" s="1821"/>
    </row>
    <row r="352" spans="1:24" s="860" customFormat="1" ht="15" hidden="1" customHeight="1" outlineLevel="1">
      <c r="A352" s="1890"/>
      <c r="B352" s="1872"/>
      <c r="C352" s="2977" t="s">
        <v>918</v>
      </c>
      <c r="D352" s="2978"/>
      <c r="E352" s="1888"/>
      <c r="F352" s="1196">
        <f>IF(SETUP!$F$58="Upfront",$E$351*'Malaria-Equipment &amp; Other HPs'!AW20,0)</f>
        <v>0</v>
      </c>
      <c r="G352" s="1196">
        <f>IF(SETUP!$F$58="Upfront",$E$351*'Malaria-Equipment &amp; Other HPs'!AX20,0)</f>
        <v>0</v>
      </c>
      <c r="H352" s="1196">
        <f>IF(SETUP!$F$58="Upfront",$E$351*'Malaria-Equipment &amp; Other HPs'!AY20,0)</f>
        <v>0</v>
      </c>
      <c r="I352" s="1196">
        <f>IF(SETUP!$F$58="Upfront",$E$351*'Malaria-Equipment &amp; Other HPs'!AZ20,0)</f>
        <v>0</v>
      </c>
      <c r="J352" s="1197"/>
      <c r="K352" s="1196">
        <f>IF(SETUP!$F$58="Upfront",$E$351*'Malaria-Equipment &amp; Other HPs'!BA20,0)</f>
        <v>0</v>
      </c>
      <c r="L352" s="1196">
        <f>IF(SETUP!$F$58="Upfront",$E$351*'Malaria-Equipment &amp; Other HPs'!BB20,0)</f>
        <v>0</v>
      </c>
      <c r="M352" s="1196">
        <f>IF(SETUP!$F$58="Upfront",$E$351*'Malaria-Equipment &amp; Other HPs'!BC20,0)</f>
        <v>0</v>
      </c>
      <c r="N352" s="1196">
        <f>IF(SETUP!$F$58="Upfront",$E$351*'Malaria-Equipment &amp; Other HPs'!BD20,0)</f>
        <v>0</v>
      </c>
      <c r="O352" s="1198"/>
      <c r="P352" s="1196">
        <f>IF(SETUP!$F$58="Upfront",$E$351*'Malaria-Equipment &amp; Other HPs'!BE20,0)</f>
        <v>0</v>
      </c>
      <c r="Q352" s="1196">
        <f>IF(SETUP!$F$58="Upfront",$E$351*'Malaria-Equipment &amp; Other HPs'!BF20,0)</f>
        <v>0</v>
      </c>
      <c r="R352" s="1196">
        <f>IF(SETUP!$F$58="Upfront",$E$351*'Malaria-Equipment &amp; Other HPs'!BG20,0)</f>
        <v>0</v>
      </c>
      <c r="S352" s="1196">
        <f>IF(SETUP!$F$58="Upfront",$E$351*'Malaria-Equipment &amp; Other HPs'!BH20,0)</f>
        <v>0</v>
      </c>
      <c r="T352" s="1209"/>
      <c r="U352" s="1196"/>
      <c r="V352" s="932"/>
    </row>
    <row r="353" spans="1:72" s="860" customFormat="1" ht="15" hidden="1" customHeight="1" outlineLevel="1" thickBot="1">
      <c r="A353" s="1879"/>
      <c r="B353" s="1873"/>
      <c r="C353" s="2960" t="s">
        <v>36</v>
      </c>
      <c r="D353" s="2961"/>
      <c r="E353" s="1889"/>
      <c r="F353" s="1200">
        <v>0</v>
      </c>
      <c r="G353" s="1201">
        <f>IF(SETUP!$F$58="At delivery",IF(SETUP!$G$58=1,$E$351*'Malaria-Equipment &amp; Other HPs'!AW20,0),0)</f>
        <v>0</v>
      </c>
      <c r="H353" s="1202">
        <f>IF(SETUP!$F$58="At delivery",IF(SETUP!$G$58=2,$E$351*'Malaria-Equipment &amp; Other HPs'!AW20,IF(SETUP!$G$58=1,$E$351*'Malaria-Equipment &amp; Other HPs'!AX20,0)),0)</f>
        <v>0</v>
      </c>
      <c r="I353" s="1202">
        <f>IF(SETUP!$F$58="At delivery",IF(SETUP!$G$58=3,$E$351*'Malaria-Equipment &amp; Other HPs'!AW20,IF(SETUP!$G$58=2,$E$351*'Malaria-Equipment &amp; Other HPs'!AX20,IF(SETUP!$G$58=1,$E$351*'Malaria-Equipment &amp; Other HPs'!AY20,0))),0)</f>
        <v>0</v>
      </c>
      <c r="J353" s="1185">
        <f>'HPM costs'!$F353+'HPM costs'!$G353+'HPM costs'!$H353+'HPM costs'!$I353</f>
        <v>0</v>
      </c>
      <c r="K353" s="1202">
        <f>IF(SETUP!$F$58="At delivery",IF(SETUP!$G$58=4,$E$351*'Malaria-Equipment &amp; Other HPs'!AW20,IF(SETUP!$G$58=3,$E$351*'Malaria-Equipment &amp; Other HPs'!AX20,IF(SETUP!$G$58=2,$E$351*'Malaria-Equipment &amp; Other HPs'!AY20,IF(SETUP!$G$58=1,$E$351*'Malaria-Equipment &amp; Other HPs'!AZ20,0)))),0)</f>
        <v>0</v>
      </c>
      <c r="L353" s="1202">
        <f>IF(SETUP!$F$58="At delivery",IF(SETUP!$G$58=4,$E$351*'Malaria-Equipment &amp; Other HPs'!AX20,IF(SETUP!$G$58=3,$E$351*'Malaria-Equipment &amp; Other HPs'!AY20,IF(SETUP!$G$58=2,$E$351*'Malaria-Equipment &amp; Other HPs'!AZ20,IF(SETUP!$G$58=1,$E$351*'Malaria-Equipment &amp; Other HPs'!BA20,0)))),0)</f>
        <v>0</v>
      </c>
      <c r="M353" s="1202">
        <f>IF(SETUP!$F$58="At delivery",IF(SETUP!$G$58=4,$E$351*'Malaria-Equipment &amp; Other HPs'!AY20,IF(SETUP!$G$58=3,$E$351*'Malaria-Equipment &amp; Other HPs'!AZ20,IF(SETUP!$G$58=2,$E$351*'Malaria-Equipment &amp; Other HPs'!BA20,IF(SETUP!$G$58=1,$E$351*'Malaria-Equipment &amp; Other HPs'!BB20,0)))),0)</f>
        <v>0</v>
      </c>
      <c r="N353" s="1202">
        <f>IF(SETUP!$F$58="At delivery",IF(SETUP!$G$58=4,$E$351*'Malaria-Equipment &amp; Other HPs'!AZ20,IF(SETUP!$G$58=3,$E$351*'Malaria-Equipment &amp; Other HPs'!BA20,IF(SETUP!$G$58=2,$E$351*'Malaria-Equipment &amp; Other HPs'!BB20,IF(SETUP!$G$58=1,$E$351*'Malaria-Equipment &amp; Other HPs'!BC20,0)))),0)</f>
        <v>0</v>
      </c>
      <c r="O353" s="1203">
        <f>'HPM costs'!$K353+'HPM costs'!$L353+'HPM costs'!$M353+'HPM costs'!$N353</f>
        <v>0</v>
      </c>
      <c r="P353" s="1200">
        <f>IF(SETUP!$F$58="At delivery",IF(SETUP!$G$58=4,$E$351*'Malaria-Equipment &amp; Other HPs'!BA20,IF(SETUP!$G$58=3,$E$351*'Malaria-Equipment &amp; Other HPs'!BB20,IF(SETUP!$G$58=2,$E$351*'Malaria-Equipment &amp; Other HPs'!BC20,IF(SETUP!$G$58=1,$E$351*'Malaria-Equipment &amp; Other HPs'!BD20,0)))),0)</f>
        <v>0</v>
      </c>
      <c r="Q353" s="1200">
        <f>IF(SETUP!$F$58="At delivery",IF(SETUP!$G$58=4,$E$351*'Malaria-Equipment &amp; Other HPs'!BB20,IF(SETUP!$G$58=3,$E$351*'Malaria-Equipment &amp; Other HPs'!BC20,IF(SETUP!$G$58=2,$E$351*'Malaria-Equipment &amp; Other HPs'!BD20,IF(SETUP!$G$58=1,$E$351*'Malaria-Equipment &amp; Other HPs'!BE20,0)))),0)</f>
        <v>0</v>
      </c>
      <c r="R353" s="1200">
        <f>IF(SETUP!$F$58="At delivery",IF(SETUP!$G$58=4,$E$351*'Malaria-Equipment &amp; Other HPs'!BC20,IF(SETUP!$G$58=3,$E$351*'Malaria-Equipment &amp; Other HPs'!BD20,IF(SETUP!$G$58=2,$E$351*'Malaria-Equipment &amp; Other HPs'!BE20,IF(SETUP!$G$58=1,$E$351*'Malaria-Equipment &amp; Other HPs'!BF20,0)))),0)</f>
        <v>0</v>
      </c>
      <c r="S353" s="1200">
        <f>IF(SETUP!$F$58="At delivery",IF(SETUP!$G$58=4,$E$351*('Malaria-Equipment &amp; Other HPs'!BD20+'Malaria-Equipment &amp; Other HPs'!BE20+'Malaria-Equipment &amp; Other HPs'!BF20+'Malaria-Equipment &amp; Other HPs'!BG20+'Malaria-Equipment &amp; Other HPs'!BH20),IF(SETUP!$G$58=3,$E$351*('Malaria-Equipment &amp; Other HPs'!BE20+'Malaria-Equipment &amp; Other HPs'!BF20+'Malaria-Equipment &amp; Other HPs'!BG20+'Malaria-Equipment &amp; Other HPs'!BH20),IF(SETUP!$G$58=2,$E$351*('Malaria-Equipment &amp; Other HPs'!BF20+'Malaria-Equipment &amp; Other HPs'!BG20+'Malaria-Equipment &amp; Other HPs'!BH20),IF(SETUP!$G$58=1,$E$351*('Malaria-Equipment &amp; Other HPs'!BG20+'Malaria-Equipment &amp; Other HPs'!BH20),0)))),0)</f>
        <v>0</v>
      </c>
      <c r="T353" s="1210">
        <f>'HPM costs'!$P353+'HPM costs'!$Q353+'HPM costs'!$R353+'HPM costs'!$S353</f>
        <v>0</v>
      </c>
      <c r="U353" s="1200">
        <f>'HPM costs'!$J353+'HPM costs'!$O353+'HPM costs'!$T353</f>
        <v>0</v>
      </c>
      <c r="V353" s="933">
        <v>7.6</v>
      </c>
    </row>
    <row r="354" spans="1:72" s="860" customFormat="1" ht="15" customHeight="1" collapsed="1" thickBot="1">
      <c r="A354" s="1891"/>
      <c r="B354" s="1891"/>
      <c r="C354" s="862"/>
      <c r="D354" s="863"/>
      <c r="E354" s="864"/>
      <c r="F354" s="863"/>
      <c r="G354" s="863"/>
      <c r="H354" s="863"/>
      <c r="I354" s="865"/>
      <c r="V354" s="931"/>
      <c r="Y354" s="866"/>
      <c r="Z354" s="863"/>
      <c r="AA354" s="863"/>
      <c r="AB354" s="863"/>
      <c r="AC354" s="863"/>
      <c r="AD354" s="863"/>
      <c r="AE354" s="863"/>
      <c r="AF354" s="863"/>
      <c r="AG354" s="863"/>
      <c r="AH354" s="863"/>
      <c r="AI354" s="863"/>
      <c r="AJ354" s="863"/>
      <c r="AK354" s="863"/>
      <c r="AL354" s="863"/>
    </row>
    <row r="355" spans="1:72" s="759" customFormat="1" ht="15" customHeight="1">
      <c r="A355" s="2924">
        <v>2</v>
      </c>
      <c r="B355" s="2979" t="s">
        <v>590</v>
      </c>
      <c r="C355" s="2979"/>
      <c r="D355" s="2979"/>
      <c r="E355" s="2979"/>
      <c r="F355" s="2979"/>
      <c r="G355" s="2979"/>
      <c r="H355" s="2979"/>
      <c r="I355" s="2979"/>
      <c r="J355" s="2979"/>
      <c r="K355" s="3039" t="s">
        <v>591</v>
      </c>
      <c r="L355" s="3040"/>
      <c r="M355" s="2998" t="s">
        <v>6894</v>
      </c>
      <c r="N355" s="2998"/>
      <c r="O355" s="2998" t="s">
        <v>6893</v>
      </c>
      <c r="P355" s="2999"/>
      <c r="Q355" s="767"/>
      <c r="R355" s="768"/>
      <c r="S355" s="768"/>
      <c r="T355" s="768"/>
      <c r="U355" s="768"/>
      <c r="V355" s="935"/>
      <c r="W355" s="768"/>
      <c r="X355" s="768"/>
      <c r="Y355" s="768"/>
      <c r="Z355" s="768"/>
      <c r="AA355" s="768"/>
      <c r="AB355" s="768"/>
      <c r="AC355" s="768"/>
      <c r="AD355" s="768"/>
      <c r="AE355" s="768"/>
      <c r="AF355" s="768"/>
      <c r="AG355" s="768"/>
      <c r="AH355" s="768"/>
      <c r="AI355" s="768"/>
      <c r="AJ355" s="768"/>
      <c r="AK355" s="768"/>
      <c r="AL355" s="768"/>
      <c r="AM355" s="768"/>
      <c r="AN355" s="768"/>
      <c r="AO355" s="768"/>
      <c r="AP355" s="768"/>
      <c r="AQ355" s="768"/>
      <c r="AR355" s="768"/>
      <c r="AS355" s="768"/>
      <c r="AT355" s="768"/>
      <c r="AU355" s="768"/>
      <c r="AV355" s="768"/>
      <c r="AW355" s="768"/>
      <c r="AX355" s="768"/>
      <c r="AY355" s="768"/>
      <c r="AZ355" s="768"/>
      <c r="BA355" s="768"/>
      <c r="BB355" s="768"/>
      <c r="BC355" s="768"/>
      <c r="BD355" s="768"/>
      <c r="BE355" s="768"/>
      <c r="BF355" s="768"/>
      <c r="BG355" s="768"/>
      <c r="BH355" s="768"/>
      <c r="BI355" s="768"/>
      <c r="BJ355" s="768"/>
      <c r="BK355" s="768"/>
      <c r="BL355" s="768"/>
      <c r="BM355" s="768"/>
      <c r="BN355" s="768"/>
      <c r="BO355" s="768"/>
      <c r="BP355" s="768"/>
      <c r="BQ355" s="768"/>
      <c r="BR355" s="768"/>
    </row>
    <row r="356" spans="1:72" s="759" customFormat="1" ht="15" customHeight="1" thickBot="1">
      <c r="A356" s="2925"/>
      <c r="B356" s="2980"/>
      <c r="C356" s="2980"/>
      <c r="D356" s="2980"/>
      <c r="E356" s="2980"/>
      <c r="F356" s="2980"/>
      <c r="G356" s="2980"/>
      <c r="H356" s="2980"/>
      <c r="I356" s="2980"/>
      <c r="J356" s="2980"/>
      <c r="K356" s="3041"/>
      <c r="L356" s="3042"/>
      <c r="M356" s="3018"/>
      <c r="N356" s="3018"/>
      <c r="O356" s="3000"/>
      <c r="P356" s="3000"/>
      <c r="Q356" s="767"/>
      <c r="R356" s="768"/>
      <c r="S356" s="768"/>
      <c r="T356" s="768"/>
      <c r="U356" s="768"/>
      <c r="V356" s="935"/>
      <c r="W356" s="768"/>
      <c r="X356" s="772"/>
      <c r="Y356" s="772"/>
      <c r="Z356" s="772"/>
      <c r="AA356" s="772"/>
      <c r="AB356" s="772"/>
      <c r="AC356" s="772"/>
      <c r="AD356" s="772"/>
      <c r="AE356" s="772"/>
      <c r="AF356" s="772"/>
      <c r="AG356" s="772"/>
      <c r="AH356" s="772"/>
      <c r="AI356" s="768"/>
      <c r="AJ356" s="768"/>
      <c r="AK356" s="768"/>
      <c r="AL356" s="768"/>
      <c r="AM356" s="768"/>
      <c r="AN356" s="768"/>
      <c r="AO356" s="768"/>
      <c r="AP356" s="768"/>
      <c r="AQ356" s="768"/>
      <c r="AR356" s="768"/>
      <c r="AS356" s="768"/>
      <c r="AT356" s="768"/>
      <c r="AU356" s="768"/>
      <c r="AV356" s="768"/>
      <c r="AW356" s="768"/>
      <c r="AX356" s="768"/>
      <c r="AY356" s="768"/>
      <c r="AZ356" s="768"/>
      <c r="BA356" s="768"/>
      <c r="BB356" s="768"/>
      <c r="BC356" s="768"/>
      <c r="BD356" s="768"/>
      <c r="BE356" s="768"/>
      <c r="BF356" s="768"/>
      <c r="BG356" s="768"/>
      <c r="BH356" s="768"/>
      <c r="BI356" s="768"/>
      <c r="BJ356" s="768"/>
      <c r="BK356" s="768"/>
      <c r="BL356" s="768"/>
      <c r="BM356" s="768"/>
      <c r="BN356" s="768"/>
      <c r="BO356" s="768"/>
      <c r="BP356" s="768"/>
      <c r="BQ356" s="768"/>
      <c r="BR356" s="768"/>
    </row>
    <row r="357" spans="1:72" s="759" customFormat="1" ht="13">
      <c r="A357" s="770"/>
      <c r="B357" s="770"/>
      <c r="C357" s="770"/>
      <c r="D357" s="770"/>
      <c r="E357" s="918"/>
      <c r="F357" s="770"/>
      <c r="G357" s="770"/>
      <c r="H357" s="770"/>
      <c r="I357" s="770"/>
      <c r="J357" s="770"/>
      <c r="K357" s="770"/>
      <c r="L357" s="770"/>
      <c r="M357" s="770"/>
      <c r="N357" s="770"/>
      <c r="O357" s="770"/>
      <c r="P357" s="770"/>
      <c r="Q357" s="770"/>
      <c r="R357" s="770"/>
      <c r="S357" s="770"/>
      <c r="T357" s="770"/>
      <c r="U357" s="770"/>
      <c r="V357" s="936"/>
      <c r="W357" s="770"/>
      <c r="X357" s="770"/>
      <c r="Y357" s="867"/>
      <c r="Z357" s="768"/>
      <c r="AA357" s="768"/>
      <c r="AB357" s="768"/>
      <c r="AC357" s="768"/>
      <c r="AD357" s="768"/>
      <c r="AE357" s="768"/>
      <c r="AF357" s="768"/>
      <c r="AG357" s="768"/>
      <c r="AH357" s="868"/>
      <c r="AI357" s="768"/>
      <c r="AJ357" s="768"/>
      <c r="AK357" s="768"/>
      <c r="AL357" s="768"/>
      <c r="AM357" s="768"/>
      <c r="AN357" s="768"/>
      <c r="AO357" s="768"/>
      <c r="AP357" s="768"/>
      <c r="AQ357" s="768"/>
      <c r="AR357" s="768"/>
      <c r="AS357" s="768"/>
      <c r="AT357" s="768"/>
      <c r="AU357" s="768"/>
      <c r="AV357" s="768"/>
      <c r="AW357" s="768"/>
      <c r="AX357" s="768"/>
      <c r="AY357" s="768"/>
      <c r="AZ357" s="768"/>
      <c r="BA357" s="768"/>
      <c r="BB357" s="768"/>
      <c r="BC357" s="768"/>
      <c r="BD357" s="768"/>
      <c r="BE357" s="768"/>
      <c r="BF357" s="768"/>
      <c r="BG357" s="768"/>
      <c r="BH357" s="768"/>
      <c r="BI357" s="768"/>
      <c r="BJ357" s="768"/>
      <c r="BK357" s="768"/>
      <c r="BL357" s="768"/>
      <c r="BM357" s="768"/>
      <c r="BN357" s="768"/>
      <c r="BO357" s="768"/>
      <c r="BP357" s="768"/>
      <c r="BQ357" s="768"/>
      <c r="BR357" s="768"/>
      <c r="BS357" s="768"/>
      <c r="BT357" s="768"/>
    </row>
    <row r="358" spans="1:72" s="1386" customFormat="1" ht="25.5" customHeight="1" thickBot="1">
      <c r="A358" s="1385" t="s">
        <v>1567</v>
      </c>
      <c r="E358" s="1387"/>
      <c r="G358" s="1388"/>
      <c r="H358" s="1388"/>
      <c r="I358" s="1388"/>
      <c r="J358" s="1388"/>
      <c r="K358" s="1388"/>
      <c r="L358" s="1388"/>
      <c r="M358" s="1388"/>
      <c r="N358" s="1388"/>
      <c r="O358" s="1388"/>
      <c r="P358" s="1388"/>
      <c r="Q358" s="1388"/>
      <c r="R358" s="1388"/>
      <c r="S358" s="1388"/>
      <c r="T358" s="1388"/>
      <c r="U358" s="1388"/>
      <c r="V358" s="1389"/>
      <c r="W358" s="1388"/>
      <c r="X358" s="1388"/>
      <c r="Z358" s="1390"/>
      <c r="AA358" s="1390"/>
      <c r="AB358" s="1390"/>
      <c r="AC358" s="1390"/>
      <c r="AD358" s="1390"/>
      <c r="AE358" s="1390"/>
      <c r="AF358" s="1390"/>
      <c r="AG358" s="1390"/>
      <c r="AH358" s="1390"/>
      <c r="AI358" s="1390"/>
      <c r="AJ358" s="1390"/>
      <c r="AK358" s="1390"/>
      <c r="AL358" s="1390"/>
      <c r="AM358" s="1390"/>
      <c r="AN358" s="1390"/>
      <c r="AO358" s="1390"/>
      <c r="AP358" s="1390"/>
      <c r="AQ358" s="1390"/>
      <c r="AR358" s="1390"/>
      <c r="AS358" s="1390"/>
      <c r="AT358" s="1390"/>
      <c r="AU358" s="1390"/>
      <c r="AV358" s="1390"/>
      <c r="AW358" s="1390"/>
      <c r="AX358" s="1390"/>
      <c r="AY358" s="1390"/>
      <c r="AZ358" s="1390"/>
      <c r="BA358" s="1390"/>
      <c r="BB358" s="1390"/>
      <c r="BC358" s="1390"/>
      <c r="BD358" s="1390"/>
      <c r="BE358" s="1390"/>
      <c r="BF358" s="1390"/>
      <c r="BG358" s="1390"/>
      <c r="BH358" s="1390"/>
      <c r="BI358" s="1390"/>
      <c r="BJ358" s="1390"/>
      <c r="BK358" s="1390"/>
      <c r="BL358" s="1390"/>
      <c r="BM358" s="1390"/>
      <c r="BN358" s="1390"/>
      <c r="BO358" s="1390"/>
      <c r="BP358" s="1390"/>
      <c r="BQ358" s="1390"/>
      <c r="BR358" s="1390"/>
      <c r="BS358" s="1390"/>
      <c r="BT358" s="1390"/>
    </row>
    <row r="359" spans="1:72" s="765" customFormat="1" ht="22.9" customHeight="1" thickBot="1">
      <c r="A359" s="2942" t="s">
        <v>592</v>
      </c>
      <c r="B359" s="2943"/>
      <c r="C359" s="2943"/>
      <c r="D359" s="2954"/>
      <c r="E359" s="3007" t="s">
        <v>1562</v>
      </c>
      <c r="F359" s="2942" t="str">
        <f>IF(ISBLANK(IMP_ST_DATE),"Please fill setup",YEAR(IMP_ST_DATE))</f>
        <v>Please fill setup</v>
      </c>
      <c r="G359" s="2943"/>
      <c r="H359" s="2943"/>
      <c r="I359" s="2943"/>
      <c r="J359" s="2944"/>
      <c r="K359" s="2942" t="str">
        <f>IF(ISBLANK(IMP_ST_DATE),"Please fill setup",YEAR(IMP_ST_DATE)+1)</f>
        <v>Please fill setup</v>
      </c>
      <c r="L359" s="2943"/>
      <c r="M359" s="2943"/>
      <c r="N359" s="2943"/>
      <c r="O359" s="2944"/>
      <c r="P359" s="2942" t="str">
        <f>IF(ISBLANK(IMP_ST_DATE),"Please fill setup",YEAR(IMP_ST_DATE)+2)</f>
        <v>Please fill setup</v>
      </c>
      <c r="Q359" s="2943"/>
      <c r="R359" s="2943"/>
      <c r="S359" s="2943"/>
      <c r="T359" s="2944"/>
      <c r="U359" s="1853" t="s">
        <v>593</v>
      </c>
      <c r="V359" s="1860" t="s">
        <v>153</v>
      </c>
      <c r="W359" s="3045" t="s">
        <v>6865</v>
      </c>
      <c r="X359" s="869"/>
      <c r="Y359" s="870"/>
      <c r="Z359" s="870"/>
      <c r="AA359" s="870"/>
      <c r="AB359" s="870"/>
      <c r="AC359" s="870"/>
      <c r="AD359" s="870"/>
      <c r="AE359" s="870"/>
      <c r="AF359" s="871"/>
      <c r="AG359" s="870"/>
      <c r="AH359" s="870"/>
      <c r="AI359" s="870"/>
      <c r="AJ359" s="870"/>
      <c r="AK359" s="870"/>
      <c r="AL359" s="870"/>
      <c r="AM359" s="870"/>
      <c r="AN359" s="870"/>
      <c r="AO359" s="870"/>
      <c r="AP359" s="870"/>
      <c r="AQ359" s="870"/>
      <c r="AR359" s="870"/>
      <c r="AS359" s="870"/>
      <c r="AT359" s="870"/>
      <c r="AU359" s="870"/>
      <c r="AV359" s="870"/>
      <c r="AW359" s="870"/>
      <c r="AX359" s="870"/>
      <c r="AY359" s="870"/>
      <c r="AZ359" s="870"/>
      <c r="BA359" s="870"/>
      <c r="BB359" s="870"/>
      <c r="BC359" s="870"/>
      <c r="BD359" s="870"/>
      <c r="BE359" s="870"/>
      <c r="BF359" s="870"/>
      <c r="BG359" s="870"/>
      <c r="BH359" s="870"/>
      <c r="BI359" s="870"/>
      <c r="BJ359" s="870"/>
      <c r="BK359" s="870"/>
      <c r="BL359" s="870"/>
      <c r="BM359" s="870"/>
      <c r="BN359" s="870"/>
      <c r="BO359" s="870"/>
      <c r="BP359" s="870"/>
      <c r="BQ359" s="870"/>
      <c r="BR359" s="870"/>
    </row>
    <row r="360" spans="1:72" s="874" customFormat="1" ht="24" customHeight="1" thickBot="1">
      <c r="A360" s="2945"/>
      <c r="B360" s="2946"/>
      <c r="C360" s="2946"/>
      <c r="D360" s="2955"/>
      <c r="E360" s="3008"/>
      <c r="F360" s="2945"/>
      <c r="G360" s="2946"/>
      <c r="H360" s="2946"/>
      <c r="I360" s="2946"/>
      <c r="J360" s="2947"/>
      <c r="K360" s="2945"/>
      <c r="L360" s="2946"/>
      <c r="M360" s="2946"/>
      <c r="N360" s="2946"/>
      <c r="O360" s="2947"/>
      <c r="P360" s="2945"/>
      <c r="Q360" s="2946"/>
      <c r="R360" s="2946"/>
      <c r="S360" s="2946"/>
      <c r="T360" s="2947"/>
      <c r="U360" s="1861" t="s">
        <v>176</v>
      </c>
      <c r="V360" s="1856" t="s">
        <v>177</v>
      </c>
      <c r="W360" s="3046"/>
      <c r="X360" s="872"/>
      <c r="Y360" s="873"/>
      <c r="Z360" s="873"/>
      <c r="AA360" s="873"/>
      <c r="AB360" s="873"/>
      <c r="AC360" s="873"/>
      <c r="AD360" s="873"/>
      <c r="AE360" s="873"/>
      <c r="AF360" s="873"/>
      <c r="AG360" s="873"/>
      <c r="AH360" s="873"/>
      <c r="AI360" s="873"/>
      <c r="AJ360" s="873"/>
      <c r="AK360" s="873"/>
      <c r="AL360" s="873"/>
      <c r="AM360" s="873"/>
      <c r="AN360" s="873"/>
      <c r="AO360" s="873"/>
      <c r="AP360" s="873"/>
      <c r="AQ360" s="873"/>
      <c r="AR360" s="873"/>
      <c r="AS360" s="873"/>
      <c r="AT360" s="873"/>
      <c r="AU360" s="873"/>
      <c r="AV360" s="873"/>
      <c r="AW360" s="873"/>
      <c r="AX360" s="873"/>
      <c r="AY360" s="873"/>
      <c r="AZ360" s="873"/>
      <c r="BA360" s="873"/>
      <c r="BB360" s="873"/>
      <c r="BC360" s="873"/>
      <c r="BD360" s="873"/>
      <c r="BE360" s="873"/>
      <c r="BF360" s="873"/>
      <c r="BG360" s="873"/>
      <c r="BH360" s="873"/>
      <c r="BI360" s="873"/>
      <c r="BJ360" s="873"/>
      <c r="BK360" s="873"/>
      <c r="BL360" s="873"/>
      <c r="BM360" s="873"/>
      <c r="BN360" s="873"/>
      <c r="BO360" s="873"/>
      <c r="BP360" s="873"/>
      <c r="BQ360" s="873"/>
      <c r="BR360" s="873"/>
    </row>
    <row r="361" spans="1:72" s="759" customFormat="1" ht="13">
      <c r="A361" s="2913" t="s">
        <v>560</v>
      </c>
      <c r="B361" s="2914"/>
      <c r="C361" s="2972" t="s">
        <v>561</v>
      </c>
      <c r="D361" s="2972"/>
      <c r="E361" s="1648">
        <v>0</v>
      </c>
      <c r="F361" s="1327">
        <f>IF(SETUP!$F$20="Upfront",F362,F363)</f>
        <v>0</v>
      </c>
      <c r="G361" s="1308">
        <f>IF(SETUP!$F$20="Upfront",G362,G363)</f>
        <v>0</v>
      </c>
      <c r="H361" s="1308">
        <f>IF(SETUP!$F$20="Upfront",H362,H363)</f>
        <v>0</v>
      </c>
      <c r="I361" s="1308">
        <f>IF(SETUP!$F$20="Upfront",I362,I363)</f>
        <v>0</v>
      </c>
      <c r="J361" s="1308">
        <f>F361+G361+H361+I361</f>
        <v>0</v>
      </c>
      <c r="K361" s="1327">
        <f>IF(SETUP!$F$20="Upfront",K362,K363)</f>
        <v>0</v>
      </c>
      <c r="L361" s="1308">
        <f>IF(SETUP!$F$20="Upfront",L362,L363)</f>
        <v>0</v>
      </c>
      <c r="M361" s="1308">
        <f>IF(SETUP!$F$20="Upfront",M362,M363)</f>
        <v>0</v>
      </c>
      <c r="N361" s="1308">
        <f>IF(SETUP!$F$20="Upfront",N362,N363)</f>
        <v>0</v>
      </c>
      <c r="O361" s="1308">
        <f>K361+L361+M361+N361</f>
        <v>0</v>
      </c>
      <c r="P361" s="1327">
        <f>IF(SETUP!$F$20="Upfront",P362,P363)</f>
        <v>0</v>
      </c>
      <c r="Q361" s="1308">
        <f>IF(SETUP!$F$20="Upfront",Q362,Q363)</f>
        <v>0</v>
      </c>
      <c r="R361" s="1308">
        <f>IF(SETUP!$F$20="Upfront",R362,R363)</f>
        <v>0</v>
      </c>
      <c r="S361" s="1308">
        <f>IF(SETUP!$F$20="Upfront",S362,S363)</f>
        <v>0</v>
      </c>
      <c r="T361" s="1308">
        <f>P361+Q361+R361+S361</f>
        <v>0</v>
      </c>
      <c r="U361" s="1327">
        <f>J361+O361+T361</f>
        <v>0</v>
      </c>
      <c r="V361" s="1825">
        <v>7.3</v>
      </c>
      <c r="W361" s="1829"/>
      <c r="X361" s="849" t="s">
        <v>597</v>
      </c>
      <c r="Y361" s="768"/>
      <c r="Z361" s="768"/>
      <c r="AA361" s="768"/>
      <c r="AB361" s="768"/>
      <c r="AC361" s="768"/>
      <c r="AD361" s="768"/>
      <c r="AE361" s="768"/>
      <c r="AF361" s="868"/>
      <c r="AG361" s="768"/>
      <c r="AH361" s="768"/>
      <c r="AI361" s="768"/>
      <c r="AJ361" s="768"/>
      <c r="AK361" s="768"/>
      <c r="AL361" s="768"/>
      <c r="AM361" s="768"/>
      <c r="AN361" s="768"/>
      <c r="AO361" s="768"/>
      <c r="AP361" s="768"/>
      <c r="AQ361" s="768"/>
      <c r="AR361" s="768"/>
      <c r="AS361" s="768"/>
      <c r="AT361" s="768"/>
      <c r="AU361" s="768"/>
      <c r="AV361" s="768"/>
      <c r="AW361" s="768"/>
      <c r="AX361" s="768"/>
      <c r="AY361" s="768"/>
      <c r="AZ361" s="768"/>
      <c r="BA361" s="768"/>
      <c r="BB361" s="768"/>
      <c r="BC361" s="768"/>
      <c r="BD361" s="768"/>
      <c r="BE361" s="768"/>
      <c r="BF361" s="768"/>
      <c r="BG361" s="768"/>
      <c r="BH361" s="768"/>
      <c r="BI361" s="768"/>
      <c r="BJ361" s="768"/>
      <c r="BK361" s="768"/>
      <c r="BL361" s="768"/>
      <c r="BM361" s="768"/>
      <c r="BN361" s="768"/>
      <c r="BO361" s="768"/>
      <c r="BP361" s="768"/>
      <c r="BQ361" s="768"/>
      <c r="BR361" s="768"/>
    </row>
    <row r="362" spans="1:72" s="759" customFormat="1" ht="16.149999999999999" hidden="1" customHeight="1" outlineLevel="1">
      <c r="A362" s="2915"/>
      <c r="B362" s="2916"/>
      <c r="C362" s="2912" t="s">
        <v>918</v>
      </c>
      <c r="D362" s="2912"/>
      <c r="E362" s="1649"/>
      <c r="F362" s="1328">
        <f>IF(SETUP!$F$20="Upfront",$E$361*'HIV-Pharmaceuticals'!AW14,0)</f>
        <v>0</v>
      </c>
      <c r="G362" s="1194">
        <f>IF(SETUP!$F$20="Upfront",$E$361*'HIV-Pharmaceuticals'!AX14,0)</f>
        <v>0</v>
      </c>
      <c r="H362" s="1194">
        <f>IF(SETUP!$F$20="Upfront",$E$361*'HIV-Pharmaceuticals'!AY14,0)</f>
        <v>0</v>
      </c>
      <c r="I362" s="1194">
        <f>IF(SETUP!$F$20="Upfront",$E$361*'HIV-Pharmaceuticals'!AZ14,0)</f>
        <v>0</v>
      </c>
      <c r="J362" s="1194">
        <f>'HPM costs'!$F362+'HPM costs'!$G362+'HPM costs'!$H362+'HPM costs'!$I362</f>
        <v>0</v>
      </c>
      <c r="K362" s="1328">
        <f>IF(SETUP!$F$20="Upfront",$E$361*'HIV-Pharmaceuticals'!BA14,0)</f>
        <v>0</v>
      </c>
      <c r="L362" s="1194">
        <f>IF(SETUP!$F$20="Upfront",$E$361*'HIV-Pharmaceuticals'!BB14,0)</f>
        <v>0</v>
      </c>
      <c r="M362" s="1194">
        <f>IF(SETUP!$F$20="Upfront",$E$361*'HIV-Pharmaceuticals'!BC14,0)</f>
        <v>0</v>
      </c>
      <c r="N362" s="1194">
        <f>IF(SETUP!$F$20="Upfront",$E$361*'HIV-Pharmaceuticals'!BD14,0)</f>
        <v>0</v>
      </c>
      <c r="O362" s="1194">
        <f>'HPM costs'!$F362+'HPM costs'!$G362+'HPM costs'!$H362+'HPM costs'!$I362</f>
        <v>0</v>
      </c>
      <c r="P362" s="1328">
        <f>IF(SETUP!$F$20="Upfront",$E$361*'HIV-Pharmaceuticals'!BE14,0)</f>
        <v>0</v>
      </c>
      <c r="Q362" s="1194">
        <f>IF(SETUP!$F$20="Upfront",$E$361*'HIV-Pharmaceuticals'!BF14,0)</f>
        <v>0</v>
      </c>
      <c r="R362" s="1194">
        <f>IF(SETUP!$F$20="Upfront",$E$361*'HIV-Pharmaceuticals'!BG14,0)</f>
        <v>0</v>
      </c>
      <c r="S362" s="1194">
        <f>IF(SETUP!$F$20="Upfront",$E$361*'HIV-Pharmaceuticals'!BH14,0)</f>
        <v>0</v>
      </c>
      <c r="T362" s="1194">
        <f>'HPM costs'!$F362+'HPM costs'!$G362+'HPM costs'!$H362+'HPM costs'!$I362</f>
        <v>0</v>
      </c>
      <c r="U362" s="1328">
        <f>'HPM costs'!$J362+'HPM costs'!$O362+'HPM costs'!$T362</f>
        <v>0</v>
      </c>
      <c r="V362" s="1826"/>
      <c r="W362" s="1830"/>
      <c r="X362" s="849"/>
      <c r="Y362" s="768"/>
      <c r="Z362" s="768"/>
      <c r="AA362" s="768"/>
      <c r="AB362" s="768"/>
      <c r="AC362" s="768"/>
      <c r="AD362" s="768"/>
      <c r="AE362" s="768"/>
      <c r="AF362" s="868"/>
      <c r="AG362" s="768"/>
      <c r="AH362" s="768"/>
      <c r="AI362" s="768"/>
      <c r="AJ362" s="768"/>
      <c r="AK362" s="768"/>
      <c r="AL362" s="768"/>
      <c r="AM362" s="768"/>
      <c r="AN362" s="768"/>
      <c r="AO362" s="768"/>
      <c r="AP362" s="768"/>
      <c r="AQ362" s="768"/>
      <c r="AR362" s="768"/>
      <c r="AS362" s="768"/>
      <c r="AT362" s="768"/>
      <c r="AU362" s="768"/>
      <c r="AV362" s="768"/>
      <c r="AW362" s="768"/>
      <c r="AX362" s="768"/>
      <c r="AY362" s="768"/>
      <c r="AZ362" s="768"/>
      <c r="BA362" s="768"/>
      <c r="BB362" s="768"/>
      <c r="BC362" s="768"/>
      <c r="BD362" s="768"/>
      <c r="BE362" s="768"/>
      <c r="BF362" s="768"/>
      <c r="BG362" s="768"/>
      <c r="BH362" s="768"/>
      <c r="BI362" s="768"/>
      <c r="BJ362" s="768"/>
      <c r="BK362" s="768"/>
      <c r="BL362" s="768"/>
      <c r="BM362" s="768"/>
      <c r="BN362" s="768"/>
      <c r="BO362" s="768"/>
      <c r="BP362" s="768"/>
      <c r="BQ362" s="768"/>
      <c r="BR362" s="768"/>
    </row>
    <row r="363" spans="1:72" s="759" customFormat="1" ht="16.149999999999999" hidden="1" customHeight="1" outlineLevel="1">
      <c r="A363" s="2915"/>
      <c r="B363" s="2916"/>
      <c r="C363" s="2912" t="s">
        <v>36</v>
      </c>
      <c r="D363" s="2912"/>
      <c r="E363" s="1649"/>
      <c r="F363" s="1328">
        <v>0</v>
      </c>
      <c r="G363" s="1194">
        <f>IF(SETUP!$F$20="At delivery",IF(SETUP!$G$20=1,$E$361*'HIV-Pharmaceuticals'!AW14,0),0)</f>
        <v>0</v>
      </c>
      <c r="H363" s="1194">
        <f>IF(SETUP!$F$20="At delivery",IF(SETUP!$G$20=2,$E$361*'HIV-Pharmaceuticals'!AW14,IF(SETUP!$G$20=1,$E$361*'HIV-Pharmaceuticals'!AX14,0)),0)</f>
        <v>0</v>
      </c>
      <c r="I363" s="1194">
        <f>IF(SETUP!$F$20="At delivery",IF(SETUP!$G$20=3,$E$361*'HIV-Pharmaceuticals'!AW14,IF(SETUP!$G$20=2,$E$361*'HIV-Pharmaceuticals'!AX14,IF(SETUP!$G$20=1,$E$361*'HIV-Pharmaceuticals'!AY14,0))),0)</f>
        <v>0</v>
      </c>
      <c r="J363" s="1194">
        <f>'HPM costs'!$F363+'HPM costs'!$G363+'HPM costs'!$H363+'HPM costs'!$I363</f>
        <v>0</v>
      </c>
      <c r="K363" s="1328">
        <f>IF(SETUP!$F$20="At delivery",IF(SETUP!$G$20=4,$E$361*'HIV-Pharmaceuticals'!AW14,IF(SETUP!$G$20=3,$E$361*'HIV-Pharmaceuticals'!AX14,IF(SETUP!$G$20=2,$E$361*'HIV-Pharmaceuticals'!AY14,IF(SETUP!$G$20=1,$E$361*'HIV-Pharmaceuticals'!AZ14,0)))),0)</f>
        <v>0</v>
      </c>
      <c r="L363" s="1194">
        <f>IF(SETUP!$F$20="At delivery",IF(SETUP!$G$20=4,$E$361*'HIV-Pharmaceuticals'!AX14,IF(SETUP!$G$20=3,$E$361*'HIV-Pharmaceuticals'!AY14,IF(SETUP!$G$20=2,$E$361*'HIV-Pharmaceuticals'!AZ14,IF(SETUP!$G$20=1,$E$361*'HIV-Pharmaceuticals'!BA14,0)))),0)</f>
        <v>0</v>
      </c>
      <c r="M363" s="1194">
        <f>IF(SETUP!$F$20="At delivery",IF(SETUP!$G$20=4,$E$361*'HIV-Pharmaceuticals'!AY14,IF(SETUP!$G$20=3,$E$361*'HIV-Pharmaceuticals'!AZ14,IF(SETUP!$G$20=2,$E$361*'HIV-Pharmaceuticals'!BA14,IF(SETUP!$G$20=1,$E$361*'HIV-Pharmaceuticals'!BB14,0)))),0)</f>
        <v>0</v>
      </c>
      <c r="N363" s="1194">
        <f>IF(SETUP!$F$20="At delivery",IF(SETUP!$G$20=4,$E$361*'HIV-Pharmaceuticals'!AZ14,IF(SETUP!$G$20=3,$E$361*'HIV-Pharmaceuticals'!BA14,IF(SETUP!$G$20=2,$E$361*'HIV-Pharmaceuticals'!BB14,IF(SETUP!$G$20=1,$E$361*'HIV-Pharmaceuticals'!BC14,0)))),0)</f>
        <v>0</v>
      </c>
      <c r="O363" s="1194">
        <f>'HPM costs'!$F363+'HPM costs'!$G363+'HPM costs'!$H363+'HPM costs'!$I363</f>
        <v>0</v>
      </c>
      <c r="P363" s="1328">
        <f>IF(SETUP!$F$20="At delivery",IF(SETUP!$G$20=4,$E$361*'HIV-Pharmaceuticals'!BA14,IF(SETUP!$G$20=3,$E$361*'HIV-Pharmaceuticals'!BB14,IF(SETUP!$G$20=2,$E$361*'HIV-Pharmaceuticals'!BC14,IF(SETUP!$G$20=1,$E$361*'HIV-Pharmaceuticals'!BD14,0)))),0)</f>
        <v>0</v>
      </c>
      <c r="Q363" s="1194">
        <f>IF(SETUP!$F$20="At delivery",IF(SETUP!$G$20=4,$E$361*'HIV-Pharmaceuticals'!BB14,IF(SETUP!$G$20=3,$E$361*'HIV-Pharmaceuticals'!BC14,IF(SETUP!$G$20=2,$E$361*'HIV-Pharmaceuticals'!BD14,IF(SETUP!$G$20=1,$E$361*'HIV-Pharmaceuticals'!BE14,0)))),0)</f>
        <v>0</v>
      </c>
      <c r="R363" s="1194">
        <f>IF(SETUP!$F$20="At delivery",IF(SETUP!$G$20=4,$E$361*'HIV-Pharmaceuticals'!BC14,IF(SETUP!$G$20=3,$E$361*'HIV-Pharmaceuticals'!BD14,IF(SETUP!$G$20=2,$E$361*'HIV-Pharmaceuticals'!BE14,IF(SETUP!$G$20=1,$E$361*'HIV-Pharmaceuticals'!BF14,0)))),0)</f>
        <v>0</v>
      </c>
      <c r="S363" s="1194">
        <f>IF(SETUP!$F$20="At delivery",IF(SETUP!$G$20=4,$E$361*('HIV-Pharmaceuticals'!BD14+'HIV-Pharmaceuticals'!BE14+'HIV-Pharmaceuticals'!BF14+'HIV-Pharmaceuticals'!BG14+'HIV-Pharmaceuticals'!BH14),IF(SETUP!$G$20=3,$E$361*('HIV-Pharmaceuticals'!BE14+'HIV-Pharmaceuticals'!BF14+'HIV-Pharmaceuticals'!BG14+'HIV-Pharmaceuticals'!BH14),IF(SETUP!$G$20=2,$E$361*('HIV-Pharmaceuticals'!BF14+'HIV-Pharmaceuticals'!BG14+'HIV-Pharmaceuticals'!BH14),IF(SETUP!$G$20=1,$E$361*('HIV-Pharmaceuticals'!BG14+'HIV-Pharmaceuticals'!BH14),0)))),0)</f>
        <v>0</v>
      </c>
      <c r="T363" s="1194">
        <f>'HPM costs'!$F363+'HPM costs'!$G363+'HPM costs'!$H363+'HPM costs'!$I363</f>
        <v>0</v>
      </c>
      <c r="U363" s="1328">
        <f>'HPM costs'!$J363+'HPM costs'!$O363+'HPM costs'!$T363</f>
        <v>0</v>
      </c>
      <c r="V363" s="1826"/>
      <c r="W363" s="1830"/>
      <c r="X363" s="849"/>
      <c r="Y363" s="768"/>
      <c r="Z363" s="768"/>
      <c r="AA363" s="768"/>
      <c r="AB363" s="768"/>
      <c r="AC363" s="768"/>
      <c r="AD363" s="768"/>
      <c r="AE363" s="768"/>
      <c r="AF363" s="868"/>
      <c r="AG363" s="768"/>
      <c r="AH363" s="768"/>
      <c r="AI363" s="768"/>
      <c r="AJ363" s="768"/>
      <c r="AK363" s="768"/>
      <c r="AL363" s="768"/>
      <c r="AM363" s="768"/>
      <c r="AN363" s="768"/>
      <c r="AO363" s="768"/>
      <c r="AP363" s="768"/>
      <c r="AQ363" s="768"/>
      <c r="AR363" s="768"/>
      <c r="AS363" s="768"/>
      <c r="AT363" s="768"/>
      <c r="AU363" s="768"/>
      <c r="AV363" s="768"/>
      <c r="AW363" s="768"/>
      <c r="AX363" s="768"/>
      <c r="AY363" s="768"/>
      <c r="AZ363" s="768"/>
      <c r="BA363" s="768"/>
      <c r="BB363" s="768"/>
      <c r="BC363" s="768"/>
      <c r="BD363" s="768"/>
      <c r="BE363" s="768"/>
      <c r="BF363" s="768"/>
      <c r="BG363" s="768"/>
      <c r="BH363" s="768"/>
      <c r="BI363" s="768"/>
      <c r="BJ363" s="768"/>
      <c r="BK363" s="768"/>
      <c r="BL363" s="768"/>
      <c r="BM363" s="768"/>
      <c r="BN363" s="768"/>
      <c r="BO363" s="768"/>
      <c r="BP363" s="768"/>
      <c r="BQ363" s="768"/>
      <c r="BR363" s="768"/>
    </row>
    <row r="364" spans="1:72" s="759" customFormat="1" ht="13" collapsed="1">
      <c r="A364" s="2915"/>
      <c r="B364" s="2916"/>
      <c r="C364" s="2911" t="s">
        <v>148</v>
      </c>
      <c r="D364" s="2911"/>
      <c r="E364" s="1651">
        <v>0</v>
      </c>
      <c r="F364" s="1194">
        <f>IF(SETUP!$F$21="Upfront",F365,F366)</f>
        <v>0</v>
      </c>
      <c r="G364" s="1194">
        <f>IF(SETUP!$F$21="Upfront",G365,G366)</f>
        <v>0</v>
      </c>
      <c r="H364" s="1194">
        <f>IF(SETUP!$F$21="Upfront",H365,H366)</f>
        <v>0</v>
      </c>
      <c r="I364" s="1194">
        <f>IF(SETUP!$F$21="Upfront",I365,I366)</f>
        <v>0</v>
      </c>
      <c r="J364" s="1194">
        <f t="shared" ref="J364:J382" si="52">F364+G364+H364+I364</f>
        <v>0</v>
      </c>
      <c r="K364" s="1328">
        <f>IF(SETUP!$F$21="Upfront",K365,K366)</f>
        <v>0</v>
      </c>
      <c r="L364" s="1194">
        <f>IF(SETUP!$F$21="Upfront",L365,L366)</f>
        <v>0</v>
      </c>
      <c r="M364" s="1194">
        <f>IF(SETUP!$F$21="Upfront",M365,M366)</f>
        <v>0</v>
      </c>
      <c r="N364" s="1194">
        <f>IF(SETUP!$F$21="Upfront",N365,N366)</f>
        <v>0</v>
      </c>
      <c r="O364" s="1194">
        <f t="shared" ref="O364:O382" si="53">K364+L364+M364+N364</f>
        <v>0</v>
      </c>
      <c r="P364" s="1328">
        <f>IF(SETUP!$F$21="Upfront",P365,P366)</f>
        <v>0</v>
      </c>
      <c r="Q364" s="1194">
        <f>IF(SETUP!$F$21="Upfront",Q365,Q366)</f>
        <v>0</v>
      </c>
      <c r="R364" s="1194">
        <f>IF(SETUP!$F$21="Upfront",R365,R366)</f>
        <v>0</v>
      </c>
      <c r="S364" s="1194">
        <f>IF(SETUP!$F$21="Upfront",S365,S366)</f>
        <v>0</v>
      </c>
      <c r="T364" s="1194">
        <f t="shared" ref="T364:T381" si="54">P364+Q364+R364+S364</f>
        <v>0</v>
      </c>
      <c r="U364" s="1328">
        <f t="shared" ref="U364:U381" si="55">J364+O364+T364</f>
        <v>0</v>
      </c>
      <c r="V364" s="1826">
        <v>7.3</v>
      </c>
      <c r="W364" s="1830"/>
      <c r="X364" s="849"/>
      <c r="Y364" s="768"/>
      <c r="Z364" s="768"/>
      <c r="AA364" s="768"/>
      <c r="AB364" s="768"/>
      <c r="AC364" s="768"/>
      <c r="AD364" s="768"/>
      <c r="AE364" s="768"/>
      <c r="AF364" s="868"/>
      <c r="AG364" s="768"/>
      <c r="AH364" s="768"/>
      <c r="AI364" s="768"/>
      <c r="AJ364" s="768"/>
      <c r="AK364" s="768"/>
      <c r="AL364" s="768"/>
      <c r="AM364" s="768"/>
      <c r="AN364" s="768"/>
      <c r="AO364" s="768"/>
      <c r="AP364" s="768"/>
      <c r="AQ364" s="768"/>
      <c r="AR364" s="768"/>
      <c r="AS364" s="768"/>
      <c r="AT364" s="768"/>
      <c r="AU364" s="768"/>
      <c r="AV364" s="768"/>
      <c r="AW364" s="768"/>
      <c r="AX364" s="768"/>
      <c r="AY364" s="768"/>
      <c r="AZ364" s="768"/>
      <c r="BA364" s="768"/>
      <c r="BB364" s="768"/>
      <c r="BC364" s="768"/>
      <c r="BD364" s="768"/>
      <c r="BE364" s="768"/>
      <c r="BF364" s="768"/>
      <c r="BG364" s="768"/>
      <c r="BH364" s="768"/>
      <c r="BI364" s="768"/>
      <c r="BJ364" s="768"/>
      <c r="BK364" s="768"/>
      <c r="BL364" s="768"/>
      <c r="BM364" s="768"/>
      <c r="BN364" s="768"/>
      <c r="BO364" s="768"/>
      <c r="BP364" s="768"/>
      <c r="BQ364" s="768"/>
      <c r="BR364" s="768"/>
    </row>
    <row r="365" spans="1:72" s="759" customFormat="1" ht="16.149999999999999" hidden="1" customHeight="1" outlineLevel="1">
      <c r="A365" s="2915"/>
      <c r="B365" s="2916"/>
      <c r="C365" s="2912" t="s">
        <v>918</v>
      </c>
      <c r="D365" s="2912"/>
      <c r="E365" s="1651"/>
      <c r="F365" s="1194">
        <f>IF(SETUP!$F$21="Upfront",$E$364*'HIV-Pharmaceuticals'!AW15,0)</f>
        <v>0</v>
      </c>
      <c r="G365" s="1194">
        <f>IF(SETUP!$F$21="Upfront",$E$364*'HIV-Pharmaceuticals'!AX15,0)</f>
        <v>0</v>
      </c>
      <c r="H365" s="1194">
        <f>IF(SETUP!$F$21="Upfront",$E$364*'HIV-Pharmaceuticals'!AY15,0)</f>
        <v>0</v>
      </c>
      <c r="I365" s="1194">
        <f>IF(SETUP!$F$21="Upfront",$E$364*'HIV-Pharmaceuticals'!AZ15,0)</f>
        <v>0</v>
      </c>
      <c r="J365" s="1194">
        <f t="shared" si="52"/>
        <v>0</v>
      </c>
      <c r="K365" s="1328">
        <f>IF(SETUP!$F$21="Upfront",$E$364*'HIV-Pharmaceuticals'!BA15,0)</f>
        <v>0</v>
      </c>
      <c r="L365" s="1194">
        <f>IF(SETUP!$F$21="Upfront",$E$364*'HIV-Pharmaceuticals'!BB15,0)</f>
        <v>0</v>
      </c>
      <c r="M365" s="1194">
        <f>IF(SETUP!$F$21="Upfront",$E$364*'HIV-Pharmaceuticals'!BC15,0)</f>
        <v>0</v>
      </c>
      <c r="N365" s="1194">
        <f>IF(SETUP!$F$21="Upfront",$E$364*'HIV-Pharmaceuticals'!BD15,0)</f>
        <v>0</v>
      </c>
      <c r="O365" s="1194">
        <f t="shared" si="53"/>
        <v>0</v>
      </c>
      <c r="P365" s="1328">
        <f>IF(SETUP!$F$21="Upfront",$E$364*'HIV-Pharmaceuticals'!BE15,0)</f>
        <v>0</v>
      </c>
      <c r="Q365" s="1194">
        <f>IF(SETUP!$F$21="Upfront",$E$364*'HIV-Pharmaceuticals'!BF15,0)</f>
        <v>0</v>
      </c>
      <c r="R365" s="1194">
        <f>IF(SETUP!$F$21="Upfront",$E$364*'HIV-Pharmaceuticals'!BG15,0)</f>
        <v>0</v>
      </c>
      <c r="S365" s="1194">
        <f>IF(SETUP!$F$21="Upfront",$E$364*'HIV-Pharmaceuticals'!BH15,0)</f>
        <v>0</v>
      </c>
      <c r="T365" s="1194">
        <f t="shared" si="54"/>
        <v>0</v>
      </c>
      <c r="U365" s="1328">
        <f t="shared" si="55"/>
        <v>0</v>
      </c>
      <c r="V365" s="1826">
        <v>7.3</v>
      </c>
      <c r="W365" s="1830"/>
      <c r="X365" s="849"/>
      <c r="Y365" s="768"/>
      <c r="Z365" s="768"/>
      <c r="AA365" s="768"/>
      <c r="AB365" s="768"/>
      <c r="AC365" s="768"/>
      <c r="AD365" s="768"/>
      <c r="AE365" s="768"/>
      <c r="AF365" s="868"/>
      <c r="AG365" s="768"/>
      <c r="AH365" s="768"/>
      <c r="AI365" s="768"/>
      <c r="AJ365" s="768"/>
      <c r="AK365" s="768"/>
      <c r="AL365" s="768"/>
      <c r="AM365" s="768"/>
      <c r="AN365" s="768"/>
      <c r="AO365" s="768"/>
      <c r="AP365" s="768"/>
      <c r="AQ365" s="768"/>
      <c r="AR365" s="768"/>
      <c r="AS365" s="768"/>
      <c r="AT365" s="768"/>
      <c r="AU365" s="768"/>
      <c r="AV365" s="768"/>
      <c r="AW365" s="768"/>
      <c r="AX365" s="768"/>
      <c r="AY365" s="768"/>
      <c r="AZ365" s="768"/>
      <c r="BA365" s="768"/>
      <c r="BB365" s="768"/>
      <c r="BC365" s="768"/>
      <c r="BD365" s="768"/>
      <c r="BE365" s="768"/>
      <c r="BF365" s="768"/>
      <c r="BG365" s="768"/>
      <c r="BH365" s="768"/>
      <c r="BI365" s="768"/>
      <c r="BJ365" s="768"/>
      <c r="BK365" s="768"/>
      <c r="BL365" s="768"/>
      <c r="BM365" s="768"/>
      <c r="BN365" s="768"/>
      <c r="BO365" s="768"/>
      <c r="BP365" s="768"/>
      <c r="BQ365" s="768"/>
      <c r="BR365" s="768"/>
    </row>
    <row r="366" spans="1:72" s="759" customFormat="1" ht="16.149999999999999" hidden="1" customHeight="1" outlineLevel="1">
      <c r="A366" s="2915"/>
      <c r="B366" s="2916"/>
      <c r="C366" s="2912" t="s">
        <v>36</v>
      </c>
      <c r="D366" s="2912"/>
      <c r="E366" s="1649"/>
      <c r="F366" s="1328">
        <v>0</v>
      </c>
      <c r="G366" s="1194">
        <f>IF(SETUP!$F$21="At delivery",IF(SETUP!$G$21=1,$E$364*'HIV-Pharmaceuticals'!AW15,0),0)</f>
        <v>0</v>
      </c>
      <c r="H366" s="1194">
        <f>IF(SETUP!$F$21="At delivery",IF(SETUP!$G$21=2,$E$364*'HIV-Pharmaceuticals'!AW15,IF(SETUP!$G$21=1,$E$364*'HIV-Pharmaceuticals'!AX15,0)),0)</f>
        <v>0</v>
      </c>
      <c r="I366" s="1194">
        <f>IF(SETUP!$F$21="At delivery",IF(SETUP!$G$21=3,$E$364*'HIV-Pharmaceuticals'!AW15,IF(SETUP!$G$21=2,$E$364*'HIV-Pharmaceuticals'!AX15,IF(SETUP!$G$21=1,$E$364*'HIV-Pharmaceuticals'!AY15,0))),0)</f>
        <v>0</v>
      </c>
      <c r="J366" s="1194">
        <f t="shared" si="52"/>
        <v>0</v>
      </c>
      <c r="K366" s="1328">
        <f>IF(SETUP!$F$21="At delivery",IF(SETUP!$G$21=4,$E$364*'HIV-Pharmaceuticals'!AW15,IF(SETUP!$G$21=3,$E$364*'HIV-Pharmaceuticals'!AX15,IF(SETUP!$G$21=2,$E$364*'HIV-Pharmaceuticals'!AY15,IF(SETUP!$G$21=1,$E$364*'HIV-Pharmaceuticals'!AZ15,0)))),0)</f>
        <v>0</v>
      </c>
      <c r="L366" s="1194">
        <f>IF(SETUP!$F$21="At delivery",IF(SETUP!$G$21=4,$E$364*'HIV-Pharmaceuticals'!AX15,IF(SETUP!$G$21=3,$E$364*'HIV-Pharmaceuticals'!AY15,IF(SETUP!$G$21=2,$E$364*'HIV-Pharmaceuticals'!AZ15,IF(SETUP!$G$21=1,$E$364*'HIV-Pharmaceuticals'!BA15,0)))),0)</f>
        <v>0</v>
      </c>
      <c r="M366" s="1194">
        <f>IF(SETUP!$F$21="At delivery",IF(SETUP!$G$21=4,$E$364*'HIV-Pharmaceuticals'!AY15,IF(SETUP!$G$21=3,$E$364*'HIV-Pharmaceuticals'!AZ15,IF(SETUP!$G$21=2,$E$364*'HIV-Pharmaceuticals'!BA15,IF(SETUP!$G$21=1,$E$364*'HIV-Pharmaceuticals'!BB15,0)))),0)</f>
        <v>0</v>
      </c>
      <c r="N366" s="1194">
        <f>IF(SETUP!$F$21="At delivery",IF(SETUP!$G$21=4,$E$364*'HIV-Pharmaceuticals'!AZ15,IF(SETUP!$G$21=3,$E$364*'HIV-Pharmaceuticals'!BA15,IF(SETUP!$G$21=2,$E$364*'HIV-Pharmaceuticals'!BB15,IF(SETUP!$G$21=1,$E$364*'HIV-Pharmaceuticals'!BC15,0)))),0)</f>
        <v>0</v>
      </c>
      <c r="O366" s="1194">
        <f t="shared" si="53"/>
        <v>0</v>
      </c>
      <c r="P366" s="1328">
        <f>IF(SETUP!$F$21="At delivery",IF(SETUP!$G$21=4,$E$364*'HIV-Pharmaceuticals'!BA15,IF(SETUP!$G$21=3,$E$364*'HIV-Pharmaceuticals'!BB15,IF(SETUP!$G$21=2,$E$364*'HIV-Pharmaceuticals'!BC15,IF(SETUP!$G$21=1,$E$364*'HIV-Pharmaceuticals'!BD15,0)))),0)</f>
        <v>0</v>
      </c>
      <c r="Q366" s="1194">
        <f>IF(SETUP!$F$21="At delivery",IF(SETUP!$G$21=4,$E$364*'HIV-Pharmaceuticals'!BB15,IF(SETUP!$G$21=3,$E$364*'HIV-Pharmaceuticals'!BC15,IF(SETUP!$G$21=2,$E$364*'HIV-Pharmaceuticals'!BD15,IF(SETUP!$G$21=1,$E$364*'HIV-Pharmaceuticals'!BE15,0)))),0)</f>
        <v>0</v>
      </c>
      <c r="R366" s="1194">
        <f>IF(SETUP!$F$21="At delivery",IF(SETUP!$G$21=4,$E$364*'HIV-Pharmaceuticals'!BC15,IF(SETUP!$G$21=3,$E$364*'HIV-Pharmaceuticals'!BD15,IF(SETUP!$G$21=2,$E$364*'HIV-Pharmaceuticals'!BE15,IF(SETUP!$G$21=1,$E$364*'HIV-Pharmaceuticals'!BF15,0)))),0)</f>
        <v>0</v>
      </c>
      <c r="S366" s="1194">
        <f>IF(SETUP!$F$21="At delivery",IF(SETUP!$G$21=4,$E$364*('HIV-Pharmaceuticals'!BD15+'HIV-Pharmaceuticals'!BE15+'HIV-Pharmaceuticals'!BF15+'HIV-Pharmaceuticals'!BG15+'HIV-Pharmaceuticals'!BH15),IF(SETUP!$G$21=3,$E$364*('HIV-Pharmaceuticals'!BE15+'HIV-Pharmaceuticals'!BF15+'HIV-Pharmaceuticals'!BG15+'HIV-Pharmaceuticals'!BH15),IF(SETUP!$G$21=2,$E$364*('HIV-Pharmaceuticals'!BF15+'HIV-Pharmaceuticals'!BG15+'HIV-Pharmaceuticals'!BH15),IF(SETUP!$G$21=1,$E$364*('HIV-Pharmaceuticals'!BG15+'HIV-Pharmaceuticals'!BH15),0)))),0)</f>
        <v>0</v>
      </c>
      <c r="T366" s="1194">
        <f t="shared" si="54"/>
        <v>0</v>
      </c>
      <c r="U366" s="1328">
        <f t="shared" si="55"/>
        <v>0</v>
      </c>
      <c r="V366" s="1826">
        <v>7.3</v>
      </c>
      <c r="W366" s="1830"/>
      <c r="X366" s="849"/>
      <c r="Y366" s="768"/>
      <c r="Z366" s="768"/>
      <c r="AA366" s="768"/>
      <c r="AB366" s="768"/>
      <c r="AC366" s="768"/>
      <c r="AD366" s="768"/>
      <c r="AE366" s="768"/>
      <c r="AF366" s="868"/>
      <c r="AG366" s="768"/>
      <c r="AH366" s="768"/>
      <c r="AI366" s="768"/>
      <c r="AJ366" s="768"/>
      <c r="AK366" s="768"/>
      <c r="AL366" s="768"/>
      <c r="AM366" s="768"/>
      <c r="AN366" s="768"/>
      <c r="AO366" s="768"/>
      <c r="AP366" s="768"/>
      <c r="AQ366" s="768"/>
      <c r="AR366" s="768"/>
      <c r="AS366" s="768"/>
      <c r="AT366" s="768"/>
      <c r="AU366" s="768"/>
      <c r="AV366" s="768"/>
      <c r="AW366" s="768"/>
      <c r="AX366" s="768"/>
      <c r="AY366" s="768"/>
      <c r="AZ366" s="768"/>
      <c r="BA366" s="768"/>
      <c r="BB366" s="768"/>
      <c r="BC366" s="768"/>
      <c r="BD366" s="768"/>
      <c r="BE366" s="768"/>
      <c r="BF366" s="768"/>
      <c r="BG366" s="768"/>
      <c r="BH366" s="768"/>
      <c r="BI366" s="768"/>
      <c r="BJ366" s="768"/>
      <c r="BK366" s="768"/>
      <c r="BL366" s="768"/>
      <c r="BM366" s="768"/>
      <c r="BN366" s="768"/>
      <c r="BO366" s="768"/>
      <c r="BP366" s="768"/>
      <c r="BQ366" s="768"/>
      <c r="BR366" s="768"/>
    </row>
    <row r="367" spans="1:72" s="759" customFormat="1" ht="13" collapsed="1">
      <c r="A367" s="2915"/>
      <c r="B367" s="2916"/>
      <c r="C367" s="2941" t="s">
        <v>1317</v>
      </c>
      <c r="D367" s="2941"/>
      <c r="E367" s="1651">
        <v>0</v>
      </c>
      <c r="F367" s="1328">
        <f>IF(SETUP!$F$22="Upfront",F368,F369)</f>
        <v>0</v>
      </c>
      <c r="G367" s="1194">
        <f>IF(SETUP!$F$22="Upfront",G368,G369)</f>
        <v>0</v>
      </c>
      <c r="H367" s="1194">
        <f>IF(SETUP!$F$22="Upfront",H368,H369)</f>
        <v>0</v>
      </c>
      <c r="I367" s="1194">
        <f>IF(SETUP!$F$22="Upfront",I368,I369)</f>
        <v>0</v>
      </c>
      <c r="J367" s="1194">
        <f t="shared" si="52"/>
        <v>0</v>
      </c>
      <c r="K367" s="1328">
        <f>IF(SETUP!$F$22="Upfront",K368,K369)</f>
        <v>0</v>
      </c>
      <c r="L367" s="1194">
        <f>IF(SETUP!$F$22="Upfront",L368,L369)</f>
        <v>0</v>
      </c>
      <c r="M367" s="1194">
        <f>IF(SETUP!$F$22="Upfront",M368,M369)</f>
        <v>0</v>
      </c>
      <c r="N367" s="1194">
        <f>IF(SETUP!$F$22="Upfront",N368,N369)</f>
        <v>0</v>
      </c>
      <c r="O367" s="1194">
        <f t="shared" si="53"/>
        <v>0</v>
      </c>
      <c r="P367" s="1328">
        <f>IF(SETUP!$F$22="Upfront",P368,P369)</f>
        <v>0</v>
      </c>
      <c r="Q367" s="1194">
        <f>IF(SETUP!$F$22="Upfront",Q368,Q369)</f>
        <v>0</v>
      </c>
      <c r="R367" s="1194">
        <f>IF(SETUP!$F$22="Upfront",R368,R369)</f>
        <v>0</v>
      </c>
      <c r="S367" s="1194">
        <f>IF(SETUP!$F$22="Upfront",S368,S369)</f>
        <v>0</v>
      </c>
      <c r="T367" s="1194">
        <f t="shared" si="54"/>
        <v>0</v>
      </c>
      <c r="U367" s="1328">
        <f t="shared" si="55"/>
        <v>0</v>
      </c>
      <c r="V367" s="1826">
        <v>7.3</v>
      </c>
      <c r="W367" s="1830"/>
      <c r="X367" s="849"/>
      <c r="Y367" s="768"/>
      <c r="Z367" s="768"/>
      <c r="AA367" s="768"/>
      <c r="AB367" s="768"/>
      <c r="AC367" s="768"/>
      <c r="AD367" s="768"/>
      <c r="AE367" s="768"/>
      <c r="AF367" s="868"/>
      <c r="AG367" s="768"/>
      <c r="AH367" s="768"/>
      <c r="AI367" s="768"/>
      <c r="AJ367" s="768"/>
      <c r="AK367" s="768"/>
      <c r="AL367" s="768"/>
      <c r="AM367" s="768"/>
      <c r="AN367" s="768"/>
      <c r="AO367" s="768"/>
      <c r="AP367" s="768"/>
      <c r="AQ367" s="768"/>
      <c r="AR367" s="768"/>
      <c r="AS367" s="768"/>
      <c r="AT367" s="768"/>
      <c r="AU367" s="768"/>
      <c r="AV367" s="768"/>
      <c r="AW367" s="768"/>
      <c r="AX367" s="768"/>
      <c r="AY367" s="768"/>
      <c r="AZ367" s="768"/>
      <c r="BA367" s="768"/>
      <c r="BB367" s="768"/>
      <c r="BC367" s="768"/>
      <c r="BD367" s="768"/>
      <c r="BE367" s="768"/>
      <c r="BF367" s="768"/>
      <c r="BG367" s="768"/>
      <c r="BH367" s="768"/>
      <c r="BI367" s="768"/>
      <c r="BJ367" s="768"/>
      <c r="BK367" s="768"/>
      <c r="BL367" s="768"/>
      <c r="BM367" s="768"/>
      <c r="BN367" s="768"/>
      <c r="BO367" s="768"/>
      <c r="BP367" s="768"/>
      <c r="BQ367" s="768"/>
      <c r="BR367" s="768"/>
    </row>
    <row r="368" spans="1:72" s="759" customFormat="1" ht="15" hidden="1" customHeight="1" outlineLevel="1">
      <c r="A368" s="2893" t="s">
        <v>564</v>
      </c>
      <c r="B368" s="2894"/>
      <c r="C368" s="2912" t="s">
        <v>918</v>
      </c>
      <c r="D368" s="2912"/>
      <c r="E368" s="1652"/>
      <c r="F368" s="1328">
        <f>IF(SETUP!$F$22="Upfront",$E$367*'HIV-Pharmaceuticals'!AW16,0)</f>
        <v>0</v>
      </c>
      <c r="G368" s="1194">
        <f>IF(SETUP!$F$22="Upfront",$E$367*'HIV-Pharmaceuticals'!AX16,0)</f>
        <v>0</v>
      </c>
      <c r="H368" s="1194">
        <f>IF(SETUP!$F$22="Upfront",$E$367*'HIV-Pharmaceuticals'!AY16,0)</f>
        <v>0</v>
      </c>
      <c r="I368" s="1194">
        <f>IF(SETUP!$F$22="Upfront",$E$367*'HIV-Pharmaceuticals'!AZ16,0)</f>
        <v>0</v>
      </c>
      <c r="J368" s="1194">
        <f t="shared" si="52"/>
        <v>0</v>
      </c>
      <c r="K368" s="1328">
        <f>IF(SETUP!$F$22="Upfront",$E$367*'HIV-Pharmaceuticals'!BA16,0)</f>
        <v>0</v>
      </c>
      <c r="L368" s="1194">
        <f>IF(SETUP!$F$22="Upfront",$E$367*'HIV-Pharmaceuticals'!BB16,0)</f>
        <v>0</v>
      </c>
      <c r="M368" s="1194">
        <f>IF(SETUP!$F$22="Upfront",$E$367*'HIV-Pharmaceuticals'!BC16,0)</f>
        <v>0</v>
      </c>
      <c r="N368" s="1194">
        <f>IF(SETUP!$F$22="Upfront",$E$367*'HIV-Pharmaceuticals'!BD16,0)</f>
        <v>0</v>
      </c>
      <c r="O368" s="1194">
        <f t="shared" si="53"/>
        <v>0</v>
      </c>
      <c r="P368" s="1328">
        <f>IF(SETUP!$F$22="Upfront",$E$367*'HIV-Pharmaceuticals'!BE16,0)</f>
        <v>0</v>
      </c>
      <c r="Q368" s="1194">
        <f>IF(SETUP!$F$22="Upfront",$E$367*'HIV-Pharmaceuticals'!BF16,0)</f>
        <v>0</v>
      </c>
      <c r="R368" s="1194">
        <f>IF(SETUP!$F$22="Upfront",$E$367*'HIV-Pharmaceuticals'!BG16,0)</f>
        <v>0</v>
      </c>
      <c r="S368" s="1194">
        <f>IF(SETUP!$F$22="Upfront",$E$367*'HIV-Pharmaceuticals'!BH16,0)</f>
        <v>0</v>
      </c>
      <c r="T368" s="1194">
        <f t="shared" si="54"/>
        <v>0</v>
      </c>
      <c r="U368" s="1328">
        <f t="shared" si="55"/>
        <v>0</v>
      </c>
      <c r="V368" s="1826">
        <v>7.3</v>
      </c>
      <c r="W368" s="1830"/>
      <c r="X368" s="849"/>
      <c r="Y368" s="768"/>
      <c r="Z368" s="768"/>
      <c r="AA368" s="768"/>
      <c r="AB368" s="768"/>
      <c r="AC368" s="768"/>
      <c r="AD368" s="768"/>
      <c r="AE368" s="768"/>
      <c r="AF368" s="868"/>
      <c r="AG368" s="768"/>
      <c r="AH368" s="768"/>
      <c r="AI368" s="768"/>
      <c r="AJ368" s="768"/>
      <c r="AK368" s="768"/>
      <c r="AL368" s="768"/>
      <c r="AM368" s="768"/>
      <c r="AN368" s="768"/>
      <c r="AO368" s="768"/>
      <c r="AP368" s="768"/>
      <c r="AQ368" s="768"/>
      <c r="AR368" s="768"/>
      <c r="AS368" s="768"/>
      <c r="AT368" s="768"/>
      <c r="AU368" s="768"/>
      <c r="AV368" s="768"/>
      <c r="AW368" s="768"/>
      <c r="AX368" s="768"/>
      <c r="AY368" s="768"/>
      <c r="AZ368" s="768"/>
      <c r="BA368" s="768"/>
      <c r="BB368" s="768"/>
      <c r="BC368" s="768"/>
      <c r="BD368" s="768"/>
      <c r="BE368" s="768"/>
      <c r="BF368" s="768"/>
      <c r="BG368" s="768"/>
      <c r="BH368" s="768"/>
      <c r="BI368" s="768"/>
      <c r="BJ368" s="768"/>
      <c r="BK368" s="768"/>
      <c r="BL368" s="768"/>
      <c r="BM368" s="768"/>
      <c r="BN368" s="768"/>
      <c r="BO368" s="768"/>
      <c r="BP368" s="768"/>
      <c r="BQ368" s="768"/>
      <c r="BR368" s="768"/>
    </row>
    <row r="369" spans="1:70" s="759" customFormat="1" ht="12.75" hidden="1" customHeight="1" outlineLevel="1">
      <c r="A369" s="2893"/>
      <c r="B369" s="2894"/>
      <c r="C369" s="2912" t="s">
        <v>36</v>
      </c>
      <c r="D369" s="2912"/>
      <c r="E369" s="1652"/>
      <c r="F369" s="1328">
        <v>0</v>
      </c>
      <c r="G369" s="1194">
        <f>IF(SETUP!$F$22="At delivery",IF(SETUP!$G$22=1,$E$367*'HIV-Pharmaceuticals'!AW16,0),0)</f>
        <v>0</v>
      </c>
      <c r="H369" s="1194">
        <f>IF(SETUP!$F$22="At delivery",IF(SETUP!$G$22=2,$E$367*'HIV-Pharmaceuticals'!AW16,IF(SETUP!$G$22=1,$E$367*'HIV-Pharmaceuticals'!AX16,0)),0)</f>
        <v>0</v>
      </c>
      <c r="I369" s="1194">
        <f>IF(SETUP!$F$22="At delivery",IF(SETUP!$G$22=3,$E$367*'HIV-Pharmaceuticals'!AW16,IF(SETUP!$G$22=2,$E$367*'HIV-Pharmaceuticals'!AX16,IF(SETUP!$G$22=1,$E$367*'HIV-Pharmaceuticals'!AY16,0))),0)</f>
        <v>0</v>
      </c>
      <c r="J369" s="1194">
        <f t="shared" si="52"/>
        <v>0</v>
      </c>
      <c r="K369" s="1328">
        <f>IF(SETUP!$F$22="At delivery",IF(SETUP!$G$22=4,$E$367*'HIV-Pharmaceuticals'!AW16,IF(SETUP!$G$22=3,$E$367*'HIV-Pharmaceuticals'!AX16,IF(SETUP!$G$22=2,$E$367*'HIV-Pharmaceuticals'!AY16,IF(SETUP!$G$22=1,$E$367*'HIV-Pharmaceuticals'!AZ16,0)))),0)</f>
        <v>0</v>
      </c>
      <c r="L369" s="1194">
        <f>IF(SETUP!$F$22="At delivery",IF(SETUP!$G$22=4,$E$367*'HIV-Pharmaceuticals'!AX16,IF(SETUP!$G$22=3,$E$367*'HIV-Pharmaceuticals'!AY16,IF(SETUP!$G$22=2,$E$367*'HIV-Pharmaceuticals'!AZ16,IF(SETUP!$G$22=1,$E$367*'HIV-Pharmaceuticals'!BA16,0)))),0)</f>
        <v>0</v>
      </c>
      <c r="M369" s="1194">
        <f>IF(SETUP!$F$22="At delivery",IF(SETUP!$G$22=4,$E$367*'HIV-Pharmaceuticals'!AY16,IF(SETUP!$G$22=3,$E$367*'HIV-Pharmaceuticals'!AZ16,IF(SETUP!$G$22=2,$E$367*'HIV-Pharmaceuticals'!BA16,IF(SETUP!$G$22=1,$E$367*'HIV-Pharmaceuticals'!BB16,0)))),0)</f>
        <v>0</v>
      </c>
      <c r="N369" s="1194">
        <f>IF(SETUP!$F$22="At delivery",IF(SETUP!$G$22=4,$E$367*'HIV-Pharmaceuticals'!AZ16,IF(SETUP!$G$22=3,$E$367*'HIV-Pharmaceuticals'!BA16,IF(SETUP!$G$22=2,$E$367*'HIV-Pharmaceuticals'!BB16,IF(SETUP!$G$22=1,$E$367*'HIV-Pharmaceuticals'!BC16,0)))),0)</f>
        <v>0</v>
      </c>
      <c r="O369" s="1194">
        <f t="shared" si="53"/>
        <v>0</v>
      </c>
      <c r="P369" s="1328">
        <f>IF(SETUP!$F$22="At delivery",IF(SETUP!$G$22=4,$E$367*'HIV-Pharmaceuticals'!BA16,IF(SETUP!$G$22=3,$E$367*'HIV-Pharmaceuticals'!BB16,IF(SETUP!$G$22=2,$E$367*'HIV-Pharmaceuticals'!BC16,IF(SETUP!$G$22=1,$E$367*'HIV-Pharmaceuticals'!BD16,0)))),0)</f>
        <v>0</v>
      </c>
      <c r="Q369" s="1194">
        <f>IF(SETUP!$F$22="At delivery",IF(SETUP!$G$22=4,$E$367*'HIV-Pharmaceuticals'!BB16,IF(SETUP!$G$22=3,$E$367*'HIV-Pharmaceuticals'!BC16,IF(SETUP!$G$22=2,$E$367*'HIV-Pharmaceuticals'!BD16,IF(SETUP!$G$22=1,$E$367*'HIV-Pharmaceuticals'!BE16,0)))),0)</f>
        <v>0</v>
      </c>
      <c r="R369" s="1194">
        <f>IF(SETUP!$F$22="At delivery",IF(SETUP!$G$22=4,$E$367*'HIV-Pharmaceuticals'!BC16,IF(SETUP!$G$22=3,$E$367*'HIV-Pharmaceuticals'!BD16,IF(SETUP!$G$22=2,$E$367*'HIV-Pharmaceuticals'!BE16,IF(SETUP!$G$22=1,$E$367*'HIV-Pharmaceuticals'!BF16,0)))),0)</f>
        <v>0</v>
      </c>
      <c r="S369" s="1194">
        <f>IF(SETUP!$F$22="At delivery",IF(SETUP!$G$22=4,$E$367*('HIV-Pharmaceuticals'!BD16+'HIV-Pharmaceuticals'!BE16+'HIV-Pharmaceuticals'!BF16+'HIV-Pharmaceuticals'!BG16+'HIV-Pharmaceuticals'!BH16),IF(SETUP!$G$22=3,$E$367*('HIV-Pharmaceuticals'!BE16+'HIV-Pharmaceuticals'!BF16+'HIV-Pharmaceuticals'!BG16+'HIV-Pharmaceuticals'!BH16),IF(SETUP!$G$22=2,$E$367*('HIV-Pharmaceuticals'!BF16+'HIV-Pharmaceuticals'!BG16+'HIV-Pharmaceuticals'!BH16),IF(SETUP!$G$22=1,$E$367*('HIV-Pharmaceuticals'!BG16+'HIV-Pharmaceuticals'!BH16),0)))),0)</f>
        <v>0</v>
      </c>
      <c r="T369" s="1194">
        <f t="shared" si="54"/>
        <v>0</v>
      </c>
      <c r="U369" s="1328">
        <f t="shared" si="55"/>
        <v>0</v>
      </c>
      <c r="V369" s="1826">
        <v>7.3</v>
      </c>
      <c r="W369" s="1830"/>
      <c r="X369" s="849"/>
      <c r="Y369" s="768"/>
      <c r="Z369" s="768"/>
      <c r="AA369" s="768"/>
      <c r="AB369" s="768"/>
      <c r="AC369" s="768"/>
      <c r="AD369" s="768"/>
      <c r="AE369" s="768"/>
      <c r="AF369" s="868"/>
      <c r="AG369" s="768"/>
      <c r="AH369" s="768"/>
      <c r="AI369" s="768"/>
      <c r="AJ369" s="768"/>
      <c r="AK369" s="768"/>
      <c r="AL369" s="768"/>
      <c r="AM369" s="768"/>
      <c r="AN369" s="768"/>
      <c r="AO369" s="768"/>
      <c r="AP369" s="768"/>
      <c r="AQ369" s="768"/>
      <c r="AR369" s="768"/>
      <c r="AS369" s="768"/>
      <c r="AT369" s="768"/>
      <c r="AU369" s="768"/>
      <c r="AV369" s="768"/>
      <c r="AW369" s="768"/>
      <c r="AX369" s="768"/>
      <c r="AY369" s="768"/>
      <c r="AZ369" s="768"/>
      <c r="BA369" s="768"/>
      <c r="BB369" s="768"/>
      <c r="BC369" s="768"/>
      <c r="BD369" s="768"/>
      <c r="BE369" s="768"/>
      <c r="BF369" s="768"/>
      <c r="BG369" s="768"/>
      <c r="BH369" s="768"/>
      <c r="BI369" s="768"/>
      <c r="BJ369" s="768"/>
      <c r="BK369" s="768"/>
      <c r="BL369" s="768"/>
      <c r="BM369" s="768"/>
      <c r="BN369" s="768"/>
      <c r="BO369" s="768"/>
      <c r="BP369" s="768"/>
      <c r="BQ369" s="768"/>
      <c r="BR369" s="768"/>
    </row>
    <row r="370" spans="1:70" s="759" customFormat="1" ht="13.5" collapsed="1" thickBot="1">
      <c r="A370" s="2893"/>
      <c r="B370" s="2894"/>
      <c r="C370" s="2923" t="s">
        <v>1793</v>
      </c>
      <c r="D370" s="2923"/>
      <c r="E370" s="1651">
        <v>0</v>
      </c>
      <c r="F370" s="1328">
        <f>IF(SETUP!$F$23="Upfront",F371,F372)</f>
        <v>0</v>
      </c>
      <c r="G370" s="1194">
        <f>IF(SETUP!$F$23="Upfront",G371,G372)</f>
        <v>0</v>
      </c>
      <c r="H370" s="1194">
        <f>IF(SETUP!$F$23="Upfront",H371,H372)</f>
        <v>0</v>
      </c>
      <c r="I370" s="1194">
        <f>IF(SETUP!$F$23="Upfront",I371,I372)</f>
        <v>0</v>
      </c>
      <c r="J370" s="1194">
        <f t="shared" si="52"/>
        <v>0</v>
      </c>
      <c r="K370" s="1328">
        <f>IF(SETUP!$F$23="Upfront",K371,K372)</f>
        <v>0</v>
      </c>
      <c r="L370" s="1194">
        <f>IF(SETUP!$F$23="Upfront",L371,L372)</f>
        <v>0</v>
      </c>
      <c r="M370" s="1194">
        <f>IF(SETUP!$F$23="Upfront",M371,M372)</f>
        <v>0</v>
      </c>
      <c r="N370" s="1194">
        <f>IF(SETUP!$F$23="Upfront",N371,N372)</f>
        <v>0</v>
      </c>
      <c r="O370" s="1194">
        <f t="shared" si="53"/>
        <v>0</v>
      </c>
      <c r="P370" s="1328">
        <f>IF(SETUP!$F$23="Upfront",P371,P372)</f>
        <v>0</v>
      </c>
      <c r="Q370" s="1194">
        <f>IF(SETUP!$F$23="Upfront",Q371,Q372)</f>
        <v>0</v>
      </c>
      <c r="R370" s="1194">
        <f>IF(SETUP!$F$23="Upfront",R371,R372)</f>
        <v>0</v>
      </c>
      <c r="S370" s="1194">
        <f>IF(SETUP!$F$23="Upfront",S371,S372)</f>
        <v>0</v>
      </c>
      <c r="T370" s="1194">
        <f t="shared" si="54"/>
        <v>0</v>
      </c>
      <c r="U370" s="1328">
        <f t="shared" si="55"/>
        <v>0</v>
      </c>
      <c r="V370" s="1826">
        <v>7.3</v>
      </c>
      <c r="W370" s="1830"/>
      <c r="X370" s="849"/>
      <c r="Y370" s="768"/>
      <c r="Z370" s="768"/>
      <c r="AA370" s="768"/>
      <c r="AB370" s="768"/>
      <c r="AC370" s="768"/>
      <c r="AD370" s="768"/>
      <c r="AE370" s="768"/>
      <c r="AF370" s="868"/>
      <c r="AG370" s="768"/>
      <c r="AH370" s="768"/>
      <c r="AI370" s="768"/>
      <c r="AJ370" s="768"/>
      <c r="AK370" s="768"/>
      <c r="AL370" s="768"/>
      <c r="AM370" s="768"/>
      <c r="AN370" s="768"/>
      <c r="AO370" s="768"/>
      <c r="AP370" s="768"/>
      <c r="AQ370" s="768"/>
      <c r="AR370" s="768"/>
      <c r="AS370" s="768"/>
      <c r="AT370" s="768"/>
      <c r="AU370" s="768"/>
      <c r="AV370" s="768"/>
      <c r="AW370" s="768"/>
      <c r="AX370" s="768"/>
      <c r="AY370" s="768"/>
      <c r="AZ370" s="768"/>
      <c r="BA370" s="768"/>
      <c r="BB370" s="768"/>
      <c r="BC370" s="768"/>
      <c r="BD370" s="768"/>
      <c r="BE370" s="768"/>
      <c r="BF370" s="768"/>
      <c r="BG370" s="768"/>
      <c r="BH370" s="768"/>
      <c r="BI370" s="768"/>
      <c r="BJ370" s="768"/>
      <c r="BK370" s="768"/>
      <c r="BL370" s="768"/>
      <c r="BM370" s="768"/>
      <c r="BN370" s="768"/>
      <c r="BO370" s="768"/>
      <c r="BP370" s="768"/>
      <c r="BQ370" s="768"/>
      <c r="BR370" s="768"/>
    </row>
    <row r="371" spans="1:70" s="759" customFormat="1" ht="12.75" hidden="1" customHeight="1" outlineLevel="1">
      <c r="A371" s="2893"/>
      <c r="B371" s="2894"/>
      <c r="C371" s="2912" t="s">
        <v>918</v>
      </c>
      <c r="D371" s="2912"/>
      <c r="E371" s="1653"/>
      <c r="F371" s="1328">
        <f>IF(SETUP!$F$23="Upfront",$E$370*'HIV-Equipment'!AV14,0)</f>
        <v>0</v>
      </c>
      <c r="G371" s="1194">
        <f>IF(SETUP!$F$23="Upfront",$E$370*'HIV-Equipment'!AW14,0)</f>
        <v>0</v>
      </c>
      <c r="H371" s="1194">
        <f>IF(SETUP!$F$23="Upfront",$E$370*'HIV-Equipment'!AX14,0)</f>
        <v>0</v>
      </c>
      <c r="I371" s="1194">
        <f>IF(SETUP!$F$23="Upfront",$E$370*'HIV-Equipment'!AY14,0)</f>
        <v>0</v>
      </c>
      <c r="J371" s="1194">
        <f t="shared" si="52"/>
        <v>0</v>
      </c>
      <c r="K371" s="1328">
        <f>IF(SETUP!$F$23="Upfront",$E$370*'HIV-Equipment'!AZ14,0)</f>
        <v>0</v>
      </c>
      <c r="L371" s="1194">
        <f>IF(SETUP!$F$23="Upfront",$E$370*'HIV-Equipment'!BA14,0)</f>
        <v>0</v>
      </c>
      <c r="M371" s="1194">
        <f>IF(SETUP!$F$23="Upfront",$E$370*'HIV-Equipment'!BB14,0)</f>
        <v>0</v>
      </c>
      <c r="N371" s="1194">
        <f>IF(SETUP!$F$23="Upfront",$E$370*'HIV-Equipment'!BC14,0)</f>
        <v>0</v>
      </c>
      <c r="O371" s="1194">
        <f t="shared" si="53"/>
        <v>0</v>
      </c>
      <c r="P371" s="1328">
        <f>IF(SETUP!$F$23="Upfront",$E$370*'HIV-Equipment'!BD14,0)</f>
        <v>0</v>
      </c>
      <c r="Q371" s="1194">
        <f>IF(SETUP!$F$23="Upfront",$E$370*'HIV-Equipment'!BE14,0)</f>
        <v>0</v>
      </c>
      <c r="R371" s="1194">
        <f>IF(SETUP!$F$23="Upfront",$E$370*'HIV-Equipment'!BF14,0)</f>
        <v>0</v>
      </c>
      <c r="S371" s="1194">
        <f>IF(SETUP!$F$23="Upfront",$E$370*'HIV-Equipment'!BG14,0)</f>
        <v>0</v>
      </c>
      <c r="T371" s="1194">
        <f t="shared" si="54"/>
        <v>0</v>
      </c>
      <c r="U371" s="1328">
        <f t="shared" si="55"/>
        <v>0</v>
      </c>
      <c r="V371" s="1826">
        <v>7.3</v>
      </c>
      <c r="W371" s="1830"/>
      <c r="X371" s="849"/>
      <c r="Y371" s="768"/>
      <c r="Z371" s="768"/>
      <c r="AA371" s="768"/>
      <c r="AB371" s="768"/>
      <c r="AC371" s="768"/>
      <c r="AD371" s="768"/>
      <c r="AE371" s="768"/>
      <c r="AF371" s="868"/>
      <c r="AG371" s="768"/>
      <c r="AH371" s="768"/>
      <c r="AI371" s="768"/>
      <c r="AJ371" s="768"/>
      <c r="AK371" s="768"/>
      <c r="AL371" s="768"/>
      <c r="AM371" s="768"/>
      <c r="AN371" s="768"/>
      <c r="AO371" s="768"/>
      <c r="AP371" s="768"/>
      <c r="AQ371" s="768"/>
      <c r="AR371" s="768"/>
      <c r="AS371" s="768"/>
      <c r="AT371" s="768"/>
      <c r="AU371" s="768"/>
      <c r="AV371" s="768"/>
      <c r="AW371" s="768"/>
      <c r="AX371" s="768"/>
      <c r="AY371" s="768"/>
      <c r="AZ371" s="768"/>
      <c r="BA371" s="768"/>
      <c r="BB371" s="768"/>
      <c r="BC371" s="768"/>
      <c r="BD371" s="768"/>
      <c r="BE371" s="768"/>
      <c r="BF371" s="768"/>
      <c r="BG371" s="768"/>
      <c r="BH371" s="768"/>
      <c r="BI371" s="768"/>
      <c r="BJ371" s="768"/>
      <c r="BK371" s="768"/>
      <c r="BL371" s="768"/>
      <c r="BM371" s="768"/>
      <c r="BN371" s="768"/>
      <c r="BO371" s="768"/>
      <c r="BP371" s="768"/>
      <c r="BQ371" s="768"/>
      <c r="BR371" s="768"/>
    </row>
    <row r="372" spans="1:70" s="759" customFormat="1" ht="12.75" hidden="1" customHeight="1" outlineLevel="1">
      <c r="A372" s="2895"/>
      <c r="B372" s="2896"/>
      <c r="C372" s="2912" t="s">
        <v>36</v>
      </c>
      <c r="D372" s="2912"/>
      <c r="E372" s="1652"/>
      <c r="F372" s="1328">
        <v>0</v>
      </c>
      <c r="G372" s="1194">
        <f>IF(SETUP!$F$23="At delivery",IF(SETUP!$G$23=1,$E$370*'HIV-Equipment'!AV14,0),0)</f>
        <v>0</v>
      </c>
      <c r="H372" s="1194">
        <f>IF(SETUP!$F$23="At delivery",IF(SETUP!$G$23=2,$E$370*'HIV-Equipment'!AV14,IF(SETUP!$G$23=1,$E$370*'HIV-Equipment'!AW14,0)),0)</f>
        <v>0</v>
      </c>
      <c r="I372" s="1194">
        <f>IF(SETUP!$F$23="At delivery",IF(SETUP!$G$23=3,$E$370*'HIV-Equipment'!AV14,IF(SETUP!$G$23=2,$E$370*'HIV-Equipment'!AW14,IF(SETUP!$G$23=1,$E$370*'HIV-Equipment'!AX14,0))),0)</f>
        <v>0</v>
      </c>
      <c r="J372" s="1194">
        <f t="shared" si="52"/>
        <v>0</v>
      </c>
      <c r="K372" s="1328">
        <f>IF(SETUP!$F$23="At delivery",IF(SETUP!$G$23=4,$E$370*'HIV-Equipment'!AV14,IF(SETUP!$G$23=3,$E$370*'HIV-Equipment'!AW14,IF(SETUP!$G$23=2,$E$370*'HIV-Equipment'!AX14,IF(SETUP!$G$23=1,$E$370*'HIV-Equipment'!AY14,0)))),0)</f>
        <v>0</v>
      </c>
      <c r="L372" s="1194">
        <f>IF(SETUP!$F$23="At delivery",IF(SETUP!$G$23=4,$E$370*'HIV-Equipment'!AW14,IF(SETUP!$G$23=3,$E$370*'HIV-Equipment'!AX14,IF(SETUP!$G$23=2,$E$370*'HIV-Equipment'!AY14,IF(SETUP!$G$23=1,$E$370*'HIV-Equipment'!AZ14,0)))),0)</f>
        <v>0</v>
      </c>
      <c r="M372" s="1194">
        <f>IF(SETUP!$F$23="At delivery",IF(SETUP!$G$23=4,$E$370*'HIV-Equipment'!AX14,IF(SETUP!$G$23=3,$E$370*'HIV-Equipment'!AY14,IF(SETUP!$G$23=2,$E$370*'HIV-Equipment'!AZ14,IF(SETUP!$G$23=1,$E$370*'HIV-Equipment'!BA14,0)))),0)</f>
        <v>0</v>
      </c>
      <c r="N372" s="1194">
        <f>IF(SETUP!$F$23="At delivery",IF(SETUP!$G$23=4,$E$370*'HIV-Equipment'!AY14,IF(SETUP!$G$23=3,$E$370*'HIV-Equipment'!AZ14,IF(SETUP!$G$23=2,$E$370*'HIV-Equipment'!BA14,IF(SETUP!$G$23=1,$E$370*'HIV-Equipment'!BB14,0)))),0)</f>
        <v>0</v>
      </c>
      <c r="O372" s="1194">
        <f t="shared" si="53"/>
        <v>0</v>
      </c>
      <c r="P372" s="1328">
        <f>IF(SETUP!$F$23="At delivery",IF(SETUP!$G$23=4,$E$370*'HIV-Equipment'!AZ14,IF(SETUP!$G$23=3,$E$370*'HIV-Equipment'!BA14,IF(SETUP!$G$23=2,$E$370*'HIV-Equipment'!BB14,IF(SETUP!$G$23=1,$E$370*'HIV-Equipment'!BC14,0)))),0)</f>
        <v>0</v>
      </c>
      <c r="Q372" s="1194">
        <f>IF(SETUP!$F$23="At delivery",IF(SETUP!$G$23=4,$E$370*'HIV-Equipment'!BA14,IF(SETUP!$G$23=3,$E$370*'HIV-Equipment'!BB14,IF(SETUP!$G$23=2,$E$370*'HIV-Equipment'!BC14,IF(SETUP!$G$23=1,$E$370*'HIV-Equipment'!BD14,0)))),0)</f>
        <v>0</v>
      </c>
      <c r="R372" s="1194">
        <f>IF(SETUP!$F$23="At delivery",IF(SETUP!$G$23=4,$E$370*'HIV-Equipment'!BB14,IF(SETUP!$G$23=3,$E$370*'HIV-Equipment'!BC14,IF(SETUP!$G$23=2,$E$370*'HIV-Equipment'!BD14,IF(SETUP!$G$23=1,$E$370*'HIV-Equipment'!BE14,0)))),0)</f>
        <v>0</v>
      </c>
      <c r="S372" s="1194">
        <f>IF(SETUP!$F$23="At delivery",IF(SETUP!$G$23=4,$E$370*('HIV-Equipment'!BC14+'HIV-Equipment'!BD14+'HIV-Equipment'!BE14+'HIV-Equipment'!BF14+'HIV-Equipment'!BG14),IF(SETUP!$G$23=3,$E$370*('HIV-Equipment'!BD14+'HIV-Equipment'!BE14+'HIV-Equipment'!BF14+'HIV-Equipment'!BG14),IF(SETUP!$G$23=2,$E$370*('HIV-Equipment'!BE14+'HIV-Equipment'!BF14+'HIV-Equipment'!BG14),IF(SETUP!$G$23=1,$E$370*('HIV-Equipment'!BF14+'HIV-Equipment'!BG14),0)))),0)</f>
        <v>0</v>
      </c>
      <c r="T372" s="1194">
        <f t="shared" si="54"/>
        <v>0</v>
      </c>
      <c r="U372" s="1328">
        <f t="shared" si="55"/>
        <v>0</v>
      </c>
      <c r="V372" s="1826">
        <v>7.3</v>
      </c>
      <c r="W372" s="1830"/>
      <c r="X372" s="849"/>
      <c r="Y372" s="768"/>
      <c r="Z372" s="768"/>
      <c r="AA372" s="768"/>
      <c r="AB372" s="768"/>
      <c r="AC372" s="768"/>
      <c r="AD372" s="768"/>
      <c r="AE372" s="768"/>
      <c r="AF372" s="868"/>
      <c r="AG372" s="768"/>
      <c r="AH372" s="768"/>
      <c r="AI372" s="768"/>
      <c r="AJ372" s="768"/>
      <c r="AK372" s="768"/>
      <c r="AL372" s="768"/>
      <c r="AM372" s="768"/>
      <c r="AN372" s="768"/>
      <c r="AO372" s="768"/>
      <c r="AP372" s="768"/>
      <c r="AQ372" s="768"/>
      <c r="AR372" s="768"/>
      <c r="AS372" s="768"/>
      <c r="AT372" s="768"/>
      <c r="AU372" s="768"/>
      <c r="AV372" s="768"/>
      <c r="AW372" s="768"/>
      <c r="AX372" s="768"/>
      <c r="AY372" s="768"/>
      <c r="AZ372" s="768"/>
      <c r="BA372" s="768"/>
      <c r="BB372" s="768"/>
      <c r="BC372" s="768"/>
      <c r="BD372" s="768"/>
      <c r="BE372" s="768"/>
      <c r="BF372" s="768"/>
      <c r="BG372" s="768"/>
      <c r="BH372" s="768"/>
      <c r="BI372" s="768"/>
      <c r="BJ372" s="768"/>
      <c r="BK372" s="768"/>
      <c r="BL372" s="768"/>
      <c r="BM372" s="768"/>
      <c r="BN372" s="768"/>
      <c r="BO372" s="768"/>
      <c r="BP372" s="768"/>
      <c r="BQ372" s="768"/>
      <c r="BR372" s="768"/>
    </row>
    <row r="373" spans="1:70" s="759" customFormat="1" ht="13" collapsed="1">
      <c r="A373" s="2897" t="s">
        <v>565</v>
      </c>
      <c r="B373" s="2898"/>
      <c r="C373" s="2907" t="s">
        <v>228</v>
      </c>
      <c r="D373" s="2911"/>
      <c r="E373" s="1651">
        <v>0</v>
      </c>
      <c r="F373" s="1328">
        <f>IF(SETUP!$F$27="Upfront",F374,F375)</f>
        <v>0</v>
      </c>
      <c r="G373" s="1194">
        <f>IF(SETUP!$F$27="Upfront",G374,G375)</f>
        <v>0</v>
      </c>
      <c r="H373" s="1194">
        <f>IF(SETUP!$F$27="Upfront",H374,H375)</f>
        <v>0</v>
      </c>
      <c r="I373" s="1194">
        <f>IF(SETUP!$F$27="Upfront",I374,I375)</f>
        <v>0</v>
      </c>
      <c r="J373" s="1194">
        <f t="shared" si="52"/>
        <v>0</v>
      </c>
      <c r="K373" s="1328">
        <f>IF(SETUP!$F$27="Upfront",K374,K375)</f>
        <v>0</v>
      </c>
      <c r="L373" s="1194">
        <f>IF(SETUP!$F$27="Upfront",L374,L375)</f>
        <v>0</v>
      </c>
      <c r="M373" s="1194">
        <f>IF(SETUP!$F$27="Upfront",M374,M375)</f>
        <v>0</v>
      </c>
      <c r="N373" s="1194">
        <f>IF(SETUP!$F$27="Upfront",N374,N375)</f>
        <v>0</v>
      </c>
      <c r="O373" s="1194">
        <f t="shared" si="53"/>
        <v>0</v>
      </c>
      <c r="P373" s="1328">
        <f>IF(SETUP!$F$27="Upfront",P374,P375)</f>
        <v>0</v>
      </c>
      <c r="Q373" s="1194">
        <f>IF(SETUP!$F$27="Upfront",Q374,Q375)</f>
        <v>0</v>
      </c>
      <c r="R373" s="1194">
        <f>IF(SETUP!$F$27="Upfront",R374,R375)</f>
        <v>0</v>
      </c>
      <c r="S373" s="1194">
        <f>IF(SETUP!$F$27="Upfront",S374,S375)</f>
        <v>0</v>
      </c>
      <c r="T373" s="1194">
        <f t="shared" si="54"/>
        <v>0</v>
      </c>
      <c r="U373" s="1328">
        <f t="shared" si="55"/>
        <v>0</v>
      </c>
      <c r="V373" s="1826">
        <v>7.3</v>
      </c>
      <c r="W373" s="1830"/>
      <c r="X373" s="849"/>
      <c r="Y373" s="768"/>
      <c r="Z373" s="768"/>
      <c r="AA373" s="768"/>
      <c r="AB373" s="768"/>
      <c r="AC373" s="768"/>
      <c r="AD373" s="768"/>
      <c r="AE373" s="768"/>
      <c r="AF373" s="868"/>
      <c r="AG373" s="768"/>
      <c r="AH373" s="768"/>
      <c r="AI373" s="768"/>
      <c r="AJ373" s="768"/>
      <c r="AK373" s="768"/>
      <c r="AL373" s="768"/>
      <c r="AM373" s="768"/>
      <c r="AN373" s="768"/>
      <c r="AO373" s="768"/>
      <c r="AP373" s="768"/>
      <c r="AQ373" s="768"/>
      <c r="AR373" s="768"/>
      <c r="AS373" s="768"/>
      <c r="AT373" s="768"/>
      <c r="AU373" s="768"/>
      <c r="AV373" s="768"/>
      <c r="AW373" s="768"/>
      <c r="AX373" s="768"/>
      <c r="AY373" s="768"/>
      <c r="AZ373" s="768"/>
      <c r="BA373" s="768"/>
      <c r="BB373" s="768"/>
      <c r="BC373" s="768"/>
      <c r="BD373" s="768"/>
      <c r="BE373" s="768"/>
      <c r="BF373" s="768"/>
      <c r="BG373" s="768"/>
      <c r="BH373" s="768"/>
      <c r="BI373" s="768"/>
      <c r="BJ373" s="768"/>
      <c r="BK373" s="768"/>
      <c r="BL373" s="768"/>
      <c r="BM373" s="768"/>
      <c r="BN373" s="768"/>
      <c r="BO373" s="768"/>
      <c r="BP373" s="768"/>
      <c r="BQ373" s="768"/>
      <c r="BR373" s="768"/>
    </row>
    <row r="374" spans="1:70" s="759" customFormat="1" ht="16.149999999999999" hidden="1" customHeight="1" outlineLevel="1">
      <c r="A374" s="2899"/>
      <c r="B374" s="2900"/>
      <c r="C374" s="2889" t="s">
        <v>918</v>
      </c>
      <c r="D374" s="2912"/>
      <c r="E374" s="1653"/>
      <c r="F374" s="1328">
        <f>IF(SETUP!$F$27="Upfront",$E$373*'HIV-Other HPs'!AW14,0)</f>
        <v>0</v>
      </c>
      <c r="G374" s="1194">
        <f>IF(SETUP!$F$27="Upfront",$E$373*'HIV-Other HPs'!AX14,0)</f>
        <v>0</v>
      </c>
      <c r="H374" s="1194">
        <f>IF(SETUP!$F$27="Upfront",$E$373*'HIV-Other HPs'!AY14,0)</f>
        <v>0</v>
      </c>
      <c r="I374" s="1194">
        <f>IF(SETUP!$F$27="Upfront",$E$373*'HIV-Other HPs'!AZ14,0)</f>
        <v>0</v>
      </c>
      <c r="J374" s="1194">
        <f t="shared" si="52"/>
        <v>0</v>
      </c>
      <c r="K374" s="1328">
        <f>IF(SETUP!$F$27="Upfront",$E$373*'HIV-Other HPs'!BA14,0)</f>
        <v>0</v>
      </c>
      <c r="L374" s="1194">
        <f>IF(SETUP!$F$27="Upfront",$E$373*'HIV-Other HPs'!BB14,0)</f>
        <v>0</v>
      </c>
      <c r="M374" s="1194">
        <f>IF(SETUP!$F$27="Upfront",$E$373*'HIV-Other HPs'!BC14,0)</f>
        <v>0</v>
      </c>
      <c r="N374" s="1194">
        <f>IF(SETUP!$F$27="Upfront",$E$373*'HIV-Other HPs'!BD14,0)</f>
        <v>0</v>
      </c>
      <c r="O374" s="1194">
        <f t="shared" si="53"/>
        <v>0</v>
      </c>
      <c r="P374" s="1328">
        <f>IF(SETUP!$F$27="Upfront",$E$373*'HIV-Other HPs'!BE14,0)</f>
        <v>0</v>
      </c>
      <c r="Q374" s="1194">
        <f>IF(SETUP!$F$27="Upfront",$E$373*'HIV-Other HPs'!BF14,0)</f>
        <v>0</v>
      </c>
      <c r="R374" s="1194">
        <f>IF(SETUP!$F$27="Upfront",$E$373*'HIV-Other HPs'!BG14,0)</f>
        <v>0</v>
      </c>
      <c r="S374" s="1194">
        <f>IF(SETUP!$F$27="Upfront",$E$373*'HIV-Other HPs'!BH14,0)</f>
        <v>0</v>
      </c>
      <c r="T374" s="1194">
        <f t="shared" si="54"/>
        <v>0</v>
      </c>
      <c r="U374" s="1328">
        <f t="shared" si="55"/>
        <v>0</v>
      </c>
      <c r="V374" s="1826">
        <v>7.3</v>
      </c>
      <c r="W374" s="1830"/>
      <c r="X374" s="849"/>
      <c r="Y374" s="768"/>
      <c r="Z374" s="768"/>
      <c r="AA374" s="768"/>
      <c r="AB374" s="768"/>
      <c r="AC374" s="768"/>
      <c r="AD374" s="768"/>
      <c r="AE374" s="768"/>
      <c r="AF374" s="868"/>
      <c r="AG374" s="768"/>
      <c r="AH374" s="768"/>
      <c r="AI374" s="768"/>
      <c r="AJ374" s="768"/>
      <c r="AK374" s="768"/>
      <c r="AL374" s="768"/>
      <c r="AM374" s="768"/>
      <c r="AN374" s="768"/>
      <c r="AO374" s="768"/>
      <c r="AP374" s="768"/>
      <c r="AQ374" s="768"/>
      <c r="AR374" s="768"/>
      <c r="AS374" s="768"/>
      <c r="AT374" s="768"/>
      <c r="AU374" s="768"/>
      <c r="AV374" s="768"/>
      <c r="AW374" s="768"/>
      <c r="AX374" s="768"/>
      <c r="AY374" s="768"/>
      <c r="AZ374" s="768"/>
      <c r="BA374" s="768"/>
      <c r="BB374" s="768"/>
      <c r="BC374" s="768"/>
      <c r="BD374" s="768"/>
      <c r="BE374" s="768"/>
      <c r="BF374" s="768"/>
      <c r="BG374" s="768"/>
      <c r="BH374" s="768"/>
      <c r="BI374" s="768"/>
      <c r="BJ374" s="768"/>
      <c r="BK374" s="768"/>
      <c r="BL374" s="768"/>
      <c r="BM374" s="768"/>
      <c r="BN374" s="768"/>
      <c r="BO374" s="768"/>
      <c r="BP374" s="768"/>
      <c r="BQ374" s="768"/>
      <c r="BR374" s="768"/>
    </row>
    <row r="375" spans="1:70" s="759" customFormat="1" ht="16.149999999999999" hidden="1" customHeight="1" outlineLevel="1">
      <c r="A375" s="2899"/>
      <c r="B375" s="2900"/>
      <c r="C375" s="2889" t="s">
        <v>36</v>
      </c>
      <c r="D375" s="2912"/>
      <c r="E375" s="1649"/>
      <c r="F375" s="1328">
        <v>0</v>
      </c>
      <c r="G375" s="1194">
        <f>IF(SETUP!$F$27="At delivery",IF(SETUP!$G$27=1,$E$373*'HIV-Other HPs'!AW14,0),0)</f>
        <v>0</v>
      </c>
      <c r="H375" s="1194">
        <f>IF(SETUP!$F$27="At delivery",IF(SETUP!$G$27=2,$E$373*'HIV-Other HPs'!AW14,IF(SETUP!$G$27=1,$E$373*'HIV-Other HPs'!AX14,0)),0)</f>
        <v>0</v>
      </c>
      <c r="I375" s="1194">
        <f>IF(SETUP!$F$27="At delivery",IF(SETUP!$G$27=3,$E$373*'HIV-Other HPs'!AW14,IF(SETUP!$G$27=2,$E$373*'HIV-Other HPs'!AX14,IF(SETUP!$G$27=1,$E$373*'HIV-Other HPs'!AY14,0))),0)</f>
        <v>0</v>
      </c>
      <c r="J375" s="1194">
        <f t="shared" si="52"/>
        <v>0</v>
      </c>
      <c r="K375" s="1328">
        <f>IF(SETUP!$F$27="At delivery",IF(SETUP!$G$27=4,$E$373*'HIV-Other HPs'!AW14,IF(SETUP!$G$27=3,$E$373*'HIV-Other HPs'!AX14,IF(SETUP!$G$27=2,$E$373*'HIV-Other HPs'!AY14,IF(SETUP!$G$27=1,$E$373*'HIV-Other HPs'!AZ14,0)))),0)</f>
        <v>0</v>
      </c>
      <c r="L375" s="1194">
        <f>IF(SETUP!$F$27="At delivery",IF(SETUP!$G$27=4,$E$373*'HIV-Other HPs'!AX14,IF(SETUP!$G$27=3,$E$373*'HIV-Other HPs'!AY14,IF(SETUP!$G$27=2,$E$373*'HIV-Other HPs'!AZ14,IF(SETUP!$G$27=1,$E$373*'HIV-Other HPs'!BA14,0)))),0)</f>
        <v>0</v>
      </c>
      <c r="M375" s="1194">
        <f>IF(SETUP!$F$27="At delivery",IF(SETUP!$G$27=4,$E$373*'HIV-Other HPs'!AY14,IF(SETUP!$G$27=3,$E$373*'HIV-Other HPs'!AZ14,IF(SETUP!$G$27=2,$E$373*'HIV-Other HPs'!BA14,IF(SETUP!$G$27=1,$E$373*'HIV-Other HPs'!BB14,0)))),0)</f>
        <v>0</v>
      </c>
      <c r="N375" s="1194">
        <f>IF(SETUP!$F$27="At delivery",IF(SETUP!$G$27=4,$E$373*'HIV-Other HPs'!AZ14,IF(SETUP!$G$27=3,$E$373*'HIV-Other HPs'!BA14,IF(SETUP!$G$27=2,$E$373*'HIV-Other HPs'!BB14,IF(SETUP!$G$27=1,$E$373*'HIV-Other HPs'!BC14,0)))),0)</f>
        <v>0</v>
      </c>
      <c r="O375" s="1194">
        <f t="shared" si="53"/>
        <v>0</v>
      </c>
      <c r="P375" s="1328">
        <f>IF(SETUP!$F$27="At delivery",IF(SETUP!$G$27=4,$E$373*'HIV-Other HPs'!BA14,IF(SETUP!$G$27=3,$E$373*'HIV-Other HPs'!BB14,IF(SETUP!$G$27=2,$E$373*'HIV-Other HPs'!BC14,IF(SETUP!$G$27=1,$E$373*'HIV-Other HPs'!BD14,0)))),0)</f>
        <v>0</v>
      </c>
      <c r="Q375" s="1194">
        <f>IF(SETUP!$F$27="At delivery",IF(SETUP!$G$27=4,$E$373*'HIV-Other HPs'!BB14,IF(SETUP!$G$27=3,$E$373*'HIV-Other HPs'!BC14,IF(SETUP!$G$27=2,$E$373*'HIV-Other HPs'!BD14,IF(SETUP!$G$27=1,$E$373*'HIV-Other HPs'!BE14,0)))),0)</f>
        <v>0</v>
      </c>
      <c r="R375" s="1194">
        <f>IF(SETUP!$F$27="At delivery",IF(SETUP!$G$27=4,$E$373*'HIV-Other HPs'!BC14,IF(SETUP!$G$27=3,$E$373*'HIV-Other HPs'!BD14,IF(SETUP!$G$27=2,$E$373*'HIV-Other HPs'!BE14,IF(SETUP!$G$27=1,$E$373*'HIV-Other HPs'!BF14,0)))),0)</f>
        <v>0</v>
      </c>
      <c r="S375" s="1194">
        <f>IF(SETUP!$F$27="At delivery",IF(SETUP!$G$27=4,$E$373*('HIV-Other HPs'!BD14+'HIV-Other HPs'!BE14+'HIV-Other HPs'!BF14+'HIV-Other HPs'!BG14+'HIV-Other HPs'!BH14),IF(SETUP!$G$27=3,$E$373*('HIV-Other HPs'!BE14+'HIV-Other HPs'!BF14+'HIV-Other HPs'!BG14+'HIV-Other HPs'!BH14),IF(SETUP!$G$27=2,$E$373*('HIV-Other HPs'!BF14+'HIV-Other HPs'!BG14+'HIV-Other HPs'!BH14),IF(SETUP!$G$27=1,$E$373*('HIV-Other HPs'!BG14+'HIV-Other HPs'!BH14),0)))),0)</f>
        <v>0</v>
      </c>
      <c r="T375" s="1194">
        <f t="shared" si="54"/>
        <v>0</v>
      </c>
      <c r="U375" s="1328">
        <f t="shared" si="55"/>
        <v>0</v>
      </c>
      <c r="V375" s="1826">
        <v>7.3</v>
      </c>
      <c r="W375" s="1830"/>
      <c r="X375" s="849"/>
      <c r="Y375" s="768"/>
      <c r="Z375" s="768"/>
      <c r="AA375" s="768"/>
      <c r="AB375" s="768"/>
      <c r="AC375" s="768"/>
      <c r="AD375" s="768"/>
      <c r="AE375" s="768"/>
      <c r="AF375" s="868"/>
      <c r="AG375" s="768"/>
      <c r="AH375" s="768"/>
      <c r="AI375" s="768"/>
      <c r="AJ375" s="768"/>
      <c r="AK375" s="768"/>
      <c r="AL375" s="768"/>
      <c r="AM375" s="768"/>
      <c r="AN375" s="768"/>
      <c r="AO375" s="768"/>
      <c r="AP375" s="768"/>
      <c r="AQ375" s="768"/>
      <c r="AR375" s="768"/>
      <c r="AS375" s="768"/>
      <c r="AT375" s="768"/>
      <c r="AU375" s="768"/>
      <c r="AV375" s="768"/>
      <c r="AW375" s="768"/>
      <c r="AX375" s="768"/>
      <c r="AY375" s="768"/>
      <c r="AZ375" s="768"/>
      <c r="BA375" s="768"/>
      <c r="BB375" s="768"/>
      <c r="BC375" s="768"/>
      <c r="BD375" s="768"/>
      <c r="BE375" s="768"/>
      <c r="BF375" s="768"/>
      <c r="BG375" s="768"/>
      <c r="BH375" s="768"/>
      <c r="BI375" s="768"/>
      <c r="BJ375" s="768"/>
      <c r="BK375" s="768"/>
      <c r="BL375" s="768"/>
      <c r="BM375" s="768"/>
      <c r="BN375" s="768"/>
      <c r="BO375" s="768"/>
      <c r="BP375" s="768"/>
      <c r="BQ375" s="768"/>
      <c r="BR375" s="768"/>
    </row>
    <row r="376" spans="1:70" s="759" customFormat="1" ht="13" collapsed="1">
      <c r="A376" s="2899"/>
      <c r="B376" s="2900"/>
      <c r="C376" s="2907" t="s">
        <v>232</v>
      </c>
      <c r="D376" s="2911"/>
      <c r="E376" s="1651">
        <v>0</v>
      </c>
      <c r="F376" s="1328">
        <f>IF(SETUP!$F$28="Upfront",F377,F378)</f>
        <v>0</v>
      </c>
      <c r="G376" s="1194">
        <f>IF(SETUP!$F$28="Upfront",G377,G378)</f>
        <v>0</v>
      </c>
      <c r="H376" s="1194">
        <f>IF(SETUP!$F$28="Upfront",H377,H378)</f>
        <v>0</v>
      </c>
      <c r="I376" s="1194">
        <f>IF(SETUP!$F$28="Upfront",I377,I378)</f>
        <v>0</v>
      </c>
      <c r="J376" s="1194">
        <f t="shared" si="52"/>
        <v>0</v>
      </c>
      <c r="K376" s="1328">
        <f>IF(SETUP!$F$28="Upfront",K377,K378)</f>
        <v>0</v>
      </c>
      <c r="L376" s="1194">
        <f>IF(SETUP!$F$28="Upfront",L377,L378)</f>
        <v>0</v>
      </c>
      <c r="M376" s="1194">
        <f>IF(SETUP!$F$28="Upfront",M377,M378)</f>
        <v>0</v>
      </c>
      <c r="N376" s="1194">
        <f>IF(SETUP!$F$28="Upfront",N377,N378)</f>
        <v>0</v>
      </c>
      <c r="O376" s="1194">
        <f t="shared" si="53"/>
        <v>0</v>
      </c>
      <c r="P376" s="1328">
        <f>IF(SETUP!$F$28="Upfront",P377,P378)</f>
        <v>0</v>
      </c>
      <c r="Q376" s="1194">
        <f>IF(SETUP!$F$28="Upfront",Q377,Q378)</f>
        <v>0</v>
      </c>
      <c r="R376" s="1194">
        <f>IF(SETUP!$F$28="Upfront",R377,R378)</f>
        <v>0</v>
      </c>
      <c r="S376" s="1194">
        <f>IF(SETUP!$F$28="Upfront",S377,S378)</f>
        <v>0</v>
      </c>
      <c r="T376" s="1194">
        <f t="shared" si="54"/>
        <v>0</v>
      </c>
      <c r="U376" s="1328">
        <f t="shared" si="55"/>
        <v>0</v>
      </c>
      <c r="V376" s="1826">
        <v>7.3</v>
      </c>
      <c r="W376" s="1830"/>
      <c r="X376" s="849"/>
      <c r="Y376" s="768"/>
      <c r="Z376" s="768"/>
      <c r="AA376" s="768"/>
      <c r="AB376" s="768"/>
      <c r="AC376" s="768"/>
      <c r="AD376" s="768"/>
      <c r="AE376" s="768"/>
      <c r="AF376" s="868"/>
      <c r="AG376" s="768"/>
      <c r="AH376" s="768"/>
      <c r="AI376" s="768"/>
      <c r="AJ376" s="768"/>
      <c r="AK376" s="768"/>
      <c r="AL376" s="768"/>
      <c r="AM376" s="768"/>
      <c r="AN376" s="768"/>
      <c r="AO376" s="768"/>
      <c r="AP376" s="768"/>
      <c r="AQ376" s="768"/>
      <c r="AR376" s="768"/>
      <c r="AS376" s="768"/>
      <c r="AT376" s="768"/>
      <c r="AU376" s="768"/>
      <c r="AV376" s="768"/>
      <c r="AW376" s="768"/>
      <c r="AX376" s="768"/>
      <c r="AY376" s="768"/>
      <c r="AZ376" s="768"/>
      <c r="BA376" s="768"/>
      <c r="BB376" s="768"/>
      <c r="BC376" s="768"/>
      <c r="BD376" s="768"/>
      <c r="BE376" s="768"/>
      <c r="BF376" s="768"/>
      <c r="BG376" s="768"/>
      <c r="BH376" s="768"/>
      <c r="BI376" s="768"/>
      <c r="BJ376" s="768"/>
      <c r="BK376" s="768"/>
      <c r="BL376" s="768"/>
      <c r="BM376" s="768"/>
      <c r="BN376" s="768"/>
      <c r="BO376" s="768"/>
      <c r="BP376" s="768"/>
      <c r="BQ376" s="768"/>
      <c r="BR376" s="768"/>
    </row>
    <row r="377" spans="1:70" s="759" customFormat="1" ht="16.149999999999999" hidden="1" customHeight="1" outlineLevel="1">
      <c r="A377" s="2899"/>
      <c r="B377" s="2900"/>
      <c r="C377" s="2889" t="s">
        <v>918</v>
      </c>
      <c r="D377" s="2912"/>
      <c r="E377" s="1649"/>
      <c r="F377" s="1328">
        <f>IF(SETUP!$F$28="Upfront",$E$376*'HIV-Other HPs'!AW15,0)</f>
        <v>0</v>
      </c>
      <c r="G377" s="1194">
        <f>IF(SETUP!$F$28="Upfront",$E$376*'HIV-Other HPs'!AX15,0)</f>
        <v>0</v>
      </c>
      <c r="H377" s="1194">
        <f>IF(SETUP!$F$28="Upfront",$E$376*'HIV-Other HPs'!AY15,0)</f>
        <v>0</v>
      </c>
      <c r="I377" s="1194">
        <f>IF(SETUP!$F$28="Upfront",$E$376*'HIV-Other HPs'!AZ15,0)</f>
        <v>0</v>
      </c>
      <c r="J377" s="1194">
        <f t="shared" si="52"/>
        <v>0</v>
      </c>
      <c r="K377" s="1328">
        <f>IF(SETUP!$F$28="Upfront",$E$376*'HIV-Other HPs'!BA15,0)</f>
        <v>0</v>
      </c>
      <c r="L377" s="1194">
        <f>IF(SETUP!$F$28="Upfront",$E$376*'HIV-Other HPs'!BB15,0)</f>
        <v>0</v>
      </c>
      <c r="M377" s="1194">
        <f>IF(SETUP!$F$28="Upfront",$E$376*'HIV-Other HPs'!BC15,0)</f>
        <v>0</v>
      </c>
      <c r="N377" s="1194">
        <f>IF(SETUP!$F$28="Upfront",$E$376*'HIV-Other HPs'!BD15,0)</f>
        <v>0</v>
      </c>
      <c r="O377" s="1194">
        <f t="shared" si="53"/>
        <v>0</v>
      </c>
      <c r="P377" s="1328">
        <f>IF(SETUP!$F$28="Upfront",$E$376*'HIV-Other HPs'!BE15,0)</f>
        <v>0</v>
      </c>
      <c r="Q377" s="1194">
        <f>IF(SETUP!$F$28="Upfront",$E$376*'HIV-Other HPs'!BF15,0)</f>
        <v>0</v>
      </c>
      <c r="R377" s="1194">
        <f>IF(SETUP!$F$28="Upfront",$E$376*'HIV-Other HPs'!BG15,0)</f>
        <v>0</v>
      </c>
      <c r="S377" s="1194">
        <f>IF(SETUP!$F$28="Upfront",$E$376*'HIV-Other HPs'!BH15,0)</f>
        <v>0</v>
      </c>
      <c r="T377" s="1194">
        <f t="shared" si="54"/>
        <v>0</v>
      </c>
      <c r="U377" s="1328">
        <f t="shared" si="55"/>
        <v>0</v>
      </c>
      <c r="V377" s="1826">
        <v>7.3</v>
      </c>
      <c r="W377" s="1830"/>
      <c r="X377" s="849"/>
      <c r="Y377" s="768"/>
      <c r="Z377" s="768"/>
      <c r="AA377" s="768"/>
      <c r="AB377" s="768"/>
      <c r="AC377" s="768"/>
      <c r="AD377" s="768"/>
      <c r="AE377" s="768"/>
      <c r="AF377" s="868"/>
      <c r="AG377" s="768"/>
      <c r="AH377" s="768"/>
      <c r="AI377" s="768"/>
      <c r="AJ377" s="768"/>
      <c r="AK377" s="768"/>
      <c r="AL377" s="768"/>
      <c r="AM377" s="768"/>
      <c r="AN377" s="768"/>
      <c r="AO377" s="768"/>
      <c r="AP377" s="768"/>
      <c r="AQ377" s="768"/>
      <c r="AR377" s="768"/>
      <c r="AS377" s="768"/>
      <c r="AT377" s="768"/>
      <c r="AU377" s="768"/>
      <c r="AV377" s="768"/>
      <c r="AW377" s="768"/>
      <c r="AX377" s="768"/>
      <c r="AY377" s="768"/>
      <c r="AZ377" s="768"/>
      <c r="BA377" s="768"/>
      <c r="BB377" s="768"/>
      <c r="BC377" s="768"/>
      <c r="BD377" s="768"/>
      <c r="BE377" s="768"/>
      <c r="BF377" s="768"/>
      <c r="BG377" s="768"/>
      <c r="BH377" s="768"/>
      <c r="BI377" s="768"/>
      <c r="BJ377" s="768"/>
      <c r="BK377" s="768"/>
      <c r="BL377" s="768"/>
      <c r="BM377" s="768"/>
      <c r="BN377" s="768"/>
      <c r="BO377" s="768"/>
      <c r="BP377" s="768"/>
      <c r="BQ377" s="768"/>
      <c r="BR377" s="768"/>
    </row>
    <row r="378" spans="1:70" s="759" customFormat="1" ht="16.149999999999999" hidden="1" customHeight="1" outlineLevel="1">
      <c r="A378" s="2899"/>
      <c r="B378" s="2900"/>
      <c r="C378" s="2889" t="s">
        <v>36</v>
      </c>
      <c r="D378" s="2912"/>
      <c r="E378" s="1649"/>
      <c r="F378" s="1328">
        <v>0</v>
      </c>
      <c r="G378" s="1194">
        <f>IF(SETUP!$F$28="At delivery",IF(SETUP!$G$28=1,$E$376*'HIV-Other HPs'!AW15,0),0)</f>
        <v>0</v>
      </c>
      <c r="H378" s="1194">
        <f>IF(SETUP!$F$28="At delivery",IF(SETUP!$G$28=2,$E$376*'HIV-Other HPs'!AW15,IF(SETUP!$G$28=1,$E$376*'HIV-Other HPs'!AX15,0)),0)</f>
        <v>0</v>
      </c>
      <c r="I378" s="1194">
        <f>IF(SETUP!$F$28="At delivery",IF(SETUP!$G$28=3,$E$376*'HIV-Other HPs'!AW15,IF(SETUP!$G$28=2,$E$376*'HIV-Other HPs'!AX15,IF(SETUP!$G$28=1,$E$376*'HIV-Other HPs'!AY15,0))),0)</f>
        <v>0</v>
      </c>
      <c r="J378" s="1194">
        <f t="shared" si="52"/>
        <v>0</v>
      </c>
      <c r="K378" s="1328">
        <f>IF(SETUP!$F$28="At delivery",IF(SETUP!$G$28=4,$E$376*'HIV-Other HPs'!AW15,IF(SETUP!$G$28=3,$E$376*'HIV-Other HPs'!AX15,IF(SETUP!$G$28=2,$E$376*'HIV-Other HPs'!AY15,IF(SETUP!$G$28=1,$E$376*'HIV-Other HPs'!AZ15,0)))),0)</f>
        <v>0</v>
      </c>
      <c r="L378" s="1194">
        <f>IF(SETUP!$F$28="At delivery",IF(SETUP!$G$28=4,$E$376*'HIV-Other HPs'!AX15,IF(SETUP!$G$28=3,$E$376*'HIV-Other HPs'!AY15,IF(SETUP!$G$28=2,$E$376*'HIV-Other HPs'!AZ15,IF(SETUP!$G$28=1,$E$376*'HIV-Other HPs'!BA15,0)))),0)</f>
        <v>0</v>
      </c>
      <c r="M378" s="1194">
        <f>IF(SETUP!$F$28="At delivery",IF(SETUP!$G$28=4,$E$376*'HIV-Other HPs'!AY15,IF(SETUP!$G$28=3,$E$376*'HIV-Other HPs'!AZ15,IF(SETUP!$G$28=2,$E$376*'HIV-Other HPs'!BA15,IF(SETUP!$G$28=1,$E$376*'HIV-Other HPs'!BB15,0)))),0)</f>
        <v>0</v>
      </c>
      <c r="N378" s="1194">
        <f>IF(SETUP!$F$28="At delivery",IF(SETUP!$G$28=4,$E$376*'HIV-Other HPs'!AZ15,IF(SETUP!$G$28=3,$E$376*'HIV-Other HPs'!BA15,IF(SETUP!$G$28=2,$E$376*'HIV-Other HPs'!BB15,IF(SETUP!$G$28=1,$E$376*'HIV-Other HPs'!BC15,0)))),0)</f>
        <v>0</v>
      </c>
      <c r="O378" s="1194">
        <f t="shared" si="53"/>
        <v>0</v>
      </c>
      <c r="P378" s="1328">
        <f>IF(SETUP!$F$28="At delivery",IF(SETUP!$G$28=4,$E$376*'HIV-Other HPs'!BA15,IF(SETUP!$G$28=3,$E$376*'HIV-Other HPs'!BB15,IF(SETUP!$G$28=2,$E$376*'HIV-Other HPs'!BC15,IF(SETUP!$G$28=1,$E$376*'HIV-Other HPs'!BD15,0)))),0)</f>
        <v>0</v>
      </c>
      <c r="Q378" s="1194">
        <f>IF(SETUP!$F$28="At delivery",IF(SETUP!$G$28=4,$E$376*'HIV-Other HPs'!BB15,IF(SETUP!$G$28=3,$E$376*'HIV-Other HPs'!BC15,IF(SETUP!$G$28=2,$E$376*'HIV-Other HPs'!BD15,IF(SETUP!$G$28=1,$E$376*'HIV-Other HPs'!BE15,0)))),0)</f>
        <v>0</v>
      </c>
      <c r="R378" s="1194">
        <f>IF(SETUP!$F$28="At delivery",IF(SETUP!$G$28=4,$E$376*'HIV-Other HPs'!BC15,IF(SETUP!$G$28=3,$E$376*'HIV-Other HPs'!BD15,IF(SETUP!$G$28=2,$E$376*'HIV-Other HPs'!BE15,IF(SETUP!$G$28=1,$E$376*'HIV-Other HPs'!BF15,0)))),0)</f>
        <v>0</v>
      </c>
      <c r="S378" s="1194">
        <f>IF(SETUP!$F$28="At delivery",IF(SETUP!$G$28=4,$E$376*('HIV-Other HPs'!BD15+'HIV-Other HPs'!BE15+'HIV-Other HPs'!BF15+'HIV-Other HPs'!BG15+'HIV-Other HPs'!BH15),IF(SETUP!$G$28=3,$E$376*('HIV-Other HPs'!BE15+'HIV-Other HPs'!BF15+'HIV-Other HPs'!BG15+'HIV-Other HPs'!BH15),IF(SETUP!$G$28=2,$E$376*('HIV-Other HPs'!BF15+'HIV-Other HPs'!BG15+'HIV-Other HPs'!BH15),IF(SETUP!$G$28=1,$E$376*('HIV-Other HPs'!BG15+'HIV-Other HPs'!BH15),0)))),0)</f>
        <v>0</v>
      </c>
      <c r="T378" s="1194">
        <f t="shared" si="54"/>
        <v>0</v>
      </c>
      <c r="U378" s="1328">
        <f t="shared" si="55"/>
        <v>0</v>
      </c>
      <c r="V378" s="1826">
        <v>7.3</v>
      </c>
      <c r="W378" s="1830"/>
      <c r="X378" s="849"/>
      <c r="Y378" s="768"/>
      <c r="Z378" s="768"/>
      <c r="AA378" s="768"/>
      <c r="AB378" s="768"/>
      <c r="AC378" s="768"/>
      <c r="AD378" s="768"/>
      <c r="AE378" s="768"/>
      <c r="AF378" s="868"/>
      <c r="AG378" s="768"/>
      <c r="AH378" s="768"/>
      <c r="AI378" s="768"/>
      <c r="AJ378" s="768"/>
      <c r="AK378" s="768"/>
      <c r="AL378" s="768"/>
      <c r="AM378" s="768"/>
      <c r="AN378" s="768"/>
      <c r="AO378" s="768"/>
      <c r="AP378" s="768"/>
      <c r="AQ378" s="768"/>
      <c r="AR378" s="768"/>
      <c r="AS378" s="768"/>
      <c r="AT378" s="768"/>
      <c r="AU378" s="768"/>
      <c r="AV378" s="768"/>
      <c r="AW378" s="768"/>
      <c r="AX378" s="768"/>
      <c r="AY378" s="768"/>
      <c r="AZ378" s="768"/>
      <c r="BA378" s="768"/>
      <c r="BB378" s="768"/>
      <c r="BC378" s="768"/>
      <c r="BD378" s="768"/>
      <c r="BE378" s="768"/>
      <c r="BF378" s="768"/>
      <c r="BG378" s="768"/>
      <c r="BH378" s="768"/>
      <c r="BI378" s="768"/>
      <c r="BJ378" s="768"/>
      <c r="BK378" s="768"/>
      <c r="BL378" s="768"/>
      <c r="BM378" s="768"/>
      <c r="BN378" s="768"/>
      <c r="BO378" s="768"/>
      <c r="BP378" s="768"/>
      <c r="BQ378" s="768"/>
      <c r="BR378" s="768"/>
    </row>
    <row r="379" spans="1:70" s="759" customFormat="1" ht="13" collapsed="1">
      <c r="A379" s="2899"/>
      <c r="B379" s="2900"/>
      <c r="C379" s="2907" t="s">
        <v>566</v>
      </c>
      <c r="D379" s="2911"/>
      <c r="E379" s="1651">
        <v>0</v>
      </c>
      <c r="F379" s="1328">
        <f>IF(SETUP!$F$29="Upfront",F380,F381)</f>
        <v>0</v>
      </c>
      <c r="G379" s="1194">
        <f>IF(SETUP!$F$29="Upfront",G380,G381)</f>
        <v>0</v>
      </c>
      <c r="H379" s="1194">
        <f>IF(SETUP!$F$29="Upfront",H380,H381)</f>
        <v>0</v>
      </c>
      <c r="I379" s="1194">
        <f>IF(SETUP!$F$29="Upfront",I380,I381)</f>
        <v>0</v>
      </c>
      <c r="J379" s="1194">
        <f t="shared" si="52"/>
        <v>0</v>
      </c>
      <c r="K379" s="1328">
        <f>IF(SETUP!$F$29="Upfront",K380,K381)</f>
        <v>0</v>
      </c>
      <c r="L379" s="1194">
        <f>IF(SETUP!$F$29="Upfront",L380,L381)</f>
        <v>0</v>
      </c>
      <c r="M379" s="1194">
        <f>IF(SETUP!$F$29="Upfront",M380,M381)</f>
        <v>0</v>
      </c>
      <c r="N379" s="1194">
        <f>IF(SETUP!$F$29="Upfront",N380,N381)</f>
        <v>0</v>
      </c>
      <c r="O379" s="1194">
        <f t="shared" si="53"/>
        <v>0</v>
      </c>
      <c r="P379" s="1328">
        <f>IF(SETUP!$F$29="Upfront",P380,P381)</f>
        <v>0</v>
      </c>
      <c r="Q379" s="1194">
        <f>IF(SETUP!$F$29="Upfront",Q380,Q381)</f>
        <v>0</v>
      </c>
      <c r="R379" s="1194">
        <f>IF(SETUP!$F$29="Upfront",R380,R381)</f>
        <v>0</v>
      </c>
      <c r="S379" s="1194">
        <f>IF(SETUP!$F$29="Upfront",S380,S381)</f>
        <v>0</v>
      </c>
      <c r="T379" s="1194">
        <f t="shared" si="54"/>
        <v>0</v>
      </c>
      <c r="U379" s="1328">
        <f t="shared" si="55"/>
        <v>0</v>
      </c>
      <c r="V379" s="1826">
        <v>7.3</v>
      </c>
      <c r="W379" s="1830"/>
      <c r="X379" s="849"/>
      <c r="Y379" s="768"/>
      <c r="Z379" s="768"/>
      <c r="AA379" s="768"/>
      <c r="AB379" s="768"/>
      <c r="AC379" s="768"/>
      <c r="AD379" s="768"/>
      <c r="AE379" s="768"/>
      <c r="AF379" s="868"/>
      <c r="AG379" s="768"/>
      <c r="AH379" s="768"/>
      <c r="AI379" s="768"/>
      <c r="AJ379" s="768"/>
      <c r="AK379" s="768"/>
      <c r="AL379" s="768"/>
      <c r="AM379" s="768"/>
      <c r="AN379" s="768"/>
      <c r="AO379" s="768"/>
      <c r="AP379" s="768"/>
      <c r="AQ379" s="768"/>
      <c r="AR379" s="768"/>
      <c r="AS379" s="768"/>
      <c r="AT379" s="768"/>
      <c r="AU379" s="768"/>
      <c r="AV379" s="768"/>
      <c r="AW379" s="768"/>
      <c r="AX379" s="768"/>
      <c r="AY379" s="768"/>
      <c r="AZ379" s="768"/>
      <c r="BA379" s="768"/>
      <c r="BB379" s="768"/>
      <c r="BC379" s="768"/>
      <c r="BD379" s="768"/>
      <c r="BE379" s="768"/>
      <c r="BF379" s="768"/>
      <c r="BG379" s="768"/>
      <c r="BH379" s="768"/>
      <c r="BI379" s="768"/>
      <c r="BJ379" s="768"/>
      <c r="BK379" s="768"/>
      <c r="BL379" s="768"/>
      <c r="BM379" s="768"/>
      <c r="BN379" s="768"/>
      <c r="BO379" s="768"/>
      <c r="BP379" s="768"/>
      <c r="BQ379" s="768"/>
      <c r="BR379" s="768"/>
    </row>
    <row r="380" spans="1:70" s="759" customFormat="1" ht="16.149999999999999" hidden="1" customHeight="1" outlineLevel="1">
      <c r="A380" s="2899"/>
      <c r="B380" s="2900"/>
      <c r="C380" s="2889" t="s">
        <v>918</v>
      </c>
      <c r="D380" s="2912"/>
      <c r="E380" s="1649"/>
      <c r="F380" s="1328">
        <f>IF(SETUP!$F$29="Upfront",$E$379*'HIV-Other HPs'!AW16,0)</f>
        <v>0</v>
      </c>
      <c r="G380" s="1194">
        <f>IF(SETUP!$F$29="Upfront",$E$379*'HIV-Other HPs'!AX16,0)</f>
        <v>0</v>
      </c>
      <c r="H380" s="1194">
        <f>IF(SETUP!$F$29="Upfront",$E$379*'HIV-Other HPs'!AY16,0)</f>
        <v>0</v>
      </c>
      <c r="I380" s="1194">
        <f>IF(SETUP!$F$29="Upfront",$E$379*'HIV-Other HPs'!AZ16,0)</f>
        <v>0</v>
      </c>
      <c r="J380" s="1194">
        <f t="shared" si="52"/>
        <v>0</v>
      </c>
      <c r="K380" s="1328">
        <f>IF(SETUP!$F$29="Upfront",$E$379*'HIV-Other HPs'!BA16,0)</f>
        <v>0</v>
      </c>
      <c r="L380" s="1194">
        <f>IF(SETUP!$F$29="Upfront",$E$379*'HIV-Other HPs'!BB16,0)</f>
        <v>0</v>
      </c>
      <c r="M380" s="1194">
        <f>IF(SETUP!$F$29="Upfront",$E$379*'HIV-Other HPs'!BC16,0)</f>
        <v>0</v>
      </c>
      <c r="N380" s="1194">
        <f>IF(SETUP!$F$29="Upfront",$E$379*'HIV-Other HPs'!BD16,0)</f>
        <v>0</v>
      </c>
      <c r="O380" s="1194">
        <f t="shared" si="53"/>
        <v>0</v>
      </c>
      <c r="P380" s="1328">
        <f>IF(SETUP!$F$29="Upfront",$E$379*'HIV-Other HPs'!BE16,0)</f>
        <v>0</v>
      </c>
      <c r="Q380" s="1194">
        <f>IF(SETUP!$F$29="Upfront",$E$379*'HIV-Other HPs'!BF16,0)</f>
        <v>0</v>
      </c>
      <c r="R380" s="1194">
        <f>IF(SETUP!$F$29="Upfront",$E$379*'HIV-Other HPs'!BG16,0)</f>
        <v>0</v>
      </c>
      <c r="S380" s="1194">
        <f>IF(SETUP!$F$29="Upfront",$E$379*'HIV-Other HPs'!BH16,0)</f>
        <v>0</v>
      </c>
      <c r="T380" s="1194">
        <f t="shared" si="54"/>
        <v>0</v>
      </c>
      <c r="U380" s="1328">
        <f t="shared" si="55"/>
        <v>0</v>
      </c>
      <c r="V380" s="1826">
        <v>7.3</v>
      </c>
      <c r="W380" s="1830"/>
      <c r="X380" s="849"/>
      <c r="Y380" s="768"/>
      <c r="Z380" s="768"/>
      <c r="AA380" s="768"/>
      <c r="AB380" s="768"/>
      <c r="AC380" s="768"/>
      <c r="AD380" s="768"/>
      <c r="AE380" s="768"/>
      <c r="AF380" s="868"/>
      <c r="AG380" s="768"/>
      <c r="AH380" s="768"/>
      <c r="AI380" s="768"/>
      <c r="AJ380" s="768"/>
      <c r="AK380" s="768"/>
      <c r="AL380" s="768"/>
      <c r="AM380" s="768"/>
      <c r="AN380" s="768"/>
      <c r="AO380" s="768"/>
      <c r="AP380" s="768"/>
      <c r="AQ380" s="768"/>
      <c r="AR380" s="768"/>
      <c r="AS380" s="768"/>
      <c r="AT380" s="768"/>
      <c r="AU380" s="768"/>
      <c r="AV380" s="768"/>
      <c r="AW380" s="768"/>
      <c r="AX380" s="768"/>
      <c r="AY380" s="768"/>
      <c r="AZ380" s="768"/>
      <c r="BA380" s="768"/>
      <c r="BB380" s="768"/>
      <c r="BC380" s="768"/>
      <c r="BD380" s="768"/>
      <c r="BE380" s="768"/>
      <c r="BF380" s="768"/>
      <c r="BG380" s="768"/>
      <c r="BH380" s="768"/>
      <c r="BI380" s="768"/>
      <c r="BJ380" s="768"/>
      <c r="BK380" s="768"/>
      <c r="BL380" s="768"/>
      <c r="BM380" s="768"/>
      <c r="BN380" s="768"/>
      <c r="BO380" s="768"/>
      <c r="BP380" s="768"/>
      <c r="BQ380" s="768"/>
      <c r="BR380" s="768"/>
    </row>
    <row r="381" spans="1:70" s="759" customFormat="1" ht="16.149999999999999" hidden="1" customHeight="1" outlineLevel="1">
      <c r="A381" s="2899"/>
      <c r="B381" s="2900"/>
      <c r="C381" s="2889" t="s">
        <v>36</v>
      </c>
      <c r="D381" s="2912"/>
      <c r="E381" s="1653"/>
      <c r="F381" s="1328">
        <v>0</v>
      </c>
      <c r="G381" s="1194">
        <f>IF(SETUP!$F$29="At delivery",IF(SETUP!$G$29=1,$E$379*'HIV-Other HPs'!AW16,0),0)</f>
        <v>0</v>
      </c>
      <c r="H381" s="1194">
        <f>IF(SETUP!$F$29="At delivery",IF(SETUP!$G$29=2,$E$379*'HIV-Other HPs'!AW16,IF(SETUP!$G$29=1,$E$379*'HIV-Other HPs'!AX16,0)),0)</f>
        <v>0</v>
      </c>
      <c r="I381" s="1194">
        <f>IF(SETUP!$F$29="At delivery",IF(SETUP!$G$29=3,$E$379*'HIV-Other HPs'!AW16,IF(SETUP!$G$29=2,$E$379*'HIV-Other HPs'!AX16,IF(SETUP!$G$29=1,$E$379*'HIV-Other HPs'!AY16,0))),0)</f>
        <v>0</v>
      </c>
      <c r="J381" s="1194">
        <f t="shared" si="52"/>
        <v>0</v>
      </c>
      <c r="K381" s="1328">
        <f>IF(SETUP!$F$29="At delivery",IF(SETUP!$G$29=4,$E$379*'HIV-Other HPs'!AW16,IF(SETUP!$G$29=3,$E$379*'HIV-Other HPs'!AX16,IF(SETUP!$G$29=2,$E$379*'HIV-Other HPs'!AY16,IF(SETUP!$G$29=1,$E$379*'HIV-Other HPs'!AZ16,0)))),0)</f>
        <v>0</v>
      </c>
      <c r="L381" s="1194">
        <f>IF(SETUP!$F$29="At delivery",IF(SETUP!$G$29=4,$E$379*'HIV-Other HPs'!AX16,IF(SETUP!$G$29=3,$E$379*'HIV-Other HPs'!AY16,IF(SETUP!$G$29=2,$E$379*'HIV-Other HPs'!AZ16,IF(SETUP!$G$29=1,$E$379*'HIV-Other HPs'!BA16,0)))),0)</f>
        <v>0</v>
      </c>
      <c r="M381" s="1194">
        <f>IF(SETUP!$F$29="At delivery",IF(SETUP!$G$29=4,$E$379*'HIV-Other HPs'!AY16,IF(SETUP!$G$29=3,$E$379*'HIV-Other HPs'!AZ16,IF(SETUP!$G$29=2,$E$379*'HIV-Other HPs'!BA16,IF(SETUP!$G$29=1,$E$379*'HIV-Other HPs'!BB16,0)))),0)</f>
        <v>0</v>
      </c>
      <c r="N381" s="1194">
        <f>IF(SETUP!$F$29="At delivery",IF(SETUP!$G$29=4,$E$379*'HIV-Other HPs'!AZ16,IF(SETUP!$G$29=3,$E$379*'HIV-Other HPs'!BA16,IF(SETUP!$G$29=2,$E$379*'HIV-Other HPs'!BB16,IF(SETUP!$G$29=1,$E$379*'HIV-Other HPs'!BC16,0)))),0)</f>
        <v>0</v>
      </c>
      <c r="O381" s="1194">
        <f t="shared" si="53"/>
        <v>0</v>
      </c>
      <c r="P381" s="1328">
        <f>IF(SETUP!$F$29="At delivery",IF(SETUP!$G$29=4,$E$379*'HIV-Other HPs'!BA16,IF(SETUP!$G$29=3,$E$379*'HIV-Other HPs'!BB16,IF(SETUP!$G$29=2,$E$379*'HIV-Other HPs'!BC16,IF(SETUP!$G$29=1,$E$379*'HIV-Other HPs'!BD16,0)))),0)</f>
        <v>0</v>
      </c>
      <c r="Q381" s="1194">
        <f>IF(SETUP!$F$29="At delivery",IF(SETUP!$G$29=4,$E$379*'HIV-Other HPs'!BB16,IF(SETUP!$G$29=3,$E$379*'HIV-Other HPs'!BC16,IF(SETUP!$G$29=2,$E$379*'HIV-Other HPs'!BD16,IF(SETUP!$G$29=1,$E$379*'HIV-Other HPs'!BE16,0)))),0)</f>
        <v>0</v>
      </c>
      <c r="R381" s="1194">
        <f>IF(SETUP!$F$29="At delivery",IF(SETUP!$G$29=4,$E$379*'HIV-Other HPs'!BC16,IF(SETUP!$G$29=3,$E$379*'HIV-Other HPs'!BD16,IF(SETUP!$G$29=2,$E$379*'HIV-Other HPs'!BE16,IF(SETUP!$G$29=1,$E$379*'HIV-Other HPs'!BF16,0)))),0)</f>
        <v>0</v>
      </c>
      <c r="S381" s="1194">
        <f>IF(SETUP!$F$29="At delivery",IF(SETUP!$G$29=4,$E$379*('HIV-Other HPs'!BD16+'HIV-Other HPs'!BE16+'HIV-Other HPs'!BF16+'HIV-Other HPs'!BG16+'HIV-Other HPs'!BH16),IF(SETUP!$G$29=3,$E$379*('HIV-Other HPs'!BE16+'HIV-Other HPs'!BF16+'HIV-Other HPs'!BG16+'HIV-Other HPs'!BH16),IF(SETUP!$G$29=2,$E$379*('HIV-Other HPs'!BF16+'HIV-Other HPs'!BG16+'HIV-Other HPs'!BH16),IF(SETUP!$G$29=1,$E$379*('HIV-Other HPs'!BG16+'HIV-Other HPs'!BH16),0)))),0)</f>
        <v>0</v>
      </c>
      <c r="T381" s="1194">
        <f t="shared" si="54"/>
        <v>0</v>
      </c>
      <c r="U381" s="1328">
        <f t="shared" si="55"/>
        <v>0</v>
      </c>
      <c r="V381" s="1826">
        <v>7.3</v>
      </c>
      <c r="W381" s="1830"/>
      <c r="X381" s="849"/>
      <c r="Y381" s="768"/>
      <c r="Z381" s="768"/>
      <c r="AA381" s="768"/>
      <c r="AB381" s="768"/>
      <c r="AC381" s="768"/>
      <c r="AD381" s="768"/>
      <c r="AE381" s="768"/>
      <c r="AF381" s="868"/>
      <c r="AG381" s="768"/>
      <c r="AH381" s="768"/>
      <c r="AI381" s="768"/>
      <c r="AJ381" s="768"/>
      <c r="AK381" s="768"/>
      <c r="AL381" s="768"/>
      <c r="AM381" s="768"/>
      <c r="AN381" s="768"/>
      <c r="AO381" s="768"/>
      <c r="AP381" s="768"/>
      <c r="AQ381" s="768"/>
      <c r="AR381" s="768"/>
      <c r="AS381" s="768"/>
      <c r="AT381" s="768"/>
      <c r="AU381" s="768"/>
      <c r="AV381" s="768"/>
      <c r="AW381" s="768"/>
      <c r="AX381" s="768"/>
      <c r="AY381" s="768"/>
      <c r="AZ381" s="768"/>
      <c r="BA381" s="768"/>
      <c r="BB381" s="768"/>
      <c r="BC381" s="768"/>
      <c r="BD381" s="768"/>
      <c r="BE381" s="768"/>
      <c r="BF381" s="768"/>
      <c r="BG381" s="768"/>
      <c r="BH381" s="768"/>
      <c r="BI381" s="768"/>
      <c r="BJ381" s="768"/>
      <c r="BK381" s="768"/>
      <c r="BL381" s="768"/>
      <c r="BM381" s="768"/>
      <c r="BN381" s="768"/>
      <c r="BO381" s="768"/>
      <c r="BP381" s="768"/>
      <c r="BQ381" s="768"/>
      <c r="BR381" s="768"/>
    </row>
    <row r="382" spans="1:70" s="759" customFormat="1" ht="13" collapsed="1">
      <c r="A382" s="2899"/>
      <c r="B382" s="2900"/>
      <c r="C382" s="2907" t="s">
        <v>1863</v>
      </c>
      <c r="D382" s="2911"/>
      <c r="E382" s="1651">
        <v>0</v>
      </c>
      <c r="F382" s="1328">
        <f>IF(SETUP!$F$30="Upfront",F383,F384)</f>
        <v>0</v>
      </c>
      <c r="G382" s="1194">
        <f>IF(SETUP!$F$30="Upfront",G383,G384)</f>
        <v>0</v>
      </c>
      <c r="H382" s="1194">
        <f>IF(SETUP!$F$30="Upfront",H383,H384)</f>
        <v>0</v>
      </c>
      <c r="I382" s="1194">
        <f>IF(SETUP!$F$30="Upfront",I383,I384)</f>
        <v>0</v>
      </c>
      <c r="J382" s="1194">
        <f t="shared" si="52"/>
        <v>0</v>
      </c>
      <c r="K382" s="1328">
        <f>IF(SETUP!$F$30="Upfront",K383,K384)</f>
        <v>0</v>
      </c>
      <c r="L382" s="1194">
        <f>IF(SETUP!$F$30="Upfront",L383,L384)</f>
        <v>0</v>
      </c>
      <c r="M382" s="1194">
        <f>IF(SETUP!$F$30="Upfront",M383,M384)</f>
        <v>0</v>
      </c>
      <c r="N382" s="1194">
        <f>IF(SETUP!$F$30="Upfront",N383,N384)</f>
        <v>0</v>
      </c>
      <c r="O382" s="1194">
        <f t="shared" si="53"/>
        <v>0</v>
      </c>
      <c r="P382" s="1328">
        <f>IF(SETUP!$F$30="Upfront",P383,P384)</f>
        <v>0</v>
      </c>
      <c r="Q382" s="1194">
        <f>IF(SETUP!$F$30="Upfront",Q383,Q384)</f>
        <v>0</v>
      </c>
      <c r="R382" s="1194">
        <f>IF(SETUP!$F$30="Upfront",R383,R384)</f>
        <v>0</v>
      </c>
      <c r="S382" s="1194">
        <f>IF(SETUP!$F$30="Upfront",S383,S384)</f>
        <v>0</v>
      </c>
      <c r="T382" s="1194"/>
      <c r="U382" s="1328"/>
      <c r="V382" s="1826">
        <v>7.3</v>
      </c>
      <c r="W382" s="1830"/>
      <c r="X382" s="849"/>
      <c r="Y382" s="768"/>
      <c r="Z382" s="768"/>
      <c r="AA382" s="768"/>
      <c r="AB382" s="768"/>
      <c r="AC382" s="768"/>
      <c r="AD382" s="768"/>
      <c r="AE382" s="768"/>
      <c r="AF382" s="868"/>
      <c r="AG382" s="768"/>
      <c r="AH382" s="768"/>
      <c r="AI382" s="768"/>
      <c r="AJ382" s="768"/>
      <c r="AK382" s="768"/>
      <c r="AL382" s="768"/>
      <c r="AM382" s="768"/>
      <c r="AN382" s="768"/>
      <c r="AO382" s="768"/>
      <c r="AP382" s="768"/>
      <c r="AQ382" s="768"/>
      <c r="AR382" s="768"/>
      <c r="AS382" s="768"/>
      <c r="AT382" s="768"/>
      <c r="AU382" s="768"/>
      <c r="AV382" s="768"/>
      <c r="AW382" s="768"/>
      <c r="AX382" s="768"/>
      <c r="AY382" s="768"/>
      <c r="AZ382" s="768"/>
      <c r="BA382" s="768"/>
      <c r="BB382" s="768"/>
      <c r="BC382" s="768"/>
      <c r="BD382" s="768"/>
      <c r="BE382" s="768"/>
      <c r="BF382" s="768"/>
      <c r="BG382" s="768"/>
      <c r="BH382" s="768"/>
      <c r="BI382" s="768"/>
      <c r="BJ382" s="768"/>
      <c r="BK382" s="768"/>
      <c r="BL382" s="768"/>
      <c r="BM382" s="768"/>
      <c r="BN382" s="768"/>
      <c r="BO382" s="768"/>
      <c r="BP382" s="768"/>
      <c r="BQ382" s="768"/>
      <c r="BR382" s="768"/>
    </row>
    <row r="383" spans="1:70" s="759" customFormat="1" ht="16.149999999999999" hidden="1" customHeight="1" outlineLevel="1">
      <c r="A383" s="2899"/>
      <c r="B383" s="2900"/>
      <c r="C383" s="2889" t="s">
        <v>918</v>
      </c>
      <c r="D383" s="2912"/>
      <c r="E383" s="1649"/>
      <c r="F383" s="1328">
        <f>IF(SETUP!$F$30="Upfront",$E$382*'HIV-Other HPs'!AW17,0)</f>
        <v>0</v>
      </c>
      <c r="G383" s="1194">
        <f>IF(SETUP!$F$30="Upfront",$E$382*'HIV-Other HPs'!AX17,0)</f>
        <v>0</v>
      </c>
      <c r="H383" s="1194">
        <f>IF(SETUP!$F$30="Upfront",$E$382*'HIV-Other HPs'!AY17,0)</f>
        <v>0</v>
      </c>
      <c r="I383" s="1194">
        <f>IF(SETUP!$F$30="Upfront",$E$382*'HIV-Other HPs'!AZ17,0)</f>
        <v>0</v>
      </c>
      <c r="J383" s="1194"/>
      <c r="K383" s="1328">
        <f>IF(SETUP!$F$30="Upfront",$E$382*'HIV-Other HPs'!BA17,0)</f>
        <v>0</v>
      </c>
      <c r="L383" s="1194">
        <f>IF(SETUP!$F$30="Upfront",$E$382*'HIV-Other HPs'!BB17,0)</f>
        <v>0</v>
      </c>
      <c r="M383" s="1194">
        <f>IF(SETUP!$F$30="Upfront",$E$382*'HIV-Other HPs'!BC17,0)</f>
        <v>0</v>
      </c>
      <c r="N383" s="1194">
        <f>IF(SETUP!$F$30="Upfront",$E$382*'HIV-Other HPs'!BD17,0)</f>
        <v>0</v>
      </c>
      <c r="O383" s="1194"/>
      <c r="P383" s="1328">
        <f>IF(SETUP!$F$30="Upfront",$E$382*'HIV-Other HPs'!BE17,0)</f>
        <v>0</v>
      </c>
      <c r="Q383" s="1194">
        <f>IF(SETUP!$F$30="Upfront",$E$382*'HIV-Other HPs'!BF17,0)</f>
        <v>0</v>
      </c>
      <c r="R383" s="1194">
        <f>IF(SETUP!$F$30="Upfront",$E$382*'HIV-Other HPs'!BG17,0)</f>
        <v>0</v>
      </c>
      <c r="S383" s="1194">
        <f>IF(SETUP!$F$30="Upfront",$E$382*'HIV-Other HPs'!BH17,0)</f>
        <v>0</v>
      </c>
      <c r="T383" s="1194"/>
      <c r="U383" s="1328"/>
      <c r="V383" s="1826">
        <v>7.3</v>
      </c>
      <c r="W383" s="1830"/>
      <c r="X383" s="849"/>
      <c r="Y383" s="768"/>
      <c r="Z383" s="768"/>
      <c r="AA383" s="768"/>
      <c r="AB383" s="768"/>
      <c r="AC383" s="768"/>
      <c r="AD383" s="768"/>
      <c r="AE383" s="768"/>
      <c r="AF383" s="868"/>
      <c r="AG383" s="768"/>
      <c r="AH383" s="768"/>
      <c r="AI383" s="768"/>
      <c r="AJ383" s="768"/>
      <c r="AK383" s="768"/>
      <c r="AL383" s="768"/>
      <c r="AM383" s="768"/>
      <c r="AN383" s="768"/>
      <c r="AO383" s="768"/>
      <c r="AP383" s="768"/>
      <c r="AQ383" s="768"/>
      <c r="AR383" s="768"/>
      <c r="AS383" s="768"/>
      <c r="AT383" s="768"/>
      <c r="AU383" s="768"/>
      <c r="AV383" s="768"/>
      <c r="AW383" s="768"/>
      <c r="AX383" s="768"/>
      <c r="AY383" s="768"/>
      <c r="AZ383" s="768"/>
      <c r="BA383" s="768"/>
      <c r="BB383" s="768"/>
      <c r="BC383" s="768"/>
      <c r="BD383" s="768"/>
      <c r="BE383" s="768"/>
      <c r="BF383" s="768"/>
      <c r="BG383" s="768"/>
      <c r="BH383" s="768"/>
      <c r="BI383" s="768"/>
      <c r="BJ383" s="768"/>
      <c r="BK383" s="768"/>
      <c r="BL383" s="768"/>
      <c r="BM383" s="768"/>
      <c r="BN383" s="768"/>
      <c r="BO383" s="768"/>
      <c r="BP383" s="768"/>
      <c r="BQ383" s="768"/>
      <c r="BR383" s="768"/>
    </row>
    <row r="384" spans="1:70" s="759" customFormat="1" ht="16.149999999999999" hidden="1" customHeight="1" outlineLevel="1">
      <c r="A384" s="2899"/>
      <c r="B384" s="2900"/>
      <c r="C384" s="2889" t="s">
        <v>36</v>
      </c>
      <c r="D384" s="2912"/>
      <c r="E384" s="1649"/>
      <c r="F384" s="1328">
        <v>0</v>
      </c>
      <c r="G384" s="1194">
        <f>IF(SETUP!$F$30="At delivery",IF(SETUP!$G$30=1,$E$382*'HIV-Other HPs'!AW17,0),0)</f>
        <v>0</v>
      </c>
      <c r="H384" s="1194">
        <f>IF(SETUP!$F$30="At delivery",IF(SETUP!$G$30=2,$E$382*'HIV-Other HPs'!AW17,IF(SETUP!$G$30=1,$E$382*'HIV-Other HPs'!AX17,0)),0)</f>
        <v>0</v>
      </c>
      <c r="I384" s="1194">
        <f>IF(SETUP!$F$30="At delivery",IF(SETUP!$G$30=3,$E$382*'HIV-Other HPs'!AW17,IF(SETUP!$G$30=2,$E$382*'HIV-Other HPs'!AX17,IF(SETUP!$G$30=1,$E$382*'HIV-Other HPs'!AY17,0))),0)</f>
        <v>0</v>
      </c>
      <c r="J384" s="1194"/>
      <c r="K384" s="1328">
        <f>IF(SETUP!$F$30="At delivery",IF(SETUP!$G$30=4,$E$382*'HIV-Other HPs'!AW17,IF(SETUP!$G$30=3,$E$382*'HIV-Other HPs'!AX17,IF(SETUP!$G$30=2,$E$382*'HIV-Other HPs'!AY17,IF(SETUP!$G$30=1,$E$382*'HIV-Other HPs'!AZ17,0)))),0)</f>
        <v>0</v>
      </c>
      <c r="L384" s="1194">
        <f>IF(SETUP!$F$30="At delivery",IF(SETUP!$G$30=4,$E$382*'HIV-Other HPs'!AX17,IF(SETUP!$G$30=3,$E$382*'HIV-Other HPs'!AY17,IF(SETUP!$G$30=2,$E$382*'HIV-Other HPs'!AZ17,IF(SETUP!$G$30=1,$E$382*'HIV-Other HPs'!BA17,0)))),0)</f>
        <v>0</v>
      </c>
      <c r="M384" s="1194">
        <f>IF(SETUP!$F$30="At delivery",IF(SETUP!$G$30=4,$E$382*'HIV-Other HPs'!AY17,IF(SETUP!$G$30=3,$E$382*'HIV-Other HPs'!AZ17,IF(SETUP!$G$30=2,$E$382*'HIV-Other HPs'!BA17,IF(SETUP!$G$30=1,$E$382*'HIV-Other HPs'!BB17,0)))),0)</f>
        <v>0</v>
      </c>
      <c r="N384" s="1194">
        <f>IF(SETUP!$F$30="At delivery",IF(SETUP!$G$30=4,$E$382*'HIV-Other HPs'!AZ17,IF(SETUP!$G$30=3,$E$382*'HIV-Other HPs'!BA17,IF(SETUP!$G$30=2,$E$382*'HIV-Other HPs'!BB17,IF(SETUP!$G$30=1,$E$382*'HIV-Other HPs'!BC17,0)))),0)</f>
        <v>0</v>
      </c>
      <c r="O384" s="1194"/>
      <c r="P384" s="1328">
        <f>IF(SETUP!$F$30="At delivery",IF(SETUP!$G$30=4,$E$382*'HIV-Other HPs'!BA17,IF(SETUP!$G$30=3,$E$382*'HIV-Other HPs'!BB17,IF(SETUP!$G$30=2,$E$382*'HIV-Other HPs'!BC17,IF(SETUP!$G$30=1,$E$382*'HIV-Other HPs'!BD17,0)))),0)</f>
        <v>0</v>
      </c>
      <c r="Q384" s="1194">
        <f>IF(SETUP!$F$30="At delivery",IF(SETUP!$G$30=4,$E$382*'HIV-Other HPs'!BB17,IF(SETUP!$G$30=3,$E$382*'HIV-Other HPs'!BC17,IF(SETUP!$G$30=2,$E$382*'HIV-Other HPs'!BD17,IF(SETUP!$G$30=1,$E$382*'HIV-Other HPs'!BE17,0)))),0)</f>
        <v>0</v>
      </c>
      <c r="R384" s="1194">
        <f>IF(SETUP!$F$30="At delivery",IF(SETUP!$G$30=4,$E$382*'HIV-Other HPs'!BC17,IF(SETUP!$G$30=3,$E$382*'HIV-Other HPs'!BD17,IF(SETUP!$G$30=2,$E$382*'HIV-Other HPs'!BE17,IF(SETUP!$G$30=1,$E$382*'HIV-Other HPs'!BF17,0)))),0)</f>
        <v>0</v>
      </c>
      <c r="S384" s="1194">
        <f>IF(SETUP!$F$30="At delivery",IF(SETUP!$G$30=4,$E$382*('HIV-Other HPs'!BD17+'HIV-Other HPs'!BE17+'HIV-Other HPs'!BF17+'HIV-Other HPs'!BG17+'HIV-Other HPs'!BH17),IF(SETUP!$G$30=3,$E$382*('HIV-Other HPs'!BE17+'HIV-Other HPs'!BF17+'HIV-Other HPs'!BG17+'HIV-Other HPs'!BH17),IF(SETUP!$G$30=2,$E$382*('HIV-Other HPs'!BF17+'HIV-Other HPs'!BG17+'HIV-Other HPs'!BH17),IF(SETUP!$G$30=1,$E$382*('HIV-Other HPs'!BG17+'HIV-Other HPs'!BH17),0)))),0)</f>
        <v>0</v>
      </c>
      <c r="T384" s="1194"/>
      <c r="U384" s="1328"/>
      <c r="V384" s="1826">
        <v>7.3</v>
      </c>
      <c r="W384" s="1830"/>
      <c r="X384" s="849"/>
      <c r="Y384" s="768"/>
      <c r="Z384" s="768"/>
      <c r="AA384" s="768"/>
      <c r="AB384" s="768"/>
      <c r="AC384" s="768"/>
      <c r="AD384" s="768"/>
      <c r="AE384" s="768"/>
      <c r="AF384" s="868"/>
      <c r="AG384" s="768"/>
      <c r="AH384" s="768"/>
      <c r="AI384" s="768"/>
      <c r="AJ384" s="768"/>
      <c r="AK384" s="768"/>
      <c r="AL384" s="768"/>
      <c r="AM384" s="768"/>
      <c r="AN384" s="768"/>
      <c r="AO384" s="768"/>
      <c r="AP384" s="768"/>
      <c r="AQ384" s="768"/>
      <c r="AR384" s="768"/>
      <c r="AS384" s="768"/>
      <c r="AT384" s="768"/>
      <c r="AU384" s="768"/>
      <c r="AV384" s="768"/>
      <c r="AW384" s="768"/>
      <c r="AX384" s="768"/>
      <c r="AY384" s="768"/>
      <c r="AZ384" s="768"/>
      <c r="BA384" s="768"/>
      <c r="BB384" s="768"/>
      <c r="BC384" s="768"/>
      <c r="BD384" s="768"/>
      <c r="BE384" s="768"/>
      <c r="BF384" s="768"/>
      <c r="BG384" s="768"/>
      <c r="BH384" s="768"/>
      <c r="BI384" s="768"/>
      <c r="BJ384" s="768"/>
      <c r="BK384" s="768"/>
      <c r="BL384" s="768"/>
      <c r="BM384" s="768"/>
      <c r="BN384" s="768"/>
      <c r="BO384" s="768"/>
      <c r="BP384" s="768"/>
      <c r="BQ384" s="768"/>
      <c r="BR384" s="768"/>
    </row>
    <row r="385" spans="1:70" s="759" customFormat="1" ht="13" collapsed="1">
      <c r="A385" s="2899"/>
      <c r="B385" s="2900"/>
      <c r="C385" s="2907" t="s">
        <v>1794</v>
      </c>
      <c r="D385" s="2911"/>
      <c r="E385" s="1651">
        <v>0</v>
      </c>
      <c r="F385" s="1328">
        <f>IF(SETUP!$F$31="Upfront",F386,F387)</f>
        <v>0</v>
      </c>
      <c r="G385" s="1194">
        <f>IF(SETUP!$F$31="Upfront",G386,G387)</f>
        <v>0</v>
      </c>
      <c r="H385" s="1194">
        <f>IF(SETUP!$F$31="Upfront",H386,H387)</f>
        <v>0</v>
      </c>
      <c r="I385" s="1194">
        <f>IF(SETUP!$F$31="Upfront",I386,I387)</f>
        <v>0</v>
      </c>
      <c r="J385" s="1194">
        <f t="shared" ref="J385:J416" si="56">F385+G385+H385+I385</f>
        <v>0</v>
      </c>
      <c r="K385" s="1328">
        <f>IF(SETUP!$F$31="Upfront",K386,K387)</f>
        <v>0</v>
      </c>
      <c r="L385" s="1194">
        <f>IF(SETUP!$F$31="Upfront",L386,L387)</f>
        <v>0</v>
      </c>
      <c r="M385" s="1194">
        <f>IF(SETUP!$F$31="Upfront",M386,M387)</f>
        <v>0</v>
      </c>
      <c r="N385" s="1194">
        <f>IF(SETUP!$F$31="Upfront",N386,N387)</f>
        <v>0</v>
      </c>
      <c r="O385" s="1194">
        <f t="shared" ref="O385:O416" si="57">K385+L385+M385+N385</f>
        <v>0</v>
      </c>
      <c r="P385" s="1328">
        <f>IF(SETUP!$F$31="Upfront",P386,P387)</f>
        <v>0</v>
      </c>
      <c r="Q385" s="1194">
        <f>IF(SETUP!$F$31="Upfront",Q386,Q387)</f>
        <v>0</v>
      </c>
      <c r="R385" s="1194">
        <f>IF(SETUP!$F$31="Upfront",R386,R387)</f>
        <v>0</v>
      </c>
      <c r="S385" s="1194">
        <f>IF(SETUP!$F$31="Upfront",S386,S387)</f>
        <v>0</v>
      </c>
      <c r="T385" s="1194">
        <f t="shared" ref="T385:T416" si="58">P385+Q385+R385+S385</f>
        <v>0</v>
      </c>
      <c r="U385" s="1328">
        <f t="shared" ref="U385:U416" si="59">J385+O385+T385</f>
        <v>0</v>
      </c>
      <c r="V385" s="1826">
        <v>7.3</v>
      </c>
      <c r="W385" s="1830"/>
      <c r="X385" s="849"/>
      <c r="Y385" s="768"/>
      <c r="Z385" s="768"/>
      <c r="AA385" s="768"/>
      <c r="AB385" s="768"/>
      <c r="AC385" s="768"/>
      <c r="AD385" s="768"/>
      <c r="AE385" s="768"/>
      <c r="AF385" s="868"/>
      <c r="AG385" s="768"/>
      <c r="AH385" s="768"/>
      <c r="AI385" s="768"/>
      <c r="AJ385" s="768"/>
      <c r="AK385" s="768"/>
      <c r="AL385" s="768"/>
      <c r="AM385" s="768"/>
      <c r="AN385" s="768"/>
      <c r="AO385" s="768"/>
      <c r="AP385" s="768"/>
      <c r="AQ385" s="768"/>
      <c r="AR385" s="768"/>
      <c r="AS385" s="768"/>
      <c r="AT385" s="768"/>
      <c r="AU385" s="768"/>
      <c r="AV385" s="768"/>
      <c r="AW385" s="768"/>
      <c r="AX385" s="768"/>
      <c r="AY385" s="768"/>
      <c r="AZ385" s="768"/>
      <c r="BA385" s="768"/>
      <c r="BB385" s="768"/>
      <c r="BC385" s="768"/>
      <c r="BD385" s="768"/>
      <c r="BE385" s="768"/>
      <c r="BF385" s="768"/>
      <c r="BG385" s="768"/>
      <c r="BH385" s="768"/>
      <c r="BI385" s="768"/>
      <c r="BJ385" s="768"/>
      <c r="BK385" s="768"/>
      <c r="BL385" s="768"/>
      <c r="BM385" s="768"/>
      <c r="BN385" s="768"/>
      <c r="BO385" s="768"/>
      <c r="BP385" s="768"/>
      <c r="BQ385" s="768"/>
      <c r="BR385" s="768"/>
    </row>
    <row r="386" spans="1:70" s="759" customFormat="1" ht="16.149999999999999" hidden="1" customHeight="1" outlineLevel="1">
      <c r="A386" s="2899"/>
      <c r="B386" s="2900"/>
      <c r="C386" s="2889" t="s">
        <v>918</v>
      </c>
      <c r="D386" s="2912"/>
      <c r="E386" s="1649"/>
      <c r="F386" s="1328">
        <f>IF(SETUP!$F$31="Upfront",$E$385*'HIV-Other HPs'!AW18,0)</f>
        <v>0</v>
      </c>
      <c r="G386" s="1194">
        <f>IF(SETUP!$F$31="Upfront",$E$385*'HIV-Other HPs'!AX18,0)</f>
        <v>0</v>
      </c>
      <c r="H386" s="1194">
        <f>IF(SETUP!$F$31="Upfront",$E$385*'HIV-Other HPs'!AY18,0)</f>
        <v>0</v>
      </c>
      <c r="I386" s="1194">
        <f>IF(SETUP!$F$31="Upfront",$E$385*'HIV-Other HPs'!AZ18,0)</f>
        <v>0</v>
      </c>
      <c r="J386" s="1194">
        <f t="shared" si="56"/>
        <v>0</v>
      </c>
      <c r="K386" s="1328">
        <f>IF(SETUP!$F$31="Upfront",$E$385*'HIV-Other HPs'!BA18,0)</f>
        <v>0</v>
      </c>
      <c r="L386" s="1194">
        <f>IF(SETUP!$F$31="Upfront",$E$385*'HIV-Other HPs'!BB18,0)</f>
        <v>0</v>
      </c>
      <c r="M386" s="1194">
        <f>IF(SETUP!$F$31="Upfront",$E$385*'HIV-Other HPs'!BC18,0)</f>
        <v>0</v>
      </c>
      <c r="N386" s="1194">
        <f>IF(SETUP!$F$31="Upfront",$E$385*'HIV-Other HPs'!BD18,0)</f>
        <v>0</v>
      </c>
      <c r="O386" s="1194">
        <f t="shared" si="57"/>
        <v>0</v>
      </c>
      <c r="P386" s="1328">
        <f>IF(SETUP!$F$31="Upfront",$E$385*'HIV-Other HPs'!BE18,0)</f>
        <v>0</v>
      </c>
      <c r="Q386" s="1194">
        <f>IF(SETUP!$F$31="Upfront",$E$385*'HIV-Other HPs'!BF18,0)</f>
        <v>0</v>
      </c>
      <c r="R386" s="1194">
        <f>IF(SETUP!$F$31="Upfront",$E$385*'HIV-Other HPs'!BG18,0)</f>
        <v>0</v>
      </c>
      <c r="S386" s="1194">
        <f>IF(SETUP!$F$31="Upfront",$E$385*'HIV-Other HPs'!BH18,0)</f>
        <v>0</v>
      </c>
      <c r="T386" s="1194">
        <f t="shared" si="58"/>
        <v>0</v>
      </c>
      <c r="U386" s="1328">
        <f t="shared" si="59"/>
        <v>0</v>
      </c>
      <c r="V386" s="1826">
        <v>7.3</v>
      </c>
      <c r="W386" s="1830"/>
      <c r="X386" s="849"/>
      <c r="Y386" s="768"/>
      <c r="Z386" s="768"/>
      <c r="AA386" s="768"/>
      <c r="AB386" s="768"/>
      <c r="AC386" s="768"/>
      <c r="AD386" s="768"/>
      <c r="AE386" s="768"/>
      <c r="AF386" s="868"/>
      <c r="AG386" s="768"/>
      <c r="AH386" s="768"/>
      <c r="AI386" s="768"/>
      <c r="AJ386" s="768"/>
      <c r="AK386" s="768"/>
      <c r="AL386" s="768"/>
      <c r="AM386" s="768"/>
      <c r="AN386" s="768"/>
      <c r="AO386" s="768"/>
      <c r="AP386" s="768"/>
      <c r="AQ386" s="768"/>
      <c r="AR386" s="768"/>
      <c r="AS386" s="768"/>
      <c r="AT386" s="768"/>
      <c r="AU386" s="768"/>
      <c r="AV386" s="768"/>
      <c r="AW386" s="768"/>
      <c r="AX386" s="768"/>
      <c r="AY386" s="768"/>
      <c r="AZ386" s="768"/>
      <c r="BA386" s="768"/>
      <c r="BB386" s="768"/>
      <c r="BC386" s="768"/>
      <c r="BD386" s="768"/>
      <c r="BE386" s="768"/>
      <c r="BF386" s="768"/>
      <c r="BG386" s="768"/>
      <c r="BH386" s="768"/>
      <c r="BI386" s="768"/>
      <c r="BJ386" s="768"/>
      <c r="BK386" s="768"/>
      <c r="BL386" s="768"/>
      <c r="BM386" s="768"/>
      <c r="BN386" s="768"/>
      <c r="BO386" s="768"/>
      <c r="BP386" s="768"/>
      <c r="BQ386" s="768"/>
      <c r="BR386" s="768"/>
    </row>
    <row r="387" spans="1:70" s="759" customFormat="1" ht="16.149999999999999" hidden="1" customHeight="1" outlineLevel="1">
      <c r="A387" s="2899"/>
      <c r="B387" s="2900"/>
      <c r="C387" s="2889" t="s">
        <v>36</v>
      </c>
      <c r="D387" s="2912"/>
      <c r="E387" s="1653"/>
      <c r="F387" s="1328">
        <v>0</v>
      </c>
      <c r="G387" s="1194">
        <f>IF(SETUP!$F$31="At delivery",IF(SETUP!$G$31=1,$E$385*'HIV-Other HPs'!AW18,0),0)</f>
        <v>0</v>
      </c>
      <c r="H387" s="1194">
        <f>IF(SETUP!$F$31="At delivery",IF(SETUP!$G$31=2,$E$385*'HIV-Other HPs'!AW18,IF(SETUP!$G$31=1,$E$385*'HIV-Other HPs'!AX18,0)),0)</f>
        <v>0</v>
      </c>
      <c r="I387" s="1194">
        <f>IF(SETUP!$F$31="At delivery",IF(SETUP!$G$31=3,$E$385*'HIV-Other HPs'!AW18,IF(SETUP!$G$31=2,$E$385*'HIV-Other HPs'!AX18,IF(SETUP!$G$31=1,$E$385*'HIV-Other HPs'!AY18,0))),0)</f>
        <v>0</v>
      </c>
      <c r="J387" s="1194">
        <f t="shared" si="56"/>
        <v>0</v>
      </c>
      <c r="K387" s="1328">
        <f>IF(SETUP!$F$31="At delivery",IF(SETUP!$G$31=4,$E$385*'HIV-Other HPs'!AW18,IF(SETUP!$G$31=3,$E$385*'HIV-Other HPs'!AX18,IF(SETUP!$G$31=2,$E$385*'HIV-Other HPs'!AY18,IF(SETUP!$G$31=1,$E$385*'HIV-Other HPs'!AZ18,0)))),0)</f>
        <v>0</v>
      </c>
      <c r="L387" s="1194">
        <f>IF(SETUP!$F$31="At delivery",IF(SETUP!$G$31=4,$E$385*'HIV-Other HPs'!AX18,IF(SETUP!$G$31=3,$E$385*'HIV-Other HPs'!AY18,IF(SETUP!$G$31=2,$E$385*'HIV-Other HPs'!AZ18,IF(SETUP!$G$31=1,$E$385*'HIV-Other HPs'!BA18,0)))),0)</f>
        <v>0</v>
      </c>
      <c r="M387" s="1194">
        <f>IF(SETUP!$F$31="At delivery",IF(SETUP!$G$31=4,$E$385*'HIV-Other HPs'!AY18,IF(SETUP!$G$31=3,$E$385*'HIV-Other HPs'!AZ18,IF(SETUP!$G$31=2,$E$385*'HIV-Other HPs'!BA18,IF(SETUP!$G$31=1,$E$385*'HIV-Other HPs'!BB18,0)))),0)</f>
        <v>0</v>
      </c>
      <c r="N387" s="1194">
        <f>IF(SETUP!$F$31="At delivery",IF(SETUP!$G$31=4,$E$385*'HIV-Other HPs'!AZ18,IF(SETUP!$G$31=3,$E$385*'HIV-Other HPs'!BA18,IF(SETUP!$G$31=2,$E$385*'HIV-Other HPs'!BB18,IF(SETUP!$G$31=1,$E$385*'HIV-Other HPs'!BC18,0)))),0)</f>
        <v>0</v>
      </c>
      <c r="O387" s="1194">
        <f t="shared" si="57"/>
        <v>0</v>
      </c>
      <c r="P387" s="1328">
        <f>IF(SETUP!$F$31="At delivery",IF(SETUP!$G$31=4,$E$385*'HIV-Other HPs'!BA18,IF(SETUP!$G$31=3,$E$385*'HIV-Other HPs'!BB18,IF(SETUP!$G$31=2,$E$385*'HIV-Other HPs'!BC18,IF(SETUP!$G$31=1,$E$385*'HIV-Other HPs'!BD18,0)))),0)</f>
        <v>0</v>
      </c>
      <c r="Q387" s="1194">
        <f>IF(SETUP!$F$31="At delivery",IF(SETUP!$G$31=4,$E$385*'HIV-Other HPs'!BB18,IF(SETUP!$G$31=3,$E$385*'HIV-Other HPs'!BC18,IF(SETUP!$G$31=2,$E$385*'HIV-Other HPs'!BD18,IF(SETUP!$G$31=1,$E$385*'HIV-Other HPs'!BE18,0)))),0)</f>
        <v>0</v>
      </c>
      <c r="R387" s="1194">
        <f>IF(SETUP!$F$31="At delivery",IF(SETUP!$G$31=4,$E$385*'HIV-Other HPs'!BC18,IF(SETUP!$G$31=3,$E$385*'HIV-Other HPs'!BD18,IF(SETUP!$G$31=2,$E$385*'HIV-Other HPs'!BE18,IF(SETUP!$G$31=1,$E$385*'HIV-Other HPs'!BF18,0)))),0)</f>
        <v>0</v>
      </c>
      <c r="S387" s="1194">
        <f>IF(SETUP!$F$31="At delivery",IF(SETUP!$G$31=4,$E$385*('HIV-Other HPs'!BD18+'HIV-Other HPs'!BE18+'HIV-Other HPs'!BF18+'HIV-Other HPs'!BG18+'HIV-Other HPs'!BH18),IF(SETUP!$G$31=3,$E$385*('HIV-Other HPs'!BE18+'HIV-Other HPs'!BF18+'HIV-Other HPs'!BG18+'HIV-Other HPs'!BH18),IF(SETUP!$G$31=2,$E$385*('HIV-Other HPs'!BF18+'HIV-Other HPs'!BG18+'HIV-Other HPs'!BH18),IF(SETUP!$G$31=1,$E$385*('HIV-Other HPs'!BG18+'HIV-Other HPs'!BH18),0)))),0)</f>
        <v>0</v>
      </c>
      <c r="T387" s="1194">
        <f t="shared" si="58"/>
        <v>0</v>
      </c>
      <c r="U387" s="1328">
        <f t="shared" si="59"/>
        <v>0</v>
      </c>
      <c r="V387" s="1826">
        <v>7.3</v>
      </c>
      <c r="W387" s="1830"/>
      <c r="X387" s="849"/>
      <c r="Y387" s="768"/>
      <c r="Z387" s="768"/>
      <c r="AA387" s="768"/>
      <c r="AB387" s="768"/>
      <c r="AC387" s="768"/>
      <c r="AD387" s="768"/>
      <c r="AE387" s="768"/>
      <c r="AF387" s="868"/>
      <c r="AG387" s="768"/>
      <c r="AH387" s="768"/>
      <c r="AI387" s="768"/>
      <c r="AJ387" s="768"/>
      <c r="AK387" s="768"/>
      <c r="AL387" s="768"/>
      <c r="AM387" s="768"/>
      <c r="AN387" s="768"/>
      <c r="AO387" s="768"/>
      <c r="AP387" s="768"/>
      <c r="AQ387" s="768"/>
      <c r="AR387" s="768"/>
      <c r="AS387" s="768"/>
      <c r="AT387" s="768"/>
      <c r="AU387" s="768"/>
      <c r="AV387" s="768"/>
      <c r="AW387" s="768"/>
      <c r="AX387" s="768"/>
      <c r="AY387" s="768"/>
      <c r="AZ387" s="768"/>
      <c r="BA387" s="768"/>
      <c r="BB387" s="768"/>
      <c r="BC387" s="768"/>
      <c r="BD387" s="768"/>
      <c r="BE387" s="768"/>
      <c r="BF387" s="768"/>
      <c r="BG387" s="768"/>
      <c r="BH387" s="768"/>
      <c r="BI387" s="768"/>
      <c r="BJ387" s="768"/>
      <c r="BK387" s="768"/>
      <c r="BL387" s="768"/>
      <c r="BM387" s="768"/>
      <c r="BN387" s="768"/>
      <c r="BO387" s="768"/>
      <c r="BP387" s="768"/>
      <c r="BQ387" s="768"/>
      <c r="BR387" s="768"/>
    </row>
    <row r="388" spans="1:70" s="759" customFormat="1" ht="13" collapsed="1">
      <c r="A388" s="2899"/>
      <c r="B388" s="2900"/>
      <c r="C388" s="2907" t="s">
        <v>568</v>
      </c>
      <c r="D388" s="2911"/>
      <c r="E388" s="1651">
        <v>0</v>
      </c>
      <c r="F388" s="1328">
        <f>IF(SETUP!$F$32="Upfront",F389,F390)</f>
        <v>0</v>
      </c>
      <c r="G388" s="1194">
        <f>IF(SETUP!$F$32="Upfront",G389,G390)</f>
        <v>0</v>
      </c>
      <c r="H388" s="1194">
        <f>IF(SETUP!$F$32="Upfront",H389,H390)</f>
        <v>0</v>
      </c>
      <c r="I388" s="1194">
        <f>IF(SETUP!$F$32="Upfront",I389,I390)</f>
        <v>0</v>
      </c>
      <c r="J388" s="1194">
        <f t="shared" si="56"/>
        <v>0</v>
      </c>
      <c r="K388" s="1328">
        <f>IF(SETUP!$F$32="Upfront",K389,K390)</f>
        <v>0</v>
      </c>
      <c r="L388" s="1194">
        <f>IF(SETUP!$F$32="Upfront",L389,L390)</f>
        <v>0</v>
      </c>
      <c r="M388" s="1194">
        <f>IF(SETUP!$F$32="Upfront",M389,M390)</f>
        <v>0</v>
      </c>
      <c r="N388" s="1194">
        <f>IF(SETUP!$F$32="Upfront",N389,N390)</f>
        <v>0</v>
      </c>
      <c r="O388" s="1194">
        <f t="shared" si="57"/>
        <v>0</v>
      </c>
      <c r="P388" s="1328">
        <f>IF(SETUP!$F$32="Upfront",P389,P390)</f>
        <v>0</v>
      </c>
      <c r="Q388" s="1194">
        <f>IF(SETUP!$F$32="Upfront",Q389,Q390)</f>
        <v>0</v>
      </c>
      <c r="R388" s="1194">
        <f>IF(SETUP!$F$32="Upfront",R389,R390)</f>
        <v>0</v>
      </c>
      <c r="S388" s="1194">
        <f>IF(SETUP!$F$32="Upfront",S389,S390)</f>
        <v>0</v>
      </c>
      <c r="T388" s="1194">
        <f t="shared" si="58"/>
        <v>0</v>
      </c>
      <c r="U388" s="1328">
        <f t="shared" si="59"/>
        <v>0</v>
      </c>
      <c r="V388" s="1826">
        <v>7.3</v>
      </c>
      <c r="W388" s="1830"/>
      <c r="X388" s="849"/>
      <c r="Y388" s="768"/>
      <c r="Z388" s="768"/>
      <c r="AA388" s="768"/>
      <c r="AB388" s="768"/>
      <c r="AC388" s="768"/>
      <c r="AD388" s="768"/>
      <c r="AE388" s="768"/>
      <c r="AF388" s="868"/>
      <c r="AG388" s="768"/>
      <c r="AH388" s="768"/>
      <c r="AI388" s="768"/>
      <c r="AJ388" s="768"/>
      <c r="AK388" s="768"/>
      <c r="AL388" s="768"/>
      <c r="AM388" s="768"/>
      <c r="AN388" s="768"/>
      <c r="AO388" s="768"/>
      <c r="AP388" s="768"/>
      <c r="AQ388" s="768"/>
      <c r="AR388" s="768"/>
      <c r="AS388" s="768"/>
      <c r="AT388" s="768"/>
      <c r="AU388" s="768"/>
      <c r="AV388" s="768"/>
      <c r="AW388" s="768"/>
      <c r="AX388" s="768"/>
      <c r="AY388" s="768"/>
      <c r="AZ388" s="768"/>
      <c r="BA388" s="768"/>
      <c r="BB388" s="768"/>
      <c r="BC388" s="768"/>
      <c r="BD388" s="768"/>
      <c r="BE388" s="768"/>
      <c r="BF388" s="768"/>
      <c r="BG388" s="768"/>
      <c r="BH388" s="768"/>
      <c r="BI388" s="768"/>
      <c r="BJ388" s="768"/>
      <c r="BK388" s="768"/>
      <c r="BL388" s="768"/>
      <c r="BM388" s="768"/>
      <c r="BN388" s="768"/>
      <c r="BO388" s="768"/>
      <c r="BP388" s="768"/>
      <c r="BQ388" s="768"/>
      <c r="BR388" s="768"/>
    </row>
    <row r="389" spans="1:70" s="759" customFormat="1" ht="16.149999999999999" hidden="1" customHeight="1" outlineLevel="1">
      <c r="A389" s="2899"/>
      <c r="B389" s="2900"/>
      <c r="C389" s="2889" t="s">
        <v>918</v>
      </c>
      <c r="D389" s="2912"/>
      <c r="E389" s="1649"/>
      <c r="F389" s="1328">
        <f>IF(SETUP!$F$32="Upfront",$E$388*'HIV-Other HPs'!AW19,0)</f>
        <v>0</v>
      </c>
      <c r="G389" s="1194">
        <f>IF(SETUP!$F$32="Upfront",$E$388*'HIV-Other HPs'!AX19,0)</f>
        <v>0</v>
      </c>
      <c r="H389" s="1194">
        <f>IF(SETUP!$F$32="Upfront",$E$388*'HIV-Other HPs'!AY19,0)</f>
        <v>0</v>
      </c>
      <c r="I389" s="1194">
        <f>IF(SETUP!$F$32="Upfront",$E$388*'HIV-Other HPs'!AZ19,0)</f>
        <v>0</v>
      </c>
      <c r="J389" s="1194">
        <f t="shared" si="56"/>
        <v>0</v>
      </c>
      <c r="K389" s="1328">
        <f>IF(SETUP!$F$32="Upfront",$E$388*'HIV-Other HPs'!BA19,0)</f>
        <v>0</v>
      </c>
      <c r="L389" s="1194">
        <f>IF(SETUP!$F$32="Upfront",$E$388*'HIV-Other HPs'!BB19,0)</f>
        <v>0</v>
      </c>
      <c r="M389" s="1194">
        <f>IF(SETUP!$F$32="Upfront",$E$388*'HIV-Other HPs'!BC19,0)</f>
        <v>0</v>
      </c>
      <c r="N389" s="1194">
        <f>IF(SETUP!$F$32="Upfront",$E$388*'HIV-Other HPs'!BD19,0)</f>
        <v>0</v>
      </c>
      <c r="O389" s="1194">
        <f t="shared" si="57"/>
        <v>0</v>
      </c>
      <c r="P389" s="1328">
        <f>IF(SETUP!$F$32="Upfront",$E$388*'HIV-Other HPs'!BE19,0)</f>
        <v>0</v>
      </c>
      <c r="Q389" s="1194">
        <f>IF(SETUP!$F$32="Upfront",$E$388*'HIV-Other HPs'!BF19,0)</f>
        <v>0</v>
      </c>
      <c r="R389" s="1194">
        <f>IF(SETUP!$F$32="Upfront",$E$388*'HIV-Other HPs'!BG19,0)</f>
        <v>0</v>
      </c>
      <c r="S389" s="1194">
        <f>IF(SETUP!$F$32="Upfront",$E$388*'HIV-Other HPs'!BH19,0)</f>
        <v>0</v>
      </c>
      <c r="T389" s="1194">
        <f t="shared" si="58"/>
        <v>0</v>
      </c>
      <c r="U389" s="1328">
        <f t="shared" si="59"/>
        <v>0</v>
      </c>
      <c r="V389" s="1826">
        <v>7.3</v>
      </c>
      <c r="W389" s="1830"/>
      <c r="X389" s="849"/>
      <c r="Y389" s="768"/>
      <c r="Z389" s="768"/>
      <c r="AA389" s="768"/>
      <c r="AB389" s="768"/>
      <c r="AC389" s="768"/>
      <c r="AD389" s="768"/>
      <c r="AE389" s="768"/>
      <c r="AF389" s="868"/>
      <c r="AG389" s="768"/>
      <c r="AH389" s="768"/>
      <c r="AI389" s="768"/>
      <c r="AJ389" s="768"/>
      <c r="AK389" s="768"/>
      <c r="AL389" s="768"/>
      <c r="AM389" s="768"/>
      <c r="AN389" s="768"/>
      <c r="AO389" s="768"/>
      <c r="AP389" s="768"/>
      <c r="AQ389" s="768"/>
      <c r="AR389" s="768"/>
      <c r="AS389" s="768"/>
      <c r="AT389" s="768"/>
      <c r="AU389" s="768"/>
      <c r="AV389" s="768"/>
      <c r="AW389" s="768"/>
      <c r="AX389" s="768"/>
      <c r="AY389" s="768"/>
      <c r="AZ389" s="768"/>
      <c r="BA389" s="768"/>
      <c r="BB389" s="768"/>
      <c r="BC389" s="768"/>
      <c r="BD389" s="768"/>
      <c r="BE389" s="768"/>
      <c r="BF389" s="768"/>
      <c r="BG389" s="768"/>
      <c r="BH389" s="768"/>
      <c r="BI389" s="768"/>
      <c r="BJ389" s="768"/>
      <c r="BK389" s="768"/>
      <c r="BL389" s="768"/>
      <c r="BM389" s="768"/>
      <c r="BN389" s="768"/>
      <c r="BO389" s="768"/>
      <c r="BP389" s="768"/>
      <c r="BQ389" s="768"/>
      <c r="BR389" s="768"/>
    </row>
    <row r="390" spans="1:70" s="759" customFormat="1" ht="16.149999999999999" hidden="1" customHeight="1" outlineLevel="1">
      <c r="A390" s="2899"/>
      <c r="B390" s="2900"/>
      <c r="C390" s="2889" t="s">
        <v>36</v>
      </c>
      <c r="D390" s="2912"/>
      <c r="E390" s="1649"/>
      <c r="F390" s="1328">
        <v>0</v>
      </c>
      <c r="G390" s="1194">
        <f>IF(SETUP!$F$32="At delivery",IF(SETUP!$G$32=1,$E$388*'HIV-Other HPs'!AW19,0),0)</f>
        <v>0</v>
      </c>
      <c r="H390" s="1194">
        <f>IF(SETUP!$F$32="At delivery",IF(SETUP!$G$32=2,$E$388*'HIV-Other HPs'!AW19,IF(SETUP!$G$32=1,$E$388*'HIV-Other HPs'!AX19,0)),0)</f>
        <v>0</v>
      </c>
      <c r="I390" s="1194">
        <f>IF(SETUP!$F$32="At delivery",IF(SETUP!$G$32=3,$E$388*'HIV-Other HPs'!AW19,IF(SETUP!$G$32=2,$E$388*'HIV-Other HPs'!AX19,IF(SETUP!$G$32=1,$E$388*'HIV-Other HPs'!AY19,0))),0)</f>
        <v>0</v>
      </c>
      <c r="J390" s="1194">
        <f t="shared" si="56"/>
        <v>0</v>
      </c>
      <c r="K390" s="1328">
        <f>IF(SETUP!$F$32="At delivery",IF(SETUP!$G$32=4,$E$388*'HIV-Other HPs'!AW19,IF(SETUP!$G$32=3,$E$388*'HIV-Other HPs'!AX19,IF(SETUP!$G$32=2,$E$388*'HIV-Other HPs'!AY19,IF(SETUP!$G$32=1,$E$388*'HIV-Other HPs'!AZ19,0)))),0)</f>
        <v>0</v>
      </c>
      <c r="L390" s="1194">
        <f>IF(SETUP!$F$32="At delivery",IF(SETUP!$G$32=4,$E$388*'HIV-Other HPs'!AX19,IF(SETUP!$G$32=3,$E$388*'HIV-Other HPs'!AY19,IF(SETUP!$G$32=2,$E$388*'HIV-Other HPs'!AZ19,IF(SETUP!$G$32=1,$E$388*'HIV-Other HPs'!BA19,0)))),0)</f>
        <v>0</v>
      </c>
      <c r="M390" s="1194">
        <f>IF(SETUP!$F$32="At delivery",IF(SETUP!$G$32=4,$E$388*'HIV-Other HPs'!AY19,IF(SETUP!$G$32=3,$E$388*'HIV-Other HPs'!AZ19,IF(SETUP!$G$32=2,$E$388*'HIV-Other HPs'!BA19,IF(SETUP!$G$32=1,$E$388*'HIV-Other HPs'!BB19,0)))),0)</f>
        <v>0</v>
      </c>
      <c r="N390" s="1194">
        <f>IF(SETUP!$F$32="At delivery",IF(SETUP!$G$32=4,$E$388*'HIV-Other HPs'!AZ19,IF(SETUP!$G$32=3,$E$388*'HIV-Other HPs'!BA19,IF(SETUP!$G$32=2,$E$388*'HIV-Other HPs'!BB19,IF(SETUP!$G$32=1,$E$388*'HIV-Other HPs'!BC19,0)))),0)</f>
        <v>0</v>
      </c>
      <c r="O390" s="1194">
        <f t="shared" si="57"/>
        <v>0</v>
      </c>
      <c r="P390" s="1328">
        <f>IF(SETUP!$F$32="At delivery",IF(SETUP!$G$32=4,$E$388*'HIV-Other HPs'!BA19,IF(SETUP!$G$32=3,$E$388*'HIV-Other HPs'!BB19,IF(SETUP!$G$32=2,$E$388*'HIV-Other HPs'!BC19,IF(SETUP!$G$32=1,$E$388*'HIV-Other HPs'!BD19,0)))),0)</f>
        <v>0</v>
      </c>
      <c r="Q390" s="1194">
        <f>IF(SETUP!$F$32="At delivery",IF(SETUP!$G$32=4,$E$388*'HIV-Other HPs'!BB19,IF(SETUP!$G$32=3,$E$388*'HIV-Other HPs'!BC19,IF(SETUP!$G$32=2,$E$388*'HIV-Other HPs'!BD19,IF(SETUP!$G$32=1,$E$388*'HIV-Other HPs'!BE19,0)))),0)</f>
        <v>0</v>
      </c>
      <c r="R390" s="1194">
        <f>IF(SETUP!$F$32="At delivery",IF(SETUP!$G$32=4,$E$388*'HIV-Other HPs'!BC19,IF(SETUP!$G$32=3,$E$388*'HIV-Other HPs'!BD19,IF(SETUP!$G$32=2,$E$388*'HIV-Other HPs'!BE19,IF(SETUP!$G$32=1,$E$388*'HIV-Other HPs'!BF19,0)))),0)</f>
        <v>0</v>
      </c>
      <c r="S390" s="1194">
        <f>IF(SETUP!$F$32="At delivery",IF(SETUP!$G$32=4,$E$388*('HIV-Other HPs'!BD19+'HIV-Other HPs'!BE19+'HIV-Other HPs'!BF19+'HIV-Other HPs'!BG19+'HIV-Other HPs'!BH19),IF(SETUP!$G$32=3,$E$388*('HIV-Other HPs'!BE19+'HIV-Other HPs'!BF19+'HIV-Other HPs'!BG19+'HIV-Other HPs'!BH19),IF(SETUP!$G$32=2,$E$388*('HIV-Other HPs'!BF19+'HIV-Other HPs'!BG19+'HIV-Other HPs'!BH19),IF(SETUP!$G$32=1,$E$388*('HIV-Other HPs'!BG19+'HIV-Other HPs'!BH19),0)))),0)</f>
        <v>0</v>
      </c>
      <c r="T390" s="1194">
        <f t="shared" si="58"/>
        <v>0</v>
      </c>
      <c r="U390" s="1328">
        <f t="shared" si="59"/>
        <v>0</v>
      </c>
      <c r="V390" s="1826">
        <v>7.3</v>
      </c>
      <c r="W390" s="1830"/>
      <c r="X390" s="849"/>
      <c r="Y390" s="768"/>
      <c r="Z390" s="768"/>
      <c r="AA390" s="768"/>
      <c r="AB390" s="768"/>
      <c r="AC390" s="768"/>
      <c r="AD390" s="768"/>
      <c r="AE390" s="768"/>
      <c r="AF390" s="868"/>
      <c r="AG390" s="768"/>
      <c r="AH390" s="768"/>
      <c r="AI390" s="768"/>
      <c r="AJ390" s="768"/>
      <c r="AK390" s="768"/>
      <c r="AL390" s="768"/>
      <c r="AM390" s="768"/>
      <c r="AN390" s="768"/>
      <c r="AO390" s="768"/>
      <c r="AP390" s="768"/>
      <c r="AQ390" s="768"/>
      <c r="AR390" s="768"/>
      <c r="AS390" s="768"/>
      <c r="AT390" s="768"/>
      <c r="AU390" s="768"/>
      <c r="AV390" s="768"/>
      <c r="AW390" s="768"/>
      <c r="AX390" s="768"/>
      <c r="AY390" s="768"/>
      <c r="AZ390" s="768"/>
      <c r="BA390" s="768"/>
      <c r="BB390" s="768"/>
      <c r="BC390" s="768"/>
      <c r="BD390" s="768"/>
      <c r="BE390" s="768"/>
      <c r="BF390" s="768"/>
      <c r="BG390" s="768"/>
      <c r="BH390" s="768"/>
      <c r="BI390" s="768"/>
      <c r="BJ390" s="768"/>
      <c r="BK390" s="768"/>
      <c r="BL390" s="768"/>
      <c r="BM390" s="768"/>
      <c r="BN390" s="768"/>
      <c r="BO390" s="768"/>
      <c r="BP390" s="768"/>
      <c r="BQ390" s="768"/>
      <c r="BR390" s="768"/>
    </row>
    <row r="391" spans="1:70" s="759" customFormat="1" ht="13.5" collapsed="1" thickBot="1">
      <c r="A391" s="2899"/>
      <c r="B391" s="2900"/>
      <c r="C391" s="2973" t="s">
        <v>1795</v>
      </c>
      <c r="D391" s="2923"/>
      <c r="E391" s="1651">
        <v>0</v>
      </c>
      <c r="F391" s="1328">
        <f>IF(SETUP!$F$33="Upfront",F392,F393)</f>
        <v>0</v>
      </c>
      <c r="G391" s="1194">
        <f>IF(SETUP!$F$33="Upfront",G392,G393)</f>
        <v>0</v>
      </c>
      <c r="H391" s="1194">
        <f>IF(SETUP!$F$33="Upfront",H392,H393)</f>
        <v>0</v>
      </c>
      <c r="I391" s="1194">
        <f>IF(SETUP!$F$33="Upfront",I392,I393)</f>
        <v>0</v>
      </c>
      <c r="J391" s="1194">
        <f t="shared" si="56"/>
        <v>0</v>
      </c>
      <c r="K391" s="1328">
        <f>IF(SETUP!$F$33="Upfront",K392,K393)</f>
        <v>0</v>
      </c>
      <c r="L391" s="1194">
        <f>IF(SETUP!$F$33="Upfront",L392,L393)</f>
        <v>0</v>
      </c>
      <c r="M391" s="1194">
        <f>IF(SETUP!$F$33="Upfront",M392,M393)</f>
        <v>0</v>
      </c>
      <c r="N391" s="1194">
        <f>IF(SETUP!$F$33="Upfront",N392,N393)</f>
        <v>0</v>
      </c>
      <c r="O391" s="1194">
        <f t="shared" si="57"/>
        <v>0</v>
      </c>
      <c r="P391" s="1328">
        <f>IF(SETUP!$F$33="Upfront",P392,P393)</f>
        <v>0</v>
      </c>
      <c r="Q391" s="1194">
        <f>IF(SETUP!$F$33="Upfront",Q392,Q393)</f>
        <v>0</v>
      </c>
      <c r="R391" s="1194">
        <f>IF(SETUP!$F$33="Upfront",R392,R393)</f>
        <v>0</v>
      </c>
      <c r="S391" s="1194">
        <f>IF(SETUP!$F$33="Upfront",S392,S393)</f>
        <v>0</v>
      </c>
      <c r="T391" s="1194">
        <f t="shared" si="58"/>
        <v>0</v>
      </c>
      <c r="U391" s="1328">
        <f t="shared" si="59"/>
        <v>0</v>
      </c>
      <c r="V391" s="1826">
        <v>7.3</v>
      </c>
      <c r="W391" s="1830"/>
      <c r="X391" s="849"/>
      <c r="Y391" s="768"/>
      <c r="Z391" s="768"/>
      <c r="AA391" s="768"/>
      <c r="AB391" s="768"/>
      <c r="AC391" s="768"/>
      <c r="AD391" s="768"/>
      <c r="AE391" s="768"/>
      <c r="AF391" s="868"/>
      <c r="AG391" s="768"/>
      <c r="AH391" s="768"/>
      <c r="AI391" s="768"/>
      <c r="AJ391" s="768"/>
      <c r="AK391" s="768"/>
      <c r="AL391" s="768"/>
      <c r="AM391" s="768"/>
      <c r="AN391" s="768"/>
      <c r="AO391" s="768"/>
      <c r="AP391" s="768"/>
      <c r="AQ391" s="768"/>
      <c r="AR391" s="768"/>
      <c r="AS391" s="768"/>
      <c r="AT391" s="768"/>
      <c r="AU391" s="768"/>
      <c r="AV391" s="768"/>
      <c r="AW391" s="768"/>
      <c r="AX391" s="768"/>
      <c r="AY391" s="768"/>
      <c r="AZ391" s="768"/>
      <c r="BA391" s="768"/>
      <c r="BB391" s="768"/>
      <c r="BC391" s="768"/>
      <c r="BD391" s="768"/>
      <c r="BE391" s="768"/>
      <c r="BF391" s="768"/>
      <c r="BG391" s="768"/>
      <c r="BH391" s="768"/>
      <c r="BI391" s="768"/>
      <c r="BJ391" s="768"/>
      <c r="BK391" s="768"/>
      <c r="BL391" s="768"/>
      <c r="BM391" s="768"/>
      <c r="BN391" s="768"/>
      <c r="BO391" s="768"/>
      <c r="BP391" s="768"/>
      <c r="BQ391" s="768"/>
      <c r="BR391" s="768"/>
    </row>
    <row r="392" spans="1:70" s="759" customFormat="1" ht="12.75" hidden="1" customHeight="1" outlineLevel="1">
      <c r="A392" s="2899"/>
      <c r="B392" s="2900"/>
      <c r="C392" s="2889" t="s">
        <v>918</v>
      </c>
      <c r="D392" s="2912"/>
      <c r="E392" s="1653"/>
      <c r="F392" s="1328">
        <f>IF(SETUP!$F$33="Upfront",$E$391*'HIV-Other HPs'!AW20,0)</f>
        <v>0</v>
      </c>
      <c r="G392" s="1194">
        <f>IF(SETUP!$F$33="Upfront",$E$391*'HIV-Other HPs'!AX20,0)</f>
        <v>0</v>
      </c>
      <c r="H392" s="1194">
        <f>IF(SETUP!$F$33="Upfront",$E$391*'HIV-Other HPs'!AY20,0)</f>
        <v>0</v>
      </c>
      <c r="I392" s="1194">
        <f>IF(SETUP!$F$33="Upfront",$E$391*'HIV-Other HPs'!AZ20,0)</f>
        <v>0</v>
      </c>
      <c r="J392" s="1194">
        <f t="shared" si="56"/>
        <v>0</v>
      </c>
      <c r="K392" s="1328">
        <f>IF(SETUP!$F$33="Upfront",$E$391*'HIV-Other HPs'!BA20,0)</f>
        <v>0</v>
      </c>
      <c r="L392" s="1194">
        <f>IF(SETUP!$F$33="Upfront",$E$391*'HIV-Other HPs'!BB20,0)</f>
        <v>0</v>
      </c>
      <c r="M392" s="1194">
        <f>IF(SETUP!$F$33="Upfront",$E$391*'HIV-Other HPs'!BC20,0)</f>
        <v>0</v>
      </c>
      <c r="N392" s="1194">
        <f>IF(SETUP!$F$33="Upfront",$E$391*'HIV-Other HPs'!BD20,0)</f>
        <v>0</v>
      </c>
      <c r="O392" s="1194">
        <f t="shared" si="57"/>
        <v>0</v>
      </c>
      <c r="P392" s="1328">
        <f>IF(SETUP!$F$33="Upfront",$E$391*'HIV-Other HPs'!BE20,0)</f>
        <v>0</v>
      </c>
      <c r="Q392" s="1194">
        <f>IF(SETUP!$F$33="Upfront",$E$391*'HIV-Other HPs'!BF20,0)</f>
        <v>0</v>
      </c>
      <c r="R392" s="1194">
        <f>IF(SETUP!$F$33="Upfront",$E$391*'HIV-Other HPs'!BG20,0)</f>
        <v>0</v>
      </c>
      <c r="S392" s="1194">
        <f>IF(SETUP!$F$33="Upfront",$E$391*'HIV-Other HPs'!BH20,0)</f>
        <v>0</v>
      </c>
      <c r="T392" s="1194">
        <f t="shared" si="58"/>
        <v>0</v>
      </c>
      <c r="U392" s="1328">
        <f t="shared" si="59"/>
        <v>0</v>
      </c>
      <c r="V392" s="1826">
        <v>7.3</v>
      </c>
      <c r="W392" s="1830"/>
      <c r="X392" s="849"/>
      <c r="Y392" s="768"/>
      <c r="Z392" s="768"/>
      <c r="AA392" s="768"/>
      <c r="AB392" s="768"/>
      <c r="AC392" s="768"/>
      <c r="AD392" s="768"/>
      <c r="AE392" s="768"/>
      <c r="AF392" s="868"/>
      <c r="AG392" s="768"/>
      <c r="AH392" s="768"/>
      <c r="AI392" s="768"/>
      <c r="AJ392" s="768"/>
      <c r="AK392" s="768"/>
      <c r="AL392" s="768"/>
      <c r="AM392" s="768"/>
      <c r="AN392" s="768"/>
      <c r="AO392" s="768"/>
      <c r="AP392" s="768"/>
      <c r="AQ392" s="768"/>
      <c r="AR392" s="768"/>
      <c r="AS392" s="768"/>
      <c r="AT392" s="768"/>
      <c r="AU392" s="768"/>
      <c r="AV392" s="768"/>
      <c r="AW392" s="768"/>
      <c r="AX392" s="768"/>
      <c r="AY392" s="768"/>
      <c r="AZ392" s="768"/>
      <c r="BA392" s="768"/>
      <c r="BB392" s="768"/>
      <c r="BC392" s="768"/>
      <c r="BD392" s="768"/>
      <c r="BE392" s="768"/>
      <c r="BF392" s="768"/>
      <c r="BG392" s="768"/>
      <c r="BH392" s="768"/>
      <c r="BI392" s="768"/>
      <c r="BJ392" s="768"/>
      <c r="BK392" s="768"/>
      <c r="BL392" s="768"/>
      <c r="BM392" s="768"/>
      <c r="BN392" s="768"/>
      <c r="BO392" s="768"/>
      <c r="BP392" s="768"/>
      <c r="BQ392" s="768"/>
      <c r="BR392" s="768"/>
    </row>
    <row r="393" spans="1:70" s="759" customFormat="1" ht="12.75" hidden="1" customHeight="1" outlineLevel="1">
      <c r="A393" s="2901"/>
      <c r="B393" s="2902"/>
      <c r="C393" s="2889" t="s">
        <v>36</v>
      </c>
      <c r="D393" s="2912"/>
      <c r="E393" s="1652"/>
      <c r="F393" s="1328">
        <v>0</v>
      </c>
      <c r="G393" s="1194">
        <f>IF(SETUP!$F$33="At delivery",IF(SETUP!$G$33=1,$E$391*'HIV-Other HPs'!AW20,0),0)</f>
        <v>0</v>
      </c>
      <c r="H393" s="1194">
        <f>IF(SETUP!$F$33="At delivery",IF(SETUP!$G$33=2,$E$391*'HIV-Other HPs'!AW20,IF(SETUP!$G$33=1,$E$391*'HIV-Other HPs'!AX20,0)),0)</f>
        <v>0</v>
      </c>
      <c r="I393" s="1194">
        <f>IF(SETUP!$F$33="At delivery",IF(SETUP!$G$33=3,$E$391*'HIV-Other HPs'!AW20,IF(SETUP!$G$33=2,$E$391*'HIV-Other HPs'!AX20,IF(SETUP!$G$33=1,$E$391*'HIV-Other HPs'!AY20,0))),0)</f>
        <v>0</v>
      </c>
      <c r="J393" s="1194">
        <f t="shared" si="56"/>
        <v>0</v>
      </c>
      <c r="K393" s="1328">
        <f>IF(SETUP!$F$33="At delivery",IF(SETUP!$G$33=4,$E$391*'HIV-Other HPs'!AW20,IF(SETUP!$G$33=3,$E$391*'HIV-Other HPs'!AX20,IF(SETUP!$G$33=2,$E$391*'HIV-Other HPs'!AY20,IF(SETUP!$G$33=1,$E$391*'HIV-Other HPs'!AZ20,0)))),0)</f>
        <v>0</v>
      </c>
      <c r="L393" s="1194">
        <f>IF(SETUP!$F$33="At delivery",IF(SETUP!$G$33=4,$E$391*'HIV-Other HPs'!AX20,IF(SETUP!$G$33=3,$E$391*'HIV-Other HPs'!AY20,IF(SETUP!$G$33=2,$E$391*'HIV-Other HPs'!AZ20,IF(SETUP!$G$33=1,$E$391*'HIV-Other HPs'!BA20,0)))),0)</f>
        <v>0</v>
      </c>
      <c r="M393" s="1194">
        <f>IF(SETUP!$F$33="At delivery",IF(SETUP!$G$33=4,$E$391*'HIV-Other HPs'!AY20,IF(SETUP!$G$33=3,$E$391*'HIV-Other HPs'!AZ20,IF(SETUP!$G$33=2,$E$391*'HIV-Other HPs'!BA20,IF(SETUP!$G$33=1,$E$391*'HIV-Other HPs'!BB20,0)))),0)</f>
        <v>0</v>
      </c>
      <c r="N393" s="1194">
        <f>IF(SETUP!$F$33="At delivery",IF(SETUP!$G$33=4,$E$391*'HIV-Other HPs'!AZ20,IF(SETUP!$G$33=3,$E$391*'HIV-Other HPs'!BA20,IF(SETUP!$G$33=2,$E$391*'HIV-Other HPs'!BB20,IF(SETUP!$G$33=1,$E$391*'HIV-Other HPs'!BC20,0)))),0)</f>
        <v>0</v>
      </c>
      <c r="O393" s="1194">
        <f t="shared" si="57"/>
        <v>0</v>
      </c>
      <c r="P393" s="1328">
        <f>IF(SETUP!$F$33="At delivery",IF(SETUP!$G$33=4,$E$391*'HIV-Other HPs'!BA20,IF(SETUP!$G$33=3,$E$391*'HIV-Other HPs'!BB20,IF(SETUP!$G$33=2,$E$391*'HIV-Other HPs'!BC20,IF(SETUP!$G$33=1,$E$391*'HIV-Other HPs'!BD20,0)))),0)</f>
        <v>0</v>
      </c>
      <c r="Q393" s="1194">
        <f>IF(SETUP!$F$33="At delivery",IF(SETUP!$G$33=4,$E$391*'HIV-Other HPs'!BB20,IF(SETUP!$G$33=3,$E$391*'HIV-Other HPs'!BC20,IF(SETUP!$G$33=2,$E$391*'HIV-Other HPs'!BD20,IF(SETUP!$G$33=1,$E$391*'HIV-Other HPs'!BE20,0)))),0)</f>
        <v>0</v>
      </c>
      <c r="R393" s="1194">
        <f>IF(SETUP!$F$33="At delivery",IF(SETUP!$G$33=4,$E$391*'HIV-Other HPs'!BC20,IF(SETUP!$G$33=3,$E$391*'HIV-Other HPs'!BD20,IF(SETUP!$G$33=2,$E$391*'HIV-Other HPs'!BE20,IF(SETUP!$G$33=1,$E$391*'HIV-Other HPs'!BF20,0)))),0)</f>
        <v>0</v>
      </c>
      <c r="S393" s="1194">
        <f>IF(SETUP!$F$33="At delivery",IF(SETUP!$G$33=4,$E$391*('HIV-Other HPs'!BD20+'HIV-Other HPs'!BE20+'HIV-Other HPs'!BF20+'HIV-Other HPs'!BG20+'HIV-Other HPs'!BH20),IF(SETUP!$G$33=3,$E$391*('HIV-Other HPs'!BE20+'HIV-Other HPs'!BF20+'HIV-Other HPs'!BG20+'HIV-Other HPs'!BH20),IF(SETUP!$G$33=2,$E$391*('HIV-Other HPs'!BF20+'HIV-Other HPs'!BG20+'HIV-Other HPs'!BH20),IF(SETUP!$G$33=1,$E$391*('HIV-Other HPs'!BG20+'HIV-Other HPs'!BH20),0)))),0)</f>
        <v>0</v>
      </c>
      <c r="T393" s="1194">
        <f t="shared" si="58"/>
        <v>0</v>
      </c>
      <c r="U393" s="1328">
        <f t="shared" si="59"/>
        <v>0</v>
      </c>
      <c r="V393" s="1826">
        <v>7.3</v>
      </c>
      <c r="W393" s="1830"/>
      <c r="X393" s="849"/>
      <c r="Y393" s="768"/>
      <c r="Z393" s="768"/>
      <c r="AA393" s="768"/>
      <c r="AB393" s="768"/>
      <c r="AC393" s="768"/>
      <c r="AD393" s="768"/>
      <c r="AE393" s="768"/>
      <c r="AF393" s="868"/>
      <c r="AG393" s="768"/>
      <c r="AH393" s="768"/>
      <c r="AI393" s="768"/>
      <c r="AJ393" s="768"/>
      <c r="AK393" s="768"/>
      <c r="AL393" s="768"/>
      <c r="AM393" s="768"/>
      <c r="AN393" s="768"/>
      <c r="AO393" s="768"/>
      <c r="AP393" s="768"/>
      <c r="AQ393" s="768"/>
      <c r="AR393" s="768"/>
      <c r="AS393" s="768"/>
      <c r="AT393" s="768"/>
      <c r="AU393" s="768"/>
      <c r="AV393" s="768"/>
      <c r="AW393" s="768"/>
      <c r="AX393" s="768"/>
      <c r="AY393" s="768"/>
      <c r="AZ393" s="768"/>
      <c r="BA393" s="768"/>
      <c r="BB393" s="768"/>
      <c r="BC393" s="768"/>
      <c r="BD393" s="768"/>
      <c r="BE393" s="768"/>
      <c r="BF393" s="768"/>
      <c r="BG393" s="768"/>
      <c r="BH393" s="768"/>
      <c r="BI393" s="768"/>
      <c r="BJ393" s="768"/>
      <c r="BK393" s="768"/>
      <c r="BL393" s="768"/>
      <c r="BM393" s="768"/>
      <c r="BN393" s="768"/>
      <c r="BO393" s="768"/>
      <c r="BP393" s="768"/>
      <c r="BQ393" s="768"/>
      <c r="BR393" s="768"/>
    </row>
    <row r="394" spans="1:70" s="759" customFormat="1" ht="13" hidden="1" collapsed="1">
      <c r="A394" s="2917" t="s">
        <v>569</v>
      </c>
      <c r="B394" s="2918"/>
      <c r="C394" s="2911" t="s">
        <v>570</v>
      </c>
      <c r="D394" s="2911"/>
      <c r="E394" s="1651">
        <v>0</v>
      </c>
      <c r="F394" s="1328">
        <f>IF(SETUP!$F$36="Upfront",F395,F396)</f>
        <v>0</v>
      </c>
      <c r="G394" s="1194">
        <f>IF(SETUP!$F$36="Upfront",G395,G396)</f>
        <v>0</v>
      </c>
      <c r="H394" s="1194">
        <f>IF(SETUP!$F$36="Upfront",H395,H396)</f>
        <v>0</v>
      </c>
      <c r="I394" s="1194">
        <f>IF(SETUP!$F$36="Upfront",I395,I396)</f>
        <v>0</v>
      </c>
      <c r="J394" s="1194">
        <f t="shared" si="56"/>
        <v>0</v>
      </c>
      <c r="K394" s="1328">
        <f>IF(SETUP!$F$36="Upfront",K395,K396)</f>
        <v>0</v>
      </c>
      <c r="L394" s="1194">
        <f>IF(SETUP!$F$36="Upfront",L395,L396)</f>
        <v>0</v>
      </c>
      <c r="M394" s="1194">
        <f>IF(SETUP!$F$36="Upfront",M395,M396)</f>
        <v>0</v>
      </c>
      <c r="N394" s="1194">
        <f>IF(SETUP!$F$36="Upfront",N395,N396)</f>
        <v>0</v>
      </c>
      <c r="O394" s="1194">
        <f t="shared" si="57"/>
        <v>0</v>
      </c>
      <c r="P394" s="1328">
        <f>IF(SETUP!$F$36="Upfront",P395,P396)</f>
        <v>0</v>
      </c>
      <c r="Q394" s="1194">
        <f>IF(SETUP!$F$36="Upfront",Q395,Q396)</f>
        <v>0</v>
      </c>
      <c r="R394" s="1194">
        <f>IF(SETUP!$F$36="Upfront",R395,R396)</f>
        <v>0</v>
      </c>
      <c r="S394" s="1194">
        <f>IF(SETUP!$F$36="Upfront",S395,S396)</f>
        <v>0</v>
      </c>
      <c r="T394" s="1194">
        <f t="shared" si="58"/>
        <v>0</v>
      </c>
      <c r="U394" s="1328">
        <f t="shared" si="59"/>
        <v>0</v>
      </c>
      <c r="V394" s="1826">
        <v>7.3</v>
      </c>
      <c r="W394" s="1830"/>
      <c r="X394" s="849"/>
      <c r="Y394" s="768"/>
      <c r="Z394" s="768"/>
      <c r="AA394" s="768"/>
      <c r="AB394" s="768"/>
      <c r="AC394" s="768"/>
      <c r="AD394" s="768"/>
      <c r="AE394" s="768"/>
      <c r="AF394" s="868"/>
      <c r="AG394" s="768"/>
      <c r="AH394" s="768"/>
      <c r="AI394" s="768"/>
      <c r="AJ394" s="768"/>
      <c r="AK394" s="768"/>
      <c r="AL394" s="768"/>
      <c r="AM394" s="768"/>
      <c r="AN394" s="768"/>
      <c r="AO394" s="768"/>
      <c r="AP394" s="768"/>
      <c r="AQ394" s="768"/>
      <c r="AR394" s="768"/>
      <c r="AS394" s="768"/>
      <c r="AT394" s="768"/>
      <c r="AU394" s="768"/>
      <c r="AV394" s="768"/>
      <c r="AW394" s="768"/>
      <c r="AX394" s="768"/>
      <c r="AY394" s="768"/>
      <c r="AZ394" s="768"/>
      <c r="BA394" s="768"/>
      <c r="BB394" s="768"/>
      <c r="BC394" s="768"/>
      <c r="BD394" s="768"/>
      <c r="BE394" s="768"/>
      <c r="BF394" s="768"/>
      <c r="BG394" s="768"/>
      <c r="BH394" s="768"/>
      <c r="BI394" s="768"/>
      <c r="BJ394" s="768"/>
      <c r="BK394" s="768"/>
      <c r="BL394" s="768"/>
      <c r="BM394" s="768"/>
      <c r="BN394" s="768"/>
      <c r="BO394" s="768"/>
      <c r="BP394" s="768"/>
      <c r="BQ394" s="768"/>
      <c r="BR394" s="768"/>
    </row>
    <row r="395" spans="1:70" s="759" customFormat="1" ht="12.75" hidden="1" customHeight="1" outlineLevel="1">
      <c r="A395" s="2919"/>
      <c r="B395" s="2920"/>
      <c r="C395" s="2912" t="s">
        <v>918</v>
      </c>
      <c r="D395" s="2912"/>
      <c r="E395" s="1649"/>
      <c r="F395" s="1328">
        <f>IF(SETUP!$F$36="Upfront",$E$394*'TB-Pharmaceuticals'!AW14,0)</f>
        <v>0</v>
      </c>
      <c r="G395" s="1194">
        <f>IF(SETUP!$F$36="Upfront",$E$394*'TB-Pharmaceuticals'!AX14,0)</f>
        <v>0</v>
      </c>
      <c r="H395" s="1194">
        <f>IF(SETUP!$F$36="Upfront",$E$394*'TB-Pharmaceuticals'!AY14,0)</f>
        <v>0</v>
      </c>
      <c r="I395" s="1194">
        <f>IF(SETUP!$F$36="Upfront",$E$394*'TB-Pharmaceuticals'!AZ14,0)</f>
        <v>0</v>
      </c>
      <c r="J395" s="1194">
        <f t="shared" si="56"/>
        <v>0</v>
      </c>
      <c r="K395" s="1328">
        <f>IF(SETUP!$F$36="Upfront",$E$394*'TB-Pharmaceuticals'!BA14,0)</f>
        <v>0</v>
      </c>
      <c r="L395" s="1194">
        <f>IF(SETUP!$F$36="Upfront",$E$394*'TB-Pharmaceuticals'!BB14,0)</f>
        <v>0</v>
      </c>
      <c r="M395" s="1194">
        <f>IF(SETUP!$F$36="Upfront",$E$394*'TB-Pharmaceuticals'!BC14,0)</f>
        <v>0</v>
      </c>
      <c r="N395" s="1194">
        <f>IF(SETUP!$F$36="Upfront",$E$394*'TB-Pharmaceuticals'!BD14,0)</f>
        <v>0</v>
      </c>
      <c r="O395" s="1194">
        <f t="shared" si="57"/>
        <v>0</v>
      </c>
      <c r="P395" s="1328">
        <f>IF(SETUP!$F$36="Upfront",$E$394*'TB-Pharmaceuticals'!BE14,0)</f>
        <v>0</v>
      </c>
      <c r="Q395" s="1194">
        <f>IF(SETUP!$F$36="Upfront",$E$394*'TB-Pharmaceuticals'!BF14,0)</f>
        <v>0</v>
      </c>
      <c r="R395" s="1194">
        <f>IF(SETUP!$F$36="Upfront",$E$394*'TB-Pharmaceuticals'!BG14,0)</f>
        <v>0</v>
      </c>
      <c r="S395" s="1194">
        <f>IF(SETUP!$F$36="Upfront",$E$394*'TB-Pharmaceuticals'!BH14,0)</f>
        <v>0</v>
      </c>
      <c r="T395" s="1194">
        <f t="shared" si="58"/>
        <v>0</v>
      </c>
      <c r="U395" s="1328">
        <f t="shared" si="59"/>
        <v>0</v>
      </c>
      <c r="V395" s="1826">
        <v>7.3</v>
      </c>
      <c r="W395" s="1830"/>
      <c r="X395" s="849"/>
      <c r="Y395" s="768"/>
      <c r="Z395" s="768"/>
      <c r="AA395" s="768"/>
      <c r="AB395" s="768"/>
      <c r="AC395" s="768"/>
      <c r="AD395" s="768"/>
      <c r="AE395" s="768"/>
      <c r="AF395" s="868"/>
      <c r="AG395" s="768"/>
      <c r="AH395" s="768"/>
      <c r="AI395" s="768"/>
      <c r="AJ395" s="768"/>
      <c r="AK395" s="768"/>
      <c r="AL395" s="768"/>
      <c r="AM395" s="768"/>
      <c r="AN395" s="768"/>
      <c r="AO395" s="768"/>
      <c r="AP395" s="768"/>
      <c r="AQ395" s="768"/>
      <c r="AR395" s="768"/>
      <c r="AS395" s="768"/>
      <c r="AT395" s="768"/>
      <c r="AU395" s="768"/>
      <c r="AV395" s="768"/>
      <c r="AW395" s="768"/>
      <c r="AX395" s="768"/>
      <c r="AY395" s="768"/>
      <c r="AZ395" s="768"/>
      <c r="BA395" s="768"/>
      <c r="BB395" s="768"/>
      <c r="BC395" s="768"/>
      <c r="BD395" s="768"/>
      <c r="BE395" s="768"/>
      <c r="BF395" s="768"/>
      <c r="BG395" s="768"/>
      <c r="BH395" s="768"/>
      <c r="BI395" s="768"/>
      <c r="BJ395" s="768"/>
      <c r="BK395" s="768"/>
      <c r="BL395" s="768"/>
      <c r="BM395" s="768"/>
      <c r="BN395" s="768"/>
      <c r="BO395" s="768"/>
      <c r="BP395" s="768"/>
      <c r="BQ395" s="768"/>
      <c r="BR395" s="768"/>
    </row>
    <row r="396" spans="1:70" s="759" customFormat="1" ht="12.75" hidden="1" customHeight="1" outlineLevel="1">
      <c r="A396" s="2919"/>
      <c r="B396" s="2920"/>
      <c r="C396" s="2912" t="s">
        <v>36</v>
      </c>
      <c r="D396" s="2912"/>
      <c r="E396" s="1653"/>
      <c r="F396" s="1328">
        <v>0</v>
      </c>
      <c r="G396" s="1194">
        <f>IF(SETUP!$F$36="At delivery",IF(SETUP!$G$36=1,$E$394*'TB-Pharmaceuticals'!AW14,0),0)</f>
        <v>0</v>
      </c>
      <c r="H396" s="1194">
        <f>IF(SETUP!$F$36="At delivery",IF(SETUP!$G$36=2,$E$394*'TB-Pharmaceuticals'!AW14,IF(SETUP!$G$36=1,$E$394*'TB-Pharmaceuticals'!AX14,0)),0)</f>
        <v>0</v>
      </c>
      <c r="I396" s="1194">
        <f>IF(SETUP!$F$36="At delivery",IF(SETUP!$G$36=3,$E$394*'TB-Pharmaceuticals'!AW14,IF(SETUP!$G$36=2,$E$394*'TB-Pharmaceuticals'!AX14,IF(SETUP!$G$36=1,$E$394*'TB-Pharmaceuticals'!AY14,0))),0)</f>
        <v>0</v>
      </c>
      <c r="J396" s="1194">
        <f t="shared" si="56"/>
        <v>0</v>
      </c>
      <c r="K396" s="1328">
        <f>IF(SETUP!$F$36="At delivery",IF(SETUP!$G$36=4,$E$394*'TB-Pharmaceuticals'!AW14,IF(SETUP!$G$36=3,$E$394*'TB-Pharmaceuticals'!AX14,IF(SETUP!$G$36=2,$E$394*'TB-Pharmaceuticals'!AY14,IF(SETUP!$G$36=1,$E$394*'TB-Pharmaceuticals'!AZ14,0)))),0)</f>
        <v>0</v>
      </c>
      <c r="L396" s="1194">
        <f>IF(SETUP!$F$36="At delivery",IF(SETUP!$G$36=4,$E$394*'TB-Pharmaceuticals'!AX14,IF(SETUP!$G$36=3,$E$394*'TB-Pharmaceuticals'!AY14,IF(SETUP!$G$36=2,$E$394*'TB-Pharmaceuticals'!AZ14,IF(SETUP!$G$36=1,$E$394*'TB-Pharmaceuticals'!BA14,0)))),0)</f>
        <v>0</v>
      </c>
      <c r="M396" s="1194">
        <f>IF(SETUP!$F$36="At delivery",IF(SETUP!$G$36=4,$E$394*'TB-Pharmaceuticals'!AY14,IF(SETUP!$G$36=3,$E$394*'TB-Pharmaceuticals'!AZ14,IF(SETUP!$G$36=2,$E$394*'TB-Pharmaceuticals'!BA14,IF(SETUP!$G$36=1,$E$394*'TB-Pharmaceuticals'!BB14,0)))),0)</f>
        <v>0</v>
      </c>
      <c r="N396" s="1194">
        <f>IF(SETUP!$F$36="At delivery",IF(SETUP!$G$36=4,$E$394*'TB-Pharmaceuticals'!AZ14,IF(SETUP!$G$36=3,$E$394*'TB-Pharmaceuticals'!BA14,IF(SETUP!$G$36=2,$E$394*'TB-Pharmaceuticals'!BB14,IF(SETUP!$G$36=1,$E$394*'TB-Pharmaceuticals'!BC14,0)))),0)</f>
        <v>0</v>
      </c>
      <c r="O396" s="1194">
        <f t="shared" si="57"/>
        <v>0</v>
      </c>
      <c r="P396" s="1328">
        <f>IF(SETUP!$F$36="At delivery",IF(SETUP!$G$36=4,$E$394*'TB-Pharmaceuticals'!BA14,IF(SETUP!$G$36=3,$E$394*'TB-Pharmaceuticals'!BB14,IF(SETUP!$G$36=2,$E$394*'TB-Pharmaceuticals'!BC14,IF(SETUP!$G$36=1,$E$394*'TB-Pharmaceuticals'!BD14,0)))),0)</f>
        <v>0</v>
      </c>
      <c r="Q396" s="1194">
        <f>IF(SETUP!$F$36="At delivery",IF(SETUP!$G$36=4,$E$394*'TB-Pharmaceuticals'!BB14,IF(SETUP!$G$36=3,$E$394*'TB-Pharmaceuticals'!BC14,IF(SETUP!$G$36=2,$E$394*'TB-Pharmaceuticals'!BD14,IF(SETUP!$G$36=1,$E$394*'TB-Pharmaceuticals'!BE14,0)))),0)</f>
        <v>0</v>
      </c>
      <c r="R396" s="1194">
        <f>IF(SETUP!$F$36="At delivery",IF(SETUP!$G$36=4,$E$394*'TB-Pharmaceuticals'!BC14,IF(SETUP!$G$36=3,$E$394*'TB-Pharmaceuticals'!BD14,IF(SETUP!$G$36=2,$E$394*'TB-Pharmaceuticals'!BE14,IF(SETUP!$G$36=1,$E$394*'TB-Pharmaceuticals'!BF14,0)))),0)</f>
        <v>0</v>
      </c>
      <c r="S396" s="1194">
        <f>IF(SETUP!$F$36="At delivery",IF(SETUP!$G$36=4,$E$394*('TB-Pharmaceuticals'!BD14+'TB-Pharmaceuticals'!BE14+'TB-Pharmaceuticals'!BF14+'TB-Pharmaceuticals'!BG14+'TB-Pharmaceuticals'!BH14),IF(SETUP!$G$36=3,$E$394*('TB-Pharmaceuticals'!BE14+'TB-Pharmaceuticals'!BF14+'TB-Pharmaceuticals'!BG14+'TB-Pharmaceuticals'!BH14),IF(SETUP!$G$36=2,$E$394*('TB-Pharmaceuticals'!BF14+'TB-Pharmaceuticals'!BG14+'TB-Pharmaceuticals'!BH14),IF(SETUP!$G$36=1,$E$394*('TB-Pharmaceuticals'!BG14+'TB-Pharmaceuticals'!BH14),0)))),0)</f>
        <v>0</v>
      </c>
      <c r="T396" s="1194">
        <f t="shared" si="58"/>
        <v>0</v>
      </c>
      <c r="U396" s="1328">
        <f t="shared" si="59"/>
        <v>0</v>
      </c>
      <c r="V396" s="1826">
        <v>7.3</v>
      </c>
      <c r="W396" s="1830"/>
      <c r="X396" s="849"/>
      <c r="Y396" s="768"/>
      <c r="Z396" s="768"/>
      <c r="AA396" s="768"/>
      <c r="AB396" s="768"/>
      <c r="AC396" s="768"/>
      <c r="AD396" s="768"/>
      <c r="AE396" s="768"/>
      <c r="AF396" s="868"/>
      <c r="AG396" s="768"/>
      <c r="AH396" s="768"/>
      <c r="AI396" s="768"/>
      <c r="AJ396" s="768"/>
      <c r="AK396" s="768"/>
      <c r="AL396" s="768"/>
      <c r="AM396" s="768"/>
      <c r="AN396" s="768"/>
      <c r="AO396" s="768"/>
      <c r="AP396" s="768"/>
      <c r="AQ396" s="768"/>
      <c r="AR396" s="768"/>
      <c r="AS396" s="768"/>
      <c r="AT396" s="768"/>
      <c r="AU396" s="768"/>
      <c r="AV396" s="768"/>
      <c r="AW396" s="768"/>
      <c r="AX396" s="768"/>
      <c r="AY396" s="768"/>
      <c r="AZ396" s="768"/>
      <c r="BA396" s="768"/>
      <c r="BB396" s="768"/>
      <c r="BC396" s="768"/>
      <c r="BD396" s="768"/>
      <c r="BE396" s="768"/>
      <c r="BF396" s="768"/>
      <c r="BG396" s="768"/>
      <c r="BH396" s="768"/>
      <c r="BI396" s="768"/>
      <c r="BJ396" s="768"/>
      <c r="BK396" s="768"/>
      <c r="BL396" s="768"/>
      <c r="BM396" s="768"/>
      <c r="BN396" s="768"/>
      <c r="BO396" s="768"/>
      <c r="BP396" s="768"/>
      <c r="BQ396" s="768"/>
      <c r="BR396" s="768"/>
    </row>
    <row r="397" spans="1:70" s="759" customFormat="1" ht="13" hidden="1" collapsed="1">
      <c r="A397" s="2919"/>
      <c r="B397" s="2920"/>
      <c r="C397" s="2911" t="s">
        <v>571</v>
      </c>
      <c r="D397" s="2911"/>
      <c r="E397" s="1651">
        <v>1E-4</v>
      </c>
      <c r="F397" s="1328">
        <f>IF(SETUP!$F$38="Upfront",F398,F399)</f>
        <v>0</v>
      </c>
      <c r="G397" s="1194">
        <f>IF(SETUP!$F$38="Upfront",G398,G399)</f>
        <v>0</v>
      </c>
      <c r="H397" s="1194">
        <f>IF(SETUP!$F$38="Upfront",H398,H399)</f>
        <v>0</v>
      </c>
      <c r="I397" s="1194">
        <f>IF(SETUP!$F$38="Upfront",I398,I399)</f>
        <v>0</v>
      </c>
      <c r="J397" s="1194">
        <f t="shared" si="56"/>
        <v>0</v>
      </c>
      <c r="K397" s="1328">
        <f>IF(SETUP!$F$38="Upfront",K398,K399)</f>
        <v>0</v>
      </c>
      <c r="L397" s="1194">
        <f>IF(SETUP!$F$38="Upfront",L398,L399)</f>
        <v>0</v>
      </c>
      <c r="M397" s="1194">
        <f>IF(SETUP!$F$38="Upfront",M398,M399)</f>
        <v>0</v>
      </c>
      <c r="N397" s="1194">
        <f>IF(SETUP!$F$38="Upfront",N398,N399)</f>
        <v>0</v>
      </c>
      <c r="O397" s="1194">
        <f t="shared" si="57"/>
        <v>0</v>
      </c>
      <c r="P397" s="1328">
        <f>IF(SETUP!$F$38="Upfront",P398,P399)</f>
        <v>0</v>
      </c>
      <c r="Q397" s="1194">
        <f>IF(SETUP!$F$38="Upfront",Q398,Q399)</f>
        <v>0</v>
      </c>
      <c r="R397" s="1194">
        <f>IF(SETUP!$F$38="Upfront",R398,R399)</f>
        <v>0</v>
      </c>
      <c r="S397" s="1194">
        <f>IF(SETUP!$F$38="Upfront",S398,S399)</f>
        <v>0</v>
      </c>
      <c r="T397" s="1194">
        <f t="shared" si="58"/>
        <v>0</v>
      </c>
      <c r="U397" s="1328">
        <f t="shared" si="59"/>
        <v>0</v>
      </c>
      <c r="V397" s="1826">
        <v>7.3</v>
      </c>
      <c r="W397" s="1830"/>
      <c r="X397" s="849"/>
      <c r="Y397" s="768"/>
      <c r="Z397" s="768"/>
      <c r="AA397" s="768"/>
      <c r="AB397" s="768"/>
      <c r="AC397" s="768"/>
      <c r="AD397" s="768"/>
      <c r="AE397" s="768"/>
      <c r="AF397" s="868"/>
      <c r="AG397" s="768"/>
      <c r="AH397" s="768"/>
      <c r="AI397" s="768"/>
      <c r="AJ397" s="768"/>
      <c r="AK397" s="768"/>
      <c r="AL397" s="768"/>
      <c r="AM397" s="768"/>
      <c r="AN397" s="768"/>
      <c r="AO397" s="768"/>
      <c r="AP397" s="768"/>
      <c r="AQ397" s="768"/>
      <c r="AR397" s="768"/>
      <c r="AS397" s="768"/>
      <c r="AT397" s="768"/>
      <c r="AU397" s="768"/>
      <c r="AV397" s="768"/>
      <c r="AW397" s="768"/>
      <c r="AX397" s="768"/>
      <c r="AY397" s="768"/>
      <c r="AZ397" s="768"/>
      <c r="BA397" s="768"/>
      <c r="BB397" s="768"/>
      <c r="BC397" s="768"/>
      <c r="BD397" s="768"/>
      <c r="BE397" s="768"/>
      <c r="BF397" s="768"/>
      <c r="BG397" s="768"/>
      <c r="BH397" s="768"/>
      <c r="BI397" s="768"/>
      <c r="BJ397" s="768"/>
      <c r="BK397" s="768"/>
      <c r="BL397" s="768"/>
      <c r="BM397" s="768"/>
      <c r="BN397" s="768"/>
      <c r="BO397" s="768"/>
      <c r="BP397" s="768"/>
      <c r="BQ397" s="768"/>
      <c r="BR397" s="768"/>
    </row>
    <row r="398" spans="1:70" s="759" customFormat="1" ht="12.75" hidden="1" customHeight="1" outlineLevel="1">
      <c r="A398" s="2919"/>
      <c r="B398" s="2920"/>
      <c r="C398" s="2912" t="s">
        <v>918</v>
      </c>
      <c r="D398" s="2912"/>
      <c r="E398" s="1653"/>
      <c r="F398" s="1328">
        <f>IF(SETUP!$F$38="Upfront",$E$397*'TB-Pharmaceuticals'!AW15,0)</f>
        <v>0</v>
      </c>
      <c r="G398" s="1194">
        <f>IF(SETUP!$F$38="Upfront",$E$397*'TB-Pharmaceuticals'!AX15,0)</f>
        <v>0</v>
      </c>
      <c r="H398" s="1194">
        <f>IF(SETUP!$F$38="Upfront",$E$397*'TB-Pharmaceuticals'!AY15,0)</f>
        <v>0</v>
      </c>
      <c r="I398" s="1194">
        <f>IF(SETUP!$F$38="Upfront",$E$397*'TB-Pharmaceuticals'!AZ15,0)</f>
        <v>0</v>
      </c>
      <c r="J398" s="1194">
        <f t="shared" si="56"/>
        <v>0</v>
      </c>
      <c r="K398" s="1328">
        <f>IF(SETUP!$F$38="Upfront",$E$397*'TB-Pharmaceuticals'!BA15,0)</f>
        <v>0</v>
      </c>
      <c r="L398" s="1194">
        <f>IF(SETUP!$F$38="Upfront",$E$397*'TB-Pharmaceuticals'!BB15,0)</f>
        <v>0</v>
      </c>
      <c r="M398" s="1194">
        <f>IF(SETUP!$F$38="Upfront",$E$397*'TB-Pharmaceuticals'!BC15,0)</f>
        <v>0</v>
      </c>
      <c r="N398" s="1194">
        <f>IF(SETUP!$F$38="Upfront",$E$397*'TB-Pharmaceuticals'!BD15,0)</f>
        <v>0</v>
      </c>
      <c r="O398" s="1194">
        <f t="shared" si="57"/>
        <v>0</v>
      </c>
      <c r="P398" s="1328">
        <f>IF(SETUP!$F$38="Upfront",$E$397*'TB-Pharmaceuticals'!BE15,0)</f>
        <v>0</v>
      </c>
      <c r="Q398" s="1194">
        <f>IF(SETUP!$F$38="Upfront",$E$397*'TB-Pharmaceuticals'!BF15,0)</f>
        <v>0</v>
      </c>
      <c r="R398" s="1194">
        <f>IF(SETUP!$F$38="Upfront",$E$397*'TB-Pharmaceuticals'!BG15,0)</f>
        <v>0</v>
      </c>
      <c r="S398" s="1194">
        <f>IF(SETUP!$F$38="Upfront",$E$397*'TB-Pharmaceuticals'!BH15,0)</f>
        <v>0</v>
      </c>
      <c r="T398" s="1194">
        <f t="shared" si="58"/>
        <v>0</v>
      </c>
      <c r="U398" s="1328">
        <f t="shared" si="59"/>
        <v>0</v>
      </c>
      <c r="V398" s="1826">
        <v>7.3</v>
      </c>
      <c r="W398" s="1830"/>
      <c r="X398" s="849"/>
      <c r="Y398" s="768"/>
      <c r="Z398" s="768"/>
      <c r="AA398" s="768"/>
      <c r="AB398" s="768"/>
      <c r="AC398" s="768"/>
      <c r="AD398" s="768"/>
      <c r="AE398" s="768"/>
      <c r="AF398" s="868"/>
      <c r="AG398" s="768"/>
      <c r="AH398" s="768"/>
      <c r="AI398" s="768"/>
      <c r="AJ398" s="768"/>
      <c r="AK398" s="768"/>
      <c r="AL398" s="768"/>
      <c r="AM398" s="768"/>
      <c r="AN398" s="768"/>
      <c r="AO398" s="768"/>
      <c r="AP398" s="768"/>
      <c r="AQ398" s="768"/>
      <c r="AR398" s="768"/>
      <c r="AS398" s="768"/>
      <c r="AT398" s="768"/>
      <c r="AU398" s="768"/>
      <c r="AV398" s="768"/>
      <c r="AW398" s="768"/>
      <c r="AX398" s="768"/>
      <c r="AY398" s="768"/>
      <c r="AZ398" s="768"/>
      <c r="BA398" s="768"/>
      <c r="BB398" s="768"/>
      <c r="BC398" s="768"/>
      <c r="BD398" s="768"/>
      <c r="BE398" s="768"/>
      <c r="BF398" s="768"/>
      <c r="BG398" s="768"/>
      <c r="BH398" s="768"/>
      <c r="BI398" s="768"/>
      <c r="BJ398" s="768"/>
      <c r="BK398" s="768"/>
      <c r="BL398" s="768"/>
      <c r="BM398" s="768"/>
      <c r="BN398" s="768"/>
      <c r="BO398" s="768"/>
      <c r="BP398" s="768"/>
      <c r="BQ398" s="768"/>
      <c r="BR398" s="768"/>
    </row>
    <row r="399" spans="1:70" s="759" customFormat="1" ht="12.75" hidden="1" customHeight="1" outlineLevel="1">
      <c r="A399" s="2919"/>
      <c r="B399" s="2920"/>
      <c r="C399" s="2912" t="s">
        <v>36</v>
      </c>
      <c r="D399" s="2912"/>
      <c r="E399" s="1649"/>
      <c r="F399" s="1328">
        <v>0</v>
      </c>
      <c r="G399" s="1194">
        <f>IF(SETUP!$F$38="At delivery",IF(SETUP!$G$38=1,$E$397*'TB-Pharmaceuticals'!AW15,0),0)</f>
        <v>0</v>
      </c>
      <c r="H399" s="1194">
        <f>IF(SETUP!$F$38="At delivery",IF(SETUP!$G$38=2,$E$397*'TB-Pharmaceuticals'!AW15,IF(SETUP!$G$38=1,$E$397*'TB-Pharmaceuticals'!AX15,0)),0)</f>
        <v>0</v>
      </c>
      <c r="I399" s="1194">
        <f>IF(SETUP!$F$38="At delivery",IF(SETUP!$G$38=3,$E$397*'TB-Pharmaceuticals'!AW15,IF(SETUP!$G$38=2,$E$397*'TB-Pharmaceuticals'!AX15,IF(SETUP!$G$38=1,$E$397*'TB-Pharmaceuticals'!AY15,0))),0)</f>
        <v>0</v>
      </c>
      <c r="J399" s="1194">
        <f t="shared" si="56"/>
        <v>0</v>
      </c>
      <c r="K399" s="1328">
        <f>IF(SETUP!$F$38="At delivery",IF(SETUP!$G$38=4,$E$397*'TB-Pharmaceuticals'!AW15,IF(SETUP!$G$38=3,$E$397*'TB-Pharmaceuticals'!AX15,IF(SETUP!$G$38=2,$E$397*'TB-Pharmaceuticals'!AY15,IF(SETUP!$G$38=1,$E$397*'TB-Pharmaceuticals'!AZ15,0)))),0)</f>
        <v>0</v>
      </c>
      <c r="L399" s="1194">
        <f>IF(SETUP!$F$38="At delivery",IF(SETUP!$G$38=4,$E$397*'TB-Pharmaceuticals'!AX15,IF(SETUP!$G$38=3,$E$397*'TB-Pharmaceuticals'!AY15,IF(SETUP!$G$38=2,$E$397*'TB-Pharmaceuticals'!AZ15,IF(SETUP!$G$38=1,$E$397*'TB-Pharmaceuticals'!BA15,0)))),0)</f>
        <v>0</v>
      </c>
      <c r="M399" s="1194">
        <f>IF(SETUP!$F$38="At delivery",IF(SETUP!$G$38=4,$E$397*'TB-Pharmaceuticals'!AY15,IF(SETUP!$G$38=3,$E$397*'TB-Pharmaceuticals'!AZ15,IF(SETUP!$G$38=2,$E$397*'TB-Pharmaceuticals'!BA15,IF(SETUP!$G$38=1,$E$397*'TB-Pharmaceuticals'!BB15,0)))),0)</f>
        <v>0</v>
      </c>
      <c r="N399" s="1194">
        <f>IF(SETUP!$F$38="At delivery",IF(SETUP!$G$38=4,$E$397*'TB-Pharmaceuticals'!AZ15,IF(SETUP!$G$38=3,$E$397*'TB-Pharmaceuticals'!BA15,IF(SETUP!$G$38=2,$E$397*'TB-Pharmaceuticals'!BB15,IF(SETUP!$G$38=1,$E$397*'TB-Pharmaceuticals'!BC15,0)))),0)</f>
        <v>0</v>
      </c>
      <c r="O399" s="1194">
        <f t="shared" si="57"/>
        <v>0</v>
      </c>
      <c r="P399" s="1328">
        <f>IF(SETUP!$F$38="At delivery",IF(SETUP!$G$38=4,$E$397*'TB-Pharmaceuticals'!BA15,IF(SETUP!$G$38=3,$E$397*'TB-Pharmaceuticals'!BB15,IF(SETUP!$G$38=2,$E$397*'TB-Pharmaceuticals'!BC15,IF(SETUP!$G$38=1,$E$397*'TB-Pharmaceuticals'!BD15,0)))),0)</f>
        <v>0</v>
      </c>
      <c r="Q399" s="1194">
        <f>IF(SETUP!$F$38="At delivery",IF(SETUP!$G$38=4,$E$397*'TB-Pharmaceuticals'!BB15,IF(SETUP!$G$38=3,$E$397*'TB-Pharmaceuticals'!BC15,IF(SETUP!$G$38=2,$E$397*'TB-Pharmaceuticals'!BD15,IF(SETUP!$G$38=1,$E$397*'TB-Pharmaceuticals'!BE15,0)))),0)</f>
        <v>0</v>
      </c>
      <c r="R399" s="1194">
        <f>IF(SETUP!$F$38="At delivery",IF(SETUP!$G$38=4,$E$397*'TB-Pharmaceuticals'!BC15,IF(SETUP!$G$38=3,$E$397*'TB-Pharmaceuticals'!BD15,IF(SETUP!$G$38=2,$E$397*'TB-Pharmaceuticals'!BE15,IF(SETUP!$G$38=1,$E$397*'TB-Pharmaceuticals'!BF15,0)))),0)</f>
        <v>0</v>
      </c>
      <c r="S399" s="1194">
        <f>IF(SETUP!$F$38="At delivery",IF(SETUP!$G$38=4,$E$397*('TB-Pharmaceuticals'!BD15+'TB-Pharmaceuticals'!BE15+'TB-Pharmaceuticals'!BF15+'TB-Pharmaceuticals'!BG15+'TB-Pharmaceuticals'!BH15),IF(SETUP!$G$38=3,$E$397*('TB-Pharmaceuticals'!BE15+'TB-Pharmaceuticals'!BF15+'TB-Pharmaceuticals'!BG15+'TB-Pharmaceuticals'!BH15),IF(SETUP!$G$38=2,$E$397*('TB-Pharmaceuticals'!BF15+'TB-Pharmaceuticals'!BG15+'TB-Pharmaceuticals'!BH15),IF(SETUP!$G$38=1,$E$397*('TB-Pharmaceuticals'!BG15+'TB-Pharmaceuticals'!BH15),0)))),0)</f>
        <v>0</v>
      </c>
      <c r="T399" s="1194">
        <f t="shared" si="58"/>
        <v>0</v>
      </c>
      <c r="U399" s="1328">
        <f t="shared" si="59"/>
        <v>0</v>
      </c>
      <c r="V399" s="1826">
        <v>7.3</v>
      </c>
      <c r="W399" s="1830"/>
      <c r="X399" s="849"/>
      <c r="Y399" s="768"/>
      <c r="Z399" s="768"/>
      <c r="AA399" s="768"/>
      <c r="AB399" s="768"/>
      <c r="AC399" s="768"/>
      <c r="AD399" s="768"/>
      <c r="AE399" s="768"/>
      <c r="AF399" s="868"/>
      <c r="AG399" s="768"/>
      <c r="AH399" s="768"/>
      <c r="AI399" s="768"/>
      <c r="AJ399" s="768"/>
      <c r="AK399" s="768"/>
      <c r="AL399" s="768"/>
      <c r="AM399" s="768"/>
      <c r="AN399" s="768"/>
      <c r="AO399" s="768"/>
      <c r="AP399" s="768"/>
      <c r="AQ399" s="768"/>
      <c r="AR399" s="768"/>
      <c r="AS399" s="768"/>
      <c r="AT399" s="768"/>
      <c r="AU399" s="768"/>
      <c r="AV399" s="768"/>
      <c r="AW399" s="768"/>
      <c r="AX399" s="768"/>
      <c r="AY399" s="768"/>
      <c r="AZ399" s="768"/>
      <c r="BA399" s="768"/>
      <c r="BB399" s="768"/>
      <c r="BC399" s="768"/>
      <c r="BD399" s="768"/>
      <c r="BE399" s="768"/>
      <c r="BF399" s="768"/>
      <c r="BG399" s="768"/>
      <c r="BH399" s="768"/>
      <c r="BI399" s="768"/>
      <c r="BJ399" s="768"/>
      <c r="BK399" s="768"/>
      <c r="BL399" s="768"/>
      <c r="BM399" s="768"/>
      <c r="BN399" s="768"/>
      <c r="BO399" s="768"/>
      <c r="BP399" s="768"/>
      <c r="BQ399" s="768"/>
      <c r="BR399" s="768"/>
    </row>
    <row r="400" spans="1:70" s="759" customFormat="1" ht="13" hidden="1" collapsed="1">
      <c r="A400" s="2919"/>
      <c r="B400" s="2920"/>
      <c r="C400" s="2911" t="s">
        <v>1792</v>
      </c>
      <c r="D400" s="2911"/>
      <c r="E400" s="1651">
        <v>0</v>
      </c>
      <c r="F400" s="1328">
        <f>IF(SETUP!$F$39="Upfront",F401,F402)</f>
        <v>0</v>
      </c>
      <c r="G400" s="1194">
        <f>IF(SETUP!$F$39="Upfront",G401,G402)</f>
        <v>0</v>
      </c>
      <c r="H400" s="1194">
        <f>IF(SETUP!$F$39="Upfront",H401,H402)</f>
        <v>0</v>
      </c>
      <c r="I400" s="1194">
        <f>IF(SETUP!$F$39="Upfront",I401,I402)</f>
        <v>0</v>
      </c>
      <c r="J400" s="1194">
        <f t="shared" si="56"/>
        <v>0</v>
      </c>
      <c r="K400" s="1328">
        <f>IF(SETUP!$F$39="Upfront",K401,K402)</f>
        <v>0</v>
      </c>
      <c r="L400" s="1194">
        <f>IF(SETUP!$F$39="Upfront",L401,L402)</f>
        <v>0</v>
      </c>
      <c r="M400" s="1194">
        <f>IF(SETUP!$F$39="Upfront",M401,M402)</f>
        <v>0</v>
      </c>
      <c r="N400" s="1194">
        <f>IF(SETUP!$F$39="Upfront",N401,N402)</f>
        <v>0</v>
      </c>
      <c r="O400" s="1194">
        <f t="shared" si="57"/>
        <v>0</v>
      </c>
      <c r="P400" s="1328">
        <f>IF(SETUP!$F$39="Upfront",P401,P402)</f>
        <v>0</v>
      </c>
      <c r="Q400" s="1194">
        <f>IF(SETUP!$F$39="Upfront",Q401,Q402)</f>
        <v>0</v>
      </c>
      <c r="R400" s="1194">
        <f>IF(SETUP!$F$39="Upfront",R401,R402)</f>
        <v>0</v>
      </c>
      <c r="S400" s="1194">
        <f>IF(SETUP!$F$39="Upfront",S401,S402)</f>
        <v>0</v>
      </c>
      <c r="T400" s="1194">
        <f t="shared" si="58"/>
        <v>0</v>
      </c>
      <c r="U400" s="1328">
        <f t="shared" si="59"/>
        <v>0</v>
      </c>
      <c r="V400" s="1826">
        <v>7.3</v>
      </c>
      <c r="W400" s="1830"/>
      <c r="X400" s="849"/>
      <c r="Y400" s="768"/>
      <c r="Z400" s="768"/>
      <c r="AA400" s="768"/>
      <c r="AB400" s="768"/>
      <c r="AC400" s="768"/>
      <c r="AD400" s="768"/>
      <c r="AE400" s="768"/>
      <c r="AF400" s="868"/>
      <c r="AG400" s="768"/>
      <c r="AH400" s="768"/>
      <c r="AI400" s="768"/>
      <c r="AJ400" s="768"/>
      <c r="AK400" s="768"/>
      <c r="AL400" s="768"/>
      <c r="AM400" s="768"/>
      <c r="AN400" s="768"/>
      <c r="AO400" s="768"/>
      <c r="AP400" s="768"/>
      <c r="AQ400" s="768"/>
      <c r="AR400" s="768"/>
      <c r="AS400" s="768"/>
      <c r="AT400" s="768"/>
      <c r="AU400" s="768"/>
      <c r="AV400" s="768"/>
      <c r="AW400" s="768"/>
      <c r="AX400" s="768"/>
      <c r="AY400" s="768"/>
      <c r="AZ400" s="768"/>
      <c r="BA400" s="768"/>
      <c r="BB400" s="768"/>
      <c r="BC400" s="768"/>
      <c r="BD400" s="768"/>
      <c r="BE400" s="768"/>
      <c r="BF400" s="768"/>
      <c r="BG400" s="768"/>
      <c r="BH400" s="768"/>
      <c r="BI400" s="768"/>
      <c r="BJ400" s="768"/>
      <c r="BK400" s="768"/>
      <c r="BL400" s="768"/>
      <c r="BM400" s="768"/>
      <c r="BN400" s="768"/>
      <c r="BO400" s="768"/>
      <c r="BP400" s="768"/>
      <c r="BQ400" s="768"/>
      <c r="BR400" s="768"/>
    </row>
    <row r="401" spans="1:70" s="759" customFormat="1" ht="12.75" hidden="1" customHeight="1" outlineLevel="1">
      <c r="A401" s="2919"/>
      <c r="B401" s="2920"/>
      <c r="C401" s="2912" t="s">
        <v>918</v>
      </c>
      <c r="D401" s="2912"/>
      <c r="E401" s="1652"/>
      <c r="F401" s="1328">
        <f>IF(SETUP!$F$39="Upfront",$E$400*'TB-Pharmaceuticals'!AW16,0)</f>
        <v>0</v>
      </c>
      <c r="G401" s="1194">
        <f>IF(SETUP!$F$39="Upfront",$E$400*'TB-Pharmaceuticals'!AX16,0)</f>
        <v>0</v>
      </c>
      <c r="H401" s="1194">
        <f>IF(SETUP!$F$39="Upfront",$E$400*'TB-Pharmaceuticals'!AY16,0)</f>
        <v>0</v>
      </c>
      <c r="I401" s="1194">
        <f>IF(SETUP!$F$39="Upfront",$E$400*'TB-Pharmaceuticals'!AZ16,0)</f>
        <v>0</v>
      </c>
      <c r="J401" s="1194">
        <f t="shared" si="56"/>
        <v>0</v>
      </c>
      <c r="K401" s="1328">
        <f>IF(SETUP!$F$39="Upfront",$E$400*'TB-Pharmaceuticals'!BA16,0)</f>
        <v>0</v>
      </c>
      <c r="L401" s="1194">
        <f>IF(SETUP!$F$39="Upfront",$E$400*'TB-Pharmaceuticals'!BB16,0)</f>
        <v>0</v>
      </c>
      <c r="M401" s="1194">
        <f>IF(SETUP!$F$39="Upfront",$E$400*'TB-Pharmaceuticals'!BC16,0)</f>
        <v>0</v>
      </c>
      <c r="N401" s="1194">
        <f>IF(SETUP!$F$39="Upfront",$E$400*'TB-Pharmaceuticals'!BD16,0)</f>
        <v>0</v>
      </c>
      <c r="O401" s="1194">
        <f t="shared" si="57"/>
        <v>0</v>
      </c>
      <c r="P401" s="1328">
        <f>IF(SETUP!$F$39="Upfront",$E$400*'TB-Pharmaceuticals'!BE16,0)</f>
        <v>0</v>
      </c>
      <c r="Q401" s="1194">
        <f>IF(SETUP!$F$39="Upfront",$E$400*'TB-Pharmaceuticals'!BF16,0)</f>
        <v>0</v>
      </c>
      <c r="R401" s="1194">
        <f>IF(SETUP!$F$39="Upfront",$E$400*'TB-Pharmaceuticals'!BG16,0)</f>
        <v>0</v>
      </c>
      <c r="S401" s="1194">
        <f>IF(SETUP!$F$39="Upfront",$E$400*'TB-Pharmaceuticals'!BH16,0)</f>
        <v>0</v>
      </c>
      <c r="T401" s="1194">
        <f t="shared" si="58"/>
        <v>0</v>
      </c>
      <c r="U401" s="1328">
        <f t="shared" si="59"/>
        <v>0</v>
      </c>
      <c r="V401" s="1826">
        <v>7.3</v>
      </c>
      <c r="W401" s="1830"/>
      <c r="X401" s="849"/>
      <c r="Y401" s="768"/>
      <c r="Z401" s="768"/>
      <c r="AA401" s="768"/>
      <c r="AB401" s="768"/>
      <c r="AC401" s="768"/>
      <c r="AD401" s="768"/>
      <c r="AE401" s="768"/>
      <c r="AF401" s="868"/>
      <c r="AG401" s="768"/>
      <c r="AH401" s="768"/>
      <c r="AI401" s="768"/>
      <c r="AJ401" s="768"/>
      <c r="AK401" s="768"/>
      <c r="AL401" s="768"/>
      <c r="AM401" s="768"/>
      <c r="AN401" s="768"/>
      <c r="AO401" s="768"/>
      <c r="AP401" s="768"/>
      <c r="AQ401" s="768"/>
      <c r="AR401" s="768"/>
      <c r="AS401" s="768"/>
      <c r="AT401" s="768"/>
      <c r="AU401" s="768"/>
      <c r="AV401" s="768"/>
      <c r="AW401" s="768"/>
      <c r="AX401" s="768"/>
      <c r="AY401" s="768"/>
      <c r="AZ401" s="768"/>
      <c r="BA401" s="768"/>
      <c r="BB401" s="768"/>
      <c r="BC401" s="768"/>
      <c r="BD401" s="768"/>
      <c r="BE401" s="768"/>
      <c r="BF401" s="768"/>
      <c r="BG401" s="768"/>
      <c r="BH401" s="768"/>
      <c r="BI401" s="768"/>
      <c r="BJ401" s="768"/>
      <c r="BK401" s="768"/>
      <c r="BL401" s="768"/>
      <c r="BM401" s="768"/>
      <c r="BN401" s="768"/>
      <c r="BO401" s="768"/>
      <c r="BP401" s="768"/>
      <c r="BQ401" s="768"/>
      <c r="BR401" s="768"/>
    </row>
    <row r="402" spans="1:70" s="759" customFormat="1" ht="12.75" hidden="1" customHeight="1" outlineLevel="1">
      <c r="A402" s="2919"/>
      <c r="B402" s="2920"/>
      <c r="C402" s="2912" t="s">
        <v>36</v>
      </c>
      <c r="D402" s="2912"/>
      <c r="E402" s="1652"/>
      <c r="F402" s="1328">
        <v>0</v>
      </c>
      <c r="G402" s="1194">
        <f>IF(SETUP!$F$39="At delivery",IF(SETUP!$G$39=1,$E$400*'TB-Pharmaceuticals'!AW16,0),0)</f>
        <v>0</v>
      </c>
      <c r="H402" s="1194">
        <f>IF(SETUP!$F$39="At delivery",IF(SETUP!$G$39=2,$E$400*'TB-Pharmaceuticals'!AW16,IF(SETUP!$G$39=1,$E$400*'TB-Pharmaceuticals'!AX16,0)),0)</f>
        <v>0</v>
      </c>
      <c r="I402" s="1194">
        <f>IF(SETUP!$F$39="At delivery",IF(SETUP!$G$39=3,$E$400*'TB-Pharmaceuticals'!AW16,IF(SETUP!$G$39=2,$E$400*'TB-Pharmaceuticals'!AX16,IF(SETUP!$G$39=1,$E$400*'TB-Pharmaceuticals'!AY16,0))),0)</f>
        <v>0</v>
      </c>
      <c r="J402" s="1194">
        <f t="shared" si="56"/>
        <v>0</v>
      </c>
      <c r="K402" s="1328">
        <f>IF(SETUP!$F$39="At delivery",IF(SETUP!$G$39=4,$E$400*'TB-Pharmaceuticals'!AW16,IF(SETUP!$G$39=3,$E$400*'TB-Pharmaceuticals'!AX16,IF(SETUP!$G$39=2,$E$400*'TB-Pharmaceuticals'!AY16,IF(SETUP!$G$39=1,$E$400*'TB-Pharmaceuticals'!AZ16,0)))),0)</f>
        <v>0</v>
      </c>
      <c r="L402" s="1194">
        <f>IF(SETUP!$F$39="At delivery",IF(SETUP!$G$39=4,$E$400*'TB-Pharmaceuticals'!AX16,IF(SETUP!$G$39=3,$E$400*'TB-Pharmaceuticals'!AY16,IF(SETUP!$G$39=2,$E$400*'TB-Pharmaceuticals'!AZ16,IF(SETUP!$G$39=1,$E$400*'TB-Pharmaceuticals'!BA16,0)))),0)</f>
        <v>0</v>
      </c>
      <c r="M402" s="1194">
        <f>IF(SETUP!$F$39="At delivery",IF(SETUP!$G$39=4,$E$400*'TB-Pharmaceuticals'!AY16,IF(SETUP!$G$39=3,$E$400*'TB-Pharmaceuticals'!AZ16,IF(SETUP!$G$39=2,$E$400*'TB-Pharmaceuticals'!BA16,IF(SETUP!$G$39=1,$E$400*'TB-Pharmaceuticals'!BB16,0)))),0)</f>
        <v>0</v>
      </c>
      <c r="N402" s="1194">
        <f>IF(SETUP!$F$39="At delivery",IF(SETUP!$G$39=4,$E$400*'TB-Pharmaceuticals'!AZ16,IF(SETUP!$G$39=3,$E$400*'TB-Pharmaceuticals'!BA16,IF(SETUP!$G$39=2,$E$400*'TB-Pharmaceuticals'!BB16,IF(SETUP!$G$39=1,$E$400*'TB-Pharmaceuticals'!BC16,0)))),0)</f>
        <v>0</v>
      </c>
      <c r="O402" s="1194">
        <f t="shared" si="57"/>
        <v>0</v>
      </c>
      <c r="P402" s="1328">
        <f>IF(SETUP!$F$39="At delivery",IF(SETUP!$G$39=4,$E$400*'TB-Pharmaceuticals'!BA16,IF(SETUP!$G$39=3,$E$400*'TB-Pharmaceuticals'!BB16,IF(SETUP!$G$39=2,$E$400*'TB-Pharmaceuticals'!BC16,IF(SETUP!$G$39=1,$E$400*'TB-Pharmaceuticals'!BD16,0)))),0)</f>
        <v>0</v>
      </c>
      <c r="Q402" s="1194">
        <f>IF(SETUP!$F$39="At delivery",IF(SETUP!$G$39=4,$E$400*'TB-Pharmaceuticals'!BB16,IF(SETUP!$G$39=3,$E$400*'TB-Pharmaceuticals'!BC16,IF(SETUP!$G$39=2,$E$400*'TB-Pharmaceuticals'!BD16,IF(SETUP!$G$39=1,$E$400*'TB-Pharmaceuticals'!BE16,0)))),0)</f>
        <v>0</v>
      </c>
      <c r="R402" s="1194">
        <f>IF(SETUP!$F$39="At delivery",IF(SETUP!$G$39=4,$E$400*'TB-Pharmaceuticals'!BC16,IF(SETUP!$G$39=3,$E$400*'TB-Pharmaceuticals'!BD16,IF(SETUP!$G$39=2,$E$400*'TB-Pharmaceuticals'!BE16,IF(SETUP!$G$39=1,$E$400*'TB-Pharmaceuticals'!BF16,0)))),0)</f>
        <v>0</v>
      </c>
      <c r="S402" s="1194">
        <f>IF(SETUP!$F$39="At delivery",IF(SETUP!$G$39=4,$E$400*('TB-Pharmaceuticals'!BD16+'TB-Pharmaceuticals'!BE16+'TB-Pharmaceuticals'!BF16+'TB-Pharmaceuticals'!BG16+'TB-Pharmaceuticals'!BH16),IF(SETUP!$G$39=3,$E$400*('TB-Pharmaceuticals'!BE16+'TB-Pharmaceuticals'!BF16+'TB-Pharmaceuticals'!BG16+'TB-Pharmaceuticals'!BH16),IF(SETUP!$G$39=2,$E$400*('TB-Pharmaceuticals'!BF16+'TB-Pharmaceuticals'!BG16+'TB-Pharmaceuticals'!BH16),IF(SETUP!$G$39=1,$E$400*('TB-Pharmaceuticals'!BG16+'TB-Pharmaceuticals'!BH16),0)))),0)</f>
        <v>0</v>
      </c>
      <c r="T402" s="1194">
        <f t="shared" si="58"/>
        <v>0</v>
      </c>
      <c r="U402" s="1328">
        <f t="shared" si="59"/>
        <v>0</v>
      </c>
      <c r="V402" s="1826">
        <v>7.3</v>
      </c>
      <c r="W402" s="1830"/>
      <c r="X402" s="849"/>
      <c r="Y402" s="768"/>
      <c r="Z402" s="768"/>
      <c r="AA402" s="768"/>
      <c r="AB402" s="768"/>
      <c r="AC402" s="768"/>
      <c r="AD402" s="768"/>
      <c r="AE402" s="768"/>
      <c r="AF402" s="868"/>
      <c r="AG402" s="768"/>
      <c r="AH402" s="768"/>
      <c r="AI402" s="768"/>
      <c r="AJ402" s="768"/>
      <c r="AK402" s="768"/>
      <c r="AL402" s="768"/>
      <c r="AM402" s="768"/>
      <c r="AN402" s="768"/>
      <c r="AO402" s="768"/>
      <c r="AP402" s="768"/>
      <c r="AQ402" s="768"/>
      <c r="AR402" s="768"/>
      <c r="AS402" s="768"/>
      <c r="AT402" s="768"/>
      <c r="AU402" s="768"/>
      <c r="AV402" s="768"/>
      <c r="AW402" s="768"/>
      <c r="AX402" s="768"/>
      <c r="AY402" s="768"/>
      <c r="AZ402" s="768"/>
      <c r="BA402" s="768"/>
      <c r="BB402" s="768"/>
      <c r="BC402" s="768"/>
      <c r="BD402" s="768"/>
      <c r="BE402" s="768"/>
      <c r="BF402" s="768"/>
      <c r="BG402" s="768"/>
      <c r="BH402" s="768"/>
      <c r="BI402" s="768"/>
      <c r="BJ402" s="768"/>
      <c r="BK402" s="768"/>
      <c r="BL402" s="768"/>
      <c r="BM402" s="768"/>
      <c r="BN402" s="768"/>
      <c r="BO402" s="768"/>
      <c r="BP402" s="768"/>
      <c r="BQ402" s="768"/>
      <c r="BR402" s="768"/>
    </row>
    <row r="403" spans="1:70" s="759" customFormat="1" ht="13" hidden="1" collapsed="1">
      <c r="A403" s="2919" t="s">
        <v>572</v>
      </c>
      <c r="B403" s="2920"/>
      <c r="C403" s="2911" t="s">
        <v>311</v>
      </c>
      <c r="D403" s="2911"/>
      <c r="E403" s="1651">
        <v>0</v>
      </c>
      <c r="F403" s="1328">
        <f>IF(SETUP!$F$40="Upfront",F404,F405)</f>
        <v>0</v>
      </c>
      <c r="G403" s="1194">
        <f>IF(SETUP!$F$40="Upfront",G404,G405)</f>
        <v>0</v>
      </c>
      <c r="H403" s="1194">
        <f>IF(SETUP!$F$40="Upfront",H404,H405)</f>
        <v>0</v>
      </c>
      <c r="I403" s="1194">
        <f>IF(SETUP!$F$40="Upfront",I404,I405)</f>
        <v>0</v>
      </c>
      <c r="J403" s="1194">
        <f t="shared" si="56"/>
        <v>0</v>
      </c>
      <c r="K403" s="1328">
        <f>IF(SETUP!$F$40="Upfront",K404,K405)</f>
        <v>0</v>
      </c>
      <c r="L403" s="1194">
        <f>IF(SETUP!$F$40="Upfront",L404,L405)</f>
        <v>0</v>
      </c>
      <c r="M403" s="1194">
        <f>IF(SETUP!$F$40="Upfront",M404,M405)</f>
        <v>0</v>
      </c>
      <c r="N403" s="1194">
        <f>IF(SETUP!$F$40="Upfront",N404,N405)</f>
        <v>0</v>
      </c>
      <c r="O403" s="1194">
        <f t="shared" si="57"/>
        <v>0</v>
      </c>
      <c r="P403" s="1328">
        <f>IF(SETUP!$F$40="Upfront",P404,P405)</f>
        <v>0</v>
      </c>
      <c r="Q403" s="1194">
        <f>IF(SETUP!$F$40="Upfront",Q404,Q405)</f>
        <v>0</v>
      </c>
      <c r="R403" s="1194">
        <f>IF(SETUP!$F$40="Upfront",R404,R405)</f>
        <v>0</v>
      </c>
      <c r="S403" s="1194">
        <f>IF(SETUP!$F$40="Upfront",S404,S405)</f>
        <v>0</v>
      </c>
      <c r="T403" s="1194">
        <f t="shared" si="58"/>
        <v>0</v>
      </c>
      <c r="U403" s="1328">
        <f t="shared" si="59"/>
        <v>0</v>
      </c>
      <c r="V403" s="1826">
        <v>7.3</v>
      </c>
      <c r="W403" s="1830"/>
      <c r="X403" s="849"/>
      <c r="Y403" s="768"/>
      <c r="Z403" s="768"/>
      <c r="AA403" s="768"/>
      <c r="AB403" s="768"/>
      <c r="AC403" s="768"/>
      <c r="AD403" s="768"/>
      <c r="AE403" s="768"/>
      <c r="AF403" s="868"/>
      <c r="AG403" s="768"/>
      <c r="AH403" s="768"/>
      <c r="AI403" s="768"/>
      <c r="AJ403" s="768"/>
      <c r="AK403" s="768"/>
      <c r="AL403" s="768"/>
      <c r="AM403" s="768"/>
      <c r="AN403" s="768"/>
      <c r="AO403" s="768"/>
      <c r="AP403" s="768"/>
      <c r="AQ403" s="768"/>
      <c r="AR403" s="768"/>
      <c r="AS403" s="768"/>
      <c r="AT403" s="768"/>
      <c r="AU403" s="768"/>
      <c r="AV403" s="768"/>
      <c r="AW403" s="768"/>
      <c r="AX403" s="768"/>
      <c r="AY403" s="768"/>
      <c r="AZ403" s="768"/>
      <c r="BA403" s="768"/>
      <c r="BB403" s="768"/>
      <c r="BC403" s="768"/>
      <c r="BD403" s="768"/>
      <c r="BE403" s="768"/>
      <c r="BF403" s="768"/>
      <c r="BG403" s="768"/>
      <c r="BH403" s="768"/>
      <c r="BI403" s="768"/>
      <c r="BJ403" s="768"/>
      <c r="BK403" s="768"/>
      <c r="BL403" s="768"/>
      <c r="BM403" s="768"/>
      <c r="BN403" s="768"/>
      <c r="BO403" s="768"/>
      <c r="BP403" s="768"/>
      <c r="BQ403" s="768"/>
      <c r="BR403" s="768"/>
    </row>
    <row r="404" spans="1:70" s="759" customFormat="1" ht="12.75" hidden="1" customHeight="1" outlineLevel="1">
      <c r="A404" s="2919"/>
      <c r="B404" s="2920"/>
      <c r="C404" s="2912" t="s">
        <v>918</v>
      </c>
      <c r="D404" s="2912"/>
      <c r="E404" s="1652"/>
      <c r="F404" s="1328">
        <f>IF(SETUP!$F$40="Upfront",$E$403*'TB-EQUIPMENT &amp; OTHER HPs'!AW14,0)</f>
        <v>0</v>
      </c>
      <c r="G404" s="1194">
        <f>IF(SETUP!$F$40="Upfront",$E$403*'TB-EQUIPMENT &amp; OTHER HPs'!AX14,0)</f>
        <v>0</v>
      </c>
      <c r="H404" s="1194">
        <f>IF(SETUP!$F$40="Upfront",$E$403*'TB-EQUIPMENT &amp; OTHER HPs'!AY14,0)</f>
        <v>0</v>
      </c>
      <c r="I404" s="1194">
        <f>IF(SETUP!$F$40="Upfront",$E$403*'TB-EQUIPMENT &amp; OTHER HPs'!AZ14,0)</f>
        <v>0</v>
      </c>
      <c r="J404" s="1194">
        <f t="shared" si="56"/>
        <v>0</v>
      </c>
      <c r="K404" s="1328">
        <f>IF(SETUP!$F$40="Upfront",$E$403*'TB-EQUIPMENT &amp; OTHER HPs'!BA14,0)</f>
        <v>0</v>
      </c>
      <c r="L404" s="1194">
        <f>IF(SETUP!$F$40="Upfront",$E$403*'TB-EQUIPMENT &amp; OTHER HPs'!BB14,0)</f>
        <v>0</v>
      </c>
      <c r="M404" s="1194">
        <f>IF(SETUP!$F$40="Upfront",$E$403*'TB-EQUIPMENT &amp; OTHER HPs'!BC14,0)</f>
        <v>0</v>
      </c>
      <c r="N404" s="1194">
        <f>IF(SETUP!$F$40="Upfront",$E$403*'TB-EQUIPMENT &amp; OTHER HPs'!BD14,0)</f>
        <v>0</v>
      </c>
      <c r="O404" s="1194">
        <f t="shared" si="57"/>
        <v>0</v>
      </c>
      <c r="P404" s="1328">
        <f>IF(SETUP!$F$40="Upfront",$E$403*'TB-EQUIPMENT &amp; OTHER HPs'!BE14,0)</f>
        <v>0</v>
      </c>
      <c r="Q404" s="1194">
        <f>IF(SETUP!$F$40="Upfront",$E$403*'TB-EQUIPMENT &amp; OTHER HPs'!BF14,0)</f>
        <v>0</v>
      </c>
      <c r="R404" s="1194">
        <f>IF(SETUP!$F$40="Upfront",$E$403*'TB-EQUIPMENT &amp; OTHER HPs'!BG14,0)</f>
        <v>0</v>
      </c>
      <c r="S404" s="1194">
        <f>IF(SETUP!$F$40="Upfront",$E$403*'TB-EQUIPMENT &amp; OTHER HPs'!BH14,0)</f>
        <v>0</v>
      </c>
      <c r="T404" s="1194">
        <f t="shared" si="58"/>
        <v>0</v>
      </c>
      <c r="U404" s="1328">
        <f t="shared" si="59"/>
        <v>0</v>
      </c>
      <c r="V404" s="1826">
        <v>7.3</v>
      </c>
      <c r="W404" s="1830"/>
      <c r="X404" s="849"/>
      <c r="Y404" s="768"/>
      <c r="Z404" s="768"/>
      <c r="AA404" s="768"/>
      <c r="AB404" s="768"/>
      <c r="AC404" s="768"/>
      <c r="AD404" s="768"/>
      <c r="AE404" s="768"/>
      <c r="AF404" s="868"/>
      <c r="AG404" s="768"/>
      <c r="AH404" s="768"/>
      <c r="AI404" s="768"/>
      <c r="AJ404" s="768"/>
      <c r="AK404" s="768"/>
      <c r="AL404" s="768"/>
      <c r="AM404" s="768"/>
      <c r="AN404" s="768"/>
      <c r="AO404" s="768"/>
      <c r="AP404" s="768"/>
      <c r="AQ404" s="768"/>
      <c r="AR404" s="768"/>
      <c r="AS404" s="768"/>
      <c r="AT404" s="768"/>
      <c r="AU404" s="768"/>
      <c r="AV404" s="768"/>
      <c r="AW404" s="768"/>
      <c r="AX404" s="768"/>
      <c r="AY404" s="768"/>
      <c r="AZ404" s="768"/>
      <c r="BA404" s="768"/>
      <c r="BB404" s="768"/>
      <c r="BC404" s="768"/>
      <c r="BD404" s="768"/>
      <c r="BE404" s="768"/>
      <c r="BF404" s="768"/>
      <c r="BG404" s="768"/>
      <c r="BH404" s="768"/>
      <c r="BI404" s="768"/>
      <c r="BJ404" s="768"/>
      <c r="BK404" s="768"/>
      <c r="BL404" s="768"/>
      <c r="BM404" s="768"/>
      <c r="BN404" s="768"/>
      <c r="BO404" s="768"/>
      <c r="BP404" s="768"/>
      <c r="BQ404" s="768"/>
      <c r="BR404" s="768"/>
    </row>
    <row r="405" spans="1:70" s="759" customFormat="1" ht="12.75" hidden="1" customHeight="1" outlineLevel="1">
      <c r="A405" s="2919"/>
      <c r="B405" s="2920"/>
      <c r="C405" s="2912" t="s">
        <v>36</v>
      </c>
      <c r="D405" s="2912"/>
      <c r="E405" s="1652"/>
      <c r="F405" s="1328">
        <v>0</v>
      </c>
      <c r="G405" s="1194">
        <f>IF(SETUP!$F$40="At delivery",IF(SETUP!$G$40=1,$E$403*'TB-EQUIPMENT &amp; OTHER HPs'!AW14,0),0)</f>
        <v>0</v>
      </c>
      <c r="H405" s="1194">
        <f>IF(SETUP!$F$40="At delivery",IF(SETUP!$G$40=2,$E$403*'TB-EQUIPMENT &amp; OTHER HPs'!AW14,IF(SETUP!$G$40=1,$E$403*'TB-EQUIPMENT &amp; OTHER HPs'!AX14,0)),0)</f>
        <v>0</v>
      </c>
      <c r="I405" s="1194">
        <f>IF(SETUP!$F$40="At delivery",IF(SETUP!$G$40=3,$E$403*'TB-EQUIPMENT &amp; OTHER HPs'!AW14,IF(SETUP!$G$40=2,$E$403*'TB-EQUIPMENT &amp; OTHER HPs'!AX14,IF(SETUP!$G$40=1,$E$403*'TB-EQUIPMENT &amp; OTHER HPs'!AY14,0))),0)</f>
        <v>0</v>
      </c>
      <c r="J405" s="1194">
        <f t="shared" si="56"/>
        <v>0</v>
      </c>
      <c r="K405" s="1328">
        <f>IF(SETUP!$F$40="At delivery",IF(SETUP!$G$40=4,$E$403*'TB-EQUIPMENT &amp; OTHER HPs'!AW14,IF(SETUP!$G$40=3,$E$403*'TB-EQUIPMENT &amp; OTHER HPs'!AX14,IF(SETUP!$G$40=2,$E$403*'TB-EQUIPMENT &amp; OTHER HPs'!AY14,IF(SETUP!$G$40=1,$E$403*'TB-EQUIPMENT &amp; OTHER HPs'!AZ14,0)))),0)</f>
        <v>0</v>
      </c>
      <c r="L405" s="1194">
        <f>IF(SETUP!$F$40="At delivery",IF(SETUP!$G$40=4,$E$403*'TB-EQUIPMENT &amp; OTHER HPs'!AX14,IF(SETUP!$G$40=3,$E$403*'TB-EQUIPMENT &amp; OTHER HPs'!AY14,IF(SETUP!$G$40=2,$E$403*'TB-EQUIPMENT &amp; OTHER HPs'!AZ14,IF(SETUP!$G$40=1,$E$403*'TB-EQUIPMENT &amp; OTHER HPs'!BA14,0)))),0)</f>
        <v>0</v>
      </c>
      <c r="M405" s="1194">
        <f>IF(SETUP!$F$40="At delivery",IF(SETUP!$G$40=4,$E$403*'TB-EQUIPMENT &amp; OTHER HPs'!AY14,IF(SETUP!$G$40=3,$E$403*'TB-EQUIPMENT &amp; OTHER HPs'!AZ14,IF(SETUP!$G$40=2,$E$403*'TB-EQUIPMENT &amp; OTHER HPs'!BA14,IF(SETUP!$G$40=1,$E$403*'TB-EQUIPMENT &amp; OTHER HPs'!BB14,0)))),0)</f>
        <v>0</v>
      </c>
      <c r="N405" s="1194">
        <f>IF(SETUP!$F$40="At delivery",IF(SETUP!$G$40=4,$E$403*'TB-EQUIPMENT &amp; OTHER HPs'!AZ14,IF(SETUP!$G$40=3,$E$403*'TB-EQUIPMENT &amp; OTHER HPs'!BA14,IF(SETUP!$G$40=2,$E$403*'TB-EQUIPMENT &amp; OTHER HPs'!BB14,IF(SETUP!$G$40=1,$E$403*'TB-EQUIPMENT &amp; OTHER HPs'!BC14,0)))),0)</f>
        <v>0</v>
      </c>
      <c r="O405" s="1194">
        <f t="shared" si="57"/>
        <v>0</v>
      </c>
      <c r="P405" s="1328">
        <f>IF(SETUP!$F$40="At delivery",IF(SETUP!$G$40=4,$E$403*'TB-EQUIPMENT &amp; OTHER HPs'!BA14,IF(SETUP!$G$40=3,$E$403*'TB-EQUIPMENT &amp; OTHER HPs'!BB14,IF(SETUP!$G$40=2,$E$403*'TB-EQUIPMENT &amp; OTHER HPs'!BC14,IF(SETUP!$G$40=1,$E$403*'TB-EQUIPMENT &amp; OTHER HPs'!BD14,0)))),0)</f>
        <v>0</v>
      </c>
      <c r="Q405" s="1194">
        <f>IF(SETUP!$F$40="At delivery",IF(SETUP!$G$40=4,$E$403*'TB-EQUIPMENT &amp; OTHER HPs'!BB14,IF(SETUP!$G$40=3,$E$403*'TB-EQUIPMENT &amp; OTHER HPs'!BC14,IF(SETUP!$G$40=2,$E$403*'TB-EQUIPMENT &amp; OTHER HPs'!BD14,IF(SETUP!$G$40=1,$E$403*'TB-EQUIPMENT &amp; OTHER HPs'!BE14,0)))),0)</f>
        <v>0</v>
      </c>
      <c r="R405" s="1194">
        <f>IF(SETUP!$F$40="At delivery",IF(SETUP!$G$40=4,$E$403*'TB-EQUIPMENT &amp; OTHER HPs'!BC14,IF(SETUP!$G$40=3,$E$403*'TB-EQUIPMENT &amp; OTHER HPs'!BD14,IF(SETUP!$G$40=2,$E$403*'TB-EQUIPMENT &amp; OTHER HPs'!BE14,IF(SETUP!$G$40=1,$E$403*'TB-EQUIPMENT &amp; OTHER HPs'!BF14,0)))),0)</f>
        <v>0</v>
      </c>
      <c r="S405" s="1194">
        <f>IF(SETUP!$F$40="At delivery",IF(SETUP!$G$40=4,$E$403*('TB-EQUIPMENT &amp; OTHER HPs'!BD14+'TB-EQUIPMENT &amp; OTHER HPs'!BE14+'TB-EQUIPMENT &amp; OTHER HPs'!BF14+'TB-EQUIPMENT &amp; OTHER HPs'!BG14+'TB-EQUIPMENT &amp; OTHER HPs'!BH14),IF(SETUP!$G$40=3,$E$403*('TB-EQUIPMENT &amp; OTHER HPs'!BE14+'TB-EQUIPMENT &amp; OTHER HPs'!BF14+'TB-EQUIPMENT &amp; OTHER HPs'!BG14+'TB-EQUIPMENT &amp; OTHER HPs'!BH14),IF(SETUP!$G$40=2,$E$403*('TB-EQUIPMENT &amp; OTHER HPs'!BF14+'TB-EQUIPMENT &amp; OTHER HPs'!BG14+'TB-EQUIPMENT &amp; OTHER HPs'!BH14),IF(SETUP!$G$40=1,$E$403*('TB-EQUIPMENT &amp; OTHER HPs'!BG14+'TB-EQUIPMENT &amp; OTHER HPs'!BH14),0)))),0)</f>
        <v>0</v>
      </c>
      <c r="T405" s="1194">
        <f t="shared" si="58"/>
        <v>0</v>
      </c>
      <c r="U405" s="1328">
        <f t="shared" si="59"/>
        <v>0</v>
      </c>
      <c r="V405" s="1826">
        <v>7.3</v>
      </c>
      <c r="W405" s="1830"/>
      <c r="X405" s="849"/>
      <c r="Y405" s="768"/>
      <c r="Z405" s="768"/>
      <c r="AA405" s="768"/>
      <c r="AB405" s="768"/>
      <c r="AC405" s="768"/>
      <c r="AD405" s="768"/>
      <c r="AE405" s="768"/>
      <c r="AF405" s="868"/>
      <c r="AG405" s="768"/>
      <c r="AH405" s="768"/>
      <c r="AI405" s="768"/>
      <c r="AJ405" s="768"/>
      <c r="AK405" s="768"/>
      <c r="AL405" s="768"/>
      <c r="AM405" s="768"/>
      <c r="AN405" s="768"/>
      <c r="AO405" s="768"/>
      <c r="AP405" s="768"/>
      <c r="AQ405" s="768"/>
      <c r="AR405" s="768"/>
      <c r="AS405" s="768"/>
      <c r="AT405" s="768"/>
      <c r="AU405" s="768"/>
      <c r="AV405" s="768"/>
      <c r="AW405" s="768"/>
      <c r="AX405" s="768"/>
      <c r="AY405" s="768"/>
      <c r="AZ405" s="768"/>
      <c r="BA405" s="768"/>
      <c r="BB405" s="768"/>
      <c r="BC405" s="768"/>
      <c r="BD405" s="768"/>
      <c r="BE405" s="768"/>
      <c r="BF405" s="768"/>
      <c r="BG405" s="768"/>
      <c r="BH405" s="768"/>
      <c r="BI405" s="768"/>
      <c r="BJ405" s="768"/>
      <c r="BK405" s="768"/>
      <c r="BL405" s="768"/>
      <c r="BM405" s="768"/>
      <c r="BN405" s="768"/>
      <c r="BO405" s="768"/>
      <c r="BP405" s="768"/>
      <c r="BQ405" s="768"/>
      <c r="BR405" s="768"/>
    </row>
    <row r="406" spans="1:70" s="759" customFormat="1" ht="13" hidden="1" collapsed="1">
      <c r="A406" s="2919"/>
      <c r="B406" s="2920"/>
      <c r="C406" s="2911" t="s">
        <v>1748</v>
      </c>
      <c r="D406" s="2911"/>
      <c r="E406" s="1651">
        <v>0</v>
      </c>
      <c r="F406" s="1328">
        <f>IF(SETUP!$F$41="Upfront",F407,F408)</f>
        <v>0</v>
      </c>
      <c r="G406" s="1194">
        <f>IF(SETUP!$F$41="Upfront",G407,G408)</f>
        <v>0</v>
      </c>
      <c r="H406" s="1194">
        <f>IF(SETUP!$F$41="Upfront",H407,H408)</f>
        <v>0</v>
      </c>
      <c r="I406" s="1194">
        <f>IF(SETUP!$F$41="Upfront",I407,I408)</f>
        <v>0</v>
      </c>
      <c r="J406" s="1194">
        <f t="shared" si="56"/>
        <v>0</v>
      </c>
      <c r="K406" s="1328">
        <f>IF(SETUP!$F$41="Upfront",K407,K408)</f>
        <v>0</v>
      </c>
      <c r="L406" s="1194">
        <f>IF(SETUP!$F$41="Upfront",L407,L408)</f>
        <v>0</v>
      </c>
      <c r="M406" s="1194">
        <f>IF(SETUP!$F$41="Upfront",M407,M408)</f>
        <v>0</v>
      </c>
      <c r="N406" s="1194">
        <f>IF(SETUP!$F$41="Upfront",N407,N408)</f>
        <v>0</v>
      </c>
      <c r="O406" s="1194">
        <f t="shared" si="57"/>
        <v>0</v>
      </c>
      <c r="P406" s="1328">
        <f>IF(SETUP!$F$41="Upfront",P407,P408)</f>
        <v>0</v>
      </c>
      <c r="Q406" s="1194">
        <f>IF(SETUP!$F$41="Upfront",Q407,Q408)</f>
        <v>0</v>
      </c>
      <c r="R406" s="1194">
        <f>IF(SETUP!$F$41="Upfront",R407,R408)</f>
        <v>0</v>
      </c>
      <c r="S406" s="1194">
        <f>IF(SETUP!$F$41="Upfront",S407,S408)</f>
        <v>0</v>
      </c>
      <c r="T406" s="1194">
        <f t="shared" si="58"/>
        <v>0</v>
      </c>
      <c r="U406" s="1328">
        <f t="shared" si="59"/>
        <v>0</v>
      </c>
      <c r="V406" s="1826">
        <v>7.3</v>
      </c>
      <c r="W406" s="1830"/>
      <c r="X406" s="849"/>
      <c r="Y406" s="768"/>
      <c r="Z406" s="768"/>
      <c r="AA406" s="768"/>
      <c r="AB406" s="768"/>
      <c r="AC406" s="768"/>
      <c r="AD406" s="768"/>
      <c r="AE406" s="768"/>
      <c r="AF406" s="868"/>
      <c r="AG406" s="768"/>
      <c r="AH406" s="768"/>
      <c r="AI406" s="768"/>
      <c r="AJ406" s="768"/>
      <c r="AK406" s="768"/>
      <c r="AL406" s="768"/>
      <c r="AM406" s="768"/>
      <c r="AN406" s="768"/>
      <c r="AO406" s="768"/>
      <c r="AP406" s="768"/>
      <c r="AQ406" s="768"/>
      <c r="AR406" s="768"/>
      <c r="AS406" s="768"/>
      <c r="AT406" s="768"/>
      <c r="AU406" s="768"/>
      <c r="AV406" s="768"/>
      <c r="AW406" s="768"/>
      <c r="AX406" s="768"/>
      <c r="AY406" s="768"/>
      <c r="AZ406" s="768"/>
      <c r="BA406" s="768"/>
      <c r="BB406" s="768"/>
      <c r="BC406" s="768"/>
      <c r="BD406" s="768"/>
      <c r="BE406" s="768"/>
      <c r="BF406" s="768"/>
      <c r="BG406" s="768"/>
      <c r="BH406" s="768"/>
      <c r="BI406" s="768"/>
      <c r="BJ406" s="768"/>
      <c r="BK406" s="768"/>
      <c r="BL406" s="768"/>
      <c r="BM406" s="768"/>
      <c r="BN406" s="768"/>
      <c r="BO406" s="768"/>
      <c r="BP406" s="768"/>
      <c r="BQ406" s="768"/>
      <c r="BR406" s="768"/>
    </row>
    <row r="407" spans="1:70" s="759" customFormat="1" ht="12.75" hidden="1" customHeight="1" outlineLevel="1">
      <c r="A407" s="2919"/>
      <c r="B407" s="2920"/>
      <c r="C407" s="2912" t="s">
        <v>918</v>
      </c>
      <c r="D407" s="2912"/>
      <c r="E407" s="1652"/>
      <c r="F407" s="1328">
        <f>IF(SETUP!$F$40="Upfront",$E$406*'TB-EQUIPMENT &amp; OTHER HPs'!AW15,0)</f>
        <v>0</v>
      </c>
      <c r="G407" s="1194">
        <f>IF(SETUP!$F$40="Upfront",$E$406*'TB-EQUIPMENT &amp; OTHER HPs'!AX15,0)</f>
        <v>0</v>
      </c>
      <c r="H407" s="1194">
        <f>IF(SETUP!$F$40="Upfront",$E$406*'TB-EQUIPMENT &amp; OTHER HPs'!AY15,0)</f>
        <v>0</v>
      </c>
      <c r="I407" s="1194">
        <f>IF(SETUP!$F$40="Upfront",$E$406*'TB-EQUIPMENT &amp; OTHER HPs'!AZ15,0)</f>
        <v>0</v>
      </c>
      <c r="J407" s="1194">
        <f t="shared" si="56"/>
        <v>0</v>
      </c>
      <c r="K407" s="1328">
        <f>IF(SETUP!$F$40="Upfront",$E$406*'TB-EQUIPMENT &amp; OTHER HPs'!BA15,0)</f>
        <v>0</v>
      </c>
      <c r="L407" s="1194">
        <f>IF(SETUP!$F$40="Upfront",$E$406*'TB-EQUIPMENT &amp; OTHER HPs'!BB15,0)</f>
        <v>0</v>
      </c>
      <c r="M407" s="1194">
        <f>IF(SETUP!$F$40="Upfront",$E$406*'TB-EQUIPMENT &amp; OTHER HPs'!BC15,0)</f>
        <v>0</v>
      </c>
      <c r="N407" s="1194">
        <f>IF(SETUP!$F$40="Upfront",$E$406*'TB-EQUIPMENT &amp; OTHER HPs'!BD15,0)</f>
        <v>0</v>
      </c>
      <c r="O407" s="1194">
        <f t="shared" si="57"/>
        <v>0</v>
      </c>
      <c r="P407" s="1328">
        <f>IF(SETUP!$F$40="Upfront",$E$406*'TB-EQUIPMENT &amp; OTHER HPs'!BE15,0)</f>
        <v>0</v>
      </c>
      <c r="Q407" s="1194">
        <f>IF(SETUP!$F$40="Upfront",$E$406*'TB-EQUIPMENT &amp; OTHER HPs'!BF15,0)</f>
        <v>0</v>
      </c>
      <c r="R407" s="1194">
        <f>IF(SETUP!$F$40="Upfront",$E$406*'TB-EQUIPMENT &amp; OTHER HPs'!BG15,0)</f>
        <v>0</v>
      </c>
      <c r="S407" s="1194">
        <f>IF(SETUP!$F$40="Upfront",$E$406*'TB-EQUIPMENT &amp; OTHER HPs'!BH15,0)</f>
        <v>0</v>
      </c>
      <c r="T407" s="1194">
        <f t="shared" si="58"/>
        <v>0</v>
      </c>
      <c r="U407" s="1328">
        <f t="shared" si="59"/>
        <v>0</v>
      </c>
      <c r="V407" s="1826">
        <v>7.3</v>
      </c>
      <c r="W407" s="1830"/>
      <c r="X407" s="849"/>
      <c r="Y407" s="768"/>
      <c r="Z407" s="768"/>
      <c r="AA407" s="768"/>
      <c r="AB407" s="768"/>
      <c r="AC407" s="768"/>
      <c r="AD407" s="768"/>
      <c r="AE407" s="768"/>
      <c r="AF407" s="868"/>
      <c r="AG407" s="768"/>
      <c r="AH407" s="768"/>
      <c r="AI407" s="768"/>
      <c r="AJ407" s="768"/>
      <c r="AK407" s="768"/>
      <c r="AL407" s="768"/>
      <c r="AM407" s="768"/>
      <c r="AN407" s="768"/>
      <c r="AO407" s="768"/>
      <c r="AP407" s="768"/>
      <c r="AQ407" s="768"/>
      <c r="AR407" s="768"/>
      <c r="AS407" s="768"/>
      <c r="AT407" s="768"/>
      <c r="AU407" s="768"/>
      <c r="AV407" s="768"/>
      <c r="AW407" s="768"/>
      <c r="AX407" s="768"/>
      <c r="AY407" s="768"/>
      <c r="AZ407" s="768"/>
      <c r="BA407" s="768"/>
      <c r="BB407" s="768"/>
      <c r="BC407" s="768"/>
      <c r="BD407" s="768"/>
      <c r="BE407" s="768"/>
      <c r="BF407" s="768"/>
      <c r="BG407" s="768"/>
      <c r="BH407" s="768"/>
      <c r="BI407" s="768"/>
      <c r="BJ407" s="768"/>
      <c r="BK407" s="768"/>
      <c r="BL407" s="768"/>
      <c r="BM407" s="768"/>
      <c r="BN407" s="768"/>
      <c r="BO407" s="768"/>
      <c r="BP407" s="768"/>
      <c r="BQ407" s="768"/>
      <c r="BR407" s="768"/>
    </row>
    <row r="408" spans="1:70" s="759" customFormat="1" ht="12.75" hidden="1" customHeight="1" outlineLevel="1">
      <c r="A408" s="2919"/>
      <c r="B408" s="2920"/>
      <c r="C408" s="2912" t="s">
        <v>36</v>
      </c>
      <c r="D408" s="2912"/>
      <c r="E408" s="1652"/>
      <c r="F408" s="1328">
        <v>0</v>
      </c>
      <c r="G408" s="1194">
        <f>IF(SETUP!$F$41="At delivery",IF(SETUP!$G$41=1,$E$406*'TB-EQUIPMENT &amp; OTHER HPs'!AW15,0),0)</f>
        <v>0</v>
      </c>
      <c r="H408" s="1194">
        <f>IF(SETUP!$F$41="At delivery",IF(SETUP!$G$41=2,$E$406*'TB-EQUIPMENT &amp; OTHER HPs'!AW15,IF(SETUP!$G$41=1,$E$406*'TB-EQUIPMENT &amp; OTHER HPs'!AX15,0)),0)</f>
        <v>0</v>
      </c>
      <c r="I408" s="1194">
        <f>IF(SETUP!$F$41="At delivery",IF(SETUP!$G$41=3,$E$406*'TB-EQUIPMENT &amp; OTHER HPs'!AW15,IF(SETUP!$G$41=2,$E$406*'TB-EQUIPMENT &amp; OTHER HPs'!AX15,IF(SETUP!$G$41=1,$E$406*'TB-EQUIPMENT &amp; OTHER HPs'!AY15,0))),0)</f>
        <v>0</v>
      </c>
      <c r="J408" s="1194">
        <f t="shared" si="56"/>
        <v>0</v>
      </c>
      <c r="K408" s="1328">
        <f>IF(SETUP!$F$41="At delivery",IF(SETUP!$G$41=4,$E$406*'TB-EQUIPMENT &amp; OTHER HPs'!AW15,IF(SETUP!$G$41=3,$E$406*'TB-EQUIPMENT &amp; OTHER HPs'!AX15,IF(SETUP!$G$41=2,$E$406*'TB-EQUIPMENT &amp; OTHER HPs'!AY15,IF(SETUP!$G$41=1,$E$406*'TB-EQUIPMENT &amp; OTHER HPs'!AZ15,0)))),0)</f>
        <v>0</v>
      </c>
      <c r="L408" s="1194">
        <f>IF(SETUP!$F$41="At delivery",IF(SETUP!$G$41=4,$E$406*'TB-EQUIPMENT &amp; OTHER HPs'!AX15,IF(SETUP!$G$41=3,$E$406*'TB-EQUIPMENT &amp; OTHER HPs'!AY15,IF(SETUP!$G$41=2,$E$406*'TB-EQUIPMENT &amp; OTHER HPs'!AZ15,IF(SETUP!$G$41=1,$E$406*'TB-EQUIPMENT &amp; OTHER HPs'!BA15,0)))),0)</f>
        <v>0</v>
      </c>
      <c r="M408" s="1194">
        <f>IF(SETUP!$F$41="At delivery",IF(SETUP!$G$41=4,$E$406*'TB-EQUIPMENT &amp; OTHER HPs'!AY15,IF(SETUP!$G$41=3,$E$406*'TB-EQUIPMENT &amp; OTHER HPs'!AZ15,IF(SETUP!$G$41=2,$E$406*'TB-EQUIPMENT &amp; OTHER HPs'!BA15,IF(SETUP!$G$41=1,$E$406*'TB-EQUIPMENT &amp; OTHER HPs'!BB15,0)))),0)</f>
        <v>0</v>
      </c>
      <c r="N408" s="1194">
        <f>IF(SETUP!$F$41="At delivery",IF(SETUP!$G$41=4,$E$406*'TB-EQUIPMENT &amp; OTHER HPs'!AZ15,IF(SETUP!$G$41=3,$E$406*'TB-EQUIPMENT &amp; OTHER HPs'!BA15,IF(SETUP!$G$41=2,$E$406*'TB-EQUIPMENT &amp; OTHER HPs'!BB15,IF(SETUP!$G$41=1,$E$406*'TB-EQUIPMENT &amp; OTHER HPs'!BC15,0)))),0)</f>
        <v>0</v>
      </c>
      <c r="O408" s="1194">
        <f t="shared" si="57"/>
        <v>0</v>
      </c>
      <c r="P408" s="1328">
        <f>IF(SETUP!$F$41="At delivery",IF(SETUP!$G$41=4,$E$406*'TB-EQUIPMENT &amp; OTHER HPs'!BA15,IF(SETUP!$G$41=3,$E$406*'TB-EQUIPMENT &amp; OTHER HPs'!BB15,IF(SETUP!$G$41=2,$E$406*'TB-EQUIPMENT &amp; OTHER HPs'!BC15,IF(SETUP!$G$41=1,$E$406*'TB-EQUIPMENT &amp; OTHER HPs'!BD15,0)))),0)</f>
        <v>0</v>
      </c>
      <c r="Q408" s="1194">
        <f>IF(SETUP!$F$41="At delivery",IF(SETUP!$G$41=4,$E$406*'TB-EQUIPMENT &amp; OTHER HPs'!BB15,IF(SETUP!$G$41=3,$E$406*'TB-EQUIPMENT &amp; OTHER HPs'!BC15,IF(SETUP!$G$41=2,$E$406*'TB-EQUIPMENT &amp; OTHER HPs'!BD15,IF(SETUP!$G$41=1,$E$406*'TB-EQUIPMENT &amp; OTHER HPs'!BE15,0)))),0)</f>
        <v>0</v>
      </c>
      <c r="R408" s="1194">
        <f>IF(SETUP!$F$41="At delivery",IF(SETUP!$G$41=4,$E$406*'TB-EQUIPMENT &amp; OTHER HPs'!BC15,IF(SETUP!$G$41=3,$E$406*'TB-EQUIPMENT &amp; OTHER HPs'!BD15,IF(SETUP!$G$41=2,$E$406*'TB-EQUIPMENT &amp; OTHER HPs'!BE15,IF(SETUP!$G$41=1,$E$406*'TB-EQUIPMENT &amp; OTHER HPs'!BF15,0)))),0)</f>
        <v>0</v>
      </c>
      <c r="S408" s="1194">
        <f>IF(SETUP!$F$41="At delivery",IF(SETUP!$G$41=4,$E$406*('TB-EQUIPMENT &amp; OTHER HPs'!BD15+'TB-EQUIPMENT &amp; OTHER HPs'!BE15+'TB-EQUIPMENT &amp; OTHER HPs'!BF15+'TB-EQUIPMENT &amp; OTHER HPs'!BG15+'TB-EQUIPMENT &amp; OTHER HPs'!BH15),IF(SETUP!$G$41=3,$E$406*('TB-EQUIPMENT &amp; OTHER HPs'!BE15+'TB-EQUIPMENT &amp; OTHER HPs'!BF15+'TB-EQUIPMENT &amp; OTHER HPs'!BG15+'TB-EQUIPMENT &amp; OTHER HPs'!BH15),IF(SETUP!$G$41=2,$E$406*('TB-EQUIPMENT &amp; OTHER HPs'!BF15+'TB-EQUIPMENT &amp; OTHER HPs'!BG15+'TB-EQUIPMENT &amp; OTHER HPs'!BH15),IF(SETUP!$G$41=1,$E$406*('TB-EQUIPMENT &amp; OTHER HPs'!BG15+'TB-EQUIPMENT &amp; OTHER HPs'!BH15),0)))),0)</f>
        <v>0</v>
      </c>
      <c r="T408" s="1194">
        <f t="shared" si="58"/>
        <v>0</v>
      </c>
      <c r="U408" s="1328">
        <f t="shared" si="59"/>
        <v>0</v>
      </c>
      <c r="V408" s="1826">
        <v>7.3</v>
      </c>
      <c r="W408" s="1830"/>
      <c r="X408" s="849"/>
      <c r="Y408" s="768"/>
      <c r="Z408" s="768"/>
      <c r="AA408" s="768"/>
      <c r="AB408" s="768"/>
      <c r="AC408" s="768"/>
      <c r="AD408" s="768"/>
      <c r="AE408" s="768"/>
      <c r="AF408" s="868"/>
      <c r="AG408" s="768"/>
      <c r="AH408" s="768"/>
      <c r="AI408" s="768"/>
      <c r="AJ408" s="768"/>
      <c r="AK408" s="768"/>
      <c r="AL408" s="768"/>
      <c r="AM408" s="768"/>
      <c r="AN408" s="768"/>
      <c r="AO408" s="768"/>
      <c r="AP408" s="768"/>
      <c r="AQ408" s="768"/>
      <c r="AR408" s="768"/>
      <c r="AS408" s="768"/>
      <c r="AT408" s="768"/>
      <c r="AU408" s="768"/>
      <c r="AV408" s="768"/>
      <c r="AW408" s="768"/>
      <c r="AX408" s="768"/>
      <c r="AY408" s="768"/>
      <c r="AZ408" s="768"/>
      <c r="BA408" s="768"/>
      <c r="BB408" s="768"/>
      <c r="BC408" s="768"/>
      <c r="BD408" s="768"/>
      <c r="BE408" s="768"/>
      <c r="BF408" s="768"/>
      <c r="BG408" s="768"/>
      <c r="BH408" s="768"/>
      <c r="BI408" s="768"/>
      <c r="BJ408" s="768"/>
      <c r="BK408" s="768"/>
      <c r="BL408" s="768"/>
      <c r="BM408" s="768"/>
      <c r="BN408" s="768"/>
      <c r="BO408" s="768"/>
      <c r="BP408" s="768"/>
      <c r="BQ408" s="768"/>
      <c r="BR408" s="768"/>
    </row>
    <row r="409" spans="1:70" s="759" customFormat="1" ht="13" hidden="1" collapsed="1">
      <c r="A409" s="2919"/>
      <c r="B409" s="2920"/>
      <c r="C409" s="2911" t="s">
        <v>1754</v>
      </c>
      <c r="D409" s="2911"/>
      <c r="E409" s="1651">
        <v>0</v>
      </c>
      <c r="F409" s="1328">
        <f>IF(SETUP!$F$43="Upfront",F410,F411)</f>
        <v>0</v>
      </c>
      <c r="G409" s="1194">
        <f>IF(SETUP!$F$43="Upfront",G410,G411)</f>
        <v>0</v>
      </c>
      <c r="H409" s="1194">
        <f>IF(SETUP!$F$43="Upfront",H410,H411)</f>
        <v>0</v>
      </c>
      <c r="I409" s="1194">
        <f>IF(SETUP!$F$43="Upfront",I410,I411)</f>
        <v>0</v>
      </c>
      <c r="J409" s="1194">
        <f t="shared" si="56"/>
        <v>0</v>
      </c>
      <c r="K409" s="1328">
        <f>IF(SETUP!$F$43="Upfront",K410,K411)</f>
        <v>0</v>
      </c>
      <c r="L409" s="1194">
        <f>IF(SETUP!$F$43="Upfront",L410,L411)</f>
        <v>0</v>
      </c>
      <c r="M409" s="1194">
        <f>IF(SETUP!$F$43="Upfront",M410,M411)</f>
        <v>0</v>
      </c>
      <c r="N409" s="1194">
        <f>IF(SETUP!$F$43="Upfront",N410,N411)</f>
        <v>0</v>
      </c>
      <c r="O409" s="1194">
        <f t="shared" si="57"/>
        <v>0</v>
      </c>
      <c r="P409" s="1328">
        <f>IF(SETUP!$F$43="Upfront",P410,P411)</f>
        <v>0</v>
      </c>
      <c r="Q409" s="1194">
        <f>IF(SETUP!$F$43="Upfront",Q410,Q411)</f>
        <v>0</v>
      </c>
      <c r="R409" s="1194">
        <f>IF(SETUP!$F$43="Upfront",R410,R411)</f>
        <v>0</v>
      </c>
      <c r="S409" s="1194">
        <f>IF(SETUP!$F$43="Upfront",S410,S411)</f>
        <v>0</v>
      </c>
      <c r="T409" s="1194">
        <f t="shared" si="58"/>
        <v>0</v>
      </c>
      <c r="U409" s="1328">
        <f t="shared" si="59"/>
        <v>0</v>
      </c>
      <c r="V409" s="1826">
        <v>7.3</v>
      </c>
      <c r="W409" s="1830"/>
      <c r="X409" s="849"/>
      <c r="Y409" s="768"/>
      <c r="Z409" s="768"/>
      <c r="AA409" s="768"/>
      <c r="AB409" s="768"/>
      <c r="AC409" s="768"/>
      <c r="AD409" s="768"/>
      <c r="AE409" s="768"/>
      <c r="AF409" s="868"/>
      <c r="AG409" s="768"/>
      <c r="AH409" s="768"/>
      <c r="AI409" s="768"/>
      <c r="AJ409" s="768"/>
      <c r="AK409" s="768"/>
      <c r="AL409" s="768"/>
      <c r="AM409" s="768"/>
      <c r="AN409" s="768"/>
      <c r="AO409" s="768"/>
      <c r="AP409" s="768"/>
      <c r="AQ409" s="768"/>
      <c r="AR409" s="768"/>
      <c r="AS409" s="768"/>
      <c r="AT409" s="768"/>
      <c r="AU409" s="768"/>
      <c r="AV409" s="768"/>
      <c r="AW409" s="768"/>
      <c r="AX409" s="768"/>
      <c r="AY409" s="768"/>
      <c r="AZ409" s="768"/>
      <c r="BA409" s="768"/>
      <c r="BB409" s="768"/>
      <c r="BC409" s="768"/>
      <c r="BD409" s="768"/>
      <c r="BE409" s="768"/>
      <c r="BF409" s="768"/>
      <c r="BG409" s="768"/>
      <c r="BH409" s="768"/>
      <c r="BI409" s="768"/>
      <c r="BJ409" s="768"/>
      <c r="BK409" s="768"/>
      <c r="BL409" s="768"/>
      <c r="BM409" s="768"/>
      <c r="BN409" s="768"/>
      <c r="BO409" s="768"/>
      <c r="BP409" s="768"/>
      <c r="BQ409" s="768"/>
      <c r="BR409" s="768"/>
    </row>
    <row r="410" spans="1:70" s="759" customFormat="1" ht="12.75" hidden="1" customHeight="1" outlineLevel="1">
      <c r="A410" s="2919"/>
      <c r="B410" s="2920"/>
      <c r="C410" s="2912" t="s">
        <v>918</v>
      </c>
      <c r="D410" s="2912"/>
      <c r="E410" s="1649"/>
      <c r="F410" s="1328">
        <f>IF(SETUP!$F$43="Upfront",$E$409*'TB-EQUIPMENT &amp; OTHER HPs'!AW16,0)</f>
        <v>0</v>
      </c>
      <c r="G410" s="1194">
        <f>IF(SETUP!$F$43="Upfront",$E$409*'TB-EQUIPMENT &amp; OTHER HPs'!AX16,0)</f>
        <v>0</v>
      </c>
      <c r="H410" s="1194">
        <f>IF(SETUP!$F$43="Upfront",$E$409*'TB-EQUIPMENT &amp; OTHER HPs'!AY16,0)</f>
        <v>0</v>
      </c>
      <c r="I410" s="1194">
        <f>IF(SETUP!$F$43="Upfront",$E$409*'TB-EQUIPMENT &amp; OTHER HPs'!AZ16,0)</f>
        <v>0</v>
      </c>
      <c r="J410" s="1194">
        <f t="shared" si="56"/>
        <v>0</v>
      </c>
      <c r="K410" s="1328">
        <f>IF(SETUP!$F$43="Upfront",$E$409*'TB-EQUIPMENT &amp; OTHER HPs'!BA16,0)</f>
        <v>0</v>
      </c>
      <c r="L410" s="1194">
        <f>IF(SETUP!$F$43="Upfront",$E$409*'TB-EQUIPMENT &amp; OTHER HPs'!BB16,0)</f>
        <v>0</v>
      </c>
      <c r="M410" s="1194">
        <f>IF(SETUP!$F$43="Upfront",$E$409*'TB-EQUIPMENT &amp; OTHER HPs'!BC16,0)</f>
        <v>0</v>
      </c>
      <c r="N410" s="1194">
        <f>IF(SETUP!$F$43="Upfront",$E$409*'TB-EQUIPMENT &amp; OTHER HPs'!BD16,0)</f>
        <v>0</v>
      </c>
      <c r="O410" s="1194">
        <f t="shared" si="57"/>
        <v>0</v>
      </c>
      <c r="P410" s="1328">
        <f>IF(SETUP!$F$43="Upfront",$E$409*'TB-EQUIPMENT &amp; OTHER HPs'!BE16,0)</f>
        <v>0</v>
      </c>
      <c r="Q410" s="1194">
        <f>IF(SETUP!$F$43="Upfront",$E$409*'TB-EQUIPMENT &amp; OTHER HPs'!BF16,0)</f>
        <v>0</v>
      </c>
      <c r="R410" s="1194">
        <f>IF(SETUP!$F$43="Upfront",$E$409*'TB-EQUIPMENT &amp; OTHER HPs'!BG16,0)</f>
        <v>0</v>
      </c>
      <c r="S410" s="1194">
        <f>IF(SETUP!$F$43="Upfront",$E$409*'TB-EQUIPMENT &amp; OTHER HPs'!BH16,0)</f>
        <v>0</v>
      </c>
      <c r="T410" s="1194">
        <f t="shared" si="58"/>
        <v>0</v>
      </c>
      <c r="U410" s="1328">
        <f t="shared" si="59"/>
        <v>0</v>
      </c>
      <c r="V410" s="1826">
        <v>7.3</v>
      </c>
      <c r="W410" s="1830"/>
      <c r="X410" s="849"/>
      <c r="Y410" s="768"/>
      <c r="Z410" s="768"/>
      <c r="AA410" s="768"/>
      <c r="AB410" s="768"/>
      <c r="AC410" s="768"/>
      <c r="AD410" s="768"/>
      <c r="AE410" s="768"/>
      <c r="AF410" s="868"/>
      <c r="AG410" s="768"/>
      <c r="AH410" s="768"/>
      <c r="AI410" s="768"/>
      <c r="AJ410" s="768"/>
      <c r="AK410" s="768"/>
      <c r="AL410" s="768"/>
      <c r="AM410" s="768"/>
      <c r="AN410" s="768"/>
      <c r="AO410" s="768"/>
      <c r="AP410" s="768"/>
      <c r="AQ410" s="768"/>
      <c r="AR410" s="768"/>
      <c r="AS410" s="768"/>
      <c r="AT410" s="768"/>
      <c r="AU410" s="768"/>
      <c r="AV410" s="768"/>
      <c r="AW410" s="768"/>
      <c r="AX410" s="768"/>
      <c r="AY410" s="768"/>
      <c r="AZ410" s="768"/>
      <c r="BA410" s="768"/>
      <c r="BB410" s="768"/>
      <c r="BC410" s="768"/>
      <c r="BD410" s="768"/>
      <c r="BE410" s="768"/>
      <c r="BF410" s="768"/>
      <c r="BG410" s="768"/>
      <c r="BH410" s="768"/>
      <c r="BI410" s="768"/>
      <c r="BJ410" s="768"/>
      <c r="BK410" s="768"/>
      <c r="BL410" s="768"/>
      <c r="BM410" s="768"/>
      <c r="BN410" s="768"/>
      <c r="BO410" s="768"/>
      <c r="BP410" s="768"/>
      <c r="BQ410" s="768"/>
      <c r="BR410" s="768"/>
    </row>
    <row r="411" spans="1:70" s="759" customFormat="1" ht="12.75" hidden="1" customHeight="1" outlineLevel="1">
      <c r="A411" s="2919"/>
      <c r="B411" s="2920"/>
      <c r="C411" s="2912" t="s">
        <v>36</v>
      </c>
      <c r="D411" s="2912"/>
      <c r="E411" s="1649"/>
      <c r="F411" s="1328">
        <v>0</v>
      </c>
      <c r="G411" s="1194">
        <f>IF(SETUP!$F$43="At delivery",IF(SETUP!$G$43=1,$E$409*'TB-EQUIPMENT &amp; OTHER HPs'!AW16,0),0)</f>
        <v>0</v>
      </c>
      <c r="H411" s="1194">
        <f>IF(SETUP!$F$43="At delivery",IF(SETUP!$G$43=2,$E$409*'TB-EQUIPMENT &amp; OTHER HPs'!AW16,IF(SETUP!$G$43=1,$E$409*'TB-EQUIPMENT &amp; OTHER HPs'!AX16,0)),0)</f>
        <v>0</v>
      </c>
      <c r="I411" s="1194">
        <f>IF(SETUP!$F$43="At delivery",IF(SETUP!$G$43=3,$E$409*'TB-EQUIPMENT &amp; OTHER HPs'!AW16,IF(SETUP!$G$43=2,$E$409*'TB-EQUIPMENT &amp; OTHER HPs'!AX16,IF(SETUP!$G$43=1,$E$409*'TB-EQUIPMENT &amp; OTHER HPs'!AY16,0))),0)</f>
        <v>0</v>
      </c>
      <c r="J411" s="1194">
        <f t="shared" si="56"/>
        <v>0</v>
      </c>
      <c r="K411" s="1328">
        <f>IF(SETUP!$F$43="At delivery",IF(SETUP!$G$43=4,$E$409*'TB-EQUIPMENT &amp; OTHER HPs'!AW16,IF(SETUP!$G$43=3,$E$409*'TB-EQUIPMENT &amp; OTHER HPs'!AX16,IF(SETUP!$G$43=2,$E$409*'TB-EQUIPMENT &amp; OTHER HPs'!AY16,IF(SETUP!$G$43=1,$E$409*'TB-EQUIPMENT &amp; OTHER HPs'!AZ16,0)))),0)</f>
        <v>0</v>
      </c>
      <c r="L411" s="1194">
        <f>IF(SETUP!$F$43="At delivery",IF(SETUP!$G$43=4,$E$409*'TB-EQUIPMENT &amp; OTHER HPs'!AX16,IF(SETUP!$G$43=3,$E$409*'TB-EQUIPMENT &amp; OTHER HPs'!AY16,IF(SETUP!$G$43=2,$E$409*'TB-EQUIPMENT &amp; OTHER HPs'!AZ16,IF(SETUP!$G$43=1,$E$409*'TB-EQUIPMENT &amp; OTHER HPs'!BA16,0)))),0)</f>
        <v>0</v>
      </c>
      <c r="M411" s="1194">
        <f>IF(SETUP!$F$43="At delivery",IF(SETUP!$G$43=4,$E$409*'TB-EQUIPMENT &amp; OTHER HPs'!AY16,IF(SETUP!$G$43=3,$E$409*'TB-EQUIPMENT &amp; OTHER HPs'!AZ16,IF(SETUP!$G$43=2,$E$409*'TB-EQUIPMENT &amp; OTHER HPs'!BA16,IF(SETUP!$G$43=1,$E$409*'TB-EQUIPMENT &amp; OTHER HPs'!BB16,0)))),0)</f>
        <v>0</v>
      </c>
      <c r="N411" s="1194">
        <f>IF(SETUP!$F$43="At delivery",IF(SETUP!$G$43=4,$E$409*'TB-EQUIPMENT &amp; OTHER HPs'!AZ16,IF(SETUP!$G$43=3,$E$409*'TB-EQUIPMENT &amp; OTHER HPs'!BA16,IF(SETUP!$G$43=2,$E$409*'TB-EQUIPMENT &amp; OTHER HPs'!BB16,IF(SETUP!$G$43=1,$E$409*'TB-EQUIPMENT &amp; OTHER HPs'!BC16,0)))),0)</f>
        <v>0</v>
      </c>
      <c r="O411" s="1194">
        <f t="shared" si="57"/>
        <v>0</v>
      </c>
      <c r="P411" s="1328">
        <f>IF(SETUP!$F$43="At delivery",IF(SETUP!$G$43=4,$E$409*'TB-EQUIPMENT &amp; OTHER HPs'!BA16,IF(SETUP!$G$43=3,$E$409*'TB-EQUIPMENT &amp; OTHER HPs'!BB16,IF(SETUP!$G$43=2,$E$409*'TB-EQUIPMENT &amp; OTHER HPs'!BC16,IF(SETUP!$G$43=1,$E$409*'TB-EQUIPMENT &amp; OTHER HPs'!BD16,0)))),0)</f>
        <v>0</v>
      </c>
      <c r="Q411" s="1194">
        <f>IF(SETUP!$F$43="At delivery",IF(SETUP!$G$43=4,$E$409*'TB-EQUIPMENT &amp; OTHER HPs'!BB16,IF(SETUP!$G$43=3,$E$409*'TB-EQUIPMENT &amp; OTHER HPs'!BC16,IF(SETUP!$G$43=2,$E$409*'TB-EQUIPMENT &amp; OTHER HPs'!BD16,IF(SETUP!$G$43=1,$E$409*'TB-EQUIPMENT &amp; OTHER HPs'!BE16,0)))),0)</f>
        <v>0</v>
      </c>
      <c r="R411" s="1194">
        <f>IF(SETUP!$F$43="At delivery",IF(SETUP!$G$43=4,$E$409*'TB-EQUIPMENT &amp; OTHER HPs'!BC16,IF(SETUP!$G$43=3,$E$409*'TB-EQUIPMENT &amp; OTHER HPs'!BD16,IF(SETUP!$G$43=2,$E$409*'TB-EQUIPMENT &amp; OTHER HPs'!BE16,IF(SETUP!$G$43=1,$E$409*'TB-EQUIPMENT &amp; OTHER HPs'!BF16,0)))),0)</f>
        <v>0</v>
      </c>
      <c r="S411" s="1194">
        <f>IF(SETUP!$F$43="At delivery",IF(SETUP!$G$43=4,$E$409*('TB-EQUIPMENT &amp; OTHER HPs'!BD16+'TB-EQUIPMENT &amp; OTHER HPs'!BE16+'TB-EQUIPMENT &amp; OTHER HPs'!BF16+'TB-EQUIPMENT &amp; OTHER HPs'!BG16+'TB-EQUIPMENT &amp; OTHER HPs'!BH16),IF(SETUP!$G$43=3,$E$409*('TB-EQUIPMENT &amp; OTHER HPs'!BE16+'TB-EQUIPMENT &amp; OTHER HPs'!BF16+'TB-EQUIPMENT &amp; OTHER HPs'!BG16+'TB-EQUIPMENT &amp; OTHER HPs'!BH16),IF(SETUP!$G$43=2,$E$409*('TB-EQUIPMENT &amp; OTHER HPs'!BF16+'TB-EQUIPMENT &amp; OTHER HPs'!BG16+'TB-EQUIPMENT &amp; OTHER HPs'!BH16),IF(SETUP!$G$43=1,$E$409*('TB-EQUIPMENT &amp; OTHER HPs'!BG16+'TB-EQUIPMENT &amp; OTHER HPs'!BH16),0)))),0)</f>
        <v>0</v>
      </c>
      <c r="T411" s="1194">
        <f t="shared" si="58"/>
        <v>0</v>
      </c>
      <c r="U411" s="1328">
        <f t="shared" si="59"/>
        <v>0</v>
      </c>
      <c r="V411" s="1826">
        <v>7.3</v>
      </c>
      <c r="W411" s="1830"/>
      <c r="X411" s="849"/>
      <c r="Y411" s="768"/>
      <c r="Z411" s="768"/>
      <c r="AA411" s="768"/>
      <c r="AB411" s="768"/>
      <c r="AC411" s="768"/>
      <c r="AD411" s="768"/>
      <c r="AE411" s="768"/>
      <c r="AF411" s="868"/>
      <c r="AG411" s="768"/>
      <c r="AH411" s="768"/>
      <c r="AI411" s="768"/>
      <c r="AJ411" s="768"/>
      <c r="AK411" s="768"/>
      <c r="AL411" s="768"/>
      <c r="AM411" s="768"/>
      <c r="AN411" s="768"/>
      <c r="AO411" s="768"/>
      <c r="AP411" s="768"/>
      <c r="AQ411" s="768"/>
      <c r="AR411" s="768"/>
      <c r="AS411" s="768"/>
      <c r="AT411" s="768"/>
      <c r="AU411" s="768"/>
      <c r="AV411" s="768"/>
      <c r="AW411" s="768"/>
      <c r="AX411" s="768"/>
      <c r="AY411" s="768"/>
      <c r="AZ411" s="768"/>
      <c r="BA411" s="768"/>
      <c r="BB411" s="768"/>
      <c r="BC411" s="768"/>
      <c r="BD411" s="768"/>
      <c r="BE411" s="768"/>
      <c r="BF411" s="768"/>
      <c r="BG411" s="768"/>
      <c r="BH411" s="768"/>
      <c r="BI411" s="768"/>
      <c r="BJ411" s="768"/>
      <c r="BK411" s="768"/>
      <c r="BL411" s="768"/>
      <c r="BM411" s="768"/>
      <c r="BN411" s="768"/>
      <c r="BO411" s="768"/>
      <c r="BP411" s="768"/>
      <c r="BQ411" s="768"/>
      <c r="BR411" s="768"/>
    </row>
    <row r="412" spans="1:70" s="759" customFormat="1" ht="13" hidden="1" collapsed="1">
      <c r="A412" s="2919"/>
      <c r="B412" s="2920"/>
      <c r="C412" s="2911" t="s">
        <v>574</v>
      </c>
      <c r="D412" s="2911"/>
      <c r="E412" s="1651">
        <v>0</v>
      </c>
      <c r="F412" s="1328">
        <f>IF(SETUP!$F$44="Upfront",F413,F414)</f>
        <v>0</v>
      </c>
      <c r="G412" s="1194">
        <f>IF(SETUP!$F$44="Upfront",G413,G414)</f>
        <v>0</v>
      </c>
      <c r="H412" s="1194">
        <f>IF(SETUP!$F$44="Upfront",H413,H414)</f>
        <v>0</v>
      </c>
      <c r="I412" s="1194">
        <f>IF(SETUP!$F$44="Upfront",I413,I414)</f>
        <v>0</v>
      </c>
      <c r="J412" s="1194">
        <f t="shared" si="56"/>
        <v>0</v>
      </c>
      <c r="K412" s="1328">
        <f>IF(SETUP!$F$44="Upfront",K413,K414)</f>
        <v>0</v>
      </c>
      <c r="L412" s="1194">
        <f>IF(SETUP!$F$44="Upfront",L413,L414)</f>
        <v>0</v>
      </c>
      <c r="M412" s="1194">
        <f>IF(SETUP!$F$44="Upfront",M413,M414)</f>
        <v>0</v>
      </c>
      <c r="N412" s="1194">
        <f>IF(SETUP!$F$44="Upfront",N413,N414)</f>
        <v>0</v>
      </c>
      <c r="O412" s="1194">
        <f t="shared" si="57"/>
        <v>0</v>
      </c>
      <c r="P412" s="1328">
        <f>IF(SETUP!$F$44="Upfront",P413,P414)</f>
        <v>0</v>
      </c>
      <c r="Q412" s="1194">
        <f>IF(SETUP!$F$44="Upfront",Q413,Q414)</f>
        <v>0</v>
      </c>
      <c r="R412" s="1194">
        <f>IF(SETUP!$F$44="Upfront",R413,R414)</f>
        <v>0</v>
      </c>
      <c r="S412" s="1194">
        <f>IF(SETUP!$F$44="Upfront",S413,S414)</f>
        <v>0</v>
      </c>
      <c r="T412" s="1194">
        <f t="shared" si="58"/>
        <v>0</v>
      </c>
      <c r="U412" s="1328">
        <f t="shared" si="59"/>
        <v>0</v>
      </c>
      <c r="V412" s="1826">
        <v>7.3</v>
      </c>
      <c r="W412" s="1830"/>
      <c r="X412" s="849"/>
      <c r="Y412" s="768"/>
      <c r="Z412" s="768"/>
      <c r="AA412" s="768"/>
      <c r="AB412" s="768"/>
      <c r="AC412" s="768"/>
      <c r="AD412" s="768"/>
      <c r="AE412" s="768"/>
      <c r="AF412" s="868"/>
      <c r="AG412" s="768"/>
      <c r="AH412" s="768"/>
      <c r="AI412" s="768"/>
      <c r="AJ412" s="768"/>
      <c r="AK412" s="768"/>
      <c r="AL412" s="768"/>
      <c r="AM412" s="768"/>
      <c r="AN412" s="768"/>
      <c r="AO412" s="768"/>
      <c r="AP412" s="768"/>
      <c r="AQ412" s="768"/>
      <c r="AR412" s="768"/>
      <c r="AS412" s="768"/>
      <c r="AT412" s="768"/>
      <c r="AU412" s="768"/>
      <c r="AV412" s="768"/>
      <c r="AW412" s="768"/>
      <c r="AX412" s="768"/>
      <c r="AY412" s="768"/>
      <c r="AZ412" s="768"/>
      <c r="BA412" s="768"/>
      <c r="BB412" s="768"/>
      <c r="BC412" s="768"/>
      <c r="BD412" s="768"/>
      <c r="BE412" s="768"/>
      <c r="BF412" s="768"/>
      <c r="BG412" s="768"/>
      <c r="BH412" s="768"/>
      <c r="BI412" s="768"/>
      <c r="BJ412" s="768"/>
      <c r="BK412" s="768"/>
      <c r="BL412" s="768"/>
      <c r="BM412" s="768"/>
      <c r="BN412" s="768"/>
      <c r="BO412" s="768"/>
      <c r="BP412" s="768"/>
      <c r="BQ412" s="768"/>
      <c r="BR412" s="768"/>
    </row>
    <row r="413" spans="1:70" s="759" customFormat="1" ht="12.75" hidden="1" customHeight="1" outlineLevel="1">
      <c r="A413" s="2919"/>
      <c r="B413" s="2920"/>
      <c r="C413" s="2912" t="s">
        <v>918</v>
      </c>
      <c r="D413" s="2912"/>
      <c r="E413" s="1649"/>
      <c r="F413" s="1328">
        <f>IF(SETUP!$F$44="Upfront",$E$412*'TB-EQUIPMENT &amp; OTHER HPs'!AW17,0)</f>
        <v>0</v>
      </c>
      <c r="G413" s="1194">
        <f>IF(SETUP!$F$44="Upfront",$E$412*'TB-EQUIPMENT &amp; OTHER HPs'!AX17,0)</f>
        <v>0</v>
      </c>
      <c r="H413" s="1194">
        <f>IF(SETUP!$F$44="Upfront",$E$412*'TB-EQUIPMENT &amp; OTHER HPs'!AY17,0)</f>
        <v>0</v>
      </c>
      <c r="I413" s="1194">
        <f>IF(SETUP!$F$44="Upfront",$E$412*'TB-EQUIPMENT &amp; OTHER HPs'!AZ17,0)</f>
        <v>0</v>
      </c>
      <c r="J413" s="1194">
        <f t="shared" si="56"/>
        <v>0</v>
      </c>
      <c r="K413" s="1328">
        <f>IF(SETUP!$F$44="Upfront",$E$412*'TB-EQUIPMENT &amp; OTHER HPs'!BA17,0)</f>
        <v>0</v>
      </c>
      <c r="L413" s="1194">
        <f>IF(SETUP!$F$44="Upfront",$E$412*'TB-EQUIPMENT &amp; OTHER HPs'!BB17,0)</f>
        <v>0</v>
      </c>
      <c r="M413" s="1194">
        <f>IF(SETUP!$F$44="Upfront",$E$412*'TB-EQUIPMENT &amp; OTHER HPs'!BC17,0)</f>
        <v>0</v>
      </c>
      <c r="N413" s="1194">
        <f>IF(SETUP!$F$44="Upfront",$E$412*'TB-EQUIPMENT &amp; OTHER HPs'!BD17,0)</f>
        <v>0</v>
      </c>
      <c r="O413" s="1194">
        <f t="shared" si="57"/>
        <v>0</v>
      </c>
      <c r="P413" s="1328">
        <f>IF(SETUP!$F$44="Upfront",$E$412*'TB-EQUIPMENT &amp; OTHER HPs'!BE17,0)</f>
        <v>0</v>
      </c>
      <c r="Q413" s="1194">
        <f>IF(SETUP!$F$44="Upfront",$E$412*'TB-EQUIPMENT &amp; OTHER HPs'!BF17,0)</f>
        <v>0</v>
      </c>
      <c r="R413" s="1194">
        <f>IF(SETUP!$F$44="Upfront",$E$412*'TB-EQUIPMENT &amp; OTHER HPs'!BG17,0)</f>
        <v>0</v>
      </c>
      <c r="S413" s="1194">
        <f>IF(SETUP!$F$44="Upfront",$E$412*'TB-EQUIPMENT &amp; OTHER HPs'!BH17,0)</f>
        <v>0</v>
      </c>
      <c r="T413" s="1194">
        <f t="shared" si="58"/>
        <v>0</v>
      </c>
      <c r="U413" s="1328">
        <f t="shared" si="59"/>
        <v>0</v>
      </c>
      <c r="V413" s="1826">
        <v>7.3</v>
      </c>
      <c r="W413" s="1830"/>
      <c r="X413" s="849"/>
      <c r="Y413" s="768"/>
      <c r="Z413" s="768"/>
      <c r="AA413" s="768"/>
      <c r="AB413" s="768"/>
      <c r="AC413" s="768"/>
      <c r="AD413" s="768"/>
      <c r="AE413" s="768"/>
      <c r="AF413" s="868"/>
      <c r="AG413" s="768"/>
      <c r="AH413" s="768"/>
      <c r="AI413" s="768"/>
      <c r="AJ413" s="768"/>
      <c r="AK413" s="768"/>
      <c r="AL413" s="768"/>
      <c r="AM413" s="768"/>
      <c r="AN413" s="768"/>
      <c r="AO413" s="768"/>
      <c r="AP413" s="768"/>
      <c r="AQ413" s="768"/>
      <c r="AR413" s="768"/>
      <c r="AS413" s="768"/>
      <c r="AT413" s="768"/>
      <c r="AU413" s="768"/>
      <c r="AV413" s="768"/>
      <c r="AW413" s="768"/>
      <c r="AX413" s="768"/>
      <c r="AY413" s="768"/>
      <c r="AZ413" s="768"/>
      <c r="BA413" s="768"/>
      <c r="BB413" s="768"/>
      <c r="BC413" s="768"/>
      <c r="BD413" s="768"/>
      <c r="BE413" s="768"/>
      <c r="BF413" s="768"/>
      <c r="BG413" s="768"/>
      <c r="BH413" s="768"/>
      <c r="BI413" s="768"/>
      <c r="BJ413" s="768"/>
      <c r="BK413" s="768"/>
      <c r="BL413" s="768"/>
      <c r="BM413" s="768"/>
      <c r="BN413" s="768"/>
      <c r="BO413" s="768"/>
      <c r="BP413" s="768"/>
      <c r="BQ413" s="768"/>
      <c r="BR413" s="768"/>
    </row>
    <row r="414" spans="1:70" s="759" customFormat="1" ht="12.75" hidden="1" customHeight="1" outlineLevel="1">
      <c r="A414" s="2919"/>
      <c r="B414" s="2920"/>
      <c r="C414" s="2912" t="s">
        <v>36</v>
      </c>
      <c r="D414" s="2912"/>
      <c r="E414" s="1649"/>
      <c r="F414" s="1328">
        <v>0</v>
      </c>
      <c r="G414" s="1194">
        <f>IF(SETUP!$F$44="At delivery",IF(SETUP!$G$44=1,$E$412*'TB-EQUIPMENT &amp; OTHER HPs'!AW17,0),0)</f>
        <v>0</v>
      </c>
      <c r="H414" s="1194">
        <f>IF(SETUP!$F$44="At delivery",IF(SETUP!$G$44=2,$E$412*'TB-EQUIPMENT &amp; OTHER HPs'!AW17,IF(SETUP!$G$44=1,$E$412*'TB-EQUIPMENT &amp; OTHER HPs'!AX17,0)),0)</f>
        <v>0</v>
      </c>
      <c r="I414" s="1194">
        <f>IF(SETUP!$F$44="At delivery",IF(SETUP!$G$44=3,$E$412*'TB-EQUIPMENT &amp; OTHER HPs'!AW17,IF(SETUP!$G$44=2,$E$412*'TB-EQUIPMENT &amp; OTHER HPs'!AX17,IF(SETUP!$G$44=1,$E$412*'TB-EQUIPMENT &amp; OTHER HPs'!AY17,0))),0)</f>
        <v>0</v>
      </c>
      <c r="J414" s="1194">
        <f t="shared" si="56"/>
        <v>0</v>
      </c>
      <c r="K414" s="1328">
        <f>IF(SETUP!$F$44="At delivery",IF(SETUP!$G$44=4,$E$412*'TB-EQUIPMENT &amp; OTHER HPs'!AW17,IF(SETUP!$G$44=3,$E$412*'TB-EQUIPMENT &amp; OTHER HPs'!AX17,IF(SETUP!$G$44=2,$E$412*'TB-EQUIPMENT &amp; OTHER HPs'!AY17,IF(SETUP!$G$44=1,$E$412*'TB-EQUIPMENT &amp; OTHER HPs'!AZ17,0)))),0)</f>
        <v>0</v>
      </c>
      <c r="L414" s="1194">
        <f>IF(SETUP!$F$44="At delivery",IF(SETUP!$G$44=4,$E$412*'TB-EQUIPMENT &amp; OTHER HPs'!AX17,IF(SETUP!$G$44=3,$E$412*'TB-EQUIPMENT &amp; OTHER HPs'!AY17,IF(SETUP!$G$44=2,$E$412*'TB-EQUIPMENT &amp; OTHER HPs'!AZ17,IF(SETUP!$G$44=1,$E$412*'TB-EQUIPMENT &amp; OTHER HPs'!BA17,0)))),0)</f>
        <v>0</v>
      </c>
      <c r="M414" s="1194">
        <f>IF(SETUP!$F$44="At delivery",IF(SETUP!$G$44=4,$E$412*'TB-EQUIPMENT &amp; OTHER HPs'!AY17,IF(SETUP!$G$44=3,$E$412*'TB-EQUIPMENT &amp; OTHER HPs'!AZ17,IF(SETUP!$G$44=2,$E$412*'TB-EQUIPMENT &amp; OTHER HPs'!BA17,IF(SETUP!$G$44=1,$E$412*'TB-EQUIPMENT &amp; OTHER HPs'!BB17,0)))),0)</f>
        <v>0</v>
      </c>
      <c r="N414" s="1194">
        <f>IF(SETUP!$F$44="At delivery",IF(SETUP!$G$44=4,$E$412*'TB-EQUIPMENT &amp; OTHER HPs'!AZ17,IF(SETUP!$G$44=3,$E$412*'TB-EQUIPMENT &amp; OTHER HPs'!BA17,IF(SETUP!$G$44=2,$E$412*'TB-EQUIPMENT &amp; OTHER HPs'!BB17,IF(SETUP!$G$44=1,$E$412*'TB-EQUIPMENT &amp; OTHER HPs'!BC17,0)))),0)</f>
        <v>0</v>
      </c>
      <c r="O414" s="1194">
        <f t="shared" si="57"/>
        <v>0</v>
      </c>
      <c r="P414" s="1328">
        <f>IF(SETUP!$F$44="At delivery",IF(SETUP!$G$44=4,$E$412*'TB-EQUIPMENT &amp; OTHER HPs'!BA17,IF(SETUP!$G$44=3,$E$412*'TB-EQUIPMENT &amp; OTHER HPs'!BB17,IF(SETUP!$G$44=2,$E$412*'TB-EQUIPMENT &amp; OTHER HPs'!BC17,IF(SETUP!$G$44=1,$E$412*'TB-EQUIPMENT &amp; OTHER HPs'!BD17,0)))),0)</f>
        <v>0</v>
      </c>
      <c r="Q414" s="1194">
        <f>IF(SETUP!$F$44="At delivery",IF(SETUP!$G$44=4,$E$412*'TB-EQUIPMENT &amp; OTHER HPs'!BB17,IF(SETUP!$G$44=3,$E$412*'TB-EQUIPMENT &amp; OTHER HPs'!BC17,IF(SETUP!$G$44=2,$E$412*'TB-EQUIPMENT &amp; OTHER HPs'!BD17,IF(SETUP!$G$44=1,$E$412*'TB-EQUIPMENT &amp; OTHER HPs'!BE17,0)))),0)</f>
        <v>0</v>
      </c>
      <c r="R414" s="1194">
        <f>IF(SETUP!$F$44="At delivery",IF(SETUP!$G$44=4,$E$412*'TB-EQUIPMENT &amp; OTHER HPs'!BC17,IF(SETUP!$G$44=3,$E$412*'TB-EQUIPMENT &amp; OTHER HPs'!BD17,IF(SETUP!$G$44=2,$E$412*'TB-EQUIPMENT &amp; OTHER HPs'!BE17,IF(SETUP!$G$44=1,$E$412*'TB-EQUIPMENT &amp; OTHER HPs'!BF17,0)))),0)</f>
        <v>0</v>
      </c>
      <c r="S414" s="1194">
        <f>IF(SETUP!$F$44="At delivery",IF(SETUP!$G$44=4,$E$412*('TB-EQUIPMENT &amp; OTHER HPs'!BD17+'TB-EQUIPMENT &amp; OTHER HPs'!BE17+'TB-EQUIPMENT &amp; OTHER HPs'!BF17+'TB-EQUIPMENT &amp; OTHER HPs'!BG17+'TB-EQUIPMENT &amp; OTHER HPs'!BH17),IF(SETUP!$G$44=3,$E$412*('TB-EQUIPMENT &amp; OTHER HPs'!BE17+'TB-EQUIPMENT &amp; OTHER HPs'!BF17+'TB-EQUIPMENT &amp; OTHER HPs'!BG17+'TB-EQUIPMENT &amp; OTHER HPs'!BH17),IF(SETUP!$G$44=2,$E$412*('TB-EQUIPMENT &amp; OTHER HPs'!BF17+'TB-EQUIPMENT &amp; OTHER HPs'!BG17+'TB-EQUIPMENT &amp; OTHER HPs'!BH17),IF(SETUP!$G$44=1,$E$412*('TB-EQUIPMENT &amp; OTHER HPs'!BG17+'TB-EQUIPMENT &amp; OTHER HPs'!BH17),0)))),0)</f>
        <v>0</v>
      </c>
      <c r="T414" s="1194">
        <f t="shared" si="58"/>
        <v>0</v>
      </c>
      <c r="U414" s="1328">
        <f t="shared" si="59"/>
        <v>0</v>
      </c>
      <c r="V414" s="1826">
        <v>7.3</v>
      </c>
      <c r="W414" s="1830"/>
      <c r="X414" s="849"/>
      <c r="Y414" s="768"/>
      <c r="Z414" s="768"/>
      <c r="AA414" s="768"/>
      <c r="AB414" s="768"/>
      <c r="AC414" s="768"/>
      <c r="AD414" s="768"/>
      <c r="AE414" s="768"/>
      <c r="AF414" s="868"/>
      <c r="AG414" s="768"/>
      <c r="AH414" s="768"/>
      <c r="AI414" s="768"/>
      <c r="AJ414" s="768"/>
      <c r="AK414" s="768"/>
      <c r="AL414" s="768"/>
      <c r="AM414" s="768"/>
      <c r="AN414" s="768"/>
      <c r="AO414" s="768"/>
      <c r="AP414" s="768"/>
      <c r="AQ414" s="768"/>
      <c r="AR414" s="768"/>
      <c r="AS414" s="768"/>
      <c r="AT414" s="768"/>
      <c r="AU414" s="768"/>
      <c r="AV414" s="768"/>
      <c r="AW414" s="768"/>
      <c r="AX414" s="768"/>
      <c r="AY414" s="768"/>
      <c r="AZ414" s="768"/>
      <c r="BA414" s="768"/>
      <c r="BB414" s="768"/>
      <c r="BC414" s="768"/>
      <c r="BD414" s="768"/>
      <c r="BE414" s="768"/>
      <c r="BF414" s="768"/>
      <c r="BG414" s="768"/>
      <c r="BH414" s="768"/>
      <c r="BI414" s="768"/>
      <c r="BJ414" s="768"/>
      <c r="BK414" s="768"/>
      <c r="BL414" s="768"/>
      <c r="BM414" s="768"/>
      <c r="BN414" s="768"/>
      <c r="BO414" s="768"/>
      <c r="BP414" s="768"/>
      <c r="BQ414" s="768"/>
      <c r="BR414" s="768"/>
    </row>
    <row r="415" spans="1:70" s="759" customFormat="1" ht="13" hidden="1" collapsed="1">
      <c r="A415" s="2921" t="s">
        <v>575</v>
      </c>
      <c r="B415" s="2922"/>
      <c r="C415" s="2968" t="s">
        <v>576</v>
      </c>
      <c r="D415" s="2968"/>
      <c r="E415" s="2994">
        <v>0</v>
      </c>
      <c r="F415" s="1328">
        <f>IF(SETUP!$F$50="Upfront",F416,F417)</f>
        <v>0</v>
      </c>
      <c r="G415" s="1194">
        <f>IF(SETUP!$F$50="Upfront",G416,G417)</f>
        <v>0</v>
      </c>
      <c r="H415" s="1194">
        <f>IF(SETUP!$F$50="Upfront",H416,H417)</f>
        <v>0</v>
      </c>
      <c r="I415" s="1194">
        <f>IF(SETUP!$F$50="Upfront",I416,I417)</f>
        <v>0</v>
      </c>
      <c r="J415" s="1194">
        <f t="shared" si="56"/>
        <v>0</v>
      </c>
      <c r="K415" s="1328">
        <f>IF(SETUP!$F$50="Upfront",K416,K417)</f>
        <v>0</v>
      </c>
      <c r="L415" s="1194">
        <f>IF(SETUP!$F$50="Upfront",L416,L417)</f>
        <v>0</v>
      </c>
      <c r="M415" s="1194">
        <f>IF(SETUP!$F$50="Upfront",M416,M417)</f>
        <v>0</v>
      </c>
      <c r="N415" s="1194">
        <f>IF(SETUP!$F$50="Upfront",N416,N417)</f>
        <v>0</v>
      </c>
      <c r="O415" s="1194">
        <f t="shared" si="57"/>
        <v>0</v>
      </c>
      <c r="P415" s="1328">
        <f>IF(SETUP!$F$50="Upfront",P416,P417)</f>
        <v>0</v>
      </c>
      <c r="Q415" s="1194">
        <f>IF(SETUP!$F$50="Upfront",Q416,Q417)</f>
        <v>0</v>
      </c>
      <c r="R415" s="1194">
        <f>IF(SETUP!$F$50="Upfront",R416,R417)</f>
        <v>0</v>
      </c>
      <c r="S415" s="1194">
        <f>IF(SETUP!$F$50="Upfront",S416,S417)</f>
        <v>0</v>
      </c>
      <c r="T415" s="1194">
        <f t="shared" si="58"/>
        <v>0</v>
      </c>
      <c r="U415" s="1328">
        <f t="shared" si="59"/>
        <v>0</v>
      </c>
      <c r="V415" s="1826">
        <v>7.3</v>
      </c>
      <c r="W415" s="1830"/>
      <c r="X415" s="849"/>
      <c r="Y415" s="768"/>
      <c r="Z415" s="768"/>
      <c r="AA415" s="768"/>
      <c r="AB415" s="768"/>
      <c r="AC415" s="768"/>
      <c r="AD415" s="768"/>
      <c r="AE415" s="768"/>
      <c r="AF415" s="868"/>
      <c r="AG415" s="768"/>
      <c r="AH415" s="768"/>
      <c r="AI415" s="768"/>
      <c r="AJ415" s="768"/>
      <c r="AK415" s="768"/>
      <c r="AL415" s="768"/>
      <c r="AM415" s="768"/>
      <c r="AN415" s="768"/>
      <c r="AO415" s="768"/>
      <c r="AP415" s="768"/>
      <c r="AQ415" s="768"/>
      <c r="AR415" s="768"/>
      <c r="AS415" s="768"/>
      <c r="AT415" s="768"/>
      <c r="AU415" s="768"/>
      <c r="AV415" s="768"/>
      <c r="AW415" s="768"/>
      <c r="AX415" s="768"/>
      <c r="AY415" s="768"/>
      <c r="AZ415" s="768"/>
      <c r="BA415" s="768"/>
      <c r="BB415" s="768"/>
      <c r="BC415" s="768"/>
      <c r="BD415" s="768"/>
      <c r="BE415" s="768"/>
      <c r="BF415" s="768"/>
      <c r="BG415" s="768"/>
      <c r="BH415" s="768"/>
      <c r="BI415" s="768"/>
      <c r="BJ415" s="768"/>
      <c r="BK415" s="768"/>
      <c r="BL415" s="768"/>
      <c r="BM415" s="768"/>
      <c r="BN415" s="768"/>
      <c r="BO415" s="768"/>
      <c r="BP415" s="768"/>
      <c r="BQ415" s="768"/>
      <c r="BR415" s="768"/>
    </row>
    <row r="416" spans="1:70" s="759" customFormat="1" ht="12.75" hidden="1" customHeight="1" outlineLevel="1">
      <c r="A416" s="2921"/>
      <c r="B416" s="2922"/>
      <c r="C416" s="2912" t="s">
        <v>918</v>
      </c>
      <c r="D416" s="2912"/>
      <c r="E416" s="2995"/>
      <c r="F416" s="1328">
        <f>IF(SETUP!$F$50="Upfront",$E$415*'Malaria-Pharmaceuticals'!AW14,0)</f>
        <v>0</v>
      </c>
      <c r="G416" s="1194">
        <f>IF(SETUP!$F$50="Upfront",$E$415*'Malaria-Pharmaceuticals'!AX14,0)</f>
        <v>0</v>
      </c>
      <c r="H416" s="1194">
        <f>IF(SETUP!$F$50="Upfront",$E$415*'Malaria-Pharmaceuticals'!AY14,0)</f>
        <v>0</v>
      </c>
      <c r="I416" s="1194">
        <f>IF(SETUP!$F$50="Upfront",$E$415*'Malaria-Pharmaceuticals'!AZ14,0)</f>
        <v>0</v>
      </c>
      <c r="J416" s="1194">
        <f t="shared" si="56"/>
        <v>0</v>
      </c>
      <c r="K416" s="1328">
        <f>IF(SETUP!$F$50="Upfront",$E$415*'Malaria-Pharmaceuticals'!BA14,0)</f>
        <v>0</v>
      </c>
      <c r="L416" s="1194">
        <f>IF(SETUP!$F$50="Upfront",$E$415*'Malaria-Pharmaceuticals'!BB14,0)</f>
        <v>0</v>
      </c>
      <c r="M416" s="1194">
        <f>IF(SETUP!$F$50="Upfront",$E$415*'Malaria-Pharmaceuticals'!BC14,0)</f>
        <v>0</v>
      </c>
      <c r="N416" s="1194">
        <f>IF(SETUP!$F$50="Upfront",$E$415*'Malaria-Pharmaceuticals'!BD14,0)</f>
        <v>0</v>
      </c>
      <c r="O416" s="1194">
        <f t="shared" si="57"/>
        <v>0</v>
      </c>
      <c r="P416" s="1328">
        <f>IF(SETUP!$F$50="Upfront",$E$415*'Malaria-Pharmaceuticals'!BE14,0)</f>
        <v>0</v>
      </c>
      <c r="Q416" s="1194">
        <f>IF(SETUP!$F$50="Upfront",$E$415*'Malaria-Pharmaceuticals'!BF14,0)</f>
        <v>0</v>
      </c>
      <c r="R416" s="1194">
        <f>IF(SETUP!$F$50="Upfront",$E$415*'Malaria-Pharmaceuticals'!BG14,0)</f>
        <v>0</v>
      </c>
      <c r="S416" s="1194">
        <f>IF(SETUP!$F$50="Upfront",$E$415*'Malaria-Pharmaceuticals'!BH14,0)</f>
        <v>0</v>
      </c>
      <c r="T416" s="1194">
        <f t="shared" si="58"/>
        <v>0</v>
      </c>
      <c r="U416" s="1328">
        <f t="shared" si="59"/>
        <v>0</v>
      </c>
      <c r="V416" s="1826">
        <v>7.3</v>
      </c>
      <c r="W416" s="1830"/>
      <c r="X416" s="849"/>
      <c r="Y416" s="768"/>
      <c r="Z416" s="768"/>
      <c r="AA416" s="768"/>
      <c r="AB416" s="768"/>
      <c r="AC416" s="768"/>
      <c r="AD416" s="768"/>
      <c r="AE416" s="768"/>
      <c r="AF416" s="868"/>
      <c r="AG416" s="768"/>
      <c r="AH416" s="768"/>
      <c r="AI416" s="768"/>
      <c r="AJ416" s="768"/>
      <c r="AK416" s="768"/>
      <c r="AL416" s="768"/>
      <c r="AM416" s="768"/>
      <c r="AN416" s="768"/>
      <c r="AO416" s="768"/>
      <c r="AP416" s="768"/>
      <c r="AQ416" s="768"/>
      <c r="AR416" s="768"/>
      <c r="AS416" s="768"/>
      <c r="AT416" s="768"/>
      <c r="AU416" s="768"/>
      <c r="AV416" s="768"/>
      <c r="AW416" s="768"/>
      <c r="AX416" s="768"/>
      <c r="AY416" s="768"/>
      <c r="AZ416" s="768"/>
      <c r="BA416" s="768"/>
      <c r="BB416" s="768"/>
      <c r="BC416" s="768"/>
      <c r="BD416" s="768"/>
      <c r="BE416" s="768"/>
      <c r="BF416" s="768"/>
      <c r="BG416" s="768"/>
      <c r="BH416" s="768"/>
      <c r="BI416" s="768"/>
      <c r="BJ416" s="768"/>
      <c r="BK416" s="768"/>
      <c r="BL416" s="768"/>
      <c r="BM416" s="768"/>
      <c r="BN416" s="768"/>
      <c r="BO416" s="768"/>
      <c r="BP416" s="768"/>
      <c r="BQ416" s="768"/>
      <c r="BR416" s="768"/>
    </row>
    <row r="417" spans="1:70" s="759" customFormat="1" ht="13.5" hidden="1" customHeight="1" outlineLevel="1">
      <c r="A417" s="2921"/>
      <c r="B417" s="2922"/>
      <c r="C417" s="2912" t="s">
        <v>36</v>
      </c>
      <c r="D417" s="2912"/>
      <c r="E417" s="2995"/>
      <c r="F417" s="1328">
        <v>0</v>
      </c>
      <c r="G417" s="1194">
        <f>IF(SETUP!$F$50="At delivery",IF(SETUP!$G$50=1,$E$415*'Malaria-Pharmaceuticals'!AW14,0),0)</f>
        <v>0</v>
      </c>
      <c r="H417" s="1194">
        <f>IF(SETUP!$F$50="At delivery",IF(SETUP!$G$50=2,$E$415*'Malaria-Pharmaceuticals'!AW14,IF(SETUP!$G$50=1,$E$415*'Malaria-Pharmaceuticals'!AX14,0)),0)</f>
        <v>0</v>
      </c>
      <c r="I417" s="1194">
        <f>IF(SETUP!$F$50="At delivery",IF(SETUP!$G$50=3,$E$415*'Malaria-Pharmaceuticals'!AW14,IF(SETUP!$G$50=2,$E$415*'Malaria-Pharmaceuticals'!AX14,IF(SETUP!$G$50=1,$E$415*'Malaria-Pharmaceuticals'!AY14,0))),0)</f>
        <v>0</v>
      </c>
      <c r="J417" s="1194">
        <f t="shared" ref="J417:J439" si="60">F417+G417+H417+I417</f>
        <v>0</v>
      </c>
      <c r="K417" s="1328">
        <f>IF(SETUP!$F$50="At delivery",IF(SETUP!$G$50=4,$E$415*'Malaria-Pharmaceuticals'!AW14,IF(SETUP!$G$50=3,$E$415*'Malaria-Pharmaceuticals'!AX14,IF(SETUP!$G$50=2,$E$415*'Malaria-Pharmaceuticals'!AY14,IF(SETUP!$G$50=1,$E$415*'Malaria-Pharmaceuticals'!AZ14,0)))),0)</f>
        <v>0</v>
      </c>
      <c r="L417" s="1194">
        <f>IF(SETUP!$F$50="At delivery",IF(SETUP!$G$50=4,$E$415*'Malaria-Pharmaceuticals'!AX14,IF(SETUP!$G$50=3,$E$415*'Malaria-Pharmaceuticals'!AY14,IF(SETUP!$G$50=2,$E$415*'Malaria-Pharmaceuticals'!AZ14,IF(SETUP!$G$50=1,$E$415*'Malaria-Pharmaceuticals'!BA14,0)))),0)</f>
        <v>0</v>
      </c>
      <c r="M417" s="1194">
        <f>IF(SETUP!$F$50="At delivery",IF(SETUP!$G$50=4,$E$415*'Malaria-Pharmaceuticals'!AY14,IF(SETUP!$G$50=3,$E$415*'Malaria-Pharmaceuticals'!AZ14,IF(SETUP!$G$50=2,$E$415*'Malaria-Pharmaceuticals'!BA14,IF(SETUP!$G$50=1,$E$415*'Malaria-Pharmaceuticals'!BB14,0)))),0)</f>
        <v>0</v>
      </c>
      <c r="N417" s="1194">
        <f>IF(SETUP!$F$50="At delivery",IF(SETUP!$G$50=4,$E$415*'Malaria-Pharmaceuticals'!AZ14,IF(SETUP!$G$50=3,$E$415*'Malaria-Pharmaceuticals'!BA14,IF(SETUP!$G$50=2,$E$415*'Malaria-Pharmaceuticals'!BB14,IF(SETUP!$G$50=1,$E$415*'Malaria-Pharmaceuticals'!BC14,0)))),0)</f>
        <v>0</v>
      </c>
      <c r="O417" s="1194">
        <f t="shared" ref="O417:O439" si="61">K417+L417+M417+N417</f>
        <v>0</v>
      </c>
      <c r="P417" s="1328">
        <f>IF(SETUP!$F$50="At delivery",IF(SETUP!$G$50=4,$E$415*'Malaria-Pharmaceuticals'!BA14,IF(SETUP!$G$50=3,$E$415*'Malaria-Pharmaceuticals'!BB14,IF(SETUP!$G$50=2,$E$415*'Malaria-Pharmaceuticals'!BC14,IF(SETUP!$G$50=1,$E$415*'Malaria-Pharmaceuticals'!BD14,0)))),0)</f>
        <v>0</v>
      </c>
      <c r="Q417" s="1194">
        <f>IF(SETUP!$F$50="At delivery",IF(SETUP!$G$50=4,$E$415*'Malaria-Pharmaceuticals'!BB14,IF(SETUP!$G$50=3,$E$415*'Malaria-Pharmaceuticals'!BC14,IF(SETUP!$G$50=2,$E$415*'Malaria-Pharmaceuticals'!BD14,IF(SETUP!$G$50=1,$E$415*'Malaria-Pharmaceuticals'!BE14,0)))),0)</f>
        <v>0</v>
      </c>
      <c r="R417" s="1194">
        <f>IF(SETUP!$F$50="At delivery",IF(SETUP!$G$50=4,$E$415*'Malaria-Pharmaceuticals'!BC14,IF(SETUP!$G$50=3,$E$415*'Malaria-Pharmaceuticals'!BD14,IF(SETUP!$G$50=2,$E$415*'Malaria-Pharmaceuticals'!BE14,IF(SETUP!$G$50=1,$E$415*'Malaria-Pharmaceuticals'!BF14,0)))),0)</f>
        <v>0</v>
      </c>
      <c r="S417" s="1194">
        <f>IF(SETUP!$F$50="At delivery",IF(SETUP!$G$50=4,$E$415*('Malaria-Pharmaceuticals'!BD14+'Malaria-Pharmaceuticals'!BE14+'Malaria-Pharmaceuticals'!BF14+'Malaria-Pharmaceuticals'!BG14+'Malaria-Pharmaceuticals'!BH14),IF(SETUP!$G$50=3,$E$415*('Malaria-Pharmaceuticals'!BE14+'Malaria-Pharmaceuticals'!BF14+'Malaria-Pharmaceuticals'!BG14+'Malaria-Pharmaceuticals'!BH14),IF(SETUP!$G$50=2,$E$415*('Malaria-Pharmaceuticals'!BF14+'Malaria-Pharmaceuticals'!BG14+'Malaria-Pharmaceuticals'!BH14),IF(SETUP!$G$50=1,$E$415*('Malaria-Pharmaceuticals'!BG14+'Malaria-Pharmaceuticals'!BH14),0)))),0)</f>
        <v>0</v>
      </c>
      <c r="T417" s="1194">
        <f t="shared" ref="T417:T439" si="62">P417+Q417+R417+S417</f>
        <v>0</v>
      </c>
      <c r="U417" s="1328">
        <f t="shared" ref="U417:U439" si="63">J417+O417+T417</f>
        <v>0</v>
      </c>
      <c r="V417" s="1826">
        <v>7.3</v>
      </c>
      <c r="W417" s="1830"/>
      <c r="X417" s="849"/>
      <c r="Y417" s="768"/>
      <c r="Z417" s="768"/>
      <c r="AA417" s="768"/>
      <c r="AB417" s="768"/>
      <c r="AC417" s="768"/>
      <c r="AD417" s="768"/>
      <c r="AE417" s="768"/>
      <c r="AF417" s="868"/>
      <c r="AG417" s="768"/>
      <c r="AH417" s="768"/>
      <c r="AI417" s="768"/>
      <c r="AJ417" s="768"/>
      <c r="AK417" s="768"/>
      <c r="AL417" s="768"/>
      <c r="AM417" s="768"/>
      <c r="AN417" s="768"/>
      <c r="AO417" s="768"/>
      <c r="AP417" s="768"/>
      <c r="AQ417" s="768"/>
      <c r="AR417" s="768"/>
      <c r="AS417" s="768"/>
      <c r="AT417" s="768"/>
      <c r="AU417" s="768"/>
      <c r="AV417" s="768"/>
      <c r="AW417" s="768"/>
      <c r="AX417" s="768"/>
      <c r="AY417" s="768"/>
      <c r="AZ417" s="768"/>
      <c r="BA417" s="768"/>
      <c r="BB417" s="768"/>
      <c r="BC417" s="768"/>
      <c r="BD417" s="768"/>
      <c r="BE417" s="768"/>
      <c r="BF417" s="768"/>
      <c r="BG417" s="768"/>
      <c r="BH417" s="768"/>
      <c r="BI417" s="768"/>
      <c r="BJ417" s="768"/>
      <c r="BK417" s="768"/>
      <c r="BL417" s="768"/>
      <c r="BM417" s="768"/>
      <c r="BN417" s="768"/>
      <c r="BO417" s="768"/>
      <c r="BP417" s="768"/>
      <c r="BQ417" s="768"/>
      <c r="BR417" s="768"/>
    </row>
    <row r="418" spans="1:70" s="759" customFormat="1" ht="13" hidden="1" collapsed="1">
      <c r="A418" s="2921"/>
      <c r="B418" s="2922"/>
      <c r="C418" s="2968" t="s">
        <v>578</v>
      </c>
      <c r="D418" s="2968"/>
      <c r="E418" s="2995"/>
      <c r="F418" s="1328">
        <f>IF(SETUP!$F$51="Upfront",F419,F420)</f>
        <v>0</v>
      </c>
      <c r="G418" s="1194">
        <f>IF(SETUP!$F$51="Upfront",G419,G420)</f>
        <v>0</v>
      </c>
      <c r="H418" s="1194">
        <f>IF(SETUP!$F$51="Upfront",H419,H420)</f>
        <v>0</v>
      </c>
      <c r="I418" s="1194">
        <f>IF(SETUP!$F$51="Upfront",I419,I420)</f>
        <v>0</v>
      </c>
      <c r="J418" s="1194">
        <f t="shared" si="60"/>
        <v>0</v>
      </c>
      <c r="K418" s="1328">
        <f>IF(SETUP!$F$51="Upfront",K419,K420)</f>
        <v>0</v>
      </c>
      <c r="L418" s="1194">
        <f>IF(SETUP!$F$51="Upfront",L419,L420)</f>
        <v>0</v>
      </c>
      <c r="M418" s="1194">
        <f>IF(SETUP!$F$51="Upfront",M419,M420)</f>
        <v>0</v>
      </c>
      <c r="N418" s="1194">
        <f>IF(SETUP!$F$51="Upfront",N419,N420)</f>
        <v>0</v>
      </c>
      <c r="O418" s="1194">
        <f t="shared" si="61"/>
        <v>0</v>
      </c>
      <c r="P418" s="1328">
        <f>IF(SETUP!$F$51="Upfront",P419,P420)</f>
        <v>0</v>
      </c>
      <c r="Q418" s="1194">
        <f>IF(SETUP!$F$51="Upfront",Q419,Q420)</f>
        <v>0</v>
      </c>
      <c r="R418" s="1194">
        <f>IF(SETUP!$F$51="Upfront",R419,R420)</f>
        <v>0</v>
      </c>
      <c r="S418" s="1194">
        <f>IF(SETUP!$F$51="Upfront",S419,S420)</f>
        <v>0</v>
      </c>
      <c r="T418" s="1194">
        <f t="shared" si="62"/>
        <v>0</v>
      </c>
      <c r="U418" s="1328">
        <f t="shared" si="63"/>
        <v>0</v>
      </c>
      <c r="V418" s="1826">
        <v>7.3</v>
      </c>
      <c r="W418" s="1830"/>
      <c r="X418" s="849"/>
      <c r="Y418" s="768"/>
      <c r="Z418" s="768"/>
      <c r="AA418" s="768"/>
      <c r="AB418" s="768"/>
      <c r="AC418" s="768"/>
      <c r="AD418" s="768"/>
      <c r="AE418" s="768"/>
      <c r="AF418" s="868"/>
      <c r="AG418" s="768"/>
      <c r="AH418" s="768"/>
      <c r="AI418" s="768"/>
      <c r="AJ418" s="768"/>
      <c r="AK418" s="768"/>
      <c r="AL418" s="768"/>
      <c r="AM418" s="768"/>
      <c r="AN418" s="768"/>
      <c r="AO418" s="768"/>
      <c r="AP418" s="768"/>
      <c r="AQ418" s="768"/>
      <c r="AR418" s="768"/>
      <c r="AS418" s="768"/>
      <c r="AT418" s="768"/>
      <c r="AU418" s="768"/>
      <c r="AV418" s="768"/>
      <c r="AW418" s="768"/>
      <c r="AX418" s="768"/>
      <c r="AY418" s="768"/>
      <c r="AZ418" s="768"/>
      <c r="BA418" s="768"/>
      <c r="BB418" s="768"/>
      <c r="BC418" s="768"/>
      <c r="BD418" s="768"/>
      <c r="BE418" s="768"/>
      <c r="BF418" s="768"/>
      <c r="BG418" s="768"/>
      <c r="BH418" s="768"/>
      <c r="BI418" s="768"/>
      <c r="BJ418" s="768"/>
      <c r="BK418" s="768"/>
      <c r="BL418" s="768"/>
      <c r="BM418" s="768"/>
      <c r="BN418" s="768"/>
      <c r="BO418" s="768"/>
      <c r="BP418" s="768"/>
      <c r="BQ418" s="768"/>
      <c r="BR418" s="768"/>
    </row>
    <row r="419" spans="1:70" s="759" customFormat="1" ht="12.75" hidden="1" customHeight="1" outlineLevel="1">
      <c r="A419" s="2921"/>
      <c r="B419" s="2922"/>
      <c r="C419" s="2912" t="s">
        <v>918</v>
      </c>
      <c r="D419" s="2912"/>
      <c r="E419" s="2995"/>
      <c r="F419" s="1328">
        <f>IF(SETUP!$F$50="Upfront",$E$415*'Malaria-Pharmaceuticals'!AW15,0)</f>
        <v>0</v>
      </c>
      <c r="G419" s="1194">
        <f>IF(SETUP!$F$50="Upfront",$E$415*'Malaria-Pharmaceuticals'!AX15,0)</f>
        <v>0</v>
      </c>
      <c r="H419" s="1194">
        <f>IF(SETUP!$F$50="Upfront",$E$415*'Malaria-Pharmaceuticals'!AY15,0)</f>
        <v>0</v>
      </c>
      <c r="I419" s="1194">
        <f>IF(SETUP!$F$50="Upfront",$E$415*'Malaria-Pharmaceuticals'!AZ15,0)</f>
        <v>0</v>
      </c>
      <c r="J419" s="1194">
        <f t="shared" si="60"/>
        <v>0</v>
      </c>
      <c r="K419" s="1328">
        <f>IF(SETUP!$F$50="Upfront",$E$415*'Malaria-Pharmaceuticals'!BA15,0)</f>
        <v>0</v>
      </c>
      <c r="L419" s="1194">
        <f>IF(SETUP!$F$50="Upfront",$E$415*'Malaria-Pharmaceuticals'!BB15,0)</f>
        <v>0</v>
      </c>
      <c r="M419" s="1194">
        <f>IF(SETUP!$F$50="Upfront",$E$415*'Malaria-Pharmaceuticals'!BC15,0)</f>
        <v>0</v>
      </c>
      <c r="N419" s="1194">
        <f>IF(SETUP!$F$50="Upfront",$E$415*'Malaria-Pharmaceuticals'!BD15,0)</f>
        <v>0</v>
      </c>
      <c r="O419" s="1194">
        <f t="shared" si="61"/>
        <v>0</v>
      </c>
      <c r="P419" s="1328">
        <f>IF(SETUP!$F$50="Upfront",$E$415*'Malaria-Pharmaceuticals'!BE15,0)</f>
        <v>0</v>
      </c>
      <c r="Q419" s="1194">
        <f>IF(SETUP!$F$50="Upfront",$E$415*'Malaria-Pharmaceuticals'!BF15,0)</f>
        <v>0</v>
      </c>
      <c r="R419" s="1194">
        <f>IF(SETUP!$F$50="Upfront",$E$415*'Malaria-Pharmaceuticals'!BG15,0)</f>
        <v>0</v>
      </c>
      <c r="S419" s="1194">
        <f>IF(SETUP!$F$50="Upfront",$E$415*'Malaria-Pharmaceuticals'!BH15,0)</f>
        <v>0</v>
      </c>
      <c r="T419" s="1194">
        <f t="shared" si="62"/>
        <v>0</v>
      </c>
      <c r="U419" s="1328">
        <f t="shared" si="63"/>
        <v>0</v>
      </c>
      <c r="V419" s="1826">
        <v>7.3</v>
      </c>
      <c r="W419" s="1830"/>
      <c r="X419" s="849"/>
      <c r="Y419" s="768"/>
      <c r="Z419" s="768"/>
      <c r="AA419" s="768"/>
      <c r="AB419" s="768"/>
      <c r="AC419" s="768"/>
      <c r="AD419" s="768"/>
      <c r="AE419" s="768"/>
      <c r="AF419" s="868"/>
      <c r="AG419" s="768"/>
      <c r="AH419" s="768"/>
      <c r="AI419" s="768"/>
      <c r="AJ419" s="768"/>
      <c r="AK419" s="768"/>
      <c r="AL419" s="768"/>
      <c r="AM419" s="768"/>
      <c r="AN419" s="768"/>
      <c r="AO419" s="768"/>
      <c r="AP419" s="768"/>
      <c r="AQ419" s="768"/>
      <c r="AR419" s="768"/>
      <c r="AS419" s="768"/>
      <c r="AT419" s="768"/>
      <c r="AU419" s="768"/>
      <c r="AV419" s="768"/>
      <c r="AW419" s="768"/>
      <c r="AX419" s="768"/>
      <c r="AY419" s="768"/>
      <c r="AZ419" s="768"/>
      <c r="BA419" s="768"/>
      <c r="BB419" s="768"/>
      <c r="BC419" s="768"/>
      <c r="BD419" s="768"/>
      <c r="BE419" s="768"/>
      <c r="BF419" s="768"/>
      <c r="BG419" s="768"/>
      <c r="BH419" s="768"/>
      <c r="BI419" s="768"/>
      <c r="BJ419" s="768"/>
      <c r="BK419" s="768"/>
      <c r="BL419" s="768"/>
      <c r="BM419" s="768"/>
      <c r="BN419" s="768"/>
      <c r="BO419" s="768"/>
      <c r="BP419" s="768"/>
      <c r="BQ419" s="768"/>
      <c r="BR419" s="768"/>
    </row>
    <row r="420" spans="1:70" s="759" customFormat="1" ht="13.5" hidden="1" customHeight="1" outlineLevel="1">
      <c r="A420" s="2921"/>
      <c r="B420" s="2922"/>
      <c r="C420" s="2912" t="s">
        <v>36</v>
      </c>
      <c r="D420" s="2912"/>
      <c r="E420" s="2996"/>
      <c r="F420" s="1328">
        <v>0</v>
      </c>
      <c r="G420" s="1194">
        <f>IF(SETUP!$F$51="At delivery",IF(SETUP!$G$51=1,$E$415*'Malaria-Pharmaceuticals'!AW15,0),0)</f>
        <v>0</v>
      </c>
      <c r="H420" s="1194">
        <f>IF(SETUP!$F$51="At delivery",IF(SETUP!$G$51=2,$E$415*'Malaria-Pharmaceuticals'!AW15,IF(SETUP!$G$51=1,$E$415*'Malaria-Pharmaceuticals'!AX15,0)),0)</f>
        <v>0</v>
      </c>
      <c r="I420" s="1194">
        <f>IF(SETUP!$F$51="At delivery",IF(SETUP!$G$51=3,$E$415*'Malaria-Pharmaceuticals'!AW15,IF(SETUP!$G$51=2,$E$415*'Malaria-Pharmaceuticals'!AX15,IF(SETUP!$G$51=1,$E$415*'Malaria-Pharmaceuticals'!AY15,0))),0)</f>
        <v>0</v>
      </c>
      <c r="J420" s="1194">
        <f t="shared" si="60"/>
        <v>0</v>
      </c>
      <c r="K420" s="1328">
        <f>IF(SETUP!$F$51="At delivery",IF(SETUP!$G$51=4,$E$415*'Malaria-Pharmaceuticals'!AW15,IF(SETUP!$G$51=3,$E$415*'Malaria-Pharmaceuticals'!AX15,IF(SETUP!$G$51=2,$E$415*'Malaria-Pharmaceuticals'!AY15,IF(SETUP!$G$51=1,$E$415*'Malaria-Pharmaceuticals'!AZ15,0)))),0)</f>
        <v>0</v>
      </c>
      <c r="L420" s="1194">
        <f>IF(SETUP!$F$51="At delivery",IF(SETUP!$G$51=4,$E$415*'Malaria-Pharmaceuticals'!AX15,IF(SETUP!$G$51=3,$E$415*'Malaria-Pharmaceuticals'!AY15,IF(SETUP!$G$51=2,$E$415*'Malaria-Pharmaceuticals'!AZ15,IF(SETUP!$G$51=1,$E$415*'Malaria-Pharmaceuticals'!BA15,0)))),0)</f>
        <v>0</v>
      </c>
      <c r="M420" s="1194">
        <f>IF(SETUP!$F$51="At delivery",IF(SETUP!$G$51=4,$E$415*'Malaria-Pharmaceuticals'!AY15,IF(SETUP!$G$51=3,$E$415*'Malaria-Pharmaceuticals'!AZ15,IF(SETUP!$G$51=2,$E$415*'Malaria-Pharmaceuticals'!BA15,IF(SETUP!$G$51=1,$E$415*'Malaria-Pharmaceuticals'!BB15,0)))),0)</f>
        <v>0</v>
      </c>
      <c r="N420" s="1194">
        <f>IF(SETUP!$F$51="At delivery",IF(SETUP!$G$51=4,$E$415*'Malaria-Pharmaceuticals'!AZ15,IF(SETUP!$G$51=3,$E$415*'Malaria-Pharmaceuticals'!BA15,IF(SETUP!$G$51=2,$E$415*'Malaria-Pharmaceuticals'!BB15,IF(SETUP!$G$51=1,$E$415*'Malaria-Pharmaceuticals'!BC15,0)))),0)</f>
        <v>0</v>
      </c>
      <c r="O420" s="1194">
        <f t="shared" si="61"/>
        <v>0</v>
      </c>
      <c r="P420" s="1328">
        <f>IF(SETUP!$F$51="At delivery",IF(SETUP!$G$51=4,$E$415*'Malaria-Pharmaceuticals'!BA15,IF(SETUP!$G$51=3,$E$415*'Malaria-Pharmaceuticals'!BB15,IF(SETUP!$G$51=2,$E$415*'Malaria-Pharmaceuticals'!BC15,IF(SETUP!$G$51=1,$E$415*'Malaria-Pharmaceuticals'!BD15,0)))),0)</f>
        <v>0</v>
      </c>
      <c r="Q420" s="1194">
        <f>IF(SETUP!$F$51="At delivery",IF(SETUP!$G$51=4,$E$415*'Malaria-Pharmaceuticals'!BB15,IF(SETUP!$G$51=3,$E$415*'Malaria-Pharmaceuticals'!BC15,IF(SETUP!$G$51=2,$E$415*'Malaria-Pharmaceuticals'!BD15,IF(SETUP!$G$51=1,$E$415*'Malaria-Pharmaceuticals'!BE15,0)))),0)</f>
        <v>0</v>
      </c>
      <c r="R420" s="1194">
        <f>IF(SETUP!$F$51="At delivery",IF(SETUP!$G$51=4,$E$415*'Malaria-Pharmaceuticals'!BC15,IF(SETUP!$G$51=3,$E$415*'Malaria-Pharmaceuticals'!BD15,IF(SETUP!$G$51=2,$E$415*'Malaria-Pharmaceuticals'!BE15,IF(SETUP!$G$51=1,$E$415*'Malaria-Pharmaceuticals'!BF15,0)))),0)</f>
        <v>0</v>
      </c>
      <c r="S420" s="1194">
        <f>IF(SETUP!$F$51="At delivery",IF(SETUP!$G$51=4,$E$415*('Malaria-Pharmaceuticals'!BD15+'Malaria-Pharmaceuticals'!BE15+'Malaria-Pharmaceuticals'!BF15+'Malaria-Pharmaceuticals'!BG15+'Malaria-Pharmaceuticals'!BH15),IF(SETUP!$G$51=3,$E$415*('Malaria-Pharmaceuticals'!BE15+'Malaria-Pharmaceuticals'!BF15+'Malaria-Pharmaceuticals'!BG15+'Malaria-Pharmaceuticals'!BH15),IF(SETUP!$G$51=2,$E$415*('Malaria-Pharmaceuticals'!BF15+'Malaria-Pharmaceuticals'!BG15+'Malaria-Pharmaceuticals'!BH15),IF(SETUP!$G$51=1,$E$415*('Malaria-Pharmaceuticals'!BG15+'Malaria-Pharmaceuticals'!BH15),0)))),0)</f>
        <v>0</v>
      </c>
      <c r="T420" s="1194">
        <f t="shared" si="62"/>
        <v>0</v>
      </c>
      <c r="U420" s="1328">
        <f t="shared" si="63"/>
        <v>0</v>
      </c>
      <c r="V420" s="1826">
        <v>7.3</v>
      </c>
      <c r="W420" s="1830"/>
      <c r="X420" s="849"/>
      <c r="Y420" s="768"/>
      <c r="Z420" s="768"/>
      <c r="AA420" s="768"/>
      <c r="AB420" s="768"/>
      <c r="AC420" s="768"/>
      <c r="AD420" s="768"/>
      <c r="AE420" s="768"/>
      <c r="AF420" s="868"/>
      <c r="AG420" s="768"/>
      <c r="AH420" s="768"/>
      <c r="AI420" s="768"/>
      <c r="AJ420" s="768"/>
      <c r="AK420" s="768"/>
      <c r="AL420" s="768"/>
      <c r="AM420" s="768"/>
      <c r="AN420" s="768"/>
      <c r="AO420" s="768"/>
      <c r="AP420" s="768"/>
      <c r="AQ420" s="768"/>
      <c r="AR420" s="768"/>
      <c r="AS420" s="768"/>
      <c r="AT420" s="768"/>
      <c r="AU420" s="768"/>
      <c r="AV420" s="768"/>
      <c r="AW420" s="768"/>
      <c r="AX420" s="768"/>
      <c r="AY420" s="768"/>
      <c r="AZ420" s="768"/>
      <c r="BA420" s="768"/>
      <c r="BB420" s="768"/>
      <c r="BC420" s="768"/>
      <c r="BD420" s="768"/>
      <c r="BE420" s="768"/>
      <c r="BF420" s="768"/>
      <c r="BG420" s="768"/>
      <c r="BH420" s="768"/>
      <c r="BI420" s="768"/>
      <c r="BJ420" s="768"/>
      <c r="BK420" s="768"/>
      <c r="BL420" s="768"/>
      <c r="BM420" s="768"/>
      <c r="BN420" s="768"/>
      <c r="BO420" s="768"/>
      <c r="BP420" s="768"/>
      <c r="BQ420" s="768"/>
      <c r="BR420" s="768"/>
    </row>
    <row r="421" spans="1:70" s="759" customFormat="1" ht="16.149999999999999" hidden="1" customHeight="1" collapsed="1">
      <c r="A421" s="2932" t="s">
        <v>579</v>
      </c>
      <c r="B421" s="2933"/>
      <c r="C421" s="2911" t="s">
        <v>311</v>
      </c>
      <c r="D421" s="2911"/>
      <c r="E421" s="2994">
        <v>0</v>
      </c>
      <c r="F421" s="1328">
        <f>IF(SETUP!$F$52="Upfront",F422,F423)</f>
        <v>0</v>
      </c>
      <c r="G421" s="1194">
        <f>IF(SETUP!$F$52="Upfront",G422,G423)</f>
        <v>0</v>
      </c>
      <c r="H421" s="1194">
        <f>IF(SETUP!$F$52="Upfront",H422,H423)</f>
        <v>0</v>
      </c>
      <c r="I421" s="1194">
        <f>IF(SETUP!$F$52="Upfront",I422,I423)</f>
        <v>0</v>
      </c>
      <c r="J421" s="1194">
        <f t="shared" si="60"/>
        <v>0</v>
      </c>
      <c r="K421" s="1328">
        <f>IF(SETUP!$F$52="Upfront",K422,K423)</f>
        <v>0</v>
      </c>
      <c r="L421" s="1194">
        <f>IF(SETUP!$F$52="Upfront",L422,L423)</f>
        <v>0</v>
      </c>
      <c r="M421" s="1194">
        <f>IF(SETUP!$F$52="Upfront",M422,M423)</f>
        <v>0</v>
      </c>
      <c r="N421" s="1194">
        <f>IF(SETUP!$F$52="Upfront",N422,N423)</f>
        <v>0</v>
      </c>
      <c r="O421" s="1194">
        <f t="shared" si="61"/>
        <v>0</v>
      </c>
      <c r="P421" s="1328">
        <f>IF(SETUP!$F$52="Upfront",P422,P423)</f>
        <v>0</v>
      </c>
      <c r="Q421" s="1194">
        <f>IF(SETUP!$F$52="Upfront",Q422,Q423)</f>
        <v>0</v>
      </c>
      <c r="R421" s="1194">
        <f>IF(SETUP!$F$52="Upfront",R422,R423)</f>
        <v>0</v>
      </c>
      <c r="S421" s="1194">
        <f>IF(SETUP!$F$52="Upfront",S422,S423)</f>
        <v>0</v>
      </c>
      <c r="T421" s="1194">
        <f t="shared" si="62"/>
        <v>0</v>
      </c>
      <c r="U421" s="1328">
        <f t="shared" si="63"/>
        <v>0</v>
      </c>
      <c r="V421" s="1826">
        <v>7.3</v>
      </c>
      <c r="W421" s="1830"/>
      <c r="X421" s="849"/>
      <c r="Y421" s="768"/>
      <c r="Z421" s="768"/>
      <c r="AA421" s="768"/>
      <c r="AB421" s="768"/>
      <c r="AC421" s="768"/>
      <c r="AD421" s="768"/>
      <c r="AE421" s="768"/>
      <c r="AF421" s="868"/>
      <c r="AG421" s="768"/>
      <c r="AH421" s="768"/>
      <c r="AI421" s="768"/>
      <c r="AJ421" s="768"/>
      <c r="AK421" s="768"/>
      <c r="AL421" s="768"/>
      <c r="AM421" s="768"/>
      <c r="AN421" s="768"/>
      <c r="AO421" s="768"/>
      <c r="AP421" s="768"/>
      <c r="AQ421" s="768"/>
      <c r="AR421" s="768"/>
      <c r="AS421" s="768"/>
      <c r="AT421" s="768"/>
      <c r="AU421" s="768"/>
      <c r="AV421" s="768"/>
      <c r="AW421" s="768"/>
      <c r="AX421" s="768"/>
      <c r="AY421" s="768"/>
      <c r="AZ421" s="768"/>
      <c r="BA421" s="768"/>
      <c r="BB421" s="768"/>
      <c r="BC421" s="768"/>
      <c r="BD421" s="768"/>
      <c r="BE421" s="768"/>
      <c r="BF421" s="768"/>
      <c r="BG421" s="768"/>
      <c r="BH421" s="768"/>
      <c r="BI421" s="768"/>
      <c r="BJ421" s="768"/>
      <c r="BK421" s="768"/>
      <c r="BL421" s="768"/>
      <c r="BM421" s="768"/>
      <c r="BN421" s="768"/>
      <c r="BO421" s="768"/>
      <c r="BP421" s="768"/>
      <c r="BQ421" s="768"/>
      <c r="BR421" s="768"/>
    </row>
    <row r="422" spans="1:70" s="759" customFormat="1" ht="16.149999999999999" hidden="1" customHeight="1" outlineLevel="1">
      <c r="A422" s="2934"/>
      <c r="B422" s="2935"/>
      <c r="C422" s="2912" t="s">
        <v>918</v>
      </c>
      <c r="D422" s="2912"/>
      <c r="E422" s="2995"/>
      <c r="F422" s="1328">
        <f>IF(SETUP!$F$52="Upfront",$E$421*'Malaria-Equipment &amp; Other HPs'!AW14,0)</f>
        <v>0</v>
      </c>
      <c r="G422" s="1194">
        <f>IF(SETUP!$F$52="Upfront",$E$421*'Malaria-Equipment &amp; Other HPs'!AX14,0)</f>
        <v>0</v>
      </c>
      <c r="H422" s="1194">
        <f>IF(SETUP!$F$52="Upfront",$E$421*'Malaria-Equipment &amp; Other HPs'!AY14,0)</f>
        <v>0</v>
      </c>
      <c r="I422" s="1194">
        <f>IF(SETUP!$F$52="Upfront",$E$421*'Malaria-Equipment &amp; Other HPs'!AZ14,0)</f>
        <v>0</v>
      </c>
      <c r="J422" s="1194">
        <f t="shared" si="60"/>
        <v>0</v>
      </c>
      <c r="K422" s="1328">
        <f>IF(SETUP!$F$52="Upfront",$E$421*'Malaria-Equipment &amp; Other HPs'!BA14,0)</f>
        <v>0</v>
      </c>
      <c r="L422" s="1194">
        <f>IF(SETUP!$F$52="Upfront",$E$421*'Malaria-Equipment &amp; Other HPs'!BB14,0)</f>
        <v>0</v>
      </c>
      <c r="M422" s="1194">
        <f>IF(SETUP!$F$52="Upfront",$E$421*'Malaria-Equipment &amp; Other HPs'!BC14,0)</f>
        <v>0</v>
      </c>
      <c r="N422" s="1194">
        <f>IF(SETUP!$F$52="Upfront",$E$421*'Malaria-Equipment &amp; Other HPs'!BD14,0)</f>
        <v>0</v>
      </c>
      <c r="O422" s="1194">
        <f t="shared" si="61"/>
        <v>0</v>
      </c>
      <c r="P422" s="1328">
        <f>IF(SETUP!$F$52="Upfront",$E$421*'Malaria-Equipment &amp; Other HPs'!BE14,0)</f>
        <v>0</v>
      </c>
      <c r="Q422" s="1194">
        <f>IF(SETUP!$F$52="Upfront",$E$421*'Malaria-Equipment &amp; Other HPs'!BF14,0)</f>
        <v>0</v>
      </c>
      <c r="R422" s="1194">
        <f>IF(SETUP!$F$52="Upfront",$E$421*'Malaria-Equipment &amp; Other HPs'!BG14,0)</f>
        <v>0</v>
      </c>
      <c r="S422" s="1194">
        <f>IF(SETUP!$F$52="Upfront",$E$421*'Malaria-Equipment &amp; Other HPs'!BH14,0)</f>
        <v>0</v>
      </c>
      <c r="T422" s="1194">
        <f t="shared" si="62"/>
        <v>0</v>
      </c>
      <c r="U422" s="1328">
        <f t="shared" si="63"/>
        <v>0</v>
      </c>
      <c r="V422" s="1826">
        <v>7.3</v>
      </c>
      <c r="W422" s="1830"/>
      <c r="X422" s="849"/>
      <c r="Y422" s="768"/>
      <c r="Z422" s="768"/>
      <c r="AA422" s="768"/>
      <c r="AB422" s="768"/>
      <c r="AC422" s="768"/>
      <c r="AD422" s="768"/>
      <c r="AE422" s="768"/>
      <c r="AF422" s="868"/>
      <c r="AG422" s="768"/>
      <c r="AH422" s="768"/>
      <c r="AI422" s="768"/>
      <c r="AJ422" s="768"/>
      <c r="AK422" s="768"/>
      <c r="AL422" s="768"/>
      <c r="AM422" s="768"/>
      <c r="AN422" s="768"/>
      <c r="AO422" s="768"/>
      <c r="AP422" s="768"/>
      <c r="AQ422" s="768"/>
      <c r="AR422" s="768"/>
      <c r="AS422" s="768"/>
      <c r="AT422" s="768"/>
      <c r="AU422" s="768"/>
      <c r="AV422" s="768"/>
      <c r="AW422" s="768"/>
      <c r="AX422" s="768"/>
      <c r="AY422" s="768"/>
      <c r="AZ422" s="768"/>
      <c r="BA422" s="768"/>
      <c r="BB422" s="768"/>
      <c r="BC422" s="768"/>
      <c r="BD422" s="768"/>
      <c r="BE422" s="768"/>
      <c r="BF422" s="768"/>
      <c r="BG422" s="768"/>
      <c r="BH422" s="768"/>
      <c r="BI422" s="768"/>
      <c r="BJ422" s="768"/>
      <c r="BK422" s="768"/>
      <c r="BL422" s="768"/>
      <c r="BM422" s="768"/>
      <c r="BN422" s="768"/>
      <c r="BO422" s="768"/>
      <c r="BP422" s="768"/>
      <c r="BQ422" s="768"/>
      <c r="BR422" s="768"/>
    </row>
    <row r="423" spans="1:70" s="759" customFormat="1" ht="17.25" hidden="1" customHeight="1" outlineLevel="1">
      <c r="A423" s="2934"/>
      <c r="B423" s="2935"/>
      <c r="C423" s="2912" t="s">
        <v>36</v>
      </c>
      <c r="D423" s="2912"/>
      <c r="E423" s="2995"/>
      <c r="F423" s="1328">
        <v>0</v>
      </c>
      <c r="G423" s="1194">
        <f>IF(SETUP!$F$52="At delivery",IF(SETUP!$G$52=1,$E$421*'Malaria-Equipment &amp; Other HPs'!AW14,0),0)</f>
        <v>0</v>
      </c>
      <c r="H423" s="1194">
        <f>IF(SETUP!$F$52="At delivery",IF(SETUP!$G$52=2,$E$421*'Malaria-Equipment &amp; Other HPs'!AW14,IF(SETUP!$G$52=1,$E$421*'Malaria-Equipment &amp; Other HPs'!AX14,0)),0)</f>
        <v>0</v>
      </c>
      <c r="I423" s="1194">
        <f>IF(SETUP!$F$52="At delivery",IF(SETUP!$G$52=3,$E$421*'Malaria-Equipment &amp; Other HPs'!AW14,IF(SETUP!$G$52=2,$E$421*'Malaria-Equipment &amp; Other HPs'!AX14,IF(SETUP!$G$52=1,$E$421*'Malaria-Equipment &amp; Other HPs'!AY14,0))),0)</f>
        <v>0</v>
      </c>
      <c r="J423" s="1194">
        <f t="shared" si="60"/>
        <v>0</v>
      </c>
      <c r="K423" s="1328">
        <f>IF(SETUP!$F$52="At delivery",IF(SETUP!$G$52=4,$E$421*'Malaria-Equipment &amp; Other HPs'!AW14,IF(SETUP!$G$52=3,$E$421*'Malaria-Equipment &amp; Other HPs'!AX14,IF(SETUP!$G$52=2,$E$421*'Malaria-Equipment &amp; Other HPs'!AY14,IF(SETUP!$G$52=1,$E$421*'Malaria-Equipment &amp; Other HPs'!AZ14,0)))),0)</f>
        <v>0</v>
      </c>
      <c r="L423" s="1194">
        <f>IF(SETUP!$F$52="At delivery",IF(SETUP!$G$52=4,$E$421*'Malaria-Equipment &amp; Other HPs'!AX14,IF(SETUP!$G$52=3,$E$421*'Malaria-Equipment &amp; Other HPs'!AY14,IF(SETUP!$G$52=2,$E$421*'Malaria-Equipment &amp; Other HPs'!AZ14,IF(SETUP!$G$52=1,$E$421*'Malaria-Equipment &amp; Other HPs'!BA14,0)))),0)</f>
        <v>0</v>
      </c>
      <c r="M423" s="1194">
        <f>IF(SETUP!$F$52="At delivery",IF(SETUP!$G$52=4,$E$421*'Malaria-Equipment &amp; Other HPs'!AY14,IF(SETUP!$G$52=3,$E$421*'Malaria-Equipment &amp; Other HPs'!AZ14,IF(SETUP!$G$52=2,$E$421*'Malaria-Equipment &amp; Other HPs'!BA14,IF(SETUP!$G$52=1,$E$421*'Malaria-Equipment &amp; Other HPs'!BB14,0)))),0)</f>
        <v>0</v>
      </c>
      <c r="N423" s="1194">
        <f>IF(SETUP!$F$52="At delivery",IF(SETUP!$G$52=4,$E$421*'Malaria-Equipment &amp; Other HPs'!AZ14,IF(SETUP!$G$52=3,$E$421*'Malaria-Equipment &amp; Other HPs'!BA14,IF(SETUP!$G$52=2,$E$421*'Malaria-Equipment &amp; Other HPs'!BB14,IF(SETUP!$G$52=1,$E$421*'Malaria-Equipment &amp; Other HPs'!BC14,0)))),0)</f>
        <v>0</v>
      </c>
      <c r="O423" s="1194">
        <f t="shared" si="61"/>
        <v>0</v>
      </c>
      <c r="P423" s="1328">
        <f>IF(SETUP!$F$52="At delivery",IF(SETUP!$G$52=4,$E$421*'Malaria-Equipment &amp; Other HPs'!BA14,IF(SETUP!$G$52=3,$E$421*'Malaria-Equipment &amp; Other HPs'!BB14,IF(SETUP!$G$52=2,$E$421*'Malaria-Equipment &amp; Other HPs'!BC14,IF(SETUP!$G$52=1,$E$421*'Malaria-Equipment &amp; Other HPs'!BD14,0)))),0)</f>
        <v>0</v>
      </c>
      <c r="Q423" s="1194">
        <f>IF(SETUP!$F$52="At delivery",IF(SETUP!$G$52=4,$E$421*'Malaria-Equipment &amp; Other HPs'!BB14,IF(SETUP!$G$52=3,$E$421*'Malaria-Equipment &amp; Other HPs'!BC14,IF(SETUP!$G$52=2,$E$421*'Malaria-Equipment &amp; Other HPs'!BD14,IF(SETUP!$G$52=1,$E$421*'Malaria-Equipment &amp; Other HPs'!BE14,0)))),0)</f>
        <v>0</v>
      </c>
      <c r="R423" s="1194">
        <f>IF(SETUP!$F$52="At delivery",IF(SETUP!$G$52=4,$E$421*'Malaria-Equipment &amp; Other HPs'!BC14,IF(SETUP!$G$52=3,$E$421*'Malaria-Equipment &amp; Other HPs'!BD14,IF(SETUP!$G$52=2,$E$421*'Malaria-Equipment &amp; Other HPs'!BE14,IF(SETUP!$G$52=1,$E$421*'Malaria-Equipment &amp; Other HPs'!BF14,0)))),0)</f>
        <v>0</v>
      </c>
      <c r="S423" s="1194">
        <f>IF(SETUP!$F$52="At delivery",IF(SETUP!$G$52=4,$E$421*('Malaria-Equipment &amp; Other HPs'!BD14+'Malaria-Equipment &amp; Other HPs'!BE14+'Malaria-Equipment &amp; Other HPs'!BF14+'Malaria-Equipment &amp; Other HPs'!BG14+'Malaria-Equipment &amp; Other HPs'!BH14),IF(SETUP!$G$52=3,$E$421*('Malaria-Equipment &amp; Other HPs'!BE14+'Malaria-Equipment &amp; Other HPs'!BF14+'Malaria-Equipment &amp; Other HPs'!BG14+'Malaria-Equipment &amp; Other HPs'!BH14),IF(SETUP!$G$52=2,$E$421*('Malaria-Equipment &amp; Other HPs'!BF14+'Malaria-Equipment &amp; Other HPs'!BG14+'Malaria-Equipment &amp; Other HPs'!BH14),IF(SETUP!$G$52=1,$E$421*('Malaria-Equipment &amp; Other HPs'!BG14+'Malaria-Equipment &amp; Other HPs'!BH14),0)))),0)</f>
        <v>0</v>
      </c>
      <c r="T423" s="1194">
        <f t="shared" si="62"/>
        <v>0</v>
      </c>
      <c r="U423" s="1328">
        <f t="shared" si="63"/>
        <v>0</v>
      </c>
      <c r="V423" s="1826">
        <v>7.3</v>
      </c>
      <c r="W423" s="1830"/>
      <c r="X423" s="849"/>
      <c r="Y423" s="768"/>
      <c r="Z423" s="768"/>
      <c r="AA423" s="768"/>
      <c r="AB423" s="768"/>
      <c r="AC423" s="768"/>
      <c r="AD423" s="768"/>
      <c r="AE423" s="768"/>
      <c r="AF423" s="868"/>
      <c r="AG423" s="768"/>
      <c r="AH423" s="768"/>
      <c r="AI423" s="768"/>
      <c r="AJ423" s="768"/>
      <c r="AK423" s="768"/>
      <c r="AL423" s="768"/>
      <c r="AM423" s="768"/>
      <c r="AN423" s="768"/>
      <c r="AO423" s="768"/>
      <c r="AP423" s="768"/>
      <c r="AQ423" s="768"/>
      <c r="AR423" s="768"/>
      <c r="AS423" s="768"/>
      <c r="AT423" s="768"/>
      <c r="AU423" s="768"/>
      <c r="AV423" s="768"/>
      <c r="AW423" s="768"/>
      <c r="AX423" s="768"/>
      <c r="AY423" s="768"/>
      <c r="AZ423" s="768"/>
      <c r="BA423" s="768"/>
      <c r="BB423" s="768"/>
      <c r="BC423" s="768"/>
      <c r="BD423" s="768"/>
      <c r="BE423" s="768"/>
      <c r="BF423" s="768"/>
      <c r="BG423" s="768"/>
      <c r="BH423" s="768"/>
      <c r="BI423" s="768"/>
      <c r="BJ423" s="768"/>
      <c r="BK423" s="768"/>
      <c r="BL423" s="768"/>
      <c r="BM423" s="768"/>
      <c r="BN423" s="768"/>
      <c r="BO423" s="768"/>
      <c r="BP423" s="768"/>
      <c r="BQ423" s="768"/>
      <c r="BR423" s="768"/>
    </row>
    <row r="424" spans="1:70" s="759" customFormat="1" ht="13" hidden="1" collapsed="1">
      <c r="A424" s="2934"/>
      <c r="B424" s="2935"/>
      <c r="C424" s="2911" t="s">
        <v>580</v>
      </c>
      <c r="D424" s="2911"/>
      <c r="E424" s="2995"/>
      <c r="F424" s="1328">
        <f>IF(SETUP!$F$53="Upfront",F425,F426)</f>
        <v>0</v>
      </c>
      <c r="G424" s="1194">
        <f>IF(SETUP!$F$53="Upfront",G425,G426)</f>
        <v>0</v>
      </c>
      <c r="H424" s="1194">
        <f>IF(SETUP!$F$53="Upfront",H425,H426)</f>
        <v>0</v>
      </c>
      <c r="I424" s="1194">
        <f>IF(SETUP!$F$53="Upfront",I425,I426)</f>
        <v>0</v>
      </c>
      <c r="J424" s="1194">
        <f t="shared" si="60"/>
        <v>0</v>
      </c>
      <c r="K424" s="1328">
        <f>IF(SETUP!$F$53="Upfront",K425,K426)</f>
        <v>0</v>
      </c>
      <c r="L424" s="1194">
        <f>IF(SETUP!$F$53="Upfront",L425,L426)</f>
        <v>0</v>
      </c>
      <c r="M424" s="1194">
        <f>IF(SETUP!$F$53="Upfront",M425,M426)</f>
        <v>0</v>
      </c>
      <c r="N424" s="1194">
        <f>IF(SETUP!$F$53="Upfront",N425,N426)</f>
        <v>0</v>
      </c>
      <c r="O424" s="1194">
        <f t="shared" si="61"/>
        <v>0</v>
      </c>
      <c r="P424" s="1328">
        <f>IF(SETUP!$F$53="Upfront",P425,P426)</f>
        <v>0</v>
      </c>
      <c r="Q424" s="1194">
        <f>IF(SETUP!$F$53="Upfront",Q425,Q426)</f>
        <v>0</v>
      </c>
      <c r="R424" s="1194">
        <f>IF(SETUP!$F$53="Upfront",R425,R426)</f>
        <v>0</v>
      </c>
      <c r="S424" s="1194">
        <f>IF(SETUP!$F$53="Upfront",S425,S426)</f>
        <v>0</v>
      </c>
      <c r="T424" s="1194">
        <f t="shared" si="62"/>
        <v>0</v>
      </c>
      <c r="U424" s="1328">
        <f t="shared" si="63"/>
        <v>0</v>
      </c>
      <c r="V424" s="1826">
        <v>7.3</v>
      </c>
      <c r="W424" s="1830"/>
      <c r="X424" s="849"/>
      <c r="Y424" s="768"/>
      <c r="Z424" s="768"/>
      <c r="AA424" s="768"/>
      <c r="AB424" s="768"/>
      <c r="AC424" s="768"/>
      <c r="AD424" s="768"/>
      <c r="AE424" s="768"/>
      <c r="AF424" s="868"/>
      <c r="AG424" s="768"/>
      <c r="AH424" s="768"/>
      <c r="AI424" s="768"/>
      <c r="AJ424" s="768"/>
      <c r="AK424" s="768"/>
      <c r="AL424" s="768"/>
      <c r="AM424" s="768"/>
      <c r="AN424" s="768"/>
      <c r="AO424" s="768"/>
      <c r="AP424" s="768"/>
      <c r="AQ424" s="768"/>
      <c r="AR424" s="768"/>
      <c r="AS424" s="768"/>
      <c r="AT424" s="768"/>
      <c r="AU424" s="768"/>
      <c r="AV424" s="768"/>
      <c r="AW424" s="768"/>
      <c r="AX424" s="768"/>
      <c r="AY424" s="768"/>
      <c r="AZ424" s="768"/>
      <c r="BA424" s="768"/>
      <c r="BB424" s="768"/>
      <c r="BC424" s="768"/>
      <c r="BD424" s="768"/>
      <c r="BE424" s="768"/>
      <c r="BF424" s="768"/>
      <c r="BG424" s="768"/>
      <c r="BH424" s="768"/>
      <c r="BI424" s="768"/>
      <c r="BJ424" s="768"/>
      <c r="BK424" s="768"/>
      <c r="BL424" s="768"/>
      <c r="BM424" s="768"/>
      <c r="BN424" s="768"/>
      <c r="BO424" s="768"/>
      <c r="BP424" s="768"/>
      <c r="BQ424" s="768"/>
      <c r="BR424" s="768"/>
    </row>
    <row r="425" spans="1:70" s="759" customFormat="1" ht="16.149999999999999" hidden="1" customHeight="1" outlineLevel="1">
      <c r="A425" s="2934"/>
      <c r="B425" s="2935"/>
      <c r="C425" s="2912" t="s">
        <v>918</v>
      </c>
      <c r="D425" s="2912"/>
      <c r="E425" s="2995"/>
      <c r="F425" s="1328">
        <f>IF(SETUP!$F$52="Upfront",$E$421*'Malaria-Equipment &amp; Other HPs'!AW15,0)</f>
        <v>0</v>
      </c>
      <c r="G425" s="1194">
        <f>IF(SETUP!$F$52="Upfront",$E$421*'Malaria-Equipment &amp; Other HPs'!AX15,0)</f>
        <v>0</v>
      </c>
      <c r="H425" s="1194">
        <f>IF(SETUP!$F$52="Upfront",$E$421*'Malaria-Equipment &amp; Other HPs'!AY15,0)</f>
        <v>0</v>
      </c>
      <c r="I425" s="1194">
        <f>IF(SETUP!$F$52="Upfront",$E$421*'Malaria-Equipment &amp; Other HPs'!AZ15,0)</f>
        <v>0</v>
      </c>
      <c r="J425" s="1194">
        <f t="shared" si="60"/>
        <v>0</v>
      </c>
      <c r="K425" s="1328">
        <f>IF(SETUP!$F$52="Upfront",$E$421*'Malaria-Equipment &amp; Other HPs'!BA15,0)</f>
        <v>0</v>
      </c>
      <c r="L425" s="1194">
        <f>IF(SETUP!$F$52="Upfront",$E$421*'Malaria-Equipment &amp; Other HPs'!BB15,0)</f>
        <v>0</v>
      </c>
      <c r="M425" s="1194">
        <f>IF(SETUP!$F$52="Upfront",$E$421*'Malaria-Equipment &amp; Other HPs'!BC15,0)</f>
        <v>0</v>
      </c>
      <c r="N425" s="1194">
        <f>IF(SETUP!$F$52="Upfront",$E$421*'Malaria-Equipment &amp; Other HPs'!BD15,0)</f>
        <v>0</v>
      </c>
      <c r="O425" s="1194">
        <f t="shared" si="61"/>
        <v>0</v>
      </c>
      <c r="P425" s="1328">
        <f>IF(SETUP!$F$52="Upfront",$E$421*'Malaria-Equipment &amp; Other HPs'!BE15,0)</f>
        <v>0</v>
      </c>
      <c r="Q425" s="1194">
        <f>IF(SETUP!$F$52="Upfront",$E$421*'Malaria-Equipment &amp; Other HPs'!BF15,0)</f>
        <v>0</v>
      </c>
      <c r="R425" s="1194">
        <f>IF(SETUP!$F$52="Upfront",$E$421*'Malaria-Equipment &amp; Other HPs'!BG15,0)</f>
        <v>0</v>
      </c>
      <c r="S425" s="1194">
        <f>IF(SETUP!$F$52="Upfront",$E$421*'Malaria-Equipment &amp; Other HPs'!BH15,0)</f>
        <v>0</v>
      </c>
      <c r="T425" s="1194">
        <f t="shared" si="62"/>
        <v>0</v>
      </c>
      <c r="U425" s="1328">
        <f t="shared" si="63"/>
        <v>0</v>
      </c>
      <c r="V425" s="1826">
        <v>7.3</v>
      </c>
      <c r="W425" s="1830"/>
      <c r="X425" s="849"/>
      <c r="Y425" s="768"/>
      <c r="Z425" s="768"/>
      <c r="AA425" s="768"/>
      <c r="AB425" s="768"/>
      <c r="AC425" s="768"/>
      <c r="AD425" s="768"/>
      <c r="AE425" s="768"/>
      <c r="AF425" s="868"/>
      <c r="AG425" s="768"/>
      <c r="AH425" s="768"/>
      <c r="AI425" s="768"/>
      <c r="AJ425" s="768"/>
      <c r="AK425" s="768"/>
      <c r="AL425" s="768"/>
      <c r="AM425" s="768"/>
      <c r="AN425" s="768"/>
      <c r="AO425" s="768"/>
      <c r="AP425" s="768"/>
      <c r="AQ425" s="768"/>
      <c r="AR425" s="768"/>
      <c r="AS425" s="768"/>
      <c r="AT425" s="768"/>
      <c r="AU425" s="768"/>
      <c r="AV425" s="768"/>
      <c r="AW425" s="768"/>
      <c r="AX425" s="768"/>
      <c r="AY425" s="768"/>
      <c r="AZ425" s="768"/>
      <c r="BA425" s="768"/>
      <c r="BB425" s="768"/>
      <c r="BC425" s="768"/>
      <c r="BD425" s="768"/>
      <c r="BE425" s="768"/>
      <c r="BF425" s="768"/>
      <c r="BG425" s="768"/>
      <c r="BH425" s="768"/>
      <c r="BI425" s="768"/>
      <c r="BJ425" s="768"/>
      <c r="BK425" s="768"/>
      <c r="BL425" s="768"/>
      <c r="BM425" s="768"/>
      <c r="BN425" s="768"/>
      <c r="BO425" s="768"/>
      <c r="BP425" s="768"/>
      <c r="BQ425" s="768"/>
      <c r="BR425" s="768"/>
    </row>
    <row r="426" spans="1:70" s="759" customFormat="1" ht="17.25" hidden="1" customHeight="1" outlineLevel="1">
      <c r="A426" s="2934"/>
      <c r="B426" s="2935"/>
      <c r="C426" s="2912" t="s">
        <v>36</v>
      </c>
      <c r="D426" s="2912"/>
      <c r="E426" s="2996"/>
      <c r="F426" s="1328">
        <v>0</v>
      </c>
      <c r="G426" s="1194">
        <f>IF(SETUP!$F$53="At delivery",IF(SETUP!$G$53=1,$E$421*'Malaria-Equipment &amp; Other HPs'!AW15,0),0)</f>
        <v>0</v>
      </c>
      <c r="H426" s="1194">
        <f>IF(SETUP!$F$53="At delivery",IF(SETUP!$G$53=2,$E$421*'Malaria-Equipment &amp; Other HPs'!AW15,IF(SETUP!$G$53=1,$E$421*'Malaria-Equipment &amp; Other HPs'!AX15,0)),0)</f>
        <v>0</v>
      </c>
      <c r="I426" s="1194">
        <f>IF(SETUP!$F$53="At delivery",IF(SETUP!$G$53=3,$E$421*'Malaria-Equipment &amp; Other HPs'!AW15,IF(SETUP!$G$53=2,$E$421*'Malaria-Equipment &amp; Other HPs'!AX15,IF(SETUP!$G$53=1,$E$421*'Malaria-Equipment &amp; Other HPs'!AY15,0))),0)</f>
        <v>0</v>
      </c>
      <c r="J426" s="1194">
        <f t="shared" si="60"/>
        <v>0</v>
      </c>
      <c r="K426" s="1328">
        <f>IF(SETUP!$F$53="At delivery",IF(SETUP!$G$53=4,$E$421*'Malaria-Equipment &amp; Other HPs'!AW15,IF(SETUP!$G$53=3,$E$421*'Malaria-Equipment &amp; Other HPs'!AX15,IF(SETUP!$G$53=2,$E$421*'Malaria-Equipment &amp; Other HPs'!AY15,IF(SETUP!$G$53=1,$E$421*'Malaria-Equipment &amp; Other HPs'!AZ15,0)))),0)</f>
        <v>0</v>
      </c>
      <c r="L426" s="1194">
        <f>IF(SETUP!$F$53="At delivery",IF(SETUP!$G$53=4,$E$421*'Malaria-Equipment &amp; Other HPs'!AX15,IF(SETUP!$G$53=3,$E$421*'Malaria-Equipment &amp; Other HPs'!AY15,IF(SETUP!$G$53=2,$E$421*'Malaria-Equipment &amp; Other HPs'!AZ15,IF(SETUP!$G$53=1,$E$421*'Malaria-Equipment &amp; Other HPs'!BA15,0)))),0)</f>
        <v>0</v>
      </c>
      <c r="M426" s="1194">
        <f>IF(SETUP!$F$53="At delivery",IF(SETUP!$G$53=4,$E$421*'Malaria-Equipment &amp; Other HPs'!AY15,IF(SETUP!$G$53=3,$E$421*'Malaria-Equipment &amp; Other HPs'!AZ15,IF(SETUP!$G$53=2,$E$421*'Malaria-Equipment &amp; Other HPs'!BA15,IF(SETUP!$G$53=1,$E$421*'Malaria-Equipment &amp; Other HPs'!BB15,0)))),0)</f>
        <v>0</v>
      </c>
      <c r="N426" s="1194">
        <f>IF(SETUP!$F$53="At delivery",IF(SETUP!$G$53=4,$E$421*'Malaria-Equipment &amp; Other HPs'!AZ15,IF(SETUP!$G$53=3,$E$421*'Malaria-Equipment &amp; Other HPs'!BA15,IF(SETUP!$G$53=2,$E$421*'Malaria-Equipment &amp; Other HPs'!BB15,IF(SETUP!$G$53=1,$E$421*'Malaria-Equipment &amp; Other HPs'!BC15,0)))),0)</f>
        <v>0</v>
      </c>
      <c r="O426" s="1194">
        <f t="shared" si="61"/>
        <v>0</v>
      </c>
      <c r="P426" s="1328">
        <f>IF(SETUP!$F$53="At delivery",IF(SETUP!$G$53=4,$E$421*'Malaria-Equipment &amp; Other HPs'!BA15,IF(SETUP!$G$53=3,$E$421*'Malaria-Equipment &amp; Other HPs'!BB15,IF(SETUP!$G$53=2,$E$421*'Malaria-Equipment &amp; Other HPs'!BC15,IF(SETUP!$G$53=1,$E$421*'Malaria-Equipment &amp; Other HPs'!BD15,0)))),0)</f>
        <v>0</v>
      </c>
      <c r="Q426" s="1194">
        <f>IF(SETUP!$F$53="At delivery",IF(SETUP!$G$53=4,$E$421*'Malaria-Equipment &amp; Other HPs'!BB15,IF(SETUP!$G$53=3,$E$421*'Malaria-Equipment &amp; Other HPs'!BC15,IF(SETUP!$G$53=2,$E$421*'Malaria-Equipment &amp; Other HPs'!BD15,IF(SETUP!$G$53=1,$E$421*'Malaria-Equipment &amp; Other HPs'!BE15,0)))),0)</f>
        <v>0</v>
      </c>
      <c r="R426" s="1194">
        <f>IF(SETUP!$F$53="At delivery",IF(SETUP!$G$53=4,$E$421*'Malaria-Equipment &amp; Other HPs'!BC15,IF(SETUP!$G$53=3,$E$421*'Malaria-Equipment &amp; Other HPs'!BD15,IF(SETUP!$G$53=2,$E$421*'Malaria-Equipment &amp; Other HPs'!BE15,IF(SETUP!$G$53=1,$E$421*'Malaria-Equipment &amp; Other HPs'!BF15,0)))),0)</f>
        <v>0</v>
      </c>
      <c r="S426" s="1194">
        <f>IF(SETUP!$F$53="At delivery",IF(SETUP!$G$53=4,$E$421*('Malaria-Equipment &amp; Other HPs'!BD15+'Malaria-Equipment &amp; Other HPs'!BE15+'Malaria-Equipment &amp; Other HPs'!BF15+'Malaria-Equipment &amp; Other HPs'!BG15+'Malaria-Equipment &amp; Other HPs'!BH15),IF(SETUP!$G$53=3,$E$421*('Malaria-Equipment &amp; Other HPs'!BE15+'Malaria-Equipment &amp; Other HPs'!BF15+'Malaria-Equipment &amp; Other HPs'!BG15+'Malaria-Equipment &amp; Other HPs'!BH15),IF(SETUP!$G$53=2,$E$421*('Malaria-Equipment &amp; Other HPs'!BF15+'Malaria-Equipment &amp; Other HPs'!BG15+'Malaria-Equipment &amp; Other HPs'!BH15),IF(SETUP!$G$53=1,$E$421*('Malaria-Equipment &amp; Other HPs'!BG15+'Malaria-Equipment &amp; Other HPs'!BH15),0)))),0)</f>
        <v>0</v>
      </c>
      <c r="T426" s="1194">
        <f t="shared" si="62"/>
        <v>0</v>
      </c>
      <c r="U426" s="1328">
        <f t="shared" si="63"/>
        <v>0</v>
      </c>
      <c r="V426" s="1826">
        <v>7.3</v>
      </c>
      <c r="W426" s="1830"/>
      <c r="X426" s="849"/>
      <c r="Y426" s="768"/>
      <c r="Z426" s="768"/>
      <c r="AA426" s="768"/>
      <c r="AB426" s="768"/>
      <c r="AC426" s="768"/>
      <c r="AD426" s="768"/>
      <c r="AE426" s="768"/>
      <c r="AF426" s="868"/>
      <c r="AG426" s="768"/>
      <c r="AH426" s="768"/>
      <c r="AI426" s="768"/>
      <c r="AJ426" s="768"/>
      <c r="AK426" s="768"/>
      <c r="AL426" s="768"/>
      <c r="AM426" s="768"/>
      <c r="AN426" s="768"/>
      <c r="AO426" s="768"/>
      <c r="AP426" s="768"/>
      <c r="AQ426" s="768"/>
      <c r="AR426" s="768"/>
      <c r="AS426" s="768"/>
      <c r="AT426" s="768"/>
      <c r="AU426" s="768"/>
      <c r="AV426" s="768"/>
      <c r="AW426" s="768"/>
      <c r="AX426" s="768"/>
      <c r="AY426" s="768"/>
      <c r="AZ426" s="768"/>
      <c r="BA426" s="768"/>
      <c r="BB426" s="768"/>
      <c r="BC426" s="768"/>
      <c r="BD426" s="768"/>
      <c r="BE426" s="768"/>
      <c r="BF426" s="768"/>
      <c r="BG426" s="768"/>
      <c r="BH426" s="768"/>
      <c r="BI426" s="768"/>
      <c r="BJ426" s="768"/>
      <c r="BK426" s="768"/>
      <c r="BL426" s="768"/>
      <c r="BM426" s="768"/>
      <c r="BN426" s="768"/>
      <c r="BO426" s="768"/>
      <c r="BP426" s="768"/>
      <c r="BQ426" s="768"/>
      <c r="BR426" s="768"/>
    </row>
    <row r="427" spans="1:70" s="759" customFormat="1" ht="13" hidden="1" collapsed="1">
      <c r="A427" s="2934"/>
      <c r="B427" s="2935"/>
      <c r="C427" s="2911" t="s">
        <v>581</v>
      </c>
      <c r="D427" s="2911"/>
      <c r="E427" s="2994">
        <v>0</v>
      </c>
      <c r="F427" s="1328">
        <f>IF(SETUP!$F$54="Upfront",F428,F429)</f>
        <v>0</v>
      </c>
      <c r="G427" s="1194">
        <f>IF(SETUP!$F$54="Upfront",G428,G429)</f>
        <v>0</v>
      </c>
      <c r="H427" s="1194">
        <f>IF(SETUP!$F$54="Upfront",H428,H429)</f>
        <v>0</v>
      </c>
      <c r="I427" s="1194">
        <f>IF(SETUP!$F$54="Upfront",I428,I429)</f>
        <v>0</v>
      </c>
      <c r="J427" s="1194">
        <f t="shared" si="60"/>
        <v>0</v>
      </c>
      <c r="K427" s="1328">
        <f>IF(SETUP!$F$54="Upfront",K428,K429)</f>
        <v>0</v>
      </c>
      <c r="L427" s="1194">
        <f>IF(SETUP!$F$54="Upfront",L428,L429)</f>
        <v>0</v>
      </c>
      <c r="M427" s="1194">
        <f>IF(SETUP!$F$54="Upfront",M428,M429)</f>
        <v>0</v>
      </c>
      <c r="N427" s="1194">
        <f>IF(SETUP!$F$54="Upfront",N428,N429)</f>
        <v>0</v>
      </c>
      <c r="O427" s="1194">
        <f t="shared" si="61"/>
        <v>0</v>
      </c>
      <c r="P427" s="1328">
        <f>IF(SETUP!$F$54="Upfront",P428,P429)</f>
        <v>0</v>
      </c>
      <c r="Q427" s="1194">
        <f>IF(SETUP!$F$54="Upfront",Q428,Q429)</f>
        <v>0</v>
      </c>
      <c r="R427" s="1194">
        <f>IF(SETUP!$F$54="Upfront",R428,R429)</f>
        <v>0</v>
      </c>
      <c r="S427" s="1194">
        <f>IF(SETUP!$F$54="Upfront",S428,S429)</f>
        <v>0</v>
      </c>
      <c r="T427" s="1194">
        <f t="shared" si="62"/>
        <v>0</v>
      </c>
      <c r="U427" s="1328">
        <f t="shared" si="63"/>
        <v>0</v>
      </c>
      <c r="V427" s="1826">
        <v>7.3</v>
      </c>
      <c r="W427" s="1830"/>
      <c r="X427" s="849"/>
      <c r="Y427" s="768"/>
      <c r="Z427" s="768"/>
      <c r="AA427" s="768"/>
      <c r="AB427" s="768"/>
      <c r="AC427" s="768"/>
      <c r="AD427" s="768"/>
      <c r="AE427" s="768"/>
      <c r="AF427" s="868"/>
      <c r="AG427" s="768"/>
      <c r="AH427" s="768"/>
      <c r="AI427" s="768"/>
      <c r="AJ427" s="768"/>
      <c r="AK427" s="768"/>
      <c r="AL427" s="768"/>
      <c r="AM427" s="768"/>
      <c r="AN427" s="768"/>
      <c r="AO427" s="768"/>
      <c r="AP427" s="768"/>
      <c r="AQ427" s="768"/>
      <c r="AR427" s="768"/>
      <c r="AS427" s="768"/>
      <c r="AT427" s="768"/>
      <c r="AU427" s="768"/>
      <c r="AV427" s="768"/>
      <c r="AW427" s="768"/>
      <c r="AX427" s="768"/>
      <c r="AY427" s="768"/>
      <c r="AZ427" s="768"/>
      <c r="BA427" s="768"/>
      <c r="BB427" s="768"/>
      <c r="BC427" s="768"/>
      <c r="BD427" s="768"/>
      <c r="BE427" s="768"/>
      <c r="BF427" s="768"/>
      <c r="BG427" s="768"/>
      <c r="BH427" s="768"/>
      <c r="BI427" s="768"/>
      <c r="BJ427" s="768"/>
      <c r="BK427" s="768"/>
      <c r="BL427" s="768"/>
      <c r="BM427" s="768"/>
      <c r="BN427" s="768"/>
      <c r="BO427" s="768"/>
      <c r="BP427" s="768"/>
      <c r="BQ427" s="768"/>
      <c r="BR427" s="768"/>
    </row>
    <row r="428" spans="1:70" s="759" customFormat="1" ht="16.149999999999999" hidden="1" customHeight="1" outlineLevel="1">
      <c r="A428" s="2934"/>
      <c r="B428" s="2935"/>
      <c r="C428" s="2912" t="s">
        <v>918</v>
      </c>
      <c r="D428" s="2912"/>
      <c r="E428" s="2995"/>
      <c r="F428" s="1328">
        <f>IF(SETUP!$F$54="Upfront",$E$427*'Malaria-Equipment &amp; Other HPs'!AW16,0)</f>
        <v>0</v>
      </c>
      <c r="G428" s="1194">
        <f>IF(SETUP!$F$54="Upfront",$E$427*'Malaria-Equipment &amp; Other HPs'!AX16,0)</f>
        <v>0</v>
      </c>
      <c r="H428" s="1194">
        <f>IF(SETUP!$F$54="Upfront",$E$427*'Malaria-Equipment &amp; Other HPs'!AY16,0)</f>
        <v>0</v>
      </c>
      <c r="I428" s="1194">
        <f>IF(SETUP!$F$54="Upfront",$E$427*'Malaria-Equipment &amp; Other HPs'!AZ16,0)</f>
        <v>0</v>
      </c>
      <c r="J428" s="1194">
        <f t="shared" si="60"/>
        <v>0</v>
      </c>
      <c r="K428" s="1328">
        <f>IF(SETUP!$F$54="Upfront",$E$427*'Malaria-Equipment &amp; Other HPs'!BA16,0)</f>
        <v>0</v>
      </c>
      <c r="L428" s="1194">
        <f>IF(SETUP!$F$54="Upfront",$E$427*'Malaria-Equipment &amp; Other HPs'!BB16,0)</f>
        <v>0</v>
      </c>
      <c r="M428" s="1194">
        <f>IF(SETUP!$F$54="Upfront",$E$427*'Malaria-Equipment &amp; Other HPs'!BC16,0)</f>
        <v>0</v>
      </c>
      <c r="N428" s="1194">
        <f>IF(SETUP!$F$54="Upfront",$E$427*'Malaria-Equipment &amp; Other HPs'!BD16,0)</f>
        <v>0</v>
      </c>
      <c r="O428" s="1194">
        <f t="shared" si="61"/>
        <v>0</v>
      </c>
      <c r="P428" s="1328">
        <f>IF(SETUP!$F$54="Upfront",$E$427*'Malaria-Equipment &amp; Other HPs'!BE16,0)</f>
        <v>0</v>
      </c>
      <c r="Q428" s="1194">
        <f>IF(SETUP!$F$54="Upfront",$E$427*'Malaria-Equipment &amp; Other HPs'!BF16,0)</f>
        <v>0</v>
      </c>
      <c r="R428" s="1194">
        <f>IF(SETUP!$F$54="Upfront",$E$427*'Malaria-Equipment &amp; Other HPs'!BG16,0)</f>
        <v>0</v>
      </c>
      <c r="S428" s="1194">
        <f>IF(SETUP!$F$54="Upfront",$E$427*'Malaria-Equipment &amp; Other HPs'!BH16,0)</f>
        <v>0</v>
      </c>
      <c r="T428" s="1194">
        <f t="shared" si="62"/>
        <v>0</v>
      </c>
      <c r="U428" s="1328">
        <f t="shared" si="63"/>
        <v>0</v>
      </c>
      <c r="V428" s="1826">
        <v>7.3</v>
      </c>
      <c r="W428" s="1830"/>
      <c r="X428" s="849"/>
      <c r="Y428" s="768"/>
      <c r="Z428" s="768"/>
      <c r="AA428" s="768"/>
      <c r="AB428" s="768"/>
      <c r="AC428" s="768"/>
      <c r="AD428" s="768"/>
      <c r="AE428" s="768"/>
      <c r="AF428" s="868"/>
      <c r="AG428" s="768"/>
      <c r="AH428" s="768"/>
      <c r="AI428" s="768"/>
      <c r="AJ428" s="768"/>
      <c r="AK428" s="768"/>
      <c r="AL428" s="768"/>
      <c r="AM428" s="768"/>
      <c r="AN428" s="768"/>
      <c r="AO428" s="768"/>
      <c r="AP428" s="768"/>
      <c r="AQ428" s="768"/>
      <c r="AR428" s="768"/>
      <c r="AS428" s="768"/>
      <c r="AT428" s="768"/>
      <c r="AU428" s="768"/>
      <c r="AV428" s="768"/>
      <c r="AW428" s="768"/>
      <c r="AX428" s="768"/>
      <c r="AY428" s="768"/>
      <c r="AZ428" s="768"/>
      <c r="BA428" s="768"/>
      <c r="BB428" s="768"/>
      <c r="BC428" s="768"/>
      <c r="BD428" s="768"/>
      <c r="BE428" s="768"/>
      <c r="BF428" s="768"/>
      <c r="BG428" s="768"/>
      <c r="BH428" s="768"/>
      <c r="BI428" s="768"/>
      <c r="BJ428" s="768"/>
      <c r="BK428" s="768"/>
      <c r="BL428" s="768"/>
      <c r="BM428" s="768"/>
      <c r="BN428" s="768"/>
      <c r="BO428" s="768"/>
      <c r="BP428" s="768"/>
      <c r="BQ428" s="768"/>
      <c r="BR428" s="768"/>
    </row>
    <row r="429" spans="1:70" s="759" customFormat="1" ht="17.25" hidden="1" customHeight="1" outlineLevel="1">
      <c r="A429" s="2934"/>
      <c r="B429" s="2935"/>
      <c r="C429" s="2912" t="s">
        <v>36</v>
      </c>
      <c r="D429" s="2912"/>
      <c r="E429" s="2995"/>
      <c r="F429" s="1328">
        <v>0</v>
      </c>
      <c r="G429" s="1194">
        <f>IF(SETUP!$F$54="At delivery",IF(SETUP!$G$54=1,$E$427*'Malaria-Equipment &amp; Other HPs'!AW16,0),0)</f>
        <v>0</v>
      </c>
      <c r="H429" s="1194">
        <f>IF(SETUP!$F$54="At delivery",IF(SETUP!$G$54=2,$E$427*'Malaria-Equipment &amp; Other HPs'!AW16,IF(SETUP!$G$54=1,$E$427*'Malaria-Equipment &amp; Other HPs'!AX16,0)),0)</f>
        <v>0</v>
      </c>
      <c r="I429" s="1194">
        <f>IF(SETUP!$F$54="At delivery",IF(SETUP!$G$54=3,$E$427*'Malaria-Equipment &amp; Other HPs'!AW16,IF(SETUP!$G$54=2,$E$427*'Malaria-Equipment &amp; Other HPs'!AX16,IF(SETUP!$G$54=1,$E$427*'Malaria-Equipment &amp; Other HPs'!AY16,0))),0)</f>
        <v>0</v>
      </c>
      <c r="J429" s="1194">
        <f t="shared" si="60"/>
        <v>0</v>
      </c>
      <c r="K429" s="1328">
        <f>IF(SETUP!$F$54="At delivery",IF(SETUP!$G$54=4,$E$427*'Malaria-Equipment &amp; Other HPs'!AW16,IF(SETUP!$G$54=3,$E$427*'Malaria-Equipment &amp; Other HPs'!AX16,IF(SETUP!$G$54=2,$E$427*'Malaria-Equipment &amp; Other HPs'!AY16,IF(SETUP!$G$54=1,$E$427*'Malaria-Equipment &amp; Other HPs'!AZ16,0)))),0)</f>
        <v>0</v>
      </c>
      <c r="L429" s="1194">
        <f>IF(SETUP!$F$54="At delivery",IF(SETUP!$G$54=4,$E$427*'Malaria-Equipment &amp; Other HPs'!AX16,IF(SETUP!$G$54=3,$E$427*'Malaria-Equipment &amp; Other HPs'!AY16,IF(SETUP!$G$54=2,$E$427*'Malaria-Equipment &amp; Other HPs'!AZ16,IF(SETUP!$G$54=1,$E$427*'Malaria-Equipment &amp; Other HPs'!BA16,0)))),0)</f>
        <v>0</v>
      </c>
      <c r="M429" s="1194">
        <f>IF(SETUP!$F$54="At delivery",IF(SETUP!$G$54=4,$E$427*'Malaria-Equipment &amp; Other HPs'!AY16,IF(SETUP!$G$54=3,$E$427*'Malaria-Equipment &amp; Other HPs'!AZ16,IF(SETUP!$G$54=2,$E$427*'Malaria-Equipment &amp; Other HPs'!BA16,IF(SETUP!$G$54=1,$E$427*'Malaria-Equipment &amp; Other HPs'!BB16,0)))),0)</f>
        <v>0</v>
      </c>
      <c r="N429" s="1194">
        <f>IF(SETUP!$F$54="At delivery",IF(SETUP!$G$54=4,$E$427*'Malaria-Equipment &amp; Other HPs'!AZ16,IF(SETUP!$G$54=3,$E$427*'Malaria-Equipment &amp; Other HPs'!BA16,IF(SETUP!$G$54=2,$E$427*'Malaria-Equipment &amp; Other HPs'!BB16,IF(SETUP!$G$54=1,$E$427*'Malaria-Equipment &amp; Other HPs'!BC16,0)))),0)</f>
        <v>0</v>
      </c>
      <c r="O429" s="1194">
        <f t="shared" si="61"/>
        <v>0</v>
      </c>
      <c r="P429" s="1328">
        <f>IF(SETUP!$F$54="At delivery",IF(SETUP!$G$54=4,$E$427*'Malaria-Equipment &amp; Other HPs'!BA16,IF(SETUP!$G$54=3,$E$427*'Malaria-Equipment &amp; Other HPs'!BB16,IF(SETUP!$G$54=2,$E$427*'Malaria-Equipment &amp; Other HPs'!BC16,IF(SETUP!$G$54=1,$E$427*'Malaria-Equipment &amp; Other HPs'!BD16,0)))),0)</f>
        <v>0</v>
      </c>
      <c r="Q429" s="1194">
        <f>IF(SETUP!$F$54="At delivery",IF(SETUP!$G$54=4,$E$427*'Malaria-Equipment &amp; Other HPs'!BB16,IF(SETUP!$G$54=3,$E$427*'Malaria-Equipment &amp; Other HPs'!BC16,IF(SETUP!$G$54=2,$E$427*'Malaria-Equipment &amp; Other HPs'!BD16,IF(SETUP!$G$54=1,$E$427*'Malaria-Equipment &amp; Other HPs'!BE16,0)))),0)</f>
        <v>0</v>
      </c>
      <c r="R429" s="1194">
        <f>IF(SETUP!$F$54="At delivery",IF(SETUP!$G$54=4,$E$427*'Malaria-Equipment &amp; Other HPs'!BC16,IF(SETUP!$G$54=3,$E$427*'Malaria-Equipment &amp; Other HPs'!BD16,IF(SETUP!$G$54=2,$E$427*'Malaria-Equipment &amp; Other HPs'!BE16,IF(SETUP!$G$54=1,$E$427*'Malaria-Equipment &amp; Other HPs'!BF16,0)))),0)</f>
        <v>0</v>
      </c>
      <c r="S429" s="1194">
        <f>IF(SETUP!$F$54="At delivery",IF(SETUP!$G$54=4,$E$427*('Malaria-Equipment &amp; Other HPs'!BD16+'Malaria-Equipment &amp; Other HPs'!BE16+'Malaria-Equipment &amp; Other HPs'!BF16+'Malaria-Equipment &amp; Other HPs'!BG16+'Malaria-Equipment &amp; Other HPs'!BH16),IF(SETUP!$G$54=3,$E$427*('Malaria-Equipment &amp; Other HPs'!BE16+'Malaria-Equipment &amp; Other HPs'!BF16+'Malaria-Equipment &amp; Other HPs'!BG16+'Malaria-Equipment &amp; Other HPs'!BH16),IF(SETUP!$G$54=2,$E$427*('Malaria-Equipment &amp; Other HPs'!BF16+'Malaria-Equipment &amp; Other HPs'!BG16+'Malaria-Equipment &amp; Other HPs'!BH16),IF(SETUP!$G$54=1,$E$427*('Malaria-Equipment &amp; Other HPs'!BG16+'Malaria-Equipment &amp; Other HPs'!BH16),0)))),0)</f>
        <v>0</v>
      </c>
      <c r="T429" s="1194">
        <f t="shared" si="62"/>
        <v>0</v>
      </c>
      <c r="U429" s="1328">
        <f t="shared" si="63"/>
        <v>0</v>
      </c>
      <c r="V429" s="1826">
        <v>7.3</v>
      </c>
      <c r="W429" s="1830"/>
      <c r="X429" s="849"/>
      <c r="Y429" s="768"/>
      <c r="Z429" s="768"/>
      <c r="AA429" s="768"/>
      <c r="AB429" s="768"/>
      <c r="AC429" s="768"/>
      <c r="AD429" s="768"/>
      <c r="AE429" s="768"/>
      <c r="AF429" s="868"/>
      <c r="AG429" s="768"/>
      <c r="AH429" s="768"/>
      <c r="AI429" s="768"/>
      <c r="AJ429" s="768"/>
      <c r="AK429" s="768"/>
      <c r="AL429" s="768"/>
      <c r="AM429" s="768"/>
      <c r="AN429" s="768"/>
      <c r="AO429" s="768"/>
      <c r="AP429" s="768"/>
      <c r="AQ429" s="768"/>
      <c r="AR429" s="768"/>
      <c r="AS429" s="768"/>
      <c r="AT429" s="768"/>
      <c r="AU429" s="768"/>
      <c r="AV429" s="768"/>
      <c r="AW429" s="768"/>
      <c r="AX429" s="768"/>
      <c r="AY429" s="768"/>
      <c r="AZ429" s="768"/>
      <c r="BA429" s="768"/>
      <c r="BB429" s="768"/>
      <c r="BC429" s="768"/>
      <c r="BD429" s="768"/>
      <c r="BE429" s="768"/>
      <c r="BF429" s="768"/>
      <c r="BG429" s="768"/>
      <c r="BH429" s="768"/>
      <c r="BI429" s="768"/>
      <c r="BJ429" s="768"/>
      <c r="BK429" s="768"/>
      <c r="BL429" s="768"/>
      <c r="BM429" s="768"/>
      <c r="BN429" s="768"/>
      <c r="BO429" s="768"/>
      <c r="BP429" s="768"/>
      <c r="BQ429" s="768"/>
      <c r="BR429" s="768"/>
    </row>
    <row r="430" spans="1:70" s="759" customFormat="1" ht="13" hidden="1" collapsed="1">
      <c r="A430" s="2934"/>
      <c r="B430" s="2935"/>
      <c r="C430" s="2911" t="s">
        <v>582</v>
      </c>
      <c r="D430" s="2911"/>
      <c r="E430" s="2995"/>
      <c r="F430" s="1328">
        <f>IF(SETUP!$F$55="Upfront",F431,F432)</f>
        <v>0</v>
      </c>
      <c r="G430" s="1194">
        <f>IF(SETUP!$F$55="Upfront",G431,G432)</f>
        <v>0</v>
      </c>
      <c r="H430" s="1194">
        <f>IF(SETUP!$F$55="Upfront",H431,H432)</f>
        <v>0</v>
      </c>
      <c r="I430" s="1194">
        <f>IF(SETUP!$F$55="Upfront",I431,I432)</f>
        <v>0</v>
      </c>
      <c r="J430" s="1194">
        <f t="shared" si="60"/>
        <v>0</v>
      </c>
      <c r="K430" s="1328">
        <f>IF(SETUP!$F$55="Upfront",K431,K432)</f>
        <v>0</v>
      </c>
      <c r="L430" s="1194">
        <f>IF(SETUP!$F$55="Upfront",L431,L432)</f>
        <v>0</v>
      </c>
      <c r="M430" s="1194">
        <f>IF(SETUP!$F$55="Upfront",M431,M432)</f>
        <v>0</v>
      </c>
      <c r="N430" s="1194">
        <f>IF(SETUP!$F$55="Upfront",N431,N432)</f>
        <v>0</v>
      </c>
      <c r="O430" s="1194">
        <f t="shared" si="61"/>
        <v>0</v>
      </c>
      <c r="P430" s="1328">
        <f>IF(SETUP!$F$55="Upfront",P431,P432)</f>
        <v>0</v>
      </c>
      <c r="Q430" s="1194">
        <f>IF(SETUP!$F$55="Upfront",Q431,Q432)</f>
        <v>0</v>
      </c>
      <c r="R430" s="1194">
        <f>IF(SETUP!$F$55="Upfront",R431,R432)</f>
        <v>0</v>
      </c>
      <c r="S430" s="1194">
        <f>IF(SETUP!$F$55="Upfront",S431,S432)</f>
        <v>0</v>
      </c>
      <c r="T430" s="1194">
        <f t="shared" si="62"/>
        <v>0</v>
      </c>
      <c r="U430" s="1328">
        <f t="shared" si="63"/>
        <v>0</v>
      </c>
      <c r="V430" s="1826">
        <v>7.3</v>
      </c>
      <c r="W430" s="1830"/>
      <c r="X430" s="849"/>
      <c r="Y430" s="768"/>
      <c r="Z430" s="768"/>
      <c r="AA430" s="768"/>
      <c r="AB430" s="768"/>
      <c r="AC430" s="768"/>
      <c r="AD430" s="768"/>
      <c r="AE430" s="768"/>
      <c r="AF430" s="868"/>
      <c r="AG430" s="768"/>
      <c r="AH430" s="768"/>
      <c r="AI430" s="768"/>
      <c r="AJ430" s="768"/>
      <c r="AK430" s="768"/>
      <c r="AL430" s="768"/>
      <c r="AM430" s="768"/>
      <c r="AN430" s="768"/>
      <c r="AO430" s="768"/>
      <c r="AP430" s="768"/>
      <c r="AQ430" s="768"/>
      <c r="AR430" s="768"/>
      <c r="AS430" s="768"/>
      <c r="AT430" s="768"/>
      <c r="AU430" s="768"/>
      <c r="AV430" s="768"/>
      <c r="AW430" s="768"/>
      <c r="AX430" s="768"/>
      <c r="AY430" s="768"/>
      <c r="AZ430" s="768"/>
      <c r="BA430" s="768"/>
      <c r="BB430" s="768"/>
      <c r="BC430" s="768"/>
      <c r="BD430" s="768"/>
      <c r="BE430" s="768"/>
      <c r="BF430" s="768"/>
      <c r="BG430" s="768"/>
      <c r="BH430" s="768"/>
      <c r="BI430" s="768"/>
      <c r="BJ430" s="768"/>
      <c r="BK430" s="768"/>
      <c r="BL430" s="768"/>
      <c r="BM430" s="768"/>
      <c r="BN430" s="768"/>
      <c r="BO430" s="768"/>
      <c r="BP430" s="768"/>
      <c r="BQ430" s="768"/>
      <c r="BR430" s="768"/>
    </row>
    <row r="431" spans="1:70" s="759" customFormat="1" ht="16.149999999999999" hidden="1" customHeight="1" outlineLevel="1">
      <c r="A431" s="2934"/>
      <c r="B431" s="2935"/>
      <c r="C431" s="2912" t="s">
        <v>918</v>
      </c>
      <c r="D431" s="2912"/>
      <c r="E431" s="2995"/>
      <c r="F431" s="1328">
        <f>IF(SETUP!$F$54="Upfront",$E$427*'Malaria-Equipment &amp; Other HPs'!AW17,0)</f>
        <v>0</v>
      </c>
      <c r="G431" s="1194">
        <f>IF(SETUP!$F$54="Upfront",$E$427*'Malaria-Equipment &amp; Other HPs'!AX17,0)</f>
        <v>0</v>
      </c>
      <c r="H431" s="1194">
        <f>IF(SETUP!$F$54="Upfront",$E$427*'Malaria-Equipment &amp; Other HPs'!AY17,0)</f>
        <v>0</v>
      </c>
      <c r="I431" s="1194">
        <f>IF(SETUP!$F$54="Upfront",$E$427*'Malaria-Equipment &amp; Other HPs'!AZ17,0)</f>
        <v>0</v>
      </c>
      <c r="J431" s="1194">
        <f t="shared" si="60"/>
        <v>0</v>
      </c>
      <c r="K431" s="1328">
        <f>IF(SETUP!$F$54="Upfront",$E$427*'Malaria-Equipment &amp; Other HPs'!BA17,0)</f>
        <v>0</v>
      </c>
      <c r="L431" s="1194">
        <f>IF(SETUP!$F$54="Upfront",$E$427*'Malaria-Equipment &amp; Other HPs'!BB17,0)</f>
        <v>0</v>
      </c>
      <c r="M431" s="1194">
        <f>IF(SETUP!$F$54="Upfront",$E$427*'Malaria-Equipment &amp; Other HPs'!BC17,0)</f>
        <v>0</v>
      </c>
      <c r="N431" s="1194">
        <f>IF(SETUP!$F$54="Upfront",$E$427*'Malaria-Equipment &amp; Other HPs'!BD17,0)</f>
        <v>0</v>
      </c>
      <c r="O431" s="1194">
        <f t="shared" si="61"/>
        <v>0</v>
      </c>
      <c r="P431" s="1328">
        <f>IF(SETUP!$F$54="Upfront",$E$427*'Malaria-Equipment &amp; Other HPs'!BE17,0)</f>
        <v>0</v>
      </c>
      <c r="Q431" s="1194">
        <f>IF(SETUP!$F$54="Upfront",$E$427*'Malaria-Equipment &amp; Other HPs'!BF17,0)</f>
        <v>0</v>
      </c>
      <c r="R431" s="1194">
        <f>IF(SETUP!$F$54="Upfront",$E$427*'Malaria-Equipment &amp; Other HPs'!BG17,0)</f>
        <v>0</v>
      </c>
      <c r="S431" s="1194">
        <f>IF(SETUP!$F$54="Upfront",$E$427*'Malaria-Equipment &amp; Other HPs'!BH17,0)</f>
        <v>0</v>
      </c>
      <c r="T431" s="1194">
        <f t="shared" si="62"/>
        <v>0</v>
      </c>
      <c r="U431" s="1328">
        <f t="shared" si="63"/>
        <v>0</v>
      </c>
      <c r="V431" s="1826">
        <v>7.3</v>
      </c>
      <c r="W431" s="1830"/>
      <c r="X431" s="849"/>
      <c r="Y431" s="768"/>
      <c r="Z431" s="768"/>
      <c r="AA431" s="768"/>
      <c r="AB431" s="768"/>
      <c r="AC431" s="768"/>
      <c r="AD431" s="768"/>
      <c r="AE431" s="768"/>
      <c r="AF431" s="868"/>
      <c r="AG431" s="768"/>
      <c r="AH431" s="768"/>
      <c r="AI431" s="768"/>
      <c r="AJ431" s="768"/>
      <c r="AK431" s="768"/>
      <c r="AL431" s="768"/>
      <c r="AM431" s="768"/>
      <c r="AN431" s="768"/>
      <c r="AO431" s="768"/>
      <c r="AP431" s="768"/>
      <c r="AQ431" s="768"/>
      <c r="AR431" s="768"/>
      <c r="AS431" s="768"/>
      <c r="AT431" s="768"/>
      <c r="AU431" s="768"/>
      <c r="AV431" s="768"/>
      <c r="AW431" s="768"/>
      <c r="AX431" s="768"/>
      <c r="AY431" s="768"/>
      <c r="AZ431" s="768"/>
      <c r="BA431" s="768"/>
      <c r="BB431" s="768"/>
      <c r="BC431" s="768"/>
      <c r="BD431" s="768"/>
      <c r="BE431" s="768"/>
      <c r="BF431" s="768"/>
      <c r="BG431" s="768"/>
      <c r="BH431" s="768"/>
      <c r="BI431" s="768"/>
      <c r="BJ431" s="768"/>
      <c r="BK431" s="768"/>
      <c r="BL431" s="768"/>
      <c r="BM431" s="768"/>
      <c r="BN431" s="768"/>
      <c r="BO431" s="768"/>
      <c r="BP431" s="768"/>
      <c r="BQ431" s="768"/>
      <c r="BR431" s="768"/>
    </row>
    <row r="432" spans="1:70" s="759" customFormat="1" ht="17.25" hidden="1" customHeight="1" outlineLevel="1">
      <c r="A432" s="2934"/>
      <c r="B432" s="2935"/>
      <c r="C432" s="2912" t="s">
        <v>36</v>
      </c>
      <c r="D432" s="2912"/>
      <c r="E432" s="2996"/>
      <c r="F432" s="1328">
        <v>0</v>
      </c>
      <c r="G432" s="1194">
        <f>IF(SETUP!$F$55="At delivery",IF(SETUP!$G$55=1,$E$427*'Malaria-Equipment &amp; Other HPs'!AW17,0),0)</f>
        <v>0</v>
      </c>
      <c r="H432" s="1194">
        <f>IF(SETUP!$F$55="At delivery",IF(SETUP!$G$55=2,$E$427*'Malaria-Equipment &amp; Other HPs'!AW17,IF(SETUP!$G$55=1,$E$427*'Malaria-Equipment &amp; Other HPs'!AX17,0)),0)</f>
        <v>0</v>
      </c>
      <c r="I432" s="1194">
        <f>IF(SETUP!$F$55="At delivery",IF(SETUP!$G$55=3,$E$427*'Malaria-Equipment &amp; Other HPs'!AW17,IF(SETUP!$G$55=2,$E$427*'Malaria-Equipment &amp; Other HPs'!AX17,IF(SETUP!$G$55=1,$E$427*'Malaria-Equipment &amp; Other HPs'!AY17,0))),0)</f>
        <v>0</v>
      </c>
      <c r="J432" s="1194">
        <f t="shared" si="60"/>
        <v>0</v>
      </c>
      <c r="K432" s="1328">
        <f>IF(SETUP!$F$55="At delivery",IF(SETUP!$G$55=4,$E$427*'Malaria-Equipment &amp; Other HPs'!AW17,IF(SETUP!$G$55=3,$E$427*'Malaria-Equipment &amp; Other HPs'!AX17,IF(SETUP!$G$55=2,$E$427*'Malaria-Equipment &amp; Other HPs'!AY17,IF(SETUP!$G$55=1,$E$427*'Malaria-Equipment &amp; Other HPs'!AZ17,0)))),0)</f>
        <v>0</v>
      </c>
      <c r="L432" s="1194">
        <f>IF(SETUP!$F$55="At delivery",IF(SETUP!$G$55=4,$E$427*'Malaria-Equipment &amp; Other HPs'!AX17,IF(SETUP!$G$55=3,$E$427*'Malaria-Equipment &amp; Other HPs'!AY17,IF(SETUP!$G$55=2,$E$427*'Malaria-Equipment &amp; Other HPs'!AZ17,IF(SETUP!$G$55=1,$E$427*'Malaria-Equipment &amp; Other HPs'!BA17,0)))),0)</f>
        <v>0</v>
      </c>
      <c r="M432" s="1194">
        <f>IF(SETUP!$F$55="At delivery",IF(SETUP!$G$55=4,$E$427*'Malaria-Equipment &amp; Other HPs'!AY17,IF(SETUP!$G$55=3,$E$427*'Malaria-Equipment &amp; Other HPs'!AZ17,IF(SETUP!$G$55=2,$E$427*'Malaria-Equipment &amp; Other HPs'!BA17,IF(SETUP!$G$55=1,$E$427*'Malaria-Equipment &amp; Other HPs'!BB17,0)))),0)</f>
        <v>0</v>
      </c>
      <c r="N432" s="1194">
        <f>IF(SETUP!$F$55="At delivery",IF(SETUP!$G$55=4,$E$427*'Malaria-Equipment &amp; Other HPs'!AZ17,IF(SETUP!$G$55=3,$E$427*'Malaria-Equipment &amp; Other HPs'!BA17,IF(SETUP!$G$55=2,$E$427*'Malaria-Equipment &amp; Other HPs'!BB17,IF(SETUP!$G$55=1,$E$427*'Malaria-Equipment &amp; Other HPs'!BC17,0)))),0)</f>
        <v>0</v>
      </c>
      <c r="O432" s="1194">
        <f t="shared" si="61"/>
        <v>0</v>
      </c>
      <c r="P432" s="1328">
        <f>IF(SETUP!$F$55="At delivery",IF(SETUP!$G$55=4,$E$427*'Malaria-Equipment &amp; Other HPs'!BA17,IF(SETUP!$G$55=3,$E$427*'Malaria-Equipment &amp; Other HPs'!BB17,IF(SETUP!$G$55=2,$E$427*'Malaria-Equipment &amp; Other HPs'!BC17,IF(SETUP!$G$55=1,$E$427*'Malaria-Equipment &amp; Other HPs'!BD17,0)))),0)</f>
        <v>0</v>
      </c>
      <c r="Q432" s="1194">
        <f>IF(SETUP!$F$55="At delivery",IF(SETUP!$G$55=4,$E$427*'Malaria-Equipment &amp; Other HPs'!BB17,IF(SETUP!$G$55=3,$E$427*'Malaria-Equipment &amp; Other HPs'!BC17,IF(SETUP!$G$55=2,$E$427*'Malaria-Equipment &amp; Other HPs'!BD17,IF(SETUP!$G$55=1,$E$427*'Malaria-Equipment &amp; Other HPs'!BE17,0)))),0)</f>
        <v>0</v>
      </c>
      <c r="R432" s="1194">
        <f>IF(SETUP!$F$55="At delivery",IF(SETUP!$G$55=4,$E$427*'Malaria-Equipment &amp; Other HPs'!BC17,IF(SETUP!$G$55=3,$E$427*'Malaria-Equipment &amp; Other HPs'!BD17,IF(SETUP!$G$55=2,$E$427*'Malaria-Equipment &amp; Other HPs'!BE17,IF(SETUP!$G$55=1,$E$427*'Malaria-Equipment &amp; Other HPs'!BF17,0)))),0)</f>
        <v>0</v>
      </c>
      <c r="S432" s="1194">
        <f>IF(SETUP!$F$55="At delivery",IF(SETUP!$G$55=4,$E$427*('Malaria-Equipment &amp; Other HPs'!BD17+'Malaria-Equipment &amp; Other HPs'!BE17+'Malaria-Equipment &amp; Other HPs'!BF17+'Malaria-Equipment &amp; Other HPs'!BG17+'Malaria-Equipment &amp; Other HPs'!BH17),IF(SETUP!$G$55=3,$E$427*('Malaria-Equipment &amp; Other HPs'!BE17+'Malaria-Equipment &amp; Other HPs'!BF17+'Malaria-Equipment &amp; Other HPs'!BG17+'Malaria-Equipment &amp; Other HPs'!BH17),IF(SETUP!$G$55=2,$E$427*('Malaria-Equipment &amp; Other HPs'!BF17+'Malaria-Equipment &amp; Other HPs'!BG17+'Malaria-Equipment &amp; Other HPs'!BH17),IF(SETUP!$G$55=1,$E$427*('Malaria-Equipment &amp; Other HPs'!BG17+'Malaria-Equipment &amp; Other HPs'!BH17),0)))),0)</f>
        <v>0</v>
      </c>
      <c r="T432" s="1194">
        <f t="shared" si="62"/>
        <v>0</v>
      </c>
      <c r="U432" s="1328">
        <f t="shared" si="63"/>
        <v>0</v>
      </c>
      <c r="V432" s="1826">
        <v>7.3</v>
      </c>
      <c r="W432" s="1830"/>
      <c r="X432" s="849"/>
      <c r="Y432" s="768"/>
      <c r="Z432" s="768"/>
      <c r="AA432" s="768"/>
      <c r="AB432" s="768"/>
      <c r="AC432" s="768"/>
      <c r="AD432" s="768"/>
      <c r="AE432" s="768"/>
      <c r="AF432" s="868"/>
      <c r="AG432" s="768"/>
      <c r="AH432" s="768"/>
      <c r="AI432" s="768"/>
      <c r="AJ432" s="768"/>
      <c r="AK432" s="768"/>
      <c r="AL432" s="768"/>
      <c r="AM432" s="768"/>
      <c r="AN432" s="768"/>
      <c r="AO432" s="768"/>
      <c r="AP432" s="768"/>
      <c r="AQ432" s="768"/>
      <c r="AR432" s="768"/>
      <c r="AS432" s="768"/>
      <c r="AT432" s="768"/>
      <c r="AU432" s="768"/>
      <c r="AV432" s="768"/>
      <c r="AW432" s="768"/>
      <c r="AX432" s="768"/>
      <c r="AY432" s="768"/>
      <c r="AZ432" s="768"/>
      <c r="BA432" s="768"/>
      <c r="BB432" s="768"/>
      <c r="BC432" s="768"/>
      <c r="BD432" s="768"/>
      <c r="BE432" s="768"/>
      <c r="BF432" s="768"/>
      <c r="BG432" s="768"/>
      <c r="BH432" s="768"/>
      <c r="BI432" s="768"/>
      <c r="BJ432" s="768"/>
      <c r="BK432" s="768"/>
      <c r="BL432" s="768"/>
      <c r="BM432" s="768"/>
      <c r="BN432" s="768"/>
      <c r="BO432" s="768"/>
      <c r="BP432" s="768"/>
      <c r="BQ432" s="768"/>
      <c r="BR432" s="768"/>
    </row>
    <row r="433" spans="1:72" s="759" customFormat="1" ht="13" hidden="1" collapsed="1">
      <c r="A433" s="2934"/>
      <c r="B433" s="2935"/>
      <c r="C433" s="2911" t="s">
        <v>583</v>
      </c>
      <c r="D433" s="2911"/>
      <c r="E433" s="2994">
        <v>0</v>
      </c>
      <c r="F433" s="1328">
        <f>IF(SETUP!$F$56="Upfront",F434,F435)</f>
        <v>0</v>
      </c>
      <c r="G433" s="1194">
        <f>IF(SETUP!$F$56="Upfront",G434,G435)</f>
        <v>0</v>
      </c>
      <c r="H433" s="1194">
        <f>IF(SETUP!$F$56="Upfront",H434,H435)</f>
        <v>0</v>
      </c>
      <c r="I433" s="1194">
        <f>IF(SETUP!$F$56="Upfront",I434,I435)</f>
        <v>0</v>
      </c>
      <c r="J433" s="1194">
        <f t="shared" si="60"/>
        <v>0</v>
      </c>
      <c r="K433" s="1328">
        <f>IF(SETUP!$F$56="Upfront",K434,K435)</f>
        <v>0</v>
      </c>
      <c r="L433" s="1194">
        <f>IF(SETUP!$F$56="Upfront",L434,L435)</f>
        <v>0</v>
      </c>
      <c r="M433" s="1194">
        <f>IF(SETUP!$F$56="Upfront",M434,M435)</f>
        <v>0</v>
      </c>
      <c r="N433" s="1194">
        <f>IF(SETUP!$F$56="Upfront",N434,N435)</f>
        <v>0</v>
      </c>
      <c r="O433" s="1194">
        <f t="shared" si="61"/>
        <v>0</v>
      </c>
      <c r="P433" s="1328">
        <f>IF(SETUP!$F$56="Upfront",P434,P435)</f>
        <v>0</v>
      </c>
      <c r="Q433" s="1194">
        <f>IF(SETUP!$F$56="Upfront",Q434,Q435)</f>
        <v>0</v>
      </c>
      <c r="R433" s="1194">
        <f>IF(SETUP!$F$56="Upfront",R434,R435)</f>
        <v>0</v>
      </c>
      <c r="S433" s="1194">
        <f>IF(SETUP!$F$56="Upfront",S434,S435)</f>
        <v>0</v>
      </c>
      <c r="T433" s="1194">
        <f t="shared" si="62"/>
        <v>0</v>
      </c>
      <c r="U433" s="1328">
        <f t="shared" si="63"/>
        <v>0</v>
      </c>
      <c r="V433" s="1826">
        <v>7.3</v>
      </c>
      <c r="W433" s="1830"/>
      <c r="X433" s="849"/>
      <c r="Y433" s="768"/>
      <c r="Z433" s="768"/>
      <c r="AA433" s="768"/>
      <c r="AB433" s="768"/>
      <c r="AC433" s="768"/>
      <c r="AD433" s="768"/>
      <c r="AE433" s="768"/>
      <c r="AF433" s="868"/>
      <c r="AG433" s="768"/>
      <c r="AH433" s="768"/>
      <c r="AI433" s="768"/>
      <c r="AJ433" s="768"/>
      <c r="AK433" s="768"/>
      <c r="AL433" s="768"/>
      <c r="AM433" s="768"/>
      <c r="AN433" s="768"/>
      <c r="AO433" s="768"/>
      <c r="AP433" s="768"/>
      <c r="AQ433" s="768"/>
      <c r="AR433" s="768"/>
      <c r="AS433" s="768"/>
      <c r="AT433" s="768"/>
      <c r="AU433" s="768"/>
      <c r="AV433" s="768"/>
      <c r="AW433" s="768"/>
      <c r="AX433" s="768"/>
      <c r="AY433" s="768"/>
      <c r="AZ433" s="768"/>
      <c r="BA433" s="768"/>
      <c r="BB433" s="768"/>
      <c r="BC433" s="768"/>
      <c r="BD433" s="768"/>
      <c r="BE433" s="768"/>
      <c r="BF433" s="768"/>
      <c r="BG433" s="768"/>
      <c r="BH433" s="768"/>
      <c r="BI433" s="768"/>
      <c r="BJ433" s="768"/>
      <c r="BK433" s="768"/>
      <c r="BL433" s="768"/>
      <c r="BM433" s="768"/>
      <c r="BN433" s="768"/>
      <c r="BO433" s="768"/>
      <c r="BP433" s="768"/>
      <c r="BQ433" s="768"/>
      <c r="BR433" s="768"/>
    </row>
    <row r="434" spans="1:72" s="759" customFormat="1" ht="16.149999999999999" hidden="1" customHeight="1" outlineLevel="1">
      <c r="A434" s="2934"/>
      <c r="B434" s="2935"/>
      <c r="C434" s="2912" t="s">
        <v>918</v>
      </c>
      <c r="D434" s="2912"/>
      <c r="E434" s="2995"/>
      <c r="F434" s="1328">
        <f>IF(SETUP!$F$56="Upfront",$E$433*'Malaria-Equipment &amp; Other HPs'!AW18,0)</f>
        <v>0</v>
      </c>
      <c r="G434" s="1194">
        <f>IF(SETUP!$F$56="Upfront",$E$433*'Malaria-Equipment &amp; Other HPs'!AX18,0)</f>
        <v>0</v>
      </c>
      <c r="H434" s="1194">
        <f>IF(SETUP!$F$56="Upfront",$E$433*'Malaria-Equipment &amp; Other HPs'!AY18,0)</f>
        <v>0</v>
      </c>
      <c r="I434" s="1194">
        <f>IF(SETUP!$F$56="Upfront",$E$433*'Malaria-Equipment &amp; Other HPs'!AZ18,0)</f>
        <v>0</v>
      </c>
      <c r="J434" s="1194">
        <f t="shared" si="60"/>
        <v>0</v>
      </c>
      <c r="K434" s="1328">
        <f>IF(SETUP!$F$56="Upfront",$E$433*'Malaria-Equipment &amp; Other HPs'!BA18,0)</f>
        <v>0</v>
      </c>
      <c r="L434" s="1194">
        <f>IF(SETUP!$F$56="Upfront",$E$433*'Malaria-Equipment &amp; Other HPs'!BB18,0)</f>
        <v>0</v>
      </c>
      <c r="M434" s="1194">
        <f>IF(SETUP!$F$56="Upfront",$E$433*'Malaria-Equipment &amp; Other HPs'!BC18,0)</f>
        <v>0</v>
      </c>
      <c r="N434" s="1194">
        <f>IF(SETUP!$F$56="Upfront",$E$433*'Malaria-Equipment &amp; Other HPs'!BD18,0)</f>
        <v>0</v>
      </c>
      <c r="O434" s="1194">
        <f t="shared" si="61"/>
        <v>0</v>
      </c>
      <c r="P434" s="1328">
        <f>IF(SETUP!$F$56="Upfront",$E$433*'Malaria-Equipment &amp; Other HPs'!BE18,0)</f>
        <v>0</v>
      </c>
      <c r="Q434" s="1194">
        <f>IF(SETUP!$F$56="Upfront",$E$433*'Malaria-Equipment &amp; Other HPs'!BF18,0)</f>
        <v>0</v>
      </c>
      <c r="R434" s="1194">
        <f>IF(SETUP!$F$56="Upfront",$E$433*'Malaria-Equipment &amp; Other HPs'!BG18,0)</f>
        <v>0</v>
      </c>
      <c r="S434" s="1194">
        <f>IF(SETUP!$F$56="Upfront",$E$433*'Malaria-Equipment &amp; Other HPs'!BH18,0)</f>
        <v>0</v>
      </c>
      <c r="T434" s="1194">
        <f t="shared" si="62"/>
        <v>0</v>
      </c>
      <c r="U434" s="1328">
        <f t="shared" si="63"/>
        <v>0</v>
      </c>
      <c r="V434" s="1826">
        <v>7.3</v>
      </c>
      <c r="W434" s="1830"/>
      <c r="X434" s="849"/>
      <c r="Y434" s="768"/>
      <c r="Z434" s="768"/>
      <c r="AA434" s="768"/>
      <c r="AB434" s="768"/>
      <c r="AC434" s="768"/>
      <c r="AD434" s="768"/>
      <c r="AE434" s="768"/>
      <c r="AF434" s="868"/>
      <c r="AG434" s="768"/>
      <c r="AH434" s="768"/>
      <c r="AI434" s="768"/>
      <c r="AJ434" s="768"/>
      <c r="AK434" s="768"/>
      <c r="AL434" s="768"/>
      <c r="AM434" s="768"/>
      <c r="AN434" s="768"/>
      <c r="AO434" s="768"/>
      <c r="AP434" s="768"/>
      <c r="AQ434" s="768"/>
      <c r="AR434" s="768"/>
      <c r="AS434" s="768"/>
      <c r="AT434" s="768"/>
      <c r="AU434" s="768"/>
      <c r="AV434" s="768"/>
      <c r="AW434" s="768"/>
      <c r="AX434" s="768"/>
      <c r="AY434" s="768"/>
      <c r="AZ434" s="768"/>
      <c r="BA434" s="768"/>
      <c r="BB434" s="768"/>
      <c r="BC434" s="768"/>
      <c r="BD434" s="768"/>
      <c r="BE434" s="768"/>
      <c r="BF434" s="768"/>
      <c r="BG434" s="768"/>
      <c r="BH434" s="768"/>
      <c r="BI434" s="768"/>
      <c r="BJ434" s="768"/>
      <c r="BK434" s="768"/>
      <c r="BL434" s="768"/>
      <c r="BM434" s="768"/>
      <c r="BN434" s="768"/>
      <c r="BO434" s="768"/>
      <c r="BP434" s="768"/>
      <c r="BQ434" s="768"/>
      <c r="BR434" s="768"/>
    </row>
    <row r="435" spans="1:72" s="759" customFormat="1" ht="17.25" hidden="1" customHeight="1" outlineLevel="1">
      <c r="A435" s="2934"/>
      <c r="B435" s="2935"/>
      <c r="C435" s="2912" t="s">
        <v>36</v>
      </c>
      <c r="D435" s="2912"/>
      <c r="E435" s="2996"/>
      <c r="F435" s="1328">
        <v>0</v>
      </c>
      <c r="G435" s="1194">
        <f>IF(SETUP!$F$56="At delivery",IF(SETUP!$G$56=1,$E$433*'Malaria-Equipment &amp; Other HPs'!AW18,0),0)</f>
        <v>0</v>
      </c>
      <c r="H435" s="1194">
        <f>IF(SETUP!$F$56="At delivery",IF(SETUP!$G$56=2,$E$433*'Malaria-Equipment &amp; Other HPs'!AW18,IF(SETUP!$G$56=1,$E$433*'Malaria-Equipment &amp; Other HPs'!AX18,0)),0)</f>
        <v>0</v>
      </c>
      <c r="I435" s="1194">
        <f>IF(SETUP!$F$56="At delivery",IF(SETUP!$G$56=3,$E$433*'Malaria-Equipment &amp; Other HPs'!AW18,IF(SETUP!$G$56=2,$E$433*'Malaria-Equipment &amp; Other HPs'!AX18,IF(SETUP!$G$56=1,$E$433*'Malaria-Equipment &amp; Other HPs'!AY18,0))),0)</f>
        <v>0</v>
      </c>
      <c r="J435" s="1194">
        <f t="shared" si="60"/>
        <v>0</v>
      </c>
      <c r="K435" s="1328">
        <f>IF(SETUP!$F$56="At delivery",IF(SETUP!$G$56=4,$E$433*'Malaria-Equipment &amp; Other HPs'!AW18,IF(SETUP!$G$56=3,$E$433*'Malaria-Equipment &amp; Other HPs'!AX18,IF(SETUP!$G$56=2,$E$433*'Malaria-Equipment &amp; Other HPs'!AY18,IF(SETUP!$G$56=1,$E$433*'Malaria-Equipment &amp; Other HPs'!AZ18,0)))),0)</f>
        <v>0</v>
      </c>
      <c r="L435" s="1194">
        <f>IF(SETUP!$F$56="At delivery",IF(SETUP!$G$56=4,$E$433*'Malaria-Equipment &amp; Other HPs'!AX18,IF(SETUP!$G$56=3,$E$433*'Malaria-Equipment &amp; Other HPs'!AY18,IF(SETUP!$G$56=2,$E$433*'Malaria-Equipment &amp; Other HPs'!AZ18,IF(SETUP!$G$56=1,$E$433*'Malaria-Equipment &amp; Other HPs'!BA18,0)))),0)</f>
        <v>0</v>
      </c>
      <c r="M435" s="1194">
        <f>IF(SETUP!$F$56="At delivery",IF(SETUP!$G$56=4,$E$433*'Malaria-Equipment &amp; Other HPs'!AY18,IF(SETUP!$G$56=3,$E$433*'Malaria-Equipment &amp; Other HPs'!AZ18,IF(SETUP!$G$56=2,$E$433*'Malaria-Equipment &amp; Other HPs'!BA18,IF(SETUP!$G$56=1,$E$433*'Malaria-Equipment &amp; Other HPs'!BB18,0)))),0)</f>
        <v>0</v>
      </c>
      <c r="N435" s="1194">
        <f>IF(SETUP!$F$56="At delivery",IF(SETUP!$G$56=4,$E$433*'Malaria-Equipment &amp; Other HPs'!AZ18,IF(SETUP!$G$56=3,$E$433*'Malaria-Equipment &amp; Other HPs'!BA18,IF(SETUP!$G$56=2,$E$433*'Malaria-Equipment &amp; Other HPs'!BB18,IF(SETUP!$G$56=1,$E$433*'Malaria-Equipment &amp; Other HPs'!BC18,0)))),0)</f>
        <v>0</v>
      </c>
      <c r="O435" s="1194">
        <f t="shared" si="61"/>
        <v>0</v>
      </c>
      <c r="P435" s="1328">
        <f>IF(SETUP!$F$56="At delivery",IF(SETUP!$G$56=4,$E$433*'Malaria-Equipment &amp; Other HPs'!BA18,IF(SETUP!$G$56=3,$E$433*'Malaria-Equipment &amp; Other HPs'!BB18,IF(SETUP!$G$56=2,$E$433*'Malaria-Equipment &amp; Other HPs'!BC18,IF(SETUP!$G$56=1,$E$433*'Malaria-Equipment &amp; Other HPs'!BD18,0)))),0)</f>
        <v>0</v>
      </c>
      <c r="Q435" s="1194">
        <f>IF(SETUP!$F$56="At delivery",IF(SETUP!$G$56=4,$E$433*'Malaria-Equipment &amp; Other HPs'!BB18,IF(SETUP!$G$56=3,$E$433*'Malaria-Equipment &amp; Other HPs'!BC18,IF(SETUP!$G$56=2,$E$433*'Malaria-Equipment &amp; Other HPs'!BD18,IF(SETUP!$G$56=1,$E$433*'Malaria-Equipment &amp; Other HPs'!BE18,0)))),0)</f>
        <v>0</v>
      </c>
      <c r="R435" s="1194">
        <f>IF(SETUP!$F$56="At delivery",IF(SETUP!$G$56=4,$E$433*'Malaria-Equipment &amp; Other HPs'!BC18,IF(SETUP!$G$56=3,$E$433*'Malaria-Equipment &amp; Other HPs'!BD18,IF(SETUP!$G$56=2,$E$433*'Malaria-Equipment &amp; Other HPs'!BE18,IF(SETUP!$G$56=1,$E$433*'Malaria-Equipment &amp; Other HPs'!BF18,0)))),0)</f>
        <v>0</v>
      </c>
      <c r="S435" s="1194">
        <f>IF(SETUP!$F$56="At delivery",IF(SETUP!$G$56=4,$E$433*('Malaria-Equipment &amp; Other HPs'!BD18+'Malaria-Equipment &amp; Other HPs'!BE18+'Malaria-Equipment &amp; Other HPs'!BF18+'Malaria-Equipment &amp; Other HPs'!BG18+'Malaria-Equipment &amp; Other HPs'!BH18),IF(SETUP!$G$56=3,$E$433*('Malaria-Equipment &amp; Other HPs'!BE18+'Malaria-Equipment &amp; Other HPs'!BF18+'Malaria-Equipment &amp; Other HPs'!BG18+'Malaria-Equipment &amp; Other HPs'!BH18),IF(SETUP!$G$56=2,$E$433*('Malaria-Equipment &amp; Other HPs'!BF18+'Malaria-Equipment &amp; Other HPs'!BG18+'Malaria-Equipment &amp; Other HPs'!BH18),IF(SETUP!$G$56=1,$E$433*('Malaria-Equipment &amp; Other HPs'!BG18+'Malaria-Equipment &amp; Other HPs'!BH18),0)))),0)</f>
        <v>0</v>
      </c>
      <c r="T435" s="1194">
        <f t="shared" si="62"/>
        <v>0</v>
      </c>
      <c r="U435" s="1328">
        <f t="shared" si="63"/>
        <v>0</v>
      </c>
      <c r="V435" s="1826">
        <v>7.3</v>
      </c>
      <c r="W435" s="1830"/>
      <c r="X435" s="849"/>
      <c r="Y435" s="768"/>
      <c r="Z435" s="768"/>
      <c r="AA435" s="768"/>
      <c r="AB435" s="768"/>
      <c r="AC435" s="768"/>
      <c r="AD435" s="768"/>
      <c r="AE435" s="768"/>
      <c r="AF435" s="868"/>
      <c r="AG435" s="768"/>
      <c r="AH435" s="768"/>
      <c r="AI435" s="768"/>
      <c r="AJ435" s="768"/>
      <c r="AK435" s="768"/>
      <c r="AL435" s="768"/>
      <c r="AM435" s="768"/>
      <c r="AN435" s="768"/>
      <c r="AO435" s="768"/>
      <c r="AP435" s="768"/>
      <c r="AQ435" s="768"/>
      <c r="AR435" s="768"/>
      <c r="AS435" s="768"/>
      <c r="AT435" s="768"/>
      <c r="AU435" s="768"/>
      <c r="AV435" s="768"/>
      <c r="AW435" s="768"/>
      <c r="AX435" s="768"/>
      <c r="AY435" s="768"/>
      <c r="AZ435" s="768"/>
      <c r="BA435" s="768"/>
      <c r="BB435" s="768"/>
      <c r="BC435" s="768"/>
      <c r="BD435" s="768"/>
      <c r="BE435" s="768"/>
      <c r="BF435" s="768"/>
      <c r="BG435" s="768"/>
      <c r="BH435" s="768"/>
      <c r="BI435" s="768"/>
      <c r="BJ435" s="768"/>
      <c r="BK435" s="768"/>
      <c r="BL435" s="768"/>
      <c r="BM435" s="768"/>
      <c r="BN435" s="768"/>
      <c r="BO435" s="768"/>
      <c r="BP435" s="768"/>
      <c r="BQ435" s="768"/>
      <c r="BR435" s="768"/>
    </row>
    <row r="436" spans="1:72" s="759" customFormat="1" ht="13" hidden="1" collapsed="1">
      <c r="A436" s="2934"/>
      <c r="B436" s="2935"/>
      <c r="C436" s="2911" t="s">
        <v>537</v>
      </c>
      <c r="D436" s="2911"/>
      <c r="E436" s="2994">
        <v>0</v>
      </c>
      <c r="F436" s="1328">
        <f>IF(SETUP!$F$57="Upfront",F437,F438)</f>
        <v>0</v>
      </c>
      <c r="G436" s="1194">
        <f>IF(SETUP!$F$57="Upfront",G437,G438)</f>
        <v>0</v>
      </c>
      <c r="H436" s="1194">
        <f>IF(SETUP!$F$57="Upfront",H437,H438)</f>
        <v>0</v>
      </c>
      <c r="I436" s="1194">
        <f>IF(SETUP!$F$57="Upfront",I437,I438)</f>
        <v>0</v>
      </c>
      <c r="J436" s="1194">
        <f t="shared" si="60"/>
        <v>0</v>
      </c>
      <c r="K436" s="1328">
        <f>IF(SETUP!$F$57="Upfront",K437,K438)</f>
        <v>0</v>
      </c>
      <c r="L436" s="1194">
        <f>IF(SETUP!$F$57="Upfront",L437,L438)</f>
        <v>0</v>
      </c>
      <c r="M436" s="1194">
        <f>IF(SETUP!$F$57="Upfront",M437,M438)</f>
        <v>0</v>
      </c>
      <c r="N436" s="1194">
        <f>IF(SETUP!$F$57="Upfront",N437,N438)</f>
        <v>0</v>
      </c>
      <c r="O436" s="1194">
        <f t="shared" si="61"/>
        <v>0</v>
      </c>
      <c r="P436" s="1328">
        <f>IF(SETUP!$F$57="Upfront",P437,P438)</f>
        <v>0</v>
      </c>
      <c r="Q436" s="1194">
        <f>IF(SETUP!$F$57="Upfront",Q437,Q438)</f>
        <v>0</v>
      </c>
      <c r="R436" s="1194">
        <f>IF(SETUP!$F$57="Upfront",R437,R438)</f>
        <v>0</v>
      </c>
      <c r="S436" s="1194">
        <f>IF(SETUP!$F$57="Upfront",S437,S438)</f>
        <v>0</v>
      </c>
      <c r="T436" s="1194">
        <f t="shared" si="62"/>
        <v>0</v>
      </c>
      <c r="U436" s="1328">
        <f t="shared" si="63"/>
        <v>0</v>
      </c>
      <c r="V436" s="1826">
        <v>7.3</v>
      </c>
      <c r="W436" s="1830"/>
      <c r="X436" s="849"/>
      <c r="Y436" s="768"/>
      <c r="Z436" s="768"/>
      <c r="AA436" s="768"/>
      <c r="AB436" s="768"/>
      <c r="AC436" s="768"/>
      <c r="AD436" s="768"/>
      <c r="AE436" s="768"/>
      <c r="AF436" s="868"/>
      <c r="AG436" s="768"/>
      <c r="AH436" s="768"/>
      <c r="AI436" s="768"/>
      <c r="AJ436" s="768"/>
      <c r="AK436" s="768"/>
      <c r="AL436" s="768"/>
      <c r="AM436" s="768"/>
      <c r="AN436" s="768"/>
      <c r="AO436" s="768"/>
      <c r="AP436" s="768"/>
      <c r="AQ436" s="768"/>
      <c r="AR436" s="768"/>
      <c r="AS436" s="768"/>
      <c r="AT436" s="768"/>
      <c r="AU436" s="768"/>
      <c r="AV436" s="768"/>
      <c r="AW436" s="768"/>
      <c r="AX436" s="768"/>
      <c r="AY436" s="768"/>
      <c r="AZ436" s="768"/>
      <c r="BA436" s="768"/>
      <c r="BB436" s="768"/>
      <c r="BC436" s="768"/>
      <c r="BD436" s="768"/>
      <c r="BE436" s="768"/>
      <c r="BF436" s="768"/>
      <c r="BG436" s="768"/>
      <c r="BH436" s="768"/>
      <c r="BI436" s="768"/>
      <c r="BJ436" s="768"/>
      <c r="BK436" s="768"/>
      <c r="BL436" s="768"/>
      <c r="BM436" s="768"/>
      <c r="BN436" s="768"/>
      <c r="BO436" s="768"/>
      <c r="BP436" s="768"/>
      <c r="BQ436" s="768"/>
      <c r="BR436" s="768"/>
    </row>
    <row r="437" spans="1:72" s="759" customFormat="1" ht="16.149999999999999" hidden="1" customHeight="1" outlineLevel="1">
      <c r="A437" s="2934"/>
      <c r="B437" s="2935"/>
      <c r="C437" s="2912" t="s">
        <v>918</v>
      </c>
      <c r="D437" s="2912"/>
      <c r="E437" s="2995"/>
      <c r="F437" s="1328">
        <f>IF(SETUP!$F$57="Upfront",$E$436*'Malaria-Equipment &amp; Other HPs'!AW19,0)</f>
        <v>0</v>
      </c>
      <c r="G437" s="1194">
        <f>IF(SETUP!$F$57="Upfront",$E$436*'Malaria-Equipment &amp; Other HPs'!AX19,0)</f>
        <v>0</v>
      </c>
      <c r="H437" s="1194">
        <f>IF(SETUP!$F$57="Upfront",$E$436*'Malaria-Equipment &amp; Other HPs'!AY19,0)</f>
        <v>0</v>
      </c>
      <c r="I437" s="1194">
        <f>IF(SETUP!$F$57="Upfront",$E$436*'Malaria-Equipment &amp; Other HPs'!AZ19,0)</f>
        <v>0</v>
      </c>
      <c r="J437" s="1194">
        <f t="shared" si="60"/>
        <v>0</v>
      </c>
      <c r="K437" s="1328">
        <f>IF(SETUP!$F$57="Upfront",$E$436*'Malaria-Equipment &amp; Other HPs'!BA19,0)</f>
        <v>0</v>
      </c>
      <c r="L437" s="1194">
        <f>IF(SETUP!$F$57="Upfront",$E$436*'Malaria-Equipment &amp; Other HPs'!BB19,0)</f>
        <v>0</v>
      </c>
      <c r="M437" s="1194">
        <f>IF(SETUP!$F$57="Upfront",$E$436*'Malaria-Equipment &amp; Other HPs'!BC19,0)</f>
        <v>0</v>
      </c>
      <c r="N437" s="1194">
        <f>IF(SETUP!$F$57="Upfront",$E$436*'Malaria-Equipment &amp; Other HPs'!BD19,0)</f>
        <v>0</v>
      </c>
      <c r="O437" s="1194">
        <f t="shared" si="61"/>
        <v>0</v>
      </c>
      <c r="P437" s="1328">
        <f>IF(SETUP!$F$57="Upfront",$E$436*'Malaria-Equipment &amp; Other HPs'!BE19,0)</f>
        <v>0</v>
      </c>
      <c r="Q437" s="1194">
        <f>IF(SETUP!$F$57="Upfront",$E$436*'Malaria-Equipment &amp; Other HPs'!BF19,0)</f>
        <v>0</v>
      </c>
      <c r="R437" s="1194">
        <f>IF(SETUP!$F$57="Upfront",$E$436*'Malaria-Equipment &amp; Other HPs'!BG19,0)</f>
        <v>0</v>
      </c>
      <c r="S437" s="1194">
        <f>IF(SETUP!$F$57="Upfront",$E$436*'Malaria-Equipment &amp; Other HPs'!BH19,0)</f>
        <v>0</v>
      </c>
      <c r="T437" s="1194">
        <f t="shared" si="62"/>
        <v>0</v>
      </c>
      <c r="U437" s="1328">
        <f t="shared" si="63"/>
        <v>0</v>
      </c>
      <c r="V437" s="1826">
        <v>7.3</v>
      </c>
      <c r="W437" s="1830"/>
      <c r="X437" s="849"/>
      <c r="Y437" s="768"/>
      <c r="Z437" s="768"/>
      <c r="AA437" s="768"/>
      <c r="AB437" s="768"/>
      <c r="AC437" s="768"/>
      <c r="AD437" s="768"/>
      <c r="AE437" s="768"/>
      <c r="AF437" s="868"/>
      <c r="AG437" s="768"/>
      <c r="AH437" s="768"/>
      <c r="AI437" s="768"/>
      <c r="AJ437" s="768"/>
      <c r="AK437" s="768"/>
      <c r="AL437" s="768"/>
      <c r="AM437" s="768"/>
      <c r="AN437" s="768"/>
      <c r="AO437" s="768"/>
      <c r="AP437" s="768"/>
      <c r="AQ437" s="768"/>
      <c r="AR437" s="768"/>
      <c r="AS437" s="768"/>
      <c r="AT437" s="768"/>
      <c r="AU437" s="768"/>
      <c r="AV437" s="768"/>
      <c r="AW437" s="768"/>
      <c r="AX437" s="768"/>
      <c r="AY437" s="768"/>
      <c r="AZ437" s="768"/>
      <c r="BA437" s="768"/>
      <c r="BB437" s="768"/>
      <c r="BC437" s="768"/>
      <c r="BD437" s="768"/>
      <c r="BE437" s="768"/>
      <c r="BF437" s="768"/>
      <c r="BG437" s="768"/>
      <c r="BH437" s="768"/>
      <c r="BI437" s="768"/>
      <c r="BJ437" s="768"/>
      <c r="BK437" s="768"/>
      <c r="BL437" s="768"/>
      <c r="BM437" s="768"/>
      <c r="BN437" s="768"/>
      <c r="BO437" s="768"/>
      <c r="BP437" s="768"/>
      <c r="BQ437" s="768"/>
      <c r="BR437" s="768"/>
    </row>
    <row r="438" spans="1:72" s="759" customFormat="1" ht="17.25" hidden="1" customHeight="1" outlineLevel="1">
      <c r="A438" s="2934"/>
      <c r="B438" s="2935"/>
      <c r="C438" s="2912" t="s">
        <v>36</v>
      </c>
      <c r="D438" s="2912"/>
      <c r="E438" s="2995"/>
      <c r="F438" s="1328">
        <v>0</v>
      </c>
      <c r="G438" s="1194">
        <f>IF(SETUP!$F$57="At delivery",IF(SETUP!$G$57=1,$E$436*'Malaria-Equipment &amp; Other HPs'!AW19,0),0)</f>
        <v>0</v>
      </c>
      <c r="H438" s="1194">
        <f>IF(SETUP!$F$57="At delivery",IF(SETUP!$G$57=2,$E$436*'Malaria-Equipment &amp; Other HPs'!AW19,IF(SETUP!$G$57=1,$E$436*'Malaria-Equipment &amp; Other HPs'!AX19,0)),0)</f>
        <v>0</v>
      </c>
      <c r="I438" s="1194">
        <f>IF(SETUP!$F$57="At delivery",IF(SETUP!$G$57=3,$E$436*'Malaria-Equipment &amp; Other HPs'!AW19,IF(SETUP!$G$57=2,$E$436*'Malaria-Equipment &amp; Other HPs'!AX19,IF(SETUP!$G$57=1,$E$436*'Malaria-Equipment &amp; Other HPs'!AY19,0))),0)</f>
        <v>0</v>
      </c>
      <c r="J438" s="1194">
        <f t="shared" si="60"/>
        <v>0</v>
      </c>
      <c r="K438" s="1328">
        <f>IF(SETUP!$F$57="At delivery",IF(SETUP!$G$57=4,$E$436*'Malaria-Equipment &amp; Other HPs'!AW19,IF(SETUP!$G$57=3,$E$436*'Malaria-Equipment &amp; Other HPs'!AX19,IF(SETUP!$G$57=2,$E$436*'Malaria-Equipment &amp; Other HPs'!AY19,IF(SETUP!$G$57=1,$E$436*'Malaria-Equipment &amp; Other HPs'!AZ19,0)))),0)</f>
        <v>0</v>
      </c>
      <c r="L438" s="1194">
        <f>IF(SETUP!$F$57="At delivery",IF(SETUP!$G$57=4,$E$436*'Malaria-Equipment &amp; Other HPs'!AX19,IF(SETUP!$G$57=3,$E$436*'Malaria-Equipment &amp; Other HPs'!AY19,IF(SETUP!$G$57=2,$E$436*'Malaria-Equipment &amp; Other HPs'!AZ19,IF(SETUP!$G$57=1,$E$436*'Malaria-Equipment &amp; Other HPs'!BA19,0)))),0)</f>
        <v>0</v>
      </c>
      <c r="M438" s="1194">
        <f>IF(SETUP!$F$57="At delivery",IF(SETUP!$G$57=4,$E$436*'Malaria-Equipment &amp; Other HPs'!AY19,IF(SETUP!$G$57=3,$E$436*'Malaria-Equipment &amp; Other HPs'!AZ19,IF(SETUP!$G$57=2,$E$436*'Malaria-Equipment &amp; Other HPs'!BA19,IF(SETUP!$G$57=1,$E$436*'Malaria-Equipment &amp; Other HPs'!BB19,0)))),0)</f>
        <v>0</v>
      </c>
      <c r="N438" s="1194">
        <f>IF(SETUP!$F$57="At delivery",IF(SETUP!$G$57=4,$E$436*'Malaria-Equipment &amp; Other HPs'!AZ19,IF(SETUP!$G$57=3,$E$436*'Malaria-Equipment &amp; Other HPs'!BA19,IF(SETUP!$G$57=2,$E$436*'Malaria-Equipment &amp; Other HPs'!BB19,IF(SETUP!$G$57=1,$E$436*'Malaria-Equipment &amp; Other HPs'!BC19,0)))),0)</f>
        <v>0</v>
      </c>
      <c r="O438" s="1194">
        <f t="shared" si="61"/>
        <v>0</v>
      </c>
      <c r="P438" s="1328">
        <f>IF(SETUP!$F$57="At delivery",IF(SETUP!$G$57=4,$E$436*'Malaria-Equipment &amp; Other HPs'!BA19,IF(SETUP!$G$57=3,$E$436*'Malaria-Equipment &amp; Other HPs'!BB19,IF(SETUP!$G$57=2,$E$436*'Malaria-Equipment &amp; Other HPs'!BC19,IF(SETUP!$G$57=1,$E$436*'Malaria-Equipment &amp; Other HPs'!BD19,0)))),0)</f>
        <v>0</v>
      </c>
      <c r="Q438" s="1194">
        <f>IF(SETUP!$F$57="At delivery",IF(SETUP!$G$57=4,$E$436*'Malaria-Equipment &amp; Other HPs'!BB19,IF(SETUP!$G$57=3,$E$436*'Malaria-Equipment &amp; Other HPs'!BC19,IF(SETUP!$G$57=2,$E$436*'Malaria-Equipment &amp; Other HPs'!BD19,IF(SETUP!$G$57=1,$E$436*'Malaria-Equipment &amp; Other HPs'!BE19,0)))),0)</f>
        <v>0</v>
      </c>
      <c r="R438" s="1194">
        <f>IF(SETUP!$F$57="At delivery",IF(SETUP!$G$57=4,$E$436*'Malaria-Equipment &amp; Other HPs'!BC19,IF(SETUP!$G$57=3,$E$436*'Malaria-Equipment &amp; Other HPs'!BD19,IF(SETUP!$G$57=2,$E$436*'Malaria-Equipment &amp; Other HPs'!BE19,IF(SETUP!$G$57=1,$E$436*'Malaria-Equipment &amp; Other HPs'!BF19,0)))),0)</f>
        <v>0</v>
      </c>
      <c r="S438" s="1194">
        <f>IF(SETUP!$F$57="At delivery",IF(SETUP!$G$57=4,$E$436*('Malaria-Equipment &amp; Other HPs'!BD19+'Malaria-Equipment &amp; Other HPs'!BE19+'Malaria-Equipment &amp; Other HPs'!BF19+'Malaria-Equipment &amp; Other HPs'!BG19+'Malaria-Equipment &amp; Other HPs'!BH19),IF(SETUP!$G$57=3,$E$436*('Malaria-Equipment &amp; Other HPs'!BE19+'Malaria-Equipment &amp; Other HPs'!BF19+'Malaria-Equipment &amp; Other HPs'!BG19+'Malaria-Equipment &amp; Other HPs'!BH19),IF(SETUP!$G$57=2,$E$436*('Malaria-Equipment &amp; Other HPs'!BF19+'Malaria-Equipment &amp; Other HPs'!BG19+'Malaria-Equipment &amp; Other HPs'!BH19),IF(SETUP!$G$57=1,$E$436*('Malaria-Equipment &amp; Other HPs'!BG19+'Malaria-Equipment &amp; Other HPs'!BH19),0)))),0)</f>
        <v>0</v>
      </c>
      <c r="T438" s="1194">
        <f t="shared" si="62"/>
        <v>0</v>
      </c>
      <c r="U438" s="1328">
        <f t="shared" si="63"/>
        <v>0</v>
      </c>
      <c r="V438" s="1826">
        <v>7.3</v>
      </c>
      <c r="W438" s="1830"/>
      <c r="X438" s="849"/>
      <c r="Y438" s="768"/>
      <c r="Z438" s="768"/>
      <c r="AA438" s="768"/>
      <c r="AB438" s="768"/>
      <c r="AC438" s="768"/>
      <c r="AD438" s="768"/>
      <c r="AE438" s="768"/>
      <c r="AF438" s="868"/>
      <c r="AG438" s="768"/>
      <c r="AH438" s="768"/>
      <c r="AI438" s="768"/>
      <c r="AJ438" s="768"/>
      <c r="AK438" s="768"/>
      <c r="AL438" s="768"/>
      <c r="AM438" s="768"/>
      <c r="AN438" s="768"/>
      <c r="AO438" s="768"/>
      <c r="AP438" s="768"/>
      <c r="AQ438" s="768"/>
      <c r="AR438" s="768"/>
      <c r="AS438" s="768"/>
      <c r="AT438" s="768"/>
      <c r="AU438" s="768"/>
      <c r="AV438" s="768"/>
      <c r="AW438" s="768"/>
      <c r="AX438" s="768"/>
      <c r="AY438" s="768"/>
      <c r="AZ438" s="768"/>
      <c r="BA438" s="768"/>
      <c r="BB438" s="768"/>
      <c r="BC438" s="768"/>
      <c r="BD438" s="768"/>
      <c r="BE438" s="768"/>
      <c r="BF438" s="768"/>
      <c r="BG438" s="768"/>
      <c r="BH438" s="768"/>
      <c r="BI438" s="768"/>
      <c r="BJ438" s="768"/>
      <c r="BK438" s="768"/>
      <c r="BL438" s="768"/>
      <c r="BM438" s="768"/>
      <c r="BN438" s="768"/>
      <c r="BO438" s="768"/>
      <c r="BP438" s="768"/>
      <c r="BQ438" s="768"/>
      <c r="BR438" s="768"/>
    </row>
    <row r="439" spans="1:72" s="759" customFormat="1" ht="13.5" hidden="1" collapsed="1" thickBot="1">
      <c r="A439" s="2936"/>
      <c r="B439" s="2935"/>
      <c r="C439" s="2983" t="s">
        <v>584</v>
      </c>
      <c r="D439" s="2983"/>
      <c r="E439" s="2997"/>
      <c r="F439" s="1329">
        <f>IF(SETUP!$F$58="Upfront",F440,F441)</f>
        <v>0</v>
      </c>
      <c r="G439" s="1330">
        <f>IF(SETUP!$F$58="Upfront",G440,G441)</f>
        <v>0</v>
      </c>
      <c r="H439" s="1330">
        <f>IF(SETUP!$F$58="Upfront",H440,H441)</f>
        <v>0</v>
      </c>
      <c r="I439" s="1330">
        <f>IF(SETUP!$F$58="Upfront",I440,I441)</f>
        <v>0</v>
      </c>
      <c r="J439" s="1330">
        <f t="shared" si="60"/>
        <v>0</v>
      </c>
      <c r="K439" s="1329">
        <f>IF(SETUP!$F$58="Upfront",K440,K441)</f>
        <v>0</v>
      </c>
      <c r="L439" s="1330">
        <f>IF(SETUP!$F$58="Upfront",L440,L441)</f>
        <v>0</v>
      </c>
      <c r="M439" s="1330">
        <f>IF(SETUP!$F$58="Upfront",M440,M441)</f>
        <v>0</v>
      </c>
      <c r="N439" s="1330">
        <f>IF(SETUP!$F$58="Upfront",N440,N441)</f>
        <v>0</v>
      </c>
      <c r="O439" s="1330">
        <f t="shared" si="61"/>
        <v>0</v>
      </c>
      <c r="P439" s="1329">
        <f>IF(SETUP!$F$58="Upfront",P440,P441)</f>
        <v>0</v>
      </c>
      <c r="Q439" s="1330">
        <f>IF(SETUP!$F$58="Upfront",Q440,Q441)</f>
        <v>0</v>
      </c>
      <c r="R439" s="1330">
        <f>IF(SETUP!$F$58="Upfront",R440,R441)</f>
        <v>0</v>
      </c>
      <c r="S439" s="1330">
        <f>IF(SETUP!$F$58="Upfront",S440,S441)</f>
        <v>0</v>
      </c>
      <c r="T439" s="1330">
        <f t="shared" si="62"/>
        <v>0</v>
      </c>
      <c r="U439" s="1329">
        <f t="shared" si="63"/>
        <v>0</v>
      </c>
      <c r="V439" s="1827">
        <v>7.3</v>
      </c>
      <c r="W439" s="1831"/>
      <c r="X439" s="849"/>
      <c r="Y439" s="768"/>
      <c r="Z439" s="768"/>
      <c r="AA439" s="768"/>
      <c r="AB439" s="768"/>
      <c r="AC439" s="768"/>
      <c r="AD439" s="768"/>
      <c r="AE439" s="768"/>
      <c r="AF439" s="868"/>
      <c r="AG439" s="768"/>
      <c r="AH439" s="768"/>
      <c r="AI439" s="768"/>
      <c r="AJ439" s="768"/>
      <c r="AK439" s="768"/>
      <c r="AL439" s="768"/>
      <c r="AM439" s="768"/>
      <c r="AN439" s="768"/>
      <c r="AO439" s="768"/>
      <c r="AP439" s="768"/>
      <c r="AQ439" s="768"/>
      <c r="AR439" s="768"/>
      <c r="AS439" s="768"/>
      <c r="AT439" s="768"/>
      <c r="AU439" s="768"/>
      <c r="AV439" s="768"/>
      <c r="AW439" s="768"/>
      <c r="AX439" s="768"/>
      <c r="AY439" s="768"/>
      <c r="AZ439" s="768"/>
      <c r="BA439" s="768"/>
      <c r="BB439" s="768"/>
      <c r="BC439" s="768"/>
      <c r="BD439" s="768"/>
      <c r="BE439" s="768"/>
      <c r="BF439" s="768"/>
      <c r="BG439" s="768"/>
      <c r="BH439" s="768"/>
      <c r="BI439" s="768"/>
      <c r="BJ439" s="768"/>
      <c r="BK439" s="768"/>
      <c r="BL439" s="768"/>
      <c r="BM439" s="768"/>
      <c r="BN439" s="768"/>
      <c r="BO439" s="768"/>
      <c r="BP439" s="768"/>
      <c r="BQ439" s="768"/>
      <c r="BR439" s="768"/>
    </row>
    <row r="440" spans="1:72" s="759" customFormat="1" ht="12.75" hidden="1" customHeight="1" outlineLevel="1">
      <c r="A440" s="1877"/>
      <c r="B440" s="1872"/>
      <c r="C440" s="2977" t="s">
        <v>918</v>
      </c>
      <c r="D440" s="2984"/>
      <c r="E440" s="1325"/>
      <c r="F440" s="1211">
        <f>IF(SETUP!$F$57="Upfront",$E$436*'Malaria-Equipment &amp; Other HPs'!AW20,0)</f>
        <v>0</v>
      </c>
      <c r="G440" s="1212">
        <f>IF(SETUP!$F$57="Upfront",$E$436*'Malaria-Equipment &amp; Other HPs'!AX20,0)</f>
        <v>0</v>
      </c>
      <c r="H440" s="1212">
        <f>IF(SETUP!$F$57="Upfront",$E$436*'Malaria-Equipment &amp; Other HPs'!AY20,0)</f>
        <v>0</v>
      </c>
      <c r="I440" s="1212">
        <f>IF(SETUP!$F$57="Upfront",$E$436*'Malaria-Equipment &amp; Other HPs'!AZ20,0)</f>
        <v>0</v>
      </c>
      <c r="J440" s="1213">
        <f>SUM('HPM costs'!$F440:$I440)</f>
        <v>0</v>
      </c>
      <c r="K440" s="1211">
        <f>IF(SETUP!$F$57="Upfront",$E$436*'Malaria-Equipment &amp; Other HPs'!BA20,0)</f>
        <v>0</v>
      </c>
      <c r="L440" s="1212">
        <f>IF(SETUP!$F$57="Upfront",$E$436*'Malaria-Equipment &amp; Other HPs'!BB20,0)</f>
        <v>0</v>
      </c>
      <c r="M440" s="1212">
        <f>IF(SETUP!$F$57="Upfront",$E$436*'Malaria-Equipment &amp; Other HPs'!BC20,0)</f>
        <v>0</v>
      </c>
      <c r="N440" s="1212">
        <f>IF(SETUP!$F$57="Upfront",$E$436*'Malaria-Equipment &amp; Other HPs'!BD20,0)</f>
        <v>0</v>
      </c>
      <c r="O440" s="1213">
        <f>SUM('HPM costs'!$K440:$N440)</f>
        <v>0</v>
      </c>
      <c r="P440" s="1211">
        <f>IF(SETUP!$F$57="Upfront",$E$436*'Malaria-Equipment &amp; Other HPs'!BE20,0)</f>
        <v>0</v>
      </c>
      <c r="Q440" s="1212">
        <f>IF(SETUP!$F$57="Upfront",$E$436*'Malaria-Equipment &amp; Other HPs'!BF20,0)</f>
        <v>0</v>
      </c>
      <c r="R440" s="1212">
        <f>IF(SETUP!$F$57="Upfront",$E$436*'Malaria-Equipment &amp; Other HPs'!BG20,0)</f>
        <v>0</v>
      </c>
      <c r="S440" s="1212">
        <f>IF(SETUP!$F$57="Upfront",$E$436*'Malaria-Equipment &amp; Other HPs'!BH20,0)</f>
        <v>0</v>
      </c>
      <c r="T440" s="1213">
        <f>SUM('HPM costs'!$P440:$S440)</f>
        <v>0</v>
      </c>
      <c r="U440" s="1214">
        <f>'HPM costs'!$T440+'HPM costs'!$O440+'HPM costs'!$J440</f>
        <v>0</v>
      </c>
      <c r="V440" s="938"/>
      <c r="W440" s="1828"/>
      <c r="X440" s="849"/>
      <c r="Y440" s="768"/>
      <c r="Z440" s="768"/>
      <c r="AA440" s="768"/>
      <c r="AB440" s="768"/>
      <c r="AC440" s="768"/>
      <c r="AD440" s="768"/>
      <c r="AE440" s="768"/>
      <c r="AF440" s="868"/>
      <c r="AG440" s="768"/>
      <c r="AH440" s="768"/>
      <c r="AI440" s="768"/>
      <c r="AJ440" s="768"/>
      <c r="AK440" s="768"/>
      <c r="AL440" s="768"/>
      <c r="AM440" s="768"/>
      <c r="AN440" s="768"/>
      <c r="AO440" s="768"/>
      <c r="AP440" s="768"/>
      <c r="AQ440" s="768"/>
      <c r="AR440" s="768"/>
      <c r="AS440" s="768"/>
      <c r="AT440" s="768"/>
      <c r="AU440" s="768"/>
      <c r="AV440" s="768"/>
      <c r="AW440" s="768"/>
      <c r="AX440" s="768"/>
      <c r="AY440" s="768"/>
      <c r="AZ440" s="768"/>
      <c r="BA440" s="768"/>
      <c r="BB440" s="768"/>
      <c r="BC440" s="768"/>
      <c r="BD440" s="768"/>
      <c r="BE440" s="768"/>
      <c r="BF440" s="768"/>
      <c r="BG440" s="768"/>
      <c r="BH440" s="768"/>
      <c r="BI440" s="768"/>
      <c r="BJ440" s="768"/>
      <c r="BK440" s="768"/>
      <c r="BL440" s="768"/>
      <c r="BM440" s="768"/>
      <c r="BN440" s="768"/>
      <c r="BO440" s="768"/>
      <c r="BP440" s="768"/>
      <c r="BQ440" s="768"/>
      <c r="BR440" s="768"/>
    </row>
    <row r="441" spans="1:72" s="759" customFormat="1" ht="13.5" hidden="1" customHeight="1" outlineLevel="1" thickBot="1">
      <c r="A441" s="1874"/>
      <c r="B441" s="1875"/>
      <c r="C441" s="2981" t="s">
        <v>36</v>
      </c>
      <c r="D441" s="2982"/>
      <c r="E441" s="1326"/>
      <c r="F441" s="1215">
        <v>0</v>
      </c>
      <c r="G441" s="1216">
        <f>IF(SETUP!$F$58="At delivery",IF(SETUP!$G$58=1,$E$436*'Malaria-Equipment &amp; Other HPs'!AW20,0),0)</f>
        <v>0</v>
      </c>
      <c r="H441" s="1216">
        <f>IF(SETUP!$F$58="At delivery",IF(SETUP!$G$58=2,$E$436*'Malaria-Equipment &amp; Other HPs'!AW20,IF(SETUP!$G$58=1,$E$436*'Malaria-Equipment &amp; Other HPs'!AX20,0)),0)</f>
        <v>0</v>
      </c>
      <c r="I441" s="1216">
        <f>IF(SETUP!$F$58="At delivery",IF(SETUP!$G$58=3,$E$436*'Malaria-Equipment &amp; Other HPs'!AW20,IF(SETUP!$G$58=2,$E$436*'Malaria-Equipment &amp; Other HPs'!AX20,IF(SETUP!$G$58=1,$E$436*'Malaria-Equipment &amp; Other HPs'!AY20,0))),0)</f>
        <v>0</v>
      </c>
      <c r="J441" s="1217">
        <f>SUM('HPM costs'!$F441:$I441)</f>
        <v>0</v>
      </c>
      <c r="K441" s="1215">
        <f>IF(SETUP!$F$58="At delivery",IF(SETUP!$G$58=4,$E$436*'Malaria-Equipment &amp; Other HPs'!AW20,IF(SETUP!$G$58=3,$E$436*'Malaria-Equipment &amp; Other HPs'!AX20,IF(SETUP!$G$58=2,$E$436*'Malaria-Equipment &amp; Other HPs'!AY20,IF(SETUP!$G$58=1,$E$436*'Malaria-Equipment &amp; Other HPs'!AZ20,0)))),0)</f>
        <v>0</v>
      </c>
      <c r="L441" s="1216">
        <f>IF(SETUP!$F$58="At delivery",IF(SETUP!$G$58=4,$E$436*'Malaria-Equipment &amp; Other HPs'!AX20,IF(SETUP!$G$58=3,$E$436*'Malaria-Equipment &amp; Other HPs'!AY20,IF(SETUP!$G$58=2,$E$436*'Malaria-Equipment &amp; Other HPs'!AZ20,IF(SETUP!$G$58=1,$E$436*'Malaria-Equipment &amp; Other HPs'!BA20,0)))),0)</f>
        <v>0</v>
      </c>
      <c r="M441" s="1216">
        <f>IF(SETUP!$F$58="At delivery",IF(SETUP!$G$58=4,$E$436*'Malaria-Equipment &amp; Other HPs'!AY20,IF(SETUP!$G$58=3,$E$436*'Malaria-Equipment &amp; Other HPs'!AZ20,IF(SETUP!$G$58=2,$E$436*'Malaria-Equipment &amp; Other HPs'!BA20,IF(SETUP!$G$58=1,$E$436*'Malaria-Equipment &amp; Other HPs'!BB20,0)))),0)</f>
        <v>0</v>
      </c>
      <c r="N441" s="1216">
        <f>IF(SETUP!$F$58="At delivery",IF(SETUP!$G$58=4,$E$436*'Malaria-Equipment &amp; Other HPs'!AZ20,IF(SETUP!$G$58=3,$E$436*'Malaria-Equipment &amp; Other HPs'!BA20,IF(SETUP!$G$58=2,$E$436*'Malaria-Equipment &amp; Other HPs'!BB20,IF(SETUP!$G$58=1,$E$436*'Malaria-Equipment &amp; Other HPs'!BC20,0)))),0)</f>
        <v>0</v>
      </c>
      <c r="O441" s="1217">
        <f>SUM('HPM costs'!$K441:$N441)</f>
        <v>0</v>
      </c>
      <c r="P441" s="1215">
        <f>IF(SETUP!$F$58="At delivery",IF(SETUP!$G$58=4,$E$436*'Malaria-Equipment &amp; Other HPs'!BA20,IF(SETUP!$G$58=3,$E$436*'Malaria-Equipment &amp; Other HPs'!BB20,IF(SETUP!$G$58=2,$E$436*'Malaria-Equipment &amp; Other HPs'!BC20,IF(SETUP!$G$58=1,$E$436*'Malaria-Equipment &amp; Other HPs'!BD20,0)))),0)</f>
        <v>0</v>
      </c>
      <c r="Q441" s="1216">
        <f>IF(SETUP!$F$58="At delivery",IF(SETUP!$G$58=4,$E$436*'Malaria-Equipment &amp; Other HPs'!BB20,IF(SETUP!$G$58=3,$E$436*'Malaria-Equipment &amp; Other HPs'!BC20,IF(SETUP!$G$58=2,$E$436*'Malaria-Equipment &amp; Other HPs'!BD20,IF(SETUP!$G$58=1,$E$436*'Malaria-Equipment &amp; Other HPs'!BE20,0)))),0)</f>
        <v>0</v>
      </c>
      <c r="R441" s="1216">
        <f>IF(SETUP!$F$58="At delivery",IF(SETUP!$G$58=4,$E$436*'Malaria-Equipment &amp; Other HPs'!BC20,IF(SETUP!$G$58=3,$E$436*'Malaria-Equipment &amp; Other HPs'!BD20,IF(SETUP!$G$58=2,$E$436*'Malaria-Equipment &amp; Other HPs'!BE20,IF(SETUP!$G$58=1,$E$436*'Malaria-Equipment &amp; Other HPs'!BF20,0)))),0)</f>
        <v>0</v>
      </c>
      <c r="S441" s="1216">
        <f>IF(SETUP!$F$58="At delivery",IF(SETUP!$G$58=4,$E$436*('Malaria-Equipment &amp; Other HPs'!BD20+'Malaria-Equipment &amp; Other HPs'!BE20+'Malaria-Equipment &amp; Other HPs'!BF20+'Malaria-Equipment &amp; Other HPs'!BG20+'Malaria-Equipment &amp; Other HPs'!BH20),IF(SETUP!$G$58=3,$E$436*('Malaria-Equipment &amp; Other HPs'!BE20+'Malaria-Equipment &amp; Other HPs'!BF20+'Malaria-Equipment &amp; Other HPs'!BG20+'Malaria-Equipment &amp; Other HPs'!BH20),IF(SETUP!$G$58=2,$E$436*('Malaria-Equipment &amp; Other HPs'!BF20+'Malaria-Equipment &amp; Other HPs'!BG20+'Malaria-Equipment &amp; Other HPs'!BH20),IF(SETUP!$G$58=1,$E$436*('Malaria-Equipment &amp; Other HPs'!BG20+'Malaria-Equipment &amp; Other HPs'!BH20),0)))),0)</f>
        <v>0</v>
      </c>
      <c r="T441" s="1217">
        <f>SUM('HPM costs'!$P441:$S441)</f>
        <v>0</v>
      </c>
      <c r="U441" s="1218">
        <f>'HPM costs'!$T441+'HPM costs'!$O441+'HPM costs'!$J441</f>
        <v>0</v>
      </c>
      <c r="V441" s="939"/>
      <c r="W441" s="773"/>
      <c r="X441" s="849"/>
      <c r="Y441" s="768"/>
      <c r="Z441" s="768"/>
      <c r="AA441" s="768"/>
      <c r="AB441" s="768"/>
      <c r="AC441" s="768"/>
      <c r="AD441" s="768"/>
      <c r="AE441" s="768"/>
      <c r="AF441" s="868"/>
      <c r="AG441" s="768"/>
      <c r="AH441" s="768"/>
      <c r="AI441" s="768"/>
      <c r="AJ441" s="768"/>
      <c r="AK441" s="768"/>
      <c r="AL441" s="768"/>
      <c r="AM441" s="768"/>
      <c r="AN441" s="768"/>
      <c r="AO441" s="768"/>
      <c r="AP441" s="768"/>
      <c r="AQ441" s="768"/>
      <c r="AR441" s="768"/>
      <c r="AS441" s="768"/>
      <c r="AT441" s="768"/>
      <c r="AU441" s="768"/>
      <c r="AV441" s="768"/>
      <c r="AW441" s="768"/>
      <c r="AX441" s="768"/>
      <c r="AY441" s="768"/>
      <c r="AZ441" s="768"/>
      <c r="BA441" s="768"/>
      <c r="BB441" s="768"/>
      <c r="BC441" s="768"/>
      <c r="BD441" s="768"/>
      <c r="BE441" s="768"/>
      <c r="BF441" s="768"/>
      <c r="BG441" s="768"/>
      <c r="BH441" s="768"/>
      <c r="BI441" s="768"/>
      <c r="BJ441" s="768"/>
      <c r="BK441" s="768"/>
      <c r="BL441" s="768"/>
      <c r="BM441" s="768"/>
      <c r="BN441" s="768"/>
      <c r="BO441" s="768"/>
      <c r="BP441" s="768"/>
      <c r="BQ441" s="768"/>
      <c r="BR441" s="768"/>
    </row>
    <row r="442" spans="1:72" s="882" customFormat="1" ht="13" collapsed="1">
      <c r="A442" s="1892"/>
      <c r="B442" s="1892"/>
      <c r="C442" s="1893"/>
      <c r="D442" s="877"/>
      <c r="E442" s="919"/>
      <c r="F442" s="877"/>
      <c r="G442" s="877"/>
      <c r="H442" s="878"/>
      <c r="I442" s="878"/>
      <c r="J442" s="878"/>
      <c r="K442" s="878"/>
      <c r="L442" s="762"/>
      <c r="M442" s="878"/>
      <c r="N442" s="878"/>
      <c r="O442" s="878"/>
      <c r="P442" s="878"/>
      <c r="Q442" s="762"/>
      <c r="R442" s="878"/>
      <c r="S442" s="878"/>
      <c r="T442" s="878"/>
      <c r="U442" s="878"/>
      <c r="V442" s="940"/>
      <c r="W442" s="763"/>
      <c r="X442" s="764"/>
      <c r="Y442" s="879"/>
      <c r="Z442" s="850"/>
      <c r="AA442" s="880"/>
      <c r="AB442" s="880"/>
      <c r="AC442" s="880"/>
      <c r="AD442" s="880"/>
      <c r="AE442" s="880"/>
      <c r="AF442" s="880"/>
      <c r="AG442" s="880"/>
      <c r="AH442" s="881"/>
      <c r="AI442" s="880"/>
      <c r="AJ442" s="880"/>
      <c r="AK442" s="880"/>
      <c r="AL442" s="880"/>
      <c r="AM442" s="880"/>
      <c r="AN442" s="880"/>
      <c r="AO442" s="880"/>
      <c r="AP442" s="880"/>
      <c r="AQ442" s="880"/>
      <c r="AR442" s="880"/>
      <c r="AS442" s="880"/>
      <c r="AT442" s="880"/>
      <c r="AU442" s="880"/>
      <c r="AV442" s="880"/>
      <c r="AW442" s="880"/>
      <c r="AX442" s="880"/>
      <c r="AY442" s="880"/>
      <c r="AZ442" s="880"/>
      <c r="BA442" s="880"/>
      <c r="BB442" s="880"/>
      <c r="BC442" s="880"/>
      <c r="BD442" s="880"/>
      <c r="BE442" s="880"/>
      <c r="BF442" s="880"/>
      <c r="BG442" s="880"/>
      <c r="BH442" s="880"/>
      <c r="BI442" s="880"/>
      <c r="BJ442" s="880"/>
      <c r="BK442" s="880"/>
      <c r="BL442" s="880"/>
      <c r="BM442" s="880"/>
      <c r="BN442" s="880"/>
      <c r="BO442" s="880"/>
      <c r="BP442" s="880"/>
      <c r="BQ442" s="880"/>
      <c r="BR442" s="880"/>
      <c r="BS442" s="880"/>
      <c r="BT442" s="880"/>
    </row>
    <row r="443" spans="1:72" s="882" customFormat="1" ht="13">
      <c r="A443" s="875"/>
      <c r="B443" s="875"/>
      <c r="C443" s="876"/>
      <c r="D443" s="877"/>
      <c r="E443" s="919"/>
      <c r="F443" s="877"/>
      <c r="G443" s="877"/>
      <c r="H443" s="878"/>
      <c r="I443" s="878"/>
      <c r="J443" s="878"/>
      <c r="K443" s="878"/>
      <c r="L443" s="762"/>
      <c r="M443" s="878"/>
      <c r="N443" s="878"/>
      <c r="O443" s="878"/>
      <c r="P443" s="878"/>
      <c r="Q443" s="762"/>
      <c r="R443" s="878"/>
      <c r="S443" s="878"/>
      <c r="T443" s="878"/>
      <c r="U443" s="878"/>
      <c r="V443" s="940"/>
      <c r="W443" s="763"/>
      <c r="X443" s="764"/>
      <c r="Y443" s="879"/>
      <c r="Z443" s="850"/>
      <c r="AA443" s="880"/>
      <c r="AB443" s="880"/>
      <c r="AC443" s="880"/>
      <c r="AD443" s="880"/>
      <c r="AE443" s="880"/>
      <c r="AF443" s="880"/>
      <c r="AG443" s="880"/>
      <c r="AH443" s="881"/>
      <c r="AI443" s="880"/>
      <c r="AJ443" s="880"/>
      <c r="AK443" s="880"/>
      <c r="AL443" s="880"/>
      <c r="AM443" s="880"/>
      <c r="AN443" s="880"/>
      <c r="AO443" s="880"/>
      <c r="AP443" s="880"/>
      <c r="AQ443" s="880"/>
      <c r="AR443" s="880"/>
      <c r="AS443" s="880"/>
      <c r="AT443" s="880"/>
      <c r="AU443" s="880"/>
      <c r="AV443" s="880"/>
      <c r="AW443" s="880"/>
      <c r="AX443" s="880"/>
      <c r="AY443" s="880"/>
      <c r="AZ443" s="880"/>
      <c r="BA443" s="880"/>
      <c r="BB443" s="880"/>
      <c r="BC443" s="880"/>
      <c r="BD443" s="880"/>
      <c r="BE443" s="880"/>
      <c r="BF443" s="880"/>
      <c r="BG443" s="880"/>
      <c r="BH443" s="880"/>
      <c r="BI443" s="880"/>
      <c r="BJ443" s="880"/>
      <c r="BK443" s="880"/>
      <c r="BL443" s="880"/>
      <c r="BM443" s="880"/>
      <c r="BN443" s="880"/>
      <c r="BO443" s="880"/>
      <c r="BP443" s="880"/>
      <c r="BQ443" s="880"/>
      <c r="BR443" s="880"/>
      <c r="BS443" s="880"/>
      <c r="BT443" s="880"/>
    </row>
    <row r="444" spans="1:72" s="1384" customFormat="1" ht="19.5" customHeight="1" thickBot="1">
      <c r="A444" s="1377" t="s">
        <v>1568</v>
      </c>
      <c r="B444" s="875"/>
      <c r="C444" s="876"/>
      <c r="D444" s="875"/>
      <c r="E444" s="1358"/>
      <c r="F444" s="875"/>
      <c r="G444" s="875"/>
      <c r="H444" s="1359"/>
      <c r="I444" s="1359"/>
      <c r="J444" s="1359"/>
      <c r="K444" s="1359"/>
      <c r="L444" s="1359"/>
      <c r="M444" s="1359"/>
      <c r="N444" s="1359"/>
      <c r="O444" s="1359"/>
      <c r="P444" s="1359"/>
      <c r="Q444" s="1359"/>
      <c r="R444" s="1359"/>
      <c r="S444" s="1359"/>
      <c r="T444" s="1359"/>
      <c r="U444" s="1359"/>
      <c r="V444" s="1379"/>
      <c r="W444" s="1380"/>
      <c r="X444" s="1381"/>
      <c r="Y444" s="1833"/>
      <c r="Z444" s="876"/>
      <c r="AA444" s="1382"/>
      <c r="AB444" s="1382"/>
      <c r="AC444" s="1382"/>
      <c r="AD444" s="1382"/>
      <c r="AE444" s="1382"/>
      <c r="AF444" s="1382"/>
      <c r="AG444" s="1382"/>
      <c r="AH444" s="1383"/>
      <c r="AI444" s="1382"/>
      <c r="AJ444" s="1382"/>
      <c r="AK444" s="1382"/>
      <c r="AL444" s="1382"/>
      <c r="AM444" s="1382"/>
      <c r="AN444" s="1382"/>
      <c r="AO444" s="1382"/>
      <c r="AP444" s="1382"/>
      <c r="AQ444" s="1382"/>
      <c r="AR444" s="1382"/>
      <c r="AS444" s="1382"/>
      <c r="AT444" s="1382"/>
      <c r="AU444" s="1382"/>
      <c r="AV444" s="1382"/>
      <c r="AW444" s="1382"/>
      <c r="AX444" s="1382"/>
      <c r="AY444" s="1382"/>
      <c r="AZ444" s="1382"/>
      <c r="BA444" s="1382"/>
      <c r="BB444" s="1382"/>
      <c r="BC444" s="1382"/>
      <c r="BD444" s="1382"/>
      <c r="BE444" s="1382"/>
      <c r="BF444" s="1382"/>
      <c r="BG444" s="1382"/>
      <c r="BH444" s="1382"/>
      <c r="BI444" s="1382"/>
      <c r="BJ444" s="1382"/>
      <c r="BK444" s="1382"/>
      <c r="BL444" s="1382"/>
      <c r="BM444" s="1382"/>
      <c r="BN444" s="1382"/>
      <c r="BO444" s="1382"/>
      <c r="BP444" s="1382"/>
      <c r="BQ444" s="1382"/>
      <c r="BR444" s="1382"/>
      <c r="BS444" s="1382"/>
      <c r="BT444" s="1382"/>
    </row>
    <row r="445" spans="1:72" s="882" customFormat="1" ht="25.9" customHeight="1" thickBot="1">
      <c r="A445" s="2942" t="s">
        <v>592</v>
      </c>
      <c r="B445" s="2943"/>
      <c r="C445" s="2943"/>
      <c r="D445" s="2954"/>
      <c r="E445" s="2992" t="s">
        <v>1562</v>
      </c>
      <c r="F445" s="2942" t="str">
        <f>IF(ISBLANK(IMP_ST_DATE),"Please fill setup",YEAR(IMP_ST_DATE))</f>
        <v>Please fill setup</v>
      </c>
      <c r="G445" s="2943"/>
      <c r="H445" s="2943"/>
      <c r="I445" s="2943"/>
      <c r="J445" s="2944"/>
      <c r="K445" s="2942" t="str">
        <f>IF(ISBLANK(IMP_ST_DATE),"Please fill setup",YEAR(IMP_ST_DATE)+1)</f>
        <v>Please fill setup</v>
      </c>
      <c r="L445" s="2943"/>
      <c r="M445" s="2943"/>
      <c r="N445" s="2943"/>
      <c r="O445" s="2944"/>
      <c r="P445" s="2942" t="str">
        <f>IF(ISBLANK(IMP_ST_DATE),"Please fill setup",YEAR(IMP_ST_DATE)+2)</f>
        <v>Please fill setup</v>
      </c>
      <c r="Q445" s="2943"/>
      <c r="R445" s="2943"/>
      <c r="S445" s="2943"/>
      <c r="T445" s="2944"/>
      <c r="U445" s="843" t="s">
        <v>593</v>
      </c>
      <c r="V445" s="1851" t="s">
        <v>153</v>
      </c>
      <c r="W445" s="3045" t="s">
        <v>6865</v>
      </c>
      <c r="X445" s="1834"/>
      <c r="Y445" s="1835"/>
      <c r="Z445" s="850"/>
      <c r="AA445" s="880"/>
      <c r="AB445" s="880"/>
      <c r="AC445" s="880"/>
      <c r="AD445" s="880"/>
      <c r="AE445" s="880"/>
      <c r="AF445" s="880"/>
      <c r="AG445" s="880"/>
      <c r="AH445" s="881"/>
      <c r="AI445" s="880"/>
      <c r="AJ445" s="880"/>
      <c r="AK445" s="880"/>
      <c r="AL445" s="880"/>
      <c r="AM445" s="880"/>
      <c r="AN445" s="880"/>
      <c r="AO445" s="880"/>
      <c r="AP445" s="880"/>
      <c r="AQ445" s="880"/>
      <c r="AR445" s="880"/>
      <c r="AS445" s="880"/>
      <c r="AT445" s="880"/>
      <c r="AU445" s="880"/>
      <c r="AV445" s="880"/>
      <c r="AW445" s="880"/>
      <c r="AX445" s="880"/>
      <c r="AY445" s="880"/>
      <c r="AZ445" s="880"/>
      <c r="BA445" s="880"/>
      <c r="BB445" s="880"/>
      <c r="BC445" s="880"/>
      <c r="BD445" s="880"/>
      <c r="BE445" s="880"/>
      <c r="BF445" s="880"/>
      <c r="BG445" s="880"/>
      <c r="BH445" s="880"/>
      <c r="BI445" s="880"/>
      <c r="BJ445" s="880"/>
      <c r="BK445" s="880"/>
      <c r="BL445" s="880"/>
      <c r="BM445" s="880"/>
      <c r="BN445" s="880"/>
      <c r="BO445" s="880"/>
      <c r="BP445" s="880"/>
      <c r="BQ445" s="880"/>
      <c r="BR445" s="880"/>
      <c r="BS445" s="880"/>
      <c r="BT445" s="880"/>
    </row>
    <row r="446" spans="1:72" s="882" customFormat="1" ht="23.25" customHeight="1" thickBot="1">
      <c r="A446" s="2945"/>
      <c r="B446" s="2946"/>
      <c r="C446" s="2946"/>
      <c r="D446" s="2955"/>
      <c r="E446" s="2993"/>
      <c r="F446" s="2945"/>
      <c r="G446" s="2946"/>
      <c r="H446" s="2946"/>
      <c r="I446" s="2946"/>
      <c r="J446" s="2947"/>
      <c r="K446" s="2945"/>
      <c r="L446" s="2946"/>
      <c r="M446" s="2946"/>
      <c r="N446" s="2946"/>
      <c r="O446" s="2947"/>
      <c r="P446" s="2945"/>
      <c r="Q446" s="2946"/>
      <c r="R446" s="2946"/>
      <c r="S446" s="2946"/>
      <c r="T446" s="2946"/>
      <c r="U446" s="1859" t="s">
        <v>176</v>
      </c>
      <c r="V446" s="1817" t="s">
        <v>177</v>
      </c>
      <c r="W446" s="3046"/>
      <c r="X446" s="764"/>
      <c r="Y446" s="1836"/>
      <c r="Z446" s="850"/>
      <c r="AA446" s="880"/>
      <c r="AB446" s="880"/>
      <c r="AC446" s="880"/>
      <c r="AD446" s="880"/>
      <c r="AE446" s="880"/>
      <c r="AF446" s="880"/>
      <c r="AG446" s="880"/>
      <c r="AH446" s="881"/>
      <c r="AI446" s="880"/>
      <c r="AJ446" s="880"/>
      <c r="AK446" s="880"/>
      <c r="AL446" s="880"/>
      <c r="AM446" s="880"/>
      <c r="AN446" s="880"/>
      <c r="AO446" s="880"/>
      <c r="AP446" s="880"/>
      <c r="AQ446" s="880"/>
      <c r="AR446" s="880"/>
      <c r="AS446" s="880"/>
      <c r="AT446" s="880"/>
      <c r="AU446" s="880"/>
      <c r="AV446" s="880"/>
      <c r="AW446" s="880"/>
      <c r="AX446" s="880"/>
      <c r="AY446" s="880"/>
      <c r="AZ446" s="880"/>
      <c r="BA446" s="880"/>
      <c r="BB446" s="880"/>
      <c r="BC446" s="880"/>
      <c r="BD446" s="880"/>
      <c r="BE446" s="880"/>
      <c r="BF446" s="880"/>
      <c r="BG446" s="880"/>
      <c r="BH446" s="880"/>
      <c r="BI446" s="880"/>
      <c r="BJ446" s="880"/>
      <c r="BK446" s="880"/>
      <c r="BL446" s="880"/>
      <c r="BM446" s="880"/>
      <c r="BN446" s="880"/>
      <c r="BO446" s="880"/>
      <c r="BP446" s="880"/>
      <c r="BQ446" s="880"/>
      <c r="BR446" s="880"/>
      <c r="BS446" s="880"/>
      <c r="BT446" s="880"/>
    </row>
    <row r="447" spans="1:72" s="882" customFormat="1" ht="13">
      <c r="A447" s="2913" t="s">
        <v>560</v>
      </c>
      <c r="B447" s="2914"/>
      <c r="C447" s="2972" t="s">
        <v>561</v>
      </c>
      <c r="D447" s="2972"/>
      <c r="E447" s="1648">
        <v>0</v>
      </c>
      <c r="F447" s="1327">
        <f>IF(SETUP!$F$20="Upfront",F448,F449)</f>
        <v>0</v>
      </c>
      <c r="G447" s="1308">
        <f>IF(SETUP!$F$20="Upfront",G448,G449)</f>
        <v>0</v>
      </c>
      <c r="H447" s="1308">
        <f>IF(SETUP!$F$20="Upfront",H448,H449)</f>
        <v>0</v>
      </c>
      <c r="I447" s="1308">
        <f>IF(SETUP!$F$20="Upfront",I448,I449)</f>
        <v>0</v>
      </c>
      <c r="J447" s="1308">
        <f>F447+G447+H447+I447</f>
        <v>0</v>
      </c>
      <c r="K447" s="1327">
        <f>IF(SETUP!$F$20="Upfront",K448,K449)</f>
        <v>0</v>
      </c>
      <c r="L447" s="1308">
        <f>IF(SETUP!$F$20="Upfront",L448,L449)</f>
        <v>0</v>
      </c>
      <c r="M447" s="1308">
        <f>IF(SETUP!$F$20="Upfront",M448,M449)</f>
        <v>0</v>
      </c>
      <c r="N447" s="1308">
        <f>IF(SETUP!$F$20="Upfront",N448,N449)</f>
        <v>0</v>
      </c>
      <c r="O447" s="1308">
        <f>K447+L447+M447+N447</f>
        <v>0</v>
      </c>
      <c r="P447" s="1327">
        <f>IF(SETUP!$F$20="Upfront",P448,P449)</f>
        <v>0</v>
      </c>
      <c r="Q447" s="1308">
        <f>IF(SETUP!$F$20="Upfront",Q448,Q449)</f>
        <v>0</v>
      </c>
      <c r="R447" s="1308">
        <f>IF(SETUP!$F$20="Upfront",R448,R449)</f>
        <v>0</v>
      </c>
      <c r="S447" s="1308">
        <f>IF(SETUP!$F$20="Upfront",S448,S449)</f>
        <v>0</v>
      </c>
      <c r="T447" s="1308">
        <f>P447+Q447+R447+S447</f>
        <v>0</v>
      </c>
      <c r="U447" s="1328">
        <f>J447+O447+T447</f>
        <v>0</v>
      </c>
      <c r="V447" s="1826">
        <v>7.4</v>
      </c>
      <c r="W447" s="1837"/>
      <c r="X447" s="764"/>
      <c r="Y447" s="1838"/>
      <c r="Z447" s="850"/>
      <c r="AA447" s="880"/>
      <c r="AB447" s="880"/>
      <c r="AC447" s="880"/>
      <c r="AD447" s="880"/>
      <c r="AE447" s="880"/>
      <c r="AF447" s="880"/>
      <c r="AG447" s="880"/>
      <c r="AH447" s="881"/>
      <c r="AI447" s="880"/>
      <c r="AJ447" s="880"/>
      <c r="AK447" s="880"/>
      <c r="AL447" s="880"/>
      <c r="AM447" s="880"/>
      <c r="AN447" s="880"/>
      <c r="AO447" s="880"/>
      <c r="AP447" s="880"/>
      <c r="AQ447" s="880"/>
      <c r="AR447" s="880"/>
      <c r="AS447" s="880"/>
      <c r="AT447" s="880"/>
      <c r="AU447" s="880"/>
      <c r="AV447" s="880"/>
      <c r="AW447" s="880"/>
      <c r="AX447" s="880"/>
      <c r="AY447" s="880"/>
      <c r="AZ447" s="880"/>
      <c r="BA447" s="880"/>
      <c r="BB447" s="880"/>
      <c r="BC447" s="880"/>
      <c r="BD447" s="880"/>
      <c r="BE447" s="880"/>
      <c r="BF447" s="880"/>
      <c r="BG447" s="880"/>
      <c r="BH447" s="880"/>
      <c r="BI447" s="880"/>
      <c r="BJ447" s="880"/>
      <c r="BK447" s="880"/>
      <c r="BL447" s="880"/>
      <c r="BM447" s="880"/>
      <c r="BN447" s="880"/>
      <c r="BO447" s="880"/>
      <c r="BP447" s="880"/>
      <c r="BQ447" s="880"/>
      <c r="BR447" s="880"/>
      <c r="BS447" s="880"/>
      <c r="BT447" s="880"/>
    </row>
    <row r="448" spans="1:72" s="882" customFormat="1" ht="16.149999999999999" hidden="1" customHeight="1" outlineLevel="1">
      <c r="A448" s="2915"/>
      <c r="B448" s="2916"/>
      <c r="C448" s="2912" t="s">
        <v>918</v>
      </c>
      <c r="D448" s="2912"/>
      <c r="E448" s="1649"/>
      <c r="F448" s="1328">
        <f>IF(SETUP!$F$20="Upfront",$E$447*'HIV-Pharmaceuticals'!AW14,0)</f>
        <v>0</v>
      </c>
      <c r="G448" s="1194">
        <f>IF(SETUP!$F$20="Upfront",$E$447*'HIV-Pharmaceuticals'!AX14,0)</f>
        <v>0</v>
      </c>
      <c r="H448" s="1194">
        <f>IF(SETUP!$F$20="Upfront",$E$447*'HIV-Pharmaceuticals'!AY14,0)</f>
        <v>0</v>
      </c>
      <c r="I448" s="1194">
        <f>IF(SETUP!$F$20="Upfront",$E$447*'HIV-Pharmaceuticals'!AZ14,0)</f>
        <v>0</v>
      </c>
      <c r="J448" s="1194">
        <f>'HPM costs'!$F448+'HPM costs'!$G448+'HPM costs'!$H448+'HPM costs'!$I448</f>
        <v>0</v>
      </c>
      <c r="K448" s="1328">
        <f>IF(SETUP!$F$20="Upfront",$E$447*'HIV-Pharmaceuticals'!BA14,0)</f>
        <v>0</v>
      </c>
      <c r="L448" s="1194">
        <f>IF(SETUP!$F$20="Upfront",$E$447*'HIV-Pharmaceuticals'!BB14,0)</f>
        <v>0</v>
      </c>
      <c r="M448" s="1194">
        <f>IF(SETUP!$F$20="Upfront",$E$447*'HIV-Pharmaceuticals'!BC14,0)</f>
        <v>0</v>
      </c>
      <c r="N448" s="1194">
        <f>IF(SETUP!$F$20="Upfront",$E$447*'HIV-Pharmaceuticals'!BD14,0)</f>
        <v>0</v>
      </c>
      <c r="O448" s="1194">
        <f>'HPM costs'!$F448+'HPM costs'!$G448+'HPM costs'!$H448+'HPM costs'!$I448</f>
        <v>0</v>
      </c>
      <c r="P448" s="1328">
        <f>IF(SETUP!$F$20="Upfront",$E$447*'HIV-Pharmaceuticals'!BE14,0)</f>
        <v>0</v>
      </c>
      <c r="Q448" s="1194">
        <f>IF(SETUP!$F$20="Upfront",$E$447*'HIV-Pharmaceuticals'!BF14,0)</f>
        <v>0</v>
      </c>
      <c r="R448" s="1194">
        <f>IF(SETUP!$F$20="Upfront",$E$447*'HIV-Pharmaceuticals'!BG14,0)</f>
        <v>0</v>
      </c>
      <c r="S448" s="1194">
        <f>IF(SETUP!$F$20="Upfront",$E$447*'HIV-Pharmaceuticals'!BH14,0)</f>
        <v>0</v>
      </c>
      <c r="T448" s="1194">
        <f>'HPM costs'!$F448+'HPM costs'!$G448+'HPM costs'!$H448+'HPM costs'!$I448</f>
        <v>0</v>
      </c>
      <c r="U448" s="1328">
        <f>'HPM costs'!$J448+'HPM costs'!$O448+'HPM costs'!$T448</f>
        <v>0</v>
      </c>
      <c r="V448" s="1826"/>
      <c r="W448" s="1837"/>
      <c r="X448" s="764"/>
      <c r="Y448" s="1836"/>
      <c r="Z448" s="850"/>
      <c r="AA448" s="880"/>
      <c r="AB448" s="880"/>
      <c r="AC448" s="880"/>
      <c r="AD448" s="880"/>
      <c r="AE448" s="880"/>
      <c r="AF448" s="880"/>
      <c r="AG448" s="880"/>
      <c r="AH448" s="881"/>
      <c r="AI448" s="880"/>
      <c r="AJ448" s="880"/>
      <c r="AK448" s="880"/>
      <c r="AL448" s="880"/>
      <c r="AM448" s="880"/>
      <c r="AN448" s="880"/>
      <c r="AO448" s="880"/>
      <c r="AP448" s="880"/>
      <c r="AQ448" s="880"/>
      <c r="AR448" s="880"/>
      <c r="AS448" s="880"/>
      <c r="AT448" s="880"/>
      <c r="AU448" s="880"/>
      <c r="AV448" s="880"/>
      <c r="AW448" s="880"/>
      <c r="AX448" s="880"/>
      <c r="AY448" s="880"/>
      <c r="AZ448" s="880"/>
      <c r="BA448" s="880"/>
      <c r="BB448" s="880"/>
      <c r="BC448" s="880"/>
      <c r="BD448" s="880"/>
      <c r="BE448" s="880"/>
      <c r="BF448" s="880"/>
      <c r="BG448" s="880"/>
      <c r="BH448" s="880"/>
      <c r="BI448" s="880"/>
      <c r="BJ448" s="880"/>
      <c r="BK448" s="880"/>
      <c r="BL448" s="880"/>
      <c r="BM448" s="880"/>
      <c r="BN448" s="880"/>
      <c r="BO448" s="880"/>
      <c r="BP448" s="880"/>
      <c r="BQ448" s="880"/>
      <c r="BR448" s="880"/>
      <c r="BS448" s="880"/>
      <c r="BT448" s="880"/>
    </row>
    <row r="449" spans="1:72" s="882" customFormat="1" ht="16.149999999999999" hidden="1" customHeight="1" outlineLevel="1">
      <c r="A449" s="2915"/>
      <c r="B449" s="2916"/>
      <c r="C449" s="2912" t="s">
        <v>36</v>
      </c>
      <c r="D449" s="2912"/>
      <c r="E449" s="1649"/>
      <c r="F449" s="1328">
        <v>0</v>
      </c>
      <c r="G449" s="1194">
        <f>IF(SETUP!$F$20="At delivery",IF(SETUP!$G$20=1,$E$447*'HIV-Pharmaceuticals'!AW14,0),0)</f>
        <v>0</v>
      </c>
      <c r="H449" s="1194">
        <f>IF(SETUP!$F$20="At delivery",IF(SETUP!$G$20=2,$E$447*'HIV-Pharmaceuticals'!AW14,IF(SETUP!$G$20=1,$E$447*'HIV-Pharmaceuticals'!AX14,0)),0)</f>
        <v>0</v>
      </c>
      <c r="I449" s="1194">
        <f>IF(SETUP!$F$20="At delivery",IF(SETUP!$G$20=3,$E$447*'HIV-Pharmaceuticals'!AW14,IF(SETUP!$G$20=2,$E$447*'HIV-Pharmaceuticals'!AX14,IF(SETUP!$G$20=1,$E$447*'HIV-Pharmaceuticals'!AY14,0))),0)</f>
        <v>0</v>
      </c>
      <c r="J449" s="1194">
        <f>'HPM costs'!$F449+'HPM costs'!$G449+'HPM costs'!$H449+'HPM costs'!$I449</f>
        <v>0</v>
      </c>
      <c r="K449" s="1328">
        <f>IF(SETUP!$F$20="At delivery",IF(SETUP!$G$20=4,$E$447*'HIV-Pharmaceuticals'!AW14,IF(SETUP!$G$20=3,$E$447*'HIV-Pharmaceuticals'!AX14,IF(SETUP!$G$20=2,$E$447*'HIV-Pharmaceuticals'!AY14,IF(SETUP!$G$20=1,$E$447*'HIV-Pharmaceuticals'!AZ14,0)))),0)</f>
        <v>0</v>
      </c>
      <c r="L449" s="1194">
        <f>IF(SETUP!$F$20="At delivery",IF(SETUP!$G$20=4,$E$447*'HIV-Pharmaceuticals'!AX14,IF(SETUP!$G$20=3,$E$447*'HIV-Pharmaceuticals'!AY14,IF(SETUP!$G$20=2,$E$447*'HIV-Pharmaceuticals'!AZ14,IF(SETUP!$G$20=1,$E$447*'HIV-Pharmaceuticals'!BA14,0)))),0)</f>
        <v>0</v>
      </c>
      <c r="M449" s="1194">
        <f>IF(SETUP!$F$20="At delivery",IF(SETUP!$G$20=4,$E$447*'HIV-Pharmaceuticals'!AY14,IF(SETUP!$G$20=3,$E$447*'HIV-Pharmaceuticals'!AZ14,IF(SETUP!$G$20=2,$E$447*'HIV-Pharmaceuticals'!BA14,IF(SETUP!$G$20=1,$E$447*'HIV-Pharmaceuticals'!BB14,0)))),0)</f>
        <v>0</v>
      </c>
      <c r="N449" s="1194">
        <f>IF(SETUP!$F$20="At delivery",IF(SETUP!$G$20=4,$E$447*'HIV-Pharmaceuticals'!AZ14,IF(SETUP!$G$20=3,$E$447*'HIV-Pharmaceuticals'!BA14,IF(SETUP!$G$20=2,$E$447*'HIV-Pharmaceuticals'!BB14,IF(SETUP!$G$20=1,$E$447*'HIV-Pharmaceuticals'!BC14,0)))),0)</f>
        <v>0</v>
      </c>
      <c r="O449" s="1194">
        <f>'HPM costs'!$F449+'HPM costs'!$G449+'HPM costs'!$H449+'HPM costs'!$I449</f>
        <v>0</v>
      </c>
      <c r="P449" s="1328">
        <f>IF(SETUP!$F$20="At delivery",IF(SETUP!$G$20=4,$E$447*'HIV-Pharmaceuticals'!BA14,IF(SETUP!$G$20=3,$E$447*'HIV-Pharmaceuticals'!BB14,IF(SETUP!$G$20=2,$E$447*'HIV-Pharmaceuticals'!BC14,IF(SETUP!$G$20=1,$E$447*'HIV-Pharmaceuticals'!BD14,0)))),0)</f>
        <v>0</v>
      </c>
      <c r="Q449" s="1194">
        <f>IF(SETUP!$F$20="At delivery",IF(SETUP!$G$20=4,$E$447*'HIV-Pharmaceuticals'!BB14,IF(SETUP!$G$20=3,$E$447*'HIV-Pharmaceuticals'!BC14,IF(SETUP!$G$20=2,$E$447*'HIV-Pharmaceuticals'!BD14,IF(SETUP!$G$20=1,$E$447*'HIV-Pharmaceuticals'!BE14,0)))),0)</f>
        <v>0</v>
      </c>
      <c r="R449" s="1194">
        <f>IF(SETUP!$F$20="At delivery",IF(SETUP!$G$20=4,$E$447*'HIV-Pharmaceuticals'!BC14,IF(SETUP!$G$20=3,$E$447*'HIV-Pharmaceuticals'!BD14,IF(SETUP!$G$20=2,$E$447*'HIV-Pharmaceuticals'!BE14,IF(SETUP!$G$20=1,$E$447*'HIV-Pharmaceuticals'!BF14,0)))),0)</f>
        <v>0</v>
      </c>
      <c r="S449" s="1194">
        <f>IF(SETUP!$F$20="At delivery",IF(SETUP!$G$20=4,$E$447*('HIV-Pharmaceuticals'!BD14+'HIV-Pharmaceuticals'!BE14+'HIV-Pharmaceuticals'!BF14+'HIV-Pharmaceuticals'!BG14+'HIV-Pharmaceuticals'!BH14),IF(SETUP!$G$20=3,$E$447*('HIV-Pharmaceuticals'!BE14+'HIV-Pharmaceuticals'!BF14+'HIV-Pharmaceuticals'!BG14+'HIV-Pharmaceuticals'!BH14),IF(SETUP!$G$20=2,$E$447*('HIV-Pharmaceuticals'!BF14+'HIV-Pharmaceuticals'!BG14+'HIV-Pharmaceuticals'!BH14),IF(SETUP!$G$20=1,$E$447*('HIV-Pharmaceuticals'!BG14+'HIV-Pharmaceuticals'!BH14),0)))),0)</f>
        <v>0</v>
      </c>
      <c r="T449" s="1194">
        <f>'HPM costs'!$F449+'HPM costs'!$G449+'HPM costs'!$H449+'HPM costs'!$I449</f>
        <v>0</v>
      </c>
      <c r="U449" s="1328">
        <f>'HPM costs'!$J449+'HPM costs'!$O449+'HPM costs'!$T449</f>
        <v>0</v>
      </c>
      <c r="V449" s="1826"/>
      <c r="W449" s="1837"/>
      <c r="X449" s="764"/>
      <c r="Y449" s="1836"/>
      <c r="Z449" s="850"/>
      <c r="AA449" s="880"/>
      <c r="AB449" s="880"/>
      <c r="AC449" s="880"/>
      <c r="AD449" s="880"/>
      <c r="AE449" s="880"/>
      <c r="AF449" s="880"/>
      <c r="AG449" s="880"/>
      <c r="AH449" s="881"/>
      <c r="AI449" s="880"/>
      <c r="AJ449" s="880"/>
      <c r="AK449" s="880"/>
      <c r="AL449" s="880"/>
      <c r="AM449" s="880"/>
      <c r="AN449" s="880"/>
      <c r="AO449" s="880"/>
      <c r="AP449" s="880"/>
      <c r="AQ449" s="880"/>
      <c r="AR449" s="880"/>
      <c r="AS449" s="880"/>
      <c r="AT449" s="880"/>
      <c r="AU449" s="880"/>
      <c r="AV449" s="880"/>
      <c r="AW449" s="880"/>
      <c r="AX449" s="880"/>
      <c r="AY449" s="880"/>
      <c r="AZ449" s="880"/>
      <c r="BA449" s="880"/>
      <c r="BB449" s="880"/>
      <c r="BC449" s="880"/>
      <c r="BD449" s="880"/>
      <c r="BE449" s="880"/>
      <c r="BF449" s="880"/>
      <c r="BG449" s="880"/>
      <c r="BH449" s="880"/>
      <c r="BI449" s="880"/>
      <c r="BJ449" s="880"/>
      <c r="BK449" s="880"/>
      <c r="BL449" s="880"/>
      <c r="BM449" s="880"/>
      <c r="BN449" s="880"/>
      <c r="BO449" s="880"/>
      <c r="BP449" s="880"/>
      <c r="BQ449" s="880"/>
      <c r="BR449" s="880"/>
      <c r="BS449" s="880"/>
      <c r="BT449" s="880"/>
    </row>
    <row r="450" spans="1:72" s="882" customFormat="1" ht="13" collapsed="1">
      <c r="A450" s="2915"/>
      <c r="B450" s="2916"/>
      <c r="C450" s="2911" t="s">
        <v>148</v>
      </c>
      <c r="D450" s="2911"/>
      <c r="E450" s="1651">
        <v>0</v>
      </c>
      <c r="F450" s="1328">
        <f>IF(SETUP!$F$21="Upfront",F451,F452)</f>
        <v>0</v>
      </c>
      <c r="G450" s="1194">
        <f>IF(SETUP!$F$21="Upfront",G451,G452)</f>
        <v>0</v>
      </c>
      <c r="H450" s="1194">
        <f>IF(SETUP!$F$21="Upfront",H451,H452)</f>
        <v>0</v>
      </c>
      <c r="I450" s="1194">
        <f>IF(SETUP!$F$21="Upfront",I451,I452)</f>
        <v>0</v>
      </c>
      <c r="J450" s="1194">
        <f t="shared" ref="J450:J468" si="64">F450+G450+H450+I450</f>
        <v>0</v>
      </c>
      <c r="K450" s="1328">
        <f>IF(SETUP!$F$21="Upfront",K451,K452)</f>
        <v>0</v>
      </c>
      <c r="L450" s="1194">
        <f>IF(SETUP!$F$21="Upfront",L451,L452)</f>
        <v>0</v>
      </c>
      <c r="M450" s="1194">
        <f>IF(SETUP!$F$21="Upfront",M451,M452)</f>
        <v>0</v>
      </c>
      <c r="N450" s="1194">
        <f>IF(SETUP!$F$21="Upfront",N451,N452)</f>
        <v>0</v>
      </c>
      <c r="O450" s="1194">
        <f t="shared" ref="O450:O468" si="65">K450+L450+M450+N450</f>
        <v>0</v>
      </c>
      <c r="P450" s="1328">
        <f>IF(SETUP!$F$21="Upfront",P451,P452)</f>
        <v>0</v>
      </c>
      <c r="Q450" s="1194">
        <f>IF(SETUP!$F$21="Upfront",Q451,Q452)</f>
        <v>0</v>
      </c>
      <c r="R450" s="1194">
        <f>IF(SETUP!$F$21="Upfront",R451,R452)</f>
        <v>0</v>
      </c>
      <c r="S450" s="1194">
        <f>IF(SETUP!$F$21="Upfront",S451,S452)</f>
        <v>0</v>
      </c>
      <c r="T450" s="1194">
        <f t="shared" ref="T450:T467" si="66">P450+Q450+R450+S450</f>
        <v>0</v>
      </c>
      <c r="U450" s="1328">
        <f t="shared" ref="U450:U467" si="67">J450+O450+T450</f>
        <v>0</v>
      </c>
      <c r="V450" s="1826">
        <v>7.4</v>
      </c>
      <c r="W450" s="1837"/>
      <c r="X450" s="764"/>
      <c r="Y450" s="1836"/>
      <c r="Z450" s="850"/>
      <c r="AA450" s="880"/>
      <c r="AB450" s="880"/>
      <c r="AC450" s="880"/>
      <c r="AD450" s="880"/>
      <c r="AE450" s="880"/>
      <c r="AF450" s="880"/>
      <c r="AG450" s="880"/>
      <c r="AH450" s="881"/>
      <c r="AI450" s="880"/>
      <c r="AJ450" s="880"/>
      <c r="AK450" s="880"/>
      <c r="AL450" s="880"/>
      <c r="AM450" s="880"/>
      <c r="AN450" s="880"/>
      <c r="AO450" s="880"/>
      <c r="AP450" s="880"/>
      <c r="AQ450" s="880"/>
      <c r="AR450" s="880"/>
      <c r="AS450" s="880"/>
      <c r="AT450" s="880"/>
      <c r="AU450" s="880"/>
      <c r="AV450" s="880"/>
      <c r="AW450" s="880"/>
      <c r="AX450" s="880"/>
      <c r="AY450" s="880"/>
      <c r="AZ450" s="880"/>
      <c r="BA450" s="880"/>
      <c r="BB450" s="880"/>
      <c r="BC450" s="880"/>
      <c r="BD450" s="880"/>
      <c r="BE450" s="880"/>
      <c r="BF450" s="880"/>
      <c r="BG450" s="880"/>
      <c r="BH450" s="880"/>
      <c r="BI450" s="880"/>
      <c r="BJ450" s="880"/>
      <c r="BK450" s="880"/>
      <c r="BL450" s="880"/>
      <c r="BM450" s="880"/>
      <c r="BN450" s="880"/>
      <c r="BO450" s="880"/>
      <c r="BP450" s="880"/>
      <c r="BQ450" s="880"/>
      <c r="BR450" s="880"/>
      <c r="BS450" s="880"/>
      <c r="BT450" s="880"/>
    </row>
    <row r="451" spans="1:72" s="882" customFormat="1" ht="16.149999999999999" hidden="1" customHeight="1" outlineLevel="1">
      <c r="A451" s="2915"/>
      <c r="B451" s="2916"/>
      <c r="C451" s="2912" t="s">
        <v>918</v>
      </c>
      <c r="D451" s="2912"/>
      <c r="E451" s="1651"/>
      <c r="F451" s="1328">
        <f>IF(SETUP!$F$21="Upfront",$E$450*'HIV-Pharmaceuticals'!AW15,0)</f>
        <v>0</v>
      </c>
      <c r="G451" s="1194">
        <f>IF(SETUP!$F$21="Upfront",$E$450*'HIV-Pharmaceuticals'!AX15,0)</f>
        <v>0</v>
      </c>
      <c r="H451" s="1194">
        <f>IF(SETUP!$F$21="Upfront",$E$450*'HIV-Pharmaceuticals'!AY15,0)</f>
        <v>0</v>
      </c>
      <c r="I451" s="1194">
        <f>IF(SETUP!$F$21="Upfront",$E$450*'HIV-Pharmaceuticals'!AZ15,0)</f>
        <v>0</v>
      </c>
      <c r="J451" s="1194">
        <f t="shared" si="64"/>
        <v>0</v>
      </c>
      <c r="K451" s="1328">
        <f>IF(SETUP!$F$21="Upfront",$E$450*'HIV-Pharmaceuticals'!BA15,0)</f>
        <v>0</v>
      </c>
      <c r="L451" s="1194">
        <f>IF(SETUP!$F$21="Upfront",$E$450*'HIV-Pharmaceuticals'!BB15,0)</f>
        <v>0</v>
      </c>
      <c r="M451" s="1194">
        <f>IF(SETUP!$F$21="Upfront",$E$450*'HIV-Pharmaceuticals'!BC15,0)</f>
        <v>0</v>
      </c>
      <c r="N451" s="1194">
        <f>IF(SETUP!$F$21="Upfront",$E$450*'HIV-Pharmaceuticals'!BD15,0)</f>
        <v>0</v>
      </c>
      <c r="O451" s="1194">
        <f t="shared" si="65"/>
        <v>0</v>
      </c>
      <c r="P451" s="1328">
        <f>IF(SETUP!$F$21="Upfront",$E$450*'HIV-Pharmaceuticals'!BE15,0)</f>
        <v>0</v>
      </c>
      <c r="Q451" s="1194">
        <f>IF(SETUP!$F$21="Upfront",$E$450*'HIV-Pharmaceuticals'!BF15,0)</f>
        <v>0</v>
      </c>
      <c r="R451" s="1194">
        <f>IF(SETUP!$F$21="Upfront",$E$450*'HIV-Pharmaceuticals'!BG15,0)</f>
        <v>0</v>
      </c>
      <c r="S451" s="1194">
        <f>IF(SETUP!$F$21="Upfront",$E$450*'HIV-Pharmaceuticals'!BH15,0)</f>
        <v>0</v>
      </c>
      <c r="T451" s="1194">
        <f t="shared" si="66"/>
        <v>0</v>
      </c>
      <c r="U451" s="1328">
        <f t="shared" si="67"/>
        <v>0</v>
      </c>
      <c r="V451" s="1826">
        <v>7.4</v>
      </c>
      <c r="W451" s="1837"/>
      <c r="X451" s="764"/>
      <c r="Y451" s="1836"/>
      <c r="Z451" s="850"/>
      <c r="AA451" s="880"/>
      <c r="AB451" s="880"/>
      <c r="AC451" s="880"/>
      <c r="AD451" s="880"/>
      <c r="AE451" s="880"/>
      <c r="AF451" s="880"/>
      <c r="AG451" s="880"/>
      <c r="AH451" s="881"/>
      <c r="AI451" s="880"/>
      <c r="AJ451" s="880"/>
      <c r="AK451" s="880"/>
      <c r="AL451" s="880"/>
      <c r="AM451" s="880"/>
      <c r="AN451" s="880"/>
      <c r="AO451" s="880"/>
      <c r="AP451" s="880"/>
      <c r="AQ451" s="880"/>
      <c r="AR451" s="880"/>
      <c r="AS451" s="880"/>
      <c r="AT451" s="880"/>
      <c r="AU451" s="880"/>
      <c r="AV451" s="880"/>
      <c r="AW451" s="880"/>
      <c r="AX451" s="880"/>
      <c r="AY451" s="880"/>
      <c r="AZ451" s="880"/>
      <c r="BA451" s="880"/>
      <c r="BB451" s="880"/>
      <c r="BC451" s="880"/>
      <c r="BD451" s="880"/>
      <c r="BE451" s="880"/>
      <c r="BF451" s="880"/>
      <c r="BG451" s="880"/>
      <c r="BH451" s="880"/>
      <c r="BI451" s="880"/>
      <c r="BJ451" s="880"/>
      <c r="BK451" s="880"/>
      <c r="BL451" s="880"/>
      <c r="BM451" s="880"/>
      <c r="BN451" s="880"/>
      <c r="BO451" s="880"/>
      <c r="BP451" s="880"/>
      <c r="BQ451" s="880"/>
      <c r="BR451" s="880"/>
      <c r="BS451" s="880"/>
      <c r="BT451" s="880"/>
    </row>
    <row r="452" spans="1:72" s="882" customFormat="1" ht="16.149999999999999" hidden="1" customHeight="1" outlineLevel="1">
      <c r="A452" s="2915"/>
      <c r="B452" s="2916"/>
      <c r="C452" s="2912" t="s">
        <v>36</v>
      </c>
      <c r="D452" s="2912"/>
      <c r="E452" s="1649"/>
      <c r="F452" s="1328">
        <v>0</v>
      </c>
      <c r="G452" s="1194">
        <f>IF(SETUP!$F$21="At delivery",IF(SETUP!$G$21=1,$E$450*'HIV-Pharmaceuticals'!AW15,0),0)</f>
        <v>0</v>
      </c>
      <c r="H452" s="1194">
        <f>IF(SETUP!$F$21="At delivery",IF(SETUP!$G$21=2,$E$450*'HIV-Pharmaceuticals'!AW15,IF(SETUP!$G$21=1,$E$450*'HIV-Pharmaceuticals'!AX15,0)),0)</f>
        <v>0</v>
      </c>
      <c r="I452" s="1194">
        <f>IF(SETUP!$F$21="At delivery",IF(SETUP!$G$21=3,$E$450*'HIV-Pharmaceuticals'!AW15,IF(SETUP!$G$21=2,$E$450*'HIV-Pharmaceuticals'!AX15,IF(SETUP!$G$21=1,$E$450*'HIV-Pharmaceuticals'!AY15,0))),0)</f>
        <v>0</v>
      </c>
      <c r="J452" s="1194">
        <f t="shared" si="64"/>
        <v>0</v>
      </c>
      <c r="K452" s="1328">
        <f>IF(SETUP!$F$21="At delivery",IF(SETUP!$G$21=4,$E$450*'HIV-Pharmaceuticals'!AW15,IF(SETUP!$G$21=3,$E$450*'HIV-Pharmaceuticals'!AX15,IF(SETUP!$G$21=2,$E$450*'HIV-Pharmaceuticals'!AY15,IF(SETUP!$G$21=1,$E$450*'HIV-Pharmaceuticals'!AZ15,0)))),0)</f>
        <v>0</v>
      </c>
      <c r="L452" s="1194">
        <f>IF(SETUP!$F$21="At delivery",IF(SETUP!$G$21=4,$E$450*'HIV-Pharmaceuticals'!AX15,IF(SETUP!$G$21=3,$E$450*'HIV-Pharmaceuticals'!AY15,IF(SETUP!$G$21=2,$E$450*'HIV-Pharmaceuticals'!AZ15,IF(SETUP!$G$21=1,$E$450*'HIV-Pharmaceuticals'!BA15,0)))),0)</f>
        <v>0</v>
      </c>
      <c r="M452" s="1194">
        <f>IF(SETUP!$F$21="At delivery",IF(SETUP!$G$21=4,$E$450*'HIV-Pharmaceuticals'!AY15,IF(SETUP!$G$21=3,$E$450*'HIV-Pharmaceuticals'!AZ15,IF(SETUP!$G$21=2,$E$450*'HIV-Pharmaceuticals'!BA15,IF(SETUP!$G$21=1,$E$450*'HIV-Pharmaceuticals'!BB15,0)))),0)</f>
        <v>0</v>
      </c>
      <c r="N452" s="1194">
        <f>IF(SETUP!$F$21="At delivery",IF(SETUP!$G$21=4,$E$450*'HIV-Pharmaceuticals'!AZ15,IF(SETUP!$G$21=3,$E$450*'HIV-Pharmaceuticals'!BA15,IF(SETUP!$G$21=2,$E$450*'HIV-Pharmaceuticals'!BB15,IF(SETUP!$G$21=1,$E$450*'HIV-Pharmaceuticals'!BC15,0)))),0)</f>
        <v>0</v>
      </c>
      <c r="O452" s="1194">
        <f t="shared" si="65"/>
        <v>0</v>
      </c>
      <c r="P452" s="1328">
        <f>IF(SETUP!$F$21="At delivery",IF(SETUP!$G$21=4,$E$450*'HIV-Pharmaceuticals'!BA15,IF(SETUP!$G$21=3,$E$450*'HIV-Pharmaceuticals'!BB15,IF(SETUP!$G$21=2,$E$450*'HIV-Pharmaceuticals'!BC15,IF(SETUP!$G$21=1,$E$450*'HIV-Pharmaceuticals'!BD15,0)))),0)</f>
        <v>0</v>
      </c>
      <c r="Q452" s="1194">
        <f>IF(SETUP!$F$21="At delivery",IF(SETUP!$G$21=4,$E$450*'HIV-Pharmaceuticals'!BB15,IF(SETUP!$G$21=3,$E$450*'HIV-Pharmaceuticals'!BC15,IF(SETUP!$G$21=2,$E$450*'HIV-Pharmaceuticals'!BD15,IF(SETUP!$G$21=1,$E$450*'HIV-Pharmaceuticals'!BE15,0)))),0)</f>
        <v>0</v>
      </c>
      <c r="R452" s="1194">
        <f>IF(SETUP!$F$21="At delivery",IF(SETUP!$G$21=4,$E$450*'HIV-Pharmaceuticals'!BC15,IF(SETUP!$G$21=3,$E$450*'HIV-Pharmaceuticals'!BD15,IF(SETUP!$G$21=2,$E$450*'HIV-Pharmaceuticals'!BE15,IF(SETUP!$G$21=1,$E$450*'HIV-Pharmaceuticals'!BF15,0)))),0)</f>
        <v>0</v>
      </c>
      <c r="S452" s="1194">
        <f>IF(SETUP!$F$21="At delivery",IF(SETUP!$G$21=4,$E$450*('HIV-Pharmaceuticals'!BD15+'HIV-Pharmaceuticals'!BE15+'HIV-Pharmaceuticals'!BF15+'HIV-Pharmaceuticals'!BG15+'HIV-Pharmaceuticals'!BH15),IF(SETUP!$G$21=3,$E$450*('HIV-Pharmaceuticals'!BE15+'HIV-Pharmaceuticals'!BF15+'HIV-Pharmaceuticals'!BG15+'HIV-Pharmaceuticals'!BH15),IF(SETUP!$G$21=2,$E$450*('HIV-Pharmaceuticals'!BF15+'HIV-Pharmaceuticals'!BG15+'HIV-Pharmaceuticals'!BH15),IF(SETUP!$G$21=1,$E$450*('HIV-Pharmaceuticals'!BG15+'HIV-Pharmaceuticals'!BH15),0)))),0)</f>
        <v>0</v>
      </c>
      <c r="T452" s="1194">
        <f t="shared" si="66"/>
        <v>0</v>
      </c>
      <c r="U452" s="1328">
        <f t="shared" si="67"/>
        <v>0</v>
      </c>
      <c r="V452" s="1826">
        <v>7.4</v>
      </c>
      <c r="W452" s="1837"/>
      <c r="X452" s="764"/>
      <c r="Y452" s="1836"/>
      <c r="Z452" s="850"/>
      <c r="AA452" s="880"/>
      <c r="AB452" s="880"/>
      <c r="AC452" s="880"/>
      <c r="AD452" s="880"/>
      <c r="AE452" s="880"/>
      <c r="AF452" s="880"/>
      <c r="AG452" s="880"/>
      <c r="AH452" s="881"/>
      <c r="AI452" s="880"/>
      <c r="AJ452" s="880"/>
      <c r="AK452" s="880"/>
      <c r="AL452" s="880"/>
      <c r="AM452" s="880"/>
      <c r="AN452" s="880"/>
      <c r="AO452" s="880"/>
      <c r="AP452" s="880"/>
      <c r="AQ452" s="880"/>
      <c r="AR452" s="880"/>
      <c r="AS452" s="880"/>
      <c r="AT452" s="880"/>
      <c r="AU452" s="880"/>
      <c r="AV452" s="880"/>
      <c r="AW452" s="880"/>
      <c r="AX452" s="880"/>
      <c r="AY452" s="880"/>
      <c r="AZ452" s="880"/>
      <c r="BA452" s="880"/>
      <c r="BB452" s="880"/>
      <c r="BC452" s="880"/>
      <c r="BD452" s="880"/>
      <c r="BE452" s="880"/>
      <c r="BF452" s="880"/>
      <c r="BG452" s="880"/>
      <c r="BH452" s="880"/>
      <c r="BI452" s="880"/>
      <c r="BJ452" s="880"/>
      <c r="BK452" s="880"/>
      <c r="BL452" s="880"/>
      <c r="BM452" s="880"/>
      <c r="BN452" s="880"/>
      <c r="BO452" s="880"/>
      <c r="BP452" s="880"/>
      <c r="BQ452" s="880"/>
      <c r="BR452" s="880"/>
      <c r="BS452" s="880"/>
      <c r="BT452" s="880"/>
    </row>
    <row r="453" spans="1:72" s="882" customFormat="1" ht="13" collapsed="1">
      <c r="A453" s="2915"/>
      <c r="B453" s="2916"/>
      <c r="C453" s="2941" t="s">
        <v>1317</v>
      </c>
      <c r="D453" s="2941"/>
      <c r="E453" s="1651">
        <v>0</v>
      </c>
      <c r="F453" s="1328">
        <f>IF(SETUP!$F$22="Upfront",F454,F455)</f>
        <v>0</v>
      </c>
      <c r="G453" s="1194">
        <f>IF(SETUP!$F$22="Upfront",G454,G455)</f>
        <v>0</v>
      </c>
      <c r="H453" s="1194">
        <f>IF(SETUP!$F$22="Upfront",H454,H455)</f>
        <v>0</v>
      </c>
      <c r="I453" s="1194">
        <f>IF(SETUP!$F$22="Upfront",I454,I455)</f>
        <v>0</v>
      </c>
      <c r="J453" s="1194">
        <f t="shared" si="64"/>
        <v>0</v>
      </c>
      <c r="K453" s="1328">
        <f>IF(SETUP!$F$22="Upfront",K454,K455)</f>
        <v>0</v>
      </c>
      <c r="L453" s="1194">
        <f>IF(SETUP!$F$22="Upfront",L454,L455)</f>
        <v>0</v>
      </c>
      <c r="M453" s="1194">
        <f>IF(SETUP!$F$22="Upfront",M454,M455)</f>
        <v>0</v>
      </c>
      <c r="N453" s="1194">
        <f>IF(SETUP!$F$22="Upfront",N454,N455)</f>
        <v>0</v>
      </c>
      <c r="O453" s="1194">
        <f t="shared" si="65"/>
        <v>0</v>
      </c>
      <c r="P453" s="1328">
        <f>IF(SETUP!$F$22="Upfront",P454,P455)</f>
        <v>0</v>
      </c>
      <c r="Q453" s="1194">
        <f>IF(SETUP!$F$22="Upfront",Q454,Q455)</f>
        <v>0</v>
      </c>
      <c r="R453" s="1194">
        <f>IF(SETUP!$F$22="Upfront",R454,R455)</f>
        <v>0</v>
      </c>
      <c r="S453" s="1194">
        <f>IF(SETUP!$F$22="Upfront",S454,S455)</f>
        <v>0</v>
      </c>
      <c r="T453" s="1194">
        <f t="shared" si="66"/>
        <v>0</v>
      </c>
      <c r="U453" s="1328">
        <f t="shared" si="67"/>
        <v>0</v>
      </c>
      <c r="V453" s="1826">
        <v>7.4</v>
      </c>
      <c r="W453" s="1837"/>
      <c r="X453" s="764"/>
      <c r="Y453" s="1836"/>
      <c r="Z453" s="850"/>
      <c r="AA453" s="880"/>
      <c r="AB453" s="880"/>
      <c r="AC453" s="880"/>
      <c r="AD453" s="880"/>
      <c r="AE453" s="880"/>
      <c r="AF453" s="880"/>
      <c r="AG453" s="880"/>
      <c r="AH453" s="881"/>
      <c r="AI453" s="880"/>
      <c r="AJ453" s="880"/>
      <c r="AK453" s="880"/>
      <c r="AL453" s="880"/>
      <c r="AM453" s="880"/>
      <c r="AN453" s="880"/>
      <c r="AO453" s="880"/>
      <c r="AP453" s="880"/>
      <c r="AQ453" s="880"/>
      <c r="AR453" s="880"/>
      <c r="AS453" s="880"/>
      <c r="AT453" s="880"/>
      <c r="AU453" s="880"/>
      <c r="AV453" s="880"/>
      <c r="AW453" s="880"/>
      <c r="AX453" s="880"/>
      <c r="AY453" s="880"/>
      <c r="AZ453" s="880"/>
      <c r="BA453" s="880"/>
      <c r="BB453" s="880"/>
      <c r="BC453" s="880"/>
      <c r="BD453" s="880"/>
      <c r="BE453" s="880"/>
      <c r="BF453" s="880"/>
      <c r="BG453" s="880"/>
      <c r="BH453" s="880"/>
      <c r="BI453" s="880"/>
      <c r="BJ453" s="880"/>
      <c r="BK453" s="880"/>
      <c r="BL453" s="880"/>
      <c r="BM453" s="880"/>
      <c r="BN453" s="880"/>
      <c r="BO453" s="880"/>
      <c r="BP453" s="880"/>
      <c r="BQ453" s="880"/>
      <c r="BR453" s="880"/>
      <c r="BS453" s="880"/>
      <c r="BT453" s="880"/>
    </row>
    <row r="454" spans="1:72" s="882" customFormat="1" ht="15" hidden="1" customHeight="1" outlineLevel="1">
      <c r="A454" s="2893" t="s">
        <v>564</v>
      </c>
      <c r="B454" s="2894"/>
      <c r="C454" s="2912" t="s">
        <v>918</v>
      </c>
      <c r="D454" s="2912"/>
      <c r="E454" s="1652"/>
      <c r="F454" s="1328">
        <f>IF(SETUP!$F$22="Upfront",$E$453*'HIV-Pharmaceuticals'!AW16,0)</f>
        <v>0</v>
      </c>
      <c r="G454" s="1194">
        <f>IF(SETUP!$F$22="Upfront",$E$453*'HIV-Pharmaceuticals'!AX16,0)</f>
        <v>0</v>
      </c>
      <c r="H454" s="1194">
        <f>IF(SETUP!$F$22="Upfront",$E$453*'HIV-Pharmaceuticals'!AY16,0)</f>
        <v>0</v>
      </c>
      <c r="I454" s="1194">
        <f>IF(SETUP!$F$22="Upfront",$E$453*'HIV-Pharmaceuticals'!AZ16,0)</f>
        <v>0</v>
      </c>
      <c r="J454" s="1194">
        <f t="shared" si="64"/>
        <v>0</v>
      </c>
      <c r="K454" s="1328">
        <f>IF(SETUP!$F$22="Upfront",$E$453*'HIV-Pharmaceuticals'!BA16,0)</f>
        <v>0</v>
      </c>
      <c r="L454" s="1194">
        <f>IF(SETUP!$F$22="Upfront",$E$453*'HIV-Pharmaceuticals'!BB16,0)</f>
        <v>0</v>
      </c>
      <c r="M454" s="1194">
        <f>IF(SETUP!$F$22="Upfront",$E$453*'HIV-Pharmaceuticals'!BC16,0)</f>
        <v>0</v>
      </c>
      <c r="N454" s="1194">
        <f>IF(SETUP!$F$22="Upfront",$E$453*'HIV-Pharmaceuticals'!BD16,0)</f>
        <v>0</v>
      </c>
      <c r="O454" s="1194">
        <f t="shared" si="65"/>
        <v>0</v>
      </c>
      <c r="P454" s="1328">
        <f>IF(SETUP!$F$22="Upfront",$E$453*'HIV-Pharmaceuticals'!BE16,0)</f>
        <v>0</v>
      </c>
      <c r="Q454" s="1194">
        <f>IF(SETUP!$F$22="Upfront",$E$453*'HIV-Pharmaceuticals'!BF16,0)</f>
        <v>0</v>
      </c>
      <c r="R454" s="1194">
        <f>IF(SETUP!$F$22="Upfront",$E$453*'HIV-Pharmaceuticals'!BG16,0)</f>
        <v>0</v>
      </c>
      <c r="S454" s="1194">
        <f>IF(SETUP!$F$22="Upfront",$E$453*'HIV-Pharmaceuticals'!BH16,0)</f>
        <v>0</v>
      </c>
      <c r="T454" s="1194">
        <f t="shared" si="66"/>
        <v>0</v>
      </c>
      <c r="U454" s="1328">
        <f t="shared" si="67"/>
        <v>0</v>
      </c>
      <c r="V454" s="1826">
        <v>7.4</v>
      </c>
      <c r="W454" s="1837"/>
      <c r="X454" s="764"/>
      <c r="Y454" s="1836"/>
      <c r="Z454" s="850"/>
      <c r="AA454" s="880"/>
      <c r="AB454" s="880"/>
      <c r="AC454" s="880"/>
      <c r="AD454" s="880"/>
      <c r="AE454" s="880"/>
      <c r="AF454" s="880"/>
      <c r="AG454" s="880"/>
      <c r="AH454" s="881"/>
      <c r="AI454" s="880"/>
      <c r="AJ454" s="880"/>
      <c r="AK454" s="880"/>
      <c r="AL454" s="880"/>
      <c r="AM454" s="880"/>
      <c r="AN454" s="880"/>
      <c r="AO454" s="880"/>
      <c r="AP454" s="880"/>
      <c r="AQ454" s="880"/>
      <c r="AR454" s="880"/>
      <c r="AS454" s="880"/>
      <c r="AT454" s="880"/>
      <c r="AU454" s="880"/>
      <c r="AV454" s="880"/>
      <c r="AW454" s="880"/>
      <c r="AX454" s="880"/>
      <c r="AY454" s="880"/>
      <c r="AZ454" s="880"/>
      <c r="BA454" s="880"/>
      <c r="BB454" s="880"/>
      <c r="BC454" s="880"/>
      <c r="BD454" s="880"/>
      <c r="BE454" s="880"/>
      <c r="BF454" s="880"/>
      <c r="BG454" s="880"/>
      <c r="BH454" s="880"/>
      <c r="BI454" s="880"/>
      <c r="BJ454" s="880"/>
      <c r="BK454" s="880"/>
      <c r="BL454" s="880"/>
      <c r="BM454" s="880"/>
      <c r="BN454" s="880"/>
      <c r="BO454" s="880"/>
      <c r="BP454" s="880"/>
      <c r="BQ454" s="880"/>
      <c r="BR454" s="880"/>
      <c r="BS454" s="880"/>
      <c r="BT454" s="880"/>
    </row>
    <row r="455" spans="1:72" s="882" customFormat="1" ht="12.75" hidden="1" customHeight="1" outlineLevel="1">
      <c r="A455" s="2893"/>
      <c r="B455" s="2894"/>
      <c r="C455" s="2912" t="s">
        <v>36</v>
      </c>
      <c r="D455" s="2912"/>
      <c r="E455" s="1652"/>
      <c r="F455" s="1328">
        <v>0</v>
      </c>
      <c r="G455" s="1194">
        <f>IF(SETUP!$F$22="At delivery",IF(SETUP!$G$22=1,$E$453*'HIV-Pharmaceuticals'!AW16,0),0)</f>
        <v>0</v>
      </c>
      <c r="H455" s="1194">
        <f>IF(SETUP!$F$22="At delivery",IF(SETUP!$G$22=2,$E$453*'HIV-Pharmaceuticals'!AW16,IF(SETUP!$G$22=1,$E$453*'HIV-Pharmaceuticals'!AX16,0)),0)</f>
        <v>0</v>
      </c>
      <c r="I455" s="1194">
        <f>IF(SETUP!$F$22="At delivery",IF(SETUP!$G$22=3,$E$453*'HIV-Pharmaceuticals'!AW16,IF(SETUP!$G$22=2,$E$453*'HIV-Pharmaceuticals'!AX16,IF(SETUP!$G$22=1,$E$453*'HIV-Pharmaceuticals'!AY16,0))),0)</f>
        <v>0</v>
      </c>
      <c r="J455" s="1194">
        <f t="shared" si="64"/>
        <v>0</v>
      </c>
      <c r="K455" s="1328">
        <f>IF(SETUP!$F$22="At delivery",IF(SETUP!$G$22=4,$E$453*'HIV-Pharmaceuticals'!AW16,IF(SETUP!$G$22=3,$E$453*'HIV-Pharmaceuticals'!AX16,IF(SETUP!$G$22=2,$E$453*'HIV-Pharmaceuticals'!AY16,IF(SETUP!$G$22=1,$E$453*'HIV-Pharmaceuticals'!AZ16,0)))),0)</f>
        <v>0</v>
      </c>
      <c r="L455" s="1194">
        <f>IF(SETUP!$F$22="At delivery",IF(SETUP!$G$22=4,$E$453*'HIV-Pharmaceuticals'!AX16,IF(SETUP!$G$22=3,$E$453*'HIV-Pharmaceuticals'!AY16,IF(SETUP!$G$22=2,$E$453*'HIV-Pharmaceuticals'!AZ16,IF(SETUP!$G$22=1,$E$453*'HIV-Pharmaceuticals'!BA16,0)))),0)</f>
        <v>0</v>
      </c>
      <c r="M455" s="1194">
        <f>IF(SETUP!$F$22="At delivery",IF(SETUP!$G$22=4,$E$453*'HIV-Pharmaceuticals'!AY16,IF(SETUP!$G$22=3,$E$453*'HIV-Pharmaceuticals'!AZ16,IF(SETUP!$G$22=2,$E$453*'HIV-Pharmaceuticals'!BA16,IF(SETUP!$G$22=1,$E$453*'HIV-Pharmaceuticals'!BB16,0)))),0)</f>
        <v>0</v>
      </c>
      <c r="N455" s="1194">
        <f>IF(SETUP!$F$22="At delivery",IF(SETUP!$G$22=4,$E$453*'HIV-Pharmaceuticals'!AZ16,IF(SETUP!$G$22=3,$E$453*'HIV-Pharmaceuticals'!BA16,IF(SETUP!$G$22=2,$E$453*'HIV-Pharmaceuticals'!BB16,IF(SETUP!$G$22=1,$E$453*'HIV-Pharmaceuticals'!BC16,0)))),0)</f>
        <v>0</v>
      </c>
      <c r="O455" s="1194">
        <f t="shared" si="65"/>
        <v>0</v>
      </c>
      <c r="P455" s="1328">
        <f>IF(SETUP!$F$22="At delivery",IF(SETUP!$G$22=4,$E$453*'HIV-Pharmaceuticals'!BA16,IF(SETUP!$G$22=3,$E$453*'HIV-Pharmaceuticals'!BB16,IF(SETUP!$G$22=2,$E$453*'HIV-Pharmaceuticals'!BC16,IF(SETUP!$G$22=1,$E$453*'HIV-Pharmaceuticals'!BD16,0)))),0)</f>
        <v>0</v>
      </c>
      <c r="Q455" s="1194">
        <f>IF(SETUP!$F$22="At delivery",IF(SETUP!$G$22=4,$E$453*'HIV-Pharmaceuticals'!BB16,IF(SETUP!$G$22=3,$E$453*'HIV-Pharmaceuticals'!BC16,IF(SETUP!$G$22=2,$E$453*'HIV-Pharmaceuticals'!BD16,IF(SETUP!$G$22=1,$E$453*'HIV-Pharmaceuticals'!BE16,0)))),0)</f>
        <v>0</v>
      </c>
      <c r="R455" s="1194">
        <f>IF(SETUP!$F$22="At delivery",IF(SETUP!$G$22=4,$E$453*'HIV-Pharmaceuticals'!BC16,IF(SETUP!$G$22=3,$E$453*'HIV-Pharmaceuticals'!BD16,IF(SETUP!$G$22=2,$E$453*'HIV-Pharmaceuticals'!BE16,IF(SETUP!$G$22=1,$E$453*'HIV-Pharmaceuticals'!BF16,0)))),0)</f>
        <v>0</v>
      </c>
      <c r="S455" s="1194">
        <f>IF(SETUP!$F$22="At delivery",IF(SETUP!$G$22=4,$E$453*('HIV-Pharmaceuticals'!BD16+'HIV-Pharmaceuticals'!BE16+'HIV-Pharmaceuticals'!BF16+'HIV-Pharmaceuticals'!BG16+'HIV-Pharmaceuticals'!BH16),IF(SETUP!$G$22=3,$E$453*('HIV-Pharmaceuticals'!BE16+'HIV-Pharmaceuticals'!BF16+'HIV-Pharmaceuticals'!BG16+'HIV-Pharmaceuticals'!BH16),IF(SETUP!$G$22=2,$E$453*('HIV-Pharmaceuticals'!BF16+'HIV-Pharmaceuticals'!BG16+'HIV-Pharmaceuticals'!BH16),IF(SETUP!$G$22=1,$E$453*('HIV-Pharmaceuticals'!BG16+'HIV-Pharmaceuticals'!BH16),0)))),0)</f>
        <v>0</v>
      </c>
      <c r="T455" s="1194">
        <f t="shared" si="66"/>
        <v>0</v>
      </c>
      <c r="U455" s="1328">
        <f t="shared" si="67"/>
        <v>0</v>
      </c>
      <c r="V455" s="1826">
        <v>7.4</v>
      </c>
      <c r="W455" s="1837"/>
      <c r="X455" s="764"/>
      <c r="Y455" s="1836"/>
      <c r="Z455" s="850"/>
      <c r="AA455" s="880"/>
      <c r="AB455" s="880"/>
      <c r="AC455" s="880"/>
      <c r="AD455" s="880"/>
      <c r="AE455" s="880"/>
      <c r="AF455" s="880"/>
      <c r="AG455" s="880"/>
      <c r="AH455" s="881"/>
      <c r="AI455" s="880"/>
      <c r="AJ455" s="880"/>
      <c r="AK455" s="880"/>
      <c r="AL455" s="880"/>
      <c r="AM455" s="880"/>
      <c r="AN455" s="880"/>
      <c r="AO455" s="880"/>
      <c r="AP455" s="880"/>
      <c r="AQ455" s="880"/>
      <c r="AR455" s="880"/>
      <c r="AS455" s="880"/>
      <c r="AT455" s="880"/>
      <c r="AU455" s="880"/>
      <c r="AV455" s="880"/>
      <c r="AW455" s="880"/>
      <c r="AX455" s="880"/>
      <c r="AY455" s="880"/>
      <c r="AZ455" s="880"/>
      <c r="BA455" s="880"/>
      <c r="BB455" s="880"/>
      <c r="BC455" s="880"/>
      <c r="BD455" s="880"/>
      <c r="BE455" s="880"/>
      <c r="BF455" s="880"/>
      <c r="BG455" s="880"/>
      <c r="BH455" s="880"/>
      <c r="BI455" s="880"/>
      <c r="BJ455" s="880"/>
      <c r="BK455" s="880"/>
      <c r="BL455" s="880"/>
      <c r="BM455" s="880"/>
      <c r="BN455" s="880"/>
      <c r="BO455" s="880"/>
      <c r="BP455" s="880"/>
      <c r="BQ455" s="880"/>
      <c r="BR455" s="880"/>
      <c r="BS455" s="880"/>
      <c r="BT455" s="880"/>
    </row>
    <row r="456" spans="1:72" s="882" customFormat="1" ht="13" collapsed="1">
      <c r="A456" s="2893"/>
      <c r="B456" s="2894"/>
      <c r="C456" s="2923" t="s">
        <v>1793</v>
      </c>
      <c r="D456" s="2923"/>
      <c r="E456" s="1651">
        <v>0</v>
      </c>
      <c r="F456" s="1328">
        <f>IF(SETUP!$F$23="Upfront",F457,F458)</f>
        <v>0</v>
      </c>
      <c r="G456" s="1194">
        <f>IF(SETUP!$F$23="Upfront",G457,G458)</f>
        <v>0</v>
      </c>
      <c r="H456" s="1194">
        <f>IF(SETUP!$F$23="Upfront",H457,H458)</f>
        <v>0</v>
      </c>
      <c r="I456" s="1194">
        <f>IF(SETUP!$F$23="Upfront",I457,I458)</f>
        <v>0</v>
      </c>
      <c r="J456" s="1194">
        <f t="shared" si="64"/>
        <v>0</v>
      </c>
      <c r="K456" s="1328">
        <f>IF(SETUP!$F$23="Upfront",K457,K458)</f>
        <v>0</v>
      </c>
      <c r="L456" s="1194">
        <f>IF(SETUP!$F$23="Upfront",L457,L458)</f>
        <v>0</v>
      </c>
      <c r="M456" s="1194">
        <f>IF(SETUP!$F$23="Upfront",M457,M458)</f>
        <v>0</v>
      </c>
      <c r="N456" s="1194">
        <f>IF(SETUP!$F$23="Upfront",N457,N458)</f>
        <v>0</v>
      </c>
      <c r="O456" s="1194">
        <f t="shared" si="65"/>
        <v>0</v>
      </c>
      <c r="P456" s="1328">
        <f>IF(SETUP!$F$23="Upfront",P457,P458)</f>
        <v>0</v>
      </c>
      <c r="Q456" s="1194">
        <f>IF(SETUP!$F$23="Upfront",Q457,Q458)</f>
        <v>0</v>
      </c>
      <c r="R456" s="1194">
        <f>IF(SETUP!$F$23="Upfront",R457,R458)</f>
        <v>0</v>
      </c>
      <c r="S456" s="1194">
        <f>IF(SETUP!$F$23="Upfront",S457,S458)</f>
        <v>0</v>
      </c>
      <c r="T456" s="1194">
        <f t="shared" si="66"/>
        <v>0</v>
      </c>
      <c r="U456" s="1328">
        <f t="shared" si="67"/>
        <v>0</v>
      </c>
      <c r="V456" s="1826">
        <v>7.4</v>
      </c>
      <c r="W456" s="1837"/>
      <c r="X456" s="764"/>
      <c r="Y456" s="1836"/>
      <c r="Z456" s="850"/>
      <c r="AA456" s="880"/>
      <c r="AB456" s="880"/>
      <c r="AC456" s="880"/>
      <c r="AD456" s="880"/>
      <c r="AE456" s="880"/>
      <c r="AF456" s="880"/>
      <c r="AG456" s="880"/>
      <c r="AH456" s="881"/>
      <c r="AI456" s="880"/>
      <c r="AJ456" s="880"/>
      <c r="AK456" s="880"/>
      <c r="AL456" s="880"/>
      <c r="AM456" s="880"/>
      <c r="AN456" s="880"/>
      <c r="AO456" s="880"/>
      <c r="AP456" s="880"/>
      <c r="AQ456" s="880"/>
      <c r="AR456" s="880"/>
      <c r="AS456" s="880"/>
      <c r="AT456" s="880"/>
      <c r="AU456" s="880"/>
      <c r="AV456" s="880"/>
      <c r="AW456" s="880"/>
      <c r="AX456" s="880"/>
      <c r="AY456" s="880"/>
      <c r="AZ456" s="880"/>
      <c r="BA456" s="880"/>
      <c r="BB456" s="880"/>
      <c r="BC456" s="880"/>
      <c r="BD456" s="880"/>
      <c r="BE456" s="880"/>
      <c r="BF456" s="880"/>
      <c r="BG456" s="880"/>
      <c r="BH456" s="880"/>
      <c r="BI456" s="880"/>
      <c r="BJ456" s="880"/>
      <c r="BK456" s="880"/>
      <c r="BL456" s="880"/>
      <c r="BM456" s="880"/>
      <c r="BN456" s="880"/>
      <c r="BO456" s="880"/>
      <c r="BP456" s="880"/>
      <c r="BQ456" s="880"/>
      <c r="BR456" s="880"/>
      <c r="BS456" s="880"/>
      <c r="BT456" s="880"/>
    </row>
    <row r="457" spans="1:72" s="882" customFormat="1" ht="12.75" hidden="1" customHeight="1" outlineLevel="1">
      <c r="A457" s="2893"/>
      <c r="B457" s="2894"/>
      <c r="C457" s="2912" t="s">
        <v>918</v>
      </c>
      <c r="D457" s="2912"/>
      <c r="E457" s="1653"/>
      <c r="F457" s="1328">
        <f>IF(SETUP!$F$23="Upfront",$E$456*'HIV-Equipment'!AV14,0)</f>
        <v>0</v>
      </c>
      <c r="G457" s="1194">
        <f>IF(SETUP!$F$23="Upfront",$E$456*'HIV-Equipment'!AW14,0)</f>
        <v>0</v>
      </c>
      <c r="H457" s="1194">
        <f>IF(SETUP!$F$23="Upfront",$E$456*'HIV-Equipment'!AX14,0)</f>
        <v>0</v>
      </c>
      <c r="I457" s="1194">
        <f>IF(SETUP!$F$23="Upfront",$E$456*'HIV-Equipment'!AY14,0)</f>
        <v>0</v>
      </c>
      <c r="J457" s="1194">
        <f t="shared" si="64"/>
        <v>0</v>
      </c>
      <c r="K457" s="1328">
        <f>IF(SETUP!$F$23="Upfront",$E$456*'HIV-Equipment'!AZ14,0)</f>
        <v>0</v>
      </c>
      <c r="L457" s="1194">
        <f>IF(SETUP!$F$23="Upfront",$E$456*'HIV-Equipment'!BA14,0)</f>
        <v>0</v>
      </c>
      <c r="M457" s="1194">
        <f>IF(SETUP!$F$23="Upfront",$E$456*'HIV-Equipment'!BB14,0)</f>
        <v>0</v>
      </c>
      <c r="N457" s="1194">
        <f>IF(SETUP!$F$23="Upfront",$E$456*'HIV-Equipment'!BC14,0)</f>
        <v>0</v>
      </c>
      <c r="O457" s="1194">
        <f t="shared" si="65"/>
        <v>0</v>
      </c>
      <c r="P457" s="1328">
        <f>IF(SETUP!$F$23="Upfront",$E$456*'HIV-Equipment'!BD14,0)</f>
        <v>0</v>
      </c>
      <c r="Q457" s="1194">
        <f>IF(SETUP!$F$23="Upfront",$E$456*'HIV-Equipment'!BE14,0)</f>
        <v>0</v>
      </c>
      <c r="R457" s="1194">
        <f>IF(SETUP!$F$23="Upfront",$E$456*'HIV-Equipment'!BF14,0)</f>
        <v>0</v>
      </c>
      <c r="S457" s="1194">
        <f>IF(SETUP!$F$23="Upfront",$E$456*'HIV-Equipment'!BG14,0)</f>
        <v>0</v>
      </c>
      <c r="T457" s="1194">
        <f t="shared" si="66"/>
        <v>0</v>
      </c>
      <c r="U457" s="1328">
        <f t="shared" si="67"/>
        <v>0</v>
      </c>
      <c r="V457" s="1826">
        <v>7.4</v>
      </c>
      <c r="W457" s="1837"/>
      <c r="X457" s="764"/>
      <c r="Y457" s="1836"/>
      <c r="Z457" s="850"/>
      <c r="AA457" s="880"/>
      <c r="AB457" s="880"/>
      <c r="AC457" s="880"/>
      <c r="AD457" s="880"/>
      <c r="AE457" s="880"/>
      <c r="AF457" s="880"/>
      <c r="AG457" s="880"/>
      <c r="AH457" s="881"/>
      <c r="AI457" s="880"/>
      <c r="AJ457" s="880"/>
      <c r="AK457" s="880"/>
      <c r="AL457" s="880"/>
      <c r="AM457" s="880"/>
      <c r="AN457" s="880"/>
      <c r="AO457" s="880"/>
      <c r="AP457" s="880"/>
      <c r="AQ457" s="880"/>
      <c r="AR457" s="880"/>
      <c r="AS457" s="880"/>
      <c r="AT457" s="880"/>
      <c r="AU457" s="880"/>
      <c r="AV457" s="880"/>
      <c r="AW457" s="880"/>
      <c r="AX457" s="880"/>
      <c r="AY457" s="880"/>
      <c r="AZ457" s="880"/>
      <c r="BA457" s="880"/>
      <c r="BB457" s="880"/>
      <c r="BC457" s="880"/>
      <c r="BD457" s="880"/>
      <c r="BE457" s="880"/>
      <c r="BF457" s="880"/>
      <c r="BG457" s="880"/>
      <c r="BH457" s="880"/>
      <c r="BI457" s="880"/>
      <c r="BJ457" s="880"/>
      <c r="BK457" s="880"/>
      <c r="BL457" s="880"/>
      <c r="BM457" s="880"/>
      <c r="BN457" s="880"/>
      <c r="BO457" s="880"/>
      <c r="BP457" s="880"/>
      <c r="BQ457" s="880"/>
      <c r="BR457" s="880"/>
      <c r="BS457" s="880"/>
      <c r="BT457" s="880"/>
    </row>
    <row r="458" spans="1:72" s="882" customFormat="1" ht="12.75" hidden="1" customHeight="1" outlineLevel="1">
      <c r="A458" s="2893"/>
      <c r="B458" s="2894"/>
      <c r="C458" s="2912" t="s">
        <v>36</v>
      </c>
      <c r="D458" s="2912"/>
      <c r="E458" s="1652"/>
      <c r="F458" s="1328">
        <v>0</v>
      </c>
      <c r="G458" s="1194">
        <f>IF(SETUP!$F$23="At delivery",IF(SETUP!$G$23=1,$E$457*'HIV-Equipment'!AV14,0),0)</f>
        <v>0</v>
      </c>
      <c r="H458" s="1194">
        <f>IF(SETUP!$F$23="At delivery",IF(SETUP!$G$23=2,$E$457*'HIV-Equipment'!AV14,IF(SETUP!$G$23=1,$E$457*'HIV-Equipment'!AW14,0)),0)</f>
        <v>0</v>
      </c>
      <c r="I458" s="1194">
        <f>IF(SETUP!$F$23="At delivery",IF(SETUP!$G$23=3,$E$457*'HIV-Equipment'!AV14,IF(SETUP!$G$23=2,$E$457*'HIV-Equipment'!AW14,IF(SETUP!$G$23=1,$E$457*'HIV-Equipment'!AX14,0))),0)</f>
        <v>0</v>
      </c>
      <c r="J458" s="1194">
        <f t="shared" si="64"/>
        <v>0</v>
      </c>
      <c r="K458" s="1328">
        <f>IF(SETUP!$F$23="At delivery",IF(SETUP!$G$23=4,$E$457*'HIV-Equipment'!AV14,IF(SETUP!$G$23=3,$E$457*'HIV-Equipment'!AW14,IF(SETUP!$G$23=2,$E$457*'HIV-Equipment'!AX14,IF(SETUP!$G$23=1,$E$457*'HIV-Equipment'!AY14,0)))),0)</f>
        <v>0</v>
      </c>
      <c r="L458" s="1194">
        <f>IF(SETUP!$F$23="At delivery",IF(SETUP!$G$23=4,$E$457*'HIV-Equipment'!AW14,IF(SETUP!$G$23=3,$E$457*'HIV-Equipment'!AX14,IF(SETUP!$G$23=2,$E$457*'HIV-Equipment'!AY14,IF(SETUP!$G$23=1,$E$457*'HIV-Equipment'!AZ14,0)))),0)</f>
        <v>0</v>
      </c>
      <c r="M458" s="1194">
        <f>IF(SETUP!$F$23="At delivery",IF(SETUP!$G$23=4,$E$457*'HIV-Equipment'!AX14,IF(SETUP!$G$23=3,$E$457*'HIV-Equipment'!AY14,IF(SETUP!$G$23=2,$E$457*'HIV-Equipment'!AZ14,IF(SETUP!$G$23=1,$E$457*'HIV-Equipment'!BA14,0)))),0)</f>
        <v>0</v>
      </c>
      <c r="N458" s="1194">
        <f>IF(SETUP!$F$23="At delivery",IF(SETUP!$G$23=4,$E$457*'HIV-Equipment'!AY14,IF(SETUP!$G$23=3,$E$457*'HIV-Equipment'!AZ14,IF(SETUP!$G$23=2,$E$457*'HIV-Equipment'!BA14,IF(SETUP!$G$23=1,$E$457*'HIV-Equipment'!BB14,0)))),0)</f>
        <v>0</v>
      </c>
      <c r="O458" s="1194">
        <f t="shared" si="65"/>
        <v>0</v>
      </c>
      <c r="P458" s="1328">
        <f>IF(SETUP!$F$23="At delivery",IF(SETUP!$G$23=4,$E$457*'HIV-Equipment'!AZ14,IF(SETUP!$G$23=3,$E$457*'HIV-Equipment'!BA14,IF(SETUP!$G$23=2,$E$457*'HIV-Equipment'!BB14,IF(SETUP!$G$23=1,$E$457*'HIV-Equipment'!BC14,0)))),0)</f>
        <v>0</v>
      </c>
      <c r="Q458" s="1194">
        <f>IF(SETUP!$F$23="At delivery",IF(SETUP!$G$23=4,$E$457*'HIV-Equipment'!BA14,IF(SETUP!$G$23=3,$E$457*'HIV-Equipment'!BB14,IF(SETUP!$G$23=2,$E$457*'HIV-Equipment'!BC14,IF(SETUP!$G$23=1,$E$457*'HIV-Equipment'!BD14,0)))),0)</f>
        <v>0</v>
      </c>
      <c r="R458" s="1194">
        <f>IF(SETUP!$F$23="At delivery",IF(SETUP!$G$23=4,$E$457*'HIV-Equipment'!BB14,IF(SETUP!$G$23=3,$E$457*'HIV-Equipment'!BC14,IF(SETUP!$G$23=2,$E$457*'HIV-Equipment'!BD14,IF(SETUP!$G$23=1,$E$457*'HIV-Equipment'!BE14,0)))),0)</f>
        <v>0</v>
      </c>
      <c r="S458" s="1194">
        <f>IF(SETUP!$F$23="At delivery",IF(SETUP!$G$23=4,$E$457*('HIV-Equipment'!BC14+'HIV-Equipment'!BD14+'HIV-Equipment'!BE14+'HIV-Equipment'!BF14+'HIV-Equipment'!BG14),IF(SETUP!$G$23=3,$E$457*('HIV-Equipment'!BD14+'HIV-Equipment'!BE14+'HIV-Equipment'!BF14+'HIV-Equipment'!BG14),IF(SETUP!$G$23=2,$E$457*('HIV-Equipment'!BE14+'HIV-Equipment'!BF14+'HIV-Equipment'!BG14),IF(SETUP!$G$23=1,$E$457*('HIV-Equipment'!BF14+'HIV-Equipment'!BG14),0)))),0)</f>
        <v>0</v>
      </c>
      <c r="T458" s="1194">
        <f t="shared" si="66"/>
        <v>0</v>
      </c>
      <c r="U458" s="1328">
        <f t="shared" si="67"/>
        <v>0</v>
      </c>
      <c r="V458" s="1826">
        <v>7.4</v>
      </c>
      <c r="W458" s="1837"/>
      <c r="X458" s="764"/>
      <c r="Y458" s="1836"/>
      <c r="Z458" s="850"/>
      <c r="AA458" s="880"/>
      <c r="AB458" s="880"/>
      <c r="AC458" s="880"/>
      <c r="AD458" s="880"/>
      <c r="AE458" s="880"/>
      <c r="AF458" s="880"/>
      <c r="AG458" s="880"/>
      <c r="AH458" s="881"/>
      <c r="AI458" s="880"/>
      <c r="AJ458" s="880"/>
      <c r="AK458" s="880"/>
      <c r="AL458" s="880"/>
      <c r="AM458" s="880"/>
      <c r="AN458" s="880"/>
      <c r="AO458" s="880"/>
      <c r="AP458" s="880"/>
      <c r="AQ458" s="880"/>
      <c r="AR458" s="880"/>
      <c r="AS458" s="880"/>
      <c r="AT458" s="880"/>
      <c r="AU458" s="880"/>
      <c r="AV458" s="880"/>
      <c r="AW458" s="880"/>
      <c r="AX458" s="880"/>
      <c r="AY458" s="880"/>
      <c r="AZ458" s="880"/>
      <c r="BA458" s="880"/>
      <c r="BB458" s="880"/>
      <c r="BC458" s="880"/>
      <c r="BD458" s="880"/>
      <c r="BE458" s="880"/>
      <c r="BF458" s="880"/>
      <c r="BG458" s="880"/>
      <c r="BH458" s="880"/>
      <c r="BI458" s="880"/>
      <c r="BJ458" s="880"/>
      <c r="BK458" s="880"/>
      <c r="BL458" s="880"/>
      <c r="BM458" s="880"/>
      <c r="BN458" s="880"/>
      <c r="BO458" s="880"/>
      <c r="BP458" s="880"/>
      <c r="BQ458" s="880"/>
      <c r="BR458" s="880"/>
      <c r="BS458" s="880"/>
      <c r="BT458" s="880"/>
    </row>
    <row r="459" spans="1:72" s="882" customFormat="1" ht="13" collapsed="1">
      <c r="A459" s="2893" t="s">
        <v>565</v>
      </c>
      <c r="B459" s="2894"/>
      <c r="C459" s="2911" t="s">
        <v>228</v>
      </c>
      <c r="D459" s="2911"/>
      <c r="E459" s="1651">
        <v>0</v>
      </c>
      <c r="F459" s="1328">
        <f>IF(SETUP!$F$27="Upfront",F460,F461)</f>
        <v>0</v>
      </c>
      <c r="G459" s="1194">
        <f>IF(SETUP!$F$27="Upfront",G460,G461)</f>
        <v>0</v>
      </c>
      <c r="H459" s="1194">
        <f>IF(SETUP!$F$27="Upfront",H460,H461)</f>
        <v>0</v>
      </c>
      <c r="I459" s="1194">
        <f>IF(SETUP!$F$27="Upfront",I460,I461)</f>
        <v>0</v>
      </c>
      <c r="J459" s="1194">
        <f t="shared" si="64"/>
        <v>0</v>
      </c>
      <c r="K459" s="1328">
        <f>IF(SETUP!$F$27="Upfront",K460,K461)</f>
        <v>0</v>
      </c>
      <c r="L459" s="1194">
        <f>IF(SETUP!$F$27="Upfront",L460,L461)</f>
        <v>0</v>
      </c>
      <c r="M459" s="1194">
        <f>IF(SETUP!$F$27="Upfront",M460,M461)</f>
        <v>0</v>
      </c>
      <c r="N459" s="1194">
        <f>IF(SETUP!$F$27="Upfront",N460,N461)</f>
        <v>0</v>
      </c>
      <c r="O459" s="1194">
        <f t="shared" si="65"/>
        <v>0</v>
      </c>
      <c r="P459" s="1328">
        <f>IF(SETUP!$F$27="Upfront",P460,P461)</f>
        <v>0</v>
      </c>
      <c r="Q459" s="1194">
        <f>IF(SETUP!$F$27="Upfront",Q460,Q461)</f>
        <v>0</v>
      </c>
      <c r="R459" s="1194">
        <f>IF(SETUP!$F$27="Upfront",R460,R461)</f>
        <v>0</v>
      </c>
      <c r="S459" s="1194">
        <f>IF(SETUP!$F$27="Upfront",S460,S461)</f>
        <v>0</v>
      </c>
      <c r="T459" s="1194">
        <f t="shared" si="66"/>
        <v>0</v>
      </c>
      <c r="U459" s="1328">
        <f t="shared" si="67"/>
        <v>0</v>
      </c>
      <c r="V459" s="1826">
        <v>7.4</v>
      </c>
      <c r="W459" s="1837"/>
      <c r="X459" s="764"/>
      <c r="Y459" s="1836"/>
      <c r="Z459" s="850"/>
      <c r="AA459" s="880"/>
      <c r="AB459" s="880"/>
      <c r="AC459" s="880"/>
      <c r="AD459" s="880"/>
      <c r="AE459" s="880"/>
      <c r="AF459" s="880"/>
      <c r="AG459" s="880"/>
      <c r="AH459" s="881"/>
      <c r="AI459" s="880"/>
      <c r="AJ459" s="880"/>
      <c r="AK459" s="880"/>
      <c r="AL459" s="880"/>
      <c r="AM459" s="880"/>
      <c r="AN459" s="880"/>
      <c r="AO459" s="880"/>
      <c r="AP459" s="880"/>
      <c r="AQ459" s="880"/>
      <c r="AR459" s="880"/>
      <c r="AS459" s="880"/>
      <c r="AT459" s="880"/>
      <c r="AU459" s="880"/>
      <c r="AV459" s="880"/>
      <c r="AW459" s="880"/>
      <c r="AX459" s="880"/>
      <c r="AY459" s="880"/>
      <c r="AZ459" s="880"/>
      <c r="BA459" s="880"/>
      <c r="BB459" s="880"/>
      <c r="BC459" s="880"/>
      <c r="BD459" s="880"/>
      <c r="BE459" s="880"/>
      <c r="BF459" s="880"/>
      <c r="BG459" s="880"/>
      <c r="BH459" s="880"/>
      <c r="BI459" s="880"/>
      <c r="BJ459" s="880"/>
      <c r="BK459" s="880"/>
      <c r="BL459" s="880"/>
      <c r="BM459" s="880"/>
      <c r="BN459" s="880"/>
      <c r="BO459" s="880"/>
      <c r="BP459" s="880"/>
      <c r="BQ459" s="880"/>
      <c r="BR459" s="880"/>
      <c r="BS459" s="880"/>
      <c r="BT459" s="880"/>
    </row>
    <row r="460" spans="1:72" s="882" customFormat="1" ht="16.149999999999999" hidden="1" customHeight="1" outlineLevel="1">
      <c r="A460" s="2893"/>
      <c r="B460" s="2894"/>
      <c r="C460" s="2912" t="s">
        <v>918</v>
      </c>
      <c r="D460" s="2912"/>
      <c r="E460" s="1653"/>
      <c r="F460" s="1328">
        <f>IF(SETUP!$F$27="Upfront",$E$459*'HIV-Other HPs'!AW14,0)</f>
        <v>0</v>
      </c>
      <c r="G460" s="1194">
        <f>IF(SETUP!$F$27="Upfront",$E$459*'HIV-Other HPs'!AX14,0)</f>
        <v>0</v>
      </c>
      <c r="H460" s="1194">
        <f>IF(SETUP!$F$27="Upfront",$E$459*'HIV-Other HPs'!AY14,0)</f>
        <v>0</v>
      </c>
      <c r="I460" s="1194">
        <f>IF(SETUP!$F$27="Upfront",$E$459*'HIV-Other HPs'!AZ14,0)</f>
        <v>0</v>
      </c>
      <c r="J460" s="1194">
        <f t="shared" si="64"/>
        <v>0</v>
      </c>
      <c r="K460" s="1328">
        <f>IF(SETUP!$F$27="Upfront",$E$459*'HIV-Other HPs'!BA14,0)</f>
        <v>0</v>
      </c>
      <c r="L460" s="1194">
        <f>IF(SETUP!$F$27="Upfront",$E$459*'HIV-Other HPs'!BB14,0)</f>
        <v>0</v>
      </c>
      <c r="M460" s="1194">
        <f>IF(SETUP!$F$27="Upfront",$E$459*'HIV-Other HPs'!BC14,0)</f>
        <v>0</v>
      </c>
      <c r="N460" s="1194">
        <f>IF(SETUP!$F$27="Upfront",$E$459*'HIV-Other HPs'!BD14,0)</f>
        <v>0</v>
      </c>
      <c r="O460" s="1194">
        <f t="shared" si="65"/>
        <v>0</v>
      </c>
      <c r="P460" s="1328">
        <f>IF(SETUP!$F$27="Upfront",$E$459*'HIV-Other HPs'!BE14,0)</f>
        <v>0</v>
      </c>
      <c r="Q460" s="1194">
        <f>IF(SETUP!$F$27="Upfront",$E$459*'HIV-Other HPs'!BF14,0)</f>
        <v>0</v>
      </c>
      <c r="R460" s="1194">
        <f>IF(SETUP!$F$27="Upfront",$E$459*'HIV-Other HPs'!BG14,0)</f>
        <v>0</v>
      </c>
      <c r="S460" s="1194">
        <f>IF(SETUP!$F$27="Upfront",$E$459*'HIV-Other HPs'!BH14,0)</f>
        <v>0</v>
      </c>
      <c r="T460" s="1194">
        <f t="shared" si="66"/>
        <v>0</v>
      </c>
      <c r="U460" s="1328">
        <f t="shared" si="67"/>
        <v>0</v>
      </c>
      <c r="V460" s="1826">
        <v>7.4</v>
      </c>
      <c r="W460" s="1837"/>
      <c r="X460" s="764"/>
      <c r="Y460" s="1836"/>
      <c r="Z460" s="850"/>
      <c r="AA460" s="880"/>
      <c r="AB460" s="880"/>
      <c r="AC460" s="880"/>
      <c r="AD460" s="880"/>
      <c r="AE460" s="880"/>
      <c r="AF460" s="880"/>
      <c r="AG460" s="880"/>
      <c r="AH460" s="881"/>
      <c r="AI460" s="880"/>
      <c r="AJ460" s="880"/>
      <c r="AK460" s="880"/>
      <c r="AL460" s="880"/>
      <c r="AM460" s="880"/>
      <c r="AN460" s="880"/>
      <c r="AO460" s="880"/>
      <c r="AP460" s="880"/>
      <c r="AQ460" s="880"/>
      <c r="AR460" s="880"/>
      <c r="AS460" s="880"/>
      <c r="AT460" s="880"/>
      <c r="AU460" s="880"/>
      <c r="AV460" s="880"/>
      <c r="AW460" s="880"/>
      <c r="AX460" s="880"/>
      <c r="AY460" s="880"/>
      <c r="AZ460" s="880"/>
      <c r="BA460" s="880"/>
      <c r="BB460" s="880"/>
      <c r="BC460" s="880"/>
      <c r="BD460" s="880"/>
      <c r="BE460" s="880"/>
      <c r="BF460" s="880"/>
      <c r="BG460" s="880"/>
      <c r="BH460" s="880"/>
      <c r="BI460" s="880"/>
      <c r="BJ460" s="880"/>
      <c r="BK460" s="880"/>
      <c r="BL460" s="880"/>
      <c r="BM460" s="880"/>
      <c r="BN460" s="880"/>
      <c r="BO460" s="880"/>
      <c r="BP460" s="880"/>
      <c r="BQ460" s="880"/>
      <c r="BR460" s="880"/>
      <c r="BS460" s="880"/>
      <c r="BT460" s="880"/>
    </row>
    <row r="461" spans="1:72" s="882" customFormat="1" ht="16.149999999999999" hidden="1" customHeight="1" outlineLevel="1">
      <c r="A461" s="2893"/>
      <c r="B461" s="2894"/>
      <c r="C461" s="2912" t="s">
        <v>36</v>
      </c>
      <c r="D461" s="2912"/>
      <c r="E461" s="1649"/>
      <c r="F461" s="1328">
        <v>0</v>
      </c>
      <c r="G461" s="1194">
        <f>IF(SETUP!$F$27="At delivery",IF(SETUP!$G$27=1,$E$459*'HIV-Other HPs'!AW14,0),0)</f>
        <v>0</v>
      </c>
      <c r="H461" s="1194">
        <f>IF(SETUP!$F$27="At delivery",IF(SETUP!$G$27=2,$E$459*'HIV-Other HPs'!AW14,IF(SETUP!$G$27=1,$E$459*'HIV-Other HPs'!AX14,0)),0)</f>
        <v>0</v>
      </c>
      <c r="I461" s="1194">
        <f>IF(SETUP!$F$27="At delivery",IF(SETUP!$G$27=3,$E$459*'HIV-Other HPs'!AW14,IF(SETUP!$G$27=2,$E$459*'HIV-Other HPs'!AX14,IF(SETUP!$G$27=1,$E$459*'HIV-Other HPs'!AY14,0))),0)</f>
        <v>0</v>
      </c>
      <c r="J461" s="1194">
        <f t="shared" si="64"/>
        <v>0</v>
      </c>
      <c r="K461" s="1328">
        <f>IF(SETUP!$F$27="At delivery",IF(SETUP!$G$27=4,$E$459*'HIV-Other HPs'!AW14,IF(SETUP!$G$27=3,$E$459*'HIV-Other HPs'!AX14,IF(SETUP!$G$27=2,$E$459*'HIV-Other HPs'!AY14,IF(SETUP!$G$27=1,$E$459*'HIV-Other HPs'!AZ14,0)))),0)</f>
        <v>0</v>
      </c>
      <c r="L461" s="1194">
        <f>IF(SETUP!$F$27="At delivery",IF(SETUP!$G$27=4,$E$459*'HIV-Other HPs'!AX14,IF(SETUP!$G$27=3,$E$459*'HIV-Other HPs'!AY14,IF(SETUP!$G$27=2,$E$459*'HIV-Other HPs'!AZ14,IF(SETUP!$G$27=1,$E$459*'HIV-Other HPs'!BA14,0)))),0)</f>
        <v>0</v>
      </c>
      <c r="M461" s="1194">
        <f>IF(SETUP!$F$27="At delivery",IF(SETUP!$G$27=4,$E$459*'HIV-Other HPs'!AY14,IF(SETUP!$G$27=3,$E$459*'HIV-Other HPs'!AZ14,IF(SETUP!$G$27=2,$E$459*'HIV-Other HPs'!BA14,IF(SETUP!$G$27=1,$E$459*'HIV-Other HPs'!BB14,0)))),0)</f>
        <v>0</v>
      </c>
      <c r="N461" s="1194">
        <f>IF(SETUP!$F$27="At delivery",IF(SETUP!$G$27=4,$E$459*'HIV-Other HPs'!AZ14,IF(SETUP!$G$27=3,$E$459*'HIV-Other HPs'!BA14,IF(SETUP!$G$27=2,$E$459*'HIV-Other HPs'!BB14,IF(SETUP!$G$27=1,$E$459*'HIV-Other HPs'!BC14,0)))),0)</f>
        <v>0</v>
      </c>
      <c r="O461" s="1194">
        <f t="shared" si="65"/>
        <v>0</v>
      </c>
      <c r="P461" s="1328">
        <f>IF(SETUP!$F$27="At delivery",IF(SETUP!$G$27=4,$E$459*'HIV-Other HPs'!BA14,IF(SETUP!$G$27=3,$E$459*'HIV-Other HPs'!BB14,IF(SETUP!$G$27=2,$E$459*'HIV-Other HPs'!BC14,IF(SETUP!$G$27=1,$E$459*'HIV-Other HPs'!BD14,0)))),0)</f>
        <v>0</v>
      </c>
      <c r="Q461" s="1194">
        <f>IF(SETUP!$F$27="At delivery",IF(SETUP!$G$27=4,$E$459*'HIV-Other HPs'!BB14,IF(SETUP!$G$27=3,$E$459*'HIV-Other HPs'!BC14,IF(SETUP!$G$27=2,$E$459*'HIV-Other HPs'!BD14,IF(SETUP!$G$27=1,$E$459*'HIV-Other HPs'!BE14,0)))),0)</f>
        <v>0</v>
      </c>
      <c r="R461" s="1194">
        <f>IF(SETUP!$F$27="At delivery",IF(SETUP!$G$27=4,$E$459*'HIV-Other HPs'!BC14,IF(SETUP!$G$27=3,$E$459*'HIV-Other HPs'!BD14,IF(SETUP!$G$27=2,$E$459*'HIV-Other HPs'!BE14,IF(SETUP!$G$27=1,$E$459*'HIV-Other HPs'!BF14,0)))),0)</f>
        <v>0</v>
      </c>
      <c r="S461" s="1194">
        <f>IF(SETUP!$F$27="At delivery",IF(SETUP!$G$27=4,$E$459*('HIV-Other HPs'!BD14+'HIV-Other HPs'!BE14+'HIV-Other HPs'!BF14+'HIV-Other HPs'!BG14+'HIV-Other HPs'!BH14),IF(SETUP!$G$27=3,$E$459*('HIV-Other HPs'!BE14+'HIV-Other HPs'!BF14+'HIV-Other HPs'!BG14+'HIV-Other HPs'!BH14),IF(SETUP!$G$27=2,$E$459*('HIV-Other HPs'!BF14+'HIV-Other HPs'!BG14+'HIV-Other HPs'!BH14),IF(SETUP!$G$27=1,$E$459*('HIV-Other HPs'!BG14+'HIV-Other HPs'!BH14),0)))),0)</f>
        <v>0</v>
      </c>
      <c r="T461" s="1194">
        <f t="shared" si="66"/>
        <v>0</v>
      </c>
      <c r="U461" s="1328">
        <f t="shared" si="67"/>
        <v>0</v>
      </c>
      <c r="V461" s="1826">
        <v>7.4</v>
      </c>
      <c r="W461" s="1837"/>
      <c r="X461" s="764"/>
      <c r="Y461" s="1836"/>
      <c r="Z461" s="850"/>
      <c r="AA461" s="880"/>
      <c r="AB461" s="880"/>
      <c r="AC461" s="880"/>
      <c r="AD461" s="880"/>
      <c r="AE461" s="880"/>
      <c r="AF461" s="880"/>
      <c r="AG461" s="880"/>
      <c r="AH461" s="881"/>
      <c r="AI461" s="880"/>
      <c r="AJ461" s="880"/>
      <c r="AK461" s="880"/>
      <c r="AL461" s="880"/>
      <c r="AM461" s="880"/>
      <c r="AN461" s="880"/>
      <c r="AO461" s="880"/>
      <c r="AP461" s="880"/>
      <c r="AQ461" s="880"/>
      <c r="AR461" s="880"/>
      <c r="AS461" s="880"/>
      <c r="AT461" s="880"/>
      <c r="AU461" s="880"/>
      <c r="AV461" s="880"/>
      <c r="AW461" s="880"/>
      <c r="AX461" s="880"/>
      <c r="AY461" s="880"/>
      <c r="AZ461" s="880"/>
      <c r="BA461" s="880"/>
      <c r="BB461" s="880"/>
      <c r="BC461" s="880"/>
      <c r="BD461" s="880"/>
      <c r="BE461" s="880"/>
      <c r="BF461" s="880"/>
      <c r="BG461" s="880"/>
      <c r="BH461" s="880"/>
      <c r="BI461" s="880"/>
      <c r="BJ461" s="880"/>
      <c r="BK461" s="880"/>
      <c r="BL461" s="880"/>
      <c r="BM461" s="880"/>
      <c r="BN461" s="880"/>
      <c r="BO461" s="880"/>
      <c r="BP461" s="880"/>
      <c r="BQ461" s="880"/>
      <c r="BR461" s="880"/>
      <c r="BS461" s="880"/>
      <c r="BT461" s="880"/>
    </row>
    <row r="462" spans="1:72" s="882" customFormat="1" ht="13" collapsed="1">
      <c r="A462" s="2893"/>
      <c r="B462" s="2894"/>
      <c r="C462" s="2911" t="s">
        <v>232</v>
      </c>
      <c r="D462" s="2911"/>
      <c r="E462" s="1651">
        <v>0</v>
      </c>
      <c r="F462" s="1328">
        <f>IF(SETUP!$F$28="Upfront",F463,F464)</f>
        <v>0</v>
      </c>
      <c r="G462" s="1194">
        <f>IF(SETUP!$F$28="Upfront",G463,G464)</f>
        <v>0</v>
      </c>
      <c r="H462" s="1194">
        <f>IF(SETUP!$F$28="Upfront",H463,H464)</f>
        <v>0</v>
      </c>
      <c r="I462" s="1194">
        <f>IF(SETUP!$F$28="Upfront",I463,I464)</f>
        <v>0</v>
      </c>
      <c r="J462" s="1194">
        <f t="shared" si="64"/>
        <v>0</v>
      </c>
      <c r="K462" s="1328">
        <f>IF(SETUP!$F$28="Upfront",K463,K464)</f>
        <v>0</v>
      </c>
      <c r="L462" s="1194">
        <f>IF(SETUP!$F$28="Upfront",L463,L464)</f>
        <v>0</v>
      </c>
      <c r="M462" s="1194">
        <f>IF(SETUP!$F$28="Upfront",M463,M464)</f>
        <v>0</v>
      </c>
      <c r="N462" s="1194">
        <f>IF(SETUP!$F$28="Upfront",N463,N464)</f>
        <v>0</v>
      </c>
      <c r="O462" s="1194">
        <f t="shared" si="65"/>
        <v>0</v>
      </c>
      <c r="P462" s="1328">
        <f>IF(SETUP!$F$28="Upfront",P463,P464)</f>
        <v>0</v>
      </c>
      <c r="Q462" s="1194">
        <f>IF(SETUP!$F$28="Upfront",Q463,Q464)</f>
        <v>0</v>
      </c>
      <c r="R462" s="1194">
        <f>IF(SETUP!$F$28="Upfront",R463,R464)</f>
        <v>0</v>
      </c>
      <c r="S462" s="1194">
        <f>IF(SETUP!$F$28="Upfront",S463,S464)</f>
        <v>0</v>
      </c>
      <c r="T462" s="1194">
        <f t="shared" si="66"/>
        <v>0</v>
      </c>
      <c r="U462" s="1328">
        <f t="shared" si="67"/>
        <v>0</v>
      </c>
      <c r="V462" s="1826">
        <v>7.4</v>
      </c>
      <c r="W462" s="1837"/>
      <c r="X462" s="764"/>
      <c r="Y462" s="1836"/>
      <c r="Z462" s="850"/>
      <c r="AA462" s="880"/>
      <c r="AB462" s="880"/>
      <c r="AC462" s="880"/>
      <c r="AD462" s="880"/>
      <c r="AE462" s="880"/>
      <c r="AF462" s="880"/>
      <c r="AG462" s="880"/>
      <c r="AH462" s="881"/>
      <c r="AI462" s="880"/>
      <c r="AJ462" s="880"/>
      <c r="AK462" s="880"/>
      <c r="AL462" s="880"/>
      <c r="AM462" s="880"/>
      <c r="AN462" s="880"/>
      <c r="AO462" s="880"/>
      <c r="AP462" s="880"/>
      <c r="AQ462" s="880"/>
      <c r="AR462" s="880"/>
      <c r="AS462" s="880"/>
      <c r="AT462" s="880"/>
      <c r="AU462" s="880"/>
      <c r="AV462" s="880"/>
      <c r="AW462" s="880"/>
      <c r="AX462" s="880"/>
      <c r="AY462" s="880"/>
      <c r="AZ462" s="880"/>
      <c r="BA462" s="880"/>
      <c r="BB462" s="880"/>
      <c r="BC462" s="880"/>
      <c r="BD462" s="880"/>
      <c r="BE462" s="880"/>
      <c r="BF462" s="880"/>
      <c r="BG462" s="880"/>
      <c r="BH462" s="880"/>
      <c r="BI462" s="880"/>
      <c r="BJ462" s="880"/>
      <c r="BK462" s="880"/>
      <c r="BL462" s="880"/>
      <c r="BM462" s="880"/>
      <c r="BN462" s="880"/>
      <c r="BO462" s="880"/>
      <c r="BP462" s="880"/>
      <c r="BQ462" s="880"/>
      <c r="BR462" s="880"/>
      <c r="BS462" s="880"/>
      <c r="BT462" s="880"/>
    </row>
    <row r="463" spans="1:72" s="882" customFormat="1" ht="16.149999999999999" hidden="1" customHeight="1" outlineLevel="1">
      <c r="A463" s="2893"/>
      <c r="B463" s="2894"/>
      <c r="C463" s="2912" t="s">
        <v>918</v>
      </c>
      <c r="D463" s="2912"/>
      <c r="E463" s="1649"/>
      <c r="F463" s="1328">
        <f>IF(SETUP!$F$28="Upfront",$E$462*'HIV-Other HPs'!AW15,0)</f>
        <v>0</v>
      </c>
      <c r="G463" s="1194">
        <f>IF(SETUP!$F$28="Upfront",$E$462*'HIV-Other HPs'!AX15,0)</f>
        <v>0</v>
      </c>
      <c r="H463" s="1194">
        <f>IF(SETUP!$F$28="Upfront",$E$462*'HIV-Other HPs'!AY15,0)</f>
        <v>0</v>
      </c>
      <c r="I463" s="1194">
        <f>IF(SETUP!$F$28="Upfront",$E$462*'HIV-Other HPs'!AZ15,0)</f>
        <v>0</v>
      </c>
      <c r="J463" s="1194">
        <f t="shared" si="64"/>
        <v>0</v>
      </c>
      <c r="K463" s="1328">
        <f>IF(SETUP!$F$28="Upfront",$E$462*'HIV-Other HPs'!BA15,0)</f>
        <v>0</v>
      </c>
      <c r="L463" s="1194">
        <f>IF(SETUP!$F$28="Upfront",$E$462*'HIV-Other HPs'!BB15,0)</f>
        <v>0</v>
      </c>
      <c r="M463" s="1194">
        <f>IF(SETUP!$F$28="Upfront",$E$462*'HIV-Other HPs'!BC15,0)</f>
        <v>0</v>
      </c>
      <c r="N463" s="1194">
        <f>IF(SETUP!$F$28="Upfront",$E$462*'HIV-Other HPs'!BD15,0)</f>
        <v>0</v>
      </c>
      <c r="O463" s="1194">
        <f t="shared" si="65"/>
        <v>0</v>
      </c>
      <c r="P463" s="1328">
        <f>IF(SETUP!$F$28="Upfront",$E$462*'HIV-Other HPs'!BE15,0)</f>
        <v>0</v>
      </c>
      <c r="Q463" s="1194">
        <f>IF(SETUP!$F$28="Upfront",$E$462*'HIV-Other HPs'!BF15,0)</f>
        <v>0</v>
      </c>
      <c r="R463" s="1194">
        <f>IF(SETUP!$F$28="Upfront",$E$462*'HIV-Other HPs'!BG15,0)</f>
        <v>0</v>
      </c>
      <c r="S463" s="1194">
        <f>IF(SETUP!$F$28="Upfront",$E$462*'HIV-Other HPs'!BH15,0)</f>
        <v>0</v>
      </c>
      <c r="T463" s="1194">
        <f t="shared" si="66"/>
        <v>0</v>
      </c>
      <c r="U463" s="1328">
        <f t="shared" si="67"/>
        <v>0</v>
      </c>
      <c r="V463" s="1826">
        <v>7.4</v>
      </c>
      <c r="W463" s="1837"/>
      <c r="X463" s="764"/>
      <c r="Y463" s="1836"/>
      <c r="Z463" s="850"/>
      <c r="AA463" s="880"/>
      <c r="AB463" s="880"/>
      <c r="AC463" s="880"/>
      <c r="AD463" s="880"/>
      <c r="AE463" s="880"/>
      <c r="AF463" s="880"/>
      <c r="AG463" s="880"/>
      <c r="AH463" s="881"/>
      <c r="AI463" s="880"/>
      <c r="AJ463" s="880"/>
      <c r="AK463" s="880"/>
      <c r="AL463" s="880"/>
      <c r="AM463" s="880"/>
      <c r="AN463" s="880"/>
      <c r="AO463" s="880"/>
      <c r="AP463" s="880"/>
      <c r="AQ463" s="880"/>
      <c r="AR463" s="880"/>
      <c r="AS463" s="880"/>
      <c r="AT463" s="880"/>
      <c r="AU463" s="880"/>
      <c r="AV463" s="880"/>
      <c r="AW463" s="880"/>
      <c r="AX463" s="880"/>
      <c r="AY463" s="880"/>
      <c r="AZ463" s="880"/>
      <c r="BA463" s="880"/>
      <c r="BB463" s="880"/>
      <c r="BC463" s="880"/>
      <c r="BD463" s="880"/>
      <c r="BE463" s="880"/>
      <c r="BF463" s="880"/>
      <c r="BG463" s="880"/>
      <c r="BH463" s="880"/>
      <c r="BI463" s="880"/>
      <c r="BJ463" s="880"/>
      <c r="BK463" s="880"/>
      <c r="BL463" s="880"/>
      <c r="BM463" s="880"/>
      <c r="BN463" s="880"/>
      <c r="BO463" s="880"/>
      <c r="BP463" s="880"/>
      <c r="BQ463" s="880"/>
      <c r="BR463" s="880"/>
      <c r="BS463" s="880"/>
      <c r="BT463" s="880"/>
    </row>
    <row r="464" spans="1:72" s="882" customFormat="1" ht="16.149999999999999" hidden="1" customHeight="1" outlineLevel="1">
      <c r="A464" s="2893"/>
      <c r="B464" s="2894"/>
      <c r="C464" s="2912" t="s">
        <v>36</v>
      </c>
      <c r="D464" s="2912"/>
      <c r="E464" s="1649"/>
      <c r="F464" s="1328">
        <v>0</v>
      </c>
      <c r="G464" s="1194">
        <f>IF(SETUP!$F$28="At delivery",IF(SETUP!$G$28=1,$E$462*'HIV-Other HPs'!AW15,0),0)</f>
        <v>0</v>
      </c>
      <c r="H464" s="1194">
        <f>IF(SETUP!$F$28="At delivery",IF(SETUP!$G$28=2,$E$462*'HIV-Other HPs'!AW15,IF(SETUP!$G$28=1,$E$462*'HIV-Other HPs'!AX15,0)),0)</f>
        <v>0</v>
      </c>
      <c r="I464" s="1194">
        <f>IF(SETUP!$F$28="At delivery",IF(SETUP!$G$28=3,$E$462*'HIV-Other HPs'!AW15,IF(SETUP!$G$28=2,$E$462*'HIV-Other HPs'!AX15,IF(SETUP!$G$28=1,$E$462*'HIV-Other HPs'!AY15,0))),0)</f>
        <v>0</v>
      </c>
      <c r="J464" s="1194">
        <f t="shared" si="64"/>
        <v>0</v>
      </c>
      <c r="K464" s="1328">
        <f>IF(SETUP!$F$28="At delivery",IF(SETUP!$G$28=4,$E$462*'HIV-Other HPs'!AW15,IF(SETUP!$G$28=3,$E$462*'HIV-Other HPs'!AX15,IF(SETUP!$G$28=2,$E$462*'HIV-Other HPs'!AY15,IF(SETUP!$G$28=1,$E$462*'HIV-Other HPs'!AZ15,0)))),0)</f>
        <v>0</v>
      </c>
      <c r="L464" s="1194">
        <f>IF(SETUP!$F$28="At delivery",IF(SETUP!$G$28=4,$E$462*'HIV-Other HPs'!AX15,IF(SETUP!$G$28=3,$E$462*'HIV-Other HPs'!AY15,IF(SETUP!$G$28=2,$E$462*'HIV-Other HPs'!AZ15,IF(SETUP!$G$28=1,$E$462*'HIV-Other HPs'!BA15,0)))),0)</f>
        <v>0</v>
      </c>
      <c r="M464" s="1194">
        <f>IF(SETUP!$F$28="At delivery",IF(SETUP!$G$28=4,$E$462*'HIV-Other HPs'!AY15,IF(SETUP!$G$28=3,$E$462*'HIV-Other HPs'!AZ15,IF(SETUP!$G$28=2,$E$462*'HIV-Other HPs'!BA15,IF(SETUP!$G$28=1,$E$462*'HIV-Other HPs'!BB15,0)))),0)</f>
        <v>0</v>
      </c>
      <c r="N464" s="1194">
        <f>IF(SETUP!$F$28="At delivery",IF(SETUP!$G$28=4,$E$462*'HIV-Other HPs'!AZ15,IF(SETUP!$G$28=3,$E$462*'HIV-Other HPs'!BA15,IF(SETUP!$G$28=2,$E$462*'HIV-Other HPs'!BB15,IF(SETUP!$G$28=1,$E$462*'HIV-Other HPs'!BC15,0)))),0)</f>
        <v>0</v>
      </c>
      <c r="O464" s="1194">
        <f t="shared" si="65"/>
        <v>0</v>
      </c>
      <c r="P464" s="1328">
        <f>IF(SETUP!$F$28="At delivery",IF(SETUP!$G$28=4,$E$462*'HIV-Other HPs'!BA15,IF(SETUP!$G$28=3,$E$462*'HIV-Other HPs'!BB15,IF(SETUP!$G$28=2,$E$462*'HIV-Other HPs'!BC15,IF(SETUP!$G$28=1,$E$462*'HIV-Other HPs'!BD15,0)))),0)</f>
        <v>0</v>
      </c>
      <c r="Q464" s="1194">
        <f>IF(SETUP!$F$28="At delivery",IF(SETUP!$G$28=4,$E$462*'HIV-Other HPs'!BB15,IF(SETUP!$G$28=3,$E$462*'HIV-Other HPs'!BC15,IF(SETUP!$G$28=2,$E$462*'HIV-Other HPs'!BD15,IF(SETUP!$G$28=1,$E$462*'HIV-Other HPs'!BE15,0)))),0)</f>
        <v>0</v>
      </c>
      <c r="R464" s="1194">
        <f>IF(SETUP!$F$28="At delivery",IF(SETUP!$G$28=4,$E$462*'HIV-Other HPs'!BC15,IF(SETUP!$G$28=3,$E$462*'HIV-Other HPs'!BD15,IF(SETUP!$G$28=2,$E$462*'HIV-Other HPs'!BE15,IF(SETUP!$G$28=1,$E$462*'HIV-Other HPs'!BF15,0)))),0)</f>
        <v>0</v>
      </c>
      <c r="S464" s="1194">
        <f>IF(SETUP!$F$28="At delivery",IF(SETUP!$G$28=4,$E$462*('HIV-Other HPs'!BD15+'HIV-Other HPs'!BE15+'HIV-Other HPs'!BF15+'HIV-Other HPs'!BG15+'HIV-Other HPs'!BH15),IF(SETUP!$G$28=3,$E$462*('HIV-Other HPs'!BE15+'HIV-Other HPs'!BF15+'HIV-Other HPs'!BG15+'HIV-Other HPs'!BH15),IF(SETUP!$G$28=2,$E$462*('HIV-Other HPs'!BF15+'HIV-Other HPs'!BG15+'HIV-Other HPs'!BH15),IF(SETUP!$G$28=1,$E$462*('HIV-Other HPs'!BG15+'HIV-Other HPs'!BH15),0)))),0)</f>
        <v>0</v>
      </c>
      <c r="T464" s="1194">
        <f t="shared" si="66"/>
        <v>0</v>
      </c>
      <c r="U464" s="1328">
        <f t="shared" si="67"/>
        <v>0</v>
      </c>
      <c r="V464" s="1826">
        <v>7.4</v>
      </c>
      <c r="W464" s="1837"/>
      <c r="X464" s="764"/>
      <c r="Y464" s="1836"/>
      <c r="Z464" s="850"/>
      <c r="AA464" s="880"/>
      <c r="AB464" s="880"/>
      <c r="AC464" s="880"/>
      <c r="AD464" s="880"/>
      <c r="AE464" s="880"/>
      <c r="AF464" s="880"/>
      <c r="AG464" s="880"/>
      <c r="AH464" s="881"/>
      <c r="AI464" s="880"/>
      <c r="AJ464" s="880"/>
      <c r="AK464" s="880"/>
      <c r="AL464" s="880"/>
      <c r="AM464" s="880"/>
      <c r="AN464" s="880"/>
      <c r="AO464" s="880"/>
      <c r="AP464" s="880"/>
      <c r="AQ464" s="880"/>
      <c r="AR464" s="880"/>
      <c r="AS464" s="880"/>
      <c r="AT464" s="880"/>
      <c r="AU464" s="880"/>
      <c r="AV464" s="880"/>
      <c r="AW464" s="880"/>
      <c r="AX464" s="880"/>
      <c r="AY464" s="880"/>
      <c r="AZ464" s="880"/>
      <c r="BA464" s="880"/>
      <c r="BB464" s="880"/>
      <c r="BC464" s="880"/>
      <c r="BD464" s="880"/>
      <c r="BE464" s="880"/>
      <c r="BF464" s="880"/>
      <c r="BG464" s="880"/>
      <c r="BH464" s="880"/>
      <c r="BI464" s="880"/>
      <c r="BJ464" s="880"/>
      <c r="BK464" s="880"/>
      <c r="BL464" s="880"/>
      <c r="BM464" s="880"/>
      <c r="BN464" s="880"/>
      <c r="BO464" s="880"/>
      <c r="BP464" s="880"/>
      <c r="BQ464" s="880"/>
      <c r="BR464" s="880"/>
      <c r="BS464" s="880"/>
      <c r="BT464" s="880"/>
    </row>
    <row r="465" spans="1:72" s="882" customFormat="1" ht="13" collapsed="1">
      <c r="A465" s="2893"/>
      <c r="B465" s="2894"/>
      <c r="C465" s="2911" t="s">
        <v>566</v>
      </c>
      <c r="D465" s="2911"/>
      <c r="E465" s="1651">
        <v>0</v>
      </c>
      <c r="F465" s="1328">
        <f>IF(SETUP!$F$29="Upfront",F466,F467)</f>
        <v>0</v>
      </c>
      <c r="G465" s="1194">
        <f>IF(SETUP!$F$29="Upfront",G466,G467)</f>
        <v>0</v>
      </c>
      <c r="H465" s="1194">
        <f>IF(SETUP!$F$29="Upfront",H466,H467)</f>
        <v>0</v>
      </c>
      <c r="I465" s="1194">
        <f>IF(SETUP!$F$29="Upfront",I466,I467)</f>
        <v>0</v>
      </c>
      <c r="J465" s="1194">
        <f t="shared" si="64"/>
        <v>0</v>
      </c>
      <c r="K465" s="1328">
        <f>IF(SETUP!$F$29="Upfront",K466,K467)</f>
        <v>0</v>
      </c>
      <c r="L465" s="1194">
        <f>IF(SETUP!$F$29="Upfront",L466,L467)</f>
        <v>0</v>
      </c>
      <c r="M465" s="1194">
        <f>IF(SETUP!$F$29="Upfront",M466,M467)</f>
        <v>0</v>
      </c>
      <c r="N465" s="1194">
        <f>IF(SETUP!$F$29="Upfront",N466,N467)</f>
        <v>0</v>
      </c>
      <c r="O465" s="1194">
        <f t="shared" si="65"/>
        <v>0</v>
      </c>
      <c r="P465" s="1328">
        <f>IF(SETUP!$F$29="Upfront",P466,P467)</f>
        <v>0</v>
      </c>
      <c r="Q465" s="1194">
        <f>IF(SETUP!$F$29="Upfront",Q466,Q467)</f>
        <v>0</v>
      </c>
      <c r="R465" s="1194">
        <f>IF(SETUP!$F$29="Upfront",R466,R467)</f>
        <v>0</v>
      </c>
      <c r="S465" s="1194">
        <f>IF(SETUP!$F$29="Upfront",S466,S467)</f>
        <v>0</v>
      </c>
      <c r="T465" s="1194">
        <f t="shared" si="66"/>
        <v>0</v>
      </c>
      <c r="U465" s="1328">
        <f t="shared" si="67"/>
        <v>0</v>
      </c>
      <c r="V465" s="1826">
        <v>7.4</v>
      </c>
      <c r="W465" s="1837"/>
      <c r="X465" s="764"/>
      <c r="Y465" s="1836"/>
      <c r="Z465" s="850"/>
      <c r="AA465" s="880"/>
      <c r="AB465" s="880"/>
      <c r="AC465" s="880"/>
      <c r="AD465" s="880"/>
      <c r="AE465" s="880"/>
      <c r="AF465" s="880"/>
      <c r="AG465" s="880"/>
      <c r="AH465" s="881"/>
      <c r="AI465" s="880"/>
      <c r="AJ465" s="880"/>
      <c r="AK465" s="880"/>
      <c r="AL465" s="880"/>
      <c r="AM465" s="880"/>
      <c r="AN465" s="880"/>
      <c r="AO465" s="880"/>
      <c r="AP465" s="880"/>
      <c r="AQ465" s="880"/>
      <c r="AR465" s="880"/>
      <c r="AS465" s="880"/>
      <c r="AT465" s="880"/>
      <c r="AU465" s="880"/>
      <c r="AV465" s="880"/>
      <c r="AW465" s="880"/>
      <c r="AX465" s="880"/>
      <c r="AY465" s="880"/>
      <c r="AZ465" s="880"/>
      <c r="BA465" s="880"/>
      <c r="BB465" s="880"/>
      <c r="BC465" s="880"/>
      <c r="BD465" s="880"/>
      <c r="BE465" s="880"/>
      <c r="BF465" s="880"/>
      <c r="BG465" s="880"/>
      <c r="BH465" s="880"/>
      <c r="BI465" s="880"/>
      <c r="BJ465" s="880"/>
      <c r="BK465" s="880"/>
      <c r="BL465" s="880"/>
      <c r="BM465" s="880"/>
      <c r="BN465" s="880"/>
      <c r="BO465" s="880"/>
      <c r="BP465" s="880"/>
      <c r="BQ465" s="880"/>
      <c r="BR465" s="880"/>
      <c r="BS465" s="880"/>
      <c r="BT465" s="880"/>
    </row>
    <row r="466" spans="1:72" s="882" customFormat="1" ht="16.149999999999999" hidden="1" customHeight="1" outlineLevel="1">
      <c r="A466" s="2893"/>
      <c r="B466" s="2894"/>
      <c r="C466" s="2912" t="s">
        <v>918</v>
      </c>
      <c r="D466" s="2912"/>
      <c r="E466" s="1649"/>
      <c r="F466" s="1328">
        <f>IF(SETUP!$F$29="Upfront",$E$465*'HIV-Other HPs'!AW16,0)</f>
        <v>0</v>
      </c>
      <c r="G466" s="1194">
        <f>IF(SETUP!$F$29="Upfront",$E$465*'HIV-Other HPs'!AX16,0)</f>
        <v>0</v>
      </c>
      <c r="H466" s="1194">
        <f>IF(SETUP!$F$29="Upfront",$E$465*'HIV-Other HPs'!AY16,0)</f>
        <v>0</v>
      </c>
      <c r="I466" s="1194">
        <f>IF(SETUP!$F$29="Upfront",$E$465*'HIV-Other HPs'!AZ16,0)</f>
        <v>0</v>
      </c>
      <c r="J466" s="1194">
        <f t="shared" si="64"/>
        <v>0</v>
      </c>
      <c r="K466" s="1328">
        <f>IF(SETUP!$F$29="Upfront",$E$465*'HIV-Other HPs'!BA16,0)</f>
        <v>0</v>
      </c>
      <c r="L466" s="1194">
        <f>IF(SETUP!$F$29="Upfront",$E$465*'HIV-Other HPs'!BB16,0)</f>
        <v>0</v>
      </c>
      <c r="M466" s="1194">
        <f>IF(SETUP!$F$29="Upfront",$E$465*'HIV-Other HPs'!BC16,0)</f>
        <v>0</v>
      </c>
      <c r="N466" s="1194">
        <f>IF(SETUP!$F$29="Upfront",$E$465*'HIV-Other HPs'!BD16,0)</f>
        <v>0</v>
      </c>
      <c r="O466" s="1194">
        <f t="shared" si="65"/>
        <v>0</v>
      </c>
      <c r="P466" s="1328">
        <f>IF(SETUP!$F$29="Upfront",$E$465*'HIV-Other HPs'!BE16,0)</f>
        <v>0</v>
      </c>
      <c r="Q466" s="1194">
        <f>IF(SETUP!$F$29="Upfront",$E$465*'HIV-Other HPs'!BF16,0)</f>
        <v>0</v>
      </c>
      <c r="R466" s="1194">
        <f>IF(SETUP!$F$29="Upfront",$E$465*'HIV-Other HPs'!BG16,0)</f>
        <v>0</v>
      </c>
      <c r="S466" s="1194">
        <f>IF(SETUP!$F$29="Upfront",$E$465*'HIV-Other HPs'!BH16,0)</f>
        <v>0</v>
      </c>
      <c r="T466" s="1194">
        <f t="shared" si="66"/>
        <v>0</v>
      </c>
      <c r="U466" s="1328">
        <f t="shared" si="67"/>
        <v>0</v>
      </c>
      <c r="V466" s="1826">
        <v>7.4</v>
      </c>
      <c r="W466" s="1837"/>
      <c r="X466" s="764"/>
      <c r="Y466" s="1836"/>
      <c r="Z466" s="850"/>
      <c r="AA466" s="880"/>
      <c r="AB466" s="880"/>
      <c r="AC466" s="880"/>
      <c r="AD466" s="880"/>
      <c r="AE466" s="880"/>
      <c r="AF466" s="880"/>
      <c r="AG466" s="880"/>
      <c r="AH466" s="881"/>
      <c r="AI466" s="880"/>
      <c r="AJ466" s="880"/>
      <c r="AK466" s="880"/>
      <c r="AL466" s="880"/>
      <c r="AM466" s="880"/>
      <c r="AN466" s="880"/>
      <c r="AO466" s="880"/>
      <c r="AP466" s="880"/>
      <c r="AQ466" s="880"/>
      <c r="AR466" s="880"/>
      <c r="AS466" s="880"/>
      <c r="AT466" s="880"/>
      <c r="AU466" s="880"/>
      <c r="AV466" s="880"/>
      <c r="AW466" s="880"/>
      <c r="AX466" s="880"/>
      <c r="AY466" s="880"/>
      <c r="AZ466" s="880"/>
      <c r="BA466" s="880"/>
      <c r="BB466" s="880"/>
      <c r="BC466" s="880"/>
      <c r="BD466" s="880"/>
      <c r="BE466" s="880"/>
      <c r="BF466" s="880"/>
      <c r="BG466" s="880"/>
      <c r="BH466" s="880"/>
      <c r="BI466" s="880"/>
      <c r="BJ466" s="880"/>
      <c r="BK466" s="880"/>
      <c r="BL466" s="880"/>
      <c r="BM466" s="880"/>
      <c r="BN466" s="880"/>
      <c r="BO466" s="880"/>
      <c r="BP466" s="880"/>
      <c r="BQ466" s="880"/>
      <c r="BR466" s="880"/>
      <c r="BS466" s="880"/>
      <c r="BT466" s="880"/>
    </row>
    <row r="467" spans="1:72" s="882" customFormat="1" ht="16.149999999999999" hidden="1" customHeight="1" outlineLevel="1">
      <c r="A467" s="2893"/>
      <c r="B467" s="2894"/>
      <c r="C467" s="2912" t="s">
        <v>36</v>
      </c>
      <c r="D467" s="2912"/>
      <c r="E467" s="1653"/>
      <c r="F467" s="1328">
        <v>0</v>
      </c>
      <c r="G467" s="1194">
        <f>IF(SETUP!$F$29="At delivery",IF(SETUP!$G$29=1,$E$465*'HIV-Other HPs'!AW16,0),0)</f>
        <v>0</v>
      </c>
      <c r="H467" s="1194">
        <f>IF(SETUP!$F$29="At delivery",IF(SETUP!$G$29=2,$E$465*'HIV-Other HPs'!AW16,IF(SETUP!$G$29=1,$E$465*'HIV-Other HPs'!AX16,0)),0)</f>
        <v>0</v>
      </c>
      <c r="I467" s="1194">
        <f>IF(SETUP!$F$29="At delivery",IF(SETUP!$G$29=3,$E$465*'HIV-Other HPs'!AW16,IF(SETUP!$G$29=2,$E$465*'HIV-Other HPs'!AX16,IF(SETUP!$G$29=1,$E$465*'HIV-Other HPs'!AY16,0))),0)</f>
        <v>0</v>
      </c>
      <c r="J467" s="1194">
        <f t="shared" si="64"/>
        <v>0</v>
      </c>
      <c r="K467" s="1328">
        <f>IF(SETUP!$F$29="At delivery",IF(SETUP!$G$29=4,$E$465*'HIV-Other HPs'!AW16,IF(SETUP!$G$29=3,$E$465*'HIV-Other HPs'!AX16,IF(SETUP!$G$29=2,$E$465*'HIV-Other HPs'!AY16,IF(SETUP!$G$29=1,$E$465*'HIV-Other HPs'!AZ16,0)))),0)</f>
        <v>0</v>
      </c>
      <c r="L467" s="1194">
        <f>IF(SETUP!$F$29="At delivery",IF(SETUP!$G$29=4,$E$465*'HIV-Other HPs'!AX16,IF(SETUP!$G$29=3,$E$465*'HIV-Other HPs'!AY16,IF(SETUP!$G$29=2,$E$465*'HIV-Other HPs'!AZ16,IF(SETUP!$G$29=1,$E$465*'HIV-Other HPs'!BA16,0)))),0)</f>
        <v>0</v>
      </c>
      <c r="M467" s="1194">
        <f>IF(SETUP!$F$29="At delivery",IF(SETUP!$G$29=4,$E$465*'HIV-Other HPs'!AY16,IF(SETUP!$G$29=3,$E$465*'HIV-Other HPs'!AZ16,IF(SETUP!$G$29=2,$E$465*'HIV-Other HPs'!BA16,IF(SETUP!$G$29=1,$E$465*'HIV-Other HPs'!BB16,0)))),0)</f>
        <v>0</v>
      </c>
      <c r="N467" s="1194">
        <f>IF(SETUP!$F$29="At delivery",IF(SETUP!$G$29=4,$E$465*'HIV-Other HPs'!AZ16,IF(SETUP!$G$29=3,$E$465*'HIV-Other HPs'!BA16,IF(SETUP!$G$29=2,$E$465*'HIV-Other HPs'!BB16,IF(SETUP!$G$29=1,$E$465*'HIV-Other HPs'!BC16,0)))),0)</f>
        <v>0</v>
      </c>
      <c r="O467" s="1194">
        <f t="shared" si="65"/>
        <v>0</v>
      </c>
      <c r="P467" s="1328">
        <f>IF(SETUP!$F$29="At delivery",IF(SETUP!$G$29=4,$E$465*'HIV-Other HPs'!BA16,IF(SETUP!$G$29=3,$E$465*'HIV-Other HPs'!BB16,IF(SETUP!$G$29=2,$E$465*'HIV-Other HPs'!BC16,IF(SETUP!$G$29=1,$E$465*'HIV-Other HPs'!BD16,0)))),0)</f>
        <v>0</v>
      </c>
      <c r="Q467" s="1194">
        <f>IF(SETUP!$F$29="At delivery",IF(SETUP!$G$29=4,$E$465*'HIV-Other HPs'!BB16,IF(SETUP!$G$29=3,$E$465*'HIV-Other HPs'!BC16,IF(SETUP!$G$29=2,$E$465*'HIV-Other HPs'!BD16,IF(SETUP!$G$29=1,$E$465*'HIV-Other HPs'!BE16,0)))),0)</f>
        <v>0</v>
      </c>
      <c r="R467" s="1194">
        <f>IF(SETUP!$F$29="At delivery",IF(SETUP!$G$29=4,$E$465*'HIV-Other HPs'!BC16,IF(SETUP!$G$29=3,$E$465*'HIV-Other HPs'!BD16,IF(SETUP!$G$29=2,$E$465*'HIV-Other HPs'!BE16,IF(SETUP!$G$29=1,$E$465*'HIV-Other HPs'!BF16,0)))),0)</f>
        <v>0</v>
      </c>
      <c r="S467" s="1194">
        <f>IF(SETUP!$F$29="At delivery",IF(SETUP!$G$29=4,$E$465*('HIV-Other HPs'!BD16+'HIV-Other HPs'!BE16+'HIV-Other HPs'!BF16+'HIV-Other HPs'!BG16+'HIV-Other HPs'!BH16),IF(SETUP!$G$29=3,$E$465*('HIV-Other HPs'!BE16+'HIV-Other HPs'!BF16+'HIV-Other HPs'!BG16+'HIV-Other HPs'!BH16),IF(SETUP!$G$29=2,$E$465*('HIV-Other HPs'!BF16+'HIV-Other HPs'!BG16+'HIV-Other HPs'!BH16),IF(SETUP!$G$29=1,$E$465*('HIV-Other HPs'!BG16+'HIV-Other HPs'!BH16),0)))),0)</f>
        <v>0</v>
      </c>
      <c r="T467" s="1194">
        <f t="shared" si="66"/>
        <v>0</v>
      </c>
      <c r="U467" s="1328">
        <f t="shared" si="67"/>
        <v>0</v>
      </c>
      <c r="V467" s="1826">
        <v>7.4</v>
      </c>
      <c r="W467" s="1837"/>
      <c r="X467" s="764"/>
      <c r="Y467" s="1836"/>
      <c r="Z467" s="850"/>
      <c r="AA467" s="880"/>
      <c r="AB467" s="880"/>
      <c r="AC467" s="880"/>
      <c r="AD467" s="880"/>
      <c r="AE467" s="880"/>
      <c r="AF467" s="880"/>
      <c r="AG467" s="880"/>
      <c r="AH467" s="881"/>
      <c r="AI467" s="880"/>
      <c r="AJ467" s="880"/>
      <c r="AK467" s="880"/>
      <c r="AL467" s="880"/>
      <c r="AM467" s="880"/>
      <c r="AN467" s="880"/>
      <c r="AO467" s="880"/>
      <c r="AP467" s="880"/>
      <c r="AQ467" s="880"/>
      <c r="AR467" s="880"/>
      <c r="AS467" s="880"/>
      <c r="AT467" s="880"/>
      <c r="AU467" s="880"/>
      <c r="AV467" s="880"/>
      <c r="AW467" s="880"/>
      <c r="AX467" s="880"/>
      <c r="AY467" s="880"/>
      <c r="AZ467" s="880"/>
      <c r="BA467" s="880"/>
      <c r="BB467" s="880"/>
      <c r="BC467" s="880"/>
      <c r="BD467" s="880"/>
      <c r="BE467" s="880"/>
      <c r="BF467" s="880"/>
      <c r="BG467" s="880"/>
      <c r="BH467" s="880"/>
      <c r="BI467" s="880"/>
      <c r="BJ467" s="880"/>
      <c r="BK467" s="880"/>
      <c r="BL467" s="880"/>
      <c r="BM467" s="880"/>
      <c r="BN467" s="880"/>
      <c r="BO467" s="880"/>
      <c r="BP467" s="880"/>
      <c r="BQ467" s="880"/>
      <c r="BR467" s="880"/>
      <c r="BS467" s="880"/>
      <c r="BT467" s="880"/>
    </row>
    <row r="468" spans="1:72" s="882" customFormat="1" ht="13" collapsed="1">
      <c r="A468" s="2893"/>
      <c r="B468" s="2894"/>
      <c r="C468" s="2911" t="s">
        <v>1863</v>
      </c>
      <c r="D468" s="2911"/>
      <c r="E468" s="1651">
        <v>0</v>
      </c>
      <c r="F468" s="1328">
        <f>IF(SETUP!$F$30="Upfront",F469,F470)</f>
        <v>0</v>
      </c>
      <c r="G468" s="1194">
        <f>IF(SETUP!$F$30="Upfront",G469,G470)</f>
        <v>0</v>
      </c>
      <c r="H468" s="1194">
        <f>IF(SETUP!$F$30="Upfront",H469,H470)</f>
        <v>0</v>
      </c>
      <c r="I468" s="1194">
        <f>IF(SETUP!$F$30="Upfront",I469,I470)</f>
        <v>0</v>
      </c>
      <c r="J468" s="1194">
        <f t="shared" si="64"/>
        <v>0</v>
      </c>
      <c r="K468" s="1328">
        <f>IF(SETUP!$F$30="Upfront",K469,K470)</f>
        <v>0</v>
      </c>
      <c r="L468" s="1194">
        <f>IF(SETUP!$F$30="Upfront",L469,L470)</f>
        <v>0</v>
      </c>
      <c r="M468" s="1194">
        <f>IF(SETUP!$F$30="Upfront",M469,M470)</f>
        <v>0</v>
      </c>
      <c r="N468" s="1194">
        <f>IF(SETUP!$F$30="Upfront",N469,N470)</f>
        <v>0</v>
      </c>
      <c r="O468" s="1194">
        <f t="shared" si="65"/>
        <v>0</v>
      </c>
      <c r="P468" s="1328">
        <f>IF(SETUP!$F$30="Upfront",P469,P470)</f>
        <v>0</v>
      </c>
      <c r="Q468" s="1194">
        <f>IF(SETUP!$F$30="Upfront",Q469,Q470)</f>
        <v>0</v>
      </c>
      <c r="R468" s="1194">
        <f>IF(SETUP!$F$30="Upfront",R469,R470)</f>
        <v>0</v>
      </c>
      <c r="S468" s="1194">
        <f>IF(SETUP!$F$30="Upfront",S469,S470)</f>
        <v>0</v>
      </c>
      <c r="T468" s="1194"/>
      <c r="U468" s="1328"/>
      <c r="V468" s="1826">
        <v>7.4</v>
      </c>
      <c r="W468" s="1837"/>
      <c r="X468" s="764"/>
      <c r="Y468" s="1836"/>
      <c r="Z468" s="850"/>
      <c r="AA468" s="880"/>
      <c r="AB468" s="880"/>
      <c r="AC468" s="880"/>
      <c r="AD468" s="880"/>
      <c r="AE468" s="880"/>
      <c r="AF468" s="880"/>
      <c r="AG468" s="880"/>
      <c r="AH468" s="881"/>
      <c r="AI468" s="880"/>
      <c r="AJ468" s="880"/>
      <c r="AK468" s="880"/>
      <c r="AL468" s="880"/>
      <c r="AM468" s="880"/>
      <c r="AN468" s="880"/>
      <c r="AO468" s="880"/>
      <c r="AP468" s="880"/>
      <c r="AQ468" s="880"/>
      <c r="AR468" s="880"/>
      <c r="AS468" s="880"/>
      <c r="AT468" s="880"/>
      <c r="AU468" s="880"/>
      <c r="AV468" s="880"/>
      <c r="AW468" s="880"/>
      <c r="AX468" s="880"/>
      <c r="AY468" s="880"/>
      <c r="AZ468" s="880"/>
      <c r="BA468" s="880"/>
      <c r="BB468" s="880"/>
      <c r="BC468" s="880"/>
      <c r="BD468" s="880"/>
      <c r="BE468" s="880"/>
      <c r="BF468" s="880"/>
      <c r="BG468" s="880"/>
      <c r="BH468" s="880"/>
      <c r="BI468" s="880"/>
      <c r="BJ468" s="880"/>
      <c r="BK468" s="880"/>
      <c r="BL468" s="880"/>
      <c r="BM468" s="880"/>
      <c r="BN468" s="880"/>
      <c r="BO468" s="880"/>
      <c r="BP468" s="880"/>
      <c r="BQ468" s="880"/>
      <c r="BR468" s="880"/>
      <c r="BS468" s="880"/>
      <c r="BT468" s="880"/>
    </row>
    <row r="469" spans="1:72" s="882" customFormat="1" ht="16.149999999999999" hidden="1" customHeight="1" outlineLevel="1">
      <c r="A469" s="2893"/>
      <c r="B469" s="2894"/>
      <c r="C469" s="2912" t="s">
        <v>918</v>
      </c>
      <c r="D469" s="2912"/>
      <c r="E469" s="1649"/>
      <c r="F469" s="1328">
        <f>IF(SETUP!$F$30="Upfront",$E$468*'HIV-Other HPs'!AW17,0)</f>
        <v>0</v>
      </c>
      <c r="G469" s="1194">
        <f>IF(SETUP!$F$30="Upfront",$E$468*'HIV-Other HPs'!AX17,0)</f>
        <v>0</v>
      </c>
      <c r="H469" s="1194">
        <f>IF(SETUP!$F$30="Upfront",$E$468*'HIV-Other HPs'!AY17,0)</f>
        <v>0</v>
      </c>
      <c r="I469" s="1194">
        <f>IF(SETUP!$F$30="Upfront",$E$468*'HIV-Other HPs'!AZ17,0)</f>
        <v>0</v>
      </c>
      <c r="J469" s="1194"/>
      <c r="K469" s="1328">
        <f>IF(SETUP!$F$30="Upfront",$E$468*'HIV-Other HPs'!BA17,0)</f>
        <v>0</v>
      </c>
      <c r="L469" s="1194">
        <f>IF(SETUP!$F$30="Upfront",$E$468*'HIV-Other HPs'!BB17,0)</f>
        <v>0</v>
      </c>
      <c r="M469" s="1194">
        <f>IF(SETUP!$F$30="Upfront",$E$468*'HIV-Other HPs'!BC17,0)</f>
        <v>0</v>
      </c>
      <c r="N469" s="1194">
        <f>IF(SETUP!$F$30="Upfront",$E$468*'HIV-Other HPs'!BD17,0)</f>
        <v>0</v>
      </c>
      <c r="O469" s="1194"/>
      <c r="P469" s="1328">
        <f>IF(SETUP!$F$30="Upfront",$E$468*'HIV-Other HPs'!BE17,0)</f>
        <v>0</v>
      </c>
      <c r="Q469" s="1194">
        <f>IF(SETUP!$F$30="Upfront",$E$468*'HIV-Other HPs'!BF17,0)</f>
        <v>0</v>
      </c>
      <c r="R469" s="1194">
        <f>IF(SETUP!$F$30="Upfront",$E$468*'HIV-Other HPs'!BG17,0)</f>
        <v>0</v>
      </c>
      <c r="S469" s="1194">
        <f>IF(SETUP!$F$30="Upfront",$E$468*'HIV-Other HPs'!BH17,0)</f>
        <v>0</v>
      </c>
      <c r="T469" s="1194"/>
      <c r="U469" s="1328"/>
      <c r="V469" s="1826">
        <v>7.4</v>
      </c>
      <c r="W469" s="1837"/>
      <c r="X469" s="764"/>
      <c r="Y469" s="1836"/>
      <c r="Z469" s="850"/>
      <c r="AA469" s="880"/>
      <c r="AB469" s="880"/>
      <c r="AC469" s="880"/>
      <c r="AD469" s="880"/>
      <c r="AE469" s="880"/>
      <c r="AF469" s="880"/>
      <c r="AG469" s="880"/>
      <c r="AH469" s="881"/>
      <c r="AI469" s="880"/>
      <c r="AJ469" s="880"/>
      <c r="AK469" s="880"/>
      <c r="AL469" s="880"/>
      <c r="AM469" s="880"/>
      <c r="AN469" s="880"/>
      <c r="AO469" s="880"/>
      <c r="AP469" s="880"/>
      <c r="AQ469" s="880"/>
      <c r="AR469" s="880"/>
      <c r="AS469" s="880"/>
      <c r="AT469" s="880"/>
      <c r="AU469" s="880"/>
      <c r="AV469" s="880"/>
      <c r="AW469" s="880"/>
      <c r="AX469" s="880"/>
      <c r="AY469" s="880"/>
      <c r="AZ469" s="880"/>
      <c r="BA469" s="880"/>
      <c r="BB469" s="880"/>
      <c r="BC469" s="880"/>
      <c r="BD469" s="880"/>
      <c r="BE469" s="880"/>
      <c r="BF469" s="880"/>
      <c r="BG469" s="880"/>
      <c r="BH469" s="880"/>
      <c r="BI469" s="880"/>
      <c r="BJ469" s="880"/>
      <c r="BK469" s="880"/>
      <c r="BL469" s="880"/>
      <c r="BM469" s="880"/>
      <c r="BN469" s="880"/>
      <c r="BO469" s="880"/>
      <c r="BP469" s="880"/>
      <c r="BQ469" s="880"/>
      <c r="BR469" s="880"/>
      <c r="BS469" s="880"/>
      <c r="BT469" s="880"/>
    </row>
    <row r="470" spans="1:72" s="882" customFormat="1" ht="16.149999999999999" hidden="1" customHeight="1" outlineLevel="1">
      <c r="A470" s="2893"/>
      <c r="B470" s="2894"/>
      <c r="C470" s="2912" t="s">
        <v>36</v>
      </c>
      <c r="D470" s="2912"/>
      <c r="E470" s="1649"/>
      <c r="F470" s="1328">
        <v>0</v>
      </c>
      <c r="G470" s="1194">
        <f>IF(SETUP!$F$30="At delivery",IF(SETUP!$G$30=1,$E$468*'HIV-Other HPs'!AW17,0),0)</f>
        <v>0</v>
      </c>
      <c r="H470" s="1194">
        <f>IF(SETUP!$F$30="At delivery",IF(SETUP!$G$30=2,$E$468*'HIV-Other HPs'!AW17,IF(SETUP!$G$30=1,$E$468*'HIV-Other HPs'!AX17,0)),0)</f>
        <v>0</v>
      </c>
      <c r="I470" s="1194">
        <f>IF(SETUP!$F$30="At delivery",IF(SETUP!$G$30=3,$E$468*'HIV-Other HPs'!AW17,IF(SETUP!$G$30=2,$E$468*'HIV-Other HPs'!AX17,IF(SETUP!$G$30=1,$E$468*'HIV-Other HPs'!AY17,0))),0)</f>
        <v>0</v>
      </c>
      <c r="J470" s="1194"/>
      <c r="K470" s="1328">
        <f>IF(SETUP!$F$30="At delivery",IF(SETUP!$G$30=4,$E$468*'HIV-Other HPs'!AW17,IF(SETUP!$G$30=3,$E$468*'HIV-Other HPs'!AX17,IF(SETUP!$G$30=2,$E$468*'HIV-Other HPs'!AY17,IF(SETUP!$G$30=1,$E$468*'HIV-Other HPs'!AZ17,0)))),0)</f>
        <v>0</v>
      </c>
      <c r="L470" s="1194">
        <f>IF(SETUP!$F$30="At delivery",IF(SETUP!$G$30=4,$E$468*'HIV-Other HPs'!AX17,IF(SETUP!$G$30=3,$E$468*'HIV-Other HPs'!AY17,IF(SETUP!$G$30=2,$E$468*'HIV-Other HPs'!AZ17,IF(SETUP!$G$30=1,$E$468*'HIV-Other HPs'!BA17,0)))),0)</f>
        <v>0</v>
      </c>
      <c r="M470" s="1194">
        <f>IF(SETUP!$F$30="At delivery",IF(SETUP!$G$30=4,$E$468*'HIV-Other HPs'!AY17,IF(SETUP!$G$30=3,$E$468*'HIV-Other HPs'!AZ17,IF(SETUP!$G$30=2,$E$468*'HIV-Other HPs'!BA17,IF(SETUP!$G$30=1,$E$468*'HIV-Other HPs'!BB17,0)))),0)</f>
        <v>0</v>
      </c>
      <c r="N470" s="1194">
        <f>IF(SETUP!$F$30="At delivery",IF(SETUP!$G$30=4,$E$468*'HIV-Other HPs'!AZ17,IF(SETUP!$G$30=3,$E$468*'HIV-Other HPs'!BA17,IF(SETUP!$G$30=2,$E$468*'HIV-Other HPs'!BB17,IF(SETUP!$G$30=1,$E$468*'HIV-Other HPs'!BC17,0)))),0)</f>
        <v>0</v>
      </c>
      <c r="O470" s="1194"/>
      <c r="P470" s="1328">
        <f>IF(SETUP!$F$30="At delivery",IF(SETUP!$G$30=4,$E$468*'HIV-Other HPs'!BA17,IF(SETUP!$G$30=3,$E$468*'HIV-Other HPs'!BB17,IF(SETUP!$G$30=2,$E$468*'HIV-Other HPs'!BC17,IF(SETUP!$G$30=1,$E$468*'HIV-Other HPs'!BD17,0)))),0)</f>
        <v>0</v>
      </c>
      <c r="Q470" s="1194">
        <f>IF(SETUP!$F$30="At delivery",IF(SETUP!$G$30=4,$E$468*'HIV-Other HPs'!BB17,IF(SETUP!$G$30=3,$E$468*'HIV-Other HPs'!BC17,IF(SETUP!$G$30=2,$E$468*'HIV-Other HPs'!BD17,IF(SETUP!$G$30=1,$E$468*'HIV-Other HPs'!BE17,0)))),0)</f>
        <v>0</v>
      </c>
      <c r="R470" s="1194">
        <f>IF(SETUP!$F$30="At delivery",IF(SETUP!$G$30=4,$E$468*'HIV-Other HPs'!BC17,IF(SETUP!$G$30=3,$E$468*'HIV-Other HPs'!BD17,IF(SETUP!$G$30=2,$E$468*'HIV-Other HPs'!BE17,IF(SETUP!$G$30=1,$E$468*'HIV-Other HPs'!BF17,0)))),0)</f>
        <v>0</v>
      </c>
      <c r="S470" s="1194">
        <f>IF(SETUP!$F$30="At delivery",IF(SETUP!$G$30=4,$E$468*('HIV-Other HPs'!BD17+'HIV-Other HPs'!BE17+'HIV-Other HPs'!BF17+'HIV-Other HPs'!BG17+'HIV-Other HPs'!BH17),IF(SETUP!$G$30=3,$E$468*('HIV-Other HPs'!BE17+'HIV-Other HPs'!BF17+'HIV-Other HPs'!BG17+'HIV-Other HPs'!BH17),IF(SETUP!$G$30=2,$E$468*('HIV-Other HPs'!BF17+'HIV-Other HPs'!BG17+'HIV-Other HPs'!BH17),IF(SETUP!$G$30=1,$E$468*('HIV-Other HPs'!BG17+'HIV-Other HPs'!BH17),0)))),0)</f>
        <v>0</v>
      </c>
      <c r="T470" s="1194"/>
      <c r="U470" s="1328"/>
      <c r="V470" s="1826">
        <v>7.4</v>
      </c>
      <c r="W470" s="1837"/>
      <c r="X470" s="764"/>
      <c r="Y470" s="1836"/>
      <c r="Z470" s="850"/>
      <c r="AA470" s="880"/>
      <c r="AB470" s="880"/>
      <c r="AC470" s="880"/>
      <c r="AD470" s="880"/>
      <c r="AE470" s="880"/>
      <c r="AF470" s="880"/>
      <c r="AG470" s="880"/>
      <c r="AH470" s="881"/>
      <c r="AI470" s="880"/>
      <c r="AJ470" s="880"/>
      <c r="AK470" s="880"/>
      <c r="AL470" s="880"/>
      <c r="AM470" s="880"/>
      <c r="AN470" s="880"/>
      <c r="AO470" s="880"/>
      <c r="AP470" s="880"/>
      <c r="AQ470" s="880"/>
      <c r="AR470" s="880"/>
      <c r="AS470" s="880"/>
      <c r="AT470" s="880"/>
      <c r="AU470" s="880"/>
      <c r="AV470" s="880"/>
      <c r="AW470" s="880"/>
      <c r="AX470" s="880"/>
      <c r="AY470" s="880"/>
      <c r="AZ470" s="880"/>
      <c r="BA470" s="880"/>
      <c r="BB470" s="880"/>
      <c r="BC470" s="880"/>
      <c r="BD470" s="880"/>
      <c r="BE470" s="880"/>
      <c r="BF470" s="880"/>
      <c r="BG470" s="880"/>
      <c r="BH470" s="880"/>
      <c r="BI470" s="880"/>
      <c r="BJ470" s="880"/>
      <c r="BK470" s="880"/>
      <c r="BL470" s="880"/>
      <c r="BM470" s="880"/>
      <c r="BN470" s="880"/>
      <c r="BO470" s="880"/>
      <c r="BP470" s="880"/>
      <c r="BQ470" s="880"/>
      <c r="BR470" s="880"/>
      <c r="BS470" s="880"/>
      <c r="BT470" s="880"/>
    </row>
    <row r="471" spans="1:72" s="882" customFormat="1" ht="13" collapsed="1">
      <c r="A471" s="2893"/>
      <c r="B471" s="2894"/>
      <c r="C471" s="2911" t="s">
        <v>1794</v>
      </c>
      <c r="D471" s="2911"/>
      <c r="E471" s="1651">
        <v>0</v>
      </c>
      <c r="F471" s="1328">
        <f>IF(SETUP!$F$31="Upfront",F472,F473)</f>
        <v>0</v>
      </c>
      <c r="G471" s="1194">
        <f>IF(SETUP!$F$31="Upfront",G472,G473)</f>
        <v>0</v>
      </c>
      <c r="H471" s="1194">
        <f>IF(SETUP!$F$31="Upfront",H472,H473)</f>
        <v>0</v>
      </c>
      <c r="I471" s="1194">
        <f>IF(SETUP!$F$31="Upfront",I472,I473)</f>
        <v>0</v>
      </c>
      <c r="J471" s="1194">
        <f t="shared" ref="J471:J502" si="68">F471+G471+H471+I471</f>
        <v>0</v>
      </c>
      <c r="K471" s="1328">
        <f>IF(SETUP!$F$31="Upfront",K472,K473)</f>
        <v>0</v>
      </c>
      <c r="L471" s="1194">
        <f>IF(SETUP!$F$31="Upfront",L472,L473)</f>
        <v>0</v>
      </c>
      <c r="M471" s="1194">
        <f>IF(SETUP!$F$31="Upfront",M472,M473)</f>
        <v>0</v>
      </c>
      <c r="N471" s="1194">
        <f>IF(SETUP!$F$31="Upfront",N472,N473)</f>
        <v>0</v>
      </c>
      <c r="O471" s="1194">
        <f t="shared" ref="O471:O502" si="69">K471+L471+M471+N471</f>
        <v>0</v>
      </c>
      <c r="P471" s="1328">
        <f>IF(SETUP!$F$31="Upfront",P472,P473)</f>
        <v>0</v>
      </c>
      <c r="Q471" s="1194">
        <f>IF(SETUP!$F$31="Upfront",Q472,Q473)</f>
        <v>0</v>
      </c>
      <c r="R471" s="1194">
        <f>IF(SETUP!$F$31="Upfront",R472,R473)</f>
        <v>0</v>
      </c>
      <c r="S471" s="1194">
        <f>IF(SETUP!$F$31="Upfront",S472,S473)</f>
        <v>0</v>
      </c>
      <c r="T471" s="1194">
        <f t="shared" ref="T471:T502" si="70">P471+Q471+R471+S471</f>
        <v>0</v>
      </c>
      <c r="U471" s="1328">
        <f t="shared" ref="U471:U502" si="71">J471+O471+T471</f>
        <v>0</v>
      </c>
      <c r="V471" s="1826">
        <v>7.4</v>
      </c>
      <c r="W471" s="1837"/>
      <c r="X471" s="764"/>
      <c r="Y471" s="1836"/>
      <c r="Z471" s="850"/>
      <c r="AA471" s="880"/>
      <c r="AB471" s="880"/>
      <c r="AC471" s="880"/>
      <c r="AD471" s="880"/>
      <c r="AE471" s="880"/>
      <c r="AF471" s="880"/>
      <c r="AG471" s="880"/>
      <c r="AH471" s="881"/>
      <c r="AI471" s="880"/>
      <c r="AJ471" s="880"/>
      <c r="AK471" s="880"/>
      <c r="AL471" s="880"/>
      <c r="AM471" s="880"/>
      <c r="AN471" s="880"/>
      <c r="AO471" s="880"/>
      <c r="AP471" s="880"/>
      <c r="AQ471" s="880"/>
      <c r="AR471" s="880"/>
      <c r="AS471" s="880"/>
      <c r="AT471" s="880"/>
      <c r="AU471" s="880"/>
      <c r="AV471" s="880"/>
      <c r="AW471" s="880"/>
      <c r="AX471" s="880"/>
      <c r="AY471" s="880"/>
      <c r="AZ471" s="880"/>
      <c r="BA471" s="880"/>
      <c r="BB471" s="880"/>
      <c r="BC471" s="880"/>
      <c r="BD471" s="880"/>
      <c r="BE471" s="880"/>
      <c r="BF471" s="880"/>
      <c r="BG471" s="880"/>
      <c r="BH471" s="880"/>
      <c r="BI471" s="880"/>
      <c r="BJ471" s="880"/>
      <c r="BK471" s="880"/>
      <c r="BL471" s="880"/>
      <c r="BM471" s="880"/>
      <c r="BN471" s="880"/>
      <c r="BO471" s="880"/>
      <c r="BP471" s="880"/>
      <c r="BQ471" s="880"/>
      <c r="BR471" s="880"/>
      <c r="BS471" s="880"/>
      <c r="BT471" s="880"/>
    </row>
    <row r="472" spans="1:72" s="882" customFormat="1" ht="16.149999999999999" hidden="1" customHeight="1" outlineLevel="1">
      <c r="A472" s="2893"/>
      <c r="B472" s="2894"/>
      <c r="C472" s="2912" t="s">
        <v>918</v>
      </c>
      <c r="D472" s="2912"/>
      <c r="E472" s="1649"/>
      <c r="F472" s="1328">
        <f>IF(SETUP!$F$31="Upfront",$E$471*'HIV-Other HPs'!AW18,0)</f>
        <v>0</v>
      </c>
      <c r="G472" s="1194">
        <f>IF(SETUP!$F$31="Upfront",$E$471*'HIV-Other HPs'!AX18,0)</f>
        <v>0</v>
      </c>
      <c r="H472" s="1194">
        <f>IF(SETUP!$F$31="Upfront",$E$471*'HIV-Other HPs'!AY18,0)</f>
        <v>0</v>
      </c>
      <c r="I472" s="1194">
        <f>IF(SETUP!$F$31="Upfront",$E$471*'HIV-Other HPs'!AZ18,0)</f>
        <v>0</v>
      </c>
      <c r="J472" s="1194">
        <f t="shared" si="68"/>
        <v>0</v>
      </c>
      <c r="K472" s="1328">
        <f>IF(SETUP!$F$31="Upfront",$E$471*'HIV-Other HPs'!BA18,0)</f>
        <v>0</v>
      </c>
      <c r="L472" s="1194">
        <f>IF(SETUP!$F$31="Upfront",$E$471*'HIV-Other HPs'!BB18,0)</f>
        <v>0</v>
      </c>
      <c r="M472" s="1194">
        <f>IF(SETUP!$F$31="Upfront",$E$471*'HIV-Other HPs'!BC18,0)</f>
        <v>0</v>
      </c>
      <c r="N472" s="1194">
        <f>IF(SETUP!$F$31="Upfront",$E$471*'HIV-Other HPs'!BD18,0)</f>
        <v>0</v>
      </c>
      <c r="O472" s="1194">
        <f t="shared" si="69"/>
        <v>0</v>
      </c>
      <c r="P472" s="1328">
        <f>IF(SETUP!$F$31="Upfront",$E$471*'HIV-Other HPs'!BE18,0)</f>
        <v>0</v>
      </c>
      <c r="Q472" s="1194">
        <f>IF(SETUP!$F$31="Upfront",$E$471*'HIV-Other HPs'!BF18,0)</f>
        <v>0</v>
      </c>
      <c r="R472" s="1194">
        <f>IF(SETUP!$F$31="Upfront",$E$471*'HIV-Other HPs'!BG18,0)</f>
        <v>0</v>
      </c>
      <c r="S472" s="1194">
        <f>IF(SETUP!$F$31="Upfront",$E$471*'HIV-Other HPs'!BH18,0)</f>
        <v>0</v>
      </c>
      <c r="T472" s="1194">
        <f t="shared" si="70"/>
        <v>0</v>
      </c>
      <c r="U472" s="1328">
        <f t="shared" si="71"/>
        <v>0</v>
      </c>
      <c r="V472" s="1826">
        <v>7.4</v>
      </c>
      <c r="W472" s="1837"/>
      <c r="X472" s="764"/>
      <c r="Y472" s="1836"/>
      <c r="Z472" s="850"/>
      <c r="AA472" s="880"/>
      <c r="AB472" s="880"/>
      <c r="AC472" s="880"/>
      <c r="AD472" s="880"/>
      <c r="AE472" s="880"/>
      <c r="AF472" s="880"/>
      <c r="AG472" s="880"/>
      <c r="AH472" s="881"/>
      <c r="AI472" s="880"/>
      <c r="AJ472" s="880"/>
      <c r="AK472" s="880"/>
      <c r="AL472" s="880"/>
      <c r="AM472" s="880"/>
      <c r="AN472" s="880"/>
      <c r="AO472" s="880"/>
      <c r="AP472" s="880"/>
      <c r="AQ472" s="880"/>
      <c r="AR472" s="880"/>
      <c r="AS472" s="880"/>
      <c r="AT472" s="880"/>
      <c r="AU472" s="880"/>
      <c r="AV472" s="880"/>
      <c r="AW472" s="880"/>
      <c r="AX472" s="880"/>
      <c r="AY472" s="880"/>
      <c r="AZ472" s="880"/>
      <c r="BA472" s="880"/>
      <c r="BB472" s="880"/>
      <c r="BC472" s="880"/>
      <c r="BD472" s="880"/>
      <c r="BE472" s="880"/>
      <c r="BF472" s="880"/>
      <c r="BG472" s="880"/>
      <c r="BH472" s="880"/>
      <c r="BI472" s="880"/>
      <c r="BJ472" s="880"/>
      <c r="BK472" s="880"/>
      <c r="BL472" s="880"/>
      <c r="BM472" s="880"/>
      <c r="BN472" s="880"/>
      <c r="BO472" s="880"/>
      <c r="BP472" s="880"/>
      <c r="BQ472" s="880"/>
      <c r="BR472" s="880"/>
      <c r="BS472" s="880"/>
      <c r="BT472" s="880"/>
    </row>
    <row r="473" spans="1:72" s="882" customFormat="1" ht="16.149999999999999" hidden="1" customHeight="1" outlineLevel="1">
      <c r="A473" s="2893"/>
      <c r="B473" s="2894"/>
      <c r="C473" s="2912" t="s">
        <v>36</v>
      </c>
      <c r="D473" s="2912"/>
      <c r="E473" s="1653"/>
      <c r="F473" s="1328">
        <v>0</v>
      </c>
      <c r="G473" s="1194">
        <f>IF(SETUP!$F$31="At delivery",IF(SETUP!$G$31=1,$E$471*'HIV-Other HPs'!AW18,0),0)</f>
        <v>0</v>
      </c>
      <c r="H473" s="1194">
        <f>IF(SETUP!$F$31="At delivery",IF(SETUP!$G$31=2,$E$471*'HIV-Other HPs'!AW18,IF(SETUP!$G$31=1,$E$471*'HIV-Other HPs'!AX18,0)),0)</f>
        <v>0</v>
      </c>
      <c r="I473" s="1194">
        <f>IF(SETUP!$F$31="At delivery",IF(SETUP!$G$31=3,$E$471*'HIV-Other HPs'!AW18,IF(SETUP!$G$31=2,$E$471*'HIV-Other HPs'!AX18,IF(SETUP!$G$31=1,$E$471*'HIV-Other HPs'!AY18,0))),0)</f>
        <v>0</v>
      </c>
      <c r="J473" s="1194">
        <f t="shared" si="68"/>
        <v>0</v>
      </c>
      <c r="K473" s="1328">
        <f>IF(SETUP!$F$31="At delivery",IF(SETUP!$G$31=4,$E$471*'HIV-Other HPs'!AW18,IF(SETUP!$G$31=3,$E$471*'HIV-Other HPs'!AX18,IF(SETUP!$G$31=2,$E$471*'HIV-Other HPs'!AY18,IF(SETUP!$G$31=1,$E$471*'HIV-Other HPs'!AZ18,0)))),0)</f>
        <v>0</v>
      </c>
      <c r="L473" s="1194">
        <f>IF(SETUP!$F$31="At delivery",IF(SETUP!$G$31=4,$E$471*'HIV-Other HPs'!AX18,IF(SETUP!$G$31=3,$E$471*'HIV-Other HPs'!AY18,IF(SETUP!$G$31=2,$E$471*'HIV-Other HPs'!AZ18,IF(SETUP!$G$31=1,$E$471*'HIV-Other HPs'!BA18,0)))),0)</f>
        <v>0</v>
      </c>
      <c r="M473" s="1194">
        <f>IF(SETUP!$F$31="At delivery",IF(SETUP!$G$31=4,$E$471*'HIV-Other HPs'!AY18,IF(SETUP!$G$31=3,$E$471*'HIV-Other HPs'!AZ18,IF(SETUP!$G$31=2,$E$471*'HIV-Other HPs'!BA18,IF(SETUP!$G$31=1,$E$471*'HIV-Other HPs'!BB18,0)))),0)</f>
        <v>0</v>
      </c>
      <c r="N473" s="1194">
        <f>IF(SETUP!$F$31="At delivery",IF(SETUP!$G$31=4,$E$471*'HIV-Other HPs'!AZ18,IF(SETUP!$G$31=3,$E$471*'HIV-Other HPs'!BA18,IF(SETUP!$G$31=2,$E$471*'HIV-Other HPs'!BB18,IF(SETUP!$G$31=1,$E$471*'HIV-Other HPs'!BC18,0)))),0)</f>
        <v>0</v>
      </c>
      <c r="O473" s="1194">
        <f t="shared" si="69"/>
        <v>0</v>
      </c>
      <c r="P473" s="1328">
        <f>IF(SETUP!$F$31="At delivery",IF(SETUP!$G$31=4,$E$471*'HIV-Other HPs'!BA18,IF(SETUP!$G$31=3,$E$471*'HIV-Other HPs'!BB18,IF(SETUP!$G$31=2,$E$471*'HIV-Other HPs'!BC18,IF(SETUP!$G$31=1,$E$471*'HIV-Other HPs'!BD18,0)))),0)</f>
        <v>0</v>
      </c>
      <c r="Q473" s="1194">
        <f>IF(SETUP!$F$31="At delivery",IF(SETUP!$G$31=4,$E$471*'HIV-Other HPs'!BB18,IF(SETUP!$G$31=3,$E$471*'HIV-Other HPs'!BC18,IF(SETUP!$G$31=2,$E$471*'HIV-Other HPs'!BD18,IF(SETUP!$G$31=1,$E$471*'HIV-Other HPs'!BE18,0)))),0)</f>
        <v>0</v>
      </c>
      <c r="R473" s="1194">
        <f>IF(SETUP!$F$31="At delivery",IF(SETUP!$G$31=4,$E$471*'HIV-Other HPs'!BC18,IF(SETUP!$G$31=3,$E$471*'HIV-Other HPs'!BD18,IF(SETUP!$G$31=2,$E$471*'HIV-Other HPs'!BE18,IF(SETUP!$G$31=1,$E$471*'HIV-Other HPs'!BF18,0)))),0)</f>
        <v>0</v>
      </c>
      <c r="S473" s="1194">
        <f>IF(SETUP!$F$31="At delivery",IF(SETUP!$G$31=4,$E$471*('HIV-Other HPs'!BD18+'HIV-Other HPs'!BE18+'HIV-Other HPs'!BF18+'HIV-Other HPs'!BG18+'HIV-Other HPs'!BH18),IF(SETUP!$G$31=3,$E$471*('HIV-Other HPs'!BE18+'HIV-Other HPs'!BF18+'HIV-Other HPs'!BG18+'HIV-Other HPs'!BH18),IF(SETUP!$G$31=2,$E$471*('HIV-Other HPs'!BF18+'HIV-Other HPs'!BG18+'HIV-Other HPs'!BH18),IF(SETUP!$G$31=1,$E$471*('HIV-Other HPs'!BG18+'HIV-Other HPs'!BH18),0)))),0)</f>
        <v>0</v>
      </c>
      <c r="T473" s="1194">
        <f t="shared" si="70"/>
        <v>0</v>
      </c>
      <c r="U473" s="1328">
        <f t="shared" si="71"/>
        <v>0</v>
      </c>
      <c r="V473" s="1826">
        <v>7.4</v>
      </c>
      <c r="W473" s="1837"/>
      <c r="X473" s="764"/>
      <c r="Y473" s="1836"/>
      <c r="Z473" s="850"/>
      <c r="AA473" s="880"/>
      <c r="AB473" s="880"/>
      <c r="AC473" s="880"/>
      <c r="AD473" s="880"/>
      <c r="AE473" s="880"/>
      <c r="AF473" s="880"/>
      <c r="AG473" s="880"/>
      <c r="AH473" s="881"/>
      <c r="AI473" s="880"/>
      <c r="AJ473" s="880"/>
      <c r="AK473" s="880"/>
      <c r="AL473" s="880"/>
      <c r="AM473" s="880"/>
      <c r="AN473" s="880"/>
      <c r="AO473" s="880"/>
      <c r="AP473" s="880"/>
      <c r="AQ473" s="880"/>
      <c r="AR473" s="880"/>
      <c r="AS473" s="880"/>
      <c r="AT473" s="880"/>
      <c r="AU473" s="880"/>
      <c r="AV473" s="880"/>
      <c r="AW473" s="880"/>
      <c r="AX473" s="880"/>
      <c r="AY473" s="880"/>
      <c r="AZ473" s="880"/>
      <c r="BA473" s="880"/>
      <c r="BB473" s="880"/>
      <c r="BC473" s="880"/>
      <c r="BD473" s="880"/>
      <c r="BE473" s="880"/>
      <c r="BF473" s="880"/>
      <c r="BG473" s="880"/>
      <c r="BH473" s="880"/>
      <c r="BI473" s="880"/>
      <c r="BJ473" s="880"/>
      <c r="BK473" s="880"/>
      <c r="BL473" s="880"/>
      <c r="BM473" s="880"/>
      <c r="BN473" s="880"/>
      <c r="BO473" s="880"/>
      <c r="BP473" s="880"/>
      <c r="BQ473" s="880"/>
      <c r="BR473" s="880"/>
      <c r="BS473" s="880"/>
      <c r="BT473" s="880"/>
    </row>
    <row r="474" spans="1:72" s="882" customFormat="1" ht="13" collapsed="1">
      <c r="A474" s="2893"/>
      <c r="B474" s="2894"/>
      <c r="C474" s="2911" t="s">
        <v>568</v>
      </c>
      <c r="D474" s="2911"/>
      <c r="E474" s="1651">
        <v>0</v>
      </c>
      <c r="F474" s="1328">
        <f>IF(SETUP!$F$32="Upfront",F475,F476)</f>
        <v>0</v>
      </c>
      <c r="G474" s="1194">
        <f>IF(SETUP!$F$32="Upfront",G475,G476)</f>
        <v>0</v>
      </c>
      <c r="H474" s="1194">
        <f>IF(SETUP!$F$32="Upfront",H475,H476)</f>
        <v>0</v>
      </c>
      <c r="I474" s="1194">
        <f>IF(SETUP!$F$32="Upfront",I475,I476)</f>
        <v>0</v>
      </c>
      <c r="J474" s="1194">
        <f t="shared" si="68"/>
        <v>0</v>
      </c>
      <c r="K474" s="1328">
        <f>IF(SETUP!$F$32="Upfront",K475,K476)</f>
        <v>0</v>
      </c>
      <c r="L474" s="1194">
        <f>IF(SETUP!$F$32="Upfront",L475,L476)</f>
        <v>0</v>
      </c>
      <c r="M474" s="1194">
        <f>IF(SETUP!$F$32="Upfront",M475,M476)</f>
        <v>0</v>
      </c>
      <c r="N474" s="1194">
        <f>IF(SETUP!$F$32="Upfront",N475,N476)</f>
        <v>0</v>
      </c>
      <c r="O474" s="1194">
        <f t="shared" si="69"/>
        <v>0</v>
      </c>
      <c r="P474" s="1328">
        <f>IF(SETUP!$F$32="Upfront",P475,P476)</f>
        <v>0</v>
      </c>
      <c r="Q474" s="1194">
        <f>IF(SETUP!$F$32="Upfront",Q475,Q476)</f>
        <v>0</v>
      </c>
      <c r="R474" s="1194">
        <f>IF(SETUP!$F$32="Upfront",R475,R476)</f>
        <v>0</v>
      </c>
      <c r="S474" s="1194">
        <f>IF(SETUP!$F$32="Upfront",S475,S476)</f>
        <v>0</v>
      </c>
      <c r="T474" s="1194">
        <f t="shared" si="70"/>
        <v>0</v>
      </c>
      <c r="U474" s="1328">
        <f t="shared" si="71"/>
        <v>0</v>
      </c>
      <c r="V474" s="1826">
        <v>7.4</v>
      </c>
      <c r="W474" s="1837"/>
      <c r="X474" s="764"/>
      <c r="Y474" s="1836"/>
      <c r="Z474" s="850"/>
      <c r="AA474" s="880"/>
      <c r="AB474" s="880"/>
      <c r="AC474" s="880"/>
      <c r="AD474" s="880"/>
      <c r="AE474" s="880"/>
      <c r="AF474" s="880"/>
      <c r="AG474" s="880"/>
      <c r="AH474" s="881"/>
      <c r="AI474" s="880"/>
      <c r="AJ474" s="880"/>
      <c r="AK474" s="880"/>
      <c r="AL474" s="880"/>
      <c r="AM474" s="880"/>
      <c r="AN474" s="880"/>
      <c r="AO474" s="880"/>
      <c r="AP474" s="880"/>
      <c r="AQ474" s="880"/>
      <c r="AR474" s="880"/>
      <c r="AS474" s="880"/>
      <c r="AT474" s="880"/>
      <c r="AU474" s="880"/>
      <c r="AV474" s="880"/>
      <c r="AW474" s="880"/>
      <c r="AX474" s="880"/>
      <c r="AY474" s="880"/>
      <c r="AZ474" s="880"/>
      <c r="BA474" s="880"/>
      <c r="BB474" s="880"/>
      <c r="BC474" s="880"/>
      <c r="BD474" s="880"/>
      <c r="BE474" s="880"/>
      <c r="BF474" s="880"/>
      <c r="BG474" s="880"/>
      <c r="BH474" s="880"/>
      <c r="BI474" s="880"/>
      <c r="BJ474" s="880"/>
      <c r="BK474" s="880"/>
      <c r="BL474" s="880"/>
      <c r="BM474" s="880"/>
      <c r="BN474" s="880"/>
      <c r="BO474" s="880"/>
      <c r="BP474" s="880"/>
      <c r="BQ474" s="880"/>
      <c r="BR474" s="880"/>
      <c r="BS474" s="880"/>
      <c r="BT474" s="880"/>
    </row>
    <row r="475" spans="1:72" s="882" customFormat="1" ht="16.149999999999999" hidden="1" customHeight="1" outlineLevel="1">
      <c r="A475" s="2893"/>
      <c r="B475" s="2894"/>
      <c r="C475" s="2912" t="s">
        <v>918</v>
      </c>
      <c r="D475" s="2912"/>
      <c r="E475" s="1649"/>
      <c r="F475" s="1328">
        <f>IF(SETUP!$F$32="Upfront",$E$474*'HIV-Other HPs'!AW19,0)</f>
        <v>0</v>
      </c>
      <c r="G475" s="1194">
        <f>IF(SETUP!$F$32="Upfront",$E$474*'HIV-Other HPs'!AX19,0)</f>
        <v>0</v>
      </c>
      <c r="H475" s="1194">
        <f>IF(SETUP!$F$32="Upfront",$E$474*'HIV-Other HPs'!AY19,0)</f>
        <v>0</v>
      </c>
      <c r="I475" s="1194">
        <f>IF(SETUP!$F$32="Upfront",$E$474*'HIV-Other HPs'!AZ19,0)</f>
        <v>0</v>
      </c>
      <c r="J475" s="1194">
        <f t="shared" si="68"/>
        <v>0</v>
      </c>
      <c r="K475" s="1328">
        <f>IF(SETUP!$F$32="Upfront",$E$474*'HIV-Other HPs'!BA19,0)</f>
        <v>0</v>
      </c>
      <c r="L475" s="1194">
        <f>IF(SETUP!$F$32="Upfront",$E$474*'HIV-Other HPs'!BB19,0)</f>
        <v>0</v>
      </c>
      <c r="M475" s="1194">
        <f>IF(SETUP!$F$32="Upfront",$E$474*'HIV-Other HPs'!BC19,0)</f>
        <v>0</v>
      </c>
      <c r="N475" s="1194">
        <f>IF(SETUP!$F$32="Upfront",$E$474*'HIV-Other HPs'!BD19,0)</f>
        <v>0</v>
      </c>
      <c r="O475" s="1194">
        <f t="shared" si="69"/>
        <v>0</v>
      </c>
      <c r="P475" s="1328">
        <f>IF(SETUP!$F$32="Upfront",$E$474*'HIV-Other HPs'!BE19,0)</f>
        <v>0</v>
      </c>
      <c r="Q475" s="1194">
        <f>IF(SETUP!$F$32="Upfront",$E$474*'HIV-Other HPs'!BF19,0)</f>
        <v>0</v>
      </c>
      <c r="R475" s="1194">
        <f>IF(SETUP!$F$32="Upfront",$E$474*'HIV-Other HPs'!BG19,0)</f>
        <v>0</v>
      </c>
      <c r="S475" s="1194">
        <f>IF(SETUP!$F$32="Upfront",$E$474*'HIV-Other HPs'!BH19,0)</f>
        <v>0</v>
      </c>
      <c r="T475" s="1194">
        <f t="shared" si="70"/>
        <v>0</v>
      </c>
      <c r="U475" s="1328">
        <f t="shared" si="71"/>
        <v>0</v>
      </c>
      <c r="V475" s="1826">
        <v>7.4</v>
      </c>
      <c r="W475" s="1837"/>
      <c r="X475" s="764"/>
      <c r="Y475" s="1836"/>
      <c r="Z475" s="850"/>
      <c r="AA475" s="880"/>
      <c r="AB475" s="880"/>
      <c r="AC475" s="880"/>
      <c r="AD475" s="880"/>
      <c r="AE475" s="880"/>
      <c r="AF475" s="880"/>
      <c r="AG475" s="880"/>
      <c r="AH475" s="881"/>
      <c r="AI475" s="880"/>
      <c r="AJ475" s="880"/>
      <c r="AK475" s="880"/>
      <c r="AL475" s="880"/>
      <c r="AM475" s="880"/>
      <c r="AN475" s="880"/>
      <c r="AO475" s="880"/>
      <c r="AP475" s="880"/>
      <c r="AQ475" s="880"/>
      <c r="AR475" s="880"/>
      <c r="AS475" s="880"/>
      <c r="AT475" s="880"/>
      <c r="AU475" s="880"/>
      <c r="AV475" s="880"/>
      <c r="AW475" s="880"/>
      <c r="AX475" s="880"/>
      <c r="AY475" s="880"/>
      <c r="AZ475" s="880"/>
      <c r="BA475" s="880"/>
      <c r="BB475" s="880"/>
      <c r="BC475" s="880"/>
      <c r="BD475" s="880"/>
      <c r="BE475" s="880"/>
      <c r="BF475" s="880"/>
      <c r="BG475" s="880"/>
      <c r="BH475" s="880"/>
      <c r="BI475" s="880"/>
      <c r="BJ475" s="880"/>
      <c r="BK475" s="880"/>
      <c r="BL475" s="880"/>
      <c r="BM475" s="880"/>
      <c r="BN475" s="880"/>
      <c r="BO475" s="880"/>
      <c r="BP475" s="880"/>
      <c r="BQ475" s="880"/>
      <c r="BR475" s="880"/>
      <c r="BS475" s="880"/>
      <c r="BT475" s="880"/>
    </row>
    <row r="476" spans="1:72" s="882" customFormat="1" ht="16.149999999999999" hidden="1" customHeight="1" outlineLevel="1">
      <c r="A476" s="2893"/>
      <c r="B476" s="2894"/>
      <c r="C476" s="2912" t="s">
        <v>36</v>
      </c>
      <c r="D476" s="2912"/>
      <c r="E476" s="1649"/>
      <c r="F476" s="1328">
        <v>0</v>
      </c>
      <c r="G476" s="1194">
        <f>IF(SETUP!$F$32="At delivery",IF(SETUP!$G$32=1,$E$474*'HIV-Other HPs'!AW19,0),0)</f>
        <v>0</v>
      </c>
      <c r="H476" s="1194">
        <f>IF(SETUP!$F$32="At delivery",IF(SETUP!$G$32=2,$E$474*'HIV-Other HPs'!AW19,IF(SETUP!$G$32=1,$E$474*'HIV-Other HPs'!AX19,0)),0)</f>
        <v>0</v>
      </c>
      <c r="I476" s="1194">
        <f>IF(SETUP!$F$32="At delivery",IF(SETUP!$G$32=3,$E$474*'HIV-Other HPs'!AW19,IF(SETUP!$G$32=2,$E$474*'HIV-Other HPs'!AX19,IF(SETUP!$G$32=1,$E$474*'HIV-Other HPs'!AY19,0))),0)</f>
        <v>0</v>
      </c>
      <c r="J476" s="1194">
        <f t="shared" si="68"/>
        <v>0</v>
      </c>
      <c r="K476" s="1328">
        <f>IF(SETUP!$F$32="At delivery",IF(SETUP!$G$32=4,$E$474*'HIV-Other HPs'!AW19,IF(SETUP!$G$32=3,$E$474*'HIV-Other HPs'!AX19,IF(SETUP!$G$32=2,$E$474*'HIV-Other HPs'!AY19,IF(SETUP!$G$32=1,$E$474*'HIV-Other HPs'!AZ19,0)))),0)</f>
        <v>0</v>
      </c>
      <c r="L476" s="1194">
        <f>IF(SETUP!$F$32="At delivery",IF(SETUP!$G$32=4,$E$474*'HIV-Other HPs'!AX19,IF(SETUP!$G$32=3,$E$474*'HIV-Other HPs'!AY19,IF(SETUP!$G$32=2,$E$474*'HIV-Other HPs'!AZ19,IF(SETUP!$G$32=1,$E$474*'HIV-Other HPs'!BA19,0)))),0)</f>
        <v>0</v>
      </c>
      <c r="M476" s="1194">
        <f>IF(SETUP!$F$32="At delivery",IF(SETUP!$G$32=4,$E$474*'HIV-Other HPs'!AY19,IF(SETUP!$G$32=3,$E$474*'HIV-Other HPs'!AZ19,IF(SETUP!$G$32=2,$E$474*'HIV-Other HPs'!BA19,IF(SETUP!$G$32=1,$E$474*'HIV-Other HPs'!BB19,0)))),0)</f>
        <v>0</v>
      </c>
      <c r="N476" s="1194">
        <f>IF(SETUP!$F$32="At delivery",IF(SETUP!$G$32=4,$E$474*'HIV-Other HPs'!AZ19,IF(SETUP!$G$32=3,$E$474*'HIV-Other HPs'!BA19,IF(SETUP!$G$32=2,$E$474*'HIV-Other HPs'!BB19,IF(SETUP!$G$32=1,$E$474*'HIV-Other HPs'!BC19,0)))),0)</f>
        <v>0</v>
      </c>
      <c r="O476" s="1194">
        <f t="shared" si="69"/>
        <v>0</v>
      </c>
      <c r="P476" s="1328">
        <f>IF(SETUP!$F$32="At delivery",IF(SETUP!$G$32=4,$E$474*'HIV-Other HPs'!BA19,IF(SETUP!$G$32=3,$E$474*'HIV-Other HPs'!BB19,IF(SETUP!$G$32=2,$E$474*'HIV-Other HPs'!BC19,IF(SETUP!$G$32=1,$E$474*'HIV-Other HPs'!BD19,0)))),0)</f>
        <v>0</v>
      </c>
      <c r="Q476" s="1194">
        <f>IF(SETUP!$F$32="At delivery",IF(SETUP!$G$32=4,$E$474*'HIV-Other HPs'!BB19,IF(SETUP!$G$32=3,$E$474*'HIV-Other HPs'!BC19,IF(SETUP!$G$32=2,$E$474*'HIV-Other HPs'!BD19,IF(SETUP!$G$32=1,$E$474*'HIV-Other HPs'!BE19,0)))),0)</f>
        <v>0</v>
      </c>
      <c r="R476" s="1194">
        <f>IF(SETUP!$F$32="At delivery",IF(SETUP!$G$32=4,$E$474*'HIV-Other HPs'!BC19,IF(SETUP!$G$32=3,$E$474*'HIV-Other HPs'!BD19,IF(SETUP!$G$32=2,$E$474*'HIV-Other HPs'!BE19,IF(SETUP!$G$32=1,$E$474*'HIV-Other HPs'!BF19,0)))),0)</f>
        <v>0</v>
      </c>
      <c r="S476" s="1194">
        <f>IF(SETUP!$F$32="At delivery",IF(SETUP!$G$32=4,$E$474*('HIV-Other HPs'!BD19+'HIV-Other HPs'!BE19+'HIV-Other HPs'!BF19+'HIV-Other HPs'!BG19+'HIV-Other HPs'!BH19),IF(SETUP!$G$32=3,$E$474*('HIV-Other HPs'!BE19+'HIV-Other HPs'!BF19+'HIV-Other HPs'!BG19+'HIV-Other HPs'!BH19),IF(SETUP!$G$32=2,$E$474*('HIV-Other HPs'!BF19+'HIV-Other HPs'!BG19+'HIV-Other HPs'!BH19),IF(SETUP!$G$32=1,$E$474*('HIV-Other HPs'!BG19+'HIV-Other HPs'!BH19),0)))),0)</f>
        <v>0</v>
      </c>
      <c r="T476" s="1194">
        <f t="shared" si="70"/>
        <v>0</v>
      </c>
      <c r="U476" s="1328">
        <f t="shared" si="71"/>
        <v>0</v>
      </c>
      <c r="V476" s="1826">
        <v>7.4</v>
      </c>
      <c r="W476" s="1837"/>
      <c r="X476" s="764"/>
      <c r="Y476" s="1836"/>
      <c r="Z476" s="850"/>
      <c r="AA476" s="880"/>
      <c r="AB476" s="880"/>
      <c r="AC476" s="880"/>
      <c r="AD476" s="880"/>
      <c r="AE476" s="880"/>
      <c r="AF476" s="880"/>
      <c r="AG476" s="880"/>
      <c r="AH476" s="881"/>
      <c r="AI476" s="880"/>
      <c r="AJ476" s="880"/>
      <c r="AK476" s="880"/>
      <c r="AL476" s="880"/>
      <c r="AM476" s="880"/>
      <c r="AN476" s="880"/>
      <c r="AO476" s="880"/>
      <c r="AP476" s="880"/>
      <c r="AQ476" s="880"/>
      <c r="AR476" s="880"/>
      <c r="AS476" s="880"/>
      <c r="AT476" s="880"/>
      <c r="AU476" s="880"/>
      <c r="AV476" s="880"/>
      <c r="AW476" s="880"/>
      <c r="AX476" s="880"/>
      <c r="AY476" s="880"/>
      <c r="AZ476" s="880"/>
      <c r="BA476" s="880"/>
      <c r="BB476" s="880"/>
      <c r="BC476" s="880"/>
      <c r="BD476" s="880"/>
      <c r="BE476" s="880"/>
      <c r="BF476" s="880"/>
      <c r="BG476" s="880"/>
      <c r="BH476" s="880"/>
      <c r="BI476" s="880"/>
      <c r="BJ476" s="880"/>
      <c r="BK476" s="880"/>
      <c r="BL476" s="880"/>
      <c r="BM476" s="880"/>
      <c r="BN476" s="880"/>
      <c r="BO476" s="880"/>
      <c r="BP476" s="880"/>
      <c r="BQ476" s="880"/>
      <c r="BR476" s="880"/>
      <c r="BS476" s="880"/>
      <c r="BT476" s="880"/>
    </row>
    <row r="477" spans="1:72" s="882" customFormat="1" ht="13.5" collapsed="1" thickBot="1">
      <c r="A477" s="2893"/>
      <c r="B477" s="2894"/>
      <c r="C477" s="2923" t="s">
        <v>1795</v>
      </c>
      <c r="D477" s="2923"/>
      <c r="E477" s="1651">
        <v>0</v>
      </c>
      <c r="F477" s="1328">
        <f>IF(SETUP!$F$33="Upfront",F478,F479)</f>
        <v>0</v>
      </c>
      <c r="G477" s="1194">
        <f>IF(SETUP!$F$33="Upfront",G478,G479)</f>
        <v>0</v>
      </c>
      <c r="H477" s="1194">
        <f>IF(SETUP!$F$33="Upfront",H478,H479)</f>
        <v>0</v>
      </c>
      <c r="I477" s="1194">
        <f>IF(SETUP!$F$33="Upfront",I478,I479)</f>
        <v>0</v>
      </c>
      <c r="J477" s="1194">
        <f t="shared" si="68"/>
        <v>0</v>
      </c>
      <c r="K477" s="1328">
        <f>IF(SETUP!$F$33="Upfront",K478,K479)</f>
        <v>0</v>
      </c>
      <c r="L477" s="1194">
        <f>IF(SETUP!$F$33="Upfront",L478,L479)</f>
        <v>0</v>
      </c>
      <c r="M477" s="1194">
        <f>IF(SETUP!$F$33="Upfront",M478,M479)</f>
        <v>0</v>
      </c>
      <c r="N477" s="1194">
        <f>IF(SETUP!$F$33="Upfront",N478,N479)</f>
        <v>0</v>
      </c>
      <c r="O477" s="1194">
        <f t="shared" si="69"/>
        <v>0</v>
      </c>
      <c r="P477" s="1328">
        <f>IF(SETUP!$F$33="Upfront",P478,P479)</f>
        <v>0</v>
      </c>
      <c r="Q477" s="1194">
        <f>IF(SETUP!$F$33="Upfront",Q478,Q479)</f>
        <v>0</v>
      </c>
      <c r="R477" s="1194">
        <f>IF(SETUP!$F$33="Upfront",R478,R479)</f>
        <v>0</v>
      </c>
      <c r="S477" s="1194">
        <f>IF(SETUP!$F$33="Upfront",S478,S479)</f>
        <v>0</v>
      </c>
      <c r="T477" s="1194">
        <f t="shared" si="70"/>
        <v>0</v>
      </c>
      <c r="U477" s="1328">
        <f t="shared" si="71"/>
        <v>0</v>
      </c>
      <c r="V477" s="1826">
        <v>7.4</v>
      </c>
      <c r="W477" s="1837"/>
      <c r="X477" s="764"/>
      <c r="Y477" s="1836"/>
      <c r="Z477" s="850"/>
      <c r="AA477" s="880"/>
      <c r="AB477" s="880"/>
      <c r="AC477" s="880"/>
      <c r="AD477" s="880"/>
      <c r="AE477" s="880"/>
      <c r="AF477" s="880"/>
      <c r="AG477" s="880"/>
      <c r="AH477" s="881"/>
      <c r="AI477" s="880"/>
      <c r="AJ477" s="880"/>
      <c r="AK477" s="880"/>
      <c r="AL477" s="880"/>
      <c r="AM477" s="880"/>
      <c r="AN477" s="880"/>
      <c r="AO477" s="880"/>
      <c r="AP477" s="880"/>
      <c r="AQ477" s="880"/>
      <c r="AR477" s="880"/>
      <c r="AS477" s="880"/>
      <c r="AT477" s="880"/>
      <c r="AU477" s="880"/>
      <c r="AV477" s="880"/>
      <c r="AW477" s="880"/>
      <c r="AX477" s="880"/>
      <c r="AY477" s="880"/>
      <c r="AZ477" s="880"/>
      <c r="BA477" s="880"/>
      <c r="BB477" s="880"/>
      <c r="BC477" s="880"/>
      <c r="BD477" s="880"/>
      <c r="BE477" s="880"/>
      <c r="BF477" s="880"/>
      <c r="BG477" s="880"/>
      <c r="BH477" s="880"/>
      <c r="BI477" s="880"/>
      <c r="BJ477" s="880"/>
      <c r="BK477" s="880"/>
      <c r="BL477" s="880"/>
      <c r="BM477" s="880"/>
      <c r="BN477" s="880"/>
      <c r="BO477" s="880"/>
      <c r="BP477" s="880"/>
      <c r="BQ477" s="880"/>
      <c r="BR477" s="880"/>
      <c r="BS477" s="880"/>
      <c r="BT477" s="880"/>
    </row>
    <row r="478" spans="1:72" s="882" customFormat="1" ht="12.75" hidden="1" customHeight="1" outlineLevel="1">
      <c r="A478" s="2893"/>
      <c r="B478" s="2894"/>
      <c r="C478" s="2912" t="s">
        <v>918</v>
      </c>
      <c r="D478" s="2912"/>
      <c r="E478" s="1653"/>
      <c r="F478" s="1328">
        <f>IF(SETUP!$F$33="Upfront",$E$477*'HIV-Other HPs'!AW20,0)</f>
        <v>0</v>
      </c>
      <c r="G478" s="1194">
        <f>IF(SETUP!$F$33="Upfront",$E$477*'HIV-Other HPs'!AX20,0)</f>
        <v>0</v>
      </c>
      <c r="H478" s="1194">
        <f>IF(SETUP!$F$33="Upfront",$E$477*'HIV-Other HPs'!AY20,0)</f>
        <v>0</v>
      </c>
      <c r="I478" s="1194">
        <f>IF(SETUP!$F$33="Upfront",$E$477*'HIV-Other HPs'!AZ20,0)</f>
        <v>0</v>
      </c>
      <c r="J478" s="1194">
        <f t="shared" si="68"/>
        <v>0</v>
      </c>
      <c r="K478" s="1328">
        <f>IF(SETUP!$F$33="Upfront",$E$477*'HIV-Other HPs'!BA20,0)</f>
        <v>0</v>
      </c>
      <c r="L478" s="1194">
        <f>IF(SETUP!$F$33="Upfront",$E$477*'HIV-Other HPs'!BB20,0)</f>
        <v>0</v>
      </c>
      <c r="M478" s="1194">
        <f>IF(SETUP!$F$33="Upfront",$E$477*'HIV-Other HPs'!BC20,0)</f>
        <v>0</v>
      </c>
      <c r="N478" s="1194">
        <f>IF(SETUP!$F$33="Upfront",$E$477*'HIV-Other HPs'!BD20,0)</f>
        <v>0</v>
      </c>
      <c r="O478" s="1194">
        <f t="shared" si="69"/>
        <v>0</v>
      </c>
      <c r="P478" s="1328">
        <f>IF(SETUP!$F$33="Upfront",$E$477*'HIV-Other HPs'!BE20,0)</f>
        <v>0</v>
      </c>
      <c r="Q478" s="1194">
        <f>IF(SETUP!$F$33="Upfront",$E$477*'HIV-Other HPs'!BF20,0)</f>
        <v>0</v>
      </c>
      <c r="R478" s="1194">
        <f>IF(SETUP!$F$33="Upfront",$E$477*'HIV-Other HPs'!BG20,0)</f>
        <v>0</v>
      </c>
      <c r="S478" s="1194">
        <f>IF(SETUP!$F$33="Upfront",$E$477*'HIV-Other HPs'!BH20,0)</f>
        <v>0</v>
      </c>
      <c r="T478" s="1194">
        <f t="shared" si="70"/>
        <v>0</v>
      </c>
      <c r="U478" s="1328">
        <f t="shared" si="71"/>
        <v>0</v>
      </c>
      <c r="V478" s="1826">
        <v>7.4</v>
      </c>
      <c r="W478" s="1837"/>
      <c r="X478" s="764"/>
      <c r="Y478" s="1836"/>
      <c r="Z478" s="850"/>
      <c r="AA478" s="880"/>
      <c r="AB478" s="880"/>
      <c r="AC478" s="880"/>
      <c r="AD478" s="880"/>
      <c r="AE478" s="880"/>
      <c r="AF478" s="880"/>
      <c r="AG478" s="880"/>
      <c r="AH478" s="881"/>
      <c r="AI478" s="880"/>
      <c r="AJ478" s="880"/>
      <c r="AK478" s="880"/>
      <c r="AL478" s="880"/>
      <c r="AM478" s="880"/>
      <c r="AN478" s="880"/>
      <c r="AO478" s="880"/>
      <c r="AP478" s="880"/>
      <c r="AQ478" s="880"/>
      <c r="AR478" s="880"/>
      <c r="AS478" s="880"/>
      <c r="AT478" s="880"/>
      <c r="AU478" s="880"/>
      <c r="AV478" s="880"/>
      <c r="AW478" s="880"/>
      <c r="AX478" s="880"/>
      <c r="AY478" s="880"/>
      <c r="AZ478" s="880"/>
      <c r="BA478" s="880"/>
      <c r="BB478" s="880"/>
      <c r="BC478" s="880"/>
      <c r="BD478" s="880"/>
      <c r="BE478" s="880"/>
      <c r="BF478" s="880"/>
      <c r="BG478" s="880"/>
      <c r="BH478" s="880"/>
      <c r="BI478" s="880"/>
      <c r="BJ478" s="880"/>
      <c r="BK478" s="880"/>
      <c r="BL478" s="880"/>
      <c r="BM478" s="880"/>
      <c r="BN478" s="880"/>
      <c r="BO478" s="880"/>
      <c r="BP478" s="880"/>
      <c r="BQ478" s="880"/>
      <c r="BR478" s="880"/>
      <c r="BS478" s="880"/>
      <c r="BT478" s="880"/>
    </row>
    <row r="479" spans="1:72" s="882" customFormat="1" ht="12.75" hidden="1" customHeight="1" outlineLevel="1">
      <c r="A479" s="2893"/>
      <c r="B479" s="2894"/>
      <c r="C479" s="2912" t="s">
        <v>36</v>
      </c>
      <c r="D479" s="2912"/>
      <c r="E479" s="1652"/>
      <c r="F479" s="1328">
        <v>0</v>
      </c>
      <c r="G479" s="1194">
        <f>IF(SETUP!$F$33="At delivery",IF(SETUP!$G$33=1,$E$477*'HIV-Other HPs'!AW20,0),0)</f>
        <v>0</v>
      </c>
      <c r="H479" s="1194">
        <f>IF(SETUP!$F$33="At delivery",IF(SETUP!$G$33=2,$E$477*'HIV-Other HPs'!AW20,IF(SETUP!$G$33=1,$E$477*'HIV-Other HPs'!AX20,0)),0)</f>
        <v>0</v>
      </c>
      <c r="I479" s="1194">
        <f>IF(SETUP!$F$33="At delivery",IF(SETUP!$G$33=3,$E$477*'HIV-Other HPs'!AW20,IF(SETUP!$G$33=2,$E$477*'HIV-Other HPs'!AX20,IF(SETUP!$G$33=1,$E$477*'HIV-Other HPs'!AY20,0))),0)</f>
        <v>0</v>
      </c>
      <c r="J479" s="1194">
        <f t="shared" si="68"/>
        <v>0</v>
      </c>
      <c r="K479" s="1328">
        <f>IF(SETUP!$F$33="At delivery",IF(SETUP!$G$33=4,$E$477*'HIV-Other HPs'!AW20,IF(SETUP!$G$33=3,$E$477*'HIV-Other HPs'!AX20,IF(SETUP!$G$33=2,$E$477*'HIV-Other HPs'!AY20,IF(SETUP!$G$33=1,$E$477*'HIV-Other HPs'!AZ20,0)))),0)</f>
        <v>0</v>
      </c>
      <c r="L479" s="1194">
        <f>IF(SETUP!$F$33="At delivery",IF(SETUP!$G$33=4,$E$477*'HIV-Other HPs'!AX20,IF(SETUP!$G$33=3,$E$477*'HIV-Other HPs'!AY20,IF(SETUP!$G$33=2,$E$477*'HIV-Other HPs'!AZ20,IF(SETUP!$G$33=1,$E$477*'HIV-Other HPs'!BA20,0)))),0)</f>
        <v>0</v>
      </c>
      <c r="M479" s="1194">
        <f>IF(SETUP!$F$33="At delivery",IF(SETUP!$G$33=4,$E$477*'HIV-Other HPs'!AY20,IF(SETUP!$G$33=3,$E$477*'HIV-Other HPs'!AZ20,IF(SETUP!$G$33=2,$E$477*'HIV-Other HPs'!BA20,IF(SETUP!$G$33=1,$E$477*'HIV-Other HPs'!BB20,0)))),0)</f>
        <v>0</v>
      </c>
      <c r="N479" s="1194">
        <f>IF(SETUP!$F$33="At delivery",IF(SETUP!$G$33=4,$E$477*'HIV-Other HPs'!AZ20,IF(SETUP!$G$33=3,$E$477*'HIV-Other HPs'!BA20,IF(SETUP!$G$33=2,$E$477*'HIV-Other HPs'!BB20,IF(SETUP!$G$33=1,$E$477*'HIV-Other HPs'!BC20,0)))),0)</f>
        <v>0</v>
      </c>
      <c r="O479" s="1194">
        <f t="shared" si="69"/>
        <v>0</v>
      </c>
      <c r="P479" s="1328">
        <f>IF(SETUP!$F$33="At delivery",IF(SETUP!$G$33=4,$E$477*'HIV-Other HPs'!BA20,IF(SETUP!$G$33=3,$E$477*'HIV-Other HPs'!BB20,IF(SETUP!$G$33=2,$E$477*'HIV-Other HPs'!BC20,IF(SETUP!$G$33=1,$E$477*'HIV-Other HPs'!BD20,0)))),0)</f>
        <v>0</v>
      </c>
      <c r="Q479" s="1194">
        <f>IF(SETUP!$F$33="At delivery",IF(SETUP!$G$33=4,$E$477*'HIV-Other HPs'!BB20,IF(SETUP!$G$33=3,$E$477*'HIV-Other HPs'!BC20,IF(SETUP!$G$33=2,$E$477*'HIV-Other HPs'!BD20,IF(SETUP!$G$33=1,$E$477*'HIV-Other HPs'!BE20,0)))),0)</f>
        <v>0</v>
      </c>
      <c r="R479" s="1194">
        <f>IF(SETUP!$F$33="At delivery",IF(SETUP!$G$33=4,$E$477*'HIV-Other HPs'!BC20,IF(SETUP!$G$33=3,$E$477*'HIV-Other HPs'!BD20,IF(SETUP!$G$33=2,$E$477*'HIV-Other HPs'!BE20,IF(SETUP!$G$33=1,$E$477*'HIV-Other HPs'!BF20,0)))),0)</f>
        <v>0</v>
      </c>
      <c r="S479" s="1194">
        <f>IF(SETUP!$F$33="At delivery",IF(SETUP!$G$33=4,$E$477*('HIV-Other HPs'!BD20+'HIV-Other HPs'!BE20+'HIV-Other HPs'!BF20+'HIV-Other HPs'!BG20+'HIV-Other HPs'!BH20),IF(SETUP!$G$33=3,$E$477*('HIV-Other HPs'!BE20+'HIV-Other HPs'!BF20+'HIV-Other HPs'!BG20+'HIV-Other HPs'!BH20),IF(SETUP!$G$33=2,$E$477*('HIV-Other HPs'!BF20+'HIV-Other HPs'!BG20+'HIV-Other HPs'!BH20),IF(SETUP!$G$33=1,$E$477*('HIV-Other HPs'!BG20+'HIV-Other HPs'!BH20),0)))),0)</f>
        <v>0</v>
      </c>
      <c r="T479" s="1194">
        <f t="shared" si="70"/>
        <v>0</v>
      </c>
      <c r="U479" s="1328">
        <f t="shared" si="71"/>
        <v>0</v>
      </c>
      <c r="V479" s="1826">
        <v>7.4</v>
      </c>
      <c r="W479" s="1837"/>
      <c r="X479" s="764"/>
      <c r="Y479" s="1836"/>
      <c r="Z479" s="850"/>
      <c r="AA479" s="880"/>
      <c r="AB479" s="880"/>
      <c r="AC479" s="880"/>
      <c r="AD479" s="880"/>
      <c r="AE479" s="880"/>
      <c r="AF479" s="880"/>
      <c r="AG479" s="880"/>
      <c r="AH479" s="881"/>
      <c r="AI479" s="880"/>
      <c r="AJ479" s="880"/>
      <c r="AK479" s="880"/>
      <c r="AL479" s="880"/>
      <c r="AM479" s="880"/>
      <c r="AN479" s="880"/>
      <c r="AO479" s="880"/>
      <c r="AP479" s="880"/>
      <c r="AQ479" s="880"/>
      <c r="AR479" s="880"/>
      <c r="AS479" s="880"/>
      <c r="AT479" s="880"/>
      <c r="AU479" s="880"/>
      <c r="AV479" s="880"/>
      <c r="AW479" s="880"/>
      <c r="AX479" s="880"/>
      <c r="AY479" s="880"/>
      <c r="AZ479" s="880"/>
      <c r="BA479" s="880"/>
      <c r="BB479" s="880"/>
      <c r="BC479" s="880"/>
      <c r="BD479" s="880"/>
      <c r="BE479" s="880"/>
      <c r="BF479" s="880"/>
      <c r="BG479" s="880"/>
      <c r="BH479" s="880"/>
      <c r="BI479" s="880"/>
      <c r="BJ479" s="880"/>
      <c r="BK479" s="880"/>
      <c r="BL479" s="880"/>
      <c r="BM479" s="880"/>
      <c r="BN479" s="880"/>
      <c r="BO479" s="880"/>
      <c r="BP479" s="880"/>
      <c r="BQ479" s="880"/>
      <c r="BR479" s="880"/>
      <c r="BS479" s="880"/>
      <c r="BT479" s="880"/>
    </row>
    <row r="480" spans="1:72" s="882" customFormat="1" ht="13" hidden="1" collapsed="1">
      <c r="A480" s="2919" t="s">
        <v>569</v>
      </c>
      <c r="B480" s="2920"/>
      <c r="C480" s="2911" t="s">
        <v>570</v>
      </c>
      <c r="D480" s="2911"/>
      <c r="E480" s="1651">
        <v>0</v>
      </c>
      <c r="F480" s="1328">
        <f>IF(SETUP!$F$36="Upfront",F481,F482)</f>
        <v>0</v>
      </c>
      <c r="G480" s="1194">
        <f>IF(SETUP!$F$36="Upfront",G481,G482)</f>
        <v>0</v>
      </c>
      <c r="H480" s="1194">
        <f>IF(SETUP!$F$36="Upfront",H481,H482)</f>
        <v>0</v>
      </c>
      <c r="I480" s="1194">
        <f>IF(SETUP!$F$36="Upfront",I481,I482)</f>
        <v>0</v>
      </c>
      <c r="J480" s="1194">
        <f t="shared" si="68"/>
        <v>0</v>
      </c>
      <c r="K480" s="1328">
        <f>IF(SETUP!$F$36="Upfront",K481,K482)</f>
        <v>0</v>
      </c>
      <c r="L480" s="1194">
        <f>IF(SETUP!$F$36="Upfront",L481,L482)</f>
        <v>0</v>
      </c>
      <c r="M480" s="1194">
        <f>IF(SETUP!$F$36="Upfront",M481,M482)</f>
        <v>0</v>
      </c>
      <c r="N480" s="1194">
        <f>IF(SETUP!$F$36="Upfront",N481,N482)</f>
        <v>0</v>
      </c>
      <c r="O480" s="1194">
        <f t="shared" si="69"/>
        <v>0</v>
      </c>
      <c r="P480" s="1328">
        <f>IF(SETUP!$F$36="Upfront",P481,P482)</f>
        <v>0</v>
      </c>
      <c r="Q480" s="1194">
        <f>IF(SETUP!$F$36="Upfront",Q481,Q482)</f>
        <v>0</v>
      </c>
      <c r="R480" s="1194">
        <f>IF(SETUP!$F$36="Upfront",R481,R482)</f>
        <v>0</v>
      </c>
      <c r="S480" s="1194">
        <f>IF(SETUP!$F$36="Upfront",S481,S482)</f>
        <v>0</v>
      </c>
      <c r="T480" s="1194">
        <f t="shared" si="70"/>
        <v>0</v>
      </c>
      <c r="U480" s="1328">
        <f t="shared" si="71"/>
        <v>0</v>
      </c>
      <c r="V480" s="1826">
        <v>7.4</v>
      </c>
      <c r="W480" s="1837"/>
      <c r="X480" s="764"/>
      <c r="Y480" s="1836"/>
      <c r="Z480" s="850"/>
      <c r="AA480" s="880"/>
      <c r="AB480" s="880"/>
      <c r="AC480" s="880"/>
      <c r="AD480" s="880"/>
      <c r="AE480" s="880"/>
      <c r="AF480" s="880"/>
      <c r="AG480" s="880"/>
      <c r="AH480" s="881"/>
      <c r="AI480" s="880"/>
      <c r="AJ480" s="880"/>
      <c r="AK480" s="880"/>
      <c r="AL480" s="880"/>
      <c r="AM480" s="880"/>
      <c r="AN480" s="880"/>
      <c r="AO480" s="880"/>
      <c r="AP480" s="880"/>
      <c r="AQ480" s="880"/>
      <c r="AR480" s="880"/>
      <c r="AS480" s="880"/>
      <c r="AT480" s="880"/>
      <c r="AU480" s="880"/>
      <c r="AV480" s="880"/>
      <c r="AW480" s="880"/>
      <c r="AX480" s="880"/>
      <c r="AY480" s="880"/>
      <c r="AZ480" s="880"/>
      <c r="BA480" s="880"/>
      <c r="BB480" s="880"/>
      <c r="BC480" s="880"/>
      <c r="BD480" s="880"/>
      <c r="BE480" s="880"/>
      <c r="BF480" s="880"/>
      <c r="BG480" s="880"/>
      <c r="BH480" s="880"/>
      <c r="BI480" s="880"/>
      <c r="BJ480" s="880"/>
      <c r="BK480" s="880"/>
      <c r="BL480" s="880"/>
      <c r="BM480" s="880"/>
      <c r="BN480" s="880"/>
      <c r="BO480" s="880"/>
      <c r="BP480" s="880"/>
      <c r="BQ480" s="880"/>
      <c r="BR480" s="880"/>
      <c r="BS480" s="880"/>
      <c r="BT480" s="880"/>
    </row>
    <row r="481" spans="1:72" s="882" customFormat="1" ht="12.75" hidden="1" customHeight="1" outlineLevel="1">
      <c r="A481" s="2919"/>
      <c r="B481" s="2920"/>
      <c r="C481" s="2912" t="s">
        <v>918</v>
      </c>
      <c r="D481" s="2912"/>
      <c r="E481" s="1649"/>
      <c r="F481" s="1328">
        <f>IF(SETUP!$F$36="Upfront",$E$480*'TB-Pharmaceuticals'!AW14,0)</f>
        <v>0</v>
      </c>
      <c r="G481" s="1194">
        <f>IF(SETUP!$F$36="Upfront",$E$480*'TB-Pharmaceuticals'!AX14,0)</f>
        <v>0</v>
      </c>
      <c r="H481" s="1194">
        <f>IF(SETUP!$F$36="Upfront",$E$480*'TB-Pharmaceuticals'!AY14,0)</f>
        <v>0</v>
      </c>
      <c r="I481" s="1194">
        <f>IF(SETUP!$F$36="Upfront",$E$480*'TB-Pharmaceuticals'!AZ14,0)</f>
        <v>0</v>
      </c>
      <c r="J481" s="1194">
        <f t="shared" si="68"/>
        <v>0</v>
      </c>
      <c r="K481" s="1328">
        <f>IF(SETUP!$F$36="Upfront",$E$480*'TB-Pharmaceuticals'!BA14,0)</f>
        <v>0</v>
      </c>
      <c r="L481" s="1194">
        <f>IF(SETUP!$F$36="Upfront",$E$480*'TB-Pharmaceuticals'!BB14,0)</f>
        <v>0</v>
      </c>
      <c r="M481" s="1194">
        <f>IF(SETUP!$F$36="Upfront",$E$480*'TB-Pharmaceuticals'!BC14,0)</f>
        <v>0</v>
      </c>
      <c r="N481" s="1194">
        <f>IF(SETUP!$F$36="Upfront",$E$480*'TB-Pharmaceuticals'!BD14,0)</f>
        <v>0</v>
      </c>
      <c r="O481" s="1194">
        <f t="shared" si="69"/>
        <v>0</v>
      </c>
      <c r="P481" s="1328">
        <f>IF(SETUP!$F$36="Upfront",$E$480*'TB-Pharmaceuticals'!BE14,0)</f>
        <v>0</v>
      </c>
      <c r="Q481" s="1194">
        <f>IF(SETUP!$F$36="Upfront",$E$480*'TB-Pharmaceuticals'!BF14,0)</f>
        <v>0</v>
      </c>
      <c r="R481" s="1194">
        <f>IF(SETUP!$F$36="Upfront",$E$480*'TB-Pharmaceuticals'!BG14,0)</f>
        <v>0</v>
      </c>
      <c r="S481" s="1194">
        <f>IF(SETUP!$F$36="Upfront",$E$480*'TB-Pharmaceuticals'!BH14,0)</f>
        <v>0</v>
      </c>
      <c r="T481" s="1194">
        <f t="shared" si="70"/>
        <v>0</v>
      </c>
      <c r="U481" s="1328">
        <f t="shared" si="71"/>
        <v>0</v>
      </c>
      <c r="V481" s="1826">
        <v>7.4</v>
      </c>
      <c r="W481" s="1837"/>
      <c r="X481" s="764"/>
      <c r="Y481" s="1836"/>
      <c r="Z481" s="850"/>
      <c r="AA481" s="880"/>
      <c r="AB481" s="880"/>
      <c r="AC481" s="880"/>
      <c r="AD481" s="880"/>
      <c r="AE481" s="880"/>
      <c r="AF481" s="880"/>
      <c r="AG481" s="880"/>
      <c r="AH481" s="881"/>
      <c r="AI481" s="880"/>
      <c r="AJ481" s="880"/>
      <c r="AK481" s="880"/>
      <c r="AL481" s="880"/>
      <c r="AM481" s="880"/>
      <c r="AN481" s="880"/>
      <c r="AO481" s="880"/>
      <c r="AP481" s="880"/>
      <c r="AQ481" s="880"/>
      <c r="AR481" s="880"/>
      <c r="AS481" s="880"/>
      <c r="AT481" s="880"/>
      <c r="AU481" s="880"/>
      <c r="AV481" s="880"/>
      <c r="AW481" s="880"/>
      <c r="AX481" s="880"/>
      <c r="AY481" s="880"/>
      <c r="AZ481" s="880"/>
      <c r="BA481" s="880"/>
      <c r="BB481" s="880"/>
      <c r="BC481" s="880"/>
      <c r="BD481" s="880"/>
      <c r="BE481" s="880"/>
      <c r="BF481" s="880"/>
      <c r="BG481" s="880"/>
      <c r="BH481" s="880"/>
      <c r="BI481" s="880"/>
      <c r="BJ481" s="880"/>
      <c r="BK481" s="880"/>
      <c r="BL481" s="880"/>
      <c r="BM481" s="880"/>
      <c r="BN481" s="880"/>
      <c r="BO481" s="880"/>
      <c r="BP481" s="880"/>
      <c r="BQ481" s="880"/>
      <c r="BR481" s="880"/>
      <c r="BS481" s="880"/>
      <c r="BT481" s="880"/>
    </row>
    <row r="482" spans="1:72" s="882" customFormat="1" ht="12.75" hidden="1" customHeight="1" outlineLevel="1">
      <c r="A482" s="2919"/>
      <c r="B482" s="2920"/>
      <c r="C482" s="2912" t="s">
        <v>36</v>
      </c>
      <c r="D482" s="2912"/>
      <c r="E482" s="1653"/>
      <c r="F482" s="1328">
        <v>0</v>
      </c>
      <c r="G482" s="1194">
        <f>IF(SETUP!$F$36="At delivery",IF(SETUP!$G$36=1,$E$480*'TB-Pharmaceuticals'!AW14,0),0)</f>
        <v>0</v>
      </c>
      <c r="H482" s="1194">
        <f>IF(SETUP!$F$36="At delivery",IF(SETUP!$G$36=2,$E$480*'TB-Pharmaceuticals'!AW14,IF(SETUP!$G$36=1,$E$480*'TB-Pharmaceuticals'!AX14,0)),0)</f>
        <v>0</v>
      </c>
      <c r="I482" s="1194">
        <f>IF(SETUP!$F$36="At delivery",IF(SETUP!$G$36=3,$E$480*'TB-Pharmaceuticals'!AW14,IF(SETUP!$G$36=2,$E$480*'TB-Pharmaceuticals'!AX14,IF(SETUP!$G$36=1,$E$480*'TB-Pharmaceuticals'!AY14,0))),0)</f>
        <v>0</v>
      </c>
      <c r="J482" s="1194">
        <f t="shared" si="68"/>
        <v>0</v>
      </c>
      <c r="K482" s="1328">
        <f>IF(SETUP!$F$36="At delivery",IF(SETUP!$G$36=4,$E$480*'TB-Pharmaceuticals'!AW14,IF(SETUP!$G$36=3,$E$480*'TB-Pharmaceuticals'!AX14,IF(SETUP!$G$36=2,$E$480*'TB-Pharmaceuticals'!AY14,IF(SETUP!$G$36=1,$E$480*'TB-Pharmaceuticals'!AZ14,0)))),0)</f>
        <v>0</v>
      </c>
      <c r="L482" s="1194">
        <f>IF(SETUP!$F$36="At delivery",IF(SETUP!$G$36=4,$E$480*'TB-Pharmaceuticals'!AX14,IF(SETUP!$G$36=3,$E$480*'TB-Pharmaceuticals'!AY14,IF(SETUP!$G$36=2,$E$480*'TB-Pharmaceuticals'!AZ14,IF(SETUP!$G$36=1,$E$480*'TB-Pharmaceuticals'!BA14,0)))),0)</f>
        <v>0</v>
      </c>
      <c r="M482" s="1194">
        <f>IF(SETUP!$F$36="At delivery",IF(SETUP!$G$36=4,$E$480*'TB-Pharmaceuticals'!AY14,IF(SETUP!$G$36=3,$E$480*'TB-Pharmaceuticals'!AZ14,IF(SETUP!$G$36=2,$E$480*'TB-Pharmaceuticals'!BA14,IF(SETUP!$G$36=1,$E$480*'TB-Pharmaceuticals'!BB14,0)))),0)</f>
        <v>0</v>
      </c>
      <c r="N482" s="1194">
        <f>IF(SETUP!$F$36="At delivery",IF(SETUP!$G$36=4,$E$480*'TB-Pharmaceuticals'!AZ14,IF(SETUP!$G$36=3,$E$480*'TB-Pharmaceuticals'!BA14,IF(SETUP!$G$36=2,$E$480*'TB-Pharmaceuticals'!BB14,IF(SETUP!$G$36=1,$E$480*'TB-Pharmaceuticals'!BC14,0)))),0)</f>
        <v>0</v>
      </c>
      <c r="O482" s="1194">
        <f t="shared" si="69"/>
        <v>0</v>
      </c>
      <c r="P482" s="1328">
        <f>IF(SETUP!$F$36="At delivery",IF(SETUP!$G$36=4,$E$480*'TB-Pharmaceuticals'!BA14,IF(SETUP!$G$36=3,$E$480*'TB-Pharmaceuticals'!BB14,IF(SETUP!$G$36=2,$E$480*'TB-Pharmaceuticals'!BC14,IF(SETUP!$G$36=1,$E$480*'TB-Pharmaceuticals'!BD14,0)))),0)</f>
        <v>0</v>
      </c>
      <c r="Q482" s="1194">
        <f>IF(SETUP!$F$36="At delivery",IF(SETUP!$G$36=4,$E$480*'TB-Pharmaceuticals'!BB14,IF(SETUP!$G$36=3,$E$480*'TB-Pharmaceuticals'!BC14,IF(SETUP!$G$36=2,$E$480*'TB-Pharmaceuticals'!BD14,IF(SETUP!$G$36=1,$E$480*'TB-Pharmaceuticals'!BE14,0)))),0)</f>
        <v>0</v>
      </c>
      <c r="R482" s="1194">
        <f>IF(SETUP!$F$36="At delivery",IF(SETUP!$G$36=4,$E$480*'TB-Pharmaceuticals'!BC14,IF(SETUP!$G$36=3,$E$480*'TB-Pharmaceuticals'!BD14,IF(SETUP!$G$36=2,$E$480*'TB-Pharmaceuticals'!BE14,IF(SETUP!$G$36=1,$E$480*'TB-Pharmaceuticals'!BF14,0)))),0)</f>
        <v>0</v>
      </c>
      <c r="S482" s="1194">
        <f>IF(SETUP!$F$36="At delivery",IF(SETUP!$G$36=4,$E$480*('TB-Pharmaceuticals'!BD14+'TB-Pharmaceuticals'!BE14+'TB-Pharmaceuticals'!BF14+'TB-Pharmaceuticals'!BG14+'TB-Pharmaceuticals'!BH14),IF(SETUP!$G$36=3,$E$480*('TB-Pharmaceuticals'!BE14+'TB-Pharmaceuticals'!BF14+'TB-Pharmaceuticals'!BG14+'TB-Pharmaceuticals'!BH14),IF(SETUP!$G$36=2,$E$480*('TB-Pharmaceuticals'!BF14+'TB-Pharmaceuticals'!BG14+'TB-Pharmaceuticals'!BH14),IF(SETUP!$G$36=1,$E$480*('TB-Pharmaceuticals'!BG14+'TB-Pharmaceuticals'!BH14),0)))),0)</f>
        <v>0</v>
      </c>
      <c r="T482" s="1194">
        <f t="shared" si="70"/>
        <v>0</v>
      </c>
      <c r="U482" s="1328">
        <f t="shared" si="71"/>
        <v>0</v>
      </c>
      <c r="V482" s="1826">
        <v>7.4</v>
      </c>
      <c r="W482" s="1837"/>
      <c r="X482" s="764"/>
      <c r="Y482" s="1836"/>
      <c r="Z482" s="850"/>
      <c r="AA482" s="880"/>
      <c r="AB482" s="880"/>
      <c r="AC482" s="880"/>
      <c r="AD482" s="880"/>
      <c r="AE482" s="880"/>
      <c r="AF482" s="880"/>
      <c r="AG482" s="880"/>
      <c r="AH482" s="881"/>
      <c r="AI482" s="880"/>
      <c r="AJ482" s="880"/>
      <c r="AK482" s="880"/>
      <c r="AL482" s="880"/>
      <c r="AM482" s="880"/>
      <c r="AN482" s="880"/>
      <c r="AO482" s="880"/>
      <c r="AP482" s="880"/>
      <c r="AQ482" s="880"/>
      <c r="AR482" s="880"/>
      <c r="AS482" s="880"/>
      <c r="AT482" s="880"/>
      <c r="AU482" s="880"/>
      <c r="AV482" s="880"/>
      <c r="AW482" s="880"/>
      <c r="AX482" s="880"/>
      <c r="AY482" s="880"/>
      <c r="AZ482" s="880"/>
      <c r="BA482" s="880"/>
      <c r="BB482" s="880"/>
      <c r="BC482" s="880"/>
      <c r="BD482" s="880"/>
      <c r="BE482" s="880"/>
      <c r="BF482" s="880"/>
      <c r="BG482" s="880"/>
      <c r="BH482" s="880"/>
      <c r="BI482" s="880"/>
      <c r="BJ482" s="880"/>
      <c r="BK482" s="880"/>
      <c r="BL482" s="880"/>
      <c r="BM482" s="880"/>
      <c r="BN482" s="880"/>
      <c r="BO482" s="880"/>
      <c r="BP482" s="880"/>
      <c r="BQ482" s="880"/>
      <c r="BR482" s="880"/>
      <c r="BS482" s="880"/>
      <c r="BT482" s="880"/>
    </row>
    <row r="483" spans="1:72" s="882" customFormat="1" ht="13" hidden="1" collapsed="1">
      <c r="A483" s="2919"/>
      <c r="B483" s="2920"/>
      <c r="C483" s="2911" t="s">
        <v>571</v>
      </c>
      <c r="D483" s="2911"/>
      <c r="E483" s="1651">
        <v>1E-4</v>
      </c>
      <c r="F483" s="1328">
        <f>IF(SETUP!$F$38="Upfront",F484,F485)</f>
        <v>0</v>
      </c>
      <c r="G483" s="1194">
        <f>IF(SETUP!$F$38="Upfront",G484,G485)</f>
        <v>0</v>
      </c>
      <c r="H483" s="1194">
        <f>IF(SETUP!$F$38="Upfront",H484,H485)</f>
        <v>0</v>
      </c>
      <c r="I483" s="1194">
        <f>IF(SETUP!$F$38="Upfront",I484,I485)</f>
        <v>0</v>
      </c>
      <c r="J483" s="1194">
        <f t="shared" si="68"/>
        <v>0</v>
      </c>
      <c r="K483" s="1328">
        <f>IF(SETUP!$F$38="Upfront",K484,K485)</f>
        <v>0</v>
      </c>
      <c r="L483" s="1194">
        <f>IF(SETUP!$F$38="Upfront",L484,L485)</f>
        <v>0</v>
      </c>
      <c r="M483" s="1194">
        <f>IF(SETUP!$F$38="Upfront",M484,M485)</f>
        <v>0</v>
      </c>
      <c r="N483" s="1194">
        <f>IF(SETUP!$F$38="Upfront",N484,N485)</f>
        <v>0</v>
      </c>
      <c r="O483" s="1194">
        <f t="shared" si="69"/>
        <v>0</v>
      </c>
      <c r="P483" s="1328">
        <f>IF(SETUP!$F$38="Upfront",P484,P485)</f>
        <v>0</v>
      </c>
      <c r="Q483" s="1194">
        <f>IF(SETUP!$F$38="Upfront",Q484,Q485)</f>
        <v>0</v>
      </c>
      <c r="R483" s="1194">
        <f>IF(SETUP!$F$38="Upfront",R484,R485)</f>
        <v>0</v>
      </c>
      <c r="S483" s="1194">
        <f>IF(SETUP!$F$38="Upfront",S484,S485)</f>
        <v>0</v>
      </c>
      <c r="T483" s="1194">
        <f t="shared" si="70"/>
        <v>0</v>
      </c>
      <c r="U483" s="1328">
        <f t="shared" si="71"/>
        <v>0</v>
      </c>
      <c r="V483" s="1826">
        <v>7.4</v>
      </c>
      <c r="W483" s="1837"/>
      <c r="X483" s="764"/>
      <c r="Y483" s="1836"/>
      <c r="Z483" s="850"/>
      <c r="AA483" s="880"/>
      <c r="AB483" s="880"/>
      <c r="AC483" s="880"/>
      <c r="AD483" s="880"/>
      <c r="AE483" s="880"/>
      <c r="AF483" s="880"/>
      <c r="AG483" s="880"/>
      <c r="AH483" s="881"/>
      <c r="AI483" s="880"/>
      <c r="AJ483" s="880"/>
      <c r="AK483" s="880"/>
      <c r="AL483" s="880"/>
      <c r="AM483" s="880"/>
      <c r="AN483" s="880"/>
      <c r="AO483" s="880"/>
      <c r="AP483" s="880"/>
      <c r="AQ483" s="880"/>
      <c r="AR483" s="880"/>
      <c r="AS483" s="880"/>
      <c r="AT483" s="880"/>
      <c r="AU483" s="880"/>
      <c r="AV483" s="880"/>
      <c r="AW483" s="880"/>
      <c r="AX483" s="880"/>
      <c r="AY483" s="880"/>
      <c r="AZ483" s="880"/>
      <c r="BA483" s="880"/>
      <c r="BB483" s="880"/>
      <c r="BC483" s="880"/>
      <c r="BD483" s="880"/>
      <c r="BE483" s="880"/>
      <c r="BF483" s="880"/>
      <c r="BG483" s="880"/>
      <c r="BH483" s="880"/>
      <c r="BI483" s="880"/>
      <c r="BJ483" s="880"/>
      <c r="BK483" s="880"/>
      <c r="BL483" s="880"/>
      <c r="BM483" s="880"/>
      <c r="BN483" s="880"/>
      <c r="BO483" s="880"/>
      <c r="BP483" s="880"/>
      <c r="BQ483" s="880"/>
      <c r="BR483" s="880"/>
      <c r="BS483" s="880"/>
      <c r="BT483" s="880"/>
    </row>
    <row r="484" spans="1:72" s="882" customFormat="1" ht="12.75" hidden="1" customHeight="1" outlineLevel="1">
      <c r="A484" s="2919"/>
      <c r="B484" s="2920"/>
      <c r="C484" s="2912" t="s">
        <v>918</v>
      </c>
      <c r="D484" s="2912"/>
      <c r="E484" s="1653"/>
      <c r="F484" s="1328">
        <f>IF(SETUP!$F$38="Upfront",$E$483*'TB-Pharmaceuticals'!AW15,0)</f>
        <v>0</v>
      </c>
      <c r="G484" s="1194">
        <f>IF(SETUP!$F$38="Upfront",$E$483*'TB-Pharmaceuticals'!AX15,0)</f>
        <v>0</v>
      </c>
      <c r="H484" s="1194">
        <f>IF(SETUP!$F$38="Upfront",$E$483*'TB-Pharmaceuticals'!AY15,0)</f>
        <v>0</v>
      </c>
      <c r="I484" s="1194">
        <f>IF(SETUP!$F$38="Upfront",$E$483*'TB-Pharmaceuticals'!AZ15,0)</f>
        <v>0</v>
      </c>
      <c r="J484" s="1194">
        <f t="shared" si="68"/>
        <v>0</v>
      </c>
      <c r="K484" s="1328">
        <f>IF(SETUP!$F$39="Upfront",$E$483*'TB-Pharmaceuticals'!BA15,0)</f>
        <v>0</v>
      </c>
      <c r="L484" s="1194">
        <f>IF(SETUP!$F$39="Upfront",$E$483*'TB-Pharmaceuticals'!BB15,0)</f>
        <v>0</v>
      </c>
      <c r="M484" s="1194">
        <f>IF(SETUP!$F$39="Upfront",$E$483*'TB-Pharmaceuticals'!BC15,0)</f>
        <v>0</v>
      </c>
      <c r="N484" s="1194">
        <f>IF(SETUP!$F$39="Upfront",$E$483*'TB-Pharmaceuticals'!BD15,0)</f>
        <v>0</v>
      </c>
      <c r="O484" s="1194">
        <f t="shared" si="69"/>
        <v>0</v>
      </c>
      <c r="P484" s="1328">
        <f>IF(SETUP!$F$39="Upfront",$E$483*'TB-Pharmaceuticals'!BE15,0)</f>
        <v>0</v>
      </c>
      <c r="Q484" s="1194">
        <f>IF(SETUP!$F$39="Upfront",$E$483*'TB-Pharmaceuticals'!BF15,0)</f>
        <v>0</v>
      </c>
      <c r="R484" s="1194">
        <f>IF(SETUP!$F$39="Upfront",$E$483*'TB-Pharmaceuticals'!BG15,0)</f>
        <v>0</v>
      </c>
      <c r="S484" s="1194">
        <f>IF(SETUP!$F$39="Upfront",$E$483*'TB-Pharmaceuticals'!BH15,0)</f>
        <v>0</v>
      </c>
      <c r="T484" s="1194">
        <f t="shared" si="70"/>
        <v>0</v>
      </c>
      <c r="U484" s="1328">
        <f t="shared" si="71"/>
        <v>0</v>
      </c>
      <c r="V484" s="1826">
        <v>7.4</v>
      </c>
      <c r="W484" s="1837"/>
      <c r="X484" s="764"/>
      <c r="Y484" s="1836"/>
      <c r="Z484" s="850"/>
      <c r="AA484" s="880"/>
      <c r="AB484" s="880"/>
      <c r="AC484" s="880"/>
      <c r="AD484" s="880"/>
      <c r="AE484" s="880"/>
      <c r="AF484" s="880"/>
      <c r="AG484" s="880"/>
      <c r="AH484" s="881"/>
      <c r="AI484" s="880"/>
      <c r="AJ484" s="880"/>
      <c r="AK484" s="880"/>
      <c r="AL484" s="880"/>
      <c r="AM484" s="880"/>
      <c r="AN484" s="880"/>
      <c r="AO484" s="880"/>
      <c r="AP484" s="880"/>
      <c r="AQ484" s="880"/>
      <c r="AR484" s="880"/>
      <c r="AS484" s="880"/>
      <c r="AT484" s="880"/>
      <c r="AU484" s="880"/>
      <c r="AV484" s="880"/>
      <c r="AW484" s="880"/>
      <c r="AX484" s="880"/>
      <c r="AY484" s="880"/>
      <c r="AZ484" s="880"/>
      <c r="BA484" s="880"/>
      <c r="BB484" s="880"/>
      <c r="BC484" s="880"/>
      <c r="BD484" s="880"/>
      <c r="BE484" s="880"/>
      <c r="BF484" s="880"/>
      <c r="BG484" s="880"/>
      <c r="BH484" s="880"/>
      <c r="BI484" s="880"/>
      <c r="BJ484" s="880"/>
      <c r="BK484" s="880"/>
      <c r="BL484" s="880"/>
      <c r="BM484" s="880"/>
      <c r="BN484" s="880"/>
      <c r="BO484" s="880"/>
      <c r="BP484" s="880"/>
      <c r="BQ484" s="880"/>
      <c r="BR484" s="880"/>
      <c r="BS484" s="880"/>
      <c r="BT484" s="880"/>
    </row>
    <row r="485" spans="1:72" s="882" customFormat="1" ht="12.75" hidden="1" customHeight="1" outlineLevel="1">
      <c r="A485" s="2919"/>
      <c r="B485" s="2920"/>
      <c r="C485" s="2912" t="s">
        <v>36</v>
      </c>
      <c r="D485" s="2912"/>
      <c r="E485" s="1649"/>
      <c r="F485" s="1328">
        <v>0</v>
      </c>
      <c r="G485" s="1194">
        <f>IF(SETUP!$F$38="At delivery",IF(SETUP!$G$38=1,$E$483*'TB-Pharmaceuticals'!AW15,0),0)</f>
        <v>0</v>
      </c>
      <c r="H485" s="1194">
        <f>IF(SETUP!$F$38="At delivery",IF(SETUP!$G$38=2,$E$483*'TB-Pharmaceuticals'!AW15,IF(SETUP!$G$38=1,$E$483*'TB-Pharmaceuticals'!AX15,0)),0)</f>
        <v>0</v>
      </c>
      <c r="I485" s="1194">
        <f>IF(SETUP!$F$38="At delivery",IF(SETUP!$G$38=3,$E$483*'TB-Pharmaceuticals'!AW15,IF(SETUP!$G$38=2,$E$483*'TB-Pharmaceuticals'!AX15,IF(SETUP!$G$38=1,$E$483*'TB-Pharmaceuticals'!AY15,0))),0)</f>
        <v>0</v>
      </c>
      <c r="J485" s="1194">
        <f t="shared" si="68"/>
        <v>0</v>
      </c>
      <c r="K485" s="1328">
        <f>IF(SETUP!$F$38="At delivery",IF(SETUP!$G$38=4,$E$483*'TB-Pharmaceuticals'!AW15,IF(SETUP!$G$38=3,$E$483*'TB-Pharmaceuticals'!AX15,IF(SETUP!$G$38=2,$E$483*'TB-Pharmaceuticals'!AY15,IF(SETUP!$G$38=1,$E$483*'TB-Pharmaceuticals'!AZ15,0)))),0)</f>
        <v>0</v>
      </c>
      <c r="L485" s="1194">
        <f>IF(SETUP!$F$38="At delivery",IF(SETUP!$G$38=4,$E$483*'TB-Pharmaceuticals'!AX15,IF(SETUP!$G$38=3,$E$483*'TB-Pharmaceuticals'!AY15,IF(SETUP!$G$38=2,$E$483*'TB-Pharmaceuticals'!AZ15,IF(SETUP!$G$38=1,$E$483*'TB-Pharmaceuticals'!BA15,0)))),0)</f>
        <v>0</v>
      </c>
      <c r="M485" s="1194">
        <f>IF(SETUP!$F$38="At delivery",IF(SETUP!$G$38=4,$E$483*'TB-Pharmaceuticals'!AY15,IF(SETUP!$G$38=3,$E$483*'TB-Pharmaceuticals'!AZ15,IF(SETUP!$G$38=2,$E$483*'TB-Pharmaceuticals'!BA15,IF(SETUP!$G$38=1,$E$483*'TB-Pharmaceuticals'!BB15,0)))),0)</f>
        <v>0</v>
      </c>
      <c r="N485" s="1194">
        <f>IF(SETUP!$F$38="At delivery",IF(SETUP!$G$38=4,$E$483*'TB-Pharmaceuticals'!AZ15,IF(SETUP!$G$38=3,$E$483*'TB-Pharmaceuticals'!BA15,IF(SETUP!$G$38=2,$E$483*'TB-Pharmaceuticals'!BB15,IF(SETUP!$G$38=1,$E$483*'TB-Pharmaceuticals'!BC15,0)))),0)</f>
        <v>0</v>
      </c>
      <c r="O485" s="1194">
        <f t="shared" si="69"/>
        <v>0</v>
      </c>
      <c r="P485" s="1328">
        <f>IF(SETUP!$F$38="At delivery",IF(SETUP!$G$38=4,$E$483*'TB-Pharmaceuticals'!BA15,IF(SETUP!$G$38=3,$E$483*'TB-Pharmaceuticals'!BB15,IF(SETUP!$G$38=2,$E$483*'TB-Pharmaceuticals'!BC15,IF(SETUP!$G$38=1,$E$483*'TB-Pharmaceuticals'!BD15,0)))),0)</f>
        <v>0</v>
      </c>
      <c r="Q485" s="1194">
        <f>IF(SETUP!$F$38="At delivery",IF(SETUP!$G$38=4,$E$483*'TB-Pharmaceuticals'!BB15,IF(SETUP!$G$38=3,$E$483*'TB-Pharmaceuticals'!BC15,IF(SETUP!$G$38=2,$E$483*'TB-Pharmaceuticals'!BD15,IF(SETUP!$G$38=1,$E$483*'TB-Pharmaceuticals'!BE15,0)))),0)</f>
        <v>0</v>
      </c>
      <c r="R485" s="1194">
        <f>IF(SETUP!$F$38="At delivery",IF(SETUP!$G$38=4,$E$483*'TB-Pharmaceuticals'!BC15,IF(SETUP!$G$38=3,$E$483*'TB-Pharmaceuticals'!BD15,IF(SETUP!$G$38=2,$E$483*'TB-Pharmaceuticals'!BE15,IF(SETUP!$G$38=1,$E$483*'TB-Pharmaceuticals'!BF15,0)))),0)</f>
        <v>0</v>
      </c>
      <c r="S485" s="1194">
        <f>IF(SETUP!$F$38="At delivery",IF(SETUP!$G$38=4,$E$483*('TB-Pharmaceuticals'!BD15+'TB-Pharmaceuticals'!BE15+'TB-Pharmaceuticals'!BF15+'TB-Pharmaceuticals'!BG15+'TB-Pharmaceuticals'!BH15),IF(SETUP!$G$38=3,$E$483*('TB-Pharmaceuticals'!BE15+'TB-Pharmaceuticals'!BF15+'TB-Pharmaceuticals'!BG15+'TB-Pharmaceuticals'!BH15),IF(SETUP!$G$38=2,$E$483*('TB-Pharmaceuticals'!BF15+'TB-Pharmaceuticals'!BG15+'TB-Pharmaceuticals'!BH15),IF(SETUP!$G$38=1,$E$483*('TB-Pharmaceuticals'!BG15+'TB-Pharmaceuticals'!BH15),0)))),0)</f>
        <v>0</v>
      </c>
      <c r="T485" s="1194">
        <f t="shared" si="70"/>
        <v>0</v>
      </c>
      <c r="U485" s="1328">
        <f t="shared" si="71"/>
        <v>0</v>
      </c>
      <c r="V485" s="1826">
        <v>7.4</v>
      </c>
      <c r="W485" s="1837"/>
      <c r="X485" s="764"/>
      <c r="Y485" s="1836"/>
      <c r="Z485" s="850"/>
      <c r="AA485" s="880"/>
      <c r="AB485" s="880"/>
      <c r="AC485" s="880"/>
      <c r="AD485" s="880"/>
      <c r="AE485" s="880"/>
      <c r="AF485" s="880"/>
      <c r="AG485" s="880"/>
      <c r="AH485" s="881"/>
      <c r="AI485" s="880"/>
      <c r="AJ485" s="880"/>
      <c r="AK485" s="880"/>
      <c r="AL485" s="880"/>
      <c r="AM485" s="880"/>
      <c r="AN485" s="880"/>
      <c r="AO485" s="880"/>
      <c r="AP485" s="880"/>
      <c r="AQ485" s="880"/>
      <c r="AR485" s="880"/>
      <c r="AS485" s="880"/>
      <c r="AT485" s="880"/>
      <c r="AU485" s="880"/>
      <c r="AV485" s="880"/>
      <c r="AW485" s="880"/>
      <c r="AX485" s="880"/>
      <c r="AY485" s="880"/>
      <c r="AZ485" s="880"/>
      <c r="BA485" s="880"/>
      <c r="BB485" s="880"/>
      <c r="BC485" s="880"/>
      <c r="BD485" s="880"/>
      <c r="BE485" s="880"/>
      <c r="BF485" s="880"/>
      <c r="BG485" s="880"/>
      <c r="BH485" s="880"/>
      <c r="BI485" s="880"/>
      <c r="BJ485" s="880"/>
      <c r="BK485" s="880"/>
      <c r="BL485" s="880"/>
      <c r="BM485" s="880"/>
      <c r="BN485" s="880"/>
      <c r="BO485" s="880"/>
      <c r="BP485" s="880"/>
      <c r="BQ485" s="880"/>
      <c r="BR485" s="880"/>
      <c r="BS485" s="880"/>
      <c r="BT485" s="880"/>
    </row>
    <row r="486" spans="1:72" s="882" customFormat="1" ht="13" hidden="1" collapsed="1">
      <c r="A486" s="2919"/>
      <c r="B486" s="2920"/>
      <c r="C486" s="2911" t="s">
        <v>1792</v>
      </c>
      <c r="D486" s="2911"/>
      <c r="E486" s="1651">
        <v>0</v>
      </c>
      <c r="F486" s="1328">
        <f>IF(SETUP!$F$39="Upfront",F487,F488)</f>
        <v>0</v>
      </c>
      <c r="G486" s="1194">
        <f>IF(SETUP!$F$39="Upfront",G487,G488)</f>
        <v>0</v>
      </c>
      <c r="H486" s="1194">
        <f>IF(SETUP!$F$39="Upfront",H487,H488)</f>
        <v>0</v>
      </c>
      <c r="I486" s="1194">
        <f>IF(SETUP!$F$39="Upfront",I487,I488)</f>
        <v>0</v>
      </c>
      <c r="J486" s="1194">
        <f t="shared" si="68"/>
        <v>0</v>
      </c>
      <c r="K486" s="1328">
        <f>IF(SETUP!$F$39="Upfront",K487,K488)</f>
        <v>0</v>
      </c>
      <c r="L486" s="1194">
        <f>IF(SETUP!$F$39="Upfront",L487,L488)</f>
        <v>0</v>
      </c>
      <c r="M486" s="1194">
        <f>IF(SETUP!$F$39="Upfront",M487,M488)</f>
        <v>0</v>
      </c>
      <c r="N486" s="1194">
        <f>IF(SETUP!$F$39="Upfront",N487,N488)</f>
        <v>0</v>
      </c>
      <c r="O486" s="1194">
        <f t="shared" si="69"/>
        <v>0</v>
      </c>
      <c r="P486" s="1328">
        <f>IF(SETUP!$F$39="Upfront",P487,P488)</f>
        <v>0</v>
      </c>
      <c r="Q486" s="1194">
        <f>IF(SETUP!$F$39="Upfront",Q487,Q488)</f>
        <v>0</v>
      </c>
      <c r="R486" s="1194">
        <f>IF(SETUP!$F$39="Upfront",R487,R488)</f>
        <v>0</v>
      </c>
      <c r="S486" s="1194">
        <f>IF(SETUP!$F$39="Upfront",S487,S488)</f>
        <v>0</v>
      </c>
      <c r="T486" s="1194">
        <f t="shared" si="70"/>
        <v>0</v>
      </c>
      <c r="U486" s="1328">
        <f t="shared" si="71"/>
        <v>0</v>
      </c>
      <c r="V486" s="1826">
        <v>7.4</v>
      </c>
      <c r="W486" s="1837"/>
      <c r="X486" s="764"/>
      <c r="Y486" s="1836"/>
      <c r="Z486" s="850"/>
      <c r="AA486" s="880"/>
      <c r="AB486" s="880"/>
      <c r="AC486" s="880"/>
      <c r="AD486" s="880"/>
      <c r="AE486" s="880"/>
      <c r="AF486" s="880"/>
      <c r="AG486" s="880"/>
      <c r="AH486" s="881"/>
      <c r="AI486" s="880"/>
      <c r="AJ486" s="880"/>
      <c r="AK486" s="880"/>
      <c r="AL486" s="880"/>
      <c r="AM486" s="880"/>
      <c r="AN486" s="880"/>
      <c r="AO486" s="880"/>
      <c r="AP486" s="880"/>
      <c r="AQ486" s="880"/>
      <c r="AR486" s="880"/>
      <c r="AS486" s="880"/>
      <c r="AT486" s="880"/>
      <c r="AU486" s="880"/>
      <c r="AV486" s="880"/>
      <c r="AW486" s="880"/>
      <c r="AX486" s="880"/>
      <c r="AY486" s="880"/>
      <c r="AZ486" s="880"/>
      <c r="BA486" s="880"/>
      <c r="BB486" s="880"/>
      <c r="BC486" s="880"/>
      <c r="BD486" s="880"/>
      <c r="BE486" s="880"/>
      <c r="BF486" s="880"/>
      <c r="BG486" s="880"/>
      <c r="BH486" s="880"/>
      <c r="BI486" s="880"/>
      <c r="BJ486" s="880"/>
      <c r="BK486" s="880"/>
      <c r="BL486" s="880"/>
      <c r="BM486" s="880"/>
      <c r="BN486" s="880"/>
      <c r="BO486" s="880"/>
      <c r="BP486" s="880"/>
      <c r="BQ486" s="880"/>
      <c r="BR486" s="880"/>
      <c r="BS486" s="880"/>
      <c r="BT486" s="880"/>
    </row>
    <row r="487" spans="1:72" s="882" customFormat="1" ht="12.75" hidden="1" customHeight="1" outlineLevel="1">
      <c r="A487" s="2919"/>
      <c r="B487" s="2920"/>
      <c r="C487" s="2912" t="s">
        <v>918</v>
      </c>
      <c r="D487" s="2912"/>
      <c r="E487" s="1652"/>
      <c r="F487" s="1328">
        <f>IF(SETUP!$F$39="Upfront",$E$486*'TB-Pharmaceuticals'!AW16,0)</f>
        <v>0</v>
      </c>
      <c r="G487" s="1194">
        <f>IF(SETUP!$F$39="Upfront",$E$486*'TB-Pharmaceuticals'!AX16,0)</f>
        <v>0</v>
      </c>
      <c r="H487" s="1194">
        <f>IF(SETUP!$F$39="Upfront",$E$486*'TB-Pharmaceuticals'!AY16,0)</f>
        <v>0</v>
      </c>
      <c r="I487" s="1194">
        <f>IF(SETUP!$F$39="Upfront",$E$486*'TB-Pharmaceuticals'!AZ16,0)</f>
        <v>0</v>
      </c>
      <c r="J487" s="1194">
        <f t="shared" si="68"/>
        <v>0</v>
      </c>
      <c r="K487" s="1328">
        <f>IF(SETUP!$F$39="Upfront",$E$486*'TB-Pharmaceuticals'!BA16,0)</f>
        <v>0</v>
      </c>
      <c r="L487" s="1194">
        <f>IF(SETUP!$F$39="Upfront",$E$486*'TB-Pharmaceuticals'!BB16,0)</f>
        <v>0</v>
      </c>
      <c r="M487" s="1194">
        <f>IF(SETUP!$F$39="Upfront",$E$486*'TB-Pharmaceuticals'!BC16,0)</f>
        <v>0</v>
      </c>
      <c r="N487" s="1194">
        <f>IF(SETUP!$F$39="Upfront",$E$486*'TB-Pharmaceuticals'!BD16,0)</f>
        <v>0</v>
      </c>
      <c r="O487" s="1194">
        <f t="shared" si="69"/>
        <v>0</v>
      </c>
      <c r="P487" s="1328">
        <f>IF(SETUP!$F$39="Upfront",$E$486*'TB-Pharmaceuticals'!BE16,0)</f>
        <v>0</v>
      </c>
      <c r="Q487" s="1194">
        <f>IF(SETUP!$F$39="Upfront",$E$486*'TB-Pharmaceuticals'!BF16,0)</f>
        <v>0</v>
      </c>
      <c r="R487" s="1194">
        <f>IF(SETUP!$F$39="Upfront",$E$486*'TB-Pharmaceuticals'!BG16,0)</f>
        <v>0</v>
      </c>
      <c r="S487" s="1194">
        <f>IF(SETUP!$F$39="Upfront",$E$486*'TB-Pharmaceuticals'!BH16,0)</f>
        <v>0</v>
      </c>
      <c r="T487" s="1194">
        <f t="shared" si="70"/>
        <v>0</v>
      </c>
      <c r="U487" s="1328">
        <f t="shared" si="71"/>
        <v>0</v>
      </c>
      <c r="V487" s="1826">
        <v>7.4</v>
      </c>
      <c r="W487" s="1837"/>
      <c r="X487" s="764"/>
      <c r="Y487" s="1836"/>
      <c r="Z487" s="850"/>
      <c r="AA487" s="880"/>
      <c r="AB487" s="880"/>
      <c r="AC487" s="880"/>
      <c r="AD487" s="880"/>
      <c r="AE487" s="880"/>
      <c r="AF487" s="880"/>
      <c r="AG487" s="880"/>
      <c r="AH487" s="881"/>
      <c r="AI487" s="880"/>
      <c r="AJ487" s="880"/>
      <c r="AK487" s="880"/>
      <c r="AL487" s="880"/>
      <c r="AM487" s="880"/>
      <c r="AN487" s="880"/>
      <c r="AO487" s="880"/>
      <c r="AP487" s="880"/>
      <c r="AQ487" s="880"/>
      <c r="AR487" s="880"/>
      <c r="AS487" s="880"/>
      <c r="AT487" s="880"/>
      <c r="AU487" s="880"/>
      <c r="AV487" s="880"/>
      <c r="AW487" s="880"/>
      <c r="AX487" s="880"/>
      <c r="AY487" s="880"/>
      <c r="AZ487" s="880"/>
      <c r="BA487" s="880"/>
      <c r="BB487" s="880"/>
      <c r="BC487" s="880"/>
      <c r="BD487" s="880"/>
      <c r="BE487" s="880"/>
      <c r="BF487" s="880"/>
      <c r="BG487" s="880"/>
      <c r="BH487" s="880"/>
      <c r="BI487" s="880"/>
      <c r="BJ487" s="880"/>
      <c r="BK487" s="880"/>
      <c r="BL487" s="880"/>
      <c r="BM487" s="880"/>
      <c r="BN487" s="880"/>
      <c r="BO487" s="880"/>
      <c r="BP487" s="880"/>
      <c r="BQ487" s="880"/>
      <c r="BR487" s="880"/>
      <c r="BS487" s="880"/>
      <c r="BT487" s="880"/>
    </row>
    <row r="488" spans="1:72" s="882" customFormat="1" ht="12.75" hidden="1" customHeight="1" outlineLevel="1">
      <c r="A488" s="2919"/>
      <c r="B488" s="2920"/>
      <c r="C488" s="2912" t="s">
        <v>36</v>
      </c>
      <c r="D488" s="2912"/>
      <c r="E488" s="1652"/>
      <c r="F488" s="1328">
        <v>0</v>
      </c>
      <c r="G488" s="1194">
        <f>IF(SETUP!$F$39="At delivery",IF(SETUP!$G$39=1,$E$486*'TB-Pharmaceuticals'!AW16,0),0)</f>
        <v>0</v>
      </c>
      <c r="H488" s="1194">
        <f>IF(SETUP!$F$39="At delivery",IF(SETUP!$G$39=2,$E$486*'TB-Pharmaceuticals'!AW16,IF(SETUP!$G$39=1,$E$486*'TB-Pharmaceuticals'!AX16,0)),0)</f>
        <v>0</v>
      </c>
      <c r="I488" s="1194">
        <f>IF(SETUP!$F$39="At delivery",IF(SETUP!$G$39=3,$E$486*'TB-Pharmaceuticals'!AW16,IF(SETUP!$G$39=2,$E$486*'TB-Pharmaceuticals'!AX16,IF(SETUP!$G$39=1,$E$486*'TB-Pharmaceuticals'!AY16,0))),0)</f>
        <v>0</v>
      </c>
      <c r="J488" s="1194">
        <f t="shared" si="68"/>
        <v>0</v>
      </c>
      <c r="K488" s="1328">
        <f>IF(SETUP!$F$39="At delivery",IF(SETUP!$G$39=4,$E$486*'TB-Pharmaceuticals'!AW16,IF(SETUP!$G$39=3,$E$486*'TB-Pharmaceuticals'!AX16,IF(SETUP!$G$39=2,$E$486*'TB-Pharmaceuticals'!AY16,IF(SETUP!$G$39=1,$E$486*'TB-Pharmaceuticals'!AZ16,0)))),0)</f>
        <v>0</v>
      </c>
      <c r="L488" s="1194">
        <f>IF(SETUP!$F$39="At delivery",IF(SETUP!$G$39=4,$E$486*'TB-Pharmaceuticals'!AX16,IF(SETUP!$G$39=3,$E$486*'TB-Pharmaceuticals'!AY16,IF(SETUP!$G$39=2,$E$486*'TB-Pharmaceuticals'!AZ16,IF(SETUP!$G$39=1,$E$486*'TB-Pharmaceuticals'!BA16,0)))),0)</f>
        <v>0</v>
      </c>
      <c r="M488" s="1194">
        <f>IF(SETUP!$F$39="At delivery",IF(SETUP!$G$39=4,$E$486*'TB-Pharmaceuticals'!AY16,IF(SETUP!$G$39=3,$E$486*'TB-Pharmaceuticals'!AZ16,IF(SETUP!$G$39=2,$E$486*'TB-Pharmaceuticals'!BA16,IF(SETUP!$G$39=1,$E$486*'TB-Pharmaceuticals'!BB16,0)))),0)</f>
        <v>0</v>
      </c>
      <c r="N488" s="1194">
        <f>IF(SETUP!$F$39="At delivery",IF(SETUP!$G$39=4,$E$486*'TB-Pharmaceuticals'!AZ16,IF(SETUP!$G$39=3,$E$486*'TB-Pharmaceuticals'!BA16,IF(SETUP!$G$39=2,$E$486*'TB-Pharmaceuticals'!BB16,IF(SETUP!$G$39=1,$E$486*'TB-Pharmaceuticals'!BC16,0)))),0)</f>
        <v>0</v>
      </c>
      <c r="O488" s="1194">
        <f t="shared" si="69"/>
        <v>0</v>
      </c>
      <c r="P488" s="1328">
        <f>IF(SETUP!$F$39="At delivery",IF(SETUP!$G$39=4,$E$486*'TB-Pharmaceuticals'!BA16,IF(SETUP!$G$39=3,$E$486*'TB-Pharmaceuticals'!BB16,IF(SETUP!$G$39=2,$E$486*'TB-Pharmaceuticals'!BC16,IF(SETUP!$G$39=1,$E$486*'TB-Pharmaceuticals'!BD16,0)))),0)</f>
        <v>0</v>
      </c>
      <c r="Q488" s="1194">
        <f>IF(SETUP!$F$39="At delivery",IF(SETUP!$G$39=4,$E$486*'TB-Pharmaceuticals'!BB16,IF(SETUP!$G$39=3,$E$486*'TB-Pharmaceuticals'!BC16,IF(SETUP!$G$39=2,$E$486*'TB-Pharmaceuticals'!BD16,IF(SETUP!$G$39=1,$E$486*'TB-Pharmaceuticals'!BE16,0)))),0)</f>
        <v>0</v>
      </c>
      <c r="R488" s="1194">
        <f>IF(SETUP!$F$39="At delivery",IF(SETUP!$G$39=4,$E$486*'TB-Pharmaceuticals'!BC16,IF(SETUP!$G$39=3,$E$486*'TB-Pharmaceuticals'!BD16,IF(SETUP!$G$39=2,$E$486*'TB-Pharmaceuticals'!BE16,IF(SETUP!$G$39=1,$E$486*'TB-Pharmaceuticals'!BF16,0)))),0)</f>
        <v>0</v>
      </c>
      <c r="S488" s="1194">
        <f>IF(SETUP!$F$39="At delivery",IF(SETUP!$G$39=4,$E$486*('TB-Pharmaceuticals'!BD16+'TB-Pharmaceuticals'!BE16+'TB-Pharmaceuticals'!BF16+'TB-Pharmaceuticals'!BG16+'TB-Pharmaceuticals'!BH16),IF(SETUP!$G$39=3,$E$486*('TB-Pharmaceuticals'!BE16+'TB-Pharmaceuticals'!BF16+'TB-Pharmaceuticals'!BG16+'TB-Pharmaceuticals'!BH16),IF(SETUP!$G$39=2,$E$486*('TB-Pharmaceuticals'!BF16+'TB-Pharmaceuticals'!BG16+'TB-Pharmaceuticals'!BH16),IF(SETUP!$G$39=1,$E$486*('TB-Pharmaceuticals'!BG16+'TB-Pharmaceuticals'!BH16),0)))),0)</f>
        <v>0</v>
      </c>
      <c r="T488" s="1194">
        <f t="shared" si="70"/>
        <v>0</v>
      </c>
      <c r="U488" s="1328">
        <f t="shared" si="71"/>
        <v>0</v>
      </c>
      <c r="V488" s="1826">
        <v>7.4</v>
      </c>
      <c r="W488" s="1837"/>
      <c r="X488" s="764"/>
      <c r="Y488" s="1836"/>
      <c r="Z488" s="850"/>
      <c r="AA488" s="880"/>
      <c r="AB488" s="880"/>
      <c r="AC488" s="880"/>
      <c r="AD488" s="880"/>
      <c r="AE488" s="880"/>
      <c r="AF488" s="880"/>
      <c r="AG488" s="880"/>
      <c r="AH488" s="881"/>
      <c r="AI488" s="880"/>
      <c r="AJ488" s="880"/>
      <c r="AK488" s="880"/>
      <c r="AL488" s="880"/>
      <c r="AM488" s="880"/>
      <c r="AN488" s="880"/>
      <c r="AO488" s="880"/>
      <c r="AP488" s="880"/>
      <c r="AQ488" s="880"/>
      <c r="AR488" s="880"/>
      <c r="AS488" s="880"/>
      <c r="AT488" s="880"/>
      <c r="AU488" s="880"/>
      <c r="AV488" s="880"/>
      <c r="AW488" s="880"/>
      <c r="AX488" s="880"/>
      <c r="AY488" s="880"/>
      <c r="AZ488" s="880"/>
      <c r="BA488" s="880"/>
      <c r="BB488" s="880"/>
      <c r="BC488" s="880"/>
      <c r="BD488" s="880"/>
      <c r="BE488" s="880"/>
      <c r="BF488" s="880"/>
      <c r="BG488" s="880"/>
      <c r="BH488" s="880"/>
      <c r="BI488" s="880"/>
      <c r="BJ488" s="880"/>
      <c r="BK488" s="880"/>
      <c r="BL488" s="880"/>
      <c r="BM488" s="880"/>
      <c r="BN488" s="880"/>
      <c r="BO488" s="880"/>
      <c r="BP488" s="880"/>
      <c r="BQ488" s="880"/>
      <c r="BR488" s="880"/>
      <c r="BS488" s="880"/>
      <c r="BT488" s="880"/>
    </row>
    <row r="489" spans="1:72" s="882" customFormat="1" ht="13" hidden="1" collapsed="1">
      <c r="A489" s="2919" t="s">
        <v>572</v>
      </c>
      <c r="B489" s="2920"/>
      <c r="C489" s="2911" t="s">
        <v>311</v>
      </c>
      <c r="D489" s="2911"/>
      <c r="E489" s="1651">
        <v>0</v>
      </c>
      <c r="F489" s="1328">
        <f>IF(SETUP!$F$40="Upfront",F490,F491)</f>
        <v>0</v>
      </c>
      <c r="G489" s="1194">
        <f>IF(SETUP!$F$40="Upfront",G490,G491)</f>
        <v>0</v>
      </c>
      <c r="H489" s="1194">
        <f>IF(SETUP!$F$40="Upfront",H490,H491)</f>
        <v>0</v>
      </c>
      <c r="I489" s="1194">
        <f>IF(SETUP!$F$40="Upfront",I490,I491)</f>
        <v>0</v>
      </c>
      <c r="J489" s="1194">
        <f t="shared" si="68"/>
        <v>0</v>
      </c>
      <c r="K489" s="1328">
        <f>IF(SETUP!$F$40="Upfront",K490,K491)</f>
        <v>0</v>
      </c>
      <c r="L489" s="1194">
        <f>IF(SETUP!$F$40="Upfront",L490,L491)</f>
        <v>0</v>
      </c>
      <c r="M489" s="1194">
        <f>IF(SETUP!$F$40="Upfront",M490,M491)</f>
        <v>0</v>
      </c>
      <c r="N489" s="1194">
        <f>IF(SETUP!$F$40="Upfront",N490,N491)</f>
        <v>0</v>
      </c>
      <c r="O489" s="1194">
        <f t="shared" si="69"/>
        <v>0</v>
      </c>
      <c r="P489" s="1328">
        <f>IF(SETUP!$F$40="Upfront",P490,P491)</f>
        <v>0</v>
      </c>
      <c r="Q489" s="1194">
        <f>IF(SETUP!$F$40="Upfront",Q490,Q491)</f>
        <v>0</v>
      </c>
      <c r="R489" s="1194">
        <f>IF(SETUP!$F$40="Upfront",R490,R491)</f>
        <v>0</v>
      </c>
      <c r="S489" s="1194">
        <f>IF(SETUP!$F$40="Upfront",S490,S491)</f>
        <v>0</v>
      </c>
      <c r="T489" s="1194">
        <f t="shared" si="70"/>
        <v>0</v>
      </c>
      <c r="U489" s="1328">
        <f t="shared" si="71"/>
        <v>0</v>
      </c>
      <c r="V489" s="1826">
        <v>7.4</v>
      </c>
      <c r="W489" s="1837"/>
      <c r="X489" s="764"/>
      <c r="Y489" s="1836"/>
      <c r="Z489" s="850"/>
      <c r="AA489" s="880"/>
      <c r="AB489" s="880"/>
      <c r="AC489" s="880"/>
      <c r="AD489" s="880"/>
      <c r="AE489" s="880"/>
      <c r="AF489" s="880"/>
      <c r="AG489" s="880"/>
      <c r="AH489" s="881"/>
      <c r="AI489" s="880"/>
      <c r="AJ489" s="880"/>
      <c r="AK489" s="880"/>
      <c r="AL489" s="880"/>
      <c r="AM489" s="880"/>
      <c r="AN489" s="880"/>
      <c r="AO489" s="880"/>
      <c r="AP489" s="880"/>
      <c r="AQ489" s="880"/>
      <c r="AR489" s="880"/>
      <c r="AS489" s="880"/>
      <c r="AT489" s="880"/>
      <c r="AU489" s="880"/>
      <c r="AV489" s="880"/>
      <c r="AW489" s="880"/>
      <c r="AX489" s="880"/>
      <c r="AY489" s="880"/>
      <c r="AZ489" s="880"/>
      <c r="BA489" s="880"/>
      <c r="BB489" s="880"/>
      <c r="BC489" s="880"/>
      <c r="BD489" s="880"/>
      <c r="BE489" s="880"/>
      <c r="BF489" s="880"/>
      <c r="BG489" s="880"/>
      <c r="BH489" s="880"/>
      <c r="BI489" s="880"/>
      <c r="BJ489" s="880"/>
      <c r="BK489" s="880"/>
      <c r="BL489" s="880"/>
      <c r="BM489" s="880"/>
      <c r="BN489" s="880"/>
      <c r="BO489" s="880"/>
      <c r="BP489" s="880"/>
      <c r="BQ489" s="880"/>
      <c r="BR489" s="880"/>
      <c r="BS489" s="880"/>
      <c r="BT489" s="880"/>
    </row>
    <row r="490" spans="1:72" s="882" customFormat="1" ht="12.75" hidden="1" customHeight="1" outlineLevel="1">
      <c r="A490" s="2919"/>
      <c r="B490" s="2920"/>
      <c r="C490" s="2912" t="s">
        <v>918</v>
      </c>
      <c r="D490" s="2912"/>
      <c r="E490" s="1652"/>
      <c r="F490" s="1328">
        <f>IF(SETUP!$F$40="Upfront",$E$489*'TB-EQUIPMENT &amp; OTHER HPs'!AW14,0)</f>
        <v>0</v>
      </c>
      <c r="G490" s="1194">
        <f>IF(SETUP!$F$40="Upfront",$E$489*'TB-EQUIPMENT &amp; OTHER HPs'!AX14,0)</f>
        <v>0</v>
      </c>
      <c r="H490" s="1194">
        <f>IF(SETUP!$F$40="Upfront",$E$489*'TB-EQUIPMENT &amp; OTHER HPs'!AY14,0)</f>
        <v>0</v>
      </c>
      <c r="I490" s="1194">
        <f>IF(SETUP!$F$40="Upfront",$E$489*'TB-EQUIPMENT &amp; OTHER HPs'!AZ14,0)</f>
        <v>0</v>
      </c>
      <c r="J490" s="1194">
        <f t="shared" si="68"/>
        <v>0</v>
      </c>
      <c r="K490" s="1328">
        <f>IF(SETUP!$F$40="Upfront",$E$489*'TB-EQUIPMENT &amp; OTHER HPs'!BA14,0)</f>
        <v>0</v>
      </c>
      <c r="L490" s="1194">
        <f>IF(SETUP!$F$40="Upfront",$E$489*'TB-EQUIPMENT &amp; OTHER HPs'!BB14,0)</f>
        <v>0</v>
      </c>
      <c r="M490" s="1194">
        <f>IF(SETUP!$F$40="Upfront",$E$489*'TB-EQUIPMENT &amp; OTHER HPs'!BC14,0)</f>
        <v>0</v>
      </c>
      <c r="N490" s="1194">
        <f>IF(SETUP!$F$40="Upfront",$E$489*'TB-EQUIPMENT &amp; OTHER HPs'!BD14,0)</f>
        <v>0</v>
      </c>
      <c r="O490" s="1194">
        <f t="shared" si="69"/>
        <v>0</v>
      </c>
      <c r="P490" s="1328">
        <f>IF(SETUP!$F$40="Upfront",$E$489*'TB-EQUIPMENT &amp; OTHER HPs'!BE14,0)</f>
        <v>0</v>
      </c>
      <c r="Q490" s="1194">
        <f>IF(SETUP!$F$40="Upfront",$E$489*'TB-EQUIPMENT &amp; OTHER HPs'!BF14,0)</f>
        <v>0</v>
      </c>
      <c r="R490" s="1194">
        <f>IF(SETUP!$F$40="Upfront",$E$489*'TB-EQUIPMENT &amp; OTHER HPs'!BG14,0)</f>
        <v>0</v>
      </c>
      <c r="S490" s="1194">
        <f>IF(SETUP!$F$40="Upfront",$E$489*'TB-EQUIPMENT &amp; OTHER HPs'!BH14,0)</f>
        <v>0</v>
      </c>
      <c r="T490" s="1194">
        <f t="shared" si="70"/>
        <v>0</v>
      </c>
      <c r="U490" s="1328">
        <f t="shared" si="71"/>
        <v>0</v>
      </c>
      <c r="V490" s="1826">
        <v>7.4</v>
      </c>
      <c r="W490" s="1837"/>
      <c r="X490" s="764"/>
      <c r="Y490" s="1836"/>
      <c r="Z490" s="850"/>
      <c r="AA490" s="880"/>
      <c r="AB490" s="880"/>
      <c r="AC490" s="880"/>
      <c r="AD490" s="880"/>
      <c r="AE490" s="880"/>
      <c r="AF490" s="880"/>
      <c r="AG490" s="880"/>
      <c r="AH490" s="881"/>
      <c r="AI490" s="880"/>
      <c r="AJ490" s="880"/>
      <c r="AK490" s="880"/>
      <c r="AL490" s="880"/>
      <c r="AM490" s="880"/>
      <c r="AN490" s="880"/>
      <c r="AO490" s="880"/>
      <c r="AP490" s="880"/>
      <c r="AQ490" s="880"/>
      <c r="AR490" s="880"/>
      <c r="AS490" s="880"/>
      <c r="AT490" s="880"/>
      <c r="AU490" s="880"/>
      <c r="AV490" s="880"/>
      <c r="AW490" s="880"/>
      <c r="AX490" s="880"/>
      <c r="AY490" s="880"/>
      <c r="AZ490" s="880"/>
      <c r="BA490" s="880"/>
      <c r="BB490" s="880"/>
      <c r="BC490" s="880"/>
      <c r="BD490" s="880"/>
      <c r="BE490" s="880"/>
      <c r="BF490" s="880"/>
      <c r="BG490" s="880"/>
      <c r="BH490" s="880"/>
      <c r="BI490" s="880"/>
      <c r="BJ490" s="880"/>
      <c r="BK490" s="880"/>
      <c r="BL490" s="880"/>
      <c r="BM490" s="880"/>
      <c r="BN490" s="880"/>
      <c r="BO490" s="880"/>
      <c r="BP490" s="880"/>
      <c r="BQ490" s="880"/>
      <c r="BR490" s="880"/>
      <c r="BS490" s="880"/>
      <c r="BT490" s="880"/>
    </row>
    <row r="491" spans="1:72" s="882" customFormat="1" ht="12.75" hidden="1" customHeight="1" outlineLevel="1">
      <c r="A491" s="2919"/>
      <c r="B491" s="2920"/>
      <c r="C491" s="2912" t="s">
        <v>36</v>
      </c>
      <c r="D491" s="2912"/>
      <c r="E491" s="1652"/>
      <c r="F491" s="1328">
        <v>0</v>
      </c>
      <c r="G491" s="1194">
        <f>IF(SETUP!$F$40="At delivery",IF(SETUP!$G$40=1,$E$489*'TB-EQUIPMENT &amp; OTHER HPs'!AW14,0),0)</f>
        <v>0</v>
      </c>
      <c r="H491" s="1194">
        <f>IF(SETUP!$F$40="At delivery",IF(SETUP!$G$40=2,$E$489*'TB-EQUIPMENT &amp; OTHER HPs'!AW14,IF(SETUP!$G$40=1,$E$489*'TB-EQUIPMENT &amp; OTHER HPs'!AX14,0)),0)</f>
        <v>0</v>
      </c>
      <c r="I491" s="1194">
        <f>IF(SETUP!$F$40="At delivery",IF(SETUP!$G$40=3,$E$489*'TB-EQUIPMENT &amp; OTHER HPs'!AW14,IF(SETUP!$G$40=2,$E$489*'TB-EQUIPMENT &amp; OTHER HPs'!AX14,IF(SETUP!$G$40=1,$E$489*'TB-EQUIPMENT &amp; OTHER HPs'!AY14,0))),0)</f>
        <v>0</v>
      </c>
      <c r="J491" s="1194">
        <f t="shared" si="68"/>
        <v>0</v>
      </c>
      <c r="K491" s="1328">
        <f>IF(SETUP!$F$40="At delivery",IF(SETUP!$G$40=4,$E$489*'TB-EQUIPMENT &amp; OTHER HPs'!AW14,IF(SETUP!$G$40=3,$E$489*'TB-EQUIPMENT &amp; OTHER HPs'!AX14,IF(SETUP!$G$40=2,$E$489*'TB-EQUIPMENT &amp; OTHER HPs'!AY14,IF(SETUP!$G$40=1,$E$489*'TB-EQUIPMENT &amp; OTHER HPs'!AZ14,0)))),0)</f>
        <v>0</v>
      </c>
      <c r="L491" s="1194">
        <f>IF(SETUP!$F$40="At delivery",IF(SETUP!$G$40=4,$E$489*'TB-EQUIPMENT &amp; OTHER HPs'!AX14,IF(SETUP!$G$40=3,$E$489*'TB-EQUIPMENT &amp; OTHER HPs'!AY14,IF(SETUP!$G$40=2,$E$489*'TB-EQUIPMENT &amp; OTHER HPs'!AZ14,IF(SETUP!$G$40=1,$E$489*'TB-EQUIPMENT &amp; OTHER HPs'!BA14,0)))),0)</f>
        <v>0</v>
      </c>
      <c r="M491" s="1194">
        <f>IF(SETUP!$F$40="At delivery",IF(SETUP!$G$40=4,$E$489*'TB-EQUIPMENT &amp; OTHER HPs'!AY14,IF(SETUP!$G$40=3,$E$489*'TB-EQUIPMENT &amp; OTHER HPs'!AZ14,IF(SETUP!$G$40=2,$E$489*'TB-EQUIPMENT &amp; OTHER HPs'!BA14,IF(SETUP!$G$40=1,$E$489*'TB-EQUIPMENT &amp; OTHER HPs'!BB14,0)))),0)</f>
        <v>0</v>
      </c>
      <c r="N491" s="1194">
        <f>IF(SETUP!$F$40="At delivery",IF(SETUP!$G$40=4,$E$489*'TB-EQUIPMENT &amp; OTHER HPs'!AZ14,IF(SETUP!$G$40=3,$E$489*'TB-EQUIPMENT &amp; OTHER HPs'!BA14,IF(SETUP!$G$40=2,$E$489*'TB-EQUIPMENT &amp; OTHER HPs'!BB14,IF(SETUP!$G$40=1,$E$489*'TB-EQUIPMENT &amp; OTHER HPs'!BC14,0)))),0)</f>
        <v>0</v>
      </c>
      <c r="O491" s="1194">
        <f t="shared" si="69"/>
        <v>0</v>
      </c>
      <c r="P491" s="1328">
        <f>IF(SETUP!$F$40="At delivery",IF(SETUP!$G$40=4,$E$489*'TB-EQUIPMENT &amp; OTHER HPs'!BA14,IF(SETUP!$G$40=3,$E$489*'TB-EQUIPMENT &amp; OTHER HPs'!BB14,IF(SETUP!$G$40=2,$E$489*'TB-EQUIPMENT &amp; OTHER HPs'!BC14,IF(SETUP!$G$40=1,$E$489*'TB-EQUIPMENT &amp; OTHER HPs'!BD14,0)))),0)</f>
        <v>0</v>
      </c>
      <c r="Q491" s="1194">
        <f>IF(SETUP!$F$40="At delivery",IF(SETUP!$G$40=4,$E$489*'TB-EQUIPMENT &amp; OTHER HPs'!BB14,IF(SETUP!$G$40=3,$E$489*'TB-EQUIPMENT &amp; OTHER HPs'!BC14,IF(SETUP!$G$40=2,$E$489*'TB-EQUIPMENT &amp; OTHER HPs'!BD14,IF(SETUP!$G$40=1,$E$489*'TB-EQUIPMENT &amp; OTHER HPs'!BE14,0)))),0)</f>
        <v>0</v>
      </c>
      <c r="R491" s="1194">
        <f>IF(SETUP!$F$40="At delivery",IF(SETUP!$G$40=4,$E$489*'TB-EQUIPMENT &amp; OTHER HPs'!BC14,IF(SETUP!$G$40=3,$E$489*'TB-EQUIPMENT &amp; OTHER HPs'!BD14,IF(SETUP!$G$40=2,$E$489*'TB-EQUIPMENT &amp; OTHER HPs'!BE14,IF(SETUP!$G$40=1,$E$489*'TB-EQUIPMENT &amp; OTHER HPs'!BF14,0)))),0)</f>
        <v>0</v>
      </c>
      <c r="S491" s="1194">
        <f>IF(SETUP!$F$40="At delivery",IF(SETUP!$G$40=4,$E$489*('TB-EQUIPMENT &amp; OTHER HPs'!BD14+'TB-EQUIPMENT &amp; OTHER HPs'!BE14+'TB-EQUIPMENT &amp; OTHER HPs'!BF14+'TB-EQUIPMENT &amp; OTHER HPs'!BG14+'TB-EQUIPMENT &amp; OTHER HPs'!BH14),IF(SETUP!$G$40=3,$E$489*('TB-EQUIPMENT &amp; OTHER HPs'!BE14+'TB-EQUIPMENT &amp; OTHER HPs'!BF14+'TB-EQUIPMENT &amp; OTHER HPs'!BG14+'TB-EQUIPMENT &amp; OTHER HPs'!BH14),IF(SETUP!$G$40=2,$E$489*('TB-EQUIPMENT &amp; OTHER HPs'!BF14+'TB-EQUIPMENT &amp; OTHER HPs'!BG14+'TB-EQUIPMENT &amp; OTHER HPs'!BH14),IF(SETUP!$G$40=1,$E$489*('TB-EQUIPMENT &amp; OTHER HPs'!BG14+'TB-EQUIPMENT &amp; OTHER HPs'!BH14),0)))),0)</f>
        <v>0</v>
      </c>
      <c r="T491" s="1194">
        <f t="shared" si="70"/>
        <v>0</v>
      </c>
      <c r="U491" s="1328">
        <f t="shared" si="71"/>
        <v>0</v>
      </c>
      <c r="V491" s="1826">
        <v>7.4</v>
      </c>
      <c r="W491" s="1837"/>
      <c r="X491" s="764"/>
      <c r="Y491" s="1836"/>
      <c r="Z491" s="850"/>
      <c r="AA491" s="880"/>
      <c r="AB491" s="880"/>
      <c r="AC491" s="880"/>
      <c r="AD491" s="880"/>
      <c r="AE491" s="880"/>
      <c r="AF491" s="880"/>
      <c r="AG491" s="880"/>
      <c r="AH491" s="881"/>
      <c r="AI491" s="880"/>
      <c r="AJ491" s="880"/>
      <c r="AK491" s="880"/>
      <c r="AL491" s="880"/>
      <c r="AM491" s="880"/>
      <c r="AN491" s="880"/>
      <c r="AO491" s="880"/>
      <c r="AP491" s="880"/>
      <c r="AQ491" s="880"/>
      <c r="AR491" s="880"/>
      <c r="AS491" s="880"/>
      <c r="AT491" s="880"/>
      <c r="AU491" s="880"/>
      <c r="AV491" s="880"/>
      <c r="AW491" s="880"/>
      <c r="AX491" s="880"/>
      <c r="AY491" s="880"/>
      <c r="AZ491" s="880"/>
      <c r="BA491" s="880"/>
      <c r="BB491" s="880"/>
      <c r="BC491" s="880"/>
      <c r="BD491" s="880"/>
      <c r="BE491" s="880"/>
      <c r="BF491" s="880"/>
      <c r="BG491" s="880"/>
      <c r="BH491" s="880"/>
      <c r="BI491" s="880"/>
      <c r="BJ491" s="880"/>
      <c r="BK491" s="880"/>
      <c r="BL491" s="880"/>
      <c r="BM491" s="880"/>
      <c r="BN491" s="880"/>
      <c r="BO491" s="880"/>
      <c r="BP491" s="880"/>
      <c r="BQ491" s="880"/>
      <c r="BR491" s="880"/>
      <c r="BS491" s="880"/>
      <c r="BT491" s="880"/>
    </row>
    <row r="492" spans="1:72" s="882" customFormat="1" ht="13" hidden="1" collapsed="1">
      <c r="A492" s="2919"/>
      <c r="B492" s="2920"/>
      <c r="C492" s="2911" t="s">
        <v>1748</v>
      </c>
      <c r="D492" s="2911"/>
      <c r="E492" s="1651">
        <v>0</v>
      </c>
      <c r="F492" s="1328">
        <f>IF(SETUP!$F$41="Upfront",F493,F494)</f>
        <v>0</v>
      </c>
      <c r="G492" s="1194">
        <f>IF(SETUP!$F$41="Upfront",G493,G494)</f>
        <v>0</v>
      </c>
      <c r="H492" s="1194">
        <f>IF(SETUP!$F$41="Upfront",H493,H494)</f>
        <v>0</v>
      </c>
      <c r="I492" s="1194">
        <f>IF(SETUP!$F$41="Upfront",I493,I494)</f>
        <v>0</v>
      </c>
      <c r="J492" s="1194">
        <f t="shared" si="68"/>
        <v>0</v>
      </c>
      <c r="K492" s="1328">
        <f>IF(SETUP!$F$41="Upfront",K493,K494)</f>
        <v>0</v>
      </c>
      <c r="L492" s="1194">
        <f>IF(SETUP!$F$41="Upfront",L493,L494)</f>
        <v>0</v>
      </c>
      <c r="M492" s="1194">
        <f>IF(SETUP!$F$41="Upfront",M493,M494)</f>
        <v>0</v>
      </c>
      <c r="N492" s="1194">
        <f>IF(SETUP!$F$41="Upfront",N493,N494)</f>
        <v>0</v>
      </c>
      <c r="O492" s="1194">
        <f t="shared" si="69"/>
        <v>0</v>
      </c>
      <c r="P492" s="1328">
        <f>IF(SETUP!$F$41="Upfront",P493,P494)</f>
        <v>0</v>
      </c>
      <c r="Q492" s="1194">
        <f>IF(SETUP!$F$41="Upfront",Q493,Q494)</f>
        <v>0</v>
      </c>
      <c r="R492" s="1194">
        <f>IF(SETUP!$F$41="Upfront",R493,R494)</f>
        <v>0</v>
      </c>
      <c r="S492" s="1194">
        <f>IF(SETUP!$F$41="Upfront",S493,S494)</f>
        <v>0</v>
      </c>
      <c r="T492" s="1194">
        <f t="shared" si="70"/>
        <v>0</v>
      </c>
      <c r="U492" s="1328">
        <f t="shared" si="71"/>
        <v>0</v>
      </c>
      <c r="V492" s="1826">
        <v>7.4</v>
      </c>
      <c r="W492" s="1837"/>
      <c r="X492" s="764"/>
      <c r="Y492" s="1836"/>
      <c r="Z492" s="850"/>
      <c r="AA492" s="880"/>
      <c r="AB492" s="880"/>
      <c r="AC492" s="880"/>
      <c r="AD492" s="880"/>
      <c r="AE492" s="880"/>
      <c r="AF492" s="880"/>
      <c r="AG492" s="880"/>
      <c r="AH492" s="881"/>
      <c r="AI492" s="880"/>
      <c r="AJ492" s="880"/>
      <c r="AK492" s="880"/>
      <c r="AL492" s="880"/>
      <c r="AM492" s="880"/>
      <c r="AN492" s="880"/>
      <c r="AO492" s="880"/>
      <c r="AP492" s="880"/>
      <c r="AQ492" s="880"/>
      <c r="AR492" s="880"/>
      <c r="AS492" s="880"/>
      <c r="AT492" s="880"/>
      <c r="AU492" s="880"/>
      <c r="AV492" s="880"/>
      <c r="AW492" s="880"/>
      <c r="AX492" s="880"/>
      <c r="AY492" s="880"/>
      <c r="AZ492" s="880"/>
      <c r="BA492" s="880"/>
      <c r="BB492" s="880"/>
      <c r="BC492" s="880"/>
      <c r="BD492" s="880"/>
      <c r="BE492" s="880"/>
      <c r="BF492" s="880"/>
      <c r="BG492" s="880"/>
      <c r="BH492" s="880"/>
      <c r="BI492" s="880"/>
      <c r="BJ492" s="880"/>
      <c r="BK492" s="880"/>
      <c r="BL492" s="880"/>
      <c r="BM492" s="880"/>
      <c r="BN492" s="880"/>
      <c r="BO492" s="880"/>
      <c r="BP492" s="880"/>
      <c r="BQ492" s="880"/>
      <c r="BR492" s="880"/>
      <c r="BS492" s="880"/>
      <c r="BT492" s="880"/>
    </row>
    <row r="493" spans="1:72" s="882" customFormat="1" ht="12.75" hidden="1" customHeight="1" outlineLevel="1">
      <c r="A493" s="2919"/>
      <c r="B493" s="2920"/>
      <c r="C493" s="2912" t="s">
        <v>918</v>
      </c>
      <c r="D493" s="2912"/>
      <c r="E493" s="1652"/>
      <c r="F493" s="1328">
        <f>IF(SETUP!$F$40="Upfront",$E$492*'TB-EQUIPMENT &amp; OTHER HPs'!AW15,0)</f>
        <v>0</v>
      </c>
      <c r="G493" s="1194">
        <f>IF(SETUP!$F$40="Upfront",$E$492*'TB-EQUIPMENT &amp; OTHER HPs'!AX15,0)</f>
        <v>0</v>
      </c>
      <c r="H493" s="1194">
        <f>IF(SETUP!$F$40="Upfront",$E$492*'TB-EQUIPMENT &amp; OTHER HPs'!AY15,0)</f>
        <v>0</v>
      </c>
      <c r="I493" s="1194">
        <f>IF(SETUP!$F$40="Upfront",$E$492*'TB-EQUIPMENT &amp; OTHER HPs'!AZ15,0)</f>
        <v>0</v>
      </c>
      <c r="J493" s="1194">
        <f t="shared" si="68"/>
        <v>0</v>
      </c>
      <c r="K493" s="1328">
        <f>IF(SETUP!$F$40="Upfront",$E$492*'TB-EQUIPMENT &amp; OTHER HPs'!BA15,0)</f>
        <v>0</v>
      </c>
      <c r="L493" s="1194">
        <f>IF(SETUP!$F$40="Upfront",$E$492*'TB-EQUIPMENT &amp; OTHER HPs'!BB15,0)</f>
        <v>0</v>
      </c>
      <c r="M493" s="1194">
        <f>IF(SETUP!$F$40="Upfront",$E$492*'TB-EQUIPMENT &amp; OTHER HPs'!BC15,0)</f>
        <v>0</v>
      </c>
      <c r="N493" s="1194">
        <f>IF(SETUP!$F$40="Upfront",$E$492*'TB-EQUIPMENT &amp; OTHER HPs'!BD15,0)</f>
        <v>0</v>
      </c>
      <c r="O493" s="1194">
        <f t="shared" si="69"/>
        <v>0</v>
      </c>
      <c r="P493" s="1328">
        <f>IF(SETUP!$F$40="Upfront",$E$492*'TB-EQUIPMENT &amp; OTHER HPs'!BE15,0)</f>
        <v>0</v>
      </c>
      <c r="Q493" s="1194">
        <f>IF(SETUP!$F$40="Upfront",$E$492*'TB-EQUIPMENT &amp; OTHER HPs'!BF15,0)</f>
        <v>0</v>
      </c>
      <c r="R493" s="1194">
        <f>IF(SETUP!$F$40="Upfront",$E$492*'TB-EQUIPMENT &amp; OTHER HPs'!BG15,0)</f>
        <v>0</v>
      </c>
      <c r="S493" s="1194">
        <f>IF(SETUP!$F$40="Upfront",$E$492*'TB-EQUIPMENT &amp; OTHER HPs'!BH15,0)</f>
        <v>0</v>
      </c>
      <c r="T493" s="1194">
        <f t="shared" si="70"/>
        <v>0</v>
      </c>
      <c r="U493" s="1328">
        <f t="shared" si="71"/>
        <v>0</v>
      </c>
      <c r="V493" s="1826">
        <v>7.4</v>
      </c>
      <c r="W493" s="1837"/>
      <c r="X493" s="764"/>
      <c r="Y493" s="1836"/>
      <c r="Z493" s="850"/>
      <c r="AA493" s="880"/>
      <c r="AB493" s="880"/>
      <c r="AC493" s="880"/>
      <c r="AD493" s="880"/>
      <c r="AE493" s="880"/>
      <c r="AF493" s="880"/>
      <c r="AG493" s="880"/>
      <c r="AH493" s="881"/>
      <c r="AI493" s="880"/>
      <c r="AJ493" s="880"/>
      <c r="AK493" s="880"/>
      <c r="AL493" s="880"/>
      <c r="AM493" s="880"/>
      <c r="AN493" s="880"/>
      <c r="AO493" s="880"/>
      <c r="AP493" s="880"/>
      <c r="AQ493" s="880"/>
      <c r="AR493" s="880"/>
      <c r="AS493" s="880"/>
      <c r="AT493" s="880"/>
      <c r="AU493" s="880"/>
      <c r="AV493" s="880"/>
      <c r="AW493" s="880"/>
      <c r="AX493" s="880"/>
      <c r="AY493" s="880"/>
      <c r="AZ493" s="880"/>
      <c r="BA493" s="880"/>
      <c r="BB493" s="880"/>
      <c r="BC493" s="880"/>
      <c r="BD493" s="880"/>
      <c r="BE493" s="880"/>
      <c r="BF493" s="880"/>
      <c r="BG493" s="880"/>
      <c r="BH493" s="880"/>
      <c r="BI493" s="880"/>
      <c r="BJ493" s="880"/>
      <c r="BK493" s="880"/>
      <c r="BL493" s="880"/>
      <c r="BM493" s="880"/>
      <c r="BN493" s="880"/>
      <c r="BO493" s="880"/>
      <c r="BP493" s="880"/>
      <c r="BQ493" s="880"/>
      <c r="BR493" s="880"/>
      <c r="BS493" s="880"/>
      <c r="BT493" s="880"/>
    </row>
    <row r="494" spans="1:72" s="882" customFormat="1" ht="12.75" hidden="1" customHeight="1" outlineLevel="1">
      <c r="A494" s="2919"/>
      <c r="B494" s="2920"/>
      <c r="C494" s="2912" t="s">
        <v>36</v>
      </c>
      <c r="D494" s="2912"/>
      <c r="E494" s="1652"/>
      <c r="F494" s="1328">
        <v>0</v>
      </c>
      <c r="G494" s="1194">
        <f>IF(SETUP!$F$41="At delivery",IF(SETUP!$G$41=1,$E$492*'TB-EQUIPMENT &amp; OTHER HPs'!AW15,0),0)</f>
        <v>0</v>
      </c>
      <c r="H494" s="1194">
        <f>IF(SETUP!$F$41="At delivery",IF(SETUP!$G$41=2,$E$492*'TB-EQUIPMENT &amp; OTHER HPs'!AW15,IF(SETUP!$G$41=1,$E$492*'TB-EQUIPMENT &amp; OTHER HPs'!AX15,0)),0)</f>
        <v>0</v>
      </c>
      <c r="I494" s="1194">
        <f>IF(SETUP!$F$41="At delivery",IF(SETUP!$G$41=3,$E$492*'TB-EQUIPMENT &amp; OTHER HPs'!AW15,IF(SETUP!$G$41=2,$E$492*'TB-EQUIPMENT &amp; OTHER HPs'!AX15,IF(SETUP!$G$41=1,$E$492*'TB-EQUIPMENT &amp; OTHER HPs'!AY15,0))),0)</f>
        <v>0</v>
      </c>
      <c r="J494" s="1194">
        <f t="shared" si="68"/>
        <v>0</v>
      </c>
      <c r="K494" s="1328">
        <f>IF(SETUP!$F$41="At delivery",IF(SETUP!$G$41=4,$E$492*'TB-EQUIPMENT &amp; OTHER HPs'!AW15,IF(SETUP!$G$41=3,$E$492*'TB-EQUIPMENT &amp; OTHER HPs'!AX15,IF(SETUP!$G$41=2,$E$492*'TB-EQUIPMENT &amp; OTHER HPs'!AY15,IF(SETUP!$G$41=1,$E$492*'TB-EQUIPMENT &amp; OTHER HPs'!AZ15,0)))),0)</f>
        <v>0</v>
      </c>
      <c r="L494" s="1194">
        <f>IF(SETUP!$F$41="At delivery",IF(SETUP!$G$41=4,$E$492*'TB-EQUIPMENT &amp; OTHER HPs'!AX15,IF(SETUP!$G$41=3,$E$492*'TB-EQUIPMENT &amp; OTHER HPs'!AY15,IF(SETUP!$G$41=2,$E$492*'TB-EQUIPMENT &amp; OTHER HPs'!AZ15,IF(SETUP!$G$41=1,$E$492*'TB-EQUIPMENT &amp; OTHER HPs'!BA15,0)))),0)</f>
        <v>0</v>
      </c>
      <c r="M494" s="1194">
        <f>IF(SETUP!$F$41="At delivery",IF(SETUP!$G$41=4,$E$492*'TB-EQUIPMENT &amp; OTHER HPs'!AY15,IF(SETUP!$G$41=3,$E$492*'TB-EQUIPMENT &amp; OTHER HPs'!AZ15,IF(SETUP!$G$41=2,$E$492*'TB-EQUIPMENT &amp; OTHER HPs'!BA15,IF(SETUP!$G$41=1,$E$492*'TB-EQUIPMENT &amp; OTHER HPs'!BB15,0)))),0)</f>
        <v>0</v>
      </c>
      <c r="N494" s="1194">
        <f>IF(SETUP!$F$41="At delivery",IF(SETUP!$G$41=4,$E$492*'TB-EQUIPMENT &amp; OTHER HPs'!AZ15,IF(SETUP!$G$41=3,$E$492*'TB-EQUIPMENT &amp; OTHER HPs'!BA15,IF(SETUP!$G$41=2,$E$492*'TB-EQUIPMENT &amp; OTHER HPs'!BB15,IF(SETUP!$G$41=1,$E$492*'TB-EQUIPMENT &amp; OTHER HPs'!BC15,0)))),0)</f>
        <v>0</v>
      </c>
      <c r="O494" s="1194">
        <f t="shared" si="69"/>
        <v>0</v>
      </c>
      <c r="P494" s="1328">
        <f>IF(SETUP!$F$41="At delivery",IF(SETUP!$G$41=4,$E$492*'TB-EQUIPMENT &amp; OTHER HPs'!BA15,IF(SETUP!$G$41=3,$E$492*'TB-EQUIPMENT &amp; OTHER HPs'!BB15,IF(SETUP!$G$41=2,$E$492*'TB-EQUIPMENT &amp; OTHER HPs'!BC15,IF(SETUP!$G$41=1,$E$492*'TB-EQUIPMENT &amp; OTHER HPs'!BD15,0)))),0)</f>
        <v>0</v>
      </c>
      <c r="Q494" s="1194">
        <f>IF(SETUP!$F$41="At delivery",IF(SETUP!$G$41=4,$E$492*'TB-EQUIPMENT &amp; OTHER HPs'!BB15,IF(SETUP!$G$41=3,$E$492*'TB-EQUIPMENT &amp; OTHER HPs'!BC15,IF(SETUP!$G$41=2,$E$492*'TB-EQUIPMENT &amp; OTHER HPs'!BD15,IF(SETUP!$G$41=1,$E$492*'TB-EQUIPMENT &amp; OTHER HPs'!BE15,0)))),0)</f>
        <v>0</v>
      </c>
      <c r="R494" s="1194">
        <f>IF(SETUP!$F$41="At delivery",IF(SETUP!$G$41=4,$E$492*'TB-EQUIPMENT &amp; OTHER HPs'!BC15,IF(SETUP!$G$41=3,$E$492*'TB-EQUIPMENT &amp; OTHER HPs'!BD15,IF(SETUP!$G$41=2,$E$492*'TB-EQUIPMENT &amp; OTHER HPs'!BE15,IF(SETUP!$G$41=1,$E$492*'TB-EQUIPMENT &amp; OTHER HPs'!BF15,0)))),0)</f>
        <v>0</v>
      </c>
      <c r="S494" s="1194">
        <f>IF(SETUP!$F$41="At delivery",IF(SETUP!$G$41=4,$E$492*('TB-EQUIPMENT &amp; OTHER HPs'!BD15+'TB-EQUIPMENT &amp; OTHER HPs'!BE15+'TB-EQUIPMENT &amp; OTHER HPs'!BF15+'TB-EQUIPMENT &amp; OTHER HPs'!BG15+'TB-EQUIPMENT &amp; OTHER HPs'!BH15),IF(SETUP!$G$41=3,$E$492*('TB-EQUIPMENT &amp; OTHER HPs'!BE15+'TB-EQUIPMENT &amp; OTHER HPs'!BF15+'TB-EQUIPMENT &amp; OTHER HPs'!BG15+'TB-EQUIPMENT &amp; OTHER HPs'!BH15),IF(SETUP!$G$41=2,$E$492*('TB-EQUIPMENT &amp; OTHER HPs'!BF15+'TB-EQUIPMENT &amp; OTHER HPs'!BG15+'TB-EQUIPMENT &amp; OTHER HPs'!BH15),IF(SETUP!$G$41=1,$E$492*('TB-EQUIPMENT &amp; OTHER HPs'!BG15+'TB-EQUIPMENT &amp; OTHER HPs'!BH15),0)))),0)</f>
        <v>0</v>
      </c>
      <c r="T494" s="1194">
        <f t="shared" si="70"/>
        <v>0</v>
      </c>
      <c r="U494" s="1328">
        <f t="shared" si="71"/>
        <v>0</v>
      </c>
      <c r="V494" s="1826">
        <v>7.4</v>
      </c>
      <c r="W494" s="1837"/>
      <c r="X494" s="764"/>
      <c r="Y494" s="1836"/>
      <c r="Z494" s="850"/>
      <c r="AA494" s="880"/>
      <c r="AB494" s="880"/>
      <c r="AC494" s="880"/>
      <c r="AD494" s="880"/>
      <c r="AE494" s="880"/>
      <c r="AF494" s="880"/>
      <c r="AG494" s="880"/>
      <c r="AH494" s="881"/>
      <c r="AI494" s="880"/>
      <c r="AJ494" s="880"/>
      <c r="AK494" s="880"/>
      <c r="AL494" s="880"/>
      <c r="AM494" s="880"/>
      <c r="AN494" s="880"/>
      <c r="AO494" s="880"/>
      <c r="AP494" s="880"/>
      <c r="AQ494" s="880"/>
      <c r="AR494" s="880"/>
      <c r="AS494" s="880"/>
      <c r="AT494" s="880"/>
      <c r="AU494" s="880"/>
      <c r="AV494" s="880"/>
      <c r="AW494" s="880"/>
      <c r="AX494" s="880"/>
      <c r="AY494" s="880"/>
      <c r="AZ494" s="880"/>
      <c r="BA494" s="880"/>
      <c r="BB494" s="880"/>
      <c r="BC494" s="880"/>
      <c r="BD494" s="880"/>
      <c r="BE494" s="880"/>
      <c r="BF494" s="880"/>
      <c r="BG494" s="880"/>
      <c r="BH494" s="880"/>
      <c r="BI494" s="880"/>
      <c r="BJ494" s="880"/>
      <c r="BK494" s="880"/>
      <c r="BL494" s="880"/>
      <c r="BM494" s="880"/>
      <c r="BN494" s="880"/>
      <c r="BO494" s="880"/>
      <c r="BP494" s="880"/>
      <c r="BQ494" s="880"/>
      <c r="BR494" s="880"/>
      <c r="BS494" s="880"/>
      <c r="BT494" s="880"/>
    </row>
    <row r="495" spans="1:72" s="882" customFormat="1" ht="13" hidden="1" collapsed="1">
      <c r="A495" s="2919"/>
      <c r="B495" s="2920"/>
      <c r="C495" s="2911" t="s">
        <v>1754</v>
      </c>
      <c r="D495" s="2911"/>
      <c r="E495" s="1651">
        <v>0</v>
      </c>
      <c r="F495" s="1328">
        <f>IF(SETUP!$F$43="Upfront",F496,F497)</f>
        <v>0</v>
      </c>
      <c r="G495" s="1194">
        <f>IF(SETUP!$F$43="Upfront",G496,G497)</f>
        <v>0</v>
      </c>
      <c r="H495" s="1194">
        <f>IF(SETUP!$F$43="Upfront",H496,H497)</f>
        <v>0</v>
      </c>
      <c r="I495" s="1194">
        <f>IF(SETUP!$F$43="Upfront",I496,I497)</f>
        <v>0</v>
      </c>
      <c r="J495" s="1194">
        <f t="shared" si="68"/>
        <v>0</v>
      </c>
      <c r="K495" s="1328">
        <f>IF(SETUP!$F$43="Upfront",K496,K497)</f>
        <v>0</v>
      </c>
      <c r="L495" s="1194">
        <f>IF(SETUP!$F$43="Upfront",L496,L497)</f>
        <v>0</v>
      </c>
      <c r="M495" s="1194">
        <f>IF(SETUP!$F$43="Upfront",M496,M497)</f>
        <v>0</v>
      </c>
      <c r="N495" s="1194">
        <f>IF(SETUP!$F$43="Upfront",N496,N497)</f>
        <v>0</v>
      </c>
      <c r="O495" s="1194">
        <f t="shared" si="69"/>
        <v>0</v>
      </c>
      <c r="P495" s="1328">
        <f>IF(SETUP!$F$43="Upfront",P496,P497)</f>
        <v>0</v>
      </c>
      <c r="Q495" s="1194">
        <f>IF(SETUP!$F$43="Upfront",Q496,Q497)</f>
        <v>0</v>
      </c>
      <c r="R495" s="1194">
        <f>IF(SETUP!$F$43="Upfront",R496,R497)</f>
        <v>0</v>
      </c>
      <c r="S495" s="1194">
        <f>IF(SETUP!$F$43="Upfront",S496,S497)</f>
        <v>0</v>
      </c>
      <c r="T495" s="1194">
        <f t="shared" si="70"/>
        <v>0</v>
      </c>
      <c r="U495" s="1328">
        <f t="shared" si="71"/>
        <v>0</v>
      </c>
      <c r="V495" s="1826">
        <v>7.4</v>
      </c>
      <c r="W495" s="1837"/>
      <c r="X495" s="764"/>
      <c r="Y495" s="1836"/>
      <c r="Z495" s="850"/>
      <c r="AA495" s="880"/>
      <c r="AB495" s="880"/>
      <c r="AC495" s="880"/>
      <c r="AD495" s="880"/>
      <c r="AE495" s="880"/>
      <c r="AF495" s="880"/>
      <c r="AG495" s="880"/>
      <c r="AH495" s="881"/>
      <c r="AI495" s="880"/>
      <c r="AJ495" s="880"/>
      <c r="AK495" s="880"/>
      <c r="AL495" s="880"/>
      <c r="AM495" s="880"/>
      <c r="AN495" s="880"/>
      <c r="AO495" s="880"/>
      <c r="AP495" s="880"/>
      <c r="AQ495" s="880"/>
      <c r="AR495" s="880"/>
      <c r="AS495" s="880"/>
      <c r="AT495" s="880"/>
      <c r="AU495" s="880"/>
      <c r="AV495" s="880"/>
      <c r="AW495" s="880"/>
      <c r="AX495" s="880"/>
      <c r="AY495" s="880"/>
      <c r="AZ495" s="880"/>
      <c r="BA495" s="880"/>
      <c r="BB495" s="880"/>
      <c r="BC495" s="880"/>
      <c r="BD495" s="880"/>
      <c r="BE495" s="880"/>
      <c r="BF495" s="880"/>
      <c r="BG495" s="880"/>
      <c r="BH495" s="880"/>
      <c r="BI495" s="880"/>
      <c r="BJ495" s="880"/>
      <c r="BK495" s="880"/>
      <c r="BL495" s="880"/>
      <c r="BM495" s="880"/>
      <c r="BN495" s="880"/>
      <c r="BO495" s="880"/>
      <c r="BP495" s="880"/>
      <c r="BQ495" s="880"/>
      <c r="BR495" s="880"/>
      <c r="BS495" s="880"/>
      <c r="BT495" s="880"/>
    </row>
    <row r="496" spans="1:72" s="882" customFormat="1" ht="12.75" hidden="1" customHeight="1" outlineLevel="1">
      <c r="A496" s="2919"/>
      <c r="B496" s="2920"/>
      <c r="C496" s="2912" t="s">
        <v>918</v>
      </c>
      <c r="D496" s="2912"/>
      <c r="E496" s="1649"/>
      <c r="F496" s="1328">
        <f>IF(SETUP!$F$43="Upfront",$E$495*'TB-EQUIPMENT &amp; OTHER HPs'!AW16,0)</f>
        <v>0</v>
      </c>
      <c r="G496" s="1194">
        <f>IF(SETUP!$F$43="Upfront",$E$495*'TB-EQUIPMENT &amp; OTHER HPs'!AX16,0)</f>
        <v>0</v>
      </c>
      <c r="H496" s="1194">
        <f>IF(SETUP!$F$43="Upfront",$E$495*'TB-EQUIPMENT &amp; OTHER HPs'!AY16,0)</f>
        <v>0</v>
      </c>
      <c r="I496" s="1194">
        <f>IF(SETUP!$F$43="Upfront",$E$495*'TB-EQUIPMENT &amp; OTHER HPs'!AZ16,0)</f>
        <v>0</v>
      </c>
      <c r="J496" s="1194">
        <f t="shared" si="68"/>
        <v>0</v>
      </c>
      <c r="K496" s="1328">
        <f>IF(SETUP!$F$43="Upfront",$E$495*'TB-EQUIPMENT &amp; OTHER HPs'!BA16,0)</f>
        <v>0</v>
      </c>
      <c r="L496" s="1194">
        <f>IF(SETUP!$F$43="Upfront",$E$495*'TB-EQUIPMENT &amp; OTHER HPs'!BB16,0)</f>
        <v>0</v>
      </c>
      <c r="M496" s="1194">
        <f>IF(SETUP!$F$43="Upfront",$E$495*'TB-EQUIPMENT &amp; OTHER HPs'!BC16,0)</f>
        <v>0</v>
      </c>
      <c r="N496" s="1194">
        <f>IF(SETUP!$F$43="Upfront",$E$495*'TB-EQUIPMENT &amp; OTHER HPs'!BD16,0)</f>
        <v>0</v>
      </c>
      <c r="O496" s="1194">
        <f t="shared" si="69"/>
        <v>0</v>
      </c>
      <c r="P496" s="1328">
        <f>IF(SETUP!$F$43="Upfront",$E$495*'TB-EQUIPMENT &amp; OTHER HPs'!BE16,0)</f>
        <v>0</v>
      </c>
      <c r="Q496" s="1194">
        <f>IF(SETUP!$F$43="Upfront",$E$495*'TB-EQUIPMENT &amp; OTHER HPs'!BF16,0)</f>
        <v>0</v>
      </c>
      <c r="R496" s="1194">
        <f>IF(SETUP!$F$43="Upfront",$E$495*'TB-EQUIPMENT &amp; OTHER HPs'!BG16,0)</f>
        <v>0</v>
      </c>
      <c r="S496" s="1194">
        <f>IF(SETUP!$F$43="Upfront",$E$495*'TB-EQUIPMENT &amp; OTHER HPs'!BH16,0)</f>
        <v>0</v>
      </c>
      <c r="T496" s="1194">
        <f t="shared" si="70"/>
        <v>0</v>
      </c>
      <c r="U496" s="1328">
        <f t="shared" si="71"/>
        <v>0</v>
      </c>
      <c r="V496" s="1826">
        <v>7.4</v>
      </c>
      <c r="W496" s="1837"/>
      <c r="X496" s="764"/>
      <c r="Y496" s="1836"/>
      <c r="Z496" s="850"/>
      <c r="AA496" s="880"/>
      <c r="AB496" s="880"/>
      <c r="AC496" s="880"/>
      <c r="AD496" s="880"/>
      <c r="AE496" s="880"/>
      <c r="AF496" s="880"/>
      <c r="AG496" s="880"/>
      <c r="AH496" s="881"/>
      <c r="AI496" s="880"/>
      <c r="AJ496" s="880"/>
      <c r="AK496" s="880"/>
      <c r="AL496" s="880"/>
      <c r="AM496" s="880"/>
      <c r="AN496" s="880"/>
      <c r="AO496" s="880"/>
      <c r="AP496" s="880"/>
      <c r="AQ496" s="880"/>
      <c r="AR496" s="880"/>
      <c r="AS496" s="880"/>
      <c r="AT496" s="880"/>
      <c r="AU496" s="880"/>
      <c r="AV496" s="880"/>
      <c r="AW496" s="880"/>
      <c r="AX496" s="880"/>
      <c r="AY496" s="880"/>
      <c r="AZ496" s="880"/>
      <c r="BA496" s="880"/>
      <c r="BB496" s="880"/>
      <c r="BC496" s="880"/>
      <c r="BD496" s="880"/>
      <c r="BE496" s="880"/>
      <c r="BF496" s="880"/>
      <c r="BG496" s="880"/>
      <c r="BH496" s="880"/>
      <c r="BI496" s="880"/>
      <c r="BJ496" s="880"/>
      <c r="BK496" s="880"/>
      <c r="BL496" s="880"/>
      <c r="BM496" s="880"/>
      <c r="BN496" s="880"/>
      <c r="BO496" s="880"/>
      <c r="BP496" s="880"/>
      <c r="BQ496" s="880"/>
      <c r="BR496" s="880"/>
      <c r="BS496" s="880"/>
      <c r="BT496" s="880"/>
    </row>
    <row r="497" spans="1:72" s="882" customFormat="1" ht="12.75" hidden="1" customHeight="1" outlineLevel="1">
      <c r="A497" s="2919"/>
      <c r="B497" s="2920"/>
      <c r="C497" s="2912" t="s">
        <v>36</v>
      </c>
      <c r="D497" s="2912"/>
      <c r="E497" s="1649"/>
      <c r="F497" s="1328">
        <v>0</v>
      </c>
      <c r="G497" s="1194">
        <f>IF(SETUP!$F$43="At delivery",IF(SETUP!$G$43=1,$E$495*'TB-EQUIPMENT &amp; OTHER HPs'!AW16,0),0)</f>
        <v>0</v>
      </c>
      <c r="H497" s="1194">
        <f>IF(SETUP!$F$43="At delivery",IF(SETUP!$G$43=2,$E$495*'TB-EQUIPMENT &amp; OTHER HPs'!AW16,IF(SETUP!$G$43=1,$E$495*'TB-EQUIPMENT &amp; OTHER HPs'!AX16,0)),0)</f>
        <v>0</v>
      </c>
      <c r="I497" s="1194">
        <f>IF(SETUP!$F$43="At delivery",IF(SETUP!$G$43=3,$E$495*'TB-EQUIPMENT &amp; OTHER HPs'!AW16,IF(SETUP!$G$43=2,$E$495*'TB-EQUIPMENT &amp; OTHER HPs'!AX16,IF(SETUP!$G$43=1,$E$495*'TB-EQUIPMENT &amp; OTHER HPs'!AY16,0))),0)</f>
        <v>0</v>
      </c>
      <c r="J497" s="1194">
        <f t="shared" si="68"/>
        <v>0</v>
      </c>
      <c r="K497" s="1328">
        <f>IF(SETUP!$F$43="At delivery",IF(SETUP!$G$43=4,$E$495*'TB-EQUIPMENT &amp; OTHER HPs'!AW16,IF(SETUP!$G$43=3,$E$495*'TB-EQUIPMENT &amp; OTHER HPs'!AX16,IF(SETUP!$G$43=2,$E$495*'TB-EQUIPMENT &amp; OTHER HPs'!AY16,IF(SETUP!$G$43=1,$E$495*'TB-EQUIPMENT &amp; OTHER HPs'!AZ16,0)))),0)</f>
        <v>0</v>
      </c>
      <c r="L497" s="1194">
        <f>IF(SETUP!$F$43="At delivery",IF(SETUP!$G$43=4,$E$495*'TB-EQUIPMENT &amp; OTHER HPs'!AX16,IF(SETUP!$G$43=3,$E$495*'TB-EQUIPMENT &amp; OTHER HPs'!AY16,IF(SETUP!$G$43=2,$E$495*'TB-EQUIPMENT &amp; OTHER HPs'!AZ16,IF(SETUP!$G$43=1,$E$495*'TB-EQUIPMENT &amp; OTHER HPs'!BA16,0)))),0)</f>
        <v>0</v>
      </c>
      <c r="M497" s="1194">
        <f>IF(SETUP!$F$43="At delivery",IF(SETUP!$G$43=4,$E$495*'TB-EQUIPMENT &amp; OTHER HPs'!AY16,IF(SETUP!$G$43=3,$E$495*'TB-EQUIPMENT &amp; OTHER HPs'!AZ16,IF(SETUP!$G$43=2,$E$495*'TB-EQUIPMENT &amp; OTHER HPs'!BA16,IF(SETUP!$G$43=1,$E$495*'TB-EQUIPMENT &amp; OTHER HPs'!BB16,0)))),0)</f>
        <v>0</v>
      </c>
      <c r="N497" s="1194">
        <f>IF(SETUP!$F$43="At delivery",IF(SETUP!$G$43=4,$E$495*'TB-EQUIPMENT &amp; OTHER HPs'!AZ16,IF(SETUP!$G$43=3,$E$495*'TB-EQUIPMENT &amp; OTHER HPs'!BA16,IF(SETUP!$G$43=2,$E$495*'TB-EQUIPMENT &amp; OTHER HPs'!BB16,IF(SETUP!$G$43=1,$E$495*'TB-EQUIPMENT &amp; OTHER HPs'!BC16,0)))),0)</f>
        <v>0</v>
      </c>
      <c r="O497" s="1194">
        <f t="shared" si="69"/>
        <v>0</v>
      </c>
      <c r="P497" s="1328">
        <f>IF(SETUP!$F$43="At delivery",IF(SETUP!$G$43=4,$E$495*'TB-EQUIPMENT &amp; OTHER HPs'!BA16,IF(SETUP!$G$43=3,$E$495*'TB-EQUIPMENT &amp; OTHER HPs'!BB16,IF(SETUP!$G$43=2,$E$495*'TB-EQUIPMENT &amp; OTHER HPs'!BC16,IF(SETUP!$G$43=1,$E$495*'TB-EQUIPMENT &amp; OTHER HPs'!BD16,0)))),0)</f>
        <v>0</v>
      </c>
      <c r="Q497" s="1194">
        <f>IF(SETUP!$F$43="At delivery",IF(SETUP!$G$43=4,$E$495*'TB-EQUIPMENT &amp; OTHER HPs'!BB16,IF(SETUP!$G$43=3,$E$495*'TB-EQUIPMENT &amp; OTHER HPs'!BC16,IF(SETUP!$G$43=2,$E$495*'TB-EQUIPMENT &amp; OTHER HPs'!BD16,IF(SETUP!$G$43=1,$E$495*'TB-EQUIPMENT &amp; OTHER HPs'!BE16,0)))),0)</f>
        <v>0</v>
      </c>
      <c r="R497" s="1194">
        <f>IF(SETUP!$F$43="At delivery",IF(SETUP!$G$43=4,$E$495*'TB-EQUIPMENT &amp; OTHER HPs'!BC16,IF(SETUP!$G$43=3,$E$495*'TB-EQUIPMENT &amp; OTHER HPs'!BD16,IF(SETUP!$G$43=2,$E$495*'TB-EQUIPMENT &amp; OTHER HPs'!BE16,IF(SETUP!$G$43=1,$E$495*'TB-EQUIPMENT &amp; OTHER HPs'!BF16,0)))),0)</f>
        <v>0</v>
      </c>
      <c r="S497" s="1194">
        <f>IF(SETUP!$F$43="At delivery",IF(SETUP!$G$43=4,$E$495*('TB-EQUIPMENT &amp; OTHER HPs'!BD16+'TB-EQUIPMENT &amp; OTHER HPs'!BE16+'TB-EQUIPMENT &amp; OTHER HPs'!BF16+'TB-EQUIPMENT &amp; OTHER HPs'!BG16+'TB-EQUIPMENT &amp; OTHER HPs'!BH16),IF(SETUP!$G$43=3,$E$495*('TB-EQUIPMENT &amp; OTHER HPs'!BE16+'TB-EQUIPMENT &amp; OTHER HPs'!BF16+'TB-EQUIPMENT &amp; OTHER HPs'!BG16+'TB-EQUIPMENT &amp; OTHER HPs'!BH16),IF(SETUP!$G$43=2,$E$495*('TB-EQUIPMENT &amp; OTHER HPs'!BF16+'TB-EQUIPMENT &amp; OTHER HPs'!BG16+'TB-EQUIPMENT &amp; OTHER HPs'!BH16),IF(SETUP!$G$43=1,$E$495*('TB-EQUIPMENT &amp; OTHER HPs'!BG16+'TB-EQUIPMENT &amp; OTHER HPs'!BH16),0)))),0)</f>
        <v>0</v>
      </c>
      <c r="T497" s="1194">
        <f t="shared" si="70"/>
        <v>0</v>
      </c>
      <c r="U497" s="1328">
        <f t="shared" si="71"/>
        <v>0</v>
      </c>
      <c r="V497" s="1826">
        <v>7.4</v>
      </c>
      <c r="W497" s="1837"/>
      <c r="X497" s="764"/>
      <c r="Y497" s="1836"/>
      <c r="Z497" s="850"/>
      <c r="AA497" s="880"/>
      <c r="AB497" s="880"/>
      <c r="AC497" s="880"/>
      <c r="AD497" s="880"/>
      <c r="AE497" s="880"/>
      <c r="AF497" s="880"/>
      <c r="AG497" s="880"/>
      <c r="AH497" s="881"/>
      <c r="AI497" s="880"/>
      <c r="AJ497" s="880"/>
      <c r="AK497" s="880"/>
      <c r="AL497" s="880"/>
      <c r="AM497" s="880"/>
      <c r="AN497" s="880"/>
      <c r="AO497" s="880"/>
      <c r="AP497" s="880"/>
      <c r="AQ497" s="880"/>
      <c r="AR497" s="880"/>
      <c r="AS497" s="880"/>
      <c r="AT497" s="880"/>
      <c r="AU497" s="880"/>
      <c r="AV497" s="880"/>
      <c r="AW497" s="880"/>
      <c r="AX497" s="880"/>
      <c r="AY497" s="880"/>
      <c r="AZ497" s="880"/>
      <c r="BA497" s="880"/>
      <c r="BB497" s="880"/>
      <c r="BC497" s="880"/>
      <c r="BD497" s="880"/>
      <c r="BE497" s="880"/>
      <c r="BF497" s="880"/>
      <c r="BG497" s="880"/>
      <c r="BH497" s="880"/>
      <c r="BI497" s="880"/>
      <c r="BJ497" s="880"/>
      <c r="BK497" s="880"/>
      <c r="BL497" s="880"/>
      <c r="BM497" s="880"/>
      <c r="BN497" s="880"/>
      <c r="BO497" s="880"/>
      <c r="BP497" s="880"/>
      <c r="BQ497" s="880"/>
      <c r="BR497" s="880"/>
      <c r="BS497" s="880"/>
      <c r="BT497" s="880"/>
    </row>
    <row r="498" spans="1:72" s="882" customFormat="1" ht="13" hidden="1" collapsed="1">
      <c r="A498" s="2919"/>
      <c r="B498" s="2920"/>
      <c r="C498" s="2911" t="s">
        <v>574</v>
      </c>
      <c r="D498" s="2911"/>
      <c r="E498" s="1651">
        <v>0</v>
      </c>
      <c r="F498" s="1328">
        <f>IF(SETUP!$F$44="Upfront",F499,F500)</f>
        <v>0</v>
      </c>
      <c r="G498" s="1194">
        <f>IF(SETUP!$F$44="Upfront",G499,G500)</f>
        <v>0</v>
      </c>
      <c r="H498" s="1194">
        <f>IF(SETUP!$F$44="Upfront",H499,H500)</f>
        <v>0</v>
      </c>
      <c r="I498" s="1194">
        <f>IF(SETUP!$F$44="Upfront",I499,I500)</f>
        <v>0</v>
      </c>
      <c r="J498" s="1194">
        <f t="shared" si="68"/>
        <v>0</v>
      </c>
      <c r="K498" s="1328">
        <f>IF(SETUP!$F$44="Upfront",K499,K500)</f>
        <v>0</v>
      </c>
      <c r="L498" s="1194">
        <f>IF(SETUP!$F$44="Upfront",L499,L500)</f>
        <v>0</v>
      </c>
      <c r="M498" s="1194">
        <f>IF(SETUP!$F$44="Upfront",M499,M500)</f>
        <v>0</v>
      </c>
      <c r="N498" s="1194">
        <f>IF(SETUP!$F$44="Upfront",N499,N500)</f>
        <v>0</v>
      </c>
      <c r="O498" s="1194">
        <f t="shared" si="69"/>
        <v>0</v>
      </c>
      <c r="P498" s="1328">
        <f>IF(SETUP!$F$44="Upfront",P499,P500)</f>
        <v>0</v>
      </c>
      <c r="Q498" s="1194">
        <f>IF(SETUP!$F$44="Upfront",Q499,Q500)</f>
        <v>0</v>
      </c>
      <c r="R498" s="1194">
        <f>IF(SETUP!$F$44="Upfront",R499,R500)</f>
        <v>0</v>
      </c>
      <c r="S498" s="1194">
        <f>IF(SETUP!$F$44="Upfront",S499,S500)</f>
        <v>0</v>
      </c>
      <c r="T498" s="1194">
        <f t="shared" si="70"/>
        <v>0</v>
      </c>
      <c r="U498" s="1328">
        <f t="shared" si="71"/>
        <v>0</v>
      </c>
      <c r="V498" s="1826">
        <v>7.4</v>
      </c>
      <c r="W498" s="1837"/>
      <c r="X498" s="764"/>
      <c r="Y498" s="1836"/>
      <c r="Z498" s="850"/>
      <c r="AA498" s="880"/>
      <c r="AB498" s="880"/>
      <c r="AC498" s="880"/>
      <c r="AD498" s="880"/>
      <c r="AE498" s="880"/>
      <c r="AF498" s="880"/>
      <c r="AG498" s="880"/>
      <c r="AH498" s="881"/>
      <c r="AI498" s="880"/>
      <c r="AJ498" s="880"/>
      <c r="AK498" s="880"/>
      <c r="AL498" s="880"/>
      <c r="AM498" s="880"/>
      <c r="AN498" s="880"/>
      <c r="AO498" s="880"/>
      <c r="AP498" s="880"/>
      <c r="AQ498" s="880"/>
      <c r="AR498" s="880"/>
      <c r="AS498" s="880"/>
      <c r="AT498" s="880"/>
      <c r="AU498" s="880"/>
      <c r="AV498" s="880"/>
      <c r="AW498" s="880"/>
      <c r="AX498" s="880"/>
      <c r="AY498" s="880"/>
      <c r="AZ498" s="880"/>
      <c r="BA498" s="880"/>
      <c r="BB498" s="880"/>
      <c r="BC498" s="880"/>
      <c r="BD498" s="880"/>
      <c r="BE498" s="880"/>
      <c r="BF498" s="880"/>
      <c r="BG498" s="880"/>
      <c r="BH498" s="880"/>
      <c r="BI498" s="880"/>
      <c r="BJ498" s="880"/>
      <c r="BK498" s="880"/>
      <c r="BL498" s="880"/>
      <c r="BM498" s="880"/>
      <c r="BN498" s="880"/>
      <c r="BO498" s="880"/>
      <c r="BP498" s="880"/>
      <c r="BQ498" s="880"/>
      <c r="BR498" s="880"/>
      <c r="BS498" s="880"/>
      <c r="BT498" s="880"/>
    </row>
    <row r="499" spans="1:72" s="882" customFormat="1" ht="12.75" hidden="1" customHeight="1" outlineLevel="1">
      <c r="A499" s="2919"/>
      <c r="B499" s="2920"/>
      <c r="C499" s="2912" t="s">
        <v>918</v>
      </c>
      <c r="D499" s="2912"/>
      <c r="E499" s="1649"/>
      <c r="F499" s="1328">
        <f>IF(SETUP!$F$44="Upfront",$E$498*'TB-EQUIPMENT &amp; OTHER HPs'!AW17,0)</f>
        <v>0</v>
      </c>
      <c r="G499" s="1194">
        <f>IF(SETUP!$F$44="Upfront",$E$498*'TB-EQUIPMENT &amp; OTHER HPs'!AX17,0)</f>
        <v>0</v>
      </c>
      <c r="H499" s="1194">
        <f>IF(SETUP!$F$44="Upfront",$E$498*'TB-EQUIPMENT &amp; OTHER HPs'!AY17,0)</f>
        <v>0</v>
      </c>
      <c r="I499" s="1194">
        <f>IF(SETUP!$F$44="Upfront",$E$498*'TB-EQUIPMENT &amp; OTHER HPs'!AZ17,0)</f>
        <v>0</v>
      </c>
      <c r="J499" s="1194">
        <f t="shared" si="68"/>
        <v>0</v>
      </c>
      <c r="K499" s="1328">
        <f>IF(SETUP!$F$44="Upfront",$E$498*'TB-EQUIPMENT &amp; OTHER HPs'!BA17,0)</f>
        <v>0</v>
      </c>
      <c r="L499" s="1194">
        <f>IF(SETUP!$F$44="Upfront",$E$498*'TB-EQUIPMENT &amp; OTHER HPs'!BB17,0)</f>
        <v>0</v>
      </c>
      <c r="M499" s="1194">
        <f>IF(SETUP!$F$44="Upfront",$E$498*'TB-EQUIPMENT &amp; OTHER HPs'!BC17,0)</f>
        <v>0</v>
      </c>
      <c r="N499" s="1194">
        <f>IF(SETUP!$F$44="Upfront",$E$498*'TB-EQUIPMENT &amp; OTHER HPs'!BD17,0)</f>
        <v>0</v>
      </c>
      <c r="O499" s="1194">
        <f t="shared" si="69"/>
        <v>0</v>
      </c>
      <c r="P499" s="1328">
        <f>IF(SETUP!$F$44="Upfront",$E$498*'TB-EQUIPMENT &amp; OTHER HPs'!BE17,0)</f>
        <v>0</v>
      </c>
      <c r="Q499" s="1194">
        <f>IF(SETUP!$F$44="Upfront",$E$498*'TB-EQUIPMENT &amp; OTHER HPs'!BF17,0)</f>
        <v>0</v>
      </c>
      <c r="R499" s="1194">
        <f>IF(SETUP!$F$44="Upfront",$E$498*'TB-EQUIPMENT &amp; OTHER HPs'!BG17,0)</f>
        <v>0</v>
      </c>
      <c r="S499" s="1194">
        <f>IF(SETUP!$F$44="Upfront",$E$498*'TB-EQUIPMENT &amp; OTHER HPs'!BH17,0)</f>
        <v>0</v>
      </c>
      <c r="T499" s="1194">
        <f t="shared" si="70"/>
        <v>0</v>
      </c>
      <c r="U499" s="1328">
        <f t="shared" si="71"/>
        <v>0</v>
      </c>
      <c r="V499" s="1826">
        <v>7.4</v>
      </c>
      <c r="W499" s="1837"/>
      <c r="X499" s="764"/>
      <c r="Y499" s="1836"/>
      <c r="Z499" s="850"/>
      <c r="AA499" s="880"/>
      <c r="AB499" s="880"/>
      <c r="AC499" s="880"/>
      <c r="AD499" s="880"/>
      <c r="AE499" s="880"/>
      <c r="AF499" s="880"/>
      <c r="AG499" s="880"/>
      <c r="AH499" s="881"/>
      <c r="AI499" s="880"/>
      <c r="AJ499" s="880"/>
      <c r="AK499" s="880"/>
      <c r="AL499" s="880"/>
      <c r="AM499" s="880"/>
      <c r="AN499" s="880"/>
      <c r="AO499" s="880"/>
      <c r="AP499" s="880"/>
      <c r="AQ499" s="880"/>
      <c r="AR499" s="880"/>
      <c r="AS499" s="880"/>
      <c r="AT499" s="880"/>
      <c r="AU499" s="880"/>
      <c r="AV499" s="880"/>
      <c r="AW499" s="880"/>
      <c r="AX499" s="880"/>
      <c r="AY499" s="880"/>
      <c r="AZ499" s="880"/>
      <c r="BA499" s="880"/>
      <c r="BB499" s="880"/>
      <c r="BC499" s="880"/>
      <c r="BD499" s="880"/>
      <c r="BE499" s="880"/>
      <c r="BF499" s="880"/>
      <c r="BG499" s="880"/>
      <c r="BH499" s="880"/>
      <c r="BI499" s="880"/>
      <c r="BJ499" s="880"/>
      <c r="BK499" s="880"/>
      <c r="BL499" s="880"/>
      <c r="BM499" s="880"/>
      <c r="BN499" s="880"/>
      <c r="BO499" s="880"/>
      <c r="BP499" s="880"/>
      <c r="BQ499" s="880"/>
      <c r="BR499" s="880"/>
      <c r="BS499" s="880"/>
      <c r="BT499" s="880"/>
    </row>
    <row r="500" spans="1:72" s="882" customFormat="1" ht="12.75" hidden="1" customHeight="1" outlineLevel="1">
      <c r="A500" s="2919"/>
      <c r="B500" s="2920"/>
      <c r="C500" s="2912" t="s">
        <v>36</v>
      </c>
      <c r="D500" s="2912"/>
      <c r="E500" s="1649"/>
      <c r="F500" s="1328">
        <v>0</v>
      </c>
      <c r="G500" s="1194">
        <f>IF(SETUP!$F$44="At delivery",IF(SETUP!$G$44=1,$E$498*'TB-EQUIPMENT &amp; OTHER HPs'!AW17,0),0)</f>
        <v>0</v>
      </c>
      <c r="H500" s="1194">
        <f>IF(SETUP!$F$44="At delivery",IF(SETUP!$G$44=2,$E$498*'TB-EQUIPMENT &amp; OTHER HPs'!AW17,IF(SETUP!$G$44=1,$E$498*'TB-EQUIPMENT &amp; OTHER HPs'!AX17,0)),0)</f>
        <v>0</v>
      </c>
      <c r="I500" s="1194">
        <f>IF(SETUP!$F$44="At delivery",IF(SETUP!$G$44=3,$E$498*'TB-EQUIPMENT &amp; OTHER HPs'!AW17,IF(SETUP!$G$44=2,$E$498*'TB-EQUIPMENT &amp; OTHER HPs'!AX17,IF(SETUP!$G$44=1,$E$498*'TB-EQUIPMENT &amp; OTHER HPs'!AY17,0))),0)</f>
        <v>0</v>
      </c>
      <c r="J500" s="1194">
        <f t="shared" si="68"/>
        <v>0</v>
      </c>
      <c r="K500" s="1328">
        <f>IF(SETUP!$F$44="At delivery",IF(SETUP!$G$44=4,$E$498*'TB-EQUIPMENT &amp; OTHER HPs'!AW17,IF(SETUP!$G$44=3,$E$498*'TB-EQUIPMENT &amp; OTHER HPs'!AX17,IF(SETUP!$G$44=2,$E$498*'TB-EQUIPMENT &amp; OTHER HPs'!AY17,IF(SETUP!$G$44=1,$E$498*'TB-EQUIPMENT &amp; OTHER HPs'!AZ17,0)))),0)</f>
        <v>0</v>
      </c>
      <c r="L500" s="1194">
        <f>IF(SETUP!$F$44="At delivery",IF(SETUP!$G$44=4,$E$498*'TB-EQUIPMENT &amp; OTHER HPs'!AX17,IF(SETUP!$G$44=3,$E$498*'TB-EQUIPMENT &amp; OTHER HPs'!AY17,IF(SETUP!$G$44=2,$E$498*'TB-EQUIPMENT &amp; OTHER HPs'!AZ17,IF(SETUP!$G$44=1,$E$498*'TB-EQUIPMENT &amp; OTHER HPs'!BA17,0)))),0)</f>
        <v>0</v>
      </c>
      <c r="M500" s="1194">
        <f>IF(SETUP!$F$44="At delivery",IF(SETUP!$G$44=4,$E$498*'TB-EQUIPMENT &amp; OTHER HPs'!AY17,IF(SETUP!$G$44=3,$E$498*'TB-EQUIPMENT &amp; OTHER HPs'!AZ17,IF(SETUP!$G$44=2,$E$498*'TB-EQUIPMENT &amp; OTHER HPs'!BA17,IF(SETUP!$G$44=1,$E$498*'TB-EQUIPMENT &amp; OTHER HPs'!BB17,0)))),0)</f>
        <v>0</v>
      </c>
      <c r="N500" s="1194">
        <f>IF(SETUP!$F$44="At delivery",IF(SETUP!$G$44=4,$E$498*'TB-EQUIPMENT &amp; OTHER HPs'!AZ17,IF(SETUP!$G$44=3,$E$498*'TB-EQUIPMENT &amp; OTHER HPs'!BA17,IF(SETUP!$G$44=2,$E$498*'TB-EQUIPMENT &amp; OTHER HPs'!BB17,IF(SETUP!$G$44=1,$E$498*'TB-EQUIPMENT &amp; OTHER HPs'!BC17,0)))),0)</f>
        <v>0</v>
      </c>
      <c r="O500" s="1194">
        <f t="shared" si="69"/>
        <v>0</v>
      </c>
      <c r="P500" s="1328">
        <f>IF(SETUP!$F$44="At delivery",IF(SETUP!$G$44=4,$E$498*'TB-EQUIPMENT &amp; OTHER HPs'!BA17,IF(SETUP!$G$44=3,$E$498*'TB-EQUIPMENT &amp; OTHER HPs'!BB17,IF(SETUP!$G$44=2,$E$498*'TB-EQUIPMENT &amp; OTHER HPs'!BC17,IF(SETUP!$G$44=1,$E$498*'TB-EQUIPMENT &amp; OTHER HPs'!BD17,0)))),0)</f>
        <v>0</v>
      </c>
      <c r="Q500" s="1194">
        <f>IF(SETUP!$F$44="At delivery",IF(SETUP!$G$44=4,$E$498*'TB-EQUIPMENT &amp; OTHER HPs'!BB17,IF(SETUP!$G$44=3,$E$498*'TB-EQUIPMENT &amp; OTHER HPs'!BC17,IF(SETUP!$G$44=2,$E$498*'TB-EQUIPMENT &amp; OTHER HPs'!BD17,IF(SETUP!$G$44=1,$E$498*'TB-EQUIPMENT &amp; OTHER HPs'!BE17,0)))),0)</f>
        <v>0</v>
      </c>
      <c r="R500" s="1194">
        <f>IF(SETUP!$F$44="At delivery",IF(SETUP!$G$44=4,$E$498*'TB-EQUIPMENT &amp; OTHER HPs'!BC17,IF(SETUP!$G$44=3,$E$498*'TB-EQUIPMENT &amp; OTHER HPs'!BD17,IF(SETUP!$G$44=2,$E$498*'TB-EQUIPMENT &amp; OTHER HPs'!BE17,IF(SETUP!$G$44=1,$E$498*'TB-EQUIPMENT &amp; OTHER HPs'!BF17,0)))),0)</f>
        <v>0</v>
      </c>
      <c r="S500" s="1194">
        <f>IF(SETUP!$F$44="At delivery",IF(SETUP!$G$44=4,$E$498*('TB-EQUIPMENT &amp; OTHER HPs'!BD17+'TB-EQUIPMENT &amp; OTHER HPs'!BE17+'TB-EQUIPMENT &amp; OTHER HPs'!BF17+'TB-EQUIPMENT &amp; OTHER HPs'!BG17+'TB-EQUIPMENT &amp; OTHER HPs'!BH17),IF(SETUP!$G$44=3,$E$498*('TB-EQUIPMENT &amp; OTHER HPs'!BE17+'TB-EQUIPMENT &amp; OTHER HPs'!BF17+'TB-EQUIPMENT &amp; OTHER HPs'!BG17+'TB-EQUIPMENT &amp; OTHER HPs'!BH17),IF(SETUP!$G$44=2,$E$498*('TB-EQUIPMENT &amp; OTHER HPs'!BF17+'TB-EQUIPMENT &amp; OTHER HPs'!BG17+'TB-EQUIPMENT &amp; OTHER HPs'!BH17),IF(SETUP!$G$44=1,$E$498*('TB-EQUIPMENT &amp; OTHER HPs'!BG17+'TB-EQUIPMENT &amp; OTHER HPs'!BH17),0)))),0)</f>
        <v>0</v>
      </c>
      <c r="T500" s="1194">
        <f t="shared" si="70"/>
        <v>0</v>
      </c>
      <c r="U500" s="1328">
        <f t="shared" si="71"/>
        <v>0</v>
      </c>
      <c r="V500" s="1826">
        <v>7.4</v>
      </c>
      <c r="W500" s="1837"/>
      <c r="X500" s="764"/>
      <c r="Y500" s="1836"/>
      <c r="Z500" s="850"/>
      <c r="AA500" s="880"/>
      <c r="AB500" s="880"/>
      <c r="AC500" s="880"/>
      <c r="AD500" s="880"/>
      <c r="AE500" s="880"/>
      <c r="AF500" s="880"/>
      <c r="AG500" s="880"/>
      <c r="AH500" s="881"/>
      <c r="AI500" s="880"/>
      <c r="AJ500" s="880"/>
      <c r="AK500" s="880"/>
      <c r="AL500" s="880"/>
      <c r="AM500" s="880"/>
      <c r="AN500" s="880"/>
      <c r="AO500" s="880"/>
      <c r="AP500" s="880"/>
      <c r="AQ500" s="880"/>
      <c r="AR500" s="880"/>
      <c r="AS500" s="880"/>
      <c r="AT500" s="880"/>
      <c r="AU500" s="880"/>
      <c r="AV500" s="880"/>
      <c r="AW500" s="880"/>
      <c r="AX500" s="880"/>
      <c r="AY500" s="880"/>
      <c r="AZ500" s="880"/>
      <c r="BA500" s="880"/>
      <c r="BB500" s="880"/>
      <c r="BC500" s="880"/>
      <c r="BD500" s="880"/>
      <c r="BE500" s="880"/>
      <c r="BF500" s="880"/>
      <c r="BG500" s="880"/>
      <c r="BH500" s="880"/>
      <c r="BI500" s="880"/>
      <c r="BJ500" s="880"/>
      <c r="BK500" s="880"/>
      <c r="BL500" s="880"/>
      <c r="BM500" s="880"/>
      <c r="BN500" s="880"/>
      <c r="BO500" s="880"/>
      <c r="BP500" s="880"/>
      <c r="BQ500" s="880"/>
      <c r="BR500" s="880"/>
      <c r="BS500" s="880"/>
      <c r="BT500" s="880"/>
    </row>
    <row r="501" spans="1:72" s="882" customFormat="1" ht="13" hidden="1" collapsed="1">
      <c r="A501" s="2921" t="s">
        <v>575</v>
      </c>
      <c r="B501" s="2922"/>
      <c r="C501" s="2911" t="s">
        <v>576</v>
      </c>
      <c r="D501" s="2911"/>
      <c r="E501" s="2994">
        <v>0</v>
      </c>
      <c r="F501" s="1328">
        <f>IF(SETUP!$F$50="Upfront",F502,F503)</f>
        <v>0</v>
      </c>
      <c r="G501" s="1194">
        <f>IF(SETUP!$F$50="Upfront",G502,G503)</f>
        <v>0</v>
      </c>
      <c r="H501" s="1194">
        <f>IF(SETUP!$F$50="Upfront",H502,H503)</f>
        <v>0</v>
      </c>
      <c r="I501" s="1194">
        <f>IF(SETUP!$F$50="Upfront",I502,I503)</f>
        <v>0</v>
      </c>
      <c r="J501" s="1194">
        <f t="shared" si="68"/>
        <v>0</v>
      </c>
      <c r="K501" s="1328">
        <f>IF(SETUP!$F$50="Upfront",K502,K503)</f>
        <v>0</v>
      </c>
      <c r="L501" s="1194">
        <f>IF(SETUP!$F$50="Upfront",L502,L503)</f>
        <v>0</v>
      </c>
      <c r="M501" s="1194">
        <f>IF(SETUP!$F$50="Upfront",M502,M503)</f>
        <v>0</v>
      </c>
      <c r="N501" s="1194">
        <f>IF(SETUP!$F$50="Upfront",N502,N503)</f>
        <v>0</v>
      </c>
      <c r="O501" s="1194">
        <f t="shared" si="69"/>
        <v>0</v>
      </c>
      <c r="P501" s="1328">
        <f>IF(SETUP!$F$50="Upfront",P502,P503)</f>
        <v>0</v>
      </c>
      <c r="Q501" s="1194">
        <f>IF(SETUP!$F$50="Upfront",Q502,Q503)</f>
        <v>0</v>
      </c>
      <c r="R501" s="1194">
        <f>IF(SETUP!$F$50="Upfront",R502,R503)</f>
        <v>0</v>
      </c>
      <c r="S501" s="1194">
        <f>IF(SETUP!$F$50="Upfront",S502,S503)</f>
        <v>0</v>
      </c>
      <c r="T501" s="1194">
        <f t="shared" si="70"/>
        <v>0</v>
      </c>
      <c r="U501" s="1328">
        <f t="shared" si="71"/>
        <v>0</v>
      </c>
      <c r="V501" s="1826">
        <v>7.4</v>
      </c>
      <c r="W501" s="1837"/>
      <c r="X501" s="764"/>
      <c r="Y501" s="1836"/>
      <c r="Z501" s="850"/>
      <c r="AA501" s="880"/>
      <c r="AB501" s="880"/>
      <c r="AC501" s="880"/>
      <c r="AD501" s="880"/>
      <c r="AE501" s="880"/>
      <c r="AF501" s="880"/>
      <c r="AG501" s="880"/>
      <c r="AH501" s="881"/>
      <c r="AI501" s="880"/>
      <c r="AJ501" s="880"/>
      <c r="AK501" s="880"/>
      <c r="AL501" s="880"/>
      <c r="AM501" s="880"/>
      <c r="AN501" s="880"/>
      <c r="AO501" s="880"/>
      <c r="AP501" s="880"/>
      <c r="AQ501" s="880"/>
      <c r="AR501" s="880"/>
      <c r="AS501" s="880"/>
      <c r="AT501" s="880"/>
      <c r="AU501" s="880"/>
      <c r="AV501" s="880"/>
      <c r="AW501" s="880"/>
      <c r="AX501" s="880"/>
      <c r="AY501" s="880"/>
      <c r="AZ501" s="880"/>
      <c r="BA501" s="880"/>
      <c r="BB501" s="880"/>
      <c r="BC501" s="880"/>
      <c r="BD501" s="880"/>
      <c r="BE501" s="880"/>
      <c r="BF501" s="880"/>
      <c r="BG501" s="880"/>
      <c r="BH501" s="880"/>
      <c r="BI501" s="880"/>
      <c r="BJ501" s="880"/>
      <c r="BK501" s="880"/>
      <c r="BL501" s="880"/>
      <c r="BM501" s="880"/>
      <c r="BN501" s="880"/>
      <c r="BO501" s="880"/>
      <c r="BP501" s="880"/>
      <c r="BQ501" s="880"/>
      <c r="BR501" s="880"/>
      <c r="BS501" s="880"/>
      <c r="BT501" s="880"/>
    </row>
    <row r="502" spans="1:72" s="882" customFormat="1" ht="16.149999999999999" hidden="1" customHeight="1" outlineLevel="1">
      <c r="A502" s="2921"/>
      <c r="B502" s="2922"/>
      <c r="C502" s="2912" t="s">
        <v>918</v>
      </c>
      <c r="D502" s="2912"/>
      <c r="E502" s="2995"/>
      <c r="F502" s="1328">
        <f>IF(SETUP!$F$50="Upfront",$E$501*'Malaria-Pharmaceuticals'!AW14,0)</f>
        <v>0</v>
      </c>
      <c r="G502" s="1194">
        <f>IF(SETUP!$F$50="Upfront",$E$501*'Malaria-Pharmaceuticals'!AX14,0)</f>
        <v>0</v>
      </c>
      <c r="H502" s="1194">
        <f>IF(SETUP!$F$50="Upfront",$E$501*'Malaria-Pharmaceuticals'!AY14,0)</f>
        <v>0</v>
      </c>
      <c r="I502" s="1194">
        <f>IF(SETUP!$F$50="Upfront",$E$501*'Malaria-Pharmaceuticals'!AZ14,0)</f>
        <v>0</v>
      </c>
      <c r="J502" s="1194">
        <f t="shared" si="68"/>
        <v>0</v>
      </c>
      <c r="K502" s="1328">
        <f>IF(SETUP!$F$50="Upfront",$E$501*'Malaria-Pharmaceuticals'!BA14,0)</f>
        <v>0</v>
      </c>
      <c r="L502" s="1194">
        <f>IF(SETUP!$F$50="Upfront",$E$501*'Malaria-Pharmaceuticals'!BB14,0)</f>
        <v>0</v>
      </c>
      <c r="M502" s="1194">
        <f>IF(SETUP!$F$50="Upfront",$E$501*'Malaria-Pharmaceuticals'!BC14,0)</f>
        <v>0</v>
      </c>
      <c r="N502" s="1194">
        <f>IF(SETUP!$F$50="Upfront",$E$501*'Malaria-Pharmaceuticals'!BD14,0)</f>
        <v>0</v>
      </c>
      <c r="O502" s="1194">
        <f t="shared" si="69"/>
        <v>0</v>
      </c>
      <c r="P502" s="1328">
        <f>IF(SETUP!$F$50="Upfront",$E$501*'Malaria-Pharmaceuticals'!BE14,0)</f>
        <v>0</v>
      </c>
      <c r="Q502" s="1194">
        <f>IF(SETUP!$F$50="Upfront",$E$501*'Malaria-Pharmaceuticals'!BF14,0)</f>
        <v>0</v>
      </c>
      <c r="R502" s="1194">
        <f>IF(SETUP!$F$50="Upfront",$E$501*'Malaria-Pharmaceuticals'!BG14,0)</f>
        <v>0</v>
      </c>
      <c r="S502" s="1194">
        <f>IF(SETUP!$F$50="Upfront",$E$501*'Malaria-Pharmaceuticals'!BH14,0)</f>
        <v>0</v>
      </c>
      <c r="T502" s="1194">
        <f t="shared" si="70"/>
        <v>0</v>
      </c>
      <c r="U502" s="1328">
        <f t="shared" si="71"/>
        <v>0</v>
      </c>
      <c r="V502" s="1826">
        <v>7.4</v>
      </c>
      <c r="W502" s="1837"/>
      <c r="X502" s="764"/>
      <c r="Y502" s="1836"/>
      <c r="Z502" s="850"/>
      <c r="AA502" s="880"/>
      <c r="AB502" s="880"/>
      <c r="AC502" s="880"/>
      <c r="AD502" s="880"/>
      <c r="AE502" s="880"/>
      <c r="AF502" s="880"/>
      <c r="AG502" s="880"/>
      <c r="AH502" s="881"/>
      <c r="AI502" s="880"/>
      <c r="AJ502" s="880"/>
      <c r="AK502" s="880"/>
      <c r="AL502" s="880"/>
      <c r="AM502" s="880"/>
      <c r="AN502" s="880"/>
      <c r="AO502" s="880"/>
      <c r="AP502" s="880"/>
      <c r="AQ502" s="880"/>
      <c r="AR502" s="880"/>
      <c r="AS502" s="880"/>
      <c r="AT502" s="880"/>
      <c r="AU502" s="880"/>
      <c r="AV502" s="880"/>
      <c r="AW502" s="880"/>
      <c r="AX502" s="880"/>
      <c r="AY502" s="880"/>
      <c r="AZ502" s="880"/>
      <c r="BA502" s="880"/>
      <c r="BB502" s="880"/>
      <c r="BC502" s="880"/>
      <c r="BD502" s="880"/>
      <c r="BE502" s="880"/>
      <c r="BF502" s="880"/>
      <c r="BG502" s="880"/>
      <c r="BH502" s="880"/>
      <c r="BI502" s="880"/>
      <c r="BJ502" s="880"/>
      <c r="BK502" s="880"/>
      <c r="BL502" s="880"/>
      <c r="BM502" s="880"/>
      <c r="BN502" s="880"/>
      <c r="BO502" s="880"/>
      <c r="BP502" s="880"/>
      <c r="BQ502" s="880"/>
      <c r="BR502" s="880"/>
      <c r="BS502" s="880"/>
      <c r="BT502" s="880"/>
    </row>
    <row r="503" spans="1:72" s="882" customFormat="1" ht="17.25" hidden="1" customHeight="1" outlineLevel="1">
      <c r="A503" s="2921"/>
      <c r="B503" s="2922"/>
      <c r="C503" s="2912" t="s">
        <v>36</v>
      </c>
      <c r="D503" s="2912"/>
      <c r="E503" s="2995"/>
      <c r="F503" s="1328">
        <v>0</v>
      </c>
      <c r="G503" s="1194">
        <f>IF(SETUP!$F$50="At delivery",IF(SETUP!$G$50=1,$E$501*'Malaria-Pharmaceuticals'!AW14,0),0)</f>
        <v>0</v>
      </c>
      <c r="H503" s="1194">
        <f>IF(SETUP!$F$50="At delivery",IF(SETUP!$G$50=2,$E$501*'Malaria-Pharmaceuticals'!AW14,IF(SETUP!$G$50=1,$E$501*'Malaria-Pharmaceuticals'!AX14,0)),0)</f>
        <v>0</v>
      </c>
      <c r="I503" s="1194">
        <f>IF(SETUP!$F$50="At delivery",IF(SETUP!$G$50=3,$E$501*'Malaria-Pharmaceuticals'!AW14,IF(SETUP!$G$50=2,$E$501*'Malaria-Pharmaceuticals'!AX14,IF(SETUP!$G$50=1,$E$501*'Malaria-Pharmaceuticals'!AY14,0))),0)</f>
        <v>0</v>
      </c>
      <c r="J503" s="1194">
        <f t="shared" ref="J503:J525" si="72">F503+G503+H503+I503</f>
        <v>0</v>
      </c>
      <c r="K503" s="1328">
        <f>IF(SETUP!$F$50="At delivery",IF(SETUP!$G$50=4,$E$501*'Malaria-Pharmaceuticals'!AW14,IF(SETUP!$G$50=3,$E$501*'Malaria-Pharmaceuticals'!AX14,IF(SETUP!$G$50=2,$E$501*'Malaria-Pharmaceuticals'!AY14,IF(SETUP!$G$50=1,$E$501*'Malaria-Pharmaceuticals'!AZ14,0)))),0)</f>
        <v>0</v>
      </c>
      <c r="L503" s="1194">
        <f>IF(SETUP!$F$50="At delivery",IF(SETUP!$G$50=4,$E$501*'Malaria-Pharmaceuticals'!AX14,IF(SETUP!$G$50=3,$E$501*'Malaria-Pharmaceuticals'!AY14,IF(SETUP!$G$50=2,$E$501*'Malaria-Pharmaceuticals'!AZ14,IF(SETUP!$G$50=1,$E$501*'Malaria-Pharmaceuticals'!BA14,0)))),0)</f>
        <v>0</v>
      </c>
      <c r="M503" s="1194">
        <f>IF(SETUP!$F$50="At delivery",IF(SETUP!$G$50=4,$E$501*'Malaria-Pharmaceuticals'!AY14,IF(SETUP!$G$50=3,$E$501*'Malaria-Pharmaceuticals'!AZ14,IF(SETUP!$G$50=2,$E$501*'Malaria-Pharmaceuticals'!BA14,IF(SETUP!$G$50=1,$E$501*'Malaria-Pharmaceuticals'!BB14,0)))),0)</f>
        <v>0</v>
      </c>
      <c r="N503" s="1194">
        <f>IF(SETUP!$F$50="At delivery",IF(SETUP!$G$50=4,$E$501*'Malaria-Pharmaceuticals'!AZ14,IF(SETUP!$G$50=3,$E$501*'Malaria-Pharmaceuticals'!BA14,IF(SETUP!$G$50=2,$E$501*'Malaria-Pharmaceuticals'!BB14,IF(SETUP!$G$50=1,$E$501*'Malaria-Pharmaceuticals'!BC14,0)))),0)</f>
        <v>0</v>
      </c>
      <c r="O503" s="1194">
        <f t="shared" ref="O503:O525" si="73">K503+L503+M503+N503</f>
        <v>0</v>
      </c>
      <c r="P503" s="1328">
        <f>IF(SETUP!$F$50="At delivery",IF(SETUP!$G$50=4,$E$501*'Malaria-Pharmaceuticals'!BA14,IF(SETUP!$G$50=3,$E$501*'Malaria-Pharmaceuticals'!BB14,IF(SETUP!$G$50=2,$E$501*'Malaria-Pharmaceuticals'!BC14,IF(SETUP!$G$50=1,$E$501*'Malaria-Pharmaceuticals'!BD14,0)))),0)</f>
        <v>0</v>
      </c>
      <c r="Q503" s="1194">
        <f>IF(SETUP!$F$50="At delivery",IF(SETUP!$G$50=4,$E$501*'Malaria-Pharmaceuticals'!BB14,IF(SETUP!$G$50=3,$E$501*'Malaria-Pharmaceuticals'!BC14,IF(SETUP!$G$50=2,$E$501*'Malaria-Pharmaceuticals'!BD14,IF(SETUP!$G$50=1,$E$501*'Malaria-Pharmaceuticals'!BE14,0)))),0)</f>
        <v>0</v>
      </c>
      <c r="R503" s="1194">
        <f>IF(SETUP!$F$50="At delivery",IF(SETUP!$G$50=4,$E$501*'Malaria-Pharmaceuticals'!BC14,IF(SETUP!$G$50=3,$E$501*'Malaria-Pharmaceuticals'!BD14,IF(SETUP!$G$50=2,$E$501*'Malaria-Pharmaceuticals'!BE14,IF(SETUP!$G$50=1,$E$501*'Malaria-Pharmaceuticals'!BF14,0)))),0)</f>
        <v>0</v>
      </c>
      <c r="S503" s="1194">
        <f>IF(SETUP!$F$50="At delivery",IF(SETUP!$G$50=4,$E$501*('Malaria-Pharmaceuticals'!BD14+'Malaria-Pharmaceuticals'!BE14+'Malaria-Pharmaceuticals'!BF14+'Malaria-Pharmaceuticals'!BG14+'Malaria-Pharmaceuticals'!BH14),IF(SETUP!$G$50=3,$E$501*('Malaria-Pharmaceuticals'!BE14+'Malaria-Pharmaceuticals'!BF14+'Malaria-Pharmaceuticals'!BG14+'Malaria-Pharmaceuticals'!BH14),IF(SETUP!$G$50=2,$E$501*('Malaria-Pharmaceuticals'!BF14+'Malaria-Pharmaceuticals'!BG14+'Malaria-Pharmaceuticals'!BH14),IF(SETUP!$G$50=1,$E$501*('Malaria-Pharmaceuticals'!BG14+'Malaria-Pharmaceuticals'!BH14),0)))),0)</f>
        <v>0</v>
      </c>
      <c r="T503" s="1194">
        <f t="shared" ref="T503:T525" si="74">P503+Q503+R503+S503</f>
        <v>0</v>
      </c>
      <c r="U503" s="1328">
        <f t="shared" ref="U503:U525" si="75">J503+O503+T503</f>
        <v>0</v>
      </c>
      <c r="V503" s="1826">
        <v>7.4</v>
      </c>
      <c r="W503" s="1837"/>
      <c r="X503" s="764"/>
      <c r="Y503" s="1836"/>
      <c r="Z503" s="850"/>
      <c r="AA503" s="880"/>
      <c r="AB503" s="880"/>
      <c r="AC503" s="880"/>
      <c r="AD503" s="880"/>
      <c r="AE503" s="880"/>
      <c r="AF503" s="880"/>
      <c r="AG503" s="880"/>
      <c r="AH503" s="881"/>
      <c r="AI503" s="880"/>
      <c r="AJ503" s="880"/>
      <c r="AK503" s="880"/>
      <c r="AL503" s="880"/>
      <c r="AM503" s="880"/>
      <c r="AN503" s="880"/>
      <c r="AO503" s="880"/>
      <c r="AP503" s="880"/>
      <c r="AQ503" s="880"/>
      <c r="AR503" s="880"/>
      <c r="AS503" s="880"/>
      <c r="AT503" s="880"/>
      <c r="AU503" s="880"/>
      <c r="AV503" s="880"/>
      <c r="AW503" s="880"/>
      <c r="AX503" s="880"/>
      <c r="AY503" s="880"/>
      <c r="AZ503" s="880"/>
      <c r="BA503" s="880"/>
      <c r="BB503" s="880"/>
      <c r="BC503" s="880"/>
      <c r="BD503" s="880"/>
      <c r="BE503" s="880"/>
      <c r="BF503" s="880"/>
      <c r="BG503" s="880"/>
      <c r="BH503" s="880"/>
      <c r="BI503" s="880"/>
      <c r="BJ503" s="880"/>
      <c r="BK503" s="880"/>
      <c r="BL503" s="880"/>
      <c r="BM503" s="880"/>
      <c r="BN503" s="880"/>
      <c r="BO503" s="880"/>
      <c r="BP503" s="880"/>
      <c r="BQ503" s="880"/>
      <c r="BR503" s="880"/>
      <c r="BS503" s="880"/>
      <c r="BT503" s="880"/>
    </row>
    <row r="504" spans="1:72" s="882" customFormat="1" ht="13" hidden="1" collapsed="1">
      <c r="A504" s="2921"/>
      <c r="B504" s="2922"/>
      <c r="C504" s="2911" t="s">
        <v>578</v>
      </c>
      <c r="D504" s="2911"/>
      <c r="E504" s="2995"/>
      <c r="F504" s="1328">
        <f>IF(SETUP!$F$51="Upfront",F505,F506)</f>
        <v>0</v>
      </c>
      <c r="G504" s="1194">
        <f>IF(SETUP!$F$51="Upfront",G505,G506)</f>
        <v>0</v>
      </c>
      <c r="H504" s="1194">
        <f>IF(SETUP!$F$51="Upfront",H505,H506)</f>
        <v>0</v>
      </c>
      <c r="I504" s="1194">
        <f>IF(SETUP!$F$51="Upfront",I505,I506)</f>
        <v>0</v>
      </c>
      <c r="J504" s="1194">
        <f t="shared" si="72"/>
        <v>0</v>
      </c>
      <c r="K504" s="1328">
        <f>IF(SETUP!$F$51="Upfront",K505,K506)</f>
        <v>0</v>
      </c>
      <c r="L504" s="1194">
        <f>IF(SETUP!$F$51="Upfront",L505,L506)</f>
        <v>0</v>
      </c>
      <c r="M504" s="1194">
        <f>IF(SETUP!$F$51="Upfront",M505,M506)</f>
        <v>0</v>
      </c>
      <c r="N504" s="1194">
        <f>IF(SETUP!$F$51="Upfront",N505,N506)</f>
        <v>0</v>
      </c>
      <c r="O504" s="1194">
        <f t="shared" si="73"/>
        <v>0</v>
      </c>
      <c r="P504" s="1328">
        <f>IF(SETUP!$F$51="Upfront",P505,P506)</f>
        <v>0</v>
      </c>
      <c r="Q504" s="1194">
        <f>IF(SETUP!$F$51="Upfront",Q505,Q506)</f>
        <v>0</v>
      </c>
      <c r="R504" s="1194">
        <f>IF(SETUP!$F$51="Upfront",R505,R506)</f>
        <v>0</v>
      </c>
      <c r="S504" s="1194">
        <f>IF(SETUP!$F$51="Upfront",S505,S506)</f>
        <v>0</v>
      </c>
      <c r="T504" s="1194">
        <f t="shared" si="74"/>
        <v>0</v>
      </c>
      <c r="U504" s="1328">
        <f t="shared" si="75"/>
        <v>0</v>
      </c>
      <c r="V504" s="1826">
        <v>7.4</v>
      </c>
      <c r="W504" s="1837"/>
      <c r="X504" s="764"/>
      <c r="Y504" s="1836"/>
      <c r="Z504" s="850"/>
      <c r="AA504" s="880"/>
      <c r="AB504" s="880"/>
      <c r="AC504" s="880"/>
      <c r="AD504" s="880"/>
      <c r="AE504" s="880"/>
      <c r="AF504" s="880"/>
      <c r="AG504" s="880"/>
      <c r="AH504" s="881"/>
      <c r="AI504" s="880"/>
      <c r="AJ504" s="880"/>
      <c r="AK504" s="880"/>
      <c r="AL504" s="880"/>
      <c r="AM504" s="880"/>
      <c r="AN504" s="880"/>
      <c r="AO504" s="880"/>
      <c r="AP504" s="880"/>
      <c r="AQ504" s="880"/>
      <c r="AR504" s="880"/>
      <c r="AS504" s="880"/>
      <c r="AT504" s="880"/>
      <c r="AU504" s="880"/>
      <c r="AV504" s="880"/>
      <c r="AW504" s="880"/>
      <c r="AX504" s="880"/>
      <c r="AY504" s="880"/>
      <c r="AZ504" s="880"/>
      <c r="BA504" s="880"/>
      <c r="BB504" s="880"/>
      <c r="BC504" s="880"/>
      <c r="BD504" s="880"/>
      <c r="BE504" s="880"/>
      <c r="BF504" s="880"/>
      <c r="BG504" s="880"/>
      <c r="BH504" s="880"/>
      <c r="BI504" s="880"/>
      <c r="BJ504" s="880"/>
      <c r="BK504" s="880"/>
      <c r="BL504" s="880"/>
      <c r="BM504" s="880"/>
      <c r="BN504" s="880"/>
      <c r="BO504" s="880"/>
      <c r="BP504" s="880"/>
      <c r="BQ504" s="880"/>
      <c r="BR504" s="880"/>
      <c r="BS504" s="880"/>
      <c r="BT504" s="880"/>
    </row>
    <row r="505" spans="1:72" s="882" customFormat="1" ht="12.75" hidden="1" customHeight="1" outlineLevel="1">
      <c r="A505" s="2921"/>
      <c r="B505" s="2922"/>
      <c r="C505" s="2912" t="s">
        <v>918</v>
      </c>
      <c r="D505" s="2912"/>
      <c r="E505" s="2995"/>
      <c r="F505" s="1328">
        <f>IF(SETUP!$F$50="Upfront",$E$501*'Malaria-Pharmaceuticals'!AW15,0)</f>
        <v>0</v>
      </c>
      <c r="G505" s="1194">
        <f>IF(SETUP!$F$50="Upfront",$E$501*'Malaria-Pharmaceuticals'!AX15,0)</f>
        <v>0</v>
      </c>
      <c r="H505" s="1194">
        <f>IF(SETUP!$F$50="Upfront",$E$501*'Malaria-Pharmaceuticals'!AY15,0)</f>
        <v>0</v>
      </c>
      <c r="I505" s="1194">
        <f>IF(SETUP!$F$50="Upfront",$E$501*'Malaria-Pharmaceuticals'!AZ15,0)</f>
        <v>0</v>
      </c>
      <c r="J505" s="1194">
        <f t="shared" si="72"/>
        <v>0</v>
      </c>
      <c r="K505" s="1328">
        <f>IF(SETUP!$F$50="Upfront",$E$501*'Malaria-Pharmaceuticals'!BA15,0)</f>
        <v>0</v>
      </c>
      <c r="L505" s="1194">
        <f>IF(SETUP!$F$50="Upfront",$E$501*'Malaria-Pharmaceuticals'!BB15,0)</f>
        <v>0</v>
      </c>
      <c r="M505" s="1194">
        <f>IF(SETUP!$F$50="Upfront",$E$501*'Malaria-Pharmaceuticals'!BC15,0)</f>
        <v>0</v>
      </c>
      <c r="N505" s="1194">
        <f>IF(SETUP!$F$50="Upfront",$E$501*'Malaria-Pharmaceuticals'!BD15,0)</f>
        <v>0</v>
      </c>
      <c r="O505" s="1194">
        <f t="shared" si="73"/>
        <v>0</v>
      </c>
      <c r="P505" s="1328">
        <f>IF(SETUP!$F$50="Upfront",$E$501*'Malaria-Pharmaceuticals'!BE15,0)</f>
        <v>0</v>
      </c>
      <c r="Q505" s="1194">
        <f>IF(SETUP!$F$50="Upfront",$E$501*'Malaria-Pharmaceuticals'!BF15,0)</f>
        <v>0</v>
      </c>
      <c r="R505" s="1194">
        <f>IF(SETUP!$F$50="Upfront",$E$501*'Malaria-Pharmaceuticals'!BG15,0)</f>
        <v>0</v>
      </c>
      <c r="S505" s="1194">
        <f>IF(SETUP!$F$50="Upfront",$E$501*'Malaria-Pharmaceuticals'!BH15,0)</f>
        <v>0</v>
      </c>
      <c r="T505" s="1194">
        <f t="shared" si="74"/>
        <v>0</v>
      </c>
      <c r="U505" s="1328">
        <f t="shared" si="75"/>
        <v>0</v>
      </c>
      <c r="V505" s="1826">
        <v>7.4</v>
      </c>
      <c r="W505" s="1837"/>
      <c r="X505" s="764"/>
      <c r="Y505" s="1836"/>
      <c r="Z505" s="850"/>
      <c r="AA505" s="880"/>
      <c r="AB505" s="880"/>
      <c r="AC505" s="880"/>
      <c r="AD505" s="880"/>
      <c r="AE505" s="880"/>
      <c r="AF505" s="880"/>
      <c r="AG505" s="880"/>
      <c r="AH505" s="881"/>
      <c r="AI505" s="880"/>
      <c r="AJ505" s="880"/>
      <c r="AK505" s="880"/>
      <c r="AL505" s="880"/>
      <c r="AM505" s="880"/>
      <c r="AN505" s="880"/>
      <c r="AO505" s="880"/>
      <c r="AP505" s="880"/>
      <c r="AQ505" s="880"/>
      <c r="AR505" s="880"/>
      <c r="AS505" s="880"/>
      <c r="AT505" s="880"/>
      <c r="AU505" s="880"/>
      <c r="AV505" s="880"/>
      <c r="AW505" s="880"/>
      <c r="AX505" s="880"/>
      <c r="AY505" s="880"/>
      <c r="AZ505" s="880"/>
      <c r="BA505" s="880"/>
      <c r="BB505" s="880"/>
      <c r="BC505" s="880"/>
      <c r="BD505" s="880"/>
      <c r="BE505" s="880"/>
      <c r="BF505" s="880"/>
      <c r="BG505" s="880"/>
      <c r="BH505" s="880"/>
      <c r="BI505" s="880"/>
      <c r="BJ505" s="880"/>
      <c r="BK505" s="880"/>
      <c r="BL505" s="880"/>
      <c r="BM505" s="880"/>
      <c r="BN505" s="880"/>
      <c r="BO505" s="880"/>
      <c r="BP505" s="880"/>
      <c r="BQ505" s="880"/>
      <c r="BR505" s="880"/>
      <c r="BS505" s="880"/>
      <c r="BT505" s="880"/>
    </row>
    <row r="506" spans="1:72" s="882" customFormat="1" ht="13.5" hidden="1" customHeight="1" outlineLevel="1">
      <c r="A506" s="2921"/>
      <c r="B506" s="2922"/>
      <c r="C506" s="2912" t="s">
        <v>36</v>
      </c>
      <c r="D506" s="2912"/>
      <c r="E506" s="2996"/>
      <c r="F506" s="1328">
        <v>0</v>
      </c>
      <c r="G506" s="1194">
        <f>IF(SETUP!$F$51="At delivery",IF(SETUP!$G$51=1,$E$501*'Malaria-Pharmaceuticals'!AW15,0),0)</f>
        <v>0</v>
      </c>
      <c r="H506" s="1194">
        <f>IF(SETUP!$F$51="At delivery",IF(SETUP!$G$51=2,$E$501*'Malaria-Pharmaceuticals'!AW15,IF(SETUP!$G$51=1,$E$501*'Malaria-Pharmaceuticals'!AX15,0)),0)</f>
        <v>0</v>
      </c>
      <c r="I506" s="1194">
        <f>IF(SETUP!$F$51="At delivery",IF(SETUP!$G$51=3,$E$501*'Malaria-Pharmaceuticals'!AW15,IF(SETUP!$G$51=2,$E$501*'Malaria-Pharmaceuticals'!AX15,IF(SETUP!$G$51=1,$E$501*'Malaria-Pharmaceuticals'!AY15,0))),0)</f>
        <v>0</v>
      </c>
      <c r="J506" s="1194">
        <f t="shared" si="72"/>
        <v>0</v>
      </c>
      <c r="K506" s="1328">
        <f>IF(SETUP!$F$51="At delivery",IF(SETUP!$G$51=4,$E$501*'Malaria-Pharmaceuticals'!AW15,IF(SETUP!$G$51=3,$E$501*'Malaria-Pharmaceuticals'!AX15,IF(SETUP!$G$51=2,$E$501*'Malaria-Pharmaceuticals'!AY15,IF(SETUP!$G$51=1,$E$501*'Malaria-Pharmaceuticals'!AZ15,0)))),0)</f>
        <v>0</v>
      </c>
      <c r="L506" s="1194">
        <f>IF(SETUP!$F$51="At delivery",IF(SETUP!$G$51=4,$E$501*'Malaria-Pharmaceuticals'!AX15,IF(SETUP!$G$51=3,$E$501*'Malaria-Pharmaceuticals'!AY15,IF(SETUP!$G$51=2,$E$501*'Malaria-Pharmaceuticals'!AZ15,IF(SETUP!$G$51=1,$E$501*'Malaria-Pharmaceuticals'!BA15,0)))),0)</f>
        <v>0</v>
      </c>
      <c r="M506" s="1194">
        <f>IF(SETUP!$F$51="At delivery",IF(SETUP!$G$51=4,$E$501*'Malaria-Pharmaceuticals'!AY15,IF(SETUP!$G$51=3,$E$501*'Malaria-Pharmaceuticals'!AZ15,IF(SETUP!$G$51=2,$E$501*'Malaria-Pharmaceuticals'!BA15,IF(SETUP!$G$51=1,$E$501*'Malaria-Pharmaceuticals'!BB15,0)))),0)</f>
        <v>0</v>
      </c>
      <c r="N506" s="1194">
        <f>IF(SETUP!$F$51="At delivery",IF(SETUP!$G$51=4,$E$501*'Malaria-Pharmaceuticals'!AZ15,IF(SETUP!$G$51=3,$E$501*'Malaria-Pharmaceuticals'!BA15,IF(SETUP!$G$51=2,$E$501*'Malaria-Pharmaceuticals'!BB15,IF(SETUP!$G$51=1,$E$501*'Malaria-Pharmaceuticals'!BC15,0)))),0)</f>
        <v>0</v>
      </c>
      <c r="O506" s="1194">
        <f t="shared" si="73"/>
        <v>0</v>
      </c>
      <c r="P506" s="1328">
        <f>IF(SETUP!$F$51="At delivery",IF(SETUP!$G$51=4,$E$501*'Malaria-Pharmaceuticals'!BA15,IF(SETUP!$G$51=3,$E$501*'Malaria-Pharmaceuticals'!BB15,IF(SETUP!$G$51=2,$E$501*'Malaria-Pharmaceuticals'!BC15,IF(SETUP!$G$51=1,$E$501*'Malaria-Pharmaceuticals'!BD15,0)))),0)</f>
        <v>0</v>
      </c>
      <c r="Q506" s="1194">
        <f>IF(SETUP!$F$51="At delivery",IF(SETUP!$G$51=4,$E$501*'Malaria-Pharmaceuticals'!BB15,IF(SETUP!$G$51=3,$E$501*'Malaria-Pharmaceuticals'!BC15,IF(SETUP!$G$51=2,$E$501*'Malaria-Pharmaceuticals'!BD15,IF(SETUP!$G$51=1,$E$501*'Malaria-Pharmaceuticals'!BE15,0)))),0)</f>
        <v>0</v>
      </c>
      <c r="R506" s="1194">
        <f>IF(SETUP!$F$51="At delivery",IF(SETUP!$G$51=4,$E$501*'Malaria-Pharmaceuticals'!BC15,IF(SETUP!$G$51=3,$E$501*'Malaria-Pharmaceuticals'!BD15,IF(SETUP!$G$51=2,$E$501*'Malaria-Pharmaceuticals'!BE15,IF(SETUP!$G$51=1,$E$501*'Malaria-Pharmaceuticals'!BF15,0)))),0)</f>
        <v>0</v>
      </c>
      <c r="S506" s="1194">
        <f>IF(SETUP!$F$51="At delivery",IF(SETUP!$G$51=4,$E$501*('Malaria-Pharmaceuticals'!BD15+'Malaria-Pharmaceuticals'!BE15+'Malaria-Pharmaceuticals'!BF15+'Malaria-Pharmaceuticals'!BG15+'Malaria-Pharmaceuticals'!BH15),IF(SETUP!$G$51=3,$E$501*('Malaria-Pharmaceuticals'!BE15+'Malaria-Pharmaceuticals'!BF15+'Malaria-Pharmaceuticals'!BG15+'Malaria-Pharmaceuticals'!BH15),IF(SETUP!$G$51=2,$E$501*('Malaria-Pharmaceuticals'!BF15+'Malaria-Pharmaceuticals'!BG15+'Malaria-Pharmaceuticals'!BH15),IF(SETUP!$G$51=1,$E$501*('Malaria-Pharmaceuticals'!BG15+'Malaria-Pharmaceuticals'!BH15),0)))),0)</f>
        <v>0</v>
      </c>
      <c r="T506" s="1194">
        <f t="shared" si="74"/>
        <v>0</v>
      </c>
      <c r="U506" s="1328">
        <f t="shared" si="75"/>
        <v>0</v>
      </c>
      <c r="V506" s="1826">
        <v>7.4</v>
      </c>
      <c r="W506" s="1837"/>
      <c r="X506" s="764"/>
      <c r="Y506" s="1836"/>
      <c r="Z506" s="850"/>
      <c r="AA506" s="880"/>
      <c r="AB506" s="880"/>
      <c r="AC506" s="880"/>
      <c r="AD506" s="880"/>
      <c r="AE506" s="880"/>
      <c r="AF506" s="880"/>
      <c r="AG506" s="880"/>
      <c r="AH506" s="881"/>
      <c r="AI506" s="880"/>
      <c r="AJ506" s="880"/>
      <c r="AK506" s="880"/>
      <c r="AL506" s="880"/>
      <c r="AM506" s="880"/>
      <c r="AN506" s="880"/>
      <c r="AO506" s="880"/>
      <c r="AP506" s="880"/>
      <c r="AQ506" s="880"/>
      <c r="AR506" s="880"/>
      <c r="AS506" s="880"/>
      <c r="AT506" s="880"/>
      <c r="AU506" s="880"/>
      <c r="AV506" s="880"/>
      <c r="AW506" s="880"/>
      <c r="AX506" s="880"/>
      <c r="AY506" s="880"/>
      <c r="AZ506" s="880"/>
      <c r="BA506" s="880"/>
      <c r="BB506" s="880"/>
      <c r="BC506" s="880"/>
      <c r="BD506" s="880"/>
      <c r="BE506" s="880"/>
      <c r="BF506" s="880"/>
      <c r="BG506" s="880"/>
      <c r="BH506" s="880"/>
      <c r="BI506" s="880"/>
      <c r="BJ506" s="880"/>
      <c r="BK506" s="880"/>
      <c r="BL506" s="880"/>
      <c r="BM506" s="880"/>
      <c r="BN506" s="880"/>
      <c r="BO506" s="880"/>
      <c r="BP506" s="880"/>
      <c r="BQ506" s="880"/>
      <c r="BR506" s="880"/>
      <c r="BS506" s="880"/>
      <c r="BT506" s="880"/>
    </row>
    <row r="507" spans="1:72" s="882" customFormat="1" ht="16.149999999999999" hidden="1" customHeight="1" collapsed="1">
      <c r="A507" s="2989" t="s">
        <v>579</v>
      </c>
      <c r="B507" s="2990"/>
      <c r="C507" s="2911" t="s">
        <v>311</v>
      </c>
      <c r="D507" s="2911"/>
      <c r="E507" s="2994">
        <v>0</v>
      </c>
      <c r="F507" s="1328">
        <f>IF(SETUP!$F$52="Upfront",F508,F509)</f>
        <v>0</v>
      </c>
      <c r="G507" s="1194">
        <f>IF(SETUP!$F$52="Upfront",G508,G509)</f>
        <v>0</v>
      </c>
      <c r="H507" s="1194">
        <f>IF(SETUP!$F$52="Upfront",H508,H509)</f>
        <v>0</v>
      </c>
      <c r="I507" s="1194">
        <f>IF(SETUP!$F$52="Upfront",I508,I509)</f>
        <v>0</v>
      </c>
      <c r="J507" s="1194">
        <f t="shared" si="72"/>
        <v>0</v>
      </c>
      <c r="K507" s="1328">
        <f>IF(SETUP!$F$52="Upfront",K508,K509)</f>
        <v>0</v>
      </c>
      <c r="L507" s="1194">
        <f>IF(SETUP!$F$52="Upfront",L508,L509)</f>
        <v>0</v>
      </c>
      <c r="M507" s="1194">
        <f>IF(SETUP!$F$52="Upfront",M508,M509)</f>
        <v>0</v>
      </c>
      <c r="N507" s="1194">
        <f>IF(SETUP!$F$52="Upfront",N508,N509)</f>
        <v>0</v>
      </c>
      <c r="O507" s="1194">
        <f t="shared" si="73"/>
        <v>0</v>
      </c>
      <c r="P507" s="1328">
        <f>IF(SETUP!$F$52="Upfront",P508,P509)</f>
        <v>0</v>
      </c>
      <c r="Q507" s="1194">
        <f>IF(SETUP!$F$52="Upfront",Q508,Q509)</f>
        <v>0</v>
      </c>
      <c r="R507" s="1194">
        <f>IF(SETUP!$F$52="Upfront",R508,R509)</f>
        <v>0</v>
      </c>
      <c r="S507" s="1194">
        <f>IF(SETUP!$F$52="Upfront",S508,S509)</f>
        <v>0</v>
      </c>
      <c r="T507" s="1194">
        <f t="shared" si="74"/>
        <v>0</v>
      </c>
      <c r="U507" s="1328">
        <f t="shared" si="75"/>
        <v>0</v>
      </c>
      <c r="V507" s="1826">
        <v>7.4</v>
      </c>
      <c r="W507" s="1837"/>
      <c r="X507" s="764"/>
      <c r="Y507" s="1836"/>
      <c r="Z507" s="850"/>
      <c r="AA507" s="880"/>
      <c r="AB507" s="880"/>
      <c r="AC507" s="880"/>
      <c r="AD507" s="880"/>
      <c r="AE507" s="880"/>
      <c r="AF507" s="880"/>
      <c r="AG507" s="880"/>
      <c r="AH507" s="881"/>
      <c r="AI507" s="880"/>
      <c r="AJ507" s="880"/>
      <c r="AK507" s="880"/>
      <c r="AL507" s="880"/>
      <c r="AM507" s="880"/>
      <c r="AN507" s="880"/>
      <c r="AO507" s="880"/>
      <c r="AP507" s="880"/>
      <c r="AQ507" s="880"/>
      <c r="AR507" s="880"/>
      <c r="AS507" s="880"/>
      <c r="AT507" s="880"/>
      <c r="AU507" s="880"/>
      <c r="AV507" s="880"/>
      <c r="AW507" s="880"/>
      <c r="AX507" s="880"/>
      <c r="AY507" s="880"/>
      <c r="AZ507" s="880"/>
      <c r="BA507" s="880"/>
      <c r="BB507" s="880"/>
      <c r="BC507" s="880"/>
      <c r="BD507" s="880"/>
      <c r="BE507" s="880"/>
      <c r="BF507" s="880"/>
      <c r="BG507" s="880"/>
      <c r="BH507" s="880"/>
      <c r="BI507" s="880"/>
      <c r="BJ507" s="880"/>
      <c r="BK507" s="880"/>
      <c r="BL507" s="880"/>
      <c r="BM507" s="880"/>
      <c r="BN507" s="880"/>
      <c r="BO507" s="880"/>
      <c r="BP507" s="880"/>
      <c r="BQ507" s="880"/>
      <c r="BR507" s="880"/>
      <c r="BS507" s="880"/>
      <c r="BT507" s="880"/>
    </row>
    <row r="508" spans="1:72" s="882" customFormat="1" ht="16.149999999999999" hidden="1" customHeight="1" outlineLevel="1">
      <c r="A508" s="2989"/>
      <c r="B508" s="2990"/>
      <c r="C508" s="2912" t="s">
        <v>918</v>
      </c>
      <c r="D508" s="2912"/>
      <c r="E508" s="2995"/>
      <c r="F508" s="1328">
        <f>IF(SETUP!$F$52="Upfront",$E$507*'Malaria-Equipment &amp; Other HPs'!AW14,0)</f>
        <v>0</v>
      </c>
      <c r="G508" s="1194">
        <f>IF(SETUP!$F$52="Upfront",$E$507*'Malaria-Equipment &amp; Other HPs'!AX14,0)</f>
        <v>0</v>
      </c>
      <c r="H508" s="1194">
        <f>IF(SETUP!$F$52="Upfront",$E$507*'Malaria-Equipment &amp; Other HPs'!AY14,0)</f>
        <v>0</v>
      </c>
      <c r="I508" s="1194">
        <f>IF(SETUP!$F$52="Upfront",$E$507*'Malaria-Equipment &amp; Other HPs'!AZ14,0)</f>
        <v>0</v>
      </c>
      <c r="J508" s="1194">
        <f t="shared" si="72"/>
        <v>0</v>
      </c>
      <c r="K508" s="1328">
        <f>IF(SETUP!$F$52="Upfront",$E$507*'Malaria-Equipment &amp; Other HPs'!BA14,0)</f>
        <v>0</v>
      </c>
      <c r="L508" s="1194">
        <f>IF(SETUP!$F$52="Upfront",$E$507*'Malaria-Equipment &amp; Other HPs'!BB14,0)</f>
        <v>0</v>
      </c>
      <c r="M508" s="1194">
        <f>IF(SETUP!$F$52="Upfront",$E$507*'Malaria-Equipment &amp; Other HPs'!BC14,0)</f>
        <v>0</v>
      </c>
      <c r="N508" s="1194">
        <f>IF(SETUP!$F$52="Upfront",$E$507*'Malaria-Equipment &amp; Other HPs'!BD14,0)</f>
        <v>0</v>
      </c>
      <c r="O508" s="1194">
        <f t="shared" si="73"/>
        <v>0</v>
      </c>
      <c r="P508" s="1328">
        <f>IF(SETUP!$F$52="Upfront",$E$507*'Malaria-Equipment &amp; Other HPs'!BE14,0)</f>
        <v>0</v>
      </c>
      <c r="Q508" s="1194">
        <f>IF(SETUP!$F$52="Upfront",$E$507*'Malaria-Equipment &amp; Other HPs'!BF14,0)</f>
        <v>0</v>
      </c>
      <c r="R508" s="1194">
        <f>IF(SETUP!$F$52="Upfront",$E$507*'Malaria-Equipment &amp; Other HPs'!BG14,0)</f>
        <v>0</v>
      </c>
      <c r="S508" s="1194">
        <f>IF(SETUP!$F$52="Upfront",$E$507*'Malaria-Equipment &amp; Other HPs'!BH14,0)</f>
        <v>0</v>
      </c>
      <c r="T508" s="1194">
        <f t="shared" si="74"/>
        <v>0</v>
      </c>
      <c r="U508" s="1328">
        <f t="shared" si="75"/>
        <v>0</v>
      </c>
      <c r="V508" s="1826">
        <v>7.4</v>
      </c>
      <c r="W508" s="1837"/>
      <c r="X508" s="764"/>
      <c r="Y508" s="1836"/>
      <c r="Z508" s="850"/>
      <c r="AA508" s="880"/>
      <c r="AB508" s="880"/>
      <c r="AC508" s="880"/>
      <c r="AD508" s="880"/>
      <c r="AE508" s="880"/>
      <c r="AF508" s="880"/>
      <c r="AG508" s="880"/>
      <c r="AH508" s="881"/>
      <c r="AI508" s="880"/>
      <c r="AJ508" s="880"/>
      <c r="AK508" s="880"/>
      <c r="AL508" s="880"/>
      <c r="AM508" s="880"/>
      <c r="AN508" s="880"/>
      <c r="AO508" s="880"/>
      <c r="AP508" s="880"/>
      <c r="AQ508" s="880"/>
      <c r="AR508" s="880"/>
      <c r="AS508" s="880"/>
      <c r="AT508" s="880"/>
      <c r="AU508" s="880"/>
      <c r="AV508" s="880"/>
      <c r="AW508" s="880"/>
      <c r="AX508" s="880"/>
      <c r="AY508" s="880"/>
      <c r="AZ508" s="880"/>
      <c r="BA508" s="880"/>
      <c r="BB508" s="880"/>
      <c r="BC508" s="880"/>
      <c r="BD508" s="880"/>
      <c r="BE508" s="880"/>
      <c r="BF508" s="880"/>
      <c r="BG508" s="880"/>
      <c r="BH508" s="880"/>
      <c r="BI508" s="880"/>
      <c r="BJ508" s="880"/>
      <c r="BK508" s="880"/>
      <c r="BL508" s="880"/>
      <c r="BM508" s="880"/>
      <c r="BN508" s="880"/>
      <c r="BO508" s="880"/>
      <c r="BP508" s="880"/>
      <c r="BQ508" s="880"/>
      <c r="BR508" s="880"/>
      <c r="BS508" s="880"/>
      <c r="BT508" s="880"/>
    </row>
    <row r="509" spans="1:72" s="882" customFormat="1" ht="17.25" hidden="1" customHeight="1" outlineLevel="1">
      <c r="A509" s="2989"/>
      <c r="B509" s="2990"/>
      <c r="C509" s="2912" t="s">
        <v>36</v>
      </c>
      <c r="D509" s="2912"/>
      <c r="E509" s="2995"/>
      <c r="F509" s="1328">
        <v>0</v>
      </c>
      <c r="G509" s="1194">
        <f>IF(SETUP!$F$52="At delivery",IF(SETUP!$G$52=1,$E$507*'Malaria-Equipment &amp; Other HPs'!AW14,0),0)</f>
        <v>0</v>
      </c>
      <c r="H509" s="1194">
        <f>IF(SETUP!$F$52="At delivery",IF(SETUP!$G$52=2,$E$507*'Malaria-Equipment &amp; Other HPs'!AW14,IF(SETUP!$G$52=1,$E$507*'Malaria-Equipment &amp; Other HPs'!AX14,0)),0)</f>
        <v>0</v>
      </c>
      <c r="I509" s="1194">
        <f>IF(SETUP!$F$52="At delivery",IF(SETUP!$G$52=3,$E$507*'Malaria-Equipment &amp; Other HPs'!AW14,IF(SETUP!$G$52=2,$E$507*'Malaria-Equipment &amp; Other HPs'!AX14,IF(SETUP!$G$52=1,$E$507*'Malaria-Equipment &amp; Other HPs'!AY14,0))),0)</f>
        <v>0</v>
      </c>
      <c r="J509" s="1194">
        <f t="shared" si="72"/>
        <v>0</v>
      </c>
      <c r="K509" s="1328">
        <f>IF(SETUP!$F$52="At delivery",IF(SETUP!$G$52=4,$E$507*'Malaria-Equipment &amp; Other HPs'!AW14,IF(SETUP!$G$52=3,$E$507*'Malaria-Equipment &amp; Other HPs'!AX14,IF(SETUP!$G$52=2,$E$507*'Malaria-Equipment &amp; Other HPs'!AY14,IF(SETUP!$G$52=1,$E$507*'Malaria-Equipment &amp; Other HPs'!AZ14,0)))),0)</f>
        <v>0</v>
      </c>
      <c r="L509" s="1194">
        <f>IF(SETUP!$F$52="At delivery",IF(SETUP!$G$52=4,$E$507*'Malaria-Equipment &amp; Other HPs'!AX14,IF(SETUP!$G$52=3,$E$507*'Malaria-Equipment &amp; Other HPs'!AY14,IF(SETUP!$G$52=2,$E$507*'Malaria-Equipment &amp; Other HPs'!AZ14,IF(SETUP!$G$52=1,$E$507*'Malaria-Equipment &amp; Other HPs'!BA14,0)))),0)</f>
        <v>0</v>
      </c>
      <c r="M509" s="1194">
        <f>IF(SETUP!$F$52="At delivery",IF(SETUP!$G$52=4,$E$507*'Malaria-Equipment &amp; Other HPs'!AY14,IF(SETUP!$G$52=3,$E$507*'Malaria-Equipment &amp; Other HPs'!AZ14,IF(SETUP!$G$52=2,$E$507*'Malaria-Equipment &amp; Other HPs'!BA14,IF(SETUP!$G$52=1,$E$507*'Malaria-Equipment &amp; Other HPs'!BB14,0)))),0)</f>
        <v>0</v>
      </c>
      <c r="N509" s="1194">
        <f>IF(SETUP!$F$52="At delivery",IF(SETUP!$G$52=4,$E$507*'Malaria-Equipment &amp; Other HPs'!AZ14,IF(SETUP!$G$52=3,$E$507*'Malaria-Equipment &amp; Other HPs'!BA14,IF(SETUP!$G$52=2,$E$507*'Malaria-Equipment &amp; Other HPs'!BB14,IF(SETUP!$G$52=1,$E$507*'Malaria-Equipment &amp; Other HPs'!BC14,0)))),0)</f>
        <v>0</v>
      </c>
      <c r="O509" s="1194">
        <f t="shared" si="73"/>
        <v>0</v>
      </c>
      <c r="P509" s="1328">
        <f>IF(SETUP!$F$52="At delivery",IF(SETUP!$G$52=4,$E$507*'Malaria-Equipment &amp; Other HPs'!BA14,IF(SETUP!$G$52=3,$E$507*'Malaria-Equipment &amp; Other HPs'!BB14,IF(SETUP!$G$52=2,$E$507*'Malaria-Equipment &amp; Other HPs'!BC14,IF(SETUP!$G$52=1,$E$507*'Malaria-Equipment &amp; Other HPs'!BD14,0)))),0)</f>
        <v>0</v>
      </c>
      <c r="Q509" s="1194">
        <f>IF(SETUP!$F$52="At delivery",IF(SETUP!$G$52=4,$E$507*'Malaria-Equipment &amp; Other HPs'!BB14,IF(SETUP!$G$52=3,$E$507*'Malaria-Equipment &amp; Other HPs'!BC14,IF(SETUP!$G$52=2,$E$507*'Malaria-Equipment &amp; Other HPs'!BD14,IF(SETUP!$G$52=1,$E$507*'Malaria-Equipment &amp; Other HPs'!BE14,0)))),0)</f>
        <v>0</v>
      </c>
      <c r="R509" s="1194">
        <f>IF(SETUP!$F$52="At delivery",IF(SETUP!$G$52=4,$E$507*'Malaria-Equipment &amp; Other HPs'!BC14,IF(SETUP!$G$52=3,$E$507*'Malaria-Equipment &amp; Other HPs'!BD14,IF(SETUP!$G$52=2,$E$507*'Malaria-Equipment &amp; Other HPs'!BE14,IF(SETUP!$G$52=1,$E$507*'Malaria-Equipment &amp; Other HPs'!BF14,0)))),0)</f>
        <v>0</v>
      </c>
      <c r="S509" s="1194">
        <f>IF(SETUP!$F$52="At delivery",IF(SETUP!$G$52=4,$E$507*('Malaria-Equipment &amp; Other HPs'!BD14+'Malaria-Equipment &amp; Other HPs'!BE14+'Malaria-Equipment &amp; Other HPs'!BF14+'Malaria-Equipment &amp; Other HPs'!BG14+'Malaria-Equipment &amp; Other HPs'!BH14),IF(SETUP!$G$52=3,$E$507*('Malaria-Equipment &amp; Other HPs'!BE14+'Malaria-Equipment &amp; Other HPs'!BF14+'Malaria-Equipment &amp; Other HPs'!BG14+'Malaria-Equipment &amp; Other HPs'!BH14),IF(SETUP!$G$52=2,$E$507*('Malaria-Equipment &amp; Other HPs'!BF14+'Malaria-Equipment &amp; Other HPs'!BG14+'Malaria-Equipment &amp; Other HPs'!BH14),IF(SETUP!$G$52=1,$E$507*('Malaria-Equipment &amp; Other HPs'!BG14+'Malaria-Equipment &amp; Other HPs'!BH14),0)))),0)</f>
        <v>0</v>
      </c>
      <c r="T509" s="1194">
        <f t="shared" si="74"/>
        <v>0</v>
      </c>
      <c r="U509" s="1328">
        <f t="shared" si="75"/>
        <v>0</v>
      </c>
      <c r="V509" s="1826">
        <v>7.4</v>
      </c>
      <c r="W509" s="1837"/>
      <c r="X509" s="764"/>
      <c r="Y509" s="1836"/>
      <c r="Z509" s="850"/>
      <c r="AA509" s="880"/>
      <c r="AB509" s="880"/>
      <c r="AC509" s="880"/>
      <c r="AD509" s="880"/>
      <c r="AE509" s="880"/>
      <c r="AF509" s="880"/>
      <c r="AG509" s="880"/>
      <c r="AH509" s="881"/>
      <c r="AI509" s="880"/>
      <c r="AJ509" s="880"/>
      <c r="AK509" s="880"/>
      <c r="AL509" s="880"/>
      <c r="AM509" s="880"/>
      <c r="AN509" s="880"/>
      <c r="AO509" s="880"/>
      <c r="AP509" s="880"/>
      <c r="AQ509" s="880"/>
      <c r="AR509" s="880"/>
      <c r="AS509" s="880"/>
      <c r="AT509" s="880"/>
      <c r="AU509" s="880"/>
      <c r="AV509" s="880"/>
      <c r="AW509" s="880"/>
      <c r="AX509" s="880"/>
      <c r="AY509" s="880"/>
      <c r="AZ509" s="880"/>
      <c r="BA509" s="880"/>
      <c r="BB509" s="880"/>
      <c r="BC509" s="880"/>
      <c r="BD509" s="880"/>
      <c r="BE509" s="880"/>
      <c r="BF509" s="880"/>
      <c r="BG509" s="880"/>
      <c r="BH509" s="880"/>
      <c r="BI509" s="880"/>
      <c r="BJ509" s="880"/>
      <c r="BK509" s="880"/>
      <c r="BL509" s="880"/>
      <c r="BM509" s="880"/>
      <c r="BN509" s="880"/>
      <c r="BO509" s="880"/>
      <c r="BP509" s="880"/>
      <c r="BQ509" s="880"/>
      <c r="BR509" s="880"/>
      <c r="BS509" s="880"/>
      <c r="BT509" s="880"/>
    </row>
    <row r="510" spans="1:72" s="882" customFormat="1" ht="13" hidden="1" collapsed="1">
      <c r="A510" s="2989"/>
      <c r="B510" s="2990"/>
      <c r="C510" s="2911" t="s">
        <v>580</v>
      </c>
      <c r="D510" s="2911"/>
      <c r="E510" s="2995"/>
      <c r="F510" s="1328">
        <f>IF(SETUP!$F$53="Upfront",F511,F512)</f>
        <v>0</v>
      </c>
      <c r="G510" s="1194">
        <f>IF(SETUP!$F$53="Upfront",G511,G512)</f>
        <v>0</v>
      </c>
      <c r="H510" s="1194">
        <f>IF(SETUP!$F$53="Upfront",H511,H512)</f>
        <v>0</v>
      </c>
      <c r="I510" s="1194">
        <f>IF(SETUP!$F$53="Upfront",I511,I512)</f>
        <v>0</v>
      </c>
      <c r="J510" s="1194">
        <f t="shared" si="72"/>
        <v>0</v>
      </c>
      <c r="K510" s="1328">
        <f>IF(SETUP!$F$53="Upfront",K511,K512)</f>
        <v>0</v>
      </c>
      <c r="L510" s="1194">
        <f>IF(SETUP!$F$53="Upfront",L511,L512)</f>
        <v>0</v>
      </c>
      <c r="M510" s="1194">
        <f>IF(SETUP!$F$53="Upfront",M511,M512)</f>
        <v>0</v>
      </c>
      <c r="N510" s="1194">
        <f>IF(SETUP!$F$53="Upfront",N511,N512)</f>
        <v>0</v>
      </c>
      <c r="O510" s="1194">
        <f t="shared" si="73"/>
        <v>0</v>
      </c>
      <c r="P510" s="1328">
        <f>IF(SETUP!$F$53="Upfront",P511,P512)</f>
        <v>0</v>
      </c>
      <c r="Q510" s="1194">
        <f>IF(SETUP!$F$53="Upfront",Q511,Q512)</f>
        <v>0</v>
      </c>
      <c r="R510" s="1194">
        <f>IF(SETUP!$F$53="Upfront",R511,R512)</f>
        <v>0</v>
      </c>
      <c r="S510" s="1194">
        <f>IF(SETUP!$F$53="Upfront",S511,S512)</f>
        <v>0</v>
      </c>
      <c r="T510" s="1194">
        <f t="shared" si="74"/>
        <v>0</v>
      </c>
      <c r="U510" s="1328">
        <f t="shared" si="75"/>
        <v>0</v>
      </c>
      <c r="V510" s="1826">
        <v>7.4</v>
      </c>
      <c r="W510" s="1837"/>
      <c r="X510" s="764"/>
      <c r="Y510" s="1836"/>
      <c r="Z510" s="850"/>
      <c r="AA510" s="880"/>
      <c r="AB510" s="880"/>
      <c r="AC510" s="880"/>
      <c r="AD510" s="880"/>
      <c r="AE510" s="880"/>
      <c r="AF510" s="880"/>
      <c r="AG510" s="880"/>
      <c r="AH510" s="881"/>
      <c r="AI510" s="880"/>
      <c r="AJ510" s="880"/>
      <c r="AK510" s="880"/>
      <c r="AL510" s="880"/>
      <c r="AM510" s="880"/>
      <c r="AN510" s="880"/>
      <c r="AO510" s="880"/>
      <c r="AP510" s="880"/>
      <c r="AQ510" s="880"/>
      <c r="AR510" s="880"/>
      <c r="AS510" s="880"/>
      <c r="AT510" s="880"/>
      <c r="AU510" s="880"/>
      <c r="AV510" s="880"/>
      <c r="AW510" s="880"/>
      <c r="AX510" s="880"/>
      <c r="AY510" s="880"/>
      <c r="AZ510" s="880"/>
      <c r="BA510" s="880"/>
      <c r="BB510" s="880"/>
      <c r="BC510" s="880"/>
      <c r="BD510" s="880"/>
      <c r="BE510" s="880"/>
      <c r="BF510" s="880"/>
      <c r="BG510" s="880"/>
      <c r="BH510" s="880"/>
      <c r="BI510" s="880"/>
      <c r="BJ510" s="880"/>
      <c r="BK510" s="880"/>
      <c r="BL510" s="880"/>
      <c r="BM510" s="880"/>
      <c r="BN510" s="880"/>
      <c r="BO510" s="880"/>
      <c r="BP510" s="880"/>
      <c r="BQ510" s="880"/>
      <c r="BR510" s="880"/>
      <c r="BS510" s="880"/>
      <c r="BT510" s="880"/>
    </row>
    <row r="511" spans="1:72" s="882" customFormat="1" ht="16.149999999999999" hidden="1" customHeight="1" outlineLevel="1">
      <c r="A511" s="2989"/>
      <c r="B511" s="2990"/>
      <c r="C511" s="2912" t="s">
        <v>918</v>
      </c>
      <c r="D511" s="2912"/>
      <c r="E511" s="2995"/>
      <c r="F511" s="1328">
        <f>IF(SETUP!$F$52="Upfront",$E$507*'Malaria-Equipment &amp; Other HPs'!AW15,0)</f>
        <v>0</v>
      </c>
      <c r="G511" s="1194">
        <f>IF(SETUP!$F$52="Upfront",$E$507*'Malaria-Equipment &amp; Other HPs'!AX15,0)</f>
        <v>0</v>
      </c>
      <c r="H511" s="1194">
        <f>IF(SETUP!$F$52="Upfront",$E$507*'Malaria-Equipment &amp; Other HPs'!AY15,0)</f>
        <v>0</v>
      </c>
      <c r="I511" s="1194">
        <f>IF(SETUP!$F$52="Upfront",$E$507*'Malaria-Equipment &amp; Other HPs'!AZ15,0)</f>
        <v>0</v>
      </c>
      <c r="J511" s="1194">
        <f t="shared" si="72"/>
        <v>0</v>
      </c>
      <c r="K511" s="1328">
        <f>IF(SETUP!$F$52="Upfront",$E$507*'Malaria-Equipment &amp; Other HPs'!BA15,0)</f>
        <v>0</v>
      </c>
      <c r="L511" s="1194">
        <f>IF(SETUP!$F$52="Upfront",$E$507*'Malaria-Equipment &amp; Other HPs'!BB15,0)</f>
        <v>0</v>
      </c>
      <c r="M511" s="1194">
        <f>IF(SETUP!$F$52="Upfront",$E$507*'Malaria-Equipment &amp; Other HPs'!BC15,0)</f>
        <v>0</v>
      </c>
      <c r="N511" s="1194">
        <f>IF(SETUP!$F$52="Upfront",$E$507*'Malaria-Equipment &amp; Other HPs'!BD15,0)</f>
        <v>0</v>
      </c>
      <c r="O511" s="1194">
        <f t="shared" si="73"/>
        <v>0</v>
      </c>
      <c r="P511" s="1328">
        <f>IF(SETUP!$F$52="Upfront",$E$507*'Malaria-Equipment &amp; Other HPs'!BE15,0)</f>
        <v>0</v>
      </c>
      <c r="Q511" s="1194">
        <f>IF(SETUP!$F$52="Upfront",$E$507*'Malaria-Equipment &amp; Other HPs'!BF15,0)</f>
        <v>0</v>
      </c>
      <c r="R511" s="1194">
        <f>IF(SETUP!$F$52="Upfront",$E$507*'Malaria-Equipment &amp; Other HPs'!BG15,0)</f>
        <v>0</v>
      </c>
      <c r="S511" s="1194">
        <f>IF(SETUP!$F$52="Upfront",$E$507*'Malaria-Equipment &amp; Other HPs'!BH15,0)</f>
        <v>0</v>
      </c>
      <c r="T511" s="1194">
        <f t="shared" si="74"/>
        <v>0</v>
      </c>
      <c r="U511" s="1328">
        <f t="shared" si="75"/>
        <v>0</v>
      </c>
      <c r="V511" s="1826">
        <v>7.4</v>
      </c>
      <c r="W511" s="1837"/>
      <c r="X511" s="764"/>
      <c r="Y511" s="1836"/>
      <c r="Z511" s="850"/>
      <c r="AA511" s="880"/>
      <c r="AB511" s="880"/>
      <c r="AC511" s="880"/>
      <c r="AD511" s="880"/>
      <c r="AE511" s="880"/>
      <c r="AF511" s="880"/>
      <c r="AG511" s="880"/>
      <c r="AH511" s="881"/>
      <c r="AI511" s="880"/>
      <c r="AJ511" s="880"/>
      <c r="AK511" s="880"/>
      <c r="AL511" s="880"/>
      <c r="AM511" s="880"/>
      <c r="AN511" s="880"/>
      <c r="AO511" s="880"/>
      <c r="AP511" s="880"/>
      <c r="AQ511" s="880"/>
      <c r="AR511" s="880"/>
      <c r="AS511" s="880"/>
      <c r="AT511" s="880"/>
      <c r="AU511" s="880"/>
      <c r="AV511" s="880"/>
      <c r="AW511" s="880"/>
      <c r="AX511" s="880"/>
      <c r="AY511" s="880"/>
      <c r="AZ511" s="880"/>
      <c r="BA511" s="880"/>
      <c r="BB511" s="880"/>
      <c r="BC511" s="880"/>
      <c r="BD511" s="880"/>
      <c r="BE511" s="880"/>
      <c r="BF511" s="880"/>
      <c r="BG511" s="880"/>
      <c r="BH511" s="880"/>
      <c r="BI511" s="880"/>
      <c r="BJ511" s="880"/>
      <c r="BK511" s="880"/>
      <c r="BL511" s="880"/>
      <c r="BM511" s="880"/>
      <c r="BN511" s="880"/>
      <c r="BO511" s="880"/>
      <c r="BP511" s="880"/>
      <c r="BQ511" s="880"/>
      <c r="BR511" s="880"/>
      <c r="BS511" s="880"/>
      <c r="BT511" s="880"/>
    </row>
    <row r="512" spans="1:72" s="882" customFormat="1" ht="17.25" hidden="1" customHeight="1" outlineLevel="1">
      <c r="A512" s="2989"/>
      <c r="B512" s="2990"/>
      <c r="C512" s="2912" t="s">
        <v>36</v>
      </c>
      <c r="D512" s="2912"/>
      <c r="E512" s="2996"/>
      <c r="F512" s="1328">
        <v>0</v>
      </c>
      <c r="G512" s="1194">
        <f>IF(SETUP!$F$53="At delivery",IF(SETUP!$G$53=1,$E$507*'Malaria-Equipment &amp; Other HPs'!AW15,0),0)</f>
        <v>0</v>
      </c>
      <c r="H512" s="1194">
        <f>IF(SETUP!$F$53="At delivery",IF(SETUP!$G$53=2,$E$507*'Malaria-Equipment &amp; Other HPs'!AW15,IF(SETUP!$G$53=1,$E$507*'Malaria-Equipment &amp; Other HPs'!AX15,0)),0)</f>
        <v>0</v>
      </c>
      <c r="I512" s="1194">
        <f>IF(SETUP!$F$53="At delivery",IF(SETUP!$G$53=3,$E$507*'Malaria-Equipment &amp; Other HPs'!AW15,IF(SETUP!$G$53=2,$E$507*'Malaria-Equipment &amp; Other HPs'!AX15,IF(SETUP!$G$53=1,$E$507*'Malaria-Equipment &amp; Other HPs'!AY15,0))),0)</f>
        <v>0</v>
      </c>
      <c r="J512" s="1194">
        <f t="shared" si="72"/>
        <v>0</v>
      </c>
      <c r="K512" s="1328">
        <f>IF(SETUP!$F$53="At delivery",IF(SETUP!$G$53=4,$E$507*'Malaria-Equipment &amp; Other HPs'!AW15,IF(SETUP!$G$53=3,$E$507*'Malaria-Equipment &amp; Other HPs'!AX15,IF(SETUP!$G$53=2,$E$507*'Malaria-Equipment &amp; Other HPs'!AY15,IF(SETUP!$G$53=1,$E$507*'Malaria-Equipment &amp; Other HPs'!AZ15,0)))),0)</f>
        <v>0</v>
      </c>
      <c r="L512" s="1194">
        <f>IF(SETUP!$F$53="At delivery",IF(SETUP!$G$53=4,$E$507*'Malaria-Equipment &amp; Other HPs'!AX15,IF(SETUP!$G$53=3,$E$507*'Malaria-Equipment &amp; Other HPs'!AY15,IF(SETUP!$G$53=2,$E$507*'Malaria-Equipment &amp; Other HPs'!AZ15,IF(SETUP!$G$53=1,$E$507*'Malaria-Equipment &amp; Other HPs'!BA15,0)))),0)</f>
        <v>0</v>
      </c>
      <c r="M512" s="1194">
        <f>IF(SETUP!$F$53="At delivery",IF(SETUP!$G$53=4,$E$507*'Malaria-Equipment &amp; Other HPs'!AY15,IF(SETUP!$G$53=3,$E$507*'Malaria-Equipment &amp; Other HPs'!AZ15,IF(SETUP!$G$53=2,$E$507*'Malaria-Equipment &amp; Other HPs'!BA15,IF(SETUP!$G$53=1,$E$507*'Malaria-Equipment &amp; Other HPs'!BB15,0)))),0)</f>
        <v>0</v>
      </c>
      <c r="N512" s="1194">
        <f>IF(SETUP!$F$53="At delivery",IF(SETUP!$G$53=4,$E$507*'Malaria-Equipment &amp; Other HPs'!AZ15,IF(SETUP!$G$53=3,$E$507*'Malaria-Equipment &amp; Other HPs'!BA15,IF(SETUP!$G$53=2,$E$507*'Malaria-Equipment &amp; Other HPs'!BB15,IF(SETUP!$G$53=1,$E$507*'Malaria-Equipment &amp; Other HPs'!BC15,0)))),0)</f>
        <v>0</v>
      </c>
      <c r="O512" s="1194">
        <f t="shared" si="73"/>
        <v>0</v>
      </c>
      <c r="P512" s="1328">
        <f>IF(SETUP!$F$53="At delivery",IF(SETUP!$G$53=4,$E$507*'Malaria-Equipment &amp; Other HPs'!BA15,IF(SETUP!$G$53=3,$E$507*'Malaria-Equipment &amp; Other HPs'!BB15,IF(SETUP!$G$53=2,$E$507*'Malaria-Equipment &amp; Other HPs'!BC15,IF(SETUP!$G$53=1,$E$507*'Malaria-Equipment &amp; Other HPs'!BD15,0)))),0)</f>
        <v>0</v>
      </c>
      <c r="Q512" s="1194">
        <f>IF(SETUP!$F$53="At delivery",IF(SETUP!$G$53=4,$E$507*'Malaria-Equipment &amp; Other HPs'!BB15,IF(SETUP!$G$53=3,$E$507*'Malaria-Equipment &amp; Other HPs'!BC15,IF(SETUP!$G$53=2,$E$507*'Malaria-Equipment &amp; Other HPs'!BD15,IF(SETUP!$G$53=1,$E$507*'Malaria-Equipment &amp; Other HPs'!BE15,0)))),0)</f>
        <v>0</v>
      </c>
      <c r="R512" s="1194">
        <f>IF(SETUP!$F$53="At delivery",IF(SETUP!$G$53=4,$E$507*'Malaria-Equipment &amp; Other HPs'!BC15,IF(SETUP!$G$53=3,$E$507*'Malaria-Equipment &amp; Other HPs'!BD15,IF(SETUP!$G$53=2,$E$507*'Malaria-Equipment &amp; Other HPs'!BE15,IF(SETUP!$G$53=1,$E$507*'Malaria-Equipment &amp; Other HPs'!BF15,0)))),0)</f>
        <v>0</v>
      </c>
      <c r="S512" s="1194">
        <f>IF(SETUP!$F$53="At delivery",IF(SETUP!$G$53=4,$E$507*('Malaria-Equipment &amp; Other HPs'!BD15+'Malaria-Equipment &amp; Other HPs'!BE15+'Malaria-Equipment &amp; Other HPs'!BF15+'Malaria-Equipment &amp; Other HPs'!BG15+'Malaria-Equipment &amp; Other HPs'!BH15),IF(SETUP!$G$53=3,$E$507*('Malaria-Equipment &amp; Other HPs'!BE15+'Malaria-Equipment &amp; Other HPs'!BF15+'Malaria-Equipment &amp; Other HPs'!BG15+'Malaria-Equipment &amp; Other HPs'!BH15),IF(SETUP!$G$53=2,$E$507*('Malaria-Equipment &amp; Other HPs'!BF15+'Malaria-Equipment &amp; Other HPs'!BG15+'Malaria-Equipment &amp; Other HPs'!BH15),IF(SETUP!$G$53=1,$E$507*('Malaria-Equipment &amp; Other HPs'!BG15+'Malaria-Equipment &amp; Other HPs'!BH15),0)))),0)</f>
        <v>0</v>
      </c>
      <c r="T512" s="1194">
        <f t="shared" si="74"/>
        <v>0</v>
      </c>
      <c r="U512" s="1328">
        <f t="shared" si="75"/>
        <v>0</v>
      </c>
      <c r="V512" s="1826">
        <v>7.4</v>
      </c>
      <c r="W512" s="1837"/>
      <c r="X512" s="764"/>
      <c r="Y512" s="1836"/>
      <c r="Z512" s="850"/>
      <c r="AA512" s="880"/>
      <c r="AB512" s="880"/>
      <c r="AC512" s="880"/>
      <c r="AD512" s="880"/>
      <c r="AE512" s="880"/>
      <c r="AF512" s="880"/>
      <c r="AG512" s="880"/>
      <c r="AH512" s="881"/>
      <c r="AI512" s="880"/>
      <c r="AJ512" s="880"/>
      <c r="AK512" s="880"/>
      <c r="AL512" s="880"/>
      <c r="AM512" s="880"/>
      <c r="AN512" s="880"/>
      <c r="AO512" s="880"/>
      <c r="AP512" s="880"/>
      <c r="AQ512" s="880"/>
      <c r="AR512" s="880"/>
      <c r="AS512" s="880"/>
      <c r="AT512" s="880"/>
      <c r="AU512" s="880"/>
      <c r="AV512" s="880"/>
      <c r="AW512" s="880"/>
      <c r="AX512" s="880"/>
      <c r="AY512" s="880"/>
      <c r="AZ512" s="880"/>
      <c r="BA512" s="880"/>
      <c r="BB512" s="880"/>
      <c r="BC512" s="880"/>
      <c r="BD512" s="880"/>
      <c r="BE512" s="880"/>
      <c r="BF512" s="880"/>
      <c r="BG512" s="880"/>
      <c r="BH512" s="880"/>
      <c r="BI512" s="880"/>
      <c r="BJ512" s="880"/>
      <c r="BK512" s="880"/>
      <c r="BL512" s="880"/>
      <c r="BM512" s="880"/>
      <c r="BN512" s="880"/>
      <c r="BO512" s="880"/>
      <c r="BP512" s="880"/>
      <c r="BQ512" s="880"/>
      <c r="BR512" s="880"/>
      <c r="BS512" s="880"/>
      <c r="BT512" s="880"/>
    </row>
    <row r="513" spans="1:72" s="882" customFormat="1" ht="13" hidden="1" collapsed="1">
      <c r="A513" s="2989"/>
      <c r="B513" s="2990"/>
      <c r="C513" s="2911" t="s">
        <v>581</v>
      </c>
      <c r="D513" s="2911"/>
      <c r="E513" s="2994">
        <v>0</v>
      </c>
      <c r="F513" s="1328">
        <f>IF(SETUP!$F$54="Upfront",F514,F515)</f>
        <v>0</v>
      </c>
      <c r="G513" s="1194">
        <f>IF(SETUP!$F$54="Upfront",G514,G515)</f>
        <v>0</v>
      </c>
      <c r="H513" s="1194">
        <f>IF(SETUP!$F$54="Upfront",H514,H515)</f>
        <v>0</v>
      </c>
      <c r="I513" s="1194">
        <f>IF(SETUP!$F$54="Upfront",I514,I515)</f>
        <v>0</v>
      </c>
      <c r="J513" s="1194">
        <f t="shared" si="72"/>
        <v>0</v>
      </c>
      <c r="K513" s="1328">
        <f>IF(SETUP!$F$54="Upfront",K514,K515)</f>
        <v>0</v>
      </c>
      <c r="L513" s="1194">
        <f>IF(SETUP!$F$54="Upfront",L514,L515)</f>
        <v>0</v>
      </c>
      <c r="M513" s="1194">
        <f>IF(SETUP!$F$54="Upfront",M514,M515)</f>
        <v>0</v>
      </c>
      <c r="N513" s="1194">
        <f>IF(SETUP!$F$54="Upfront",N514,N515)</f>
        <v>0</v>
      </c>
      <c r="O513" s="1194">
        <f t="shared" si="73"/>
        <v>0</v>
      </c>
      <c r="P513" s="1328">
        <f>IF(SETUP!$F$54="Upfront",P514,P515)</f>
        <v>0</v>
      </c>
      <c r="Q513" s="1194">
        <f>IF(SETUP!$F$54="Upfront",Q514,Q515)</f>
        <v>0</v>
      </c>
      <c r="R513" s="1194">
        <f>IF(SETUP!$F$54="Upfront",R514,R515)</f>
        <v>0</v>
      </c>
      <c r="S513" s="1194">
        <f>IF(SETUP!$F$54="Upfront",S514,S515)</f>
        <v>0</v>
      </c>
      <c r="T513" s="1194">
        <f t="shared" si="74"/>
        <v>0</v>
      </c>
      <c r="U513" s="1328">
        <f t="shared" si="75"/>
        <v>0</v>
      </c>
      <c r="V513" s="1826">
        <v>7.4</v>
      </c>
      <c r="W513" s="1837"/>
      <c r="X513" s="764"/>
      <c r="Y513" s="1836"/>
      <c r="Z513" s="850"/>
      <c r="AA513" s="880"/>
      <c r="AB513" s="880"/>
      <c r="AC513" s="880"/>
      <c r="AD513" s="880"/>
      <c r="AE513" s="880"/>
      <c r="AF513" s="880"/>
      <c r="AG513" s="880"/>
      <c r="AH513" s="881"/>
      <c r="AI513" s="880"/>
      <c r="AJ513" s="880"/>
      <c r="AK513" s="880"/>
      <c r="AL513" s="880"/>
      <c r="AM513" s="880"/>
      <c r="AN513" s="880"/>
      <c r="AO513" s="880"/>
      <c r="AP513" s="880"/>
      <c r="AQ513" s="880"/>
      <c r="AR513" s="880"/>
      <c r="AS513" s="880"/>
      <c r="AT513" s="880"/>
      <c r="AU513" s="880"/>
      <c r="AV513" s="880"/>
      <c r="AW513" s="880"/>
      <c r="AX513" s="880"/>
      <c r="AY513" s="880"/>
      <c r="AZ513" s="880"/>
      <c r="BA513" s="880"/>
      <c r="BB513" s="880"/>
      <c r="BC513" s="880"/>
      <c r="BD513" s="880"/>
      <c r="BE513" s="880"/>
      <c r="BF513" s="880"/>
      <c r="BG513" s="880"/>
      <c r="BH513" s="880"/>
      <c r="BI513" s="880"/>
      <c r="BJ513" s="880"/>
      <c r="BK513" s="880"/>
      <c r="BL513" s="880"/>
      <c r="BM513" s="880"/>
      <c r="BN513" s="880"/>
      <c r="BO513" s="880"/>
      <c r="BP513" s="880"/>
      <c r="BQ513" s="880"/>
      <c r="BR513" s="880"/>
      <c r="BS513" s="880"/>
      <c r="BT513" s="880"/>
    </row>
    <row r="514" spans="1:72" s="882" customFormat="1" ht="16.149999999999999" hidden="1" customHeight="1" outlineLevel="1">
      <c r="A514" s="2989"/>
      <c r="B514" s="2990"/>
      <c r="C514" s="2912" t="s">
        <v>918</v>
      </c>
      <c r="D514" s="2912"/>
      <c r="E514" s="2995"/>
      <c r="F514" s="1328">
        <f>IF(SETUP!$F$54="Upfront",$E$513*'Malaria-Equipment &amp; Other HPs'!AW16,0)</f>
        <v>0</v>
      </c>
      <c r="G514" s="1194">
        <f>IF(SETUP!$F$54="Upfront",$E$513*'Malaria-Equipment &amp; Other HPs'!AX16,0)</f>
        <v>0</v>
      </c>
      <c r="H514" s="1194">
        <f>IF(SETUP!$F$54="Upfront",$E$513*'Malaria-Equipment &amp; Other HPs'!AY16,0)</f>
        <v>0</v>
      </c>
      <c r="I514" s="1194">
        <f>IF(SETUP!$F$54="Upfront",$E$513*'Malaria-Equipment &amp; Other HPs'!AZ16,0)</f>
        <v>0</v>
      </c>
      <c r="J514" s="1194">
        <f t="shared" si="72"/>
        <v>0</v>
      </c>
      <c r="K514" s="1328">
        <f>IF(SETUP!$F$54="Upfront",$E$513*'Malaria-Equipment &amp; Other HPs'!BA16,0)</f>
        <v>0</v>
      </c>
      <c r="L514" s="1194">
        <f>IF(SETUP!$F$54="Upfront",$E$513*'Malaria-Equipment &amp; Other HPs'!BB16,0)</f>
        <v>0</v>
      </c>
      <c r="M514" s="1194">
        <f>IF(SETUP!$F$54="Upfront",$E$513*'Malaria-Equipment &amp; Other HPs'!BC16,0)</f>
        <v>0</v>
      </c>
      <c r="N514" s="1194">
        <f>IF(SETUP!$F$54="Upfront",$E$513*'Malaria-Equipment &amp; Other HPs'!BD16,0)</f>
        <v>0</v>
      </c>
      <c r="O514" s="1194">
        <f t="shared" si="73"/>
        <v>0</v>
      </c>
      <c r="P514" s="1328">
        <f>IF(SETUP!$F$54="Upfront",$E$513*'Malaria-Equipment &amp; Other HPs'!BE16,0)</f>
        <v>0</v>
      </c>
      <c r="Q514" s="1194">
        <f>IF(SETUP!$F$54="Upfront",$E$513*'Malaria-Equipment &amp; Other HPs'!BF16,0)</f>
        <v>0</v>
      </c>
      <c r="R514" s="1194">
        <f>IF(SETUP!$F$54="Upfront",$E$513*'Malaria-Equipment &amp; Other HPs'!BG16,0)</f>
        <v>0</v>
      </c>
      <c r="S514" s="1194">
        <f>IF(SETUP!$F$54="Upfront",$E$513*'Malaria-Equipment &amp; Other HPs'!BH16,0)</f>
        <v>0</v>
      </c>
      <c r="T514" s="1194">
        <f t="shared" si="74"/>
        <v>0</v>
      </c>
      <c r="U514" s="1328">
        <f t="shared" si="75"/>
        <v>0</v>
      </c>
      <c r="V514" s="1826">
        <v>7.4</v>
      </c>
      <c r="W514" s="1837"/>
      <c r="X514" s="764"/>
      <c r="Y514" s="1836"/>
      <c r="Z514" s="850"/>
      <c r="AA514" s="880"/>
      <c r="AB514" s="880"/>
      <c r="AC514" s="880"/>
      <c r="AD514" s="880"/>
      <c r="AE514" s="880"/>
      <c r="AF514" s="880"/>
      <c r="AG514" s="880"/>
      <c r="AH514" s="881"/>
      <c r="AI514" s="880"/>
      <c r="AJ514" s="880"/>
      <c r="AK514" s="880"/>
      <c r="AL514" s="880"/>
      <c r="AM514" s="880"/>
      <c r="AN514" s="880"/>
      <c r="AO514" s="880"/>
      <c r="AP514" s="880"/>
      <c r="AQ514" s="880"/>
      <c r="AR514" s="880"/>
      <c r="AS514" s="880"/>
      <c r="AT514" s="880"/>
      <c r="AU514" s="880"/>
      <c r="AV514" s="880"/>
      <c r="AW514" s="880"/>
      <c r="AX514" s="880"/>
      <c r="AY514" s="880"/>
      <c r="AZ514" s="880"/>
      <c r="BA514" s="880"/>
      <c r="BB514" s="880"/>
      <c r="BC514" s="880"/>
      <c r="BD514" s="880"/>
      <c r="BE514" s="880"/>
      <c r="BF514" s="880"/>
      <c r="BG514" s="880"/>
      <c r="BH514" s="880"/>
      <c r="BI514" s="880"/>
      <c r="BJ514" s="880"/>
      <c r="BK514" s="880"/>
      <c r="BL514" s="880"/>
      <c r="BM514" s="880"/>
      <c r="BN514" s="880"/>
      <c r="BO514" s="880"/>
      <c r="BP514" s="880"/>
      <c r="BQ514" s="880"/>
      <c r="BR514" s="880"/>
      <c r="BS514" s="880"/>
      <c r="BT514" s="880"/>
    </row>
    <row r="515" spans="1:72" s="882" customFormat="1" ht="17.25" hidden="1" customHeight="1" outlineLevel="1">
      <c r="A515" s="2989"/>
      <c r="B515" s="2990"/>
      <c r="C515" s="2912" t="s">
        <v>36</v>
      </c>
      <c r="D515" s="2912"/>
      <c r="E515" s="2995"/>
      <c r="F515" s="1328">
        <v>0</v>
      </c>
      <c r="G515" s="1194">
        <f>IF(SETUP!$F$54="At delivery",IF(SETUP!$G$54=1,$E$513*'Malaria-Equipment &amp; Other HPs'!AW16,0),0)</f>
        <v>0</v>
      </c>
      <c r="H515" s="1194">
        <f>IF(SETUP!$F$54="At delivery",IF(SETUP!$G$54=2,$E$513*'Malaria-Equipment &amp; Other HPs'!AW16,IF(SETUP!$G$54=1,$E$513*'Malaria-Equipment &amp; Other HPs'!AX16,0)),0)</f>
        <v>0</v>
      </c>
      <c r="I515" s="1194">
        <f>IF(SETUP!$F$54="At delivery",IF(SETUP!$G$54=3,$E$513*'Malaria-Equipment &amp; Other HPs'!AW16,IF(SETUP!$G$54=2,$E$513*'Malaria-Equipment &amp; Other HPs'!AX16,IF(SETUP!$G$54=1,$E$513*'Malaria-Equipment &amp; Other HPs'!AY16,0))),0)</f>
        <v>0</v>
      </c>
      <c r="J515" s="1194">
        <f t="shared" si="72"/>
        <v>0</v>
      </c>
      <c r="K515" s="1328">
        <f>IF(SETUP!$F$54="At delivery",IF(SETUP!$G$54=4,$E$513*'Malaria-Equipment &amp; Other HPs'!AW16,IF(SETUP!$G$54=3,$E$513*'Malaria-Equipment &amp; Other HPs'!AX16,IF(SETUP!$G$54=2,$E$513*'Malaria-Equipment &amp; Other HPs'!AY16,IF(SETUP!$G$54=1,$E$513*'Malaria-Equipment &amp; Other HPs'!AZ16,0)))),0)</f>
        <v>0</v>
      </c>
      <c r="L515" s="1194">
        <f>IF(SETUP!$F$54="At delivery",IF(SETUP!$G$54=4,$E$513*'Malaria-Equipment &amp; Other HPs'!AX16,IF(SETUP!$G$54=3,$E$513*'Malaria-Equipment &amp; Other HPs'!AY16,IF(SETUP!$G$54=2,$E$513*'Malaria-Equipment &amp; Other HPs'!AZ16,IF(SETUP!$G$54=1,$E$513*'Malaria-Equipment &amp; Other HPs'!BA16,0)))),0)</f>
        <v>0</v>
      </c>
      <c r="M515" s="1194">
        <f>IF(SETUP!$F$54="At delivery",IF(SETUP!$G$54=4,$E$513*'Malaria-Equipment &amp; Other HPs'!AY16,IF(SETUP!$G$54=3,$E$513*'Malaria-Equipment &amp; Other HPs'!AZ16,IF(SETUP!$G$54=2,$E$513*'Malaria-Equipment &amp; Other HPs'!BA16,IF(SETUP!$G$54=1,$E$513*'Malaria-Equipment &amp; Other HPs'!BB16,0)))),0)</f>
        <v>0</v>
      </c>
      <c r="N515" s="1194">
        <f>IF(SETUP!$F$54="At delivery",IF(SETUP!$G$54=4,$E$513*'Malaria-Equipment &amp; Other HPs'!AZ16,IF(SETUP!$G$54=3,$E$513*'Malaria-Equipment &amp; Other HPs'!BA16,IF(SETUP!$G$54=2,$E$513*'Malaria-Equipment &amp; Other HPs'!BB16,IF(SETUP!$G$54=1,$E$513*'Malaria-Equipment &amp; Other HPs'!BC16,0)))),0)</f>
        <v>0</v>
      </c>
      <c r="O515" s="1194">
        <f t="shared" si="73"/>
        <v>0</v>
      </c>
      <c r="P515" s="1328">
        <f>IF(SETUP!$F$54="At delivery",IF(SETUP!$G$54=4,$E$513*'Malaria-Equipment &amp; Other HPs'!BA16,IF(SETUP!$G$54=3,$E$513*'Malaria-Equipment &amp; Other HPs'!BB16,IF(SETUP!$G$54=2,$E$513*'Malaria-Equipment &amp; Other HPs'!BC16,IF(SETUP!$G$54=1,$E$513*'Malaria-Equipment &amp; Other HPs'!BD16,0)))),0)</f>
        <v>0</v>
      </c>
      <c r="Q515" s="1194">
        <f>IF(SETUP!$F$54="At delivery",IF(SETUP!$G$54=4,$E$513*'Malaria-Equipment &amp; Other HPs'!BB16,IF(SETUP!$G$54=3,$E$513*'Malaria-Equipment &amp; Other HPs'!BC16,IF(SETUP!$G$54=2,$E$513*'Malaria-Equipment &amp; Other HPs'!BD16,IF(SETUP!$G$54=1,$E$513*'Malaria-Equipment &amp; Other HPs'!BE16,0)))),0)</f>
        <v>0</v>
      </c>
      <c r="R515" s="1194">
        <f>IF(SETUP!$F$54="At delivery",IF(SETUP!$G$54=4,$E$513*'Malaria-Equipment &amp; Other HPs'!BC16,IF(SETUP!$G$54=3,$E$513*'Malaria-Equipment &amp; Other HPs'!BD16,IF(SETUP!$G$54=2,$E$513*'Malaria-Equipment &amp; Other HPs'!BE16,IF(SETUP!$G$54=1,$E$513*'Malaria-Equipment &amp; Other HPs'!BF16,0)))),0)</f>
        <v>0</v>
      </c>
      <c r="S515" s="1194">
        <f>IF(SETUP!$F$54="At delivery",IF(SETUP!$G$54=4,$E$513*('Malaria-Equipment &amp; Other HPs'!BD16+'Malaria-Equipment &amp; Other HPs'!BE16+'Malaria-Equipment &amp; Other HPs'!BF16+'Malaria-Equipment &amp; Other HPs'!BG16+'Malaria-Equipment &amp; Other HPs'!BH16),IF(SETUP!$G$54=3,$E$513*('Malaria-Equipment &amp; Other HPs'!BE16+'Malaria-Equipment &amp; Other HPs'!BF16+'Malaria-Equipment &amp; Other HPs'!BG16+'Malaria-Equipment &amp; Other HPs'!BH16),IF(SETUP!$G$54=2,$E$513*('Malaria-Equipment &amp; Other HPs'!BF16+'Malaria-Equipment &amp; Other HPs'!BG16+'Malaria-Equipment &amp; Other HPs'!BH16),IF(SETUP!$G$54=1,$E$513*('Malaria-Equipment &amp; Other HPs'!BG16+'Malaria-Equipment &amp; Other HPs'!BH16),0)))),0)</f>
        <v>0</v>
      </c>
      <c r="T515" s="1194">
        <f t="shared" si="74"/>
        <v>0</v>
      </c>
      <c r="U515" s="1328">
        <f t="shared" si="75"/>
        <v>0</v>
      </c>
      <c r="V515" s="1826">
        <v>7.4</v>
      </c>
      <c r="W515" s="1837"/>
      <c r="X515" s="764"/>
      <c r="Y515" s="1836"/>
      <c r="Z515" s="850"/>
      <c r="AA515" s="880"/>
      <c r="AB515" s="880"/>
      <c r="AC515" s="880"/>
      <c r="AD515" s="880"/>
      <c r="AE515" s="880"/>
      <c r="AF515" s="880"/>
      <c r="AG515" s="880"/>
      <c r="AH515" s="881"/>
      <c r="AI515" s="880"/>
      <c r="AJ515" s="880"/>
      <c r="AK515" s="880"/>
      <c r="AL515" s="880"/>
      <c r="AM515" s="880"/>
      <c r="AN515" s="880"/>
      <c r="AO515" s="880"/>
      <c r="AP515" s="880"/>
      <c r="AQ515" s="880"/>
      <c r="AR515" s="880"/>
      <c r="AS515" s="880"/>
      <c r="AT515" s="880"/>
      <c r="AU515" s="880"/>
      <c r="AV515" s="880"/>
      <c r="AW515" s="880"/>
      <c r="AX515" s="880"/>
      <c r="AY515" s="880"/>
      <c r="AZ515" s="880"/>
      <c r="BA515" s="880"/>
      <c r="BB515" s="880"/>
      <c r="BC515" s="880"/>
      <c r="BD515" s="880"/>
      <c r="BE515" s="880"/>
      <c r="BF515" s="880"/>
      <c r="BG515" s="880"/>
      <c r="BH515" s="880"/>
      <c r="BI515" s="880"/>
      <c r="BJ515" s="880"/>
      <c r="BK515" s="880"/>
      <c r="BL515" s="880"/>
      <c r="BM515" s="880"/>
      <c r="BN515" s="880"/>
      <c r="BO515" s="880"/>
      <c r="BP515" s="880"/>
      <c r="BQ515" s="880"/>
      <c r="BR515" s="880"/>
      <c r="BS515" s="880"/>
      <c r="BT515" s="880"/>
    </row>
    <row r="516" spans="1:72" s="882" customFormat="1" ht="13" hidden="1" collapsed="1">
      <c r="A516" s="2989"/>
      <c r="B516" s="2990"/>
      <c r="C516" s="2911" t="s">
        <v>582</v>
      </c>
      <c r="D516" s="2911"/>
      <c r="E516" s="2995"/>
      <c r="F516" s="1328">
        <f>IF(SETUP!$F$55="Upfront",F517,F518)</f>
        <v>0</v>
      </c>
      <c r="G516" s="1194">
        <f>IF(SETUP!$F$55="Upfront",G517,G518)</f>
        <v>0</v>
      </c>
      <c r="H516" s="1194">
        <f>IF(SETUP!$F$55="Upfront",H517,H518)</f>
        <v>0</v>
      </c>
      <c r="I516" s="1194">
        <f>IF(SETUP!$F$55="Upfront",I517,I518)</f>
        <v>0</v>
      </c>
      <c r="J516" s="1194">
        <f t="shared" si="72"/>
        <v>0</v>
      </c>
      <c r="K516" s="1328">
        <f>IF(SETUP!$F$55="Upfront",K517,K518)</f>
        <v>0</v>
      </c>
      <c r="L516" s="1194">
        <f>IF(SETUP!$F$55="Upfront",L517,L518)</f>
        <v>0</v>
      </c>
      <c r="M516" s="1194">
        <f>IF(SETUP!$F$55="Upfront",M517,M518)</f>
        <v>0</v>
      </c>
      <c r="N516" s="1194">
        <f>IF(SETUP!$F$55="Upfront",N517,N518)</f>
        <v>0</v>
      </c>
      <c r="O516" s="1194">
        <f t="shared" si="73"/>
        <v>0</v>
      </c>
      <c r="P516" s="1328">
        <f>IF(SETUP!$F$55="Upfront",P517,P518)</f>
        <v>0</v>
      </c>
      <c r="Q516" s="1194">
        <f>IF(SETUP!$F$55="Upfront",Q517,Q518)</f>
        <v>0</v>
      </c>
      <c r="R516" s="1194">
        <f>IF(SETUP!$F$55="Upfront",R517,R518)</f>
        <v>0</v>
      </c>
      <c r="S516" s="1194">
        <f>IF(SETUP!$F$55="Upfront",S517,S518)</f>
        <v>0</v>
      </c>
      <c r="T516" s="1194">
        <f t="shared" si="74"/>
        <v>0</v>
      </c>
      <c r="U516" s="1328">
        <f t="shared" si="75"/>
        <v>0</v>
      </c>
      <c r="V516" s="1826">
        <v>7.4</v>
      </c>
      <c r="W516" s="1837"/>
      <c r="X516" s="764"/>
      <c r="Y516" s="1836"/>
      <c r="Z516" s="850"/>
      <c r="AA516" s="880"/>
      <c r="AB516" s="880"/>
      <c r="AC516" s="880"/>
      <c r="AD516" s="880"/>
      <c r="AE516" s="880"/>
      <c r="AF516" s="880"/>
      <c r="AG516" s="880"/>
      <c r="AH516" s="881"/>
      <c r="AI516" s="880"/>
      <c r="AJ516" s="880"/>
      <c r="AK516" s="880"/>
      <c r="AL516" s="880"/>
      <c r="AM516" s="880"/>
      <c r="AN516" s="880"/>
      <c r="AO516" s="880"/>
      <c r="AP516" s="880"/>
      <c r="AQ516" s="880"/>
      <c r="AR516" s="880"/>
      <c r="AS516" s="880"/>
      <c r="AT516" s="880"/>
      <c r="AU516" s="880"/>
      <c r="AV516" s="880"/>
      <c r="AW516" s="880"/>
      <c r="AX516" s="880"/>
      <c r="AY516" s="880"/>
      <c r="AZ516" s="880"/>
      <c r="BA516" s="880"/>
      <c r="BB516" s="880"/>
      <c r="BC516" s="880"/>
      <c r="BD516" s="880"/>
      <c r="BE516" s="880"/>
      <c r="BF516" s="880"/>
      <c r="BG516" s="880"/>
      <c r="BH516" s="880"/>
      <c r="BI516" s="880"/>
      <c r="BJ516" s="880"/>
      <c r="BK516" s="880"/>
      <c r="BL516" s="880"/>
      <c r="BM516" s="880"/>
      <c r="BN516" s="880"/>
      <c r="BO516" s="880"/>
      <c r="BP516" s="880"/>
      <c r="BQ516" s="880"/>
      <c r="BR516" s="880"/>
      <c r="BS516" s="880"/>
      <c r="BT516" s="880"/>
    </row>
    <row r="517" spans="1:72" s="882" customFormat="1" ht="16.149999999999999" hidden="1" customHeight="1" outlineLevel="1">
      <c r="A517" s="2989"/>
      <c r="B517" s="2990"/>
      <c r="C517" s="2912" t="s">
        <v>918</v>
      </c>
      <c r="D517" s="2912"/>
      <c r="E517" s="2995"/>
      <c r="F517" s="1328">
        <f>IF(SETUP!$F$54="Upfront",$E$513*'Malaria-Equipment &amp; Other HPs'!AW17,0)</f>
        <v>0</v>
      </c>
      <c r="G517" s="1194">
        <f>IF(SETUP!$F$54="Upfront",$E$513*'Malaria-Equipment &amp; Other HPs'!AX17,0)</f>
        <v>0</v>
      </c>
      <c r="H517" s="1194">
        <f>IF(SETUP!$F$54="Upfront",$E$513*'Malaria-Equipment &amp; Other HPs'!AY17,0)</f>
        <v>0</v>
      </c>
      <c r="I517" s="1194">
        <f>IF(SETUP!$F$54="Upfront",$E$513*'Malaria-Equipment &amp; Other HPs'!AZ17,0)</f>
        <v>0</v>
      </c>
      <c r="J517" s="1194">
        <f t="shared" si="72"/>
        <v>0</v>
      </c>
      <c r="K517" s="1328">
        <f>IF(SETUP!$F$54="Upfront",$E$513*'Malaria-Equipment &amp; Other HPs'!BA17,0)</f>
        <v>0</v>
      </c>
      <c r="L517" s="1194">
        <f>IF(SETUP!$F$54="Upfront",$E$513*'Malaria-Equipment &amp; Other HPs'!BB17,0)</f>
        <v>0</v>
      </c>
      <c r="M517" s="1194">
        <f>IF(SETUP!$F$54="Upfront",$E$513*'Malaria-Equipment &amp; Other HPs'!BC17,0)</f>
        <v>0</v>
      </c>
      <c r="N517" s="1194">
        <f>IF(SETUP!$F$54="Upfront",$E$513*'Malaria-Equipment &amp; Other HPs'!BD17,0)</f>
        <v>0</v>
      </c>
      <c r="O517" s="1194">
        <f t="shared" si="73"/>
        <v>0</v>
      </c>
      <c r="P517" s="1328">
        <f>IF(SETUP!$F$54="Upfront",$E$513*'Malaria-Equipment &amp; Other HPs'!BE17,0)</f>
        <v>0</v>
      </c>
      <c r="Q517" s="1194">
        <f>IF(SETUP!$F$54="Upfront",$E$513*'Malaria-Equipment &amp; Other HPs'!BF17,0)</f>
        <v>0</v>
      </c>
      <c r="R517" s="1194">
        <f>IF(SETUP!$F$54="Upfront",$E$513*'Malaria-Equipment &amp; Other HPs'!BG17,0)</f>
        <v>0</v>
      </c>
      <c r="S517" s="1194">
        <f>IF(SETUP!$F$54="Upfront",$E$513*'Malaria-Equipment &amp; Other HPs'!BH17,0)</f>
        <v>0</v>
      </c>
      <c r="T517" s="1194">
        <f t="shared" si="74"/>
        <v>0</v>
      </c>
      <c r="U517" s="1328">
        <f t="shared" si="75"/>
        <v>0</v>
      </c>
      <c r="V517" s="1826">
        <v>7.4</v>
      </c>
      <c r="W517" s="1837"/>
      <c r="X517" s="764"/>
      <c r="Y517" s="1836"/>
      <c r="Z517" s="850"/>
      <c r="AA517" s="880"/>
      <c r="AB517" s="880"/>
      <c r="AC517" s="880"/>
      <c r="AD517" s="880"/>
      <c r="AE517" s="880"/>
      <c r="AF517" s="880"/>
      <c r="AG517" s="880"/>
      <c r="AH517" s="881"/>
      <c r="AI517" s="880"/>
      <c r="AJ517" s="880"/>
      <c r="AK517" s="880"/>
      <c r="AL517" s="880"/>
      <c r="AM517" s="880"/>
      <c r="AN517" s="880"/>
      <c r="AO517" s="880"/>
      <c r="AP517" s="880"/>
      <c r="AQ517" s="880"/>
      <c r="AR517" s="880"/>
      <c r="AS517" s="880"/>
      <c r="AT517" s="880"/>
      <c r="AU517" s="880"/>
      <c r="AV517" s="880"/>
      <c r="AW517" s="880"/>
      <c r="AX517" s="880"/>
      <c r="AY517" s="880"/>
      <c r="AZ517" s="880"/>
      <c r="BA517" s="880"/>
      <c r="BB517" s="880"/>
      <c r="BC517" s="880"/>
      <c r="BD517" s="880"/>
      <c r="BE517" s="880"/>
      <c r="BF517" s="880"/>
      <c r="BG517" s="880"/>
      <c r="BH517" s="880"/>
      <c r="BI517" s="880"/>
      <c r="BJ517" s="880"/>
      <c r="BK517" s="880"/>
      <c r="BL517" s="880"/>
      <c r="BM517" s="880"/>
      <c r="BN517" s="880"/>
      <c r="BO517" s="880"/>
      <c r="BP517" s="880"/>
      <c r="BQ517" s="880"/>
      <c r="BR517" s="880"/>
      <c r="BS517" s="880"/>
      <c r="BT517" s="880"/>
    </row>
    <row r="518" spans="1:72" s="882" customFormat="1" ht="17.25" hidden="1" customHeight="1" outlineLevel="1">
      <c r="A518" s="2989"/>
      <c r="B518" s="2990"/>
      <c r="C518" s="2912" t="s">
        <v>36</v>
      </c>
      <c r="D518" s="2912"/>
      <c r="E518" s="2996"/>
      <c r="F518" s="1328">
        <v>0</v>
      </c>
      <c r="G518" s="1194">
        <f>IF(SETUP!$F$55="At delivery",IF(SETUP!$G$55=1,$E$513*'Malaria-Equipment &amp; Other HPs'!AW17,0),0)</f>
        <v>0</v>
      </c>
      <c r="H518" s="1194">
        <f>IF(SETUP!$F$55="At delivery",IF(SETUP!$G$55=2,$E$513*'Malaria-Equipment &amp; Other HPs'!AW17,IF(SETUP!$G$55=1,$E$513*'Malaria-Equipment &amp; Other HPs'!AX17,0)),0)</f>
        <v>0</v>
      </c>
      <c r="I518" s="1194">
        <f>IF(SETUP!$F$55="At delivery",IF(SETUP!$G$55=3,$E$513*'Malaria-Equipment &amp; Other HPs'!AW17,IF(SETUP!$G$55=2,$E$513*'Malaria-Equipment &amp; Other HPs'!AX17,IF(SETUP!$G$55=1,$E$513*'Malaria-Equipment &amp; Other HPs'!AY17,0))),0)</f>
        <v>0</v>
      </c>
      <c r="J518" s="1194">
        <f t="shared" si="72"/>
        <v>0</v>
      </c>
      <c r="K518" s="1328">
        <f>IF(SETUP!$F$55="At delivery",IF(SETUP!$G$55=4,$E$513*'Malaria-Equipment &amp; Other HPs'!AW17,IF(SETUP!$G$55=3,$E$513*'Malaria-Equipment &amp; Other HPs'!AX17,IF(SETUP!$G$55=2,$E$513*'Malaria-Equipment &amp; Other HPs'!AY17,IF(SETUP!$G$55=1,$E$513*'Malaria-Equipment &amp; Other HPs'!AZ17,0)))),0)</f>
        <v>0</v>
      </c>
      <c r="L518" s="1194">
        <f>IF(SETUP!$F$55="At delivery",IF(SETUP!$G$55=4,$E$513*'Malaria-Equipment &amp; Other HPs'!AX17,IF(SETUP!$G$55=3,$E$513*'Malaria-Equipment &amp; Other HPs'!AY17,IF(SETUP!$G$55=2,$E$513*'Malaria-Equipment &amp; Other HPs'!AZ17,IF(SETUP!$G$55=1,$E$513*'Malaria-Equipment &amp; Other HPs'!BA17,0)))),0)</f>
        <v>0</v>
      </c>
      <c r="M518" s="1194">
        <f>IF(SETUP!$F$55="At delivery",IF(SETUP!$G$55=4,$E$513*'Malaria-Equipment &amp; Other HPs'!AY17,IF(SETUP!$G$55=3,$E$513*'Malaria-Equipment &amp; Other HPs'!AZ17,IF(SETUP!$G$55=2,$E$513*'Malaria-Equipment &amp; Other HPs'!BA17,IF(SETUP!$G$55=1,$E$513*'Malaria-Equipment &amp; Other HPs'!BB17,0)))),0)</f>
        <v>0</v>
      </c>
      <c r="N518" s="1194">
        <f>IF(SETUP!$F$55="At delivery",IF(SETUP!$G$55=4,$E$513*'Malaria-Equipment &amp; Other HPs'!AZ17,IF(SETUP!$G$55=3,$E$513*'Malaria-Equipment &amp; Other HPs'!BA17,IF(SETUP!$G$55=2,$E$513*'Malaria-Equipment &amp; Other HPs'!BB17,IF(SETUP!$G$55=1,$E$513*'Malaria-Equipment &amp; Other HPs'!BC17,0)))),0)</f>
        <v>0</v>
      </c>
      <c r="O518" s="1194">
        <f t="shared" si="73"/>
        <v>0</v>
      </c>
      <c r="P518" s="1328">
        <f>IF(SETUP!$F$55="At delivery",IF(SETUP!$G$55=4,$E$513*'Malaria-Equipment &amp; Other HPs'!BA17,IF(SETUP!$G$55=3,$E$513*'Malaria-Equipment &amp; Other HPs'!BB17,IF(SETUP!$G$55=2,$E$513*'Malaria-Equipment &amp; Other HPs'!BC17,IF(SETUP!$G$55=1,$E$513*'Malaria-Equipment &amp; Other HPs'!BD17,0)))),0)</f>
        <v>0</v>
      </c>
      <c r="Q518" s="1194">
        <f>IF(SETUP!$F$55="At delivery",IF(SETUP!$G$55=4,$E$513*'Malaria-Equipment &amp; Other HPs'!BB17,IF(SETUP!$G$55=3,$E$513*'Malaria-Equipment &amp; Other HPs'!BC17,IF(SETUP!$G$55=2,$E$513*'Malaria-Equipment &amp; Other HPs'!BD17,IF(SETUP!$G$55=1,$E$513*'Malaria-Equipment &amp; Other HPs'!BE17,0)))),0)</f>
        <v>0</v>
      </c>
      <c r="R518" s="1194">
        <f>IF(SETUP!$F$55="At delivery",IF(SETUP!$G$55=4,$E$513*'Malaria-Equipment &amp; Other HPs'!BC17,IF(SETUP!$G$55=3,$E$513*'Malaria-Equipment &amp; Other HPs'!BD17,IF(SETUP!$G$55=2,$E$513*'Malaria-Equipment &amp; Other HPs'!BE17,IF(SETUP!$G$55=1,$E$513*'Malaria-Equipment &amp; Other HPs'!BF17,0)))),0)</f>
        <v>0</v>
      </c>
      <c r="S518" s="1194">
        <f>IF(SETUP!$F$55="At delivery",IF(SETUP!$G$55=4,$E$513*('Malaria-Equipment &amp; Other HPs'!BD17+'Malaria-Equipment &amp; Other HPs'!BE17+'Malaria-Equipment &amp; Other HPs'!BF17+'Malaria-Equipment &amp; Other HPs'!BG17+'Malaria-Equipment &amp; Other HPs'!BH17),IF(SETUP!$G$55=3,$E$513*('Malaria-Equipment &amp; Other HPs'!BE17+'Malaria-Equipment &amp; Other HPs'!BF17+'Malaria-Equipment &amp; Other HPs'!BG17+'Malaria-Equipment &amp; Other HPs'!BH17),IF(SETUP!$G$55=2,$E$513*('Malaria-Equipment &amp; Other HPs'!BF17+'Malaria-Equipment &amp; Other HPs'!BG17+'Malaria-Equipment &amp; Other HPs'!BH17),IF(SETUP!$G$55=1,$E$513*('Malaria-Equipment &amp; Other HPs'!BG17+'Malaria-Equipment &amp; Other HPs'!BH17),0)))),0)</f>
        <v>0</v>
      </c>
      <c r="T518" s="1194">
        <f t="shared" si="74"/>
        <v>0</v>
      </c>
      <c r="U518" s="1328">
        <f t="shared" si="75"/>
        <v>0</v>
      </c>
      <c r="V518" s="1826">
        <v>7.4</v>
      </c>
      <c r="W518" s="1837"/>
      <c r="X518" s="764"/>
      <c r="Y518" s="1836"/>
      <c r="Z518" s="850"/>
      <c r="AA518" s="880"/>
      <c r="AB518" s="880"/>
      <c r="AC518" s="880"/>
      <c r="AD518" s="880"/>
      <c r="AE518" s="880"/>
      <c r="AF518" s="880"/>
      <c r="AG518" s="880"/>
      <c r="AH518" s="881"/>
      <c r="AI518" s="880"/>
      <c r="AJ518" s="880"/>
      <c r="AK518" s="880"/>
      <c r="AL518" s="880"/>
      <c r="AM518" s="880"/>
      <c r="AN518" s="880"/>
      <c r="AO518" s="880"/>
      <c r="AP518" s="880"/>
      <c r="AQ518" s="880"/>
      <c r="AR518" s="880"/>
      <c r="AS518" s="880"/>
      <c r="AT518" s="880"/>
      <c r="AU518" s="880"/>
      <c r="AV518" s="880"/>
      <c r="AW518" s="880"/>
      <c r="AX518" s="880"/>
      <c r="AY518" s="880"/>
      <c r="AZ518" s="880"/>
      <c r="BA518" s="880"/>
      <c r="BB518" s="880"/>
      <c r="BC518" s="880"/>
      <c r="BD518" s="880"/>
      <c r="BE518" s="880"/>
      <c r="BF518" s="880"/>
      <c r="BG518" s="880"/>
      <c r="BH518" s="880"/>
      <c r="BI518" s="880"/>
      <c r="BJ518" s="880"/>
      <c r="BK518" s="880"/>
      <c r="BL518" s="880"/>
      <c r="BM518" s="880"/>
      <c r="BN518" s="880"/>
      <c r="BO518" s="880"/>
      <c r="BP518" s="880"/>
      <c r="BQ518" s="880"/>
      <c r="BR518" s="880"/>
      <c r="BS518" s="880"/>
      <c r="BT518" s="880"/>
    </row>
    <row r="519" spans="1:72" s="882" customFormat="1" ht="13" hidden="1" collapsed="1">
      <c r="A519" s="2989"/>
      <c r="B519" s="2990"/>
      <c r="C519" s="2911" t="s">
        <v>583</v>
      </c>
      <c r="D519" s="2911"/>
      <c r="E519" s="2994">
        <v>0</v>
      </c>
      <c r="F519" s="1328">
        <f>IF(SETUP!$F$56="Upfront",F520,F521)</f>
        <v>0</v>
      </c>
      <c r="G519" s="1194">
        <f>IF(SETUP!$F$56="Upfront",G520,G521)</f>
        <v>0</v>
      </c>
      <c r="H519" s="1194">
        <f>IF(SETUP!$F$56="Upfront",H520,H521)</f>
        <v>0</v>
      </c>
      <c r="I519" s="1194">
        <f>IF(SETUP!$F$56="Upfront",I520,I521)</f>
        <v>0</v>
      </c>
      <c r="J519" s="1194">
        <f t="shared" si="72"/>
        <v>0</v>
      </c>
      <c r="K519" s="1328">
        <f>IF(SETUP!$F$56="Upfront",K520,K521)</f>
        <v>0</v>
      </c>
      <c r="L519" s="1194">
        <f>IF(SETUP!$F$56="Upfront",L520,L521)</f>
        <v>0</v>
      </c>
      <c r="M519" s="1194">
        <f>IF(SETUP!$F$56="Upfront",M520,M521)</f>
        <v>0</v>
      </c>
      <c r="N519" s="1194">
        <f>IF(SETUP!$F$56="Upfront",N520,N521)</f>
        <v>0</v>
      </c>
      <c r="O519" s="1194">
        <f t="shared" si="73"/>
        <v>0</v>
      </c>
      <c r="P519" s="1328">
        <f>IF(SETUP!$F$56="Upfront",P520,P521)</f>
        <v>0</v>
      </c>
      <c r="Q519" s="1194">
        <f>IF(SETUP!$F$56="Upfront",Q520,Q521)</f>
        <v>0</v>
      </c>
      <c r="R519" s="1194">
        <f>IF(SETUP!$F$56="Upfront",R520,R521)</f>
        <v>0</v>
      </c>
      <c r="S519" s="1194">
        <f>IF(SETUP!$F$56="Upfront",S520,S521)</f>
        <v>0</v>
      </c>
      <c r="T519" s="1194">
        <f t="shared" si="74"/>
        <v>0</v>
      </c>
      <c r="U519" s="1328">
        <f t="shared" si="75"/>
        <v>0</v>
      </c>
      <c r="V519" s="1826">
        <v>7.4</v>
      </c>
      <c r="W519" s="1837"/>
      <c r="X519" s="764"/>
      <c r="Y519" s="1836"/>
      <c r="Z519" s="850"/>
      <c r="AA519" s="880"/>
      <c r="AB519" s="880"/>
      <c r="AC519" s="880"/>
      <c r="AD519" s="880"/>
      <c r="AE519" s="880"/>
      <c r="AF519" s="880"/>
      <c r="AG519" s="880"/>
      <c r="AH519" s="881"/>
      <c r="AI519" s="880"/>
      <c r="AJ519" s="880"/>
      <c r="AK519" s="880"/>
      <c r="AL519" s="880"/>
      <c r="AM519" s="880"/>
      <c r="AN519" s="880"/>
      <c r="AO519" s="880"/>
      <c r="AP519" s="880"/>
      <c r="AQ519" s="880"/>
      <c r="AR519" s="880"/>
      <c r="AS519" s="880"/>
      <c r="AT519" s="880"/>
      <c r="AU519" s="880"/>
      <c r="AV519" s="880"/>
      <c r="AW519" s="880"/>
      <c r="AX519" s="880"/>
      <c r="AY519" s="880"/>
      <c r="AZ519" s="880"/>
      <c r="BA519" s="880"/>
      <c r="BB519" s="880"/>
      <c r="BC519" s="880"/>
      <c r="BD519" s="880"/>
      <c r="BE519" s="880"/>
      <c r="BF519" s="880"/>
      <c r="BG519" s="880"/>
      <c r="BH519" s="880"/>
      <c r="BI519" s="880"/>
      <c r="BJ519" s="880"/>
      <c r="BK519" s="880"/>
      <c r="BL519" s="880"/>
      <c r="BM519" s="880"/>
      <c r="BN519" s="880"/>
      <c r="BO519" s="880"/>
      <c r="BP519" s="880"/>
      <c r="BQ519" s="880"/>
      <c r="BR519" s="880"/>
      <c r="BS519" s="880"/>
      <c r="BT519" s="880"/>
    </row>
    <row r="520" spans="1:72" s="882" customFormat="1" ht="16.149999999999999" hidden="1" customHeight="1" outlineLevel="1">
      <c r="A520" s="2989"/>
      <c r="B520" s="2990"/>
      <c r="C520" s="2912" t="s">
        <v>918</v>
      </c>
      <c r="D520" s="2912"/>
      <c r="E520" s="2995"/>
      <c r="F520" s="1328">
        <f>IF(SETUP!$F$56="Upfront",$E$519*'Malaria-Equipment &amp; Other HPs'!AW18,0)</f>
        <v>0</v>
      </c>
      <c r="G520" s="1194">
        <f>IF(SETUP!$F$56="Upfront",$E$519*'Malaria-Equipment &amp; Other HPs'!AX18,0)</f>
        <v>0</v>
      </c>
      <c r="H520" s="1194">
        <f>IF(SETUP!$F$56="Upfront",$E$519*'Malaria-Equipment &amp; Other HPs'!AY18,0)</f>
        <v>0</v>
      </c>
      <c r="I520" s="1194">
        <f>IF(SETUP!$F$56="Upfront",$E$519*'Malaria-Equipment &amp; Other HPs'!AZ18,0)</f>
        <v>0</v>
      </c>
      <c r="J520" s="1194">
        <f t="shared" si="72"/>
        <v>0</v>
      </c>
      <c r="K520" s="1328">
        <f>IF(SETUP!$F$56="Upfront",$E$519*'Malaria-Equipment &amp; Other HPs'!BA18,0)</f>
        <v>0</v>
      </c>
      <c r="L520" s="1194">
        <f>IF(SETUP!$F$56="Upfront",$E$519*'Malaria-Equipment &amp; Other HPs'!BB18,0)</f>
        <v>0</v>
      </c>
      <c r="M520" s="1194">
        <f>IF(SETUP!$F$56="Upfront",$E$519*'Malaria-Equipment &amp; Other HPs'!BC18,0)</f>
        <v>0</v>
      </c>
      <c r="N520" s="1194">
        <f>IF(SETUP!$F$56="Upfront",$E$519*'Malaria-Equipment &amp; Other HPs'!BD18,0)</f>
        <v>0</v>
      </c>
      <c r="O520" s="1194">
        <f t="shared" si="73"/>
        <v>0</v>
      </c>
      <c r="P520" s="1328">
        <f>IF(SETUP!$F$56="Upfront",$E$519*'Malaria-Equipment &amp; Other HPs'!BE18,0)</f>
        <v>0</v>
      </c>
      <c r="Q520" s="1194">
        <f>IF(SETUP!$F$56="Upfront",$E$519*'Malaria-Equipment &amp; Other HPs'!BF18,0)</f>
        <v>0</v>
      </c>
      <c r="R520" s="1194">
        <f>IF(SETUP!$F$56="Upfront",$E$519*'Malaria-Equipment &amp; Other HPs'!BG18,0)</f>
        <v>0</v>
      </c>
      <c r="S520" s="1194">
        <f>IF(SETUP!$F$56="Upfront",$E$519*'Malaria-Equipment &amp; Other HPs'!BH18,0)</f>
        <v>0</v>
      </c>
      <c r="T520" s="1194">
        <f t="shared" si="74"/>
        <v>0</v>
      </c>
      <c r="U520" s="1328">
        <f t="shared" si="75"/>
        <v>0</v>
      </c>
      <c r="V520" s="1826">
        <v>7.4</v>
      </c>
      <c r="W520" s="1837"/>
      <c r="X520" s="764"/>
      <c r="Y520" s="1836"/>
      <c r="Z520" s="850"/>
      <c r="AA520" s="880"/>
      <c r="AB520" s="880"/>
      <c r="AC520" s="880"/>
      <c r="AD520" s="880"/>
      <c r="AE520" s="880"/>
      <c r="AF520" s="880"/>
      <c r="AG520" s="880"/>
      <c r="AH520" s="881"/>
      <c r="AI520" s="880"/>
      <c r="AJ520" s="880"/>
      <c r="AK520" s="880"/>
      <c r="AL520" s="880"/>
      <c r="AM520" s="880"/>
      <c r="AN520" s="880"/>
      <c r="AO520" s="880"/>
      <c r="AP520" s="880"/>
      <c r="AQ520" s="880"/>
      <c r="AR520" s="880"/>
      <c r="AS520" s="880"/>
      <c r="AT520" s="880"/>
      <c r="AU520" s="880"/>
      <c r="AV520" s="880"/>
      <c r="AW520" s="880"/>
      <c r="AX520" s="880"/>
      <c r="AY520" s="880"/>
      <c r="AZ520" s="880"/>
      <c r="BA520" s="880"/>
      <c r="BB520" s="880"/>
      <c r="BC520" s="880"/>
      <c r="BD520" s="880"/>
      <c r="BE520" s="880"/>
      <c r="BF520" s="880"/>
      <c r="BG520" s="880"/>
      <c r="BH520" s="880"/>
      <c r="BI520" s="880"/>
      <c r="BJ520" s="880"/>
      <c r="BK520" s="880"/>
      <c r="BL520" s="880"/>
      <c r="BM520" s="880"/>
      <c r="BN520" s="880"/>
      <c r="BO520" s="880"/>
      <c r="BP520" s="880"/>
      <c r="BQ520" s="880"/>
      <c r="BR520" s="880"/>
      <c r="BS520" s="880"/>
      <c r="BT520" s="880"/>
    </row>
    <row r="521" spans="1:72" s="882" customFormat="1" ht="17.25" hidden="1" customHeight="1" outlineLevel="1">
      <c r="A521" s="2989"/>
      <c r="B521" s="2990"/>
      <c r="C521" s="2912" t="s">
        <v>36</v>
      </c>
      <c r="D521" s="2912"/>
      <c r="E521" s="2996"/>
      <c r="F521" s="1328">
        <v>0</v>
      </c>
      <c r="G521" s="1194">
        <f>IF(SETUP!$F$56="At delivery",IF(SETUP!$G$56=1,$E$519*'Malaria-Equipment &amp; Other HPs'!AW18,0),0)</f>
        <v>0</v>
      </c>
      <c r="H521" s="1194">
        <f>IF(SETUP!$F$56="At delivery",IF(SETUP!$G$56=2,$E$519*'Malaria-Equipment &amp; Other HPs'!AW18,IF(SETUP!$G$56=1,$E$519*'Malaria-Equipment &amp; Other HPs'!AX18,0)),0)</f>
        <v>0</v>
      </c>
      <c r="I521" s="1194">
        <f>IF(SETUP!$F$56="At delivery",IF(SETUP!$G$56=3,$E$519*'Malaria-Equipment &amp; Other HPs'!AW18,IF(SETUP!$G$56=2,$E$519*'Malaria-Equipment &amp; Other HPs'!AX18,IF(SETUP!$G$56=1,$E$519*'Malaria-Equipment &amp; Other HPs'!AY18,0))),0)</f>
        <v>0</v>
      </c>
      <c r="J521" s="1194">
        <f t="shared" si="72"/>
        <v>0</v>
      </c>
      <c r="K521" s="1328">
        <f>IF(SETUP!$F$56="At delivery",IF(SETUP!$G$56=4,$E$519*'Malaria-Equipment &amp; Other HPs'!AW18,IF(SETUP!$G$56=3,$E$519*'Malaria-Equipment &amp; Other HPs'!AX18,IF(SETUP!$G$56=2,$E$519*'Malaria-Equipment &amp; Other HPs'!AY18,IF(SETUP!$G$56=1,$E$519*'Malaria-Equipment &amp; Other HPs'!AZ18,0)))),0)</f>
        <v>0</v>
      </c>
      <c r="L521" s="1194">
        <f>IF(SETUP!$F$56="At delivery",IF(SETUP!$G$56=4,$E$519*'Malaria-Equipment &amp; Other HPs'!AX18,IF(SETUP!$G$56=3,$E$519*'Malaria-Equipment &amp; Other HPs'!AY18,IF(SETUP!$G$56=2,$E$519*'Malaria-Equipment &amp; Other HPs'!AZ18,IF(SETUP!$G$56=1,$E$519*'Malaria-Equipment &amp; Other HPs'!BA18,0)))),0)</f>
        <v>0</v>
      </c>
      <c r="M521" s="1194">
        <f>IF(SETUP!$F$56="At delivery",IF(SETUP!$G$56=4,$E$519*'Malaria-Equipment &amp; Other HPs'!AY18,IF(SETUP!$G$56=3,$E$519*'Malaria-Equipment &amp; Other HPs'!AZ18,IF(SETUP!$G$56=2,$E$519*'Malaria-Equipment &amp; Other HPs'!BA18,IF(SETUP!$G$56=1,$E$519*'Malaria-Equipment &amp; Other HPs'!BB18,0)))),0)</f>
        <v>0</v>
      </c>
      <c r="N521" s="1194">
        <f>IF(SETUP!$F$56="At delivery",IF(SETUP!$G$56=4,$E$519*'Malaria-Equipment &amp; Other HPs'!AZ18,IF(SETUP!$G$56=3,$E$519*'Malaria-Equipment &amp; Other HPs'!BA18,IF(SETUP!$G$56=2,$E$519*'Malaria-Equipment &amp; Other HPs'!BB18,IF(SETUP!$G$56=1,$E$519*'Malaria-Equipment &amp; Other HPs'!BC18,0)))),0)</f>
        <v>0</v>
      </c>
      <c r="O521" s="1194">
        <f t="shared" si="73"/>
        <v>0</v>
      </c>
      <c r="P521" s="1328">
        <f>IF(SETUP!$F$56="At delivery",IF(SETUP!$G$56=4,$E$519*'Malaria-Equipment &amp; Other HPs'!BA18,IF(SETUP!$G$56=3,$E$519*'Malaria-Equipment &amp; Other HPs'!BB18,IF(SETUP!$G$56=2,$E$519*'Malaria-Equipment &amp; Other HPs'!BC18,IF(SETUP!$G$56=1,$E$519*'Malaria-Equipment &amp; Other HPs'!BD18,0)))),0)</f>
        <v>0</v>
      </c>
      <c r="Q521" s="1194">
        <f>IF(SETUP!$F$56="At delivery",IF(SETUP!$G$56=4,$E$519*'Malaria-Equipment &amp; Other HPs'!BB18,IF(SETUP!$G$56=3,$E$519*'Malaria-Equipment &amp; Other HPs'!BC18,IF(SETUP!$G$56=2,$E$519*'Malaria-Equipment &amp; Other HPs'!BD18,IF(SETUP!$G$56=1,$E$519*'Malaria-Equipment &amp; Other HPs'!BE18,0)))),0)</f>
        <v>0</v>
      </c>
      <c r="R521" s="1194">
        <f>IF(SETUP!$F$56="At delivery",IF(SETUP!$G$56=4,$E$519*'Malaria-Equipment &amp; Other HPs'!BC18,IF(SETUP!$G$56=3,$E$519*'Malaria-Equipment &amp; Other HPs'!BD18,IF(SETUP!$G$56=2,$E$519*'Malaria-Equipment &amp; Other HPs'!BE18,IF(SETUP!$G$56=1,$E$519*'Malaria-Equipment &amp; Other HPs'!BF18,0)))),0)</f>
        <v>0</v>
      </c>
      <c r="S521" s="1194">
        <f>IF(SETUP!$F$56="At delivery",IF(SETUP!$G$56=4,$E$519*('Malaria-Equipment &amp; Other HPs'!BD18+'Malaria-Equipment &amp; Other HPs'!BE18+'Malaria-Equipment &amp; Other HPs'!BF18+'Malaria-Equipment &amp; Other HPs'!BG18+'Malaria-Equipment &amp; Other HPs'!BH18),IF(SETUP!$G$56=3,$E$519*('Malaria-Equipment &amp; Other HPs'!BE18+'Malaria-Equipment &amp; Other HPs'!BF18+'Malaria-Equipment &amp; Other HPs'!BG18+'Malaria-Equipment &amp; Other HPs'!BH18),IF(SETUP!$G$56=2,$E$519*('Malaria-Equipment &amp; Other HPs'!BF18+'Malaria-Equipment &amp; Other HPs'!BG18+'Malaria-Equipment &amp; Other HPs'!BH18),IF(SETUP!$G$56=1,$E$519*('Malaria-Equipment &amp; Other HPs'!BG18+'Malaria-Equipment &amp; Other HPs'!BH18),0)))),0)</f>
        <v>0</v>
      </c>
      <c r="T521" s="1194">
        <f t="shared" si="74"/>
        <v>0</v>
      </c>
      <c r="U521" s="1328">
        <f t="shared" si="75"/>
        <v>0</v>
      </c>
      <c r="V521" s="1826">
        <v>7.4</v>
      </c>
      <c r="W521" s="1837"/>
      <c r="X521" s="764"/>
      <c r="Y521" s="1836"/>
      <c r="Z521" s="850"/>
      <c r="AA521" s="880"/>
      <c r="AB521" s="880"/>
      <c r="AC521" s="880"/>
      <c r="AD521" s="880"/>
      <c r="AE521" s="880"/>
      <c r="AF521" s="880"/>
      <c r="AG521" s="880"/>
      <c r="AH521" s="881"/>
      <c r="AI521" s="880"/>
      <c r="AJ521" s="880"/>
      <c r="AK521" s="880"/>
      <c r="AL521" s="880"/>
      <c r="AM521" s="880"/>
      <c r="AN521" s="880"/>
      <c r="AO521" s="880"/>
      <c r="AP521" s="880"/>
      <c r="AQ521" s="880"/>
      <c r="AR521" s="880"/>
      <c r="AS521" s="880"/>
      <c r="AT521" s="880"/>
      <c r="AU521" s="880"/>
      <c r="AV521" s="880"/>
      <c r="AW521" s="880"/>
      <c r="AX521" s="880"/>
      <c r="AY521" s="880"/>
      <c r="AZ521" s="880"/>
      <c r="BA521" s="880"/>
      <c r="BB521" s="880"/>
      <c r="BC521" s="880"/>
      <c r="BD521" s="880"/>
      <c r="BE521" s="880"/>
      <c r="BF521" s="880"/>
      <c r="BG521" s="880"/>
      <c r="BH521" s="880"/>
      <c r="BI521" s="880"/>
      <c r="BJ521" s="880"/>
      <c r="BK521" s="880"/>
      <c r="BL521" s="880"/>
      <c r="BM521" s="880"/>
      <c r="BN521" s="880"/>
      <c r="BO521" s="880"/>
      <c r="BP521" s="880"/>
      <c r="BQ521" s="880"/>
      <c r="BR521" s="880"/>
      <c r="BS521" s="880"/>
      <c r="BT521" s="880"/>
    </row>
    <row r="522" spans="1:72" s="882" customFormat="1" ht="13" hidden="1" collapsed="1">
      <c r="A522" s="2989"/>
      <c r="B522" s="2990"/>
      <c r="C522" s="2911" t="s">
        <v>537</v>
      </c>
      <c r="D522" s="2911"/>
      <c r="E522" s="2994">
        <v>0</v>
      </c>
      <c r="F522" s="1328">
        <f>IF(SETUP!$F$57="Upfront",F523,F524)</f>
        <v>0</v>
      </c>
      <c r="G522" s="1194">
        <f>IF(SETUP!$F$57="Upfront",G523,G524)</f>
        <v>0</v>
      </c>
      <c r="H522" s="1194">
        <f>IF(SETUP!$F$57="Upfront",H523,H524)</f>
        <v>0</v>
      </c>
      <c r="I522" s="1194">
        <f>IF(SETUP!$F$57="Upfront",I523,I524)</f>
        <v>0</v>
      </c>
      <c r="J522" s="1194">
        <f t="shared" si="72"/>
        <v>0</v>
      </c>
      <c r="K522" s="1328">
        <f>IF(SETUP!$F$57="Upfront",K523,K524)</f>
        <v>0</v>
      </c>
      <c r="L522" s="1194">
        <f>IF(SETUP!$F$57="Upfront",L523,L524)</f>
        <v>0</v>
      </c>
      <c r="M522" s="1194">
        <f>IF(SETUP!$F$57="Upfront",M523,M524)</f>
        <v>0</v>
      </c>
      <c r="N522" s="1194">
        <f>IF(SETUP!$F$57="Upfront",N523,N524)</f>
        <v>0</v>
      </c>
      <c r="O522" s="1194">
        <f t="shared" si="73"/>
        <v>0</v>
      </c>
      <c r="P522" s="1328">
        <f>IF(SETUP!$F$57="Upfront",P523,P524)</f>
        <v>0</v>
      </c>
      <c r="Q522" s="1194">
        <f>IF(SETUP!$F$57="Upfront",Q523,Q524)</f>
        <v>0</v>
      </c>
      <c r="R522" s="1194">
        <f>IF(SETUP!$F$57="Upfront",R523,R524)</f>
        <v>0</v>
      </c>
      <c r="S522" s="1194">
        <f>IF(SETUP!$F$57="Upfront",S523,S524)</f>
        <v>0</v>
      </c>
      <c r="T522" s="1194">
        <f t="shared" si="74"/>
        <v>0</v>
      </c>
      <c r="U522" s="1328">
        <f t="shared" si="75"/>
        <v>0</v>
      </c>
      <c r="V522" s="1826">
        <v>7.4</v>
      </c>
      <c r="W522" s="1837"/>
      <c r="X522" s="764"/>
      <c r="Y522" s="1836"/>
      <c r="Z522" s="850"/>
      <c r="AA522" s="880"/>
      <c r="AB522" s="880"/>
      <c r="AC522" s="880"/>
      <c r="AD522" s="880"/>
      <c r="AE522" s="880"/>
      <c r="AF522" s="880"/>
      <c r="AG522" s="880"/>
      <c r="AH522" s="881"/>
      <c r="AI522" s="880"/>
      <c r="AJ522" s="880"/>
      <c r="AK522" s="880"/>
      <c r="AL522" s="880"/>
      <c r="AM522" s="880"/>
      <c r="AN522" s="880"/>
      <c r="AO522" s="880"/>
      <c r="AP522" s="880"/>
      <c r="AQ522" s="880"/>
      <c r="AR522" s="880"/>
      <c r="AS522" s="880"/>
      <c r="AT522" s="880"/>
      <c r="AU522" s="880"/>
      <c r="AV522" s="880"/>
      <c r="AW522" s="880"/>
      <c r="AX522" s="880"/>
      <c r="AY522" s="880"/>
      <c r="AZ522" s="880"/>
      <c r="BA522" s="880"/>
      <c r="BB522" s="880"/>
      <c r="BC522" s="880"/>
      <c r="BD522" s="880"/>
      <c r="BE522" s="880"/>
      <c r="BF522" s="880"/>
      <c r="BG522" s="880"/>
      <c r="BH522" s="880"/>
      <c r="BI522" s="880"/>
      <c r="BJ522" s="880"/>
      <c r="BK522" s="880"/>
      <c r="BL522" s="880"/>
      <c r="BM522" s="880"/>
      <c r="BN522" s="880"/>
      <c r="BO522" s="880"/>
      <c r="BP522" s="880"/>
      <c r="BQ522" s="880"/>
      <c r="BR522" s="880"/>
      <c r="BS522" s="880"/>
      <c r="BT522" s="880"/>
    </row>
    <row r="523" spans="1:72" s="882" customFormat="1" ht="16.149999999999999" hidden="1" customHeight="1" outlineLevel="1">
      <c r="A523" s="2989"/>
      <c r="B523" s="2990"/>
      <c r="C523" s="2912" t="s">
        <v>918</v>
      </c>
      <c r="D523" s="2912"/>
      <c r="E523" s="2995"/>
      <c r="F523" s="1328">
        <f>IF(SETUP!$F$57="Upfront",$E$522*'Malaria-Equipment &amp; Other HPs'!AW19,0)</f>
        <v>0</v>
      </c>
      <c r="G523" s="1194">
        <f>IF(SETUP!$F$57="Upfront",$E$522*'Malaria-Equipment &amp; Other HPs'!AX19,0)</f>
        <v>0</v>
      </c>
      <c r="H523" s="1194">
        <f>IF(SETUP!$F$57="Upfront",$E$522*'Malaria-Equipment &amp; Other HPs'!AY19,0)</f>
        <v>0</v>
      </c>
      <c r="I523" s="1194">
        <f>IF(SETUP!$F$57="Upfront",$E$522*'Malaria-Equipment &amp; Other HPs'!AZ19,0)</f>
        <v>0</v>
      </c>
      <c r="J523" s="1194">
        <f t="shared" si="72"/>
        <v>0</v>
      </c>
      <c r="K523" s="1328">
        <f>IF(SETUP!$F$57="Upfront",$E$522*'Malaria-Equipment &amp; Other HPs'!BA19,0)</f>
        <v>0</v>
      </c>
      <c r="L523" s="1194">
        <f>IF(SETUP!$F$57="Upfront",$E$522*'Malaria-Equipment &amp; Other HPs'!BB19,0)</f>
        <v>0</v>
      </c>
      <c r="M523" s="1194">
        <f>IF(SETUP!$F$57="Upfront",$E$522*'Malaria-Equipment &amp; Other HPs'!BC19,0)</f>
        <v>0</v>
      </c>
      <c r="N523" s="1194">
        <f>IF(SETUP!$F$57="Upfront",$E$522*'Malaria-Equipment &amp; Other HPs'!BD19,0)</f>
        <v>0</v>
      </c>
      <c r="O523" s="1194">
        <f t="shared" si="73"/>
        <v>0</v>
      </c>
      <c r="P523" s="1328">
        <f>IF(SETUP!$F$57="Upfront",$E$522*'Malaria-Equipment &amp; Other HPs'!BE19,0)</f>
        <v>0</v>
      </c>
      <c r="Q523" s="1194">
        <f>IF(SETUP!$F$57="Upfront",$E$522*'Malaria-Equipment &amp; Other HPs'!BF19,0)</f>
        <v>0</v>
      </c>
      <c r="R523" s="1194">
        <f>IF(SETUP!$F$57="Upfront",$E$522*'Malaria-Equipment &amp; Other HPs'!BG19,0)</f>
        <v>0</v>
      </c>
      <c r="S523" s="1194">
        <f>IF(SETUP!$F$57="Upfront",$E$522*'Malaria-Equipment &amp; Other HPs'!BH19,0)</f>
        <v>0</v>
      </c>
      <c r="T523" s="1194">
        <f t="shared" si="74"/>
        <v>0</v>
      </c>
      <c r="U523" s="1328">
        <f t="shared" si="75"/>
        <v>0</v>
      </c>
      <c r="V523" s="1826">
        <v>7.4</v>
      </c>
      <c r="W523" s="1837"/>
      <c r="X523" s="764"/>
      <c r="Y523" s="1836"/>
      <c r="Z523" s="850"/>
      <c r="AA523" s="880"/>
      <c r="AB523" s="880"/>
      <c r="AC523" s="880"/>
      <c r="AD523" s="880"/>
      <c r="AE523" s="880"/>
      <c r="AF523" s="880"/>
      <c r="AG523" s="880"/>
      <c r="AH523" s="881"/>
      <c r="AI523" s="880"/>
      <c r="AJ523" s="880"/>
      <c r="AK523" s="880"/>
      <c r="AL523" s="880"/>
      <c r="AM523" s="880"/>
      <c r="AN523" s="880"/>
      <c r="AO523" s="880"/>
      <c r="AP523" s="880"/>
      <c r="AQ523" s="880"/>
      <c r="AR523" s="880"/>
      <c r="AS523" s="880"/>
      <c r="AT523" s="880"/>
      <c r="AU523" s="880"/>
      <c r="AV523" s="880"/>
      <c r="AW523" s="880"/>
      <c r="AX523" s="880"/>
      <c r="AY523" s="880"/>
      <c r="AZ523" s="880"/>
      <c r="BA523" s="880"/>
      <c r="BB523" s="880"/>
      <c r="BC523" s="880"/>
      <c r="BD523" s="880"/>
      <c r="BE523" s="880"/>
      <c r="BF523" s="880"/>
      <c r="BG523" s="880"/>
      <c r="BH523" s="880"/>
      <c r="BI523" s="880"/>
      <c r="BJ523" s="880"/>
      <c r="BK523" s="880"/>
      <c r="BL523" s="880"/>
      <c r="BM523" s="880"/>
      <c r="BN523" s="880"/>
      <c r="BO523" s="880"/>
      <c r="BP523" s="880"/>
      <c r="BQ523" s="880"/>
      <c r="BR523" s="880"/>
      <c r="BS523" s="880"/>
      <c r="BT523" s="880"/>
    </row>
    <row r="524" spans="1:72" s="882" customFormat="1" ht="17.25" hidden="1" customHeight="1" outlineLevel="1">
      <c r="A524" s="2989"/>
      <c r="B524" s="2990"/>
      <c r="C524" s="2912" t="s">
        <v>36</v>
      </c>
      <c r="D524" s="2912"/>
      <c r="E524" s="2995"/>
      <c r="F524" s="1328">
        <v>0</v>
      </c>
      <c r="G524" s="1194">
        <f>IF(SETUP!$F$57="At delivery",IF(SETUP!$G$57=1,$E$522*'Malaria-Equipment &amp; Other HPs'!AW19,0),0)</f>
        <v>0</v>
      </c>
      <c r="H524" s="1194">
        <f>IF(SETUP!$F$57="At delivery",IF(SETUP!$G$57=2,$E$522*'Malaria-Equipment &amp; Other HPs'!AW19,IF(SETUP!$G$57=1,$E$522*'Malaria-Equipment &amp; Other HPs'!AX19,0)),0)</f>
        <v>0</v>
      </c>
      <c r="I524" s="1194">
        <f>IF(SETUP!$F$57="At delivery",IF(SETUP!$G$57=3,$E$522*'Malaria-Equipment &amp; Other HPs'!AW19,IF(SETUP!$G$57=2,$E$522*'Malaria-Equipment &amp; Other HPs'!AX19,IF(SETUP!$G$57=1,$E$522*'Malaria-Equipment &amp; Other HPs'!AY19,0))),0)</f>
        <v>0</v>
      </c>
      <c r="J524" s="1194">
        <f t="shared" si="72"/>
        <v>0</v>
      </c>
      <c r="K524" s="1328">
        <f>IF(SETUP!$F$57="At delivery",IF(SETUP!$G$57=4,$E$522*'Malaria-Equipment &amp; Other HPs'!AW19,IF(SETUP!$G$57=3,$E$522*'Malaria-Equipment &amp; Other HPs'!AX19,IF(SETUP!$G$57=2,$E$522*'Malaria-Equipment &amp; Other HPs'!AY19,IF(SETUP!$G$57=1,$E$522*'Malaria-Equipment &amp; Other HPs'!AZ19,0)))),0)</f>
        <v>0</v>
      </c>
      <c r="L524" s="1194">
        <f>IF(SETUP!$F$57="At delivery",IF(SETUP!$G$57=4,$E$522*'Malaria-Equipment &amp; Other HPs'!AX19,IF(SETUP!$G$57=3,$E$522*'Malaria-Equipment &amp; Other HPs'!AY19,IF(SETUP!$G$57=2,$E$522*'Malaria-Equipment &amp; Other HPs'!AZ19,IF(SETUP!$G$57=1,$E$522*'Malaria-Equipment &amp; Other HPs'!BA19,0)))),0)</f>
        <v>0</v>
      </c>
      <c r="M524" s="1194">
        <f>IF(SETUP!$F$57="At delivery",IF(SETUP!$G$57=4,$E$522*'Malaria-Equipment &amp; Other HPs'!AY19,IF(SETUP!$G$57=3,$E$522*'Malaria-Equipment &amp; Other HPs'!AZ19,IF(SETUP!$G$57=2,$E$522*'Malaria-Equipment &amp; Other HPs'!BA19,IF(SETUP!$G$57=1,$E$522*'Malaria-Equipment &amp; Other HPs'!BB19,0)))),0)</f>
        <v>0</v>
      </c>
      <c r="N524" s="1194">
        <f>IF(SETUP!$F$57="At delivery",IF(SETUP!$G$57=4,$E$522*'Malaria-Equipment &amp; Other HPs'!AZ19,IF(SETUP!$G$57=3,$E$522*'Malaria-Equipment &amp; Other HPs'!BA19,IF(SETUP!$G$57=2,$E$522*'Malaria-Equipment &amp; Other HPs'!BB19,IF(SETUP!$G$57=1,$E$522*'Malaria-Equipment &amp; Other HPs'!BC19,0)))),0)</f>
        <v>0</v>
      </c>
      <c r="O524" s="1194">
        <f t="shared" si="73"/>
        <v>0</v>
      </c>
      <c r="P524" s="1328">
        <f>IF(SETUP!$F$57="At delivery",IF(SETUP!$G$57=4,$E$522*'Malaria-Equipment &amp; Other HPs'!BA19,IF(SETUP!$G$57=3,$E$522*'Malaria-Equipment &amp; Other HPs'!BB19,IF(SETUP!$G$57=2,$E$522*'Malaria-Equipment &amp; Other HPs'!BC19,IF(SETUP!$G$57=1,$E$522*'Malaria-Equipment &amp; Other HPs'!BD19,0)))),0)</f>
        <v>0</v>
      </c>
      <c r="Q524" s="1194">
        <f>IF(SETUP!$F$57="At delivery",IF(SETUP!$G$57=4,$E$522*'Malaria-Equipment &amp; Other HPs'!BB19,IF(SETUP!$G$57=3,$E$522*'Malaria-Equipment &amp; Other HPs'!BC19,IF(SETUP!$G$57=2,$E$522*'Malaria-Equipment &amp; Other HPs'!BD19,IF(SETUP!$G$57=1,$E$522*'Malaria-Equipment &amp; Other HPs'!BE19,0)))),0)</f>
        <v>0</v>
      </c>
      <c r="R524" s="1194">
        <f>IF(SETUP!$F$57="At delivery",IF(SETUP!$G$57=4,$E$522*'Malaria-Equipment &amp; Other HPs'!BC19,IF(SETUP!$G$57=3,$E$522*'Malaria-Equipment &amp; Other HPs'!BD19,IF(SETUP!$G$57=2,$E$522*'Malaria-Equipment &amp; Other HPs'!BE19,IF(SETUP!$G$57=1,$E$522*'Malaria-Equipment &amp; Other HPs'!BF19,0)))),0)</f>
        <v>0</v>
      </c>
      <c r="S524" s="1194">
        <f>IF(SETUP!$F$57="At delivery",IF(SETUP!$G$57=4,$E$522*('Malaria-Equipment &amp; Other HPs'!BD19+'Malaria-Equipment &amp; Other HPs'!BE19+'Malaria-Equipment &amp; Other HPs'!BF19+'Malaria-Equipment &amp; Other HPs'!BG19+'Malaria-Equipment &amp; Other HPs'!BH19),IF(SETUP!$G$57=3,$E$522*('Malaria-Equipment &amp; Other HPs'!BE19+'Malaria-Equipment &amp; Other HPs'!BF19+'Malaria-Equipment &amp; Other HPs'!BG19+'Malaria-Equipment &amp; Other HPs'!BH19),IF(SETUP!$G$57=2,$E$522*('Malaria-Equipment &amp; Other HPs'!BF19+'Malaria-Equipment &amp; Other HPs'!BG19+'Malaria-Equipment &amp; Other HPs'!BH19),IF(SETUP!$G$57=1,$E$522*('Malaria-Equipment &amp; Other HPs'!BG19+'Malaria-Equipment &amp; Other HPs'!BH19),0)))),0)</f>
        <v>0</v>
      </c>
      <c r="T524" s="1194">
        <f t="shared" si="74"/>
        <v>0</v>
      </c>
      <c r="U524" s="1328">
        <f t="shared" si="75"/>
        <v>0</v>
      </c>
      <c r="V524" s="1826">
        <v>7.4</v>
      </c>
      <c r="W524" s="1837"/>
      <c r="X524" s="764"/>
      <c r="Y524" s="1836"/>
      <c r="Z524" s="850"/>
      <c r="AA524" s="880"/>
      <c r="AB524" s="880"/>
      <c r="AC524" s="880"/>
      <c r="AD524" s="880"/>
      <c r="AE524" s="880"/>
      <c r="AF524" s="880"/>
      <c r="AG524" s="880"/>
      <c r="AH524" s="881"/>
      <c r="AI524" s="880"/>
      <c r="AJ524" s="880"/>
      <c r="AK524" s="880"/>
      <c r="AL524" s="880"/>
      <c r="AM524" s="880"/>
      <c r="AN524" s="880"/>
      <c r="AO524" s="880"/>
      <c r="AP524" s="880"/>
      <c r="AQ524" s="880"/>
      <c r="AR524" s="880"/>
      <c r="AS524" s="880"/>
      <c r="AT524" s="880"/>
      <c r="AU524" s="880"/>
      <c r="AV524" s="880"/>
      <c r="AW524" s="880"/>
      <c r="AX524" s="880"/>
      <c r="AY524" s="880"/>
      <c r="AZ524" s="880"/>
      <c r="BA524" s="880"/>
      <c r="BB524" s="880"/>
      <c r="BC524" s="880"/>
      <c r="BD524" s="880"/>
      <c r="BE524" s="880"/>
      <c r="BF524" s="880"/>
      <c r="BG524" s="880"/>
      <c r="BH524" s="880"/>
      <c r="BI524" s="880"/>
      <c r="BJ524" s="880"/>
      <c r="BK524" s="880"/>
      <c r="BL524" s="880"/>
      <c r="BM524" s="880"/>
      <c r="BN524" s="880"/>
      <c r="BO524" s="880"/>
      <c r="BP524" s="880"/>
      <c r="BQ524" s="880"/>
      <c r="BR524" s="880"/>
      <c r="BS524" s="880"/>
      <c r="BT524" s="880"/>
    </row>
    <row r="525" spans="1:72" s="882" customFormat="1" ht="13.5" hidden="1" collapsed="1" thickBot="1">
      <c r="A525" s="2989"/>
      <c r="B525" s="2990"/>
      <c r="C525" s="2911" t="s">
        <v>584</v>
      </c>
      <c r="D525" s="2911"/>
      <c r="E525" s="2997"/>
      <c r="F525" s="1344">
        <f>IF(SETUP!$F$58="Upfront",F526,F527)</f>
        <v>0</v>
      </c>
      <c r="G525" s="1345">
        <f>IF(SETUP!$F$58="Upfront",G526,G527)</f>
        <v>0</v>
      </c>
      <c r="H525" s="1345">
        <f>IF(SETUP!$F$58="Upfront",H526,H527)</f>
        <v>0</v>
      </c>
      <c r="I525" s="1345">
        <f>IF(SETUP!$F$58="Upfront",I526,I527)</f>
        <v>0</v>
      </c>
      <c r="J525" s="1345">
        <f t="shared" si="72"/>
        <v>0</v>
      </c>
      <c r="K525" s="1344">
        <f>IF(SETUP!$F$58="Upfront",K526,K527)</f>
        <v>0</v>
      </c>
      <c r="L525" s="1345">
        <f>IF(SETUP!$F$58="Upfront",L526,L527)</f>
        <v>0</v>
      </c>
      <c r="M525" s="1345">
        <f>IF(SETUP!$F$58="Upfront",M526,M527)</f>
        <v>0</v>
      </c>
      <c r="N525" s="1345">
        <f>IF(SETUP!$F$58="Upfront",N526,N527)</f>
        <v>0</v>
      </c>
      <c r="O525" s="1346">
        <f t="shared" si="73"/>
        <v>0</v>
      </c>
      <c r="P525" s="1331">
        <f>IF(SETUP!$F$58="Upfront",P526,P527)</f>
        <v>0</v>
      </c>
      <c r="Q525" s="1332">
        <f>IF(SETUP!$F$58="Upfront",Q526,Q527)</f>
        <v>0</v>
      </c>
      <c r="R525" s="1332">
        <f>IF(SETUP!$F$58="Upfront",R526,R527)</f>
        <v>0</v>
      </c>
      <c r="S525" s="1332">
        <f>IF(SETUP!$F$58="Upfront",S526,S527)</f>
        <v>0</v>
      </c>
      <c r="T525" s="1332">
        <f t="shared" si="74"/>
        <v>0</v>
      </c>
      <c r="U525" s="1331">
        <f t="shared" si="75"/>
        <v>0</v>
      </c>
      <c r="V525" s="1804">
        <v>7.4</v>
      </c>
      <c r="W525" s="1839"/>
      <c r="X525" s="764"/>
      <c r="Y525" s="1836"/>
      <c r="Z525" s="850"/>
      <c r="AA525" s="880"/>
      <c r="AB525" s="880"/>
      <c r="AC525" s="880"/>
      <c r="AD525" s="880"/>
      <c r="AE525" s="880"/>
      <c r="AF525" s="880"/>
      <c r="AG525" s="880"/>
      <c r="AH525" s="881"/>
      <c r="AI525" s="880"/>
      <c r="AJ525" s="880"/>
      <c r="AK525" s="880"/>
      <c r="AL525" s="880"/>
      <c r="AM525" s="880"/>
      <c r="AN525" s="880"/>
      <c r="AO525" s="880"/>
      <c r="AP525" s="880"/>
      <c r="AQ525" s="880"/>
      <c r="AR525" s="880"/>
      <c r="AS525" s="880"/>
      <c r="AT525" s="880"/>
      <c r="AU525" s="880"/>
      <c r="AV525" s="880"/>
      <c r="AW525" s="880"/>
      <c r="AX525" s="880"/>
      <c r="AY525" s="880"/>
      <c r="AZ525" s="880"/>
      <c r="BA525" s="880"/>
      <c r="BB525" s="880"/>
      <c r="BC525" s="880"/>
      <c r="BD525" s="880"/>
      <c r="BE525" s="880"/>
      <c r="BF525" s="880"/>
      <c r="BG525" s="880"/>
      <c r="BH525" s="880"/>
      <c r="BI525" s="880"/>
      <c r="BJ525" s="880"/>
      <c r="BK525" s="880"/>
      <c r="BL525" s="880"/>
      <c r="BM525" s="880"/>
      <c r="BN525" s="880"/>
      <c r="BO525" s="880"/>
      <c r="BP525" s="880"/>
      <c r="BQ525" s="880"/>
      <c r="BR525" s="880"/>
      <c r="BS525" s="880"/>
      <c r="BT525" s="880"/>
    </row>
    <row r="526" spans="1:72" s="882" customFormat="1" ht="12.75" hidden="1" customHeight="1" outlineLevel="1">
      <c r="A526" s="1287"/>
      <c r="B526" s="1288"/>
      <c r="C526" s="2912" t="s">
        <v>918</v>
      </c>
      <c r="D526" s="2912"/>
      <c r="E526" s="1325"/>
      <c r="F526" s="1296">
        <f>IF(SETUP!$F$57="Upfront",$E$522*'Malaria-Equipment &amp; Other HPs'!AW20,0)</f>
        <v>0</v>
      </c>
      <c r="G526" s="1297">
        <f>IF(SETUP!$F$57="Upfront",$E$522*'Malaria-Equipment &amp; Other HPs'!AX20,0)</f>
        <v>0</v>
      </c>
      <c r="H526" s="1297">
        <f>IF(SETUP!$F$57="Upfront",$E$522*'Malaria-Equipment &amp; Other HPs'!AY20,0)</f>
        <v>0</v>
      </c>
      <c r="I526" s="1297">
        <f>IF(SETUP!$F$57="Upfront",$E$522*'Malaria-Equipment &amp; Other HPs'!AZ20,0)</f>
        <v>0</v>
      </c>
      <c r="J526" s="1298">
        <f>SUM('HPM costs'!$F526:$I526)</f>
        <v>0</v>
      </c>
      <c r="K526" s="1296">
        <f>IF(SETUP!$F$57="Upfront",$E$522*'Malaria-Equipment &amp; Other HPs'!BA20,0)</f>
        <v>0</v>
      </c>
      <c r="L526" s="1297">
        <f>IF(SETUP!$F$57="Upfront",$E$522*'Malaria-Equipment &amp; Other HPs'!BB20,0)</f>
        <v>0</v>
      </c>
      <c r="M526" s="1297">
        <f>IF(SETUP!$F$57="Upfront",$E$522*'Malaria-Equipment &amp; Other HPs'!BC20,0)</f>
        <v>0</v>
      </c>
      <c r="N526" s="1297">
        <f>IF(SETUP!$F$57="Upfront",$E$522*'Malaria-Equipment &amp; Other HPs'!BD20,0)</f>
        <v>0</v>
      </c>
      <c r="O526" s="1298">
        <f>SUM('HPM costs'!$K526:$N526)</f>
        <v>0</v>
      </c>
      <c r="P526" s="1296">
        <f>IF(SETUP!$F$57="Upfront",$E$522*'Malaria-Equipment &amp; Other HPs'!BE20,0)</f>
        <v>0</v>
      </c>
      <c r="Q526" s="1297">
        <f>IF(SETUP!$F$57="Upfront",$E$522*'Malaria-Equipment &amp; Other HPs'!BF20,0)</f>
        <v>0</v>
      </c>
      <c r="R526" s="1297">
        <f>IF(SETUP!$F$57="Upfront",$E$522*'Malaria-Equipment &amp; Other HPs'!BG20,0)</f>
        <v>0</v>
      </c>
      <c r="S526" s="1297">
        <f>IF(SETUP!$F$57="Upfront",$E$522*'Malaria-Equipment &amp; Other HPs'!BH20,0)</f>
        <v>0</v>
      </c>
      <c r="T526" s="1298">
        <f>SUM('HPM costs'!$P526:$S526)</f>
        <v>0</v>
      </c>
      <c r="U526" s="1299">
        <f>'HPM costs'!$T526+'HPM costs'!$O526+'HPM costs'!$J526</f>
        <v>0</v>
      </c>
      <c r="V526" s="1832"/>
      <c r="W526" s="1840"/>
      <c r="X526" s="764"/>
      <c r="Y526" s="1836"/>
      <c r="Z526" s="850"/>
      <c r="AA526" s="880"/>
      <c r="AB526" s="880"/>
      <c r="AC526" s="880"/>
      <c r="AD526" s="880"/>
      <c r="AE526" s="880"/>
      <c r="AF526" s="880"/>
      <c r="AG526" s="880"/>
      <c r="AH526" s="881"/>
      <c r="AI526" s="880"/>
      <c r="AJ526" s="880"/>
      <c r="AK526" s="880"/>
      <c r="AL526" s="880"/>
      <c r="AM526" s="880"/>
      <c r="AN526" s="880"/>
      <c r="AO526" s="880"/>
      <c r="AP526" s="880"/>
      <c r="AQ526" s="880"/>
      <c r="AR526" s="880"/>
      <c r="AS526" s="880"/>
      <c r="AT526" s="880"/>
      <c r="AU526" s="880"/>
      <c r="AV526" s="880"/>
      <c r="AW526" s="880"/>
      <c r="AX526" s="880"/>
      <c r="AY526" s="880"/>
      <c r="AZ526" s="880"/>
      <c r="BA526" s="880"/>
      <c r="BB526" s="880"/>
      <c r="BC526" s="880"/>
      <c r="BD526" s="880"/>
      <c r="BE526" s="880"/>
      <c r="BF526" s="880"/>
      <c r="BG526" s="880"/>
      <c r="BH526" s="880"/>
      <c r="BI526" s="880"/>
      <c r="BJ526" s="880"/>
      <c r="BK526" s="880"/>
      <c r="BL526" s="880"/>
      <c r="BM526" s="880"/>
      <c r="BN526" s="880"/>
      <c r="BO526" s="880"/>
      <c r="BP526" s="880"/>
      <c r="BQ526" s="880"/>
      <c r="BR526" s="880"/>
      <c r="BS526" s="880"/>
      <c r="BT526" s="880"/>
    </row>
    <row r="527" spans="1:72" s="882" customFormat="1" ht="13.5" hidden="1" customHeight="1" outlineLevel="1" thickBot="1">
      <c r="A527" s="1339"/>
      <c r="B527" s="1340"/>
      <c r="C527" s="2969" t="s">
        <v>36</v>
      </c>
      <c r="D527" s="2969"/>
      <c r="E527" s="1326"/>
      <c r="F527" s="1322">
        <v>0</v>
      </c>
      <c r="G527" s="1323">
        <f>IF(SETUP!$F$58="At delivery",IF(SETUP!$G$58=1,$E$522*'Malaria-Equipment &amp; Other HPs'!AW20,0),0)</f>
        <v>0</v>
      </c>
      <c r="H527" s="1323">
        <f>IF(SETUP!$F$58="At delivery",IF(SETUP!$G$58=2,$E$522*'Malaria-Equipment &amp; Other HPs'!AW20,IF(SETUP!$G$58=1,$E$522*'Malaria-Equipment &amp; Other HPs'!AX20,0)),0)</f>
        <v>0</v>
      </c>
      <c r="I527" s="1323">
        <f>IF(SETUP!$F$58="At delivery",IF(SETUP!$G$58=3,$E$522*'Malaria-Equipment &amp; Other HPs'!AW20,IF(SETUP!$G$58=2,$E$522*'Malaria-Equipment &amp; Other HPs'!AX20,IF(SETUP!$G$58=1,$E$522*'Malaria-Equipment &amp; Other HPs'!AY20,0))),0)</f>
        <v>0</v>
      </c>
      <c r="J527" s="1324">
        <f>SUM('HPM costs'!$F527:$I527)</f>
        <v>0</v>
      </c>
      <c r="K527" s="1322">
        <f>IF(SETUP!$F$58="At delivery",IF(SETUP!$G$58=4,$E$522*'Malaria-Equipment &amp; Other HPs'!AW20,IF(SETUP!$G$58=3,$E$522*'Malaria-Equipment &amp; Other HPs'!AX20,IF(SETUP!$G$58=2,$E$522*'Malaria-Equipment &amp; Other HPs'!AY20,IF(SETUP!$G$58=1,$E$522*'Malaria-Equipment &amp; Other HPs'!AZ20,0)))),0)</f>
        <v>0</v>
      </c>
      <c r="L527" s="1323">
        <f>IF(SETUP!$F$58="At delivery",IF(SETUP!$G$58=4,$E$522*'Malaria-Equipment &amp; Other HPs'!AX20,IF(SETUP!$G$58=3,$E$522*'Malaria-Equipment &amp; Other HPs'!AY20,IF(SETUP!$G$58=2,$E$522*'Malaria-Equipment &amp; Other HPs'!AZ20,IF(SETUP!$G$58=1,$E$522*'Malaria-Equipment &amp; Other HPs'!BA20,0)))),0)</f>
        <v>0</v>
      </c>
      <c r="M527" s="1323">
        <f>IF(SETUP!$F$58="At delivery",IF(SETUP!$G$58=4,$E$522*'Malaria-Equipment &amp; Other HPs'!AY20,IF(SETUP!$G$58=3,$E$522*'Malaria-Equipment &amp; Other HPs'!AZ20,IF(SETUP!$G$58=2,$E$522*'Malaria-Equipment &amp; Other HPs'!BA20,IF(SETUP!$G$58=1,$E$522*'Malaria-Equipment &amp; Other HPs'!BB20,0)))),0)</f>
        <v>0</v>
      </c>
      <c r="N527" s="1323">
        <f>IF(SETUP!$F$58="At delivery",IF(SETUP!$G$58=4,$E$522*'Malaria-Equipment &amp; Other HPs'!AZ20,IF(SETUP!$G$58=3,$E$522*'Malaria-Equipment &amp; Other HPs'!BA20,IF(SETUP!$G$58=2,$E$522*'Malaria-Equipment &amp; Other HPs'!BB20,IF(SETUP!$G$58=1,$E$522*'Malaria-Equipment &amp; Other HPs'!BC20,0)))),0)</f>
        <v>0</v>
      </c>
      <c r="O527" s="1324">
        <f>SUM('HPM costs'!$K527:$N527)</f>
        <v>0</v>
      </c>
      <c r="P527" s="1347">
        <f>IF(SETUP!$F$58="At delivery",IF(SETUP!$G$58=4,$E$522*'Malaria-Equipment &amp; Other HPs'!BA20,IF(SETUP!$G$58=3,$E$522*'Malaria-Equipment &amp; Other HPs'!BB20,IF(SETUP!$G$58=2,$E$522*'Malaria-Equipment &amp; Other HPs'!BC20,IF(SETUP!$G$58=1,$E$522*'Malaria-Equipment &amp; Other HPs'!BD20,0)))),0)</f>
        <v>0</v>
      </c>
      <c r="Q527" s="1348">
        <f>IF(SETUP!$F$58="At delivery",IF(SETUP!$G$58=4,$E$522*'Malaria-Equipment &amp; Other HPs'!BB20,IF(SETUP!$G$58=3,$E$522*'Malaria-Equipment &amp; Other HPs'!BC20,IF(SETUP!$G$58=2,$E$522*'Malaria-Equipment &amp; Other HPs'!BD20,IF(SETUP!$G$58=1,$E$522*'Malaria-Equipment &amp; Other HPs'!BE20,0)))),0)</f>
        <v>0</v>
      </c>
      <c r="R527" s="1348">
        <f>IF(SETUP!$F$58="At delivery",IF(SETUP!$G$58=4,$E$522*'Malaria-Equipment &amp; Other HPs'!BC20,IF(SETUP!$G$58=3,$E$522*'Malaria-Equipment &amp; Other HPs'!BD20,IF(SETUP!$G$58=2,$E$522*'Malaria-Equipment &amp; Other HPs'!BE20,IF(SETUP!$G$58=1,$E$522*'Malaria-Equipment &amp; Other HPs'!BF20,0)))),0)</f>
        <v>0</v>
      </c>
      <c r="S527" s="1348">
        <f>IF(SETUP!$F$58="At delivery",IF(SETUP!$G$58=4,$E$522*('Malaria-Equipment &amp; Other HPs'!BD20+'Malaria-Equipment &amp; Other HPs'!BE20+'Malaria-Equipment &amp; Other HPs'!BF20+'Malaria-Equipment &amp; Other HPs'!BG20+'Malaria-Equipment &amp; Other HPs'!BH20),IF(SETUP!$G$58=3,$E$522*('Malaria-Equipment &amp; Other HPs'!BE20+'Malaria-Equipment &amp; Other HPs'!BF20+'Malaria-Equipment &amp; Other HPs'!BG20+'Malaria-Equipment &amp; Other HPs'!BH20),IF(SETUP!$G$58=2,$E$522*('Malaria-Equipment &amp; Other HPs'!BF20+'Malaria-Equipment &amp; Other HPs'!BG20+'Malaria-Equipment &amp; Other HPs'!BH20),IF(SETUP!$G$58=1,$E$522*('Malaria-Equipment &amp; Other HPs'!BG20+'Malaria-Equipment &amp; Other HPs'!BH20),0)))),0)</f>
        <v>0</v>
      </c>
      <c r="T527" s="1349">
        <f>SUM('HPM costs'!$P527:$S527)</f>
        <v>0</v>
      </c>
      <c r="U527" s="1350">
        <f>'HPM costs'!$T527+'HPM costs'!$O527+'HPM costs'!$J527</f>
        <v>0</v>
      </c>
      <c r="V527" s="1810"/>
      <c r="W527" s="1840"/>
      <c r="X527" s="764"/>
      <c r="Y527" s="1836"/>
      <c r="Z527" s="850"/>
      <c r="AA527" s="880"/>
      <c r="AB527" s="880"/>
      <c r="AC527" s="880"/>
      <c r="AD527" s="880"/>
      <c r="AE527" s="880"/>
      <c r="AF527" s="880"/>
      <c r="AG527" s="880"/>
      <c r="AH527" s="881"/>
      <c r="AI527" s="880"/>
      <c r="AJ527" s="880"/>
      <c r="AK527" s="880"/>
      <c r="AL527" s="880"/>
      <c r="AM527" s="880"/>
      <c r="AN527" s="880"/>
      <c r="AO527" s="880"/>
      <c r="AP527" s="880"/>
      <c r="AQ527" s="880"/>
      <c r="AR527" s="880"/>
      <c r="AS527" s="880"/>
      <c r="AT527" s="880"/>
      <c r="AU527" s="880"/>
      <c r="AV527" s="880"/>
      <c r="AW527" s="880"/>
      <c r="AX527" s="880"/>
      <c r="AY527" s="880"/>
      <c r="AZ527" s="880"/>
      <c r="BA527" s="880"/>
      <c r="BB527" s="880"/>
      <c r="BC527" s="880"/>
      <c r="BD527" s="880"/>
      <c r="BE527" s="880"/>
      <c r="BF527" s="880"/>
      <c r="BG527" s="880"/>
      <c r="BH527" s="880"/>
      <c r="BI527" s="880"/>
      <c r="BJ527" s="880"/>
      <c r="BK527" s="880"/>
      <c r="BL527" s="880"/>
      <c r="BM527" s="880"/>
      <c r="BN527" s="880"/>
      <c r="BO527" s="880"/>
      <c r="BP527" s="880"/>
      <c r="BQ527" s="880"/>
      <c r="BR527" s="880"/>
      <c r="BS527" s="880"/>
      <c r="BT527" s="880"/>
    </row>
    <row r="528" spans="1:72" s="882" customFormat="1" ht="13" collapsed="1">
      <c r="A528" s="1341"/>
      <c r="B528" s="1341"/>
      <c r="C528" s="1342"/>
      <c r="D528" s="1343"/>
      <c r="E528" s="919"/>
      <c r="F528" s="877"/>
      <c r="G528" s="877"/>
      <c r="H528" s="878"/>
      <c r="I528" s="878"/>
      <c r="J528" s="878"/>
      <c r="K528" s="878"/>
      <c r="L528" s="762"/>
      <c r="M528" s="878"/>
      <c r="N528" s="878"/>
      <c r="O528" s="878"/>
      <c r="P528" s="1352"/>
      <c r="Q528" s="1353"/>
      <c r="R528" s="1352"/>
      <c r="S528" s="1352"/>
      <c r="T528" s="1352"/>
      <c r="U528" s="1352"/>
      <c r="V528" s="1354"/>
      <c r="W528" s="762"/>
      <c r="X528" s="764"/>
      <c r="Y528" s="1836"/>
      <c r="Z528" s="850"/>
      <c r="AA528" s="880"/>
      <c r="AB528" s="880"/>
      <c r="AC528" s="880"/>
      <c r="AD528" s="880"/>
      <c r="AE528" s="880"/>
      <c r="AF528" s="880"/>
      <c r="AG528" s="880"/>
      <c r="AH528" s="881"/>
      <c r="AI528" s="880"/>
      <c r="AJ528" s="880"/>
      <c r="AK528" s="880"/>
      <c r="AL528" s="880"/>
      <c r="AM528" s="880"/>
      <c r="AN528" s="880"/>
      <c r="AO528" s="880"/>
      <c r="AP528" s="880"/>
      <c r="AQ528" s="880"/>
      <c r="AR528" s="880"/>
      <c r="AS528" s="880"/>
      <c r="AT528" s="880"/>
      <c r="AU528" s="880"/>
      <c r="AV528" s="880"/>
      <c r="AW528" s="880"/>
      <c r="AX528" s="880"/>
      <c r="AY528" s="880"/>
      <c r="AZ528" s="880"/>
      <c r="BA528" s="880"/>
      <c r="BB528" s="880"/>
      <c r="BC528" s="880"/>
      <c r="BD528" s="880"/>
      <c r="BE528" s="880"/>
      <c r="BF528" s="880"/>
      <c r="BG528" s="880"/>
      <c r="BH528" s="880"/>
      <c r="BI528" s="880"/>
      <c r="BJ528" s="880"/>
      <c r="BK528" s="880"/>
      <c r="BL528" s="880"/>
      <c r="BM528" s="880"/>
      <c r="BN528" s="880"/>
      <c r="BO528" s="880"/>
      <c r="BP528" s="880"/>
      <c r="BQ528" s="880"/>
      <c r="BR528" s="880"/>
      <c r="BS528" s="880"/>
      <c r="BT528" s="880"/>
    </row>
    <row r="529" spans="1:72" s="882" customFormat="1" ht="13">
      <c r="A529" s="875"/>
      <c r="B529" s="875"/>
      <c r="C529" s="876"/>
      <c r="D529" s="877"/>
      <c r="E529" s="919"/>
      <c r="F529" s="877"/>
      <c r="G529" s="877"/>
      <c r="H529" s="878"/>
      <c r="I529" s="878"/>
      <c r="J529" s="878"/>
      <c r="K529" s="878"/>
      <c r="L529" s="762"/>
      <c r="M529" s="878"/>
      <c r="N529" s="878"/>
      <c r="O529" s="878"/>
      <c r="P529" s="878"/>
      <c r="Q529" s="762"/>
      <c r="R529" s="878"/>
      <c r="S529" s="878"/>
      <c r="T529" s="878"/>
      <c r="U529" s="878"/>
      <c r="V529" s="940"/>
      <c r="W529" s="762"/>
      <c r="X529" s="764"/>
      <c r="Y529" s="1836"/>
      <c r="Z529" s="850"/>
      <c r="AA529" s="880"/>
      <c r="AB529" s="880"/>
      <c r="AC529" s="880"/>
      <c r="AD529" s="880"/>
      <c r="AE529" s="880"/>
      <c r="AF529" s="880"/>
      <c r="AG529" s="880"/>
      <c r="AH529" s="881"/>
      <c r="AI529" s="880"/>
      <c r="AJ529" s="880"/>
      <c r="AK529" s="880"/>
      <c r="AL529" s="880"/>
      <c r="AM529" s="880"/>
      <c r="AN529" s="880"/>
      <c r="AO529" s="880"/>
      <c r="AP529" s="880"/>
      <c r="AQ529" s="880"/>
      <c r="AR529" s="880"/>
      <c r="AS529" s="880"/>
      <c r="AT529" s="880"/>
      <c r="AU529" s="880"/>
      <c r="AV529" s="880"/>
      <c r="AW529" s="880"/>
      <c r="AX529" s="880"/>
      <c r="AY529" s="880"/>
      <c r="AZ529" s="880"/>
      <c r="BA529" s="880"/>
      <c r="BB529" s="880"/>
      <c r="BC529" s="880"/>
      <c r="BD529" s="880"/>
      <c r="BE529" s="880"/>
      <c r="BF529" s="880"/>
      <c r="BG529" s="880"/>
      <c r="BH529" s="880"/>
      <c r="BI529" s="880"/>
      <c r="BJ529" s="880"/>
      <c r="BK529" s="880"/>
      <c r="BL529" s="880"/>
      <c r="BM529" s="880"/>
      <c r="BN529" s="880"/>
      <c r="BO529" s="880"/>
      <c r="BP529" s="880"/>
      <c r="BQ529" s="880"/>
      <c r="BR529" s="880"/>
      <c r="BS529" s="880"/>
      <c r="BT529" s="880"/>
    </row>
    <row r="530" spans="1:72" s="1376" customFormat="1" ht="22.15" customHeight="1" thickBot="1">
      <c r="A530" s="1378" t="s">
        <v>598</v>
      </c>
      <c r="B530" s="1368"/>
      <c r="C530" s="1369"/>
      <c r="D530" s="1368"/>
      <c r="E530" s="1370"/>
      <c r="F530" s="1368"/>
      <c r="G530" s="1368"/>
      <c r="H530" s="1371"/>
      <c r="I530" s="1371"/>
      <c r="J530" s="1371"/>
      <c r="K530" s="1371"/>
      <c r="L530" s="1371"/>
      <c r="M530" s="1371"/>
      <c r="N530" s="1371"/>
      <c r="O530" s="1371"/>
      <c r="P530" s="1371"/>
      <c r="Q530" s="1371"/>
      <c r="R530" s="1371"/>
      <c r="S530" s="1371"/>
      <c r="T530" s="1371"/>
      <c r="U530" s="1371"/>
      <c r="V530" s="1372"/>
      <c r="W530" s="1862"/>
      <c r="X530" s="1373"/>
      <c r="Y530" s="1841"/>
      <c r="Z530" s="1369"/>
      <c r="AA530" s="1374"/>
      <c r="AB530" s="1374"/>
      <c r="AC530" s="1374"/>
      <c r="AD530" s="1374"/>
      <c r="AE530" s="1374"/>
      <c r="AF530" s="1374"/>
      <c r="AG530" s="1374"/>
      <c r="AH530" s="1375"/>
      <c r="AI530" s="1374"/>
      <c r="AJ530" s="1374"/>
      <c r="AK530" s="1374"/>
      <c r="AL530" s="1374"/>
      <c r="AM530" s="1374"/>
      <c r="AN530" s="1374"/>
      <c r="AO530" s="1374"/>
      <c r="AP530" s="1374"/>
      <c r="AQ530" s="1374"/>
      <c r="AR530" s="1374"/>
      <c r="AS530" s="1374"/>
      <c r="AT530" s="1374"/>
      <c r="AU530" s="1374"/>
      <c r="AV530" s="1374"/>
      <c r="AW530" s="1374"/>
      <c r="AX530" s="1374"/>
      <c r="AY530" s="1374"/>
      <c r="AZ530" s="1374"/>
      <c r="BA530" s="1374"/>
      <c r="BB530" s="1374"/>
      <c r="BC530" s="1374"/>
      <c r="BD530" s="1374"/>
      <c r="BE530" s="1374"/>
      <c r="BF530" s="1374"/>
      <c r="BG530" s="1374"/>
      <c r="BH530" s="1374"/>
      <c r="BI530" s="1374"/>
      <c r="BJ530" s="1374"/>
      <c r="BK530" s="1374"/>
      <c r="BL530" s="1374"/>
      <c r="BM530" s="1374"/>
      <c r="BN530" s="1374"/>
      <c r="BO530" s="1374"/>
      <c r="BP530" s="1374"/>
      <c r="BQ530" s="1374"/>
      <c r="BR530" s="1374"/>
      <c r="BS530" s="1374"/>
      <c r="BT530" s="1374"/>
    </row>
    <row r="531" spans="1:72" s="882" customFormat="1" ht="19.25" customHeight="1" thickBot="1">
      <c r="A531" s="2942" t="s">
        <v>592</v>
      </c>
      <c r="B531" s="2943"/>
      <c r="C531" s="2943"/>
      <c r="D531" s="2954"/>
      <c r="E531" s="2992" t="s">
        <v>1562</v>
      </c>
      <c r="F531" s="2942" t="str">
        <f>IF(ISBLANK(IMP_ST_DATE),"Please fill setup",YEAR(IMP_ST_DATE))</f>
        <v>Please fill setup</v>
      </c>
      <c r="G531" s="2943"/>
      <c r="H531" s="2943"/>
      <c r="I531" s="2943"/>
      <c r="J531" s="2944"/>
      <c r="K531" s="2942" t="str">
        <f>IF(ISBLANK(IMP_ST_DATE),"Please fill setup",YEAR(IMP_ST_DATE)+1)</f>
        <v>Please fill setup</v>
      </c>
      <c r="L531" s="2943"/>
      <c r="M531" s="2943"/>
      <c r="N531" s="2943"/>
      <c r="O531" s="2944"/>
      <c r="P531" s="2942" t="str">
        <f>IF(ISBLANK(IMP_ST_DATE),"Please fill setup",YEAR(IMP_ST_DATE)+2)</f>
        <v>Please fill setup</v>
      </c>
      <c r="Q531" s="2943"/>
      <c r="R531" s="2943"/>
      <c r="S531" s="2943"/>
      <c r="T531" s="2943"/>
      <c r="U531" s="1857" t="s">
        <v>593</v>
      </c>
      <c r="V531" s="1858" t="s">
        <v>153</v>
      </c>
      <c r="W531" s="3045" t="s">
        <v>6865</v>
      </c>
      <c r="X531" s="764"/>
      <c r="Y531" s="1836"/>
      <c r="Z531" s="850"/>
      <c r="AA531" s="880"/>
      <c r="AB531" s="880"/>
      <c r="AC531" s="880"/>
      <c r="AD531" s="880"/>
      <c r="AE531" s="880"/>
      <c r="AF531" s="880"/>
      <c r="AG531" s="880"/>
      <c r="AH531" s="881"/>
      <c r="AI531" s="880"/>
      <c r="AJ531" s="880"/>
      <c r="AK531" s="880"/>
      <c r="AL531" s="880"/>
      <c r="AM531" s="880"/>
      <c r="AN531" s="880"/>
      <c r="AO531" s="880"/>
      <c r="AP531" s="880"/>
      <c r="AQ531" s="880"/>
      <c r="AR531" s="880"/>
      <c r="AS531" s="880"/>
      <c r="AT531" s="880"/>
      <c r="AU531" s="880"/>
      <c r="AV531" s="880"/>
      <c r="AW531" s="880"/>
      <c r="AX531" s="880"/>
      <c r="AY531" s="880"/>
      <c r="AZ531" s="880"/>
      <c r="BA531" s="880"/>
      <c r="BB531" s="880"/>
      <c r="BC531" s="880"/>
      <c r="BD531" s="880"/>
      <c r="BE531" s="880"/>
      <c r="BF531" s="880"/>
      <c r="BG531" s="880"/>
      <c r="BH531" s="880"/>
      <c r="BI531" s="880"/>
      <c r="BJ531" s="880"/>
      <c r="BK531" s="880"/>
      <c r="BL531" s="880"/>
      <c r="BM531" s="880"/>
      <c r="BN531" s="880"/>
      <c r="BO531" s="880"/>
      <c r="BP531" s="880"/>
      <c r="BQ531" s="880"/>
      <c r="BR531" s="880"/>
      <c r="BS531" s="880"/>
      <c r="BT531" s="880"/>
    </row>
    <row r="532" spans="1:72" s="882" customFormat="1" ht="19.5" customHeight="1" thickBot="1">
      <c r="A532" s="2945"/>
      <c r="B532" s="2946"/>
      <c r="C532" s="2946"/>
      <c r="D532" s="2955"/>
      <c r="E532" s="2993"/>
      <c r="F532" s="2945"/>
      <c r="G532" s="2946"/>
      <c r="H532" s="2946"/>
      <c r="I532" s="2946"/>
      <c r="J532" s="2947"/>
      <c r="K532" s="2945"/>
      <c r="L532" s="2946"/>
      <c r="M532" s="2946"/>
      <c r="N532" s="2946"/>
      <c r="O532" s="2947"/>
      <c r="P532" s="2945"/>
      <c r="Q532" s="2946"/>
      <c r="R532" s="2946"/>
      <c r="S532" s="2946"/>
      <c r="T532" s="2947"/>
      <c r="U532" s="1855" t="s">
        <v>176</v>
      </c>
      <c r="V532" s="1856" t="s">
        <v>177</v>
      </c>
      <c r="W532" s="3046"/>
      <c r="X532" s="764"/>
      <c r="Y532" s="1836"/>
      <c r="Z532" s="850"/>
      <c r="AA532" s="880"/>
      <c r="AB532" s="880"/>
      <c r="AC532" s="880"/>
      <c r="AD532" s="880"/>
      <c r="AE532" s="880"/>
      <c r="AF532" s="880"/>
      <c r="AG532" s="880"/>
      <c r="AH532" s="881"/>
      <c r="AI532" s="880"/>
      <c r="AJ532" s="880"/>
      <c r="AK532" s="880"/>
      <c r="AL532" s="880"/>
      <c r="AM532" s="880"/>
      <c r="AN532" s="880"/>
      <c r="AO532" s="880"/>
      <c r="AP532" s="880"/>
      <c r="AQ532" s="880"/>
      <c r="AR532" s="880"/>
      <c r="AS532" s="880"/>
      <c r="AT532" s="880"/>
      <c r="AU532" s="880"/>
      <c r="AV532" s="880"/>
      <c r="AW532" s="880"/>
      <c r="AX532" s="880"/>
      <c r="AY532" s="880"/>
      <c r="AZ532" s="880"/>
      <c r="BA532" s="880"/>
      <c r="BB532" s="880"/>
      <c r="BC532" s="880"/>
      <c r="BD532" s="880"/>
      <c r="BE532" s="880"/>
      <c r="BF532" s="880"/>
      <c r="BG532" s="880"/>
      <c r="BH532" s="880"/>
      <c r="BI532" s="880"/>
      <c r="BJ532" s="880"/>
      <c r="BK532" s="880"/>
      <c r="BL532" s="880"/>
      <c r="BM532" s="880"/>
      <c r="BN532" s="880"/>
      <c r="BO532" s="880"/>
      <c r="BP532" s="880"/>
      <c r="BQ532" s="880"/>
      <c r="BR532" s="880"/>
      <c r="BS532" s="880"/>
      <c r="BT532" s="880"/>
    </row>
    <row r="533" spans="1:72" s="882" customFormat="1" ht="13">
      <c r="A533" s="2913" t="s">
        <v>560</v>
      </c>
      <c r="B533" s="2914"/>
      <c r="C533" s="2972" t="s">
        <v>561</v>
      </c>
      <c r="D533" s="2972"/>
      <c r="E533" s="1648">
        <v>1E-4</v>
      </c>
      <c r="F533" s="1327">
        <f>IF(SETUP!$F$20="Upfront",F534,F535)</f>
        <v>0</v>
      </c>
      <c r="G533" s="1308">
        <f>IF(SETUP!$F$20="Upfront",G534,G535)</f>
        <v>0</v>
      </c>
      <c r="H533" s="1308">
        <f>IF(SETUP!$F$20="Upfront",H534,H535)</f>
        <v>0</v>
      </c>
      <c r="I533" s="1308">
        <f>IF(SETUP!$F$20="Upfront",I534,I535)</f>
        <v>0</v>
      </c>
      <c r="J533" s="1308">
        <f>F533+G533+H533+I533</f>
        <v>0</v>
      </c>
      <c r="K533" s="1327">
        <f>IF(SETUP!$F$20="Upfront",K534,K535)</f>
        <v>0</v>
      </c>
      <c r="L533" s="1308">
        <f>IF(SETUP!$F$20="Upfront",L534,L535)</f>
        <v>0</v>
      </c>
      <c r="M533" s="1308">
        <f>IF(SETUP!$F$20="Upfront",M534,M535)</f>
        <v>0</v>
      </c>
      <c r="N533" s="1308">
        <f>IF(SETUP!$F$20="Upfront",N534,N535)</f>
        <v>0</v>
      </c>
      <c r="O533" s="1308">
        <f>K533+L533+M533+N533</f>
        <v>0</v>
      </c>
      <c r="P533" s="1327">
        <f>IF(SETUP!$F$20="Upfront",P534,P535)</f>
        <v>0</v>
      </c>
      <c r="Q533" s="1308">
        <f>IF(SETUP!$F$20="Upfront",Q534,Q535)</f>
        <v>0</v>
      </c>
      <c r="R533" s="1308">
        <f>IF(SETUP!$F$20="Upfront",R534,R535)</f>
        <v>0</v>
      </c>
      <c r="S533" s="1308">
        <f>IF(SETUP!$F$20="Upfront",S534,S535)</f>
        <v>0</v>
      </c>
      <c r="T533" s="1308">
        <f>P533+Q533+R533+S533</f>
        <v>0</v>
      </c>
      <c r="U533" s="1327">
        <f>J533+O533+T533</f>
        <v>0</v>
      </c>
      <c r="V533" s="1825">
        <v>7.5</v>
      </c>
      <c r="W533" s="1837"/>
      <c r="X533" s="764"/>
      <c r="Y533" s="1836"/>
      <c r="Z533" s="850"/>
      <c r="AA533" s="880"/>
      <c r="AB533" s="880"/>
      <c r="AC533" s="880"/>
      <c r="AD533" s="880"/>
      <c r="AE533" s="880"/>
      <c r="AF533" s="880"/>
      <c r="AG533" s="880"/>
      <c r="AH533" s="881"/>
      <c r="AI533" s="880"/>
      <c r="AJ533" s="880"/>
      <c r="AK533" s="880"/>
      <c r="AL533" s="880"/>
      <c r="AM533" s="880"/>
      <c r="AN533" s="880"/>
      <c r="AO533" s="880"/>
      <c r="AP533" s="880"/>
      <c r="AQ533" s="880"/>
      <c r="AR533" s="880"/>
      <c r="AS533" s="880"/>
      <c r="AT533" s="880"/>
      <c r="AU533" s="880"/>
      <c r="AV533" s="880"/>
      <c r="AW533" s="880"/>
      <c r="AX533" s="880"/>
      <c r="AY533" s="880"/>
      <c r="AZ533" s="880"/>
      <c r="BA533" s="880"/>
      <c r="BB533" s="880"/>
      <c r="BC533" s="880"/>
      <c r="BD533" s="880"/>
      <c r="BE533" s="880"/>
      <c r="BF533" s="880"/>
      <c r="BG533" s="880"/>
      <c r="BH533" s="880"/>
      <c r="BI533" s="880"/>
      <c r="BJ533" s="880"/>
      <c r="BK533" s="880"/>
      <c r="BL533" s="880"/>
      <c r="BM533" s="880"/>
      <c r="BN533" s="880"/>
      <c r="BO533" s="880"/>
      <c r="BP533" s="880"/>
      <c r="BQ533" s="880"/>
      <c r="BR533" s="880"/>
      <c r="BS533" s="880"/>
      <c r="BT533" s="880"/>
    </row>
    <row r="534" spans="1:72" s="882" customFormat="1" ht="16.149999999999999" hidden="1" customHeight="1" outlineLevel="1">
      <c r="A534" s="2915"/>
      <c r="B534" s="2916"/>
      <c r="C534" s="2912" t="s">
        <v>918</v>
      </c>
      <c r="D534" s="2912"/>
      <c r="E534" s="1649"/>
      <c r="F534" s="1328">
        <f>IF(SETUP!$F$20="Upfront",$E$533*'HIV-Pharmaceuticals'!AW14,0)</f>
        <v>0</v>
      </c>
      <c r="G534" s="1194">
        <f>IF(SETUP!$F$20="Upfront",$E$533*'HIV-Pharmaceuticals'!AX14,0)</f>
        <v>0</v>
      </c>
      <c r="H534" s="1194">
        <f>IF(SETUP!$F$20="Upfront",$E$533*'HIV-Pharmaceuticals'!AY14,0)</f>
        <v>0</v>
      </c>
      <c r="I534" s="1194">
        <f>IF(SETUP!$F$20="Upfront",$E$533*'HIV-Pharmaceuticals'!AZ14,0)</f>
        <v>0</v>
      </c>
      <c r="J534" s="1194">
        <f>'HPM costs'!$F534+'HPM costs'!$G534+'HPM costs'!$H534+'HPM costs'!$I534</f>
        <v>0</v>
      </c>
      <c r="K534" s="1328">
        <f>IF(SETUP!$F$20="Upfront",$E$533*'HIV-Pharmaceuticals'!BA14,0)</f>
        <v>0</v>
      </c>
      <c r="L534" s="1194">
        <f>IF(SETUP!$F$20="Upfront",$E$533*'HIV-Pharmaceuticals'!BB14,0)</f>
        <v>0</v>
      </c>
      <c r="M534" s="1194">
        <f>IF(SETUP!$F$20="Upfront",$E$533*'HIV-Pharmaceuticals'!BC14,0)</f>
        <v>0</v>
      </c>
      <c r="N534" s="1194">
        <f>IF(SETUP!$F$20="Upfront",$E$533*'HIV-Pharmaceuticals'!BD14,0)</f>
        <v>0</v>
      </c>
      <c r="O534" s="1194">
        <f>'HPM costs'!$F534+'HPM costs'!$G534+'HPM costs'!$H534+'HPM costs'!$I534</f>
        <v>0</v>
      </c>
      <c r="P534" s="1328">
        <f>IF(SETUP!$F$20="Upfront",$E$533*'HIV-Pharmaceuticals'!BE14,0)</f>
        <v>0</v>
      </c>
      <c r="Q534" s="1194">
        <f>IF(SETUP!$F$20="Upfront",$E$533*'HIV-Pharmaceuticals'!BF14,0)</f>
        <v>0</v>
      </c>
      <c r="R534" s="1194">
        <f>IF(SETUP!$F$20="Upfront",$E$533*'HIV-Pharmaceuticals'!BG14,0)</f>
        <v>0</v>
      </c>
      <c r="S534" s="1194">
        <f>IF(SETUP!$F$20="Upfront",$E$533*'HIV-Pharmaceuticals'!BH14,0)</f>
        <v>0</v>
      </c>
      <c r="T534" s="1194">
        <f>'HPM costs'!$F534+'HPM costs'!$G534+'HPM costs'!$H534+'HPM costs'!$I534</f>
        <v>0</v>
      </c>
      <c r="U534" s="1328">
        <f>'HPM costs'!$J534+'HPM costs'!$O534+'HPM costs'!$T534</f>
        <v>0</v>
      </c>
      <c r="V534" s="1826"/>
      <c r="W534" s="1837"/>
      <c r="X534" s="764"/>
      <c r="Y534" s="1836"/>
      <c r="Z534" s="850"/>
      <c r="AA534" s="880"/>
      <c r="AB534" s="880"/>
      <c r="AC534" s="880"/>
      <c r="AD534" s="880"/>
      <c r="AE534" s="880"/>
      <c r="AF534" s="880"/>
      <c r="AG534" s="880"/>
      <c r="AH534" s="881"/>
      <c r="AI534" s="880"/>
      <c r="AJ534" s="880"/>
      <c r="AK534" s="880"/>
      <c r="AL534" s="880"/>
      <c r="AM534" s="880"/>
      <c r="AN534" s="880"/>
      <c r="AO534" s="880"/>
      <c r="AP534" s="880"/>
      <c r="AQ534" s="880"/>
      <c r="AR534" s="880"/>
      <c r="AS534" s="880"/>
      <c r="AT534" s="880"/>
      <c r="AU534" s="880"/>
      <c r="AV534" s="880"/>
      <c r="AW534" s="880"/>
      <c r="AX534" s="880"/>
      <c r="AY534" s="880"/>
      <c r="AZ534" s="880"/>
      <c r="BA534" s="880"/>
      <c r="BB534" s="880"/>
      <c r="BC534" s="880"/>
      <c r="BD534" s="880"/>
      <c r="BE534" s="880"/>
      <c r="BF534" s="880"/>
      <c r="BG534" s="880"/>
      <c r="BH534" s="880"/>
      <c r="BI534" s="880"/>
      <c r="BJ534" s="880"/>
      <c r="BK534" s="880"/>
      <c r="BL534" s="880"/>
      <c r="BM534" s="880"/>
      <c r="BN534" s="880"/>
      <c r="BO534" s="880"/>
      <c r="BP534" s="880"/>
      <c r="BQ534" s="880"/>
      <c r="BR534" s="880"/>
      <c r="BS534" s="880"/>
      <c r="BT534" s="880"/>
    </row>
    <row r="535" spans="1:72" s="882" customFormat="1" ht="16.149999999999999" hidden="1" customHeight="1" outlineLevel="1">
      <c r="A535" s="2915"/>
      <c r="B535" s="2916"/>
      <c r="C535" s="2912" t="s">
        <v>36</v>
      </c>
      <c r="D535" s="2912"/>
      <c r="E535" s="1649"/>
      <c r="F535" s="1328">
        <v>0</v>
      </c>
      <c r="G535" s="1194">
        <f>IF(SETUP!$F$20="At delivery",IF(SETUP!$G$20=1,$E$533*'HIV-Pharmaceuticals'!AW14,0),0)</f>
        <v>0</v>
      </c>
      <c r="H535" s="1194">
        <f>IF(SETUP!$F$20="At delivery",IF(SETUP!$G$20=2,$E$533*'HIV-Pharmaceuticals'!AW14,IF(SETUP!$G$20=1,$E$533*'HIV-Pharmaceuticals'!AX14,0)),0)</f>
        <v>0</v>
      </c>
      <c r="I535" s="1194">
        <f>IF(SETUP!$F$20="At delivery",IF(SETUP!$G$20=3,$E$533*'HIV-Pharmaceuticals'!AW14,IF(SETUP!$G$20=2,$E$533*'HIV-Pharmaceuticals'!AX14,IF(SETUP!$G$20=1,$E$533*'HIV-Pharmaceuticals'!AY14,0))),0)</f>
        <v>0</v>
      </c>
      <c r="J535" s="1194">
        <f>'HPM costs'!$F535+'HPM costs'!$G535+'HPM costs'!$H535+'HPM costs'!$I535</f>
        <v>0</v>
      </c>
      <c r="K535" s="1328">
        <f>IF(SETUP!$F$20="At delivery",IF(SETUP!$G$20=4,$E$533*'HIV-Pharmaceuticals'!AW14,IF(SETUP!$G$20=3,$E$533*'HIV-Pharmaceuticals'!AX14,IF(SETUP!$G$20=2,$E$533*'HIV-Pharmaceuticals'!AY14,IF(SETUP!$G$20=1,$E$533*'HIV-Pharmaceuticals'!AZ14,0)))),0)</f>
        <v>0</v>
      </c>
      <c r="L535" s="1194">
        <f>IF(SETUP!$F$20="At delivery",IF(SETUP!$G$20=4,$E$533*'HIV-Pharmaceuticals'!AX14,IF(SETUP!$G$20=3,$E$533*'HIV-Pharmaceuticals'!AY14,IF(SETUP!$G$20=2,$E$533*'HIV-Pharmaceuticals'!AZ14,IF(SETUP!$G$20=1,$E$533*'HIV-Pharmaceuticals'!BA14,0)))),0)</f>
        <v>0</v>
      </c>
      <c r="M535" s="1194">
        <f>IF(SETUP!$F$20="At delivery",IF(SETUP!$G$20=4,$E$533*'HIV-Pharmaceuticals'!AY14,IF(SETUP!$G$20=3,$E$533*'HIV-Pharmaceuticals'!AZ14,IF(SETUP!$G$20=2,$E$533*'HIV-Pharmaceuticals'!BA14,IF(SETUP!$G$20=1,$E$533*'HIV-Pharmaceuticals'!BB14,0)))),0)</f>
        <v>0</v>
      </c>
      <c r="N535" s="1194">
        <f>IF(SETUP!$F$20="At delivery",IF(SETUP!$G$20=4,$E$533*'HIV-Pharmaceuticals'!AZ14,IF(SETUP!$G$20=3,$E$533*'HIV-Pharmaceuticals'!BA14,IF(SETUP!$G$20=2,$E$533*'HIV-Pharmaceuticals'!BB14,IF(SETUP!$G$20=1,$E$533*'HIV-Pharmaceuticals'!BC14,0)))),0)</f>
        <v>0</v>
      </c>
      <c r="O535" s="1194">
        <f>'HPM costs'!$F535+'HPM costs'!$G535+'HPM costs'!$H535+'HPM costs'!$I535</f>
        <v>0</v>
      </c>
      <c r="P535" s="1328">
        <f>IF(SETUP!$F$20="At delivery",IF(SETUP!$G$20=4,$E$533*'HIV-Pharmaceuticals'!BA14,IF(SETUP!$G$20=3,$E$533*'HIV-Pharmaceuticals'!BB14,IF(SETUP!$G$20=2,$E$533*'HIV-Pharmaceuticals'!BC14,IF(SETUP!$G$20=1,$E$533*'HIV-Pharmaceuticals'!BD14,0)))),0)</f>
        <v>0</v>
      </c>
      <c r="Q535" s="1194">
        <f>IF(SETUP!$F$20="At delivery",IF(SETUP!$G$20=4,$E$533*'HIV-Pharmaceuticals'!BB14,IF(SETUP!$G$20=3,$E$533*'HIV-Pharmaceuticals'!BC14,IF(SETUP!$G$20=2,$E$533*'HIV-Pharmaceuticals'!BD14,IF(SETUP!$G$20=1,$E$533*'HIV-Pharmaceuticals'!BE14,0)))),0)</f>
        <v>0</v>
      </c>
      <c r="R535" s="1194">
        <f>IF(SETUP!$F$20="At delivery",IF(SETUP!$G$20=4,$E$533*'HIV-Pharmaceuticals'!BC14,IF(SETUP!$G$20=3,$E$533*'HIV-Pharmaceuticals'!BD14,IF(SETUP!$G$20=2,$E$533*'HIV-Pharmaceuticals'!BE14,IF(SETUP!$G$20=1,$E$533*'HIV-Pharmaceuticals'!BF14,0)))),0)</f>
        <v>0</v>
      </c>
      <c r="S535" s="1194">
        <f>IF(SETUP!$F$20="At delivery",IF(SETUP!$G$20=4,$E$533*('HIV-Pharmaceuticals'!BD14+'HIV-Pharmaceuticals'!BE14+'HIV-Pharmaceuticals'!BF14+'HIV-Pharmaceuticals'!BG14+'HIV-Pharmaceuticals'!BH14),IF(SETUP!$G$20=3,$E$533*('HIV-Pharmaceuticals'!BE14+'HIV-Pharmaceuticals'!BF14+'HIV-Pharmaceuticals'!BG14+'HIV-Pharmaceuticals'!BH14),IF(SETUP!$G$20=2,$E$533*('HIV-Pharmaceuticals'!BF14+'HIV-Pharmaceuticals'!BG14+'HIV-Pharmaceuticals'!BH14),IF(SETUP!$G$20=1,$E$533*('HIV-Pharmaceuticals'!BG14+'HIV-Pharmaceuticals'!BH14),0)))),0)</f>
        <v>0</v>
      </c>
      <c r="T535" s="1194">
        <f>'HPM costs'!$F535+'HPM costs'!$G535+'HPM costs'!$H535+'HPM costs'!$I535</f>
        <v>0</v>
      </c>
      <c r="U535" s="1328">
        <f>'HPM costs'!$J535+'HPM costs'!$O535+'HPM costs'!$T535</f>
        <v>0</v>
      </c>
      <c r="V535" s="1826"/>
      <c r="W535" s="1837"/>
      <c r="X535" s="764"/>
      <c r="Y535" s="1836"/>
      <c r="Z535" s="850"/>
      <c r="AA535" s="880"/>
      <c r="AB535" s="880"/>
      <c r="AC535" s="880"/>
      <c r="AD535" s="880"/>
      <c r="AE535" s="880"/>
      <c r="AF535" s="880"/>
      <c r="AG535" s="880"/>
      <c r="AH535" s="881"/>
      <c r="AI535" s="880"/>
      <c r="AJ535" s="880"/>
      <c r="AK535" s="880"/>
      <c r="AL535" s="880"/>
      <c r="AM535" s="880"/>
      <c r="AN535" s="880"/>
      <c r="AO535" s="880"/>
      <c r="AP535" s="880"/>
      <c r="AQ535" s="880"/>
      <c r="AR535" s="880"/>
      <c r="AS535" s="880"/>
      <c r="AT535" s="880"/>
      <c r="AU535" s="880"/>
      <c r="AV535" s="880"/>
      <c r="AW535" s="880"/>
      <c r="AX535" s="880"/>
      <c r="AY535" s="880"/>
      <c r="AZ535" s="880"/>
      <c r="BA535" s="880"/>
      <c r="BB535" s="880"/>
      <c r="BC535" s="880"/>
      <c r="BD535" s="880"/>
      <c r="BE535" s="880"/>
      <c r="BF535" s="880"/>
      <c r="BG535" s="880"/>
      <c r="BH535" s="880"/>
      <c r="BI535" s="880"/>
      <c r="BJ535" s="880"/>
      <c r="BK535" s="880"/>
      <c r="BL535" s="880"/>
      <c r="BM535" s="880"/>
      <c r="BN535" s="880"/>
      <c r="BO535" s="880"/>
      <c r="BP535" s="880"/>
      <c r="BQ535" s="880"/>
      <c r="BR535" s="880"/>
      <c r="BS535" s="880"/>
      <c r="BT535" s="880"/>
    </row>
    <row r="536" spans="1:72" s="882" customFormat="1" ht="13" collapsed="1">
      <c r="A536" s="2915"/>
      <c r="B536" s="2916"/>
      <c r="C536" s="2911" t="s">
        <v>148</v>
      </c>
      <c r="D536" s="2911"/>
      <c r="E536" s="1651">
        <v>1E-4</v>
      </c>
      <c r="F536" s="1328">
        <f>IF(SETUP!$F$21="Upfront",F537,F538)</f>
        <v>0</v>
      </c>
      <c r="G536" s="1194">
        <f>IF(SETUP!$F$21="Upfront",G537,G538)</f>
        <v>0</v>
      </c>
      <c r="H536" s="1194">
        <f>IF(SETUP!$F$21="Upfront",H537,H538)</f>
        <v>0</v>
      </c>
      <c r="I536" s="1194">
        <f>IF(SETUP!$F$21="Upfront",I537,I538)</f>
        <v>0</v>
      </c>
      <c r="J536" s="1194">
        <f t="shared" ref="J536:J554" si="76">F536+G536+H536+I536</f>
        <v>0</v>
      </c>
      <c r="K536" s="1328">
        <f>IF(SETUP!$F$21="Upfront",K537,K538)</f>
        <v>0</v>
      </c>
      <c r="L536" s="1194">
        <f>IF(SETUP!$F$21="Upfront",L537,L538)</f>
        <v>0</v>
      </c>
      <c r="M536" s="1194">
        <f>IF(SETUP!$F$21="Upfront",M537,M538)</f>
        <v>0</v>
      </c>
      <c r="N536" s="1194">
        <f>IF(SETUP!$F$21="Upfront",N537,N538)</f>
        <v>0</v>
      </c>
      <c r="O536" s="1194">
        <f t="shared" ref="O536:O554" si="77">K536+L536+M536+N536</f>
        <v>0</v>
      </c>
      <c r="P536" s="1328">
        <f>IF(SETUP!$F$21="Upfront",P537,P538)</f>
        <v>0</v>
      </c>
      <c r="Q536" s="1194">
        <f>IF(SETUP!$F$21="Upfront",Q537,Q538)</f>
        <v>0</v>
      </c>
      <c r="R536" s="1194">
        <f>IF(SETUP!$F$21="Upfront",R537,R538)</f>
        <v>0</v>
      </c>
      <c r="S536" s="1194">
        <f>IF(SETUP!$F$21="Upfront",S537,S538)</f>
        <v>0</v>
      </c>
      <c r="T536" s="1194">
        <f t="shared" ref="T536:T553" si="78">P536+Q536+R536+S536</f>
        <v>0</v>
      </c>
      <c r="U536" s="1328">
        <f t="shared" ref="U536:U553" si="79">J536+O536+T536</f>
        <v>0</v>
      </c>
      <c r="V536" s="1826">
        <v>7.5</v>
      </c>
      <c r="W536" s="1837"/>
      <c r="X536" s="764"/>
      <c r="Y536" s="1836"/>
      <c r="Z536" s="850"/>
      <c r="AA536" s="880"/>
      <c r="AB536" s="880"/>
      <c r="AC536" s="880"/>
      <c r="AD536" s="880"/>
      <c r="AE536" s="880"/>
      <c r="AF536" s="880"/>
      <c r="AG536" s="880"/>
      <c r="AH536" s="881"/>
      <c r="AI536" s="880"/>
      <c r="AJ536" s="880"/>
      <c r="AK536" s="880"/>
      <c r="AL536" s="880"/>
      <c r="AM536" s="880"/>
      <c r="AN536" s="880"/>
      <c r="AO536" s="880"/>
      <c r="AP536" s="880"/>
      <c r="AQ536" s="880"/>
      <c r="AR536" s="880"/>
      <c r="AS536" s="880"/>
      <c r="AT536" s="880"/>
      <c r="AU536" s="880"/>
      <c r="AV536" s="880"/>
      <c r="AW536" s="880"/>
      <c r="AX536" s="880"/>
      <c r="AY536" s="880"/>
      <c r="AZ536" s="880"/>
      <c r="BA536" s="880"/>
      <c r="BB536" s="880"/>
      <c r="BC536" s="880"/>
      <c r="BD536" s="880"/>
      <c r="BE536" s="880"/>
      <c r="BF536" s="880"/>
      <c r="BG536" s="880"/>
      <c r="BH536" s="880"/>
      <c r="BI536" s="880"/>
      <c r="BJ536" s="880"/>
      <c r="BK536" s="880"/>
      <c r="BL536" s="880"/>
      <c r="BM536" s="880"/>
      <c r="BN536" s="880"/>
      <c r="BO536" s="880"/>
      <c r="BP536" s="880"/>
      <c r="BQ536" s="880"/>
      <c r="BR536" s="880"/>
      <c r="BS536" s="880"/>
      <c r="BT536" s="880"/>
    </row>
    <row r="537" spans="1:72" s="882" customFormat="1" ht="16.149999999999999" hidden="1" customHeight="1" outlineLevel="1">
      <c r="A537" s="2915"/>
      <c r="B537" s="2916"/>
      <c r="C537" s="2912" t="s">
        <v>918</v>
      </c>
      <c r="D537" s="2912"/>
      <c r="E537" s="1651"/>
      <c r="F537" s="1328">
        <f>IF(SETUP!$F$21="Upfront",$E$536*'HIV-Pharmaceuticals'!AW15,0)</f>
        <v>0</v>
      </c>
      <c r="G537" s="1194">
        <f>IF(SETUP!$F$21="Upfront",$E$536*'HIV-Pharmaceuticals'!AX15,0)</f>
        <v>0</v>
      </c>
      <c r="H537" s="1194">
        <f>IF(SETUP!$F$21="Upfront",$E$536*'HIV-Pharmaceuticals'!AY15,0)</f>
        <v>0</v>
      </c>
      <c r="I537" s="1194">
        <f>IF(SETUP!$F$21="Upfront",$E$536*'HIV-Pharmaceuticals'!AZ15,0)</f>
        <v>0</v>
      </c>
      <c r="J537" s="1194">
        <f t="shared" si="76"/>
        <v>0</v>
      </c>
      <c r="K537" s="1328">
        <f>IF(SETUP!$F$21="Upfront",$E$536*'HIV-Pharmaceuticals'!BA15,0)</f>
        <v>0</v>
      </c>
      <c r="L537" s="1194">
        <f>IF(SETUP!$F$21="Upfront",$E$536*'HIV-Pharmaceuticals'!BB15,0)</f>
        <v>0</v>
      </c>
      <c r="M537" s="1194">
        <f>IF(SETUP!$F$21="Upfront",$E$536*'HIV-Pharmaceuticals'!BC15,0)</f>
        <v>0</v>
      </c>
      <c r="N537" s="1194">
        <f>IF(SETUP!$F$21="Upfront",$E$536*'HIV-Pharmaceuticals'!BD15,0)</f>
        <v>0</v>
      </c>
      <c r="O537" s="1194">
        <f t="shared" si="77"/>
        <v>0</v>
      </c>
      <c r="P537" s="1328">
        <f>IF(SETUP!$F$21="Upfront",$E$536*'HIV-Pharmaceuticals'!BE15,0)</f>
        <v>0</v>
      </c>
      <c r="Q537" s="1194">
        <f>IF(SETUP!$F$21="Upfront",$E$536*'HIV-Pharmaceuticals'!BF15,0)</f>
        <v>0</v>
      </c>
      <c r="R537" s="1194">
        <f>IF(SETUP!$F$21="Upfront",$E$536*'HIV-Pharmaceuticals'!BG15,0)</f>
        <v>0</v>
      </c>
      <c r="S537" s="1194">
        <f>IF(SETUP!$F$21="Upfront",$E$536*'HIV-Pharmaceuticals'!BH15,0)</f>
        <v>0</v>
      </c>
      <c r="T537" s="1194">
        <f t="shared" si="78"/>
        <v>0</v>
      </c>
      <c r="U537" s="1328">
        <f t="shared" si="79"/>
        <v>0</v>
      </c>
      <c r="V537" s="1826">
        <v>7.5</v>
      </c>
      <c r="W537" s="1837"/>
      <c r="X537" s="764"/>
      <c r="Y537" s="1836"/>
      <c r="Z537" s="850"/>
      <c r="AA537" s="880"/>
      <c r="AB537" s="880"/>
      <c r="AC537" s="880"/>
      <c r="AD537" s="880"/>
      <c r="AE537" s="880"/>
      <c r="AF537" s="880"/>
      <c r="AG537" s="880"/>
      <c r="AH537" s="881"/>
      <c r="AI537" s="880"/>
      <c r="AJ537" s="880"/>
      <c r="AK537" s="880"/>
      <c r="AL537" s="880"/>
      <c r="AM537" s="880"/>
      <c r="AN537" s="880"/>
      <c r="AO537" s="880"/>
      <c r="AP537" s="880"/>
      <c r="AQ537" s="880"/>
      <c r="AR537" s="880"/>
      <c r="AS537" s="880"/>
      <c r="AT537" s="880"/>
      <c r="AU537" s="880"/>
      <c r="AV537" s="880"/>
      <c r="AW537" s="880"/>
      <c r="AX537" s="880"/>
      <c r="AY537" s="880"/>
      <c r="AZ537" s="880"/>
      <c r="BA537" s="880"/>
      <c r="BB537" s="880"/>
      <c r="BC537" s="880"/>
      <c r="BD537" s="880"/>
      <c r="BE537" s="880"/>
      <c r="BF537" s="880"/>
      <c r="BG537" s="880"/>
      <c r="BH537" s="880"/>
      <c r="BI537" s="880"/>
      <c r="BJ537" s="880"/>
      <c r="BK537" s="880"/>
      <c r="BL537" s="880"/>
      <c r="BM537" s="880"/>
      <c r="BN537" s="880"/>
      <c r="BO537" s="880"/>
      <c r="BP537" s="880"/>
      <c r="BQ537" s="880"/>
      <c r="BR537" s="880"/>
      <c r="BS537" s="880"/>
      <c r="BT537" s="880"/>
    </row>
    <row r="538" spans="1:72" s="882" customFormat="1" ht="16.149999999999999" hidden="1" customHeight="1" outlineLevel="1">
      <c r="A538" s="2915"/>
      <c r="B538" s="2916"/>
      <c r="C538" s="2912" t="s">
        <v>36</v>
      </c>
      <c r="D538" s="2912"/>
      <c r="E538" s="1649"/>
      <c r="F538" s="1328">
        <v>0</v>
      </c>
      <c r="G538" s="1194">
        <f>IF(SETUP!$F$21="At delivery",IF(SETUP!$G$21=1,$E$536*'HIV-Pharmaceuticals'!AW15,0),0)</f>
        <v>0</v>
      </c>
      <c r="H538" s="1194">
        <f>IF(SETUP!$F$21="At delivery",IF(SETUP!$G$21=2,$E$536*'HIV-Pharmaceuticals'!AW15,IF(SETUP!$G$21=1,$E$536*'HIV-Pharmaceuticals'!AX15,0)),0)</f>
        <v>0</v>
      </c>
      <c r="I538" s="1194">
        <f>IF(SETUP!$F$21="At delivery",IF(SETUP!$G$21=3,$E$536*'HIV-Pharmaceuticals'!AW15,IF(SETUP!$G$21=2,$E$536*'HIV-Pharmaceuticals'!AX15,IF(SETUP!$G$21=1,$E$536*'HIV-Pharmaceuticals'!AY15,0))),0)</f>
        <v>0</v>
      </c>
      <c r="J538" s="1194">
        <f t="shared" si="76"/>
        <v>0</v>
      </c>
      <c r="K538" s="1328">
        <f>IF(SETUP!$F$21="At delivery",IF(SETUP!$G$21=4,$E$536*'HIV-Pharmaceuticals'!AW15,IF(SETUP!$G$21=3,$E$536*'HIV-Pharmaceuticals'!AX15,IF(SETUP!$G$21=2,$E$536*'HIV-Pharmaceuticals'!AY15,IF(SETUP!$G$21=1,$E$536*'HIV-Pharmaceuticals'!AZ15,0)))),0)</f>
        <v>0</v>
      </c>
      <c r="L538" s="1194">
        <f>IF(SETUP!$F$21="At delivery",IF(SETUP!$G$21=4,$E$536*'HIV-Pharmaceuticals'!AX15,IF(SETUP!$G$21=3,$E$536*'HIV-Pharmaceuticals'!AY15,IF(SETUP!$G$21=2,$E$536*'HIV-Pharmaceuticals'!AZ15,IF(SETUP!$G$21=1,$E$536*'HIV-Pharmaceuticals'!BA15,0)))),0)</f>
        <v>0</v>
      </c>
      <c r="M538" s="1194">
        <f>IF(SETUP!$F$21="At delivery",IF(SETUP!$G$21=4,$E$536*'HIV-Pharmaceuticals'!AY15,IF(SETUP!$G$21=3,$E$536*'HIV-Pharmaceuticals'!AZ15,IF(SETUP!$G$21=2,$E$536*'HIV-Pharmaceuticals'!BA15,IF(SETUP!$G$21=1,$E$536*'HIV-Pharmaceuticals'!BB15,0)))),0)</f>
        <v>0</v>
      </c>
      <c r="N538" s="1194">
        <f>IF(SETUP!$F$21="At delivery",IF(SETUP!$G$21=4,$E$536*'HIV-Pharmaceuticals'!AZ15,IF(SETUP!$G$21=3,$E$536*'HIV-Pharmaceuticals'!BA15,IF(SETUP!$G$21=2,$E$536*'HIV-Pharmaceuticals'!BB15,IF(SETUP!$G$21=1,$E$536*'HIV-Pharmaceuticals'!BC15,0)))),0)</f>
        <v>0</v>
      </c>
      <c r="O538" s="1194">
        <f t="shared" si="77"/>
        <v>0</v>
      </c>
      <c r="P538" s="1328">
        <f>IF(SETUP!$F$21="At delivery",IF(SETUP!$G$21=4,$E$536*'HIV-Pharmaceuticals'!BA15,IF(SETUP!$G$21=3,$E$536*'HIV-Pharmaceuticals'!BB15,IF(SETUP!$G$21=2,$E$536*'HIV-Pharmaceuticals'!BC15,IF(SETUP!$G$21=1,$E$536*'HIV-Pharmaceuticals'!BD15,0)))),0)</f>
        <v>0</v>
      </c>
      <c r="Q538" s="1194">
        <f>IF(SETUP!$F$21="At delivery",IF(SETUP!$G$21=4,$E$536*'HIV-Pharmaceuticals'!BB15,IF(SETUP!$G$21=3,$E$536*'HIV-Pharmaceuticals'!BC15,IF(SETUP!$G$21=2,$E$536*'HIV-Pharmaceuticals'!BD15,IF(SETUP!$G$21=1,$E$536*'HIV-Pharmaceuticals'!BE15,0)))),0)</f>
        <v>0</v>
      </c>
      <c r="R538" s="1194">
        <f>IF(SETUP!$F$21="At delivery",IF(SETUP!$G$21=4,$E$536*'HIV-Pharmaceuticals'!BC15,IF(SETUP!$G$21=3,$E$536*'HIV-Pharmaceuticals'!BD15,IF(SETUP!$G$21=2,$E$536*'HIV-Pharmaceuticals'!BE15,IF(SETUP!$G$21=1,$E$536*'HIV-Pharmaceuticals'!BF15,0)))),0)</f>
        <v>0</v>
      </c>
      <c r="S538" s="1194">
        <f>IF(SETUP!$F$21="At delivery",IF(SETUP!$G$21=4,$E$536*('HIV-Pharmaceuticals'!BD15+'HIV-Pharmaceuticals'!BE15+'HIV-Pharmaceuticals'!BF15+'HIV-Pharmaceuticals'!BG15+'HIV-Pharmaceuticals'!BH15),IF(SETUP!$G$21=3,$E$536*('HIV-Pharmaceuticals'!BE15+'HIV-Pharmaceuticals'!BF15+'HIV-Pharmaceuticals'!BG15+'HIV-Pharmaceuticals'!BH15),IF(SETUP!$G$21=2,$E$536*('HIV-Pharmaceuticals'!BF15+'HIV-Pharmaceuticals'!BG15+'HIV-Pharmaceuticals'!BH15),IF(SETUP!$G$21=1,$E$536*('HIV-Pharmaceuticals'!BG15+'HIV-Pharmaceuticals'!BH15),0)))),0)</f>
        <v>0</v>
      </c>
      <c r="T538" s="1194">
        <f t="shared" si="78"/>
        <v>0</v>
      </c>
      <c r="U538" s="1328">
        <f t="shared" si="79"/>
        <v>0</v>
      </c>
      <c r="V538" s="1826">
        <v>7.5</v>
      </c>
      <c r="W538" s="1837"/>
      <c r="X538" s="764"/>
      <c r="Y538" s="1836"/>
      <c r="Z538" s="850"/>
      <c r="AA538" s="880"/>
      <c r="AB538" s="880"/>
      <c r="AC538" s="880"/>
      <c r="AD538" s="880"/>
      <c r="AE538" s="880"/>
      <c r="AF538" s="880"/>
      <c r="AG538" s="880"/>
      <c r="AH538" s="881"/>
      <c r="AI538" s="880"/>
      <c r="AJ538" s="880"/>
      <c r="AK538" s="880"/>
      <c r="AL538" s="880"/>
      <c r="AM538" s="880"/>
      <c r="AN538" s="880"/>
      <c r="AO538" s="880"/>
      <c r="AP538" s="880"/>
      <c r="AQ538" s="880"/>
      <c r="AR538" s="880"/>
      <c r="AS538" s="880"/>
      <c r="AT538" s="880"/>
      <c r="AU538" s="880"/>
      <c r="AV538" s="880"/>
      <c r="AW538" s="880"/>
      <c r="AX538" s="880"/>
      <c r="AY538" s="880"/>
      <c r="AZ538" s="880"/>
      <c r="BA538" s="880"/>
      <c r="BB538" s="880"/>
      <c r="BC538" s="880"/>
      <c r="BD538" s="880"/>
      <c r="BE538" s="880"/>
      <c r="BF538" s="880"/>
      <c r="BG538" s="880"/>
      <c r="BH538" s="880"/>
      <c r="BI538" s="880"/>
      <c r="BJ538" s="880"/>
      <c r="BK538" s="880"/>
      <c r="BL538" s="880"/>
      <c r="BM538" s="880"/>
      <c r="BN538" s="880"/>
      <c r="BO538" s="880"/>
      <c r="BP538" s="880"/>
      <c r="BQ538" s="880"/>
      <c r="BR538" s="880"/>
      <c r="BS538" s="880"/>
      <c r="BT538" s="880"/>
    </row>
    <row r="539" spans="1:72" s="882" customFormat="1" ht="13" collapsed="1">
      <c r="A539" s="2915"/>
      <c r="B539" s="2916"/>
      <c r="C539" s="2941" t="s">
        <v>1317</v>
      </c>
      <c r="D539" s="2941"/>
      <c r="E539" s="1651">
        <v>1E-4</v>
      </c>
      <c r="F539" s="1328">
        <f>IF(SETUP!$F$22="Upfront",F540,F541)</f>
        <v>0</v>
      </c>
      <c r="G539" s="1194">
        <f>IF(SETUP!$F$22="Upfront",G540,G541)</f>
        <v>0</v>
      </c>
      <c r="H539" s="1194">
        <f>IF(SETUP!$F$22="Upfront",H540,H541)</f>
        <v>0</v>
      </c>
      <c r="I539" s="1194">
        <f>IF(SETUP!$F$22="Upfront",I540,I541)</f>
        <v>0</v>
      </c>
      <c r="J539" s="1194">
        <f t="shared" si="76"/>
        <v>0</v>
      </c>
      <c r="K539" s="1328">
        <f>IF(SETUP!$F$22="Upfront",K540,K541)</f>
        <v>0</v>
      </c>
      <c r="L539" s="1194">
        <f>IF(SETUP!$F$22="Upfront",L540,L541)</f>
        <v>0</v>
      </c>
      <c r="M539" s="1194">
        <f>IF(SETUP!$F$22="Upfront",M540,M541)</f>
        <v>0</v>
      </c>
      <c r="N539" s="1194">
        <f>IF(SETUP!$F$22="Upfront",N540,N541)</f>
        <v>0</v>
      </c>
      <c r="O539" s="1194">
        <f t="shared" si="77"/>
        <v>0</v>
      </c>
      <c r="P539" s="1328">
        <f>IF(SETUP!$F$22="Upfront",P540,P541)</f>
        <v>0</v>
      </c>
      <c r="Q539" s="1194">
        <f>IF(SETUP!$F$22="Upfront",Q540,Q541)</f>
        <v>0</v>
      </c>
      <c r="R539" s="1194">
        <f>IF(SETUP!$F$22="Upfront",R540,R541)</f>
        <v>0</v>
      </c>
      <c r="S539" s="1194">
        <f>IF(SETUP!$F$22="Upfront",S540,S541)</f>
        <v>0</v>
      </c>
      <c r="T539" s="1194">
        <f t="shared" si="78"/>
        <v>0</v>
      </c>
      <c r="U539" s="1328">
        <f t="shared" si="79"/>
        <v>0</v>
      </c>
      <c r="V539" s="1826">
        <v>7.5</v>
      </c>
      <c r="W539" s="1837"/>
      <c r="X539" s="764"/>
      <c r="Y539" s="1836"/>
      <c r="Z539" s="850"/>
      <c r="AA539" s="880"/>
      <c r="AB539" s="880"/>
      <c r="AC539" s="880"/>
      <c r="AD539" s="880"/>
      <c r="AE539" s="880"/>
      <c r="AF539" s="880"/>
      <c r="AG539" s="880"/>
      <c r="AH539" s="881"/>
      <c r="AI539" s="880"/>
      <c r="AJ539" s="880"/>
      <c r="AK539" s="880"/>
      <c r="AL539" s="880"/>
      <c r="AM539" s="880"/>
      <c r="AN539" s="880"/>
      <c r="AO539" s="880"/>
      <c r="AP539" s="880"/>
      <c r="AQ539" s="880"/>
      <c r="AR539" s="880"/>
      <c r="AS539" s="880"/>
      <c r="AT539" s="880"/>
      <c r="AU539" s="880"/>
      <c r="AV539" s="880"/>
      <c r="AW539" s="880"/>
      <c r="AX539" s="880"/>
      <c r="AY539" s="880"/>
      <c r="AZ539" s="880"/>
      <c r="BA539" s="880"/>
      <c r="BB539" s="880"/>
      <c r="BC539" s="880"/>
      <c r="BD539" s="880"/>
      <c r="BE539" s="880"/>
      <c r="BF539" s="880"/>
      <c r="BG539" s="880"/>
      <c r="BH539" s="880"/>
      <c r="BI539" s="880"/>
      <c r="BJ539" s="880"/>
      <c r="BK539" s="880"/>
      <c r="BL539" s="880"/>
      <c r="BM539" s="880"/>
      <c r="BN539" s="880"/>
      <c r="BO539" s="880"/>
      <c r="BP539" s="880"/>
      <c r="BQ539" s="880"/>
      <c r="BR539" s="880"/>
      <c r="BS539" s="880"/>
      <c r="BT539" s="880"/>
    </row>
    <row r="540" spans="1:72" s="882" customFormat="1" ht="15" hidden="1" customHeight="1" outlineLevel="1">
      <c r="A540" s="2893" t="s">
        <v>564</v>
      </c>
      <c r="B540" s="2894"/>
      <c r="C540" s="2912" t="s">
        <v>918</v>
      </c>
      <c r="D540" s="2912"/>
      <c r="E540" s="1652"/>
      <c r="F540" s="1328">
        <f>IF(SETUP!$F$22="Upfront",$E$539*'HIV-Pharmaceuticals'!AW16,0)</f>
        <v>0</v>
      </c>
      <c r="G540" s="1194">
        <f>IF(SETUP!$F$22="Upfront",$E$539*'HIV-Pharmaceuticals'!AX16,0)</f>
        <v>0</v>
      </c>
      <c r="H540" s="1194">
        <f>IF(SETUP!$F$22="Upfront",$E$539*'HIV-Pharmaceuticals'!AY16,0)</f>
        <v>0</v>
      </c>
      <c r="I540" s="1194">
        <f>IF(SETUP!$F$22="Upfront",$E$539*'HIV-Pharmaceuticals'!AZ16,0)</f>
        <v>0</v>
      </c>
      <c r="J540" s="1194">
        <f t="shared" si="76"/>
        <v>0</v>
      </c>
      <c r="K540" s="1328">
        <f>IF(SETUP!$F$22="Upfront",$E$539*'HIV-Pharmaceuticals'!BA16,0)</f>
        <v>0</v>
      </c>
      <c r="L540" s="1194">
        <f>IF(SETUP!$F$22="Upfront",$E$539*'HIV-Pharmaceuticals'!BB16,0)</f>
        <v>0</v>
      </c>
      <c r="M540" s="1194">
        <f>IF(SETUP!$F$22="Upfront",$E$539*'HIV-Pharmaceuticals'!BC16,0)</f>
        <v>0</v>
      </c>
      <c r="N540" s="1194">
        <f>IF(SETUP!$F$22="Upfront",$E$539*'HIV-Pharmaceuticals'!BD16,0)</f>
        <v>0</v>
      </c>
      <c r="O540" s="1194">
        <f t="shared" si="77"/>
        <v>0</v>
      </c>
      <c r="P540" s="1328">
        <f>IF(SETUP!$F$22="Upfront",$E$539*'HIV-Pharmaceuticals'!BE16,0)</f>
        <v>0</v>
      </c>
      <c r="Q540" s="1194">
        <f>IF(SETUP!$F$22="Upfront",$E$539*'HIV-Pharmaceuticals'!BF16,0)</f>
        <v>0</v>
      </c>
      <c r="R540" s="1194">
        <f>IF(SETUP!$F$22="Upfront",$E$539*'HIV-Pharmaceuticals'!BG16,0)</f>
        <v>0</v>
      </c>
      <c r="S540" s="1194">
        <f>IF(SETUP!$F$22="Upfront",$E$539*'HIV-Pharmaceuticals'!BH16,0)</f>
        <v>0</v>
      </c>
      <c r="T540" s="1194">
        <f t="shared" si="78"/>
        <v>0</v>
      </c>
      <c r="U540" s="1328">
        <f t="shared" si="79"/>
        <v>0</v>
      </c>
      <c r="V540" s="1826">
        <v>7.5</v>
      </c>
      <c r="W540" s="1837"/>
      <c r="X540" s="764"/>
      <c r="Y540" s="1836"/>
      <c r="Z540" s="850"/>
      <c r="AA540" s="880"/>
      <c r="AB540" s="880"/>
      <c r="AC540" s="880"/>
      <c r="AD540" s="880"/>
      <c r="AE540" s="880"/>
      <c r="AF540" s="880"/>
      <c r="AG540" s="880"/>
      <c r="AH540" s="881"/>
      <c r="AI540" s="880"/>
      <c r="AJ540" s="880"/>
      <c r="AK540" s="880"/>
      <c r="AL540" s="880"/>
      <c r="AM540" s="880"/>
      <c r="AN540" s="880"/>
      <c r="AO540" s="880"/>
      <c r="AP540" s="880"/>
      <c r="AQ540" s="880"/>
      <c r="AR540" s="880"/>
      <c r="AS540" s="880"/>
      <c r="AT540" s="880"/>
      <c r="AU540" s="880"/>
      <c r="AV540" s="880"/>
      <c r="AW540" s="880"/>
      <c r="AX540" s="880"/>
      <c r="AY540" s="880"/>
      <c r="AZ540" s="880"/>
      <c r="BA540" s="880"/>
      <c r="BB540" s="880"/>
      <c r="BC540" s="880"/>
      <c r="BD540" s="880"/>
      <c r="BE540" s="880"/>
      <c r="BF540" s="880"/>
      <c r="BG540" s="880"/>
      <c r="BH540" s="880"/>
      <c r="BI540" s="880"/>
      <c r="BJ540" s="880"/>
      <c r="BK540" s="880"/>
      <c r="BL540" s="880"/>
      <c r="BM540" s="880"/>
      <c r="BN540" s="880"/>
      <c r="BO540" s="880"/>
      <c r="BP540" s="880"/>
      <c r="BQ540" s="880"/>
      <c r="BR540" s="880"/>
      <c r="BS540" s="880"/>
      <c r="BT540" s="880"/>
    </row>
    <row r="541" spans="1:72" s="882" customFormat="1" ht="12.75" hidden="1" customHeight="1" outlineLevel="1">
      <c r="A541" s="2893"/>
      <c r="B541" s="2894"/>
      <c r="C541" s="2912" t="s">
        <v>36</v>
      </c>
      <c r="D541" s="2912"/>
      <c r="E541" s="1652"/>
      <c r="F541" s="1328">
        <v>0</v>
      </c>
      <c r="G541" s="1194">
        <f>IF(SETUP!$F$22="At delivery",IF(SETUP!$G$22=1,$E$539*'HIV-Pharmaceuticals'!AW16,0),0)</f>
        <v>0</v>
      </c>
      <c r="H541" s="1194">
        <f>IF(SETUP!$F$22="At delivery",IF(SETUP!$G$22=2,$E$539*'HIV-Pharmaceuticals'!AW16,IF(SETUP!$G$22=1,$E$539*'HIV-Pharmaceuticals'!AX16,0)),0)</f>
        <v>0</v>
      </c>
      <c r="I541" s="1194">
        <f>IF(SETUP!$F$22="At delivery",IF(SETUP!$G$22=3,$E$539*'HIV-Pharmaceuticals'!AW16,IF(SETUP!$G$22=2,$E$539*'HIV-Pharmaceuticals'!AX16,IF(SETUP!$G$22=1,$E$539*'HIV-Pharmaceuticals'!AY16,0))),0)</f>
        <v>0</v>
      </c>
      <c r="J541" s="1194">
        <f t="shared" si="76"/>
        <v>0</v>
      </c>
      <c r="K541" s="1328">
        <f>IF(SETUP!$F$22="At delivery",IF(SETUP!$G$22=4,$E$539*'HIV-Pharmaceuticals'!AW16,IF(SETUP!$G$22=3,$E$539*'HIV-Pharmaceuticals'!AX16,IF(SETUP!$G$22=2,$E$539*'HIV-Pharmaceuticals'!AY16,IF(SETUP!$G$22=1,$E$539*'HIV-Pharmaceuticals'!AZ16,0)))),0)</f>
        <v>0</v>
      </c>
      <c r="L541" s="1194">
        <f>IF(SETUP!$F$22="At delivery",IF(SETUP!$G$22=4,$E$539*'HIV-Pharmaceuticals'!AX16,IF(SETUP!$G$22=3,$E$539*'HIV-Pharmaceuticals'!AY16,IF(SETUP!$G$22=2,$E$539*'HIV-Pharmaceuticals'!AZ16,IF(SETUP!$G$22=1,$E$539*'HIV-Pharmaceuticals'!BA16,0)))),0)</f>
        <v>0</v>
      </c>
      <c r="M541" s="1194">
        <f>IF(SETUP!$F$22="At delivery",IF(SETUP!$G$22=4,$E$539*'HIV-Pharmaceuticals'!AY16,IF(SETUP!$G$22=3,$E$539*'HIV-Pharmaceuticals'!AZ16,IF(SETUP!$G$22=2,$E$539*'HIV-Pharmaceuticals'!BA16,IF(SETUP!$G$22=1,$E$539*'HIV-Pharmaceuticals'!BB16,0)))),0)</f>
        <v>0</v>
      </c>
      <c r="N541" s="1194">
        <f>IF(SETUP!$F$22="At delivery",IF(SETUP!$G$22=4,$E$539*'HIV-Pharmaceuticals'!AZ16,IF(SETUP!$G$22=3,$E$539*'HIV-Pharmaceuticals'!BA16,IF(SETUP!$G$22=2,$E$539*'HIV-Pharmaceuticals'!BB16,IF(SETUP!$G$22=1,$E$539*'HIV-Pharmaceuticals'!BC16,0)))),0)</f>
        <v>0</v>
      </c>
      <c r="O541" s="1194">
        <f t="shared" si="77"/>
        <v>0</v>
      </c>
      <c r="P541" s="1328">
        <f>IF(SETUP!$F$22="At delivery",IF(SETUP!$G$22=4,$E$539*'HIV-Pharmaceuticals'!BA16,IF(SETUP!$G$22=3,$E$539*'HIV-Pharmaceuticals'!BB16,IF(SETUP!$G$22=2,$E$539*'HIV-Pharmaceuticals'!BC16,IF(SETUP!$G$22=1,$E$539*'HIV-Pharmaceuticals'!BD16,0)))),0)</f>
        <v>0</v>
      </c>
      <c r="Q541" s="1194">
        <f>IF(SETUP!$F$22="At delivery",IF(SETUP!$G$22=4,$E$539*'HIV-Pharmaceuticals'!BB16,IF(SETUP!$G$22=3,$E$539*'HIV-Pharmaceuticals'!BC16,IF(SETUP!$G$22=2,$E$539*'HIV-Pharmaceuticals'!BD16,IF(SETUP!$G$22=1,$E$539*'HIV-Pharmaceuticals'!BE16,0)))),0)</f>
        <v>0</v>
      </c>
      <c r="R541" s="1194">
        <f>IF(SETUP!$F$22="At delivery",IF(SETUP!$G$22=4,$E$539*'HIV-Pharmaceuticals'!BC16,IF(SETUP!$G$22=3,$E$539*'HIV-Pharmaceuticals'!BD16,IF(SETUP!$G$22=2,$E$539*'HIV-Pharmaceuticals'!BE16,IF(SETUP!$G$22=1,$E$539*'HIV-Pharmaceuticals'!BF16,0)))),0)</f>
        <v>0</v>
      </c>
      <c r="S541" s="1194">
        <f>IF(SETUP!$F$22="At delivery",IF(SETUP!$G$22=4,$E$539*('HIV-Pharmaceuticals'!BD16+'HIV-Pharmaceuticals'!BE16+'HIV-Pharmaceuticals'!BF16+'HIV-Pharmaceuticals'!BG16+'HIV-Pharmaceuticals'!BH16),IF(SETUP!$G$22=3,$E$539*('HIV-Pharmaceuticals'!BE16+'HIV-Pharmaceuticals'!BF16+'HIV-Pharmaceuticals'!BG16+'HIV-Pharmaceuticals'!BH16),IF(SETUP!$G$22=2,$E$539*('HIV-Pharmaceuticals'!BF16+'HIV-Pharmaceuticals'!BG16+'HIV-Pharmaceuticals'!BH16),IF(SETUP!$G$22=1,$E$539*('HIV-Pharmaceuticals'!BG16+'HIV-Pharmaceuticals'!BH16),0)))),0)</f>
        <v>0</v>
      </c>
      <c r="T541" s="1194">
        <f t="shared" si="78"/>
        <v>0</v>
      </c>
      <c r="U541" s="1328">
        <f t="shared" si="79"/>
        <v>0</v>
      </c>
      <c r="V541" s="1826">
        <v>7.5</v>
      </c>
      <c r="W541" s="1837"/>
      <c r="X541" s="764"/>
      <c r="Y541" s="1836"/>
      <c r="Z541" s="850"/>
      <c r="AA541" s="880"/>
      <c r="AB541" s="880"/>
      <c r="AC541" s="880"/>
      <c r="AD541" s="880"/>
      <c r="AE541" s="880"/>
      <c r="AF541" s="880"/>
      <c r="AG541" s="880"/>
      <c r="AH541" s="881"/>
      <c r="AI541" s="880"/>
      <c r="AJ541" s="880"/>
      <c r="AK541" s="880"/>
      <c r="AL541" s="880"/>
      <c r="AM541" s="880"/>
      <c r="AN541" s="880"/>
      <c r="AO541" s="880"/>
      <c r="AP541" s="880"/>
      <c r="AQ541" s="880"/>
      <c r="AR541" s="880"/>
      <c r="AS541" s="880"/>
      <c r="AT541" s="880"/>
      <c r="AU541" s="880"/>
      <c r="AV541" s="880"/>
      <c r="AW541" s="880"/>
      <c r="AX541" s="880"/>
      <c r="AY541" s="880"/>
      <c r="AZ541" s="880"/>
      <c r="BA541" s="880"/>
      <c r="BB541" s="880"/>
      <c r="BC541" s="880"/>
      <c r="BD541" s="880"/>
      <c r="BE541" s="880"/>
      <c r="BF541" s="880"/>
      <c r="BG541" s="880"/>
      <c r="BH541" s="880"/>
      <c r="BI541" s="880"/>
      <c r="BJ541" s="880"/>
      <c r="BK541" s="880"/>
      <c r="BL541" s="880"/>
      <c r="BM541" s="880"/>
      <c r="BN541" s="880"/>
      <c r="BO541" s="880"/>
      <c r="BP541" s="880"/>
      <c r="BQ541" s="880"/>
      <c r="BR541" s="880"/>
      <c r="BS541" s="880"/>
      <c r="BT541" s="880"/>
    </row>
    <row r="542" spans="1:72" s="882" customFormat="1" ht="13.5" collapsed="1" thickBot="1">
      <c r="A542" s="2893"/>
      <c r="B542" s="2894"/>
      <c r="C542" s="2923" t="s">
        <v>1793</v>
      </c>
      <c r="D542" s="2923"/>
      <c r="E542" s="1651">
        <v>1E-4</v>
      </c>
      <c r="F542" s="1328">
        <f>IF(SETUP!$F$23="Upfront",F543,F544)</f>
        <v>0</v>
      </c>
      <c r="G542" s="1194">
        <f>IF(SETUP!$F$23="Upfront",G543,G544)</f>
        <v>0</v>
      </c>
      <c r="H542" s="1194">
        <f>IF(SETUP!$F$23="Upfront",H543,H544)</f>
        <v>0</v>
      </c>
      <c r="I542" s="1194">
        <f>IF(SETUP!$F$23="Upfront",I543,I544)</f>
        <v>0</v>
      </c>
      <c r="J542" s="1194">
        <f t="shared" si="76"/>
        <v>0</v>
      </c>
      <c r="K542" s="1328">
        <f>IF(SETUP!$F$23="Upfront",K543,K544)</f>
        <v>0</v>
      </c>
      <c r="L542" s="1194">
        <f>IF(SETUP!$F$23="Upfront",L543,L544)</f>
        <v>0</v>
      </c>
      <c r="M542" s="1194">
        <f>IF(SETUP!$F$23="Upfront",M543,M544)</f>
        <v>0</v>
      </c>
      <c r="N542" s="1194">
        <f>IF(SETUP!$F$23="Upfront",N543,N544)</f>
        <v>0</v>
      </c>
      <c r="O542" s="1194">
        <f t="shared" si="77"/>
        <v>0</v>
      </c>
      <c r="P542" s="1328">
        <f>IF(SETUP!$F$23="Upfront",P543,P544)</f>
        <v>0</v>
      </c>
      <c r="Q542" s="1194">
        <f>IF(SETUP!$F$23="Upfront",Q543,Q544)</f>
        <v>0</v>
      </c>
      <c r="R542" s="1194">
        <f>IF(SETUP!$F$23="Upfront",R543,R544)</f>
        <v>0</v>
      </c>
      <c r="S542" s="1194">
        <f>IF(SETUP!$F$23="Upfront",S543,S544)</f>
        <v>0</v>
      </c>
      <c r="T542" s="1194">
        <f t="shared" si="78"/>
        <v>0</v>
      </c>
      <c r="U542" s="1328">
        <f t="shared" si="79"/>
        <v>0</v>
      </c>
      <c r="V542" s="1826">
        <v>7.5</v>
      </c>
      <c r="W542" s="1837"/>
      <c r="X542" s="764"/>
      <c r="Y542" s="1836"/>
      <c r="Z542" s="850"/>
      <c r="AA542" s="880"/>
      <c r="AB542" s="880"/>
      <c r="AC542" s="880"/>
      <c r="AD542" s="880"/>
      <c r="AE542" s="880"/>
      <c r="AF542" s="880"/>
      <c r="AG542" s="880"/>
      <c r="AH542" s="881"/>
      <c r="AI542" s="880"/>
      <c r="AJ542" s="880"/>
      <c r="AK542" s="880"/>
      <c r="AL542" s="880"/>
      <c r="AM542" s="880"/>
      <c r="AN542" s="880"/>
      <c r="AO542" s="880"/>
      <c r="AP542" s="880"/>
      <c r="AQ542" s="880"/>
      <c r="AR542" s="880"/>
      <c r="AS542" s="880"/>
      <c r="AT542" s="880"/>
      <c r="AU542" s="880"/>
      <c r="AV542" s="880"/>
      <c r="AW542" s="880"/>
      <c r="AX542" s="880"/>
      <c r="AY542" s="880"/>
      <c r="AZ542" s="880"/>
      <c r="BA542" s="880"/>
      <c r="BB542" s="880"/>
      <c r="BC542" s="880"/>
      <c r="BD542" s="880"/>
      <c r="BE542" s="880"/>
      <c r="BF542" s="880"/>
      <c r="BG542" s="880"/>
      <c r="BH542" s="880"/>
      <c r="BI542" s="880"/>
      <c r="BJ542" s="880"/>
      <c r="BK542" s="880"/>
      <c r="BL542" s="880"/>
      <c r="BM542" s="880"/>
      <c r="BN542" s="880"/>
      <c r="BO542" s="880"/>
      <c r="BP542" s="880"/>
      <c r="BQ542" s="880"/>
      <c r="BR542" s="880"/>
      <c r="BS542" s="880"/>
      <c r="BT542" s="880"/>
    </row>
    <row r="543" spans="1:72" s="882" customFormat="1" ht="12.75" hidden="1" customHeight="1" outlineLevel="1">
      <c r="A543" s="2893"/>
      <c r="B543" s="2894"/>
      <c r="C543" s="2912" t="s">
        <v>918</v>
      </c>
      <c r="D543" s="2912"/>
      <c r="E543" s="1653"/>
      <c r="F543" s="1328">
        <f>IF(SETUP!$F$23="Upfront",$E$542*'HIV-Equipment'!AV14,0)</f>
        <v>0</v>
      </c>
      <c r="G543" s="1194">
        <f>IF(SETUP!$F$23="Upfront",$E$542*'HIV-Equipment'!AW14,0)</f>
        <v>0</v>
      </c>
      <c r="H543" s="1194">
        <f>IF(SETUP!$F$23="Upfront",$E$542*'HIV-Equipment'!AX14,0)</f>
        <v>0</v>
      </c>
      <c r="I543" s="1194">
        <f>IF(SETUP!$F$23="Upfront",$E$542*'HIV-Equipment'!AY14,0)</f>
        <v>0</v>
      </c>
      <c r="J543" s="1194">
        <f t="shared" si="76"/>
        <v>0</v>
      </c>
      <c r="K543" s="1328">
        <f>IF(SETUP!$F$23="Upfront",$E$542*'HIV-Equipment'!AZ14,0)</f>
        <v>0</v>
      </c>
      <c r="L543" s="1194">
        <f>IF(SETUP!$F$23="Upfront",$E$542*'HIV-Equipment'!BA14,0)</f>
        <v>0</v>
      </c>
      <c r="M543" s="1194">
        <f>IF(SETUP!$F$23="Upfront",$E$542*'HIV-Equipment'!BB14,0)</f>
        <v>0</v>
      </c>
      <c r="N543" s="1194">
        <f>IF(SETUP!$F$23="Upfront",$E$542*'HIV-Equipment'!BC14,0)</f>
        <v>0</v>
      </c>
      <c r="O543" s="1194">
        <f t="shared" si="77"/>
        <v>0</v>
      </c>
      <c r="P543" s="1328">
        <f>IF(SETUP!$F$23="Upfront",$E$542*'HIV-Equipment'!BD14,0)</f>
        <v>0</v>
      </c>
      <c r="Q543" s="1194">
        <f>IF(SETUP!$F$23="Upfront",$E$542*'HIV-Equipment'!BE14,0)</f>
        <v>0</v>
      </c>
      <c r="R543" s="1194">
        <f>IF(SETUP!$F$23="Upfront",$E$542*'HIV-Equipment'!BF14,0)</f>
        <v>0</v>
      </c>
      <c r="S543" s="1194">
        <f>IF(SETUP!$F$23="Upfront",$E$542*'HIV-Equipment'!BG14,0)</f>
        <v>0</v>
      </c>
      <c r="T543" s="1194">
        <f t="shared" si="78"/>
        <v>0</v>
      </c>
      <c r="U543" s="1328">
        <f t="shared" si="79"/>
        <v>0</v>
      </c>
      <c r="V543" s="1826">
        <v>7.5</v>
      </c>
      <c r="W543" s="1837"/>
      <c r="X543" s="764"/>
      <c r="Y543" s="1836"/>
      <c r="Z543" s="850"/>
      <c r="AA543" s="880"/>
      <c r="AB543" s="880"/>
      <c r="AC543" s="880"/>
      <c r="AD543" s="880"/>
      <c r="AE543" s="880"/>
      <c r="AF543" s="880"/>
      <c r="AG543" s="880"/>
      <c r="AH543" s="881"/>
      <c r="AI543" s="880"/>
      <c r="AJ543" s="880"/>
      <c r="AK543" s="880"/>
      <c r="AL543" s="880"/>
      <c r="AM543" s="880"/>
      <c r="AN543" s="880"/>
      <c r="AO543" s="880"/>
      <c r="AP543" s="880"/>
      <c r="AQ543" s="880"/>
      <c r="AR543" s="880"/>
      <c r="AS543" s="880"/>
      <c r="AT543" s="880"/>
      <c r="AU543" s="880"/>
      <c r="AV543" s="880"/>
      <c r="AW543" s="880"/>
      <c r="AX543" s="880"/>
      <c r="AY543" s="880"/>
      <c r="AZ543" s="880"/>
      <c r="BA543" s="880"/>
      <c r="BB543" s="880"/>
      <c r="BC543" s="880"/>
      <c r="BD543" s="880"/>
      <c r="BE543" s="880"/>
      <c r="BF543" s="880"/>
      <c r="BG543" s="880"/>
      <c r="BH543" s="880"/>
      <c r="BI543" s="880"/>
      <c r="BJ543" s="880"/>
      <c r="BK543" s="880"/>
      <c r="BL543" s="880"/>
      <c r="BM543" s="880"/>
      <c r="BN543" s="880"/>
      <c r="BO543" s="880"/>
      <c r="BP543" s="880"/>
      <c r="BQ543" s="880"/>
      <c r="BR543" s="880"/>
      <c r="BS543" s="880"/>
      <c r="BT543" s="880"/>
    </row>
    <row r="544" spans="1:72" s="882" customFormat="1" ht="12.75" hidden="1" customHeight="1" outlineLevel="1">
      <c r="A544" s="2895"/>
      <c r="B544" s="2896"/>
      <c r="C544" s="2969" t="s">
        <v>36</v>
      </c>
      <c r="D544" s="2969"/>
      <c r="E544" s="1652"/>
      <c r="F544" s="1328">
        <v>0</v>
      </c>
      <c r="G544" s="1194">
        <f>IF(SETUP!$F$23="At delivery",IF(SETUP!$G$23=1,$E$542*'HIV-Equipment'!AV14,0),0)</f>
        <v>0</v>
      </c>
      <c r="H544" s="1194">
        <f>IF(SETUP!$F$23="At delivery",IF(SETUP!$G$23=2,$E$542*'HIV-Equipment'!AV14,IF(SETUP!$G$23=1,$E$542*'HIV-Equipment'!AW14,0)),0)</f>
        <v>0</v>
      </c>
      <c r="I544" s="1194">
        <f>IF(SETUP!$F$23="At delivery",IF(SETUP!$G$23=3,$E$542*'HIV-Equipment'!AV14,IF(SETUP!$G$23=2,$E$542*'HIV-Equipment'!AW14,IF(SETUP!$G$23=1,$E$542*'HIV-Equipment'!AX14,0))),0)</f>
        <v>0</v>
      </c>
      <c r="J544" s="1194">
        <f t="shared" si="76"/>
        <v>0</v>
      </c>
      <c r="K544" s="1328">
        <f>IF(SETUP!$F$23="At delivery",IF(SETUP!$G$23=4,$E$542*'HIV-Equipment'!AV14,IF(SETUP!$G$23=3,$E$542*'HIV-Equipment'!AW14,IF(SETUP!$G$23=2,$E$542*'HIV-Equipment'!AX14,IF(SETUP!$G$23=1,$E$542*'HIV-Equipment'!AY14,0)))),0)</f>
        <v>0</v>
      </c>
      <c r="L544" s="1194">
        <f>IF(SETUP!$F$23="At delivery",IF(SETUP!$G$23=4,$E$542*'HIV-Equipment'!AW14,IF(SETUP!$G$23=3,$E$542*'HIV-Equipment'!AX14,IF(SETUP!$G$23=2,$E$542*'HIV-Equipment'!AY14,IF(SETUP!$G$23=1,$E$542*'HIV-Equipment'!AZ14,0)))),0)</f>
        <v>0</v>
      </c>
      <c r="M544" s="1194">
        <f>IF(SETUP!$F$23="At delivery",IF(SETUP!$G$23=4,$E$542*'HIV-Equipment'!AX14,IF(SETUP!$G$23=3,$E$542*'HIV-Equipment'!AY14,IF(SETUP!$G$23=2,$E$542*'HIV-Equipment'!AZ14,IF(SETUP!$G$23=1,$E$542*'HIV-Equipment'!BA14,0)))),0)</f>
        <v>0</v>
      </c>
      <c r="N544" s="1194">
        <f>IF(SETUP!$F$23="At delivery",IF(SETUP!$G$23=4,$E$542*'HIV-Equipment'!AY14,IF(SETUP!$G$23=3,$E$542*'HIV-Equipment'!AZ14,IF(SETUP!$G$23=2,$E$542*'HIV-Equipment'!BA14,IF(SETUP!$G$23=1,$E$542*'HIV-Equipment'!BB14,0)))),0)</f>
        <v>0</v>
      </c>
      <c r="O544" s="1194">
        <f t="shared" si="77"/>
        <v>0</v>
      </c>
      <c r="P544" s="1328">
        <f>IF(SETUP!$F$23="At delivery",IF(SETUP!$G$23=4,$E$542*'HIV-Equipment'!AZ14,IF(SETUP!$G$23=3,$E$542*'HIV-Equipment'!BA14,IF(SETUP!$G$23=2,$E$542*'HIV-Equipment'!BB14,IF(SETUP!$G$23=1,$E$542*'HIV-Equipment'!BC14,0)))),0)</f>
        <v>0</v>
      </c>
      <c r="Q544" s="1194">
        <f>IF(SETUP!$F$23="At delivery",IF(SETUP!$G$23=4,$E$542*'HIV-Equipment'!BA14,IF(SETUP!$G$23=3,$E$542*'HIV-Equipment'!BB14,IF(SETUP!$G$23=2,$E$542*'HIV-Equipment'!BC14,IF(SETUP!$G$23=1,$E$542*'HIV-Equipment'!BD14,0)))),0)</f>
        <v>0</v>
      </c>
      <c r="R544" s="1194">
        <f>IF(SETUP!$F$23="At delivery",IF(SETUP!$G$23=4,$E$542*'HIV-Equipment'!BB14,IF(SETUP!$G$23=3,$E$542*'HIV-Equipment'!BC14,IF(SETUP!$G$23=2,$E$542*'HIV-Equipment'!BD14,IF(SETUP!$G$23=1,$E$542*'HIV-Equipment'!BE14,0)))),0)</f>
        <v>0</v>
      </c>
      <c r="S544" s="1194">
        <f>IF(SETUP!$F$23="At delivery",IF(SETUP!$G$23=4,$E$542*('HIV-Equipment'!BC14+'HIV-Equipment'!BD14+'HIV-Equipment'!BE14+'HIV-Equipment'!BF14+'HIV-Equipment'!BG14),IF(SETUP!$G$23=3,$E$542*('HIV-Equipment'!BD14+'HIV-Equipment'!BE14+'HIV-Equipment'!BF14+'HIV-Equipment'!BG14),IF(SETUP!$G$23=2,$E$542*('HIV-Equipment'!BE14+'HIV-Equipment'!BF14+'HIV-Equipment'!BG14),IF(SETUP!$G$23=1,$E$542*('HIV-Equipment'!BF14+'HIV-Equipment'!BG14),0)))),0)</f>
        <v>0</v>
      </c>
      <c r="T544" s="1194">
        <f t="shared" si="78"/>
        <v>0</v>
      </c>
      <c r="U544" s="1328">
        <f t="shared" si="79"/>
        <v>0</v>
      </c>
      <c r="V544" s="1826">
        <v>7.5</v>
      </c>
      <c r="W544" s="1837"/>
      <c r="X544" s="764"/>
      <c r="Y544" s="1836"/>
      <c r="Z544" s="850"/>
      <c r="AA544" s="880"/>
      <c r="AB544" s="880"/>
      <c r="AC544" s="880"/>
      <c r="AD544" s="880"/>
      <c r="AE544" s="880"/>
      <c r="AF544" s="880"/>
      <c r="AG544" s="880"/>
      <c r="AH544" s="881"/>
      <c r="AI544" s="880"/>
      <c r="AJ544" s="880"/>
      <c r="AK544" s="880"/>
      <c r="AL544" s="880"/>
      <c r="AM544" s="880"/>
      <c r="AN544" s="880"/>
      <c r="AO544" s="880"/>
      <c r="AP544" s="880"/>
      <c r="AQ544" s="880"/>
      <c r="AR544" s="880"/>
      <c r="AS544" s="880"/>
      <c r="AT544" s="880"/>
      <c r="AU544" s="880"/>
      <c r="AV544" s="880"/>
      <c r="AW544" s="880"/>
      <c r="AX544" s="880"/>
      <c r="AY544" s="880"/>
      <c r="AZ544" s="880"/>
      <c r="BA544" s="880"/>
      <c r="BB544" s="880"/>
      <c r="BC544" s="880"/>
      <c r="BD544" s="880"/>
      <c r="BE544" s="880"/>
      <c r="BF544" s="880"/>
      <c r="BG544" s="880"/>
      <c r="BH544" s="880"/>
      <c r="BI544" s="880"/>
      <c r="BJ544" s="880"/>
      <c r="BK544" s="880"/>
      <c r="BL544" s="880"/>
      <c r="BM544" s="880"/>
      <c r="BN544" s="880"/>
      <c r="BO544" s="880"/>
      <c r="BP544" s="880"/>
      <c r="BQ544" s="880"/>
      <c r="BR544" s="880"/>
      <c r="BS544" s="880"/>
      <c r="BT544" s="880"/>
    </row>
    <row r="545" spans="1:72" s="882" customFormat="1" ht="13" collapsed="1">
      <c r="A545" s="2897" t="s">
        <v>565</v>
      </c>
      <c r="B545" s="2898"/>
      <c r="C545" s="2970" t="s">
        <v>228</v>
      </c>
      <c r="D545" s="2971"/>
      <c r="E545" s="1894">
        <v>1E-4</v>
      </c>
      <c r="F545" s="1328">
        <f>IF(SETUP!$F$27="Upfront",F546,F547)</f>
        <v>0</v>
      </c>
      <c r="G545" s="1194">
        <f>IF(SETUP!$F$27="Upfront",G546,G547)</f>
        <v>0</v>
      </c>
      <c r="H545" s="1194">
        <f>IF(SETUP!$F$27="Upfront",H546,H547)</f>
        <v>0</v>
      </c>
      <c r="I545" s="1194">
        <f>IF(SETUP!$F$27="Upfront",I546,I547)</f>
        <v>0</v>
      </c>
      <c r="J545" s="1194">
        <f t="shared" si="76"/>
        <v>0</v>
      </c>
      <c r="K545" s="1328">
        <f>IF(SETUP!$F$27="Upfront",K546,K547)</f>
        <v>0</v>
      </c>
      <c r="L545" s="1194">
        <f>IF(SETUP!$F$27="Upfront",L546,L547)</f>
        <v>0</v>
      </c>
      <c r="M545" s="1194">
        <f>IF(SETUP!$F$27="Upfront",M546,M547)</f>
        <v>0</v>
      </c>
      <c r="N545" s="1194">
        <f>IF(SETUP!$F$27="Upfront",N546,N547)</f>
        <v>0</v>
      </c>
      <c r="O545" s="1194">
        <f t="shared" si="77"/>
        <v>0</v>
      </c>
      <c r="P545" s="1328">
        <f>IF(SETUP!$F$27="Upfront",P546,P547)</f>
        <v>0</v>
      </c>
      <c r="Q545" s="1194">
        <f>IF(SETUP!$F$27="Upfront",Q546,Q547)</f>
        <v>0</v>
      </c>
      <c r="R545" s="1194">
        <f>IF(SETUP!$F$27="Upfront",R546,R547)</f>
        <v>0</v>
      </c>
      <c r="S545" s="1194">
        <f>IF(SETUP!$F$27="Upfront",S546,S547)</f>
        <v>0</v>
      </c>
      <c r="T545" s="1194">
        <f t="shared" si="78"/>
        <v>0</v>
      </c>
      <c r="U545" s="1328">
        <f t="shared" si="79"/>
        <v>0</v>
      </c>
      <c r="V545" s="1826">
        <v>7.5</v>
      </c>
      <c r="W545" s="1837"/>
      <c r="X545" s="764"/>
      <c r="Y545" s="1836"/>
      <c r="Z545" s="850"/>
      <c r="AA545" s="880"/>
      <c r="AB545" s="880"/>
      <c r="AC545" s="880"/>
      <c r="AD545" s="880"/>
      <c r="AE545" s="880"/>
      <c r="AF545" s="880"/>
      <c r="AG545" s="880"/>
      <c r="AH545" s="881"/>
      <c r="AI545" s="880"/>
      <c r="AJ545" s="880"/>
      <c r="AK545" s="880"/>
      <c r="AL545" s="880"/>
      <c r="AM545" s="880"/>
      <c r="AN545" s="880"/>
      <c r="AO545" s="880"/>
      <c r="AP545" s="880"/>
      <c r="AQ545" s="880"/>
      <c r="AR545" s="880"/>
      <c r="AS545" s="880"/>
      <c r="AT545" s="880"/>
      <c r="AU545" s="880"/>
      <c r="AV545" s="880"/>
      <c r="AW545" s="880"/>
      <c r="AX545" s="880"/>
      <c r="AY545" s="880"/>
      <c r="AZ545" s="880"/>
      <c r="BA545" s="880"/>
      <c r="BB545" s="880"/>
      <c r="BC545" s="880"/>
      <c r="BD545" s="880"/>
      <c r="BE545" s="880"/>
      <c r="BF545" s="880"/>
      <c r="BG545" s="880"/>
      <c r="BH545" s="880"/>
      <c r="BI545" s="880"/>
      <c r="BJ545" s="880"/>
      <c r="BK545" s="880"/>
      <c r="BL545" s="880"/>
      <c r="BM545" s="880"/>
      <c r="BN545" s="880"/>
      <c r="BO545" s="880"/>
      <c r="BP545" s="880"/>
      <c r="BQ545" s="880"/>
      <c r="BR545" s="880"/>
      <c r="BS545" s="880"/>
      <c r="BT545" s="880"/>
    </row>
    <row r="546" spans="1:72" s="882" customFormat="1" ht="16.149999999999999" hidden="1" customHeight="1" outlineLevel="1">
      <c r="A546" s="2899"/>
      <c r="B546" s="2900"/>
      <c r="C546" s="2889" t="s">
        <v>918</v>
      </c>
      <c r="D546" s="2890"/>
      <c r="E546" s="1895"/>
      <c r="F546" s="1328">
        <f>IF(SETUP!$F$27="Upfront",$E$545*'HIV-Other HPs'!AW14,0)</f>
        <v>0</v>
      </c>
      <c r="G546" s="1194">
        <f>IF(SETUP!$F$27="Upfront",$E$545*'HIV-Other HPs'!AX14,0)</f>
        <v>0</v>
      </c>
      <c r="H546" s="1194">
        <f>IF(SETUP!$F$27="Upfront",$E$546*'HIV-Other HPs'!AY14,0)</f>
        <v>0</v>
      </c>
      <c r="I546" s="1194">
        <f>IF(SETUP!$F$27="Upfront",$E$545*'HIV-Other HPs'!AZ14,0)</f>
        <v>0</v>
      </c>
      <c r="J546" s="1194">
        <f t="shared" si="76"/>
        <v>0</v>
      </c>
      <c r="K546" s="1328">
        <f>IF(SETUP!$F$27="Upfront",$E$545*'HIV-Other HPs'!BA14,0)</f>
        <v>0</v>
      </c>
      <c r="L546" s="1194">
        <f>IF(SETUP!$F$27="Upfront",$E$545*'HIV-Other HPs'!BB14,0)</f>
        <v>0</v>
      </c>
      <c r="M546" s="1194">
        <f>IF(SETUP!$F$27="Upfront",$E$545*'HIV-Other HPs'!BC14,0)</f>
        <v>0</v>
      </c>
      <c r="N546" s="1194">
        <f>IF(SETUP!$F$27="Upfront",$E$545*'HIV-Other HPs'!BD14,0)</f>
        <v>0</v>
      </c>
      <c r="O546" s="1194">
        <f t="shared" si="77"/>
        <v>0</v>
      </c>
      <c r="P546" s="1328">
        <f>IF(SETUP!$F$27="Upfront",$E$545*'HIV-Other HPs'!BE14,0)</f>
        <v>0</v>
      </c>
      <c r="Q546" s="1194">
        <f>IF(SETUP!$F$27="Upfront",$E$545*'HIV-Other HPs'!BF14,0)</f>
        <v>0</v>
      </c>
      <c r="R546" s="1194">
        <f>IF(SETUP!$F$27="Upfront",$E$545*'HIV-Other HPs'!BG14,0)</f>
        <v>0</v>
      </c>
      <c r="S546" s="1194">
        <f>IF(SETUP!$F$27="Upfront",$E$545*'HIV-Other HPs'!BH14,0)</f>
        <v>0</v>
      </c>
      <c r="T546" s="1194">
        <f t="shared" si="78"/>
        <v>0</v>
      </c>
      <c r="U546" s="1328">
        <f t="shared" si="79"/>
        <v>0</v>
      </c>
      <c r="V546" s="1826">
        <v>7.5</v>
      </c>
      <c r="W546" s="1837"/>
      <c r="X546" s="764"/>
      <c r="Y546" s="1836"/>
      <c r="Z546" s="850"/>
      <c r="AA546" s="880"/>
      <c r="AB546" s="880"/>
      <c r="AC546" s="880"/>
      <c r="AD546" s="880"/>
      <c r="AE546" s="880"/>
      <c r="AF546" s="880"/>
      <c r="AG546" s="880"/>
      <c r="AH546" s="881"/>
      <c r="AI546" s="880"/>
      <c r="AJ546" s="880"/>
      <c r="AK546" s="880"/>
      <c r="AL546" s="880"/>
      <c r="AM546" s="880"/>
      <c r="AN546" s="880"/>
      <c r="AO546" s="880"/>
      <c r="AP546" s="880"/>
      <c r="AQ546" s="880"/>
      <c r="AR546" s="880"/>
      <c r="AS546" s="880"/>
      <c r="AT546" s="880"/>
      <c r="AU546" s="880"/>
      <c r="AV546" s="880"/>
      <c r="AW546" s="880"/>
      <c r="AX546" s="880"/>
      <c r="AY546" s="880"/>
      <c r="AZ546" s="880"/>
      <c r="BA546" s="880"/>
      <c r="BB546" s="880"/>
      <c r="BC546" s="880"/>
      <c r="BD546" s="880"/>
      <c r="BE546" s="880"/>
      <c r="BF546" s="880"/>
      <c r="BG546" s="880"/>
      <c r="BH546" s="880"/>
      <c r="BI546" s="880"/>
      <c r="BJ546" s="880"/>
      <c r="BK546" s="880"/>
      <c r="BL546" s="880"/>
      <c r="BM546" s="880"/>
      <c r="BN546" s="880"/>
      <c r="BO546" s="880"/>
      <c r="BP546" s="880"/>
      <c r="BQ546" s="880"/>
      <c r="BR546" s="880"/>
      <c r="BS546" s="880"/>
      <c r="BT546" s="880"/>
    </row>
    <row r="547" spans="1:72" s="882" customFormat="1" ht="16.149999999999999" hidden="1" customHeight="1" outlineLevel="1">
      <c r="A547" s="2899"/>
      <c r="B547" s="2900"/>
      <c r="C547" s="2889" t="s">
        <v>36</v>
      </c>
      <c r="D547" s="2890"/>
      <c r="E547" s="1880"/>
      <c r="F547" s="1328">
        <v>0</v>
      </c>
      <c r="G547" s="1194">
        <f>IF(SETUP!$F$27="At delivery",IF(SETUP!$G$27=1,$E$545*'HIV-Other HPs'!AW14,0),0)</f>
        <v>0</v>
      </c>
      <c r="H547" s="1194">
        <f>IF(SETUP!$F$27="At delivery",IF(SETUP!$G$27=2,$E$545*'HIV-Other HPs'!AW14,IF(SETUP!$G$27=1,$E$545*'HIV-Other HPs'!AX14,0)),0)</f>
        <v>0</v>
      </c>
      <c r="I547" s="1194">
        <f>IF(SETUP!$F$27="At delivery",IF(SETUP!$G$27=3,$E$545*'HIV-Other HPs'!AW14,IF(SETUP!$G$27=2,$E$545*'HIV-Other HPs'!AX14,IF(SETUP!$G$27=1,$E$545*'HIV-Other HPs'!AY14,0))),0)</f>
        <v>0</v>
      </c>
      <c r="J547" s="1194">
        <f t="shared" si="76"/>
        <v>0</v>
      </c>
      <c r="K547" s="1328">
        <f>IF(SETUP!$F$27="At delivery",IF(SETUP!$G$27=4,$E$545*'HIV-Other HPs'!AW14,IF(SETUP!$G$27=3,$E$545*'HIV-Other HPs'!AX14,IF(SETUP!$G$27=2,$E$545*'HIV-Other HPs'!AY14,IF(SETUP!$G$27=1,$E$545*'HIV-Other HPs'!AZ14,0)))),0)</f>
        <v>0</v>
      </c>
      <c r="L547" s="1194">
        <f>IF(SETUP!$F$27="At delivery",IF(SETUP!$G$27=4,$E$545*'HIV-Other HPs'!AX14,IF(SETUP!$G$27=3,$E$545*'HIV-Other HPs'!AY14,IF(SETUP!$G$27=2,$E$545*'HIV-Other HPs'!AZ14,IF(SETUP!$G$27=1,$E$545*'HIV-Other HPs'!BA14,0)))),0)</f>
        <v>0</v>
      </c>
      <c r="M547" s="1194">
        <f>IF(SETUP!$F$27="At delivery",IF(SETUP!$G$27=4,$E$545*'HIV-Other HPs'!AY14,IF(SETUP!$G$27=3,$E$545*'HIV-Other HPs'!AZ14,IF(SETUP!$G$27=2,$E$545*'HIV-Other HPs'!BA14,IF(SETUP!$G$27=1,$E$545*'HIV-Other HPs'!BB14,0)))),0)</f>
        <v>0</v>
      </c>
      <c r="N547" s="1194">
        <f>IF(SETUP!$F$27="At delivery",IF(SETUP!$G$27=4,$E$545*'HIV-Other HPs'!AZ14,IF(SETUP!$G$27=3,$E$545*'HIV-Other HPs'!BA14,IF(SETUP!$G$27=2,$E$545*'HIV-Other HPs'!BB14,IF(SETUP!$G$27=1,$E$545*'HIV-Other HPs'!BC14,0)))),0)</f>
        <v>0</v>
      </c>
      <c r="O547" s="1194">
        <f t="shared" si="77"/>
        <v>0</v>
      </c>
      <c r="P547" s="1328">
        <f>IF(SETUP!$F$27="At delivery",IF(SETUP!$G$27=4,$E$545*'HIV-Other HPs'!BA14,IF(SETUP!$G$27=3,$E$545*'HIV-Other HPs'!BB14,IF(SETUP!$G$27=2,$E$545*'HIV-Other HPs'!BC14,IF(SETUP!$G$27=1,$E$545*'HIV-Other HPs'!BD14,0)))),0)</f>
        <v>0</v>
      </c>
      <c r="Q547" s="1194">
        <f>IF(SETUP!$F$27="At delivery",IF(SETUP!$G$27=4,$E$545*'HIV-Other HPs'!BB14,IF(SETUP!$G$27=3,$E$545*'HIV-Other HPs'!BC14,IF(SETUP!$G$27=2,$E$545*'HIV-Other HPs'!BD14,IF(SETUP!$G$27=1,$E$545*'HIV-Other HPs'!BE14,0)))),0)</f>
        <v>0</v>
      </c>
      <c r="R547" s="1194">
        <f>IF(SETUP!$F$27="At delivery",IF(SETUP!$G$27=4,$E$545*'HIV-Other HPs'!BC14,IF(SETUP!$G$27=3,$E$545*'HIV-Other HPs'!BD14,IF(SETUP!$G$27=2,$E$545*'HIV-Other HPs'!BE14,IF(SETUP!$G$27=1,$E$545*'HIV-Other HPs'!BF14,0)))),0)</f>
        <v>0</v>
      </c>
      <c r="S547" s="1194">
        <f>IF(SETUP!$F$27="At delivery",IF(SETUP!$G$27=4,$E$545*('HIV-Other HPs'!BD14+'HIV-Other HPs'!BE14+'HIV-Other HPs'!BF14+'HIV-Other HPs'!BG14+'HIV-Other HPs'!BH14),IF(SETUP!$G$27=3,$E$545*('HIV-Other HPs'!BE14+'HIV-Other HPs'!BF14+'HIV-Other HPs'!BG14+'HIV-Other HPs'!BH14),IF(SETUP!$G$27=2,$E$545*('HIV-Other HPs'!BF14+'HIV-Other HPs'!BG14+'HIV-Other HPs'!BH14),IF(SETUP!$G$27=1,$E$545*('HIV-Other HPs'!BG14+'HIV-Other HPs'!BH14),0)))),0)</f>
        <v>0</v>
      </c>
      <c r="T547" s="1194">
        <f t="shared" si="78"/>
        <v>0</v>
      </c>
      <c r="U547" s="1328">
        <f t="shared" si="79"/>
        <v>0</v>
      </c>
      <c r="V547" s="1826">
        <v>7.5</v>
      </c>
      <c r="W547" s="1837"/>
      <c r="X547" s="764"/>
      <c r="Y547" s="1836"/>
      <c r="Z547" s="850"/>
      <c r="AA547" s="880"/>
      <c r="AB547" s="880"/>
      <c r="AC547" s="880"/>
      <c r="AD547" s="880"/>
      <c r="AE547" s="880"/>
      <c r="AF547" s="880"/>
      <c r="AG547" s="880"/>
      <c r="AH547" s="881"/>
      <c r="AI547" s="880"/>
      <c r="AJ547" s="880"/>
      <c r="AK547" s="880"/>
      <c r="AL547" s="880"/>
      <c r="AM547" s="880"/>
      <c r="AN547" s="880"/>
      <c r="AO547" s="880"/>
      <c r="AP547" s="880"/>
      <c r="AQ547" s="880"/>
      <c r="AR547" s="880"/>
      <c r="AS547" s="880"/>
      <c r="AT547" s="880"/>
      <c r="AU547" s="880"/>
      <c r="AV547" s="880"/>
      <c r="AW547" s="880"/>
      <c r="AX547" s="880"/>
      <c r="AY547" s="880"/>
      <c r="AZ547" s="880"/>
      <c r="BA547" s="880"/>
      <c r="BB547" s="880"/>
      <c r="BC547" s="880"/>
      <c r="BD547" s="880"/>
      <c r="BE547" s="880"/>
      <c r="BF547" s="880"/>
      <c r="BG547" s="880"/>
      <c r="BH547" s="880"/>
      <c r="BI547" s="880"/>
      <c r="BJ547" s="880"/>
      <c r="BK547" s="880"/>
      <c r="BL547" s="880"/>
      <c r="BM547" s="880"/>
      <c r="BN547" s="880"/>
      <c r="BO547" s="880"/>
      <c r="BP547" s="880"/>
      <c r="BQ547" s="880"/>
      <c r="BR547" s="880"/>
      <c r="BS547" s="880"/>
      <c r="BT547" s="880"/>
    </row>
    <row r="548" spans="1:72" s="882" customFormat="1" ht="13" collapsed="1">
      <c r="A548" s="2899"/>
      <c r="B548" s="2900"/>
      <c r="C548" s="2907" t="s">
        <v>232</v>
      </c>
      <c r="D548" s="2908"/>
      <c r="E548" s="1894">
        <v>1E-4</v>
      </c>
      <c r="F548" s="1328">
        <f>IF(SETUP!$F$28="Upfront",F549,F550)</f>
        <v>0</v>
      </c>
      <c r="G548" s="1194">
        <f>IF(SETUP!$F$28="Upfront",G549,G550)</f>
        <v>0</v>
      </c>
      <c r="H548" s="1194">
        <f>IF(SETUP!$F$28="Upfront",H549,H550)</f>
        <v>0</v>
      </c>
      <c r="I548" s="1194">
        <f>IF(SETUP!$F$28="Upfront",I549,I550)</f>
        <v>0</v>
      </c>
      <c r="J548" s="1194">
        <f t="shared" si="76"/>
        <v>0</v>
      </c>
      <c r="K548" s="1328">
        <f>IF(SETUP!$F$28="Upfront",K549,K550)</f>
        <v>0</v>
      </c>
      <c r="L548" s="1194">
        <f>IF(SETUP!$F$28="Upfront",L549,L550)</f>
        <v>0</v>
      </c>
      <c r="M548" s="1194">
        <f>IF(SETUP!$F$28="Upfront",M549,M550)</f>
        <v>0</v>
      </c>
      <c r="N548" s="1194">
        <f>IF(SETUP!$F$28="Upfront",N549,N550)</f>
        <v>0</v>
      </c>
      <c r="O548" s="1194">
        <f t="shared" si="77"/>
        <v>0</v>
      </c>
      <c r="P548" s="1328">
        <f>IF(SETUP!$F$28="Upfront",P549,P550)</f>
        <v>0</v>
      </c>
      <c r="Q548" s="1194">
        <f>IF(SETUP!$F$28="Upfront",Q549,Q550)</f>
        <v>0</v>
      </c>
      <c r="R548" s="1194">
        <f>IF(SETUP!$F$28="Upfront",R549,R550)</f>
        <v>0</v>
      </c>
      <c r="S548" s="1194">
        <f>IF(SETUP!$F$28="Upfront",S549,S550)</f>
        <v>0</v>
      </c>
      <c r="T548" s="1194">
        <f t="shared" si="78"/>
        <v>0</v>
      </c>
      <c r="U548" s="1328">
        <f t="shared" si="79"/>
        <v>0</v>
      </c>
      <c r="V548" s="1826">
        <v>7.5</v>
      </c>
      <c r="W548" s="1837"/>
      <c r="X548" s="764"/>
      <c r="Y548" s="1836"/>
      <c r="Z548" s="850"/>
      <c r="AA548" s="880"/>
      <c r="AB548" s="880"/>
      <c r="AC548" s="880"/>
      <c r="AD548" s="880"/>
      <c r="AE548" s="880"/>
      <c r="AF548" s="880"/>
      <c r="AG548" s="880"/>
      <c r="AH548" s="881"/>
      <c r="AI548" s="880"/>
      <c r="AJ548" s="880"/>
      <c r="AK548" s="880"/>
      <c r="AL548" s="880"/>
      <c r="AM548" s="880"/>
      <c r="AN548" s="880"/>
      <c r="AO548" s="880"/>
      <c r="AP548" s="880"/>
      <c r="AQ548" s="880"/>
      <c r="AR548" s="880"/>
      <c r="AS548" s="880"/>
      <c r="AT548" s="880"/>
      <c r="AU548" s="880"/>
      <c r="AV548" s="880"/>
      <c r="AW548" s="880"/>
      <c r="AX548" s="880"/>
      <c r="AY548" s="880"/>
      <c r="AZ548" s="880"/>
      <c r="BA548" s="880"/>
      <c r="BB548" s="880"/>
      <c r="BC548" s="880"/>
      <c r="BD548" s="880"/>
      <c r="BE548" s="880"/>
      <c r="BF548" s="880"/>
      <c r="BG548" s="880"/>
      <c r="BH548" s="880"/>
      <c r="BI548" s="880"/>
      <c r="BJ548" s="880"/>
      <c r="BK548" s="880"/>
      <c r="BL548" s="880"/>
      <c r="BM548" s="880"/>
      <c r="BN548" s="880"/>
      <c r="BO548" s="880"/>
      <c r="BP548" s="880"/>
      <c r="BQ548" s="880"/>
      <c r="BR548" s="880"/>
      <c r="BS548" s="880"/>
      <c r="BT548" s="880"/>
    </row>
    <row r="549" spans="1:72" s="882" customFormat="1" ht="16.149999999999999" hidden="1" customHeight="1" outlineLevel="1">
      <c r="A549" s="2899"/>
      <c r="B549" s="2900"/>
      <c r="C549" s="2889" t="s">
        <v>918</v>
      </c>
      <c r="D549" s="2890"/>
      <c r="E549" s="1880"/>
      <c r="F549" s="1328">
        <f>IF(SETUP!$F$28="Upfront",$E$548*'HIV-Other HPs'!AW15,0)</f>
        <v>0</v>
      </c>
      <c r="G549" s="1194">
        <f>IF(SETUP!$F$28="Upfront",$E$548*'HIV-Other HPs'!AX15,0)</f>
        <v>0</v>
      </c>
      <c r="H549" s="1194">
        <f>IF(SETUP!$F$28="Upfront",$E$548*'HIV-Other HPs'!AY15,0)</f>
        <v>0</v>
      </c>
      <c r="I549" s="1194">
        <f>IF(SETUP!$F$28="Upfront",$E$548*'HIV-Other HPs'!AZ15,0)</f>
        <v>0</v>
      </c>
      <c r="J549" s="1194">
        <f t="shared" si="76"/>
        <v>0</v>
      </c>
      <c r="K549" s="1328">
        <f>IF(SETUP!$F$28="Upfront",$E$548*'HIV-Other HPs'!BA15,0)</f>
        <v>0</v>
      </c>
      <c r="L549" s="1194">
        <f>IF(SETUP!$F$28="Upfront",$E$548*'HIV-Other HPs'!BB15,0)</f>
        <v>0</v>
      </c>
      <c r="M549" s="1194">
        <f>IF(SETUP!$F$28="Upfront",$E$548*'HIV-Other HPs'!BC15,0)</f>
        <v>0</v>
      </c>
      <c r="N549" s="1194">
        <f>IF(SETUP!$F$28="Upfront",$E$548*'HIV-Other HPs'!BD15,0)</f>
        <v>0</v>
      </c>
      <c r="O549" s="1194">
        <f t="shared" si="77"/>
        <v>0</v>
      </c>
      <c r="P549" s="1328">
        <f>IF(SETUP!$F$28="Upfront",$E$548*'HIV-Other HPs'!BE15,0)</f>
        <v>0</v>
      </c>
      <c r="Q549" s="1194">
        <f>IF(SETUP!$F$28="Upfront",$E$548*'HIV-Other HPs'!BF15,0)</f>
        <v>0</v>
      </c>
      <c r="R549" s="1194">
        <f>IF(SETUP!$F$28="Upfront",$E$548*'HIV-Other HPs'!BG15,0)</f>
        <v>0</v>
      </c>
      <c r="S549" s="1194">
        <f>IF(SETUP!$F$28="Upfront",$E$548*'HIV-Other HPs'!BH15,0)</f>
        <v>0</v>
      </c>
      <c r="T549" s="1194">
        <f t="shared" si="78"/>
        <v>0</v>
      </c>
      <c r="U549" s="1328">
        <f t="shared" si="79"/>
        <v>0</v>
      </c>
      <c r="V549" s="1826">
        <v>7.5</v>
      </c>
      <c r="W549" s="1837"/>
      <c r="X549" s="764"/>
      <c r="Y549" s="1836"/>
      <c r="Z549" s="850"/>
      <c r="AA549" s="880"/>
      <c r="AB549" s="880"/>
      <c r="AC549" s="880"/>
      <c r="AD549" s="880"/>
      <c r="AE549" s="880"/>
      <c r="AF549" s="880"/>
      <c r="AG549" s="880"/>
      <c r="AH549" s="881"/>
      <c r="AI549" s="880"/>
      <c r="AJ549" s="880"/>
      <c r="AK549" s="880"/>
      <c r="AL549" s="880"/>
      <c r="AM549" s="880"/>
      <c r="AN549" s="880"/>
      <c r="AO549" s="880"/>
      <c r="AP549" s="880"/>
      <c r="AQ549" s="880"/>
      <c r="AR549" s="880"/>
      <c r="AS549" s="880"/>
      <c r="AT549" s="880"/>
      <c r="AU549" s="880"/>
      <c r="AV549" s="880"/>
      <c r="AW549" s="880"/>
      <c r="AX549" s="880"/>
      <c r="AY549" s="880"/>
      <c r="AZ549" s="880"/>
      <c r="BA549" s="880"/>
      <c r="BB549" s="880"/>
      <c r="BC549" s="880"/>
      <c r="BD549" s="880"/>
      <c r="BE549" s="880"/>
      <c r="BF549" s="880"/>
      <c r="BG549" s="880"/>
      <c r="BH549" s="880"/>
      <c r="BI549" s="880"/>
      <c r="BJ549" s="880"/>
      <c r="BK549" s="880"/>
      <c r="BL549" s="880"/>
      <c r="BM549" s="880"/>
      <c r="BN549" s="880"/>
      <c r="BO549" s="880"/>
      <c r="BP549" s="880"/>
      <c r="BQ549" s="880"/>
      <c r="BR549" s="880"/>
      <c r="BS549" s="880"/>
      <c r="BT549" s="880"/>
    </row>
    <row r="550" spans="1:72" s="882" customFormat="1" ht="16.149999999999999" hidden="1" customHeight="1" outlineLevel="1">
      <c r="A550" s="2899"/>
      <c r="B550" s="2900"/>
      <c r="C550" s="2889" t="s">
        <v>36</v>
      </c>
      <c r="D550" s="2890"/>
      <c r="E550" s="1880"/>
      <c r="F550" s="1328">
        <v>0</v>
      </c>
      <c r="G550" s="1194">
        <f>IF(SETUP!$F$28="At delivery",IF(SETUP!$G$28=1,$E$548*'HIV-Other HPs'!AW15,0),0)</f>
        <v>0</v>
      </c>
      <c r="H550" s="1194">
        <f>IF(SETUP!$F$28="At delivery",IF(SETUP!$G$28=2,$E$548*'HIV-Other HPs'!AW15,IF(SETUP!$G$28=1,$E$548*'HIV-Other HPs'!AX15,0)),0)</f>
        <v>0</v>
      </c>
      <c r="I550" s="1194">
        <f>IF(SETUP!$F$28="At delivery",IF(SETUP!$G$28=3,$E$548*'HIV-Other HPs'!AW15,IF(SETUP!$G$28=2,$E$548*'HIV-Other HPs'!AX15,IF(SETUP!$G$28=1,$E$548*'HIV-Other HPs'!AY15,0))),0)</f>
        <v>0</v>
      </c>
      <c r="J550" s="1194">
        <f t="shared" si="76"/>
        <v>0</v>
      </c>
      <c r="K550" s="1328">
        <f>IF(SETUP!$F$28="At delivery",IF(SETUP!$G$28=4,$E$548*'HIV-Other HPs'!AW15,IF(SETUP!$G$28=3,$E$548*'HIV-Other HPs'!AX15,IF(SETUP!$G$28=2,$E$548*'HIV-Other HPs'!AY15,IF(SETUP!$G$28=1,$E$548*'HIV-Other HPs'!AZ15,0)))),0)</f>
        <v>0</v>
      </c>
      <c r="L550" s="1194">
        <f>IF(SETUP!$F$28="At delivery",IF(SETUP!$G$28=4,$E$548*'HIV-Other HPs'!AX15,IF(SETUP!$G$28=3,$E$548*'HIV-Other HPs'!AY15,IF(SETUP!$G$28=2,$E$548*'HIV-Other HPs'!AZ15,IF(SETUP!$G$28=1,$E$548*'HIV-Other HPs'!BA15,0)))),0)</f>
        <v>0</v>
      </c>
      <c r="M550" s="1194">
        <f>IF(SETUP!$F$28="At delivery",IF(SETUP!$G$28=4,$E$548*'HIV-Other HPs'!AY15,IF(SETUP!$G$28=3,$E$548*'HIV-Other HPs'!AZ15,IF(SETUP!$G$28=2,$E$548*'HIV-Other HPs'!BA15,IF(SETUP!$G$28=1,$E$548*'HIV-Other HPs'!BB15,0)))),0)</f>
        <v>0</v>
      </c>
      <c r="N550" s="1194">
        <f>IF(SETUP!$F$28="At delivery",IF(SETUP!$G$28=4,$E$548*'HIV-Other HPs'!AZ15,IF(SETUP!$G$28=3,$E$548*'HIV-Other HPs'!BA15,IF(SETUP!$G$28=2,$E$548*'HIV-Other HPs'!BB15,IF(SETUP!$G$28=1,$E$548*'HIV-Other HPs'!BC15,0)))),0)</f>
        <v>0</v>
      </c>
      <c r="O550" s="1194">
        <f t="shared" si="77"/>
        <v>0</v>
      </c>
      <c r="P550" s="1328">
        <f>IF(SETUP!$F$28="At delivery",IF(SETUP!$G$28=4,$E$548*'HIV-Other HPs'!BA15,IF(SETUP!$G$28=3,$E$548*'HIV-Other HPs'!BB15,IF(SETUP!$G$28=2,$E$548*'HIV-Other HPs'!BC15,IF(SETUP!$G$28=1,$E$548*'HIV-Other HPs'!BD15,0)))),0)</f>
        <v>0</v>
      </c>
      <c r="Q550" s="1194">
        <f>IF(SETUP!$F$28="At delivery",IF(SETUP!$G$28=4,$E$548*'HIV-Other HPs'!BB15,IF(SETUP!$G$28=3,$E$548*'HIV-Other HPs'!BC15,IF(SETUP!$G$28=2,$E$548*'HIV-Other HPs'!BD15,IF(SETUP!$G$28=1,$E$548*'HIV-Other HPs'!BE15,0)))),0)</f>
        <v>0</v>
      </c>
      <c r="R550" s="1194">
        <f>IF(SETUP!$F$28="At delivery",IF(SETUP!$G$28=4,$E$548*'HIV-Other HPs'!BC15,IF(SETUP!$G$28=3,$E$548*'HIV-Other HPs'!BD15,IF(SETUP!$G$28=2,$E$548*'HIV-Other HPs'!BE15,IF(SETUP!$G$28=1,$E$548*'HIV-Other HPs'!BF15,0)))),0)</f>
        <v>0</v>
      </c>
      <c r="S550" s="1194">
        <f>IF(SETUP!$F$28="At delivery",IF(SETUP!$G$28=4,$E$548*('HIV-Other HPs'!BD15+'HIV-Other HPs'!BE15+'HIV-Other HPs'!BF15+'HIV-Other HPs'!BG15+'HIV-Other HPs'!BH15),IF(SETUP!$G$28=3,$E$548*('HIV-Other HPs'!BE15+'HIV-Other HPs'!BF15+'HIV-Other HPs'!BG15+'HIV-Other HPs'!BH15),IF(SETUP!$G$28=2,$E$548*('HIV-Other HPs'!BF15+'HIV-Other HPs'!BG15+'HIV-Other HPs'!BH15),IF(SETUP!$G$28=1,$E$548*('HIV-Other HPs'!BG15+'HIV-Other HPs'!BH15),0)))),0)</f>
        <v>0</v>
      </c>
      <c r="T550" s="1194">
        <f t="shared" si="78"/>
        <v>0</v>
      </c>
      <c r="U550" s="1328">
        <f t="shared" si="79"/>
        <v>0</v>
      </c>
      <c r="V550" s="1826">
        <v>7.5</v>
      </c>
      <c r="W550" s="1837"/>
      <c r="X550" s="764"/>
      <c r="Y550" s="1836"/>
      <c r="Z550" s="850"/>
      <c r="AA550" s="880"/>
      <c r="AB550" s="880"/>
      <c r="AC550" s="880"/>
      <c r="AD550" s="880"/>
      <c r="AE550" s="880"/>
      <c r="AF550" s="880"/>
      <c r="AG550" s="880"/>
      <c r="AH550" s="881"/>
      <c r="AI550" s="880"/>
      <c r="AJ550" s="880"/>
      <c r="AK550" s="880"/>
      <c r="AL550" s="880"/>
      <c r="AM550" s="880"/>
      <c r="AN550" s="880"/>
      <c r="AO550" s="880"/>
      <c r="AP550" s="880"/>
      <c r="AQ550" s="880"/>
      <c r="AR550" s="880"/>
      <c r="AS550" s="880"/>
      <c r="AT550" s="880"/>
      <c r="AU550" s="880"/>
      <c r="AV550" s="880"/>
      <c r="AW550" s="880"/>
      <c r="AX550" s="880"/>
      <c r="AY550" s="880"/>
      <c r="AZ550" s="880"/>
      <c r="BA550" s="880"/>
      <c r="BB550" s="880"/>
      <c r="BC550" s="880"/>
      <c r="BD550" s="880"/>
      <c r="BE550" s="880"/>
      <c r="BF550" s="880"/>
      <c r="BG550" s="880"/>
      <c r="BH550" s="880"/>
      <c r="BI550" s="880"/>
      <c r="BJ550" s="880"/>
      <c r="BK550" s="880"/>
      <c r="BL550" s="880"/>
      <c r="BM550" s="880"/>
      <c r="BN550" s="880"/>
      <c r="BO550" s="880"/>
      <c r="BP550" s="880"/>
      <c r="BQ550" s="880"/>
      <c r="BR550" s="880"/>
      <c r="BS550" s="880"/>
      <c r="BT550" s="880"/>
    </row>
    <row r="551" spans="1:72" s="882" customFormat="1" ht="13" collapsed="1">
      <c r="A551" s="2899"/>
      <c r="B551" s="2900"/>
      <c r="C551" s="2907" t="s">
        <v>566</v>
      </c>
      <c r="D551" s="2908"/>
      <c r="E551" s="1894">
        <v>1E-4</v>
      </c>
      <c r="F551" s="1328">
        <f>IF(SETUP!$F$29="Upfront",F552,F553)</f>
        <v>0</v>
      </c>
      <c r="G551" s="1194">
        <f>IF(SETUP!$F$29="Upfront",G552,G553)</f>
        <v>0</v>
      </c>
      <c r="H551" s="1194">
        <f>IF(SETUP!$F$29="Upfront",H552,H553)</f>
        <v>0</v>
      </c>
      <c r="I551" s="1194">
        <f>IF(SETUP!$F$29="Upfront",I552,I553)</f>
        <v>0</v>
      </c>
      <c r="J551" s="1194">
        <f t="shared" si="76"/>
        <v>0</v>
      </c>
      <c r="K551" s="1328">
        <f>IF(SETUP!$F$29="Upfront",K552,K553)</f>
        <v>0</v>
      </c>
      <c r="L551" s="1194">
        <f>IF(SETUP!$F$29="Upfront",L552,L553)</f>
        <v>0</v>
      </c>
      <c r="M551" s="1194">
        <f>IF(SETUP!$F$29="Upfront",M552,M553)</f>
        <v>0</v>
      </c>
      <c r="N551" s="1194">
        <f>IF(SETUP!$F$29="Upfront",N552,N553)</f>
        <v>0</v>
      </c>
      <c r="O551" s="1194">
        <f t="shared" si="77"/>
        <v>0</v>
      </c>
      <c r="P551" s="1328">
        <f>IF(SETUP!$F$29="Upfront",P552,P553)</f>
        <v>0</v>
      </c>
      <c r="Q551" s="1194">
        <f>IF(SETUP!$F$29="Upfront",Q552,Q553)</f>
        <v>0</v>
      </c>
      <c r="R551" s="1194">
        <f>IF(SETUP!$F$29="Upfront",R552,R553)</f>
        <v>0</v>
      </c>
      <c r="S551" s="1194">
        <f>IF(SETUP!$F$29="Upfront",S552,S553)</f>
        <v>0</v>
      </c>
      <c r="T551" s="1194">
        <f t="shared" si="78"/>
        <v>0</v>
      </c>
      <c r="U551" s="1328">
        <f t="shared" si="79"/>
        <v>0</v>
      </c>
      <c r="V551" s="1826">
        <v>7.5</v>
      </c>
      <c r="W551" s="1837"/>
      <c r="X551" s="764"/>
      <c r="Y551" s="1836"/>
      <c r="Z551" s="850"/>
      <c r="AA551" s="880"/>
      <c r="AB551" s="880"/>
      <c r="AC551" s="880"/>
      <c r="AD551" s="880"/>
      <c r="AE551" s="880"/>
      <c r="AF551" s="880"/>
      <c r="AG551" s="880"/>
      <c r="AH551" s="881"/>
      <c r="AI551" s="880"/>
      <c r="AJ551" s="880"/>
      <c r="AK551" s="880"/>
      <c r="AL551" s="880"/>
      <c r="AM551" s="880"/>
      <c r="AN551" s="880"/>
      <c r="AO551" s="880"/>
      <c r="AP551" s="880"/>
      <c r="AQ551" s="880"/>
      <c r="AR551" s="880"/>
      <c r="AS551" s="880"/>
      <c r="AT551" s="880"/>
      <c r="AU551" s="880"/>
      <c r="AV551" s="880"/>
      <c r="AW551" s="880"/>
      <c r="AX551" s="880"/>
      <c r="AY551" s="880"/>
      <c r="AZ551" s="880"/>
      <c r="BA551" s="880"/>
      <c r="BB551" s="880"/>
      <c r="BC551" s="880"/>
      <c r="BD551" s="880"/>
      <c r="BE551" s="880"/>
      <c r="BF551" s="880"/>
      <c r="BG551" s="880"/>
      <c r="BH551" s="880"/>
      <c r="BI551" s="880"/>
      <c r="BJ551" s="880"/>
      <c r="BK551" s="880"/>
      <c r="BL551" s="880"/>
      <c r="BM551" s="880"/>
      <c r="BN551" s="880"/>
      <c r="BO551" s="880"/>
      <c r="BP551" s="880"/>
      <c r="BQ551" s="880"/>
      <c r="BR551" s="880"/>
      <c r="BS551" s="880"/>
      <c r="BT551" s="880"/>
    </row>
    <row r="552" spans="1:72" s="882" customFormat="1" ht="16.149999999999999" hidden="1" customHeight="1" outlineLevel="1">
      <c r="A552" s="2899"/>
      <c r="B552" s="2900"/>
      <c r="C552" s="2889" t="s">
        <v>918</v>
      </c>
      <c r="D552" s="2890"/>
      <c r="E552" s="1880"/>
      <c r="F552" s="1328">
        <f>IF(SETUP!$F$29="Upfront",$E$551*'HIV-Other HPs'!AW16,0)</f>
        <v>0</v>
      </c>
      <c r="G552" s="1194">
        <f>IF(SETUP!$F$29="Upfront",$E$551*'HIV-Other HPs'!AX16,0)</f>
        <v>0</v>
      </c>
      <c r="H552" s="1194">
        <f>IF(SETUP!$F$29="Upfront",$E$551*'HIV-Other HPs'!AY16,0)</f>
        <v>0</v>
      </c>
      <c r="I552" s="1194">
        <f>IF(SETUP!$F$29="Upfront",$E$551*'HIV-Other HPs'!AZ16,0)</f>
        <v>0</v>
      </c>
      <c r="J552" s="1194">
        <f t="shared" si="76"/>
        <v>0</v>
      </c>
      <c r="K552" s="1328">
        <f>IF(SETUP!$F$29="Upfront",$E$551*'HIV-Other HPs'!BA16,0)</f>
        <v>0</v>
      </c>
      <c r="L552" s="1194">
        <f>IF(SETUP!$F$29="Upfront",$E$551*'HIV-Other HPs'!BB16,0)</f>
        <v>0</v>
      </c>
      <c r="M552" s="1194">
        <f>IF(SETUP!$F$29="Upfront",$E$551*'HIV-Other HPs'!BC16,0)</f>
        <v>0</v>
      </c>
      <c r="N552" s="1194">
        <f>IF(SETUP!$F$29="Upfront",$E$551*'HIV-Other HPs'!BD16,0)</f>
        <v>0</v>
      </c>
      <c r="O552" s="1194">
        <f t="shared" si="77"/>
        <v>0</v>
      </c>
      <c r="P552" s="1328">
        <f>IF(SETUP!$F$29="Upfront",$E$551*'HIV-Other HPs'!BE16,0)</f>
        <v>0</v>
      </c>
      <c r="Q552" s="1194">
        <f>IF(SETUP!$F$29="Upfront",$E$551*'HIV-Other HPs'!BF16,0)</f>
        <v>0</v>
      </c>
      <c r="R552" s="1194">
        <f>IF(SETUP!$F$29="Upfront",$E$551*'HIV-Other HPs'!BG16,0)</f>
        <v>0</v>
      </c>
      <c r="S552" s="1194">
        <f>IF(SETUP!$F$29="Upfront",$E$551*'HIV-Other HPs'!BH16,0)</f>
        <v>0</v>
      </c>
      <c r="T552" s="1194">
        <f t="shared" si="78"/>
        <v>0</v>
      </c>
      <c r="U552" s="1328">
        <f t="shared" si="79"/>
        <v>0</v>
      </c>
      <c r="V552" s="1826">
        <v>7.5</v>
      </c>
      <c r="W552" s="1837"/>
      <c r="X552" s="764"/>
      <c r="Y552" s="1836"/>
      <c r="Z552" s="850"/>
      <c r="AA552" s="880"/>
      <c r="AB552" s="880"/>
      <c r="AC552" s="880"/>
      <c r="AD552" s="880"/>
      <c r="AE552" s="880"/>
      <c r="AF552" s="880"/>
      <c r="AG552" s="880"/>
      <c r="AH552" s="881"/>
      <c r="AI552" s="880"/>
      <c r="AJ552" s="880"/>
      <c r="AK552" s="880"/>
      <c r="AL552" s="880"/>
      <c r="AM552" s="880"/>
      <c r="AN552" s="880"/>
      <c r="AO552" s="880"/>
      <c r="AP552" s="880"/>
      <c r="AQ552" s="880"/>
      <c r="AR552" s="880"/>
      <c r="AS552" s="880"/>
      <c r="AT552" s="880"/>
      <c r="AU552" s="880"/>
      <c r="AV552" s="880"/>
      <c r="AW552" s="880"/>
      <c r="AX552" s="880"/>
      <c r="AY552" s="880"/>
      <c r="AZ552" s="880"/>
      <c r="BA552" s="880"/>
      <c r="BB552" s="880"/>
      <c r="BC552" s="880"/>
      <c r="BD552" s="880"/>
      <c r="BE552" s="880"/>
      <c r="BF552" s="880"/>
      <c r="BG552" s="880"/>
      <c r="BH552" s="880"/>
      <c r="BI552" s="880"/>
      <c r="BJ552" s="880"/>
      <c r="BK552" s="880"/>
      <c r="BL552" s="880"/>
      <c r="BM552" s="880"/>
      <c r="BN552" s="880"/>
      <c r="BO552" s="880"/>
      <c r="BP552" s="880"/>
      <c r="BQ552" s="880"/>
      <c r="BR552" s="880"/>
      <c r="BS552" s="880"/>
      <c r="BT552" s="880"/>
    </row>
    <row r="553" spans="1:72" s="882" customFormat="1" ht="16.149999999999999" hidden="1" customHeight="1" outlineLevel="1">
      <c r="A553" s="2899"/>
      <c r="B553" s="2900"/>
      <c r="C553" s="2889" t="s">
        <v>36</v>
      </c>
      <c r="D553" s="2890"/>
      <c r="E553" s="1895"/>
      <c r="F553" s="1328">
        <v>0</v>
      </c>
      <c r="G553" s="1194">
        <f>IF(SETUP!$F$29="At delivery",IF(SETUP!$G$29=1,$E$551*'HIV-Other HPs'!AW16,0),0)</f>
        <v>0</v>
      </c>
      <c r="H553" s="1194">
        <f>IF(SETUP!$F$29="At delivery",IF(SETUP!$G$29=2,$E$551*'HIV-Other HPs'!AW16,IF(SETUP!$G$29=1,$E$551*'HIV-Other HPs'!AX16,0)),0)</f>
        <v>0</v>
      </c>
      <c r="I553" s="1194">
        <f>IF(SETUP!$F$29="At delivery",IF(SETUP!$G$29=3,$E$551*'HIV-Other HPs'!AW16,IF(SETUP!$G$29=2,$E$551*'HIV-Other HPs'!AX16,IF(SETUP!$G$29=1,$E$551*'HIV-Other HPs'!AY16,0))),0)</f>
        <v>0</v>
      </c>
      <c r="J553" s="1194">
        <f t="shared" si="76"/>
        <v>0</v>
      </c>
      <c r="K553" s="1328">
        <f>IF(SETUP!$F$29="At delivery",IF(SETUP!$G$29=4,$E$551*'HIV-Other HPs'!AW16,IF(SETUP!$G$29=3,$E$551*'HIV-Other HPs'!AX16,IF(SETUP!$G$29=2,$E$551*'HIV-Other HPs'!AY16,IF(SETUP!$G$29=1,$E$551*'HIV-Other HPs'!AZ16,0)))),0)</f>
        <v>0</v>
      </c>
      <c r="L553" s="1194">
        <f>IF(SETUP!$F$29="At delivery",IF(SETUP!$G$29=4,$E$551*'HIV-Other HPs'!AX16,IF(SETUP!$G$29=3,$E$551*'HIV-Other HPs'!AY16,IF(SETUP!$G$29=2,$E$551*'HIV-Other HPs'!AZ16,IF(SETUP!$G$29=1,$E$551*'HIV-Other HPs'!BA16,0)))),0)</f>
        <v>0</v>
      </c>
      <c r="M553" s="1194">
        <f>IF(SETUP!$F$29="At delivery",IF(SETUP!$G$29=4,$E$551*'HIV-Other HPs'!AY16,IF(SETUP!$G$29=3,$E$551*'HIV-Other HPs'!AZ16,IF(SETUP!$G$29=2,$E$551*'HIV-Other HPs'!BA16,IF(SETUP!$G$29=1,$E$551*'HIV-Other HPs'!BB16,0)))),0)</f>
        <v>0</v>
      </c>
      <c r="N553" s="1194">
        <f>IF(SETUP!$F$29="At delivery",IF(SETUP!$G$29=4,$E$551*'HIV-Other HPs'!AZ16,IF(SETUP!$G$29=3,$E$551*'HIV-Other HPs'!BA16,IF(SETUP!$G$29=2,$E$551*'HIV-Other HPs'!BB16,IF(SETUP!$G$29=1,$E$551*'HIV-Other HPs'!BC16,0)))),0)</f>
        <v>0</v>
      </c>
      <c r="O553" s="1194">
        <f t="shared" si="77"/>
        <v>0</v>
      </c>
      <c r="P553" s="1328">
        <f>IF(SETUP!$F$29="At delivery",IF(SETUP!$G$29=4,$E$551*'HIV-Other HPs'!BA16,IF(SETUP!$G$29=3,$E$551*'HIV-Other HPs'!BB16,IF(SETUP!$G$29=2,$E$551*'HIV-Other HPs'!BC16,IF(SETUP!$G$29=1,$E$551*'HIV-Other HPs'!BD16,0)))),0)</f>
        <v>0</v>
      </c>
      <c r="Q553" s="1194">
        <f>IF(SETUP!$F$29="At delivery",IF(SETUP!$G$29=4,$E$551*'HIV-Other HPs'!BB16,IF(SETUP!$G$29=3,$E$551*'HIV-Other HPs'!BC16,IF(SETUP!$G$29=2,$E$551*'HIV-Other HPs'!BD16,IF(SETUP!$G$29=1,$E$551*'HIV-Other HPs'!BE16,0)))),0)</f>
        <v>0</v>
      </c>
      <c r="R553" s="1194">
        <f>IF(SETUP!$F$29="At delivery",IF(SETUP!$G$29=4,$E$551*'HIV-Other HPs'!BC16,IF(SETUP!$G$29=3,$E$551*'HIV-Other HPs'!BD16,IF(SETUP!$G$29=2,$E$551*'HIV-Other HPs'!BE16,IF(SETUP!$G$29=1,$E$551*'HIV-Other HPs'!BF16,0)))),0)</f>
        <v>0</v>
      </c>
      <c r="S553" s="1194">
        <f>IF(SETUP!$F$29="At delivery",IF(SETUP!$G$29=4,$E$551*('HIV-Other HPs'!BD16+'HIV-Other HPs'!BE16+'HIV-Other HPs'!BF16+'HIV-Other HPs'!BG16+'HIV-Other HPs'!BH16),IF(SETUP!$G$29=3,$E$551*('HIV-Other HPs'!BE16+'HIV-Other HPs'!BF16+'HIV-Other HPs'!BG16+'HIV-Other HPs'!BH16),IF(SETUP!$G$29=2,$E$551*('HIV-Other HPs'!BF16+'HIV-Other HPs'!BG16+'HIV-Other HPs'!BH16),IF(SETUP!$G$29=1,$E$551*('HIV-Other HPs'!BG16+'HIV-Other HPs'!BH16),0)))),0)</f>
        <v>0</v>
      </c>
      <c r="T553" s="1194">
        <f t="shared" si="78"/>
        <v>0</v>
      </c>
      <c r="U553" s="1328">
        <f t="shared" si="79"/>
        <v>0</v>
      </c>
      <c r="V553" s="1826">
        <v>7.5</v>
      </c>
      <c r="W553" s="1837"/>
      <c r="X553" s="764"/>
      <c r="Y553" s="1836"/>
      <c r="Z553" s="850"/>
      <c r="AA553" s="880"/>
      <c r="AB553" s="880"/>
      <c r="AC553" s="880"/>
      <c r="AD553" s="880"/>
      <c r="AE553" s="880"/>
      <c r="AF553" s="880"/>
      <c r="AG553" s="880"/>
      <c r="AH553" s="881"/>
      <c r="AI553" s="880"/>
      <c r="AJ553" s="880"/>
      <c r="AK553" s="880"/>
      <c r="AL553" s="880"/>
      <c r="AM553" s="880"/>
      <c r="AN553" s="880"/>
      <c r="AO553" s="880"/>
      <c r="AP553" s="880"/>
      <c r="AQ553" s="880"/>
      <c r="AR553" s="880"/>
      <c r="AS553" s="880"/>
      <c r="AT553" s="880"/>
      <c r="AU553" s="880"/>
      <c r="AV553" s="880"/>
      <c r="AW553" s="880"/>
      <c r="AX553" s="880"/>
      <c r="AY553" s="880"/>
      <c r="AZ553" s="880"/>
      <c r="BA553" s="880"/>
      <c r="BB553" s="880"/>
      <c r="BC553" s="880"/>
      <c r="BD553" s="880"/>
      <c r="BE553" s="880"/>
      <c r="BF553" s="880"/>
      <c r="BG553" s="880"/>
      <c r="BH553" s="880"/>
      <c r="BI553" s="880"/>
      <c r="BJ553" s="880"/>
      <c r="BK553" s="880"/>
      <c r="BL553" s="880"/>
      <c r="BM553" s="880"/>
      <c r="BN553" s="880"/>
      <c r="BO553" s="880"/>
      <c r="BP553" s="880"/>
      <c r="BQ553" s="880"/>
      <c r="BR553" s="880"/>
      <c r="BS553" s="880"/>
      <c r="BT553" s="880"/>
    </row>
    <row r="554" spans="1:72" s="882" customFormat="1" ht="13" collapsed="1">
      <c r="A554" s="2899"/>
      <c r="B554" s="2900"/>
      <c r="C554" s="2907" t="s">
        <v>1863</v>
      </c>
      <c r="D554" s="2908"/>
      <c r="E554" s="1894">
        <v>1E-4</v>
      </c>
      <c r="F554" s="1328">
        <f>IF(SETUP!$F$30="Upfront",F555,F556)</f>
        <v>0</v>
      </c>
      <c r="G554" s="1194">
        <f>IF(SETUP!$F$30="Upfront",G555,G556)</f>
        <v>0</v>
      </c>
      <c r="H554" s="1194">
        <f>IF(SETUP!$F$30="Upfront",H555,H556)</f>
        <v>0</v>
      </c>
      <c r="I554" s="1194">
        <f>IF(SETUP!$F$30="Upfront",I555,I556)</f>
        <v>0</v>
      </c>
      <c r="J554" s="1194">
        <f t="shared" si="76"/>
        <v>0</v>
      </c>
      <c r="K554" s="1328">
        <f>IF(SETUP!$F$30="Upfront",K555,K556)</f>
        <v>0</v>
      </c>
      <c r="L554" s="1194">
        <f>IF(SETUP!$F$30="Upfront",L555,L556)</f>
        <v>0</v>
      </c>
      <c r="M554" s="1194">
        <f>IF(SETUP!$F$30="Upfront",M555,M556)</f>
        <v>0</v>
      </c>
      <c r="N554" s="1194">
        <f>IF(SETUP!$F$30="Upfront",N555,N556)</f>
        <v>0</v>
      </c>
      <c r="O554" s="1194">
        <f t="shared" si="77"/>
        <v>0</v>
      </c>
      <c r="P554" s="1328">
        <f>IF(SETUP!$F$30="Upfront",P555,P556)</f>
        <v>0</v>
      </c>
      <c r="Q554" s="1194">
        <f>IF(SETUP!$F$30="Upfront",Q555,Q556)</f>
        <v>0</v>
      </c>
      <c r="R554" s="1194">
        <f>IF(SETUP!$F$30="Upfront",R555,R556)</f>
        <v>0</v>
      </c>
      <c r="S554" s="1194">
        <f>IF(SETUP!$F$30="Upfront",S555,S556)</f>
        <v>0</v>
      </c>
      <c r="T554" s="1194"/>
      <c r="U554" s="1328"/>
      <c r="V554" s="1826">
        <v>7.5</v>
      </c>
      <c r="W554" s="1837"/>
      <c r="X554" s="764"/>
      <c r="Y554" s="1836"/>
      <c r="Z554" s="850"/>
      <c r="AA554" s="880"/>
      <c r="AB554" s="880"/>
      <c r="AC554" s="880"/>
      <c r="AD554" s="880"/>
      <c r="AE554" s="880"/>
      <c r="AF554" s="880"/>
      <c r="AG554" s="880"/>
      <c r="AH554" s="881"/>
      <c r="AI554" s="880"/>
      <c r="AJ554" s="880"/>
      <c r="AK554" s="880"/>
      <c r="AL554" s="880"/>
      <c r="AM554" s="880"/>
      <c r="AN554" s="880"/>
      <c r="AO554" s="880"/>
      <c r="AP554" s="880"/>
      <c r="AQ554" s="880"/>
      <c r="AR554" s="880"/>
      <c r="AS554" s="880"/>
      <c r="AT554" s="880"/>
      <c r="AU554" s="880"/>
      <c r="AV554" s="880"/>
      <c r="AW554" s="880"/>
      <c r="AX554" s="880"/>
      <c r="AY554" s="880"/>
      <c r="AZ554" s="880"/>
      <c r="BA554" s="880"/>
      <c r="BB554" s="880"/>
      <c r="BC554" s="880"/>
      <c r="BD554" s="880"/>
      <c r="BE554" s="880"/>
      <c r="BF554" s="880"/>
      <c r="BG554" s="880"/>
      <c r="BH554" s="880"/>
      <c r="BI554" s="880"/>
      <c r="BJ554" s="880"/>
      <c r="BK554" s="880"/>
      <c r="BL554" s="880"/>
      <c r="BM554" s="880"/>
      <c r="BN554" s="880"/>
      <c r="BO554" s="880"/>
      <c r="BP554" s="880"/>
      <c r="BQ554" s="880"/>
      <c r="BR554" s="880"/>
      <c r="BS554" s="880"/>
      <c r="BT554" s="880"/>
    </row>
    <row r="555" spans="1:72" s="882" customFormat="1" ht="16.149999999999999" hidden="1" customHeight="1" outlineLevel="1">
      <c r="A555" s="2899"/>
      <c r="B555" s="2900"/>
      <c r="C555" s="2889" t="s">
        <v>918</v>
      </c>
      <c r="D555" s="2890"/>
      <c r="E555" s="1880"/>
      <c r="F555" s="1328">
        <f>IF(SETUP!$F$30="Upfront",$E$554*'HIV-Other HPs'!AW17,0)</f>
        <v>0</v>
      </c>
      <c r="G555" s="1194">
        <f>IF(SETUP!$F$30="Upfront",$E$554*'HIV-Other HPs'!AX17,0)</f>
        <v>0</v>
      </c>
      <c r="H555" s="1194">
        <f>IF(SETUP!$F$30="Upfront",$E$554*'HIV-Other HPs'!AY17,0)</f>
        <v>0</v>
      </c>
      <c r="I555" s="1194">
        <f>IF(SETUP!$F$30="Upfront",$E$554*'HIV-Other HPs'!AZ17,0)</f>
        <v>0</v>
      </c>
      <c r="J555" s="1194"/>
      <c r="K555" s="1328">
        <f>IF(SETUP!$F$30="Upfront",$E$554*'HIV-Other HPs'!BA17,0)</f>
        <v>0</v>
      </c>
      <c r="L555" s="1194">
        <f>IF(SETUP!$F$30="Upfront",$E$554*'HIV-Other HPs'!BB17,0)</f>
        <v>0</v>
      </c>
      <c r="M555" s="1194">
        <f>IF(SETUP!$F$30="Upfront",$E$554*'HIV-Other HPs'!BC17,0)</f>
        <v>0</v>
      </c>
      <c r="N555" s="1194">
        <f>IF(SETUP!$F$30="Upfront",$E$554*'HIV-Other HPs'!BD17,0)</f>
        <v>0</v>
      </c>
      <c r="O555" s="1194"/>
      <c r="P555" s="1328">
        <f>IF(SETUP!$F$30="Upfront",$E$554*'HIV-Other HPs'!BE17,0)</f>
        <v>0</v>
      </c>
      <c r="Q555" s="1194">
        <f>IF(SETUP!$F$30="Upfront",$E$554*'HIV-Other HPs'!BF17,0)</f>
        <v>0</v>
      </c>
      <c r="R555" s="1194">
        <f>IF(SETUP!$F$30="Upfront",$E$554*'HIV-Other HPs'!BG17,0)</f>
        <v>0</v>
      </c>
      <c r="S555" s="1194">
        <f>IF(SETUP!$F$30="Upfront",$E$554*'HIV-Other HPs'!BH17,0)</f>
        <v>0</v>
      </c>
      <c r="T555" s="1194"/>
      <c r="U555" s="1328"/>
      <c r="V555" s="1826">
        <v>7.5</v>
      </c>
      <c r="W555" s="1837"/>
      <c r="X555" s="764"/>
      <c r="Y555" s="1836"/>
      <c r="Z555" s="850"/>
      <c r="AA555" s="880"/>
      <c r="AB555" s="880"/>
      <c r="AC555" s="880"/>
      <c r="AD555" s="880"/>
      <c r="AE555" s="880"/>
      <c r="AF555" s="880"/>
      <c r="AG555" s="880"/>
      <c r="AH555" s="881"/>
      <c r="AI555" s="880"/>
      <c r="AJ555" s="880"/>
      <c r="AK555" s="880"/>
      <c r="AL555" s="880"/>
      <c r="AM555" s="880"/>
      <c r="AN555" s="880"/>
      <c r="AO555" s="880"/>
      <c r="AP555" s="880"/>
      <c r="AQ555" s="880"/>
      <c r="AR555" s="880"/>
      <c r="AS555" s="880"/>
      <c r="AT555" s="880"/>
      <c r="AU555" s="880"/>
      <c r="AV555" s="880"/>
      <c r="AW555" s="880"/>
      <c r="AX555" s="880"/>
      <c r="AY555" s="880"/>
      <c r="AZ555" s="880"/>
      <c r="BA555" s="880"/>
      <c r="BB555" s="880"/>
      <c r="BC555" s="880"/>
      <c r="BD555" s="880"/>
      <c r="BE555" s="880"/>
      <c r="BF555" s="880"/>
      <c r="BG555" s="880"/>
      <c r="BH555" s="880"/>
      <c r="BI555" s="880"/>
      <c r="BJ555" s="880"/>
      <c r="BK555" s="880"/>
      <c r="BL555" s="880"/>
      <c r="BM555" s="880"/>
      <c r="BN555" s="880"/>
      <c r="BO555" s="880"/>
      <c r="BP555" s="880"/>
      <c r="BQ555" s="880"/>
      <c r="BR555" s="880"/>
      <c r="BS555" s="880"/>
      <c r="BT555" s="880"/>
    </row>
    <row r="556" spans="1:72" s="882" customFormat="1" ht="16.149999999999999" hidden="1" customHeight="1" outlineLevel="1">
      <c r="A556" s="2899"/>
      <c r="B556" s="2900"/>
      <c r="C556" s="2889" t="s">
        <v>36</v>
      </c>
      <c r="D556" s="2890"/>
      <c r="E556" s="1880"/>
      <c r="F556" s="1328">
        <v>0</v>
      </c>
      <c r="G556" s="1194">
        <f>IF(SETUP!$F$30="At delivery",IF(SETUP!$G$30=1,$E$554*'HIV-Other HPs'!AW17,0),0)</f>
        <v>0</v>
      </c>
      <c r="H556" s="1194">
        <f>IF(SETUP!$F$30="At delivery",IF(SETUP!$G$30=2,$E$554*'HIV-Other HPs'!AW17,IF(SETUP!$G$30=1,$E$554*'HIV-Other HPs'!AX17,0)),0)</f>
        <v>0</v>
      </c>
      <c r="I556" s="1194">
        <f>IF(SETUP!$F$30="At delivery",IF(SETUP!$G$30=3,$E$554*'HIV-Other HPs'!AW17,IF(SETUP!$G$30=2,$E$554*'HIV-Other HPs'!AX17,IF(SETUP!$G$30=1,$E$554*'HIV-Other HPs'!AY17,0))),0)</f>
        <v>0</v>
      </c>
      <c r="J556" s="1194"/>
      <c r="K556" s="1328">
        <f>IF(SETUP!$F$30="At delivery",IF(SETUP!$G$30=4,$E$554*'HIV-Other HPs'!AW17,IF(SETUP!$G$30=3,$E$554*'HIV-Other HPs'!AX17,IF(SETUP!$G$30=2,$E$554*'HIV-Other HPs'!AY17,IF(SETUP!$G$30=1,$E$554*'HIV-Other HPs'!AZ17,0)))),0)</f>
        <v>0</v>
      </c>
      <c r="L556" s="1194">
        <f>IF(SETUP!$F$30="At delivery",IF(SETUP!$G$30=4,$E$554*'HIV-Other HPs'!AX17,IF(SETUP!$G$30=3,$E$554*'HIV-Other HPs'!AY17,IF(SETUP!$G$30=2,$E$554*'HIV-Other HPs'!AZ17,IF(SETUP!$G$30=1,$E$554*'HIV-Other HPs'!BA17,0)))),0)</f>
        <v>0</v>
      </c>
      <c r="M556" s="1194">
        <f>IF(SETUP!$F$30="At delivery",IF(SETUP!$G$30=4,$E$554*'HIV-Other HPs'!AY17,IF(SETUP!$G$30=3,$E$554*'HIV-Other HPs'!AZ17,IF(SETUP!$G$30=2,$E$554*'HIV-Other HPs'!BA17,IF(SETUP!$G$30=1,$E$554*'HIV-Other HPs'!BB17,0)))),0)</f>
        <v>0</v>
      </c>
      <c r="N556" s="1194">
        <f>IF(SETUP!$F$30="At delivery",IF(SETUP!$G$30=4,$E$554*'HIV-Other HPs'!AZ17,IF(SETUP!$G$30=3,$E$554*'HIV-Other HPs'!BA17,IF(SETUP!$G$30=2,$E$554*'HIV-Other HPs'!BB17,IF(SETUP!$G$30=1,$E$554*'HIV-Other HPs'!BC17,0)))),0)</f>
        <v>0</v>
      </c>
      <c r="O556" s="1194"/>
      <c r="P556" s="1328">
        <f>IF(SETUP!$F$30="At delivery",IF(SETUP!$G$30=4,$E$554*'HIV-Other HPs'!BA17,IF(SETUP!$G$30=3,$E$554*'HIV-Other HPs'!BB17,IF(SETUP!$G$30=2,$E$554*'HIV-Other HPs'!BC17,IF(SETUP!$G$30=1,$E$554*'HIV-Other HPs'!BD17,0)))),0)</f>
        <v>0</v>
      </c>
      <c r="Q556" s="1194">
        <f>IF(SETUP!$F$30="At delivery",IF(SETUP!$G$30=4,$E$554*'HIV-Other HPs'!BB17,IF(SETUP!$G$30=3,$E$554*'HIV-Other HPs'!BC17,IF(SETUP!$G$30=2,$E$554*'HIV-Other HPs'!BD17,IF(SETUP!$G$30=1,$E$554*'HIV-Other HPs'!BE17,0)))),0)</f>
        <v>0</v>
      </c>
      <c r="R556" s="1194">
        <f>IF(SETUP!$F$30="At delivery",IF(SETUP!$G$30=4,$E$554*'HIV-Other HPs'!BC17,IF(SETUP!$G$30=3,$E$554*'HIV-Other HPs'!BD17,IF(SETUP!$G$30=2,$E$554*'HIV-Other HPs'!BE17,IF(SETUP!$G$30=1,$E$554*'HIV-Other HPs'!BF17,0)))),0)</f>
        <v>0</v>
      </c>
      <c r="S556" s="1194">
        <f>IF(SETUP!$F$30="At delivery",IF(SETUP!$G$30=4,$E$554*('HIV-Other HPs'!BD17+'HIV-Other HPs'!BE17+'HIV-Other HPs'!BF17+'HIV-Other HPs'!BG17+'HIV-Other HPs'!BH17),IF(SETUP!$G$30=3,$E$554*('HIV-Other HPs'!BE17+'HIV-Other HPs'!BF17+'HIV-Other HPs'!BG17+'HIV-Other HPs'!BH17),IF(SETUP!$G$30=2,$E$554*('HIV-Other HPs'!BF17+'HIV-Other HPs'!BG17+'HIV-Other HPs'!BH17),IF(SETUP!$G$30=1,$E$554*('HIV-Other HPs'!BG17+'HIV-Other HPs'!BH17),0)))),0)</f>
        <v>0</v>
      </c>
      <c r="T556" s="1194"/>
      <c r="U556" s="1328"/>
      <c r="V556" s="1826">
        <v>7.5</v>
      </c>
      <c r="W556" s="1837"/>
      <c r="X556" s="764"/>
      <c r="Y556" s="1836"/>
      <c r="Z556" s="850"/>
      <c r="AA556" s="880"/>
      <c r="AB556" s="880"/>
      <c r="AC556" s="880"/>
      <c r="AD556" s="880"/>
      <c r="AE556" s="880"/>
      <c r="AF556" s="880"/>
      <c r="AG556" s="880"/>
      <c r="AH556" s="881"/>
      <c r="AI556" s="880"/>
      <c r="AJ556" s="880"/>
      <c r="AK556" s="880"/>
      <c r="AL556" s="880"/>
      <c r="AM556" s="880"/>
      <c r="AN556" s="880"/>
      <c r="AO556" s="880"/>
      <c r="AP556" s="880"/>
      <c r="AQ556" s="880"/>
      <c r="AR556" s="880"/>
      <c r="AS556" s="880"/>
      <c r="AT556" s="880"/>
      <c r="AU556" s="880"/>
      <c r="AV556" s="880"/>
      <c r="AW556" s="880"/>
      <c r="AX556" s="880"/>
      <c r="AY556" s="880"/>
      <c r="AZ556" s="880"/>
      <c r="BA556" s="880"/>
      <c r="BB556" s="880"/>
      <c r="BC556" s="880"/>
      <c r="BD556" s="880"/>
      <c r="BE556" s="880"/>
      <c r="BF556" s="880"/>
      <c r="BG556" s="880"/>
      <c r="BH556" s="880"/>
      <c r="BI556" s="880"/>
      <c r="BJ556" s="880"/>
      <c r="BK556" s="880"/>
      <c r="BL556" s="880"/>
      <c r="BM556" s="880"/>
      <c r="BN556" s="880"/>
      <c r="BO556" s="880"/>
      <c r="BP556" s="880"/>
      <c r="BQ556" s="880"/>
      <c r="BR556" s="880"/>
      <c r="BS556" s="880"/>
      <c r="BT556" s="880"/>
    </row>
    <row r="557" spans="1:72" s="882" customFormat="1" ht="13" collapsed="1">
      <c r="A557" s="2899"/>
      <c r="B557" s="2900"/>
      <c r="C557" s="2907" t="s">
        <v>1794</v>
      </c>
      <c r="D557" s="2908"/>
      <c r="E557" s="1894">
        <v>1E-4</v>
      </c>
      <c r="F557" s="1328">
        <f>IF(SETUP!$F$31="Upfront",F558,F559)</f>
        <v>0</v>
      </c>
      <c r="G557" s="1194">
        <f>IF(SETUP!$F$31="Upfront",G558,G559)</f>
        <v>0</v>
      </c>
      <c r="H557" s="1194">
        <f>IF(SETUP!$F$31="Upfront",H558,H559)</f>
        <v>0</v>
      </c>
      <c r="I557" s="1194">
        <f>IF(SETUP!$F$31="Upfront",I558,I559)</f>
        <v>0</v>
      </c>
      <c r="J557" s="1194">
        <f t="shared" ref="J557:J588" si="80">F557+G557+H557+I557</f>
        <v>0</v>
      </c>
      <c r="K557" s="1328">
        <f>IF(SETUP!$F$31="Upfront",K558,K559)</f>
        <v>0</v>
      </c>
      <c r="L557" s="1194">
        <f>IF(SETUP!$F$31="Upfront",L558,L559)</f>
        <v>0</v>
      </c>
      <c r="M557" s="1194">
        <f>IF(SETUP!$F$31="Upfront",M558,M559)</f>
        <v>0</v>
      </c>
      <c r="N557" s="1194">
        <f>IF(SETUP!$F$31="Upfront",N558,N559)</f>
        <v>0</v>
      </c>
      <c r="O557" s="1194">
        <f t="shared" ref="O557:O588" si="81">K557+L557+M557+N557</f>
        <v>0</v>
      </c>
      <c r="P557" s="1328">
        <f>IF(SETUP!$F$31="Upfront",P558,P559)</f>
        <v>0</v>
      </c>
      <c r="Q557" s="1194">
        <f>IF(SETUP!$F$31="Upfront",Q558,Q559)</f>
        <v>0</v>
      </c>
      <c r="R557" s="1194">
        <f>IF(SETUP!$F$31="Upfront",R558,R559)</f>
        <v>0</v>
      </c>
      <c r="S557" s="1194">
        <f>IF(SETUP!$F$31="Upfront",S558,S559)</f>
        <v>0</v>
      </c>
      <c r="T557" s="1194">
        <f t="shared" ref="T557:T588" si="82">P557+Q557+R557+S557</f>
        <v>0</v>
      </c>
      <c r="U557" s="1328">
        <f t="shared" ref="U557:U588" si="83">J557+O557+T557</f>
        <v>0</v>
      </c>
      <c r="V557" s="1826">
        <v>7.5</v>
      </c>
      <c r="W557" s="1837"/>
      <c r="X557" s="764"/>
      <c r="Y557" s="1836"/>
      <c r="Z557" s="850"/>
      <c r="AA557" s="880"/>
      <c r="AB557" s="880"/>
      <c r="AC557" s="880"/>
      <c r="AD557" s="880"/>
      <c r="AE557" s="880"/>
      <c r="AF557" s="880"/>
      <c r="AG557" s="880"/>
      <c r="AH557" s="881"/>
      <c r="AI557" s="880"/>
      <c r="AJ557" s="880"/>
      <c r="AK557" s="880"/>
      <c r="AL557" s="880"/>
      <c r="AM557" s="880"/>
      <c r="AN557" s="880"/>
      <c r="AO557" s="880"/>
      <c r="AP557" s="880"/>
      <c r="AQ557" s="880"/>
      <c r="AR557" s="880"/>
      <c r="AS557" s="880"/>
      <c r="AT557" s="880"/>
      <c r="AU557" s="880"/>
      <c r="AV557" s="880"/>
      <c r="AW557" s="880"/>
      <c r="AX557" s="880"/>
      <c r="AY557" s="880"/>
      <c r="AZ557" s="880"/>
      <c r="BA557" s="880"/>
      <c r="BB557" s="880"/>
      <c r="BC557" s="880"/>
      <c r="BD557" s="880"/>
      <c r="BE557" s="880"/>
      <c r="BF557" s="880"/>
      <c r="BG557" s="880"/>
      <c r="BH557" s="880"/>
      <c r="BI557" s="880"/>
      <c r="BJ557" s="880"/>
      <c r="BK557" s="880"/>
      <c r="BL557" s="880"/>
      <c r="BM557" s="880"/>
      <c r="BN557" s="880"/>
      <c r="BO557" s="880"/>
      <c r="BP557" s="880"/>
      <c r="BQ557" s="880"/>
      <c r="BR557" s="880"/>
      <c r="BS557" s="880"/>
      <c r="BT557" s="880"/>
    </row>
    <row r="558" spans="1:72" s="882" customFormat="1" ht="16.149999999999999" hidden="1" customHeight="1" outlineLevel="1">
      <c r="A558" s="2899"/>
      <c r="B558" s="2900"/>
      <c r="C558" s="2889" t="s">
        <v>918</v>
      </c>
      <c r="D558" s="2890"/>
      <c r="E558" s="1880"/>
      <c r="F558" s="1328">
        <f>IF(SETUP!$F$31="Upfront",$E$557*'HIV-Other HPs'!AW18,0)</f>
        <v>0</v>
      </c>
      <c r="G558" s="1194">
        <f>IF(SETUP!$F$31="Upfront",$E$557*'HIV-Other HPs'!AX18,0)</f>
        <v>0</v>
      </c>
      <c r="H558" s="1194">
        <f>IF(SETUP!$F$31="Upfront",$E$557*'HIV-Other HPs'!AY18,0)</f>
        <v>0</v>
      </c>
      <c r="I558" s="1194">
        <f>IF(SETUP!$F$31="Upfront",$E$557*'HIV-Other HPs'!AZ18,0)</f>
        <v>0</v>
      </c>
      <c r="J558" s="1194">
        <f t="shared" si="80"/>
        <v>0</v>
      </c>
      <c r="K558" s="1328">
        <f>IF(SETUP!$F$31="Upfront",$E$557*'HIV-Other HPs'!BA18,0)</f>
        <v>0</v>
      </c>
      <c r="L558" s="1194">
        <f>IF(SETUP!$F$31="Upfront",$E$557*'HIV-Other HPs'!BB18,0)</f>
        <v>0</v>
      </c>
      <c r="M558" s="1194">
        <f>IF(SETUP!$F$31="Upfront",$E$557*'HIV-Other HPs'!BC18,0)</f>
        <v>0</v>
      </c>
      <c r="N558" s="1194">
        <f>IF(SETUP!$F$31="Upfront",$E$557*'HIV-Other HPs'!BD18,0)</f>
        <v>0</v>
      </c>
      <c r="O558" s="1194">
        <f t="shared" si="81"/>
        <v>0</v>
      </c>
      <c r="P558" s="1328">
        <f>IF(SETUP!$F$31="Upfront",$E$557*'HIV-Other HPs'!BE18,0)</f>
        <v>0</v>
      </c>
      <c r="Q558" s="1194">
        <f>IF(SETUP!$F$31="Upfront",$E$557*'HIV-Other HPs'!BF18,0)</f>
        <v>0</v>
      </c>
      <c r="R558" s="1194">
        <f>IF(SETUP!$F$31="Upfront",$E$557*'HIV-Other HPs'!BG18,0)</f>
        <v>0</v>
      </c>
      <c r="S558" s="1194">
        <f>IF(SETUP!$F$31="Upfront",$E$557*'HIV-Other HPs'!BH18,0)</f>
        <v>0</v>
      </c>
      <c r="T558" s="1194">
        <f t="shared" si="82"/>
        <v>0</v>
      </c>
      <c r="U558" s="1328">
        <f t="shared" si="83"/>
        <v>0</v>
      </c>
      <c r="V558" s="1826">
        <v>7.5</v>
      </c>
      <c r="W558" s="1837"/>
      <c r="X558" s="764"/>
      <c r="Y558" s="1836"/>
      <c r="Z558" s="850"/>
      <c r="AA558" s="880"/>
      <c r="AB558" s="880"/>
      <c r="AC558" s="880"/>
      <c r="AD558" s="880"/>
      <c r="AE558" s="880"/>
      <c r="AF558" s="880"/>
      <c r="AG558" s="880"/>
      <c r="AH558" s="881"/>
      <c r="AI558" s="880"/>
      <c r="AJ558" s="880"/>
      <c r="AK558" s="880"/>
      <c r="AL558" s="880"/>
      <c r="AM558" s="880"/>
      <c r="AN558" s="880"/>
      <c r="AO558" s="880"/>
      <c r="AP558" s="880"/>
      <c r="AQ558" s="880"/>
      <c r="AR558" s="880"/>
      <c r="AS558" s="880"/>
      <c r="AT558" s="880"/>
      <c r="AU558" s="880"/>
      <c r="AV558" s="880"/>
      <c r="AW558" s="880"/>
      <c r="AX558" s="880"/>
      <c r="AY558" s="880"/>
      <c r="AZ558" s="880"/>
      <c r="BA558" s="880"/>
      <c r="BB558" s="880"/>
      <c r="BC558" s="880"/>
      <c r="BD558" s="880"/>
      <c r="BE558" s="880"/>
      <c r="BF558" s="880"/>
      <c r="BG558" s="880"/>
      <c r="BH558" s="880"/>
      <c r="BI558" s="880"/>
      <c r="BJ558" s="880"/>
      <c r="BK558" s="880"/>
      <c r="BL558" s="880"/>
      <c r="BM558" s="880"/>
      <c r="BN558" s="880"/>
      <c r="BO558" s="880"/>
      <c r="BP558" s="880"/>
      <c r="BQ558" s="880"/>
      <c r="BR558" s="880"/>
      <c r="BS558" s="880"/>
      <c r="BT558" s="880"/>
    </row>
    <row r="559" spans="1:72" s="882" customFormat="1" ht="16.149999999999999" hidden="1" customHeight="1" outlineLevel="1">
      <c r="A559" s="2899"/>
      <c r="B559" s="2900"/>
      <c r="C559" s="2889" t="s">
        <v>36</v>
      </c>
      <c r="D559" s="2890"/>
      <c r="E559" s="1895"/>
      <c r="F559" s="1328">
        <v>0</v>
      </c>
      <c r="G559" s="1194">
        <f>IF(SETUP!$F$31="At delivery",IF(SETUP!$G$31=1,$E$557*'HIV-Other HPs'!AW18,0),0)</f>
        <v>0</v>
      </c>
      <c r="H559" s="1194">
        <f>IF(SETUP!$F$31="At delivery",IF(SETUP!$G$31=2,$E$557*'HIV-Other HPs'!AW18,IF(SETUP!$G$31=1,$E$557*'HIV-Other HPs'!AX18,0)),0)</f>
        <v>0</v>
      </c>
      <c r="I559" s="1194">
        <f>IF(SETUP!$F$31="At delivery",IF(SETUP!$G$31=3,$E$557*'HIV-Other HPs'!AW18,IF(SETUP!$G$31=2,$E$557*'HIV-Other HPs'!AX18,IF(SETUP!$G$31=1,$E$557*'HIV-Other HPs'!AY18,0))),0)</f>
        <v>0</v>
      </c>
      <c r="J559" s="1194">
        <f t="shared" si="80"/>
        <v>0</v>
      </c>
      <c r="K559" s="1328">
        <f>IF(SETUP!$F$31="At delivery",IF(SETUP!$G$31=4,$E$557*'HIV-Other HPs'!AW18,IF(SETUP!$G$31=3,$E$557*'HIV-Other HPs'!AX18,IF(SETUP!$G$31=2,$E$557*'HIV-Other HPs'!AY18,IF(SETUP!$G$31=1,$E$557*'HIV-Other HPs'!AZ18,0)))),0)</f>
        <v>0</v>
      </c>
      <c r="L559" s="1194">
        <f>IF(SETUP!$F$31="At delivery",IF(SETUP!$G$31=4,$E$557*'HIV-Other HPs'!AX18,IF(SETUP!$G$31=3,$E$557*'HIV-Other HPs'!AY18,IF(SETUP!$G$31=2,$E$557*'HIV-Other HPs'!AZ18,IF(SETUP!$G$31=1,$E$557*'HIV-Other HPs'!BA18,0)))),0)</f>
        <v>0</v>
      </c>
      <c r="M559" s="1194">
        <f>IF(SETUP!$F$31="At delivery",IF(SETUP!$G$31=4,$E$557*'HIV-Other HPs'!AY18,IF(SETUP!$G$31=3,$E$557*'HIV-Other HPs'!AZ18,IF(SETUP!$G$31=2,$E$557*'HIV-Other HPs'!BA18,IF(SETUP!$G$31=1,$E$557*'HIV-Other HPs'!BB18,0)))),0)</f>
        <v>0</v>
      </c>
      <c r="N559" s="1194">
        <f>IF(SETUP!$F$31="At delivery",IF(SETUP!$G$31=4,$E$557*'HIV-Other HPs'!AZ18,IF(SETUP!$G$31=3,$E$557*'HIV-Other HPs'!BA18,IF(SETUP!$G$31=2,$E$557*'HIV-Other HPs'!BB18,IF(SETUP!$G$31=1,$E$557*'HIV-Other HPs'!BC18,0)))),0)</f>
        <v>0</v>
      </c>
      <c r="O559" s="1194">
        <f t="shared" si="81"/>
        <v>0</v>
      </c>
      <c r="P559" s="1328">
        <f>IF(SETUP!$F$31="At delivery",IF(SETUP!$G$31=4,$E$557*'HIV-Other HPs'!BA18,IF(SETUP!$G$31=3,$E$557*'HIV-Other HPs'!BB18,IF(SETUP!$G$31=2,$E$557*'HIV-Other HPs'!BC18,IF(SETUP!$G$31=1,$E$557*'HIV-Other HPs'!BD18,0)))),0)</f>
        <v>0</v>
      </c>
      <c r="Q559" s="1194">
        <f>IF(SETUP!$F$31="At delivery",IF(SETUP!$G$31=4,$E$557*'HIV-Other HPs'!BB18,IF(SETUP!$G$31=3,$E$557*'HIV-Other HPs'!BC18,IF(SETUP!$G$31=2,$E$557*'HIV-Other HPs'!BD18,IF(SETUP!$G$31=1,$E$557*'HIV-Other HPs'!BE18,0)))),0)</f>
        <v>0</v>
      </c>
      <c r="R559" s="1194">
        <f>IF(SETUP!$F$31="At delivery",IF(SETUP!$G$31=4,$E$557*'HIV-Other HPs'!BC18,IF(SETUP!$G$31=3,$E$557*'HIV-Other HPs'!BD18,IF(SETUP!$G$31=2,$E$557*'HIV-Other HPs'!BE18,IF(SETUP!$G$31=1,$E$557*'HIV-Other HPs'!BF18,0)))),0)</f>
        <v>0</v>
      </c>
      <c r="S559" s="1194">
        <f>IF(SETUP!$F$31="At delivery",IF(SETUP!$G$31=4,$E$557*('HIV-Other HPs'!BD18+'HIV-Other HPs'!BE18+'HIV-Other HPs'!BF18+'HIV-Other HPs'!BG18+'HIV-Other HPs'!BH18),IF(SETUP!$G$31=3,$E$557*('HIV-Other HPs'!BE18+'HIV-Other HPs'!BF18+'HIV-Other HPs'!BG18+'HIV-Other HPs'!BH18),IF(SETUP!$G$31=2,$E$557*('HIV-Other HPs'!BF18+'HIV-Other HPs'!BG18+'HIV-Other HPs'!BH18),IF(SETUP!$G$31=1,$E$557*('HIV-Other HPs'!BG18+'HIV-Other HPs'!BH18),0)))),0)</f>
        <v>0</v>
      </c>
      <c r="T559" s="1194">
        <f t="shared" si="82"/>
        <v>0</v>
      </c>
      <c r="U559" s="1328">
        <f t="shared" si="83"/>
        <v>0</v>
      </c>
      <c r="V559" s="1826">
        <v>7.5</v>
      </c>
      <c r="W559" s="1837"/>
      <c r="X559" s="764"/>
      <c r="Y559" s="1836"/>
      <c r="Z559" s="850"/>
      <c r="AA559" s="880"/>
      <c r="AB559" s="880"/>
      <c r="AC559" s="880"/>
      <c r="AD559" s="880"/>
      <c r="AE559" s="880"/>
      <c r="AF559" s="880"/>
      <c r="AG559" s="880"/>
      <c r="AH559" s="881"/>
      <c r="AI559" s="880"/>
      <c r="AJ559" s="880"/>
      <c r="AK559" s="880"/>
      <c r="AL559" s="880"/>
      <c r="AM559" s="880"/>
      <c r="AN559" s="880"/>
      <c r="AO559" s="880"/>
      <c r="AP559" s="880"/>
      <c r="AQ559" s="880"/>
      <c r="AR559" s="880"/>
      <c r="AS559" s="880"/>
      <c r="AT559" s="880"/>
      <c r="AU559" s="880"/>
      <c r="AV559" s="880"/>
      <c r="AW559" s="880"/>
      <c r="AX559" s="880"/>
      <c r="AY559" s="880"/>
      <c r="AZ559" s="880"/>
      <c r="BA559" s="880"/>
      <c r="BB559" s="880"/>
      <c r="BC559" s="880"/>
      <c r="BD559" s="880"/>
      <c r="BE559" s="880"/>
      <c r="BF559" s="880"/>
      <c r="BG559" s="880"/>
      <c r="BH559" s="880"/>
      <c r="BI559" s="880"/>
      <c r="BJ559" s="880"/>
      <c r="BK559" s="880"/>
      <c r="BL559" s="880"/>
      <c r="BM559" s="880"/>
      <c r="BN559" s="880"/>
      <c r="BO559" s="880"/>
      <c r="BP559" s="880"/>
      <c r="BQ559" s="880"/>
      <c r="BR559" s="880"/>
      <c r="BS559" s="880"/>
      <c r="BT559" s="880"/>
    </row>
    <row r="560" spans="1:72" s="882" customFormat="1" ht="13" collapsed="1">
      <c r="A560" s="2899"/>
      <c r="B560" s="2900"/>
      <c r="C560" s="2907" t="s">
        <v>568</v>
      </c>
      <c r="D560" s="2908"/>
      <c r="E560" s="1894">
        <v>1E-4</v>
      </c>
      <c r="F560" s="1328">
        <f>IF(SETUP!$F$32="Upfront",F561,F562)</f>
        <v>0</v>
      </c>
      <c r="G560" s="1194">
        <f>IF(SETUP!$F$32="Upfront",G561,G562)</f>
        <v>0</v>
      </c>
      <c r="H560" s="1194">
        <f>IF(SETUP!$F$32="Upfront",H561,H562)</f>
        <v>0</v>
      </c>
      <c r="I560" s="1194">
        <f>IF(SETUP!$F$32="Upfront",I561,I562)</f>
        <v>0</v>
      </c>
      <c r="J560" s="1194">
        <f t="shared" si="80"/>
        <v>0</v>
      </c>
      <c r="K560" s="1328">
        <f>IF(SETUP!$F$32="Upfront",K561,K562)</f>
        <v>0</v>
      </c>
      <c r="L560" s="1194">
        <f>IF(SETUP!$F$32="Upfront",L561,L562)</f>
        <v>0</v>
      </c>
      <c r="M560" s="1194">
        <f>IF(SETUP!$F$32="Upfront",M561,M562)</f>
        <v>0</v>
      </c>
      <c r="N560" s="1194">
        <f>IF(SETUP!$F$32="Upfront",N561,N562)</f>
        <v>0</v>
      </c>
      <c r="O560" s="1194">
        <f t="shared" si="81"/>
        <v>0</v>
      </c>
      <c r="P560" s="1328">
        <f>IF(SETUP!$F$32="Upfront",P561,P562)</f>
        <v>0</v>
      </c>
      <c r="Q560" s="1194">
        <f>IF(SETUP!$F$32="Upfront",Q561,Q562)</f>
        <v>0</v>
      </c>
      <c r="R560" s="1194">
        <f>IF(SETUP!$F$32="Upfront",R561,R562)</f>
        <v>0</v>
      </c>
      <c r="S560" s="1194">
        <f>IF(SETUP!$F$32="Upfront",S561,S562)</f>
        <v>0</v>
      </c>
      <c r="T560" s="1194">
        <f t="shared" si="82"/>
        <v>0</v>
      </c>
      <c r="U560" s="1328">
        <f t="shared" si="83"/>
        <v>0</v>
      </c>
      <c r="V560" s="1826">
        <v>7.5</v>
      </c>
      <c r="W560" s="1837"/>
      <c r="X560" s="764"/>
      <c r="Y560" s="1836"/>
      <c r="Z560" s="850"/>
      <c r="AA560" s="880"/>
      <c r="AB560" s="880"/>
      <c r="AC560" s="880"/>
      <c r="AD560" s="880"/>
      <c r="AE560" s="880"/>
      <c r="AF560" s="880"/>
      <c r="AG560" s="880"/>
      <c r="AH560" s="881"/>
      <c r="AI560" s="880"/>
      <c r="AJ560" s="880"/>
      <c r="AK560" s="880"/>
      <c r="AL560" s="880"/>
      <c r="AM560" s="880"/>
      <c r="AN560" s="880"/>
      <c r="AO560" s="880"/>
      <c r="AP560" s="880"/>
      <c r="AQ560" s="880"/>
      <c r="AR560" s="880"/>
      <c r="AS560" s="880"/>
      <c r="AT560" s="880"/>
      <c r="AU560" s="880"/>
      <c r="AV560" s="880"/>
      <c r="AW560" s="880"/>
      <c r="AX560" s="880"/>
      <c r="AY560" s="880"/>
      <c r="AZ560" s="880"/>
      <c r="BA560" s="880"/>
      <c r="BB560" s="880"/>
      <c r="BC560" s="880"/>
      <c r="BD560" s="880"/>
      <c r="BE560" s="880"/>
      <c r="BF560" s="880"/>
      <c r="BG560" s="880"/>
      <c r="BH560" s="880"/>
      <c r="BI560" s="880"/>
      <c r="BJ560" s="880"/>
      <c r="BK560" s="880"/>
      <c r="BL560" s="880"/>
      <c r="BM560" s="880"/>
      <c r="BN560" s="880"/>
      <c r="BO560" s="880"/>
      <c r="BP560" s="880"/>
      <c r="BQ560" s="880"/>
      <c r="BR560" s="880"/>
      <c r="BS560" s="880"/>
      <c r="BT560" s="880"/>
    </row>
    <row r="561" spans="1:72" s="882" customFormat="1" ht="16.149999999999999" hidden="1" customHeight="1" outlineLevel="1">
      <c r="A561" s="2899"/>
      <c r="B561" s="2900"/>
      <c r="C561" s="2889" t="s">
        <v>918</v>
      </c>
      <c r="D561" s="2890"/>
      <c r="E561" s="1880"/>
      <c r="F561" s="1328">
        <f>IF(SETUP!$F$32="Upfront",$E$560*'HIV-Other HPs'!AW19,0)</f>
        <v>0</v>
      </c>
      <c r="G561" s="1194">
        <f>IF(SETUP!$F$32="Upfront",$E$560*'HIV-Other HPs'!AX19,0)</f>
        <v>0</v>
      </c>
      <c r="H561" s="1194">
        <f>IF(SETUP!$F$32="Upfront",$E$560*'HIV-Other HPs'!AY19,0)</f>
        <v>0</v>
      </c>
      <c r="I561" s="1194">
        <f>IF(SETUP!$F$32="Upfront",$E$560*'HIV-Other HPs'!AZ19,0)</f>
        <v>0</v>
      </c>
      <c r="J561" s="1194">
        <f t="shared" si="80"/>
        <v>0</v>
      </c>
      <c r="K561" s="1328">
        <f>IF(SETUP!$F$32="Upfront",$E$560*'HIV-Other HPs'!BA19,0)</f>
        <v>0</v>
      </c>
      <c r="L561" s="1194">
        <f>IF(SETUP!$F$32="Upfront",$E$560*'HIV-Other HPs'!BB19,0)</f>
        <v>0</v>
      </c>
      <c r="M561" s="1194">
        <f>IF(SETUP!$F$32="Upfront",$E$560*'HIV-Other HPs'!BC19,0)</f>
        <v>0</v>
      </c>
      <c r="N561" s="1194">
        <f>IF(SETUP!$F$32="Upfront",$E$560*'HIV-Other HPs'!BD19,0)</f>
        <v>0</v>
      </c>
      <c r="O561" s="1194">
        <f t="shared" si="81"/>
        <v>0</v>
      </c>
      <c r="P561" s="1328">
        <f>IF(SETUP!$F$32="Upfront",$E$560*'HIV-Other HPs'!BE19,0)</f>
        <v>0</v>
      </c>
      <c r="Q561" s="1194">
        <f>IF(SETUP!$F$32="Upfront",$E$560*'HIV-Other HPs'!BF19,0)</f>
        <v>0</v>
      </c>
      <c r="R561" s="1194">
        <f>IF(SETUP!$F$32="Upfront",$E$560*'HIV-Other HPs'!BG19,0)</f>
        <v>0</v>
      </c>
      <c r="S561" s="1194">
        <f>IF(SETUP!$F$32="Upfront",$E$560*'HIV-Other HPs'!BH19,0)</f>
        <v>0</v>
      </c>
      <c r="T561" s="1194">
        <f t="shared" si="82"/>
        <v>0</v>
      </c>
      <c r="U561" s="1328">
        <f t="shared" si="83"/>
        <v>0</v>
      </c>
      <c r="V561" s="1826">
        <v>7.5</v>
      </c>
      <c r="W561" s="1837"/>
      <c r="X561" s="764"/>
      <c r="Y561" s="1836"/>
      <c r="Z561" s="850"/>
      <c r="AA561" s="880"/>
      <c r="AB561" s="880"/>
      <c r="AC561" s="880"/>
      <c r="AD561" s="880"/>
      <c r="AE561" s="880"/>
      <c r="AF561" s="880"/>
      <c r="AG561" s="880"/>
      <c r="AH561" s="881"/>
      <c r="AI561" s="880"/>
      <c r="AJ561" s="880"/>
      <c r="AK561" s="880"/>
      <c r="AL561" s="880"/>
      <c r="AM561" s="880"/>
      <c r="AN561" s="880"/>
      <c r="AO561" s="880"/>
      <c r="AP561" s="880"/>
      <c r="AQ561" s="880"/>
      <c r="AR561" s="880"/>
      <c r="AS561" s="880"/>
      <c r="AT561" s="880"/>
      <c r="AU561" s="880"/>
      <c r="AV561" s="880"/>
      <c r="AW561" s="880"/>
      <c r="AX561" s="880"/>
      <c r="AY561" s="880"/>
      <c r="AZ561" s="880"/>
      <c r="BA561" s="880"/>
      <c r="BB561" s="880"/>
      <c r="BC561" s="880"/>
      <c r="BD561" s="880"/>
      <c r="BE561" s="880"/>
      <c r="BF561" s="880"/>
      <c r="BG561" s="880"/>
      <c r="BH561" s="880"/>
      <c r="BI561" s="880"/>
      <c r="BJ561" s="880"/>
      <c r="BK561" s="880"/>
      <c r="BL561" s="880"/>
      <c r="BM561" s="880"/>
      <c r="BN561" s="880"/>
      <c r="BO561" s="880"/>
      <c r="BP561" s="880"/>
      <c r="BQ561" s="880"/>
      <c r="BR561" s="880"/>
      <c r="BS561" s="880"/>
      <c r="BT561" s="880"/>
    </row>
    <row r="562" spans="1:72" s="882" customFormat="1" ht="16.149999999999999" hidden="1" customHeight="1" outlineLevel="1">
      <c r="A562" s="2899"/>
      <c r="B562" s="2900"/>
      <c r="C562" s="2889" t="s">
        <v>36</v>
      </c>
      <c r="D562" s="2890"/>
      <c r="E562" s="1880"/>
      <c r="F562" s="1328">
        <v>0</v>
      </c>
      <c r="G562" s="1194">
        <f>IF(SETUP!$F$32="At delivery",IF(SETUP!$G$32=1,$E$560*'HIV-Other HPs'!AW19,0),0)</f>
        <v>0</v>
      </c>
      <c r="H562" s="1194">
        <f>IF(SETUP!$F$32="At delivery",IF(SETUP!$G$32=2,$E$560*'HIV-Other HPs'!AW19,IF(SETUP!$G$32=1,$E$560*'HIV-Other HPs'!AX19,0)),0)</f>
        <v>0</v>
      </c>
      <c r="I562" s="1194">
        <f>IF(SETUP!$F$32="At delivery",IF(SETUP!$G$32=3,$E$560*'HIV-Other HPs'!AW19,IF(SETUP!$G$32=2,$E$560*'HIV-Other HPs'!AX19,IF(SETUP!$G$32=1,$E$560*'HIV-Other HPs'!AY19,0))),0)</f>
        <v>0</v>
      </c>
      <c r="J562" s="1194">
        <f t="shared" si="80"/>
        <v>0</v>
      </c>
      <c r="K562" s="1328">
        <f>IF(SETUP!$F$32="At delivery",IF(SETUP!$G$32=4,$E$560*'HIV-Other HPs'!AW19,IF(SETUP!$G$32=3,$E$560*'HIV-Other HPs'!AX19,IF(SETUP!$G$32=2,$E$560*'HIV-Other HPs'!AY19,IF(SETUP!$G$32=1,$E$560*'HIV-Other HPs'!AZ19,0)))),0)</f>
        <v>0</v>
      </c>
      <c r="L562" s="1194">
        <f>IF(SETUP!$F$32="At delivery",IF(SETUP!$G$32=4,$E$560*'HIV-Other HPs'!AX19,IF(SETUP!$G$32=3,$E$560*'HIV-Other HPs'!AY19,IF(SETUP!$G$32=2,$E$560*'HIV-Other HPs'!AZ19,IF(SETUP!$G$32=1,$E$560*'HIV-Other HPs'!BA19,0)))),0)</f>
        <v>0</v>
      </c>
      <c r="M562" s="1194">
        <f>IF(SETUP!$F$32="At delivery",IF(SETUP!$G$32=4,$E$560*'HIV-Other HPs'!AY19,IF(SETUP!$G$32=3,$E$560*'HIV-Other HPs'!AZ19,IF(SETUP!$G$32=2,$E$560*'HIV-Other HPs'!BA19,IF(SETUP!$G$32=1,$E$560*'HIV-Other HPs'!BB19,0)))),0)</f>
        <v>0</v>
      </c>
      <c r="N562" s="1194">
        <f>IF(SETUP!$F$32="At delivery",IF(SETUP!$G$32=4,$E$560*'HIV-Other HPs'!AZ19,IF(SETUP!$G$32=3,$E$560*'HIV-Other HPs'!BA19,IF(SETUP!$G$32=2,$E$560*'HIV-Other HPs'!BB19,IF(SETUP!$G$32=1,$E$560*'HIV-Other HPs'!BC19,0)))),0)</f>
        <v>0</v>
      </c>
      <c r="O562" s="1194">
        <f t="shared" si="81"/>
        <v>0</v>
      </c>
      <c r="P562" s="1328">
        <f>IF(SETUP!$F$32="At delivery",IF(SETUP!$G$32=4,$E$560*'HIV-Other HPs'!BA19,IF(SETUP!$G$32=3,$E$560*'HIV-Other HPs'!BB19,IF(SETUP!$G$32=2,$E$560*'HIV-Other HPs'!BC19,IF(SETUP!$G$32=1,$E$560*'HIV-Other HPs'!BD19,0)))),0)</f>
        <v>0</v>
      </c>
      <c r="Q562" s="1194">
        <f>IF(SETUP!$F$32="At delivery",IF(SETUP!$G$32=4,$E$560*'HIV-Other HPs'!BB19,IF(SETUP!$G$32=3,$E$560*'HIV-Other HPs'!BC19,IF(SETUP!$G$32=2,$E$560*'HIV-Other HPs'!BD19,IF(SETUP!$G$32=1,$E$560*'HIV-Other HPs'!BE19,0)))),0)</f>
        <v>0</v>
      </c>
      <c r="R562" s="1194">
        <f>IF(SETUP!$F$32="At delivery",IF(SETUP!$G$32=4,$E$560*'HIV-Other HPs'!BC19,IF(SETUP!$G$32=3,$E$560*'HIV-Other HPs'!BD19,IF(SETUP!$G$32=2,$E$560*'HIV-Other HPs'!BE19,IF(SETUP!$G$32=1,$E$560*'HIV-Other HPs'!BF19,0)))),0)</f>
        <v>0</v>
      </c>
      <c r="S562" s="1194">
        <f>IF(SETUP!$F$32="At delivery",IF(SETUP!$G$32=4,$E$560*('HIV-Other HPs'!BD19+'HIV-Other HPs'!BE19+'HIV-Other HPs'!BF19+'HIV-Other HPs'!BG19+'HIV-Other HPs'!BH19),IF(SETUP!$G$32=3,$E$560*('HIV-Other HPs'!BE19+'HIV-Other HPs'!BF19+'HIV-Other HPs'!BG19+'HIV-Other HPs'!BH19),IF(SETUP!$G$32=2,$E$560*('HIV-Other HPs'!BF19+'HIV-Other HPs'!BG19+'HIV-Other HPs'!BH19),IF(SETUP!$G$32=1,$E$560*('HIV-Other HPs'!BG19+'HIV-Other HPs'!BH19),0)))),0)</f>
        <v>0</v>
      </c>
      <c r="T562" s="1194">
        <f t="shared" si="82"/>
        <v>0</v>
      </c>
      <c r="U562" s="1328">
        <f t="shared" si="83"/>
        <v>0</v>
      </c>
      <c r="V562" s="1826">
        <v>7.5</v>
      </c>
      <c r="W562" s="1837"/>
      <c r="X562" s="764"/>
      <c r="Y562" s="1836"/>
      <c r="Z562" s="850"/>
      <c r="AA562" s="880"/>
      <c r="AB562" s="880"/>
      <c r="AC562" s="880"/>
      <c r="AD562" s="880"/>
      <c r="AE562" s="880"/>
      <c r="AF562" s="880"/>
      <c r="AG562" s="880"/>
      <c r="AH562" s="881"/>
      <c r="AI562" s="880"/>
      <c r="AJ562" s="880"/>
      <c r="AK562" s="880"/>
      <c r="AL562" s="880"/>
      <c r="AM562" s="880"/>
      <c r="AN562" s="880"/>
      <c r="AO562" s="880"/>
      <c r="AP562" s="880"/>
      <c r="AQ562" s="880"/>
      <c r="AR562" s="880"/>
      <c r="AS562" s="880"/>
      <c r="AT562" s="880"/>
      <c r="AU562" s="880"/>
      <c r="AV562" s="880"/>
      <c r="AW562" s="880"/>
      <c r="AX562" s="880"/>
      <c r="AY562" s="880"/>
      <c r="AZ562" s="880"/>
      <c r="BA562" s="880"/>
      <c r="BB562" s="880"/>
      <c r="BC562" s="880"/>
      <c r="BD562" s="880"/>
      <c r="BE562" s="880"/>
      <c r="BF562" s="880"/>
      <c r="BG562" s="880"/>
      <c r="BH562" s="880"/>
      <c r="BI562" s="880"/>
      <c r="BJ562" s="880"/>
      <c r="BK562" s="880"/>
      <c r="BL562" s="880"/>
      <c r="BM562" s="880"/>
      <c r="BN562" s="880"/>
      <c r="BO562" s="880"/>
      <c r="BP562" s="880"/>
      <c r="BQ562" s="880"/>
      <c r="BR562" s="880"/>
      <c r="BS562" s="880"/>
      <c r="BT562" s="880"/>
    </row>
    <row r="563" spans="1:72" s="882" customFormat="1" ht="13.5" collapsed="1" thickBot="1">
      <c r="A563" s="2899"/>
      <c r="B563" s="2900"/>
      <c r="C563" s="2973" t="s">
        <v>1795</v>
      </c>
      <c r="D563" s="2974"/>
      <c r="E563" s="1894">
        <v>1E-4</v>
      </c>
      <c r="F563" s="1328">
        <f>IF(SETUP!$F$33="Upfront",F564,F565)</f>
        <v>0</v>
      </c>
      <c r="G563" s="1194">
        <f>IF(SETUP!$F$33="Upfront",G564,G565)</f>
        <v>0</v>
      </c>
      <c r="H563" s="1194">
        <f>IF(SETUP!$F$33="Upfront",H564,H565)</f>
        <v>0</v>
      </c>
      <c r="I563" s="1194">
        <f>IF(SETUP!$F$33="Upfront",I564,I565)</f>
        <v>0</v>
      </c>
      <c r="J563" s="1194">
        <f t="shared" si="80"/>
        <v>0</v>
      </c>
      <c r="K563" s="1328">
        <f>IF(SETUP!$F$33="Upfront",K564,K565)</f>
        <v>0</v>
      </c>
      <c r="L563" s="1194">
        <f>IF(SETUP!$F$33="Upfront",L564,L565)</f>
        <v>0</v>
      </c>
      <c r="M563" s="1194">
        <f>IF(SETUP!$F$33="Upfront",M564,M565)</f>
        <v>0</v>
      </c>
      <c r="N563" s="1194">
        <f>IF(SETUP!$F$33="Upfront",N564,N565)</f>
        <v>0</v>
      </c>
      <c r="O563" s="1194">
        <f t="shared" si="81"/>
        <v>0</v>
      </c>
      <c r="P563" s="1328">
        <f>IF(SETUP!$F$33="Upfront",P564,P565)</f>
        <v>0</v>
      </c>
      <c r="Q563" s="1194">
        <f>IF(SETUP!$F$33="Upfront",Q564,Q565)</f>
        <v>0</v>
      </c>
      <c r="R563" s="1194">
        <f>IF(SETUP!$F$33="Upfront",R564,R565)</f>
        <v>0</v>
      </c>
      <c r="S563" s="1194">
        <f>IF(SETUP!$F$33="Upfront",S564,S565)</f>
        <v>0</v>
      </c>
      <c r="T563" s="1194">
        <f t="shared" si="82"/>
        <v>0</v>
      </c>
      <c r="U563" s="1328">
        <f t="shared" si="83"/>
        <v>0</v>
      </c>
      <c r="V563" s="1826">
        <v>7.5</v>
      </c>
      <c r="W563" s="1837"/>
      <c r="X563" s="764"/>
      <c r="Y563" s="1836"/>
      <c r="Z563" s="850"/>
      <c r="AA563" s="880"/>
      <c r="AB563" s="880"/>
      <c r="AC563" s="880"/>
      <c r="AD563" s="880"/>
      <c r="AE563" s="880"/>
      <c r="AF563" s="880"/>
      <c r="AG563" s="880"/>
      <c r="AH563" s="881"/>
      <c r="AI563" s="880"/>
      <c r="AJ563" s="880"/>
      <c r="AK563" s="880"/>
      <c r="AL563" s="880"/>
      <c r="AM563" s="880"/>
      <c r="AN563" s="880"/>
      <c r="AO563" s="880"/>
      <c r="AP563" s="880"/>
      <c r="AQ563" s="880"/>
      <c r="AR563" s="880"/>
      <c r="AS563" s="880"/>
      <c r="AT563" s="880"/>
      <c r="AU563" s="880"/>
      <c r="AV563" s="880"/>
      <c r="AW563" s="880"/>
      <c r="AX563" s="880"/>
      <c r="AY563" s="880"/>
      <c r="AZ563" s="880"/>
      <c r="BA563" s="880"/>
      <c r="BB563" s="880"/>
      <c r="BC563" s="880"/>
      <c r="BD563" s="880"/>
      <c r="BE563" s="880"/>
      <c r="BF563" s="880"/>
      <c r="BG563" s="880"/>
      <c r="BH563" s="880"/>
      <c r="BI563" s="880"/>
      <c r="BJ563" s="880"/>
      <c r="BK563" s="880"/>
      <c r="BL563" s="880"/>
      <c r="BM563" s="880"/>
      <c r="BN563" s="880"/>
      <c r="BO563" s="880"/>
      <c r="BP563" s="880"/>
      <c r="BQ563" s="880"/>
      <c r="BR563" s="880"/>
      <c r="BS563" s="880"/>
      <c r="BT563" s="880"/>
    </row>
    <row r="564" spans="1:72" s="882" customFormat="1" ht="12.75" hidden="1" customHeight="1" outlineLevel="1">
      <c r="A564" s="2899"/>
      <c r="B564" s="2900"/>
      <c r="C564" s="2889" t="s">
        <v>918</v>
      </c>
      <c r="D564" s="2890"/>
      <c r="E564" s="1895"/>
      <c r="F564" s="1328">
        <f>IF(SETUP!$F$33="Upfront",$E$563*'HIV-Other HPs'!AW20,0)</f>
        <v>0</v>
      </c>
      <c r="G564" s="1194">
        <f>IF(SETUP!$F$33="Upfront",$E$563*'HIV-Other HPs'!AX20,0)</f>
        <v>0</v>
      </c>
      <c r="H564" s="1194">
        <f>IF(SETUP!$F$33="Upfront",$E$563*'HIV-Other HPs'!AY20,0)</f>
        <v>0</v>
      </c>
      <c r="I564" s="1194">
        <f>IF(SETUP!$F$33="Upfront",$E$563*'HIV-Other HPs'!AZ20,0)</f>
        <v>0</v>
      </c>
      <c r="J564" s="1194">
        <f t="shared" si="80"/>
        <v>0</v>
      </c>
      <c r="K564" s="1328">
        <f>IF(SETUP!$F$33="Upfront",$E$563*'HIV-Other HPs'!BA20,0)</f>
        <v>0</v>
      </c>
      <c r="L564" s="1194">
        <f>IF(SETUP!$F$33="Upfront",$E$563*'HIV-Other HPs'!BB20,0)</f>
        <v>0</v>
      </c>
      <c r="M564" s="1194">
        <f>IF(SETUP!$F$33="Upfront",$E$563*'HIV-Other HPs'!BC20,0)</f>
        <v>0</v>
      </c>
      <c r="N564" s="1194">
        <f>IF(SETUP!$F$33="Upfront",$E$563*'HIV-Other HPs'!BD20,0)</f>
        <v>0</v>
      </c>
      <c r="O564" s="1194">
        <f t="shared" si="81"/>
        <v>0</v>
      </c>
      <c r="P564" s="1328">
        <f>IF(SETUP!$F$33="Upfront",$E$563*'HIV-Other HPs'!BE20,0)</f>
        <v>0</v>
      </c>
      <c r="Q564" s="1194">
        <f>IF(SETUP!$F$33="Upfront",$E$563*'HIV-Other HPs'!BF20,0)</f>
        <v>0</v>
      </c>
      <c r="R564" s="1194">
        <f>IF(SETUP!$F$33="Upfront",$E$563*'HIV-Other HPs'!BG20,0)</f>
        <v>0</v>
      </c>
      <c r="S564" s="1194">
        <f>IF(SETUP!$F$33="Upfront",$E$563*'HIV-Other HPs'!BH20,0)</f>
        <v>0</v>
      </c>
      <c r="T564" s="1194">
        <f t="shared" si="82"/>
        <v>0</v>
      </c>
      <c r="U564" s="1328">
        <f t="shared" si="83"/>
        <v>0</v>
      </c>
      <c r="V564" s="1826">
        <v>7.5</v>
      </c>
      <c r="W564" s="1837"/>
      <c r="X564" s="764"/>
      <c r="Y564" s="1836"/>
      <c r="Z564" s="850"/>
      <c r="AA564" s="880"/>
      <c r="AB564" s="880"/>
      <c r="AC564" s="880"/>
      <c r="AD564" s="880"/>
      <c r="AE564" s="880"/>
      <c r="AF564" s="880"/>
      <c r="AG564" s="880"/>
      <c r="AH564" s="881"/>
      <c r="AI564" s="880"/>
      <c r="AJ564" s="880"/>
      <c r="AK564" s="880"/>
      <c r="AL564" s="880"/>
      <c r="AM564" s="880"/>
      <c r="AN564" s="880"/>
      <c r="AO564" s="880"/>
      <c r="AP564" s="880"/>
      <c r="AQ564" s="880"/>
      <c r="AR564" s="880"/>
      <c r="AS564" s="880"/>
      <c r="AT564" s="880"/>
      <c r="AU564" s="880"/>
      <c r="AV564" s="880"/>
      <c r="AW564" s="880"/>
      <c r="AX564" s="880"/>
      <c r="AY564" s="880"/>
      <c r="AZ564" s="880"/>
      <c r="BA564" s="880"/>
      <c r="BB564" s="880"/>
      <c r="BC564" s="880"/>
      <c r="BD564" s="880"/>
      <c r="BE564" s="880"/>
      <c r="BF564" s="880"/>
      <c r="BG564" s="880"/>
      <c r="BH564" s="880"/>
      <c r="BI564" s="880"/>
      <c r="BJ564" s="880"/>
      <c r="BK564" s="880"/>
      <c r="BL564" s="880"/>
      <c r="BM564" s="880"/>
      <c r="BN564" s="880"/>
      <c r="BO564" s="880"/>
      <c r="BP564" s="880"/>
      <c r="BQ564" s="880"/>
      <c r="BR564" s="880"/>
      <c r="BS564" s="880"/>
      <c r="BT564" s="880"/>
    </row>
    <row r="565" spans="1:72" s="882" customFormat="1" ht="12.75" hidden="1" customHeight="1" outlineLevel="1">
      <c r="A565" s="2901"/>
      <c r="B565" s="2902"/>
      <c r="C565" s="2889" t="s">
        <v>36</v>
      </c>
      <c r="D565" s="2890"/>
      <c r="E565" s="1896"/>
      <c r="F565" s="1328">
        <v>0</v>
      </c>
      <c r="G565" s="1194">
        <f>IF(SETUP!$F$33="At delivery",IF(SETUP!$G$33=1,$E$563*'HIV-Other HPs'!AW20,0),0)</f>
        <v>0</v>
      </c>
      <c r="H565" s="1194">
        <f>IF(SETUP!$F$33="At delivery",IF(SETUP!$G$33=2,$E$563*'HIV-Other HPs'!AW20,IF(SETUP!$G$33=1,$E$563*'HIV-Other HPs'!AX20,0)),0)</f>
        <v>0</v>
      </c>
      <c r="I565" s="1194">
        <f>IF(SETUP!$F$33="At delivery",IF(SETUP!$G$33=3,$E$563*'HIV-Other HPs'!AW20,IF(SETUP!$G$33=2,$E$563*'HIV-Other HPs'!AX20,IF(SETUP!$G$33=1,$E$563*'HIV-Other HPs'!AY20,0))),0)</f>
        <v>0</v>
      </c>
      <c r="J565" s="1194">
        <f t="shared" si="80"/>
        <v>0</v>
      </c>
      <c r="K565" s="1328">
        <f>IF(SETUP!$F$33="At delivery",IF(SETUP!$G$33=4,$E$563*'HIV-Other HPs'!AW20,IF(SETUP!$G$33=3,$E$563*'HIV-Other HPs'!AX20,IF(SETUP!$G$33=2,$E$563*'HIV-Other HPs'!AY20,IF(SETUP!$G$33=1,$E$563*'HIV-Other HPs'!AZ20,0)))),0)</f>
        <v>0</v>
      </c>
      <c r="L565" s="1194">
        <f>IF(SETUP!$F$33="At delivery",IF(SETUP!$G$33=4,$E$563*'HIV-Other HPs'!AX20,IF(SETUP!$G$33=3,$E$563*'HIV-Other HPs'!AY20,IF(SETUP!$G$33=2,$E$563*'HIV-Other HPs'!AZ20,IF(SETUP!$G$33=1,$E$563*'HIV-Other HPs'!BA20,0)))),0)</f>
        <v>0</v>
      </c>
      <c r="M565" s="1194">
        <f>IF(SETUP!$F$33="At delivery",IF(SETUP!$G$33=4,$E$563*'HIV-Other HPs'!AY20,IF(SETUP!$G$33=3,$E$563*'HIV-Other HPs'!AZ20,IF(SETUP!$G$33=2,$E$563*'HIV-Other HPs'!BA20,IF(SETUP!$G$33=1,$E$563*'HIV-Other HPs'!BB20,0)))),0)</f>
        <v>0</v>
      </c>
      <c r="N565" s="1194">
        <f>IF(SETUP!$F$33="At delivery",IF(SETUP!$G$33=4,$E$563*'HIV-Other HPs'!AZ20,IF(SETUP!$G$33=3,$E$563*'HIV-Other HPs'!BA20,IF(SETUP!$G$33=2,$E$563*'HIV-Other HPs'!BB20,IF(SETUP!$G$33=1,$E$563*'HIV-Other HPs'!BC20,0)))),0)</f>
        <v>0</v>
      </c>
      <c r="O565" s="1194">
        <f t="shared" si="81"/>
        <v>0</v>
      </c>
      <c r="P565" s="1328">
        <f>IF(SETUP!$F$33="At delivery",IF(SETUP!$G$33=4,$E$563*'HIV-Other HPs'!BA20,IF(SETUP!$G$33=3,$E$563*'HIV-Other HPs'!BB20,IF(SETUP!$G$33=2,$E$563*'HIV-Other HPs'!BC20,IF(SETUP!$G$33=1,$E$563*'HIV-Other HPs'!BD20,0)))),0)</f>
        <v>0</v>
      </c>
      <c r="Q565" s="1194">
        <f>IF(SETUP!$F$33="At delivery",IF(SETUP!$G$33=4,$E$563*'HIV-Other HPs'!BB20,IF(SETUP!$G$33=3,$E$563*'HIV-Other HPs'!BC20,IF(SETUP!$G$33=2,$E$563*'HIV-Other HPs'!BD20,IF(SETUP!$G$33=1,$E$563*'HIV-Other HPs'!BE20,0)))),0)</f>
        <v>0</v>
      </c>
      <c r="R565" s="1194">
        <f>IF(SETUP!$F$33="At delivery",IF(SETUP!$G$33=4,$E$563*'HIV-Other HPs'!BC20,IF(SETUP!$G$33=3,$E$563*'HIV-Other HPs'!BD20,IF(SETUP!$G$33=2,$E$563*'HIV-Other HPs'!BE20,IF(SETUP!$G$33=1,$E$563*'HIV-Other HPs'!BF20,0)))),0)</f>
        <v>0</v>
      </c>
      <c r="S565" s="1194">
        <f>IF(SETUP!$F$33="At delivery",IF(SETUP!$G$33=4,$E$563*('HIV-Other HPs'!BD20+'HIV-Other HPs'!BE20+'HIV-Other HPs'!BF20+'HIV-Other HPs'!BG20+'HIV-Other HPs'!BH20),IF(SETUP!$G$33=3,$E$563*('HIV-Other HPs'!BE20+'HIV-Other HPs'!BF20+'HIV-Other HPs'!BG20+'HIV-Other HPs'!BH20),IF(SETUP!$G$33=2,$E$563*('HIV-Other HPs'!BF20+'HIV-Other HPs'!BG20+'HIV-Other HPs'!BH20),IF(SETUP!$G$33=1,$E$563*('HIV-Other HPs'!BG20+'HIV-Other HPs'!BH20),0)))),0)</f>
        <v>0</v>
      </c>
      <c r="T565" s="1194">
        <f t="shared" si="82"/>
        <v>0</v>
      </c>
      <c r="U565" s="1328">
        <f t="shared" si="83"/>
        <v>0</v>
      </c>
      <c r="V565" s="1826">
        <v>7.5</v>
      </c>
      <c r="W565" s="1837"/>
      <c r="X565" s="764"/>
      <c r="Y565" s="1836"/>
      <c r="Z565" s="850"/>
      <c r="AA565" s="880"/>
      <c r="AB565" s="880"/>
      <c r="AC565" s="880"/>
      <c r="AD565" s="880"/>
      <c r="AE565" s="880"/>
      <c r="AF565" s="880"/>
      <c r="AG565" s="880"/>
      <c r="AH565" s="881"/>
      <c r="AI565" s="880"/>
      <c r="AJ565" s="880"/>
      <c r="AK565" s="880"/>
      <c r="AL565" s="880"/>
      <c r="AM565" s="880"/>
      <c r="AN565" s="880"/>
      <c r="AO565" s="880"/>
      <c r="AP565" s="880"/>
      <c r="AQ565" s="880"/>
      <c r="AR565" s="880"/>
      <c r="AS565" s="880"/>
      <c r="AT565" s="880"/>
      <c r="AU565" s="880"/>
      <c r="AV565" s="880"/>
      <c r="AW565" s="880"/>
      <c r="AX565" s="880"/>
      <c r="AY565" s="880"/>
      <c r="AZ565" s="880"/>
      <c r="BA565" s="880"/>
      <c r="BB565" s="880"/>
      <c r="BC565" s="880"/>
      <c r="BD565" s="880"/>
      <c r="BE565" s="880"/>
      <c r="BF565" s="880"/>
      <c r="BG565" s="880"/>
      <c r="BH565" s="880"/>
      <c r="BI565" s="880"/>
      <c r="BJ565" s="880"/>
      <c r="BK565" s="880"/>
      <c r="BL565" s="880"/>
      <c r="BM565" s="880"/>
      <c r="BN565" s="880"/>
      <c r="BO565" s="880"/>
      <c r="BP565" s="880"/>
      <c r="BQ565" s="880"/>
      <c r="BR565" s="880"/>
      <c r="BS565" s="880"/>
      <c r="BT565" s="880"/>
    </row>
    <row r="566" spans="1:72" s="882" customFormat="1" ht="13.5" hidden="1" collapsed="1" thickBot="1">
      <c r="A566" s="2903" t="s">
        <v>569</v>
      </c>
      <c r="B566" s="2904"/>
      <c r="C566" s="2907" t="s">
        <v>570</v>
      </c>
      <c r="D566" s="2908"/>
      <c r="E566" s="1894">
        <v>1E-4</v>
      </c>
      <c r="F566" s="1328">
        <f>IF(SETUP!$F$36="Upfront",F567,F568)</f>
        <v>0</v>
      </c>
      <c r="G566" s="1194">
        <f>IF(SETUP!$F$36="Upfront",G567,G568)</f>
        <v>0</v>
      </c>
      <c r="H566" s="1194">
        <f>IF(SETUP!$F$36="Upfront",H567,H568)</f>
        <v>0</v>
      </c>
      <c r="I566" s="1194">
        <f>IF(SETUP!$F$36="Upfront",I567,I568)</f>
        <v>0</v>
      </c>
      <c r="J566" s="1194">
        <f t="shared" si="80"/>
        <v>0</v>
      </c>
      <c r="K566" s="1328">
        <f>IF(SETUP!$F$36="Upfront",K567,K568)</f>
        <v>0</v>
      </c>
      <c r="L566" s="1194">
        <f>IF(SETUP!$F$36="Upfront",L567,L568)</f>
        <v>0</v>
      </c>
      <c r="M566" s="1194">
        <f>IF(SETUP!$F$36="Upfront",M567,M568)</f>
        <v>0</v>
      </c>
      <c r="N566" s="1194">
        <f>IF(SETUP!$F$36="Upfront",N567,N568)</f>
        <v>0</v>
      </c>
      <c r="O566" s="1194">
        <f t="shared" si="81"/>
        <v>0</v>
      </c>
      <c r="P566" s="1328">
        <f>IF(SETUP!$F$36="Upfront",P567,P568)</f>
        <v>0</v>
      </c>
      <c r="Q566" s="1194">
        <f>IF(SETUP!$F$36="Upfront",Q567,Q568)</f>
        <v>0</v>
      </c>
      <c r="R566" s="1194">
        <f>IF(SETUP!$F$36="Upfront",R567,R568)</f>
        <v>0</v>
      </c>
      <c r="S566" s="1194">
        <f>IF(SETUP!$F$36="Upfront",S567,S568)</f>
        <v>0</v>
      </c>
      <c r="T566" s="1194">
        <f t="shared" si="82"/>
        <v>0</v>
      </c>
      <c r="U566" s="1328">
        <f t="shared" si="83"/>
        <v>0</v>
      </c>
      <c r="V566" s="1826">
        <v>7.5</v>
      </c>
      <c r="W566" s="1837"/>
      <c r="X566" s="764"/>
      <c r="Y566" s="1836"/>
      <c r="Z566" s="850"/>
      <c r="AA566" s="880"/>
      <c r="AB566" s="880"/>
      <c r="AC566" s="880"/>
      <c r="AD566" s="880"/>
      <c r="AE566" s="880"/>
      <c r="AF566" s="880"/>
      <c r="AG566" s="880"/>
      <c r="AH566" s="881"/>
      <c r="AI566" s="880"/>
      <c r="AJ566" s="880"/>
      <c r="AK566" s="880"/>
      <c r="AL566" s="880"/>
      <c r="AM566" s="880"/>
      <c r="AN566" s="880"/>
      <c r="AO566" s="880"/>
      <c r="AP566" s="880"/>
      <c r="AQ566" s="880"/>
      <c r="AR566" s="880"/>
      <c r="AS566" s="880"/>
      <c r="AT566" s="880"/>
      <c r="AU566" s="880"/>
      <c r="AV566" s="880"/>
      <c r="AW566" s="880"/>
      <c r="AX566" s="880"/>
      <c r="AY566" s="880"/>
      <c r="AZ566" s="880"/>
      <c r="BA566" s="880"/>
      <c r="BB566" s="880"/>
      <c r="BC566" s="880"/>
      <c r="BD566" s="880"/>
      <c r="BE566" s="880"/>
      <c r="BF566" s="880"/>
      <c r="BG566" s="880"/>
      <c r="BH566" s="880"/>
      <c r="BI566" s="880"/>
      <c r="BJ566" s="880"/>
      <c r="BK566" s="880"/>
      <c r="BL566" s="880"/>
      <c r="BM566" s="880"/>
      <c r="BN566" s="880"/>
      <c r="BO566" s="880"/>
      <c r="BP566" s="880"/>
      <c r="BQ566" s="880"/>
      <c r="BR566" s="880"/>
      <c r="BS566" s="880"/>
      <c r="BT566" s="880"/>
    </row>
    <row r="567" spans="1:72" s="882" customFormat="1" ht="12.75" hidden="1" customHeight="1" outlineLevel="1">
      <c r="A567" s="2905"/>
      <c r="B567" s="2906"/>
      <c r="C567" s="2889" t="s">
        <v>918</v>
      </c>
      <c r="D567" s="2890"/>
      <c r="E567" s="1880"/>
      <c r="F567" s="1328">
        <f>IF(SETUP!$F$36="Upfront",$E$566*'TB-Pharmaceuticals'!AW14,0)</f>
        <v>0</v>
      </c>
      <c r="G567" s="1194">
        <f>IF(SETUP!$F$36="Upfront",$E$566*'TB-Pharmaceuticals'!AX14,0)</f>
        <v>0</v>
      </c>
      <c r="H567" s="1194">
        <f>IF(SETUP!$F$36="Upfront",$E$566*'TB-Pharmaceuticals'!AY14,0)</f>
        <v>0</v>
      </c>
      <c r="I567" s="1194">
        <f>IF(SETUP!$F$36="Upfront",$E$566*'TB-Pharmaceuticals'!AZ14,0)</f>
        <v>0</v>
      </c>
      <c r="J567" s="1194">
        <f t="shared" si="80"/>
        <v>0</v>
      </c>
      <c r="K567" s="1328">
        <f>IF(SETUP!$F$36="Upfront",$E$566*'TB-Pharmaceuticals'!BA14,0)</f>
        <v>0</v>
      </c>
      <c r="L567" s="1194">
        <f>IF(SETUP!$F$36="Upfront",$E$566*'TB-Pharmaceuticals'!BB14,0)</f>
        <v>0</v>
      </c>
      <c r="M567" s="1194">
        <f>IF(SETUP!$F$36="Upfront",$E$566*'TB-Pharmaceuticals'!BC14,0)</f>
        <v>0</v>
      </c>
      <c r="N567" s="1194">
        <f>IF(SETUP!$F$36="Upfront",$E$566*'TB-Pharmaceuticals'!BD14,0)</f>
        <v>0</v>
      </c>
      <c r="O567" s="1194">
        <f t="shared" si="81"/>
        <v>0</v>
      </c>
      <c r="P567" s="1328">
        <f>IF(SETUP!$F$36="Upfront",$E$566*'TB-Pharmaceuticals'!BE14,0)</f>
        <v>0</v>
      </c>
      <c r="Q567" s="1194">
        <f>IF(SETUP!$F$36="Upfront",$E$566*'TB-Pharmaceuticals'!BF14,0)</f>
        <v>0</v>
      </c>
      <c r="R567" s="1194">
        <f>IF(SETUP!$F$36="Upfront",$E$566*'TB-Pharmaceuticals'!BG14,0)</f>
        <v>0</v>
      </c>
      <c r="S567" s="1194">
        <f>IF(SETUP!$F$36="Upfront",$E$566*'TB-Pharmaceuticals'!BH14,0)</f>
        <v>0</v>
      </c>
      <c r="T567" s="1194">
        <f t="shared" si="82"/>
        <v>0</v>
      </c>
      <c r="U567" s="1328">
        <f t="shared" si="83"/>
        <v>0</v>
      </c>
      <c r="V567" s="1826">
        <v>7.5</v>
      </c>
      <c r="W567" s="1837"/>
      <c r="X567" s="764"/>
      <c r="Y567" s="1836"/>
      <c r="Z567" s="850"/>
      <c r="AA567" s="880"/>
      <c r="AB567" s="880"/>
      <c r="AC567" s="880"/>
      <c r="AD567" s="880"/>
      <c r="AE567" s="880"/>
      <c r="AF567" s="880"/>
      <c r="AG567" s="880"/>
      <c r="AH567" s="881"/>
      <c r="AI567" s="880"/>
      <c r="AJ567" s="880"/>
      <c r="AK567" s="880"/>
      <c r="AL567" s="880"/>
      <c r="AM567" s="880"/>
      <c r="AN567" s="880"/>
      <c r="AO567" s="880"/>
      <c r="AP567" s="880"/>
      <c r="AQ567" s="880"/>
      <c r="AR567" s="880"/>
      <c r="AS567" s="880"/>
      <c r="AT567" s="880"/>
      <c r="AU567" s="880"/>
      <c r="AV567" s="880"/>
      <c r="AW567" s="880"/>
      <c r="AX567" s="880"/>
      <c r="AY567" s="880"/>
      <c r="AZ567" s="880"/>
      <c r="BA567" s="880"/>
      <c r="BB567" s="880"/>
      <c r="BC567" s="880"/>
      <c r="BD567" s="880"/>
      <c r="BE567" s="880"/>
      <c r="BF567" s="880"/>
      <c r="BG567" s="880"/>
      <c r="BH567" s="880"/>
      <c r="BI567" s="880"/>
      <c r="BJ567" s="880"/>
      <c r="BK567" s="880"/>
      <c r="BL567" s="880"/>
      <c r="BM567" s="880"/>
      <c r="BN567" s="880"/>
      <c r="BO567" s="880"/>
      <c r="BP567" s="880"/>
      <c r="BQ567" s="880"/>
      <c r="BR567" s="880"/>
      <c r="BS567" s="880"/>
      <c r="BT567" s="880"/>
    </row>
    <row r="568" spans="1:72" s="882" customFormat="1" ht="12.75" hidden="1" customHeight="1" outlineLevel="1">
      <c r="A568" s="2905"/>
      <c r="B568" s="2906"/>
      <c r="C568" s="2889" t="s">
        <v>36</v>
      </c>
      <c r="D568" s="2890"/>
      <c r="E568" s="1895"/>
      <c r="F568" s="1328">
        <v>0</v>
      </c>
      <c r="G568" s="1194">
        <f>IF(SETUP!$F$36="At delivery",IF(SETUP!$G$36=1,$E$566*'TB-Pharmaceuticals'!AW14,0),0)</f>
        <v>0</v>
      </c>
      <c r="H568" s="1194">
        <f>IF(SETUP!$F$36="At delivery",IF(SETUP!$G$36=2,$E$566*'TB-Pharmaceuticals'!AW14,IF(SETUP!$G$36=1,$E$566*'TB-Pharmaceuticals'!AX14,0)),0)</f>
        <v>0</v>
      </c>
      <c r="I568" s="1194">
        <f>IF(SETUP!$F$36="At delivery",IF(SETUP!$G$36=3,$E$566*'TB-Pharmaceuticals'!AW14,IF(SETUP!$G$36=2,$E$566*'TB-Pharmaceuticals'!AX14,IF(SETUP!$G$36=1,$E$566*'TB-Pharmaceuticals'!AY14,0))),0)</f>
        <v>0</v>
      </c>
      <c r="J568" s="1194">
        <f t="shared" si="80"/>
        <v>0</v>
      </c>
      <c r="K568" s="1328">
        <f>IF(SETUP!$F$36="At delivery",IF(SETUP!$G$36=4,$E$566*'TB-Pharmaceuticals'!AW14,IF(SETUP!$G$36=3,$E$566*'TB-Pharmaceuticals'!AX14,IF(SETUP!$G$36=2,$E$566*'TB-Pharmaceuticals'!AY14,IF(SETUP!$G$36=1,$E$566*'TB-Pharmaceuticals'!AZ14,0)))),0)</f>
        <v>0</v>
      </c>
      <c r="L568" s="1194">
        <f>IF(SETUP!$F$36="At delivery",IF(SETUP!$G$36=4,$E$566*'TB-Pharmaceuticals'!AX14,IF(SETUP!$G$36=3,$E$566*'TB-Pharmaceuticals'!AY14,IF(SETUP!$G$36=2,$E$566*'TB-Pharmaceuticals'!AZ14,IF(SETUP!$G$36=1,$E$566*'TB-Pharmaceuticals'!BA14,0)))),0)</f>
        <v>0</v>
      </c>
      <c r="M568" s="1194">
        <f>IF(SETUP!$F$36="At delivery",IF(SETUP!$G$36=4,$E$566*'TB-Pharmaceuticals'!AY14,IF(SETUP!$G$36=3,$E$566*'TB-Pharmaceuticals'!AZ14,IF(SETUP!$G$36=2,$E$566*'TB-Pharmaceuticals'!BA14,IF(SETUP!$G$36=1,$E$566*'TB-Pharmaceuticals'!BB14,0)))),0)</f>
        <v>0</v>
      </c>
      <c r="N568" s="1194">
        <f>IF(SETUP!$F$36="At delivery",IF(SETUP!$G$36=4,$E$566*'TB-Pharmaceuticals'!AZ14,IF(SETUP!$G$36=3,$E$566*'TB-Pharmaceuticals'!BA14,IF(SETUP!$G$36=2,$E$566*'TB-Pharmaceuticals'!BB14,IF(SETUP!$G$36=1,$E$566*'TB-Pharmaceuticals'!BC14,0)))),0)</f>
        <v>0</v>
      </c>
      <c r="O568" s="1194">
        <f t="shared" si="81"/>
        <v>0</v>
      </c>
      <c r="P568" s="1328">
        <f>IF(SETUP!$F$36="At delivery",IF(SETUP!$G$36=4,$E$566*'TB-Pharmaceuticals'!BA14,IF(SETUP!$G$36=3,$E$566*'TB-Pharmaceuticals'!BB14,IF(SETUP!$G$36=2,$E$566*'TB-Pharmaceuticals'!BC14,IF(SETUP!$G$36=1,$E$566*'TB-Pharmaceuticals'!BD14,0)))),0)</f>
        <v>0</v>
      </c>
      <c r="Q568" s="1194">
        <f>IF(SETUP!$F$36="At delivery",IF(SETUP!$G$36=4,$E$566*'TB-Pharmaceuticals'!BB14,IF(SETUP!$G$36=3,$E$566*'TB-Pharmaceuticals'!BC14,IF(SETUP!$G$36=2,$E$566*'TB-Pharmaceuticals'!BD14,IF(SETUP!$G$36=1,$E$566*'TB-Pharmaceuticals'!BE14,0)))),0)</f>
        <v>0</v>
      </c>
      <c r="R568" s="1194">
        <f>IF(SETUP!$F$36="At delivery",IF(SETUP!$G$36=4,$E$566*'TB-Pharmaceuticals'!BC14,IF(SETUP!$G$36=3,$E$566*'TB-Pharmaceuticals'!BD14,IF(SETUP!$G$36=2,$E$566*'TB-Pharmaceuticals'!BE14,IF(SETUP!$G$36=1,$E$566*'TB-Pharmaceuticals'!BF14,0)))),0)</f>
        <v>0</v>
      </c>
      <c r="S568" s="1194">
        <f>IF(SETUP!$F$36="At delivery",IF(SETUP!$G$36=4,$E$566*('TB-Pharmaceuticals'!BD14+'TB-Pharmaceuticals'!BE14+'TB-Pharmaceuticals'!BF14+'TB-Pharmaceuticals'!BG14+'TB-Pharmaceuticals'!BH14),IF(SETUP!$G$36=3,$E$566*('TB-Pharmaceuticals'!BE14+'TB-Pharmaceuticals'!BF14+'TB-Pharmaceuticals'!BG14+'TB-Pharmaceuticals'!BH14),IF(SETUP!$G$36=2,$E$566*('TB-Pharmaceuticals'!BF14+'TB-Pharmaceuticals'!BG14+'TB-Pharmaceuticals'!BH14),IF(SETUP!$G$36=1,$E$566*('TB-Pharmaceuticals'!BG14+'TB-Pharmaceuticals'!BH14),0)))),0)</f>
        <v>0</v>
      </c>
      <c r="T568" s="1194">
        <f t="shared" si="82"/>
        <v>0</v>
      </c>
      <c r="U568" s="1328">
        <f t="shared" si="83"/>
        <v>0</v>
      </c>
      <c r="V568" s="1826">
        <v>7.5</v>
      </c>
      <c r="W568" s="1837"/>
      <c r="X568" s="764"/>
      <c r="Y568" s="1836"/>
      <c r="Z568" s="850"/>
      <c r="AA568" s="880"/>
      <c r="AB568" s="880"/>
      <c r="AC568" s="880"/>
      <c r="AD568" s="880"/>
      <c r="AE568" s="880"/>
      <c r="AF568" s="880"/>
      <c r="AG568" s="880"/>
      <c r="AH568" s="881"/>
      <c r="AI568" s="880"/>
      <c r="AJ568" s="880"/>
      <c r="AK568" s="880"/>
      <c r="AL568" s="880"/>
      <c r="AM568" s="880"/>
      <c r="AN568" s="880"/>
      <c r="AO568" s="880"/>
      <c r="AP568" s="880"/>
      <c r="AQ568" s="880"/>
      <c r="AR568" s="880"/>
      <c r="AS568" s="880"/>
      <c r="AT568" s="880"/>
      <c r="AU568" s="880"/>
      <c r="AV568" s="880"/>
      <c r="AW568" s="880"/>
      <c r="AX568" s="880"/>
      <c r="AY568" s="880"/>
      <c r="AZ568" s="880"/>
      <c r="BA568" s="880"/>
      <c r="BB568" s="880"/>
      <c r="BC568" s="880"/>
      <c r="BD568" s="880"/>
      <c r="BE568" s="880"/>
      <c r="BF568" s="880"/>
      <c r="BG568" s="880"/>
      <c r="BH568" s="880"/>
      <c r="BI568" s="880"/>
      <c r="BJ568" s="880"/>
      <c r="BK568" s="880"/>
      <c r="BL568" s="880"/>
      <c r="BM568" s="880"/>
      <c r="BN568" s="880"/>
      <c r="BO568" s="880"/>
      <c r="BP568" s="880"/>
      <c r="BQ568" s="880"/>
      <c r="BR568" s="880"/>
      <c r="BS568" s="880"/>
      <c r="BT568" s="880"/>
    </row>
    <row r="569" spans="1:72" s="882" customFormat="1" ht="13.5" hidden="1" collapsed="1" thickBot="1">
      <c r="A569" s="2905"/>
      <c r="B569" s="2906"/>
      <c r="C569" s="2907" t="s">
        <v>571</v>
      </c>
      <c r="D569" s="2908"/>
      <c r="E569" s="1894">
        <v>1E-4</v>
      </c>
      <c r="F569" s="1328">
        <f>IF(SETUP!$F$38="Upfront",F570,F571)</f>
        <v>0</v>
      </c>
      <c r="G569" s="1194">
        <f>IF(SETUP!$F$38="Upfront",G570,G571)</f>
        <v>0</v>
      </c>
      <c r="H569" s="1194">
        <f>IF(SETUP!$F$38="Upfront",H570,H571)</f>
        <v>0</v>
      </c>
      <c r="I569" s="1194">
        <f>IF(SETUP!$F$38="Upfront",I570,I571)</f>
        <v>0</v>
      </c>
      <c r="J569" s="1194">
        <f t="shared" si="80"/>
        <v>0</v>
      </c>
      <c r="K569" s="1328">
        <f>IF(SETUP!$F$38="Upfront",K570,K571)</f>
        <v>0</v>
      </c>
      <c r="L569" s="1194">
        <f>IF(SETUP!$F$38="Upfront",L570,L571)</f>
        <v>0</v>
      </c>
      <c r="M569" s="1194">
        <f>IF(SETUP!$F$38="Upfront",M570,M571)</f>
        <v>0</v>
      </c>
      <c r="N569" s="1194">
        <f>IF(SETUP!$F$38="Upfront",N570,N571)</f>
        <v>0</v>
      </c>
      <c r="O569" s="1194">
        <f t="shared" si="81"/>
        <v>0</v>
      </c>
      <c r="P569" s="1328">
        <f>IF(SETUP!$F$38="Upfront",P570,P571)</f>
        <v>0</v>
      </c>
      <c r="Q569" s="1194">
        <f>IF(SETUP!$F$38="Upfront",Q570,Q571)</f>
        <v>0</v>
      </c>
      <c r="R569" s="1194">
        <f>IF(SETUP!$F$38="Upfront",R570,R571)</f>
        <v>0</v>
      </c>
      <c r="S569" s="1194">
        <f>IF(SETUP!$F$38="Upfront",S570,S571)</f>
        <v>0</v>
      </c>
      <c r="T569" s="1194">
        <f t="shared" si="82"/>
        <v>0</v>
      </c>
      <c r="U569" s="1328">
        <f t="shared" si="83"/>
        <v>0</v>
      </c>
      <c r="V569" s="1826">
        <v>7.5</v>
      </c>
      <c r="W569" s="1837"/>
      <c r="X569" s="764"/>
      <c r="Y569" s="1836"/>
      <c r="Z569" s="850"/>
      <c r="AA569" s="880"/>
      <c r="AB569" s="880"/>
      <c r="AC569" s="880"/>
      <c r="AD569" s="880"/>
      <c r="AE569" s="880"/>
      <c r="AF569" s="880"/>
      <c r="AG569" s="880"/>
      <c r="AH569" s="881"/>
      <c r="AI569" s="880"/>
      <c r="AJ569" s="880"/>
      <c r="AK569" s="880"/>
      <c r="AL569" s="880"/>
      <c r="AM569" s="880"/>
      <c r="AN569" s="880"/>
      <c r="AO569" s="880"/>
      <c r="AP569" s="880"/>
      <c r="AQ569" s="880"/>
      <c r="AR569" s="880"/>
      <c r="AS569" s="880"/>
      <c r="AT569" s="880"/>
      <c r="AU569" s="880"/>
      <c r="AV569" s="880"/>
      <c r="AW569" s="880"/>
      <c r="AX569" s="880"/>
      <c r="AY569" s="880"/>
      <c r="AZ569" s="880"/>
      <c r="BA569" s="880"/>
      <c r="BB569" s="880"/>
      <c r="BC569" s="880"/>
      <c r="BD569" s="880"/>
      <c r="BE569" s="880"/>
      <c r="BF569" s="880"/>
      <c r="BG569" s="880"/>
      <c r="BH569" s="880"/>
      <c r="BI569" s="880"/>
      <c r="BJ569" s="880"/>
      <c r="BK569" s="880"/>
      <c r="BL569" s="880"/>
      <c r="BM569" s="880"/>
      <c r="BN569" s="880"/>
      <c r="BO569" s="880"/>
      <c r="BP569" s="880"/>
      <c r="BQ569" s="880"/>
      <c r="BR569" s="880"/>
      <c r="BS569" s="880"/>
      <c r="BT569" s="880"/>
    </row>
    <row r="570" spans="1:72" s="882" customFormat="1" ht="12.75" hidden="1" customHeight="1" outlineLevel="1">
      <c r="A570" s="2905"/>
      <c r="B570" s="2906"/>
      <c r="C570" s="2889" t="s">
        <v>918</v>
      </c>
      <c r="D570" s="2890"/>
      <c r="E570" s="1895"/>
      <c r="F570" s="1328">
        <f>IF(SETUP!$F$38="Upfront",$E$569*'TB-Pharmaceuticals'!AW15,0)</f>
        <v>0</v>
      </c>
      <c r="G570" s="1194">
        <f>IF(SETUP!$F$38="Upfront",$E$569*'TB-Pharmaceuticals'!AX15,0)</f>
        <v>0</v>
      </c>
      <c r="H570" s="1194">
        <f>IF(SETUP!$F$38="Upfront",$E$569*'TB-Pharmaceuticals'!AY15,0)</f>
        <v>0</v>
      </c>
      <c r="I570" s="1194">
        <f>IF(SETUP!$F$38="Upfront",$E$569*'TB-Pharmaceuticals'!AZ15,0)</f>
        <v>0</v>
      </c>
      <c r="J570" s="1194">
        <f t="shared" si="80"/>
        <v>0</v>
      </c>
      <c r="K570" s="1328">
        <f>IF(SETUP!$F$38="Upfront",$E$569*'TB-Pharmaceuticals'!BA15,0)</f>
        <v>0</v>
      </c>
      <c r="L570" s="1194">
        <f>IF(SETUP!$F$38="Upfront",$E$569*'TB-Pharmaceuticals'!BB15,0)</f>
        <v>0</v>
      </c>
      <c r="M570" s="1194">
        <f>IF(SETUP!$F$38="Upfront",$E$569*'TB-Pharmaceuticals'!BC15,0)</f>
        <v>0</v>
      </c>
      <c r="N570" s="1194">
        <f>IF(SETUP!$F$38="Upfront",$E$569*'TB-Pharmaceuticals'!BD15,0)</f>
        <v>0</v>
      </c>
      <c r="O570" s="1194">
        <f t="shared" si="81"/>
        <v>0</v>
      </c>
      <c r="P570" s="1328">
        <f>IF(SETUP!$F$38="Upfront",$E$569*'TB-Pharmaceuticals'!BE15,0)</f>
        <v>0</v>
      </c>
      <c r="Q570" s="1194">
        <f>IF(SETUP!$F$38="Upfront",$E$569*'TB-Pharmaceuticals'!BF15,0)</f>
        <v>0</v>
      </c>
      <c r="R570" s="1194">
        <f>IF(SETUP!$F$38="Upfront",$E$569*'TB-Pharmaceuticals'!BG15,0)</f>
        <v>0</v>
      </c>
      <c r="S570" s="1194">
        <f>IF(SETUP!$F$38="Upfront",$E$569*'TB-Pharmaceuticals'!BH15,0)</f>
        <v>0</v>
      </c>
      <c r="T570" s="1194">
        <f t="shared" si="82"/>
        <v>0</v>
      </c>
      <c r="U570" s="1328">
        <f t="shared" si="83"/>
        <v>0</v>
      </c>
      <c r="V570" s="1826">
        <v>7.5</v>
      </c>
      <c r="W570" s="1837"/>
      <c r="X570" s="764"/>
      <c r="Y570" s="1836"/>
      <c r="Z570" s="850"/>
      <c r="AA570" s="880"/>
      <c r="AB570" s="880"/>
      <c r="AC570" s="880"/>
      <c r="AD570" s="880"/>
      <c r="AE570" s="880"/>
      <c r="AF570" s="880"/>
      <c r="AG570" s="880"/>
      <c r="AH570" s="881"/>
      <c r="AI570" s="880"/>
      <c r="AJ570" s="880"/>
      <c r="AK570" s="880"/>
      <c r="AL570" s="880"/>
      <c r="AM570" s="880"/>
      <c r="AN570" s="880"/>
      <c r="AO570" s="880"/>
      <c r="AP570" s="880"/>
      <c r="AQ570" s="880"/>
      <c r="AR570" s="880"/>
      <c r="AS570" s="880"/>
      <c r="AT570" s="880"/>
      <c r="AU570" s="880"/>
      <c r="AV570" s="880"/>
      <c r="AW570" s="880"/>
      <c r="AX570" s="880"/>
      <c r="AY570" s="880"/>
      <c r="AZ570" s="880"/>
      <c r="BA570" s="880"/>
      <c r="BB570" s="880"/>
      <c r="BC570" s="880"/>
      <c r="BD570" s="880"/>
      <c r="BE570" s="880"/>
      <c r="BF570" s="880"/>
      <c r="BG570" s="880"/>
      <c r="BH570" s="880"/>
      <c r="BI570" s="880"/>
      <c r="BJ570" s="880"/>
      <c r="BK570" s="880"/>
      <c r="BL570" s="880"/>
      <c r="BM570" s="880"/>
      <c r="BN570" s="880"/>
      <c r="BO570" s="880"/>
      <c r="BP570" s="880"/>
      <c r="BQ570" s="880"/>
      <c r="BR570" s="880"/>
      <c r="BS570" s="880"/>
      <c r="BT570" s="880"/>
    </row>
    <row r="571" spans="1:72" s="882" customFormat="1" ht="12.75" hidden="1" customHeight="1" outlineLevel="1">
      <c r="A571" s="2905"/>
      <c r="B571" s="2906"/>
      <c r="C571" s="2889" t="s">
        <v>36</v>
      </c>
      <c r="D571" s="2890"/>
      <c r="E571" s="1880"/>
      <c r="F571" s="1328">
        <v>0</v>
      </c>
      <c r="G571" s="1194">
        <f>IF(SETUP!$F$38="At delivery",IF(SETUP!$G$38=1,$E$569*'TB-Pharmaceuticals'!AW15,0),0)</f>
        <v>0</v>
      </c>
      <c r="H571" s="1194">
        <f>IF(SETUP!$F$38="At delivery",IF(SETUP!$G$38=2,$E$569*'TB-Pharmaceuticals'!AW15,IF(SETUP!$G$38=1,$E$569*'TB-Pharmaceuticals'!AX15,0)),0)</f>
        <v>0</v>
      </c>
      <c r="I571" s="1194">
        <f>IF(SETUP!$F$38="At delivery",IF(SETUP!$G$38=3,$E$569*'TB-Pharmaceuticals'!AW15,IF(SETUP!$G$38=2,$E$569*'TB-Pharmaceuticals'!AX15,IF(SETUP!$G$38=1,$E$569*'TB-Pharmaceuticals'!AY15,0))),0)</f>
        <v>0</v>
      </c>
      <c r="J571" s="1194">
        <f t="shared" si="80"/>
        <v>0</v>
      </c>
      <c r="K571" s="1328">
        <f>IF(SETUP!$F$38="At delivery",IF(SETUP!$G$38=4,$E$569*'TB-Pharmaceuticals'!AW15,IF(SETUP!$G$38=3,$E$569*'TB-Pharmaceuticals'!AX15,IF(SETUP!$G$38=2,$E$569*'TB-Pharmaceuticals'!AY15,IF(SETUP!$G$38=1,$E$569*'TB-Pharmaceuticals'!AZ15,0)))),0)</f>
        <v>0</v>
      </c>
      <c r="L571" s="1194">
        <f>IF(SETUP!$F$38="At delivery",IF(SETUP!$G$38=4,$E$569*'TB-Pharmaceuticals'!AX15,IF(SETUP!$G$38=3,$E$569*'TB-Pharmaceuticals'!AY15,IF(SETUP!$G$38=2,$E$569*'TB-Pharmaceuticals'!AZ15,IF(SETUP!$G$38=1,$E$569*'TB-Pharmaceuticals'!BA15,0)))),0)</f>
        <v>0</v>
      </c>
      <c r="M571" s="1194">
        <f>IF(SETUP!$F$38="At delivery",IF(SETUP!$G$38=4,$E$569*'TB-Pharmaceuticals'!AY15,IF(SETUP!$G$38=3,$E$569*'TB-Pharmaceuticals'!AZ15,IF(SETUP!$G$38=2,$E$569*'TB-Pharmaceuticals'!BA15,IF(SETUP!$G$38=1,$E$569*'TB-Pharmaceuticals'!BB15,0)))),0)</f>
        <v>0</v>
      </c>
      <c r="N571" s="1194">
        <f>IF(SETUP!$F$38="At delivery",IF(SETUP!$G$38=4,$E$569*'TB-Pharmaceuticals'!AZ15,IF(SETUP!$G$38=3,$E$569*'TB-Pharmaceuticals'!BA15,IF(SETUP!$G$38=2,$E$569*'TB-Pharmaceuticals'!BB15,IF(SETUP!$G$38=1,$E$569*'TB-Pharmaceuticals'!BC15,0)))),0)</f>
        <v>0</v>
      </c>
      <c r="O571" s="1194">
        <f t="shared" si="81"/>
        <v>0</v>
      </c>
      <c r="P571" s="1328">
        <f>IF(SETUP!$F$38="At delivery",IF(SETUP!$G$38=4,$E$569*'TB-Pharmaceuticals'!BA15,IF(SETUP!$G$38=3,$E$569*'TB-Pharmaceuticals'!BB15,IF(SETUP!$G$38=2,$E$569*'TB-Pharmaceuticals'!BC15,IF(SETUP!$G$38=1,$E$569*'TB-Pharmaceuticals'!BD15,0)))),0)</f>
        <v>0</v>
      </c>
      <c r="Q571" s="1194">
        <f>IF(SETUP!$F$38="At delivery",IF(SETUP!$G$38=4,$E$569*'TB-Pharmaceuticals'!BB15,IF(SETUP!$G$38=3,$E$569*'TB-Pharmaceuticals'!BC15,IF(SETUP!$G$38=2,$E$569*'TB-Pharmaceuticals'!BD15,IF(SETUP!$G$38=1,$E$569*'TB-Pharmaceuticals'!BE15,0)))),0)</f>
        <v>0</v>
      </c>
      <c r="R571" s="1194">
        <f>IF(SETUP!$F$38="At delivery",IF(SETUP!$G$38=4,$E$569*'TB-Pharmaceuticals'!BC15,IF(SETUP!$G$38=3,$E$569*'TB-Pharmaceuticals'!BD15,IF(SETUP!$G$38=2,$E$569*'TB-Pharmaceuticals'!BE15,IF(SETUP!$G$38=1,$E$569*'TB-Pharmaceuticals'!BF15,0)))),0)</f>
        <v>0</v>
      </c>
      <c r="S571" s="1194">
        <f>IF(SETUP!$F$38="At delivery",IF(SETUP!$G$38=4,$E$569*('TB-Pharmaceuticals'!BD15+'TB-Pharmaceuticals'!BE15+'TB-Pharmaceuticals'!BF15+'TB-Pharmaceuticals'!BG15+'TB-Pharmaceuticals'!BH15),IF(SETUP!$G$38=3,$E$569*('TB-Pharmaceuticals'!BE15+'TB-Pharmaceuticals'!BF15+'TB-Pharmaceuticals'!BG15+'TB-Pharmaceuticals'!BH15),IF(SETUP!$G$38=2,$E$569*('TB-Pharmaceuticals'!BF15+'TB-Pharmaceuticals'!BG15+'TB-Pharmaceuticals'!BH15),IF(SETUP!$G$38=1,$E$569*('TB-Pharmaceuticals'!BG15+'TB-Pharmaceuticals'!BH15),0)))),0)</f>
        <v>0</v>
      </c>
      <c r="T571" s="1194">
        <f t="shared" si="82"/>
        <v>0</v>
      </c>
      <c r="U571" s="1328">
        <f t="shared" si="83"/>
        <v>0</v>
      </c>
      <c r="V571" s="1826">
        <v>7.5</v>
      </c>
      <c r="W571" s="1837"/>
      <c r="X571" s="764"/>
      <c r="Y571" s="1836"/>
      <c r="Z571" s="850"/>
      <c r="AA571" s="880"/>
      <c r="AB571" s="880"/>
      <c r="AC571" s="880"/>
      <c r="AD571" s="880"/>
      <c r="AE571" s="880"/>
      <c r="AF571" s="880"/>
      <c r="AG571" s="880"/>
      <c r="AH571" s="881"/>
      <c r="AI571" s="880"/>
      <c r="AJ571" s="880"/>
      <c r="AK571" s="880"/>
      <c r="AL571" s="880"/>
      <c r="AM571" s="880"/>
      <c r="AN571" s="880"/>
      <c r="AO571" s="880"/>
      <c r="AP571" s="880"/>
      <c r="AQ571" s="880"/>
      <c r="AR571" s="880"/>
      <c r="AS571" s="880"/>
      <c r="AT571" s="880"/>
      <c r="AU571" s="880"/>
      <c r="AV571" s="880"/>
      <c r="AW571" s="880"/>
      <c r="AX571" s="880"/>
      <c r="AY571" s="880"/>
      <c r="AZ571" s="880"/>
      <c r="BA571" s="880"/>
      <c r="BB571" s="880"/>
      <c r="BC571" s="880"/>
      <c r="BD571" s="880"/>
      <c r="BE571" s="880"/>
      <c r="BF571" s="880"/>
      <c r="BG571" s="880"/>
      <c r="BH571" s="880"/>
      <c r="BI571" s="880"/>
      <c r="BJ571" s="880"/>
      <c r="BK571" s="880"/>
      <c r="BL571" s="880"/>
      <c r="BM571" s="880"/>
      <c r="BN571" s="880"/>
      <c r="BO571" s="880"/>
      <c r="BP571" s="880"/>
      <c r="BQ571" s="880"/>
      <c r="BR571" s="880"/>
      <c r="BS571" s="880"/>
      <c r="BT571" s="880"/>
    </row>
    <row r="572" spans="1:72" s="882" customFormat="1" ht="13.5" hidden="1" collapsed="1" thickBot="1">
      <c r="A572" s="2905"/>
      <c r="B572" s="2906"/>
      <c r="C572" s="2907" t="s">
        <v>1792</v>
      </c>
      <c r="D572" s="2908"/>
      <c r="E572" s="1894">
        <v>1E-4</v>
      </c>
      <c r="F572" s="1328">
        <f>IF(SETUP!$F$39="Upfront",F573,F574)</f>
        <v>0</v>
      </c>
      <c r="G572" s="1194">
        <f>IF(SETUP!$F$39="Upfront",G573,G574)</f>
        <v>0</v>
      </c>
      <c r="H572" s="1194">
        <f>IF(SETUP!$F$39="Upfront",H573,H574)</f>
        <v>0</v>
      </c>
      <c r="I572" s="1194">
        <f>IF(SETUP!$F$39="Upfront",I573,I574)</f>
        <v>0</v>
      </c>
      <c r="J572" s="1194">
        <f t="shared" si="80"/>
        <v>0</v>
      </c>
      <c r="K572" s="1328">
        <f>IF(SETUP!$F$39="Upfront",K573,K574)</f>
        <v>0</v>
      </c>
      <c r="L572" s="1194">
        <f>IF(SETUP!$F$39="Upfront",L573,L574)</f>
        <v>0</v>
      </c>
      <c r="M572" s="1194">
        <f>IF(SETUP!$F$39="Upfront",M573,M574)</f>
        <v>0</v>
      </c>
      <c r="N572" s="1194">
        <f>IF(SETUP!$F$39="Upfront",N573,N574)</f>
        <v>0</v>
      </c>
      <c r="O572" s="1194">
        <f t="shared" si="81"/>
        <v>0</v>
      </c>
      <c r="P572" s="1328">
        <f>IF(SETUP!$F$39="Upfront",P573,P574)</f>
        <v>0</v>
      </c>
      <c r="Q572" s="1194">
        <f>IF(SETUP!$F$39="Upfront",Q573,Q574)</f>
        <v>0</v>
      </c>
      <c r="R572" s="1194">
        <f>IF(SETUP!$F$39="Upfront",R573,R574)</f>
        <v>0</v>
      </c>
      <c r="S572" s="1194">
        <f>IF(SETUP!$F$39="Upfront",S573,S574)</f>
        <v>0</v>
      </c>
      <c r="T572" s="1194">
        <f t="shared" si="82"/>
        <v>0</v>
      </c>
      <c r="U572" s="1328">
        <f t="shared" si="83"/>
        <v>0</v>
      </c>
      <c r="V572" s="1826">
        <v>7.5</v>
      </c>
      <c r="W572" s="1837"/>
      <c r="X572" s="764"/>
      <c r="Y572" s="1836"/>
      <c r="Z572" s="850"/>
      <c r="AA572" s="880"/>
      <c r="AB572" s="880"/>
      <c r="AC572" s="880"/>
      <c r="AD572" s="880"/>
      <c r="AE572" s="880"/>
      <c r="AF572" s="880"/>
      <c r="AG572" s="880"/>
      <c r="AH572" s="881"/>
      <c r="AI572" s="880"/>
      <c r="AJ572" s="880"/>
      <c r="AK572" s="880"/>
      <c r="AL572" s="880"/>
      <c r="AM572" s="880"/>
      <c r="AN572" s="880"/>
      <c r="AO572" s="880"/>
      <c r="AP572" s="880"/>
      <c r="AQ572" s="880"/>
      <c r="AR572" s="880"/>
      <c r="AS572" s="880"/>
      <c r="AT572" s="880"/>
      <c r="AU572" s="880"/>
      <c r="AV572" s="880"/>
      <c r="AW572" s="880"/>
      <c r="AX572" s="880"/>
      <c r="AY572" s="880"/>
      <c r="AZ572" s="880"/>
      <c r="BA572" s="880"/>
      <c r="BB572" s="880"/>
      <c r="BC572" s="880"/>
      <c r="BD572" s="880"/>
      <c r="BE572" s="880"/>
      <c r="BF572" s="880"/>
      <c r="BG572" s="880"/>
      <c r="BH572" s="880"/>
      <c r="BI572" s="880"/>
      <c r="BJ572" s="880"/>
      <c r="BK572" s="880"/>
      <c r="BL572" s="880"/>
      <c r="BM572" s="880"/>
      <c r="BN572" s="880"/>
      <c r="BO572" s="880"/>
      <c r="BP572" s="880"/>
      <c r="BQ572" s="880"/>
      <c r="BR572" s="880"/>
      <c r="BS572" s="880"/>
      <c r="BT572" s="880"/>
    </row>
    <row r="573" spans="1:72" s="882" customFormat="1" ht="12.75" hidden="1" customHeight="1" outlineLevel="1">
      <c r="A573" s="2905"/>
      <c r="B573" s="2906"/>
      <c r="C573" s="2889" t="s">
        <v>918</v>
      </c>
      <c r="D573" s="2890"/>
      <c r="E573" s="1896"/>
      <c r="F573" s="1328">
        <f>IF(SETUP!$F$39="Upfront",$E$572*'TB-Pharmaceuticals'!AW16,0)</f>
        <v>0</v>
      </c>
      <c r="G573" s="1194">
        <f>IF(SETUP!$F$39="Upfront",$E$572*'TB-Pharmaceuticals'!AX16,0)</f>
        <v>0</v>
      </c>
      <c r="H573" s="1194">
        <f>IF(SETUP!$F$39="Upfront",$E$572*'TB-Pharmaceuticals'!AY16,0)</f>
        <v>0</v>
      </c>
      <c r="I573" s="1194">
        <f>IF(SETUP!$F$39="Upfront",$E$572*'TB-Pharmaceuticals'!AZ16,0)</f>
        <v>0</v>
      </c>
      <c r="J573" s="1194">
        <f t="shared" si="80"/>
        <v>0</v>
      </c>
      <c r="K573" s="1328">
        <f>IF(SETUP!$F$39="Upfront",$E$572*'TB-Pharmaceuticals'!BA16,0)</f>
        <v>0</v>
      </c>
      <c r="L573" s="1194">
        <f>IF(SETUP!$F$39="Upfront",$E$572*'TB-Pharmaceuticals'!BB16,0)</f>
        <v>0</v>
      </c>
      <c r="M573" s="1194">
        <f>IF(SETUP!$F$39="Upfront",$E$572*'TB-Pharmaceuticals'!BC16,0)</f>
        <v>0</v>
      </c>
      <c r="N573" s="1194">
        <f>IF(SETUP!$F$39="Upfront",$E$572*'TB-Pharmaceuticals'!BD16,0)</f>
        <v>0</v>
      </c>
      <c r="O573" s="1194">
        <f t="shared" si="81"/>
        <v>0</v>
      </c>
      <c r="P573" s="1328">
        <f>IF(SETUP!$F$39="Upfront",$E$572*'TB-Pharmaceuticals'!BE16,0)</f>
        <v>0</v>
      </c>
      <c r="Q573" s="1194">
        <f>IF(SETUP!$F$39="Upfront",$E$572*'TB-Pharmaceuticals'!BF16,0)</f>
        <v>0</v>
      </c>
      <c r="R573" s="1194">
        <f>IF(SETUP!$F$39="Upfront",$E$572*'TB-Pharmaceuticals'!BG16,0)</f>
        <v>0</v>
      </c>
      <c r="S573" s="1194">
        <f>IF(SETUP!$F$39="Upfront",$E$572*'TB-Pharmaceuticals'!BH16,0)</f>
        <v>0</v>
      </c>
      <c r="T573" s="1194">
        <f t="shared" si="82"/>
        <v>0</v>
      </c>
      <c r="U573" s="1328">
        <f t="shared" si="83"/>
        <v>0</v>
      </c>
      <c r="V573" s="1826">
        <v>7.5</v>
      </c>
      <c r="W573" s="1837"/>
      <c r="X573" s="764"/>
      <c r="Y573" s="1836"/>
      <c r="Z573" s="850"/>
      <c r="AA573" s="880"/>
      <c r="AB573" s="880"/>
      <c r="AC573" s="880"/>
      <c r="AD573" s="880"/>
      <c r="AE573" s="880"/>
      <c r="AF573" s="880"/>
      <c r="AG573" s="880"/>
      <c r="AH573" s="881"/>
      <c r="AI573" s="880"/>
      <c r="AJ573" s="880"/>
      <c r="AK573" s="880"/>
      <c r="AL573" s="880"/>
      <c r="AM573" s="880"/>
      <c r="AN573" s="880"/>
      <c r="AO573" s="880"/>
      <c r="AP573" s="880"/>
      <c r="AQ573" s="880"/>
      <c r="AR573" s="880"/>
      <c r="AS573" s="880"/>
      <c r="AT573" s="880"/>
      <c r="AU573" s="880"/>
      <c r="AV573" s="880"/>
      <c r="AW573" s="880"/>
      <c r="AX573" s="880"/>
      <c r="AY573" s="880"/>
      <c r="AZ573" s="880"/>
      <c r="BA573" s="880"/>
      <c r="BB573" s="880"/>
      <c r="BC573" s="880"/>
      <c r="BD573" s="880"/>
      <c r="BE573" s="880"/>
      <c r="BF573" s="880"/>
      <c r="BG573" s="880"/>
      <c r="BH573" s="880"/>
      <c r="BI573" s="880"/>
      <c r="BJ573" s="880"/>
      <c r="BK573" s="880"/>
      <c r="BL573" s="880"/>
      <c r="BM573" s="880"/>
      <c r="BN573" s="880"/>
      <c r="BO573" s="880"/>
      <c r="BP573" s="880"/>
      <c r="BQ573" s="880"/>
      <c r="BR573" s="880"/>
      <c r="BS573" s="880"/>
      <c r="BT573" s="880"/>
    </row>
    <row r="574" spans="1:72" s="882" customFormat="1" ht="12.75" hidden="1" customHeight="1" outlineLevel="1">
      <c r="A574" s="2905"/>
      <c r="B574" s="2906"/>
      <c r="C574" s="2889" t="s">
        <v>36</v>
      </c>
      <c r="D574" s="2890"/>
      <c r="E574" s="1896"/>
      <c r="F574" s="1328">
        <v>0</v>
      </c>
      <c r="G574" s="1194">
        <f>IF(SETUP!$F$39="At delivery",IF(SETUP!$G$39=1,$E$572*'TB-Pharmaceuticals'!AW16,0),0)</f>
        <v>0</v>
      </c>
      <c r="H574" s="1194">
        <f>IF(SETUP!$F$39="At delivery",IF(SETUP!$G$39=2,$E$572*'TB-Pharmaceuticals'!AW16,IF(SETUP!$G$39=1,$E$572*'TB-Pharmaceuticals'!AX16,0)),0)</f>
        <v>0</v>
      </c>
      <c r="I574" s="1194">
        <f>IF(SETUP!$F$39="At delivery",IF(SETUP!$G$39=3,$E$572*'TB-Pharmaceuticals'!AW16,IF(SETUP!$G$39=2,$E$572*'TB-Pharmaceuticals'!AX16,IF(SETUP!$G$39=1,$E$572*'TB-Pharmaceuticals'!AY16,0))),0)</f>
        <v>0</v>
      </c>
      <c r="J574" s="1194">
        <f t="shared" si="80"/>
        <v>0</v>
      </c>
      <c r="K574" s="1328">
        <f>IF(SETUP!$F$39="At delivery",IF(SETUP!$G$39=4,$E$572*'TB-Pharmaceuticals'!AW16,IF(SETUP!$G$39=3,$E$572*'TB-Pharmaceuticals'!AX16,IF(SETUP!$G$39=2,$E$572*'TB-Pharmaceuticals'!AY16,IF(SETUP!$G$39=1,$E$572*'TB-Pharmaceuticals'!AZ16,0)))),0)</f>
        <v>0</v>
      </c>
      <c r="L574" s="1194">
        <f>IF(SETUP!$F$39="At delivery",IF(SETUP!$G$39=4,$E$572*'TB-Pharmaceuticals'!AX16,IF(SETUP!$G$39=3,$E$572*'TB-Pharmaceuticals'!AY16,IF(SETUP!$G$39=2,$E$572*'TB-Pharmaceuticals'!AZ16,IF(SETUP!$G$39=1,$E$572*'TB-Pharmaceuticals'!BA16,0)))),0)</f>
        <v>0</v>
      </c>
      <c r="M574" s="1194">
        <f>IF(SETUP!$F$39="At delivery",IF(SETUP!$G$39=4,$E$572*'TB-Pharmaceuticals'!AY16,IF(SETUP!$G$39=3,$E$572*'TB-Pharmaceuticals'!AZ16,IF(SETUP!$G$39=2,$E$572*'TB-Pharmaceuticals'!BA16,IF(SETUP!$G$39=1,$E$572*'TB-Pharmaceuticals'!BB16,0)))),0)</f>
        <v>0</v>
      </c>
      <c r="N574" s="1194">
        <f>IF(SETUP!$F$39="At delivery",IF(SETUP!$G$39=4,$E$572*'TB-Pharmaceuticals'!AZ16,IF(SETUP!$G$39=3,$E$572*'TB-Pharmaceuticals'!BA16,IF(SETUP!$G$39=2,$E$572*'TB-Pharmaceuticals'!BB16,IF(SETUP!$G$39=1,$E$572*'TB-Pharmaceuticals'!BC16,0)))),0)</f>
        <v>0</v>
      </c>
      <c r="O574" s="1194">
        <f t="shared" si="81"/>
        <v>0</v>
      </c>
      <c r="P574" s="1328">
        <f>IF(SETUP!$F$39="At delivery",IF(SETUP!$G$39=4,$E$572*'TB-Pharmaceuticals'!BA16,IF(SETUP!$G$39=3,$E$572*'TB-Pharmaceuticals'!BB16,IF(SETUP!$G$39=2,$E$572*'TB-Pharmaceuticals'!BC16,IF(SETUP!$G$39=1,$E$572*'TB-Pharmaceuticals'!BD16,0)))),0)</f>
        <v>0</v>
      </c>
      <c r="Q574" s="1194">
        <f>IF(SETUP!$F$39="At delivery",IF(SETUP!$G$39=4,$E$572*'TB-Pharmaceuticals'!BB16,IF(SETUP!$G$39=3,$E$572*'TB-Pharmaceuticals'!BC16,IF(SETUP!$G$39=2,$E$572*'TB-Pharmaceuticals'!BD16,IF(SETUP!$G$39=1,$E$572*'TB-Pharmaceuticals'!BE16,0)))),0)</f>
        <v>0</v>
      </c>
      <c r="R574" s="1194">
        <f>IF(SETUP!$F$39="At delivery",IF(SETUP!$G$39=4,$E$572*'TB-Pharmaceuticals'!BC16,IF(SETUP!$G$39=3,$E$572*'TB-Pharmaceuticals'!BD16,IF(SETUP!$G$39=2,$E$572*'TB-Pharmaceuticals'!BE16,IF(SETUP!$G$39=1,$E$572*'TB-Pharmaceuticals'!BF16,0)))),0)</f>
        <v>0</v>
      </c>
      <c r="S574" s="1194">
        <f>IF(SETUP!$F$39="At delivery",IF(SETUP!$G$39=4,$E$572*('TB-Pharmaceuticals'!BD16+'TB-Pharmaceuticals'!BE16+'TB-Pharmaceuticals'!BF16+'TB-Pharmaceuticals'!BG16+'TB-Pharmaceuticals'!BH16),IF(SETUP!$G$39=3,$E$572*('TB-Pharmaceuticals'!BE16+'TB-Pharmaceuticals'!BF16+'TB-Pharmaceuticals'!BG16+'TB-Pharmaceuticals'!BH16),IF(SETUP!$G$39=2,$E$572*('TB-Pharmaceuticals'!BF16+'TB-Pharmaceuticals'!BG16+'TB-Pharmaceuticals'!BH16),IF(SETUP!$G$39=1,$E$572*('TB-Pharmaceuticals'!BG16+'TB-Pharmaceuticals'!BH16),0)))),0)</f>
        <v>0</v>
      </c>
      <c r="T574" s="1194">
        <f t="shared" si="82"/>
        <v>0</v>
      </c>
      <c r="U574" s="1328">
        <f t="shared" si="83"/>
        <v>0</v>
      </c>
      <c r="V574" s="1826">
        <v>7.5</v>
      </c>
      <c r="W574" s="1837"/>
      <c r="X574" s="764"/>
      <c r="Y574" s="1836"/>
      <c r="Z574" s="850"/>
      <c r="AA574" s="880"/>
      <c r="AB574" s="880"/>
      <c r="AC574" s="880"/>
      <c r="AD574" s="880"/>
      <c r="AE574" s="880"/>
      <c r="AF574" s="880"/>
      <c r="AG574" s="880"/>
      <c r="AH574" s="881"/>
      <c r="AI574" s="880"/>
      <c r="AJ574" s="880"/>
      <c r="AK574" s="880"/>
      <c r="AL574" s="880"/>
      <c r="AM574" s="880"/>
      <c r="AN574" s="880"/>
      <c r="AO574" s="880"/>
      <c r="AP574" s="880"/>
      <c r="AQ574" s="880"/>
      <c r="AR574" s="880"/>
      <c r="AS574" s="880"/>
      <c r="AT574" s="880"/>
      <c r="AU574" s="880"/>
      <c r="AV574" s="880"/>
      <c r="AW574" s="880"/>
      <c r="AX574" s="880"/>
      <c r="AY574" s="880"/>
      <c r="AZ574" s="880"/>
      <c r="BA574" s="880"/>
      <c r="BB574" s="880"/>
      <c r="BC574" s="880"/>
      <c r="BD574" s="880"/>
      <c r="BE574" s="880"/>
      <c r="BF574" s="880"/>
      <c r="BG574" s="880"/>
      <c r="BH574" s="880"/>
      <c r="BI574" s="880"/>
      <c r="BJ574" s="880"/>
      <c r="BK574" s="880"/>
      <c r="BL574" s="880"/>
      <c r="BM574" s="880"/>
      <c r="BN574" s="880"/>
      <c r="BO574" s="880"/>
      <c r="BP574" s="880"/>
      <c r="BQ574" s="880"/>
      <c r="BR574" s="880"/>
      <c r="BS574" s="880"/>
      <c r="BT574" s="880"/>
    </row>
    <row r="575" spans="1:72" s="882" customFormat="1" ht="13.5" hidden="1" collapsed="1" thickBot="1">
      <c r="A575" s="2905" t="s">
        <v>572</v>
      </c>
      <c r="B575" s="2906"/>
      <c r="C575" s="2907" t="s">
        <v>311</v>
      </c>
      <c r="D575" s="2908"/>
      <c r="E575" s="1894">
        <v>1E-4</v>
      </c>
      <c r="F575" s="1328">
        <f>IF(SETUP!$F$40="Upfront",F576,F577)</f>
        <v>0</v>
      </c>
      <c r="G575" s="1194">
        <f>IF(SETUP!$F$40="Upfront",G576,G577)</f>
        <v>0</v>
      </c>
      <c r="H575" s="1194">
        <f>IF(SETUP!$F$40="Upfront",H576,H577)</f>
        <v>0</v>
      </c>
      <c r="I575" s="1194">
        <f>IF(SETUP!$F$40="Upfront",I576,I577)</f>
        <v>0</v>
      </c>
      <c r="J575" s="1194">
        <f t="shared" si="80"/>
        <v>0</v>
      </c>
      <c r="K575" s="1328">
        <f>IF(SETUP!$F$40="Upfront",K576,K577)</f>
        <v>0</v>
      </c>
      <c r="L575" s="1194">
        <f>IF(SETUP!$F$40="Upfront",L576,L577)</f>
        <v>0</v>
      </c>
      <c r="M575" s="1194">
        <f>IF(SETUP!$F$40="Upfront",M576,M577)</f>
        <v>0</v>
      </c>
      <c r="N575" s="1194">
        <f>IF(SETUP!$F$40="Upfront",N576,N577)</f>
        <v>0</v>
      </c>
      <c r="O575" s="1194">
        <f t="shared" si="81"/>
        <v>0</v>
      </c>
      <c r="P575" s="1328">
        <f>IF(SETUP!$F$40="Upfront",P576,P577)</f>
        <v>0</v>
      </c>
      <c r="Q575" s="1194">
        <f>IF(SETUP!$F$40="Upfront",Q576,Q577)</f>
        <v>0</v>
      </c>
      <c r="R575" s="1194">
        <f>IF(SETUP!$F$40="Upfront",R576,R577)</f>
        <v>0</v>
      </c>
      <c r="S575" s="1194">
        <f>IF(SETUP!$F$40="Upfront",S576,S577)</f>
        <v>0</v>
      </c>
      <c r="T575" s="1194">
        <f t="shared" si="82"/>
        <v>0</v>
      </c>
      <c r="U575" s="1328">
        <f t="shared" si="83"/>
        <v>0</v>
      </c>
      <c r="V575" s="1826">
        <v>7.5</v>
      </c>
      <c r="W575" s="1837"/>
      <c r="X575" s="764"/>
      <c r="Y575" s="1836"/>
      <c r="Z575" s="850"/>
      <c r="AA575" s="880"/>
      <c r="AB575" s="880"/>
      <c r="AC575" s="880"/>
      <c r="AD575" s="880"/>
      <c r="AE575" s="880"/>
      <c r="AF575" s="880"/>
      <c r="AG575" s="880"/>
      <c r="AH575" s="881"/>
      <c r="AI575" s="880"/>
      <c r="AJ575" s="880"/>
      <c r="AK575" s="880"/>
      <c r="AL575" s="880"/>
      <c r="AM575" s="880"/>
      <c r="AN575" s="880"/>
      <c r="AO575" s="880"/>
      <c r="AP575" s="880"/>
      <c r="AQ575" s="880"/>
      <c r="AR575" s="880"/>
      <c r="AS575" s="880"/>
      <c r="AT575" s="880"/>
      <c r="AU575" s="880"/>
      <c r="AV575" s="880"/>
      <c r="AW575" s="880"/>
      <c r="AX575" s="880"/>
      <c r="AY575" s="880"/>
      <c r="AZ575" s="880"/>
      <c r="BA575" s="880"/>
      <c r="BB575" s="880"/>
      <c r="BC575" s="880"/>
      <c r="BD575" s="880"/>
      <c r="BE575" s="880"/>
      <c r="BF575" s="880"/>
      <c r="BG575" s="880"/>
      <c r="BH575" s="880"/>
      <c r="BI575" s="880"/>
      <c r="BJ575" s="880"/>
      <c r="BK575" s="880"/>
      <c r="BL575" s="880"/>
      <c r="BM575" s="880"/>
      <c r="BN575" s="880"/>
      <c r="BO575" s="880"/>
      <c r="BP575" s="880"/>
      <c r="BQ575" s="880"/>
      <c r="BR575" s="880"/>
      <c r="BS575" s="880"/>
      <c r="BT575" s="880"/>
    </row>
    <row r="576" spans="1:72" s="882" customFormat="1" ht="12.75" hidden="1" customHeight="1" outlineLevel="1">
      <c r="A576" s="2905"/>
      <c r="B576" s="2906"/>
      <c r="C576" s="2889" t="s">
        <v>918</v>
      </c>
      <c r="D576" s="2890"/>
      <c r="E576" s="1896"/>
      <c r="F576" s="1328">
        <f>IF(SETUP!$F$40="Upfront",$E$575*'TB-EQUIPMENT &amp; OTHER HPs'!AW14,0)</f>
        <v>0</v>
      </c>
      <c r="G576" s="1194">
        <f>IF(SETUP!$F$40="Upfront",$E$575*'TB-EQUIPMENT &amp; OTHER HPs'!AX14,0)</f>
        <v>0</v>
      </c>
      <c r="H576" s="1194">
        <f>IF(SETUP!$F$40="Upfront",$E$575*'TB-EQUIPMENT &amp; OTHER HPs'!AY14,0)</f>
        <v>0</v>
      </c>
      <c r="I576" s="1194">
        <f>IF(SETUP!$F$40="Upfront",$E$575*'TB-EQUIPMENT &amp; OTHER HPs'!AZ14,0)</f>
        <v>0</v>
      </c>
      <c r="J576" s="1194">
        <f t="shared" si="80"/>
        <v>0</v>
      </c>
      <c r="K576" s="1328">
        <f>IF(SETUP!$F$40="Upfront",$E$575*'TB-EQUIPMENT &amp; OTHER HPs'!BA14,0)</f>
        <v>0</v>
      </c>
      <c r="L576" s="1194">
        <f>IF(SETUP!$F$40="Upfront",$E$575*'TB-EQUIPMENT &amp; OTHER HPs'!BB14,0)</f>
        <v>0</v>
      </c>
      <c r="M576" s="1194">
        <f>IF(SETUP!$F$40="Upfront",$E$575*'TB-EQUIPMENT &amp; OTHER HPs'!BC14,0)</f>
        <v>0</v>
      </c>
      <c r="N576" s="1194">
        <f>IF(SETUP!$F$40="Upfront",$E$575*'TB-EQUIPMENT &amp; OTHER HPs'!BD14,0)</f>
        <v>0</v>
      </c>
      <c r="O576" s="1194">
        <f t="shared" si="81"/>
        <v>0</v>
      </c>
      <c r="P576" s="1328">
        <f>IF(SETUP!$F$40="Upfront",$E$575*'TB-EQUIPMENT &amp; OTHER HPs'!BE14,0)</f>
        <v>0</v>
      </c>
      <c r="Q576" s="1194">
        <f>IF(SETUP!$F$40="Upfront",$E$575*'TB-EQUIPMENT &amp; OTHER HPs'!BF14,0)</f>
        <v>0</v>
      </c>
      <c r="R576" s="1194">
        <f>IF(SETUP!$F$40="Upfront",$E$575*'TB-EQUIPMENT &amp; OTHER HPs'!BG14,0)</f>
        <v>0</v>
      </c>
      <c r="S576" s="1194">
        <f>IF(SETUP!$F$40="Upfront",$E$575*'TB-EQUIPMENT &amp; OTHER HPs'!BH14,0)</f>
        <v>0</v>
      </c>
      <c r="T576" s="1194">
        <f t="shared" si="82"/>
        <v>0</v>
      </c>
      <c r="U576" s="1328">
        <f t="shared" si="83"/>
        <v>0</v>
      </c>
      <c r="V576" s="1826">
        <v>7.5</v>
      </c>
      <c r="W576" s="1837"/>
      <c r="X576" s="764"/>
      <c r="Y576" s="1836"/>
      <c r="Z576" s="850"/>
      <c r="AA576" s="880"/>
      <c r="AB576" s="880"/>
      <c r="AC576" s="880"/>
      <c r="AD576" s="880"/>
      <c r="AE576" s="880"/>
      <c r="AF576" s="880"/>
      <c r="AG576" s="880"/>
      <c r="AH576" s="881"/>
      <c r="AI576" s="880"/>
      <c r="AJ576" s="880"/>
      <c r="AK576" s="880"/>
      <c r="AL576" s="880"/>
      <c r="AM576" s="880"/>
      <c r="AN576" s="880"/>
      <c r="AO576" s="880"/>
      <c r="AP576" s="880"/>
      <c r="AQ576" s="880"/>
      <c r="AR576" s="880"/>
      <c r="AS576" s="880"/>
      <c r="AT576" s="880"/>
      <c r="AU576" s="880"/>
      <c r="AV576" s="880"/>
      <c r="AW576" s="880"/>
      <c r="AX576" s="880"/>
      <c r="AY576" s="880"/>
      <c r="AZ576" s="880"/>
      <c r="BA576" s="880"/>
      <c r="BB576" s="880"/>
      <c r="BC576" s="880"/>
      <c r="BD576" s="880"/>
      <c r="BE576" s="880"/>
      <c r="BF576" s="880"/>
      <c r="BG576" s="880"/>
      <c r="BH576" s="880"/>
      <c r="BI576" s="880"/>
      <c r="BJ576" s="880"/>
      <c r="BK576" s="880"/>
      <c r="BL576" s="880"/>
      <c r="BM576" s="880"/>
      <c r="BN576" s="880"/>
      <c r="BO576" s="880"/>
      <c r="BP576" s="880"/>
      <c r="BQ576" s="880"/>
      <c r="BR576" s="880"/>
      <c r="BS576" s="880"/>
      <c r="BT576" s="880"/>
    </row>
    <row r="577" spans="1:72" s="882" customFormat="1" ht="12.75" hidden="1" customHeight="1" outlineLevel="1">
      <c r="A577" s="2905"/>
      <c r="B577" s="2906"/>
      <c r="C577" s="2889" t="s">
        <v>36</v>
      </c>
      <c r="D577" s="2890"/>
      <c r="E577" s="1896"/>
      <c r="F577" s="1328">
        <v>0</v>
      </c>
      <c r="G577" s="1194">
        <f>IF(SETUP!$F$40="At delivery",IF(SETUP!$G$40=1,$E$575*'TB-EQUIPMENT &amp; OTHER HPs'!AW14,0),0)</f>
        <v>0</v>
      </c>
      <c r="H577" s="1194">
        <f>IF(SETUP!$F$40="At delivery",IF(SETUP!$G$40=2,$E$575*'TB-EQUIPMENT &amp; OTHER HPs'!AW14,IF(SETUP!$G$40=1,$E$575*'TB-EQUIPMENT &amp; OTHER HPs'!AX14,0)),0)</f>
        <v>0</v>
      </c>
      <c r="I577" s="1194">
        <f>IF(SETUP!$F$40="At delivery",IF(SETUP!$G$40=3,$E$575*'TB-EQUIPMENT &amp; OTHER HPs'!AW14,IF(SETUP!$G$40=2,$E$575*'TB-EQUIPMENT &amp; OTHER HPs'!AX14,IF(SETUP!$G$40=1,$E$575*'TB-EQUIPMENT &amp; OTHER HPs'!AY14,0))),0)</f>
        <v>0</v>
      </c>
      <c r="J577" s="1194">
        <f t="shared" si="80"/>
        <v>0</v>
      </c>
      <c r="K577" s="1328">
        <f>IF(SETUP!$F$40="At delivery",IF(SETUP!$G$40=4,$E$575*'TB-EQUIPMENT &amp; OTHER HPs'!AW14,IF(SETUP!$G$40=3,$E$575*'TB-EQUIPMENT &amp; OTHER HPs'!AX14,IF(SETUP!$G$40=2,$E$575*'TB-EQUIPMENT &amp; OTHER HPs'!AY14,IF(SETUP!$G$40=1,$E$575*'TB-EQUIPMENT &amp; OTHER HPs'!AZ14,0)))),0)</f>
        <v>0</v>
      </c>
      <c r="L577" s="1194">
        <f>IF(SETUP!$F$40="At delivery",IF(SETUP!$G$40=4,$E$575*'TB-EQUIPMENT &amp; OTHER HPs'!AX14,IF(SETUP!$G$40=3,$E$575*'TB-EQUIPMENT &amp; OTHER HPs'!AY14,IF(SETUP!$G$40=2,$E$575*'TB-EQUIPMENT &amp; OTHER HPs'!AZ14,IF(SETUP!$G$40=1,$E$575*'TB-EQUIPMENT &amp; OTHER HPs'!BA14,0)))),0)</f>
        <v>0</v>
      </c>
      <c r="M577" s="1194">
        <f>IF(SETUP!$F$40="At delivery",IF(SETUP!$G$40=4,$E$575*'TB-EQUIPMENT &amp; OTHER HPs'!AY14,IF(SETUP!$G$40=3,$E$575*'TB-EQUIPMENT &amp; OTHER HPs'!AZ14,IF(SETUP!$G$40=2,$E$575*'TB-EQUIPMENT &amp; OTHER HPs'!BA14,IF(SETUP!$G$40=1,$E$575*'TB-EQUIPMENT &amp; OTHER HPs'!BB14,0)))),0)</f>
        <v>0</v>
      </c>
      <c r="N577" s="1194">
        <f>IF(SETUP!$F$40="At delivery",IF(SETUP!$G$40=4,$E$575*'TB-EQUIPMENT &amp; OTHER HPs'!AZ14,IF(SETUP!$G$40=3,$E$575*'TB-EQUIPMENT &amp; OTHER HPs'!BA14,IF(SETUP!$G$40=2,$E$575*'TB-EQUIPMENT &amp; OTHER HPs'!BB14,IF(SETUP!$G$40=1,$E$575*'TB-EQUIPMENT &amp; OTHER HPs'!BC14,0)))),0)</f>
        <v>0</v>
      </c>
      <c r="O577" s="1194">
        <f t="shared" si="81"/>
        <v>0</v>
      </c>
      <c r="P577" s="1328">
        <f>IF(SETUP!$F$40="At delivery",IF(SETUP!$G$40=4,$E$575*'TB-EQUIPMENT &amp; OTHER HPs'!BA14,IF(SETUP!$G$40=3,$E$575*'TB-EQUIPMENT &amp; OTHER HPs'!BB14,IF(SETUP!$G$40=2,$E$575*'TB-EQUIPMENT &amp; OTHER HPs'!BC14,IF(SETUP!$G$40=1,$E$575*'TB-EQUIPMENT &amp; OTHER HPs'!BD14,0)))),0)</f>
        <v>0</v>
      </c>
      <c r="Q577" s="1194">
        <f>IF(SETUP!$F$40="At delivery",IF(SETUP!$G$40=4,$E$575*'TB-EQUIPMENT &amp; OTHER HPs'!BB14,IF(SETUP!$G$40=3,$E$575*'TB-EQUIPMENT &amp; OTHER HPs'!BC14,IF(SETUP!$G$40=2,$E$575*'TB-EQUIPMENT &amp; OTHER HPs'!BD14,IF(SETUP!$G$40=1,$E$575*'TB-EQUIPMENT &amp; OTHER HPs'!BE14,0)))),0)</f>
        <v>0</v>
      </c>
      <c r="R577" s="1194">
        <f>IF(SETUP!$F$40="At delivery",IF(SETUP!$G$40=4,$E$575*'TB-EQUIPMENT &amp; OTHER HPs'!BC14,IF(SETUP!$G$40=3,$E$575*'TB-EQUIPMENT &amp; OTHER HPs'!BD14,IF(SETUP!$G$40=2,$E$575*'TB-EQUIPMENT &amp; OTHER HPs'!BE14,IF(SETUP!$G$40=1,$E$575*'TB-EQUIPMENT &amp; OTHER HPs'!BF14,0)))),0)</f>
        <v>0</v>
      </c>
      <c r="S577" s="1194">
        <f>IF(SETUP!$F$40="At delivery",IF(SETUP!$G$40=4,$E$575*('TB-EQUIPMENT &amp; OTHER HPs'!BD14+'TB-EQUIPMENT &amp; OTHER HPs'!BE14+'TB-EQUIPMENT &amp; OTHER HPs'!BF14+'TB-EQUIPMENT &amp; OTHER HPs'!BG14+'TB-EQUIPMENT &amp; OTHER HPs'!BH14),IF(SETUP!$G$40=3,$E$575*('TB-EQUIPMENT &amp; OTHER HPs'!BE14+'TB-EQUIPMENT &amp; OTHER HPs'!BF14+'TB-EQUIPMENT &amp; OTHER HPs'!BG14+'TB-EQUIPMENT &amp; OTHER HPs'!BH14),IF(SETUP!$G$40=2,$E$575*('TB-EQUIPMENT &amp; OTHER HPs'!BF14+'TB-EQUIPMENT &amp; OTHER HPs'!BG14+'TB-EQUIPMENT &amp; OTHER HPs'!BH14),IF(SETUP!$G$40=1,$E$575*('TB-EQUIPMENT &amp; OTHER HPs'!BG14+'TB-EQUIPMENT &amp; OTHER HPs'!BH14),0)))),0)</f>
        <v>0</v>
      </c>
      <c r="T577" s="1194">
        <f t="shared" si="82"/>
        <v>0</v>
      </c>
      <c r="U577" s="1328">
        <f t="shared" si="83"/>
        <v>0</v>
      </c>
      <c r="V577" s="1826">
        <v>7.5</v>
      </c>
      <c r="W577" s="1837"/>
      <c r="X577" s="764"/>
      <c r="Y577" s="1836"/>
      <c r="Z577" s="850"/>
      <c r="AA577" s="880"/>
      <c r="AB577" s="880"/>
      <c r="AC577" s="880"/>
      <c r="AD577" s="880"/>
      <c r="AE577" s="880"/>
      <c r="AF577" s="880"/>
      <c r="AG577" s="880"/>
      <c r="AH577" s="881"/>
      <c r="AI577" s="880"/>
      <c r="AJ577" s="880"/>
      <c r="AK577" s="880"/>
      <c r="AL577" s="880"/>
      <c r="AM577" s="880"/>
      <c r="AN577" s="880"/>
      <c r="AO577" s="880"/>
      <c r="AP577" s="880"/>
      <c r="AQ577" s="880"/>
      <c r="AR577" s="880"/>
      <c r="AS577" s="880"/>
      <c r="AT577" s="880"/>
      <c r="AU577" s="880"/>
      <c r="AV577" s="880"/>
      <c r="AW577" s="880"/>
      <c r="AX577" s="880"/>
      <c r="AY577" s="880"/>
      <c r="AZ577" s="880"/>
      <c r="BA577" s="880"/>
      <c r="BB577" s="880"/>
      <c r="BC577" s="880"/>
      <c r="BD577" s="880"/>
      <c r="BE577" s="880"/>
      <c r="BF577" s="880"/>
      <c r="BG577" s="880"/>
      <c r="BH577" s="880"/>
      <c r="BI577" s="880"/>
      <c r="BJ577" s="880"/>
      <c r="BK577" s="880"/>
      <c r="BL577" s="880"/>
      <c r="BM577" s="880"/>
      <c r="BN577" s="880"/>
      <c r="BO577" s="880"/>
      <c r="BP577" s="880"/>
      <c r="BQ577" s="880"/>
      <c r="BR577" s="880"/>
      <c r="BS577" s="880"/>
      <c r="BT577" s="880"/>
    </row>
    <row r="578" spans="1:72" s="882" customFormat="1" ht="13.5" hidden="1" collapsed="1" thickBot="1">
      <c r="A578" s="2905"/>
      <c r="B578" s="2906"/>
      <c r="C578" s="2907" t="s">
        <v>1748</v>
      </c>
      <c r="D578" s="2908"/>
      <c r="E578" s="1894">
        <v>1E-4</v>
      </c>
      <c r="F578" s="1328">
        <f>IF(SETUP!$F$41="Upfront",F579,F580)</f>
        <v>0</v>
      </c>
      <c r="G578" s="1194">
        <f>IF(SETUP!$F$41="Upfront",G579,G580)</f>
        <v>0</v>
      </c>
      <c r="H578" s="1194">
        <f>IF(SETUP!$F$41="Upfront",H579,H580)</f>
        <v>0</v>
      </c>
      <c r="I578" s="1194">
        <f>IF(SETUP!$F$41="Upfront",I579,I580)</f>
        <v>0</v>
      </c>
      <c r="J578" s="1194">
        <f t="shared" si="80"/>
        <v>0</v>
      </c>
      <c r="K578" s="1328">
        <f>IF(SETUP!$F$41="Upfront",K579,K580)</f>
        <v>0</v>
      </c>
      <c r="L578" s="1194">
        <f>IF(SETUP!$F$41="Upfront",L579,L580)</f>
        <v>0</v>
      </c>
      <c r="M578" s="1194">
        <f>IF(SETUP!$F$41="Upfront",M579,M580)</f>
        <v>0</v>
      </c>
      <c r="N578" s="1194">
        <f>IF(SETUP!$F$41="Upfront",N579,N580)</f>
        <v>0</v>
      </c>
      <c r="O578" s="1194">
        <f t="shared" si="81"/>
        <v>0</v>
      </c>
      <c r="P578" s="1328">
        <f>IF(SETUP!$F$41="Upfront",P579,P580)</f>
        <v>0</v>
      </c>
      <c r="Q578" s="1194">
        <f>IF(SETUP!$F$41="Upfront",Q579,Q580)</f>
        <v>0</v>
      </c>
      <c r="R578" s="1194">
        <f>IF(SETUP!$F$41="Upfront",R579,R580)</f>
        <v>0</v>
      </c>
      <c r="S578" s="1194">
        <f>IF(SETUP!$F$41="Upfront",S579,S580)</f>
        <v>0</v>
      </c>
      <c r="T578" s="1194">
        <f t="shared" si="82"/>
        <v>0</v>
      </c>
      <c r="U578" s="1328">
        <f t="shared" si="83"/>
        <v>0</v>
      </c>
      <c r="V578" s="1826">
        <v>7.5</v>
      </c>
      <c r="W578" s="1837"/>
      <c r="X578" s="764"/>
      <c r="Y578" s="1836"/>
      <c r="Z578" s="850"/>
      <c r="AA578" s="880"/>
      <c r="AB578" s="880"/>
      <c r="AC578" s="880"/>
      <c r="AD578" s="880"/>
      <c r="AE578" s="880"/>
      <c r="AF578" s="880"/>
      <c r="AG578" s="880"/>
      <c r="AH578" s="881"/>
      <c r="AI578" s="880"/>
      <c r="AJ578" s="880"/>
      <c r="AK578" s="880"/>
      <c r="AL578" s="880"/>
      <c r="AM578" s="880"/>
      <c r="AN578" s="880"/>
      <c r="AO578" s="880"/>
      <c r="AP578" s="880"/>
      <c r="AQ578" s="880"/>
      <c r="AR578" s="880"/>
      <c r="AS578" s="880"/>
      <c r="AT578" s="880"/>
      <c r="AU578" s="880"/>
      <c r="AV578" s="880"/>
      <c r="AW578" s="880"/>
      <c r="AX578" s="880"/>
      <c r="AY578" s="880"/>
      <c r="AZ578" s="880"/>
      <c r="BA578" s="880"/>
      <c r="BB578" s="880"/>
      <c r="BC578" s="880"/>
      <c r="BD578" s="880"/>
      <c r="BE578" s="880"/>
      <c r="BF578" s="880"/>
      <c r="BG578" s="880"/>
      <c r="BH578" s="880"/>
      <c r="BI578" s="880"/>
      <c r="BJ578" s="880"/>
      <c r="BK578" s="880"/>
      <c r="BL578" s="880"/>
      <c r="BM578" s="880"/>
      <c r="BN578" s="880"/>
      <c r="BO578" s="880"/>
      <c r="BP578" s="880"/>
      <c r="BQ578" s="880"/>
      <c r="BR578" s="880"/>
      <c r="BS578" s="880"/>
      <c r="BT578" s="880"/>
    </row>
    <row r="579" spans="1:72" s="882" customFormat="1" ht="12.75" hidden="1" customHeight="1" outlineLevel="1">
      <c r="A579" s="2905"/>
      <c r="B579" s="2906"/>
      <c r="C579" s="2889" t="s">
        <v>918</v>
      </c>
      <c r="D579" s="2890"/>
      <c r="E579" s="1896"/>
      <c r="F579" s="1328">
        <f>IF(SETUP!$F$40="Upfront",$E$578*'TB-EQUIPMENT &amp; OTHER HPs'!AW15,0)</f>
        <v>0</v>
      </c>
      <c r="G579" s="1194">
        <f>IF(SETUP!$F$40="Upfront",$E$578*'TB-EQUIPMENT &amp; OTHER HPs'!AX15,0)</f>
        <v>0</v>
      </c>
      <c r="H579" s="1194">
        <f>IF(SETUP!$F$40="Upfront",$E$578*'TB-EQUIPMENT &amp; OTHER HPs'!AY15,0)</f>
        <v>0</v>
      </c>
      <c r="I579" s="1194">
        <f>IF(SETUP!$F$40="Upfront",$E$578*'TB-EQUIPMENT &amp; OTHER HPs'!AZ15,0)</f>
        <v>0</v>
      </c>
      <c r="J579" s="1194">
        <f t="shared" si="80"/>
        <v>0</v>
      </c>
      <c r="K579" s="1328">
        <f>IF(SETUP!$F$40="Upfront",$E$578*'TB-EQUIPMENT &amp; OTHER HPs'!BA15,0)</f>
        <v>0</v>
      </c>
      <c r="L579" s="1194">
        <f>IF(SETUP!$F$40="Upfront",$E$578*'TB-EQUIPMENT &amp; OTHER HPs'!BB15,0)</f>
        <v>0</v>
      </c>
      <c r="M579" s="1194">
        <f>IF(SETUP!$F$40="Upfront",$E$578*'TB-EQUIPMENT &amp; OTHER HPs'!BC15,0)</f>
        <v>0</v>
      </c>
      <c r="N579" s="1194">
        <f>IF(SETUP!$F$40="Upfront",$E$578*'TB-EQUIPMENT &amp; OTHER HPs'!BD15,0)</f>
        <v>0</v>
      </c>
      <c r="O579" s="1194">
        <f t="shared" si="81"/>
        <v>0</v>
      </c>
      <c r="P579" s="1328">
        <f>IF(SETUP!$F$40="Upfront",$E$578*'TB-EQUIPMENT &amp; OTHER HPs'!BE15,0)</f>
        <v>0</v>
      </c>
      <c r="Q579" s="1194">
        <f>IF(SETUP!$F$40="Upfront",$E$578*'TB-EQUIPMENT &amp; OTHER HPs'!BF15,0)</f>
        <v>0</v>
      </c>
      <c r="R579" s="1194">
        <f>IF(SETUP!$F$40="Upfront",$E$578*'TB-EQUIPMENT &amp; OTHER HPs'!BG15,0)</f>
        <v>0</v>
      </c>
      <c r="S579" s="1194">
        <f>IF(SETUP!$F$40="Upfront",$E$578*'TB-EQUIPMENT &amp; OTHER HPs'!BH15,0)</f>
        <v>0</v>
      </c>
      <c r="T579" s="1194">
        <f t="shared" si="82"/>
        <v>0</v>
      </c>
      <c r="U579" s="1328">
        <f t="shared" si="83"/>
        <v>0</v>
      </c>
      <c r="V579" s="1826">
        <v>7.5</v>
      </c>
      <c r="W579" s="1837"/>
      <c r="X579" s="764"/>
      <c r="Y579" s="1836"/>
      <c r="Z579" s="850"/>
      <c r="AA579" s="880"/>
      <c r="AB579" s="880"/>
      <c r="AC579" s="880"/>
      <c r="AD579" s="880"/>
      <c r="AE579" s="880"/>
      <c r="AF579" s="880"/>
      <c r="AG579" s="880"/>
      <c r="AH579" s="881"/>
      <c r="AI579" s="880"/>
      <c r="AJ579" s="880"/>
      <c r="AK579" s="880"/>
      <c r="AL579" s="880"/>
      <c r="AM579" s="880"/>
      <c r="AN579" s="880"/>
      <c r="AO579" s="880"/>
      <c r="AP579" s="880"/>
      <c r="AQ579" s="880"/>
      <c r="AR579" s="880"/>
      <c r="AS579" s="880"/>
      <c r="AT579" s="880"/>
      <c r="AU579" s="880"/>
      <c r="AV579" s="880"/>
      <c r="AW579" s="880"/>
      <c r="AX579" s="880"/>
      <c r="AY579" s="880"/>
      <c r="AZ579" s="880"/>
      <c r="BA579" s="880"/>
      <c r="BB579" s="880"/>
      <c r="BC579" s="880"/>
      <c r="BD579" s="880"/>
      <c r="BE579" s="880"/>
      <c r="BF579" s="880"/>
      <c r="BG579" s="880"/>
      <c r="BH579" s="880"/>
      <c r="BI579" s="880"/>
      <c r="BJ579" s="880"/>
      <c r="BK579" s="880"/>
      <c r="BL579" s="880"/>
      <c r="BM579" s="880"/>
      <c r="BN579" s="880"/>
      <c r="BO579" s="880"/>
      <c r="BP579" s="880"/>
      <c r="BQ579" s="880"/>
      <c r="BR579" s="880"/>
      <c r="BS579" s="880"/>
      <c r="BT579" s="880"/>
    </row>
    <row r="580" spans="1:72" s="882" customFormat="1" ht="12.75" hidden="1" customHeight="1" outlineLevel="1">
      <c r="A580" s="2905"/>
      <c r="B580" s="2906"/>
      <c r="C580" s="2889" t="s">
        <v>36</v>
      </c>
      <c r="D580" s="2890"/>
      <c r="E580" s="1896"/>
      <c r="F580" s="1328">
        <v>0</v>
      </c>
      <c r="G580" s="1194">
        <f>IF(SETUP!$F$41="At delivery",IF(SETUP!$G$41=1,$E$578*'TB-EQUIPMENT &amp; OTHER HPs'!AW15,0),0)</f>
        <v>0</v>
      </c>
      <c r="H580" s="1194">
        <f>IF(SETUP!$F$41="At delivery",IF(SETUP!$G$41=2,$E$578*'TB-EQUIPMENT &amp; OTHER HPs'!AW15,IF(SETUP!$G$41=1,$E$578*'TB-EQUIPMENT &amp; OTHER HPs'!AX15,0)),0)</f>
        <v>0</v>
      </c>
      <c r="I580" s="1194">
        <f>IF(SETUP!$F$41="At delivery",IF(SETUP!$G$41=3,$E$578*'TB-EQUIPMENT &amp; OTHER HPs'!AW15,IF(SETUP!$G$41=2,$E$578*'TB-EQUIPMENT &amp; OTHER HPs'!AX15,IF(SETUP!$G$41=1,$E$578*'TB-EQUIPMENT &amp; OTHER HPs'!AY15,0))),0)</f>
        <v>0</v>
      </c>
      <c r="J580" s="1194">
        <f t="shared" si="80"/>
        <v>0</v>
      </c>
      <c r="K580" s="1328">
        <f>IF(SETUP!$F$41="At delivery",IF(SETUP!$G$41=4,$E$578*'TB-EQUIPMENT &amp; OTHER HPs'!AW15,IF(SETUP!$G$41=3,$E$578*'TB-EQUIPMENT &amp; OTHER HPs'!AX15,IF(SETUP!$G$41=2,$E$578*'TB-EQUIPMENT &amp; OTHER HPs'!AY15,IF(SETUP!$G$41=1,$E$578*'TB-EQUIPMENT &amp; OTHER HPs'!AZ15,0)))),0)</f>
        <v>0</v>
      </c>
      <c r="L580" s="1194">
        <f>IF(SETUP!$F$41="At delivery",IF(SETUP!$G$41=4,$E$578*'TB-EQUIPMENT &amp; OTHER HPs'!AX15,IF(SETUP!$G$41=3,$E$578*'TB-EQUIPMENT &amp; OTHER HPs'!AY15,IF(SETUP!$G$41=2,$E$578*'TB-EQUIPMENT &amp; OTHER HPs'!AZ15,IF(SETUP!$G$41=1,$E$578*'TB-EQUIPMENT &amp; OTHER HPs'!BA15,0)))),0)</f>
        <v>0</v>
      </c>
      <c r="M580" s="1194">
        <f>IF(SETUP!$F$41="At delivery",IF(SETUP!$G$41=4,$E$578*'TB-EQUIPMENT &amp; OTHER HPs'!AY15,IF(SETUP!$G$41=3,$E$578*'TB-EQUIPMENT &amp; OTHER HPs'!AZ15,IF(SETUP!$G$41=2,$E$578*'TB-EQUIPMENT &amp; OTHER HPs'!BA15,IF(SETUP!$G$41=1,$E$578*'TB-EQUIPMENT &amp; OTHER HPs'!BB15,0)))),0)</f>
        <v>0</v>
      </c>
      <c r="N580" s="1194">
        <f>IF(SETUP!$F$41="At delivery",IF(SETUP!$G$41=4,$E$578*'TB-EQUIPMENT &amp; OTHER HPs'!AZ15,IF(SETUP!$G$41=3,$E$578*'TB-EQUIPMENT &amp; OTHER HPs'!BA15,IF(SETUP!$G$41=2,$E$578*'TB-EQUIPMENT &amp; OTHER HPs'!BB15,IF(SETUP!$G$41=1,$E$578*'TB-EQUIPMENT &amp; OTHER HPs'!BC15,0)))),0)</f>
        <v>0</v>
      </c>
      <c r="O580" s="1194">
        <f t="shared" si="81"/>
        <v>0</v>
      </c>
      <c r="P580" s="1328">
        <f>IF(SETUP!$F$41="At delivery",IF(SETUP!$G$41=4,$E$578*'TB-EQUIPMENT &amp; OTHER HPs'!BA15,IF(SETUP!$G$41=3,$E$578*'TB-EQUIPMENT &amp; OTHER HPs'!BB15,IF(SETUP!$G$41=2,$E$578*'TB-EQUIPMENT &amp; OTHER HPs'!BC15,IF(SETUP!$G$41=1,$E$578*'TB-EQUIPMENT &amp; OTHER HPs'!BD15,0)))),0)</f>
        <v>0</v>
      </c>
      <c r="Q580" s="1194">
        <f>IF(SETUP!$F$41="At delivery",IF(SETUP!$G$41=4,$E$578*'TB-EQUIPMENT &amp; OTHER HPs'!BB15,IF(SETUP!$G$41=3,$E$578*'TB-EQUIPMENT &amp; OTHER HPs'!BC15,IF(SETUP!$G$41=2,$E$578*'TB-EQUIPMENT &amp; OTHER HPs'!BD15,IF(SETUP!$G$41=1,$E$578*'TB-EQUIPMENT &amp; OTHER HPs'!BE15,0)))),0)</f>
        <v>0</v>
      </c>
      <c r="R580" s="1194">
        <f>IF(SETUP!$F$41="At delivery",IF(SETUP!$G$41=4,$E$578*'TB-EQUIPMENT &amp; OTHER HPs'!BC15,IF(SETUP!$G$41=3,$E$578*'TB-EQUIPMENT &amp; OTHER HPs'!BD15,IF(SETUP!$G$41=2,$E$578*'TB-EQUIPMENT &amp; OTHER HPs'!BE15,IF(SETUP!$G$41=1,$E$578*'TB-EQUIPMENT &amp; OTHER HPs'!BF15,0)))),0)</f>
        <v>0</v>
      </c>
      <c r="S580" s="1194">
        <f>IF(SETUP!$F$41="At delivery",IF(SETUP!$G$41=4,$E$578*('TB-EQUIPMENT &amp; OTHER HPs'!BD15+'TB-EQUIPMENT &amp; OTHER HPs'!BE15+'TB-EQUIPMENT &amp; OTHER HPs'!BF15+'TB-EQUIPMENT &amp; OTHER HPs'!BG15+'TB-EQUIPMENT &amp; OTHER HPs'!BH15),IF(SETUP!$G$41=3,$E$578*('TB-EQUIPMENT &amp; OTHER HPs'!BE15+'TB-EQUIPMENT &amp; OTHER HPs'!BF15+'TB-EQUIPMENT &amp; OTHER HPs'!BG15+'TB-EQUIPMENT &amp; OTHER HPs'!BH15),IF(SETUP!$G$41=2,$E$578*('TB-EQUIPMENT &amp; OTHER HPs'!BF15+'TB-EQUIPMENT &amp; OTHER HPs'!BG15+'TB-EQUIPMENT &amp; OTHER HPs'!BH15),IF(SETUP!$G$41=1,$E$578*('TB-EQUIPMENT &amp; OTHER HPs'!BG15+'TB-EQUIPMENT &amp; OTHER HPs'!BH15),0)))),0)</f>
        <v>0</v>
      </c>
      <c r="T580" s="1194">
        <f t="shared" si="82"/>
        <v>0</v>
      </c>
      <c r="U580" s="1328">
        <f t="shared" si="83"/>
        <v>0</v>
      </c>
      <c r="V580" s="1826">
        <v>7.5</v>
      </c>
      <c r="W580" s="1837"/>
      <c r="X580" s="764"/>
      <c r="Y580" s="1836"/>
      <c r="Z580" s="850"/>
      <c r="AA580" s="880"/>
      <c r="AB580" s="880"/>
      <c r="AC580" s="880"/>
      <c r="AD580" s="880"/>
      <c r="AE580" s="880"/>
      <c r="AF580" s="880"/>
      <c r="AG580" s="880"/>
      <c r="AH580" s="881"/>
      <c r="AI580" s="880"/>
      <c r="AJ580" s="880"/>
      <c r="AK580" s="880"/>
      <c r="AL580" s="880"/>
      <c r="AM580" s="880"/>
      <c r="AN580" s="880"/>
      <c r="AO580" s="880"/>
      <c r="AP580" s="880"/>
      <c r="AQ580" s="880"/>
      <c r="AR580" s="880"/>
      <c r="AS580" s="880"/>
      <c r="AT580" s="880"/>
      <c r="AU580" s="880"/>
      <c r="AV580" s="880"/>
      <c r="AW580" s="880"/>
      <c r="AX580" s="880"/>
      <c r="AY580" s="880"/>
      <c r="AZ580" s="880"/>
      <c r="BA580" s="880"/>
      <c r="BB580" s="880"/>
      <c r="BC580" s="880"/>
      <c r="BD580" s="880"/>
      <c r="BE580" s="880"/>
      <c r="BF580" s="880"/>
      <c r="BG580" s="880"/>
      <c r="BH580" s="880"/>
      <c r="BI580" s="880"/>
      <c r="BJ580" s="880"/>
      <c r="BK580" s="880"/>
      <c r="BL580" s="880"/>
      <c r="BM580" s="880"/>
      <c r="BN580" s="880"/>
      <c r="BO580" s="880"/>
      <c r="BP580" s="880"/>
      <c r="BQ580" s="880"/>
      <c r="BR580" s="880"/>
      <c r="BS580" s="880"/>
      <c r="BT580" s="880"/>
    </row>
    <row r="581" spans="1:72" s="882" customFormat="1" ht="13.5" hidden="1" collapsed="1" thickBot="1">
      <c r="A581" s="2905"/>
      <c r="B581" s="2906"/>
      <c r="C581" s="2907" t="s">
        <v>1754</v>
      </c>
      <c r="D581" s="2908"/>
      <c r="E581" s="1894">
        <v>1E-4</v>
      </c>
      <c r="F581" s="1328">
        <f>IF(SETUP!$F$43="Upfront",F582,F583)</f>
        <v>0</v>
      </c>
      <c r="G581" s="1194">
        <f>IF(SETUP!$F$43="Upfront",G582,G583)</f>
        <v>0</v>
      </c>
      <c r="H581" s="1194">
        <f>IF(SETUP!$F$43="Upfront",H582,H583)</f>
        <v>0</v>
      </c>
      <c r="I581" s="1194">
        <f>IF(SETUP!$F$43="Upfront",I582,I583)</f>
        <v>0</v>
      </c>
      <c r="J581" s="1194">
        <f t="shared" si="80"/>
        <v>0</v>
      </c>
      <c r="K581" s="1328">
        <f>IF(SETUP!$F$43="Upfront",K582,K583)</f>
        <v>0</v>
      </c>
      <c r="L581" s="1194">
        <f>IF(SETUP!$F$43="Upfront",L582,L583)</f>
        <v>0</v>
      </c>
      <c r="M581" s="1194">
        <f>IF(SETUP!$F$43="Upfront",M582,M583)</f>
        <v>0</v>
      </c>
      <c r="N581" s="1194">
        <f>IF(SETUP!$F$43="Upfront",N582,N583)</f>
        <v>0</v>
      </c>
      <c r="O581" s="1194">
        <f t="shared" si="81"/>
        <v>0</v>
      </c>
      <c r="P581" s="1328">
        <f>IF(SETUP!$F$43="Upfront",P582,P583)</f>
        <v>0</v>
      </c>
      <c r="Q581" s="1194">
        <f>IF(SETUP!$F$43="Upfront",Q582,Q583)</f>
        <v>0</v>
      </c>
      <c r="R581" s="1194">
        <f>IF(SETUP!$F$43="Upfront",R582,R583)</f>
        <v>0</v>
      </c>
      <c r="S581" s="1194">
        <f>IF(SETUP!$F$43="Upfront",S582,S583)</f>
        <v>0</v>
      </c>
      <c r="T581" s="1194">
        <f t="shared" si="82"/>
        <v>0</v>
      </c>
      <c r="U581" s="1328">
        <f t="shared" si="83"/>
        <v>0</v>
      </c>
      <c r="V581" s="1826">
        <v>7.5</v>
      </c>
      <c r="W581" s="1837"/>
      <c r="X581" s="764"/>
      <c r="Y581" s="1836"/>
      <c r="Z581" s="850"/>
      <c r="AA581" s="880"/>
      <c r="AB581" s="880"/>
      <c r="AC581" s="880"/>
      <c r="AD581" s="880"/>
      <c r="AE581" s="880"/>
      <c r="AF581" s="880"/>
      <c r="AG581" s="880"/>
      <c r="AH581" s="881"/>
      <c r="AI581" s="880"/>
      <c r="AJ581" s="880"/>
      <c r="AK581" s="880"/>
      <c r="AL581" s="880"/>
      <c r="AM581" s="880"/>
      <c r="AN581" s="880"/>
      <c r="AO581" s="880"/>
      <c r="AP581" s="880"/>
      <c r="AQ581" s="880"/>
      <c r="AR581" s="880"/>
      <c r="AS581" s="880"/>
      <c r="AT581" s="880"/>
      <c r="AU581" s="880"/>
      <c r="AV581" s="880"/>
      <c r="AW581" s="880"/>
      <c r="AX581" s="880"/>
      <c r="AY581" s="880"/>
      <c r="AZ581" s="880"/>
      <c r="BA581" s="880"/>
      <c r="BB581" s="880"/>
      <c r="BC581" s="880"/>
      <c r="BD581" s="880"/>
      <c r="BE581" s="880"/>
      <c r="BF581" s="880"/>
      <c r="BG581" s="880"/>
      <c r="BH581" s="880"/>
      <c r="BI581" s="880"/>
      <c r="BJ581" s="880"/>
      <c r="BK581" s="880"/>
      <c r="BL581" s="880"/>
      <c r="BM581" s="880"/>
      <c r="BN581" s="880"/>
      <c r="BO581" s="880"/>
      <c r="BP581" s="880"/>
      <c r="BQ581" s="880"/>
      <c r="BR581" s="880"/>
      <c r="BS581" s="880"/>
      <c r="BT581" s="880"/>
    </row>
    <row r="582" spans="1:72" s="882" customFormat="1" ht="12.75" hidden="1" customHeight="1" outlineLevel="1">
      <c r="A582" s="2905"/>
      <c r="B582" s="2906"/>
      <c r="C582" s="2889" t="s">
        <v>918</v>
      </c>
      <c r="D582" s="2890"/>
      <c r="E582" s="1880"/>
      <c r="F582" s="1328">
        <f>IF(SETUP!$F$43="Upfront",$E$581*'TB-EQUIPMENT &amp; OTHER HPs'!AW16,0)</f>
        <v>0</v>
      </c>
      <c r="G582" s="1194">
        <f>IF(SETUP!$F$43="Upfront",$E$581*'TB-EQUIPMENT &amp; OTHER HPs'!AX16,0)</f>
        <v>0</v>
      </c>
      <c r="H582" s="1194">
        <f>IF(SETUP!$F$43="Upfront",$E$581*'TB-EQUIPMENT &amp; OTHER HPs'!AY16,0)</f>
        <v>0</v>
      </c>
      <c r="I582" s="1194">
        <f>IF(SETUP!$F$43="Upfront",$E$581*'TB-EQUIPMENT &amp; OTHER HPs'!AZ16,0)</f>
        <v>0</v>
      </c>
      <c r="J582" s="1194">
        <f t="shared" si="80"/>
        <v>0</v>
      </c>
      <c r="K582" s="1328">
        <f>IF(SETUP!$F$43="Upfront",$E$581*'TB-EQUIPMENT &amp; OTHER HPs'!BA16,0)</f>
        <v>0</v>
      </c>
      <c r="L582" s="1194">
        <f>IF(SETUP!$F$43="Upfront",$E$581*'TB-EQUIPMENT &amp; OTHER HPs'!BB16,0)</f>
        <v>0</v>
      </c>
      <c r="M582" s="1194">
        <f>IF(SETUP!$F$43="Upfront",$E$581*'TB-EQUIPMENT &amp; OTHER HPs'!BC16,0)</f>
        <v>0</v>
      </c>
      <c r="N582" s="1194">
        <f>IF(SETUP!$F$43="Upfront",$E$581*'TB-EQUIPMENT &amp; OTHER HPs'!BD16,0)</f>
        <v>0</v>
      </c>
      <c r="O582" s="1194">
        <f t="shared" si="81"/>
        <v>0</v>
      </c>
      <c r="P582" s="1328">
        <f>IF(SETUP!$F$43="Upfront",$E$581*'TB-EQUIPMENT &amp; OTHER HPs'!BE16,0)</f>
        <v>0</v>
      </c>
      <c r="Q582" s="1194">
        <f>IF(SETUP!$F$43="Upfront",$E$581*'TB-EQUIPMENT &amp; OTHER HPs'!BF16,0)</f>
        <v>0</v>
      </c>
      <c r="R582" s="1194">
        <f>IF(SETUP!$F$43="Upfront",$E$581*'TB-EQUIPMENT &amp; OTHER HPs'!BG16,0)</f>
        <v>0</v>
      </c>
      <c r="S582" s="1194">
        <f>IF(SETUP!$F$43="Upfront",$E$581*'TB-EQUIPMENT &amp; OTHER HPs'!BH16,0)</f>
        <v>0</v>
      </c>
      <c r="T582" s="1194">
        <f t="shared" si="82"/>
        <v>0</v>
      </c>
      <c r="U582" s="1328">
        <f t="shared" si="83"/>
        <v>0</v>
      </c>
      <c r="V582" s="1826">
        <v>7.5</v>
      </c>
      <c r="W582" s="1837"/>
      <c r="X582" s="764"/>
      <c r="Y582" s="1836"/>
      <c r="Z582" s="850"/>
      <c r="AA582" s="880"/>
      <c r="AB582" s="880"/>
      <c r="AC582" s="880"/>
      <c r="AD582" s="880"/>
      <c r="AE582" s="880"/>
      <c r="AF582" s="880"/>
      <c r="AG582" s="880"/>
      <c r="AH582" s="881"/>
      <c r="AI582" s="880"/>
      <c r="AJ582" s="880"/>
      <c r="AK582" s="880"/>
      <c r="AL582" s="880"/>
      <c r="AM582" s="880"/>
      <c r="AN582" s="880"/>
      <c r="AO582" s="880"/>
      <c r="AP582" s="880"/>
      <c r="AQ582" s="880"/>
      <c r="AR582" s="880"/>
      <c r="AS582" s="880"/>
      <c r="AT582" s="880"/>
      <c r="AU582" s="880"/>
      <c r="AV582" s="880"/>
      <c r="AW582" s="880"/>
      <c r="AX582" s="880"/>
      <c r="AY582" s="880"/>
      <c r="AZ582" s="880"/>
      <c r="BA582" s="880"/>
      <c r="BB582" s="880"/>
      <c r="BC582" s="880"/>
      <c r="BD582" s="880"/>
      <c r="BE582" s="880"/>
      <c r="BF582" s="880"/>
      <c r="BG582" s="880"/>
      <c r="BH582" s="880"/>
      <c r="BI582" s="880"/>
      <c r="BJ582" s="880"/>
      <c r="BK582" s="880"/>
      <c r="BL582" s="880"/>
      <c r="BM582" s="880"/>
      <c r="BN582" s="880"/>
      <c r="BO582" s="880"/>
      <c r="BP582" s="880"/>
      <c r="BQ582" s="880"/>
      <c r="BR582" s="880"/>
      <c r="BS582" s="880"/>
      <c r="BT582" s="880"/>
    </row>
    <row r="583" spans="1:72" s="882" customFormat="1" ht="12.75" hidden="1" customHeight="1" outlineLevel="1">
      <c r="A583" s="2905"/>
      <c r="B583" s="2906"/>
      <c r="C583" s="2889" t="s">
        <v>36</v>
      </c>
      <c r="D583" s="2890"/>
      <c r="E583" s="1880"/>
      <c r="F583" s="1328">
        <v>0</v>
      </c>
      <c r="G583" s="1194">
        <f>IF(SETUP!$F$43="At delivery",IF(SETUP!$G$43=1,$E$581*'TB-EQUIPMENT &amp; OTHER HPs'!AW16,0),0)</f>
        <v>0</v>
      </c>
      <c r="H583" s="1194">
        <f>IF(SETUP!$F$43="At delivery",IF(SETUP!$G$43=2,$E$581*'TB-EQUIPMENT &amp; OTHER HPs'!AW16,IF(SETUP!$G$43=1,$E$581*'TB-EQUIPMENT &amp; OTHER HPs'!AX16,0)),0)</f>
        <v>0</v>
      </c>
      <c r="I583" s="1194">
        <f>IF(SETUP!$F$43="At delivery",IF(SETUP!$G$43=3,$E$581*'TB-EQUIPMENT &amp; OTHER HPs'!AW16,IF(SETUP!$G$43=2,$E$581*'TB-EQUIPMENT &amp; OTHER HPs'!AX16,IF(SETUP!$G$43=1,$E$581*'TB-EQUIPMENT &amp; OTHER HPs'!AY16,0))),0)</f>
        <v>0</v>
      </c>
      <c r="J583" s="1194">
        <f t="shared" si="80"/>
        <v>0</v>
      </c>
      <c r="K583" s="1328">
        <f>IF(SETUP!$F$43="At delivery",IF(SETUP!$G$43=4,$E$581*'TB-EQUIPMENT &amp; OTHER HPs'!AW16,IF(SETUP!$G$43=3,$E$581*'TB-EQUIPMENT &amp; OTHER HPs'!AX16,IF(SETUP!$G$43=2,$E$581*'TB-EQUIPMENT &amp; OTHER HPs'!AY16,IF(SETUP!$G$43=1,$E$581*'TB-EQUIPMENT &amp; OTHER HPs'!AZ16,0)))),0)</f>
        <v>0</v>
      </c>
      <c r="L583" s="1194">
        <f>IF(SETUP!$F$43="At delivery",IF(SETUP!$G$43=4,$E$581*'TB-EQUIPMENT &amp; OTHER HPs'!AX16,IF(SETUP!$G$43=3,$E$581*'TB-EQUIPMENT &amp; OTHER HPs'!AY16,IF(SETUP!$G$43=2,$E$581*'TB-EQUIPMENT &amp; OTHER HPs'!AZ16,IF(SETUP!$G$43=1,$E$581*'TB-EQUIPMENT &amp; OTHER HPs'!BA16,0)))),0)</f>
        <v>0</v>
      </c>
      <c r="M583" s="1194">
        <f>IF(SETUP!$F$43="At delivery",IF(SETUP!$G$43=4,$E$581*'TB-EQUIPMENT &amp; OTHER HPs'!AY16,IF(SETUP!$G$43=3,$E$581*'TB-EQUIPMENT &amp; OTHER HPs'!AZ16,IF(SETUP!$G$43=2,$E$581*'TB-EQUIPMENT &amp; OTHER HPs'!BA16,IF(SETUP!$G$43=1,$E$581*'TB-EQUIPMENT &amp; OTHER HPs'!BB16,0)))),0)</f>
        <v>0</v>
      </c>
      <c r="N583" s="1194">
        <f>IF(SETUP!$F$43="At delivery",IF(SETUP!$G$43=4,$E$581*'TB-EQUIPMENT &amp; OTHER HPs'!AZ16,IF(SETUP!$G$43=3,$E$581*'TB-EQUIPMENT &amp; OTHER HPs'!BA16,IF(SETUP!$G$43=2,$E$581*'TB-EQUIPMENT &amp; OTHER HPs'!BB16,IF(SETUP!$G$43=1,$E$581*'TB-EQUIPMENT &amp; OTHER HPs'!BC16,0)))),0)</f>
        <v>0</v>
      </c>
      <c r="O583" s="1194">
        <f t="shared" si="81"/>
        <v>0</v>
      </c>
      <c r="P583" s="1328">
        <f>IF(SETUP!$F$43="At delivery",IF(SETUP!$G$43=4,$E$581*'TB-EQUIPMENT &amp; OTHER HPs'!BA16,IF(SETUP!$G$43=3,$E$581*'TB-EQUIPMENT &amp; OTHER HPs'!BB16,IF(SETUP!$G$43=2,$E$581*'TB-EQUIPMENT &amp; OTHER HPs'!BC16,IF(SETUP!$G$43=1,$E$581*'TB-EQUIPMENT &amp; OTHER HPs'!BD16,0)))),0)</f>
        <v>0</v>
      </c>
      <c r="Q583" s="1194">
        <f>IF(SETUP!$F$43="At delivery",IF(SETUP!$G$43=4,$E$581*'TB-EQUIPMENT &amp; OTHER HPs'!BB16,IF(SETUP!$G$43=3,$E$581*'TB-EQUIPMENT &amp; OTHER HPs'!BC16,IF(SETUP!$G$43=2,$E$581*'TB-EQUIPMENT &amp; OTHER HPs'!BD16,IF(SETUP!$G$43=1,$E$581*'TB-EQUIPMENT &amp; OTHER HPs'!BE16,0)))),0)</f>
        <v>0</v>
      </c>
      <c r="R583" s="1194">
        <f>IF(SETUP!$F$43="At delivery",IF(SETUP!$G$43=4,$E$581*'TB-EQUIPMENT &amp; OTHER HPs'!BC16,IF(SETUP!$G$43=3,$E$581*'TB-EQUIPMENT &amp; OTHER HPs'!BD16,IF(SETUP!$G$43=2,$E$581*'TB-EQUIPMENT &amp; OTHER HPs'!BE16,IF(SETUP!$G$43=1,$E$581*'TB-EQUIPMENT &amp; OTHER HPs'!BF16,0)))),0)</f>
        <v>0</v>
      </c>
      <c r="S583" s="1194">
        <f>IF(SETUP!$F$43="At delivery",IF(SETUP!$G$43=4,$E$581*('TB-EQUIPMENT &amp; OTHER HPs'!BD16+'TB-EQUIPMENT &amp; OTHER HPs'!BE16+'TB-EQUIPMENT &amp; OTHER HPs'!BF16+'TB-EQUIPMENT &amp; OTHER HPs'!BG16+'TB-EQUIPMENT &amp; OTHER HPs'!BH16),IF(SETUP!$G$43=3,$E$581*('TB-EQUIPMENT &amp; OTHER HPs'!BE16+'TB-EQUIPMENT &amp; OTHER HPs'!BF16+'TB-EQUIPMENT &amp; OTHER HPs'!BG16+'TB-EQUIPMENT &amp; OTHER HPs'!BH16),IF(SETUP!$G$43=2,$E$581*('TB-EQUIPMENT &amp; OTHER HPs'!BF16+'TB-EQUIPMENT &amp; OTHER HPs'!BG16+'TB-EQUIPMENT &amp; OTHER HPs'!BH16),IF(SETUP!$G$43=1,$E$581*('TB-EQUIPMENT &amp; OTHER HPs'!BG16+'TB-EQUIPMENT &amp; OTHER HPs'!BH16),0)))),0)</f>
        <v>0</v>
      </c>
      <c r="T583" s="1194">
        <f t="shared" si="82"/>
        <v>0</v>
      </c>
      <c r="U583" s="1328">
        <f t="shared" si="83"/>
        <v>0</v>
      </c>
      <c r="V583" s="1826">
        <v>7.5</v>
      </c>
      <c r="W583" s="1837"/>
      <c r="X583" s="764"/>
      <c r="Y583" s="1836"/>
      <c r="Z583" s="850"/>
      <c r="AA583" s="880"/>
      <c r="AB583" s="880"/>
      <c r="AC583" s="880"/>
      <c r="AD583" s="880"/>
      <c r="AE583" s="880"/>
      <c r="AF583" s="880"/>
      <c r="AG583" s="880"/>
      <c r="AH583" s="881"/>
      <c r="AI583" s="880"/>
      <c r="AJ583" s="880"/>
      <c r="AK583" s="880"/>
      <c r="AL583" s="880"/>
      <c r="AM583" s="880"/>
      <c r="AN583" s="880"/>
      <c r="AO583" s="880"/>
      <c r="AP583" s="880"/>
      <c r="AQ583" s="880"/>
      <c r="AR583" s="880"/>
      <c r="AS583" s="880"/>
      <c r="AT583" s="880"/>
      <c r="AU583" s="880"/>
      <c r="AV583" s="880"/>
      <c r="AW583" s="880"/>
      <c r="AX583" s="880"/>
      <c r="AY583" s="880"/>
      <c r="AZ583" s="880"/>
      <c r="BA583" s="880"/>
      <c r="BB583" s="880"/>
      <c r="BC583" s="880"/>
      <c r="BD583" s="880"/>
      <c r="BE583" s="880"/>
      <c r="BF583" s="880"/>
      <c r="BG583" s="880"/>
      <c r="BH583" s="880"/>
      <c r="BI583" s="880"/>
      <c r="BJ583" s="880"/>
      <c r="BK583" s="880"/>
      <c r="BL583" s="880"/>
      <c r="BM583" s="880"/>
      <c r="BN583" s="880"/>
      <c r="BO583" s="880"/>
      <c r="BP583" s="880"/>
      <c r="BQ583" s="880"/>
      <c r="BR583" s="880"/>
      <c r="BS583" s="880"/>
      <c r="BT583" s="880"/>
    </row>
    <row r="584" spans="1:72" s="882" customFormat="1" ht="13.5" hidden="1" collapsed="1" thickBot="1">
      <c r="A584" s="2905"/>
      <c r="B584" s="2906"/>
      <c r="C584" s="2907" t="s">
        <v>574</v>
      </c>
      <c r="D584" s="2908"/>
      <c r="E584" s="1894">
        <v>1E-4</v>
      </c>
      <c r="F584" s="1328">
        <f>IF(SETUP!$F$44="Upfront",F585,F586)</f>
        <v>0</v>
      </c>
      <c r="G584" s="1194">
        <f>IF(SETUP!$F$44="Upfront",G585,G586)</f>
        <v>0</v>
      </c>
      <c r="H584" s="1194">
        <f>IF(SETUP!$F$44="Upfront",H585,H586)</f>
        <v>0</v>
      </c>
      <c r="I584" s="1194">
        <f>IF(SETUP!$F$44="Upfront",I585,I586)</f>
        <v>0</v>
      </c>
      <c r="J584" s="1194">
        <f t="shared" si="80"/>
        <v>0</v>
      </c>
      <c r="K584" s="1328">
        <f>IF(SETUP!$F$44="Upfront",K585,K586)</f>
        <v>0</v>
      </c>
      <c r="L584" s="1194">
        <f>IF(SETUP!$F$44="Upfront",L585,L586)</f>
        <v>0</v>
      </c>
      <c r="M584" s="1194">
        <f>IF(SETUP!$F$44="Upfront",M585,M586)</f>
        <v>0</v>
      </c>
      <c r="N584" s="1194">
        <f>IF(SETUP!$F$44="Upfront",N585,N586)</f>
        <v>0</v>
      </c>
      <c r="O584" s="1194">
        <f t="shared" si="81"/>
        <v>0</v>
      </c>
      <c r="P584" s="1328">
        <f>IF(SETUP!$F$44="Upfront",P585,P586)</f>
        <v>0</v>
      </c>
      <c r="Q584" s="1194">
        <f>IF(SETUP!$F$44="Upfront",Q585,Q586)</f>
        <v>0</v>
      </c>
      <c r="R584" s="1194">
        <f>IF(SETUP!$F$44="Upfront",R585,R586)</f>
        <v>0</v>
      </c>
      <c r="S584" s="1194">
        <f>IF(SETUP!$F$44="Upfront",S585,S586)</f>
        <v>0</v>
      </c>
      <c r="T584" s="1194">
        <f t="shared" si="82"/>
        <v>0</v>
      </c>
      <c r="U584" s="1328">
        <f t="shared" si="83"/>
        <v>0</v>
      </c>
      <c r="V584" s="1826">
        <v>7.5</v>
      </c>
      <c r="W584" s="1837"/>
      <c r="X584" s="764"/>
      <c r="Y584" s="1836"/>
      <c r="Z584" s="850"/>
      <c r="AA584" s="880"/>
      <c r="AB584" s="880"/>
      <c r="AC584" s="880"/>
      <c r="AD584" s="880"/>
      <c r="AE584" s="880"/>
      <c r="AF584" s="880"/>
      <c r="AG584" s="880"/>
      <c r="AH584" s="881"/>
      <c r="AI584" s="880"/>
      <c r="AJ584" s="880"/>
      <c r="AK584" s="880"/>
      <c r="AL584" s="880"/>
      <c r="AM584" s="880"/>
      <c r="AN584" s="880"/>
      <c r="AO584" s="880"/>
      <c r="AP584" s="880"/>
      <c r="AQ584" s="880"/>
      <c r="AR584" s="880"/>
      <c r="AS584" s="880"/>
      <c r="AT584" s="880"/>
      <c r="AU584" s="880"/>
      <c r="AV584" s="880"/>
      <c r="AW584" s="880"/>
      <c r="AX584" s="880"/>
      <c r="AY584" s="880"/>
      <c r="AZ584" s="880"/>
      <c r="BA584" s="880"/>
      <c r="BB584" s="880"/>
      <c r="BC584" s="880"/>
      <c r="BD584" s="880"/>
      <c r="BE584" s="880"/>
      <c r="BF584" s="880"/>
      <c r="BG584" s="880"/>
      <c r="BH584" s="880"/>
      <c r="BI584" s="880"/>
      <c r="BJ584" s="880"/>
      <c r="BK584" s="880"/>
      <c r="BL584" s="880"/>
      <c r="BM584" s="880"/>
      <c r="BN584" s="880"/>
      <c r="BO584" s="880"/>
      <c r="BP584" s="880"/>
      <c r="BQ584" s="880"/>
      <c r="BR584" s="880"/>
      <c r="BS584" s="880"/>
      <c r="BT584" s="880"/>
    </row>
    <row r="585" spans="1:72" s="882" customFormat="1" ht="12.75" hidden="1" customHeight="1" outlineLevel="1">
      <c r="A585" s="2905"/>
      <c r="B585" s="2906"/>
      <c r="C585" s="2889" t="s">
        <v>918</v>
      </c>
      <c r="D585" s="2890"/>
      <c r="E585" s="1880"/>
      <c r="F585" s="1328">
        <f>IF(SETUP!$F$44="Upfront",$E$584*'TB-EQUIPMENT &amp; OTHER HPs'!AW17,0)</f>
        <v>0</v>
      </c>
      <c r="G585" s="1194">
        <f>IF(SETUP!$F$44="Upfront",$E$584*'TB-EQUIPMENT &amp; OTHER HPs'!AX17,0)</f>
        <v>0</v>
      </c>
      <c r="H585" s="1194">
        <f>IF(SETUP!$F$44="Upfront",$E$584*'TB-EQUIPMENT &amp; OTHER HPs'!AY17,0)</f>
        <v>0</v>
      </c>
      <c r="I585" s="1194">
        <f>IF(SETUP!$F$44="Upfront",$E$584*'TB-EQUIPMENT &amp; OTHER HPs'!AZ17,0)</f>
        <v>0</v>
      </c>
      <c r="J585" s="1194">
        <f t="shared" si="80"/>
        <v>0</v>
      </c>
      <c r="K585" s="1328">
        <f>IF(SETUP!$F$44="Upfront",$E$584*'TB-EQUIPMENT &amp; OTHER HPs'!BA17,0)</f>
        <v>0</v>
      </c>
      <c r="L585" s="1194">
        <f>IF(SETUP!$F$44="Upfront",$E$584*'TB-EQUIPMENT &amp; OTHER HPs'!BB17,0)</f>
        <v>0</v>
      </c>
      <c r="M585" s="1194">
        <f>IF(SETUP!$F$44="Upfront",$E$584*'TB-EQUIPMENT &amp; OTHER HPs'!BC17,0)</f>
        <v>0</v>
      </c>
      <c r="N585" s="1194">
        <f>IF(SETUP!$F$44="Upfront",$E$584*'TB-EQUIPMENT &amp; OTHER HPs'!BD17,0)</f>
        <v>0</v>
      </c>
      <c r="O585" s="1194">
        <f t="shared" si="81"/>
        <v>0</v>
      </c>
      <c r="P585" s="1328">
        <f>IF(SETUP!$F$44="Upfront",$E$584*'TB-EQUIPMENT &amp; OTHER HPs'!BE17,0)</f>
        <v>0</v>
      </c>
      <c r="Q585" s="1194">
        <f>IF(SETUP!$F$44="Upfront",$E$584*'TB-EQUIPMENT &amp; OTHER HPs'!BF17,0)</f>
        <v>0</v>
      </c>
      <c r="R585" s="1194">
        <f>IF(SETUP!$F$44="Upfront",$E$584*'TB-EQUIPMENT &amp; OTHER HPs'!BG17,0)</f>
        <v>0</v>
      </c>
      <c r="S585" s="1194">
        <f>IF(SETUP!$F$44="Upfront",$E$584*'TB-EQUIPMENT &amp; OTHER HPs'!BH17,0)</f>
        <v>0</v>
      </c>
      <c r="T585" s="1194">
        <f t="shared" si="82"/>
        <v>0</v>
      </c>
      <c r="U585" s="1328">
        <f t="shared" si="83"/>
        <v>0</v>
      </c>
      <c r="V585" s="1826">
        <v>7.5</v>
      </c>
      <c r="W585" s="1837"/>
      <c r="X585" s="764"/>
      <c r="Y585" s="1836"/>
      <c r="Z585" s="850"/>
      <c r="AA585" s="880"/>
      <c r="AB585" s="880"/>
      <c r="AC585" s="880"/>
      <c r="AD585" s="880"/>
      <c r="AE585" s="880"/>
      <c r="AF585" s="880"/>
      <c r="AG585" s="880"/>
      <c r="AH585" s="881"/>
      <c r="AI585" s="880"/>
      <c r="AJ585" s="880"/>
      <c r="AK585" s="880"/>
      <c r="AL585" s="880"/>
      <c r="AM585" s="880"/>
      <c r="AN585" s="880"/>
      <c r="AO585" s="880"/>
      <c r="AP585" s="880"/>
      <c r="AQ585" s="880"/>
      <c r="AR585" s="880"/>
      <c r="AS585" s="880"/>
      <c r="AT585" s="880"/>
      <c r="AU585" s="880"/>
      <c r="AV585" s="880"/>
      <c r="AW585" s="880"/>
      <c r="AX585" s="880"/>
      <c r="AY585" s="880"/>
      <c r="AZ585" s="880"/>
      <c r="BA585" s="880"/>
      <c r="BB585" s="880"/>
      <c r="BC585" s="880"/>
      <c r="BD585" s="880"/>
      <c r="BE585" s="880"/>
      <c r="BF585" s="880"/>
      <c r="BG585" s="880"/>
      <c r="BH585" s="880"/>
      <c r="BI585" s="880"/>
      <c r="BJ585" s="880"/>
      <c r="BK585" s="880"/>
      <c r="BL585" s="880"/>
      <c r="BM585" s="880"/>
      <c r="BN585" s="880"/>
      <c r="BO585" s="880"/>
      <c r="BP585" s="880"/>
      <c r="BQ585" s="880"/>
      <c r="BR585" s="880"/>
      <c r="BS585" s="880"/>
      <c r="BT585" s="880"/>
    </row>
    <row r="586" spans="1:72" s="882" customFormat="1" ht="12.75" hidden="1" customHeight="1" outlineLevel="1">
      <c r="A586" s="2905"/>
      <c r="B586" s="2906"/>
      <c r="C586" s="2889" t="s">
        <v>36</v>
      </c>
      <c r="D586" s="2890"/>
      <c r="E586" s="1880"/>
      <c r="F586" s="1328">
        <v>0</v>
      </c>
      <c r="G586" s="1194">
        <f>IF(SETUP!$F$44="At delivery",IF(SETUP!$G$44=1,$E$584*'TB-EQUIPMENT &amp; OTHER HPs'!AW17,0),0)</f>
        <v>0</v>
      </c>
      <c r="H586" s="1194">
        <f>IF(SETUP!$F$44="At delivery",IF(SETUP!$G$44=2,$E$584*'TB-EQUIPMENT &amp; OTHER HPs'!AW17,IF(SETUP!$G$44=1,$E$584*'TB-EQUIPMENT &amp; OTHER HPs'!AX17,0)),0)</f>
        <v>0</v>
      </c>
      <c r="I586" s="1194">
        <f>IF(SETUP!$F$44="At delivery",IF(SETUP!$G$44=3,$E$584*'TB-EQUIPMENT &amp; OTHER HPs'!AW17,IF(SETUP!$G$44=2,$E$584*'TB-EQUIPMENT &amp; OTHER HPs'!AX17,IF(SETUP!$G$44=1,$E$584*'TB-EQUIPMENT &amp; OTHER HPs'!AY17,0))),0)</f>
        <v>0</v>
      </c>
      <c r="J586" s="1194">
        <f t="shared" si="80"/>
        <v>0</v>
      </c>
      <c r="K586" s="1328">
        <f>IF(SETUP!$F$44="At delivery",IF(SETUP!$G$44=4,$E$584*'TB-EQUIPMENT &amp; OTHER HPs'!AW17,IF(SETUP!$G$44=3,$E$584*'TB-EQUIPMENT &amp; OTHER HPs'!AX17,IF(SETUP!$G$44=2,$E$584*'TB-EQUIPMENT &amp; OTHER HPs'!AY17,IF(SETUP!$G$44=1,$E$584*'TB-EQUIPMENT &amp; OTHER HPs'!AZ17,0)))),0)</f>
        <v>0</v>
      </c>
      <c r="L586" s="1194">
        <f>IF(SETUP!$F$44="At delivery",IF(SETUP!$G$44=4,$E$584*'TB-EQUIPMENT &amp; OTHER HPs'!AX17,IF(SETUP!$G$44=3,$E$584*'TB-EQUIPMENT &amp; OTHER HPs'!AY17,IF(SETUP!$G$44=2,$E$584*'TB-EQUIPMENT &amp; OTHER HPs'!AZ17,IF(SETUP!$G$44=1,$E$584*'TB-EQUIPMENT &amp; OTHER HPs'!BA17,0)))),0)</f>
        <v>0</v>
      </c>
      <c r="M586" s="1194">
        <f>IF(SETUP!$F$44="At delivery",IF(SETUP!$G$44=4,$E$584*'TB-EQUIPMENT &amp; OTHER HPs'!AY17,IF(SETUP!$G$44=3,$E$584*'TB-EQUIPMENT &amp; OTHER HPs'!AZ17,IF(SETUP!$G$44=2,$E$584*'TB-EQUIPMENT &amp; OTHER HPs'!BA17,IF(SETUP!$G$44=1,$E$584*'TB-EQUIPMENT &amp; OTHER HPs'!BB17,0)))),0)</f>
        <v>0</v>
      </c>
      <c r="N586" s="1194">
        <f>IF(SETUP!$F$44="At delivery",IF(SETUP!$G$44=4,$E$584*'TB-EQUIPMENT &amp; OTHER HPs'!AZ17,IF(SETUP!$G$44=3,$E$584*'TB-EQUIPMENT &amp; OTHER HPs'!BA17,IF(SETUP!$G$44=2,$E$584*'TB-EQUIPMENT &amp; OTHER HPs'!BB17,IF(SETUP!$G$44=1,$E$584*'TB-EQUIPMENT &amp; OTHER HPs'!BC17,0)))),0)</f>
        <v>0</v>
      </c>
      <c r="O586" s="1194">
        <f t="shared" si="81"/>
        <v>0</v>
      </c>
      <c r="P586" s="1328">
        <f>IF(SETUP!$F$44="At delivery",IF(SETUP!$G$44=4,$E$584*'TB-EQUIPMENT &amp; OTHER HPs'!BA17,IF(SETUP!$G$44=3,$E$584*'TB-EQUIPMENT &amp; OTHER HPs'!BB17,IF(SETUP!$G$44=2,$E$584*'TB-EQUIPMENT &amp; OTHER HPs'!BC17,IF(SETUP!$G$44=1,$E$584*'TB-EQUIPMENT &amp; OTHER HPs'!BD17,0)))),0)</f>
        <v>0</v>
      </c>
      <c r="Q586" s="1194">
        <f>IF(SETUP!$F$44="At delivery",IF(SETUP!$G$44=4,$E$584*'TB-EQUIPMENT &amp; OTHER HPs'!BB17,IF(SETUP!$G$44=3,$E$584*'TB-EQUIPMENT &amp; OTHER HPs'!BC17,IF(SETUP!$G$44=2,$E$584*'TB-EQUIPMENT &amp; OTHER HPs'!BD17,IF(SETUP!$G$44=1,$E$584*'TB-EQUIPMENT &amp; OTHER HPs'!BE17,0)))),0)</f>
        <v>0</v>
      </c>
      <c r="R586" s="1194">
        <f>IF(SETUP!$F$44="At delivery",IF(SETUP!$G$44=4,$E$584*'TB-EQUIPMENT &amp; OTHER HPs'!BC17,IF(SETUP!$G$44=3,$E$584*'TB-EQUIPMENT &amp; OTHER HPs'!BD17,IF(SETUP!$G$44=2,$E$584*'TB-EQUIPMENT &amp; OTHER HPs'!BE17,IF(SETUP!$G$44=1,$E$584*'TB-EQUIPMENT &amp; OTHER HPs'!BF17,0)))),0)</f>
        <v>0</v>
      </c>
      <c r="S586" s="1194">
        <f>IF(SETUP!$F$44="At delivery",IF(SETUP!$G$44=4,$E$584*('TB-EQUIPMENT &amp; OTHER HPs'!BD17+'TB-EQUIPMENT &amp; OTHER HPs'!BE17+'TB-EQUIPMENT &amp; OTHER HPs'!BF17+'TB-EQUIPMENT &amp; OTHER HPs'!BG17+'TB-EQUIPMENT &amp; OTHER HPs'!BH17),IF(SETUP!$G$44=3,$E$584*('TB-EQUIPMENT &amp; OTHER HPs'!BE17+'TB-EQUIPMENT &amp; OTHER HPs'!BF17+'TB-EQUIPMENT &amp; OTHER HPs'!BG17+'TB-EQUIPMENT &amp; OTHER HPs'!BH17),IF(SETUP!$G$44=2,$E$584*('TB-EQUIPMENT &amp; OTHER HPs'!BF17+'TB-EQUIPMENT &amp; OTHER HPs'!BG17+'TB-EQUIPMENT &amp; OTHER HPs'!BH17),IF(SETUP!$G$44=1,$E$584*('TB-EQUIPMENT &amp; OTHER HPs'!BG17+'TB-EQUIPMENT &amp; OTHER HPs'!BH17),0)))),0)</f>
        <v>0</v>
      </c>
      <c r="T586" s="1194">
        <f t="shared" si="82"/>
        <v>0</v>
      </c>
      <c r="U586" s="1328">
        <f t="shared" si="83"/>
        <v>0</v>
      </c>
      <c r="V586" s="1826">
        <v>7.5</v>
      </c>
      <c r="W586" s="1837"/>
      <c r="X586" s="764"/>
      <c r="Y586" s="1836"/>
      <c r="Z586" s="850"/>
      <c r="AA586" s="880"/>
      <c r="AB586" s="880"/>
      <c r="AC586" s="880"/>
      <c r="AD586" s="880"/>
      <c r="AE586" s="880"/>
      <c r="AF586" s="880"/>
      <c r="AG586" s="880"/>
      <c r="AH586" s="881"/>
      <c r="AI586" s="880"/>
      <c r="AJ586" s="880"/>
      <c r="AK586" s="880"/>
      <c r="AL586" s="880"/>
      <c r="AM586" s="880"/>
      <c r="AN586" s="880"/>
      <c r="AO586" s="880"/>
      <c r="AP586" s="880"/>
      <c r="AQ586" s="880"/>
      <c r="AR586" s="880"/>
      <c r="AS586" s="880"/>
      <c r="AT586" s="880"/>
      <c r="AU586" s="880"/>
      <c r="AV586" s="880"/>
      <c r="AW586" s="880"/>
      <c r="AX586" s="880"/>
      <c r="AY586" s="880"/>
      <c r="AZ586" s="880"/>
      <c r="BA586" s="880"/>
      <c r="BB586" s="880"/>
      <c r="BC586" s="880"/>
      <c r="BD586" s="880"/>
      <c r="BE586" s="880"/>
      <c r="BF586" s="880"/>
      <c r="BG586" s="880"/>
      <c r="BH586" s="880"/>
      <c r="BI586" s="880"/>
      <c r="BJ586" s="880"/>
      <c r="BK586" s="880"/>
      <c r="BL586" s="880"/>
      <c r="BM586" s="880"/>
      <c r="BN586" s="880"/>
      <c r="BO586" s="880"/>
      <c r="BP586" s="880"/>
      <c r="BQ586" s="880"/>
      <c r="BR586" s="880"/>
      <c r="BS586" s="880"/>
      <c r="BT586" s="880"/>
    </row>
    <row r="587" spans="1:72" s="882" customFormat="1" ht="13.5" hidden="1" collapsed="1" thickBot="1">
      <c r="A587" s="2909" t="s">
        <v>575</v>
      </c>
      <c r="B587" s="2910"/>
      <c r="C587" s="2891" t="s">
        <v>576</v>
      </c>
      <c r="D587" s="2892"/>
      <c r="E587" s="2886">
        <v>1E-4</v>
      </c>
      <c r="F587" s="1328">
        <f>IF(SETUP!$F$50="Upfront",F588,F589)</f>
        <v>0</v>
      </c>
      <c r="G587" s="1194">
        <f>IF(SETUP!$F$50="Upfront",G588,G589)</f>
        <v>0</v>
      </c>
      <c r="H587" s="1194">
        <f>IF(SETUP!$F$50="Upfront",H588,H589)</f>
        <v>0</v>
      </c>
      <c r="I587" s="1194">
        <f>IF(SETUP!$F$50="Upfront",I588,I589)</f>
        <v>0</v>
      </c>
      <c r="J587" s="1194">
        <f t="shared" si="80"/>
        <v>0</v>
      </c>
      <c r="K587" s="1328">
        <f>IF(SETUP!$F$50="Upfront",K588,K589)</f>
        <v>0</v>
      </c>
      <c r="L587" s="1194">
        <f>IF(SETUP!$F$50="Upfront",L588,L589)</f>
        <v>0</v>
      </c>
      <c r="M587" s="1194">
        <f>IF(SETUP!$F$50="Upfront",M588,M589)</f>
        <v>0</v>
      </c>
      <c r="N587" s="1194">
        <f>IF(SETUP!$F$50="Upfront",N588,N589)</f>
        <v>0</v>
      </c>
      <c r="O587" s="1194">
        <f t="shared" si="81"/>
        <v>0</v>
      </c>
      <c r="P587" s="1328">
        <f>IF(SETUP!$F$50="Upfront",P588,P589)</f>
        <v>0</v>
      </c>
      <c r="Q587" s="1194">
        <f>IF(SETUP!$F$50="Upfront",Q588,Q589)</f>
        <v>0</v>
      </c>
      <c r="R587" s="1194">
        <f>IF(SETUP!$F$50="Upfront",R588,R589)</f>
        <v>0</v>
      </c>
      <c r="S587" s="1194">
        <f>IF(SETUP!$F$50="Upfront",S588,S589)</f>
        <v>0</v>
      </c>
      <c r="T587" s="1194">
        <f t="shared" si="82"/>
        <v>0</v>
      </c>
      <c r="U587" s="1328">
        <f t="shared" si="83"/>
        <v>0</v>
      </c>
      <c r="V587" s="1826">
        <v>7.5</v>
      </c>
      <c r="W587" s="1837"/>
      <c r="X587" s="764"/>
      <c r="Y587" s="1836"/>
      <c r="Z587" s="850"/>
      <c r="AA587" s="880"/>
      <c r="AB587" s="880"/>
      <c r="AC587" s="880"/>
      <c r="AD587" s="880"/>
      <c r="AE587" s="880"/>
      <c r="AF587" s="880"/>
      <c r="AG587" s="880"/>
      <c r="AH587" s="881"/>
      <c r="AI587" s="880"/>
      <c r="AJ587" s="880"/>
      <c r="AK587" s="880"/>
      <c r="AL587" s="880"/>
      <c r="AM587" s="880"/>
      <c r="AN587" s="880"/>
      <c r="AO587" s="880"/>
      <c r="AP587" s="880"/>
      <c r="AQ587" s="880"/>
      <c r="AR587" s="880"/>
      <c r="AS587" s="880"/>
      <c r="AT587" s="880"/>
      <c r="AU587" s="880"/>
      <c r="AV587" s="880"/>
      <c r="AW587" s="880"/>
      <c r="AX587" s="880"/>
      <c r="AY587" s="880"/>
      <c r="AZ587" s="880"/>
      <c r="BA587" s="880"/>
      <c r="BB587" s="880"/>
      <c r="BC587" s="880"/>
      <c r="BD587" s="880"/>
      <c r="BE587" s="880"/>
      <c r="BF587" s="880"/>
      <c r="BG587" s="880"/>
      <c r="BH587" s="880"/>
      <c r="BI587" s="880"/>
      <c r="BJ587" s="880"/>
      <c r="BK587" s="880"/>
      <c r="BL587" s="880"/>
      <c r="BM587" s="880"/>
      <c r="BN587" s="880"/>
      <c r="BO587" s="880"/>
      <c r="BP587" s="880"/>
      <c r="BQ587" s="880"/>
      <c r="BR587" s="880"/>
      <c r="BS587" s="880"/>
      <c r="BT587" s="880"/>
    </row>
    <row r="588" spans="1:72" s="882" customFormat="1" ht="16.149999999999999" hidden="1" customHeight="1" outlineLevel="1">
      <c r="A588" s="2909"/>
      <c r="B588" s="2910"/>
      <c r="C588" s="2889" t="s">
        <v>918</v>
      </c>
      <c r="D588" s="2890"/>
      <c r="E588" s="2887"/>
      <c r="F588" s="1328">
        <f>IF(SETUP!$F$50="Upfront",$E$587*'Malaria-Pharmaceuticals'!AW14,0)</f>
        <v>0</v>
      </c>
      <c r="G588" s="1194">
        <f>IF(SETUP!$F$50="Upfront",$E$587*'Malaria-Pharmaceuticals'!AX14,0)</f>
        <v>0</v>
      </c>
      <c r="H588" s="1194">
        <f>IF(SETUP!$F$50="Upfront",$E$587*'Malaria-Pharmaceuticals'!AY14,0)</f>
        <v>0</v>
      </c>
      <c r="I588" s="1194">
        <f>IF(SETUP!$F$50="Upfront",$E$587*'Malaria-Pharmaceuticals'!AZ14,0)</f>
        <v>0</v>
      </c>
      <c r="J588" s="1194">
        <f t="shared" si="80"/>
        <v>0</v>
      </c>
      <c r="K588" s="1328">
        <f>IF(SETUP!$F$50="Upfront",$E$587*'Malaria-Pharmaceuticals'!BA14,0)</f>
        <v>0</v>
      </c>
      <c r="L588" s="1194">
        <f>IF(SETUP!$F$50="Upfront",$E$587*'Malaria-Pharmaceuticals'!BB14,0)</f>
        <v>0</v>
      </c>
      <c r="M588" s="1194">
        <f>IF(SETUP!$F$50="Upfront",$E$587*'Malaria-Pharmaceuticals'!BC14,0)</f>
        <v>0</v>
      </c>
      <c r="N588" s="1194">
        <f>IF(SETUP!$F$50="Upfront",$E$587*'Malaria-Pharmaceuticals'!BD14,0)</f>
        <v>0</v>
      </c>
      <c r="O588" s="1194">
        <f t="shared" si="81"/>
        <v>0</v>
      </c>
      <c r="P588" s="1328">
        <f>IF(SETUP!$F$50="Upfront",$E$587*'Malaria-Pharmaceuticals'!BE14,0)</f>
        <v>0</v>
      </c>
      <c r="Q588" s="1194">
        <f>IF(SETUP!$F$50="Upfront",$E$587*'Malaria-Pharmaceuticals'!BF14,0)</f>
        <v>0</v>
      </c>
      <c r="R588" s="1194">
        <f>IF(SETUP!$F$50="Upfront",$E$587*'Malaria-Pharmaceuticals'!BG14,0)</f>
        <v>0</v>
      </c>
      <c r="S588" s="1194">
        <f>IF(SETUP!$F$50="Upfront",$E$587*'Malaria-Pharmaceuticals'!BH14,0)</f>
        <v>0</v>
      </c>
      <c r="T588" s="1194">
        <f t="shared" si="82"/>
        <v>0</v>
      </c>
      <c r="U588" s="1328">
        <f t="shared" si="83"/>
        <v>0</v>
      </c>
      <c r="V588" s="1826">
        <v>7.5</v>
      </c>
      <c r="W588" s="1837"/>
      <c r="X588" s="764"/>
      <c r="Y588" s="1836"/>
      <c r="Z588" s="850"/>
      <c r="AA588" s="880"/>
      <c r="AB588" s="880"/>
      <c r="AC588" s="880"/>
      <c r="AD588" s="880"/>
      <c r="AE588" s="880"/>
      <c r="AF588" s="880"/>
      <c r="AG588" s="880"/>
      <c r="AH588" s="881"/>
      <c r="AI588" s="880"/>
      <c r="AJ588" s="880"/>
      <c r="AK588" s="880"/>
      <c r="AL588" s="880"/>
      <c r="AM588" s="880"/>
      <c r="AN588" s="880"/>
      <c r="AO588" s="880"/>
      <c r="AP588" s="880"/>
      <c r="AQ588" s="880"/>
      <c r="AR588" s="880"/>
      <c r="AS588" s="880"/>
      <c r="AT588" s="880"/>
      <c r="AU588" s="880"/>
      <c r="AV588" s="880"/>
      <c r="AW588" s="880"/>
      <c r="AX588" s="880"/>
      <c r="AY588" s="880"/>
      <c r="AZ588" s="880"/>
      <c r="BA588" s="880"/>
      <c r="BB588" s="880"/>
      <c r="BC588" s="880"/>
      <c r="BD588" s="880"/>
      <c r="BE588" s="880"/>
      <c r="BF588" s="880"/>
      <c r="BG588" s="880"/>
      <c r="BH588" s="880"/>
      <c r="BI588" s="880"/>
      <c r="BJ588" s="880"/>
      <c r="BK588" s="880"/>
      <c r="BL588" s="880"/>
      <c r="BM588" s="880"/>
      <c r="BN588" s="880"/>
      <c r="BO588" s="880"/>
      <c r="BP588" s="880"/>
      <c r="BQ588" s="880"/>
      <c r="BR588" s="880"/>
      <c r="BS588" s="880"/>
      <c r="BT588" s="880"/>
    </row>
    <row r="589" spans="1:72" s="882" customFormat="1" ht="17.25" hidden="1" customHeight="1" outlineLevel="1">
      <c r="A589" s="2909"/>
      <c r="B589" s="2910"/>
      <c r="C589" s="2889" t="s">
        <v>36</v>
      </c>
      <c r="D589" s="2890"/>
      <c r="E589" s="2887"/>
      <c r="F589" s="1328">
        <v>0</v>
      </c>
      <c r="G589" s="1194">
        <f>IF(SETUP!$F$50="At delivery",IF(SETUP!$G$50=1,$E$587*'Malaria-Pharmaceuticals'!AW14,0),0)</f>
        <v>0</v>
      </c>
      <c r="H589" s="1194">
        <f>IF(SETUP!$F$50="At delivery",IF(SETUP!$G$50=2,$E$587*'Malaria-Pharmaceuticals'!AW14,IF(SETUP!$G$50=1,$E$587*'Malaria-Pharmaceuticals'!AX14,0)),0)</f>
        <v>0</v>
      </c>
      <c r="I589" s="1194">
        <f>IF(SETUP!$F$50="At delivery",IF(SETUP!$G$50=3,$E$587*'Malaria-Pharmaceuticals'!AW14,IF(SETUP!$G$50=2,$E$587*'Malaria-Pharmaceuticals'!AX14,IF(SETUP!$G$50=1,$E$587*'Malaria-Pharmaceuticals'!AY14,0))),0)</f>
        <v>0</v>
      </c>
      <c r="J589" s="1194">
        <f t="shared" ref="J589:J611" si="84">F589+G589+H589+I589</f>
        <v>0</v>
      </c>
      <c r="K589" s="1328">
        <f>IF(SETUP!$F$50="At delivery",IF(SETUP!$G$50=4,$E$587*'Malaria-Pharmaceuticals'!AW14,IF(SETUP!$G$50=3,$E$587*'Malaria-Pharmaceuticals'!AX14,IF(SETUP!$G$50=2,$E$587*'Malaria-Pharmaceuticals'!AY14,IF(SETUP!$G$50=1,$E$587*'Malaria-Pharmaceuticals'!AZ14,0)))),0)</f>
        <v>0</v>
      </c>
      <c r="L589" s="1194">
        <f>IF(SETUP!$F$50="At delivery",IF(SETUP!$G$50=4,$E$587*'Malaria-Pharmaceuticals'!AX14,IF(SETUP!$G$50=3,$E$587*'Malaria-Pharmaceuticals'!AY14,IF(SETUP!$G$50=2,$E$587*'Malaria-Pharmaceuticals'!AZ14,IF(SETUP!$G$50=1,$E$587*'Malaria-Pharmaceuticals'!BA14,0)))),0)</f>
        <v>0</v>
      </c>
      <c r="M589" s="1194">
        <f>IF(SETUP!$F$50="At delivery",IF(SETUP!$G$50=4,$E$587*'Malaria-Pharmaceuticals'!AY14,IF(SETUP!$G$50=3,$E$587*'Malaria-Pharmaceuticals'!AZ14,IF(SETUP!$G$50=2,$E$587*'Malaria-Pharmaceuticals'!BA14,IF(SETUP!$G$50=1,$E$587*'Malaria-Pharmaceuticals'!BB14,0)))),0)</f>
        <v>0</v>
      </c>
      <c r="N589" s="1194">
        <f>IF(SETUP!$F$50="At delivery",IF(SETUP!$G$50=4,$E$587*'Malaria-Pharmaceuticals'!AZ14,IF(SETUP!$G$50=3,$E$587*'Malaria-Pharmaceuticals'!BA14,IF(SETUP!$G$50=2,$E$587*'Malaria-Pharmaceuticals'!BB14,IF(SETUP!$G$50=1,$E$587*'Malaria-Pharmaceuticals'!BC14,0)))),0)</f>
        <v>0</v>
      </c>
      <c r="O589" s="1194">
        <f t="shared" ref="O589:O611" si="85">K589+L589+M589+N589</f>
        <v>0</v>
      </c>
      <c r="P589" s="1328">
        <f>IF(SETUP!$F$50="At delivery",IF(SETUP!$G$50=4,$E$587*'Malaria-Pharmaceuticals'!BA14,IF(SETUP!$G$50=3,$E$587*'Malaria-Pharmaceuticals'!BB14,IF(SETUP!$G$50=2,$E$587*'Malaria-Pharmaceuticals'!BC14,IF(SETUP!$G$50=1,$E$587*'Malaria-Pharmaceuticals'!BD14,0)))),0)</f>
        <v>0</v>
      </c>
      <c r="Q589" s="1194">
        <f>IF(SETUP!$F$50="At delivery",IF(SETUP!$G$50=4,$E$587*'Malaria-Pharmaceuticals'!BB14,IF(SETUP!$G$50=3,$E$587*'Malaria-Pharmaceuticals'!BC14,IF(SETUP!$G$50=2,$E$587*'Malaria-Pharmaceuticals'!BD14,IF(SETUP!$G$50=1,$E$587*'Malaria-Pharmaceuticals'!BE14,0)))),0)</f>
        <v>0</v>
      </c>
      <c r="R589" s="1194">
        <f>IF(SETUP!$F$50="At delivery",IF(SETUP!$G$50=4,$E$587*'Malaria-Pharmaceuticals'!BC14,IF(SETUP!$G$50=3,$E$587*'Malaria-Pharmaceuticals'!BD14,IF(SETUP!$G$50=2,$E$587*'Malaria-Pharmaceuticals'!BE14,IF(SETUP!$G$50=1,$E$587*'Malaria-Pharmaceuticals'!BF14,0)))),0)</f>
        <v>0</v>
      </c>
      <c r="S589" s="1194">
        <f>IF(SETUP!$F$50="At delivery",IF(SETUP!$G$50=4,$E$587*('Malaria-Pharmaceuticals'!BD14+'Malaria-Pharmaceuticals'!BE14+'Malaria-Pharmaceuticals'!BF14+'Malaria-Pharmaceuticals'!BG14+'Malaria-Pharmaceuticals'!BH14),IF(SETUP!$G$50=3,$E$587*('Malaria-Pharmaceuticals'!BE14+'Malaria-Pharmaceuticals'!BF14+'Malaria-Pharmaceuticals'!BG14+'Malaria-Pharmaceuticals'!BH14),IF(SETUP!$G$50=2,$E$587*('Malaria-Pharmaceuticals'!BF14+'Malaria-Pharmaceuticals'!BG14+'Malaria-Pharmaceuticals'!BH14),IF(SETUP!$G$50=1,$E$587*('Malaria-Pharmaceuticals'!BG14+'Malaria-Pharmaceuticals'!BH14),0)))),0)</f>
        <v>0</v>
      </c>
      <c r="T589" s="1194">
        <f t="shared" ref="T589:T611" si="86">P589+Q589+R589+S589</f>
        <v>0</v>
      </c>
      <c r="U589" s="1328">
        <f t="shared" ref="U589:U611" si="87">J589+O589+T589</f>
        <v>0</v>
      </c>
      <c r="V589" s="1826">
        <v>7.5</v>
      </c>
      <c r="W589" s="1837"/>
      <c r="X589" s="764"/>
      <c r="Y589" s="1836"/>
      <c r="Z589" s="850"/>
      <c r="AA589" s="880"/>
      <c r="AB589" s="880"/>
      <c r="AC589" s="880"/>
      <c r="AD589" s="880"/>
      <c r="AE589" s="880"/>
      <c r="AF589" s="880"/>
      <c r="AG589" s="880"/>
      <c r="AH589" s="881"/>
      <c r="AI589" s="880"/>
      <c r="AJ589" s="880"/>
      <c r="AK589" s="880"/>
      <c r="AL589" s="880"/>
      <c r="AM589" s="880"/>
      <c r="AN589" s="880"/>
      <c r="AO589" s="880"/>
      <c r="AP589" s="880"/>
      <c r="AQ589" s="880"/>
      <c r="AR589" s="880"/>
      <c r="AS589" s="880"/>
      <c r="AT589" s="880"/>
      <c r="AU589" s="880"/>
      <c r="AV589" s="880"/>
      <c r="AW589" s="880"/>
      <c r="AX589" s="880"/>
      <c r="AY589" s="880"/>
      <c r="AZ589" s="880"/>
      <c r="BA589" s="880"/>
      <c r="BB589" s="880"/>
      <c r="BC589" s="880"/>
      <c r="BD589" s="880"/>
      <c r="BE589" s="880"/>
      <c r="BF589" s="880"/>
      <c r="BG589" s="880"/>
      <c r="BH589" s="880"/>
      <c r="BI589" s="880"/>
      <c r="BJ589" s="880"/>
      <c r="BK589" s="880"/>
      <c r="BL589" s="880"/>
      <c r="BM589" s="880"/>
      <c r="BN589" s="880"/>
      <c r="BO589" s="880"/>
      <c r="BP589" s="880"/>
      <c r="BQ589" s="880"/>
      <c r="BR589" s="880"/>
      <c r="BS589" s="880"/>
      <c r="BT589" s="880"/>
    </row>
    <row r="590" spans="1:72" s="882" customFormat="1" ht="13.5" hidden="1" collapsed="1" thickBot="1">
      <c r="A590" s="2909"/>
      <c r="B590" s="2910"/>
      <c r="C590" s="2891" t="s">
        <v>578</v>
      </c>
      <c r="D590" s="2892"/>
      <c r="E590" s="2887"/>
      <c r="F590" s="1328">
        <f>IF(SETUP!$F$51="Upfront",F591,F592)</f>
        <v>0</v>
      </c>
      <c r="G590" s="1194">
        <f>IF(SETUP!$F$51="Upfront",G591,G592)</f>
        <v>0</v>
      </c>
      <c r="H590" s="1194">
        <f>IF(SETUP!$F$51="Upfront",H591,H592)</f>
        <v>0</v>
      </c>
      <c r="I590" s="1194">
        <f>IF(SETUP!$F$51="Upfront",I591,I592)</f>
        <v>0</v>
      </c>
      <c r="J590" s="1194">
        <f t="shared" si="84"/>
        <v>0</v>
      </c>
      <c r="K590" s="1328">
        <f>IF(SETUP!$F$51="Upfront",K591,K592)</f>
        <v>0</v>
      </c>
      <c r="L590" s="1194">
        <f>IF(SETUP!$F$51="Upfront",L591,L592)</f>
        <v>0</v>
      </c>
      <c r="M590" s="1194">
        <f>IF(SETUP!$F$51="Upfront",M591,M592)</f>
        <v>0</v>
      </c>
      <c r="N590" s="1194">
        <f>IF(SETUP!$F$51="Upfront",N591,N592)</f>
        <v>0</v>
      </c>
      <c r="O590" s="1194">
        <f t="shared" si="85"/>
        <v>0</v>
      </c>
      <c r="P590" s="1328">
        <f>IF(SETUP!$F$51="Upfront",P591,P592)</f>
        <v>0</v>
      </c>
      <c r="Q590" s="1194">
        <f>IF(SETUP!$F$51="Upfront",Q591,Q592)</f>
        <v>0</v>
      </c>
      <c r="R590" s="1194">
        <f>IF(SETUP!$F$51="Upfront",R591,R592)</f>
        <v>0</v>
      </c>
      <c r="S590" s="1194">
        <f>IF(SETUP!$F$51="Upfront",S591,S592)</f>
        <v>0</v>
      </c>
      <c r="T590" s="1194">
        <f t="shared" si="86"/>
        <v>0</v>
      </c>
      <c r="U590" s="1328">
        <f t="shared" si="87"/>
        <v>0</v>
      </c>
      <c r="V590" s="1826">
        <v>7.5</v>
      </c>
      <c r="W590" s="1837"/>
      <c r="X590" s="764"/>
      <c r="Y590" s="1836"/>
      <c r="Z590" s="850"/>
      <c r="AA590" s="880"/>
      <c r="AB590" s="880"/>
      <c r="AC590" s="880"/>
      <c r="AD590" s="880"/>
      <c r="AE590" s="880"/>
      <c r="AF590" s="880"/>
      <c r="AG590" s="880"/>
      <c r="AH590" s="881"/>
      <c r="AI590" s="880"/>
      <c r="AJ590" s="880"/>
      <c r="AK590" s="880"/>
      <c r="AL590" s="880"/>
      <c r="AM590" s="880"/>
      <c r="AN590" s="880"/>
      <c r="AO590" s="880"/>
      <c r="AP590" s="880"/>
      <c r="AQ590" s="880"/>
      <c r="AR590" s="880"/>
      <c r="AS590" s="880"/>
      <c r="AT590" s="880"/>
      <c r="AU590" s="880"/>
      <c r="AV590" s="880"/>
      <c r="AW590" s="880"/>
      <c r="AX590" s="880"/>
      <c r="AY590" s="880"/>
      <c r="AZ590" s="880"/>
      <c r="BA590" s="880"/>
      <c r="BB590" s="880"/>
      <c r="BC590" s="880"/>
      <c r="BD590" s="880"/>
      <c r="BE590" s="880"/>
      <c r="BF590" s="880"/>
      <c r="BG590" s="880"/>
      <c r="BH590" s="880"/>
      <c r="BI590" s="880"/>
      <c r="BJ590" s="880"/>
      <c r="BK590" s="880"/>
      <c r="BL590" s="880"/>
      <c r="BM590" s="880"/>
      <c r="BN590" s="880"/>
      <c r="BO590" s="880"/>
      <c r="BP590" s="880"/>
      <c r="BQ590" s="880"/>
      <c r="BR590" s="880"/>
      <c r="BS590" s="880"/>
      <c r="BT590" s="880"/>
    </row>
    <row r="591" spans="1:72" s="882" customFormat="1" ht="12.75" hidden="1" customHeight="1" outlineLevel="1">
      <c r="A591" s="2909"/>
      <c r="B591" s="2910"/>
      <c r="C591" s="2889" t="s">
        <v>918</v>
      </c>
      <c r="D591" s="2890"/>
      <c r="E591" s="2887"/>
      <c r="F591" s="1328">
        <f>IF(SETUP!$F$50="Upfront",$E$587*'Malaria-Pharmaceuticals'!AW15,0)</f>
        <v>0</v>
      </c>
      <c r="G591" s="1194">
        <f>IF(SETUP!$F$50="Upfront",$E$587*'Malaria-Pharmaceuticals'!AX15,0)</f>
        <v>0</v>
      </c>
      <c r="H591" s="1194">
        <f>IF(SETUP!$F$50="Upfront",$E$587*'Malaria-Pharmaceuticals'!AY15,0)</f>
        <v>0</v>
      </c>
      <c r="I591" s="1194">
        <f>IF(SETUP!$F$50="Upfront",$E$587*'Malaria-Pharmaceuticals'!AZ15,0)</f>
        <v>0</v>
      </c>
      <c r="J591" s="1194">
        <f t="shared" si="84"/>
        <v>0</v>
      </c>
      <c r="K591" s="1328">
        <f>IF(SETUP!$F$50="Upfront",$E$587*'Malaria-Pharmaceuticals'!BA15,0)</f>
        <v>0</v>
      </c>
      <c r="L591" s="1194">
        <f>IF(SETUP!$F$50="Upfront",$E$587*'Malaria-Pharmaceuticals'!BB15,0)</f>
        <v>0</v>
      </c>
      <c r="M591" s="1194">
        <f>IF(SETUP!$F$50="Upfront",$E$587*'Malaria-Pharmaceuticals'!BC15,0)</f>
        <v>0</v>
      </c>
      <c r="N591" s="1194">
        <f>IF(SETUP!$F$50="Upfront",$E$587*'Malaria-Pharmaceuticals'!BD15,0)</f>
        <v>0</v>
      </c>
      <c r="O591" s="1194">
        <f t="shared" si="85"/>
        <v>0</v>
      </c>
      <c r="P591" s="1328">
        <f>IF(SETUP!$F$50="Upfront",$E$587*'Malaria-Pharmaceuticals'!BE15,0)</f>
        <v>0</v>
      </c>
      <c r="Q591" s="1194">
        <f>IF(SETUP!$F$50="Upfront",$E$587*'Malaria-Pharmaceuticals'!BF15,0)</f>
        <v>0</v>
      </c>
      <c r="R591" s="1194">
        <f>IF(SETUP!$F$50="Upfront",$E$587*'Malaria-Pharmaceuticals'!BG15,0)</f>
        <v>0</v>
      </c>
      <c r="S591" s="1194">
        <f>IF(SETUP!$F$50="Upfront",$E$587*'Malaria-Pharmaceuticals'!BH15,0)</f>
        <v>0</v>
      </c>
      <c r="T591" s="1194">
        <f t="shared" si="86"/>
        <v>0</v>
      </c>
      <c r="U591" s="1328">
        <f t="shared" si="87"/>
        <v>0</v>
      </c>
      <c r="V591" s="1826">
        <v>7.5</v>
      </c>
      <c r="W591" s="1837"/>
      <c r="X591" s="764"/>
      <c r="Y591" s="1836"/>
      <c r="Z591" s="850"/>
      <c r="AA591" s="880"/>
      <c r="AB591" s="880"/>
      <c r="AC591" s="880"/>
      <c r="AD591" s="880"/>
      <c r="AE591" s="880"/>
      <c r="AF591" s="880"/>
      <c r="AG591" s="880"/>
      <c r="AH591" s="881"/>
      <c r="AI591" s="880"/>
      <c r="AJ591" s="880"/>
      <c r="AK591" s="880"/>
      <c r="AL591" s="880"/>
      <c r="AM591" s="880"/>
      <c r="AN591" s="880"/>
      <c r="AO591" s="880"/>
      <c r="AP591" s="880"/>
      <c r="AQ591" s="880"/>
      <c r="AR591" s="880"/>
      <c r="AS591" s="880"/>
      <c r="AT591" s="880"/>
      <c r="AU591" s="880"/>
      <c r="AV591" s="880"/>
      <c r="AW591" s="880"/>
      <c r="AX591" s="880"/>
      <c r="AY591" s="880"/>
      <c r="AZ591" s="880"/>
      <c r="BA591" s="880"/>
      <c r="BB591" s="880"/>
      <c r="BC591" s="880"/>
      <c r="BD591" s="880"/>
      <c r="BE591" s="880"/>
      <c r="BF591" s="880"/>
      <c r="BG591" s="880"/>
      <c r="BH591" s="880"/>
      <c r="BI591" s="880"/>
      <c r="BJ591" s="880"/>
      <c r="BK591" s="880"/>
      <c r="BL591" s="880"/>
      <c r="BM591" s="880"/>
      <c r="BN591" s="880"/>
      <c r="BO591" s="880"/>
      <c r="BP591" s="880"/>
      <c r="BQ591" s="880"/>
      <c r="BR591" s="880"/>
      <c r="BS591" s="880"/>
      <c r="BT591" s="880"/>
    </row>
    <row r="592" spans="1:72" s="882" customFormat="1" ht="13.5" hidden="1" customHeight="1" outlineLevel="1">
      <c r="A592" s="2909"/>
      <c r="B592" s="2910"/>
      <c r="C592" s="2889" t="s">
        <v>36</v>
      </c>
      <c r="D592" s="2890"/>
      <c r="E592" s="2888"/>
      <c r="F592" s="1328">
        <v>0</v>
      </c>
      <c r="G592" s="1194">
        <f>IF(SETUP!$F$51="At delivery",IF(SETUP!$G$51=1,$E$587*'Malaria-Pharmaceuticals'!AW15,0),0)</f>
        <v>0</v>
      </c>
      <c r="H592" s="1194">
        <f>IF(SETUP!$F$51="At delivery",IF(SETUP!$G$51=2,$E$587*'Malaria-Pharmaceuticals'!AW15,IF(SETUP!$G$51=1,$E$587*'Malaria-Pharmaceuticals'!AX15,0)),0)</f>
        <v>0</v>
      </c>
      <c r="I592" s="1194">
        <f>IF(SETUP!$F$51="At delivery",IF(SETUP!$G$51=3,$E$587*'Malaria-Pharmaceuticals'!AW15,IF(SETUP!$G$51=2,$E$587*'Malaria-Pharmaceuticals'!AX15,IF(SETUP!$G$51=1,$E$587*'Malaria-Pharmaceuticals'!AY15,0))),0)</f>
        <v>0</v>
      </c>
      <c r="J592" s="1194">
        <f t="shared" si="84"/>
        <v>0</v>
      </c>
      <c r="K592" s="1328">
        <f>IF(SETUP!$F$51="At delivery",IF(SETUP!$G$51=4,$E$587*'Malaria-Pharmaceuticals'!AW15,IF(SETUP!$G$51=3,$E$587*'Malaria-Pharmaceuticals'!AX15,IF(SETUP!$G$51=2,$E$587*'Malaria-Pharmaceuticals'!AY15,IF(SETUP!$G$51=1,$E$587*'Malaria-Pharmaceuticals'!AZ15,0)))),0)</f>
        <v>0</v>
      </c>
      <c r="L592" s="1194">
        <f>IF(SETUP!$F$51="At delivery",IF(SETUP!$G$51=4,$E$587*'Malaria-Pharmaceuticals'!AX15,IF(SETUP!$G$51=3,$E$587*'Malaria-Pharmaceuticals'!AY15,IF(SETUP!$G$51=2,$E$587*'Malaria-Pharmaceuticals'!AZ15,IF(SETUP!$G$51=1,$E$587*'Malaria-Pharmaceuticals'!BA15,0)))),0)</f>
        <v>0</v>
      </c>
      <c r="M592" s="1194">
        <f>IF(SETUP!$F$51="At delivery",IF(SETUP!$G$51=4,$E$587*'Malaria-Pharmaceuticals'!AY15,IF(SETUP!$G$51=3,$E$587*'Malaria-Pharmaceuticals'!AZ15,IF(SETUP!$G$51=2,$E$587*'Malaria-Pharmaceuticals'!BA15,IF(SETUP!$G$51=1,$E$587*'Malaria-Pharmaceuticals'!BB15,0)))),0)</f>
        <v>0</v>
      </c>
      <c r="N592" s="1194">
        <f>IF(SETUP!$F$51="At delivery",IF(SETUP!$G$51=4,$E$587*'Malaria-Pharmaceuticals'!AZ15,IF(SETUP!$G$51=3,$E$587*'Malaria-Pharmaceuticals'!BA15,IF(SETUP!$G$51=2,$E$587*'Malaria-Pharmaceuticals'!BB15,IF(SETUP!$G$51=1,$E$587*'Malaria-Pharmaceuticals'!BC15,0)))),0)</f>
        <v>0</v>
      </c>
      <c r="O592" s="1194">
        <f t="shared" si="85"/>
        <v>0</v>
      </c>
      <c r="P592" s="1328">
        <f>IF(SETUP!$F$51="At delivery",IF(SETUP!$G$51=4,$E$587*'Malaria-Pharmaceuticals'!BA15,IF(SETUP!$G$51=3,$E$587*'Malaria-Pharmaceuticals'!BB15,IF(SETUP!$G$51=2,$E$587*'Malaria-Pharmaceuticals'!BC15,IF(SETUP!$G$51=1,$E$587*'Malaria-Pharmaceuticals'!BD15,0)))),0)</f>
        <v>0</v>
      </c>
      <c r="Q592" s="1194">
        <f>IF(SETUP!$F$51="At delivery",IF(SETUP!$G$51=4,$E$587*'Malaria-Pharmaceuticals'!BB15,IF(SETUP!$G$51=3,$E$587*'Malaria-Pharmaceuticals'!BC15,IF(SETUP!$G$51=2,$E$587*'Malaria-Pharmaceuticals'!BD15,IF(SETUP!$G$51=1,$E$587*'Malaria-Pharmaceuticals'!BE15,0)))),0)</f>
        <v>0</v>
      </c>
      <c r="R592" s="1194">
        <f>IF(SETUP!$F$51="At delivery",IF(SETUP!$G$51=4,$E$587*'Malaria-Pharmaceuticals'!BC15,IF(SETUP!$G$51=3,$E$587*'Malaria-Pharmaceuticals'!BD15,IF(SETUP!$G$51=2,$E$587*'Malaria-Pharmaceuticals'!BE15,IF(SETUP!$G$51=1,$E$587*'Malaria-Pharmaceuticals'!BF15,0)))),0)</f>
        <v>0</v>
      </c>
      <c r="S592" s="1194">
        <f>IF(SETUP!$F$51="At delivery",IF(SETUP!$G$51=4,$E$587*('Malaria-Pharmaceuticals'!BD15+'Malaria-Pharmaceuticals'!BE15+'Malaria-Pharmaceuticals'!BF15+'Malaria-Pharmaceuticals'!BG15+'Malaria-Pharmaceuticals'!BH15),IF(SETUP!$G$51=3,$E$587*('Malaria-Pharmaceuticals'!BE15+'Malaria-Pharmaceuticals'!BF15+'Malaria-Pharmaceuticals'!BG15+'Malaria-Pharmaceuticals'!BH15),IF(SETUP!$G$51=2,$E$587*('Malaria-Pharmaceuticals'!BF15+'Malaria-Pharmaceuticals'!BG15+'Malaria-Pharmaceuticals'!BH15),IF(SETUP!$G$51=1,$E$587*('Malaria-Pharmaceuticals'!BG15+'Malaria-Pharmaceuticals'!BH15),0)))),0)</f>
        <v>0</v>
      </c>
      <c r="T592" s="1194">
        <f t="shared" si="86"/>
        <v>0</v>
      </c>
      <c r="U592" s="1328">
        <f t="shared" si="87"/>
        <v>0</v>
      </c>
      <c r="V592" s="1826">
        <v>7.5</v>
      </c>
      <c r="W592" s="1837"/>
      <c r="X592" s="764"/>
      <c r="Y592" s="1836"/>
      <c r="Z592" s="850"/>
      <c r="AA592" s="880"/>
      <c r="AB592" s="880"/>
      <c r="AC592" s="880"/>
      <c r="AD592" s="880"/>
      <c r="AE592" s="880"/>
      <c r="AF592" s="880"/>
      <c r="AG592" s="880"/>
      <c r="AH592" s="881"/>
      <c r="AI592" s="880"/>
      <c r="AJ592" s="880"/>
      <c r="AK592" s="880"/>
      <c r="AL592" s="880"/>
      <c r="AM592" s="880"/>
      <c r="AN592" s="880"/>
      <c r="AO592" s="880"/>
      <c r="AP592" s="880"/>
      <c r="AQ592" s="880"/>
      <c r="AR592" s="880"/>
      <c r="AS592" s="880"/>
      <c r="AT592" s="880"/>
      <c r="AU592" s="880"/>
      <c r="AV592" s="880"/>
      <c r="AW592" s="880"/>
      <c r="AX592" s="880"/>
      <c r="AY592" s="880"/>
      <c r="AZ592" s="880"/>
      <c r="BA592" s="880"/>
      <c r="BB592" s="880"/>
      <c r="BC592" s="880"/>
      <c r="BD592" s="880"/>
      <c r="BE592" s="880"/>
      <c r="BF592" s="880"/>
      <c r="BG592" s="880"/>
      <c r="BH592" s="880"/>
      <c r="BI592" s="880"/>
      <c r="BJ592" s="880"/>
      <c r="BK592" s="880"/>
      <c r="BL592" s="880"/>
      <c r="BM592" s="880"/>
      <c r="BN592" s="880"/>
      <c r="BO592" s="880"/>
      <c r="BP592" s="880"/>
      <c r="BQ592" s="880"/>
      <c r="BR592" s="880"/>
      <c r="BS592" s="880"/>
      <c r="BT592" s="880"/>
    </row>
    <row r="593" spans="1:72" s="882" customFormat="1" ht="16.149999999999999" hidden="1" customHeight="1" collapsed="1">
      <c r="A593" s="2985" t="s">
        <v>579</v>
      </c>
      <c r="B593" s="2986"/>
      <c r="C593" s="2907" t="s">
        <v>311</v>
      </c>
      <c r="D593" s="2908"/>
      <c r="E593" s="2886">
        <v>1E-4</v>
      </c>
      <c r="F593" s="1328">
        <f>IF(SETUP!$F$52="Upfront",F594,F595)</f>
        <v>0</v>
      </c>
      <c r="G593" s="1194">
        <f>IF(SETUP!$F$52="Upfront",G594,G595)</f>
        <v>0</v>
      </c>
      <c r="H593" s="1194">
        <f>IF(SETUP!$F$52="Upfront",H594,H595)</f>
        <v>0</v>
      </c>
      <c r="I593" s="1194">
        <f>IF(SETUP!$F$52="Upfront",I594,I595)</f>
        <v>0</v>
      </c>
      <c r="J593" s="1194">
        <f t="shared" si="84"/>
        <v>0</v>
      </c>
      <c r="K593" s="1328">
        <f>IF(SETUP!$F$52="Upfront",K594,K595)</f>
        <v>0</v>
      </c>
      <c r="L593" s="1194">
        <f>IF(SETUP!$F$52="Upfront",L594,L595)</f>
        <v>0</v>
      </c>
      <c r="M593" s="1194">
        <f>IF(SETUP!$F$52="Upfront",M594,M595)</f>
        <v>0</v>
      </c>
      <c r="N593" s="1194">
        <f>IF(SETUP!$F$52="Upfront",N594,N595)</f>
        <v>0</v>
      </c>
      <c r="O593" s="1194">
        <f t="shared" si="85"/>
        <v>0</v>
      </c>
      <c r="P593" s="1328">
        <f>IF(SETUP!$F$52="Upfront",P594,P595)</f>
        <v>0</v>
      </c>
      <c r="Q593" s="1194">
        <f>IF(SETUP!$F$52="Upfront",Q594,Q595)</f>
        <v>0</v>
      </c>
      <c r="R593" s="1194">
        <f>IF(SETUP!$F$52="Upfront",R594,R595)</f>
        <v>0</v>
      </c>
      <c r="S593" s="1194">
        <f>IF(SETUP!$F$52="Upfront",S594,S595)</f>
        <v>0</v>
      </c>
      <c r="T593" s="1194">
        <f t="shared" si="86"/>
        <v>0</v>
      </c>
      <c r="U593" s="1328">
        <f t="shared" si="87"/>
        <v>0</v>
      </c>
      <c r="V593" s="1826">
        <v>7.5</v>
      </c>
      <c r="W593" s="1837"/>
      <c r="X593" s="764"/>
      <c r="Y593" s="1836"/>
      <c r="Z593" s="850"/>
      <c r="AA593" s="880"/>
      <c r="AB593" s="880"/>
      <c r="AC593" s="880"/>
      <c r="AD593" s="880"/>
      <c r="AE593" s="880"/>
      <c r="AF593" s="880"/>
      <c r="AG593" s="880"/>
      <c r="AH593" s="881"/>
      <c r="AI593" s="880"/>
      <c r="AJ593" s="880"/>
      <c r="AK593" s="880"/>
      <c r="AL593" s="880"/>
      <c r="AM593" s="880"/>
      <c r="AN593" s="880"/>
      <c r="AO593" s="880"/>
      <c r="AP593" s="880"/>
      <c r="AQ593" s="880"/>
      <c r="AR593" s="880"/>
      <c r="AS593" s="880"/>
      <c r="AT593" s="880"/>
      <c r="AU593" s="880"/>
      <c r="AV593" s="880"/>
      <c r="AW593" s="880"/>
      <c r="AX593" s="880"/>
      <c r="AY593" s="880"/>
      <c r="AZ593" s="880"/>
      <c r="BA593" s="880"/>
      <c r="BB593" s="880"/>
      <c r="BC593" s="880"/>
      <c r="BD593" s="880"/>
      <c r="BE593" s="880"/>
      <c r="BF593" s="880"/>
      <c r="BG593" s="880"/>
      <c r="BH593" s="880"/>
      <c r="BI593" s="880"/>
      <c r="BJ593" s="880"/>
      <c r="BK593" s="880"/>
      <c r="BL593" s="880"/>
      <c r="BM593" s="880"/>
      <c r="BN593" s="880"/>
      <c r="BO593" s="880"/>
      <c r="BP593" s="880"/>
      <c r="BQ593" s="880"/>
      <c r="BR593" s="880"/>
      <c r="BS593" s="880"/>
      <c r="BT593" s="880"/>
    </row>
    <row r="594" spans="1:72" s="882" customFormat="1" ht="16.149999999999999" hidden="1" customHeight="1" outlineLevel="1">
      <c r="A594" s="2985"/>
      <c r="B594" s="2986"/>
      <c r="C594" s="2889" t="s">
        <v>918</v>
      </c>
      <c r="D594" s="2890"/>
      <c r="E594" s="2887"/>
      <c r="F594" s="1328">
        <f>IF(SETUP!$F$52="Upfront",$E$593*'Malaria-Equipment &amp; Other HPs'!AW14,0)</f>
        <v>0</v>
      </c>
      <c r="G594" s="1194">
        <f>IF(SETUP!$F$52="Upfront",$E$593*'Malaria-Equipment &amp; Other HPs'!AX14,0)</f>
        <v>0</v>
      </c>
      <c r="H594" s="1194">
        <f>IF(SETUP!$F$52="Upfront",$E$593*'Malaria-Equipment &amp; Other HPs'!AY14,0)</f>
        <v>0</v>
      </c>
      <c r="I594" s="1194">
        <f>IF(SETUP!$F$52="Upfront",$E$593*'Malaria-Equipment &amp; Other HPs'!AZ14,0)</f>
        <v>0</v>
      </c>
      <c r="J594" s="1194">
        <f t="shared" si="84"/>
        <v>0</v>
      </c>
      <c r="K594" s="1328">
        <f>IF(SETUP!$F$52="Upfront",$E$593*'Malaria-Equipment &amp; Other HPs'!BA14,0)</f>
        <v>0</v>
      </c>
      <c r="L594" s="1194">
        <f>IF(SETUP!$F$52="Upfront",$E$593*'Malaria-Equipment &amp; Other HPs'!BB14,0)</f>
        <v>0</v>
      </c>
      <c r="M594" s="1194">
        <f>IF(SETUP!$F$52="Upfront",$E$593*'Malaria-Equipment &amp; Other HPs'!BC14,0)</f>
        <v>0</v>
      </c>
      <c r="N594" s="1194">
        <f>IF(SETUP!$F$52="Upfront",$E$593*'Malaria-Equipment &amp; Other HPs'!BD14,0)</f>
        <v>0</v>
      </c>
      <c r="O594" s="1194">
        <f t="shared" si="85"/>
        <v>0</v>
      </c>
      <c r="P594" s="1328">
        <f>IF(SETUP!$F$52="Upfront",$E$593*'Malaria-Equipment &amp; Other HPs'!BE14,0)</f>
        <v>0</v>
      </c>
      <c r="Q594" s="1194">
        <f>IF(SETUP!$F$52="Upfront",$E$593*'Malaria-Equipment &amp; Other HPs'!BF14,0)</f>
        <v>0</v>
      </c>
      <c r="R594" s="1194">
        <f>IF(SETUP!$F$52="Upfront",$E$593*'Malaria-Equipment &amp; Other HPs'!BG14,0)</f>
        <v>0</v>
      </c>
      <c r="S594" s="1194">
        <f>IF(SETUP!$F$52="Upfront",$E$593*'Malaria-Equipment &amp; Other HPs'!BH14,0)</f>
        <v>0</v>
      </c>
      <c r="T594" s="1194">
        <f t="shared" si="86"/>
        <v>0</v>
      </c>
      <c r="U594" s="1328">
        <f t="shared" si="87"/>
        <v>0</v>
      </c>
      <c r="V594" s="1826">
        <v>7.5</v>
      </c>
      <c r="W594" s="1837"/>
      <c r="X594" s="764"/>
      <c r="Y594" s="1836"/>
      <c r="Z594" s="850"/>
      <c r="AA594" s="880"/>
      <c r="AB594" s="880"/>
      <c r="AC594" s="880"/>
      <c r="AD594" s="880"/>
      <c r="AE594" s="880"/>
      <c r="AF594" s="880"/>
      <c r="AG594" s="880"/>
      <c r="AH594" s="881"/>
      <c r="AI594" s="880"/>
      <c r="AJ594" s="880"/>
      <c r="AK594" s="880"/>
      <c r="AL594" s="880"/>
      <c r="AM594" s="880"/>
      <c r="AN594" s="880"/>
      <c r="AO594" s="880"/>
      <c r="AP594" s="880"/>
      <c r="AQ594" s="880"/>
      <c r="AR594" s="880"/>
      <c r="AS594" s="880"/>
      <c r="AT594" s="880"/>
      <c r="AU594" s="880"/>
      <c r="AV594" s="880"/>
      <c r="AW594" s="880"/>
      <c r="AX594" s="880"/>
      <c r="AY594" s="880"/>
      <c r="AZ594" s="880"/>
      <c r="BA594" s="880"/>
      <c r="BB594" s="880"/>
      <c r="BC594" s="880"/>
      <c r="BD594" s="880"/>
      <c r="BE594" s="880"/>
      <c r="BF594" s="880"/>
      <c r="BG594" s="880"/>
      <c r="BH594" s="880"/>
      <c r="BI594" s="880"/>
      <c r="BJ594" s="880"/>
      <c r="BK594" s="880"/>
      <c r="BL594" s="880"/>
      <c r="BM594" s="880"/>
      <c r="BN594" s="880"/>
      <c r="BO594" s="880"/>
      <c r="BP594" s="880"/>
      <c r="BQ594" s="880"/>
      <c r="BR594" s="880"/>
      <c r="BS594" s="880"/>
      <c r="BT594" s="880"/>
    </row>
    <row r="595" spans="1:72" s="882" customFormat="1" ht="17.25" hidden="1" customHeight="1" outlineLevel="1">
      <c r="A595" s="2985"/>
      <c r="B595" s="2986"/>
      <c r="C595" s="2889" t="s">
        <v>36</v>
      </c>
      <c r="D595" s="2890"/>
      <c r="E595" s="2887"/>
      <c r="F595" s="1328">
        <v>0</v>
      </c>
      <c r="G595" s="1194">
        <f>IF(SETUP!$F$52="At delivery",IF(SETUP!$G$52=1,$E$593*'Malaria-Equipment &amp; Other HPs'!AW14,0),0)</f>
        <v>0</v>
      </c>
      <c r="H595" s="1194">
        <f>IF(SETUP!$F$52="At delivery",IF(SETUP!$G$52=2,$E$593*'Malaria-Equipment &amp; Other HPs'!AW14,IF(SETUP!$G$52=1,$E$593*'Malaria-Equipment &amp; Other HPs'!AX14,0)),0)</f>
        <v>0</v>
      </c>
      <c r="I595" s="1194">
        <f>IF(SETUP!$F$52="At delivery",IF(SETUP!$G$52=3,$E$593*'Malaria-Equipment &amp; Other HPs'!AW14,IF(SETUP!$G$52=2,$E$593*'Malaria-Equipment &amp; Other HPs'!AX14,IF(SETUP!$G$52=1,$E$593*'Malaria-Equipment &amp; Other HPs'!AY14,0))),0)</f>
        <v>0</v>
      </c>
      <c r="J595" s="1194">
        <f t="shared" si="84"/>
        <v>0</v>
      </c>
      <c r="K595" s="1328">
        <f>IF(SETUP!$F$52="At delivery",IF(SETUP!$G$52=4,$E$593*'Malaria-Equipment &amp; Other HPs'!AW14,IF(SETUP!$G$52=3,$E$593*'Malaria-Equipment &amp; Other HPs'!AX14,IF(SETUP!$G$52=2,$E$593*'Malaria-Equipment &amp; Other HPs'!AY14,IF(SETUP!$G$52=1,$E$593*'Malaria-Equipment &amp; Other HPs'!AZ14,0)))),0)</f>
        <v>0</v>
      </c>
      <c r="L595" s="1194">
        <f>IF(SETUP!$F$52="At delivery",IF(SETUP!$G$52=4,$E$593*'Malaria-Equipment &amp; Other HPs'!AX14,IF(SETUP!$G$52=3,$E$593*'Malaria-Equipment &amp; Other HPs'!AY14,IF(SETUP!$G$52=2,$E$593*'Malaria-Equipment &amp; Other HPs'!AZ14,IF(SETUP!$G$52=1,$E$593*'Malaria-Equipment &amp; Other HPs'!BA14,0)))),0)</f>
        <v>0</v>
      </c>
      <c r="M595" s="1194">
        <f>IF(SETUP!$F$52="At delivery",IF(SETUP!$G$52=4,$E$593*'Malaria-Equipment &amp; Other HPs'!AY14,IF(SETUP!$G$52=3,$E$593*'Malaria-Equipment &amp; Other HPs'!AZ14,IF(SETUP!$G$52=2,$E$593*'Malaria-Equipment &amp; Other HPs'!BA14,IF(SETUP!$G$52=1,$E$593*'Malaria-Equipment &amp; Other HPs'!BB14,0)))),0)</f>
        <v>0</v>
      </c>
      <c r="N595" s="1194">
        <f>IF(SETUP!$F$52="At delivery",IF(SETUP!$G$52=4,$E$593*'Malaria-Equipment &amp; Other HPs'!AZ14,IF(SETUP!$G$52=3,$E$593*'Malaria-Equipment &amp; Other HPs'!BA14,IF(SETUP!$G$52=2,$E$593*'Malaria-Equipment &amp; Other HPs'!BB14,IF(SETUP!$G$52=1,$E$593*'Malaria-Equipment &amp; Other HPs'!BC14,0)))),0)</f>
        <v>0</v>
      </c>
      <c r="O595" s="1194">
        <f t="shared" si="85"/>
        <v>0</v>
      </c>
      <c r="P595" s="1328">
        <f>IF(SETUP!$F$52="At delivery",IF(SETUP!$G$52=4,$E$593*'Malaria-Equipment &amp; Other HPs'!BA14,IF(SETUP!$G$52=3,$E$593*'Malaria-Equipment &amp; Other HPs'!BB14,IF(SETUP!$G$52=2,$E$593*'Malaria-Equipment &amp; Other HPs'!BC14,IF(SETUP!$G$52=1,$E$593*'Malaria-Equipment &amp; Other HPs'!BD14,0)))),0)</f>
        <v>0</v>
      </c>
      <c r="Q595" s="1194">
        <f>IF(SETUP!$F$52="At delivery",IF(SETUP!$G$52=4,$E$593*'Malaria-Equipment &amp; Other HPs'!BB14,IF(SETUP!$G$52=3,$E$593*'Malaria-Equipment &amp; Other HPs'!BC14,IF(SETUP!$G$52=2,$E$593*'Malaria-Equipment &amp; Other HPs'!BD14,IF(SETUP!$G$52=1,$E$593*'Malaria-Equipment &amp; Other HPs'!BE14,0)))),0)</f>
        <v>0</v>
      </c>
      <c r="R595" s="1194">
        <f>IF(SETUP!$F$52="At delivery",IF(SETUP!$G$52=4,$E$593*'Malaria-Equipment &amp; Other HPs'!BC14,IF(SETUP!$G$52=3,$E$593*'Malaria-Equipment &amp; Other HPs'!BD14,IF(SETUP!$G$52=2,$E$593*'Malaria-Equipment &amp; Other HPs'!BE14,IF(SETUP!$G$52=1,$E$593*'Malaria-Equipment &amp; Other HPs'!BF14,0)))),0)</f>
        <v>0</v>
      </c>
      <c r="S595" s="1194">
        <f>IF(SETUP!$F$52="At delivery",IF(SETUP!$G$52=4,$E$593*('Malaria-Equipment &amp; Other HPs'!BD14+'Malaria-Equipment &amp; Other HPs'!BE14+'Malaria-Equipment &amp; Other HPs'!BF14+'Malaria-Equipment &amp; Other HPs'!BG14+'Malaria-Equipment &amp; Other HPs'!BH14),IF(SETUP!$G$52=3,$E$593*('Malaria-Equipment &amp; Other HPs'!BE14+'Malaria-Equipment &amp; Other HPs'!BF14+'Malaria-Equipment &amp; Other HPs'!BG14+'Malaria-Equipment &amp; Other HPs'!BH14),IF(SETUP!$G$52=2,$E$593*('Malaria-Equipment &amp; Other HPs'!BF14+'Malaria-Equipment &amp; Other HPs'!BG14+'Malaria-Equipment &amp; Other HPs'!BH14),IF(SETUP!$G$52=1,$E$593*('Malaria-Equipment &amp; Other HPs'!BG14+'Malaria-Equipment &amp; Other HPs'!BH14),0)))),0)</f>
        <v>0</v>
      </c>
      <c r="T595" s="1194">
        <f t="shared" si="86"/>
        <v>0</v>
      </c>
      <c r="U595" s="1328">
        <f t="shared" si="87"/>
        <v>0</v>
      </c>
      <c r="V595" s="1826">
        <v>7.5</v>
      </c>
      <c r="W595" s="1837"/>
      <c r="X595" s="764"/>
      <c r="Y595" s="1836"/>
      <c r="Z595" s="850"/>
      <c r="AA595" s="880"/>
      <c r="AB595" s="880"/>
      <c r="AC595" s="880"/>
      <c r="AD595" s="880"/>
      <c r="AE595" s="880"/>
      <c r="AF595" s="880"/>
      <c r="AG595" s="880"/>
      <c r="AH595" s="881"/>
      <c r="AI595" s="880"/>
      <c r="AJ595" s="880"/>
      <c r="AK595" s="880"/>
      <c r="AL595" s="880"/>
      <c r="AM595" s="880"/>
      <c r="AN595" s="880"/>
      <c r="AO595" s="880"/>
      <c r="AP595" s="880"/>
      <c r="AQ595" s="880"/>
      <c r="AR595" s="880"/>
      <c r="AS595" s="880"/>
      <c r="AT595" s="880"/>
      <c r="AU595" s="880"/>
      <c r="AV595" s="880"/>
      <c r="AW595" s="880"/>
      <c r="AX595" s="880"/>
      <c r="AY595" s="880"/>
      <c r="AZ595" s="880"/>
      <c r="BA595" s="880"/>
      <c r="BB595" s="880"/>
      <c r="BC595" s="880"/>
      <c r="BD595" s="880"/>
      <c r="BE595" s="880"/>
      <c r="BF595" s="880"/>
      <c r="BG595" s="880"/>
      <c r="BH595" s="880"/>
      <c r="BI595" s="880"/>
      <c r="BJ595" s="880"/>
      <c r="BK595" s="880"/>
      <c r="BL595" s="880"/>
      <c r="BM595" s="880"/>
      <c r="BN595" s="880"/>
      <c r="BO595" s="880"/>
      <c r="BP595" s="880"/>
      <c r="BQ595" s="880"/>
      <c r="BR595" s="880"/>
      <c r="BS595" s="880"/>
      <c r="BT595" s="880"/>
    </row>
    <row r="596" spans="1:72" s="882" customFormat="1" ht="13.5" hidden="1" collapsed="1" thickBot="1">
      <c r="A596" s="2985"/>
      <c r="B596" s="2986"/>
      <c r="C596" s="2907" t="s">
        <v>580</v>
      </c>
      <c r="D596" s="2908"/>
      <c r="E596" s="2887"/>
      <c r="F596" s="1328">
        <f>IF(SETUP!$F$53="Upfront",F597,F598)</f>
        <v>0</v>
      </c>
      <c r="G596" s="1194">
        <f>IF(SETUP!$F$53="Upfront",G597,G598)</f>
        <v>0</v>
      </c>
      <c r="H596" s="1194">
        <f>IF(SETUP!$F$53="Upfront",H597,H598)</f>
        <v>0</v>
      </c>
      <c r="I596" s="1194">
        <f>IF(SETUP!$F$53="Upfront",I597,I598)</f>
        <v>0</v>
      </c>
      <c r="J596" s="1194">
        <f t="shared" si="84"/>
        <v>0</v>
      </c>
      <c r="K596" s="1328">
        <f>IF(SETUP!$F$53="Upfront",K597,K598)</f>
        <v>0</v>
      </c>
      <c r="L596" s="1194">
        <f>IF(SETUP!$F$53="Upfront",L597,L598)</f>
        <v>0</v>
      </c>
      <c r="M596" s="1194">
        <f>IF(SETUP!$F$53="Upfront",M597,M598)</f>
        <v>0</v>
      </c>
      <c r="N596" s="1194">
        <f>IF(SETUP!$F$53="Upfront",N597,N598)</f>
        <v>0</v>
      </c>
      <c r="O596" s="1194">
        <f t="shared" si="85"/>
        <v>0</v>
      </c>
      <c r="P596" s="1328">
        <f>IF(SETUP!$F$53="Upfront",P597,P598)</f>
        <v>0</v>
      </c>
      <c r="Q596" s="1194">
        <f>IF(SETUP!$F$53="Upfront",Q597,Q598)</f>
        <v>0</v>
      </c>
      <c r="R596" s="1194">
        <f>IF(SETUP!$F$53="Upfront",R597,R598)</f>
        <v>0</v>
      </c>
      <c r="S596" s="1194">
        <f>IF(SETUP!$F$53="Upfront",S597,S598)</f>
        <v>0</v>
      </c>
      <c r="T596" s="1194">
        <f t="shared" si="86"/>
        <v>0</v>
      </c>
      <c r="U596" s="1328">
        <f t="shared" si="87"/>
        <v>0</v>
      </c>
      <c r="V596" s="1826">
        <v>7.5</v>
      </c>
      <c r="W596" s="1837"/>
      <c r="X596" s="764"/>
      <c r="Y596" s="1836"/>
      <c r="Z596" s="850"/>
      <c r="AA596" s="880"/>
      <c r="AB596" s="880"/>
      <c r="AC596" s="880"/>
      <c r="AD596" s="880"/>
      <c r="AE596" s="880"/>
      <c r="AF596" s="880"/>
      <c r="AG596" s="880"/>
      <c r="AH596" s="881"/>
      <c r="AI596" s="880"/>
      <c r="AJ596" s="880"/>
      <c r="AK596" s="880"/>
      <c r="AL596" s="880"/>
      <c r="AM596" s="880"/>
      <c r="AN596" s="880"/>
      <c r="AO596" s="880"/>
      <c r="AP596" s="880"/>
      <c r="AQ596" s="880"/>
      <c r="AR596" s="880"/>
      <c r="AS596" s="880"/>
      <c r="AT596" s="880"/>
      <c r="AU596" s="880"/>
      <c r="AV596" s="880"/>
      <c r="AW596" s="880"/>
      <c r="AX596" s="880"/>
      <c r="AY596" s="880"/>
      <c r="AZ596" s="880"/>
      <c r="BA596" s="880"/>
      <c r="BB596" s="880"/>
      <c r="BC596" s="880"/>
      <c r="BD596" s="880"/>
      <c r="BE596" s="880"/>
      <c r="BF596" s="880"/>
      <c r="BG596" s="880"/>
      <c r="BH596" s="880"/>
      <c r="BI596" s="880"/>
      <c r="BJ596" s="880"/>
      <c r="BK596" s="880"/>
      <c r="BL596" s="880"/>
      <c r="BM596" s="880"/>
      <c r="BN596" s="880"/>
      <c r="BO596" s="880"/>
      <c r="BP596" s="880"/>
      <c r="BQ596" s="880"/>
      <c r="BR596" s="880"/>
      <c r="BS596" s="880"/>
      <c r="BT596" s="880"/>
    </row>
    <row r="597" spans="1:72" s="882" customFormat="1" ht="16.149999999999999" hidden="1" customHeight="1" outlineLevel="1">
      <c r="A597" s="2985"/>
      <c r="B597" s="2986"/>
      <c r="C597" s="2889" t="s">
        <v>918</v>
      </c>
      <c r="D597" s="2890"/>
      <c r="E597" s="2887"/>
      <c r="F597" s="1328">
        <f>IF(SETUP!$F$52="Upfront",$E$593*'Malaria-Equipment &amp; Other HPs'!AW15,0)</f>
        <v>0</v>
      </c>
      <c r="G597" s="1194">
        <f>IF(SETUP!$F$52="Upfront",$E$593*'Malaria-Equipment &amp; Other HPs'!AX15,0)</f>
        <v>0</v>
      </c>
      <c r="H597" s="1194">
        <f>IF(SETUP!$F$52="Upfront",$E$593*'Malaria-Equipment &amp; Other HPs'!AY15,0)</f>
        <v>0</v>
      </c>
      <c r="I597" s="1194">
        <f>IF(SETUP!$F$52="Upfront",$E$593*'Malaria-Equipment &amp; Other HPs'!AZ15,0)</f>
        <v>0</v>
      </c>
      <c r="J597" s="1194">
        <f t="shared" si="84"/>
        <v>0</v>
      </c>
      <c r="K597" s="1328">
        <f>IF(SETUP!$F$52="Upfront",$E$593*'Malaria-Equipment &amp; Other HPs'!BA15,0)</f>
        <v>0</v>
      </c>
      <c r="L597" s="1194">
        <f>IF(SETUP!$F$52="Upfront",$E$593*'Malaria-Equipment &amp; Other HPs'!BB15,0)</f>
        <v>0</v>
      </c>
      <c r="M597" s="1194">
        <f>IF(SETUP!$F$52="Upfront",$E$593*'Malaria-Equipment &amp; Other HPs'!BC15,0)</f>
        <v>0</v>
      </c>
      <c r="N597" s="1194">
        <f>IF(SETUP!$F$52="Upfront",$E$593*'Malaria-Equipment &amp; Other HPs'!BD15,0)</f>
        <v>0</v>
      </c>
      <c r="O597" s="1194">
        <f t="shared" si="85"/>
        <v>0</v>
      </c>
      <c r="P597" s="1328">
        <f>IF(SETUP!$F$52="Upfront",$E$593*'Malaria-Equipment &amp; Other HPs'!BE15,0)</f>
        <v>0</v>
      </c>
      <c r="Q597" s="1194">
        <f>IF(SETUP!$F$52="Upfront",$E$593*'Malaria-Equipment &amp; Other HPs'!BF15,0)</f>
        <v>0</v>
      </c>
      <c r="R597" s="1194">
        <f>IF(SETUP!$F$52="Upfront",$E$593*'Malaria-Equipment &amp; Other HPs'!BG15,0)</f>
        <v>0</v>
      </c>
      <c r="S597" s="1194">
        <f>IF(SETUP!$F$52="Upfront",$E$593*'Malaria-Equipment &amp; Other HPs'!BH15,0)</f>
        <v>0</v>
      </c>
      <c r="T597" s="1194">
        <f t="shared" si="86"/>
        <v>0</v>
      </c>
      <c r="U597" s="1328">
        <f t="shared" si="87"/>
        <v>0</v>
      </c>
      <c r="V597" s="1826">
        <v>7.5</v>
      </c>
      <c r="W597" s="1837"/>
      <c r="X597" s="764"/>
      <c r="Y597" s="1836"/>
      <c r="Z597" s="850"/>
      <c r="AA597" s="880"/>
      <c r="AB597" s="880"/>
      <c r="AC597" s="880"/>
      <c r="AD597" s="880"/>
      <c r="AE597" s="880"/>
      <c r="AF597" s="880"/>
      <c r="AG597" s="880"/>
      <c r="AH597" s="881"/>
      <c r="AI597" s="880"/>
      <c r="AJ597" s="880"/>
      <c r="AK597" s="880"/>
      <c r="AL597" s="880"/>
      <c r="AM597" s="880"/>
      <c r="AN597" s="880"/>
      <c r="AO597" s="880"/>
      <c r="AP597" s="880"/>
      <c r="AQ597" s="880"/>
      <c r="AR597" s="880"/>
      <c r="AS597" s="880"/>
      <c r="AT597" s="880"/>
      <c r="AU597" s="880"/>
      <c r="AV597" s="880"/>
      <c r="AW597" s="880"/>
      <c r="AX597" s="880"/>
      <c r="AY597" s="880"/>
      <c r="AZ597" s="880"/>
      <c r="BA597" s="880"/>
      <c r="BB597" s="880"/>
      <c r="BC597" s="880"/>
      <c r="BD597" s="880"/>
      <c r="BE597" s="880"/>
      <c r="BF597" s="880"/>
      <c r="BG597" s="880"/>
      <c r="BH597" s="880"/>
      <c r="BI597" s="880"/>
      <c r="BJ597" s="880"/>
      <c r="BK597" s="880"/>
      <c r="BL597" s="880"/>
      <c r="BM597" s="880"/>
      <c r="BN597" s="880"/>
      <c r="BO597" s="880"/>
      <c r="BP597" s="880"/>
      <c r="BQ597" s="880"/>
      <c r="BR597" s="880"/>
      <c r="BS597" s="880"/>
      <c r="BT597" s="880"/>
    </row>
    <row r="598" spans="1:72" s="882" customFormat="1" ht="17.25" hidden="1" customHeight="1" outlineLevel="1">
      <c r="A598" s="2985"/>
      <c r="B598" s="2986"/>
      <c r="C598" s="2889" t="s">
        <v>36</v>
      </c>
      <c r="D598" s="2890"/>
      <c r="E598" s="2888"/>
      <c r="F598" s="1328">
        <v>0</v>
      </c>
      <c r="G598" s="1194">
        <f>IF(SETUP!$F$53="At delivery",IF(SETUP!$G$53=1,$E$593*'Malaria-Equipment &amp; Other HPs'!AW15,0),0)</f>
        <v>0</v>
      </c>
      <c r="H598" s="1194">
        <f>IF(SETUP!$F$53="At delivery",IF(SETUP!$G$53=2,$E$593*'Malaria-Equipment &amp; Other HPs'!AW15,IF(SETUP!$G$53=1,$E$593*'Malaria-Equipment &amp; Other HPs'!AX15,0)),0)</f>
        <v>0</v>
      </c>
      <c r="I598" s="1194">
        <f>IF(SETUP!$F$53="At delivery",IF(SETUP!$G$53=3,$E$593*'Malaria-Equipment &amp; Other HPs'!AW15,IF(SETUP!$G$53=2,$E$593*'Malaria-Equipment &amp; Other HPs'!AX15,IF(SETUP!$G$53=1,$E$593*'Malaria-Equipment &amp; Other HPs'!AY15,0))),0)</f>
        <v>0</v>
      </c>
      <c r="J598" s="1194">
        <f t="shared" si="84"/>
        <v>0</v>
      </c>
      <c r="K598" s="1328">
        <f>IF(SETUP!$F$53="At delivery",IF(SETUP!$G$53=4,$E$593*'Malaria-Equipment &amp; Other HPs'!AW15,IF(SETUP!$G$53=3,$E$593*'Malaria-Equipment &amp; Other HPs'!AX15,IF(SETUP!$G$53=2,$E$593*'Malaria-Equipment &amp; Other HPs'!AY15,IF(SETUP!$G$53=1,$E$593*'Malaria-Equipment &amp; Other HPs'!AZ15,0)))),0)</f>
        <v>0</v>
      </c>
      <c r="L598" s="1194">
        <f>IF(SETUP!$F$53="At delivery",IF(SETUP!$G$53=4,$E$593*'Malaria-Equipment &amp; Other HPs'!AX15,IF(SETUP!$G$53=3,$E$593*'Malaria-Equipment &amp; Other HPs'!AY15,IF(SETUP!$G$53=2,$E$593*'Malaria-Equipment &amp; Other HPs'!AZ15,IF(SETUP!$G$53=1,$E$593*'Malaria-Equipment &amp; Other HPs'!BA15,0)))),0)</f>
        <v>0</v>
      </c>
      <c r="M598" s="1194">
        <f>IF(SETUP!$F$53="At delivery",IF(SETUP!$G$53=4,$E$593*'Malaria-Equipment &amp; Other HPs'!AY15,IF(SETUP!$G$53=3,$E$593*'Malaria-Equipment &amp; Other HPs'!AZ15,IF(SETUP!$G$53=2,$E$593*'Malaria-Equipment &amp; Other HPs'!BA15,IF(SETUP!$G$53=1,$E$593*'Malaria-Equipment &amp; Other HPs'!BB15,0)))),0)</f>
        <v>0</v>
      </c>
      <c r="N598" s="1194">
        <f>IF(SETUP!$F$53="At delivery",IF(SETUP!$G$53=4,$E$593*'Malaria-Equipment &amp; Other HPs'!AZ15,IF(SETUP!$G$53=3,$E$593*'Malaria-Equipment &amp; Other HPs'!BA15,IF(SETUP!$G$53=2,$E$593*'Malaria-Equipment &amp; Other HPs'!BB15,IF(SETUP!$G$53=1,$E$593*'Malaria-Equipment &amp; Other HPs'!BC15,0)))),0)</f>
        <v>0</v>
      </c>
      <c r="O598" s="1194">
        <f t="shared" si="85"/>
        <v>0</v>
      </c>
      <c r="P598" s="1328">
        <f>IF(SETUP!$F$53="At delivery",IF(SETUP!$G$53=4,$E$593*'Malaria-Equipment &amp; Other HPs'!BA15,IF(SETUP!$G$53=3,$E$593*'Malaria-Equipment &amp; Other HPs'!BB15,IF(SETUP!$G$53=2,$E$593*'Malaria-Equipment &amp; Other HPs'!BC15,IF(SETUP!$G$53=1,$E$593*'Malaria-Equipment &amp; Other HPs'!BD15,0)))),0)</f>
        <v>0</v>
      </c>
      <c r="Q598" s="1194">
        <f>IF(SETUP!$F$53="At delivery",IF(SETUP!$G$53=4,$E$593*'Malaria-Equipment &amp; Other HPs'!BB15,IF(SETUP!$G$53=3,$E$593*'Malaria-Equipment &amp; Other HPs'!BC15,IF(SETUP!$G$53=2,$E$593*'Malaria-Equipment &amp; Other HPs'!BD15,IF(SETUP!$G$53=1,$E$593*'Malaria-Equipment &amp; Other HPs'!BE15,0)))),0)</f>
        <v>0</v>
      </c>
      <c r="R598" s="1194">
        <f>IF(SETUP!$F$53="At delivery",IF(SETUP!$G$53=4,$E$593*'Malaria-Equipment &amp; Other HPs'!BC15,IF(SETUP!$G$53=3,$E$593*'Malaria-Equipment &amp; Other HPs'!BD15,IF(SETUP!$G$53=2,$E$593*'Malaria-Equipment &amp; Other HPs'!BE15,IF(SETUP!$G$53=1,$E$593*'Malaria-Equipment &amp; Other HPs'!BF15,0)))),0)</f>
        <v>0</v>
      </c>
      <c r="S598" s="1194">
        <f>IF(SETUP!$F$53="At delivery",IF(SETUP!$G$53=4,$E$593*('Malaria-Equipment &amp; Other HPs'!BD15+'Malaria-Equipment &amp; Other HPs'!BE15+'Malaria-Equipment &amp; Other HPs'!BF15+'Malaria-Equipment &amp; Other HPs'!BG15+'Malaria-Equipment &amp; Other HPs'!BH15),IF(SETUP!$G$53=3,$E$593*('Malaria-Equipment &amp; Other HPs'!BE15+'Malaria-Equipment &amp; Other HPs'!BF15+'Malaria-Equipment &amp; Other HPs'!BG15+'Malaria-Equipment &amp; Other HPs'!BH15),IF(SETUP!$G$53=2,$E$593*('Malaria-Equipment &amp; Other HPs'!BF15+'Malaria-Equipment &amp; Other HPs'!BG15+'Malaria-Equipment &amp; Other HPs'!BH15),IF(SETUP!$G$53=1,$E$593*('Malaria-Equipment &amp; Other HPs'!BG15+'Malaria-Equipment &amp; Other HPs'!BH15),0)))),0)</f>
        <v>0</v>
      </c>
      <c r="T598" s="1194">
        <f t="shared" si="86"/>
        <v>0</v>
      </c>
      <c r="U598" s="1328">
        <f t="shared" si="87"/>
        <v>0</v>
      </c>
      <c r="V598" s="1826">
        <v>7.5</v>
      </c>
      <c r="W598" s="1837"/>
      <c r="X598" s="764"/>
      <c r="Y598" s="1836"/>
      <c r="Z598" s="850"/>
      <c r="AA598" s="880"/>
      <c r="AB598" s="880"/>
      <c r="AC598" s="880"/>
      <c r="AD598" s="880"/>
      <c r="AE598" s="880"/>
      <c r="AF598" s="880"/>
      <c r="AG598" s="880"/>
      <c r="AH598" s="881"/>
      <c r="AI598" s="880"/>
      <c r="AJ598" s="880"/>
      <c r="AK598" s="880"/>
      <c r="AL598" s="880"/>
      <c r="AM598" s="880"/>
      <c r="AN598" s="880"/>
      <c r="AO598" s="880"/>
      <c r="AP598" s="880"/>
      <c r="AQ598" s="880"/>
      <c r="AR598" s="880"/>
      <c r="AS598" s="880"/>
      <c r="AT598" s="880"/>
      <c r="AU598" s="880"/>
      <c r="AV598" s="880"/>
      <c r="AW598" s="880"/>
      <c r="AX598" s="880"/>
      <c r="AY598" s="880"/>
      <c r="AZ598" s="880"/>
      <c r="BA598" s="880"/>
      <c r="BB598" s="880"/>
      <c r="BC598" s="880"/>
      <c r="BD598" s="880"/>
      <c r="BE598" s="880"/>
      <c r="BF598" s="880"/>
      <c r="BG598" s="880"/>
      <c r="BH598" s="880"/>
      <c r="BI598" s="880"/>
      <c r="BJ598" s="880"/>
      <c r="BK598" s="880"/>
      <c r="BL598" s="880"/>
      <c r="BM598" s="880"/>
      <c r="BN598" s="880"/>
      <c r="BO598" s="880"/>
      <c r="BP598" s="880"/>
      <c r="BQ598" s="880"/>
      <c r="BR598" s="880"/>
      <c r="BS598" s="880"/>
      <c r="BT598" s="880"/>
    </row>
    <row r="599" spans="1:72" s="882" customFormat="1" ht="13.5" hidden="1" collapsed="1" thickBot="1">
      <c r="A599" s="2985"/>
      <c r="B599" s="2986"/>
      <c r="C599" s="2907" t="s">
        <v>581</v>
      </c>
      <c r="D599" s="2908"/>
      <c r="E599" s="2886">
        <v>1E-4</v>
      </c>
      <c r="F599" s="1328">
        <f>IF(SETUP!$F$54="Upfront",F600,F601)</f>
        <v>0</v>
      </c>
      <c r="G599" s="1194">
        <f>IF(SETUP!$F$54="Upfront",G600,G601)</f>
        <v>0</v>
      </c>
      <c r="H599" s="1194">
        <f>IF(SETUP!$F$54="Upfront",H600,H601)</f>
        <v>0</v>
      </c>
      <c r="I599" s="1194">
        <f>IF(SETUP!$F$54="Upfront",I600,I601)</f>
        <v>0</v>
      </c>
      <c r="J599" s="1194">
        <f t="shared" si="84"/>
        <v>0</v>
      </c>
      <c r="K599" s="1328">
        <f>IF(SETUP!$F$54="Upfront",K600,K601)</f>
        <v>0</v>
      </c>
      <c r="L599" s="1194">
        <f>IF(SETUP!$F$54="Upfront",L600,L601)</f>
        <v>0</v>
      </c>
      <c r="M599" s="1194">
        <f>IF(SETUP!$F$54="Upfront",M600,M601)</f>
        <v>0</v>
      </c>
      <c r="N599" s="1194">
        <f>IF(SETUP!$F$54="Upfront",N600,N601)</f>
        <v>0</v>
      </c>
      <c r="O599" s="1194">
        <f t="shared" si="85"/>
        <v>0</v>
      </c>
      <c r="P599" s="1328">
        <f>IF(SETUP!$F$54="Upfront",P600,P601)</f>
        <v>0</v>
      </c>
      <c r="Q599" s="1194">
        <f>IF(SETUP!$F$54="Upfront",Q600,Q601)</f>
        <v>0</v>
      </c>
      <c r="R599" s="1194">
        <f>IF(SETUP!$F$54="Upfront",R600,R601)</f>
        <v>0</v>
      </c>
      <c r="S599" s="1194">
        <f>IF(SETUP!$F$54="Upfront",S600,S601)</f>
        <v>0</v>
      </c>
      <c r="T599" s="1194">
        <f t="shared" si="86"/>
        <v>0</v>
      </c>
      <c r="U599" s="1328">
        <f t="shared" si="87"/>
        <v>0</v>
      </c>
      <c r="V599" s="1826">
        <v>7.5</v>
      </c>
      <c r="W599" s="1837"/>
      <c r="X599" s="764"/>
      <c r="Y599" s="1836"/>
      <c r="Z599" s="850"/>
      <c r="AA599" s="880"/>
      <c r="AB599" s="880"/>
      <c r="AC599" s="880"/>
      <c r="AD599" s="880"/>
      <c r="AE599" s="880"/>
      <c r="AF599" s="880"/>
      <c r="AG599" s="880"/>
      <c r="AH599" s="881"/>
      <c r="AI599" s="880"/>
      <c r="AJ599" s="880"/>
      <c r="AK599" s="880"/>
      <c r="AL599" s="880"/>
      <c r="AM599" s="880"/>
      <c r="AN599" s="880"/>
      <c r="AO599" s="880"/>
      <c r="AP599" s="880"/>
      <c r="AQ599" s="880"/>
      <c r="AR599" s="880"/>
      <c r="AS599" s="880"/>
      <c r="AT599" s="880"/>
      <c r="AU599" s="880"/>
      <c r="AV599" s="880"/>
      <c r="AW599" s="880"/>
      <c r="AX599" s="880"/>
      <c r="AY599" s="880"/>
      <c r="AZ599" s="880"/>
      <c r="BA599" s="880"/>
      <c r="BB599" s="880"/>
      <c r="BC599" s="880"/>
      <c r="BD599" s="880"/>
      <c r="BE599" s="880"/>
      <c r="BF599" s="880"/>
      <c r="BG599" s="880"/>
      <c r="BH599" s="880"/>
      <c r="BI599" s="880"/>
      <c r="BJ599" s="880"/>
      <c r="BK599" s="880"/>
      <c r="BL599" s="880"/>
      <c r="BM599" s="880"/>
      <c r="BN599" s="880"/>
      <c r="BO599" s="880"/>
      <c r="BP599" s="880"/>
      <c r="BQ599" s="880"/>
      <c r="BR599" s="880"/>
      <c r="BS599" s="880"/>
      <c r="BT599" s="880"/>
    </row>
    <row r="600" spans="1:72" s="882" customFormat="1" ht="16.149999999999999" hidden="1" customHeight="1" outlineLevel="1">
      <c r="A600" s="2985"/>
      <c r="B600" s="2986"/>
      <c r="C600" s="2889" t="s">
        <v>918</v>
      </c>
      <c r="D600" s="2890"/>
      <c r="E600" s="2887"/>
      <c r="F600" s="1328">
        <f>IF(SETUP!$F$54="Upfront",$E$599*'Malaria-Equipment &amp; Other HPs'!AW16,0)</f>
        <v>0</v>
      </c>
      <c r="G600" s="1194">
        <f>IF(SETUP!$F$54="Upfront",$E$599*'Malaria-Equipment &amp; Other HPs'!AX16,0)</f>
        <v>0</v>
      </c>
      <c r="H600" s="1194">
        <f>IF(SETUP!$F$54="Upfront",$E$599*'Malaria-Equipment &amp; Other HPs'!AY16,0)</f>
        <v>0</v>
      </c>
      <c r="I600" s="1194">
        <f>IF(SETUP!$F$54="Upfront",$E$599*'Malaria-Equipment &amp; Other HPs'!AZ16,0)</f>
        <v>0</v>
      </c>
      <c r="J600" s="1194">
        <f t="shared" si="84"/>
        <v>0</v>
      </c>
      <c r="K600" s="1328">
        <f>IF(SETUP!$F$54="Upfront",$E$599*'Malaria-Equipment &amp; Other HPs'!BA16,0)</f>
        <v>0</v>
      </c>
      <c r="L600" s="1194">
        <f>IF(SETUP!$F$54="Upfront",$E$599*'Malaria-Equipment &amp; Other HPs'!BB16,0)</f>
        <v>0</v>
      </c>
      <c r="M600" s="1194">
        <f>IF(SETUP!$F$54="Upfront",$E$599*'Malaria-Equipment &amp; Other HPs'!BC16,0)</f>
        <v>0</v>
      </c>
      <c r="N600" s="1194">
        <f>IF(SETUP!$F$54="Upfront",$E$599*'Malaria-Equipment &amp; Other HPs'!BD16,0)</f>
        <v>0</v>
      </c>
      <c r="O600" s="1194">
        <f t="shared" si="85"/>
        <v>0</v>
      </c>
      <c r="P600" s="1328">
        <f>IF(SETUP!$F$54="Upfront",$E$599*'Malaria-Equipment &amp; Other HPs'!BE16,0)</f>
        <v>0</v>
      </c>
      <c r="Q600" s="1194">
        <f>IF(SETUP!$F$54="Upfront",$E$599*'Malaria-Equipment &amp; Other HPs'!BF16,0)</f>
        <v>0</v>
      </c>
      <c r="R600" s="1194">
        <f>IF(SETUP!$F$54="Upfront",$E$599*'Malaria-Equipment &amp; Other HPs'!BG16,0)</f>
        <v>0</v>
      </c>
      <c r="S600" s="1194">
        <f>IF(SETUP!$F$54="Upfront",$E$599*'Malaria-Equipment &amp; Other HPs'!BH16,0)</f>
        <v>0</v>
      </c>
      <c r="T600" s="1194">
        <f t="shared" si="86"/>
        <v>0</v>
      </c>
      <c r="U600" s="1328">
        <f t="shared" si="87"/>
        <v>0</v>
      </c>
      <c r="V600" s="1826">
        <v>7.5</v>
      </c>
      <c r="W600" s="1837"/>
      <c r="X600" s="764"/>
      <c r="Y600" s="1836"/>
      <c r="Z600" s="850"/>
      <c r="AA600" s="880"/>
      <c r="AB600" s="880"/>
      <c r="AC600" s="880"/>
      <c r="AD600" s="880"/>
      <c r="AE600" s="880"/>
      <c r="AF600" s="880"/>
      <c r="AG600" s="880"/>
      <c r="AH600" s="881"/>
      <c r="AI600" s="880"/>
      <c r="AJ600" s="880"/>
      <c r="AK600" s="880"/>
      <c r="AL600" s="880"/>
      <c r="AM600" s="880"/>
      <c r="AN600" s="880"/>
      <c r="AO600" s="880"/>
      <c r="AP600" s="880"/>
      <c r="AQ600" s="880"/>
      <c r="AR600" s="880"/>
      <c r="AS600" s="880"/>
      <c r="AT600" s="880"/>
      <c r="AU600" s="880"/>
      <c r="AV600" s="880"/>
      <c r="AW600" s="880"/>
      <c r="AX600" s="880"/>
      <c r="AY600" s="880"/>
      <c r="AZ600" s="880"/>
      <c r="BA600" s="880"/>
      <c r="BB600" s="880"/>
      <c r="BC600" s="880"/>
      <c r="BD600" s="880"/>
      <c r="BE600" s="880"/>
      <c r="BF600" s="880"/>
      <c r="BG600" s="880"/>
      <c r="BH600" s="880"/>
      <c r="BI600" s="880"/>
      <c r="BJ600" s="880"/>
      <c r="BK600" s="880"/>
      <c r="BL600" s="880"/>
      <c r="BM600" s="880"/>
      <c r="BN600" s="880"/>
      <c r="BO600" s="880"/>
      <c r="BP600" s="880"/>
      <c r="BQ600" s="880"/>
      <c r="BR600" s="880"/>
      <c r="BS600" s="880"/>
      <c r="BT600" s="880"/>
    </row>
    <row r="601" spans="1:72" s="882" customFormat="1" ht="17.25" hidden="1" customHeight="1" outlineLevel="1">
      <c r="A601" s="2985"/>
      <c r="B601" s="2986"/>
      <c r="C601" s="2889" t="s">
        <v>36</v>
      </c>
      <c r="D601" s="2890"/>
      <c r="E601" s="2887"/>
      <c r="F601" s="1328">
        <v>0</v>
      </c>
      <c r="G601" s="1194">
        <f>IF(SETUP!$F$54="At delivery",IF(SETUP!$G$54=1,$E$599*'Malaria-Equipment &amp; Other HPs'!AW16,0),0)</f>
        <v>0</v>
      </c>
      <c r="H601" s="1194">
        <f>IF(SETUP!$F$54="At delivery",IF(SETUP!$G$54=2,$E$599*'Malaria-Equipment &amp; Other HPs'!AW16,IF(SETUP!$G$54=1,$E$599*'Malaria-Equipment &amp; Other HPs'!AX16,0)),0)</f>
        <v>0</v>
      </c>
      <c r="I601" s="1194">
        <f>IF(SETUP!$F$54="At delivery",IF(SETUP!$G$54=3,$E$599*'Malaria-Equipment &amp; Other HPs'!AW16,IF(SETUP!$G$54=2,$E$599*'Malaria-Equipment &amp; Other HPs'!AX16,IF(SETUP!$G$54=1,$E$599*'Malaria-Equipment &amp; Other HPs'!AY16,0))),0)</f>
        <v>0</v>
      </c>
      <c r="J601" s="1194">
        <f t="shared" si="84"/>
        <v>0</v>
      </c>
      <c r="K601" s="1328">
        <f>IF(SETUP!$F$54="At delivery",IF(SETUP!$G$54=4,$E$599*'Malaria-Equipment &amp; Other HPs'!AW16,IF(SETUP!$G$54=3,$E$599*'Malaria-Equipment &amp; Other HPs'!AX16,IF(SETUP!$G$54=2,$E$599*'Malaria-Equipment &amp; Other HPs'!AY16,IF(SETUP!$G$54=1,$E$599*'Malaria-Equipment &amp; Other HPs'!AZ16,0)))),0)</f>
        <v>0</v>
      </c>
      <c r="L601" s="1194">
        <f>IF(SETUP!$F$54="At delivery",IF(SETUP!$G$54=4,$E$599*'Malaria-Equipment &amp; Other HPs'!AX16,IF(SETUP!$G$54=3,$E$599*'Malaria-Equipment &amp; Other HPs'!AY16,IF(SETUP!$G$54=2,$E$599*'Malaria-Equipment &amp; Other HPs'!AZ16,IF(SETUP!$G$54=1,$E$599*'Malaria-Equipment &amp; Other HPs'!BA16,0)))),0)</f>
        <v>0</v>
      </c>
      <c r="M601" s="1194">
        <f>IF(SETUP!$F$54="At delivery",IF(SETUP!$G$54=4,$E$599*'Malaria-Equipment &amp; Other HPs'!AY16,IF(SETUP!$G$54=3,$E$599*'Malaria-Equipment &amp; Other HPs'!AZ16,IF(SETUP!$G$54=2,$E$599*'Malaria-Equipment &amp; Other HPs'!BA16,IF(SETUP!$G$54=1,$E$599*'Malaria-Equipment &amp; Other HPs'!BB16,0)))),0)</f>
        <v>0</v>
      </c>
      <c r="N601" s="1194">
        <f>IF(SETUP!$F$54="At delivery",IF(SETUP!$G$54=4,$E$599*'Malaria-Equipment &amp; Other HPs'!AZ16,IF(SETUP!$G$54=3,$E$599*'Malaria-Equipment &amp; Other HPs'!BA16,IF(SETUP!$G$54=2,$E$599*'Malaria-Equipment &amp; Other HPs'!BB16,IF(SETUP!$G$54=1,$E$599*'Malaria-Equipment &amp; Other HPs'!BC16,0)))),0)</f>
        <v>0</v>
      </c>
      <c r="O601" s="1194">
        <f t="shared" si="85"/>
        <v>0</v>
      </c>
      <c r="P601" s="1328">
        <f>IF(SETUP!$F$54="At delivery",IF(SETUP!$G$54=4,$E$599*'Malaria-Equipment &amp; Other HPs'!BA16,IF(SETUP!$G$54=3,$E$599*'Malaria-Equipment &amp; Other HPs'!BB16,IF(SETUP!$G$54=2,$E$599*'Malaria-Equipment &amp; Other HPs'!BC16,IF(SETUP!$G$54=1,$E$599*'Malaria-Equipment &amp; Other HPs'!BD16,0)))),0)</f>
        <v>0</v>
      </c>
      <c r="Q601" s="1194">
        <f>IF(SETUP!$F$54="At delivery",IF(SETUP!$G$54=4,$E$599*'Malaria-Equipment &amp; Other HPs'!BB16,IF(SETUP!$G$54=3,$E$599*'Malaria-Equipment &amp; Other HPs'!BC16,IF(SETUP!$G$54=2,$E$599*'Malaria-Equipment &amp; Other HPs'!BD16,IF(SETUP!$G$54=1,$E$599*'Malaria-Equipment &amp; Other HPs'!BE16,0)))),0)</f>
        <v>0</v>
      </c>
      <c r="R601" s="1194">
        <f>IF(SETUP!$F$54="At delivery",IF(SETUP!$G$54=4,$E$599*'Malaria-Equipment &amp; Other HPs'!BC16,IF(SETUP!$G$54=3,$E$599*'Malaria-Equipment &amp; Other HPs'!BD16,IF(SETUP!$G$54=2,$E$599*'Malaria-Equipment &amp; Other HPs'!BE16,IF(SETUP!$G$54=1,$E$599*'Malaria-Equipment &amp; Other HPs'!BF16,0)))),0)</f>
        <v>0</v>
      </c>
      <c r="S601" s="1194">
        <f>IF(SETUP!$F$54="At delivery",IF(SETUP!$G$54=4,$E$599*('Malaria-Equipment &amp; Other HPs'!BD16+'Malaria-Equipment &amp; Other HPs'!BE16+'Malaria-Equipment &amp; Other HPs'!BF16+'Malaria-Equipment &amp; Other HPs'!BG16+'Malaria-Equipment &amp; Other HPs'!BH16),IF(SETUP!$G$54=3,$E$599*('Malaria-Equipment &amp; Other HPs'!BE16+'Malaria-Equipment &amp; Other HPs'!BF16+'Malaria-Equipment &amp; Other HPs'!BG16+'Malaria-Equipment &amp; Other HPs'!BH16),IF(SETUP!$G$54=2,$E$599*('Malaria-Equipment &amp; Other HPs'!BF16+'Malaria-Equipment &amp; Other HPs'!BG16+'Malaria-Equipment &amp; Other HPs'!BH16),IF(SETUP!$G$54=1,$E$599*('Malaria-Equipment &amp; Other HPs'!BG16+'Malaria-Equipment &amp; Other HPs'!BH16),0)))),0)</f>
        <v>0</v>
      </c>
      <c r="T601" s="1194">
        <f t="shared" si="86"/>
        <v>0</v>
      </c>
      <c r="U601" s="1328">
        <f t="shared" si="87"/>
        <v>0</v>
      </c>
      <c r="V601" s="1826">
        <v>7.5</v>
      </c>
      <c r="W601" s="1837"/>
      <c r="X601" s="764"/>
      <c r="Y601" s="1836"/>
      <c r="Z601" s="850"/>
      <c r="AA601" s="880"/>
      <c r="AB601" s="880"/>
      <c r="AC601" s="880"/>
      <c r="AD601" s="880"/>
      <c r="AE601" s="880"/>
      <c r="AF601" s="880"/>
      <c r="AG601" s="880"/>
      <c r="AH601" s="881"/>
      <c r="AI601" s="880"/>
      <c r="AJ601" s="880"/>
      <c r="AK601" s="880"/>
      <c r="AL601" s="880"/>
      <c r="AM601" s="880"/>
      <c r="AN601" s="880"/>
      <c r="AO601" s="880"/>
      <c r="AP601" s="880"/>
      <c r="AQ601" s="880"/>
      <c r="AR601" s="880"/>
      <c r="AS601" s="880"/>
      <c r="AT601" s="880"/>
      <c r="AU601" s="880"/>
      <c r="AV601" s="880"/>
      <c r="AW601" s="880"/>
      <c r="AX601" s="880"/>
      <c r="AY601" s="880"/>
      <c r="AZ601" s="880"/>
      <c r="BA601" s="880"/>
      <c r="BB601" s="880"/>
      <c r="BC601" s="880"/>
      <c r="BD601" s="880"/>
      <c r="BE601" s="880"/>
      <c r="BF601" s="880"/>
      <c r="BG601" s="880"/>
      <c r="BH601" s="880"/>
      <c r="BI601" s="880"/>
      <c r="BJ601" s="880"/>
      <c r="BK601" s="880"/>
      <c r="BL601" s="880"/>
      <c r="BM601" s="880"/>
      <c r="BN601" s="880"/>
      <c r="BO601" s="880"/>
      <c r="BP601" s="880"/>
      <c r="BQ601" s="880"/>
      <c r="BR601" s="880"/>
      <c r="BS601" s="880"/>
      <c r="BT601" s="880"/>
    </row>
    <row r="602" spans="1:72" s="882" customFormat="1" ht="13.5" hidden="1" collapsed="1" thickBot="1">
      <c r="A602" s="2985"/>
      <c r="B602" s="2986"/>
      <c r="C602" s="2907" t="s">
        <v>582</v>
      </c>
      <c r="D602" s="2908"/>
      <c r="E602" s="2887"/>
      <c r="F602" s="1328">
        <f>IF(SETUP!$F$55="Upfront",F603,F604)</f>
        <v>0</v>
      </c>
      <c r="G602" s="1194">
        <f>IF(SETUP!$F$55="Upfront",G603,G604)</f>
        <v>0</v>
      </c>
      <c r="H602" s="1194">
        <f>IF(SETUP!$F$55="Upfront",H603,H604)</f>
        <v>0</v>
      </c>
      <c r="I602" s="1194">
        <f>IF(SETUP!$F$55="Upfront",I603,I604)</f>
        <v>0</v>
      </c>
      <c r="J602" s="1194">
        <f t="shared" si="84"/>
        <v>0</v>
      </c>
      <c r="K602" s="1328">
        <f>IF(SETUP!$F$55="Upfront",K603,K604)</f>
        <v>0</v>
      </c>
      <c r="L602" s="1194">
        <f>IF(SETUP!$F$55="Upfront",L603,L604)</f>
        <v>0</v>
      </c>
      <c r="M602" s="1194">
        <f>IF(SETUP!$F$55="Upfront",M603,M604)</f>
        <v>0</v>
      </c>
      <c r="N602" s="1194">
        <f>IF(SETUP!$F$55="Upfront",N603,N604)</f>
        <v>0</v>
      </c>
      <c r="O602" s="1194">
        <f t="shared" si="85"/>
        <v>0</v>
      </c>
      <c r="P602" s="1328">
        <f>IF(SETUP!$F$55="Upfront",P603,P604)</f>
        <v>0</v>
      </c>
      <c r="Q602" s="1194">
        <f>IF(SETUP!$F$55="Upfront",Q603,Q604)</f>
        <v>0</v>
      </c>
      <c r="R602" s="1194">
        <f>IF(SETUP!$F$55="Upfront",R603,R604)</f>
        <v>0</v>
      </c>
      <c r="S602" s="1194">
        <f>IF(SETUP!$F$55="Upfront",S603,S604)</f>
        <v>0</v>
      </c>
      <c r="T602" s="1194">
        <f t="shared" si="86"/>
        <v>0</v>
      </c>
      <c r="U602" s="1328">
        <f t="shared" si="87"/>
        <v>0</v>
      </c>
      <c r="V602" s="1826">
        <v>7.5</v>
      </c>
      <c r="W602" s="1837"/>
      <c r="X602" s="764"/>
      <c r="Y602" s="1836"/>
      <c r="Z602" s="850"/>
      <c r="AA602" s="880"/>
      <c r="AB602" s="880"/>
      <c r="AC602" s="880"/>
      <c r="AD602" s="880"/>
      <c r="AE602" s="880"/>
      <c r="AF602" s="880"/>
      <c r="AG602" s="880"/>
      <c r="AH602" s="881"/>
      <c r="AI602" s="880"/>
      <c r="AJ602" s="880"/>
      <c r="AK602" s="880"/>
      <c r="AL602" s="880"/>
      <c r="AM602" s="880"/>
      <c r="AN602" s="880"/>
      <c r="AO602" s="880"/>
      <c r="AP602" s="880"/>
      <c r="AQ602" s="880"/>
      <c r="AR602" s="880"/>
      <c r="AS602" s="880"/>
      <c r="AT602" s="880"/>
      <c r="AU602" s="880"/>
      <c r="AV602" s="880"/>
      <c r="AW602" s="880"/>
      <c r="AX602" s="880"/>
      <c r="AY602" s="880"/>
      <c r="AZ602" s="880"/>
      <c r="BA602" s="880"/>
      <c r="BB602" s="880"/>
      <c r="BC602" s="880"/>
      <c r="BD602" s="880"/>
      <c r="BE602" s="880"/>
      <c r="BF602" s="880"/>
      <c r="BG602" s="880"/>
      <c r="BH602" s="880"/>
      <c r="BI602" s="880"/>
      <c r="BJ602" s="880"/>
      <c r="BK602" s="880"/>
      <c r="BL602" s="880"/>
      <c r="BM602" s="880"/>
      <c r="BN602" s="880"/>
      <c r="BO602" s="880"/>
      <c r="BP602" s="880"/>
      <c r="BQ602" s="880"/>
      <c r="BR602" s="880"/>
      <c r="BS602" s="880"/>
      <c r="BT602" s="880"/>
    </row>
    <row r="603" spans="1:72" s="882" customFormat="1" ht="16.149999999999999" hidden="1" customHeight="1" outlineLevel="1">
      <c r="A603" s="2985"/>
      <c r="B603" s="2986"/>
      <c r="C603" s="2889" t="s">
        <v>918</v>
      </c>
      <c r="D603" s="2890"/>
      <c r="E603" s="2887"/>
      <c r="F603" s="1328">
        <f>IF(SETUP!$F$54="Upfront",$E$599*'Malaria-Equipment &amp; Other HPs'!AW17,0)</f>
        <v>0</v>
      </c>
      <c r="G603" s="1194">
        <f>IF(SETUP!$F$54="Upfront",$E$599*'Malaria-Equipment &amp; Other HPs'!AX17,0)</f>
        <v>0</v>
      </c>
      <c r="H603" s="1194">
        <f>IF(SETUP!$F$54="Upfront",$E$599*'Malaria-Equipment &amp; Other HPs'!AY17,0)</f>
        <v>0</v>
      </c>
      <c r="I603" s="1194">
        <f>IF(SETUP!$F$54="Upfront",$E$599*'Malaria-Equipment &amp; Other HPs'!AZ17,0)</f>
        <v>0</v>
      </c>
      <c r="J603" s="1194">
        <f t="shared" si="84"/>
        <v>0</v>
      </c>
      <c r="K603" s="1328">
        <f>IF(SETUP!$F$54="Upfront",$E$599*'Malaria-Equipment &amp; Other HPs'!BA17,0)</f>
        <v>0</v>
      </c>
      <c r="L603" s="1194">
        <f>IF(SETUP!$F$54="Upfront",$E$599*'Malaria-Equipment &amp; Other HPs'!BB17,0)</f>
        <v>0</v>
      </c>
      <c r="M603" s="1194">
        <f>IF(SETUP!$F$54="Upfront",$E$599*'Malaria-Equipment &amp; Other HPs'!BC17,0)</f>
        <v>0</v>
      </c>
      <c r="N603" s="1194">
        <f>IF(SETUP!$F$54="Upfront",$E$599*'Malaria-Equipment &amp; Other HPs'!BD17,0)</f>
        <v>0</v>
      </c>
      <c r="O603" s="1194">
        <f t="shared" si="85"/>
        <v>0</v>
      </c>
      <c r="P603" s="1328">
        <f>IF(SETUP!$F$54="Upfront",$E$599*'Malaria-Equipment &amp; Other HPs'!BE17,0)</f>
        <v>0</v>
      </c>
      <c r="Q603" s="1194">
        <f>IF(SETUP!$F$54="Upfront",$E$599*'Malaria-Equipment &amp; Other HPs'!BF17,0)</f>
        <v>0</v>
      </c>
      <c r="R603" s="1194">
        <f>IF(SETUP!$F$54="Upfront",$E$599*'Malaria-Equipment &amp; Other HPs'!BG17,0)</f>
        <v>0</v>
      </c>
      <c r="S603" s="1194">
        <f>IF(SETUP!$F$54="Upfront",$E$599*'Malaria-Equipment &amp; Other HPs'!BH17,0)</f>
        <v>0</v>
      </c>
      <c r="T603" s="1194">
        <f t="shared" si="86"/>
        <v>0</v>
      </c>
      <c r="U603" s="1328">
        <f t="shared" si="87"/>
        <v>0</v>
      </c>
      <c r="V603" s="1826">
        <v>7.5</v>
      </c>
      <c r="W603" s="1837"/>
      <c r="X603" s="764"/>
      <c r="Y603" s="1836"/>
      <c r="Z603" s="850"/>
      <c r="AA603" s="880"/>
      <c r="AB603" s="880"/>
      <c r="AC603" s="880"/>
      <c r="AD603" s="880"/>
      <c r="AE603" s="880"/>
      <c r="AF603" s="880"/>
      <c r="AG603" s="880"/>
      <c r="AH603" s="881"/>
      <c r="AI603" s="880"/>
      <c r="AJ603" s="880"/>
      <c r="AK603" s="880"/>
      <c r="AL603" s="880"/>
      <c r="AM603" s="880"/>
      <c r="AN603" s="880"/>
      <c r="AO603" s="880"/>
      <c r="AP603" s="880"/>
      <c r="AQ603" s="880"/>
      <c r="AR603" s="880"/>
      <c r="AS603" s="880"/>
      <c r="AT603" s="880"/>
      <c r="AU603" s="880"/>
      <c r="AV603" s="880"/>
      <c r="AW603" s="880"/>
      <c r="AX603" s="880"/>
      <c r="AY603" s="880"/>
      <c r="AZ603" s="880"/>
      <c r="BA603" s="880"/>
      <c r="BB603" s="880"/>
      <c r="BC603" s="880"/>
      <c r="BD603" s="880"/>
      <c r="BE603" s="880"/>
      <c r="BF603" s="880"/>
      <c r="BG603" s="880"/>
      <c r="BH603" s="880"/>
      <c r="BI603" s="880"/>
      <c r="BJ603" s="880"/>
      <c r="BK603" s="880"/>
      <c r="BL603" s="880"/>
      <c r="BM603" s="880"/>
      <c r="BN603" s="880"/>
      <c r="BO603" s="880"/>
      <c r="BP603" s="880"/>
      <c r="BQ603" s="880"/>
      <c r="BR603" s="880"/>
      <c r="BS603" s="880"/>
      <c r="BT603" s="880"/>
    </row>
    <row r="604" spans="1:72" s="882" customFormat="1" ht="17.25" hidden="1" customHeight="1" outlineLevel="1">
      <c r="A604" s="2985"/>
      <c r="B604" s="2986"/>
      <c r="C604" s="2889" t="s">
        <v>36</v>
      </c>
      <c r="D604" s="2890"/>
      <c r="E604" s="2888"/>
      <c r="F604" s="1328">
        <v>0</v>
      </c>
      <c r="G604" s="1194">
        <f>IF(SETUP!$F$55="At delivery",IF(SETUP!$G$55=1,$E$599*'Malaria-Equipment &amp; Other HPs'!AW17,0),0)</f>
        <v>0</v>
      </c>
      <c r="H604" s="1194">
        <f>IF(SETUP!$F$55="At delivery",IF(SETUP!$G$55=2,$E$599*'Malaria-Equipment &amp; Other HPs'!AW17,IF(SETUP!$G$55=1,$E$599*'Malaria-Equipment &amp; Other HPs'!AX17,0)),0)</f>
        <v>0</v>
      </c>
      <c r="I604" s="1194">
        <f>IF(SETUP!$F$55="At delivery",IF(SETUP!$G$55=3,$E$599*'Malaria-Equipment &amp; Other HPs'!AW17,IF(SETUP!$G$55=2,$E$599*'Malaria-Equipment &amp; Other HPs'!AX17,IF(SETUP!$G$55=1,$E$599*'Malaria-Equipment &amp; Other HPs'!AY17,0))),0)</f>
        <v>0</v>
      </c>
      <c r="J604" s="1194">
        <f t="shared" si="84"/>
        <v>0</v>
      </c>
      <c r="K604" s="1328">
        <f>IF(SETUP!$F$55="At delivery",IF(SETUP!$G$55=4,$E$599*'Malaria-Equipment &amp; Other HPs'!AW17,IF(SETUP!$G$55=3,$E$599*'Malaria-Equipment &amp; Other HPs'!AX17,IF(SETUP!$G$55=2,$E$599*'Malaria-Equipment &amp; Other HPs'!AY17,IF(SETUP!$G$55=1,$E$599*'Malaria-Equipment &amp; Other HPs'!AZ17,0)))),0)</f>
        <v>0</v>
      </c>
      <c r="L604" s="1194">
        <f>IF(SETUP!$F$55="At delivery",IF(SETUP!$G$55=4,$E$599*'Malaria-Equipment &amp; Other HPs'!AX17,IF(SETUP!$G$55=3,$E$599*'Malaria-Equipment &amp; Other HPs'!AY17,IF(SETUP!$G$55=2,$E$599*'Malaria-Equipment &amp; Other HPs'!AZ17,IF(SETUP!$G$55=1,$E$599*'Malaria-Equipment &amp; Other HPs'!BA17,0)))),0)</f>
        <v>0</v>
      </c>
      <c r="M604" s="1194">
        <f>IF(SETUP!$F$55="At delivery",IF(SETUP!$G$55=4,$E$599*'Malaria-Equipment &amp; Other HPs'!AY17,IF(SETUP!$G$55=3,$E$599*'Malaria-Equipment &amp; Other HPs'!AZ17,IF(SETUP!$G$55=2,$E$599*'Malaria-Equipment &amp; Other HPs'!BA17,IF(SETUP!$G$55=1,$E$599*'Malaria-Equipment &amp; Other HPs'!BB17,0)))),0)</f>
        <v>0</v>
      </c>
      <c r="N604" s="1194">
        <f>IF(SETUP!$F$55="At delivery",IF(SETUP!$G$55=4,$E$599*'Malaria-Equipment &amp; Other HPs'!AZ17,IF(SETUP!$G$55=3,$E$599*'Malaria-Equipment &amp; Other HPs'!BA17,IF(SETUP!$G$55=2,$E$599*'Malaria-Equipment &amp; Other HPs'!BB17,IF(SETUP!$G$55=1,$E$599*'Malaria-Equipment &amp; Other HPs'!BC17,0)))),0)</f>
        <v>0</v>
      </c>
      <c r="O604" s="1194">
        <f t="shared" si="85"/>
        <v>0</v>
      </c>
      <c r="P604" s="1328">
        <f>IF(SETUP!$F$55="At delivery",IF(SETUP!$G$55=4,$E$599*'Malaria-Equipment &amp; Other HPs'!BA17,IF(SETUP!$G$55=3,$E$599*'Malaria-Equipment &amp; Other HPs'!BB17,IF(SETUP!$G$55=2,$E$599*'Malaria-Equipment &amp; Other HPs'!BC17,IF(SETUP!$G$55=1,$E$599*'Malaria-Equipment &amp; Other HPs'!BD17,0)))),0)</f>
        <v>0</v>
      </c>
      <c r="Q604" s="1194">
        <f>IF(SETUP!$F$55="At delivery",IF(SETUP!$G$55=4,$E$599*'Malaria-Equipment &amp; Other HPs'!BB17,IF(SETUP!$G$55=3,$E$599*'Malaria-Equipment &amp; Other HPs'!BC17,IF(SETUP!$G$55=2,$E$599*'Malaria-Equipment &amp; Other HPs'!BD17,IF(SETUP!$G$55=1,$E$599*'Malaria-Equipment &amp; Other HPs'!BE17,0)))),0)</f>
        <v>0</v>
      </c>
      <c r="R604" s="1194">
        <f>IF(SETUP!$F$55="At delivery",IF(SETUP!$G$55=4,$E$599*'Malaria-Equipment &amp; Other HPs'!BC17,IF(SETUP!$G$55=3,$E$599*'Malaria-Equipment &amp; Other HPs'!BD17,IF(SETUP!$G$55=2,$E$599*'Malaria-Equipment &amp; Other HPs'!BE17,IF(SETUP!$G$55=1,$E$599*'Malaria-Equipment &amp; Other HPs'!BF17,0)))),0)</f>
        <v>0</v>
      </c>
      <c r="S604" s="1194">
        <f>IF(SETUP!$F$55="At delivery",IF(SETUP!$G$55=4,$E$599*('Malaria-Equipment &amp; Other HPs'!BD17+'Malaria-Equipment &amp; Other HPs'!BE17+'Malaria-Equipment &amp; Other HPs'!BF17+'Malaria-Equipment &amp; Other HPs'!BG17+'Malaria-Equipment &amp; Other HPs'!BH17),IF(SETUP!$G$55=3,$E$599*('Malaria-Equipment &amp; Other HPs'!BE17+'Malaria-Equipment &amp; Other HPs'!BF17+'Malaria-Equipment &amp; Other HPs'!BG17+'Malaria-Equipment &amp; Other HPs'!BH17),IF(SETUP!$G$55=2,$E$599*('Malaria-Equipment &amp; Other HPs'!BF17+'Malaria-Equipment &amp; Other HPs'!BG17+'Malaria-Equipment &amp; Other HPs'!BH17),IF(SETUP!$G$55=1,$E$599*('Malaria-Equipment &amp; Other HPs'!BG17+'Malaria-Equipment &amp; Other HPs'!BH17),0)))),0)</f>
        <v>0</v>
      </c>
      <c r="T604" s="1194">
        <f t="shared" si="86"/>
        <v>0</v>
      </c>
      <c r="U604" s="1328">
        <f t="shared" si="87"/>
        <v>0</v>
      </c>
      <c r="V604" s="1826">
        <v>7.5</v>
      </c>
      <c r="W604" s="1837"/>
      <c r="X604" s="764"/>
      <c r="Y604" s="1836"/>
      <c r="Z604" s="850"/>
      <c r="AA604" s="880"/>
      <c r="AB604" s="880"/>
      <c r="AC604" s="880"/>
      <c r="AD604" s="880"/>
      <c r="AE604" s="880"/>
      <c r="AF604" s="880"/>
      <c r="AG604" s="880"/>
      <c r="AH604" s="881"/>
      <c r="AI604" s="880"/>
      <c r="AJ604" s="880"/>
      <c r="AK604" s="880"/>
      <c r="AL604" s="880"/>
      <c r="AM604" s="880"/>
      <c r="AN604" s="880"/>
      <c r="AO604" s="880"/>
      <c r="AP604" s="880"/>
      <c r="AQ604" s="880"/>
      <c r="AR604" s="880"/>
      <c r="AS604" s="880"/>
      <c r="AT604" s="880"/>
      <c r="AU604" s="880"/>
      <c r="AV604" s="880"/>
      <c r="AW604" s="880"/>
      <c r="AX604" s="880"/>
      <c r="AY604" s="880"/>
      <c r="AZ604" s="880"/>
      <c r="BA604" s="880"/>
      <c r="BB604" s="880"/>
      <c r="BC604" s="880"/>
      <c r="BD604" s="880"/>
      <c r="BE604" s="880"/>
      <c r="BF604" s="880"/>
      <c r="BG604" s="880"/>
      <c r="BH604" s="880"/>
      <c r="BI604" s="880"/>
      <c r="BJ604" s="880"/>
      <c r="BK604" s="880"/>
      <c r="BL604" s="880"/>
      <c r="BM604" s="880"/>
      <c r="BN604" s="880"/>
      <c r="BO604" s="880"/>
      <c r="BP604" s="880"/>
      <c r="BQ604" s="880"/>
      <c r="BR604" s="880"/>
      <c r="BS604" s="880"/>
      <c r="BT604" s="880"/>
    </row>
    <row r="605" spans="1:72" s="882" customFormat="1" ht="13.5" hidden="1" collapsed="1" thickBot="1">
      <c r="A605" s="2985"/>
      <c r="B605" s="2986"/>
      <c r="C605" s="2907" t="s">
        <v>583</v>
      </c>
      <c r="D605" s="2908"/>
      <c r="E605" s="2886">
        <v>1E-4</v>
      </c>
      <c r="F605" s="1328">
        <f>IF(SETUP!$F$56="Upfront",F606,F607)</f>
        <v>0</v>
      </c>
      <c r="G605" s="1194">
        <f>IF(SETUP!$F$56="Upfront",G606,G607)</f>
        <v>0</v>
      </c>
      <c r="H605" s="1194">
        <f>IF(SETUP!$F$56="Upfront",H606,H607)</f>
        <v>0</v>
      </c>
      <c r="I605" s="1194">
        <f>IF(SETUP!$F$56="Upfront",I606,I607)</f>
        <v>0</v>
      </c>
      <c r="J605" s="1194">
        <f t="shared" si="84"/>
        <v>0</v>
      </c>
      <c r="K605" s="1328">
        <f>IF(SETUP!$F$56="Upfront",K606,K607)</f>
        <v>0</v>
      </c>
      <c r="L605" s="1194">
        <f>IF(SETUP!$F$56="Upfront",L606,L607)</f>
        <v>0</v>
      </c>
      <c r="M605" s="1194">
        <f>IF(SETUP!$F$56="Upfront",M606,M607)</f>
        <v>0</v>
      </c>
      <c r="N605" s="1194">
        <f>IF(SETUP!$F$56="Upfront",N606,N607)</f>
        <v>0</v>
      </c>
      <c r="O605" s="1194">
        <f t="shared" si="85"/>
        <v>0</v>
      </c>
      <c r="P605" s="1328">
        <f>IF(SETUP!$F$56="Upfront",P606,P607)</f>
        <v>0</v>
      </c>
      <c r="Q605" s="1194">
        <f>IF(SETUP!$F$56="Upfront",Q606,Q607)</f>
        <v>0</v>
      </c>
      <c r="R605" s="1194">
        <f>IF(SETUP!$F$56="Upfront",R606,R607)</f>
        <v>0</v>
      </c>
      <c r="S605" s="1194">
        <f>IF(SETUP!$F$56="Upfront",S606,S607)</f>
        <v>0</v>
      </c>
      <c r="T605" s="1194">
        <f t="shared" si="86"/>
        <v>0</v>
      </c>
      <c r="U605" s="1328">
        <f t="shared" si="87"/>
        <v>0</v>
      </c>
      <c r="V605" s="1826">
        <v>7.5</v>
      </c>
      <c r="W605" s="1837"/>
      <c r="X605" s="764"/>
      <c r="Y605" s="1836"/>
      <c r="Z605" s="850"/>
      <c r="AA605" s="880"/>
      <c r="AB605" s="880"/>
      <c r="AC605" s="880"/>
      <c r="AD605" s="880"/>
      <c r="AE605" s="880"/>
      <c r="AF605" s="880"/>
      <c r="AG605" s="880"/>
      <c r="AH605" s="881"/>
      <c r="AI605" s="880"/>
      <c r="AJ605" s="880"/>
      <c r="AK605" s="880"/>
      <c r="AL605" s="880"/>
      <c r="AM605" s="880"/>
      <c r="AN605" s="880"/>
      <c r="AO605" s="880"/>
      <c r="AP605" s="880"/>
      <c r="AQ605" s="880"/>
      <c r="AR605" s="880"/>
      <c r="AS605" s="880"/>
      <c r="AT605" s="880"/>
      <c r="AU605" s="880"/>
      <c r="AV605" s="880"/>
      <c r="AW605" s="880"/>
      <c r="AX605" s="880"/>
      <c r="AY605" s="880"/>
      <c r="AZ605" s="880"/>
      <c r="BA605" s="880"/>
      <c r="BB605" s="880"/>
      <c r="BC605" s="880"/>
      <c r="BD605" s="880"/>
      <c r="BE605" s="880"/>
      <c r="BF605" s="880"/>
      <c r="BG605" s="880"/>
      <c r="BH605" s="880"/>
      <c r="BI605" s="880"/>
      <c r="BJ605" s="880"/>
      <c r="BK605" s="880"/>
      <c r="BL605" s="880"/>
      <c r="BM605" s="880"/>
      <c r="BN605" s="880"/>
      <c r="BO605" s="880"/>
      <c r="BP605" s="880"/>
      <c r="BQ605" s="880"/>
      <c r="BR605" s="880"/>
      <c r="BS605" s="880"/>
      <c r="BT605" s="880"/>
    </row>
    <row r="606" spans="1:72" s="882" customFormat="1" ht="16.149999999999999" hidden="1" customHeight="1" outlineLevel="1">
      <c r="A606" s="2985"/>
      <c r="B606" s="2986"/>
      <c r="C606" s="2889" t="s">
        <v>918</v>
      </c>
      <c r="D606" s="2890"/>
      <c r="E606" s="2887"/>
      <c r="F606" s="1328">
        <f>IF(SETUP!$F$56="Upfront",$E$605*'Malaria-Equipment &amp; Other HPs'!AW18,0)</f>
        <v>0</v>
      </c>
      <c r="G606" s="1194">
        <f>IF(SETUP!$F$56="Upfront",$E$605*'Malaria-Equipment &amp; Other HPs'!AX18,0)</f>
        <v>0</v>
      </c>
      <c r="H606" s="1194">
        <f>IF(SETUP!$F$56="Upfront",$E$605*'Malaria-Equipment &amp; Other HPs'!AY18,0)</f>
        <v>0</v>
      </c>
      <c r="I606" s="1194">
        <f>IF(SETUP!$F$56="Upfront",$E$605*'Malaria-Equipment &amp; Other HPs'!AZ18,0)</f>
        <v>0</v>
      </c>
      <c r="J606" s="1194">
        <f t="shared" si="84"/>
        <v>0</v>
      </c>
      <c r="K606" s="1328">
        <f>IF(SETUP!$F$56="Upfront",$E$605*'Malaria-Equipment &amp; Other HPs'!BA18,0)</f>
        <v>0</v>
      </c>
      <c r="L606" s="1194">
        <f>IF(SETUP!$F$56="Upfront",$E$605*'Malaria-Equipment &amp; Other HPs'!BB18,0)</f>
        <v>0</v>
      </c>
      <c r="M606" s="1194">
        <f>IF(SETUP!$F$56="Upfront",$E$605*'Malaria-Equipment &amp; Other HPs'!BC18,0)</f>
        <v>0</v>
      </c>
      <c r="N606" s="1194">
        <f>IF(SETUP!$F$56="Upfront",$E$605*'Malaria-Equipment &amp; Other HPs'!BD18,0)</f>
        <v>0</v>
      </c>
      <c r="O606" s="1194">
        <f t="shared" si="85"/>
        <v>0</v>
      </c>
      <c r="P606" s="1328">
        <f>IF(SETUP!$F$56="Upfront",$E$605*'Malaria-Equipment &amp; Other HPs'!BE18,0)</f>
        <v>0</v>
      </c>
      <c r="Q606" s="1194">
        <f>IF(SETUP!$F$56="Upfront",$E$605*'Malaria-Equipment &amp; Other HPs'!BF18,0)</f>
        <v>0</v>
      </c>
      <c r="R606" s="1194">
        <f>IF(SETUP!$F$56="Upfront",$E$605*'Malaria-Equipment &amp; Other HPs'!BG18,0)</f>
        <v>0</v>
      </c>
      <c r="S606" s="1194">
        <f>IF(SETUP!$F$56="Upfront",$E$605*'Malaria-Equipment &amp; Other HPs'!BH18,0)</f>
        <v>0</v>
      </c>
      <c r="T606" s="1194">
        <f t="shared" si="86"/>
        <v>0</v>
      </c>
      <c r="U606" s="1328">
        <f t="shared" si="87"/>
        <v>0</v>
      </c>
      <c r="V606" s="1826">
        <v>7.5</v>
      </c>
      <c r="W606" s="1837"/>
      <c r="X606" s="764"/>
      <c r="Y606" s="1836"/>
      <c r="Z606" s="850"/>
      <c r="AA606" s="880"/>
      <c r="AB606" s="880"/>
      <c r="AC606" s="880"/>
      <c r="AD606" s="880"/>
      <c r="AE606" s="880"/>
      <c r="AF606" s="880"/>
      <c r="AG606" s="880"/>
      <c r="AH606" s="881"/>
      <c r="AI606" s="880"/>
      <c r="AJ606" s="880"/>
      <c r="AK606" s="880"/>
      <c r="AL606" s="880"/>
      <c r="AM606" s="880"/>
      <c r="AN606" s="880"/>
      <c r="AO606" s="880"/>
      <c r="AP606" s="880"/>
      <c r="AQ606" s="880"/>
      <c r="AR606" s="880"/>
      <c r="AS606" s="880"/>
      <c r="AT606" s="880"/>
      <c r="AU606" s="880"/>
      <c r="AV606" s="880"/>
      <c r="AW606" s="880"/>
      <c r="AX606" s="880"/>
      <c r="AY606" s="880"/>
      <c r="AZ606" s="880"/>
      <c r="BA606" s="880"/>
      <c r="BB606" s="880"/>
      <c r="BC606" s="880"/>
      <c r="BD606" s="880"/>
      <c r="BE606" s="880"/>
      <c r="BF606" s="880"/>
      <c r="BG606" s="880"/>
      <c r="BH606" s="880"/>
      <c r="BI606" s="880"/>
      <c r="BJ606" s="880"/>
      <c r="BK606" s="880"/>
      <c r="BL606" s="880"/>
      <c r="BM606" s="880"/>
      <c r="BN606" s="880"/>
      <c r="BO606" s="880"/>
      <c r="BP606" s="880"/>
      <c r="BQ606" s="880"/>
      <c r="BR606" s="880"/>
      <c r="BS606" s="880"/>
      <c r="BT606" s="880"/>
    </row>
    <row r="607" spans="1:72" s="882" customFormat="1" ht="17.25" hidden="1" customHeight="1" outlineLevel="1">
      <c r="A607" s="2985"/>
      <c r="B607" s="2986"/>
      <c r="C607" s="2889" t="s">
        <v>36</v>
      </c>
      <c r="D607" s="2890"/>
      <c r="E607" s="2888"/>
      <c r="F607" s="1328">
        <v>0</v>
      </c>
      <c r="G607" s="1194">
        <f>IF(SETUP!$F$56="At delivery",IF(SETUP!$G$56=1,$E$605*'Malaria-Equipment &amp; Other HPs'!AW18,0),0)</f>
        <v>0</v>
      </c>
      <c r="H607" s="1194">
        <f>IF(SETUP!$F$56="At delivery",IF(SETUP!$G$56=2,$E$605*'Malaria-Equipment &amp; Other HPs'!AW18,IF(SETUP!$G$56=1,$E$605*'Malaria-Equipment &amp; Other HPs'!AX18,0)),0)</f>
        <v>0</v>
      </c>
      <c r="I607" s="1194">
        <f>IF(SETUP!$F$56="At delivery",IF(SETUP!$G$56=3,$E$605*'Malaria-Equipment &amp; Other HPs'!AW18,IF(SETUP!$G$56=2,$E$605*'Malaria-Equipment &amp; Other HPs'!AX18,IF(SETUP!$G$56=1,$E$605*'Malaria-Equipment &amp; Other HPs'!AY18,0))),0)</f>
        <v>0</v>
      </c>
      <c r="J607" s="1194">
        <f t="shared" si="84"/>
        <v>0</v>
      </c>
      <c r="K607" s="1328">
        <f>IF(SETUP!$F$56="At delivery",IF(SETUP!$G$56=4,$E$605*'Malaria-Equipment &amp; Other HPs'!AW18,IF(SETUP!$G$56=3,$E$605*'Malaria-Equipment &amp; Other HPs'!AX18,IF(SETUP!$G$56=2,$E$605*'Malaria-Equipment &amp; Other HPs'!AY18,IF(SETUP!$G$56=1,$E$605*'Malaria-Equipment &amp; Other HPs'!AZ18,0)))),0)</f>
        <v>0</v>
      </c>
      <c r="L607" s="1194">
        <f>IF(SETUP!$F$56="At delivery",IF(SETUP!$G$56=4,$E$605*'Malaria-Equipment &amp; Other HPs'!AX18,IF(SETUP!$G$56=3,$E$605*'Malaria-Equipment &amp; Other HPs'!AY18,IF(SETUP!$G$56=2,$E$605*'Malaria-Equipment &amp; Other HPs'!AZ18,IF(SETUP!$G$56=1,$E$605*'Malaria-Equipment &amp; Other HPs'!BA18,0)))),0)</f>
        <v>0</v>
      </c>
      <c r="M607" s="1194">
        <f>IF(SETUP!$F$56="At delivery",IF(SETUP!$G$56=4,$E$605*'Malaria-Equipment &amp; Other HPs'!AY18,IF(SETUP!$G$56=3,$E$605*'Malaria-Equipment &amp; Other HPs'!AZ18,IF(SETUP!$G$56=2,$E$605*'Malaria-Equipment &amp; Other HPs'!BA18,IF(SETUP!$G$56=1,$E$605*'Malaria-Equipment &amp; Other HPs'!BB18,0)))),0)</f>
        <v>0</v>
      </c>
      <c r="N607" s="1194">
        <f>IF(SETUP!$F$56="At delivery",IF(SETUP!$G$56=4,$E$605*'Malaria-Equipment &amp; Other HPs'!AZ18,IF(SETUP!$G$56=3,$E$605*'Malaria-Equipment &amp; Other HPs'!BA18,IF(SETUP!$G$56=2,$E$605*'Malaria-Equipment &amp; Other HPs'!BB18,IF(SETUP!$G$56=1,$E$605*'Malaria-Equipment &amp; Other HPs'!BC18,0)))),0)</f>
        <v>0</v>
      </c>
      <c r="O607" s="1194">
        <f t="shared" si="85"/>
        <v>0</v>
      </c>
      <c r="P607" s="1328">
        <f>IF(SETUP!$F$56="At delivery",IF(SETUP!$G$56=4,$E$605*'Malaria-Equipment &amp; Other HPs'!BA18,IF(SETUP!$G$56=3,$E$605*'Malaria-Equipment &amp; Other HPs'!BB18,IF(SETUP!$G$56=2,$E$605*'Malaria-Equipment &amp; Other HPs'!BC18,IF(SETUP!$G$56=1,$E$605*'Malaria-Equipment &amp; Other HPs'!BD18,0)))),0)</f>
        <v>0</v>
      </c>
      <c r="Q607" s="1194">
        <f>IF(SETUP!$F$56="At delivery",IF(SETUP!$G$56=4,$E$605*'Malaria-Equipment &amp; Other HPs'!BB18,IF(SETUP!$G$56=3,$E$605*'Malaria-Equipment &amp; Other HPs'!BC18,IF(SETUP!$G$56=2,$E$605*'Malaria-Equipment &amp; Other HPs'!BD18,IF(SETUP!$G$56=1,$E$605*'Malaria-Equipment &amp; Other HPs'!BE18,0)))),0)</f>
        <v>0</v>
      </c>
      <c r="R607" s="1194">
        <f>IF(SETUP!$F$56="At delivery",IF(SETUP!$G$56=4,$E$605*'Malaria-Equipment &amp; Other HPs'!BC18,IF(SETUP!$G$56=3,$E$605*'Malaria-Equipment &amp; Other HPs'!BD18,IF(SETUP!$G$56=2,$E$605*'Malaria-Equipment &amp; Other HPs'!BE18,IF(SETUP!$G$56=1,$E$605*'Malaria-Equipment &amp; Other HPs'!BF18,0)))),0)</f>
        <v>0</v>
      </c>
      <c r="S607" s="1194">
        <f>IF(SETUP!$F$56="At delivery",IF(SETUP!$G$56=4,$E$605*('Malaria-Equipment &amp; Other HPs'!BD18+'Malaria-Equipment &amp; Other HPs'!BE18+'Malaria-Equipment &amp; Other HPs'!BF18+'Malaria-Equipment &amp; Other HPs'!BG18+'Malaria-Equipment &amp; Other HPs'!BH18),IF(SETUP!$G$56=3,$E$605*('Malaria-Equipment &amp; Other HPs'!BE18+'Malaria-Equipment &amp; Other HPs'!BF18+'Malaria-Equipment &amp; Other HPs'!BG18+'Malaria-Equipment &amp; Other HPs'!BH18),IF(SETUP!$G$56=2,$E$605*('Malaria-Equipment &amp; Other HPs'!BF18+'Malaria-Equipment &amp; Other HPs'!BG18+'Malaria-Equipment &amp; Other HPs'!BH18),IF(SETUP!$G$56=1,$E$605*('Malaria-Equipment &amp; Other HPs'!BG18+'Malaria-Equipment &amp; Other HPs'!BH18),0)))),0)</f>
        <v>0</v>
      </c>
      <c r="T607" s="1194">
        <f t="shared" si="86"/>
        <v>0</v>
      </c>
      <c r="U607" s="1328">
        <f t="shared" si="87"/>
        <v>0</v>
      </c>
      <c r="V607" s="1826">
        <v>7.5</v>
      </c>
      <c r="W607" s="1837"/>
      <c r="X607" s="764"/>
      <c r="Y607" s="1836"/>
      <c r="Z607" s="850"/>
      <c r="AA607" s="880"/>
      <c r="AB607" s="880"/>
      <c r="AC607" s="880"/>
      <c r="AD607" s="880"/>
      <c r="AE607" s="880"/>
      <c r="AF607" s="880"/>
      <c r="AG607" s="880"/>
      <c r="AH607" s="881"/>
      <c r="AI607" s="880"/>
      <c r="AJ607" s="880"/>
      <c r="AK607" s="880"/>
      <c r="AL607" s="880"/>
      <c r="AM607" s="880"/>
      <c r="AN607" s="880"/>
      <c r="AO607" s="880"/>
      <c r="AP607" s="880"/>
      <c r="AQ607" s="880"/>
      <c r="AR607" s="880"/>
      <c r="AS607" s="880"/>
      <c r="AT607" s="880"/>
      <c r="AU607" s="880"/>
      <c r="AV607" s="880"/>
      <c r="AW607" s="880"/>
      <c r="AX607" s="880"/>
      <c r="AY607" s="880"/>
      <c r="AZ607" s="880"/>
      <c r="BA607" s="880"/>
      <c r="BB607" s="880"/>
      <c r="BC607" s="880"/>
      <c r="BD607" s="880"/>
      <c r="BE607" s="880"/>
      <c r="BF607" s="880"/>
      <c r="BG607" s="880"/>
      <c r="BH607" s="880"/>
      <c r="BI607" s="880"/>
      <c r="BJ607" s="880"/>
      <c r="BK607" s="880"/>
      <c r="BL607" s="880"/>
      <c r="BM607" s="880"/>
      <c r="BN607" s="880"/>
      <c r="BO607" s="880"/>
      <c r="BP607" s="880"/>
      <c r="BQ607" s="880"/>
      <c r="BR607" s="880"/>
      <c r="BS607" s="880"/>
      <c r="BT607" s="880"/>
    </row>
    <row r="608" spans="1:72" s="882" customFormat="1" ht="13.5" hidden="1" collapsed="1" thickBot="1">
      <c r="A608" s="2985"/>
      <c r="B608" s="2986"/>
      <c r="C608" s="2907" t="s">
        <v>537</v>
      </c>
      <c r="D608" s="2908"/>
      <c r="E608" s="2886">
        <v>1E-4</v>
      </c>
      <c r="F608" s="1328">
        <f>IF(SETUP!$F$57="Upfront",F609,F610)</f>
        <v>0</v>
      </c>
      <c r="G608" s="1194">
        <f>IF(SETUP!$F$57="Upfront",G609,G610)</f>
        <v>0</v>
      </c>
      <c r="H608" s="1194">
        <f>IF(SETUP!$F$57="Upfront",H609,H610)</f>
        <v>0</v>
      </c>
      <c r="I608" s="1194">
        <f>IF(SETUP!$F$57="Upfront",I609,I610)</f>
        <v>0</v>
      </c>
      <c r="J608" s="1194">
        <f t="shared" si="84"/>
        <v>0</v>
      </c>
      <c r="K608" s="1328">
        <f>IF(SETUP!$F$57="Upfront",K609,K610)</f>
        <v>0</v>
      </c>
      <c r="L608" s="1194">
        <f>IF(SETUP!$F$57="Upfront",L609,L610)</f>
        <v>0</v>
      </c>
      <c r="M608" s="1194">
        <f>IF(SETUP!$F$57="Upfront",M609,M610)</f>
        <v>0</v>
      </c>
      <c r="N608" s="1194">
        <f>IF(SETUP!$F$57="Upfront",N609,N610)</f>
        <v>0</v>
      </c>
      <c r="O608" s="1194">
        <f t="shared" si="85"/>
        <v>0</v>
      </c>
      <c r="P608" s="1328">
        <f>IF(SETUP!$F$57="Upfront",P609,P610)</f>
        <v>0</v>
      </c>
      <c r="Q608" s="1194">
        <f>IF(SETUP!$F$57="Upfront",Q609,Q610)</f>
        <v>0</v>
      </c>
      <c r="R608" s="1194">
        <f>IF(SETUP!$F$57="Upfront",R609,R610)</f>
        <v>0</v>
      </c>
      <c r="S608" s="1194">
        <f>IF(SETUP!$F$57="Upfront",S609,S610)</f>
        <v>0</v>
      </c>
      <c r="T608" s="1194">
        <f t="shared" si="86"/>
        <v>0</v>
      </c>
      <c r="U608" s="1328">
        <f t="shared" si="87"/>
        <v>0</v>
      </c>
      <c r="V608" s="1826">
        <v>7.5</v>
      </c>
      <c r="W608" s="1837"/>
      <c r="X608" s="764"/>
      <c r="Y608" s="1836"/>
      <c r="Z608" s="850"/>
      <c r="AA608" s="880"/>
      <c r="AB608" s="880"/>
      <c r="AC608" s="880"/>
      <c r="AD608" s="880"/>
      <c r="AE608" s="880"/>
      <c r="AF608" s="880"/>
      <c r="AG608" s="880"/>
      <c r="AH608" s="881"/>
      <c r="AI608" s="880"/>
      <c r="AJ608" s="880"/>
      <c r="AK608" s="880"/>
      <c r="AL608" s="880"/>
      <c r="AM608" s="880"/>
      <c r="AN608" s="880"/>
      <c r="AO608" s="880"/>
      <c r="AP608" s="880"/>
      <c r="AQ608" s="880"/>
      <c r="AR608" s="880"/>
      <c r="AS608" s="880"/>
      <c r="AT608" s="880"/>
      <c r="AU608" s="880"/>
      <c r="AV608" s="880"/>
      <c r="AW608" s="880"/>
      <c r="AX608" s="880"/>
      <c r="AY608" s="880"/>
      <c r="AZ608" s="880"/>
      <c r="BA608" s="880"/>
      <c r="BB608" s="880"/>
      <c r="BC608" s="880"/>
      <c r="BD608" s="880"/>
      <c r="BE608" s="880"/>
      <c r="BF608" s="880"/>
      <c r="BG608" s="880"/>
      <c r="BH608" s="880"/>
      <c r="BI608" s="880"/>
      <c r="BJ608" s="880"/>
      <c r="BK608" s="880"/>
      <c r="BL608" s="880"/>
      <c r="BM608" s="880"/>
      <c r="BN608" s="880"/>
      <c r="BO608" s="880"/>
      <c r="BP608" s="880"/>
      <c r="BQ608" s="880"/>
      <c r="BR608" s="880"/>
      <c r="BS608" s="880"/>
      <c r="BT608" s="880"/>
    </row>
    <row r="609" spans="1:72" s="882" customFormat="1" ht="16.149999999999999" hidden="1" customHeight="1" outlineLevel="1">
      <c r="A609" s="2985"/>
      <c r="B609" s="2986"/>
      <c r="C609" s="2889" t="s">
        <v>918</v>
      </c>
      <c r="D609" s="2890"/>
      <c r="E609" s="2887"/>
      <c r="F609" s="1328">
        <f>IF(SETUP!$F$57="Upfront",$E$608*'Malaria-Equipment &amp; Other HPs'!AW19,0)</f>
        <v>0</v>
      </c>
      <c r="G609" s="1194">
        <f>IF(SETUP!$F$57="Upfront",$E$608*'Malaria-Equipment &amp; Other HPs'!AX19,0)</f>
        <v>0</v>
      </c>
      <c r="H609" s="1194">
        <f>IF(SETUP!$F$57="Upfront",$E$608*'Malaria-Equipment &amp; Other HPs'!AY19,0)</f>
        <v>0</v>
      </c>
      <c r="I609" s="1194">
        <f>IF(SETUP!$F$57="Upfront",$E$608*'Malaria-Equipment &amp; Other HPs'!AZ19,0)</f>
        <v>0</v>
      </c>
      <c r="J609" s="1194">
        <f t="shared" si="84"/>
        <v>0</v>
      </c>
      <c r="K609" s="1328">
        <f>IF(SETUP!$F$57="Upfront",$E$608*'Malaria-Equipment &amp; Other HPs'!BA19,0)</f>
        <v>0</v>
      </c>
      <c r="L609" s="1194">
        <f>IF(SETUP!$F$57="Upfront",$E$608*'Malaria-Equipment &amp; Other HPs'!BB19,0)</f>
        <v>0</v>
      </c>
      <c r="M609" s="1194">
        <f>IF(SETUP!$F$57="Upfront",$E$608*'Malaria-Equipment &amp; Other HPs'!BC19,0)</f>
        <v>0</v>
      </c>
      <c r="N609" s="1194">
        <f>IF(SETUP!$F$57="Upfront",$E$608*'Malaria-Equipment &amp; Other HPs'!BD19,0)</f>
        <v>0</v>
      </c>
      <c r="O609" s="1194">
        <f t="shared" si="85"/>
        <v>0</v>
      </c>
      <c r="P609" s="1328">
        <f>IF(SETUP!$F$57="Upfront",$E$608*'Malaria-Equipment &amp; Other HPs'!BE19,0)</f>
        <v>0</v>
      </c>
      <c r="Q609" s="1194">
        <f>IF(SETUP!$F$57="Upfront",$E$608*'Malaria-Equipment &amp; Other HPs'!BF19,0)</f>
        <v>0</v>
      </c>
      <c r="R609" s="1194">
        <f>IF(SETUP!$F$57="Upfront",$E$608*'Malaria-Equipment &amp; Other HPs'!BG19,0)</f>
        <v>0</v>
      </c>
      <c r="S609" s="1194">
        <f>IF(SETUP!$F$57="Upfront",$E$608*'Malaria-Equipment &amp; Other HPs'!BH19,0)</f>
        <v>0</v>
      </c>
      <c r="T609" s="1194">
        <f t="shared" si="86"/>
        <v>0</v>
      </c>
      <c r="U609" s="1328">
        <f t="shared" si="87"/>
        <v>0</v>
      </c>
      <c r="V609" s="1826">
        <v>7.5</v>
      </c>
      <c r="W609" s="1837"/>
      <c r="X609" s="764"/>
      <c r="Y609" s="1836"/>
      <c r="Z609" s="850"/>
      <c r="AA609" s="880"/>
      <c r="AB609" s="880"/>
      <c r="AC609" s="880"/>
      <c r="AD609" s="880"/>
      <c r="AE609" s="880"/>
      <c r="AF609" s="880"/>
      <c r="AG609" s="880"/>
      <c r="AH609" s="881"/>
      <c r="AI609" s="880"/>
      <c r="AJ609" s="880"/>
      <c r="AK609" s="880"/>
      <c r="AL609" s="880"/>
      <c r="AM609" s="880"/>
      <c r="AN609" s="880"/>
      <c r="AO609" s="880"/>
      <c r="AP609" s="880"/>
      <c r="AQ609" s="880"/>
      <c r="AR609" s="880"/>
      <c r="AS609" s="880"/>
      <c r="AT609" s="880"/>
      <c r="AU609" s="880"/>
      <c r="AV609" s="880"/>
      <c r="AW609" s="880"/>
      <c r="AX609" s="880"/>
      <c r="AY609" s="880"/>
      <c r="AZ609" s="880"/>
      <c r="BA609" s="880"/>
      <c r="BB609" s="880"/>
      <c r="BC609" s="880"/>
      <c r="BD609" s="880"/>
      <c r="BE609" s="880"/>
      <c r="BF609" s="880"/>
      <c r="BG609" s="880"/>
      <c r="BH609" s="880"/>
      <c r="BI609" s="880"/>
      <c r="BJ609" s="880"/>
      <c r="BK609" s="880"/>
      <c r="BL609" s="880"/>
      <c r="BM609" s="880"/>
      <c r="BN609" s="880"/>
      <c r="BO609" s="880"/>
      <c r="BP609" s="880"/>
      <c r="BQ609" s="880"/>
      <c r="BR609" s="880"/>
      <c r="BS609" s="880"/>
      <c r="BT609" s="880"/>
    </row>
    <row r="610" spans="1:72" s="882" customFormat="1" ht="17.25" hidden="1" customHeight="1" outlineLevel="1">
      <c r="A610" s="2985"/>
      <c r="B610" s="2986"/>
      <c r="C610" s="2889" t="s">
        <v>36</v>
      </c>
      <c r="D610" s="2890"/>
      <c r="E610" s="2887"/>
      <c r="F610" s="1328">
        <v>0</v>
      </c>
      <c r="G610" s="1194">
        <f>IF(SETUP!$F$57="At delivery",IF(SETUP!$G$57=1,$E$608*'Malaria-Equipment &amp; Other HPs'!AW19,0),0)</f>
        <v>0</v>
      </c>
      <c r="H610" s="1194">
        <f>IF(SETUP!$F$57="At delivery",IF(SETUP!$G$57=2,$E$608*'Malaria-Equipment &amp; Other HPs'!AW19,IF(SETUP!$G$57=1,$E$608*'Malaria-Equipment &amp; Other HPs'!AX19,0)),0)</f>
        <v>0</v>
      </c>
      <c r="I610" s="1194">
        <f>IF(SETUP!$F$57="At delivery",IF(SETUP!$G$57=3,$E$608*'Malaria-Equipment &amp; Other HPs'!AW19,IF(SETUP!$G$57=2,$E$608*'Malaria-Equipment &amp; Other HPs'!AX19,IF(SETUP!$G$57=1,$E$608*'Malaria-Equipment &amp; Other HPs'!AY19,0))),0)</f>
        <v>0</v>
      </c>
      <c r="J610" s="1194">
        <f t="shared" si="84"/>
        <v>0</v>
      </c>
      <c r="K610" s="1328">
        <f>IF(SETUP!$F$57="At delivery",IF(SETUP!$G$57=4,$E$608*'Malaria-Equipment &amp; Other HPs'!AW19,IF(SETUP!$G$57=3,$E$608*'Malaria-Equipment &amp; Other HPs'!AX19,IF(SETUP!$G$57=2,$E$608*'Malaria-Equipment &amp; Other HPs'!AY19,IF(SETUP!$G$57=1,$E$608*'Malaria-Equipment &amp; Other HPs'!AZ19,0)))),0)</f>
        <v>0</v>
      </c>
      <c r="L610" s="1194">
        <f>IF(SETUP!$F$57="At delivery",IF(SETUP!$G$57=4,$E$608*'Malaria-Equipment &amp; Other HPs'!AX19,IF(SETUP!$G$57=3,$E$608*'Malaria-Equipment &amp; Other HPs'!AY19,IF(SETUP!$G$57=2,$E$608*'Malaria-Equipment &amp; Other HPs'!AZ19,IF(SETUP!$G$57=1,$E$608*'Malaria-Equipment &amp; Other HPs'!BA19,0)))),0)</f>
        <v>0</v>
      </c>
      <c r="M610" s="1194">
        <f>IF(SETUP!$F$57="At delivery",IF(SETUP!$G$57=4,$E$608*'Malaria-Equipment &amp; Other HPs'!AY19,IF(SETUP!$G$57=3,$E$608*'Malaria-Equipment &amp; Other HPs'!AZ19,IF(SETUP!$G$57=2,$E$608*'Malaria-Equipment &amp; Other HPs'!BA19,IF(SETUP!$G$57=1,$E$608*'Malaria-Equipment &amp; Other HPs'!BB19,0)))),0)</f>
        <v>0</v>
      </c>
      <c r="N610" s="1194">
        <f>IF(SETUP!$F$57="At delivery",IF(SETUP!$G$57=4,$E$608*'Malaria-Equipment &amp; Other HPs'!AZ19,IF(SETUP!$G$57=3,$E$608*'Malaria-Equipment &amp; Other HPs'!BA19,IF(SETUP!$G$57=2,$E$608*'Malaria-Equipment &amp; Other HPs'!BB19,IF(SETUP!$G$57=1,$E$608*'Malaria-Equipment &amp; Other HPs'!BC19,0)))),0)</f>
        <v>0</v>
      </c>
      <c r="O610" s="1194">
        <f t="shared" si="85"/>
        <v>0</v>
      </c>
      <c r="P610" s="1328">
        <f>IF(SETUP!$F$57="At delivery",IF(SETUP!$G$57=4,$E$608*'Malaria-Equipment &amp; Other HPs'!BA19,IF(SETUP!$G$57=3,$E$608*'Malaria-Equipment &amp; Other HPs'!BB19,IF(SETUP!$G$57=2,$E$608*'Malaria-Equipment &amp; Other HPs'!BC19,IF(SETUP!$G$57=1,$E$608*'Malaria-Equipment &amp; Other HPs'!BD19,0)))),0)</f>
        <v>0</v>
      </c>
      <c r="Q610" s="1194">
        <f>IF(SETUP!$F$57="At delivery",IF(SETUP!$G$57=4,$E$608*'Malaria-Equipment &amp; Other HPs'!BB19,IF(SETUP!$G$57=3,$E$608*'Malaria-Equipment &amp; Other HPs'!BC19,IF(SETUP!$G$57=2,$E$608*'Malaria-Equipment &amp; Other HPs'!BD19,IF(SETUP!$G$57=1,$E$608*'Malaria-Equipment &amp; Other HPs'!BE19,0)))),0)</f>
        <v>0</v>
      </c>
      <c r="R610" s="1194">
        <f>IF(SETUP!$F$57="At delivery",IF(SETUP!$G$57=4,$E$608*'Malaria-Equipment &amp; Other HPs'!BC19,IF(SETUP!$G$57=3,$E$608*'Malaria-Equipment &amp; Other HPs'!BD19,IF(SETUP!$G$57=2,$E$608*'Malaria-Equipment &amp; Other HPs'!BE19,IF(SETUP!$G$57=1,$E$608*'Malaria-Equipment &amp; Other HPs'!BF19,0)))),0)</f>
        <v>0</v>
      </c>
      <c r="S610" s="1194">
        <f>IF(SETUP!$F$57="At delivery",IF(SETUP!$G$57=4,$E$608*('Malaria-Equipment &amp; Other HPs'!BD19+'Malaria-Equipment &amp; Other HPs'!BE19+'Malaria-Equipment &amp; Other HPs'!BF19+'Malaria-Equipment &amp; Other HPs'!BG19+'Malaria-Equipment &amp; Other HPs'!BH19),IF(SETUP!$G$57=3,$E$608*('Malaria-Equipment &amp; Other HPs'!BE19+'Malaria-Equipment &amp; Other HPs'!BF19+'Malaria-Equipment &amp; Other HPs'!BG19+'Malaria-Equipment &amp; Other HPs'!BH19),IF(SETUP!$G$57=2,$E$608*('Malaria-Equipment &amp; Other HPs'!BF19+'Malaria-Equipment &amp; Other HPs'!BG19+'Malaria-Equipment &amp; Other HPs'!BH19),IF(SETUP!$G$57=1,$E$608*('Malaria-Equipment &amp; Other HPs'!BG19+'Malaria-Equipment &amp; Other HPs'!BH19),0)))),0)</f>
        <v>0</v>
      </c>
      <c r="T610" s="1194">
        <f t="shared" si="86"/>
        <v>0</v>
      </c>
      <c r="U610" s="1328">
        <f t="shared" si="87"/>
        <v>0</v>
      </c>
      <c r="V610" s="1826">
        <v>7.5</v>
      </c>
      <c r="W610" s="1837"/>
      <c r="X610" s="764"/>
      <c r="Y610" s="1836"/>
      <c r="Z610" s="850"/>
      <c r="AA610" s="880"/>
      <c r="AB610" s="880"/>
      <c r="AC610" s="880"/>
      <c r="AD610" s="880"/>
      <c r="AE610" s="880"/>
      <c r="AF610" s="880"/>
      <c r="AG610" s="880"/>
      <c r="AH610" s="881"/>
      <c r="AI610" s="880"/>
      <c r="AJ610" s="880"/>
      <c r="AK610" s="880"/>
      <c r="AL610" s="880"/>
      <c r="AM610" s="880"/>
      <c r="AN610" s="880"/>
      <c r="AO610" s="880"/>
      <c r="AP610" s="880"/>
      <c r="AQ610" s="880"/>
      <c r="AR610" s="880"/>
      <c r="AS610" s="880"/>
      <c r="AT610" s="880"/>
      <c r="AU610" s="880"/>
      <c r="AV610" s="880"/>
      <c r="AW610" s="880"/>
      <c r="AX610" s="880"/>
      <c r="AY610" s="880"/>
      <c r="AZ610" s="880"/>
      <c r="BA610" s="880"/>
      <c r="BB610" s="880"/>
      <c r="BC610" s="880"/>
      <c r="BD610" s="880"/>
      <c r="BE610" s="880"/>
      <c r="BF610" s="880"/>
      <c r="BG610" s="880"/>
      <c r="BH610" s="880"/>
      <c r="BI610" s="880"/>
      <c r="BJ610" s="880"/>
      <c r="BK610" s="880"/>
      <c r="BL610" s="880"/>
      <c r="BM610" s="880"/>
      <c r="BN610" s="880"/>
      <c r="BO610" s="880"/>
      <c r="BP610" s="880"/>
      <c r="BQ610" s="880"/>
      <c r="BR610" s="880"/>
      <c r="BS610" s="880"/>
      <c r="BT610" s="880"/>
    </row>
    <row r="611" spans="1:72" s="882" customFormat="1" ht="13.5" hidden="1" collapsed="1" thickBot="1">
      <c r="A611" s="2987"/>
      <c r="B611" s="2988"/>
      <c r="C611" s="2975" t="s">
        <v>584</v>
      </c>
      <c r="D611" s="2976"/>
      <c r="E611" s="2991"/>
      <c r="F611" s="1344">
        <f>IF(SETUP!$F$58="Upfront",F612,F613)</f>
        <v>0</v>
      </c>
      <c r="G611" s="1345">
        <f>IF(SETUP!$F$58="Upfront",G612,G613)</f>
        <v>0</v>
      </c>
      <c r="H611" s="1345">
        <f>IF(SETUP!$F$58="Upfront",H612,H613)</f>
        <v>0</v>
      </c>
      <c r="I611" s="1345">
        <f>IF(SETUP!$F$58="Upfront",I612,I613)</f>
        <v>0</v>
      </c>
      <c r="J611" s="1345">
        <f t="shared" si="84"/>
        <v>0</v>
      </c>
      <c r="K611" s="1344">
        <f>IF(SETUP!$F$58="Upfront",K612,K613)</f>
        <v>0</v>
      </c>
      <c r="L611" s="1345">
        <f>IF(SETUP!$F$58="Upfront",L612,L613)</f>
        <v>0</v>
      </c>
      <c r="M611" s="1345">
        <f>IF(SETUP!$F$58="Upfront",M612,M613)</f>
        <v>0</v>
      </c>
      <c r="N611" s="1345">
        <f>IF(SETUP!$F$58="Upfront",N612,N613)</f>
        <v>0</v>
      </c>
      <c r="O611" s="1345">
        <f t="shared" si="85"/>
        <v>0</v>
      </c>
      <c r="P611" s="1344">
        <f>IF(SETUP!$F$58="Upfront",P612,P613)</f>
        <v>0</v>
      </c>
      <c r="Q611" s="1345">
        <f>IF(SETUP!$F$58="Upfront",Q612,Q613)</f>
        <v>0</v>
      </c>
      <c r="R611" s="1345">
        <f>IF(SETUP!$F$58="Upfront",R612,R613)</f>
        <v>0</v>
      </c>
      <c r="S611" s="1345">
        <f>IF(SETUP!$F$58="Upfront",S612,S613)</f>
        <v>0</v>
      </c>
      <c r="T611" s="1346">
        <f t="shared" si="86"/>
        <v>0</v>
      </c>
      <c r="U611" s="1331">
        <f t="shared" si="87"/>
        <v>0</v>
      </c>
      <c r="V611" s="1804">
        <v>7.5</v>
      </c>
      <c r="W611" s="1842"/>
      <c r="X611" s="1843"/>
      <c r="Y611" s="1844"/>
      <c r="Z611" s="850"/>
      <c r="AA611" s="880"/>
      <c r="AB611" s="880"/>
      <c r="AC611" s="880"/>
      <c r="AD611" s="880"/>
      <c r="AE611" s="880"/>
      <c r="AF611" s="880"/>
      <c r="AG611" s="880"/>
      <c r="AH611" s="881"/>
      <c r="AI611" s="880"/>
      <c r="AJ611" s="880"/>
      <c r="AK611" s="880"/>
      <c r="AL611" s="880"/>
      <c r="AM611" s="880"/>
      <c r="AN611" s="880"/>
      <c r="AO611" s="880"/>
      <c r="AP611" s="880"/>
      <c r="AQ611" s="880"/>
      <c r="AR611" s="880"/>
      <c r="AS611" s="880"/>
      <c r="AT611" s="880"/>
      <c r="AU611" s="880"/>
      <c r="AV611" s="880"/>
      <c r="AW611" s="880"/>
      <c r="AX611" s="880"/>
      <c r="AY611" s="880"/>
      <c r="AZ611" s="880"/>
      <c r="BA611" s="880"/>
      <c r="BB611" s="880"/>
      <c r="BC611" s="880"/>
      <c r="BD611" s="880"/>
      <c r="BE611" s="880"/>
      <c r="BF611" s="880"/>
      <c r="BG611" s="880"/>
      <c r="BH611" s="880"/>
      <c r="BI611" s="880"/>
      <c r="BJ611" s="880"/>
      <c r="BK611" s="880"/>
      <c r="BL611" s="880"/>
      <c r="BM611" s="880"/>
      <c r="BN611" s="880"/>
      <c r="BO611" s="880"/>
      <c r="BP611" s="880"/>
      <c r="BQ611" s="880"/>
      <c r="BR611" s="880"/>
      <c r="BS611" s="880"/>
      <c r="BT611" s="880"/>
    </row>
    <row r="612" spans="1:72" s="882" customFormat="1" ht="12.75" hidden="1" customHeight="1" outlineLevel="1">
      <c r="A612" s="1884"/>
      <c r="B612" s="1899"/>
      <c r="C612" s="2977" t="s">
        <v>918</v>
      </c>
      <c r="D612" s="2978"/>
      <c r="E612" s="1897"/>
      <c r="F612" s="1211">
        <f>IF(SETUP!$F$57="Upfront",$E$608*'Malaria-Equipment &amp; Other HPs'!AW20,0)</f>
        <v>0</v>
      </c>
      <c r="G612" s="1212">
        <f>IF(SETUP!$F$57="Upfront",$E$608*'Malaria-Equipment &amp; Other HPs'!AX20,0)</f>
        <v>0</v>
      </c>
      <c r="H612" s="1212">
        <f>IF(SETUP!$F$57="Upfront",$E$608*'Malaria-Equipment &amp; Other HPs'!AY20,0)</f>
        <v>0</v>
      </c>
      <c r="I612" s="1212">
        <f>IF(SETUP!$F$57="Upfront",$E$608*'Malaria-Equipment &amp; Other HPs'!AZ20,0)</f>
        <v>0</v>
      </c>
      <c r="J612" s="1213">
        <f>SUM('HPM costs'!$F612:$I612)</f>
        <v>0</v>
      </c>
      <c r="K612" s="1211">
        <f>IF(SETUP!$F$57="Upfront",$E$608*'Malaria-Equipment &amp; Other HPs'!BA20,0)</f>
        <v>0</v>
      </c>
      <c r="L612" s="1212">
        <f>IF(SETUP!$F$57="Upfront",$E$608*'Malaria-Equipment &amp; Other HPs'!BB20,0)</f>
        <v>0</v>
      </c>
      <c r="M612" s="1212">
        <f>IF(SETUP!$F$57="Upfront",$E$608*'Malaria-Equipment &amp; Other HPs'!BC20,0)</f>
        <v>0</v>
      </c>
      <c r="N612" s="1212">
        <f>IF(SETUP!$F$57="Upfront",$E$608*'Malaria-Equipment &amp; Other HPs'!BD20,0)</f>
        <v>0</v>
      </c>
      <c r="O612" s="1213">
        <f>SUM('HPM costs'!$K612:$N612)</f>
        <v>0</v>
      </c>
      <c r="P612" s="1211">
        <f>IF(SETUP!$F$57="Upfront",$E$608*'Malaria-Equipment &amp; Other HPs'!BE20,0)</f>
        <v>0</v>
      </c>
      <c r="Q612" s="1212">
        <f>IF(SETUP!$F$57="Upfront",$E$608*'Malaria-Equipment &amp; Other HPs'!BF20,0)</f>
        <v>0</v>
      </c>
      <c r="R612" s="1212">
        <f>IF(SETUP!$F$57="Upfront",$E$608*'Malaria-Equipment &amp; Other HPs'!BG20,0)</f>
        <v>0</v>
      </c>
      <c r="S612" s="1212">
        <f>IF(SETUP!$F$57="Upfront",$E$608*'Malaria-Equipment &amp; Other HPs'!BH20,0)</f>
        <v>0</v>
      </c>
      <c r="T612" s="1213">
        <f>SUM('HPM costs'!$P612:$S612)</f>
        <v>0</v>
      </c>
      <c r="U612" s="1214">
        <f>'HPM costs'!$T612+'HPM costs'!$O612+'HPM costs'!$J612</f>
        <v>0</v>
      </c>
      <c r="V612" s="938"/>
      <c r="W612" s="763"/>
      <c r="X612" s="764"/>
      <c r="Y612" s="1805"/>
      <c r="Z612" s="850"/>
      <c r="AA612" s="880"/>
      <c r="AB612" s="880"/>
      <c r="AC612" s="880"/>
      <c r="AD612" s="880"/>
      <c r="AE612" s="880"/>
      <c r="AF612" s="880"/>
      <c r="AG612" s="880"/>
      <c r="AH612" s="881"/>
      <c r="AI612" s="880"/>
      <c r="AJ612" s="880"/>
      <c r="AK612" s="880"/>
      <c r="AL612" s="880"/>
      <c r="AM612" s="880"/>
      <c r="AN612" s="880"/>
      <c r="AO612" s="880"/>
      <c r="AP612" s="880"/>
      <c r="AQ612" s="880"/>
      <c r="AR612" s="880"/>
      <c r="AS612" s="880"/>
      <c r="AT612" s="880"/>
      <c r="AU612" s="880"/>
      <c r="AV612" s="880"/>
      <c r="AW612" s="880"/>
      <c r="AX612" s="880"/>
      <c r="AY612" s="880"/>
      <c r="AZ612" s="880"/>
      <c r="BA612" s="880"/>
      <c r="BB612" s="880"/>
      <c r="BC612" s="880"/>
      <c r="BD612" s="880"/>
      <c r="BE612" s="880"/>
      <c r="BF612" s="880"/>
      <c r="BG612" s="880"/>
      <c r="BH612" s="880"/>
      <c r="BI612" s="880"/>
      <c r="BJ612" s="880"/>
      <c r="BK612" s="880"/>
      <c r="BL612" s="880"/>
      <c r="BM612" s="880"/>
      <c r="BN612" s="880"/>
      <c r="BO612" s="880"/>
      <c r="BP612" s="880"/>
      <c r="BQ612" s="880"/>
      <c r="BR612" s="880"/>
      <c r="BS612" s="880"/>
      <c r="BT612" s="880"/>
    </row>
    <row r="613" spans="1:72" s="882" customFormat="1" ht="13.5" hidden="1" customHeight="1" outlineLevel="1" thickBot="1">
      <c r="A613" s="1885"/>
      <c r="B613" s="1900"/>
      <c r="C613" s="2960" t="s">
        <v>36</v>
      </c>
      <c r="D613" s="2961"/>
      <c r="E613" s="1898"/>
      <c r="F613" s="1215">
        <v>0</v>
      </c>
      <c r="G613" s="1216">
        <f>IF(SETUP!$F$58="At delivery",IF(SETUP!$G$58=1,$E$608*'Malaria-Equipment &amp; Other HPs'!AW20,0),0)</f>
        <v>0</v>
      </c>
      <c r="H613" s="1216">
        <f>IF(SETUP!$F$58="At delivery",IF(SETUP!$G$58=2,$E$608*'Malaria-Equipment &amp; Other HPs'!AW20,IF(SETUP!$G$58=1,$E$608*'Malaria-Equipment &amp; Other HPs'!AX20,0)),0)</f>
        <v>0</v>
      </c>
      <c r="I613" s="1216">
        <f>IF(SETUP!$F$58="At delivery",IF(SETUP!$G$58=3,$E$608*'Malaria-Equipment &amp; Other HPs'!AW20,IF(SETUP!$G$58=2,$E$608*'Malaria-Equipment &amp; Other HPs'!AX20,IF(SETUP!$G$58=1,$E$608*'Malaria-Equipment &amp; Other HPs'!AY20,0))),0)</f>
        <v>0</v>
      </c>
      <c r="J613" s="1217">
        <f>SUM('HPM costs'!$F613:$I613)</f>
        <v>0</v>
      </c>
      <c r="K613" s="1215">
        <f>IF(SETUP!$F$58="At delivery",IF(SETUP!$G$58=4,$E$608*'Malaria-Equipment &amp; Other HPs'!AW20,IF(SETUP!$G$58=3,$E$608*'Malaria-Equipment &amp; Other HPs'!AX20,IF(SETUP!$G$58=2,$E$608*'Malaria-Equipment &amp; Other HPs'!AY20,IF(SETUP!$G$58=1,$E$608*'Malaria-Equipment &amp; Other HPs'!AZ20,0)))),0)</f>
        <v>0</v>
      </c>
      <c r="L613" s="1216">
        <f>IF(SETUP!$F$58="At delivery",IF(SETUP!$G$58=4,$E$608*'Malaria-Equipment &amp; Other HPs'!AX20,IF(SETUP!$G$58=3,$E$608*'Malaria-Equipment &amp; Other HPs'!AY20,IF(SETUP!$G$58=2,$E$608*'Malaria-Equipment &amp; Other HPs'!AZ20,IF(SETUP!$G$58=1,$E$608*'Malaria-Equipment &amp; Other HPs'!BA20,0)))),0)</f>
        <v>0</v>
      </c>
      <c r="M613" s="1216">
        <f>IF(SETUP!$F$58="At delivery",IF(SETUP!$G$58=4,$E$608*'Malaria-Equipment &amp; Other HPs'!AY20,IF(SETUP!$G$58=3,$E$608*'Malaria-Equipment &amp; Other HPs'!AZ20,IF(SETUP!$G$58=2,$E$608*'Malaria-Equipment &amp; Other HPs'!BA20,IF(SETUP!$G$58=1,$E$608*'Malaria-Equipment &amp; Other HPs'!BB20,0)))),0)</f>
        <v>0</v>
      </c>
      <c r="N613" s="1216">
        <f>IF(SETUP!$F$58="At delivery",IF(SETUP!$G$58=4,$E$608*'Malaria-Equipment &amp; Other HPs'!AZ20,IF(SETUP!$G$58=3,$E$608*'Malaria-Equipment &amp; Other HPs'!BA20,IF(SETUP!$G$58=2,$E$608*'Malaria-Equipment &amp; Other HPs'!BB20,IF(SETUP!$G$58=1,$E$608*'Malaria-Equipment &amp; Other HPs'!BC20,0)))),0)</f>
        <v>0</v>
      </c>
      <c r="O613" s="1217">
        <f>SUM('HPM costs'!$K613:$N613)</f>
        <v>0</v>
      </c>
      <c r="P613" s="1215">
        <f>IF(SETUP!$F$58="At delivery",IF(SETUP!$G$58=4,$E$608*'Malaria-Equipment &amp; Other HPs'!BA20,IF(SETUP!$G$58=3,$E$608*'Malaria-Equipment &amp; Other HPs'!BB20,IF(SETUP!$G$58=2,$E$608*'Malaria-Equipment &amp; Other HPs'!BC20,IF(SETUP!$G$58=1,$E$608*'Malaria-Equipment &amp; Other HPs'!BD20,0)))),0)</f>
        <v>0</v>
      </c>
      <c r="Q613" s="1216">
        <f>IF(SETUP!$F$58="At delivery",IF(SETUP!$G$58=4,$E$608*'Malaria-Equipment &amp; Other HPs'!BB20,IF(SETUP!$G$58=3,$E$608*'Malaria-Equipment &amp; Other HPs'!BC20,IF(SETUP!$G$58=2,$E$608*'Malaria-Equipment &amp; Other HPs'!BD20,IF(SETUP!$G$58=1,$E$608*'Malaria-Equipment &amp; Other HPs'!BE20,0)))),0)</f>
        <v>0</v>
      </c>
      <c r="R613" s="1216">
        <f>IF(SETUP!$F$58="At delivery",IF(SETUP!$G$58=4,$E$608*'Malaria-Equipment &amp; Other HPs'!BC20,IF(SETUP!$G$58=3,$E$608*'Malaria-Equipment &amp; Other HPs'!BD20,IF(SETUP!$G$58=2,$E$608*'Malaria-Equipment &amp; Other HPs'!BE20,IF(SETUP!$G$58=1,$E$608*'Malaria-Equipment &amp; Other HPs'!BF20,0)))),0)</f>
        <v>0</v>
      </c>
      <c r="S613" s="1216">
        <f>IF(SETUP!$F$58="At delivery",IF(SETUP!$G$58=4,$E$608*('Malaria-Equipment &amp; Other HPs'!BD20+'Malaria-Equipment &amp; Other HPs'!BE20+'Malaria-Equipment &amp; Other HPs'!BF20+'Malaria-Equipment &amp; Other HPs'!BG20+'Malaria-Equipment &amp; Other HPs'!BH20),IF(SETUP!$G$58=3,$E$608*('Malaria-Equipment &amp; Other HPs'!BE20+'Malaria-Equipment &amp; Other HPs'!BF20+'Malaria-Equipment &amp; Other HPs'!BG20+'Malaria-Equipment &amp; Other HPs'!BH20),IF(SETUP!$G$58=2,$E$608*('Malaria-Equipment &amp; Other HPs'!BF20+'Malaria-Equipment &amp; Other HPs'!BG20+'Malaria-Equipment &amp; Other HPs'!BH20),IF(SETUP!$G$58=1,$E$608*('Malaria-Equipment &amp; Other HPs'!BG20+'Malaria-Equipment &amp; Other HPs'!BH20),0)))),0)</f>
        <v>0</v>
      </c>
      <c r="T613" s="1217">
        <f>SUM('HPM costs'!$P613:$S613)</f>
        <v>0</v>
      </c>
      <c r="U613" s="1350">
        <f>'HPM costs'!$T613+'HPM costs'!$O613+'HPM costs'!$J613</f>
        <v>0</v>
      </c>
      <c r="V613" s="1351"/>
      <c r="W613" s="763"/>
      <c r="X613" s="764"/>
      <c r="Y613" s="879"/>
      <c r="Z613" s="850"/>
      <c r="AA613" s="880"/>
      <c r="AB613" s="880"/>
      <c r="AC613" s="880"/>
      <c r="AD613" s="880"/>
      <c r="AE613" s="880"/>
      <c r="AF613" s="880"/>
      <c r="AG613" s="880"/>
      <c r="AH613" s="881"/>
      <c r="AI613" s="880"/>
      <c r="AJ613" s="880"/>
      <c r="AK613" s="880"/>
      <c r="AL613" s="880"/>
      <c r="AM613" s="880"/>
      <c r="AN613" s="880"/>
      <c r="AO613" s="880"/>
      <c r="AP613" s="880"/>
      <c r="AQ613" s="880"/>
      <c r="AR613" s="880"/>
      <c r="AS613" s="880"/>
      <c r="AT613" s="880"/>
      <c r="AU613" s="880"/>
      <c r="AV613" s="880"/>
      <c r="AW613" s="880"/>
      <c r="AX613" s="880"/>
      <c r="AY613" s="880"/>
      <c r="AZ613" s="880"/>
      <c r="BA613" s="880"/>
      <c r="BB613" s="880"/>
      <c r="BC613" s="880"/>
      <c r="BD613" s="880"/>
      <c r="BE613" s="880"/>
      <c r="BF613" s="880"/>
      <c r="BG613" s="880"/>
      <c r="BH613" s="880"/>
      <c r="BI613" s="880"/>
      <c r="BJ613" s="880"/>
      <c r="BK613" s="880"/>
      <c r="BL613" s="880"/>
      <c r="BM613" s="880"/>
      <c r="BN613" s="880"/>
      <c r="BO613" s="880"/>
      <c r="BP613" s="880"/>
      <c r="BQ613" s="880"/>
      <c r="BR613" s="880"/>
      <c r="BS613" s="880"/>
      <c r="BT613" s="880"/>
    </row>
    <row r="614" spans="1:72" s="882" customFormat="1" ht="13" collapsed="1">
      <c r="A614" s="1892"/>
      <c r="B614" s="1892"/>
      <c r="C614" s="1893"/>
      <c r="D614" s="877"/>
      <c r="E614" s="919"/>
      <c r="F614" s="877"/>
      <c r="G614" s="877"/>
      <c r="H614" s="878"/>
      <c r="I614" s="878"/>
      <c r="J614" s="878"/>
      <c r="K614" s="878"/>
      <c r="L614" s="762"/>
      <c r="M614" s="878"/>
      <c r="N614" s="878"/>
      <c r="O614" s="878"/>
      <c r="P614" s="878"/>
      <c r="Q614" s="762"/>
      <c r="R614" s="878"/>
      <c r="S614" s="878"/>
      <c r="T614" s="878"/>
      <c r="U614" s="1352"/>
      <c r="V614" s="1354"/>
      <c r="W614" s="763"/>
      <c r="X614" s="764"/>
      <c r="Y614" s="879"/>
      <c r="Z614" s="850"/>
      <c r="AA614" s="880"/>
      <c r="AB614" s="880"/>
      <c r="AC614" s="880"/>
      <c r="AD614" s="880"/>
      <c r="AE614" s="880"/>
      <c r="AF614" s="880"/>
      <c r="AG614" s="880"/>
      <c r="AH614" s="881"/>
      <c r="AI614" s="880"/>
      <c r="AJ614" s="880"/>
      <c r="AK614" s="880"/>
      <c r="AL614" s="880"/>
      <c r="AM614" s="880"/>
      <c r="AN614" s="880"/>
      <c r="AO614" s="880"/>
      <c r="AP614" s="880"/>
      <c r="AQ614" s="880"/>
      <c r="AR614" s="880"/>
      <c r="AS614" s="880"/>
      <c r="AT614" s="880"/>
      <c r="AU614" s="880"/>
      <c r="AV614" s="880"/>
      <c r="AW614" s="880"/>
      <c r="AX614" s="880"/>
      <c r="AY614" s="880"/>
      <c r="AZ614" s="880"/>
      <c r="BA614" s="880"/>
      <c r="BB614" s="880"/>
      <c r="BC614" s="880"/>
      <c r="BD614" s="880"/>
      <c r="BE614" s="880"/>
      <c r="BF614" s="880"/>
      <c r="BG614" s="880"/>
      <c r="BH614" s="880"/>
      <c r="BI614" s="880"/>
      <c r="BJ614" s="880"/>
      <c r="BK614" s="880"/>
      <c r="BL614" s="880"/>
      <c r="BM614" s="880"/>
      <c r="BN614" s="880"/>
      <c r="BO614" s="880"/>
      <c r="BP614" s="880"/>
      <c r="BQ614" s="880"/>
      <c r="BR614" s="880"/>
      <c r="BS614" s="880"/>
      <c r="BT614" s="880"/>
    </row>
    <row r="615" spans="1:72" s="1367" customFormat="1" ht="22.15" customHeight="1" thickBot="1">
      <c r="A615" s="1377" t="s">
        <v>604</v>
      </c>
      <c r="B615" s="875"/>
      <c r="C615" s="876"/>
      <c r="D615" s="875"/>
      <c r="E615" s="1358"/>
      <c r="F615" s="875"/>
      <c r="G615" s="875"/>
      <c r="H615" s="1359"/>
      <c r="I615" s="1359"/>
      <c r="J615" s="1359"/>
      <c r="K615" s="1359"/>
      <c r="L615" s="1360"/>
      <c r="M615" s="1359"/>
      <c r="N615" s="1359"/>
      <c r="O615" s="1359"/>
      <c r="P615" s="1359"/>
      <c r="Q615" s="1360"/>
      <c r="R615" s="1359"/>
      <c r="S615" s="1359"/>
      <c r="T615" s="1359"/>
      <c r="U615" s="1359"/>
      <c r="V615" s="1361"/>
      <c r="W615" s="1362"/>
      <c r="X615" s="1363"/>
      <c r="Y615" s="1364"/>
      <c r="Z615" s="850"/>
      <c r="AA615" s="1365"/>
      <c r="AB615" s="1365"/>
      <c r="AC615" s="1365"/>
      <c r="AD615" s="1365"/>
      <c r="AE615" s="1365"/>
      <c r="AF615" s="1365"/>
      <c r="AG615" s="1365"/>
      <c r="AH615" s="1366"/>
      <c r="AI615" s="1365"/>
      <c r="AJ615" s="1365"/>
      <c r="AK615" s="1365"/>
      <c r="AL615" s="1365"/>
      <c r="AM615" s="1365"/>
      <c r="AN615" s="1365"/>
      <c r="AO615" s="1365"/>
      <c r="AP615" s="1365"/>
      <c r="AQ615" s="1365"/>
      <c r="AR615" s="1365"/>
      <c r="AS615" s="1365"/>
      <c r="AT615" s="1365"/>
      <c r="AU615" s="1365"/>
      <c r="AV615" s="1365"/>
      <c r="AW615" s="1365"/>
      <c r="AX615" s="1365"/>
      <c r="AY615" s="1365"/>
      <c r="AZ615" s="1365"/>
      <c r="BA615" s="1365"/>
      <c r="BB615" s="1365"/>
      <c r="BC615" s="1365"/>
      <c r="BD615" s="1365"/>
      <c r="BE615" s="1365"/>
      <c r="BF615" s="1365"/>
      <c r="BG615" s="1365"/>
      <c r="BH615" s="1365"/>
      <c r="BI615" s="1365"/>
      <c r="BJ615" s="1365"/>
      <c r="BK615" s="1365"/>
      <c r="BL615" s="1365"/>
      <c r="BM615" s="1365"/>
      <c r="BN615" s="1365"/>
      <c r="BO615" s="1365"/>
      <c r="BP615" s="1365"/>
      <c r="BQ615" s="1365"/>
      <c r="BR615" s="1365"/>
      <c r="BS615" s="1365"/>
      <c r="BT615" s="1365"/>
    </row>
    <row r="616" spans="1:72" s="882" customFormat="1" ht="18.399999999999999" customHeight="1" thickBot="1">
      <c r="A616" s="2942" t="s">
        <v>592</v>
      </c>
      <c r="B616" s="2943"/>
      <c r="C616" s="2943"/>
      <c r="D616" s="2954"/>
      <c r="E616" s="2992" t="s">
        <v>1562</v>
      </c>
      <c r="F616" s="2942" t="str">
        <f>IF(ISBLANK(IMP_ST_DATE),"Please fill setup",YEAR(IMP_ST_DATE))</f>
        <v>Please fill setup</v>
      </c>
      <c r="G616" s="2943"/>
      <c r="H616" s="2943"/>
      <c r="I616" s="2943"/>
      <c r="J616" s="2944"/>
      <c r="K616" s="2942" t="str">
        <f>IF(ISBLANK(IMP_ST_DATE),"Please fill setup",YEAR(IMP_ST_DATE)+1)</f>
        <v>Please fill setup</v>
      </c>
      <c r="L616" s="2943"/>
      <c r="M616" s="2943"/>
      <c r="N616" s="2943"/>
      <c r="O616" s="2944"/>
      <c r="P616" s="2942" t="str">
        <f>IF(ISBLANK(IMP_ST_DATE),"Please fill setup",YEAR(IMP_ST_DATE)+2)</f>
        <v>Please fill setup</v>
      </c>
      <c r="Q616" s="2943"/>
      <c r="R616" s="2943"/>
      <c r="S616" s="2943"/>
      <c r="T616" s="2944"/>
      <c r="U616" s="1853" t="s">
        <v>593</v>
      </c>
      <c r="V616" s="1854" t="s">
        <v>153</v>
      </c>
      <c r="W616" s="3045" t="s">
        <v>6865</v>
      </c>
      <c r="X616" s="764"/>
      <c r="Y616" s="879"/>
      <c r="Z616" s="850"/>
      <c r="AA616" s="880"/>
      <c r="AB616" s="880"/>
      <c r="AC616" s="880"/>
      <c r="AD616" s="880"/>
      <c r="AE616" s="880"/>
      <c r="AF616" s="880"/>
      <c r="AG616" s="880"/>
      <c r="AH616" s="881"/>
      <c r="AI616" s="880"/>
      <c r="AJ616" s="880"/>
      <c r="AK616" s="880"/>
      <c r="AL616" s="880"/>
      <c r="AM616" s="880"/>
      <c r="AN616" s="880"/>
      <c r="AO616" s="880"/>
      <c r="AP616" s="880"/>
      <c r="AQ616" s="880"/>
      <c r="AR616" s="880"/>
      <c r="AS616" s="880"/>
      <c r="AT616" s="880"/>
      <c r="AU616" s="880"/>
      <c r="AV616" s="880"/>
      <c r="AW616" s="880"/>
      <c r="AX616" s="880"/>
      <c r="AY616" s="880"/>
      <c r="AZ616" s="880"/>
      <c r="BA616" s="880"/>
      <c r="BB616" s="880"/>
      <c r="BC616" s="880"/>
      <c r="BD616" s="880"/>
      <c r="BE616" s="880"/>
      <c r="BF616" s="880"/>
      <c r="BG616" s="880"/>
      <c r="BH616" s="880"/>
      <c r="BI616" s="880"/>
      <c r="BJ616" s="880"/>
      <c r="BK616" s="880"/>
      <c r="BL616" s="880"/>
      <c r="BM616" s="880"/>
      <c r="BN616" s="880"/>
      <c r="BO616" s="880"/>
      <c r="BP616" s="880"/>
      <c r="BQ616" s="880"/>
      <c r="BR616" s="880"/>
      <c r="BS616" s="880"/>
      <c r="BT616" s="880"/>
    </row>
    <row r="617" spans="1:72" s="882" customFormat="1" ht="20.25" customHeight="1" thickBot="1">
      <c r="A617" s="2945"/>
      <c r="B617" s="2946"/>
      <c r="C617" s="2946"/>
      <c r="D617" s="2955"/>
      <c r="E617" s="2993"/>
      <c r="F617" s="2945"/>
      <c r="G617" s="2946"/>
      <c r="H617" s="2946"/>
      <c r="I617" s="2946"/>
      <c r="J617" s="2947"/>
      <c r="K617" s="2945"/>
      <c r="L617" s="2946"/>
      <c r="M617" s="2946"/>
      <c r="N617" s="2946"/>
      <c r="O617" s="2947"/>
      <c r="P617" s="2945"/>
      <c r="Q617" s="2946"/>
      <c r="R617" s="2946"/>
      <c r="S617" s="2946"/>
      <c r="T617" s="2947"/>
      <c r="U617" s="1814" t="s">
        <v>176</v>
      </c>
      <c r="V617" s="1852" t="s">
        <v>177</v>
      </c>
      <c r="W617" s="3046"/>
      <c r="X617" s="764"/>
      <c r="Y617" s="879"/>
      <c r="Z617" s="850"/>
      <c r="AA617" s="880"/>
      <c r="AB617" s="880"/>
      <c r="AC617" s="880"/>
      <c r="AD617" s="880"/>
      <c r="AE617" s="880"/>
      <c r="AF617" s="880"/>
      <c r="AG617" s="880"/>
      <c r="AH617" s="881"/>
      <c r="AI617" s="880"/>
      <c r="AJ617" s="880"/>
      <c r="AK617" s="880"/>
      <c r="AL617" s="880"/>
      <c r="AM617" s="880"/>
      <c r="AN617" s="880"/>
      <c r="AO617" s="880"/>
      <c r="AP617" s="880"/>
      <c r="AQ617" s="880"/>
      <c r="AR617" s="880"/>
      <c r="AS617" s="880"/>
      <c r="AT617" s="880"/>
      <c r="AU617" s="880"/>
      <c r="AV617" s="880"/>
      <c r="AW617" s="880"/>
      <c r="AX617" s="880"/>
      <c r="AY617" s="880"/>
      <c r="AZ617" s="880"/>
      <c r="BA617" s="880"/>
      <c r="BB617" s="880"/>
      <c r="BC617" s="880"/>
      <c r="BD617" s="880"/>
      <c r="BE617" s="880"/>
      <c r="BF617" s="880"/>
      <c r="BG617" s="880"/>
      <c r="BH617" s="880"/>
      <c r="BI617" s="880"/>
      <c r="BJ617" s="880"/>
      <c r="BK617" s="880"/>
      <c r="BL617" s="880"/>
      <c r="BM617" s="880"/>
      <c r="BN617" s="880"/>
      <c r="BO617" s="880"/>
      <c r="BP617" s="880"/>
      <c r="BQ617" s="880"/>
      <c r="BR617" s="880"/>
      <c r="BS617" s="880"/>
      <c r="BT617" s="880"/>
    </row>
    <row r="618" spans="1:72" s="882" customFormat="1" ht="13">
      <c r="A618" s="2913" t="s">
        <v>560</v>
      </c>
      <c r="B618" s="2914"/>
      <c r="C618" s="2972" t="s">
        <v>561</v>
      </c>
      <c r="D618" s="2972"/>
      <c r="E618" s="1648">
        <v>0</v>
      </c>
      <c r="F618" s="1327">
        <f>IF(SETUP!$F$20="Upfront",F619,F620)</f>
        <v>0</v>
      </c>
      <c r="G618" s="1308">
        <f>IF(SETUP!$F$20="Upfront",G619,G620)</f>
        <v>0</v>
      </c>
      <c r="H618" s="1308">
        <f>IF(SETUP!$F$20="Upfront",H619,H620)</f>
        <v>0</v>
      </c>
      <c r="I618" s="1308">
        <f>IF(SETUP!$F$20="Upfront",I619,I620)</f>
        <v>0</v>
      </c>
      <c r="J618" s="1308">
        <f>F618+G618+H618+I618</f>
        <v>0</v>
      </c>
      <c r="K618" s="1327">
        <f>IF(SETUP!$F$20="Upfront",K619,K620)</f>
        <v>0</v>
      </c>
      <c r="L618" s="1308">
        <f>IF(SETUP!$F$20="Upfront",L619,L620)</f>
        <v>0</v>
      </c>
      <c r="M618" s="1308">
        <f>IF(SETUP!$F$20="Upfront",M619,M620)</f>
        <v>0</v>
      </c>
      <c r="N618" s="1308">
        <f>IF(SETUP!$F$20="Upfront",N619,N620)</f>
        <v>0</v>
      </c>
      <c r="O618" s="1308">
        <f>K618+L618+M618+N618</f>
        <v>0</v>
      </c>
      <c r="P618" s="1327">
        <f>IF(SETUP!$F$20="Upfront",P619,P620)</f>
        <v>0</v>
      </c>
      <c r="Q618" s="1308">
        <f>IF(SETUP!$F$20="Upfront",Q619,Q620)</f>
        <v>0</v>
      </c>
      <c r="R618" s="1308">
        <f>IF(SETUP!$F$20="Upfront",R619,R620)</f>
        <v>0</v>
      </c>
      <c r="S618" s="1308">
        <f>IF(SETUP!$F$20="Upfront",S619,S620)</f>
        <v>0</v>
      </c>
      <c r="T618" s="1308">
        <f>P618+Q618+R618+S618</f>
        <v>0</v>
      </c>
      <c r="U618" s="1327">
        <f>J618+O618+T618</f>
        <v>0</v>
      </c>
      <c r="V618" s="1826">
        <v>7.7</v>
      </c>
      <c r="W618" s="1837"/>
      <c r="X618" s="764"/>
      <c r="Y618" s="879"/>
      <c r="Z618" s="850"/>
      <c r="AA618" s="880"/>
      <c r="AB618" s="880"/>
      <c r="AC618" s="880"/>
      <c r="AD618" s="880"/>
      <c r="AE618" s="880"/>
      <c r="AF618" s="880"/>
      <c r="AG618" s="880"/>
      <c r="AH618" s="881"/>
      <c r="AI618" s="880"/>
      <c r="AJ618" s="880"/>
      <c r="AK618" s="880"/>
      <c r="AL618" s="880"/>
      <c r="AM618" s="880"/>
      <c r="AN618" s="880"/>
      <c r="AO618" s="880"/>
      <c r="AP618" s="880"/>
      <c r="AQ618" s="880"/>
      <c r="AR618" s="880"/>
      <c r="AS618" s="880"/>
      <c r="AT618" s="880"/>
      <c r="AU618" s="880"/>
      <c r="AV618" s="880"/>
      <c r="AW618" s="880"/>
      <c r="AX618" s="880"/>
      <c r="AY618" s="880"/>
      <c r="AZ618" s="880"/>
      <c r="BA618" s="880"/>
      <c r="BB618" s="880"/>
      <c r="BC618" s="880"/>
      <c r="BD618" s="880"/>
      <c r="BE618" s="880"/>
      <c r="BF618" s="880"/>
      <c r="BG618" s="880"/>
      <c r="BH618" s="880"/>
      <c r="BI618" s="880"/>
      <c r="BJ618" s="880"/>
      <c r="BK618" s="880"/>
      <c r="BL618" s="880"/>
      <c r="BM618" s="880"/>
      <c r="BN618" s="880"/>
      <c r="BO618" s="880"/>
      <c r="BP618" s="880"/>
      <c r="BQ618" s="880"/>
      <c r="BR618" s="880"/>
      <c r="BS618" s="880"/>
      <c r="BT618" s="880"/>
    </row>
    <row r="619" spans="1:72" s="882" customFormat="1" ht="16.149999999999999" hidden="1" customHeight="1" outlineLevel="1">
      <c r="A619" s="2915"/>
      <c r="B619" s="2916"/>
      <c r="C619" s="2912" t="s">
        <v>918</v>
      </c>
      <c r="D619" s="2912"/>
      <c r="E619" s="1649"/>
      <c r="F619" s="1328">
        <f>IF(SETUP!$F$20="Upfront",$E$618*'HIV-Pharmaceuticals'!AW14,0)</f>
        <v>0</v>
      </c>
      <c r="G619" s="1194">
        <f>IF(SETUP!$F$20="Upfront",$E$618*'HIV-Pharmaceuticals'!AX14,0)</f>
        <v>0</v>
      </c>
      <c r="H619" s="1194">
        <f>IF(SETUP!$F$20="Upfront",$E$618*'HIV-Pharmaceuticals'!AY14,0)</f>
        <v>0</v>
      </c>
      <c r="I619" s="1194">
        <f>IF(SETUP!$F$20="Upfront",$E$618*'HIV-Pharmaceuticals'!AZ14,0)</f>
        <v>0</v>
      </c>
      <c r="J619" s="1194">
        <f>'HPM costs'!$F619+'HPM costs'!$G619+'HPM costs'!$H619+'HPM costs'!$I619</f>
        <v>0</v>
      </c>
      <c r="K619" s="1328">
        <f>IF(SETUP!$F$20="Upfront",$E$618*'HIV-Pharmaceuticals'!BA14,0)</f>
        <v>0</v>
      </c>
      <c r="L619" s="1194">
        <f>IF(SETUP!$F$20="Upfront",$E$618*'HIV-Pharmaceuticals'!BB14,0)</f>
        <v>0</v>
      </c>
      <c r="M619" s="1194">
        <f>IF(SETUP!$F$20="Upfront",$E$618*'HIV-Pharmaceuticals'!BC14,0)</f>
        <v>0</v>
      </c>
      <c r="N619" s="1194">
        <f>IF(SETUP!$F$20="Upfront",$E$618*'HIV-Pharmaceuticals'!BD14,0)</f>
        <v>0</v>
      </c>
      <c r="O619" s="1194">
        <f>'HPM costs'!$F619+'HPM costs'!$G619+'HPM costs'!$H619+'HPM costs'!$I619</f>
        <v>0</v>
      </c>
      <c r="P619" s="1328">
        <f>IF(SETUP!$F$20="Upfront",$E$618*'HIV-Pharmaceuticals'!BE14,0)</f>
        <v>0</v>
      </c>
      <c r="Q619" s="1194">
        <f>IF(SETUP!$F$20="Upfront",$E$618*'HIV-Pharmaceuticals'!BF14,0)</f>
        <v>0</v>
      </c>
      <c r="R619" s="1194">
        <f>IF(SETUP!$F$20="Upfront",$E$618*'HIV-Pharmaceuticals'!BG14,0)</f>
        <v>0</v>
      </c>
      <c r="S619" s="1194">
        <f>IF(SETUP!$F$20="Upfront",$E$618*'HIV-Pharmaceuticals'!BH14,0)</f>
        <v>0</v>
      </c>
      <c r="T619" s="1194">
        <f>'HPM costs'!$F619+'HPM costs'!$G619+'HPM costs'!$H619+'HPM costs'!$I619</f>
        <v>0</v>
      </c>
      <c r="U619" s="1328">
        <f>'HPM costs'!$J619+'HPM costs'!$O619+'HPM costs'!$T619</f>
        <v>0</v>
      </c>
      <c r="V619" s="1826"/>
      <c r="W619" s="1837"/>
      <c r="X619" s="764"/>
      <c r="Y619" s="879"/>
      <c r="Z619" s="850"/>
      <c r="AA619" s="880"/>
      <c r="AB619" s="880"/>
      <c r="AC619" s="880"/>
      <c r="AD619" s="880"/>
      <c r="AE619" s="880"/>
      <c r="AF619" s="880"/>
      <c r="AG619" s="880"/>
      <c r="AH619" s="881"/>
      <c r="AI619" s="880"/>
      <c r="AJ619" s="880"/>
      <c r="AK619" s="880"/>
      <c r="AL619" s="880"/>
      <c r="AM619" s="880"/>
      <c r="AN619" s="880"/>
      <c r="AO619" s="880"/>
      <c r="AP619" s="880"/>
      <c r="AQ619" s="880"/>
      <c r="AR619" s="880"/>
      <c r="AS619" s="880"/>
      <c r="AT619" s="880"/>
      <c r="AU619" s="880"/>
      <c r="AV619" s="880"/>
      <c r="AW619" s="880"/>
      <c r="AX619" s="880"/>
      <c r="AY619" s="880"/>
      <c r="AZ619" s="880"/>
      <c r="BA619" s="880"/>
      <c r="BB619" s="880"/>
      <c r="BC619" s="880"/>
      <c r="BD619" s="880"/>
      <c r="BE619" s="880"/>
      <c r="BF619" s="880"/>
      <c r="BG619" s="880"/>
      <c r="BH619" s="880"/>
      <c r="BI619" s="880"/>
      <c r="BJ619" s="880"/>
      <c r="BK619" s="880"/>
      <c r="BL619" s="880"/>
      <c r="BM619" s="880"/>
      <c r="BN619" s="880"/>
      <c r="BO619" s="880"/>
      <c r="BP619" s="880"/>
      <c r="BQ619" s="880"/>
      <c r="BR619" s="880"/>
      <c r="BS619" s="880"/>
      <c r="BT619" s="880"/>
    </row>
    <row r="620" spans="1:72" s="882" customFormat="1" ht="16.149999999999999" hidden="1" customHeight="1" outlineLevel="1">
      <c r="A620" s="2915"/>
      <c r="B620" s="2916"/>
      <c r="C620" s="2912" t="s">
        <v>36</v>
      </c>
      <c r="D620" s="2912"/>
      <c r="E620" s="1649"/>
      <c r="F620" s="1328">
        <v>0</v>
      </c>
      <c r="G620" s="1194">
        <f>IF(SETUP!$F$20="At delivery",IF(SETUP!$G$20=1,$E$618*'HIV-Pharmaceuticals'!AW14,0),0)</f>
        <v>0</v>
      </c>
      <c r="H620" s="1194">
        <f>IF(SETUP!$F$20="At delivery",IF(SETUP!$G$20=2,$E$618*'HIV-Pharmaceuticals'!AW14,IF(SETUP!$G$20=1,$E$618*'HIV-Pharmaceuticals'!AX14,0)),0)</f>
        <v>0</v>
      </c>
      <c r="I620" s="1194">
        <f>IF(SETUP!$F$20="At delivery",IF(SETUP!$G$20=3,$E$618*'HIV-Pharmaceuticals'!AW14,IF(SETUP!$G$20=2,$E$618*'HIV-Pharmaceuticals'!AX14,IF(SETUP!$G$20=1,$E$618*'HIV-Pharmaceuticals'!AY14,0))),0)</f>
        <v>0</v>
      </c>
      <c r="J620" s="1194">
        <f>'HPM costs'!$F620+'HPM costs'!$G620+'HPM costs'!$H620+'HPM costs'!$I620</f>
        <v>0</v>
      </c>
      <c r="K620" s="1328">
        <f>IF(SETUP!$F$20="At delivery",IF(SETUP!$G$20=4,$E$618*'HIV-Pharmaceuticals'!AW14,IF(SETUP!$G$20=3,$E$618*'HIV-Pharmaceuticals'!AX14,IF(SETUP!$G$20=2,$E$618*'HIV-Pharmaceuticals'!AY14,IF(SETUP!$G$20=1,$E$618*'HIV-Pharmaceuticals'!AZ14,0)))),0)</f>
        <v>0</v>
      </c>
      <c r="L620" s="1194">
        <f>IF(SETUP!$F$20="At delivery",IF(SETUP!$G$20=4,$E$618*'HIV-Pharmaceuticals'!AX14,IF(SETUP!$G$20=3,$E$618*'HIV-Pharmaceuticals'!AY14,IF(SETUP!$G$20=2,$E$618*'HIV-Pharmaceuticals'!AZ14,IF(SETUP!$G$20=1,$E$618*'HIV-Pharmaceuticals'!BA14,0)))),0)</f>
        <v>0</v>
      </c>
      <c r="M620" s="1194">
        <f>IF(SETUP!$F$20="At delivery",IF(SETUP!$G$20=4,$E$618*'HIV-Pharmaceuticals'!AY14,IF(SETUP!$G$20=3,$E$618*'HIV-Pharmaceuticals'!AZ14,IF(SETUP!$G$20=2,$E$618*'HIV-Pharmaceuticals'!BA14,IF(SETUP!$G$20=1,$E$618*'HIV-Pharmaceuticals'!BB14,0)))),0)</f>
        <v>0</v>
      </c>
      <c r="N620" s="1194">
        <f>IF(SETUP!$F$20="At delivery",IF(SETUP!$G$20=4,$E$618*'HIV-Pharmaceuticals'!AZ14,IF(SETUP!$G$20=3,$E$618*'HIV-Pharmaceuticals'!BA14,IF(SETUP!$G$20=2,$E$618*'HIV-Pharmaceuticals'!BB14,IF(SETUP!$G$20=1,$E$618*'HIV-Pharmaceuticals'!BC14,0)))),0)</f>
        <v>0</v>
      </c>
      <c r="O620" s="1194">
        <f>'HPM costs'!$F620+'HPM costs'!$G620+'HPM costs'!$H620+'HPM costs'!$I620</f>
        <v>0</v>
      </c>
      <c r="P620" s="1328">
        <f>IF(SETUP!$F$20="At delivery",IF(SETUP!$G$20=4,$E$618*'HIV-Pharmaceuticals'!BA14,IF(SETUP!$G$20=3,$E$618*'HIV-Pharmaceuticals'!BB14,IF(SETUP!$G$20=2,$E$618*'HIV-Pharmaceuticals'!BC14,IF(SETUP!$G$20=1,$E$618*'HIV-Pharmaceuticals'!BD14,0)))),0)</f>
        <v>0</v>
      </c>
      <c r="Q620" s="1194">
        <f>IF(SETUP!$F$20="At delivery",IF(SETUP!$G$20=4,$E$618*'HIV-Pharmaceuticals'!BB14,IF(SETUP!$G$20=3,$E$618*'HIV-Pharmaceuticals'!BC14,IF(SETUP!$G$20=2,$E$618*'HIV-Pharmaceuticals'!BD14,IF(SETUP!$G$20=1,$E$618*'HIV-Pharmaceuticals'!BE14,0)))),0)</f>
        <v>0</v>
      </c>
      <c r="R620" s="1194">
        <f>IF(SETUP!$F$20="At delivery",IF(SETUP!$G$20=4,$E$618*'HIV-Pharmaceuticals'!BC14,IF(SETUP!$G$20=3,$E$618*'HIV-Pharmaceuticals'!BD14,IF(SETUP!$G$20=2,$E$618*'HIV-Pharmaceuticals'!BE14,IF(SETUP!$G$20=1,$E$618*'HIV-Pharmaceuticals'!BF14,0)))),0)</f>
        <v>0</v>
      </c>
      <c r="S620" s="1194">
        <f>IF(SETUP!$F$20="At delivery",IF(SETUP!$G$20=4,$E$618*('HIV-Pharmaceuticals'!BD14+'HIV-Pharmaceuticals'!BE14+'HIV-Pharmaceuticals'!BF14+'HIV-Pharmaceuticals'!BG14+'HIV-Pharmaceuticals'!BH14),IF(SETUP!$G$20=3,$E$618*('HIV-Pharmaceuticals'!BE14+'HIV-Pharmaceuticals'!BF14+'HIV-Pharmaceuticals'!BG14+'HIV-Pharmaceuticals'!BH14),IF(SETUP!$G$20=2,$E$618*('HIV-Pharmaceuticals'!BF14+'HIV-Pharmaceuticals'!BG14+'HIV-Pharmaceuticals'!BH14),IF(SETUP!$G$20=1,$E$618*('HIV-Pharmaceuticals'!BG14+'HIV-Pharmaceuticals'!BH14),0)))),0)</f>
        <v>0</v>
      </c>
      <c r="T620" s="1194">
        <f>'HPM costs'!$F620+'HPM costs'!$G620+'HPM costs'!$H620+'HPM costs'!$I620</f>
        <v>0</v>
      </c>
      <c r="U620" s="1328">
        <f>'HPM costs'!$J620+'HPM costs'!$O620+'HPM costs'!$T620</f>
        <v>0</v>
      </c>
      <c r="V620" s="1826"/>
      <c r="W620" s="1837"/>
      <c r="X620" s="764"/>
      <c r="Y620" s="879"/>
      <c r="Z620" s="850"/>
      <c r="AA620" s="880"/>
      <c r="AB620" s="880"/>
      <c r="AC620" s="880"/>
      <c r="AD620" s="880"/>
      <c r="AE620" s="880"/>
      <c r="AF620" s="880"/>
      <c r="AG620" s="880"/>
      <c r="AH620" s="881"/>
      <c r="AI620" s="880"/>
      <c r="AJ620" s="880"/>
      <c r="AK620" s="880"/>
      <c r="AL620" s="880"/>
      <c r="AM620" s="880"/>
      <c r="AN620" s="880"/>
      <c r="AO620" s="880"/>
      <c r="AP620" s="880"/>
      <c r="AQ620" s="880"/>
      <c r="AR620" s="880"/>
      <c r="AS620" s="880"/>
      <c r="AT620" s="880"/>
      <c r="AU620" s="880"/>
      <c r="AV620" s="880"/>
      <c r="AW620" s="880"/>
      <c r="AX620" s="880"/>
      <c r="AY620" s="880"/>
      <c r="AZ620" s="880"/>
      <c r="BA620" s="880"/>
      <c r="BB620" s="880"/>
      <c r="BC620" s="880"/>
      <c r="BD620" s="880"/>
      <c r="BE620" s="880"/>
      <c r="BF620" s="880"/>
      <c r="BG620" s="880"/>
      <c r="BH620" s="880"/>
      <c r="BI620" s="880"/>
      <c r="BJ620" s="880"/>
      <c r="BK620" s="880"/>
      <c r="BL620" s="880"/>
      <c r="BM620" s="880"/>
      <c r="BN620" s="880"/>
      <c r="BO620" s="880"/>
      <c r="BP620" s="880"/>
      <c r="BQ620" s="880"/>
      <c r="BR620" s="880"/>
      <c r="BS620" s="880"/>
      <c r="BT620" s="880"/>
    </row>
    <row r="621" spans="1:72" s="882" customFormat="1" ht="13" collapsed="1">
      <c r="A621" s="2915"/>
      <c r="B621" s="2916"/>
      <c r="C621" s="2911" t="s">
        <v>148</v>
      </c>
      <c r="D621" s="2911"/>
      <c r="E621" s="1651">
        <v>0</v>
      </c>
      <c r="F621" s="1328">
        <f>IF(SETUP!$F$21="Upfront",F622,F623)</f>
        <v>0</v>
      </c>
      <c r="G621" s="1194">
        <f>IF(SETUP!$F$21="Upfront",G622,G623)</f>
        <v>0</v>
      </c>
      <c r="H621" s="1194">
        <f>IF(SETUP!$F$21="Upfront",H622,H623)</f>
        <v>0</v>
      </c>
      <c r="I621" s="1194">
        <f>IF(SETUP!$F$21="Upfront",I622,I623)</f>
        <v>0</v>
      </c>
      <c r="J621" s="1194">
        <f t="shared" ref="J621:J639" si="88">F621+G621+H621+I621</f>
        <v>0</v>
      </c>
      <c r="K621" s="1328">
        <f>IF(SETUP!$F$21="Upfront",K622,K623)</f>
        <v>0</v>
      </c>
      <c r="L621" s="1194">
        <f>IF(SETUP!$F$21="Upfront",L622,L623)</f>
        <v>0</v>
      </c>
      <c r="M621" s="1194">
        <f>IF(SETUP!$F$21="Upfront",M622,M623)</f>
        <v>0</v>
      </c>
      <c r="N621" s="1194">
        <f>IF(SETUP!$F$21="Upfront",N622,N623)</f>
        <v>0</v>
      </c>
      <c r="O621" s="1194">
        <f t="shared" ref="O621:O639" si="89">K621+L621+M621+N621</f>
        <v>0</v>
      </c>
      <c r="P621" s="1328">
        <f>IF(SETUP!$F$21="Upfront",P622,P623)</f>
        <v>0</v>
      </c>
      <c r="Q621" s="1194">
        <f>IF(SETUP!$F$21="Upfront",Q622,Q623)</f>
        <v>0</v>
      </c>
      <c r="R621" s="1194">
        <f>IF(SETUP!$F$21="Upfront",R622,R623)</f>
        <v>0</v>
      </c>
      <c r="S621" s="1194">
        <f>IF(SETUP!$F$21="Upfront",S622,S623)</f>
        <v>0</v>
      </c>
      <c r="T621" s="1194">
        <f t="shared" ref="T621:T638" si="90">P621+Q621+R621+S621</f>
        <v>0</v>
      </c>
      <c r="U621" s="1328">
        <f t="shared" ref="U621:U638" si="91">J621+O621+T621</f>
        <v>0</v>
      </c>
      <c r="V621" s="1826">
        <v>7.7</v>
      </c>
      <c r="W621" s="1837"/>
      <c r="X621" s="764"/>
      <c r="Y621" s="879"/>
      <c r="Z621" s="850"/>
      <c r="AA621" s="880"/>
      <c r="AB621" s="880"/>
      <c r="AC621" s="880"/>
      <c r="AD621" s="880"/>
      <c r="AE621" s="880"/>
      <c r="AF621" s="880"/>
      <c r="AG621" s="880"/>
      <c r="AH621" s="881"/>
      <c r="AI621" s="880"/>
      <c r="AJ621" s="880"/>
      <c r="AK621" s="880"/>
      <c r="AL621" s="880"/>
      <c r="AM621" s="880"/>
      <c r="AN621" s="880"/>
      <c r="AO621" s="880"/>
      <c r="AP621" s="880"/>
      <c r="AQ621" s="880"/>
      <c r="AR621" s="880"/>
      <c r="AS621" s="880"/>
      <c r="AT621" s="880"/>
      <c r="AU621" s="880"/>
      <c r="AV621" s="880"/>
      <c r="AW621" s="880"/>
      <c r="AX621" s="880"/>
      <c r="AY621" s="880"/>
      <c r="AZ621" s="880"/>
      <c r="BA621" s="880"/>
      <c r="BB621" s="880"/>
      <c r="BC621" s="880"/>
      <c r="BD621" s="880"/>
      <c r="BE621" s="880"/>
      <c r="BF621" s="880"/>
      <c r="BG621" s="880"/>
      <c r="BH621" s="880"/>
      <c r="BI621" s="880"/>
      <c r="BJ621" s="880"/>
      <c r="BK621" s="880"/>
      <c r="BL621" s="880"/>
      <c r="BM621" s="880"/>
      <c r="BN621" s="880"/>
      <c r="BO621" s="880"/>
      <c r="BP621" s="880"/>
      <c r="BQ621" s="880"/>
      <c r="BR621" s="880"/>
      <c r="BS621" s="880"/>
      <c r="BT621" s="880"/>
    </row>
    <row r="622" spans="1:72" s="882" customFormat="1" ht="16.149999999999999" hidden="1" customHeight="1" outlineLevel="1">
      <c r="A622" s="2915"/>
      <c r="B622" s="2916"/>
      <c r="C622" s="2912" t="s">
        <v>918</v>
      </c>
      <c r="D622" s="2912"/>
      <c r="E622" s="1651"/>
      <c r="F622" s="1328">
        <f>IF(SETUP!$F$21="Upfront",$E$621*'HIV-Pharmaceuticals'!AW15,0)</f>
        <v>0</v>
      </c>
      <c r="G622" s="1194">
        <f>IF(SETUP!$F$21="Upfront",$E$621*'HIV-Pharmaceuticals'!AX15,0)</f>
        <v>0</v>
      </c>
      <c r="H622" s="1194">
        <f>IF(SETUP!$F$21="Upfront",$E$621*'HIV-Pharmaceuticals'!AY15,0)</f>
        <v>0</v>
      </c>
      <c r="I622" s="1194">
        <f>IF(SETUP!$F$21="Upfront",$E$621*'HIV-Pharmaceuticals'!AZ15,0)</f>
        <v>0</v>
      </c>
      <c r="J622" s="1194">
        <f t="shared" si="88"/>
        <v>0</v>
      </c>
      <c r="K622" s="1328">
        <f>IF(SETUP!$F$21="Upfront",$E$621*'HIV-Pharmaceuticals'!BA15,0)</f>
        <v>0</v>
      </c>
      <c r="L622" s="1194">
        <f>IF(SETUP!$F$21="Upfront",$E$621*'HIV-Pharmaceuticals'!BB15,0)</f>
        <v>0</v>
      </c>
      <c r="M622" s="1194">
        <f>IF(SETUP!$F$21="Upfront",$E$621*'HIV-Pharmaceuticals'!BC15,0)</f>
        <v>0</v>
      </c>
      <c r="N622" s="1194">
        <f>IF(SETUP!$F$21="Upfront",$E$621*'HIV-Pharmaceuticals'!BD15,0)</f>
        <v>0</v>
      </c>
      <c r="O622" s="1194">
        <f t="shared" si="89"/>
        <v>0</v>
      </c>
      <c r="P622" s="1328">
        <f>IF(SETUP!$F$21="Upfront",$E$621*'HIV-Pharmaceuticals'!BE15,0)</f>
        <v>0</v>
      </c>
      <c r="Q622" s="1194">
        <f>IF(SETUP!$F$21="Upfront",$E$621*'HIV-Pharmaceuticals'!BF15,0)</f>
        <v>0</v>
      </c>
      <c r="R622" s="1194">
        <f>IF(SETUP!$F$21="Upfront",$E$621*'HIV-Pharmaceuticals'!BG15,0)</f>
        <v>0</v>
      </c>
      <c r="S622" s="1194">
        <f>IF(SETUP!$F$21="Upfront",$E$621*'HIV-Pharmaceuticals'!BH15,0)</f>
        <v>0</v>
      </c>
      <c r="T622" s="1194">
        <f t="shared" si="90"/>
        <v>0</v>
      </c>
      <c r="U622" s="1328">
        <f t="shared" si="91"/>
        <v>0</v>
      </c>
      <c r="V622" s="1826">
        <v>7.7</v>
      </c>
      <c r="W622" s="1837"/>
      <c r="X622" s="764"/>
      <c r="Y622" s="879"/>
      <c r="Z622" s="850"/>
      <c r="AA622" s="880"/>
      <c r="AB622" s="880"/>
      <c r="AC622" s="880"/>
      <c r="AD622" s="880"/>
      <c r="AE622" s="880"/>
      <c r="AF622" s="880"/>
      <c r="AG622" s="880"/>
      <c r="AH622" s="881"/>
      <c r="AI622" s="880"/>
      <c r="AJ622" s="880"/>
      <c r="AK622" s="880"/>
      <c r="AL622" s="880"/>
      <c r="AM622" s="880"/>
      <c r="AN622" s="880"/>
      <c r="AO622" s="880"/>
      <c r="AP622" s="880"/>
      <c r="AQ622" s="880"/>
      <c r="AR622" s="880"/>
      <c r="AS622" s="880"/>
      <c r="AT622" s="880"/>
      <c r="AU622" s="880"/>
      <c r="AV622" s="880"/>
      <c r="AW622" s="880"/>
      <c r="AX622" s="880"/>
      <c r="AY622" s="880"/>
      <c r="AZ622" s="880"/>
      <c r="BA622" s="880"/>
      <c r="BB622" s="880"/>
      <c r="BC622" s="880"/>
      <c r="BD622" s="880"/>
      <c r="BE622" s="880"/>
      <c r="BF622" s="880"/>
      <c r="BG622" s="880"/>
      <c r="BH622" s="880"/>
      <c r="BI622" s="880"/>
      <c r="BJ622" s="880"/>
      <c r="BK622" s="880"/>
      <c r="BL622" s="880"/>
      <c r="BM622" s="880"/>
      <c r="BN622" s="880"/>
      <c r="BO622" s="880"/>
      <c r="BP622" s="880"/>
      <c r="BQ622" s="880"/>
      <c r="BR622" s="880"/>
      <c r="BS622" s="880"/>
      <c r="BT622" s="880"/>
    </row>
    <row r="623" spans="1:72" s="882" customFormat="1" ht="16.149999999999999" hidden="1" customHeight="1" outlineLevel="1">
      <c r="A623" s="2915"/>
      <c r="B623" s="2916"/>
      <c r="C623" s="2912" t="s">
        <v>36</v>
      </c>
      <c r="D623" s="2912"/>
      <c r="E623" s="1649"/>
      <c r="F623" s="1328">
        <v>0</v>
      </c>
      <c r="G623" s="1194">
        <f>IF(SETUP!$F$21="At delivery",IF(SETUP!$G$21=1,$E$621*'HIV-Pharmaceuticals'!AW15,0),0)</f>
        <v>0</v>
      </c>
      <c r="H623" s="1194">
        <f>IF(SETUP!$F$21="At delivery",IF(SETUP!$G$21=2,$E$621*'HIV-Pharmaceuticals'!AW15,IF(SETUP!$G$21=1,$E$621*'HIV-Pharmaceuticals'!AX15,0)),0)</f>
        <v>0</v>
      </c>
      <c r="I623" s="1194">
        <f>IF(SETUP!$F$21="At delivery",IF(SETUP!$G$21=3,$E$621*'HIV-Pharmaceuticals'!AW15,IF(SETUP!$G$21=2,$E$621*'HIV-Pharmaceuticals'!AX15,IF(SETUP!$G$21=1,$E$621*'HIV-Pharmaceuticals'!AY15,0))),0)</f>
        <v>0</v>
      </c>
      <c r="J623" s="1194">
        <f t="shared" si="88"/>
        <v>0</v>
      </c>
      <c r="K623" s="1328">
        <f>IF(SETUP!$F$21="At delivery",IF(SETUP!$G$21=4,$E$621*'HIV-Pharmaceuticals'!AW15,IF(SETUP!$G$21=3,$E$621*'HIV-Pharmaceuticals'!AX15,IF(SETUP!$G$21=2,$E$621*'HIV-Pharmaceuticals'!AY15,IF(SETUP!$G$21=1,$E$621*'HIV-Pharmaceuticals'!AZ15,0)))),0)</f>
        <v>0</v>
      </c>
      <c r="L623" s="1194">
        <f>IF(SETUP!$F$21="At delivery",IF(SETUP!$G$21=4,$E$621*'HIV-Pharmaceuticals'!AX15,IF(SETUP!$G$21=3,$E$621*'HIV-Pharmaceuticals'!AY15,IF(SETUP!$G$21=2,$E$621*'HIV-Pharmaceuticals'!AZ15,IF(SETUP!$G$21=1,$E$621*'HIV-Pharmaceuticals'!BA15,0)))),0)</f>
        <v>0</v>
      </c>
      <c r="M623" s="1194">
        <f>IF(SETUP!$F$21="At delivery",IF(SETUP!$G$21=4,$E$621*'HIV-Pharmaceuticals'!AY15,IF(SETUP!$G$21=3,$E$621*'HIV-Pharmaceuticals'!AZ15,IF(SETUP!$G$21=2,$E$621*'HIV-Pharmaceuticals'!BA15,IF(SETUP!$G$21=1,$E$621*'HIV-Pharmaceuticals'!BB15,0)))),0)</f>
        <v>0</v>
      </c>
      <c r="N623" s="1194">
        <f>IF(SETUP!$F$21="At delivery",IF(SETUP!$G$21=4,$E$621*'HIV-Pharmaceuticals'!AZ15,IF(SETUP!$G$21=3,$E$621*'HIV-Pharmaceuticals'!BA15,IF(SETUP!$G$21=2,$E$621*'HIV-Pharmaceuticals'!BB15,IF(SETUP!$G$21=1,$E$621*'HIV-Pharmaceuticals'!BC15,0)))),0)</f>
        <v>0</v>
      </c>
      <c r="O623" s="1194">
        <f t="shared" si="89"/>
        <v>0</v>
      </c>
      <c r="P623" s="1328">
        <f>IF(SETUP!$F$21="At delivery",IF(SETUP!$G$21=4,$E$621*'HIV-Pharmaceuticals'!BA15,IF(SETUP!$G$21=3,$E$621*'HIV-Pharmaceuticals'!BB15,IF(SETUP!$G$21=2,$E$621*'HIV-Pharmaceuticals'!BC15,IF(SETUP!$G$21=1,$E$621*'HIV-Pharmaceuticals'!BD15,0)))),0)</f>
        <v>0</v>
      </c>
      <c r="Q623" s="1194">
        <f>IF(SETUP!$F$21="At delivery",IF(SETUP!$G$21=4,$E$621*'HIV-Pharmaceuticals'!BB15,IF(SETUP!$G$21=3,$E$621*'HIV-Pharmaceuticals'!BC15,IF(SETUP!$G$21=2,$E$621*'HIV-Pharmaceuticals'!BD15,IF(SETUP!$G$21=1,$E$621*'HIV-Pharmaceuticals'!BE15,0)))),0)</f>
        <v>0</v>
      </c>
      <c r="R623" s="1194">
        <f>IF(SETUP!$F$21="At delivery",IF(SETUP!$G$21=4,$E$621*'HIV-Pharmaceuticals'!BC15,IF(SETUP!$G$21=3,$E$621*'HIV-Pharmaceuticals'!BD15,IF(SETUP!$G$21=2,$E$621*'HIV-Pharmaceuticals'!BE15,IF(SETUP!$G$21=1,$E$621*'HIV-Pharmaceuticals'!BF15,0)))),0)</f>
        <v>0</v>
      </c>
      <c r="S623" s="1194">
        <f>IF(SETUP!$F$21="At delivery",IF(SETUP!$G$21=4,$E$621*('HIV-Pharmaceuticals'!BD15+'HIV-Pharmaceuticals'!BE15+'HIV-Pharmaceuticals'!BF15+'HIV-Pharmaceuticals'!BG15+'HIV-Pharmaceuticals'!BH15),IF(SETUP!$G$21=3,$E$621*('HIV-Pharmaceuticals'!BE15+'HIV-Pharmaceuticals'!BF15+'HIV-Pharmaceuticals'!BG15+'HIV-Pharmaceuticals'!BH15),IF(SETUP!$G$21=2,$E$621*('HIV-Pharmaceuticals'!BF15+'HIV-Pharmaceuticals'!BG15+'HIV-Pharmaceuticals'!BH15),IF(SETUP!$G$21=1,$E$621*('HIV-Pharmaceuticals'!BG15+'HIV-Pharmaceuticals'!BH15),0)))),0)</f>
        <v>0</v>
      </c>
      <c r="T623" s="1194">
        <f t="shared" si="90"/>
        <v>0</v>
      </c>
      <c r="U623" s="1328">
        <f t="shared" si="91"/>
        <v>0</v>
      </c>
      <c r="V623" s="1826">
        <v>7.7</v>
      </c>
      <c r="W623" s="1837"/>
      <c r="X623" s="764"/>
      <c r="Y623" s="879"/>
      <c r="Z623" s="850"/>
      <c r="AA623" s="880"/>
      <c r="AB623" s="880"/>
      <c r="AC623" s="880"/>
      <c r="AD623" s="880"/>
      <c r="AE623" s="880"/>
      <c r="AF623" s="880"/>
      <c r="AG623" s="880"/>
      <c r="AH623" s="881"/>
      <c r="AI623" s="880"/>
      <c r="AJ623" s="880"/>
      <c r="AK623" s="880"/>
      <c r="AL623" s="880"/>
      <c r="AM623" s="880"/>
      <c r="AN623" s="880"/>
      <c r="AO623" s="880"/>
      <c r="AP623" s="880"/>
      <c r="AQ623" s="880"/>
      <c r="AR623" s="880"/>
      <c r="AS623" s="880"/>
      <c r="AT623" s="880"/>
      <c r="AU623" s="880"/>
      <c r="AV623" s="880"/>
      <c r="AW623" s="880"/>
      <c r="AX623" s="880"/>
      <c r="AY623" s="880"/>
      <c r="AZ623" s="880"/>
      <c r="BA623" s="880"/>
      <c r="BB623" s="880"/>
      <c r="BC623" s="880"/>
      <c r="BD623" s="880"/>
      <c r="BE623" s="880"/>
      <c r="BF623" s="880"/>
      <c r="BG623" s="880"/>
      <c r="BH623" s="880"/>
      <c r="BI623" s="880"/>
      <c r="BJ623" s="880"/>
      <c r="BK623" s="880"/>
      <c r="BL623" s="880"/>
      <c r="BM623" s="880"/>
      <c r="BN623" s="880"/>
      <c r="BO623" s="880"/>
      <c r="BP623" s="880"/>
      <c r="BQ623" s="880"/>
      <c r="BR623" s="880"/>
      <c r="BS623" s="880"/>
      <c r="BT623" s="880"/>
    </row>
    <row r="624" spans="1:72" s="882" customFormat="1" ht="13" collapsed="1">
      <c r="A624" s="2915"/>
      <c r="B624" s="2916"/>
      <c r="C624" s="2941" t="s">
        <v>1317</v>
      </c>
      <c r="D624" s="2941"/>
      <c r="E624" s="1651">
        <v>0</v>
      </c>
      <c r="F624" s="1328">
        <f>IF(SETUP!$F$22="Upfront",F625,F626)</f>
        <v>0</v>
      </c>
      <c r="G624" s="1194">
        <f>IF(SETUP!$F$22="Upfront",G625,G626)</f>
        <v>0</v>
      </c>
      <c r="H624" s="1194">
        <f>IF(SETUP!$F$22="Upfront",H625,H626)</f>
        <v>0</v>
      </c>
      <c r="I624" s="1194">
        <f>IF(SETUP!$F$22="Upfront",I625,I626)</f>
        <v>0</v>
      </c>
      <c r="J624" s="1194">
        <f t="shared" si="88"/>
        <v>0</v>
      </c>
      <c r="K624" s="1328">
        <f>IF(SETUP!$F$22="Upfront",K625,K626)</f>
        <v>0</v>
      </c>
      <c r="L624" s="1194">
        <f>IF(SETUP!$F$22="Upfront",L625,L626)</f>
        <v>0</v>
      </c>
      <c r="M624" s="1194">
        <f>IF(SETUP!$F$22="Upfront",M625,M626)</f>
        <v>0</v>
      </c>
      <c r="N624" s="1194">
        <f>IF(SETUP!$F$22="Upfront",N625,N626)</f>
        <v>0</v>
      </c>
      <c r="O624" s="1194">
        <f t="shared" si="89"/>
        <v>0</v>
      </c>
      <c r="P624" s="1328">
        <f>IF(SETUP!$F$22="Upfront",P625,P626)</f>
        <v>0</v>
      </c>
      <c r="Q624" s="1194">
        <f>IF(SETUP!$F$22="Upfront",Q625,Q626)</f>
        <v>0</v>
      </c>
      <c r="R624" s="1194">
        <f>IF(SETUP!$F$22="Upfront",R625,R626)</f>
        <v>0</v>
      </c>
      <c r="S624" s="1194">
        <f>IF(SETUP!$F$22="Upfront",S625,S626)</f>
        <v>0</v>
      </c>
      <c r="T624" s="1194">
        <f t="shared" si="90"/>
        <v>0</v>
      </c>
      <c r="U624" s="1328">
        <f t="shared" si="91"/>
        <v>0</v>
      </c>
      <c r="V624" s="1826">
        <v>7.7</v>
      </c>
      <c r="W624" s="1837"/>
      <c r="X624" s="764"/>
      <c r="Y624" s="879"/>
      <c r="Z624" s="850"/>
      <c r="AA624" s="880"/>
      <c r="AB624" s="880"/>
      <c r="AC624" s="880"/>
      <c r="AD624" s="880"/>
      <c r="AE624" s="880"/>
      <c r="AF624" s="880"/>
      <c r="AG624" s="880"/>
      <c r="AH624" s="881"/>
      <c r="AI624" s="880"/>
      <c r="AJ624" s="880"/>
      <c r="AK624" s="880"/>
      <c r="AL624" s="880"/>
      <c r="AM624" s="880"/>
      <c r="AN624" s="880"/>
      <c r="AO624" s="880"/>
      <c r="AP624" s="880"/>
      <c r="AQ624" s="880"/>
      <c r="AR624" s="880"/>
      <c r="AS624" s="880"/>
      <c r="AT624" s="880"/>
      <c r="AU624" s="880"/>
      <c r="AV624" s="880"/>
      <c r="AW624" s="880"/>
      <c r="AX624" s="880"/>
      <c r="AY624" s="880"/>
      <c r="AZ624" s="880"/>
      <c r="BA624" s="880"/>
      <c r="BB624" s="880"/>
      <c r="BC624" s="880"/>
      <c r="BD624" s="880"/>
      <c r="BE624" s="880"/>
      <c r="BF624" s="880"/>
      <c r="BG624" s="880"/>
      <c r="BH624" s="880"/>
      <c r="BI624" s="880"/>
      <c r="BJ624" s="880"/>
      <c r="BK624" s="880"/>
      <c r="BL624" s="880"/>
      <c r="BM624" s="880"/>
      <c r="BN624" s="880"/>
      <c r="BO624" s="880"/>
      <c r="BP624" s="880"/>
      <c r="BQ624" s="880"/>
      <c r="BR624" s="880"/>
      <c r="BS624" s="880"/>
      <c r="BT624" s="880"/>
    </row>
    <row r="625" spans="1:72" s="882" customFormat="1" ht="15" hidden="1" customHeight="1" outlineLevel="1">
      <c r="A625" s="2893" t="s">
        <v>564</v>
      </c>
      <c r="B625" s="2894"/>
      <c r="C625" s="2912" t="s">
        <v>918</v>
      </c>
      <c r="D625" s="2912"/>
      <c r="E625" s="1652"/>
      <c r="F625" s="1328">
        <f>IF(SETUP!$F$22="Upfront",$E$624*'HIV-Pharmaceuticals'!AW16,0)</f>
        <v>0</v>
      </c>
      <c r="G625" s="1194">
        <f>IF(SETUP!$F$22="Upfront",$E$624*'HIV-Pharmaceuticals'!AX16,0)</f>
        <v>0</v>
      </c>
      <c r="H625" s="1194">
        <f>IF(SETUP!$F$22="Upfront",$E$624*'HIV-Pharmaceuticals'!AY16,0)</f>
        <v>0</v>
      </c>
      <c r="I625" s="1194">
        <f>IF(SETUP!$F$22="Upfront",$E$624*'HIV-Pharmaceuticals'!AZ16,0)</f>
        <v>0</v>
      </c>
      <c r="J625" s="1194">
        <f t="shared" si="88"/>
        <v>0</v>
      </c>
      <c r="K625" s="1328">
        <f>IF(SETUP!$F$22="Upfront",$E$624*'HIV-Pharmaceuticals'!BA16,0)</f>
        <v>0</v>
      </c>
      <c r="L625" s="1194">
        <f>IF(SETUP!$F$22="Upfront",$E$624*'HIV-Pharmaceuticals'!BB16,0)</f>
        <v>0</v>
      </c>
      <c r="M625" s="1194">
        <f>IF(SETUP!$F$22="Upfront",$E$624*'HIV-Pharmaceuticals'!BC16,0)</f>
        <v>0</v>
      </c>
      <c r="N625" s="1194">
        <f>IF(SETUP!$F$22="Upfront",$E$624*'HIV-Pharmaceuticals'!BD16,0)</f>
        <v>0</v>
      </c>
      <c r="O625" s="1194">
        <f t="shared" si="89"/>
        <v>0</v>
      </c>
      <c r="P625" s="1328">
        <f>IF(SETUP!$F$22="Upfront",$E$624*'HIV-Pharmaceuticals'!BE16,0)</f>
        <v>0</v>
      </c>
      <c r="Q625" s="1194">
        <f>IF(SETUP!$F$22="Upfront",$E$624*'HIV-Pharmaceuticals'!BF16,0)</f>
        <v>0</v>
      </c>
      <c r="R625" s="1194">
        <f>IF(SETUP!$F$22="Upfront",$E$624*'HIV-Pharmaceuticals'!BG16,0)</f>
        <v>0</v>
      </c>
      <c r="S625" s="1194">
        <f>IF(SETUP!$F$22="Upfront",$E$624*'HIV-Pharmaceuticals'!BH16,0)</f>
        <v>0</v>
      </c>
      <c r="T625" s="1194">
        <f t="shared" si="90"/>
        <v>0</v>
      </c>
      <c r="U625" s="1328">
        <f t="shared" si="91"/>
        <v>0</v>
      </c>
      <c r="V625" s="1826">
        <v>7.7</v>
      </c>
      <c r="W625" s="1837"/>
      <c r="X625" s="764"/>
      <c r="Y625" s="879"/>
      <c r="Z625" s="850"/>
      <c r="AA625" s="880"/>
      <c r="AB625" s="880"/>
      <c r="AC625" s="880"/>
      <c r="AD625" s="880"/>
      <c r="AE625" s="880"/>
      <c r="AF625" s="880"/>
      <c r="AG625" s="880"/>
      <c r="AH625" s="881"/>
      <c r="AI625" s="880"/>
      <c r="AJ625" s="880"/>
      <c r="AK625" s="880"/>
      <c r="AL625" s="880"/>
      <c r="AM625" s="880"/>
      <c r="AN625" s="880"/>
      <c r="AO625" s="880"/>
      <c r="AP625" s="880"/>
      <c r="AQ625" s="880"/>
      <c r="AR625" s="880"/>
      <c r="AS625" s="880"/>
      <c r="AT625" s="880"/>
      <c r="AU625" s="880"/>
      <c r="AV625" s="880"/>
      <c r="AW625" s="880"/>
      <c r="AX625" s="880"/>
      <c r="AY625" s="880"/>
      <c r="AZ625" s="880"/>
      <c r="BA625" s="880"/>
      <c r="BB625" s="880"/>
      <c r="BC625" s="880"/>
      <c r="BD625" s="880"/>
      <c r="BE625" s="880"/>
      <c r="BF625" s="880"/>
      <c r="BG625" s="880"/>
      <c r="BH625" s="880"/>
      <c r="BI625" s="880"/>
      <c r="BJ625" s="880"/>
      <c r="BK625" s="880"/>
      <c r="BL625" s="880"/>
      <c r="BM625" s="880"/>
      <c r="BN625" s="880"/>
      <c r="BO625" s="880"/>
      <c r="BP625" s="880"/>
      <c r="BQ625" s="880"/>
      <c r="BR625" s="880"/>
      <c r="BS625" s="880"/>
      <c r="BT625" s="880"/>
    </row>
    <row r="626" spans="1:72" s="882" customFormat="1" ht="12.75" hidden="1" customHeight="1" outlineLevel="1">
      <c r="A626" s="2893"/>
      <c r="B626" s="2894"/>
      <c r="C626" s="2912" t="s">
        <v>36</v>
      </c>
      <c r="D626" s="2912"/>
      <c r="E626" s="1652"/>
      <c r="F626" s="1328">
        <v>0</v>
      </c>
      <c r="G626" s="1194">
        <f>IF(SETUP!$F$22="At delivery",IF(SETUP!$G$22=1,$E$624*'HIV-Pharmaceuticals'!AW16,0),0)</f>
        <v>0</v>
      </c>
      <c r="H626" s="1194">
        <f>IF(SETUP!$F$22="At delivery",IF(SETUP!$G$22=2,$E$624*'HIV-Pharmaceuticals'!AW16,IF(SETUP!$G$22=1,$E$624*'HIV-Pharmaceuticals'!AX16,0)),0)</f>
        <v>0</v>
      </c>
      <c r="I626" s="1194">
        <f>IF(SETUP!$F$22="At delivery",IF(SETUP!$G$22=3,$E$624*'HIV-Pharmaceuticals'!AW16,IF(SETUP!$G$22=2,$E$624*'HIV-Pharmaceuticals'!AX16,IF(SETUP!$G$22=1,$E$624*'HIV-Pharmaceuticals'!AY16,0))),0)</f>
        <v>0</v>
      </c>
      <c r="J626" s="1194">
        <f t="shared" si="88"/>
        <v>0</v>
      </c>
      <c r="K626" s="1328">
        <f>IF(SETUP!$F$22="At delivery",IF(SETUP!$G$22=4,$E$624*'HIV-Pharmaceuticals'!AW16,IF(SETUP!$G$22=3,$E$624*'HIV-Pharmaceuticals'!AX16,IF(SETUP!$G$22=2,$E$624*'HIV-Pharmaceuticals'!AY16,IF(SETUP!$G$22=1,$E$624*'HIV-Pharmaceuticals'!AZ16,0)))),0)</f>
        <v>0</v>
      </c>
      <c r="L626" s="1194">
        <f>IF(SETUP!$F$22="At delivery",IF(SETUP!$G$22=4,$E$624*'HIV-Pharmaceuticals'!AX16,IF(SETUP!$G$22=3,$E$624*'HIV-Pharmaceuticals'!AY16,IF(SETUP!$G$22=2,$E$624*'HIV-Pharmaceuticals'!AZ16,IF(SETUP!$G$22=1,$E$624*'HIV-Pharmaceuticals'!BA16,0)))),0)</f>
        <v>0</v>
      </c>
      <c r="M626" s="1194">
        <f>IF(SETUP!$F$22="At delivery",IF(SETUP!$G$22=4,$E$624*'HIV-Pharmaceuticals'!AY16,IF(SETUP!$G$22=3,$E$624*'HIV-Pharmaceuticals'!AZ16,IF(SETUP!$G$22=2,$E$624*'HIV-Pharmaceuticals'!BA16,IF(SETUP!$G$22=1,$E$624*'HIV-Pharmaceuticals'!BB16,0)))),0)</f>
        <v>0</v>
      </c>
      <c r="N626" s="1194">
        <f>IF(SETUP!$F$22="At delivery",IF(SETUP!$G$22=4,$E$624*'HIV-Pharmaceuticals'!AZ16,IF(SETUP!$G$22=3,$E$624*'HIV-Pharmaceuticals'!BA16,IF(SETUP!$G$22=2,$E$624*'HIV-Pharmaceuticals'!BB16,IF(SETUP!$G$22=1,$E$624*'HIV-Pharmaceuticals'!BC16,0)))),0)</f>
        <v>0</v>
      </c>
      <c r="O626" s="1194">
        <f t="shared" si="89"/>
        <v>0</v>
      </c>
      <c r="P626" s="1328">
        <f>IF(SETUP!$F$22="At delivery",IF(SETUP!$G$22=4,$E$624*'HIV-Pharmaceuticals'!BA16,IF(SETUP!$G$22=3,$E$624*'HIV-Pharmaceuticals'!BB16,IF(SETUP!$G$22=2,$E$624*'HIV-Pharmaceuticals'!BC16,IF(SETUP!$G$22=1,$E$624*'HIV-Pharmaceuticals'!BD16,0)))),0)</f>
        <v>0</v>
      </c>
      <c r="Q626" s="1194">
        <f>IF(SETUP!$F$22="At delivery",IF(SETUP!$G$22=4,$E$624*'HIV-Pharmaceuticals'!BB16,IF(SETUP!$G$22=3,$E$624*'HIV-Pharmaceuticals'!BC16,IF(SETUP!$G$22=2,$E$624*'HIV-Pharmaceuticals'!BD16,IF(SETUP!$G$22=1,$E$624*'HIV-Pharmaceuticals'!BE16,0)))),0)</f>
        <v>0</v>
      </c>
      <c r="R626" s="1194">
        <f>IF(SETUP!$F$22="At delivery",IF(SETUP!$G$22=4,$E$624*'HIV-Pharmaceuticals'!BC16,IF(SETUP!$G$22=3,$E$624*'HIV-Pharmaceuticals'!BD16,IF(SETUP!$G$22=2,$E$624*'HIV-Pharmaceuticals'!BE16,IF(SETUP!$G$22=1,$E$624*'HIV-Pharmaceuticals'!BF16,0)))),0)</f>
        <v>0</v>
      </c>
      <c r="S626" s="1194">
        <f>IF(SETUP!$F$22="At delivery",IF(SETUP!$G$22=4,$E$624*('HIV-Pharmaceuticals'!BD16+'HIV-Pharmaceuticals'!BE16+'HIV-Pharmaceuticals'!BF16+'HIV-Pharmaceuticals'!BG16+'HIV-Pharmaceuticals'!BH16),IF(SETUP!$G$22=3,$E$624*('HIV-Pharmaceuticals'!BE16+'HIV-Pharmaceuticals'!BF16+'HIV-Pharmaceuticals'!BG16+'HIV-Pharmaceuticals'!BH16),IF(SETUP!$G$22=2,$E$624*('HIV-Pharmaceuticals'!BF16+'HIV-Pharmaceuticals'!BG16+'HIV-Pharmaceuticals'!BH16),IF(SETUP!$G$22=1,$E$624*('HIV-Pharmaceuticals'!BG16+'HIV-Pharmaceuticals'!BH16),0)))),0)</f>
        <v>0</v>
      </c>
      <c r="T626" s="1194">
        <f t="shared" si="90"/>
        <v>0</v>
      </c>
      <c r="U626" s="1328">
        <f t="shared" si="91"/>
        <v>0</v>
      </c>
      <c r="V626" s="1826">
        <v>7.7</v>
      </c>
      <c r="W626" s="1837"/>
      <c r="X626" s="764"/>
      <c r="Y626" s="879"/>
      <c r="Z626" s="850"/>
      <c r="AA626" s="880"/>
      <c r="AB626" s="880"/>
      <c r="AC626" s="880"/>
      <c r="AD626" s="880"/>
      <c r="AE626" s="880"/>
      <c r="AF626" s="880"/>
      <c r="AG626" s="880"/>
      <c r="AH626" s="881"/>
      <c r="AI626" s="880"/>
      <c r="AJ626" s="880"/>
      <c r="AK626" s="880"/>
      <c r="AL626" s="880"/>
      <c r="AM626" s="880"/>
      <c r="AN626" s="880"/>
      <c r="AO626" s="880"/>
      <c r="AP626" s="880"/>
      <c r="AQ626" s="880"/>
      <c r="AR626" s="880"/>
      <c r="AS626" s="880"/>
      <c r="AT626" s="880"/>
      <c r="AU626" s="880"/>
      <c r="AV626" s="880"/>
      <c r="AW626" s="880"/>
      <c r="AX626" s="880"/>
      <c r="AY626" s="880"/>
      <c r="AZ626" s="880"/>
      <c r="BA626" s="880"/>
      <c r="BB626" s="880"/>
      <c r="BC626" s="880"/>
      <c r="BD626" s="880"/>
      <c r="BE626" s="880"/>
      <c r="BF626" s="880"/>
      <c r="BG626" s="880"/>
      <c r="BH626" s="880"/>
      <c r="BI626" s="880"/>
      <c r="BJ626" s="880"/>
      <c r="BK626" s="880"/>
      <c r="BL626" s="880"/>
      <c r="BM626" s="880"/>
      <c r="BN626" s="880"/>
      <c r="BO626" s="880"/>
      <c r="BP626" s="880"/>
      <c r="BQ626" s="880"/>
      <c r="BR626" s="880"/>
      <c r="BS626" s="880"/>
      <c r="BT626" s="880"/>
    </row>
    <row r="627" spans="1:72" s="882" customFormat="1" ht="13.5" collapsed="1" thickBot="1">
      <c r="A627" s="2893"/>
      <c r="B627" s="2894"/>
      <c r="C627" s="2923" t="s">
        <v>1793</v>
      </c>
      <c r="D627" s="2923"/>
      <c r="E627" s="1651">
        <v>0</v>
      </c>
      <c r="F627" s="1328">
        <f>IF(SETUP!$F$23="Upfront",F628,F629)</f>
        <v>0</v>
      </c>
      <c r="G627" s="1194">
        <f>IF(SETUP!$F$23="Upfront",G628,G629)</f>
        <v>0</v>
      </c>
      <c r="H627" s="1194">
        <f>IF(SETUP!$F$23="Upfront",H628,H629)</f>
        <v>0</v>
      </c>
      <c r="I627" s="1194">
        <f>IF(SETUP!$F$23="Upfront",I628,I629)</f>
        <v>0</v>
      </c>
      <c r="J627" s="1194">
        <f t="shared" si="88"/>
        <v>0</v>
      </c>
      <c r="K627" s="1328">
        <f>IF(SETUP!$F$23="Upfront",K628,K629)</f>
        <v>0</v>
      </c>
      <c r="L627" s="1194">
        <f>IF(SETUP!$F$23="Upfront",L628,L629)</f>
        <v>0</v>
      </c>
      <c r="M627" s="1194">
        <f>IF(SETUP!$F$23="Upfront",M628,M629)</f>
        <v>0</v>
      </c>
      <c r="N627" s="1194">
        <f>IF(SETUP!$F$23="Upfront",N628,N629)</f>
        <v>0</v>
      </c>
      <c r="O627" s="1194">
        <f t="shared" si="89"/>
        <v>0</v>
      </c>
      <c r="P627" s="1328">
        <f>IF(SETUP!$F$23="Upfront",P628,P629)</f>
        <v>0</v>
      </c>
      <c r="Q627" s="1194">
        <f>IF(SETUP!$F$23="Upfront",Q628,Q629)</f>
        <v>0</v>
      </c>
      <c r="R627" s="1194">
        <f>IF(SETUP!$F$23="Upfront",R628,R629)</f>
        <v>0</v>
      </c>
      <c r="S627" s="1194">
        <f>IF(SETUP!$F$23="Upfront",S628,S629)</f>
        <v>0</v>
      </c>
      <c r="T627" s="1194">
        <f t="shared" si="90"/>
        <v>0</v>
      </c>
      <c r="U627" s="1328">
        <f t="shared" si="91"/>
        <v>0</v>
      </c>
      <c r="V627" s="1826">
        <v>7.7</v>
      </c>
      <c r="W627" s="1837"/>
      <c r="X627" s="764"/>
      <c r="Y627" s="879"/>
      <c r="Z627" s="850"/>
      <c r="AA627" s="880"/>
      <c r="AB627" s="880"/>
      <c r="AC627" s="880"/>
      <c r="AD627" s="880"/>
      <c r="AE627" s="880"/>
      <c r="AF627" s="880"/>
      <c r="AG627" s="880"/>
      <c r="AH627" s="881"/>
      <c r="AI627" s="880"/>
      <c r="AJ627" s="880"/>
      <c r="AK627" s="880"/>
      <c r="AL627" s="880"/>
      <c r="AM627" s="880"/>
      <c r="AN627" s="880"/>
      <c r="AO627" s="880"/>
      <c r="AP627" s="880"/>
      <c r="AQ627" s="880"/>
      <c r="AR627" s="880"/>
      <c r="AS627" s="880"/>
      <c r="AT627" s="880"/>
      <c r="AU627" s="880"/>
      <c r="AV627" s="880"/>
      <c r="AW627" s="880"/>
      <c r="AX627" s="880"/>
      <c r="AY627" s="880"/>
      <c r="AZ627" s="880"/>
      <c r="BA627" s="880"/>
      <c r="BB627" s="880"/>
      <c r="BC627" s="880"/>
      <c r="BD627" s="880"/>
      <c r="BE627" s="880"/>
      <c r="BF627" s="880"/>
      <c r="BG627" s="880"/>
      <c r="BH627" s="880"/>
      <c r="BI627" s="880"/>
      <c r="BJ627" s="880"/>
      <c r="BK627" s="880"/>
      <c r="BL627" s="880"/>
      <c r="BM627" s="880"/>
      <c r="BN627" s="880"/>
      <c r="BO627" s="880"/>
      <c r="BP627" s="880"/>
      <c r="BQ627" s="880"/>
      <c r="BR627" s="880"/>
      <c r="BS627" s="880"/>
      <c r="BT627" s="880"/>
    </row>
    <row r="628" spans="1:72" s="882" customFormat="1" ht="12.75" hidden="1" customHeight="1" outlineLevel="1">
      <c r="A628" s="2893"/>
      <c r="B628" s="2894"/>
      <c r="C628" s="2912" t="s">
        <v>918</v>
      </c>
      <c r="D628" s="2912"/>
      <c r="E628" s="1653"/>
      <c r="F628" s="1328">
        <f>IF(SETUP!$F$23="Upfront",$E$627*'HIV-Equipment'!AV14,0)</f>
        <v>0</v>
      </c>
      <c r="G628" s="1194">
        <f>IF(SETUP!$F$23="Upfront",$E$627*'HIV-Equipment'!AW14,0)</f>
        <v>0</v>
      </c>
      <c r="H628" s="1194">
        <f>IF(SETUP!$F$23="Upfront",$E$627*'HIV-Equipment'!AX14,0)</f>
        <v>0</v>
      </c>
      <c r="I628" s="1194">
        <f>IF(SETUP!$F$23="Upfront",$E$627*'HIV-Equipment'!AY14,0)</f>
        <v>0</v>
      </c>
      <c r="J628" s="1194">
        <f t="shared" si="88"/>
        <v>0</v>
      </c>
      <c r="K628" s="1328">
        <f>IF(SETUP!$F$23="Upfront",$E$627*'HIV-Equipment'!AZ14,0)</f>
        <v>0</v>
      </c>
      <c r="L628" s="1194">
        <f>IF(SETUP!$F$23="Upfront",$E$627*'HIV-Equipment'!BA14,0)</f>
        <v>0</v>
      </c>
      <c r="M628" s="1194">
        <f>IF(SETUP!$F$23="Upfront",$E$627*'HIV-Equipment'!BB14,0)</f>
        <v>0</v>
      </c>
      <c r="N628" s="1194">
        <f>IF(SETUP!$F$23="Upfront",$E$627*'HIV-Equipment'!BC14,0)</f>
        <v>0</v>
      </c>
      <c r="O628" s="1194">
        <f t="shared" si="89"/>
        <v>0</v>
      </c>
      <c r="P628" s="1328">
        <f>IF(SETUP!$F$23="Upfront",$E$627*'HIV-Equipment'!BD14,0)</f>
        <v>0</v>
      </c>
      <c r="Q628" s="1194">
        <f>IF(SETUP!$F$23="Upfront",$E$627*'HIV-Equipment'!BE14,0)</f>
        <v>0</v>
      </c>
      <c r="R628" s="1194">
        <f>IF(SETUP!$F$23="Upfront",$E$627*'HIV-Equipment'!BF14,0)</f>
        <v>0</v>
      </c>
      <c r="S628" s="1194">
        <f>IF(SETUP!$F$23="Upfront",$E$627*'HIV-Equipment'!BG14,0)</f>
        <v>0</v>
      </c>
      <c r="T628" s="1194">
        <f t="shared" si="90"/>
        <v>0</v>
      </c>
      <c r="U628" s="1328">
        <f t="shared" si="91"/>
        <v>0</v>
      </c>
      <c r="V628" s="1826">
        <v>7.7</v>
      </c>
      <c r="W628" s="1837"/>
      <c r="X628" s="764"/>
      <c r="Y628" s="879"/>
      <c r="Z628" s="850"/>
      <c r="AA628" s="880"/>
      <c r="AB628" s="880"/>
      <c r="AC628" s="880"/>
      <c r="AD628" s="880"/>
      <c r="AE628" s="880"/>
      <c r="AF628" s="880"/>
      <c r="AG628" s="880"/>
      <c r="AH628" s="881"/>
      <c r="AI628" s="880"/>
      <c r="AJ628" s="880"/>
      <c r="AK628" s="880"/>
      <c r="AL628" s="880"/>
      <c r="AM628" s="880"/>
      <c r="AN628" s="880"/>
      <c r="AO628" s="880"/>
      <c r="AP628" s="880"/>
      <c r="AQ628" s="880"/>
      <c r="AR628" s="880"/>
      <c r="AS628" s="880"/>
      <c r="AT628" s="880"/>
      <c r="AU628" s="880"/>
      <c r="AV628" s="880"/>
      <c r="AW628" s="880"/>
      <c r="AX628" s="880"/>
      <c r="AY628" s="880"/>
      <c r="AZ628" s="880"/>
      <c r="BA628" s="880"/>
      <c r="BB628" s="880"/>
      <c r="BC628" s="880"/>
      <c r="BD628" s="880"/>
      <c r="BE628" s="880"/>
      <c r="BF628" s="880"/>
      <c r="BG628" s="880"/>
      <c r="BH628" s="880"/>
      <c r="BI628" s="880"/>
      <c r="BJ628" s="880"/>
      <c r="BK628" s="880"/>
      <c r="BL628" s="880"/>
      <c r="BM628" s="880"/>
      <c r="BN628" s="880"/>
      <c r="BO628" s="880"/>
      <c r="BP628" s="880"/>
      <c r="BQ628" s="880"/>
      <c r="BR628" s="880"/>
      <c r="BS628" s="880"/>
      <c r="BT628" s="880"/>
    </row>
    <row r="629" spans="1:72" s="882" customFormat="1" ht="12.75" hidden="1" customHeight="1" outlineLevel="1">
      <c r="A629" s="2895"/>
      <c r="B629" s="2896"/>
      <c r="C629" s="2969" t="s">
        <v>36</v>
      </c>
      <c r="D629" s="2969"/>
      <c r="E629" s="1652"/>
      <c r="F629" s="1328">
        <v>0</v>
      </c>
      <c r="G629" s="1194">
        <f>IF(SETUP!$F$23="At delivery",IF(SETUP!$G$23=1,$E$627*'HIV-Equipment'!AV14,0),0)</f>
        <v>0</v>
      </c>
      <c r="H629" s="1194">
        <f>IF(SETUP!$F$23="At delivery",IF(SETUP!$G$23=2,$E$627*'HIV-Equipment'!AV14,IF(SETUP!$G$23=1,$E$627*'HIV-Equipment'!AW14,0)),0)</f>
        <v>0</v>
      </c>
      <c r="I629" s="1194">
        <f>IF(SETUP!$F$23="At delivery",IF(SETUP!$G$23=3,$E$627*'HIV-Equipment'!AV14,IF(SETUP!$G$23=2,$E$627*'HIV-Equipment'!AW14,IF(SETUP!$G$23=1,$E$627*'HIV-Equipment'!AX14,0))),0)</f>
        <v>0</v>
      </c>
      <c r="J629" s="1194">
        <f t="shared" si="88"/>
        <v>0</v>
      </c>
      <c r="K629" s="1328">
        <f>IF(SETUP!$F$23="At delivery",IF(SETUP!$G$23=4,$E$627*'HIV-Equipment'!AV14,IF(SETUP!$G$23=3,$E$627*'HIV-Equipment'!AW14,IF(SETUP!$G$23=2,$E$627*'HIV-Equipment'!AX14,IF(SETUP!$G$23=1,$E$627*'HIV-Equipment'!AY14,0)))),0)</f>
        <v>0</v>
      </c>
      <c r="L629" s="1194">
        <f>IF(SETUP!$F$23="At delivery",IF(SETUP!$G$23=4,$E$627*'HIV-Equipment'!AW14,IF(SETUP!$G$23=3,$E$627*'HIV-Equipment'!AX14,IF(SETUP!$G$23=2,$E$627*'HIV-Equipment'!AY14,IF(SETUP!$G$23=1,$E$627*'HIV-Equipment'!AZ14,0)))),0)</f>
        <v>0</v>
      </c>
      <c r="M629" s="1194">
        <f>IF(SETUP!$F$23="At delivery",IF(SETUP!$G$23=4,$E$627*'HIV-Equipment'!AX14,IF(SETUP!$G$23=3,$E$627*'HIV-Equipment'!AY14,IF(SETUP!$G$23=2,$E$627*'HIV-Equipment'!AZ14,IF(SETUP!$G$23=1,$E$627*'HIV-Equipment'!BA14,0)))),0)</f>
        <v>0</v>
      </c>
      <c r="N629" s="1194">
        <f>IF(SETUP!$F$23="At delivery",IF(SETUP!$G$23=4,$E$627*'HIV-Equipment'!AY14,IF(SETUP!$G$23=3,$E$627*'HIV-Equipment'!AZ14,IF(SETUP!$G$23=2,$E$627*'HIV-Equipment'!BA14,IF(SETUP!$G$23=1,$E$627*'HIV-Equipment'!BB14,0)))),0)</f>
        <v>0</v>
      </c>
      <c r="O629" s="1194">
        <f t="shared" si="89"/>
        <v>0</v>
      </c>
      <c r="P629" s="1328">
        <f>IF(SETUP!$F$23="At delivery",IF(SETUP!$G$23=4,$E$627*'HIV-Equipment'!AZ14,IF(SETUP!$G$23=3,$E$627*'HIV-Equipment'!BA14,IF(SETUP!$G$23=2,$E$627*'HIV-Equipment'!BB14,IF(SETUP!$G$23=1,$E$627*'HIV-Equipment'!BC14,0)))),0)</f>
        <v>0</v>
      </c>
      <c r="Q629" s="1194">
        <f>IF(SETUP!$F$23="At delivery",IF(SETUP!$G$23=4,$E$627*'HIV-Equipment'!BA14,IF(SETUP!$G$23=3,$E$627*'HIV-Equipment'!BB14,IF(SETUP!$G$23=2,$E$627*'HIV-Equipment'!BC14,IF(SETUP!$G$23=1,$E$627*'HIV-Equipment'!BD14,0)))),0)</f>
        <v>0</v>
      </c>
      <c r="R629" s="1194">
        <f>IF(SETUP!$F$23="At delivery",IF(SETUP!$G$23=4,$E$627*'HIV-Equipment'!BB14,IF(SETUP!$G$23=3,$E$627*'HIV-Equipment'!BC14,IF(SETUP!$G$23=2,$E$627*'HIV-Equipment'!BD14,IF(SETUP!$G$23=1,$E$627*'HIV-Equipment'!BE14,0)))),0)</f>
        <v>0</v>
      </c>
      <c r="S629" s="1194">
        <f>IF(SETUP!$F$23="At delivery",IF(SETUP!$G$23=4,$E$627*('HIV-Equipment'!BC14+'HIV-Equipment'!BD14+'HIV-Equipment'!BE14+'HIV-Equipment'!BF14+'HIV-Equipment'!BG14),IF(SETUP!$G$23=3,$E$627*('HIV-Equipment'!BD14+'HIV-Equipment'!BE14+'HIV-Equipment'!BF14+'HIV-Equipment'!BG14),IF(SETUP!$G$23=2,$E$627*('HIV-Equipment'!BE14+'HIV-Equipment'!BF14+'HIV-Equipment'!BG14),IF(SETUP!$G$23=1,$E$627*('HIV-Equipment'!BF14+'HIV-Equipment'!BG14),0)))),0)</f>
        <v>0</v>
      </c>
      <c r="T629" s="1194">
        <f t="shared" si="90"/>
        <v>0</v>
      </c>
      <c r="U629" s="1328">
        <f t="shared" si="91"/>
        <v>0</v>
      </c>
      <c r="V629" s="1826">
        <v>7.7</v>
      </c>
      <c r="W629" s="1837"/>
      <c r="X629" s="764"/>
      <c r="Y629" s="879"/>
      <c r="Z629" s="850"/>
      <c r="AA629" s="880"/>
      <c r="AB629" s="880"/>
      <c r="AC629" s="880"/>
      <c r="AD629" s="880"/>
      <c r="AE629" s="880"/>
      <c r="AF629" s="880"/>
      <c r="AG629" s="880"/>
      <c r="AH629" s="881"/>
      <c r="AI629" s="880"/>
      <c r="AJ629" s="880"/>
      <c r="AK629" s="880"/>
      <c r="AL629" s="880"/>
      <c r="AM629" s="880"/>
      <c r="AN629" s="880"/>
      <c r="AO629" s="880"/>
      <c r="AP629" s="880"/>
      <c r="AQ629" s="880"/>
      <c r="AR629" s="880"/>
      <c r="AS629" s="880"/>
      <c r="AT629" s="880"/>
      <c r="AU629" s="880"/>
      <c r="AV629" s="880"/>
      <c r="AW629" s="880"/>
      <c r="AX629" s="880"/>
      <c r="AY629" s="880"/>
      <c r="AZ629" s="880"/>
      <c r="BA629" s="880"/>
      <c r="BB629" s="880"/>
      <c r="BC629" s="880"/>
      <c r="BD629" s="880"/>
      <c r="BE629" s="880"/>
      <c r="BF629" s="880"/>
      <c r="BG629" s="880"/>
      <c r="BH629" s="880"/>
      <c r="BI629" s="880"/>
      <c r="BJ629" s="880"/>
      <c r="BK629" s="880"/>
      <c r="BL629" s="880"/>
      <c r="BM629" s="880"/>
      <c r="BN629" s="880"/>
      <c r="BO629" s="880"/>
      <c r="BP629" s="880"/>
      <c r="BQ629" s="880"/>
      <c r="BR629" s="880"/>
      <c r="BS629" s="880"/>
      <c r="BT629" s="880"/>
    </row>
    <row r="630" spans="1:72" s="882" customFormat="1" ht="13" collapsed="1">
      <c r="A630" s="2897" t="s">
        <v>565</v>
      </c>
      <c r="B630" s="2898"/>
      <c r="C630" s="2970" t="s">
        <v>228</v>
      </c>
      <c r="D630" s="2971"/>
      <c r="E630" s="1894">
        <v>0</v>
      </c>
      <c r="F630" s="1328">
        <f>IF(SETUP!$F$27="Upfront",F631,F632)</f>
        <v>0</v>
      </c>
      <c r="G630" s="1194">
        <f>IF(SETUP!$F$27="Upfront",G631,G632)</f>
        <v>0</v>
      </c>
      <c r="H630" s="1194">
        <f>IF(SETUP!$F$27="Upfront",H631,H632)</f>
        <v>0</v>
      </c>
      <c r="I630" s="1194">
        <f>IF(SETUP!$F$27="Upfront",I631,I632)</f>
        <v>0</v>
      </c>
      <c r="J630" s="1194">
        <f t="shared" si="88"/>
        <v>0</v>
      </c>
      <c r="K630" s="1328">
        <f>IF(SETUP!$F$27="Upfront",K631,K632)</f>
        <v>0</v>
      </c>
      <c r="L630" s="1194">
        <f>IF(SETUP!$F$27="Upfront",L631,L632)</f>
        <v>0</v>
      </c>
      <c r="M630" s="1194">
        <f>IF(SETUP!$F$27="Upfront",M631,M632)</f>
        <v>0</v>
      </c>
      <c r="N630" s="1194">
        <f>IF(SETUP!$F$27="Upfront",N631,N632)</f>
        <v>0</v>
      </c>
      <c r="O630" s="1194">
        <f t="shared" si="89"/>
        <v>0</v>
      </c>
      <c r="P630" s="1328">
        <f>IF(SETUP!$F$27="Upfront",P631,P632)</f>
        <v>0</v>
      </c>
      <c r="Q630" s="1194">
        <f>IF(SETUP!$F$27="Upfront",Q631,Q632)</f>
        <v>0</v>
      </c>
      <c r="R630" s="1194">
        <f>IF(SETUP!$F$27="Upfront",R631,R632)</f>
        <v>0</v>
      </c>
      <c r="S630" s="1194">
        <f>IF(SETUP!$F$27="Upfront",S631,S632)</f>
        <v>0</v>
      </c>
      <c r="T630" s="1194">
        <f t="shared" si="90"/>
        <v>0</v>
      </c>
      <c r="U630" s="1328">
        <f t="shared" si="91"/>
        <v>0</v>
      </c>
      <c r="V630" s="1826">
        <v>7.7</v>
      </c>
      <c r="W630" s="1837"/>
      <c r="X630" s="764"/>
      <c r="Y630" s="879"/>
      <c r="Z630" s="850"/>
      <c r="AA630" s="880"/>
      <c r="AB630" s="880"/>
      <c r="AC630" s="880"/>
      <c r="AD630" s="880"/>
      <c r="AE630" s="880"/>
      <c r="AF630" s="880"/>
      <c r="AG630" s="880"/>
      <c r="AH630" s="881"/>
      <c r="AI630" s="880"/>
      <c r="AJ630" s="880"/>
      <c r="AK630" s="880"/>
      <c r="AL630" s="880"/>
      <c r="AM630" s="880"/>
      <c r="AN630" s="880"/>
      <c r="AO630" s="880"/>
      <c r="AP630" s="880"/>
      <c r="AQ630" s="880"/>
      <c r="AR630" s="880"/>
      <c r="AS630" s="880"/>
      <c r="AT630" s="880"/>
      <c r="AU630" s="880"/>
      <c r="AV630" s="880"/>
      <c r="AW630" s="880"/>
      <c r="AX630" s="880"/>
      <c r="AY630" s="880"/>
      <c r="AZ630" s="880"/>
      <c r="BA630" s="880"/>
      <c r="BB630" s="880"/>
      <c r="BC630" s="880"/>
      <c r="BD630" s="880"/>
      <c r="BE630" s="880"/>
      <c r="BF630" s="880"/>
      <c r="BG630" s="880"/>
      <c r="BH630" s="880"/>
      <c r="BI630" s="880"/>
      <c r="BJ630" s="880"/>
      <c r="BK630" s="880"/>
      <c r="BL630" s="880"/>
      <c r="BM630" s="880"/>
      <c r="BN630" s="880"/>
      <c r="BO630" s="880"/>
      <c r="BP630" s="880"/>
      <c r="BQ630" s="880"/>
      <c r="BR630" s="880"/>
      <c r="BS630" s="880"/>
      <c r="BT630" s="880"/>
    </row>
    <row r="631" spans="1:72" s="882" customFormat="1" ht="16.149999999999999" hidden="1" customHeight="1" outlineLevel="1">
      <c r="A631" s="2899"/>
      <c r="B631" s="2900"/>
      <c r="C631" s="2889" t="s">
        <v>918</v>
      </c>
      <c r="D631" s="2890"/>
      <c r="E631" s="1895"/>
      <c r="F631" s="1328">
        <f>IF(SETUP!$F$27="Upfront",$E$630*'HIV-Other HPs'!AW14,0)</f>
        <v>0</v>
      </c>
      <c r="G631" s="1194">
        <f>IF(SETUP!$F$27="Upfront",$E$630*'HIV-Other HPs'!AX14,0)</f>
        <v>0</v>
      </c>
      <c r="H631" s="1194">
        <f>IF(SETUP!$F$27="Upfront",$E$630*'HIV-Other HPs'!AY14,0)</f>
        <v>0</v>
      </c>
      <c r="I631" s="1194">
        <f>IF(SETUP!$F$27="Upfront",$E$630*'HIV-Other HPs'!AZ14,0)</f>
        <v>0</v>
      </c>
      <c r="J631" s="1194">
        <f t="shared" si="88"/>
        <v>0</v>
      </c>
      <c r="K631" s="1328">
        <f>IF(SETUP!$F$27="Upfront",$E$630*'HIV-Other HPs'!BA14,0)</f>
        <v>0</v>
      </c>
      <c r="L631" s="1194">
        <f>IF(SETUP!$F$27="Upfront",$E$630*'HIV-Other HPs'!BB14,0)</f>
        <v>0</v>
      </c>
      <c r="M631" s="1194">
        <f>IF(SETUP!$F$27="Upfront",$E$630*'HIV-Other HPs'!BC14,0)</f>
        <v>0</v>
      </c>
      <c r="N631" s="1194">
        <f>IF(SETUP!$F$27="Upfront",$E$630*'HIV-Other HPs'!BD14,0)</f>
        <v>0</v>
      </c>
      <c r="O631" s="1194">
        <f t="shared" si="89"/>
        <v>0</v>
      </c>
      <c r="P631" s="1328">
        <f>IF(SETUP!$F$27="Upfront",$E$630*'HIV-Other HPs'!BE14,0)</f>
        <v>0</v>
      </c>
      <c r="Q631" s="1194">
        <f>IF(SETUP!$F$27="Upfront",$E$630*'HIV-Other HPs'!BF14,0)</f>
        <v>0</v>
      </c>
      <c r="R631" s="1194">
        <f>IF(SETUP!$F$27="Upfront",$E$630*'HIV-Other HPs'!BG14,0)</f>
        <v>0</v>
      </c>
      <c r="S631" s="1194">
        <f>IF(SETUP!$F$27="Upfront",$E$630*'HIV-Other HPs'!BH14,0)</f>
        <v>0</v>
      </c>
      <c r="T631" s="1194">
        <f t="shared" si="90"/>
        <v>0</v>
      </c>
      <c r="U631" s="1328">
        <f t="shared" si="91"/>
        <v>0</v>
      </c>
      <c r="V631" s="1826">
        <v>7.7</v>
      </c>
      <c r="W631" s="1837"/>
      <c r="X631" s="764"/>
      <c r="Y631" s="879"/>
      <c r="Z631" s="850"/>
      <c r="AA631" s="880"/>
      <c r="AB631" s="880"/>
      <c r="AC631" s="880"/>
      <c r="AD631" s="880"/>
      <c r="AE631" s="880"/>
      <c r="AF631" s="880"/>
      <c r="AG631" s="880"/>
      <c r="AH631" s="881"/>
      <c r="AI631" s="880"/>
      <c r="AJ631" s="880"/>
      <c r="AK631" s="880"/>
      <c r="AL631" s="880"/>
      <c r="AM631" s="880"/>
      <c r="AN631" s="880"/>
      <c r="AO631" s="880"/>
      <c r="AP631" s="880"/>
      <c r="AQ631" s="880"/>
      <c r="AR631" s="880"/>
      <c r="AS631" s="880"/>
      <c r="AT631" s="880"/>
      <c r="AU631" s="880"/>
      <c r="AV631" s="880"/>
      <c r="AW631" s="880"/>
      <c r="AX631" s="880"/>
      <c r="AY631" s="880"/>
      <c r="AZ631" s="880"/>
      <c r="BA631" s="880"/>
      <c r="BB631" s="880"/>
      <c r="BC631" s="880"/>
      <c r="BD631" s="880"/>
      <c r="BE631" s="880"/>
      <c r="BF631" s="880"/>
      <c r="BG631" s="880"/>
      <c r="BH631" s="880"/>
      <c r="BI631" s="880"/>
      <c r="BJ631" s="880"/>
      <c r="BK631" s="880"/>
      <c r="BL631" s="880"/>
      <c r="BM631" s="880"/>
      <c r="BN631" s="880"/>
      <c r="BO631" s="880"/>
      <c r="BP631" s="880"/>
      <c r="BQ631" s="880"/>
      <c r="BR631" s="880"/>
      <c r="BS631" s="880"/>
      <c r="BT631" s="880"/>
    </row>
    <row r="632" spans="1:72" s="882" customFormat="1" ht="16.149999999999999" hidden="1" customHeight="1" outlineLevel="1">
      <c r="A632" s="2899"/>
      <c r="B632" s="2900"/>
      <c r="C632" s="2889" t="s">
        <v>36</v>
      </c>
      <c r="D632" s="2890"/>
      <c r="E632" s="1880"/>
      <c r="F632" s="1328">
        <v>0</v>
      </c>
      <c r="G632" s="1194">
        <f>IF(SETUP!$F$27="At delivery",IF(SETUP!$G$27=1,$E$630*'HIV-Other HPs'!AW14,0),0)</f>
        <v>0</v>
      </c>
      <c r="H632" s="1194">
        <f>IF(SETUP!$F$27="At delivery",IF(SETUP!$G$27=2,$E$630*'HIV-Other HPs'!AW14,IF(SETUP!$G$27=1,$E$630*'HIV-Other HPs'!AX14,0)),0)</f>
        <v>0</v>
      </c>
      <c r="I632" s="1194">
        <f>IF(SETUP!$F$27="At delivery",IF(SETUP!$G$27=3,$E$630*'HIV-Other HPs'!AW14,IF(SETUP!$G$27=2,$E$630*'HIV-Other HPs'!AX14,IF(SETUP!$G$27=1,$E$630*'HIV-Other HPs'!AY14,0))),0)</f>
        <v>0</v>
      </c>
      <c r="J632" s="1194">
        <f t="shared" si="88"/>
        <v>0</v>
      </c>
      <c r="K632" s="1328">
        <f>IF(SETUP!$F$27="At delivery",IF(SETUP!$G$27=4,$E$630*'HIV-Other HPs'!AW14,IF(SETUP!$G$27=3,$E$630*'HIV-Other HPs'!AX14,IF(SETUP!$G$27=2,$E$630*'HIV-Other HPs'!AY14,IF(SETUP!$G$27=1,$E$630*'HIV-Other HPs'!AZ14,0)))),0)</f>
        <v>0</v>
      </c>
      <c r="L632" s="1194">
        <f>IF(SETUP!$F$27="At delivery",IF(SETUP!$G$27=4,$E$630*'HIV-Other HPs'!AX14,IF(SETUP!$G$27=3,$E$630*'HIV-Other HPs'!AY14,IF(SETUP!$G$27=2,$E$630*'HIV-Other HPs'!AZ14,IF(SETUP!$G$27=1,$E$630*'HIV-Other HPs'!BA14,0)))),0)</f>
        <v>0</v>
      </c>
      <c r="M632" s="1194">
        <f>IF(SETUP!$F$27="At delivery",IF(SETUP!$G$27=4,$E$630*'HIV-Other HPs'!AY14,IF(SETUP!$G$27=3,$E$630*'HIV-Other HPs'!AZ14,IF(SETUP!$G$27=2,$E$630*'HIV-Other HPs'!BA14,IF(SETUP!$G$27=1,$E$630*'HIV-Other HPs'!BB14,0)))),0)</f>
        <v>0</v>
      </c>
      <c r="N632" s="1194">
        <f>IF(SETUP!$F$27="At delivery",IF(SETUP!$G$27=4,$E$630*'HIV-Other HPs'!AZ14,IF(SETUP!$G$27=3,$E$630*'HIV-Other HPs'!BA14,IF(SETUP!$G$27=2,$E$630*'HIV-Other HPs'!BB14,IF(SETUP!$G$27=1,$E$630*'HIV-Other HPs'!BC14,0)))),0)</f>
        <v>0</v>
      </c>
      <c r="O632" s="1194">
        <f t="shared" si="89"/>
        <v>0</v>
      </c>
      <c r="P632" s="1328">
        <f>IF(SETUP!$F$27="At delivery",IF(SETUP!$G$27=4,$E$630*'HIV-Other HPs'!BA14,IF(SETUP!$G$27=3,$E$630*'HIV-Other HPs'!BB14,IF(SETUP!$G$27=2,$E$630*'HIV-Other HPs'!BC14,IF(SETUP!$G$27=1,$E$630*'HIV-Other HPs'!BD14,0)))),0)</f>
        <v>0</v>
      </c>
      <c r="Q632" s="1194">
        <f>IF(SETUP!$F$27="At delivery",IF(SETUP!$G$27=4,$E$630*'HIV-Other HPs'!BB14,IF(SETUP!$G$27=3,$E$630*'HIV-Other HPs'!BC14,IF(SETUP!$G$27=2,$E$630*'HIV-Other HPs'!BD14,IF(SETUP!$G$27=1,$E$630*'HIV-Other HPs'!BE14,0)))),0)</f>
        <v>0</v>
      </c>
      <c r="R632" s="1194">
        <f>IF(SETUP!$F$27="At delivery",IF(SETUP!$G$27=4,$E$630*'HIV-Other HPs'!BC14,IF(SETUP!$G$27=3,$E$630*'HIV-Other HPs'!BD14,IF(SETUP!$G$27=2,$E$630*'HIV-Other HPs'!BE14,IF(SETUP!$G$27=1,$E$630*'HIV-Other HPs'!BF14,0)))),0)</f>
        <v>0</v>
      </c>
      <c r="S632" s="1194">
        <f>IF(SETUP!$F$27="At delivery",IF(SETUP!$G$27=4,$E$630*('HIV-Other HPs'!BD14+'HIV-Other HPs'!BE14+'HIV-Other HPs'!BF14+'HIV-Other HPs'!BG14+'HIV-Other HPs'!BH14),IF(SETUP!$G$27=3,$E$630*('HIV-Other HPs'!BE14+'HIV-Other HPs'!BF14+'HIV-Other HPs'!BG14+'HIV-Other HPs'!BH14),IF(SETUP!$G$27=2,$E$630*('HIV-Other HPs'!BF14+'HIV-Other HPs'!BG14+'HIV-Other HPs'!BH14),IF(SETUP!$G$27=1,$E$630*('HIV-Other HPs'!BG14+'HIV-Other HPs'!BH14),0)))),0)</f>
        <v>0</v>
      </c>
      <c r="T632" s="1194">
        <f t="shared" si="90"/>
        <v>0</v>
      </c>
      <c r="U632" s="1328">
        <f t="shared" si="91"/>
        <v>0</v>
      </c>
      <c r="V632" s="1826">
        <v>7.7</v>
      </c>
      <c r="W632" s="1837"/>
      <c r="X632" s="764"/>
      <c r="Y632" s="879"/>
      <c r="Z632" s="850"/>
      <c r="AA632" s="880"/>
      <c r="AB632" s="880"/>
      <c r="AC632" s="880"/>
      <c r="AD632" s="880"/>
      <c r="AE632" s="880"/>
      <c r="AF632" s="880"/>
      <c r="AG632" s="880"/>
      <c r="AH632" s="881"/>
      <c r="AI632" s="880"/>
      <c r="AJ632" s="880"/>
      <c r="AK632" s="880"/>
      <c r="AL632" s="880"/>
      <c r="AM632" s="880"/>
      <c r="AN632" s="880"/>
      <c r="AO632" s="880"/>
      <c r="AP632" s="880"/>
      <c r="AQ632" s="880"/>
      <c r="AR632" s="880"/>
      <c r="AS632" s="880"/>
      <c r="AT632" s="880"/>
      <c r="AU632" s="880"/>
      <c r="AV632" s="880"/>
      <c r="AW632" s="880"/>
      <c r="AX632" s="880"/>
      <c r="AY632" s="880"/>
      <c r="AZ632" s="880"/>
      <c r="BA632" s="880"/>
      <c r="BB632" s="880"/>
      <c r="BC632" s="880"/>
      <c r="BD632" s="880"/>
      <c r="BE632" s="880"/>
      <c r="BF632" s="880"/>
      <c r="BG632" s="880"/>
      <c r="BH632" s="880"/>
      <c r="BI632" s="880"/>
      <c r="BJ632" s="880"/>
      <c r="BK632" s="880"/>
      <c r="BL632" s="880"/>
      <c r="BM632" s="880"/>
      <c r="BN632" s="880"/>
      <c r="BO632" s="880"/>
      <c r="BP632" s="880"/>
      <c r="BQ632" s="880"/>
      <c r="BR632" s="880"/>
      <c r="BS632" s="880"/>
      <c r="BT632" s="880"/>
    </row>
    <row r="633" spans="1:72" s="882" customFormat="1" ht="13" collapsed="1">
      <c r="A633" s="2899"/>
      <c r="B633" s="2900"/>
      <c r="C633" s="2907" t="s">
        <v>232</v>
      </c>
      <c r="D633" s="2908"/>
      <c r="E633" s="1894">
        <v>0</v>
      </c>
      <c r="F633" s="1328">
        <f>IF(SETUP!$F$28="Upfront",F634,F635)</f>
        <v>0</v>
      </c>
      <c r="G633" s="1194">
        <f>IF(SETUP!$F$28="Upfront",G634,G635)</f>
        <v>0</v>
      </c>
      <c r="H633" s="1194">
        <f>IF(SETUP!$F$28="Upfront",H634,H635)</f>
        <v>0</v>
      </c>
      <c r="I633" s="1194">
        <f>IF(SETUP!$F$28="Upfront",I634,I635)</f>
        <v>0</v>
      </c>
      <c r="J633" s="1194">
        <f t="shared" si="88"/>
        <v>0</v>
      </c>
      <c r="K633" s="1328">
        <f>IF(SETUP!$F$28="Upfront",K634,K635)</f>
        <v>0</v>
      </c>
      <c r="L633" s="1194">
        <f>IF(SETUP!$F$28="Upfront",L634,L635)</f>
        <v>0</v>
      </c>
      <c r="M633" s="1194">
        <f>IF(SETUP!$F$28="Upfront",M634,M635)</f>
        <v>0</v>
      </c>
      <c r="N633" s="1194">
        <f>IF(SETUP!$F$28="Upfront",N634,N635)</f>
        <v>0</v>
      </c>
      <c r="O633" s="1194">
        <f t="shared" si="89"/>
        <v>0</v>
      </c>
      <c r="P633" s="1328">
        <f>IF(SETUP!$F$28="Upfront",P634,P635)</f>
        <v>0</v>
      </c>
      <c r="Q633" s="1194">
        <f>IF(SETUP!$F$28="Upfront",Q634,Q635)</f>
        <v>0</v>
      </c>
      <c r="R633" s="1194">
        <f>IF(SETUP!$F$28="Upfront",R634,R635)</f>
        <v>0</v>
      </c>
      <c r="S633" s="1194">
        <f>IF(SETUP!$F$28="Upfront",S634,S635)</f>
        <v>0</v>
      </c>
      <c r="T633" s="1194">
        <f t="shared" si="90"/>
        <v>0</v>
      </c>
      <c r="U633" s="1328">
        <f t="shared" si="91"/>
        <v>0</v>
      </c>
      <c r="V633" s="1826">
        <v>7.7</v>
      </c>
      <c r="W633" s="1837"/>
      <c r="X633" s="764"/>
      <c r="Y633" s="879"/>
      <c r="Z633" s="850"/>
      <c r="AA633" s="880"/>
      <c r="AB633" s="880"/>
      <c r="AC633" s="880"/>
      <c r="AD633" s="880"/>
      <c r="AE633" s="880"/>
      <c r="AF633" s="880"/>
      <c r="AG633" s="880"/>
      <c r="AH633" s="881"/>
      <c r="AI633" s="880"/>
      <c r="AJ633" s="880"/>
      <c r="AK633" s="880"/>
      <c r="AL633" s="880"/>
      <c r="AM633" s="880"/>
      <c r="AN633" s="880"/>
      <c r="AO633" s="880"/>
      <c r="AP633" s="880"/>
      <c r="AQ633" s="880"/>
      <c r="AR633" s="880"/>
      <c r="AS633" s="880"/>
      <c r="AT633" s="880"/>
      <c r="AU633" s="880"/>
      <c r="AV633" s="880"/>
      <c r="AW633" s="880"/>
      <c r="AX633" s="880"/>
      <c r="AY633" s="880"/>
      <c r="AZ633" s="880"/>
      <c r="BA633" s="880"/>
      <c r="BB633" s="880"/>
      <c r="BC633" s="880"/>
      <c r="BD633" s="880"/>
      <c r="BE633" s="880"/>
      <c r="BF633" s="880"/>
      <c r="BG633" s="880"/>
      <c r="BH633" s="880"/>
      <c r="BI633" s="880"/>
      <c r="BJ633" s="880"/>
      <c r="BK633" s="880"/>
      <c r="BL633" s="880"/>
      <c r="BM633" s="880"/>
      <c r="BN633" s="880"/>
      <c r="BO633" s="880"/>
      <c r="BP633" s="880"/>
      <c r="BQ633" s="880"/>
      <c r="BR633" s="880"/>
      <c r="BS633" s="880"/>
      <c r="BT633" s="880"/>
    </row>
    <row r="634" spans="1:72" s="882" customFormat="1" ht="16.149999999999999" hidden="1" customHeight="1" outlineLevel="1">
      <c r="A634" s="2899"/>
      <c r="B634" s="2900"/>
      <c r="C634" s="2889" t="s">
        <v>918</v>
      </c>
      <c r="D634" s="2890"/>
      <c r="E634" s="1880"/>
      <c r="F634" s="1328">
        <f>IF(SETUP!$F$28="Upfront",$E$633*'HIV-Other HPs'!AW15,0)</f>
        <v>0</v>
      </c>
      <c r="G634" s="1194">
        <f>IF(SETUP!$F$28="Upfront",$E$633*'HIV-Other HPs'!AX15,0)</f>
        <v>0</v>
      </c>
      <c r="H634" s="1194">
        <f>IF(SETUP!$F$28="Upfront",$E$633*'HIV-Other HPs'!AY15,0)</f>
        <v>0</v>
      </c>
      <c r="I634" s="1194">
        <f>IF(SETUP!$F$28="Upfront",$E$633*'HIV-Other HPs'!AZ15,0)</f>
        <v>0</v>
      </c>
      <c r="J634" s="1194">
        <f t="shared" si="88"/>
        <v>0</v>
      </c>
      <c r="K634" s="1328">
        <f>IF(SETUP!$F$28="Upfront",$E$633*'HIV-Other HPs'!BA15,0)</f>
        <v>0</v>
      </c>
      <c r="L634" s="1194">
        <f>IF(SETUP!$F$28="Upfront",$E$633*'HIV-Other HPs'!BB15,0)</f>
        <v>0</v>
      </c>
      <c r="M634" s="1194">
        <f>IF(SETUP!$F$28="Upfront",$E$633*'HIV-Other HPs'!BC15,0)</f>
        <v>0</v>
      </c>
      <c r="N634" s="1194">
        <f>IF(SETUP!$F$28="Upfront",$E$633*'HIV-Other HPs'!BD15,0)</f>
        <v>0</v>
      </c>
      <c r="O634" s="1194">
        <f t="shared" si="89"/>
        <v>0</v>
      </c>
      <c r="P634" s="1328">
        <f>IF(SETUP!$F$28="Upfront",$E$633*'HIV-Other HPs'!BE15,0)</f>
        <v>0</v>
      </c>
      <c r="Q634" s="1194">
        <f>IF(SETUP!$F$28="Upfront",$E$633*'HIV-Other HPs'!BF15,0)</f>
        <v>0</v>
      </c>
      <c r="R634" s="1194">
        <f>IF(SETUP!$F$28="Upfront",$E$633*'HIV-Other HPs'!BG15,0)</f>
        <v>0</v>
      </c>
      <c r="S634" s="1194">
        <f>IF(SETUP!$F$28="Upfront",$E$633*'HIV-Other HPs'!BH15,0)</f>
        <v>0</v>
      </c>
      <c r="T634" s="1194">
        <f t="shared" si="90"/>
        <v>0</v>
      </c>
      <c r="U634" s="1328">
        <f t="shared" si="91"/>
        <v>0</v>
      </c>
      <c r="V634" s="1826">
        <v>7.7</v>
      </c>
      <c r="W634" s="1837"/>
      <c r="X634" s="764"/>
      <c r="Y634" s="879"/>
      <c r="Z634" s="850"/>
      <c r="AA634" s="880"/>
      <c r="AB634" s="880"/>
      <c r="AC634" s="880"/>
      <c r="AD634" s="880"/>
      <c r="AE634" s="880"/>
      <c r="AF634" s="880"/>
      <c r="AG634" s="880"/>
      <c r="AH634" s="881"/>
      <c r="AI634" s="880"/>
      <c r="AJ634" s="880"/>
      <c r="AK634" s="880"/>
      <c r="AL634" s="880"/>
      <c r="AM634" s="880"/>
      <c r="AN634" s="880"/>
      <c r="AO634" s="880"/>
      <c r="AP634" s="880"/>
      <c r="AQ634" s="880"/>
      <c r="AR634" s="880"/>
      <c r="AS634" s="880"/>
      <c r="AT634" s="880"/>
      <c r="AU634" s="880"/>
      <c r="AV634" s="880"/>
      <c r="AW634" s="880"/>
      <c r="AX634" s="880"/>
      <c r="AY634" s="880"/>
      <c r="AZ634" s="880"/>
      <c r="BA634" s="880"/>
      <c r="BB634" s="880"/>
      <c r="BC634" s="880"/>
      <c r="BD634" s="880"/>
      <c r="BE634" s="880"/>
      <c r="BF634" s="880"/>
      <c r="BG634" s="880"/>
      <c r="BH634" s="880"/>
      <c r="BI634" s="880"/>
      <c r="BJ634" s="880"/>
      <c r="BK634" s="880"/>
      <c r="BL634" s="880"/>
      <c r="BM634" s="880"/>
      <c r="BN634" s="880"/>
      <c r="BO634" s="880"/>
      <c r="BP634" s="880"/>
      <c r="BQ634" s="880"/>
      <c r="BR634" s="880"/>
      <c r="BS634" s="880"/>
      <c r="BT634" s="880"/>
    </row>
    <row r="635" spans="1:72" s="882" customFormat="1" ht="16.149999999999999" hidden="1" customHeight="1" outlineLevel="1">
      <c r="A635" s="2899"/>
      <c r="B635" s="2900"/>
      <c r="C635" s="2889" t="s">
        <v>36</v>
      </c>
      <c r="D635" s="2890"/>
      <c r="E635" s="1880"/>
      <c r="F635" s="1328">
        <v>0</v>
      </c>
      <c r="G635" s="1194">
        <f>IF(SETUP!$F$28="At delivery",IF(SETUP!$G$28=1,$E$633*'HIV-Other HPs'!AW15,0),0)</f>
        <v>0</v>
      </c>
      <c r="H635" s="1194">
        <f>IF(SETUP!$F$28="At delivery",IF(SETUP!$G$28=2,$E$633*'HIV-Other HPs'!AW15,IF(SETUP!$G$28=1,$E$633*'HIV-Other HPs'!AX15,0)),0)</f>
        <v>0</v>
      </c>
      <c r="I635" s="1194">
        <f>IF(SETUP!$F$28="At delivery",IF(SETUP!$G$28=3,$E$633*'HIV-Other HPs'!AW15,IF(SETUP!$G$28=2,$E$633*'HIV-Other HPs'!AX15,IF(SETUP!$G$28=1,$E$633*'HIV-Other HPs'!AY15,0))),0)</f>
        <v>0</v>
      </c>
      <c r="J635" s="1194">
        <f t="shared" si="88"/>
        <v>0</v>
      </c>
      <c r="K635" s="1328">
        <f>IF(SETUP!$F$28="At delivery",IF(SETUP!$G$28=4,$E$633*'HIV-Other HPs'!AW15,IF(SETUP!$G$28=3,$E$633*'HIV-Other HPs'!AX15,IF(SETUP!$G$28=2,$E$633*'HIV-Other HPs'!AY15,IF(SETUP!$G$28=1,$E$633*'HIV-Other HPs'!AZ15,0)))),0)</f>
        <v>0</v>
      </c>
      <c r="L635" s="1194">
        <f>IF(SETUP!$F$28="At delivery",IF(SETUP!$G$28=4,$E$633*'HIV-Other HPs'!AX15,IF(SETUP!$G$28=3,$E$633*'HIV-Other HPs'!AY15,IF(SETUP!$G$28=2,$E$633*'HIV-Other HPs'!AZ15,IF(SETUP!$G$28=1,$E$633*'HIV-Other HPs'!BA15,0)))),0)</f>
        <v>0</v>
      </c>
      <c r="M635" s="1194">
        <f>IF(SETUP!$F$28="At delivery",IF(SETUP!$G$28=4,$E$633*'HIV-Other HPs'!AY15,IF(SETUP!$G$28=3,$E$633*'HIV-Other HPs'!AZ15,IF(SETUP!$G$28=2,$E$633*'HIV-Other HPs'!BA15,IF(SETUP!$G$28=1,$E$633*'HIV-Other HPs'!BB15,0)))),0)</f>
        <v>0</v>
      </c>
      <c r="N635" s="1194">
        <f>IF(SETUP!$F$28="At delivery",IF(SETUP!$G$28=4,$E$633*'HIV-Other HPs'!AZ15,IF(SETUP!$G$28=3,$E$633*'HIV-Other HPs'!BA15,IF(SETUP!$G$28=2,$E$633*'HIV-Other HPs'!BB15,IF(SETUP!$G$28=1,$E$633*'HIV-Other HPs'!BC15,0)))),0)</f>
        <v>0</v>
      </c>
      <c r="O635" s="1194">
        <f t="shared" si="89"/>
        <v>0</v>
      </c>
      <c r="P635" s="1328">
        <f>IF(SETUP!$F$28="At delivery",IF(SETUP!$G$28=4,$E$633*'HIV-Other HPs'!BA15,IF(SETUP!$G$28=3,$E$633*'HIV-Other HPs'!BB15,IF(SETUP!$G$28=2,$E$633*'HIV-Other HPs'!BC15,IF(SETUP!$G$28=1,$E$633*'HIV-Other HPs'!BD15,0)))),0)</f>
        <v>0</v>
      </c>
      <c r="Q635" s="1194">
        <f>IF(SETUP!$F$28="At delivery",IF(SETUP!$G$28=4,$E$633*'HIV-Other HPs'!BB15,IF(SETUP!$G$28=3,$E$633*'HIV-Other HPs'!BC15,IF(SETUP!$G$28=2,$E$633*'HIV-Other HPs'!BD15,IF(SETUP!$G$28=1,$E$633*'HIV-Other HPs'!BE15,0)))),0)</f>
        <v>0</v>
      </c>
      <c r="R635" s="1194">
        <f>IF(SETUP!$F$28="At delivery",IF(SETUP!$G$28=4,$E$633*'HIV-Other HPs'!BC15,IF(SETUP!$G$28=3,$E$633*'HIV-Other HPs'!BD15,IF(SETUP!$G$28=2,$E$633*'HIV-Other HPs'!BE15,IF(SETUP!$G$28=1,$E$633*'HIV-Other HPs'!BF15,0)))),0)</f>
        <v>0</v>
      </c>
      <c r="S635" s="1194">
        <f>IF(SETUP!$F$28="At delivery",IF(SETUP!$G$28=4,$E$633*('HIV-Other HPs'!BD15+'HIV-Other HPs'!BE15+'HIV-Other HPs'!BF15+'HIV-Other HPs'!BG15+'HIV-Other HPs'!BH15),IF(SETUP!$G$28=3,$E$633*('HIV-Other HPs'!BE15+'HIV-Other HPs'!BF15+'HIV-Other HPs'!BG15+'HIV-Other HPs'!BH15),IF(SETUP!$G$28=2,$E$633*('HIV-Other HPs'!BF15+'HIV-Other HPs'!BG15+'HIV-Other HPs'!BH15),IF(SETUP!$G$28=1,$E$633*('HIV-Other HPs'!BG15+'HIV-Other HPs'!BH15),0)))),0)</f>
        <v>0</v>
      </c>
      <c r="T635" s="1194">
        <f t="shared" si="90"/>
        <v>0</v>
      </c>
      <c r="U635" s="1328">
        <f t="shared" si="91"/>
        <v>0</v>
      </c>
      <c r="V635" s="1826">
        <v>7.7</v>
      </c>
      <c r="W635" s="1837"/>
      <c r="X635" s="764"/>
      <c r="Y635" s="879"/>
      <c r="Z635" s="850"/>
      <c r="AA635" s="880"/>
      <c r="AB635" s="880"/>
      <c r="AC635" s="880"/>
      <c r="AD635" s="880"/>
      <c r="AE635" s="880"/>
      <c r="AF635" s="880"/>
      <c r="AG635" s="880"/>
      <c r="AH635" s="881"/>
      <c r="AI635" s="880"/>
      <c r="AJ635" s="880"/>
      <c r="AK635" s="880"/>
      <c r="AL635" s="880"/>
      <c r="AM635" s="880"/>
      <c r="AN635" s="880"/>
      <c r="AO635" s="880"/>
      <c r="AP635" s="880"/>
      <c r="AQ635" s="880"/>
      <c r="AR635" s="880"/>
      <c r="AS635" s="880"/>
      <c r="AT635" s="880"/>
      <c r="AU635" s="880"/>
      <c r="AV635" s="880"/>
      <c r="AW635" s="880"/>
      <c r="AX635" s="880"/>
      <c r="AY635" s="880"/>
      <c r="AZ635" s="880"/>
      <c r="BA635" s="880"/>
      <c r="BB635" s="880"/>
      <c r="BC635" s="880"/>
      <c r="BD635" s="880"/>
      <c r="BE635" s="880"/>
      <c r="BF635" s="880"/>
      <c r="BG635" s="880"/>
      <c r="BH635" s="880"/>
      <c r="BI635" s="880"/>
      <c r="BJ635" s="880"/>
      <c r="BK635" s="880"/>
      <c r="BL635" s="880"/>
      <c r="BM635" s="880"/>
      <c r="BN635" s="880"/>
      <c r="BO635" s="880"/>
      <c r="BP635" s="880"/>
      <c r="BQ635" s="880"/>
      <c r="BR635" s="880"/>
      <c r="BS635" s="880"/>
      <c r="BT635" s="880"/>
    </row>
    <row r="636" spans="1:72" s="882" customFormat="1" ht="13" collapsed="1">
      <c r="A636" s="2899"/>
      <c r="B636" s="2900"/>
      <c r="C636" s="2907" t="s">
        <v>566</v>
      </c>
      <c r="D636" s="2908"/>
      <c r="E636" s="1894">
        <v>0</v>
      </c>
      <c r="F636" s="1328">
        <f>IF(SETUP!$F$29="Upfront",F637,F638)</f>
        <v>0</v>
      </c>
      <c r="G636" s="1194">
        <f>IF(SETUP!$F$29="Upfront",G637,G638)</f>
        <v>0</v>
      </c>
      <c r="H636" s="1194">
        <f>IF(SETUP!$F$29="Upfront",H637,H638)</f>
        <v>0</v>
      </c>
      <c r="I636" s="1194">
        <f>IF(SETUP!$F$29="Upfront",I637,I638)</f>
        <v>0</v>
      </c>
      <c r="J636" s="1194">
        <f t="shared" si="88"/>
        <v>0</v>
      </c>
      <c r="K636" s="1328">
        <f>IF(SETUP!$F$29="Upfront",K637,K638)</f>
        <v>0</v>
      </c>
      <c r="L636" s="1194">
        <f>IF(SETUP!$F$29="Upfront",L637,L638)</f>
        <v>0</v>
      </c>
      <c r="M636" s="1194">
        <f>IF(SETUP!$F$29="Upfront",M637,M638)</f>
        <v>0</v>
      </c>
      <c r="N636" s="1194">
        <f>IF(SETUP!$F$29="Upfront",N637,N638)</f>
        <v>0</v>
      </c>
      <c r="O636" s="1194">
        <f t="shared" si="89"/>
        <v>0</v>
      </c>
      <c r="P636" s="1328">
        <f>IF(SETUP!$F$29="Upfront",P637,P638)</f>
        <v>0</v>
      </c>
      <c r="Q636" s="1194">
        <f>IF(SETUP!$F$29="Upfront",Q637,Q638)</f>
        <v>0</v>
      </c>
      <c r="R636" s="1194">
        <f>IF(SETUP!$F$29="Upfront",R637,R638)</f>
        <v>0</v>
      </c>
      <c r="S636" s="1194">
        <f>IF(SETUP!$F$29="Upfront",S637,S638)</f>
        <v>0</v>
      </c>
      <c r="T636" s="1194">
        <f t="shared" si="90"/>
        <v>0</v>
      </c>
      <c r="U636" s="1328">
        <f t="shared" si="91"/>
        <v>0</v>
      </c>
      <c r="V636" s="1826">
        <v>7.7</v>
      </c>
      <c r="W636" s="1837"/>
      <c r="X636" s="764"/>
      <c r="Y636" s="879"/>
      <c r="Z636" s="850"/>
      <c r="AA636" s="880"/>
      <c r="AB636" s="880"/>
      <c r="AC636" s="880"/>
      <c r="AD636" s="880"/>
      <c r="AE636" s="880"/>
      <c r="AF636" s="880"/>
      <c r="AG636" s="880"/>
      <c r="AH636" s="881"/>
      <c r="AI636" s="880"/>
      <c r="AJ636" s="880"/>
      <c r="AK636" s="880"/>
      <c r="AL636" s="880"/>
      <c r="AM636" s="880"/>
      <c r="AN636" s="880"/>
      <c r="AO636" s="880"/>
      <c r="AP636" s="880"/>
      <c r="AQ636" s="880"/>
      <c r="AR636" s="880"/>
      <c r="AS636" s="880"/>
      <c r="AT636" s="880"/>
      <c r="AU636" s="880"/>
      <c r="AV636" s="880"/>
      <c r="AW636" s="880"/>
      <c r="AX636" s="880"/>
      <c r="AY636" s="880"/>
      <c r="AZ636" s="880"/>
      <c r="BA636" s="880"/>
      <c r="BB636" s="880"/>
      <c r="BC636" s="880"/>
      <c r="BD636" s="880"/>
      <c r="BE636" s="880"/>
      <c r="BF636" s="880"/>
      <c r="BG636" s="880"/>
      <c r="BH636" s="880"/>
      <c r="BI636" s="880"/>
      <c r="BJ636" s="880"/>
      <c r="BK636" s="880"/>
      <c r="BL636" s="880"/>
      <c r="BM636" s="880"/>
      <c r="BN636" s="880"/>
      <c r="BO636" s="880"/>
      <c r="BP636" s="880"/>
      <c r="BQ636" s="880"/>
      <c r="BR636" s="880"/>
      <c r="BS636" s="880"/>
      <c r="BT636" s="880"/>
    </row>
    <row r="637" spans="1:72" s="882" customFormat="1" ht="16.149999999999999" hidden="1" customHeight="1" outlineLevel="1">
      <c r="A637" s="2899"/>
      <c r="B637" s="2900"/>
      <c r="C637" s="2889" t="s">
        <v>918</v>
      </c>
      <c r="D637" s="2890"/>
      <c r="E637" s="1880"/>
      <c r="F637" s="1328">
        <f>IF(SETUP!$F$29="Upfront",$E$636*'HIV-Other HPs'!AW16,0)</f>
        <v>0</v>
      </c>
      <c r="G637" s="1194">
        <f>IF(SETUP!$F$29="Upfront",$E$636*'HIV-Other HPs'!AX16,0)</f>
        <v>0</v>
      </c>
      <c r="H637" s="1194">
        <f>IF(SETUP!$F$29="Upfront",$E$636*'HIV-Other HPs'!AY16,0)</f>
        <v>0</v>
      </c>
      <c r="I637" s="1194">
        <f>IF(SETUP!$F$29="Upfront",$E$636*'HIV-Other HPs'!AZ16,0)</f>
        <v>0</v>
      </c>
      <c r="J637" s="1194">
        <f t="shared" si="88"/>
        <v>0</v>
      </c>
      <c r="K637" s="1328">
        <f>IF(SETUP!$F$29="Upfront",$E$636*'HIV-Other HPs'!BA16,0)</f>
        <v>0</v>
      </c>
      <c r="L637" s="1194">
        <f>IF(SETUP!$F$29="Upfront",$E$636*'HIV-Other HPs'!BB16,0)</f>
        <v>0</v>
      </c>
      <c r="M637" s="1194">
        <f>IF(SETUP!$F$29="Upfront",$E$636*'HIV-Other HPs'!BC16,0)</f>
        <v>0</v>
      </c>
      <c r="N637" s="1194">
        <f>IF(SETUP!$F$29="Upfront",$E$636*'HIV-Other HPs'!BD16,0)</f>
        <v>0</v>
      </c>
      <c r="O637" s="1194">
        <f t="shared" si="89"/>
        <v>0</v>
      </c>
      <c r="P637" s="1328">
        <f>IF(SETUP!$F$29="Upfront",$E$636*'HIV-Other HPs'!BE16,0)</f>
        <v>0</v>
      </c>
      <c r="Q637" s="1194">
        <f>IF(SETUP!$F$29="Upfront",$E$636*'HIV-Other HPs'!BF16,0)</f>
        <v>0</v>
      </c>
      <c r="R637" s="1194">
        <f>IF(SETUP!$F$29="Upfront",$E$636*'HIV-Other HPs'!BG16,0)</f>
        <v>0</v>
      </c>
      <c r="S637" s="1194">
        <f>IF(SETUP!$F$29="Upfront",$E$636*'HIV-Other HPs'!BH16,0)</f>
        <v>0</v>
      </c>
      <c r="T637" s="1194">
        <f t="shared" si="90"/>
        <v>0</v>
      </c>
      <c r="U637" s="1328">
        <f t="shared" si="91"/>
        <v>0</v>
      </c>
      <c r="V637" s="1826">
        <v>7.7</v>
      </c>
      <c r="W637" s="1837"/>
      <c r="X637" s="764"/>
      <c r="Y637" s="879"/>
      <c r="Z637" s="850"/>
      <c r="AA637" s="880"/>
      <c r="AB637" s="880"/>
      <c r="AC637" s="880"/>
      <c r="AD637" s="880"/>
      <c r="AE637" s="880"/>
      <c r="AF637" s="880"/>
      <c r="AG637" s="880"/>
      <c r="AH637" s="881"/>
      <c r="AI637" s="880"/>
      <c r="AJ637" s="880"/>
      <c r="AK637" s="880"/>
      <c r="AL637" s="880"/>
      <c r="AM637" s="880"/>
      <c r="AN637" s="880"/>
      <c r="AO637" s="880"/>
      <c r="AP637" s="880"/>
      <c r="AQ637" s="880"/>
      <c r="AR637" s="880"/>
      <c r="AS637" s="880"/>
      <c r="AT637" s="880"/>
      <c r="AU637" s="880"/>
      <c r="AV637" s="880"/>
      <c r="AW637" s="880"/>
      <c r="AX637" s="880"/>
      <c r="AY637" s="880"/>
      <c r="AZ637" s="880"/>
      <c r="BA637" s="880"/>
      <c r="BB637" s="880"/>
      <c r="BC637" s="880"/>
      <c r="BD637" s="880"/>
      <c r="BE637" s="880"/>
      <c r="BF637" s="880"/>
      <c r="BG637" s="880"/>
      <c r="BH637" s="880"/>
      <c r="BI637" s="880"/>
      <c r="BJ637" s="880"/>
      <c r="BK637" s="880"/>
      <c r="BL637" s="880"/>
      <c r="BM637" s="880"/>
      <c r="BN637" s="880"/>
      <c r="BO637" s="880"/>
      <c r="BP637" s="880"/>
      <c r="BQ637" s="880"/>
      <c r="BR637" s="880"/>
      <c r="BS637" s="880"/>
      <c r="BT637" s="880"/>
    </row>
    <row r="638" spans="1:72" s="882" customFormat="1" ht="16.149999999999999" hidden="1" customHeight="1" outlineLevel="1">
      <c r="A638" s="2899"/>
      <c r="B638" s="2900"/>
      <c r="C638" s="2889" t="s">
        <v>36</v>
      </c>
      <c r="D638" s="2890"/>
      <c r="E638" s="1895"/>
      <c r="F638" s="1328">
        <v>0</v>
      </c>
      <c r="G638" s="1194">
        <f>IF(SETUP!$F$29="At delivery",IF(SETUP!$G$29=1,$E$636*'HIV-Other HPs'!AW16,0),0)</f>
        <v>0</v>
      </c>
      <c r="H638" s="1194">
        <f>IF(SETUP!$F$29="At delivery",IF(SETUP!$G$29=2,$E$636*'HIV-Other HPs'!AW16,IF(SETUP!$G$29=1,$E$636*'HIV-Other HPs'!AX16,0)),0)</f>
        <v>0</v>
      </c>
      <c r="I638" s="1194">
        <f>IF(SETUP!$F$29="At delivery",IF(SETUP!$G$29=3,$E$636*'HIV-Other HPs'!AW16,IF(SETUP!$G$29=2,$E$636*'HIV-Other HPs'!AX16,IF(SETUP!$G$29=1,$E$636*'HIV-Other HPs'!AY16,0))),0)</f>
        <v>0</v>
      </c>
      <c r="J638" s="1194">
        <f t="shared" si="88"/>
        <v>0</v>
      </c>
      <c r="K638" s="1328">
        <f>IF(SETUP!$F$29="At delivery",IF(SETUP!$G$29=4,$E$636*'HIV-Other HPs'!AW16,IF(SETUP!$G$29=3,$E$636*'HIV-Other HPs'!AX16,IF(SETUP!$G$29=2,$E$636*'HIV-Other HPs'!AY16,IF(SETUP!$G$29=1,$E$636*'HIV-Other HPs'!AZ16,0)))),0)</f>
        <v>0</v>
      </c>
      <c r="L638" s="1194">
        <f>IF(SETUP!$F$29="At delivery",IF(SETUP!$G$29=4,$E$636*'HIV-Other HPs'!AX16,IF(SETUP!$G$29=3,$E$636*'HIV-Other HPs'!AY16,IF(SETUP!$G$29=2,$E$636*'HIV-Other HPs'!AZ16,IF(SETUP!$G$29=1,$E$636*'HIV-Other HPs'!BA16,0)))),0)</f>
        <v>0</v>
      </c>
      <c r="M638" s="1194">
        <f>IF(SETUP!$F$29="At delivery",IF(SETUP!$G$29=4,$E$636*'HIV-Other HPs'!AY16,IF(SETUP!$G$29=3,$E$636*'HIV-Other HPs'!AZ16,IF(SETUP!$G$29=2,$E$636*'HIV-Other HPs'!BA16,IF(SETUP!$G$29=1,$E$636*'HIV-Other HPs'!BB16,0)))),0)</f>
        <v>0</v>
      </c>
      <c r="N638" s="1194">
        <f>IF(SETUP!$F$29="At delivery",IF(SETUP!$G$29=4,$E$636*'HIV-Other HPs'!AZ16,IF(SETUP!$G$29=3,$E$636*'HIV-Other HPs'!BA16,IF(SETUP!$G$29=2,$E$636*'HIV-Other HPs'!BB16,IF(SETUP!$G$29=1,$E$636*'HIV-Other HPs'!BC16,0)))),0)</f>
        <v>0</v>
      </c>
      <c r="O638" s="1194">
        <f t="shared" si="89"/>
        <v>0</v>
      </c>
      <c r="P638" s="1328">
        <f>IF(SETUP!$F$29="At delivery",IF(SETUP!$G$29=4,$E$636*'HIV-Other HPs'!BA16,IF(SETUP!$G$29=3,$E$636*'HIV-Other HPs'!BB16,IF(SETUP!$G$29=2,$E$636*'HIV-Other HPs'!BC16,IF(SETUP!$G$29=1,$E$636*'HIV-Other HPs'!BD16,0)))),0)</f>
        <v>0</v>
      </c>
      <c r="Q638" s="1194">
        <f>IF(SETUP!$F$29="At delivery",IF(SETUP!$G$29=4,$E$636*'HIV-Other HPs'!BB16,IF(SETUP!$G$29=3,$E$636*'HIV-Other HPs'!BC16,IF(SETUP!$G$29=2,$E$636*'HIV-Other HPs'!BD16,IF(SETUP!$G$29=1,$E$636*'HIV-Other HPs'!BE16,0)))),0)</f>
        <v>0</v>
      </c>
      <c r="R638" s="1194">
        <f>IF(SETUP!$F$29="At delivery",IF(SETUP!$G$29=4,$E$636*'HIV-Other HPs'!BC16,IF(SETUP!$G$29=3,$E$636*'HIV-Other HPs'!BD16,IF(SETUP!$G$29=2,$E$636*'HIV-Other HPs'!BE16,IF(SETUP!$G$29=1,$E$636*'HIV-Other HPs'!BF16,0)))),0)</f>
        <v>0</v>
      </c>
      <c r="S638" s="1194">
        <f>IF(SETUP!$F$29="At delivery",IF(SETUP!$G$29=4,$E$636*('HIV-Other HPs'!BD16+'HIV-Other HPs'!BE16+'HIV-Other HPs'!BF16+'HIV-Other HPs'!BG16+'HIV-Other HPs'!BH16),IF(SETUP!$G$29=3,$E$636*('HIV-Other HPs'!BE16+'HIV-Other HPs'!BF16+'HIV-Other HPs'!BG16+'HIV-Other HPs'!BH16),IF(SETUP!$G$29=2,$E$636*('HIV-Other HPs'!BF16+'HIV-Other HPs'!BG16+'HIV-Other HPs'!BH16),IF(SETUP!$G$29=1,$E$636*('HIV-Other HPs'!BG16+'HIV-Other HPs'!BH16),0)))),0)</f>
        <v>0</v>
      </c>
      <c r="T638" s="1194">
        <f t="shared" si="90"/>
        <v>0</v>
      </c>
      <c r="U638" s="1328">
        <f t="shared" si="91"/>
        <v>0</v>
      </c>
      <c r="V638" s="1826">
        <v>7.7</v>
      </c>
      <c r="W638" s="1837"/>
      <c r="X638" s="764"/>
      <c r="Y638" s="879"/>
      <c r="Z638" s="850"/>
      <c r="AA638" s="880"/>
      <c r="AB638" s="880"/>
      <c r="AC638" s="880"/>
      <c r="AD638" s="880"/>
      <c r="AE638" s="880"/>
      <c r="AF638" s="880"/>
      <c r="AG638" s="880"/>
      <c r="AH638" s="881"/>
      <c r="AI638" s="880"/>
      <c r="AJ638" s="880"/>
      <c r="AK638" s="880"/>
      <c r="AL638" s="880"/>
      <c r="AM638" s="880"/>
      <c r="AN638" s="880"/>
      <c r="AO638" s="880"/>
      <c r="AP638" s="880"/>
      <c r="AQ638" s="880"/>
      <c r="AR638" s="880"/>
      <c r="AS638" s="880"/>
      <c r="AT638" s="880"/>
      <c r="AU638" s="880"/>
      <c r="AV638" s="880"/>
      <c r="AW638" s="880"/>
      <c r="AX638" s="880"/>
      <c r="AY638" s="880"/>
      <c r="AZ638" s="880"/>
      <c r="BA638" s="880"/>
      <c r="BB638" s="880"/>
      <c r="BC638" s="880"/>
      <c r="BD638" s="880"/>
      <c r="BE638" s="880"/>
      <c r="BF638" s="880"/>
      <c r="BG638" s="880"/>
      <c r="BH638" s="880"/>
      <c r="BI638" s="880"/>
      <c r="BJ638" s="880"/>
      <c r="BK638" s="880"/>
      <c r="BL638" s="880"/>
      <c r="BM638" s="880"/>
      <c r="BN638" s="880"/>
      <c r="BO638" s="880"/>
      <c r="BP638" s="880"/>
      <c r="BQ638" s="880"/>
      <c r="BR638" s="880"/>
      <c r="BS638" s="880"/>
      <c r="BT638" s="880"/>
    </row>
    <row r="639" spans="1:72" s="882" customFormat="1" ht="13" collapsed="1">
      <c r="A639" s="2899"/>
      <c r="B639" s="2900"/>
      <c r="C639" s="2907" t="s">
        <v>1863</v>
      </c>
      <c r="D639" s="2908"/>
      <c r="E639" s="1894">
        <v>0</v>
      </c>
      <c r="F639" s="1328">
        <f>IF(SETUP!$F$30="Upfront",F640,F641)</f>
        <v>0</v>
      </c>
      <c r="G639" s="1194">
        <f>IF(SETUP!$F$30="Upfront",G640,G641)</f>
        <v>0</v>
      </c>
      <c r="H639" s="1194">
        <f>IF(SETUP!$F$30="Upfront",H640,H641)</f>
        <v>0</v>
      </c>
      <c r="I639" s="1194">
        <f>IF(SETUP!$F$30="Upfront",I640,I641)</f>
        <v>0</v>
      </c>
      <c r="J639" s="1194">
        <f t="shared" si="88"/>
        <v>0</v>
      </c>
      <c r="K639" s="1328">
        <f>IF(SETUP!$F$30="Upfront",K640,K641)</f>
        <v>0</v>
      </c>
      <c r="L639" s="1194">
        <f>IF(SETUP!$F$30="Upfront",L640,L641)</f>
        <v>0</v>
      </c>
      <c r="M639" s="1194">
        <f>IF(SETUP!$F$30="Upfront",M640,M641)</f>
        <v>0</v>
      </c>
      <c r="N639" s="1194">
        <f>IF(SETUP!$F$30="Upfront",N640,N641)</f>
        <v>0</v>
      </c>
      <c r="O639" s="1194">
        <f t="shared" si="89"/>
        <v>0</v>
      </c>
      <c r="P639" s="1328">
        <f>IF(SETUP!$F$30="Upfront",P640,P641)</f>
        <v>0</v>
      </c>
      <c r="Q639" s="1194">
        <f>IF(SETUP!$F$30="Upfront",Q640,Q641)</f>
        <v>0</v>
      </c>
      <c r="R639" s="1194">
        <f>IF(SETUP!$F$30="Upfront",R640,R641)</f>
        <v>0</v>
      </c>
      <c r="S639" s="1194">
        <f>IF(SETUP!$F$30="Upfront",S640,S641)</f>
        <v>0</v>
      </c>
      <c r="T639" s="1194"/>
      <c r="U639" s="1328"/>
      <c r="V639" s="1826">
        <v>7.7</v>
      </c>
      <c r="W639" s="1837"/>
      <c r="X639" s="764"/>
      <c r="Y639" s="879"/>
      <c r="Z639" s="850"/>
      <c r="AA639" s="880"/>
      <c r="AB639" s="880"/>
      <c r="AC639" s="880"/>
      <c r="AD639" s="880"/>
      <c r="AE639" s="880"/>
      <c r="AF639" s="880"/>
      <c r="AG639" s="880"/>
      <c r="AH639" s="881"/>
      <c r="AI639" s="880"/>
      <c r="AJ639" s="880"/>
      <c r="AK639" s="880"/>
      <c r="AL639" s="880"/>
      <c r="AM639" s="880"/>
      <c r="AN639" s="880"/>
      <c r="AO639" s="880"/>
      <c r="AP639" s="880"/>
      <c r="AQ639" s="880"/>
      <c r="AR639" s="880"/>
      <c r="AS639" s="880"/>
      <c r="AT639" s="880"/>
      <c r="AU639" s="880"/>
      <c r="AV639" s="880"/>
      <c r="AW639" s="880"/>
      <c r="AX639" s="880"/>
      <c r="AY639" s="880"/>
      <c r="AZ639" s="880"/>
      <c r="BA639" s="880"/>
      <c r="BB639" s="880"/>
      <c r="BC639" s="880"/>
      <c r="BD639" s="880"/>
      <c r="BE639" s="880"/>
      <c r="BF639" s="880"/>
      <c r="BG639" s="880"/>
      <c r="BH639" s="880"/>
      <c r="BI639" s="880"/>
      <c r="BJ639" s="880"/>
      <c r="BK639" s="880"/>
      <c r="BL639" s="880"/>
      <c r="BM639" s="880"/>
      <c r="BN639" s="880"/>
      <c r="BO639" s="880"/>
      <c r="BP639" s="880"/>
      <c r="BQ639" s="880"/>
      <c r="BR639" s="880"/>
      <c r="BS639" s="880"/>
      <c r="BT639" s="880"/>
    </row>
    <row r="640" spans="1:72" s="882" customFormat="1" ht="16.149999999999999" hidden="1" customHeight="1" outlineLevel="1">
      <c r="A640" s="2899"/>
      <c r="B640" s="2900"/>
      <c r="C640" s="2889" t="s">
        <v>918</v>
      </c>
      <c r="D640" s="2890"/>
      <c r="E640" s="1880"/>
      <c r="F640" s="1328">
        <f>IF(SETUP!$F$30="Upfront",$E$639*'HIV-Other HPs'!AW17,0)</f>
        <v>0</v>
      </c>
      <c r="G640" s="1194">
        <f>IF(SETUP!$F$30="Upfront",$E$639*'HIV-Other HPs'!AX17,0)</f>
        <v>0</v>
      </c>
      <c r="H640" s="1194">
        <f>IF(SETUP!$F$30="Upfront",$E$639*'HIV-Other HPs'!AY17,0)</f>
        <v>0</v>
      </c>
      <c r="I640" s="1194">
        <f>IF(SETUP!$F$30="Upfront",$E$639*'HIV-Other HPs'!AZ17,0)</f>
        <v>0</v>
      </c>
      <c r="J640" s="1194"/>
      <c r="K640" s="1328">
        <f>IF(SETUP!$F$30="Upfront",$E$639*'HIV-Other HPs'!BA17,0)</f>
        <v>0</v>
      </c>
      <c r="L640" s="1194">
        <f>IF(SETUP!$F$30="Upfront",$E$639*'HIV-Other HPs'!BB17,0)</f>
        <v>0</v>
      </c>
      <c r="M640" s="1194">
        <f>IF(SETUP!$F$30="Upfront",$E$639*'HIV-Other HPs'!BC17,0)</f>
        <v>0</v>
      </c>
      <c r="N640" s="1194">
        <f>IF(SETUP!$F$30="Upfront",$E$639*'HIV-Other HPs'!BD17,0)</f>
        <v>0</v>
      </c>
      <c r="O640" s="1194"/>
      <c r="P640" s="1328">
        <f>IF(SETUP!$F$30="Upfront",$E$639*'HIV-Other HPs'!BE17,0)</f>
        <v>0</v>
      </c>
      <c r="Q640" s="1194">
        <f>IF(SETUP!$F$30="Upfront",$E$639*'HIV-Other HPs'!BF17,0)</f>
        <v>0</v>
      </c>
      <c r="R640" s="1194">
        <f>IF(SETUP!$F$30="Upfront",$E$639*'HIV-Other HPs'!BG17,0)</f>
        <v>0</v>
      </c>
      <c r="S640" s="1194">
        <f>IF(SETUP!$F$30="Upfront",$E$639*'HIV-Other HPs'!BH17,0)</f>
        <v>0</v>
      </c>
      <c r="T640" s="1194"/>
      <c r="U640" s="1328"/>
      <c r="V640" s="1826">
        <v>7.7</v>
      </c>
      <c r="W640" s="1837"/>
      <c r="X640" s="764"/>
      <c r="Y640" s="879"/>
      <c r="Z640" s="850"/>
      <c r="AA640" s="880"/>
      <c r="AB640" s="880"/>
      <c r="AC640" s="880"/>
      <c r="AD640" s="880"/>
      <c r="AE640" s="880"/>
      <c r="AF640" s="880"/>
      <c r="AG640" s="880"/>
      <c r="AH640" s="881"/>
      <c r="AI640" s="880"/>
      <c r="AJ640" s="880"/>
      <c r="AK640" s="880"/>
      <c r="AL640" s="880"/>
      <c r="AM640" s="880"/>
      <c r="AN640" s="880"/>
      <c r="AO640" s="880"/>
      <c r="AP640" s="880"/>
      <c r="AQ640" s="880"/>
      <c r="AR640" s="880"/>
      <c r="AS640" s="880"/>
      <c r="AT640" s="880"/>
      <c r="AU640" s="880"/>
      <c r="AV640" s="880"/>
      <c r="AW640" s="880"/>
      <c r="AX640" s="880"/>
      <c r="AY640" s="880"/>
      <c r="AZ640" s="880"/>
      <c r="BA640" s="880"/>
      <c r="BB640" s="880"/>
      <c r="BC640" s="880"/>
      <c r="BD640" s="880"/>
      <c r="BE640" s="880"/>
      <c r="BF640" s="880"/>
      <c r="BG640" s="880"/>
      <c r="BH640" s="880"/>
      <c r="BI640" s="880"/>
      <c r="BJ640" s="880"/>
      <c r="BK640" s="880"/>
      <c r="BL640" s="880"/>
      <c r="BM640" s="880"/>
      <c r="BN640" s="880"/>
      <c r="BO640" s="880"/>
      <c r="BP640" s="880"/>
      <c r="BQ640" s="880"/>
      <c r="BR640" s="880"/>
      <c r="BS640" s="880"/>
      <c r="BT640" s="880"/>
    </row>
    <row r="641" spans="1:72" s="882" customFormat="1" ht="16.149999999999999" hidden="1" customHeight="1" outlineLevel="1">
      <c r="A641" s="2899"/>
      <c r="B641" s="2900"/>
      <c r="C641" s="2889" t="s">
        <v>36</v>
      </c>
      <c r="D641" s="2890"/>
      <c r="E641" s="1880"/>
      <c r="F641" s="1328">
        <v>0</v>
      </c>
      <c r="G641" s="1194">
        <f>IF(SETUP!$F$30="At delivery",IF(SETUP!$G$30=1,$E$639*'HIV-Other HPs'!AW17,0),0)</f>
        <v>0</v>
      </c>
      <c r="H641" s="1194">
        <f>IF(SETUP!$F$30="At delivery",IF(SETUP!$G$30=2,$E$639*'HIV-Other HPs'!AW17,IF(SETUP!$G$30=1,$E$639*'HIV-Other HPs'!AX17,0)),0)</f>
        <v>0</v>
      </c>
      <c r="I641" s="1194">
        <f>IF(SETUP!$F$30="At delivery",IF(SETUP!$G$30=3,$E$639*'HIV-Other HPs'!AW17,IF(SETUP!$G$30=2,$E$639*'HIV-Other HPs'!AX17,IF(SETUP!$G$30=1,$E$639*'HIV-Other HPs'!AY17,0))),0)</f>
        <v>0</v>
      </c>
      <c r="J641" s="1194"/>
      <c r="K641" s="1328">
        <f>IF(SETUP!$F$30="At delivery",IF(SETUP!$G$30=4,$E$639*'HIV-Other HPs'!AW17,IF(SETUP!$G$30=3,$E$639*'HIV-Other HPs'!AX17,IF(SETUP!$G$30=2,$E$639*'HIV-Other HPs'!AY17,IF(SETUP!$G$30=1,$E$639*'HIV-Other HPs'!AZ17,0)))),0)</f>
        <v>0</v>
      </c>
      <c r="L641" s="1194">
        <f>IF(SETUP!$F$30="At delivery",IF(SETUP!$G$30=4,$E$639*'HIV-Other HPs'!AX17,IF(SETUP!$G$30=3,$E$639*'HIV-Other HPs'!AY17,IF(SETUP!$G$30=2,$E$639*'HIV-Other HPs'!AZ17,IF(SETUP!$G$30=1,$E$639*'HIV-Other HPs'!BA17,0)))),0)</f>
        <v>0</v>
      </c>
      <c r="M641" s="1194">
        <f>IF(SETUP!$F$30="At delivery",IF(SETUP!$G$30=4,$E$639*'HIV-Other HPs'!AY17,IF(SETUP!$G$30=3,$E$639*'HIV-Other HPs'!AZ17,IF(SETUP!$G$30=2,$E$639*'HIV-Other HPs'!BA17,IF(SETUP!$G$30=1,$E$639*'HIV-Other HPs'!BB17,0)))),0)</f>
        <v>0</v>
      </c>
      <c r="N641" s="1194">
        <f>IF(SETUP!$F$30="At delivery",IF(SETUP!$G$30=4,$E$639*'HIV-Other HPs'!AZ17,IF(SETUP!$G$30=3,$E$639*'HIV-Other HPs'!BA17,IF(SETUP!$G$30=2,$E$639*'HIV-Other HPs'!BB17,IF(SETUP!$G$30=1,$E$639*'HIV-Other HPs'!BC17,0)))),0)</f>
        <v>0</v>
      </c>
      <c r="O641" s="1194"/>
      <c r="P641" s="1328">
        <f>IF(SETUP!$F$30="At delivery",IF(SETUP!$G$30=4,$E$639*'HIV-Other HPs'!BA17,IF(SETUP!$G$30=3,$E$639*'HIV-Other HPs'!BB17,IF(SETUP!$G$30=2,$E$639*'HIV-Other HPs'!BC17,IF(SETUP!$G$30=1,$E$639*'HIV-Other HPs'!BD17,0)))),0)</f>
        <v>0</v>
      </c>
      <c r="Q641" s="1194">
        <f>IF(SETUP!$F$30="At delivery",IF(SETUP!$G$30=4,$E$639*'HIV-Other HPs'!BB17,IF(SETUP!$G$30=3,$E$639*'HIV-Other HPs'!BC17,IF(SETUP!$G$30=2,$E$639*'HIV-Other HPs'!BD17,IF(SETUP!$G$30=1,$E$639*'HIV-Other HPs'!BE17,0)))),0)</f>
        <v>0</v>
      </c>
      <c r="R641" s="1194">
        <f>IF(SETUP!$F$30="At delivery",IF(SETUP!$G$30=4,$E$639*'HIV-Other HPs'!BC17,IF(SETUP!$G$30=3,$E$639*'HIV-Other HPs'!BD17,IF(SETUP!$G$30=2,$E$639*'HIV-Other HPs'!BE17,IF(SETUP!$G$30=1,$E$639*'HIV-Other HPs'!BF17,0)))),0)</f>
        <v>0</v>
      </c>
      <c r="S641" s="1194">
        <f>IF(SETUP!$F$30="At delivery",IF(SETUP!$G$30=4,$E$639*('HIV-Other HPs'!BD17+'HIV-Other HPs'!BE17+'HIV-Other HPs'!BF17+'HIV-Other HPs'!BG17+'HIV-Other HPs'!BH17),IF(SETUP!$G$30=3,$E$639*('HIV-Other HPs'!BE17+'HIV-Other HPs'!BF17+'HIV-Other HPs'!BG17+'HIV-Other HPs'!BH17),IF(SETUP!$G$30=2,$E$639*('HIV-Other HPs'!BF17+'HIV-Other HPs'!BG17+'HIV-Other HPs'!BH17),IF(SETUP!$G$30=1,$E$639*('HIV-Other HPs'!BG17+'HIV-Other HPs'!BH17),0)))),0)</f>
        <v>0</v>
      </c>
      <c r="T641" s="1194"/>
      <c r="U641" s="1328"/>
      <c r="V641" s="1826">
        <v>7.7</v>
      </c>
      <c r="W641" s="1837"/>
      <c r="X641" s="764"/>
      <c r="Y641" s="879"/>
      <c r="Z641" s="850"/>
      <c r="AA641" s="880"/>
      <c r="AB641" s="880"/>
      <c r="AC641" s="880"/>
      <c r="AD641" s="880"/>
      <c r="AE641" s="880"/>
      <c r="AF641" s="880"/>
      <c r="AG641" s="880"/>
      <c r="AH641" s="881"/>
      <c r="AI641" s="880"/>
      <c r="AJ641" s="880"/>
      <c r="AK641" s="880"/>
      <c r="AL641" s="880"/>
      <c r="AM641" s="880"/>
      <c r="AN641" s="880"/>
      <c r="AO641" s="880"/>
      <c r="AP641" s="880"/>
      <c r="AQ641" s="880"/>
      <c r="AR641" s="880"/>
      <c r="AS641" s="880"/>
      <c r="AT641" s="880"/>
      <c r="AU641" s="880"/>
      <c r="AV641" s="880"/>
      <c r="AW641" s="880"/>
      <c r="AX641" s="880"/>
      <c r="AY641" s="880"/>
      <c r="AZ641" s="880"/>
      <c r="BA641" s="880"/>
      <c r="BB641" s="880"/>
      <c r="BC641" s="880"/>
      <c r="BD641" s="880"/>
      <c r="BE641" s="880"/>
      <c r="BF641" s="880"/>
      <c r="BG641" s="880"/>
      <c r="BH641" s="880"/>
      <c r="BI641" s="880"/>
      <c r="BJ641" s="880"/>
      <c r="BK641" s="880"/>
      <c r="BL641" s="880"/>
      <c r="BM641" s="880"/>
      <c r="BN641" s="880"/>
      <c r="BO641" s="880"/>
      <c r="BP641" s="880"/>
      <c r="BQ641" s="880"/>
      <c r="BR641" s="880"/>
      <c r="BS641" s="880"/>
      <c r="BT641" s="880"/>
    </row>
    <row r="642" spans="1:72" s="882" customFormat="1" ht="13" collapsed="1">
      <c r="A642" s="2899"/>
      <c r="B642" s="2900"/>
      <c r="C642" s="2907" t="s">
        <v>1794</v>
      </c>
      <c r="D642" s="2908"/>
      <c r="E642" s="1894">
        <v>0</v>
      </c>
      <c r="F642" s="1328">
        <f>IF(SETUP!$F$31="Upfront",F643,F644)</f>
        <v>0</v>
      </c>
      <c r="G642" s="1194">
        <f>IF(SETUP!$F$31="Upfront",G643,G644)</f>
        <v>0</v>
      </c>
      <c r="H642" s="1194">
        <f>IF(SETUP!$F$31="Upfront",H643,H644)</f>
        <v>0</v>
      </c>
      <c r="I642" s="1194">
        <f>IF(SETUP!$F$31="Upfront",I643,I644)</f>
        <v>0</v>
      </c>
      <c r="J642" s="1194">
        <f t="shared" ref="J642:J673" si="92">F642+G642+H642+I642</f>
        <v>0</v>
      </c>
      <c r="K642" s="1328">
        <f>IF(SETUP!$F$31="Upfront",K643,K644)</f>
        <v>0</v>
      </c>
      <c r="L642" s="1194">
        <f>IF(SETUP!$F$31="Upfront",L643,L644)</f>
        <v>0</v>
      </c>
      <c r="M642" s="1194">
        <f>IF(SETUP!$F$31="Upfront",M643,M644)</f>
        <v>0</v>
      </c>
      <c r="N642" s="1194">
        <f>IF(SETUP!$F$31="Upfront",N643,N644)</f>
        <v>0</v>
      </c>
      <c r="O642" s="1194">
        <f t="shared" ref="O642:O673" si="93">K642+L642+M642+N642</f>
        <v>0</v>
      </c>
      <c r="P642" s="1328">
        <f>IF(SETUP!$F$31="Upfront",P643,P644)</f>
        <v>0</v>
      </c>
      <c r="Q642" s="1194">
        <f>IF(SETUP!$F$31="Upfront",Q643,Q644)</f>
        <v>0</v>
      </c>
      <c r="R642" s="1194">
        <f>IF(SETUP!$F$31="Upfront",R643,R644)</f>
        <v>0</v>
      </c>
      <c r="S642" s="1194">
        <f>IF(SETUP!$F$31="Upfront",S643,S644)</f>
        <v>0</v>
      </c>
      <c r="T642" s="1194">
        <f t="shared" ref="T642:T673" si="94">P642+Q642+R642+S642</f>
        <v>0</v>
      </c>
      <c r="U642" s="1328">
        <f t="shared" ref="U642:U673" si="95">J642+O642+T642</f>
        <v>0</v>
      </c>
      <c r="V642" s="1826">
        <v>7.7</v>
      </c>
      <c r="W642" s="1837"/>
      <c r="X642" s="764"/>
      <c r="Y642" s="879"/>
      <c r="Z642" s="850"/>
      <c r="AA642" s="880"/>
      <c r="AB642" s="880"/>
      <c r="AC642" s="880"/>
      <c r="AD642" s="880"/>
      <c r="AE642" s="880"/>
      <c r="AF642" s="880"/>
      <c r="AG642" s="880"/>
      <c r="AH642" s="881"/>
      <c r="AI642" s="880"/>
      <c r="AJ642" s="880"/>
      <c r="AK642" s="880"/>
      <c r="AL642" s="880"/>
      <c r="AM642" s="880"/>
      <c r="AN642" s="880"/>
      <c r="AO642" s="880"/>
      <c r="AP642" s="880"/>
      <c r="AQ642" s="880"/>
      <c r="AR642" s="880"/>
      <c r="AS642" s="880"/>
      <c r="AT642" s="880"/>
      <c r="AU642" s="880"/>
      <c r="AV642" s="880"/>
      <c r="AW642" s="880"/>
      <c r="AX642" s="880"/>
      <c r="AY642" s="880"/>
      <c r="AZ642" s="880"/>
      <c r="BA642" s="880"/>
      <c r="BB642" s="880"/>
      <c r="BC642" s="880"/>
      <c r="BD642" s="880"/>
      <c r="BE642" s="880"/>
      <c r="BF642" s="880"/>
      <c r="BG642" s="880"/>
      <c r="BH642" s="880"/>
      <c r="BI642" s="880"/>
      <c r="BJ642" s="880"/>
      <c r="BK642" s="880"/>
      <c r="BL642" s="880"/>
      <c r="BM642" s="880"/>
      <c r="BN642" s="880"/>
      <c r="BO642" s="880"/>
      <c r="BP642" s="880"/>
      <c r="BQ642" s="880"/>
      <c r="BR642" s="880"/>
      <c r="BS642" s="880"/>
      <c r="BT642" s="880"/>
    </row>
    <row r="643" spans="1:72" s="882" customFormat="1" ht="16.149999999999999" hidden="1" customHeight="1" outlineLevel="1">
      <c r="A643" s="2899"/>
      <c r="B643" s="2900"/>
      <c r="C643" s="2889" t="s">
        <v>918</v>
      </c>
      <c r="D643" s="2890"/>
      <c r="E643" s="1880"/>
      <c r="F643" s="1328">
        <f>IF(SETUP!$F$31="Upfront",$E$642*'HIV-Other HPs'!AW18,0)</f>
        <v>0</v>
      </c>
      <c r="G643" s="1194">
        <f>IF(SETUP!$F$31="Upfront",$E$642*'HIV-Other HPs'!AX18,0)</f>
        <v>0</v>
      </c>
      <c r="H643" s="1194">
        <f>IF(SETUP!$F$31="Upfront",$E$642*'HIV-Other HPs'!AY18,0)</f>
        <v>0</v>
      </c>
      <c r="I643" s="1194">
        <f>IF(SETUP!$F$31="Upfront",$E$642*'HIV-Other HPs'!AZ18,0)</f>
        <v>0</v>
      </c>
      <c r="J643" s="1194">
        <f t="shared" si="92"/>
        <v>0</v>
      </c>
      <c r="K643" s="1328">
        <f>IF(SETUP!$F$31="Upfront",$E$642*'HIV-Other HPs'!BA18,0)</f>
        <v>0</v>
      </c>
      <c r="L643" s="1194">
        <f>IF(SETUP!$F$31="Upfront",$E$642*'HIV-Other HPs'!BB18,0)</f>
        <v>0</v>
      </c>
      <c r="M643" s="1194">
        <f>IF(SETUP!$F$31="Upfront",$E$642*'HIV-Other HPs'!BC18,0)</f>
        <v>0</v>
      </c>
      <c r="N643" s="1194">
        <f>IF(SETUP!$F$31="Upfront",$E$642*'HIV-Other HPs'!BD18,0)</f>
        <v>0</v>
      </c>
      <c r="O643" s="1194">
        <f t="shared" si="93"/>
        <v>0</v>
      </c>
      <c r="P643" s="1328">
        <f>IF(SETUP!$F$31="Upfront",$E$642*'HIV-Other HPs'!BE18,0)</f>
        <v>0</v>
      </c>
      <c r="Q643" s="1194">
        <f>IF(SETUP!$F$31="Upfront",$E$642*'HIV-Other HPs'!BF18,0)</f>
        <v>0</v>
      </c>
      <c r="R643" s="1194">
        <f>IF(SETUP!$F$31="Upfront",$E$642*'HIV-Other HPs'!BG18,0)</f>
        <v>0</v>
      </c>
      <c r="S643" s="1194">
        <f>IF(SETUP!$F$31="Upfront",$E$642*'HIV-Other HPs'!BH18,0)</f>
        <v>0</v>
      </c>
      <c r="T643" s="1194">
        <f t="shared" si="94"/>
        <v>0</v>
      </c>
      <c r="U643" s="1328">
        <f t="shared" si="95"/>
        <v>0</v>
      </c>
      <c r="V643" s="1826">
        <v>7.7</v>
      </c>
      <c r="W643" s="1837"/>
      <c r="X643" s="764"/>
      <c r="Y643" s="879"/>
      <c r="Z643" s="850"/>
      <c r="AA643" s="880"/>
      <c r="AB643" s="880"/>
      <c r="AC643" s="880"/>
      <c r="AD643" s="880"/>
      <c r="AE643" s="880"/>
      <c r="AF643" s="880"/>
      <c r="AG643" s="880"/>
      <c r="AH643" s="881"/>
      <c r="AI643" s="880"/>
      <c r="AJ643" s="880"/>
      <c r="AK643" s="880"/>
      <c r="AL643" s="880"/>
      <c r="AM643" s="880"/>
      <c r="AN643" s="880"/>
      <c r="AO643" s="880"/>
      <c r="AP643" s="880"/>
      <c r="AQ643" s="880"/>
      <c r="AR643" s="880"/>
      <c r="AS643" s="880"/>
      <c r="AT643" s="880"/>
      <c r="AU643" s="880"/>
      <c r="AV643" s="880"/>
      <c r="AW643" s="880"/>
      <c r="AX643" s="880"/>
      <c r="AY643" s="880"/>
      <c r="AZ643" s="880"/>
      <c r="BA643" s="880"/>
      <c r="BB643" s="880"/>
      <c r="BC643" s="880"/>
      <c r="BD643" s="880"/>
      <c r="BE643" s="880"/>
      <c r="BF643" s="880"/>
      <c r="BG643" s="880"/>
      <c r="BH643" s="880"/>
      <c r="BI643" s="880"/>
      <c r="BJ643" s="880"/>
      <c r="BK643" s="880"/>
      <c r="BL643" s="880"/>
      <c r="BM643" s="880"/>
      <c r="BN643" s="880"/>
      <c r="BO643" s="880"/>
      <c r="BP643" s="880"/>
      <c r="BQ643" s="880"/>
      <c r="BR643" s="880"/>
      <c r="BS643" s="880"/>
      <c r="BT643" s="880"/>
    </row>
    <row r="644" spans="1:72" s="882" customFormat="1" ht="16.149999999999999" hidden="1" customHeight="1" outlineLevel="1">
      <c r="A644" s="2899"/>
      <c r="B644" s="2900"/>
      <c r="C644" s="2889" t="s">
        <v>36</v>
      </c>
      <c r="D644" s="2890"/>
      <c r="E644" s="1895"/>
      <c r="F644" s="1328">
        <v>0</v>
      </c>
      <c r="G644" s="1194">
        <f>IF(SETUP!$F$31="At delivery",IF(SETUP!$G$31=1,$E$642*'HIV-Other HPs'!AW18,0),0)</f>
        <v>0</v>
      </c>
      <c r="H644" s="1194">
        <f>IF(SETUP!$F$31="At delivery",IF(SETUP!$G$31=2,$E$642*'HIV-Other HPs'!AW18,IF(SETUP!$G$31=1,$E$642*'HIV-Other HPs'!AX18,0)),0)</f>
        <v>0</v>
      </c>
      <c r="I644" s="1194">
        <f>IF(SETUP!$F$31="At delivery",IF(SETUP!$G$31=3,$E$642*'HIV-Other HPs'!AW18,IF(SETUP!$G$31=2,$E$642*'HIV-Other HPs'!AX18,IF(SETUP!$G$31=1,$E$642*'HIV-Other HPs'!AY18,0))),0)</f>
        <v>0</v>
      </c>
      <c r="J644" s="1194">
        <f t="shared" si="92"/>
        <v>0</v>
      </c>
      <c r="K644" s="1328">
        <f>IF(SETUP!$F$31="At delivery",IF(SETUP!$G$31=4,$E$642*'HIV-Other HPs'!AW18,IF(SETUP!$G$31=3,$E$642*'HIV-Other HPs'!AX18,IF(SETUP!$G$31=2,$E$642*'HIV-Other HPs'!AY18,IF(SETUP!$G$31=1,$E$642*'HIV-Other HPs'!AZ18,0)))),0)</f>
        <v>0</v>
      </c>
      <c r="L644" s="1194">
        <f>IF(SETUP!$F$31="At delivery",IF(SETUP!$G$31=4,$E$642*'HIV-Other HPs'!AX18,IF(SETUP!$G$31=3,$E$642*'HIV-Other HPs'!AY18,IF(SETUP!$G$31=2,$E$642*'HIV-Other HPs'!AZ18,IF(SETUP!$G$31=1,$E$642*'HIV-Other HPs'!BA18,0)))),0)</f>
        <v>0</v>
      </c>
      <c r="M644" s="1194">
        <f>IF(SETUP!$F$31="At delivery",IF(SETUP!$G$31=4,$E$642*'HIV-Other HPs'!AY18,IF(SETUP!$G$31=3,$E$642*'HIV-Other HPs'!AZ18,IF(SETUP!$G$31=2,$E$642*'HIV-Other HPs'!BA18,IF(SETUP!$G$31=1,$E$642*'HIV-Other HPs'!BB18,0)))),0)</f>
        <v>0</v>
      </c>
      <c r="N644" s="1194">
        <f>IF(SETUP!$F$31="At delivery",IF(SETUP!$G$31=4,$E$642*'HIV-Other HPs'!AZ18,IF(SETUP!$G$31=3,$E$642*'HIV-Other HPs'!BA18,IF(SETUP!$G$31=2,$E$642*'HIV-Other HPs'!BB18,IF(SETUP!$G$31=1,$E$642*'HIV-Other HPs'!BC18,0)))),0)</f>
        <v>0</v>
      </c>
      <c r="O644" s="1194">
        <f t="shared" si="93"/>
        <v>0</v>
      </c>
      <c r="P644" s="1328">
        <f>IF(SETUP!$F$31="At delivery",IF(SETUP!$G$31=4,$E$642*'HIV-Other HPs'!BA18,IF(SETUP!$G$31=3,$E$642*'HIV-Other HPs'!BB18,IF(SETUP!$G$31=2,$E$642*'HIV-Other HPs'!BC18,IF(SETUP!$G$31=1,$E$642*'HIV-Other HPs'!BD18,0)))),0)</f>
        <v>0</v>
      </c>
      <c r="Q644" s="1194">
        <f>IF(SETUP!$F$31="At delivery",IF(SETUP!$G$31=4,$E$642*'HIV-Other HPs'!BB18,IF(SETUP!$G$31=3,$E$642*'HIV-Other HPs'!BC18,IF(SETUP!$G$31=2,$E$642*'HIV-Other HPs'!BD18,IF(SETUP!$G$31=1,$E$642*'HIV-Other HPs'!BE18,0)))),0)</f>
        <v>0</v>
      </c>
      <c r="R644" s="1194">
        <f>IF(SETUP!$F$31="At delivery",IF(SETUP!$G$31=4,$E$642*'HIV-Other HPs'!BC18,IF(SETUP!$G$31=3,$E$642*'HIV-Other HPs'!BD18,IF(SETUP!$G$31=2,$E$642*'HIV-Other HPs'!BE18,IF(SETUP!$G$31=1,$E$642*'HIV-Other HPs'!BF18,0)))),0)</f>
        <v>0</v>
      </c>
      <c r="S644" s="1194">
        <f>IF(SETUP!$F$31="At delivery",IF(SETUP!$G$31=4,$E$642*('HIV-Other HPs'!BD18+'HIV-Other HPs'!BE18+'HIV-Other HPs'!BF18+'HIV-Other HPs'!BG18+'HIV-Other HPs'!BH18),IF(SETUP!$G$31=3,$E$642*('HIV-Other HPs'!BE18+'HIV-Other HPs'!BF18+'HIV-Other HPs'!BG18+'HIV-Other HPs'!BH18),IF(SETUP!$G$31=2,$E$642*('HIV-Other HPs'!BF18+'HIV-Other HPs'!BG18+'HIV-Other HPs'!BH18),IF(SETUP!$G$31=1,$E$642*('HIV-Other HPs'!BG18+'HIV-Other HPs'!BH18),0)))),0)</f>
        <v>0</v>
      </c>
      <c r="T644" s="1194">
        <f t="shared" si="94"/>
        <v>0</v>
      </c>
      <c r="U644" s="1328">
        <f t="shared" si="95"/>
        <v>0</v>
      </c>
      <c r="V644" s="1826">
        <v>7.7</v>
      </c>
      <c r="W644" s="1837"/>
      <c r="X644" s="764"/>
      <c r="Y644" s="879"/>
      <c r="Z644" s="850"/>
      <c r="AA644" s="880"/>
      <c r="AB644" s="880"/>
      <c r="AC644" s="880"/>
      <c r="AD644" s="880"/>
      <c r="AE644" s="880"/>
      <c r="AF644" s="880"/>
      <c r="AG644" s="880"/>
      <c r="AH644" s="881"/>
      <c r="AI644" s="880"/>
      <c r="AJ644" s="880"/>
      <c r="AK644" s="880"/>
      <c r="AL644" s="880"/>
      <c r="AM644" s="880"/>
      <c r="AN644" s="880"/>
      <c r="AO644" s="880"/>
      <c r="AP644" s="880"/>
      <c r="AQ644" s="880"/>
      <c r="AR644" s="880"/>
      <c r="AS644" s="880"/>
      <c r="AT644" s="880"/>
      <c r="AU644" s="880"/>
      <c r="AV644" s="880"/>
      <c r="AW644" s="880"/>
      <c r="AX644" s="880"/>
      <c r="AY644" s="880"/>
      <c r="AZ644" s="880"/>
      <c r="BA644" s="880"/>
      <c r="BB644" s="880"/>
      <c r="BC644" s="880"/>
      <c r="BD644" s="880"/>
      <c r="BE644" s="880"/>
      <c r="BF644" s="880"/>
      <c r="BG644" s="880"/>
      <c r="BH644" s="880"/>
      <c r="BI644" s="880"/>
      <c r="BJ644" s="880"/>
      <c r="BK644" s="880"/>
      <c r="BL644" s="880"/>
      <c r="BM644" s="880"/>
      <c r="BN644" s="880"/>
      <c r="BO644" s="880"/>
      <c r="BP644" s="880"/>
      <c r="BQ644" s="880"/>
      <c r="BR644" s="880"/>
      <c r="BS644" s="880"/>
      <c r="BT644" s="880"/>
    </row>
    <row r="645" spans="1:72" s="882" customFormat="1" ht="13" collapsed="1">
      <c r="A645" s="2899"/>
      <c r="B645" s="2900"/>
      <c r="C645" s="2907" t="s">
        <v>568</v>
      </c>
      <c r="D645" s="2908"/>
      <c r="E645" s="1894">
        <v>0</v>
      </c>
      <c r="F645" s="1328">
        <f>IF(SETUP!$F$32="Upfront",F646,F647)</f>
        <v>0</v>
      </c>
      <c r="G645" s="1194">
        <f>IF(SETUP!$F$32="Upfront",G646,G647)</f>
        <v>0</v>
      </c>
      <c r="H645" s="1194">
        <f>IF(SETUP!$F$32="Upfront",H646,H647)</f>
        <v>0</v>
      </c>
      <c r="I645" s="1194">
        <f>IF(SETUP!$F$32="Upfront",I646,I647)</f>
        <v>0</v>
      </c>
      <c r="J645" s="1194">
        <f t="shared" si="92"/>
        <v>0</v>
      </c>
      <c r="K645" s="1328">
        <f>IF(SETUP!$F$32="Upfront",K646,K647)</f>
        <v>0</v>
      </c>
      <c r="L645" s="1194">
        <f>IF(SETUP!$F$32="Upfront",L646,L647)</f>
        <v>0</v>
      </c>
      <c r="M645" s="1194">
        <f>IF(SETUP!$F$32="Upfront",M646,M647)</f>
        <v>0</v>
      </c>
      <c r="N645" s="1194">
        <f>IF(SETUP!$F$32="Upfront",N646,N647)</f>
        <v>0</v>
      </c>
      <c r="O645" s="1194">
        <f t="shared" si="93"/>
        <v>0</v>
      </c>
      <c r="P645" s="1328">
        <f>IF(SETUP!$F$32="Upfront",P646,P647)</f>
        <v>0</v>
      </c>
      <c r="Q645" s="1194">
        <f>IF(SETUP!$F$32="Upfront",Q646,Q647)</f>
        <v>0</v>
      </c>
      <c r="R645" s="1194">
        <f>IF(SETUP!$F$32="Upfront",R646,R647)</f>
        <v>0</v>
      </c>
      <c r="S645" s="1194">
        <f>IF(SETUP!$F$32="Upfront",S646,S647)</f>
        <v>0</v>
      </c>
      <c r="T645" s="1194">
        <f t="shared" si="94"/>
        <v>0</v>
      </c>
      <c r="U645" s="1328">
        <f t="shared" si="95"/>
        <v>0</v>
      </c>
      <c r="V645" s="1826">
        <v>7.7</v>
      </c>
      <c r="W645" s="1837"/>
      <c r="X645" s="764"/>
      <c r="Y645" s="879"/>
      <c r="Z645" s="850"/>
      <c r="AA645" s="880"/>
      <c r="AB645" s="880"/>
      <c r="AC645" s="880"/>
      <c r="AD645" s="880"/>
      <c r="AE645" s="880"/>
      <c r="AF645" s="880"/>
      <c r="AG645" s="880"/>
      <c r="AH645" s="881"/>
      <c r="AI645" s="880"/>
      <c r="AJ645" s="880"/>
      <c r="AK645" s="880"/>
      <c r="AL645" s="880"/>
      <c r="AM645" s="880"/>
      <c r="AN645" s="880"/>
      <c r="AO645" s="880"/>
      <c r="AP645" s="880"/>
      <c r="AQ645" s="880"/>
      <c r="AR645" s="880"/>
      <c r="AS645" s="880"/>
      <c r="AT645" s="880"/>
      <c r="AU645" s="880"/>
      <c r="AV645" s="880"/>
      <c r="AW645" s="880"/>
      <c r="AX645" s="880"/>
      <c r="AY645" s="880"/>
      <c r="AZ645" s="880"/>
      <c r="BA645" s="880"/>
      <c r="BB645" s="880"/>
      <c r="BC645" s="880"/>
      <c r="BD645" s="880"/>
      <c r="BE645" s="880"/>
      <c r="BF645" s="880"/>
      <c r="BG645" s="880"/>
      <c r="BH645" s="880"/>
      <c r="BI645" s="880"/>
      <c r="BJ645" s="880"/>
      <c r="BK645" s="880"/>
      <c r="BL645" s="880"/>
      <c r="BM645" s="880"/>
      <c r="BN645" s="880"/>
      <c r="BO645" s="880"/>
      <c r="BP645" s="880"/>
      <c r="BQ645" s="880"/>
      <c r="BR645" s="880"/>
      <c r="BS645" s="880"/>
      <c r="BT645" s="880"/>
    </row>
    <row r="646" spans="1:72" s="882" customFormat="1" ht="16.149999999999999" hidden="1" customHeight="1" outlineLevel="1">
      <c r="A646" s="2899"/>
      <c r="B646" s="2900"/>
      <c r="C646" s="2889" t="s">
        <v>918</v>
      </c>
      <c r="D646" s="2890"/>
      <c r="E646" s="1880"/>
      <c r="F646" s="1328">
        <f>IF(SETUP!$F$32="Upfront",$E$645*'HIV-Other HPs'!AW19,0)</f>
        <v>0</v>
      </c>
      <c r="G646" s="1194">
        <f>IF(SETUP!$F$32="Upfront",$E$645*'HIV-Other HPs'!AX19,0)</f>
        <v>0</v>
      </c>
      <c r="H646" s="1194">
        <f>IF(SETUP!$F$32="Upfront",$E$645*'HIV-Other HPs'!AY19,0)</f>
        <v>0</v>
      </c>
      <c r="I646" s="1194">
        <f>IF(SETUP!$F$32="Upfront",$E$645*'HIV-Other HPs'!AZ19,0)</f>
        <v>0</v>
      </c>
      <c r="J646" s="1194">
        <f t="shared" si="92"/>
        <v>0</v>
      </c>
      <c r="K646" s="1328">
        <f>IF(SETUP!$F$32="Upfront",$E$645*'HIV-Other HPs'!BA19,0)</f>
        <v>0</v>
      </c>
      <c r="L646" s="1194">
        <f>IF(SETUP!$F$32="Upfront",$E$645*'HIV-Other HPs'!BB19,0)</f>
        <v>0</v>
      </c>
      <c r="M646" s="1194">
        <f>IF(SETUP!$F$32="Upfront",$E$645*'HIV-Other HPs'!BC19,0)</f>
        <v>0</v>
      </c>
      <c r="N646" s="1194">
        <f>IF(SETUP!$F$32="Upfront",$E$645*'HIV-Other HPs'!BD19,0)</f>
        <v>0</v>
      </c>
      <c r="O646" s="1194">
        <f t="shared" si="93"/>
        <v>0</v>
      </c>
      <c r="P646" s="1328">
        <f>IF(SETUP!$F$32="Upfront",$E$645*'HIV-Other HPs'!BE19,0)</f>
        <v>0</v>
      </c>
      <c r="Q646" s="1194">
        <f>IF(SETUP!$F$32="Upfront",$E$645*'HIV-Other HPs'!BF19,0)</f>
        <v>0</v>
      </c>
      <c r="R646" s="1194">
        <f>IF(SETUP!$F$32="Upfront",$E$645*'HIV-Other HPs'!BG19,0)</f>
        <v>0</v>
      </c>
      <c r="S646" s="1194">
        <f>IF(SETUP!$F$32="Upfront",$E$645*'HIV-Other HPs'!BH19,0)</f>
        <v>0</v>
      </c>
      <c r="T646" s="1194">
        <f t="shared" si="94"/>
        <v>0</v>
      </c>
      <c r="U646" s="1328">
        <f t="shared" si="95"/>
        <v>0</v>
      </c>
      <c r="V646" s="1826">
        <v>7.7</v>
      </c>
      <c r="W646" s="1837"/>
      <c r="X646" s="764"/>
      <c r="Y646" s="879"/>
      <c r="Z646" s="850"/>
      <c r="AA646" s="880"/>
      <c r="AB646" s="880"/>
      <c r="AC646" s="880"/>
      <c r="AD646" s="880"/>
      <c r="AE646" s="880"/>
      <c r="AF646" s="880"/>
      <c r="AG646" s="880"/>
      <c r="AH646" s="881"/>
      <c r="AI646" s="880"/>
      <c r="AJ646" s="880"/>
      <c r="AK646" s="880"/>
      <c r="AL646" s="880"/>
      <c r="AM646" s="880"/>
      <c r="AN646" s="880"/>
      <c r="AO646" s="880"/>
      <c r="AP646" s="880"/>
      <c r="AQ646" s="880"/>
      <c r="AR646" s="880"/>
      <c r="AS646" s="880"/>
      <c r="AT646" s="880"/>
      <c r="AU646" s="880"/>
      <c r="AV646" s="880"/>
      <c r="AW646" s="880"/>
      <c r="AX646" s="880"/>
      <c r="AY646" s="880"/>
      <c r="AZ646" s="880"/>
      <c r="BA646" s="880"/>
      <c r="BB646" s="880"/>
      <c r="BC646" s="880"/>
      <c r="BD646" s="880"/>
      <c r="BE646" s="880"/>
      <c r="BF646" s="880"/>
      <c r="BG646" s="880"/>
      <c r="BH646" s="880"/>
      <c r="BI646" s="880"/>
      <c r="BJ646" s="880"/>
      <c r="BK646" s="880"/>
      <c r="BL646" s="880"/>
      <c r="BM646" s="880"/>
      <c r="BN646" s="880"/>
      <c r="BO646" s="880"/>
      <c r="BP646" s="880"/>
      <c r="BQ646" s="880"/>
      <c r="BR646" s="880"/>
      <c r="BS646" s="880"/>
      <c r="BT646" s="880"/>
    </row>
    <row r="647" spans="1:72" s="882" customFormat="1" ht="16.149999999999999" hidden="1" customHeight="1" outlineLevel="1">
      <c r="A647" s="2899"/>
      <c r="B647" s="2900"/>
      <c r="C647" s="2889" t="s">
        <v>36</v>
      </c>
      <c r="D647" s="2890"/>
      <c r="E647" s="1880"/>
      <c r="F647" s="1328">
        <v>0</v>
      </c>
      <c r="G647" s="1194">
        <f>IF(SETUP!$F$32="At delivery",IF(SETUP!$G$32=1,$E$645*'HIV-Other HPs'!AW19,0),0)</f>
        <v>0</v>
      </c>
      <c r="H647" s="1194">
        <f>IF(SETUP!$F$32="At delivery",IF(SETUP!$G$32=2,$E$645*'HIV-Other HPs'!AW19,IF(SETUP!$G$32=1,$E$645*'HIV-Other HPs'!AX19,0)),0)</f>
        <v>0</v>
      </c>
      <c r="I647" s="1194">
        <f>IF(SETUP!$F$32="At delivery",IF(SETUP!$G$32=3,$E$645*'HIV-Other HPs'!AW19,IF(SETUP!$G$32=2,$E$645*'HIV-Other HPs'!AX19,IF(SETUP!$G$32=1,$E$645*'HIV-Other HPs'!AY19,0))),0)</f>
        <v>0</v>
      </c>
      <c r="J647" s="1194">
        <f t="shared" si="92"/>
        <v>0</v>
      </c>
      <c r="K647" s="1328">
        <f>IF(SETUP!$F$32="At delivery",IF(SETUP!$G$32=4,$E$645*'HIV-Other HPs'!AW19,IF(SETUP!$G$32=3,$E$645*'HIV-Other HPs'!AX19,IF(SETUP!$G$32=2,$E$645*'HIV-Other HPs'!AY19,IF(SETUP!$G$32=1,$E$645*'HIV-Other HPs'!AZ19,0)))),0)</f>
        <v>0</v>
      </c>
      <c r="L647" s="1194">
        <f>IF(SETUP!$F$32="At delivery",IF(SETUP!$G$32=4,$E$645*'HIV-Other HPs'!AX19,IF(SETUP!$G$32=3,$E$645*'HIV-Other HPs'!AY19,IF(SETUP!$G$32=2,$E$645*'HIV-Other HPs'!AZ19,IF(SETUP!$G$32=1,$E$645*'HIV-Other HPs'!BA19,0)))),0)</f>
        <v>0</v>
      </c>
      <c r="M647" s="1194">
        <f>IF(SETUP!$F$32="At delivery",IF(SETUP!$G$32=4,$E$645*'HIV-Other HPs'!AY19,IF(SETUP!$G$32=3,$E$645*'HIV-Other HPs'!AZ19,IF(SETUP!$G$32=2,$E$645*'HIV-Other HPs'!BA19,IF(SETUP!$G$32=1,$E$645*'HIV-Other HPs'!BB19,0)))),0)</f>
        <v>0</v>
      </c>
      <c r="N647" s="1194">
        <f>IF(SETUP!$F$32="At delivery",IF(SETUP!$G$32=4,$E$645*'HIV-Other HPs'!AZ19,IF(SETUP!$G$32=3,$E$645*'HIV-Other HPs'!BA19,IF(SETUP!$G$32=2,$E$645*'HIV-Other HPs'!BB19,IF(SETUP!$G$32=1,$E$645*'HIV-Other HPs'!BC19,0)))),0)</f>
        <v>0</v>
      </c>
      <c r="O647" s="1194">
        <f t="shared" si="93"/>
        <v>0</v>
      </c>
      <c r="P647" s="1328">
        <f>IF(SETUP!$F$32="At delivery",IF(SETUP!$G$32=4,$E$645*'HIV-Other HPs'!BA19,IF(SETUP!$G$32=3,$E$645*'HIV-Other HPs'!BB19,IF(SETUP!$G$32=2,$E$645*'HIV-Other HPs'!BC19,IF(SETUP!$G$32=1,$E$645*'HIV-Other HPs'!BD19,0)))),0)</f>
        <v>0</v>
      </c>
      <c r="Q647" s="1194">
        <f>IF(SETUP!$F$32="At delivery",IF(SETUP!$G$32=4,$E$645*'HIV-Other HPs'!BB19,IF(SETUP!$G$32=3,$E$645*'HIV-Other HPs'!BC19,IF(SETUP!$G$32=2,$E$645*'HIV-Other HPs'!BD19,IF(SETUP!$G$32=1,$E$645*'HIV-Other HPs'!BE19,0)))),0)</f>
        <v>0</v>
      </c>
      <c r="R647" s="1194">
        <f>IF(SETUP!$F$32="At delivery",IF(SETUP!$G$32=4,$E$645*'HIV-Other HPs'!BC19,IF(SETUP!$G$32=3,$E$645*'HIV-Other HPs'!BD19,IF(SETUP!$G$32=2,$E$645*'HIV-Other HPs'!BE19,IF(SETUP!$G$32=1,$E$645*'HIV-Other HPs'!BF19,0)))),0)</f>
        <v>0</v>
      </c>
      <c r="S647" s="1194">
        <f>IF(SETUP!$F$32="At delivery",IF(SETUP!$G$32=4,$E$645*('HIV-Other HPs'!BD19+'HIV-Other HPs'!BE19+'HIV-Other HPs'!BF19+'HIV-Other HPs'!BG19+'HIV-Other HPs'!BH19),IF(SETUP!$G$32=3,$E$645*('HIV-Other HPs'!BE19+'HIV-Other HPs'!BF19+'HIV-Other HPs'!BG19+'HIV-Other HPs'!BH19),IF(SETUP!$G$32=2,$E$645*('HIV-Other HPs'!BF19+'HIV-Other HPs'!BG19+'HIV-Other HPs'!BH19),IF(SETUP!$G$32=1,$E$645*('HIV-Other HPs'!BG19+'HIV-Other HPs'!BH19),0)))),0)</f>
        <v>0</v>
      </c>
      <c r="T647" s="1194">
        <f t="shared" si="94"/>
        <v>0</v>
      </c>
      <c r="U647" s="1328">
        <f t="shared" si="95"/>
        <v>0</v>
      </c>
      <c r="V647" s="1826">
        <v>7.7</v>
      </c>
      <c r="W647" s="1837"/>
      <c r="X647" s="764"/>
      <c r="Y647" s="879"/>
      <c r="Z647" s="850"/>
      <c r="AA647" s="880"/>
      <c r="AB647" s="880"/>
      <c r="AC647" s="880"/>
      <c r="AD647" s="880"/>
      <c r="AE647" s="880"/>
      <c r="AF647" s="880"/>
      <c r="AG647" s="880"/>
      <c r="AH647" s="881"/>
      <c r="AI647" s="880"/>
      <c r="AJ647" s="880"/>
      <c r="AK647" s="880"/>
      <c r="AL647" s="880"/>
      <c r="AM647" s="880"/>
      <c r="AN647" s="880"/>
      <c r="AO647" s="880"/>
      <c r="AP647" s="880"/>
      <c r="AQ647" s="880"/>
      <c r="AR647" s="880"/>
      <c r="AS647" s="880"/>
      <c r="AT647" s="880"/>
      <c r="AU647" s="880"/>
      <c r="AV647" s="880"/>
      <c r="AW647" s="880"/>
      <c r="AX647" s="880"/>
      <c r="AY647" s="880"/>
      <c r="AZ647" s="880"/>
      <c r="BA647" s="880"/>
      <c r="BB647" s="880"/>
      <c r="BC647" s="880"/>
      <c r="BD647" s="880"/>
      <c r="BE647" s="880"/>
      <c r="BF647" s="880"/>
      <c r="BG647" s="880"/>
      <c r="BH647" s="880"/>
      <c r="BI647" s="880"/>
      <c r="BJ647" s="880"/>
      <c r="BK647" s="880"/>
      <c r="BL647" s="880"/>
      <c r="BM647" s="880"/>
      <c r="BN647" s="880"/>
      <c r="BO647" s="880"/>
      <c r="BP647" s="880"/>
      <c r="BQ647" s="880"/>
      <c r="BR647" s="880"/>
      <c r="BS647" s="880"/>
      <c r="BT647" s="880"/>
    </row>
    <row r="648" spans="1:72" s="882" customFormat="1" ht="13.5" collapsed="1" thickBot="1">
      <c r="A648" s="2899"/>
      <c r="B648" s="2900"/>
      <c r="C648" s="2973" t="s">
        <v>1795</v>
      </c>
      <c r="D648" s="2974"/>
      <c r="E648" s="1894">
        <v>0</v>
      </c>
      <c r="F648" s="1328">
        <f>IF(SETUP!$F$33="Upfront",F649,F650)</f>
        <v>0</v>
      </c>
      <c r="G648" s="1194">
        <f>IF(SETUP!$F$33="Upfront",G649,G650)</f>
        <v>0</v>
      </c>
      <c r="H648" s="1194">
        <f>IF(SETUP!$F$33="Upfront",H649,H650)</f>
        <v>0</v>
      </c>
      <c r="I648" s="1194">
        <f>IF(SETUP!$F$33="Upfront",I649,I650)</f>
        <v>0</v>
      </c>
      <c r="J648" s="1194">
        <f t="shared" si="92"/>
        <v>0</v>
      </c>
      <c r="K648" s="1328">
        <f>IF(SETUP!$F$33="Upfront",K649,K650)</f>
        <v>0</v>
      </c>
      <c r="L648" s="1194">
        <f>IF(SETUP!$F$33="Upfront",L649,L650)</f>
        <v>0</v>
      </c>
      <c r="M648" s="1194">
        <f>IF(SETUP!$F$33="Upfront",M649,M650)</f>
        <v>0</v>
      </c>
      <c r="N648" s="1194">
        <f>IF(SETUP!$F$33="Upfront",N649,N650)</f>
        <v>0</v>
      </c>
      <c r="O648" s="1194">
        <f t="shared" si="93"/>
        <v>0</v>
      </c>
      <c r="P648" s="1328">
        <f>IF(SETUP!$F$33="Upfront",P649,P650)</f>
        <v>0</v>
      </c>
      <c r="Q648" s="1194">
        <f>IF(SETUP!$F$33="Upfront",Q649,Q650)</f>
        <v>0</v>
      </c>
      <c r="R648" s="1194">
        <f>IF(SETUP!$F$33="Upfront",R649,R650)</f>
        <v>0</v>
      </c>
      <c r="S648" s="1194">
        <f>IF(SETUP!$F$33="Upfront",S649,S650)</f>
        <v>0</v>
      </c>
      <c r="T648" s="1194">
        <f t="shared" si="94"/>
        <v>0</v>
      </c>
      <c r="U648" s="1328">
        <f t="shared" si="95"/>
        <v>0</v>
      </c>
      <c r="V648" s="1826">
        <v>7.7</v>
      </c>
      <c r="W648" s="1837"/>
      <c r="X648" s="764"/>
      <c r="Y648" s="879"/>
      <c r="Z648" s="850"/>
      <c r="AA648" s="880"/>
      <c r="AB648" s="880"/>
      <c r="AC648" s="880"/>
      <c r="AD648" s="880"/>
      <c r="AE648" s="880"/>
      <c r="AF648" s="880"/>
      <c r="AG648" s="880"/>
      <c r="AH648" s="881"/>
      <c r="AI648" s="880"/>
      <c r="AJ648" s="880"/>
      <c r="AK648" s="880"/>
      <c r="AL648" s="880"/>
      <c r="AM648" s="880"/>
      <c r="AN648" s="880"/>
      <c r="AO648" s="880"/>
      <c r="AP648" s="880"/>
      <c r="AQ648" s="880"/>
      <c r="AR648" s="880"/>
      <c r="AS648" s="880"/>
      <c r="AT648" s="880"/>
      <c r="AU648" s="880"/>
      <c r="AV648" s="880"/>
      <c r="AW648" s="880"/>
      <c r="AX648" s="880"/>
      <c r="AY648" s="880"/>
      <c r="AZ648" s="880"/>
      <c r="BA648" s="880"/>
      <c r="BB648" s="880"/>
      <c r="BC648" s="880"/>
      <c r="BD648" s="880"/>
      <c r="BE648" s="880"/>
      <c r="BF648" s="880"/>
      <c r="BG648" s="880"/>
      <c r="BH648" s="880"/>
      <c r="BI648" s="880"/>
      <c r="BJ648" s="880"/>
      <c r="BK648" s="880"/>
      <c r="BL648" s="880"/>
      <c r="BM648" s="880"/>
      <c r="BN648" s="880"/>
      <c r="BO648" s="880"/>
      <c r="BP648" s="880"/>
      <c r="BQ648" s="880"/>
      <c r="BR648" s="880"/>
      <c r="BS648" s="880"/>
      <c r="BT648" s="880"/>
    </row>
    <row r="649" spans="1:72" s="882" customFormat="1" ht="12.75" hidden="1" customHeight="1" outlineLevel="1">
      <c r="A649" s="2899"/>
      <c r="B649" s="2900"/>
      <c r="C649" s="2889" t="s">
        <v>918</v>
      </c>
      <c r="D649" s="2890"/>
      <c r="E649" s="1895"/>
      <c r="F649" s="1328">
        <f>IF(SETUP!$F$33="Upfront",$E$648*'HIV-Other HPs'!AW20,0)</f>
        <v>0</v>
      </c>
      <c r="G649" s="1194">
        <f>IF(SETUP!$F$33="Upfront",$E$648*'HIV-Other HPs'!AX20,0)</f>
        <v>0</v>
      </c>
      <c r="H649" s="1194">
        <f>IF(SETUP!$F$33="Upfront",$E$648*'HIV-Other HPs'!AY20,0)</f>
        <v>0</v>
      </c>
      <c r="I649" s="1194">
        <f>IF(SETUP!$F$33="Upfront",$E$648*'HIV-Other HPs'!AZ20,0)</f>
        <v>0</v>
      </c>
      <c r="J649" s="1194">
        <f t="shared" si="92"/>
        <v>0</v>
      </c>
      <c r="K649" s="1328">
        <f>IF(SETUP!$F$33="Upfront",$E$648*'HIV-Other HPs'!BA20,0)</f>
        <v>0</v>
      </c>
      <c r="L649" s="1194">
        <f>IF(SETUP!$F$33="Upfront",$E$648*'HIV-Other HPs'!BB20,0)</f>
        <v>0</v>
      </c>
      <c r="M649" s="1194">
        <f>IF(SETUP!$F$33="Upfront",$E$648*'HIV-Other HPs'!BC20,0)</f>
        <v>0</v>
      </c>
      <c r="N649" s="1194">
        <f>IF(SETUP!$F$33="Upfront",$E$648*'HIV-Other HPs'!BD20,0)</f>
        <v>0</v>
      </c>
      <c r="O649" s="1194">
        <f t="shared" si="93"/>
        <v>0</v>
      </c>
      <c r="P649" s="1328">
        <f>IF(SETUP!$F$33="Upfront",$E$648*'HIV-Other HPs'!BE20,0)</f>
        <v>0</v>
      </c>
      <c r="Q649" s="1194">
        <f>IF(SETUP!$F$33="Upfront",$E$648*'HIV-Other HPs'!BF20,0)</f>
        <v>0</v>
      </c>
      <c r="R649" s="1194">
        <f>IF(SETUP!$F$33="Upfront",$E$648*'HIV-Other HPs'!BG20,0)</f>
        <v>0</v>
      </c>
      <c r="S649" s="1194">
        <f>IF(SETUP!$F$33="Upfront",$E$648*'HIV-Other HPs'!BH20,0)</f>
        <v>0</v>
      </c>
      <c r="T649" s="1194">
        <f t="shared" si="94"/>
        <v>0</v>
      </c>
      <c r="U649" s="1328">
        <f t="shared" si="95"/>
        <v>0</v>
      </c>
      <c r="V649" s="1826">
        <v>7.7</v>
      </c>
      <c r="W649" s="1837"/>
      <c r="X649" s="764"/>
      <c r="Y649" s="879"/>
      <c r="Z649" s="850"/>
      <c r="AA649" s="880"/>
      <c r="AB649" s="880"/>
      <c r="AC649" s="880"/>
      <c r="AD649" s="880"/>
      <c r="AE649" s="880"/>
      <c r="AF649" s="880"/>
      <c r="AG649" s="880"/>
      <c r="AH649" s="881"/>
      <c r="AI649" s="880"/>
      <c r="AJ649" s="880"/>
      <c r="AK649" s="880"/>
      <c r="AL649" s="880"/>
      <c r="AM649" s="880"/>
      <c r="AN649" s="880"/>
      <c r="AO649" s="880"/>
      <c r="AP649" s="880"/>
      <c r="AQ649" s="880"/>
      <c r="AR649" s="880"/>
      <c r="AS649" s="880"/>
      <c r="AT649" s="880"/>
      <c r="AU649" s="880"/>
      <c r="AV649" s="880"/>
      <c r="AW649" s="880"/>
      <c r="AX649" s="880"/>
      <c r="AY649" s="880"/>
      <c r="AZ649" s="880"/>
      <c r="BA649" s="880"/>
      <c r="BB649" s="880"/>
      <c r="BC649" s="880"/>
      <c r="BD649" s="880"/>
      <c r="BE649" s="880"/>
      <c r="BF649" s="880"/>
      <c r="BG649" s="880"/>
      <c r="BH649" s="880"/>
      <c r="BI649" s="880"/>
      <c r="BJ649" s="880"/>
      <c r="BK649" s="880"/>
      <c r="BL649" s="880"/>
      <c r="BM649" s="880"/>
      <c r="BN649" s="880"/>
      <c r="BO649" s="880"/>
      <c r="BP649" s="880"/>
      <c r="BQ649" s="880"/>
      <c r="BR649" s="880"/>
      <c r="BS649" s="880"/>
      <c r="BT649" s="880"/>
    </row>
    <row r="650" spans="1:72" s="882" customFormat="1" ht="12.75" hidden="1" customHeight="1" outlineLevel="1">
      <c r="A650" s="2901"/>
      <c r="B650" s="2902"/>
      <c r="C650" s="2889" t="s">
        <v>36</v>
      </c>
      <c r="D650" s="2890"/>
      <c r="E650" s="1896"/>
      <c r="F650" s="1328">
        <v>0</v>
      </c>
      <c r="G650" s="1194">
        <f>IF(SETUP!$F$33="At delivery",IF(SETUP!$G$33=1,$E$648*'HIV-Other HPs'!AW20,0),0)</f>
        <v>0</v>
      </c>
      <c r="H650" s="1194">
        <f>IF(SETUP!$F$33="At delivery",IF(SETUP!$G$33=2,$E$648*'HIV-Other HPs'!AW20,IF(SETUP!$G$33=1,$E$648*'HIV-Other HPs'!AX20,0)),0)</f>
        <v>0</v>
      </c>
      <c r="I650" s="1194">
        <f>IF(SETUP!$F$33="At delivery",IF(SETUP!$G$33=3,$E$648*'HIV-Other HPs'!AW20,IF(SETUP!$G$33=2,$E$648*'HIV-Other HPs'!AX20,IF(SETUP!$G$33=1,$E$648*'HIV-Other HPs'!AY20,0))),0)</f>
        <v>0</v>
      </c>
      <c r="J650" s="1194">
        <f t="shared" si="92"/>
        <v>0</v>
      </c>
      <c r="K650" s="1328">
        <f>IF(SETUP!$F$33="At delivery",IF(SETUP!$G$33=4,$E$648*'HIV-Other HPs'!AW20,IF(SETUP!$G$33=3,$E$648*'HIV-Other HPs'!AX20,IF(SETUP!$G$33=2,$E$648*'HIV-Other HPs'!AY20,IF(SETUP!$G$33=1,$E$648*'HIV-Other HPs'!AZ20,0)))),0)</f>
        <v>0</v>
      </c>
      <c r="L650" s="1194">
        <f>IF(SETUP!$F$33="At delivery",IF(SETUP!$G$33=4,$E$648*'HIV-Other HPs'!AX20,IF(SETUP!$G$33=3,$E$648*'HIV-Other HPs'!AY20,IF(SETUP!$G$33=2,$E$648*'HIV-Other HPs'!AZ20,IF(SETUP!$G$33=1,$E$648*'HIV-Other HPs'!BA20,0)))),0)</f>
        <v>0</v>
      </c>
      <c r="M650" s="1194">
        <f>IF(SETUP!$F$33="At delivery",IF(SETUP!$G$33=4,$E$648*'HIV-Other HPs'!AY20,IF(SETUP!$G$33=3,$E$648*'HIV-Other HPs'!AZ20,IF(SETUP!$G$33=2,$E$648*'HIV-Other HPs'!BA20,IF(SETUP!$G$33=1,$E$648*'HIV-Other HPs'!BB20,0)))),0)</f>
        <v>0</v>
      </c>
      <c r="N650" s="1194">
        <f>IF(SETUP!$F$33="At delivery",IF(SETUP!$G$33=4,$E$648*'HIV-Other HPs'!AZ20,IF(SETUP!$G$33=3,$E$648*'HIV-Other HPs'!BA20,IF(SETUP!$G$33=2,$E$648*'HIV-Other HPs'!BB20,IF(SETUP!$G$33=1,$E$648*'HIV-Other HPs'!BC20,0)))),0)</f>
        <v>0</v>
      </c>
      <c r="O650" s="1194">
        <f t="shared" si="93"/>
        <v>0</v>
      </c>
      <c r="P650" s="1328">
        <f>IF(SETUP!$F$33="At delivery",IF(SETUP!$G$33=4,$E$648*'HIV-Other HPs'!BA20,IF(SETUP!$G$33=3,$E$648*'HIV-Other HPs'!BB20,IF(SETUP!$G$33=2,$E$648*'HIV-Other HPs'!BC20,IF(SETUP!$G$33=1,$E$648*'HIV-Other HPs'!BD20,0)))),0)</f>
        <v>0</v>
      </c>
      <c r="Q650" s="1194">
        <f>IF(SETUP!$F$33="At delivery",IF(SETUP!$G$33=4,$E$648*'HIV-Other HPs'!BB20,IF(SETUP!$G$33=3,$E$648*'HIV-Other HPs'!BC20,IF(SETUP!$G$33=2,$E$648*'HIV-Other HPs'!BD20,IF(SETUP!$G$33=1,$E$648*'HIV-Other HPs'!BE20,0)))),0)</f>
        <v>0</v>
      </c>
      <c r="R650" s="1194">
        <f>IF(SETUP!$F$33="At delivery",IF(SETUP!$G$33=4,$E$648*'HIV-Other HPs'!BC20,IF(SETUP!$G$33=3,$E$648*'HIV-Other HPs'!BD20,IF(SETUP!$G$33=2,$E$648*'HIV-Other HPs'!BE20,IF(SETUP!$G$33=1,$E$648*'HIV-Other HPs'!BF20,0)))),0)</f>
        <v>0</v>
      </c>
      <c r="S650" s="1194">
        <f>IF(SETUP!$F$33="At delivery",IF(SETUP!$G$33=4,$E$648*('HIV-Other HPs'!BD20+'HIV-Other HPs'!BE20+'HIV-Other HPs'!BF20+'HIV-Other HPs'!BG20+'HIV-Other HPs'!BH20),IF(SETUP!$G$33=3,$E$648*('HIV-Other HPs'!BE20+'HIV-Other HPs'!BF20+'HIV-Other HPs'!BG20+'HIV-Other HPs'!BH20),IF(SETUP!$G$33=2,$E$648*('HIV-Other HPs'!BF20+'HIV-Other HPs'!BG20+'HIV-Other HPs'!BH20),IF(SETUP!$G$33=1,$E$648*('HIV-Other HPs'!BG20+'HIV-Other HPs'!BH20),0)))),0)</f>
        <v>0</v>
      </c>
      <c r="T650" s="1194">
        <f t="shared" si="94"/>
        <v>0</v>
      </c>
      <c r="U650" s="1328">
        <f t="shared" si="95"/>
        <v>0</v>
      </c>
      <c r="V650" s="1826">
        <v>7.7</v>
      </c>
      <c r="W650" s="1837"/>
      <c r="X650" s="764"/>
      <c r="Y650" s="879"/>
      <c r="Z650" s="850"/>
      <c r="AA650" s="880"/>
      <c r="AB650" s="880"/>
      <c r="AC650" s="880"/>
      <c r="AD650" s="880"/>
      <c r="AE650" s="880"/>
      <c r="AF650" s="880"/>
      <c r="AG650" s="880"/>
      <c r="AH650" s="881"/>
      <c r="AI650" s="880"/>
      <c r="AJ650" s="880"/>
      <c r="AK650" s="880"/>
      <c r="AL650" s="880"/>
      <c r="AM650" s="880"/>
      <c r="AN650" s="880"/>
      <c r="AO650" s="880"/>
      <c r="AP650" s="880"/>
      <c r="AQ650" s="880"/>
      <c r="AR650" s="880"/>
      <c r="AS650" s="880"/>
      <c r="AT650" s="880"/>
      <c r="AU650" s="880"/>
      <c r="AV650" s="880"/>
      <c r="AW650" s="880"/>
      <c r="AX650" s="880"/>
      <c r="AY650" s="880"/>
      <c r="AZ650" s="880"/>
      <c r="BA650" s="880"/>
      <c r="BB650" s="880"/>
      <c r="BC650" s="880"/>
      <c r="BD650" s="880"/>
      <c r="BE650" s="880"/>
      <c r="BF650" s="880"/>
      <c r="BG650" s="880"/>
      <c r="BH650" s="880"/>
      <c r="BI650" s="880"/>
      <c r="BJ650" s="880"/>
      <c r="BK650" s="880"/>
      <c r="BL650" s="880"/>
      <c r="BM650" s="880"/>
      <c r="BN650" s="880"/>
      <c r="BO650" s="880"/>
      <c r="BP650" s="880"/>
      <c r="BQ650" s="880"/>
      <c r="BR650" s="880"/>
      <c r="BS650" s="880"/>
      <c r="BT650" s="880"/>
    </row>
    <row r="651" spans="1:72" s="882" customFormat="1" ht="13.5" hidden="1" collapsed="1" thickBot="1">
      <c r="A651" s="2903" t="s">
        <v>569</v>
      </c>
      <c r="B651" s="2904"/>
      <c r="C651" s="2907" t="s">
        <v>570</v>
      </c>
      <c r="D651" s="2908"/>
      <c r="E651" s="1894">
        <v>0</v>
      </c>
      <c r="F651" s="1328">
        <f>IF(SETUP!$F$36="Upfront",F652,F653)</f>
        <v>0</v>
      </c>
      <c r="G651" s="1194">
        <f>IF(SETUP!$F$36="Upfront",G652,G653)</f>
        <v>0</v>
      </c>
      <c r="H651" s="1194">
        <f>IF(SETUP!$F$36="Upfront",H652,H653)</f>
        <v>0</v>
      </c>
      <c r="I651" s="1194">
        <f>IF(SETUP!$F$36="Upfront",I652,I653)</f>
        <v>0</v>
      </c>
      <c r="J651" s="1194">
        <f t="shared" si="92"/>
        <v>0</v>
      </c>
      <c r="K651" s="1328">
        <f>IF(SETUP!$F$36="Upfront",K652,K653)</f>
        <v>0</v>
      </c>
      <c r="L651" s="1194">
        <f>IF(SETUP!$F$36="Upfront",L652,L653)</f>
        <v>0</v>
      </c>
      <c r="M651" s="1194">
        <f>IF(SETUP!$F$36="Upfront",M652,M653)</f>
        <v>0</v>
      </c>
      <c r="N651" s="1194">
        <f>IF(SETUP!$F$36="Upfront",N652,N653)</f>
        <v>0</v>
      </c>
      <c r="O651" s="1194">
        <f t="shared" si="93"/>
        <v>0</v>
      </c>
      <c r="P651" s="1328">
        <f>IF(SETUP!$F$36="Upfront",P652,P653)</f>
        <v>0</v>
      </c>
      <c r="Q651" s="1194">
        <f>IF(SETUP!$F$36="Upfront",Q652,Q653)</f>
        <v>0</v>
      </c>
      <c r="R651" s="1194">
        <f>IF(SETUP!$F$36="Upfront",R652,R653)</f>
        <v>0</v>
      </c>
      <c r="S651" s="1194">
        <f>IF(SETUP!$F$36="Upfront",S652,S653)</f>
        <v>0</v>
      </c>
      <c r="T651" s="1194">
        <f t="shared" si="94"/>
        <v>0</v>
      </c>
      <c r="U651" s="1328">
        <f t="shared" si="95"/>
        <v>0</v>
      </c>
      <c r="V651" s="1826">
        <v>7.7</v>
      </c>
      <c r="W651" s="1837"/>
      <c r="X651" s="764"/>
      <c r="Y651" s="879"/>
      <c r="Z651" s="850"/>
      <c r="AA651" s="880"/>
      <c r="AB651" s="880"/>
      <c r="AC651" s="880"/>
      <c r="AD651" s="880"/>
      <c r="AE651" s="880"/>
      <c r="AF651" s="880"/>
      <c r="AG651" s="880"/>
      <c r="AH651" s="881"/>
      <c r="AI651" s="880"/>
      <c r="AJ651" s="880"/>
      <c r="AK651" s="880"/>
      <c r="AL651" s="880"/>
      <c r="AM651" s="880"/>
      <c r="AN651" s="880"/>
      <c r="AO651" s="880"/>
      <c r="AP651" s="880"/>
      <c r="AQ651" s="880"/>
      <c r="AR651" s="880"/>
      <c r="AS651" s="880"/>
      <c r="AT651" s="880"/>
      <c r="AU651" s="880"/>
      <c r="AV651" s="880"/>
      <c r="AW651" s="880"/>
      <c r="AX651" s="880"/>
      <c r="AY651" s="880"/>
      <c r="AZ651" s="880"/>
      <c r="BA651" s="880"/>
      <c r="BB651" s="880"/>
      <c r="BC651" s="880"/>
      <c r="BD651" s="880"/>
      <c r="BE651" s="880"/>
      <c r="BF651" s="880"/>
      <c r="BG651" s="880"/>
      <c r="BH651" s="880"/>
      <c r="BI651" s="880"/>
      <c r="BJ651" s="880"/>
      <c r="BK651" s="880"/>
      <c r="BL651" s="880"/>
      <c r="BM651" s="880"/>
      <c r="BN651" s="880"/>
      <c r="BO651" s="880"/>
      <c r="BP651" s="880"/>
      <c r="BQ651" s="880"/>
      <c r="BR651" s="880"/>
      <c r="BS651" s="880"/>
      <c r="BT651" s="880"/>
    </row>
    <row r="652" spans="1:72" s="882" customFormat="1" ht="12.75" hidden="1" customHeight="1" outlineLevel="1">
      <c r="A652" s="2905"/>
      <c r="B652" s="2906"/>
      <c r="C652" s="2889" t="s">
        <v>918</v>
      </c>
      <c r="D652" s="2890"/>
      <c r="E652" s="1880"/>
      <c r="F652" s="1328">
        <f>IF(SETUP!$F$36="Upfront",$E$651*'TB-Pharmaceuticals'!AW14,0)</f>
        <v>0</v>
      </c>
      <c r="G652" s="1194">
        <f>IF(SETUP!$F$36="Upfront",$E$651*'TB-Pharmaceuticals'!AX14,0)</f>
        <v>0</v>
      </c>
      <c r="H652" s="1194">
        <f>IF(SETUP!$F$36="Upfront",$E$651*'TB-Pharmaceuticals'!AY14,0)</f>
        <v>0</v>
      </c>
      <c r="I652" s="1194">
        <f>IF(SETUP!$F$36="Upfront",$E$651*'TB-Pharmaceuticals'!AZ14,0)</f>
        <v>0</v>
      </c>
      <c r="J652" s="1194">
        <f t="shared" si="92"/>
        <v>0</v>
      </c>
      <c r="K652" s="1328">
        <f>IF(SETUP!$F$36="Upfront",$E$651*'TB-Pharmaceuticals'!BA14,0)</f>
        <v>0</v>
      </c>
      <c r="L652" s="1194">
        <f>IF(SETUP!$F$36="Upfront",$E$651*'TB-Pharmaceuticals'!BB14,0)</f>
        <v>0</v>
      </c>
      <c r="M652" s="1194">
        <f>IF(SETUP!$F$36="Upfront",$E$651*'TB-Pharmaceuticals'!BC14,0)</f>
        <v>0</v>
      </c>
      <c r="N652" s="1194">
        <f>IF(SETUP!$F$36="Upfront",$E$651*'TB-Pharmaceuticals'!BD14,0)</f>
        <v>0</v>
      </c>
      <c r="O652" s="1194">
        <f t="shared" si="93"/>
        <v>0</v>
      </c>
      <c r="P652" s="1328">
        <f>IF(SETUP!$F$36="Upfront",$E$651*'TB-Pharmaceuticals'!BE14,0)</f>
        <v>0</v>
      </c>
      <c r="Q652" s="1194">
        <f>IF(SETUP!$F$36="Upfront",$E$651*'TB-Pharmaceuticals'!BF14,0)</f>
        <v>0</v>
      </c>
      <c r="R652" s="1194">
        <f>IF(SETUP!$F$36="Upfront",$E$651*'TB-Pharmaceuticals'!BG14,0)</f>
        <v>0</v>
      </c>
      <c r="S652" s="1194">
        <f>IF(SETUP!$F$36="Upfront",$E$651*'TB-Pharmaceuticals'!BH14,0)</f>
        <v>0</v>
      </c>
      <c r="T652" s="1194">
        <f t="shared" si="94"/>
        <v>0</v>
      </c>
      <c r="U652" s="1328">
        <f t="shared" si="95"/>
        <v>0</v>
      </c>
      <c r="V652" s="1826">
        <v>7.7</v>
      </c>
      <c r="W652" s="1837"/>
      <c r="X652" s="764"/>
      <c r="Y652" s="879"/>
      <c r="Z652" s="850"/>
      <c r="AA652" s="880"/>
      <c r="AB652" s="880"/>
      <c r="AC652" s="880"/>
      <c r="AD652" s="880"/>
      <c r="AE652" s="880"/>
      <c r="AF652" s="880"/>
      <c r="AG652" s="880"/>
      <c r="AH652" s="881"/>
      <c r="AI652" s="880"/>
      <c r="AJ652" s="880"/>
      <c r="AK652" s="880"/>
      <c r="AL652" s="880"/>
      <c r="AM652" s="880"/>
      <c r="AN652" s="880"/>
      <c r="AO652" s="880"/>
      <c r="AP652" s="880"/>
      <c r="AQ652" s="880"/>
      <c r="AR652" s="880"/>
      <c r="AS652" s="880"/>
      <c r="AT652" s="880"/>
      <c r="AU652" s="880"/>
      <c r="AV652" s="880"/>
      <c r="AW652" s="880"/>
      <c r="AX652" s="880"/>
      <c r="AY652" s="880"/>
      <c r="AZ652" s="880"/>
      <c r="BA652" s="880"/>
      <c r="BB652" s="880"/>
      <c r="BC652" s="880"/>
      <c r="BD652" s="880"/>
      <c r="BE652" s="880"/>
      <c r="BF652" s="880"/>
      <c r="BG652" s="880"/>
      <c r="BH652" s="880"/>
      <c r="BI652" s="880"/>
      <c r="BJ652" s="880"/>
      <c r="BK652" s="880"/>
      <c r="BL652" s="880"/>
      <c r="BM652" s="880"/>
      <c r="BN652" s="880"/>
      <c r="BO652" s="880"/>
      <c r="BP652" s="880"/>
      <c r="BQ652" s="880"/>
      <c r="BR652" s="880"/>
      <c r="BS652" s="880"/>
      <c r="BT652" s="880"/>
    </row>
    <row r="653" spans="1:72" s="882" customFormat="1" ht="12.75" hidden="1" customHeight="1" outlineLevel="1">
      <c r="A653" s="2905"/>
      <c r="B653" s="2906"/>
      <c r="C653" s="2889" t="s">
        <v>36</v>
      </c>
      <c r="D653" s="2890"/>
      <c r="E653" s="1895"/>
      <c r="F653" s="1328">
        <v>0</v>
      </c>
      <c r="G653" s="1194">
        <f>IF(SETUP!$F$36="At delivery",IF(SETUP!$G$36=1,$E$651*'TB-Pharmaceuticals'!AW14,0),0)</f>
        <v>0</v>
      </c>
      <c r="H653" s="1194">
        <f>IF(SETUP!$F$36="At delivery",IF(SETUP!$G$36=2,$E$651*'TB-Pharmaceuticals'!AW14,IF(SETUP!$G$36=1,$E$651*'TB-Pharmaceuticals'!AX14,0)),0)</f>
        <v>0</v>
      </c>
      <c r="I653" s="1194">
        <f>IF(SETUP!$F$36="At delivery",IF(SETUP!$G$36=3,$E$651*'TB-Pharmaceuticals'!AW14,IF(SETUP!$G$36=2,$E$651*'TB-Pharmaceuticals'!AX14,IF(SETUP!$G$36=1,$E$651*'TB-Pharmaceuticals'!AY14,0))),0)</f>
        <v>0</v>
      </c>
      <c r="J653" s="1194">
        <f t="shared" si="92"/>
        <v>0</v>
      </c>
      <c r="K653" s="1328">
        <f>IF(SETUP!$F$36="At delivery",IF(SETUP!$G$36=4,$E$651*'TB-Pharmaceuticals'!AW14,IF(SETUP!$G$36=3,$E$651*'TB-Pharmaceuticals'!AX14,IF(SETUP!$G$36=2,$E$651*'TB-Pharmaceuticals'!AY14,IF(SETUP!$G$36=1,$E$651*'TB-Pharmaceuticals'!AZ14,0)))),0)</f>
        <v>0</v>
      </c>
      <c r="L653" s="1194">
        <f>IF(SETUP!$F$36="At delivery",IF(SETUP!$G$36=4,$E$651*'TB-Pharmaceuticals'!AX14,IF(SETUP!$G$36=3,$E$651*'TB-Pharmaceuticals'!AY14,IF(SETUP!$G$36=2,$E$651*'TB-Pharmaceuticals'!AZ14,IF(SETUP!$G$36=1,$E$651*'TB-Pharmaceuticals'!BA14,0)))),0)</f>
        <v>0</v>
      </c>
      <c r="M653" s="1194">
        <f>IF(SETUP!$F$36="At delivery",IF(SETUP!$G$36=4,$E$651*'TB-Pharmaceuticals'!AY14,IF(SETUP!$G$36=3,$E$651*'TB-Pharmaceuticals'!AZ14,IF(SETUP!$G$36=2,$E$651*'TB-Pharmaceuticals'!BA14,IF(SETUP!$G$36=1,$E$651*'TB-Pharmaceuticals'!BB14,0)))),0)</f>
        <v>0</v>
      </c>
      <c r="N653" s="1194">
        <f>IF(SETUP!$F$36="At delivery",IF(SETUP!$G$36=4,$E$651*'TB-Pharmaceuticals'!AZ14,IF(SETUP!$G$36=3,$E$651*'TB-Pharmaceuticals'!BA14,IF(SETUP!$G$36=2,$E$651*'TB-Pharmaceuticals'!BB14,IF(SETUP!$G$36=1,$E$651*'TB-Pharmaceuticals'!BC14,0)))),0)</f>
        <v>0</v>
      </c>
      <c r="O653" s="1194">
        <f t="shared" si="93"/>
        <v>0</v>
      </c>
      <c r="P653" s="1328">
        <f>IF(SETUP!$F$36="At delivery",IF(SETUP!$G$36=4,$E$651*'TB-Pharmaceuticals'!BA14,IF(SETUP!$G$36=3,$E$651*'TB-Pharmaceuticals'!BB14,IF(SETUP!$G$36=2,$E$651*'TB-Pharmaceuticals'!BC14,IF(SETUP!$G$36=1,$E$651*'TB-Pharmaceuticals'!BD14,0)))),0)</f>
        <v>0</v>
      </c>
      <c r="Q653" s="1194">
        <f>IF(SETUP!$F$36="At delivery",IF(SETUP!$G$36=4,$E$651*'TB-Pharmaceuticals'!BB14,IF(SETUP!$G$36=3,$E$651*'TB-Pharmaceuticals'!BC14,IF(SETUP!$G$36=2,$E$651*'TB-Pharmaceuticals'!BD14,IF(SETUP!$G$36=1,$E$651*'TB-Pharmaceuticals'!BE14,0)))),0)</f>
        <v>0</v>
      </c>
      <c r="R653" s="1194">
        <f>IF(SETUP!$F$36="At delivery",IF(SETUP!$G$36=4,$E$651*'TB-Pharmaceuticals'!BC14,IF(SETUP!$G$36=3,$E$651*'TB-Pharmaceuticals'!BD14,IF(SETUP!$G$36=2,$E$651*'TB-Pharmaceuticals'!BE14,IF(SETUP!$G$36=1,$E$651*'TB-Pharmaceuticals'!BF14,0)))),0)</f>
        <v>0</v>
      </c>
      <c r="S653" s="1194">
        <f>IF(SETUP!$F$36="At delivery",IF(SETUP!$G$36=4,$E$651*('TB-Pharmaceuticals'!BD14+'TB-Pharmaceuticals'!BE14+'TB-Pharmaceuticals'!BF14+'TB-Pharmaceuticals'!BG14+'TB-Pharmaceuticals'!BH14),IF(SETUP!$G$36=3,$E$651*('TB-Pharmaceuticals'!BE14+'TB-Pharmaceuticals'!BF14+'TB-Pharmaceuticals'!BG14+'TB-Pharmaceuticals'!BH14),IF(SETUP!$G$36=2,$E$651*('TB-Pharmaceuticals'!BF14+'TB-Pharmaceuticals'!BG14+'TB-Pharmaceuticals'!BH14),IF(SETUP!$G$36=1,$E$651*('TB-Pharmaceuticals'!BG14+'TB-Pharmaceuticals'!BH14),0)))),0)</f>
        <v>0</v>
      </c>
      <c r="T653" s="1194">
        <f t="shared" si="94"/>
        <v>0</v>
      </c>
      <c r="U653" s="1328">
        <f t="shared" si="95"/>
        <v>0</v>
      </c>
      <c r="V653" s="1826">
        <v>7.7</v>
      </c>
      <c r="W653" s="1837"/>
      <c r="X653" s="764"/>
      <c r="Y653" s="879"/>
      <c r="Z653" s="850"/>
      <c r="AA653" s="880"/>
      <c r="AB653" s="880"/>
      <c r="AC653" s="880"/>
      <c r="AD653" s="880"/>
      <c r="AE653" s="880"/>
      <c r="AF653" s="880"/>
      <c r="AG653" s="880"/>
      <c r="AH653" s="881"/>
      <c r="AI653" s="880"/>
      <c r="AJ653" s="880"/>
      <c r="AK653" s="880"/>
      <c r="AL653" s="880"/>
      <c r="AM653" s="880"/>
      <c r="AN653" s="880"/>
      <c r="AO653" s="880"/>
      <c r="AP653" s="880"/>
      <c r="AQ653" s="880"/>
      <c r="AR653" s="880"/>
      <c r="AS653" s="880"/>
      <c r="AT653" s="880"/>
      <c r="AU653" s="880"/>
      <c r="AV653" s="880"/>
      <c r="AW653" s="880"/>
      <c r="AX653" s="880"/>
      <c r="AY653" s="880"/>
      <c r="AZ653" s="880"/>
      <c r="BA653" s="880"/>
      <c r="BB653" s="880"/>
      <c r="BC653" s="880"/>
      <c r="BD653" s="880"/>
      <c r="BE653" s="880"/>
      <c r="BF653" s="880"/>
      <c r="BG653" s="880"/>
      <c r="BH653" s="880"/>
      <c r="BI653" s="880"/>
      <c r="BJ653" s="880"/>
      <c r="BK653" s="880"/>
      <c r="BL653" s="880"/>
      <c r="BM653" s="880"/>
      <c r="BN653" s="880"/>
      <c r="BO653" s="880"/>
      <c r="BP653" s="880"/>
      <c r="BQ653" s="880"/>
      <c r="BR653" s="880"/>
      <c r="BS653" s="880"/>
      <c r="BT653" s="880"/>
    </row>
    <row r="654" spans="1:72" s="882" customFormat="1" ht="13.5" hidden="1" collapsed="1" thickBot="1">
      <c r="A654" s="2905"/>
      <c r="B654" s="2906"/>
      <c r="C654" s="2907" t="s">
        <v>571</v>
      </c>
      <c r="D654" s="2908"/>
      <c r="E654" s="1894">
        <v>1E-4</v>
      </c>
      <c r="F654" s="1328">
        <f>IF(SETUP!$F$38="Upfront",F655,F656)</f>
        <v>0</v>
      </c>
      <c r="G654" s="1194">
        <f>IF(SETUP!$F$38="Upfront",G655,G656)</f>
        <v>0</v>
      </c>
      <c r="H654" s="1194">
        <f>IF(SETUP!$F$38="Upfront",H655,H656)</f>
        <v>0</v>
      </c>
      <c r="I654" s="1194">
        <f>IF(SETUP!$F$38="Upfront",I655,I656)</f>
        <v>0</v>
      </c>
      <c r="J654" s="1194">
        <f t="shared" si="92"/>
        <v>0</v>
      </c>
      <c r="K654" s="1328">
        <f>IF(SETUP!$F$38="Upfront",K655,K656)</f>
        <v>0</v>
      </c>
      <c r="L654" s="1194">
        <f>IF(SETUP!$F$38="Upfront",L655,L656)</f>
        <v>0</v>
      </c>
      <c r="M654" s="1194">
        <f>IF(SETUP!$F$38="Upfront",M655,M656)</f>
        <v>0</v>
      </c>
      <c r="N654" s="1194">
        <f>IF(SETUP!$F$38="Upfront",N655,N656)</f>
        <v>0</v>
      </c>
      <c r="O654" s="1194">
        <f t="shared" si="93"/>
        <v>0</v>
      </c>
      <c r="P654" s="1328">
        <f>IF(SETUP!$F$38="Upfront",P655,P656)</f>
        <v>0</v>
      </c>
      <c r="Q654" s="1194">
        <f>IF(SETUP!$F$38="Upfront",Q655,Q656)</f>
        <v>0</v>
      </c>
      <c r="R654" s="1194">
        <f>IF(SETUP!$F$38="Upfront",R655,R656)</f>
        <v>0</v>
      </c>
      <c r="S654" s="1194">
        <f>IF(SETUP!$F$38="Upfront",S655,S656)</f>
        <v>0</v>
      </c>
      <c r="T654" s="1194">
        <f t="shared" si="94"/>
        <v>0</v>
      </c>
      <c r="U654" s="1328">
        <f t="shared" si="95"/>
        <v>0</v>
      </c>
      <c r="V654" s="1826">
        <v>7.7</v>
      </c>
      <c r="W654" s="1837"/>
      <c r="X654" s="764"/>
      <c r="Y654" s="879"/>
      <c r="Z654" s="850"/>
      <c r="AA654" s="880"/>
      <c r="AB654" s="880"/>
      <c r="AC654" s="880"/>
      <c r="AD654" s="880"/>
      <c r="AE654" s="880"/>
      <c r="AF654" s="880"/>
      <c r="AG654" s="880"/>
      <c r="AH654" s="881"/>
      <c r="AI654" s="880"/>
      <c r="AJ654" s="880"/>
      <c r="AK654" s="880"/>
      <c r="AL654" s="880"/>
      <c r="AM654" s="880"/>
      <c r="AN654" s="880"/>
      <c r="AO654" s="880"/>
      <c r="AP654" s="880"/>
      <c r="AQ654" s="880"/>
      <c r="AR654" s="880"/>
      <c r="AS654" s="880"/>
      <c r="AT654" s="880"/>
      <c r="AU654" s="880"/>
      <c r="AV654" s="880"/>
      <c r="AW654" s="880"/>
      <c r="AX654" s="880"/>
      <c r="AY654" s="880"/>
      <c r="AZ654" s="880"/>
      <c r="BA654" s="880"/>
      <c r="BB654" s="880"/>
      <c r="BC654" s="880"/>
      <c r="BD654" s="880"/>
      <c r="BE654" s="880"/>
      <c r="BF654" s="880"/>
      <c r="BG654" s="880"/>
      <c r="BH654" s="880"/>
      <c r="BI654" s="880"/>
      <c r="BJ654" s="880"/>
      <c r="BK654" s="880"/>
      <c r="BL654" s="880"/>
      <c r="BM654" s="880"/>
      <c r="BN654" s="880"/>
      <c r="BO654" s="880"/>
      <c r="BP654" s="880"/>
      <c r="BQ654" s="880"/>
      <c r="BR654" s="880"/>
      <c r="BS654" s="880"/>
      <c r="BT654" s="880"/>
    </row>
    <row r="655" spans="1:72" s="882" customFormat="1" ht="12.75" hidden="1" customHeight="1" outlineLevel="1">
      <c r="A655" s="2905"/>
      <c r="B655" s="2906"/>
      <c r="C655" s="2889" t="s">
        <v>918</v>
      </c>
      <c r="D655" s="2890"/>
      <c r="E655" s="1895"/>
      <c r="F655" s="1328">
        <f>IF(SETUP!$F$38="Upfront",$E$654*'TB-Pharmaceuticals'!AW15,0)</f>
        <v>0</v>
      </c>
      <c r="G655" s="1194">
        <f>IF(SETUP!$F$38="Upfront",$E$654*'TB-Pharmaceuticals'!AX15,0)</f>
        <v>0</v>
      </c>
      <c r="H655" s="1194">
        <f>IF(SETUP!$F$38="Upfront",$E$654*'TB-Pharmaceuticals'!AY15,0)</f>
        <v>0</v>
      </c>
      <c r="I655" s="1194">
        <f>IF(SETUP!$F$38="Upfront",$E$654*'TB-Pharmaceuticals'!AZ15,0)</f>
        <v>0</v>
      </c>
      <c r="J655" s="1194">
        <f t="shared" si="92"/>
        <v>0</v>
      </c>
      <c r="K655" s="1328">
        <f>IF(SETUP!$F$38="Upfront",$E$654*'TB-Pharmaceuticals'!BA15,0)</f>
        <v>0</v>
      </c>
      <c r="L655" s="1194">
        <f>IF(SETUP!$F$38="Upfront",$E$654*'TB-Pharmaceuticals'!BB15,0)</f>
        <v>0</v>
      </c>
      <c r="M655" s="1194">
        <f>IF(SETUP!$F$38="Upfront",$E$654*'TB-Pharmaceuticals'!BC15,0)</f>
        <v>0</v>
      </c>
      <c r="N655" s="1194">
        <f>IF(SETUP!$F$38="Upfront",$E$654*'TB-Pharmaceuticals'!BD15,0)</f>
        <v>0</v>
      </c>
      <c r="O655" s="1194">
        <f t="shared" si="93"/>
        <v>0</v>
      </c>
      <c r="P655" s="1328">
        <f>IF(SETUP!$F$38="Upfront",$E$654*'TB-Pharmaceuticals'!BE15,0)</f>
        <v>0</v>
      </c>
      <c r="Q655" s="1194">
        <f>IF(SETUP!$F$38="Upfront",$E$654*'TB-Pharmaceuticals'!BF15,0)</f>
        <v>0</v>
      </c>
      <c r="R655" s="1194">
        <f>IF(SETUP!$F$38="Upfront",$E$654*'TB-Pharmaceuticals'!BG15,0)</f>
        <v>0</v>
      </c>
      <c r="S655" s="1194">
        <f>IF(SETUP!$F$38="Upfront",$E$654*'TB-Pharmaceuticals'!BH15,0)</f>
        <v>0</v>
      </c>
      <c r="T655" s="1194">
        <f t="shared" si="94"/>
        <v>0</v>
      </c>
      <c r="U655" s="1328">
        <f t="shared" si="95"/>
        <v>0</v>
      </c>
      <c r="V655" s="1826">
        <v>7.7</v>
      </c>
      <c r="W655" s="1837"/>
      <c r="X655" s="764"/>
      <c r="Y655" s="879"/>
      <c r="Z655" s="850"/>
      <c r="AA655" s="880"/>
      <c r="AB655" s="880"/>
      <c r="AC655" s="880"/>
      <c r="AD655" s="880"/>
      <c r="AE655" s="880"/>
      <c r="AF655" s="880"/>
      <c r="AG655" s="880"/>
      <c r="AH655" s="881"/>
      <c r="AI655" s="880"/>
      <c r="AJ655" s="880"/>
      <c r="AK655" s="880"/>
      <c r="AL655" s="880"/>
      <c r="AM655" s="880"/>
      <c r="AN655" s="880"/>
      <c r="AO655" s="880"/>
      <c r="AP655" s="880"/>
      <c r="AQ655" s="880"/>
      <c r="AR655" s="880"/>
      <c r="AS655" s="880"/>
      <c r="AT655" s="880"/>
      <c r="AU655" s="880"/>
      <c r="AV655" s="880"/>
      <c r="AW655" s="880"/>
      <c r="AX655" s="880"/>
      <c r="AY655" s="880"/>
      <c r="AZ655" s="880"/>
      <c r="BA655" s="880"/>
      <c r="BB655" s="880"/>
      <c r="BC655" s="880"/>
      <c r="BD655" s="880"/>
      <c r="BE655" s="880"/>
      <c r="BF655" s="880"/>
      <c r="BG655" s="880"/>
      <c r="BH655" s="880"/>
      <c r="BI655" s="880"/>
      <c r="BJ655" s="880"/>
      <c r="BK655" s="880"/>
      <c r="BL655" s="880"/>
      <c r="BM655" s="880"/>
      <c r="BN655" s="880"/>
      <c r="BO655" s="880"/>
      <c r="BP655" s="880"/>
      <c r="BQ655" s="880"/>
      <c r="BR655" s="880"/>
      <c r="BS655" s="880"/>
      <c r="BT655" s="880"/>
    </row>
    <row r="656" spans="1:72" s="882" customFormat="1" ht="12.75" hidden="1" customHeight="1" outlineLevel="1">
      <c r="A656" s="2905"/>
      <c r="B656" s="2906"/>
      <c r="C656" s="2889" t="s">
        <v>36</v>
      </c>
      <c r="D656" s="2890"/>
      <c r="E656" s="1880"/>
      <c r="F656" s="1328">
        <v>0</v>
      </c>
      <c r="G656" s="1194">
        <f>IF(SETUP!$F$38="At delivery",IF(SETUP!$G$38=1,$E$654*'TB-Pharmaceuticals'!AW15,0),0)</f>
        <v>0</v>
      </c>
      <c r="H656" s="1194">
        <f>IF(SETUP!$F$38="At delivery",IF(SETUP!$G$38=2,$E$654*'TB-Pharmaceuticals'!AW15,IF(SETUP!$G$38=1,$E$654*'TB-Pharmaceuticals'!AX15,0)),0)</f>
        <v>0</v>
      </c>
      <c r="I656" s="1194">
        <f>IF(SETUP!$F$38="At delivery",IF(SETUP!$G$38=3,$E$654*'TB-Pharmaceuticals'!AW15,IF(SETUP!$G$38=2,$E$654*'TB-Pharmaceuticals'!AX15,IF(SETUP!$G$38=1,$E$654*'TB-Pharmaceuticals'!AY15,0))),0)</f>
        <v>0</v>
      </c>
      <c r="J656" s="1194">
        <f t="shared" si="92"/>
        <v>0</v>
      </c>
      <c r="K656" s="1328">
        <f>IF(SETUP!$F$38="At delivery",IF(SETUP!$G$38=4,$E$654*'TB-Pharmaceuticals'!AW15,IF(SETUP!$G$38=3,$E$654*'TB-Pharmaceuticals'!AX15,IF(SETUP!$G$38=2,$E$654*'TB-Pharmaceuticals'!AY15,IF(SETUP!$G$38=1,$E$654*'TB-Pharmaceuticals'!AZ15,0)))),0)</f>
        <v>0</v>
      </c>
      <c r="L656" s="1194">
        <f>IF(SETUP!$F$38="At delivery",IF(SETUP!$G$38=4,$E$654*'TB-Pharmaceuticals'!AX15,IF(SETUP!$G$38=3,$E$654*'TB-Pharmaceuticals'!AY15,IF(SETUP!$G$38=2,$E$654*'TB-Pharmaceuticals'!AZ15,IF(SETUP!$G$38=1,$E$654*'TB-Pharmaceuticals'!BA15,0)))),0)</f>
        <v>0</v>
      </c>
      <c r="M656" s="1194">
        <f>IF(SETUP!$F$38="At delivery",IF(SETUP!$G$38=4,$E$654*'TB-Pharmaceuticals'!AY15,IF(SETUP!$G$38=3,$E$654*'TB-Pharmaceuticals'!AZ15,IF(SETUP!$G$38=2,$E$654*'TB-Pharmaceuticals'!BA15,IF(SETUP!$G$38=1,$E$654*'TB-Pharmaceuticals'!BB15,0)))),0)</f>
        <v>0</v>
      </c>
      <c r="N656" s="1194">
        <f>IF(SETUP!$F$38="At delivery",IF(SETUP!$G$38=4,$E$654*'TB-Pharmaceuticals'!AZ15,IF(SETUP!$G$38=3,$E$654*'TB-Pharmaceuticals'!BA15,IF(SETUP!$G$38=2,$E$654*'TB-Pharmaceuticals'!BB15,IF(SETUP!$G$38=1,$E$654*'TB-Pharmaceuticals'!BC15,0)))),0)</f>
        <v>0</v>
      </c>
      <c r="O656" s="1194">
        <f t="shared" si="93"/>
        <v>0</v>
      </c>
      <c r="P656" s="1328">
        <f>IF(SETUP!$F$38="At delivery",IF(SETUP!$G$38=4,$E$654*'TB-Pharmaceuticals'!BA15,IF(SETUP!$G$38=3,$E$654*'TB-Pharmaceuticals'!BB15,IF(SETUP!$G$38=2,$E$654*'TB-Pharmaceuticals'!BC15,IF(SETUP!$G$38=1,$E$654*'TB-Pharmaceuticals'!BD15,0)))),0)</f>
        <v>0</v>
      </c>
      <c r="Q656" s="1194">
        <f>IF(SETUP!$F$38="At delivery",IF(SETUP!$G$38=4,$E$654*'TB-Pharmaceuticals'!BB15,IF(SETUP!$G$38=3,$E$654*'TB-Pharmaceuticals'!BC15,IF(SETUP!$G$38=2,$E$654*'TB-Pharmaceuticals'!BD15,IF(SETUP!$G$38=1,$E$654*'TB-Pharmaceuticals'!BE15,0)))),0)</f>
        <v>0</v>
      </c>
      <c r="R656" s="1194">
        <f>IF(SETUP!$F$38="At delivery",IF(SETUP!$G$38=4,$E$654*'TB-Pharmaceuticals'!BC15,IF(SETUP!$G$38=3,$E$654*'TB-Pharmaceuticals'!BD15,IF(SETUP!$G$38=2,$E$654*'TB-Pharmaceuticals'!BE15,IF(SETUP!$G$38=1,$E$654*'TB-Pharmaceuticals'!BF15,0)))),0)</f>
        <v>0</v>
      </c>
      <c r="S656" s="1194">
        <f>IF(SETUP!$F$38="At delivery",IF(SETUP!$G$38=4,$E$654*('TB-Pharmaceuticals'!BD15+'TB-Pharmaceuticals'!BE15+'TB-Pharmaceuticals'!BF15+'TB-Pharmaceuticals'!BG15+'TB-Pharmaceuticals'!BH15),IF(SETUP!$G$38=3,$E$654*('TB-Pharmaceuticals'!BE15+'TB-Pharmaceuticals'!BF15+'TB-Pharmaceuticals'!BG15+'TB-Pharmaceuticals'!BH15),IF(SETUP!$G$38=2,$E$654*('TB-Pharmaceuticals'!BF15+'TB-Pharmaceuticals'!BG15+'TB-Pharmaceuticals'!BH15),IF(SETUP!$G$38=1,$E$654*('TB-Pharmaceuticals'!BG15+'TB-Pharmaceuticals'!BH15),0)))),0)</f>
        <v>0</v>
      </c>
      <c r="T656" s="1194">
        <f t="shared" si="94"/>
        <v>0</v>
      </c>
      <c r="U656" s="1328">
        <f t="shared" si="95"/>
        <v>0</v>
      </c>
      <c r="V656" s="1826">
        <v>7.7</v>
      </c>
      <c r="W656" s="1837"/>
      <c r="X656" s="764"/>
      <c r="Y656" s="879"/>
      <c r="Z656" s="850"/>
      <c r="AA656" s="880"/>
      <c r="AB656" s="880"/>
      <c r="AC656" s="880"/>
      <c r="AD656" s="880"/>
      <c r="AE656" s="880"/>
      <c r="AF656" s="880"/>
      <c r="AG656" s="880"/>
      <c r="AH656" s="881"/>
      <c r="AI656" s="880"/>
      <c r="AJ656" s="880"/>
      <c r="AK656" s="880"/>
      <c r="AL656" s="880"/>
      <c r="AM656" s="880"/>
      <c r="AN656" s="880"/>
      <c r="AO656" s="880"/>
      <c r="AP656" s="880"/>
      <c r="AQ656" s="880"/>
      <c r="AR656" s="880"/>
      <c r="AS656" s="880"/>
      <c r="AT656" s="880"/>
      <c r="AU656" s="880"/>
      <c r="AV656" s="880"/>
      <c r="AW656" s="880"/>
      <c r="AX656" s="880"/>
      <c r="AY656" s="880"/>
      <c r="AZ656" s="880"/>
      <c r="BA656" s="880"/>
      <c r="BB656" s="880"/>
      <c r="BC656" s="880"/>
      <c r="BD656" s="880"/>
      <c r="BE656" s="880"/>
      <c r="BF656" s="880"/>
      <c r="BG656" s="880"/>
      <c r="BH656" s="880"/>
      <c r="BI656" s="880"/>
      <c r="BJ656" s="880"/>
      <c r="BK656" s="880"/>
      <c r="BL656" s="880"/>
      <c r="BM656" s="880"/>
      <c r="BN656" s="880"/>
      <c r="BO656" s="880"/>
      <c r="BP656" s="880"/>
      <c r="BQ656" s="880"/>
      <c r="BR656" s="880"/>
      <c r="BS656" s="880"/>
      <c r="BT656" s="880"/>
    </row>
    <row r="657" spans="1:72" s="882" customFormat="1" ht="13.5" hidden="1" collapsed="1" thickBot="1">
      <c r="A657" s="2905"/>
      <c r="B657" s="2906"/>
      <c r="C657" s="2907" t="s">
        <v>1792</v>
      </c>
      <c r="D657" s="2908"/>
      <c r="E657" s="1894">
        <v>0</v>
      </c>
      <c r="F657" s="1328">
        <f>IF(SETUP!$F$39="Upfront",F658,F659)</f>
        <v>0</v>
      </c>
      <c r="G657" s="1194">
        <f>IF(SETUP!$F$39="Upfront",G658,G659)</f>
        <v>0</v>
      </c>
      <c r="H657" s="1194">
        <f>IF(SETUP!$F$39="Upfront",H658,H659)</f>
        <v>0</v>
      </c>
      <c r="I657" s="1194">
        <f>IF(SETUP!$F$39="Upfront",I658,I659)</f>
        <v>0</v>
      </c>
      <c r="J657" s="1194">
        <f t="shared" si="92"/>
        <v>0</v>
      </c>
      <c r="K657" s="1328">
        <f>IF(SETUP!$F$39="Upfront",K658,K659)</f>
        <v>0</v>
      </c>
      <c r="L657" s="1194">
        <f>IF(SETUP!$F$39="Upfront",L658,L659)</f>
        <v>0</v>
      </c>
      <c r="M657" s="1194">
        <f>IF(SETUP!$F$39="Upfront",M658,M659)</f>
        <v>0</v>
      </c>
      <c r="N657" s="1194">
        <f>IF(SETUP!$F$39="Upfront",N658,N659)</f>
        <v>0</v>
      </c>
      <c r="O657" s="1194">
        <f t="shared" si="93"/>
        <v>0</v>
      </c>
      <c r="P657" s="1328">
        <f>IF(SETUP!$F$39="Upfront",P658,P659)</f>
        <v>0</v>
      </c>
      <c r="Q657" s="1194">
        <f>IF(SETUP!$F$39="Upfront",Q658,Q659)</f>
        <v>0</v>
      </c>
      <c r="R657" s="1194">
        <f>IF(SETUP!$F$39="Upfront",R658,R659)</f>
        <v>0</v>
      </c>
      <c r="S657" s="1194">
        <f>IF(SETUP!$F$39="Upfront",S658,S659)</f>
        <v>0</v>
      </c>
      <c r="T657" s="1194">
        <f t="shared" si="94"/>
        <v>0</v>
      </c>
      <c r="U657" s="1328">
        <f t="shared" si="95"/>
        <v>0</v>
      </c>
      <c r="V657" s="1826">
        <v>7.7</v>
      </c>
      <c r="W657" s="1837"/>
      <c r="X657" s="764"/>
      <c r="Y657" s="879"/>
      <c r="Z657" s="850"/>
      <c r="AA657" s="880"/>
      <c r="AB657" s="880"/>
      <c r="AC657" s="880"/>
      <c r="AD657" s="880"/>
      <c r="AE657" s="880"/>
      <c r="AF657" s="880"/>
      <c r="AG657" s="880"/>
      <c r="AH657" s="881"/>
      <c r="AI657" s="880"/>
      <c r="AJ657" s="880"/>
      <c r="AK657" s="880"/>
      <c r="AL657" s="880"/>
      <c r="AM657" s="880"/>
      <c r="AN657" s="880"/>
      <c r="AO657" s="880"/>
      <c r="AP657" s="880"/>
      <c r="AQ657" s="880"/>
      <c r="AR657" s="880"/>
      <c r="AS657" s="880"/>
      <c r="AT657" s="880"/>
      <c r="AU657" s="880"/>
      <c r="AV657" s="880"/>
      <c r="AW657" s="880"/>
      <c r="AX657" s="880"/>
      <c r="AY657" s="880"/>
      <c r="AZ657" s="880"/>
      <c r="BA657" s="880"/>
      <c r="BB657" s="880"/>
      <c r="BC657" s="880"/>
      <c r="BD657" s="880"/>
      <c r="BE657" s="880"/>
      <c r="BF657" s="880"/>
      <c r="BG657" s="880"/>
      <c r="BH657" s="880"/>
      <c r="BI657" s="880"/>
      <c r="BJ657" s="880"/>
      <c r="BK657" s="880"/>
      <c r="BL657" s="880"/>
      <c r="BM657" s="880"/>
      <c r="BN657" s="880"/>
      <c r="BO657" s="880"/>
      <c r="BP657" s="880"/>
      <c r="BQ657" s="880"/>
      <c r="BR657" s="880"/>
      <c r="BS657" s="880"/>
      <c r="BT657" s="880"/>
    </row>
    <row r="658" spans="1:72" s="882" customFormat="1" ht="12.75" hidden="1" customHeight="1" outlineLevel="1">
      <c r="A658" s="2905"/>
      <c r="B658" s="2906"/>
      <c r="C658" s="2889" t="s">
        <v>918</v>
      </c>
      <c r="D658" s="2890"/>
      <c r="E658" s="1896"/>
      <c r="F658" s="1328">
        <f>IF(SETUP!$F$39="Upfront",$E$657*'TB-Pharmaceuticals'!AW16,0)</f>
        <v>0</v>
      </c>
      <c r="G658" s="1194">
        <f>IF(SETUP!$F$39="Upfront",$E$657*'TB-Pharmaceuticals'!AX16,0)</f>
        <v>0</v>
      </c>
      <c r="H658" s="1194">
        <f>IF(SETUP!$F$39="Upfront",$E$657*'TB-Pharmaceuticals'!AY16,0)</f>
        <v>0</v>
      </c>
      <c r="I658" s="1194">
        <f>IF(SETUP!$F$39="Upfront",$E$657*'TB-Pharmaceuticals'!AZ16,0)</f>
        <v>0</v>
      </c>
      <c r="J658" s="1194">
        <f t="shared" si="92"/>
        <v>0</v>
      </c>
      <c r="K658" s="1328">
        <f>IF(SETUP!$F$39="Upfront",$E$657*'TB-Pharmaceuticals'!BA16,0)</f>
        <v>0</v>
      </c>
      <c r="L658" s="1194">
        <f>IF(SETUP!$F$39="Upfront",$E$657*'TB-Pharmaceuticals'!BB16,0)</f>
        <v>0</v>
      </c>
      <c r="M658" s="1194">
        <f>IF(SETUP!$F$39="Upfront",$E$657*'TB-Pharmaceuticals'!BC16,0)</f>
        <v>0</v>
      </c>
      <c r="N658" s="1194">
        <f>IF(SETUP!$F$39="Upfront",$E$657*'TB-Pharmaceuticals'!BD16,0)</f>
        <v>0</v>
      </c>
      <c r="O658" s="1194">
        <f t="shared" si="93"/>
        <v>0</v>
      </c>
      <c r="P658" s="1328">
        <f>IF(SETUP!$F$39="Upfront",$E$657*'TB-Pharmaceuticals'!BE16,0)</f>
        <v>0</v>
      </c>
      <c r="Q658" s="1194">
        <f>IF(SETUP!$F$39="Upfront",$E$657*'TB-Pharmaceuticals'!BF16,0)</f>
        <v>0</v>
      </c>
      <c r="R658" s="1194">
        <f>IF(SETUP!$F$39="Upfront",$E$657*'TB-Pharmaceuticals'!BG16,0)</f>
        <v>0</v>
      </c>
      <c r="S658" s="1194">
        <f>IF(SETUP!$F$39="Upfront",$E$657*'TB-Pharmaceuticals'!BH16,0)</f>
        <v>0</v>
      </c>
      <c r="T658" s="1194">
        <f t="shared" si="94"/>
        <v>0</v>
      </c>
      <c r="U658" s="1328">
        <f t="shared" si="95"/>
        <v>0</v>
      </c>
      <c r="V658" s="1826">
        <v>7.7</v>
      </c>
      <c r="W658" s="1837"/>
      <c r="X658" s="764"/>
      <c r="Y658" s="879"/>
      <c r="Z658" s="850"/>
      <c r="AA658" s="880"/>
      <c r="AB658" s="880"/>
      <c r="AC658" s="880"/>
      <c r="AD658" s="880"/>
      <c r="AE658" s="880"/>
      <c r="AF658" s="880"/>
      <c r="AG658" s="880"/>
      <c r="AH658" s="881"/>
      <c r="AI658" s="880"/>
      <c r="AJ658" s="880"/>
      <c r="AK658" s="880"/>
      <c r="AL658" s="880"/>
      <c r="AM658" s="880"/>
      <c r="AN658" s="880"/>
      <c r="AO658" s="880"/>
      <c r="AP658" s="880"/>
      <c r="AQ658" s="880"/>
      <c r="AR658" s="880"/>
      <c r="AS658" s="880"/>
      <c r="AT658" s="880"/>
      <c r="AU658" s="880"/>
      <c r="AV658" s="880"/>
      <c r="AW658" s="880"/>
      <c r="AX658" s="880"/>
      <c r="AY658" s="880"/>
      <c r="AZ658" s="880"/>
      <c r="BA658" s="880"/>
      <c r="BB658" s="880"/>
      <c r="BC658" s="880"/>
      <c r="BD658" s="880"/>
      <c r="BE658" s="880"/>
      <c r="BF658" s="880"/>
      <c r="BG658" s="880"/>
      <c r="BH658" s="880"/>
      <c r="BI658" s="880"/>
      <c r="BJ658" s="880"/>
      <c r="BK658" s="880"/>
      <c r="BL658" s="880"/>
      <c r="BM658" s="880"/>
      <c r="BN658" s="880"/>
      <c r="BO658" s="880"/>
      <c r="BP658" s="880"/>
      <c r="BQ658" s="880"/>
      <c r="BR658" s="880"/>
      <c r="BS658" s="880"/>
      <c r="BT658" s="880"/>
    </row>
    <row r="659" spans="1:72" s="882" customFormat="1" ht="12.75" hidden="1" customHeight="1" outlineLevel="1">
      <c r="A659" s="2905"/>
      <c r="B659" s="2906"/>
      <c r="C659" s="2889" t="s">
        <v>36</v>
      </c>
      <c r="D659" s="2890"/>
      <c r="E659" s="1896"/>
      <c r="F659" s="1328">
        <v>0</v>
      </c>
      <c r="G659" s="1194">
        <f>IF(SETUP!$F$39="At delivery",IF(SETUP!$G$39=1,$E$657*'TB-Pharmaceuticals'!AW16,0),0)</f>
        <v>0</v>
      </c>
      <c r="H659" s="1194">
        <f>IF(SETUP!$F$39="At delivery",IF(SETUP!$G$39=2,$E$657*'TB-Pharmaceuticals'!AW16,IF(SETUP!$G$39=1,$E$657*'TB-Pharmaceuticals'!AX16,0)),0)</f>
        <v>0</v>
      </c>
      <c r="I659" s="1194">
        <f>IF(SETUP!$F$39="At delivery",IF(SETUP!$G$39=3,$E$657*'TB-Pharmaceuticals'!AW16,IF(SETUP!$G$39=2,$E$657*'TB-Pharmaceuticals'!AX16,IF(SETUP!$G$39=1,$E$657*'TB-Pharmaceuticals'!AY16,0))),0)</f>
        <v>0</v>
      </c>
      <c r="J659" s="1194">
        <f t="shared" si="92"/>
        <v>0</v>
      </c>
      <c r="K659" s="1328">
        <f>IF(SETUP!$F$39="At delivery",IF(SETUP!$G$39=4,$E$657*'TB-Pharmaceuticals'!AW16,IF(SETUP!$G$39=3,$E$657*'TB-Pharmaceuticals'!AX16,IF(SETUP!$G$39=2,$E$657*'TB-Pharmaceuticals'!AY16,IF(SETUP!$G$39=1,$E$657*'TB-Pharmaceuticals'!AZ16,0)))),0)</f>
        <v>0</v>
      </c>
      <c r="L659" s="1194">
        <f>IF(SETUP!$F$39="At delivery",IF(SETUP!$G$39=4,$E$657*'TB-Pharmaceuticals'!AX16,IF(SETUP!$G$39=3,$E$657*'TB-Pharmaceuticals'!AY16,IF(SETUP!$G$39=2,$E$657*'TB-Pharmaceuticals'!AZ16,IF(SETUP!$G$39=1,$E$657*'TB-Pharmaceuticals'!BA16,0)))),0)</f>
        <v>0</v>
      </c>
      <c r="M659" s="1194">
        <f>IF(SETUP!$F$39="At delivery",IF(SETUP!$G$39=4,$E$657*'TB-Pharmaceuticals'!AY16,IF(SETUP!$G$39=3,$E$657*'TB-Pharmaceuticals'!AZ16,IF(SETUP!$G$39=2,$E$657*'TB-Pharmaceuticals'!BA16,IF(SETUP!$G$39=1,$E$657*'TB-Pharmaceuticals'!BB16,0)))),0)</f>
        <v>0</v>
      </c>
      <c r="N659" s="1194">
        <f>IF(SETUP!$F$39="At delivery",IF(SETUP!$G$39=4,$E$657*'TB-Pharmaceuticals'!AZ16,IF(SETUP!$G$39=3,$E$657*'TB-Pharmaceuticals'!BA16,IF(SETUP!$G$39=2,$E$657*'TB-Pharmaceuticals'!BB16,IF(SETUP!$G$39=1,$E$657*'TB-Pharmaceuticals'!BC16,0)))),0)</f>
        <v>0</v>
      </c>
      <c r="O659" s="1194">
        <f t="shared" si="93"/>
        <v>0</v>
      </c>
      <c r="P659" s="1328">
        <f>IF(SETUP!$F$39="At delivery",IF(SETUP!$G$39=4,$E$657*'TB-Pharmaceuticals'!BA16,IF(SETUP!$G$39=3,$E$657*'TB-Pharmaceuticals'!BB16,IF(SETUP!$G$39=2,$E$657*'TB-Pharmaceuticals'!BC16,IF(SETUP!$G$39=1,$E$657*'TB-Pharmaceuticals'!BD16,0)))),0)</f>
        <v>0</v>
      </c>
      <c r="Q659" s="1194">
        <f>IF(SETUP!$F$39="At delivery",IF(SETUP!$G$39=4,$E$657*'TB-Pharmaceuticals'!BB16,IF(SETUP!$G$39=3,$E$657*'TB-Pharmaceuticals'!BC16,IF(SETUP!$G$39=2,$E$657*'TB-Pharmaceuticals'!BD16,IF(SETUP!$G$39=1,$E$657*'TB-Pharmaceuticals'!BE16,0)))),0)</f>
        <v>0</v>
      </c>
      <c r="R659" s="1194">
        <f>IF(SETUP!$F$39="At delivery",IF(SETUP!$G$39=4,$E$657*'TB-Pharmaceuticals'!BC16,IF(SETUP!$G$39=3,$E$657*'TB-Pharmaceuticals'!BD16,IF(SETUP!$G$39=2,$E$657*'TB-Pharmaceuticals'!BE16,IF(SETUP!$G$39=1,$E$657*'TB-Pharmaceuticals'!BF16,0)))),0)</f>
        <v>0</v>
      </c>
      <c r="S659" s="1194">
        <f>IF(SETUP!$F$39="At delivery",IF(SETUP!$G$39=4,$E$657*('TB-Pharmaceuticals'!BD16+'TB-Pharmaceuticals'!BE16+'TB-Pharmaceuticals'!BF16+'TB-Pharmaceuticals'!BG16+'TB-Pharmaceuticals'!BH16),IF(SETUP!$G$39=3,$E$657*('TB-Pharmaceuticals'!BE16+'TB-Pharmaceuticals'!BF16+'TB-Pharmaceuticals'!BG16+'TB-Pharmaceuticals'!BH16),IF(SETUP!$G$39=2,$E$657*('TB-Pharmaceuticals'!BF16+'TB-Pharmaceuticals'!BG16+'TB-Pharmaceuticals'!BH16),IF(SETUP!$G$39=1,$E$657*('TB-Pharmaceuticals'!BG16+'TB-Pharmaceuticals'!BH16),0)))),0)</f>
        <v>0</v>
      </c>
      <c r="T659" s="1194">
        <f t="shared" si="94"/>
        <v>0</v>
      </c>
      <c r="U659" s="1328">
        <f t="shared" si="95"/>
        <v>0</v>
      </c>
      <c r="V659" s="1826">
        <v>7.7</v>
      </c>
      <c r="W659" s="1837"/>
      <c r="X659" s="764"/>
      <c r="Y659" s="879"/>
      <c r="Z659" s="850"/>
      <c r="AA659" s="880"/>
      <c r="AB659" s="880"/>
      <c r="AC659" s="880"/>
      <c r="AD659" s="880"/>
      <c r="AE659" s="880"/>
      <c r="AF659" s="880"/>
      <c r="AG659" s="880"/>
      <c r="AH659" s="881"/>
      <c r="AI659" s="880"/>
      <c r="AJ659" s="880"/>
      <c r="AK659" s="880"/>
      <c r="AL659" s="880"/>
      <c r="AM659" s="880"/>
      <c r="AN659" s="880"/>
      <c r="AO659" s="880"/>
      <c r="AP659" s="880"/>
      <c r="AQ659" s="880"/>
      <c r="AR659" s="880"/>
      <c r="AS659" s="880"/>
      <c r="AT659" s="880"/>
      <c r="AU659" s="880"/>
      <c r="AV659" s="880"/>
      <c r="AW659" s="880"/>
      <c r="AX659" s="880"/>
      <c r="AY659" s="880"/>
      <c r="AZ659" s="880"/>
      <c r="BA659" s="880"/>
      <c r="BB659" s="880"/>
      <c r="BC659" s="880"/>
      <c r="BD659" s="880"/>
      <c r="BE659" s="880"/>
      <c r="BF659" s="880"/>
      <c r="BG659" s="880"/>
      <c r="BH659" s="880"/>
      <c r="BI659" s="880"/>
      <c r="BJ659" s="880"/>
      <c r="BK659" s="880"/>
      <c r="BL659" s="880"/>
      <c r="BM659" s="880"/>
      <c r="BN659" s="880"/>
      <c r="BO659" s="880"/>
      <c r="BP659" s="880"/>
      <c r="BQ659" s="880"/>
      <c r="BR659" s="880"/>
      <c r="BS659" s="880"/>
      <c r="BT659" s="880"/>
    </row>
    <row r="660" spans="1:72" s="882" customFormat="1" ht="13.5" hidden="1" collapsed="1" thickBot="1">
      <c r="A660" s="2905" t="s">
        <v>572</v>
      </c>
      <c r="B660" s="2906"/>
      <c r="C660" s="2907" t="s">
        <v>311</v>
      </c>
      <c r="D660" s="2908"/>
      <c r="E660" s="1894">
        <v>0</v>
      </c>
      <c r="F660" s="1328">
        <f>IF(SETUP!$F$40="Upfront",F661,F662)</f>
        <v>0</v>
      </c>
      <c r="G660" s="1194">
        <f>IF(SETUP!$F$40="Upfront",G661,G662)</f>
        <v>0</v>
      </c>
      <c r="H660" s="1194">
        <f>IF(SETUP!$F$40="Upfront",H661,H662)</f>
        <v>0</v>
      </c>
      <c r="I660" s="1194">
        <f>IF(SETUP!$F$40="Upfront",I661,I662)</f>
        <v>0</v>
      </c>
      <c r="J660" s="1194">
        <f t="shared" si="92"/>
        <v>0</v>
      </c>
      <c r="K660" s="1328">
        <f>IF(SETUP!$F$40="Upfront",K661,K662)</f>
        <v>0</v>
      </c>
      <c r="L660" s="1194">
        <f>IF(SETUP!$F$40="Upfront",L661,L662)</f>
        <v>0</v>
      </c>
      <c r="M660" s="1194">
        <f>IF(SETUP!$F$40="Upfront",M661,M662)</f>
        <v>0</v>
      </c>
      <c r="N660" s="1194">
        <f>IF(SETUP!$F$40="Upfront",N661,N662)</f>
        <v>0</v>
      </c>
      <c r="O660" s="1194">
        <f t="shared" si="93"/>
        <v>0</v>
      </c>
      <c r="P660" s="1328">
        <f>IF(SETUP!$F$40="Upfront",P661,P662)</f>
        <v>0</v>
      </c>
      <c r="Q660" s="1194">
        <f>IF(SETUP!$F$40="Upfront",Q661,Q662)</f>
        <v>0</v>
      </c>
      <c r="R660" s="1194">
        <f>IF(SETUP!$F$40="Upfront",R661,R662)</f>
        <v>0</v>
      </c>
      <c r="S660" s="1194">
        <f>IF(SETUP!$F$40="Upfront",S661,S662)</f>
        <v>0</v>
      </c>
      <c r="T660" s="1194">
        <f t="shared" si="94"/>
        <v>0</v>
      </c>
      <c r="U660" s="1328">
        <f t="shared" si="95"/>
        <v>0</v>
      </c>
      <c r="V660" s="1826">
        <v>7.7</v>
      </c>
      <c r="W660" s="1837"/>
      <c r="X660" s="764"/>
      <c r="Y660" s="879"/>
      <c r="Z660" s="850"/>
      <c r="AA660" s="880"/>
      <c r="AB660" s="880"/>
      <c r="AC660" s="880"/>
      <c r="AD660" s="880"/>
      <c r="AE660" s="880"/>
      <c r="AF660" s="880"/>
      <c r="AG660" s="880"/>
      <c r="AH660" s="881"/>
      <c r="AI660" s="880"/>
      <c r="AJ660" s="880"/>
      <c r="AK660" s="880"/>
      <c r="AL660" s="880"/>
      <c r="AM660" s="880"/>
      <c r="AN660" s="880"/>
      <c r="AO660" s="880"/>
      <c r="AP660" s="880"/>
      <c r="AQ660" s="880"/>
      <c r="AR660" s="880"/>
      <c r="AS660" s="880"/>
      <c r="AT660" s="880"/>
      <c r="AU660" s="880"/>
      <c r="AV660" s="880"/>
      <c r="AW660" s="880"/>
      <c r="AX660" s="880"/>
      <c r="AY660" s="880"/>
      <c r="AZ660" s="880"/>
      <c r="BA660" s="880"/>
      <c r="BB660" s="880"/>
      <c r="BC660" s="880"/>
      <c r="BD660" s="880"/>
      <c r="BE660" s="880"/>
      <c r="BF660" s="880"/>
      <c r="BG660" s="880"/>
      <c r="BH660" s="880"/>
      <c r="BI660" s="880"/>
      <c r="BJ660" s="880"/>
      <c r="BK660" s="880"/>
      <c r="BL660" s="880"/>
      <c r="BM660" s="880"/>
      <c r="BN660" s="880"/>
      <c r="BO660" s="880"/>
      <c r="BP660" s="880"/>
      <c r="BQ660" s="880"/>
      <c r="BR660" s="880"/>
      <c r="BS660" s="880"/>
      <c r="BT660" s="880"/>
    </row>
    <row r="661" spans="1:72" s="882" customFormat="1" ht="12.75" hidden="1" customHeight="1" outlineLevel="1">
      <c r="A661" s="2905"/>
      <c r="B661" s="2906"/>
      <c r="C661" s="2889" t="s">
        <v>918</v>
      </c>
      <c r="D661" s="2890"/>
      <c r="E661" s="1896"/>
      <c r="F661" s="1328">
        <f>IF(SETUP!$F$40="Upfront",$E$660*'TB-EQUIPMENT &amp; OTHER HPs'!AW14,0)</f>
        <v>0</v>
      </c>
      <c r="G661" s="1194">
        <f>IF(SETUP!$F$40="Upfront",$E$660*'TB-EQUIPMENT &amp; OTHER HPs'!AX14,0)</f>
        <v>0</v>
      </c>
      <c r="H661" s="1194">
        <f>IF(SETUP!$F$40="Upfront",$E$660*'TB-EQUIPMENT &amp; OTHER HPs'!AY14,0)</f>
        <v>0</v>
      </c>
      <c r="I661" s="1194">
        <f>IF(SETUP!$F$40="Upfront",$E$660*'TB-EQUIPMENT &amp; OTHER HPs'!AZ14,0)</f>
        <v>0</v>
      </c>
      <c r="J661" s="1194">
        <f t="shared" si="92"/>
        <v>0</v>
      </c>
      <c r="K661" s="1328">
        <f>IF(SETUP!$F$40="Upfront",$E$660*'TB-EQUIPMENT &amp; OTHER HPs'!BA14,0)</f>
        <v>0</v>
      </c>
      <c r="L661" s="1194">
        <f>IF(SETUP!$F$40="Upfront",$E$660*'TB-EQUIPMENT &amp; OTHER HPs'!BB14,0)</f>
        <v>0</v>
      </c>
      <c r="M661" s="1194">
        <f>IF(SETUP!$F$40="Upfront",$E$660*'TB-EQUIPMENT &amp; OTHER HPs'!BC14,0)</f>
        <v>0</v>
      </c>
      <c r="N661" s="1194">
        <f>IF(SETUP!$F$40="Upfront",$E$660*'TB-EQUIPMENT &amp; OTHER HPs'!BD14,0)</f>
        <v>0</v>
      </c>
      <c r="O661" s="1194">
        <f t="shared" si="93"/>
        <v>0</v>
      </c>
      <c r="P661" s="1328">
        <f>IF(SETUP!$F$40="Upfront",$E$660*'TB-EQUIPMENT &amp; OTHER HPs'!BE14,0)</f>
        <v>0</v>
      </c>
      <c r="Q661" s="1194">
        <f>IF(SETUP!$F$40="Upfront",$E$660*'TB-EQUIPMENT &amp; OTHER HPs'!BF14,0)</f>
        <v>0</v>
      </c>
      <c r="R661" s="1194">
        <f>IF(SETUP!$F$40="Upfront",$E$660*'TB-EQUIPMENT &amp; OTHER HPs'!BG14,0)</f>
        <v>0</v>
      </c>
      <c r="S661" s="1194">
        <f>IF(SETUP!$F$40="Upfront",$E$660*'TB-EQUIPMENT &amp; OTHER HPs'!BH14,0)</f>
        <v>0</v>
      </c>
      <c r="T661" s="1194">
        <f t="shared" si="94"/>
        <v>0</v>
      </c>
      <c r="U661" s="1328">
        <f t="shared" si="95"/>
        <v>0</v>
      </c>
      <c r="V661" s="1826">
        <v>7.7</v>
      </c>
      <c r="W661" s="1837"/>
      <c r="X661" s="764"/>
      <c r="Y661" s="879"/>
      <c r="Z661" s="850"/>
      <c r="AA661" s="880"/>
      <c r="AB661" s="880"/>
      <c r="AC661" s="880"/>
      <c r="AD661" s="880"/>
      <c r="AE661" s="880"/>
      <c r="AF661" s="880"/>
      <c r="AG661" s="880"/>
      <c r="AH661" s="881"/>
      <c r="AI661" s="880"/>
      <c r="AJ661" s="880"/>
      <c r="AK661" s="880"/>
      <c r="AL661" s="880"/>
      <c r="AM661" s="880"/>
      <c r="AN661" s="880"/>
      <c r="AO661" s="880"/>
      <c r="AP661" s="880"/>
      <c r="AQ661" s="880"/>
      <c r="AR661" s="880"/>
      <c r="AS661" s="880"/>
      <c r="AT661" s="880"/>
      <c r="AU661" s="880"/>
      <c r="AV661" s="880"/>
      <c r="AW661" s="880"/>
      <c r="AX661" s="880"/>
      <c r="AY661" s="880"/>
      <c r="AZ661" s="880"/>
      <c r="BA661" s="880"/>
      <c r="BB661" s="880"/>
      <c r="BC661" s="880"/>
      <c r="BD661" s="880"/>
      <c r="BE661" s="880"/>
      <c r="BF661" s="880"/>
      <c r="BG661" s="880"/>
      <c r="BH661" s="880"/>
      <c r="BI661" s="880"/>
      <c r="BJ661" s="880"/>
      <c r="BK661" s="880"/>
      <c r="BL661" s="880"/>
      <c r="BM661" s="880"/>
      <c r="BN661" s="880"/>
      <c r="BO661" s="880"/>
      <c r="BP661" s="880"/>
      <c r="BQ661" s="880"/>
      <c r="BR661" s="880"/>
      <c r="BS661" s="880"/>
      <c r="BT661" s="880"/>
    </row>
    <row r="662" spans="1:72" s="882" customFormat="1" ht="12.75" hidden="1" customHeight="1" outlineLevel="1">
      <c r="A662" s="2905"/>
      <c r="B662" s="2906"/>
      <c r="C662" s="2889" t="s">
        <v>36</v>
      </c>
      <c r="D662" s="2890"/>
      <c r="E662" s="1896"/>
      <c r="F662" s="1328">
        <v>0</v>
      </c>
      <c r="G662" s="1194">
        <f>IF(SETUP!$F$40="At delivery",IF(SETUP!$G$40=1,$E$660*'TB-EQUIPMENT &amp; OTHER HPs'!AW14,0),0)</f>
        <v>0</v>
      </c>
      <c r="H662" s="1194">
        <f>IF(SETUP!$F$40="At delivery",IF(SETUP!$G$40=2,$E$660*'TB-EQUIPMENT &amp; OTHER HPs'!AW14,IF(SETUP!$G$40=1,$E$660*'TB-EQUIPMENT &amp; OTHER HPs'!AX14,0)),0)</f>
        <v>0</v>
      </c>
      <c r="I662" s="1194">
        <f>IF(SETUP!$F$40="At delivery",IF(SETUP!$G$40=3,$E$660*'TB-EQUIPMENT &amp; OTHER HPs'!AW14,IF(SETUP!$G$40=2,$E$660*'TB-EQUIPMENT &amp; OTHER HPs'!AX14,IF(SETUP!$G$40=1,$E$660*'TB-EQUIPMENT &amp; OTHER HPs'!AY14,0))),0)</f>
        <v>0</v>
      </c>
      <c r="J662" s="1194">
        <f t="shared" si="92"/>
        <v>0</v>
      </c>
      <c r="K662" s="1328">
        <f>IF(SETUP!$F$40="At delivery",IF(SETUP!$G$40=4,$E$660*'TB-EQUIPMENT &amp; OTHER HPs'!AW14,IF(SETUP!$G$40=3,$E$660*'TB-EQUIPMENT &amp; OTHER HPs'!AX14,IF(SETUP!$G$40=2,$E$660*'TB-EQUIPMENT &amp; OTHER HPs'!AY14,IF(SETUP!$G$40=1,$E$660*'TB-EQUIPMENT &amp; OTHER HPs'!AZ14,0)))),0)</f>
        <v>0</v>
      </c>
      <c r="L662" s="1194">
        <f>IF(SETUP!$F$40="At delivery",IF(SETUP!$G$40=4,$E$660*'TB-EQUIPMENT &amp; OTHER HPs'!AX14,IF(SETUP!$G$40=3,$E$660*'TB-EQUIPMENT &amp; OTHER HPs'!AY14,IF(SETUP!$G$40=2,$E$660*'TB-EQUIPMENT &amp; OTHER HPs'!AZ14,IF(SETUP!$G$40=1,$E$660*'TB-EQUIPMENT &amp; OTHER HPs'!BA14,0)))),0)</f>
        <v>0</v>
      </c>
      <c r="M662" s="1194">
        <f>IF(SETUP!$F$40="At delivery",IF(SETUP!$G$40=4,$E$660*'TB-EQUIPMENT &amp; OTHER HPs'!AY14,IF(SETUP!$G$40=3,$E$660*'TB-EQUIPMENT &amp; OTHER HPs'!AZ14,IF(SETUP!$G$40=2,$E$660*'TB-EQUIPMENT &amp; OTHER HPs'!BA14,IF(SETUP!$G$40=1,$E$660*'TB-EQUIPMENT &amp; OTHER HPs'!BB14,0)))),0)</f>
        <v>0</v>
      </c>
      <c r="N662" s="1194">
        <f>IF(SETUP!$F$40="At delivery",IF(SETUP!$G$40=4,$E$660*'TB-EQUIPMENT &amp; OTHER HPs'!AZ14,IF(SETUP!$G$40=3,$E$660*'TB-EQUIPMENT &amp; OTHER HPs'!BA14,IF(SETUP!$G$40=2,$E$660*'TB-EQUIPMENT &amp; OTHER HPs'!BB14,IF(SETUP!$G$40=1,$E$660*'TB-EQUIPMENT &amp; OTHER HPs'!BC14,0)))),0)</f>
        <v>0</v>
      </c>
      <c r="O662" s="1194">
        <f t="shared" si="93"/>
        <v>0</v>
      </c>
      <c r="P662" s="1328">
        <f>IF(SETUP!$F$40="At delivery",IF(SETUP!$G$40=4,$E$660*'TB-EQUIPMENT &amp; OTHER HPs'!BA14,IF(SETUP!$G$40=3,$E$660*'TB-EQUIPMENT &amp; OTHER HPs'!BB14,IF(SETUP!$G$40=2,$E$660*'TB-EQUIPMENT &amp; OTHER HPs'!BC14,IF(SETUP!$G$40=1,$E$660*'TB-EQUIPMENT &amp; OTHER HPs'!BD14,0)))),0)</f>
        <v>0</v>
      </c>
      <c r="Q662" s="1194">
        <f>IF(SETUP!$F$40="At delivery",IF(SETUP!$G$40=4,$E$660*'TB-EQUIPMENT &amp; OTHER HPs'!BB14,IF(SETUP!$G$40=3,$E$660*'TB-EQUIPMENT &amp; OTHER HPs'!BC14,IF(SETUP!$G$40=2,$E$660*'TB-EQUIPMENT &amp; OTHER HPs'!BD14,IF(SETUP!$G$40=1,$E$660*'TB-EQUIPMENT &amp; OTHER HPs'!BE14,0)))),0)</f>
        <v>0</v>
      </c>
      <c r="R662" s="1194">
        <f>IF(SETUP!$F$40="At delivery",IF(SETUP!$G$40=4,$E$660*'TB-EQUIPMENT &amp; OTHER HPs'!BC14,IF(SETUP!$G$40=3,$E$660*'TB-EQUIPMENT &amp; OTHER HPs'!BD14,IF(SETUP!$G$40=2,$E$660*'TB-EQUIPMENT &amp; OTHER HPs'!BE14,IF(SETUP!$G$40=1,$E$660*'TB-EQUIPMENT &amp; OTHER HPs'!BF14,0)))),0)</f>
        <v>0</v>
      </c>
      <c r="S662" s="1194">
        <f>IF(SETUP!$F$40="At delivery",IF(SETUP!$G$40=4,$E$660*('TB-EQUIPMENT &amp; OTHER HPs'!BD14+'TB-EQUIPMENT &amp; OTHER HPs'!BE14+'TB-EQUIPMENT &amp; OTHER HPs'!BF14+'TB-EQUIPMENT &amp; OTHER HPs'!BG14+'TB-EQUIPMENT &amp; OTHER HPs'!BH14),IF(SETUP!$G$40=3,$E$660*('TB-EQUIPMENT &amp; OTHER HPs'!BE14+'TB-EQUIPMENT &amp; OTHER HPs'!BF14+'TB-EQUIPMENT &amp; OTHER HPs'!BG14+'TB-EQUIPMENT &amp; OTHER HPs'!BH14),IF(SETUP!$G$40=2,$E$660*('TB-EQUIPMENT &amp; OTHER HPs'!BF14+'TB-EQUIPMENT &amp; OTHER HPs'!BG14+'TB-EQUIPMENT &amp; OTHER HPs'!BH14),IF(SETUP!$G$40=1,$E$660*('TB-EQUIPMENT &amp; OTHER HPs'!BG14+'TB-EQUIPMENT &amp; OTHER HPs'!BH14),0)))),0)</f>
        <v>0</v>
      </c>
      <c r="T662" s="1194">
        <f t="shared" si="94"/>
        <v>0</v>
      </c>
      <c r="U662" s="1328">
        <f t="shared" si="95"/>
        <v>0</v>
      </c>
      <c r="V662" s="1826">
        <v>7.7</v>
      </c>
      <c r="W662" s="1837"/>
      <c r="X662" s="764"/>
      <c r="Y662" s="879"/>
      <c r="Z662" s="850"/>
      <c r="AA662" s="880"/>
      <c r="AB662" s="880"/>
      <c r="AC662" s="880"/>
      <c r="AD662" s="880"/>
      <c r="AE662" s="880"/>
      <c r="AF662" s="880"/>
      <c r="AG662" s="880"/>
      <c r="AH662" s="881"/>
      <c r="AI662" s="880"/>
      <c r="AJ662" s="880"/>
      <c r="AK662" s="880"/>
      <c r="AL662" s="880"/>
      <c r="AM662" s="880"/>
      <c r="AN662" s="880"/>
      <c r="AO662" s="880"/>
      <c r="AP662" s="880"/>
      <c r="AQ662" s="880"/>
      <c r="AR662" s="880"/>
      <c r="AS662" s="880"/>
      <c r="AT662" s="880"/>
      <c r="AU662" s="880"/>
      <c r="AV662" s="880"/>
      <c r="AW662" s="880"/>
      <c r="AX662" s="880"/>
      <c r="AY662" s="880"/>
      <c r="AZ662" s="880"/>
      <c r="BA662" s="880"/>
      <c r="BB662" s="880"/>
      <c r="BC662" s="880"/>
      <c r="BD662" s="880"/>
      <c r="BE662" s="880"/>
      <c r="BF662" s="880"/>
      <c r="BG662" s="880"/>
      <c r="BH662" s="880"/>
      <c r="BI662" s="880"/>
      <c r="BJ662" s="880"/>
      <c r="BK662" s="880"/>
      <c r="BL662" s="880"/>
      <c r="BM662" s="880"/>
      <c r="BN662" s="880"/>
      <c r="BO662" s="880"/>
      <c r="BP662" s="880"/>
      <c r="BQ662" s="880"/>
      <c r="BR662" s="880"/>
      <c r="BS662" s="880"/>
      <c r="BT662" s="880"/>
    </row>
    <row r="663" spans="1:72" s="882" customFormat="1" ht="13.5" hidden="1" collapsed="1" thickBot="1">
      <c r="A663" s="2905"/>
      <c r="B663" s="2906"/>
      <c r="C663" s="2907" t="s">
        <v>1748</v>
      </c>
      <c r="D663" s="2908"/>
      <c r="E663" s="1894">
        <v>0</v>
      </c>
      <c r="F663" s="1328">
        <f>IF(SETUP!$F$41="Upfront",F664,F665)</f>
        <v>0</v>
      </c>
      <c r="G663" s="1194">
        <f>IF(SETUP!$F$41="Upfront",G664,G665)</f>
        <v>0</v>
      </c>
      <c r="H663" s="1194">
        <f>IF(SETUP!$F$41="Upfront",H664,H665)</f>
        <v>0</v>
      </c>
      <c r="I663" s="1194">
        <f>IF(SETUP!$F$41="Upfront",I664,I665)</f>
        <v>0</v>
      </c>
      <c r="J663" s="1194">
        <f t="shared" si="92"/>
        <v>0</v>
      </c>
      <c r="K663" s="1328">
        <f>IF(SETUP!$F$41="Upfront",K664,K665)</f>
        <v>0</v>
      </c>
      <c r="L663" s="1194">
        <f>IF(SETUP!$F$41="Upfront",L664,L665)</f>
        <v>0</v>
      </c>
      <c r="M663" s="1194">
        <f>IF(SETUP!$F$41="Upfront",M664,M665)</f>
        <v>0</v>
      </c>
      <c r="N663" s="1194">
        <f>IF(SETUP!$F$41="Upfront",N664,N665)</f>
        <v>0</v>
      </c>
      <c r="O663" s="1194">
        <f t="shared" si="93"/>
        <v>0</v>
      </c>
      <c r="P663" s="1328">
        <f>IF(SETUP!$F$41="Upfront",P664,P665)</f>
        <v>0</v>
      </c>
      <c r="Q663" s="1194">
        <f>IF(SETUP!$F$41="Upfront",Q664,Q665)</f>
        <v>0</v>
      </c>
      <c r="R663" s="1194">
        <f>IF(SETUP!$F$41="Upfront",R664,R665)</f>
        <v>0</v>
      </c>
      <c r="S663" s="1194">
        <f>IF(SETUP!$F$41="Upfront",S664,S665)</f>
        <v>0</v>
      </c>
      <c r="T663" s="1194">
        <f t="shared" si="94"/>
        <v>0</v>
      </c>
      <c r="U663" s="1328">
        <f t="shared" si="95"/>
        <v>0</v>
      </c>
      <c r="V663" s="1826">
        <v>7.7</v>
      </c>
      <c r="W663" s="1837"/>
      <c r="X663" s="764"/>
      <c r="Y663" s="879"/>
      <c r="Z663" s="850"/>
      <c r="AA663" s="880"/>
      <c r="AB663" s="880"/>
      <c r="AC663" s="880"/>
      <c r="AD663" s="880"/>
      <c r="AE663" s="880"/>
      <c r="AF663" s="880"/>
      <c r="AG663" s="880"/>
      <c r="AH663" s="881"/>
      <c r="AI663" s="880"/>
      <c r="AJ663" s="880"/>
      <c r="AK663" s="880"/>
      <c r="AL663" s="880"/>
      <c r="AM663" s="880"/>
      <c r="AN663" s="880"/>
      <c r="AO663" s="880"/>
      <c r="AP663" s="880"/>
      <c r="AQ663" s="880"/>
      <c r="AR663" s="880"/>
      <c r="AS663" s="880"/>
      <c r="AT663" s="880"/>
      <c r="AU663" s="880"/>
      <c r="AV663" s="880"/>
      <c r="AW663" s="880"/>
      <c r="AX663" s="880"/>
      <c r="AY663" s="880"/>
      <c r="AZ663" s="880"/>
      <c r="BA663" s="880"/>
      <c r="BB663" s="880"/>
      <c r="BC663" s="880"/>
      <c r="BD663" s="880"/>
      <c r="BE663" s="880"/>
      <c r="BF663" s="880"/>
      <c r="BG663" s="880"/>
      <c r="BH663" s="880"/>
      <c r="BI663" s="880"/>
      <c r="BJ663" s="880"/>
      <c r="BK663" s="880"/>
      <c r="BL663" s="880"/>
      <c r="BM663" s="880"/>
      <c r="BN663" s="880"/>
      <c r="BO663" s="880"/>
      <c r="BP663" s="880"/>
      <c r="BQ663" s="880"/>
      <c r="BR663" s="880"/>
      <c r="BS663" s="880"/>
      <c r="BT663" s="880"/>
    </row>
    <row r="664" spans="1:72" s="882" customFormat="1" ht="12.75" hidden="1" customHeight="1" outlineLevel="1">
      <c r="A664" s="2905"/>
      <c r="B664" s="2906"/>
      <c r="C664" s="2889" t="s">
        <v>918</v>
      </c>
      <c r="D664" s="2890"/>
      <c r="E664" s="1896"/>
      <c r="F664" s="1328">
        <f>IF(SETUP!$F$41="Upfront",$E$663*'TB-EQUIPMENT &amp; OTHER HPs'!AW15,0)</f>
        <v>0</v>
      </c>
      <c r="G664" s="1194">
        <f>IF(SETUP!$F$41="Upfront",$E$663*'TB-EQUIPMENT &amp; OTHER HPs'!AX15,0)</f>
        <v>0</v>
      </c>
      <c r="H664" s="1194">
        <f>IF(SETUP!$F$41="Upfront",$E$663*'TB-EQUIPMENT &amp; OTHER HPs'!AY15,0)</f>
        <v>0</v>
      </c>
      <c r="I664" s="1194">
        <f>IF(SETUP!$F$41="Upfront",$E$663*'TB-EQUIPMENT &amp; OTHER HPs'!AZ15,0)</f>
        <v>0</v>
      </c>
      <c r="J664" s="1194">
        <f t="shared" si="92"/>
        <v>0</v>
      </c>
      <c r="K664" s="1328">
        <f>IF(SETUP!$F$41="Upfront",$E$663*'TB-EQUIPMENT &amp; OTHER HPs'!BA15,0)</f>
        <v>0</v>
      </c>
      <c r="L664" s="1194">
        <f>IF(SETUP!$F$41="Upfront",$E$663*'TB-EQUIPMENT &amp; OTHER HPs'!BB15,0)</f>
        <v>0</v>
      </c>
      <c r="M664" s="1194">
        <f>IF(SETUP!$F$41="Upfront",$E$663*'TB-EQUIPMENT &amp; OTHER HPs'!BC15,0)</f>
        <v>0</v>
      </c>
      <c r="N664" s="1194">
        <f>IF(SETUP!$F$41="Upfront",$E$663*'TB-EQUIPMENT &amp; OTHER HPs'!BD15,0)</f>
        <v>0</v>
      </c>
      <c r="O664" s="1194">
        <f t="shared" si="93"/>
        <v>0</v>
      </c>
      <c r="P664" s="1328">
        <f>IF(SETUP!$F$41="Upfront",$E$663*'TB-EQUIPMENT &amp; OTHER HPs'!BE15,0)</f>
        <v>0</v>
      </c>
      <c r="Q664" s="1194">
        <f>IF(SETUP!$F$41="Upfront",$E$663*'TB-EQUIPMENT &amp; OTHER HPs'!BF15,0)</f>
        <v>0</v>
      </c>
      <c r="R664" s="1194">
        <f>IF(SETUP!$F$41="Upfront",$E$663*'TB-EQUIPMENT &amp; OTHER HPs'!BG15,0)</f>
        <v>0</v>
      </c>
      <c r="S664" s="1194">
        <f>IF(SETUP!$F$41="Upfront",$E$663*'TB-EQUIPMENT &amp; OTHER HPs'!BH15,0)</f>
        <v>0</v>
      </c>
      <c r="T664" s="1194">
        <f t="shared" si="94"/>
        <v>0</v>
      </c>
      <c r="U664" s="1328">
        <f t="shared" si="95"/>
        <v>0</v>
      </c>
      <c r="V664" s="1826">
        <v>7.7</v>
      </c>
      <c r="W664" s="1837"/>
      <c r="X664" s="764"/>
      <c r="Y664" s="879"/>
      <c r="Z664" s="850"/>
      <c r="AA664" s="880"/>
      <c r="AB664" s="880"/>
      <c r="AC664" s="880"/>
      <c r="AD664" s="880"/>
      <c r="AE664" s="880"/>
      <c r="AF664" s="880"/>
      <c r="AG664" s="880"/>
      <c r="AH664" s="881"/>
      <c r="AI664" s="880"/>
      <c r="AJ664" s="880"/>
      <c r="AK664" s="880"/>
      <c r="AL664" s="880"/>
      <c r="AM664" s="880"/>
      <c r="AN664" s="880"/>
      <c r="AO664" s="880"/>
      <c r="AP664" s="880"/>
      <c r="AQ664" s="880"/>
      <c r="AR664" s="880"/>
      <c r="AS664" s="880"/>
      <c r="AT664" s="880"/>
      <c r="AU664" s="880"/>
      <c r="AV664" s="880"/>
      <c r="AW664" s="880"/>
      <c r="AX664" s="880"/>
      <c r="AY664" s="880"/>
      <c r="AZ664" s="880"/>
      <c r="BA664" s="880"/>
      <c r="BB664" s="880"/>
      <c r="BC664" s="880"/>
      <c r="BD664" s="880"/>
      <c r="BE664" s="880"/>
      <c r="BF664" s="880"/>
      <c r="BG664" s="880"/>
      <c r="BH664" s="880"/>
      <c r="BI664" s="880"/>
      <c r="BJ664" s="880"/>
      <c r="BK664" s="880"/>
      <c r="BL664" s="880"/>
      <c r="BM664" s="880"/>
      <c r="BN664" s="880"/>
      <c r="BO664" s="880"/>
      <c r="BP664" s="880"/>
      <c r="BQ664" s="880"/>
      <c r="BR664" s="880"/>
      <c r="BS664" s="880"/>
      <c r="BT664" s="880"/>
    </row>
    <row r="665" spans="1:72" s="882" customFormat="1" ht="12.75" hidden="1" customHeight="1" outlineLevel="1">
      <c r="A665" s="2905"/>
      <c r="B665" s="2906"/>
      <c r="C665" s="2889" t="s">
        <v>36</v>
      </c>
      <c r="D665" s="2890"/>
      <c r="E665" s="1896"/>
      <c r="F665" s="1328">
        <v>0</v>
      </c>
      <c r="G665" s="1194">
        <f>IF(SETUP!$F$41="At delivery",IF(SETUP!$G$41=1,$E$663*'TB-EQUIPMENT &amp; OTHER HPs'!AW15,0),0)</f>
        <v>0</v>
      </c>
      <c r="H665" s="1194">
        <f>IF(SETUP!$F$41="At delivery",IF(SETUP!$G$41=2,$E$663*'TB-EQUIPMENT &amp; OTHER HPs'!AW15,IF(SETUP!$G$41=1,$E$663*'TB-EQUIPMENT &amp; OTHER HPs'!AX15,0)),0)</f>
        <v>0</v>
      </c>
      <c r="I665" s="1194">
        <f>IF(SETUP!$F$41="At delivery",IF(SETUP!$G$41=3,$E$663*'TB-EQUIPMENT &amp; OTHER HPs'!AW15,IF(SETUP!$G$41=2,$E$663*'TB-EQUIPMENT &amp; OTHER HPs'!AX15,IF(SETUP!$G$41=1,$E$663*'TB-EQUIPMENT &amp; OTHER HPs'!AY15,0))),0)</f>
        <v>0</v>
      </c>
      <c r="J665" s="1194">
        <f t="shared" si="92"/>
        <v>0</v>
      </c>
      <c r="K665" s="1328">
        <f>IF(SETUP!$F$41="At delivery",IF(SETUP!$G$41=4,$E$663*'TB-EQUIPMENT &amp; OTHER HPs'!AW15,IF(SETUP!$G$41=3,$E$663*'TB-EQUIPMENT &amp; OTHER HPs'!AX15,IF(SETUP!$G$41=2,$E$663*'TB-EQUIPMENT &amp; OTHER HPs'!AY15,IF(SETUP!$G$41=1,$E$663*'TB-EQUIPMENT &amp; OTHER HPs'!AZ15,0)))),0)</f>
        <v>0</v>
      </c>
      <c r="L665" s="1194">
        <f>IF(SETUP!$F$41="At delivery",IF(SETUP!$G$41=4,$E$663*'TB-EQUIPMENT &amp; OTHER HPs'!AX15,IF(SETUP!$G$41=3,$E$663*'TB-EQUIPMENT &amp; OTHER HPs'!AY15,IF(SETUP!$G$41=2,$E$663*'TB-EQUIPMENT &amp; OTHER HPs'!AZ15,IF(SETUP!$G$41=1,$E$663*'TB-EQUIPMENT &amp; OTHER HPs'!BA15,0)))),0)</f>
        <v>0</v>
      </c>
      <c r="M665" s="1194">
        <f>IF(SETUP!$F$41="At delivery",IF(SETUP!$G$41=4,$E$663*'TB-EQUIPMENT &amp; OTHER HPs'!AY15,IF(SETUP!$G$41=3,$E$663*'TB-EQUIPMENT &amp; OTHER HPs'!AZ15,IF(SETUP!$G$41=2,$E$663*'TB-EQUIPMENT &amp; OTHER HPs'!BA15,IF(SETUP!$G$41=1,$E$663*'TB-EQUIPMENT &amp; OTHER HPs'!BB15,0)))),0)</f>
        <v>0</v>
      </c>
      <c r="N665" s="1194">
        <f>IF(SETUP!$F$41="At delivery",IF(SETUP!$G$41=4,$E$663*'TB-EQUIPMENT &amp; OTHER HPs'!AZ15,IF(SETUP!$G$41=3,$E$663*'TB-EQUIPMENT &amp; OTHER HPs'!BA15,IF(SETUP!$G$41=2,$E$663*'TB-EQUIPMENT &amp; OTHER HPs'!BB15,IF(SETUP!$G$41=1,$E$663*'TB-EQUIPMENT &amp; OTHER HPs'!BC15,0)))),0)</f>
        <v>0</v>
      </c>
      <c r="O665" s="1194">
        <f t="shared" si="93"/>
        <v>0</v>
      </c>
      <c r="P665" s="1328">
        <f>IF(SETUP!$F$41="At delivery",IF(SETUP!$G$41=4,$E$663*'TB-EQUIPMENT &amp; OTHER HPs'!BA15,IF(SETUP!$G$41=3,$E$663*'TB-EQUIPMENT &amp; OTHER HPs'!BB15,IF(SETUP!$G$41=2,$E$663*'TB-EQUIPMENT &amp; OTHER HPs'!BC15,IF(SETUP!$G$41=1,$E$663*'TB-EQUIPMENT &amp; OTHER HPs'!BD15,0)))),0)</f>
        <v>0</v>
      </c>
      <c r="Q665" s="1194">
        <f>IF(SETUP!$F$41="At delivery",IF(SETUP!$G$41=4,$E$663*'TB-EQUIPMENT &amp; OTHER HPs'!BB15,IF(SETUP!$G$41=3,$E$663*'TB-EQUIPMENT &amp; OTHER HPs'!BC15,IF(SETUP!$G$41=2,$E$663*'TB-EQUIPMENT &amp; OTHER HPs'!BD15,IF(SETUP!$G$41=1,$E$663*'TB-EQUIPMENT &amp; OTHER HPs'!BE15,0)))),0)</f>
        <v>0</v>
      </c>
      <c r="R665" s="1194">
        <f>IF(SETUP!$F$41="At delivery",IF(SETUP!$G$41=4,$E$663*'TB-EQUIPMENT &amp; OTHER HPs'!BC15,IF(SETUP!$G$41=3,$E$663*'TB-EQUIPMENT &amp; OTHER HPs'!BD15,IF(SETUP!$G$41=2,$E$663*'TB-EQUIPMENT &amp; OTHER HPs'!BE15,IF(SETUP!$G$41=1,$E$663*'TB-EQUIPMENT &amp; OTHER HPs'!BF15,0)))),0)</f>
        <v>0</v>
      </c>
      <c r="S665" s="1194">
        <f>IF(SETUP!$F$41="At delivery",IF(SETUP!$G$41=4,$E$663*('TB-EQUIPMENT &amp; OTHER HPs'!BD15+'TB-EQUIPMENT &amp; OTHER HPs'!BE15+'TB-EQUIPMENT &amp; OTHER HPs'!BF15+'TB-EQUIPMENT &amp; OTHER HPs'!BG15+'TB-EQUIPMENT &amp; OTHER HPs'!BH15),IF(SETUP!$G$41=3,$E$663*('TB-EQUIPMENT &amp; OTHER HPs'!BE15+'TB-EQUIPMENT &amp; OTHER HPs'!BF15+'TB-EQUIPMENT &amp; OTHER HPs'!BG15+'TB-EQUIPMENT &amp; OTHER HPs'!BH15),IF(SETUP!$G$41=2,$E$663*('TB-EQUIPMENT &amp; OTHER HPs'!BF15+'TB-EQUIPMENT &amp; OTHER HPs'!BG15+'TB-EQUIPMENT &amp; OTHER HPs'!BH15),IF(SETUP!$G$41=1,$E$663*('TB-EQUIPMENT &amp; OTHER HPs'!BG15+'TB-EQUIPMENT &amp; OTHER HPs'!BH15),0)))),0)</f>
        <v>0</v>
      </c>
      <c r="T665" s="1194">
        <f t="shared" si="94"/>
        <v>0</v>
      </c>
      <c r="U665" s="1328">
        <f t="shared" si="95"/>
        <v>0</v>
      </c>
      <c r="V665" s="1826">
        <v>7.7</v>
      </c>
      <c r="W665" s="1837"/>
      <c r="X665" s="764"/>
      <c r="Y665" s="879"/>
      <c r="Z665" s="850"/>
      <c r="AA665" s="880"/>
      <c r="AB665" s="880"/>
      <c r="AC665" s="880"/>
      <c r="AD665" s="880"/>
      <c r="AE665" s="880"/>
      <c r="AF665" s="880"/>
      <c r="AG665" s="880"/>
      <c r="AH665" s="881"/>
      <c r="AI665" s="880"/>
      <c r="AJ665" s="880"/>
      <c r="AK665" s="880"/>
      <c r="AL665" s="880"/>
      <c r="AM665" s="880"/>
      <c r="AN665" s="880"/>
      <c r="AO665" s="880"/>
      <c r="AP665" s="880"/>
      <c r="AQ665" s="880"/>
      <c r="AR665" s="880"/>
      <c r="AS665" s="880"/>
      <c r="AT665" s="880"/>
      <c r="AU665" s="880"/>
      <c r="AV665" s="880"/>
      <c r="AW665" s="880"/>
      <c r="AX665" s="880"/>
      <c r="AY665" s="880"/>
      <c r="AZ665" s="880"/>
      <c r="BA665" s="880"/>
      <c r="BB665" s="880"/>
      <c r="BC665" s="880"/>
      <c r="BD665" s="880"/>
      <c r="BE665" s="880"/>
      <c r="BF665" s="880"/>
      <c r="BG665" s="880"/>
      <c r="BH665" s="880"/>
      <c r="BI665" s="880"/>
      <c r="BJ665" s="880"/>
      <c r="BK665" s="880"/>
      <c r="BL665" s="880"/>
      <c r="BM665" s="880"/>
      <c r="BN665" s="880"/>
      <c r="BO665" s="880"/>
      <c r="BP665" s="880"/>
      <c r="BQ665" s="880"/>
      <c r="BR665" s="880"/>
      <c r="BS665" s="880"/>
      <c r="BT665" s="880"/>
    </row>
    <row r="666" spans="1:72" s="882" customFormat="1" ht="13.5" hidden="1" collapsed="1" thickBot="1">
      <c r="A666" s="2905"/>
      <c r="B666" s="2906"/>
      <c r="C666" s="2907" t="s">
        <v>1754</v>
      </c>
      <c r="D666" s="2908"/>
      <c r="E666" s="1894">
        <v>0</v>
      </c>
      <c r="F666" s="1328">
        <f>IF(SETUP!$F$43="Upfront",F667,F668)</f>
        <v>0</v>
      </c>
      <c r="G666" s="1194">
        <f>IF(SETUP!$F$43="Upfront",G667,G668)</f>
        <v>0</v>
      </c>
      <c r="H666" s="1194">
        <f>IF(SETUP!$F$43="Upfront",H667,H668)</f>
        <v>0</v>
      </c>
      <c r="I666" s="1194">
        <f>IF(SETUP!$F$43="Upfront",I667,I668)</f>
        <v>0</v>
      </c>
      <c r="J666" s="1194">
        <f t="shared" si="92"/>
        <v>0</v>
      </c>
      <c r="K666" s="1328">
        <f>IF(SETUP!$F$43="Upfront",K667,K668)</f>
        <v>0</v>
      </c>
      <c r="L666" s="1194">
        <f>IF(SETUP!$F$43="Upfront",L667,L668)</f>
        <v>0</v>
      </c>
      <c r="M666" s="1194">
        <f>IF(SETUP!$F$43="Upfront",M667,M668)</f>
        <v>0</v>
      </c>
      <c r="N666" s="1194">
        <f>IF(SETUP!$F$43="Upfront",N667,N668)</f>
        <v>0</v>
      </c>
      <c r="O666" s="1194">
        <f t="shared" si="93"/>
        <v>0</v>
      </c>
      <c r="P666" s="1328">
        <f>IF(SETUP!$F$43="Upfront",P667,P668)</f>
        <v>0</v>
      </c>
      <c r="Q666" s="1194">
        <f>IF(SETUP!$F$43="Upfront",Q667,Q668)</f>
        <v>0</v>
      </c>
      <c r="R666" s="1194">
        <f>IF(SETUP!$F$43="Upfront",R667,R668)</f>
        <v>0</v>
      </c>
      <c r="S666" s="1194">
        <f>IF(SETUP!$F$43="Upfront",S667,S668)</f>
        <v>0</v>
      </c>
      <c r="T666" s="1194">
        <f t="shared" si="94"/>
        <v>0</v>
      </c>
      <c r="U666" s="1328">
        <f t="shared" si="95"/>
        <v>0</v>
      </c>
      <c r="V666" s="1826">
        <v>7.7</v>
      </c>
      <c r="W666" s="1837"/>
      <c r="X666" s="764"/>
      <c r="Y666" s="879"/>
      <c r="Z666" s="850"/>
      <c r="AA666" s="880"/>
      <c r="AB666" s="880"/>
      <c r="AC666" s="880"/>
      <c r="AD666" s="880"/>
      <c r="AE666" s="880"/>
      <c r="AF666" s="880"/>
      <c r="AG666" s="880"/>
      <c r="AH666" s="881"/>
      <c r="AI666" s="880"/>
      <c r="AJ666" s="880"/>
      <c r="AK666" s="880"/>
      <c r="AL666" s="880"/>
      <c r="AM666" s="880"/>
      <c r="AN666" s="880"/>
      <c r="AO666" s="880"/>
      <c r="AP666" s="880"/>
      <c r="AQ666" s="880"/>
      <c r="AR666" s="880"/>
      <c r="AS666" s="880"/>
      <c r="AT666" s="880"/>
      <c r="AU666" s="880"/>
      <c r="AV666" s="880"/>
      <c r="AW666" s="880"/>
      <c r="AX666" s="880"/>
      <c r="AY666" s="880"/>
      <c r="AZ666" s="880"/>
      <c r="BA666" s="880"/>
      <c r="BB666" s="880"/>
      <c r="BC666" s="880"/>
      <c r="BD666" s="880"/>
      <c r="BE666" s="880"/>
      <c r="BF666" s="880"/>
      <c r="BG666" s="880"/>
      <c r="BH666" s="880"/>
      <c r="BI666" s="880"/>
      <c r="BJ666" s="880"/>
      <c r="BK666" s="880"/>
      <c r="BL666" s="880"/>
      <c r="BM666" s="880"/>
      <c r="BN666" s="880"/>
      <c r="BO666" s="880"/>
      <c r="BP666" s="880"/>
      <c r="BQ666" s="880"/>
      <c r="BR666" s="880"/>
      <c r="BS666" s="880"/>
      <c r="BT666" s="880"/>
    </row>
    <row r="667" spans="1:72" s="882" customFormat="1" ht="12.75" hidden="1" customHeight="1" outlineLevel="1">
      <c r="A667" s="2905"/>
      <c r="B667" s="2906"/>
      <c r="C667" s="2889" t="s">
        <v>918</v>
      </c>
      <c r="D667" s="2890"/>
      <c r="E667" s="1880"/>
      <c r="F667" s="1328">
        <f>IF(SETUP!$F$43="Upfront",$E$666*'TB-EQUIPMENT &amp; OTHER HPs'!AW16,0)</f>
        <v>0</v>
      </c>
      <c r="G667" s="1194">
        <f>IF(SETUP!$F$43="Upfront",$E$666*'TB-EQUIPMENT &amp; OTHER HPs'!AX16,0)</f>
        <v>0</v>
      </c>
      <c r="H667" s="1194">
        <f>IF(SETUP!$F$43="Upfront",$E$666*'TB-EQUIPMENT &amp; OTHER HPs'!AY16,0)</f>
        <v>0</v>
      </c>
      <c r="I667" s="1194">
        <f>IF(SETUP!$F$43="Upfront",$E$666*'TB-EQUIPMENT &amp; OTHER HPs'!AZ16,0)</f>
        <v>0</v>
      </c>
      <c r="J667" s="1194">
        <f t="shared" si="92"/>
        <v>0</v>
      </c>
      <c r="K667" s="1328">
        <f>IF(SETUP!$F$43="Upfront",$E$666*'TB-EQUIPMENT &amp; OTHER HPs'!BA16,0)</f>
        <v>0</v>
      </c>
      <c r="L667" s="1194">
        <f>IF(SETUP!$F$43="Upfront",$E$666*'TB-EQUIPMENT &amp; OTHER HPs'!BB16,0)</f>
        <v>0</v>
      </c>
      <c r="M667" s="1194">
        <f>IF(SETUP!$F$43="Upfront",$E$666*'TB-EQUIPMENT &amp; OTHER HPs'!BC16,0)</f>
        <v>0</v>
      </c>
      <c r="N667" s="1194">
        <f>IF(SETUP!$F$43="Upfront",$E$666*'TB-EQUIPMENT &amp; OTHER HPs'!BD16,0)</f>
        <v>0</v>
      </c>
      <c r="O667" s="1194">
        <f t="shared" si="93"/>
        <v>0</v>
      </c>
      <c r="P667" s="1328">
        <f>IF(SETUP!$F$43="Upfront",$E$666*'TB-EQUIPMENT &amp; OTHER HPs'!BE16,0)</f>
        <v>0</v>
      </c>
      <c r="Q667" s="1194">
        <f>IF(SETUP!$F$43="Upfront",$E$666*'TB-EQUIPMENT &amp; OTHER HPs'!BF16,0)</f>
        <v>0</v>
      </c>
      <c r="R667" s="1194">
        <f>IF(SETUP!$F$43="Upfront",$E$666*'TB-EQUIPMENT &amp; OTHER HPs'!BG16,0)</f>
        <v>0</v>
      </c>
      <c r="S667" s="1194">
        <f>IF(SETUP!$F$43="Upfront",$E$666*'TB-EQUIPMENT &amp; OTHER HPs'!BH16,0)</f>
        <v>0</v>
      </c>
      <c r="T667" s="1194">
        <f t="shared" si="94"/>
        <v>0</v>
      </c>
      <c r="U667" s="1328">
        <f t="shared" si="95"/>
        <v>0</v>
      </c>
      <c r="V667" s="1826">
        <v>7.7</v>
      </c>
      <c r="W667" s="1837"/>
      <c r="X667" s="764"/>
      <c r="Y667" s="879"/>
      <c r="Z667" s="850"/>
      <c r="AA667" s="880"/>
      <c r="AB667" s="880"/>
      <c r="AC667" s="880"/>
      <c r="AD667" s="880"/>
      <c r="AE667" s="880"/>
      <c r="AF667" s="880"/>
      <c r="AG667" s="880"/>
      <c r="AH667" s="881"/>
      <c r="AI667" s="880"/>
      <c r="AJ667" s="880"/>
      <c r="AK667" s="880"/>
      <c r="AL667" s="880"/>
      <c r="AM667" s="880"/>
      <c r="AN667" s="880"/>
      <c r="AO667" s="880"/>
      <c r="AP667" s="880"/>
      <c r="AQ667" s="880"/>
      <c r="AR667" s="880"/>
      <c r="AS667" s="880"/>
      <c r="AT667" s="880"/>
      <c r="AU667" s="880"/>
      <c r="AV667" s="880"/>
      <c r="AW667" s="880"/>
      <c r="AX667" s="880"/>
      <c r="AY667" s="880"/>
      <c r="AZ667" s="880"/>
      <c r="BA667" s="880"/>
      <c r="BB667" s="880"/>
      <c r="BC667" s="880"/>
      <c r="BD667" s="880"/>
      <c r="BE667" s="880"/>
      <c r="BF667" s="880"/>
      <c r="BG667" s="880"/>
      <c r="BH667" s="880"/>
      <c r="BI667" s="880"/>
      <c r="BJ667" s="880"/>
      <c r="BK667" s="880"/>
      <c r="BL667" s="880"/>
      <c r="BM667" s="880"/>
      <c r="BN667" s="880"/>
      <c r="BO667" s="880"/>
      <c r="BP667" s="880"/>
      <c r="BQ667" s="880"/>
      <c r="BR667" s="880"/>
      <c r="BS667" s="880"/>
      <c r="BT667" s="880"/>
    </row>
    <row r="668" spans="1:72" s="882" customFormat="1" ht="12.75" hidden="1" customHeight="1" outlineLevel="1">
      <c r="A668" s="2905"/>
      <c r="B668" s="2906"/>
      <c r="C668" s="2889" t="s">
        <v>36</v>
      </c>
      <c r="D668" s="2890"/>
      <c r="E668" s="1880"/>
      <c r="F668" s="1328">
        <v>0</v>
      </c>
      <c r="G668" s="1194">
        <f>IF(SETUP!$F$43="At delivery",IF(SETUP!$G$43=1,$E$666*'TB-EQUIPMENT &amp; OTHER HPs'!AW16,0),0)</f>
        <v>0</v>
      </c>
      <c r="H668" s="1194">
        <f>IF(SETUP!$F$43="At delivery",IF(SETUP!$G$43=2,$E$666*'TB-EQUIPMENT &amp; OTHER HPs'!AW16,IF(SETUP!$G$43=1,$E$666*'TB-EQUIPMENT &amp; OTHER HPs'!AX16,0)),0)</f>
        <v>0</v>
      </c>
      <c r="I668" s="1194">
        <f>IF(SETUP!$F$43="At delivery",IF(SETUP!$G$43=3,$E$666*'TB-EQUIPMENT &amp; OTHER HPs'!AW16,IF(SETUP!$G$43=2,$E$666*'TB-EQUIPMENT &amp; OTHER HPs'!AX16,IF(SETUP!$G$43=1,$E$666*'TB-EQUIPMENT &amp; OTHER HPs'!AY16,0))),0)</f>
        <v>0</v>
      </c>
      <c r="J668" s="1194">
        <f t="shared" si="92"/>
        <v>0</v>
      </c>
      <c r="K668" s="1328">
        <f>IF(SETUP!$F$43="At delivery",IF(SETUP!$G$43=4,$E$666*'TB-EQUIPMENT &amp; OTHER HPs'!AW16,IF(SETUP!$G$43=3,$E$666*'TB-EQUIPMENT &amp; OTHER HPs'!AX16,IF(SETUP!$G$43=2,$E$666*'TB-EQUIPMENT &amp; OTHER HPs'!AY16,IF(SETUP!$G$43=1,$E$666*'TB-EQUIPMENT &amp; OTHER HPs'!AZ16,0)))),0)</f>
        <v>0</v>
      </c>
      <c r="L668" s="1194">
        <f>IF(SETUP!$F$43="At delivery",IF(SETUP!$G$43=4,$E$666*'TB-EQUIPMENT &amp; OTHER HPs'!AX16,IF(SETUP!$G$43=3,$E$666*'TB-EQUIPMENT &amp; OTHER HPs'!AY16,IF(SETUP!$G$43=2,$E$666*'TB-EQUIPMENT &amp; OTHER HPs'!AZ16,IF(SETUP!$G$43=1,$E$666*'TB-EQUIPMENT &amp; OTHER HPs'!BA16,0)))),0)</f>
        <v>0</v>
      </c>
      <c r="M668" s="1194">
        <f>IF(SETUP!$F$43="At delivery",IF(SETUP!$G$43=4,$E$666*'TB-EQUIPMENT &amp; OTHER HPs'!AY16,IF(SETUP!$G$43=3,$E$666*'TB-EQUIPMENT &amp; OTHER HPs'!AZ16,IF(SETUP!$G$43=2,$E$666*'TB-EQUIPMENT &amp; OTHER HPs'!BA16,IF(SETUP!$G$43=1,$E$666*'TB-EQUIPMENT &amp; OTHER HPs'!BB16,0)))),0)</f>
        <v>0</v>
      </c>
      <c r="N668" s="1194">
        <f>IF(SETUP!$F$43="At delivery",IF(SETUP!$G$43=4,$E$666*'TB-EQUIPMENT &amp; OTHER HPs'!AZ16,IF(SETUP!$G$43=3,$E$666*'TB-EQUIPMENT &amp; OTHER HPs'!BA16,IF(SETUP!$G$43=2,$E$666*'TB-EQUIPMENT &amp; OTHER HPs'!BB16,IF(SETUP!$G$43=1,$E$666*'TB-EQUIPMENT &amp; OTHER HPs'!BC16,0)))),0)</f>
        <v>0</v>
      </c>
      <c r="O668" s="1194">
        <f t="shared" si="93"/>
        <v>0</v>
      </c>
      <c r="P668" s="1328">
        <f>IF(SETUP!$F$43="At delivery",IF(SETUP!$G$43=4,$E$666*'TB-EQUIPMENT &amp; OTHER HPs'!BA16,IF(SETUP!$G$43=3,$E$666*'TB-EQUIPMENT &amp; OTHER HPs'!BB16,IF(SETUP!$G$43=2,$E$666*'TB-EQUIPMENT &amp; OTHER HPs'!BC16,IF(SETUP!$G$43=1,$E$666*'TB-EQUIPMENT &amp; OTHER HPs'!BD16,0)))),0)</f>
        <v>0</v>
      </c>
      <c r="Q668" s="1194">
        <f>IF(SETUP!$F$43="At delivery",IF(SETUP!$G$43=4,$E$666*'TB-EQUIPMENT &amp; OTHER HPs'!BB16,IF(SETUP!$G$43=3,$E$666*'TB-EQUIPMENT &amp; OTHER HPs'!BC16,IF(SETUP!$G$43=2,$E$666*'TB-EQUIPMENT &amp; OTHER HPs'!BD16,IF(SETUP!$G$43=1,$E$666*'TB-EQUIPMENT &amp; OTHER HPs'!BE16,0)))),0)</f>
        <v>0</v>
      </c>
      <c r="R668" s="1194">
        <f>IF(SETUP!$F$43="At delivery",IF(SETUP!$G$43=4,$E$666*'TB-EQUIPMENT &amp; OTHER HPs'!BC16,IF(SETUP!$G$43=3,$E$666*'TB-EQUIPMENT &amp; OTHER HPs'!BD16,IF(SETUP!$G$43=2,$E$666*'TB-EQUIPMENT &amp; OTHER HPs'!BE16,IF(SETUP!$G$43=1,$E$666*'TB-EQUIPMENT &amp; OTHER HPs'!BF16,0)))),0)</f>
        <v>0</v>
      </c>
      <c r="S668" s="1194">
        <f>IF(SETUP!$F$43="At delivery",IF(SETUP!$G$43=4,$E$666*('TB-EQUIPMENT &amp; OTHER HPs'!BD16+'TB-EQUIPMENT &amp; OTHER HPs'!BE16+'TB-EQUIPMENT &amp; OTHER HPs'!BF16+'TB-EQUIPMENT &amp; OTHER HPs'!BG16+'TB-EQUIPMENT &amp; OTHER HPs'!BH16),IF(SETUP!$G$43=3,$E$666*('TB-EQUIPMENT &amp; OTHER HPs'!BE16+'TB-EQUIPMENT &amp; OTHER HPs'!BF16+'TB-EQUIPMENT &amp; OTHER HPs'!BG16+'TB-EQUIPMENT &amp; OTHER HPs'!BH16),IF(SETUP!$G$43=2,$E$666*('TB-EQUIPMENT &amp; OTHER HPs'!BF16+'TB-EQUIPMENT &amp; OTHER HPs'!BG16+'TB-EQUIPMENT &amp; OTHER HPs'!BH16),IF(SETUP!$G$43=1,$E$666*('TB-EQUIPMENT &amp; OTHER HPs'!BG16+'TB-EQUIPMENT &amp; OTHER HPs'!BH16),0)))),0)</f>
        <v>0</v>
      </c>
      <c r="T668" s="1194">
        <f t="shared" si="94"/>
        <v>0</v>
      </c>
      <c r="U668" s="1328">
        <f t="shared" si="95"/>
        <v>0</v>
      </c>
      <c r="V668" s="1826">
        <v>7.7</v>
      </c>
      <c r="W668" s="1837"/>
      <c r="X668" s="764"/>
      <c r="Y668" s="879"/>
      <c r="Z668" s="850"/>
      <c r="AA668" s="880"/>
      <c r="AB668" s="880"/>
      <c r="AC668" s="880"/>
      <c r="AD668" s="880"/>
      <c r="AE668" s="880"/>
      <c r="AF668" s="880"/>
      <c r="AG668" s="880"/>
      <c r="AH668" s="881"/>
      <c r="AI668" s="880"/>
      <c r="AJ668" s="880"/>
      <c r="AK668" s="880"/>
      <c r="AL668" s="880"/>
      <c r="AM668" s="880"/>
      <c r="AN668" s="880"/>
      <c r="AO668" s="880"/>
      <c r="AP668" s="880"/>
      <c r="AQ668" s="880"/>
      <c r="AR668" s="880"/>
      <c r="AS668" s="880"/>
      <c r="AT668" s="880"/>
      <c r="AU668" s="880"/>
      <c r="AV668" s="880"/>
      <c r="AW668" s="880"/>
      <c r="AX668" s="880"/>
      <c r="AY668" s="880"/>
      <c r="AZ668" s="880"/>
      <c r="BA668" s="880"/>
      <c r="BB668" s="880"/>
      <c r="BC668" s="880"/>
      <c r="BD668" s="880"/>
      <c r="BE668" s="880"/>
      <c r="BF668" s="880"/>
      <c r="BG668" s="880"/>
      <c r="BH668" s="880"/>
      <c r="BI668" s="880"/>
      <c r="BJ668" s="880"/>
      <c r="BK668" s="880"/>
      <c r="BL668" s="880"/>
      <c r="BM668" s="880"/>
      <c r="BN668" s="880"/>
      <c r="BO668" s="880"/>
      <c r="BP668" s="880"/>
      <c r="BQ668" s="880"/>
      <c r="BR668" s="880"/>
      <c r="BS668" s="880"/>
      <c r="BT668" s="880"/>
    </row>
    <row r="669" spans="1:72" s="882" customFormat="1" ht="13.5" hidden="1" collapsed="1" thickBot="1">
      <c r="A669" s="2905"/>
      <c r="B669" s="2906"/>
      <c r="C669" s="2907" t="s">
        <v>574</v>
      </c>
      <c r="D669" s="2908"/>
      <c r="E669" s="1894">
        <v>0</v>
      </c>
      <c r="F669" s="1328">
        <f>IF(SETUP!$F$44="Upfront",F670,F671)</f>
        <v>0</v>
      </c>
      <c r="G669" s="1194">
        <f>IF(SETUP!$F$44="Upfront",G670,G671)</f>
        <v>0</v>
      </c>
      <c r="H669" s="1194">
        <f>IF(SETUP!$F$44="Upfront",H670,H671)</f>
        <v>0</v>
      </c>
      <c r="I669" s="1194">
        <f>IF(SETUP!$F$44="Upfront",I670,I671)</f>
        <v>0</v>
      </c>
      <c r="J669" s="1194">
        <f t="shared" si="92"/>
        <v>0</v>
      </c>
      <c r="K669" s="1328">
        <f>IF(SETUP!$F$44="Upfront",K670,K671)</f>
        <v>0</v>
      </c>
      <c r="L669" s="1194">
        <f>IF(SETUP!$F$44="Upfront",L670,L671)</f>
        <v>0</v>
      </c>
      <c r="M669" s="1194">
        <f>IF(SETUP!$F$44="Upfront",M670,M671)</f>
        <v>0</v>
      </c>
      <c r="N669" s="1194">
        <f>IF(SETUP!$F$44="Upfront",N670,N671)</f>
        <v>0</v>
      </c>
      <c r="O669" s="1194">
        <f t="shared" si="93"/>
        <v>0</v>
      </c>
      <c r="P669" s="1328">
        <f>IF(SETUP!$F$44="Upfront",P670,P671)</f>
        <v>0</v>
      </c>
      <c r="Q669" s="1194">
        <f>IF(SETUP!$F$44="Upfront",Q670,Q671)</f>
        <v>0</v>
      </c>
      <c r="R669" s="1194">
        <f>IF(SETUP!$F$44="Upfront",R670,R671)</f>
        <v>0</v>
      </c>
      <c r="S669" s="1194">
        <f>IF(SETUP!$F$44="Upfront",S670,S671)</f>
        <v>0</v>
      </c>
      <c r="T669" s="1194">
        <f t="shared" si="94"/>
        <v>0</v>
      </c>
      <c r="U669" s="1328">
        <f t="shared" si="95"/>
        <v>0</v>
      </c>
      <c r="V669" s="1826">
        <v>7.7</v>
      </c>
      <c r="W669" s="1837"/>
      <c r="X669" s="764"/>
      <c r="Y669" s="879"/>
      <c r="Z669" s="850"/>
      <c r="AA669" s="880"/>
      <c r="AB669" s="880"/>
      <c r="AC669" s="880"/>
      <c r="AD669" s="880"/>
      <c r="AE669" s="880"/>
      <c r="AF669" s="880"/>
      <c r="AG669" s="880"/>
      <c r="AH669" s="881"/>
      <c r="AI669" s="880"/>
      <c r="AJ669" s="880"/>
      <c r="AK669" s="880"/>
      <c r="AL669" s="880"/>
      <c r="AM669" s="880"/>
      <c r="AN669" s="880"/>
      <c r="AO669" s="880"/>
      <c r="AP669" s="880"/>
      <c r="AQ669" s="880"/>
      <c r="AR669" s="880"/>
      <c r="AS669" s="880"/>
      <c r="AT669" s="880"/>
      <c r="AU669" s="880"/>
      <c r="AV669" s="880"/>
      <c r="AW669" s="880"/>
      <c r="AX669" s="880"/>
      <c r="AY669" s="880"/>
      <c r="AZ669" s="880"/>
      <c r="BA669" s="880"/>
      <c r="BB669" s="880"/>
      <c r="BC669" s="880"/>
      <c r="BD669" s="880"/>
      <c r="BE669" s="880"/>
      <c r="BF669" s="880"/>
      <c r="BG669" s="880"/>
      <c r="BH669" s="880"/>
      <c r="BI669" s="880"/>
      <c r="BJ669" s="880"/>
      <c r="BK669" s="880"/>
      <c r="BL669" s="880"/>
      <c r="BM669" s="880"/>
      <c r="BN669" s="880"/>
      <c r="BO669" s="880"/>
      <c r="BP669" s="880"/>
      <c r="BQ669" s="880"/>
      <c r="BR669" s="880"/>
      <c r="BS669" s="880"/>
      <c r="BT669" s="880"/>
    </row>
    <row r="670" spans="1:72" s="882" customFormat="1" ht="12.75" hidden="1" customHeight="1" outlineLevel="1">
      <c r="A670" s="2905"/>
      <c r="B670" s="2906"/>
      <c r="C670" s="2889" t="s">
        <v>918</v>
      </c>
      <c r="D670" s="2890"/>
      <c r="E670" s="1880"/>
      <c r="F670" s="1328">
        <f>IF(SETUP!$F$44="Upfront",$E$669*'TB-EQUIPMENT &amp; OTHER HPs'!AW17,0)</f>
        <v>0</v>
      </c>
      <c r="G670" s="1194">
        <f>IF(SETUP!$F$44="Upfront",$E$669*'TB-EQUIPMENT &amp; OTHER HPs'!AX17,0)</f>
        <v>0</v>
      </c>
      <c r="H670" s="1194">
        <f>IF(SETUP!$F$44="Upfront",$E$669*'TB-EQUIPMENT &amp; OTHER HPs'!AY17,0)</f>
        <v>0</v>
      </c>
      <c r="I670" s="1194">
        <f>IF(SETUP!$F$44="Upfront",$E$669*'TB-EQUIPMENT &amp; OTHER HPs'!AZ17,0)</f>
        <v>0</v>
      </c>
      <c r="J670" s="1194">
        <f t="shared" si="92"/>
        <v>0</v>
      </c>
      <c r="K670" s="1328">
        <f>IF(SETUP!$F$44="Upfront",$E$669*'TB-EQUIPMENT &amp; OTHER HPs'!BA17,0)</f>
        <v>0</v>
      </c>
      <c r="L670" s="1194">
        <f>IF(SETUP!$F$44="Upfront",$E$669*'TB-EQUIPMENT &amp; OTHER HPs'!BB17,0)</f>
        <v>0</v>
      </c>
      <c r="M670" s="1194">
        <f>IF(SETUP!$F$44="Upfront",$E$669*'TB-EQUIPMENT &amp; OTHER HPs'!BC17,0)</f>
        <v>0</v>
      </c>
      <c r="N670" s="1194">
        <f>IF(SETUP!$F$44="Upfront",$E$669*'TB-EQUIPMENT &amp; OTHER HPs'!BD17,0)</f>
        <v>0</v>
      </c>
      <c r="O670" s="1194">
        <f t="shared" si="93"/>
        <v>0</v>
      </c>
      <c r="P670" s="1328">
        <f>IF(SETUP!$F$44="Upfront",$E$669*'TB-EQUIPMENT &amp; OTHER HPs'!BE17,0)</f>
        <v>0</v>
      </c>
      <c r="Q670" s="1194">
        <f>IF(SETUP!$F$44="Upfront",$E$669*'TB-EQUIPMENT &amp; OTHER HPs'!BF17,0)</f>
        <v>0</v>
      </c>
      <c r="R670" s="1194">
        <f>IF(SETUP!$F$44="Upfront",$E$669*'TB-EQUIPMENT &amp; OTHER HPs'!BG17,0)</f>
        <v>0</v>
      </c>
      <c r="S670" s="1194">
        <f>IF(SETUP!$F$44="Upfront",$E$669*'TB-EQUIPMENT &amp; OTHER HPs'!BH17,0)</f>
        <v>0</v>
      </c>
      <c r="T670" s="1194">
        <f t="shared" si="94"/>
        <v>0</v>
      </c>
      <c r="U670" s="1328">
        <f t="shared" si="95"/>
        <v>0</v>
      </c>
      <c r="V670" s="1826">
        <v>7.7</v>
      </c>
      <c r="W670" s="1837"/>
      <c r="X670" s="764"/>
      <c r="Y670" s="879"/>
      <c r="Z670" s="850"/>
      <c r="AA670" s="880"/>
      <c r="AB670" s="880"/>
      <c r="AC670" s="880"/>
      <c r="AD670" s="880"/>
      <c r="AE670" s="880"/>
      <c r="AF670" s="880"/>
      <c r="AG670" s="880"/>
      <c r="AH670" s="881"/>
      <c r="AI670" s="880"/>
      <c r="AJ670" s="880"/>
      <c r="AK670" s="880"/>
      <c r="AL670" s="880"/>
      <c r="AM670" s="880"/>
      <c r="AN670" s="880"/>
      <c r="AO670" s="880"/>
      <c r="AP670" s="880"/>
      <c r="AQ670" s="880"/>
      <c r="AR670" s="880"/>
      <c r="AS670" s="880"/>
      <c r="AT670" s="880"/>
      <c r="AU670" s="880"/>
      <c r="AV670" s="880"/>
      <c r="AW670" s="880"/>
      <c r="AX670" s="880"/>
      <c r="AY670" s="880"/>
      <c r="AZ670" s="880"/>
      <c r="BA670" s="880"/>
      <c r="BB670" s="880"/>
      <c r="BC670" s="880"/>
      <c r="BD670" s="880"/>
      <c r="BE670" s="880"/>
      <c r="BF670" s="880"/>
      <c r="BG670" s="880"/>
      <c r="BH670" s="880"/>
      <c r="BI670" s="880"/>
      <c r="BJ670" s="880"/>
      <c r="BK670" s="880"/>
      <c r="BL670" s="880"/>
      <c r="BM670" s="880"/>
      <c r="BN670" s="880"/>
      <c r="BO670" s="880"/>
      <c r="BP670" s="880"/>
      <c r="BQ670" s="880"/>
      <c r="BR670" s="880"/>
      <c r="BS670" s="880"/>
      <c r="BT670" s="880"/>
    </row>
    <row r="671" spans="1:72" s="882" customFormat="1" ht="12.75" hidden="1" customHeight="1" outlineLevel="1">
      <c r="A671" s="2905"/>
      <c r="B671" s="2906"/>
      <c r="C671" s="2889" t="s">
        <v>36</v>
      </c>
      <c r="D671" s="2890"/>
      <c r="E671" s="1880"/>
      <c r="F671" s="1328">
        <v>0</v>
      </c>
      <c r="G671" s="1194">
        <f>IF(SETUP!$F$44="At delivery",IF(SETUP!$G$44=1,$E$669*'TB-EQUIPMENT &amp; OTHER HPs'!AW17,0),0)</f>
        <v>0</v>
      </c>
      <c r="H671" s="1194">
        <f>IF(SETUP!$F$44="At delivery",IF(SETUP!$G$44=2,$E$669*'TB-EQUIPMENT &amp; OTHER HPs'!AW17,IF(SETUP!$G$44=1,$E$669*'TB-EQUIPMENT &amp; OTHER HPs'!AX17,0)),0)</f>
        <v>0</v>
      </c>
      <c r="I671" s="1194">
        <f>IF(SETUP!$F$44="At delivery",IF(SETUP!$G$44=3,$E$669*'TB-EQUIPMENT &amp; OTHER HPs'!AW17,IF(SETUP!$G$44=2,$E$669*'TB-EQUIPMENT &amp; OTHER HPs'!AX17,IF(SETUP!$G$44=1,$E$669*'TB-EQUIPMENT &amp; OTHER HPs'!AY17,0))),0)</f>
        <v>0</v>
      </c>
      <c r="J671" s="1194">
        <f t="shared" si="92"/>
        <v>0</v>
      </c>
      <c r="K671" s="1328">
        <f>IF(SETUP!$F$44="At delivery",IF(SETUP!$G$44=4,$E$669*'TB-EQUIPMENT &amp; OTHER HPs'!AW17,IF(SETUP!$G$44=3,$E$669*'TB-EQUIPMENT &amp; OTHER HPs'!AX17,IF(SETUP!$G$44=2,$E$669*'TB-EQUIPMENT &amp; OTHER HPs'!AY17,IF(SETUP!$G$44=1,$E$669*'TB-EQUIPMENT &amp; OTHER HPs'!AZ17,0)))),0)</f>
        <v>0</v>
      </c>
      <c r="L671" s="1194">
        <f>IF(SETUP!$F$44="At delivery",IF(SETUP!$G$44=4,$E$669*'TB-EQUIPMENT &amp; OTHER HPs'!AX17,IF(SETUP!$G$44=3,$E$669*'TB-EQUIPMENT &amp; OTHER HPs'!AY17,IF(SETUP!$G$44=2,$E$669*'TB-EQUIPMENT &amp; OTHER HPs'!AZ17,IF(SETUP!$G$44=1,$E$669*'TB-EQUIPMENT &amp; OTHER HPs'!BA17,0)))),0)</f>
        <v>0</v>
      </c>
      <c r="M671" s="1194">
        <f>IF(SETUP!$F$44="At delivery",IF(SETUP!$G$44=4,$E$669*'TB-EQUIPMENT &amp; OTHER HPs'!AY17,IF(SETUP!$G$44=3,$E$669*'TB-EQUIPMENT &amp; OTHER HPs'!AZ17,IF(SETUP!$G$44=2,$E$669*'TB-EQUIPMENT &amp; OTHER HPs'!BA17,IF(SETUP!$G$44=1,$E$669*'TB-EQUIPMENT &amp; OTHER HPs'!BB17,0)))),0)</f>
        <v>0</v>
      </c>
      <c r="N671" s="1194">
        <f>IF(SETUP!$F$44="At delivery",IF(SETUP!$G$44=4,$E$669*'TB-EQUIPMENT &amp; OTHER HPs'!AZ17,IF(SETUP!$G$44=3,$E$669*'TB-EQUIPMENT &amp; OTHER HPs'!BA17,IF(SETUP!$G$44=2,$E$669*'TB-EQUIPMENT &amp; OTHER HPs'!BB17,IF(SETUP!$G$44=1,$E$669*'TB-EQUIPMENT &amp; OTHER HPs'!BC17,0)))),0)</f>
        <v>0</v>
      </c>
      <c r="O671" s="1194">
        <f t="shared" si="93"/>
        <v>0</v>
      </c>
      <c r="P671" s="1328">
        <f>IF(SETUP!$F$44="At delivery",IF(SETUP!$G$44=4,$E$669*'TB-EQUIPMENT &amp; OTHER HPs'!BA17,IF(SETUP!$G$44=3,$E$669*'TB-EQUIPMENT &amp; OTHER HPs'!BB17,IF(SETUP!$G$44=2,$E$669*'TB-EQUIPMENT &amp; OTHER HPs'!BC17,IF(SETUP!$G$44=1,$E$669*'TB-EQUIPMENT &amp; OTHER HPs'!BD17,0)))),0)</f>
        <v>0</v>
      </c>
      <c r="Q671" s="1194">
        <f>IF(SETUP!$F$44="At delivery",IF(SETUP!$G$44=4,$E$669*'TB-EQUIPMENT &amp; OTHER HPs'!BB17,IF(SETUP!$G$44=3,$E$669*'TB-EQUIPMENT &amp; OTHER HPs'!BC17,IF(SETUP!$G$44=2,$E$669*'TB-EQUIPMENT &amp; OTHER HPs'!BD17,IF(SETUP!$G$44=1,$E$669*'TB-EQUIPMENT &amp; OTHER HPs'!BE17,0)))),0)</f>
        <v>0</v>
      </c>
      <c r="R671" s="1194">
        <f>IF(SETUP!$F$44="At delivery",IF(SETUP!$G$44=4,$E$669*'TB-EQUIPMENT &amp; OTHER HPs'!BC17,IF(SETUP!$G$44=3,$E$669*'TB-EQUIPMENT &amp; OTHER HPs'!BD17,IF(SETUP!$G$44=2,$E$669*'TB-EQUIPMENT &amp; OTHER HPs'!BE17,IF(SETUP!$G$44=1,$E$669*'TB-EQUIPMENT &amp; OTHER HPs'!BF17,0)))),0)</f>
        <v>0</v>
      </c>
      <c r="S671" s="1194">
        <f>IF(SETUP!$F$44="At delivery",IF(SETUP!$G$44=4,$E$669*('TB-EQUIPMENT &amp; OTHER HPs'!BD17+'TB-EQUIPMENT &amp; OTHER HPs'!BE17+'TB-EQUIPMENT &amp; OTHER HPs'!BF17+'TB-EQUIPMENT &amp; OTHER HPs'!BG17+'TB-EQUIPMENT &amp; OTHER HPs'!BH17),IF(SETUP!$G$44=3,$E$669*('TB-EQUIPMENT &amp; OTHER HPs'!BE17+'TB-EQUIPMENT &amp; OTHER HPs'!BF17+'TB-EQUIPMENT &amp; OTHER HPs'!BG17+'TB-EQUIPMENT &amp; OTHER HPs'!BH17),IF(SETUP!$G$44=2,$E$669*('TB-EQUIPMENT &amp; OTHER HPs'!BF17+'TB-EQUIPMENT &amp; OTHER HPs'!BG17+'TB-EQUIPMENT &amp; OTHER HPs'!BH17),IF(SETUP!$G$44=1,$E$669*('TB-EQUIPMENT &amp; OTHER HPs'!BG17+'TB-EQUIPMENT &amp; OTHER HPs'!BH17),0)))),0)</f>
        <v>0</v>
      </c>
      <c r="T671" s="1194">
        <f t="shared" si="94"/>
        <v>0</v>
      </c>
      <c r="U671" s="1328">
        <f t="shared" si="95"/>
        <v>0</v>
      </c>
      <c r="V671" s="1826">
        <v>7.7</v>
      </c>
      <c r="W671" s="1837"/>
      <c r="X671" s="764"/>
      <c r="Y671" s="879"/>
      <c r="Z671" s="850"/>
      <c r="AA671" s="880"/>
      <c r="AB671" s="880"/>
      <c r="AC671" s="880"/>
      <c r="AD671" s="880"/>
      <c r="AE671" s="880"/>
      <c r="AF671" s="880"/>
      <c r="AG671" s="880"/>
      <c r="AH671" s="881"/>
      <c r="AI671" s="880"/>
      <c r="AJ671" s="880"/>
      <c r="AK671" s="880"/>
      <c r="AL671" s="880"/>
      <c r="AM671" s="880"/>
      <c r="AN671" s="880"/>
      <c r="AO671" s="880"/>
      <c r="AP671" s="880"/>
      <c r="AQ671" s="880"/>
      <c r="AR671" s="880"/>
      <c r="AS671" s="880"/>
      <c r="AT671" s="880"/>
      <c r="AU671" s="880"/>
      <c r="AV671" s="880"/>
      <c r="AW671" s="880"/>
      <c r="AX671" s="880"/>
      <c r="AY671" s="880"/>
      <c r="AZ671" s="880"/>
      <c r="BA671" s="880"/>
      <c r="BB671" s="880"/>
      <c r="BC671" s="880"/>
      <c r="BD671" s="880"/>
      <c r="BE671" s="880"/>
      <c r="BF671" s="880"/>
      <c r="BG671" s="880"/>
      <c r="BH671" s="880"/>
      <c r="BI671" s="880"/>
      <c r="BJ671" s="880"/>
      <c r="BK671" s="880"/>
      <c r="BL671" s="880"/>
      <c r="BM671" s="880"/>
      <c r="BN671" s="880"/>
      <c r="BO671" s="880"/>
      <c r="BP671" s="880"/>
      <c r="BQ671" s="880"/>
      <c r="BR671" s="880"/>
      <c r="BS671" s="880"/>
      <c r="BT671" s="880"/>
    </row>
    <row r="672" spans="1:72" s="882" customFormat="1" ht="13.5" hidden="1" collapsed="1" thickBot="1">
      <c r="A672" s="2909" t="s">
        <v>575</v>
      </c>
      <c r="B672" s="2910"/>
      <c r="C672" s="2891" t="s">
        <v>576</v>
      </c>
      <c r="D672" s="2892"/>
      <c r="E672" s="2886">
        <v>0</v>
      </c>
      <c r="F672" s="1328">
        <f>IF(SETUP!$F$50="Upfront",F673,F674)</f>
        <v>0</v>
      </c>
      <c r="G672" s="1194">
        <f>IF(SETUP!$F$50="Upfront",G673,G674)</f>
        <v>0</v>
      </c>
      <c r="H672" s="1194">
        <f>IF(SETUP!$F$50="Upfront",H673,H674)</f>
        <v>0</v>
      </c>
      <c r="I672" s="1194">
        <f>IF(SETUP!$F$50="Upfront",I673,I674)</f>
        <v>0</v>
      </c>
      <c r="J672" s="1194">
        <f t="shared" si="92"/>
        <v>0</v>
      </c>
      <c r="K672" s="1328">
        <f>IF(SETUP!$F$50="Upfront",K673,K674)</f>
        <v>0</v>
      </c>
      <c r="L672" s="1194">
        <f>IF(SETUP!$F$50="Upfront",L673,L674)</f>
        <v>0</v>
      </c>
      <c r="M672" s="1194">
        <f>IF(SETUP!$F$50="Upfront",M673,M674)</f>
        <v>0</v>
      </c>
      <c r="N672" s="1194">
        <f>IF(SETUP!$F$50="Upfront",N673,N674)</f>
        <v>0</v>
      </c>
      <c r="O672" s="1194">
        <f t="shared" si="93"/>
        <v>0</v>
      </c>
      <c r="P672" s="1328">
        <f>IF(SETUP!$F$50="Upfront",P673,P674)</f>
        <v>0</v>
      </c>
      <c r="Q672" s="1194">
        <f>IF(SETUP!$F$50="Upfront",Q673,Q674)</f>
        <v>0</v>
      </c>
      <c r="R672" s="1194">
        <f>IF(SETUP!$F$50="Upfront",R673,R674)</f>
        <v>0</v>
      </c>
      <c r="S672" s="1194">
        <f>IF(SETUP!$F$50="Upfront",S673,S674)</f>
        <v>0</v>
      </c>
      <c r="T672" s="1194">
        <f t="shared" si="94"/>
        <v>0</v>
      </c>
      <c r="U672" s="1328">
        <f t="shared" si="95"/>
        <v>0</v>
      </c>
      <c r="V672" s="1826">
        <v>7.7</v>
      </c>
      <c r="W672" s="1837"/>
      <c r="X672" s="764"/>
      <c r="Y672" s="879"/>
      <c r="Z672" s="850"/>
      <c r="AA672" s="880"/>
      <c r="AB672" s="880"/>
      <c r="AC672" s="880"/>
      <c r="AD672" s="880"/>
      <c r="AE672" s="880"/>
      <c r="AF672" s="880"/>
      <c r="AG672" s="880"/>
      <c r="AH672" s="881"/>
      <c r="AI672" s="880"/>
      <c r="AJ672" s="880"/>
      <c r="AK672" s="880"/>
      <c r="AL672" s="880"/>
      <c r="AM672" s="880"/>
      <c r="AN672" s="880"/>
      <c r="AO672" s="880"/>
      <c r="AP672" s="880"/>
      <c r="AQ672" s="880"/>
      <c r="AR672" s="880"/>
      <c r="AS672" s="880"/>
      <c r="AT672" s="880"/>
      <c r="AU672" s="880"/>
      <c r="AV672" s="880"/>
      <c r="AW672" s="880"/>
      <c r="AX672" s="880"/>
      <c r="AY672" s="880"/>
      <c r="AZ672" s="880"/>
      <c r="BA672" s="880"/>
      <c r="BB672" s="880"/>
      <c r="BC672" s="880"/>
      <c r="BD672" s="880"/>
      <c r="BE672" s="880"/>
      <c r="BF672" s="880"/>
      <c r="BG672" s="880"/>
      <c r="BH672" s="880"/>
      <c r="BI672" s="880"/>
      <c r="BJ672" s="880"/>
      <c r="BK672" s="880"/>
      <c r="BL672" s="880"/>
      <c r="BM672" s="880"/>
      <c r="BN672" s="880"/>
      <c r="BO672" s="880"/>
      <c r="BP672" s="880"/>
      <c r="BQ672" s="880"/>
      <c r="BR672" s="880"/>
      <c r="BS672" s="880"/>
      <c r="BT672" s="880"/>
    </row>
    <row r="673" spans="1:72" s="882" customFormat="1" ht="16.149999999999999" hidden="1" customHeight="1" outlineLevel="1">
      <c r="A673" s="2909"/>
      <c r="B673" s="2910"/>
      <c r="C673" s="2889" t="s">
        <v>918</v>
      </c>
      <c r="D673" s="2890"/>
      <c r="E673" s="2887"/>
      <c r="F673" s="1328">
        <f>IF(SETUP!$F$50="Upfront",$E$672*'Malaria-Pharmaceuticals'!AW14,0)</f>
        <v>0</v>
      </c>
      <c r="G673" s="1194">
        <f>IF(SETUP!$F$50="Upfront",$E$672*'Malaria-Pharmaceuticals'!AX14,0)</f>
        <v>0</v>
      </c>
      <c r="H673" s="1194">
        <f>IF(SETUP!$F$50="Upfront",$E$672*'Malaria-Pharmaceuticals'!AY14,0)</f>
        <v>0</v>
      </c>
      <c r="I673" s="1194">
        <f>IF(SETUP!$F$50="Upfront",$E$672*'Malaria-Pharmaceuticals'!AZ14,0)</f>
        <v>0</v>
      </c>
      <c r="J673" s="1194">
        <f t="shared" si="92"/>
        <v>0</v>
      </c>
      <c r="K673" s="1328">
        <f>IF(SETUP!$F$50="Upfront",$E$672*'Malaria-Pharmaceuticals'!BA14,0)</f>
        <v>0</v>
      </c>
      <c r="L673" s="1194">
        <f>IF(SETUP!$F$50="Upfront",$E$672*'Malaria-Pharmaceuticals'!BB14,0)</f>
        <v>0</v>
      </c>
      <c r="M673" s="1194">
        <f>IF(SETUP!$F$50="Upfront",$E$672*'Malaria-Pharmaceuticals'!BC14,0)</f>
        <v>0</v>
      </c>
      <c r="N673" s="1194">
        <f>IF(SETUP!$F$50="Upfront",$E$672*'Malaria-Pharmaceuticals'!BD14,0)</f>
        <v>0</v>
      </c>
      <c r="O673" s="1194">
        <f t="shared" si="93"/>
        <v>0</v>
      </c>
      <c r="P673" s="1328">
        <f>IF(SETUP!$F$50="Upfront",$E$672*'Malaria-Pharmaceuticals'!BE14,0)</f>
        <v>0</v>
      </c>
      <c r="Q673" s="1194">
        <f>IF(SETUP!$F$50="Upfront",$E$672*'Malaria-Pharmaceuticals'!BF14,0)</f>
        <v>0</v>
      </c>
      <c r="R673" s="1194">
        <f>IF(SETUP!$F$50="Upfront",$E$672*'Malaria-Pharmaceuticals'!BG14,0)</f>
        <v>0</v>
      </c>
      <c r="S673" s="1194">
        <f>IF(SETUP!$F$50="Upfront",$E$672*'Malaria-Pharmaceuticals'!BH14,0)</f>
        <v>0</v>
      </c>
      <c r="T673" s="1194">
        <f t="shared" si="94"/>
        <v>0</v>
      </c>
      <c r="U673" s="1328">
        <f t="shared" si="95"/>
        <v>0</v>
      </c>
      <c r="V673" s="1826">
        <v>7.7</v>
      </c>
      <c r="W673" s="1837"/>
      <c r="X673" s="764"/>
      <c r="Y673" s="879"/>
      <c r="Z673" s="850"/>
      <c r="AA673" s="880"/>
      <c r="AB673" s="880"/>
      <c r="AC673" s="880"/>
      <c r="AD673" s="880"/>
      <c r="AE673" s="880"/>
      <c r="AF673" s="880"/>
      <c r="AG673" s="880"/>
      <c r="AH673" s="881"/>
      <c r="AI673" s="880"/>
      <c r="AJ673" s="880"/>
      <c r="AK673" s="880"/>
      <c r="AL673" s="880"/>
      <c r="AM673" s="880"/>
      <c r="AN673" s="880"/>
      <c r="AO673" s="880"/>
      <c r="AP673" s="880"/>
      <c r="AQ673" s="880"/>
      <c r="AR673" s="880"/>
      <c r="AS673" s="880"/>
      <c r="AT673" s="880"/>
      <c r="AU673" s="880"/>
      <c r="AV673" s="880"/>
      <c r="AW673" s="880"/>
      <c r="AX673" s="880"/>
      <c r="AY673" s="880"/>
      <c r="AZ673" s="880"/>
      <c r="BA673" s="880"/>
      <c r="BB673" s="880"/>
      <c r="BC673" s="880"/>
      <c r="BD673" s="880"/>
      <c r="BE673" s="880"/>
      <c r="BF673" s="880"/>
      <c r="BG673" s="880"/>
      <c r="BH673" s="880"/>
      <c r="BI673" s="880"/>
      <c r="BJ673" s="880"/>
      <c r="BK673" s="880"/>
      <c r="BL673" s="880"/>
      <c r="BM673" s="880"/>
      <c r="BN673" s="880"/>
      <c r="BO673" s="880"/>
      <c r="BP673" s="880"/>
      <c r="BQ673" s="880"/>
      <c r="BR673" s="880"/>
      <c r="BS673" s="880"/>
      <c r="BT673" s="880"/>
    </row>
    <row r="674" spans="1:72" s="882" customFormat="1" ht="17.25" hidden="1" customHeight="1" outlineLevel="1">
      <c r="A674" s="2909"/>
      <c r="B674" s="2910"/>
      <c r="C674" s="2889" t="s">
        <v>36</v>
      </c>
      <c r="D674" s="2890"/>
      <c r="E674" s="2887"/>
      <c r="F674" s="1328">
        <v>0</v>
      </c>
      <c r="G674" s="1194">
        <f>IF(SETUP!$F$50="At delivery",IF(SETUP!$G$50=1,$E$672*'Malaria-Pharmaceuticals'!AW14,0),0)</f>
        <v>0</v>
      </c>
      <c r="H674" s="1194">
        <f>IF(SETUP!$F$50="At delivery",IF(SETUP!$G$50=2,$E$672*'Malaria-Pharmaceuticals'!AW14,IF(SETUP!$G$50=1,$E$672*'Malaria-Pharmaceuticals'!AX14,0)),0)</f>
        <v>0</v>
      </c>
      <c r="I674" s="1194">
        <f>IF(SETUP!$F$50="At delivery",IF(SETUP!$G$50=3,$E$672*'Malaria-Pharmaceuticals'!AW14,IF(SETUP!$G$50=2,$E$672*'Malaria-Pharmaceuticals'!AX14,IF(SETUP!$G$50=1,$E$672*'Malaria-Pharmaceuticals'!AY14,0))),0)</f>
        <v>0</v>
      </c>
      <c r="J674" s="1194">
        <f t="shared" ref="J674:J696" si="96">F674+G674+H674+I674</f>
        <v>0</v>
      </c>
      <c r="K674" s="1328">
        <f>IF(SETUP!$F$50="At delivery",IF(SETUP!$G$50=4,$E$672*'Malaria-Pharmaceuticals'!AW14,IF(SETUP!$G$50=3,$E$672*'Malaria-Pharmaceuticals'!AX14,IF(SETUP!$G$50=2,$E$672*'Malaria-Pharmaceuticals'!AY14,IF(SETUP!$G$50=1,$E$672*'Malaria-Pharmaceuticals'!AZ14,0)))),0)</f>
        <v>0</v>
      </c>
      <c r="L674" s="1194">
        <f>IF(SETUP!$F$50="At delivery",IF(SETUP!$G$50=4,$E$672*'Malaria-Pharmaceuticals'!AX14,IF(SETUP!$G$50=3,$E$672*'Malaria-Pharmaceuticals'!AY14,IF(SETUP!$G$50=2,$E$672*'Malaria-Pharmaceuticals'!AZ14,IF(SETUP!$G$50=1,$E$672*'Malaria-Pharmaceuticals'!BA14,0)))),0)</f>
        <v>0</v>
      </c>
      <c r="M674" s="1194">
        <f>IF(SETUP!$F$50="At delivery",IF(SETUP!$G$50=4,$E$672*'Malaria-Pharmaceuticals'!AY14,IF(SETUP!$G$50=3,$E$672*'Malaria-Pharmaceuticals'!AZ14,IF(SETUP!$G$50=2,$E$672*'Malaria-Pharmaceuticals'!BA14,IF(SETUP!$G$50=1,$E$672*'Malaria-Pharmaceuticals'!BB14,0)))),0)</f>
        <v>0</v>
      </c>
      <c r="N674" s="1194">
        <f>IF(SETUP!$F$50="At delivery",IF(SETUP!$G$50=4,$E$672*'Malaria-Pharmaceuticals'!AZ14,IF(SETUP!$G$50=3,$E$672*'Malaria-Pharmaceuticals'!BA14,IF(SETUP!$G$50=2,$E$672*'Malaria-Pharmaceuticals'!BB14,IF(SETUP!$G$50=1,$E$672*'Malaria-Pharmaceuticals'!BC14,0)))),0)</f>
        <v>0</v>
      </c>
      <c r="O674" s="1194">
        <f t="shared" ref="O674:O696" si="97">K674+L674+M674+N674</f>
        <v>0</v>
      </c>
      <c r="P674" s="1328">
        <f>IF(SETUP!$F$50="At delivery",IF(SETUP!$G$50=4,$E$672*'Malaria-Pharmaceuticals'!BA14,IF(SETUP!$G$50=3,$E$672*'Malaria-Pharmaceuticals'!BB14,IF(SETUP!$G$50=2,$E$672*'Malaria-Pharmaceuticals'!BC14,IF(SETUP!$G$50=1,$E$672*'Malaria-Pharmaceuticals'!BD14,0)))),0)</f>
        <v>0</v>
      </c>
      <c r="Q674" s="1194">
        <f>IF(SETUP!$F$50="At delivery",IF(SETUP!$G$50=4,$E$672*'Malaria-Pharmaceuticals'!BB14,IF(SETUP!$G$50=3,$E$672*'Malaria-Pharmaceuticals'!BC14,IF(SETUP!$G$50=2,$E$672*'Malaria-Pharmaceuticals'!BD14,IF(SETUP!$G$50=1,$E$672*'Malaria-Pharmaceuticals'!BE14,0)))),0)</f>
        <v>0</v>
      </c>
      <c r="R674" s="1194">
        <f>IF(SETUP!$F$50="At delivery",IF(SETUP!$G$50=4,$E$672*'Malaria-Pharmaceuticals'!BC14,IF(SETUP!$G$50=3,$E$672*'Malaria-Pharmaceuticals'!BD14,IF(SETUP!$G$50=2,$E$672*'Malaria-Pharmaceuticals'!BE14,IF(SETUP!$G$50=1,$E$672*'Malaria-Pharmaceuticals'!BF14,0)))),0)</f>
        <v>0</v>
      </c>
      <c r="S674" s="1194">
        <f>IF(SETUP!$F$50="At delivery",IF(SETUP!$G$50=4,$E$672*('Malaria-Pharmaceuticals'!BD14+'Malaria-Pharmaceuticals'!BE14+'Malaria-Pharmaceuticals'!BF14+'Malaria-Pharmaceuticals'!BG14+'Malaria-Pharmaceuticals'!BH14),IF(SETUP!$G$50=3,$E$672*('Malaria-Pharmaceuticals'!BE14+'Malaria-Pharmaceuticals'!BF14+'Malaria-Pharmaceuticals'!BG14+'Malaria-Pharmaceuticals'!BH14),IF(SETUP!$G$50=2,$E$672*('Malaria-Pharmaceuticals'!BF14+'Malaria-Pharmaceuticals'!BG14+'Malaria-Pharmaceuticals'!BH14),IF(SETUP!$G$50=1,$E$672*('Malaria-Pharmaceuticals'!BG14+'Malaria-Pharmaceuticals'!BH14),0)))),0)</f>
        <v>0</v>
      </c>
      <c r="T674" s="1194">
        <f t="shared" ref="T674:T696" si="98">P674+Q674+R674+S674</f>
        <v>0</v>
      </c>
      <c r="U674" s="1328">
        <f t="shared" ref="U674:U696" si="99">J674+O674+T674</f>
        <v>0</v>
      </c>
      <c r="V674" s="1826">
        <v>7.7</v>
      </c>
      <c r="W674" s="1837"/>
      <c r="X674" s="764"/>
      <c r="Y674" s="879"/>
      <c r="Z674" s="850"/>
      <c r="AA674" s="880"/>
      <c r="AB674" s="880"/>
      <c r="AC674" s="880"/>
      <c r="AD674" s="880"/>
      <c r="AE674" s="880"/>
      <c r="AF674" s="880"/>
      <c r="AG674" s="880"/>
      <c r="AH674" s="881"/>
      <c r="AI674" s="880"/>
      <c r="AJ674" s="880"/>
      <c r="AK674" s="880"/>
      <c r="AL674" s="880"/>
      <c r="AM674" s="880"/>
      <c r="AN674" s="880"/>
      <c r="AO674" s="880"/>
      <c r="AP674" s="880"/>
      <c r="AQ674" s="880"/>
      <c r="AR674" s="880"/>
      <c r="AS674" s="880"/>
      <c r="AT674" s="880"/>
      <c r="AU674" s="880"/>
      <c r="AV674" s="880"/>
      <c r="AW674" s="880"/>
      <c r="AX674" s="880"/>
      <c r="AY674" s="880"/>
      <c r="AZ674" s="880"/>
      <c r="BA674" s="880"/>
      <c r="BB674" s="880"/>
      <c r="BC674" s="880"/>
      <c r="BD674" s="880"/>
      <c r="BE674" s="880"/>
      <c r="BF674" s="880"/>
      <c r="BG674" s="880"/>
      <c r="BH674" s="880"/>
      <c r="BI674" s="880"/>
      <c r="BJ674" s="880"/>
      <c r="BK674" s="880"/>
      <c r="BL674" s="880"/>
      <c r="BM674" s="880"/>
      <c r="BN674" s="880"/>
      <c r="BO674" s="880"/>
      <c r="BP674" s="880"/>
      <c r="BQ674" s="880"/>
      <c r="BR674" s="880"/>
      <c r="BS674" s="880"/>
      <c r="BT674" s="880"/>
    </row>
    <row r="675" spans="1:72" s="882" customFormat="1" ht="13.5" hidden="1" collapsed="1" thickBot="1">
      <c r="A675" s="2909"/>
      <c r="B675" s="2910"/>
      <c r="C675" s="2891" t="s">
        <v>578</v>
      </c>
      <c r="D675" s="2892"/>
      <c r="E675" s="2887"/>
      <c r="F675" s="1328">
        <f>IF(SETUP!$F$51="Upfront",F676,F677)</f>
        <v>0</v>
      </c>
      <c r="G675" s="1194">
        <f>IF(SETUP!$F$51="Upfront",G676,G677)</f>
        <v>0</v>
      </c>
      <c r="H675" s="1194">
        <f>IF(SETUP!$F$51="Upfront",H676,H677)</f>
        <v>0</v>
      </c>
      <c r="I675" s="1194">
        <f>IF(SETUP!$F$51="Upfront",I676,I677)</f>
        <v>0</v>
      </c>
      <c r="J675" s="1194">
        <f t="shared" si="96"/>
        <v>0</v>
      </c>
      <c r="K675" s="1328">
        <f>IF(SETUP!$F$51="Upfront",K676,K677)</f>
        <v>0</v>
      </c>
      <c r="L675" s="1194">
        <f>IF(SETUP!$F$51="Upfront",L676,L677)</f>
        <v>0</v>
      </c>
      <c r="M675" s="1194">
        <f>IF(SETUP!$F$51="Upfront",M676,M677)</f>
        <v>0</v>
      </c>
      <c r="N675" s="1194">
        <f>IF(SETUP!$F$51="Upfront",N676,N677)</f>
        <v>0</v>
      </c>
      <c r="O675" s="1194">
        <f t="shared" si="97"/>
        <v>0</v>
      </c>
      <c r="P675" s="1328">
        <f>IF(SETUP!$F$51="Upfront",P676,P677)</f>
        <v>0</v>
      </c>
      <c r="Q675" s="1194">
        <f>IF(SETUP!$F$51="Upfront",Q676,Q677)</f>
        <v>0</v>
      </c>
      <c r="R675" s="1194">
        <f>IF(SETUP!$F$51="Upfront",R676,R677)</f>
        <v>0</v>
      </c>
      <c r="S675" s="1194">
        <f>IF(SETUP!$F$51="Upfront",S676,S677)</f>
        <v>0</v>
      </c>
      <c r="T675" s="1194">
        <f t="shared" si="98"/>
        <v>0</v>
      </c>
      <c r="U675" s="1328">
        <f t="shared" si="99"/>
        <v>0</v>
      </c>
      <c r="V675" s="1826">
        <v>7.7</v>
      </c>
      <c r="W675" s="1837"/>
      <c r="X675" s="764"/>
      <c r="Y675" s="879"/>
      <c r="Z675" s="850"/>
      <c r="AA675" s="880"/>
      <c r="AB675" s="880"/>
      <c r="AC675" s="880"/>
      <c r="AD675" s="880"/>
      <c r="AE675" s="880"/>
      <c r="AF675" s="880"/>
      <c r="AG675" s="880"/>
      <c r="AH675" s="881"/>
      <c r="AI675" s="880"/>
      <c r="AJ675" s="880"/>
      <c r="AK675" s="880"/>
      <c r="AL675" s="880"/>
      <c r="AM675" s="880"/>
      <c r="AN675" s="880"/>
      <c r="AO675" s="880"/>
      <c r="AP675" s="880"/>
      <c r="AQ675" s="880"/>
      <c r="AR675" s="880"/>
      <c r="AS675" s="880"/>
      <c r="AT675" s="880"/>
      <c r="AU675" s="880"/>
      <c r="AV675" s="880"/>
      <c r="AW675" s="880"/>
      <c r="AX675" s="880"/>
      <c r="AY675" s="880"/>
      <c r="AZ675" s="880"/>
      <c r="BA675" s="880"/>
      <c r="BB675" s="880"/>
      <c r="BC675" s="880"/>
      <c r="BD675" s="880"/>
      <c r="BE675" s="880"/>
      <c r="BF675" s="880"/>
      <c r="BG675" s="880"/>
      <c r="BH675" s="880"/>
      <c r="BI675" s="880"/>
      <c r="BJ675" s="880"/>
      <c r="BK675" s="880"/>
      <c r="BL675" s="880"/>
      <c r="BM675" s="880"/>
      <c r="BN675" s="880"/>
      <c r="BO675" s="880"/>
      <c r="BP675" s="880"/>
      <c r="BQ675" s="880"/>
      <c r="BR675" s="880"/>
      <c r="BS675" s="880"/>
      <c r="BT675" s="880"/>
    </row>
    <row r="676" spans="1:72" s="882" customFormat="1" ht="12.75" hidden="1" customHeight="1" outlineLevel="1">
      <c r="A676" s="2909"/>
      <c r="B676" s="2910"/>
      <c r="C676" s="2889" t="s">
        <v>918</v>
      </c>
      <c r="D676" s="2890"/>
      <c r="E676" s="2887"/>
      <c r="F676" s="1328">
        <f>IF(SETUP!$F$50="Upfront",$E$672*'Malaria-Pharmaceuticals'!AW15,0)</f>
        <v>0</v>
      </c>
      <c r="G676" s="1194">
        <f>IF(SETUP!$F$50="Upfront",$E$672*'Malaria-Pharmaceuticals'!AX15,0)</f>
        <v>0</v>
      </c>
      <c r="H676" s="1194">
        <f>IF(SETUP!$F$50="Upfront",$E$672*'Malaria-Pharmaceuticals'!AY15,0)</f>
        <v>0</v>
      </c>
      <c r="I676" s="1194">
        <f>IF(SETUP!$F$50="Upfront",$E$672*'Malaria-Pharmaceuticals'!AZ15,0)</f>
        <v>0</v>
      </c>
      <c r="J676" s="1194">
        <f t="shared" si="96"/>
        <v>0</v>
      </c>
      <c r="K676" s="1328">
        <f>IF(SETUP!$F$50="Upfront",$E$672*'Malaria-Pharmaceuticals'!BA15,0)</f>
        <v>0</v>
      </c>
      <c r="L676" s="1194">
        <f>IF(SETUP!$F$50="Upfront",$E$672*'Malaria-Pharmaceuticals'!BB15,0)</f>
        <v>0</v>
      </c>
      <c r="M676" s="1194">
        <f>IF(SETUP!$F$50="Upfront",$E$672*'Malaria-Pharmaceuticals'!BC15,0)</f>
        <v>0</v>
      </c>
      <c r="N676" s="1194">
        <f>IF(SETUP!$F$50="Upfront",$E$672*'Malaria-Pharmaceuticals'!BD15,0)</f>
        <v>0</v>
      </c>
      <c r="O676" s="1194">
        <f t="shared" si="97"/>
        <v>0</v>
      </c>
      <c r="P676" s="1328">
        <f>IF(SETUP!$F$50="Upfront",$E$672*'Malaria-Pharmaceuticals'!BE15,0)</f>
        <v>0</v>
      </c>
      <c r="Q676" s="1194">
        <f>IF(SETUP!$F$50="Upfront",$E$672*'Malaria-Pharmaceuticals'!BF15,0)</f>
        <v>0</v>
      </c>
      <c r="R676" s="1194">
        <f>IF(SETUP!$F$50="Upfront",$E$672*'Malaria-Pharmaceuticals'!BG15,0)</f>
        <v>0</v>
      </c>
      <c r="S676" s="1194">
        <f>IF(SETUP!$F$50="Upfront",$E$672*'Malaria-Pharmaceuticals'!BH15,0)</f>
        <v>0</v>
      </c>
      <c r="T676" s="1194">
        <f t="shared" si="98"/>
        <v>0</v>
      </c>
      <c r="U676" s="1328">
        <f t="shared" si="99"/>
        <v>0</v>
      </c>
      <c r="V676" s="1826">
        <v>7.7</v>
      </c>
      <c r="W676" s="1837"/>
      <c r="X676" s="764"/>
      <c r="Y676" s="879"/>
      <c r="Z676" s="850"/>
      <c r="AA676" s="880"/>
      <c r="AB676" s="880"/>
      <c r="AC676" s="880"/>
      <c r="AD676" s="880"/>
      <c r="AE676" s="880"/>
      <c r="AF676" s="880"/>
      <c r="AG676" s="880"/>
      <c r="AH676" s="881"/>
      <c r="AI676" s="880"/>
      <c r="AJ676" s="880"/>
      <c r="AK676" s="880"/>
      <c r="AL676" s="880"/>
      <c r="AM676" s="880"/>
      <c r="AN676" s="880"/>
      <c r="AO676" s="880"/>
      <c r="AP676" s="880"/>
      <c r="AQ676" s="880"/>
      <c r="AR676" s="880"/>
      <c r="AS676" s="880"/>
      <c r="AT676" s="880"/>
      <c r="AU676" s="880"/>
      <c r="AV676" s="880"/>
      <c r="AW676" s="880"/>
      <c r="AX676" s="880"/>
      <c r="AY676" s="880"/>
      <c r="AZ676" s="880"/>
      <c r="BA676" s="880"/>
      <c r="BB676" s="880"/>
      <c r="BC676" s="880"/>
      <c r="BD676" s="880"/>
      <c r="BE676" s="880"/>
      <c r="BF676" s="880"/>
      <c r="BG676" s="880"/>
      <c r="BH676" s="880"/>
      <c r="BI676" s="880"/>
      <c r="BJ676" s="880"/>
      <c r="BK676" s="880"/>
      <c r="BL676" s="880"/>
      <c r="BM676" s="880"/>
      <c r="BN676" s="880"/>
      <c r="BO676" s="880"/>
      <c r="BP676" s="880"/>
      <c r="BQ676" s="880"/>
      <c r="BR676" s="880"/>
      <c r="BS676" s="880"/>
      <c r="BT676" s="880"/>
    </row>
    <row r="677" spans="1:72" s="882" customFormat="1" ht="13.5" hidden="1" customHeight="1" outlineLevel="1">
      <c r="A677" s="2909"/>
      <c r="B677" s="2910"/>
      <c r="C677" s="2889" t="s">
        <v>36</v>
      </c>
      <c r="D677" s="2890"/>
      <c r="E677" s="2888"/>
      <c r="F677" s="1328">
        <v>0</v>
      </c>
      <c r="G677" s="1194">
        <f>IF(SETUP!$F$51="At delivery",IF(SETUP!$G$51=1,$E$672*'Malaria-Pharmaceuticals'!AW15,0),0)</f>
        <v>0</v>
      </c>
      <c r="H677" s="1194">
        <f>IF(SETUP!$F$51="At delivery",IF(SETUP!$G$51=2,$E$672*'Malaria-Pharmaceuticals'!AW15,IF(SETUP!$G$51=1,$E$672*'Malaria-Pharmaceuticals'!AX15,0)),0)</f>
        <v>0</v>
      </c>
      <c r="I677" s="1194">
        <f>IF(SETUP!$F$51="At delivery",IF(SETUP!$G$51=3,$E$672*'Malaria-Pharmaceuticals'!AW15,IF(SETUP!$G$51=2,$E$672*'Malaria-Pharmaceuticals'!AX15,IF(SETUP!$G$51=1,$E$672*'Malaria-Pharmaceuticals'!AY15,0))),0)</f>
        <v>0</v>
      </c>
      <c r="J677" s="1194">
        <f t="shared" si="96"/>
        <v>0</v>
      </c>
      <c r="K677" s="1328">
        <f>IF(SETUP!$F$51="At delivery",IF(SETUP!$G$51=4,$E$672*'Malaria-Pharmaceuticals'!AW15,IF(SETUP!$G$51=3,$E$672*'Malaria-Pharmaceuticals'!AX15,IF(SETUP!$G$51=2,$E$672*'Malaria-Pharmaceuticals'!AY15,IF(SETUP!$G$51=1,$E$672*'Malaria-Pharmaceuticals'!AZ15,0)))),0)</f>
        <v>0</v>
      </c>
      <c r="L677" s="1194">
        <f>IF(SETUP!$F$51="At delivery",IF(SETUP!$G$51=4,$E$672*'Malaria-Pharmaceuticals'!AX15,IF(SETUP!$G$51=3,$E$672*'Malaria-Pharmaceuticals'!AY15,IF(SETUP!$G$51=2,$E$672*'Malaria-Pharmaceuticals'!AZ15,IF(SETUP!$G$51=1,$E$672*'Malaria-Pharmaceuticals'!BA15,0)))),0)</f>
        <v>0</v>
      </c>
      <c r="M677" s="1194">
        <f>IF(SETUP!$F$51="At delivery",IF(SETUP!$G$51=4,$E$672*'Malaria-Pharmaceuticals'!AY15,IF(SETUP!$G$51=3,$E$672*'Malaria-Pharmaceuticals'!AZ15,IF(SETUP!$G$51=2,$E$672*'Malaria-Pharmaceuticals'!BA15,IF(SETUP!$G$51=1,$E$672*'Malaria-Pharmaceuticals'!BB15,0)))),0)</f>
        <v>0</v>
      </c>
      <c r="N677" s="1194">
        <f>IF(SETUP!$F$51="At delivery",IF(SETUP!$G$51=4,$E$672*'Malaria-Pharmaceuticals'!AZ15,IF(SETUP!$G$51=3,$E$672*'Malaria-Pharmaceuticals'!BA15,IF(SETUP!$G$51=2,$E$672*'Malaria-Pharmaceuticals'!BB15,IF(SETUP!$G$51=1,$E$672*'Malaria-Pharmaceuticals'!BC15,0)))),0)</f>
        <v>0</v>
      </c>
      <c r="O677" s="1194">
        <f t="shared" si="97"/>
        <v>0</v>
      </c>
      <c r="P677" s="1328">
        <f>IF(SETUP!$F$51="At delivery",IF(SETUP!$G$51=4,$E$672*'Malaria-Pharmaceuticals'!BA15,IF(SETUP!$G$51=3,$E$672*'Malaria-Pharmaceuticals'!BB15,IF(SETUP!$G$51=2,$E$672*'Malaria-Pharmaceuticals'!BC15,IF(SETUP!$G$51=1,$E$672*'Malaria-Pharmaceuticals'!BD15,0)))),0)</f>
        <v>0</v>
      </c>
      <c r="Q677" s="1194">
        <f>IF(SETUP!$F$51="At delivery",IF(SETUP!$G$51=4,$E$672*'Malaria-Pharmaceuticals'!BB15,IF(SETUP!$G$51=3,$E$672*'Malaria-Pharmaceuticals'!BC15,IF(SETUP!$G$51=2,$E$672*'Malaria-Pharmaceuticals'!BD15,IF(SETUP!$G$51=1,$E$672*'Malaria-Pharmaceuticals'!BE15,0)))),0)</f>
        <v>0</v>
      </c>
      <c r="R677" s="1194">
        <f>IF(SETUP!$F$51="At delivery",IF(SETUP!$G$51=4,$E$672*'Malaria-Pharmaceuticals'!BC15,IF(SETUP!$G$51=3,$E$672*'Malaria-Pharmaceuticals'!BD15,IF(SETUP!$G$51=2,$E$672*'Malaria-Pharmaceuticals'!BE15,IF(SETUP!$G$51=1,$E$672*'Malaria-Pharmaceuticals'!BF15,0)))),0)</f>
        <v>0</v>
      </c>
      <c r="S677" s="1194">
        <f>IF(SETUP!$F$51="At delivery",IF(SETUP!$G$51=4,$E$672*('Malaria-Pharmaceuticals'!BD15+'Malaria-Pharmaceuticals'!BE15+'Malaria-Pharmaceuticals'!BF15+'Malaria-Pharmaceuticals'!BG15+'Malaria-Pharmaceuticals'!BH15),IF(SETUP!$G$51=3,$E$672*('Malaria-Pharmaceuticals'!BE15+'Malaria-Pharmaceuticals'!BF15+'Malaria-Pharmaceuticals'!BG15+'Malaria-Pharmaceuticals'!BH15),IF(SETUP!$G$51=2,$E$672*('Malaria-Pharmaceuticals'!BF15+'Malaria-Pharmaceuticals'!BG15+'Malaria-Pharmaceuticals'!BH15),IF(SETUP!$G$51=1,$E$672*('Malaria-Pharmaceuticals'!BG15+'Malaria-Pharmaceuticals'!BH15),0)))),0)</f>
        <v>0</v>
      </c>
      <c r="T677" s="1194">
        <f t="shared" si="98"/>
        <v>0</v>
      </c>
      <c r="U677" s="1328">
        <f t="shared" si="99"/>
        <v>0</v>
      </c>
      <c r="V677" s="1826">
        <v>7.7</v>
      </c>
      <c r="W677" s="1837"/>
      <c r="X677" s="764"/>
      <c r="Y677" s="879"/>
      <c r="Z677" s="850"/>
      <c r="AA677" s="880"/>
      <c r="AB677" s="880"/>
      <c r="AC677" s="880"/>
      <c r="AD677" s="880"/>
      <c r="AE677" s="880"/>
      <c r="AF677" s="880"/>
      <c r="AG677" s="880"/>
      <c r="AH677" s="881"/>
      <c r="AI677" s="880"/>
      <c r="AJ677" s="880"/>
      <c r="AK677" s="880"/>
      <c r="AL677" s="880"/>
      <c r="AM677" s="880"/>
      <c r="AN677" s="880"/>
      <c r="AO677" s="880"/>
      <c r="AP677" s="880"/>
      <c r="AQ677" s="880"/>
      <c r="AR677" s="880"/>
      <c r="AS677" s="880"/>
      <c r="AT677" s="880"/>
      <c r="AU677" s="880"/>
      <c r="AV677" s="880"/>
      <c r="AW677" s="880"/>
      <c r="AX677" s="880"/>
      <c r="AY677" s="880"/>
      <c r="AZ677" s="880"/>
      <c r="BA677" s="880"/>
      <c r="BB677" s="880"/>
      <c r="BC677" s="880"/>
      <c r="BD677" s="880"/>
      <c r="BE677" s="880"/>
      <c r="BF677" s="880"/>
      <c r="BG677" s="880"/>
      <c r="BH677" s="880"/>
      <c r="BI677" s="880"/>
      <c r="BJ677" s="880"/>
      <c r="BK677" s="880"/>
      <c r="BL677" s="880"/>
      <c r="BM677" s="880"/>
      <c r="BN677" s="880"/>
      <c r="BO677" s="880"/>
      <c r="BP677" s="880"/>
      <c r="BQ677" s="880"/>
      <c r="BR677" s="880"/>
      <c r="BS677" s="880"/>
      <c r="BT677" s="880"/>
    </row>
    <row r="678" spans="1:72" s="882" customFormat="1" ht="16.149999999999999" hidden="1" customHeight="1" collapsed="1">
      <c r="A678" s="2985" t="s">
        <v>579</v>
      </c>
      <c r="B678" s="2986"/>
      <c r="C678" s="2907" t="s">
        <v>311</v>
      </c>
      <c r="D678" s="2908"/>
      <c r="E678" s="2886">
        <v>0</v>
      </c>
      <c r="F678" s="1328">
        <f>IF(SETUP!$F$52="Upfront",F679,F680)</f>
        <v>0</v>
      </c>
      <c r="G678" s="1194">
        <f>IF(SETUP!$F$52="Upfront",G679,G680)</f>
        <v>0</v>
      </c>
      <c r="H678" s="1194">
        <f>IF(SETUP!$F$52="Upfront",H679,H680)</f>
        <v>0</v>
      </c>
      <c r="I678" s="1194">
        <f>IF(SETUP!$F$52="Upfront",I679,I680)</f>
        <v>0</v>
      </c>
      <c r="J678" s="1194">
        <f t="shared" si="96"/>
        <v>0</v>
      </c>
      <c r="K678" s="1328">
        <f>IF(SETUP!$F$52="Upfront",K679,K680)</f>
        <v>0</v>
      </c>
      <c r="L678" s="1194">
        <f>IF(SETUP!$F$52="Upfront",L679,L680)</f>
        <v>0</v>
      </c>
      <c r="M678" s="1194">
        <f>IF(SETUP!$F$52="Upfront",M679,M680)</f>
        <v>0</v>
      </c>
      <c r="N678" s="1194">
        <f>IF(SETUP!$F$52="Upfront",N679,N680)</f>
        <v>0</v>
      </c>
      <c r="O678" s="1194">
        <f t="shared" si="97"/>
        <v>0</v>
      </c>
      <c r="P678" s="1328">
        <f>IF(SETUP!$F$52="Upfront",P679,P680)</f>
        <v>0</v>
      </c>
      <c r="Q678" s="1194">
        <f>IF(SETUP!$F$52="Upfront",Q679,Q680)</f>
        <v>0</v>
      </c>
      <c r="R678" s="1194">
        <f>IF(SETUP!$F$52="Upfront",R679,R680)</f>
        <v>0</v>
      </c>
      <c r="S678" s="1194">
        <f>IF(SETUP!$F$52="Upfront",S679,S680)</f>
        <v>0</v>
      </c>
      <c r="T678" s="1194">
        <f t="shared" si="98"/>
        <v>0</v>
      </c>
      <c r="U678" s="1328">
        <f t="shared" si="99"/>
        <v>0</v>
      </c>
      <c r="V678" s="1826">
        <v>7.7</v>
      </c>
      <c r="W678" s="1837"/>
      <c r="X678" s="764"/>
      <c r="Y678" s="879"/>
      <c r="Z678" s="850"/>
      <c r="AA678" s="880"/>
      <c r="AB678" s="880"/>
      <c r="AC678" s="880"/>
      <c r="AD678" s="880"/>
      <c r="AE678" s="880"/>
      <c r="AF678" s="880"/>
      <c r="AG678" s="880"/>
      <c r="AH678" s="881"/>
      <c r="AI678" s="880"/>
      <c r="AJ678" s="880"/>
      <c r="AK678" s="880"/>
      <c r="AL678" s="880"/>
      <c r="AM678" s="880"/>
      <c r="AN678" s="880"/>
      <c r="AO678" s="880"/>
      <c r="AP678" s="880"/>
      <c r="AQ678" s="880"/>
      <c r="AR678" s="880"/>
      <c r="AS678" s="880"/>
      <c r="AT678" s="880"/>
      <c r="AU678" s="880"/>
      <c r="AV678" s="880"/>
      <c r="AW678" s="880"/>
      <c r="AX678" s="880"/>
      <c r="AY678" s="880"/>
      <c r="AZ678" s="880"/>
      <c r="BA678" s="880"/>
      <c r="BB678" s="880"/>
      <c r="BC678" s="880"/>
      <c r="BD678" s="880"/>
      <c r="BE678" s="880"/>
      <c r="BF678" s="880"/>
      <c r="BG678" s="880"/>
      <c r="BH678" s="880"/>
      <c r="BI678" s="880"/>
      <c r="BJ678" s="880"/>
      <c r="BK678" s="880"/>
      <c r="BL678" s="880"/>
      <c r="BM678" s="880"/>
      <c r="BN678" s="880"/>
      <c r="BO678" s="880"/>
      <c r="BP678" s="880"/>
      <c r="BQ678" s="880"/>
      <c r="BR678" s="880"/>
      <c r="BS678" s="880"/>
      <c r="BT678" s="880"/>
    </row>
    <row r="679" spans="1:72" s="882" customFormat="1" ht="16.149999999999999" hidden="1" customHeight="1" outlineLevel="1">
      <c r="A679" s="2985"/>
      <c r="B679" s="2986"/>
      <c r="C679" s="2889" t="s">
        <v>918</v>
      </c>
      <c r="D679" s="2890"/>
      <c r="E679" s="2887"/>
      <c r="F679" s="1328">
        <f>IF(SETUP!$F$52="Upfront",$E$678*'Malaria-Equipment &amp; Other HPs'!AW14,0)</f>
        <v>0</v>
      </c>
      <c r="G679" s="1194">
        <f>IF(SETUP!$F$52="Upfront",$E$678*'Malaria-Equipment &amp; Other HPs'!AX14,0)</f>
        <v>0</v>
      </c>
      <c r="H679" s="1194">
        <f>IF(SETUP!$F$52="Upfront",$E$678*'Malaria-Equipment &amp; Other HPs'!AY14,0)</f>
        <v>0</v>
      </c>
      <c r="I679" s="1194">
        <f>IF(SETUP!$F$52="Upfront",$E$678*'Malaria-Equipment &amp; Other HPs'!AZ14,0)</f>
        <v>0</v>
      </c>
      <c r="J679" s="1194">
        <f t="shared" si="96"/>
        <v>0</v>
      </c>
      <c r="K679" s="1328">
        <f>IF(SETUP!$F$52="Upfront",$E$678*'Malaria-Equipment &amp; Other HPs'!BA14,0)</f>
        <v>0</v>
      </c>
      <c r="L679" s="1194">
        <f>IF(SETUP!$F$52="Upfront",$E$678*'Malaria-Equipment &amp; Other HPs'!BB14,0)</f>
        <v>0</v>
      </c>
      <c r="M679" s="1194">
        <f>IF(SETUP!$F$52="Upfront",$E$678*'Malaria-Equipment &amp; Other HPs'!BC14,0)</f>
        <v>0</v>
      </c>
      <c r="N679" s="1194">
        <f>IF(SETUP!$F$52="Upfront",$E$678*'Malaria-Equipment &amp; Other HPs'!BD14,0)</f>
        <v>0</v>
      </c>
      <c r="O679" s="1194">
        <f t="shared" si="97"/>
        <v>0</v>
      </c>
      <c r="P679" s="1328">
        <f>IF(SETUP!$F$52="Upfront",$E$678*'Malaria-Equipment &amp; Other HPs'!BE14,0)</f>
        <v>0</v>
      </c>
      <c r="Q679" s="1194">
        <f>IF(SETUP!$F$52="Upfront",$E$678*'Malaria-Equipment &amp; Other HPs'!BF14,0)</f>
        <v>0</v>
      </c>
      <c r="R679" s="1194">
        <f>IF(SETUP!$F$52="Upfront",$E$678*'Malaria-Equipment &amp; Other HPs'!BG14,0)</f>
        <v>0</v>
      </c>
      <c r="S679" s="1194">
        <f>IF(SETUP!$F$52="Upfront",$E$678*'Malaria-Equipment &amp; Other HPs'!BH14,0)</f>
        <v>0</v>
      </c>
      <c r="T679" s="1194">
        <f t="shared" si="98"/>
        <v>0</v>
      </c>
      <c r="U679" s="1328">
        <f t="shared" si="99"/>
        <v>0</v>
      </c>
      <c r="V679" s="1826">
        <v>7.7</v>
      </c>
      <c r="W679" s="1837"/>
      <c r="X679" s="764"/>
      <c r="Y679" s="879"/>
      <c r="Z679" s="850"/>
      <c r="AA679" s="880"/>
      <c r="AB679" s="880"/>
      <c r="AC679" s="880"/>
      <c r="AD679" s="880"/>
      <c r="AE679" s="880"/>
      <c r="AF679" s="880"/>
      <c r="AG679" s="880"/>
      <c r="AH679" s="881"/>
      <c r="AI679" s="880"/>
      <c r="AJ679" s="880"/>
      <c r="AK679" s="880"/>
      <c r="AL679" s="880"/>
      <c r="AM679" s="880"/>
      <c r="AN679" s="880"/>
      <c r="AO679" s="880"/>
      <c r="AP679" s="880"/>
      <c r="AQ679" s="880"/>
      <c r="AR679" s="880"/>
      <c r="AS679" s="880"/>
      <c r="AT679" s="880"/>
      <c r="AU679" s="880"/>
      <c r="AV679" s="880"/>
      <c r="AW679" s="880"/>
      <c r="AX679" s="880"/>
      <c r="AY679" s="880"/>
      <c r="AZ679" s="880"/>
      <c r="BA679" s="880"/>
      <c r="BB679" s="880"/>
      <c r="BC679" s="880"/>
      <c r="BD679" s="880"/>
      <c r="BE679" s="880"/>
      <c r="BF679" s="880"/>
      <c r="BG679" s="880"/>
      <c r="BH679" s="880"/>
      <c r="BI679" s="880"/>
      <c r="BJ679" s="880"/>
      <c r="BK679" s="880"/>
      <c r="BL679" s="880"/>
      <c r="BM679" s="880"/>
      <c r="BN679" s="880"/>
      <c r="BO679" s="880"/>
      <c r="BP679" s="880"/>
      <c r="BQ679" s="880"/>
      <c r="BR679" s="880"/>
      <c r="BS679" s="880"/>
      <c r="BT679" s="880"/>
    </row>
    <row r="680" spans="1:72" s="882" customFormat="1" ht="17.25" hidden="1" customHeight="1" outlineLevel="1">
      <c r="A680" s="2985"/>
      <c r="B680" s="2986"/>
      <c r="C680" s="2889" t="s">
        <v>36</v>
      </c>
      <c r="D680" s="2890"/>
      <c r="E680" s="2887"/>
      <c r="F680" s="1328">
        <v>0</v>
      </c>
      <c r="G680" s="1194">
        <f>IF(SETUP!$F$52="At delivery",IF(SETUP!$G$52=1,$E$678*'Malaria-Equipment &amp; Other HPs'!AW14,0),0)</f>
        <v>0</v>
      </c>
      <c r="H680" s="1194">
        <f>IF(SETUP!$F$52="At delivery",IF(SETUP!$G$52=2,$E$678*'Malaria-Equipment &amp; Other HPs'!AW14,IF(SETUP!$G$52=1,$E$678*'Malaria-Equipment &amp; Other HPs'!AX14,0)),0)</f>
        <v>0</v>
      </c>
      <c r="I680" s="1194">
        <f>IF(SETUP!$F$52="At delivery",IF(SETUP!$G$52=3,$E$678*'Malaria-Equipment &amp; Other HPs'!AW14,IF(SETUP!$G$52=2,$E$678*'Malaria-Equipment &amp; Other HPs'!AX14,IF(SETUP!$G$52=1,$E$678*'Malaria-Equipment &amp; Other HPs'!AY14,0))),0)</f>
        <v>0</v>
      </c>
      <c r="J680" s="1194">
        <f t="shared" si="96"/>
        <v>0</v>
      </c>
      <c r="K680" s="1328">
        <f>IF(SETUP!$F$52="At delivery",IF(SETUP!$G$52=4,$E$678*'Malaria-Equipment &amp; Other HPs'!AW14,IF(SETUP!$G$52=3,$E$678*'Malaria-Equipment &amp; Other HPs'!AX14,IF(SETUP!$G$52=2,$E$678*'Malaria-Equipment &amp; Other HPs'!AY14,IF(SETUP!$G$52=1,$E$678*'Malaria-Equipment &amp; Other HPs'!AZ14,0)))),0)</f>
        <v>0</v>
      </c>
      <c r="L680" s="1194">
        <f>IF(SETUP!$F$52="At delivery",IF(SETUP!$G$52=4,$E$678*'Malaria-Equipment &amp; Other HPs'!AX14,IF(SETUP!$G$52=3,$E$678*'Malaria-Equipment &amp; Other HPs'!AY14,IF(SETUP!$G$52=2,$E$678*'Malaria-Equipment &amp; Other HPs'!AZ14,IF(SETUP!$G$52=1,$E$678*'Malaria-Equipment &amp; Other HPs'!BA14,0)))),0)</f>
        <v>0</v>
      </c>
      <c r="M680" s="1194">
        <f>IF(SETUP!$F$52="At delivery",IF(SETUP!$G$52=4,$E$678*'Malaria-Equipment &amp; Other HPs'!AY14,IF(SETUP!$G$52=3,$E$678*'Malaria-Equipment &amp; Other HPs'!AZ14,IF(SETUP!$G$52=2,$E$678*'Malaria-Equipment &amp; Other HPs'!BA14,IF(SETUP!$G$52=1,$E$678*'Malaria-Equipment &amp; Other HPs'!BB14,0)))),0)</f>
        <v>0</v>
      </c>
      <c r="N680" s="1194">
        <f>IF(SETUP!$F$52="At delivery",IF(SETUP!$G$52=4,$E$678*'Malaria-Equipment &amp; Other HPs'!AZ14,IF(SETUP!$G$52=3,$E$678*'Malaria-Equipment &amp; Other HPs'!BA14,IF(SETUP!$G$52=2,$E$678*'Malaria-Equipment &amp; Other HPs'!BB14,IF(SETUP!$G$52=1,$E$678*'Malaria-Equipment &amp; Other HPs'!BC14,0)))),0)</f>
        <v>0</v>
      </c>
      <c r="O680" s="1194">
        <f t="shared" si="97"/>
        <v>0</v>
      </c>
      <c r="P680" s="1328">
        <f>IF(SETUP!$F$52="At delivery",IF(SETUP!$G$52=4,$E$678*'Malaria-Equipment &amp; Other HPs'!BA14,IF(SETUP!$G$52=3,$E$678*'Malaria-Equipment &amp; Other HPs'!BB14,IF(SETUP!$G$52=2,$E$678*'Malaria-Equipment &amp; Other HPs'!BC14,IF(SETUP!$G$52=1,$E$678*'Malaria-Equipment &amp; Other HPs'!BD14,0)))),0)</f>
        <v>0</v>
      </c>
      <c r="Q680" s="1194">
        <f>IF(SETUP!$F$52="At delivery",IF(SETUP!$G$52=4,$E$678*'Malaria-Equipment &amp; Other HPs'!BB14,IF(SETUP!$G$52=3,$E$678*'Malaria-Equipment &amp; Other HPs'!BC14,IF(SETUP!$G$52=2,$E$678*'Malaria-Equipment &amp; Other HPs'!BD14,IF(SETUP!$G$52=1,$E$678*'Malaria-Equipment &amp; Other HPs'!BE14,0)))),0)</f>
        <v>0</v>
      </c>
      <c r="R680" s="1194">
        <f>IF(SETUP!$F$52="At delivery",IF(SETUP!$G$52=4,$E$678*'Malaria-Equipment &amp; Other HPs'!BC14,IF(SETUP!$G$52=3,$E$678*'Malaria-Equipment &amp; Other HPs'!BD14,IF(SETUP!$G$52=2,$E$678*'Malaria-Equipment &amp; Other HPs'!BE14,IF(SETUP!$G$52=1,$E$678*'Malaria-Equipment &amp; Other HPs'!BF14,0)))),0)</f>
        <v>0</v>
      </c>
      <c r="S680" s="1194">
        <f>IF(SETUP!$F$52="At delivery",IF(SETUP!$G$52=4,$E$678*('Malaria-Equipment &amp; Other HPs'!BD14+'Malaria-Equipment &amp; Other HPs'!BE14+'Malaria-Equipment &amp; Other HPs'!BF14+'Malaria-Equipment &amp; Other HPs'!BG14+'Malaria-Equipment &amp; Other HPs'!BH14),IF(SETUP!$G$52=3,$E$678*('Malaria-Equipment &amp; Other HPs'!BE14+'Malaria-Equipment &amp; Other HPs'!BF14+'Malaria-Equipment &amp; Other HPs'!BG14+'Malaria-Equipment &amp; Other HPs'!BH14),IF(SETUP!$G$52=2,$E$678*('Malaria-Equipment &amp; Other HPs'!BF14+'Malaria-Equipment &amp; Other HPs'!BG14+'Malaria-Equipment &amp; Other HPs'!BH14),IF(SETUP!$G$52=1,$E$678*('Malaria-Equipment &amp; Other HPs'!BG14+'Malaria-Equipment &amp; Other HPs'!BH14),0)))),0)</f>
        <v>0</v>
      </c>
      <c r="T680" s="1194">
        <f t="shared" si="98"/>
        <v>0</v>
      </c>
      <c r="U680" s="1328">
        <f t="shared" si="99"/>
        <v>0</v>
      </c>
      <c r="V680" s="1826">
        <v>7.7</v>
      </c>
      <c r="W680" s="1837"/>
      <c r="X680" s="764"/>
      <c r="Y680" s="879"/>
      <c r="Z680" s="850"/>
      <c r="AA680" s="880"/>
      <c r="AB680" s="880"/>
      <c r="AC680" s="880"/>
      <c r="AD680" s="880"/>
      <c r="AE680" s="880"/>
      <c r="AF680" s="880"/>
      <c r="AG680" s="880"/>
      <c r="AH680" s="881"/>
      <c r="AI680" s="880"/>
      <c r="AJ680" s="880"/>
      <c r="AK680" s="880"/>
      <c r="AL680" s="880"/>
      <c r="AM680" s="880"/>
      <c r="AN680" s="880"/>
      <c r="AO680" s="880"/>
      <c r="AP680" s="880"/>
      <c r="AQ680" s="880"/>
      <c r="AR680" s="880"/>
      <c r="AS680" s="880"/>
      <c r="AT680" s="880"/>
      <c r="AU680" s="880"/>
      <c r="AV680" s="880"/>
      <c r="AW680" s="880"/>
      <c r="AX680" s="880"/>
      <c r="AY680" s="880"/>
      <c r="AZ680" s="880"/>
      <c r="BA680" s="880"/>
      <c r="BB680" s="880"/>
      <c r="BC680" s="880"/>
      <c r="BD680" s="880"/>
      <c r="BE680" s="880"/>
      <c r="BF680" s="880"/>
      <c r="BG680" s="880"/>
      <c r="BH680" s="880"/>
      <c r="BI680" s="880"/>
      <c r="BJ680" s="880"/>
      <c r="BK680" s="880"/>
      <c r="BL680" s="880"/>
      <c r="BM680" s="880"/>
      <c r="BN680" s="880"/>
      <c r="BO680" s="880"/>
      <c r="BP680" s="880"/>
      <c r="BQ680" s="880"/>
      <c r="BR680" s="880"/>
      <c r="BS680" s="880"/>
      <c r="BT680" s="880"/>
    </row>
    <row r="681" spans="1:72" s="882" customFormat="1" ht="13.5" hidden="1" collapsed="1" thickBot="1">
      <c r="A681" s="2985"/>
      <c r="B681" s="2986"/>
      <c r="C681" s="2907" t="s">
        <v>580</v>
      </c>
      <c r="D681" s="2908"/>
      <c r="E681" s="2887"/>
      <c r="F681" s="1328">
        <f>IF(SETUP!$F$53="Upfront",F682,F683)</f>
        <v>0</v>
      </c>
      <c r="G681" s="1194">
        <f>IF(SETUP!$F$53="Upfront",G682,G683)</f>
        <v>0</v>
      </c>
      <c r="H681" s="1194">
        <f>IF(SETUP!$F$53="Upfront",H682,H683)</f>
        <v>0</v>
      </c>
      <c r="I681" s="1194">
        <f>IF(SETUP!$F$53="Upfront",I682,I683)</f>
        <v>0</v>
      </c>
      <c r="J681" s="1194">
        <f t="shared" si="96"/>
        <v>0</v>
      </c>
      <c r="K681" s="1328">
        <f>IF(SETUP!$F$53="Upfront",K682,K683)</f>
        <v>0</v>
      </c>
      <c r="L681" s="1194">
        <f>IF(SETUP!$F$53="Upfront",L682,L683)</f>
        <v>0</v>
      </c>
      <c r="M681" s="1194">
        <f>IF(SETUP!$F$53="Upfront",M682,M683)</f>
        <v>0</v>
      </c>
      <c r="N681" s="1194">
        <f>IF(SETUP!$F$53="Upfront",N682,N683)</f>
        <v>0</v>
      </c>
      <c r="O681" s="1194">
        <f t="shared" si="97"/>
        <v>0</v>
      </c>
      <c r="P681" s="1328">
        <f>IF(SETUP!$F$53="Upfront",P682,P683)</f>
        <v>0</v>
      </c>
      <c r="Q681" s="1194">
        <f>IF(SETUP!$F$53="Upfront",Q682,Q683)</f>
        <v>0</v>
      </c>
      <c r="R681" s="1194">
        <f>IF(SETUP!$F$53="Upfront",R682,R683)</f>
        <v>0</v>
      </c>
      <c r="S681" s="1194">
        <f>IF(SETUP!$F$53="Upfront",S682,S683)</f>
        <v>0</v>
      </c>
      <c r="T681" s="1194">
        <f t="shared" si="98"/>
        <v>0</v>
      </c>
      <c r="U681" s="1328">
        <f t="shared" si="99"/>
        <v>0</v>
      </c>
      <c r="V681" s="1826">
        <v>7.7</v>
      </c>
      <c r="W681" s="1837"/>
      <c r="X681" s="764"/>
      <c r="Y681" s="879"/>
      <c r="Z681" s="850"/>
      <c r="AA681" s="880"/>
      <c r="AB681" s="880"/>
      <c r="AC681" s="880"/>
      <c r="AD681" s="880"/>
      <c r="AE681" s="880"/>
      <c r="AF681" s="880"/>
      <c r="AG681" s="880"/>
      <c r="AH681" s="881"/>
      <c r="AI681" s="880"/>
      <c r="AJ681" s="880"/>
      <c r="AK681" s="880"/>
      <c r="AL681" s="880"/>
      <c r="AM681" s="880"/>
      <c r="AN681" s="880"/>
      <c r="AO681" s="880"/>
      <c r="AP681" s="880"/>
      <c r="AQ681" s="880"/>
      <c r="AR681" s="880"/>
      <c r="AS681" s="880"/>
      <c r="AT681" s="880"/>
      <c r="AU681" s="880"/>
      <c r="AV681" s="880"/>
      <c r="AW681" s="880"/>
      <c r="AX681" s="880"/>
      <c r="AY681" s="880"/>
      <c r="AZ681" s="880"/>
      <c r="BA681" s="880"/>
      <c r="BB681" s="880"/>
      <c r="BC681" s="880"/>
      <c r="BD681" s="880"/>
      <c r="BE681" s="880"/>
      <c r="BF681" s="880"/>
      <c r="BG681" s="880"/>
      <c r="BH681" s="880"/>
      <c r="BI681" s="880"/>
      <c r="BJ681" s="880"/>
      <c r="BK681" s="880"/>
      <c r="BL681" s="880"/>
      <c r="BM681" s="880"/>
      <c r="BN681" s="880"/>
      <c r="BO681" s="880"/>
      <c r="BP681" s="880"/>
      <c r="BQ681" s="880"/>
      <c r="BR681" s="880"/>
      <c r="BS681" s="880"/>
      <c r="BT681" s="880"/>
    </row>
    <row r="682" spans="1:72" s="882" customFormat="1" ht="16.149999999999999" hidden="1" customHeight="1" outlineLevel="1">
      <c r="A682" s="2985"/>
      <c r="B682" s="2986"/>
      <c r="C682" s="2889" t="s">
        <v>918</v>
      </c>
      <c r="D682" s="2890"/>
      <c r="E682" s="2887"/>
      <c r="F682" s="1328">
        <f>IF(SETUP!$F$52="Upfront",$E$678*'Malaria-Equipment &amp; Other HPs'!AW15,0)</f>
        <v>0</v>
      </c>
      <c r="G682" s="1194">
        <f>IF(SETUP!$F$52="Upfront",$E$678*'Malaria-Equipment &amp; Other HPs'!AX15,0)</f>
        <v>0</v>
      </c>
      <c r="H682" s="1194">
        <f>IF(SETUP!$F$52="Upfront",$E$678*'Malaria-Equipment &amp; Other HPs'!AY15,0)</f>
        <v>0</v>
      </c>
      <c r="I682" s="1194">
        <f>IF(SETUP!$F$52="Upfront",$E$678*'Malaria-Equipment &amp; Other HPs'!AZ15,0)</f>
        <v>0</v>
      </c>
      <c r="J682" s="1194">
        <f t="shared" si="96"/>
        <v>0</v>
      </c>
      <c r="K682" s="1328">
        <f>IF(SETUP!$F$52="Upfront",$E$678*'Malaria-Equipment &amp; Other HPs'!BA15,0)</f>
        <v>0</v>
      </c>
      <c r="L682" s="1194">
        <f>IF(SETUP!$F$52="Upfront",$E$678*'Malaria-Equipment &amp; Other HPs'!BB15,0)</f>
        <v>0</v>
      </c>
      <c r="M682" s="1194">
        <f>IF(SETUP!$F$52="Upfront",$E$678*'Malaria-Equipment &amp; Other HPs'!BC15,0)</f>
        <v>0</v>
      </c>
      <c r="N682" s="1194">
        <f>IF(SETUP!$F$52="Upfront",$E$678*'Malaria-Equipment &amp; Other HPs'!BD15,0)</f>
        <v>0</v>
      </c>
      <c r="O682" s="1194">
        <f t="shared" si="97"/>
        <v>0</v>
      </c>
      <c r="P682" s="1328">
        <f>IF(SETUP!$F$52="Upfront",$E$678*'Malaria-Equipment &amp; Other HPs'!BE15,0)</f>
        <v>0</v>
      </c>
      <c r="Q682" s="1194">
        <f>IF(SETUP!$F$52="Upfront",$E$678*'Malaria-Equipment &amp; Other HPs'!BF15,0)</f>
        <v>0</v>
      </c>
      <c r="R682" s="1194">
        <f>IF(SETUP!$F$52="Upfront",$E$678*'Malaria-Equipment &amp; Other HPs'!BG15,0)</f>
        <v>0</v>
      </c>
      <c r="S682" s="1194">
        <f>IF(SETUP!$F$52="Upfront",$E$678*'Malaria-Equipment &amp; Other HPs'!BH15,0)</f>
        <v>0</v>
      </c>
      <c r="T682" s="1194">
        <f t="shared" si="98"/>
        <v>0</v>
      </c>
      <c r="U682" s="1328">
        <f t="shared" si="99"/>
        <v>0</v>
      </c>
      <c r="V682" s="1826">
        <v>7.7</v>
      </c>
      <c r="W682" s="1837"/>
      <c r="X682" s="764"/>
      <c r="Y682" s="879"/>
      <c r="Z682" s="850"/>
      <c r="AA682" s="880"/>
      <c r="AB682" s="880"/>
      <c r="AC682" s="880"/>
      <c r="AD682" s="880"/>
      <c r="AE682" s="880"/>
      <c r="AF682" s="880"/>
      <c r="AG682" s="880"/>
      <c r="AH682" s="881"/>
      <c r="AI682" s="880"/>
      <c r="AJ682" s="880"/>
      <c r="AK682" s="880"/>
      <c r="AL682" s="880"/>
      <c r="AM682" s="880"/>
      <c r="AN682" s="880"/>
      <c r="AO682" s="880"/>
      <c r="AP682" s="880"/>
      <c r="AQ682" s="880"/>
      <c r="AR682" s="880"/>
      <c r="AS682" s="880"/>
      <c r="AT682" s="880"/>
      <c r="AU682" s="880"/>
      <c r="AV682" s="880"/>
      <c r="AW682" s="880"/>
      <c r="AX682" s="880"/>
      <c r="AY682" s="880"/>
      <c r="AZ682" s="880"/>
      <c r="BA682" s="880"/>
      <c r="BB682" s="880"/>
      <c r="BC682" s="880"/>
      <c r="BD682" s="880"/>
      <c r="BE682" s="880"/>
      <c r="BF682" s="880"/>
      <c r="BG682" s="880"/>
      <c r="BH682" s="880"/>
      <c r="BI682" s="880"/>
      <c r="BJ682" s="880"/>
      <c r="BK682" s="880"/>
      <c r="BL682" s="880"/>
      <c r="BM682" s="880"/>
      <c r="BN682" s="880"/>
      <c r="BO682" s="880"/>
      <c r="BP682" s="880"/>
      <c r="BQ682" s="880"/>
      <c r="BR682" s="880"/>
      <c r="BS682" s="880"/>
      <c r="BT682" s="880"/>
    </row>
    <row r="683" spans="1:72" s="882" customFormat="1" ht="17.25" hidden="1" customHeight="1" outlineLevel="1">
      <c r="A683" s="2985"/>
      <c r="B683" s="2986"/>
      <c r="C683" s="2889" t="s">
        <v>36</v>
      </c>
      <c r="D683" s="2890"/>
      <c r="E683" s="2888"/>
      <c r="F683" s="1328">
        <v>0</v>
      </c>
      <c r="G683" s="1194">
        <f>IF(SETUP!$F$53="At delivery",IF(SETUP!$G$53=1,$E$678*'Malaria-Equipment &amp; Other HPs'!AW15,0),0)</f>
        <v>0</v>
      </c>
      <c r="H683" s="1194">
        <f>IF(SETUP!$F$53="At delivery",IF(SETUP!$G$53=2,$E$678*'Malaria-Equipment &amp; Other HPs'!AW15,IF(SETUP!$G$53=1,$E$678*'Malaria-Equipment &amp; Other HPs'!AX15,0)),0)</f>
        <v>0</v>
      </c>
      <c r="I683" s="1194">
        <f>IF(SETUP!$F$53="At delivery",IF(SETUP!$G$53=3,$E$678*'Malaria-Equipment &amp; Other HPs'!AW15,IF(SETUP!$G$53=2,$E$678*'Malaria-Equipment &amp; Other HPs'!AX15,IF(SETUP!$G$53=1,$E$678*'Malaria-Equipment &amp; Other HPs'!AY15,0))),0)</f>
        <v>0</v>
      </c>
      <c r="J683" s="1194">
        <f t="shared" si="96"/>
        <v>0</v>
      </c>
      <c r="K683" s="1328">
        <f>IF(SETUP!$F$53="At delivery",IF(SETUP!$G$53=4,$E$678*'Malaria-Equipment &amp; Other HPs'!AW15,IF(SETUP!$G$53=3,$E$678*'Malaria-Equipment &amp; Other HPs'!AX15,IF(SETUP!$G$53=2,$E$678*'Malaria-Equipment &amp; Other HPs'!AY15,IF(SETUP!$G$53=1,$E$678*'Malaria-Equipment &amp; Other HPs'!AZ15,0)))),0)</f>
        <v>0</v>
      </c>
      <c r="L683" s="1194">
        <f>IF(SETUP!$F$53="At delivery",IF(SETUP!$G$53=4,$E$678*'Malaria-Equipment &amp; Other HPs'!AX15,IF(SETUP!$G$53=3,$E$678*'Malaria-Equipment &amp; Other HPs'!AY15,IF(SETUP!$G$53=2,$E$678*'Malaria-Equipment &amp; Other HPs'!AZ15,IF(SETUP!$G$53=1,$E$678*'Malaria-Equipment &amp; Other HPs'!BA15,0)))),0)</f>
        <v>0</v>
      </c>
      <c r="M683" s="1194">
        <f>IF(SETUP!$F$53="At delivery",IF(SETUP!$G$53=4,$E$678*'Malaria-Equipment &amp; Other HPs'!AY15,IF(SETUP!$G$53=3,$E$678*'Malaria-Equipment &amp; Other HPs'!AZ15,IF(SETUP!$G$53=2,$E$678*'Malaria-Equipment &amp; Other HPs'!BA15,IF(SETUP!$G$53=1,$E$678*'Malaria-Equipment &amp; Other HPs'!BB15,0)))),0)</f>
        <v>0</v>
      </c>
      <c r="N683" s="1194">
        <f>IF(SETUP!$F$53="At delivery",IF(SETUP!$G$53=4,$E$678*'Malaria-Equipment &amp; Other HPs'!AZ15,IF(SETUP!$G$53=3,$E$678*'Malaria-Equipment &amp; Other HPs'!BA15,IF(SETUP!$G$53=2,$E$678*'Malaria-Equipment &amp; Other HPs'!BB15,IF(SETUP!$G$53=1,$E$678*'Malaria-Equipment &amp; Other HPs'!BC15,0)))),0)</f>
        <v>0</v>
      </c>
      <c r="O683" s="1194">
        <f t="shared" si="97"/>
        <v>0</v>
      </c>
      <c r="P683" s="1328">
        <f>IF(SETUP!$F$53="At delivery",IF(SETUP!$G$53=4,$E$678*'Malaria-Equipment &amp; Other HPs'!BA15,IF(SETUP!$G$53=3,$E$678*'Malaria-Equipment &amp; Other HPs'!BB15,IF(SETUP!$G$53=2,$E$678*'Malaria-Equipment &amp; Other HPs'!BC15,IF(SETUP!$G$53=1,$E$678*'Malaria-Equipment &amp; Other HPs'!BD15,0)))),0)</f>
        <v>0</v>
      </c>
      <c r="Q683" s="1194">
        <f>IF(SETUP!$F$53="At delivery",IF(SETUP!$G$53=4,$E$678*'Malaria-Equipment &amp; Other HPs'!BB15,IF(SETUP!$G$53=3,$E$678*'Malaria-Equipment &amp; Other HPs'!BC15,IF(SETUP!$G$53=2,$E$678*'Malaria-Equipment &amp; Other HPs'!BD15,IF(SETUP!$G$53=1,$E$678*'Malaria-Equipment &amp; Other HPs'!BE15,0)))),0)</f>
        <v>0</v>
      </c>
      <c r="R683" s="1194">
        <f>IF(SETUP!$F$53="At delivery",IF(SETUP!$G$53=4,$E$678*'Malaria-Equipment &amp; Other HPs'!BC15,IF(SETUP!$G$53=3,$E$678*'Malaria-Equipment &amp; Other HPs'!BD15,IF(SETUP!$G$53=2,$E$678*'Malaria-Equipment &amp; Other HPs'!BE15,IF(SETUP!$G$53=1,$E$678*'Malaria-Equipment &amp; Other HPs'!BF15,0)))),0)</f>
        <v>0</v>
      </c>
      <c r="S683" s="1194">
        <f>IF(SETUP!$F$53="At delivery",IF(SETUP!$G$53=4,$E$678*('Malaria-Equipment &amp; Other HPs'!BD15+'Malaria-Equipment &amp; Other HPs'!BE15+'Malaria-Equipment &amp; Other HPs'!BF15+'Malaria-Equipment &amp; Other HPs'!BG15+'Malaria-Equipment &amp; Other HPs'!BH15),IF(SETUP!$G$53=3,$E$678*('Malaria-Equipment &amp; Other HPs'!BE15+'Malaria-Equipment &amp; Other HPs'!BF15+'Malaria-Equipment &amp; Other HPs'!BG15+'Malaria-Equipment &amp; Other HPs'!BH15),IF(SETUP!$G$53=2,$E$678*('Malaria-Equipment &amp; Other HPs'!BF15+'Malaria-Equipment &amp; Other HPs'!BG15+'Malaria-Equipment &amp; Other HPs'!BH15),IF(SETUP!$G$53=1,$E$678*('Malaria-Equipment &amp; Other HPs'!BG15+'Malaria-Equipment &amp; Other HPs'!BH15),0)))),0)</f>
        <v>0</v>
      </c>
      <c r="T683" s="1194">
        <f t="shared" si="98"/>
        <v>0</v>
      </c>
      <c r="U683" s="1328">
        <f t="shared" si="99"/>
        <v>0</v>
      </c>
      <c r="V683" s="1826">
        <v>7.7</v>
      </c>
      <c r="W683" s="1837"/>
      <c r="X683" s="764"/>
      <c r="Y683" s="879"/>
      <c r="Z683" s="850"/>
      <c r="AA683" s="880"/>
      <c r="AB683" s="880"/>
      <c r="AC683" s="880"/>
      <c r="AD683" s="880"/>
      <c r="AE683" s="880"/>
      <c r="AF683" s="880"/>
      <c r="AG683" s="880"/>
      <c r="AH683" s="881"/>
      <c r="AI683" s="880"/>
      <c r="AJ683" s="880"/>
      <c r="AK683" s="880"/>
      <c r="AL683" s="880"/>
      <c r="AM683" s="880"/>
      <c r="AN683" s="880"/>
      <c r="AO683" s="880"/>
      <c r="AP683" s="880"/>
      <c r="AQ683" s="880"/>
      <c r="AR683" s="880"/>
      <c r="AS683" s="880"/>
      <c r="AT683" s="880"/>
      <c r="AU683" s="880"/>
      <c r="AV683" s="880"/>
      <c r="AW683" s="880"/>
      <c r="AX683" s="880"/>
      <c r="AY683" s="880"/>
      <c r="AZ683" s="880"/>
      <c r="BA683" s="880"/>
      <c r="BB683" s="880"/>
      <c r="BC683" s="880"/>
      <c r="BD683" s="880"/>
      <c r="BE683" s="880"/>
      <c r="BF683" s="880"/>
      <c r="BG683" s="880"/>
      <c r="BH683" s="880"/>
      <c r="BI683" s="880"/>
      <c r="BJ683" s="880"/>
      <c r="BK683" s="880"/>
      <c r="BL683" s="880"/>
      <c r="BM683" s="880"/>
      <c r="BN683" s="880"/>
      <c r="BO683" s="880"/>
      <c r="BP683" s="880"/>
      <c r="BQ683" s="880"/>
      <c r="BR683" s="880"/>
      <c r="BS683" s="880"/>
      <c r="BT683" s="880"/>
    </row>
    <row r="684" spans="1:72" s="882" customFormat="1" ht="13.5" hidden="1" collapsed="1" thickBot="1">
      <c r="A684" s="2985"/>
      <c r="B684" s="2986"/>
      <c r="C684" s="2907" t="s">
        <v>581</v>
      </c>
      <c r="D684" s="2908"/>
      <c r="E684" s="2886">
        <v>0</v>
      </c>
      <c r="F684" s="1328">
        <f>IF(SETUP!$F$54="Upfront",F685,F686)</f>
        <v>0</v>
      </c>
      <c r="G684" s="1194">
        <f>IF(SETUP!$F$54="Upfront",G685,G686)</f>
        <v>0</v>
      </c>
      <c r="H684" s="1194">
        <f>IF(SETUP!$F$54="Upfront",H685,H686)</f>
        <v>0</v>
      </c>
      <c r="I684" s="1194">
        <f>IF(SETUP!$F$54="Upfront",I685,I686)</f>
        <v>0</v>
      </c>
      <c r="J684" s="1194">
        <f t="shared" si="96"/>
        <v>0</v>
      </c>
      <c r="K684" s="1328">
        <f>IF(SETUP!$F$54="Upfront",K685,K686)</f>
        <v>0</v>
      </c>
      <c r="L684" s="1194">
        <f>IF(SETUP!$F$54="Upfront",L685,L686)</f>
        <v>0</v>
      </c>
      <c r="M684" s="1194">
        <f>IF(SETUP!$F$54="Upfront",M685,M686)</f>
        <v>0</v>
      </c>
      <c r="N684" s="1194">
        <f>IF(SETUP!$F$54="Upfront",N685,N686)</f>
        <v>0</v>
      </c>
      <c r="O684" s="1194">
        <f t="shared" si="97"/>
        <v>0</v>
      </c>
      <c r="P684" s="1328">
        <f>IF(SETUP!$F$54="Upfront",P685,P686)</f>
        <v>0</v>
      </c>
      <c r="Q684" s="1194">
        <f>IF(SETUP!$F$54="Upfront",Q685,Q686)</f>
        <v>0</v>
      </c>
      <c r="R684" s="1194">
        <f>IF(SETUP!$F$54="Upfront",R685,R686)</f>
        <v>0</v>
      </c>
      <c r="S684" s="1194">
        <f>IF(SETUP!$F$54="Upfront",S685,S686)</f>
        <v>0</v>
      </c>
      <c r="T684" s="1194">
        <f t="shared" si="98"/>
        <v>0</v>
      </c>
      <c r="U684" s="1328">
        <f t="shared" si="99"/>
        <v>0</v>
      </c>
      <c r="V684" s="1826">
        <v>7.7</v>
      </c>
      <c r="W684" s="1837"/>
      <c r="X684" s="764"/>
      <c r="Y684" s="879"/>
      <c r="Z684" s="850"/>
      <c r="AA684" s="880"/>
      <c r="AB684" s="880"/>
      <c r="AC684" s="880"/>
      <c r="AD684" s="880"/>
      <c r="AE684" s="880"/>
      <c r="AF684" s="880"/>
      <c r="AG684" s="880"/>
      <c r="AH684" s="881"/>
      <c r="AI684" s="880"/>
      <c r="AJ684" s="880"/>
      <c r="AK684" s="880"/>
      <c r="AL684" s="880"/>
      <c r="AM684" s="880"/>
      <c r="AN684" s="880"/>
      <c r="AO684" s="880"/>
      <c r="AP684" s="880"/>
      <c r="AQ684" s="880"/>
      <c r="AR684" s="880"/>
      <c r="AS684" s="880"/>
      <c r="AT684" s="880"/>
      <c r="AU684" s="880"/>
      <c r="AV684" s="880"/>
      <c r="AW684" s="880"/>
      <c r="AX684" s="880"/>
      <c r="AY684" s="880"/>
      <c r="AZ684" s="880"/>
      <c r="BA684" s="880"/>
      <c r="BB684" s="880"/>
      <c r="BC684" s="880"/>
      <c r="BD684" s="880"/>
      <c r="BE684" s="880"/>
      <c r="BF684" s="880"/>
      <c r="BG684" s="880"/>
      <c r="BH684" s="880"/>
      <c r="BI684" s="880"/>
      <c r="BJ684" s="880"/>
      <c r="BK684" s="880"/>
      <c r="BL684" s="880"/>
      <c r="BM684" s="880"/>
      <c r="BN684" s="880"/>
      <c r="BO684" s="880"/>
      <c r="BP684" s="880"/>
      <c r="BQ684" s="880"/>
      <c r="BR684" s="880"/>
      <c r="BS684" s="880"/>
      <c r="BT684" s="880"/>
    </row>
    <row r="685" spans="1:72" s="882" customFormat="1" ht="16.149999999999999" hidden="1" customHeight="1" outlineLevel="1">
      <c r="A685" s="2985"/>
      <c r="B685" s="2986"/>
      <c r="C685" s="2889" t="s">
        <v>918</v>
      </c>
      <c r="D685" s="2890"/>
      <c r="E685" s="2887"/>
      <c r="F685" s="1328">
        <f>IF(SETUP!$F$54="Upfront",$E$684*'Malaria-Equipment &amp; Other HPs'!AW16,0)</f>
        <v>0</v>
      </c>
      <c r="G685" s="1194">
        <f>IF(SETUP!$F$54="Upfront",$E$684*'Malaria-Equipment &amp; Other HPs'!AX16,0)</f>
        <v>0</v>
      </c>
      <c r="H685" s="1194">
        <f>IF(SETUP!$F$54="Upfront",$E$684*'Malaria-Equipment &amp; Other HPs'!AY16,0)</f>
        <v>0</v>
      </c>
      <c r="I685" s="1194">
        <f>IF(SETUP!$F$54="Upfront",$E$684*'Malaria-Equipment &amp; Other HPs'!AZ16,0)</f>
        <v>0</v>
      </c>
      <c r="J685" s="1194">
        <f t="shared" si="96"/>
        <v>0</v>
      </c>
      <c r="K685" s="1328">
        <f>IF(SETUP!$F$54="Upfront",$E$684*'Malaria-Equipment &amp; Other HPs'!BA16,0)</f>
        <v>0</v>
      </c>
      <c r="L685" s="1194">
        <f>IF(SETUP!$F$54="Upfront",$E$684*'Malaria-Equipment &amp; Other HPs'!BB16,0)</f>
        <v>0</v>
      </c>
      <c r="M685" s="1194">
        <f>IF(SETUP!$F$54="Upfront",$E$684*'Malaria-Equipment &amp; Other HPs'!BC16,0)</f>
        <v>0</v>
      </c>
      <c r="N685" s="1194">
        <f>IF(SETUP!$F$54="Upfront",$E$684*'Malaria-Equipment &amp; Other HPs'!BD16,0)</f>
        <v>0</v>
      </c>
      <c r="O685" s="1194">
        <f t="shared" si="97"/>
        <v>0</v>
      </c>
      <c r="P685" s="1328">
        <f>IF(SETUP!$F$54="Upfront",$E$684*'Malaria-Equipment &amp; Other HPs'!BE16,0)</f>
        <v>0</v>
      </c>
      <c r="Q685" s="1194">
        <f>IF(SETUP!$F$54="Upfront",$E$684*'Malaria-Equipment &amp; Other HPs'!BF16,0)</f>
        <v>0</v>
      </c>
      <c r="R685" s="1194">
        <f>IF(SETUP!$F$54="Upfront",$E$684*'Malaria-Equipment &amp; Other HPs'!BG16,0)</f>
        <v>0</v>
      </c>
      <c r="S685" s="1194">
        <f>IF(SETUP!$F$54="Upfront",$E$684*'Malaria-Equipment &amp; Other HPs'!BH16,0)</f>
        <v>0</v>
      </c>
      <c r="T685" s="1194">
        <f t="shared" si="98"/>
        <v>0</v>
      </c>
      <c r="U685" s="1328">
        <f t="shared" si="99"/>
        <v>0</v>
      </c>
      <c r="V685" s="1826">
        <v>7.7</v>
      </c>
      <c r="W685" s="1837"/>
      <c r="X685" s="764"/>
      <c r="Y685" s="879"/>
      <c r="Z685" s="850"/>
      <c r="AA685" s="880"/>
      <c r="AB685" s="880"/>
      <c r="AC685" s="880"/>
      <c r="AD685" s="880"/>
      <c r="AE685" s="880"/>
      <c r="AF685" s="880"/>
      <c r="AG685" s="880"/>
      <c r="AH685" s="881"/>
      <c r="AI685" s="880"/>
      <c r="AJ685" s="880"/>
      <c r="AK685" s="880"/>
      <c r="AL685" s="880"/>
      <c r="AM685" s="880"/>
      <c r="AN685" s="880"/>
      <c r="AO685" s="880"/>
      <c r="AP685" s="880"/>
      <c r="AQ685" s="880"/>
      <c r="AR685" s="880"/>
      <c r="AS685" s="880"/>
      <c r="AT685" s="880"/>
      <c r="AU685" s="880"/>
      <c r="AV685" s="880"/>
      <c r="AW685" s="880"/>
      <c r="AX685" s="880"/>
      <c r="AY685" s="880"/>
      <c r="AZ685" s="880"/>
      <c r="BA685" s="880"/>
      <c r="BB685" s="880"/>
      <c r="BC685" s="880"/>
      <c r="BD685" s="880"/>
      <c r="BE685" s="880"/>
      <c r="BF685" s="880"/>
      <c r="BG685" s="880"/>
      <c r="BH685" s="880"/>
      <c r="BI685" s="880"/>
      <c r="BJ685" s="880"/>
      <c r="BK685" s="880"/>
      <c r="BL685" s="880"/>
      <c r="BM685" s="880"/>
      <c r="BN685" s="880"/>
      <c r="BO685" s="880"/>
      <c r="BP685" s="880"/>
      <c r="BQ685" s="880"/>
      <c r="BR685" s="880"/>
      <c r="BS685" s="880"/>
      <c r="BT685" s="880"/>
    </row>
    <row r="686" spans="1:72" s="882" customFormat="1" ht="17.25" hidden="1" customHeight="1" outlineLevel="1">
      <c r="A686" s="2985"/>
      <c r="B686" s="2986"/>
      <c r="C686" s="2889" t="s">
        <v>36</v>
      </c>
      <c r="D686" s="2890"/>
      <c r="E686" s="2887"/>
      <c r="F686" s="1328">
        <v>0</v>
      </c>
      <c r="G686" s="1194">
        <f>IF(SETUP!$F$54="At delivery",IF(SETUP!$G$54=1,$E$684*'Malaria-Equipment &amp; Other HPs'!AW16,0),0)</f>
        <v>0</v>
      </c>
      <c r="H686" s="1194">
        <f>IF(SETUP!$F$54="At delivery",IF(SETUP!$G$54=2,$E$684*'Malaria-Equipment &amp; Other HPs'!AW16,IF(SETUP!$G$54=1,$E$684*'Malaria-Equipment &amp; Other HPs'!AX16,0)),0)</f>
        <v>0</v>
      </c>
      <c r="I686" s="1194">
        <f>IF(SETUP!$F$54="At delivery",IF(SETUP!$G$54=3,$E$684*'Malaria-Equipment &amp; Other HPs'!AW16,IF(SETUP!$G$54=2,$E$684*'Malaria-Equipment &amp; Other HPs'!AX16,IF(SETUP!$G$54=1,$E$684*'Malaria-Equipment &amp; Other HPs'!AY16,0))),0)</f>
        <v>0</v>
      </c>
      <c r="J686" s="1194">
        <f t="shared" si="96"/>
        <v>0</v>
      </c>
      <c r="K686" s="1328">
        <f>IF(SETUP!$F$54="At delivery",IF(SETUP!$G$54=4,$E$684*'Malaria-Equipment &amp; Other HPs'!AW16,IF(SETUP!$G$54=3,$E$684*'Malaria-Equipment &amp; Other HPs'!AX16,IF(SETUP!$G$54=2,$E$684*'Malaria-Equipment &amp; Other HPs'!AY16,IF(SETUP!$G$54=1,$E$684*'Malaria-Equipment &amp; Other HPs'!AZ16,0)))),0)</f>
        <v>0</v>
      </c>
      <c r="L686" s="1194">
        <f>IF(SETUP!$F$54="At delivery",IF(SETUP!$G$54=4,$E$684*'Malaria-Equipment &amp; Other HPs'!AX16,IF(SETUP!$G$54=3,$E$684*'Malaria-Equipment &amp; Other HPs'!AY16,IF(SETUP!$G$54=2,$E$684*'Malaria-Equipment &amp; Other HPs'!AZ16,IF(SETUP!$G$54=1,$E$684*'Malaria-Equipment &amp; Other HPs'!BA16,0)))),0)</f>
        <v>0</v>
      </c>
      <c r="M686" s="1194">
        <f>IF(SETUP!$F$54="At delivery",IF(SETUP!$G$54=4,$E$684*'Malaria-Equipment &amp; Other HPs'!AY16,IF(SETUP!$G$54=3,$E$684*'Malaria-Equipment &amp; Other HPs'!AZ16,IF(SETUP!$G$54=2,$E$684*'Malaria-Equipment &amp; Other HPs'!BA16,IF(SETUP!$G$54=1,$E$684*'Malaria-Equipment &amp; Other HPs'!BB16,0)))),0)</f>
        <v>0</v>
      </c>
      <c r="N686" s="1194">
        <f>IF(SETUP!$F$54="At delivery",IF(SETUP!$G$54=4,$E$684*'Malaria-Equipment &amp; Other HPs'!AZ16,IF(SETUP!$G$54=3,$E$684*'Malaria-Equipment &amp; Other HPs'!BA16,IF(SETUP!$G$54=2,$E$684*'Malaria-Equipment &amp; Other HPs'!BB16,IF(SETUP!$G$54=1,$E$684*'Malaria-Equipment &amp; Other HPs'!BC16,0)))),0)</f>
        <v>0</v>
      </c>
      <c r="O686" s="1194">
        <f t="shared" si="97"/>
        <v>0</v>
      </c>
      <c r="P686" s="1328">
        <f>IF(SETUP!$F$54="At delivery",IF(SETUP!$G$54=4,$E$684*'Malaria-Equipment &amp; Other HPs'!BA16,IF(SETUP!$G$54=3,$E$684*'Malaria-Equipment &amp; Other HPs'!BB16,IF(SETUP!$G$54=2,$E$684*'Malaria-Equipment &amp; Other HPs'!BC16,IF(SETUP!$G$54=1,$E$684*'Malaria-Equipment &amp; Other HPs'!BD16,0)))),0)</f>
        <v>0</v>
      </c>
      <c r="Q686" s="1194">
        <f>IF(SETUP!$F$54="At delivery",IF(SETUP!$G$54=4,$E$684*'Malaria-Equipment &amp; Other HPs'!BB16,IF(SETUP!$G$54=3,$E$684*'Malaria-Equipment &amp; Other HPs'!BC16,IF(SETUP!$G$54=2,$E$684*'Malaria-Equipment &amp; Other HPs'!BD16,IF(SETUP!$G$54=1,$E$684*'Malaria-Equipment &amp; Other HPs'!BE16,0)))),0)</f>
        <v>0</v>
      </c>
      <c r="R686" s="1194">
        <f>IF(SETUP!$F$54="At delivery",IF(SETUP!$G$54=4,$E$684*'Malaria-Equipment &amp; Other HPs'!BC16,IF(SETUP!$G$54=3,$E$684*'Malaria-Equipment &amp; Other HPs'!BD16,IF(SETUP!$G$54=2,$E$684*'Malaria-Equipment &amp; Other HPs'!BE16,IF(SETUP!$G$54=1,$E$684*'Malaria-Equipment &amp; Other HPs'!BF16,0)))),0)</f>
        <v>0</v>
      </c>
      <c r="S686" s="1194">
        <f>IF(SETUP!$F$54="At delivery",IF(SETUP!$G$54=4,$E$684*('Malaria-Equipment &amp; Other HPs'!BD16+'Malaria-Equipment &amp; Other HPs'!BE16+'Malaria-Equipment &amp; Other HPs'!BF16+'Malaria-Equipment &amp; Other HPs'!BG16+'Malaria-Equipment &amp; Other HPs'!BH16),IF(SETUP!$G$54=3,$E$684*('Malaria-Equipment &amp; Other HPs'!BE16+'Malaria-Equipment &amp; Other HPs'!BF16+'Malaria-Equipment &amp; Other HPs'!BG16+'Malaria-Equipment &amp; Other HPs'!BH16),IF(SETUP!$G$54=2,$E$684*('Malaria-Equipment &amp; Other HPs'!BF16+'Malaria-Equipment &amp; Other HPs'!BG16+'Malaria-Equipment &amp; Other HPs'!BH16),IF(SETUP!$G$54=1,$E$684*('Malaria-Equipment &amp; Other HPs'!BG16+'Malaria-Equipment &amp; Other HPs'!BH16),0)))),0)</f>
        <v>0</v>
      </c>
      <c r="T686" s="1194">
        <f t="shared" si="98"/>
        <v>0</v>
      </c>
      <c r="U686" s="1328">
        <f t="shared" si="99"/>
        <v>0</v>
      </c>
      <c r="V686" s="1826">
        <v>7.7</v>
      </c>
      <c r="W686" s="1837"/>
      <c r="X686" s="764"/>
      <c r="Y686" s="879"/>
      <c r="Z686" s="850"/>
      <c r="AA686" s="880"/>
      <c r="AB686" s="880"/>
      <c r="AC686" s="880"/>
      <c r="AD686" s="880"/>
      <c r="AE686" s="880"/>
      <c r="AF686" s="880"/>
      <c r="AG686" s="880"/>
      <c r="AH686" s="881"/>
      <c r="AI686" s="880"/>
      <c r="AJ686" s="880"/>
      <c r="AK686" s="880"/>
      <c r="AL686" s="880"/>
      <c r="AM686" s="880"/>
      <c r="AN686" s="880"/>
      <c r="AO686" s="880"/>
      <c r="AP686" s="880"/>
      <c r="AQ686" s="880"/>
      <c r="AR686" s="880"/>
      <c r="AS686" s="880"/>
      <c r="AT686" s="880"/>
      <c r="AU686" s="880"/>
      <c r="AV686" s="880"/>
      <c r="AW686" s="880"/>
      <c r="AX686" s="880"/>
      <c r="AY686" s="880"/>
      <c r="AZ686" s="880"/>
      <c r="BA686" s="880"/>
      <c r="BB686" s="880"/>
      <c r="BC686" s="880"/>
      <c r="BD686" s="880"/>
      <c r="BE686" s="880"/>
      <c r="BF686" s="880"/>
      <c r="BG686" s="880"/>
      <c r="BH686" s="880"/>
      <c r="BI686" s="880"/>
      <c r="BJ686" s="880"/>
      <c r="BK686" s="880"/>
      <c r="BL686" s="880"/>
      <c r="BM686" s="880"/>
      <c r="BN686" s="880"/>
      <c r="BO686" s="880"/>
      <c r="BP686" s="880"/>
      <c r="BQ686" s="880"/>
      <c r="BR686" s="880"/>
      <c r="BS686" s="880"/>
      <c r="BT686" s="880"/>
    </row>
    <row r="687" spans="1:72" s="882" customFormat="1" ht="13.5" hidden="1" collapsed="1" thickBot="1">
      <c r="A687" s="2985"/>
      <c r="B687" s="2986"/>
      <c r="C687" s="2907" t="s">
        <v>582</v>
      </c>
      <c r="D687" s="2908"/>
      <c r="E687" s="2887"/>
      <c r="F687" s="1328">
        <f>IF(SETUP!$F$55="Upfront",F688,F689)</f>
        <v>0</v>
      </c>
      <c r="G687" s="1194">
        <f>IF(SETUP!$F$55="Upfront",G688,G689)</f>
        <v>0</v>
      </c>
      <c r="H687" s="1194">
        <f>IF(SETUP!$F$55="Upfront",H688,H689)</f>
        <v>0</v>
      </c>
      <c r="I687" s="1194">
        <f>IF(SETUP!$F$55="Upfront",I688,I689)</f>
        <v>0</v>
      </c>
      <c r="J687" s="1194">
        <f t="shared" si="96"/>
        <v>0</v>
      </c>
      <c r="K687" s="1328">
        <f>IF(SETUP!$F$55="Upfront",K688,K689)</f>
        <v>0</v>
      </c>
      <c r="L687" s="1194">
        <f>IF(SETUP!$F$55="Upfront",L688,L689)</f>
        <v>0</v>
      </c>
      <c r="M687" s="1194">
        <f>IF(SETUP!$F$55="Upfront",M688,M689)</f>
        <v>0</v>
      </c>
      <c r="N687" s="1194">
        <f>IF(SETUP!$F$55="Upfront",N688,N689)</f>
        <v>0</v>
      </c>
      <c r="O687" s="1194">
        <f t="shared" si="97"/>
        <v>0</v>
      </c>
      <c r="P687" s="1328">
        <f>IF(SETUP!$F$55="Upfront",P688,P689)</f>
        <v>0</v>
      </c>
      <c r="Q687" s="1194">
        <f>IF(SETUP!$F$55="Upfront",Q688,Q689)</f>
        <v>0</v>
      </c>
      <c r="R687" s="1194">
        <f>IF(SETUP!$F$55="Upfront",R688,R689)</f>
        <v>0</v>
      </c>
      <c r="S687" s="1194">
        <f>IF(SETUP!$F$55="Upfront",S688,S689)</f>
        <v>0</v>
      </c>
      <c r="T687" s="1194">
        <f t="shared" si="98"/>
        <v>0</v>
      </c>
      <c r="U687" s="1328">
        <f t="shared" si="99"/>
        <v>0</v>
      </c>
      <c r="V687" s="1826">
        <v>7.7</v>
      </c>
      <c r="W687" s="1837"/>
      <c r="X687" s="764"/>
      <c r="Y687" s="879"/>
      <c r="Z687" s="850"/>
      <c r="AA687" s="880"/>
      <c r="AB687" s="880"/>
      <c r="AC687" s="880"/>
      <c r="AD687" s="880"/>
      <c r="AE687" s="880"/>
      <c r="AF687" s="880"/>
      <c r="AG687" s="880"/>
      <c r="AH687" s="881"/>
      <c r="AI687" s="880"/>
      <c r="AJ687" s="880"/>
      <c r="AK687" s="880"/>
      <c r="AL687" s="880"/>
      <c r="AM687" s="880"/>
      <c r="AN687" s="880"/>
      <c r="AO687" s="880"/>
      <c r="AP687" s="880"/>
      <c r="AQ687" s="880"/>
      <c r="AR687" s="880"/>
      <c r="AS687" s="880"/>
      <c r="AT687" s="880"/>
      <c r="AU687" s="880"/>
      <c r="AV687" s="880"/>
      <c r="AW687" s="880"/>
      <c r="AX687" s="880"/>
      <c r="AY687" s="880"/>
      <c r="AZ687" s="880"/>
      <c r="BA687" s="880"/>
      <c r="BB687" s="880"/>
      <c r="BC687" s="880"/>
      <c r="BD687" s="880"/>
      <c r="BE687" s="880"/>
      <c r="BF687" s="880"/>
      <c r="BG687" s="880"/>
      <c r="BH687" s="880"/>
      <c r="BI687" s="880"/>
      <c r="BJ687" s="880"/>
      <c r="BK687" s="880"/>
      <c r="BL687" s="880"/>
      <c r="BM687" s="880"/>
      <c r="BN687" s="880"/>
      <c r="BO687" s="880"/>
      <c r="BP687" s="880"/>
      <c r="BQ687" s="880"/>
      <c r="BR687" s="880"/>
      <c r="BS687" s="880"/>
      <c r="BT687" s="880"/>
    </row>
    <row r="688" spans="1:72" s="882" customFormat="1" ht="16.149999999999999" hidden="1" customHeight="1" outlineLevel="1">
      <c r="A688" s="2985"/>
      <c r="B688" s="2986"/>
      <c r="C688" s="2889" t="s">
        <v>918</v>
      </c>
      <c r="D688" s="2890"/>
      <c r="E688" s="2887"/>
      <c r="F688" s="1328">
        <f>IF(SETUP!$F$54="Upfront",$E$684*'Malaria-Equipment &amp; Other HPs'!AW17,0)</f>
        <v>0</v>
      </c>
      <c r="G688" s="1194">
        <f>IF(SETUP!$F$54="Upfront",$E$684*'Malaria-Equipment &amp; Other HPs'!AX17,0)</f>
        <v>0</v>
      </c>
      <c r="H688" s="1194">
        <f>IF(SETUP!$F$54="Upfront",$E$684*'Malaria-Equipment &amp; Other HPs'!AY17,0)</f>
        <v>0</v>
      </c>
      <c r="I688" s="1194">
        <f>IF(SETUP!$F$54="Upfront",$E$684*'Malaria-Equipment &amp; Other HPs'!AZ17,0)</f>
        <v>0</v>
      </c>
      <c r="J688" s="1194">
        <f t="shared" si="96"/>
        <v>0</v>
      </c>
      <c r="K688" s="1328">
        <f>IF(SETUP!$F$54="Upfront",$E$684*'Malaria-Equipment &amp; Other HPs'!BA17,0)</f>
        <v>0</v>
      </c>
      <c r="L688" s="1194">
        <f>IF(SETUP!$F$54="Upfront",$E$684*'Malaria-Equipment &amp; Other HPs'!BB17,0)</f>
        <v>0</v>
      </c>
      <c r="M688" s="1194">
        <f>IF(SETUP!$F$54="Upfront",$E$684*'Malaria-Equipment &amp; Other HPs'!BC17,0)</f>
        <v>0</v>
      </c>
      <c r="N688" s="1194">
        <f>IF(SETUP!$F$54="Upfront",$E$684*'Malaria-Equipment &amp; Other HPs'!BD17,0)</f>
        <v>0</v>
      </c>
      <c r="O688" s="1194">
        <f t="shared" si="97"/>
        <v>0</v>
      </c>
      <c r="P688" s="1328">
        <f>IF(SETUP!$F$54="Upfront",$E$684*'Malaria-Equipment &amp; Other HPs'!BE17,0)</f>
        <v>0</v>
      </c>
      <c r="Q688" s="1194">
        <f>IF(SETUP!$F$54="Upfront",$E$684*'Malaria-Equipment &amp; Other HPs'!BF17,0)</f>
        <v>0</v>
      </c>
      <c r="R688" s="1194">
        <f>IF(SETUP!$F$54="Upfront",$E$684*'Malaria-Equipment &amp; Other HPs'!BG17,0)</f>
        <v>0</v>
      </c>
      <c r="S688" s="1194">
        <f>IF(SETUP!$F$54="Upfront",$E$684*'Malaria-Equipment &amp; Other HPs'!BH17,0)</f>
        <v>0</v>
      </c>
      <c r="T688" s="1194">
        <f t="shared" si="98"/>
        <v>0</v>
      </c>
      <c r="U688" s="1328">
        <f t="shared" si="99"/>
        <v>0</v>
      </c>
      <c r="V688" s="1826">
        <v>7.7</v>
      </c>
      <c r="W688" s="1837"/>
      <c r="X688" s="764"/>
      <c r="Y688" s="879"/>
      <c r="Z688" s="850"/>
      <c r="AA688" s="880"/>
      <c r="AB688" s="880"/>
      <c r="AC688" s="880"/>
      <c r="AD688" s="880"/>
      <c r="AE688" s="880"/>
      <c r="AF688" s="880"/>
      <c r="AG688" s="880"/>
      <c r="AH688" s="881"/>
      <c r="AI688" s="880"/>
      <c r="AJ688" s="880"/>
      <c r="AK688" s="880"/>
      <c r="AL688" s="880"/>
      <c r="AM688" s="880"/>
      <c r="AN688" s="880"/>
      <c r="AO688" s="880"/>
      <c r="AP688" s="880"/>
      <c r="AQ688" s="880"/>
      <c r="AR688" s="880"/>
      <c r="AS688" s="880"/>
      <c r="AT688" s="880"/>
      <c r="AU688" s="880"/>
      <c r="AV688" s="880"/>
      <c r="AW688" s="880"/>
      <c r="AX688" s="880"/>
      <c r="AY688" s="880"/>
      <c r="AZ688" s="880"/>
      <c r="BA688" s="880"/>
      <c r="BB688" s="880"/>
      <c r="BC688" s="880"/>
      <c r="BD688" s="880"/>
      <c r="BE688" s="880"/>
      <c r="BF688" s="880"/>
      <c r="BG688" s="880"/>
      <c r="BH688" s="880"/>
      <c r="BI688" s="880"/>
      <c r="BJ688" s="880"/>
      <c r="BK688" s="880"/>
      <c r="BL688" s="880"/>
      <c r="BM688" s="880"/>
      <c r="BN688" s="880"/>
      <c r="BO688" s="880"/>
      <c r="BP688" s="880"/>
      <c r="BQ688" s="880"/>
      <c r="BR688" s="880"/>
      <c r="BS688" s="880"/>
      <c r="BT688" s="880"/>
    </row>
    <row r="689" spans="1:72" s="882" customFormat="1" ht="17.25" hidden="1" customHeight="1" outlineLevel="1">
      <c r="A689" s="2985"/>
      <c r="B689" s="2986"/>
      <c r="C689" s="2889" t="s">
        <v>36</v>
      </c>
      <c r="D689" s="2890"/>
      <c r="E689" s="2888"/>
      <c r="F689" s="1328">
        <v>0</v>
      </c>
      <c r="G689" s="1194">
        <f>IF(SETUP!$F$55="At delivery",IF(SETUP!$G$55=1,$E$684*'Malaria-Equipment &amp; Other HPs'!AW17,0),0)</f>
        <v>0</v>
      </c>
      <c r="H689" s="1194">
        <f>IF(SETUP!$F$55="At delivery",IF(SETUP!$G$55=2,$E$684*'Malaria-Equipment &amp; Other HPs'!AW17,IF(SETUP!$G$55=1,$E$684*'Malaria-Equipment &amp; Other HPs'!AX17,0)),0)</f>
        <v>0</v>
      </c>
      <c r="I689" s="1194">
        <f>IF(SETUP!$F$55="At delivery",IF(SETUP!$G$55=3,$E$684*'Malaria-Equipment &amp; Other HPs'!AW17,IF(SETUP!$G$55=2,$E$684*'Malaria-Equipment &amp; Other HPs'!AX17,IF(SETUP!$G$55=1,$E$684*'Malaria-Equipment &amp; Other HPs'!AY17,0))),0)</f>
        <v>0</v>
      </c>
      <c r="J689" s="1194">
        <f t="shared" si="96"/>
        <v>0</v>
      </c>
      <c r="K689" s="1328">
        <f>IF(SETUP!$F$55="At delivery",IF(SETUP!$G$55=4,$E$684*'Malaria-Equipment &amp; Other HPs'!AW17,IF(SETUP!$G$55=3,$E$684*'Malaria-Equipment &amp; Other HPs'!AX17,IF(SETUP!$G$55=2,$E$684*'Malaria-Equipment &amp; Other HPs'!AY17,IF(SETUP!$G$55=1,$E$684*'Malaria-Equipment &amp; Other HPs'!AZ17,0)))),0)</f>
        <v>0</v>
      </c>
      <c r="L689" s="1194">
        <f>IF(SETUP!$F$55="At delivery",IF(SETUP!$G$55=4,$E$684*'Malaria-Equipment &amp; Other HPs'!AX17,IF(SETUP!$G$55=3,$E$684*'Malaria-Equipment &amp; Other HPs'!AY17,IF(SETUP!$G$55=2,$E$684*'Malaria-Equipment &amp; Other HPs'!AZ17,IF(SETUP!$G$55=1,$E$684*'Malaria-Equipment &amp; Other HPs'!BA17,0)))),0)</f>
        <v>0</v>
      </c>
      <c r="M689" s="1194">
        <f>IF(SETUP!$F$55="At delivery",IF(SETUP!$G$55=4,$E$684*'Malaria-Equipment &amp; Other HPs'!AY17,IF(SETUP!$G$55=3,$E$684*'Malaria-Equipment &amp; Other HPs'!AZ17,IF(SETUP!$G$55=2,$E$684*'Malaria-Equipment &amp; Other HPs'!BA17,IF(SETUP!$G$55=1,$E$684*'Malaria-Equipment &amp; Other HPs'!BB17,0)))),0)</f>
        <v>0</v>
      </c>
      <c r="N689" s="1194">
        <f>IF(SETUP!$F$55="At delivery",IF(SETUP!$G$55=4,$E$684*'Malaria-Equipment &amp; Other HPs'!AZ17,IF(SETUP!$G$55=3,$E$684*'Malaria-Equipment &amp; Other HPs'!BA17,IF(SETUP!$G$55=2,$E$684*'Malaria-Equipment &amp; Other HPs'!BB17,IF(SETUP!$G$55=1,$E$684*'Malaria-Equipment &amp; Other HPs'!BC17,0)))),0)</f>
        <v>0</v>
      </c>
      <c r="O689" s="1194">
        <f t="shared" si="97"/>
        <v>0</v>
      </c>
      <c r="P689" s="1328">
        <f>IF(SETUP!$F$55="At delivery",IF(SETUP!$G$55=4,$E$684*'Malaria-Equipment &amp; Other HPs'!BA17,IF(SETUP!$G$55=3,$E$684*'Malaria-Equipment &amp; Other HPs'!BB17,IF(SETUP!$G$55=2,$E$684*'Malaria-Equipment &amp; Other HPs'!BC17,IF(SETUP!$G$55=1,$E$684*'Malaria-Equipment &amp; Other HPs'!BD17,0)))),0)</f>
        <v>0</v>
      </c>
      <c r="Q689" s="1194">
        <f>IF(SETUP!$F$55="At delivery",IF(SETUP!$G$55=4,$E$684*'Malaria-Equipment &amp; Other HPs'!BB17,IF(SETUP!$G$55=3,$E$684*'Malaria-Equipment &amp; Other HPs'!BC17,IF(SETUP!$G$55=2,$E$684*'Malaria-Equipment &amp; Other HPs'!BD17,IF(SETUP!$G$55=1,$E$684*'Malaria-Equipment &amp; Other HPs'!BE17,0)))),0)</f>
        <v>0</v>
      </c>
      <c r="R689" s="1194">
        <f>IF(SETUP!$F$55="At delivery",IF(SETUP!$G$55=4,$E$684*'Malaria-Equipment &amp; Other HPs'!BC17,IF(SETUP!$G$55=3,$E$684*'Malaria-Equipment &amp; Other HPs'!BD17,IF(SETUP!$G$55=2,$E$684*'Malaria-Equipment &amp; Other HPs'!BE17,IF(SETUP!$G$55=1,$E$684*'Malaria-Equipment &amp; Other HPs'!BF17,0)))),0)</f>
        <v>0</v>
      </c>
      <c r="S689" s="1194">
        <f>IF(SETUP!$F$55="At delivery",IF(SETUP!$G$55=4,$E$684*('Malaria-Equipment &amp; Other HPs'!BD17+'Malaria-Equipment &amp; Other HPs'!BE17+'Malaria-Equipment &amp; Other HPs'!BF17+'Malaria-Equipment &amp; Other HPs'!BG17+'Malaria-Equipment &amp; Other HPs'!BH17),IF(SETUP!$G$55=3,$E$684*('Malaria-Equipment &amp; Other HPs'!BE17+'Malaria-Equipment &amp; Other HPs'!BF17+'Malaria-Equipment &amp; Other HPs'!BG17+'Malaria-Equipment &amp; Other HPs'!BH17),IF(SETUP!$G$55=2,$E$684*('Malaria-Equipment &amp; Other HPs'!BF17+'Malaria-Equipment &amp; Other HPs'!BG17+'Malaria-Equipment &amp; Other HPs'!BH17),IF(SETUP!$G$55=1,$E$684*('Malaria-Equipment &amp; Other HPs'!BG17+'Malaria-Equipment &amp; Other HPs'!BH17),0)))),0)</f>
        <v>0</v>
      </c>
      <c r="T689" s="1194">
        <f t="shared" si="98"/>
        <v>0</v>
      </c>
      <c r="U689" s="1328">
        <f t="shared" si="99"/>
        <v>0</v>
      </c>
      <c r="V689" s="1826">
        <v>7.7</v>
      </c>
      <c r="W689" s="1837"/>
      <c r="X689" s="764"/>
      <c r="Y689" s="879"/>
      <c r="Z689" s="850"/>
      <c r="AA689" s="880"/>
      <c r="AB689" s="880"/>
      <c r="AC689" s="880"/>
      <c r="AD689" s="880"/>
      <c r="AE689" s="880"/>
      <c r="AF689" s="880"/>
      <c r="AG689" s="880"/>
      <c r="AH689" s="881"/>
      <c r="AI689" s="880"/>
      <c r="AJ689" s="880"/>
      <c r="AK689" s="880"/>
      <c r="AL689" s="880"/>
      <c r="AM689" s="880"/>
      <c r="AN689" s="880"/>
      <c r="AO689" s="880"/>
      <c r="AP689" s="880"/>
      <c r="AQ689" s="880"/>
      <c r="AR689" s="880"/>
      <c r="AS689" s="880"/>
      <c r="AT689" s="880"/>
      <c r="AU689" s="880"/>
      <c r="AV689" s="880"/>
      <c r="AW689" s="880"/>
      <c r="AX689" s="880"/>
      <c r="AY689" s="880"/>
      <c r="AZ689" s="880"/>
      <c r="BA689" s="880"/>
      <c r="BB689" s="880"/>
      <c r="BC689" s="880"/>
      <c r="BD689" s="880"/>
      <c r="BE689" s="880"/>
      <c r="BF689" s="880"/>
      <c r="BG689" s="880"/>
      <c r="BH689" s="880"/>
      <c r="BI689" s="880"/>
      <c r="BJ689" s="880"/>
      <c r="BK689" s="880"/>
      <c r="BL689" s="880"/>
      <c r="BM689" s="880"/>
      <c r="BN689" s="880"/>
      <c r="BO689" s="880"/>
      <c r="BP689" s="880"/>
      <c r="BQ689" s="880"/>
      <c r="BR689" s="880"/>
      <c r="BS689" s="880"/>
      <c r="BT689" s="880"/>
    </row>
    <row r="690" spans="1:72" s="882" customFormat="1" ht="13.5" hidden="1" collapsed="1" thickBot="1">
      <c r="A690" s="2985"/>
      <c r="B690" s="2986"/>
      <c r="C690" s="2907" t="s">
        <v>583</v>
      </c>
      <c r="D690" s="2908"/>
      <c r="E690" s="2886">
        <v>0</v>
      </c>
      <c r="F690" s="1328">
        <f>IF(SETUP!$F$56="Upfront",F691,F692)</f>
        <v>0</v>
      </c>
      <c r="G690" s="1194">
        <f>IF(SETUP!$F$56="Upfront",G691,G692)</f>
        <v>0</v>
      </c>
      <c r="H690" s="1194">
        <f>IF(SETUP!$F$56="Upfront",H691,H692)</f>
        <v>0</v>
      </c>
      <c r="I690" s="1194">
        <f>IF(SETUP!$F$56="Upfront",I691,I692)</f>
        <v>0</v>
      </c>
      <c r="J690" s="1194">
        <f t="shared" si="96"/>
        <v>0</v>
      </c>
      <c r="K690" s="1328">
        <f>IF(SETUP!$F$56="Upfront",K691,K692)</f>
        <v>0</v>
      </c>
      <c r="L690" s="1194">
        <f>IF(SETUP!$F$56="Upfront",L691,L692)</f>
        <v>0</v>
      </c>
      <c r="M690" s="1194">
        <f>IF(SETUP!$F$56="Upfront",M691,M692)</f>
        <v>0</v>
      </c>
      <c r="N690" s="1194">
        <f>IF(SETUP!$F$56="Upfront",N691,N692)</f>
        <v>0</v>
      </c>
      <c r="O690" s="1194">
        <f t="shared" si="97"/>
        <v>0</v>
      </c>
      <c r="P690" s="1328">
        <f>IF(SETUP!$F$56="Upfront",P691,P692)</f>
        <v>0</v>
      </c>
      <c r="Q690" s="1194">
        <f>IF(SETUP!$F$56="Upfront",Q691,Q692)</f>
        <v>0</v>
      </c>
      <c r="R690" s="1194">
        <f>IF(SETUP!$F$56="Upfront",R691,R692)</f>
        <v>0</v>
      </c>
      <c r="S690" s="1194">
        <f>IF(SETUP!$F$56="Upfront",S691,S692)</f>
        <v>0</v>
      </c>
      <c r="T690" s="1194">
        <f t="shared" si="98"/>
        <v>0</v>
      </c>
      <c r="U690" s="1328">
        <f t="shared" si="99"/>
        <v>0</v>
      </c>
      <c r="V690" s="1826">
        <v>7.7</v>
      </c>
      <c r="W690" s="1837"/>
      <c r="X690" s="764"/>
      <c r="Y690" s="879"/>
      <c r="Z690" s="850"/>
      <c r="AA690" s="880"/>
      <c r="AB690" s="880"/>
      <c r="AC690" s="880"/>
      <c r="AD690" s="880"/>
      <c r="AE690" s="880"/>
      <c r="AF690" s="880"/>
      <c r="AG690" s="880"/>
      <c r="AH690" s="881"/>
      <c r="AI690" s="880"/>
      <c r="AJ690" s="880"/>
      <c r="AK690" s="880"/>
      <c r="AL690" s="880"/>
      <c r="AM690" s="880"/>
      <c r="AN690" s="880"/>
      <c r="AO690" s="880"/>
      <c r="AP690" s="880"/>
      <c r="AQ690" s="880"/>
      <c r="AR690" s="880"/>
      <c r="AS690" s="880"/>
      <c r="AT690" s="880"/>
      <c r="AU690" s="880"/>
      <c r="AV690" s="880"/>
      <c r="AW690" s="880"/>
      <c r="AX690" s="880"/>
      <c r="AY690" s="880"/>
      <c r="AZ690" s="880"/>
      <c r="BA690" s="880"/>
      <c r="BB690" s="880"/>
      <c r="BC690" s="880"/>
      <c r="BD690" s="880"/>
      <c r="BE690" s="880"/>
      <c r="BF690" s="880"/>
      <c r="BG690" s="880"/>
      <c r="BH690" s="880"/>
      <c r="BI690" s="880"/>
      <c r="BJ690" s="880"/>
      <c r="BK690" s="880"/>
      <c r="BL690" s="880"/>
      <c r="BM690" s="880"/>
      <c r="BN690" s="880"/>
      <c r="BO690" s="880"/>
      <c r="BP690" s="880"/>
      <c r="BQ690" s="880"/>
      <c r="BR690" s="880"/>
      <c r="BS690" s="880"/>
      <c r="BT690" s="880"/>
    </row>
    <row r="691" spans="1:72" s="882" customFormat="1" ht="16.149999999999999" hidden="1" customHeight="1" outlineLevel="1">
      <c r="A691" s="2985"/>
      <c r="B691" s="2986"/>
      <c r="C691" s="2889" t="s">
        <v>918</v>
      </c>
      <c r="D691" s="2890"/>
      <c r="E691" s="2887"/>
      <c r="F691" s="1328">
        <f>IF(SETUP!$F$56="Upfront",$E$690*'Malaria-Equipment &amp; Other HPs'!AW18,0)</f>
        <v>0</v>
      </c>
      <c r="G691" s="1194">
        <f>IF(SETUP!$F$56="Upfront",$E$690*'Malaria-Equipment &amp; Other HPs'!AX18,0)</f>
        <v>0</v>
      </c>
      <c r="H691" s="1194">
        <f>IF(SETUP!$F$56="Upfront",$E$690*'Malaria-Equipment &amp; Other HPs'!AY18,0)</f>
        <v>0</v>
      </c>
      <c r="I691" s="1194">
        <f>IF(SETUP!$F$56="Upfront",$E$690*'Malaria-Equipment &amp; Other HPs'!AZ18,0)</f>
        <v>0</v>
      </c>
      <c r="J691" s="1194">
        <f t="shared" si="96"/>
        <v>0</v>
      </c>
      <c r="K691" s="1328">
        <f>IF(SETUP!$F$56="Upfront",$E$690*'Malaria-Equipment &amp; Other HPs'!BA18,0)</f>
        <v>0</v>
      </c>
      <c r="L691" s="1194">
        <f>IF(SETUP!$F$56="Upfront",$E$690*'Malaria-Equipment &amp; Other HPs'!BB18,0)</f>
        <v>0</v>
      </c>
      <c r="M691" s="1194">
        <f>IF(SETUP!$F$56="Upfront",$E$690*'Malaria-Equipment &amp; Other HPs'!BC18,0)</f>
        <v>0</v>
      </c>
      <c r="N691" s="1194">
        <f>IF(SETUP!$F$56="Upfront",$E$690*'Malaria-Equipment &amp; Other HPs'!BD18,0)</f>
        <v>0</v>
      </c>
      <c r="O691" s="1194">
        <f t="shared" si="97"/>
        <v>0</v>
      </c>
      <c r="P691" s="1328">
        <f>IF(SETUP!$F$56="Upfront",$E$690*'Malaria-Equipment &amp; Other HPs'!BE18,0)</f>
        <v>0</v>
      </c>
      <c r="Q691" s="1194">
        <f>IF(SETUP!$F$56="Upfront",$E$690*'Malaria-Equipment &amp; Other HPs'!BF18,0)</f>
        <v>0</v>
      </c>
      <c r="R691" s="1194">
        <f>IF(SETUP!$F$56="Upfront",$E$690*'Malaria-Equipment &amp; Other HPs'!BG18,0)</f>
        <v>0</v>
      </c>
      <c r="S691" s="1194">
        <f>IF(SETUP!$F$56="Upfront",$E$690*'Malaria-Equipment &amp; Other HPs'!BH18,0)</f>
        <v>0</v>
      </c>
      <c r="T691" s="1194">
        <f t="shared" si="98"/>
        <v>0</v>
      </c>
      <c r="U691" s="1328">
        <f t="shared" si="99"/>
        <v>0</v>
      </c>
      <c r="V691" s="1826">
        <v>7.7</v>
      </c>
      <c r="W691" s="1837"/>
      <c r="X691" s="764"/>
      <c r="Y691" s="879"/>
      <c r="Z691" s="850"/>
      <c r="AA691" s="880"/>
      <c r="AB691" s="880"/>
      <c r="AC691" s="880"/>
      <c r="AD691" s="880"/>
      <c r="AE691" s="880"/>
      <c r="AF691" s="880"/>
      <c r="AG691" s="880"/>
      <c r="AH691" s="881"/>
      <c r="AI691" s="880"/>
      <c r="AJ691" s="880"/>
      <c r="AK691" s="880"/>
      <c r="AL691" s="880"/>
      <c r="AM691" s="880"/>
      <c r="AN691" s="880"/>
      <c r="AO691" s="880"/>
      <c r="AP691" s="880"/>
      <c r="AQ691" s="880"/>
      <c r="AR691" s="880"/>
      <c r="AS691" s="880"/>
      <c r="AT691" s="880"/>
      <c r="AU691" s="880"/>
      <c r="AV691" s="880"/>
      <c r="AW691" s="880"/>
      <c r="AX691" s="880"/>
      <c r="AY691" s="880"/>
      <c r="AZ691" s="880"/>
      <c r="BA691" s="880"/>
      <c r="BB691" s="880"/>
      <c r="BC691" s="880"/>
      <c r="BD691" s="880"/>
      <c r="BE691" s="880"/>
      <c r="BF691" s="880"/>
      <c r="BG691" s="880"/>
      <c r="BH691" s="880"/>
      <c r="BI691" s="880"/>
      <c r="BJ691" s="880"/>
      <c r="BK691" s="880"/>
      <c r="BL691" s="880"/>
      <c r="BM691" s="880"/>
      <c r="BN691" s="880"/>
      <c r="BO691" s="880"/>
      <c r="BP691" s="880"/>
      <c r="BQ691" s="880"/>
      <c r="BR691" s="880"/>
      <c r="BS691" s="880"/>
      <c r="BT691" s="880"/>
    </row>
    <row r="692" spans="1:72" s="882" customFormat="1" ht="17.25" hidden="1" customHeight="1" outlineLevel="1">
      <c r="A692" s="2985"/>
      <c r="B692" s="2986"/>
      <c r="C692" s="2889" t="s">
        <v>36</v>
      </c>
      <c r="D692" s="2890"/>
      <c r="E692" s="2888"/>
      <c r="F692" s="1328">
        <v>0</v>
      </c>
      <c r="G692" s="1194">
        <f>IF(SETUP!$F$56="At delivery",IF(SETUP!$G$56=1,$E$690*'Malaria-Equipment &amp; Other HPs'!AW18,0),0)</f>
        <v>0</v>
      </c>
      <c r="H692" s="1194">
        <f>IF(SETUP!$F$56="At delivery",IF(SETUP!$G$56=2,$E$690*'Malaria-Equipment &amp; Other HPs'!AW18,IF(SETUP!$G$56=1,$E$690*'Malaria-Equipment &amp; Other HPs'!AX18,0)),0)</f>
        <v>0</v>
      </c>
      <c r="I692" s="1194">
        <f>IF(SETUP!$F$56="At delivery",IF(SETUP!$G$56=3,$E$690*'Malaria-Equipment &amp; Other HPs'!AW18,IF(SETUP!$G$56=2,$E$690*'Malaria-Equipment &amp; Other HPs'!AX18,IF(SETUP!$G$56=1,$E$690*'Malaria-Equipment &amp; Other HPs'!AY18,0))),0)</f>
        <v>0</v>
      </c>
      <c r="J692" s="1194">
        <f t="shared" si="96"/>
        <v>0</v>
      </c>
      <c r="K692" s="1328">
        <f>IF(SETUP!$F$56="At delivery",IF(SETUP!$G$56=4,$E$690*'Malaria-Equipment &amp; Other HPs'!AW18,IF(SETUP!$G$56=3,$E$690*'Malaria-Equipment &amp; Other HPs'!AX18,IF(SETUP!$G$56=2,$E$690*'Malaria-Equipment &amp; Other HPs'!AY18,IF(SETUP!$G$56=1,$E$690*'Malaria-Equipment &amp; Other HPs'!AZ18,0)))),0)</f>
        <v>0</v>
      </c>
      <c r="L692" s="1194">
        <f>IF(SETUP!$F$56="At delivery",IF(SETUP!$G$56=4,$E$690*'Malaria-Equipment &amp; Other HPs'!AX18,IF(SETUP!$G$56=3,$E$690*'Malaria-Equipment &amp; Other HPs'!AY18,IF(SETUP!$G$56=2,$E$690*'Malaria-Equipment &amp; Other HPs'!AZ18,IF(SETUP!$G$56=1,$E$690*'Malaria-Equipment &amp; Other HPs'!BA18,0)))),0)</f>
        <v>0</v>
      </c>
      <c r="M692" s="1194">
        <f>IF(SETUP!$F$56="At delivery",IF(SETUP!$G$56=4,$E$690*'Malaria-Equipment &amp; Other HPs'!AY18,IF(SETUP!$G$56=3,$E$690*'Malaria-Equipment &amp; Other HPs'!AZ18,IF(SETUP!$G$56=2,$E$690*'Malaria-Equipment &amp; Other HPs'!BA18,IF(SETUP!$G$56=1,$E$690*'Malaria-Equipment &amp; Other HPs'!BB18,0)))),0)</f>
        <v>0</v>
      </c>
      <c r="N692" s="1194">
        <f>IF(SETUP!$F$56="At delivery",IF(SETUP!$G$56=4,$E$690*'Malaria-Equipment &amp; Other HPs'!AZ18,IF(SETUP!$G$56=3,$E$690*'Malaria-Equipment &amp; Other HPs'!BA18,IF(SETUP!$G$56=2,$E$690*'Malaria-Equipment &amp; Other HPs'!BB18,IF(SETUP!$G$56=1,$E$690*'Malaria-Equipment &amp; Other HPs'!BC18,0)))),0)</f>
        <v>0</v>
      </c>
      <c r="O692" s="1194">
        <f t="shared" si="97"/>
        <v>0</v>
      </c>
      <c r="P692" s="1328">
        <f>IF(SETUP!$F$56="At delivery",IF(SETUP!$G$56=4,$E$690*'Malaria-Equipment &amp; Other HPs'!BA18,IF(SETUP!$G$56=3,$E$690*'Malaria-Equipment &amp; Other HPs'!BB18,IF(SETUP!$G$56=2,$E$690*'Malaria-Equipment &amp; Other HPs'!BC18,IF(SETUP!$G$56=1,$E$690*'Malaria-Equipment &amp; Other HPs'!BD18,0)))),0)</f>
        <v>0</v>
      </c>
      <c r="Q692" s="1194">
        <f>IF(SETUP!$F$56="At delivery",IF(SETUP!$G$56=4,$E$690*'Malaria-Equipment &amp; Other HPs'!BB18,IF(SETUP!$G$56=3,$E$690*'Malaria-Equipment &amp; Other HPs'!BC18,IF(SETUP!$G$56=2,$E$690*'Malaria-Equipment &amp; Other HPs'!BD18,IF(SETUP!$G$56=1,$E$690*'Malaria-Equipment &amp; Other HPs'!BE18,0)))),0)</f>
        <v>0</v>
      </c>
      <c r="R692" s="1194">
        <f>IF(SETUP!$F$56="At delivery",IF(SETUP!$G$56=4,$E$690*'Malaria-Equipment &amp; Other HPs'!BC18,IF(SETUP!$G$56=3,$E$690*'Malaria-Equipment &amp; Other HPs'!BD18,IF(SETUP!$G$56=2,$E$690*'Malaria-Equipment &amp; Other HPs'!BE18,IF(SETUP!$G$56=1,$E$690*'Malaria-Equipment &amp; Other HPs'!BF18,0)))),0)</f>
        <v>0</v>
      </c>
      <c r="S692" s="1194">
        <f>IF(SETUP!$F$56="At delivery",IF(SETUP!$G$56=4,$E$690*('Malaria-Equipment &amp; Other HPs'!BD18+'Malaria-Equipment &amp; Other HPs'!BE18+'Malaria-Equipment &amp; Other HPs'!BF18+'Malaria-Equipment &amp; Other HPs'!BG18+'Malaria-Equipment &amp; Other HPs'!BH18),IF(SETUP!$G$56=3,$E$690*('Malaria-Equipment &amp; Other HPs'!BE18+'Malaria-Equipment &amp; Other HPs'!BF18+'Malaria-Equipment &amp; Other HPs'!BG18+'Malaria-Equipment &amp; Other HPs'!BH18),IF(SETUP!$G$56=2,$E$690*('Malaria-Equipment &amp; Other HPs'!BF18+'Malaria-Equipment &amp; Other HPs'!BG18+'Malaria-Equipment &amp; Other HPs'!BH18),IF(SETUP!$G$56=1,$E$690*('Malaria-Equipment &amp; Other HPs'!BG18+'Malaria-Equipment &amp; Other HPs'!BH18),0)))),0)</f>
        <v>0</v>
      </c>
      <c r="T692" s="1194">
        <f t="shared" si="98"/>
        <v>0</v>
      </c>
      <c r="U692" s="1328">
        <f t="shared" si="99"/>
        <v>0</v>
      </c>
      <c r="V692" s="1826">
        <v>7.7</v>
      </c>
      <c r="W692" s="1837"/>
      <c r="X692" s="764"/>
      <c r="Y692" s="879"/>
      <c r="Z692" s="850"/>
      <c r="AA692" s="880"/>
      <c r="AB692" s="880"/>
      <c r="AC692" s="880"/>
      <c r="AD692" s="880"/>
      <c r="AE692" s="880"/>
      <c r="AF692" s="880"/>
      <c r="AG692" s="880"/>
      <c r="AH692" s="881"/>
      <c r="AI692" s="880"/>
      <c r="AJ692" s="880"/>
      <c r="AK692" s="880"/>
      <c r="AL692" s="880"/>
      <c r="AM692" s="880"/>
      <c r="AN692" s="880"/>
      <c r="AO692" s="880"/>
      <c r="AP692" s="880"/>
      <c r="AQ692" s="880"/>
      <c r="AR692" s="880"/>
      <c r="AS692" s="880"/>
      <c r="AT692" s="880"/>
      <c r="AU692" s="880"/>
      <c r="AV692" s="880"/>
      <c r="AW692" s="880"/>
      <c r="AX692" s="880"/>
      <c r="AY692" s="880"/>
      <c r="AZ692" s="880"/>
      <c r="BA692" s="880"/>
      <c r="BB692" s="880"/>
      <c r="BC692" s="880"/>
      <c r="BD692" s="880"/>
      <c r="BE692" s="880"/>
      <c r="BF692" s="880"/>
      <c r="BG692" s="880"/>
      <c r="BH692" s="880"/>
      <c r="BI692" s="880"/>
      <c r="BJ692" s="880"/>
      <c r="BK692" s="880"/>
      <c r="BL692" s="880"/>
      <c r="BM692" s="880"/>
      <c r="BN692" s="880"/>
      <c r="BO692" s="880"/>
      <c r="BP692" s="880"/>
      <c r="BQ692" s="880"/>
      <c r="BR692" s="880"/>
      <c r="BS692" s="880"/>
      <c r="BT692" s="880"/>
    </row>
    <row r="693" spans="1:72" s="882" customFormat="1" ht="13.5" hidden="1" collapsed="1" thickBot="1">
      <c r="A693" s="2985"/>
      <c r="B693" s="2986"/>
      <c r="C693" s="2907" t="s">
        <v>537</v>
      </c>
      <c r="D693" s="2908"/>
      <c r="E693" s="2886">
        <v>0</v>
      </c>
      <c r="F693" s="1328">
        <f>IF(SETUP!$F$57="Upfront",F694,F695)</f>
        <v>0</v>
      </c>
      <c r="G693" s="1194">
        <f>IF(SETUP!$F$57="Upfront",G694,G695)</f>
        <v>0</v>
      </c>
      <c r="H693" s="1194">
        <f>IF(SETUP!$F$57="Upfront",H694,H695)</f>
        <v>0</v>
      </c>
      <c r="I693" s="1194">
        <f>IF(SETUP!$F$57="Upfront",I694,I695)</f>
        <v>0</v>
      </c>
      <c r="J693" s="1194">
        <f t="shared" si="96"/>
        <v>0</v>
      </c>
      <c r="K693" s="1328">
        <f>IF(SETUP!$F$57="Upfront",K694,K695)</f>
        <v>0</v>
      </c>
      <c r="L693" s="1194">
        <f>IF(SETUP!$F$57="Upfront",L694,L695)</f>
        <v>0</v>
      </c>
      <c r="M693" s="1194">
        <f>IF(SETUP!$F$57="Upfront",M694,M695)</f>
        <v>0</v>
      </c>
      <c r="N693" s="1194">
        <f>IF(SETUP!$F$57="Upfront",N694,N695)</f>
        <v>0</v>
      </c>
      <c r="O693" s="1194">
        <f t="shared" si="97"/>
        <v>0</v>
      </c>
      <c r="P693" s="1328">
        <f>IF(SETUP!$F$57="Upfront",P694,P695)</f>
        <v>0</v>
      </c>
      <c r="Q693" s="1194">
        <f>IF(SETUP!$F$57="Upfront",Q694,Q695)</f>
        <v>0</v>
      </c>
      <c r="R693" s="1194">
        <f>IF(SETUP!$F$57="Upfront",R694,R695)</f>
        <v>0</v>
      </c>
      <c r="S693" s="1194">
        <f>IF(SETUP!$F$57="Upfront",S694,S695)</f>
        <v>0</v>
      </c>
      <c r="T693" s="1194">
        <f t="shared" si="98"/>
        <v>0</v>
      </c>
      <c r="U693" s="1328">
        <f t="shared" si="99"/>
        <v>0</v>
      </c>
      <c r="V693" s="1826">
        <v>7.7</v>
      </c>
      <c r="W693" s="1837"/>
      <c r="X693" s="764"/>
      <c r="Y693" s="879"/>
      <c r="Z693" s="850"/>
      <c r="AA693" s="880"/>
      <c r="AB693" s="880"/>
      <c r="AC693" s="880"/>
      <c r="AD693" s="880"/>
      <c r="AE693" s="880"/>
      <c r="AF693" s="880"/>
      <c r="AG693" s="880"/>
      <c r="AH693" s="881"/>
      <c r="AI693" s="880"/>
      <c r="AJ693" s="880"/>
      <c r="AK693" s="880"/>
      <c r="AL693" s="880"/>
      <c r="AM693" s="880"/>
      <c r="AN693" s="880"/>
      <c r="AO693" s="880"/>
      <c r="AP693" s="880"/>
      <c r="AQ693" s="880"/>
      <c r="AR693" s="880"/>
      <c r="AS693" s="880"/>
      <c r="AT693" s="880"/>
      <c r="AU693" s="880"/>
      <c r="AV693" s="880"/>
      <c r="AW693" s="880"/>
      <c r="AX693" s="880"/>
      <c r="AY693" s="880"/>
      <c r="AZ693" s="880"/>
      <c r="BA693" s="880"/>
      <c r="BB693" s="880"/>
      <c r="BC693" s="880"/>
      <c r="BD693" s="880"/>
      <c r="BE693" s="880"/>
      <c r="BF693" s="880"/>
      <c r="BG693" s="880"/>
      <c r="BH693" s="880"/>
      <c r="BI693" s="880"/>
      <c r="BJ693" s="880"/>
      <c r="BK693" s="880"/>
      <c r="BL693" s="880"/>
      <c r="BM693" s="880"/>
      <c r="BN693" s="880"/>
      <c r="BO693" s="880"/>
      <c r="BP693" s="880"/>
      <c r="BQ693" s="880"/>
      <c r="BR693" s="880"/>
      <c r="BS693" s="880"/>
      <c r="BT693" s="880"/>
    </row>
    <row r="694" spans="1:72" s="882" customFormat="1" ht="16.149999999999999" hidden="1" customHeight="1" outlineLevel="1">
      <c r="A694" s="2985"/>
      <c r="B694" s="2986"/>
      <c r="C694" s="2889" t="s">
        <v>918</v>
      </c>
      <c r="D694" s="2890"/>
      <c r="E694" s="2887"/>
      <c r="F694" s="1328">
        <f>IF(SETUP!$F$57="Upfront",$E$693*'Malaria-Equipment &amp; Other HPs'!AW19,0)</f>
        <v>0</v>
      </c>
      <c r="G694" s="1194">
        <f>IF(SETUP!$F$57="Upfront",$E$693*'Malaria-Equipment &amp; Other HPs'!AX19,0)</f>
        <v>0</v>
      </c>
      <c r="H694" s="1194">
        <f>IF(SETUP!$F$57="Upfront",$E$693*'Malaria-Equipment &amp; Other HPs'!AY19,0)</f>
        <v>0</v>
      </c>
      <c r="I694" s="1194">
        <f>IF(SETUP!$F$57="Upfront",$E$693*'Malaria-Equipment &amp; Other HPs'!AZ19,0)</f>
        <v>0</v>
      </c>
      <c r="J694" s="1194">
        <f t="shared" si="96"/>
        <v>0</v>
      </c>
      <c r="K694" s="1328">
        <f>IF(SETUP!$F$57="Upfront",$E$693*'Malaria-Equipment &amp; Other HPs'!BA19,0)</f>
        <v>0</v>
      </c>
      <c r="L694" s="1194">
        <f>IF(SETUP!$F$57="Upfront",$E$693*'Malaria-Equipment &amp; Other HPs'!BB19,0)</f>
        <v>0</v>
      </c>
      <c r="M694" s="1194">
        <f>IF(SETUP!$F$57="Upfront",$E$693*'Malaria-Equipment &amp; Other HPs'!BC19,0)</f>
        <v>0</v>
      </c>
      <c r="N694" s="1194">
        <f>IF(SETUP!$F$57="Upfront",$E$693*'Malaria-Equipment &amp; Other HPs'!BD19,0)</f>
        <v>0</v>
      </c>
      <c r="O694" s="1194">
        <f t="shared" si="97"/>
        <v>0</v>
      </c>
      <c r="P694" s="1328">
        <f>IF(SETUP!$F$57="Upfront",$E$693*'Malaria-Equipment &amp; Other HPs'!BE19,0)</f>
        <v>0</v>
      </c>
      <c r="Q694" s="1194">
        <f>IF(SETUP!$F$57="Upfront",$E$693*'Malaria-Equipment &amp; Other HPs'!BF19,0)</f>
        <v>0</v>
      </c>
      <c r="R694" s="1194">
        <f>IF(SETUP!$F$57="Upfront",$E$693*'Malaria-Equipment &amp; Other HPs'!BG19,0)</f>
        <v>0</v>
      </c>
      <c r="S694" s="1194">
        <f>IF(SETUP!$F$57="Upfront",$E$693*'Malaria-Equipment &amp; Other HPs'!BH19,0)</f>
        <v>0</v>
      </c>
      <c r="T694" s="1194">
        <f t="shared" si="98"/>
        <v>0</v>
      </c>
      <c r="U694" s="1328">
        <f t="shared" si="99"/>
        <v>0</v>
      </c>
      <c r="V694" s="1826">
        <v>7.7</v>
      </c>
      <c r="W694" s="1837"/>
      <c r="X694" s="764"/>
      <c r="Y694" s="879"/>
      <c r="Z694" s="850"/>
      <c r="AA694" s="880"/>
      <c r="AB694" s="880"/>
      <c r="AC694" s="880"/>
      <c r="AD694" s="880"/>
      <c r="AE694" s="880"/>
      <c r="AF694" s="880"/>
      <c r="AG694" s="880"/>
      <c r="AH694" s="881"/>
      <c r="AI694" s="880"/>
      <c r="AJ694" s="880"/>
      <c r="AK694" s="880"/>
      <c r="AL694" s="880"/>
      <c r="AM694" s="880"/>
      <c r="AN694" s="880"/>
      <c r="AO694" s="880"/>
      <c r="AP694" s="880"/>
      <c r="AQ694" s="880"/>
      <c r="AR694" s="880"/>
      <c r="AS694" s="880"/>
      <c r="AT694" s="880"/>
      <c r="AU694" s="880"/>
      <c r="AV694" s="880"/>
      <c r="AW694" s="880"/>
      <c r="AX694" s="880"/>
      <c r="AY694" s="880"/>
      <c r="AZ694" s="880"/>
      <c r="BA694" s="880"/>
      <c r="BB694" s="880"/>
      <c r="BC694" s="880"/>
      <c r="BD694" s="880"/>
      <c r="BE694" s="880"/>
      <c r="BF694" s="880"/>
      <c r="BG694" s="880"/>
      <c r="BH694" s="880"/>
      <c r="BI694" s="880"/>
      <c r="BJ694" s="880"/>
      <c r="BK694" s="880"/>
      <c r="BL694" s="880"/>
      <c r="BM694" s="880"/>
      <c r="BN694" s="880"/>
      <c r="BO694" s="880"/>
      <c r="BP694" s="880"/>
      <c r="BQ694" s="880"/>
      <c r="BR694" s="880"/>
      <c r="BS694" s="880"/>
      <c r="BT694" s="880"/>
    </row>
    <row r="695" spans="1:72" s="882" customFormat="1" ht="17.25" hidden="1" customHeight="1" outlineLevel="1">
      <c r="A695" s="2985"/>
      <c r="B695" s="2986"/>
      <c r="C695" s="2889" t="s">
        <v>36</v>
      </c>
      <c r="D695" s="2890"/>
      <c r="E695" s="2887"/>
      <c r="F695" s="1328">
        <v>0</v>
      </c>
      <c r="G695" s="1194">
        <f>IF(SETUP!$F$57="At delivery",IF(SETUP!$G$57=1,$E$693*'Malaria-Equipment &amp; Other HPs'!AW19,0),0)</f>
        <v>0</v>
      </c>
      <c r="H695" s="1194">
        <f>IF(SETUP!$F$57="At delivery",IF(SETUP!$G$57=2,$E$693*'Malaria-Equipment &amp; Other HPs'!AW19,IF(SETUP!$G$57=1,$E$693*'Malaria-Equipment &amp; Other HPs'!AX19,0)),0)</f>
        <v>0</v>
      </c>
      <c r="I695" s="1194">
        <f>IF(SETUP!$F$57="At delivery",IF(SETUP!$G$57=3,$E$693*'Malaria-Equipment &amp; Other HPs'!AW19,IF(SETUP!$G$57=2,$E$693*'Malaria-Equipment &amp; Other HPs'!AX19,IF(SETUP!$G$57=1,$E$693*'Malaria-Equipment &amp; Other HPs'!AY19,0))),0)</f>
        <v>0</v>
      </c>
      <c r="J695" s="1194">
        <f t="shared" si="96"/>
        <v>0</v>
      </c>
      <c r="K695" s="1328">
        <f>IF(SETUP!$F$57="At delivery",IF(SETUP!$G$57=4,$E$693*'Malaria-Equipment &amp; Other HPs'!AW19,IF(SETUP!$G$57=3,$E$693*'Malaria-Equipment &amp; Other HPs'!AX19,IF(SETUP!$G$57=2,$E$693*'Malaria-Equipment &amp; Other HPs'!AY19,IF(SETUP!$G$57=1,$E$693*'Malaria-Equipment &amp; Other HPs'!AZ19,0)))),0)</f>
        <v>0</v>
      </c>
      <c r="L695" s="1194">
        <f>IF(SETUP!$F$57="At delivery",IF(SETUP!$G$57=4,$E$693*'Malaria-Equipment &amp; Other HPs'!AX19,IF(SETUP!$G$57=3,$E$693*'Malaria-Equipment &amp; Other HPs'!AY19,IF(SETUP!$G$57=2,$E$693*'Malaria-Equipment &amp; Other HPs'!AZ19,IF(SETUP!$G$57=1,$E$693*'Malaria-Equipment &amp; Other HPs'!BA19,0)))),0)</f>
        <v>0</v>
      </c>
      <c r="M695" s="1194">
        <f>IF(SETUP!$F$57="At delivery",IF(SETUP!$G$57=4,$E$693*'Malaria-Equipment &amp; Other HPs'!AY19,IF(SETUP!$G$57=3,$E$693*'Malaria-Equipment &amp; Other HPs'!AZ19,IF(SETUP!$G$57=2,$E$693*'Malaria-Equipment &amp; Other HPs'!BA19,IF(SETUP!$G$57=1,$E$693*'Malaria-Equipment &amp; Other HPs'!BB19,0)))),0)</f>
        <v>0</v>
      </c>
      <c r="N695" s="1194">
        <f>IF(SETUP!$F$57="At delivery",IF(SETUP!$G$57=4,$E$693*'Malaria-Equipment &amp; Other HPs'!AZ19,IF(SETUP!$G$57=3,$E$693*'Malaria-Equipment &amp; Other HPs'!BA19,IF(SETUP!$G$57=2,$E$693*'Malaria-Equipment &amp; Other HPs'!BB19,IF(SETUP!$G$57=1,$E$693*'Malaria-Equipment &amp; Other HPs'!BC19,0)))),0)</f>
        <v>0</v>
      </c>
      <c r="O695" s="1194">
        <f t="shared" si="97"/>
        <v>0</v>
      </c>
      <c r="P695" s="1328">
        <f>IF(SETUP!$F$57="At delivery",IF(SETUP!$G$57=4,$E$693*'Malaria-Equipment &amp; Other HPs'!BA19,IF(SETUP!$G$57=3,$E$693*'Malaria-Equipment &amp; Other HPs'!BB19,IF(SETUP!$G$57=2,$E$693*'Malaria-Equipment &amp; Other HPs'!BC19,IF(SETUP!$G$57=1,$E$693*'Malaria-Equipment &amp; Other HPs'!BD19,0)))),0)</f>
        <v>0</v>
      </c>
      <c r="Q695" s="1194">
        <f>IF(SETUP!$F$57="At delivery",IF(SETUP!$G$57=4,$E$693*'Malaria-Equipment &amp; Other HPs'!BB19,IF(SETUP!$G$57=3,$E$693*'Malaria-Equipment &amp; Other HPs'!BC19,IF(SETUP!$G$57=2,$E$693*'Malaria-Equipment &amp; Other HPs'!BD19,IF(SETUP!$G$57=1,$E$693*'Malaria-Equipment &amp; Other HPs'!BE19,0)))),0)</f>
        <v>0</v>
      </c>
      <c r="R695" s="1194">
        <f>IF(SETUP!$F$57="At delivery",IF(SETUP!$G$57=4,$E$693*'Malaria-Equipment &amp; Other HPs'!BC19,IF(SETUP!$G$57=3,$E$693*'Malaria-Equipment &amp; Other HPs'!BD19,IF(SETUP!$G$57=2,$E$693*'Malaria-Equipment &amp; Other HPs'!BE19,IF(SETUP!$G$57=1,$E$693*'Malaria-Equipment &amp; Other HPs'!BF19,0)))),0)</f>
        <v>0</v>
      </c>
      <c r="S695" s="1194">
        <f>IF(SETUP!$F$57="At delivery",IF(SETUP!$G$57=4,$E$693*('Malaria-Equipment &amp; Other HPs'!BD19+'Malaria-Equipment &amp; Other HPs'!BE19+'Malaria-Equipment &amp; Other HPs'!BF19+'Malaria-Equipment &amp; Other HPs'!BG19+'Malaria-Equipment &amp; Other HPs'!BH19),IF(SETUP!$G$57=3,$E$693*('Malaria-Equipment &amp; Other HPs'!BE19+'Malaria-Equipment &amp; Other HPs'!BF19+'Malaria-Equipment &amp; Other HPs'!BG19+'Malaria-Equipment &amp; Other HPs'!BH19),IF(SETUP!$G$57=2,$E$693*('Malaria-Equipment &amp; Other HPs'!BF19+'Malaria-Equipment &amp; Other HPs'!BG19+'Malaria-Equipment &amp; Other HPs'!BH19),IF(SETUP!$G$57=1,$E$693*('Malaria-Equipment &amp; Other HPs'!BG19+'Malaria-Equipment &amp; Other HPs'!BH19),0)))),0)</f>
        <v>0</v>
      </c>
      <c r="T695" s="1194">
        <f t="shared" si="98"/>
        <v>0</v>
      </c>
      <c r="U695" s="1328">
        <f t="shared" si="99"/>
        <v>0</v>
      </c>
      <c r="V695" s="1826">
        <v>7.7</v>
      </c>
      <c r="W695" s="1837"/>
      <c r="X695" s="764"/>
      <c r="Y695" s="879"/>
      <c r="Z695" s="850"/>
      <c r="AA695" s="880"/>
      <c r="AB695" s="880"/>
      <c r="AC695" s="880"/>
      <c r="AD695" s="880"/>
      <c r="AE695" s="880"/>
      <c r="AF695" s="880"/>
      <c r="AG695" s="880"/>
      <c r="AH695" s="881"/>
      <c r="AI695" s="880"/>
      <c r="AJ695" s="880"/>
      <c r="AK695" s="880"/>
      <c r="AL695" s="880"/>
      <c r="AM695" s="880"/>
      <c r="AN695" s="880"/>
      <c r="AO695" s="880"/>
      <c r="AP695" s="880"/>
      <c r="AQ695" s="880"/>
      <c r="AR695" s="880"/>
      <c r="AS695" s="880"/>
      <c r="AT695" s="880"/>
      <c r="AU695" s="880"/>
      <c r="AV695" s="880"/>
      <c r="AW695" s="880"/>
      <c r="AX695" s="880"/>
      <c r="AY695" s="880"/>
      <c r="AZ695" s="880"/>
      <c r="BA695" s="880"/>
      <c r="BB695" s="880"/>
      <c r="BC695" s="880"/>
      <c r="BD695" s="880"/>
      <c r="BE695" s="880"/>
      <c r="BF695" s="880"/>
      <c r="BG695" s="880"/>
      <c r="BH695" s="880"/>
      <c r="BI695" s="880"/>
      <c r="BJ695" s="880"/>
      <c r="BK695" s="880"/>
      <c r="BL695" s="880"/>
      <c r="BM695" s="880"/>
      <c r="BN695" s="880"/>
      <c r="BO695" s="880"/>
      <c r="BP695" s="880"/>
      <c r="BQ695" s="880"/>
      <c r="BR695" s="880"/>
      <c r="BS695" s="880"/>
      <c r="BT695" s="880"/>
    </row>
    <row r="696" spans="1:72" s="882" customFormat="1" ht="13.5" hidden="1" collapsed="1" thickBot="1">
      <c r="A696" s="2987"/>
      <c r="B696" s="2988"/>
      <c r="C696" s="2975" t="s">
        <v>584</v>
      </c>
      <c r="D696" s="2976"/>
      <c r="E696" s="2991"/>
      <c r="F696" s="1331">
        <f>IF(SETUP!$F$58="Upfront",F697,F698)</f>
        <v>0</v>
      </c>
      <c r="G696" s="1332">
        <f>IF(SETUP!$F$58="Upfront",G697,G698)</f>
        <v>0</v>
      </c>
      <c r="H696" s="1332">
        <f>IF(SETUP!$F$58="Upfront",H697,H698)</f>
        <v>0</v>
      </c>
      <c r="I696" s="1332">
        <f>IF(SETUP!$F$58="Upfront",I697,I698)</f>
        <v>0</v>
      </c>
      <c r="J696" s="1332">
        <f t="shared" si="96"/>
        <v>0</v>
      </c>
      <c r="K696" s="1864">
        <f>IF(SETUP!$F$58="Upfront",K697,K698)</f>
        <v>0</v>
      </c>
      <c r="L696" s="1332">
        <f>IF(SETUP!$F$58="Upfront",L697,L698)</f>
        <v>0</v>
      </c>
      <c r="M696" s="1332">
        <f>IF(SETUP!$F$58="Upfront",M697,M698)</f>
        <v>0</v>
      </c>
      <c r="N696" s="1332">
        <f>IF(SETUP!$F$58="Upfront",N697,N698)</f>
        <v>0</v>
      </c>
      <c r="O696" s="1332">
        <f t="shared" si="97"/>
        <v>0</v>
      </c>
      <c r="P696" s="1331">
        <f>IF(SETUP!$F$58="Upfront",P697,P698)</f>
        <v>0</v>
      </c>
      <c r="Q696" s="1332">
        <f>IF(SETUP!$F$58="Upfront",Q697,Q698)</f>
        <v>0</v>
      </c>
      <c r="R696" s="1332">
        <f>IF(SETUP!$F$58="Upfront",R697,R698)</f>
        <v>0</v>
      </c>
      <c r="S696" s="1332">
        <f>IF(SETUP!$F$58="Upfront",S697,S698)</f>
        <v>0</v>
      </c>
      <c r="T696" s="1332">
        <f t="shared" si="98"/>
        <v>0</v>
      </c>
      <c r="U696" s="1331">
        <f t="shared" si="99"/>
        <v>0</v>
      </c>
      <c r="V696" s="1804">
        <v>7.7</v>
      </c>
      <c r="W696" s="1842"/>
      <c r="X696" s="764"/>
      <c r="Y696" s="879"/>
      <c r="Z696" s="850"/>
      <c r="AA696" s="880"/>
      <c r="AB696" s="880"/>
      <c r="AC696" s="880"/>
      <c r="AD696" s="880"/>
      <c r="AE696" s="880"/>
      <c r="AF696" s="880"/>
      <c r="AG696" s="880"/>
      <c r="AH696" s="881"/>
      <c r="AI696" s="880"/>
      <c r="AJ696" s="880"/>
      <c r="AK696" s="880"/>
      <c r="AL696" s="880"/>
      <c r="AM696" s="880"/>
      <c r="AN696" s="880"/>
      <c r="AO696" s="880"/>
      <c r="AP696" s="880"/>
      <c r="AQ696" s="880"/>
      <c r="AR696" s="880"/>
      <c r="AS696" s="880"/>
      <c r="AT696" s="880"/>
      <c r="AU696" s="880"/>
      <c r="AV696" s="880"/>
      <c r="AW696" s="880"/>
      <c r="AX696" s="880"/>
      <c r="AY696" s="880"/>
      <c r="AZ696" s="880"/>
      <c r="BA696" s="880"/>
      <c r="BB696" s="880"/>
      <c r="BC696" s="880"/>
      <c r="BD696" s="880"/>
      <c r="BE696" s="880"/>
      <c r="BF696" s="880"/>
      <c r="BG696" s="880"/>
      <c r="BH696" s="880"/>
      <c r="BI696" s="880"/>
      <c r="BJ696" s="880"/>
      <c r="BK696" s="880"/>
      <c r="BL696" s="880"/>
      <c r="BM696" s="880"/>
      <c r="BN696" s="880"/>
      <c r="BO696" s="880"/>
      <c r="BP696" s="880"/>
      <c r="BQ696" s="880"/>
      <c r="BR696" s="880"/>
      <c r="BS696" s="880"/>
      <c r="BT696" s="880"/>
    </row>
    <row r="697" spans="1:72" s="882" customFormat="1" ht="12.75" hidden="1" customHeight="1" outlineLevel="1">
      <c r="A697" s="1884"/>
      <c r="B697" s="1899"/>
      <c r="C697" s="2977" t="s">
        <v>918</v>
      </c>
      <c r="D697" s="2978"/>
      <c r="E697" s="1897"/>
      <c r="F697" s="1296">
        <f>IF(SETUP!$F$57="Upfront",$E$693*'Malaria-Equipment &amp; Other HPs'!AW20,0)</f>
        <v>0</v>
      </c>
      <c r="G697" s="1297">
        <f>IF(SETUP!$F$57="Upfront",$E$693*'Malaria-Equipment &amp; Other HPs'!AX20,0)</f>
        <v>0</v>
      </c>
      <c r="H697" s="1297">
        <f>IF(SETUP!$F$57="Upfront",$E$693*'Malaria-Equipment &amp; Other HPs'!AY20,0)</f>
        <v>0</v>
      </c>
      <c r="I697" s="1297">
        <f>IF(SETUP!$F$57="Upfront",$E$693*'Malaria-Equipment &amp; Other HPs'!AZ20,0)</f>
        <v>0</v>
      </c>
      <c r="J697" s="1298">
        <f>SUM('HPM costs'!$F697:$I697)</f>
        <v>0</v>
      </c>
      <c r="K697" s="1296">
        <f>IF(SETUP!$F$57="Upfront",$E$693*'Malaria-Equipment &amp; Other HPs'!BA20,0)</f>
        <v>0</v>
      </c>
      <c r="L697" s="1297">
        <f>IF(SETUP!$F$57="Upfront",$E$693*'Malaria-Equipment &amp; Other HPs'!BB20,0)</f>
        <v>0</v>
      </c>
      <c r="M697" s="1297">
        <f>IF(SETUP!$F$57="Upfront",$E$693*'Malaria-Equipment &amp; Other HPs'!BC20,0)</f>
        <v>0</v>
      </c>
      <c r="N697" s="1297">
        <f>IF(SETUP!$F$57="Upfront",$E$693*'Malaria-Equipment &amp; Other HPs'!BD20,0)</f>
        <v>0</v>
      </c>
      <c r="O697" s="1298">
        <f>SUM('HPM costs'!$K697:$N697)</f>
        <v>0</v>
      </c>
      <c r="P697" s="1296">
        <f>IF(SETUP!$F$57="Upfront",$E$693*'Malaria-Equipment &amp; Other HPs'!BE20,0)</f>
        <v>0</v>
      </c>
      <c r="Q697" s="1297">
        <f>IF(SETUP!$F$57="Upfront",$E$693*'Malaria-Equipment &amp; Other HPs'!BF20,0)</f>
        <v>0</v>
      </c>
      <c r="R697" s="1297">
        <f>IF(SETUP!$F$57="Upfront",$E$693*'Malaria-Equipment &amp; Other HPs'!BG20,0)</f>
        <v>0</v>
      </c>
      <c r="S697" s="1297">
        <f>IF(SETUP!$F$57="Upfront",$E$693*'Malaria-Equipment &amp; Other HPs'!BH20,0)</f>
        <v>0</v>
      </c>
      <c r="T697" s="1298">
        <f>SUM('HPM costs'!$P697:$S697)</f>
        <v>0</v>
      </c>
      <c r="U697" s="1299">
        <f>'HPM costs'!$T697+'HPM costs'!$O697+'HPM costs'!$J697</f>
        <v>0</v>
      </c>
      <c r="V697" s="1812"/>
      <c r="W697" s="763"/>
      <c r="X697" s="764"/>
      <c r="Y697" s="1355"/>
      <c r="Z697" s="850"/>
      <c r="AA697" s="1356"/>
      <c r="AB697" s="1356"/>
      <c r="AC697" s="1356"/>
      <c r="AD697" s="1356"/>
      <c r="AE697" s="1356"/>
      <c r="AF697" s="1356"/>
      <c r="AG697" s="1356"/>
      <c r="AH697" s="1357"/>
      <c r="AI697" s="1356"/>
      <c r="AJ697" s="1356"/>
      <c r="AK697" s="1356"/>
      <c r="AL697" s="1356"/>
      <c r="AM697" s="1356"/>
      <c r="AN697" s="1356"/>
      <c r="AO697" s="1356"/>
      <c r="AP697" s="1356"/>
      <c r="AQ697" s="1356"/>
      <c r="AR697" s="1356"/>
      <c r="AS697" s="1356"/>
      <c r="AT697" s="1356"/>
      <c r="AU697" s="1356"/>
      <c r="AV697" s="1356"/>
      <c r="AW697" s="1356"/>
      <c r="AX697" s="1356"/>
      <c r="AY697" s="1356"/>
      <c r="AZ697" s="1356"/>
      <c r="BA697" s="1356"/>
      <c r="BB697" s="1356"/>
      <c r="BC697" s="1356"/>
      <c r="BD697" s="1356"/>
      <c r="BE697" s="1356"/>
      <c r="BF697" s="1356"/>
      <c r="BG697" s="1356"/>
      <c r="BH697" s="1356"/>
      <c r="BI697" s="1356"/>
      <c r="BJ697" s="1356"/>
      <c r="BK697" s="1356"/>
      <c r="BL697" s="1356"/>
      <c r="BM697" s="1356"/>
      <c r="BN697" s="1356"/>
      <c r="BO697" s="1356"/>
      <c r="BP697" s="1356"/>
      <c r="BQ697" s="1356"/>
      <c r="BR697" s="1356"/>
      <c r="BS697" s="1356"/>
      <c r="BT697" s="1356"/>
    </row>
    <row r="698" spans="1:72" s="1808" customFormat="1" ht="13.5" hidden="1" customHeight="1" outlineLevel="1" thickBot="1">
      <c r="A698" s="1885"/>
      <c r="B698" s="1900"/>
      <c r="C698" s="2960" t="s">
        <v>36</v>
      </c>
      <c r="D698" s="2961"/>
      <c r="E698" s="1898"/>
      <c r="F698" s="1347">
        <v>0</v>
      </c>
      <c r="G698" s="1348">
        <f>IF(SETUP!$F$58="At delivery",IF(SETUP!$G$58=1,$E$693*'Malaria-Equipment &amp; Other HPs'!AW20,0),0)</f>
        <v>0</v>
      </c>
      <c r="H698" s="1348">
        <f>IF(SETUP!$F$58="At delivery",IF(SETUP!$G$58=2,$E$693*'Malaria-Equipment &amp; Other HPs'!AW20,IF(SETUP!$G$58=1,$E$693*'Malaria-Equipment &amp; Other HPs'!AX20,0)),0)</f>
        <v>0</v>
      </c>
      <c r="I698" s="1348">
        <f>IF(SETUP!$F$58="At delivery",IF(SETUP!$G$58=3,$E$693*'Malaria-Equipment &amp; Other HPs'!AW20,IF(SETUP!$G$58=2,$E$693*'Malaria-Equipment &amp; Other HPs'!AX20,IF(SETUP!$G$58=1,$E$693*'Malaria-Equipment &amp; Other HPs'!AY20,0))),0)</f>
        <v>0</v>
      </c>
      <c r="J698" s="1349">
        <f>SUM('HPM costs'!$F698:$I698)</f>
        <v>0</v>
      </c>
      <c r="K698" s="1347">
        <f>IF(SETUP!$F$58="At delivery",IF(SETUP!$G$58=4,$E$693*'Malaria-Equipment &amp; Other HPs'!AW20,IF(SETUP!$G$58=3,$E$693*'Malaria-Equipment &amp; Other HPs'!AX20,IF(SETUP!$G$58=2,$E$693*'Malaria-Equipment &amp; Other HPs'!AY20,IF(SETUP!$G$58=1,$E$693*'Malaria-Equipment &amp; Other HPs'!AZ20,0)))),0)</f>
        <v>0</v>
      </c>
      <c r="L698" s="1348">
        <f>IF(SETUP!$F$58="At delivery",IF(SETUP!$G$58=4,$E$693*'Malaria-Equipment &amp; Other HPs'!AX20,IF(SETUP!$G$58=3,$E$693*'Malaria-Equipment &amp; Other HPs'!AY20,IF(SETUP!$G$58=2,$E$693*'Malaria-Equipment &amp; Other HPs'!AZ20,IF(SETUP!$G$58=1,$E$693*'Malaria-Equipment &amp; Other HPs'!BA20,0)))),0)</f>
        <v>0</v>
      </c>
      <c r="M698" s="1348">
        <f>IF(SETUP!$F$58="At delivery",IF(SETUP!$G$58=4,$E$693*'Malaria-Equipment &amp; Other HPs'!AY20,IF(SETUP!$G$58=3,$E$693*'Malaria-Equipment &amp; Other HPs'!AZ20,IF(SETUP!$G$58=2,$E$693*'Malaria-Equipment &amp; Other HPs'!BA20,IF(SETUP!$G$58=1,$E$693*'Malaria-Equipment &amp; Other HPs'!BB20,0)))),0)</f>
        <v>0</v>
      </c>
      <c r="N698" s="1348">
        <f>IF(SETUP!$F$58="At delivery",IF(SETUP!$G$58=4,$E$693*'Malaria-Equipment &amp; Other HPs'!AZ20,IF(SETUP!$G$58=3,$E$693*'Malaria-Equipment &amp; Other HPs'!BA20,IF(SETUP!$G$58=2,$E$693*'Malaria-Equipment &amp; Other HPs'!BB20,IF(SETUP!$G$58=1,$E$693*'Malaria-Equipment &amp; Other HPs'!BC20,0)))),0)</f>
        <v>0</v>
      </c>
      <c r="O698" s="1349">
        <f>SUM('HPM costs'!$K698:$N698)</f>
        <v>0</v>
      </c>
      <c r="P698" s="1347">
        <f>IF(SETUP!$F$58="At delivery",IF(SETUP!$G$58=4,$E$693*'Malaria-Equipment &amp; Other HPs'!BA20,IF(SETUP!$G$58=3,$E$693*'Malaria-Equipment &amp; Other HPs'!BB20,IF(SETUP!$G$58=2,$E$693*'Malaria-Equipment &amp; Other HPs'!BC20,IF(SETUP!$G$58=1,$E$693*'Malaria-Equipment &amp; Other HPs'!BD20,0)))),0)</f>
        <v>0</v>
      </c>
      <c r="Q698" s="1348">
        <f>IF(SETUP!$F$58="At delivery",IF(SETUP!$G$58=4,$E$693*'Malaria-Equipment &amp; Other HPs'!BB20,IF(SETUP!$G$58=3,$E$693*'Malaria-Equipment &amp; Other HPs'!BC20,IF(SETUP!$G$58=2,$E$693*'Malaria-Equipment &amp; Other HPs'!BD20,IF(SETUP!$G$58=1,$E$693*'Malaria-Equipment &amp; Other HPs'!BE20,0)))),0)</f>
        <v>0</v>
      </c>
      <c r="R698" s="1348">
        <f>IF(SETUP!$F$58="At delivery",IF(SETUP!$G$58=4,$E$693*'Malaria-Equipment &amp; Other HPs'!BC20,IF(SETUP!$G$58=3,$E$693*'Malaria-Equipment &amp; Other HPs'!BD20,IF(SETUP!$G$58=2,$E$693*'Malaria-Equipment &amp; Other HPs'!BE20,IF(SETUP!$G$58=1,$E$693*'Malaria-Equipment &amp; Other HPs'!BF20,0)))),0)</f>
        <v>0</v>
      </c>
      <c r="S698" s="1348">
        <f>IF(SETUP!$F$58="At delivery",IF(SETUP!$G$58=4,$E$693*('Malaria-Equipment &amp; Other HPs'!BD20+'Malaria-Equipment &amp; Other HPs'!BE20+'Malaria-Equipment &amp; Other HPs'!BF20+'Malaria-Equipment &amp; Other HPs'!BG20+'Malaria-Equipment &amp; Other HPs'!BH20),IF(SETUP!$G$58=3,$E$693*('Malaria-Equipment &amp; Other HPs'!BE20+'Malaria-Equipment &amp; Other HPs'!BF20+'Malaria-Equipment &amp; Other HPs'!BG20+'Malaria-Equipment &amp; Other HPs'!BH20),IF(SETUP!$G$58=2,$E$693*('Malaria-Equipment &amp; Other HPs'!BF20+'Malaria-Equipment &amp; Other HPs'!BG20+'Malaria-Equipment &amp; Other HPs'!BH20),IF(SETUP!$G$58=1,$E$693*('Malaria-Equipment &amp; Other HPs'!BG20+'Malaria-Equipment &amp; Other HPs'!BH20),0)))),0)</f>
        <v>0</v>
      </c>
      <c r="T698" s="1349">
        <f>SUM('HPM costs'!$P698:$S698)</f>
        <v>0</v>
      </c>
      <c r="U698" s="1350">
        <f>'HPM costs'!$T698+'HPM costs'!$O698+'HPM costs'!$J698</f>
        <v>0</v>
      </c>
      <c r="V698" s="1811"/>
      <c r="W698" s="762"/>
      <c r="X698" s="764"/>
      <c r="Z698" s="850"/>
      <c r="AH698" s="1809"/>
    </row>
    <row r="699" spans="1:72" s="882" customFormat="1" ht="13" collapsed="1">
      <c r="A699" s="1892"/>
      <c r="B699" s="1892"/>
      <c r="C699" s="1893"/>
      <c r="D699" s="877"/>
      <c r="E699" s="919"/>
      <c r="F699" s="1343"/>
      <c r="G699" s="1343"/>
      <c r="H699" s="1352"/>
      <c r="I699" s="1352"/>
      <c r="J699" s="1352"/>
      <c r="K699" s="1352"/>
      <c r="L699" s="1353"/>
      <c r="M699" s="1352"/>
      <c r="N699" s="1352"/>
      <c r="O699" s="1352"/>
      <c r="P699" s="1352"/>
      <c r="Q699" s="1353"/>
      <c r="R699" s="1352"/>
      <c r="S699" s="1352"/>
      <c r="T699" s="1352"/>
      <c r="U699" s="1352"/>
      <c r="V699" s="940"/>
      <c r="W699" s="762"/>
      <c r="X699" s="764"/>
      <c r="Y699" s="1805"/>
      <c r="Z699" s="850"/>
      <c r="AA699" s="1806"/>
      <c r="AB699" s="1806"/>
      <c r="AC699" s="1806"/>
      <c r="AD699" s="1806"/>
      <c r="AE699" s="1806"/>
      <c r="AF699" s="1806"/>
      <c r="AG699" s="1806"/>
      <c r="AH699" s="1807"/>
      <c r="AI699" s="1806"/>
      <c r="AJ699" s="1806"/>
      <c r="AK699" s="1806"/>
      <c r="AL699" s="1806"/>
      <c r="AM699" s="1806"/>
      <c r="AN699" s="1806"/>
      <c r="AO699" s="1806"/>
      <c r="AP699" s="1806"/>
      <c r="AQ699" s="1806"/>
      <c r="AR699" s="1806"/>
      <c r="AS699" s="1806"/>
      <c r="AT699" s="1806"/>
      <c r="AU699" s="1806"/>
      <c r="AV699" s="1806"/>
      <c r="AW699" s="1806"/>
      <c r="AX699" s="1806"/>
      <c r="AY699" s="1806"/>
      <c r="AZ699" s="1806"/>
      <c r="BA699" s="1806"/>
      <c r="BB699" s="1806"/>
      <c r="BC699" s="1806"/>
      <c r="BD699" s="1806"/>
      <c r="BE699" s="1806"/>
      <c r="BF699" s="1806"/>
      <c r="BG699" s="1806"/>
      <c r="BH699" s="1806"/>
      <c r="BI699" s="1806"/>
      <c r="BJ699" s="1806"/>
      <c r="BK699" s="1806"/>
      <c r="BL699" s="1806"/>
      <c r="BM699" s="1806"/>
      <c r="BN699" s="1806"/>
      <c r="BO699" s="1806"/>
      <c r="BP699" s="1806"/>
      <c r="BQ699" s="1806"/>
      <c r="BR699" s="1806"/>
      <c r="BS699" s="1806"/>
      <c r="BT699" s="1806"/>
    </row>
    <row r="700" spans="1:72" s="759" customFormat="1" ht="13">
      <c r="A700" s="752"/>
      <c r="B700" s="765"/>
      <c r="C700" s="765"/>
      <c r="D700" s="765"/>
      <c r="E700" s="920"/>
      <c r="F700" s="766"/>
      <c r="G700" s="766"/>
      <c r="H700" s="760"/>
      <c r="I700" s="760"/>
      <c r="J700" s="760"/>
      <c r="K700" s="760"/>
      <c r="L700" s="760"/>
      <c r="M700" s="760"/>
      <c r="N700" s="760"/>
      <c r="O700" s="760"/>
      <c r="P700" s="760"/>
      <c r="Q700" s="760"/>
      <c r="R700" s="760"/>
      <c r="S700" s="760"/>
      <c r="T700" s="760"/>
      <c r="U700" s="760"/>
      <c r="V700" s="937"/>
      <c r="W700" s="760"/>
      <c r="X700" s="760"/>
      <c r="Y700" s="768"/>
      <c r="Z700" s="768"/>
      <c r="AA700" s="768"/>
      <c r="AB700" s="768"/>
      <c r="AC700" s="768"/>
      <c r="AD700" s="768"/>
      <c r="AE700" s="768"/>
      <c r="AF700" s="768"/>
      <c r="AG700" s="768"/>
      <c r="AH700" s="868"/>
      <c r="AI700" s="768"/>
      <c r="AJ700" s="768"/>
      <c r="AK700" s="768"/>
      <c r="AL700" s="768"/>
      <c r="AM700" s="768"/>
      <c r="AN700" s="768"/>
      <c r="AO700" s="768"/>
      <c r="AP700" s="768"/>
      <c r="AQ700" s="768"/>
      <c r="AR700" s="768"/>
      <c r="AS700" s="768"/>
      <c r="AT700" s="768"/>
      <c r="AU700" s="768"/>
      <c r="AV700" s="768"/>
      <c r="AW700" s="768"/>
      <c r="AX700" s="768"/>
      <c r="AY700" s="768"/>
      <c r="AZ700" s="768"/>
      <c r="BA700" s="768"/>
      <c r="BB700" s="768"/>
      <c r="BC700" s="768"/>
      <c r="BD700" s="768"/>
      <c r="BE700" s="768"/>
      <c r="BF700" s="768"/>
      <c r="BG700" s="768"/>
      <c r="BH700" s="768"/>
      <c r="BI700" s="768"/>
      <c r="BJ700" s="768"/>
      <c r="BK700" s="768"/>
      <c r="BL700" s="768"/>
      <c r="BM700" s="768"/>
      <c r="BN700" s="768"/>
      <c r="BO700" s="768"/>
      <c r="BP700" s="768"/>
      <c r="BQ700" s="768"/>
      <c r="BR700" s="768"/>
      <c r="BS700" s="768"/>
      <c r="BT700" s="768"/>
    </row>
    <row r="701" spans="1:72" s="759" customFormat="1" ht="13">
      <c r="A701" s="760"/>
      <c r="B701" s="760"/>
      <c r="C701" s="760"/>
      <c r="D701" s="760"/>
      <c r="E701" s="921"/>
      <c r="F701" s="760"/>
      <c r="G701" s="760"/>
      <c r="H701" s="760"/>
      <c r="I701" s="760"/>
      <c r="J701" s="760"/>
      <c r="K701" s="760"/>
      <c r="L701" s="760"/>
      <c r="M701" s="760"/>
      <c r="N701" s="760"/>
      <c r="O701" s="760"/>
      <c r="P701" s="760"/>
      <c r="Q701" s="760"/>
      <c r="R701" s="760"/>
      <c r="S701" s="760"/>
      <c r="T701" s="760"/>
      <c r="U701" s="760"/>
      <c r="V701" s="937"/>
      <c r="W701" s="760"/>
      <c r="X701" s="760"/>
      <c r="Y701" s="883"/>
      <c r="Z701" s="768"/>
      <c r="AA701" s="768"/>
      <c r="AB701" s="768"/>
      <c r="AC701" s="768"/>
      <c r="AD701" s="768"/>
      <c r="AE701" s="768"/>
      <c r="AF701" s="768"/>
      <c r="AG701" s="768"/>
      <c r="AH701" s="868"/>
      <c r="AI701" s="768"/>
      <c r="AJ701" s="768"/>
      <c r="AK701" s="768"/>
      <c r="AL701" s="768"/>
      <c r="AM701" s="768"/>
      <c r="AN701" s="768"/>
      <c r="AO701" s="768"/>
      <c r="AP701" s="768"/>
      <c r="AQ701" s="768"/>
      <c r="AR701" s="768"/>
      <c r="AS701" s="768"/>
      <c r="AT701" s="768"/>
      <c r="AU701" s="768"/>
      <c r="AV701" s="768"/>
      <c r="AW701" s="768"/>
      <c r="AX701" s="768"/>
      <c r="AY701" s="768"/>
      <c r="AZ701" s="768"/>
      <c r="BA701" s="768"/>
      <c r="BB701" s="768"/>
      <c r="BC701" s="768"/>
      <c r="BD701" s="768"/>
      <c r="BE701" s="768"/>
      <c r="BF701" s="768"/>
      <c r="BG701" s="768"/>
      <c r="BH701" s="768"/>
      <c r="BI701" s="768"/>
      <c r="BJ701" s="768"/>
      <c r="BK701" s="768"/>
      <c r="BL701" s="768"/>
      <c r="BM701" s="768"/>
      <c r="BN701" s="768"/>
      <c r="BO701" s="768"/>
      <c r="BP701" s="768"/>
      <c r="BQ701" s="768"/>
      <c r="BR701" s="768"/>
      <c r="BS701" s="768"/>
      <c r="BT701" s="768"/>
    </row>
  </sheetData>
  <sheetProtection algorithmName="SHA-512" hashValue="0inNU/J8YTIhwcMNpvX1kKMl5b2BpSoU0GB39Re2gDl6e7c5inzcA7KkNTeinL2eB4d4ZwsSRv5uv1IhaLez2w==" saltValue="jLVYDATLTlImXXhBmOWDeA==" spinCount="100000" sheet="1" formatColumns="0" autoFilter="0"/>
  <mergeCells count="811">
    <mergeCell ref="U12:U13"/>
    <mergeCell ref="V12:V13"/>
    <mergeCell ref="U98:U99"/>
    <mergeCell ref="V98:V99"/>
    <mergeCell ref="W531:W532"/>
    <mergeCell ref="W616:W617"/>
    <mergeCell ref="W184:W186"/>
    <mergeCell ref="X184:X186"/>
    <mergeCell ref="W270:W272"/>
    <mergeCell ref="X270:X272"/>
    <mergeCell ref="U270:U271"/>
    <mergeCell ref="V270:V271"/>
    <mergeCell ref="U184:U185"/>
    <mergeCell ref="V184:V185"/>
    <mergeCell ref="W12:W14"/>
    <mergeCell ref="W98:W100"/>
    <mergeCell ref="X98:X100"/>
    <mergeCell ref="W359:W360"/>
    <mergeCell ref="W445:W446"/>
    <mergeCell ref="E98:E100"/>
    <mergeCell ref="C101:D101"/>
    <mergeCell ref="C145:D145"/>
    <mergeCell ref="C146:D146"/>
    <mergeCell ref="C141:D141"/>
    <mergeCell ref="C142:D142"/>
    <mergeCell ref="C143:D143"/>
    <mergeCell ref="C144:D144"/>
    <mergeCell ref="C127:D127"/>
    <mergeCell ref="C128:D128"/>
    <mergeCell ref="C129:D129"/>
    <mergeCell ref="C130:D130"/>
    <mergeCell ref="C131:D131"/>
    <mergeCell ref="C105:D105"/>
    <mergeCell ref="C106:D106"/>
    <mergeCell ref="C138:D138"/>
    <mergeCell ref="C139:D139"/>
    <mergeCell ref="C140:D140"/>
    <mergeCell ref="E436:E439"/>
    <mergeCell ref="Y184:Y185"/>
    <mergeCell ref="C176:D176"/>
    <mergeCell ref="C181:D181"/>
    <mergeCell ref="A184:D186"/>
    <mergeCell ref="C405:D405"/>
    <mergeCell ref="C406:D406"/>
    <mergeCell ref="O355:P356"/>
    <mergeCell ref="C385:D385"/>
    <mergeCell ref="C386:D386"/>
    <mergeCell ref="M355:N356"/>
    <mergeCell ref="K355:L356"/>
    <mergeCell ref="C318:D318"/>
    <mergeCell ref="C320:D320"/>
    <mergeCell ref="C321:D321"/>
    <mergeCell ref="C374:D374"/>
    <mergeCell ref="C380:D380"/>
    <mergeCell ref="C381:D381"/>
    <mergeCell ref="C274:D274"/>
    <mergeCell ref="C251:D251"/>
    <mergeCell ref="C254:D254"/>
    <mergeCell ref="C310:D310"/>
    <mergeCell ref="C311:D311"/>
    <mergeCell ref="C312:D312"/>
    <mergeCell ref="Y98:Y99"/>
    <mergeCell ref="C56:D56"/>
    <mergeCell ref="C95:D95"/>
    <mergeCell ref="A97:E97"/>
    <mergeCell ref="C81:D81"/>
    <mergeCell ref="C89:D89"/>
    <mergeCell ref="C91:D91"/>
    <mergeCell ref="C92:D92"/>
    <mergeCell ref="C62:D62"/>
    <mergeCell ref="A69:B74"/>
    <mergeCell ref="C58:D58"/>
    <mergeCell ref="C59:D59"/>
    <mergeCell ref="C94:D94"/>
    <mergeCell ref="C72:D72"/>
    <mergeCell ref="C73:D73"/>
    <mergeCell ref="C93:D93"/>
    <mergeCell ref="C82:D82"/>
    <mergeCell ref="A75:B93"/>
    <mergeCell ref="C86:D86"/>
    <mergeCell ref="C88:D88"/>
    <mergeCell ref="C69:D69"/>
    <mergeCell ref="C70:D70"/>
    <mergeCell ref="C63:D63"/>
    <mergeCell ref="A98:D100"/>
    <mergeCell ref="C275:D275"/>
    <mergeCell ref="C276:D276"/>
    <mergeCell ref="C242:D242"/>
    <mergeCell ref="C309:D309"/>
    <mergeCell ref="C15:D15"/>
    <mergeCell ref="C18:D18"/>
    <mergeCell ref="C66:D66"/>
    <mergeCell ref="C67:D67"/>
    <mergeCell ref="C64:D64"/>
    <mergeCell ref="C65:D65"/>
    <mergeCell ref="C61:D61"/>
    <mergeCell ref="C51:D51"/>
    <mergeCell ref="C55:D55"/>
    <mergeCell ref="C25:D25"/>
    <mergeCell ref="C50:D50"/>
    <mergeCell ref="C43:D43"/>
    <mergeCell ref="C44:D44"/>
    <mergeCell ref="C22:D22"/>
    <mergeCell ref="C23:D23"/>
    <mergeCell ref="C39:D39"/>
    <mergeCell ref="C33:D33"/>
    <mergeCell ref="C24:D24"/>
    <mergeCell ref="C34:D34"/>
    <mergeCell ref="C35:D35"/>
    <mergeCell ref="C322:D322"/>
    <mergeCell ref="C365:D365"/>
    <mergeCell ref="C342:D342"/>
    <mergeCell ref="C345:D345"/>
    <mergeCell ref="C348:D348"/>
    <mergeCell ref="C353:D353"/>
    <mergeCell ref="C344:D344"/>
    <mergeCell ref="C346:D346"/>
    <mergeCell ref="C347:D347"/>
    <mergeCell ref="C349:D349"/>
    <mergeCell ref="C334:D334"/>
    <mergeCell ref="C351:D351"/>
    <mergeCell ref="C336:D336"/>
    <mergeCell ref="C188:D188"/>
    <mergeCell ref="C199:D199"/>
    <mergeCell ref="C200:D200"/>
    <mergeCell ref="C187:D187"/>
    <mergeCell ref="C74:D74"/>
    <mergeCell ref="C83:D83"/>
    <mergeCell ref="C85:D85"/>
    <mergeCell ref="C26:D26"/>
    <mergeCell ref="C149:D149"/>
    <mergeCell ref="C114:D114"/>
    <mergeCell ref="C115:D115"/>
    <mergeCell ref="C75:D75"/>
    <mergeCell ref="C30:D30"/>
    <mergeCell ref="C27:D27"/>
    <mergeCell ref="C31:D31"/>
    <mergeCell ref="C48:D48"/>
    <mergeCell ref="C150:D150"/>
    <mergeCell ref="C107:D107"/>
    <mergeCell ref="C154:D154"/>
    <mergeCell ref="C158:D158"/>
    <mergeCell ref="C42:D42"/>
    <mergeCell ref="C41:D41"/>
    <mergeCell ref="C52:D52"/>
    <mergeCell ref="C53:D53"/>
    <mergeCell ref="C49:D49"/>
    <mergeCell ref="C46:D46"/>
    <mergeCell ref="C71:D71"/>
    <mergeCell ref="A161:B179"/>
    <mergeCell ref="C153:D153"/>
    <mergeCell ref="C118:D118"/>
    <mergeCell ref="C104:D104"/>
    <mergeCell ref="C60:D60"/>
    <mergeCell ref="C157:D157"/>
    <mergeCell ref="C159:D159"/>
    <mergeCell ref="A155:B160"/>
    <mergeCell ref="C28:D28"/>
    <mergeCell ref="C29:D29"/>
    <mergeCell ref="C123:D123"/>
    <mergeCell ref="C124:D124"/>
    <mergeCell ref="C108:D108"/>
    <mergeCell ref="C109:D109"/>
    <mergeCell ref="C111:D111"/>
    <mergeCell ref="C112:D112"/>
    <mergeCell ref="C113:D113"/>
    <mergeCell ref="C78:D78"/>
    <mergeCell ref="C84:D84"/>
    <mergeCell ref="C87:D87"/>
    <mergeCell ref="C90:D90"/>
    <mergeCell ref="C116:D116"/>
    <mergeCell ref="C117:D117"/>
    <mergeCell ref="C32:D32"/>
    <mergeCell ref="C36:D36"/>
    <mergeCell ref="C37:D37"/>
    <mergeCell ref="C38:D38"/>
    <mergeCell ref="C57:D57"/>
    <mergeCell ref="C54:D54"/>
    <mergeCell ref="C68:D68"/>
    <mergeCell ref="C40:D40"/>
    <mergeCell ref="C45:D45"/>
    <mergeCell ref="A8:A9"/>
    <mergeCell ref="I5:K6"/>
    <mergeCell ref="G5:H6"/>
    <mergeCell ref="A1:K1"/>
    <mergeCell ref="K8:L9"/>
    <mergeCell ref="M8:N9"/>
    <mergeCell ref="I3:K4"/>
    <mergeCell ref="B5:B6"/>
    <mergeCell ref="C5:E6"/>
    <mergeCell ref="B8:J9"/>
    <mergeCell ref="M1:M2"/>
    <mergeCell ref="B3:B4"/>
    <mergeCell ref="C3:E4"/>
    <mergeCell ref="G3:H4"/>
    <mergeCell ref="A7:J7"/>
    <mergeCell ref="C376:D376"/>
    <mergeCell ref="C379:D379"/>
    <mergeCell ref="C372:D372"/>
    <mergeCell ref="C373:D373"/>
    <mergeCell ref="C338:D338"/>
    <mergeCell ref="C340:D340"/>
    <mergeCell ref="C341:D341"/>
    <mergeCell ref="C339:D339"/>
    <mergeCell ref="C378:D378"/>
    <mergeCell ref="C361:D361"/>
    <mergeCell ref="C362:D362"/>
    <mergeCell ref="C371:D371"/>
    <mergeCell ref="C368:D368"/>
    <mergeCell ref="C377:D377"/>
    <mergeCell ref="C369:D369"/>
    <mergeCell ref="C364:D364"/>
    <mergeCell ref="C375:D375"/>
    <mergeCell ref="C366:D366"/>
    <mergeCell ref="E421:E426"/>
    <mergeCell ref="C471:D471"/>
    <mergeCell ref="C482:D482"/>
    <mergeCell ref="C483:D483"/>
    <mergeCell ref="C415:D415"/>
    <mergeCell ref="C416:D416"/>
    <mergeCell ref="C417:D417"/>
    <mergeCell ref="C421:D421"/>
    <mergeCell ref="C427:D427"/>
    <mergeCell ref="C428:D428"/>
    <mergeCell ref="C429:D429"/>
    <mergeCell ref="C430:D430"/>
    <mergeCell ref="C431:D431"/>
    <mergeCell ref="C432:D432"/>
    <mergeCell ref="C433:D433"/>
    <mergeCell ref="E427:E432"/>
    <mergeCell ref="C466:D466"/>
    <mergeCell ref="C426:D426"/>
    <mergeCell ref="E433:E435"/>
    <mergeCell ref="C437:D437"/>
    <mergeCell ref="C452:D452"/>
    <mergeCell ref="C418:D418"/>
    <mergeCell ref="E415:E420"/>
    <mergeCell ref="C448:D448"/>
    <mergeCell ref="C299:D299"/>
    <mergeCell ref="E359:E360"/>
    <mergeCell ref="C330:D330"/>
    <mergeCell ref="C259:D259"/>
    <mergeCell ref="C255:D255"/>
    <mergeCell ref="C257:D257"/>
    <mergeCell ref="C258:D258"/>
    <mergeCell ref="C327:D327"/>
    <mergeCell ref="C308:D308"/>
    <mergeCell ref="C333:D333"/>
    <mergeCell ref="C263:D263"/>
    <mergeCell ref="C264:D264"/>
    <mergeCell ref="C292:D292"/>
    <mergeCell ref="C262:D262"/>
    <mergeCell ref="C328:D328"/>
    <mergeCell ref="C329:D329"/>
    <mergeCell ref="C313:D313"/>
    <mergeCell ref="C331:D331"/>
    <mergeCell ref="C332:D332"/>
    <mergeCell ref="E270:E272"/>
    <mergeCell ref="C266:D266"/>
    <mergeCell ref="A269:E269"/>
    <mergeCell ref="C335:D335"/>
    <mergeCell ref="C337:D337"/>
    <mergeCell ref="C231:D231"/>
    <mergeCell ref="C232:D232"/>
    <mergeCell ref="C198:D198"/>
    <mergeCell ref="C194:D194"/>
    <mergeCell ref="C195:D195"/>
    <mergeCell ref="C227:D227"/>
    <mergeCell ref="C228:D228"/>
    <mergeCell ref="C191:D191"/>
    <mergeCell ref="C192:D192"/>
    <mergeCell ref="C224:D224"/>
    <mergeCell ref="C225:D225"/>
    <mergeCell ref="C226:D226"/>
    <mergeCell ref="C19:D19"/>
    <mergeCell ref="C20:D20"/>
    <mergeCell ref="C77:D77"/>
    <mergeCell ref="C238:D238"/>
    <mergeCell ref="C239:D239"/>
    <mergeCell ref="C240:D240"/>
    <mergeCell ref="Y270:Y271"/>
    <mergeCell ref="C156:D156"/>
    <mergeCell ref="C172:D172"/>
    <mergeCell ref="C174:D174"/>
    <mergeCell ref="C164:D164"/>
    <mergeCell ref="C170:D170"/>
    <mergeCell ref="C173:D173"/>
    <mergeCell ref="C179:D179"/>
    <mergeCell ref="C163:D163"/>
    <mergeCell ref="C165:D165"/>
    <mergeCell ref="C166:D166"/>
    <mergeCell ref="C168:D168"/>
    <mergeCell ref="C169:D169"/>
    <mergeCell ref="C171:D171"/>
    <mergeCell ref="C167:D167"/>
    <mergeCell ref="C229:D229"/>
    <mergeCell ref="C230:D230"/>
    <mergeCell ref="C248:D248"/>
    <mergeCell ref="C479:D479"/>
    <mergeCell ref="C480:D480"/>
    <mergeCell ref="C455:D455"/>
    <mergeCell ref="C160:D160"/>
    <mergeCell ref="C180:D180"/>
    <mergeCell ref="C190:D190"/>
    <mergeCell ref="O8:P9"/>
    <mergeCell ref="C76:D76"/>
    <mergeCell ref="A11:E11"/>
    <mergeCell ref="C152:D152"/>
    <mergeCell ref="C162:D162"/>
    <mergeCell ref="C21:D21"/>
    <mergeCell ref="A12:D14"/>
    <mergeCell ref="E12:E14"/>
    <mergeCell ref="C47:D47"/>
    <mergeCell ref="C132:D132"/>
    <mergeCell ref="C133:D133"/>
    <mergeCell ref="C134:D134"/>
    <mergeCell ref="C135:D135"/>
    <mergeCell ref="C136:D136"/>
    <mergeCell ref="C137:D137"/>
    <mergeCell ref="A15:B21"/>
    <mergeCell ref="A101:B107"/>
    <mergeCell ref="C110:D110"/>
    <mergeCell ref="C469:D469"/>
    <mergeCell ref="C470:D470"/>
    <mergeCell ref="C496:D496"/>
    <mergeCell ref="C491:D491"/>
    <mergeCell ref="C499:D499"/>
    <mergeCell ref="C79:D79"/>
    <mergeCell ref="C80:D80"/>
    <mergeCell ref="C122:D122"/>
    <mergeCell ref="E522:E525"/>
    <mergeCell ref="E501:E506"/>
    <mergeCell ref="C502:D502"/>
    <mergeCell ref="C503:D503"/>
    <mergeCell ref="C504:D504"/>
    <mergeCell ref="C505:D505"/>
    <mergeCell ref="C506:D506"/>
    <mergeCell ref="A445:D446"/>
    <mergeCell ref="E445:E446"/>
    <mergeCell ref="C501:D501"/>
    <mergeCell ref="C449:D449"/>
    <mergeCell ref="C450:D450"/>
    <mergeCell ref="C457:D457"/>
    <mergeCell ref="C458:D458"/>
    <mergeCell ref="C459:D459"/>
    <mergeCell ref="C460:D460"/>
    <mergeCell ref="E519:E521"/>
    <mergeCell ref="C507:D507"/>
    <mergeCell ref="E507:E512"/>
    <mergeCell ref="C508:D508"/>
    <mergeCell ref="C509:D509"/>
    <mergeCell ref="C510:D510"/>
    <mergeCell ref="C511:D511"/>
    <mergeCell ref="C512:D512"/>
    <mergeCell ref="C520:D520"/>
    <mergeCell ref="C521:D521"/>
    <mergeCell ref="C513:D513"/>
    <mergeCell ref="E513:E518"/>
    <mergeCell ref="C516:D516"/>
    <mergeCell ref="C517:D517"/>
    <mergeCell ref="E531:E532"/>
    <mergeCell ref="C551:D551"/>
    <mergeCell ref="C552:D552"/>
    <mergeCell ref="C553:D553"/>
    <mergeCell ref="C557:D557"/>
    <mergeCell ref="C558:D558"/>
    <mergeCell ref="C559:D559"/>
    <mergeCell ref="C560:D560"/>
    <mergeCell ref="C561:D561"/>
    <mergeCell ref="C533:D533"/>
    <mergeCell ref="C536:D536"/>
    <mergeCell ref="C537:D537"/>
    <mergeCell ref="C538:D538"/>
    <mergeCell ref="C539:D539"/>
    <mergeCell ref="C540:D540"/>
    <mergeCell ref="C541:D541"/>
    <mergeCell ref="C543:D543"/>
    <mergeCell ref="C544:D544"/>
    <mergeCell ref="C545:D545"/>
    <mergeCell ref="C546:D546"/>
    <mergeCell ref="C535:D535"/>
    <mergeCell ref="C547:D547"/>
    <mergeCell ref="C548:D548"/>
    <mergeCell ref="C549:D549"/>
    <mergeCell ref="E587:E592"/>
    <mergeCell ref="C588:D588"/>
    <mergeCell ref="C589:D589"/>
    <mergeCell ref="C590:D590"/>
    <mergeCell ref="C591:D591"/>
    <mergeCell ref="C592:D592"/>
    <mergeCell ref="C587:D587"/>
    <mergeCell ref="C577:D577"/>
    <mergeCell ref="C578:D578"/>
    <mergeCell ref="C582:D582"/>
    <mergeCell ref="C583:D583"/>
    <mergeCell ref="C584:D584"/>
    <mergeCell ref="C585:D585"/>
    <mergeCell ref="C586:D586"/>
    <mergeCell ref="C579:D579"/>
    <mergeCell ref="C580:D580"/>
    <mergeCell ref="C581:D581"/>
    <mergeCell ref="E605:E607"/>
    <mergeCell ref="A616:D617"/>
    <mergeCell ref="E616:E617"/>
    <mergeCell ref="A593:B611"/>
    <mergeCell ref="C593:D593"/>
    <mergeCell ref="E593:E598"/>
    <mergeCell ref="C594:D594"/>
    <mergeCell ref="C595:D595"/>
    <mergeCell ref="C596:D596"/>
    <mergeCell ref="C597:D597"/>
    <mergeCell ref="C598:D598"/>
    <mergeCell ref="C606:D606"/>
    <mergeCell ref="C607:D607"/>
    <mergeCell ref="C599:D599"/>
    <mergeCell ref="E599:E604"/>
    <mergeCell ref="C600:D600"/>
    <mergeCell ref="C601:D601"/>
    <mergeCell ref="C602:D602"/>
    <mergeCell ref="C608:D608"/>
    <mergeCell ref="C603:D603"/>
    <mergeCell ref="C604:D604"/>
    <mergeCell ref="C605:D605"/>
    <mergeCell ref="E608:E611"/>
    <mergeCell ref="C698:D698"/>
    <mergeCell ref="E690:E692"/>
    <mergeCell ref="C678:D678"/>
    <mergeCell ref="E678:E683"/>
    <mergeCell ref="C679:D679"/>
    <mergeCell ref="C680:D680"/>
    <mergeCell ref="C681:D681"/>
    <mergeCell ref="C682:D682"/>
    <mergeCell ref="C683:D683"/>
    <mergeCell ref="E684:E689"/>
    <mergeCell ref="C684:D684"/>
    <mergeCell ref="C685:D685"/>
    <mergeCell ref="C686:D686"/>
    <mergeCell ref="C687:D687"/>
    <mergeCell ref="C688:D688"/>
    <mergeCell ref="C689:D689"/>
    <mergeCell ref="C690:D690"/>
    <mergeCell ref="E693:E696"/>
    <mergeCell ref="C401:D401"/>
    <mergeCell ref="C402:D402"/>
    <mergeCell ref="C403:D403"/>
    <mergeCell ref="C694:D694"/>
    <mergeCell ref="C695:D695"/>
    <mergeCell ref="C696:D696"/>
    <mergeCell ref="C697:D697"/>
    <mergeCell ref="C522:D522"/>
    <mergeCell ref="C523:D523"/>
    <mergeCell ref="C524:D524"/>
    <mergeCell ref="C525:D525"/>
    <mergeCell ref="C526:D526"/>
    <mergeCell ref="C527:D527"/>
    <mergeCell ref="C490:D490"/>
    <mergeCell ref="C573:D573"/>
    <mergeCell ref="A531:D532"/>
    <mergeCell ref="C562:D562"/>
    <mergeCell ref="C563:D563"/>
    <mergeCell ref="C564:D564"/>
    <mergeCell ref="C565:D565"/>
    <mergeCell ref="C566:D566"/>
    <mergeCell ref="C488:D488"/>
    <mergeCell ref="C489:D489"/>
    <mergeCell ref="A507:B525"/>
    <mergeCell ref="C662:D662"/>
    <mergeCell ref="C663:D663"/>
    <mergeCell ref="C658:D658"/>
    <mergeCell ref="C659:D659"/>
    <mergeCell ref="C645:D645"/>
    <mergeCell ref="C619:D619"/>
    <mergeCell ref="C620:D620"/>
    <mergeCell ref="C625:D625"/>
    <mergeCell ref="C640:D640"/>
    <mergeCell ref="C641:D641"/>
    <mergeCell ref="C627:D627"/>
    <mergeCell ref="C622:D622"/>
    <mergeCell ref="C623:D623"/>
    <mergeCell ref="C624:D624"/>
    <mergeCell ref="C621:D621"/>
    <mergeCell ref="C626:D626"/>
    <mergeCell ref="C628:D628"/>
    <mergeCell ref="C629:D629"/>
    <mergeCell ref="C630:D630"/>
    <mergeCell ref="C631:D631"/>
    <mergeCell ref="C632:D632"/>
    <mergeCell ref="A678:B696"/>
    <mergeCell ref="C693:D693"/>
    <mergeCell ref="C670:D670"/>
    <mergeCell ref="C671:D671"/>
    <mergeCell ref="C633:D633"/>
    <mergeCell ref="C634:D634"/>
    <mergeCell ref="C635:D635"/>
    <mergeCell ref="C636:D636"/>
    <mergeCell ref="C637:D637"/>
    <mergeCell ref="C638:D638"/>
    <mergeCell ref="C642:D642"/>
    <mergeCell ref="C643:D643"/>
    <mergeCell ref="C644:D644"/>
    <mergeCell ref="C691:D691"/>
    <mergeCell ref="C692:D692"/>
    <mergeCell ref="C666:D666"/>
    <mergeCell ref="C653:D653"/>
    <mergeCell ref="C648:D648"/>
    <mergeCell ref="C639:D639"/>
    <mergeCell ref="C650:D650"/>
    <mergeCell ref="C661:D661"/>
    <mergeCell ref="C664:D664"/>
    <mergeCell ref="C665:D665"/>
    <mergeCell ref="C660:D660"/>
    <mergeCell ref="C404:D404"/>
    <mergeCell ref="C456:D456"/>
    <mergeCell ref="C408:D408"/>
    <mergeCell ref="C409:D409"/>
    <mergeCell ref="C468:D468"/>
    <mergeCell ref="C422:D422"/>
    <mergeCell ref="C423:D423"/>
    <mergeCell ref="C424:D424"/>
    <mergeCell ref="C425:D425"/>
    <mergeCell ref="C453:D453"/>
    <mergeCell ref="C410:D410"/>
    <mergeCell ref="C411:D411"/>
    <mergeCell ref="C419:D419"/>
    <mergeCell ref="C420:D420"/>
    <mergeCell ref="C434:D434"/>
    <mergeCell ref="C435:D435"/>
    <mergeCell ref="C414:D414"/>
    <mergeCell ref="C447:D447"/>
    <mergeCell ref="C467:D467"/>
    <mergeCell ref="C461:D461"/>
    <mergeCell ref="C462:D462"/>
    <mergeCell ref="C399:D399"/>
    <mergeCell ref="C300:D300"/>
    <mergeCell ref="C301:D301"/>
    <mergeCell ref="C363:D363"/>
    <mergeCell ref="C397:D397"/>
    <mergeCell ref="C398:D398"/>
    <mergeCell ref="C493:D493"/>
    <mergeCell ref="C495:D495"/>
    <mergeCell ref="C618:D618"/>
    <mergeCell ref="C610:D610"/>
    <mergeCell ref="C611:D611"/>
    <mergeCell ref="C612:D612"/>
    <mergeCell ref="C613:D613"/>
    <mergeCell ref="C576:D576"/>
    <mergeCell ref="C609:D609"/>
    <mergeCell ref="C500:D500"/>
    <mergeCell ref="C514:D514"/>
    <mergeCell ref="C515:D515"/>
    <mergeCell ref="C550:D550"/>
    <mergeCell ref="C542:D542"/>
    <mergeCell ref="C534:D534"/>
    <mergeCell ref="C518:D518"/>
    <mergeCell ref="C519:D519"/>
    <mergeCell ref="C574:D574"/>
    <mergeCell ref="C567:D567"/>
    <mergeCell ref="C575:D575"/>
    <mergeCell ref="C497:D497"/>
    <mergeCell ref="C498:D498"/>
    <mergeCell ref="C571:D571"/>
    <mergeCell ref="C572:D572"/>
    <mergeCell ref="C438:D438"/>
    <mergeCell ref="C441:D441"/>
    <mergeCell ref="C436:D436"/>
    <mergeCell ref="C463:D463"/>
    <mergeCell ref="C464:D464"/>
    <mergeCell ref="C465:D465"/>
    <mergeCell ref="C451:D451"/>
    <mergeCell ref="C492:D492"/>
    <mergeCell ref="C484:D484"/>
    <mergeCell ref="C485:D485"/>
    <mergeCell ref="C472:D472"/>
    <mergeCell ref="C473:D473"/>
    <mergeCell ref="C474:D474"/>
    <mergeCell ref="C475:D475"/>
    <mergeCell ref="C476:D476"/>
    <mergeCell ref="C454:D454"/>
    <mergeCell ref="C439:D439"/>
    <mergeCell ref="C440:D440"/>
    <mergeCell ref="C555:D555"/>
    <mergeCell ref="C556:D556"/>
    <mergeCell ref="C494:D494"/>
    <mergeCell ref="C367:D367"/>
    <mergeCell ref="C287:D287"/>
    <mergeCell ref="C288:D288"/>
    <mergeCell ref="C294:D294"/>
    <mergeCell ref="C295:D295"/>
    <mergeCell ref="C296:D296"/>
    <mergeCell ref="C316:D316"/>
    <mergeCell ref="C317:D317"/>
    <mergeCell ref="C293:D293"/>
    <mergeCell ref="C297:D297"/>
    <mergeCell ref="C298:D298"/>
    <mergeCell ref="C319:D319"/>
    <mergeCell ref="C350:D350"/>
    <mergeCell ref="C352:D352"/>
    <mergeCell ref="B355:J356"/>
    <mergeCell ref="C302:D302"/>
    <mergeCell ref="C323:D323"/>
    <mergeCell ref="C324:D324"/>
    <mergeCell ref="C325:D325"/>
    <mergeCell ref="C326:D326"/>
    <mergeCell ref="C343:D343"/>
    <mergeCell ref="C250:D250"/>
    <mergeCell ref="C256:D256"/>
    <mergeCell ref="C216:D216"/>
    <mergeCell ref="C217:D217"/>
    <mergeCell ref="C265:D265"/>
    <mergeCell ref="C260:D260"/>
    <mergeCell ref="C218:D218"/>
    <mergeCell ref="C219:D219"/>
    <mergeCell ref="C243:D243"/>
    <mergeCell ref="C245:D245"/>
    <mergeCell ref="C246:D246"/>
    <mergeCell ref="C236:D236"/>
    <mergeCell ref="C237:D237"/>
    <mergeCell ref="C220:D220"/>
    <mergeCell ref="C221:D221"/>
    <mergeCell ref="C222:D222"/>
    <mergeCell ref="C235:D235"/>
    <mergeCell ref="C223:D223"/>
    <mergeCell ref="C233:D233"/>
    <mergeCell ref="C234:D234"/>
    <mergeCell ref="C241:D241"/>
    <mergeCell ref="C244:D244"/>
    <mergeCell ref="C247:D247"/>
    <mergeCell ref="C252:D252"/>
    <mergeCell ref="A199:B219"/>
    <mergeCell ref="C391:D391"/>
    <mergeCell ref="C392:D392"/>
    <mergeCell ref="C393:D393"/>
    <mergeCell ref="C394:D394"/>
    <mergeCell ref="C303:D303"/>
    <mergeCell ref="C304:D304"/>
    <mergeCell ref="C305:D305"/>
    <mergeCell ref="C306:D306"/>
    <mergeCell ref="C307:D307"/>
    <mergeCell ref="C314:D314"/>
    <mergeCell ref="C315:D315"/>
    <mergeCell ref="A368:B372"/>
    <mergeCell ref="A373:B393"/>
    <mergeCell ref="A361:B367"/>
    <mergeCell ref="C387:D387"/>
    <mergeCell ref="C388:D388"/>
    <mergeCell ref="C389:D389"/>
    <mergeCell ref="C390:D390"/>
    <mergeCell ref="C370:D370"/>
    <mergeCell ref="C382:D382"/>
    <mergeCell ref="C383:D383"/>
    <mergeCell ref="C384:D384"/>
    <mergeCell ref="C249:D249"/>
    <mergeCell ref="C395:D395"/>
    <mergeCell ref="C396:D396"/>
    <mergeCell ref="C400:D400"/>
    <mergeCell ref="C407:D407"/>
    <mergeCell ref="C289:D289"/>
    <mergeCell ref="C290:D290"/>
    <mergeCell ref="C291:D291"/>
    <mergeCell ref="K270:O271"/>
    <mergeCell ref="P270:T271"/>
    <mergeCell ref="F359:J360"/>
    <mergeCell ref="K359:O360"/>
    <mergeCell ref="P359:T360"/>
    <mergeCell ref="C277:D277"/>
    <mergeCell ref="C278:D278"/>
    <mergeCell ref="C279:D279"/>
    <mergeCell ref="C280:D280"/>
    <mergeCell ref="C281:D281"/>
    <mergeCell ref="C283:D283"/>
    <mergeCell ref="C284:D284"/>
    <mergeCell ref="C285:D285"/>
    <mergeCell ref="C286:D286"/>
    <mergeCell ref="C273:D273"/>
    <mergeCell ref="C282:D282"/>
    <mergeCell ref="A359:D360"/>
    <mergeCell ref="C16:D16"/>
    <mergeCell ref="C17:D17"/>
    <mergeCell ref="C102:D102"/>
    <mergeCell ref="C103:D103"/>
    <mergeCell ref="C211:D211"/>
    <mergeCell ref="C212:D212"/>
    <mergeCell ref="C213:D213"/>
    <mergeCell ref="C214:D214"/>
    <mergeCell ref="C215:D215"/>
    <mergeCell ref="C196:D196"/>
    <mergeCell ref="C201:D201"/>
    <mergeCell ref="C202:D202"/>
    <mergeCell ref="C203:D203"/>
    <mergeCell ref="C204:D204"/>
    <mergeCell ref="C205:D205"/>
    <mergeCell ref="C206:D206"/>
    <mergeCell ref="C207:D207"/>
    <mergeCell ref="C197:D197"/>
    <mergeCell ref="C208:D208"/>
    <mergeCell ref="C209:D209"/>
    <mergeCell ref="C210:D210"/>
    <mergeCell ref="C155:D155"/>
    <mergeCell ref="C151:D151"/>
    <mergeCell ref="C147:D147"/>
    <mergeCell ref="F531:J532"/>
    <mergeCell ref="K531:O532"/>
    <mergeCell ref="P531:T532"/>
    <mergeCell ref="F616:J617"/>
    <mergeCell ref="K616:O617"/>
    <mergeCell ref="P616:T617"/>
    <mergeCell ref="C481:D481"/>
    <mergeCell ref="F12:J13"/>
    <mergeCell ref="K12:O13"/>
    <mergeCell ref="P12:T13"/>
    <mergeCell ref="F98:J99"/>
    <mergeCell ref="K98:O99"/>
    <mergeCell ref="P98:T99"/>
    <mergeCell ref="F184:J185"/>
    <mergeCell ref="K184:O185"/>
    <mergeCell ref="P184:T185"/>
    <mergeCell ref="F445:J446"/>
    <mergeCell ref="K445:O446"/>
    <mergeCell ref="P445:T446"/>
    <mergeCell ref="C267:D267"/>
    <mergeCell ref="C253:D253"/>
    <mergeCell ref="A270:D272"/>
    <mergeCell ref="C261:D261"/>
    <mergeCell ref="F270:J271"/>
    <mergeCell ref="A22:B26"/>
    <mergeCell ref="A27:B47"/>
    <mergeCell ref="A57:B68"/>
    <mergeCell ref="A48:B56"/>
    <mergeCell ref="A108:B112"/>
    <mergeCell ref="A113:B133"/>
    <mergeCell ref="A134:B142"/>
    <mergeCell ref="A143:B154"/>
    <mergeCell ref="A194:B198"/>
    <mergeCell ref="A187:B193"/>
    <mergeCell ref="A183:E183"/>
    <mergeCell ref="E184:E186"/>
    <mergeCell ref="C193:D193"/>
    <mergeCell ref="C189:D189"/>
    <mergeCell ref="C119:D119"/>
    <mergeCell ref="C120:D120"/>
    <mergeCell ref="C121:D121"/>
    <mergeCell ref="C125:D125"/>
    <mergeCell ref="C175:D175"/>
    <mergeCell ref="C177:D177"/>
    <mergeCell ref="C178:D178"/>
    <mergeCell ref="C161:D161"/>
    <mergeCell ref="C126:D126"/>
    <mergeCell ref="C148:D148"/>
    <mergeCell ref="A587:B592"/>
    <mergeCell ref="A575:B586"/>
    <mergeCell ref="A220:B228"/>
    <mergeCell ref="A229:B240"/>
    <mergeCell ref="A241:B246"/>
    <mergeCell ref="A280:B284"/>
    <mergeCell ref="A285:B305"/>
    <mergeCell ref="A306:B314"/>
    <mergeCell ref="A327:B332"/>
    <mergeCell ref="A315:B326"/>
    <mergeCell ref="A273:B279"/>
    <mergeCell ref="A355:A356"/>
    <mergeCell ref="A247:B265"/>
    <mergeCell ref="A333:B351"/>
    <mergeCell ref="A421:B439"/>
    <mergeCell ref="C486:D486"/>
    <mergeCell ref="C487:D487"/>
    <mergeCell ref="C412:D412"/>
    <mergeCell ref="C413:D413"/>
    <mergeCell ref="A618:B624"/>
    <mergeCell ref="C568:D568"/>
    <mergeCell ref="C569:D569"/>
    <mergeCell ref="C570:D570"/>
    <mergeCell ref="A394:B402"/>
    <mergeCell ref="A403:B414"/>
    <mergeCell ref="A454:B458"/>
    <mergeCell ref="A459:B479"/>
    <mergeCell ref="A480:B488"/>
    <mergeCell ref="A501:B506"/>
    <mergeCell ref="A489:B500"/>
    <mergeCell ref="A415:B420"/>
    <mergeCell ref="A447:B453"/>
    <mergeCell ref="A533:B539"/>
    <mergeCell ref="C477:D477"/>
    <mergeCell ref="C478:D478"/>
    <mergeCell ref="C554:D554"/>
    <mergeCell ref="A540:B544"/>
    <mergeCell ref="A545:B565"/>
    <mergeCell ref="A566:B574"/>
    <mergeCell ref="E672:E677"/>
    <mergeCell ref="C673:D673"/>
    <mergeCell ref="C674:D674"/>
    <mergeCell ref="C675:D675"/>
    <mergeCell ref="C676:D676"/>
    <mergeCell ref="C677:D677"/>
    <mergeCell ref="A625:B629"/>
    <mergeCell ref="A630:B650"/>
    <mergeCell ref="A651:B659"/>
    <mergeCell ref="A660:B671"/>
    <mergeCell ref="C654:D654"/>
    <mergeCell ref="C655:D655"/>
    <mergeCell ref="C656:D656"/>
    <mergeCell ref="C657:D657"/>
    <mergeCell ref="C667:D667"/>
    <mergeCell ref="A672:B677"/>
    <mergeCell ref="C672:D672"/>
    <mergeCell ref="C668:D668"/>
    <mergeCell ref="C669:D669"/>
    <mergeCell ref="C646:D646"/>
    <mergeCell ref="C647:D647"/>
    <mergeCell ref="C649:D649"/>
    <mergeCell ref="C651:D651"/>
    <mergeCell ref="C652:D652"/>
  </mergeCells>
  <conditionalFormatting sqref="F15:V93">
    <cfRule type="expression" dxfId="76" priority="16">
      <formula>MOD(ROW(),2)</formula>
    </cfRule>
  </conditionalFormatting>
  <conditionalFormatting sqref="F101:V179">
    <cfRule type="expression" dxfId="75" priority="15">
      <formula>MOD(ROW(),2)</formula>
    </cfRule>
  </conditionalFormatting>
  <conditionalFormatting sqref="F187:V265">
    <cfRule type="expression" dxfId="74" priority="14">
      <formula>MOD(ROW(),2)</formula>
    </cfRule>
  </conditionalFormatting>
  <conditionalFormatting sqref="F273:V351">
    <cfRule type="expression" dxfId="73" priority="13">
      <formula>MOD(ROW(),2)</formula>
    </cfRule>
  </conditionalFormatting>
  <conditionalFormatting sqref="F361:V439">
    <cfRule type="expression" dxfId="72" priority="12">
      <formula>MOD(ROW(),2)</formula>
    </cfRule>
  </conditionalFormatting>
  <conditionalFormatting sqref="F447:V525">
    <cfRule type="expression" dxfId="71" priority="11">
      <formula>MOD(ROW(),2)</formula>
    </cfRule>
  </conditionalFormatting>
  <conditionalFormatting sqref="F533:V611">
    <cfRule type="expression" dxfId="70" priority="10">
      <formula>MOD(ROW(),2)</formula>
    </cfRule>
  </conditionalFormatting>
  <conditionalFormatting sqref="F618:V696">
    <cfRule type="expression" dxfId="69" priority="9">
      <formula>MOD(ROW(),2)</formula>
    </cfRule>
  </conditionalFormatting>
  <conditionalFormatting sqref="W15:W93">
    <cfRule type="expression" dxfId="68" priority="8">
      <formula>MOD(ROW(),2)</formula>
    </cfRule>
  </conditionalFormatting>
  <conditionalFormatting sqref="W101:X179">
    <cfRule type="expression" dxfId="67" priority="7">
      <formula>MOD(ROW(),2)</formula>
    </cfRule>
  </conditionalFormatting>
  <conditionalFormatting sqref="W187:X265">
    <cfRule type="expression" dxfId="66" priority="6">
      <formula>MOD(ROW(),2)</formula>
    </cfRule>
  </conditionalFormatting>
  <conditionalFormatting sqref="W273:X351">
    <cfRule type="expression" dxfId="65" priority="5">
      <formula>MOD(ROW(),2)</formula>
    </cfRule>
  </conditionalFormatting>
  <conditionalFormatting sqref="W361:W439">
    <cfRule type="expression" dxfId="64" priority="4">
      <formula>MOD(ROW(),2)</formula>
    </cfRule>
  </conditionalFormatting>
  <conditionalFormatting sqref="W447:W525">
    <cfRule type="expression" dxfId="63" priority="3">
      <formula>MOD(ROW(),2)</formula>
    </cfRule>
  </conditionalFormatting>
  <conditionalFormatting sqref="W533:W611">
    <cfRule type="expression" dxfId="62" priority="2">
      <formula>MOD(ROW(),2)</formula>
    </cfRule>
  </conditionalFormatting>
  <conditionalFormatting sqref="W618:W696">
    <cfRule type="expression" dxfId="61" priority="1">
      <formula>MOD(ROW(),2)</formula>
    </cfRule>
  </conditionalFormatting>
  <dataValidations count="1">
    <dataValidation type="decimal" allowBlank="1" showInputMessage="1" showErrorMessage="1" sqref="E15:E93 E101:E179 E187:E265 E273:E351 E618:E696 E447:E525 E533:E611 E361:E408 E410:E439 E409" xr:uid="{DCCDC9F5-5D61-4280-BDFF-AC9662B9F114}">
      <formula1>0</formula1>
      <formula2>10</formula2>
    </dataValidation>
  </dataValidations>
  <hyperlinks>
    <hyperlink ref="K8:L9" location="'HPM costs'!A355" display="Go to In-Country SC Management (Section 2) " xr:uid="{00000000-0004-0000-1600-000001000000}"/>
    <hyperlink ref="M8:N9" location="'RSSH- HPM &amp;Lab System'!A8" display="'RSSH- HPM &amp;Lab System'!A8" xr:uid="{00000000-0004-0000-1600-000002000000}"/>
    <hyperlink ref="K355:L356" location="'HPM costs'!A1" display="'HPM costs'!A1" xr:uid="{00000000-0004-0000-1600-000003000000}"/>
    <hyperlink ref="O8:P9" location="'RSSH- HPM &amp;Lab System'!A50" display="'RSSH- HPM &amp;Lab System'!A50" xr:uid="{00000000-0004-0000-1600-000005000000}"/>
    <hyperlink ref="O355:P356" location="'RSSH- HPM &amp;Lab System'!A50" display="'RSSH- HPM &amp;Lab System'!A50" xr:uid="{00000000-0004-0000-1600-000006000000}"/>
  </hyperlinks>
  <pageMargins left="0.7" right="0.7" top="0.75" bottom="0.75" header="0.3" footer="0.3"/>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2">
    <tabColor theme="0" tint="-0.499984740745262"/>
  </sheetPr>
  <dimension ref="A1:BS90"/>
  <sheetViews>
    <sheetView showGridLines="0" zoomScale="85" zoomScaleNormal="85" workbookViewId="0">
      <selection activeCell="A11" sqref="A11:N11"/>
    </sheetView>
  </sheetViews>
  <sheetFormatPr defaultColWidth="8.81640625" defaultRowHeight="14.5"/>
  <cols>
    <col min="1" max="11" width="12.81640625" customWidth="1"/>
    <col min="13" max="13" width="9.36328125" customWidth="1"/>
    <col min="25" max="25" width="14.36328125" bestFit="1" customWidth="1"/>
    <col min="30" max="30" width="13.36328125" bestFit="1" customWidth="1"/>
  </cols>
  <sheetData>
    <row r="1" spans="1:71" s="734" customFormat="1" ht="24" customHeight="1" thickBot="1">
      <c r="A1" s="3015" t="s">
        <v>7639</v>
      </c>
      <c r="B1" s="3016"/>
      <c r="C1" s="3016"/>
      <c r="D1" s="3016"/>
      <c r="E1" s="3016"/>
      <c r="F1" s="3016"/>
      <c r="G1" s="3016"/>
      <c r="H1" s="3016"/>
      <c r="I1" s="3016"/>
      <c r="J1" s="3016"/>
      <c r="K1" s="3017"/>
      <c r="L1" s="1718"/>
      <c r="M1" s="3107"/>
      <c r="N1" s="3107"/>
      <c r="O1" s="1300"/>
      <c r="P1" s="732"/>
      <c r="Q1" s="732"/>
      <c r="R1" s="732"/>
      <c r="S1" s="732"/>
      <c r="T1" s="732"/>
      <c r="U1" s="732"/>
      <c r="V1" s="732"/>
      <c r="W1" s="732"/>
      <c r="X1" s="732"/>
      <c r="Y1" s="732"/>
      <c r="Z1" s="732"/>
      <c r="AA1" s="732"/>
      <c r="AB1" s="732"/>
      <c r="AC1" s="732"/>
      <c r="AD1" s="732"/>
      <c r="AE1" s="732"/>
      <c r="AF1" s="732"/>
      <c r="AG1" s="733"/>
      <c r="AH1" s="732"/>
      <c r="AI1" s="732"/>
      <c r="AJ1" s="732"/>
      <c r="AK1" s="732"/>
      <c r="AL1" s="732"/>
      <c r="AM1" s="732"/>
      <c r="AN1" s="732"/>
      <c r="AO1" s="732"/>
      <c r="AP1" s="732"/>
      <c r="AQ1" s="732"/>
      <c r="AR1" s="732"/>
      <c r="AS1" s="732"/>
      <c r="AT1" s="732"/>
      <c r="AU1" s="732"/>
      <c r="AV1" s="732"/>
      <c r="AW1" s="732"/>
      <c r="AX1" s="732"/>
      <c r="AY1" s="732"/>
      <c r="AZ1" s="732"/>
      <c r="BA1" s="732"/>
      <c r="BB1" s="732"/>
      <c r="BC1" s="732"/>
      <c r="BD1" s="732"/>
      <c r="BE1" s="732"/>
      <c r="BF1" s="732"/>
      <c r="BG1" s="732"/>
      <c r="BH1" s="732"/>
      <c r="BI1" s="732"/>
      <c r="BJ1" s="732"/>
      <c r="BK1" s="732"/>
      <c r="BL1" s="732"/>
      <c r="BM1" s="732"/>
      <c r="BN1" s="732"/>
      <c r="BO1" s="732"/>
      <c r="BP1" s="732"/>
      <c r="BQ1" s="732"/>
      <c r="BR1" s="732"/>
      <c r="BS1" s="732"/>
    </row>
    <row r="2" spans="1:71" s="734" customFormat="1" ht="15" thickBot="1">
      <c r="A2" s="174"/>
      <c r="B2" s="174"/>
      <c r="C2" s="174"/>
      <c r="D2" s="174"/>
      <c r="E2" s="174"/>
      <c r="F2" s="174"/>
      <c r="G2" s="174"/>
      <c r="H2" s="174"/>
      <c r="I2" s="271"/>
      <c r="J2" s="735"/>
      <c r="K2" s="736"/>
      <c r="L2" s="731"/>
      <c r="M2" s="2046"/>
      <c r="N2" s="2046"/>
      <c r="O2" s="1300"/>
      <c r="P2" s="732"/>
      <c r="Q2" s="732"/>
      <c r="R2" s="732"/>
      <c r="S2" s="732"/>
      <c r="T2" s="732"/>
      <c r="U2" s="732"/>
      <c r="V2" s="732"/>
      <c r="W2" s="732"/>
      <c r="X2" s="732"/>
      <c r="Y2" s="732"/>
      <c r="Z2" s="732"/>
      <c r="AA2" s="732"/>
      <c r="AB2" s="732"/>
      <c r="AC2" s="732"/>
      <c r="AD2" s="732"/>
      <c r="AE2" s="732"/>
      <c r="AF2" s="732"/>
      <c r="AG2" s="733"/>
      <c r="AH2" s="732"/>
      <c r="AI2" s="732"/>
      <c r="AJ2" s="732"/>
      <c r="AK2" s="732"/>
      <c r="AL2" s="732"/>
      <c r="AM2" s="732"/>
      <c r="AN2" s="732"/>
      <c r="AO2" s="732"/>
      <c r="AP2" s="732"/>
      <c r="AQ2" s="732"/>
      <c r="AR2" s="732"/>
      <c r="AS2" s="732"/>
      <c r="AT2" s="732"/>
      <c r="AU2" s="732"/>
      <c r="AV2" s="732"/>
      <c r="AW2" s="732"/>
      <c r="AX2" s="732"/>
      <c r="AY2" s="732"/>
      <c r="AZ2" s="732"/>
      <c r="BA2" s="732"/>
      <c r="BB2" s="732"/>
      <c r="BC2" s="732"/>
      <c r="BD2" s="732"/>
      <c r="BE2" s="732"/>
      <c r="BF2" s="732"/>
      <c r="BG2" s="732"/>
      <c r="BH2" s="732"/>
      <c r="BI2" s="732"/>
      <c r="BJ2" s="732"/>
      <c r="BK2" s="732"/>
      <c r="BL2" s="732"/>
      <c r="BM2" s="732"/>
      <c r="BN2" s="732"/>
      <c r="BO2" s="732"/>
      <c r="BP2" s="732"/>
      <c r="BQ2" s="732"/>
      <c r="BR2" s="732"/>
      <c r="BS2" s="732"/>
    </row>
    <row r="3" spans="1:71" s="734" customFormat="1" ht="15" customHeight="1" thickBot="1">
      <c r="A3" s="352"/>
      <c r="B3" s="3028" t="s">
        <v>0</v>
      </c>
      <c r="C3" s="3030">
        <f>SETUP!$E$3</f>
        <v>0</v>
      </c>
      <c r="D3" s="3030"/>
      <c r="E3" s="3030"/>
      <c r="F3" s="737"/>
      <c r="G3" s="3032" t="s">
        <v>1</v>
      </c>
      <c r="H3" s="3033"/>
      <c r="I3" s="3019">
        <f>SETUP!$G$13</f>
        <v>0</v>
      </c>
      <c r="J3" s="3019"/>
      <c r="K3" s="3020"/>
      <c r="L3" s="738"/>
      <c r="M3" s="739"/>
      <c r="N3" s="1301"/>
      <c r="O3" s="732"/>
      <c r="P3" s="732"/>
      <c r="Q3" s="732"/>
      <c r="R3" s="732"/>
      <c r="S3" s="732"/>
      <c r="T3" s="732"/>
      <c r="U3" s="732"/>
      <c r="V3" s="732"/>
      <c r="W3" s="732"/>
      <c r="X3" s="732"/>
      <c r="Y3" s="732"/>
      <c r="Z3" s="732"/>
      <c r="AA3" s="732"/>
      <c r="AB3" s="732"/>
      <c r="AC3" s="732"/>
      <c r="AD3" s="732"/>
      <c r="AE3" s="732"/>
      <c r="AF3" s="732"/>
      <c r="AG3" s="733"/>
      <c r="AH3" s="732"/>
      <c r="AI3" s="732"/>
      <c r="AJ3" s="732"/>
      <c r="AK3" s="732"/>
      <c r="AL3" s="732"/>
      <c r="AM3" s="732"/>
      <c r="AN3" s="732"/>
      <c r="AO3" s="732"/>
      <c r="AP3" s="732"/>
      <c r="AQ3" s="732"/>
      <c r="AR3" s="732"/>
      <c r="AS3" s="732"/>
      <c r="AT3" s="732"/>
      <c r="AU3" s="732"/>
      <c r="AV3" s="732"/>
      <c r="AW3" s="732"/>
      <c r="AX3" s="732"/>
      <c r="AY3" s="732"/>
      <c r="AZ3" s="732"/>
      <c r="BA3" s="732"/>
      <c r="BB3" s="732"/>
      <c r="BC3" s="732"/>
      <c r="BD3" s="732"/>
      <c r="BE3" s="732"/>
      <c r="BF3" s="732"/>
      <c r="BG3" s="732"/>
      <c r="BH3" s="732"/>
      <c r="BI3" s="732"/>
      <c r="BJ3" s="732"/>
      <c r="BK3" s="732"/>
      <c r="BL3" s="732"/>
      <c r="BM3" s="732"/>
      <c r="BN3" s="732"/>
      <c r="BO3" s="732"/>
      <c r="BP3" s="732"/>
      <c r="BQ3" s="732"/>
      <c r="BR3" s="732"/>
      <c r="BS3" s="732"/>
    </row>
    <row r="4" spans="1:71" s="734" customFormat="1" ht="15.75" customHeight="1" thickTop="1" thickBot="1">
      <c r="A4" s="353"/>
      <c r="B4" s="3029"/>
      <c r="C4" s="3031"/>
      <c r="D4" s="3031"/>
      <c r="E4" s="3031"/>
      <c r="F4" s="741"/>
      <c r="G4" s="3034"/>
      <c r="H4" s="3023"/>
      <c r="I4" s="3021"/>
      <c r="J4" s="3021"/>
      <c r="K4" s="3022"/>
      <c r="L4" s="738"/>
      <c r="M4" s="742"/>
      <c r="N4" s="740"/>
      <c r="O4" s="732"/>
      <c r="P4" s="732"/>
      <c r="Q4" s="732"/>
      <c r="R4" s="732"/>
      <c r="S4" s="732"/>
      <c r="T4" s="732"/>
      <c r="U4" s="732"/>
      <c r="V4" s="732"/>
      <c r="W4" s="732"/>
      <c r="X4" s="732"/>
      <c r="Y4" s="732"/>
      <c r="Z4" s="732"/>
      <c r="AA4" s="732"/>
      <c r="AB4" s="732"/>
      <c r="AC4" s="732"/>
      <c r="AD4" s="732"/>
      <c r="AE4" s="732"/>
      <c r="AF4" s="732"/>
      <c r="AG4" s="733"/>
      <c r="AH4" s="732"/>
      <c r="AI4" s="732"/>
      <c r="AJ4" s="732"/>
      <c r="AK4" s="732"/>
      <c r="AL4" s="732"/>
      <c r="AM4" s="732"/>
      <c r="AN4" s="732"/>
      <c r="AO4" s="732"/>
      <c r="AP4" s="732"/>
      <c r="AQ4" s="732"/>
      <c r="AR4" s="732"/>
      <c r="AS4" s="732"/>
      <c r="AT4" s="732"/>
      <c r="AU4" s="732"/>
      <c r="AV4" s="732"/>
      <c r="AW4" s="732"/>
      <c r="AX4" s="732"/>
      <c r="AY4" s="732"/>
      <c r="AZ4" s="732"/>
      <c r="BA4" s="732"/>
      <c r="BB4" s="732"/>
      <c r="BC4" s="732"/>
      <c r="BD4" s="732"/>
      <c r="BE4" s="732"/>
      <c r="BF4" s="732"/>
      <c r="BG4" s="732"/>
      <c r="BH4" s="732"/>
      <c r="BI4" s="732"/>
      <c r="BJ4" s="732"/>
      <c r="BK4" s="732"/>
      <c r="BL4" s="732"/>
      <c r="BM4" s="732"/>
      <c r="BN4" s="732"/>
      <c r="BO4" s="732"/>
      <c r="BP4" s="732"/>
      <c r="BQ4" s="732"/>
      <c r="BR4" s="732"/>
      <c r="BS4" s="732"/>
    </row>
    <row r="5" spans="1:71" s="734" customFormat="1" ht="15.5" thickTop="1" thickBot="1">
      <c r="A5" s="353"/>
      <c r="B5" s="3023" t="s">
        <v>2</v>
      </c>
      <c r="C5" s="3025" t="str">
        <f>SETUP!$E$6</f>
        <v>HIV</v>
      </c>
      <c r="D5" s="3025"/>
      <c r="E5" s="3025"/>
      <c r="F5" s="354"/>
      <c r="G5" s="3013" t="s">
        <v>3</v>
      </c>
      <c r="H5" s="3013"/>
      <c r="I5" s="3009">
        <f>SETUP!E7</f>
        <v>0</v>
      </c>
      <c r="J5" s="3009"/>
      <c r="K5" s="3010"/>
      <c r="L5" s="738"/>
      <c r="M5" s="742"/>
      <c r="N5" s="740"/>
      <c r="O5" s="732"/>
      <c r="P5" s="732"/>
      <c r="Q5" s="732"/>
      <c r="R5" s="732"/>
      <c r="S5" s="732"/>
      <c r="T5" s="732"/>
      <c r="U5" s="732"/>
      <c r="V5" s="732"/>
      <c r="W5" s="732"/>
      <c r="X5" s="732"/>
      <c r="Y5" s="732"/>
      <c r="Z5" s="732"/>
      <c r="AA5" s="732"/>
      <c r="AB5" s="732"/>
      <c r="AC5" s="732"/>
      <c r="AD5" s="732"/>
      <c r="AE5" s="732"/>
      <c r="AF5" s="732"/>
      <c r="AG5" s="733"/>
      <c r="AH5" s="732"/>
      <c r="AI5" s="732"/>
      <c r="AJ5" s="732"/>
      <c r="AK5" s="732"/>
      <c r="AL5" s="732"/>
      <c r="AM5" s="732"/>
      <c r="AN5" s="732"/>
      <c r="AO5" s="732"/>
      <c r="AP5" s="732"/>
      <c r="AQ5" s="732"/>
      <c r="AR5" s="732"/>
      <c r="AS5" s="732"/>
      <c r="AT5" s="732"/>
      <c r="AU5" s="732"/>
      <c r="AV5" s="732"/>
      <c r="AW5" s="732"/>
      <c r="AX5" s="732"/>
      <c r="AY5" s="732"/>
      <c r="AZ5" s="732"/>
      <c r="BA5" s="732"/>
      <c r="BB5" s="732"/>
      <c r="BC5" s="732"/>
      <c r="BD5" s="732"/>
      <c r="BE5" s="732"/>
      <c r="BF5" s="732"/>
      <c r="BG5" s="732"/>
      <c r="BH5" s="732"/>
      <c r="BI5" s="732"/>
      <c r="BJ5" s="732"/>
      <c r="BK5" s="732"/>
      <c r="BL5" s="732"/>
      <c r="BM5" s="732"/>
      <c r="BN5" s="732"/>
      <c r="BO5" s="732"/>
      <c r="BP5" s="732"/>
      <c r="BQ5" s="732"/>
      <c r="BR5" s="732"/>
      <c r="BS5" s="732"/>
    </row>
    <row r="6" spans="1:71" s="734" customFormat="1" ht="15.5" thickTop="1" thickBot="1">
      <c r="A6" s="355"/>
      <c r="B6" s="3024"/>
      <c r="C6" s="3026"/>
      <c r="D6" s="3026"/>
      <c r="E6" s="3026"/>
      <c r="F6" s="356"/>
      <c r="G6" s="3014"/>
      <c r="H6" s="3014"/>
      <c r="I6" s="3011"/>
      <c r="J6" s="3011"/>
      <c r="K6" s="3012"/>
      <c r="L6" s="738"/>
      <c r="M6" s="742"/>
      <c r="N6" s="740"/>
      <c r="O6" s="732"/>
      <c r="P6" s="732"/>
      <c r="Q6" s="732"/>
      <c r="R6" s="732"/>
      <c r="S6" s="732"/>
      <c r="T6" s="732"/>
      <c r="U6" s="732"/>
      <c r="V6" s="732"/>
      <c r="W6" s="732"/>
      <c r="X6" s="732"/>
      <c r="Y6" s="732"/>
      <c r="Z6" s="732"/>
      <c r="AA6" s="732"/>
      <c r="AB6" s="732"/>
      <c r="AC6" s="732"/>
      <c r="AD6" s="732"/>
      <c r="AE6" s="732"/>
      <c r="AF6" s="732"/>
      <c r="AG6" s="733"/>
      <c r="AH6" s="732"/>
      <c r="AI6" s="732"/>
      <c r="AJ6" s="732"/>
      <c r="AK6" s="732"/>
      <c r="AL6" s="732"/>
      <c r="AM6" s="732"/>
      <c r="AN6" s="732"/>
      <c r="AO6" s="732"/>
      <c r="AP6" s="732"/>
      <c r="AQ6" s="732"/>
      <c r="AR6" s="732"/>
      <c r="AS6" s="732"/>
      <c r="AT6" s="732"/>
      <c r="AU6" s="732"/>
      <c r="AV6" s="732"/>
      <c r="AW6" s="732"/>
      <c r="AX6" s="732"/>
      <c r="AY6" s="732"/>
      <c r="AZ6" s="732"/>
      <c r="BA6" s="732"/>
      <c r="BB6" s="732"/>
      <c r="BC6" s="732"/>
      <c r="BD6" s="732"/>
      <c r="BE6" s="732"/>
      <c r="BF6" s="732"/>
      <c r="BG6" s="732"/>
      <c r="BH6" s="732"/>
      <c r="BI6" s="732"/>
      <c r="BJ6" s="732"/>
      <c r="BK6" s="732"/>
      <c r="BL6" s="732"/>
      <c r="BM6" s="732"/>
      <c r="BN6" s="732"/>
      <c r="BO6" s="732"/>
      <c r="BP6" s="732"/>
      <c r="BQ6" s="732"/>
      <c r="BR6" s="732"/>
      <c r="BS6" s="732"/>
    </row>
    <row r="7" spans="1:71" s="734" customFormat="1" ht="15" thickBot="1">
      <c r="A7" s="743"/>
      <c r="B7" s="743"/>
      <c r="C7" s="743"/>
      <c r="D7" s="743"/>
      <c r="E7" s="743"/>
      <c r="F7" s="743"/>
      <c r="G7" s="743"/>
      <c r="H7" s="743"/>
      <c r="I7" s="744"/>
      <c r="J7" s="743"/>
      <c r="K7" s="745"/>
      <c r="L7" s="746"/>
      <c r="M7" s="746"/>
      <c r="N7" s="747"/>
      <c r="O7" s="748"/>
      <c r="P7" s="748"/>
      <c r="Q7" s="748"/>
      <c r="R7" s="748"/>
      <c r="S7" s="732"/>
      <c r="T7" s="732"/>
      <c r="U7" s="732"/>
      <c r="V7" s="732"/>
      <c r="W7" s="732"/>
      <c r="X7" s="732"/>
      <c r="Y7" s="732"/>
      <c r="Z7" s="732"/>
      <c r="AA7" s="732"/>
      <c r="AB7" s="732"/>
      <c r="AC7" s="732"/>
      <c r="AD7" s="732"/>
      <c r="AE7" s="732"/>
      <c r="AF7" s="732"/>
      <c r="AG7" s="733"/>
      <c r="AH7" s="732"/>
      <c r="AI7" s="732"/>
      <c r="AJ7" s="732"/>
      <c r="AK7" s="732"/>
      <c r="AL7" s="732"/>
      <c r="AM7" s="732"/>
      <c r="AN7" s="732"/>
      <c r="AO7" s="732"/>
      <c r="AP7" s="732"/>
      <c r="AQ7" s="732"/>
      <c r="AR7" s="732"/>
      <c r="AS7" s="732"/>
      <c r="AT7" s="732"/>
      <c r="AU7" s="732"/>
      <c r="AV7" s="732"/>
      <c r="AW7" s="732"/>
      <c r="AX7" s="732"/>
      <c r="AY7" s="732"/>
      <c r="AZ7" s="732"/>
      <c r="BA7" s="732"/>
      <c r="BB7" s="732"/>
      <c r="BC7" s="732"/>
      <c r="BD7" s="732"/>
      <c r="BE7" s="732"/>
      <c r="BF7" s="732"/>
      <c r="BG7" s="732"/>
      <c r="BH7" s="732"/>
      <c r="BI7" s="732"/>
      <c r="BJ7" s="732"/>
      <c r="BK7" s="732"/>
      <c r="BL7" s="732"/>
      <c r="BM7" s="732"/>
      <c r="BN7" s="732"/>
      <c r="BO7" s="732"/>
      <c r="BP7" s="732"/>
      <c r="BQ7" s="732"/>
      <c r="BR7" s="732"/>
      <c r="BS7" s="732"/>
    </row>
    <row r="8" spans="1:71" s="757" customFormat="1" ht="29.25" customHeight="1">
      <c r="A8" s="3092">
        <v>1</v>
      </c>
      <c r="B8" s="3088" t="s">
        <v>605</v>
      </c>
      <c r="C8" s="3088"/>
      <c r="D8" s="3088"/>
      <c r="E8" s="3088"/>
      <c r="F8" s="3088"/>
      <c r="G8" s="3088"/>
      <c r="H8" s="3088"/>
      <c r="I8" s="3088"/>
      <c r="J8" s="3089"/>
      <c r="K8" s="3096" t="s">
        <v>591</v>
      </c>
      <c r="L8" s="3097"/>
      <c r="M8" s="3094" t="s">
        <v>540</v>
      </c>
      <c r="N8" s="3094"/>
      <c r="O8" s="3094" t="s">
        <v>6893</v>
      </c>
      <c r="P8" s="3108"/>
      <c r="Q8" s="767"/>
      <c r="R8" s="768"/>
      <c r="S8" s="768"/>
      <c r="T8" s="768"/>
      <c r="U8" s="768"/>
      <c r="V8" s="768"/>
      <c r="W8" s="769"/>
      <c r="X8" s="768"/>
      <c r="Y8" s="756"/>
      <c r="Z8" s="756"/>
      <c r="AA8" s="756"/>
      <c r="AB8" s="756"/>
      <c r="AC8" s="756"/>
      <c r="AD8" s="756"/>
      <c r="AE8" s="756"/>
      <c r="AF8" s="756"/>
      <c r="AG8" s="756"/>
      <c r="AH8" s="756"/>
      <c r="AI8" s="756"/>
      <c r="AJ8" s="756"/>
      <c r="AK8" s="756"/>
      <c r="AL8" s="756"/>
      <c r="AM8" s="756"/>
      <c r="AN8" s="756"/>
      <c r="AO8" s="756"/>
      <c r="AP8" s="756"/>
      <c r="AQ8" s="756"/>
      <c r="AR8" s="756"/>
      <c r="AS8" s="756"/>
      <c r="AT8" s="756"/>
      <c r="AU8" s="756"/>
      <c r="AV8" s="756"/>
      <c r="AW8" s="756"/>
      <c r="AX8" s="756"/>
      <c r="AY8" s="756"/>
      <c r="AZ8" s="756"/>
      <c r="BA8" s="756"/>
      <c r="BB8" s="756"/>
      <c r="BC8" s="756"/>
      <c r="BD8" s="756"/>
      <c r="BE8" s="756"/>
      <c r="BF8" s="756"/>
      <c r="BG8" s="756"/>
      <c r="BH8" s="756"/>
      <c r="BI8" s="756"/>
      <c r="BJ8" s="756"/>
      <c r="BK8" s="756"/>
      <c r="BL8" s="756"/>
      <c r="BM8" s="756"/>
      <c r="BN8" s="756"/>
      <c r="BO8" s="756"/>
      <c r="BP8" s="756"/>
      <c r="BQ8" s="756"/>
    </row>
    <row r="9" spans="1:71" s="757" customFormat="1" ht="29.25" customHeight="1" thickBot="1">
      <c r="A9" s="3093"/>
      <c r="B9" s="3090"/>
      <c r="C9" s="3090"/>
      <c r="D9" s="3090"/>
      <c r="E9" s="3090"/>
      <c r="F9" s="3090"/>
      <c r="G9" s="3090"/>
      <c r="H9" s="3090"/>
      <c r="I9" s="3090"/>
      <c r="J9" s="3091"/>
      <c r="K9" s="3098"/>
      <c r="L9" s="3099"/>
      <c r="M9" s="3095"/>
      <c r="N9" s="3095"/>
      <c r="O9" s="3109"/>
      <c r="P9" s="3109"/>
      <c r="Q9" s="767"/>
      <c r="R9" s="768"/>
      <c r="S9" s="768"/>
      <c r="T9" s="768"/>
      <c r="U9" s="768"/>
      <c r="V9" s="768"/>
      <c r="W9" s="769"/>
      <c r="X9" s="768"/>
      <c r="Y9" s="756"/>
      <c r="Z9" s="756"/>
      <c r="AA9" s="756"/>
      <c r="AB9" s="756"/>
      <c r="AC9" s="756"/>
      <c r="AD9" s="756"/>
      <c r="AE9" s="756"/>
      <c r="AF9" s="756"/>
      <c r="AG9" s="756"/>
      <c r="AH9" s="756"/>
      <c r="AI9" s="756"/>
      <c r="AJ9" s="756"/>
      <c r="AK9" s="756"/>
      <c r="AL9" s="756"/>
      <c r="AM9" s="756"/>
      <c r="AN9" s="756"/>
      <c r="AO9" s="756"/>
      <c r="AP9" s="756"/>
      <c r="AQ9" s="756"/>
      <c r="AR9" s="756"/>
      <c r="AS9" s="756"/>
      <c r="AT9" s="756"/>
      <c r="AU9" s="756"/>
      <c r="AV9" s="756"/>
      <c r="AW9" s="756"/>
      <c r="AX9" s="756"/>
      <c r="AY9" s="756"/>
      <c r="AZ9" s="756"/>
      <c r="BA9" s="756"/>
      <c r="BB9" s="756"/>
      <c r="BC9" s="756"/>
      <c r="BD9" s="756"/>
      <c r="BE9" s="756"/>
      <c r="BF9" s="756"/>
      <c r="BG9" s="756"/>
      <c r="BH9" s="756"/>
      <c r="BI9" s="756"/>
      <c r="BJ9" s="756"/>
      <c r="BK9" s="756"/>
      <c r="BL9" s="756"/>
      <c r="BM9" s="756"/>
      <c r="BN9" s="756"/>
      <c r="BO9" s="756"/>
      <c r="BP9" s="756"/>
      <c r="BQ9" s="756"/>
    </row>
    <row r="10" spans="1:71" s="757" customFormat="1" ht="13">
      <c r="A10" s="770"/>
      <c r="B10" s="770"/>
      <c r="C10" s="770"/>
      <c r="D10" s="770"/>
      <c r="E10" s="770"/>
      <c r="F10" s="770"/>
      <c r="G10" s="770"/>
      <c r="H10" s="770"/>
      <c r="I10" s="770"/>
      <c r="J10" s="770"/>
      <c r="K10" s="771"/>
      <c r="L10" s="768"/>
      <c r="M10" s="768"/>
      <c r="N10" s="768"/>
      <c r="O10" s="768"/>
      <c r="P10" s="768"/>
      <c r="Q10" s="768"/>
      <c r="R10" s="768"/>
      <c r="S10" s="768"/>
      <c r="T10" s="768"/>
      <c r="U10" s="768"/>
      <c r="V10" s="768"/>
      <c r="W10" s="768"/>
      <c r="X10" s="768"/>
      <c r="Y10" s="769"/>
      <c r="Z10" s="768"/>
      <c r="AA10" s="756"/>
      <c r="AB10" s="756"/>
      <c r="AC10" s="756"/>
      <c r="AD10" s="756"/>
      <c r="AE10" s="756"/>
      <c r="AF10" s="756"/>
      <c r="AG10" s="758"/>
      <c r="AH10" s="756"/>
      <c r="AI10" s="756"/>
      <c r="AJ10" s="756"/>
      <c r="AK10" s="756"/>
      <c r="AL10" s="756"/>
      <c r="AM10" s="756"/>
      <c r="AN10" s="756"/>
      <c r="AO10" s="756"/>
      <c r="AP10" s="756"/>
      <c r="AQ10" s="756"/>
      <c r="AR10" s="756"/>
      <c r="AS10" s="756"/>
      <c r="AT10" s="756"/>
      <c r="AU10" s="756"/>
      <c r="AV10" s="756"/>
      <c r="AW10" s="756"/>
      <c r="AX10" s="756"/>
      <c r="AY10" s="756"/>
      <c r="AZ10" s="756"/>
      <c r="BA10" s="756"/>
      <c r="BB10" s="756"/>
      <c r="BC10" s="756"/>
      <c r="BD10" s="756"/>
      <c r="BE10" s="756"/>
      <c r="BF10" s="756"/>
      <c r="BG10" s="756"/>
      <c r="BH10" s="756"/>
      <c r="BI10" s="756"/>
      <c r="BJ10" s="756"/>
      <c r="BK10" s="756"/>
      <c r="BL10" s="756"/>
      <c r="BM10" s="756"/>
      <c r="BN10" s="756"/>
      <c r="BO10" s="756"/>
      <c r="BP10" s="756"/>
      <c r="BQ10" s="756"/>
      <c r="BR10" s="756"/>
      <c r="BS10" s="756"/>
    </row>
    <row r="11" spans="1:71" s="757" customFormat="1" ht="103.15" customHeight="1">
      <c r="A11" s="3100" t="s">
        <v>7613</v>
      </c>
      <c r="B11" s="3101"/>
      <c r="C11" s="3101"/>
      <c r="D11" s="3101"/>
      <c r="E11" s="3101"/>
      <c r="F11" s="3101"/>
      <c r="G11" s="3101"/>
      <c r="H11" s="3101"/>
      <c r="I11" s="3101"/>
      <c r="J11" s="3101"/>
      <c r="K11" s="3101"/>
      <c r="L11" s="3101"/>
      <c r="M11" s="3101"/>
      <c r="N11" s="3102"/>
      <c r="O11" s="768"/>
      <c r="P11" s="768"/>
      <c r="Q11" s="768"/>
      <c r="R11" s="768"/>
      <c r="S11" s="768"/>
      <c r="T11" s="768"/>
      <c r="U11" s="768"/>
      <c r="V11" s="768"/>
      <c r="W11" s="768"/>
      <c r="X11" s="768"/>
      <c r="Y11" s="769"/>
      <c r="Z11" s="768"/>
      <c r="AA11" s="756"/>
      <c r="AB11" s="756"/>
      <c r="AC11" s="756"/>
      <c r="AD11" s="756"/>
      <c r="AE11" s="756"/>
      <c r="AF11" s="756"/>
      <c r="AG11" s="758"/>
      <c r="AH11" s="756"/>
      <c r="AI11" s="756"/>
      <c r="AJ11" s="756"/>
      <c r="AK11" s="756"/>
      <c r="AL11" s="756"/>
      <c r="AM11" s="756"/>
      <c r="AN11" s="756"/>
      <c r="AO11" s="756"/>
      <c r="AP11" s="756"/>
      <c r="AQ11" s="756"/>
      <c r="AR11" s="756"/>
      <c r="AS11" s="756"/>
      <c r="AT11" s="756"/>
      <c r="AU11" s="756"/>
      <c r="AV11" s="756"/>
      <c r="AW11" s="756"/>
      <c r="AX11" s="756"/>
      <c r="AY11" s="756"/>
      <c r="AZ11" s="756"/>
      <c r="BA11" s="756"/>
      <c r="BB11" s="756"/>
      <c r="BC11" s="756"/>
      <c r="BD11" s="756"/>
      <c r="BE11" s="756"/>
      <c r="BF11" s="756"/>
      <c r="BG11" s="756"/>
      <c r="BH11" s="756"/>
      <c r="BI11" s="756"/>
      <c r="BJ11" s="756"/>
      <c r="BK11" s="756"/>
      <c r="BL11" s="756"/>
      <c r="BM11" s="756"/>
      <c r="BN11" s="756"/>
      <c r="BO11" s="756"/>
      <c r="BP11" s="756"/>
      <c r="BQ11" s="756"/>
      <c r="BR11" s="756"/>
      <c r="BS11" s="756"/>
    </row>
    <row r="12" spans="1:71" s="757" customFormat="1" ht="13.5" thickBot="1">
      <c r="A12" s="774"/>
      <c r="B12" s="774"/>
      <c r="C12" s="774"/>
      <c r="D12" s="774"/>
      <c r="E12" s="774"/>
      <c r="F12" s="775"/>
      <c r="G12" s="776"/>
      <c r="H12" s="776"/>
      <c r="I12" s="776"/>
      <c r="J12" s="776"/>
      <c r="K12" s="775"/>
      <c r="L12" s="777"/>
      <c r="M12" s="777"/>
      <c r="N12" s="777"/>
      <c r="O12" s="777"/>
      <c r="P12" s="777"/>
      <c r="Q12" s="777"/>
      <c r="R12" s="777"/>
      <c r="S12" s="777"/>
      <c r="T12" s="777"/>
      <c r="U12" s="777"/>
      <c r="V12" s="777"/>
      <c r="W12" s="777"/>
      <c r="X12" s="777"/>
      <c r="Y12" s="777"/>
      <c r="Z12" s="777"/>
      <c r="AA12" s="778"/>
      <c r="AB12" s="756"/>
      <c r="AC12" s="756"/>
      <c r="AD12" s="756"/>
      <c r="AE12" s="756"/>
      <c r="AF12" s="756"/>
      <c r="AG12" s="758"/>
      <c r="AH12" s="756"/>
      <c r="AI12" s="756"/>
      <c r="AJ12" s="756"/>
      <c r="AK12" s="756"/>
      <c r="AL12" s="756"/>
      <c r="AM12" s="756"/>
      <c r="AN12" s="756"/>
      <c r="AO12" s="756"/>
      <c r="AP12" s="756"/>
      <c r="AQ12" s="756"/>
      <c r="AR12" s="756"/>
      <c r="AS12" s="756"/>
      <c r="AT12" s="756"/>
      <c r="AU12" s="756"/>
      <c r="AV12" s="756"/>
      <c r="AW12" s="756"/>
      <c r="AX12" s="756"/>
      <c r="AY12" s="756"/>
      <c r="AZ12" s="756"/>
      <c r="BA12" s="756"/>
      <c r="BB12" s="756"/>
      <c r="BC12" s="756"/>
      <c r="BD12" s="756"/>
      <c r="BE12" s="756"/>
      <c r="BF12" s="756"/>
      <c r="BG12" s="756"/>
      <c r="BH12" s="756"/>
      <c r="BI12" s="756"/>
      <c r="BJ12" s="756"/>
      <c r="BK12" s="756"/>
      <c r="BL12" s="756"/>
      <c r="BM12" s="756"/>
      <c r="BN12" s="756"/>
      <c r="BO12" s="756"/>
      <c r="BP12" s="756"/>
      <c r="BQ12" s="756"/>
      <c r="BR12" s="756"/>
      <c r="BS12" s="756"/>
    </row>
    <row r="13" spans="1:71" s="755" customFormat="1" ht="21" customHeight="1">
      <c r="A13" s="3075" t="s">
        <v>606</v>
      </c>
      <c r="B13" s="3076"/>
      <c r="C13" s="3076"/>
      <c r="D13" s="3077"/>
      <c r="E13" s="3081" t="s">
        <v>607</v>
      </c>
      <c r="F13" s="3081"/>
      <c r="G13" s="3081"/>
      <c r="H13" s="3081"/>
      <c r="I13" s="3082"/>
      <c r="J13" s="2942" t="str">
        <f>'HPM costs'!F12</f>
        <v>Please fill setup</v>
      </c>
      <c r="K13" s="2943"/>
      <c r="L13" s="2943"/>
      <c r="M13" s="2943"/>
      <c r="N13" s="2944"/>
      <c r="O13" s="2943" t="str">
        <f>'HPM costs'!K12</f>
        <v>Please fill setup</v>
      </c>
      <c r="P13" s="2943"/>
      <c r="Q13" s="2943"/>
      <c r="R13" s="2943"/>
      <c r="S13" s="2943"/>
      <c r="T13" s="2942" t="str">
        <f>'HPM costs'!P12</f>
        <v>Please fill setup</v>
      </c>
      <c r="U13" s="2943"/>
      <c r="V13" s="2943"/>
      <c r="W13" s="2943"/>
      <c r="X13" s="2944"/>
      <c r="Y13" s="1335" t="s">
        <v>593</v>
      </c>
      <c r="Z13" s="1336"/>
      <c r="AA13" s="753"/>
      <c r="AB13" s="753"/>
      <c r="AC13" s="753"/>
      <c r="AD13" s="753"/>
      <c r="AE13" s="753"/>
      <c r="AF13" s="753"/>
      <c r="AG13" s="753"/>
      <c r="AH13" s="753"/>
      <c r="AI13" s="754"/>
      <c r="AJ13" s="753"/>
      <c r="AK13" s="753"/>
      <c r="AL13" s="753"/>
      <c r="AM13" s="753"/>
      <c r="AN13" s="753"/>
      <c r="AO13" s="753"/>
      <c r="AP13" s="753"/>
      <c r="AQ13" s="753"/>
      <c r="AR13" s="753"/>
      <c r="AS13" s="753"/>
      <c r="AT13" s="753"/>
      <c r="AU13" s="753"/>
      <c r="AV13" s="753"/>
      <c r="AW13" s="753"/>
      <c r="AX13" s="753"/>
      <c r="AY13" s="753"/>
      <c r="AZ13" s="753"/>
      <c r="BA13" s="753"/>
      <c r="BB13" s="753"/>
      <c r="BC13" s="753"/>
      <c r="BD13" s="753"/>
      <c r="BE13" s="753"/>
      <c r="BF13" s="753"/>
      <c r="BG13" s="753"/>
      <c r="BH13" s="753"/>
      <c r="BI13" s="753"/>
      <c r="BJ13" s="753"/>
      <c r="BK13" s="753"/>
      <c r="BL13" s="753"/>
      <c r="BM13" s="753"/>
      <c r="BN13" s="753"/>
      <c r="BO13" s="753"/>
      <c r="BP13" s="753"/>
      <c r="BQ13" s="753"/>
      <c r="BR13" s="753"/>
      <c r="BS13" s="753"/>
    </row>
    <row r="14" spans="1:71" s="70" customFormat="1" ht="21.75" customHeight="1" thickBot="1">
      <c r="A14" s="3078"/>
      <c r="B14" s="3079"/>
      <c r="C14" s="3079"/>
      <c r="D14" s="3080"/>
      <c r="E14" s="3083"/>
      <c r="F14" s="3083"/>
      <c r="G14" s="3083"/>
      <c r="H14" s="3083"/>
      <c r="I14" s="3084"/>
      <c r="J14" s="348" t="s">
        <v>182</v>
      </c>
      <c r="K14" s="599" t="s">
        <v>308</v>
      </c>
      <c r="L14" s="599" t="s">
        <v>183</v>
      </c>
      <c r="M14" s="599" t="s">
        <v>184</v>
      </c>
      <c r="N14" s="600" t="s">
        <v>594</v>
      </c>
      <c r="O14" s="599" t="s">
        <v>185</v>
      </c>
      <c r="P14" s="599" t="s">
        <v>186</v>
      </c>
      <c r="Q14" s="599" t="s">
        <v>187</v>
      </c>
      <c r="R14" s="599" t="s">
        <v>188</v>
      </c>
      <c r="S14" s="599" t="s">
        <v>595</v>
      </c>
      <c r="T14" s="348" t="s">
        <v>189</v>
      </c>
      <c r="U14" s="599" t="s">
        <v>190</v>
      </c>
      <c r="V14" s="599" t="s">
        <v>191</v>
      </c>
      <c r="W14" s="599" t="s">
        <v>192</v>
      </c>
      <c r="X14" s="600" t="s">
        <v>596</v>
      </c>
      <c r="Y14" s="349" t="s">
        <v>176</v>
      </c>
      <c r="Z14" s="361"/>
      <c r="AA14" s="360"/>
      <c r="AB14" s="360"/>
      <c r="AC14" s="360"/>
      <c r="AD14" s="360"/>
      <c r="AE14" s="360"/>
      <c r="AF14" s="360"/>
      <c r="AG14" s="360"/>
      <c r="AH14" s="360"/>
      <c r="AI14" s="360"/>
      <c r="AJ14" s="360"/>
      <c r="AK14" s="360"/>
      <c r="AL14" s="360"/>
      <c r="AM14" s="360"/>
      <c r="AN14" s="360"/>
      <c r="AO14" s="360"/>
      <c r="AP14" s="360"/>
      <c r="AQ14" s="360"/>
      <c r="AR14" s="360"/>
      <c r="AS14" s="360"/>
      <c r="AT14" s="360"/>
      <c r="AU14" s="360"/>
      <c r="AV14" s="360"/>
      <c r="AW14" s="360"/>
      <c r="AX14" s="360"/>
      <c r="AY14" s="360"/>
      <c r="AZ14" s="360"/>
      <c r="BA14" s="360"/>
      <c r="BB14" s="360"/>
      <c r="BC14" s="360"/>
      <c r="BD14" s="360"/>
      <c r="BE14" s="360"/>
      <c r="BF14" s="360"/>
      <c r="BG14" s="360"/>
      <c r="BH14" s="360"/>
      <c r="BI14" s="360"/>
      <c r="BJ14" s="360"/>
      <c r="BK14" s="360"/>
      <c r="BL14" s="360"/>
      <c r="BM14" s="360"/>
      <c r="BN14" s="360"/>
      <c r="BO14" s="360"/>
      <c r="BP14" s="360"/>
      <c r="BQ14" s="360"/>
      <c r="BR14" s="360"/>
      <c r="BS14" s="360"/>
    </row>
    <row r="15" spans="1:71" s="757" customFormat="1" ht="13">
      <c r="A15" s="3070"/>
      <c r="B15" s="3071"/>
      <c r="C15" s="3071"/>
      <c r="D15" s="3072"/>
      <c r="E15" s="3073"/>
      <c r="F15" s="3073"/>
      <c r="G15" s="3073"/>
      <c r="H15" s="3073"/>
      <c r="I15" s="3074"/>
      <c r="J15" s="779"/>
      <c r="K15" s="780"/>
      <c r="L15" s="780"/>
      <c r="M15" s="780"/>
      <c r="N15" s="781">
        <f>SUM(Table45464849[[#This Row],[Y1 Q1 cost]:[Y1 Q4 cost]])</f>
        <v>0</v>
      </c>
      <c r="O15" s="780"/>
      <c r="P15" s="780"/>
      <c r="Q15" s="780"/>
      <c r="R15" s="780"/>
      <c r="S15" s="782">
        <f>SUM(Table45464849[[#This Row],[Y2 Q1 cost]:[Y2 Q4 cost]])</f>
        <v>0</v>
      </c>
      <c r="T15" s="779"/>
      <c r="U15" s="780"/>
      <c r="V15" s="780"/>
      <c r="W15" s="780"/>
      <c r="X15" s="781">
        <f>SUM(Table45464849[[#This Row],[Y3 Q1 cost]:[Y3 Q4 cost]])</f>
        <v>0</v>
      </c>
      <c r="Y15" s="783">
        <f>Table45464849[[#This Row],[Y1 total cost]]+Table45464849[[#This Row],[Y2 total cost]]+Table45464849[[#This Row],[Y3 total cost]]</f>
        <v>0</v>
      </c>
      <c r="Z15" s="761"/>
      <c r="AA15" s="756"/>
      <c r="AB15" s="756"/>
      <c r="AC15" s="756"/>
      <c r="AD15" s="756"/>
      <c r="AE15" s="756"/>
      <c r="AF15" s="756"/>
      <c r="AG15" s="756"/>
      <c r="AH15" s="756"/>
      <c r="AI15" s="758"/>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6"/>
      <c r="BJ15" s="756"/>
      <c r="BK15" s="756"/>
      <c r="BL15" s="756"/>
      <c r="BM15" s="756"/>
      <c r="BN15" s="756"/>
      <c r="BO15" s="756"/>
      <c r="BP15" s="756"/>
      <c r="BQ15" s="756"/>
      <c r="BR15" s="756"/>
      <c r="BS15" s="756"/>
    </row>
    <row r="16" spans="1:71" s="757" customFormat="1" ht="13">
      <c r="A16" s="3085"/>
      <c r="B16" s="3086"/>
      <c r="C16" s="3086"/>
      <c r="D16" s="3087"/>
      <c r="E16" s="3068"/>
      <c r="F16" s="3068"/>
      <c r="G16" s="3068"/>
      <c r="H16" s="3068"/>
      <c r="I16" s="3069"/>
      <c r="J16" s="779"/>
      <c r="K16" s="780"/>
      <c r="L16" s="780"/>
      <c r="M16" s="780"/>
      <c r="N16" s="781">
        <f>SUM(Table45464849[[#This Row],[Y1 Q1 cost]:[Y1 Q4 cost]])</f>
        <v>0</v>
      </c>
      <c r="O16" s="780"/>
      <c r="P16" s="780"/>
      <c r="Q16" s="780"/>
      <c r="R16" s="780"/>
      <c r="S16" s="782">
        <f>SUM(Table45464849[[#This Row],[Y2 Q1 cost]:[Y2 Q4 cost]])</f>
        <v>0</v>
      </c>
      <c r="T16" s="779"/>
      <c r="U16" s="780"/>
      <c r="V16" s="780"/>
      <c r="W16" s="780"/>
      <c r="X16" s="781">
        <f>SUM(Table45464849[[#This Row],[Y3 Q1 cost]:[Y3 Q4 cost]])</f>
        <v>0</v>
      </c>
      <c r="Y16" s="783">
        <f>Table45464849[[#This Row],[Y1 total cost]]+Table45464849[[#This Row],[Y2 total cost]]+Table45464849[[#This Row],[Y3 total cost]]</f>
        <v>0</v>
      </c>
      <c r="Z16" s="761"/>
      <c r="AA16" s="756"/>
      <c r="AB16" s="756"/>
      <c r="AC16" s="756"/>
      <c r="AD16" s="756"/>
      <c r="AE16" s="756"/>
      <c r="AF16" s="756"/>
      <c r="AG16" s="756"/>
      <c r="AH16" s="756"/>
      <c r="AI16" s="758"/>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6"/>
      <c r="BJ16" s="756"/>
      <c r="BK16" s="756"/>
      <c r="BL16" s="756"/>
      <c r="BM16" s="756"/>
      <c r="BN16" s="756"/>
      <c r="BO16" s="756"/>
      <c r="BP16" s="756"/>
      <c r="BQ16" s="756"/>
      <c r="BR16" s="756"/>
      <c r="BS16" s="756"/>
    </row>
    <row r="17" spans="1:71" s="757" customFormat="1" ht="13">
      <c r="A17" s="3070"/>
      <c r="B17" s="3071"/>
      <c r="C17" s="3071"/>
      <c r="D17" s="3072"/>
      <c r="E17" s="3073"/>
      <c r="F17" s="3073"/>
      <c r="G17" s="3073"/>
      <c r="H17" s="3073"/>
      <c r="I17" s="3074"/>
      <c r="J17" s="779"/>
      <c r="K17" s="780"/>
      <c r="L17" s="780"/>
      <c r="M17" s="780"/>
      <c r="N17" s="781">
        <f>SUM(Table45464849[[#This Row],[Y1 Q1 cost]:[Y1 Q4 cost]])</f>
        <v>0</v>
      </c>
      <c r="O17" s="780"/>
      <c r="P17" s="780"/>
      <c r="Q17" s="780"/>
      <c r="R17" s="780"/>
      <c r="S17" s="782">
        <f>SUM(Table45464849[[#This Row],[Y2 Q1 cost]:[Y2 Q4 cost]])</f>
        <v>0</v>
      </c>
      <c r="T17" s="779"/>
      <c r="U17" s="780"/>
      <c r="V17" s="780"/>
      <c r="W17" s="780"/>
      <c r="X17" s="781">
        <f>SUM(Table45464849[[#This Row],[Y3 Q1 cost]:[Y3 Q4 cost]])</f>
        <v>0</v>
      </c>
      <c r="Y17" s="782">
        <f>Table45464849[[#This Row],[Y1 total cost]]+Table45464849[[#This Row],[Y2 total cost]]+Table45464849[[#This Row],[Y3 total cost]]</f>
        <v>0</v>
      </c>
      <c r="Z17" s="761"/>
      <c r="AA17" s="756"/>
      <c r="AB17" s="756"/>
      <c r="AC17" s="756"/>
      <c r="AD17" s="756"/>
      <c r="AE17" s="756"/>
      <c r="AF17" s="756"/>
      <c r="AG17" s="756"/>
      <c r="AH17" s="756"/>
      <c r="AI17" s="758"/>
      <c r="AJ17" s="756"/>
      <c r="AK17" s="756"/>
      <c r="AL17" s="756"/>
      <c r="AM17" s="756"/>
      <c r="AN17" s="756"/>
      <c r="AO17" s="756"/>
      <c r="AP17" s="756"/>
      <c r="AQ17" s="756"/>
      <c r="AR17" s="756"/>
      <c r="AS17" s="756"/>
      <c r="AT17" s="756"/>
      <c r="AU17" s="756"/>
      <c r="AV17" s="756"/>
      <c r="AW17" s="756"/>
      <c r="AX17" s="756"/>
      <c r="AY17" s="756"/>
      <c r="AZ17" s="756"/>
      <c r="BA17" s="756"/>
      <c r="BB17" s="756"/>
      <c r="BC17" s="756"/>
      <c r="BD17" s="756"/>
      <c r="BE17" s="756"/>
      <c r="BF17" s="756"/>
      <c r="BG17" s="756"/>
      <c r="BH17" s="756"/>
      <c r="BI17" s="756"/>
      <c r="BJ17" s="756"/>
      <c r="BK17" s="756"/>
      <c r="BL17" s="756"/>
      <c r="BM17" s="756"/>
      <c r="BN17" s="756"/>
      <c r="BO17" s="756"/>
      <c r="BP17" s="756"/>
      <c r="BQ17" s="756"/>
      <c r="BR17" s="756"/>
      <c r="BS17" s="756"/>
    </row>
    <row r="18" spans="1:71" s="757" customFormat="1" ht="13">
      <c r="A18" s="3085"/>
      <c r="B18" s="3086"/>
      <c r="C18" s="3086"/>
      <c r="D18" s="3087"/>
      <c r="E18" s="3068"/>
      <c r="F18" s="3068"/>
      <c r="G18" s="3068"/>
      <c r="H18" s="3068"/>
      <c r="I18" s="3069"/>
      <c r="J18" s="779"/>
      <c r="K18" s="784"/>
      <c r="L18" s="784"/>
      <c r="M18" s="784"/>
      <c r="N18" s="781">
        <f>SUM(Table45464849[[#This Row],[Y1 Q1 cost]:[Y1 Q4 cost]])</f>
        <v>0</v>
      </c>
      <c r="O18" s="784"/>
      <c r="P18" s="784"/>
      <c r="Q18" s="784"/>
      <c r="R18" s="784"/>
      <c r="S18" s="783">
        <f>SUM(Table45464849[[#This Row],[Y2 Q1 cost]:[Y2 Q4 cost]])</f>
        <v>0</v>
      </c>
      <c r="T18" s="779"/>
      <c r="U18" s="784"/>
      <c r="V18" s="784"/>
      <c r="W18" s="784"/>
      <c r="X18" s="781">
        <f>SUM(Table45464849[[#This Row],[Y3 Q1 cost]:[Y3 Q4 cost]])</f>
        <v>0</v>
      </c>
      <c r="Y18" s="783">
        <f>Table45464849[[#This Row],[Y1 total cost]]+Table45464849[[#This Row],[Y2 total cost]]+Table45464849[[#This Row],[Y3 total cost]]</f>
        <v>0</v>
      </c>
      <c r="Z18" s="761"/>
      <c r="AA18" s="756"/>
      <c r="AB18" s="756"/>
      <c r="AC18" s="756"/>
      <c r="AD18" s="756"/>
      <c r="AE18" s="756"/>
      <c r="AF18" s="756"/>
      <c r="AG18" s="756"/>
      <c r="AH18" s="756"/>
      <c r="AI18" s="758"/>
      <c r="AJ18" s="756"/>
      <c r="AK18" s="756"/>
      <c r="AL18" s="756"/>
      <c r="AM18" s="756"/>
      <c r="AN18" s="756"/>
      <c r="AO18" s="756"/>
      <c r="AP18" s="756"/>
      <c r="AQ18" s="756"/>
      <c r="AR18" s="756"/>
      <c r="AS18" s="756"/>
      <c r="AT18" s="756"/>
      <c r="AU18" s="756"/>
      <c r="AV18" s="756"/>
      <c r="AW18" s="756"/>
      <c r="AX18" s="756"/>
      <c r="AY18" s="756"/>
      <c r="AZ18" s="756"/>
      <c r="BA18" s="756"/>
      <c r="BB18" s="756"/>
      <c r="BC18" s="756"/>
      <c r="BD18" s="756"/>
      <c r="BE18" s="756"/>
      <c r="BF18" s="756"/>
      <c r="BG18" s="756"/>
      <c r="BH18" s="756"/>
      <c r="BI18" s="756"/>
      <c r="BJ18" s="756"/>
      <c r="BK18" s="756"/>
      <c r="BL18" s="756"/>
      <c r="BM18" s="756"/>
      <c r="BN18" s="756"/>
      <c r="BO18" s="756"/>
      <c r="BP18" s="756"/>
      <c r="BQ18" s="756"/>
      <c r="BR18" s="756"/>
      <c r="BS18" s="756"/>
    </row>
    <row r="19" spans="1:71" s="757" customFormat="1" ht="13">
      <c r="A19" s="3070"/>
      <c r="B19" s="3071"/>
      <c r="C19" s="3071"/>
      <c r="D19" s="3072"/>
      <c r="E19" s="3073"/>
      <c r="F19" s="3073"/>
      <c r="G19" s="3073"/>
      <c r="H19" s="3073"/>
      <c r="I19" s="3074"/>
      <c r="J19" s="779"/>
      <c r="K19" s="784"/>
      <c r="L19" s="784"/>
      <c r="M19" s="784"/>
      <c r="N19" s="781">
        <f>SUM(Table45464849[[#This Row],[Y1 Q1 cost]:[Y1 Q4 cost]])</f>
        <v>0</v>
      </c>
      <c r="O19" s="784"/>
      <c r="P19" s="784"/>
      <c r="Q19" s="784"/>
      <c r="R19" s="784"/>
      <c r="S19" s="783">
        <f>SUM(Table45464849[[#This Row],[Y2 Q1 cost]:[Y2 Q4 cost]])</f>
        <v>0</v>
      </c>
      <c r="T19" s="779"/>
      <c r="U19" s="784"/>
      <c r="V19" s="784"/>
      <c r="W19" s="784"/>
      <c r="X19" s="781">
        <f>SUM(Table45464849[[#This Row],[Y3 Q1 cost]:[Y3 Q4 cost]])</f>
        <v>0</v>
      </c>
      <c r="Y19" s="781">
        <f>Table45464849[[#This Row],[Y1 total cost]]+Table45464849[[#This Row],[Y2 total cost]]+Table45464849[[#This Row],[Y3 total cost]]</f>
        <v>0</v>
      </c>
      <c r="Z19" s="761"/>
      <c r="AA19" s="756"/>
      <c r="AB19" s="756"/>
      <c r="AC19" s="756"/>
      <c r="AD19" s="756"/>
      <c r="AE19" s="756"/>
      <c r="AF19" s="756"/>
      <c r="AG19" s="756"/>
      <c r="AH19" s="756"/>
      <c r="AI19" s="758"/>
      <c r="AJ19" s="756"/>
      <c r="AK19" s="756"/>
      <c r="AL19" s="756"/>
      <c r="AM19" s="756"/>
      <c r="AN19" s="756"/>
      <c r="AO19" s="756"/>
      <c r="AP19" s="756"/>
      <c r="AQ19" s="756"/>
      <c r="AR19" s="756"/>
      <c r="AS19" s="756"/>
      <c r="AT19" s="756"/>
      <c r="AU19" s="756"/>
      <c r="AV19" s="756"/>
      <c r="AW19" s="756"/>
      <c r="AX19" s="756"/>
      <c r="AY19" s="756"/>
      <c r="AZ19" s="756"/>
      <c r="BA19" s="756"/>
      <c r="BB19" s="756"/>
      <c r="BC19" s="756"/>
      <c r="BD19" s="756"/>
      <c r="BE19" s="756"/>
      <c r="BF19" s="756"/>
      <c r="BG19" s="756"/>
      <c r="BH19" s="756"/>
      <c r="BI19" s="756"/>
      <c r="BJ19" s="756"/>
      <c r="BK19" s="756"/>
      <c r="BL19" s="756"/>
      <c r="BM19" s="756"/>
      <c r="BN19" s="756"/>
      <c r="BO19" s="756"/>
      <c r="BP19" s="756"/>
      <c r="BQ19" s="756"/>
      <c r="BR19" s="756"/>
      <c r="BS19" s="756"/>
    </row>
    <row r="20" spans="1:71" s="757" customFormat="1" ht="13">
      <c r="A20" s="3085"/>
      <c r="B20" s="3086"/>
      <c r="C20" s="3086"/>
      <c r="D20" s="3087"/>
      <c r="E20" s="3068"/>
      <c r="F20" s="3068"/>
      <c r="G20" s="3068"/>
      <c r="H20" s="3068"/>
      <c r="I20" s="3069"/>
      <c r="J20" s="779"/>
      <c r="K20" s="784"/>
      <c r="L20" s="784"/>
      <c r="M20" s="784"/>
      <c r="N20" s="781">
        <f>SUM(Table45464849[[#This Row],[Y1 Q1 cost]:[Y1 Q4 cost]])</f>
        <v>0</v>
      </c>
      <c r="O20" s="784"/>
      <c r="P20" s="784"/>
      <c r="Q20" s="784"/>
      <c r="R20" s="784"/>
      <c r="S20" s="783">
        <f>SUM(Table45464849[[#This Row],[Y2 Q1 cost]:[Y2 Q4 cost]])</f>
        <v>0</v>
      </c>
      <c r="T20" s="779"/>
      <c r="U20" s="784"/>
      <c r="V20" s="784"/>
      <c r="W20" s="784"/>
      <c r="X20" s="781">
        <f>SUM(Table45464849[[#This Row],[Y3 Q1 cost]:[Y3 Q4 cost]])</f>
        <v>0</v>
      </c>
      <c r="Y20" s="781">
        <f>Table45464849[[#This Row],[Y1 total cost]]+Table45464849[[#This Row],[Y2 total cost]]+Table45464849[[#This Row],[Y3 total cost]]</f>
        <v>0</v>
      </c>
      <c r="Z20" s="761"/>
      <c r="AA20" s="756"/>
      <c r="AB20" s="756"/>
      <c r="AC20" s="756"/>
      <c r="AD20" s="756"/>
      <c r="AE20" s="756"/>
      <c r="AF20" s="756"/>
      <c r="AG20" s="756"/>
      <c r="AH20" s="756"/>
      <c r="AI20" s="758"/>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6"/>
      <c r="BJ20" s="756"/>
      <c r="BK20" s="756"/>
      <c r="BL20" s="756"/>
      <c r="BM20" s="756"/>
      <c r="BN20" s="756"/>
      <c r="BO20" s="756"/>
      <c r="BP20" s="756"/>
      <c r="BQ20" s="756"/>
      <c r="BR20" s="756"/>
      <c r="BS20" s="756"/>
    </row>
    <row r="21" spans="1:71" s="757" customFormat="1" ht="13">
      <c r="A21" s="3070"/>
      <c r="B21" s="3071"/>
      <c r="C21" s="3071"/>
      <c r="D21" s="3072"/>
      <c r="E21" s="3073"/>
      <c r="F21" s="3073"/>
      <c r="G21" s="3073"/>
      <c r="H21" s="3073"/>
      <c r="I21" s="3074"/>
      <c r="J21" s="779"/>
      <c r="K21" s="784"/>
      <c r="L21" s="784"/>
      <c r="M21" s="784"/>
      <c r="N21" s="781">
        <f>SUM(Table45464849[[#This Row],[Y1 Q1 cost]:[Y1 Q4 cost]])</f>
        <v>0</v>
      </c>
      <c r="O21" s="784"/>
      <c r="P21" s="784"/>
      <c r="Q21" s="784"/>
      <c r="R21" s="784"/>
      <c r="S21" s="783">
        <f>SUM(Table45464849[[#This Row],[Y2 Q1 cost]:[Y2 Q4 cost]])</f>
        <v>0</v>
      </c>
      <c r="T21" s="779"/>
      <c r="U21" s="784"/>
      <c r="V21" s="784"/>
      <c r="W21" s="784"/>
      <c r="X21" s="781">
        <f>SUM(Table45464849[[#This Row],[Y3 Q1 cost]:[Y3 Q4 cost]])</f>
        <v>0</v>
      </c>
      <c r="Y21" s="781">
        <f>Table45464849[[#This Row],[Y1 total cost]]+Table45464849[[#This Row],[Y2 total cost]]+Table45464849[[#This Row],[Y3 total cost]]</f>
        <v>0</v>
      </c>
      <c r="Z21" s="761"/>
      <c r="AA21" s="756"/>
      <c r="AB21" s="756"/>
      <c r="AC21" s="756"/>
      <c r="AD21" s="756"/>
      <c r="AE21" s="756"/>
      <c r="AF21" s="756"/>
      <c r="AG21" s="756"/>
      <c r="AH21" s="756"/>
      <c r="AI21" s="758"/>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row>
    <row r="22" spans="1:71" s="757" customFormat="1" ht="13">
      <c r="A22" s="3085"/>
      <c r="B22" s="3086"/>
      <c r="C22" s="3086"/>
      <c r="D22" s="3087"/>
      <c r="E22" s="3068"/>
      <c r="F22" s="3068"/>
      <c r="G22" s="3068"/>
      <c r="H22" s="3068"/>
      <c r="I22" s="3069"/>
      <c r="J22" s="779"/>
      <c r="K22" s="784"/>
      <c r="L22" s="784"/>
      <c r="M22" s="784"/>
      <c r="N22" s="781">
        <f>SUM(Table45464849[[#This Row],[Y1 Q1 cost]:[Y1 Q4 cost]])</f>
        <v>0</v>
      </c>
      <c r="O22" s="784"/>
      <c r="P22" s="784"/>
      <c r="Q22" s="784"/>
      <c r="R22" s="784"/>
      <c r="S22" s="783">
        <f>SUM(Table45464849[[#This Row],[Y2 Q1 cost]:[Y2 Q4 cost]])</f>
        <v>0</v>
      </c>
      <c r="T22" s="779"/>
      <c r="U22" s="784"/>
      <c r="V22" s="784"/>
      <c r="W22" s="784"/>
      <c r="X22" s="781">
        <f>SUM(Table45464849[[#This Row],[Y3 Q1 cost]:[Y3 Q4 cost]])</f>
        <v>0</v>
      </c>
      <c r="Y22" s="781">
        <f>Table45464849[[#This Row],[Y1 total cost]]+Table45464849[[#This Row],[Y2 total cost]]+Table45464849[[#This Row],[Y3 total cost]]</f>
        <v>0</v>
      </c>
      <c r="Z22" s="761"/>
      <c r="AA22" s="756"/>
      <c r="AB22" s="756"/>
      <c r="AC22" s="756"/>
      <c r="AD22" s="756"/>
      <c r="AE22" s="756"/>
      <c r="AF22" s="756"/>
      <c r="AG22" s="756"/>
      <c r="AH22" s="756"/>
      <c r="AI22" s="758"/>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row>
    <row r="23" spans="1:71" s="757" customFormat="1" ht="13">
      <c r="A23" s="3070"/>
      <c r="B23" s="3071"/>
      <c r="C23" s="3071"/>
      <c r="D23" s="3072"/>
      <c r="E23" s="3073"/>
      <c r="F23" s="3073"/>
      <c r="G23" s="3073"/>
      <c r="H23" s="3073"/>
      <c r="I23" s="3074"/>
      <c r="J23" s="779"/>
      <c r="K23" s="784"/>
      <c r="L23" s="784"/>
      <c r="M23" s="784"/>
      <c r="N23" s="781">
        <f>SUM(Table45464849[[#This Row],[Y1 Q1 cost]:[Y1 Q4 cost]])</f>
        <v>0</v>
      </c>
      <c r="O23" s="784"/>
      <c r="P23" s="784"/>
      <c r="Q23" s="784"/>
      <c r="R23" s="784"/>
      <c r="S23" s="783">
        <f>SUM(Table45464849[[#This Row],[Y2 Q1 cost]:[Y2 Q4 cost]])</f>
        <v>0</v>
      </c>
      <c r="T23" s="779"/>
      <c r="U23" s="784"/>
      <c r="V23" s="784"/>
      <c r="W23" s="784"/>
      <c r="X23" s="781">
        <f>SUM(Table45464849[[#This Row],[Y3 Q1 cost]:[Y3 Q4 cost]])</f>
        <v>0</v>
      </c>
      <c r="Y23" s="781">
        <f>Table45464849[[#This Row],[Y1 total cost]]+Table45464849[[#This Row],[Y2 total cost]]+Table45464849[[#This Row],[Y3 total cost]]</f>
        <v>0</v>
      </c>
      <c r="Z23" s="761"/>
      <c r="AA23" s="756"/>
      <c r="AB23" s="756"/>
      <c r="AC23" s="756"/>
      <c r="AD23" s="756"/>
      <c r="AE23" s="756"/>
      <c r="AF23" s="756"/>
      <c r="AG23" s="756"/>
      <c r="AH23" s="756"/>
      <c r="AI23" s="758"/>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756"/>
      <c r="BN23" s="756"/>
      <c r="BO23" s="756"/>
      <c r="BP23" s="756"/>
      <c r="BQ23" s="756"/>
      <c r="BR23" s="756"/>
      <c r="BS23" s="756"/>
    </row>
    <row r="24" spans="1:71" s="757" customFormat="1" ht="13">
      <c r="A24" s="3085"/>
      <c r="B24" s="3086"/>
      <c r="C24" s="3086"/>
      <c r="D24" s="3087"/>
      <c r="E24" s="3068"/>
      <c r="F24" s="3068"/>
      <c r="G24" s="3068"/>
      <c r="H24" s="3068"/>
      <c r="I24" s="3069"/>
      <c r="J24" s="779"/>
      <c r="K24" s="784"/>
      <c r="L24" s="784"/>
      <c r="M24" s="784"/>
      <c r="N24" s="781">
        <f>SUM(Table45464849[[#This Row],[Y1 Q1 cost]:[Y1 Q4 cost]])</f>
        <v>0</v>
      </c>
      <c r="O24" s="784"/>
      <c r="P24" s="784"/>
      <c r="Q24" s="784"/>
      <c r="R24" s="784"/>
      <c r="S24" s="783">
        <f>SUM(Table45464849[[#This Row],[Y2 Q1 cost]:[Y2 Q4 cost]])</f>
        <v>0</v>
      </c>
      <c r="T24" s="779"/>
      <c r="U24" s="784"/>
      <c r="V24" s="784"/>
      <c r="W24" s="784"/>
      <c r="X24" s="781">
        <f>SUM(Table45464849[[#This Row],[Y3 Q1 cost]:[Y3 Q4 cost]])</f>
        <v>0</v>
      </c>
      <c r="Y24" s="781">
        <f>Table45464849[[#This Row],[Y1 total cost]]+Table45464849[[#This Row],[Y2 total cost]]+Table45464849[[#This Row],[Y3 total cost]]</f>
        <v>0</v>
      </c>
      <c r="Z24" s="761"/>
      <c r="AA24" s="756"/>
      <c r="AB24" s="756"/>
      <c r="AC24" s="756"/>
      <c r="AD24" s="756"/>
      <c r="AE24" s="756"/>
      <c r="AF24" s="756"/>
      <c r="AG24" s="756"/>
      <c r="AH24" s="756"/>
      <c r="AI24" s="758"/>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56"/>
    </row>
    <row r="25" spans="1:71" s="757" customFormat="1" ht="13">
      <c r="A25" s="3070"/>
      <c r="B25" s="3071"/>
      <c r="C25" s="3071"/>
      <c r="D25" s="3072"/>
      <c r="E25" s="3073"/>
      <c r="F25" s="3073"/>
      <c r="G25" s="3073"/>
      <c r="H25" s="3073"/>
      <c r="I25" s="3074"/>
      <c r="J25" s="779"/>
      <c r="K25" s="784"/>
      <c r="L25" s="784"/>
      <c r="M25" s="784"/>
      <c r="N25" s="781">
        <f>SUM(Table45464849[[#This Row],[Y1 Q1 cost]:[Y1 Q4 cost]])</f>
        <v>0</v>
      </c>
      <c r="O25" s="784"/>
      <c r="P25" s="784"/>
      <c r="Q25" s="784"/>
      <c r="R25" s="784"/>
      <c r="S25" s="783">
        <f>SUM(Table45464849[[#This Row],[Y2 Q1 cost]:[Y2 Q4 cost]])</f>
        <v>0</v>
      </c>
      <c r="T25" s="779"/>
      <c r="U25" s="784"/>
      <c r="V25" s="784"/>
      <c r="W25" s="784"/>
      <c r="X25" s="781">
        <f>SUM(Table45464849[[#This Row],[Y3 Q1 cost]:[Y3 Q4 cost]])</f>
        <v>0</v>
      </c>
      <c r="Y25" s="781">
        <f>Table45464849[[#This Row],[Y1 total cost]]+Table45464849[[#This Row],[Y2 total cost]]+Table45464849[[#This Row],[Y3 total cost]]</f>
        <v>0</v>
      </c>
      <c r="Z25" s="761"/>
      <c r="AA25" s="756"/>
      <c r="AB25" s="756"/>
      <c r="AC25" s="756"/>
      <c r="AD25" s="756"/>
      <c r="AE25" s="756"/>
      <c r="AF25" s="756"/>
      <c r="AG25" s="756"/>
      <c r="AH25" s="756"/>
      <c r="AI25" s="758"/>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756"/>
      <c r="BN25" s="756"/>
      <c r="BO25" s="756"/>
      <c r="BP25" s="756"/>
      <c r="BQ25" s="756"/>
      <c r="BR25" s="756"/>
      <c r="BS25" s="756"/>
    </row>
    <row r="26" spans="1:71" s="757" customFormat="1" ht="13">
      <c r="A26" s="3085"/>
      <c r="B26" s="3086"/>
      <c r="C26" s="3086"/>
      <c r="D26" s="3087"/>
      <c r="E26" s="3068"/>
      <c r="F26" s="3068"/>
      <c r="G26" s="3068"/>
      <c r="H26" s="3068"/>
      <c r="I26" s="3069"/>
      <c r="J26" s="779"/>
      <c r="K26" s="784"/>
      <c r="L26" s="784"/>
      <c r="M26" s="784"/>
      <c r="N26" s="781">
        <f>SUM(Table45464849[[#This Row],[Y1 Q1 cost]:[Y1 Q4 cost]])</f>
        <v>0</v>
      </c>
      <c r="O26" s="784"/>
      <c r="P26" s="784"/>
      <c r="Q26" s="784"/>
      <c r="R26" s="784"/>
      <c r="S26" s="783">
        <f>SUM(Table45464849[[#This Row],[Y2 Q1 cost]:[Y2 Q4 cost]])</f>
        <v>0</v>
      </c>
      <c r="T26" s="779"/>
      <c r="U26" s="784"/>
      <c r="V26" s="784"/>
      <c r="W26" s="784"/>
      <c r="X26" s="781">
        <f>SUM(Table45464849[[#This Row],[Y3 Q1 cost]:[Y3 Q4 cost]])</f>
        <v>0</v>
      </c>
      <c r="Y26" s="781">
        <f>Table45464849[[#This Row],[Y1 total cost]]+Table45464849[[#This Row],[Y2 total cost]]+Table45464849[[#This Row],[Y3 total cost]]</f>
        <v>0</v>
      </c>
      <c r="Z26" s="761"/>
      <c r="AA26" s="756"/>
      <c r="AB26" s="756"/>
      <c r="AC26" s="756"/>
      <c r="AD26" s="756"/>
      <c r="AE26" s="756"/>
      <c r="AF26" s="756"/>
      <c r="AG26" s="756"/>
      <c r="AH26" s="756"/>
      <c r="AI26" s="758"/>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756"/>
      <c r="BN26" s="756"/>
      <c r="BO26" s="756"/>
      <c r="BP26" s="756"/>
      <c r="BQ26" s="756"/>
      <c r="BR26" s="756"/>
      <c r="BS26" s="756"/>
    </row>
    <row r="27" spans="1:71" s="757" customFormat="1" ht="13">
      <c r="A27" s="3070"/>
      <c r="B27" s="3071"/>
      <c r="C27" s="3071"/>
      <c r="D27" s="3072"/>
      <c r="E27" s="3073"/>
      <c r="F27" s="3073"/>
      <c r="G27" s="3073"/>
      <c r="H27" s="3073"/>
      <c r="I27" s="3074"/>
      <c r="J27" s="779"/>
      <c r="K27" s="784"/>
      <c r="L27" s="784"/>
      <c r="M27" s="784"/>
      <c r="N27" s="781">
        <f>SUM(Table45464849[[#This Row],[Y1 Q1 cost]:[Y1 Q4 cost]])</f>
        <v>0</v>
      </c>
      <c r="O27" s="784"/>
      <c r="P27" s="784"/>
      <c r="Q27" s="784"/>
      <c r="R27" s="784"/>
      <c r="S27" s="783">
        <f>SUM(Table45464849[[#This Row],[Y2 Q1 cost]:[Y2 Q4 cost]])</f>
        <v>0</v>
      </c>
      <c r="T27" s="779"/>
      <c r="U27" s="784"/>
      <c r="V27" s="784"/>
      <c r="W27" s="784"/>
      <c r="X27" s="781">
        <f>SUM(Table45464849[[#This Row],[Y3 Q1 cost]:[Y3 Q4 cost]])</f>
        <v>0</v>
      </c>
      <c r="Y27" s="781">
        <f>Table45464849[[#This Row],[Y1 total cost]]+Table45464849[[#This Row],[Y2 total cost]]+Table45464849[[#This Row],[Y3 total cost]]</f>
        <v>0</v>
      </c>
      <c r="Z27" s="761"/>
      <c r="AA27" s="756"/>
      <c r="AB27" s="756"/>
      <c r="AC27" s="756"/>
      <c r="AD27" s="756"/>
      <c r="AE27" s="756"/>
      <c r="AF27" s="756"/>
      <c r="AG27" s="756"/>
      <c r="AH27" s="756"/>
      <c r="AI27" s="758"/>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row>
    <row r="28" spans="1:71" s="757" customFormat="1" ht="13">
      <c r="A28" s="3085"/>
      <c r="B28" s="3086"/>
      <c r="C28" s="3086"/>
      <c r="D28" s="3087"/>
      <c r="E28" s="3068"/>
      <c r="F28" s="3068"/>
      <c r="G28" s="3068"/>
      <c r="H28" s="3068"/>
      <c r="I28" s="3069"/>
      <c r="J28" s="779"/>
      <c r="K28" s="784"/>
      <c r="L28" s="784"/>
      <c r="M28" s="784"/>
      <c r="N28" s="781">
        <f>SUM(Table45464849[[#This Row],[Y1 Q1 cost]:[Y1 Q4 cost]])</f>
        <v>0</v>
      </c>
      <c r="O28" s="784"/>
      <c r="P28" s="784"/>
      <c r="Q28" s="784"/>
      <c r="R28" s="784"/>
      <c r="S28" s="783">
        <f>SUM(Table45464849[[#This Row],[Y2 Q1 cost]:[Y2 Q4 cost]])</f>
        <v>0</v>
      </c>
      <c r="T28" s="779"/>
      <c r="U28" s="784"/>
      <c r="V28" s="784"/>
      <c r="W28" s="784"/>
      <c r="X28" s="781">
        <f>SUM(Table45464849[[#This Row],[Y3 Q1 cost]:[Y3 Q4 cost]])</f>
        <v>0</v>
      </c>
      <c r="Y28" s="781">
        <f>Table45464849[[#This Row],[Y1 total cost]]+Table45464849[[#This Row],[Y2 total cost]]+Table45464849[[#This Row],[Y3 total cost]]</f>
        <v>0</v>
      </c>
      <c r="Z28" s="761"/>
      <c r="AA28" s="756"/>
      <c r="AB28" s="756"/>
      <c r="AC28" s="756"/>
      <c r="AD28" s="756"/>
      <c r="AE28" s="756"/>
      <c r="AF28" s="756"/>
      <c r="AG28" s="756"/>
      <c r="AH28" s="756"/>
      <c r="AI28" s="758"/>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row>
    <row r="29" spans="1:71" s="757" customFormat="1" ht="13">
      <c r="A29" s="3070"/>
      <c r="B29" s="3071"/>
      <c r="C29" s="3071"/>
      <c r="D29" s="3072"/>
      <c r="E29" s="3073"/>
      <c r="F29" s="3073"/>
      <c r="G29" s="3073"/>
      <c r="H29" s="3073"/>
      <c r="I29" s="3074"/>
      <c r="J29" s="779"/>
      <c r="K29" s="784"/>
      <c r="L29" s="784"/>
      <c r="M29" s="784"/>
      <c r="N29" s="781">
        <f>SUM(Table45464849[[#This Row],[Y1 Q1 cost]:[Y1 Q4 cost]])</f>
        <v>0</v>
      </c>
      <c r="O29" s="784"/>
      <c r="P29" s="784"/>
      <c r="Q29" s="784"/>
      <c r="R29" s="784"/>
      <c r="S29" s="783">
        <f>SUM(Table45464849[[#This Row],[Y2 Q1 cost]:[Y2 Q4 cost]])</f>
        <v>0</v>
      </c>
      <c r="T29" s="779"/>
      <c r="U29" s="784"/>
      <c r="V29" s="784"/>
      <c r="W29" s="784"/>
      <c r="X29" s="781">
        <f>SUM(Table45464849[[#This Row],[Y3 Q1 cost]:[Y3 Q4 cost]])</f>
        <v>0</v>
      </c>
      <c r="Y29" s="781">
        <f>Table45464849[[#This Row],[Y1 total cost]]+Table45464849[[#This Row],[Y2 total cost]]+Table45464849[[#This Row],[Y3 total cost]]</f>
        <v>0</v>
      </c>
      <c r="Z29" s="761"/>
      <c r="AA29" s="756"/>
      <c r="AB29" s="756"/>
      <c r="AC29" s="756"/>
      <c r="AD29" s="756"/>
      <c r="AE29" s="756"/>
      <c r="AF29" s="756"/>
      <c r="AG29" s="756"/>
      <c r="AH29" s="756"/>
      <c r="AI29" s="758"/>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row>
    <row r="30" spans="1:71" s="757" customFormat="1" ht="13">
      <c r="A30" s="3085"/>
      <c r="B30" s="3086"/>
      <c r="C30" s="3086"/>
      <c r="D30" s="3087"/>
      <c r="E30" s="3068"/>
      <c r="F30" s="3068"/>
      <c r="G30" s="3068"/>
      <c r="H30" s="3068"/>
      <c r="I30" s="3069"/>
      <c r="J30" s="779"/>
      <c r="K30" s="784"/>
      <c r="L30" s="784"/>
      <c r="M30" s="784"/>
      <c r="N30" s="781">
        <f>SUM(Table45464849[[#This Row],[Y1 Q1 cost]:[Y1 Q4 cost]])</f>
        <v>0</v>
      </c>
      <c r="O30" s="784"/>
      <c r="P30" s="784"/>
      <c r="Q30" s="784"/>
      <c r="R30" s="784"/>
      <c r="S30" s="783">
        <f>SUM(Table45464849[[#This Row],[Y2 Q1 cost]:[Y2 Q4 cost]])</f>
        <v>0</v>
      </c>
      <c r="T30" s="779"/>
      <c r="U30" s="784"/>
      <c r="V30" s="784"/>
      <c r="W30" s="784"/>
      <c r="X30" s="781">
        <f>SUM(Table45464849[[#This Row],[Y3 Q1 cost]:[Y3 Q4 cost]])</f>
        <v>0</v>
      </c>
      <c r="Y30" s="781">
        <f>Table45464849[[#This Row],[Y1 total cost]]+Table45464849[[#This Row],[Y2 total cost]]+Table45464849[[#This Row],[Y3 total cost]]</f>
        <v>0</v>
      </c>
      <c r="Z30" s="761"/>
      <c r="AA30" s="756"/>
      <c r="AB30" s="756"/>
      <c r="AC30" s="756"/>
      <c r="AD30" s="756"/>
      <c r="AE30" s="756"/>
      <c r="AF30" s="756"/>
      <c r="AG30" s="756"/>
      <c r="AH30" s="756"/>
      <c r="AI30" s="758"/>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row>
    <row r="31" spans="1:71" s="757" customFormat="1" ht="13">
      <c r="A31" s="3070"/>
      <c r="B31" s="3071"/>
      <c r="C31" s="3071"/>
      <c r="D31" s="3072"/>
      <c r="E31" s="3073"/>
      <c r="F31" s="3073"/>
      <c r="G31" s="3073"/>
      <c r="H31" s="3073"/>
      <c r="I31" s="3074"/>
      <c r="J31" s="779"/>
      <c r="K31" s="784"/>
      <c r="L31" s="784"/>
      <c r="M31" s="784"/>
      <c r="N31" s="781">
        <f>SUM(Table45464849[[#This Row],[Y1 Q1 cost]:[Y1 Q4 cost]])</f>
        <v>0</v>
      </c>
      <c r="O31" s="784"/>
      <c r="P31" s="784"/>
      <c r="Q31" s="784"/>
      <c r="R31" s="784"/>
      <c r="S31" s="783">
        <f>SUM(Table45464849[[#This Row],[Y2 Q1 cost]:[Y2 Q4 cost]])</f>
        <v>0</v>
      </c>
      <c r="T31" s="779"/>
      <c r="U31" s="784"/>
      <c r="V31" s="784"/>
      <c r="W31" s="784"/>
      <c r="X31" s="781">
        <f>SUM(Table45464849[[#This Row],[Y3 Q1 cost]:[Y3 Q4 cost]])</f>
        <v>0</v>
      </c>
      <c r="Y31" s="781">
        <f>Table45464849[[#This Row],[Y1 total cost]]+Table45464849[[#This Row],[Y2 total cost]]+Table45464849[[#This Row],[Y3 total cost]]</f>
        <v>0</v>
      </c>
      <c r="Z31" s="761"/>
      <c r="AA31" s="756"/>
      <c r="AB31" s="756"/>
      <c r="AC31" s="756"/>
      <c r="AD31" s="756"/>
      <c r="AE31" s="756"/>
      <c r="AF31" s="756"/>
      <c r="AG31" s="756"/>
      <c r="AH31" s="756"/>
      <c r="AI31" s="758"/>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c r="BP31" s="756"/>
      <c r="BQ31" s="756"/>
      <c r="BR31" s="756"/>
      <c r="BS31" s="756"/>
    </row>
    <row r="32" spans="1:71" s="757" customFormat="1" ht="13">
      <c r="A32" s="3085"/>
      <c r="B32" s="3086"/>
      <c r="C32" s="3086"/>
      <c r="D32" s="3087"/>
      <c r="E32" s="3068"/>
      <c r="F32" s="3068"/>
      <c r="G32" s="3068"/>
      <c r="H32" s="3068"/>
      <c r="I32" s="3069"/>
      <c r="J32" s="779"/>
      <c r="K32" s="784"/>
      <c r="L32" s="784"/>
      <c r="M32" s="784"/>
      <c r="N32" s="781">
        <f>SUM(Table45464849[[#This Row],[Y1 Q1 cost]:[Y1 Q4 cost]])</f>
        <v>0</v>
      </c>
      <c r="O32" s="784"/>
      <c r="P32" s="784"/>
      <c r="Q32" s="784"/>
      <c r="R32" s="784"/>
      <c r="S32" s="783">
        <f>SUM(Table45464849[[#This Row],[Y2 Q1 cost]:[Y2 Q4 cost]])</f>
        <v>0</v>
      </c>
      <c r="T32" s="779"/>
      <c r="U32" s="784"/>
      <c r="V32" s="784"/>
      <c r="W32" s="784"/>
      <c r="X32" s="781">
        <f>SUM(Table45464849[[#This Row],[Y3 Q1 cost]:[Y3 Q4 cost]])</f>
        <v>0</v>
      </c>
      <c r="Y32" s="783">
        <f>Table45464849[[#This Row],[Y1 total cost]]+Table45464849[[#This Row],[Y2 total cost]]+Table45464849[[#This Row],[Y3 total cost]]</f>
        <v>0</v>
      </c>
      <c r="Z32" s="761"/>
      <c r="AA32" s="756"/>
      <c r="AB32" s="756"/>
      <c r="AC32" s="756"/>
      <c r="AD32" s="756"/>
      <c r="AE32" s="756"/>
      <c r="AF32" s="756"/>
      <c r="AG32" s="756"/>
      <c r="AH32" s="756"/>
      <c r="AI32" s="758"/>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row>
    <row r="33" spans="1:71" s="757" customFormat="1" ht="13">
      <c r="A33" s="3070"/>
      <c r="B33" s="3071"/>
      <c r="C33" s="3071"/>
      <c r="D33" s="3072"/>
      <c r="E33" s="3073"/>
      <c r="F33" s="3073"/>
      <c r="G33" s="3073"/>
      <c r="H33" s="3073"/>
      <c r="I33" s="3074"/>
      <c r="J33" s="779"/>
      <c r="K33" s="784"/>
      <c r="L33" s="784"/>
      <c r="M33" s="784"/>
      <c r="N33" s="781">
        <f>SUM(Table45464849[[#This Row],[Y1 Q1 cost]:[Y1 Q4 cost]])</f>
        <v>0</v>
      </c>
      <c r="O33" s="784"/>
      <c r="P33" s="784"/>
      <c r="Q33" s="784"/>
      <c r="R33" s="784"/>
      <c r="S33" s="783">
        <f>SUM(Table45464849[[#This Row],[Y2 Q1 cost]:[Y2 Q4 cost]])</f>
        <v>0</v>
      </c>
      <c r="T33" s="779"/>
      <c r="U33" s="784"/>
      <c r="V33" s="784"/>
      <c r="W33" s="784"/>
      <c r="X33" s="781">
        <f>SUM(Table45464849[[#This Row],[Y3 Q1 cost]:[Y3 Q4 cost]])</f>
        <v>0</v>
      </c>
      <c r="Y33" s="783">
        <f>Table45464849[[#This Row],[Y1 total cost]]+Table45464849[[#This Row],[Y2 total cost]]+Table45464849[[#This Row],[Y3 total cost]]</f>
        <v>0</v>
      </c>
      <c r="Z33" s="761"/>
      <c r="AA33" s="756"/>
      <c r="AB33" s="756"/>
      <c r="AC33" s="756"/>
      <c r="AD33" s="756"/>
      <c r="AE33" s="756"/>
      <c r="AF33" s="756"/>
      <c r="AG33" s="756"/>
      <c r="AH33" s="756"/>
      <c r="AI33" s="758"/>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row>
    <row r="34" spans="1:71" s="757" customFormat="1" ht="13">
      <c r="A34" s="3085"/>
      <c r="B34" s="3086"/>
      <c r="C34" s="3086"/>
      <c r="D34" s="3087"/>
      <c r="E34" s="3068"/>
      <c r="F34" s="3068"/>
      <c r="G34" s="3068"/>
      <c r="H34" s="3068"/>
      <c r="I34" s="3069"/>
      <c r="J34" s="779"/>
      <c r="K34" s="784"/>
      <c r="L34" s="784"/>
      <c r="M34" s="784"/>
      <c r="N34" s="781">
        <f>SUM(Table45464849[[#This Row],[Y1 Q1 cost]:[Y1 Q4 cost]])</f>
        <v>0</v>
      </c>
      <c r="O34" s="784"/>
      <c r="P34" s="784"/>
      <c r="Q34" s="784"/>
      <c r="R34" s="784"/>
      <c r="S34" s="783">
        <f>SUM(Table45464849[[#This Row],[Y2 Q1 cost]:[Y2 Q4 cost]])</f>
        <v>0</v>
      </c>
      <c r="T34" s="779"/>
      <c r="U34" s="784"/>
      <c r="V34" s="784"/>
      <c r="W34" s="784"/>
      <c r="X34" s="781">
        <f>SUM(Table45464849[[#This Row],[Y3 Q1 cost]:[Y3 Q4 cost]])</f>
        <v>0</v>
      </c>
      <c r="Y34" s="783">
        <f>Table45464849[[#This Row],[Y1 total cost]]+Table45464849[[#This Row],[Y2 total cost]]+Table45464849[[#This Row],[Y3 total cost]]</f>
        <v>0</v>
      </c>
      <c r="Z34" s="761"/>
      <c r="AA34" s="756"/>
      <c r="AB34" s="756"/>
      <c r="AC34" s="756"/>
      <c r="AD34" s="756"/>
      <c r="AE34" s="756"/>
      <c r="AF34" s="756"/>
      <c r="AG34" s="756"/>
      <c r="AH34" s="756"/>
      <c r="AI34" s="758"/>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row>
    <row r="35" spans="1:71" s="757" customFormat="1" ht="13">
      <c r="A35" s="3070"/>
      <c r="B35" s="3071"/>
      <c r="C35" s="3071"/>
      <c r="D35" s="3072"/>
      <c r="E35" s="3073"/>
      <c r="F35" s="3073"/>
      <c r="G35" s="3073"/>
      <c r="H35" s="3073"/>
      <c r="I35" s="3074"/>
      <c r="J35" s="779"/>
      <c r="K35" s="784"/>
      <c r="L35" s="784"/>
      <c r="M35" s="784"/>
      <c r="N35" s="781">
        <f>SUM(Table45464849[[#This Row],[Y1 Q1 cost]:[Y1 Q4 cost]])</f>
        <v>0</v>
      </c>
      <c r="O35" s="784"/>
      <c r="P35" s="784"/>
      <c r="Q35" s="784"/>
      <c r="R35" s="784"/>
      <c r="S35" s="783">
        <f>SUM(Table45464849[[#This Row],[Y2 Q1 cost]:[Y2 Q4 cost]])</f>
        <v>0</v>
      </c>
      <c r="T35" s="779"/>
      <c r="U35" s="784"/>
      <c r="V35" s="784"/>
      <c r="W35" s="784"/>
      <c r="X35" s="781">
        <f>SUM(Table45464849[[#This Row],[Y3 Q1 cost]:[Y3 Q4 cost]])</f>
        <v>0</v>
      </c>
      <c r="Y35" s="783">
        <f>Table45464849[[#This Row],[Y1 total cost]]+Table45464849[[#This Row],[Y2 total cost]]+Table45464849[[#This Row],[Y3 total cost]]</f>
        <v>0</v>
      </c>
      <c r="Z35" s="761"/>
      <c r="AA35" s="756"/>
      <c r="AB35" s="756"/>
      <c r="AC35" s="756"/>
      <c r="AD35" s="756"/>
      <c r="AE35" s="756"/>
      <c r="AF35" s="756"/>
      <c r="AG35" s="756"/>
      <c r="AH35" s="756"/>
      <c r="AI35" s="758"/>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6"/>
    </row>
    <row r="36" spans="1:71" s="757" customFormat="1" ht="13">
      <c r="A36" s="3085"/>
      <c r="B36" s="3086"/>
      <c r="C36" s="3086"/>
      <c r="D36" s="3087"/>
      <c r="E36" s="3068"/>
      <c r="F36" s="3068"/>
      <c r="G36" s="3068"/>
      <c r="H36" s="3068"/>
      <c r="I36" s="3069"/>
      <c r="J36" s="779"/>
      <c r="K36" s="784"/>
      <c r="L36" s="784"/>
      <c r="M36" s="784"/>
      <c r="N36" s="781">
        <f>SUM(Table45464849[[#This Row],[Y1 Q1 cost]:[Y1 Q4 cost]])</f>
        <v>0</v>
      </c>
      <c r="O36" s="784"/>
      <c r="P36" s="784"/>
      <c r="Q36" s="784"/>
      <c r="R36" s="784"/>
      <c r="S36" s="783">
        <f>SUM(Table45464849[[#This Row],[Y2 Q1 cost]:[Y2 Q4 cost]])</f>
        <v>0</v>
      </c>
      <c r="T36" s="779"/>
      <c r="U36" s="784"/>
      <c r="V36" s="784"/>
      <c r="W36" s="784"/>
      <c r="X36" s="781">
        <f>SUM(Table45464849[[#This Row],[Y3 Q1 cost]:[Y3 Q4 cost]])</f>
        <v>0</v>
      </c>
      <c r="Y36" s="783">
        <f>Table45464849[[#This Row],[Y1 total cost]]+Table45464849[[#This Row],[Y2 total cost]]+Table45464849[[#This Row],[Y3 total cost]]</f>
        <v>0</v>
      </c>
      <c r="Z36" s="761"/>
      <c r="AA36" s="756"/>
      <c r="AB36" s="756"/>
      <c r="AC36" s="756"/>
      <c r="AD36" s="756"/>
      <c r="AE36" s="756"/>
      <c r="AF36" s="756"/>
      <c r="AG36" s="756"/>
      <c r="AH36" s="756"/>
      <c r="AI36" s="758"/>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row>
    <row r="37" spans="1:71" s="757" customFormat="1" ht="13">
      <c r="A37" s="3070"/>
      <c r="B37" s="3071"/>
      <c r="C37" s="3071"/>
      <c r="D37" s="3072"/>
      <c r="E37" s="3073"/>
      <c r="F37" s="3073"/>
      <c r="G37" s="3073"/>
      <c r="H37" s="3073"/>
      <c r="I37" s="3074"/>
      <c r="J37" s="779"/>
      <c r="K37" s="784"/>
      <c r="L37" s="784"/>
      <c r="M37" s="784"/>
      <c r="N37" s="781">
        <f>SUM(Table45464849[[#This Row],[Y1 Q1 cost]:[Y1 Q4 cost]])</f>
        <v>0</v>
      </c>
      <c r="O37" s="784"/>
      <c r="P37" s="784"/>
      <c r="Q37" s="784"/>
      <c r="R37" s="784"/>
      <c r="S37" s="783">
        <f>SUM(Table45464849[[#This Row],[Y2 Q1 cost]:[Y2 Q4 cost]])</f>
        <v>0</v>
      </c>
      <c r="T37" s="779"/>
      <c r="U37" s="784"/>
      <c r="V37" s="784"/>
      <c r="W37" s="784"/>
      <c r="X37" s="781">
        <f>SUM(Table45464849[[#This Row],[Y3 Q1 cost]:[Y3 Q4 cost]])</f>
        <v>0</v>
      </c>
      <c r="Y37" s="783">
        <f>Table45464849[[#This Row],[Y1 total cost]]+Table45464849[[#This Row],[Y2 total cost]]+Table45464849[[#This Row],[Y3 total cost]]</f>
        <v>0</v>
      </c>
      <c r="Z37" s="761"/>
      <c r="AA37" s="756"/>
      <c r="AB37" s="756"/>
      <c r="AC37" s="756"/>
      <c r="AD37" s="756"/>
      <c r="AE37" s="756"/>
      <c r="AF37" s="756"/>
      <c r="AG37" s="756"/>
      <c r="AH37" s="756"/>
      <c r="AI37" s="758"/>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row>
    <row r="38" spans="1:71" s="757" customFormat="1" ht="13">
      <c r="A38" s="3085"/>
      <c r="B38" s="3086"/>
      <c r="C38" s="3086"/>
      <c r="D38" s="3087"/>
      <c r="E38" s="3068"/>
      <c r="F38" s="3068"/>
      <c r="G38" s="3068"/>
      <c r="H38" s="3068"/>
      <c r="I38" s="3069"/>
      <c r="J38" s="779"/>
      <c r="K38" s="784"/>
      <c r="L38" s="784"/>
      <c r="M38" s="784"/>
      <c r="N38" s="781">
        <f>SUM(Table45464849[[#This Row],[Y1 Q1 cost]:[Y1 Q4 cost]])</f>
        <v>0</v>
      </c>
      <c r="O38" s="784"/>
      <c r="P38" s="784"/>
      <c r="Q38" s="784"/>
      <c r="R38" s="784"/>
      <c r="S38" s="783">
        <f>SUM(Table45464849[[#This Row],[Y2 Q1 cost]:[Y2 Q4 cost]])</f>
        <v>0</v>
      </c>
      <c r="T38" s="779"/>
      <c r="U38" s="784"/>
      <c r="V38" s="784"/>
      <c r="W38" s="784"/>
      <c r="X38" s="781">
        <f>SUM(Table45464849[[#This Row],[Y3 Q1 cost]:[Y3 Q4 cost]])</f>
        <v>0</v>
      </c>
      <c r="Y38" s="783">
        <f>Table45464849[[#This Row],[Y1 total cost]]+Table45464849[[#This Row],[Y2 total cost]]+Table45464849[[#This Row],[Y3 total cost]]</f>
        <v>0</v>
      </c>
      <c r="Z38" s="761"/>
      <c r="AA38" s="756"/>
      <c r="AB38" s="756"/>
      <c r="AC38" s="756"/>
      <c r="AD38" s="756"/>
      <c r="AE38" s="756"/>
      <c r="AF38" s="756"/>
      <c r="AG38" s="756"/>
      <c r="AH38" s="756"/>
      <c r="AI38" s="758"/>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row>
    <row r="39" spans="1:71" s="757" customFormat="1" ht="13">
      <c r="A39" s="3070"/>
      <c r="B39" s="3071"/>
      <c r="C39" s="3071"/>
      <c r="D39" s="3072"/>
      <c r="E39" s="3073"/>
      <c r="F39" s="3073"/>
      <c r="G39" s="3073"/>
      <c r="H39" s="3073"/>
      <c r="I39" s="3074"/>
      <c r="J39" s="779"/>
      <c r="K39" s="784"/>
      <c r="L39" s="784"/>
      <c r="M39" s="784"/>
      <c r="N39" s="781">
        <f>SUM(Table45464849[[#This Row],[Y1 Q1 cost]:[Y1 Q4 cost]])</f>
        <v>0</v>
      </c>
      <c r="O39" s="784"/>
      <c r="P39" s="784"/>
      <c r="Q39" s="784"/>
      <c r="R39" s="784"/>
      <c r="S39" s="783">
        <f>SUM(Table45464849[[#This Row],[Y2 Q1 cost]:[Y2 Q4 cost]])</f>
        <v>0</v>
      </c>
      <c r="T39" s="779"/>
      <c r="U39" s="784"/>
      <c r="V39" s="784"/>
      <c r="W39" s="784"/>
      <c r="X39" s="781">
        <f>SUM(Table45464849[[#This Row],[Y3 Q1 cost]:[Y3 Q4 cost]])</f>
        <v>0</v>
      </c>
      <c r="Y39" s="783">
        <f>Table45464849[[#This Row],[Y1 total cost]]+Table45464849[[#This Row],[Y2 total cost]]+Table45464849[[#This Row],[Y3 total cost]]</f>
        <v>0</v>
      </c>
      <c r="Z39" s="761"/>
      <c r="AA39" s="756"/>
      <c r="AB39" s="756"/>
      <c r="AC39" s="756"/>
      <c r="AD39" s="756"/>
      <c r="AE39" s="756"/>
      <c r="AF39" s="756"/>
      <c r="AG39" s="756"/>
      <c r="AH39" s="756"/>
      <c r="AI39" s="758"/>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row>
    <row r="40" spans="1:71" s="757" customFormat="1" ht="13">
      <c r="A40" s="3085"/>
      <c r="B40" s="3086"/>
      <c r="C40" s="3086"/>
      <c r="D40" s="3087"/>
      <c r="E40" s="3068"/>
      <c r="F40" s="3068"/>
      <c r="G40" s="3068"/>
      <c r="H40" s="3068"/>
      <c r="I40" s="3069"/>
      <c r="J40" s="779"/>
      <c r="K40" s="784"/>
      <c r="L40" s="784"/>
      <c r="M40" s="784"/>
      <c r="N40" s="781">
        <f>SUM(Table45464849[[#This Row],[Y1 Q1 cost]:[Y1 Q4 cost]])</f>
        <v>0</v>
      </c>
      <c r="O40" s="784"/>
      <c r="P40" s="784"/>
      <c r="Q40" s="784"/>
      <c r="R40" s="784"/>
      <c r="S40" s="783">
        <f>SUM(Table45464849[[#This Row],[Y2 Q1 cost]:[Y2 Q4 cost]])</f>
        <v>0</v>
      </c>
      <c r="T40" s="779"/>
      <c r="U40" s="784"/>
      <c r="V40" s="784"/>
      <c r="W40" s="784"/>
      <c r="X40" s="781">
        <f>SUM(Table45464849[[#This Row],[Y3 Q1 cost]:[Y3 Q4 cost]])</f>
        <v>0</v>
      </c>
      <c r="Y40" s="783">
        <f>Table45464849[[#This Row],[Y1 total cost]]+Table45464849[[#This Row],[Y2 total cost]]+Table45464849[[#This Row],[Y3 total cost]]</f>
        <v>0</v>
      </c>
      <c r="Z40" s="761"/>
      <c r="AA40" s="756"/>
      <c r="AB40" s="756"/>
      <c r="AC40" s="756"/>
      <c r="AD40" s="756"/>
      <c r="AE40" s="756"/>
      <c r="AF40" s="756"/>
      <c r="AG40" s="756"/>
      <c r="AH40" s="756"/>
      <c r="AI40" s="758"/>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row>
    <row r="41" spans="1:71" s="757" customFormat="1" ht="13">
      <c r="A41" s="3070"/>
      <c r="B41" s="3071"/>
      <c r="C41" s="3071"/>
      <c r="D41" s="3072"/>
      <c r="E41" s="3073"/>
      <c r="F41" s="3073"/>
      <c r="G41" s="3073"/>
      <c r="H41" s="3073"/>
      <c r="I41" s="3074"/>
      <c r="J41" s="779"/>
      <c r="K41" s="784"/>
      <c r="L41" s="784"/>
      <c r="M41" s="784"/>
      <c r="N41" s="781">
        <f>SUM(Table45464849[[#This Row],[Y1 Q1 cost]:[Y1 Q4 cost]])</f>
        <v>0</v>
      </c>
      <c r="O41" s="784"/>
      <c r="P41" s="784"/>
      <c r="Q41" s="784"/>
      <c r="R41" s="784"/>
      <c r="S41" s="783">
        <f>SUM(Table45464849[[#This Row],[Y2 Q1 cost]:[Y2 Q4 cost]])</f>
        <v>0</v>
      </c>
      <c r="T41" s="779"/>
      <c r="U41" s="784"/>
      <c r="V41" s="784"/>
      <c r="W41" s="784"/>
      <c r="X41" s="781">
        <f>SUM(Table45464849[[#This Row],[Y3 Q1 cost]:[Y3 Q4 cost]])</f>
        <v>0</v>
      </c>
      <c r="Y41" s="783">
        <f>Table45464849[[#This Row],[Y1 total cost]]+Table45464849[[#This Row],[Y2 total cost]]+Table45464849[[#This Row],[Y3 total cost]]</f>
        <v>0</v>
      </c>
      <c r="Z41" s="761"/>
      <c r="AA41" s="756"/>
      <c r="AB41" s="756"/>
      <c r="AC41" s="756"/>
      <c r="AD41" s="756"/>
      <c r="AE41" s="756"/>
      <c r="AF41" s="756"/>
      <c r="AG41" s="756"/>
      <c r="AH41" s="756"/>
      <c r="AI41" s="758"/>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row>
    <row r="42" spans="1:71" s="757" customFormat="1" ht="13">
      <c r="A42" s="3085"/>
      <c r="B42" s="3086"/>
      <c r="C42" s="3086"/>
      <c r="D42" s="3087"/>
      <c r="E42" s="3068"/>
      <c r="F42" s="3068"/>
      <c r="G42" s="3068"/>
      <c r="H42" s="3068"/>
      <c r="I42" s="3069"/>
      <c r="J42" s="779"/>
      <c r="K42" s="784"/>
      <c r="L42" s="784"/>
      <c r="M42" s="784"/>
      <c r="N42" s="781">
        <f>SUM(Table45464849[[#This Row],[Y1 Q1 cost]:[Y1 Q4 cost]])</f>
        <v>0</v>
      </c>
      <c r="O42" s="784"/>
      <c r="P42" s="784"/>
      <c r="Q42" s="784"/>
      <c r="R42" s="784"/>
      <c r="S42" s="783">
        <f>SUM(Table45464849[[#This Row],[Y2 Q1 cost]:[Y2 Q4 cost]])</f>
        <v>0</v>
      </c>
      <c r="T42" s="779"/>
      <c r="U42" s="784"/>
      <c r="V42" s="784"/>
      <c r="W42" s="784"/>
      <c r="X42" s="781">
        <f>SUM(Table45464849[[#This Row],[Y3 Q1 cost]:[Y3 Q4 cost]])</f>
        <v>0</v>
      </c>
      <c r="Y42" s="783">
        <f>Table45464849[[#This Row],[Y1 total cost]]+Table45464849[[#This Row],[Y2 total cost]]+Table45464849[[#This Row],[Y3 total cost]]</f>
        <v>0</v>
      </c>
      <c r="Z42" s="761"/>
      <c r="AA42" s="756"/>
      <c r="AB42" s="756"/>
      <c r="AC42" s="756"/>
      <c r="AD42" s="756"/>
      <c r="AE42" s="756"/>
      <c r="AF42" s="756"/>
      <c r="AG42" s="756"/>
      <c r="AH42" s="756"/>
      <c r="AI42" s="758"/>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c r="BS42" s="756"/>
    </row>
    <row r="43" spans="1:71" s="757" customFormat="1" ht="13">
      <c r="A43" s="3070"/>
      <c r="B43" s="3071"/>
      <c r="C43" s="3071"/>
      <c r="D43" s="3072"/>
      <c r="E43" s="3073"/>
      <c r="F43" s="3073"/>
      <c r="G43" s="3073"/>
      <c r="H43" s="3073"/>
      <c r="I43" s="3074"/>
      <c r="J43" s="779"/>
      <c r="K43" s="784"/>
      <c r="L43" s="784"/>
      <c r="M43" s="784"/>
      <c r="N43" s="781">
        <f>SUM(Table45464849[[#This Row],[Y1 Q1 cost]:[Y1 Q4 cost]])</f>
        <v>0</v>
      </c>
      <c r="O43" s="784"/>
      <c r="P43" s="784"/>
      <c r="Q43" s="784"/>
      <c r="R43" s="784"/>
      <c r="S43" s="783">
        <f>SUM(Table45464849[[#This Row],[Y2 Q1 cost]:[Y2 Q4 cost]])</f>
        <v>0</v>
      </c>
      <c r="T43" s="779"/>
      <c r="U43" s="784"/>
      <c r="V43" s="784"/>
      <c r="W43" s="784"/>
      <c r="X43" s="781">
        <f>SUM(Table45464849[[#This Row],[Y3 Q1 cost]:[Y3 Q4 cost]])</f>
        <v>0</v>
      </c>
      <c r="Y43" s="783">
        <f>Table45464849[[#This Row],[Y1 total cost]]+Table45464849[[#This Row],[Y2 total cost]]+Table45464849[[#This Row],[Y3 total cost]]</f>
        <v>0</v>
      </c>
      <c r="Z43" s="761"/>
      <c r="AA43" s="756"/>
      <c r="AB43" s="756"/>
      <c r="AC43" s="756"/>
      <c r="AD43" s="756"/>
      <c r="AE43" s="756"/>
      <c r="AF43" s="756"/>
      <c r="AG43" s="756"/>
      <c r="AH43" s="756"/>
      <c r="AI43" s="758"/>
      <c r="AJ43" s="756"/>
      <c r="AK43" s="756"/>
      <c r="AL43" s="756"/>
      <c r="AM43" s="756"/>
      <c r="AN43" s="756"/>
      <c r="AO43" s="756"/>
      <c r="AP43" s="756"/>
      <c r="AQ43" s="756"/>
      <c r="AR43" s="756"/>
      <c r="AS43" s="756"/>
      <c r="AT43" s="756"/>
      <c r="AU43" s="756"/>
      <c r="AV43" s="756"/>
      <c r="AW43" s="756"/>
      <c r="AX43" s="756"/>
      <c r="AY43" s="756"/>
      <c r="AZ43" s="756"/>
      <c r="BA43" s="756"/>
      <c r="BB43" s="756"/>
      <c r="BC43" s="756"/>
      <c r="BD43" s="756"/>
      <c r="BE43" s="756"/>
      <c r="BF43" s="756"/>
      <c r="BG43" s="756"/>
      <c r="BH43" s="756"/>
      <c r="BI43" s="756"/>
      <c r="BJ43" s="756"/>
      <c r="BK43" s="756"/>
      <c r="BL43" s="756"/>
      <c r="BM43" s="756"/>
      <c r="BN43" s="756"/>
      <c r="BO43" s="756"/>
      <c r="BP43" s="756"/>
      <c r="BQ43" s="756"/>
      <c r="BR43" s="756"/>
      <c r="BS43" s="756"/>
    </row>
    <row r="44" spans="1:71" s="757" customFormat="1" ht="13">
      <c r="A44" s="3085"/>
      <c r="B44" s="3086"/>
      <c r="C44" s="3086"/>
      <c r="D44" s="3087"/>
      <c r="E44" s="3068"/>
      <c r="F44" s="3068"/>
      <c r="G44" s="3068"/>
      <c r="H44" s="3068"/>
      <c r="I44" s="3069"/>
      <c r="J44" s="779"/>
      <c r="K44" s="784"/>
      <c r="L44" s="784"/>
      <c r="M44" s="784"/>
      <c r="N44" s="781">
        <f>SUM(Table45464849[[#This Row],[Y1 Q1 cost]:[Y1 Q4 cost]])</f>
        <v>0</v>
      </c>
      <c r="O44" s="784"/>
      <c r="P44" s="784"/>
      <c r="Q44" s="784"/>
      <c r="R44" s="784"/>
      <c r="S44" s="783">
        <f>SUM(Table45464849[[#This Row],[Y2 Q1 cost]:[Y2 Q4 cost]])</f>
        <v>0</v>
      </c>
      <c r="T44" s="779"/>
      <c r="U44" s="784"/>
      <c r="V44" s="784"/>
      <c r="W44" s="784"/>
      <c r="X44" s="781">
        <f>SUM(Table45464849[[#This Row],[Y3 Q1 cost]:[Y3 Q4 cost]])</f>
        <v>0</v>
      </c>
      <c r="Y44" s="783">
        <f>Table45464849[[#This Row],[Y1 total cost]]+Table45464849[[#This Row],[Y2 total cost]]+Table45464849[[#This Row],[Y3 total cost]]</f>
        <v>0</v>
      </c>
      <c r="Z44" s="761"/>
      <c r="AA44" s="756"/>
      <c r="AB44" s="756"/>
      <c r="AC44" s="756"/>
      <c r="AD44" s="756"/>
      <c r="AE44" s="756"/>
      <c r="AF44" s="756"/>
      <c r="AG44" s="756"/>
      <c r="AH44" s="756"/>
      <c r="AI44" s="758"/>
      <c r="AJ44" s="756"/>
      <c r="AK44" s="756"/>
      <c r="AL44" s="756"/>
      <c r="AM44" s="756"/>
      <c r="AN44" s="756"/>
      <c r="AO44" s="756"/>
      <c r="AP44" s="756"/>
      <c r="AQ44" s="756"/>
      <c r="AR44" s="756"/>
      <c r="AS44" s="756"/>
      <c r="AT44" s="756"/>
      <c r="AU44" s="756"/>
      <c r="AV44" s="756"/>
      <c r="AW44" s="756"/>
      <c r="AX44" s="756"/>
      <c r="AY44" s="756"/>
      <c r="AZ44" s="756"/>
      <c r="BA44" s="756"/>
      <c r="BB44" s="756"/>
      <c r="BC44" s="756"/>
      <c r="BD44" s="756"/>
      <c r="BE44" s="756"/>
      <c r="BF44" s="756"/>
      <c r="BG44" s="756"/>
      <c r="BH44" s="756"/>
      <c r="BI44" s="756"/>
      <c r="BJ44" s="756"/>
      <c r="BK44" s="756"/>
      <c r="BL44" s="756"/>
      <c r="BM44" s="756"/>
      <c r="BN44" s="756"/>
      <c r="BO44" s="756"/>
      <c r="BP44" s="756"/>
      <c r="BQ44" s="756"/>
      <c r="BR44" s="756"/>
      <c r="BS44" s="756"/>
    </row>
    <row r="45" spans="1:71" s="757" customFormat="1" ht="13">
      <c r="A45" s="3070"/>
      <c r="B45" s="3071"/>
      <c r="C45" s="3071"/>
      <c r="D45" s="3072"/>
      <c r="E45" s="3073"/>
      <c r="F45" s="3073"/>
      <c r="G45" s="3073"/>
      <c r="H45" s="3073"/>
      <c r="I45" s="3074"/>
      <c r="J45" s="779"/>
      <c r="K45" s="784"/>
      <c r="L45" s="784"/>
      <c r="M45" s="784"/>
      <c r="N45" s="781">
        <f>SUM(Table45464849[[#This Row],[Y1 Q1 cost]:[Y1 Q4 cost]])</f>
        <v>0</v>
      </c>
      <c r="O45" s="784"/>
      <c r="P45" s="784"/>
      <c r="Q45" s="784"/>
      <c r="R45" s="784"/>
      <c r="S45" s="783">
        <f>SUM(Table45464849[[#This Row],[Y2 Q1 cost]:[Y2 Q4 cost]])</f>
        <v>0</v>
      </c>
      <c r="T45" s="779"/>
      <c r="U45" s="784"/>
      <c r="V45" s="784"/>
      <c r="W45" s="784"/>
      <c r="X45" s="781">
        <f>SUM(Table45464849[[#This Row],[Y3 Q1 cost]:[Y3 Q4 cost]])</f>
        <v>0</v>
      </c>
      <c r="Y45" s="783">
        <f>Table45464849[[#This Row],[Y1 total cost]]+Table45464849[[#This Row],[Y2 total cost]]+Table45464849[[#This Row],[Y3 total cost]]</f>
        <v>0</v>
      </c>
      <c r="Z45" s="761"/>
      <c r="AA45" s="756"/>
      <c r="AB45" s="756"/>
      <c r="AC45" s="756"/>
      <c r="AD45" s="756"/>
      <c r="AE45" s="756"/>
      <c r="AF45" s="756"/>
      <c r="AG45" s="756"/>
      <c r="AH45" s="756"/>
      <c r="AI45" s="758"/>
      <c r="AJ45" s="756"/>
      <c r="AK45" s="756"/>
      <c r="AL45" s="756"/>
      <c r="AM45" s="756"/>
      <c r="AN45" s="756"/>
      <c r="AO45" s="756"/>
      <c r="AP45" s="756"/>
      <c r="AQ45" s="756"/>
      <c r="AR45" s="756"/>
      <c r="AS45" s="756"/>
      <c r="AT45" s="756"/>
      <c r="AU45" s="756"/>
      <c r="AV45" s="756"/>
      <c r="AW45" s="756"/>
      <c r="AX45" s="756"/>
      <c r="AY45" s="756"/>
      <c r="AZ45" s="756"/>
      <c r="BA45" s="756"/>
      <c r="BB45" s="756"/>
      <c r="BC45" s="756"/>
      <c r="BD45" s="756"/>
      <c r="BE45" s="756"/>
      <c r="BF45" s="756"/>
      <c r="BG45" s="756"/>
      <c r="BH45" s="756"/>
      <c r="BI45" s="756"/>
      <c r="BJ45" s="756"/>
      <c r="BK45" s="756"/>
      <c r="BL45" s="756"/>
      <c r="BM45" s="756"/>
      <c r="BN45" s="756"/>
      <c r="BO45" s="756"/>
      <c r="BP45" s="756"/>
      <c r="BQ45" s="756"/>
      <c r="BR45" s="756"/>
      <c r="BS45" s="756"/>
    </row>
    <row r="46" spans="1:71" s="757" customFormat="1" ht="13">
      <c r="A46" s="3085"/>
      <c r="B46" s="3086"/>
      <c r="C46" s="3086"/>
      <c r="D46" s="3087"/>
      <c r="E46" s="3068"/>
      <c r="F46" s="3068"/>
      <c r="G46" s="3068"/>
      <c r="H46" s="3068"/>
      <c r="I46" s="3069"/>
      <c r="J46" s="779"/>
      <c r="K46" s="784"/>
      <c r="L46" s="784"/>
      <c r="M46" s="784"/>
      <c r="N46" s="781">
        <f>SUM(Table45464849[[#This Row],[Y1 Q1 cost]:[Y1 Q4 cost]])</f>
        <v>0</v>
      </c>
      <c r="O46" s="784"/>
      <c r="P46" s="784"/>
      <c r="Q46" s="784"/>
      <c r="R46" s="784"/>
      <c r="S46" s="783">
        <f>SUM(Table45464849[[#This Row],[Y2 Q1 cost]:[Y2 Q4 cost]])</f>
        <v>0</v>
      </c>
      <c r="T46" s="779"/>
      <c r="U46" s="784"/>
      <c r="V46" s="784"/>
      <c r="W46" s="784"/>
      <c r="X46" s="781">
        <f>SUM(Table45464849[[#This Row],[Y3 Q1 cost]:[Y3 Q4 cost]])</f>
        <v>0</v>
      </c>
      <c r="Y46" s="783">
        <f>Table45464849[[#This Row],[Y1 total cost]]+Table45464849[[#This Row],[Y2 total cost]]+Table45464849[[#This Row],[Y3 total cost]]</f>
        <v>0</v>
      </c>
      <c r="Z46" s="761"/>
      <c r="AA46" s="756"/>
      <c r="AB46" s="756"/>
      <c r="AC46" s="756"/>
      <c r="AD46" s="756"/>
      <c r="AE46" s="756"/>
      <c r="AF46" s="756"/>
      <c r="AG46" s="756"/>
      <c r="AH46" s="756"/>
      <c r="AI46" s="758"/>
      <c r="AJ46" s="756"/>
      <c r="AK46" s="756"/>
      <c r="AL46" s="756"/>
      <c r="AM46" s="756"/>
      <c r="AN46" s="756"/>
      <c r="AO46" s="756"/>
      <c r="AP46" s="756"/>
      <c r="AQ46" s="756"/>
      <c r="AR46" s="756"/>
      <c r="AS46" s="756"/>
      <c r="AT46" s="756"/>
      <c r="AU46" s="756"/>
      <c r="AV46" s="756"/>
      <c r="AW46" s="756"/>
      <c r="AX46" s="756"/>
      <c r="AY46" s="756"/>
      <c r="AZ46" s="756"/>
      <c r="BA46" s="756"/>
      <c r="BB46" s="756"/>
      <c r="BC46" s="756"/>
      <c r="BD46" s="756"/>
      <c r="BE46" s="756"/>
      <c r="BF46" s="756"/>
      <c r="BG46" s="756"/>
      <c r="BH46" s="756"/>
      <c r="BI46" s="756"/>
      <c r="BJ46" s="756"/>
      <c r="BK46" s="756"/>
      <c r="BL46" s="756"/>
      <c r="BM46" s="756"/>
      <c r="BN46" s="756"/>
      <c r="BO46" s="756"/>
      <c r="BP46" s="756"/>
      <c r="BQ46" s="756"/>
      <c r="BR46" s="756"/>
      <c r="BS46" s="756"/>
    </row>
    <row r="47" spans="1:71" s="757" customFormat="1" ht="13.5" thickBot="1">
      <c r="A47" s="3060"/>
      <c r="B47" s="3061"/>
      <c r="C47" s="3061"/>
      <c r="D47" s="3062"/>
      <c r="E47" s="3063"/>
      <c r="F47" s="3063"/>
      <c r="G47" s="3063"/>
      <c r="H47" s="3063"/>
      <c r="I47" s="3064"/>
      <c r="J47" s="779"/>
      <c r="K47" s="784"/>
      <c r="L47" s="784"/>
      <c r="M47" s="784"/>
      <c r="N47" s="781">
        <f>SUM(Table45464849[[#This Row],[Y1 Q1 cost]:[Y1 Q4 cost]])</f>
        <v>0</v>
      </c>
      <c r="O47" s="784"/>
      <c r="P47" s="784"/>
      <c r="Q47" s="784"/>
      <c r="R47" s="784"/>
      <c r="S47" s="783">
        <f>SUM(Table45464849[[#This Row],[Y2 Q1 cost]:[Y2 Q4 cost]])</f>
        <v>0</v>
      </c>
      <c r="T47" s="779"/>
      <c r="U47" s="784"/>
      <c r="V47" s="784"/>
      <c r="W47" s="784"/>
      <c r="X47" s="781">
        <f>SUM(Table45464849[[#This Row],[Y3 Q1 cost]:[Y3 Q4 cost]])</f>
        <v>0</v>
      </c>
      <c r="Y47" s="783">
        <f>Table45464849[[#This Row],[Y1 total cost]]+Table45464849[[#This Row],[Y2 total cost]]+Table45464849[[#This Row],[Y3 total cost]]</f>
        <v>0</v>
      </c>
      <c r="Z47" s="761"/>
      <c r="AA47" s="756"/>
      <c r="AB47" s="756"/>
      <c r="AC47" s="756"/>
      <c r="AD47" s="756"/>
      <c r="AE47" s="756"/>
      <c r="AF47" s="756"/>
      <c r="AG47" s="756"/>
      <c r="AH47" s="756"/>
      <c r="AI47" s="758"/>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6"/>
      <c r="BK47" s="756"/>
      <c r="BL47" s="756"/>
      <c r="BM47" s="756"/>
      <c r="BN47" s="756"/>
      <c r="BO47" s="756"/>
      <c r="BP47" s="756"/>
      <c r="BQ47" s="756"/>
      <c r="BR47" s="756"/>
      <c r="BS47" s="756"/>
    </row>
    <row r="48" spans="1:71" s="757" customFormat="1" ht="13.5" thickBot="1">
      <c r="A48" s="760"/>
      <c r="B48" s="760"/>
      <c r="C48" s="760"/>
      <c r="D48" s="760"/>
      <c r="E48" s="760"/>
      <c r="F48" s="760"/>
      <c r="G48" s="760"/>
      <c r="H48" s="760"/>
      <c r="I48" s="760"/>
      <c r="J48" s="760"/>
      <c r="K48" s="760"/>
      <c r="L48" s="760"/>
      <c r="M48" s="760"/>
      <c r="N48" s="760"/>
      <c r="O48" s="760"/>
      <c r="P48" s="760"/>
      <c r="Q48" s="760"/>
      <c r="R48" s="760"/>
      <c r="S48" s="760"/>
      <c r="T48" s="760"/>
      <c r="U48" s="760"/>
      <c r="V48" s="760"/>
      <c r="W48" s="760"/>
      <c r="X48" s="760"/>
      <c r="Y48" s="760"/>
      <c r="Z48" s="760"/>
      <c r="AA48" s="756"/>
      <c r="AB48" s="756"/>
      <c r="AC48" s="756"/>
      <c r="AD48" s="756"/>
      <c r="AE48" s="756"/>
      <c r="AF48" s="756"/>
      <c r="AG48" s="758"/>
      <c r="AH48" s="756"/>
      <c r="AI48" s="756"/>
      <c r="AJ48" s="756"/>
      <c r="AK48" s="756"/>
      <c r="AL48" s="756"/>
      <c r="AM48" s="756"/>
      <c r="AN48" s="756"/>
      <c r="AO48" s="756"/>
      <c r="AP48" s="756"/>
      <c r="AQ48" s="756"/>
      <c r="AR48" s="756"/>
      <c r="AS48" s="756"/>
      <c r="AT48" s="756"/>
      <c r="AU48" s="756"/>
      <c r="AV48" s="756"/>
      <c r="AW48" s="756"/>
      <c r="AX48" s="756"/>
      <c r="AY48" s="756"/>
      <c r="AZ48" s="756"/>
      <c r="BA48" s="756"/>
      <c r="BB48" s="756"/>
      <c r="BC48" s="756"/>
      <c r="BD48" s="756"/>
      <c r="BE48" s="756"/>
      <c r="BF48" s="756"/>
      <c r="BG48" s="756"/>
      <c r="BH48" s="756"/>
      <c r="BI48" s="756"/>
      <c r="BJ48" s="756"/>
      <c r="BK48" s="756"/>
      <c r="BL48" s="756"/>
      <c r="BM48" s="756"/>
      <c r="BN48" s="756"/>
      <c r="BO48" s="756"/>
      <c r="BP48" s="756"/>
      <c r="BQ48" s="756"/>
      <c r="BR48" s="756"/>
      <c r="BS48" s="756"/>
    </row>
    <row r="49" spans="1:71" s="757" customFormat="1" ht="30" customHeight="1">
      <c r="A49" s="2924">
        <v>2</v>
      </c>
      <c r="B49" s="3103" t="s">
        <v>610</v>
      </c>
      <c r="C49" s="3103"/>
      <c r="D49" s="3103"/>
      <c r="E49" s="3103"/>
      <c r="F49" s="3103"/>
      <c r="G49" s="3103"/>
      <c r="H49" s="3103"/>
      <c r="I49" s="3103"/>
      <c r="J49" s="3104"/>
      <c r="K49" s="3096" t="s">
        <v>591</v>
      </c>
      <c r="L49" s="3097"/>
      <c r="M49" s="3094" t="s">
        <v>540</v>
      </c>
      <c r="N49" s="3094"/>
      <c r="O49" s="3094" t="s">
        <v>6894</v>
      </c>
      <c r="P49" s="3094"/>
      <c r="Q49" s="767"/>
      <c r="R49" s="768"/>
      <c r="S49" s="768"/>
      <c r="T49" s="768"/>
      <c r="U49" s="768"/>
      <c r="V49" s="768"/>
      <c r="W49" s="768"/>
      <c r="X49" s="768"/>
      <c r="Y49" s="756"/>
      <c r="Z49" s="756"/>
      <c r="AA49" s="756"/>
      <c r="AB49" s="756"/>
      <c r="AC49" s="756"/>
      <c r="AD49" s="756"/>
      <c r="AE49" s="756"/>
      <c r="AF49" s="756"/>
      <c r="AG49" s="756"/>
      <c r="AH49" s="756"/>
      <c r="AI49" s="756"/>
      <c r="AJ49" s="756"/>
      <c r="AK49" s="756"/>
      <c r="AL49" s="756"/>
      <c r="AM49" s="756"/>
      <c r="AN49" s="756"/>
      <c r="AO49" s="756"/>
      <c r="AP49" s="756"/>
      <c r="AQ49" s="756"/>
      <c r="AR49" s="756"/>
      <c r="AS49" s="756"/>
      <c r="AT49" s="756"/>
      <c r="AU49" s="756"/>
      <c r="AV49" s="756"/>
      <c r="AW49" s="756"/>
      <c r="AX49" s="756"/>
      <c r="AY49" s="756"/>
      <c r="AZ49" s="756"/>
      <c r="BA49" s="756"/>
      <c r="BB49" s="756"/>
      <c r="BC49" s="756"/>
      <c r="BD49" s="756"/>
      <c r="BE49" s="756"/>
      <c r="BF49" s="756"/>
      <c r="BG49" s="756"/>
      <c r="BH49" s="756"/>
      <c r="BI49" s="756"/>
      <c r="BJ49" s="756"/>
      <c r="BK49" s="756"/>
      <c r="BL49" s="756"/>
      <c r="BM49" s="756"/>
      <c r="BN49" s="756"/>
      <c r="BO49" s="756"/>
      <c r="BP49" s="756"/>
      <c r="BQ49" s="756"/>
    </row>
    <row r="50" spans="1:71" s="757" customFormat="1" ht="30" customHeight="1" thickBot="1">
      <c r="A50" s="2925"/>
      <c r="B50" s="3105"/>
      <c r="C50" s="3105"/>
      <c r="D50" s="3105"/>
      <c r="E50" s="3105"/>
      <c r="F50" s="3105"/>
      <c r="G50" s="3105"/>
      <c r="H50" s="3105"/>
      <c r="I50" s="3105"/>
      <c r="J50" s="3106"/>
      <c r="K50" s="3098"/>
      <c r="L50" s="3099"/>
      <c r="M50" s="3095"/>
      <c r="N50" s="3095"/>
      <c r="O50" s="3095"/>
      <c r="P50" s="3095"/>
      <c r="Q50" s="767"/>
      <c r="R50" s="768"/>
      <c r="S50" s="768"/>
      <c r="T50" s="768"/>
      <c r="U50" s="768"/>
      <c r="V50" s="768"/>
      <c r="W50" s="768"/>
      <c r="X50" s="768"/>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row>
    <row r="51" spans="1:71" s="757" customFormat="1" ht="107.25" customHeight="1" thickBot="1">
      <c r="A51" s="3100" t="s">
        <v>7614</v>
      </c>
      <c r="B51" s="3101"/>
      <c r="C51" s="3101"/>
      <c r="D51" s="3101"/>
      <c r="E51" s="3101"/>
      <c r="F51" s="3101"/>
      <c r="G51" s="3101"/>
      <c r="H51" s="3101"/>
      <c r="I51" s="3101"/>
      <c r="J51" s="3101"/>
      <c r="K51" s="3101"/>
      <c r="L51" s="3101"/>
      <c r="M51" s="3101"/>
      <c r="N51" s="3102"/>
      <c r="O51" s="760"/>
      <c r="P51" s="760"/>
      <c r="Q51" s="760"/>
      <c r="R51" s="760"/>
      <c r="S51" s="760"/>
      <c r="T51" s="760"/>
      <c r="U51" s="760"/>
      <c r="V51" s="760"/>
      <c r="W51" s="760"/>
      <c r="X51" s="760"/>
      <c r="Y51" s="760"/>
      <c r="Z51" s="760"/>
      <c r="AA51" s="756"/>
      <c r="AB51" s="756"/>
      <c r="AC51" s="756"/>
      <c r="AD51" s="756"/>
      <c r="AE51" s="756"/>
      <c r="AF51" s="756"/>
      <c r="AG51" s="758"/>
      <c r="AH51" s="756"/>
      <c r="AI51" s="756"/>
      <c r="AJ51" s="756"/>
      <c r="AK51" s="756"/>
      <c r="AL51" s="756"/>
      <c r="AM51" s="756"/>
      <c r="AN51" s="756"/>
      <c r="AO51" s="756"/>
      <c r="AP51" s="756"/>
      <c r="AQ51" s="756"/>
      <c r="AR51" s="756"/>
      <c r="AS51" s="756"/>
      <c r="AT51" s="756"/>
      <c r="AU51" s="756"/>
      <c r="AV51" s="756"/>
      <c r="AW51" s="756"/>
      <c r="AX51" s="756"/>
      <c r="AY51" s="756"/>
      <c r="AZ51" s="756"/>
      <c r="BA51" s="756"/>
      <c r="BB51" s="756"/>
      <c r="BC51" s="756"/>
      <c r="BD51" s="756"/>
      <c r="BE51" s="756"/>
      <c r="BF51" s="756"/>
      <c r="BG51" s="756"/>
      <c r="BH51" s="756"/>
      <c r="BI51" s="756"/>
      <c r="BJ51" s="756"/>
      <c r="BK51" s="756"/>
      <c r="BL51" s="756"/>
      <c r="BM51" s="756"/>
      <c r="BN51" s="756"/>
      <c r="BO51" s="756"/>
      <c r="BP51" s="756"/>
      <c r="BQ51" s="756"/>
      <c r="BR51" s="756"/>
      <c r="BS51" s="756"/>
    </row>
    <row r="52" spans="1:71" s="757" customFormat="1" ht="13.5" hidden="1" thickBot="1">
      <c r="A52" s="760"/>
      <c r="B52" s="760"/>
      <c r="C52" s="760"/>
      <c r="D52" s="760"/>
      <c r="E52" s="760"/>
      <c r="F52" s="760"/>
      <c r="G52" s="760"/>
      <c r="H52" s="760"/>
      <c r="I52" s="760"/>
      <c r="J52" s="760"/>
      <c r="K52" s="760"/>
      <c r="L52" s="760"/>
      <c r="M52" s="760"/>
      <c r="N52" s="760"/>
      <c r="O52" s="760"/>
      <c r="P52" s="760"/>
      <c r="Q52" s="760"/>
      <c r="R52" s="760"/>
      <c r="S52" s="760"/>
      <c r="T52" s="760"/>
      <c r="U52" s="760"/>
      <c r="V52" s="760"/>
      <c r="W52" s="760"/>
      <c r="X52" s="760"/>
      <c r="Y52" s="760"/>
      <c r="Z52" s="760"/>
      <c r="AA52" s="756"/>
      <c r="AB52" s="756"/>
      <c r="AC52" s="756"/>
      <c r="AD52" s="756"/>
      <c r="AE52" s="756"/>
      <c r="AF52" s="756"/>
      <c r="AG52" s="758"/>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row>
    <row r="53" spans="1:71" s="755" customFormat="1" ht="21" customHeight="1">
      <c r="A53" s="3075" t="s">
        <v>611</v>
      </c>
      <c r="B53" s="3076"/>
      <c r="C53" s="3076"/>
      <c r="D53" s="3077"/>
      <c r="E53" s="3081" t="s">
        <v>612</v>
      </c>
      <c r="F53" s="3081"/>
      <c r="G53" s="3081"/>
      <c r="H53" s="3081"/>
      <c r="I53" s="3082"/>
      <c r="J53" s="2942" t="str">
        <f>J13</f>
        <v>Please fill setup</v>
      </c>
      <c r="K53" s="2943"/>
      <c r="L53" s="2943"/>
      <c r="M53" s="2943"/>
      <c r="N53" s="2944"/>
      <c r="O53" s="2942" t="str">
        <f>O13</f>
        <v>Please fill setup</v>
      </c>
      <c r="P53" s="2943"/>
      <c r="Q53" s="2943"/>
      <c r="R53" s="2943"/>
      <c r="S53" s="2944"/>
      <c r="T53" s="2942" t="str">
        <f>T13</f>
        <v>Please fill setup</v>
      </c>
      <c r="U53" s="2943"/>
      <c r="V53" s="2943"/>
      <c r="W53" s="2943"/>
      <c r="X53" s="2944"/>
      <c r="Y53" s="1335" t="s">
        <v>593</v>
      </c>
      <c r="Z53" s="1336"/>
      <c r="AA53" s="753"/>
      <c r="AB53" s="753"/>
      <c r="AC53" s="753"/>
      <c r="AD53" s="753"/>
      <c r="AE53" s="753"/>
      <c r="AF53" s="753"/>
      <c r="AG53" s="753"/>
      <c r="AH53" s="753"/>
      <c r="AI53" s="754"/>
      <c r="AJ53" s="753"/>
      <c r="AK53" s="753"/>
      <c r="AL53" s="753"/>
      <c r="AM53" s="753"/>
      <c r="AN53" s="753"/>
      <c r="AO53" s="753"/>
      <c r="AP53" s="753"/>
      <c r="AQ53" s="753"/>
      <c r="AR53" s="753"/>
      <c r="AS53" s="753"/>
      <c r="AT53" s="753"/>
      <c r="AU53" s="753"/>
      <c r="AV53" s="753"/>
      <c r="AW53" s="753"/>
      <c r="AX53" s="753"/>
      <c r="AY53" s="753"/>
      <c r="AZ53" s="753"/>
      <c r="BA53" s="753"/>
      <c r="BB53" s="753"/>
      <c r="BC53" s="753"/>
      <c r="BD53" s="753"/>
      <c r="BE53" s="753"/>
      <c r="BF53" s="753"/>
      <c r="BG53" s="753"/>
      <c r="BH53" s="753"/>
      <c r="BI53" s="753"/>
      <c r="BJ53" s="753"/>
      <c r="BK53" s="753"/>
      <c r="BL53" s="753"/>
      <c r="BM53" s="753"/>
      <c r="BN53" s="753"/>
      <c r="BO53" s="753"/>
      <c r="BP53" s="753"/>
      <c r="BQ53" s="753"/>
      <c r="BR53" s="753"/>
      <c r="BS53" s="753"/>
    </row>
    <row r="54" spans="1:71" s="70" customFormat="1" ht="21" customHeight="1" thickBot="1">
      <c r="A54" s="3078"/>
      <c r="B54" s="3079"/>
      <c r="C54" s="3079"/>
      <c r="D54" s="3080"/>
      <c r="E54" s="3083"/>
      <c r="F54" s="3083"/>
      <c r="G54" s="3083"/>
      <c r="H54" s="3083"/>
      <c r="I54" s="3084"/>
      <c r="J54" s="348" t="s">
        <v>182</v>
      </c>
      <c r="K54" s="599" t="s">
        <v>308</v>
      </c>
      <c r="L54" s="599" t="s">
        <v>183</v>
      </c>
      <c r="M54" s="599" t="s">
        <v>184</v>
      </c>
      <c r="N54" s="600" t="s">
        <v>594</v>
      </c>
      <c r="O54" s="599" t="s">
        <v>185</v>
      </c>
      <c r="P54" s="599" t="s">
        <v>186</v>
      </c>
      <c r="Q54" s="599" t="s">
        <v>187</v>
      </c>
      <c r="R54" s="599" t="s">
        <v>188</v>
      </c>
      <c r="S54" s="599" t="s">
        <v>595</v>
      </c>
      <c r="T54" s="348" t="s">
        <v>189</v>
      </c>
      <c r="U54" s="599" t="s">
        <v>190</v>
      </c>
      <c r="V54" s="599" t="s">
        <v>191</v>
      </c>
      <c r="W54" s="599" t="s">
        <v>192</v>
      </c>
      <c r="X54" s="600" t="s">
        <v>596</v>
      </c>
      <c r="Y54" s="349" t="s">
        <v>176</v>
      </c>
      <c r="Z54" s="361"/>
      <c r="AA54" s="360"/>
      <c r="AB54" s="360"/>
      <c r="AC54" s="360"/>
      <c r="AD54" s="360"/>
      <c r="AE54" s="360"/>
      <c r="AF54" s="360"/>
      <c r="AG54" s="360"/>
      <c r="AH54" s="360"/>
      <c r="AI54" s="360"/>
      <c r="AJ54" s="360"/>
      <c r="AK54" s="360"/>
      <c r="AL54" s="360"/>
      <c r="AM54" s="360"/>
      <c r="AN54" s="360"/>
      <c r="AO54" s="360"/>
      <c r="AP54" s="360"/>
      <c r="AQ54" s="360"/>
      <c r="AR54" s="360"/>
      <c r="AS54" s="360"/>
      <c r="AT54" s="360"/>
      <c r="AU54" s="360"/>
      <c r="AV54" s="360"/>
      <c r="AW54" s="360"/>
      <c r="AX54" s="360"/>
      <c r="AY54" s="360"/>
      <c r="AZ54" s="360"/>
      <c r="BA54" s="360"/>
      <c r="BB54" s="360"/>
      <c r="BC54" s="360"/>
      <c r="BD54" s="360"/>
      <c r="BE54" s="360"/>
      <c r="BF54" s="360"/>
      <c r="BG54" s="360"/>
      <c r="BH54" s="360"/>
      <c r="BI54" s="360"/>
      <c r="BJ54" s="360"/>
      <c r="BK54" s="360"/>
      <c r="BL54" s="360"/>
      <c r="BM54" s="360"/>
      <c r="BN54" s="360"/>
      <c r="BO54" s="360"/>
      <c r="BP54" s="360"/>
      <c r="BQ54" s="360"/>
      <c r="BR54" s="360"/>
      <c r="BS54" s="360"/>
    </row>
    <row r="55" spans="1:71" s="757" customFormat="1" ht="13">
      <c r="A55" s="3070"/>
      <c r="B55" s="3071"/>
      <c r="C55" s="3071"/>
      <c r="D55" s="3072"/>
      <c r="E55" s="3073"/>
      <c r="F55" s="3073"/>
      <c r="G55" s="3073"/>
      <c r="H55" s="3073"/>
      <c r="I55" s="3074"/>
      <c r="J55" s="779"/>
      <c r="K55" s="780"/>
      <c r="L55" s="780"/>
      <c r="M55" s="780"/>
      <c r="N55" s="781">
        <f>SUM(Table4546484950[[#This Row],[Y1 Q1 cost]:[Y1 Q4 cost]])</f>
        <v>0</v>
      </c>
      <c r="O55" s="780"/>
      <c r="P55" s="780"/>
      <c r="Q55" s="780"/>
      <c r="R55" s="780"/>
      <c r="S55" s="782">
        <f>SUM(Table4546484950[[#This Row],[Y2 Q1 cost]:[Y2 Q4 cost]])</f>
        <v>0</v>
      </c>
      <c r="T55" s="779"/>
      <c r="U55" s="780"/>
      <c r="V55" s="780"/>
      <c r="W55" s="780"/>
      <c r="X55" s="781">
        <f>SUM(Table4546484950[[#This Row],[Y3 Q1 cost]:[Y3 Q4 cost]])</f>
        <v>0</v>
      </c>
      <c r="Y55" s="783">
        <f>Table4546484950[[#This Row],[Y1 total cost]]+Table4546484950[[#This Row],[Y2 total cost]]+Table4546484950[[#This Row],[Y3 total cost]]</f>
        <v>0</v>
      </c>
      <c r="Z55" s="761"/>
      <c r="AA55" s="756"/>
      <c r="AB55" s="756"/>
      <c r="AC55" s="756"/>
      <c r="AD55" s="756"/>
      <c r="AE55" s="756"/>
      <c r="AF55" s="756"/>
      <c r="AG55" s="756"/>
      <c r="AH55" s="756"/>
      <c r="AI55" s="758"/>
      <c r="AJ55" s="756"/>
      <c r="AK55" s="756"/>
      <c r="AL55" s="756"/>
      <c r="AM55" s="756"/>
      <c r="AN55" s="756"/>
      <c r="AO55" s="756"/>
      <c r="AP55" s="756"/>
      <c r="AQ55" s="756"/>
      <c r="AR55" s="756"/>
      <c r="AS55" s="756"/>
      <c r="AT55" s="756"/>
      <c r="AU55" s="756"/>
      <c r="AV55" s="756"/>
      <c r="AW55" s="756"/>
      <c r="AX55" s="756"/>
      <c r="AY55" s="756"/>
      <c r="AZ55" s="756"/>
      <c r="BA55" s="756"/>
      <c r="BB55" s="756"/>
      <c r="BC55" s="756"/>
      <c r="BD55" s="756"/>
      <c r="BE55" s="756"/>
      <c r="BF55" s="756"/>
      <c r="BG55" s="756"/>
      <c r="BH55" s="756"/>
      <c r="BI55" s="756"/>
      <c r="BJ55" s="756"/>
      <c r="BK55" s="756"/>
      <c r="BL55" s="756"/>
      <c r="BM55" s="756"/>
      <c r="BN55" s="756"/>
      <c r="BO55" s="756"/>
      <c r="BP55" s="756"/>
      <c r="BQ55" s="756"/>
      <c r="BR55" s="756"/>
      <c r="BS55" s="756"/>
    </row>
    <row r="56" spans="1:71" s="757" customFormat="1" ht="13">
      <c r="A56" s="3065"/>
      <c r="B56" s="3066"/>
      <c r="C56" s="3066"/>
      <c r="D56" s="3067"/>
      <c r="E56" s="3068"/>
      <c r="F56" s="3068"/>
      <c r="G56" s="3068"/>
      <c r="H56" s="3068"/>
      <c r="I56" s="3069"/>
      <c r="J56" s="779"/>
      <c r="K56" s="780"/>
      <c r="L56" s="780"/>
      <c r="M56" s="780"/>
      <c r="N56" s="781">
        <f>SUM(Table4546484950[[#This Row],[Y1 Q1 cost]:[Y1 Q4 cost]])</f>
        <v>0</v>
      </c>
      <c r="O56" s="780"/>
      <c r="P56" s="780"/>
      <c r="Q56" s="780"/>
      <c r="R56" s="780"/>
      <c r="S56" s="782">
        <f>SUM(Table4546484950[[#This Row],[Y2 Q1 cost]:[Y2 Q4 cost]])</f>
        <v>0</v>
      </c>
      <c r="T56" s="779"/>
      <c r="U56" s="780"/>
      <c r="V56" s="780"/>
      <c r="W56" s="780"/>
      <c r="X56" s="781">
        <f>SUM(Table4546484950[[#This Row],[Y3 Q1 cost]:[Y3 Q4 cost]])</f>
        <v>0</v>
      </c>
      <c r="Y56" s="783">
        <f>Table4546484950[[#This Row],[Y1 total cost]]+Table4546484950[[#This Row],[Y2 total cost]]+Table4546484950[[#This Row],[Y3 total cost]]</f>
        <v>0</v>
      </c>
      <c r="Z56" s="761"/>
      <c r="AA56" s="756"/>
      <c r="AB56" s="756"/>
      <c r="AC56" s="756"/>
      <c r="AD56" s="756"/>
      <c r="AE56" s="756"/>
      <c r="AF56" s="756"/>
      <c r="AG56" s="756"/>
      <c r="AH56" s="756"/>
      <c r="AI56" s="758"/>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row>
    <row r="57" spans="1:71" s="757" customFormat="1" ht="13">
      <c r="A57" s="3070"/>
      <c r="B57" s="3071"/>
      <c r="C57" s="3071"/>
      <c r="D57" s="3072"/>
      <c r="E57" s="3073"/>
      <c r="F57" s="3073"/>
      <c r="G57" s="3073"/>
      <c r="H57" s="3073"/>
      <c r="I57" s="3074"/>
      <c r="J57" s="779"/>
      <c r="K57" s="780"/>
      <c r="L57" s="780"/>
      <c r="M57" s="780"/>
      <c r="N57" s="781">
        <f>SUM(Table4546484950[[#This Row],[Y1 Q1 cost]:[Y1 Q4 cost]])</f>
        <v>0</v>
      </c>
      <c r="O57" s="780"/>
      <c r="P57" s="780"/>
      <c r="Q57" s="780"/>
      <c r="R57" s="780"/>
      <c r="S57" s="782">
        <f>SUM(Table4546484950[[#This Row],[Y2 Q1 cost]:[Y2 Q4 cost]])</f>
        <v>0</v>
      </c>
      <c r="T57" s="779"/>
      <c r="U57" s="780"/>
      <c r="V57" s="780"/>
      <c r="W57" s="780"/>
      <c r="X57" s="781">
        <f>SUM(Table4546484950[[#This Row],[Y3 Q1 cost]:[Y3 Q4 cost]])</f>
        <v>0</v>
      </c>
      <c r="Y57" s="782">
        <f>Table4546484950[[#This Row],[Y1 total cost]]+Table4546484950[[#This Row],[Y2 total cost]]+Table4546484950[[#This Row],[Y3 total cost]]</f>
        <v>0</v>
      </c>
      <c r="Z57" s="761"/>
      <c r="AA57" s="756"/>
      <c r="AB57" s="756"/>
      <c r="AC57" s="756"/>
      <c r="AD57" s="756"/>
      <c r="AE57" s="756"/>
      <c r="AF57" s="756"/>
      <c r="AG57" s="756"/>
      <c r="AH57" s="756"/>
      <c r="AI57" s="758"/>
      <c r="AJ57" s="756"/>
      <c r="AK57" s="756"/>
      <c r="AL57" s="756"/>
      <c r="AM57" s="756"/>
      <c r="AN57" s="756"/>
      <c r="AO57" s="756"/>
      <c r="AP57" s="756"/>
      <c r="AQ57" s="756"/>
      <c r="AR57" s="756"/>
      <c r="AS57" s="756"/>
      <c r="AT57" s="756"/>
      <c r="AU57" s="756"/>
      <c r="AV57" s="756"/>
      <c r="AW57" s="756"/>
      <c r="AX57" s="756"/>
      <c r="AY57" s="756"/>
      <c r="AZ57" s="756"/>
      <c r="BA57" s="756"/>
      <c r="BB57" s="756"/>
      <c r="BC57" s="756"/>
      <c r="BD57" s="756"/>
      <c r="BE57" s="756"/>
      <c r="BF57" s="756"/>
      <c r="BG57" s="756"/>
      <c r="BH57" s="756"/>
      <c r="BI57" s="756"/>
      <c r="BJ57" s="756"/>
      <c r="BK57" s="756"/>
      <c r="BL57" s="756"/>
      <c r="BM57" s="756"/>
      <c r="BN57" s="756"/>
      <c r="BO57" s="756"/>
      <c r="BP57" s="756"/>
      <c r="BQ57" s="756"/>
      <c r="BR57" s="756"/>
      <c r="BS57" s="756"/>
    </row>
    <row r="58" spans="1:71" s="757" customFormat="1" ht="13">
      <c r="A58" s="3065"/>
      <c r="B58" s="3066"/>
      <c r="C58" s="3066"/>
      <c r="D58" s="3067"/>
      <c r="E58" s="3068"/>
      <c r="F58" s="3068"/>
      <c r="G58" s="3068"/>
      <c r="H58" s="3068"/>
      <c r="I58" s="3069"/>
      <c r="J58" s="779"/>
      <c r="K58" s="784"/>
      <c r="L58" s="784"/>
      <c r="M58" s="784"/>
      <c r="N58" s="781">
        <f>SUM(Table4546484950[[#This Row],[Y1 Q1 cost]:[Y1 Q4 cost]])</f>
        <v>0</v>
      </c>
      <c r="O58" s="784"/>
      <c r="P58" s="784"/>
      <c r="Q58" s="784"/>
      <c r="R58" s="784"/>
      <c r="S58" s="783">
        <f>SUM(Table4546484950[[#This Row],[Y2 Q1 cost]:[Y2 Q4 cost]])</f>
        <v>0</v>
      </c>
      <c r="T58" s="779"/>
      <c r="U58" s="784"/>
      <c r="V58" s="784"/>
      <c r="W58" s="784"/>
      <c r="X58" s="781">
        <f>SUM(Table4546484950[[#This Row],[Y3 Q1 cost]:[Y3 Q4 cost]])</f>
        <v>0</v>
      </c>
      <c r="Y58" s="783">
        <f>Table4546484950[[#This Row],[Y1 total cost]]+Table4546484950[[#This Row],[Y2 total cost]]+Table4546484950[[#This Row],[Y3 total cost]]</f>
        <v>0</v>
      </c>
      <c r="Z58" s="761"/>
      <c r="AA58" s="756"/>
      <c r="AB58" s="756"/>
      <c r="AC58" s="756"/>
      <c r="AD58" s="756"/>
      <c r="AE58" s="756"/>
      <c r="AF58" s="756"/>
      <c r="AG58" s="756"/>
      <c r="AH58" s="756"/>
      <c r="AI58" s="758"/>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56"/>
      <c r="BH58" s="756"/>
      <c r="BI58" s="756"/>
      <c r="BJ58" s="756"/>
      <c r="BK58" s="756"/>
      <c r="BL58" s="756"/>
      <c r="BM58" s="756"/>
      <c r="BN58" s="756"/>
      <c r="BO58" s="756"/>
      <c r="BP58" s="756"/>
      <c r="BQ58" s="756"/>
      <c r="BR58" s="756"/>
      <c r="BS58" s="756"/>
    </row>
    <row r="59" spans="1:71" s="757" customFormat="1" ht="13">
      <c r="A59" s="3070"/>
      <c r="B59" s="3071"/>
      <c r="C59" s="3071"/>
      <c r="D59" s="3072"/>
      <c r="E59" s="3073"/>
      <c r="F59" s="3073"/>
      <c r="G59" s="3073"/>
      <c r="H59" s="3073"/>
      <c r="I59" s="3074"/>
      <c r="J59" s="779"/>
      <c r="K59" s="784"/>
      <c r="L59" s="784"/>
      <c r="M59" s="784"/>
      <c r="N59" s="781">
        <f>SUM(Table4546484950[[#This Row],[Y1 Q1 cost]:[Y1 Q4 cost]])</f>
        <v>0</v>
      </c>
      <c r="O59" s="784"/>
      <c r="P59" s="784"/>
      <c r="Q59" s="784"/>
      <c r="R59" s="784"/>
      <c r="S59" s="783">
        <f>SUM(Table4546484950[[#This Row],[Y2 Q1 cost]:[Y2 Q4 cost]])</f>
        <v>0</v>
      </c>
      <c r="T59" s="779"/>
      <c r="U59" s="784"/>
      <c r="V59" s="784"/>
      <c r="W59" s="784"/>
      <c r="X59" s="781">
        <f>SUM(Table4546484950[[#This Row],[Y3 Q1 cost]:[Y3 Q4 cost]])</f>
        <v>0</v>
      </c>
      <c r="Y59" s="783">
        <f>Table4546484950[[#This Row],[Y1 total cost]]+Table4546484950[[#This Row],[Y2 total cost]]+Table4546484950[[#This Row],[Y3 total cost]]</f>
        <v>0</v>
      </c>
      <c r="Z59" s="761"/>
      <c r="AA59" s="756"/>
      <c r="AB59" s="756"/>
      <c r="AC59" s="756"/>
      <c r="AD59" s="756"/>
      <c r="AE59" s="756"/>
      <c r="AF59" s="756"/>
      <c r="AG59" s="756"/>
      <c r="AH59" s="756"/>
      <c r="AI59" s="758"/>
      <c r="AJ59" s="756"/>
      <c r="AK59" s="756"/>
      <c r="AL59" s="756"/>
      <c r="AM59" s="756"/>
      <c r="AN59" s="756"/>
      <c r="AO59" s="756"/>
      <c r="AP59" s="756"/>
      <c r="AQ59" s="756"/>
      <c r="AR59" s="756"/>
      <c r="AS59" s="756"/>
      <c r="AT59" s="756"/>
      <c r="AU59" s="756"/>
      <c r="AV59" s="756"/>
      <c r="AW59" s="756"/>
      <c r="AX59" s="756"/>
      <c r="AY59" s="756"/>
      <c r="AZ59" s="756"/>
      <c r="BA59" s="756"/>
      <c r="BB59" s="756"/>
      <c r="BC59" s="756"/>
      <c r="BD59" s="756"/>
      <c r="BE59" s="756"/>
      <c r="BF59" s="756"/>
      <c r="BG59" s="756"/>
      <c r="BH59" s="756"/>
      <c r="BI59" s="756"/>
      <c r="BJ59" s="756"/>
      <c r="BK59" s="756"/>
      <c r="BL59" s="756"/>
      <c r="BM59" s="756"/>
      <c r="BN59" s="756"/>
      <c r="BO59" s="756"/>
      <c r="BP59" s="756"/>
      <c r="BQ59" s="756"/>
      <c r="BR59" s="756"/>
      <c r="BS59" s="756"/>
    </row>
    <row r="60" spans="1:71" s="757" customFormat="1" ht="13">
      <c r="A60" s="3065"/>
      <c r="B60" s="3066"/>
      <c r="C60" s="3066"/>
      <c r="D60" s="3067"/>
      <c r="E60" s="3068"/>
      <c r="F60" s="3068"/>
      <c r="G60" s="3068"/>
      <c r="H60" s="3068"/>
      <c r="I60" s="3069"/>
      <c r="J60" s="779"/>
      <c r="K60" s="784"/>
      <c r="L60" s="784"/>
      <c r="M60" s="784"/>
      <c r="N60" s="781">
        <f>SUM(Table4546484950[[#This Row],[Y1 Q1 cost]:[Y1 Q4 cost]])</f>
        <v>0</v>
      </c>
      <c r="O60" s="784"/>
      <c r="P60" s="784"/>
      <c r="Q60" s="784"/>
      <c r="R60" s="784"/>
      <c r="S60" s="783">
        <f>SUM(Table4546484950[[#This Row],[Y2 Q1 cost]:[Y2 Q4 cost]])</f>
        <v>0</v>
      </c>
      <c r="T60" s="779"/>
      <c r="U60" s="784"/>
      <c r="V60" s="784"/>
      <c r="W60" s="784"/>
      <c r="X60" s="781">
        <f>SUM(Table4546484950[[#This Row],[Y3 Q1 cost]:[Y3 Q4 cost]])</f>
        <v>0</v>
      </c>
      <c r="Y60" s="783">
        <f>Table4546484950[[#This Row],[Y1 total cost]]+Table4546484950[[#This Row],[Y2 total cost]]+Table4546484950[[#This Row],[Y3 total cost]]</f>
        <v>0</v>
      </c>
      <c r="Z60" s="761"/>
      <c r="AA60" s="756"/>
      <c r="AB60" s="756"/>
      <c r="AC60" s="756"/>
      <c r="AD60" s="756"/>
      <c r="AE60" s="756"/>
      <c r="AF60" s="756"/>
      <c r="AG60" s="756"/>
      <c r="AH60" s="756"/>
      <c r="AI60" s="758"/>
      <c r="AJ60" s="756"/>
      <c r="AK60" s="756"/>
      <c r="AL60" s="756"/>
      <c r="AM60" s="756"/>
      <c r="AN60" s="756"/>
      <c r="AO60" s="756"/>
      <c r="AP60" s="756"/>
      <c r="AQ60" s="756"/>
      <c r="AR60" s="756"/>
      <c r="AS60" s="756"/>
      <c r="AT60" s="756"/>
      <c r="AU60" s="756"/>
      <c r="AV60" s="756"/>
      <c r="AW60" s="756"/>
      <c r="AX60" s="756"/>
      <c r="AY60" s="756"/>
      <c r="AZ60" s="756"/>
      <c r="BA60" s="756"/>
      <c r="BB60" s="756"/>
      <c r="BC60" s="756"/>
      <c r="BD60" s="756"/>
      <c r="BE60" s="756"/>
      <c r="BF60" s="756"/>
      <c r="BG60" s="756"/>
      <c r="BH60" s="756"/>
      <c r="BI60" s="756"/>
      <c r="BJ60" s="756"/>
      <c r="BK60" s="756"/>
      <c r="BL60" s="756"/>
      <c r="BM60" s="756"/>
      <c r="BN60" s="756"/>
      <c r="BO60" s="756"/>
      <c r="BP60" s="756"/>
      <c r="BQ60" s="756"/>
      <c r="BR60" s="756"/>
      <c r="BS60" s="756"/>
    </row>
    <row r="61" spans="1:71" s="757" customFormat="1" ht="13">
      <c r="A61" s="3070"/>
      <c r="B61" s="3071"/>
      <c r="C61" s="3071"/>
      <c r="D61" s="3072"/>
      <c r="E61" s="3073"/>
      <c r="F61" s="3073"/>
      <c r="G61" s="3073"/>
      <c r="H61" s="3073"/>
      <c r="I61" s="3074"/>
      <c r="J61" s="779"/>
      <c r="K61" s="784"/>
      <c r="L61" s="784"/>
      <c r="M61" s="784"/>
      <c r="N61" s="781">
        <f>SUM(Table4546484950[[#This Row],[Y1 Q1 cost]:[Y1 Q4 cost]])</f>
        <v>0</v>
      </c>
      <c r="O61" s="784"/>
      <c r="P61" s="784"/>
      <c r="Q61" s="784"/>
      <c r="R61" s="784"/>
      <c r="S61" s="783">
        <f>SUM(Table4546484950[[#This Row],[Y2 Q1 cost]:[Y2 Q4 cost]])</f>
        <v>0</v>
      </c>
      <c r="T61" s="779"/>
      <c r="U61" s="784"/>
      <c r="V61" s="784"/>
      <c r="W61" s="784"/>
      <c r="X61" s="781">
        <f>SUM(Table4546484950[[#This Row],[Y3 Q1 cost]:[Y3 Q4 cost]])</f>
        <v>0</v>
      </c>
      <c r="Y61" s="781">
        <f>Table4546484950[[#This Row],[Y1 total cost]]+Table4546484950[[#This Row],[Y2 total cost]]+Table4546484950[[#This Row],[Y3 total cost]]</f>
        <v>0</v>
      </c>
      <c r="Z61" s="761"/>
      <c r="AA61" s="756"/>
      <c r="AB61" s="756"/>
      <c r="AC61" s="756"/>
      <c r="AD61" s="756"/>
      <c r="AE61" s="756"/>
      <c r="AF61" s="756"/>
      <c r="AG61" s="756"/>
      <c r="AH61" s="756"/>
      <c r="AI61" s="758"/>
      <c r="AJ61" s="756"/>
      <c r="AK61" s="756"/>
      <c r="AL61" s="756"/>
      <c r="AM61" s="756"/>
      <c r="AN61" s="756"/>
      <c r="AO61" s="756"/>
      <c r="AP61" s="756"/>
      <c r="AQ61" s="756"/>
      <c r="AR61" s="756"/>
      <c r="AS61" s="756"/>
      <c r="AT61" s="756"/>
      <c r="AU61" s="756"/>
      <c r="AV61" s="756"/>
      <c r="AW61" s="756"/>
      <c r="AX61" s="756"/>
      <c r="AY61" s="756"/>
      <c r="AZ61" s="756"/>
      <c r="BA61" s="756"/>
      <c r="BB61" s="756"/>
      <c r="BC61" s="756"/>
      <c r="BD61" s="756"/>
      <c r="BE61" s="756"/>
      <c r="BF61" s="756"/>
      <c r="BG61" s="756"/>
      <c r="BH61" s="756"/>
      <c r="BI61" s="756"/>
      <c r="BJ61" s="756"/>
      <c r="BK61" s="756"/>
      <c r="BL61" s="756"/>
      <c r="BM61" s="756"/>
      <c r="BN61" s="756"/>
      <c r="BO61" s="756"/>
      <c r="BP61" s="756"/>
      <c r="BQ61" s="756"/>
      <c r="BR61" s="756"/>
      <c r="BS61" s="756"/>
    </row>
    <row r="62" spans="1:71" s="757" customFormat="1" ht="13">
      <c r="A62" s="3065"/>
      <c r="B62" s="3066"/>
      <c r="C62" s="3066"/>
      <c r="D62" s="3067"/>
      <c r="E62" s="3068"/>
      <c r="F62" s="3068"/>
      <c r="G62" s="3068"/>
      <c r="H62" s="3068"/>
      <c r="I62" s="3069"/>
      <c r="J62" s="779"/>
      <c r="K62" s="784"/>
      <c r="L62" s="784"/>
      <c r="M62" s="784"/>
      <c r="N62" s="781">
        <f>SUM(Table4546484950[[#This Row],[Y1 Q1 cost]:[Y1 Q4 cost]])</f>
        <v>0</v>
      </c>
      <c r="O62" s="784"/>
      <c r="P62" s="784"/>
      <c r="Q62" s="784"/>
      <c r="R62" s="784"/>
      <c r="S62" s="783">
        <f>SUM(Table4546484950[[#This Row],[Y2 Q1 cost]:[Y2 Q4 cost]])</f>
        <v>0</v>
      </c>
      <c r="T62" s="779"/>
      <c r="U62" s="784"/>
      <c r="V62" s="784"/>
      <c r="W62" s="784"/>
      <c r="X62" s="781">
        <f>SUM(Table4546484950[[#This Row],[Y3 Q1 cost]:[Y3 Q4 cost]])</f>
        <v>0</v>
      </c>
      <c r="Y62" s="781">
        <f>Table4546484950[[#This Row],[Y1 total cost]]+Table4546484950[[#This Row],[Y2 total cost]]+Table4546484950[[#This Row],[Y3 total cost]]</f>
        <v>0</v>
      </c>
      <c r="Z62" s="761"/>
      <c r="AA62" s="756"/>
      <c r="AB62" s="756"/>
      <c r="AC62" s="756"/>
      <c r="AD62" s="756"/>
      <c r="AE62" s="756"/>
      <c r="AF62" s="756"/>
      <c r="AG62" s="756"/>
      <c r="AH62" s="756"/>
      <c r="AI62" s="758"/>
      <c r="AJ62" s="756"/>
      <c r="AK62" s="756"/>
      <c r="AL62" s="756"/>
      <c r="AM62" s="756"/>
      <c r="AN62" s="756"/>
      <c r="AO62" s="756"/>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756"/>
      <c r="BN62" s="756"/>
      <c r="BO62" s="756"/>
      <c r="BP62" s="756"/>
      <c r="BQ62" s="756"/>
      <c r="BR62" s="756"/>
      <c r="BS62" s="756"/>
    </row>
    <row r="63" spans="1:71" s="757" customFormat="1" ht="13">
      <c r="A63" s="3070"/>
      <c r="B63" s="3071"/>
      <c r="C63" s="3071"/>
      <c r="D63" s="3072"/>
      <c r="E63" s="3073"/>
      <c r="F63" s="3073"/>
      <c r="G63" s="3073"/>
      <c r="H63" s="3073"/>
      <c r="I63" s="3074"/>
      <c r="J63" s="779"/>
      <c r="K63" s="784"/>
      <c r="L63" s="784"/>
      <c r="M63" s="784"/>
      <c r="N63" s="781">
        <f>SUM(Table4546484950[[#This Row],[Y1 Q1 cost]:[Y1 Q4 cost]])</f>
        <v>0</v>
      </c>
      <c r="O63" s="784"/>
      <c r="P63" s="784"/>
      <c r="Q63" s="784"/>
      <c r="R63" s="784"/>
      <c r="S63" s="783">
        <f>SUM(Table4546484950[[#This Row],[Y2 Q1 cost]:[Y2 Q4 cost]])</f>
        <v>0</v>
      </c>
      <c r="T63" s="779"/>
      <c r="U63" s="784"/>
      <c r="V63" s="784"/>
      <c r="W63" s="784"/>
      <c r="X63" s="781">
        <f>SUM(Table4546484950[[#This Row],[Y3 Q1 cost]:[Y3 Q4 cost]])</f>
        <v>0</v>
      </c>
      <c r="Y63" s="781">
        <f>Table4546484950[[#This Row],[Y1 total cost]]+Table4546484950[[#This Row],[Y2 total cost]]+Table4546484950[[#This Row],[Y3 total cost]]</f>
        <v>0</v>
      </c>
      <c r="Z63" s="761"/>
      <c r="AA63" s="756"/>
      <c r="AB63" s="756"/>
      <c r="AC63" s="756"/>
      <c r="AD63" s="756"/>
      <c r="AE63" s="756"/>
      <c r="AF63" s="756"/>
      <c r="AG63" s="756"/>
      <c r="AH63" s="756"/>
      <c r="AI63" s="758"/>
      <c r="AJ63" s="756"/>
      <c r="AK63" s="756"/>
      <c r="AL63" s="756"/>
      <c r="AM63" s="756"/>
      <c r="AN63" s="756"/>
      <c r="AO63" s="756"/>
      <c r="AP63" s="756"/>
      <c r="AQ63" s="756"/>
      <c r="AR63" s="756"/>
      <c r="AS63" s="756"/>
      <c r="AT63" s="756"/>
      <c r="AU63" s="756"/>
      <c r="AV63" s="756"/>
      <c r="AW63" s="756"/>
      <c r="AX63" s="756"/>
      <c r="AY63" s="756"/>
      <c r="AZ63" s="756"/>
      <c r="BA63" s="756"/>
      <c r="BB63" s="756"/>
      <c r="BC63" s="756"/>
      <c r="BD63" s="756"/>
      <c r="BE63" s="756"/>
      <c r="BF63" s="756"/>
      <c r="BG63" s="756"/>
      <c r="BH63" s="756"/>
      <c r="BI63" s="756"/>
      <c r="BJ63" s="756"/>
      <c r="BK63" s="756"/>
      <c r="BL63" s="756"/>
      <c r="BM63" s="756"/>
      <c r="BN63" s="756"/>
      <c r="BO63" s="756"/>
      <c r="BP63" s="756"/>
      <c r="BQ63" s="756"/>
      <c r="BR63" s="756"/>
      <c r="BS63" s="756"/>
    </row>
    <row r="64" spans="1:71" s="757" customFormat="1" ht="13">
      <c r="A64" s="3065"/>
      <c r="B64" s="3066"/>
      <c r="C64" s="3066"/>
      <c r="D64" s="3067"/>
      <c r="E64" s="3068"/>
      <c r="F64" s="3068"/>
      <c r="G64" s="3068"/>
      <c r="H64" s="3068"/>
      <c r="I64" s="3069"/>
      <c r="J64" s="779"/>
      <c r="K64" s="784"/>
      <c r="L64" s="784"/>
      <c r="M64" s="784"/>
      <c r="N64" s="781">
        <f>SUM(Table4546484950[[#This Row],[Y1 Q1 cost]:[Y1 Q4 cost]])</f>
        <v>0</v>
      </c>
      <c r="O64" s="784"/>
      <c r="P64" s="784"/>
      <c r="Q64" s="784"/>
      <c r="R64" s="784"/>
      <c r="S64" s="783">
        <f>SUM(Table4546484950[[#This Row],[Y2 Q1 cost]:[Y2 Q4 cost]])</f>
        <v>0</v>
      </c>
      <c r="T64" s="779"/>
      <c r="U64" s="784"/>
      <c r="V64" s="784"/>
      <c r="W64" s="784"/>
      <c r="X64" s="781">
        <f>SUM(Table4546484950[[#This Row],[Y3 Q1 cost]:[Y3 Q4 cost]])</f>
        <v>0</v>
      </c>
      <c r="Y64" s="781">
        <f>Table4546484950[[#This Row],[Y1 total cost]]+Table4546484950[[#This Row],[Y2 total cost]]+Table4546484950[[#This Row],[Y3 total cost]]</f>
        <v>0</v>
      </c>
      <c r="Z64" s="761"/>
      <c r="AA64" s="756"/>
      <c r="AB64" s="756"/>
      <c r="AC64" s="756"/>
      <c r="AD64" s="756"/>
      <c r="AE64" s="756"/>
      <c r="AF64" s="756"/>
      <c r="AG64" s="756"/>
      <c r="AH64" s="756"/>
      <c r="AI64" s="758"/>
      <c r="AJ64" s="756"/>
      <c r="AK64" s="756"/>
      <c r="AL64" s="756"/>
      <c r="AM64" s="756"/>
      <c r="AN64" s="756"/>
      <c r="AO64" s="756"/>
      <c r="AP64" s="756"/>
      <c r="AQ64" s="756"/>
      <c r="AR64" s="756"/>
      <c r="AS64" s="756"/>
      <c r="AT64" s="756"/>
      <c r="AU64" s="756"/>
      <c r="AV64" s="756"/>
      <c r="AW64" s="756"/>
      <c r="AX64" s="756"/>
      <c r="AY64" s="756"/>
      <c r="AZ64" s="756"/>
      <c r="BA64" s="756"/>
      <c r="BB64" s="756"/>
      <c r="BC64" s="756"/>
      <c r="BD64" s="756"/>
      <c r="BE64" s="756"/>
      <c r="BF64" s="756"/>
      <c r="BG64" s="756"/>
      <c r="BH64" s="756"/>
      <c r="BI64" s="756"/>
      <c r="BJ64" s="756"/>
      <c r="BK64" s="756"/>
      <c r="BL64" s="756"/>
      <c r="BM64" s="756"/>
      <c r="BN64" s="756"/>
      <c r="BO64" s="756"/>
      <c r="BP64" s="756"/>
      <c r="BQ64" s="756"/>
      <c r="BR64" s="756"/>
      <c r="BS64" s="756"/>
    </row>
    <row r="65" spans="1:71" s="757" customFormat="1" ht="13">
      <c r="A65" s="3070"/>
      <c r="B65" s="3071"/>
      <c r="C65" s="3071"/>
      <c r="D65" s="3072"/>
      <c r="E65" s="3073"/>
      <c r="F65" s="3073"/>
      <c r="G65" s="3073"/>
      <c r="H65" s="3073"/>
      <c r="I65" s="3074"/>
      <c r="J65" s="779"/>
      <c r="K65" s="784"/>
      <c r="L65" s="784"/>
      <c r="M65" s="784"/>
      <c r="N65" s="781">
        <f>SUM(Table4546484950[[#This Row],[Y1 Q1 cost]:[Y1 Q4 cost]])</f>
        <v>0</v>
      </c>
      <c r="O65" s="784"/>
      <c r="P65" s="784"/>
      <c r="Q65" s="784"/>
      <c r="R65" s="784"/>
      <c r="S65" s="783">
        <f>SUM(Table4546484950[[#This Row],[Y2 Q1 cost]:[Y2 Q4 cost]])</f>
        <v>0</v>
      </c>
      <c r="T65" s="779"/>
      <c r="U65" s="784"/>
      <c r="V65" s="784"/>
      <c r="W65" s="784"/>
      <c r="X65" s="781">
        <f>SUM(Table4546484950[[#This Row],[Y3 Q1 cost]:[Y3 Q4 cost]])</f>
        <v>0</v>
      </c>
      <c r="Y65" s="781">
        <f>Table4546484950[[#This Row],[Y1 total cost]]+Table4546484950[[#This Row],[Y2 total cost]]+Table4546484950[[#This Row],[Y3 total cost]]</f>
        <v>0</v>
      </c>
      <c r="Z65" s="761"/>
      <c r="AA65" s="756"/>
      <c r="AB65" s="756"/>
      <c r="AC65" s="756"/>
      <c r="AD65" s="756"/>
      <c r="AE65" s="756"/>
      <c r="AF65" s="756"/>
      <c r="AG65" s="756"/>
      <c r="AH65" s="756"/>
      <c r="AI65" s="758"/>
      <c r="AJ65" s="756"/>
      <c r="AK65" s="756"/>
      <c r="AL65" s="756"/>
      <c r="AM65" s="756"/>
      <c r="AN65" s="756"/>
      <c r="AO65" s="756"/>
      <c r="AP65" s="756"/>
      <c r="AQ65" s="756"/>
      <c r="AR65" s="756"/>
      <c r="AS65" s="756"/>
      <c r="AT65" s="756"/>
      <c r="AU65" s="756"/>
      <c r="AV65" s="756"/>
      <c r="AW65" s="756"/>
      <c r="AX65" s="756"/>
      <c r="AY65" s="756"/>
      <c r="AZ65" s="756"/>
      <c r="BA65" s="756"/>
      <c r="BB65" s="756"/>
      <c r="BC65" s="756"/>
      <c r="BD65" s="756"/>
      <c r="BE65" s="756"/>
      <c r="BF65" s="756"/>
      <c r="BG65" s="756"/>
      <c r="BH65" s="756"/>
      <c r="BI65" s="756"/>
      <c r="BJ65" s="756"/>
      <c r="BK65" s="756"/>
      <c r="BL65" s="756"/>
      <c r="BM65" s="756"/>
      <c r="BN65" s="756"/>
      <c r="BO65" s="756"/>
      <c r="BP65" s="756"/>
      <c r="BQ65" s="756"/>
      <c r="BR65" s="756"/>
      <c r="BS65" s="756"/>
    </row>
    <row r="66" spans="1:71" s="757" customFormat="1" ht="13">
      <c r="A66" s="3065"/>
      <c r="B66" s="3066"/>
      <c r="C66" s="3066"/>
      <c r="D66" s="3067"/>
      <c r="E66" s="3068"/>
      <c r="F66" s="3068"/>
      <c r="G66" s="3068"/>
      <c r="H66" s="3068"/>
      <c r="I66" s="3069"/>
      <c r="J66" s="779"/>
      <c r="K66" s="784"/>
      <c r="L66" s="784"/>
      <c r="M66" s="784"/>
      <c r="N66" s="781">
        <f>SUM(Table4546484950[[#This Row],[Y1 Q1 cost]:[Y1 Q4 cost]])</f>
        <v>0</v>
      </c>
      <c r="O66" s="784"/>
      <c r="P66" s="784"/>
      <c r="Q66" s="784"/>
      <c r="R66" s="784"/>
      <c r="S66" s="783">
        <f>SUM(Table4546484950[[#This Row],[Y2 Q1 cost]:[Y2 Q4 cost]])</f>
        <v>0</v>
      </c>
      <c r="T66" s="779"/>
      <c r="U66" s="784"/>
      <c r="V66" s="784"/>
      <c r="W66" s="784"/>
      <c r="X66" s="781">
        <f>SUM(Table4546484950[[#This Row],[Y3 Q1 cost]:[Y3 Q4 cost]])</f>
        <v>0</v>
      </c>
      <c r="Y66" s="781">
        <f>Table4546484950[[#This Row],[Y1 total cost]]+Table4546484950[[#This Row],[Y2 total cost]]+Table4546484950[[#This Row],[Y3 total cost]]</f>
        <v>0</v>
      </c>
      <c r="Z66" s="761"/>
      <c r="AA66" s="756"/>
      <c r="AB66" s="756"/>
      <c r="AC66" s="756"/>
      <c r="AD66" s="756"/>
      <c r="AE66" s="756"/>
      <c r="AF66" s="756"/>
      <c r="AG66" s="756"/>
      <c r="AH66" s="756"/>
      <c r="AI66" s="758"/>
      <c r="AJ66" s="756"/>
      <c r="AK66" s="756"/>
      <c r="AL66" s="756"/>
      <c r="AM66" s="756"/>
      <c r="AN66" s="756"/>
      <c r="AO66" s="756"/>
      <c r="AP66" s="756"/>
      <c r="AQ66" s="756"/>
      <c r="AR66" s="756"/>
      <c r="AS66" s="756"/>
      <c r="AT66" s="756"/>
      <c r="AU66" s="756"/>
      <c r="AV66" s="756"/>
      <c r="AW66" s="756"/>
      <c r="AX66" s="756"/>
      <c r="AY66" s="756"/>
      <c r="AZ66" s="756"/>
      <c r="BA66" s="756"/>
      <c r="BB66" s="756"/>
      <c r="BC66" s="756"/>
      <c r="BD66" s="756"/>
      <c r="BE66" s="756"/>
      <c r="BF66" s="756"/>
      <c r="BG66" s="756"/>
      <c r="BH66" s="756"/>
      <c r="BI66" s="756"/>
      <c r="BJ66" s="756"/>
      <c r="BK66" s="756"/>
      <c r="BL66" s="756"/>
      <c r="BM66" s="756"/>
      <c r="BN66" s="756"/>
      <c r="BO66" s="756"/>
      <c r="BP66" s="756"/>
      <c r="BQ66" s="756"/>
      <c r="BR66" s="756"/>
      <c r="BS66" s="756"/>
    </row>
    <row r="67" spans="1:71" s="757" customFormat="1" ht="13">
      <c r="A67" s="3070"/>
      <c r="B67" s="3071"/>
      <c r="C67" s="3071"/>
      <c r="D67" s="3072"/>
      <c r="E67" s="3073"/>
      <c r="F67" s="3073"/>
      <c r="G67" s="3073"/>
      <c r="H67" s="3073"/>
      <c r="I67" s="3074"/>
      <c r="J67" s="779"/>
      <c r="K67" s="784"/>
      <c r="L67" s="784"/>
      <c r="M67" s="784"/>
      <c r="N67" s="781">
        <f>SUM(Table4546484950[[#This Row],[Y1 Q1 cost]:[Y1 Q4 cost]])</f>
        <v>0</v>
      </c>
      <c r="O67" s="784"/>
      <c r="P67" s="784"/>
      <c r="Q67" s="784"/>
      <c r="R67" s="784"/>
      <c r="S67" s="783">
        <f>SUM(Table4546484950[[#This Row],[Y2 Q1 cost]:[Y2 Q4 cost]])</f>
        <v>0</v>
      </c>
      <c r="T67" s="779"/>
      <c r="U67" s="784"/>
      <c r="V67" s="784"/>
      <c r="W67" s="784"/>
      <c r="X67" s="781">
        <f>SUM(Table4546484950[[#This Row],[Y3 Q1 cost]:[Y3 Q4 cost]])</f>
        <v>0</v>
      </c>
      <c r="Y67" s="781">
        <f>Table4546484950[[#This Row],[Y1 total cost]]+Table4546484950[[#This Row],[Y2 total cost]]+Table4546484950[[#This Row],[Y3 total cost]]</f>
        <v>0</v>
      </c>
      <c r="Z67" s="761"/>
      <c r="AA67" s="756"/>
      <c r="AB67" s="756"/>
      <c r="AC67" s="756"/>
      <c r="AD67" s="756"/>
      <c r="AE67" s="756"/>
      <c r="AF67" s="756"/>
      <c r="AG67" s="756"/>
      <c r="AH67" s="756"/>
      <c r="AI67" s="758"/>
      <c r="AJ67" s="756"/>
      <c r="AK67" s="756"/>
      <c r="AL67" s="756"/>
      <c r="AM67" s="756"/>
      <c r="AN67" s="756"/>
      <c r="AO67" s="756"/>
      <c r="AP67" s="756"/>
      <c r="AQ67" s="756"/>
      <c r="AR67" s="756"/>
      <c r="AS67" s="756"/>
      <c r="AT67" s="756"/>
      <c r="AU67" s="756"/>
      <c r="AV67" s="756"/>
      <c r="AW67" s="756"/>
      <c r="AX67" s="756"/>
      <c r="AY67" s="756"/>
      <c r="AZ67" s="756"/>
      <c r="BA67" s="756"/>
      <c r="BB67" s="756"/>
      <c r="BC67" s="756"/>
      <c r="BD67" s="756"/>
      <c r="BE67" s="756"/>
      <c r="BF67" s="756"/>
      <c r="BG67" s="756"/>
      <c r="BH67" s="756"/>
      <c r="BI67" s="756"/>
      <c r="BJ67" s="756"/>
      <c r="BK67" s="756"/>
      <c r="BL67" s="756"/>
      <c r="BM67" s="756"/>
      <c r="BN67" s="756"/>
      <c r="BO67" s="756"/>
      <c r="BP67" s="756"/>
      <c r="BQ67" s="756"/>
      <c r="BR67" s="756"/>
      <c r="BS67" s="756"/>
    </row>
    <row r="68" spans="1:71" s="757" customFormat="1" ht="13">
      <c r="A68" s="3065"/>
      <c r="B68" s="3066"/>
      <c r="C68" s="3066"/>
      <c r="D68" s="3067"/>
      <c r="E68" s="3068"/>
      <c r="F68" s="3068"/>
      <c r="G68" s="3068"/>
      <c r="H68" s="3068"/>
      <c r="I68" s="3069"/>
      <c r="J68" s="779"/>
      <c r="K68" s="784"/>
      <c r="L68" s="784"/>
      <c r="M68" s="784"/>
      <c r="N68" s="781">
        <f>SUM(Table4546484950[[#This Row],[Y1 Q1 cost]:[Y1 Q4 cost]])</f>
        <v>0</v>
      </c>
      <c r="O68" s="784"/>
      <c r="P68" s="784"/>
      <c r="Q68" s="784"/>
      <c r="R68" s="784"/>
      <c r="S68" s="783">
        <f>SUM(Table4546484950[[#This Row],[Y2 Q1 cost]:[Y2 Q4 cost]])</f>
        <v>0</v>
      </c>
      <c r="T68" s="779"/>
      <c r="U68" s="784"/>
      <c r="V68" s="784"/>
      <c r="W68" s="784"/>
      <c r="X68" s="781">
        <f>SUM(Table4546484950[[#This Row],[Y3 Q1 cost]:[Y3 Q4 cost]])</f>
        <v>0</v>
      </c>
      <c r="Y68" s="781">
        <f>Table4546484950[[#This Row],[Y1 total cost]]+Table4546484950[[#This Row],[Y2 total cost]]+Table4546484950[[#This Row],[Y3 total cost]]</f>
        <v>0</v>
      </c>
      <c r="Z68" s="761"/>
      <c r="AA68" s="756"/>
      <c r="AB68" s="756"/>
      <c r="AC68" s="756"/>
      <c r="AD68" s="756"/>
      <c r="AE68" s="756"/>
      <c r="AF68" s="756"/>
      <c r="AG68" s="756"/>
      <c r="AH68" s="756"/>
      <c r="AI68" s="758"/>
      <c r="AJ68" s="756"/>
      <c r="AK68" s="756"/>
      <c r="AL68" s="756"/>
      <c r="AM68" s="756"/>
      <c r="AN68" s="756"/>
      <c r="AO68" s="756"/>
      <c r="AP68" s="756"/>
      <c r="AQ68" s="756"/>
      <c r="AR68" s="756"/>
      <c r="AS68" s="756"/>
      <c r="AT68" s="756"/>
      <c r="AU68" s="756"/>
      <c r="AV68" s="756"/>
      <c r="AW68" s="756"/>
      <c r="AX68" s="756"/>
      <c r="AY68" s="756"/>
      <c r="AZ68" s="756"/>
      <c r="BA68" s="756"/>
      <c r="BB68" s="756"/>
      <c r="BC68" s="756"/>
      <c r="BD68" s="756"/>
      <c r="BE68" s="756"/>
      <c r="BF68" s="756"/>
      <c r="BG68" s="756"/>
      <c r="BH68" s="756"/>
      <c r="BI68" s="756"/>
      <c r="BJ68" s="756"/>
      <c r="BK68" s="756"/>
      <c r="BL68" s="756"/>
      <c r="BM68" s="756"/>
      <c r="BN68" s="756"/>
      <c r="BO68" s="756"/>
      <c r="BP68" s="756"/>
      <c r="BQ68" s="756"/>
      <c r="BR68" s="756"/>
      <c r="BS68" s="756"/>
    </row>
    <row r="69" spans="1:71" s="757" customFormat="1" ht="13">
      <c r="A69" s="3070"/>
      <c r="B69" s="3071"/>
      <c r="C69" s="3071"/>
      <c r="D69" s="3072"/>
      <c r="E69" s="3073"/>
      <c r="F69" s="3073"/>
      <c r="G69" s="3073"/>
      <c r="H69" s="3073"/>
      <c r="I69" s="3074"/>
      <c r="J69" s="779"/>
      <c r="K69" s="784"/>
      <c r="L69" s="784"/>
      <c r="M69" s="784"/>
      <c r="N69" s="781">
        <f>SUM(Table4546484950[[#This Row],[Y1 Q1 cost]:[Y1 Q4 cost]])</f>
        <v>0</v>
      </c>
      <c r="O69" s="784"/>
      <c r="P69" s="784"/>
      <c r="Q69" s="784"/>
      <c r="R69" s="784"/>
      <c r="S69" s="783">
        <f>SUM(Table4546484950[[#This Row],[Y2 Q1 cost]:[Y2 Q4 cost]])</f>
        <v>0</v>
      </c>
      <c r="T69" s="779"/>
      <c r="U69" s="784"/>
      <c r="V69" s="784"/>
      <c r="W69" s="784"/>
      <c r="X69" s="781">
        <f>SUM(Table4546484950[[#This Row],[Y3 Q1 cost]:[Y3 Q4 cost]])</f>
        <v>0</v>
      </c>
      <c r="Y69" s="781">
        <f>Table4546484950[[#This Row],[Y1 total cost]]+Table4546484950[[#This Row],[Y2 total cost]]+Table4546484950[[#This Row],[Y3 total cost]]</f>
        <v>0</v>
      </c>
      <c r="Z69" s="761"/>
      <c r="AA69" s="756"/>
      <c r="AB69" s="756"/>
      <c r="AC69" s="756"/>
      <c r="AD69" s="756"/>
      <c r="AE69" s="756"/>
      <c r="AF69" s="756"/>
      <c r="AG69" s="756"/>
      <c r="AH69" s="756"/>
      <c r="AI69" s="758"/>
      <c r="AJ69" s="756"/>
      <c r="AK69" s="756"/>
      <c r="AL69" s="756"/>
      <c r="AM69" s="756"/>
      <c r="AN69" s="756"/>
      <c r="AO69" s="756"/>
      <c r="AP69" s="756"/>
      <c r="AQ69" s="756"/>
      <c r="AR69" s="756"/>
      <c r="AS69" s="756"/>
      <c r="AT69" s="756"/>
      <c r="AU69" s="756"/>
      <c r="AV69" s="756"/>
      <c r="AW69" s="756"/>
      <c r="AX69" s="756"/>
      <c r="AY69" s="756"/>
      <c r="AZ69" s="756"/>
      <c r="BA69" s="756"/>
      <c r="BB69" s="756"/>
      <c r="BC69" s="756"/>
      <c r="BD69" s="756"/>
      <c r="BE69" s="756"/>
      <c r="BF69" s="756"/>
      <c r="BG69" s="756"/>
      <c r="BH69" s="756"/>
      <c r="BI69" s="756"/>
      <c r="BJ69" s="756"/>
      <c r="BK69" s="756"/>
      <c r="BL69" s="756"/>
      <c r="BM69" s="756"/>
      <c r="BN69" s="756"/>
      <c r="BO69" s="756"/>
      <c r="BP69" s="756"/>
      <c r="BQ69" s="756"/>
      <c r="BR69" s="756"/>
      <c r="BS69" s="756"/>
    </row>
    <row r="70" spans="1:71" s="757" customFormat="1" ht="13">
      <c r="A70" s="3065"/>
      <c r="B70" s="3066"/>
      <c r="C70" s="3066"/>
      <c r="D70" s="3067"/>
      <c r="E70" s="3068"/>
      <c r="F70" s="3068"/>
      <c r="G70" s="3068"/>
      <c r="H70" s="3068"/>
      <c r="I70" s="3069"/>
      <c r="J70" s="779"/>
      <c r="K70" s="784"/>
      <c r="L70" s="784"/>
      <c r="M70" s="784"/>
      <c r="N70" s="781">
        <f>SUM(Table4546484950[[#This Row],[Y1 Q1 cost]:[Y1 Q4 cost]])</f>
        <v>0</v>
      </c>
      <c r="O70" s="784"/>
      <c r="P70" s="784"/>
      <c r="Q70" s="784"/>
      <c r="R70" s="784"/>
      <c r="S70" s="783">
        <f>SUM(Table4546484950[[#This Row],[Y2 Q1 cost]:[Y2 Q4 cost]])</f>
        <v>0</v>
      </c>
      <c r="T70" s="779"/>
      <c r="U70" s="784"/>
      <c r="V70" s="784"/>
      <c r="W70" s="784"/>
      <c r="X70" s="781">
        <f>SUM(Table4546484950[[#This Row],[Y3 Q1 cost]:[Y3 Q4 cost]])</f>
        <v>0</v>
      </c>
      <c r="Y70" s="781">
        <f>Table4546484950[[#This Row],[Y1 total cost]]+Table4546484950[[#This Row],[Y2 total cost]]+Table4546484950[[#This Row],[Y3 total cost]]</f>
        <v>0</v>
      </c>
      <c r="Z70" s="761"/>
      <c r="AA70" s="756"/>
      <c r="AB70" s="756"/>
      <c r="AC70" s="756"/>
      <c r="AD70" s="756"/>
      <c r="AE70" s="756"/>
      <c r="AF70" s="756"/>
      <c r="AG70" s="756"/>
      <c r="AH70" s="756"/>
      <c r="AI70" s="758"/>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row>
    <row r="71" spans="1:71" s="757" customFormat="1" ht="13">
      <c r="A71" s="3070"/>
      <c r="B71" s="3071"/>
      <c r="C71" s="3071"/>
      <c r="D71" s="3072"/>
      <c r="E71" s="3073"/>
      <c r="F71" s="3073"/>
      <c r="G71" s="3073"/>
      <c r="H71" s="3073"/>
      <c r="I71" s="3074"/>
      <c r="J71" s="779"/>
      <c r="K71" s="784"/>
      <c r="L71" s="784"/>
      <c r="M71" s="784"/>
      <c r="N71" s="781">
        <f>SUM(Table4546484950[[#This Row],[Y1 Q1 cost]:[Y1 Q4 cost]])</f>
        <v>0</v>
      </c>
      <c r="O71" s="784"/>
      <c r="P71" s="784"/>
      <c r="Q71" s="784"/>
      <c r="R71" s="784"/>
      <c r="S71" s="783">
        <f>SUM(Table4546484950[[#This Row],[Y2 Q1 cost]:[Y2 Q4 cost]])</f>
        <v>0</v>
      </c>
      <c r="T71" s="779"/>
      <c r="U71" s="784"/>
      <c r="V71" s="784"/>
      <c r="W71" s="784"/>
      <c r="X71" s="781">
        <f>SUM(Table4546484950[[#This Row],[Y3 Q1 cost]:[Y3 Q4 cost]])</f>
        <v>0</v>
      </c>
      <c r="Y71" s="781">
        <f>Table4546484950[[#This Row],[Y1 total cost]]+Table4546484950[[#This Row],[Y2 total cost]]+Table4546484950[[#This Row],[Y3 total cost]]</f>
        <v>0</v>
      </c>
      <c r="Z71" s="761"/>
      <c r="AA71" s="756"/>
      <c r="AB71" s="756"/>
      <c r="AC71" s="756"/>
      <c r="AD71" s="756"/>
      <c r="AE71" s="756"/>
      <c r="AF71" s="756"/>
      <c r="AG71" s="756"/>
      <c r="AH71" s="756"/>
      <c r="AI71" s="758"/>
      <c r="AJ71" s="756"/>
      <c r="AK71" s="756"/>
      <c r="AL71" s="756"/>
      <c r="AM71" s="756"/>
      <c r="AN71" s="756"/>
      <c r="AO71" s="756"/>
      <c r="AP71" s="756"/>
      <c r="AQ71" s="756"/>
      <c r="AR71" s="756"/>
      <c r="AS71" s="756"/>
      <c r="AT71" s="756"/>
      <c r="AU71" s="756"/>
      <c r="AV71" s="756"/>
      <c r="AW71" s="756"/>
      <c r="AX71" s="756"/>
      <c r="AY71" s="756"/>
      <c r="AZ71" s="756"/>
      <c r="BA71" s="756"/>
      <c r="BB71" s="756"/>
      <c r="BC71" s="756"/>
      <c r="BD71" s="756"/>
      <c r="BE71" s="756"/>
      <c r="BF71" s="756"/>
      <c r="BG71" s="756"/>
      <c r="BH71" s="756"/>
      <c r="BI71" s="756"/>
      <c r="BJ71" s="756"/>
      <c r="BK71" s="756"/>
      <c r="BL71" s="756"/>
      <c r="BM71" s="756"/>
      <c r="BN71" s="756"/>
      <c r="BO71" s="756"/>
      <c r="BP71" s="756"/>
      <c r="BQ71" s="756"/>
      <c r="BR71" s="756"/>
      <c r="BS71" s="756"/>
    </row>
    <row r="72" spans="1:71" s="757" customFormat="1" ht="13">
      <c r="A72" s="3065"/>
      <c r="B72" s="3066"/>
      <c r="C72" s="3066"/>
      <c r="D72" s="3067"/>
      <c r="E72" s="3068"/>
      <c r="F72" s="3068"/>
      <c r="G72" s="3068"/>
      <c r="H72" s="3068"/>
      <c r="I72" s="3069"/>
      <c r="J72" s="779"/>
      <c r="K72" s="784"/>
      <c r="L72" s="784"/>
      <c r="M72" s="784"/>
      <c r="N72" s="781">
        <f>SUM(Table4546484950[[#This Row],[Y1 Q1 cost]:[Y1 Q4 cost]])</f>
        <v>0</v>
      </c>
      <c r="O72" s="784"/>
      <c r="P72" s="784"/>
      <c r="Q72" s="784"/>
      <c r="R72" s="784"/>
      <c r="S72" s="783">
        <f>SUM(Table4546484950[[#This Row],[Y2 Q1 cost]:[Y2 Q4 cost]])</f>
        <v>0</v>
      </c>
      <c r="T72" s="779"/>
      <c r="U72" s="784"/>
      <c r="V72" s="784"/>
      <c r="W72" s="784"/>
      <c r="X72" s="781">
        <f>SUM(Table4546484950[[#This Row],[Y3 Q1 cost]:[Y3 Q4 cost]])</f>
        <v>0</v>
      </c>
      <c r="Y72" s="781">
        <f>Table4546484950[[#This Row],[Y1 total cost]]+Table4546484950[[#This Row],[Y2 total cost]]+Table4546484950[[#This Row],[Y3 total cost]]</f>
        <v>0</v>
      </c>
      <c r="Z72" s="761"/>
      <c r="AA72" s="756"/>
      <c r="AB72" s="756"/>
      <c r="AC72" s="756"/>
      <c r="AD72" s="756"/>
      <c r="AE72" s="756"/>
      <c r="AF72" s="756"/>
      <c r="AG72" s="756"/>
      <c r="AH72" s="756"/>
      <c r="AI72" s="758"/>
      <c r="AJ72" s="756"/>
      <c r="AK72" s="756"/>
      <c r="AL72" s="756"/>
      <c r="AM72" s="756"/>
      <c r="AN72" s="756"/>
      <c r="AO72" s="756"/>
      <c r="AP72" s="756"/>
      <c r="AQ72" s="756"/>
      <c r="AR72" s="756"/>
      <c r="AS72" s="756"/>
      <c r="AT72" s="756"/>
      <c r="AU72" s="756"/>
      <c r="AV72" s="756"/>
      <c r="AW72" s="756"/>
      <c r="AX72" s="756"/>
      <c r="AY72" s="756"/>
      <c r="AZ72" s="756"/>
      <c r="BA72" s="756"/>
      <c r="BB72" s="756"/>
      <c r="BC72" s="756"/>
      <c r="BD72" s="756"/>
      <c r="BE72" s="756"/>
      <c r="BF72" s="756"/>
      <c r="BG72" s="756"/>
      <c r="BH72" s="756"/>
      <c r="BI72" s="756"/>
      <c r="BJ72" s="756"/>
      <c r="BK72" s="756"/>
      <c r="BL72" s="756"/>
      <c r="BM72" s="756"/>
      <c r="BN72" s="756"/>
      <c r="BO72" s="756"/>
      <c r="BP72" s="756"/>
      <c r="BQ72" s="756"/>
      <c r="BR72" s="756"/>
      <c r="BS72" s="756"/>
    </row>
    <row r="73" spans="1:71" s="757" customFormat="1" ht="13">
      <c r="A73" s="3070"/>
      <c r="B73" s="3071"/>
      <c r="C73" s="3071"/>
      <c r="D73" s="3072"/>
      <c r="E73" s="3073"/>
      <c r="F73" s="3073"/>
      <c r="G73" s="3073"/>
      <c r="H73" s="3073"/>
      <c r="I73" s="3074"/>
      <c r="J73" s="779"/>
      <c r="K73" s="784"/>
      <c r="L73" s="784"/>
      <c r="M73" s="784"/>
      <c r="N73" s="781">
        <f>SUM(Table4546484950[[#This Row],[Y1 Q1 cost]:[Y1 Q4 cost]])</f>
        <v>0</v>
      </c>
      <c r="O73" s="784"/>
      <c r="P73" s="784"/>
      <c r="Q73" s="784"/>
      <c r="R73" s="784"/>
      <c r="S73" s="783">
        <f>SUM(Table4546484950[[#This Row],[Y2 Q1 cost]:[Y2 Q4 cost]])</f>
        <v>0</v>
      </c>
      <c r="T73" s="779"/>
      <c r="U73" s="784"/>
      <c r="V73" s="784"/>
      <c r="W73" s="784"/>
      <c r="X73" s="781">
        <f>SUM(Table4546484950[[#This Row],[Y3 Q1 cost]:[Y3 Q4 cost]])</f>
        <v>0</v>
      </c>
      <c r="Y73" s="781">
        <f>Table4546484950[[#This Row],[Y1 total cost]]+Table4546484950[[#This Row],[Y2 total cost]]+Table4546484950[[#This Row],[Y3 total cost]]</f>
        <v>0</v>
      </c>
      <c r="Z73" s="761"/>
      <c r="AA73" s="756"/>
      <c r="AB73" s="756"/>
      <c r="AC73" s="756"/>
      <c r="AD73" s="756"/>
      <c r="AE73" s="756"/>
      <c r="AF73" s="756"/>
      <c r="AG73" s="756"/>
      <c r="AH73" s="756"/>
      <c r="AI73" s="758"/>
      <c r="AJ73" s="756"/>
      <c r="AK73" s="756"/>
      <c r="AL73" s="756"/>
      <c r="AM73" s="756"/>
      <c r="AN73" s="756"/>
      <c r="AO73" s="756"/>
      <c r="AP73" s="756"/>
      <c r="AQ73" s="756"/>
      <c r="AR73" s="756"/>
      <c r="AS73" s="756"/>
      <c r="AT73" s="756"/>
      <c r="AU73" s="756"/>
      <c r="AV73" s="756"/>
      <c r="AW73" s="756"/>
      <c r="AX73" s="756"/>
      <c r="AY73" s="756"/>
      <c r="AZ73" s="756"/>
      <c r="BA73" s="756"/>
      <c r="BB73" s="756"/>
      <c r="BC73" s="756"/>
      <c r="BD73" s="756"/>
      <c r="BE73" s="756"/>
      <c r="BF73" s="756"/>
      <c r="BG73" s="756"/>
      <c r="BH73" s="756"/>
      <c r="BI73" s="756"/>
      <c r="BJ73" s="756"/>
      <c r="BK73" s="756"/>
      <c r="BL73" s="756"/>
      <c r="BM73" s="756"/>
      <c r="BN73" s="756"/>
      <c r="BO73" s="756"/>
      <c r="BP73" s="756"/>
      <c r="BQ73" s="756"/>
      <c r="BR73" s="756"/>
      <c r="BS73" s="756"/>
    </row>
    <row r="74" spans="1:71" s="757" customFormat="1" ht="13">
      <c r="A74" s="3065"/>
      <c r="B74" s="3066"/>
      <c r="C74" s="3066"/>
      <c r="D74" s="3067"/>
      <c r="E74" s="3068"/>
      <c r="F74" s="3068"/>
      <c r="G74" s="3068"/>
      <c r="H74" s="3068"/>
      <c r="I74" s="3069"/>
      <c r="J74" s="779"/>
      <c r="K74" s="784"/>
      <c r="L74" s="784"/>
      <c r="M74" s="784"/>
      <c r="N74" s="781">
        <f>SUM(Table4546484950[[#This Row],[Y1 Q1 cost]:[Y1 Q4 cost]])</f>
        <v>0</v>
      </c>
      <c r="O74" s="784"/>
      <c r="P74" s="784"/>
      <c r="Q74" s="784"/>
      <c r="R74" s="784"/>
      <c r="S74" s="783">
        <f>SUM(Table4546484950[[#This Row],[Y2 Q1 cost]:[Y2 Q4 cost]])</f>
        <v>0</v>
      </c>
      <c r="T74" s="779"/>
      <c r="U74" s="784"/>
      <c r="V74" s="784"/>
      <c r="W74" s="784"/>
      <c r="X74" s="781">
        <f>SUM(Table4546484950[[#This Row],[Y3 Q1 cost]:[Y3 Q4 cost]])</f>
        <v>0</v>
      </c>
      <c r="Y74" s="783">
        <f>Table4546484950[[#This Row],[Y1 total cost]]+Table4546484950[[#This Row],[Y2 total cost]]+Table4546484950[[#This Row],[Y3 total cost]]</f>
        <v>0</v>
      </c>
      <c r="Z74" s="761"/>
      <c r="AA74" s="756"/>
      <c r="AB74" s="756"/>
      <c r="AC74" s="756"/>
      <c r="AD74" s="756"/>
      <c r="AE74" s="756"/>
      <c r="AF74" s="756"/>
      <c r="AG74" s="756"/>
      <c r="AH74" s="756"/>
      <c r="AI74" s="758"/>
      <c r="AJ74" s="756"/>
      <c r="AK74" s="756"/>
      <c r="AL74" s="756"/>
      <c r="AM74" s="756"/>
      <c r="AN74" s="756"/>
      <c r="AO74" s="756"/>
      <c r="AP74" s="756"/>
      <c r="AQ74" s="756"/>
      <c r="AR74" s="756"/>
      <c r="AS74" s="756"/>
      <c r="AT74" s="756"/>
      <c r="AU74" s="756"/>
      <c r="AV74" s="756"/>
      <c r="AW74" s="756"/>
      <c r="AX74" s="756"/>
      <c r="AY74" s="756"/>
      <c r="AZ74" s="756"/>
      <c r="BA74" s="756"/>
      <c r="BB74" s="756"/>
      <c r="BC74" s="756"/>
      <c r="BD74" s="756"/>
      <c r="BE74" s="756"/>
      <c r="BF74" s="756"/>
      <c r="BG74" s="756"/>
      <c r="BH74" s="756"/>
      <c r="BI74" s="756"/>
      <c r="BJ74" s="756"/>
      <c r="BK74" s="756"/>
      <c r="BL74" s="756"/>
      <c r="BM74" s="756"/>
      <c r="BN74" s="756"/>
      <c r="BO74" s="756"/>
      <c r="BP74" s="756"/>
      <c r="BQ74" s="756"/>
      <c r="BR74" s="756"/>
      <c r="BS74" s="756"/>
    </row>
    <row r="75" spans="1:71" s="757" customFormat="1" ht="13">
      <c r="A75" s="3070"/>
      <c r="B75" s="3071"/>
      <c r="C75" s="3071"/>
      <c r="D75" s="3072"/>
      <c r="E75" s="3073"/>
      <c r="F75" s="3073"/>
      <c r="G75" s="3073"/>
      <c r="H75" s="3073"/>
      <c r="I75" s="3074"/>
      <c r="J75" s="779"/>
      <c r="K75" s="784"/>
      <c r="L75" s="784"/>
      <c r="M75" s="784"/>
      <c r="N75" s="781">
        <f>SUM(Table4546484950[[#This Row],[Y1 Q1 cost]:[Y1 Q4 cost]])</f>
        <v>0</v>
      </c>
      <c r="O75" s="784"/>
      <c r="P75" s="784"/>
      <c r="Q75" s="784"/>
      <c r="R75" s="784"/>
      <c r="S75" s="783">
        <f>SUM(Table4546484950[[#This Row],[Y2 Q1 cost]:[Y2 Q4 cost]])</f>
        <v>0</v>
      </c>
      <c r="T75" s="779"/>
      <c r="U75" s="784"/>
      <c r="V75" s="784"/>
      <c r="W75" s="784"/>
      <c r="X75" s="781">
        <f>SUM(Table4546484950[[#This Row],[Y3 Q1 cost]:[Y3 Q4 cost]])</f>
        <v>0</v>
      </c>
      <c r="Y75" s="783">
        <f>Table4546484950[[#This Row],[Y1 total cost]]+Table4546484950[[#This Row],[Y2 total cost]]+Table4546484950[[#This Row],[Y3 total cost]]</f>
        <v>0</v>
      </c>
      <c r="Z75" s="761"/>
      <c r="AA75" s="756"/>
      <c r="AB75" s="756"/>
      <c r="AC75" s="756"/>
      <c r="AD75" s="756"/>
      <c r="AE75" s="756"/>
      <c r="AF75" s="756"/>
      <c r="AG75" s="756"/>
      <c r="AH75" s="756"/>
      <c r="AI75" s="758"/>
      <c r="AJ75" s="756"/>
      <c r="AK75" s="756"/>
      <c r="AL75" s="756"/>
      <c r="AM75" s="756"/>
      <c r="AN75" s="756"/>
      <c r="AO75" s="756"/>
      <c r="AP75" s="756"/>
      <c r="AQ75" s="756"/>
      <c r="AR75" s="756"/>
      <c r="AS75" s="756"/>
      <c r="AT75" s="756"/>
      <c r="AU75" s="756"/>
      <c r="AV75" s="756"/>
      <c r="AW75" s="756"/>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row>
    <row r="76" spans="1:71" s="757" customFormat="1" ht="13">
      <c r="A76" s="3065"/>
      <c r="B76" s="3066"/>
      <c r="C76" s="3066"/>
      <c r="D76" s="3067"/>
      <c r="E76" s="3068"/>
      <c r="F76" s="3068"/>
      <c r="G76" s="3068"/>
      <c r="H76" s="3068"/>
      <c r="I76" s="3069"/>
      <c r="J76" s="779"/>
      <c r="K76" s="784"/>
      <c r="L76" s="784"/>
      <c r="M76" s="784"/>
      <c r="N76" s="781">
        <f>SUM(Table4546484950[[#This Row],[Y1 Q1 cost]:[Y1 Q4 cost]])</f>
        <v>0</v>
      </c>
      <c r="O76" s="784"/>
      <c r="P76" s="784"/>
      <c r="Q76" s="784"/>
      <c r="R76" s="784"/>
      <c r="S76" s="783">
        <f>SUM(Table4546484950[[#This Row],[Y2 Q1 cost]:[Y2 Q4 cost]])</f>
        <v>0</v>
      </c>
      <c r="T76" s="779"/>
      <c r="U76" s="784"/>
      <c r="V76" s="784"/>
      <c r="W76" s="784"/>
      <c r="X76" s="781">
        <f>SUM(Table4546484950[[#This Row],[Y3 Q1 cost]:[Y3 Q4 cost]])</f>
        <v>0</v>
      </c>
      <c r="Y76" s="783">
        <f>Table4546484950[[#This Row],[Y1 total cost]]+Table4546484950[[#This Row],[Y2 total cost]]+Table4546484950[[#This Row],[Y3 total cost]]</f>
        <v>0</v>
      </c>
      <c r="Z76" s="761"/>
      <c r="AA76" s="756"/>
      <c r="AB76" s="756"/>
      <c r="AC76" s="756"/>
      <c r="AD76" s="756"/>
      <c r="AE76" s="756"/>
      <c r="AF76" s="756"/>
      <c r="AG76" s="756"/>
      <c r="AH76" s="756"/>
      <c r="AI76" s="758"/>
      <c r="AJ76" s="756"/>
      <c r="AK76" s="756"/>
      <c r="AL76" s="756"/>
      <c r="AM76" s="756"/>
      <c r="AN76" s="756"/>
      <c r="AO76" s="756"/>
      <c r="AP76" s="756"/>
      <c r="AQ76" s="756"/>
      <c r="AR76" s="756"/>
      <c r="AS76" s="756"/>
      <c r="AT76" s="756"/>
      <c r="AU76" s="756"/>
      <c r="AV76" s="756"/>
      <c r="AW76" s="756"/>
      <c r="AX76" s="756"/>
      <c r="AY76" s="756"/>
      <c r="AZ76" s="756"/>
      <c r="BA76" s="756"/>
      <c r="BB76" s="756"/>
      <c r="BC76" s="756"/>
      <c r="BD76" s="756"/>
      <c r="BE76" s="756"/>
      <c r="BF76" s="756"/>
      <c r="BG76" s="756"/>
      <c r="BH76" s="756"/>
      <c r="BI76" s="756"/>
      <c r="BJ76" s="756"/>
      <c r="BK76" s="756"/>
      <c r="BL76" s="756"/>
      <c r="BM76" s="756"/>
      <c r="BN76" s="756"/>
      <c r="BO76" s="756"/>
      <c r="BP76" s="756"/>
      <c r="BQ76" s="756"/>
      <c r="BR76" s="756"/>
      <c r="BS76" s="756"/>
    </row>
    <row r="77" spans="1:71" s="757" customFormat="1" ht="13">
      <c r="A77" s="3070"/>
      <c r="B77" s="3071"/>
      <c r="C77" s="3071"/>
      <c r="D77" s="3072"/>
      <c r="E77" s="3073"/>
      <c r="F77" s="3073"/>
      <c r="G77" s="3073"/>
      <c r="H77" s="3073"/>
      <c r="I77" s="3074"/>
      <c r="J77" s="779"/>
      <c r="K77" s="784"/>
      <c r="L77" s="784"/>
      <c r="M77" s="784"/>
      <c r="N77" s="781">
        <f>SUM(Table4546484950[[#This Row],[Y1 Q1 cost]:[Y1 Q4 cost]])</f>
        <v>0</v>
      </c>
      <c r="O77" s="784"/>
      <c r="P77" s="784"/>
      <c r="Q77" s="784"/>
      <c r="R77" s="784"/>
      <c r="S77" s="783">
        <f>SUM(Table4546484950[[#This Row],[Y2 Q1 cost]:[Y2 Q4 cost]])</f>
        <v>0</v>
      </c>
      <c r="T77" s="779"/>
      <c r="U77" s="784"/>
      <c r="V77" s="784"/>
      <c r="W77" s="784"/>
      <c r="X77" s="781">
        <f>SUM(Table4546484950[[#This Row],[Y3 Q1 cost]:[Y3 Q4 cost]])</f>
        <v>0</v>
      </c>
      <c r="Y77" s="783">
        <f>Table4546484950[[#This Row],[Y1 total cost]]+Table4546484950[[#This Row],[Y2 total cost]]+Table4546484950[[#This Row],[Y3 total cost]]</f>
        <v>0</v>
      </c>
      <c r="Z77" s="761"/>
      <c r="AA77" s="756"/>
      <c r="AB77" s="756"/>
      <c r="AC77" s="756"/>
      <c r="AD77" s="756"/>
      <c r="AE77" s="756"/>
      <c r="AF77" s="756"/>
      <c r="AG77" s="756"/>
      <c r="AH77" s="756"/>
      <c r="AI77" s="758"/>
      <c r="AJ77" s="756"/>
      <c r="AK77" s="756"/>
      <c r="AL77" s="756"/>
      <c r="AM77" s="756"/>
      <c r="AN77" s="756"/>
      <c r="AO77" s="756"/>
      <c r="AP77" s="756"/>
      <c r="AQ77" s="756"/>
      <c r="AR77" s="756"/>
      <c r="AS77" s="756"/>
      <c r="AT77" s="756"/>
      <c r="AU77" s="756"/>
      <c r="AV77" s="756"/>
      <c r="AW77" s="756"/>
      <c r="AX77" s="756"/>
      <c r="AY77" s="756"/>
      <c r="AZ77" s="756"/>
      <c r="BA77" s="756"/>
      <c r="BB77" s="756"/>
      <c r="BC77" s="756"/>
      <c r="BD77" s="756"/>
      <c r="BE77" s="756"/>
      <c r="BF77" s="756"/>
      <c r="BG77" s="756"/>
      <c r="BH77" s="756"/>
      <c r="BI77" s="756"/>
      <c r="BJ77" s="756"/>
      <c r="BK77" s="756"/>
      <c r="BL77" s="756"/>
      <c r="BM77" s="756"/>
      <c r="BN77" s="756"/>
      <c r="BO77" s="756"/>
      <c r="BP77" s="756"/>
      <c r="BQ77" s="756"/>
      <c r="BR77" s="756"/>
      <c r="BS77" s="756"/>
    </row>
    <row r="78" spans="1:71" s="757" customFormat="1" ht="13">
      <c r="A78" s="3065"/>
      <c r="B78" s="3066"/>
      <c r="C78" s="3066"/>
      <c r="D78" s="3067"/>
      <c r="E78" s="3068"/>
      <c r="F78" s="3068"/>
      <c r="G78" s="3068"/>
      <c r="H78" s="3068"/>
      <c r="I78" s="3069"/>
      <c r="J78" s="779"/>
      <c r="K78" s="784"/>
      <c r="L78" s="784"/>
      <c r="M78" s="784"/>
      <c r="N78" s="781">
        <f>SUM(Table4546484950[[#This Row],[Y1 Q1 cost]:[Y1 Q4 cost]])</f>
        <v>0</v>
      </c>
      <c r="O78" s="784"/>
      <c r="P78" s="784"/>
      <c r="Q78" s="784"/>
      <c r="R78" s="784"/>
      <c r="S78" s="783">
        <f>SUM(Table4546484950[[#This Row],[Y2 Q1 cost]:[Y2 Q4 cost]])</f>
        <v>0</v>
      </c>
      <c r="T78" s="779"/>
      <c r="U78" s="784"/>
      <c r="V78" s="784"/>
      <c r="W78" s="784"/>
      <c r="X78" s="781">
        <f>SUM(Table4546484950[[#This Row],[Y3 Q1 cost]:[Y3 Q4 cost]])</f>
        <v>0</v>
      </c>
      <c r="Y78" s="783">
        <f>Table4546484950[[#This Row],[Y1 total cost]]+Table4546484950[[#This Row],[Y2 total cost]]+Table4546484950[[#This Row],[Y3 total cost]]</f>
        <v>0</v>
      </c>
      <c r="Z78" s="761"/>
      <c r="AA78" s="756"/>
      <c r="AB78" s="756"/>
      <c r="AC78" s="756"/>
      <c r="AD78" s="756"/>
      <c r="AE78" s="756"/>
      <c r="AF78" s="756"/>
      <c r="AG78" s="756"/>
      <c r="AH78" s="756"/>
      <c r="AI78" s="758"/>
      <c r="AJ78" s="756"/>
      <c r="AK78" s="756"/>
      <c r="AL78" s="756"/>
      <c r="AM78" s="756"/>
      <c r="AN78" s="756"/>
      <c r="AO78" s="756"/>
      <c r="AP78" s="756"/>
      <c r="AQ78" s="756"/>
      <c r="AR78" s="756"/>
      <c r="AS78" s="756"/>
      <c r="AT78" s="756"/>
      <c r="AU78" s="756"/>
      <c r="AV78" s="756"/>
      <c r="AW78" s="756"/>
      <c r="AX78" s="756"/>
      <c r="AY78" s="756"/>
      <c r="AZ78" s="756"/>
      <c r="BA78" s="756"/>
      <c r="BB78" s="756"/>
      <c r="BC78" s="756"/>
      <c r="BD78" s="756"/>
      <c r="BE78" s="756"/>
      <c r="BF78" s="756"/>
      <c r="BG78" s="756"/>
      <c r="BH78" s="756"/>
      <c r="BI78" s="756"/>
      <c r="BJ78" s="756"/>
      <c r="BK78" s="756"/>
      <c r="BL78" s="756"/>
      <c r="BM78" s="756"/>
      <c r="BN78" s="756"/>
      <c r="BO78" s="756"/>
      <c r="BP78" s="756"/>
      <c r="BQ78" s="756"/>
      <c r="BR78" s="756"/>
      <c r="BS78" s="756"/>
    </row>
    <row r="79" spans="1:71" s="757" customFormat="1" ht="13">
      <c r="A79" s="3070"/>
      <c r="B79" s="3071"/>
      <c r="C79" s="3071"/>
      <c r="D79" s="3072"/>
      <c r="E79" s="3073"/>
      <c r="F79" s="3073"/>
      <c r="G79" s="3073"/>
      <c r="H79" s="3073"/>
      <c r="I79" s="3074"/>
      <c r="J79" s="779"/>
      <c r="K79" s="784"/>
      <c r="L79" s="784"/>
      <c r="M79" s="784"/>
      <c r="N79" s="781">
        <f>SUM(Table4546484950[[#This Row],[Y1 Q1 cost]:[Y1 Q4 cost]])</f>
        <v>0</v>
      </c>
      <c r="O79" s="784"/>
      <c r="P79" s="784"/>
      <c r="Q79" s="784"/>
      <c r="R79" s="784"/>
      <c r="S79" s="783">
        <f>SUM(Table4546484950[[#This Row],[Y2 Q1 cost]:[Y2 Q4 cost]])</f>
        <v>0</v>
      </c>
      <c r="T79" s="779"/>
      <c r="U79" s="784"/>
      <c r="V79" s="784"/>
      <c r="W79" s="784"/>
      <c r="X79" s="781">
        <f>SUM(Table4546484950[[#This Row],[Y3 Q1 cost]:[Y3 Q4 cost]])</f>
        <v>0</v>
      </c>
      <c r="Y79" s="783">
        <f>Table4546484950[[#This Row],[Y1 total cost]]+Table4546484950[[#This Row],[Y2 total cost]]+Table4546484950[[#This Row],[Y3 total cost]]</f>
        <v>0</v>
      </c>
      <c r="Z79" s="761"/>
      <c r="AA79" s="756"/>
      <c r="AB79" s="756"/>
      <c r="AC79" s="756"/>
      <c r="AD79" s="756"/>
      <c r="AE79" s="756"/>
      <c r="AF79" s="756"/>
      <c r="AG79" s="756"/>
      <c r="AH79" s="756"/>
      <c r="AI79" s="758"/>
      <c r="AJ79" s="756"/>
      <c r="AK79" s="756"/>
      <c r="AL79" s="756"/>
      <c r="AM79" s="756"/>
      <c r="AN79" s="756"/>
      <c r="AO79" s="756"/>
      <c r="AP79" s="756"/>
      <c r="AQ79" s="756"/>
      <c r="AR79" s="756"/>
      <c r="AS79" s="756"/>
      <c r="AT79" s="756"/>
      <c r="AU79" s="756"/>
      <c r="AV79" s="756"/>
      <c r="AW79" s="756"/>
      <c r="AX79" s="756"/>
      <c r="AY79" s="756"/>
      <c r="AZ79" s="756"/>
      <c r="BA79" s="756"/>
      <c r="BB79" s="756"/>
      <c r="BC79" s="756"/>
      <c r="BD79" s="756"/>
      <c r="BE79" s="756"/>
      <c r="BF79" s="756"/>
      <c r="BG79" s="756"/>
      <c r="BH79" s="756"/>
      <c r="BI79" s="756"/>
      <c r="BJ79" s="756"/>
      <c r="BK79" s="756"/>
      <c r="BL79" s="756"/>
      <c r="BM79" s="756"/>
      <c r="BN79" s="756"/>
      <c r="BO79" s="756"/>
      <c r="BP79" s="756"/>
      <c r="BQ79" s="756"/>
      <c r="BR79" s="756"/>
      <c r="BS79" s="756"/>
    </row>
    <row r="80" spans="1:71" s="757" customFormat="1" ht="13">
      <c r="A80" s="3065"/>
      <c r="B80" s="3066"/>
      <c r="C80" s="3066"/>
      <c r="D80" s="3067"/>
      <c r="E80" s="3068"/>
      <c r="F80" s="3068"/>
      <c r="G80" s="3068"/>
      <c r="H80" s="3068"/>
      <c r="I80" s="3069"/>
      <c r="J80" s="779"/>
      <c r="K80" s="784"/>
      <c r="L80" s="784"/>
      <c r="M80" s="784"/>
      <c r="N80" s="781">
        <f>SUM(Table4546484950[[#This Row],[Y1 Q1 cost]:[Y1 Q4 cost]])</f>
        <v>0</v>
      </c>
      <c r="O80" s="784"/>
      <c r="P80" s="784"/>
      <c r="Q80" s="784"/>
      <c r="R80" s="784"/>
      <c r="S80" s="783">
        <f>SUM(Table4546484950[[#This Row],[Y2 Q1 cost]:[Y2 Q4 cost]])</f>
        <v>0</v>
      </c>
      <c r="T80" s="779"/>
      <c r="U80" s="784"/>
      <c r="V80" s="784"/>
      <c r="W80" s="784"/>
      <c r="X80" s="781">
        <f>SUM(Table4546484950[[#This Row],[Y3 Q1 cost]:[Y3 Q4 cost]])</f>
        <v>0</v>
      </c>
      <c r="Y80" s="783">
        <f>Table4546484950[[#This Row],[Y1 total cost]]+Table4546484950[[#This Row],[Y2 total cost]]+Table4546484950[[#This Row],[Y3 total cost]]</f>
        <v>0</v>
      </c>
      <c r="Z80" s="761"/>
      <c r="AA80" s="756"/>
      <c r="AB80" s="756"/>
      <c r="AC80" s="756"/>
      <c r="AD80" s="756"/>
      <c r="AE80" s="756"/>
      <c r="AF80" s="756"/>
      <c r="AG80" s="756"/>
      <c r="AH80" s="756"/>
      <c r="AI80" s="758"/>
      <c r="AJ80" s="756"/>
      <c r="AK80" s="756"/>
      <c r="AL80" s="756"/>
      <c r="AM80" s="756"/>
      <c r="AN80" s="756"/>
      <c r="AO80" s="756"/>
      <c r="AP80" s="756"/>
      <c r="AQ80" s="756"/>
      <c r="AR80" s="756"/>
      <c r="AS80" s="756"/>
      <c r="AT80" s="756"/>
      <c r="AU80" s="756"/>
      <c r="AV80" s="756"/>
      <c r="AW80" s="756"/>
      <c r="AX80" s="756"/>
      <c r="AY80" s="756"/>
      <c r="AZ80" s="756"/>
      <c r="BA80" s="756"/>
      <c r="BB80" s="756"/>
      <c r="BC80" s="756"/>
      <c r="BD80" s="756"/>
      <c r="BE80" s="756"/>
      <c r="BF80" s="756"/>
      <c r="BG80" s="756"/>
      <c r="BH80" s="756"/>
      <c r="BI80" s="756"/>
      <c r="BJ80" s="756"/>
      <c r="BK80" s="756"/>
      <c r="BL80" s="756"/>
      <c r="BM80" s="756"/>
      <c r="BN80" s="756"/>
      <c r="BO80" s="756"/>
      <c r="BP80" s="756"/>
      <c r="BQ80" s="756"/>
      <c r="BR80" s="756"/>
      <c r="BS80" s="756"/>
    </row>
    <row r="81" spans="1:71" s="757" customFormat="1" ht="13">
      <c r="A81" s="3070"/>
      <c r="B81" s="3071"/>
      <c r="C81" s="3071"/>
      <c r="D81" s="3072"/>
      <c r="E81" s="3073"/>
      <c r="F81" s="3073"/>
      <c r="G81" s="3073"/>
      <c r="H81" s="3073"/>
      <c r="I81" s="3074"/>
      <c r="J81" s="779"/>
      <c r="K81" s="784"/>
      <c r="L81" s="784"/>
      <c r="M81" s="784"/>
      <c r="N81" s="781">
        <f>SUM(Table4546484950[[#This Row],[Y1 Q1 cost]:[Y1 Q4 cost]])</f>
        <v>0</v>
      </c>
      <c r="O81" s="784"/>
      <c r="P81" s="784"/>
      <c r="Q81" s="784"/>
      <c r="R81" s="784"/>
      <c r="S81" s="783">
        <f>SUM(Table4546484950[[#This Row],[Y2 Q1 cost]:[Y2 Q4 cost]])</f>
        <v>0</v>
      </c>
      <c r="T81" s="779"/>
      <c r="U81" s="784"/>
      <c r="V81" s="784"/>
      <c r="W81" s="784"/>
      <c r="X81" s="781">
        <f>SUM(Table4546484950[[#This Row],[Y3 Q1 cost]:[Y3 Q4 cost]])</f>
        <v>0</v>
      </c>
      <c r="Y81" s="783">
        <f>Table4546484950[[#This Row],[Y1 total cost]]+Table4546484950[[#This Row],[Y2 total cost]]+Table4546484950[[#This Row],[Y3 total cost]]</f>
        <v>0</v>
      </c>
      <c r="Z81" s="761"/>
      <c r="AA81" s="756"/>
      <c r="AB81" s="756"/>
      <c r="AC81" s="756"/>
      <c r="AD81" s="756"/>
      <c r="AE81" s="756"/>
      <c r="AF81" s="756"/>
      <c r="AG81" s="756"/>
      <c r="AH81" s="756"/>
      <c r="AI81" s="758"/>
      <c r="AJ81" s="756"/>
      <c r="AK81" s="756"/>
      <c r="AL81" s="756"/>
      <c r="AM81" s="756"/>
      <c r="AN81" s="756"/>
      <c r="AO81" s="756"/>
      <c r="AP81" s="756"/>
      <c r="AQ81" s="756"/>
      <c r="AR81" s="756"/>
      <c r="AS81" s="756"/>
      <c r="AT81" s="756"/>
      <c r="AU81" s="756"/>
      <c r="AV81" s="756"/>
      <c r="AW81" s="756"/>
      <c r="AX81" s="756"/>
      <c r="AY81" s="756"/>
      <c r="AZ81" s="756"/>
      <c r="BA81" s="756"/>
      <c r="BB81" s="756"/>
      <c r="BC81" s="756"/>
      <c r="BD81" s="756"/>
      <c r="BE81" s="756"/>
      <c r="BF81" s="756"/>
      <c r="BG81" s="756"/>
      <c r="BH81" s="756"/>
      <c r="BI81" s="756"/>
      <c r="BJ81" s="756"/>
      <c r="BK81" s="756"/>
      <c r="BL81" s="756"/>
      <c r="BM81" s="756"/>
      <c r="BN81" s="756"/>
      <c r="BO81" s="756"/>
      <c r="BP81" s="756"/>
      <c r="BQ81" s="756"/>
      <c r="BR81" s="756"/>
      <c r="BS81" s="756"/>
    </row>
    <row r="82" spans="1:71" s="757" customFormat="1" ht="13">
      <c r="A82" s="3065"/>
      <c r="B82" s="3066"/>
      <c r="C82" s="3066"/>
      <c r="D82" s="3067"/>
      <c r="E82" s="3068"/>
      <c r="F82" s="3068"/>
      <c r="G82" s="3068"/>
      <c r="H82" s="3068"/>
      <c r="I82" s="3069"/>
      <c r="J82" s="779"/>
      <c r="K82" s="784"/>
      <c r="L82" s="784"/>
      <c r="M82" s="784"/>
      <c r="N82" s="781">
        <f>SUM(Table4546484950[[#This Row],[Y1 Q1 cost]:[Y1 Q4 cost]])</f>
        <v>0</v>
      </c>
      <c r="O82" s="784"/>
      <c r="P82" s="784"/>
      <c r="Q82" s="784"/>
      <c r="R82" s="784"/>
      <c r="S82" s="783">
        <f>SUM(Table4546484950[[#This Row],[Y2 Q1 cost]:[Y2 Q4 cost]])</f>
        <v>0</v>
      </c>
      <c r="T82" s="779"/>
      <c r="U82" s="784"/>
      <c r="V82" s="784"/>
      <c r="W82" s="784"/>
      <c r="X82" s="781">
        <f>SUM(Table4546484950[[#This Row],[Y3 Q1 cost]:[Y3 Q4 cost]])</f>
        <v>0</v>
      </c>
      <c r="Y82" s="783">
        <f>Table4546484950[[#This Row],[Y1 total cost]]+Table4546484950[[#This Row],[Y2 total cost]]+Table4546484950[[#This Row],[Y3 total cost]]</f>
        <v>0</v>
      </c>
      <c r="Z82" s="761"/>
      <c r="AA82" s="756"/>
      <c r="AB82" s="756"/>
      <c r="AC82" s="756"/>
      <c r="AD82" s="756"/>
      <c r="AE82" s="756"/>
      <c r="AF82" s="756"/>
      <c r="AG82" s="756"/>
      <c r="AH82" s="756"/>
      <c r="AI82" s="758"/>
      <c r="AJ82" s="756"/>
      <c r="AK82" s="756"/>
      <c r="AL82" s="756"/>
      <c r="AM82" s="756"/>
      <c r="AN82" s="756"/>
      <c r="AO82" s="756"/>
      <c r="AP82" s="756"/>
      <c r="AQ82" s="756"/>
      <c r="AR82" s="756"/>
      <c r="AS82" s="756"/>
      <c r="AT82" s="756"/>
      <c r="AU82" s="756"/>
      <c r="AV82" s="756"/>
      <c r="AW82" s="756"/>
      <c r="AX82" s="756"/>
      <c r="AY82" s="756"/>
      <c r="AZ82" s="756"/>
      <c r="BA82" s="756"/>
      <c r="BB82" s="756"/>
      <c r="BC82" s="756"/>
      <c r="BD82" s="756"/>
      <c r="BE82" s="756"/>
      <c r="BF82" s="756"/>
      <c r="BG82" s="756"/>
      <c r="BH82" s="756"/>
      <c r="BI82" s="756"/>
      <c r="BJ82" s="756"/>
      <c r="BK82" s="756"/>
      <c r="BL82" s="756"/>
      <c r="BM82" s="756"/>
      <c r="BN82" s="756"/>
      <c r="BO82" s="756"/>
      <c r="BP82" s="756"/>
      <c r="BQ82" s="756"/>
      <c r="BR82" s="756"/>
      <c r="BS82" s="756"/>
    </row>
    <row r="83" spans="1:71" s="757" customFormat="1" ht="13">
      <c r="A83" s="3070"/>
      <c r="B83" s="3071"/>
      <c r="C83" s="3071"/>
      <c r="D83" s="3072"/>
      <c r="E83" s="3073"/>
      <c r="F83" s="3073"/>
      <c r="G83" s="3073"/>
      <c r="H83" s="3073"/>
      <c r="I83" s="3074"/>
      <c r="J83" s="779"/>
      <c r="K83" s="784"/>
      <c r="L83" s="784"/>
      <c r="M83" s="784"/>
      <c r="N83" s="781">
        <f>SUM(Table4546484950[[#This Row],[Y1 Q1 cost]:[Y1 Q4 cost]])</f>
        <v>0</v>
      </c>
      <c r="O83" s="784"/>
      <c r="P83" s="784"/>
      <c r="Q83" s="784"/>
      <c r="R83" s="784"/>
      <c r="S83" s="783">
        <f>SUM(Table4546484950[[#This Row],[Y2 Q1 cost]:[Y2 Q4 cost]])</f>
        <v>0</v>
      </c>
      <c r="T83" s="779"/>
      <c r="U83" s="784"/>
      <c r="V83" s="784"/>
      <c r="W83" s="784"/>
      <c r="X83" s="781">
        <f>SUM(Table4546484950[[#This Row],[Y3 Q1 cost]:[Y3 Q4 cost]])</f>
        <v>0</v>
      </c>
      <c r="Y83" s="783">
        <f>Table4546484950[[#This Row],[Y1 total cost]]+Table4546484950[[#This Row],[Y2 total cost]]+Table4546484950[[#This Row],[Y3 total cost]]</f>
        <v>0</v>
      </c>
      <c r="Z83" s="761"/>
      <c r="AA83" s="756"/>
      <c r="AB83" s="756"/>
      <c r="AC83" s="756"/>
      <c r="AD83" s="756"/>
      <c r="AE83" s="756"/>
      <c r="AF83" s="756"/>
      <c r="AG83" s="756"/>
      <c r="AH83" s="756"/>
      <c r="AI83" s="758"/>
      <c r="AJ83" s="756"/>
      <c r="AK83" s="756"/>
      <c r="AL83" s="756"/>
      <c r="AM83" s="756"/>
      <c r="AN83" s="756"/>
      <c r="AO83" s="756"/>
      <c r="AP83" s="756"/>
      <c r="AQ83" s="756"/>
      <c r="AR83" s="756"/>
      <c r="AS83" s="756"/>
      <c r="AT83" s="756"/>
      <c r="AU83" s="756"/>
      <c r="AV83" s="756"/>
      <c r="AW83" s="756"/>
      <c r="AX83" s="756"/>
      <c r="AY83" s="756"/>
      <c r="AZ83" s="756"/>
      <c r="BA83" s="756"/>
      <c r="BB83" s="756"/>
      <c r="BC83" s="756"/>
      <c r="BD83" s="756"/>
      <c r="BE83" s="756"/>
      <c r="BF83" s="756"/>
      <c r="BG83" s="756"/>
      <c r="BH83" s="756"/>
      <c r="BI83" s="756"/>
      <c r="BJ83" s="756"/>
      <c r="BK83" s="756"/>
      <c r="BL83" s="756"/>
      <c r="BM83" s="756"/>
      <c r="BN83" s="756"/>
      <c r="BO83" s="756"/>
      <c r="BP83" s="756"/>
      <c r="BQ83" s="756"/>
      <c r="BR83" s="756"/>
      <c r="BS83" s="756"/>
    </row>
    <row r="84" spans="1:71" s="757" customFormat="1" ht="13">
      <c r="A84" s="3065"/>
      <c r="B84" s="3066"/>
      <c r="C84" s="3066"/>
      <c r="D84" s="3067"/>
      <c r="E84" s="3068"/>
      <c r="F84" s="3068"/>
      <c r="G84" s="3068"/>
      <c r="H84" s="3068"/>
      <c r="I84" s="3069"/>
      <c r="J84" s="779"/>
      <c r="K84" s="784"/>
      <c r="L84" s="784"/>
      <c r="M84" s="784"/>
      <c r="N84" s="781">
        <f>SUM(Table4546484950[[#This Row],[Y1 Q1 cost]:[Y1 Q4 cost]])</f>
        <v>0</v>
      </c>
      <c r="O84" s="784"/>
      <c r="P84" s="784"/>
      <c r="Q84" s="784"/>
      <c r="R84" s="784"/>
      <c r="S84" s="783">
        <f>SUM(Table4546484950[[#This Row],[Y2 Q1 cost]:[Y2 Q4 cost]])</f>
        <v>0</v>
      </c>
      <c r="T84" s="779"/>
      <c r="U84" s="784"/>
      <c r="V84" s="784"/>
      <c r="W84" s="784"/>
      <c r="X84" s="781">
        <f>SUM(Table4546484950[[#This Row],[Y3 Q1 cost]:[Y3 Q4 cost]])</f>
        <v>0</v>
      </c>
      <c r="Y84" s="783">
        <f>Table4546484950[[#This Row],[Y1 total cost]]+Table4546484950[[#This Row],[Y2 total cost]]+Table4546484950[[#This Row],[Y3 total cost]]</f>
        <v>0</v>
      </c>
      <c r="Z84" s="761"/>
      <c r="AA84" s="756"/>
      <c r="AB84" s="756"/>
      <c r="AC84" s="756"/>
      <c r="AD84" s="756"/>
      <c r="AE84" s="756"/>
      <c r="AF84" s="756"/>
      <c r="AG84" s="756"/>
      <c r="AH84" s="756"/>
      <c r="AI84" s="758"/>
      <c r="AJ84" s="756"/>
      <c r="AK84" s="756"/>
      <c r="AL84" s="756"/>
      <c r="AM84" s="756"/>
      <c r="AN84" s="756"/>
      <c r="AO84" s="756"/>
      <c r="AP84" s="756"/>
      <c r="AQ84" s="756"/>
      <c r="AR84" s="756"/>
      <c r="AS84" s="756"/>
      <c r="AT84" s="756"/>
      <c r="AU84" s="756"/>
      <c r="AV84" s="756"/>
      <c r="AW84" s="756"/>
      <c r="AX84" s="756"/>
      <c r="AY84" s="756"/>
      <c r="AZ84" s="756"/>
      <c r="BA84" s="756"/>
      <c r="BB84" s="756"/>
      <c r="BC84" s="756"/>
      <c r="BD84" s="756"/>
      <c r="BE84" s="756"/>
      <c r="BF84" s="756"/>
      <c r="BG84" s="756"/>
      <c r="BH84" s="756"/>
      <c r="BI84" s="756"/>
      <c r="BJ84" s="756"/>
      <c r="BK84" s="756"/>
      <c r="BL84" s="756"/>
      <c r="BM84" s="756"/>
      <c r="BN84" s="756"/>
      <c r="BO84" s="756"/>
      <c r="BP84" s="756"/>
      <c r="BQ84" s="756"/>
      <c r="BR84" s="756"/>
      <c r="BS84" s="756"/>
    </row>
    <row r="85" spans="1:71" s="757" customFormat="1" ht="13">
      <c r="A85" s="3070"/>
      <c r="B85" s="3071"/>
      <c r="C85" s="3071"/>
      <c r="D85" s="3072"/>
      <c r="E85" s="3073"/>
      <c r="F85" s="3073"/>
      <c r="G85" s="3073"/>
      <c r="H85" s="3073"/>
      <c r="I85" s="3074"/>
      <c r="J85" s="779"/>
      <c r="K85" s="784"/>
      <c r="L85" s="784"/>
      <c r="M85" s="784"/>
      <c r="N85" s="781">
        <f>SUM(Table4546484950[[#This Row],[Y1 Q1 cost]:[Y1 Q4 cost]])</f>
        <v>0</v>
      </c>
      <c r="O85" s="784"/>
      <c r="P85" s="784"/>
      <c r="Q85" s="784"/>
      <c r="R85" s="784"/>
      <c r="S85" s="783">
        <f>SUM(Table4546484950[[#This Row],[Y2 Q1 cost]:[Y2 Q4 cost]])</f>
        <v>0</v>
      </c>
      <c r="T85" s="779"/>
      <c r="U85" s="784"/>
      <c r="V85" s="784"/>
      <c r="W85" s="784"/>
      <c r="X85" s="781">
        <f>SUM(Table4546484950[[#This Row],[Y3 Q1 cost]:[Y3 Q4 cost]])</f>
        <v>0</v>
      </c>
      <c r="Y85" s="783">
        <f>Table4546484950[[#This Row],[Y1 total cost]]+Table4546484950[[#This Row],[Y2 total cost]]+Table4546484950[[#This Row],[Y3 total cost]]</f>
        <v>0</v>
      </c>
      <c r="Z85" s="761"/>
      <c r="AA85" s="756"/>
      <c r="AB85" s="756"/>
      <c r="AC85" s="756"/>
      <c r="AD85" s="756"/>
      <c r="AE85" s="756"/>
      <c r="AF85" s="756"/>
      <c r="AG85" s="756"/>
      <c r="AH85" s="756"/>
      <c r="AI85" s="758"/>
      <c r="AJ85" s="756"/>
      <c r="AK85" s="756"/>
      <c r="AL85" s="756"/>
      <c r="AM85" s="756"/>
      <c r="AN85" s="756"/>
      <c r="AO85" s="756"/>
      <c r="AP85" s="756"/>
      <c r="AQ85" s="756"/>
      <c r="AR85" s="756"/>
      <c r="AS85" s="756"/>
      <c r="AT85" s="756"/>
      <c r="AU85" s="756"/>
      <c r="AV85" s="756"/>
      <c r="AW85" s="756"/>
      <c r="AX85" s="756"/>
      <c r="AY85" s="756"/>
      <c r="AZ85" s="756"/>
      <c r="BA85" s="756"/>
      <c r="BB85" s="756"/>
      <c r="BC85" s="756"/>
      <c r="BD85" s="756"/>
      <c r="BE85" s="756"/>
      <c r="BF85" s="756"/>
      <c r="BG85" s="756"/>
      <c r="BH85" s="756"/>
      <c r="BI85" s="756"/>
      <c r="BJ85" s="756"/>
      <c r="BK85" s="756"/>
      <c r="BL85" s="756"/>
      <c r="BM85" s="756"/>
      <c r="BN85" s="756"/>
      <c r="BO85" s="756"/>
      <c r="BP85" s="756"/>
      <c r="BQ85" s="756"/>
      <c r="BR85" s="756"/>
      <c r="BS85" s="756"/>
    </row>
    <row r="86" spans="1:71" s="757" customFormat="1" ht="13">
      <c r="A86" s="3065"/>
      <c r="B86" s="3066"/>
      <c r="C86" s="3066"/>
      <c r="D86" s="3067"/>
      <c r="E86" s="3068"/>
      <c r="F86" s="3068"/>
      <c r="G86" s="3068"/>
      <c r="H86" s="3068"/>
      <c r="I86" s="3069"/>
      <c r="J86" s="779"/>
      <c r="K86" s="784"/>
      <c r="L86" s="784"/>
      <c r="M86" s="784"/>
      <c r="N86" s="781">
        <f>SUM(Table4546484950[[#This Row],[Y1 Q1 cost]:[Y1 Q4 cost]])</f>
        <v>0</v>
      </c>
      <c r="O86" s="784"/>
      <c r="P86" s="784"/>
      <c r="Q86" s="784"/>
      <c r="R86" s="784"/>
      <c r="S86" s="783">
        <f>SUM(Table4546484950[[#This Row],[Y2 Q1 cost]:[Y2 Q4 cost]])</f>
        <v>0</v>
      </c>
      <c r="T86" s="779"/>
      <c r="U86" s="784"/>
      <c r="V86" s="784"/>
      <c r="W86" s="784"/>
      <c r="X86" s="781">
        <f>SUM(Table4546484950[[#This Row],[Y3 Q1 cost]:[Y3 Q4 cost]])</f>
        <v>0</v>
      </c>
      <c r="Y86" s="783">
        <f>Table4546484950[[#This Row],[Y1 total cost]]+Table4546484950[[#This Row],[Y2 total cost]]+Table4546484950[[#This Row],[Y3 total cost]]</f>
        <v>0</v>
      </c>
      <c r="Z86" s="761"/>
      <c r="AA86" s="756"/>
      <c r="AB86" s="756"/>
      <c r="AC86" s="756"/>
      <c r="AD86" s="756"/>
      <c r="AE86" s="756"/>
      <c r="AF86" s="756"/>
      <c r="AG86" s="756"/>
      <c r="AH86" s="756"/>
      <c r="AI86" s="758"/>
      <c r="AJ86" s="756"/>
      <c r="AK86" s="756"/>
      <c r="AL86" s="756"/>
      <c r="AM86" s="756"/>
      <c r="AN86" s="756"/>
      <c r="AO86" s="756"/>
      <c r="AP86" s="756"/>
      <c r="AQ86" s="756"/>
      <c r="AR86" s="756"/>
      <c r="AS86" s="756"/>
      <c r="AT86" s="756"/>
      <c r="AU86" s="756"/>
      <c r="AV86" s="756"/>
      <c r="AW86" s="756"/>
      <c r="AX86" s="756"/>
      <c r="AY86" s="756"/>
      <c r="AZ86" s="756"/>
      <c r="BA86" s="756"/>
      <c r="BB86" s="756"/>
      <c r="BC86" s="756"/>
      <c r="BD86" s="756"/>
      <c r="BE86" s="756"/>
      <c r="BF86" s="756"/>
      <c r="BG86" s="756"/>
      <c r="BH86" s="756"/>
      <c r="BI86" s="756"/>
      <c r="BJ86" s="756"/>
      <c r="BK86" s="756"/>
      <c r="BL86" s="756"/>
      <c r="BM86" s="756"/>
      <c r="BN86" s="756"/>
      <c r="BO86" s="756"/>
      <c r="BP86" s="756"/>
      <c r="BQ86" s="756"/>
      <c r="BR86" s="756"/>
      <c r="BS86" s="756"/>
    </row>
    <row r="87" spans="1:71" s="757" customFormat="1" ht="13.5" thickBot="1">
      <c r="A87" s="3060"/>
      <c r="B87" s="3061"/>
      <c r="C87" s="3061"/>
      <c r="D87" s="3062"/>
      <c r="E87" s="3063"/>
      <c r="F87" s="3063"/>
      <c r="G87" s="3063"/>
      <c r="H87" s="3063"/>
      <c r="I87" s="3064"/>
      <c r="J87" s="779"/>
      <c r="K87" s="784"/>
      <c r="L87" s="784"/>
      <c r="M87" s="784"/>
      <c r="N87" s="781">
        <f>SUM(Table4546484950[[#This Row],[Y1 Q1 cost]:[Y1 Q4 cost]])</f>
        <v>0</v>
      </c>
      <c r="O87" s="784"/>
      <c r="P87" s="784"/>
      <c r="Q87" s="784"/>
      <c r="R87" s="784"/>
      <c r="S87" s="783">
        <f>SUM(Table4546484950[[#This Row],[Y2 Q1 cost]:[Y2 Q4 cost]])</f>
        <v>0</v>
      </c>
      <c r="T87" s="779"/>
      <c r="U87" s="784"/>
      <c r="V87" s="784"/>
      <c r="W87" s="784"/>
      <c r="X87" s="781">
        <f>SUM(Table4546484950[[#This Row],[Y3 Q1 cost]:[Y3 Q4 cost]])</f>
        <v>0</v>
      </c>
      <c r="Y87" s="783">
        <f>Table4546484950[[#This Row],[Y1 total cost]]+Table4546484950[[#This Row],[Y2 total cost]]+Table4546484950[[#This Row],[Y3 total cost]]</f>
        <v>0</v>
      </c>
      <c r="Z87" s="761"/>
      <c r="AA87" s="756"/>
      <c r="AB87" s="756"/>
      <c r="AC87" s="756"/>
      <c r="AD87" s="756"/>
      <c r="AE87" s="756"/>
      <c r="AF87" s="756"/>
      <c r="AG87" s="756"/>
      <c r="AH87" s="756"/>
      <c r="AI87" s="758"/>
      <c r="AJ87" s="756"/>
      <c r="AK87" s="756"/>
      <c r="AL87" s="756"/>
      <c r="AM87" s="756"/>
      <c r="AN87" s="756"/>
      <c r="AO87" s="756"/>
      <c r="AP87" s="756"/>
      <c r="AQ87" s="756"/>
      <c r="AR87" s="756"/>
      <c r="AS87" s="756"/>
      <c r="AT87" s="756"/>
      <c r="AU87" s="756"/>
      <c r="AV87" s="756"/>
      <c r="AW87" s="756"/>
      <c r="AX87" s="756"/>
      <c r="AY87" s="756"/>
      <c r="AZ87" s="756"/>
      <c r="BA87" s="756"/>
      <c r="BB87" s="756"/>
      <c r="BC87" s="756"/>
      <c r="BD87" s="756"/>
      <c r="BE87" s="756"/>
      <c r="BF87" s="756"/>
      <c r="BG87" s="756"/>
      <c r="BH87" s="756"/>
      <c r="BI87" s="756"/>
      <c r="BJ87" s="756"/>
      <c r="BK87" s="756"/>
      <c r="BL87" s="756"/>
      <c r="BM87" s="756"/>
      <c r="BN87" s="756"/>
      <c r="BO87" s="756"/>
      <c r="BP87" s="756"/>
      <c r="BQ87" s="756"/>
      <c r="BR87" s="756"/>
      <c r="BS87" s="756"/>
    </row>
    <row r="88" spans="1:71" s="734" customFormat="1">
      <c r="A88" s="750"/>
      <c r="B88" s="749"/>
      <c r="C88" s="749"/>
      <c r="D88" s="749"/>
      <c r="E88" s="749"/>
      <c r="F88" s="749"/>
      <c r="G88" s="749"/>
      <c r="H88" s="749"/>
      <c r="I88" s="749"/>
      <c r="J88" s="749"/>
      <c r="K88" s="749"/>
      <c r="L88" s="749"/>
      <c r="M88" s="749"/>
      <c r="N88" s="749"/>
      <c r="O88" s="749"/>
      <c r="P88" s="749"/>
      <c r="Q88" s="749"/>
      <c r="R88" s="749"/>
      <c r="S88" s="749"/>
      <c r="T88" s="749"/>
      <c r="U88" s="749"/>
      <c r="V88" s="749"/>
      <c r="W88" s="749"/>
      <c r="X88" s="749"/>
      <c r="Y88" s="749"/>
      <c r="Z88" s="749"/>
      <c r="AA88" s="732"/>
      <c r="AB88" s="732"/>
      <c r="AC88" s="732"/>
      <c r="AD88" s="732"/>
      <c r="AE88" s="732"/>
      <c r="AF88" s="732"/>
      <c r="AG88" s="733"/>
      <c r="AH88" s="732"/>
      <c r="AI88" s="732"/>
      <c r="AJ88" s="732"/>
      <c r="AK88" s="732"/>
      <c r="AL88" s="732"/>
      <c r="AM88" s="732"/>
      <c r="AN88" s="732"/>
      <c r="AO88" s="732"/>
      <c r="AP88" s="732"/>
      <c r="AQ88" s="732"/>
      <c r="AR88" s="732"/>
      <c r="AS88" s="732"/>
      <c r="AT88" s="732"/>
      <c r="AU88" s="732"/>
      <c r="AV88" s="732"/>
      <c r="AW88" s="732"/>
      <c r="AX88" s="732"/>
      <c r="AY88" s="732"/>
      <c r="AZ88" s="732"/>
      <c r="BA88" s="732"/>
      <c r="BB88" s="732"/>
      <c r="BC88" s="732"/>
      <c r="BD88" s="732"/>
      <c r="BE88" s="732"/>
      <c r="BF88" s="732"/>
      <c r="BG88" s="732"/>
      <c r="BH88" s="732"/>
      <c r="BI88" s="732"/>
      <c r="BJ88" s="732"/>
      <c r="BK88" s="732"/>
      <c r="BL88" s="732"/>
      <c r="BM88" s="732"/>
      <c r="BN88" s="732"/>
      <c r="BO88" s="732"/>
      <c r="BP88" s="732"/>
      <c r="BQ88" s="732"/>
      <c r="BR88" s="732"/>
      <c r="BS88" s="732"/>
    </row>
    <row r="89" spans="1:71" s="734" customFormat="1">
      <c r="AG89" s="751"/>
    </row>
    <row r="90" spans="1:71" s="734" customFormat="1">
      <c r="AG90" s="751"/>
    </row>
  </sheetData>
  <sheetProtection algorithmName="SHA-512" hashValue="WnbPoyYtlEsJrQ8C8PNALU87kyA1QUGPcBbDrLI8YsiD10LLowmZOkXuwh9ze0GqHvSZzm91mTJ1hIjIrww6ZA==" saltValue="eDpv0LA+aPDdXVGDSVrFIw==" spinCount="100000" sheet="1" formatColumns="0" formatRows="0" autoFilter="0"/>
  <mergeCells count="164">
    <mergeCell ref="A37:D37"/>
    <mergeCell ref="A36:D36"/>
    <mergeCell ref="E44:I44"/>
    <mergeCell ref="E45:I45"/>
    <mergeCell ref="A51:N51"/>
    <mergeCell ref="I5:K6"/>
    <mergeCell ref="M1:N2"/>
    <mergeCell ref="J53:N53"/>
    <mergeCell ref="O53:S53"/>
    <mergeCell ref="E24:I24"/>
    <mergeCell ref="E27:I27"/>
    <mergeCell ref="E28:I28"/>
    <mergeCell ref="E30:I30"/>
    <mergeCell ref="E31:I31"/>
    <mergeCell ref="O8:P9"/>
    <mergeCell ref="A1:K1"/>
    <mergeCell ref="B3:B4"/>
    <mergeCell ref="C3:E4"/>
    <mergeCell ref="G3:H4"/>
    <mergeCell ref="I3:K4"/>
    <mergeCell ref="B5:B6"/>
    <mergeCell ref="C5:E6"/>
    <mergeCell ref="G5:H6"/>
    <mergeCell ref="A38:D38"/>
    <mergeCell ref="A39:D39"/>
    <mergeCell ref="A40:D40"/>
    <mergeCell ref="T53:X53"/>
    <mergeCell ref="E29:I29"/>
    <mergeCell ref="O49:P50"/>
    <mergeCell ref="E36:I36"/>
    <mergeCell ref="E37:I37"/>
    <mergeCell ref="E34:I34"/>
    <mergeCell ref="B49:J50"/>
    <mergeCell ref="E42:I42"/>
    <mergeCell ref="E46:I46"/>
    <mergeCell ref="E43:I43"/>
    <mergeCell ref="E38:I38"/>
    <mergeCell ref="E39:I39"/>
    <mergeCell ref="K49:L50"/>
    <mergeCell ref="M49:N50"/>
    <mergeCell ref="E32:I32"/>
    <mergeCell ref="E33:I33"/>
    <mergeCell ref="A46:D46"/>
    <mergeCell ref="E41:I41"/>
    <mergeCell ref="E40:I40"/>
    <mergeCell ref="E35:I35"/>
    <mergeCell ref="A32:D32"/>
    <mergeCell ref="A33:D33"/>
    <mergeCell ref="T13:X13"/>
    <mergeCell ref="A21:D21"/>
    <mergeCell ref="A15:D15"/>
    <mergeCell ref="A16:D16"/>
    <mergeCell ref="A17:D17"/>
    <mergeCell ref="A18:D18"/>
    <mergeCell ref="O13:S13"/>
    <mergeCell ref="E19:I19"/>
    <mergeCell ref="E18:I18"/>
    <mergeCell ref="A13:D14"/>
    <mergeCell ref="E15:I15"/>
    <mergeCell ref="E16:I16"/>
    <mergeCell ref="E17:I17"/>
    <mergeCell ref="E13:I14"/>
    <mergeCell ref="A19:D19"/>
    <mergeCell ref="A20:D20"/>
    <mergeCell ref="A47:D47"/>
    <mergeCell ref="E47:I47"/>
    <mergeCell ref="A43:D43"/>
    <mergeCell ref="A44:D44"/>
    <mergeCell ref="B8:J9"/>
    <mergeCell ref="J13:N13"/>
    <mergeCell ref="E20:I20"/>
    <mergeCell ref="E21:I21"/>
    <mergeCell ref="A8:A9"/>
    <mergeCell ref="M8:N9"/>
    <mergeCell ref="E22:I22"/>
    <mergeCell ref="E23:I23"/>
    <mergeCell ref="K8:L9"/>
    <mergeCell ref="A11:N11"/>
    <mergeCell ref="A22:D22"/>
    <mergeCell ref="A23:D23"/>
    <mergeCell ref="A34:D34"/>
    <mergeCell ref="A35:D35"/>
    <mergeCell ref="A26:D26"/>
    <mergeCell ref="A27:D27"/>
    <mergeCell ref="A28:D28"/>
    <mergeCell ref="E25:I25"/>
    <mergeCell ref="E26:I26"/>
    <mergeCell ref="A24:D24"/>
    <mergeCell ref="A25:D25"/>
    <mergeCell ref="A53:D54"/>
    <mergeCell ref="E53:I54"/>
    <mergeCell ref="A29:D29"/>
    <mergeCell ref="A30:D30"/>
    <mergeCell ref="A45:D45"/>
    <mergeCell ref="A57:D57"/>
    <mergeCell ref="A61:D61"/>
    <mergeCell ref="E61:I61"/>
    <mergeCell ref="E57:I57"/>
    <mergeCell ref="A58:D58"/>
    <mergeCell ref="A56:D56"/>
    <mergeCell ref="E56:I56"/>
    <mergeCell ref="A59:D59"/>
    <mergeCell ref="E59:I59"/>
    <mergeCell ref="E58:I58"/>
    <mergeCell ref="A60:D60"/>
    <mergeCell ref="E60:I60"/>
    <mergeCell ref="A55:D55"/>
    <mergeCell ref="E55:I55"/>
    <mergeCell ref="A41:D41"/>
    <mergeCell ref="A42:D42"/>
    <mergeCell ref="A31:D31"/>
    <mergeCell ref="A49:A50"/>
    <mergeCell ref="E75:I75"/>
    <mergeCell ref="A64:D64"/>
    <mergeCell ref="E64:I64"/>
    <mergeCell ref="A65:D65"/>
    <mergeCell ref="E65:I65"/>
    <mergeCell ref="A66:D66"/>
    <mergeCell ref="E66:I66"/>
    <mergeCell ref="A73:D73"/>
    <mergeCell ref="E73:I73"/>
    <mergeCell ref="A74:D74"/>
    <mergeCell ref="E74:I74"/>
    <mergeCell ref="A67:D67"/>
    <mergeCell ref="E67:I67"/>
    <mergeCell ref="A68:D68"/>
    <mergeCell ref="E68:I68"/>
    <mergeCell ref="A79:D79"/>
    <mergeCell ref="E79:I79"/>
    <mergeCell ref="E77:I77"/>
    <mergeCell ref="E85:I85"/>
    <mergeCell ref="A81:D81"/>
    <mergeCell ref="E81:I81"/>
    <mergeCell ref="A78:D78"/>
    <mergeCell ref="E78:I78"/>
    <mergeCell ref="A62:D62"/>
    <mergeCell ref="E62:I62"/>
    <mergeCell ref="A63:D63"/>
    <mergeCell ref="E63:I63"/>
    <mergeCell ref="A77:D77"/>
    <mergeCell ref="A69:D69"/>
    <mergeCell ref="E69:I69"/>
    <mergeCell ref="A70:D70"/>
    <mergeCell ref="E70:I70"/>
    <mergeCell ref="A71:D71"/>
    <mergeCell ref="A76:D76"/>
    <mergeCell ref="E76:I76"/>
    <mergeCell ref="E71:I71"/>
    <mergeCell ref="A72:D72"/>
    <mergeCell ref="E72:I72"/>
    <mergeCell ref="A75:D75"/>
    <mergeCell ref="A87:D87"/>
    <mergeCell ref="E87:I87"/>
    <mergeCell ref="A82:D82"/>
    <mergeCell ref="E82:I82"/>
    <mergeCell ref="A83:D83"/>
    <mergeCell ref="E83:I83"/>
    <mergeCell ref="A84:D84"/>
    <mergeCell ref="A80:D80"/>
    <mergeCell ref="E80:I80"/>
    <mergeCell ref="A86:D86"/>
    <mergeCell ref="E86:I86"/>
    <mergeCell ref="E84:I84"/>
    <mergeCell ref="A85:D85"/>
  </mergeCells>
  <dataValidations count="2">
    <dataValidation type="list" allowBlank="1" showInputMessage="1" showErrorMessage="1" sqref="A15:A47" xr:uid="{00000000-0002-0000-1700-000000000000}">
      <formula1>RSHHHPMSystems</formula1>
    </dataValidation>
    <dataValidation type="decimal" allowBlank="1" showInputMessage="1" showErrorMessage="1" sqref="J15:Y47 J55:Y87" xr:uid="{C74F3BA3-9852-4A26-BB44-77EC12632EF8}">
      <formula1>0</formula1>
      <formula2>1E+29</formula2>
    </dataValidation>
  </dataValidations>
  <hyperlinks>
    <hyperlink ref="M8:N9" location="'HPM costs'!A370" display="Go to in country SC management (section 2) " xr:uid="{00000000-0004-0000-1700-000001000000}"/>
    <hyperlink ref="M49:N50" location="'HPM costs'!A370" display="Go to in country SC management (section 2) " xr:uid="{00000000-0004-0000-1700-000002000000}"/>
    <hyperlink ref="O49:P50" location="RSSH!A1" display="RSSH!A1" xr:uid="{00000000-0004-0000-1700-000003000000}"/>
    <hyperlink ref="K8:L9" location="'HPM costs'!A1" display="'HPM costs'!A1" xr:uid="{00000000-0004-0000-1700-000004000000}"/>
    <hyperlink ref="K49:L50" location="'HPM costs'!A1" display="'HPM costs'!A1" xr:uid="{00000000-0004-0000-1700-000005000000}"/>
    <hyperlink ref="O8:P9" location="'RSSH- HPM &amp;Lab System'!A50" display="'RSSH- HPM &amp;Lab System'!A50" xr:uid="{00000000-0004-0000-1700-000007000000}"/>
  </hyperlinks>
  <pageMargins left="0.7" right="0.7" top="0.75" bottom="0.75" header="0.3" footer="0.3"/>
  <pageSetup orientation="portrait" r:id="rId1"/>
  <drawing r:id="rId2"/>
  <tableParts count="2">
    <tablePart r:id="rId3"/>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'HPM LIST'!$B$2:$B$6</xm:f>
          </x14:formula1>
          <xm:sqref>A55:D87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3" filterMode="1">
    <tabColor theme="0" tint="-0.499984740745262"/>
  </sheetPr>
  <dimension ref="A1:BT550"/>
  <sheetViews>
    <sheetView showGridLines="0" zoomScale="98" zoomScaleNormal="98" workbookViewId="0">
      <pane ySplit="1" topLeftCell="A169" activePane="bottomLeft" state="frozen"/>
      <selection activeCell="I26" sqref="I26"/>
      <selection pane="bottomLeft" activeCell="BN171" sqref="BN171"/>
    </sheetView>
  </sheetViews>
  <sheetFormatPr defaultColWidth="9.36328125" defaultRowHeight="14.5"/>
  <cols>
    <col min="1" max="1" width="7.36328125" style="1334" customWidth="1"/>
    <col min="2" max="2" width="32" style="682" customWidth="1"/>
    <col min="3" max="3" width="39" style="681" customWidth="1"/>
    <col min="4" max="4" width="84.36328125" style="1333" customWidth="1"/>
    <col min="5" max="5" width="43.08984375" style="681" customWidth="1"/>
    <col min="6" max="6" width="23" style="681" hidden="1" customWidth="1"/>
    <col min="7" max="7" width="11.08984375" style="683" hidden="1" customWidth="1"/>
    <col min="8" max="9" width="9.36328125" style="683" hidden="1" customWidth="1"/>
    <col min="10" max="10" width="9.36328125" style="684" hidden="1" customWidth="1"/>
    <col min="11" max="12" width="9.36328125" style="685" hidden="1" customWidth="1"/>
    <col min="13" max="13" width="9.36328125" style="686" hidden="1" customWidth="1"/>
    <col min="14" max="14" width="9.36328125" style="685" hidden="1" customWidth="1"/>
    <col min="15" max="15" width="9.36328125" style="687" hidden="1" customWidth="1"/>
    <col min="16" max="16" width="15" style="688" bestFit="1" customWidth="1"/>
    <col min="17" max="17" width="9.81640625" style="688" hidden="1" customWidth="1"/>
    <col min="18" max="18" width="12.81640625" style="688" customWidth="1"/>
    <col min="19" max="19" width="12.81640625" style="688" hidden="1" customWidth="1"/>
    <col min="20" max="20" width="15.7265625" style="688" customWidth="1"/>
    <col min="21" max="21" width="12.81640625" style="688" hidden="1" customWidth="1"/>
    <col min="22" max="22" width="12.81640625" style="688" customWidth="1"/>
    <col min="23" max="23" width="12.81640625" style="688" hidden="1" customWidth="1"/>
    <col min="24" max="24" width="18.08984375" style="1295" bestFit="1" customWidth="1"/>
    <col min="25" max="26" width="12.81640625" style="688" hidden="1" customWidth="1"/>
    <col min="27" max="27" width="12.81640625" style="689" hidden="1" customWidth="1"/>
    <col min="28" max="28" width="12.81640625" style="688" hidden="1" customWidth="1"/>
    <col min="29" max="29" width="12.81640625" style="688" customWidth="1"/>
    <col min="30" max="30" width="12.81640625" style="688" hidden="1" customWidth="1"/>
    <col min="31" max="31" width="13.36328125" style="688" bestFit="1" customWidth="1"/>
    <col min="32" max="32" width="12.81640625" style="688" hidden="1" customWidth="1"/>
    <col min="33" max="33" width="12.81640625" style="688" customWidth="1"/>
    <col min="34" max="34" width="12.81640625" style="688" hidden="1" customWidth="1"/>
    <col min="35" max="35" width="12.81640625" style="688" customWidth="1"/>
    <col min="36" max="36" width="12.81640625" style="688" hidden="1" customWidth="1"/>
    <col min="37" max="37" width="18.08984375" style="1295" bestFit="1" customWidth="1"/>
    <col min="38" max="39" width="12.81640625" style="688" hidden="1" customWidth="1"/>
    <col min="40" max="40" width="12.81640625" style="689" hidden="1" customWidth="1"/>
    <col min="41" max="41" width="12.81640625" style="688" hidden="1" customWidth="1"/>
    <col min="42" max="42" width="13.36328125" style="688" bestFit="1" customWidth="1"/>
    <col min="43" max="43" width="12.81640625" style="688" hidden="1" customWidth="1"/>
    <col min="44" max="44" width="12.81640625" style="688" customWidth="1"/>
    <col min="45" max="45" width="12.81640625" style="688" hidden="1" customWidth="1"/>
    <col min="46" max="46" width="12.81640625" style="688" customWidth="1"/>
    <col min="47" max="47" width="12.81640625" style="688" hidden="1" customWidth="1"/>
    <col min="48" max="48" width="13.36328125" style="688" bestFit="1" customWidth="1"/>
    <col min="49" max="49" width="12.81640625" style="688" hidden="1" customWidth="1"/>
    <col min="50" max="50" width="16.81640625" style="1295" bestFit="1" customWidth="1"/>
    <col min="51" max="51" width="16.81640625" style="1295" hidden="1" customWidth="1"/>
    <col min="52" max="52" width="12.81640625" style="688" hidden="1" customWidth="1"/>
    <col min="53" max="53" width="12.81640625" style="689" hidden="1" customWidth="1"/>
    <col min="54" max="62" width="12.81640625" style="688" hidden="1" customWidth="1"/>
    <col min="63" max="63" width="12.81640625" style="1295" customWidth="1"/>
    <col min="64" max="65" width="12.81640625" style="1295" hidden="1" customWidth="1"/>
    <col min="66" max="66" width="18.36328125" style="1295" bestFit="1" customWidth="1"/>
    <col min="67" max="67" width="22.26953125" style="688" customWidth="1"/>
    <col min="68" max="68" width="28.7265625" style="688" customWidth="1"/>
    <col min="69" max="69" width="38.7265625" style="1423" hidden="1" customWidth="1"/>
    <col min="70" max="70" width="13.7265625" style="1177" hidden="1" customWidth="1"/>
    <col min="71" max="71" width="57" style="1177" hidden="1" customWidth="1"/>
    <col min="72" max="72" width="11.36328125" style="1867" customWidth="1"/>
    <col min="73" max="16384" width="9.36328125" style="1867"/>
  </cols>
  <sheetData>
    <row r="1" spans="1:72" s="1866" customFormat="1" ht="52">
      <c r="A1" s="1549" t="s">
        <v>6892</v>
      </c>
      <c r="B1" s="1549" t="s">
        <v>615</v>
      </c>
      <c r="C1" s="1549" t="s">
        <v>616</v>
      </c>
      <c r="D1" s="1549" t="s">
        <v>6891</v>
      </c>
      <c r="E1" s="1549" t="s">
        <v>460</v>
      </c>
      <c r="F1" s="1398" t="s">
        <v>617</v>
      </c>
      <c r="G1" s="1398" t="s">
        <v>618</v>
      </c>
      <c r="H1" s="1398" t="s">
        <v>7571</v>
      </c>
      <c r="I1" s="1398" t="s">
        <v>7572</v>
      </c>
      <c r="J1" s="1398" t="s">
        <v>620</v>
      </c>
      <c r="K1" s="1398" t="s">
        <v>49</v>
      </c>
      <c r="L1" s="1398" t="s">
        <v>619</v>
      </c>
      <c r="M1" s="1399" t="s">
        <v>621</v>
      </c>
      <c r="N1" s="1400" t="s">
        <v>622</v>
      </c>
      <c r="O1" s="1401" t="s">
        <v>623</v>
      </c>
      <c r="P1" s="1400" t="s">
        <v>7547</v>
      </c>
      <c r="Q1" s="1400" t="s">
        <v>624</v>
      </c>
      <c r="R1" s="1400" t="s">
        <v>7548</v>
      </c>
      <c r="S1" s="1400" t="s">
        <v>625</v>
      </c>
      <c r="T1" s="1400" t="s">
        <v>7549</v>
      </c>
      <c r="U1" s="1400" t="s">
        <v>626</v>
      </c>
      <c r="V1" s="1400" t="s">
        <v>7550</v>
      </c>
      <c r="W1" s="1400" t="s">
        <v>627</v>
      </c>
      <c r="X1" s="1550" t="s">
        <v>628</v>
      </c>
      <c r="Y1" s="1551" t="s">
        <v>7551</v>
      </c>
      <c r="Z1" s="1552" t="s">
        <v>629</v>
      </c>
      <c r="AA1" s="1400" t="s">
        <v>630</v>
      </c>
      <c r="AB1" s="1400" t="s">
        <v>631</v>
      </c>
      <c r="AC1" s="1400" t="s">
        <v>7552</v>
      </c>
      <c r="AD1" s="1400" t="s">
        <v>632</v>
      </c>
      <c r="AE1" s="1400" t="s">
        <v>7553</v>
      </c>
      <c r="AF1" s="1400" t="s">
        <v>633</v>
      </c>
      <c r="AG1" s="1400" t="s">
        <v>7554</v>
      </c>
      <c r="AH1" s="1400" t="s">
        <v>634</v>
      </c>
      <c r="AI1" s="1400" t="s">
        <v>7555</v>
      </c>
      <c r="AJ1" s="1400" t="s">
        <v>635</v>
      </c>
      <c r="AK1" s="1550" t="s">
        <v>636</v>
      </c>
      <c r="AL1" s="1551" t="s">
        <v>7556</v>
      </c>
      <c r="AM1" s="1400" t="s">
        <v>637</v>
      </c>
      <c r="AN1" s="1400" t="s">
        <v>638</v>
      </c>
      <c r="AO1" s="1400" t="s">
        <v>639</v>
      </c>
      <c r="AP1" s="1400" t="s">
        <v>7557</v>
      </c>
      <c r="AQ1" s="1400" t="s">
        <v>640</v>
      </c>
      <c r="AR1" s="1400" t="s">
        <v>7558</v>
      </c>
      <c r="AS1" s="1400" t="s">
        <v>641</v>
      </c>
      <c r="AT1" s="1400" t="s">
        <v>7559</v>
      </c>
      <c r="AU1" s="1400" t="s">
        <v>642</v>
      </c>
      <c r="AV1" s="1400" t="s">
        <v>7560</v>
      </c>
      <c r="AW1" s="1401" t="s">
        <v>643</v>
      </c>
      <c r="AX1" s="1402" t="s">
        <v>644</v>
      </c>
      <c r="AY1" s="1551" t="s">
        <v>7561</v>
      </c>
      <c r="AZ1" s="1403" t="s">
        <v>645</v>
      </c>
      <c r="BA1" s="1400" t="s">
        <v>646</v>
      </c>
      <c r="BB1" s="1401" t="s">
        <v>7563</v>
      </c>
      <c r="BC1" s="1401" t="s">
        <v>7564</v>
      </c>
      <c r="BD1" s="1401" t="s">
        <v>7562</v>
      </c>
      <c r="BE1" s="1401" t="s">
        <v>7565</v>
      </c>
      <c r="BF1" s="1401" t="s">
        <v>7566</v>
      </c>
      <c r="BG1" s="1401" t="s">
        <v>7567</v>
      </c>
      <c r="BH1" s="1401" t="s">
        <v>7568</v>
      </c>
      <c r="BI1" s="1401" t="s">
        <v>7569</v>
      </c>
      <c r="BJ1" s="1401" t="s">
        <v>647</v>
      </c>
      <c r="BK1" s="1402" t="s">
        <v>648</v>
      </c>
      <c r="BL1" s="1654" t="s">
        <v>7570</v>
      </c>
      <c r="BM1" s="1401" t="s">
        <v>6898</v>
      </c>
      <c r="BN1" s="1402" t="s">
        <v>6899</v>
      </c>
      <c r="BO1" s="1404" t="s">
        <v>649</v>
      </c>
      <c r="BP1" s="1404" t="s">
        <v>650</v>
      </c>
      <c r="BQ1" s="1421" t="s">
        <v>6932</v>
      </c>
      <c r="BR1" s="1865" t="s">
        <v>814</v>
      </c>
      <c r="BS1" s="1901" t="s">
        <v>7615</v>
      </c>
      <c r="BT1" s="1906" t="s">
        <v>617</v>
      </c>
    </row>
    <row r="2" spans="1:72" s="681" customFormat="1" ht="13" hidden="1">
      <c r="A2" s="1545">
        <v>1</v>
      </c>
      <c r="B2" s="1546" t="s">
        <v>651</v>
      </c>
      <c r="C2" s="1546" t="s">
        <v>652</v>
      </c>
      <c r="D2" s="1547" t="s">
        <v>6942</v>
      </c>
      <c r="E2" s="690" t="s">
        <v>653</v>
      </c>
      <c r="F2" s="1428"/>
      <c r="G2" s="692"/>
      <c r="H2" s="692"/>
      <c r="I2" s="692"/>
      <c r="J2" s="693"/>
      <c r="K2" s="693"/>
      <c r="L2" s="693"/>
      <c r="M2" s="694"/>
      <c r="N2" s="695"/>
      <c r="O2" s="696" t="s">
        <v>1569</v>
      </c>
      <c r="P2" s="695">
        <f>('Malaria-Key Info'!$G$60*'HPM costs'!F81)/'HPM costs'!$E$81</f>
        <v>0</v>
      </c>
      <c r="Q2" s="695" t="s">
        <v>1569</v>
      </c>
      <c r="R2" s="695">
        <f>('Malaria-Key Info'!$G$60*'HPM costs'!G81)/'HPM costs'!$E$81</f>
        <v>0</v>
      </c>
      <c r="S2" s="695" t="s">
        <v>1569</v>
      </c>
      <c r="T2" s="695">
        <f>('Malaria-Key Info'!$G$60*'HPM costs'!H81)/'HPM costs'!$E$81</f>
        <v>0</v>
      </c>
      <c r="U2" s="695" t="s">
        <v>1569</v>
      </c>
      <c r="V2" s="695">
        <f>('Malaria-Key Info'!$G$60*'HPM costs'!I81)/'HPM costs'!$E$81</f>
        <v>0</v>
      </c>
      <c r="W2" s="695"/>
      <c r="X2" s="1492">
        <f t="shared" ref="X2:X65" si="0">P2+R2+T2+V2</f>
        <v>0</v>
      </c>
      <c r="Y2" s="1493"/>
      <c r="Z2" s="1494"/>
      <c r="AA2" s="699"/>
      <c r="AB2" s="695"/>
      <c r="AC2" s="695">
        <f>('Malaria-Key Info'!$G$60*'HPM costs'!K81)/'HPM costs'!$E$81</f>
        <v>0</v>
      </c>
      <c r="AD2" s="695"/>
      <c r="AE2" s="695">
        <f>('Malaria-Key Info'!$G$60*'HPM costs'!L81)/'HPM costs'!$E$81</f>
        <v>0</v>
      </c>
      <c r="AF2" s="695"/>
      <c r="AG2" s="695">
        <f>('Malaria-Key Info'!$G$60*'HPM costs'!M81)/'HPM costs'!$E$81</f>
        <v>0</v>
      </c>
      <c r="AH2" s="695"/>
      <c r="AI2" s="695">
        <f>('Malaria-Key Info'!$G$60*'HPM costs'!N81)/'HPM costs'!$E$81</f>
        <v>0</v>
      </c>
      <c r="AJ2" s="695"/>
      <c r="AK2" s="1492">
        <f t="shared" ref="AK2:AK65" si="1">AI2+AG2+AE2+AC2</f>
        <v>0</v>
      </c>
      <c r="AL2" s="1493"/>
      <c r="AM2" s="1494"/>
      <c r="AN2" s="699"/>
      <c r="AO2" s="695"/>
      <c r="AP2" s="695">
        <f>('Malaria-Key Info'!$G$60*'HPM costs'!P81)/'HPM costs'!$E$81</f>
        <v>0</v>
      </c>
      <c r="AQ2" s="695"/>
      <c r="AR2" s="695">
        <f>('Malaria-Key Info'!$G$60*'HPM costs'!Q81)/'HPM costs'!$E$81</f>
        <v>0</v>
      </c>
      <c r="AS2" s="695"/>
      <c r="AT2" s="695">
        <f>('Malaria-Key Info'!$G$60*'HPM costs'!R81)/'HPM costs'!$E$81</f>
        <v>0</v>
      </c>
      <c r="AU2" s="695"/>
      <c r="AV2" s="695">
        <f>('Malaria-Key Info'!$G$60*'HPM costs'!S81)/'HPM costs'!$E$81</f>
        <v>0</v>
      </c>
      <c r="AW2" s="695"/>
      <c r="AX2" s="1492">
        <f t="shared" ref="AX2:AX65" si="2">AV2+AT2+AR2+AP2</f>
        <v>0</v>
      </c>
      <c r="AY2" s="1492"/>
      <c r="AZ2" s="698"/>
      <c r="BA2" s="699"/>
      <c r="BB2" s="697"/>
      <c r="BC2" s="697">
        <v>0</v>
      </c>
      <c r="BD2" s="697">
        <v>0</v>
      </c>
      <c r="BE2" s="697">
        <v>0</v>
      </c>
      <c r="BF2" s="697">
        <v>0</v>
      </c>
      <c r="BG2" s="697">
        <v>0</v>
      </c>
      <c r="BH2" s="697">
        <v>0</v>
      </c>
      <c r="BI2" s="697">
        <v>0</v>
      </c>
      <c r="BJ2" s="697">
        <v>0</v>
      </c>
      <c r="BK2" s="1492">
        <f t="shared" ref="BK2:BK65" si="3">BI2+BG2+BE2+BC2</f>
        <v>0</v>
      </c>
      <c r="BL2" s="1492"/>
      <c r="BM2" s="1492">
        <f t="shared" ref="BM2:BM65" si="4">BJ2+AW2+AJ2+W2</f>
        <v>0</v>
      </c>
      <c r="BN2" s="1492">
        <f t="shared" ref="BN2:BN65" si="5">BK2+AX2+AK2+X2</f>
        <v>0</v>
      </c>
      <c r="BO2" s="697"/>
      <c r="BP2" s="697"/>
      <c r="BQ2" s="1495">
        <v>0</v>
      </c>
      <c r="BR2" s="1495" t="s">
        <v>19</v>
      </c>
      <c r="BS2" s="1495" t="s">
        <v>6942</v>
      </c>
      <c r="BT2" s="1904" t="s">
        <v>654</v>
      </c>
    </row>
    <row r="3" spans="1:72" s="681" customFormat="1" ht="13" hidden="1">
      <c r="A3" s="1545">
        <v>2</v>
      </c>
      <c r="B3" s="1546" t="s">
        <v>651</v>
      </c>
      <c r="C3" s="1546" t="s">
        <v>652</v>
      </c>
      <c r="D3" s="1547" t="s">
        <v>655</v>
      </c>
      <c r="E3" s="690" t="s">
        <v>656</v>
      </c>
      <c r="F3" s="691"/>
      <c r="G3" s="692"/>
      <c r="H3" s="692"/>
      <c r="I3" s="692"/>
      <c r="J3" s="693"/>
      <c r="K3" s="693"/>
      <c r="L3" s="693"/>
      <c r="M3" s="694"/>
      <c r="N3" s="695"/>
      <c r="O3" s="696" t="s">
        <v>1569</v>
      </c>
      <c r="P3" s="695">
        <f>'Malaria-Key Info'!$G$60*'HPM costs'!F81</f>
        <v>0</v>
      </c>
      <c r="Q3" s="695" t="s">
        <v>1569</v>
      </c>
      <c r="R3" s="695">
        <f>'Malaria-Key Info'!$G$60*'HPM costs'!G81</f>
        <v>0</v>
      </c>
      <c r="S3" s="695" t="s">
        <v>1569</v>
      </c>
      <c r="T3" s="695">
        <f>'Malaria-Key Info'!$G$60*'HPM costs'!H81</f>
        <v>0</v>
      </c>
      <c r="U3" s="695" t="s">
        <v>1569</v>
      </c>
      <c r="V3" s="695">
        <f>'Malaria-Key Info'!$G$60*'HPM costs'!I81</f>
        <v>0</v>
      </c>
      <c r="W3" s="695"/>
      <c r="X3" s="1492">
        <f t="shared" si="0"/>
        <v>0</v>
      </c>
      <c r="Y3" s="1493"/>
      <c r="Z3" s="1494"/>
      <c r="AA3" s="699"/>
      <c r="AB3" s="695"/>
      <c r="AC3" s="695">
        <f>'Malaria-Key Info'!$G$60*'HPM costs'!K81</f>
        <v>0</v>
      </c>
      <c r="AD3" s="695"/>
      <c r="AE3" s="695">
        <f>'Malaria-Key Info'!$G$60*'HPM costs'!L81</f>
        <v>0</v>
      </c>
      <c r="AF3" s="695"/>
      <c r="AG3" s="695">
        <f>'Malaria-Key Info'!$G$60*'HPM costs'!M81</f>
        <v>0</v>
      </c>
      <c r="AH3" s="695"/>
      <c r="AI3" s="695">
        <f>'Malaria-Key Info'!$G$60*'HPM costs'!N81</f>
        <v>0</v>
      </c>
      <c r="AJ3" s="695"/>
      <c r="AK3" s="1492">
        <f t="shared" si="1"/>
        <v>0</v>
      </c>
      <c r="AL3" s="1493"/>
      <c r="AM3" s="1494"/>
      <c r="AN3" s="699"/>
      <c r="AO3" s="695"/>
      <c r="AP3" s="695">
        <f>'Malaria-Key Info'!$G$60*'HPM costs'!P81</f>
        <v>0</v>
      </c>
      <c r="AQ3" s="695"/>
      <c r="AR3" s="695">
        <f>'Malaria-Key Info'!$G$60*'HPM costs'!Q81</f>
        <v>0</v>
      </c>
      <c r="AS3" s="695"/>
      <c r="AT3" s="695">
        <f>'Malaria-Key Info'!$G$60*'HPM costs'!R81</f>
        <v>0</v>
      </c>
      <c r="AU3" s="695"/>
      <c r="AV3" s="695">
        <f>'Malaria-Key Info'!$G$60*'HPM costs'!S81</f>
        <v>0</v>
      </c>
      <c r="AW3" s="695"/>
      <c r="AX3" s="1492">
        <f t="shared" si="2"/>
        <v>0</v>
      </c>
      <c r="AY3" s="1492"/>
      <c r="AZ3" s="698"/>
      <c r="BA3" s="699"/>
      <c r="BB3" s="697"/>
      <c r="BC3" s="697">
        <v>0</v>
      </c>
      <c r="BD3" s="697">
        <v>0</v>
      </c>
      <c r="BE3" s="697">
        <v>0</v>
      </c>
      <c r="BF3" s="697">
        <v>0</v>
      </c>
      <c r="BG3" s="697">
        <v>0</v>
      </c>
      <c r="BH3" s="697">
        <v>0</v>
      </c>
      <c r="BI3" s="697">
        <v>0</v>
      </c>
      <c r="BJ3" s="697">
        <v>0</v>
      </c>
      <c r="BK3" s="1492">
        <f t="shared" si="3"/>
        <v>0</v>
      </c>
      <c r="BL3" s="1492"/>
      <c r="BM3" s="1492">
        <f t="shared" si="4"/>
        <v>0</v>
      </c>
      <c r="BN3" s="1492">
        <f t="shared" si="5"/>
        <v>0</v>
      </c>
      <c r="BO3" s="697"/>
      <c r="BP3" s="697"/>
      <c r="BQ3" s="1495">
        <v>0</v>
      </c>
      <c r="BR3" s="1495" t="s">
        <v>19</v>
      </c>
      <c r="BS3" s="1495" t="s">
        <v>655</v>
      </c>
      <c r="BT3" s="691" t="s">
        <v>657</v>
      </c>
    </row>
    <row r="4" spans="1:72" s="681" customFormat="1" ht="13" hidden="1">
      <c r="A4" s="1545">
        <v>3</v>
      </c>
      <c r="B4" s="1546" t="s">
        <v>651</v>
      </c>
      <c r="C4" s="1546" t="s">
        <v>652</v>
      </c>
      <c r="D4" s="1547" t="s">
        <v>655</v>
      </c>
      <c r="E4" s="690" t="s">
        <v>658</v>
      </c>
      <c r="F4" s="691"/>
      <c r="G4" s="692"/>
      <c r="H4" s="692"/>
      <c r="I4" s="692"/>
      <c r="J4" s="693"/>
      <c r="K4" s="693"/>
      <c r="L4" s="693"/>
      <c r="M4" s="694"/>
      <c r="N4" s="695"/>
      <c r="O4" s="696" t="s">
        <v>1569</v>
      </c>
      <c r="P4" s="695">
        <f>'Malaria-Key Info'!$G$60*'HPM costs'!F167</f>
        <v>0</v>
      </c>
      <c r="Q4" s="695" t="s">
        <v>1569</v>
      </c>
      <c r="R4" s="695">
        <f>'Malaria-Key Info'!$G$60*'HPM costs'!G167</f>
        <v>0</v>
      </c>
      <c r="S4" s="695" t="s">
        <v>1569</v>
      </c>
      <c r="T4" s="695">
        <f>'Malaria-Key Info'!$G$60*'HPM costs'!H167</f>
        <v>0</v>
      </c>
      <c r="U4" s="695" t="s">
        <v>1569</v>
      </c>
      <c r="V4" s="695">
        <f>'Malaria-Key Info'!$G$60*'HPM costs'!I167</f>
        <v>0</v>
      </c>
      <c r="W4" s="695"/>
      <c r="X4" s="1492">
        <f t="shared" si="0"/>
        <v>0</v>
      </c>
      <c r="Y4" s="1493"/>
      <c r="Z4" s="1494"/>
      <c r="AA4" s="699"/>
      <c r="AB4" s="695"/>
      <c r="AC4" s="695">
        <f>'Malaria-Key Info'!$G$60*'HPM costs'!K167</f>
        <v>0</v>
      </c>
      <c r="AD4" s="695"/>
      <c r="AE4" s="695">
        <f>'Malaria-Key Info'!$G$60*'HPM costs'!L167</f>
        <v>0</v>
      </c>
      <c r="AF4" s="695"/>
      <c r="AG4" s="695">
        <f>'Malaria-Key Info'!$G$60*'HPM costs'!M167</f>
        <v>0</v>
      </c>
      <c r="AH4" s="695"/>
      <c r="AI4" s="695">
        <f>'Malaria-Key Info'!$G$60*'HPM costs'!N167</f>
        <v>0</v>
      </c>
      <c r="AJ4" s="695"/>
      <c r="AK4" s="1492">
        <f t="shared" si="1"/>
        <v>0</v>
      </c>
      <c r="AL4" s="1493"/>
      <c r="AM4" s="1494"/>
      <c r="AN4" s="699"/>
      <c r="AO4" s="695"/>
      <c r="AP4" s="695">
        <f>'Malaria-Key Info'!$G$60*'HPM costs'!P167</f>
        <v>0</v>
      </c>
      <c r="AQ4" s="695"/>
      <c r="AR4" s="695">
        <f>'Malaria-Key Info'!$G$60*'HPM costs'!Q167</f>
        <v>0</v>
      </c>
      <c r="AS4" s="695"/>
      <c r="AT4" s="695">
        <f>'Malaria-Key Info'!$G$60*'HPM costs'!R167</f>
        <v>0</v>
      </c>
      <c r="AU4" s="695"/>
      <c r="AV4" s="695">
        <f>'Malaria-Key Info'!$G$60*'HPM costs'!S167</f>
        <v>0</v>
      </c>
      <c r="AW4" s="695"/>
      <c r="AX4" s="1492">
        <f t="shared" si="2"/>
        <v>0</v>
      </c>
      <c r="AY4" s="1492"/>
      <c r="AZ4" s="698"/>
      <c r="BA4" s="699"/>
      <c r="BB4" s="697"/>
      <c r="BC4" s="697">
        <v>0</v>
      </c>
      <c r="BD4" s="697">
        <v>0</v>
      </c>
      <c r="BE4" s="697">
        <v>0</v>
      </c>
      <c r="BF4" s="697">
        <v>0</v>
      </c>
      <c r="BG4" s="697">
        <v>0</v>
      </c>
      <c r="BH4" s="697">
        <v>0</v>
      </c>
      <c r="BI4" s="697">
        <v>0</v>
      </c>
      <c r="BJ4" s="697">
        <v>0</v>
      </c>
      <c r="BK4" s="1492">
        <f t="shared" si="3"/>
        <v>0</v>
      </c>
      <c r="BL4" s="1492"/>
      <c r="BM4" s="1492">
        <f t="shared" si="4"/>
        <v>0</v>
      </c>
      <c r="BN4" s="1492">
        <f t="shared" si="5"/>
        <v>0</v>
      </c>
      <c r="BO4" s="697"/>
      <c r="BP4" s="697"/>
      <c r="BQ4" s="1495">
        <v>0</v>
      </c>
      <c r="BR4" s="1495" t="s">
        <v>19</v>
      </c>
      <c r="BS4" s="1495" t="s">
        <v>655</v>
      </c>
      <c r="BT4" s="691" t="s">
        <v>659</v>
      </c>
    </row>
    <row r="5" spans="1:72" s="681" customFormat="1" ht="13" hidden="1">
      <c r="A5" s="1545">
        <v>4</v>
      </c>
      <c r="B5" s="1546" t="s">
        <v>651</v>
      </c>
      <c r="C5" s="1546" t="s">
        <v>652</v>
      </c>
      <c r="D5" s="1547" t="s">
        <v>655</v>
      </c>
      <c r="E5" s="690" t="s">
        <v>660</v>
      </c>
      <c r="F5" s="691"/>
      <c r="G5" s="692"/>
      <c r="H5" s="692"/>
      <c r="I5" s="692"/>
      <c r="J5" s="693"/>
      <c r="K5" s="693"/>
      <c r="L5" s="693"/>
      <c r="M5" s="694"/>
      <c r="N5" s="695"/>
      <c r="O5" s="696" t="s">
        <v>1569</v>
      </c>
      <c r="P5" s="695">
        <f>'Malaria-Key Info'!$G$60*'HPM costs'!F427</f>
        <v>0</v>
      </c>
      <c r="Q5" s="695" t="s">
        <v>1569</v>
      </c>
      <c r="R5" s="695">
        <f>'Malaria-Key Info'!$G$60*'HPM costs'!G427</f>
        <v>0</v>
      </c>
      <c r="S5" s="695" t="s">
        <v>1569</v>
      </c>
      <c r="T5" s="695">
        <f>'Malaria-Key Info'!$G$60*'HPM costs'!H427</f>
        <v>0</v>
      </c>
      <c r="U5" s="695" t="s">
        <v>1569</v>
      </c>
      <c r="V5" s="695">
        <f>'Malaria-Key Info'!$G$60*'HPM costs'!I427</f>
        <v>0</v>
      </c>
      <c r="W5" s="695"/>
      <c r="X5" s="1492">
        <f t="shared" si="0"/>
        <v>0</v>
      </c>
      <c r="Y5" s="1493"/>
      <c r="Z5" s="1494"/>
      <c r="AA5" s="699"/>
      <c r="AB5" s="695"/>
      <c r="AC5" s="695">
        <f>'Malaria-Key Info'!$G$60*'HPM costs'!K427</f>
        <v>0</v>
      </c>
      <c r="AD5" s="695"/>
      <c r="AE5" s="695">
        <f>'Malaria-Key Info'!$G$60*'HPM costs'!L427</f>
        <v>0</v>
      </c>
      <c r="AF5" s="695"/>
      <c r="AG5" s="695">
        <f>'Malaria-Key Info'!$G$60*'HPM costs'!M427</f>
        <v>0</v>
      </c>
      <c r="AH5" s="695"/>
      <c r="AI5" s="695">
        <f>'Malaria-Key Info'!$G$60*'HPM costs'!N427</f>
        <v>0</v>
      </c>
      <c r="AJ5" s="695"/>
      <c r="AK5" s="1492">
        <f t="shared" si="1"/>
        <v>0</v>
      </c>
      <c r="AL5" s="1493"/>
      <c r="AM5" s="1494"/>
      <c r="AN5" s="699"/>
      <c r="AO5" s="695"/>
      <c r="AP5" s="695">
        <f>'Malaria-Key Info'!$G$60*'HPM costs'!P427</f>
        <v>0</v>
      </c>
      <c r="AQ5" s="695"/>
      <c r="AR5" s="695">
        <f>'Malaria-Key Info'!$G$60*'HPM costs'!Q427</f>
        <v>0</v>
      </c>
      <c r="AS5" s="695"/>
      <c r="AT5" s="695">
        <f>'Malaria-Key Info'!$G$60*'HPM costs'!R427</f>
        <v>0</v>
      </c>
      <c r="AU5" s="695"/>
      <c r="AV5" s="695">
        <f>'Malaria-Key Info'!$G$60*'HPM costs'!S427</f>
        <v>0</v>
      </c>
      <c r="AW5" s="695"/>
      <c r="AX5" s="1492">
        <f t="shared" si="2"/>
        <v>0</v>
      </c>
      <c r="AY5" s="1492"/>
      <c r="AZ5" s="698"/>
      <c r="BA5" s="699"/>
      <c r="BB5" s="697"/>
      <c r="BC5" s="697">
        <v>0</v>
      </c>
      <c r="BD5" s="697">
        <v>0</v>
      </c>
      <c r="BE5" s="697">
        <v>0</v>
      </c>
      <c r="BF5" s="697">
        <v>0</v>
      </c>
      <c r="BG5" s="697">
        <v>0</v>
      </c>
      <c r="BH5" s="697">
        <v>0</v>
      </c>
      <c r="BI5" s="697">
        <v>0</v>
      </c>
      <c r="BJ5" s="697">
        <v>0</v>
      </c>
      <c r="BK5" s="1492">
        <f t="shared" si="3"/>
        <v>0</v>
      </c>
      <c r="BL5" s="1492"/>
      <c r="BM5" s="1492">
        <f t="shared" si="4"/>
        <v>0</v>
      </c>
      <c r="BN5" s="1492">
        <f t="shared" si="5"/>
        <v>0</v>
      </c>
      <c r="BO5" s="697"/>
      <c r="BP5" s="697"/>
      <c r="BQ5" s="1495">
        <v>0</v>
      </c>
      <c r="BR5" s="1495" t="s">
        <v>19</v>
      </c>
      <c r="BS5" s="1495" t="s">
        <v>655</v>
      </c>
      <c r="BT5" s="691" t="s">
        <v>661</v>
      </c>
    </row>
    <row r="6" spans="1:72" s="681" customFormat="1" ht="13" hidden="1">
      <c r="A6" s="1545">
        <v>5</v>
      </c>
      <c r="B6" s="1546" t="s">
        <v>651</v>
      </c>
      <c r="C6" s="1546" t="s">
        <v>652</v>
      </c>
      <c r="D6" s="1547" t="s">
        <v>655</v>
      </c>
      <c r="E6" s="690" t="s">
        <v>662</v>
      </c>
      <c r="F6" s="691"/>
      <c r="G6" s="692"/>
      <c r="H6" s="692"/>
      <c r="I6" s="692"/>
      <c r="J6" s="693"/>
      <c r="K6" s="693"/>
      <c r="L6" s="693"/>
      <c r="M6" s="694"/>
      <c r="N6" s="695"/>
      <c r="O6" s="696" t="s">
        <v>1569</v>
      </c>
      <c r="P6" s="695">
        <f>'Malaria-Key Info'!$G$60*'HPM costs'!F513</f>
        <v>0</v>
      </c>
      <c r="Q6" s="695" t="s">
        <v>1569</v>
      </c>
      <c r="R6" s="695">
        <f>'Malaria-Key Info'!$G$60*'HPM costs'!G513</f>
        <v>0</v>
      </c>
      <c r="S6" s="695" t="s">
        <v>1569</v>
      </c>
      <c r="T6" s="695">
        <f>'Malaria-Key Info'!$G$60*'HPM costs'!H513</f>
        <v>0</v>
      </c>
      <c r="U6" s="695" t="s">
        <v>1569</v>
      </c>
      <c r="V6" s="695">
        <f>'Malaria-Key Info'!$G$60*'HPM costs'!I513</f>
        <v>0</v>
      </c>
      <c r="W6" s="695"/>
      <c r="X6" s="1492">
        <f t="shared" si="0"/>
        <v>0</v>
      </c>
      <c r="Y6" s="1493"/>
      <c r="Z6" s="1494"/>
      <c r="AA6" s="699"/>
      <c r="AB6" s="695"/>
      <c r="AC6" s="695">
        <f>'Malaria-Key Info'!$G$60*'HPM costs'!K513</f>
        <v>0</v>
      </c>
      <c r="AD6" s="695"/>
      <c r="AE6" s="695">
        <f>'Malaria-Key Info'!$G$60*'HPM costs'!L513</f>
        <v>0</v>
      </c>
      <c r="AF6" s="695"/>
      <c r="AG6" s="695">
        <f>'Malaria-Key Info'!$G$60*'HPM costs'!M513</f>
        <v>0</v>
      </c>
      <c r="AH6" s="695"/>
      <c r="AI6" s="695">
        <f>'Malaria-Key Info'!$G$60*'HPM costs'!N513</f>
        <v>0</v>
      </c>
      <c r="AJ6" s="695"/>
      <c r="AK6" s="1492">
        <f t="shared" si="1"/>
        <v>0</v>
      </c>
      <c r="AL6" s="1493"/>
      <c r="AM6" s="1494"/>
      <c r="AN6" s="699"/>
      <c r="AO6" s="695"/>
      <c r="AP6" s="695">
        <f>'Malaria-Key Info'!$G$60*'HPM costs'!P513</f>
        <v>0</v>
      </c>
      <c r="AQ6" s="695"/>
      <c r="AR6" s="695">
        <f>'Malaria-Key Info'!$G$60*'HPM costs'!Q513</f>
        <v>0</v>
      </c>
      <c r="AS6" s="695"/>
      <c r="AT6" s="695">
        <f>'Malaria-Key Info'!$G$60*'HPM costs'!R513</f>
        <v>0</v>
      </c>
      <c r="AU6" s="695"/>
      <c r="AV6" s="695">
        <f>'Malaria-Key Info'!$G$60*'HPM costs'!S513</f>
        <v>0</v>
      </c>
      <c r="AW6" s="695"/>
      <c r="AX6" s="1492">
        <f t="shared" si="2"/>
        <v>0</v>
      </c>
      <c r="AY6" s="1492"/>
      <c r="AZ6" s="698"/>
      <c r="BA6" s="699"/>
      <c r="BB6" s="697"/>
      <c r="BC6" s="697">
        <v>0</v>
      </c>
      <c r="BD6" s="697">
        <v>0</v>
      </c>
      <c r="BE6" s="697">
        <v>0</v>
      </c>
      <c r="BF6" s="697">
        <v>0</v>
      </c>
      <c r="BG6" s="697">
        <v>0</v>
      </c>
      <c r="BH6" s="697">
        <v>0</v>
      </c>
      <c r="BI6" s="697">
        <v>0</v>
      </c>
      <c r="BJ6" s="697">
        <v>0</v>
      </c>
      <c r="BK6" s="1492">
        <f t="shared" si="3"/>
        <v>0</v>
      </c>
      <c r="BL6" s="1492"/>
      <c r="BM6" s="1492">
        <f t="shared" si="4"/>
        <v>0</v>
      </c>
      <c r="BN6" s="1492">
        <f t="shared" si="5"/>
        <v>0</v>
      </c>
      <c r="BO6" s="697"/>
      <c r="BP6" s="697"/>
      <c r="BQ6" s="1495">
        <v>0</v>
      </c>
      <c r="BR6" s="1495" t="s">
        <v>19</v>
      </c>
      <c r="BS6" s="1495" t="s">
        <v>655</v>
      </c>
      <c r="BT6" s="691" t="s">
        <v>663</v>
      </c>
    </row>
    <row r="7" spans="1:72" s="681" customFormat="1" ht="13" hidden="1">
      <c r="A7" s="1545">
        <v>6</v>
      </c>
      <c r="B7" s="1546" t="s">
        <v>651</v>
      </c>
      <c r="C7" s="1546" t="s">
        <v>652</v>
      </c>
      <c r="D7" s="1547" t="s">
        <v>655</v>
      </c>
      <c r="E7" s="690" t="s">
        <v>664</v>
      </c>
      <c r="F7" s="691"/>
      <c r="G7" s="692"/>
      <c r="H7" s="692"/>
      <c r="I7" s="692"/>
      <c r="J7" s="693"/>
      <c r="K7" s="693"/>
      <c r="L7" s="693"/>
      <c r="M7" s="694"/>
      <c r="N7" s="695"/>
      <c r="O7" s="696" t="s">
        <v>1569</v>
      </c>
      <c r="P7" s="695">
        <f>'Malaria-Key Info'!$G$60*('HPM costs'!F253+'HPM costs'!F599)</f>
        <v>0</v>
      </c>
      <c r="Q7" s="695" t="s">
        <v>1569</v>
      </c>
      <c r="R7" s="695">
        <f>'Malaria-Key Info'!$G$60*('HPM costs'!G253+'HPM costs'!G599)</f>
        <v>0</v>
      </c>
      <c r="S7" s="695" t="s">
        <v>1569</v>
      </c>
      <c r="T7" s="695">
        <f>'Malaria-Key Info'!$G$60*('HPM costs'!H253+'HPM costs'!H599)</f>
        <v>0</v>
      </c>
      <c r="U7" s="695" t="s">
        <v>1569</v>
      </c>
      <c r="V7" s="695">
        <f>'Malaria-Key Info'!$G$60*('HPM costs'!I253+'HPM costs'!I599)</f>
        <v>0</v>
      </c>
      <c r="W7" s="695"/>
      <c r="X7" s="1492">
        <f t="shared" si="0"/>
        <v>0</v>
      </c>
      <c r="Y7" s="1493"/>
      <c r="Z7" s="1494"/>
      <c r="AA7" s="699"/>
      <c r="AB7" s="695"/>
      <c r="AC7" s="695">
        <f>'Malaria-Key Info'!$G$60*('HPM costs'!K253+'HPM costs'!K599)</f>
        <v>0</v>
      </c>
      <c r="AD7" s="695"/>
      <c r="AE7" s="695">
        <f>'Malaria-Key Info'!$G$60*('HPM costs'!L253+'HPM costs'!L599)</f>
        <v>0</v>
      </c>
      <c r="AF7" s="695"/>
      <c r="AG7" s="695">
        <f>'Malaria-Key Info'!$G$60*('HPM costs'!M253+'HPM costs'!M599)</f>
        <v>0</v>
      </c>
      <c r="AH7" s="695"/>
      <c r="AI7" s="695">
        <f>'Malaria-Key Info'!$G$60*('HPM costs'!N253+'HPM costs'!N599)</f>
        <v>0</v>
      </c>
      <c r="AJ7" s="695"/>
      <c r="AK7" s="1492">
        <f t="shared" si="1"/>
        <v>0</v>
      </c>
      <c r="AL7" s="1493"/>
      <c r="AM7" s="1494"/>
      <c r="AN7" s="699"/>
      <c r="AO7" s="695"/>
      <c r="AP7" s="695">
        <f>'Malaria-Key Info'!$G$60*('HPM costs'!P253+'HPM costs'!P599)</f>
        <v>0</v>
      </c>
      <c r="AQ7" s="695"/>
      <c r="AR7" s="695">
        <f>'Malaria-Key Info'!$G$60*('HPM costs'!Q253+'HPM costs'!Q599)</f>
        <v>0</v>
      </c>
      <c r="AS7" s="695"/>
      <c r="AT7" s="695">
        <f>'Malaria-Key Info'!$G$60*('HPM costs'!R253+'HPM costs'!R599)</f>
        <v>0</v>
      </c>
      <c r="AU7" s="695"/>
      <c r="AV7" s="695">
        <f>'Malaria-Key Info'!$G$60*('HPM costs'!S253+'HPM costs'!S599)</f>
        <v>0</v>
      </c>
      <c r="AW7" s="695"/>
      <c r="AX7" s="1492">
        <f t="shared" si="2"/>
        <v>0</v>
      </c>
      <c r="AY7" s="1492"/>
      <c r="AZ7" s="698"/>
      <c r="BA7" s="699"/>
      <c r="BB7" s="697"/>
      <c r="BC7" s="697">
        <v>0</v>
      </c>
      <c r="BD7" s="697">
        <v>0</v>
      </c>
      <c r="BE7" s="697">
        <v>0</v>
      </c>
      <c r="BF7" s="697">
        <v>0</v>
      </c>
      <c r="BG7" s="697">
        <v>0</v>
      </c>
      <c r="BH7" s="697">
        <v>0</v>
      </c>
      <c r="BI7" s="697">
        <v>0</v>
      </c>
      <c r="BJ7" s="697">
        <v>0</v>
      </c>
      <c r="BK7" s="1492">
        <f t="shared" si="3"/>
        <v>0</v>
      </c>
      <c r="BL7" s="1492"/>
      <c r="BM7" s="1492">
        <f t="shared" si="4"/>
        <v>0</v>
      </c>
      <c r="BN7" s="1492">
        <f t="shared" si="5"/>
        <v>0</v>
      </c>
      <c r="BO7" s="697"/>
      <c r="BP7" s="697"/>
      <c r="BQ7" s="1495">
        <v>0</v>
      </c>
      <c r="BR7" s="1495" t="s">
        <v>19</v>
      </c>
      <c r="BS7" s="1495" t="s">
        <v>655</v>
      </c>
      <c r="BT7" s="691" t="s">
        <v>665</v>
      </c>
    </row>
    <row r="8" spans="1:72" s="681" customFormat="1" ht="13" hidden="1">
      <c r="A8" s="1545">
        <v>7</v>
      </c>
      <c r="B8" s="1546" t="s">
        <v>651</v>
      </c>
      <c r="C8" s="1546" t="s">
        <v>652</v>
      </c>
      <c r="D8" s="1547" t="s">
        <v>655</v>
      </c>
      <c r="E8" s="690" t="s">
        <v>666</v>
      </c>
      <c r="F8" s="691"/>
      <c r="G8" s="692"/>
      <c r="H8" s="692"/>
      <c r="I8" s="692"/>
      <c r="J8" s="693"/>
      <c r="K8" s="693"/>
      <c r="L8" s="693"/>
      <c r="M8" s="694"/>
      <c r="N8" s="695"/>
      <c r="O8" s="696" t="s">
        <v>1569</v>
      </c>
      <c r="P8" s="695">
        <f>'Malaria-Key Info'!$G$60*'HPM costs'!F339</f>
        <v>0</v>
      </c>
      <c r="Q8" s="695" t="s">
        <v>1569</v>
      </c>
      <c r="R8" s="695">
        <f>'Malaria-Key Info'!$G$60*'HPM costs'!G339</f>
        <v>0</v>
      </c>
      <c r="S8" s="695" t="s">
        <v>1569</v>
      </c>
      <c r="T8" s="695">
        <f>'Malaria-Key Info'!$G$60*'HPM costs'!H339</f>
        <v>0</v>
      </c>
      <c r="U8" s="695" t="s">
        <v>1569</v>
      </c>
      <c r="V8" s="695">
        <f>'Malaria-Key Info'!$G$60*'HPM costs'!I339</f>
        <v>0</v>
      </c>
      <c r="W8" s="695"/>
      <c r="X8" s="1492">
        <f t="shared" si="0"/>
        <v>0</v>
      </c>
      <c r="Y8" s="1493"/>
      <c r="Z8" s="1494"/>
      <c r="AA8" s="699"/>
      <c r="AB8" s="695"/>
      <c r="AC8" s="695">
        <f>'Malaria-Key Info'!$G$60*'HPM costs'!K339</f>
        <v>0</v>
      </c>
      <c r="AD8" s="695"/>
      <c r="AE8" s="695">
        <f>'Malaria-Key Info'!$G$60*'HPM costs'!L339</f>
        <v>0</v>
      </c>
      <c r="AF8" s="695"/>
      <c r="AG8" s="695">
        <f>'Malaria-Key Info'!$G$60*'HPM costs'!M339</f>
        <v>0</v>
      </c>
      <c r="AH8" s="695"/>
      <c r="AI8" s="695">
        <f>'Malaria-Key Info'!$G$60*'HPM costs'!N339</f>
        <v>0</v>
      </c>
      <c r="AJ8" s="695"/>
      <c r="AK8" s="1492">
        <f t="shared" si="1"/>
        <v>0</v>
      </c>
      <c r="AL8" s="1493"/>
      <c r="AM8" s="1494"/>
      <c r="AN8" s="699"/>
      <c r="AO8" s="695"/>
      <c r="AP8" s="695">
        <f>'Malaria-Key Info'!$G$60*'HPM costs'!P339</f>
        <v>0</v>
      </c>
      <c r="AQ8" s="695"/>
      <c r="AR8" s="695">
        <f>'Malaria-Key Info'!$G$60*'HPM costs'!Q339</f>
        <v>0</v>
      </c>
      <c r="AS8" s="695"/>
      <c r="AT8" s="695">
        <f>'Malaria-Key Info'!$G$60*'HPM costs'!R339</f>
        <v>0</v>
      </c>
      <c r="AU8" s="695"/>
      <c r="AV8" s="695">
        <f>'Malaria-Key Info'!$G$60*'HPM costs'!S339</f>
        <v>0</v>
      </c>
      <c r="AW8" s="695"/>
      <c r="AX8" s="1492">
        <f t="shared" si="2"/>
        <v>0</v>
      </c>
      <c r="AY8" s="1492"/>
      <c r="AZ8" s="698"/>
      <c r="BA8" s="699"/>
      <c r="BB8" s="697"/>
      <c r="BC8" s="697">
        <v>0</v>
      </c>
      <c r="BD8" s="697">
        <v>0</v>
      </c>
      <c r="BE8" s="697">
        <v>0</v>
      </c>
      <c r="BF8" s="697">
        <v>0</v>
      </c>
      <c r="BG8" s="697">
        <v>0</v>
      </c>
      <c r="BH8" s="697">
        <v>0</v>
      </c>
      <c r="BI8" s="697">
        <v>0</v>
      </c>
      <c r="BJ8" s="697">
        <v>0</v>
      </c>
      <c r="BK8" s="1492">
        <f t="shared" si="3"/>
        <v>0</v>
      </c>
      <c r="BL8" s="1492"/>
      <c r="BM8" s="1492">
        <f t="shared" si="4"/>
        <v>0</v>
      </c>
      <c r="BN8" s="1492">
        <f t="shared" si="5"/>
        <v>0</v>
      </c>
      <c r="BO8" s="697"/>
      <c r="BP8" s="697"/>
      <c r="BQ8" s="1495">
        <v>0</v>
      </c>
      <c r="BR8" s="1495" t="s">
        <v>19</v>
      </c>
      <c r="BS8" s="1495" t="s">
        <v>655</v>
      </c>
      <c r="BT8" s="691" t="s">
        <v>667</v>
      </c>
    </row>
    <row r="9" spans="1:72" s="681" customFormat="1" ht="13" hidden="1">
      <c r="A9" s="1545">
        <v>8</v>
      </c>
      <c r="B9" s="1546" t="s">
        <v>651</v>
      </c>
      <c r="C9" s="1546" t="s">
        <v>652</v>
      </c>
      <c r="D9" s="1547" t="s">
        <v>655</v>
      </c>
      <c r="E9" s="690" t="s">
        <v>668</v>
      </c>
      <c r="F9" s="691"/>
      <c r="G9" s="692"/>
      <c r="H9" s="692"/>
      <c r="I9" s="692"/>
      <c r="J9" s="693"/>
      <c r="K9" s="693"/>
      <c r="L9" s="693"/>
      <c r="M9" s="694"/>
      <c r="N9" s="695"/>
      <c r="O9" s="696" t="s">
        <v>1569</v>
      </c>
      <c r="P9" s="695">
        <f>'Malaria-Key Info'!$G$60*'HPM costs'!F684</f>
        <v>0</v>
      </c>
      <c r="Q9" s="695" t="s">
        <v>1569</v>
      </c>
      <c r="R9" s="695">
        <f>'Malaria-Key Info'!$G$60*'HPM costs'!G684</f>
        <v>0</v>
      </c>
      <c r="S9" s="695" t="s">
        <v>1569</v>
      </c>
      <c r="T9" s="695">
        <f>'Malaria-Key Info'!$G$60*'HPM costs'!H684</f>
        <v>0</v>
      </c>
      <c r="U9" s="695" t="s">
        <v>1569</v>
      </c>
      <c r="V9" s="695">
        <f>'Malaria-Key Info'!$G$60*'HPM costs'!I684</f>
        <v>0</v>
      </c>
      <c r="W9" s="695"/>
      <c r="X9" s="1492">
        <f t="shared" si="0"/>
        <v>0</v>
      </c>
      <c r="Y9" s="1493"/>
      <c r="Z9" s="1494"/>
      <c r="AA9" s="699"/>
      <c r="AB9" s="695"/>
      <c r="AC9" s="695">
        <f>'Malaria-Key Info'!$G$60*'HPM costs'!K684</f>
        <v>0</v>
      </c>
      <c r="AD9" s="695"/>
      <c r="AE9" s="695">
        <f>'Malaria-Key Info'!$G$60*'HPM costs'!L684</f>
        <v>0</v>
      </c>
      <c r="AF9" s="695"/>
      <c r="AG9" s="695">
        <f>'Malaria-Key Info'!$G$60*'HPM costs'!M684</f>
        <v>0</v>
      </c>
      <c r="AH9" s="695"/>
      <c r="AI9" s="695">
        <f>'Malaria-Key Info'!$G$60*'HPM costs'!N684</f>
        <v>0</v>
      </c>
      <c r="AJ9" s="695"/>
      <c r="AK9" s="1492">
        <f t="shared" si="1"/>
        <v>0</v>
      </c>
      <c r="AL9" s="1493"/>
      <c r="AM9" s="1494"/>
      <c r="AN9" s="699"/>
      <c r="AO9" s="695"/>
      <c r="AP9" s="695">
        <f>'Malaria-Key Info'!$G$60*'HPM costs'!P684</f>
        <v>0</v>
      </c>
      <c r="AQ9" s="695"/>
      <c r="AR9" s="695">
        <f>'Malaria-Key Info'!$G$60*'HPM costs'!Q684</f>
        <v>0</v>
      </c>
      <c r="AS9" s="695"/>
      <c r="AT9" s="695">
        <f>'Malaria-Key Info'!$G$60*'HPM costs'!R684</f>
        <v>0</v>
      </c>
      <c r="AU9" s="695"/>
      <c r="AV9" s="695">
        <f>'Malaria-Key Info'!$G$60*'HPM costs'!S684</f>
        <v>0</v>
      </c>
      <c r="AW9" s="695"/>
      <c r="AX9" s="1492">
        <f t="shared" si="2"/>
        <v>0</v>
      </c>
      <c r="AY9" s="1492"/>
      <c r="AZ9" s="698"/>
      <c r="BA9" s="699"/>
      <c r="BB9" s="697"/>
      <c r="BC9" s="697">
        <v>0</v>
      </c>
      <c r="BD9" s="697">
        <v>0</v>
      </c>
      <c r="BE9" s="697">
        <v>0</v>
      </c>
      <c r="BF9" s="697">
        <v>0</v>
      </c>
      <c r="BG9" s="697">
        <v>0</v>
      </c>
      <c r="BH9" s="697">
        <v>0</v>
      </c>
      <c r="BI9" s="697">
        <v>0</v>
      </c>
      <c r="BJ9" s="697">
        <v>0</v>
      </c>
      <c r="BK9" s="1492">
        <f t="shared" si="3"/>
        <v>0</v>
      </c>
      <c r="BL9" s="1492"/>
      <c r="BM9" s="1492">
        <f t="shared" si="4"/>
        <v>0</v>
      </c>
      <c r="BN9" s="1492">
        <f t="shared" si="5"/>
        <v>0</v>
      </c>
      <c r="BO9" s="697"/>
      <c r="BP9" s="697"/>
      <c r="BQ9" s="1495">
        <v>0</v>
      </c>
      <c r="BR9" s="1495" t="s">
        <v>19</v>
      </c>
      <c r="BS9" s="1495" t="s">
        <v>655</v>
      </c>
      <c r="BT9" s="691" t="s">
        <v>669</v>
      </c>
    </row>
    <row r="10" spans="1:72" s="681" customFormat="1" ht="13" hidden="1">
      <c r="A10" s="1545">
        <v>9</v>
      </c>
      <c r="B10" s="1546" t="s">
        <v>651</v>
      </c>
      <c r="C10" s="1546" t="s">
        <v>670</v>
      </c>
      <c r="D10" s="1547" t="s">
        <v>6942</v>
      </c>
      <c r="E10" s="690" t="s">
        <v>653</v>
      </c>
      <c r="F10" s="691"/>
      <c r="G10" s="692"/>
      <c r="H10" s="692"/>
      <c r="I10" s="692"/>
      <c r="J10" s="693"/>
      <c r="K10" s="693"/>
      <c r="L10" s="693"/>
      <c r="M10" s="694"/>
      <c r="N10" s="695"/>
      <c r="O10" s="696" t="s">
        <v>1569</v>
      </c>
      <c r="P10" s="695">
        <f>('Malaria-Key Info'!$G$61*'HPM costs'!F81)/'HPM costs'!$E$81</f>
        <v>0</v>
      </c>
      <c r="Q10" s="695" t="s">
        <v>1569</v>
      </c>
      <c r="R10" s="695">
        <f>('Malaria-Key Info'!$G$61*'HPM costs'!G81)/'HPM costs'!$E$81</f>
        <v>0</v>
      </c>
      <c r="S10" s="695" t="s">
        <v>1569</v>
      </c>
      <c r="T10" s="695">
        <f>('Malaria-Key Info'!$G$61*'HPM costs'!H81)/'HPM costs'!$E$81</f>
        <v>0</v>
      </c>
      <c r="U10" s="695" t="s">
        <v>1569</v>
      </c>
      <c r="V10" s="695">
        <f>('Malaria-Key Info'!$G$61*'HPM costs'!I81)/'HPM costs'!$E$81</f>
        <v>0</v>
      </c>
      <c r="W10" s="695"/>
      <c r="X10" s="1492">
        <f t="shared" si="0"/>
        <v>0</v>
      </c>
      <c r="Y10" s="1493"/>
      <c r="Z10" s="1494"/>
      <c r="AA10" s="699"/>
      <c r="AB10" s="695"/>
      <c r="AC10" s="695">
        <f>('Malaria-Key Info'!$G$61*'HPM costs'!K81)/'HPM costs'!$E$81</f>
        <v>0</v>
      </c>
      <c r="AD10" s="695"/>
      <c r="AE10" s="695">
        <f>('Malaria-Key Info'!$G$61*'HPM costs'!L81)/'HPM costs'!$E$81</f>
        <v>0</v>
      </c>
      <c r="AF10" s="695"/>
      <c r="AG10" s="695">
        <f>('Malaria-Key Info'!$G$61*'HPM costs'!M81)/'HPM costs'!$E$81</f>
        <v>0</v>
      </c>
      <c r="AH10" s="695"/>
      <c r="AI10" s="695">
        <f>('Malaria-Key Info'!$G$61*'HPM costs'!N81)/'HPM costs'!$E$81</f>
        <v>0</v>
      </c>
      <c r="AJ10" s="695"/>
      <c r="AK10" s="1492">
        <f t="shared" si="1"/>
        <v>0</v>
      </c>
      <c r="AL10" s="1493"/>
      <c r="AM10" s="1494"/>
      <c r="AN10" s="699"/>
      <c r="AO10" s="695"/>
      <c r="AP10" s="695">
        <f>('Malaria-Key Info'!$G$61*'HPM costs'!P81)/'HPM costs'!$E$81</f>
        <v>0</v>
      </c>
      <c r="AQ10" s="695"/>
      <c r="AR10" s="695">
        <f>('Malaria-Key Info'!$G$61*'HPM costs'!Q81)/'HPM costs'!$E$81</f>
        <v>0</v>
      </c>
      <c r="AS10" s="695"/>
      <c r="AT10" s="695">
        <f>('Malaria-Key Info'!$G$61*'HPM costs'!R81)/'HPM costs'!$E$81</f>
        <v>0</v>
      </c>
      <c r="AU10" s="695"/>
      <c r="AV10" s="695">
        <f>('Malaria-Key Info'!$G$61*'HPM costs'!S81)/'HPM costs'!$E$81</f>
        <v>0</v>
      </c>
      <c r="AW10" s="695"/>
      <c r="AX10" s="1492">
        <f t="shared" si="2"/>
        <v>0</v>
      </c>
      <c r="AY10" s="1492"/>
      <c r="AZ10" s="698"/>
      <c r="BA10" s="699"/>
      <c r="BB10" s="697"/>
      <c r="BC10" s="697">
        <v>0</v>
      </c>
      <c r="BD10" s="697">
        <v>0</v>
      </c>
      <c r="BE10" s="697">
        <v>0</v>
      </c>
      <c r="BF10" s="697">
        <v>0</v>
      </c>
      <c r="BG10" s="697">
        <v>0</v>
      </c>
      <c r="BH10" s="697">
        <v>0</v>
      </c>
      <c r="BI10" s="697">
        <v>0</v>
      </c>
      <c r="BJ10" s="697">
        <v>0</v>
      </c>
      <c r="BK10" s="1492">
        <f t="shared" si="3"/>
        <v>0</v>
      </c>
      <c r="BL10" s="1492"/>
      <c r="BM10" s="1492">
        <f t="shared" si="4"/>
        <v>0</v>
      </c>
      <c r="BN10" s="1492">
        <f t="shared" si="5"/>
        <v>0</v>
      </c>
      <c r="BO10" s="697"/>
      <c r="BP10" s="697"/>
      <c r="BQ10" s="1495">
        <v>0</v>
      </c>
      <c r="BR10" s="1495" t="s">
        <v>19</v>
      </c>
      <c r="BS10" s="1495" t="s">
        <v>6942</v>
      </c>
      <c r="BT10" s="691" t="s">
        <v>671</v>
      </c>
    </row>
    <row r="11" spans="1:72" s="681" customFormat="1" ht="13" hidden="1">
      <c r="A11" s="1545">
        <v>10</v>
      </c>
      <c r="B11" s="1546" t="s">
        <v>651</v>
      </c>
      <c r="C11" s="1546" t="s">
        <v>670</v>
      </c>
      <c r="D11" s="1547" t="s">
        <v>655</v>
      </c>
      <c r="E11" s="690" t="s">
        <v>656</v>
      </c>
      <c r="F11" s="691"/>
      <c r="G11" s="692"/>
      <c r="H11" s="692"/>
      <c r="I11" s="692"/>
      <c r="J11" s="693"/>
      <c r="K11" s="693"/>
      <c r="L11" s="693"/>
      <c r="M11" s="694"/>
      <c r="N11" s="695"/>
      <c r="O11" s="696" t="s">
        <v>1569</v>
      </c>
      <c r="P11" s="695">
        <f>'Malaria-Key Info'!$G$61*'HPM costs'!F81</f>
        <v>0</v>
      </c>
      <c r="Q11" s="695" t="s">
        <v>1569</v>
      </c>
      <c r="R11" s="695">
        <f>'Malaria-Key Info'!$G$61*'HPM costs'!G81</f>
        <v>0</v>
      </c>
      <c r="S11" s="695" t="s">
        <v>1569</v>
      </c>
      <c r="T11" s="695">
        <f>'Malaria-Key Info'!$G$61*'HPM costs'!H81</f>
        <v>0</v>
      </c>
      <c r="U11" s="695" t="s">
        <v>1569</v>
      </c>
      <c r="V11" s="695">
        <f>'Malaria-Key Info'!$G$61*'HPM costs'!I81</f>
        <v>0</v>
      </c>
      <c r="W11" s="695"/>
      <c r="X11" s="1492">
        <f t="shared" si="0"/>
        <v>0</v>
      </c>
      <c r="Y11" s="1493"/>
      <c r="Z11" s="1494"/>
      <c r="AA11" s="699"/>
      <c r="AB11" s="695"/>
      <c r="AC11" s="695">
        <f>'Malaria-Key Info'!$G$61*'HPM costs'!K81</f>
        <v>0</v>
      </c>
      <c r="AD11" s="695"/>
      <c r="AE11" s="695">
        <f>'Malaria-Key Info'!$G$61*'HPM costs'!L81</f>
        <v>0</v>
      </c>
      <c r="AF11" s="695"/>
      <c r="AG11" s="695">
        <f>'Malaria-Key Info'!$G$61*'HPM costs'!M81</f>
        <v>0</v>
      </c>
      <c r="AH11" s="695"/>
      <c r="AI11" s="695">
        <f>'Malaria-Key Info'!$G$61*'HPM costs'!N81</f>
        <v>0</v>
      </c>
      <c r="AJ11" s="695"/>
      <c r="AK11" s="1492">
        <f t="shared" si="1"/>
        <v>0</v>
      </c>
      <c r="AL11" s="1493"/>
      <c r="AM11" s="1494"/>
      <c r="AN11" s="699"/>
      <c r="AO11" s="695"/>
      <c r="AP11" s="695">
        <f>'Malaria-Key Info'!$G$61*'HPM costs'!P81</f>
        <v>0</v>
      </c>
      <c r="AQ11" s="695"/>
      <c r="AR11" s="695">
        <f>'Malaria-Key Info'!$G$61*'HPM costs'!Q81</f>
        <v>0</v>
      </c>
      <c r="AS11" s="695"/>
      <c r="AT11" s="695">
        <f>'Malaria-Key Info'!$G$61*'HPM costs'!R81</f>
        <v>0</v>
      </c>
      <c r="AU11" s="695"/>
      <c r="AV11" s="695">
        <f>'Malaria-Key Info'!$G$61*'HPM costs'!S81</f>
        <v>0</v>
      </c>
      <c r="AW11" s="695"/>
      <c r="AX11" s="1492">
        <f t="shared" si="2"/>
        <v>0</v>
      </c>
      <c r="AY11" s="1492"/>
      <c r="AZ11" s="698"/>
      <c r="BA11" s="699"/>
      <c r="BB11" s="697"/>
      <c r="BC11" s="697">
        <v>0</v>
      </c>
      <c r="BD11" s="697">
        <v>0</v>
      </c>
      <c r="BE11" s="697">
        <v>0</v>
      </c>
      <c r="BF11" s="697">
        <v>0</v>
      </c>
      <c r="BG11" s="697">
        <v>0</v>
      </c>
      <c r="BH11" s="697">
        <v>0</v>
      </c>
      <c r="BI11" s="697">
        <v>0</v>
      </c>
      <c r="BJ11" s="697">
        <v>0</v>
      </c>
      <c r="BK11" s="1492">
        <f t="shared" si="3"/>
        <v>0</v>
      </c>
      <c r="BL11" s="1492"/>
      <c r="BM11" s="1492">
        <f t="shared" si="4"/>
        <v>0</v>
      </c>
      <c r="BN11" s="1492">
        <f t="shared" si="5"/>
        <v>0</v>
      </c>
      <c r="BO11" s="697"/>
      <c r="BP11" s="697"/>
      <c r="BQ11" s="1495">
        <v>0</v>
      </c>
      <c r="BR11" s="1495" t="s">
        <v>19</v>
      </c>
      <c r="BS11" s="1495" t="s">
        <v>655</v>
      </c>
      <c r="BT11" s="691" t="s">
        <v>672</v>
      </c>
    </row>
    <row r="12" spans="1:72" s="681" customFormat="1" ht="13" hidden="1">
      <c r="A12" s="1545">
        <v>11</v>
      </c>
      <c r="B12" s="1546" t="s">
        <v>651</v>
      </c>
      <c r="C12" s="1546" t="s">
        <v>670</v>
      </c>
      <c r="D12" s="1547" t="s">
        <v>655</v>
      </c>
      <c r="E12" s="690" t="s">
        <v>658</v>
      </c>
      <c r="F12" s="691"/>
      <c r="G12" s="692"/>
      <c r="H12" s="692"/>
      <c r="I12" s="692"/>
      <c r="J12" s="693"/>
      <c r="K12" s="693"/>
      <c r="L12" s="693"/>
      <c r="M12" s="694"/>
      <c r="N12" s="695"/>
      <c r="O12" s="696" t="s">
        <v>1569</v>
      </c>
      <c r="P12" s="695">
        <f>'Malaria-Key Info'!$G$61*'HPM costs'!F167</f>
        <v>0</v>
      </c>
      <c r="Q12" s="695" t="s">
        <v>1569</v>
      </c>
      <c r="R12" s="695">
        <f>'Malaria-Key Info'!$G$61*'HPM costs'!G167</f>
        <v>0</v>
      </c>
      <c r="S12" s="695" t="s">
        <v>1569</v>
      </c>
      <c r="T12" s="695">
        <f>'Malaria-Key Info'!$G$61*'HPM costs'!H167</f>
        <v>0</v>
      </c>
      <c r="U12" s="695" t="s">
        <v>1569</v>
      </c>
      <c r="V12" s="695">
        <f>'Malaria-Key Info'!$G$61*'HPM costs'!I167</f>
        <v>0</v>
      </c>
      <c r="W12" s="695"/>
      <c r="X12" s="1492">
        <f t="shared" si="0"/>
        <v>0</v>
      </c>
      <c r="Y12" s="1493"/>
      <c r="Z12" s="1494"/>
      <c r="AA12" s="699"/>
      <c r="AB12" s="695"/>
      <c r="AC12" s="695">
        <f>'Malaria-Key Info'!$G$61*'HPM costs'!K167</f>
        <v>0</v>
      </c>
      <c r="AD12" s="695"/>
      <c r="AE12" s="695">
        <f>'Malaria-Key Info'!$G$61*'HPM costs'!L167</f>
        <v>0</v>
      </c>
      <c r="AF12" s="695"/>
      <c r="AG12" s="695">
        <f>'Malaria-Key Info'!$G$61*'HPM costs'!M167</f>
        <v>0</v>
      </c>
      <c r="AH12" s="695"/>
      <c r="AI12" s="695">
        <f>'Malaria-Key Info'!$G$61*'HPM costs'!N167</f>
        <v>0</v>
      </c>
      <c r="AJ12" s="695"/>
      <c r="AK12" s="1492">
        <f t="shared" si="1"/>
        <v>0</v>
      </c>
      <c r="AL12" s="1493"/>
      <c r="AM12" s="1494"/>
      <c r="AN12" s="699"/>
      <c r="AO12" s="695"/>
      <c r="AP12" s="695">
        <f>'Malaria-Key Info'!$G$61*'HPM costs'!P167</f>
        <v>0</v>
      </c>
      <c r="AQ12" s="695"/>
      <c r="AR12" s="695">
        <f>'Malaria-Key Info'!$G$61*'HPM costs'!Q167</f>
        <v>0</v>
      </c>
      <c r="AS12" s="695"/>
      <c r="AT12" s="695">
        <f>'Malaria-Key Info'!$G$61*'HPM costs'!R167</f>
        <v>0</v>
      </c>
      <c r="AU12" s="695"/>
      <c r="AV12" s="695">
        <f>'Malaria-Key Info'!$G$61*'HPM costs'!S167</f>
        <v>0</v>
      </c>
      <c r="AW12" s="695"/>
      <c r="AX12" s="1492">
        <f t="shared" si="2"/>
        <v>0</v>
      </c>
      <c r="AY12" s="1492"/>
      <c r="AZ12" s="698"/>
      <c r="BA12" s="699"/>
      <c r="BB12" s="697"/>
      <c r="BC12" s="697">
        <v>0</v>
      </c>
      <c r="BD12" s="697">
        <v>0</v>
      </c>
      <c r="BE12" s="697">
        <v>0</v>
      </c>
      <c r="BF12" s="697">
        <v>0</v>
      </c>
      <c r="BG12" s="697">
        <v>0</v>
      </c>
      <c r="BH12" s="697">
        <v>0</v>
      </c>
      <c r="BI12" s="697">
        <v>0</v>
      </c>
      <c r="BJ12" s="697">
        <v>0</v>
      </c>
      <c r="BK12" s="1492">
        <f t="shared" si="3"/>
        <v>0</v>
      </c>
      <c r="BL12" s="1492"/>
      <c r="BM12" s="1492">
        <f t="shared" si="4"/>
        <v>0</v>
      </c>
      <c r="BN12" s="1492">
        <f t="shared" si="5"/>
        <v>0</v>
      </c>
      <c r="BO12" s="697"/>
      <c r="BP12" s="697"/>
      <c r="BQ12" s="1495">
        <v>0</v>
      </c>
      <c r="BR12" s="1495" t="s">
        <v>19</v>
      </c>
      <c r="BS12" s="1495" t="s">
        <v>655</v>
      </c>
      <c r="BT12" s="691" t="s">
        <v>673</v>
      </c>
    </row>
    <row r="13" spans="1:72" s="681" customFormat="1" ht="13" hidden="1">
      <c r="A13" s="1545">
        <v>12</v>
      </c>
      <c r="B13" s="1546" t="s">
        <v>651</v>
      </c>
      <c r="C13" s="1546" t="s">
        <v>670</v>
      </c>
      <c r="D13" s="1547" t="s">
        <v>655</v>
      </c>
      <c r="E13" s="690" t="s">
        <v>660</v>
      </c>
      <c r="F13" s="691"/>
      <c r="G13" s="692"/>
      <c r="H13" s="692"/>
      <c r="I13" s="692"/>
      <c r="J13" s="693"/>
      <c r="K13" s="693"/>
      <c r="L13" s="693"/>
      <c r="M13" s="694"/>
      <c r="N13" s="695"/>
      <c r="O13" s="696" t="s">
        <v>1569</v>
      </c>
      <c r="P13" s="695">
        <f>'Malaria-Key Info'!$G$61*'HPM costs'!F427</f>
        <v>0</v>
      </c>
      <c r="Q13" s="695" t="s">
        <v>1569</v>
      </c>
      <c r="R13" s="695">
        <f>'Malaria-Key Info'!$G$61*'HPM costs'!G427</f>
        <v>0</v>
      </c>
      <c r="S13" s="695" t="s">
        <v>1569</v>
      </c>
      <c r="T13" s="695">
        <f>'Malaria-Key Info'!$G$61*'HPM costs'!H427</f>
        <v>0</v>
      </c>
      <c r="U13" s="695" t="s">
        <v>1569</v>
      </c>
      <c r="V13" s="695">
        <f>'Malaria-Key Info'!$G$61*'HPM costs'!I427</f>
        <v>0</v>
      </c>
      <c r="W13" s="695"/>
      <c r="X13" s="1492">
        <f t="shared" si="0"/>
        <v>0</v>
      </c>
      <c r="Y13" s="1493"/>
      <c r="Z13" s="1494"/>
      <c r="AA13" s="699"/>
      <c r="AB13" s="695"/>
      <c r="AC13" s="695">
        <f>'Malaria-Key Info'!$G$61*'HPM costs'!K427</f>
        <v>0</v>
      </c>
      <c r="AD13" s="695"/>
      <c r="AE13" s="695">
        <f>'Malaria-Key Info'!$G$61*'HPM costs'!L427</f>
        <v>0</v>
      </c>
      <c r="AF13" s="695"/>
      <c r="AG13" s="695">
        <f>'Malaria-Key Info'!$G$61*'HPM costs'!M427</f>
        <v>0</v>
      </c>
      <c r="AH13" s="695"/>
      <c r="AI13" s="695">
        <f>'Malaria-Key Info'!$G$61*'HPM costs'!N427</f>
        <v>0</v>
      </c>
      <c r="AJ13" s="695"/>
      <c r="AK13" s="1492">
        <f t="shared" si="1"/>
        <v>0</v>
      </c>
      <c r="AL13" s="1493"/>
      <c r="AM13" s="1494"/>
      <c r="AN13" s="699"/>
      <c r="AO13" s="695"/>
      <c r="AP13" s="695">
        <f>'Malaria-Key Info'!$G$61*'HPM costs'!P427</f>
        <v>0</v>
      </c>
      <c r="AQ13" s="695"/>
      <c r="AR13" s="695">
        <f>'Malaria-Key Info'!$G$61*'HPM costs'!Q427</f>
        <v>0</v>
      </c>
      <c r="AS13" s="695"/>
      <c r="AT13" s="695">
        <f>'Malaria-Key Info'!$G$61*'HPM costs'!R427</f>
        <v>0</v>
      </c>
      <c r="AU13" s="695"/>
      <c r="AV13" s="695">
        <f>'Malaria-Key Info'!$G$61*'HPM costs'!S427</f>
        <v>0</v>
      </c>
      <c r="AW13" s="695"/>
      <c r="AX13" s="1492">
        <f t="shared" si="2"/>
        <v>0</v>
      </c>
      <c r="AY13" s="1492"/>
      <c r="AZ13" s="698"/>
      <c r="BA13" s="699"/>
      <c r="BB13" s="697"/>
      <c r="BC13" s="697">
        <v>0</v>
      </c>
      <c r="BD13" s="697">
        <v>0</v>
      </c>
      <c r="BE13" s="697">
        <v>0</v>
      </c>
      <c r="BF13" s="697">
        <v>0</v>
      </c>
      <c r="BG13" s="697">
        <v>0</v>
      </c>
      <c r="BH13" s="697">
        <v>0</v>
      </c>
      <c r="BI13" s="697">
        <v>0</v>
      </c>
      <c r="BJ13" s="697">
        <v>0</v>
      </c>
      <c r="BK13" s="1492">
        <f t="shared" si="3"/>
        <v>0</v>
      </c>
      <c r="BL13" s="1492"/>
      <c r="BM13" s="1492">
        <f t="shared" si="4"/>
        <v>0</v>
      </c>
      <c r="BN13" s="1492">
        <f t="shared" si="5"/>
        <v>0</v>
      </c>
      <c r="BO13" s="697"/>
      <c r="BP13" s="697"/>
      <c r="BQ13" s="1495">
        <v>0</v>
      </c>
      <c r="BR13" s="1495" t="s">
        <v>19</v>
      </c>
      <c r="BS13" s="1495" t="s">
        <v>655</v>
      </c>
      <c r="BT13" s="691" t="s">
        <v>674</v>
      </c>
    </row>
    <row r="14" spans="1:72" s="681" customFormat="1" ht="13" hidden="1">
      <c r="A14" s="1545">
        <v>13</v>
      </c>
      <c r="B14" s="1546" t="s">
        <v>651</v>
      </c>
      <c r="C14" s="1546" t="s">
        <v>670</v>
      </c>
      <c r="D14" s="1547" t="s">
        <v>655</v>
      </c>
      <c r="E14" s="690" t="s">
        <v>662</v>
      </c>
      <c r="F14" s="691"/>
      <c r="G14" s="692"/>
      <c r="H14" s="692"/>
      <c r="I14" s="692"/>
      <c r="J14" s="693"/>
      <c r="K14" s="693"/>
      <c r="L14" s="693"/>
      <c r="M14" s="694"/>
      <c r="N14" s="695"/>
      <c r="O14" s="696" t="s">
        <v>1569</v>
      </c>
      <c r="P14" s="695">
        <f>'Malaria-Key Info'!$G$61*'HPM costs'!F513</f>
        <v>0</v>
      </c>
      <c r="Q14" s="695" t="s">
        <v>1569</v>
      </c>
      <c r="R14" s="695">
        <f>'Malaria-Key Info'!$G$61*'HPM costs'!G513</f>
        <v>0</v>
      </c>
      <c r="S14" s="695" t="s">
        <v>1569</v>
      </c>
      <c r="T14" s="695">
        <f>'Malaria-Key Info'!$G$61*'HPM costs'!H513</f>
        <v>0</v>
      </c>
      <c r="U14" s="695" t="s">
        <v>1569</v>
      </c>
      <c r="V14" s="695">
        <f>'Malaria-Key Info'!$G$61*'HPM costs'!I513</f>
        <v>0</v>
      </c>
      <c r="W14" s="695"/>
      <c r="X14" s="1492">
        <f t="shared" si="0"/>
        <v>0</v>
      </c>
      <c r="Y14" s="1493"/>
      <c r="Z14" s="1494"/>
      <c r="AA14" s="699"/>
      <c r="AB14" s="695"/>
      <c r="AC14" s="695">
        <f>'Malaria-Key Info'!$G$61*'HPM costs'!K513</f>
        <v>0</v>
      </c>
      <c r="AD14" s="695"/>
      <c r="AE14" s="695">
        <f>'Malaria-Key Info'!$G$61*'HPM costs'!L513</f>
        <v>0</v>
      </c>
      <c r="AF14" s="695"/>
      <c r="AG14" s="695">
        <f>'Malaria-Key Info'!$G$61*'HPM costs'!M513</f>
        <v>0</v>
      </c>
      <c r="AH14" s="695"/>
      <c r="AI14" s="695">
        <f>'Malaria-Key Info'!$G$61*'HPM costs'!N513</f>
        <v>0</v>
      </c>
      <c r="AJ14" s="695"/>
      <c r="AK14" s="1492">
        <f t="shared" si="1"/>
        <v>0</v>
      </c>
      <c r="AL14" s="1493"/>
      <c r="AM14" s="1494"/>
      <c r="AN14" s="699"/>
      <c r="AO14" s="695"/>
      <c r="AP14" s="695">
        <f>'Malaria-Key Info'!$G$61*'HPM costs'!P513</f>
        <v>0</v>
      </c>
      <c r="AQ14" s="695"/>
      <c r="AR14" s="695">
        <f>'Malaria-Key Info'!$G$61*'HPM costs'!Q513</f>
        <v>0</v>
      </c>
      <c r="AS14" s="695"/>
      <c r="AT14" s="695">
        <f>'Malaria-Key Info'!$G$61*'HPM costs'!R513</f>
        <v>0</v>
      </c>
      <c r="AU14" s="695"/>
      <c r="AV14" s="695">
        <f>'Malaria-Key Info'!$G$61*'HPM costs'!S513</f>
        <v>0</v>
      </c>
      <c r="AW14" s="695"/>
      <c r="AX14" s="1492">
        <f t="shared" si="2"/>
        <v>0</v>
      </c>
      <c r="AY14" s="1492"/>
      <c r="AZ14" s="698"/>
      <c r="BA14" s="699"/>
      <c r="BB14" s="697"/>
      <c r="BC14" s="697">
        <v>0</v>
      </c>
      <c r="BD14" s="697">
        <v>0</v>
      </c>
      <c r="BE14" s="697">
        <v>0</v>
      </c>
      <c r="BF14" s="697">
        <v>0</v>
      </c>
      <c r="BG14" s="697">
        <v>0</v>
      </c>
      <c r="BH14" s="697">
        <v>0</v>
      </c>
      <c r="BI14" s="697">
        <v>0</v>
      </c>
      <c r="BJ14" s="697">
        <v>0</v>
      </c>
      <c r="BK14" s="1492">
        <f t="shared" si="3"/>
        <v>0</v>
      </c>
      <c r="BL14" s="1492"/>
      <c r="BM14" s="1492">
        <f t="shared" si="4"/>
        <v>0</v>
      </c>
      <c r="BN14" s="1492">
        <f t="shared" si="5"/>
        <v>0</v>
      </c>
      <c r="BO14" s="697"/>
      <c r="BP14" s="697"/>
      <c r="BQ14" s="1495">
        <v>0</v>
      </c>
      <c r="BR14" s="1495" t="s">
        <v>19</v>
      </c>
      <c r="BS14" s="1495" t="s">
        <v>655</v>
      </c>
      <c r="BT14" s="691" t="s">
        <v>675</v>
      </c>
    </row>
    <row r="15" spans="1:72" s="681" customFormat="1" ht="13" hidden="1">
      <c r="A15" s="1545">
        <v>14</v>
      </c>
      <c r="B15" s="1546" t="s">
        <v>651</v>
      </c>
      <c r="C15" s="1546" t="s">
        <v>670</v>
      </c>
      <c r="D15" s="1547" t="s">
        <v>655</v>
      </c>
      <c r="E15" s="690" t="s">
        <v>664</v>
      </c>
      <c r="F15" s="691"/>
      <c r="G15" s="692"/>
      <c r="H15" s="692"/>
      <c r="I15" s="692"/>
      <c r="J15" s="693"/>
      <c r="K15" s="693"/>
      <c r="L15" s="693"/>
      <c r="M15" s="694"/>
      <c r="N15" s="695"/>
      <c r="O15" s="696" t="s">
        <v>1569</v>
      </c>
      <c r="P15" s="695">
        <f>'Malaria-Key Info'!$G$61*('HPM costs'!F253+'HPM costs'!F599)</f>
        <v>0</v>
      </c>
      <c r="Q15" s="695" t="s">
        <v>1569</v>
      </c>
      <c r="R15" s="695">
        <f>'Malaria-Key Info'!$G$61*('HPM costs'!G253+'HPM costs'!G599)</f>
        <v>0</v>
      </c>
      <c r="S15" s="695" t="s">
        <v>1569</v>
      </c>
      <c r="T15" s="695">
        <f>'Malaria-Key Info'!$G$61*('HPM costs'!H253+'HPM costs'!H599)</f>
        <v>0</v>
      </c>
      <c r="U15" s="695" t="s">
        <v>1569</v>
      </c>
      <c r="V15" s="695">
        <f>'Malaria-Key Info'!$G$61*('HPM costs'!I253+'HPM costs'!I599)</f>
        <v>0</v>
      </c>
      <c r="W15" s="695"/>
      <c r="X15" s="1492">
        <f t="shared" si="0"/>
        <v>0</v>
      </c>
      <c r="Y15" s="1493"/>
      <c r="Z15" s="1494"/>
      <c r="AA15" s="699"/>
      <c r="AB15" s="695"/>
      <c r="AC15" s="695">
        <f>'Malaria-Key Info'!$G$61*('HPM costs'!K253+'HPM costs'!K599)</f>
        <v>0</v>
      </c>
      <c r="AD15" s="695"/>
      <c r="AE15" s="695">
        <f>'Malaria-Key Info'!$G$61*('HPM costs'!L253+'HPM costs'!L599)</f>
        <v>0</v>
      </c>
      <c r="AF15" s="695"/>
      <c r="AG15" s="695">
        <f>'Malaria-Key Info'!$G$61*('HPM costs'!M253+'HPM costs'!M599)</f>
        <v>0</v>
      </c>
      <c r="AH15" s="695"/>
      <c r="AI15" s="695">
        <f>'Malaria-Key Info'!$G$61*('HPM costs'!N253+'HPM costs'!N599)</f>
        <v>0</v>
      </c>
      <c r="AJ15" s="695"/>
      <c r="AK15" s="1492">
        <f t="shared" si="1"/>
        <v>0</v>
      </c>
      <c r="AL15" s="1493"/>
      <c r="AM15" s="1494"/>
      <c r="AN15" s="699"/>
      <c r="AO15" s="695"/>
      <c r="AP15" s="695">
        <f>'Malaria-Key Info'!$G$61*('HPM costs'!P253+'HPM costs'!P599)</f>
        <v>0</v>
      </c>
      <c r="AQ15" s="695"/>
      <c r="AR15" s="695">
        <f>'Malaria-Key Info'!$G$61*('HPM costs'!Q253+'HPM costs'!Q599)</f>
        <v>0</v>
      </c>
      <c r="AS15" s="695"/>
      <c r="AT15" s="695">
        <f>'Malaria-Key Info'!$G$61*('HPM costs'!R253+'HPM costs'!R599)</f>
        <v>0</v>
      </c>
      <c r="AU15" s="695"/>
      <c r="AV15" s="695">
        <f>'Malaria-Key Info'!$G$61*('HPM costs'!S253+'HPM costs'!S599)</f>
        <v>0</v>
      </c>
      <c r="AW15" s="695"/>
      <c r="AX15" s="1492">
        <f t="shared" si="2"/>
        <v>0</v>
      </c>
      <c r="AY15" s="1492"/>
      <c r="AZ15" s="698"/>
      <c r="BA15" s="699"/>
      <c r="BB15" s="697"/>
      <c r="BC15" s="697">
        <v>0</v>
      </c>
      <c r="BD15" s="697">
        <v>0</v>
      </c>
      <c r="BE15" s="697">
        <v>0</v>
      </c>
      <c r="BF15" s="697">
        <v>0</v>
      </c>
      <c r="BG15" s="697">
        <v>0</v>
      </c>
      <c r="BH15" s="697">
        <v>0</v>
      </c>
      <c r="BI15" s="697">
        <v>0</v>
      </c>
      <c r="BJ15" s="697">
        <v>0</v>
      </c>
      <c r="BK15" s="1492">
        <f t="shared" si="3"/>
        <v>0</v>
      </c>
      <c r="BL15" s="1492"/>
      <c r="BM15" s="1492">
        <f t="shared" si="4"/>
        <v>0</v>
      </c>
      <c r="BN15" s="1492">
        <f t="shared" si="5"/>
        <v>0</v>
      </c>
      <c r="BO15" s="697"/>
      <c r="BP15" s="697"/>
      <c r="BQ15" s="1495">
        <v>0</v>
      </c>
      <c r="BR15" s="1495" t="s">
        <v>19</v>
      </c>
      <c r="BS15" s="1495" t="s">
        <v>655</v>
      </c>
      <c r="BT15" s="691" t="s">
        <v>676</v>
      </c>
    </row>
    <row r="16" spans="1:72" s="681" customFormat="1" ht="13" hidden="1">
      <c r="A16" s="1545">
        <v>15</v>
      </c>
      <c r="B16" s="1546" t="s">
        <v>651</v>
      </c>
      <c r="C16" s="1546" t="s">
        <v>670</v>
      </c>
      <c r="D16" s="1547" t="s">
        <v>655</v>
      </c>
      <c r="E16" s="690" t="s">
        <v>666</v>
      </c>
      <c r="F16" s="691"/>
      <c r="G16" s="692"/>
      <c r="H16" s="692"/>
      <c r="I16" s="692"/>
      <c r="J16" s="693"/>
      <c r="K16" s="693"/>
      <c r="L16" s="693"/>
      <c r="M16" s="694"/>
      <c r="N16" s="695"/>
      <c r="O16" s="696" t="s">
        <v>1569</v>
      </c>
      <c r="P16" s="695">
        <f>'Malaria-Key Info'!$G$61*'HPM costs'!F339</f>
        <v>0</v>
      </c>
      <c r="Q16" s="695" t="s">
        <v>1569</v>
      </c>
      <c r="R16" s="695">
        <f>'Malaria-Key Info'!$G$61*'HPM costs'!G339</f>
        <v>0</v>
      </c>
      <c r="S16" s="695" t="s">
        <v>1569</v>
      </c>
      <c r="T16" s="695">
        <f>'Malaria-Key Info'!$G$61*'HPM costs'!H339</f>
        <v>0</v>
      </c>
      <c r="U16" s="695" t="s">
        <v>1569</v>
      </c>
      <c r="V16" s="695">
        <f>'Malaria-Key Info'!$G$61*'HPM costs'!I339</f>
        <v>0</v>
      </c>
      <c r="W16" s="695"/>
      <c r="X16" s="1492">
        <f t="shared" si="0"/>
        <v>0</v>
      </c>
      <c r="Y16" s="1493"/>
      <c r="Z16" s="1494"/>
      <c r="AA16" s="699"/>
      <c r="AB16" s="695"/>
      <c r="AC16" s="695">
        <f>'Malaria-Key Info'!$G$61*'HPM costs'!K339</f>
        <v>0</v>
      </c>
      <c r="AD16" s="695"/>
      <c r="AE16" s="695">
        <f>'Malaria-Key Info'!$G$61*'HPM costs'!L339</f>
        <v>0</v>
      </c>
      <c r="AF16" s="695"/>
      <c r="AG16" s="695">
        <f>'Malaria-Key Info'!$G$61*'HPM costs'!M339</f>
        <v>0</v>
      </c>
      <c r="AH16" s="695"/>
      <c r="AI16" s="695">
        <f>'Malaria-Key Info'!$G$61*'HPM costs'!N339</f>
        <v>0</v>
      </c>
      <c r="AJ16" s="695"/>
      <c r="AK16" s="1492">
        <f t="shared" si="1"/>
        <v>0</v>
      </c>
      <c r="AL16" s="1493"/>
      <c r="AM16" s="1494"/>
      <c r="AN16" s="699"/>
      <c r="AO16" s="695"/>
      <c r="AP16" s="695">
        <f>'Malaria-Key Info'!$G$61*'HPM costs'!P339</f>
        <v>0</v>
      </c>
      <c r="AQ16" s="695"/>
      <c r="AR16" s="695">
        <f>'Malaria-Key Info'!$G$61*'HPM costs'!Q339</f>
        <v>0</v>
      </c>
      <c r="AS16" s="695"/>
      <c r="AT16" s="695">
        <f>'Malaria-Key Info'!$G$61*'HPM costs'!R339</f>
        <v>0</v>
      </c>
      <c r="AU16" s="695"/>
      <c r="AV16" s="695">
        <f>'Malaria-Key Info'!$G$61*'HPM costs'!S339</f>
        <v>0</v>
      </c>
      <c r="AW16" s="695"/>
      <c r="AX16" s="1492">
        <f t="shared" si="2"/>
        <v>0</v>
      </c>
      <c r="AY16" s="1492"/>
      <c r="AZ16" s="698"/>
      <c r="BA16" s="699"/>
      <c r="BB16" s="697"/>
      <c r="BC16" s="697">
        <v>0</v>
      </c>
      <c r="BD16" s="697">
        <v>0</v>
      </c>
      <c r="BE16" s="697">
        <v>0</v>
      </c>
      <c r="BF16" s="697">
        <v>0</v>
      </c>
      <c r="BG16" s="697">
        <v>0</v>
      </c>
      <c r="BH16" s="697">
        <v>0</v>
      </c>
      <c r="BI16" s="697">
        <v>0</v>
      </c>
      <c r="BJ16" s="697">
        <v>0</v>
      </c>
      <c r="BK16" s="1492">
        <f t="shared" si="3"/>
        <v>0</v>
      </c>
      <c r="BL16" s="1492"/>
      <c r="BM16" s="1492">
        <f t="shared" si="4"/>
        <v>0</v>
      </c>
      <c r="BN16" s="1492">
        <f t="shared" si="5"/>
        <v>0</v>
      </c>
      <c r="BO16" s="697"/>
      <c r="BP16" s="697"/>
      <c r="BQ16" s="1495">
        <v>0</v>
      </c>
      <c r="BR16" s="1495" t="s">
        <v>19</v>
      </c>
      <c r="BS16" s="1495" t="s">
        <v>655</v>
      </c>
      <c r="BT16" s="691" t="s">
        <v>677</v>
      </c>
    </row>
    <row r="17" spans="1:72" s="681" customFormat="1" ht="13" hidden="1">
      <c r="A17" s="1545">
        <v>16</v>
      </c>
      <c r="B17" s="1546" t="s">
        <v>651</v>
      </c>
      <c r="C17" s="1546" t="s">
        <v>670</v>
      </c>
      <c r="D17" s="1547" t="s">
        <v>655</v>
      </c>
      <c r="E17" s="690" t="s">
        <v>668</v>
      </c>
      <c r="F17" s="691"/>
      <c r="G17" s="692"/>
      <c r="H17" s="692"/>
      <c r="I17" s="692"/>
      <c r="J17" s="693"/>
      <c r="K17" s="693"/>
      <c r="L17" s="693"/>
      <c r="M17" s="694"/>
      <c r="N17" s="695"/>
      <c r="O17" s="696" t="s">
        <v>1569</v>
      </c>
      <c r="P17" s="695">
        <f>'Malaria-Key Info'!$G$61*'HPM costs'!F684</f>
        <v>0</v>
      </c>
      <c r="Q17" s="695" t="s">
        <v>1569</v>
      </c>
      <c r="R17" s="695">
        <f>'Malaria-Key Info'!$G$61*'HPM costs'!G684</f>
        <v>0</v>
      </c>
      <c r="S17" s="695" t="s">
        <v>1569</v>
      </c>
      <c r="T17" s="695">
        <f>'Malaria-Key Info'!$G$61*'HPM costs'!H684</f>
        <v>0</v>
      </c>
      <c r="U17" s="695" t="s">
        <v>1569</v>
      </c>
      <c r="V17" s="695">
        <f>'Malaria-Key Info'!$G$61*'HPM costs'!I684</f>
        <v>0</v>
      </c>
      <c r="W17" s="695"/>
      <c r="X17" s="1492">
        <f t="shared" si="0"/>
        <v>0</v>
      </c>
      <c r="Y17" s="1493"/>
      <c r="Z17" s="1494"/>
      <c r="AA17" s="699"/>
      <c r="AB17" s="695"/>
      <c r="AC17" s="695">
        <f>'Malaria-Key Info'!$G$61*'HPM costs'!K684</f>
        <v>0</v>
      </c>
      <c r="AD17" s="695"/>
      <c r="AE17" s="695">
        <f>'Malaria-Key Info'!$G$61*'HPM costs'!L684</f>
        <v>0</v>
      </c>
      <c r="AF17" s="695"/>
      <c r="AG17" s="695">
        <f>'Malaria-Key Info'!$G$61*'HPM costs'!M684</f>
        <v>0</v>
      </c>
      <c r="AH17" s="695"/>
      <c r="AI17" s="695">
        <f>'Malaria-Key Info'!$G$61*'HPM costs'!N684</f>
        <v>0</v>
      </c>
      <c r="AJ17" s="695"/>
      <c r="AK17" s="1492">
        <f t="shared" si="1"/>
        <v>0</v>
      </c>
      <c r="AL17" s="1493"/>
      <c r="AM17" s="1494"/>
      <c r="AN17" s="699"/>
      <c r="AO17" s="695"/>
      <c r="AP17" s="695">
        <f>'Malaria-Key Info'!$G$61*'HPM costs'!P684</f>
        <v>0</v>
      </c>
      <c r="AQ17" s="695"/>
      <c r="AR17" s="695">
        <f>'Malaria-Key Info'!$G$61*'HPM costs'!Q684</f>
        <v>0</v>
      </c>
      <c r="AS17" s="695"/>
      <c r="AT17" s="695">
        <f>'Malaria-Key Info'!$G$61*'HPM costs'!R684</f>
        <v>0</v>
      </c>
      <c r="AU17" s="695"/>
      <c r="AV17" s="695">
        <f>'Malaria-Key Info'!$G$61*'HPM costs'!S684</f>
        <v>0</v>
      </c>
      <c r="AW17" s="695"/>
      <c r="AX17" s="1492">
        <f t="shared" si="2"/>
        <v>0</v>
      </c>
      <c r="AY17" s="1492"/>
      <c r="AZ17" s="698"/>
      <c r="BA17" s="699"/>
      <c r="BB17" s="697"/>
      <c r="BC17" s="697">
        <v>0</v>
      </c>
      <c r="BD17" s="697">
        <v>0</v>
      </c>
      <c r="BE17" s="697">
        <v>0</v>
      </c>
      <c r="BF17" s="697">
        <v>0</v>
      </c>
      <c r="BG17" s="697">
        <v>0</v>
      </c>
      <c r="BH17" s="697">
        <v>0</v>
      </c>
      <c r="BI17" s="697">
        <v>0</v>
      </c>
      <c r="BJ17" s="697">
        <v>0</v>
      </c>
      <c r="BK17" s="1492">
        <f t="shared" si="3"/>
        <v>0</v>
      </c>
      <c r="BL17" s="1492"/>
      <c r="BM17" s="1492">
        <f t="shared" si="4"/>
        <v>0</v>
      </c>
      <c r="BN17" s="1492">
        <f t="shared" si="5"/>
        <v>0</v>
      </c>
      <c r="BO17" s="697"/>
      <c r="BP17" s="697"/>
      <c r="BQ17" s="1495">
        <v>0</v>
      </c>
      <c r="BR17" s="1495" t="s">
        <v>19</v>
      </c>
      <c r="BS17" s="1495" t="s">
        <v>655</v>
      </c>
      <c r="BT17" s="691" t="s">
        <v>678</v>
      </c>
    </row>
    <row r="18" spans="1:72" s="681" customFormat="1" ht="13" hidden="1">
      <c r="A18" s="1545">
        <v>17</v>
      </c>
      <c r="B18" s="1546" t="s">
        <v>651</v>
      </c>
      <c r="C18" s="1546" t="s">
        <v>679</v>
      </c>
      <c r="D18" s="1547" t="s">
        <v>6943</v>
      </c>
      <c r="E18" s="690" t="s">
        <v>653</v>
      </c>
      <c r="F18" s="691"/>
      <c r="G18" s="692"/>
      <c r="H18" s="692"/>
      <c r="I18" s="692"/>
      <c r="J18" s="693"/>
      <c r="K18" s="693"/>
      <c r="L18" s="693"/>
      <c r="M18" s="694"/>
      <c r="N18" s="695"/>
      <c r="O18" s="696" t="s">
        <v>1569</v>
      </c>
      <c r="P18" s="695">
        <f>('Malaria-Key Info'!$G$56*'HPM costs'!F84)/'HPM costs'!$E$84</f>
        <v>0</v>
      </c>
      <c r="Q18" s="695" t="s">
        <v>1569</v>
      </c>
      <c r="R18" s="695">
        <f>('Malaria-Key Info'!$G$56*'HPM costs'!G84)/'HPM costs'!$E$84</f>
        <v>0</v>
      </c>
      <c r="S18" s="695" t="s">
        <v>1569</v>
      </c>
      <c r="T18" s="695">
        <f>('Malaria-Key Info'!$G$56*'HPM costs'!H84)/'HPM costs'!$E$84</f>
        <v>0</v>
      </c>
      <c r="U18" s="695" t="s">
        <v>1569</v>
      </c>
      <c r="V18" s="695">
        <f>('Malaria-Key Info'!$G$56*'HPM costs'!I84)/'HPM costs'!$E$84</f>
        <v>0</v>
      </c>
      <c r="W18" s="695"/>
      <c r="X18" s="1492">
        <f t="shared" si="0"/>
        <v>0</v>
      </c>
      <c r="Y18" s="1493"/>
      <c r="Z18" s="1494"/>
      <c r="AA18" s="699"/>
      <c r="AB18" s="695"/>
      <c r="AC18" s="695">
        <f>('Malaria-Key Info'!$G$56*'HPM costs'!K84)/'HPM costs'!$E$84</f>
        <v>0</v>
      </c>
      <c r="AD18" s="695"/>
      <c r="AE18" s="695">
        <f>('Malaria-Key Info'!$G$56*'HPM costs'!L84)/'HPM costs'!$E$84</f>
        <v>0</v>
      </c>
      <c r="AF18" s="695"/>
      <c r="AG18" s="695">
        <f>('Malaria-Key Info'!$G$56*'HPM costs'!M84)/'HPM costs'!$E$84</f>
        <v>0</v>
      </c>
      <c r="AH18" s="695"/>
      <c r="AI18" s="695">
        <f>('Malaria-Key Info'!$G$56*'HPM costs'!N84)/'HPM costs'!$E$84</f>
        <v>0</v>
      </c>
      <c r="AJ18" s="695"/>
      <c r="AK18" s="1492">
        <f t="shared" si="1"/>
        <v>0</v>
      </c>
      <c r="AL18" s="1493"/>
      <c r="AM18" s="1494"/>
      <c r="AN18" s="699"/>
      <c r="AO18" s="695"/>
      <c r="AP18" s="695">
        <f>('Malaria-Key Info'!$G$56*'HPM costs'!P84)/'HPM costs'!$E$84</f>
        <v>0</v>
      </c>
      <c r="AQ18" s="695"/>
      <c r="AR18" s="695">
        <f>('Malaria-Key Info'!$G$56*'HPM costs'!Q84)/'HPM costs'!$E$84</f>
        <v>0</v>
      </c>
      <c r="AS18" s="695"/>
      <c r="AT18" s="695">
        <f>('Malaria-Key Info'!$G$56*'HPM costs'!R84)/'HPM costs'!$E$84</f>
        <v>0</v>
      </c>
      <c r="AU18" s="695"/>
      <c r="AV18" s="695">
        <f>('Malaria-Key Info'!$G$56*'HPM costs'!S84)/'HPM costs'!$E$84</f>
        <v>0</v>
      </c>
      <c r="AW18" s="695"/>
      <c r="AX18" s="1492">
        <f t="shared" si="2"/>
        <v>0</v>
      </c>
      <c r="AY18" s="1492"/>
      <c r="AZ18" s="698"/>
      <c r="BA18" s="699"/>
      <c r="BB18" s="697"/>
      <c r="BC18" s="697">
        <v>0</v>
      </c>
      <c r="BD18" s="697">
        <v>0</v>
      </c>
      <c r="BE18" s="697">
        <v>0</v>
      </c>
      <c r="BF18" s="697">
        <v>0</v>
      </c>
      <c r="BG18" s="697">
        <v>0</v>
      </c>
      <c r="BH18" s="697">
        <v>0</v>
      </c>
      <c r="BI18" s="697">
        <v>0</v>
      </c>
      <c r="BJ18" s="697">
        <v>0</v>
      </c>
      <c r="BK18" s="1492">
        <f t="shared" si="3"/>
        <v>0</v>
      </c>
      <c r="BL18" s="1492"/>
      <c r="BM18" s="1492">
        <f t="shared" si="4"/>
        <v>0</v>
      </c>
      <c r="BN18" s="1492">
        <f t="shared" si="5"/>
        <v>0</v>
      </c>
      <c r="BO18" s="697"/>
      <c r="BP18" s="697"/>
      <c r="BQ18" s="1495">
        <v>0</v>
      </c>
      <c r="BR18" s="1495" t="s">
        <v>19</v>
      </c>
      <c r="BS18" s="1495" t="s">
        <v>6943</v>
      </c>
      <c r="BT18" s="691" t="s">
        <v>680</v>
      </c>
    </row>
    <row r="19" spans="1:72" s="681" customFormat="1" ht="13" hidden="1">
      <c r="A19" s="1545">
        <v>18</v>
      </c>
      <c r="B19" s="1546" t="s">
        <v>651</v>
      </c>
      <c r="C19" s="1546" t="s">
        <v>679</v>
      </c>
      <c r="D19" s="1547" t="s">
        <v>655</v>
      </c>
      <c r="E19" s="690" t="s">
        <v>656</v>
      </c>
      <c r="F19" s="691"/>
      <c r="G19" s="692"/>
      <c r="H19" s="692"/>
      <c r="I19" s="692"/>
      <c r="J19" s="693"/>
      <c r="K19" s="693"/>
      <c r="L19" s="693"/>
      <c r="M19" s="694"/>
      <c r="N19" s="695"/>
      <c r="O19" s="696" t="s">
        <v>1569</v>
      </c>
      <c r="P19" s="695">
        <f>'Malaria-Key Info'!$G$56*'HPM costs'!F84</f>
        <v>0</v>
      </c>
      <c r="Q19" s="695" t="s">
        <v>1569</v>
      </c>
      <c r="R19" s="695">
        <f>'Malaria-Key Info'!$G$56*'HPM costs'!G84</f>
        <v>0</v>
      </c>
      <c r="S19" s="695" t="s">
        <v>1569</v>
      </c>
      <c r="T19" s="695">
        <f>'Malaria-Key Info'!$G$56*'HPM costs'!H84</f>
        <v>0</v>
      </c>
      <c r="U19" s="695" t="s">
        <v>1569</v>
      </c>
      <c r="V19" s="695">
        <f>'Malaria-Key Info'!$G$56*'HPM costs'!I84</f>
        <v>0</v>
      </c>
      <c r="W19" s="695"/>
      <c r="X19" s="1492">
        <f t="shared" si="0"/>
        <v>0</v>
      </c>
      <c r="Y19" s="1493"/>
      <c r="Z19" s="1494"/>
      <c r="AA19" s="699"/>
      <c r="AB19" s="695"/>
      <c r="AC19" s="695">
        <f>'Malaria-Key Info'!$G$56*'HPM costs'!K84</f>
        <v>0</v>
      </c>
      <c r="AD19" s="695"/>
      <c r="AE19" s="695">
        <f>'Malaria-Key Info'!$G$56*'HPM costs'!L84</f>
        <v>0</v>
      </c>
      <c r="AF19" s="695"/>
      <c r="AG19" s="695">
        <f>'Malaria-Key Info'!$G$56*'HPM costs'!M84</f>
        <v>0</v>
      </c>
      <c r="AH19" s="695"/>
      <c r="AI19" s="695">
        <f>'Malaria-Key Info'!$G$56*'HPM costs'!N84</f>
        <v>0</v>
      </c>
      <c r="AJ19" s="695"/>
      <c r="AK19" s="1492">
        <f t="shared" si="1"/>
        <v>0</v>
      </c>
      <c r="AL19" s="1493"/>
      <c r="AM19" s="1494"/>
      <c r="AN19" s="699"/>
      <c r="AO19" s="695"/>
      <c r="AP19" s="695">
        <f>'Malaria-Key Info'!$G$56*'HPM costs'!P84</f>
        <v>0</v>
      </c>
      <c r="AQ19" s="695"/>
      <c r="AR19" s="695">
        <f>'Malaria-Key Info'!$G$56*'HPM costs'!Q84</f>
        <v>0</v>
      </c>
      <c r="AS19" s="695"/>
      <c r="AT19" s="695">
        <f>'Malaria-Key Info'!$G$56*'HPM costs'!R84</f>
        <v>0</v>
      </c>
      <c r="AU19" s="695"/>
      <c r="AV19" s="695">
        <f>'Malaria-Key Info'!$G$56*'HPM costs'!S84</f>
        <v>0</v>
      </c>
      <c r="AW19" s="695"/>
      <c r="AX19" s="1492">
        <f t="shared" si="2"/>
        <v>0</v>
      </c>
      <c r="AY19" s="1492"/>
      <c r="AZ19" s="698"/>
      <c r="BA19" s="699"/>
      <c r="BB19" s="697"/>
      <c r="BC19" s="697">
        <v>0</v>
      </c>
      <c r="BD19" s="697">
        <v>0</v>
      </c>
      <c r="BE19" s="697">
        <v>0</v>
      </c>
      <c r="BF19" s="697">
        <v>0</v>
      </c>
      <c r="BG19" s="697">
        <v>0</v>
      </c>
      <c r="BH19" s="697">
        <v>0</v>
      </c>
      <c r="BI19" s="697">
        <v>0</v>
      </c>
      <c r="BJ19" s="697">
        <v>0</v>
      </c>
      <c r="BK19" s="1492">
        <f t="shared" si="3"/>
        <v>0</v>
      </c>
      <c r="BL19" s="1492"/>
      <c r="BM19" s="1492">
        <f t="shared" si="4"/>
        <v>0</v>
      </c>
      <c r="BN19" s="1492">
        <f t="shared" si="5"/>
        <v>0</v>
      </c>
      <c r="BO19" s="697"/>
      <c r="BP19" s="697"/>
      <c r="BQ19" s="1495">
        <v>0</v>
      </c>
      <c r="BR19" s="1495" t="s">
        <v>19</v>
      </c>
      <c r="BS19" s="1495" t="s">
        <v>655</v>
      </c>
      <c r="BT19" s="691" t="s">
        <v>681</v>
      </c>
    </row>
    <row r="20" spans="1:72" s="681" customFormat="1" ht="13" hidden="1">
      <c r="A20" s="1545">
        <v>19</v>
      </c>
      <c r="B20" s="1546" t="s">
        <v>651</v>
      </c>
      <c r="C20" s="1546" t="s">
        <v>679</v>
      </c>
      <c r="D20" s="1547" t="s">
        <v>655</v>
      </c>
      <c r="E20" s="690" t="s">
        <v>658</v>
      </c>
      <c r="F20" s="691"/>
      <c r="G20" s="692"/>
      <c r="H20" s="692"/>
      <c r="I20" s="692"/>
      <c r="J20" s="693"/>
      <c r="K20" s="693"/>
      <c r="L20" s="693"/>
      <c r="M20" s="694"/>
      <c r="N20" s="695"/>
      <c r="O20" s="696" t="s">
        <v>1569</v>
      </c>
      <c r="P20" s="695">
        <f>'Malaria-Key Info'!$G$56*'HPM costs'!F170</f>
        <v>0</v>
      </c>
      <c r="Q20" s="695" t="s">
        <v>1569</v>
      </c>
      <c r="R20" s="695">
        <f>'Malaria-Key Info'!$G$56*'HPM costs'!G170</f>
        <v>0</v>
      </c>
      <c r="S20" s="695" t="s">
        <v>1569</v>
      </c>
      <c r="T20" s="695">
        <f>'Malaria-Key Info'!$G$56*'HPM costs'!H170</f>
        <v>0</v>
      </c>
      <c r="U20" s="695" t="s">
        <v>1569</v>
      </c>
      <c r="V20" s="695">
        <f>'Malaria-Key Info'!$G$56*'HPM costs'!I170</f>
        <v>0</v>
      </c>
      <c r="W20" s="695"/>
      <c r="X20" s="1492">
        <f t="shared" si="0"/>
        <v>0</v>
      </c>
      <c r="Y20" s="1493"/>
      <c r="Z20" s="1494"/>
      <c r="AA20" s="699"/>
      <c r="AB20" s="695"/>
      <c r="AC20" s="695">
        <f>'Malaria-Key Info'!$G$56*'HPM costs'!K170</f>
        <v>0</v>
      </c>
      <c r="AD20" s="695"/>
      <c r="AE20" s="695">
        <f>'Malaria-Key Info'!$G$56*'HPM costs'!L170</f>
        <v>0</v>
      </c>
      <c r="AF20" s="695"/>
      <c r="AG20" s="695">
        <f>'Malaria-Key Info'!$G$56*'HPM costs'!M170</f>
        <v>0</v>
      </c>
      <c r="AH20" s="695"/>
      <c r="AI20" s="695">
        <f>'Malaria-Key Info'!$G$56*'HPM costs'!N170</f>
        <v>0</v>
      </c>
      <c r="AJ20" s="695"/>
      <c r="AK20" s="1492">
        <f t="shared" si="1"/>
        <v>0</v>
      </c>
      <c r="AL20" s="1493"/>
      <c r="AM20" s="1494"/>
      <c r="AN20" s="699"/>
      <c r="AO20" s="695"/>
      <c r="AP20" s="695">
        <f>'Malaria-Key Info'!$G$56*'HPM costs'!P170</f>
        <v>0</v>
      </c>
      <c r="AQ20" s="695"/>
      <c r="AR20" s="695">
        <f>'Malaria-Key Info'!$G$56*'HPM costs'!Q170</f>
        <v>0</v>
      </c>
      <c r="AS20" s="695"/>
      <c r="AT20" s="695">
        <f>'Malaria-Key Info'!$G$56*'HPM costs'!R170</f>
        <v>0</v>
      </c>
      <c r="AU20" s="695"/>
      <c r="AV20" s="695">
        <f>'Malaria-Key Info'!$G$56*'HPM costs'!S170</f>
        <v>0</v>
      </c>
      <c r="AW20" s="695"/>
      <c r="AX20" s="1492">
        <f t="shared" si="2"/>
        <v>0</v>
      </c>
      <c r="AY20" s="1492"/>
      <c r="AZ20" s="698"/>
      <c r="BA20" s="699"/>
      <c r="BB20" s="697"/>
      <c r="BC20" s="697">
        <v>0</v>
      </c>
      <c r="BD20" s="697">
        <v>0</v>
      </c>
      <c r="BE20" s="697">
        <v>0</v>
      </c>
      <c r="BF20" s="697">
        <v>0</v>
      </c>
      <c r="BG20" s="697">
        <v>0</v>
      </c>
      <c r="BH20" s="697">
        <v>0</v>
      </c>
      <c r="BI20" s="697">
        <v>0</v>
      </c>
      <c r="BJ20" s="697">
        <v>0</v>
      </c>
      <c r="BK20" s="1492">
        <f t="shared" si="3"/>
        <v>0</v>
      </c>
      <c r="BL20" s="1492"/>
      <c r="BM20" s="1492">
        <f t="shared" si="4"/>
        <v>0</v>
      </c>
      <c r="BN20" s="1492">
        <f t="shared" si="5"/>
        <v>0</v>
      </c>
      <c r="BO20" s="697"/>
      <c r="BP20" s="697"/>
      <c r="BQ20" s="1495">
        <v>0</v>
      </c>
      <c r="BR20" s="1495" t="s">
        <v>19</v>
      </c>
      <c r="BS20" s="1495" t="s">
        <v>655</v>
      </c>
      <c r="BT20" s="691" t="s">
        <v>682</v>
      </c>
    </row>
    <row r="21" spans="1:72" s="681" customFormat="1" ht="13" hidden="1">
      <c r="A21" s="1545">
        <v>20</v>
      </c>
      <c r="B21" s="1546" t="s">
        <v>651</v>
      </c>
      <c r="C21" s="1546" t="s">
        <v>679</v>
      </c>
      <c r="D21" s="1547" t="s">
        <v>655</v>
      </c>
      <c r="E21" s="690" t="s">
        <v>660</v>
      </c>
      <c r="F21" s="691"/>
      <c r="G21" s="692"/>
      <c r="H21" s="692"/>
      <c r="I21" s="692"/>
      <c r="J21" s="693"/>
      <c r="K21" s="693"/>
      <c r="L21" s="693"/>
      <c r="M21" s="694"/>
      <c r="N21" s="695"/>
      <c r="O21" s="696" t="s">
        <v>1569</v>
      </c>
      <c r="P21" s="695">
        <f>'Malaria-Key Info'!$G$56*'HPM costs'!F430</f>
        <v>0</v>
      </c>
      <c r="Q21" s="695" t="s">
        <v>1569</v>
      </c>
      <c r="R21" s="695">
        <f>'Malaria-Key Info'!$G$56*'HPM costs'!G430</f>
        <v>0</v>
      </c>
      <c r="S21" s="695" t="s">
        <v>1569</v>
      </c>
      <c r="T21" s="695">
        <f>'Malaria-Key Info'!$G$56*'HPM costs'!H430</f>
        <v>0</v>
      </c>
      <c r="U21" s="695" t="s">
        <v>1569</v>
      </c>
      <c r="V21" s="695">
        <f>'Malaria-Key Info'!$G$56*'HPM costs'!I430</f>
        <v>0</v>
      </c>
      <c r="W21" s="695"/>
      <c r="X21" s="1492">
        <f t="shared" si="0"/>
        <v>0</v>
      </c>
      <c r="Y21" s="1493"/>
      <c r="Z21" s="1494"/>
      <c r="AA21" s="699"/>
      <c r="AB21" s="695"/>
      <c r="AC21" s="695">
        <f>'Malaria-Key Info'!$G$56*'HPM costs'!K430</f>
        <v>0</v>
      </c>
      <c r="AD21" s="695"/>
      <c r="AE21" s="695">
        <f>'Malaria-Key Info'!$G$56*'HPM costs'!L430</f>
        <v>0</v>
      </c>
      <c r="AF21" s="695"/>
      <c r="AG21" s="695">
        <f>'Malaria-Key Info'!$G$56*'HPM costs'!M430</f>
        <v>0</v>
      </c>
      <c r="AH21" s="695"/>
      <c r="AI21" s="695">
        <f>'Malaria-Key Info'!$G$56*'HPM costs'!N430</f>
        <v>0</v>
      </c>
      <c r="AJ21" s="695"/>
      <c r="AK21" s="1492">
        <f t="shared" si="1"/>
        <v>0</v>
      </c>
      <c r="AL21" s="1493"/>
      <c r="AM21" s="1494"/>
      <c r="AN21" s="699"/>
      <c r="AO21" s="695"/>
      <c r="AP21" s="695">
        <f>'Malaria-Key Info'!$G$56*'HPM costs'!P430</f>
        <v>0</v>
      </c>
      <c r="AQ21" s="695"/>
      <c r="AR21" s="695">
        <f>'Malaria-Key Info'!$G$56*'HPM costs'!Q430</f>
        <v>0</v>
      </c>
      <c r="AS21" s="695"/>
      <c r="AT21" s="695">
        <f>'Malaria-Key Info'!$G$56*'HPM costs'!R430</f>
        <v>0</v>
      </c>
      <c r="AU21" s="695"/>
      <c r="AV21" s="695">
        <f>'Malaria-Key Info'!$G$56*'HPM costs'!S430</f>
        <v>0</v>
      </c>
      <c r="AW21" s="695"/>
      <c r="AX21" s="1492">
        <f t="shared" si="2"/>
        <v>0</v>
      </c>
      <c r="AY21" s="1492"/>
      <c r="AZ21" s="698"/>
      <c r="BA21" s="699"/>
      <c r="BB21" s="697"/>
      <c r="BC21" s="697">
        <v>0</v>
      </c>
      <c r="BD21" s="697">
        <v>0</v>
      </c>
      <c r="BE21" s="697">
        <v>0</v>
      </c>
      <c r="BF21" s="697">
        <v>0</v>
      </c>
      <c r="BG21" s="697">
        <v>0</v>
      </c>
      <c r="BH21" s="697">
        <v>0</v>
      </c>
      <c r="BI21" s="697">
        <v>0</v>
      </c>
      <c r="BJ21" s="697">
        <v>0</v>
      </c>
      <c r="BK21" s="1492">
        <f t="shared" si="3"/>
        <v>0</v>
      </c>
      <c r="BL21" s="1492"/>
      <c r="BM21" s="1492">
        <f t="shared" si="4"/>
        <v>0</v>
      </c>
      <c r="BN21" s="1492">
        <f t="shared" si="5"/>
        <v>0</v>
      </c>
      <c r="BO21" s="697"/>
      <c r="BP21" s="697"/>
      <c r="BQ21" s="1495">
        <v>0</v>
      </c>
      <c r="BR21" s="1495" t="s">
        <v>19</v>
      </c>
      <c r="BS21" s="1495" t="s">
        <v>655</v>
      </c>
      <c r="BT21" s="691" t="s">
        <v>683</v>
      </c>
    </row>
    <row r="22" spans="1:72" s="681" customFormat="1" ht="13" hidden="1">
      <c r="A22" s="1545">
        <v>21</v>
      </c>
      <c r="B22" s="1546" t="s">
        <v>651</v>
      </c>
      <c r="C22" s="1546" t="s">
        <v>679</v>
      </c>
      <c r="D22" s="1547" t="s">
        <v>655</v>
      </c>
      <c r="E22" s="690" t="s">
        <v>662</v>
      </c>
      <c r="F22" s="691"/>
      <c r="G22" s="692"/>
      <c r="H22" s="692"/>
      <c r="I22" s="692"/>
      <c r="J22" s="693"/>
      <c r="K22" s="693"/>
      <c r="L22" s="693"/>
      <c r="M22" s="694"/>
      <c r="N22" s="695"/>
      <c r="O22" s="696" t="s">
        <v>1569</v>
      </c>
      <c r="P22" s="695">
        <f>'Malaria-Key Info'!$G$56*'HPM costs'!F516</f>
        <v>0</v>
      </c>
      <c r="Q22" s="695" t="s">
        <v>1569</v>
      </c>
      <c r="R22" s="695">
        <f>'Malaria-Key Info'!$G$56*'HPM costs'!G516</f>
        <v>0</v>
      </c>
      <c r="S22" s="695" t="s">
        <v>1569</v>
      </c>
      <c r="T22" s="695">
        <f>'Malaria-Key Info'!$G$56*'HPM costs'!H516</f>
        <v>0</v>
      </c>
      <c r="U22" s="695" t="s">
        <v>1569</v>
      </c>
      <c r="V22" s="695">
        <f>'Malaria-Key Info'!$G$56*'HPM costs'!I516</f>
        <v>0</v>
      </c>
      <c r="W22" s="695"/>
      <c r="X22" s="1492">
        <f t="shared" si="0"/>
        <v>0</v>
      </c>
      <c r="Y22" s="1493"/>
      <c r="Z22" s="1494"/>
      <c r="AA22" s="699"/>
      <c r="AB22" s="695"/>
      <c r="AC22" s="695">
        <f>'Malaria-Key Info'!$G$56*'HPM costs'!K516</f>
        <v>0</v>
      </c>
      <c r="AD22" s="695"/>
      <c r="AE22" s="695">
        <f>'Malaria-Key Info'!$G$56*'HPM costs'!L516</f>
        <v>0</v>
      </c>
      <c r="AF22" s="695"/>
      <c r="AG22" s="695">
        <f>'Malaria-Key Info'!$G$56*'HPM costs'!M516</f>
        <v>0</v>
      </c>
      <c r="AH22" s="695"/>
      <c r="AI22" s="695">
        <f>'Malaria-Key Info'!$G$56*'HPM costs'!N516</f>
        <v>0</v>
      </c>
      <c r="AJ22" s="695"/>
      <c r="AK22" s="1492">
        <f t="shared" si="1"/>
        <v>0</v>
      </c>
      <c r="AL22" s="1493"/>
      <c r="AM22" s="1494"/>
      <c r="AN22" s="699"/>
      <c r="AO22" s="695"/>
      <c r="AP22" s="695">
        <f>'Malaria-Key Info'!$G$56*'HPM costs'!P516</f>
        <v>0</v>
      </c>
      <c r="AQ22" s="695"/>
      <c r="AR22" s="695">
        <f>'Malaria-Key Info'!$G$56*'HPM costs'!Q516</f>
        <v>0</v>
      </c>
      <c r="AS22" s="695"/>
      <c r="AT22" s="695">
        <f>'Malaria-Key Info'!$G$56*'HPM costs'!R516</f>
        <v>0</v>
      </c>
      <c r="AU22" s="695"/>
      <c r="AV22" s="695">
        <f>'Malaria-Key Info'!$G$56*'HPM costs'!S516</f>
        <v>0</v>
      </c>
      <c r="AW22" s="695"/>
      <c r="AX22" s="1492">
        <f t="shared" si="2"/>
        <v>0</v>
      </c>
      <c r="AY22" s="1492"/>
      <c r="AZ22" s="698"/>
      <c r="BA22" s="699"/>
      <c r="BB22" s="697"/>
      <c r="BC22" s="697">
        <v>0</v>
      </c>
      <c r="BD22" s="697">
        <v>0</v>
      </c>
      <c r="BE22" s="697">
        <v>0</v>
      </c>
      <c r="BF22" s="697">
        <v>0</v>
      </c>
      <c r="BG22" s="697">
        <v>0</v>
      </c>
      <c r="BH22" s="697">
        <v>0</v>
      </c>
      <c r="BI22" s="697">
        <v>0</v>
      </c>
      <c r="BJ22" s="697">
        <v>0</v>
      </c>
      <c r="BK22" s="1492">
        <f t="shared" si="3"/>
        <v>0</v>
      </c>
      <c r="BL22" s="1492"/>
      <c r="BM22" s="1492">
        <f t="shared" si="4"/>
        <v>0</v>
      </c>
      <c r="BN22" s="1492">
        <f t="shared" si="5"/>
        <v>0</v>
      </c>
      <c r="BO22" s="697"/>
      <c r="BP22" s="697"/>
      <c r="BQ22" s="1495">
        <v>0</v>
      </c>
      <c r="BR22" s="1495" t="s">
        <v>19</v>
      </c>
      <c r="BS22" s="1495" t="s">
        <v>655</v>
      </c>
      <c r="BT22" s="691" t="s">
        <v>684</v>
      </c>
    </row>
    <row r="23" spans="1:72" s="681" customFormat="1" ht="13" hidden="1">
      <c r="A23" s="1545">
        <v>22</v>
      </c>
      <c r="B23" s="1546" t="s">
        <v>651</v>
      </c>
      <c r="C23" s="1546" t="s">
        <v>679</v>
      </c>
      <c r="D23" s="1547" t="s">
        <v>655</v>
      </c>
      <c r="E23" s="690" t="s">
        <v>664</v>
      </c>
      <c r="F23" s="691"/>
      <c r="G23" s="692"/>
      <c r="H23" s="692"/>
      <c r="I23" s="692"/>
      <c r="J23" s="693"/>
      <c r="K23" s="693"/>
      <c r="L23" s="693"/>
      <c r="M23" s="694"/>
      <c r="N23" s="695"/>
      <c r="O23" s="696" t="s">
        <v>1569</v>
      </c>
      <c r="P23" s="695">
        <f>'Malaria-Key Info'!$G$56*('HPM costs'!F256+'HPM costs'!F602)</f>
        <v>0</v>
      </c>
      <c r="Q23" s="695" t="s">
        <v>1569</v>
      </c>
      <c r="R23" s="695">
        <f>'Malaria-Key Info'!$G$56*('HPM costs'!G256+'HPM costs'!G602)</f>
        <v>0</v>
      </c>
      <c r="S23" s="695" t="s">
        <v>1569</v>
      </c>
      <c r="T23" s="695">
        <f>'Malaria-Key Info'!$G$56*('HPM costs'!H256+'HPM costs'!H602)</f>
        <v>0</v>
      </c>
      <c r="U23" s="695" t="s">
        <v>1569</v>
      </c>
      <c r="V23" s="695">
        <f>'Malaria-Key Info'!$G$56*('HPM costs'!I256+'HPM costs'!I602)</f>
        <v>0</v>
      </c>
      <c r="W23" s="695"/>
      <c r="X23" s="1492">
        <f t="shared" si="0"/>
        <v>0</v>
      </c>
      <c r="Y23" s="1493"/>
      <c r="Z23" s="1494"/>
      <c r="AA23" s="699"/>
      <c r="AB23" s="695"/>
      <c r="AC23" s="695">
        <f>'Malaria-Key Info'!$G$56*('HPM costs'!K256+'HPM costs'!K602)</f>
        <v>0</v>
      </c>
      <c r="AD23" s="695"/>
      <c r="AE23" s="695">
        <f>'Malaria-Key Info'!$G$56*('HPM costs'!L256+'HPM costs'!L602)</f>
        <v>0</v>
      </c>
      <c r="AF23" s="695"/>
      <c r="AG23" s="695">
        <f>'Malaria-Key Info'!$G$56*('HPM costs'!M256+'HPM costs'!M602)</f>
        <v>0</v>
      </c>
      <c r="AH23" s="695"/>
      <c r="AI23" s="695">
        <f>'Malaria-Key Info'!$G$56*('HPM costs'!N256+'HPM costs'!N602)</f>
        <v>0</v>
      </c>
      <c r="AJ23" s="695"/>
      <c r="AK23" s="1492">
        <f t="shared" si="1"/>
        <v>0</v>
      </c>
      <c r="AL23" s="1493"/>
      <c r="AM23" s="1494"/>
      <c r="AN23" s="699"/>
      <c r="AO23" s="695"/>
      <c r="AP23" s="695">
        <f>'Malaria-Key Info'!$G$56*('HPM costs'!P256+'HPM costs'!P602)</f>
        <v>0</v>
      </c>
      <c r="AQ23" s="695"/>
      <c r="AR23" s="695">
        <f>'Malaria-Key Info'!$G$56*('HPM costs'!Q256+'HPM costs'!Q602)</f>
        <v>0</v>
      </c>
      <c r="AS23" s="695"/>
      <c r="AT23" s="695">
        <f>'Malaria-Key Info'!$G$56*('HPM costs'!R256+'HPM costs'!R602)</f>
        <v>0</v>
      </c>
      <c r="AU23" s="695"/>
      <c r="AV23" s="695">
        <f>'Malaria-Key Info'!$G$56*('HPM costs'!S256+'HPM costs'!S602)</f>
        <v>0</v>
      </c>
      <c r="AW23" s="695"/>
      <c r="AX23" s="1492">
        <f t="shared" si="2"/>
        <v>0</v>
      </c>
      <c r="AY23" s="1492"/>
      <c r="AZ23" s="698"/>
      <c r="BA23" s="699"/>
      <c r="BB23" s="697"/>
      <c r="BC23" s="697">
        <v>0</v>
      </c>
      <c r="BD23" s="697">
        <v>0</v>
      </c>
      <c r="BE23" s="697">
        <v>0</v>
      </c>
      <c r="BF23" s="697">
        <v>0</v>
      </c>
      <c r="BG23" s="697">
        <v>0</v>
      </c>
      <c r="BH23" s="697">
        <v>0</v>
      </c>
      <c r="BI23" s="697">
        <v>0</v>
      </c>
      <c r="BJ23" s="697">
        <v>0</v>
      </c>
      <c r="BK23" s="1492">
        <f t="shared" si="3"/>
        <v>0</v>
      </c>
      <c r="BL23" s="1492"/>
      <c r="BM23" s="1492">
        <f t="shared" si="4"/>
        <v>0</v>
      </c>
      <c r="BN23" s="1492">
        <f t="shared" si="5"/>
        <v>0</v>
      </c>
      <c r="BO23" s="697"/>
      <c r="BP23" s="697"/>
      <c r="BQ23" s="1495">
        <v>0</v>
      </c>
      <c r="BR23" s="1495" t="s">
        <v>19</v>
      </c>
      <c r="BS23" s="1495" t="s">
        <v>655</v>
      </c>
      <c r="BT23" s="691" t="s">
        <v>685</v>
      </c>
    </row>
    <row r="24" spans="1:72" s="681" customFormat="1" ht="13" hidden="1">
      <c r="A24" s="1545">
        <v>23</v>
      </c>
      <c r="B24" s="1546" t="s">
        <v>651</v>
      </c>
      <c r="C24" s="1546" t="s">
        <v>679</v>
      </c>
      <c r="D24" s="1547" t="s">
        <v>655</v>
      </c>
      <c r="E24" s="690" t="s">
        <v>666</v>
      </c>
      <c r="F24" s="691"/>
      <c r="G24" s="692"/>
      <c r="H24" s="692"/>
      <c r="I24" s="692"/>
      <c r="J24" s="693"/>
      <c r="K24" s="693"/>
      <c r="L24" s="693"/>
      <c r="M24" s="694"/>
      <c r="N24" s="695"/>
      <c r="O24" s="696" t="s">
        <v>1569</v>
      </c>
      <c r="P24" s="695">
        <f>'Malaria-Key Info'!$G$56*'HPM costs'!F342</f>
        <v>0</v>
      </c>
      <c r="Q24" s="695" t="s">
        <v>1569</v>
      </c>
      <c r="R24" s="695">
        <f>'Malaria-Key Info'!$G$56*'HPM costs'!G342</f>
        <v>0</v>
      </c>
      <c r="S24" s="695" t="s">
        <v>1569</v>
      </c>
      <c r="T24" s="695">
        <f>'Malaria-Key Info'!$G$56*'HPM costs'!H342</f>
        <v>0</v>
      </c>
      <c r="U24" s="695" t="s">
        <v>1569</v>
      </c>
      <c r="V24" s="695">
        <f>'Malaria-Key Info'!$G$56*'HPM costs'!I342</f>
        <v>0</v>
      </c>
      <c r="W24" s="695"/>
      <c r="X24" s="1492">
        <f t="shared" si="0"/>
        <v>0</v>
      </c>
      <c r="Y24" s="1493"/>
      <c r="Z24" s="1494"/>
      <c r="AA24" s="699"/>
      <c r="AB24" s="695"/>
      <c r="AC24" s="695">
        <f>'Malaria-Key Info'!$G$56*'HPM costs'!K342</f>
        <v>0</v>
      </c>
      <c r="AD24" s="695"/>
      <c r="AE24" s="695">
        <f>'Malaria-Key Info'!$G$56*'HPM costs'!L342</f>
        <v>0</v>
      </c>
      <c r="AF24" s="695"/>
      <c r="AG24" s="695">
        <f>'Malaria-Key Info'!$G$56*'HPM costs'!M342</f>
        <v>0</v>
      </c>
      <c r="AH24" s="695"/>
      <c r="AI24" s="695">
        <f>'Malaria-Key Info'!$G$56*'HPM costs'!N342</f>
        <v>0</v>
      </c>
      <c r="AJ24" s="695"/>
      <c r="AK24" s="1492">
        <f t="shared" si="1"/>
        <v>0</v>
      </c>
      <c r="AL24" s="1493"/>
      <c r="AM24" s="1494"/>
      <c r="AN24" s="699"/>
      <c r="AO24" s="695"/>
      <c r="AP24" s="695">
        <f>'Malaria-Key Info'!$G$56*'HPM costs'!P342</f>
        <v>0</v>
      </c>
      <c r="AQ24" s="695"/>
      <c r="AR24" s="695">
        <f>'Malaria-Key Info'!$G$56*'HPM costs'!Q342</f>
        <v>0</v>
      </c>
      <c r="AS24" s="695"/>
      <c r="AT24" s="695">
        <f>'Malaria-Key Info'!$G$56*'HPM costs'!R342</f>
        <v>0</v>
      </c>
      <c r="AU24" s="695"/>
      <c r="AV24" s="695">
        <f>'Malaria-Key Info'!$G$56*'HPM costs'!S342</f>
        <v>0</v>
      </c>
      <c r="AW24" s="695"/>
      <c r="AX24" s="1492">
        <f t="shared" si="2"/>
        <v>0</v>
      </c>
      <c r="AY24" s="1492"/>
      <c r="AZ24" s="698"/>
      <c r="BA24" s="699"/>
      <c r="BB24" s="697"/>
      <c r="BC24" s="697">
        <v>0</v>
      </c>
      <c r="BD24" s="697">
        <v>0</v>
      </c>
      <c r="BE24" s="697">
        <v>0</v>
      </c>
      <c r="BF24" s="697">
        <v>0</v>
      </c>
      <c r="BG24" s="697">
        <v>0</v>
      </c>
      <c r="BH24" s="697">
        <v>0</v>
      </c>
      <c r="BI24" s="697">
        <v>0</v>
      </c>
      <c r="BJ24" s="697">
        <v>0</v>
      </c>
      <c r="BK24" s="1492">
        <f t="shared" si="3"/>
        <v>0</v>
      </c>
      <c r="BL24" s="1492"/>
      <c r="BM24" s="1492">
        <f t="shared" si="4"/>
        <v>0</v>
      </c>
      <c r="BN24" s="1492">
        <f t="shared" si="5"/>
        <v>0</v>
      </c>
      <c r="BO24" s="697"/>
      <c r="BP24" s="697"/>
      <c r="BQ24" s="1495">
        <v>0</v>
      </c>
      <c r="BR24" s="1495" t="s">
        <v>19</v>
      </c>
      <c r="BS24" s="1495" t="s">
        <v>655</v>
      </c>
      <c r="BT24" s="691" t="s">
        <v>686</v>
      </c>
    </row>
    <row r="25" spans="1:72" s="681" customFormat="1" ht="13" hidden="1">
      <c r="A25" s="1545">
        <v>24</v>
      </c>
      <c r="B25" s="1546" t="s">
        <v>651</v>
      </c>
      <c r="C25" s="1546" t="s">
        <v>679</v>
      </c>
      <c r="D25" s="1547" t="s">
        <v>655</v>
      </c>
      <c r="E25" s="690" t="s">
        <v>668</v>
      </c>
      <c r="F25" s="691"/>
      <c r="G25" s="692"/>
      <c r="H25" s="692"/>
      <c r="I25" s="692"/>
      <c r="J25" s="693"/>
      <c r="K25" s="693"/>
      <c r="L25" s="693"/>
      <c r="M25" s="694"/>
      <c r="N25" s="695"/>
      <c r="O25" s="696" t="s">
        <v>1569</v>
      </c>
      <c r="P25" s="695">
        <f>'Malaria-Key Info'!$G$56*'HPM costs'!F687</f>
        <v>0</v>
      </c>
      <c r="Q25" s="695" t="s">
        <v>1569</v>
      </c>
      <c r="R25" s="695">
        <f>'Malaria-Key Info'!$G$56*'HPM costs'!G687</f>
        <v>0</v>
      </c>
      <c r="S25" s="695" t="s">
        <v>1569</v>
      </c>
      <c r="T25" s="695">
        <f>'Malaria-Key Info'!$G$56*'HPM costs'!H687</f>
        <v>0</v>
      </c>
      <c r="U25" s="695" t="s">
        <v>1569</v>
      </c>
      <c r="V25" s="695">
        <f>'Malaria-Key Info'!$G$56*'HPM costs'!I687</f>
        <v>0</v>
      </c>
      <c r="W25" s="695"/>
      <c r="X25" s="1492">
        <f t="shared" si="0"/>
        <v>0</v>
      </c>
      <c r="Y25" s="1493"/>
      <c r="Z25" s="1494"/>
      <c r="AA25" s="699"/>
      <c r="AB25" s="695"/>
      <c r="AC25" s="695">
        <f>'Malaria-Key Info'!$G$56*'HPM costs'!K687</f>
        <v>0</v>
      </c>
      <c r="AD25" s="695"/>
      <c r="AE25" s="695">
        <f>'Malaria-Key Info'!$G$56*'HPM costs'!L687</f>
        <v>0</v>
      </c>
      <c r="AF25" s="695"/>
      <c r="AG25" s="695">
        <f>'Malaria-Key Info'!$G$56*'HPM costs'!M687</f>
        <v>0</v>
      </c>
      <c r="AH25" s="695"/>
      <c r="AI25" s="695">
        <f>'Malaria-Key Info'!$G$56*'HPM costs'!N687</f>
        <v>0</v>
      </c>
      <c r="AJ25" s="695"/>
      <c r="AK25" s="1492">
        <f t="shared" si="1"/>
        <v>0</v>
      </c>
      <c r="AL25" s="1493"/>
      <c r="AM25" s="1494"/>
      <c r="AN25" s="699"/>
      <c r="AO25" s="695"/>
      <c r="AP25" s="695">
        <f>'Malaria-Key Info'!$G$56*'HPM costs'!P687</f>
        <v>0</v>
      </c>
      <c r="AQ25" s="695"/>
      <c r="AR25" s="695">
        <f>'Malaria-Key Info'!$G$56*'HPM costs'!Q687</f>
        <v>0</v>
      </c>
      <c r="AS25" s="695"/>
      <c r="AT25" s="695">
        <f>'Malaria-Key Info'!$G$56*'HPM costs'!R687</f>
        <v>0</v>
      </c>
      <c r="AU25" s="695"/>
      <c r="AV25" s="695">
        <f>'Malaria-Key Info'!$G$56*'HPM costs'!S687</f>
        <v>0</v>
      </c>
      <c r="AW25" s="695"/>
      <c r="AX25" s="1492">
        <f t="shared" si="2"/>
        <v>0</v>
      </c>
      <c r="AY25" s="1492"/>
      <c r="AZ25" s="698"/>
      <c r="BA25" s="699"/>
      <c r="BB25" s="697"/>
      <c r="BC25" s="697">
        <v>0</v>
      </c>
      <c r="BD25" s="697">
        <v>0</v>
      </c>
      <c r="BE25" s="697">
        <v>0</v>
      </c>
      <c r="BF25" s="697">
        <v>0</v>
      </c>
      <c r="BG25" s="697">
        <v>0</v>
      </c>
      <c r="BH25" s="697">
        <v>0</v>
      </c>
      <c r="BI25" s="697">
        <v>0</v>
      </c>
      <c r="BJ25" s="697">
        <v>0</v>
      </c>
      <c r="BK25" s="1492">
        <f t="shared" si="3"/>
        <v>0</v>
      </c>
      <c r="BL25" s="1492"/>
      <c r="BM25" s="1492">
        <f t="shared" si="4"/>
        <v>0</v>
      </c>
      <c r="BN25" s="1492">
        <f t="shared" si="5"/>
        <v>0</v>
      </c>
      <c r="BO25" s="697"/>
      <c r="BP25" s="697"/>
      <c r="BQ25" s="1495">
        <v>0</v>
      </c>
      <c r="BR25" s="1495" t="s">
        <v>19</v>
      </c>
      <c r="BS25" s="1495" t="s">
        <v>655</v>
      </c>
      <c r="BT25" s="691" t="s">
        <v>1570</v>
      </c>
    </row>
    <row r="26" spans="1:72" s="681" customFormat="1" ht="13" hidden="1">
      <c r="A26" s="1545">
        <v>25</v>
      </c>
      <c r="B26" s="1546" t="s">
        <v>651</v>
      </c>
      <c r="C26" s="1546" t="s">
        <v>687</v>
      </c>
      <c r="D26" s="1547" t="s">
        <v>6943</v>
      </c>
      <c r="E26" s="690" t="s">
        <v>653</v>
      </c>
      <c r="F26" s="691"/>
      <c r="G26" s="692"/>
      <c r="H26" s="692"/>
      <c r="I26" s="692"/>
      <c r="J26" s="693"/>
      <c r="K26" s="693"/>
      <c r="L26" s="693"/>
      <c r="M26" s="694"/>
      <c r="N26" s="695"/>
      <c r="O26" s="696" t="s">
        <v>1569</v>
      </c>
      <c r="P26" s="695">
        <f>('Malaria-Key Info'!$G$57*'HPM costs'!F84)/'HPM costs'!$E$84</f>
        <v>0</v>
      </c>
      <c r="Q26" s="695" t="s">
        <v>1569</v>
      </c>
      <c r="R26" s="695">
        <f>('Malaria-Key Info'!$G$57*'HPM costs'!G84)/'HPM costs'!$E$84</f>
        <v>0</v>
      </c>
      <c r="S26" s="695" t="s">
        <v>1569</v>
      </c>
      <c r="T26" s="695">
        <f>('Malaria-Key Info'!$G$57*'HPM costs'!H84)/'HPM costs'!$E$84</f>
        <v>0</v>
      </c>
      <c r="U26" s="695" t="s">
        <v>1569</v>
      </c>
      <c r="V26" s="695">
        <f>('Malaria-Key Info'!$G$57*'HPM costs'!I84)/'HPM costs'!$E$84</f>
        <v>0</v>
      </c>
      <c r="W26" s="695"/>
      <c r="X26" s="1492">
        <f t="shared" si="0"/>
        <v>0</v>
      </c>
      <c r="Y26" s="1493"/>
      <c r="Z26" s="1494"/>
      <c r="AA26" s="699"/>
      <c r="AB26" s="695"/>
      <c r="AC26" s="695">
        <f>('Malaria-Key Info'!$G$57*'HPM costs'!K84)/'HPM costs'!$E$84</f>
        <v>0</v>
      </c>
      <c r="AD26" s="695"/>
      <c r="AE26" s="695">
        <f>('Malaria-Key Info'!$G$57*'HPM costs'!L84)/'HPM costs'!$E$84</f>
        <v>0</v>
      </c>
      <c r="AF26" s="695"/>
      <c r="AG26" s="695">
        <f>('Malaria-Key Info'!$G$57*'HPM costs'!M84)/'HPM costs'!$E$84</f>
        <v>0</v>
      </c>
      <c r="AH26" s="695"/>
      <c r="AI26" s="695">
        <f>('Malaria-Key Info'!$G$57*'HPM costs'!N84)/'HPM costs'!$E$84</f>
        <v>0</v>
      </c>
      <c r="AJ26" s="695"/>
      <c r="AK26" s="1492">
        <f t="shared" si="1"/>
        <v>0</v>
      </c>
      <c r="AL26" s="1493"/>
      <c r="AM26" s="1494"/>
      <c r="AN26" s="699"/>
      <c r="AO26" s="695"/>
      <c r="AP26" s="695">
        <f>('Malaria-Key Info'!$G$57*'HPM costs'!P84)/'HPM costs'!$E$84</f>
        <v>0</v>
      </c>
      <c r="AQ26" s="695"/>
      <c r="AR26" s="695">
        <f>('Malaria-Key Info'!$G$57*'HPM costs'!Q84)/'HPM costs'!$E$84</f>
        <v>0</v>
      </c>
      <c r="AS26" s="695"/>
      <c r="AT26" s="695">
        <f>('Malaria-Key Info'!$G$57*'HPM costs'!R84)/'HPM costs'!$E$84</f>
        <v>0</v>
      </c>
      <c r="AU26" s="695"/>
      <c r="AV26" s="695">
        <f>('Malaria-Key Info'!$G$57*'HPM costs'!S84)/'HPM costs'!$E$84</f>
        <v>0</v>
      </c>
      <c r="AW26" s="695"/>
      <c r="AX26" s="1492">
        <f t="shared" si="2"/>
        <v>0</v>
      </c>
      <c r="AY26" s="1492"/>
      <c r="AZ26" s="698"/>
      <c r="BA26" s="699"/>
      <c r="BB26" s="697"/>
      <c r="BC26" s="697">
        <v>0</v>
      </c>
      <c r="BD26" s="697">
        <v>0</v>
      </c>
      <c r="BE26" s="697">
        <v>0</v>
      </c>
      <c r="BF26" s="697">
        <v>0</v>
      </c>
      <c r="BG26" s="697">
        <v>0</v>
      </c>
      <c r="BH26" s="697">
        <v>0</v>
      </c>
      <c r="BI26" s="697">
        <v>0</v>
      </c>
      <c r="BJ26" s="697">
        <v>0</v>
      </c>
      <c r="BK26" s="1492">
        <f t="shared" si="3"/>
        <v>0</v>
      </c>
      <c r="BL26" s="1492"/>
      <c r="BM26" s="1492">
        <f t="shared" si="4"/>
        <v>0</v>
      </c>
      <c r="BN26" s="1492">
        <f t="shared" si="5"/>
        <v>0</v>
      </c>
      <c r="BO26" s="697"/>
      <c r="BP26" s="697"/>
      <c r="BQ26" s="1495">
        <v>0</v>
      </c>
      <c r="BR26" s="1495" t="s">
        <v>19</v>
      </c>
      <c r="BS26" s="1495" t="s">
        <v>6943</v>
      </c>
      <c r="BT26" s="691" t="s">
        <v>688</v>
      </c>
    </row>
    <row r="27" spans="1:72" s="681" customFormat="1" ht="13" hidden="1">
      <c r="A27" s="1545">
        <v>26</v>
      </c>
      <c r="B27" s="1546" t="s">
        <v>651</v>
      </c>
      <c r="C27" s="1546" t="s">
        <v>687</v>
      </c>
      <c r="D27" s="1547" t="s">
        <v>655</v>
      </c>
      <c r="E27" s="690" t="s">
        <v>656</v>
      </c>
      <c r="F27" s="691"/>
      <c r="G27" s="692"/>
      <c r="H27" s="692"/>
      <c r="I27" s="692"/>
      <c r="J27" s="693"/>
      <c r="K27" s="693"/>
      <c r="L27" s="693"/>
      <c r="M27" s="694"/>
      <c r="N27" s="695"/>
      <c r="O27" s="696" t="s">
        <v>1569</v>
      </c>
      <c r="P27" s="695">
        <f>'Malaria-Key Info'!$G$57*'HPM costs'!F84</f>
        <v>0</v>
      </c>
      <c r="Q27" s="695" t="s">
        <v>1569</v>
      </c>
      <c r="R27" s="695">
        <f>'Malaria-Key Info'!$G$57*'HPM costs'!G84</f>
        <v>0</v>
      </c>
      <c r="S27" s="695" t="s">
        <v>1569</v>
      </c>
      <c r="T27" s="695">
        <f>'Malaria-Key Info'!$G$57*'HPM costs'!H84</f>
        <v>0</v>
      </c>
      <c r="U27" s="695" t="s">
        <v>1569</v>
      </c>
      <c r="V27" s="695">
        <f>'Malaria-Key Info'!$G$57*'HPM costs'!I84</f>
        <v>0</v>
      </c>
      <c r="W27" s="695"/>
      <c r="X27" s="1492">
        <f t="shared" si="0"/>
        <v>0</v>
      </c>
      <c r="Y27" s="1493"/>
      <c r="Z27" s="1494"/>
      <c r="AA27" s="699"/>
      <c r="AB27" s="695"/>
      <c r="AC27" s="695">
        <f>'Malaria-Key Info'!$G$57*'HPM costs'!K84</f>
        <v>0</v>
      </c>
      <c r="AD27" s="695"/>
      <c r="AE27" s="695">
        <f>'Malaria-Key Info'!$G$57*'HPM costs'!L84</f>
        <v>0</v>
      </c>
      <c r="AF27" s="695"/>
      <c r="AG27" s="695">
        <f>'Malaria-Key Info'!$G$57*'HPM costs'!M84</f>
        <v>0</v>
      </c>
      <c r="AH27" s="695"/>
      <c r="AI27" s="695">
        <f>'Malaria-Key Info'!$G$57*'HPM costs'!N84</f>
        <v>0</v>
      </c>
      <c r="AJ27" s="695"/>
      <c r="AK27" s="1492">
        <f t="shared" si="1"/>
        <v>0</v>
      </c>
      <c r="AL27" s="1493"/>
      <c r="AM27" s="1494"/>
      <c r="AN27" s="699"/>
      <c r="AO27" s="695"/>
      <c r="AP27" s="695">
        <f>'Malaria-Key Info'!$G$57*'HPM costs'!P84</f>
        <v>0</v>
      </c>
      <c r="AQ27" s="695"/>
      <c r="AR27" s="695">
        <f>'Malaria-Key Info'!$G$57*'HPM costs'!Q84</f>
        <v>0</v>
      </c>
      <c r="AS27" s="695"/>
      <c r="AT27" s="695">
        <f>'Malaria-Key Info'!$G$57*'HPM costs'!R84</f>
        <v>0</v>
      </c>
      <c r="AU27" s="695"/>
      <c r="AV27" s="695">
        <f>'Malaria-Key Info'!$G$57*'HPM costs'!S84</f>
        <v>0</v>
      </c>
      <c r="AW27" s="695"/>
      <c r="AX27" s="1492">
        <f t="shared" si="2"/>
        <v>0</v>
      </c>
      <c r="AY27" s="1492"/>
      <c r="AZ27" s="698"/>
      <c r="BA27" s="699"/>
      <c r="BB27" s="697"/>
      <c r="BC27" s="697">
        <v>0</v>
      </c>
      <c r="BD27" s="697">
        <v>0</v>
      </c>
      <c r="BE27" s="697">
        <v>0</v>
      </c>
      <c r="BF27" s="697">
        <v>0</v>
      </c>
      <c r="BG27" s="697">
        <v>0</v>
      </c>
      <c r="BH27" s="697">
        <v>0</v>
      </c>
      <c r="BI27" s="697">
        <v>0</v>
      </c>
      <c r="BJ27" s="697">
        <v>0</v>
      </c>
      <c r="BK27" s="1492">
        <f t="shared" si="3"/>
        <v>0</v>
      </c>
      <c r="BL27" s="1492"/>
      <c r="BM27" s="1492">
        <f t="shared" si="4"/>
        <v>0</v>
      </c>
      <c r="BN27" s="1492">
        <f t="shared" si="5"/>
        <v>0</v>
      </c>
      <c r="BO27" s="697"/>
      <c r="BP27" s="697"/>
      <c r="BQ27" s="1495">
        <v>0</v>
      </c>
      <c r="BR27" s="1495" t="s">
        <v>19</v>
      </c>
      <c r="BS27" s="1495" t="s">
        <v>655</v>
      </c>
      <c r="BT27" s="691" t="s">
        <v>689</v>
      </c>
    </row>
    <row r="28" spans="1:72" s="681" customFormat="1" ht="13" hidden="1">
      <c r="A28" s="1545">
        <v>27</v>
      </c>
      <c r="B28" s="1546" t="s">
        <v>651</v>
      </c>
      <c r="C28" s="1546" t="s">
        <v>687</v>
      </c>
      <c r="D28" s="1547" t="s">
        <v>655</v>
      </c>
      <c r="E28" s="690" t="s">
        <v>658</v>
      </c>
      <c r="F28" s="691"/>
      <c r="G28" s="692"/>
      <c r="H28" s="692"/>
      <c r="I28" s="692"/>
      <c r="J28" s="693"/>
      <c r="K28" s="693"/>
      <c r="L28" s="693"/>
      <c r="M28" s="694"/>
      <c r="N28" s="695"/>
      <c r="O28" s="696" t="s">
        <v>1569</v>
      </c>
      <c r="P28" s="695">
        <f>'Malaria-Key Info'!$G$57*'HPM costs'!F170</f>
        <v>0</v>
      </c>
      <c r="Q28" s="695" t="s">
        <v>1569</v>
      </c>
      <c r="R28" s="695">
        <f>'Malaria-Key Info'!$G$57*'HPM costs'!G170</f>
        <v>0</v>
      </c>
      <c r="S28" s="695" t="s">
        <v>1569</v>
      </c>
      <c r="T28" s="695">
        <f>'Malaria-Key Info'!$G$57*'HPM costs'!H170</f>
        <v>0</v>
      </c>
      <c r="U28" s="695" t="s">
        <v>1569</v>
      </c>
      <c r="V28" s="695">
        <f>'Malaria-Key Info'!$G$57*'HPM costs'!I170</f>
        <v>0</v>
      </c>
      <c r="W28" s="695"/>
      <c r="X28" s="1492">
        <f t="shared" si="0"/>
        <v>0</v>
      </c>
      <c r="Y28" s="1493"/>
      <c r="Z28" s="1494"/>
      <c r="AA28" s="699"/>
      <c r="AB28" s="695"/>
      <c r="AC28" s="695">
        <f>'Malaria-Key Info'!$G$57*'HPM costs'!K170</f>
        <v>0</v>
      </c>
      <c r="AD28" s="695"/>
      <c r="AE28" s="695">
        <f>'Malaria-Key Info'!$G$57*'HPM costs'!L170</f>
        <v>0</v>
      </c>
      <c r="AF28" s="695"/>
      <c r="AG28" s="695">
        <f>'Malaria-Key Info'!$G$57*'HPM costs'!M170</f>
        <v>0</v>
      </c>
      <c r="AH28" s="695"/>
      <c r="AI28" s="695">
        <f>'Malaria-Key Info'!$G$57*'HPM costs'!N170</f>
        <v>0</v>
      </c>
      <c r="AJ28" s="695"/>
      <c r="AK28" s="1492">
        <f t="shared" si="1"/>
        <v>0</v>
      </c>
      <c r="AL28" s="1493"/>
      <c r="AM28" s="1494"/>
      <c r="AN28" s="699"/>
      <c r="AO28" s="695"/>
      <c r="AP28" s="695">
        <f>'Malaria-Key Info'!$G$57*'HPM costs'!P170</f>
        <v>0</v>
      </c>
      <c r="AQ28" s="695"/>
      <c r="AR28" s="695">
        <f>'Malaria-Key Info'!$G$57*'HPM costs'!Q170</f>
        <v>0</v>
      </c>
      <c r="AS28" s="695"/>
      <c r="AT28" s="695">
        <f>'Malaria-Key Info'!$G$57*'HPM costs'!R170</f>
        <v>0</v>
      </c>
      <c r="AU28" s="695"/>
      <c r="AV28" s="695">
        <f>'Malaria-Key Info'!$G$57*'HPM costs'!S170</f>
        <v>0</v>
      </c>
      <c r="AW28" s="695"/>
      <c r="AX28" s="1492">
        <f t="shared" si="2"/>
        <v>0</v>
      </c>
      <c r="AY28" s="1492"/>
      <c r="AZ28" s="698"/>
      <c r="BA28" s="699"/>
      <c r="BB28" s="697"/>
      <c r="BC28" s="697">
        <v>0</v>
      </c>
      <c r="BD28" s="697">
        <v>0</v>
      </c>
      <c r="BE28" s="697">
        <v>0</v>
      </c>
      <c r="BF28" s="697">
        <v>0</v>
      </c>
      <c r="BG28" s="697">
        <v>0</v>
      </c>
      <c r="BH28" s="697">
        <v>0</v>
      </c>
      <c r="BI28" s="697">
        <v>0</v>
      </c>
      <c r="BJ28" s="697">
        <v>0</v>
      </c>
      <c r="BK28" s="1492">
        <f t="shared" si="3"/>
        <v>0</v>
      </c>
      <c r="BL28" s="1492"/>
      <c r="BM28" s="1492">
        <f t="shared" si="4"/>
        <v>0</v>
      </c>
      <c r="BN28" s="1492">
        <f t="shared" si="5"/>
        <v>0</v>
      </c>
      <c r="BO28" s="697"/>
      <c r="BP28" s="697"/>
      <c r="BQ28" s="1495">
        <v>0</v>
      </c>
      <c r="BR28" s="1495" t="s">
        <v>19</v>
      </c>
      <c r="BS28" s="1495" t="s">
        <v>655</v>
      </c>
      <c r="BT28" s="691" t="s">
        <v>690</v>
      </c>
    </row>
    <row r="29" spans="1:72" s="681" customFormat="1" ht="13" hidden="1">
      <c r="A29" s="1545">
        <v>28</v>
      </c>
      <c r="B29" s="1546" t="s">
        <v>651</v>
      </c>
      <c r="C29" s="1546" t="s">
        <v>687</v>
      </c>
      <c r="D29" s="1547" t="s">
        <v>655</v>
      </c>
      <c r="E29" s="690" t="s">
        <v>660</v>
      </c>
      <c r="F29" s="691"/>
      <c r="G29" s="692"/>
      <c r="H29" s="692"/>
      <c r="I29" s="692"/>
      <c r="J29" s="693"/>
      <c r="K29" s="693"/>
      <c r="L29" s="693"/>
      <c r="M29" s="694"/>
      <c r="N29" s="695"/>
      <c r="O29" s="696" t="s">
        <v>1569</v>
      </c>
      <c r="P29" s="695">
        <f>'Malaria-Key Info'!$G$57*'HPM costs'!F430</f>
        <v>0</v>
      </c>
      <c r="Q29" s="695" t="s">
        <v>1569</v>
      </c>
      <c r="R29" s="695">
        <f>'Malaria-Key Info'!$G$57*'HPM costs'!G430</f>
        <v>0</v>
      </c>
      <c r="S29" s="695" t="s">
        <v>1569</v>
      </c>
      <c r="T29" s="695">
        <f>'Malaria-Key Info'!$G$57*'HPM costs'!H430</f>
        <v>0</v>
      </c>
      <c r="U29" s="695" t="s">
        <v>1569</v>
      </c>
      <c r="V29" s="695">
        <f>'Malaria-Key Info'!$G$57*'HPM costs'!I430</f>
        <v>0</v>
      </c>
      <c r="W29" s="695"/>
      <c r="X29" s="1492">
        <f t="shared" si="0"/>
        <v>0</v>
      </c>
      <c r="Y29" s="1493"/>
      <c r="Z29" s="1494"/>
      <c r="AA29" s="699"/>
      <c r="AB29" s="695"/>
      <c r="AC29" s="695">
        <f>'Malaria-Key Info'!$G$57*'HPM costs'!K430</f>
        <v>0</v>
      </c>
      <c r="AD29" s="695"/>
      <c r="AE29" s="695">
        <f>'Malaria-Key Info'!$G$57*'HPM costs'!L430</f>
        <v>0</v>
      </c>
      <c r="AF29" s="695"/>
      <c r="AG29" s="695">
        <f>'Malaria-Key Info'!$G$57*'HPM costs'!M430</f>
        <v>0</v>
      </c>
      <c r="AH29" s="695"/>
      <c r="AI29" s="695">
        <f>'Malaria-Key Info'!$G$57*'HPM costs'!N430</f>
        <v>0</v>
      </c>
      <c r="AJ29" s="695"/>
      <c r="AK29" s="1492">
        <f t="shared" si="1"/>
        <v>0</v>
      </c>
      <c r="AL29" s="1493"/>
      <c r="AM29" s="1494"/>
      <c r="AN29" s="699"/>
      <c r="AO29" s="695"/>
      <c r="AP29" s="695">
        <f>'Malaria-Key Info'!$G$57*'HPM costs'!P430</f>
        <v>0</v>
      </c>
      <c r="AQ29" s="695"/>
      <c r="AR29" s="695">
        <f>'Malaria-Key Info'!$G$57*'HPM costs'!Q430</f>
        <v>0</v>
      </c>
      <c r="AS29" s="695"/>
      <c r="AT29" s="695">
        <f>'Malaria-Key Info'!$G$57*'HPM costs'!R430</f>
        <v>0</v>
      </c>
      <c r="AU29" s="695"/>
      <c r="AV29" s="695">
        <f>'Malaria-Key Info'!$G$57*'HPM costs'!S430</f>
        <v>0</v>
      </c>
      <c r="AW29" s="695"/>
      <c r="AX29" s="1492">
        <f t="shared" si="2"/>
        <v>0</v>
      </c>
      <c r="AY29" s="1492"/>
      <c r="AZ29" s="698"/>
      <c r="BA29" s="699"/>
      <c r="BB29" s="697"/>
      <c r="BC29" s="697">
        <v>0</v>
      </c>
      <c r="BD29" s="697">
        <v>0</v>
      </c>
      <c r="BE29" s="697">
        <v>0</v>
      </c>
      <c r="BF29" s="697">
        <v>0</v>
      </c>
      <c r="BG29" s="697">
        <v>0</v>
      </c>
      <c r="BH29" s="697">
        <v>0</v>
      </c>
      <c r="BI29" s="697">
        <v>0</v>
      </c>
      <c r="BJ29" s="697">
        <v>0</v>
      </c>
      <c r="BK29" s="1492">
        <f t="shared" si="3"/>
        <v>0</v>
      </c>
      <c r="BL29" s="1492"/>
      <c r="BM29" s="1492">
        <f t="shared" si="4"/>
        <v>0</v>
      </c>
      <c r="BN29" s="1492">
        <f t="shared" si="5"/>
        <v>0</v>
      </c>
      <c r="BO29" s="697"/>
      <c r="BP29" s="697"/>
      <c r="BQ29" s="1495">
        <v>0</v>
      </c>
      <c r="BR29" s="1495" t="s">
        <v>19</v>
      </c>
      <c r="BS29" s="1495" t="s">
        <v>655</v>
      </c>
      <c r="BT29" s="691" t="s">
        <v>691</v>
      </c>
    </row>
    <row r="30" spans="1:72" s="681" customFormat="1" ht="13" hidden="1">
      <c r="A30" s="1545">
        <v>29</v>
      </c>
      <c r="B30" s="1546" t="s">
        <v>651</v>
      </c>
      <c r="C30" s="1546" t="s">
        <v>687</v>
      </c>
      <c r="D30" s="1547" t="s">
        <v>655</v>
      </c>
      <c r="E30" s="690" t="s">
        <v>662</v>
      </c>
      <c r="F30" s="691"/>
      <c r="G30" s="692"/>
      <c r="H30" s="692"/>
      <c r="I30" s="692"/>
      <c r="J30" s="693"/>
      <c r="K30" s="693"/>
      <c r="L30" s="693"/>
      <c r="M30" s="694"/>
      <c r="N30" s="695"/>
      <c r="O30" s="696" t="s">
        <v>1569</v>
      </c>
      <c r="P30" s="695">
        <f>'Malaria-Key Info'!$G$57*'HPM costs'!F516</f>
        <v>0</v>
      </c>
      <c r="Q30" s="695" t="s">
        <v>1569</v>
      </c>
      <c r="R30" s="695">
        <f>'Malaria-Key Info'!$G$57*'HPM costs'!G516</f>
        <v>0</v>
      </c>
      <c r="S30" s="695" t="s">
        <v>1569</v>
      </c>
      <c r="T30" s="695">
        <f>'Malaria-Key Info'!$G$57*'HPM costs'!H516</f>
        <v>0</v>
      </c>
      <c r="U30" s="695" t="s">
        <v>1569</v>
      </c>
      <c r="V30" s="695">
        <f>'Malaria-Key Info'!$G$57*'HPM costs'!I516</f>
        <v>0</v>
      </c>
      <c r="W30" s="695"/>
      <c r="X30" s="1492">
        <f t="shared" si="0"/>
        <v>0</v>
      </c>
      <c r="Y30" s="1493"/>
      <c r="Z30" s="1494"/>
      <c r="AA30" s="699"/>
      <c r="AB30" s="695"/>
      <c r="AC30" s="695">
        <f>'Malaria-Key Info'!$G$57*'HPM costs'!K516</f>
        <v>0</v>
      </c>
      <c r="AD30" s="695"/>
      <c r="AE30" s="695">
        <f>'Malaria-Key Info'!$G$57*'HPM costs'!L516</f>
        <v>0</v>
      </c>
      <c r="AF30" s="695"/>
      <c r="AG30" s="695">
        <f>'Malaria-Key Info'!$G$57*'HPM costs'!M516</f>
        <v>0</v>
      </c>
      <c r="AH30" s="695"/>
      <c r="AI30" s="695">
        <f>'Malaria-Key Info'!$G$57*'HPM costs'!N516</f>
        <v>0</v>
      </c>
      <c r="AJ30" s="695"/>
      <c r="AK30" s="1492">
        <f t="shared" si="1"/>
        <v>0</v>
      </c>
      <c r="AL30" s="1493"/>
      <c r="AM30" s="1494"/>
      <c r="AN30" s="699"/>
      <c r="AO30" s="695"/>
      <c r="AP30" s="695">
        <f>'Malaria-Key Info'!$G$57*'HPM costs'!P516</f>
        <v>0</v>
      </c>
      <c r="AQ30" s="695"/>
      <c r="AR30" s="695">
        <f>'Malaria-Key Info'!$G$57*'HPM costs'!Q516</f>
        <v>0</v>
      </c>
      <c r="AS30" s="695"/>
      <c r="AT30" s="695">
        <f>'Malaria-Key Info'!$G$57*'HPM costs'!R516</f>
        <v>0</v>
      </c>
      <c r="AU30" s="695"/>
      <c r="AV30" s="695">
        <f>'Malaria-Key Info'!$G$57*'HPM costs'!S516</f>
        <v>0</v>
      </c>
      <c r="AW30" s="695"/>
      <c r="AX30" s="1492">
        <f t="shared" si="2"/>
        <v>0</v>
      </c>
      <c r="AY30" s="1492"/>
      <c r="AZ30" s="698"/>
      <c r="BA30" s="699"/>
      <c r="BB30" s="697"/>
      <c r="BC30" s="697">
        <v>0</v>
      </c>
      <c r="BD30" s="697">
        <v>0</v>
      </c>
      <c r="BE30" s="697">
        <v>0</v>
      </c>
      <c r="BF30" s="697">
        <v>0</v>
      </c>
      <c r="BG30" s="697">
        <v>0</v>
      </c>
      <c r="BH30" s="697">
        <v>0</v>
      </c>
      <c r="BI30" s="697">
        <v>0</v>
      </c>
      <c r="BJ30" s="697">
        <v>0</v>
      </c>
      <c r="BK30" s="1492">
        <f t="shared" si="3"/>
        <v>0</v>
      </c>
      <c r="BL30" s="1492"/>
      <c r="BM30" s="1492">
        <f t="shared" si="4"/>
        <v>0</v>
      </c>
      <c r="BN30" s="1492">
        <f t="shared" si="5"/>
        <v>0</v>
      </c>
      <c r="BO30" s="697"/>
      <c r="BP30" s="697"/>
      <c r="BQ30" s="1495">
        <v>0</v>
      </c>
      <c r="BR30" s="1495" t="s">
        <v>19</v>
      </c>
      <c r="BS30" s="1495" t="s">
        <v>655</v>
      </c>
      <c r="BT30" s="691" t="s">
        <v>692</v>
      </c>
    </row>
    <row r="31" spans="1:72" s="681" customFormat="1" ht="13" hidden="1">
      <c r="A31" s="1545">
        <v>30</v>
      </c>
      <c r="B31" s="1546" t="s">
        <v>651</v>
      </c>
      <c r="C31" s="1546" t="s">
        <v>687</v>
      </c>
      <c r="D31" s="1547" t="s">
        <v>655</v>
      </c>
      <c r="E31" s="690" t="s">
        <v>664</v>
      </c>
      <c r="F31" s="691"/>
      <c r="G31" s="692"/>
      <c r="H31" s="692"/>
      <c r="I31" s="692"/>
      <c r="J31" s="693"/>
      <c r="K31" s="693"/>
      <c r="L31" s="693"/>
      <c r="M31" s="694"/>
      <c r="N31" s="695"/>
      <c r="O31" s="696" t="s">
        <v>1569</v>
      </c>
      <c r="P31" s="695">
        <f>'Malaria-Key Info'!$G$57*('HPM costs'!F256+'HPM costs'!F602)</f>
        <v>0</v>
      </c>
      <c r="Q31" s="695" t="s">
        <v>1569</v>
      </c>
      <c r="R31" s="695">
        <f>'Malaria-Key Info'!$G$57*('HPM costs'!G256+'HPM costs'!G602)</f>
        <v>0</v>
      </c>
      <c r="S31" s="695" t="s">
        <v>1569</v>
      </c>
      <c r="T31" s="695">
        <f>'Malaria-Key Info'!$G$57*('HPM costs'!H256+'HPM costs'!H602)</f>
        <v>0</v>
      </c>
      <c r="U31" s="695" t="s">
        <v>1569</v>
      </c>
      <c r="V31" s="695">
        <f>'Malaria-Key Info'!$G$57*('HPM costs'!I256+'HPM costs'!I602)</f>
        <v>0</v>
      </c>
      <c r="W31" s="695"/>
      <c r="X31" s="1492">
        <f t="shared" si="0"/>
        <v>0</v>
      </c>
      <c r="Y31" s="1493"/>
      <c r="Z31" s="1494"/>
      <c r="AA31" s="699"/>
      <c r="AB31" s="695"/>
      <c r="AC31" s="695">
        <f>'Malaria-Key Info'!$G$57*('HPM costs'!K256+'HPM costs'!K602)</f>
        <v>0</v>
      </c>
      <c r="AD31" s="695"/>
      <c r="AE31" s="695">
        <f>'Malaria-Key Info'!$G$57*('HPM costs'!L256+'HPM costs'!L602)</f>
        <v>0</v>
      </c>
      <c r="AF31" s="695"/>
      <c r="AG31" s="695">
        <f>'Malaria-Key Info'!$G$57*('HPM costs'!M256+'HPM costs'!M602)</f>
        <v>0</v>
      </c>
      <c r="AH31" s="695"/>
      <c r="AI31" s="695">
        <f>'Malaria-Key Info'!$G$57*('HPM costs'!N256+'HPM costs'!N602)</f>
        <v>0</v>
      </c>
      <c r="AJ31" s="695"/>
      <c r="AK31" s="1492">
        <f t="shared" si="1"/>
        <v>0</v>
      </c>
      <c r="AL31" s="1493"/>
      <c r="AM31" s="1494"/>
      <c r="AN31" s="699"/>
      <c r="AO31" s="695"/>
      <c r="AP31" s="695">
        <f>'Malaria-Key Info'!$G$57*('HPM costs'!P256+'HPM costs'!P602)</f>
        <v>0</v>
      </c>
      <c r="AQ31" s="695"/>
      <c r="AR31" s="695">
        <f>'Malaria-Key Info'!$G$57*('HPM costs'!Q256+'HPM costs'!Q602)</f>
        <v>0</v>
      </c>
      <c r="AS31" s="695"/>
      <c r="AT31" s="695">
        <f>'Malaria-Key Info'!$G$57*('HPM costs'!R256+'HPM costs'!R602)</f>
        <v>0</v>
      </c>
      <c r="AU31" s="695"/>
      <c r="AV31" s="695">
        <f>'Malaria-Key Info'!$G$57*('HPM costs'!S256+'HPM costs'!S602)</f>
        <v>0</v>
      </c>
      <c r="AW31" s="695"/>
      <c r="AX31" s="1492">
        <f t="shared" si="2"/>
        <v>0</v>
      </c>
      <c r="AY31" s="1492"/>
      <c r="AZ31" s="698"/>
      <c r="BA31" s="699"/>
      <c r="BB31" s="697"/>
      <c r="BC31" s="697">
        <v>0</v>
      </c>
      <c r="BD31" s="697">
        <v>0</v>
      </c>
      <c r="BE31" s="697">
        <v>0</v>
      </c>
      <c r="BF31" s="697">
        <v>0</v>
      </c>
      <c r="BG31" s="697">
        <v>0</v>
      </c>
      <c r="BH31" s="697">
        <v>0</v>
      </c>
      <c r="BI31" s="697">
        <v>0</v>
      </c>
      <c r="BJ31" s="697">
        <v>0</v>
      </c>
      <c r="BK31" s="1492">
        <f t="shared" si="3"/>
        <v>0</v>
      </c>
      <c r="BL31" s="1492"/>
      <c r="BM31" s="1492">
        <f t="shared" si="4"/>
        <v>0</v>
      </c>
      <c r="BN31" s="1492">
        <f t="shared" si="5"/>
        <v>0</v>
      </c>
      <c r="BO31" s="697"/>
      <c r="BP31" s="697"/>
      <c r="BQ31" s="1495">
        <v>0</v>
      </c>
      <c r="BR31" s="1495" t="s">
        <v>19</v>
      </c>
      <c r="BS31" s="1495" t="s">
        <v>655</v>
      </c>
      <c r="BT31" s="691" t="s">
        <v>693</v>
      </c>
    </row>
    <row r="32" spans="1:72" s="681" customFormat="1" ht="13" hidden="1">
      <c r="A32" s="1545">
        <v>31</v>
      </c>
      <c r="B32" s="1546" t="s">
        <v>651</v>
      </c>
      <c r="C32" s="1546" t="s">
        <v>687</v>
      </c>
      <c r="D32" s="1547" t="s">
        <v>655</v>
      </c>
      <c r="E32" s="690" t="s">
        <v>666</v>
      </c>
      <c r="F32" s="691"/>
      <c r="G32" s="692"/>
      <c r="H32" s="692"/>
      <c r="I32" s="692"/>
      <c r="J32" s="693"/>
      <c r="K32" s="693"/>
      <c r="L32" s="693"/>
      <c r="M32" s="694"/>
      <c r="N32" s="695"/>
      <c r="O32" s="696" t="s">
        <v>1569</v>
      </c>
      <c r="P32" s="695">
        <f>'Malaria-Key Info'!$G$57*'HPM costs'!F342</f>
        <v>0</v>
      </c>
      <c r="Q32" s="695" t="s">
        <v>1569</v>
      </c>
      <c r="R32" s="695">
        <f>'Malaria-Key Info'!$G$57*'HPM costs'!G342</f>
        <v>0</v>
      </c>
      <c r="S32" s="695" t="s">
        <v>1569</v>
      </c>
      <c r="T32" s="695">
        <f>'Malaria-Key Info'!$G$57*'HPM costs'!H342</f>
        <v>0</v>
      </c>
      <c r="U32" s="695" t="s">
        <v>1569</v>
      </c>
      <c r="V32" s="695">
        <f>'Malaria-Key Info'!$G$57*'HPM costs'!I342</f>
        <v>0</v>
      </c>
      <c r="W32" s="695"/>
      <c r="X32" s="1492">
        <f t="shared" si="0"/>
        <v>0</v>
      </c>
      <c r="Y32" s="1493"/>
      <c r="Z32" s="1494"/>
      <c r="AA32" s="699"/>
      <c r="AB32" s="695"/>
      <c r="AC32" s="695">
        <f>'Malaria-Key Info'!$G$57*'HPM costs'!K342</f>
        <v>0</v>
      </c>
      <c r="AD32" s="695"/>
      <c r="AE32" s="695">
        <f>'Malaria-Key Info'!$G$57*'HPM costs'!L342</f>
        <v>0</v>
      </c>
      <c r="AF32" s="695"/>
      <c r="AG32" s="695">
        <f>'Malaria-Key Info'!$G$57*'HPM costs'!M342</f>
        <v>0</v>
      </c>
      <c r="AH32" s="695"/>
      <c r="AI32" s="695">
        <f>'Malaria-Key Info'!$G$57*'HPM costs'!N342</f>
        <v>0</v>
      </c>
      <c r="AJ32" s="695"/>
      <c r="AK32" s="1492">
        <f t="shared" si="1"/>
        <v>0</v>
      </c>
      <c r="AL32" s="1493"/>
      <c r="AM32" s="1494"/>
      <c r="AN32" s="699"/>
      <c r="AO32" s="695"/>
      <c r="AP32" s="695">
        <f>'Malaria-Key Info'!$G$57*'HPM costs'!P342</f>
        <v>0</v>
      </c>
      <c r="AQ32" s="695"/>
      <c r="AR32" s="695">
        <f>'Malaria-Key Info'!$G$57*'HPM costs'!Q342</f>
        <v>0</v>
      </c>
      <c r="AS32" s="695"/>
      <c r="AT32" s="695">
        <f>'Malaria-Key Info'!$G$57*'HPM costs'!R342</f>
        <v>0</v>
      </c>
      <c r="AU32" s="695"/>
      <c r="AV32" s="695">
        <f>'Malaria-Key Info'!$G$57*'HPM costs'!S342</f>
        <v>0</v>
      </c>
      <c r="AW32" s="695"/>
      <c r="AX32" s="1492">
        <f t="shared" si="2"/>
        <v>0</v>
      </c>
      <c r="AY32" s="1492"/>
      <c r="AZ32" s="698"/>
      <c r="BA32" s="699"/>
      <c r="BB32" s="697"/>
      <c r="BC32" s="697">
        <v>0</v>
      </c>
      <c r="BD32" s="697">
        <v>0</v>
      </c>
      <c r="BE32" s="697">
        <v>0</v>
      </c>
      <c r="BF32" s="697">
        <v>0</v>
      </c>
      <c r="BG32" s="697">
        <v>0</v>
      </c>
      <c r="BH32" s="697">
        <v>0</v>
      </c>
      <c r="BI32" s="697">
        <v>0</v>
      </c>
      <c r="BJ32" s="697">
        <v>0</v>
      </c>
      <c r="BK32" s="1492">
        <f t="shared" si="3"/>
        <v>0</v>
      </c>
      <c r="BL32" s="1492"/>
      <c r="BM32" s="1492">
        <f t="shared" si="4"/>
        <v>0</v>
      </c>
      <c r="BN32" s="1492">
        <f t="shared" si="5"/>
        <v>0</v>
      </c>
      <c r="BO32" s="697"/>
      <c r="BP32" s="697"/>
      <c r="BQ32" s="1495">
        <v>0</v>
      </c>
      <c r="BR32" s="1495" t="s">
        <v>19</v>
      </c>
      <c r="BS32" s="1495" t="s">
        <v>655</v>
      </c>
      <c r="BT32" s="691" t="s">
        <v>694</v>
      </c>
    </row>
    <row r="33" spans="1:72" s="681" customFormat="1" ht="13" hidden="1">
      <c r="A33" s="1545">
        <v>32</v>
      </c>
      <c r="B33" s="1546" t="s">
        <v>651</v>
      </c>
      <c r="C33" s="1546" t="s">
        <v>687</v>
      </c>
      <c r="D33" s="1547" t="s">
        <v>655</v>
      </c>
      <c r="E33" s="690" t="s">
        <v>668</v>
      </c>
      <c r="F33" s="691"/>
      <c r="G33" s="692"/>
      <c r="H33" s="692"/>
      <c r="I33" s="692"/>
      <c r="J33" s="693"/>
      <c r="K33" s="693"/>
      <c r="L33" s="693"/>
      <c r="M33" s="694"/>
      <c r="N33" s="695"/>
      <c r="O33" s="696" t="s">
        <v>1569</v>
      </c>
      <c r="P33" s="695">
        <f>'Malaria-Key Info'!$G$57*'HPM costs'!F687</f>
        <v>0</v>
      </c>
      <c r="Q33" s="695" t="s">
        <v>1569</v>
      </c>
      <c r="R33" s="695">
        <f>'Malaria-Key Info'!$G$57*'HPM costs'!G687</f>
        <v>0</v>
      </c>
      <c r="S33" s="695" t="s">
        <v>1569</v>
      </c>
      <c r="T33" s="695">
        <f>'Malaria-Key Info'!$G$57*'HPM costs'!H687</f>
        <v>0</v>
      </c>
      <c r="U33" s="695" t="s">
        <v>1569</v>
      </c>
      <c r="V33" s="695">
        <f>'Malaria-Key Info'!$G$57*'HPM costs'!I687</f>
        <v>0</v>
      </c>
      <c r="W33" s="695"/>
      <c r="X33" s="1492">
        <f t="shared" si="0"/>
        <v>0</v>
      </c>
      <c r="Y33" s="1493"/>
      <c r="Z33" s="1494"/>
      <c r="AA33" s="699"/>
      <c r="AB33" s="695"/>
      <c r="AC33" s="695">
        <f>'Malaria-Key Info'!$G$57*'HPM costs'!K687</f>
        <v>0</v>
      </c>
      <c r="AD33" s="695"/>
      <c r="AE33" s="695">
        <f>'Malaria-Key Info'!$G$57*'HPM costs'!L687</f>
        <v>0</v>
      </c>
      <c r="AF33" s="695"/>
      <c r="AG33" s="695">
        <f>'Malaria-Key Info'!$G$57*'HPM costs'!M687</f>
        <v>0</v>
      </c>
      <c r="AH33" s="695"/>
      <c r="AI33" s="695">
        <f>'Malaria-Key Info'!$G$57*'HPM costs'!N687</f>
        <v>0</v>
      </c>
      <c r="AJ33" s="695"/>
      <c r="AK33" s="1492">
        <f t="shared" si="1"/>
        <v>0</v>
      </c>
      <c r="AL33" s="1493"/>
      <c r="AM33" s="1494"/>
      <c r="AN33" s="699"/>
      <c r="AO33" s="695"/>
      <c r="AP33" s="695">
        <f>'Malaria-Key Info'!$G$57*'HPM costs'!P687</f>
        <v>0</v>
      </c>
      <c r="AQ33" s="695"/>
      <c r="AR33" s="695">
        <f>'Malaria-Key Info'!$G$57*'HPM costs'!Q687</f>
        <v>0</v>
      </c>
      <c r="AS33" s="695"/>
      <c r="AT33" s="695">
        <f>'Malaria-Key Info'!$G$57*'HPM costs'!R687</f>
        <v>0</v>
      </c>
      <c r="AU33" s="695"/>
      <c r="AV33" s="695">
        <f>'Malaria-Key Info'!$G$57*'HPM costs'!S687</f>
        <v>0</v>
      </c>
      <c r="AW33" s="695"/>
      <c r="AX33" s="1492">
        <f t="shared" si="2"/>
        <v>0</v>
      </c>
      <c r="AY33" s="1492"/>
      <c r="AZ33" s="698"/>
      <c r="BA33" s="699"/>
      <c r="BB33" s="697"/>
      <c r="BC33" s="697">
        <v>0</v>
      </c>
      <c r="BD33" s="697">
        <v>0</v>
      </c>
      <c r="BE33" s="697">
        <v>0</v>
      </c>
      <c r="BF33" s="697">
        <v>0</v>
      </c>
      <c r="BG33" s="697">
        <v>0</v>
      </c>
      <c r="BH33" s="697">
        <v>0</v>
      </c>
      <c r="BI33" s="697">
        <v>0</v>
      </c>
      <c r="BJ33" s="697">
        <v>0</v>
      </c>
      <c r="BK33" s="1492">
        <f t="shared" si="3"/>
        <v>0</v>
      </c>
      <c r="BL33" s="1492"/>
      <c r="BM33" s="1492">
        <f t="shared" si="4"/>
        <v>0</v>
      </c>
      <c r="BN33" s="1492">
        <f t="shared" si="5"/>
        <v>0</v>
      </c>
      <c r="BO33" s="697"/>
      <c r="BP33" s="697"/>
      <c r="BQ33" s="1495">
        <v>0</v>
      </c>
      <c r="BR33" s="1495" t="s">
        <v>19</v>
      </c>
      <c r="BS33" s="1495" t="s">
        <v>655</v>
      </c>
      <c r="BT33" s="691" t="s">
        <v>1571</v>
      </c>
    </row>
    <row r="34" spans="1:72" s="681" customFormat="1" ht="13" hidden="1">
      <c r="A34" s="1545">
        <v>33</v>
      </c>
      <c r="B34" s="1546" t="s">
        <v>651</v>
      </c>
      <c r="C34" s="1546" t="s">
        <v>703</v>
      </c>
      <c r="D34" s="1547" t="s">
        <v>6943</v>
      </c>
      <c r="E34" s="690" t="s">
        <v>653</v>
      </c>
      <c r="F34" s="691"/>
      <c r="G34" s="692"/>
      <c r="H34" s="692"/>
      <c r="I34" s="692"/>
      <c r="J34" s="693"/>
      <c r="K34" s="693"/>
      <c r="L34" s="693"/>
      <c r="M34" s="694"/>
      <c r="N34" s="695"/>
      <c r="O34" s="696" t="s">
        <v>1569</v>
      </c>
      <c r="P34" s="695">
        <f>('Malaria-Key Info'!$G$58*'HPM costs'!F84)/'HPM costs'!$E$84</f>
        <v>0</v>
      </c>
      <c r="Q34" s="695" t="s">
        <v>1569</v>
      </c>
      <c r="R34" s="695">
        <f>('Malaria-Key Info'!$G$58*'HPM costs'!G84)/'HPM costs'!$E$84</f>
        <v>0</v>
      </c>
      <c r="S34" s="695" t="s">
        <v>1569</v>
      </c>
      <c r="T34" s="695">
        <f>('Malaria-Key Info'!$G$58*'HPM costs'!H84)/'HPM costs'!$E$84</f>
        <v>0</v>
      </c>
      <c r="U34" s="695" t="s">
        <v>1569</v>
      </c>
      <c r="V34" s="695">
        <f>('Malaria-Key Info'!$G$58*'HPM costs'!I84)/'HPM costs'!$E$84</f>
        <v>0</v>
      </c>
      <c r="W34" s="695"/>
      <c r="X34" s="1492">
        <f t="shared" si="0"/>
        <v>0</v>
      </c>
      <c r="Y34" s="1493"/>
      <c r="Z34" s="1494"/>
      <c r="AA34" s="699"/>
      <c r="AB34" s="695"/>
      <c r="AC34" s="695">
        <f>('Malaria-Key Info'!$G$58*'HPM costs'!K84)/'HPM costs'!$E$84</f>
        <v>0</v>
      </c>
      <c r="AD34" s="695"/>
      <c r="AE34" s="695">
        <f>('Malaria-Key Info'!$G$58*'HPM costs'!L84)/'HPM costs'!$E$84</f>
        <v>0</v>
      </c>
      <c r="AF34" s="695"/>
      <c r="AG34" s="695">
        <f>('Malaria-Key Info'!$G$58*'HPM costs'!M84)/'HPM costs'!$E$84</f>
        <v>0</v>
      </c>
      <c r="AH34" s="695"/>
      <c r="AI34" s="695">
        <f>('Malaria-Key Info'!$G$58*'HPM costs'!N84)/'HPM costs'!$E$84</f>
        <v>0</v>
      </c>
      <c r="AJ34" s="695"/>
      <c r="AK34" s="1492">
        <f t="shared" si="1"/>
        <v>0</v>
      </c>
      <c r="AL34" s="1493"/>
      <c r="AM34" s="1494"/>
      <c r="AN34" s="699"/>
      <c r="AO34" s="695"/>
      <c r="AP34" s="695">
        <f>('Malaria-Key Info'!$G$58*'HPM costs'!P84)/'HPM costs'!$E$84</f>
        <v>0</v>
      </c>
      <c r="AQ34" s="695"/>
      <c r="AR34" s="695">
        <f>('Malaria-Key Info'!$G$58*'HPM costs'!Q84)/'HPM costs'!$E$84</f>
        <v>0</v>
      </c>
      <c r="AS34" s="695"/>
      <c r="AT34" s="695">
        <f>('Malaria-Key Info'!$G$58*'HPM costs'!R84)/'HPM costs'!$E$84</f>
        <v>0</v>
      </c>
      <c r="AU34" s="695"/>
      <c r="AV34" s="695">
        <f>('Malaria-Key Info'!$G$58*'HPM costs'!S84)/'HPM costs'!$E$84</f>
        <v>0</v>
      </c>
      <c r="AW34" s="695"/>
      <c r="AX34" s="1492">
        <f t="shared" si="2"/>
        <v>0</v>
      </c>
      <c r="AY34" s="1492"/>
      <c r="AZ34" s="698"/>
      <c r="BA34" s="699"/>
      <c r="BB34" s="697"/>
      <c r="BC34" s="697">
        <v>0</v>
      </c>
      <c r="BD34" s="697">
        <v>0</v>
      </c>
      <c r="BE34" s="697">
        <v>0</v>
      </c>
      <c r="BF34" s="697">
        <v>0</v>
      </c>
      <c r="BG34" s="697">
        <v>0</v>
      </c>
      <c r="BH34" s="697">
        <v>0</v>
      </c>
      <c r="BI34" s="697">
        <v>0</v>
      </c>
      <c r="BJ34" s="697">
        <v>0</v>
      </c>
      <c r="BK34" s="1492">
        <f t="shared" si="3"/>
        <v>0</v>
      </c>
      <c r="BL34" s="1492"/>
      <c r="BM34" s="1492">
        <f t="shared" si="4"/>
        <v>0</v>
      </c>
      <c r="BN34" s="1492">
        <f t="shared" si="5"/>
        <v>0</v>
      </c>
      <c r="BO34" s="697"/>
      <c r="BP34" s="697"/>
      <c r="BQ34" s="1495">
        <v>0</v>
      </c>
      <c r="BR34" s="1495" t="s">
        <v>19</v>
      </c>
      <c r="BS34" s="1495" t="s">
        <v>6943</v>
      </c>
      <c r="BT34" s="691" t="s">
        <v>696</v>
      </c>
    </row>
    <row r="35" spans="1:72" s="681" customFormat="1" ht="13" hidden="1">
      <c r="A35" s="1545">
        <v>34</v>
      </c>
      <c r="B35" s="1546" t="s">
        <v>651</v>
      </c>
      <c r="C35" s="1546" t="s">
        <v>703</v>
      </c>
      <c r="D35" s="1547" t="s">
        <v>655</v>
      </c>
      <c r="E35" s="690" t="s">
        <v>656</v>
      </c>
      <c r="F35" s="691"/>
      <c r="G35" s="692"/>
      <c r="H35" s="692"/>
      <c r="I35" s="692"/>
      <c r="J35" s="693"/>
      <c r="K35" s="693"/>
      <c r="L35" s="693"/>
      <c r="M35" s="694"/>
      <c r="N35" s="695"/>
      <c r="O35" s="696" t="s">
        <v>1569</v>
      </c>
      <c r="P35" s="695">
        <f>'Malaria-Key Info'!$G$58*'HPM costs'!F84</f>
        <v>0</v>
      </c>
      <c r="Q35" s="695" t="s">
        <v>1569</v>
      </c>
      <c r="R35" s="695">
        <f>'Malaria-Key Info'!$G$58*'HPM costs'!G84</f>
        <v>0</v>
      </c>
      <c r="S35" s="695" t="s">
        <v>1569</v>
      </c>
      <c r="T35" s="695">
        <f>'Malaria-Key Info'!$G$58*'HPM costs'!H84</f>
        <v>0</v>
      </c>
      <c r="U35" s="695" t="s">
        <v>1569</v>
      </c>
      <c r="V35" s="695">
        <f>'Malaria-Key Info'!$G$58*'HPM costs'!I84</f>
        <v>0</v>
      </c>
      <c r="W35" s="695"/>
      <c r="X35" s="1492">
        <f t="shared" si="0"/>
        <v>0</v>
      </c>
      <c r="Y35" s="1493"/>
      <c r="Z35" s="1494"/>
      <c r="AA35" s="699"/>
      <c r="AB35" s="695"/>
      <c r="AC35" s="695">
        <f>'Malaria-Key Info'!$G$58*'HPM costs'!K84</f>
        <v>0</v>
      </c>
      <c r="AD35" s="695"/>
      <c r="AE35" s="695">
        <f>'Malaria-Key Info'!$G$58*'HPM costs'!L84</f>
        <v>0</v>
      </c>
      <c r="AF35" s="695"/>
      <c r="AG35" s="695">
        <f>'Malaria-Key Info'!$G$58*'HPM costs'!M84</f>
        <v>0</v>
      </c>
      <c r="AH35" s="695"/>
      <c r="AI35" s="695">
        <f>'Malaria-Key Info'!$G$58*'HPM costs'!N84</f>
        <v>0</v>
      </c>
      <c r="AJ35" s="695"/>
      <c r="AK35" s="1492">
        <f t="shared" si="1"/>
        <v>0</v>
      </c>
      <c r="AL35" s="1493"/>
      <c r="AM35" s="1494"/>
      <c r="AN35" s="699"/>
      <c r="AO35" s="695"/>
      <c r="AP35" s="695">
        <f>'Malaria-Key Info'!$G$58*'HPM costs'!P84</f>
        <v>0</v>
      </c>
      <c r="AQ35" s="695"/>
      <c r="AR35" s="695">
        <f>'Malaria-Key Info'!$G$58*'HPM costs'!Q84</f>
        <v>0</v>
      </c>
      <c r="AS35" s="695"/>
      <c r="AT35" s="695">
        <f>'Malaria-Key Info'!$G$58*'HPM costs'!R84</f>
        <v>0</v>
      </c>
      <c r="AU35" s="695"/>
      <c r="AV35" s="695">
        <f>'Malaria-Key Info'!$G$58*'HPM costs'!S84</f>
        <v>0</v>
      </c>
      <c r="AW35" s="695"/>
      <c r="AX35" s="1492">
        <f t="shared" si="2"/>
        <v>0</v>
      </c>
      <c r="AY35" s="1492"/>
      <c r="AZ35" s="698"/>
      <c r="BA35" s="699"/>
      <c r="BB35" s="697"/>
      <c r="BC35" s="697">
        <v>0</v>
      </c>
      <c r="BD35" s="697">
        <v>0</v>
      </c>
      <c r="BE35" s="697">
        <v>0</v>
      </c>
      <c r="BF35" s="697">
        <v>0</v>
      </c>
      <c r="BG35" s="697">
        <v>0</v>
      </c>
      <c r="BH35" s="697">
        <v>0</v>
      </c>
      <c r="BI35" s="697">
        <v>0</v>
      </c>
      <c r="BJ35" s="697">
        <v>0</v>
      </c>
      <c r="BK35" s="1492">
        <f t="shared" si="3"/>
        <v>0</v>
      </c>
      <c r="BL35" s="1492"/>
      <c r="BM35" s="1492">
        <f t="shared" si="4"/>
        <v>0</v>
      </c>
      <c r="BN35" s="1492">
        <f t="shared" si="5"/>
        <v>0</v>
      </c>
      <c r="BO35" s="697"/>
      <c r="BP35" s="697"/>
      <c r="BQ35" s="1495">
        <v>0</v>
      </c>
      <c r="BR35" s="1495" t="s">
        <v>19</v>
      </c>
      <c r="BS35" s="1495" t="s">
        <v>655</v>
      </c>
      <c r="BT35" s="691" t="s">
        <v>697</v>
      </c>
    </row>
    <row r="36" spans="1:72" s="681" customFormat="1" ht="13" hidden="1">
      <c r="A36" s="1545">
        <v>35</v>
      </c>
      <c r="B36" s="1546" t="s">
        <v>651</v>
      </c>
      <c r="C36" s="1546" t="s">
        <v>703</v>
      </c>
      <c r="D36" s="1547" t="s">
        <v>655</v>
      </c>
      <c r="E36" s="690" t="s">
        <v>658</v>
      </c>
      <c r="F36" s="691"/>
      <c r="G36" s="692"/>
      <c r="H36" s="692"/>
      <c r="I36" s="692"/>
      <c r="J36" s="693"/>
      <c r="K36" s="693"/>
      <c r="L36" s="693"/>
      <c r="M36" s="694"/>
      <c r="N36" s="695"/>
      <c r="O36" s="696" t="s">
        <v>1569</v>
      </c>
      <c r="P36" s="695">
        <f>'Malaria-Key Info'!$G$58*'HPM costs'!F170</f>
        <v>0</v>
      </c>
      <c r="Q36" s="695" t="s">
        <v>1569</v>
      </c>
      <c r="R36" s="695">
        <f>'Malaria-Key Info'!$G$58*'HPM costs'!G170</f>
        <v>0</v>
      </c>
      <c r="S36" s="695" t="s">
        <v>1569</v>
      </c>
      <c r="T36" s="695">
        <f>'Malaria-Key Info'!$G$58*'HPM costs'!H170</f>
        <v>0</v>
      </c>
      <c r="U36" s="695" t="s">
        <v>1569</v>
      </c>
      <c r="V36" s="695">
        <f>'Malaria-Key Info'!$G$58*'HPM costs'!I170</f>
        <v>0</v>
      </c>
      <c r="W36" s="695"/>
      <c r="X36" s="1492">
        <f t="shared" si="0"/>
        <v>0</v>
      </c>
      <c r="Y36" s="1493"/>
      <c r="Z36" s="1494"/>
      <c r="AA36" s="699"/>
      <c r="AB36" s="695"/>
      <c r="AC36" s="695">
        <f>'Malaria-Key Info'!$G$58*'HPM costs'!K170</f>
        <v>0</v>
      </c>
      <c r="AD36" s="695"/>
      <c r="AE36" s="695">
        <f>'Malaria-Key Info'!$G$58*'HPM costs'!L170</f>
        <v>0</v>
      </c>
      <c r="AF36" s="695"/>
      <c r="AG36" s="695">
        <f>'Malaria-Key Info'!$G$58*'HPM costs'!M170</f>
        <v>0</v>
      </c>
      <c r="AH36" s="695"/>
      <c r="AI36" s="695">
        <f>'Malaria-Key Info'!$G$58*'HPM costs'!N170</f>
        <v>0</v>
      </c>
      <c r="AJ36" s="695"/>
      <c r="AK36" s="1492">
        <f t="shared" si="1"/>
        <v>0</v>
      </c>
      <c r="AL36" s="1493"/>
      <c r="AM36" s="1494"/>
      <c r="AN36" s="699"/>
      <c r="AO36" s="695"/>
      <c r="AP36" s="695">
        <f>'Malaria-Key Info'!$G$58*'HPM costs'!P170</f>
        <v>0</v>
      </c>
      <c r="AQ36" s="695"/>
      <c r="AR36" s="695">
        <f>'Malaria-Key Info'!$G$58*'HPM costs'!Q170</f>
        <v>0</v>
      </c>
      <c r="AS36" s="695"/>
      <c r="AT36" s="695">
        <f>'Malaria-Key Info'!$G$58*'HPM costs'!R170</f>
        <v>0</v>
      </c>
      <c r="AU36" s="695"/>
      <c r="AV36" s="695">
        <f>'Malaria-Key Info'!$G$58*'HPM costs'!S170</f>
        <v>0</v>
      </c>
      <c r="AW36" s="695"/>
      <c r="AX36" s="1492">
        <f t="shared" si="2"/>
        <v>0</v>
      </c>
      <c r="AY36" s="1492"/>
      <c r="AZ36" s="698"/>
      <c r="BA36" s="699"/>
      <c r="BB36" s="697"/>
      <c r="BC36" s="697">
        <v>0</v>
      </c>
      <c r="BD36" s="697">
        <v>0</v>
      </c>
      <c r="BE36" s="697">
        <v>0</v>
      </c>
      <c r="BF36" s="697">
        <v>0</v>
      </c>
      <c r="BG36" s="697">
        <v>0</v>
      </c>
      <c r="BH36" s="697">
        <v>0</v>
      </c>
      <c r="BI36" s="697">
        <v>0</v>
      </c>
      <c r="BJ36" s="697">
        <v>0</v>
      </c>
      <c r="BK36" s="1492">
        <f t="shared" si="3"/>
        <v>0</v>
      </c>
      <c r="BL36" s="1492"/>
      <c r="BM36" s="1492">
        <f t="shared" si="4"/>
        <v>0</v>
      </c>
      <c r="BN36" s="1492">
        <f t="shared" si="5"/>
        <v>0</v>
      </c>
      <c r="BO36" s="697"/>
      <c r="BP36" s="697"/>
      <c r="BQ36" s="1495">
        <v>0</v>
      </c>
      <c r="BR36" s="1495" t="s">
        <v>19</v>
      </c>
      <c r="BS36" s="1495" t="s">
        <v>655</v>
      </c>
      <c r="BT36" s="691" t="s">
        <v>698</v>
      </c>
    </row>
    <row r="37" spans="1:72" s="681" customFormat="1" ht="13" hidden="1">
      <c r="A37" s="1545">
        <v>36</v>
      </c>
      <c r="B37" s="1546" t="s">
        <v>651</v>
      </c>
      <c r="C37" s="1546" t="s">
        <v>703</v>
      </c>
      <c r="D37" s="1547" t="s">
        <v>655</v>
      </c>
      <c r="E37" s="690" t="s">
        <v>660</v>
      </c>
      <c r="F37" s="691"/>
      <c r="G37" s="692"/>
      <c r="H37" s="692"/>
      <c r="I37" s="692"/>
      <c r="J37" s="693"/>
      <c r="K37" s="693"/>
      <c r="L37" s="693"/>
      <c r="M37" s="694"/>
      <c r="N37" s="695"/>
      <c r="O37" s="696" t="s">
        <v>1569</v>
      </c>
      <c r="P37" s="695">
        <f>'Malaria-Key Info'!$G$58*'HPM costs'!F430</f>
        <v>0</v>
      </c>
      <c r="Q37" s="695" t="s">
        <v>1569</v>
      </c>
      <c r="R37" s="695">
        <f>'Malaria-Key Info'!$G$58*'HPM costs'!G430</f>
        <v>0</v>
      </c>
      <c r="S37" s="695" t="s">
        <v>1569</v>
      </c>
      <c r="T37" s="695">
        <f>'Malaria-Key Info'!$G$58*'HPM costs'!H430</f>
        <v>0</v>
      </c>
      <c r="U37" s="695" t="s">
        <v>1569</v>
      </c>
      <c r="V37" s="695">
        <f>'Malaria-Key Info'!$G$58*'HPM costs'!I430</f>
        <v>0</v>
      </c>
      <c r="W37" s="695"/>
      <c r="X37" s="1492">
        <f t="shared" si="0"/>
        <v>0</v>
      </c>
      <c r="Y37" s="1493"/>
      <c r="Z37" s="1494"/>
      <c r="AA37" s="699"/>
      <c r="AB37" s="695"/>
      <c r="AC37" s="695">
        <f>'Malaria-Key Info'!$G$58*'HPM costs'!K430</f>
        <v>0</v>
      </c>
      <c r="AD37" s="695"/>
      <c r="AE37" s="695">
        <f>'Malaria-Key Info'!$G$58*'HPM costs'!L430</f>
        <v>0</v>
      </c>
      <c r="AF37" s="695"/>
      <c r="AG37" s="695">
        <f>'Malaria-Key Info'!$G$58*'HPM costs'!M430</f>
        <v>0</v>
      </c>
      <c r="AH37" s="695"/>
      <c r="AI37" s="695">
        <f>'Malaria-Key Info'!$G$58*'HPM costs'!N430</f>
        <v>0</v>
      </c>
      <c r="AJ37" s="695"/>
      <c r="AK37" s="1492">
        <f t="shared" si="1"/>
        <v>0</v>
      </c>
      <c r="AL37" s="1493"/>
      <c r="AM37" s="1494"/>
      <c r="AN37" s="699"/>
      <c r="AO37" s="695"/>
      <c r="AP37" s="695">
        <f>'Malaria-Key Info'!$G$58*'HPM costs'!P430</f>
        <v>0</v>
      </c>
      <c r="AQ37" s="695"/>
      <c r="AR37" s="695">
        <f>'Malaria-Key Info'!$G$58*'HPM costs'!Q430</f>
        <v>0</v>
      </c>
      <c r="AS37" s="695"/>
      <c r="AT37" s="695">
        <f>'Malaria-Key Info'!$G$58*'HPM costs'!R430</f>
        <v>0</v>
      </c>
      <c r="AU37" s="695"/>
      <c r="AV37" s="695">
        <f>'Malaria-Key Info'!$G$58*'HPM costs'!S430</f>
        <v>0</v>
      </c>
      <c r="AW37" s="695"/>
      <c r="AX37" s="1492">
        <f t="shared" si="2"/>
        <v>0</v>
      </c>
      <c r="AY37" s="1492"/>
      <c r="AZ37" s="698"/>
      <c r="BA37" s="699"/>
      <c r="BB37" s="697"/>
      <c r="BC37" s="697">
        <v>0</v>
      </c>
      <c r="BD37" s="697">
        <v>0</v>
      </c>
      <c r="BE37" s="697">
        <v>0</v>
      </c>
      <c r="BF37" s="697">
        <v>0</v>
      </c>
      <c r="BG37" s="697">
        <v>0</v>
      </c>
      <c r="BH37" s="697">
        <v>0</v>
      </c>
      <c r="BI37" s="697">
        <v>0</v>
      </c>
      <c r="BJ37" s="697">
        <v>0</v>
      </c>
      <c r="BK37" s="1492">
        <f t="shared" si="3"/>
        <v>0</v>
      </c>
      <c r="BL37" s="1492"/>
      <c r="BM37" s="1492">
        <f t="shared" si="4"/>
        <v>0</v>
      </c>
      <c r="BN37" s="1492">
        <f t="shared" si="5"/>
        <v>0</v>
      </c>
      <c r="BO37" s="697"/>
      <c r="BP37" s="697"/>
      <c r="BQ37" s="1495">
        <v>0</v>
      </c>
      <c r="BR37" s="1495" t="s">
        <v>19</v>
      </c>
      <c r="BS37" s="1495" t="s">
        <v>655</v>
      </c>
      <c r="BT37" s="691" t="s">
        <v>699</v>
      </c>
    </row>
    <row r="38" spans="1:72" s="681" customFormat="1" ht="13" hidden="1">
      <c r="A38" s="1545">
        <v>37</v>
      </c>
      <c r="B38" s="1546" t="s">
        <v>651</v>
      </c>
      <c r="C38" s="1546" t="s">
        <v>703</v>
      </c>
      <c r="D38" s="1547" t="s">
        <v>655</v>
      </c>
      <c r="E38" s="690" t="s">
        <v>662</v>
      </c>
      <c r="F38" s="691"/>
      <c r="G38" s="692"/>
      <c r="H38" s="692"/>
      <c r="I38" s="692"/>
      <c r="J38" s="693"/>
      <c r="K38" s="693"/>
      <c r="L38" s="693"/>
      <c r="M38" s="694"/>
      <c r="N38" s="695"/>
      <c r="O38" s="696" t="s">
        <v>1569</v>
      </c>
      <c r="P38" s="695">
        <f>'Malaria-Key Info'!$G$58*'HPM costs'!F516</f>
        <v>0</v>
      </c>
      <c r="Q38" s="695" t="s">
        <v>1569</v>
      </c>
      <c r="R38" s="695">
        <f>'Malaria-Key Info'!$G$58*'HPM costs'!G516</f>
        <v>0</v>
      </c>
      <c r="S38" s="695" t="s">
        <v>1569</v>
      </c>
      <c r="T38" s="695">
        <f>'Malaria-Key Info'!$G$58*'HPM costs'!H516</f>
        <v>0</v>
      </c>
      <c r="U38" s="695" t="s">
        <v>1569</v>
      </c>
      <c r="V38" s="695">
        <f>'Malaria-Key Info'!$G$58*'HPM costs'!I516</f>
        <v>0</v>
      </c>
      <c r="W38" s="695"/>
      <c r="X38" s="1492">
        <f t="shared" si="0"/>
        <v>0</v>
      </c>
      <c r="Y38" s="1493"/>
      <c r="Z38" s="1494"/>
      <c r="AA38" s="699"/>
      <c r="AB38" s="695"/>
      <c r="AC38" s="695">
        <f>'Malaria-Key Info'!$G$58*'HPM costs'!K516</f>
        <v>0</v>
      </c>
      <c r="AD38" s="695"/>
      <c r="AE38" s="695">
        <f>'Malaria-Key Info'!$G$58*'HPM costs'!L516</f>
        <v>0</v>
      </c>
      <c r="AF38" s="695"/>
      <c r="AG38" s="695">
        <f>'Malaria-Key Info'!$G$58*'HPM costs'!M516</f>
        <v>0</v>
      </c>
      <c r="AH38" s="695"/>
      <c r="AI38" s="695">
        <f>'Malaria-Key Info'!$G$58*'HPM costs'!N516</f>
        <v>0</v>
      </c>
      <c r="AJ38" s="695"/>
      <c r="AK38" s="1492">
        <f t="shared" si="1"/>
        <v>0</v>
      </c>
      <c r="AL38" s="1493"/>
      <c r="AM38" s="1494"/>
      <c r="AN38" s="699"/>
      <c r="AO38" s="695"/>
      <c r="AP38" s="695">
        <f>'Malaria-Key Info'!$G$58*'HPM costs'!P516</f>
        <v>0</v>
      </c>
      <c r="AQ38" s="695"/>
      <c r="AR38" s="695">
        <f>'Malaria-Key Info'!$G$58*'HPM costs'!Q516</f>
        <v>0</v>
      </c>
      <c r="AS38" s="695"/>
      <c r="AT38" s="695">
        <f>'Malaria-Key Info'!$G$58*'HPM costs'!R516</f>
        <v>0</v>
      </c>
      <c r="AU38" s="695"/>
      <c r="AV38" s="695">
        <f>'Malaria-Key Info'!$G$58*'HPM costs'!S516</f>
        <v>0</v>
      </c>
      <c r="AW38" s="695"/>
      <c r="AX38" s="1492">
        <f t="shared" si="2"/>
        <v>0</v>
      </c>
      <c r="AY38" s="1492"/>
      <c r="AZ38" s="698"/>
      <c r="BA38" s="699"/>
      <c r="BB38" s="697"/>
      <c r="BC38" s="697">
        <v>0</v>
      </c>
      <c r="BD38" s="697">
        <v>0</v>
      </c>
      <c r="BE38" s="697">
        <v>0</v>
      </c>
      <c r="BF38" s="697">
        <v>0</v>
      </c>
      <c r="BG38" s="697">
        <v>0</v>
      </c>
      <c r="BH38" s="697">
        <v>0</v>
      </c>
      <c r="BI38" s="697">
        <v>0</v>
      </c>
      <c r="BJ38" s="697">
        <v>0</v>
      </c>
      <c r="BK38" s="1492">
        <f t="shared" si="3"/>
        <v>0</v>
      </c>
      <c r="BL38" s="1492"/>
      <c r="BM38" s="1492">
        <f t="shared" si="4"/>
        <v>0</v>
      </c>
      <c r="BN38" s="1492">
        <f t="shared" si="5"/>
        <v>0</v>
      </c>
      <c r="BO38" s="697"/>
      <c r="BP38" s="697"/>
      <c r="BQ38" s="1495">
        <v>0</v>
      </c>
      <c r="BR38" s="1495" t="s">
        <v>19</v>
      </c>
      <c r="BS38" s="1495" t="s">
        <v>655</v>
      </c>
      <c r="BT38" s="691" t="s">
        <v>700</v>
      </c>
    </row>
    <row r="39" spans="1:72" s="681" customFormat="1" ht="13" hidden="1">
      <c r="A39" s="1545">
        <v>38</v>
      </c>
      <c r="B39" s="1546" t="s">
        <v>651</v>
      </c>
      <c r="C39" s="1546" t="s">
        <v>703</v>
      </c>
      <c r="D39" s="1547" t="s">
        <v>655</v>
      </c>
      <c r="E39" s="690" t="s">
        <v>664</v>
      </c>
      <c r="F39" s="691"/>
      <c r="G39" s="692"/>
      <c r="H39" s="692"/>
      <c r="I39" s="692"/>
      <c r="J39" s="693"/>
      <c r="K39" s="693"/>
      <c r="L39" s="693"/>
      <c r="M39" s="694"/>
      <c r="N39" s="695"/>
      <c r="O39" s="696" t="s">
        <v>1569</v>
      </c>
      <c r="P39" s="695">
        <f>'Malaria-Key Info'!$G$58*('HPM costs'!F256+'HPM costs'!F602)</f>
        <v>0</v>
      </c>
      <c r="Q39" s="695" t="s">
        <v>1569</v>
      </c>
      <c r="R39" s="695">
        <f>'Malaria-Key Info'!$G$58*('HPM costs'!G256+'HPM costs'!G602)</f>
        <v>0</v>
      </c>
      <c r="S39" s="695" t="s">
        <v>1569</v>
      </c>
      <c r="T39" s="695">
        <f>'Malaria-Key Info'!$G$58*('HPM costs'!H256+'HPM costs'!H602)</f>
        <v>0</v>
      </c>
      <c r="U39" s="695" t="s">
        <v>1569</v>
      </c>
      <c r="V39" s="695">
        <f>'Malaria-Key Info'!$G$58*('HPM costs'!I256+'HPM costs'!I602)</f>
        <v>0</v>
      </c>
      <c r="W39" s="695"/>
      <c r="X39" s="1492">
        <f t="shared" si="0"/>
        <v>0</v>
      </c>
      <c r="Y39" s="1493"/>
      <c r="Z39" s="1494"/>
      <c r="AA39" s="699"/>
      <c r="AB39" s="695"/>
      <c r="AC39" s="695">
        <f>'Malaria-Key Info'!$G$58*('HPM costs'!K256+'HPM costs'!K602)</f>
        <v>0</v>
      </c>
      <c r="AD39" s="695"/>
      <c r="AE39" s="695">
        <f>'Malaria-Key Info'!$G$58*('HPM costs'!L256+'HPM costs'!L602)</f>
        <v>0</v>
      </c>
      <c r="AF39" s="695"/>
      <c r="AG39" s="695">
        <f>'Malaria-Key Info'!$G$58*('HPM costs'!M256+'HPM costs'!M602)</f>
        <v>0</v>
      </c>
      <c r="AH39" s="695"/>
      <c r="AI39" s="695">
        <f>'Malaria-Key Info'!$G$58*('HPM costs'!N256+'HPM costs'!N602)</f>
        <v>0</v>
      </c>
      <c r="AJ39" s="695"/>
      <c r="AK39" s="1492">
        <f t="shared" si="1"/>
        <v>0</v>
      </c>
      <c r="AL39" s="1493"/>
      <c r="AM39" s="1494"/>
      <c r="AN39" s="699"/>
      <c r="AO39" s="695"/>
      <c r="AP39" s="695">
        <f>'Malaria-Key Info'!$G$58*('HPM costs'!P256+'HPM costs'!P602)</f>
        <v>0</v>
      </c>
      <c r="AQ39" s="695"/>
      <c r="AR39" s="695">
        <f>'Malaria-Key Info'!$G$58*('HPM costs'!Q256+'HPM costs'!Q602)</f>
        <v>0</v>
      </c>
      <c r="AS39" s="695"/>
      <c r="AT39" s="695">
        <f>'Malaria-Key Info'!$G$58*('HPM costs'!R256+'HPM costs'!R602)</f>
        <v>0</v>
      </c>
      <c r="AU39" s="695"/>
      <c r="AV39" s="695">
        <f>'Malaria-Key Info'!$G$58*('HPM costs'!S256+'HPM costs'!S602)</f>
        <v>0</v>
      </c>
      <c r="AW39" s="695"/>
      <c r="AX39" s="1492">
        <f t="shared" si="2"/>
        <v>0</v>
      </c>
      <c r="AY39" s="1492"/>
      <c r="AZ39" s="698"/>
      <c r="BA39" s="699"/>
      <c r="BB39" s="697"/>
      <c r="BC39" s="697">
        <v>0</v>
      </c>
      <c r="BD39" s="697">
        <v>0</v>
      </c>
      <c r="BE39" s="697">
        <v>0</v>
      </c>
      <c r="BF39" s="697">
        <v>0</v>
      </c>
      <c r="BG39" s="697">
        <v>0</v>
      </c>
      <c r="BH39" s="697">
        <v>0</v>
      </c>
      <c r="BI39" s="697">
        <v>0</v>
      </c>
      <c r="BJ39" s="697">
        <v>0</v>
      </c>
      <c r="BK39" s="1492">
        <f t="shared" si="3"/>
        <v>0</v>
      </c>
      <c r="BL39" s="1492"/>
      <c r="BM39" s="1492">
        <f t="shared" si="4"/>
        <v>0</v>
      </c>
      <c r="BN39" s="1492">
        <f t="shared" si="5"/>
        <v>0</v>
      </c>
      <c r="BO39" s="697"/>
      <c r="BP39" s="697"/>
      <c r="BQ39" s="1495">
        <v>0</v>
      </c>
      <c r="BR39" s="1495" t="s">
        <v>19</v>
      </c>
      <c r="BS39" s="1495" t="s">
        <v>655</v>
      </c>
      <c r="BT39" s="691" t="s">
        <v>701</v>
      </c>
    </row>
    <row r="40" spans="1:72" s="681" customFormat="1" ht="13" hidden="1">
      <c r="A40" s="1545">
        <v>39</v>
      </c>
      <c r="B40" s="1546" t="s">
        <v>651</v>
      </c>
      <c r="C40" s="1546" t="s">
        <v>703</v>
      </c>
      <c r="D40" s="1547" t="s">
        <v>655</v>
      </c>
      <c r="E40" s="690" t="s">
        <v>666</v>
      </c>
      <c r="F40" s="691"/>
      <c r="G40" s="692"/>
      <c r="H40" s="692"/>
      <c r="I40" s="692"/>
      <c r="J40" s="693"/>
      <c r="K40" s="693"/>
      <c r="L40" s="693"/>
      <c r="M40" s="694"/>
      <c r="N40" s="695"/>
      <c r="O40" s="696" t="s">
        <v>1569</v>
      </c>
      <c r="P40" s="695">
        <f>'Malaria-Key Info'!$G$58*'HPM costs'!F342</f>
        <v>0</v>
      </c>
      <c r="Q40" s="695" t="s">
        <v>1569</v>
      </c>
      <c r="R40" s="695">
        <f>'Malaria-Key Info'!$G$58*'HPM costs'!G342</f>
        <v>0</v>
      </c>
      <c r="S40" s="695" t="s">
        <v>1569</v>
      </c>
      <c r="T40" s="695">
        <f>'Malaria-Key Info'!$G$58*'HPM costs'!H342</f>
        <v>0</v>
      </c>
      <c r="U40" s="695" t="s">
        <v>1569</v>
      </c>
      <c r="V40" s="695">
        <f>'Malaria-Key Info'!$G$58*'HPM costs'!I342</f>
        <v>0</v>
      </c>
      <c r="W40" s="695"/>
      <c r="X40" s="1492">
        <f t="shared" si="0"/>
        <v>0</v>
      </c>
      <c r="Y40" s="1493"/>
      <c r="Z40" s="1494"/>
      <c r="AA40" s="699"/>
      <c r="AB40" s="695"/>
      <c r="AC40" s="695">
        <f>'Malaria-Key Info'!$G$58*'HPM costs'!K342</f>
        <v>0</v>
      </c>
      <c r="AD40" s="695"/>
      <c r="AE40" s="695">
        <f>'Malaria-Key Info'!$G$58*'HPM costs'!L342</f>
        <v>0</v>
      </c>
      <c r="AF40" s="695"/>
      <c r="AG40" s="695">
        <f>'Malaria-Key Info'!$G$58*'HPM costs'!M342</f>
        <v>0</v>
      </c>
      <c r="AH40" s="695"/>
      <c r="AI40" s="695">
        <f>'Malaria-Key Info'!$G$58*'HPM costs'!N342</f>
        <v>0</v>
      </c>
      <c r="AJ40" s="695"/>
      <c r="AK40" s="1492">
        <f t="shared" si="1"/>
        <v>0</v>
      </c>
      <c r="AL40" s="1493"/>
      <c r="AM40" s="1494"/>
      <c r="AN40" s="699"/>
      <c r="AO40" s="695"/>
      <c r="AP40" s="695">
        <f>'Malaria-Key Info'!$G$58*'HPM costs'!P342</f>
        <v>0</v>
      </c>
      <c r="AQ40" s="695"/>
      <c r="AR40" s="695">
        <f>'Malaria-Key Info'!$G$58*'HPM costs'!Q342</f>
        <v>0</v>
      </c>
      <c r="AS40" s="695"/>
      <c r="AT40" s="695">
        <f>'Malaria-Key Info'!$G$58*'HPM costs'!R342</f>
        <v>0</v>
      </c>
      <c r="AU40" s="695"/>
      <c r="AV40" s="695">
        <f>'Malaria-Key Info'!$G$58*'HPM costs'!S342</f>
        <v>0</v>
      </c>
      <c r="AW40" s="695"/>
      <c r="AX40" s="1492">
        <f t="shared" si="2"/>
        <v>0</v>
      </c>
      <c r="AY40" s="1492"/>
      <c r="AZ40" s="698"/>
      <c r="BA40" s="699"/>
      <c r="BB40" s="697"/>
      <c r="BC40" s="697">
        <v>0</v>
      </c>
      <c r="BD40" s="697">
        <v>0</v>
      </c>
      <c r="BE40" s="697">
        <v>0</v>
      </c>
      <c r="BF40" s="697">
        <v>0</v>
      </c>
      <c r="BG40" s="697">
        <v>0</v>
      </c>
      <c r="BH40" s="697">
        <v>0</v>
      </c>
      <c r="BI40" s="697">
        <v>0</v>
      </c>
      <c r="BJ40" s="697">
        <v>0</v>
      </c>
      <c r="BK40" s="1492">
        <f t="shared" si="3"/>
        <v>0</v>
      </c>
      <c r="BL40" s="1492"/>
      <c r="BM40" s="1492">
        <f t="shared" si="4"/>
        <v>0</v>
      </c>
      <c r="BN40" s="1492">
        <f t="shared" si="5"/>
        <v>0</v>
      </c>
      <c r="BO40" s="697"/>
      <c r="BP40" s="697"/>
      <c r="BQ40" s="1495">
        <v>0</v>
      </c>
      <c r="BR40" s="1495" t="s">
        <v>19</v>
      </c>
      <c r="BS40" s="1495" t="s">
        <v>655</v>
      </c>
      <c r="BT40" s="691" t="s">
        <v>702</v>
      </c>
    </row>
    <row r="41" spans="1:72" s="681" customFormat="1" ht="13" hidden="1">
      <c r="A41" s="1545">
        <v>40</v>
      </c>
      <c r="B41" s="1546" t="s">
        <v>651</v>
      </c>
      <c r="C41" s="1546" t="s">
        <v>703</v>
      </c>
      <c r="D41" s="1547" t="s">
        <v>655</v>
      </c>
      <c r="E41" s="690" t="s">
        <v>668</v>
      </c>
      <c r="F41" s="691"/>
      <c r="G41" s="692"/>
      <c r="H41" s="692"/>
      <c r="I41" s="692"/>
      <c r="J41" s="693"/>
      <c r="K41" s="693"/>
      <c r="L41" s="693"/>
      <c r="M41" s="694"/>
      <c r="N41" s="695"/>
      <c r="O41" s="696" t="s">
        <v>1569</v>
      </c>
      <c r="P41" s="695">
        <f>'Malaria-Key Info'!$G$58*'HPM costs'!F687</f>
        <v>0</v>
      </c>
      <c r="Q41" s="695" t="s">
        <v>1569</v>
      </c>
      <c r="R41" s="695">
        <f>'Malaria-Key Info'!$G$58*'HPM costs'!G687</f>
        <v>0</v>
      </c>
      <c r="S41" s="695" t="s">
        <v>1569</v>
      </c>
      <c r="T41" s="695">
        <f>'Malaria-Key Info'!$G$58*'HPM costs'!H687</f>
        <v>0</v>
      </c>
      <c r="U41" s="695" t="s">
        <v>1569</v>
      </c>
      <c r="V41" s="695">
        <f>'Malaria-Key Info'!$G$58*'HPM costs'!I687</f>
        <v>0</v>
      </c>
      <c r="W41" s="695"/>
      <c r="X41" s="1492">
        <f t="shared" si="0"/>
        <v>0</v>
      </c>
      <c r="Y41" s="1493"/>
      <c r="Z41" s="1494"/>
      <c r="AA41" s="699"/>
      <c r="AB41" s="695"/>
      <c r="AC41" s="695">
        <f>'Malaria-Key Info'!$G$58*'HPM costs'!K687</f>
        <v>0</v>
      </c>
      <c r="AD41" s="695"/>
      <c r="AE41" s="695">
        <f>'Malaria-Key Info'!$G$58*'HPM costs'!L687</f>
        <v>0</v>
      </c>
      <c r="AF41" s="695"/>
      <c r="AG41" s="695">
        <f>'Malaria-Key Info'!$G$58*'HPM costs'!M687</f>
        <v>0</v>
      </c>
      <c r="AH41" s="695"/>
      <c r="AI41" s="695">
        <f>'Malaria-Key Info'!$G$58*'HPM costs'!N687</f>
        <v>0</v>
      </c>
      <c r="AJ41" s="695"/>
      <c r="AK41" s="1492">
        <f t="shared" si="1"/>
        <v>0</v>
      </c>
      <c r="AL41" s="1493"/>
      <c r="AM41" s="1494"/>
      <c r="AN41" s="699"/>
      <c r="AO41" s="695"/>
      <c r="AP41" s="695">
        <f>'Malaria-Key Info'!$G$58*'HPM costs'!P687</f>
        <v>0</v>
      </c>
      <c r="AQ41" s="695"/>
      <c r="AR41" s="695">
        <f>'Malaria-Key Info'!$G$58*'HPM costs'!Q687</f>
        <v>0</v>
      </c>
      <c r="AS41" s="695"/>
      <c r="AT41" s="695">
        <f>'Malaria-Key Info'!$G$58*'HPM costs'!R687</f>
        <v>0</v>
      </c>
      <c r="AU41" s="695"/>
      <c r="AV41" s="695">
        <f>'Malaria-Key Info'!$G$58*'HPM costs'!S687</f>
        <v>0</v>
      </c>
      <c r="AW41" s="695"/>
      <c r="AX41" s="1492">
        <f t="shared" si="2"/>
        <v>0</v>
      </c>
      <c r="AY41" s="1492"/>
      <c r="AZ41" s="698"/>
      <c r="BA41" s="699"/>
      <c r="BB41" s="697"/>
      <c r="BC41" s="697">
        <v>0</v>
      </c>
      <c r="BD41" s="697">
        <v>0</v>
      </c>
      <c r="BE41" s="697">
        <v>0</v>
      </c>
      <c r="BF41" s="697">
        <v>0</v>
      </c>
      <c r="BG41" s="697">
        <v>0</v>
      </c>
      <c r="BH41" s="697">
        <v>0</v>
      </c>
      <c r="BI41" s="697">
        <v>0</v>
      </c>
      <c r="BJ41" s="697">
        <v>0</v>
      </c>
      <c r="BK41" s="1492">
        <f t="shared" si="3"/>
        <v>0</v>
      </c>
      <c r="BL41" s="1492"/>
      <c r="BM41" s="1492">
        <f t="shared" si="4"/>
        <v>0</v>
      </c>
      <c r="BN41" s="1492">
        <f t="shared" si="5"/>
        <v>0</v>
      </c>
      <c r="BO41" s="697"/>
      <c r="BP41" s="697"/>
      <c r="BQ41" s="1495">
        <v>0</v>
      </c>
      <c r="BR41" s="1495" t="s">
        <v>19</v>
      </c>
      <c r="BS41" s="1495" t="s">
        <v>655</v>
      </c>
      <c r="BT41" s="691" t="s">
        <v>1572</v>
      </c>
    </row>
    <row r="42" spans="1:72" s="681" customFormat="1" ht="13" hidden="1">
      <c r="A42" s="1545">
        <v>41</v>
      </c>
      <c r="B42" s="1546" t="s">
        <v>651</v>
      </c>
      <c r="C42" s="1546" t="s">
        <v>695</v>
      </c>
      <c r="D42" s="1547" t="s">
        <v>6943</v>
      </c>
      <c r="E42" s="690" t="s">
        <v>653</v>
      </c>
      <c r="F42" s="691"/>
      <c r="G42" s="692"/>
      <c r="H42" s="692"/>
      <c r="I42" s="692"/>
      <c r="J42" s="693"/>
      <c r="K42" s="693"/>
      <c r="L42" s="693"/>
      <c r="M42" s="694"/>
      <c r="N42" s="695"/>
      <c r="O42" s="696" t="s">
        <v>1569</v>
      </c>
      <c r="P42" s="695">
        <f>('Malaria-Key Info'!$G$59*'HPM costs'!F84)/'HPM costs'!$E$84</f>
        <v>0</v>
      </c>
      <c r="Q42" s="695" t="s">
        <v>1569</v>
      </c>
      <c r="R42" s="695">
        <f>('Malaria-Key Info'!$G$59*'HPM costs'!G84)/'HPM costs'!$E$84</f>
        <v>0</v>
      </c>
      <c r="S42" s="695" t="s">
        <v>1569</v>
      </c>
      <c r="T42" s="695">
        <f>('Malaria-Key Info'!$G$59*'HPM costs'!H84)/'HPM costs'!$E$84</f>
        <v>0</v>
      </c>
      <c r="U42" s="695" t="s">
        <v>1569</v>
      </c>
      <c r="V42" s="695">
        <f>('Malaria-Key Info'!$G$59*'HPM costs'!I84)/'HPM costs'!$E$84</f>
        <v>0</v>
      </c>
      <c r="W42" s="695"/>
      <c r="X42" s="1492">
        <f t="shared" si="0"/>
        <v>0</v>
      </c>
      <c r="Y42" s="1493"/>
      <c r="Z42" s="1494"/>
      <c r="AA42" s="699"/>
      <c r="AB42" s="695"/>
      <c r="AC42" s="695">
        <f>('Malaria-Key Info'!$G$59*'HPM costs'!K84)/'HPM costs'!$E$84</f>
        <v>0</v>
      </c>
      <c r="AD42" s="695"/>
      <c r="AE42" s="695">
        <f>('Malaria-Key Info'!$G$59*'HPM costs'!L84)/'HPM costs'!$E$84</f>
        <v>0</v>
      </c>
      <c r="AF42" s="695"/>
      <c r="AG42" s="695">
        <f>('Malaria-Key Info'!$G$59*'HPM costs'!M84)/'HPM costs'!$E$84</f>
        <v>0</v>
      </c>
      <c r="AH42" s="695"/>
      <c r="AI42" s="695">
        <f>('Malaria-Key Info'!$G$59*'HPM costs'!N84)/'HPM costs'!$E$84</f>
        <v>0</v>
      </c>
      <c r="AJ42" s="695"/>
      <c r="AK42" s="1492">
        <f t="shared" si="1"/>
        <v>0</v>
      </c>
      <c r="AL42" s="1493"/>
      <c r="AM42" s="1494"/>
      <c r="AN42" s="699"/>
      <c r="AO42" s="695"/>
      <c r="AP42" s="695">
        <f>('Malaria-Key Info'!$G$59*'HPM costs'!P84)/'HPM costs'!$E$84</f>
        <v>0</v>
      </c>
      <c r="AQ42" s="695"/>
      <c r="AR42" s="695">
        <f>('Malaria-Key Info'!$G$59*'HPM costs'!Q84)/'HPM costs'!$E$84</f>
        <v>0</v>
      </c>
      <c r="AS42" s="695"/>
      <c r="AT42" s="695">
        <f>('Malaria-Key Info'!$G$59*'HPM costs'!R84)/'HPM costs'!$E$84</f>
        <v>0</v>
      </c>
      <c r="AU42" s="695"/>
      <c r="AV42" s="695">
        <f>('Malaria-Key Info'!$G$59*'HPM costs'!S84)/'HPM costs'!$E$84</f>
        <v>0</v>
      </c>
      <c r="AW42" s="695"/>
      <c r="AX42" s="1492">
        <f t="shared" si="2"/>
        <v>0</v>
      </c>
      <c r="AY42" s="1492"/>
      <c r="AZ42" s="698"/>
      <c r="BA42" s="699"/>
      <c r="BB42" s="697"/>
      <c r="BC42" s="697">
        <v>0</v>
      </c>
      <c r="BD42" s="697">
        <v>0</v>
      </c>
      <c r="BE42" s="697">
        <v>0</v>
      </c>
      <c r="BF42" s="697">
        <v>0</v>
      </c>
      <c r="BG42" s="697">
        <v>0</v>
      </c>
      <c r="BH42" s="697">
        <v>0</v>
      </c>
      <c r="BI42" s="697">
        <v>0</v>
      </c>
      <c r="BJ42" s="697">
        <v>0</v>
      </c>
      <c r="BK42" s="1492">
        <f t="shared" si="3"/>
        <v>0</v>
      </c>
      <c r="BL42" s="1492"/>
      <c r="BM42" s="1492">
        <f t="shared" si="4"/>
        <v>0</v>
      </c>
      <c r="BN42" s="1492">
        <f t="shared" si="5"/>
        <v>0</v>
      </c>
      <c r="BO42" s="697"/>
      <c r="BP42" s="697"/>
      <c r="BQ42" s="1495">
        <v>0</v>
      </c>
      <c r="BR42" s="1495" t="s">
        <v>19</v>
      </c>
      <c r="BS42" s="1495" t="s">
        <v>6943</v>
      </c>
      <c r="BT42" s="691" t="s">
        <v>704</v>
      </c>
    </row>
    <row r="43" spans="1:72" s="681" customFormat="1" ht="13" hidden="1">
      <c r="A43" s="1545">
        <v>42</v>
      </c>
      <c r="B43" s="1546" t="s">
        <v>651</v>
      </c>
      <c r="C43" s="1546" t="s">
        <v>695</v>
      </c>
      <c r="D43" s="1547" t="s">
        <v>655</v>
      </c>
      <c r="E43" s="690" t="s">
        <v>656</v>
      </c>
      <c r="F43" s="691"/>
      <c r="G43" s="692"/>
      <c r="H43" s="692"/>
      <c r="I43" s="692"/>
      <c r="J43" s="693"/>
      <c r="K43" s="693"/>
      <c r="L43" s="693"/>
      <c r="M43" s="694"/>
      <c r="N43" s="695"/>
      <c r="O43" s="696" t="s">
        <v>1569</v>
      </c>
      <c r="P43" s="695">
        <f>'Malaria-Key Info'!$G$59*'HPM costs'!F84</f>
        <v>0</v>
      </c>
      <c r="Q43" s="695" t="s">
        <v>1569</v>
      </c>
      <c r="R43" s="695">
        <f>'Malaria-Key Info'!$G$59*'HPM costs'!G84</f>
        <v>0</v>
      </c>
      <c r="S43" s="695" t="s">
        <v>1569</v>
      </c>
      <c r="T43" s="695">
        <f>'Malaria-Key Info'!$G$59*'HPM costs'!H84</f>
        <v>0</v>
      </c>
      <c r="U43" s="695" t="s">
        <v>1569</v>
      </c>
      <c r="V43" s="695">
        <f>'Malaria-Key Info'!$G$59*'HPM costs'!I84</f>
        <v>0</v>
      </c>
      <c r="W43" s="695"/>
      <c r="X43" s="1492">
        <f t="shared" si="0"/>
        <v>0</v>
      </c>
      <c r="Y43" s="1493"/>
      <c r="Z43" s="1494"/>
      <c r="AA43" s="699"/>
      <c r="AB43" s="695"/>
      <c r="AC43" s="695">
        <f>'Malaria-Key Info'!$G$59*'HPM costs'!K84</f>
        <v>0</v>
      </c>
      <c r="AD43" s="695"/>
      <c r="AE43" s="695">
        <f>'Malaria-Key Info'!$G$59*'HPM costs'!L84</f>
        <v>0</v>
      </c>
      <c r="AF43" s="695"/>
      <c r="AG43" s="695">
        <f>'Malaria-Key Info'!$G$59*'HPM costs'!M84</f>
        <v>0</v>
      </c>
      <c r="AH43" s="695"/>
      <c r="AI43" s="695">
        <f>'Malaria-Key Info'!$G$59*'HPM costs'!N84</f>
        <v>0</v>
      </c>
      <c r="AJ43" s="695"/>
      <c r="AK43" s="1492">
        <f t="shared" si="1"/>
        <v>0</v>
      </c>
      <c r="AL43" s="1493"/>
      <c r="AM43" s="1494"/>
      <c r="AN43" s="699"/>
      <c r="AO43" s="695"/>
      <c r="AP43" s="695">
        <f>'Malaria-Key Info'!$G$59*'HPM costs'!P84</f>
        <v>0</v>
      </c>
      <c r="AQ43" s="695"/>
      <c r="AR43" s="695">
        <f>'Malaria-Key Info'!$G$59*'HPM costs'!Q84</f>
        <v>0</v>
      </c>
      <c r="AS43" s="695"/>
      <c r="AT43" s="695">
        <f>'Malaria-Key Info'!$G$59*'HPM costs'!R84</f>
        <v>0</v>
      </c>
      <c r="AU43" s="695"/>
      <c r="AV43" s="695">
        <f>'Malaria-Key Info'!$G$59*'HPM costs'!S84</f>
        <v>0</v>
      </c>
      <c r="AW43" s="695"/>
      <c r="AX43" s="1492">
        <f t="shared" si="2"/>
        <v>0</v>
      </c>
      <c r="AY43" s="1492"/>
      <c r="AZ43" s="698"/>
      <c r="BA43" s="699"/>
      <c r="BB43" s="697"/>
      <c r="BC43" s="697">
        <v>0</v>
      </c>
      <c r="BD43" s="697">
        <v>0</v>
      </c>
      <c r="BE43" s="697">
        <v>0</v>
      </c>
      <c r="BF43" s="697">
        <v>0</v>
      </c>
      <c r="BG43" s="697">
        <v>0</v>
      </c>
      <c r="BH43" s="697">
        <v>0</v>
      </c>
      <c r="BI43" s="697">
        <v>0</v>
      </c>
      <c r="BJ43" s="697">
        <v>0</v>
      </c>
      <c r="BK43" s="1492">
        <f t="shared" si="3"/>
        <v>0</v>
      </c>
      <c r="BL43" s="1492"/>
      <c r="BM43" s="1492">
        <f t="shared" si="4"/>
        <v>0</v>
      </c>
      <c r="BN43" s="1492">
        <f t="shared" si="5"/>
        <v>0</v>
      </c>
      <c r="BO43" s="697"/>
      <c r="BP43" s="697"/>
      <c r="BQ43" s="1495">
        <v>0</v>
      </c>
      <c r="BR43" s="1495" t="s">
        <v>19</v>
      </c>
      <c r="BS43" s="1495" t="s">
        <v>655</v>
      </c>
      <c r="BT43" s="691" t="s">
        <v>705</v>
      </c>
    </row>
    <row r="44" spans="1:72" s="681" customFormat="1" ht="13" hidden="1">
      <c r="A44" s="1545">
        <v>43</v>
      </c>
      <c r="B44" s="1546" t="s">
        <v>651</v>
      </c>
      <c r="C44" s="1546" t="s">
        <v>695</v>
      </c>
      <c r="D44" s="1547" t="s">
        <v>655</v>
      </c>
      <c r="E44" s="690" t="s">
        <v>658</v>
      </c>
      <c r="F44" s="691"/>
      <c r="G44" s="692"/>
      <c r="H44" s="692"/>
      <c r="I44" s="692"/>
      <c r="J44" s="693"/>
      <c r="K44" s="693"/>
      <c r="L44" s="693"/>
      <c r="M44" s="694"/>
      <c r="N44" s="695"/>
      <c r="O44" s="696" t="s">
        <v>1569</v>
      </c>
      <c r="P44" s="695">
        <f>'Malaria-Key Info'!$G$59*'HPM costs'!F170</f>
        <v>0</v>
      </c>
      <c r="Q44" s="695" t="s">
        <v>1569</v>
      </c>
      <c r="R44" s="695">
        <f>'Malaria-Key Info'!$G$59*'HPM costs'!G170</f>
        <v>0</v>
      </c>
      <c r="S44" s="695" t="s">
        <v>1569</v>
      </c>
      <c r="T44" s="695">
        <f>'Malaria-Key Info'!$G$59*'HPM costs'!H170</f>
        <v>0</v>
      </c>
      <c r="U44" s="695" t="s">
        <v>1569</v>
      </c>
      <c r="V44" s="695">
        <f>'Malaria-Key Info'!$G$59*'HPM costs'!I170</f>
        <v>0</v>
      </c>
      <c r="W44" s="695"/>
      <c r="X44" s="1492">
        <f t="shared" si="0"/>
        <v>0</v>
      </c>
      <c r="Y44" s="1493"/>
      <c r="Z44" s="1494"/>
      <c r="AA44" s="699"/>
      <c r="AB44" s="695"/>
      <c r="AC44" s="695">
        <f>'Malaria-Key Info'!$G$59*'HPM costs'!K170</f>
        <v>0</v>
      </c>
      <c r="AD44" s="695"/>
      <c r="AE44" s="695">
        <f>'Malaria-Key Info'!$G$59*'HPM costs'!L170</f>
        <v>0</v>
      </c>
      <c r="AF44" s="695"/>
      <c r="AG44" s="695">
        <f>'Malaria-Key Info'!$G$59*'HPM costs'!M170</f>
        <v>0</v>
      </c>
      <c r="AH44" s="695"/>
      <c r="AI44" s="695">
        <f>'Malaria-Key Info'!$G$59*'HPM costs'!N170</f>
        <v>0</v>
      </c>
      <c r="AJ44" s="695"/>
      <c r="AK44" s="1492">
        <f t="shared" si="1"/>
        <v>0</v>
      </c>
      <c r="AL44" s="1493"/>
      <c r="AM44" s="1494"/>
      <c r="AN44" s="699"/>
      <c r="AO44" s="695"/>
      <c r="AP44" s="695">
        <f>'Malaria-Key Info'!$G$59*'HPM costs'!P170</f>
        <v>0</v>
      </c>
      <c r="AQ44" s="695"/>
      <c r="AR44" s="695">
        <f>'Malaria-Key Info'!$G$59*'HPM costs'!Q170</f>
        <v>0</v>
      </c>
      <c r="AS44" s="695"/>
      <c r="AT44" s="695">
        <f>'Malaria-Key Info'!$G$59*'HPM costs'!R170</f>
        <v>0</v>
      </c>
      <c r="AU44" s="695"/>
      <c r="AV44" s="695">
        <f>'Malaria-Key Info'!$G$59*'HPM costs'!S170</f>
        <v>0</v>
      </c>
      <c r="AW44" s="695"/>
      <c r="AX44" s="1492">
        <f t="shared" si="2"/>
        <v>0</v>
      </c>
      <c r="AY44" s="1492"/>
      <c r="AZ44" s="698"/>
      <c r="BA44" s="699"/>
      <c r="BB44" s="697"/>
      <c r="BC44" s="697">
        <v>0</v>
      </c>
      <c r="BD44" s="697">
        <v>0</v>
      </c>
      <c r="BE44" s="697">
        <v>0</v>
      </c>
      <c r="BF44" s="697">
        <v>0</v>
      </c>
      <c r="BG44" s="697">
        <v>0</v>
      </c>
      <c r="BH44" s="697">
        <v>0</v>
      </c>
      <c r="BI44" s="697">
        <v>0</v>
      </c>
      <c r="BJ44" s="697">
        <v>0</v>
      </c>
      <c r="BK44" s="1492">
        <f t="shared" si="3"/>
        <v>0</v>
      </c>
      <c r="BL44" s="1492"/>
      <c r="BM44" s="1492">
        <f t="shared" si="4"/>
        <v>0</v>
      </c>
      <c r="BN44" s="1492">
        <f t="shared" si="5"/>
        <v>0</v>
      </c>
      <c r="BO44" s="697"/>
      <c r="BP44" s="697"/>
      <c r="BQ44" s="1495">
        <v>0</v>
      </c>
      <c r="BR44" s="1495" t="s">
        <v>19</v>
      </c>
      <c r="BS44" s="1495" t="s">
        <v>655</v>
      </c>
      <c r="BT44" s="691" t="s">
        <v>706</v>
      </c>
    </row>
    <row r="45" spans="1:72" s="681" customFormat="1" ht="13" hidden="1">
      <c r="A45" s="1545">
        <v>44</v>
      </c>
      <c r="B45" s="1546" t="s">
        <v>651</v>
      </c>
      <c r="C45" s="1546" t="s">
        <v>695</v>
      </c>
      <c r="D45" s="1547" t="s">
        <v>655</v>
      </c>
      <c r="E45" s="690" t="s">
        <v>660</v>
      </c>
      <c r="F45" s="691"/>
      <c r="G45" s="692"/>
      <c r="H45" s="692"/>
      <c r="I45" s="692"/>
      <c r="J45" s="693"/>
      <c r="K45" s="693"/>
      <c r="L45" s="693"/>
      <c r="M45" s="694"/>
      <c r="N45" s="695"/>
      <c r="O45" s="696" t="s">
        <v>1569</v>
      </c>
      <c r="P45" s="695">
        <f>'Malaria-Key Info'!$G$59*'HPM costs'!F430</f>
        <v>0</v>
      </c>
      <c r="Q45" s="695" t="s">
        <v>1569</v>
      </c>
      <c r="R45" s="695">
        <f>'Malaria-Key Info'!$G$59*'HPM costs'!G430</f>
        <v>0</v>
      </c>
      <c r="S45" s="695" t="s">
        <v>1569</v>
      </c>
      <c r="T45" s="695">
        <f>'Malaria-Key Info'!$G$59*'HPM costs'!H430</f>
        <v>0</v>
      </c>
      <c r="U45" s="695" t="s">
        <v>1569</v>
      </c>
      <c r="V45" s="695">
        <f>'Malaria-Key Info'!$G$59*'HPM costs'!I430</f>
        <v>0</v>
      </c>
      <c r="W45" s="695"/>
      <c r="X45" s="1492">
        <f t="shared" si="0"/>
        <v>0</v>
      </c>
      <c r="Y45" s="1493"/>
      <c r="Z45" s="1494"/>
      <c r="AA45" s="699"/>
      <c r="AB45" s="695"/>
      <c r="AC45" s="695">
        <f>'Malaria-Key Info'!$G$59*'HPM costs'!K430</f>
        <v>0</v>
      </c>
      <c r="AD45" s="695"/>
      <c r="AE45" s="695">
        <f>'Malaria-Key Info'!$G$59*'HPM costs'!L430</f>
        <v>0</v>
      </c>
      <c r="AF45" s="695"/>
      <c r="AG45" s="695">
        <f>'Malaria-Key Info'!$G$59*'HPM costs'!M430</f>
        <v>0</v>
      </c>
      <c r="AH45" s="695"/>
      <c r="AI45" s="695">
        <f>'Malaria-Key Info'!$G$59*'HPM costs'!N430</f>
        <v>0</v>
      </c>
      <c r="AJ45" s="695"/>
      <c r="AK45" s="1492">
        <f t="shared" si="1"/>
        <v>0</v>
      </c>
      <c r="AL45" s="1493"/>
      <c r="AM45" s="1494"/>
      <c r="AN45" s="699"/>
      <c r="AO45" s="695"/>
      <c r="AP45" s="695">
        <f>'Malaria-Key Info'!$G$59*'HPM costs'!P430</f>
        <v>0</v>
      </c>
      <c r="AQ45" s="695"/>
      <c r="AR45" s="695">
        <f>'Malaria-Key Info'!$G$59*'HPM costs'!Q430</f>
        <v>0</v>
      </c>
      <c r="AS45" s="695"/>
      <c r="AT45" s="695">
        <f>'Malaria-Key Info'!$G$59*'HPM costs'!R430</f>
        <v>0</v>
      </c>
      <c r="AU45" s="695"/>
      <c r="AV45" s="695">
        <f>'Malaria-Key Info'!$G$59*'HPM costs'!S430</f>
        <v>0</v>
      </c>
      <c r="AW45" s="695"/>
      <c r="AX45" s="1492">
        <f t="shared" si="2"/>
        <v>0</v>
      </c>
      <c r="AY45" s="1492"/>
      <c r="AZ45" s="698"/>
      <c r="BA45" s="699"/>
      <c r="BB45" s="697"/>
      <c r="BC45" s="697">
        <v>0</v>
      </c>
      <c r="BD45" s="697">
        <v>0</v>
      </c>
      <c r="BE45" s="697">
        <v>0</v>
      </c>
      <c r="BF45" s="697">
        <v>0</v>
      </c>
      <c r="BG45" s="697">
        <v>0</v>
      </c>
      <c r="BH45" s="697">
        <v>0</v>
      </c>
      <c r="BI45" s="697">
        <v>0</v>
      </c>
      <c r="BJ45" s="697">
        <v>0</v>
      </c>
      <c r="BK45" s="1492">
        <f t="shared" si="3"/>
        <v>0</v>
      </c>
      <c r="BL45" s="1492"/>
      <c r="BM45" s="1492">
        <f t="shared" si="4"/>
        <v>0</v>
      </c>
      <c r="BN45" s="1492">
        <f t="shared" si="5"/>
        <v>0</v>
      </c>
      <c r="BO45" s="697"/>
      <c r="BP45" s="697"/>
      <c r="BQ45" s="1495">
        <v>0</v>
      </c>
      <c r="BR45" s="1495" t="s">
        <v>19</v>
      </c>
      <c r="BS45" s="1495" t="s">
        <v>655</v>
      </c>
      <c r="BT45" s="691" t="s">
        <v>707</v>
      </c>
    </row>
    <row r="46" spans="1:72" s="681" customFormat="1" ht="13" hidden="1">
      <c r="A46" s="1545">
        <v>45</v>
      </c>
      <c r="B46" s="1546" t="s">
        <v>651</v>
      </c>
      <c r="C46" s="1546" t="s">
        <v>695</v>
      </c>
      <c r="D46" s="1547" t="s">
        <v>655</v>
      </c>
      <c r="E46" s="690" t="s">
        <v>662</v>
      </c>
      <c r="F46" s="691"/>
      <c r="G46" s="692"/>
      <c r="H46" s="692"/>
      <c r="I46" s="692"/>
      <c r="J46" s="693"/>
      <c r="K46" s="693"/>
      <c r="L46" s="693"/>
      <c r="M46" s="694"/>
      <c r="N46" s="695"/>
      <c r="O46" s="696" t="s">
        <v>1569</v>
      </c>
      <c r="P46" s="695">
        <f>'Malaria-Key Info'!$G$59*'HPM costs'!F516</f>
        <v>0</v>
      </c>
      <c r="Q46" s="695" t="s">
        <v>1569</v>
      </c>
      <c r="R46" s="695">
        <f>'Malaria-Key Info'!$G$59*'HPM costs'!G516</f>
        <v>0</v>
      </c>
      <c r="S46" s="695" t="s">
        <v>1569</v>
      </c>
      <c r="T46" s="695">
        <f>'Malaria-Key Info'!$G$59*'HPM costs'!H516</f>
        <v>0</v>
      </c>
      <c r="U46" s="695" t="s">
        <v>1569</v>
      </c>
      <c r="V46" s="695">
        <f>'Malaria-Key Info'!$G$59*'HPM costs'!I516</f>
        <v>0</v>
      </c>
      <c r="W46" s="695"/>
      <c r="X46" s="1492">
        <f t="shared" si="0"/>
        <v>0</v>
      </c>
      <c r="Y46" s="1493"/>
      <c r="Z46" s="1494"/>
      <c r="AA46" s="699"/>
      <c r="AB46" s="695"/>
      <c r="AC46" s="695">
        <f>'Malaria-Key Info'!$G$59*'HPM costs'!K516</f>
        <v>0</v>
      </c>
      <c r="AD46" s="695"/>
      <c r="AE46" s="695">
        <f>'Malaria-Key Info'!$G$59*'HPM costs'!L516</f>
        <v>0</v>
      </c>
      <c r="AF46" s="695"/>
      <c r="AG46" s="695">
        <f>'Malaria-Key Info'!$G$59*'HPM costs'!M516</f>
        <v>0</v>
      </c>
      <c r="AH46" s="695"/>
      <c r="AI46" s="695">
        <f>'Malaria-Key Info'!$G$59*'HPM costs'!N516</f>
        <v>0</v>
      </c>
      <c r="AJ46" s="695"/>
      <c r="AK46" s="1492">
        <f t="shared" si="1"/>
        <v>0</v>
      </c>
      <c r="AL46" s="1493"/>
      <c r="AM46" s="1494"/>
      <c r="AN46" s="699"/>
      <c r="AO46" s="695"/>
      <c r="AP46" s="695">
        <f>'Malaria-Key Info'!$G$59*'HPM costs'!P516</f>
        <v>0</v>
      </c>
      <c r="AQ46" s="695"/>
      <c r="AR46" s="695">
        <f>'Malaria-Key Info'!$G$59*'HPM costs'!Q516</f>
        <v>0</v>
      </c>
      <c r="AS46" s="695"/>
      <c r="AT46" s="695">
        <f>'Malaria-Key Info'!$G$59*'HPM costs'!R516</f>
        <v>0</v>
      </c>
      <c r="AU46" s="695"/>
      <c r="AV46" s="695">
        <f>'Malaria-Key Info'!$G$59*'HPM costs'!S516</f>
        <v>0</v>
      </c>
      <c r="AW46" s="695"/>
      <c r="AX46" s="1492">
        <f t="shared" si="2"/>
        <v>0</v>
      </c>
      <c r="AY46" s="1492"/>
      <c r="AZ46" s="698"/>
      <c r="BA46" s="699"/>
      <c r="BB46" s="697"/>
      <c r="BC46" s="697">
        <v>0</v>
      </c>
      <c r="BD46" s="697">
        <v>0</v>
      </c>
      <c r="BE46" s="697">
        <v>0</v>
      </c>
      <c r="BF46" s="697">
        <v>0</v>
      </c>
      <c r="BG46" s="697">
        <v>0</v>
      </c>
      <c r="BH46" s="697">
        <v>0</v>
      </c>
      <c r="BI46" s="697">
        <v>0</v>
      </c>
      <c r="BJ46" s="697">
        <v>0</v>
      </c>
      <c r="BK46" s="1492">
        <f t="shared" si="3"/>
        <v>0</v>
      </c>
      <c r="BL46" s="1492"/>
      <c r="BM46" s="1492">
        <f t="shared" si="4"/>
        <v>0</v>
      </c>
      <c r="BN46" s="1492">
        <f t="shared" si="5"/>
        <v>0</v>
      </c>
      <c r="BO46" s="697"/>
      <c r="BP46" s="697"/>
      <c r="BQ46" s="1495">
        <v>0</v>
      </c>
      <c r="BR46" s="1495" t="s">
        <v>19</v>
      </c>
      <c r="BS46" s="1495" t="s">
        <v>655</v>
      </c>
      <c r="BT46" s="691" t="s">
        <v>708</v>
      </c>
    </row>
    <row r="47" spans="1:72" s="681" customFormat="1" ht="13" hidden="1">
      <c r="A47" s="1545">
        <v>46</v>
      </c>
      <c r="B47" s="1546" t="s">
        <v>651</v>
      </c>
      <c r="C47" s="1546" t="s">
        <v>695</v>
      </c>
      <c r="D47" s="1547" t="s">
        <v>655</v>
      </c>
      <c r="E47" s="690" t="s">
        <v>664</v>
      </c>
      <c r="F47" s="691"/>
      <c r="G47" s="692"/>
      <c r="H47" s="692"/>
      <c r="I47" s="692"/>
      <c r="J47" s="693"/>
      <c r="K47" s="693"/>
      <c r="L47" s="693"/>
      <c r="M47" s="694"/>
      <c r="N47" s="695"/>
      <c r="O47" s="696" t="s">
        <v>1569</v>
      </c>
      <c r="P47" s="695">
        <f>'Malaria-Key Info'!$G$59*('HPM costs'!F256+'HPM costs'!F602)</f>
        <v>0</v>
      </c>
      <c r="Q47" s="695" t="s">
        <v>1569</v>
      </c>
      <c r="R47" s="695">
        <f>'Malaria-Key Info'!$G$59*('HPM costs'!G256+'HPM costs'!G602)</f>
        <v>0</v>
      </c>
      <c r="S47" s="695" t="s">
        <v>1569</v>
      </c>
      <c r="T47" s="695">
        <f>'Malaria-Key Info'!$G$59*('HPM costs'!H256+'HPM costs'!H602)</f>
        <v>0</v>
      </c>
      <c r="U47" s="695" t="s">
        <v>1569</v>
      </c>
      <c r="V47" s="695">
        <f>'Malaria-Key Info'!$G$59*('HPM costs'!I256+'HPM costs'!I602)</f>
        <v>0</v>
      </c>
      <c r="W47" s="695"/>
      <c r="X47" s="1492">
        <f t="shared" si="0"/>
        <v>0</v>
      </c>
      <c r="Y47" s="1493"/>
      <c r="Z47" s="1494"/>
      <c r="AA47" s="699"/>
      <c r="AB47" s="695"/>
      <c r="AC47" s="695">
        <f>'Malaria-Key Info'!$G$59*('HPM costs'!K256+'HPM costs'!K602)</f>
        <v>0</v>
      </c>
      <c r="AD47" s="695"/>
      <c r="AE47" s="695">
        <f>'Malaria-Key Info'!$G$59*('HPM costs'!L256+'HPM costs'!L602)</f>
        <v>0</v>
      </c>
      <c r="AF47" s="695"/>
      <c r="AG47" s="695">
        <f>'Malaria-Key Info'!$G$59*('HPM costs'!M256+'HPM costs'!M602)</f>
        <v>0</v>
      </c>
      <c r="AH47" s="695"/>
      <c r="AI47" s="695">
        <f>'Malaria-Key Info'!$G$59*('HPM costs'!N256+'HPM costs'!N602)</f>
        <v>0</v>
      </c>
      <c r="AJ47" s="695"/>
      <c r="AK47" s="1492">
        <f t="shared" si="1"/>
        <v>0</v>
      </c>
      <c r="AL47" s="1493"/>
      <c r="AM47" s="1494"/>
      <c r="AN47" s="699"/>
      <c r="AO47" s="695"/>
      <c r="AP47" s="695">
        <f>'Malaria-Key Info'!$G$59*('HPM costs'!P256+'HPM costs'!P602)</f>
        <v>0</v>
      </c>
      <c r="AQ47" s="695"/>
      <c r="AR47" s="695">
        <f>'Malaria-Key Info'!$G$59*('HPM costs'!Q256+'HPM costs'!Q602)</f>
        <v>0</v>
      </c>
      <c r="AS47" s="695"/>
      <c r="AT47" s="695">
        <f>'Malaria-Key Info'!$G$59*('HPM costs'!R256+'HPM costs'!R602)</f>
        <v>0</v>
      </c>
      <c r="AU47" s="695"/>
      <c r="AV47" s="695">
        <f>'Malaria-Key Info'!$G$59*('HPM costs'!S256+'HPM costs'!S602)</f>
        <v>0</v>
      </c>
      <c r="AW47" s="695"/>
      <c r="AX47" s="1492">
        <f t="shared" si="2"/>
        <v>0</v>
      </c>
      <c r="AY47" s="1492"/>
      <c r="AZ47" s="698"/>
      <c r="BA47" s="699"/>
      <c r="BB47" s="697"/>
      <c r="BC47" s="697">
        <v>0</v>
      </c>
      <c r="BD47" s="697">
        <v>0</v>
      </c>
      <c r="BE47" s="697">
        <v>0</v>
      </c>
      <c r="BF47" s="697">
        <v>0</v>
      </c>
      <c r="BG47" s="697">
        <v>0</v>
      </c>
      <c r="BH47" s="697">
        <v>0</v>
      </c>
      <c r="BI47" s="697">
        <v>0</v>
      </c>
      <c r="BJ47" s="697">
        <v>0</v>
      </c>
      <c r="BK47" s="1492">
        <f t="shared" si="3"/>
        <v>0</v>
      </c>
      <c r="BL47" s="1492"/>
      <c r="BM47" s="1492">
        <f t="shared" si="4"/>
        <v>0</v>
      </c>
      <c r="BN47" s="1492">
        <f t="shared" si="5"/>
        <v>0</v>
      </c>
      <c r="BO47" s="697"/>
      <c r="BP47" s="697"/>
      <c r="BQ47" s="1495">
        <v>0</v>
      </c>
      <c r="BR47" s="1495" t="s">
        <v>19</v>
      </c>
      <c r="BS47" s="1495" t="s">
        <v>655</v>
      </c>
      <c r="BT47" s="691" t="s">
        <v>709</v>
      </c>
    </row>
    <row r="48" spans="1:72" s="681" customFormat="1" ht="13" hidden="1">
      <c r="A48" s="1545">
        <v>47</v>
      </c>
      <c r="B48" s="1546" t="s">
        <v>651</v>
      </c>
      <c r="C48" s="1546" t="s">
        <v>695</v>
      </c>
      <c r="D48" s="1547" t="s">
        <v>655</v>
      </c>
      <c r="E48" s="690" t="s">
        <v>666</v>
      </c>
      <c r="F48" s="691"/>
      <c r="G48" s="692"/>
      <c r="H48" s="692"/>
      <c r="I48" s="692"/>
      <c r="J48" s="693"/>
      <c r="K48" s="693"/>
      <c r="L48" s="693"/>
      <c r="M48" s="694"/>
      <c r="N48" s="695"/>
      <c r="O48" s="696" t="s">
        <v>1569</v>
      </c>
      <c r="P48" s="695">
        <f>'Malaria-Key Info'!$G$59*'HPM costs'!F342</f>
        <v>0</v>
      </c>
      <c r="Q48" s="695" t="s">
        <v>1569</v>
      </c>
      <c r="R48" s="695">
        <f>'Malaria-Key Info'!$G$59*'HPM costs'!G342</f>
        <v>0</v>
      </c>
      <c r="S48" s="695" t="s">
        <v>1569</v>
      </c>
      <c r="T48" s="695">
        <f>'Malaria-Key Info'!$G$59*'HPM costs'!H342</f>
        <v>0</v>
      </c>
      <c r="U48" s="695" t="s">
        <v>1569</v>
      </c>
      <c r="V48" s="695">
        <f>'Malaria-Key Info'!$G$59*'HPM costs'!I342</f>
        <v>0</v>
      </c>
      <c r="W48" s="695"/>
      <c r="X48" s="1492">
        <f t="shared" si="0"/>
        <v>0</v>
      </c>
      <c r="Y48" s="1493"/>
      <c r="Z48" s="1494"/>
      <c r="AA48" s="699"/>
      <c r="AB48" s="695"/>
      <c r="AC48" s="695">
        <f>'Malaria-Key Info'!$G$59*'HPM costs'!K342</f>
        <v>0</v>
      </c>
      <c r="AD48" s="695"/>
      <c r="AE48" s="695">
        <f>'Malaria-Key Info'!$G$59*'HPM costs'!L342</f>
        <v>0</v>
      </c>
      <c r="AF48" s="695"/>
      <c r="AG48" s="695">
        <f>'Malaria-Key Info'!$G$59*'HPM costs'!M342</f>
        <v>0</v>
      </c>
      <c r="AH48" s="695"/>
      <c r="AI48" s="695">
        <f>'Malaria-Key Info'!$G$59*'HPM costs'!N342</f>
        <v>0</v>
      </c>
      <c r="AJ48" s="695"/>
      <c r="AK48" s="1492">
        <f t="shared" si="1"/>
        <v>0</v>
      </c>
      <c r="AL48" s="1493"/>
      <c r="AM48" s="1494"/>
      <c r="AN48" s="699"/>
      <c r="AO48" s="695"/>
      <c r="AP48" s="695">
        <f>'Malaria-Key Info'!$G$59*'HPM costs'!P342</f>
        <v>0</v>
      </c>
      <c r="AQ48" s="695"/>
      <c r="AR48" s="695">
        <f>'Malaria-Key Info'!$G$59*'HPM costs'!Q342</f>
        <v>0</v>
      </c>
      <c r="AS48" s="695"/>
      <c r="AT48" s="695">
        <f>'Malaria-Key Info'!$G$59*'HPM costs'!R342</f>
        <v>0</v>
      </c>
      <c r="AU48" s="695"/>
      <c r="AV48" s="695">
        <f>'Malaria-Key Info'!$G$59*'HPM costs'!S342</f>
        <v>0</v>
      </c>
      <c r="AW48" s="695"/>
      <c r="AX48" s="1492">
        <f t="shared" si="2"/>
        <v>0</v>
      </c>
      <c r="AY48" s="1492"/>
      <c r="AZ48" s="698"/>
      <c r="BA48" s="699"/>
      <c r="BB48" s="697"/>
      <c r="BC48" s="697">
        <v>0</v>
      </c>
      <c r="BD48" s="697">
        <v>0</v>
      </c>
      <c r="BE48" s="697">
        <v>0</v>
      </c>
      <c r="BF48" s="697">
        <v>0</v>
      </c>
      <c r="BG48" s="697">
        <v>0</v>
      </c>
      <c r="BH48" s="697">
        <v>0</v>
      </c>
      <c r="BI48" s="697">
        <v>0</v>
      </c>
      <c r="BJ48" s="697">
        <v>0</v>
      </c>
      <c r="BK48" s="1492">
        <f t="shared" si="3"/>
        <v>0</v>
      </c>
      <c r="BL48" s="1492"/>
      <c r="BM48" s="1492">
        <f t="shared" si="4"/>
        <v>0</v>
      </c>
      <c r="BN48" s="1492">
        <f t="shared" si="5"/>
        <v>0</v>
      </c>
      <c r="BO48" s="697"/>
      <c r="BP48" s="697"/>
      <c r="BQ48" s="1495">
        <v>0</v>
      </c>
      <c r="BR48" s="1495" t="s">
        <v>19</v>
      </c>
      <c r="BS48" s="1495" t="s">
        <v>655</v>
      </c>
      <c r="BT48" s="691" t="s">
        <v>710</v>
      </c>
    </row>
    <row r="49" spans="1:72" s="681" customFormat="1" ht="13" hidden="1">
      <c r="A49" s="1545">
        <v>48</v>
      </c>
      <c r="B49" s="1546" t="s">
        <v>651</v>
      </c>
      <c r="C49" s="1546" t="s">
        <v>695</v>
      </c>
      <c r="D49" s="1547" t="s">
        <v>655</v>
      </c>
      <c r="E49" s="690" t="s">
        <v>668</v>
      </c>
      <c r="F49" s="691"/>
      <c r="G49" s="692"/>
      <c r="H49" s="692"/>
      <c r="I49" s="692"/>
      <c r="J49" s="693"/>
      <c r="K49" s="693"/>
      <c r="L49" s="693"/>
      <c r="M49" s="694"/>
      <c r="N49" s="695"/>
      <c r="O49" s="696" t="s">
        <v>1569</v>
      </c>
      <c r="P49" s="695">
        <f>'Malaria-Key Info'!$G$59*'HPM costs'!F687</f>
        <v>0</v>
      </c>
      <c r="Q49" s="695" t="s">
        <v>1569</v>
      </c>
      <c r="R49" s="695">
        <f>'Malaria-Key Info'!$G$59*'HPM costs'!G687</f>
        <v>0</v>
      </c>
      <c r="S49" s="695" t="s">
        <v>1569</v>
      </c>
      <c r="T49" s="695">
        <f>'Malaria-Key Info'!$G$59*'HPM costs'!H687</f>
        <v>0</v>
      </c>
      <c r="U49" s="695" t="s">
        <v>1569</v>
      </c>
      <c r="V49" s="695">
        <f>'Malaria-Key Info'!$G$59*'HPM costs'!I687</f>
        <v>0</v>
      </c>
      <c r="W49" s="695"/>
      <c r="X49" s="1492">
        <f t="shared" si="0"/>
        <v>0</v>
      </c>
      <c r="Y49" s="1493"/>
      <c r="Z49" s="1494"/>
      <c r="AA49" s="699"/>
      <c r="AB49" s="695"/>
      <c r="AC49" s="695">
        <f>'Malaria-Key Info'!$G$59*'HPM costs'!K687</f>
        <v>0</v>
      </c>
      <c r="AD49" s="695"/>
      <c r="AE49" s="695">
        <f>'Malaria-Key Info'!$G$59*'HPM costs'!L687</f>
        <v>0</v>
      </c>
      <c r="AF49" s="695"/>
      <c r="AG49" s="695">
        <f>'Malaria-Key Info'!$G$59*'HPM costs'!M687</f>
        <v>0</v>
      </c>
      <c r="AH49" s="695"/>
      <c r="AI49" s="695">
        <f>'Malaria-Key Info'!$G$59*'HPM costs'!N687</f>
        <v>0</v>
      </c>
      <c r="AJ49" s="695"/>
      <c r="AK49" s="1492">
        <f t="shared" si="1"/>
        <v>0</v>
      </c>
      <c r="AL49" s="1493"/>
      <c r="AM49" s="1494"/>
      <c r="AN49" s="699"/>
      <c r="AO49" s="695"/>
      <c r="AP49" s="695">
        <f>'Malaria-Key Info'!$G$59*'HPM costs'!P687</f>
        <v>0</v>
      </c>
      <c r="AQ49" s="695"/>
      <c r="AR49" s="695">
        <f>'Malaria-Key Info'!$G$59*'HPM costs'!Q687</f>
        <v>0</v>
      </c>
      <c r="AS49" s="695"/>
      <c r="AT49" s="695">
        <f>'Malaria-Key Info'!$G$59*'HPM costs'!R687</f>
        <v>0</v>
      </c>
      <c r="AU49" s="695"/>
      <c r="AV49" s="695">
        <f>'Malaria-Key Info'!$G$59*'HPM costs'!S687</f>
        <v>0</v>
      </c>
      <c r="AW49" s="695"/>
      <c r="AX49" s="1492">
        <f t="shared" si="2"/>
        <v>0</v>
      </c>
      <c r="AY49" s="1492"/>
      <c r="AZ49" s="698"/>
      <c r="BA49" s="699"/>
      <c r="BB49" s="697"/>
      <c r="BC49" s="697">
        <v>0</v>
      </c>
      <c r="BD49" s="697">
        <v>0</v>
      </c>
      <c r="BE49" s="697">
        <v>0</v>
      </c>
      <c r="BF49" s="697">
        <v>0</v>
      </c>
      <c r="BG49" s="697">
        <v>0</v>
      </c>
      <c r="BH49" s="697">
        <v>0</v>
      </c>
      <c r="BI49" s="697">
        <v>0</v>
      </c>
      <c r="BJ49" s="697">
        <v>0</v>
      </c>
      <c r="BK49" s="1492">
        <f t="shared" si="3"/>
        <v>0</v>
      </c>
      <c r="BL49" s="1492"/>
      <c r="BM49" s="1492">
        <f t="shared" si="4"/>
        <v>0</v>
      </c>
      <c r="BN49" s="1492">
        <f t="shared" si="5"/>
        <v>0</v>
      </c>
      <c r="BO49" s="697"/>
      <c r="BP49" s="697"/>
      <c r="BQ49" s="1495">
        <v>0</v>
      </c>
      <c r="BR49" s="1495" t="s">
        <v>19</v>
      </c>
      <c r="BS49" s="1495" t="s">
        <v>655</v>
      </c>
      <c r="BT49" s="691" t="s">
        <v>1573</v>
      </c>
    </row>
    <row r="50" spans="1:72" s="681" customFormat="1" ht="13" hidden="1">
      <c r="A50" s="1545">
        <v>49</v>
      </c>
      <c r="B50" s="1546" t="s">
        <v>651</v>
      </c>
      <c r="C50" s="1546" t="s">
        <v>711</v>
      </c>
      <c r="D50" s="1547" t="s">
        <v>712</v>
      </c>
      <c r="E50" s="690" t="s">
        <v>713</v>
      </c>
      <c r="F50" s="691"/>
      <c r="G50" s="692"/>
      <c r="H50" s="692"/>
      <c r="I50" s="692"/>
      <c r="J50" s="693"/>
      <c r="K50" s="693"/>
      <c r="L50" s="693"/>
      <c r="M50" s="694"/>
      <c r="N50" s="695"/>
      <c r="O50" s="696" t="s">
        <v>1569</v>
      </c>
      <c r="P50" s="695">
        <f>IF(SETUP!$F$56="Upfront",SUM('Extended Budget Sheet - Malaria'!K143:K160),0)</f>
        <v>0</v>
      </c>
      <c r="Q50" s="695" t="s">
        <v>1569</v>
      </c>
      <c r="R50" s="695">
        <f>IF(SETUP!$F$56="Upfront",SUM('Extended Budget Sheet - Malaria'!O143:O160),IF(SETUP!$F$56="At delivery", IF(SETUP!$G$56=1,SUM('Extended Budget Sheet - Malaria'!K143:K160),0),0))</f>
        <v>0</v>
      </c>
      <c r="S50" s="695" t="s">
        <v>1569</v>
      </c>
      <c r="T50" s="695">
        <f>IF(SETUP!$F$56="Upfront",SUM('Extended Budget Sheet - Malaria'!S143:S160),IF(SETUP!$F$56="At delivery", IF(SETUP!$G$56=2,SUM('Extended Budget Sheet - Malaria'!K143:K160),IF(SETUP!$G$56=1,SUM('Extended Budget Sheet - Malaria'!O143:O160),0)),0))</f>
        <v>0</v>
      </c>
      <c r="U50" s="695" t="s">
        <v>1569</v>
      </c>
      <c r="V50" s="695">
        <f>IF(SETUP!$F$56="Upfront",SUM('Extended Budget Sheet - Malaria'!W143:W160),IF(SETUP!$F$56="At delivery", IF(SETUP!$G$56=3,SUM('Extended Budget Sheet - Malaria'!K143:K160),IF(SETUP!$G$56=2,SUM('Extended Budget Sheet - Malaria'!O143:O160),IF(SETUP!$G$56=1,SUM('Extended Budget Sheet - Malaria'!S143:S160),0))),0))</f>
        <v>0</v>
      </c>
      <c r="W50" s="695"/>
      <c r="X50" s="1492">
        <f t="shared" si="0"/>
        <v>0</v>
      </c>
      <c r="Y50" s="1493"/>
      <c r="Z50" s="1494"/>
      <c r="AA50" s="699"/>
      <c r="AB50" s="695"/>
      <c r="AC50" s="695">
        <f>IF(SETUP!$F$56="Upfront",SUM('Extended Budget Sheet - Malaria'!AC143:AC160),IF(SETUP!$F$56="At delivery", IF(SETUP!$G$56=4,SUM('Extended Budget Sheet - Malaria'!K143:K160),IF(SETUP!$G$56=3,SUM('Extended Budget Sheet - Malaria'!O143:O160),IF(SETUP!$G$56=2,SUM('Extended Budget Sheet - Malaria'!S143:S160),IF(SETUP!$G$56=1,SUM('Extended Budget Sheet - Malaria'!W143:W160),0)))),0))</f>
        <v>0</v>
      </c>
      <c r="AD50" s="695"/>
      <c r="AE50" s="695">
        <f>IF(SETUP!$F$56="Upfront",SUM('Extended Budget Sheet - Malaria'!AG143:AG160),IF(SETUP!$F$56="At delivery", IF(SETUP!$G$56=4,SUM('Extended Budget Sheet - Malaria'!O143:O160),IF(SETUP!$G$56=3,SUM('Extended Budget Sheet - Malaria'!S143:S160),IF(SETUP!$G$56=2,SUM('Extended Budget Sheet - Malaria'!W143:W160),IF(SETUP!$G$56=1,SUM('Extended Budget Sheet - Malaria'!AC143:AC160),0)))),0))</f>
        <v>0</v>
      </c>
      <c r="AF50" s="695"/>
      <c r="AG50" s="695">
        <f>IF(SETUP!$F$56="Upfront",SUM('Extended Budget Sheet - Malaria'!AK143:AK160),IF(SETUP!$F$56="At delivery", IF(SETUP!$G$56=4,SUM('Extended Budget Sheet - Malaria'!S143:S160),IF(SETUP!$G$56=3,SUM('Extended Budget Sheet - Malaria'!W143:W160),IF(SETUP!$G$56=2,SUM('Extended Budget Sheet - Malaria'!AC143:AC160),IF(SETUP!$G$56=1,SUM('Extended Budget Sheet - Malaria'!AG143:AG160),0)))),0))</f>
        <v>0</v>
      </c>
      <c r="AH50" s="695"/>
      <c r="AI50" s="695">
        <f>IF(SETUP!$F$56="Upfront",SUM('Extended Budget Sheet - Malaria'!AO143:AO160),IF(SETUP!$F$56="At delivery", IF(SETUP!$G$56=4,SUM('Extended Budget Sheet - Malaria'!W143:W160),IF(SETUP!$G$56=3,SUM('Extended Budget Sheet - Malaria'!AC143:AC160),IF(SETUP!$G$56=2,SUM('Extended Budget Sheet - Malaria'!AG143:AG160),IF(SETUP!$G$56=1,SUM('Extended Budget Sheet - Malaria'!AK143:AK160),0)))),0))</f>
        <v>0</v>
      </c>
      <c r="AJ50" s="695"/>
      <c r="AK50" s="1492">
        <f t="shared" si="1"/>
        <v>0</v>
      </c>
      <c r="AL50" s="1493"/>
      <c r="AM50" s="1494"/>
      <c r="AN50" s="699"/>
      <c r="AO50" s="695"/>
      <c r="AP50" s="695">
        <f>IF(SETUP!$F$56="Upfront",SUM('Extended Budget Sheet - Malaria'!AU143:AU160),IF(SETUP!$F$56="At delivery", IF(SETUP!$G$56=4,SUM('Extended Budget Sheet - Malaria'!AC143:AC160),IF(SETUP!$G$56=3,SUM('Extended Budget Sheet - Malaria'!AG143:AG160),IF(SETUP!$G$56=2,SUM('Extended Budget Sheet - Malaria'!AK143:AK160),IF(SETUP!$G$56=1,SUM('Extended Budget Sheet - Malaria'!AO143:AO160),0)))),0))</f>
        <v>0</v>
      </c>
      <c r="AQ50" s="695"/>
      <c r="AR50" s="695">
        <f>IF(SETUP!$F$56="Upfront",SUM('Extended Budget Sheet - Malaria'!AY143:AY160),IF(SETUP!$F$56="At delivery", IF(SETUP!$G$56=4,SUM('Extended Budget Sheet - Malaria'!AG143:AG160),IF(SETUP!$G$56=3,SUM('Extended Budget Sheet - Malaria'!AK143:AK160),IF(SETUP!$G$56=2,SUM('Extended Budget Sheet - Malaria'!AO143:AO160),IF(SETUP!$G$56=1,SUM('Extended Budget Sheet - Malaria'!AU143:AU160),0)))),0))</f>
        <v>0</v>
      </c>
      <c r="AS50" s="695"/>
      <c r="AT50" s="695">
        <f>IF(SETUP!$F$56="Upfront",SUM('Extended Budget Sheet - Malaria'!BC143:BC160),IF(SETUP!$F$56="At delivery", IF(SETUP!$G$56=4,SUM('Extended Budget Sheet - Malaria'!AK143:AK160),IF(SETUP!$G$56=3,SUM('Extended Budget Sheet - Malaria'!AO143:AO160),IF(SETUP!$G$56=2,SUM('Extended Budget Sheet - Malaria'!AU143:AU160),IF(SETUP!$G$56=1,SUM('Extended Budget Sheet - Malaria'!AY143:AY160),0)))),0))</f>
        <v>0</v>
      </c>
      <c r="AU50" s="695"/>
      <c r="AV50" s="695">
        <f>IF(SETUP!$F$56="Upfront",SUM('Extended Budget Sheet - Malaria'!BG143:BG160),IF(SETUP!$F$56="At delivery", IF(SETUP!$G$56=4,SUM(SUM('Extended Budget Sheet - Malaria'!AO143:AO160),SUM('Extended Budget Sheet - Malaria'!AU143:AU160),SUM('Extended Budget Sheet - Malaria'!AY143:AY160),SUM('Extended Budget Sheet - Malaria'!BC143:BC160),SUM('Extended Budget Sheet - Malaria'!BG143:BG160)),IF(SETUP!$G$56=3,SUM(SUM('Extended Budget Sheet - Malaria'!AU143:AU160),SUM('Extended Budget Sheet - Malaria'!AY143:AY160),SUM('Extended Budget Sheet - Malaria'!BC143:BC160),SUM('Extended Budget Sheet - Malaria'!BG143:BG160)),IF(SETUP!$G$56=2,SUM(SUM('Extended Budget Sheet - Malaria'!AY143:AY160),SUM('Extended Budget Sheet - Malaria'!BC143:BC160),SUM('Extended Budget Sheet - Malaria'!BG143:BG160)),IF(SETUP!$G$56=1,SUM(SUM('Extended Budget Sheet - Malaria'!BC143:BC160),SUM('Extended Budget Sheet - Malaria'!BG143:BG160)),0)))),0))</f>
        <v>0</v>
      </c>
      <c r="AW50" s="695"/>
      <c r="AX50" s="1492">
        <f t="shared" si="2"/>
        <v>0</v>
      </c>
      <c r="AY50" s="1492"/>
      <c r="AZ50" s="698"/>
      <c r="BA50" s="699"/>
      <c r="BB50" s="697"/>
      <c r="BC50" s="697">
        <v>0</v>
      </c>
      <c r="BD50" s="697">
        <v>0</v>
      </c>
      <c r="BE50" s="697">
        <v>0</v>
      </c>
      <c r="BF50" s="697">
        <v>0</v>
      </c>
      <c r="BG50" s="697">
        <v>0</v>
      </c>
      <c r="BH50" s="697">
        <v>0</v>
      </c>
      <c r="BI50" s="697">
        <v>0</v>
      </c>
      <c r="BJ50" s="697">
        <v>0</v>
      </c>
      <c r="BK50" s="1492">
        <f t="shared" si="3"/>
        <v>0</v>
      </c>
      <c r="BL50" s="1492"/>
      <c r="BM50" s="1492">
        <f t="shared" si="4"/>
        <v>0</v>
      </c>
      <c r="BN50" s="1492">
        <f t="shared" si="5"/>
        <v>0</v>
      </c>
      <c r="BO50" s="697"/>
      <c r="BP50" s="697"/>
      <c r="BQ50" s="1495">
        <v>0</v>
      </c>
      <c r="BR50" s="1495" t="s">
        <v>19</v>
      </c>
      <c r="BS50" s="1495" t="s">
        <v>712</v>
      </c>
      <c r="BT50" s="691" t="s">
        <v>1762</v>
      </c>
    </row>
    <row r="51" spans="1:72" s="681" customFormat="1" ht="13" hidden="1">
      <c r="A51" s="1545">
        <v>50</v>
      </c>
      <c r="B51" s="1546" t="s">
        <v>651</v>
      </c>
      <c r="C51" s="1546" t="s">
        <v>711</v>
      </c>
      <c r="D51" s="1547" t="s">
        <v>6944</v>
      </c>
      <c r="E51" s="690" t="s">
        <v>714</v>
      </c>
      <c r="F51" s="691"/>
      <c r="G51" s="692"/>
      <c r="H51" s="692"/>
      <c r="I51" s="692"/>
      <c r="J51" s="693"/>
      <c r="K51" s="693"/>
      <c r="L51" s="693"/>
      <c r="M51" s="694"/>
      <c r="N51" s="695"/>
      <c r="O51" s="696" t="s">
        <v>1569</v>
      </c>
      <c r="P51" s="695">
        <f>IF(SETUP!$F$56="Upfront",SUM('Extended Budget Sheet - Malaria'!K161:K162),0)</f>
        <v>0</v>
      </c>
      <c r="Q51" s="695" t="s">
        <v>1569</v>
      </c>
      <c r="R51" s="695">
        <f>IF(SETUP!$F$56="Upfront",SUM('Extended Budget Sheet - Malaria'!O161:O162),IF(SETUP!$F$56="At delivery", IF(SETUP!$G$56=1,SUM('Extended Budget Sheet - Malaria'!K161:K162),0),0))</f>
        <v>0</v>
      </c>
      <c r="S51" s="695" t="s">
        <v>1569</v>
      </c>
      <c r="T51" s="695">
        <f>IF(SETUP!$F$56="Upfront",SUM('Extended Budget Sheet - Malaria'!S161:S162),IF(SETUP!$F$56="At delivery", IF(SETUP!$G$56=2,SUM('Extended Budget Sheet - Malaria'!K161:K162),IF(SETUP!$G$56=1,SUM('Extended Budget Sheet - Malaria'!O161:O162),0)),0))</f>
        <v>0</v>
      </c>
      <c r="U51" s="695" t="s">
        <v>1569</v>
      </c>
      <c r="V51" s="695">
        <f>IF(SETUP!$F$56="Upfront",SUM('Extended Budget Sheet - Malaria'!W161:W162),IF(SETUP!$F$56="At delivery", IF(SETUP!$G$56=3,SUM('Extended Budget Sheet - Malaria'!K161:K162),IF(SETUP!$G$56=2,SUM('Extended Budget Sheet - Malaria'!O161:O162),IF(SETUP!$G$56=1,SUM('Extended Budget Sheet - Malaria'!S161:S162),0))),0))</f>
        <v>0</v>
      </c>
      <c r="W51" s="695"/>
      <c r="X51" s="1492">
        <f t="shared" si="0"/>
        <v>0</v>
      </c>
      <c r="Y51" s="1493"/>
      <c r="Z51" s="1494"/>
      <c r="AA51" s="699"/>
      <c r="AB51" s="695"/>
      <c r="AC51" s="695">
        <f>IF(SETUP!$F$56="Upfront",SUM('Extended Budget Sheet - Malaria'!AC161:AC162),IF(SETUP!$F$56="At delivery", IF(SETUP!$G$56=4,SUM('Extended Budget Sheet - Malaria'!K161:K162),IF(SETUP!$G$56=3,SUM('Extended Budget Sheet - Malaria'!O161:O162),IF(SETUP!$G$56=2,SUM('Extended Budget Sheet - Malaria'!S161:S162),IF(SETUP!$G$56=1,SUM('Extended Budget Sheet - Malaria'!W161:W162),0)))),0))</f>
        <v>0</v>
      </c>
      <c r="AD51" s="695"/>
      <c r="AE51" s="695">
        <f>IF(SETUP!$F$56="Upfront",SUM('Extended Budget Sheet - Malaria'!AG161:AG162),IF(SETUP!$F$56="At delivery", IF(SETUP!$G$56=4,SUM('Extended Budget Sheet - Malaria'!O161:O162),IF(SETUP!$G$56=3,SUM('Extended Budget Sheet - Malaria'!S161:S162),IF(SETUP!$G$56=2,SUM('Extended Budget Sheet - Malaria'!W161:W162),IF(SETUP!$G$56=1,SUM('Extended Budget Sheet - Malaria'!AC161:AC162),0)))),0))</f>
        <v>0</v>
      </c>
      <c r="AF51" s="695"/>
      <c r="AG51" s="695">
        <f>IF(SETUP!$F$56="Upfront",SUM('Extended Budget Sheet - Malaria'!AK161:AK162),IF(SETUP!$F$56="At delivery", IF(SETUP!$G$56=4,SUM('Extended Budget Sheet - Malaria'!S161:S162),IF(SETUP!$G$56=3,SUM('Extended Budget Sheet - Malaria'!W161:W162),IF(SETUP!$G$56=2,SUM('Extended Budget Sheet - Malaria'!AC161:AC162),IF(SETUP!$G$56=1,SUM('Extended Budget Sheet - Malaria'!AG161:AG162),0)))),0))</f>
        <v>0</v>
      </c>
      <c r="AH51" s="695"/>
      <c r="AI51" s="695">
        <f>IF(SETUP!$F$56="Upfront",SUM('Extended Budget Sheet - Malaria'!AO161:AO162),IF(SETUP!$F$56="At delivery", IF(SETUP!$G$56=4,SUM('Extended Budget Sheet - Malaria'!W161:W162),IF(SETUP!$G$56=3,SUM('Extended Budget Sheet - Malaria'!AC161:AC162),IF(SETUP!$G$56=2,SUM('Extended Budget Sheet - Malaria'!AG161:AG162),IF(SETUP!$G$56=1,SUM('Extended Budget Sheet - Malaria'!AK161:AK162),0)))),0))</f>
        <v>0</v>
      </c>
      <c r="AJ51" s="695"/>
      <c r="AK51" s="1492">
        <f t="shared" si="1"/>
        <v>0</v>
      </c>
      <c r="AL51" s="1493"/>
      <c r="AM51" s="1494"/>
      <c r="AN51" s="699"/>
      <c r="AO51" s="695"/>
      <c r="AP51" s="695">
        <f>IF(SETUP!$F$56="Upfront",SUM('Extended Budget Sheet - Malaria'!AU161:AU162),IF(SETUP!$F$56="At delivery", IF(SETUP!$G$56=4,SUM('Extended Budget Sheet - Malaria'!AC161:AC162),IF(SETUP!$G$56=3,SUM('Extended Budget Sheet - Malaria'!AG161:AG162),IF(SETUP!$G$56=2,SUM('Extended Budget Sheet - Malaria'!AK161:AK162),IF(SETUP!$G$56=1,SUM('Extended Budget Sheet - Malaria'!AO161:AO162),0)))),0))</f>
        <v>0</v>
      </c>
      <c r="AQ51" s="695"/>
      <c r="AR51" s="695">
        <f>IF(SETUP!$F$56="Upfront",SUM('Extended Budget Sheet - Malaria'!AY161:AY162),IF(SETUP!$F$56="At delivery", IF(SETUP!$G$56=4,SUM('Extended Budget Sheet - Malaria'!AG161:AG162),IF(SETUP!$G$56=3,SUM('Extended Budget Sheet - Malaria'!AK161:AK162),IF(SETUP!$G$56=2,SUM('Extended Budget Sheet - Malaria'!AO161:AO162),IF(SETUP!$G$56=1,SUM('Extended Budget Sheet - Malaria'!AU161:AU162),0)))),0))</f>
        <v>0</v>
      </c>
      <c r="AS51" s="695"/>
      <c r="AT51" s="695">
        <f>IF(SETUP!$F$56="Upfront",SUM('Extended Budget Sheet - Malaria'!BC161:BC162),IF(SETUP!$F$56="At delivery", IF(SETUP!$G$56=4,SUM('Extended Budget Sheet - Malaria'!AK161:AK162),IF(SETUP!$G$56=3,SUM('Extended Budget Sheet - Malaria'!AO161:AO162),IF(SETUP!$G$56=2,SUM('Extended Budget Sheet - Malaria'!AU161:AU162),IF(SETUP!$G$56=1,SUM('Extended Budget Sheet - Malaria'!AY161:AY162),0)))),0))</f>
        <v>0</v>
      </c>
      <c r="AU51" s="695"/>
      <c r="AV51" s="695">
        <f>IF(SETUP!$F$56="Upfront",SUM('Extended Budget Sheet - Malaria'!BG161:BG162),IF(SETUP!$F$56="At delivery", IF(SETUP!$G$56=4,SUM(SUM('Extended Budget Sheet - Malaria'!AO161:AO162),SUM('Extended Budget Sheet - Malaria'!AU161:AU162),SUM('Extended Budget Sheet - Malaria'!AY161:AY162),SUM('Extended Budget Sheet - Malaria'!BC161:BC162),SUM('Extended Budget Sheet - Malaria'!BG161:BG162)),IF(SETUP!$G$56=3,SUM(SUM('Extended Budget Sheet - Malaria'!AU161:AU162),SUM('Extended Budget Sheet - Malaria'!AY161:AY162),SUM('Extended Budget Sheet - Malaria'!BC161:BC162),SUM('Extended Budget Sheet - Malaria'!BG161:BG162)),IF(SETUP!$G$56=2,SUM(SUM('Extended Budget Sheet - Malaria'!AY161:AY162),SUM('Extended Budget Sheet - Malaria'!BC161:BC162),SUM('Extended Budget Sheet - Malaria'!BG161:BG162)),IF(SETUP!$G$56=1,SUM(SUM('Extended Budget Sheet - Malaria'!BC161:BC162),SUM('Extended Budget Sheet - Malaria'!BG161:BG162)),0)))),0))</f>
        <v>0</v>
      </c>
      <c r="AW51" s="695"/>
      <c r="AX51" s="1492">
        <f t="shared" si="2"/>
        <v>0</v>
      </c>
      <c r="AY51" s="1492"/>
      <c r="AZ51" s="698"/>
      <c r="BA51" s="699"/>
      <c r="BB51" s="697"/>
      <c r="BC51" s="697">
        <v>0</v>
      </c>
      <c r="BD51" s="697">
        <v>0</v>
      </c>
      <c r="BE51" s="697">
        <v>0</v>
      </c>
      <c r="BF51" s="697">
        <v>0</v>
      </c>
      <c r="BG51" s="697">
        <v>0</v>
      </c>
      <c r="BH51" s="697">
        <v>0</v>
      </c>
      <c r="BI51" s="697">
        <v>0</v>
      </c>
      <c r="BJ51" s="697">
        <v>0</v>
      </c>
      <c r="BK51" s="1492">
        <f t="shared" si="3"/>
        <v>0</v>
      </c>
      <c r="BL51" s="1492"/>
      <c r="BM51" s="1492">
        <f t="shared" si="4"/>
        <v>0</v>
      </c>
      <c r="BN51" s="1492">
        <f t="shared" si="5"/>
        <v>0</v>
      </c>
      <c r="BO51" s="697"/>
      <c r="BP51" s="697"/>
      <c r="BQ51" s="1495">
        <v>0</v>
      </c>
      <c r="BR51" s="1495" t="s">
        <v>19</v>
      </c>
      <c r="BS51" s="1495" t="s">
        <v>6944</v>
      </c>
      <c r="BT51" s="691" t="s">
        <v>1763</v>
      </c>
    </row>
    <row r="52" spans="1:72" s="681" customFormat="1" ht="13" hidden="1">
      <c r="A52" s="1545">
        <v>51</v>
      </c>
      <c r="B52" s="1546" t="s">
        <v>651</v>
      </c>
      <c r="C52" s="1546" t="s">
        <v>711</v>
      </c>
      <c r="D52" s="1547" t="s">
        <v>655</v>
      </c>
      <c r="E52" s="690" t="s">
        <v>656</v>
      </c>
      <c r="F52" s="691"/>
      <c r="G52" s="692"/>
      <c r="H52" s="692"/>
      <c r="I52" s="692"/>
      <c r="J52" s="693"/>
      <c r="K52" s="693"/>
      <c r="L52" s="693"/>
      <c r="M52" s="694"/>
      <c r="N52" s="695"/>
      <c r="O52" s="696" t="s">
        <v>1569</v>
      </c>
      <c r="P52" s="695">
        <f>'HPM costs'!F87</f>
        <v>0</v>
      </c>
      <c r="Q52" s="695" t="s">
        <v>1569</v>
      </c>
      <c r="R52" s="695">
        <f>'HPM costs'!G87</f>
        <v>0</v>
      </c>
      <c r="S52" s="695" t="s">
        <v>1569</v>
      </c>
      <c r="T52" s="695">
        <f>'HPM costs'!H87</f>
        <v>0</v>
      </c>
      <c r="U52" s="695" t="s">
        <v>1569</v>
      </c>
      <c r="V52" s="695">
        <f>'HPM costs'!I87</f>
        <v>0</v>
      </c>
      <c r="W52" s="695"/>
      <c r="X52" s="1492">
        <f t="shared" si="0"/>
        <v>0</v>
      </c>
      <c r="Y52" s="1493"/>
      <c r="Z52" s="1494"/>
      <c r="AA52" s="699"/>
      <c r="AB52" s="695"/>
      <c r="AC52" s="695">
        <f>'HPM costs'!K87</f>
        <v>0</v>
      </c>
      <c r="AD52" s="695"/>
      <c r="AE52" s="695">
        <f>'HPM costs'!L87</f>
        <v>0</v>
      </c>
      <c r="AF52" s="695"/>
      <c r="AG52" s="695">
        <f>'HPM costs'!M87</f>
        <v>0</v>
      </c>
      <c r="AH52" s="695"/>
      <c r="AI52" s="695">
        <f>'HPM costs'!N87</f>
        <v>0</v>
      </c>
      <c r="AJ52" s="695"/>
      <c r="AK52" s="1492">
        <f t="shared" si="1"/>
        <v>0</v>
      </c>
      <c r="AL52" s="1493"/>
      <c r="AM52" s="1494"/>
      <c r="AN52" s="699"/>
      <c r="AO52" s="695"/>
      <c r="AP52" s="695">
        <f>'HPM costs'!P87</f>
        <v>0</v>
      </c>
      <c r="AQ52" s="695"/>
      <c r="AR52" s="695">
        <f>'HPM costs'!Q87</f>
        <v>0</v>
      </c>
      <c r="AS52" s="695"/>
      <c r="AT52" s="695">
        <f>'HPM costs'!R87</f>
        <v>0</v>
      </c>
      <c r="AU52" s="695"/>
      <c r="AV52" s="695">
        <f>'HPM costs'!S87</f>
        <v>0</v>
      </c>
      <c r="AW52" s="695"/>
      <c r="AX52" s="1492">
        <f t="shared" si="2"/>
        <v>0</v>
      </c>
      <c r="AY52" s="1492"/>
      <c r="AZ52" s="698"/>
      <c r="BA52" s="699"/>
      <c r="BB52" s="697"/>
      <c r="BC52" s="697">
        <v>0</v>
      </c>
      <c r="BD52" s="697">
        <v>0</v>
      </c>
      <c r="BE52" s="697">
        <v>0</v>
      </c>
      <c r="BF52" s="697">
        <v>0</v>
      </c>
      <c r="BG52" s="697">
        <v>0</v>
      </c>
      <c r="BH52" s="697">
        <v>0</v>
      </c>
      <c r="BI52" s="697">
        <v>0</v>
      </c>
      <c r="BJ52" s="697">
        <v>0</v>
      </c>
      <c r="BK52" s="1492">
        <f t="shared" si="3"/>
        <v>0</v>
      </c>
      <c r="BL52" s="1492"/>
      <c r="BM52" s="1492">
        <f t="shared" si="4"/>
        <v>0</v>
      </c>
      <c r="BN52" s="1492">
        <f t="shared" si="5"/>
        <v>0</v>
      </c>
      <c r="BO52" s="697"/>
      <c r="BP52" s="697"/>
      <c r="BQ52" s="1495">
        <v>0</v>
      </c>
      <c r="BR52" s="1495" t="s">
        <v>19</v>
      </c>
      <c r="BS52" s="1495" t="s">
        <v>655</v>
      </c>
      <c r="BT52" s="691" t="s">
        <v>715</v>
      </c>
    </row>
    <row r="53" spans="1:72" s="681" customFormat="1" ht="13" hidden="1">
      <c r="A53" s="1545">
        <v>52</v>
      </c>
      <c r="B53" s="1546" t="s">
        <v>651</v>
      </c>
      <c r="C53" s="1546" t="s">
        <v>711</v>
      </c>
      <c r="D53" s="1547" t="s">
        <v>655</v>
      </c>
      <c r="E53" s="690" t="s">
        <v>658</v>
      </c>
      <c r="F53" s="691"/>
      <c r="G53" s="692"/>
      <c r="H53" s="692"/>
      <c r="I53" s="692"/>
      <c r="J53" s="693"/>
      <c r="K53" s="693"/>
      <c r="L53" s="693"/>
      <c r="M53" s="694"/>
      <c r="N53" s="695"/>
      <c r="O53" s="696" t="s">
        <v>1569</v>
      </c>
      <c r="P53" s="695">
        <f>'HPM costs'!F173</f>
        <v>0</v>
      </c>
      <c r="Q53" s="695" t="s">
        <v>1569</v>
      </c>
      <c r="R53" s="695">
        <f>'HPM costs'!G173</f>
        <v>0</v>
      </c>
      <c r="S53" s="695" t="s">
        <v>1569</v>
      </c>
      <c r="T53" s="695">
        <f>'HPM costs'!H173</f>
        <v>0</v>
      </c>
      <c r="U53" s="695" t="s">
        <v>1569</v>
      </c>
      <c r="V53" s="695">
        <f>'HPM costs'!I173</f>
        <v>0</v>
      </c>
      <c r="W53" s="695"/>
      <c r="X53" s="1492">
        <f t="shared" si="0"/>
        <v>0</v>
      </c>
      <c r="Y53" s="1493"/>
      <c r="Z53" s="1494"/>
      <c r="AA53" s="699"/>
      <c r="AB53" s="695"/>
      <c r="AC53" s="695">
        <f>'HPM costs'!K173</f>
        <v>0</v>
      </c>
      <c r="AD53" s="695"/>
      <c r="AE53" s="695">
        <f>'HPM costs'!L173</f>
        <v>0</v>
      </c>
      <c r="AF53" s="695"/>
      <c r="AG53" s="695">
        <f>'HPM costs'!M173</f>
        <v>0</v>
      </c>
      <c r="AH53" s="695"/>
      <c r="AI53" s="695">
        <f>'HPM costs'!N173</f>
        <v>0</v>
      </c>
      <c r="AJ53" s="695"/>
      <c r="AK53" s="1492">
        <f t="shared" si="1"/>
        <v>0</v>
      </c>
      <c r="AL53" s="1493"/>
      <c r="AM53" s="1494"/>
      <c r="AN53" s="699"/>
      <c r="AO53" s="695"/>
      <c r="AP53" s="695">
        <f>'HPM costs'!P173</f>
        <v>0</v>
      </c>
      <c r="AQ53" s="695"/>
      <c r="AR53" s="695">
        <f>'HPM costs'!Q173</f>
        <v>0</v>
      </c>
      <c r="AS53" s="695"/>
      <c r="AT53" s="695">
        <f>'HPM costs'!R173</f>
        <v>0</v>
      </c>
      <c r="AU53" s="695"/>
      <c r="AV53" s="695">
        <f>'HPM costs'!S173</f>
        <v>0</v>
      </c>
      <c r="AW53" s="695"/>
      <c r="AX53" s="1492">
        <f t="shared" si="2"/>
        <v>0</v>
      </c>
      <c r="AY53" s="1492"/>
      <c r="AZ53" s="698"/>
      <c r="BA53" s="699"/>
      <c r="BB53" s="697"/>
      <c r="BC53" s="697">
        <v>0</v>
      </c>
      <c r="BD53" s="697">
        <v>0</v>
      </c>
      <c r="BE53" s="697">
        <v>0</v>
      </c>
      <c r="BF53" s="697">
        <v>0</v>
      </c>
      <c r="BG53" s="697">
        <v>0</v>
      </c>
      <c r="BH53" s="697">
        <v>0</v>
      </c>
      <c r="BI53" s="697">
        <v>0</v>
      </c>
      <c r="BJ53" s="697">
        <v>0</v>
      </c>
      <c r="BK53" s="1492">
        <f t="shared" si="3"/>
        <v>0</v>
      </c>
      <c r="BL53" s="1492"/>
      <c r="BM53" s="1492">
        <f t="shared" si="4"/>
        <v>0</v>
      </c>
      <c r="BN53" s="1492">
        <f t="shared" si="5"/>
        <v>0</v>
      </c>
      <c r="BO53" s="697"/>
      <c r="BP53" s="697"/>
      <c r="BQ53" s="1495">
        <v>0</v>
      </c>
      <c r="BR53" s="1495" t="s">
        <v>19</v>
      </c>
      <c r="BS53" s="1495" t="s">
        <v>655</v>
      </c>
      <c r="BT53" s="691" t="s">
        <v>716</v>
      </c>
    </row>
    <row r="54" spans="1:72" s="681" customFormat="1" ht="13" hidden="1">
      <c r="A54" s="1545">
        <v>53</v>
      </c>
      <c r="B54" s="1546" t="s">
        <v>651</v>
      </c>
      <c r="C54" s="1546" t="s">
        <v>711</v>
      </c>
      <c r="D54" s="1547" t="s">
        <v>655</v>
      </c>
      <c r="E54" s="690" t="s">
        <v>660</v>
      </c>
      <c r="F54" s="691"/>
      <c r="G54" s="692"/>
      <c r="H54" s="692"/>
      <c r="I54" s="692"/>
      <c r="J54" s="693"/>
      <c r="K54" s="693"/>
      <c r="L54" s="693"/>
      <c r="M54" s="694"/>
      <c r="N54" s="695"/>
      <c r="O54" s="696" t="s">
        <v>1569</v>
      </c>
      <c r="P54" s="695">
        <f>'HPM costs'!F433</f>
        <v>0</v>
      </c>
      <c r="Q54" s="695" t="s">
        <v>1569</v>
      </c>
      <c r="R54" s="695">
        <f>'HPM costs'!G433</f>
        <v>0</v>
      </c>
      <c r="S54" s="695" t="s">
        <v>1569</v>
      </c>
      <c r="T54" s="695">
        <f>'HPM costs'!H433</f>
        <v>0</v>
      </c>
      <c r="U54" s="695" t="s">
        <v>1569</v>
      </c>
      <c r="V54" s="695">
        <f>'HPM costs'!I433</f>
        <v>0</v>
      </c>
      <c r="W54" s="695"/>
      <c r="X54" s="1492">
        <f t="shared" si="0"/>
        <v>0</v>
      </c>
      <c r="Y54" s="1493"/>
      <c r="Z54" s="1494"/>
      <c r="AA54" s="699"/>
      <c r="AB54" s="695"/>
      <c r="AC54" s="695">
        <f>'HPM costs'!K433</f>
        <v>0</v>
      </c>
      <c r="AD54" s="695"/>
      <c r="AE54" s="695">
        <f>'HPM costs'!L433</f>
        <v>0</v>
      </c>
      <c r="AF54" s="695"/>
      <c r="AG54" s="695">
        <f>'HPM costs'!M433</f>
        <v>0</v>
      </c>
      <c r="AH54" s="695"/>
      <c r="AI54" s="695">
        <f>'HPM costs'!N433</f>
        <v>0</v>
      </c>
      <c r="AJ54" s="695"/>
      <c r="AK54" s="1492">
        <f t="shared" si="1"/>
        <v>0</v>
      </c>
      <c r="AL54" s="1493"/>
      <c r="AM54" s="1494"/>
      <c r="AN54" s="699"/>
      <c r="AO54" s="695"/>
      <c r="AP54" s="695">
        <f>'HPM costs'!P433</f>
        <v>0</v>
      </c>
      <c r="AQ54" s="695"/>
      <c r="AR54" s="695">
        <f>'HPM costs'!Q433</f>
        <v>0</v>
      </c>
      <c r="AS54" s="695"/>
      <c r="AT54" s="695">
        <f>'HPM costs'!R433</f>
        <v>0</v>
      </c>
      <c r="AU54" s="695"/>
      <c r="AV54" s="695">
        <f>'HPM costs'!S433</f>
        <v>0</v>
      </c>
      <c r="AW54" s="695"/>
      <c r="AX54" s="1492">
        <f t="shared" si="2"/>
        <v>0</v>
      </c>
      <c r="AY54" s="1492"/>
      <c r="AZ54" s="698"/>
      <c r="BA54" s="699"/>
      <c r="BB54" s="697"/>
      <c r="BC54" s="697">
        <v>0</v>
      </c>
      <c r="BD54" s="697">
        <v>0</v>
      </c>
      <c r="BE54" s="697">
        <v>0</v>
      </c>
      <c r="BF54" s="697">
        <v>0</v>
      </c>
      <c r="BG54" s="697">
        <v>0</v>
      </c>
      <c r="BH54" s="697">
        <v>0</v>
      </c>
      <c r="BI54" s="697">
        <v>0</v>
      </c>
      <c r="BJ54" s="697">
        <v>0</v>
      </c>
      <c r="BK54" s="1492">
        <f t="shared" si="3"/>
        <v>0</v>
      </c>
      <c r="BL54" s="1492"/>
      <c r="BM54" s="1492">
        <f t="shared" si="4"/>
        <v>0</v>
      </c>
      <c r="BN54" s="1492">
        <f t="shared" si="5"/>
        <v>0</v>
      </c>
      <c r="BO54" s="697"/>
      <c r="BP54" s="697"/>
      <c r="BQ54" s="1495">
        <v>0</v>
      </c>
      <c r="BR54" s="1495" t="s">
        <v>19</v>
      </c>
      <c r="BS54" s="1495" t="s">
        <v>655</v>
      </c>
      <c r="BT54" s="691" t="s">
        <v>717</v>
      </c>
    </row>
    <row r="55" spans="1:72" s="681" customFormat="1" ht="13" hidden="1">
      <c r="A55" s="1545">
        <v>54</v>
      </c>
      <c r="B55" s="1546" t="s">
        <v>651</v>
      </c>
      <c r="C55" s="1546" t="s">
        <v>711</v>
      </c>
      <c r="D55" s="1547" t="s">
        <v>655</v>
      </c>
      <c r="E55" s="690" t="s">
        <v>662</v>
      </c>
      <c r="F55" s="691"/>
      <c r="G55" s="692"/>
      <c r="H55" s="692"/>
      <c r="I55" s="692"/>
      <c r="J55" s="693"/>
      <c r="K55" s="693"/>
      <c r="L55" s="693"/>
      <c r="M55" s="694"/>
      <c r="N55" s="695"/>
      <c r="O55" s="696" t="s">
        <v>1569</v>
      </c>
      <c r="P55" s="695">
        <f>'HPM costs'!F519</f>
        <v>0</v>
      </c>
      <c r="Q55" s="695" t="s">
        <v>1569</v>
      </c>
      <c r="R55" s="695">
        <f>'HPM costs'!G519</f>
        <v>0</v>
      </c>
      <c r="S55" s="695" t="s">
        <v>1569</v>
      </c>
      <c r="T55" s="695">
        <f>'HPM costs'!H519</f>
        <v>0</v>
      </c>
      <c r="U55" s="695" t="s">
        <v>1569</v>
      </c>
      <c r="V55" s="695">
        <f>'HPM costs'!I519</f>
        <v>0</v>
      </c>
      <c r="W55" s="695"/>
      <c r="X55" s="1492">
        <f t="shared" si="0"/>
        <v>0</v>
      </c>
      <c r="Y55" s="1493"/>
      <c r="Z55" s="1494"/>
      <c r="AA55" s="699"/>
      <c r="AB55" s="695"/>
      <c r="AC55" s="695">
        <f>'HPM costs'!K519</f>
        <v>0</v>
      </c>
      <c r="AD55" s="695"/>
      <c r="AE55" s="695">
        <f>'HPM costs'!L519</f>
        <v>0</v>
      </c>
      <c r="AF55" s="695"/>
      <c r="AG55" s="695">
        <f>'HPM costs'!M519</f>
        <v>0</v>
      </c>
      <c r="AH55" s="695"/>
      <c r="AI55" s="695">
        <f>'HPM costs'!N519</f>
        <v>0</v>
      </c>
      <c r="AJ55" s="695"/>
      <c r="AK55" s="1492">
        <f t="shared" si="1"/>
        <v>0</v>
      </c>
      <c r="AL55" s="1493"/>
      <c r="AM55" s="1494"/>
      <c r="AN55" s="699"/>
      <c r="AO55" s="695"/>
      <c r="AP55" s="695">
        <f>'HPM costs'!P519</f>
        <v>0</v>
      </c>
      <c r="AQ55" s="695"/>
      <c r="AR55" s="695">
        <f>'HPM costs'!Q519</f>
        <v>0</v>
      </c>
      <c r="AS55" s="695"/>
      <c r="AT55" s="695">
        <f>'HPM costs'!R519</f>
        <v>0</v>
      </c>
      <c r="AU55" s="695"/>
      <c r="AV55" s="695">
        <f>'HPM costs'!S519</f>
        <v>0</v>
      </c>
      <c r="AW55" s="695"/>
      <c r="AX55" s="1492">
        <f t="shared" si="2"/>
        <v>0</v>
      </c>
      <c r="AY55" s="1492"/>
      <c r="AZ55" s="698"/>
      <c r="BA55" s="699"/>
      <c r="BB55" s="697"/>
      <c r="BC55" s="697">
        <v>0</v>
      </c>
      <c r="BD55" s="697">
        <v>0</v>
      </c>
      <c r="BE55" s="697">
        <v>0</v>
      </c>
      <c r="BF55" s="697">
        <v>0</v>
      </c>
      <c r="BG55" s="697">
        <v>0</v>
      </c>
      <c r="BH55" s="697">
        <v>0</v>
      </c>
      <c r="BI55" s="697">
        <v>0</v>
      </c>
      <c r="BJ55" s="697">
        <v>0</v>
      </c>
      <c r="BK55" s="1492">
        <f t="shared" si="3"/>
        <v>0</v>
      </c>
      <c r="BL55" s="1492"/>
      <c r="BM55" s="1492">
        <f t="shared" si="4"/>
        <v>0</v>
      </c>
      <c r="BN55" s="1492">
        <f t="shared" si="5"/>
        <v>0</v>
      </c>
      <c r="BO55" s="697"/>
      <c r="BP55" s="697"/>
      <c r="BQ55" s="1495">
        <v>0</v>
      </c>
      <c r="BR55" s="1495" t="s">
        <v>19</v>
      </c>
      <c r="BS55" s="1495" t="s">
        <v>655</v>
      </c>
      <c r="BT55" s="691" t="s">
        <v>718</v>
      </c>
    </row>
    <row r="56" spans="1:72" s="681" customFormat="1" ht="13" hidden="1">
      <c r="A56" s="1545">
        <v>55</v>
      </c>
      <c r="B56" s="1546" t="s">
        <v>651</v>
      </c>
      <c r="C56" s="1546" t="s">
        <v>711</v>
      </c>
      <c r="D56" s="1547" t="s">
        <v>655</v>
      </c>
      <c r="E56" s="690" t="s">
        <v>664</v>
      </c>
      <c r="F56" s="691"/>
      <c r="G56" s="692"/>
      <c r="H56" s="692"/>
      <c r="I56" s="692"/>
      <c r="J56" s="693"/>
      <c r="K56" s="693"/>
      <c r="L56" s="693"/>
      <c r="M56" s="694"/>
      <c r="N56" s="695"/>
      <c r="O56" s="696" t="s">
        <v>1569</v>
      </c>
      <c r="P56" s="695">
        <f>'HPM costs'!F259+'HPM costs'!F605</f>
        <v>0</v>
      </c>
      <c r="Q56" s="695" t="s">
        <v>1569</v>
      </c>
      <c r="R56" s="695">
        <f>'HPM costs'!G259+'HPM costs'!G605</f>
        <v>0</v>
      </c>
      <c r="S56" s="695" t="s">
        <v>1569</v>
      </c>
      <c r="T56" s="695">
        <f>'HPM costs'!H259+'HPM costs'!H605</f>
        <v>0</v>
      </c>
      <c r="U56" s="695" t="s">
        <v>1569</v>
      </c>
      <c r="V56" s="695">
        <f>'HPM costs'!I259+'HPM costs'!I605</f>
        <v>0</v>
      </c>
      <c r="W56" s="695"/>
      <c r="X56" s="1492">
        <f t="shared" si="0"/>
        <v>0</v>
      </c>
      <c r="Y56" s="1493"/>
      <c r="Z56" s="1494"/>
      <c r="AA56" s="699"/>
      <c r="AB56" s="695"/>
      <c r="AC56" s="695">
        <f>'HPM costs'!K259+'HPM costs'!K605</f>
        <v>0</v>
      </c>
      <c r="AD56" s="695"/>
      <c r="AE56" s="695">
        <f>'HPM costs'!L259+'HPM costs'!L605</f>
        <v>0</v>
      </c>
      <c r="AF56" s="695"/>
      <c r="AG56" s="695">
        <f>'HPM costs'!M259+'HPM costs'!M605</f>
        <v>0</v>
      </c>
      <c r="AH56" s="695"/>
      <c r="AI56" s="695">
        <f>'HPM costs'!N259+'HPM costs'!N605</f>
        <v>0</v>
      </c>
      <c r="AJ56" s="695"/>
      <c r="AK56" s="1492">
        <f t="shared" si="1"/>
        <v>0</v>
      </c>
      <c r="AL56" s="1493"/>
      <c r="AM56" s="1494"/>
      <c r="AN56" s="699"/>
      <c r="AO56" s="695"/>
      <c r="AP56" s="695">
        <f>'HPM costs'!P259+'HPM costs'!P605</f>
        <v>0</v>
      </c>
      <c r="AQ56" s="695"/>
      <c r="AR56" s="695">
        <f>'HPM costs'!Q259+'HPM costs'!Q605</f>
        <v>0</v>
      </c>
      <c r="AS56" s="695"/>
      <c r="AT56" s="695">
        <f>'HPM costs'!R259+'HPM costs'!R605</f>
        <v>0</v>
      </c>
      <c r="AU56" s="695"/>
      <c r="AV56" s="695">
        <f>'HPM costs'!S259+'HPM costs'!S605</f>
        <v>0</v>
      </c>
      <c r="AW56" s="695"/>
      <c r="AX56" s="1492">
        <f t="shared" si="2"/>
        <v>0</v>
      </c>
      <c r="AY56" s="1492"/>
      <c r="AZ56" s="698"/>
      <c r="BA56" s="699"/>
      <c r="BB56" s="697"/>
      <c r="BC56" s="697">
        <v>0</v>
      </c>
      <c r="BD56" s="697">
        <v>0</v>
      </c>
      <c r="BE56" s="697">
        <v>0</v>
      </c>
      <c r="BF56" s="697">
        <v>0</v>
      </c>
      <c r="BG56" s="697">
        <v>0</v>
      </c>
      <c r="BH56" s="697">
        <v>0</v>
      </c>
      <c r="BI56" s="697">
        <v>0</v>
      </c>
      <c r="BJ56" s="697">
        <v>0</v>
      </c>
      <c r="BK56" s="1492">
        <f t="shared" si="3"/>
        <v>0</v>
      </c>
      <c r="BL56" s="1492"/>
      <c r="BM56" s="1492">
        <f t="shared" si="4"/>
        <v>0</v>
      </c>
      <c r="BN56" s="1492">
        <f t="shared" si="5"/>
        <v>0</v>
      </c>
      <c r="BO56" s="697"/>
      <c r="BP56" s="697"/>
      <c r="BQ56" s="1495">
        <v>0</v>
      </c>
      <c r="BR56" s="1495" t="s">
        <v>19</v>
      </c>
      <c r="BS56" s="1495" t="s">
        <v>655</v>
      </c>
      <c r="BT56" s="691" t="s">
        <v>719</v>
      </c>
    </row>
    <row r="57" spans="1:72" s="681" customFormat="1" ht="13" hidden="1">
      <c r="A57" s="1545">
        <v>56</v>
      </c>
      <c r="B57" s="1546" t="s">
        <v>651</v>
      </c>
      <c r="C57" s="1546" t="s">
        <v>711</v>
      </c>
      <c r="D57" s="1547" t="s">
        <v>655</v>
      </c>
      <c r="E57" s="690" t="s">
        <v>666</v>
      </c>
      <c r="F57" s="691"/>
      <c r="G57" s="692"/>
      <c r="H57" s="692"/>
      <c r="I57" s="692"/>
      <c r="J57" s="693"/>
      <c r="K57" s="693"/>
      <c r="L57" s="693"/>
      <c r="M57" s="694"/>
      <c r="N57" s="695"/>
      <c r="O57" s="696" t="s">
        <v>1569</v>
      </c>
      <c r="P57" s="695">
        <f>'HPM costs'!F345</f>
        <v>0</v>
      </c>
      <c r="Q57" s="695" t="s">
        <v>1569</v>
      </c>
      <c r="R57" s="695">
        <f>'HPM costs'!G345</f>
        <v>0</v>
      </c>
      <c r="S57" s="695" t="s">
        <v>1569</v>
      </c>
      <c r="T57" s="695">
        <f>'HPM costs'!H345</f>
        <v>0</v>
      </c>
      <c r="U57" s="695" t="s">
        <v>1569</v>
      </c>
      <c r="V57" s="695">
        <f>'HPM costs'!I345</f>
        <v>0</v>
      </c>
      <c r="W57" s="695"/>
      <c r="X57" s="1492">
        <f t="shared" si="0"/>
        <v>0</v>
      </c>
      <c r="Y57" s="1493"/>
      <c r="Z57" s="1494"/>
      <c r="AA57" s="699"/>
      <c r="AB57" s="695"/>
      <c r="AC57" s="695">
        <f>'HPM costs'!K345</f>
        <v>0</v>
      </c>
      <c r="AD57" s="695"/>
      <c r="AE57" s="695">
        <f>'HPM costs'!L345</f>
        <v>0</v>
      </c>
      <c r="AF57" s="695"/>
      <c r="AG57" s="695">
        <f>'HPM costs'!M345</f>
        <v>0</v>
      </c>
      <c r="AH57" s="695"/>
      <c r="AI57" s="695">
        <f>'HPM costs'!N345</f>
        <v>0</v>
      </c>
      <c r="AJ57" s="695"/>
      <c r="AK57" s="1492">
        <f t="shared" si="1"/>
        <v>0</v>
      </c>
      <c r="AL57" s="1493"/>
      <c r="AM57" s="1494"/>
      <c r="AN57" s="699"/>
      <c r="AO57" s="695"/>
      <c r="AP57" s="695">
        <f>'HPM costs'!P345</f>
        <v>0</v>
      </c>
      <c r="AQ57" s="695"/>
      <c r="AR57" s="695">
        <f>'HPM costs'!Q345</f>
        <v>0</v>
      </c>
      <c r="AS57" s="695"/>
      <c r="AT57" s="695">
        <f>'HPM costs'!R345</f>
        <v>0</v>
      </c>
      <c r="AU57" s="695"/>
      <c r="AV57" s="695">
        <f>'HPM costs'!S345</f>
        <v>0</v>
      </c>
      <c r="AW57" s="695"/>
      <c r="AX57" s="1492">
        <f t="shared" si="2"/>
        <v>0</v>
      </c>
      <c r="AY57" s="1492"/>
      <c r="AZ57" s="698"/>
      <c r="BA57" s="699"/>
      <c r="BB57" s="697"/>
      <c r="BC57" s="697">
        <v>0</v>
      </c>
      <c r="BD57" s="697">
        <v>0</v>
      </c>
      <c r="BE57" s="697">
        <v>0</v>
      </c>
      <c r="BF57" s="697">
        <v>0</v>
      </c>
      <c r="BG57" s="697">
        <v>0</v>
      </c>
      <c r="BH57" s="697">
        <v>0</v>
      </c>
      <c r="BI57" s="697">
        <v>0</v>
      </c>
      <c r="BJ57" s="697">
        <v>0</v>
      </c>
      <c r="BK57" s="1492">
        <f t="shared" si="3"/>
        <v>0</v>
      </c>
      <c r="BL57" s="1492"/>
      <c r="BM57" s="1492">
        <f t="shared" si="4"/>
        <v>0</v>
      </c>
      <c r="BN57" s="1492">
        <f t="shared" si="5"/>
        <v>0</v>
      </c>
      <c r="BO57" s="697"/>
      <c r="BP57" s="697"/>
      <c r="BQ57" s="1495">
        <v>0</v>
      </c>
      <c r="BR57" s="1495" t="s">
        <v>19</v>
      </c>
      <c r="BS57" s="1495" t="s">
        <v>655</v>
      </c>
      <c r="BT57" s="691" t="s">
        <v>720</v>
      </c>
    </row>
    <row r="58" spans="1:72" s="681" customFormat="1" ht="13" hidden="1">
      <c r="A58" s="1545">
        <v>57</v>
      </c>
      <c r="B58" s="1546" t="s">
        <v>651</v>
      </c>
      <c r="C58" s="1546" t="s">
        <v>711</v>
      </c>
      <c r="D58" s="1547" t="s">
        <v>655</v>
      </c>
      <c r="E58" s="690" t="s">
        <v>668</v>
      </c>
      <c r="F58" s="691"/>
      <c r="G58" s="692"/>
      <c r="H58" s="692"/>
      <c r="I58" s="692"/>
      <c r="J58" s="693"/>
      <c r="K58" s="693"/>
      <c r="L58" s="693"/>
      <c r="M58" s="694"/>
      <c r="N58" s="695"/>
      <c r="O58" s="696" t="s">
        <v>1569</v>
      </c>
      <c r="P58" s="695">
        <f>'HPM costs'!F690</f>
        <v>0</v>
      </c>
      <c r="Q58" s="695" t="s">
        <v>1569</v>
      </c>
      <c r="R58" s="695">
        <f>'HPM costs'!G690</f>
        <v>0</v>
      </c>
      <c r="S58" s="695" t="s">
        <v>1569</v>
      </c>
      <c r="T58" s="695">
        <f>'HPM costs'!H690</f>
        <v>0</v>
      </c>
      <c r="U58" s="695" t="s">
        <v>1569</v>
      </c>
      <c r="V58" s="695">
        <f>'HPM costs'!I690</f>
        <v>0</v>
      </c>
      <c r="W58" s="695"/>
      <c r="X58" s="1492">
        <f t="shared" si="0"/>
        <v>0</v>
      </c>
      <c r="Y58" s="1493"/>
      <c r="Z58" s="1494"/>
      <c r="AA58" s="699"/>
      <c r="AB58" s="695"/>
      <c r="AC58" s="695">
        <f>'HPM costs'!K690</f>
        <v>0</v>
      </c>
      <c r="AD58" s="695"/>
      <c r="AE58" s="695">
        <f>'HPM costs'!L690</f>
        <v>0</v>
      </c>
      <c r="AF58" s="695"/>
      <c r="AG58" s="695">
        <f>'HPM costs'!M690</f>
        <v>0</v>
      </c>
      <c r="AH58" s="695"/>
      <c r="AI58" s="695">
        <f>'HPM costs'!N690</f>
        <v>0</v>
      </c>
      <c r="AJ58" s="695"/>
      <c r="AK58" s="1492">
        <f t="shared" si="1"/>
        <v>0</v>
      </c>
      <c r="AL58" s="1493"/>
      <c r="AM58" s="1494"/>
      <c r="AN58" s="699"/>
      <c r="AO58" s="695"/>
      <c r="AP58" s="695">
        <f>'HPM costs'!P690</f>
        <v>0</v>
      </c>
      <c r="AQ58" s="695"/>
      <c r="AR58" s="695">
        <f>'HPM costs'!Q690</f>
        <v>0</v>
      </c>
      <c r="AS58" s="695"/>
      <c r="AT58" s="695">
        <f>'HPM costs'!R690</f>
        <v>0</v>
      </c>
      <c r="AU58" s="695"/>
      <c r="AV58" s="695">
        <f>'HPM costs'!S690</f>
        <v>0</v>
      </c>
      <c r="AW58" s="695"/>
      <c r="AX58" s="1492">
        <f t="shared" si="2"/>
        <v>0</v>
      </c>
      <c r="AY58" s="1492"/>
      <c r="AZ58" s="698"/>
      <c r="BA58" s="699"/>
      <c r="BB58" s="697"/>
      <c r="BC58" s="697">
        <v>0</v>
      </c>
      <c r="BD58" s="697">
        <v>0</v>
      </c>
      <c r="BE58" s="697">
        <v>0</v>
      </c>
      <c r="BF58" s="697">
        <v>0</v>
      </c>
      <c r="BG58" s="697">
        <v>0</v>
      </c>
      <c r="BH58" s="697">
        <v>0</v>
      </c>
      <c r="BI58" s="697">
        <v>0</v>
      </c>
      <c r="BJ58" s="697">
        <v>0</v>
      </c>
      <c r="BK58" s="1492">
        <f t="shared" si="3"/>
        <v>0</v>
      </c>
      <c r="BL58" s="1492"/>
      <c r="BM58" s="1492">
        <f t="shared" si="4"/>
        <v>0</v>
      </c>
      <c r="BN58" s="1492">
        <f t="shared" si="5"/>
        <v>0</v>
      </c>
      <c r="BO58" s="697"/>
      <c r="BP58" s="697"/>
      <c r="BQ58" s="1495">
        <v>0</v>
      </c>
      <c r="BR58" s="1495" t="s">
        <v>19</v>
      </c>
      <c r="BS58" s="1495" t="s">
        <v>655</v>
      </c>
      <c r="BT58" s="691" t="s">
        <v>1574</v>
      </c>
    </row>
    <row r="59" spans="1:72" s="681" customFormat="1" ht="13" hidden="1">
      <c r="A59" s="1545">
        <v>69</v>
      </c>
      <c r="B59" s="1546" t="s">
        <v>726</v>
      </c>
      <c r="C59" s="1546" t="s">
        <v>727</v>
      </c>
      <c r="D59" s="1547" t="s">
        <v>6945</v>
      </c>
      <c r="E59" s="690" t="s">
        <v>728</v>
      </c>
      <c r="F59" s="691"/>
      <c r="G59" s="692"/>
      <c r="H59" s="692"/>
      <c r="I59" s="692"/>
      <c r="J59" s="693"/>
      <c r="K59" s="693"/>
      <c r="L59" s="693"/>
      <c r="M59" s="694"/>
      <c r="N59" s="695"/>
      <c r="O59" s="696" t="s">
        <v>1569</v>
      </c>
      <c r="P59" s="695">
        <f>('Malaria-Key Info'!$F$24*'HPM costs'!F69)/'HPM costs'!$E$69</f>
        <v>0</v>
      </c>
      <c r="Q59" s="695" t="s">
        <v>1569</v>
      </c>
      <c r="R59" s="695">
        <f>('Malaria-Key Info'!$F$24*'HPM costs'!G69)/'HPM costs'!$E$69</f>
        <v>0</v>
      </c>
      <c r="S59" s="695" t="s">
        <v>1569</v>
      </c>
      <c r="T59" s="695">
        <f>('Malaria-Key Info'!$F$24*'HPM costs'!H69)/'HPM costs'!$E$69</f>
        <v>0</v>
      </c>
      <c r="U59" s="695" t="s">
        <v>1569</v>
      </c>
      <c r="V59" s="695">
        <f>('Malaria-Key Info'!$F$24*'HPM costs'!I69)/'HPM costs'!$E$69</f>
        <v>0</v>
      </c>
      <c r="W59" s="695"/>
      <c r="X59" s="1492">
        <f t="shared" si="0"/>
        <v>0</v>
      </c>
      <c r="Y59" s="1493"/>
      <c r="Z59" s="1494"/>
      <c r="AA59" s="699"/>
      <c r="AB59" s="695"/>
      <c r="AC59" s="695">
        <f>('Malaria-Key Info'!$F$24*'HPM costs'!K69)/'HPM costs'!$E$69</f>
        <v>0</v>
      </c>
      <c r="AD59" s="695"/>
      <c r="AE59" s="695">
        <f>('Malaria-Key Info'!$F$24*'HPM costs'!L69)/'HPM costs'!$E$69</f>
        <v>0</v>
      </c>
      <c r="AF59" s="695"/>
      <c r="AG59" s="695">
        <f>('Malaria-Key Info'!$F$24*'HPM costs'!M69)/'HPM costs'!$E$69</f>
        <v>0</v>
      </c>
      <c r="AH59" s="695"/>
      <c r="AI59" s="695">
        <f>('Malaria-Key Info'!$F$24*'HPM costs'!N69)/'HPM costs'!$E$69</f>
        <v>0</v>
      </c>
      <c r="AJ59" s="695"/>
      <c r="AK59" s="1492">
        <f t="shared" si="1"/>
        <v>0</v>
      </c>
      <c r="AL59" s="1493"/>
      <c r="AM59" s="1494"/>
      <c r="AN59" s="699"/>
      <c r="AO59" s="695"/>
      <c r="AP59" s="695">
        <f>('Malaria-Key Info'!$F$24*'HPM costs'!P69)/'HPM costs'!$E$69</f>
        <v>0</v>
      </c>
      <c r="AQ59" s="695"/>
      <c r="AR59" s="695">
        <f>('Malaria-Key Info'!$F$24*'HPM costs'!Q69)/'HPM costs'!$E$69</f>
        <v>0</v>
      </c>
      <c r="AS59" s="695"/>
      <c r="AT59" s="695">
        <f>('Malaria-Key Info'!$F$24*'HPM costs'!R69)/'HPM costs'!$E$69</f>
        <v>0</v>
      </c>
      <c r="AU59" s="695"/>
      <c r="AV59" s="695">
        <f>('Malaria-Key Info'!$F$24*'HPM costs'!S69)/'HPM costs'!$E$69</f>
        <v>0</v>
      </c>
      <c r="AW59" s="695"/>
      <c r="AX59" s="1492">
        <f t="shared" si="2"/>
        <v>0</v>
      </c>
      <c r="AY59" s="1492"/>
      <c r="AZ59" s="698"/>
      <c r="BA59" s="699"/>
      <c r="BB59" s="697"/>
      <c r="BC59" s="697">
        <v>0</v>
      </c>
      <c r="BD59" s="697">
        <v>0</v>
      </c>
      <c r="BE59" s="697">
        <v>0</v>
      </c>
      <c r="BF59" s="697">
        <v>0</v>
      </c>
      <c r="BG59" s="697">
        <v>0</v>
      </c>
      <c r="BH59" s="697">
        <v>0</v>
      </c>
      <c r="BI59" s="697">
        <v>0</v>
      </c>
      <c r="BJ59" s="697">
        <v>0</v>
      </c>
      <c r="BK59" s="1492">
        <f t="shared" si="3"/>
        <v>0</v>
      </c>
      <c r="BL59" s="1492"/>
      <c r="BM59" s="1492">
        <f t="shared" si="4"/>
        <v>0</v>
      </c>
      <c r="BN59" s="1492">
        <f t="shared" si="5"/>
        <v>0</v>
      </c>
      <c r="BO59" s="697"/>
      <c r="BP59" s="697"/>
      <c r="BQ59" s="1495">
        <v>0</v>
      </c>
      <c r="BR59" s="1495" t="s">
        <v>19</v>
      </c>
      <c r="BS59" s="1495" t="s">
        <v>6945</v>
      </c>
      <c r="BT59" s="691" t="s">
        <v>729</v>
      </c>
    </row>
    <row r="60" spans="1:72" s="681" customFormat="1" ht="13" hidden="1">
      <c r="A60" s="1545">
        <v>70</v>
      </c>
      <c r="B60" s="1546" t="s">
        <v>726</v>
      </c>
      <c r="C60" s="1546" t="s">
        <v>727</v>
      </c>
      <c r="D60" s="1547" t="s">
        <v>730</v>
      </c>
      <c r="E60" s="690" t="s">
        <v>731</v>
      </c>
      <c r="F60" s="691"/>
      <c r="G60" s="692"/>
      <c r="H60" s="692"/>
      <c r="I60" s="692"/>
      <c r="J60" s="693"/>
      <c r="K60" s="693"/>
      <c r="L60" s="693"/>
      <c r="M60" s="694"/>
      <c r="N60" s="695"/>
      <c r="O60" s="696" t="s">
        <v>1569</v>
      </c>
      <c r="P60" s="695">
        <f>('Malaria-Key Info'!$G$50*'HPM costs'!F78)/'HPM costs'!$E$78</f>
        <v>0</v>
      </c>
      <c r="Q60" s="695" t="s">
        <v>1569</v>
      </c>
      <c r="R60" s="695">
        <f>('Malaria-Key Info'!$G$50*'HPM costs'!G78)/'HPM costs'!$E$78</f>
        <v>0</v>
      </c>
      <c r="S60" s="695" t="s">
        <v>1569</v>
      </c>
      <c r="T60" s="695">
        <f>('Malaria-Key Info'!$G$50*'HPM costs'!H78)/'HPM costs'!$E$78</f>
        <v>0</v>
      </c>
      <c r="U60" s="695" t="s">
        <v>1569</v>
      </c>
      <c r="V60" s="695">
        <f>('Malaria-Key Info'!$G$50*'HPM costs'!I78)/'HPM costs'!$E$78</f>
        <v>0</v>
      </c>
      <c r="W60" s="695"/>
      <c r="X60" s="1492">
        <f t="shared" si="0"/>
        <v>0</v>
      </c>
      <c r="Y60" s="1493"/>
      <c r="Z60" s="1494"/>
      <c r="AA60" s="699"/>
      <c r="AB60" s="695"/>
      <c r="AC60" s="695">
        <f>('Malaria-Key Info'!$G$50*'HPM costs'!K78)/'HPM costs'!$E$78</f>
        <v>0</v>
      </c>
      <c r="AD60" s="695"/>
      <c r="AE60" s="695">
        <f>('Malaria-Key Info'!$G$50*'HPM costs'!L78)/'HPM costs'!$E$78</f>
        <v>0</v>
      </c>
      <c r="AF60" s="695"/>
      <c r="AG60" s="695">
        <f>('Malaria-Key Info'!$G$50*'HPM costs'!M78)/'HPM costs'!$E$78</f>
        <v>0</v>
      </c>
      <c r="AH60" s="695"/>
      <c r="AI60" s="695">
        <f>('Malaria-Key Info'!$G$50*'HPM costs'!N78)/'HPM costs'!$E$78</f>
        <v>0</v>
      </c>
      <c r="AJ60" s="695"/>
      <c r="AK60" s="1492">
        <f t="shared" si="1"/>
        <v>0</v>
      </c>
      <c r="AL60" s="1493"/>
      <c r="AM60" s="1494"/>
      <c r="AN60" s="699"/>
      <c r="AO60" s="695"/>
      <c r="AP60" s="695">
        <f>('Malaria-Key Info'!$G$50*'HPM costs'!P78)/'HPM costs'!$E$78</f>
        <v>0</v>
      </c>
      <c r="AQ60" s="695"/>
      <c r="AR60" s="695">
        <f>('Malaria-Key Info'!$G$50*'HPM costs'!Q78)/'HPM costs'!$E$78</f>
        <v>0</v>
      </c>
      <c r="AS60" s="695"/>
      <c r="AT60" s="695">
        <f>('Malaria-Key Info'!$G$50*'HPM costs'!R78)/'HPM costs'!$E$78</f>
        <v>0</v>
      </c>
      <c r="AU60" s="695"/>
      <c r="AV60" s="695">
        <f>('Malaria-Key Info'!$G$50*'HPM costs'!S78)/'HPM costs'!$E$78</f>
        <v>0</v>
      </c>
      <c r="AW60" s="695"/>
      <c r="AX60" s="1492">
        <f t="shared" si="2"/>
        <v>0</v>
      </c>
      <c r="AY60" s="1492"/>
      <c r="AZ60" s="698"/>
      <c r="BA60" s="699"/>
      <c r="BB60" s="697"/>
      <c r="BC60" s="697">
        <v>0</v>
      </c>
      <c r="BD60" s="697">
        <v>0</v>
      </c>
      <c r="BE60" s="697">
        <v>0</v>
      </c>
      <c r="BF60" s="697">
        <v>0</v>
      </c>
      <c r="BG60" s="697">
        <v>0</v>
      </c>
      <c r="BH60" s="697">
        <v>0</v>
      </c>
      <c r="BI60" s="697">
        <v>0</v>
      </c>
      <c r="BJ60" s="697">
        <v>0</v>
      </c>
      <c r="BK60" s="1492">
        <f t="shared" si="3"/>
        <v>0</v>
      </c>
      <c r="BL60" s="1492"/>
      <c r="BM60" s="1492">
        <f t="shared" si="4"/>
        <v>0</v>
      </c>
      <c r="BN60" s="1492">
        <f t="shared" si="5"/>
        <v>0</v>
      </c>
      <c r="BO60" s="697"/>
      <c r="BP60" s="697"/>
      <c r="BQ60" s="1495">
        <v>0</v>
      </c>
      <c r="BR60" s="1495" t="s">
        <v>19</v>
      </c>
      <c r="BS60" s="1495" t="s">
        <v>730</v>
      </c>
      <c r="BT60" s="691" t="s">
        <v>732</v>
      </c>
    </row>
    <row r="61" spans="1:72" s="681" customFormat="1" ht="13" hidden="1">
      <c r="A61" s="1545">
        <v>71</v>
      </c>
      <c r="B61" s="1546" t="s">
        <v>726</v>
      </c>
      <c r="C61" s="1546" t="s">
        <v>727</v>
      </c>
      <c r="D61" s="1547" t="s">
        <v>6946</v>
      </c>
      <c r="E61" s="690" t="s">
        <v>2355</v>
      </c>
      <c r="F61" s="691"/>
      <c r="G61" s="692"/>
      <c r="H61" s="692"/>
      <c r="I61" s="692"/>
      <c r="J61" s="693"/>
      <c r="K61" s="693"/>
      <c r="L61" s="693"/>
      <c r="M61" s="694"/>
      <c r="N61" s="695"/>
      <c r="O61" s="696" t="s">
        <v>1569</v>
      </c>
      <c r="P61" s="695">
        <f>IF(SETUP!$F$52="Upfront",SUM('Extended Budget Sheet - Malaria'!K71:K74),0)</f>
        <v>0</v>
      </c>
      <c r="Q61" s="695" t="s">
        <v>1569</v>
      </c>
      <c r="R61" s="695">
        <f>IF(SETUP!$F$52="Upfront",SUM('Extended Budget Sheet - Malaria'!O71:O74),IF(SETUP!$F$52="At delivery", IF(SETUP!$G$52=1,SUM('Extended Budget Sheet - Malaria'!K71:K74),0),0))</f>
        <v>0</v>
      </c>
      <c r="S61" s="695" t="s">
        <v>1569</v>
      </c>
      <c r="T61" s="695">
        <f>IF(SETUP!$F$52="Upfront",SUM('Extended Budget Sheet - Malaria'!S71:S74),IF(SETUP!$F$52="At delivery", IF(SETUP!$G$52=2,SUM('Extended Budget Sheet - Malaria'!K71:K74),IF(SETUP!$G$52=1,SUM('Extended Budget Sheet - Malaria'!O71:O74),0)),0))</f>
        <v>0</v>
      </c>
      <c r="U61" s="695" t="s">
        <v>1569</v>
      </c>
      <c r="V61" s="695">
        <f>IF(SETUP!$F$52="Upfront",SUM('Extended Budget Sheet - Malaria'!W71:W74),IF(SETUP!$F$52="At delivery", IF(SETUP!$G$52=3,SUM('Extended Budget Sheet - Malaria'!K71:K74),IF(SETUP!$G$52=2,SUM('Extended Budget Sheet - Malaria'!O71:O74),IF(SETUP!$G$52=1,SUM('Extended Budget Sheet - Malaria'!S71:S74),0))),0))</f>
        <v>0</v>
      </c>
      <c r="W61" s="695"/>
      <c r="X61" s="1492">
        <f t="shared" ref="X61" si="6">P61+R61+T61+V61</f>
        <v>0</v>
      </c>
      <c r="Y61" s="1493"/>
      <c r="Z61" s="1494"/>
      <c r="AA61" s="699"/>
      <c r="AB61" s="695"/>
      <c r="AC61" s="695">
        <f>IF(SETUP!$F$52="Upfront",SUM('Extended Budget Sheet - Malaria'!AC71:AC74),IF(SETUP!$F$52="At delivery", IF(SETUP!$G$52=4,SUM('Extended Budget Sheet - Malaria'!K71:K74),IF(SETUP!$G$52=3,SUM('Extended Budget Sheet - Malaria'!O71:O74),IF(SETUP!$G$52=2,SUM('Extended Budget Sheet - Malaria'!S71:S74),IF(SETUP!$G$52=1,SUM('Extended Budget Sheet - Malaria'!W71:W74),0)))),0))</f>
        <v>0</v>
      </c>
      <c r="AD61" s="695"/>
      <c r="AE61" s="695">
        <f>IF(SETUP!$F$52="Upfront",SUM('Extended Budget Sheet - Malaria'!AG71:AG74),IF(SETUP!$F$52="At delivery", IF(SETUP!$G$52=4,SUM('Extended Budget Sheet - Malaria'!O71:O74),IF(SETUP!$G$52=3,SUM('Extended Budget Sheet - Malaria'!S71:S74),IF(SETUP!$G$52=2,SUM('Extended Budget Sheet - Malaria'!W71:W74),IF(SETUP!$G$52=1,SUM('Extended Budget Sheet - Malaria'!AC71:AC74),0)))),0))</f>
        <v>0</v>
      </c>
      <c r="AF61" s="695"/>
      <c r="AG61" s="695">
        <f>IF(SETUP!$F$52="Upfront",SUM('Extended Budget Sheet - Malaria'!AK71:AK74),IF(SETUP!$F$52="At delivery", IF(SETUP!$G$52=4,SUM('Extended Budget Sheet - Malaria'!S71:S74),IF(SETUP!$G$52=3,SUM('Extended Budget Sheet - Malaria'!W71:W74),IF(SETUP!$G$52=2,SUM('Extended Budget Sheet - Malaria'!AC71:AC74),IF(SETUP!$G$52=1,SUM('Extended Budget Sheet - Malaria'!AG71:AG74),0)))),0))</f>
        <v>0</v>
      </c>
      <c r="AH61" s="695"/>
      <c r="AI61" s="695">
        <f>IF(SETUP!$F$52="Upfront",SUM('Extended Budget Sheet - Malaria'!AO71:AO74),IF(SETUP!$F$52="At delivery", IF(SETUP!$G$52=4,SUM('Extended Budget Sheet - Malaria'!W71:W74),IF(SETUP!$G$52=3,SUM('Extended Budget Sheet - Malaria'!AC71:AC74),IF(SETUP!$G$52=2,SUM('Extended Budget Sheet - Malaria'!AG71:AG74),IF(SETUP!$G$52=1,SUM('Extended Budget Sheet - Malaria'!AK71:AK74),0)))),0))</f>
        <v>0</v>
      </c>
      <c r="AJ61" s="695"/>
      <c r="AK61" s="1492">
        <f t="shared" ref="AK61" si="7">AI61+AG61+AE61+AC61</f>
        <v>0</v>
      </c>
      <c r="AL61" s="1493"/>
      <c r="AM61" s="1494"/>
      <c r="AN61" s="699"/>
      <c r="AO61" s="695"/>
      <c r="AP61" s="695">
        <f>IF(SETUP!$F$52="Upfront",SUM('Extended Budget Sheet - Malaria'!AU71:AU74),IF(SETUP!$F$52="At delivery", IF(SETUP!$G$52=4,SUM('Extended Budget Sheet - Malaria'!AC71:AC74),IF(SETUP!$G$52=3,SUM('Extended Budget Sheet - Malaria'!AG71:AG74),IF(SETUP!$G$52=2,SUM('Extended Budget Sheet - Malaria'!AK71:AK74),IF(SETUP!$G$52=1,SUM('Extended Budget Sheet - Malaria'!AO71:AO74),0)))),0))</f>
        <v>0</v>
      </c>
      <c r="AQ61" s="695"/>
      <c r="AR61" s="695">
        <f>IF(SETUP!$F$52="Upfront",SUM('Extended Budget Sheet - Malaria'!AY71:AY74),IF(SETUP!$F$52="At delivery", IF(SETUP!$G$52=4,SUM('Extended Budget Sheet - Malaria'!AG71:AG74),IF(SETUP!$G$52=3,SUM('Extended Budget Sheet - Malaria'!AK71:AK74),IF(SETUP!$G$52=2,SUM('Extended Budget Sheet - Malaria'!AO71:AO74),IF(SETUP!$G$52=1,SUM('Extended Budget Sheet - Malaria'!AU71:AU74),0)))),0))</f>
        <v>0</v>
      </c>
      <c r="AS61" s="695"/>
      <c r="AT61" s="695">
        <f>IF(SETUP!$F$52="Upfront",SUM('Extended Budget Sheet - Malaria'!BC71:BC74),IF(SETUP!$F$52="At delivery", IF(SETUP!$G$52=4,SUM('Extended Budget Sheet - Malaria'!AK71:AK74),IF(SETUP!$G$52=3,SUM('Extended Budget Sheet - Malaria'!AO71:AO74),IF(SETUP!$G$52=2,SUM('Extended Budget Sheet - Malaria'!AU71:AU74),IF(SETUP!$G$52=1,SUM('Extended Budget Sheet - Malaria'!AY71:AY74),0)))),0))</f>
        <v>0</v>
      </c>
      <c r="AU61" s="695"/>
      <c r="AV61" s="695">
        <f>IF(SETUP!$F$52="Upfront",SUM('Extended Budget Sheet - Malaria'!BG71:BG74),IF(SETUP!$F$52="At delivery", IF(SETUP!$G$52=4,SUM(SUM('Extended Budget Sheet - Malaria'!AO71:AO74),SUM('Extended Budget Sheet - Malaria'!AU71:AU74),SUM('Extended Budget Sheet - Malaria'!AY71:AY74),SUM('Extended Budget Sheet - Malaria'!BC71:BC74),SUM('Extended Budget Sheet - Malaria'!BG71:BG74)),IF(SETUP!$G$52=3,SUM(SUM('Extended Budget Sheet - Malaria'!AU71:AU74),SUM('Extended Budget Sheet - Malaria'!AY71:AY74),SUM('Extended Budget Sheet - Malaria'!BC71:BC74),SUM('Extended Budget Sheet - Malaria'!BG71:BG74)),IF(SETUP!$G$52=2,SUM(SUM('Extended Budget Sheet - Malaria'!AY71:AY74),SUM('Extended Budget Sheet - Malaria'!BC71:BC74),SUM('Extended Budget Sheet - Malaria'!BG71:BG74)),IF(SETUP!$G$52=1,SUM(SUM('Extended Budget Sheet - Malaria'!BC71:BC74),SUM('Extended Budget Sheet - Malaria'!BG71:BG74)),0)))),0))</f>
        <v>0</v>
      </c>
      <c r="AW61" s="695"/>
      <c r="AX61" s="1492">
        <f t="shared" ref="AX61" si="8">AV61+AT61+AR61+AP61</f>
        <v>0</v>
      </c>
      <c r="AY61" s="1492"/>
      <c r="AZ61" s="698"/>
      <c r="BA61" s="699"/>
      <c r="BB61" s="697"/>
      <c r="BC61" s="697">
        <v>0</v>
      </c>
      <c r="BD61" s="697">
        <v>0</v>
      </c>
      <c r="BE61" s="697">
        <v>0</v>
      </c>
      <c r="BF61" s="697">
        <v>0</v>
      </c>
      <c r="BG61" s="697">
        <v>0</v>
      </c>
      <c r="BH61" s="697">
        <v>0</v>
      </c>
      <c r="BI61" s="697">
        <v>0</v>
      </c>
      <c r="BJ61" s="697">
        <v>0</v>
      </c>
      <c r="BK61" s="1492">
        <f t="shared" si="3"/>
        <v>0</v>
      </c>
      <c r="BL61" s="1492"/>
      <c r="BM61" s="1492">
        <f t="shared" si="4"/>
        <v>0</v>
      </c>
      <c r="BN61" s="1492">
        <f t="shared" si="5"/>
        <v>0</v>
      </c>
      <c r="BO61" s="697"/>
      <c r="BP61" s="697"/>
      <c r="BQ61" s="1495">
        <v>0</v>
      </c>
      <c r="BR61" s="1495" t="s">
        <v>19</v>
      </c>
      <c r="BS61" s="1495" t="s">
        <v>6946</v>
      </c>
      <c r="BT61" s="691" t="s">
        <v>733</v>
      </c>
    </row>
    <row r="62" spans="1:72" s="681" customFormat="1" ht="13" hidden="1">
      <c r="A62" s="1545">
        <v>73</v>
      </c>
      <c r="B62" s="1546" t="s">
        <v>726</v>
      </c>
      <c r="C62" s="1546" t="s">
        <v>727</v>
      </c>
      <c r="D62" s="1547" t="s">
        <v>2306</v>
      </c>
      <c r="E62" s="690" t="s">
        <v>714</v>
      </c>
      <c r="F62" s="691"/>
      <c r="G62" s="692"/>
      <c r="H62" s="692"/>
      <c r="I62" s="692"/>
      <c r="J62" s="693"/>
      <c r="K62" s="693"/>
      <c r="L62" s="693"/>
      <c r="M62" s="694"/>
      <c r="N62" s="695"/>
      <c r="O62" s="696" t="s">
        <v>1569</v>
      </c>
      <c r="P62" s="695">
        <f>IF(SETUP!$F$52="Upfront",SUM('Extended Budget Sheet - Malaria'!K258:K258),0)</f>
        <v>0</v>
      </c>
      <c r="Q62" s="695" t="s">
        <v>1569</v>
      </c>
      <c r="R62" s="695">
        <f>IF(SETUP!$F$52="Upfront",SUM('Extended Budget Sheet - Malaria'!O258:O258),IF(SETUP!$F$52="At delivery", IF(SETUP!$G$52=1,SUM('Extended Budget Sheet - Malaria'!K258:K258),0),0))</f>
        <v>0</v>
      </c>
      <c r="S62" s="695" t="s">
        <v>1569</v>
      </c>
      <c r="T62" s="695">
        <f>IF(SETUP!$F$52="Upfront",SUM('Extended Budget Sheet - Malaria'!S258:S258),IF(SETUP!$F$52="At delivery", IF(SETUP!$G$52=2,SUM('Extended Budget Sheet - Malaria'!K258:K258),IF(SETUP!$G$52=1,SUM('Extended Budget Sheet - Malaria'!O258:O258),0)),0))</f>
        <v>0</v>
      </c>
      <c r="U62" s="695" t="s">
        <v>1569</v>
      </c>
      <c r="V62" s="695">
        <f>IF(SETUP!$F$52="Upfront",SUM('Extended Budget Sheet - Malaria'!W258:W258),IF(SETUP!$F$52="At delivery", IF(SETUP!$G$52=3,SUM('Extended Budget Sheet - Malaria'!K258:K258),IF(SETUP!$G$52=2,SUM('Extended Budget Sheet - Malaria'!O258:O258),IF(SETUP!$G$52=1,SUM('Extended Budget Sheet - Malaria'!S258:S258),0))),0))</f>
        <v>0</v>
      </c>
      <c r="W62" s="695"/>
      <c r="X62" s="1492">
        <f t="shared" si="0"/>
        <v>0</v>
      </c>
      <c r="Y62" s="1493"/>
      <c r="Z62" s="1494"/>
      <c r="AA62" s="699"/>
      <c r="AB62" s="695"/>
      <c r="AC62" s="695">
        <f>IF(SETUP!$F$52="Upfront",SUM('Extended Budget Sheet - Malaria'!AC258:AC258),IF(SETUP!$F$52="At delivery", IF(SETUP!$G$52=4,SUM('Extended Budget Sheet - Malaria'!K258:K258),IF(SETUP!$G$52=3,SUM('Extended Budget Sheet - Malaria'!O258:O258),IF(SETUP!$G$52=2,SUM('Extended Budget Sheet - Malaria'!S258:S258),IF(SETUP!$G$52=1,SUM('Extended Budget Sheet - Malaria'!W258:W258),0)))),0))</f>
        <v>0</v>
      </c>
      <c r="AD62" s="695"/>
      <c r="AE62" s="695">
        <f>IF(SETUP!$F$52="Upfront",SUM('Extended Budget Sheet - Malaria'!AG258:AG258),IF(SETUP!$F$52="At delivery", IF(SETUP!$G$52=4,SUM('Extended Budget Sheet - Malaria'!O258:O258),IF(SETUP!$G$52=3,SUM('Extended Budget Sheet - Malaria'!S258:S258),IF(SETUP!$G$52=2,SUM('Extended Budget Sheet - Malaria'!W258:W258),IF(SETUP!$G$52=1,SUM('Extended Budget Sheet - Malaria'!AC258:AC258),0)))),0))</f>
        <v>0</v>
      </c>
      <c r="AF62" s="695"/>
      <c r="AG62" s="695">
        <f>IF(SETUP!$F$52="Upfront",SUM('Extended Budget Sheet - Malaria'!AK258:AK258),IF(SETUP!$F$52="At delivery", IF(SETUP!$G$52=4,SUM('Extended Budget Sheet - Malaria'!S258:S258),IF(SETUP!$G$52=3,SUM('Extended Budget Sheet - Malaria'!W258:W258),IF(SETUP!$G$52=2,SUM('Extended Budget Sheet - Malaria'!AC258:AC258),IF(SETUP!$G$52=1,SUM('Extended Budget Sheet - Malaria'!AG258:AG258),0)))),0))</f>
        <v>0</v>
      </c>
      <c r="AH62" s="695"/>
      <c r="AI62" s="695">
        <f>IF(SETUP!$F$52="Upfront",SUM('Extended Budget Sheet - Malaria'!AO258:AO258),IF(SETUP!$F$52="At delivery", IF(SETUP!$G$52=4,SUM('Extended Budget Sheet - Malaria'!W258:W258),IF(SETUP!$G$52=3,SUM('Extended Budget Sheet - Malaria'!AC258:AC258),IF(SETUP!$G$52=2,SUM('Extended Budget Sheet - Malaria'!AG258:AG258),IF(SETUP!$G$52=1,SUM('Extended Budget Sheet - Malaria'!AK258:AK258),0)))),0))</f>
        <v>0</v>
      </c>
      <c r="AJ62" s="695"/>
      <c r="AK62" s="1492">
        <f t="shared" si="1"/>
        <v>0</v>
      </c>
      <c r="AL62" s="1493"/>
      <c r="AM62" s="1494"/>
      <c r="AN62" s="699"/>
      <c r="AO62" s="695"/>
      <c r="AP62" s="695">
        <f>IF(SETUP!$F$52="Upfront",SUM('Extended Budget Sheet - Malaria'!AU258:AU258),IF(SETUP!$F$52="At delivery", IF(SETUP!$G$52=4,SUM('Extended Budget Sheet - Malaria'!AC258:AC258),IF(SETUP!$G$52=3,SUM('Extended Budget Sheet - Malaria'!AG258:AG258),IF(SETUP!$G$52=2,SUM('Extended Budget Sheet - Malaria'!AK258:AK258),IF(SETUP!$G$52=1,SUM('Extended Budget Sheet - Malaria'!AO258:AO258),0)))),0))</f>
        <v>0</v>
      </c>
      <c r="AQ62" s="695"/>
      <c r="AR62" s="695">
        <f>IF(SETUP!$F$52="Upfront",SUM('Extended Budget Sheet - Malaria'!AY258:AY258),IF(SETUP!$F$52="At delivery", IF(SETUP!$G$52=4,SUM('Extended Budget Sheet - Malaria'!AG258:AG258),IF(SETUP!$G$52=3,SUM('Extended Budget Sheet - Malaria'!AK258:AK258),IF(SETUP!$G$52=2,SUM('Extended Budget Sheet - Malaria'!AO258:AO258),IF(SETUP!$G$52=1,SUM('Extended Budget Sheet - Malaria'!AU258:AU258),0)))),0))</f>
        <v>0</v>
      </c>
      <c r="AS62" s="695"/>
      <c r="AT62" s="695">
        <f>IF(SETUP!$F$52="Upfront",SUM('Extended Budget Sheet - Malaria'!BC258:BC258),IF(SETUP!$F$52="At delivery", IF(SETUP!$G$52=4,SUM('Extended Budget Sheet - Malaria'!AK258:AK258),IF(SETUP!$G$52=3,SUM('Extended Budget Sheet - Malaria'!AO258:AO258),IF(SETUP!$G$52=2,SUM('Extended Budget Sheet - Malaria'!AU258:AU258),IF(SETUP!$G$52=1,SUM('Extended Budget Sheet - Malaria'!AY258:AY258),0)))),0))</f>
        <v>0</v>
      </c>
      <c r="AU62" s="695"/>
      <c r="AV62" s="695">
        <f>IF(SETUP!$F$52="Upfront",SUM('Extended Budget Sheet - Malaria'!BG258:BG258),IF(SETUP!$F$52="At delivery", IF(SETUP!$G$52=4,SUM(SUM('Extended Budget Sheet - Malaria'!AO258:AO258),SUM('Extended Budget Sheet - Malaria'!AU258:AU258),SUM('Extended Budget Sheet - Malaria'!AY258:AY258),SUM('Extended Budget Sheet - Malaria'!BC258:BC258),SUM('Extended Budget Sheet - Malaria'!BG258:BG258)),IF(SETUP!$G$52=3,SUM(SUM('Extended Budget Sheet - Malaria'!AU258:AU258),SUM('Extended Budget Sheet - Malaria'!AY258:AY258),SUM('Extended Budget Sheet - Malaria'!BC258:BC258),SUM('Extended Budget Sheet - Malaria'!BG258:BG258)),IF(SETUP!$G$52=2,SUM(SUM('Extended Budget Sheet - Malaria'!AY258:AY258),SUM('Extended Budget Sheet - Malaria'!BC258:BC258),SUM('Extended Budget Sheet - Malaria'!BG258:BG258)),IF(SETUP!$G$52=1,SUM(SUM('Extended Budget Sheet - Malaria'!BC258:BC258),SUM('Extended Budget Sheet - Malaria'!BG258:BG258)),0)))),0))</f>
        <v>0</v>
      </c>
      <c r="AW62" s="695"/>
      <c r="AX62" s="1492">
        <f t="shared" si="2"/>
        <v>0</v>
      </c>
      <c r="AY62" s="1492"/>
      <c r="AZ62" s="698"/>
      <c r="BA62" s="699"/>
      <c r="BB62" s="697"/>
      <c r="BC62" s="697">
        <v>0</v>
      </c>
      <c r="BD62" s="697">
        <v>0</v>
      </c>
      <c r="BE62" s="697">
        <v>0</v>
      </c>
      <c r="BF62" s="697">
        <v>0</v>
      </c>
      <c r="BG62" s="697">
        <v>0</v>
      </c>
      <c r="BH62" s="697">
        <v>0</v>
      </c>
      <c r="BI62" s="697">
        <v>0</v>
      </c>
      <c r="BJ62" s="697">
        <v>0</v>
      </c>
      <c r="BK62" s="1492">
        <f t="shared" si="3"/>
        <v>0</v>
      </c>
      <c r="BL62" s="1492"/>
      <c r="BM62" s="1492">
        <f t="shared" si="4"/>
        <v>0</v>
      </c>
      <c r="BN62" s="1492">
        <f t="shared" si="5"/>
        <v>0</v>
      </c>
      <c r="BO62" s="697"/>
      <c r="BP62" s="697"/>
      <c r="BQ62" s="1495">
        <v>0</v>
      </c>
      <c r="BR62" s="1495" t="s">
        <v>19</v>
      </c>
      <c r="BS62" s="1495" t="s">
        <v>2306</v>
      </c>
      <c r="BT62" s="691" t="s">
        <v>1764</v>
      </c>
    </row>
    <row r="63" spans="1:72" s="681" customFormat="1" ht="13" hidden="1">
      <c r="A63" s="1545">
        <v>74</v>
      </c>
      <c r="B63" s="1546" t="s">
        <v>726</v>
      </c>
      <c r="C63" s="1546" t="s">
        <v>727</v>
      </c>
      <c r="D63" s="1547" t="s">
        <v>724</v>
      </c>
      <c r="E63" s="690" t="s">
        <v>725</v>
      </c>
      <c r="F63" s="691"/>
      <c r="G63" s="692"/>
      <c r="H63" s="692"/>
      <c r="I63" s="692"/>
      <c r="J63" s="693"/>
      <c r="K63" s="693"/>
      <c r="L63" s="693"/>
      <c r="M63" s="694"/>
      <c r="N63" s="695"/>
      <c r="O63" s="696" t="s">
        <v>1569</v>
      </c>
      <c r="P63" s="695">
        <f>IF(SETUP!$F$57="Upfront",SUM('Extended Budget Sheet - Malaria'!K173:K180),0)</f>
        <v>0</v>
      </c>
      <c r="Q63" s="695" t="s">
        <v>1569</v>
      </c>
      <c r="R63" s="695">
        <f>IF(SETUP!$F$57="Upfront",SUM('Extended Budget Sheet - Malaria'!O173:O180),IF(SETUP!$F$57="At delivery", IF(SETUP!$G$57=1,SUM('Extended Budget Sheet - Malaria'!K173:K180),0),0))</f>
        <v>0</v>
      </c>
      <c r="S63" s="695" t="s">
        <v>1569</v>
      </c>
      <c r="T63" s="695">
        <f>IF(SETUP!$F$57="Upfront",SUM('Extended Budget Sheet - Malaria'!S173:S180),IF(SETUP!$F$57="At delivery", IF(SETUP!$G$57=2,SUM('Extended Budget Sheet - Malaria'!K173:K180),IF(SETUP!$G$57=1,SUM('Extended Budget Sheet - Malaria'!O173:O180),0)),0))</f>
        <v>0</v>
      </c>
      <c r="U63" s="695" t="s">
        <v>1569</v>
      </c>
      <c r="V63" s="695">
        <f>IF(SETUP!$F$57="Upfront",SUM('Extended Budget Sheet - Malaria'!W173:W180),IF(SETUP!$F$57="At delivery", IF(SETUP!$G$57=3,SUM('Extended Budget Sheet - Malaria'!K173:K180),IF(SETUP!$G$57=2,SUM('Extended Budget Sheet - Malaria'!O173:O180),IF(SETUP!$G$57=1,SUM('Extended Budget Sheet - Malaria'!S173:S180),0))),0))</f>
        <v>0</v>
      </c>
      <c r="W63" s="695"/>
      <c r="X63" s="1492">
        <f t="shared" si="0"/>
        <v>0</v>
      </c>
      <c r="Y63" s="1493"/>
      <c r="Z63" s="1494"/>
      <c r="AA63" s="699"/>
      <c r="AB63" s="695"/>
      <c r="AC63" s="695">
        <f>IF(SETUP!$F$57="Upfront",SUM('Extended Budget Sheet - Malaria'!AC173:AC180),IF(SETUP!$F$57="At delivery", IF(SETUP!$G$57=4,SUM('Extended Budget Sheet - Malaria'!K173:K180),IF(SETUP!$G$57=3,SUM('Extended Budget Sheet - Malaria'!O173:O180),IF(SETUP!$G$57=2,SUM('Extended Budget Sheet - Malaria'!S173:S180),IF(SETUP!$G$57=1,SUM('Extended Budget Sheet - Malaria'!W173:W180),0)))),0))</f>
        <v>0</v>
      </c>
      <c r="AD63" s="695"/>
      <c r="AE63" s="695">
        <f>IF(SETUP!$F$57="Upfront",SUM('Extended Budget Sheet - Malaria'!AG173:AG180),IF(SETUP!$F$57="At delivery", IF(SETUP!$G$57=4,SUM('Extended Budget Sheet - Malaria'!O173:O180),IF(SETUP!$G$57=3,SUM('Extended Budget Sheet - Malaria'!S173:S180),IF(SETUP!$G$57=2,SUM('Extended Budget Sheet - Malaria'!W173:W180),IF(SETUP!$G$57=1,SUM('Extended Budget Sheet - Malaria'!AC173:AC180),0)))),0))</f>
        <v>0</v>
      </c>
      <c r="AF63" s="695"/>
      <c r="AG63" s="695">
        <f>IF(SETUP!$F$57="Upfront",SUM('Extended Budget Sheet - Malaria'!AK173:AK180),IF(SETUP!$F$57="At delivery", IF(SETUP!$G$57=4,SUM('Extended Budget Sheet - Malaria'!S173:S180),IF(SETUP!$G$57=3,SUM('Extended Budget Sheet - Malaria'!W173:W180),IF(SETUP!$G$57=2,SUM('Extended Budget Sheet - Malaria'!AC173:AC180),IF(SETUP!$G$57=1,SUM('Extended Budget Sheet - Malaria'!AG173:AG180),0)))),0))</f>
        <v>0</v>
      </c>
      <c r="AH63" s="695"/>
      <c r="AI63" s="695">
        <f>IF(SETUP!$F$57="Upfront",SUM('Extended Budget Sheet - Malaria'!AO173:AO180),IF(SETUP!$F$57="At delivery", IF(SETUP!$G$57=4,SUM('Extended Budget Sheet - Malaria'!W173:W180),IF(SETUP!$G$57=3,SUM('Extended Budget Sheet - Malaria'!AC173:AC180),IF(SETUP!$G$57=2,SUM('Extended Budget Sheet - Malaria'!AG173:AG180),IF(SETUP!$G$57=1,SUM('Extended Budget Sheet - Malaria'!AK173:AK180),0)))),0))</f>
        <v>0</v>
      </c>
      <c r="AJ63" s="695"/>
      <c r="AK63" s="1492">
        <f t="shared" si="1"/>
        <v>0</v>
      </c>
      <c r="AL63" s="1493"/>
      <c r="AM63" s="1494"/>
      <c r="AN63" s="699"/>
      <c r="AO63" s="695"/>
      <c r="AP63" s="695">
        <f>IF(SETUP!$F$57="Upfront",SUM('Extended Budget Sheet - Malaria'!AU173:AU180),IF(SETUP!$F$57="At delivery", IF(SETUP!$G$57=4,SUM('Extended Budget Sheet - Malaria'!AC173:AC180),IF(SETUP!$G$57=3,SUM('Extended Budget Sheet - Malaria'!AG173:AG180),IF(SETUP!$G$57=2,SUM('Extended Budget Sheet - Malaria'!AK173:AK180),IF(SETUP!$G$57=1,SUM('Extended Budget Sheet - Malaria'!AO173:AO180),0)))),0))</f>
        <v>0</v>
      </c>
      <c r="AQ63" s="695"/>
      <c r="AR63" s="695">
        <f>IF(SETUP!$F$57="Upfront",SUM('Extended Budget Sheet - Malaria'!AY173:AY180),IF(SETUP!$F$57="At delivery", IF(SETUP!$G$57=4,SUM('Extended Budget Sheet - Malaria'!AG173:AG180),IF(SETUP!$G$57=3,SUM('Extended Budget Sheet - Malaria'!AK173:AK180),IF(SETUP!$G$57=2,SUM('Extended Budget Sheet - Malaria'!AO173:AO180),IF(SETUP!$G$57=1,SUM('Extended Budget Sheet - Malaria'!AU173:AU180),0)))),0))</f>
        <v>0</v>
      </c>
      <c r="AS63" s="695"/>
      <c r="AT63" s="695">
        <f>IF(SETUP!$F$57="Upfront",SUM('Extended Budget Sheet - Malaria'!BC173:BC180),IF(SETUP!$F$57="At delivery", IF(SETUP!$G$57=4,SUM('Extended Budget Sheet - Malaria'!AK173:AK180),IF(SETUP!$G$57=3,SUM('Extended Budget Sheet - Malaria'!AO173:AO180),IF(SETUP!$G$57=2,SUM('Extended Budget Sheet - Malaria'!AU173:AU180),IF(SETUP!$G$57=1,SUM('Extended Budget Sheet - Malaria'!AY173:AY180),0)))),0))</f>
        <v>0</v>
      </c>
      <c r="AU63" s="695"/>
      <c r="AV63" s="695">
        <f>IF(SETUP!$F$57="Upfront",SUM('Extended Budget Sheet - Malaria'!BG173:BG180),IF(SETUP!$F$57="At delivery", IF(SETUP!$G$57=4,SUM(SUM('Extended Budget Sheet - Malaria'!AO173:AO180),SUM('Extended Budget Sheet - Malaria'!AU173:AU180),SUM('Extended Budget Sheet - Malaria'!AY173:AY180),SUM('Extended Budget Sheet - Malaria'!BC173:BC180),SUM('Extended Budget Sheet - Malaria'!BG173:BG180)),IF(SETUP!$G$57=3,SUM(SUM('Extended Budget Sheet - Malaria'!AU173:AU180),SUM('Extended Budget Sheet - Malaria'!AY173:AY180),SUM('Extended Budget Sheet - Malaria'!BC173:BC180),SUM('Extended Budget Sheet - Malaria'!BG173:BG180)),IF(SETUP!$G$57=2,SUM(SUM('Extended Budget Sheet - Malaria'!AY173:AY180),SUM('Extended Budget Sheet - Malaria'!BC173:BC180),SUM('Extended Budget Sheet - Malaria'!BG173:BG180)),IF(SETUP!$G$57=1,SUM(SUM('Extended Budget Sheet - Malaria'!BC173:BC180),SUM('Extended Budget Sheet - Malaria'!BG173:BG180)),0)))),0))</f>
        <v>0</v>
      </c>
      <c r="AW63" s="695"/>
      <c r="AX63" s="1492">
        <f t="shared" si="2"/>
        <v>0</v>
      </c>
      <c r="AY63" s="1492"/>
      <c r="AZ63" s="698"/>
      <c r="BA63" s="699"/>
      <c r="BB63" s="697"/>
      <c r="BC63" s="697">
        <v>0</v>
      </c>
      <c r="BD63" s="697">
        <v>0</v>
      </c>
      <c r="BE63" s="697">
        <v>0</v>
      </c>
      <c r="BF63" s="697">
        <v>0</v>
      </c>
      <c r="BG63" s="697">
        <v>0</v>
      </c>
      <c r="BH63" s="697">
        <v>0</v>
      </c>
      <c r="BI63" s="697">
        <v>0</v>
      </c>
      <c r="BJ63" s="697">
        <v>0</v>
      </c>
      <c r="BK63" s="1492">
        <f t="shared" si="3"/>
        <v>0</v>
      </c>
      <c r="BL63" s="1492"/>
      <c r="BM63" s="1492">
        <f t="shared" si="4"/>
        <v>0</v>
      </c>
      <c r="BN63" s="1492">
        <f t="shared" si="5"/>
        <v>0</v>
      </c>
      <c r="BO63" s="697"/>
      <c r="BP63" s="697"/>
      <c r="BQ63" s="1495">
        <v>0</v>
      </c>
      <c r="BR63" s="1495" t="s">
        <v>19</v>
      </c>
      <c r="BS63" s="1495" t="s">
        <v>724</v>
      </c>
      <c r="BT63" s="691" t="s">
        <v>1580</v>
      </c>
    </row>
    <row r="64" spans="1:72" s="681" customFormat="1" ht="13" hidden="1">
      <c r="A64" s="1545">
        <v>75</v>
      </c>
      <c r="B64" s="1546" t="s">
        <v>726</v>
      </c>
      <c r="C64" s="1546" t="s">
        <v>727</v>
      </c>
      <c r="D64" s="1547" t="s">
        <v>722</v>
      </c>
      <c r="E64" s="690" t="s">
        <v>723</v>
      </c>
      <c r="F64" s="691"/>
      <c r="G64" s="692"/>
      <c r="H64" s="692"/>
      <c r="I64" s="692"/>
      <c r="J64" s="693"/>
      <c r="K64" s="693"/>
      <c r="L64" s="693"/>
      <c r="M64" s="694"/>
      <c r="N64" s="695"/>
      <c r="O64" s="696"/>
      <c r="P64" s="695">
        <f>IF(SETUP!$F$57="Upfront",SUM('Extended Budget Sheet - Malaria'!K166:K171)+'Extended Budget Sheet - Malaria'!K70,0)</f>
        <v>0</v>
      </c>
      <c r="Q64" s="695" t="s">
        <v>1569</v>
      </c>
      <c r="R64" s="695">
        <f>IF(SETUP!$F$57="Upfront",SUM('Extended Budget Sheet - Malaria'!O166:O171)+'Extended Budget Sheet - Malaria'!O70,IF(SETUP!$F$57="At delivery", IF(SETUP!$G$57=1,SUM('Extended Budget Sheet - Malaria'!K166:K171)+'Extended Budget Sheet - Malaria'!K70,0),0))</f>
        <v>0</v>
      </c>
      <c r="S64" s="695" t="s">
        <v>1569</v>
      </c>
      <c r="T64" s="695">
        <f>IF(SETUP!$F$57="Upfront",SUM('Extended Budget Sheet - Malaria'!S166:S171)+'Extended Budget Sheet - Malaria'!S70,IF(SETUP!$F$57="At delivery", IF(SETUP!$G$57=2,SUM('Extended Budget Sheet - Malaria'!K166:K171)+'Extended Budget Sheet - Malaria'!K70,IF(SETUP!$G$57=1,SUM('Extended Budget Sheet - Malaria'!O166:O171)+'Extended Budget Sheet - Malaria'!O70,0)),0))</f>
        <v>0</v>
      </c>
      <c r="U64" s="695" t="s">
        <v>1569</v>
      </c>
      <c r="V64" s="695">
        <f>IF(SETUP!$F$57="Upfront",SUM('Extended Budget Sheet - Malaria'!W166:W171)+'Extended Budget Sheet - Malaria'!W70,IF(SETUP!$F$57="At delivery", IF(SETUP!$G$57=3,SUM('Extended Budget Sheet - Malaria'!K166:K171)+'Extended Budget Sheet - Malaria'!K70,IF(SETUP!$G$57=2,SUM('Extended Budget Sheet - Malaria'!O166:O171)+'Extended Budget Sheet - Malaria'!O70,IF(SETUP!$G$57=1,SUM('Extended Budget Sheet - Malaria'!S166:S171)+'Extended Budget Sheet - Malaria'!S70,0))),0))</f>
        <v>0</v>
      </c>
      <c r="W64" s="695"/>
      <c r="X64" s="1492">
        <f t="shared" ref="X64" si="9">P64+R64+T64+V64</f>
        <v>0</v>
      </c>
      <c r="Y64" s="1493"/>
      <c r="Z64" s="1494"/>
      <c r="AA64" s="699"/>
      <c r="AB64" s="695"/>
      <c r="AC64" s="695">
        <f>IF(SETUP!$F$57="Upfront",SUM('Extended Budget Sheet - Malaria'!AC166:AC171)+'Extended Budget Sheet - Malaria'!AC70,IF(SETUP!$F$57="At delivery", IF(SETUP!$G$57=4,SUM('Extended Budget Sheet - Malaria'!K166:K171)+'Extended Budget Sheet - Malaria'!K70,IF(SETUP!$G$57=3,SUM('Extended Budget Sheet - Malaria'!O166:O171)+'Extended Budget Sheet - Malaria'!O70,IF(SETUP!$G$57=2,SUM('Extended Budget Sheet - Malaria'!S166:S171)+'Extended Budget Sheet - Malaria'!S70,IF(SETUP!$G$57=1,SUM('Extended Budget Sheet - Malaria'!W166:W171)+'Extended Budget Sheet - Malaria'!W70,0)))),0))</f>
        <v>0</v>
      </c>
      <c r="AD64" s="695"/>
      <c r="AE64" s="695">
        <f>IF(SETUP!$F$57="Upfront",SUM('Extended Budget Sheet - Malaria'!AG166:AG171)+'Extended Budget Sheet - Malaria'!AG70,IF(SETUP!$F$57="At delivery", IF(SETUP!$G$57=4,SUM('Extended Budget Sheet - Malaria'!O166:O171)+'Extended Budget Sheet - Malaria'!O70,IF(SETUP!$G$57=3,SUM('Extended Budget Sheet - Malaria'!S166:S171)+'Extended Budget Sheet - Malaria'!S70,IF(SETUP!$G$57=2,SUM('Extended Budget Sheet - Malaria'!W166:W171)+'Extended Budget Sheet - Malaria'!W70,IF(SETUP!$G$57=1,SUM('Extended Budget Sheet - Malaria'!AC166:AC171)+'Extended Budget Sheet - Malaria'!AC70,0)))),0))</f>
        <v>0</v>
      </c>
      <c r="AF64" s="695"/>
      <c r="AG64" s="695">
        <f>IF(SETUP!$F$57="Upfront",SUM('Extended Budget Sheet - Malaria'!AK166:AK171)+'Extended Budget Sheet - Malaria'!AK70,IF(SETUP!$F$57="At delivery", IF(SETUP!$G$57=4,SUM('Extended Budget Sheet - Malaria'!S166:S171)+'Extended Budget Sheet - Malaria'!S70,IF(SETUP!$G$57=3,SUM('Extended Budget Sheet - Malaria'!W166:W171)+'Extended Budget Sheet - Malaria'!W70,IF(SETUP!$G$57=2,SUM('Extended Budget Sheet - Malaria'!AC166:AC171)+'Extended Budget Sheet - Malaria'!AC70,IF(SETUP!$G$57=1,SUM('Extended Budget Sheet - Malaria'!AG166:AG171)+'Extended Budget Sheet - Malaria'!AG70,0)))),0))</f>
        <v>0</v>
      </c>
      <c r="AH64" s="695"/>
      <c r="AI64" s="695">
        <f>IF(SETUP!$F$57="Upfront",SUM('Extended Budget Sheet - Malaria'!AO166:AO171)+'Extended Budget Sheet - Malaria'!AO70,IF(SETUP!$F$57="At delivery", IF(SETUP!$G$57=4,SUM('Extended Budget Sheet - Malaria'!W166:W171)+'Extended Budget Sheet - Malaria'!W70,IF(SETUP!$G$57=3,SUM('Extended Budget Sheet - Malaria'!AC166:AC171)+'Extended Budget Sheet - Malaria'!AC70,IF(SETUP!$G$57=2,SUM('Extended Budget Sheet - Malaria'!AG166:AG171)+'Extended Budget Sheet - Malaria'!AG70,IF(SETUP!$G$57=1,SUM('Extended Budget Sheet - Malaria'!AK166:AK171)+'Extended Budget Sheet - Malaria'!AK70,0)))),0))</f>
        <v>0</v>
      </c>
      <c r="AJ64" s="695"/>
      <c r="AK64" s="1492">
        <f t="shared" ref="AK64" si="10">AI64+AG64+AE64+AC64</f>
        <v>0</v>
      </c>
      <c r="AL64" s="1493"/>
      <c r="AM64" s="1494"/>
      <c r="AN64" s="699"/>
      <c r="AO64" s="695"/>
      <c r="AP64" s="695">
        <f>IF(SETUP!$F$57="Upfront",SUM('Extended Budget Sheet - Malaria'!AU166:AU171)+'Extended Budget Sheet - Malaria'!AU70,IF(SETUP!$F$57="At delivery", IF(SETUP!$G$57=4,SUM('Extended Budget Sheet - Malaria'!AC166:AC171)+'Extended Budget Sheet - Malaria'!AC70,IF(SETUP!$G$57=3,SUM('Extended Budget Sheet - Malaria'!AG166:AG171)+'Extended Budget Sheet - Malaria'!AG70,IF(SETUP!$G$57=2,SUM('Extended Budget Sheet - Malaria'!AK166:AK171)+'Extended Budget Sheet - Malaria'!AK70,IF(SETUP!$G$57=1,SUM('Extended Budget Sheet - Malaria'!AO166:AO171)+'Extended Budget Sheet - Malaria'!AO70,0)))),0))</f>
        <v>0</v>
      </c>
      <c r="AQ64" s="695"/>
      <c r="AR64" s="695">
        <f>IF(SETUP!$F$57="Upfront",SUM('Extended Budget Sheet - Malaria'!AY166:AY171)+'Extended Budget Sheet - Malaria'!AY70,IF(SETUP!$F$57="At delivery", IF(SETUP!$G$57=4,SUM('Extended Budget Sheet - Malaria'!AG166:AG171)+'Extended Budget Sheet - Malaria'!AG70,IF(SETUP!$G$57=3,SUM('Extended Budget Sheet - Malaria'!AK166:AK171)+'Extended Budget Sheet - Malaria'!AK70,IF(SETUP!$G$57=2,SUM('Extended Budget Sheet - Malaria'!AO166:AO171)+'Extended Budget Sheet - Malaria'!AO70,IF(SETUP!$G$57=1,SUM('Extended Budget Sheet - Malaria'!AU166:AU171)+'Extended Budget Sheet - Malaria'!AU70,0)))),0))</f>
        <v>0</v>
      </c>
      <c r="AS64" s="695"/>
      <c r="AT64" s="695">
        <f>IF(SETUP!$F$57="Upfront",SUM('Extended Budget Sheet - Malaria'!BC166:BC171)+'Extended Budget Sheet - Malaria'!BC70,IF(SETUP!$F$57="At delivery", IF(SETUP!$G$57=4,SUM('Extended Budget Sheet - Malaria'!AK166:AK171)+'Extended Budget Sheet - Malaria'!AK70,IF(SETUP!$G$57=3,SUM('Extended Budget Sheet - Malaria'!AO166:AO171)+'Extended Budget Sheet - Malaria'!AO70,IF(SETUP!$G$57=2,SUM('Extended Budget Sheet - Malaria'!AU166:AU171)+'Extended Budget Sheet - Malaria'!AU70,IF(SETUP!$G$57=1,SUM('Extended Budget Sheet - Malaria'!AY166:AY171)+'Extended Budget Sheet - Malaria'!AY70,0)))),0))</f>
        <v>0</v>
      </c>
      <c r="AU64" s="695"/>
      <c r="AV64" s="695">
        <f>IF(SETUP!$F$57="Upfront",SUM('Extended Budget Sheet - Malaria'!BG166:BG171)+'Extended Budget Sheet - Malaria'!BG70,IF(SETUP!$F$57="At delivery", IF(SETUP!$G$57=4,SUM(SUM('Extended Budget Sheet - Malaria'!AO166:AO171)+'Extended Budget Sheet - Malaria'!AO70,SUM('Extended Budget Sheet - Malaria'!AU166:AU171)+'Extended Budget Sheet - Malaria'!AU70,SUM('Extended Budget Sheet - Malaria'!AY166:AY171)+'Extended Budget Sheet - Malaria'!AY70,SUM('Extended Budget Sheet - Malaria'!BC166:BC171)+'Extended Budget Sheet - Malaria'!BC70,SUM('Extended Budget Sheet - Malaria'!BG166:BG171)+'Extended Budget Sheet - Malaria'!BG70),IF(SETUP!$G$57=3,SUM(SUM('Extended Budget Sheet - Malaria'!AU166:AU171)+'Extended Budget Sheet - Malaria'!AU70,SUM('Extended Budget Sheet - Malaria'!AY166:AY171)+'Extended Budget Sheet - Malaria'!AY70,SUM('Extended Budget Sheet - Malaria'!BC166:BC171)+'Extended Budget Sheet - Malaria'!BC70,SUM('Extended Budget Sheet - Malaria'!BG166:BG171)),IF(SETUP!$G$57=2,SUM(SUM('Extended Budget Sheet - Malaria'!AY166:AY171)+'Extended Budget Sheet - Malaria'!AY70,SUM('Extended Budget Sheet - Malaria'!BC166:BC171)+'Extended Budget Sheet - Malaria'!BC70,SUM('Extended Budget Sheet - Malaria'!BG166:BG171)+'Extended Budget Sheet - Malaria'!BG70),IF(SETUP!$G$57=1,SUM(SUM('Extended Budget Sheet - Malaria'!BC166:BC171)+'Extended Budget Sheet - Malaria'!BC70,SUM('Extended Budget Sheet - Malaria'!BG166:BG171)+'Extended Budget Sheet - Malaria'!BG70),0)))),0))</f>
        <v>0</v>
      </c>
      <c r="AW64" s="695"/>
      <c r="AX64" s="1492">
        <f t="shared" ref="AX64" si="11">AV64+AT64+AR64+AP64</f>
        <v>0</v>
      </c>
      <c r="AY64" s="1492"/>
      <c r="AZ64" s="698"/>
      <c r="BA64" s="699"/>
      <c r="BB64" s="697"/>
      <c r="BC64" s="697">
        <v>0</v>
      </c>
      <c r="BD64" s="697">
        <v>0</v>
      </c>
      <c r="BE64" s="697">
        <v>0</v>
      </c>
      <c r="BF64" s="697">
        <v>0</v>
      </c>
      <c r="BG64" s="697">
        <v>0</v>
      </c>
      <c r="BH64" s="697">
        <v>0</v>
      </c>
      <c r="BI64" s="697">
        <v>0</v>
      </c>
      <c r="BJ64" s="697">
        <v>0</v>
      </c>
      <c r="BK64" s="1492">
        <f t="shared" si="3"/>
        <v>0</v>
      </c>
      <c r="BL64" s="1492"/>
      <c r="BM64" s="1492">
        <f t="shared" si="4"/>
        <v>0</v>
      </c>
      <c r="BN64" s="1492">
        <f t="shared" si="5"/>
        <v>0</v>
      </c>
      <c r="BO64" s="697"/>
      <c r="BP64" s="697"/>
      <c r="BQ64" s="1495">
        <v>0</v>
      </c>
      <c r="BR64" s="1495" t="s">
        <v>19</v>
      </c>
      <c r="BS64" s="1495" t="s">
        <v>722</v>
      </c>
      <c r="BT64" s="691" t="s">
        <v>2307</v>
      </c>
    </row>
    <row r="65" spans="1:72" s="681" customFormat="1" ht="13" hidden="1">
      <c r="A65" s="1545">
        <v>76</v>
      </c>
      <c r="B65" s="1546" t="s">
        <v>726</v>
      </c>
      <c r="C65" s="1546" t="s">
        <v>727</v>
      </c>
      <c r="D65" s="1547" t="s">
        <v>655</v>
      </c>
      <c r="E65" s="690" t="s">
        <v>656</v>
      </c>
      <c r="F65" s="691"/>
      <c r="G65" s="692"/>
      <c r="H65" s="692"/>
      <c r="I65" s="692"/>
      <c r="J65" s="693"/>
      <c r="K65" s="693"/>
      <c r="L65" s="693"/>
      <c r="M65" s="694"/>
      <c r="N65" s="695"/>
      <c r="O65" s="696" t="s">
        <v>1569</v>
      </c>
      <c r="P65" s="695">
        <f>'Malaria-Key Info'!$F$24*'HPM costs'!F69+'Malaria-Key Info'!$G$50*'HPM costs'!F78+'HPM costs'!F75+'HPM costs'!F93+'HPM costs'!F90</f>
        <v>0</v>
      </c>
      <c r="Q65" s="695" t="s">
        <v>1569</v>
      </c>
      <c r="R65" s="695">
        <f>'Malaria-Key Info'!$F$24*'HPM costs'!G69+'Malaria-Key Info'!$G$50*'HPM costs'!G78+'HPM costs'!G75+'HPM costs'!G93+'HPM costs'!G90</f>
        <v>0</v>
      </c>
      <c r="S65" s="695" t="s">
        <v>1569</v>
      </c>
      <c r="T65" s="695">
        <f>'Malaria-Key Info'!$F$24*'HPM costs'!H69+'Malaria-Key Info'!$G$50*'HPM costs'!H78+'HPM costs'!H75+'HPM costs'!H93+'HPM costs'!H90</f>
        <v>0</v>
      </c>
      <c r="U65" s="695" t="s">
        <v>1569</v>
      </c>
      <c r="V65" s="695">
        <f>'Malaria-Key Info'!$F$24*'HPM costs'!I69+'Malaria-Key Info'!$G$50*'HPM costs'!I78+'HPM costs'!I75+'HPM costs'!I93+'HPM costs'!I90</f>
        <v>0</v>
      </c>
      <c r="W65" s="695"/>
      <c r="X65" s="1492">
        <f t="shared" si="0"/>
        <v>0</v>
      </c>
      <c r="Y65" s="1493"/>
      <c r="Z65" s="1494"/>
      <c r="AA65" s="699"/>
      <c r="AB65" s="695"/>
      <c r="AC65" s="695">
        <f>'Malaria-Key Info'!$F$24*'HPM costs'!K69+'Malaria-Key Info'!$G$50*'HPM costs'!K78+'HPM costs'!K75+'HPM costs'!K93+'HPM costs'!K90</f>
        <v>0</v>
      </c>
      <c r="AD65" s="695"/>
      <c r="AE65" s="695">
        <f>'Malaria-Key Info'!$F$24*'HPM costs'!L69+'Malaria-Key Info'!$G$50*'HPM costs'!L78+'HPM costs'!L75+'HPM costs'!L93+'HPM costs'!L90</f>
        <v>0</v>
      </c>
      <c r="AF65" s="695"/>
      <c r="AG65" s="695">
        <f>'Malaria-Key Info'!$F$24*'HPM costs'!M69+'Malaria-Key Info'!$G$50*'HPM costs'!M78+'HPM costs'!M75+'HPM costs'!M93+'HPM costs'!M90</f>
        <v>0</v>
      </c>
      <c r="AH65" s="695"/>
      <c r="AI65" s="695">
        <f>'Malaria-Key Info'!$F$24*'HPM costs'!N69+'Malaria-Key Info'!$G$50*'HPM costs'!N78+'HPM costs'!N75+'HPM costs'!N93+'HPM costs'!N90</f>
        <v>0</v>
      </c>
      <c r="AJ65" s="695"/>
      <c r="AK65" s="1492">
        <f t="shared" si="1"/>
        <v>0</v>
      </c>
      <c r="AL65" s="1493"/>
      <c r="AM65" s="1494"/>
      <c r="AN65" s="699"/>
      <c r="AO65" s="695"/>
      <c r="AP65" s="695">
        <f>'Malaria-Key Info'!$F$24*'HPM costs'!P69+'Malaria-Key Info'!$G$50*'HPM costs'!P78+'HPM costs'!P75+'HPM costs'!P93+'HPM costs'!P90</f>
        <v>0</v>
      </c>
      <c r="AQ65" s="695"/>
      <c r="AR65" s="695">
        <f>'Malaria-Key Info'!$F$24*'HPM costs'!Q69+'Malaria-Key Info'!$G$50*'HPM costs'!Q78+'HPM costs'!Q75+'HPM costs'!Q93+'HPM costs'!Q90</f>
        <v>0</v>
      </c>
      <c r="AS65" s="695"/>
      <c r="AT65" s="695">
        <f>'Malaria-Key Info'!$F$24*'HPM costs'!R69+'Malaria-Key Info'!$G$50*'HPM costs'!R78+'HPM costs'!R75+'HPM costs'!R93+'HPM costs'!R90</f>
        <v>0</v>
      </c>
      <c r="AU65" s="695"/>
      <c r="AV65" s="695">
        <f>'Malaria-Key Info'!$F$24*'HPM costs'!S69+'Malaria-Key Info'!$G$50*'HPM costs'!S78+'HPM costs'!S75+'HPM costs'!S93+'HPM costs'!S90</f>
        <v>0</v>
      </c>
      <c r="AW65" s="695"/>
      <c r="AX65" s="1492">
        <f t="shared" si="2"/>
        <v>0</v>
      </c>
      <c r="AY65" s="1492"/>
      <c r="AZ65" s="698"/>
      <c r="BA65" s="699"/>
      <c r="BB65" s="697"/>
      <c r="BC65" s="697">
        <v>0</v>
      </c>
      <c r="BD65" s="697">
        <v>0</v>
      </c>
      <c r="BE65" s="697">
        <v>0</v>
      </c>
      <c r="BF65" s="697">
        <v>0</v>
      </c>
      <c r="BG65" s="697">
        <v>0</v>
      </c>
      <c r="BH65" s="697">
        <v>0</v>
      </c>
      <c r="BI65" s="697">
        <v>0</v>
      </c>
      <c r="BJ65" s="697">
        <v>0</v>
      </c>
      <c r="BK65" s="1492">
        <f t="shared" si="3"/>
        <v>0</v>
      </c>
      <c r="BL65" s="1492"/>
      <c r="BM65" s="1492">
        <f t="shared" si="4"/>
        <v>0</v>
      </c>
      <c r="BN65" s="1492">
        <f t="shared" si="5"/>
        <v>0</v>
      </c>
      <c r="BO65" s="697"/>
      <c r="BP65" s="697"/>
      <c r="BQ65" s="1495">
        <v>0</v>
      </c>
      <c r="BR65" s="1495" t="s">
        <v>19</v>
      </c>
      <c r="BS65" s="1495" t="s">
        <v>655</v>
      </c>
      <c r="BT65" s="691" t="s">
        <v>1765</v>
      </c>
    </row>
    <row r="66" spans="1:72" s="681" customFormat="1" ht="13" hidden="1">
      <c r="A66" s="1545">
        <v>77</v>
      </c>
      <c r="B66" s="1546" t="s">
        <v>726</v>
      </c>
      <c r="C66" s="1546" t="s">
        <v>727</v>
      </c>
      <c r="D66" s="1547" t="s">
        <v>655</v>
      </c>
      <c r="E66" s="690" t="s">
        <v>658</v>
      </c>
      <c r="F66" s="691"/>
      <c r="G66" s="692"/>
      <c r="H66" s="692"/>
      <c r="I66" s="692"/>
      <c r="J66" s="693"/>
      <c r="K66" s="693"/>
      <c r="L66" s="693"/>
      <c r="M66" s="694"/>
      <c r="N66" s="695"/>
      <c r="O66" s="696" t="s">
        <v>1569</v>
      </c>
      <c r="P66" s="695">
        <f>'Malaria-Key Info'!$F$24*'HPM costs'!F155+'Malaria-Key Info'!$G$50*'HPM costs'!F164+'HPM costs'!F161+'HPM costs'!F179+'HPM costs'!F176</f>
        <v>0</v>
      </c>
      <c r="Q66" s="695" t="s">
        <v>1569</v>
      </c>
      <c r="R66" s="695">
        <f>'Malaria-Key Info'!$F$24*'HPM costs'!G155+'Malaria-Key Info'!$G$50*'HPM costs'!G164+'HPM costs'!G161+'HPM costs'!G179+'HPM costs'!G176</f>
        <v>0</v>
      </c>
      <c r="S66" s="695" t="s">
        <v>1569</v>
      </c>
      <c r="T66" s="695">
        <f>'Malaria-Key Info'!$F$24*'HPM costs'!H155+'Malaria-Key Info'!$G$50*'HPM costs'!H164+'HPM costs'!H161+'HPM costs'!H179+'HPM costs'!H176</f>
        <v>0</v>
      </c>
      <c r="U66" s="695" t="s">
        <v>1569</v>
      </c>
      <c r="V66" s="695">
        <f>'Malaria-Key Info'!$F$24*'HPM costs'!I155+'Malaria-Key Info'!$G$50*'HPM costs'!I164+'HPM costs'!I161+'HPM costs'!I179+'HPM costs'!I176</f>
        <v>0</v>
      </c>
      <c r="W66" s="695"/>
      <c r="X66" s="1492">
        <f t="shared" ref="X66:X128" si="12">P66+R66+T66+V66</f>
        <v>0</v>
      </c>
      <c r="Y66" s="1493"/>
      <c r="Z66" s="1494"/>
      <c r="AA66" s="699"/>
      <c r="AB66" s="695"/>
      <c r="AC66" s="695">
        <f>'Malaria-Key Info'!$F$24*'HPM costs'!K155+'Malaria-Key Info'!$G$50*'HPM costs'!K164+'HPM costs'!K161+'HPM costs'!K179+'HPM costs'!K176</f>
        <v>0</v>
      </c>
      <c r="AD66" s="695"/>
      <c r="AE66" s="695">
        <f>'Malaria-Key Info'!$F$24*'HPM costs'!L155+'Malaria-Key Info'!$G$50*'HPM costs'!L164+'HPM costs'!L161+'HPM costs'!L179+'HPM costs'!L176</f>
        <v>0</v>
      </c>
      <c r="AF66" s="695"/>
      <c r="AG66" s="695">
        <f>'Malaria-Key Info'!$F$24*'HPM costs'!M155+'Malaria-Key Info'!$G$50*'HPM costs'!M164+'HPM costs'!M161+'HPM costs'!M179+'HPM costs'!M176</f>
        <v>0</v>
      </c>
      <c r="AH66" s="695"/>
      <c r="AI66" s="695">
        <f>'Malaria-Key Info'!$F$24*'HPM costs'!N155+'Malaria-Key Info'!$G$50*'HPM costs'!N164+'HPM costs'!N161+'HPM costs'!N179+'HPM costs'!N176</f>
        <v>0</v>
      </c>
      <c r="AJ66" s="695"/>
      <c r="AK66" s="1492">
        <f t="shared" ref="AK66:AK128" si="13">AI66+AG66+AE66+AC66</f>
        <v>0</v>
      </c>
      <c r="AL66" s="1493"/>
      <c r="AM66" s="1494"/>
      <c r="AN66" s="699"/>
      <c r="AO66" s="695"/>
      <c r="AP66" s="695">
        <f>'Malaria-Key Info'!$F$24*'HPM costs'!P155+'Malaria-Key Info'!$G$50*'HPM costs'!P164+'HPM costs'!P161+'HPM costs'!P179+'HPM costs'!P176</f>
        <v>0</v>
      </c>
      <c r="AQ66" s="695"/>
      <c r="AR66" s="695">
        <f>'Malaria-Key Info'!$F$24*'HPM costs'!Q155+'Malaria-Key Info'!$G$50*'HPM costs'!Q164+'HPM costs'!Q161+'HPM costs'!Q179+'HPM costs'!Q176</f>
        <v>0</v>
      </c>
      <c r="AS66" s="695"/>
      <c r="AT66" s="695">
        <f>'Malaria-Key Info'!$F$24*'HPM costs'!R155+'Malaria-Key Info'!$G$50*'HPM costs'!R164+'HPM costs'!R161+'HPM costs'!R179+'HPM costs'!R176</f>
        <v>0</v>
      </c>
      <c r="AU66" s="695"/>
      <c r="AV66" s="695">
        <f>'Malaria-Key Info'!$F$24*'HPM costs'!S155+'Malaria-Key Info'!$G$50*'HPM costs'!S164+'HPM costs'!S161+'HPM costs'!S179+'HPM costs'!S176</f>
        <v>0</v>
      </c>
      <c r="AW66" s="695"/>
      <c r="AX66" s="1492">
        <f t="shared" ref="AX66:AX128" si="14">AV66+AT66+AR66+AP66</f>
        <v>0</v>
      </c>
      <c r="AY66" s="1492"/>
      <c r="AZ66" s="698"/>
      <c r="BA66" s="699"/>
      <c r="BB66" s="697"/>
      <c r="BC66" s="697">
        <v>0</v>
      </c>
      <c r="BD66" s="697">
        <v>0</v>
      </c>
      <c r="BE66" s="697">
        <v>0</v>
      </c>
      <c r="BF66" s="697">
        <v>0</v>
      </c>
      <c r="BG66" s="697">
        <v>0</v>
      </c>
      <c r="BH66" s="697">
        <v>0</v>
      </c>
      <c r="BI66" s="697">
        <v>0</v>
      </c>
      <c r="BJ66" s="697">
        <v>0</v>
      </c>
      <c r="BK66" s="1492">
        <f t="shared" ref="BK66:BK128" si="15">BI66+BG66+BE66+BC66</f>
        <v>0</v>
      </c>
      <c r="BL66" s="1492"/>
      <c r="BM66" s="1492">
        <f t="shared" ref="BM66:BM129" si="16">BJ66+AW66+AJ66+W66</f>
        <v>0</v>
      </c>
      <c r="BN66" s="1492">
        <f t="shared" ref="BN66:BN129" si="17">BK66+AX66+AK66+X66</f>
        <v>0</v>
      </c>
      <c r="BO66" s="697"/>
      <c r="BP66" s="697"/>
      <c r="BQ66" s="1495">
        <v>0</v>
      </c>
      <c r="BR66" s="1495" t="s">
        <v>19</v>
      </c>
      <c r="BS66" s="1495" t="s">
        <v>655</v>
      </c>
      <c r="BT66" s="691" t="s">
        <v>1766</v>
      </c>
    </row>
    <row r="67" spans="1:72" s="681" customFormat="1" ht="13" hidden="1">
      <c r="A67" s="1545">
        <v>78</v>
      </c>
      <c r="B67" s="1546" t="s">
        <v>726</v>
      </c>
      <c r="C67" s="1546" t="s">
        <v>727</v>
      </c>
      <c r="D67" s="1547" t="s">
        <v>655</v>
      </c>
      <c r="E67" s="690" t="s">
        <v>660</v>
      </c>
      <c r="F67" s="691"/>
      <c r="G67" s="692"/>
      <c r="H67" s="692"/>
      <c r="I67" s="692"/>
      <c r="J67" s="693"/>
      <c r="K67" s="693"/>
      <c r="L67" s="693"/>
      <c r="M67" s="694"/>
      <c r="N67" s="695"/>
      <c r="O67" s="696" t="s">
        <v>1569</v>
      </c>
      <c r="P67" s="695">
        <f>'Malaria-Key Info'!$F$24*'HPM costs'!F415+'Malaria-Key Info'!$G$50*'HPM costs'!F424+'HPM costs'!F421+'HPM costs'!F439+'HPM costs'!F436</f>
        <v>0</v>
      </c>
      <c r="Q67" s="695" t="s">
        <v>1569</v>
      </c>
      <c r="R67" s="695">
        <f>'Malaria-Key Info'!$F$24*'HPM costs'!G415+'Malaria-Key Info'!$G$50*'HPM costs'!G424+'HPM costs'!G421+'HPM costs'!G439+'HPM costs'!G436</f>
        <v>0</v>
      </c>
      <c r="S67" s="695" t="s">
        <v>1569</v>
      </c>
      <c r="T67" s="695">
        <f>'Malaria-Key Info'!$F$24*'HPM costs'!H415+'Malaria-Key Info'!$G$50*'HPM costs'!H424+'HPM costs'!H421+'HPM costs'!H439+'HPM costs'!H436</f>
        <v>0</v>
      </c>
      <c r="U67" s="695" t="s">
        <v>1569</v>
      </c>
      <c r="V67" s="695">
        <f>'Malaria-Key Info'!$F$24*'HPM costs'!I415+'Malaria-Key Info'!$G$50*'HPM costs'!I424+'HPM costs'!I421+'HPM costs'!I439+'HPM costs'!I436</f>
        <v>0</v>
      </c>
      <c r="W67" s="695"/>
      <c r="X67" s="1492">
        <f t="shared" si="12"/>
        <v>0</v>
      </c>
      <c r="Y67" s="1493"/>
      <c r="Z67" s="1494"/>
      <c r="AA67" s="699"/>
      <c r="AB67" s="695"/>
      <c r="AC67" s="695">
        <f>'Malaria-Key Info'!$F$24*'HPM costs'!K415+'Malaria-Key Info'!$G$50*'HPM costs'!K424+'HPM costs'!K421+'HPM costs'!K439+'HPM costs'!K436</f>
        <v>0</v>
      </c>
      <c r="AD67" s="695"/>
      <c r="AE67" s="695">
        <f>'Malaria-Key Info'!$F$24*'HPM costs'!L415+'Malaria-Key Info'!$G$50*'HPM costs'!L424+'HPM costs'!L421+'HPM costs'!L439+'HPM costs'!L436</f>
        <v>0</v>
      </c>
      <c r="AF67" s="695"/>
      <c r="AG67" s="695">
        <f>'Malaria-Key Info'!$F$24*'HPM costs'!M415+'Malaria-Key Info'!$G$50*'HPM costs'!M424+'HPM costs'!M421+'HPM costs'!M439+'HPM costs'!M436</f>
        <v>0</v>
      </c>
      <c r="AH67" s="695"/>
      <c r="AI67" s="695">
        <f>'Malaria-Key Info'!$F$24*'HPM costs'!N415+'Malaria-Key Info'!$G$50*'HPM costs'!N424+'HPM costs'!N421+'HPM costs'!N439+'HPM costs'!N436</f>
        <v>0</v>
      </c>
      <c r="AJ67" s="695"/>
      <c r="AK67" s="1492">
        <f t="shared" si="13"/>
        <v>0</v>
      </c>
      <c r="AL67" s="1493"/>
      <c r="AM67" s="1494"/>
      <c r="AN67" s="699"/>
      <c r="AO67" s="695"/>
      <c r="AP67" s="695">
        <f>'Malaria-Key Info'!$F$24*'HPM costs'!P415+'Malaria-Key Info'!$G$50*'HPM costs'!P424+'HPM costs'!P421+'HPM costs'!P439+'HPM costs'!P436</f>
        <v>0</v>
      </c>
      <c r="AQ67" s="695"/>
      <c r="AR67" s="695">
        <f>'Malaria-Key Info'!$F$24*'HPM costs'!Q415+'Malaria-Key Info'!$G$50*'HPM costs'!Q424+'HPM costs'!Q421+'HPM costs'!Q439+'HPM costs'!Q436</f>
        <v>0</v>
      </c>
      <c r="AS67" s="695"/>
      <c r="AT67" s="695">
        <f>'Malaria-Key Info'!$F$24*'HPM costs'!R415+'Malaria-Key Info'!$G$50*'HPM costs'!R424+'HPM costs'!R421+'HPM costs'!R439+'HPM costs'!R436</f>
        <v>0</v>
      </c>
      <c r="AU67" s="695"/>
      <c r="AV67" s="695">
        <f>'Malaria-Key Info'!$F$24*'HPM costs'!S415+'Malaria-Key Info'!$G$50*'HPM costs'!S424+'HPM costs'!S421+'HPM costs'!S439+'HPM costs'!S436</f>
        <v>0</v>
      </c>
      <c r="AW67" s="695"/>
      <c r="AX67" s="1492">
        <f t="shared" si="14"/>
        <v>0</v>
      </c>
      <c r="AY67" s="1492"/>
      <c r="AZ67" s="698"/>
      <c r="BA67" s="699"/>
      <c r="BB67" s="697"/>
      <c r="BC67" s="697">
        <v>0</v>
      </c>
      <c r="BD67" s="697">
        <v>0</v>
      </c>
      <c r="BE67" s="697">
        <v>0</v>
      </c>
      <c r="BF67" s="697">
        <v>0</v>
      </c>
      <c r="BG67" s="697">
        <v>0</v>
      </c>
      <c r="BH67" s="697">
        <v>0</v>
      </c>
      <c r="BI67" s="697">
        <v>0</v>
      </c>
      <c r="BJ67" s="697">
        <v>0</v>
      </c>
      <c r="BK67" s="1492">
        <f t="shared" si="15"/>
        <v>0</v>
      </c>
      <c r="BL67" s="1492"/>
      <c r="BM67" s="1492">
        <f t="shared" si="16"/>
        <v>0</v>
      </c>
      <c r="BN67" s="1492">
        <f t="shared" si="17"/>
        <v>0</v>
      </c>
      <c r="BO67" s="697"/>
      <c r="BP67" s="697"/>
      <c r="BQ67" s="1495">
        <v>0</v>
      </c>
      <c r="BR67" s="1495" t="s">
        <v>19</v>
      </c>
      <c r="BS67" s="1495" t="s">
        <v>655</v>
      </c>
      <c r="BT67" s="691" t="s">
        <v>1767</v>
      </c>
    </row>
    <row r="68" spans="1:72" s="681" customFormat="1" ht="13" hidden="1">
      <c r="A68" s="1545">
        <v>79</v>
      </c>
      <c r="B68" s="1546" t="s">
        <v>726</v>
      </c>
      <c r="C68" s="1546" t="s">
        <v>727</v>
      </c>
      <c r="D68" s="1547" t="s">
        <v>655</v>
      </c>
      <c r="E68" s="690" t="s">
        <v>662</v>
      </c>
      <c r="F68" s="691"/>
      <c r="G68" s="692"/>
      <c r="H68" s="692"/>
      <c r="I68" s="692"/>
      <c r="J68" s="693"/>
      <c r="K68" s="693"/>
      <c r="L68" s="693"/>
      <c r="M68" s="694"/>
      <c r="N68" s="695"/>
      <c r="O68" s="696" t="s">
        <v>1569</v>
      </c>
      <c r="P68" s="695">
        <f>'Malaria-Key Info'!$F$24*'HPM costs'!F501+'Malaria-Key Info'!$G$50*'HPM costs'!F510+'HPM costs'!F507+'HPM costs'!F525+'HPM costs'!F522</f>
        <v>0</v>
      </c>
      <c r="Q68" s="695" t="s">
        <v>1569</v>
      </c>
      <c r="R68" s="695">
        <f>'Malaria-Key Info'!$F$24*'HPM costs'!G501+'Malaria-Key Info'!$G$50*'HPM costs'!G510+'HPM costs'!G507+'HPM costs'!G525+'HPM costs'!G522</f>
        <v>0</v>
      </c>
      <c r="S68" s="695" t="s">
        <v>1569</v>
      </c>
      <c r="T68" s="695">
        <f>'Malaria-Key Info'!$F$24*'HPM costs'!H501+'Malaria-Key Info'!$G$50*'HPM costs'!H510+'HPM costs'!H507+'HPM costs'!H525+'HPM costs'!H522</f>
        <v>0</v>
      </c>
      <c r="U68" s="695" t="s">
        <v>1569</v>
      </c>
      <c r="V68" s="695">
        <f>'Malaria-Key Info'!$F$24*'HPM costs'!I501+'Malaria-Key Info'!$G$50*'HPM costs'!I510+'HPM costs'!I507+'HPM costs'!I525+'HPM costs'!I522</f>
        <v>0</v>
      </c>
      <c r="W68" s="695"/>
      <c r="X68" s="1492">
        <f t="shared" si="12"/>
        <v>0</v>
      </c>
      <c r="Y68" s="1493"/>
      <c r="Z68" s="1494"/>
      <c r="AA68" s="699"/>
      <c r="AB68" s="695"/>
      <c r="AC68" s="695">
        <f>'Malaria-Key Info'!$F$24*'HPM costs'!K501+'Malaria-Key Info'!$G$50*'HPM costs'!K510+'HPM costs'!K507+'HPM costs'!K525+'HPM costs'!K522</f>
        <v>0</v>
      </c>
      <c r="AD68" s="695"/>
      <c r="AE68" s="695">
        <f>'Malaria-Key Info'!$F$24*'HPM costs'!L501+'Malaria-Key Info'!$G$50*'HPM costs'!L510+'HPM costs'!L507+'HPM costs'!L525+'HPM costs'!L522</f>
        <v>0</v>
      </c>
      <c r="AF68" s="695"/>
      <c r="AG68" s="695">
        <f>'Malaria-Key Info'!$F$24*'HPM costs'!M501+'Malaria-Key Info'!$G$50*'HPM costs'!M510+'HPM costs'!M507+'HPM costs'!M525+'HPM costs'!M522</f>
        <v>0</v>
      </c>
      <c r="AH68" s="695"/>
      <c r="AI68" s="695">
        <f>'Malaria-Key Info'!$F$24*'HPM costs'!N501+'Malaria-Key Info'!$G$50*'HPM costs'!N510+'HPM costs'!N507+'HPM costs'!N525+'HPM costs'!N522</f>
        <v>0</v>
      </c>
      <c r="AJ68" s="695"/>
      <c r="AK68" s="1492">
        <f t="shared" si="13"/>
        <v>0</v>
      </c>
      <c r="AL68" s="1493"/>
      <c r="AM68" s="1494"/>
      <c r="AN68" s="699"/>
      <c r="AO68" s="695"/>
      <c r="AP68" s="695">
        <f>'Malaria-Key Info'!$F$24*'HPM costs'!P501+'Malaria-Key Info'!$G$50*'HPM costs'!P510+'HPM costs'!P507+'HPM costs'!P525+'HPM costs'!P522</f>
        <v>0</v>
      </c>
      <c r="AQ68" s="695"/>
      <c r="AR68" s="695">
        <f>'Malaria-Key Info'!$F$24*'HPM costs'!Q501+'Malaria-Key Info'!$G$50*'HPM costs'!Q510+'HPM costs'!Q507+'HPM costs'!Q525+'HPM costs'!Q522</f>
        <v>0</v>
      </c>
      <c r="AS68" s="695"/>
      <c r="AT68" s="695">
        <f>'Malaria-Key Info'!$F$24*'HPM costs'!R501+'Malaria-Key Info'!$G$50*'HPM costs'!R510+'HPM costs'!R507+'HPM costs'!R525+'HPM costs'!R522</f>
        <v>0</v>
      </c>
      <c r="AU68" s="695"/>
      <c r="AV68" s="695">
        <f>'Malaria-Key Info'!$F$24*'HPM costs'!S501+'Malaria-Key Info'!$G$50*'HPM costs'!S510+'HPM costs'!S507+'HPM costs'!S525+'HPM costs'!S522</f>
        <v>0</v>
      </c>
      <c r="AW68" s="695"/>
      <c r="AX68" s="1492">
        <f t="shared" si="14"/>
        <v>0</v>
      </c>
      <c r="AY68" s="1492"/>
      <c r="AZ68" s="698"/>
      <c r="BA68" s="699"/>
      <c r="BB68" s="697"/>
      <c r="BC68" s="697">
        <v>0</v>
      </c>
      <c r="BD68" s="697">
        <v>0</v>
      </c>
      <c r="BE68" s="697">
        <v>0</v>
      </c>
      <c r="BF68" s="697">
        <v>0</v>
      </c>
      <c r="BG68" s="697">
        <v>0</v>
      </c>
      <c r="BH68" s="697">
        <v>0</v>
      </c>
      <c r="BI68" s="697">
        <v>0</v>
      </c>
      <c r="BJ68" s="697">
        <v>0</v>
      </c>
      <c r="BK68" s="1492">
        <f t="shared" si="15"/>
        <v>0</v>
      </c>
      <c r="BL68" s="1492"/>
      <c r="BM68" s="1492">
        <f t="shared" si="16"/>
        <v>0</v>
      </c>
      <c r="BN68" s="1492">
        <f t="shared" si="17"/>
        <v>0</v>
      </c>
      <c r="BO68" s="697"/>
      <c r="BP68" s="697"/>
      <c r="BQ68" s="1495">
        <v>0</v>
      </c>
      <c r="BR68" s="1495" t="s">
        <v>19</v>
      </c>
      <c r="BS68" s="1495" t="s">
        <v>655</v>
      </c>
      <c r="BT68" s="691" t="s">
        <v>1768</v>
      </c>
    </row>
    <row r="69" spans="1:72" s="681" customFormat="1" ht="13" hidden="1">
      <c r="A69" s="1545">
        <v>80</v>
      </c>
      <c r="B69" s="1546" t="s">
        <v>726</v>
      </c>
      <c r="C69" s="1546" t="s">
        <v>727</v>
      </c>
      <c r="D69" s="1547" t="s">
        <v>655</v>
      </c>
      <c r="E69" s="690" t="s">
        <v>664</v>
      </c>
      <c r="F69" s="691"/>
      <c r="G69" s="692"/>
      <c r="H69" s="692"/>
      <c r="I69" s="692"/>
      <c r="J69" s="693"/>
      <c r="K69" s="693"/>
      <c r="L69" s="693"/>
      <c r="M69" s="694"/>
      <c r="N69" s="695"/>
      <c r="O69" s="696" t="s">
        <v>1569</v>
      </c>
      <c r="P69" s="695">
        <f>'Malaria-Key Info'!$F$24*'HPM costs'!F241+'Malaria-Key Info'!$G$50*'HPM costs'!F250+'HPM costs'!F247+'HPM costs'!F265+'HPM costs'!F262+'Malaria-Key Info'!$F$24*'HPM costs'!F587+'Malaria-Key Info'!$G$50*'HPM costs'!F596+'HPM costs'!F593+'HPM costs'!F611+'HPM costs'!F608</f>
        <v>0</v>
      </c>
      <c r="Q69" s="695" t="s">
        <v>1569</v>
      </c>
      <c r="R69" s="695">
        <f>'Malaria-Key Info'!$F$24*'HPM costs'!G241+'Malaria-Key Info'!$G$50*'HPM costs'!G250+'HPM costs'!G247+'HPM costs'!G265+'HPM costs'!G262+'Malaria-Key Info'!$F$24*'HPM costs'!G587+'Malaria-Key Info'!$G$50*'HPM costs'!G596+'HPM costs'!G593+'HPM costs'!G611+'HPM costs'!G608</f>
        <v>0</v>
      </c>
      <c r="S69" s="695" t="s">
        <v>1569</v>
      </c>
      <c r="T69" s="695">
        <f>'Malaria-Key Info'!$F$24*'HPM costs'!H241+'Malaria-Key Info'!$G$50*'HPM costs'!H250+'HPM costs'!H247+'HPM costs'!H265+'HPM costs'!H262+'Malaria-Key Info'!$F$24*'HPM costs'!H587+'Malaria-Key Info'!$G$50*'HPM costs'!H596+'HPM costs'!H593+'HPM costs'!H611+'HPM costs'!H608</f>
        <v>0</v>
      </c>
      <c r="U69" s="695" t="s">
        <v>1569</v>
      </c>
      <c r="V69" s="695">
        <f>'Malaria-Key Info'!$F$24*'HPM costs'!I241+'Malaria-Key Info'!$G$50*'HPM costs'!I250+'HPM costs'!I247+'HPM costs'!I265+'HPM costs'!I262+'Malaria-Key Info'!$F$24*'HPM costs'!I587+'Malaria-Key Info'!$G$50*'HPM costs'!I596+'HPM costs'!I593+'HPM costs'!I611+'HPM costs'!I608</f>
        <v>0</v>
      </c>
      <c r="W69" s="695"/>
      <c r="X69" s="1492">
        <f t="shared" si="12"/>
        <v>0</v>
      </c>
      <c r="Y69" s="1493"/>
      <c r="Z69" s="1494"/>
      <c r="AA69" s="699"/>
      <c r="AB69" s="695"/>
      <c r="AC69" s="695">
        <f>'Malaria-Key Info'!$F$24*'HPM costs'!K241+'Malaria-Key Info'!$G$50*'HPM costs'!K250+'HPM costs'!K247+'HPM costs'!K265+'HPM costs'!K262+'Malaria-Key Info'!$F$24*'HPM costs'!K587+'Malaria-Key Info'!$G$50*'HPM costs'!K596+'HPM costs'!K593+'HPM costs'!K611+'HPM costs'!K608</f>
        <v>0</v>
      </c>
      <c r="AD69" s="695"/>
      <c r="AE69" s="695">
        <f>'Malaria-Key Info'!$F$24*'HPM costs'!L241+'Malaria-Key Info'!$G$50*'HPM costs'!L250+'HPM costs'!L247+'HPM costs'!L265+'HPM costs'!L262+'Malaria-Key Info'!$F$24*'HPM costs'!L587+'Malaria-Key Info'!$G$50*'HPM costs'!L596+'HPM costs'!L593+'HPM costs'!L611+'HPM costs'!L608</f>
        <v>0</v>
      </c>
      <c r="AF69" s="695"/>
      <c r="AG69" s="695">
        <f>'Malaria-Key Info'!$F$24*'HPM costs'!M241+'Malaria-Key Info'!$G$50*'HPM costs'!M250+'HPM costs'!M247+'HPM costs'!M265+'HPM costs'!M262+'Malaria-Key Info'!$F$24*'HPM costs'!M587+'Malaria-Key Info'!$G$50*'HPM costs'!M596+'HPM costs'!M593+'HPM costs'!M611+'HPM costs'!M608</f>
        <v>0</v>
      </c>
      <c r="AH69" s="695"/>
      <c r="AI69" s="695">
        <f>'Malaria-Key Info'!$F$24*'HPM costs'!N241+'Malaria-Key Info'!$G$50*'HPM costs'!N250+'HPM costs'!N247+'HPM costs'!N265+'HPM costs'!N262+'Malaria-Key Info'!$F$24*'HPM costs'!N587+'Malaria-Key Info'!$G$50*'HPM costs'!N596+'HPM costs'!N593+'HPM costs'!N611+'HPM costs'!N608</f>
        <v>0</v>
      </c>
      <c r="AJ69" s="695"/>
      <c r="AK69" s="1492">
        <f t="shared" si="13"/>
        <v>0</v>
      </c>
      <c r="AL69" s="1493"/>
      <c r="AM69" s="1494"/>
      <c r="AN69" s="699"/>
      <c r="AO69" s="695"/>
      <c r="AP69" s="695">
        <f>'Malaria-Key Info'!$F$24*'HPM costs'!P241+'Malaria-Key Info'!$G$50*'HPM costs'!P250+'HPM costs'!P247+'HPM costs'!P265+'HPM costs'!P262+'Malaria-Key Info'!$F$24*'HPM costs'!P587+'Malaria-Key Info'!$G$50*'HPM costs'!P596+'HPM costs'!P593+'HPM costs'!P611+'HPM costs'!P608</f>
        <v>0</v>
      </c>
      <c r="AQ69" s="695"/>
      <c r="AR69" s="695">
        <f>'Malaria-Key Info'!$F$24*'HPM costs'!Q241+'Malaria-Key Info'!$G$50*'HPM costs'!Q250+'HPM costs'!Q247+'HPM costs'!Q265+'HPM costs'!Q262+'Malaria-Key Info'!$F$24*'HPM costs'!Q587+'Malaria-Key Info'!$G$50*'HPM costs'!Q596+'HPM costs'!Q593+'HPM costs'!Q611+'HPM costs'!Q608</f>
        <v>0</v>
      </c>
      <c r="AS69" s="695"/>
      <c r="AT69" s="695">
        <f>'Malaria-Key Info'!$F$24*'HPM costs'!R241+'Malaria-Key Info'!$G$50*'HPM costs'!R250+'HPM costs'!R247+'HPM costs'!R265+'HPM costs'!R262+'Malaria-Key Info'!$F$24*'HPM costs'!R587+'Malaria-Key Info'!$G$50*'HPM costs'!R596+'HPM costs'!R593+'HPM costs'!R611+'HPM costs'!R608</f>
        <v>0</v>
      </c>
      <c r="AU69" s="695"/>
      <c r="AV69" s="695">
        <f>'Malaria-Key Info'!$F$24*'HPM costs'!S241+'Malaria-Key Info'!$G$50*'HPM costs'!S250+'HPM costs'!S247+'HPM costs'!S265+'HPM costs'!S262+'Malaria-Key Info'!$F$24*'HPM costs'!S587+'Malaria-Key Info'!$G$50*'HPM costs'!S596+'HPM costs'!S593+'HPM costs'!S611+'HPM costs'!S608</f>
        <v>0</v>
      </c>
      <c r="AW69" s="695"/>
      <c r="AX69" s="1492">
        <f t="shared" si="14"/>
        <v>0</v>
      </c>
      <c r="AY69" s="1492"/>
      <c r="AZ69" s="698"/>
      <c r="BA69" s="699"/>
      <c r="BB69" s="697"/>
      <c r="BC69" s="697">
        <v>0</v>
      </c>
      <c r="BD69" s="697">
        <v>0</v>
      </c>
      <c r="BE69" s="697">
        <v>0</v>
      </c>
      <c r="BF69" s="697">
        <v>0</v>
      </c>
      <c r="BG69" s="697">
        <v>0</v>
      </c>
      <c r="BH69" s="697">
        <v>0</v>
      </c>
      <c r="BI69" s="697">
        <v>0</v>
      </c>
      <c r="BJ69" s="697">
        <v>0</v>
      </c>
      <c r="BK69" s="1492">
        <f t="shared" si="15"/>
        <v>0</v>
      </c>
      <c r="BL69" s="1492"/>
      <c r="BM69" s="1492">
        <f t="shared" si="16"/>
        <v>0</v>
      </c>
      <c r="BN69" s="1492">
        <f t="shared" si="17"/>
        <v>0</v>
      </c>
      <c r="BO69" s="697"/>
      <c r="BP69" s="697"/>
      <c r="BQ69" s="1495">
        <v>0</v>
      </c>
      <c r="BR69" s="1495" t="s">
        <v>19</v>
      </c>
      <c r="BS69" s="1495" t="s">
        <v>655</v>
      </c>
      <c r="BT69" s="691" t="s">
        <v>1769</v>
      </c>
    </row>
    <row r="70" spans="1:72" s="681" customFormat="1" ht="13" hidden="1">
      <c r="A70" s="1545">
        <v>81</v>
      </c>
      <c r="B70" s="1546" t="s">
        <v>726</v>
      </c>
      <c r="C70" s="1546" t="s">
        <v>727</v>
      </c>
      <c r="D70" s="1547" t="s">
        <v>655</v>
      </c>
      <c r="E70" s="690" t="s">
        <v>666</v>
      </c>
      <c r="F70" s="691"/>
      <c r="G70" s="692"/>
      <c r="H70" s="692"/>
      <c r="I70" s="692"/>
      <c r="J70" s="693"/>
      <c r="K70" s="693"/>
      <c r="L70" s="693"/>
      <c r="M70" s="694"/>
      <c r="N70" s="695"/>
      <c r="O70" s="696" t="s">
        <v>1569</v>
      </c>
      <c r="P70" s="695">
        <f>'Malaria-Key Info'!$F$24*'HPM costs'!F327+'Malaria-Key Info'!$G$50*'HPM costs'!F336+'HPM costs'!F333+'HPM costs'!F351+'HPM costs'!F348</f>
        <v>0</v>
      </c>
      <c r="Q70" s="695" t="s">
        <v>1569</v>
      </c>
      <c r="R70" s="695">
        <f>'Malaria-Key Info'!$F$24*'HPM costs'!G327+'Malaria-Key Info'!$G$50*'HPM costs'!G336+'HPM costs'!G333+'HPM costs'!G351+'HPM costs'!G348</f>
        <v>0</v>
      </c>
      <c r="S70" s="695" t="s">
        <v>1569</v>
      </c>
      <c r="T70" s="695">
        <f>'Malaria-Key Info'!$F$24*'HPM costs'!H327+'Malaria-Key Info'!$G$50*'HPM costs'!H336+'HPM costs'!H333+'HPM costs'!H351+'HPM costs'!H348</f>
        <v>0</v>
      </c>
      <c r="U70" s="695" t="s">
        <v>1569</v>
      </c>
      <c r="V70" s="695">
        <f>'Malaria-Key Info'!$F$24*'HPM costs'!I327+'Malaria-Key Info'!$G$50*'HPM costs'!I336+'HPM costs'!I333+'HPM costs'!I351+'HPM costs'!I348</f>
        <v>0</v>
      </c>
      <c r="W70" s="695"/>
      <c r="X70" s="1492">
        <f t="shared" si="12"/>
        <v>0</v>
      </c>
      <c r="Y70" s="1493"/>
      <c r="Z70" s="1494"/>
      <c r="AA70" s="699"/>
      <c r="AB70" s="695"/>
      <c r="AC70" s="695">
        <f>'Malaria-Key Info'!$F$24*'HPM costs'!K327+'Malaria-Key Info'!$G$50*'HPM costs'!K336+'HPM costs'!K333+'HPM costs'!K351+'HPM costs'!K348</f>
        <v>0</v>
      </c>
      <c r="AD70" s="695"/>
      <c r="AE70" s="695">
        <f>'Malaria-Key Info'!$F$24*'HPM costs'!L327+'Malaria-Key Info'!$G$50*'HPM costs'!L336+'HPM costs'!L333+'HPM costs'!L351+'HPM costs'!L348</f>
        <v>0</v>
      </c>
      <c r="AF70" s="695"/>
      <c r="AG70" s="695">
        <f>'Malaria-Key Info'!$F$24*'HPM costs'!M327+'Malaria-Key Info'!$G$50*'HPM costs'!M336+'HPM costs'!M333+'HPM costs'!M351+'HPM costs'!M348</f>
        <v>0</v>
      </c>
      <c r="AH70" s="695"/>
      <c r="AI70" s="695">
        <f>'Malaria-Key Info'!$F$24*'HPM costs'!N327+'Malaria-Key Info'!$G$50*'HPM costs'!N336+'HPM costs'!N333+'HPM costs'!N351+'HPM costs'!N348</f>
        <v>0</v>
      </c>
      <c r="AJ70" s="695"/>
      <c r="AK70" s="1492">
        <f t="shared" si="13"/>
        <v>0</v>
      </c>
      <c r="AL70" s="1493"/>
      <c r="AM70" s="1494"/>
      <c r="AN70" s="699"/>
      <c r="AO70" s="695"/>
      <c r="AP70" s="695">
        <f>'Malaria-Key Info'!$F$24*'HPM costs'!P327+'Malaria-Key Info'!$G$50*'HPM costs'!P336+'HPM costs'!P333+'HPM costs'!P351+'HPM costs'!P348</f>
        <v>0</v>
      </c>
      <c r="AQ70" s="695"/>
      <c r="AR70" s="695">
        <f>'Malaria-Key Info'!$F$24*'HPM costs'!Q327+'Malaria-Key Info'!$G$50*'HPM costs'!Q336+'HPM costs'!Q333+'HPM costs'!Q351+'HPM costs'!Q348</f>
        <v>0</v>
      </c>
      <c r="AS70" s="695"/>
      <c r="AT70" s="695">
        <f>'Malaria-Key Info'!$F$24*'HPM costs'!R327+'Malaria-Key Info'!$G$50*'HPM costs'!R336+'HPM costs'!R333+'HPM costs'!R351+'HPM costs'!R348</f>
        <v>0</v>
      </c>
      <c r="AU70" s="695"/>
      <c r="AV70" s="695">
        <f>'Malaria-Key Info'!$F$24*'HPM costs'!S327+'Malaria-Key Info'!$G$50*'HPM costs'!S336+'HPM costs'!S333+'HPM costs'!S351+'HPM costs'!S348</f>
        <v>0</v>
      </c>
      <c r="AW70" s="695"/>
      <c r="AX70" s="1492">
        <f t="shared" si="14"/>
        <v>0</v>
      </c>
      <c r="AY70" s="1492"/>
      <c r="AZ70" s="698"/>
      <c r="BA70" s="699"/>
      <c r="BB70" s="697"/>
      <c r="BC70" s="697">
        <v>0</v>
      </c>
      <c r="BD70" s="697">
        <v>0</v>
      </c>
      <c r="BE70" s="697">
        <v>0</v>
      </c>
      <c r="BF70" s="697">
        <v>0</v>
      </c>
      <c r="BG70" s="697">
        <v>0</v>
      </c>
      <c r="BH70" s="697">
        <v>0</v>
      </c>
      <c r="BI70" s="697">
        <v>0</v>
      </c>
      <c r="BJ70" s="697">
        <v>0</v>
      </c>
      <c r="BK70" s="1492">
        <f t="shared" si="15"/>
        <v>0</v>
      </c>
      <c r="BL70" s="1492"/>
      <c r="BM70" s="1492">
        <f t="shared" si="16"/>
        <v>0</v>
      </c>
      <c r="BN70" s="1492">
        <f t="shared" si="17"/>
        <v>0</v>
      </c>
      <c r="BO70" s="697"/>
      <c r="BP70" s="697"/>
      <c r="BQ70" s="1495">
        <v>0</v>
      </c>
      <c r="BR70" s="1495" t="s">
        <v>19</v>
      </c>
      <c r="BS70" s="1495" t="s">
        <v>655</v>
      </c>
      <c r="BT70" s="691" t="s">
        <v>1770</v>
      </c>
    </row>
    <row r="71" spans="1:72" s="681" customFormat="1" ht="13" hidden="1">
      <c r="A71" s="1545">
        <v>82</v>
      </c>
      <c r="B71" s="1546" t="s">
        <v>726</v>
      </c>
      <c r="C71" s="1546" t="s">
        <v>727</v>
      </c>
      <c r="D71" s="1547" t="s">
        <v>655</v>
      </c>
      <c r="E71" s="690" t="s">
        <v>668</v>
      </c>
      <c r="F71" s="691"/>
      <c r="G71" s="692"/>
      <c r="H71" s="692"/>
      <c r="I71" s="692"/>
      <c r="J71" s="693"/>
      <c r="K71" s="693"/>
      <c r="L71" s="693"/>
      <c r="M71" s="694"/>
      <c r="N71" s="695"/>
      <c r="O71" s="696" t="s">
        <v>1569</v>
      </c>
      <c r="P71" s="695">
        <f>'Malaria-Key Info'!$F$24*'HPM costs'!F672+'Malaria-Key Info'!$G$50*'HPM costs'!F681+'HPM costs'!F678+'HPM costs'!F696+'HPM costs'!F693</f>
        <v>0</v>
      </c>
      <c r="Q71" s="695" t="s">
        <v>1569</v>
      </c>
      <c r="R71" s="695">
        <f>'Malaria-Key Info'!$F$24*'HPM costs'!G672+'Malaria-Key Info'!$G$50*'HPM costs'!G681+'HPM costs'!G678+'HPM costs'!G696+'HPM costs'!G693</f>
        <v>0</v>
      </c>
      <c r="S71" s="695" t="s">
        <v>1569</v>
      </c>
      <c r="T71" s="695">
        <f>'Malaria-Key Info'!$F$24*'HPM costs'!H672+'Malaria-Key Info'!$G$50*'HPM costs'!H681+'HPM costs'!H678+'HPM costs'!H696+'HPM costs'!H693</f>
        <v>0</v>
      </c>
      <c r="U71" s="695" t="s">
        <v>1569</v>
      </c>
      <c r="V71" s="695">
        <f>'Malaria-Key Info'!$F$24*'HPM costs'!I672+'Malaria-Key Info'!$G$50*'HPM costs'!I681+'HPM costs'!I678+'HPM costs'!I696+'HPM costs'!I693</f>
        <v>0</v>
      </c>
      <c r="W71" s="695"/>
      <c r="X71" s="1492">
        <f t="shared" si="12"/>
        <v>0</v>
      </c>
      <c r="Y71" s="1493"/>
      <c r="Z71" s="1494"/>
      <c r="AA71" s="699"/>
      <c r="AB71" s="695"/>
      <c r="AC71" s="695">
        <f>'Malaria-Key Info'!$F$24*'HPM costs'!K672+'Malaria-Key Info'!$G$50*'HPM costs'!K681+'HPM costs'!K678+'HPM costs'!K696+'HPM costs'!K693</f>
        <v>0</v>
      </c>
      <c r="AD71" s="695"/>
      <c r="AE71" s="695">
        <f>'Malaria-Key Info'!$F$24*'HPM costs'!L672+'Malaria-Key Info'!$G$50*'HPM costs'!L681+'HPM costs'!L678+'HPM costs'!L696+'HPM costs'!L693</f>
        <v>0</v>
      </c>
      <c r="AF71" s="695"/>
      <c r="AG71" s="695">
        <f>'Malaria-Key Info'!$F$24*'HPM costs'!M672+'Malaria-Key Info'!$G$50*'HPM costs'!M681+'HPM costs'!M678+'HPM costs'!M696+'HPM costs'!M693</f>
        <v>0</v>
      </c>
      <c r="AH71" s="695"/>
      <c r="AI71" s="695">
        <f>'Malaria-Key Info'!$F$24*'HPM costs'!N672+'Malaria-Key Info'!$G$50*'HPM costs'!N681+'HPM costs'!N678+'HPM costs'!N696+'HPM costs'!N693</f>
        <v>0</v>
      </c>
      <c r="AJ71" s="695"/>
      <c r="AK71" s="1492">
        <f t="shared" si="13"/>
        <v>0</v>
      </c>
      <c r="AL71" s="1493"/>
      <c r="AM71" s="1494"/>
      <c r="AN71" s="699"/>
      <c r="AO71" s="695"/>
      <c r="AP71" s="695">
        <f>'Malaria-Key Info'!$F$24*'HPM costs'!P672+'Malaria-Key Info'!$G$50*'HPM costs'!P681+'HPM costs'!P678+'HPM costs'!P696+'HPM costs'!P693</f>
        <v>0</v>
      </c>
      <c r="AQ71" s="695"/>
      <c r="AR71" s="695">
        <f>'Malaria-Key Info'!$F$24*'HPM costs'!Q672+'Malaria-Key Info'!$G$50*'HPM costs'!Q681+'HPM costs'!Q678+'HPM costs'!Q696+'HPM costs'!Q693</f>
        <v>0</v>
      </c>
      <c r="AS71" s="695"/>
      <c r="AT71" s="695">
        <f>'Malaria-Key Info'!$F$24*'HPM costs'!R672+'Malaria-Key Info'!$G$50*'HPM costs'!R681+'HPM costs'!R678+'HPM costs'!R696+'HPM costs'!R693</f>
        <v>0</v>
      </c>
      <c r="AU71" s="695"/>
      <c r="AV71" s="695">
        <f>'Malaria-Key Info'!$F$24*'HPM costs'!S672+'Malaria-Key Info'!$G$50*'HPM costs'!S681+'HPM costs'!S678+'HPM costs'!S696+'HPM costs'!S693</f>
        <v>0</v>
      </c>
      <c r="AW71" s="695"/>
      <c r="AX71" s="1492">
        <f t="shared" si="14"/>
        <v>0</v>
      </c>
      <c r="AY71" s="1492"/>
      <c r="AZ71" s="698"/>
      <c r="BA71" s="699"/>
      <c r="BB71" s="697"/>
      <c r="BC71" s="697">
        <v>0</v>
      </c>
      <c r="BD71" s="697">
        <v>0</v>
      </c>
      <c r="BE71" s="697">
        <v>0</v>
      </c>
      <c r="BF71" s="697">
        <v>0</v>
      </c>
      <c r="BG71" s="697">
        <v>0</v>
      </c>
      <c r="BH71" s="697">
        <v>0</v>
      </c>
      <c r="BI71" s="697">
        <v>0</v>
      </c>
      <c r="BJ71" s="697">
        <v>0</v>
      </c>
      <c r="BK71" s="1492">
        <f t="shared" si="15"/>
        <v>0</v>
      </c>
      <c r="BL71" s="1492"/>
      <c r="BM71" s="1492">
        <f t="shared" si="16"/>
        <v>0</v>
      </c>
      <c r="BN71" s="1492">
        <f t="shared" si="17"/>
        <v>0</v>
      </c>
      <c r="BO71" s="697"/>
      <c r="BP71" s="697"/>
      <c r="BQ71" s="1495">
        <v>0</v>
      </c>
      <c r="BR71" s="1495" t="s">
        <v>19</v>
      </c>
      <c r="BS71" s="1495" t="s">
        <v>655</v>
      </c>
      <c r="BT71" s="691" t="s">
        <v>1771</v>
      </c>
    </row>
    <row r="72" spans="1:72" s="681" customFormat="1" ht="13" hidden="1">
      <c r="A72" s="1545">
        <v>83</v>
      </c>
      <c r="B72" s="1546" t="s">
        <v>726</v>
      </c>
      <c r="C72" s="1546" t="s">
        <v>734</v>
      </c>
      <c r="D72" s="1547" t="s">
        <v>6945</v>
      </c>
      <c r="E72" s="690" t="s">
        <v>728</v>
      </c>
      <c r="F72" s="691"/>
      <c r="G72" s="692"/>
      <c r="H72" s="692"/>
      <c r="I72" s="692"/>
      <c r="J72" s="693"/>
      <c r="K72" s="693"/>
      <c r="L72" s="693"/>
      <c r="M72" s="694"/>
      <c r="N72" s="695"/>
      <c r="O72" s="696" t="s">
        <v>1569</v>
      </c>
      <c r="P72" s="695">
        <f>('Malaria-Key Info'!$F$25*'HPM costs'!F69)/'HPM costs'!$E$69</f>
        <v>0</v>
      </c>
      <c r="Q72" s="695" t="s">
        <v>1569</v>
      </c>
      <c r="R72" s="695">
        <f>('Malaria-Key Info'!$F$25*'HPM costs'!G69)/'HPM costs'!$E$69</f>
        <v>0</v>
      </c>
      <c r="S72" s="695" t="s">
        <v>1569</v>
      </c>
      <c r="T72" s="695">
        <f>('Malaria-Key Info'!$F$25*'HPM costs'!H69)/'HPM costs'!$E$69</f>
        <v>0</v>
      </c>
      <c r="U72" s="695" t="s">
        <v>1569</v>
      </c>
      <c r="V72" s="695">
        <f>('Malaria-Key Info'!$F$25*'HPM costs'!I69)/'HPM costs'!$E$69</f>
        <v>0</v>
      </c>
      <c r="W72" s="695"/>
      <c r="X72" s="1492">
        <f t="shared" si="12"/>
        <v>0</v>
      </c>
      <c r="Y72" s="1493"/>
      <c r="Z72" s="1494"/>
      <c r="AA72" s="699"/>
      <c r="AB72" s="695"/>
      <c r="AC72" s="695">
        <f>('Malaria-Key Info'!$F$25*'HPM costs'!K69)/'HPM costs'!$E$69</f>
        <v>0</v>
      </c>
      <c r="AD72" s="695"/>
      <c r="AE72" s="695">
        <f>('Malaria-Key Info'!$F$25*'HPM costs'!L69)/'HPM costs'!$E$69</f>
        <v>0</v>
      </c>
      <c r="AF72" s="695"/>
      <c r="AG72" s="695">
        <f>('Malaria-Key Info'!$F$25*'HPM costs'!M69)/'HPM costs'!$E$69</f>
        <v>0</v>
      </c>
      <c r="AH72" s="695"/>
      <c r="AI72" s="695">
        <f>('Malaria-Key Info'!$F$25*'HPM costs'!N69)/'HPM costs'!$E$69</f>
        <v>0</v>
      </c>
      <c r="AJ72" s="695"/>
      <c r="AK72" s="1492">
        <f t="shared" si="13"/>
        <v>0</v>
      </c>
      <c r="AL72" s="1493"/>
      <c r="AM72" s="1494"/>
      <c r="AN72" s="699"/>
      <c r="AO72" s="695"/>
      <c r="AP72" s="695">
        <f>('Malaria-Key Info'!$F$25*'HPM costs'!P69)/'HPM costs'!$E$69</f>
        <v>0</v>
      </c>
      <c r="AQ72" s="695"/>
      <c r="AR72" s="695">
        <f>('Malaria-Key Info'!$F$25*'HPM costs'!Q69)/'HPM costs'!$E$69</f>
        <v>0</v>
      </c>
      <c r="AS72" s="695"/>
      <c r="AT72" s="695">
        <f>('Malaria-Key Info'!$F$25*'HPM costs'!R69)/'HPM costs'!$E$69</f>
        <v>0</v>
      </c>
      <c r="AU72" s="695"/>
      <c r="AV72" s="695">
        <f>('Malaria-Key Info'!$F$25*'HPM costs'!S69)/'HPM costs'!$E$69</f>
        <v>0</v>
      </c>
      <c r="AW72" s="695"/>
      <c r="AX72" s="1492">
        <f t="shared" si="14"/>
        <v>0</v>
      </c>
      <c r="AY72" s="1492"/>
      <c r="AZ72" s="698"/>
      <c r="BA72" s="699"/>
      <c r="BB72" s="697"/>
      <c r="BC72" s="697">
        <v>0</v>
      </c>
      <c r="BD72" s="697">
        <v>0</v>
      </c>
      <c r="BE72" s="697">
        <v>0</v>
      </c>
      <c r="BF72" s="697">
        <v>0</v>
      </c>
      <c r="BG72" s="697">
        <v>0</v>
      </c>
      <c r="BH72" s="697">
        <v>0</v>
      </c>
      <c r="BI72" s="697">
        <v>0</v>
      </c>
      <c r="BJ72" s="697">
        <v>0</v>
      </c>
      <c r="BK72" s="1492">
        <f t="shared" si="15"/>
        <v>0</v>
      </c>
      <c r="BL72" s="1492"/>
      <c r="BM72" s="1492">
        <f t="shared" si="16"/>
        <v>0</v>
      </c>
      <c r="BN72" s="1492">
        <f t="shared" si="17"/>
        <v>0</v>
      </c>
      <c r="BO72" s="697"/>
      <c r="BP72" s="697"/>
      <c r="BQ72" s="1495">
        <v>0</v>
      </c>
      <c r="BR72" s="1495" t="s">
        <v>19</v>
      </c>
      <c r="BS72" s="1495" t="s">
        <v>6945</v>
      </c>
      <c r="BT72" s="691" t="s">
        <v>735</v>
      </c>
    </row>
    <row r="73" spans="1:72" s="681" customFormat="1" ht="13" hidden="1">
      <c r="A73" s="1545">
        <v>84</v>
      </c>
      <c r="B73" s="1546" t="s">
        <v>726</v>
      </c>
      <c r="C73" s="1546" t="s">
        <v>734</v>
      </c>
      <c r="D73" s="1547" t="s">
        <v>730</v>
      </c>
      <c r="E73" s="690" t="s">
        <v>731</v>
      </c>
      <c r="F73" s="691"/>
      <c r="G73" s="692"/>
      <c r="H73" s="692"/>
      <c r="I73" s="692"/>
      <c r="J73" s="693"/>
      <c r="K73" s="693"/>
      <c r="L73" s="693"/>
      <c r="M73" s="694" t="e">
        <f>X73/W73</f>
        <v>#DIV/0!</v>
      </c>
      <c r="N73" s="695"/>
      <c r="O73" s="696" t="s">
        <v>1569</v>
      </c>
      <c r="P73" s="695">
        <f>('Malaria-Key Info'!$J$50*'HPM costs'!F78)/'HPM costs'!$E$78</f>
        <v>0</v>
      </c>
      <c r="Q73" s="695" t="s">
        <v>1569</v>
      </c>
      <c r="R73" s="695">
        <f>('Malaria-Key Info'!$J$50*'HPM costs'!G78)/'HPM costs'!$E$78</f>
        <v>0</v>
      </c>
      <c r="S73" s="695" t="s">
        <v>1569</v>
      </c>
      <c r="T73" s="695">
        <f>('Malaria-Key Info'!$J$50*'HPM costs'!H78)/'HPM costs'!$E$78</f>
        <v>0</v>
      </c>
      <c r="U73" s="695" t="s">
        <v>1569</v>
      </c>
      <c r="V73" s="695">
        <f>('Malaria-Key Info'!$J$50*'HPM costs'!I78)/'HPM costs'!$E$78</f>
        <v>0</v>
      </c>
      <c r="W73" s="695"/>
      <c r="X73" s="1492">
        <f t="shared" si="12"/>
        <v>0</v>
      </c>
      <c r="Y73" s="1493"/>
      <c r="Z73" s="1494"/>
      <c r="AA73" s="699"/>
      <c r="AB73" s="695"/>
      <c r="AC73" s="695">
        <f>('Malaria-Key Info'!$J$50*'HPM costs'!K78)/'HPM costs'!$E$78</f>
        <v>0</v>
      </c>
      <c r="AD73" s="695"/>
      <c r="AE73" s="695">
        <f>('Malaria-Key Info'!$J$50*'HPM costs'!L78)/'HPM costs'!$E$78</f>
        <v>0</v>
      </c>
      <c r="AF73" s="695"/>
      <c r="AG73" s="695">
        <f>('Malaria-Key Info'!$J$50*'HPM costs'!M78)/'HPM costs'!$E$78</f>
        <v>0</v>
      </c>
      <c r="AH73" s="695"/>
      <c r="AI73" s="695">
        <f>('Malaria-Key Info'!$J$50*'HPM costs'!N78)/'HPM costs'!$E$78</f>
        <v>0</v>
      </c>
      <c r="AJ73" s="695"/>
      <c r="AK73" s="1492">
        <f t="shared" si="13"/>
        <v>0</v>
      </c>
      <c r="AL73" s="1493"/>
      <c r="AM73" s="1494"/>
      <c r="AN73" s="699"/>
      <c r="AO73" s="695"/>
      <c r="AP73" s="695">
        <f>('Malaria-Key Info'!$J$50*'HPM costs'!P78)/'HPM costs'!$E$78</f>
        <v>0</v>
      </c>
      <c r="AQ73" s="695"/>
      <c r="AR73" s="695">
        <f>('Malaria-Key Info'!$J$50*'HPM costs'!Q78)/'HPM costs'!$E$78</f>
        <v>0</v>
      </c>
      <c r="AS73" s="695"/>
      <c r="AT73" s="695">
        <f>('Malaria-Key Info'!$J$50*'HPM costs'!R78)/'HPM costs'!$E$78</f>
        <v>0</v>
      </c>
      <c r="AU73" s="695"/>
      <c r="AV73" s="695">
        <f>('Malaria-Key Info'!$J$50*'HPM costs'!S78)/'HPM costs'!$E$78</f>
        <v>0</v>
      </c>
      <c r="AW73" s="695"/>
      <c r="AX73" s="1492">
        <f t="shared" si="14"/>
        <v>0</v>
      </c>
      <c r="AY73" s="1492"/>
      <c r="AZ73" s="698"/>
      <c r="BA73" s="699"/>
      <c r="BB73" s="697"/>
      <c r="BC73" s="697">
        <v>0</v>
      </c>
      <c r="BD73" s="697">
        <v>0</v>
      </c>
      <c r="BE73" s="697">
        <v>0</v>
      </c>
      <c r="BF73" s="697">
        <v>0</v>
      </c>
      <c r="BG73" s="697">
        <v>0</v>
      </c>
      <c r="BH73" s="697">
        <v>0</v>
      </c>
      <c r="BI73" s="697">
        <v>0</v>
      </c>
      <c r="BJ73" s="697">
        <v>0</v>
      </c>
      <c r="BK73" s="1492">
        <f t="shared" si="15"/>
        <v>0</v>
      </c>
      <c r="BL73" s="1492"/>
      <c r="BM73" s="1492">
        <f t="shared" si="16"/>
        <v>0</v>
      </c>
      <c r="BN73" s="1492">
        <f t="shared" si="17"/>
        <v>0</v>
      </c>
      <c r="BO73" s="697"/>
      <c r="BP73" s="697"/>
      <c r="BQ73" s="1495">
        <v>0</v>
      </c>
      <c r="BR73" s="1495" t="s">
        <v>19</v>
      </c>
      <c r="BS73" s="1495" t="s">
        <v>730</v>
      </c>
      <c r="BT73" s="691" t="s">
        <v>736</v>
      </c>
    </row>
    <row r="74" spans="1:72" s="681" customFormat="1" ht="13" hidden="1">
      <c r="A74" s="1545">
        <v>85</v>
      </c>
      <c r="B74" s="1546" t="s">
        <v>726</v>
      </c>
      <c r="C74" s="1546" t="s">
        <v>734</v>
      </c>
      <c r="D74" s="1547" t="s">
        <v>655</v>
      </c>
      <c r="E74" s="690" t="s">
        <v>656</v>
      </c>
      <c r="F74" s="691"/>
      <c r="G74" s="692"/>
      <c r="H74" s="692"/>
      <c r="I74" s="692"/>
      <c r="J74" s="693"/>
      <c r="K74" s="693"/>
      <c r="L74" s="693"/>
      <c r="M74" s="694"/>
      <c r="N74" s="695"/>
      <c r="O74" s="696" t="s">
        <v>1569</v>
      </c>
      <c r="P74" s="695">
        <f>'Malaria-Key Info'!$F$25*'HPM costs'!F69+'Malaria-Key Info'!$J$50*'HPM costs'!F78</f>
        <v>0</v>
      </c>
      <c r="Q74" s="695" t="s">
        <v>1569</v>
      </c>
      <c r="R74" s="695">
        <f>'Malaria-Key Info'!$F$25*'HPM costs'!G69+'Malaria-Key Info'!$J$50*'HPM costs'!G78</f>
        <v>0</v>
      </c>
      <c r="S74" s="695" t="s">
        <v>1569</v>
      </c>
      <c r="T74" s="695">
        <f>'Malaria-Key Info'!$F$25*'HPM costs'!H69+'Malaria-Key Info'!$J$50*'HPM costs'!H78</f>
        <v>0</v>
      </c>
      <c r="U74" s="695" t="s">
        <v>1569</v>
      </c>
      <c r="V74" s="695">
        <f>'Malaria-Key Info'!$F$25*'HPM costs'!I69+'Malaria-Key Info'!$J$50*'HPM costs'!I78</f>
        <v>0</v>
      </c>
      <c r="W74" s="695"/>
      <c r="X74" s="1492">
        <f t="shared" si="12"/>
        <v>0</v>
      </c>
      <c r="Y74" s="1493"/>
      <c r="Z74" s="1494"/>
      <c r="AA74" s="699"/>
      <c r="AB74" s="695"/>
      <c r="AC74" s="695">
        <f>'Malaria-Key Info'!$F$25*'HPM costs'!K69+'Malaria-Key Info'!$J$50*'HPM costs'!K78</f>
        <v>0</v>
      </c>
      <c r="AD74" s="695"/>
      <c r="AE74" s="695">
        <f>'Malaria-Key Info'!$F$25*'HPM costs'!L69+'Malaria-Key Info'!$J$50*'HPM costs'!L78</f>
        <v>0</v>
      </c>
      <c r="AF74" s="695"/>
      <c r="AG74" s="695">
        <f>'Malaria-Key Info'!$F$25*'HPM costs'!M69+'Malaria-Key Info'!$J$50*'HPM costs'!M78</f>
        <v>0</v>
      </c>
      <c r="AH74" s="695"/>
      <c r="AI74" s="695">
        <f>'Malaria-Key Info'!$F$25*'HPM costs'!N69+'Malaria-Key Info'!$J$50*'HPM costs'!N78</f>
        <v>0</v>
      </c>
      <c r="AJ74" s="695"/>
      <c r="AK74" s="1492">
        <f t="shared" si="13"/>
        <v>0</v>
      </c>
      <c r="AL74" s="1493"/>
      <c r="AM74" s="1494"/>
      <c r="AN74" s="699"/>
      <c r="AO74" s="695"/>
      <c r="AP74" s="695">
        <f>'Malaria-Key Info'!$F$25*'HPM costs'!P69+'Malaria-Key Info'!$J$50*'HPM costs'!P78</f>
        <v>0</v>
      </c>
      <c r="AQ74" s="695"/>
      <c r="AR74" s="695">
        <f>'Malaria-Key Info'!$F$25*'HPM costs'!Q69+'Malaria-Key Info'!$J$50*'HPM costs'!Q78</f>
        <v>0</v>
      </c>
      <c r="AS74" s="695"/>
      <c r="AT74" s="695">
        <f>'Malaria-Key Info'!$F$25*'HPM costs'!R69+'Malaria-Key Info'!$J$50*'HPM costs'!R78</f>
        <v>0</v>
      </c>
      <c r="AU74" s="695"/>
      <c r="AV74" s="695">
        <f>'Malaria-Key Info'!$F$25*'HPM costs'!S69+'Malaria-Key Info'!$J$50*'HPM costs'!S78</f>
        <v>0</v>
      </c>
      <c r="AW74" s="695"/>
      <c r="AX74" s="1492">
        <f t="shared" si="14"/>
        <v>0</v>
      </c>
      <c r="AY74" s="1492"/>
      <c r="AZ74" s="698"/>
      <c r="BA74" s="699"/>
      <c r="BB74" s="697"/>
      <c r="BC74" s="697">
        <v>0</v>
      </c>
      <c r="BD74" s="697">
        <v>0</v>
      </c>
      <c r="BE74" s="697">
        <v>0</v>
      </c>
      <c r="BF74" s="697">
        <v>0</v>
      </c>
      <c r="BG74" s="697">
        <v>0</v>
      </c>
      <c r="BH74" s="697">
        <v>0</v>
      </c>
      <c r="BI74" s="697">
        <v>0</v>
      </c>
      <c r="BJ74" s="697">
        <v>0</v>
      </c>
      <c r="BK74" s="1492">
        <f t="shared" si="15"/>
        <v>0</v>
      </c>
      <c r="BL74" s="1492"/>
      <c r="BM74" s="1492">
        <f t="shared" si="16"/>
        <v>0</v>
      </c>
      <c r="BN74" s="1492">
        <f t="shared" si="17"/>
        <v>0</v>
      </c>
      <c r="BO74" s="697"/>
      <c r="BP74" s="697"/>
      <c r="BQ74" s="1495">
        <v>0</v>
      </c>
      <c r="BR74" s="1495" t="s">
        <v>19</v>
      </c>
      <c r="BS74" s="1495" t="s">
        <v>655</v>
      </c>
      <c r="BT74" s="691" t="s">
        <v>1772</v>
      </c>
    </row>
    <row r="75" spans="1:72" s="681" customFormat="1" ht="13" hidden="1">
      <c r="A75" s="1545">
        <v>86</v>
      </c>
      <c r="B75" s="1546" t="s">
        <v>726</v>
      </c>
      <c r="C75" s="1546" t="s">
        <v>734</v>
      </c>
      <c r="D75" s="1547" t="s">
        <v>655</v>
      </c>
      <c r="E75" s="690" t="s">
        <v>658</v>
      </c>
      <c r="F75" s="691"/>
      <c r="G75" s="692"/>
      <c r="H75" s="692"/>
      <c r="I75" s="692"/>
      <c r="J75" s="693"/>
      <c r="K75" s="693"/>
      <c r="L75" s="693"/>
      <c r="M75" s="694"/>
      <c r="N75" s="695"/>
      <c r="O75" s="696" t="s">
        <v>1569</v>
      </c>
      <c r="P75" s="695">
        <f>'Malaria-Key Info'!$F$25*'HPM costs'!F155+'Malaria-Key Info'!$J$50*'HPM costs'!F164</f>
        <v>0</v>
      </c>
      <c r="Q75" s="695" t="s">
        <v>1569</v>
      </c>
      <c r="R75" s="695">
        <f>'Malaria-Key Info'!$F$25*'HPM costs'!G155+'Malaria-Key Info'!$J$50*'HPM costs'!G164</f>
        <v>0</v>
      </c>
      <c r="S75" s="695" t="s">
        <v>1569</v>
      </c>
      <c r="T75" s="695">
        <f>'Malaria-Key Info'!$F$25*'HPM costs'!H155+'Malaria-Key Info'!$J$50*'HPM costs'!H164</f>
        <v>0</v>
      </c>
      <c r="U75" s="695" t="s">
        <v>1569</v>
      </c>
      <c r="V75" s="695">
        <f>'Malaria-Key Info'!$F$25*'HPM costs'!I155+'Malaria-Key Info'!$J$50*'HPM costs'!I164</f>
        <v>0</v>
      </c>
      <c r="W75" s="695"/>
      <c r="X75" s="1492">
        <f t="shared" si="12"/>
        <v>0</v>
      </c>
      <c r="Y75" s="1493"/>
      <c r="Z75" s="1494"/>
      <c r="AA75" s="699"/>
      <c r="AB75" s="695"/>
      <c r="AC75" s="695">
        <f>'Malaria-Key Info'!$F$25*'HPM costs'!K155+'Malaria-Key Info'!$J$50*'HPM costs'!K164</f>
        <v>0</v>
      </c>
      <c r="AD75" s="695"/>
      <c r="AE75" s="695">
        <f>'Malaria-Key Info'!$F$25*'HPM costs'!L155+'Malaria-Key Info'!$J$50*'HPM costs'!L164</f>
        <v>0</v>
      </c>
      <c r="AF75" s="695"/>
      <c r="AG75" s="695">
        <f>'Malaria-Key Info'!$F$25*'HPM costs'!M155+'Malaria-Key Info'!$J$50*'HPM costs'!M164</f>
        <v>0</v>
      </c>
      <c r="AH75" s="695"/>
      <c r="AI75" s="695">
        <f>'Malaria-Key Info'!$F$25*'HPM costs'!N155+'Malaria-Key Info'!$J$50*'HPM costs'!N164</f>
        <v>0</v>
      </c>
      <c r="AJ75" s="695"/>
      <c r="AK75" s="1492">
        <f t="shared" si="13"/>
        <v>0</v>
      </c>
      <c r="AL75" s="1493"/>
      <c r="AM75" s="1494"/>
      <c r="AN75" s="699"/>
      <c r="AO75" s="695"/>
      <c r="AP75" s="695">
        <f>'Malaria-Key Info'!$F$25*'HPM costs'!P155+'Malaria-Key Info'!$J$50*'HPM costs'!P164</f>
        <v>0</v>
      </c>
      <c r="AQ75" s="695"/>
      <c r="AR75" s="695">
        <f>'Malaria-Key Info'!$F$25*'HPM costs'!Q155+'Malaria-Key Info'!$J$50*'HPM costs'!Q164</f>
        <v>0</v>
      </c>
      <c r="AS75" s="695"/>
      <c r="AT75" s="695">
        <f>'Malaria-Key Info'!$F$25*'HPM costs'!R155+'Malaria-Key Info'!$J$50*'HPM costs'!R164</f>
        <v>0</v>
      </c>
      <c r="AU75" s="695"/>
      <c r="AV75" s="695">
        <f>'Malaria-Key Info'!$F$25*'HPM costs'!S155+'Malaria-Key Info'!$J$50*'HPM costs'!S164</f>
        <v>0</v>
      </c>
      <c r="AW75" s="695"/>
      <c r="AX75" s="1492">
        <f t="shared" si="14"/>
        <v>0</v>
      </c>
      <c r="AY75" s="1492"/>
      <c r="AZ75" s="698"/>
      <c r="BA75" s="699"/>
      <c r="BB75" s="697"/>
      <c r="BC75" s="697">
        <v>0</v>
      </c>
      <c r="BD75" s="697">
        <v>0</v>
      </c>
      <c r="BE75" s="697">
        <v>0</v>
      </c>
      <c r="BF75" s="697">
        <v>0</v>
      </c>
      <c r="BG75" s="697">
        <v>0</v>
      </c>
      <c r="BH75" s="697">
        <v>0</v>
      </c>
      <c r="BI75" s="697">
        <v>0</v>
      </c>
      <c r="BJ75" s="697">
        <v>0</v>
      </c>
      <c r="BK75" s="1492">
        <f t="shared" si="15"/>
        <v>0</v>
      </c>
      <c r="BL75" s="1492"/>
      <c r="BM75" s="1492">
        <f t="shared" si="16"/>
        <v>0</v>
      </c>
      <c r="BN75" s="1492">
        <f t="shared" si="17"/>
        <v>0</v>
      </c>
      <c r="BO75" s="697"/>
      <c r="BP75" s="697"/>
      <c r="BQ75" s="1495">
        <v>0</v>
      </c>
      <c r="BR75" s="1495" t="s">
        <v>19</v>
      </c>
      <c r="BS75" s="1495" t="s">
        <v>655</v>
      </c>
      <c r="BT75" s="691" t="s">
        <v>1773</v>
      </c>
    </row>
    <row r="76" spans="1:72" s="681" customFormat="1" ht="13" hidden="1">
      <c r="A76" s="1545">
        <v>87</v>
      </c>
      <c r="B76" s="1546" t="s">
        <v>726</v>
      </c>
      <c r="C76" s="1546" t="s">
        <v>734</v>
      </c>
      <c r="D76" s="1547" t="s">
        <v>655</v>
      </c>
      <c r="E76" s="690" t="s">
        <v>660</v>
      </c>
      <c r="F76" s="691"/>
      <c r="G76" s="692"/>
      <c r="H76" s="692"/>
      <c r="I76" s="692"/>
      <c r="J76" s="693"/>
      <c r="K76" s="693"/>
      <c r="L76" s="693"/>
      <c r="M76" s="694"/>
      <c r="N76" s="695"/>
      <c r="O76" s="696" t="s">
        <v>1569</v>
      </c>
      <c r="P76" s="695">
        <f>'Malaria-Key Info'!$F$25*'HPM costs'!F415+'Malaria-Key Info'!$J$50*'HPM costs'!F424</f>
        <v>0</v>
      </c>
      <c r="Q76" s="695" t="s">
        <v>1569</v>
      </c>
      <c r="R76" s="695">
        <f>'Malaria-Key Info'!$F$25*'HPM costs'!G415+'Malaria-Key Info'!$J$50*'HPM costs'!G424</f>
        <v>0</v>
      </c>
      <c r="S76" s="695" t="s">
        <v>1569</v>
      </c>
      <c r="T76" s="695">
        <f>'Malaria-Key Info'!$F$25*'HPM costs'!H415+'Malaria-Key Info'!$J$50*'HPM costs'!H424</f>
        <v>0</v>
      </c>
      <c r="U76" s="695" t="s">
        <v>1569</v>
      </c>
      <c r="V76" s="695">
        <f>'Malaria-Key Info'!$F$25*'HPM costs'!I415+'Malaria-Key Info'!$J$50*'HPM costs'!I424</f>
        <v>0</v>
      </c>
      <c r="W76" s="695"/>
      <c r="X76" s="1492">
        <f t="shared" si="12"/>
        <v>0</v>
      </c>
      <c r="Y76" s="1493"/>
      <c r="Z76" s="1494"/>
      <c r="AA76" s="699"/>
      <c r="AB76" s="695"/>
      <c r="AC76" s="695">
        <f>'Malaria-Key Info'!$F$25*'HPM costs'!K415+'Malaria-Key Info'!$J$50*'HPM costs'!K424</f>
        <v>0</v>
      </c>
      <c r="AD76" s="695"/>
      <c r="AE76" s="695">
        <f>'Malaria-Key Info'!$F$25*'HPM costs'!L415+'Malaria-Key Info'!$J$50*'HPM costs'!L424</f>
        <v>0</v>
      </c>
      <c r="AF76" s="695"/>
      <c r="AG76" s="695">
        <f>'Malaria-Key Info'!$F$25*'HPM costs'!M415+'Malaria-Key Info'!$J$50*'HPM costs'!M424</f>
        <v>0</v>
      </c>
      <c r="AH76" s="695"/>
      <c r="AI76" s="695">
        <f>'Malaria-Key Info'!$F$25*'HPM costs'!N415+'Malaria-Key Info'!$J$50*'HPM costs'!N424</f>
        <v>0</v>
      </c>
      <c r="AJ76" s="695"/>
      <c r="AK76" s="1492">
        <f t="shared" si="13"/>
        <v>0</v>
      </c>
      <c r="AL76" s="1493"/>
      <c r="AM76" s="1494"/>
      <c r="AN76" s="699"/>
      <c r="AO76" s="695"/>
      <c r="AP76" s="695">
        <f>'Malaria-Key Info'!$F$25*'HPM costs'!P415+'Malaria-Key Info'!$J$50*'HPM costs'!P424</f>
        <v>0</v>
      </c>
      <c r="AQ76" s="695"/>
      <c r="AR76" s="695">
        <f>'Malaria-Key Info'!$F$25*'HPM costs'!Q415+'Malaria-Key Info'!$J$50*'HPM costs'!Q424</f>
        <v>0</v>
      </c>
      <c r="AS76" s="695"/>
      <c r="AT76" s="695">
        <f>'Malaria-Key Info'!$F$25*'HPM costs'!R415+'Malaria-Key Info'!$J$50*'HPM costs'!R424</f>
        <v>0</v>
      </c>
      <c r="AU76" s="695"/>
      <c r="AV76" s="695">
        <f>'Malaria-Key Info'!$F$25*'HPM costs'!S415+'Malaria-Key Info'!$J$50*'HPM costs'!S424</f>
        <v>0</v>
      </c>
      <c r="AW76" s="695"/>
      <c r="AX76" s="1492">
        <f t="shared" si="14"/>
        <v>0</v>
      </c>
      <c r="AY76" s="1492"/>
      <c r="AZ76" s="698"/>
      <c r="BA76" s="699"/>
      <c r="BB76" s="697"/>
      <c r="BC76" s="697">
        <v>0</v>
      </c>
      <c r="BD76" s="697">
        <v>0</v>
      </c>
      <c r="BE76" s="697">
        <v>0</v>
      </c>
      <c r="BF76" s="697">
        <v>0</v>
      </c>
      <c r="BG76" s="697">
        <v>0</v>
      </c>
      <c r="BH76" s="697">
        <v>0</v>
      </c>
      <c r="BI76" s="697">
        <v>0</v>
      </c>
      <c r="BJ76" s="697">
        <v>0</v>
      </c>
      <c r="BK76" s="1492">
        <f t="shared" si="15"/>
        <v>0</v>
      </c>
      <c r="BL76" s="1492"/>
      <c r="BM76" s="1492">
        <f t="shared" si="16"/>
        <v>0</v>
      </c>
      <c r="BN76" s="1492">
        <f t="shared" si="17"/>
        <v>0</v>
      </c>
      <c r="BO76" s="697"/>
      <c r="BP76" s="697"/>
      <c r="BQ76" s="1495">
        <v>0</v>
      </c>
      <c r="BR76" s="1495" t="s">
        <v>19</v>
      </c>
      <c r="BS76" s="1495" t="s">
        <v>655</v>
      </c>
      <c r="BT76" s="691" t="s">
        <v>1774</v>
      </c>
    </row>
    <row r="77" spans="1:72" s="681" customFormat="1" ht="13" hidden="1">
      <c r="A77" s="1545">
        <v>88</v>
      </c>
      <c r="B77" s="1546" t="s">
        <v>726</v>
      </c>
      <c r="C77" s="1546" t="s">
        <v>734</v>
      </c>
      <c r="D77" s="1547" t="s">
        <v>655</v>
      </c>
      <c r="E77" s="690" t="s">
        <v>662</v>
      </c>
      <c r="F77" s="691"/>
      <c r="G77" s="692"/>
      <c r="H77" s="692"/>
      <c r="I77" s="692"/>
      <c r="J77" s="693"/>
      <c r="K77" s="693"/>
      <c r="L77" s="693"/>
      <c r="M77" s="694"/>
      <c r="N77" s="695"/>
      <c r="O77" s="696" t="s">
        <v>1569</v>
      </c>
      <c r="P77" s="695">
        <f>'Malaria-Key Info'!$F$25*'HPM costs'!F501+'Malaria-Key Info'!$J$50*'HPM costs'!F510</f>
        <v>0</v>
      </c>
      <c r="Q77" s="695" t="s">
        <v>1569</v>
      </c>
      <c r="R77" s="695">
        <f>'Malaria-Key Info'!$F$25*'HPM costs'!G501+'Malaria-Key Info'!$J$50*'HPM costs'!G510</f>
        <v>0</v>
      </c>
      <c r="S77" s="695" t="s">
        <v>1569</v>
      </c>
      <c r="T77" s="695">
        <f>'Malaria-Key Info'!$F$25*'HPM costs'!H501+'Malaria-Key Info'!$J$50*'HPM costs'!H510</f>
        <v>0</v>
      </c>
      <c r="U77" s="695" t="s">
        <v>1569</v>
      </c>
      <c r="V77" s="695">
        <f>'Malaria-Key Info'!$F$25*'HPM costs'!I501+'Malaria-Key Info'!$J$50*'HPM costs'!I510</f>
        <v>0</v>
      </c>
      <c r="W77" s="695"/>
      <c r="X77" s="1492">
        <f t="shared" si="12"/>
        <v>0</v>
      </c>
      <c r="Y77" s="1493"/>
      <c r="Z77" s="1494"/>
      <c r="AA77" s="699"/>
      <c r="AB77" s="695"/>
      <c r="AC77" s="695">
        <f>'Malaria-Key Info'!$F$25*'HPM costs'!K501+'Malaria-Key Info'!$J$50*'HPM costs'!K510</f>
        <v>0</v>
      </c>
      <c r="AD77" s="695"/>
      <c r="AE77" s="695">
        <f>'Malaria-Key Info'!$F$25*'HPM costs'!L501+'Malaria-Key Info'!$J$50*'HPM costs'!L510</f>
        <v>0</v>
      </c>
      <c r="AF77" s="695"/>
      <c r="AG77" s="695">
        <f>'Malaria-Key Info'!$F$25*'HPM costs'!M501+'Malaria-Key Info'!$J$50*'HPM costs'!M510</f>
        <v>0</v>
      </c>
      <c r="AH77" s="695"/>
      <c r="AI77" s="695">
        <f>'Malaria-Key Info'!$F$25*'HPM costs'!N501+'Malaria-Key Info'!$J$50*'HPM costs'!N510</f>
        <v>0</v>
      </c>
      <c r="AJ77" s="695"/>
      <c r="AK77" s="1492">
        <f t="shared" si="13"/>
        <v>0</v>
      </c>
      <c r="AL77" s="1493"/>
      <c r="AM77" s="1494"/>
      <c r="AN77" s="699"/>
      <c r="AO77" s="695"/>
      <c r="AP77" s="695">
        <f>'Malaria-Key Info'!$F$25*'HPM costs'!P501+'Malaria-Key Info'!$J$50*'HPM costs'!P510</f>
        <v>0</v>
      </c>
      <c r="AQ77" s="695"/>
      <c r="AR77" s="695">
        <f>'Malaria-Key Info'!$F$25*'HPM costs'!Q501+'Malaria-Key Info'!$J$50*'HPM costs'!Q510</f>
        <v>0</v>
      </c>
      <c r="AS77" s="695"/>
      <c r="AT77" s="695">
        <f>'Malaria-Key Info'!$F$25*'HPM costs'!R501+'Malaria-Key Info'!$J$50*'HPM costs'!R510</f>
        <v>0</v>
      </c>
      <c r="AU77" s="695"/>
      <c r="AV77" s="695">
        <f>'Malaria-Key Info'!$F$25*'HPM costs'!S501+'Malaria-Key Info'!$J$50*'HPM costs'!S510</f>
        <v>0</v>
      </c>
      <c r="AW77" s="695"/>
      <c r="AX77" s="1492">
        <f t="shared" si="14"/>
        <v>0</v>
      </c>
      <c r="AY77" s="1492"/>
      <c r="AZ77" s="698"/>
      <c r="BA77" s="699"/>
      <c r="BB77" s="697"/>
      <c r="BC77" s="697">
        <v>0</v>
      </c>
      <c r="BD77" s="697">
        <v>0</v>
      </c>
      <c r="BE77" s="697">
        <v>0</v>
      </c>
      <c r="BF77" s="697">
        <v>0</v>
      </c>
      <c r="BG77" s="697">
        <v>0</v>
      </c>
      <c r="BH77" s="697">
        <v>0</v>
      </c>
      <c r="BI77" s="697">
        <v>0</v>
      </c>
      <c r="BJ77" s="697">
        <v>0</v>
      </c>
      <c r="BK77" s="1492">
        <f t="shared" si="15"/>
        <v>0</v>
      </c>
      <c r="BL77" s="1492"/>
      <c r="BM77" s="1492">
        <f t="shared" si="16"/>
        <v>0</v>
      </c>
      <c r="BN77" s="1492">
        <f t="shared" si="17"/>
        <v>0</v>
      </c>
      <c r="BO77" s="697"/>
      <c r="BP77" s="697"/>
      <c r="BQ77" s="1495">
        <v>0</v>
      </c>
      <c r="BR77" s="1495" t="s">
        <v>19</v>
      </c>
      <c r="BS77" s="1495" t="s">
        <v>655</v>
      </c>
      <c r="BT77" s="691" t="s">
        <v>1775</v>
      </c>
    </row>
    <row r="78" spans="1:72" s="681" customFormat="1" ht="13" hidden="1">
      <c r="A78" s="1545">
        <v>89</v>
      </c>
      <c r="B78" s="1546" t="s">
        <v>726</v>
      </c>
      <c r="C78" s="1546" t="s">
        <v>734</v>
      </c>
      <c r="D78" s="1547" t="s">
        <v>655</v>
      </c>
      <c r="E78" s="690" t="s">
        <v>664</v>
      </c>
      <c r="F78" s="691"/>
      <c r="G78" s="692"/>
      <c r="H78" s="692"/>
      <c r="I78" s="692"/>
      <c r="J78" s="693"/>
      <c r="K78" s="693"/>
      <c r="L78" s="693"/>
      <c r="M78" s="694"/>
      <c r="N78" s="695"/>
      <c r="O78" s="696" t="s">
        <v>1569</v>
      </c>
      <c r="P78" s="695">
        <f>'Malaria-Key Info'!$F$25*('HPM costs'!F241+'HPM costs'!F587)+'Malaria-Key Info'!$J$50*('HPM costs'!F250+'HPM costs'!F596)</f>
        <v>0</v>
      </c>
      <c r="Q78" s="695" t="s">
        <v>1569</v>
      </c>
      <c r="R78" s="695">
        <f>'Malaria-Key Info'!$F$25*('HPM costs'!G241+'HPM costs'!G587)+'Malaria-Key Info'!$J$50*('HPM costs'!G250+'HPM costs'!G596)</f>
        <v>0</v>
      </c>
      <c r="S78" s="695" t="s">
        <v>1569</v>
      </c>
      <c r="T78" s="695">
        <f>'Malaria-Key Info'!$F$25*('HPM costs'!H241+'HPM costs'!H587)+'Malaria-Key Info'!$J$50*('HPM costs'!H250+'HPM costs'!H596)</f>
        <v>0</v>
      </c>
      <c r="U78" s="695" t="s">
        <v>1569</v>
      </c>
      <c r="V78" s="695">
        <f>'Malaria-Key Info'!$F$25*('HPM costs'!I241+'HPM costs'!I587)+'Malaria-Key Info'!$J$50*('HPM costs'!I250+'HPM costs'!I596)</f>
        <v>0</v>
      </c>
      <c r="W78" s="695"/>
      <c r="X78" s="1492">
        <f t="shared" si="12"/>
        <v>0</v>
      </c>
      <c r="Y78" s="1493"/>
      <c r="Z78" s="1494"/>
      <c r="AA78" s="699"/>
      <c r="AB78" s="695"/>
      <c r="AC78" s="695">
        <f>'Malaria-Key Info'!$F$25*('HPM costs'!K241+'HPM costs'!K587)+'Malaria-Key Info'!$J$50*('HPM costs'!K250+'HPM costs'!K596)</f>
        <v>0</v>
      </c>
      <c r="AD78" s="695"/>
      <c r="AE78" s="695">
        <f>'Malaria-Key Info'!$F$25*('HPM costs'!L241+'HPM costs'!L587)+'Malaria-Key Info'!$J$50*('HPM costs'!L250+'HPM costs'!L596)</f>
        <v>0</v>
      </c>
      <c r="AF78" s="695"/>
      <c r="AG78" s="695">
        <f>'Malaria-Key Info'!$F$25*('HPM costs'!M241+'HPM costs'!M587)+'Malaria-Key Info'!$J$50*('HPM costs'!M250+'HPM costs'!M596)</f>
        <v>0</v>
      </c>
      <c r="AH78" s="695"/>
      <c r="AI78" s="695">
        <f>'Malaria-Key Info'!$F$25*('HPM costs'!N241+'HPM costs'!N587)+'Malaria-Key Info'!$J$50*('HPM costs'!N250+'HPM costs'!N596)</f>
        <v>0</v>
      </c>
      <c r="AJ78" s="695"/>
      <c r="AK78" s="1492">
        <f t="shared" si="13"/>
        <v>0</v>
      </c>
      <c r="AL78" s="1493"/>
      <c r="AM78" s="1494"/>
      <c r="AN78" s="699"/>
      <c r="AO78" s="695"/>
      <c r="AP78" s="695">
        <f>'Malaria-Key Info'!$F$25*('HPM costs'!P241+'HPM costs'!P587)+'Malaria-Key Info'!$J$50*('HPM costs'!P250+'HPM costs'!P596)</f>
        <v>0</v>
      </c>
      <c r="AQ78" s="695"/>
      <c r="AR78" s="695">
        <f>'Malaria-Key Info'!$F$25*('HPM costs'!Q241+'HPM costs'!Q587)+'Malaria-Key Info'!$J$50*('HPM costs'!Q250+'HPM costs'!Q596)</f>
        <v>0</v>
      </c>
      <c r="AS78" s="695"/>
      <c r="AT78" s="695">
        <f>'Malaria-Key Info'!$F$25*('HPM costs'!R241+'HPM costs'!R587)+'Malaria-Key Info'!$J$50*('HPM costs'!R250+'HPM costs'!R596)</f>
        <v>0</v>
      </c>
      <c r="AU78" s="695"/>
      <c r="AV78" s="695">
        <f>'Malaria-Key Info'!$F$25*('HPM costs'!S241+'HPM costs'!S587)+'Malaria-Key Info'!$J$50*('HPM costs'!S250+'HPM costs'!S596)</f>
        <v>0</v>
      </c>
      <c r="AW78" s="695"/>
      <c r="AX78" s="1492">
        <f t="shared" si="14"/>
        <v>0</v>
      </c>
      <c r="AY78" s="1492"/>
      <c r="AZ78" s="698"/>
      <c r="BA78" s="699"/>
      <c r="BB78" s="697"/>
      <c r="BC78" s="697">
        <v>0</v>
      </c>
      <c r="BD78" s="697">
        <v>0</v>
      </c>
      <c r="BE78" s="697">
        <v>0</v>
      </c>
      <c r="BF78" s="697">
        <v>0</v>
      </c>
      <c r="BG78" s="697">
        <v>0</v>
      </c>
      <c r="BH78" s="697">
        <v>0</v>
      </c>
      <c r="BI78" s="697">
        <v>0</v>
      </c>
      <c r="BJ78" s="697">
        <v>0</v>
      </c>
      <c r="BK78" s="1492">
        <f t="shared" si="15"/>
        <v>0</v>
      </c>
      <c r="BL78" s="1492"/>
      <c r="BM78" s="1492">
        <f t="shared" si="16"/>
        <v>0</v>
      </c>
      <c r="BN78" s="1492">
        <f t="shared" si="17"/>
        <v>0</v>
      </c>
      <c r="BO78" s="697"/>
      <c r="BP78" s="697"/>
      <c r="BQ78" s="1495">
        <v>0</v>
      </c>
      <c r="BR78" s="1495" t="s">
        <v>19</v>
      </c>
      <c r="BS78" s="1495" t="s">
        <v>655</v>
      </c>
      <c r="BT78" s="691" t="s">
        <v>1776</v>
      </c>
    </row>
    <row r="79" spans="1:72" s="681" customFormat="1" ht="13" hidden="1">
      <c r="A79" s="1545">
        <v>90</v>
      </c>
      <c r="B79" s="1546" t="s">
        <v>726</v>
      </c>
      <c r="C79" s="1546" t="s">
        <v>734</v>
      </c>
      <c r="D79" s="1547" t="s">
        <v>655</v>
      </c>
      <c r="E79" s="690" t="s">
        <v>666</v>
      </c>
      <c r="F79" s="691"/>
      <c r="G79" s="692"/>
      <c r="H79" s="692"/>
      <c r="I79" s="692"/>
      <c r="J79" s="693"/>
      <c r="K79" s="693"/>
      <c r="L79" s="693"/>
      <c r="M79" s="694" t="e">
        <f>X79/W79</f>
        <v>#DIV/0!</v>
      </c>
      <c r="N79" s="695" t="e">
        <f>IF(M79&lt;&gt;"",M79/VLOOKUP($K79,SETUP!$C$28:$D$42,2,0),"")</f>
        <v>#DIV/0!</v>
      </c>
      <c r="O79" s="696" t="s">
        <v>1569</v>
      </c>
      <c r="P79" s="695">
        <f>'Malaria-Key Info'!$F$25*'HPM costs'!F327+'Malaria-Key Info'!$J$50*'HPM costs'!F336</f>
        <v>0</v>
      </c>
      <c r="Q79" s="695" t="s">
        <v>1569</v>
      </c>
      <c r="R79" s="695">
        <f>'Malaria-Key Info'!$F$25*'HPM costs'!G327+'Malaria-Key Info'!$J$50*'HPM costs'!G336</f>
        <v>0</v>
      </c>
      <c r="S79" s="695" t="s">
        <v>1569</v>
      </c>
      <c r="T79" s="695">
        <f>'Malaria-Key Info'!$F$25*'HPM costs'!H327+'Malaria-Key Info'!$J$50*'HPM costs'!H336</f>
        <v>0</v>
      </c>
      <c r="U79" s="695" t="s">
        <v>1569</v>
      </c>
      <c r="V79" s="695">
        <f>'Malaria-Key Info'!$F$25*'HPM costs'!I327+'Malaria-Key Info'!$J$50*'HPM costs'!I336</f>
        <v>0</v>
      </c>
      <c r="W79" s="695"/>
      <c r="X79" s="1492">
        <f t="shared" si="12"/>
        <v>0</v>
      </c>
      <c r="Y79" s="1493"/>
      <c r="Z79" s="1494"/>
      <c r="AA79" s="699"/>
      <c r="AB79" s="695"/>
      <c r="AC79" s="695">
        <f>'Malaria-Key Info'!$F$25*'HPM costs'!K327+'Malaria-Key Info'!$J$50*'HPM costs'!K336</f>
        <v>0</v>
      </c>
      <c r="AD79" s="695"/>
      <c r="AE79" s="695">
        <f>'Malaria-Key Info'!$F$25*'HPM costs'!L327+'Malaria-Key Info'!$J$50*'HPM costs'!L336</f>
        <v>0</v>
      </c>
      <c r="AF79" s="695"/>
      <c r="AG79" s="695">
        <f>'Malaria-Key Info'!$F$25*'HPM costs'!M327+'Malaria-Key Info'!$J$50*'HPM costs'!M336</f>
        <v>0</v>
      </c>
      <c r="AH79" s="695"/>
      <c r="AI79" s="695">
        <f>'Malaria-Key Info'!$F$25*'HPM costs'!N327+'Malaria-Key Info'!$J$50*'HPM costs'!N336</f>
        <v>0</v>
      </c>
      <c r="AJ79" s="695"/>
      <c r="AK79" s="1492">
        <f t="shared" si="13"/>
        <v>0</v>
      </c>
      <c r="AL79" s="1493"/>
      <c r="AM79" s="1494"/>
      <c r="AN79" s="699"/>
      <c r="AO79" s="695"/>
      <c r="AP79" s="695">
        <f>'Malaria-Key Info'!$F$25*'HPM costs'!P327+'Malaria-Key Info'!$J$50*'HPM costs'!P336</f>
        <v>0</v>
      </c>
      <c r="AQ79" s="695"/>
      <c r="AR79" s="695">
        <f>'Malaria-Key Info'!$F$25*'HPM costs'!Q327+'Malaria-Key Info'!$J$50*'HPM costs'!Q336</f>
        <v>0</v>
      </c>
      <c r="AS79" s="695"/>
      <c r="AT79" s="695">
        <f>'Malaria-Key Info'!$F$25*'HPM costs'!R327+'Malaria-Key Info'!$J$50*'HPM costs'!R336</f>
        <v>0</v>
      </c>
      <c r="AU79" s="695"/>
      <c r="AV79" s="695">
        <f>'Malaria-Key Info'!$F$25*'HPM costs'!S327+'Malaria-Key Info'!$J$50*'HPM costs'!S336</f>
        <v>0</v>
      </c>
      <c r="AW79" s="695"/>
      <c r="AX79" s="1492">
        <f t="shared" si="14"/>
        <v>0</v>
      </c>
      <c r="AY79" s="1492"/>
      <c r="AZ79" s="698"/>
      <c r="BA79" s="699"/>
      <c r="BB79" s="697"/>
      <c r="BC79" s="697">
        <v>0</v>
      </c>
      <c r="BD79" s="697">
        <v>0</v>
      </c>
      <c r="BE79" s="697">
        <v>0</v>
      </c>
      <c r="BF79" s="697">
        <v>0</v>
      </c>
      <c r="BG79" s="697">
        <v>0</v>
      </c>
      <c r="BH79" s="697">
        <v>0</v>
      </c>
      <c r="BI79" s="697">
        <v>0</v>
      </c>
      <c r="BJ79" s="697">
        <v>0</v>
      </c>
      <c r="BK79" s="1492">
        <f t="shared" si="15"/>
        <v>0</v>
      </c>
      <c r="BL79" s="1492"/>
      <c r="BM79" s="1492">
        <f t="shared" si="16"/>
        <v>0</v>
      </c>
      <c r="BN79" s="1492">
        <f t="shared" si="17"/>
        <v>0</v>
      </c>
      <c r="BO79" s="697"/>
      <c r="BP79" s="697"/>
      <c r="BQ79" s="1495">
        <v>0</v>
      </c>
      <c r="BR79" s="1495" t="s">
        <v>19</v>
      </c>
      <c r="BS79" s="1495" t="s">
        <v>655</v>
      </c>
      <c r="BT79" s="691" t="s">
        <v>1777</v>
      </c>
    </row>
    <row r="80" spans="1:72" s="681" customFormat="1" ht="13" hidden="1">
      <c r="A80" s="1545">
        <v>91</v>
      </c>
      <c r="B80" s="1546" t="s">
        <v>726</v>
      </c>
      <c r="C80" s="1546" t="s">
        <v>734</v>
      </c>
      <c r="D80" s="1547" t="s">
        <v>655</v>
      </c>
      <c r="E80" s="690" t="s">
        <v>668</v>
      </c>
      <c r="F80" s="691"/>
      <c r="G80" s="692"/>
      <c r="H80" s="692"/>
      <c r="I80" s="692"/>
      <c r="J80" s="693"/>
      <c r="K80" s="693"/>
      <c r="L80" s="693"/>
      <c r="M80" s="694"/>
      <c r="N80" s="695"/>
      <c r="O80" s="696" t="s">
        <v>1569</v>
      </c>
      <c r="P80" s="695">
        <f>'Malaria-Key Info'!$F$25*'HPM costs'!F672+'Malaria-Key Info'!$J$50*'HPM costs'!F681</f>
        <v>0</v>
      </c>
      <c r="Q80" s="695" t="s">
        <v>1569</v>
      </c>
      <c r="R80" s="695">
        <f>'Malaria-Key Info'!$F$25*'HPM costs'!G672+'Malaria-Key Info'!$J$50*'HPM costs'!G681</f>
        <v>0</v>
      </c>
      <c r="S80" s="695" t="s">
        <v>1569</v>
      </c>
      <c r="T80" s="695">
        <f>'Malaria-Key Info'!$F$25*'HPM costs'!H672+'Malaria-Key Info'!$J$50*'HPM costs'!H681</f>
        <v>0</v>
      </c>
      <c r="U80" s="695" t="s">
        <v>1569</v>
      </c>
      <c r="V80" s="695">
        <f>'Malaria-Key Info'!$F$25*'HPM costs'!I672+'Malaria-Key Info'!$J$50*'HPM costs'!I681</f>
        <v>0</v>
      </c>
      <c r="W80" s="695"/>
      <c r="X80" s="1492">
        <f t="shared" si="12"/>
        <v>0</v>
      </c>
      <c r="Y80" s="1493"/>
      <c r="Z80" s="1494"/>
      <c r="AA80" s="699"/>
      <c r="AB80" s="695"/>
      <c r="AC80" s="695">
        <f>'Malaria-Key Info'!$F$25*'HPM costs'!K672+'Malaria-Key Info'!$J$50*'HPM costs'!K681</f>
        <v>0</v>
      </c>
      <c r="AD80" s="695"/>
      <c r="AE80" s="695">
        <f>'Malaria-Key Info'!$F$25*'HPM costs'!L672+'Malaria-Key Info'!$J$50*'HPM costs'!L681</f>
        <v>0</v>
      </c>
      <c r="AF80" s="695"/>
      <c r="AG80" s="695">
        <f>'Malaria-Key Info'!$F$25*'HPM costs'!M672+'Malaria-Key Info'!$J$50*'HPM costs'!M681</f>
        <v>0</v>
      </c>
      <c r="AH80" s="695"/>
      <c r="AI80" s="695">
        <f>'Malaria-Key Info'!$F$25*'HPM costs'!N672+'Malaria-Key Info'!$J$50*'HPM costs'!N681</f>
        <v>0</v>
      </c>
      <c r="AJ80" s="695"/>
      <c r="AK80" s="1492">
        <f t="shared" si="13"/>
        <v>0</v>
      </c>
      <c r="AL80" s="1493"/>
      <c r="AM80" s="1494"/>
      <c r="AN80" s="699"/>
      <c r="AO80" s="695"/>
      <c r="AP80" s="695">
        <f>'Malaria-Key Info'!$F$25*'HPM costs'!P672+'Malaria-Key Info'!$J$50*'HPM costs'!P681</f>
        <v>0</v>
      </c>
      <c r="AQ80" s="695"/>
      <c r="AR80" s="695">
        <f>'Malaria-Key Info'!$F$25*'HPM costs'!Q672+'Malaria-Key Info'!$J$50*'HPM costs'!Q681</f>
        <v>0</v>
      </c>
      <c r="AS80" s="695"/>
      <c r="AT80" s="695">
        <f>'Malaria-Key Info'!$F$25*'HPM costs'!R672+'Malaria-Key Info'!$J$50*'HPM costs'!R681</f>
        <v>0</v>
      </c>
      <c r="AU80" s="695"/>
      <c r="AV80" s="695">
        <f>'Malaria-Key Info'!$F$25*'HPM costs'!S672+'Malaria-Key Info'!$J$50*'HPM costs'!S681</f>
        <v>0</v>
      </c>
      <c r="AW80" s="695"/>
      <c r="AX80" s="1492">
        <f t="shared" si="14"/>
        <v>0</v>
      </c>
      <c r="AY80" s="1492"/>
      <c r="AZ80" s="698"/>
      <c r="BA80" s="699"/>
      <c r="BB80" s="697"/>
      <c r="BC80" s="697">
        <v>0</v>
      </c>
      <c r="BD80" s="697">
        <v>0</v>
      </c>
      <c r="BE80" s="697">
        <v>0</v>
      </c>
      <c r="BF80" s="697">
        <v>0</v>
      </c>
      <c r="BG80" s="697">
        <v>0</v>
      </c>
      <c r="BH80" s="697">
        <v>0</v>
      </c>
      <c r="BI80" s="697">
        <v>0</v>
      </c>
      <c r="BJ80" s="697">
        <v>0</v>
      </c>
      <c r="BK80" s="1492">
        <f t="shared" si="15"/>
        <v>0</v>
      </c>
      <c r="BL80" s="1492"/>
      <c r="BM80" s="1492">
        <f t="shared" si="16"/>
        <v>0</v>
      </c>
      <c r="BN80" s="1492">
        <f t="shared" si="17"/>
        <v>0</v>
      </c>
      <c r="BO80" s="697"/>
      <c r="BP80" s="697"/>
      <c r="BQ80" s="1495">
        <v>0</v>
      </c>
      <c r="BR80" s="1495" t="s">
        <v>19</v>
      </c>
      <c r="BS80" s="1495" t="s">
        <v>655</v>
      </c>
      <c r="BT80" s="691" t="s">
        <v>1778</v>
      </c>
    </row>
    <row r="81" spans="1:72" s="681" customFormat="1" ht="13" hidden="1">
      <c r="A81" s="1545">
        <v>92</v>
      </c>
      <c r="B81" s="1546" t="s">
        <v>726</v>
      </c>
      <c r="C81" s="1546" t="s">
        <v>737</v>
      </c>
      <c r="D81" s="1547" t="s">
        <v>6945</v>
      </c>
      <c r="E81" s="690" t="s">
        <v>728</v>
      </c>
      <c r="F81" s="691"/>
      <c r="G81" s="692"/>
      <c r="H81" s="692"/>
      <c r="I81" s="692"/>
      <c r="J81" s="693"/>
      <c r="K81" s="693"/>
      <c r="L81" s="693"/>
      <c r="M81" s="694"/>
      <c r="N81" s="695"/>
      <c r="O81" s="696" t="s">
        <v>1569</v>
      </c>
      <c r="P81" s="695">
        <f>('Malaria-Key Info'!$F$26*'HPM costs'!F69)/'HPM costs'!$E$69</f>
        <v>0</v>
      </c>
      <c r="Q81" s="695" t="s">
        <v>1569</v>
      </c>
      <c r="R81" s="695">
        <f>('Malaria-Key Info'!$F$26*'HPM costs'!G69)/'HPM costs'!$E$69</f>
        <v>0</v>
      </c>
      <c r="S81" s="695" t="s">
        <v>1569</v>
      </c>
      <c r="T81" s="695">
        <f>('Malaria-Key Info'!$F$26*'HPM costs'!H69)/'HPM costs'!$E$69</f>
        <v>0</v>
      </c>
      <c r="U81" s="695" t="s">
        <v>1569</v>
      </c>
      <c r="V81" s="695">
        <f>('Malaria-Key Info'!$F$26*'HPM costs'!I69)/'HPM costs'!$E$69</f>
        <v>0</v>
      </c>
      <c r="W81" s="695"/>
      <c r="X81" s="1492">
        <f t="shared" si="12"/>
        <v>0</v>
      </c>
      <c r="Y81" s="1493"/>
      <c r="Z81" s="1494"/>
      <c r="AA81" s="699"/>
      <c r="AB81" s="695"/>
      <c r="AC81" s="695">
        <f>('Malaria-Key Info'!$F$26*'HPM costs'!K69)/'HPM costs'!$E$69</f>
        <v>0</v>
      </c>
      <c r="AD81" s="695"/>
      <c r="AE81" s="695">
        <f>('Malaria-Key Info'!$F$26*'HPM costs'!L69)/'HPM costs'!$E$69</f>
        <v>0</v>
      </c>
      <c r="AF81" s="695"/>
      <c r="AG81" s="695">
        <f>('Malaria-Key Info'!$F$26*'HPM costs'!M69)/'HPM costs'!$E$69</f>
        <v>0</v>
      </c>
      <c r="AH81" s="695"/>
      <c r="AI81" s="695">
        <f>('Malaria-Key Info'!$F$26*'HPM costs'!N69)/'HPM costs'!$E$69</f>
        <v>0</v>
      </c>
      <c r="AJ81" s="695"/>
      <c r="AK81" s="1492">
        <f t="shared" si="13"/>
        <v>0</v>
      </c>
      <c r="AL81" s="1493"/>
      <c r="AM81" s="1494"/>
      <c r="AN81" s="699"/>
      <c r="AO81" s="695"/>
      <c r="AP81" s="695">
        <f>('Malaria-Key Info'!$F$26*'HPM costs'!P69)/'HPM costs'!$E$69</f>
        <v>0</v>
      </c>
      <c r="AQ81" s="695"/>
      <c r="AR81" s="695">
        <f>('Malaria-Key Info'!$F$26*'HPM costs'!Q69)/'HPM costs'!$E$69</f>
        <v>0</v>
      </c>
      <c r="AS81" s="695"/>
      <c r="AT81" s="695">
        <f>('Malaria-Key Info'!$F$26*'HPM costs'!R69)/'HPM costs'!$E$69</f>
        <v>0</v>
      </c>
      <c r="AU81" s="695"/>
      <c r="AV81" s="695">
        <f>('Malaria-Key Info'!$F$26*'HPM costs'!S69)/'HPM costs'!$E$69</f>
        <v>0</v>
      </c>
      <c r="AW81" s="695"/>
      <c r="AX81" s="1492">
        <f t="shared" si="14"/>
        <v>0</v>
      </c>
      <c r="AY81" s="1492"/>
      <c r="AZ81" s="698"/>
      <c r="BA81" s="699"/>
      <c r="BB81" s="697"/>
      <c r="BC81" s="697">
        <v>0</v>
      </c>
      <c r="BD81" s="697">
        <v>0</v>
      </c>
      <c r="BE81" s="697">
        <v>0</v>
      </c>
      <c r="BF81" s="697">
        <v>0</v>
      </c>
      <c r="BG81" s="697">
        <v>0</v>
      </c>
      <c r="BH81" s="697">
        <v>0</v>
      </c>
      <c r="BI81" s="697">
        <v>0</v>
      </c>
      <c r="BJ81" s="697">
        <v>0</v>
      </c>
      <c r="BK81" s="1492">
        <f t="shared" si="15"/>
        <v>0</v>
      </c>
      <c r="BL81" s="1492"/>
      <c r="BM81" s="1492">
        <f t="shared" si="16"/>
        <v>0</v>
      </c>
      <c r="BN81" s="1492">
        <f t="shared" si="17"/>
        <v>0</v>
      </c>
      <c r="BO81" s="697"/>
      <c r="BP81" s="697"/>
      <c r="BQ81" s="1495">
        <v>0</v>
      </c>
      <c r="BR81" s="1495" t="s">
        <v>19</v>
      </c>
      <c r="BS81" s="1495" t="s">
        <v>6945</v>
      </c>
      <c r="BT81" s="691" t="s">
        <v>738</v>
      </c>
    </row>
    <row r="82" spans="1:72" s="681" customFormat="1" ht="13" hidden="1">
      <c r="A82" s="1545">
        <v>93</v>
      </c>
      <c r="B82" s="1546" t="s">
        <v>726</v>
      </c>
      <c r="C82" s="1546" t="s">
        <v>737</v>
      </c>
      <c r="D82" s="1547" t="s">
        <v>730</v>
      </c>
      <c r="E82" s="690" t="s">
        <v>731</v>
      </c>
      <c r="F82" s="691"/>
      <c r="G82" s="692"/>
      <c r="H82" s="692"/>
      <c r="I82" s="692"/>
      <c r="J82" s="693"/>
      <c r="K82" s="693"/>
      <c r="L82" s="693"/>
      <c r="M82" s="694"/>
      <c r="N82" s="695"/>
      <c r="O82" s="696" t="s">
        <v>1569</v>
      </c>
      <c r="P82" s="695">
        <f>('Malaria-Key Info'!$N$50*'HPM costs'!F78)/'HPM costs'!$E$78</f>
        <v>0</v>
      </c>
      <c r="Q82" s="695" t="s">
        <v>1569</v>
      </c>
      <c r="R82" s="695">
        <f>('Malaria-Key Info'!$N$50*'HPM costs'!G78)/'HPM costs'!$E$78</f>
        <v>0</v>
      </c>
      <c r="S82" s="695" t="s">
        <v>1569</v>
      </c>
      <c r="T82" s="695">
        <f>('Malaria-Key Info'!$N$50*'HPM costs'!H78)/'HPM costs'!$E$78</f>
        <v>0</v>
      </c>
      <c r="U82" s="695" t="s">
        <v>1569</v>
      </c>
      <c r="V82" s="695">
        <f>('Malaria-Key Info'!$N$50*'HPM costs'!I78)/'HPM costs'!$E$78</f>
        <v>0</v>
      </c>
      <c r="W82" s="695"/>
      <c r="X82" s="1492">
        <f t="shared" si="12"/>
        <v>0</v>
      </c>
      <c r="Y82" s="1493"/>
      <c r="Z82" s="1494"/>
      <c r="AA82" s="699"/>
      <c r="AB82" s="695"/>
      <c r="AC82" s="695">
        <f>('Malaria-Key Info'!$N$50*'HPM costs'!K78)/'HPM costs'!$E$78</f>
        <v>0</v>
      </c>
      <c r="AD82" s="695"/>
      <c r="AE82" s="695">
        <f>('Malaria-Key Info'!$N$50*'HPM costs'!L78)/'HPM costs'!$E$78</f>
        <v>0</v>
      </c>
      <c r="AF82" s="695"/>
      <c r="AG82" s="695">
        <f>('Malaria-Key Info'!$N$50*'HPM costs'!M78)/'HPM costs'!$E$78</f>
        <v>0</v>
      </c>
      <c r="AH82" s="695"/>
      <c r="AI82" s="695">
        <f>('Malaria-Key Info'!$N$50*'HPM costs'!N78)/'HPM costs'!$E$78</f>
        <v>0</v>
      </c>
      <c r="AJ82" s="695"/>
      <c r="AK82" s="1492">
        <f t="shared" si="13"/>
        <v>0</v>
      </c>
      <c r="AL82" s="1493"/>
      <c r="AM82" s="1494"/>
      <c r="AN82" s="699"/>
      <c r="AO82" s="695"/>
      <c r="AP82" s="695">
        <f>('Malaria-Key Info'!$N$50*'HPM costs'!P78)/'HPM costs'!$E$78</f>
        <v>0</v>
      </c>
      <c r="AQ82" s="695"/>
      <c r="AR82" s="695">
        <f>('Malaria-Key Info'!$N$50*'HPM costs'!Q78)/'HPM costs'!$E$78</f>
        <v>0</v>
      </c>
      <c r="AS82" s="695"/>
      <c r="AT82" s="695">
        <f>('Malaria-Key Info'!$N$50*'HPM costs'!R78)/'HPM costs'!$E$78</f>
        <v>0</v>
      </c>
      <c r="AU82" s="695"/>
      <c r="AV82" s="695">
        <f>('Malaria-Key Info'!$N$50*'HPM costs'!S78)/'HPM costs'!$E$78</f>
        <v>0</v>
      </c>
      <c r="AW82" s="695"/>
      <c r="AX82" s="1492">
        <f t="shared" si="14"/>
        <v>0</v>
      </c>
      <c r="AY82" s="1492"/>
      <c r="AZ82" s="698"/>
      <c r="BA82" s="699"/>
      <c r="BB82" s="697"/>
      <c r="BC82" s="697">
        <v>0</v>
      </c>
      <c r="BD82" s="697">
        <v>0</v>
      </c>
      <c r="BE82" s="697">
        <v>0</v>
      </c>
      <c r="BF82" s="697">
        <v>0</v>
      </c>
      <c r="BG82" s="697">
        <v>0</v>
      </c>
      <c r="BH82" s="697">
        <v>0</v>
      </c>
      <c r="BI82" s="697">
        <v>0</v>
      </c>
      <c r="BJ82" s="697">
        <v>0</v>
      </c>
      <c r="BK82" s="1492">
        <f t="shared" si="15"/>
        <v>0</v>
      </c>
      <c r="BL82" s="1492"/>
      <c r="BM82" s="1492">
        <f t="shared" si="16"/>
        <v>0</v>
      </c>
      <c r="BN82" s="1492">
        <f t="shared" si="17"/>
        <v>0</v>
      </c>
      <c r="BO82" s="697"/>
      <c r="BP82" s="697"/>
      <c r="BQ82" s="1495">
        <v>0</v>
      </c>
      <c r="BR82" s="1495" t="s">
        <v>19</v>
      </c>
      <c r="BS82" s="1495" t="s">
        <v>730</v>
      </c>
      <c r="BT82" s="691" t="s">
        <v>739</v>
      </c>
    </row>
    <row r="83" spans="1:72" s="681" customFormat="1" ht="13" hidden="1">
      <c r="A83" s="1545">
        <v>94</v>
      </c>
      <c r="B83" s="1546" t="s">
        <v>726</v>
      </c>
      <c r="C83" s="1546" t="s">
        <v>737</v>
      </c>
      <c r="D83" s="1547" t="s">
        <v>655</v>
      </c>
      <c r="E83" s="690" t="s">
        <v>656</v>
      </c>
      <c r="F83" s="691"/>
      <c r="G83" s="692"/>
      <c r="H83" s="692"/>
      <c r="I83" s="692"/>
      <c r="J83" s="693"/>
      <c r="K83" s="693"/>
      <c r="L83" s="693"/>
      <c r="M83" s="694"/>
      <c r="N83" s="695"/>
      <c r="O83" s="696" t="s">
        <v>1569</v>
      </c>
      <c r="P83" s="695">
        <f>'Malaria-Key Info'!$F$26*'HPM costs'!F69+'Malaria-Key Info'!$N$50*'HPM costs'!F78</f>
        <v>0</v>
      </c>
      <c r="Q83" s="695" t="s">
        <v>1569</v>
      </c>
      <c r="R83" s="695">
        <f>'Malaria-Key Info'!$F$26*'HPM costs'!G69+'Malaria-Key Info'!$N$50*'HPM costs'!G78</f>
        <v>0</v>
      </c>
      <c r="S83" s="695" t="s">
        <v>1569</v>
      </c>
      <c r="T83" s="695">
        <f>'Malaria-Key Info'!$F$26*'HPM costs'!H69+'Malaria-Key Info'!$N$50*'HPM costs'!H78</f>
        <v>0</v>
      </c>
      <c r="U83" s="695" t="s">
        <v>1569</v>
      </c>
      <c r="V83" s="695">
        <f>'Malaria-Key Info'!$F$26*'HPM costs'!I69+'Malaria-Key Info'!$N$50*'HPM costs'!I78</f>
        <v>0</v>
      </c>
      <c r="W83" s="695"/>
      <c r="X83" s="1492">
        <f t="shared" si="12"/>
        <v>0</v>
      </c>
      <c r="Y83" s="1493"/>
      <c r="Z83" s="1494"/>
      <c r="AA83" s="699"/>
      <c r="AB83" s="695"/>
      <c r="AC83" s="695">
        <f>'Malaria-Key Info'!$F$26*'HPM costs'!K69+'Malaria-Key Info'!$N$50*'HPM costs'!K78</f>
        <v>0</v>
      </c>
      <c r="AD83" s="695"/>
      <c r="AE83" s="695">
        <f>'Malaria-Key Info'!$F$26*'HPM costs'!L69+'Malaria-Key Info'!$N$50*'HPM costs'!L78</f>
        <v>0</v>
      </c>
      <c r="AF83" s="695"/>
      <c r="AG83" s="695">
        <f>'Malaria-Key Info'!$F$26*'HPM costs'!M69+'Malaria-Key Info'!$N$50*'HPM costs'!M78</f>
        <v>0</v>
      </c>
      <c r="AH83" s="695"/>
      <c r="AI83" s="695">
        <f>'Malaria-Key Info'!$F$26*'HPM costs'!N69+'Malaria-Key Info'!$N$50*'HPM costs'!N78</f>
        <v>0</v>
      </c>
      <c r="AJ83" s="695"/>
      <c r="AK83" s="1492">
        <f t="shared" si="13"/>
        <v>0</v>
      </c>
      <c r="AL83" s="1493"/>
      <c r="AM83" s="1494"/>
      <c r="AN83" s="699"/>
      <c r="AO83" s="695"/>
      <c r="AP83" s="695">
        <f>'Malaria-Key Info'!$F$26*'HPM costs'!P69+'Malaria-Key Info'!$N$50*'HPM costs'!P78</f>
        <v>0</v>
      </c>
      <c r="AQ83" s="695"/>
      <c r="AR83" s="695">
        <f>'Malaria-Key Info'!$F$26*'HPM costs'!Q69+'Malaria-Key Info'!$N$50*'HPM costs'!Q78</f>
        <v>0</v>
      </c>
      <c r="AS83" s="695"/>
      <c r="AT83" s="695">
        <f>'Malaria-Key Info'!$F$26*'HPM costs'!R69+'Malaria-Key Info'!$N$50*'HPM costs'!R78</f>
        <v>0</v>
      </c>
      <c r="AU83" s="695"/>
      <c r="AV83" s="695">
        <f>'Malaria-Key Info'!$F$26*'HPM costs'!S69+'Malaria-Key Info'!$N$50*'HPM costs'!S78</f>
        <v>0</v>
      </c>
      <c r="AW83" s="695"/>
      <c r="AX83" s="1492">
        <f t="shared" si="14"/>
        <v>0</v>
      </c>
      <c r="AY83" s="1492"/>
      <c r="AZ83" s="698"/>
      <c r="BA83" s="699"/>
      <c r="BB83" s="697"/>
      <c r="BC83" s="697">
        <v>0</v>
      </c>
      <c r="BD83" s="697">
        <v>0</v>
      </c>
      <c r="BE83" s="697">
        <v>0</v>
      </c>
      <c r="BF83" s="697">
        <v>0</v>
      </c>
      <c r="BG83" s="697">
        <v>0</v>
      </c>
      <c r="BH83" s="697">
        <v>0</v>
      </c>
      <c r="BI83" s="697">
        <v>0</v>
      </c>
      <c r="BJ83" s="697">
        <v>0</v>
      </c>
      <c r="BK83" s="1492">
        <f t="shared" si="15"/>
        <v>0</v>
      </c>
      <c r="BL83" s="1492"/>
      <c r="BM83" s="1492">
        <f t="shared" si="16"/>
        <v>0</v>
      </c>
      <c r="BN83" s="1492">
        <f t="shared" si="17"/>
        <v>0</v>
      </c>
      <c r="BO83" s="697"/>
      <c r="BP83" s="697"/>
      <c r="BQ83" s="1495">
        <v>0</v>
      </c>
      <c r="BR83" s="1495" t="s">
        <v>19</v>
      </c>
      <c r="BS83" s="1495" t="s">
        <v>655</v>
      </c>
      <c r="BT83" s="691" t="s">
        <v>1779</v>
      </c>
    </row>
    <row r="84" spans="1:72" s="681" customFormat="1" ht="13" hidden="1">
      <c r="A84" s="1545">
        <v>95</v>
      </c>
      <c r="B84" s="1546" t="s">
        <v>726</v>
      </c>
      <c r="C84" s="1546" t="s">
        <v>737</v>
      </c>
      <c r="D84" s="1547" t="s">
        <v>655</v>
      </c>
      <c r="E84" s="690" t="s">
        <v>658</v>
      </c>
      <c r="F84" s="691"/>
      <c r="G84" s="692"/>
      <c r="H84" s="692"/>
      <c r="I84" s="692"/>
      <c r="J84" s="693"/>
      <c r="K84" s="693"/>
      <c r="L84" s="693"/>
      <c r="M84" s="694"/>
      <c r="N84" s="695"/>
      <c r="O84" s="696" t="s">
        <v>1569</v>
      </c>
      <c r="P84" s="695">
        <f>'Malaria-Key Info'!$F$26*'HPM costs'!F155+'Malaria-Key Info'!$N$50*'HPM costs'!F164</f>
        <v>0</v>
      </c>
      <c r="Q84" s="695" t="s">
        <v>1569</v>
      </c>
      <c r="R84" s="695">
        <f>'Malaria-Key Info'!$F$26*'HPM costs'!G155+'Malaria-Key Info'!$N$50*'HPM costs'!G164</f>
        <v>0</v>
      </c>
      <c r="S84" s="695" t="s">
        <v>1569</v>
      </c>
      <c r="T84" s="695">
        <f>'Malaria-Key Info'!$F$26*'HPM costs'!H155+'Malaria-Key Info'!$N$50*'HPM costs'!H164</f>
        <v>0</v>
      </c>
      <c r="U84" s="695" t="s">
        <v>1569</v>
      </c>
      <c r="V84" s="695">
        <f>'Malaria-Key Info'!$F$26*'HPM costs'!I155+'Malaria-Key Info'!$N$50*'HPM costs'!I164</f>
        <v>0</v>
      </c>
      <c r="W84" s="695"/>
      <c r="X84" s="1492">
        <f t="shared" si="12"/>
        <v>0</v>
      </c>
      <c r="Y84" s="1493"/>
      <c r="Z84" s="1494"/>
      <c r="AA84" s="699"/>
      <c r="AB84" s="695"/>
      <c r="AC84" s="695">
        <f>'Malaria-Key Info'!$F$26*'HPM costs'!K155+'Malaria-Key Info'!$N$50*'HPM costs'!K164</f>
        <v>0</v>
      </c>
      <c r="AD84" s="695"/>
      <c r="AE84" s="695">
        <f>'Malaria-Key Info'!$F$26*'HPM costs'!L155+'Malaria-Key Info'!$N$50*'HPM costs'!L164</f>
        <v>0</v>
      </c>
      <c r="AF84" s="695"/>
      <c r="AG84" s="695">
        <f>'Malaria-Key Info'!$F$26*'HPM costs'!M155+'Malaria-Key Info'!$N$50*'HPM costs'!M164</f>
        <v>0</v>
      </c>
      <c r="AH84" s="695"/>
      <c r="AI84" s="695">
        <f>'Malaria-Key Info'!$F$26*'HPM costs'!N155+'Malaria-Key Info'!$N$50*'HPM costs'!N164</f>
        <v>0</v>
      </c>
      <c r="AJ84" s="695"/>
      <c r="AK84" s="1492">
        <f t="shared" si="13"/>
        <v>0</v>
      </c>
      <c r="AL84" s="1493"/>
      <c r="AM84" s="1494"/>
      <c r="AN84" s="699"/>
      <c r="AO84" s="695"/>
      <c r="AP84" s="695">
        <f>'Malaria-Key Info'!$F$26*'HPM costs'!P155+'Malaria-Key Info'!$N$50*'HPM costs'!P164</f>
        <v>0</v>
      </c>
      <c r="AQ84" s="695"/>
      <c r="AR84" s="695">
        <f>'Malaria-Key Info'!$F$26*'HPM costs'!Q155+'Malaria-Key Info'!$N$50*'HPM costs'!Q164</f>
        <v>0</v>
      </c>
      <c r="AS84" s="695"/>
      <c r="AT84" s="695">
        <f>'Malaria-Key Info'!$F$26*'HPM costs'!R155+'Malaria-Key Info'!$N$50*'HPM costs'!R164</f>
        <v>0</v>
      </c>
      <c r="AU84" s="695"/>
      <c r="AV84" s="695">
        <f>'Malaria-Key Info'!$F$26*'HPM costs'!S155+'Malaria-Key Info'!$N$50*'HPM costs'!S164</f>
        <v>0</v>
      </c>
      <c r="AW84" s="695"/>
      <c r="AX84" s="1492">
        <f t="shared" si="14"/>
        <v>0</v>
      </c>
      <c r="AY84" s="1492"/>
      <c r="AZ84" s="698"/>
      <c r="BA84" s="699"/>
      <c r="BB84" s="697"/>
      <c r="BC84" s="697">
        <v>0</v>
      </c>
      <c r="BD84" s="697">
        <v>0</v>
      </c>
      <c r="BE84" s="697">
        <v>0</v>
      </c>
      <c r="BF84" s="697">
        <v>0</v>
      </c>
      <c r="BG84" s="697">
        <v>0</v>
      </c>
      <c r="BH84" s="697">
        <v>0</v>
      </c>
      <c r="BI84" s="697">
        <v>0</v>
      </c>
      <c r="BJ84" s="697">
        <v>0</v>
      </c>
      <c r="BK84" s="1492">
        <f t="shared" si="15"/>
        <v>0</v>
      </c>
      <c r="BL84" s="1492"/>
      <c r="BM84" s="1492">
        <f t="shared" si="16"/>
        <v>0</v>
      </c>
      <c r="BN84" s="1492">
        <f t="shared" si="17"/>
        <v>0</v>
      </c>
      <c r="BO84" s="697"/>
      <c r="BP84" s="697"/>
      <c r="BQ84" s="1495">
        <v>0</v>
      </c>
      <c r="BR84" s="1495" t="s">
        <v>19</v>
      </c>
      <c r="BS84" s="1495" t="s">
        <v>655</v>
      </c>
      <c r="BT84" s="691" t="s">
        <v>1780</v>
      </c>
    </row>
    <row r="85" spans="1:72" s="681" customFormat="1" ht="13" hidden="1">
      <c r="A85" s="1545">
        <v>96</v>
      </c>
      <c r="B85" s="1546" t="s">
        <v>726</v>
      </c>
      <c r="C85" s="1546" t="s">
        <v>737</v>
      </c>
      <c r="D85" s="1547" t="s">
        <v>655</v>
      </c>
      <c r="E85" s="690" t="s">
        <v>660</v>
      </c>
      <c r="F85" s="691"/>
      <c r="G85" s="692"/>
      <c r="H85" s="692"/>
      <c r="I85" s="692"/>
      <c r="J85" s="693"/>
      <c r="K85" s="693"/>
      <c r="L85" s="693"/>
      <c r="M85" s="694" t="e">
        <f>X85/W85</f>
        <v>#DIV/0!</v>
      </c>
      <c r="N85" s="695"/>
      <c r="O85" s="696" t="s">
        <v>1569</v>
      </c>
      <c r="P85" s="695">
        <f>'Malaria-Key Info'!$F$26*'HPM costs'!F415+'Malaria-Key Info'!$N$50*'HPM costs'!F424</f>
        <v>0</v>
      </c>
      <c r="Q85" s="695" t="s">
        <v>1569</v>
      </c>
      <c r="R85" s="695">
        <f>'Malaria-Key Info'!$F$26*'HPM costs'!G415+'Malaria-Key Info'!$N$50*'HPM costs'!G424</f>
        <v>0</v>
      </c>
      <c r="S85" s="695" t="s">
        <v>1569</v>
      </c>
      <c r="T85" s="695">
        <f>'Malaria-Key Info'!$F$26*'HPM costs'!H415+'Malaria-Key Info'!$N$50*'HPM costs'!H424</f>
        <v>0</v>
      </c>
      <c r="U85" s="695" t="s">
        <v>1569</v>
      </c>
      <c r="V85" s="695">
        <f>'Malaria-Key Info'!$F$26*'HPM costs'!I415+'Malaria-Key Info'!$N$50*'HPM costs'!I424</f>
        <v>0</v>
      </c>
      <c r="W85" s="695"/>
      <c r="X85" s="1492">
        <f t="shared" si="12"/>
        <v>0</v>
      </c>
      <c r="Y85" s="1493"/>
      <c r="Z85" s="1494"/>
      <c r="AA85" s="699"/>
      <c r="AB85" s="695"/>
      <c r="AC85" s="695">
        <f>'Malaria-Key Info'!$F$26*'HPM costs'!K415+'Malaria-Key Info'!$N$50*'HPM costs'!K424</f>
        <v>0</v>
      </c>
      <c r="AD85" s="695"/>
      <c r="AE85" s="695">
        <f>'Malaria-Key Info'!$F$26*'HPM costs'!L415+'Malaria-Key Info'!$N$50*'HPM costs'!L424</f>
        <v>0</v>
      </c>
      <c r="AF85" s="695"/>
      <c r="AG85" s="695">
        <f>'Malaria-Key Info'!$F$26*'HPM costs'!M415+'Malaria-Key Info'!$N$50*'HPM costs'!M424</f>
        <v>0</v>
      </c>
      <c r="AH85" s="695"/>
      <c r="AI85" s="695">
        <f>'Malaria-Key Info'!$F$26*'HPM costs'!N415+'Malaria-Key Info'!$N$50*'HPM costs'!N424</f>
        <v>0</v>
      </c>
      <c r="AJ85" s="695"/>
      <c r="AK85" s="1492">
        <f t="shared" si="13"/>
        <v>0</v>
      </c>
      <c r="AL85" s="1493"/>
      <c r="AM85" s="1494"/>
      <c r="AN85" s="699"/>
      <c r="AO85" s="695"/>
      <c r="AP85" s="695">
        <f>'Malaria-Key Info'!$F$26*'HPM costs'!P415+'Malaria-Key Info'!$N$50*'HPM costs'!P424</f>
        <v>0</v>
      </c>
      <c r="AQ85" s="695"/>
      <c r="AR85" s="695">
        <f>'Malaria-Key Info'!$F$26*'HPM costs'!Q415+'Malaria-Key Info'!$N$50*'HPM costs'!Q424</f>
        <v>0</v>
      </c>
      <c r="AS85" s="695"/>
      <c r="AT85" s="695">
        <f>'Malaria-Key Info'!$F$26*'HPM costs'!R415+'Malaria-Key Info'!$N$50*'HPM costs'!R424</f>
        <v>0</v>
      </c>
      <c r="AU85" s="695"/>
      <c r="AV85" s="695">
        <f>'Malaria-Key Info'!$F$26*'HPM costs'!S415+'Malaria-Key Info'!$N$50*'HPM costs'!S424</f>
        <v>0</v>
      </c>
      <c r="AW85" s="695"/>
      <c r="AX85" s="1492">
        <f t="shared" si="14"/>
        <v>0</v>
      </c>
      <c r="AY85" s="1492"/>
      <c r="AZ85" s="698"/>
      <c r="BA85" s="699"/>
      <c r="BB85" s="697"/>
      <c r="BC85" s="697">
        <v>0</v>
      </c>
      <c r="BD85" s="697">
        <v>0</v>
      </c>
      <c r="BE85" s="697">
        <v>0</v>
      </c>
      <c r="BF85" s="697">
        <v>0</v>
      </c>
      <c r="BG85" s="697">
        <v>0</v>
      </c>
      <c r="BH85" s="697">
        <v>0</v>
      </c>
      <c r="BI85" s="697">
        <v>0</v>
      </c>
      <c r="BJ85" s="697">
        <v>0</v>
      </c>
      <c r="BK85" s="1492">
        <f t="shared" si="15"/>
        <v>0</v>
      </c>
      <c r="BL85" s="1492"/>
      <c r="BM85" s="1492">
        <f t="shared" si="16"/>
        <v>0</v>
      </c>
      <c r="BN85" s="1492">
        <f t="shared" si="17"/>
        <v>0</v>
      </c>
      <c r="BO85" s="697"/>
      <c r="BP85" s="697"/>
      <c r="BQ85" s="1495">
        <v>0</v>
      </c>
      <c r="BR85" s="1495" t="s">
        <v>19</v>
      </c>
      <c r="BS85" s="1495" t="s">
        <v>655</v>
      </c>
      <c r="BT85" s="691" t="s">
        <v>1781</v>
      </c>
    </row>
    <row r="86" spans="1:72" s="681" customFormat="1" ht="13" hidden="1">
      <c r="A86" s="1545">
        <v>97</v>
      </c>
      <c r="B86" s="1546" t="s">
        <v>726</v>
      </c>
      <c r="C86" s="1546" t="s">
        <v>737</v>
      </c>
      <c r="D86" s="1547" t="s">
        <v>655</v>
      </c>
      <c r="E86" s="690" t="s">
        <v>662</v>
      </c>
      <c r="F86" s="691"/>
      <c r="G86" s="692"/>
      <c r="H86" s="692"/>
      <c r="I86" s="692"/>
      <c r="J86" s="693"/>
      <c r="K86" s="693"/>
      <c r="L86" s="693"/>
      <c r="M86" s="694"/>
      <c r="N86" s="695"/>
      <c r="O86" s="696" t="s">
        <v>1569</v>
      </c>
      <c r="P86" s="695">
        <f>'Malaria-Key Info'!$F$26*'HPM costs'!F501+'Malaria-Key Info'!$N$50*'HPM costs'!F510</f>
        <v>0</v>
      </c>
      <c r="Q86" s="695" t="s">
        <v>1569</v>
      </c>
      <c r="R86" s="695">
        <f>'Malaria-Key Info'!$F$26*'HPM costs'!G501+'Malaria-Key Info'!$N$50*'HPM costs'!G510</f>
        <v>0</v>
      </c>
      <c r="S86" s="695" t="s">
        <v>1569</v>
      </c>
      <c r="T86" s="695">
        <f>'Malaria-Key Info'!$F$26*'HPM costs'!H501+'Malaria-Key Info'!$N$50*'HPM costs'!H510</f>
        <v>0</v>
      </c>
      <c r="U86" s="695" t="s">
        <v>1569</v>
      </c>
      <c r="V86" s="695">
        <f>'Malaria-Key Info'!$F$26*'HPM costs'!I501+'Malaria-Key Info'!$N$50*'HPM costs'!I510</f>
        <v>0</v>
      </c>
      <c r="W86" s="695"/>
      <c r="X86" s="1492">
        <f t="shared" si="12"/>
        <v>0</v>
      </c>
      <c r="Y86" s="1493"/>
      <c r="Z86" s="1494"/>
      <c r="AA86" s="699"/>
      <c r="AB86" s="695"/>
      <c r="AC86" s="695">
        <f>'Malaria-Key Info'!$F$26*'HPM costs'!K501+'Malaria-Key Info'!$N$50*'HPM costs'!K510</f>
        <v>0</v>
      </c>
      <c r="AD86" s="695"/>
      <c r="AE86" s="695">
        <f>'Malaria-Key Info'!$F$26*'HPM costs'!L501+'Malaria-Key Info'!$N$50*'HPM costs'!L510</f>
        <v>0</v>
      </c>
      <c r="AF86" s="695"/>
      <c r="AG86" s="695">
        <f>'Malaria-Key Info'!$F$26*'HPM costs'!M501+'Malaria-Key Info'!$N$50*'HPM costs'!M510</f>
        <v>0</v>
      </c>
      <c r="AH86" s="695"/>
      <c r="AI86" s="695">
        <f>'Malaria-Key Info'!$F$26*'HPM costs'!N501+'Malaria-Key Info'!$N$50*'HPM costs'!N510</f>
        <v>0</v>
      </c>
      <c r="AJ86" s="695"/>
      <c r="AK86" s="1492">
        <f t="shared" si="13"/>
        <v>0</v>
      </c>
      <c r="AL86" s="1493"/>
      <c r="AM86" s="1494"/>
      <c r="AN86" s="699"/>
      <c r="AO86" s="695"/>
      <c r="AP86" s="695">
        <f>'Malaria-Key Info'!$F$26*'HPM costs'!P501+'Malaria-Key Info'!$N$50*'HPM costs'!P510</f>
        <v>0</v>
      </c>
      <c r="AQ86" s="695"/>
      <c r="AR86" s="695">
        <f>'Malaria-Key Info'!$F$26*'HPM costs'!Q501+'Malaria-Key Info'!$N$50*'HPM costs'!Q510</f>
        <v>0</v>
      </c>
      <c r="AS86" s="695"/>
      <c r="AT86" s="695">
        <f>'Malaria-Key Info'!$F$26*'HPM costs'!R501+'Malaria-Key Info'!$N$50*'HPM costs'!R510</f>
        <v>0</v>
      </c>
      <c r="AU86" s="695"/>
      <c r="AV86" s="695">
        <f>'Malaria-Key Info'!$F$26*'HPM costs'!S501+'Malaria-Key Info'!$N$50*'HPM costs'!S510</f>
        <v>0</v>
      </c>
      <c r="AW86" s="695"/>
      <c r="AX86" s="1492">
        <f t="shared" si="14"/>
        <v>0</v>
      </c>
      <c r="AY86" s="1492"/>
      <c r="AZ86" s="698"/>
      <c r="BA86" s="699"/>
      <c r="BB86" s="697"/>
      <c r="BC86" s="697">
        <v>0</v>
      </c>
      <c r="BD86" s="697">
        <v>0</v>
      </c>
      <c r="BE86" s="697">
        <v>0</v>
      </c>
      <c r="BF86" s="697">
        <v>0</v>
      </c>
      <c r="BG86" s="697">
        <v>0</v>
      </c>
      <c r="BH86" s="697">
        <v>0</v>
      </c>
      <c r="BI86" s="697">
        <v>0</v>
      </c>
      <c r="BJ86" s="697">
        <v>0</v>
      </c>
      <c r="BK86" s="1492">
        <f t="shared" si="15"/>
        <v>0</v>
      </c>
      <c r="BL86" s="1492"/>
      <c r="BM86" s="1492">
        <f t="shared" si="16"/>
        <v>0</v>
      </c>
      <c r="BN86" s="1492">
        <f t="shared" si="17"/>
        <v>0</v>
      </c>
      <c r="BO86" s="697"/>
      <c r="BP86" s="697"/>
      <c r="BQ86" s="1495">
        <v>0</v>
      </c>
      <c r="BR86" s="1495" t="s">
        <v>19</v>
      </c>
      <c r="BS86" s="1495" t="s">
        <v>655</v>
      </c>
      <c r="BT86" s="691" t="s">
        <v>1782</v>
      </c>
    </row>
    <row r="87" spans="1:72" s="681" customFormat="1" ht="13" hidden="1">
      <c r="A87" s="1545">
        <v>98</v>
      </c>
      <c r="B87" s="1546" t="s">
        <v>726</v>
      </c>
      <c r="C87" s="1546" t="s">
        <v>737</v>
      </c>
      <c r="D87" s="1547" t="s">
        <v>655</v>
      </c>
      <c r="E87" s="690" t="s">
        <v>664</v>
      </c>
      <c r="F87" s="691"/>
      <c r="G87" s="692"/>
      <c r="H87" s="692"/>
      <c r="I87" s="692"/>
      <c r="J87" s="693"/>
      <c r="K87" s="693"/>
      <c r="L87" s="693"/>
      <c r="M87" s="694"/>
      <c r="N87" s="695"/>
      <c r="O87" s="696" t="s">
        <v>1569</v>
      </c>
      <c r="P87" s="695">
        <f>'Malaria-Key Info'!$F$26*('HPM costs'!F241+'HPM costs'!F587)+'Malaria-Key Info'!$N$50*('HPM costs'!F250+'HPM costs'!F596)</f>
        <v>0</v>
      </c>
      <c r="Q87" s="695" t="s">
        <v>1569</v>
      </c>
      <c r="R87" s="695">
        <f>'Malaria-Key Info'!$F$26*('HPM costs'!G241+'HPM costs'!G587)+'Malaria-Key Info'!$N$50*('HPM costs'!G250+'HPM costs'!G596)</f>
        <v>0</v>
      </c>
      <c r="S87" s="695" t="s">
        <v>1569</v>
      </c>
      <c r="T87" s="695">
        <f>'Malaria-Key Info'!$F$26*('HPM costs'!H241+'HPM costs'!H587)+'Malaria-Key Info'!$N$50*('HPM costs'!H250+'HPM costs'!H596)</f>
        <v>0</v>
      </c>
      <c r="U87" s="695" t="s">
        <v>1569</v>
      </c>
      <c r="V87" s="695">
        <f>'Malaria-Key Info'!$F$26*('HPM costs'!I241+'HPM costs'!I587)+'Malaria-Key Info'!$N$50*('HPM costs'!I250+'HPM costs'!I596)</f>
        <v>0</v>
      </c>
      <c r="W87" s="695"/>
      <c r="X87" s="1492">
        <f t="shared" si="12"/>
        <v>0</v>
      </c>
      <c r="Y87" s="1493"/>
      <c r="Z87" s="1494"/>
      <c r="AA87" s="699"/>
      <c r="AB87" s="695"/>
      <c r="AC87" s="695">
        <f>'Malaria-Key Info'!$F$26*('HPM costs'!K241+'HPM costs'!K587)+'Malaria-Key Info'!$N$50*('HPM costs'!K250+'HPM costs'!K596)</f>
        <v>0</v>
      </c>
      <c r="AD87" s="695"/>
      <c r="AE87" s="695">
        <f>'Malaria-Key Info'!$F$26*('HPM costs'!L241+'HPM costs'!L587)+'Malaria-Key Info'!$N$50*('HPM costs'!L250+'HPM costs'!L596)</f>
        <v>0</v>
      </c>
      <c r="AF87" s="695"/>
      <c r="AG87" s="695">
        <f>'Malaria-Key Info'!$F$26*('HPM costs'!M241+'HPM costs'!M587)+'Malaria-Key Info'!$N$50*('HPM costs'!M250+'HPM costs'!M596)</f>
        <v>0</v>
      </c>
      <c r="AH87" s="695"/>
      <c r="AI87" s="695">
        <f>'Malaria-Key Info'!$F$26*('HPM costs'!N241+'HPM costs'!N587)+'Malaria-Key Info'!$N$50*('HPM costs'!N250+'HPM costs'!N596)</f>
        <v>0</v>
      </c>
      <c r="AJ87" s="695"/>
      <c r="AK87" s="1492">
        <f t="shared" si="13"/>
        <v>0</v>
      </c>
      <c r="AL87" s="1493"/>
      <c r="AM87" s="1494"/>
      <c r="AN87" s="699"/>
      <c r="AO87" s="695"/>
      <c r="AP87" s="695">
        <f>'Malaria-Key Info'!$F$26*('HPM costs'!P241+'HPM costs'!P587)+'Malaria-Key Info'!$N$50*('HPM costs'!P250+'HPM costs'!P596)</f>
        <v>0</v>
      </c>
      <c r="AQ87" s="695"/>
      <c r="AR87" s="695">
        <f>'Malaria-Key Info'!$F$26*('HPM costs'!Q241+'HPM costs'!Q587)+'Malaria-Key Info'!$N$50*('HPM costs'!Q250+'HPM costs'!Q596)</f>
        <v>0</v>
      </c>
      <c r="AS87" s="695"/>
      <c r="AT87" s="695">
        <f>'Malaria-Key Info'!$F$26*('HPM costs'!R241+'HPM costs'!R587)+'Malaria-Key Info'!$N$50*('HPM costs'!R250+'HPM costs'!R596)</f>
        <v>0</v>
      </c>
      <c r="AU87" s="695"/>
      <c r="AV87" s="695">
        <f>'Malaria-Key Info'!$F$26*('HPM costs'!S241+'HPM costs'!S587)+'Malaria-Key Info'!$N$50*('HPM costs'!S250+'HPM costs'!S596)</f>
        <v>0</v>
      </c>
      <c r="AW87" s="695"/>
      <c r="AX87" s="1492">
        <f t="shared" si="14"/>
        <v>0</v>
      </c>
      <c r="AY87" s="1492"/>
      <c r="AZ87" s="698"/>
      <c r="BA87" s="699"/>
      <c r="BB87" s="697"/>
      <c r="BC87" s="697">
        <v>0</v>
      </c>
      <c r="BD87" s="697">
        <v>0</v>
      </c>
      <c r="BE87" s="697">
        <v>0</v>
      </c>
      <c r="BF87" s="697">
        <v>0</v>
      </c>
      <c r="BG87" s="697">
        <v>0</v>
      </c>
      <c r="BH87" s="697">
        <v>0</v>
      </c>
      <c r="BI87" s="697">
        <v>0</v>
      </c>
      <c r="BJ87" s="697">
        <v>0</v>
      </c>
      <c r="BK87" s="1492">
        <f t="shared" si="15"/>
        <v>0</v>
      </c>
      <c r="BL87" s="1492"/>
      <c r="BM87" s="1492">
        <f t="shared" si="16"/>
        <v>0</v>
      </c>
      <c r="BN87" s="1492">
        <f t="shared" si="17"/>
        <v>0</v>
      </c>
      <c r="BO87" s="697"/>
      <c r="BP87" s="697"/>
      <c r="BQ87" s="1495">
        <v>0</v>
      </c>
      <c r="BR87" s="1495" t="s">
        <v>19</v>
      </c>
      <c r="BS87" s="1495" t="s">
        <v>655</v>
      </c>
      <c r="BT87" s="691" t="s">
        <v>1785</v>
      </c>
    </row>
    <row r="88" spans="1:72" s="681" customFormat="1" ht="13" hidden="1">
      <c r="A88" s="1545">
        <v>99</v>
      </c>
      <c r="B88" s="1546" t="s">
        <v>726</v>
      </c>
      <c r="C88" s="1546" t="s">
        <v>737</v>
      </c>
      <c r="D88" s="1547" t="s">
        <v>655</v>
      </c>
      <c r="E88" s="690" t="s">
        <v>666</v>
      </c>
      <c r="F88" s="691"/>
      <c r="G88" s="692"/>
      <c r="H88" s="692"/>
      <c r="I88" s="692"/>
      <c r="J88" s="693"/>
      <c r="K88" s="693"/>
      <c r="L88" s="693"/>
      <c r="M88" s="694" t="e">
        <f>X88/W88</f>
        <v>#DIV/0!</v>
      </c>
      <c r="N88" s="695"/>
      <c r="O88" s="696" t="s">
        <v>1569</v>
      </c>
      <c r="P88" s="695">
        <f>'Malaria-Key Info'!$F$26*'HPM costs'!F327+'Malaria-Key Info'!$N$50*'HPM costs'!F336</f>
        <v>0</v>
      </c>
      <c r="Q88" s="695" t="s">
        <v>1569</v>
      </c>
      <c r="R88" s="695">
        <f>'Malaria-Key Info'!$F$26*'HPM costs'!G327+'Malaria-Key Info'!$N$50*'HPM costs'!G336</f>
        <v>0</v>
      </c>
      <c r="S88" s="695" t="s">
        <v>1569</v>
      </c>
      <c r="T88" s="695">
        <f>'Malaria-Key Info'!$F$26*'HPM costs'!H327+'Malaria-Key Info'!$N$50*'HPM costs'!H336</f>
        <v>0</v>
      </c>
      <c r="U88" s="695" t="s">
        <v>1569</v>
      </c>
      <c r="V88" s="695">
        <f>'Malaria-Key Info'!$F$26*'HPM costs'!I327+'Malaria-Key Info'!$N$50*'HPM costs'!I336</f>
        <v>0</v>
      </c>
      <c r="W88" s="695"/>
      <c r="X88" s="1492">
        <f t="shared" si="12"/>
        <v>0</v>
      </c>
      <c r="Y88" s="1493"/>
      <c r="Z88" s="1494"/>
      <c r="AA88" s="699"/>
      <c r="AB88" s="695"/>
      <c r="AC88" s="695">
        <f>'Malaria-Key Info'!$F$26*'HPM costs'!K327+'Malaria-Key Info'!$N$50*'HPM costs'!K336</f>
        <v>0</v>
      </c>
      <c r="AD88" s="695"/>
      <c r="AE88" s="695">
        <f>'Malaria-Key Info'!$F$26*'HPM costs'!L327+'Malaria-Key Info'!$N$50*'HPM costs'!L336</f>
        <v>0</v>
      </c>
      <c r="AF88" s="695"/>
      <c r="AG88" s="695">
        <f>'Malaria-Key Info'!$F$26*'HPM costs'!M327+'Malaria-Key Info'!$N$50*'HPM costs'!M336</f>
        <v>0</v>
      </c>
      <c r="AH88" s="695"/>
      <c r="AI88" s="695">
        <f>'Malaria-Key Info'!$F$26*'HPM costs'!N327+'Malaria-Key Info'!$N$50*'HPM costs'!N336</f>
        <v>0</v>
      </c>
      <c r="AJ88" s="695"/>
      <c r="AK88" s="1492">
        <f t="shared" si="13"/>
        <v>0</v>
      </c>
      <c r="AL88" s="1493"/>
      <c r="AM88" s="1494"/>
      <c r="AN88" s="699"/>
      <c r="AO88" s="695"/>
      <c r="AP88" s="695">
        <f>'Malaria-Key Info'!$F$26*'HPM costs'!P327+'Malaria-Key Info'!$N$50*'HPM costs'!P336</f>
        <v>0</v>
      </c>
      <c r="AQ88" s="695"/>
      <c r="AR88" s="695">
        <f>'Malaria-Key Info'!$F$26*'HPM costs'!Q327+'Malaria-Key Info'!$N$50*'HPM costs'!Q336</f>
        <v>0</v>
      </c>
      <c r="AS88" s="695"/>
      <c r="AT88" s="695">
        <f>'Malaria-Key Info'!$F$26*'HPM costs'!R327+'Malaria-Key Info'!$N$50*'HPM costs'!R336</f>
        <v>0</v>
      </c>
      <c r="AU88" s="695"/>
      <c r="AV88" s="695">
        <f>'Malaria-Key Info'!$F$26*'HPM costs'!S327+'Malaria-Key Info'!$N$50*'HPM costs'!S336</f>
        <v>0</v>
      </c>
      <c r="AW88" s="695"/>
      <c r="AX88" s="1492">
        <f t="shared" si="14"/>
        <v>0</v>
      </c>
      <c r="AY88" s="1492"/>
      <c r="AZ88" s="698"/>
      <c r="BA88" s="699"/>
      <c r="BB88" s="697"/>
      <c r="BC88" s="697">
        <v>0</v>
      </c>
      <c r="BD88" s="697">
        <v>0</v>
      </c>
      <c r="BE88" s="697">
        <v>0</v>
      </c>
      <c r="BF88" s="697">
        <v>0</v>
      </c>
      <c r="BG88" s="697">
        <v>0</v>
      </c>
      <c r="BH88" s="697">
        <v>0</v>
      </c>
      <c r="BI88" s="697">
        <v>0</v>
      </c>
      <c r="BJ88" s="697">
        <v>0</v>
      </c>
      <c r="BK88" s="1492">
        <f t="shared" si="15"/>
        <v>0</v>
      </c>
      <c r="BL88" s="1492"/>
      <c r="BM88" s="1492">
        <f t="shared" si="16"/>
        <v>0</v>
      </c>
      <c r="BN88" s="1492">
        <f t="shared" si="17"/>
        <v>0</v>
      </c>
      <c r="BO88" s="697"/>
      <c r="BP88" s="697"/>
      <c r="BQ88" s="1495">
        <v>0</v>
      </c>
      <c r="BR88" s="1495" t="s">
        <v>19</v>
      </c>
      <c r="BS88" s="1495" t="s">
        <v>655</v>
      </c>
      <c r="BT88" s="691" t="s">
        <v>1783</v>
      </c>
    </row>
    <row r="89" spans="1:72" s="681" customFormat="1" ht="13" hidden="1">
      <c r="A89" s="1545">
        <v>100</v>
      </c>
      <c r="B89" s="1546" t="s">
        <v>726</v>
      </c>
      <c r="C89" s="1546" t="s">
        <v>737</v>
      </c>
      <c r="D89" s="1547" t="s">
        <v>655</v>
      </c>
      <c r="E89" s="690" t="s">
        <v>668</v>
      </c>
      <c r="F89" s="691"/>
      <c r="G89" s="692"/>
      <c r="H89" s="692"/>
      <c r="I89" s="692"/>
      <c r="J89" s="693"/>
      <c r="K89" s="693"/>
      <c r="L89" s="693"/>
      <c r="M89" s="694" t="e">
        <f>X89/W89</f>
        <v>#DIV/0!</v>
      </c>
      <c r="N89" s="695"/>
      <c r="O89" s="696" t="s">
        <v>1569</v>
      </c>
      <c r="P89" s="695">
        <f>'Malaria-Key Info'!$F$26*'HPM costs'!F672+'Malaria-Key Info'!$N$50*'HPM costs'!F681</f>
        <v>0</v>
      </c>
      <c r="Q89" s="695" t="s">
        <v>1569</v>
      </c>
      <c r="R89" s="695">
        <f>'Malaria-Key Info'!$F$26*'HPM costs'!G672+'Malaria-Key Info'!$N$50*'HPM costs'!G681</f>
        <v>0</v>
      </c>
      <c r="S89" s="695" t="s">
        <v>1569</v>
      </c>
      <c r="T89" s="695">
        <f>'Malaria-Key Info'!$F$26*'HPM costs'!H672+'Malaria-Key Info'!$N$50*'HPM costs'!H681</f>
        <v>0</v>
      </c>
      <c r="U89" s="695" t="s">
        <v>1569</v>
      </c>
      <c r="V89" s="695">
        <f>'Malaria-Key Info'!$F$26*'HPM costs'!I672+'Malaria-Key Info'!$N$50*'HPM costs'!I681</f>
        <v>0</v>
      </c>
      <c r="W89" s="695"/>
      <c r="X89" s="1492">
        <f t="shared" si="12"/>
        <v>0</v>
      </c>
      <c r="Y89" s="1493"/>
      <c r="Z89" s="1494"/>
      <c r="AA89" s="699"/>
      <c r="AB89" s="695"/>
      <c r="AC89" s="695">
        <f>'Malaria-Key Info'!$F$26*'HPM costs'!K672+'Malaria-Key Info'!$N$50*'HPM costs'!K681</f>
        <v>0</v>
      </c>
      <c r="AD89" s="695"/>
      <c r="AE89" s="695">
        <f>'Malaria-Key Info'!$F$26*'HPM costs'!L672+'Malaria-Key Info'!$N$50*'HPM costs'!L681</f>
        <v>0</v>
      </c>
      <c r="AF89" s="695"/>
      <c r="AG89" s="695">
        <f>'Malaria-Key Info'!$F$26*'HPM costs'!M672+'Malaria-Key Info'!$N$50*'HPM costs'!M681</f>
        <v>0</v>
      </c>
      <c r="AH89" s="695"/>
      <c r="AI89" s="695">
        <f>'Malaria-Key Info'!$F$26*'HPM costs'!N672+'Malaria-Key Info'!$N$50*'HPM costs'!N681</f>
        <v>0</v>
      </c>
      <c r="AJ89" s="695"/>
      <c r="AK89" s="1492">
        <f t="shared" si="13"/>
        <v>0</v>
      </c>
      <c r="AL89" s="1493"/>
      <c r="AM89" s="1494"/>
      <c r="AN89" s="699"/>
      <c r="AO89" s="695"/>
      <c r="AP89" s="695">
        <f>'Malaria-Key Info'!$F$26*'HPM costs'!P672+'Malaria-Key Info'!$N$50*'HPM costs'!P681</f>
        <v>0</v>
      </c>
      <c r="AQ89" s="695"/>
      <c r="AR89" s="695">
        <f>'Malaria-Key Info'!$F$26*'HPM costs'!Q672+'Malaria-Key Info'!$N$50*'HPM costs'!Q681</f>
        <v>0</v>
      </c>
      <c r="AS89" s="695"/>
      <c r="AT89" s="695">
        <f>'Malaria-Key Info'!$F$26*'HPM costs'!R672+'Malaria-Key Info'!$N$50*'HPM costs'!R681</f>
        <v>0</v>
      </c>
      <c r="AU89" s="695"/>
      <c r="AV89" s="695">
        <f>'Malaria-Key Info'!$F$26*'HPM costs'!S672+'Malaria-Key Info'!$N$50*'HPM costs'!S681</f>
        <v>0</v>
      </c>
      <c r="AW89" s="695"/>
      <c r="AX89" s="1492">
        <f t="shared" si="14"/>
        <v>0</v>
      </c>
      <c r="AY89" s="1492"/>
      <c r="AZ89" s="698"/>
      <c r="BA89" s="699"/>
      <c r="BB89" s="697"/>
      <c r="BC89" s="697">
        <v>0</v>
      </c>
      <c r="BD89" s="697">
        <v>0</v>
      </c>
      <c r="BE89" s="697">
        <v>0</v>
      </c>
      <c r="BF89" s="697">
        <v>0</v>
      </c>
      <c r="BG89" s="697">
        <v>0</v>
      </c>
      <c r="BH89" s="697">
        <v>0</v>
      </c>
      <c r="BI89" s="697">
        <v>0</v>
      </c>
      <c r="BJ89" s="697">
        <v>0</v>
      </c>
      <c r="BK89" s="1492">
        <f t="shared" si="15"/>
        <v>0</v>
      </c>
      <c r="BL89" s="1492"/>
      <c r="BM89" s="1492">
        <f t="shared" si="16"/>
        <v>0</v>
      </c>
      <c r="BN89" s="1492">
        <f t="shared" si="17"/>
        <v>0</v>
      </c>
      <c r="BO89" s="697"/>
      <c r="BP89" s="697"/>
      <c r="BQ89" s="1495">
        <v>0</v>
      </c>
      <c r="BR89" s="1495" t="s">
        <v>19</v>
      </c>
      <c r="BS89" s="1495" t="s">
        <v>655</v>
      </c>
      <c r="BT89" s="691" t="s">
        <v>1784</v>
      </c>
    </row>
    <row r="90" spans="1:72" s="681" customFormat="1" ht="13" hidden="1">
      <c r="A90" s="1545">
        <v>125</v>
      </c>
      <c r="B90" s="1546" t="s">
        <v>740</v>
      </c>
      <c r="C90" s="1546" t="s">
        <v>741</v>
      </c>
      <c r="D90" s="1547" t="s">
        <v>6947</v>
      </c>
      <c r="E90" s="690" t="s">
        <v>728</v>
      </c>
      <c r="F90" s="691"/>
      <c r="G90" s="692"/>
      <c r="H90" s="692"/>
      <c r="I90" s="692"/>
      <c r="J90" s="693"/>
      <c r="K90" s="693"/>
      <c r="L90" s="693"/>
      <c r="M90" s="694" t="e">
        <f>X90/W90</f>
        <v>#DIV/0!</v>
      </c>
      <c r="N90" s="695" t="e">
        <f>IF(M90&lt;&gt;"",M90/VLOOKUP($K90,SETUP!$C$28:$D$42,2,0),"")</f>
        <v>#DIV/0!</v>
      </c>
      <c r="O90" s="696" t="s">
        <v>1569</v>
      </c>
      <c r="P90" s="695">
        <f>('Malaria-Key Info'!$F$35*'HPM costs'!F72)/'HPM costs'!$E$72</f>
        <v>0</v>
      </c>
      <c r="Q90" s="695" t="s">
        <v>1569</v>
      </c>
      <c r="R90" s="695">
        <f>('Malaria-Key Info'!$F$35*'HPM costs'!G72)/'HPM costs'!$E$72</f>
        <v>0</v>
      </c>
      <c r="S90" s="695" t="s">
        <v>1569</v>
      </c>
      <c r="T90" s="695">
        <f>('Malaria-Key Info'!$F$35*'HPM costs'!H72)/'HPM costs'!$E$72</f>
        <v>0</v>
      </c>
      <c r="U90" s="695" t="s">
        <v>1569</v>
      </c>
      <c r="V90" s="695">
        <f>('Malaria-Key Info'!$F$35*'HPM costs'!I72)/'HPM costs'!$E$72</f>
        <v>0</v>
      </c>
      <c r="W90" s="695"/>
      <c r="X90" s="1492">
        <f t="shared" si="12"/>
        <v>0</v>
      </c>
      <c r="Y90" s="1493"/>
      <c r="Z90" s="1494"/>
      <c r="AA90" s="699"/>
      <c r="AB90" s="695"/>
      <c r="AC90" s="695">
        <f>('Malaria-Key Info'!$F$35*'HPM costs'!K72)/'HPM costs'!$E$72</f>
        <v>0</v>
      </c>
      <c r="AD90" s="695"/>
      <c r="AE90" s="695">
        <f>('Malaria-Key Info'!$F$35*'HPM costs'!L72)/'HPM costs'!$E$72</f>
        <v>0</v>
      </c>
      <c r="AF90" s="695"/>
      <c r="AG90" s="695">
        <f>('Malaria-Key Info'!$F$35*'HPM costs'!M72)/'HPM costs'!$E$72</f>
        <v>0</v>
      </c>
      <c r="AH90" s="695"/>
      <c r="AI90" s="695">
        <f>('Malaria-Key Info'!$F$35*'HPM costs'!N72)/'HPM costs'!$E$72</f>
        <v>0</v>
      </c>
      <c r="AJ90" s="695"/>
      <c r="AK90" s="1492">
        <f t="shared" si="13"/>
        <v>0</v>
      </c>
      <c r="AL90" s="1493"/>
      <c r="AM90" s="1494"/>
      <c r="AN90" s="699"/>
      <c r="AO90" s="695"/>
      <c r="AP90" s="695">
        <f>('Malaria-Key Info'!$F$35*'HPM costs'!P72)/'HPM costs'!$E$72</f>
        <v>0</v>
      </c>
      <c r="AQ90" s="695"/>
      <c r="AR90" s="695">
        <f>('Malaria-Key Info'!$F$35*'HPM costs'!Q72)/'HPM costs'!$E$72</f>
        <v>0</v>
      </c>
      <c r="AS90" s="695"/>
      <c r="AT90" s="695">
        <f>('Malaria-Key Info'!$F$35*'HPM costs'!R72)/'HPM costs'!$E$72</f>
        <v>0</v>
      </c>
      <c r="AU90" s="695"/>
      <c r="AV90" s="695">
        <f>('Malaria-Key Info'!$F$35*'HPM costs'!S72)/'HPM costs'!$E$72</f>
        <v>0</v>
      </c>
      <c r="AW90" s="695"/>
      <c r="AX90" s="1492">
        <f t="shared" si="14"/>
        <v>0</v>
      </c>
      <c r="AY90" s="1492"/>
      <c r="AZ90" s="698"/>
      <c r="BA90" s="699"/>
      <c r="BB90" s="697"/>
      <c r="BC90" s="697">
        <v>0</v>
      </c>
      <c r="BD90" s="697">
        <v>0</v>
      </c>
      <c r="BE90" s="697">
        <v>0</v>
      </c>
      <c r="BF90" s="697">
        <v>0</v>
      </c>
      <c r="BG90" s="697">
        <v>0</v>
      </c>
      <c r="BH90" s="697">
        <v>0</v>
      </c>
      <c r="BI90" s="697">
        <v>0</v>
      </c>
      <c r="BJ90" s="697">
        <v>0</v>
      </c>
      <c r="BK90" s="1492">
        <f t="shared" si="15"/>
        <v>0</v>
      </c>
      <c r="BL90" s="1492"/>
      <c r="BM90" s="1492">
        <f t="shared" si="16"/>
        <v>0</v>
      </c>
      <c r="BN90" s="1492">
        <f t="shared" si="17"/>
        <v>0</v>
      </c>
      <c r="BO90" s="697"/>
      <c r="BP90" s="697"/>
      <c r="BQ90" s="1495">
        <v>0</v>
      </c>
      <c r="BR90" s="1495" t="s">
        <v>19</v>
      </c>
      <c r="BS90" s="1495" t="s">
        <v>6947</v>
      </c>
      <c r="BT90" s="691" t="s">
        <v>742</v>
      </c>
    </row>
    <row r="91" spans="1:72" s="681" customFormat="1" ht="13" hidden="1">
      <c r="A91" s="1545">
        <v>126</v>
      </c>
      <c r="B91" s="1546" t="s">
        <v>740</v>
      </c>
      <c r="C91" s="1546" t="s">
        <v>741</v>
      </c>
      <c r="D91" s="1547" t="s">
        <v>655</v>
      </c>
      <c r="E91" s="690" t="s">
        <v>656</v>
      </c>
      <c r="F91" s="691"/>
      <c r="G91" s="692">
        <f>SETUP!$E$3</f>
        <v>0</v>
      </c>
      <c r="H91" s="692"/>
      <c r="I91" s="692"/>
      <c r="J91" s="693"/>
      <c r="K91" s="693"/>
      <c r="L91" s="693"/>
      <c r="M91" s="694"/>
      <c r="N91" s="695"/>
      <c r="O91" s="696" t="s">
        <v>1569</v>
      </c>
      <c r="P91" s="695">
        <f>'Malaria-Key Info'!$F$35*'HPM costs'!F72</f>
        <v>0</v>
      </c>
      <c r="Q91" s="695" t="s">
        <v>1569</v>
      </c>
      <c r="R91" s="695">
        <f>'Malaria-Key Info'!$F$35*'HPM costs'!G72</f>
        <v>0</v>
      </c>
      <c r="S91" s="695" t="s">
        <v>1569</v>
      </c>
      <c r="T91" s="695">
        <f>'Malaria-Key Info'!$F$35*'HPM costs'!H72</f>
        <v>0</v>
      </c>
      <c r="U91" s="695" t="s">
        <v>1569</v>
      </c>
      <c r="V91" s="695">
        <f>'Malaria-Key Info'!$F$35*'HPM costs'!I72</f>
        <v>0</v>
      </c>
      <c r="W91" s="695"/>
      <c r="X91" s="1492">
        <f t="shared" si="12"/>
        <v>0</v>
      </c>
      <c r="Y91" s="1493"/>
      <c r="Z91" s="1494"/>
      <c r="AA91" s="699"/>
      <c r="AB91" s="695"/>
      <c r="AC91" s="695">
        <f>'Malaria-Key Info'!$F$35*'HPM costs'!K72</f>
        <v>0</v>
      </c>
      <c r="AD91" s="695"/>
      <c r="AE91" s="695">
        <f>'Malaria-Key Info'!$F$35*'HPM costs'!L72</f>
        <v>0</v>
      </c>
      <c r="AF91" s="695"/>
      <c r="AG91" s="695">
        <f>'Malaria-Key Info'!$F$35*'HPM costs'!M72</f>
        <v>0</v>
      </c>
      <c r="AH91" s="695"/>
      <c r="AI91" s="695">
        <f>'Malaria-Key Info'!$F$35*'HPM costs'!N72</f>
        <v>0</v>
      </c>
      <c r="AJ91" s="695"/>
      <c r="AK91" s="1492">
        <f t="shared" si="13"/>
        <v>0</v>
      </c>
      <c r="AL91" s="1493"/>
      <c r="AM91" s="1494"/>
      <c r="AN91" s="699"/>
      <c r="AO91" s="695"/>
      <c r="AP91" s="695">
        <f>'Malaria-Key Info'!$F$35*'HPM costs'!P72</f>
        <v>0</v>
      </c>
      <c r="AQ91" s="695"/>
      <c r="AR91" s="695">
        <f>'Malaria-Key Info'!$F$35*'HPM costs'!Q72</f>
        <v>0</v>
      </c>
      <c r="AS91" s="695"/>
      <c r="AT91" s="695">
        <f>'Malaria-Key Info'!$F$35*'HPM costs'!R72</f>
        <v>0</v>
      </c>
      <c r="AU91" s="695"/>
      <c r="AV91" s="695">
        <f>'Malaria-Key Info'!$F$35*'HPM costs'!S72</f>
        <v>0</v>
      </c>
      <c r="AW91" s="695"/>
      <c r="AX91" s="1492">
        <f t="shared" si="14"/>
        <v>0</v>
      </c>
      <c r="AY91" s="1492"/>
      <c r="AZ91" s="698"/>
      <c r="BA91" s="699"/>
      <c r="BB91" s="697"/>
      <c r="BC91" s="697">
        <v>0</v>
      </c>
      <c r="BD91" s="697">
        <v>0</v>
      </c>
      <c r="BE91" s="697">
        <v>0</v>
      </c>
      <c r="BF91" s="697">
        <v>0</v>
      </c>
      <c r="BG91" s="697">
        <v>0</v>
      </c>
      <c r="BH91" s="697">
        <v>0</v>
      </c>
      <c r="BI91" s="697">
        <v>0</v>
      </c>
      <c r="BJ91" s="697">
        <v>0</v>
      </c>
      <c r="BK91" s="1492">
        <f t="shared" si="15"/>
        <v>0</v>
      </c>
      <c r="BL91" s="1492"/>
      <c r="BM91" s="1492">
        <f t="shared" si="16"/>
        <v>0</v>
      </c>
      <c r="BN91" s="1492">
        <f t="shared" si="17"/>
        <v>0</v>
      </c>
      <c r="BO91" s="697"/>
      <c r="BP91" s="697"/>
      <c r="BQ91" s="1495">
        <v>0</v>
      </c>
      <c r="BR91" s="1495" t="s">
        <v>19</v>
      </c>
      <c r="BS91" s="1495" t="s">
        <v>655</v>
      </c>
      <c r="BT91" s="691" t="s">
        <v>743</v>
      </c>
    </row>
    <row r="92" spans="1:72" s="681" customFormat="1" ht="13" hidden="1">
      <c r="A92" s="1545">
        <v>127</v>
      </c>
      <c r="B92" s="1546" t="s">
        <v>740</v>
      </c>
      <c r="C92" s="1546" t="s">
        <v>741</v>
      </c>
      <c r="D92" s="1547" t="s">
        <v>655</v>
      </c>
      <c r="E92" s="690" t="s">
        <v>658</v>
      </c>
      <c r="F92" s="691"/>
      <c r="G92" s="692"/>
      <c r="H92" s="692"/>
      <c r="I92" s="692"/>
      <c r="J92" s="693"/>
      <c r="K92" s="693"/>
      <c r="L92" s="693"/>
      <c r="M92" s="694"/>
      <c r="N92" s="695"/>
      <c r="O92" s="696" t="s">
        <v>1569</v>
      </c>
      <c r="P92" s="695">
        <f>'Malaria-Key Info'!$F$35*'HPM costs'!F158</f>
        <v>0</v>
      </c>
      <c r="Q92" s="695" t="s">
        <v>1569</v>
      </c>
      <c r="R92" s="695">
        <f>'Malaria-Key Info'!$F$35*'HPM costs'!G158</f>
        <v>0</v>
      </c>
      <c r="S92" s="695" t="s">
        <v>1569</v>
      </c>
      <c r="T92" s="695">
        <f>'Malaria-Key Info'!$F$35*'HPM costs'!H158</f>
        <v>0</v>
      </c>
      <c r="U92" s="695" t="s">
        <v>1569</v>
      </c>
      <c r="V92" s="695">
        <f>'Malaria-Key Info'!$F$35*'HPM costs'!I158</f>
        <v>0</v>
      </c>
      <c r="W92" s="695"/>
      <c r="X92" s="1492">
        <f t="shared" si="12"/>
        <v>0</v>
      </c>
      <c r="Y92" s="1493"/>
      <c r="Z92" s="1494"/>
      <c r="AA92" s="699"/>
      <c r="AB92" s="695"/>
      <c r="AC92" s="695">
        <f>'Malaria-Key Info'!$F$35*'HPM costs'!K158</f>
        <v>0</v>
      </c>
      <c r="AD92" s="695"/>
      <c r="AE92" s="695">
        <f>'Malaria-Key Info'!$F$35*'HPM costs'!L158</f>
        <v>0</v>
      </c>
      <c r="AF92" s="695"/>
      <c r="AG92" s="695">
        <f>'Malaria-Key Info'!$F$35*'HPM costs'!M158</f>
        <v>0</v>
      </c>
      <c r="AH92" s="695"/>
      <c r="AI92" s="695">
        <f>'Malaria-Key Info'!$F$35*'HPM costs'!N158</f>
        <v>0</v>
      </c>
      <c r="AJ92" s="695"/>
      <c r="AK92" s="1492">
        <f t="shared" si="13"/>
        <v>0</v>
      </c>
      <c r="AL92" s="1493"/>
      <c r="AM92" s="1494"/>
      <c r="AN92" s="699"/>
      <c r="AO92" s="695"/>
      <c r="AP92" s="695">
        <f>'Malaria-Key Info'!$F$35*'HPM costs'!P158</f>
        <v>0</v>
      </c>
      <c r="AQ92" s="695"/>
      <c r="AR92" s="695">
        <f>'Malaria-Key Info'!$F$35*'HPM costs'!Q158</f>
        <v>0</v>
      </c>
      <c r="AS92" s="695"/>
      <c r="AT92" s="695">
        <f>'Malaria-Key Info'!$F$35*'HPM costs'!R158</f>
        <v>0</v>
      </c>
      <c r="AU92" s="695"/>
      <c r="AV92" s="695">
        <f>'Malaria-Key Info'!$F$35*'HPM costs'!S158</f>
        <v>0</v>
      </c>
      <c r="AW92" s="695"/>
      <c r="AX92" s="1492">
        <f t="shared" si="14"/>
        <v>0</v>
      </c>
      <c r="AY92" s="1492"/>
      <c r="AZ92" s="698"/>
      <c r="BA92" s="699"/>
      <c r="BB92" s="697"/>
      <c r="BC92" s="697">
        <v>0</v>
      </c>
      <c r="BD92" s="697">
        <v>0</v>
      </c>
      <c r="BE92" s="697">
        <v>0</v>
      </c>
      <c r="BF92" s="697">
        <v>0</v>
      </c>
      <c r="BG92" s="697">
        <v>0</v>
      </c>
      <c r="BH92" s="697">
        <v>0</v>
      </c>
      <c r="BI92" s="697">
        <v>0</v>
      </c>
      <c r="BJ92" s="697">
        <v>0</v>
      </c>
      <c r="BK92" s="1492">
        <f t="shared" si="15"/>
        <v>0</v>
      </c>
      <c r="BL92" s="1492"/>
      <c r="BM92" s="1492">
        <f t="shared" si="16"/>
        <v>0</v>
      </c>
      <c r="BN92" s="1492">
        <f t="shared" si="17"/>
        <v>0</v>
      </c>
      <c r="BO92" s="697"/>
      <c r="BP92" s="697"/>
      <c r="BQ92" s="1495">
        <v>0</v>
      </c>
      <c r="BR92" s="1495" t="s">
        <v>19</v>
      </c>
      <c r="BS92" s="1495" t="s">
        <v>655</v>
      </c>
      <c r="BT92" s="691" t="s">
        <v>744</v>
      </c>
    </row>
    <row r="93" spans="1:72" s="681" customFormat="1" ht="13" hidden="1">
      <c r="A93" s="1545">
        <v>128</v>
      </c>
      <c r="B93" s="1546" t="s">
        <v>740</v>
      </c>
      <c r="C93" s="1546" t="s">
        <v>741</v>
      </c>
      <c r="D93" s="1547" t="s">
        <v>655</v>
      </c>
      <c r="E93" s="690" t="s">
        <v>660</v>
      </c>
      <c r="F93" s="691"/>
      <c r="G93" s="692"/>
      <c r="H93" s="692"/>
      <c r="I93" s="692"/>
      <c r="J93" s="693"/>
      <c r="K93" s="693"/>
      <c r="L93" s="693"/>
      <c r="M93" s="694"/>
      <c r="N93" s="695"/>
      <c r="O93" s="696" t="s">
        <v>1569</v>
      </c>
      <c r="P93" s="695">
        <f>'Malaria-Key Info'!$F$35*'HPM costs'!F418</f>
        <v>0</v>
      </c>
      <c r="Q93" s="695" t="s">
        <v>1569</v>
      </c>
      <c r="R93" s="695">
        <f>'Malaria-Key Info'!$F$35*'HPM costs'!G418</f>
        <v>0</v>
      </c>
      <c r="S93" s="695" t="s">
        <v>1569</v>
      </c>
      <c r="T93" s="695">
        <f>'Malaria-Key Info'!$F$35*'HPM costs'!H418</f>
        <v>0</v>
      </c>
      <c r="U93" s="695" t="s">
        <v>1569</v>
      </c>
      <c r="V93" s="695">
        <f>'Malaria-Key Info'!$F$35*'HPM costs'!I418</f>
        <v>0</v>
      </c>
      <c r="W93" s="695"/>
      <c r="X93" s="1492">
        <f t="shared" si="12"/>
        <v>0</v>
      </c>
      <c r="Y93" s="1493"/>
      <c r="Z93" s="1494"/>
      <c r="AA93" s="699"/>
      <c r="AB93" s="695"/>
      <c r="AC93" s="695">
        <f>'Malaria-Key Info'!$F$35*'HPM costs'!K418</f>
        <v>0</v>
      </c>
      <c r="AD93" s="695"/>
      <c r="AE93" s="695">
        <f>'Malaria-Key Info'!$F$35*'HPM costs'!L418</f>
        <v>0</v>
      </c>
      <c r="AF93" s="695"/>
      <c r="AG93" s="695">
        <f>'Malaria-Key Info'!$F$35*'HPM costs'!M418</f>
        <v>0</v>
      </c>
      <c r="AH93" s="695"/>
      <c r="AI93" s="695">
        <f>'Malaria-Key Info'!$F$35*'HPM costs'!N418</f>
        <v>0</v>
      </c>
      <c r="AJ93" s="695"/>
      <c r="AK93" s="1492">
        <f t="shared" si="13"/>
        <v>0</v>
      </c>
      <c r="AL93" s="1493"/>
      <c r="AM93" s="1494"/>
      <c r="AN93" s="699"/>
      <c r="AO93" s="695"/>
      <c r="AP93" s="695">
        <f>'Malaria-Key Info'!$F$35*'HPM costs'!P418</f>
        <v>0</v>
      </c>
      <c r="AQ93" s="695"/>
      <c r="AR93" s="695">
        <f>'Malaria-Key Info'!$F$35*'HPM costs'!Q418</f>
        <v>0</v>
      </c>
      <c r="AS93" s="695"/>
      <c r="AT93" s="695">
        <f>'Malaria-Key Info'!$F$35*'HPM costs'!R418</f>
        <v>0</v>
      </c>
      <c r="AU93" s="695"/>
      <c r="AV93" s="695">
        <f>'Malaria-Key Info'!$F$35*'HPM costs'!S418</f>
        <v>0</v>
      </c>
      <c r="AW93" s="695"/>
      <c r="AX93" s="1492">
        <f t="shared" si="14"/>
        <v>0</v>
      </c>
      <c r="AY93" s="1492"/>
      <c r="AZ93" s="698"/>
      <c r="BA93" s="699"/>
      <c r="BB93" s="697"/>
      <c r="BC93" s="697">
        <v>0</v>
      </c>
      <c r="BD93" s="697">
        <v>0</v>
      </c>
      <c r="BE93" s="697">
        <v>0</v>
      </c>
      <c r="BF93" s="697">
        <v>0</v>
      </c>
      <c r="BG93" s="697">
        <v>0</v>
      </c>
      <c r="BH93" s="697">
        <v>0</v>
      </c>
      <c r="BI93" s="697">
        <v>0</v>
      </c>
      <c r="BJ93" s="697">
        <v>0</v>
      </c>
      <c r="BK93" s="1492">
        <f t="shared" si="15"/>
        <v>0</v>
      </c>
      <c r="BL93" s="1492"/>
      <c r="BM93" s="1492">
        <f t="shared" si="16"/>
        <v>0</v>
      </c>
      <c r="BN93" s="1492">
        <f t="shared" si="17"/>
        <v>0</v>
      </c>
      <c r="BO93" s="697"/>
      <c r="BP93" s="697"/>
      <c r="BQ93" s="1495">
        <v>0</v>
      </c>
      <c r="BR93" s="1495" t="s">
        <v>19</v>
      </c>
      <c r="BS93" s="1495" t="s">
        <v>655</v>
      </c>
      <c r="BT93" s="691" t="s">
        <v>745</v>
      </c>
    </row>
    <row r="94" spans="1:72" s="681" customFormat="1" ht="13" hidden="1">
      <c r="A94" s="1545">
        <v>129</v>
      </c>
      <c r="B94" s="1546" t="s">
        <v>740</v>
      </c>
      <c r="C94" s="1546" t="s">
        <v>741</v>
      </c>
      <c r="D94" s="1547" t="s">
        <v>655</v>
      </c>
      <c r="E94" s="690" t="s">
        <v>662</v>
      </c>
      <c r="F94" s="691"/>
      <c r="G94" s="692"/>
      <c r="H94" s="692"/>
      <c r="I94" s="692"/>
      <c r="J94" s="693"/>
      <c r="K94" s="693"/>
      <c r="L94" s="693"/>
      <c r="M94" s="694"/>
      <c r="N94" s="695"/>
      <c r="O94" s="696" t="s">
        <v>1569</v>
      </c>
      <c r="P94" s="695">
        <f>'Malaria-Key Info'!$F$35*'HPM costs'!F504</f>
        <v>0</v>
      </c>
      <c r="Q94" s="695" t="s">
        <v>1569</v>
      </c>
      <c r="R94" s="695">
        <f>'Malaria-Key Info'!$F$35*'HPM costs'!G504</f>
        <v>0</v>
      </c>
      <c r="S94" s="695" t="s">
        <v>1569</v>
      </c>
      <c r="T94" s="695">
        <f>'Malaria-Key Info'!$F$35*'HPM costs'!H504</f>
        <v>0</v>
      </c>
      <c r="U94" s="695" t="s">
        <v>1569</v>
      </c>
      <c r="V94" s="695">
        <f>'Malaria-Key Info'!$F$35*'HPM costs'!I504</f>
        <v>0</v>
      </c>
      <c r="W94" s="695"/>
      <c r="X94" s="1492">
        <f t="shared" si="12"/>
        <v>0</v>
      </c>
      <c r="Y94" s="1493"/>
      <c r="Z94" s="1494"/>
      <c r="AA94" s="699"/>
      <c r="AB94" s="695"/>
      <c r="AC94" s="695">
        <f>'Malaria-Key Info'!$F$35*'HPM costs'!K504</f>
        <v>0</v>
      </c>
      <c r="AD94" s="695"/>
      <c r="AE94" s="695">
        <f>'Malaria-Key Info'!$F$35*'HPM costs'!L504</f>
        <v>0</v>
      </c>
      <c r="AF94" s="695"/>
      <c r="AG94" s="695">
        <f>'Malaria-Key Info'!$F$35*'HPM costs'!M504</f>
        <v>0</v>
      </c>
      <c r="AH94" s="695"/>
      <c r="AI94" s="695">
        <f>'Malaria-Key Info'!$F$35*'HPM costs'!N504</f>
        <v>0</v>
      </c>
      <c r="AJ94" s="695"/>
      <c r="AK94" s="1492">
        <f t="shared" si="13"/>
        <v>0</v>
      </c>
      <c r="AL94" s="1493"/>
      <c r="AM94" s="1494"/>
      <c r="AN94" s="699"/>
      <c r="AO94" s="695"/>
      <c r="AP94" s="695">
        <f>'Malaria-Key Info'!$F$35*'HPM costs'!P504</f>
        <v>0</v>
      </c>
      <c r="AQ94" s="695"/>
      <c r="AR94" s="695">
        <f>'Malaria-Key Info'!$F$35*'HPM costs'!Q504</f>
        <v>0</v>
      </c>
      <c r="AS94" s="695"/>
      <c r="AT94" s="695">
        <f>'Malaria-Key Info'!$F$35*'HPM costs'!R504</f>
        <v>0</v>
      </c>
      <c r="AU94" s="695"/>
      <c r="AV94" s="695">
        <f>'Malaria-Key Info'!$F$35*'HPM costs'!S504</f>
        <v>0</v>
      </c>
      <c r="AW94" s="695"/>
      <c r="AX94" s="1492">
        <f t="shared" si="14"/>
        <v>0</v>
      </c>
      <c r="AY94" s="1492"/>
      <c r="AZ94" s="698"/>
      <c r="BA94" s="699"/>
      <c r="BB94" s="697"/>
      <c r="BC94" s="697">
        <v>0</v>
      </c>
      <c r="BD94" s="697">
        <v>0</v>
      </c>
      <c r="BE94" s="697">
        <v>0</v>
      </c>
      <c r="BF94" s="697">
        <v>0</v>
      </c>
      <c r="BG94" s="697">
        <v>0</v>
      </c>
      <c r="BH94" s="697">
        <v>0</v>
      </c>
      <c r="BI94" s="697">
        <v>0</v>
      </c>
      <c r="BJ94" s="697">
        <v>0</v>
      </c>
      <c r="BK94" s="1492">
        <f t="shared" si="15"/>
        <v>0</v>
      </c>
      <c r="BL94" s="1492"/>
      <c r="BM94" s="1492">
        <f t="shared" si="16"/>
        <v>0</v>
      </c>
      <c r="BN94" s="1492">
        <f t="shared" si="17"/>
        <v>0</v>
      </c>
      <c r="BO94" s="697"/>
      <c r="BP94" s="697"/>
      <c r="BQ94" s="1495">
        <v>0</v>
      </c>
      <c r="BR94" s="1495" t="s">
        <v>19</v>
      </c>
      <c r="BS94" s="1495" t="s">
        <v>655</v>
      </c>
      <c r="BT94" s="691" t="s">
        <v>746</v>
      </c>
    </row>
    <row r="95" spans="1:72" s="681" customFormat="1" ht="13" hidden="1">
      <c r="A95" s="1545">
        <v>130</v>
      </c>
      <c r="B95" s="1546" t="s">
        <v>740</v>
      </c>
      <c r="C95" s="1546" t="s">
        <v>741</v>
      </c>
      <c r="D95" s="1547" t="s">
        <v>655</v>
      </c>
      <c r="E95" s="690" t="s">
        <v>664</v>
      </c>
      <c r="F95" s="691"/>
      <c r="G95" s="692"/>
      <c r="H95" s="692"/>
      <c r="I95" s="692"/>
      <c r="J95" s="693"/>
      <c r="K95" s="693"/>
      <c r="L95" s="693"/>
      <c r="M95" s="694"/>
      <c r="N95" s="695"/>
      <c r="O95" s="696" t="s">
        <v>1569</v>
      </c>
      <c r="P95" s="695">
        <f>'Malaria-Key Info'!$F$35*('HPM costs'!F244+'HPM costs'!F590)</f>
        <v>0</v>
      </c>
      <c r="Q95" s="695" t="s">
        <v>1569</v>
      </c>
      <c r="R95" s="695">
        <f>'Malaria-Key Info'!$F$35*('HPM costs'!G244+'HPM costs'!G590)</f>
        <v>0</v>
      </c>
      <c r="S95" s="695" t="s">
        <v>1569</v>
      </c>
      <c r="T95" s="695">
        <f>'Malaria-Key Info'!$F$35*('HPM costs'!H244+'HPM costs'!H590)</f>
        <v>0</v>
      </c>
      <c r="U95" s="695" t="s">
        <v>1569</v>
      </c>
      <c r="V95" s="695">
        <f>'Malaria-Key Info'!$F$35*('HPM costs'!I244+'HPM costs'!I590)</f>
        <v>0</v>
      </c>
      <c r="W95" s="695"/>
      <c r="X95" s="1492">
        <f t="shared" si="12"/>
        <v>0</v>
      </c>
      <c r="Y95" s="1493"/>
      <c r="Z95" s="1494"/>
      <c r="AA95" s="699"/>
      <c r="AB95" s="695"/>
      <c r="AC95" s="695">
        <f>'Malaria-Key Info'!$F$35*('HPM costs'!K244+'HPM costs'!K590)</f>
        <v>0</v>
      </c>
      <c r="AD95" s="695"/>
      <c r="AE95" s="695">
        <f>'Malaria-Key Info'!$F$35*('HPM costs'!L244+'HPM costs'!L590)</f>
        <v>0</v>
      </c>
      <c r="AF95" s="695"/>
      <c r="AG95" s="695">
        <f>'Malaria-Key Info'!$F$35*('HPM costs'!M244+'HPM costs'!M590)</f>
        <v>0</v>
      </c>
      <c r="AH95" s="695"/>
      <c r="AI95" s="695">
        <f>'Malaria-Key Info'!$F$35*('HPM costs'!N244+'HPM costs'!N590)</f>
        <v>0</v>
      </c>
      <c r="AJ95" s="695"/>
      <c r="AK95" s="1492">
        <f t="shared" si="13"/>
        <v>0</v>
      </c>
      <c r="AL95" s="1493"/>
      <c r="AM95" s="1494"/>
      <c r="AN95" s="699"/>
      <c r="AO95" s="695"/>
      <c r="AP95" s="695">
        <f>'Malaria-Key Info'!$F$35*('HPM costs'!P244+'HPM costs'!P590)</f>
        <v>0</v>
      </c>
      <c r="AQ95" s="695"/>
      <c r="AR95" s="695">
        <f>'Malaria-Key Info'!$F$35*('HPM costs'!Q244+'HPM costs'!P590)</f>
        <v>0</v>
      </c>
      <c r="AS95" s="695"/>
      <c r="AT95" s="695">
        <f>'Malaria-Key Info'!$F$35*('HPM costs'!R244+'HPM costs'!P590)</f>
        <v>0</v>
      </c>
      <c r="AU95" s="695"/>
      <c r="AV95" s="695">
        <f>'Malaria-Key Info'!$F$35*('HPM costs'!S244+'HPM costs'!P590)</f>
        <v>0</v>
      </c>
      <c r="AW95" s="695"/>
      <c r="AX95" s="1492">
        <f t="shared" si="14"/>
        <v>0</v>
      </c>
      <c r="AY95" s="1492"/>
      <c r="AZ95" s="698"/>
      <c r="BA95" s="699"/>
      <c r="BB95" s="697"/>
      <c r="BC95" s="697">
        <v>0</v>
      </c>
      <c r="BD95" s="697">
        <v>0</v>
      </c>
      <c r="BE95" s="697">
        <v>0</v>
      </c>
      <c r="BF95" s="697">
        <v>0</v>
      </c>
      <c r="BG95" s="697">
        <v>0</v>
      </c>
      <c r="BH95" s="697">
        <v>0</v>
      </c>
      <c r="BI95" s="697">
        <v>0</v>
      </c>
      <c r="BJ95" s="697">
        <v>0</v>
      </c>
      <c r="BK95" s="1492">
        <f t="shared" si="15"/>
        <v>0</v>
      </c>
      <c r="BL95" s="1492"/>
      <c r="BM95" s="1492">
        <f t="shared" si="16"/>
        <v>0</v>
      </c>
      <c r="BN95" s="1492">
        <f t="shared" si="17"/>
        <v>0</v>
      </c>
      <c r="BO95" s="697"/>
      <c r="BP95" s="697"/>
      <c r="BQ95" s="1495">
        <v>0</v>
      </c>
      <c r="BR95" s="1495" t="s">
        <v>19</v>
      </c>
      <c r="BS95" s="1495" t="s">
        <v>655</v>
      </c>
      <c r="BT95" s="691" t="s">
        <v>747</v>
      </c>
    </row>
    <row r="96" spans="1:72" s="681" customFormat="1" ht="13" hidden="1">
      <c r="A96" s="1545">
        <v>131</v>
      </c>
      <c r="B96" s="1546" t="s">
        <v>740</v>
      </c>
      <c r="C96" s="1546" t="s">
        <v>741</v>
      </c>
      <c r="D96" s="1547" t="s">
        <v>655</v>
      </c>
      <c r="E96" s="690" t="s">
        <v>666</v>
      </c>
      <c r="F96" s="691"/>
      <c r="G96" s="692"/>
      <c r="H96" s="692"/>
      <c r="I96" s="692"/>
      <c r="J96" s="693"/>
      <c r="K96" s="693"/>
      <c r="L96" s="693"/>
      <c r="M96" s="694"/>
      <c r="N96" s="695"/>
      <c r="O96" s="696" t="s">
        <v>1569</v>
      </c>
      <c r="P96" s="695">
        <f>'Malaria-Key Info'!$F$35*'HPM costs'!F330</f>
        <v>0</v>
      </c>
      <c r="Q96" s="695" t="s">
        <v>1569</v>
      </c>
      <c r="R96" s="695">
        <f>'Malaria-Key Info'!$F$35*'HPM costs'!G330</f>
        <v>0</v>
      </c>
      <c r="S96" s="695" t="s">
        <v>1569</v>
      </c>
      <c r="T96" s="695">
        <f>'Malaria-Key Info'!$F$35*'HPM costs'!H330</f>
        <v>0</v>
      </c>
      <c r="U96" s="695" t="s">
        <v>1569</v>
      </c>
      <c r="V96" s="695">
        <f>'Malaria-Key Info'!$F$35*'HPM costs'!I330</f>
        <v>0</v>
      </c>
      <c r="W96" s="695"/>
      <c r="X96" s="1492">
        <f t="shared" si="12"/>
        <v>0</v>
      </c>
      <c r="Y96" s="1493"/>
      <c r="Z96" s="1494"/>
      <c r="AA96" s="699"/>
      <c r="AB96" s="695"/>
      <c r="AC96" s="695">
        <f>'Malaria-Key Info'!$F$35*'HPM costs'!K330</f>
        <v>0</v>
      </c>
      <c r="AD96" s="695"/>
      <c r="AE96" s="695">
        <f>'Malaria-Key Info'!$F$35*'HPM costs'!L330</f>
        <v>0</v>
      </c>
      <c r="AF96" s="695"/>
      <c r="AG96" s="695">
        <f>'Malaria-Key Info'!$F$35*'HPM costs'!M330</f>
        <v>0</v>
      </c>
      <c r="AH96" s="695"/>
      <c r="AI96" s="695">
        <f>'Malaria-Key Info'!$F$35*'HPM costs'!N330</f>
        <v>0</v>
      </c>
      <c r="AJ96" s="695"/>
      <c r="AK96" s="1492">
        <f t="shared" si="13"/>
        <v>0</v>
      </c>
      <c r="AL96" s="1493"/>
      <c r="AM96" s="1494"/>
      <c r="AN96" s="699"/>
      <c r="AO96" s="695"/>
      <c r="AP96" s="695">
        <f>'Malaria-Key Info'!$F$35*'HPM costs'!P330</f>
        <v>0</v>
      </c>
      <c r="AQ96" s="695"/>
      <c r="AR96" s="695">
        <f>'Malaria-Key Info'!$F$35*'HPM costs'!Q330</f>
        <v>0</v>
      </c>
      <c r="AS96" s="695"/>
      <c r="AT96" s="695">
        <f>'Malaria-Key Info'!$F$35*'HPM costs'!R330</f>
        <v>0</v>
      </c>
      <c r="AU96" s="695"/>
      <c r="AV96" s="695">
        <f>'Malaria-Key Info'!$F$35*'HPM costs'!S330</f>
        <v>0</v>
      </c>
      <c r="AW96" s="695"/>
      <c r="AX96" s="1492">
        <f t="shared" si="14"/>
        <v>0</v>
      </c>
      <c r="AY96" s="1492"/>
      <c r="AZ96" s="698"/>
      <c r="BA96" s="699"/>
      <c r="BB96" s="697"/>
      <c r="BC96" s="697">
        <v>0</v>
      </c>
      <c r="BD96" s="697">
        <v>0</v>
      </c>
      <c r="BE96" s="697">
        <v>0</v>
      </c>
      <c r="BF96" s="697">
        <v>0</v>
      </c>
      <c r="BG96" s="697">
        <v>0</v>
      </c>
      <c r="BH96" s="697">
        <v>0</v>
      </c>
      <c r="BI96" s="697">
        <v>0</v>
      </c>
      <c r="BJ96" s="697">
        <v>0</v>
      </c>
      <c r="BK96" s="1492">
        <f t="shared" si="15"/>
        <v>0</v>
      </c>
      <c r="BL96" s="1492"/>
      <c r="BM96" s="1492">
        <f t="shared" si="16"/>
        <v>0</v>
      </c>
      <c r="BN96" s="1492">
        <f t="shared" si="17"/>
        <v>0</v>
      </c>
      <c r="BO96" s="697"/>
      <c r="BP96" s="697"/>
      <c r="BQ96" s="1495">
        <v>0</v>
      </c>
      <c r="BR96" s="1495" t="s">
        <v>19</v>
      </c>
      <c r="BS96" s="1495" t="s">
        <v>655</v>
      </c>
      <c r="BT96" s="691" t="s">
        <v>748</v>
      </c>
    </row>
    <row r="97" spans="1:72" s="681" customFormat="1" ht="13" hidden="1">
      <c r="A97" s="1545">
        <v>132</v>
      </c>
      <c r="B97" s="1546" t="s">
        <v>740</v>
      </c>
      <c r="C97" s="1546" t="s">
        <v>741</v>
      </c>
      <c r="D97" s="1547" t="s">
        <v>655</v>
      </c>
      <c r="E97" s="690" t="s">
        <v>668</v>
      </c>
      <c r="F97" s="691"/>
      <c r="G97" s="692"/>
      <c r="H97" s="692"/>
      <c r="I97" s="692"/>
      <c r="J97" s="693"/>
      <c r="K97" s="693"/>
      <c r="L97" s="693"/>
      <c r="M97" s="694"/>
      <c r="N97" s="695"/>
      <c r="O97" s="696" t="s">
        <v>1569</v>
      </c>
      <c r="P97" s="695">
        <f>'Malaria-Key Info'!$F$35*'HPM costs'!F675</f>
        <v>0</v>
      </c>
      <c r="Q97" s="695" t="s">
        <v>1569</v>
      </c>
      <c r="R97" s="695">
        <f>'Malaria-Key Info'!$F$35*'HPM costs'!G675</f>
        <v>0</v>
      </c>
      <c r="S97" s="695" t="s">
        <v>1569</v>
      </c>
      <c r="T97" s="695">
        <f>'Malaria-Key Info'!$F$35*'HPM costs'!H675</f>
        <v>0</v>
      </c>
      <c r="U97" s="695" t="s">
        <v>1569</v>
      </c>
      <c r="V97" s="695">
        <f>'Malaria-Key Info'!$F$35*'HPM costs'!I675</f>
        <v>0</v>
      </c>
      <c r="W97" s="695"/>
      <c r="X97" s="1492">
        <f t="shared" si="12"/>
        <v>0</v>
      </c>
      <c r="Y97" s="1493"/>
      <c r="Z97" s="1494"/>
      <c r="AA97" s="699"/>
      <c r="AB97" s="695"/>
      <c r="AC97" s="695">
        <f>'Malaria-Key Info'!$F$35*'HPM costs'!K675</f>
        <v>0</v>
      </c>
      <c r="AD97" s="695"/>
      <c r="AE97" s="695">
        <f>'Malaria-Key Info'!$F$35*'HPM costs'!L675</f>
        <v>0</v>
      </c>
      <c r="AF97" s="695"/>
      <c r="AG97" s="695">
        <f>'Malaria-Key Info'!$F$35*'HPM costs'!M675</f>
        <v>0</v>
      </c>
      <c r="AH97" s="695"/>
      <c r="AI97" s="695">
        <f>'Malaria-Key Info'!$F$35*'HPM costs'!N675</f>
        <v>0</v>
      </c>
      <c r="AJ97" s="695"/>
      <c r="AK97" s="1492">
        <f t="shared" si="13"/>
        <v>0</v>
      </c>
      <c r="AL97" s="1493"/>
      <c r="AM97" s="1494"/>
      <c r="AN97" s="699"/>
      <c r="AO97" s="695"/>
      <c r="AP97" s="695">
        <f>'Malaria-Key Info'!$F$35*'HPM costs'!P675</f>
        <v>0</v>
      </c>
      <c r="AQ97" s="695"/>
      <c r="AR97" s="695">
        <f>'Malaria-Key Info'!$F$35*'HPM costs'!Q675</f>
        <v>0</v>
      </c>
      <c r="AS97" s="695"/>
      <c r="AT97" s="695">
        <f>'Malaria-Key Info'!$F$35*'HPM costs'!R675</f>
        <v>0</v>
      </c>
      <c r="AU97" s="695"/>
      <c r="AV97" s="695">
        <f>'Malaria-Key Info'!$F$35*'HPM costs'!S675</f>
        <v>0</v>
      </c>
      <c r="AW97" s="695"/>
      <c r="AX97" s="1492">
        <f t="shared" si="14"/>
        <v>0</v>
      </c>
      <c r="AY97" s="1492"/>
      <c r="AZ97" s="698"/>
      <c r="BA97" s="699"/>
      <c r="BB97" s="697"/>
      <c r="BC97" s="697">
        <v>0</v>
      </c>
      <c r="BD97" s="697">
        <v>0</v>
      </c>
      <c r="BE97" s="697">
        <v>0</v>
      </c>
      <c r="BF97" s="697">
        <v>0</v>
      </c>
      <c r="BG97" s="697">
        <v>0</v>
      </c>
      <c r="BH97" s="697">
        <v>0</v>
      </c>
      <c r="BI97" s="697">
        <v>0</v>
      </c>
      <c r="BJ97" s="697">
        <v>0</v>
      </c>
      <c r="BK97" s="1492">
        <f t="shared" si="15"/>
        <v>0</v>
      </c>
      <c r="BL97" s="1492"/>
      <c r="BM97" s="1492">
        <f t="shared" si="16"/>
        <v>0</v>
      </c>
      <c r="BN97" s="1492">
        <f t="shared" si="17"/>
        <v>0</v>
      </c>
      <c r="BO97" s="697"/>
      <c r="BP97" s="697"/>
      <c r="BQ97" s="1495">
        <v>0</v>
      </c>
      <c r="BR97" s="1495" t="s">
        <v>19</v>
      </c>
      <c r="BS97" s="1495" t="s">
        <v>655</v>
      </c>
      <c r="BT97" s="691" t="s">
        <v>1575</v>
      </c>
    </row>
    <row r="98" spans="1:72" s="681" customFormat="1" ht="13" hidden="1">
      <c r="A98" s="1545">
        <v>133</v>
      </c>
      <c r="B98" s="1546" t="s">
        <v>740</v>
      </c>
      <c r="C98" s="1546" t="s">
        <v>749</v>
      </c>
      <c r="D98" s="1547" t="s">
        <v>6947</v>
      </c>
      <c r="E98" s="690" t="s">
        <v>728</v>
      </c>
      <c r="F98" s="691"/>
      <c r="G98" s="692">
        <f>SETUP!$E$3</f>
        <v>0</v>
      </c>
      <c r="H98" s="692"/>
      <c r="I98" s="692"/>
      <c r="J98" s="693"/>
      <c r="K98" s="693"/>
      <c r="L98" s="693"/>
      <c r="M98" s="694" t="e">
        <f>X98/W98</f>
        <v>#DIV/0!</v>
      </c>
      <c r="N98" s="695" t="e">
        <f>IF(M98&lt;&gt;"",M98/VLOOKUP($K98,SETUP!$C$28:$D$42,2,0),"")</f>
        <v>#DIV/0!</v>
      </c>
      <c r="O98" s="696" t="s">
        <v>1569</v>
      </c>
      <c r="P98" s="695">
        <f>('Malaria-Key Info'!$F$36*'HPM costs'!F72)/'HPM costs'!$E$72</f>
        <v>0</v>
      </c>
      <c r="Q98" s="695" t="s">
        <v>1569</v>
      </c>
      <c r="R98" s="695">
        <f>('Malaria-Key Info'!$F$36*'HPM costs'!G72)/'HPM costs'!$E$72</f>
        <v>0</v>
      </c>
      <c r="S98" s="695" t="s">
        <v>1569</v>
      </c>
      <c r="T98" s="695">
        <f>('Malaria-Key Info'!$F$36*'HPM costs'!H72)/'HPM costs'!$E$72</f>
        <v>0</v>
      </c>
      <c r="U98" s="695" t="s">
        <v>1569</v>
      </c>
      <c r="V98" s="695">
        <f>('Malaria-Key Info'!$F$36*'HPM costs'!I72)/'HPM costs'!$E$72</f>
        <v>0</v>
      </c>
      <c r="W98" s="695"/>
      <c r="X98" s="1492">
        <f t="shared" si="12"/>
        <v>0</v>
      </c>
      <c r="Y98" s="1493"/>
      <c r="Z98" s="1494"/>
      <c r="AA98" s="699"/>
      <c r="AB98" s="695"/>
      <c r="AC98" s="695">
        <f>('Malaria-Key Info'!$F$36*'HPM costs'!K72)/'HPM costs'!$E$72</f>
        <v>0</v>
      </c>
      <c r="AD98" s="695"/>
      <c r="AE98" s="695">
        <f>('Malaria-Key Info'!$F$36*'HPM costs'!L72)/'HPM costs'!$E$72</f>
        <v>0</v>
      </c>
      <c r="AF98" s="695"/>
      <c r="AG98" s="695">
        <f>('Malaria-Key Info'!$F$36*'HPM costs'!M72)/'HPM costs'!$E$72</f>
        <v>0</v>
      </c>
      <c r="AH98" s="695"/>
      <c r="AI98" s="695">
        <f>('Malaria-Key Info'!$F$36*'HPM costs'!N72)/'HPM costs'!$E$72</f>
        <v>0</v>
      </c>
      <c r="AJ98" s="695"/>
      <c r="AK98" s="1492">
        <f t="shared" si="13"/>
        <v>0</v>
      </c>
      <c r="AL98" s="1493"/>
      <c r="AM98" s="1494"/>
      <c r="AN98" s="699"/>
      <c r="AO98" s="695"/>
      <c r="AP98" s="695">
        <f>('Malaria-Key Info'!$F$36*'HPM costs'!P72)/'HPM costs'!$E$72</f>
        <v>0</v>
      </c>
      <c r="AQ98" s="695"/>
      <c r="AR98" s="695">
        <f>('Malaria-Key Info'!$F$36*'HPM costs'!Q72)/'HPM costs'!$E$72</f>
        <v>0</v>
      </c>
      <c r="AS98" s="695"/>
      <c r="AT98" s="695">
        <f>('Malaria-Key Info'!$F$36*'HPM costs'!R72)/'HPM costs'!$E$72</f>
        <v>0</v>
      </c>
      <c r="AU98" s="695"/>
      <c r="AV98" s="695">
        <f>('Malaria-Key Info'!$F$36*'HPM costs'!S72)/'HPM costs'!$E$72</f>
        <v>0</v>
      </c>
      <c r="AW98" s="695"/>
      <c r="AX98" s="1492">
        <f t="shared" si="14"/>
        <v>0</v>
      </c>
      <c r="AY98" s="1492"/>
      <c r="AZ98" s="698"/>
      <c r="BA98" s="699"/>
      <c r="BB98" s="697"/>
      <c r="BC98" s="697">
        <v>0</v>
      </c>
      <c r="BD98" s="697">
        <v>0</v>
      </c>
      <c r="BE98" s="697">
        <v>0</v>
      </c>
      <c r="BF98" s="697">
        <v>0</v>
      </c>
      <c r="BG98" s="697">
        <v>0</v>
      </c>
      <c r="BH98" s="697">
        <v>0</v>
      </c>
      <c r="BI98" s="697">
        <v>0</v>
      </c>
      <c r="BJ98" s="697">
        <v>0</v>
      </c>
      <c r="BK98" s="1492">
        <f t="shared" si="15"/>
        <v>0</v>
      </c>
      <c r="BL98" s="1492"/>
      <c r="BM98" s="1492">
        <f t="shared" si="16"/>
        <v>0</v>
      </c>
      <c r="BN98" s="1492">
        <f t="shared" si="17"/>
        <v>0</v>
      </c>
      <c r="BO98" s="697"/>
      <c r="BP98" s="697"/>
      <c r="BQ98" s="1495">
        <v>0</v>
      </c>
      <c r="BR98" s="1495" t="s">
        <v>19</v>
      </c>
      <c r="BS98" s="1495" t="s">
        <v>6947</v>
      </c>
      <c r="BT98" s="691" t="s">
        <v>750</v>
      </c>
    </row>
    <row r="99" spans="1:72" s="681" customFormat="1" ht="13" hidden="1">
      <c r="A99" s="1545">
        <v>134</v>
      </c>
      <c r="B99" s="1546" t="s">
        <v>740</v>
      </c>
      <c r="C99" s="1546" t="s">
        <v>749</v>
      </c>
      <c r="D99" s="1547" t="s">
        <v>655</v>
      </c>
      <c r="E99" s="690" t="s">
        <v>656</v>
      </c>
      <c r="F99" s="691"/>
      <c r="G99" s="692"/>
      <c r="H99" s="692"/>
      <c r="I99" s="692"/>
      <c r="J99" s="693"/>
      <c r="K99" s="693"/>
      <c r="L99" s="693"/>
      <c r="M99" s="694"/>
      <c r="N99" s="695"/>
      <c r="O99" s="696" t="s">
        <v>1569</v>
      </c>
      <c r="P99" s="695">
        <f>'Malaria-Key Info'!$F$36*'HPM costs'!F72</f>
        <v>0</v>
      </c>
      <c r="Q99" s="695" t="s">
        <v>1569</v>
      </c>
      <c r="R99" s="695">
        <f>'Malaria-Key Info'!$F$36*'HPM costs'!G72</f>
        <v>0</v>
      </c>
      <c r="S99" s="695" t="s">
        <v>1569</v>
      </c>
      <c r="T99" s="695">
        <f>'Malaria-Key Info'!$F$36*'HPM costs'!H72</f>
        <v>0</v>
      </c>
      <c r="U99" s="695" t="s">
        <v>1569</v>
      </c>
      <c r="V99" s="695">
        <f>'Malaria-Key Info'!$F$36*'HPM costs'!I72</f>
        <v>0</v>
      </c>
      <c r="W99" s="695"/>
      <c r="X99" s="1492">
        <f t="shared" si="12"/>
        <v>0</v>
      </c>
      <c r="Y99" s="1493"/>
      <c r="Z99" s="1494"/>
      <c r="AA99" s="699"/>
      <c r="AB99" s="695"/>
      <c r="AC99" s="695">
        <f>'Malaria-Key Info'!$F$36*'HPM costs'!K72</f>
        <v>0</v>
      </c>
      <c r="AD99" s="695"/>
      <c r="AE99" s="695">
        <f>'Malaria-Key Info'!$F$36*'HPM costs'!L72</f>
        <v>0</v>
      </c>
      <c r="AF99" s="695"/>
      <c r="AG99" s="695">
        <f>'Malaria-Key Info'!$F$36*'HPM costs'!M72</f>
        <v>0</v>
      </c>
      <c r="AH99" s="695"/>
      <c r="AI99" s="695">
        <f>'Malaria-Key Info'!$F$36*'HPM costs'!N72</f>
        <v>0</v>
      </c>
      <c r="AJ99" s="695"/>
      <c r="AK99" s="1492">
        <f t="shared" si="13"/>
        <v>0</v>
      </c>
      <c r="AL99" s="1493"/>
      <c r="AM99" s="1494"/>
      <c r="AN99" s="699"/>
      <c r="AO99" s="695"/>
      <c r="AP99" s="695">
        <f>'Malaria-Key Info'!$F$36*'HPM costs'!P72</f>
        <v>0</v>
      </c>
      <c r="AQ99" s="695"/>
      <c r="AR99" s="695">
        <f>'Malaria-Key Info'!$F$36*'HPM costs'!Q72</f>
        <v>0</v>
      </c>
      <c r="AS99" s="695"/>
      <c r="AT99" s="695">
        <f>'Malaria-Key Info'!$F$36*'HPM costs'!R72</f>
        <v>0</v>
      </c>
      <c r="AU99" s="695"/>
      <c r="AV99" s="695">
        <f>'Malaria-Key Info'!$F$36*'HPM costs'!S72</f>
        <v>0</v>
      </c>
      <c r="AW99" s="695"/>
      <c r="AX99" s="1492">
        <f t="shared" si="14"/>
        <v>0</v>
      </c>
      <c r="AY99" s="1492"/>
      <c r="AZ99" s="698"/>
      <c r="BA99" s="699"/>
      <c r="BB99" s="697"/>
      <c r="BC99" s="697">
        <v>0</v>
      </c>
      <c r="BD99" s="697">
        <v>0</v>
      </c>
      <c r="BE99" s="697">
        <v>0</v>
      </c>
      <c r="BF99" s="697">
        <v>0</v>
      </c>
      <c r="BG99" s="697">
        <v>0</v>
      </c>
      <c r="BH99" s="697">
        <v>0</v>
      </c>
      <c r="BI99" s="697">
        <v>0</v>
      </c>
      <c r="BJ99" s="697">
        <v>0</v>
      </c>
      <c r="BK99" s="1492">
        <f t="shared" si="15"/>
        <v>0</v>
      </c>
      <c r="BL99" s="1492"/>
      <c r="BM99" s="1492">
        <f t="shared" si="16"/>
        <v>0</v>
      </c>
      <c r="BN99" s="1492">
        <f t="shared" si="17"/>
        <v>0</v>
      </c>
      <c r="BO99" s="697"/>
      <c r="BP99" s="697"/>
      <c r="BQ99" s="1495">
        <v>0</v>
      </c>
      <c r="BR99" s="1495" t="s">
        <v>19</v>
      </c>
      <c r="BS99" s="1495" t="s">
        <v>655</v>
      </c>
      <c r="BT99" s="691" t="s">
        <v>751</v>
      </c>
    </row>
    <row r="100" spans="1:72" s="681" customFormat="1" ht="13" hidden="1">
      <c r="A100" s="1545">
        <v>135</v>
      </c>
      <c r="B100" s="1546" t="s">
        <v>740</v>
      </c>
      <c r="C100" s="1546" t="s">
        <v>749</v>
      </c>
      <c r="D100" s="1547" t="s">
        <v>655</v>
      </c>
      <c r="E100" s="690" t="s">
        <v>658</v>
      </c>
      <c r="F100" s="691"/>
      <c r="G100" s="692"/>
      <c r="H100" s="692"/>
      <c r="I100" s="692"/>
      <c r="J100" s="693"/>
      <c r="K100" s="693"/>
      <c r="L100" s="693"/>
      <c r="M100" s="694"/>
      <c r="N100" s="695"/>
      <c r="O100" s="696" t="s">
        <v>1569</v>
      </c>
      <c r="P100" s="695">
        <f>'Malaria-Key Info'!$F$36*'HPM costs'!F158</f>
        <v>0</v>
      </c>
      <c r="Q100" s="695" t="s">
        <v>1569</v>
      </c>
      <c r="R100" s="695">
        <f>'Malaria-Key Info'!$F$36*'HPM costs'!G158</f>
        <v>0</v>
      </c>
      <c r="S100" s="695" t="s">
        <v>1569</v>
      </c>
      <c r="T100" s="695">
        <f>'Malaria-Key Info'!$F$36*'HPM costs'!H158</f>
        <v>0</v>
      </c>
      <c r="U100" s="695" t="s">
        <v>1569</v>
      </c>
      <c r="V100" s="695">
        <f>'Malaria-Key Info'!$F$36*'HPM costs'!I158</f>
        <v>0</v>
      </c>
      <c r="W100" s="695"/>
      <c r="X100" s="1492">
        <f t="shared" si="12"/>
        <v>0</v>
      </c>
      <c r="Y100" s="1493"/>
      <c r="Z100" s="1494"/>
      <c r="AA100" s="699"/>
      <c r="AB100" s="695"/>
      <c r="AC100" s="695">
        <f>'Malaria-Key Info'!$F$36*'HPM costs'!K158</f>
        <v>0</v>
      </c>
      <c r="AD100" s="695"/>
      <c r="AE100" s="695">
        <f>'Malaria-Key Info'!$F$36*'HPM costs'!L158</f>
        <v>0</v>
      </c>
      <c r="AF100" s="695"/>
      <c r="AG100" s="695">
        <f>'Malaria-Key Info'!$F$36*'HPM costs'!M158</f>
        <v>0</v>
      </c>
      <c r="AH100" s="695"/>
      <c r="AI100" s="695">
        <f>'Malaria-Key Info'!$F$36*'HPM costs'!N158</f>
        <v>0</v>
      </c>
      <c r="AJ100" s="695"/>
      <c r="AK100" s="1492">
        <f t="shared" si="13"/>
        <v>0</v>
      </c>
      <c r="AL100" s="1493"/>
      <c r="AM100" s="1494"/>
      <c r="AN100" s="699"/>
      <c r="AO100" s="695"/>
      <c r="AP100" s="695">
        <f>'Malaria-Key Info'!$F$36*'HPM costs'!P158</f>
        <v>0</v>
      </c>
      <c r="AQ100" s="695"/>
      <c r="AR100" s="695">
        <f>'Malaria-Key Info'!$F$36*'HPM costs'!Q158</f>
        <v>0</v>
      </c>
      <c r="AS100" s="695"/>
      <c r="AT100" s="695">
        <f>'Malaria-Key Info'!$F$36*'HPM costs'!R158</f>
        <v>0</v>
      </c>
      <c r="AU100" s="695"/>
      <c r="AV100" s="695">
        <f>'Malaria-Key Info'!$F$36*'HPM costs'!S158</f>
        <v>0</v>
      </c>
      <c r="AW100" s="695"/>
      <c r="AX100" s="1492">
        <f t="shared" si="14"/>
        <v>0</v>
      </c>
      <c r="AY100" s="1492"/>
      <c r="AZ100" s="698"/>
      <c r="BA100" s="699"/>
      <c r="BB100" s="697"/>
      <c r="BC100" s="697">
        <v>0</v>
      </c>
      <c r="BD100" s="697">
        <v>0</v>
      </c>
      <c r="BE100" s="697">
        <v>0</v>
      </c>
      <c r="BF100" s="697">
        <v>0</v>
      </c>
      <c r="BG100" s="697">
        <v>0</v>
      </c>
      <c r="BH100" s="697">
        <v>0</v>
      </c>
      <c r="BI100" s="697">
        <v>0</v>
      </c>
      <c r="BJ100" s="697">
        <v>0</v>
      </c>
      <c r="BK100" s="1492">
        <f t="shared" si="15"/>
        <v>0</v>
      </c>
      <c r="BL100" s="1492"/>
      <c r="BM100" s="1492">
        <f t="shared" si="16"/>
        <v>0</v>
      </c>
      <c r="BN100" s="1492">
        <f t="shared" si="17"/>
        <v>0</v>
      </c>
      <c r="BO100" s="697"/>
      <c r="BP100" s="697"/>
      <c r="BQ100" s="1495">
        <v>0</v>
      </c>
      <c r="BR100" s="1495" t="s">
        <v>19</v>
      </c>
      <c r="BS100" s="1495" t="s">
        <v>655</v>
      </c>
      <c r="BT100" s="691" t="s">
        <v>752</v>
      </c>
    </row>
    <row r="101" spans="1:72" s="681" customFormat="1" ht="13" hidden="1">
      <c r="A101" s="1545">
        <v>136</v>
      </c>
      <c r="B101" s="1546" t="s">
        <v>740</v>
      </c>
      <c r="C101" s="1546" t="s">
        <v>749</v>
      </c>
      <c r="D101" s="1547" t="s">
        <v>655</v>
      </c>
      <c r="E101" s="690" t="s">
        <v>660</v>
      </c>
      <c r="F101" s="691"/>
      <c r="G101" s="692"/>
      <c r="H101" s="692"/>
      <c r="I101" s="692"/>
      <c r="J101" s="693"/>
      <c r="K101" s="693"/>
      <c r="L101" s="693"/>
      <c r="M101" s="694"/>
      <c r="N101" s="695"/>
      <c r="O101" s="696" t="s">
        <v>1569</v>
      </c>
      <c r="P101" s="695">
        <f>'Malaria-Key Info'!$F$36*'HPM costs'!F418</f>
        <v>0</v>
      </c>
      <c r="Q101" s="695" t="s">
        <v>1569</v>
      </c>
      <c r="R101" s="695">
        <f>'Malaria-Key Info'!$F$36*'HPM costs'!G418</f>
        <v>0</v>
      </c>
      <c r="S101" s="695" t="s">
        <v>1569</v>
      </c>
      <c r="T101" s="695">
        <f>'Malaria-Key Info'!$F$36*'HPM costs'!H418</f>
        <v>0</v>
      </c>
      <c r="U101" s="695" t="s">
        <v>1569</v>
      </c>
      <c r="V101" s="695">
        <f>'Malaria-Key Info'!$F$36*'HPM costs'!I418</f>
        <v>0</v>
      </c>
      <c r="W101" s="695"/>
      <c r="X101" s="1492">
        <f t="shared" si="12"/>
        <v>0</v>
      </c>
      <c r="Y101" s="1493"/>
      <c r="Z101" s="1494"/>
      <c r="AA101" s="699"/>
      <c r="AB101" s="695"/>
      <c r="AC101" s="695">
        <f>'Malaria-Key Info'!$F$36*'HPM costs'!K418</f>
        <v>0</v>
      </c>
      <c r="AD101" s="695"/>
      <c r="AE101" s="695">
        <f>'Malaria-Key Info'!$F$36*'HPM costs'!L418</f>
        <v>0</v>
      </c>
      <c r="AF101" s="695"/>
      <c r="AG101" s="695">
        <f>'Malaria-Key Info'!$F$36*'HPM costs'!M418</f>
        <v>0</v>
      </c>
      <c r="AH101" s="695"/>
      <c r="AI101" s="695">
        <f>'Malaria-Key Info'!$F$36*'HPM costs'!N418</f>
        <v>0</v>
      </c>
      <c r="AJ101" s="695"/>
      <c r="AK101" s="1492">
        <f t="shared" si="13"/>
        <v>0</v>
      </c>
      <c r="AL101" s="1493"/>
      <c r="AM101" s="1494"/>
      <c r="AN101" s="699"/>
      <c r="AO101" s="695"/>
      <c r="AP101" s="695">
        <f>'Malaria-Key Info'!$F$36*'HPM costs'!P418</f>
        <v>0</v>
      </c>
      <c r="AQ101" s="695"/>
      <c r="AR101" s="695">
        <f>'Malaria-Key Info'!$F$36*'HPM costs'!Q418</f>
        <v>0</v>
      </c>
      <c r="AS101" s="695"/>
      <c r="AT101" s="695">
        <f>'Malaria-Key Info'!$F$36*'HPM costs'!R418</f>
        <v>0</v>
      </c>
      <c r="AU101" s="695"/>
      <c r="AV101" s="695">
        <f>'Malaria-Key Info'!$F$36*'HPM costs'!S418</f>
        <v>0</v>
      </c>
      <c r="AW101" s="695"/>
      <c r="AX101" s="1492">
        <f t="shared" si="14"/>
        <v>0</v>
      </c>
      <c r="AY101" s="1492"/>
      <c r="AZ101" s="698"/>
      <c r="BA101" s="699"/>
      <c r="BB101" s="697"/>
      <c r="BC101" s="697">
        <v>0</v>
      </c>
      <c r="BD101" s="697">
        <v>0</v>
      </c>
      <c r="BE101" s="697">
        <v>0</v>
      </c>
      <c r="BF101" s="697">
        <v>0</v>
      </c>
      <c r="BG101" s="697">
        <v>0</v>
      </c>
      <c r="BH101" s="697">
        <v>0</v>
      </c>
      <c r="BI101" s="697">
        <v>0</v>
      </c>
      <c r="BJ101" s="697">
        <v>0</v>
      </c>
      <c r="BK101" s="1492">
        <f t="shared" si="15"/>
        <v>0</v>
      </c>
      <c r="BL101" s="1492"/>
      <c r="BM101" s="1492">
        <f t="shared" si="16"/>
        <v>0</v>
      </c>
      <c r="BN101" s="1492">
        <f t="shared" si="17"/>
        <v>0</v>
      </c>
      <c r="BO101" s="697"/>
      <c r="BP101" s="697"/>
      <c r="BQ101" s="1495">
        <v>0</v>
      </c>
      <c r="BR101" s="1495" t="s">
        <v>19</v>
      </c>
      <c r="BS101" s="1495" t="s">
        <v>655</v>
      </c>
      <c r="BT101" s="691" t="s">
        <v>753</v>
      </c>
    </row>
    <row r="102" spans="1:72" s="681" customFormat="1" ht="13" hidden="1">
      <c r="A102" s="1545">
        <v>137</v>
      </c>
      <c r="B102" s="1546" t="s">
        <v>740</v>
      </c>
      <c r="C102" s="1546" t="s">
        <v>749</v>
      </c>
      <c r="D102" s="1547" t="s">
        <v>655</v>
      </c>
      <c r="E102" s="690" t="s">
        <v>662</v>
      </c>
      <c r="F102" s="691"/>
      <c r="G102" s="692"/>
      <c r="H102" s="692"/>
      <c r="I102" s="692"/>
      <c r="J102" s="693"/>
      <c r="K102" s="693"/>
      <c r="L102" s="693"/>
      <c r="M102" s="694"/>
      <c r="N102" s="695"/>
      <c r="O102" s="696" t="s">
        <v>1569</v>
      </c>
      <c r="P102" s="695">
        <f>'Malaria-Key Info'!$F$36*'HPM costs'!F504</f>
        <v>0</v>
      </c>
      <c r="Q102" s="695" t="s">
        <v>1569</v>
      </c>
      <c r="R102" s="695">
        <f>'Malaria-Key Info'!$F$36*'HPM costs'!G504</f>
        <v>0</v>
      </c>
      <c r="S102" s="695" t="s">
        <v>1569</v>
      </c>
      <c r="T102" s="695">
        <f>'Malaria-Key Info'!$F$36*'HPM costs'!H504</f>
        <v>0</v>
      </c>
      <c r="U102" s="695" t="s">
        <v>1569</v>
      </c>
      <c r="V102" s="695">
        <f>'Malaria-Key Info'!$F$36*'HPM costs'!I504</f>
        <v>0</v>
      </c>
      <c r="W102" s="695"/>
      <c r="X102" s="1492">
        <f t="shared" si="12"/>
        <v>0</v>
      </c>
      <c r="Y102" s="1493"/>
      <c r="Z102" s="1494"/>
      <c r="AA102" s="699"/>
      <c r="AB102" s="695"/>
      <c r="AC102" s="695">
        <f>'Malaria-Key Info'!$F$36*'HPM costs'!K504</f>
        <v>0</v>
      </c>
      <c r="AD102" s="695"/>
      <c r="AE102" s="695">
        <f>'Malaria-Key Info'!$F$36*'HPM costs'!L504</f>
        <v>0</v>
      </c>
      <c r="AF102" s="695"/>
      <c r="AG102" s="695">
        <f>'Malaria-Key Info'!$F$36*'HPM costs'!M504</f>
        <v>0</v>
      </c>
      <c r="AH102" s="695"/>
      <c r="AI102" s="695">
        <f>'Malaria-Key Info'!$F$36*'HPM costs'!N504</f>
        <v>0</v>
      </c>
      <c r="AJ102" s="695"/>
      <c r="AK102" s="1492">
        <f t="shared" si="13"/>
        <v>0</v>
      </c>
      <c r="AL102" s="1493"/>
      <c r="AM102" s="1494"/>
      <c r="AN102" s="699"/>
      <c r="AO102" s="695"/>
      <c r="AP102" s="695">
        <f>'Malaria-Key Info'!$F$36*'HPM costs'!P504</f>
        <v>0</v>
      </c>
      <c r="AQ102" s="695"/>
      <c r="AR102" s="695">
        <f>'Malaria-Key Info'!$F$36*'HPM costs'!Q504</f>
        <v>0</v>
      </c>
      <c r="AS102" s="695"/>
      <c r="AT102" s="695">
        <f>'Malaria-Key Info'!$F$36*'HPM costs'!R504</f>
        <v>0</v>
      </c>
      <c r="AU102" s="695"/>
      <c r="AV102" s="695">
        <f>'Malaria-Key Info'!$F$36*'HPM costs'!S504</f>
        <v>0</v>
      </c>
      <c r="AW102" s="695"/>
      <c r="AX102" s="1492">
        <f t="shared" si="14"/>
        <v>0</v>
      </c>
      <c r="AY102" s="1492"/>
      <c r="AZ102" s="698"/>
      <c r="BA102" s="699"/>
      <c r="BB102" s="697"/>
      <c r="BC102" s="697">
        <v>0</v>
      </c>
      <c r="BD102" s="697">
        <v>0</v>
      </c>
      <c r="BE102" s="697">
        <v>0</v>
      </c>
      <c r="BF102" s="697">
        <v>0</v>
      </c>
      <c r="BG102" s="697">
        <v>0</v>
      </c>
      <c r="BH102" s="697">
        <v>0</v>
      </c>
      <c r="BI102" s="697">
        <v>0</v>
      </c>
      <c r="BJ102" s="697">
        <v>0</v>
      </c>
      <c r="BK102" s="1492">
        <f t="shared" si="15"/>
        <v>0</v>
      </c>
      <c r="BL102" s="1492"/>
      <c r="BM102" s="1492">
        <f t="shared" si="16"/>
        <v>0</v>
      </c>
      <c r="BN102" s="1492">
        <f t="shared" si="17"/>
        <v>0</v>
      </c>
      <c r="BO102" s="697"/>
      <c r="BP102" s="697"/>
      <c r="BQ102" s="1495">
        <v>0</v>
      </c>
      <c r="BR102" s="1495" t="s">
        <v>19</v>
      </c>
      <c r="BS102" s="1495" t="s">
        <v>655</v>
      </c>
      <c r="BT102" s="691" t="s">
        <v>754</v>
      </c>
    </row>
    <row r="103" spans="1:72" s="681" customFormat="1" ht="13" hidden="1">
      <c r="A103" s="1545">
        <v>138</v>
      </c>
      <c r="B103" s="1546" t="s">
        <v>740</v>
      </c>
      <c r="C103" s="1546" t="s">
        <v>749</v>
      </c>
      <c r="D103" s="1547" t="s">
        <v>655</v>
      </c>
      <c r="E103" s="690" t="s">
        <v>664</v>
      </c>
      <c r="F103" s="691"/>
      <c r="G103" s="692"/>
      <c r="H103" s="692"/>
      <c r="I103" s="692"/>
      <c r="J103" s="693"/>
      <c r="K103" s="693"/>
      <c r="L103" s="693"/>
      <c r="M103" s="694"/>
      <c r="N103" s="695"/>
      <c r="O103" s="696" t="s">
        <v>1569</v>
      </c>
      <c r="P103" s="695">
        <f>'Malaria-Key Info'!$F$36*('HPM costs'!F244+'HPM costs'!F590)</f>
        <v>0</v>
      </c>
      <c r="Q103" s="695" t="s">
        <v>1569</v>
      </c>
      <c r="R103" s="695">
        <f>'Malaria-Key Info'!$F$36*('HPM costs'!G244+'HPM costs'!G590)</f>
        <v>0</v>
      </c>
      <c r="S103" s="695" t="s">
        <v>1569</v>
      </c>
      <c r="T103" s="695">
        <f>'Malaria-Key Info'!$F$36*('HPM costs'!H244+'HPM costs'!H590)</f>
        <v>0</v>
      </c>
      <c r="U103" s="695" t="s">
        <v>1569</v>
      </c>
      <c r="V103" s="695">
        <f>'Malaria-Key Info'!$F$36*('HPM costs'!I244+'HPM costs'!I590)</f>
        <v>0</v>
      </c>
      <c r="W103" s="695"/>
      <c r="X103" s="1492">
        <f t="shared" si="12"/>
        <v>0</v>
      </c>
      <c r="Y103" s="1493"/>
      <c r="Z103" s="1494"/>
      <c r="AA103" s="699"/>
      <c r="AB103" s="695"/>
      <c r="AC103" s="695">
        <f>'Malaria-Key Info'!$F$36*('HPM costs'!K244+'HPM costs'!K590)</f>
        <v>0</v>
      </c>
      <c r="AD103" s="695"/>
      <c r="AE103" s="695">
        <f>'Malaria-Key Info'!$F$36*('HPM costs'!L244+'HPM costs'!L590)</f>
        <v>0</v>
      </c>
      <c r="AF103" s="695"/>
      <c r="AG103" s="695">
        <f>'Malaria-Key Info'!$F$36*('HPM costs'!M244+'HPM costs'!M590)</f>
        <v>0</v>
      </c>
      <c r="AH103" s="695"/>
      <c r="AI103" s="695">
        <f>'Malaria-Key Info'!$F$36*('HPM costs'!N244+'HPM costs'!N590)</f>
        <v>0</v>
      </c>
      <c r="AJ103" s="695"/>
      <c r="AK103" s="1492">
        <f t="shared" si="13"/>
        <v>0</v>
      </c>
      <c r="AL103" s="1493"/>
      <c r="AM103" s="1494"/>
      <c r="AN103" s="699"/>
      <c r="AO103" s="695"/>
      <c r="AP103" s="695">
        <f>'Malaria-Key Info'!$F$36*('HPM costs'!P244+'HPM costs'!P590)</f>
        <v>0</v>
      </c>
      <c r="AQ103" s="695"/>
      <c r="AR103" s="695">
        <f>'Malaria-Key Info'!$F$36*('HPM costs'!Q244+'HPM costs'!Q590)</f>
        <v>0</v>
      </c>
      <c r="AS103" s="695"/>
      <c r="AT103" s="695">
        <f>'Malaria-Key Info'!$F$36*('HPM costs'!R244+'HPM costs'!R590)</f>
        <v>0</v>
      </c>
      <c r="AU103" s="695"/>
      <c r="AV103" s="695">
        <f>'Malaria-Key Info'!$F$36*('HPM costs'!S244+'HPM costs'!S590)</f>
        <v>0</v>
      </c>
      <c r="AW103" s="695"/>
      <c r="AX103" s="1492">
        <f t="shared" si="14"/>
        <v>0</v>
      </c>
      <c r="AY103" s="1492"/>
      <c r="AZ103" s="698"/>
      <c r="BA103" s="699"/>
      <c r="BB103" s="697"/>
      <c r="BC103" s="697">
        <v>0</v>
      </c>
      <c r="BD103" s="697">
        <v>0</v>
      </c>
      <c r="BE103" s="697">
        <v>0</v>
      </c>
      <c r="BF103" s="697">
        <v>0</v>
      </c>
      <c r="BG103" s="697">
        <v>0</v>
      </c>
      <c r="BH103" s="697">
        <v>0</v>
      </c>
      <c r="BI103" s="697">
        <v>0</v>
      </c>
      <c r="BJ103" s="697">
        <v>0</v>
      </c>
      <c r="BK103" s="1492">
        <f t="shared" si="15"/>
        <v>0</v>
      </c>
      <c r="BL103" s="1492"/>
      <c r="BM103" s="1492">
        <f t="shared" si="16"/>
        <v>0</v>
      </c>
      <c r="BN103" s="1492">
        <f t="shared" si="17"/>
        <v>0</v>
      </c>
      <c r="BO103" s="697"/>
      <c r="BP103" s="697"/>
      <c r="BQ103" s="1495">
        <v>0</v>
      </c>
      <c r="BR103" s="1495" t="s">
        <v>19</v>
      </c>
      <c r="BS103" s="1495" t="s">
        <v>655</v>
      </c>
      <c r="BT103" s="691" t="s">
        <v>755</v>
      </c>
    </row>
    <row r="104" spans="1:72" s="681" customFormat="1" ht="13" hidden="1">
      <c r="A104" s="1545">
        <v>139</v>
      </c>
      <c r="B104" s="1546" t="s">
        <v>740</v>
      </c>
      <c r="C104" s="1546" t="s">
        <v>749</v>
      </c>
      <c r="D104" s="1547" t="s">
        <v>655</v>
      </c>
      <c r="E104" s="690" t="s">
        <v>666</v>
      </c>
      <c r="F104" s="691"/>
      <c r="G104" s="692">
        <f>SETUP!$E$3</f>
        <v>0</v>
      </c>
      <c r="H104" s="692"/>
      <c r="I104" s="692"/>
      <c r="J104" s="693"/>
      <c r="K104" s="693"/>
      <c r="L104" s="693"/>
      <c r="M104" s="694"/>
      <c r="N104" s="695"/>
      <c r="O104" s="696" t="s">
        <v>1569</v>
      </c>
      <c r="P104" s="695">
        <f>'Malaria-Key Info'!$F$36*'HPM costs'!F330</f>
        <v>0</v>
      </c>
      <c r="Q104" s="695" t="s">
        <v>1569</v>
      </c>
      <c r="R104" s="695">
        <f>'Malaria-Key Info'!$F$36*'HPM costs'!G330</f>
        <v>0</v>
      </c>
      <c r="S104" s="695" t="s">
        <v>1569</v>
      </c>
      <c r="T104" s="695">
        <f>'Malaria-Key Info'!$F$36*'HPM costs'!H330</f>
        <v>0</v>
      </c>
      <c r="U104" s="695" t="s">
        <v>1569</v>
      </c>
      <c r="V104" s="695">
        <f>'Malaria-Key Info'!$F$36*'HPM costs'!I330</f>
        <v>0</v>
      </c>
      <c r="W104" s="695"/>
      <c r="X104" s="1492">
        <f t="shared" si="12"/>
        <v>0</v>
      </c>
      <c r="Y104" s="1493"/>
      <c r="Z104" s="1494"/>
      <c r="AA104" s="699"/>
      <c r="AB104" s="695"/>
      <c r="AC104" s="695">
        <f>'Malaria-Key Info'!$F$36*'HPM costs'!K330</f>
        <v>0</v>
      </c>
      <c r="AD104" s="695"/>
      <c r="AE104" s="695">
        <f>'Malaria-Key Info'!$F$36*'HPM costs'!L330</f>
        <v>0</v>
      </c>
      <c r="AF104" s="695"/>
      <c r="AG104" s="695">
        <f>'Malaria-Key Info'!$F$36*'HPM costs'!M330</f>
        <v>0</v>
      </c>
      <c r="AH104" s="695"/>
      <c r="AI104" s="695">
        <f>'Malaria-Key Info'!$F$36*'HPM costs'!N330</f>
        <v>0</v>
      </c>
      <c r="AJ104" s="695"/>
      <c r="AK104" s="1492">
        <f t="shared" si="13"/>
        <v>0</v>
      </c>
      <c r="AL104" s="1493"/>
      <c r="AM104" s="1494"/>
      <c r="AN104" s="699"/>
      <c r="AO104" s="695"/>
      <c r="AP104" s="695">
        <f>'Malaria-Key Info'!$F$36*'HPM costs'!P330</f>
        <v>0</v>
      </c>
      <c r="AQ104" s="695"/>
      <c r="AR104" s="695">
        <f>'Malaria-Key Info'!$F$36*'HPM costs'!Q330</f>
        <v>0</v>
      </c>
      <c r="AS104" s="695"/>
      <c r="AT104" s="695">
        <f>'Malaria-Key Info'!$F$36*'HPM costs'!R330</f>
        <v>0</v>
      </c>
      <c r="AU104" s="695"/>
      <c r="AV104" s="695">
        <f>'Malaria-Key Info'!$F$36*'HPM costs'!S330</f>
        <v>0</v>
      </c>
      <c r="AW104" s="695"/>
      <c r="AX104" s="1492">
        <f t="shared" si="14"/>
        <v>0</v>
      </c>
      <c r="AY104" s="1492"/>
      <c r="AZ104" s="698"/>
      <c r="BA104" s="699"/>
      <c r="BB104" s="697"/>
      <c r="BC104" s="697">
        <v>0</v>
      </c>
      <c r="BD104" s="697">
        <v>0</v>
      </c>
      <c r="BE104" s="697">
        <v>0</v>
      </c>
      <c r="BF104" s="697">
        <v>0</v>
      </c>
      <c r="BG104" s="697">
        <v>0</v>
      </c>
      <c r="BH104" s="697">
        <v>0</v>
      </c>
      <c r="BI104" s="697">
        <v>0</v>
      </c>
      <c r="BJ104" s="697">
        <v>0</v>
      </c>
      <c r="BK104" s="1492">
        <f t="shared" si="15"/>
        <v>0</v>
      </c>
      <c r="BL104" s="1492"/>
      <c r="BM104" s="1492">
        <f t="shared" si="16"/>
        <v>0</v>
      </c>
      <c r="BN104" s="1492">
        <f t="shared" si="17"/>
        <v>0</v>
      </c>
      <c r="BO104" s="697"/>
      <c r="BP104" s="697"/>
      <c r="BQ104" s="1495">
        <v>0</v>
      </c>
      <c r="BR104" s="1495" t="s">
        <v>19</v>
      </c>
      <c r="BS104" s="1495" t="s">
        <v>655</v>
      </c>
      <c r="BT104" s="691" t="s">
        <v>756</v>
      </c>
    </row>
    <row r="105" spans="1:72" s="681" customFormat="1" ht="13" hidden="1">
      <c r="A105" s="1545">
        <v>140</v>
      </c>
      <c r="B105" s="1546" t="s">
        <v>740</v>
      </c>
      <c r="C105" s="1546" t="s">
        <v>749</v>
      </c>
      <c r="D105" s="1547" t="s">
        <v>655</v>
      </c>
      <c r="E105" s="690" t="s">
        <v>668</v>
      </c>
      <c r="F105" s="691"/>
      <c r="G105" s="692">
        <f>SETUP!$E$3</f>
        <v>0</v>
      </c>
      <c r="H105" s="692"/>
      <c r="I105" s="692"/>
      <c r="J105" s="693"/>
      <c r="K105" s="693"/>
      <c r="L105" s="693"/>
      <c r="M105" s="694"/>
      <c r="N105" s="695"/>
      <c r="O105" s="696" t="s">
        <v>1569</v>
      </c>
      <c r="P105" s="695">
        <f>'Malaria-Key Info'!$F$36*'HPM costs'!F675</f>
        <v>0</v>
      </c>
      <c r="Q105" s="695" t="s">
        <v>1569</v>
      </c>
      <c r="R105" s="695">
        <f>'Malaria-Key Info'!$F$36*'HPM costs'!G675</f>
        <v>0</v>
      </c>
      <c r="S105" s="695" t="s">
        <v>1569</v>
      </c>
      <c r="T105" s="695">
        <f>'Malaria-Key Info'!$F$36*'HPM costs'!H675</f>
        <v>0</v>
      </c>
      <c r="U105" s="695" t="s">
        <v>1569</v>
      </c>
      <c r="V105" s="695">
        <f>'Malaria-Key Info'!$F$36*'HPM costs'!I675</f>
        <v>0</v>
      </c>
      <c r="W105" s="695"/>
      <c r="X105" s="1492">
        <f t="shared" si="12"/>
        <v>0</v>
      </c>
      <c r="Y105" s="1493"/>
      <c r="Z105" s="1494"/>
      <c r="AA105" s="699"/>
      <c r="AB105" s="695"/>
      <c r="AC105" s="695">
        <f>'Malaria-Key Info'!$F$36*'HPM costs'!K675</f>
        <v>0</v>
      </c>
      <c r="AD105" s="695"/>
      <c r="AE105" s="695">
        <f>'Malaria-Key Info'!$F$36*'HPM costs'!L675</f>
        <v>0</v>
      </c>
      <c r="AF105" s="695"/>
      <c r="AG105" s="695">
        <f>'Malaria-Key Info'!$F$36*'HPM costs'!M675</f>
        <v>0</v>
      </c>
      <c r="AH105" s="695"/>
      <c r="AI105" s="695">
        <f>'Malaria-Key Info'!$F$36*'HPM costs'!N675</f>
        <v>0</v>
      </c>
      <c r="AJ105" s="695"/>
      <c r="AK105" s="1492">
        <f t="shared" si="13"/>
        <v>0</v>
      </c>
      <c r="AL105" s="1493"/>
      <c r="AM105" s="1494"/>
      <c r="AN105" s="699"/>
      <c r="AO105" s="695"/>
      <c r="AP105" s="695">
        <f>'Malaria-Key Info'!$F$36*'HPM costs'!P675</f>
        <v>0</v>
      </c>
      <c r="AQ105" s="695"/>
      <c r="AR105" s="695">
        <f>'Malaria-Key Info'!$F$36*'HPM costs'!Q675</f>
        <v>0</v>
      </c>
      <c r="AS105" s="695"/>
      <c r="AT105" s="695">
        <f>'Malaria-Key Info'!$F$36*'HPM costs'!R675</f>
        <v>0</v>
      </c>
      <c r="AU105" s="695"/>
      <c r="AV105" s="695">
        <f>'Malaria-Key Info'!$F$36*'HPM costs'!S675</f>
        <v>0</v>
      </c>
      <c r="AW105" s="695"/>
      <c r="AX105" s="1492">
        <f t="shared" si="14"/>
        <v>0</v>
      </c>
      <c r="AY105" s="1492"/>
      <c r="AZ105" s="698"/>
      <c r="BA105" s="699"/>
      <c r="BB105" s="697"/>
      <c r="BC105" s="697">
        <v>0</v>
      </c>
      <c r="BD105" s="697">
        <v>0</v>
      </c>
      <c r="BE105" s="697">
        <v>0</v>
      </c>
      <c r="BF105" s="697">
        <v>0</v>
      </c>
      <c r="BG105" s="697">
        <v>0</v>
      </c>
      <c r="BH105" s="697">
        <v>0</v>
      </c>
      <c r="BI105" s="697">
        <v>0</v>
      </c>
      <c r="BJ105" s="697">
        <v>0</v>
      </c>
      <c r="BK105" s="1492">
        <f t="shared" si="15"/>
        <v>0</v>
      </c>
      <c r="BL105" s="1492"/>
      <c r="BM105" s="1492">
        <f t="shared" si="16"/>
        <v>0</v>
      </c>
      <c r="BN105" s="1492">
        <f t="shared" si="17"/>
        <v>0</v>
      </c>
      <c r="BO105" s="697"/>
      <c r="BP105" s="697"/>
      <c r="BQ105" s="1495">
        <v>0</v>
      </c>
      <c r="BR105" s="1495" t="s">
        <v>19</v>
      </c>
      <c r="BS105" s="1495" t="s">
        <v>655</v>
      </c>
      <c r="BT105" s="691" t="s">
        <v>1576</v>
      </c>
    </row>
    <row r="106" spans="1:72" s="681" customFormat="1" ht="13" hidden="1">
      <c r="A106" s="1545">
        <v>141</v>
      </c>
      <c r="B106" s="1546" t="s">
        <v>740</v>
      </c>
      <c r="C106" s="1546" t="s">
        <v>757</v>
      </c>
      <c r="D106" s="1547" t="s">
        <v>6947</v>
      </c>
      <c r="E106" s="690" t="s">
        <v>728</v>
      </c>
      <c r="F106" s="691"/>
      <c r="G106" s="692"/>
      <c r="H106" s="692"/>
      <c r="I106" s="692"/>
      <c r="J106" s="693"/>
      <c r="K106" s="693"/>
      <c r="L106" s="693"/>
      <c r="M106" s="694"/>
      <c r="N106" s="695"/>
      <c r="O106" s="696" t="s">
        <v>1569</v>
      </c>
      <c r="P106" s="695">
        <f>('Malaria-Key Info'!$F$37*'HPM costs'!F72)/'HPM costs'!$E$72</f>
        <v>0</v>
      </c>
      <c r="Q106" s="695" t="s">
        <v>1569</v>
      </c>
      <c r="R106" s="695">
        <f>('Malaria-Key Info'!$F$37*'HPM costs'!G72)/'HPM costs'!$E$72</f>
        <v>0</v>
      </c>
      <c r="S106" s="695" t="s">
        <v>1569</v>
      </c>
      <c r="T106" s="695">
        <f>('Malaria-Key Info'!$F$37*'HPM costs'!H72)/'HPM costs'!$E$72</f>
        <v>0</v>
      </c>
      <c r="U106" s="695" t="s">
        <v>1569</v>
      </c>
      <c r="V106" s="695">
        <f>('Malaria-Key Info'!$F$37*'HPM costs'!I72)/'HPM costs'!$E$72</f>
        <v>0</v>
      </c>
      <c r="W106" s="695"/>
      <c r="X106" s="1492">
        <f t="shared" si="12"/>
        <v>0</v>
      </c>
      <c r="Y106" s="1493"/>
      <c r="Z106" s="1494"/>
      <c r="AA106" s="699"/>
      <c r="AB106" s="695"/>
      <c r="AC106" s="695">
        <f>('Malaria-Key Info'!$F$37*'HPM costs'!K72)/'HPM costs'!$E$72</f>
        <v>0</v>
      </c>
      <c r="AD106" s="695"/>
      <c r="AE106" s="695">
        <f>('Malaria-Key Info'!$F$37*'HPM costs'!L72)/'HPM costs'!$E$72</f>
        <v>0</v>
      </c>
      <c r="AF106" s="695"/>
      <c r="AG106" s="695">
        <f>('Malaria-Key Info'!$F$37*'HPM costs'!M72)/'HPM costs'!$E$72</f>
        <v>0</v>
      </c>
      <c r="AH106" s="695"/>
      <c r="AI106" s="695">
        <f>('Malaria-Key Info'!$F$37*'HPM costs'!N72)/'HPM costs'!$E$72</f>
        <v>0</v>
      </c>
      <c r="AJ106" s="695"/>
      <c r="AK106" s="1492">
        <f t="shared" si="13"/>
        <v>0</v>
      </c>
      <c r="AL106" s="1493"/>
      <c r="AM106" s="1494"/>
      <c r="AN106" s="699"/>
      <c r="AO106" s="695"/>
      <c r="AP106" s="695">
        <f>('Malaria-Key Info'!$F$37*'HPM costs'!P72)/'HPM costs'!$E$72</f>
        <v>0</v>
      </c>
      <c r="AQ106" s="695"/>
      <c r="AR106" s="695">
        <f>('Malaria-Key Info'!$F$37*'HPM costs'!Q72)/'HPM costs'!$E$72</f>
        <v>0</v>
      </c>
      <c r="AS106" s="695"/>
      <c r="AT106" s="695">
        <f>('Malaria-Key Info'!$F$37*'HPM costs'!R72)/'HPM costs'!$E$72</f>
        <v>0</v>
      </c>
      <c r="AU106" s="695"/>
      <c r="AV106" s="695">
        <f>('Malaria-Key Info'!$F$37*'HPM costs'!S72)/'HPM costs'!$E$72</f>
        <v>0</v>
      </c>
      <c r="AW106" s="695"/>
      <c r="AX106" s="1492">
        <f t="shared" si="14"/>
        <v>0</v>
      </c>
      <c r="AY106" s="1492"/>
      <c r="AZ106" s="698"/>
      <c r="BA106" s="699"/>
      <c r="BB106" s="697"/>
      <c r="BC106" s="697">
        <v>0</v>
      </c>
      <c r="BD106" s="697">
        <v>0</v>
      </c>
      <c r="BE106" s="697">
        <v>0</v>
      </c>
      <c r="BF106" s="697">
        <v>0</v>
      </c>
      <c r="BG106" s="697">
        <v>0</v>
      </c>
      <c r="BH106" s="697">
        <v>0</v>
      </c>
      <c r="BI106" s="697">
        <v>0</v>
      </c>
      <c r="BJ106" s="697">
        <v>0</v>
      </c>
      <c r="BK106" s="1492">
        <f t="shared" si="15"/>
        <v>0</v>
      </c>
      <c r="BL106" s="1492"/>
      <c r="BM106" s="1492">
        <f t="shared" si="16"/>
        <v>0</v>
      </c>
      <c r="BN106" s="1492">
        <f t="shared" si="17"/>
        <v>0</v>
      </c>
      <c r="BO106" s="697"/>
      <c r="BP106" s="697"/>
      <c r="BQ106" s="1495">
        <v>0</v>
      </c>
      <c r="BR106" s="1495" t="s">
        <v>19</v>
      </c>
      <c r="BS106" s="1495" t="s">
        <v>6947</v>
      </c>
      <c r="BT106" s="691" t="s">
        <v>758</v>
      </c>
    </row>
    <row r="107" spans="1:72" s="681" customFormat="1" ht="13" hidden="1">
      <c r="A107" s="1545">
        <v>142</v>
      </c>
      <c r="B107" s="1546" t="s">
        <v>740</v>
      </c>
      <c r="C107" s="1546" t="s">
        <v>757</v>
      </c>
      <c r="D107" s="1547" t="s">
        <v>655</v>
      </c>
      <c r="E107" s="690" t="s">
        <v>656</v>
      </c>
      <c r="F107" s="691"/>
      <c r="G107" s="692"/>
      <c r="H107" s="692"/>
      <c r="I107" s="692"/>
      <c r="J107" s="693"/>
      <c r="K107" s="693"/>
      <c r="L107" s="693"/>
      <c r="M107" s="694"/>
      <c r="N107" s="695"/>
      <c r="O107" s="696" t="s">
        <v>1569</v>
      </c>
      <c r="P107" s="695">
        <f>'Malaria-Key Info'!$F$37*'HPM costs'!F72</f>
        <v>0</v>
      </c>
      <c r="Q107" s="695" t="s">
        <v>1569</v>
      </c>
      <c r="R107" s="695">
        <f>'Malaria-Key Info'!$F$37*'HPM costs'!G72</f>
        <v>0</v>
      </c>
      <c r="S107" s="695" t="s">
        <v>1569</v>
      </c>
      <c r="T107" s="695">
        <f>'Malaria-Key Info'!$F$37*'HPM costs'!H72</f>
        <v>0</v>
      </c>
      <c r="U107" s="695" t="s">
        <v>1569</v>
      </c>
      <c r="V107" s="695">
        <f>'Malaria-Key Info'!$F$37*'HPM costs'!I72</f>
        <v>0</v>
      </c>
      <c r="W107" s="695"/>
      <c r="X107" s="1492">
        <f t="shared" si="12"/>
        <v>0</v>
      </c>
      <c r="Y107" s="1493"/>
      <c r="Z107" s="1494"/>
      <c r="AA107" s="699"/>
      <c r="AB107" s="695"/>
      <c r="AC107" s="695">
        <f>'Malaria-Key Info'!$F$37*'HPM costs'!K72</f>
        <v>0</v>
      </c>
      <c r="AD107" s="695"/>
      <c r="AE107" s="695">
        <f>'Malaria-Key Info'!$F$37*'HPM costs'!L72</f>
        <v>0</v>
      </c>
      <c r="AF107" s="695"/>
      <c r="AG107" s="695">
        <f>'Malaria-Key Info'!$F$37*'HPM costs'!M72</f>
        <v>0</v>
      </c>
      <c r="AH107" s="695"/>
      <c r="AI107" s="695">
        <f>'Malaria-Key Info'!$F$37*'HPM costs'!N72</f>
        <v>0</v>
      </c>
      <c r="AJ107" s="695"/>
      <c r="AK107" s="1492">
        <f t="shared" si="13"/>
        <v>0</v>
      </c>
      <c r="AL107" s="1493"/>
      <c r="AM107" s="1494"/>
      <c r="AN107" s="699"/>
      <c r="AO107" s="695"/>
      <c r="AP107" s="695">
        <f>'Malaria-Key Info'!$F$37*'HPM costs'!P72</f>
        <v>0</v>
      </c>
      <c r="AQ107" s="695"/>
      <c r="AR107" s="695">
        <f>'Malaria-Key Info'!$F$37*'HPM costs'!Q72</f>
        <v>0</v>
      </c>
      <c r="AS107" s="695"/>
      <c r="AT107" s="695">
        <f>'Malaria-Key Info'!$F$37*'HPM costs'!R72</f>
        <v>0</v>
      </c>
      <c r="AU107" s="695"/>
      <c r="AV107" s="695">
        <f>'Malaria-Key Info'!$F$37*'HPM costs'!S72</f>
        <v>0</v>
      </c>
      <c r="AW107" s="695"/>
      <c r="AX107" s="1492">
        <f t="shared" si="14"/>
        <v>0</v>
      </c>
      <c r="AY107" s="1492"/>
      <c r="AZ107" s="698"/>
      <c r="BA107" s="699"/>
      <c r="BB107" s="697"/>
      <c r="BC107" s="697">
        <v>0</v>
      </c>
      <c r="BD107" s="697">
        <v>0</v>
      </c>
      <c r="BE107" s="697">
        <v>0</v>
      </c>
      <c r="BF107" s="697">
        <v>0</v>
      </c>
      <c r="BG107" s="697">
        <v>0</v>
      </c>
      <c r="BH107" s="697">
        <v>0</v>
      </c>
      <c r="BI107" s="697">
        <v>0</v>
      </c>
      <c r="BJ107" s="697">
        <v>0</v>
      </c>
      <c r="BK107" s="1492">
        <f t="shared" si="15"/>
        <v>0</v>
      </c>
      <c r="BL107" s="1492"/>
      <c r="BM107" s="1492">
        <f t="shared" si="16"/>
        <v>0</v>
      </c>
      <c r="BN107" s="1492">
        <f t="shared" si="17"/>
        <v>0</v>
      </c>
      <c r="BO107" s="697"/>
      <c r="BP107" s="697"/>
      <c r="BQ107" s="1495">
        <v>0</v>
      </c>
      <c r="BR107" s="1495" t="s">
        <v>19</v>
      </c>
      <c r="BS107" s="1495" t="s">
        <v>655</v>
      </c>
      <c r="BT107" s="691" t="s">
        <v>759</v>
      </c>
    </row>
    <row r="108" spans="1:72" s="681" customFormat="1" ht="13" hidden="1">
      <c r="A108" s="1545">
        <v>143</v>
      </c>
      <c r="B108" s="1546" t="s">
        <v>740</v>
      </c>
      <c r="C108" s="1546" t="s">
        <v>757</v>
      </c>
      <c r="D108" s="1547" t="s">
        <v>655</v>
      </c>
      <c r="E108" s="690" t="s">
        <v>658</v>
      </c>
      <c r="F108" s="691"/>
      <c r="G108" s="692"/>
      <c r="H108" s="692"/>
      <c r="I108" s="692"/>
      <c r="J108" s="693"/>
      <c r="K108" s="693"/>
      <c r="L108" s="693"/>
      <c r="M108" s="694"/>
      <c r="N108" s="695"/>
      <c r="O108" s="696" t="s">
        <v>1569</v>
      </c>
      <c r="P108" s="695">
        <f>'Malaria-Key Info'!$F$37*'HPM costs'!F158</f>
        <v>0</v>
      </c>
      <c r="Q108" s="695" t="s">
        <v>1569</v>
      </c>
      <c r="R108" s="695">
        <f>'Malaria-Key Info'!$F$37*'HPM costs'!G158</f>
        <v>0</v>
      </c>
      <c r="S108" s="695" t="s">
        <v>1569</v>
      </c>
      <c r="T108" s="695">
        <f>'Malaria-Key Info'!$F$37*'HPM costs'!H158</f>
        <v>0</v>
      </c>
      <c r="U108" s="695" t="s">
        <v>1569</v>
      </c>
      <c r="V108" s="695">
        <f>'Malaria-Key Info'!$F$37*'HPM costs'!I158</f>
        <v>0</v>
      </c>
      <c r="W108" s="695"/>
      <c r="X108" s="1492">
        <f t="shared" si="12"/>
        <v>0</v>
      </c>
      <c r="Y108" s="1493"/>
      <c r="Z108" s="1494"/>
      <c r="AA108" s="699"/>
      <c r="AB108" s="695"/>
      <c r="AC108" s="695">
        <f>'Malaria-Key Info'!$F$37*'HPM costs'!K158</f>
        <v>0</v>
      </c>
      <c r="AD108" s="695"/>
      <c r="AE108" s="695">
        <f>'Malaria-Key Info'!$F$37*'HPM costs'!L158</f>
        <v>0</v>
      </c>
      <c r="AF108" s="695"/>
      <c r="AG108" s="695">
        <f>'Malaria-Key Info'!$F$37*'HPM costs'!M158</f>
        <v>0</v>
      </c>
      <c r="AH108" s="695"/>
      <c r="AI108" s="695">
        <f>'Malaria-Key Info'!$F$37*'HPM costs'!N158</f>
        <v>0</v>
      </c>
      <c r="AJ108" s="695"/>
      <c r="AK108" s="1492">
        <f t="shared" si="13"/>
        <v>0</v>
      </c>
      <c r="AL108" s="1493"/>
      <c r="AM108" s="1494"/>
      <c r="AN108" s="699"/>
      <c r="AO108" s="695"/>
      <c r="AP108" s="695">
        <f>'Malaria-Key Info'!$F$37*'HPM costs'!P158</f>
        <v>0</v>
      </c>
      <c r="AQ108" s="695"/>
      <c r="AR108" s="695">
        <f>'Malaria-Key Info'!$F$37*'HPM costs'!Q158</f>
        <v>0</v>
      </c>
      <c r="AS108" s="695"/>
      <c r="AT108" s="695">
        <f>'Malaria-Key Info'!$F$37*'HPM costs'!R158</f>
        <v>0</v>
      </c>
      <c r="AU108" s="695"/>
      <c r="AV108" s="695">
        <f>'Malaria-Key Info'!$F$37*'HPM costs'!S158</f>
        <v>0</v>
      </c>
      <c r="AW108" s="695"/>
      <c r="AX108" s="1492">
        <f t="shared" si="14"/>
        <v>0</v>
      </c>
      <c r="AY108" s="1492"/>
      <c r="AZ108" s="698"/>
      <c r="BA108" s="699"/>
      <c r="BB108" s="697"/>
      <c r="BC108" s="697">
        <v>0</v>
      </c>
      <c r="BD108" s="697">
        <v>0</v>
      </c>
      <c r="BE108" s="697">
        <v>0</v>
      </c>
      <c r="BF108" s="697">
        <v>0</v>
      </c>
      <c r="BG108" s="697">
        <v>0</v>
      </c>
      <c r="BH108" s="697">
        <v>0</v>
      </c>
      <c r="BI108" s="697">
        <v>0</v>
      </c>
      <c r="BJ108" s="697">
        <v>0</v>
      </c>
      <c r="BK108" s="1492">
        <f t="shared" si="15"/>
        <v>0</v>
      </c>
      <c r="BL108" s="1492"/>
      <c r="BM108" s="1492">
        <f t="shared" si="16"/>
        <v>0</v>
      </c>
      <c r="BN108" s="1492">
        <f t="shared" si="17"/>
        <v>0</v>
      </c>
      <c r="BO108" s="697"/>
      <c r="BP108" s="697"/>
      <c r="BQ108" s="1495">
        <v>0</v>
      </c>
      <c r="BR108" s="1495" t="s">
        <v>19</v>
      </c>
      <c r="BS108" s="1495" t="s">
        <v>655</v>
      </c>
      <c r="BT108" s="691" t="s">
        <v>760</v>
      </c>
    </row>
    <row r="109" spans="1:72" s="681" customFormat="1" ht="13" hidden="1">
      <c r="A109" s="1545">
        <v>144</v>
      </c>
      <c r="B109" s="1546" t="s">
        <v>740</v>
      </c>
      <c r="C109" s="1546" t="s">
        <v>757</v>
      </c>
      <c r="D109" s="1547" t="s">
        <v>655</v>
      </c>
      <c r="E109" s="690" t="s">
        <v>660</v>
      </c>
      <c r="F109" s="691"/>
      <c r="G109" s="692"/>
      <c r="H109" s="692"/>
      <c r="I109" s="692"/>
      <c r="J109" s="693"/>
      <c r="K109" s="693"/>
      <c r="L109" s="693"/>
      <c r="M109" s="694"/>
      <c r="N109" s="695"/>
      <c r="O109" s="696" t="s">
        <v>1569</v>
      </c>
      <c r="P109" s="695">
        <f>'Malaria-Key Info'!$F$37*'HPM costs'!F418</f>
        <v>0</v>
      </c>
      <c r="Q109" s="695" t="s">
        <v>1569</v>
      </c>
      <c r="R109" s="695">
        <f>'Malaria-Key Info'!$F$37*'HPM costs'!G418</f>
        <v>0</v>
      </c>
      <c r="S109" s="695" t="s">
        <v>1569</v>
      </c>
      <c r="T109" s="695">
        <f>'Malaria-Key Info'!$F$37*'HPM costs'!H418</f>
        <v>0</v>
      </c>
      <c r="U109" s="695" t="s">
        <v>1569</v>
      </c>
      <c r="V109" s="695">
        <f>'Malaria-Key Info'!$F$37*'HPM costs'!I418</f>
        <v>0</v>
      </c>
      <c r="W109" s="695"/>
      <c r="X109" s="1492">
        <f t="shared" si="12"/>
        <v>0</v>
      </c>
      <c r="Y109" s="1493"/>
      <c r="Z109" s="1494"/>
      <c r="AA109" s="699"/>
      <c r="AB109" s="695"/>
      <c r="AC109" s="695">
        <f>'Malaria-Key Info'!$F$37*'HPM costs'!K418</f>
        <v>0</v>
      </c>
      <c r="AD109" s="695"/>
      <c r="AE109" s="695">
        <f>'Malaria-Key Info'!$F$37*'HPM costs'!L418</f>
        <v>0</v>
      </c>
      <c r="AF109" s="695"/>
      <c r="AG109" s="695">
        <f>'Malaria-Key Info'!$F$37*'HPM costs'!M418</f>
        <v>0</v>
      </c>
      <c r="AH109" s="695"/>
      <c r="AI109" s="695">
        <f>'Malaria-Key Info'!$F$37*'HPM costs'!N418</f>
        <v>0</v>
      </c>
      <c r="AJ109" s="695"/>
      <c r="AK109" s="1492">
        <f t="shared" si="13"/>
        <v>0</v>
      </c>
      <c r="AL109" s="1493"/>
      <c r="AM109" s="1494"/>
      <c r="AN109" s="699"/>
      <c r="AO109" s="695"/>
      <c r="AP109" s="695">
        <f>'Malaria-Key Info'!$F$37*'HPM costs'!P418</f>
        <v>0</v>
      </c>
      <c r="AQ109" s="695"/>
      <c r="AR109" s="695">
        <f>'Malaria-Key Info'!$F$37*'HPM costs'!Q418</f>
        <v>0</v>
      </c>
      <c r="AS109" s="695"/>
      <c r="AT109" s="695">
        <f>'Malaria-Key Info'!$F$37*'HPM costs'!R418</f>
        <v>0</v>
      </c>
      <c r="AU109" s="695"/>
      <c r="AV109" s="695">
        <f>'Malaria-Key Info'!$F$37*'HPM costs'!S418</f>
        <v>0</v>
      </c>
      <c r="AW109" s="695"/>
      <c r="AX109" s="1492">
        <f t="shared" si="14"/>
        <v>0</v>
      </c>
      <c r="AY109" s="1492"/>
      <c r="AZ109" s="698"/>
      <c r="BA109" s="699"/>
      <c r="BB109" s="697"/>
      <c r="BC109" s="697">
        <v>0</v>
      </c>
      <c r="BD109" s="697">
        <v>0</v>
      </c>
      <c r="BE109" s="697">
        <v>0</v>
      </c>
      <c r="BF109" s="697">
        <v>0</v>
      </c>
      <c r="BG109" s="697">
        <v>0</v>
      </c>
      <c r="BH109" s="697">
        <v>0</v>
      </c>
      <c r="BI109" s="697">
        <v>0</v>
      </c>
      <c r="BJ109" s="697">
        <v>0</v>
      </c>
      <c r="BK109" s="1492">
        <f t="shared" si="15"/>
        <v>0</v>
      </c>
      <c r="BL109" s="1492"/>
      <c r="BM109" s="1492">
        <f t="shared" si="16"/>
        <v>0</v>
      </c>
      <c r="BN109" s="1492">
        <f t="shared" si="17"/>
        <v>0</v>
      </c>
      <c r="BO109" s="697"/>
      <c r="BP109" s="697"/>
      <c r="BQ109" s="1495">
        <v>0</v>
      </c>
      <c r="BR109" s="1495" t="s">
        <v>19</v>
      </c>
      <c r="BS109" s="1495" t="s">
        <v>655</v>
      </c>
      <c r="BT109" s="691" t="s">
        <v>761</v>
      </c>
    </row>
    <row r="110" spans="1:72" s="681" customFormat="1" ht="13" hidden="1">
      <c r="A110" s="1545">
        <v>145</v>
      </c>
      <c r="B110" s="1546" t="s">
        <v>740</v>
      </c>
      <c r="C110" s="1546" t="s">
        <v>757</v>
      </c>
      <c r="D110" s="1547" t="s">
        <v>655</v>
      </c>
      <c r="E110" s="690" t="s">
        <v>662</v>
      </c>
      <c r="F110" s="691"/>
      <c r="G110" s="692"/>
      <c r="H110" s="692"/>
      <c r="I110" s="692"/>
      <c r="J110" s="693"/>
      <c r="K110" s="693"/>
      <c r="L110" s="693"/>
      <c r="M110" s="694"/>
      <c r="N110" s="695"/>
      <c r="O110" s="696" t="s">
        <v>1569</v>
      </c>
      <c r="P110" s="695">
        <f>'Malaria-Key Info'!$F$37*'HPM costs'!F504</f>
        <v>0</v>
      </c>
      <c r="Q110" s="695" t="s">
        <v>1569</v>
      </c>
      <c r="R110" s="695">
        <f>'Malaria-Key Info'!$F$37*'HPM costs'!G504</f>
        <v>0</v>
      </c>
      <c r="S110" s="695" t="s">
        <v>1569</v>
      </c>
      <c r="T110" s="695">
        <f>'Malaria-Key Info'!$F$37*'HPM costs'!H504</f>
        <v>0</v>
      </c>
      <c r="U110" s="695" t="s">
        <v>1569</v>
      </c>
      <c r="V110" s="695">
        <f>'Malaria-Key Info'!$F$37*'HPM costs'!I504</f>
        <v>0</v>
      </c>
      <c r="W110" s="695"/>
      <c r="X110" s="1492">
        <f t="shared" si="12"/>
        <v>0</v>
      </c>
      <c r="Y110" s="1493"/>
      <c r="Z110" s="1494"/>
      <c r="AA110" s="699"/>
      <c r="AB110" s="695"/>
      <c r="AC110" s="695">
        <f>'Malaria-Key Info'!$F$37*'HPM costs'!K504</f>
        <v>0</v>
      </c>
      <c r="AD110" s="695"/>
      <c r="AE110" s="695">
        <f>'Malaria-Key Info'!$F$37*'HPM costs'!L504</f>
        <v>0</v>
      </c>
      <c r="AF110" s="695"/>
      <c r="AG110" s="695">
        <f>'Malaria-Key Info'!$F$37*'HPM costs'!M504</f>
        <v>0</v>
      </c>
      <c r="AH110" s="695"/>
      <c r="AI110" s="695">
        <f>'Malaria-Key Info'!$F$37*'HPM costs'!N504</f>
        <v>0</v>
      </c>
      <c r="AJ110" s="695"/>
      <c r="AK110" s="1492">
        <f t="shared" si="13"/>
        <v>0</v>
      </c>
      <c r="AL110" s="1493"/>
      <c r="AM110" s="1494"/>
      <c r="AN110" s="699"/>
      <c r="AO110" s="695"/>
      <c r="AP110" s="695">
        <f>'Malaria-Key Info'!$F$37*'HPM costs'!P504</f>
        <v>0</v>
      </c>
      <c r="AQ110" s="695"/>
      <c r="AR110" s="695">
        <f>'Malaria-Key Info'!$F$37*'HPM costs'!Q504</f>
        <v>0</v>
      </c>
      <c r="AS110" s="695"/>
      <c r="AT110" s="695">
        <f>'Malaria-Key Info'!$F$37*'HPM costs'!R504</f>
        <v>0</v>
      </c>
      <c r="AU110" s="695"/>
      <c r="AV110" s="695">
        <f>'Malaria-Key Info'!$F$37*'HPM costs'!S504</f>
        <v>0</v>
      </c>
      <c r="AW110" s="695"/>
      <c r="AX110" s="1492">
        <f t="shared" si="14"/>
        <v>0</v>
      </c>
      <c r="AY110" s="1492"/>
      <c r="AZ110" s="698"/>
      <c r="BA110" s="699"/>
      <c r="BB110" s="697"/>
      <c r="BC110" s="697">
        <v>0</v>
      </c>
      <c r="BD110" s="697">
        <v>0</v>
      </c>
      <c r="BE110" s="697">
        <v>0</v>
      </c>
      <c r="BF110" s="697">
        <v>0</v>
      </c>
      <c r="BG110" s="697">
        <v>0</v>
      </c>
      <c r="BH110" s="697">
        <v>0</v>
      </c>
      <c r="BI110" s="697">
        <v>0</v>
      </c>
      <c r="BJ110" s="697">
        <v>0</v>
      </c>
      <c r="BK110" s="1492">
        <f t="shared" si="15"/>
        <v>0</v>
      </c>
      <c r="BL110" s="1492"/>
      <c r="BM110" s="1492">
        <f t="shared" si="16"/>
        <v>0</v>
      </c>
      <c r="BN110" s="1492">
        <f t="shared" si="17"/>
        <v>0</v>
      </c>
      <c r="BO110" s="697"/>
      <c r="BP110" s="697"/>
      <c r="BQ110" s="1495">
        <v>0</v>
      </c>
      <c r="BR110" s="1495" t="s">
        <v>19</v>
      </c>
      <c r="BS110" s="1495" t="s">
        <v>655</v>
      </c>
      <c r="BT110" s="691" t="s">
        <v>762</v>
      </c>
    </row>
    <row r="111" spans="1:72" s="681" customFormat="1" ht="13" hidden="1">
      <c r="A111" s="1545">
        <v>146</v>
      </c>
      <c r="B111" s="1546" t="s">
        <v>740</v>
      </c>
      <c r="C111" s="1546" t="s">
        <v>757</v>
      </c>
      <c r="D111" s="1547" t="s">
        <v>655</v>
      </c>
      <c r="E111" s="690" t="s">
        <v>664</v>
      </c>
      <c r="F111" s="691"/>
      <c r="G111" s="692">
        <f>SETUP!$E$3</f>
        <v>0</v>
      </c>
      <c r="H111" s="692"/>
      <c r="I111" s="692"/>
      <c r="J111" s="693"/>
      <c r="K111" s="693"/>
      <c r="L111" s="693"/>
      <c r="M111" s="694"/>
      <c r="N111" s="695"/>
      <c r="O111" s="696" t="s">
        <v>1569</v>
      </c>
      <c r="P111" s="695">
        <f>'Malaria-Key Info'!$F$37*('HPM costs'!F244+'HPM costs'!F590)</f>
        <v>0</v>
      </c>
      <c r="Q111" s="695" t="s">
        <v>1569</v>
      </c>
      <c r="R111" s="695">
        <f>'Malaria-Key Info'!$F$37*('HPM costs'!G244+'HPM costs'!G590)</f>
        <v>0</v>
      </c>
      <c r="S111" s="695" t="s">
        <v>1569</v>
      </c>
      <c r="T111" s="695">
        <f>'Malaria-Key Info'!$F$37*('HPM costs'!H244+'HPM costs'!H590)</f>
        <v>0</v>
      </c>
      <c r="U111" s="695" t="s">
        <v>1569</v>
      </c>
      <c r="V111" s="695">
        <f>'Malaria-Key Info'!$F$37*('HPM costs'!I244+'HPM costs'!I590)</f>
        <v>0</v>
      </c>
      <c r="W111" s="695"/>
      <c r="X111" s="1492">
        <f t="shared" si="12"/>
        <v>0</v>
      </c>
      <c r="Y111" s="1493"/>
      <c r="Z111" s="1494"/>
      <c r="AA111" s="699"/>
      <c r="AB111" s="695"/>
      <c r="AC111" s="695">
        <f>'Malaria-Key Info'!$F$37*('HPM costs'!K244+'HPM costs'!K590)</f>
        <v>0</v>
      </c>
      <c r="AD111" s="695"/>
      <c r="AE111" s="695">
        <f>'Malaria-Key Info'!$F$37*('HPM costs'!L244+'HPM costs'!L590)</f>
        <v>0</v>
      </c>
      <c r="AF111" s="695"/>
      <c r="AG111" s="695">
        <f>'Malaria-Key Info'!$F$37*('HPM costs'!M244+'HPM costs'!M590)</f>
        <v>0</v>
      </c>
      <c r="AH111" s="695"/>
      <c r="AI111" s="695">
        <f>'Malaria-Key Info'!$F$37*('HPM costs'!N244+'HPM costs'!N590)</f>
        <v>0</v>
      </c>
      <c r="AJ111" s="695"/>
      <c r="AK111" s="1492">
        <f t="shared" si="13"/>
        <v>0</v>
      </c>
      <c r="AL111" s="1493"/>
      <c r="AM111" s="1494"/>
      <c r="AN111" s="699"/>
      <c r="AO111" s="695"/>
      <c r="AP111" s="695">
        <f>'Malaria-Key Info'!$F$37*('HPM costs'!P244+'HPM costs'!P590)</f>
        <v>0</v>
      </c>
      <c r="AQ111" s="695"/>
      <c r="AR111" s="695">
        <f>'Malaria-Key Info'!$F$37*('HPM costs'!Q244+'HPM costs'!Q590)</f>
        <v>0</v>
      </c>
      <c r="AS111" s="695"/>
      <c r="AT111" s="695">
        <f>'Malaria-Key Info'!$F$37*('HPM costs'!R244+'HPM costs'!R590)</f>
        <v>0</v>
      </c>
      <c r="AU111" s="695"/>
      <c r="AV111" s="695">
        <f>'Malaria-Key Info'!$F$37*('HPM costs'!S244+'HPM costs'!S590)</f>
        <v>0</v>
      </c>
      <c r="AW111" s="695"/>
      <c r="AX111" s="1492">
        <f t="shared" si="14"/>
        <v>0</v>
      </c>
      <c r="AY111" s="1492"/>
      <c r="AZ111" s="698"/>
      <c r="BA111" s="699"/>
      <c r="BB111" s="697"/>
      <c r="BC111" s="697">
        <v>0</v>
      </c>
      <c r="BD111" s="697">
        <v>0</v>
      </c>
      <c r="BE111" s="697">
        <v>0</v>
      </c>
      <c r="BF111" s="697">
        <v>0</v>
      </c>
      <c r="BG111" s="697">
        <v>0</v>
      </c>
      <c r="BH111" s="697">
        <v>0</v>
      </c>
      <c r="BI111" s="697">
        <v>0</v>
      </c>
      <c r="BJ111" s="697">
        <v>0</v>
      </c>
      <c r="BK111" s="1492">
        <f t="shared" si="15"/>
        <v>0</v>
      </c>
      <c r="BL111" s="1492"/>
      <c r="BM111" s="1492">
        <f t="shared" si="16"/>
        <v>0</v>
      </c>
      <c r="BN111" s="1492">
        <f t="shared" si="17"/>
        <v>0</v>
      </c>
      <c r="BO111" s="697"/>
      <c r="BP111" s="697"/>
      <c r="BQ111" s="1495">
        <v>0</v>
      </c>
      <c r="BR111" s="1495" t="s">
        <v>19</v>
      </c>
      <c r="BS111" s="1495" t="s">
        <v>655</v>
      </c>
      <c r="BT111" s="691" t="s">
        <v>763</v>
      </c>
    </row>
    <row r="112" spans="1:72" s="681" customFormat="1" ht="13" hidden="1">
      <c r="A112" s="1545">
        <v>147</v>
      </c>
      <c r="B112" s="1546" t="s">
        <v>740</v>
      </c>
      <c r="C112" s="1546" t="s">
        <v>757</v>
      </c>
      <c r="D112" s="1547" t="s">
        <v>655</v>
      </c>
      <c r="E112" s="690" t="s">
        <v>666</v>
      </c>
      <c r="F112" s="691"/>
      <c r="G112" s="692">
        <f>SETUP!$E$3</f>
        <v>0</v>
      </c>
      <c r="H112" s="692"/>
      <c r="I112" s="692"/>
      <c r="J112" s="693"/>
      <c r="K112" s="693"/>
      <c r="L112" s="693"/>
      <c r="M112" s="694"/>
      <c r="N112" s="695"/>
      <c r="O112" s="696" t="s">
        <v>1569</v>
      </c>
      <c r="P112" s="695">
        <f>'Malaria-Key Info'!$F$37*'HPM costs'!F330</f>
        <v>0</v>
      </c>
      <c r="Q112" s="695" t="s">
        <v>1569</v>
      </c>
      <c r="R112" s="695">
        <f>'Malaria-Key Info'!$F$37*'HPM costs'!G330</f>
        <v>0</v>
      </c>
      <c r="S112" s="695" t="s">
        <v>1569</v>
      </c>
      <c r="T112" s="695">
        <f>'Malaria-Key Info'!$F$37*'HPM costs'!H330</f>
        <v>0</v>
      </c>
      <c r="U112" s="695" t="s">
        <v>1569</v>
      </c>
      <c r="V112" s="695">
        <f>'Malaria-Key Info'!$F$37*'HPM costs'!I330</f>
        <v>0</v>
      </c>
      <c r="W112" s="695"/>
      <c r="X112" s="1492">
        <f t="shared" si="12"/>
        <v>0</v>
      </c>
      <c r="Y112" s="1493"/>
      <c r="Z112" s="1494"/>
      <c r="AA112" s="699"/>
      <c r="AB112" s="695"/>
      <c r="AC112" s="695">
        <f>'Malaria-Key Info'!$F$37*'HPM costs'!K330</f>
        <v>0</v>
      </c>
      <c r="AD112" s="695"/>
      <c r="AE112" s="695">
        <f>'Malaria-Key Info'!$F$37*'HPM costs'!L330</f>
        <v>0</v>
      </c>
      <c r="AF112" s="695"/>
      <c r="AG112" s="695">
        <f>'Malaria-Key Info'!$F$37*'HPM costs'!M330</f>
        <v>0</v>
      </c>
      <c r="AH112" s="695"/>
      <c r="AI112" s="695">
        <f>'Malaria-Key Info'!$F$37*'HPM costs'!N330</f>
        <v>0</v>
      </c>
      <c r="AJ112" s="695"/>
      <c r="AK112" s="1492">
        <f t="shared" si="13"/>
        <v>0</v>
      </c>
      <c r="AL112" s="1493"/>
      <c r="AM112" s="1494"/>
      <c r="AN112" s="699"/>
      <c r="AO112" s="695"/>
      <c r="AP112" s="695">
        <f>'Malaria-Key Info'!$F$37*'HPM costs'!P330</f>
        <v>0</v>
      </c>
      <c r="AQ112" s="695"/>
      <c r="AR112" s="695">
        <f>'Malaria-Key Info'!$F$37*'HPM costs'!Q330</f>
        <v>0</v>
      </c>
      <c r="AS112" s="695"/>
      <c r="AT112" s="695">
        <f>'Malaria-Key Info'!$F$37*'HPM costs'!R330</f>
        <v>0</v>
      </c>
      <c r="AU112" s="695"/>
      <c r="AV112" s="695">
        <f>'Malaria-Key Info'!$F$37*'HPM costs'!S330</f>
        <v>0</v>
      </c>
      <c r="AW112" s="695"/>
      <c r="AX112" s="1492">
        <f t="shared" si="14"/>
        <v>0</v>
      </c>
      <c r="AY112" s="1492"/>
      <c r="AZ112" s="698"/>
      <c r="BA112" s="699"/>
      <c r="BB112" s="697"/>
      <c r="BC112" s="697">
        <v>0</v>
      </c>
      <c r="BD112" s="697">
        <v>0</v>
      </c>
      <c r="BE112" s="697">
        <v>0</v>
      </c>
      <c r="BF112" s="697">
        <v>0</v>
      </c>
      <c r="BG112" s="697">
        <v>0</v>
      </c>
      <c r="BH112" s="697">
        <v>0</v>
      </c>
      <c r="BI112" s="697">
        <v>0</v>
      </c>
      <c r="BJ112" s="697">
        <v>0</v>
      </c>
      <c r="BK112" s="1492">
        <f t="shared" si="15"/>
        <v>0</v>
      </c>
      <c r="BL112" s="1492"/>
      <c r="BM112" s="1492">
        <f t="shared" si="16"/>
        <v>0</v>
      </c>
      <c r="BN112" s="1492">
        <f t="shared" si="17"/>
        <v>0</v>
      </c>
      <c r="BO112" s="697"/>
      <c r="BP112" s="697"/>
      <c r="BQ112" s="1495">
        <v>0</v>
      </c>
      <c r="BR112" s="1495" t="s">
        <v>19</v>
      </c>
      <c r="BS112" s="1495" t="s">
        <v>655</v>
      </c>
      <c r="BT112" s="691" t="s">
        <v>764</v>
      </c>
    </row>
    <row r="113" spans="1:72" s="681" customFormat="1" ht="13" hidden="1">
      <c r="A113" s="1545">
        <v>148</v>
      </c>
      <c r="B113" s="1546" t="s">
        <v>740</v>
      </c>
      <c r="C113" s="1546" t="s">
        <v>757</v>
      </c>
      <c r="D113" s="1547" t="s">
        <v>655</v>
      </c>
      <c r="E113" s="690" t="s">
        <v>668</v>
      </c>
      <c r="F113" s="691"/>
      <c r="G113" s="692"/>
      <c r="H113" s="692"/>
      <c r="I113" s="692"/>
      <c r="J113" s="693"/>
      <c r="K113" s="693"/>
      <c r="L113" s="693"/>
      <c r="M113" s="694"/>
      <c r="N113" s="695"/>
      <c r="O113" s="696" t="s">
        <v>1569</v>
      </c>
      <c r="P113" s="695">
        <f>'Malaria-Key Info'!$F$37*'HPM costs'!F675</f>
        <v>0</v>
      </c>
      <c r="Q113" s="695" t="s">
        <v>1569</v>
      </c>
      <c r="R113" s="695">
        <f>'Malaria-Key Info'!$F$37*'HPM costs'!G675</f>
        <v>0</v>
      </c>
      <c r="S113" s="695" t="s">
        <v>1569</v>
      </c>
      <c r="T113" s="695">
        <f>'Malaria-Key Info'!$F$37*'HPM costs'!H675</f>
        <v>0</v>
      </c>
      <c r="U113" s="695" t="s">
        <v>1569</v>
      </c>
      <c r="V113" s="695">
        <f>'Malaria-Key Info'!$F$37*'HPM costs'!I675</f>
        <v>0</v>
      </c>
      <c r="W113" s="695"/>
      <c r="X113" s="1492">
        <f t="shared" si="12"/>
        <v>0</v>
      </c>
      <c r="Y113" s="1493"/>
      <c r="Z113" s="1494"/>
      <c r="AA113" s="699"/>
      <c r="AB113" s="695"/>
      <c r="AC113" s="695">
        <f>'Malaria-Key Info'!$F$37*'HPM costs'!K675</f>
        <v>0</v>
      </c>
      <c r="AD113" s="695"/>
      <c r="AE113" s="695">
        <f>'Malaria-Key Info'!$F$37*'HPM costs'!L675</f>
        <v>0</v>
      </c>
      <c r="AF113" s="695"/>
      <c r="AG113" s="695">
        <f>'Malaria-Key Info'!$F$37*'HPM costs'!M675</f>
        <v>0</v>
      </c>
      <c r="AH113" s="695"/>
      <c r="AI113" s="695">
        <f>'Malaria-Key Info'!$F$37*'HPM costs'!N675</f>
        <v>0</v>
      </c>
      <c r="AJ113" s="695"/>
      <c r="AK113" s="1492">
        <f t="shared" si="13"/>
        <v>0</v>
      </c>
      <c r="AL113" s="1493"/>
      <c r="AM113" s="1494"/>
      <c r="AN113" s="699"/>
      <c r="AO113" s="695"/>
      <c r="AP113" s="695">
        <f>'Malaria-Key Info'!$F$37*'HPM costs'!P675</f>
        <v>0</v>
      </c>
      <c r="AQ113" s="695"/>
      <c r="AR113" s="695">
        <f>'Malaria-Key Info'!$F$37*'HPM costs'!Q675</f>
        <v>0</v>
      </c>
      <c r="AS113" s="695"/>
      <c r="AT113" s="695">
        <f>'Malaria-Key Info'!$F$37*'HPM costs'!R675</f>
        <v>0</v>
      </c>
      <c r="AU113" s="695"/>
      <c r="AV113" s="695">
        <f>'Malaria-Key Info'!$F$37*'HPM costs'!S675</f>
        <v>0</v>
      </c>
      <c r="AW113" s="695"/>
      <c r="AX113" s="1492">
        <f t="shared" si="14"/>
        <v>0</v>
      </c>
      <c r="AY113" s="1492"/>
      <c r="AZ113" s="698"/>
      <c r="BA113" s="699"/>
      <c r="BB113" s="697"/>
      <c r="BC113" s="697">
        <v>0</v>
      </c>
      <c r="BD113" s="697">
        <v>0</v>
      </c>
      <c r="BE113" s="697">
        <v>0</v>
      </c>
      <c r="BF113" s="697">
        <v>0</v>
      </c>
      <c r="BG113" s="697">
        <v>0</v>
      </c>
      <c r="BH113" s="697">
        <v>0</v>
      </c>
      <c r="BI113" s="697">
        <v>0</v>
      </c>
      <c r="BJ113" s="697">
        <v>0</v>
      </c>
      <c r="BK113" s="1492">
        <f t="shared" si="15"/>
        <v>0</v>
      </c>
      <c r="BL113" s="1492"/>
      <c r="BM113" s="1492">
        <f t="shared" si="16"/>
        <v>0</v>
      </c>
      <c r="BN113" s="1492">
        <f t="shared" si="17"/>
        <v>0</v>
      </c>
      <c r="BO113" s="697"/>
      <c r="BP113" s="697"/>
      <c r="BQ113" s="1495">
        <v>0</v>
      </c>
      <c r="BR113" s="1495" t="s">
        <v>19</v>
      </c>
      <c r="BS113" s="1495" t="s">
        <v>655</v>
      </c>
      <c r="BT113" s="691" t="s">
        <v>1577</v>
      </c>
    </row>
    <row r="114" spans="1:72" s="681" customFormat="1" ht="13" hidden="1">
      <c r="A114" s="1545">
        <v>149</v>
      </c>
      <c r="B114" s="1546" t="s">
        <v>740</v>
      </c>
      <c r="C114" s="1546" t="s">
        <v>765</v>
      </c>
      <c r="D114" s="1547" t="s">
        <v>6947</v>
      </c>
      <c r="E114" s="690" t="s">
        <v>728</v>
      </c>
      <c r="F114" s="691"/>
      <c r="G114" s="692"/>
      <c r="H114" s="692"/>
      <c r="I114" s="692"/>
      <c r="J114" s="693"/>
      <c r="K114" s="693"/>
      <c r="L114" s="693"/>
      <c r="M114" s="694"/>
      <c r="N114" s="695"/>
      <c r="O114" s="696" t="s">
        <v>1569</v>
      </c>
      <c r="P114" s="695">
        <f>('Malaria-Key Info'!$F$38*'HPM costs'!F72)/'HPM costs'!$E$72</f>
        <v>0</v>
      </c>
      <c r="Q114" s="695" t="s">
        <v>1569</v>
      </c>
      <c r="R114" s="695">
        <f>('Malaria-Key Info'!$F$38*'HPM costs'!G72)/'HPM costs'!$E$72</f>
        <v>0</v>
      </c>
      <c r="S114" s="695" t="s">
        <v>1569</v>
      </c>
      <c r="T114" s="695">
        <f>('Malaria-Key Info'!$F$38*'HPM costs'!H72)/'HPM costs'!$E$72</f>
        <v>0</v>
      </c>
      <c r="U114" s="695" t="s">
        <v>1569</v>
      </c>
      <c r="V114" s="695">
        <f>('Malaria-Key Info'!$F$38*'HPM costs'!I72)/'HPM costs'!$E$72</f>
        <v>0</v>
      </c>
      <c r="W114" s="695"/>
      <c r="X114" s="1492">
        <f t="shared" si="12"/>
        <v>0</v>
      </c>
      <c r="Y114" s="1493"/>
      <c r="Z114" s="1494"/>
      <c r="AA114" s="699"/>
      <c r="AB114" s="695"/>
      <c r="AC114" s="695">
        <f>('Malaria-Key Info'!$F$38*'HPM costs'!K72)/'HPM costs'!$E$72</f>
        <v>0</v>
      </c>
      <c r="AD114" s="695"/>
      <c r="AE114" s="695">
        <f>('Malaria-Key Info'!$F$38*'HPM costs'!L72)/'HPM costs'!$E$72</f>
        <v>0</v>
      </c>
      <c r="AF114" s="695"/>
      <c r="AG114" s="695">
        <f>('Malaria-Key Info'!$F$38*'HPM costs'!M72)/'HPM costs'!$E$72</f>
        <v>0</v>
      </c>
      <c r="AH114" s="695"/>
      <c r="AI114" s="695">
        <f>('Malaria-Key Info'!$F$38*'HPM costs'!N72)/'HPM costs'!$E$72</f>
        <v>0</v>
      </c>
      <c r="AJ114" s="695"/>
      <c r="AK114" s="1492">
        <f t="shared" si="13"/>
        <v>0</v>
      </c>
      <c r="AL114" s="1493"/>
      <c r="AM114" s="1494"/>
      <c r="AN114" s="699"/>
      <c r="AO114" s="695"/>
      <c r="AP114" s="695">
        <f>('Malaria-Key Info'!$F$38*'HPM costs'!P72)/'HPM costs'!$E$72</f>
        <v>0</v>
      </c>
      <c r="AQ114" s="695"/>
      <c r="AR114" s="695">
        <f>('Malaria-Key Info'!$F$38*'HPM costs'!Q72)/'HPM costs'!$E$72</f>
        <v>0</v>
      </c>
      <c r="AS114" s="695"/>
      <c r="AT114" s="695">
        <f>('Malaria-Key Info'!$F$38*'HPM costs'!R72)/'HPM costs'!$E$72</f>
        <v>0</v>
      </c>
      <c r="AU114" s="695"/>
      <c r="AV114" s="695">
        <f>('Malaria-Key Info'!$F$38*'HPM costs'!S72)/'HPM costs'!$E$72</f>
        <v>0</v>
      </c>
      <c r="AW114" s="695"/>
      <c r="AX114" s="1492">
        <f t="shared" si="14"/>
        <v>0</v>
      </c>
      <c r="AY114" s="1492"/>
      <c r="AZ114" s="698"/>
      <c r="BA114" s="699"/>
      <c r="BB114" s="697"/>
      <c r="BC114" s="697">
        <v>0</v>
      </c>
      <c r="BD114" s="697">
        <v>0</v>
      </c>
      <c r="BE114" s="697">
        <v>0</v>
      </c>
      <c r="BF114" s="697">
        <v>0</v>
      </c>
      <c r="BG114" s="697">
        <v>0</v>
      </c>
      <c r="BH114" s="697">
        <v>0</v>
      </c>
      <c r="BI114" s="697">
        <v>0</v>
      </c>
      <c r="BJ114" s="697">
        <v>0</v>
      </c>
      <c r="BK114" s="1492">
        <f t="shared" si="15"/>
        <v>0</v>
      </c>
      <c r="BL114" s="1492"/>
      <c r="BM114" s="1492">
        <f t="shared" si="16"/>
        <v>0</v>
      </c>
      <c r="BN114" s="1492">
        <f t="shared" si="17"/>
        <v>0</v>
      </c>
      <c r="BO114" s="697"/>
      <c r="BP114" s="697"/>
      <c r="BQ114" s="1495">
        <v>0</v>
      </c>
      <c r="BR114" s="1495" t="s">
        <v>19</v>
      </c>
      <c r="BS114" s="1495" t="s">
        <v>6947</v>
      </c>
      <c r="BT114" s="691" t="s">
        <v>766</v>
      </c>
    </row>
    <row r="115" spans="1:72" s="681" customFormat="1" ht="13" hidden="1">
      <c r="A115" s="1545">
        <v>150</v>
      </c>
      <c r="B115" s="1546" t="s">
        <v>740</v>
      </c>
      <c r="C115" s="1546" t="s">
        <v>765</v>
      </c>
      <c r="D115" s="1547" t="s">
        <v>655</v>
      </c>
      <c r="E115" s="690" t="s">
        <v>656</v>
      </c>
      <c r="F115" s="691"/>
      <c r="G115" s="692"/>
      <c r="H115" s="692"/>
      <c r="I115" s="692"/>
      <c r="J115" s="693"/>
      <c r="K115" s="693"/>
      <c r="L115" s="693"/>
      <c r="M115" s="694"/>
      <c r="N115" s="695"/>
      <c r="O115" s="696" t="s">
        <v>1569</v>
      </c>
      <c r="P115" s="695">
        <f>'Malaria-Key Info'!$F$38*'HPM costs'!F72</f>
        <v>0</v>
      </c>
      <c r="Q115" s="695" t="s">
        <v>1569</v>
      </c>
      <c r="R115" s="695">
        <f>'Malaria-Key Info'!$F$38*'HPM costs'!G72</f>
        <v>0</v>
      </c>
      <c r="S115" s="695" t="s">
        <v>1569</v>
      </c>
      <c r="T115" s="695">
        <f>'Malaria-Key Info'!$F$38*'HPM costs'!H72</f>
        <v>0</v>
      </c>
      <c r="U115" s="695" t="s">
        <v>1569</v>
      </c>
      <c r="V115" s="695">
        <f>'Malaria-Key Info'!$F$38*'HPM costs'!I72</f>
        <v>0</v>
      </c>
      <c r="W115" s="695"/>
      <c r="X115" s="1492">
        <f t="shared" si="12"/>
        <v>0</v>
      </c>
      <c r="Y115" s="1493"/>
      <c r="Z115" s="1494"/>
      <c r="AA115" s="699"/>
      <c r="AB115" s="695"/>
      <c r="AC115" s="695">
        <f>'Malaria-Key Info'!$F$38*'HPM costs'!K72</f>
        <v>0</v>
      </c>
      <c r="AD115" s="695"/>
      <c r="AE115" s="695">
        <f>'Malaria-Key Info'!$F$38*'HPM costs'!L72</f>
        <v>0</v>
      </c>
      <c r="AF115" s="695"/>
      <c r="AG115" s="695">
        <f>'Malaria-Key Info'!$F$38*'HPM costs'!M72</f>
        <v>0</v>
      </c>
      <c r="AH115" s="695"/>
      <c r="AI115" s="695">
        <f>'Malaria-Key Info'!$F$38*'HPM costs'!N72</f>
        <v>0</v>
      </c>
      <c r="AJ115" s="695"/>
      <c r="AK115" s="1492">
        <f t="shared" si="13"/>
        <v>0</v>
      </c>
      <c r="AL115" s="1493"/>
      <c r="AM115" s="1494"/>
      <c r="AN115" s="699"/>
      <c r="AO115" s="695"/>
      <c r="AP115" s="695">
        <f>'Malaria-Key Info'!$F$38*'HPM costs'!P72</f>
        <v>0</v>
      </c>
      <c r="AQ115" s="695"/>
      <c r="AR115" s="695">
        <f>'Malaria-Key Info'!$F$38*'HPM costs'!Q72</f>
        <v>0</v>
      </c>
      <c r="AS115" s="695"/>
      <c r="AT115" s="695">
        <f>'Malaria-Key Info'!$F$38*'HPM costs'!R72</f>
        <v>0</v>
      </c>
      <c r="AU115" s="695"/>
      <c r="AV115" s="695">
        <f>'Malaria-Key Info'!$F$38*'HPM costs'!S72</f>
        <v>0</v>
      </c>
      <c r="AW115" s="695"/>
      <c r="AX115" s="1492">
        <f t="shared" si="14"/>
        <v>0</v>
      </c>
      <c r="AY115" s="1492"/>
      <c r="AZ115" s="698"/>
      <c r="BA115" s="699"/>
      <c r="BB115" s="697"/>
      <c r="BC115" s="697">
        <v>0</v>
      </c>
      <c r="BD115" s="697">
        <v>0</v>
      </c>
      <c r="BE115" s="697">
        <v>0</v>
      </c>
      <c r="BF115" s="697">
        <v>0</v>
      </c>
      <c r="BG115" s="697">
        <v>0</v>
      </c>
      <c r="BH115" s="697">
        <v>0</v>
      </c>
      <c r="BI115" s="697">
        <v>0</v>
      </c>
      <c r="BJ115" s="697">
        <v>0</v>
      </c>
      <c r="BK115" s="1492">
        <f t="shared" si="15"/>
        <v>0</v>
      </c>
      <c r="BL115" s="1492"/>
      <c r="BM115" s="1492">
        <f t="shared" si="16"/>
        <v>0</v>
      </c>
      <c r="BN115" s="1492">
        <f t="shared" si="17"/>
        <v>0</v>
      </c>
      <c r="BO115" s="697"/>
      <c r="BP115" s="697"/>
      <c r="BQ115" s="1495">
        <v>0</v>
      </c>
      <c r="BR115" s="1495" t="s">
        <v>19</v>
      </c>
      <c r="BS115" s="1495" t="s">
        <v>655</v>
      </c>
      <c r="BT115" s="691" t="s">
        <v>767</v>
      </c>
    </row>
    <row r="116" spans="1:72" s="681" customFormat="1" ht="13" hidden="1">
      <c r="A116" s="1545">
        <v>151</v>
      </c>
      <c r="B116" s="1546" t="s">
        <v>740</v>
      </c>
      <c r="C116" s="1546" t="s">
        <v>765</v>
      </c>
      <c r="D116" s="1547" t="s">
        <v>655</v>
      </c>
      <c r="E116" s="690" t="s">
        <v>658</v>
      </c>
      <c r="F116" s="691"/>
      <c r="G116" s="692"/>
      <c r="H116" s="692"/>
      <c r="I116" s="692"/>
      <c r="J116" s="693"/>
      <c r="K116" s="693"/>
      <c r="L116" s="693"/>
      <c r="M116" s="694"/>
      <c r="N116" s="695"/>
      <c r="O116" s="696" t="s">
        <v>1569</v>
      </c>
      <c r="P116" s="695">
        <f>'Malaria-Key Info'!$F$38*'HPM costs'!F158</f>
        <v>0</v>
      </c>
      <c r="Q116" s="695" t="s">
        <v>1569</v>
      </c>
      <c r="R116" s="695">
        <f>'Malaria-Key Info'!$F$38*'HPM costs'!G158</f>
        <v>0</v>
      </c>
      <c r="S116" s="695" t="s">
        <v>1569</v>
      </c>
      <c r="T116" s="695">
        <f>'Malaria-Key Info'!$F$38*'HPM costs'!H158</f>
        <v>0</v>
      </c>
      <c r="U116" s="695" t="s">
        <v>1569</v>
      </c>
      <c r="V116" s="695">
        <f>'Malaria-Key Info'!$F$38*'HPM costs'!I158</f>
        <v>0</v>
      </c>
      <c r="W116" s="695"/>
      <c r="X116" s="1492">
        <f t="shared" si="12"/>
        <v>0</v>
      </c>
      <c r="Y116" s="1493"/>
      <c r="Z116" s="1494"/>
      <c r="AA116" s="699"/>
      <c r="AB116" s="695"/>
      <c r="AC116" s="695">
        <f>'Malaria-Key Info'!$F$38*'HPM costs'!K158</f>
        <v>0</v>
      </c>
      <c r="AD116" s="695"/>
      <c r="AE116" s="695">
        <f>'Malaria-Key Info'!$F$38*'HPM costs'!L158</f>
        <v>0</v>
      </c>
      <c r="AF116" s="695"/>
      <c r="AG116" s="695">
        <f>'Malaria-Key Info'!$F$38*'HPM costs'!M158</f>
        <v>0</v>
      </c>
      <c r="AH116" s="695"/>
      <c r="AI116" s="695">
        <f>'Malaria-Key Info'!$F$38*'HPM costs'!N158</f>
        <v>0</v>
      </c>
      <c r="AJ116" s="695"/>
      <c r="AK116" s="1492">
        <f t="shared" si="13"/>
        <v>0</v>
      </c>
      <c r="AL116" s="1493"/>
      <c r="AM116" s="1494"/>
      <c r="AN116" s="699"/>
      <c r="AO116" s="695"/>
      <c r="AP116" s="695">
        <f>'Malaria-Key Info'!$F$38*'HPM costs'!P158</f>
        <v>0</v>
      </c>
      <c r="AQ116" s="695"/>
      <c r="AR116" s="695">
        <f>'Malaria-Key Info'!$F$38*'HPM costs'!Q158</f>
        <v>0</v>
      </c>
      <c r="AS116" s="695"/>
      <c r="AT116" s="695">
        <f>'Malaria-Key Info'!$F$38*'HPM costs'!R158</f>
        <v>0</v>
      </c>
      <c r="AU116" s="695"/>
      <c r="AV116" s="695">
        <f>'Malaria-Key Info'!$F$38*'HPM costs'!S158</f>
        <v>0</v>
      </c>
      <c r="AW116" s="695"/>
      <c r="AX116" s="1492">
        <f t="shared" si="14"/>
        <v>0</v>
      </c>
      <c r="AY116" s="1492"/>
      <c r="AZ116" s="698"/>
      <c r="BA116" s="699"/>
      <c r="BB116" s="697"/>
      <c r="BC116" s="697">
        <v>0</v>
      </c>
      <c r="BD116" s="697">
        <v>0</v>
      </c>
      <c r="BE116" s="697">
        <v>0</v>
      </c>
      <c r="BF116" s="697">
        <v>0</v>
      </c>
      <c r="BG116" s="697">
        <v>0</v>
      </c>
      <c r="BH116" s="697">
        <v>0</v>
      </c>
      <c r="BI116" s="697">
        <v>0</v>
      </c>
      <c r="BJ116" s="697">
        <v>0</v>
      </c>
      <c r="BK116" s="1492">
        <f t="shared" si="15"/>
        <v>0</v>
      </c>
      <c r="BL116" s="1492"/>
      <c r="BM116" s="1492">
        <f t="shared" si="16"/>
        <v>0</v>
      </c>
      <c r="BN116" s="1492">
        <f t="shared" si="17"/>
        <v>0</v>
      </c>
      <c r="BO116" s="697"/>
      <c r="BP116" s="697"/>
      <c r="BQ116" s="1495">
        <v>0</v>
      </c>
      <c r="BR116" s="1495" t="s">
        <v>19</v>
      </c>
      <c r="BS116" s="1495" t="s">
        <v>655</v>
      </c>
      <c r="BT116" s="691" t="s">
        <v>768</v>
      </c>
    </row>
    <row r="117" spans="1:72" s="681" customFormat="1" ht="13" hidden="1">
      <c r="A117" s="1545">
        <v>152</v>
      </c>
      <c r="B117" s="1546" t="s">
        <v>740</v>
      </c>
      <c r="C117" s="1546" t="s">
        <v>765</v>
      </c>
      <c r="D117" s="1547" t="s">
        <v>655</v>
      </c>
      <c r="E117" s="690" t="s">
        <v>660</v>
      </c>
      <c r="F117" s="691"/>
      <c r="G117" s="692"/>
      <c r="H117" s="692"/>
      <c r="I117" s="692"/>
      <c r="J117" s="693"/>
      <c r="K117" s="693"/>
      <c r="L117" s="693"/>
      <c r="M117" s="694"/>
      <c r="N117" s="695"/>
      <c r="O117" s="696" t="s">
        <v>1569</v>
      </c>
      <c r="P117" s="695">
        <f>'Malaria-Key Info'!$F$38*'HPM costs'!F418</f>
        <v>0</v>
      </c>
      <c r="Q117" s="695" t="s">
        <v>1569</v>
      </c>
      <c r="R117" s="695">
        <f>'Malaria-Key Info'!$F$38*'HPM costs'!G418</f>
        <v>0</v>
      </c>
      <c r="S117" s="695" t="s">
        <v>1569</v>
      </c>
      <c r="T117" s="695">
        <f>'Malaria-Key Info'!$F$38*'HPM costs'!H418</f>
        <v>0</v>
      </c>
      <c r="U117" s="695" t="s">
        <v>1569</v>
      </c>
      <c r="V117" s="695">
        <f>'Malaria-Key Info'!$F$38*'HPM costs'!I418</f>
        <v>0</v>
      </c>
      <c r="W117" s="695"/>
      <c r="X117" s="1492">
        <f t="shared" si="12"/>
        <v>0</v>
      </c>
      <c r="Y117" s="1493"/>
      <c r="Z117" s="1494"/>
      <c r="AA117" s="699"/>
      <c r="AB117" s="695"/>
      <c r="AC117" s="695">
        <f>'Malaria-Key Info'!$F$38*'HPM costs'!K418</f>
        <v>0</v>
      </c>
      <c r="AD117" s="695"/>
      <c r="AE117" s="695">
        <f>'Malaria-Key Info'!$F$38*'HPM costs'!L418</f>
        <v>0</v>
      </c>
      <c r="AF117" s="695"/>
      <c r="AG117" s="695">
        <f>'Malaria-Key Info'!$F$38*'HPM costs'!M418</f>
        <v>0</v>
      </c>
      <c r="AH117" s="695"/>
      <c r="AI117" s="695">
        <f>'Malaria-Key Info'!$F$38*'HPM costs'!N418</f>
        <v>0</v>
      </c>
      <c r="AJ117" s="695"/>
      <c r="AK117" s="1492">
        <f t="shared" si="13"/>
        <v>0</v>
      </c>
      <c r="AL117" s="1493"/>
      <c r="AM117" s="1494"/>
      <c r="AN117" s="699"/>
      <c r="AO117" s="695"/>
      <c r="AP117" s="695">
        <f>'Malaria-Key Info'!$F$38*'HPM costs'!P418</f>
        <v>0</v>
      </c>
      <c r="AQ117" s="695"/>
      <c r="AR117" s="695">
        <f>'Malaria-Key Info'!$F$38*'HPM costs'!Q418</f>
        <v>0</v>
      </c>
      <c r="AS117" s="695"/>
      <c r="AT117" s="695">
        <f>'Malaria-Key Info'!$F$38*'HPM costs'!R418</f>
        <v>0</v>
      </c>
      <c r="AU117" s="695"/>
      <c r="AV117" s="695">
        <f>'Malaria-Key Info'!$F$38*'HPM costs'!S418</f>
        <v>0</v>
      </c>
      <c r="AW117" s="695"/>
      <c r="AX117" s="1492">
        <f t="shared" si="14"/>
        <v>0</v>
      </c>
      <c r="AY117" s="1492"/>
      <c r="AZ117" s="698"/>
      <c r="BA117" s="699"/>
      <c r="BB117" s="697"/>
      <c r="BC117" s="697">
        <v>0</v>
      </c>
      <c r="BD117" s="697">
        <v>0</v>
      </c>
      <c r="BE117" s="697">
        <v>0</v>
      </c>
      <c r="BF117" s="697">
        <v>0</v>
      </c>
      <c r="BG117" s="697">
        <v>0</v>
      </c>
      <c r="BH117" s="697">
        <v>0</v>
      </c>
      <c r="BI117" s="697">
        <v>0</v>
      </c>
      <c r="BJ117" s="697">
        <v>0</v>
      </c>
      <c r="BK117" s="1492">
        <f t="shared" si="15"/>
        <v>0</v>
      </c>
      <c r="BL117" s="1492"/>
      <c r="BM117" s="1492">
        <f t="shared" si="16"/>
        <v>0</v>
      </c>
      <c r="BN117" s="1492">
        <f t="shared" si="17"/>
        <v>0</v>
      </c>
      <c r="BO117" s="697"/>
      <c r="BP117" s="697"/>
      <c r="BQ117" s="1495">
        <v>0</v>
      </c>
      <c r="BR117" s="1495" t="s">
        <v>19</v>
      </c>
      <c r="BS117" s="1495" t="s">
        <v>655</v>
      </c>
      <c r="BT117" s="691" t="s">
        <v>769</v>
      </c>
    </row>
    <row r="118" spans="1:72" s="681" customFormat="1" ht="13" hidden="1">
      <c r="A118" s="1545">
        <v>153</v>
      </c>
      <c r="B118" s="1546" t="s">
        <v>740</v>
      </c>
      <c r="C118" s="1546" t="s">
        <v>765</v>
      </c>
      <c r="D118" s="1547" t="s">
        <v>655</v>
      </c>
      <c r="E118" s="690" t="s">
        <v>662</v>
      </c>
      <c r="F118" s="691"/>
      <c r="G118" s="692"/>
      <c r="H118" s="692"/>
      <c r="I118" s="692"/>
      <c r="J118" s="693"/>
      <c r="K118" s="693"/>
      <c r="L118" s="693"/>
      <c r="M118" s="694"/>
      <c r="N118" s="695"/>
      <c r="O118" s="696" t="s">
        <v>1569</v>
      </c>
      <c r="P118" s="695">
        <f>'Malaria-Key Info'!$F$38*'HPM costs'!F504</f>
        <v>0</v>
      </c>
      <c r="Q118" s="695" t="s">
        <v>1569</v>
      </c>
      <c r="R118" s="695">
        <f>'Malaria-Key Info'!$F$38*'HPM costs'!G504</f>
        <v>0</v>
      </c>
      <c r="S118" s="695" t="s">
        <v>1569</v>
      </c>
      <c r="T118" s="695">
        <f>'Malaria-Key Info'!$F$38*'HPM costs'!H504</f>
        <v>0</v>
      </c>
      <c r="U118" s="695" t="s">
        <v>1569</v>
      </c>
      <c r="V118" s="695">
        <f>'Malaria-Key Info'!$F$38*'HPM costs'!I504</f>
        <v>0</v>
      </c>
      <c r="W118" s="695"/>
      <c r="X118" s="1492">
        <f t="shared" si="12"/>
        <v>0</v>
      </c>
      <c r="Y118" s="1493"/>
      <c r="Z118" s="1494"/>
      <c r="AA118" s="699"/>
      <c r="AB118" s="695"/>
      <c r="AC118" s="695">
        <f>'Malaria-Key Info'!$F$38*'HPM costs'!K504</f>
        <v>0</v>
      </c>
      <c r="AD118" s="695"/>
      <c r="AE118" s="695">
        <f>'Malaria-Key Info'!$F$38*'HPM costs'!L504</f>
        <v>0</v>
      </c>
      <c r="AF118" s="695"/>
      <c r="AG118" s="695">
        <f>'Malaria-Key Info'!$F$38*'HPM costs'!M504</f>
        <v>0</v>
      </c>
      <c r="AH118" s="695"/>
      <c r="AI118" s="695">
        <f>'Malaria-Key Info'!$F$38*'HPM costs'!N504</f>
        <v>0</v>
      </c>
      <c r="AJ118" s="695"/>
      <c r="AK118" s="1492">
        <f t="shared" si="13"/>
        <v>0</v>
      </c>
      <c r="AL118" s="1493"/>
      <c r="AM118" s="1494"/>
      <c r="AN118" s="699"/>
      <c r="AO118" s="695"/>
      <c r="AP118" s="695">
        <f>'Malaria-Key Info'!$F$38*'HPM costs'!P504</f>
        <v>0</v>
      </c>
      <c r="AQ118" s="695"/>
      <c r="AR118" s="695">
        <f>'Malaria-Key Info'!$F$38*'HPM costs'!Q504</f>
        <v>0</v>
      </c>
      <c r="AS118" s="695"/>
      <c r="AT118" s="695">
        <f>'Malaria-Key Info'!$F$38*'HPM costs'!R504</f>
        <v>0</v>
      </c>
      <c r="AU118" s="695"/>
      <c r="AV118" s="695">
        <f>'Malaria-Key Info'!$F$38*'HPM costs'!S504</f>
        <v>0</v>
      </c>
      <c r="AW118" s="695"/>
      <c r="AX118" s="1492">
        <f t="shared" si="14"/>
        <v>0</v>
      </c>
      <c r="AY118" s="1492"/>
      <c r="AZ118" s="698"/>
      <c r="BA118" s="699"/>
      <c r="BB118" s="697"/>
      <c r="BC118" s="697">
        <v>0</v>
      </c>
      <c r="BD118" s="697">
        <v>0</v>
      </c>
      <c r="BE118" s="697">
        <v>0</v>
      </c>
      <c r="BF118" s="697">
        <v>0</v>
      </c>
      <c r="BG118" s="697">
        <v>0</v>
      </c>
      <c r="BH118" s="697">
        <v>0</v>
      </c>
      <c r="BI118" s="697">
        <v>0</v>
      </c>
      <c r="BJ118" s="697">
        <v>0</v>
      </c>
      <c r="BK118" s="1492">
        <f t="shared" si="15"/>
        <v>0</v>
      </c>
      <c r="BL118" s="1492"/>
      <c r="BM118" s="1492">
        <f t="shared" si="16"/>
        <v>0</v>
      </c>
      <c r="BN118" s="1492">
        <f t="shared" si="17"/>
        <v>0</v>
      </c>
      <c r="BO118" s="697"/>
      <c r="BP118" s="697"/>
      <c r="BQ118" s="1495">
        <v>0</v>
      </c>
      <c r="BR118" s="1495" t="s">
        <v>19</v>
      </c>
      <c r="BS118" s="1495" t="s">
        <v>655</v>
      </c>
      <c r="BT118" s="691" t="s">
        <v>770</v>
      </c>
    </row>
    <row r="119" spans="1:72" s="681" customFormat="1" ht="13" hidden="1">
      <c r="A119" s="1545">
        <v>154</v>
      </c>
      <c r="B119" s="1546" t="s">
        <v>740</v>
      </c>
      <c r="C119" s="1546" t="s">
        <v>765</v>
      </c>
      <c r="D119" s="1547" t="s">
        <v>655</v>
      </c>
      <c r="E119" s="690" t="s">
        <v>664</v>
      </c>
      <c r="F119" s="691"/>
      <c r="G119" s="692">
        <f>SETUP!$E$3</f>
        <v>0</v>
      </c>
      <c r="H119" s="692"/>
      <c r="I119" s="692"/>
      <c r="J119" s="693"/>
      <c r="K119" s="693"/>
      <c r="L119" s="693"/>
      <c r="M119" s="694"/>
      <c r="N119" s="695"/>
      <c r="O119" s="696" t="s">
        <v>1569</v>
      </c>
      <c r="P119" s="695">
        <f>'Malaria-Key Info'!$F$38*('HPM costs'!F244+'HPM costs'!F590)</f>
        <v>0</v>
      </c>
      <c r="Q119" s="695" t="s">
        <v>1569</v>
      </c>
      <c r="R119" s="695">
        <f>'Malaria-Key Info'!$F$38*('HPM costs'!G244+'HPM costs'!G590)</f>
        <v>0</v>
      </c>
      <c r="S119" s="695" t="s">
        <v>1569</v>
      </c>
      <c r="T119" s="695">
        <f>'Malaria-Key Info'!$F$38*('HPM costs'!H244+'HPM costs'!H590)</f>
        <v>0</v>
      </c>
      <c r="U119" s="695" t="s">
        <v>1569</v>
      </c>
      <c r="V119" s="695">
        <f>'Malaria-Key Info'!$F$38*('HPM costs'!I244+'HPM costs'!I590)</f>
        <v>0</v>
      </c>
      <c r="W119" s="695"/>
      <c r="X119" s="1492">
        <f t="shared" si="12"/>
        <v>0</v>
      </c>
      <c r="Y119" s="1493"/>
      <c r="Z119" s="1494"/>
      <c r="AA119" s="699"/>
      <c r="AB119" s="695"/>
      <c r="AC119" s="695">
        <f>'Malaria-Key Info'!$F$38*('HPM costs'!K244+'HPM costs'!K590)</f>
        <v>0</v>
      </c>
      <c r="AD119" s="695"/>
      <c r="AE119" s="695">
        <f>'Malaria-Key Info'!$F$38*('HPM costs'!L244+'HPM costs'!L590)</f>
        <v>0</v>
      </c>
      <c r="AF119" s="695"/>
      <c r="AG119" s="695">
        <f>'Malaria-Key Info'!$F$38*('HPM costs'!M244+'HPM costs'!M590)</f>
        <v>0</v>
      </c>
      <c r="AH119" s="695"/>
      <c r="AI119" s="695">
        <f>'Malaria-Key Info'!$F$38*('HPM costs'!N244+'HPM costs'!N590)</f>
        <v>0</v>
      </c>
      <c r="AJ119" s="695"/>
      <c r="AK119" s="1492">
        <f t="shared" si="13"/>
        <v>0</v>
      </c>
      <c r="AL119" s="1493"/>
      <c r="AM119" s="1494"/>
      <c r="AN119" s="699"/>
      <c r="AO119" s="695"/>
      <c r="AP119" s="695">
        <f>'Malaria-Key Info'!$F$38*('HPM costs'!P244+'HPM costs'!P590)</f>
        <v>0</v>
      </c>
      <c r="AQ119" s="695"/>
      <c r="AR119" s="695">
        <f>'Malaria-Key Info'!$F$38*('HPM costs'!Q244+'HPM costs'!Q590)</f>
        <v>0</v>
      </c>
      <c r="AS119" s="695"/>
      <c r="AT119" s="695">
        <f>'Malaria-Key Info'!$F$38*('HPM costs'!R244+'HPM costs'!R590)</f>
        <v>0</v>
      </c>
      <c r="AU119" s="695"/>
      <c r="AV119" s="695">
        <f>'Malaria-Key Info'!$F$38*('HPM costs'!S244+'HPM costs'!S590)</f>
        <v>0</v>
      </c>
      <c r="AW119" s="695"/>
      <c r="AX119" s="1492">
        <f t="shared" si="14"/>
        <v>0</v>
      </c>
      <c r="AY119" s="1492"/>
      <c r="AZ119" s="698"/>
      <c r="BA119" s="699"/>
      <c r="BB119" s="697"/>
      <c r="BC119" s="697">
        <v>0</v>
      </c>
      <c r="BD119" s="697">
        <v>0</v>
      </c>
      <c r="BE119" s="697">
        <v>0</v>
      </c>
      <c r="BF119" s="697">
        <v>0</v>
      </c>
      <c r="BG119" s="697">
        <v>0</v>
      </c>
      <c r="BH119" s="697">
        <v>0</v>
      </c>
      <c r="BI119" s="697">
        <v>0</v>
      </c>
      <c r="BJ119" s="697">
        <v>0</v>
      </c>
      <c r="BK119" s="1492">
        <f t="shared" si="15"/>
        <v>0</v>
      </c>
      <c r="BL119" s="1492"/>
      <c r="BM119" s="1492">
        <f t="shared" si="16"/>
        <v>0</v>
      </c>
      <c r="BN119" s="1492">
        <f t="shared" si="17"/>
        <v>0</v>
      </c>
      <c r="BO119" s="697"/>
      <c r="BP119" s="697"/>
      <c r="BQ119" s="1495">
        <v>0</v>
      </c>
      <c r="BR119" s="1495" t="s">
        <v>19</v>
      </c>
      <c r="BS119" s="1495" t="s">
        <v>655</v>
      </c>
      <c r="BT119" s="691" t="s">
        <v>771</v>
      </c>
    </row>
    <row r="120" spans="1:72" s="681" customFormat="1" ht="13" hidden="1">
      <c r="A120" s="1545">
        <v>155</v>
      </c>
      <c r="B120" s="1546" t="s">
        <v>740</v>
      </c>
      <c r="C120" s="1546" t="s">
        <v>765</v>
      </c>
      <c r="D120" s="1547" t="s">
        <v>655</v>
      </c>
      <c r="E120" s="690" t="s">
        <v>666</v>
      </c>
      <c r="F120" s="691"/>
      <c r="G120" s="692"/>
      <c r="H120" s="692"/>
      <c r="I120" s="692"/>
      <c r="J120" s="693"/>
      <c r="K120" s="693"/>
      <c r="L120" s="693"/>
      <c r="M120" s="694"/>
      <c r="N120" s="695"/>
      <c r="O120" s="696" t="s">
        <v>1569</v>
      </c>
      <c r="P120" s="695">
        <f>'Malaria-Key Info'!$F$38*'HPM costs'!F330</f>
        <v>0</v>
      </c>
      <c r="Q120" s="695" t="s">
        <v>1569</v>
      </c>
      <c r="R120" s="695">
        <f>'Malaria-Key Info'!$F$38*'HPM costs'!G330</f>
        <v>0</v>
      </c>
      <c r="S120" s="695" t="s">
        <v>1569</v>
      </c>
      <c r="T120" s="695">
        <f>'Malaria-Key Info'!$F$38*'HPM costs'!H330</f>
        <v>0</v>
      </c>
      <c r="U120" s="695" t="s">
        <v>1569</v>
      </c>
      <c r="V120" s="695">
        <f>'Malaria-Key Info'!$F$38*'HPM costs'!I330</f>
        <v>0</v>
      </c>
      <c r="W120" s="695"/>
      <c r="X120" s="1492">
        <f t="shared" si="12"/>
        <v>0</v>
      </c>
      <c r="Y120" s="1493"/>
      <c r="Z120" s="1494"/>
      <c r="AA120" s="699"/>
      <c r="AB120" s="695"/>
      <c r="AC120" s="695">
        <f>'Malaria-Key Info'!$F$38*'HPM costs'!K330</f>
        <v>0</v>
      </c>
      <c r="AD120" s="695"/>
      <c r="AE120" s="695">
        <f>'Malaria-Key Info'!$F$38*'HPM costs'!L330</f>
        <v>0</v>
      </c>
      <c r="AF120" s="695"/>
      <c r="AG120" s="695">
        <f>'Malaria-Key Info'!$F$38*'HPM costs'!M330</f>
        <v>0</v>
      </c>
      <c r="AH120" s="695"/>
      <c r="AI120" s="695">
        <f>'Malaria-Key Info'!$F$38*'HPM costs'!N330</f>
        <v>0</v>
      </c>
      <c r="AJ120" s="695"/>
      <c r="AK120" s="1492">
        <f t="shared" si="13"/>
        <v>0</v>
      </c>
      <c r="AL120" s="1493"/>
      <c r="AM120" s="1494"/>
      <c r="AN120" s="699"/>
      <c r="AO120" s="695"/>
      <c r="AP120" s="695">
        <f>'Malaria-Key Info'!$F$38*'HPM costs'!P330</f>
        <v>0</v>
      </c>
      <c r="AQ120" s="695"/>
      <c r="AR120" s="695">
        <f>'Malaria-Key Info'!$F$38*'HPM costs'!Q330</f>
        <v>0</v>
      </c>
      <c r="AS120" s="695"/>
      <c r="AT120" s="695">
        <f>'Malaria-Key Info'!$F$38*'HPM costs'!R330</f>
        <v>0</v>
      </c>
      <c r="AU120" s="695"/>
      <c r="AV120" s="695">
        <f>'Malaria-Key Info'!$F$38*'HPM costs'!S330</f>
        <v>0</v>
      </c>
      <c r="AW120" s="695"/>
      <c r="AX120" s="1492">
        <f t="shared" si="14"/>
        <v>0</v>
      </c>
      <c r="AY120" s="1492"/>
      <c r="AZ120" s="698"/>
      <c r="BA120" s="699"/>
      <c r="BB120" s="697"/>
      <c r="BC120" s="697">
        <v>0</v>
      </c>
      <c r="BD120" s="697">
        <v>0</v>
      </c>
      <c r="BE120" s="697">
        <v>0</v>
      </c>
      <c r="BF120" s="697">
        <v>0</v>
      </c>
      <c r="BG120" s="697">
        <v>0</v>
      </c>
      <c r="BH120" s="697">
        <v>0</v>
      </c>
      <c r="BI120" s="697">
        <v>0</v>
      </c>
      <c r="BJ120" s="697">
        <v>0</v>
      </c>
      <c r="BK120" s="1492">
        <f t="shared" si="15"/>
        <v>0</v>
      </c>
      <c r="BL120" s="1492"/>
      <c r="BM120" s="1492">
        <f t="shared" si="16"/>
        <v>0</v>
      </c>
      <c r="BN120" s="1492">
        <f t="shared" si="17"/>
        <v>0</v>
      </c>
      <c r="BO120" s="697"/>
      <c r="BP120" s="697"/>
      <c r="BQ120" s="1495">
        <v>0</v>
      </c>
      <c r="BR120" s="1495" t="s">
        <v>19</v>
      </c>
      <c r="BS120" s="1495" t="s">
        <v>655</v>
      </c>
      <c r="BT120" s="691" t="s">
        <v>772</v>
      </c>
    </row>
    <row r="121" spans="1:72" s="681" customFormat="1" ht="13" hidden="1">
      <c r="A121" s="1545">
        <v>156</v>
      </c>
      <c r="B121" s="1546" t="s">
        <v>740</v>
      </c>
      <c r="C121" s="1546" t="s">
        <v>765</v>
      </c>
      <c r="D121" s="1547" t="s">
        <v>655</v>
      </c>
      <c r="E121" s="690" t="s">
        <v>668</v>
      </c>
      <c r="F121" s="691"/>
      <c r="G121" s="692"/>
      <c r="H121" s="692"/>
      <c r="I121" s="692"/>
      <c r="J121" s="693"/>
      <c r="K121" s="693"/>
      <c r="L121" s="693"/>
      <c r="M121" s="694"/>
      <c r="N121" s="695"/>
      <c r="O121" s="696" t="s">
        <v>1569</v>
      </c>
      <c r="P121" s="695">
        <f>'Malaria-Key Info'!$F$38*'HPM costs'!F675</f>
        <v>0</v>
      </c>
      <c r="Q121" s="695" t="s">
        <v>1569</v>
      </c>
      <c r="R121" s="695">
        <f>'Malaria-Key Info'!$F$38*'HPM costs'!G675</f>
        <v>0</v>
      </c>
      <c r="S121" s="695" t="s">
        <v>1569</v>
      </c>
      <c r="T121" s="695">
        <f>'Malaria-Key Info'!$F$38*'HPM costs'!H675</f>
        <v>0</v>
      </c>
      <c r="U121" s="695" t="s">
        <v>1569</v>
      </c>
      <c r="V121" s="695">
        <f>'Malaria-Key Info'!$F$38*'HPM costs'!I675</f>
        <v>0</v>
      </c>
      <c r="W121" s="695"/>
      <c r="X121" s="1492">
        <f t="shared" si="12"/>
        <v>0</v>
      </c>
      <c r="Y121" s="1493"/>
      <c r="Z121" s="1494"/>
      <c r="AA121" s="699"/>
      <c r="AB121" s="695"/>
      <c r="AC121" s="695">
        <f>'Malaria-Key Info'!$F$38*'HPM costs'!K675</f>
        <v>0</v>
      </c>
      <c r="AD121" s="695"/>
      <c r="AE121" s="695">
        <f>'Malaria-Key Info'!$F$38*'HPM costs'!L675</f>
        <v>0</v>
      </c>
      <c r="AF121" s="695"/>
      <c r="AG121" s="695">
        <f>'Malaria-Key Info'!$F$38*'HPM costs'!M675</f>
        <v>0</v>
      </c>
      <c r="AH121" s="695"/>
      <c r="AI121" s="695">
        <f>'Malaria-Key Info'!$F$38*'HPM costs'!N675</f>
        <v>0</v>
      </c>
      <c r="AJ121" s="695"/>
      <c r="AK121" s="1492">
        <f t="shared" si="13"/>
        <v>0</v>
      </c>
      <c r="AL121" s="1493"/>
      <c r="AM121" s="1494"/>
      <c r="AN121" s="699"/>
      <c r="AO121" s="695"/>
      <c r="AP121" s="695">
        <f>'Malaria-Key Info'!$F$38*'HPM costs'!P675</f>
        <v>0</v>
      </c>
      <c r="AQ121" s="695"/>
      <c r="AR121" s="695">
        <f>'Malaria-Key Info'!$F$38*'HPM costs'!Q675</f>
        <v>0</v>
      </c>
      <c r="AS121" s="695"/>
      <c r="AT121" s="695">
        <f>'Malaria-Key Info'!$F$38*'HPM costs'!R675</f>
        <v>0</v>
      </c>
      <c r="AU121" s="695"/>
      <c r="AV121" s="695">
        <f>'Malaria-Key Info'!$F$38*'HPM costs'!S675</f>
        <v>0</v>
      </c>
      <c r="AW121" s="695"/>
      <c r="AX121" s="1492">
        <f t="shared" si="14"/>
        <v>0</v>
      </c>
      <c r="AY121" s="1492"/>
      <c r="AZ121" s="698"/>
      <c r="BA121" s="699"/>
      <c r="BB121" s="697"/>
      <c r="BC121" s="697">
        <v>0</v>
      </c>
      <c r="BD121" s="697">
        <v>0</v>
      </c>
      <c r="BE121" s="697">
        <v>0</v>
      </c>
      <c r="BF121" s="697">
        <v>0</v>
      </c>
      <c r="BG121" s="697">
        <v>0</v>
      </c>
      <c r="BH121" s="697">
        <v>0</v>
      </c>
      <c r="BI121" s="697">
        <v>0</v>
      </c>
      <c r="BJ121" s="697">
        <v>0</v>
      </c>
      <c r="BK121" s="1492">
        <f t="shared" si="15"/>
        <v>0</v>
      </c>
      <c r="BL121" s="1492"/>
      <c r="BM121" s="1492">
        <f t="shared" si="16"/>
        <v>0</v>
      </c>
      <c r="BN121" s="1492">
        <f t="shared" si="17"/>
        <v>0</v>
      </c>
      <c r="BO121" s="697"/>
      <c r="BP121" s="697"/>
      <c r="BQ121" s="1495">
        <v>0</v>
      </c>
      <c r="BR121" s="1495" t="s">
        <v>19</v>
      </c>
      <c r="BS121" s="1495" t="s">
        <v>655</v>
      </c>
      <c r="BT121" s="691" t="s">
        <v>1578</v>
      </c>
    </row>
    <row r="122" spans="1:72" s="681" customFormat="1" ht="13" hidden="1">
      <c r="A122" s="1545">
        <v>157</v>
      </c>
      <c r="B122" s="1546" t="s">
        <v>773</v>
      </c>
      <c r="C122" s="1546" t="s">
        <v>774</v>
      </c>
      <c r="D122" s="1547" t="s">
        <v>6946</v>
      </c>
      <c r="E122" s="690" t="s">
        <v>2355</v>
      </c>
      <c r="F122" s="691"/>
      <c r="G122" s="692"/>
      <c r="H122" s="692"/>
      <c r="I122" s="692"/>
      <c r="J122" s="693"/>
      <c r="K122" s="693"/>
      <c r="L122" s="693"/>
      <c r="M122" s="694"/>
      <c r="N122" s="695"/>
      <c r="O122" s="696" t="s">
        <v>1569</v>
      </c>
      <c r="P122" s="695">
        <f>IF(SETUP!$F$40="Upfront",'TB-Key Info'!$L$15*SUM('Extended Budget Sheet - TB'!K208:K211),0)</f>
        <v>0</v>
      </c>
      <c r="Q122" s="695" t="s">
        <v>1569</v>
      </c>
      <c r="R122" s="695">
        <f>IF(SETUP!$F$40="Upfront",'TB-Key Info'!$L$15*SUM('Extended Budget Sheet - TB'!O208:O211),IF(SETUP!$F$40="At delivery", IF(SETUP!$G$40=1,'TB-Key Info'!$L$15*SUM('Extended Budget Sheet - TB'!K208:K211),0),0))</f>
        <v>0</v>
      </c>
      <c r="S122" s="695" t="s">
        <v>1569</v>
      </c>
      <c r="T122" s="695">
        <f>IF(SETUP!$F$40="Upfront",'TB-Key Info'!$L$15*SUM('Extended Budget Sheet - TB'!S208:S211),IF(SETUP!$F$40="At delivery", IF(SETUP!$G$40=2,'TB-Key Info'!$L$15*SUM('Extended Budget Sheet - TB'!K208:K211),IF(SETUP!$G$40=1,'TB-Key Info'!$L$15*SUM('Extended Budget Sheet - TB'!O208:O211),0)),0))</f>
        <v>0</v>
      </c>
      <c r="U122" s="695" t="s">
        <v>1569</v>
      </c>
      <c r="V122" s="695">
        <f>IF(SETUP!$F$40="Upfront",'TB-Key Info'!$L$15*SUM('Extended Budget Sheet - TB'!W208:W211),IF(SETUP!$F$40="At delivery", IF(SETUP!$G$40=3,'TB-Key Info'!$L$15*SUM('Extended Budget Sheet - TB'!K208:K211),IF(SETUP!$G$40=2,'TB-Key Info'!$L$15*SUM('Extended Budget Sheet - TB'!O208:O211),IF(SETUP!$G$40=1,'TB-Key Info'!$L$15*SUM('Extended Budget Sheet - TB'!S208:S211),0))),0))</f>
        <v>0</v>
      </c>
      <c r="W122" s="695"/>
      <c r="X122" s="1492">
        <f t="shared" si="12"/>
        <v>0</v>
      </c>
      <c r="Y122" s="1493"/>
      <c r="Z122" s="1494"/>
      <c r="AA122" s="699"/>
      <c r="AB122" s="695"/>
      <c r="AC122" s="695">
        <f>IF(SETUP!$F$40="Upfront",'TB-Key Info'!$L$15*SUM('Extended Budget Sheet - TB'!AC208:AC211),IF(SETUP!$F$40="At delivery", IF(SETUP!$G$40=4,'TB-Key Info'!$L$15*SUM('Extended Budget Sheet - TB'!K208:K211),IF(SETUP!$G$40=3,'TB-Key Info'!$L$15*SUM('Extended Budget Sheet - TB'!O208:O211),IF(SETUP!$G$40=2,'TB-Key Info'!$L$15*SUM('Extended Budget Sheet - TB'!S208:S211),IF(SETUP!$G$40=1,'TB-Key Info'!$L$15*SUM('Extended Budget Sheet - TB'!W208:W211),0)))),0))</f>
        <v>0</v>
      </c>
      <c r="AD122" s="695"/>
      <c r="AE122" s="695">
        <f>IF(SETUP!$F$40="Upfront",'TB-Key Info'!$L$15*SUM('Extended Budget Sheet - TB'!AG208:AG211),IF(SETUP!$F$40="At delivery", IF(SETUP!$G$40=4,'TB-Key Info'!$L$15*SUM('Extended Budget Sheet - TB'!O208:O211),IF(SETUP!$G$40=3,'TB-Key Info'!$L$15*SUM('Extended Budget Sheet - TB'!S208:S211),IF(SETUP!$G$40=2,'TB-Key Info'!$L$15*SUM('Extended Budget Sheet - TB'!W208:W211),IF(SETUP!$G$40=1,'TB-Key Info'!$L$15*SUM('Extended Budget Sheet - TB'!AC208:AC211),0)))),0))</f>
        <v>0</v>
      </c>
      <c r="AF122" s="695"/>
      <c r="AG122" s="695">
        <f>IF(SETUP!$F$40="Upfront",'TB-Key Info'!$L$15*SUM('Extended Budget Sheet - TB'!AK208:AK211),IF(SETUP!$F$40="At delivery", IF(SETUP!$G$40=4,'TB-Key Info'!$L$15*SUM('Extended Budget Sheet - TB'!S208:S211),IF(SETUP!$G$40=3,'TB-Key Info'!$L$15*SUM('Extended Budget Sheet - TB'!W208:W211),IF(SETUP!$G$40=2,'TB-Key Info'!$L$15*SUM('Extended Budget Sheet - TB'!AC208:AC211),IF(SETUP!$G$40=1,'TB-Key Info'!$L$15*SUM('Extended Budget Sheet - TB'!AG208:AG211),0)))),0))</f>
        <v>0</v>
      </c>
      <c r="AH122" s="695"/>
      <c r="AI122" s="695">
        <f>IF(SETUP!$F$40="Upfront",'TB-Key Info'!$L$15*SUM('Extended Budget Sheet - TB'!AO208:AO211),IF(SETUP!$F$40="At delivery", IF(SETUP!$G$40=4,'TB-Key Info'!$L$15*SUM('Extended Budget Sheet - TB'!W208:W211),IF(SETUP!$G$40=3,'TB-Key Info'!$L$15*SUM('Extended Budget Sheet - TB'!AC208:AC211),IF(SETUP!$G$40=2,'TB-Key Info'!$L$15*SUM('Extended Budget Sheet - TB'!AG208:AG211),IF(SETUP!$G$40=1,'TB-Key Info'!$L$15*SUM('Extended Budget Sheet - TB'!AK208:AK211),0)))),0))</f>
        <v>0</v>
      </c>
      <c r="AJ122" s="695"/>
      <c r="AK122" s="1492">
        <f t="shared" si="13"/>
        <v>0</v>
      </c>
      <c r="AL122" s="1493"/>
      <c r="AM122" s="1494"/>
      <c r="AN122" s="699"/>
      <c r="AO122" s="695"/>
      <c r="AP122" s="695">
        <f>IF(SETUP!$F$40="Upfront",'TB-Key Info'!$L$15*SUM('Extended Budget Sheet - TB'!AT208:AT211,'Extended Budget Sheet - TB'!AU208:AU211),IF(SETUP!$F$40="At delivery", IF(SETUP!$G$40=4,'TB-Key Info'!$L$15*SUM('Extended Budget Sheet - TB'!AC208:AC211),IF(SETUP!$G$40=3,'TB-Key Info'!$L$15*SUM('Extended Budget Sheet - TB'!AG208:AG211),IF(SETUP!$G$40=2,'TB-Key Info'!$L$15*SUM('Extended Budget Sheet - TB'!AK208:AK211),IF(SETUP!$G$40=1,'TB-Key Info'!$L$15*SUM('Extended Budget Sheet - TB'!AO208:AO211),0)))),0))</f>
        <v>0</v>
      </c>
      <c r="AQ122" s="695"/>
      <c r="AR122" s="695">
        <f>IF(SETUP!$F$40="Upfront",'TB-Key Info'!$L$15*SUM('Extended Budget Sheet - TB'!AY208:AY211),IF(SETUP!$F$40="At delivery", IF(SETUP!$G$40=4,'TB-Key Info'!$L$15*SUM('Extended Budget Sheet - TB'!AG208:AG211),IF(SETUP!$G$40=3,'TB-Key Info'!$L$15*SUM('Extended Budget Sheet - TB'!AK208:AK211),IF(SETUP!$G$40=2,'TB-Key Info'!$L$15*SUM('Extended Budget Sheet - TB'!AO208:AO211),IF(SETUP!$G$40=1,'TB-Key Info'!$L$15*SUM('Extended Budget Sheet - TB'!AU208:AU211),0)))),0))</f>
        <v>0</v>
      </c>
      <c r="AS122" s="695"/>
      <c r="AT122" s="695">
        <f>IF(SETUP!$F$40="Upfront",'TB-Key Info'!$L$15*SUM('Extended Budget Sheet - TB'!BC208:BC211),IF(SETUP!$F$40="At delivery", IF(SETUP!$G$40=4,'TB-Key Info'!$L$15*SUM('Extended Budget Sheet - TB'!AK208:AK211),IF(SETUP!$G$40=3,'TB-Key Info'!$L$15*SUM('Extended Budget Sheet - TB'!AO208:AO211),IF(SETUP!$G$40=2,'TB-Key Info'!$L$15*SUM('Extended Budget Sheet - TB'!AT208:AT211,'Extended Budget Sheet - TB'!AU208:AU211),IF(SETUP!$G$40=1,'TB-Key Info'!$L$15*SUM('Extended Budget Sheet - TB'!AY208:AY211),0)))),0))</f>
        <v>0</v>
      </c>
      <c r="AU122" s="695"/>
      <c r="AV122" s="695">
        <f>IF(SETUP!$F$40="Upfront",'TB-Key Info'!$L$15*SUM('Extended Budget Sheet - TB'!BG208:BG211),IF(SETUP!$F$40="At delivery", IF(SETUP!$G$40=4,'TB-Key Info'!$L$15*SUM(SUM('Extended Budget Sheet - TB'!AO208:AO211),SUM('Extended Budget Sheet - TB'!AT208:AT211,'Extended Budget Sheet - TB'!AU208:AU211),SUM('Extended Budget Sheet - TB'!AY208:AY211),SUM('Extended Budget Sheet - TB'!BC208:BC211),SUM('Extended Budget Sheet - TB'!BG208:BG211)),IF(SETUP!$G$40=3,'TB-Key Info'!$L$15*SUM(SUM('Extended Budget Sheet - TB'!AT208:AT211,'Extended Budget Sheet - TB'!AU208:AU211),SUM('Extended Budget Sheet - TB'!AY208:AY211),SUM('Extended Budget Sheet - TB'!BC208:BC211),SUM('Extended Budget Sheet - TB'!BG208:BG211)),IF(SETUP!$G$40=2,'TB-Key Info'!$L$15*SUM(SUM('Extended Budget Sheet - TB'!AY208:AY211),SUM('Extended Budget Sheet - TB'!BC208:BC211),SUM('Extended Budget Sheet - TB'!BG208:BG211)),IF(SETUP!$G$40=1,'TB-Key Info'!$L$15*SUM(SUM('Extended Budget Sheet - TB'!BC208:BC211),SUM('Extended Budget Sheet - TB'!BG208:BG211)),0)))),0))</f>
        <v>0</v>
      </c>
      <c r="AW122" s="695"/>
      <c r="AX122" s="1492">
        <f t="shared" si="14"/>
        <v>0</v>
      </c>
      <c r="AY122" s="1492"/>
      <c r="AZ122" s="698"/>
      <c r="BA122" s="699"/>
      <c r="BB122" s="697"/>
      <c r="BC122" s="697">
        <v>0</v>
      </c>
      <c r="BD122" s="697">
        <v>0</v>
      </c>
      <c r="BE122" s="697">
        <v>0</v>
      </c>
      <c r="BF122" s="697">
        <v>0</v>
      </c>
      <c r="BG122" s="697">
        <v>0</v>
      </c>
      <c r="BH122" s="697">
        <v>0</v>
      </c>
      <c r="BI122" s="697">
        <v>0</v>
      </c>
      <c r="BJ122" s="697">
        <v>0</v>
      </c>
      <c r="BK122" s="1492">
        <f t="shared" si="15"/>
        <v>0</v>
      </c>
      <c r="BL122" s="1492"/>
      <c r="BM122" s="1492">
        <f t="shared" si="16"/>
        <v>0</v>
      </c>
      <c r="BN122" s="1492">
        <f t="shared" si="17"/>
        <v>0</v>
      </c>
      <c r="BO122" s="697"/>
      <c r="BP122" s="697"/>
      <c r="BQ122" s="1495">
        <v>0</v>
      </c>
      <c r="BR122" s="1495" t="s">
        <v>816</v>
      </c>
      <c r="BS122" s="1495" t="s">
        <v>6946</v>
      </c>
      <c r="BT122" s="691" t="s">
        <v>1847</v>
      </c>
    </row>
    <row r="123" spans="1:72" s="681" customFormat="1" ht="13" hidden="1">
      <c r="A123" s="1545">
        <v>158</v>
      </c>
      <c r="B123" s="1546" t="s">
        <v>773</v>
      </c>
      <c r="C123" s="1546" t="s">
        <v>774</v>
      </c>
      <c r="D123" s="1547" t="s">
        <v>6948</v>
      </c>
      <c r="E123" s="690" t="s">
        <v>731</v>
      </c>
      <c r="F123" s="691"/>
      <c r="G123" s="692"/>
      <c r="H123" s="692"/>
      <c r="I123" s="692"/>
      <c r="J123" s="693"/>
      <c r="K123" s="693"/>
      <c r="L123" s="693"/>
      <c r="M123" s="694"/>
      <c r="N123" s="695"/>
      <c r="O123" s="696" t="s">
        <v>1569</v>
      </c>
      <c r="P123" s="695">
        <f>IF(SETUP!$F$41="Upfront",'TB-Key Info'!$L$15*SUM(SUM('Extended Budget Sheet - TB'!K215:K222),SUM('Extended Budget Sheet - TB'!K238:K240),SUM('Extended Budget Sheet - TB'!K356:K387)),0)</f>
        <v>0</v>
      </c>
      <c r="Q123" s="695"/>
      <c r="R123" s="695">
        <f>IF(SETUP!$F$41="Upfront",'TB-Key Info'!$L$15*SUM(SUM('Extended Budget Sheet - TB'!O215:O222),SUM('Extended Budget Sheet - TB'!O238:O240),SUM('Extended Budget Sheet - TB'!O356:O387)),IF(SETUP!$F$41="At delivery", IF(SETUP!$G$41=1,'TB-Key Info'!$L$15*SUM(SUM('Extended Budget Sheet - TB'!K215:K222),SUM('Extended Budget Sheet - TB'!K238:K240),SUM('Extended Budget Sheet - TB'!K356:K387)),0),0))</f>
        <v>0</v>
      </c>
      <c r="S123" s="695"/>
      <c r="T123" s="695">
        <f>IF(SETUP!$F$41="Upfront",'TB-Key Info'!$L$15*SUM(SUM('Extended Budget Sheet - TB'!S215:S222),SUM('Extended Budget Sheet - TB'!S238:S240),SUM('Extended Budget Sheet - TB'!S356:S387)),IF(SETUP!$F$41="At delivery", IF(SETUP!$G$41=2,'TB-Key Info'!$L$15*SUM(SUM('Extended Budget Sheet - TB'!K215:K222),SUM('Extended Budget Sheet - TB'!K238:K240),SUM('Extended Budget Sheet - TB'!K356:K387)),IF(SETUP!$G$41=1,'TB-Key Info'!$L$15*SUM(SUM('Extended Budget Sheet - TB'!O215:O222),SUM('Extended Budget Sheet - TB'!O238:O240),SUM('Extended Budget Sheet - TB'!O356:O387)),0)),0))</f>
        <v>0</v>
      </c>
      <c r="U123" s="695"/>
      <c r="V123" s="695">
        <f>IF(SETUP!$F$41="Upfront",'TB-Key Info'!$L$15*SUM(SUM('Extended Budget Sheet - TB'!W215:W222),SUM('Extended Budget Sheet - TB'!W238:W240),SUM('Extended Budget Sheet - TB'!W356:W387)),IF(SETUP!$F$41="At delivery", IF(SETUP!$G$41=3,'TB-Key Info'!$L$15*SUM(SUM('Extended Budget Sheet - TB'!K215:K222),SUM('Extended Budget Sheet - TB'!K238:K240),SUM('Extended Budget Sheet - TB'!K356:K387)),IF(SETUP!$G$41=2,'TB-Key Info'!$L$15*SUM(SUM('Extended Budget Sheet - TB'!O215:O222),SUM('Extended Budget Sheet - TB'!O238:O240),SUM('Extended Budget Sheet - TB'!O356:O387)),IF(SETUP!$G$41=1,'TB-Key Info'!$L$15*SUM(SUM('Extended Budget Sheet - TB'!S215:S222),SUM('Extended Budget Sheet - TB'!S238:S240),SUM('Extended Budget Sheet - TB'!S356:S387)),0))),0))</f>
        <v>0</v>
      </c>
      <c r="W123" s="695"/>
      <c r="X123" s="1492">
        <f t="shared" si="12"/>
        <v>0</v>
      </c>
      <c r="Y123" s="1493"/>
      <c r="Z123" s="1494"/>
      <c r="AA123" s="699"/>
      <c r="AB123" s="695"/>
      <c r="AC123" s="695">
        <f>IF(SETUP!$F$41="Upfront",'TB-Key Info'!$L$15*SUM(SUM('Extended Budget Sheet - TB'!AC215:AC222),SUM('Extended Budget Sheet - TB'!AC238:AC240),SUM('Extended Budget Sheet - TB'!AC356:AC387)),IF(SETUP!$F$41="At delivery",IF(SETUP!$G$41=4,'TB-Key Info'!$L$15*SUM(SUM('Extended Budget Sheet - TB'!K215:K222),SUM('Extended Budget Sheet - TB'!K238:K240),SUM('Extended Budget Sheet - TB'!K356:K387)),IF(SETUP!$G$41=3,'TB-Key Info'!$L$15*SUM(SUM('Extended Budget Sheet - TB'!O215:O222),SUM('Extended Budget Sheet - TB'!O238:O240),SUM('Extended Budget Sheet - TB'!O356:O387)),IF(SETUP!$G$41=2,'TB-Key Info'!$L$15*SUM(SUM('Extended Budget Sheet - TB'!S215:S222),SUM('Extended Budget Sheet - TB'!S238:S240),SUM('Extended Budget Sheet - TB'!S356:S387)),IF(SETUP!$G$41=1,'TB-Key Info'!$L$15*SUM(SUM('Extended Budget Sheet - TB'!W215:W222),SUM('Extended Budget Sheet - TB'!W238:W240),SUM('Extended Budget Sheet - TB'!W356:W387)),0)))),0))</f>
        <v>0</v>
      </c>
      <c r="AD123" s="695"/>
      <c r="AE123" s="695">
        <f>IF(SETUP!$F$41="Upfront",'TB-Key Info'!$L$15*SUM(SUM('Extended Budget Sheet - TB'!AG215:AG222),SUM('Extended Budget Sheet - TB'!AG238:AG240),SUM('Extended Budget Sheet - TB'!AG356:AG387)),IF(SETUP!$F$41="At delivery", IF(SETUP!$G$41=4,'TB-Key Info'!$L$15*SUM(SUM('Extended Budget Sheet - TB'!O215:O222),SUM('Extended Budget Sheet - TB'!O238:O240),SUM('Extended Budget Sheet - TB'!O356:O387)),IF(SETUP!$G$41=3,'TB-Key Info'!$L$15*SUM(SUM('Extended Budget Sheet - TB'!S215:S222),SUM('Extended Budget Sheet - TB'!S238:S240),SUM('Extended Budget Sheet - TB'!S356:S387)),IF(SETUP!$G$41=2,'TB-Key Info'!$L$15*SUM(SUM('Extended Budget Sheet - TB'!W215:W222),SUM('Extended Budget Sheet - TB'!W238:W240),SUM('Extended Budget Sheet - TB'!W356:W387)),IF(SETUP!$G$41=1,'TB-Key Info'!$L$15*SUM(SUM('Extended Budget Sheet - TB'!AC215:AC222),SUM('Extended Budget Sheet - TB'!AC238:AC240),SUM('Extended Budget Sheet - TB'!AC356:AC387)),0)))),0))</f>
        <v>0</v>
      </c>
      <c r="AF123" s="695"/>
      <c r="AG123" s="695">
        <f>IF(SETUP!$F$41="Upfront",'TB-Key Info'!$L$15*SUM(SUM('Extended Budget Sheet - TB'!AK215:AK222),SUM('Extended Budget Sheet - TB'!AK238:AK240),SUM('Extended Budget Sheet - TB'!AK356:AK387)),IF(SETUP!$F$41="At delivery", IF(SETUP!$G$41=4,'TB-Key Info'!$L$15*SUM(SUM('Extended Budget Sheet - TB'!S215:S222),SUM('Extended Budget Sheet - TB'!S238:S240),SUM('Extended Budget Sheet - TB'!S356:S387)),IF(SETUP!$G$41=3,'TB-Key Info'!$L$15*SUM(SUM('Extended Budget Sheet - TB'!W215:W222),SUM('Extended Budget Sheet - TB'!W238:W240),SUM('Extended Budget Sheet - TB'!W356:W387)),IF(SETUP!$G$41=2,'TB-Key Info'!$L$15*SUM(SUM('Extended Budget Sheet - TB'!AC215:AC222),SUM('Extended Budget Sheet - TB'!AC238:AC240),SUM('Extended Budget Sheet - TB'!AC356:AC387)),IF(SETUP!$G$41=1,'TB-Key Info'!$L$15*SUM(SUM('Extended Budget Sheet - TB'!AG215:AG222),SUM('Extended Budget Sheet - TB'!AG238:AG240),SUM('Extended Budget Sheet - TB'!AG356:AG387)),0)))),0))</f>
        <v>0</v>
      </c>
      <c r="AH123" s="695"/>
      <c r="AI123" s="695">
        <f>IF(SETUP!$F$41="Upfront",'TB-Key Info'!$L$15*SUM(SUM('Extended Budget Sheet - TB'!AO215:AO222),SUM('Extended Budget Sheet - TB'!AO238:AO240),SUM('Extended Budget Sheet - TB'!AO356:AO387)),IF(SETUP!$F$41="At delivery", IF(SETUP!$G$41=4,'TB-Key Info'!$L$15*SUM(SUM('Extended Budget Sheet - TB'!W215:W222),SUM('Extended Budget Sheet - TB'!W238:W240),SUM('Extended Budget Sheet - TB'!W356:W387)),IF(SETUP!$G$41=3,'TB-Key Info'!$L$15*SUM(SUM('Extended Budget Sheet - TB'!AC215:AC222),SUM('Extended Budget Sheet - TB'!AC238:AC240),SUM('Extended Budget Sheet - TB'!AC356:AC387)),IF(SETUP!$G$41=2,'TB-Key Info'!$L$15*SUM(SUM('Extended Budget Sheet - TB'!AG215:AG222),SUM('Extended Budget Sheet - TB'!AG238:AG240),SUM('Extended Budget Sheet - TB'!AG356:AG387)),IF(SETUP!$G$41=1,'TB-Key Info'!$L$15*SUM(SUM('Extended Budget Sheet - TB'!AK215:AK222),SUM('Extended Budget Sheet - TB'!AK238:AK240),SUM('Extended Budget Sheet - TB'!AK356:AK387)),0)))),0))</f>
        <v>0</v>
      </c>
      <c r="AJ123" s="695"/>
      <c r="AK123" s="1492">
        <f t="shared" si="13"/>
        <v>0</v>
      </c>
      <c r="AL123" s="1493"/>
      <c r="AM123" s="1494"/>
      <c r="AN123" s="699"/>
      <c r="AO123" s="695"/>
      <c r="AP123" s="695">
        <f>IF(SETUP!$F$41="Upfront",'TB-Key Info'!$L$15*SUM(SUM('Extended Budget Sheet - TB'!AU215:AU222),SUM('Extended Budget Sheet - TB'!AU238:AU240),SUM('Extended Budget Sheet - TB'!AU356:AU387)),IF(SETUP!$F$41="At delivery", IF(SETUP!$G$41=4,'TB-Key Info'!$L$15*SUM(SUM('Extended Budget Sheet - TB'!AC215:AC222),SUM('Extended Budget Sheet - TB'!AC238:AC240),SUM('Extended Budget Sheet - TB'!AC356:AC387)),IF(SETUP!$G$41=3,'TB-Key Info'!$L$15*SUM(SUM('Extended Budget Sheet - TB'!AG215:AG222),SUM('Extended Budget Sheet - TB'!AG238:AG240),SUM('Extended Budget Sheet - TB'!AG356:AG387)),IF(SETUP!$G$41=2,'TB-Key Info'!$L$15*SUM(SUM('Extended Budget Sheet - TB'!AK215:AK222),SUM('Extended Budget Sheet - TB'!AK238:AK240),SUM('Extended Budget Sheet - TB'!AK356:AK387)),IF(SETUP!$G$41=1,'TB-Key Info'!$L$15*SUM(SUM('Extended Budget Sheet - TB'!AO215:AO222),SUM('Extended Budget Sheet - TB'!AO238:AO240),SUM('Extended Budget Sheet - TB'!AO356:AO387)),0)))),0))</f>
        <v>0</v>
      </c>
      <c r="AQ123" s="695"/>
      <c r="AR123" s="695">
        <f>IF(SETUP!$F$41="Upfront",'TB-Key Info'!$L$15*SUM(SUM('Extended Budget Sheet - TB'!AY215:AY222),SUM('Extended Budget Sheet - TB'!AY238:AY240),SUM('Extended Budget Sheet - TB'!AY356:AY387)),IF(SETUP!$F$41="At delivery", IF(SETUP!$G$41=4,'TB-Key Info'!$L$15*SUM(SUM('Extended Budget Sheet - TB'!AG215:AG222),SUM('Extended Budget Sheet - TB'!AG238:AG240),SUM('Extended Budget Sheet - TB'!AG356:AG387)),IF(SETUP!$G$41=3,'TB-Key Info'!$L$15*SUM(SUM('Extended Budget Sheet - TB'!AK215:AK222),SUM('Extended Budget Sheet - TB'!AK238:AK240),SUM('Extended Budget Sheet - TB'!AK356:AK387)),IF(SETUP!$G$41=2,'TB-Key Info'!$L$15*SUM(SUM('Extended Budget Sheet - TB'!AO215:AO222),SUM('Extended Budget Sheet - TB'!AO238:AO240),SUM('Extended Budget Sheet - TB'!AO356:AO387)),IF(SETUP!$G$41=1,'TB-Key Info'!$L$15*SUM(SUM('Extended Budget Sheet - TB'!AU215:AU222),SUM('Extended Budget Sheet - TB'!AU238:AU240),SUM('Extended Budget Sheet - TB'!AU356:AU387)),0)))),0))</f>
        <v>0</v>
      </c>
      <c r="AS123" s="695"/>
      <c r="AT123" s="695">
        <f>IF(SETUP!$F$41="Upfront",'TB-Key Info'!$L$15*SUM(SUM('Extended Budget Sheet - TB'!BC215:BC222),SUM('Extended Budget Sheet - TB'!BC238:BC240),SUM('Extended Budget Sheet - TB'!BC356:BC387)),IF(SETUP!$F$41="At delivery", IF(SETUP!$G$41=4,'TB-Key Info'!$L$15*SUM(SUM('Extended Budget Sheet - TB'!AK215:AK222),SUM('Extended Budget Sheet - TB'!AK238:AK240),SUM('Extended Budget Sheet - TB'!AK356:AK387)),IF(SETUP!$G$41=3,'TB-Key Info'!$L$15*SUM(SUM('Extended Budget Sheet - TB'!AO215:AO222),SUM('Extended Budget Sheet - TB'!AO238:AO240),SUM('Extended Budget Sheet - TB'!AO356:AO387)),IF(SETUP!$G$41=2,'TB-Key Info'!$L$15*SUM(SUM('Extended Budget Sheet - TB'!AU215:AU222),SUM('Extended Budget Sheet - TB'!AU238:AU240),SUM('Extended Budget Sheet - TB'!AU356:AU387)),IF(SETUP!$G$41=1,'TB-Key Info'!$L$15*SUM(SUM('Extended Budget Sheet - TB'!AY215:AY222),SUM('Extended Budget Sheet - TB'!AY238:AY240),SUM('Extended Budget Sheet - TB'!AY356:AY387)),0)))),0))</f>
        <v>0</v>
      </c>
      <c r="AU123" s="695"/>
      <c r="AV123" s="695">
        <f>IF(SETUP!$F$41="Upfront",'TB-Key Info'!$L$15*SUM(SUM('Extended Budget Sheet - TB'!BG215:BG222),SUM('Extended Budget Sheet - TB'!BG238:BG240),SUM('Extended Budget Sheet - TB'!BG356:BG387)),IF(SETUP!$F$41="At delivery", IF(SETUP!$G$41=4,'TB-Key Info'!$L$15*SUM(SUM('Extended Budget Sheet - TB'!AO215:AO222),SUM('Extended Budget Sheet - TB'!AO238:AO240),SUM('Extended Budget Sheet - TB'!AO356:AO387),SUM('Extended Budget Sheet - TB'!AU215:AU222),SUM('Extended Budget Sheet - TB'!AU238:AU240),SUM('Extended Budget Sheet - TB'!AU356:AU387),SUM('Extended Budget Sheet - TB'!AY215:AY222),SUM('Extended Budget Sheet - TB'!AY238:AY240),SUM('Extended Budget Sheet - TB'!AY356:AY387),SUM('Extended Budget Sheet - TB'!BC215:BC222),SUM('Extended Budget Sheet - TB'!BC238:BC240),SUM('Extended Budget Sheet - TB'!BC356:BC387),SUM('Extended Budget Sheet - TB'!BG215:BG222),SUM('Extended Budget Sheet - TB'!BG238:BG240),SUM('Extended Budget Sheet - TB'!BG356:BG387)),IF(SETUP!$G$41=3,'TB-Key Info'!$L$15*SUM(SUM('Extended Budget Sheet - TB'!AU215:AU222),SUM('Extended Budget Sheet - TB'!AU238:AU240),SUM('Extended Budget Sheet - TB'!AU356:AU387),SUM('Extended Budget Sheet - TB'!AY215:AY222),SUM('Extended Budget Sheet - TB'!AY238:AY240),SUM('Extended Budget Sheet - TB'!AY356:AY387),SUM('Extended Budget Sheet - TB'!BC215:BC222),SUM('Extended Budget Sheet - TB'!BC238:BC240),SUM('Extended Budget Sheet - TB'!BC356:BC387),SUM('Extended Budget Sheet - TB'!BG215:BG222),SUM('Extended Budget Sheet - TB'!BG238:BG240),SUM('Extended Budget Sheet - TB'!BG356:BG387)),IF(SETUP!$G$41=2,'TB-Key Info'!$L$15*SUM(SUM('Extended Budget Sheet - TB'!AY215:AY222),SUM('Extended Budget Sheet - TB'!AY238:AY240),SUM('Extended Budget Sheet - TB'!AY356:AY387),SUM('Extended Budget Sheet - TB'!BC215:BC222),SUM('Extended Budget Sheet - TB'!BC238:BC240),SUM('Extended Budget Sheet - TB'!BC356:BC387),SUM('Extended Budget Sheet - TB'!BG215:BG222),SUM('Extended Budget Sheet - TB'!BG238:BG240),SUM('Extended Budget Sheet - TB'!BG356:BG387)),IF(SETUP!$G$41=1,'TB-Key Info'!$L$15*SUM(SUM('Extended Budget Sheet - TB'!BC215:BC222),SUM('Extended Budget Sheet - TB'!BC238:BC240),SUM('Extended Budget Sheet - TB'!BC356:BC387),SUM('Extended Budget Sheet - TB'!BG215:BG222),SUM('Extended Budget Sheet - TB'!BG238:BG240),SUM('Extended Budget Sheet - TB'!BG356:BG387)),0)))),0))</f>
        <v>0</v>
      </c>
      <c r="AW123" s="695"/>
      <c r="AX123" s="1492">
        <f t="shared" si="14"/>
        <v>0</v>
      </c>
      <c r="AY123" s="1492"/>
      <c r="AZ123" s="698"/>
      <c r="BA123" s="699"/>
      <c r="BB123" s="697"/>
      <c r="BC123" s="697">
        <v>0</v>
      </c>
      <c r="BD123" s="697">
        <v>0</v>
      </c>
      <c r="BE123" s="697">
        <v>0</v>
      </c>
      <c r="BF123" s="697">
        <v>0</v>
      </c>
      <c r="BG123" s="697">
        <v>0</v>
      </c>
      <c r="BH123" s="697">
        <v>0</v>
      </c>
      <c r="BI123" s="697">
        <v>0</v>
      </c>
      <c r="BJ123" s="697">
        <v>0</v>
      </c>
      <c r="BK123" s="1492">
        <f t="shared" si="15"/>
        <v>0</v>
      </c>
      <c r="BL123" s="1492"/>
      <c r="BM123" s="1492">
        <f t="shared" si="16"/>
        <v>0</v>
      </c>
      <c r="BN123" s="1492">
        <f t="shared" si="17"/>
        <v>0</v>
      </c>
      <c r="BO123" s="697"/>
      <c r="BP123" s="697"/>
      <c r="BQ123" s="1495">
        <v>0</v>
      </c>
      <c r="BR123" s="1495" t="s">
        <v>816</v>
      </c>
      <c r="BS123" s="1495" t="s">
        <v>6948</v>
      </c>
      <c r="BT123" s="691" t="s">
        <v>1842</v>
      </c>
    </row>
    <row r="124" spans="1:72" s="681" customFormat="1" ht="13" hidden="1">
      <c r="A124" s="1545">
        <v>159</v>
      </c>
      <c r="B124" s="1546" t="s">
        <v>773</v>
      </c>
      <c r="C124" s="1546" t="s">
        <v>774</v>
      </c>
      <c r="D124" s="1547" t="s">
        <v>722</v>
      </c>
      <c r="E124" s="690" t="s">
        <v>723</v>
      </c>
      <c r="F124" s="691"/>
      <c r="G124" s="692"/>
      <c r="H124" s="692"/>
      <c r="I124" s="692"/>
      <c r="J124" s="693"/>
      <c r="K124" s="693"/>
      <c r="L124" s="693"/>
      <c r="M124" s="694"/>
      <c r="N124" s="695"/>
      <c r="O124" s="696" t="s">
        <v>1569</v>
      </c>
      <c r="P124" s="695">
        <f>IF(SETUP!$F$44="Upfront",'TB-Key Info'!$L$15*SUM(SUM('Extended Budget Sheet - TB'!K205:K207),SUM('Extended Budget Sheet - TB'!K241:K259),SUM('Extended Budget Sheet - TB'!K349:K355)),0)</f>
        <v>0</v>
      </c>
      <c r="Q124" s="695" t="s">
        <v>1569</v>
      </c>
      <c r="R124" s="695">
        <f>IF(SETUP!$F$44="Upfront",'TB-Key Info'!$L$15*SUM(SUM('Extended Budget Sheet - TB'!O205:O207),SUM('Extended Budget Sheet - TB'!O241:O259),SUM('Extended Budget Sheet - TB'!O349:O355)),IF(SETUP!$F$44="At delivery", IF(SETUP!$G$44=1,'TB-Key Info'!$L$15*SUM(SUM('Extended Budget Sheet - TB'!K205:K207),SUM('Extended Budget Sheet - TB'!K241:K259),SUM('Extended Budget Sheet - TB'!K349:K355)),0),0))</f>
        <v>0</v>
      </c>
      <c r="S124" s="695" t="s">
        <v>1569</v>
      </c>
      <c r="T124" s="695">
        <f>IF(SETUP!$F$44="Upfront",'TB-Key Info'!$L$15*SUM(SUM('Extended Budget Sheet - TB'!S205:S207),SUM('Extended Budget Sheet - TB'!S241:S259),SUM('Extended Budget Sheet - TB'!S349:S355)),IF(SETUP!$F$44="At delivery", IF(SETUP!$G$44=2,'TB-Key Info'!$L$15*SUM(SUM('Extended Budget Sheet - TB'!K205:K207),SUM('Extended Budget Sheet - TB'!K241:K259),SUM('Extended Budget Sheet - TB'!K349:K355)),IF(SETUP!$G$44=1,'TB-Key Info'!$L$15*SUM(SUM('Extended Budget Sheet - TB'!O205:O207),SUM('Extended Budget Sheet - TB'!O241:O259),SUM('Extended Budget Sheet - TB'!O349:O355)),0)),0))</f>
        <v>0</v>
      </c>
      <c r="U124" s="695" t="s">
        <v>1569</v>
      </c>
      <c r="V124" s="695">
        <f>IF(SETUP!$F$44="Upfront",'TB-Key Info'!$L$15*SUM(SUM('Extended Budget Sheet - TB'!W205:W207),SUM('Extended Budget Sheet - TB'!W241:W259),SUM('Extended Budget Sheet - TB'!W349:W355)),IF(SETUP!$F$44="At delivery", IF(SETUP!$G$44=3,'TB-Key Info'!$L$15*SUM(SUM('Extended Budget Sheet - TB'!K205:K207),SUM('Extended Budget Sheet - TB'!K241:K259),SUM('Extended Budget Sheet - TB'!K349:K355)),IF(SETUP!$G$44=2,'TB-Key Info'!$L$15*SUM(SUM('Extended Budget Sheet - TB'!O205:O207),SUM('Extended Budget Sheet - TB'!O241:O259),SUM('Extended Budget Sheet - TB'!O349:O355)),IF(SETUP!$G$44=1,'TB-Key Info'!$L$15*SUM(SUM('Extended Budget Sheet - TB'!S205:S207),SUM('Extended Budget Sheet - TB'!S241:S259),SUM('Extended Budget Sheet - TB'!S349:S355)),0))),0))</f>
        <v>0</v>
      </c>
      <c r="W124" s="695"/>
      <c r="X124" s="1492">
        <f t="shared" si="12"/>
        <v>0</v>
      </c>
      <c r="Y124" s="1493"/>
      <c r="Z124" s="1494"/>
      <c r="AA124" s="699"/>
      <c r="AB124" s="695"/>
      <c r="AC124" s="695">
        <f>IF(SETUP!$F$44="Upfront",'TB-Key Info'!$L$15*SUM(SUM('Extended Budget Sheet - TB'!AC205:AC207),SUM('Extended Budget Sheet - TB'!AC241:AC259),SUM('Extended Budget Sheet - TB'!AC349:AC355)),IF(SETUP!$F$44="At delivery",IF(SETUP!$G$44=4,'TB-Key Info'!$L$15*SUM(SUM('Extended Budget Sheet - TB'!K205:K207),SUM('Extended Budget Sheet - TB'!K241:K259),SUM('Extended Budget Sheet - TB'!K349:K355)),IF(SETUP!$G$44=3,'TB-Key Info'!$L$15*SUM(SUM('Extended Budget Sheet - TB'!O205:O207),SUM('Extended Budget Sheet - TB'!O241:O259),SUM('Extended Budget Sheet - TB'!O349:O355)),IF(SETUP!$G$44=2,'TB-Key Info'!$L$15*SUM(SUM('Extended Budget Sheet - TB'!S205:S207),SUM('Extended Budget Sheet - TB'!S241:S259),SUM('Extended Budget Sheet - TB'!S349:S355)),IF(SETUP!$G$44=1,'TB-Key Info'!$L$15*SUM(SUM('Extended Budget Sheet - TB'!W205:W207),SUM('Extended Budget Sheet - TB'!W241:W259),SUM('Extended Budget Sheet - TB'!W349:W355)),0)))),0))</f>
        <v>0</v>
      </c>
      <c r="AD124" s="695"/>
      <c r="AE124" s="695">
        <f>IF(SETUP!$F$44="Upfront",'TB-Key Info'!$L$15*SUM(SUM('Extended Budget Sheet - TB'!AG205:AG207),SUM('Extended Budget Sheet - TB'!AG241:AG259),SUM('Extended Budget Sheet - TB'!AG349:AG355)),IF(SETUP!$F$44="At delivery", IF(SETUP!$G$44=4,'TB-Key Info'!$L$15*SUM(SUM('Extended Budget Sheet - TB'!O205:O207),SUM('Extended Budget Sheet - TB'!O241:O259),SUM('Extended Budget Sheet - TB'!O349:O355)),IF(SETUP!$G$44=3,'TB-Key Info'!$L$15*SUM(SUM('Extended Budget Sheet - TB'!S205:S207),SUM('Extended Budget Sheet - TB'!S241:S259),SUM('Extended Budget Sheet - TB'!S349:S355)),IF(SETUP!$G$44=2,'TB-Key Info'!$L$15*SUM(SUM('Extended Budget Sheet - TB'!W205:W207),SUM('Extended Budget Sheet - TB'!W241:W259),SUM('Extended Budget Sheet - TB'!W349:W355)),IF(SETUP!$G$44=1,'TB-Key Info'!$L$15*SUM(SUM('Extended Budget Sheet - TB'!AC205:AC207),SUM('Extended Budget Sheet - TB'!AC241:AC259),SUM('Extended Budget Sheet - TB'!AC349:AC355)),0)))),0))</f>
        <v>0</v>
      </c>
      <c r="AF124" s="695"/>
      <c r="AG124" s="695">
        <f>IF(SETUP!$F$44="Upfront",'TB-Key Info'!$L$15*SUM(SUM('Extended Budget Sheet - TB'!AK205:AK207),SUM('Extended Budget Sheet - TB'!AK241:AK259),SUM('Extended Budget Sheet - TB'!AK349:AK355)),IF(SETUP!$F$44="At delivery", IF(SETUP!$G$44=4,'TB-Key Info'!$L$15*SUM(SUM('Extended Budget Sheet - TB'!S205:S207),SUM('Extended Budget Sheet - TB'!S241:S259),SUM('Extended Budget Sheet - TB'!S349:S355)),IF(SETUP!$G$44=3,'TB-Key Info'!$L$15*SUM(SUM('Extended Budget Sheet - TB'!W205:W207),SUM('Extended Budget Sheet - TB'!W241:W259),SUM('Extended Budget Sheet - TB'!W349:W355)),IF(SETUP!$G$44=2,'TB-Key Info'!$L$15*SUM(SUM('Extended Budget Sheet - TB'!AC205:AC207),SUM('Extended Budget Sheet - TB'!AC241:AC259),SUM('Extended Budget Sheet - TB'!AC349:AC355)),IF(SETUP!$G$44=1,'TB-Key Info'!$L$15*SUM(SUM('Extended Budget Sheet - TB'!AG205:AG207),SUM('Extended Budget Sheet - TB'!AG241:AG259),SUM('Extended Budget Sheet - TB'!AG349:AG355)),0)))),0))</f>
        <v>0</v>
      </c>
      <c r="AH124" s="695"/>
      <c r="AI124" s="695">
        <f>IF(SETUP!$F$44="Upfront",'TB-Key Info'!$L$15*SUM(SUM('Extended Budget Sheet - TB'!AO205:AO207),SUM('Extended Budget Sheet - TB'!AO241:AO259),SUM('Extended Budget Sheet - TB'!AO349:AO355)),IF(SETUP!$F$44="At delivery", IF(SETUP!$G$44=4,'TB-Key Info'!$L$15*SUM(SUM('Extended Budget Sheet - TB'!W205:W207),SUM('Extended Budget Sheet - TB'!W241:W259),SUM('Extended Budget Sheet - TB'!W349:W355)),IF(SETUP!$G$44=3,'TB-Key Info'!$L$15*SUM(SUM('Extended Budget Sheet - TB'!AC205:AC207),SUM('Extended Budget Sheet - TB'!AC241:AC259),SUM('Extended Budget Sheet - TB'!AC349:AC355)),IF(SETUP!$G$44=2,'TB-Key Info'!$L$15*SUM(SUM('Extended Budget Sheet - TB'!AG205:AG207),SUM('Extended Budget Sheet - TB'!AG241:AG259),SUM('Extended Budget Sheet - TB'!AG349:AG355)),IF(SETUP!$G$44=1,'TB-Key Info'!$L$15*SUM(SUM('Extended Budget Sheet - TB'!AK205:AK207),SUM('Extended Budget Sheet - TB'!AK241:AK259),SUM('Extended Budget Sheet - TB'!AK349:AK355)),0)))),0))</f>
        <v>0</v>
      </c>
      <c r="AJ124" s="695"/>
      <c r="AK124" s="1492">
        <f t="shared" si="13"/>
        <v>0</v>
      </c>
      <c r="AL124" s="1493"/>
      <c r="AM124" s="1494"/>
      <c r="AN124" s="699"/>
      <c r="AO124" s="695"/>
      <c r="AP124" s="695">
        <f>IF(SETUP!$F$44="Upfront",'TB-Key Info'!$L$15*SUM(SUM('Extended Budget Sheet - TB'!AU205:AU207),SUM('Extended Budget Sheet - TB'!AU241:AU259),SUM('Extended Budget Sheet - TB'!AU349:AU355)),IF(SETUP!$F$44="At delivery", IF(SETUP!$G$44=4,'TB-Key Info'!$L$15*SUM(SUM('Extended Budget Sheet - TB'!AC205:AC207),SUM('Extended Budget Sheet - TB'!AC241:AC259),SUM('Extended Budget Sheet - TB'!AC349:AC355)),IF(SETUP!$G$44=3,'TB-Key Info'!$L$15*SUM(SUM('Extended Budget Sheet - TB'!AG205:AG207),SUM('Extended Budget Sheet - TB'!AG241:AG259),SUM('Extended Budget Sheet - TB'!AG349:AG355)),IF(SETUP!$G$44=2,'TB-Key Info'!$L$15*SUM(SUM('Extended Budget Sheet - TB'!AK205:AK207),SUM('Extended Budget Sheet - TB'!AK241:AK259),SUM('Extended Budget Sheet - TB'!AK349:AK355)),IF(SETUP!$G$44=1,'TB-Key Info'!$L$15*SUM(SUM('Extended Budget Sheet - TB'!AO205:AO207),SUM('Extended Budget Sheet - TB'!AO241:AO259),SUM('Extended Budget Sheet - TB'!AO349:AO355)),0)))),0))</f>
        <v>0</v>
      </c>
      <c r="AQ124" s="695"/>
      <c r="AR124" s="695">
        <f>IF(SETUP!$F$44="Upfront",'TB-Key Info'!$L$15*SUM(SUM('Extended Budget Sheet - TB'!AY205:AY207),SUM('Extended Budget Sheet - TB'!AY241:AY259),SUM('Extended Budget Sheet - TB'!AY349:AY355)),IF(SETUP!$F$44="At delivery", IF(SETUP!$G$44=4,'TB-Key Info'!$L$15*SUM(SUM('Extended Budget Sheet - TB'!AG205:AG207),SUM('Extended Budget Sheet - TB'!AG241:AG259),SUM('Extended Budget Sheet - TB'!AG349:AG355)),IF(SETUP!$G$44=3,'TB-Key Info'!$L$15*SUM(SUM('Extended Budget Sheet - TB'!AK205:AK207),SUM('Extended Budget Sheet - TB'!AK241:AK259),SUM('Extended Budget Sheet - TB'!AK349:AK355)),IF(SETUP!$G$44=2,'TB-Key Info'!$L$15*SUM(SUM('Extended Budget Sheet - TB'!AO205:AO207),SUM('Extended Budget Sheet - TB'!AO241:AO259),SUM('Extended Budget Sheet - TB'!AO349:AO355)),IF(SETUP!$G$44=1,'TB-Key Info'!$L$15*SUM(SUM('Extended Budget Sheet - TB'!AU205:AU207),SUM('Extended Budget Sheet - TB'!AU241:AU259),SUM('Extended Budget Sheet - TB'!AU349:AU355)),0)))),0))</f>
        <v>0</v>
      </c>
      <c r="AS124" s="695"/>
      <c r="AT124" s="695">
        <f>IF(SETUP!$F$44="Upfront",'TB-Key Info'!$L$15*SUM(SUM('Extended Budget Sheet - TB'!BC205:BC207),SUM('Extended Budget Sheet - TB'!BC241:BC259),SUM('Extended Budget Sheet - TB'!BC349:BC355)),IF(SETUP!$F$44="At delivery", IF(SETUP!$G$44=4,'TB-Key Info'!$L$15*SUM(SUM('Extended Budget Sheet - TB'!AK205:AK207),SUM('Extended Budget Sheet - TB'!AK241:AK259),SUM('Extended Budget Sheet - TB'!AK349:AK355)),IF(SETUP!$G$44=3,'TB-Key Info'!$L$15*SUM(SUM('Extended Budget Sheet - TB'!AO205:AO207),SUM('Extended Budget Sheet - TB'!AO241:AO259),SUM('Extended Budget Sheet - TB'!AO349:AO355)),IF(SETUP!$G$44=2,'TB-Key Info'!$L$15*SUM(SUM('Extended Budget Sheet - TB'!AU205:AU207),SUM('Extended Budget Sheet - TB'!AU241:AU259),SUM('Extended Budget Sheet - TB'!AU349:AU355)),IF(SETUP!$G$44=1,'TB-Key Info'!$L$15*SUM(SUM('Extended Budget Sheet - TB'!AY205:AY207),SUM('Extended Budget Sheet - TB'!AY241:AY259),SUM('Extended Budget Sheet - TB'!AY349:AY355)),0)))),0))</f>
        <v>0</v>
      </c>
      <c r="AU124" s="695"/>
      <c r="AV124" s="695">
        <f>IF(SETUP!$F$44="Upfront",'TB-Key Info'!$L$15*SUM(SUM('Extended Budget Sheet - TB'!BG205:BG207),SUM('Extended Budget Sheet - TB'!BG241:BG259),SUM('Extended Budget Sheet - TB'!BG349:BG355)),IF(SETUP!$F$44="At delivery", IF(SETUP!$G$44=4,'TB-Key Info'!$L$15*SUM(SUM('Extended Budget Sheet - TB'!AO205:AO207),SUM('Extended Budget Sheet - TB'!AO241:AO259),SUM('Extended Budget Sheet - TB'!AO349:AO355),SUM('Extended Budget Sheet - TB'!AU205:AU207),SUM('Extended Budget Sheet - TB'!AU241:AU259),SUM('Extended Budget Sheet - TB'!AU349:AU355),SUM('Extended Budget Sheet - TB'!AY205:AY207),SUM('Extended Budget Sheet - TB'!AY241:AY259),SUM('Extended Budget Sheet - TB'!AY349:AY355),SUM('Extended Budget Sheet - TB'!BC205:BC207),SUM('Extended Budget Sheet - TB'!BC241:BC259),SUM('Extended Budget Sheet - TB'!BC349:BC355),SUM('Extended Budget Sheet - TB'!BG205:BG207),SUM('Extended Budget Sheet - TB'!BG241:BG259),SUM('Extended Budget Sheet - TB'!BG349:BG355)),IF(SETUP!$G$44=3,'TB-Key Info'!$L$15*SUM(SUM('Extended Budget Sheet - TB'!AU205:AU207),SUM('Extended Budget Sheet - TB'!AU241:AU259),SUM('Extended Budget Sheet - TB'!AU349:AU355),SUM('Extended Budget Sheet - TB'!AY205:AY207),SUM('Extended Budget Sheet - TB'!AY241:AY259),SUM('Extended Budget Sheet - TB'!AY349:AY355),SUM('Extended Budget Sheet - TB'!BC205:BC207),SUM('Extended Budget Sheet - TB'!BC241:BC259),SUM('Extended Budget Sheet - TB'!BC349:BC355),SUM('Extended Budget Sheet - TB'!BG205:BG207),SUM('Extended Budget Sheet - TB'!BG241:BG259),SUM('Extended Budget Sheet - TB'!BG349:BG355)),IF(SETUP!$G$44=2,'TB-Key Info'!$L$15*SUM(SUM('Extended Budget Sheet - TB'!AY205:AY207),SUM('Extended Budget Sheet - TB'!AY241:AY259),SUM('Extended Budget Sheet - TB'!AY349:AY355),SUM('Extended Budget Sheet - TB'!BC205:BC207),SUM('Extended Budget Sheet - TB'!BC241:BC259),SUM('Extended Budget Sheet - TB'!BC349:BC355),SUM('Extended Budget Sheet - TB'!BG205:BG207),SUM('Extended Budget Sheet - TB'!BG241:BG259),SUM('Extended Budget Sheet - TB'!BG349:BG355)),IF(SETUP!$G$44=1,'TB-Key Info'!$L$15*SUM(SUM('Extended Budget Sheet - TB'!BC205:BC207),SUM('Extended Budget Sheet - TB'!BC241:BC259),SUM('Extended Budget Sheet - TB'!BC349:BC355),SUM('Extended Budget Sheet - TB'!BG205:BG207),SUM('Extended Budget Sheet - TB'!BG241:BG259),SUM('Extended Budget Sheet - TB'!BG349:BG355)),0)))),0))</f>
        <v>0</v>
      </c>
      <c r="AW124" s="695"/>
      <c r="AX124" s="1492">
        <f t="shared" si="14"/>
        <v>0</v>
      </c>
      <c r="AY124" s="1492"/>
      <c r="AZ124" s="698"/>
      <c r="BA124" s="699"/>
      <c r="BB124" s="697"/>
      <c r="BC124" s="697">
        <v>0</v>
      </c>
      <c r="BD124" s="697">
        <v>0</v>
      </c>
      <c r="BE124" s="697">
        <v>0</v>
      </c>
      <c r="BF124" s="697">
        <v>0</v>
      </c>
      <c r="BG124" s="697">
        <v>0</v>
      </c>
      <c r="BH124" s="697">
        <v>0</v>
      </c>
      <c r="BI124" s="697">
        <v>0</v>
      </c>
      <c r="BJ124" s="697">
        <v>0</v>
      </c>
      <c r="BK124" s="1492">
        <f t="shared" si="15"/>
        <v>0</v>
      </c>
      <c r="BL124" s="1492"/>
      <c r="BM124" s="1492">
        <f t="shared" si="16"/>
        <v>0</v>
      </c>
      <c r="BN124" s="1492">
        <f t="shared" si="17"/>
        <v>0</v>
      </c>
      <c r="BO124" s="697"/>
      <c r="BP124" s="697"/>
      <c r="BQ124" s="1495">
        <v>0</v>
      </c>
      <c r="BR124" s="1495" t="s">
        <v>816</v>
      </c>
      <c r="BS124" s="1495" t="s">
        <v>722</v>
      </c>
      <c r="BT124" s="691" t="s">
        <v>1845</v>
      </c>
    </row>
    <row r="125" spans="1:72" s="681" customFormat="1" ht="13" hidden="1">
      <c r="A125" s="1545">
        <v>160</v>
      </c>
      <c r="B125" s="1546" t="s">
        <v>773</v>
      </c>
      <c r="C125" s="1546" t="s">
        <v>774</v>
      </c>
      <c r="D125" s="1547" t="s">
        <v>724</v>
      </c>
      <c r="E125" s="690" t="s">
        <v>725</v>
      </c>
      <c r="F125" s="691"/>
      <c r="G125" s="692"/>
      <c r="H125" s="692"/>
      <c r="I125" s="692"/>
      <c r="J125" s="693"/>
      <c r="K125" s="693"/>
      <c r="L125" s="693"/>
      <c r="M125" s="694" t="e">
        <f>X125/W125</f>
        <v>#DIV/0!</v>
      </c>
      <c r="N125" s="695"/>
      <c r="O125" s="696" t="s">
        <v>1569</v>
      </c>
      <c r="P125" s="695">
        <f>IF(SETUP!$F$44="Upfront",'TB-Key Info'!$L$15*SUM('Extended Budget Sheet - TB'!K271:K281),0)</f>
        <v>0</v>
      </c>
      <c r="Q125" s="695" t="s">
        <v>1569</v>
      </c>
      <c r="R125" s="695">
        <f>IF(SETUP!$F$44="Upfront",'TB-Key Info'!$L$15*SUM('Extended Budget Sheet - TB'!O271:O281),IF(SETUP!$F$44="At delivery", IF(SETUP!$G$44=1,'TB-Key Info'!$L$15*SUM('Extended Budget Sheet - TB'!K271:K281),0),0))</f>
        <v>0</v>
      </c>
      <c r="S125" s="695" t="s">
        <v>1569</v>
      </c>
      <c r="T125" s="695">
        <f>IF(SETUP!$F$44="Upfront",'TB-Key Info'!$L$15*SUM('Extended Budget Sheet - TB'!S271:S281),IF(SETUP!$F$44="At delivery", IF(SETUP!$G$44=2,'TB-Key Info'!$L$15*SUM('Extended Budget Sheet - TB'!K271:K281),IF(SETUP!$G$44=1,'TB-Key Info'!$L$15*SUM('Extended Budget Sheet - TB'!O271:O281),0)),0))</f>
        <v>0</v>
      </c>
      <c r="U125" s="695" t="s">
        <v>1569</v>
      </c>
      <c r="V125" s="695">
        <f>IF(SETUP!$F$44="Upfront",'TB-Key Info'!$L$15*SUM('Extended Budget Sheet - TB'!W271:W281),IF(SETUP!$F$44="At delivery", IF(SETUP!$G$44=3,'TB-Key Info'!$L$15*SUM('Extended Budget Sheet - TB'!K271:K281),IF(SETUP!$G$44=2,'TB-Key Info'!$L$15*SUM('Extended Budget Sheet - TB'!O271:O281),IF(SETUP!$G$44=1,'TB-Key Info'!$L$15*SUM('Extended Budget Sheet - TB'!S271:S281),0))),0))</f>
        <v>0</v>
      </c>
      <c r="W125" s="695"/>
      <c r="X125" s="1492">
        <f t="shared" si="12"/>
        <v>0</v>
      </c>
      <c r="Y125" s="1493"/>
      <c r="Z125" s="1494"/>
      <c r="AA125" s="699"/>
      <c r="AB125" s="695"/>
      <c r="AC125" s="695">
        <f>IF(SETUP!$F$44="Upfront",'TB-Key Info'!$L$15*SUM('Extended Budget Sheet - TB'!AC271:AC281),IF(SETUP!$F$44="At delivery", IF(SETUP!$G$44=4,'TB-Key Info'!$L$15*SUM('Extended Budget Sheet - TB'!K271:K281),IF(SETUP!$G$44=3,'TB-Key Info'!$L$15*SUM('Extended Budget Sheet - TB'!O271:O281),IF(SETUP!$G$44=2,'TB-Key Info'!$L$15*SUM('Extended Budget Sheet - TB'!S271:S281),IF(SETUP!$G$44=1,'TB-Key Info'!$L$15*SUM('Extended Budget Sheet - TB'!W271:W281),0)))),0))</f>
        <v>0</v>
      </c>
      <c r="AD125" s="695"/>
      <c r="AE125" s="695">
        <f>IF(SETUP!$F$44="Upfront",'TB-Key Info'!$L$15*SUM('Extended Budget Sheet - TB'!AG271:AG281),IF(SETUP!$F$44="At delivery", IF(SETUP!$G$44=4,'TB-Key Info'!$L$15*SUM('Extended Budget Sheet - TB'!O271:O281),IF(SETUP!$G$44=3,'TB-Key Info'!$L$15*SUM('Extended Budget Sheet - TB'!S271:S281),IF(SETUP!$G$44=2,'TB-Key Info'!$L$15*SUM('Extended Budget Sheet - TB'!W271:W281),IF(SETUP!$G$44=1,'TB-Key Info'!$L$15*SUM('Extended Budget Sheet - TB'!AC271:AC281),0)))),0))</f>
        <v>0</v>
      </c>
      <c r="AF125" s="695"/>
      <c r="AG125" s="695">
        <f>IF(SETUP!$F$44="Upfront",'TB-Key Info'!$L$15*SUM('Extended Budget Sheet - TB'!AK271:AK281),IF(SETUP!$F$44="At delivery", IF(SETUP!$G$44=4,'TB-Key Info'!$L$15*SUM('Extended Budget Sheet - TB'!S271:S281),IF(SETUP!$G$44=3,'TB-Key Info'!$L$15*SUM('Extended Budget Sheet - TB'!W271:W281),IF(SETUP!$G$44=2,'TB-Key Info'!$L$15*SUM('Extended Budget Sheet - TB'!AC271:AC281),IF(SETUP!$G$44=1,'TB-Key Info'!$L$15*SUM('Extended Budget Sheet - TB'!AG271:AG281),0)))),0))</f>
        <v>0</v>
      </c>
      <c r="AH125" s="695"/>
      <c r="AI125" s="695">
        <f>IF(SETUP!$F$44="Upfront",'TB-Key Info'!$L$15*SUM('Extended Budget Sheet - TB'!AO271:AO281),IF(SETUP!$F$44="At delivery", IF(SETUP!$G$44=4,'TB-Key Info'!$L$15*SUM('Extended Budget Sheet - TB'!W271:W281),IF(SETUP!$G$44=3,'TB-Key Info'!$L$15*SUM('Extended Budget Sheet - TB'!AC271:AC281),IF(SETUP!$G$44=2,'TB-Key Info'!$L$15*SUM('Extended Budget Sheet - TB'!AG271:AG281),IF(SETUP!$G$44=1,'TB-Key Info'!$L$15*SUM('Extended Budget Sheet - TB'!AK271:AK281),0)))),0))</f>
        <v>0</v>
      </c>
      <c r="AJ125" s="695"/>
      <c r="AK125" s="1492">
        <f t="shared" si="13"/>
        <v>0</v>
      </c>
      <c r="AL125" s="1493"/>
      <c r="AM125" s="1494"/>
      <c r="AN125" s="699"/>
      <c r="AO125" s="695"/>
      <c r="AP125" s="695">
        <f>IF(SETUP!$F$44="Upfront",'TB-Key Info'!$L$15*SUM('Extended Budget Sheet - TB'!AU271:AU281),IF(SETUP!$F$44="At delivery", IF(SETUP!$G$44=4,'TB-Key Info'!$L$15*SUM('Extended Budget Sheet - TB'!AC271:AC281),IF(SETUP!$G$44=3,'TB-Key Info'!$L$15*SUM('Extended Budget Sheet - TB'!AG271:AG281),IF(SETUP!$G$44=2,'TB-Key Info'!$L$15*SUM('Extended Budget Sheet - TB'!AK271:AK281),IF(SETUP!$G$44=1,'TB-Key Info'!$L$15*SUM('Extended Budget Sheet - TB'!AO271:AO281),0)))),0))</f>
        <v>0</v>
      </c>
      <c r="AQ125" s="695"/>
      <c r="AR125" s="695">
        <f>IF(SETUP!$F$44="Upfront",'TB-Key Info'!$L$15*SUM('Extended Budget Sheet - TB'!AY271:AY281),IF(SETUP!$F$44="At delivery", IF(SETUP!$G$44=4,'TB-Key Info'!$L$15*SUM('Extended Budget Sheet - TB'!AG271:AG281),IF(SETUP!$G$44=3,'TB-Key Info'!$L$15*SUM('Extended Budget Sheet - TB'!AK271:AK281),IF(SETUP!$G$44=2,'TB-Key Info'!$L$15*SUM('Extended Budget Sheet - TB'!AO271:AO281),IF(SETUP!$G$44=1,'TB-Key Info'!$L$15*SUM('Extended Budget Sheet - TB'!AU271:AU281),0)))),0))</f>
        <v>0</v>
      </c>
      <c r="AS125" s="695"/>
      <c r="AT125" s="695">
        <f>IF(SETUP!$F$44="Upfront",'TB-Key Info'!$L$15*SUM('Extended Budget Sheet - TB'!BC271:BC281),IF(SETUP!$F$44="At delivery", IF(SETUP!$G$44=4,'TB-Key Info'!$L$15*SUM('Extended Budget Sheet - TB'!AK271:AK281),IF(SETUP!$G$44=3,'TB-Key Info'!$L$15*SUM('Extended Budget Sheet - TB'!AO271:AO281),IF(SETUP!$G$44=2,'TB-Key Info'!$L$15*SUM('Extended Budget Sheet - TB'!AU271:AU281),IF(SETUP!$G$44=1,'TB-Key Info'!$L$15*SUM('Extended Budget Sheet - TB'!AY271:AY281),0)))),0))</f>
        <v>0</v>
      </c>
      <c r="AU125" s="695"/>
      <c r="AV125" s="695">
        <f>IF(SETUP!$F$44="Upfront",'TB-Key Info'!$L$15*SUM('Extended Budget Sheet - TB'!BG271:BG281),IF(SETUP!$F$44="At delivery", IF(SETUP!$G$44=4,'TB-Key Info'!$L$15*SUM(SUM('Extended Budget Sheet - TB'!AO271:AO281),SUM('Extended Budget Sheet - TB'!AU271:AU281),SUM('Extended Budget Sheet - TB'!AY271:AY281),SUM('Extended Budget Sheet - TB'!BC271:BC281),SUM('Extended Budget Sheet - TB'!BG271:BG281)),IF(SETUP!$G$44=3,'TB-Key Info'!$L$15*SUM(SUM('Extended Budget Sheet - TB'!AU271:AU281),SUM('Extended Budget Sheet - TB'!AY271:AY281),SUM('Extended Budget Sheet - TB'!BC271:BC281),SUM('Extended Budget Sheet - TB'!BG271:BG281)),IF(SETUP!$G$44=2,'TB-Key Info'!$L$15*SUM(SUM('Extended Budget Sheet - TB'!AY271:AY281),SUM('Extended Budget Sheet - TB'!BC271:BC281),SUM('Extended Budget Sheet - TB'!BG271:BG281)),IF(SETUP!$G$44=1,'TB-Key Info'!$L$15*SUM(SUM('Extended Budget Sheet - TB'!BC271:BC281),SUM('Extended Budget Sheet - TB'!BG271:BG281)),0)))),0))</f>
        <v>0</v>
      </c>
      <c r="AW125" s="695"/>
      <c r="AX125" s="1492">
        <f t="shared" si="14"/>
        <v>0</v>
      </c>
      <c r="AY125" s="1492"/>
      <c r="AZ125" s="698"/>
      <c r="BA125" s="699"/>
      <c r="BB125" s="697"/>
      <c r="BC125" s="697">
        <v>0</v>
      </c>
      <c r="BD125" s="697">
        <v>0</v>
      </c>
      <c r="BE125" s="697">
        <v>0</v>
      </c>
      <c r="BF125" s="697">
        <v>0</v>
      </c>
      <c r="BG125" s="697">
        <v>0</v>
      </c>
      <c r="BH125" s="697">
        <v>0</v>
      </c>
      <c r="BI125" s="697">
        <v>0</v>
      </c>
      <c r="BJ125" s="697">
        <v>0</v>
      </c>
      <c r="BK125" s="1492">
        <f t="shared" si="15"/>
        <v>0</v>
      </c>
      <c r="BL125" s="1492"/>
      <c r="BM125" s="1492">
        <f t="shared" si="16"/>
        <v>0</v>
      </c>
      <c r="BN125" s="1492">
        <f t="shared" si="17"/>
        <v>0</v>
      </c>
      <c r="BO125" s="697"/>
      <c r="BP125" s="697"/>
      <c r="BQ125" s="1495">
        <v>0</v>
      </c>
      <c r="BR125" s="1495" t="s">
        <v>816</v>
      </c>
      <c r="BS125" s="1495" t="s">
        <v>724</v>
      </c>
      <c r="BT125" s="691" t="s">
        <v>1796</v>
      </c>
    </row>
    <row r="126" spans="1:72" s="681" customFormat="1" ht="13" hidden="1">
      <c r="A126" s="1545">
        <v>161</v>
      </c>
      <c r="B126" s="1546" t="s">
        <v>773</v>
      </c>
      <c r="C126" s="1546" t="s">
        <v>774</v>
      </c>
      <c r="D126" s="1547" t="s">
        <v>6949</v>
      </c>
      <c r="E126" s="690" t="s">
        <v>782</v>
      </c>
      <c r="F126" s="691"/>
      <c r="G126" s="692"/>
      <c r="H126" s="692"/>
      <c r="I126" s="692"/>
      <c r="J126" s="693"/>
      <c r="K126" s="693"/>
      <c r="L126" s="693"/>
      <c r="M126" s="694" t="e">
        <f>X126/W126</f>
        <v>#DIV/0!</v>
      </c>
      <c r="N126" s="695" t="e">
        <f>IF(M126&lt;&gt;"",M126/VLOOKUP($K126,SETUP!$C$28:$D$42,2,0),"")</f>
        <v>#DIV/0!</v>
      </c>
      <c r="O126" s="696" t="s">
        <v>1569</v>
      </c>
      <c r="P126" s="695">
        <f>IF(SETUP!$F$41="Upfront",'TB-Key Info'!$L$15*SUM(SUM('Extended Budget Sheet - TB'!K223:K234),SUM('Extended Budget Sheet - TB'!K260:K264)),0)</f>
        <v>0</v>
      </c>
      <c r="Q126" s="695" t="s">
        <v>1569</v>
      </c>
      <c r="R126" s="695">
        <f>IF(SETUP!$F$41="Upfront",'TB-Key Info'!$L$15*SUM(SUM('Extended Budget Sheet - TB'!O223:O234),SUM('Extended Budget Sheet - TB'!O260:O264)),IF(SETUP!$F$41="At delivery", IF(SETUP!$G$41=1,'TB-Key Info'!$L$15*SUM(SUM('Extended Budget Sheet - TB'!K223:K234),SUM('Extended Budget Sheet - TB'!K260:K264)),0),0))</f>
        <v>0</v>
      </c>
      <c r="S126" s="695" t="s">
        <v>1569</v>
      </c>
      <c r="T126" s="695">
        <f>IF(SETUP!$F$41="Upfront",'TB-Key Info'!$L$15*SUM(SUM('Extended Budget Sheet - TB'!S223:S234),SUM('Extended Budget Sheet - TB'!S260:S264)),IF(SETUP!$F$41="At delivery", IF(SETUP!$G$41=2,'TB-Key Info'!$L$15*SUM(SUM('Extended Budget Sheet - TB'!K223:K234),SUM('Extended Budget Sheet - TB'!K260:K264)),IF(SETUP!$G$41=1,'TB-Key Info'!$L$15*SUM(SUM('Extended Budget Sheet - TB'!O223:O234),SUM('Extended Budget Sheet - TB'!O260:O264)),0)),0))</f>
        <v>0</v>
      </c>
      <c r="U126" s="695" t="s">
        <v>1569</v>
      </c>
      <c r="V126" s="695">
        <f>IF(SETUP!$F$41="Upfront",'TB-Key Info'!$L$15*SUM(SUM('Extended Budget Sheet - TB'!W223:W234),SUM('Extended Budget Sheet - TB'!W260:W264)),IF(SETUP!$F$41="At delivery", IF(SETUP!$G$41=3,'TB-Key Info'!$L$15*SUM(SUM('Extended Budget Sheet - TB'!K223:K234),SUM('Extended Budget Sheet - TB'!K260:K264)),IF(SETUP!$G$41=2,'TB-Key Info'!$L$15*SUM(SUM('Extended Budget Sheet - TB'!O223:O234),SUM('Extended Budget Sheet - TB'!O260:O264)),IF(SETUP!$G$41=1,'TB-Key Info'!$L$15*SUM(SUM('Extended Budget Sheet - TB'!S223:S234),SUM('Extended Budget Sheet - TB'!S260:S264)),0))),0))</f>
        <v>0</v>
      </c>
      <c r="W126" s="695"/>
      <c r="X126" s="1492">
        <f t="shared" si="12"/>
        <v>0</v>
      </c>
      <c r="Y126" s="1493"/>
      <c r="Z126" s="1494"/>
      <c r="AA126" s="699"/>
      <c r="AB126" s="695"/>
      <c r="AC126" s="695">
        <f>IF(SETUP!$F$41="Upfront",'TB-Key Info'!$L$15*SUM(SUM('Extended Budget Sheet - TB'!AC223:AC234),SUM('Extended Budget Sheet - TB'!AC260:AC264)),IF(SETUP!$F$41="At delivery",IF(SETUP!$G$41=4,'TB-Key Info'!$L$15*SUM(SUM('Extended Budget Sheet - TB'!K223:K234),SUM('Extended Budget Sheet - TB'!K260:K264)),IF(SETUP!$G$41=3,'TB-Key Info'!$L$15*SUM(SUM('Extended Budget Sheet - TB'!O223:O234),SUM('Extended Budget Sheet - TB'!O260:O264)),IF(SETUP!$G$41=2,'TB-Key Info'!$L$15*SUM(SUM('Extended Budget Sheet - TB'!S223:S234),SUM('Extended Budget Sheet - TB'!S260:S264)),IF(SETUP!$G$41=1,'TB-Key Info'!$L$15*SUM(SUM('Extended Budget Sheet - TB'!W223:W234),SUM('Extended Budget Sheet - TB'!W260:W264)),0)))),0))</f>
        <v>0</v>
      </c>
      <c r="AD126" s="695"/>
      <c r="AE126" s="695">
        <f>IF(SETUP!$F$41="Upfront",'TB-Key Info'!$L$15*SUM(SUM('Extended Budget Sheet - TB'!AG223:AG234),SUM('Extended Budget Sheet - TB'!AG260:AG264)),IF(SETUP!$F$41="At delivery", IF(SETUP!$G$41=4,'TB-Key Info'!$L$15*SUM(SUM('Extended Budget Sheet - TB'!O223:O234),SUM('Extended Budget Sheet - TB'!O260:O264)),IF(SETUP!$G$41=3,'TB-Key Info'!$L$15*SUM(SUM('Extended Budget Sheet - TB'!S223:S234),SUM('Extended Budget Sheet - TB'!S260:S264)),IF(SETUP!$G$41=2,'TB-Key Info'!$L$15*SUM(SUM('Extended Budget Sheet - TB'!W223:W234),SUM('Extended Budget Sheet - TB'!W260:W264)),IF(SETUP!$G$41=1,'TB-Key Info'!$L$15*SUM(SUM('Extended Budget Sheet - TB'!AC223:AC234),SUM('Extended Budget Sheet - TB'!AC260:AC264)),0)))),0))</f>
        <v>0</v>
      </c>
      <c r="AF126" s="695"/>
      <c r="AG126" s="695">
        <f>IF(SETUP!$F$41="Upfront",'TB-Key Info'!$L$15*SUM(SUM('Extended Budget Sheet - TB'!AK223:AK234),SUM('Extended Budget Sheet - TB'!AK260:AK264)),IF(SETUP!$F$41="At delivery", IF(SETUP!$G$41=4,'TB-Key Info'!$L$15*SUM(SUM('Extended Budget Sheet - TB'!S223:S234),SUM('Extended Budget Sheet - TB'!S260:S264)),IF(SETUP!$G$41=3,'TB-Key Info'!$L$15*SUM(SUM('Extended Budget Sheet - TB'!W223:W234),SUM('Extended Budget Sheet - TB'!W260:W264)),IF(SETUP!$G$41=2,'TB-Key Info'!$L$15*SUM(SUM('Extended Budget Sheet - TB'!AC223:AC234),SUM('Extended Budget Sheet - TB'!AC260:AC264)),IF(SETUP!$G$41=1,'TB-Key Info'!$L$15*SUM(SUM('Extended Budget Sheet - TB'!AG223:AG234),SUM('Extended Budget Sheet - TB'!AG260:AG264)),0)))),0))</f>
        <v>0</v>
      </c>
      <c r="AH126" s="695"/>
      <c r="AI126" s="695">
        <f>IF(SETUP!$F$41="Upfront",'TB-Key Info'!$L$15*SUM(SUM('Extended Budget Sheet - TB'!AO223:AO234),SUM('Extended Budget Sheet - TB'!AO260:AO264)),IF(SETUP!$F$41="At delivery", IF(SETUP!$G$41=4,'TB-Key Info'!$L$15*SUM(SUM('Extended Budget Sheet - TB'!W223:W234),SUM('Extended Budget Sheet - TB'!W260:W264)),IF(SETUP!$G$41=3,'TB-Key Info'!$L$15*SUM(SUM('Extended Budget Sheet - TB'!AC223:AC234),SUM('Extended Budget Sheet - TB'!AC260:AC264)),IF(SETUP!$G$41=2,'TB-Key Info'!$L$15*SUM(SUM('Extended Budget Sheet - TB'!AG223:AG234),SUM('Extended Budget Sheet - TB'!AG260:AG264)),IF(SETUP!$G$41=1,'TB-Key Info'!$L$15*SUM(SUM('Extended Budget Sheet - TB'!AK223:AK234),SUM('Extended Budget Sheet - TB'!AK260:AK264)),0)))),0))</f>
        <v>0</v>
      </c>
      <c r="AJ126" s="695"/>
      <c r="AK126" s="1492">
        <f t="shared" si="13"/>
        <v>0</v>
      </c>
      <c r="AL126" s="1493"/>
      <c r="AM126" s="1494"/>
      <c r="AN126" s="699"/>
      <c r="AO126" s="695"/>
      <c r="AP126" s="695">
        <f>IF(SETUP!$F$41="Upfront",'TB-Key Info'!$L$15*SUM(SUM('Extended Budget Sheet - TB'!AU223:AU234),SUM('Extended Budget Sheet - TB'!AU260:AU264)),IF(SETUP!$F$41="At delivery", IF(SETUP!$G$41=4,'TB-Key Info'!$L$15*SUM(SUM('Extended Budget Sheet - TB'!AC223:AC234),SUM('Extended Budget Sheet - TB'!AC260:AC264)),IF(SETUP!$G$41=3,'TB-Key Info'!$L$15*SUM(SUM('Extended Budget Sheet - TB'!AG223:AG234),SUM('Extended Budget Sheet - TB'!AG260:AG264)),IF(SETUP!$G$41=2,'TB-Key Info'!$L$15*SUM(SUM('Extended Budget Sheet - TB'!AK223:AK234),SUM('Extended Budget Sheet - TB'!AK260:AK264)),IF(SETUP!$G$41=1,'TB-Key Info'!$L$15*SUM(SUM('Extended Budget Sheet - TB'!AO223:AO234),SUM('Extended Budget Sheet - TB'!AO260:AO264)),0)))),0))</f>
        <v>0</v>
      </c>
      <c r="AQ126" s="695"/>
      <c r="AR126" s="695">
        <f>IF(SETUP!$F$41="Upfront",'TB-Key Info'!$L$15*SUM(SUM('Extended Budget Sheet - TB'!AY223:AY234),SUM('Extended Budget Sheet - TB'!AY260:AY264)),IF(SETUP!$F$41="At delivery", IF(SETUP!$G$41=4,'TB-Key Info'!$L$15*SUM(SUM('Extended Budget Sheet - TB'!AG223:AG234),SUM('Extended Budget Sheet - TB'!AG260:AG264)),IF(SETUP!$G$41=3,'TB-Key Info'!$L$15*SUM(SUM('Extended Budget Sheet - TB'!AK223:AK234),SUM('Extended Budget Sheet - TB'!AK260:AK264)),IF(SETUP!$G$41=2,'TB-Key Info'!$L$15*SUM(SUM('Extended Budget Sheet - TB'!AO223:AO234),SUM('Extended Budget Sheet - TB'!AO260:AO264)),IF(SETUP!$G$41=1,'TB-Key Info'!$L$15*SUM(SUM('Extended Budget Sheet - TB'!AU223:AU234),SUM('Extended Budget Sheet - TB'!AU260:AU264)),0)))),0))</f>
        <v>0</v>
      </c>
      <c r="AS126" s="695"/>
      <c r="AT126" s="695">
        <f>IF(SETUP!$F$41="Upfront",'TB-Key Info'!$L$15*SUM(SUM('Extended Budget Sheet - TB'!BC223:BC234),SUM('Extended Budget Sheet - TB'!BC260:BC264)),IF(SETUP!$F$41="At delivery", IF(SETUP!$G$41=4,'TB-Key Info'!$L$15*SUM(SUM('Extended Budget Sheet - TB'!AK223:AK234),SUM('Extended Budget Sheet - TB'!AK260:AK264)),IF(SETUP!$G$41=3,'TB-Key Info'!$L$15*SUM(SUM('Extended Budget Sheet - TB'!AO223:AO234),SUM('Extended Budget Sheet - TB'!AO260:AO264)),IF(SETUP!$G$41=2,'TB-Key Info'!$L$15*SUM(SUM('Extended Budget Sheet - TB'!AU223:AU234),SUM('Extended Budget Sheet - TB'!AU260:AU264)),IF(SETUP!$G$41=1,'TB-Key Info'!$L$15*SUM(SUM('Extended Budget Sheet - TB'!AY223:AY234),SUM('Extended Budget Sheet - TB'!AY260:AY264)),0)))),0))</f>
        <v>0</v>
      </c>
      <c r="AU126" s="695"/>
      <c r="AV126" s="695">
        <f>IF(SETUP!$F$41="Upfront",'TB-Key Info'!$L$15*SUM(SUM('Extended Budget Sheet - TB'!BG223:BG234),SUM('Extended Budget Sheet - TB'!BG260:BG264)),IF(SETUP!$F$41="At delivery", IF(SETUP!$G$41=4,'TB-Key Info'!$L$15*SUM(SUM('Extended Budget Sheet - TB'!AO223:AO234),SUM('Extended Budget Sheet - TB'!AO260:AO264),SUM('Extended Budget Sheet - TB'!AU223:AU234),SUM('Extended Budget Sheet - TB'!AU260:AU264),SUM('Extended Budget Sheet - TB'!AY223:AY234),SUM('Extended Budget Sheet - TB'!AY260:AY264),SUM('Extended Budget Sheet - TB'!BC223:BC234),SUM('Extended Budget Sheet - TB'!BC260:BC264),SUM('Extended Budget Sheet - TB'!BG223:BG234),SUM('Extended Budget Sheet - TB'!BG260:BG264)),IF(SETUP!$G$41=3,'TB-Key Info'!$L$15*SUM(SUM('Extended Budget Sheet - TB'!AU223:AU234),SUM('Extended Budget Sheet - TB'!AU260:AU264),SUM('Extended Budget Sheet - TB'!AY223:AY234),SUM('Extended Budget Sheet - TB'!AY260:AY264),SUM('Extended Budget Sheet - TB'!BC223:BC234),SUM('Extended Budget Sheet - TB'!BC260:BC264),SUM('Extended Budget Sheet - TB'!BG223:BG234),SUM('Extended Budget Sheet - TB'!BG260:BG264)),IF(SETUP!$G$41=2,'TB-Key Info'!$L$15*SUM(SUM('Extended Budget Sheet - TB'!AY223:AY234),SUM('Extended Budget Sheet - TB'!AY260:AY264),SUM('Extended Budget Sheet - TB'!BC223:BC234),SUM('Extended Budget Sheet - TB'!BC260:BC264),SUM('Extended Budget Sheet - TB'!BG223:BG234),SUM('Extended Budget Sheet - TB'!BG260:BG264)),IF(SETUP!$G$41=1,'TB-Key Info'!$L$15*SUM(SUM('Extended Budget Sheet - TB'!BC223:BC234),SUM('Extended Budget Sheet - TB'!BC260:BC264),SUM('Extended Budget Sheet - TB'!BG223:BG234),SUM('Extended Budget Sheet - TB'!BG260:BG264)),0)))),0))</f>
        <v>0</v>
      </c>
      <c r="AW126" s="695"/>
      <c r="AX126" s="1492">
        <f t="shared" si="14"/>
        <v>0</v>
      </c>
      <c r="AY126" s="1492"/>
      <c r="AZ126" s="698"/>
      <c r="BA126" s="699"/>
      <c r="BB126" s="697"/>
      <c r="BC126" s="697">
        <v>0</v>
      </c>
      <c r="BD126" s="697">
        <v>0</v>
      </c>
      <c r="BE126" s="697">
        <v>0</v>
      </c>
      <c r="BF126" s="697">
        <v>0</v>
      </c>
      <c r="BG126" s="697">
        <v>0</v>
      </c>
      <c r="BH126" s="697">
        <v>0</v>
      </c>
      <c r="BI126" s="697">
        <v>0</v>
      </c>
      <c r="BJ126" s="697">
        <v>0</v>
      </c>
      <c r="BK126" s="1492">
        <f t="shared" si="15"/>
        <v>0</v>
      </c>
      <c r="BL126" s="1492"/>
      <c r="BM126" s="1492">
        <f t="shared" si="16"/>
        <v>0</v>
      </c>
      <c r="BN126" s="1492">
        <f t="shared" si="17"/>
        <v>0</v>
      </c>
      <c r="BO126" s="697"/>
      <c r="BP126" s="697"/>
      <c r="BQ126" s="1495">
        <v>0</v>
      </c>
      <c r="BR126" s="1495" t="s">
        <v>816</v>
      </c>
      <c r="BS126" s="1495" t="s">
        <v>6949</v>
      </c>
      <c r="BT126" s="691" t="s">
        <v>1797</v>
      </c>
    </row>
    <row r="127" spans="1:72" s="681" customFormat="1" ht="13" hidden="1">
      <c r="A127" s="1545">
        <v>162</v>
      </c>
      <c r="B127" s="1546" t="s">
        <v>773</v>
      </c>
      <c r="C127" s="1546" t="s">
        <v>774</v>
      </c>
      <c r="D127" s="1547" t="s">
        <v>6950</v>
      </c>
      <c r="E127" s="690" t="s">
        <v>721</v>
      </c>
      <c r="F127" s="691"/>
      <c r="G127" s="692">
        <f>SETUP!$E$3</f>
        <v>0</v>
      </c>
      <c r="H127" s="692"/>
      <c r="I127" s="692"/>
      <c r="J127" s="693"/>
      <c r="K127" s="693"/>
      <c r="L127" s="693"/>
      <c r="M127" s="694" t="e">
        <f>X127/W127</f>
        <v>#DIV/0!</v>
      </c>
      <c r="N127" s="695" t="e">
        <f>IF(M127&lt;&gt;"",M127/VLOOKUP($K127,SETUP!$C$28:$D$42,2,0),"")</f>
        <v>#DIV/0!</v>
      </c>
      <c r="O127" s="696" t="s">
        <v>1569</v>
      </c>
      <c r="P127" s="695">
        <f>IF(SETUP!$F$44="Upfront",'TB-Key Info'!$L$15*SUM('Extended Budget Sheet - TB'!K395),0)</f>
        <v>0</v>
      </c>
      <c r="Q127" s="695" t="s">
        <v>1569</v>
      </c>
      <c r="R127" s="695">
        <f>IF(SETUP!$F$44="Upfront",'TB-Key Info'!$L$15*SUM('Extended Budget Sheet - TB'!O395),IF(SETUP!$F$44="At delivery", IF(SETUP!$G$44=1,'TB-Key Info'!$L$15*SUM('Extended Budget Sheet - TB'!K395),0),0))</f>
        <v>0</v>
      </c>
      <c r="S127" s="695" t="s">
        <v>1569</v>
      </c>
      <c r="T127" s="695">
        <f>IF(SETUP!$F$44="Upfront",'TB-Key Info'!$L$15*SUM('Extended Budget Sheet - TB'!S395),IF(SETUP!$F$44="At delivery", IF(SETUP!$G$44=2,'TB-Key Info'!$L$15*SUM('Extended Budget Sheet - TB'!K395),IF(SETUP!$G$44=1,'TB-Key Info'!$L$15*SUM('Extended Budget Sheet - TB'!O395),0)),0))</f>
        <v>0</v>
      </c>
      <c r="U127" s="695" t="s">
        <v>1569</v>
      </c>
      <c r="V127" s="695">
        <f>IF(SETUP!$F$44="Upfront",'TB-Key Info'!$L$15*SUM('Extended Budget Sheet - TB'!W395),IF(SETUP!$F$44="At delivery", IF(SETUP!$G$44=3,'TB-Key Info'!$L$15*SUM('Extended Budget Sheet - TB'!K395),IF(SETUP!$G$44=2,'TB-Key Info'!$L$15*SUM('Extended Budget Sheet - TB'!O395),IF(SETUP!$G$44=1,'TB-Key Info'!$L$15*SUM('Extended Budget Sheet - TB'!S395),0))),0))</f>
        <v>0</v>
      </c>
      <c r="W127" s="695"/>
      <c r="X127" s="1492">
        <f t="shared" si="12"/>
        <v>0</v>
      </c>
      <c r="Y127" s="1493"/>
      <c r="Z127" s="1494"/>
      <c r="AA127" s="699"/>
      <c r="AB127" s="695"/>
      <c r="AC127" s="695">
        <f>IF(SETUP!$F$44="Upfront",'TB-Key Info'!$L$15*SUM('Extended Budget Sheet - TB'!AC395),IF(SETUP!$F$44="At delivery", IF(SETUP!$G$44=4,'TB-Key Info'!$L$15*SUM('Extended Budget Sheet - TB'!K395),IF(SETUP!$G$44=3,'TB-Key Info'!$L$15*SUM('Extended Budget Sheet - TB'!O395),IF(SETUP!$G$44=2,'TB-Key Info'!$L$15*SUM('Extended Budget Sheet - TB'!S395),IF(SETUP!$G$44=1,'TB-Key Info'!$L$15*SUM('Extended Budget Sheet - TB'!W395),0)))),0))</f>
        <v>0</v>
      </c>
      <c r="AD127" s="695"/>
      <c r="AE127" s="695">
        <f>IF(SETUP!$F$44="Upfront",'TB-Key Info'!$L$15*SUM('Extended Budget Sheet - TB'!AG395),IF(SETUP!$F$44="At delivery", IF(SETUP!$G$44=4,'TB-Key Info'!$L$15*SUM('Extended Budget Sheet - TB'!O395),IF(SETUP!$G$44=3,'TB-Key Info'!$L$15*SUM('Extended Budget Sheet - TB'!S395),IF(SETUP!$G$44=2,'TB-Key Info'!$L$15*SUM('Extended Budget Sheet - TB'!W395),IF(SETUP!$G$44=1,'TB-Key Info'!$L$15*SUM('Extended Budget Sheet - TB'!AC395),0)))),0))</f>
        <v>0</v>
      </c>
      <c r="AF127" s="695"/>
      <c r="AG127" s="695">
        <f>IF(SETUP!$F$44="Upfront",'TB-Key Info'!$L$15*SUM('Extended Budget Sheet - TB'!AK395),IF(SETUP!$F$44="At delivery", IF(SETUP!$G$44=4,'TB-Key Info'!$L$15*SUM('Extended Budget Sheet - TB'!S395),IF(SETUP!$G$44=3,'TB-Key Info'!$L$15*SUM('Extended Budget Sheet - TB'!W395),IF(SETUP!$G$44=2,'TB-Key Info'!$L$15*SUM('Extended Budget Sheet - TB'!AC395),IF(SETUP!$G$44=1,'TB-Key Info'!$L$15*SUM('Extended Budget Sheet - TB'!AG395),0)))),0))</f>
        <v>0</v>
      </c>
      <c r="AH127" s="695"/>
      <c r="AI127" s="695">
        <f>IF(SETUP!$F$44="Upfront",'TB-Key Info'!$L$15*SUM('Extended Budget Sheet - TB'!AO395),IF(SETUP!$F$44="At delivery", IF(SETUP!$G$44=4,'TB-Key Info'!$L$15*SUM('Extended Budget Sheet - TB'!W395),IF(SETUP!$G$44=3,'TB-Key Info'!$L$15*SUM('Extended Budget Sheet - TB'!AC395),IF(SETUP!$G$44=2,'TB-Key Info'!$L$15*SUM('Extended Budget Sheet - TB'!AG395),IF(SETUP!$G$44=1,'TB-Key Info'!$L$15*SUM('Extended Budget Sheet - TB'!AK395),0)))),0))</f>
        <v>0</v>
      </c>
      <c r="AJ127" s="695"/>
      <c r="AK127" s="1492">
        <f t="shared" si="13"/>
        <v>0</v>
      </c>
      <c r="AL127" s="1493"/>
      <c r="AM127" s="1494"/>
      <c r="AN127" s="699"/>
      <c r="AO127" s="695"/>
      <c r="AP127" s="695">
        <f>IF(SETUP!$F$44="Upfront",'TB-Key Info'!$L$15*SUM('Extended Budget Sheet - TB'!AU395),IF(SETUP!$F$44="At delivery", IF(SETUP!$G$44=4,'TB-Key Info'!$L$15*SUM('Extended Budget Sheet - TB'!AC395),IF(SETUP!$G$44=3,'TB-Key Info'!$L$15*SUM('Extended Budget Sheet - TB'!AG395),IF(SETUP!$G$44=2,'TB-Key Info'!$L$15*SUM('Extended Budget Sheet - TB'!AK395),IF(SETUP!$G$44=1,'TB-Key Info'!$L$15*SUM('Extended Budget Sheet - TB'!AO395),0)))),0))</f>
        <v>0</v>
      </c>
      <c r="AQ127" s="695"/>
      <c r="AR127" s="695">
        <f>IF(SETUP!$F$44="Upfront",'TB-Key Info'!$L$15*SUM('Extended Budget Sheet - TB'!AY395),IF(SETUP!$F$44="At delivery", IF(SETUP!$G$44=4,'TB-Key Info'!$L$15*SUM('Extended Budget Sheet - TB'!AG395),IF(SETUP!$G$44=3,'TB-Key Info'!$L$15*SUM('Extended Budget Sheet - TB'!AK395),IF(SETUP!$G$44=2,'TB-Key Info'!$L$15*SUM('Extended Budget Sheet - TB'!AO395),IF(SETUP!$G$44=1,'TB-Key Info'!$L$15*SUM('Extended Budget Sheet - TB'!AU395),0)))),0))</f>
        <v>0</v>
      </c>
      <c r="AS127" s="695"/>
      <c r="AT127" s="695">
        <f>IF(SETUP!$F$44="Upfront",'TB-Key Info'!$L$15*SUM('Extended Budget Sheet - TB'!BC395),IF(SETUP!$F$44="At delivery", IF(SETUP!$G$44=4,'TB-Key Info'!$L$15*SUM('Extended Budget Sheet - TB'!AK395),IF(SETUP!$G$44=3,'TB-Key Info'!$L$15*SUM('Extended Budget Sheet - TB'!AO395),IF(SETUP!$G$44=2,'TB-Key Info'!$L$15*SUM('Extended Budget Sheet - TB'!AU395),IF(SETUP!$G$44=1,'TB-Key Info'!$L$15*SUM('Extended Budget Sheet - TB'!AY395),0)))),0))</f>
        <v>0</v>
      </c>
      <c r="AU127" s="695"/>
      <c r="AV127" s="695">
        <f>IF(SETUP!$F$44="Upfront",'TB-Key Info'!$L$15*SUM('Extended Budget Sheet - TB'!BG395),IF(SETUP!$F$44="At delivery", IF(SETUP!$G$44=4,'TB-Key Info'!$L$15*SUM(SUM('Extended Budget Sheet - TB'!AO395),SUM('Extended Budget Sheet - TB'!AU395),SUM('Extended Budget Sheet - TB'!AY395),SUM('Extended Budget Sheet - TB'!BC395),SUM('Extended Budget Sheet - TB'!BG395)),IF(SETUP!$G$44=3,'TB-Key Info'!$L$15*SUM(SUM('Extended Budget Sheet - TB'!AU395),SUM('Extended Budget Sheet - TB'!AY395),SUM('Extended Budget Sheet - TB'!BC395),SUM('Extended Budget Sheet - TB'!BG395)),IF(SETUP!$G$44=2,'TB-Key Info'!$L$15*SUM(SUM('Extended Budget Sheet - TB'!AY395),SUM('Extended Budget Sheet - TB'!BC395),SUM('Extended Budget Sheet - TB'!BG395)),IF(SETUP!$G$44=1,'TB-Key Info'!$L$15*SUM(SUM('Extended Budget Sheet - TB'!BC395),SUM('Extended Budget Sheet - TB'!BG395)),0)))),0))</f>
        <v>0</v>
      </c>
      <c r="AW127" s="695"/>
      <c r="AX127" s="1492">
        <f t="shared" si="14"/>
        <v>0</v>
      </c>
      <c r="AY127" s="1492"/>
      <c r="AZ127" s="698"/>
      <c r="BA127" s="699"/>
      <c r="BB127" s="697"/>
      <c r="BC127" s="697">
        <v>0</v>
      </c>
      <c r="BD127" s="697">
        <v>0</v>
      </c>
      <c r="BE127" s="697">
        <v>0</v>
      </c>
      <c r="BF127" s="697">
        <v>0</v>
      </c>
      <c r="BG127" s="697">
        <v>0</v>
      </c>
      <c r="BH127" s="697">
        <v>0</v>
      </c>
      <c r="BI127" s="697">
        <v>0</v>
      </c>
      <c r="BJ127" s="697">
        <v>0</v>
      </c>
      <c r="BK127" s="1492">
        <f t="shared" si="15"/>
        <v>0</v>
      </c>
      <c r="BL127" s="1492"/>
      <c r="BM127" s="1492">
        <f t="shared" si="16"/>
        <v>0</v>
      </c>
      <c r="BN127" s="1492">
        <f t="shared" si="17"/>
        <v>0</v>
      </c>
      <c r="BO127" s="697"/>
      <c r="BP127" s="697"/>
      <c r="BQ127" s="1495">
        <v>0</v>
      </c>
      <c r="BR127" s="1495" t="s">
        <v>816</v>
      </c>
      <c r="BS127" s="1495" t="s">
        <v>6950</v>
      </c>
      <c r="BT127" s="691" t="s">
        <v>1798</v>
      </c>
    </row>
    <row r="128" spans="1:72" s="681" customFormat="1" ht="13" hidden="1">
      <c r="A128" s="1545">
        <v>163</v>
      </c>
      <c r="B128" s="1546" t="s">
        <v>773</v>
      </c>
      <c r="C128" s="1546" t="s">
        <v>774</v>
      </c>
      <c r="D128" s="1547" t="s">
        <v>2306</v>
      </c>
      <c r="E128" s="690" t="s">
        <v>714</v>
      </c>
      <c r="F128" s="691"/>
      <c r="G128" s="692">
        <f>SETUP!$E$3</f>
        <v>0</v>
      </c>
      <c r="H128" s="692"/>
      <c r="I128" s="692"/>
      <c r="J128" s="693"/>
      <c r="K128" s="693"/>
      <c r="L128" s="693"/>
      <c r="M128" s="694" t="e">
        <f>X128/W128</f>
        <v>#DIV/0!</v>
      </c>
      <c r="N128" s="695" t="e">
        <f>IF(M128&lt;&gt;"",M128/VLOOKUP($K128,SETUP!$C$28:$D$42,2,0),"")</f>
        <v>#DIV/0!</v>
      </c>
      <c r="O128" s="696" t="s">
        <v>1569</v>
      </c>
      <c r="P128" s="695">
        <f>IF(SETUP!$F$44="Upfront",'TB-Key Info'!$L$15*SUM('Extended Budget Sheet - TB'!K394),0)</f>
        <v>0</v>
      </c>
      <c r="Q128" s="695" t="s">
        <v>1569</v>
      </c>
      <c r="R128" s="695">
        <f>IF(SETUP!$F$44="Upfront",'TB-Key Info'!$L$15*SUM('Extended Budget Sheet - TB'!O394),IF(SETUP!$F$44="At delivery", IF(SETUP!$G$44=1,'TB-Key Info'!$L$15*SUM('Extended Budget Sheet - TB'!K394),0),0))</f>
        <v>0</v>
      </c>
      <c r="S128" s="695" t="s">
        <v>1569</v>
      </c>
      <c r="T128" s="695">
        <f>IF(SETUP!$F$44="Upfront",'TB-Key Info'!$L$15*SUM('Extended Budget Sheet - TB'!S394),IF(SETUP!$F$44="At delivery", IF(SETUP!$G$44=2,'TB-Key Info'!$L$15*SUM('Extended Budget Sheet - TB'!K394),IF(SETUP!$G$44=1,'TB-Key Info'!$L$15*SUM('Extended Budget Sheet - TB'!O394),0)),0))</f>
        <v>0</v>
      </c>
      <c r="U128" s="695" t="s">
        <v>1569</v>
      </c>
      <c r="V128" s="695">
        <f>IF(SETUP!$F$44="Upfront",'TB-Key Info'!$L$15*SUM('Extended Budget Sheet - TB'!W394),IF(SETUP!$F$44="At delivery", IF(SETUP!$G$44=3,'TB-Key Info'!$L$15*SUM('Extended Budget Sheet - TB'!K394),IF(SETUP!$G$44=2,'TB-Key Info'!$L$15*SUM('Extended Budget Sheet - TB'!O394),IF(SETUP!$G$44=1,'TB-Key Info'!$L$15*SUM('Extended Budget Sheet - TB'!S394),0))),0))</f>
        <v>0</v>
      </c>
      <c r="W128" s="695"/>
      <c r="X128" s="1492">
        <f t="shared" si="12"/>
        <v>0</v>
      </c>
      <c r="Y128" s="1493"/>
      <c r="Z128" s="1494"/>
      <c r="AA128" s="699"/>
      <c r="AB128" s="695"/>
      <c r="AC128" s="695">
        <f>IF(SETUP!$F$44="Upfront",'TB-Key Info'!$L$15*SUM('Extended Budget Sheet - TB'!AC394),IF(SETUP!$F$44="At delivery", IF(SETUP!$G$44=4,'TB-Key Info'!$L$15*SUM('Extended Budget Sheet - TB'!K394),IF(SETUP!$G$44=3,'TB-Key Info'!$L$15*SUM('Extended Budget Sheet - TB'!O394),IF(SETUP!$G$44=2,'TB-Key Info'!$L$15*SUM('Extended Budget Sheet - TB'!S394),IF(SETUP!$G$44=1,'TB-Key Info'!$L$15*SUM('Extended Budget Sheet - TB'!W394),0)))),0))</f>
        <v>0</v>
      </c>
      <c r="AD128" s="695"/>
      <c r="AE128" s="695">
        <f>IF(SETUP!$F$44="Upfront",'TB-Key Info'!$L$15*SUM('Extended Budget Sheet - TB'!AG394),IF(SETUP!$F$44="At delivery", IF(SETUP!$G$44=4,'TB-Key Info'!$L$15*SUM('Extended Budget Sheet - TB'!O394),IF(SETUP!$G$44=3,'TB-Key Info'!$L$15*SUM('Extended Budget Sheet - TB'!S394),IF(SETUP!$G$44=2,'TB-Key Info'!$L$15*SUM('Extended Budget Sheet - TB'!W394),IF(SETUP!$G$44=1,'TB-Key Info'!$L$15*SUM('Extended Budget Sheet - TB'!AC394),0)))),0))</f>
        <v>0</v>
      </c>
      <c r="AF128" s="695"/>
      <c r="AG128" s="695">
        <f>IF(SETUP!$F$44="Upfront",'TB-Key Info'!$L$15*SUM('Extended Budget Sheet - TB'!AK394),IF(SETUP!$F$44="At delivery", IF(SETUP!$G$44=4,'TB-Key Info'!$L$15*SUM('Extended Budget Sheet - TB'!S394),IF(SETUP!$G$44=3,'TB-Key Info'!$L$15*SUM('Extended Budget Sheet - TB'!W394),IF(SETUP!$G$44=2,'TB-Key Info'!$L$15*SUM('Extended Budget Sheet - TB'!AC394),IF(SETUP!$G$44=1,'TB-Key Info'!$L$15*SUM('Extended Budget Sheet - TB'!AG394),0)))),0))</f>
        <v>0</v>
      </c>
      <c r="AH128" s="695"/>
      <c r="AI128" s="695">
        <f>IF(SETUP!$F$44="Upfront",'TB-Key Info'!$L$15*SUM('Extended Budget Sheet - TB'!AO394),IF(SETUP!$F$44="At delivery", IF(SETUP!$G$44=4,'TB-Key Info'!$L$15*SUM('Extended Budget Sheet - TB'!W394),IF(SETUP!$G$44=3,'TB-Key Info'!$L$15*SUM('Extended Budget Sheet - TB'!AC394),IF(SETUP!$G$44=2,'TB-Key Info'!$L$15*SUM('Extended Budget Sheet - TB'!AG394),IF(SETUP!$G$44=1,'TB-Key Info'!$L$15*SUM('Extended Budget Sheet - TB'!AK394),0)))),0))</f>
        <v>0</v>
      </c>
      <c r="AJ128" s="695"/>
      <c r="AK128" s="1492">
        <f t="shared" si="13"/>
        <v>0</v>
      </c>
      <c r="AL128" s="1493"/>
      <c r="AM128" s="1494"/>
      <c r="AN128" s="699"/>
      <c r="AO128" s="695"/>
      <c r="AP128" s="695">
        <f>IF(SETUP!$F$44="Upfront",'TB-Key Info'!$L$15*SUM('Extended Budget Sheet - TB'!AU394),IF(SETUP!$F$44="At delivery", IF(SETUP!$G$44=4,'TB-Key Info'!$L$15*SUM('Extended Budget Sheet - TB'!AC394),IF(SETUP!$G$44=3,'TB-Key Info'!$L$15*SUM('Extended Budget Sheet - TB'!AG394),IF(SETUP!$G$44=2,'TB-Key Info'!$L$15*SUM('Extended Budget Sheet - TB'!AK394),IF(SETUP!$G$44=1,'TB-Key Info'!$L$15*SUM('Extended Budget Sheet - TB'!AO394),0)))),0))</f>
        <v>0</v>
      </c>
      <c r="AQ128" s="695"/>
      <c r="AR128" s="695">
        <f>IF(SETUP!$F$44="Upfront",'TB-Key Info'!$L$15*SUM('Extended Budget Sheet - TB'!AY394),IF(SETUP!$F$44="At delivery", IF(SETUP!$G$44=4,'TB-Key Info'!$L$15*SUM('Extended Budget Sheet - TB'!AG394),IF(SETUP!$G$44=3,'TB-Key Info'!$L$15*SUM('Extended Budget Sheet - TB'!AK394),IF(SETUP!$G$44=2,'TB-Key Info'!$L$15*SUM('Extended Budget Sheet - TB'!AO394),IF(SETUP!$G$44=1,'TB-Key Info'!$L$15*SUM('Extended Budget Sheet - TB'!AU394),0)))),0))</f>
        <v>0</v>
      </c>
      <c r="AS128" s="695"/>
      <c r="AT128" s="695">
        <f>IF(SETUP!$F$44="Upfront",'TB-Key Info'!$L$15*SUM('Extended Budget Sheet - TB'!BC394),IF(SETUP!$F$44="At delivery", IF(SETUP!$G$44=4,'TB-Key Info'!$L$15*SUM('Extended Budget Sheet - TB'!AK394),IF(SETUP!$G$44=3,'TB-Key Info'!$L$15*SUM('Extended Budget Sheet - TB'!AO394),IF(SETUP!$G$44=2,'TB-Key Info'!$L$15*SUM('Extended Budget Sheet - TB'!AU394),IF(SETUP!$G$44=1,'TB-Key Info'!$L$15*SUM('Extended Budget Sheet - TB'!AY394),0)))),0))</f>
        <v>0</v>
      </c>
      <c r="AU128" s="695"/>
      <c r="AV128" s="695">
        <f>IF(SETUP!$F$44="Upfront",'TB-Key Info'!$L$15*SUM('Extended Budget Sheet - TB'!BG394),IF(SETUP!$F$44="At delivery", IF(SETUP!$G$44=4,'TB-Key Info'!$L$15*SUM(SUM('Extended Budget Sheet - TB'!AO394),SUM('Extended Budget Sheet - TB'!AU394),SUM('Extended Budget Sheet - TB'!AY394),SUM('Extended Budget Sheet - TB'!BC394),SUM('Extended Budget Sheet - TB'!BG394)),IF(SETUP!$G$44=3,'TB-Key Info'!$L$15*SUM(SUM('Extended Budget Sheet - TB'!AU394),SUM('Extended Budget Sheet - TB'!AY394),SUM('Extended Budget Sheet - TB'!BC394),SUM('Extended Budget Sheet - TB'!BG394)),IF(SETUP!$G$44=2,'TB-Key Info'!$L$15*SUM(SUM('Extended Budget Sheet - TB'!AY394),SUM('Extended Budget Sheet - TB'!BC394),SUM('Extended Budget Sheet - TB'!BG394)),IF(SETUP!$G$44=1,'TB-Key Info'!$L$15*SUM(SUM('Extended Budget Sheet - TB'!BC394),SUM('Extended Budget Sheet - TB'!BG394)),0)))),0))</f>
        <v>0</v>
      </c>
      <c r="AW128" s="695"/>
      <c r="AX128" s="1492">
        <f t="shared" si="14"/>
        <v>0</v>
      </c>
      <c r="AY128" s="1492"/>
      <c r="AZ128" s="698"/>
      <c r="BA128" s="699"/>
      <c r="BB128" s="697"/>
      <c r="BC128" s="697">
        <v>0</v>
      </c>
      <c r="BD128" s="697">
        <v>0</v>
      </c>
      <c r="BE128" s="697">
        <v>0</v>
      </c>
      <c r="BF128" s="697">
        <v>0</v>
      </c>
      <c r="BG128" s="697">
        <v>0</v>
      </c>
      <c r="BH128" s="697">
        <v>0</v>
      </c>
      <c r="BI128" s="697">
        <v>0</v>
      </c>
      <c r="BJ128" s="697">
        <v>0</v>
      </c>
      <c r="BK128" s="1492">
        <f t="shared" si="15"/>
        <v>0</v>
      </c>
      <c r="BL128" s="1492"/>
      <c r="BM128" s="1492">
        <f t="shared" si="16"/>
        <v>0</v>
      </c>
      <c r="BN128" s="1492">
        <f t="shared" si="17"/>
        <v>0</v>
      </c>
      <c r="BO128" s="697"/>
      <c r="BP128" s="697"/>
      <c r="BQ128" s="1495">
        <v>0</v>
      </c>
      <c r="BR128" s="1495" t="s">
        <v>816</v>
      </c>
      <c r="BS128" s="1495" t="s">
        <v>2306</v>
      </c>
      <c r="BT128" s="691" t="s">
        <v>1843</v>
      </c>
    </row>
    <row r="129" spans="1:72" s="681" customFormat="1" ht="13" hidden="1">
      <c r="A129" s="1545">
        <v>164</v>
      </c>
      <c r="B129" s="1546" t="s">
        <v>773</v>
      </c>
      <c r="C129" s="1546" t="s">
        <v>774</v>
      </c>
      <c r="D129" s="1547" t="s">
        <v>655</v>
      </c>
      <c r="E129" s="690" t="s">
        <v>656</v>
      </c>
      <c r="F129" s="691"/>
      <c r="G129" s="692"/>
      <c r="H129" s="692"/>
      <c r="I129" s="692"/>
      <c r="J129" s="693"/>
      <c r="K129" s="693"/>
      <c r="L129" s="693"/>
      <c r="M129" s="694"/>
      <c r="N129" s="695"/>
      <c r="O129" s="696" t="s">
        <v>1569</v>
      </c>
      <c r="P129" s="695">
        <f>'TB-Key Info'!$L$15*('HPM costs'!F57+'HPM costs'!F60+'HPM costs'!F63+'HPM costs'!F66)</f>
        <v>0</v>
      </c>
      <c r="Q129" s="695" t="s">
        <v>1569</v>
      </c>
      <c r="R129" s="695">
        <f>'TB-Key Info'!$L$15*('HPM costs'!G57+'HPM costs'!G60+'HPM costs'!G63+'HPM costs'!G66)</f>
        <v>0</v>
      </c>
      <c r="S129" s="695" t="s">
        <v>1569</v>
      </c>
      <c r="T129" s="695">
        <f>'TB-Key Info'!$L$15*('HPM costs'!H57+'HPM costs'!H60+'HPM costs'!H63+'HPM costs'!H66)</f>
        <v>0</v>
      </c>
      <c r="U129" s="695" t="s">
        <v>1569</v>
      </c>
      <c r="V129" s="695">
        <f>'TB-Key Info'!$L$15*('HPM costs'!I57+'HPM costs'!I60+'HPM costs'!I63+'HPM costs'!I66)</f>
        <v>0</v>
      </c>
      <c r="W129" s="695"/>
      <c r="X129" s="1492">
        <f t="shared" ref="X129:X192" si="18">P129+R129+T129+V129</f>
        <v>0</v>
      </c>
      <c r="Y129" s="1493"/>
      <c r="Z129" s="1494"/>
      <c r="AA129" s="699"/>
      <c r="AB129" s="695"/>
      <c r="AC129" s="695">
        <f>'TB-Key Info'!$L$15*('HPM costs'!K57+'HPM costs'!K60+'HPM costs'!K63+'HPM costs'!K66)</f>
        <v>0</v>
      </c>
      <c r="AD129" s="695"/>
      <c r="AE129" s="695">
        <f>'TB-Key Info'!$L$15*('HPM costs'!L57+'HPM costs'!L60+'HPM costs'!L63+'HPM costs'!L66)</f>
        <v>0</v>
      </c>
      <c r="AF129" s="695"/>
      <c r="AG129" s="695">
        <f>'TB-Key Info'!$L$15*('HPM costs'!M57+'HPM costs'!M60+'HPM costs'!M63+'HPM costs'!M66)</f>
        <v>0</v>
      </c>
      <c r="AH129" s="695"/>
      <c r="AI129" s="695">
        <f>'TB-Key Info'!$L$15*('HPM costs'!N57+'HPM costs'!N60+'HPM costs'!N63+'HPM costs'!N66)</f>
        <v>0</v>
      </c>
      <c r="AJ129" s="695"/>
      <c r="AK129" s="1492">
        <f t="shared" ref="AK129:AK192" si="19">AI129+AG129+AE129+AC129</f>
        <v>0</v>
      </c>
      <c r="AL129" s="1493"/>
      <c r="AM129" s="1494"/>
      <c r="AN129" s="699"/>
      <c r="AO129" s="695"/>
      <c r="AP129" s="695">
        <f>'TB-Key Info'!$L$15*('HPM costs'!P57+'HPM costs'!P60+'HPM costs'!P63+'HPM costs'!P66)</f>
        <v>0</v>
      </c>
      <c r="AQ129" s="695"/>
      <c r="AR129" s="695">
        <f>'TB-Key Info'!$L$15*('HPM costs'!Q57+'HPM costs'!Q60+'HPM costs'!Q63+'HPM costs'!Q66)</f>
        <v>0</v>
      </c>
      <c r="AS129" s="695"/>
      <c r="AT129" s="695">
        <f>'TB-Key Info'!$L$15*('HPM costs'!R57+'HPM costs'!R60+'HPM costs'!R63+'HPM costs'!R66)</f>
        <v>0</v>
      </c>
      <c r="AU129" s="695"/>
      <c r="AV129" s="695">
        <f>'TB-Key Info'!$L$15*('HPM costs'!S57+'HPM costs'!S60+'HPM costs'!S63+'HPM costs'!S66)</f>
        <v>0</v>
      </c>
      <c r="AW129" s="695"/>
      <c r="AX129" s="1492">
        <f t="shared" ref="AX129:AX192" si="20">AV129+AT129+AR129+AP129</f>
        <v>0</v>
      </c>
      <c r="AY129" s="1492"/>
      <c r="AZ129" s="698"/>
      <c r="BA129" s="699"/>
      <c r="BB129" s="697"/>
      <c r="BC129" s="697">
        <v>0</v>
      </c>
      <c r="BD129" s="697">
        <v>0</v>
      </c>
      <c r="BE129" s="697">
        <v>0</v>
      </c>
      <c r="BF129" s="697">
        <v>0</v>
      </c>
      <c r="BG129" s="697">
        <v>0</v>
      </c>
      <c r="BH129" s="697">
        <v>0</v>
      </c>
      <c r="BI129" s="697">
        <v>0</v>
      </c>
      <c r="BJ129" s="697">
        <v>0</v>
      </c>
      <c r="BK129" s="1492">
        <f t="shared" ref="BK129:BK192" si="21">BI129+BG129+BE129+BC129</f>
        <v>0</v>
      </c>
      <c r="BL129" s="1492"/>
      <c r="BM129" s="1492">
        <f t="shared" si="16"/>
        <v>0</v>
      </c>
      <c r="BN129" s="1492">
        <f t="shared" si="17"/>
        <v>0</v>
      </c>
      <c r="BO129" s="697"/>
      <c r="BP129" s="697"/>
      <c r="BQ129" s="1495">
        <v>0</v>
      </c>
      <c r="BR129" s="1495" t="s">
        <v>816</v>
      </c>
      <c r="BS129" s="1495" t="s">
        <v>655</v>
      </c>
      <c r="BT129" s="691" t="s">
        <v>1799</v>
      </c>
    </row>
    <row r="130" spans="1:72" s="681" customFormat="1" ht="13" hidden="1">
      <c r="A130" s="1545">
        <v>165</v>
      </c>
      <c r="B130" s="1546" t="s">
        <v>773</v>
      </c>
      <c r="C130" s="1546" t="s">
        <v>774</v>
      </c>
      <c r="D130" s="1547" t="s">
        <v>655</v>
      </c>
      <c r="E130" s="690" t="s">
        <v>658</v>
      </c>
      <c r="F130" s="691"/>
      <c r="G130" s="692"/>
      <c r="H130" s="692"/>
      <c r="I130" s="692"/>
      <c r="J130" s="693"/>
      <c r="K130" s="693"/>
      <c r="L130" s="693"/>
      <c r="M130" s="694"/>
      <c r="N130" s="695"/>
      <c r="O130" s="696" t="s">
        <v>1569</v>
      </c>
      <c r="P130" s="695">
        <f>'TB-Key Info'!$L$15*('HPM costs'!F143+'HPM costs'!F146+'HPM costs'!F149+'HPM costs'!F152)</f>
        <v>0</v>
      </c>
      <c r="Q130" s="695" t="s">
        <v>1569</v>
      </c>
      <c r="R130" s="695">
        <f>'TB-Key Info'!$L$15*('HPM costs'!G143+'HPM costs'!G146+'HPM costs'!G149+'HPM costs'!G152)</f>
        <v>0</v>
      </c>
      <c r="S130" s="695" t="s">
        <v>1569</v>
      </c>
      <c r="T130" s="695">
        <f>'TB-Key Info'!$L$15*('HPM costs'!H143+'HPM costs'!H146+'HPM costs'!H149+'HPM costs'!H152)</f>
        <v>0</v>
      </c>
      <c r="U130" s="695" t="s">
        <v>1569</v>
      </c>
      <c r="V130" s="695">
        <f>'TB-Key Info'!$L$15*('HPM costs'!I143+'HPM costs'!I146+'HPM costs'!I149+'HPM costs'!I152)</f>
        <v>0</v>
      </c>
      <c r="W130" s="695"/>
      <c r="X130" s="1492">
        <f t="shared" si="18"/>
        <v>0</v>
      </c>
      <c r="Y130" s="1493"/>
      <c r="Z130" s="1494"/>
      <c r="AA130" s="699"/>
      <c r="AB130" s="695"/>
      <c r="AC130" s="695">
        <f>'TB-Key Info'!$L$15*('HPM costs'!K143+'HPM costs'!K146+'HPM costs'!K149+'HPM costs'!K152)</f>
        <v>0</v>
      </c>
      <c r="AD130" s="695"/>
      <c r="AE130" s="695">
        <f>'TB-Key Info'!$L$15*('HPM costs'!L143+'HPM costs'!L146+'HPM costs'!L149+'HPM costs'!L152)</f>
        <v>0</v>
      </c>
      <c r="AF130" s="695"/>
      <c r="AG130" s="695">
        <f>'TB-Key Info'!$L$15*('HPM costs'!M143+'HPM costs'!M146+'HPM costs'!M149+'HPM costs'!M152)</f>
        <v>0</v>
      </c>
      <c r="AH130" s="695"/>
      <c r="AI130" s="695">
        <f>'TB-Key Info'!$L$15*('HPM costs'!N143+'HPM costs'!N146+'HPM costs'!N149+'HPM costs'!N152)</f>
        <v>0</v>
      </c>
      <c r="AJ130" s="695"/>
      <c r="AK130" s="1492">
        <f t="shared" si="19"/>
        <v>0</v>
      </c>
      <c r="AL130" s="1493"/>
      <c r="AM130" s="1494"/>
      <c r="AN130" s="699"/>
      <c r="AO130" s="695"/>
      <c r="AP130" s="695">
        <f>'TB-Key Info'!$L$15*('HPM costs'!P143+'HPM costs'!P146+'HPM costs'!P149+'HPM costs'!P152)</f>
        <v>0</v>
      </c>
      <c r="AQ130" s="695"/>
      <c r="AR130" s="695">
        <f>'TB-Key Info'!$L$15*('HPM costs'!Q143+'HPM costs'!Q146+'HPM costs'!Q149+'HPM costs'!Q152)</f>
        <v>0</v>
      </c>
      <c r="AS130" s="695"/>
      <c r="AT130" s="695">
        <f>'TB-Key Info'!$L$15*('HPM costs'!R143+'HPM costs'!R146+'HPM costs'!R149+'HPM costs'!R152)</f>
        <v>0</v>
      </c>
      <c r="AU130" s="695"/>
      <c r="AV130" s="695">
        <f>'TB-Key Info'!$L$15*('HPM costs'!S143+'HPM costs'!S146+'HPM costs'!S149+'HPM costs'!S152)</f>
        <v>0</v>
      </c>
      <c r="AW130" s="695"/>
      <c r="AX130" s="1492">
        <f t="shared" si="20"/>
        <v>0</v>
      </c>
      <c r="AY130" s="1492"/>
      <c r="AZ130" s="698"/>
      <c r="BA130" s="699"/>
      <c r="BB130" s="697"/>
      <c r="BC130" s="697">
        <v>0</v>
      </c>
      <c r="BD130" s="697">
        <v>0</v>
      </c>
      <c r="BE130" s="697">
        <v>0</v>
      </c>
      <c r="BF130" s="697">
        <v>0</v>
      </c>
      <c r="BG130" s="697">
        <v>0</v>
      </c>
      <c r="BH130" s="697">
        <v>0</v>
      </c>
      <c r="BI130" s="697">
        <v>0</v>
      </c>
      <c r="BJ130" s="697">
        <v>0</v>
      </c>
      <c r="BK130" s="1492">
        <f t="shared" si="21"/>
        <v>0</v>
      </c>
      <c r="BL130" s="1492"/>
      <c r="BM130" s="1492">
        <f t="shared" ref="BM130:BM193" si="22">BJ130+AW130+AJ130+W130</f>
        <v>0</v>
      </c>
      <c r="BN130" s="1492">
        <f t="shared" ref="BN130:BN193" si="23">BK130+AX130+AK130+X130</f>
        <v>0</v>
      </c>
      <c r="BO130" s="697"/>
      <c r="BP130" s="697"/>
      <c r="BQ130" s="1495">
        <v>0</v>
      </c>
      <c r="BR130" s="1495" t="s">
        <v>816</v>
      </c>
      <c r="BS130" s="1495" t="s">
        <v>655</v>
      </c>
      <c r="BT130" s="691" t="s">
        <v>1800</v>
      </c>
    </row>
    <row r="131" spans="1:72" s="681" customFormat="1" ht="13" hidden="1">
      <c r="A131" s="1545">
        <v>166</v>
      </c>
      <c r="B131" s="1546" t="s">
        <v>773</v>
      </c>
      <c r="C131" s="1546" t="s">
        <v>774</v>
      </c>
      <c r="D131" s="1547" t="s">
        <v>655</v>
      </c>
      <c r="E131" s="690" t="s">
        <v>660</v>
      </c>
      <c r="F131" s="691"/>
      <c r="G131" s="692"/>
      <c r="H131" s="692"/>
      <c r="I131" s="692"/>
      <c r="J131" s="693"/>
      <c r="K131" s="693"/>
      <c r="L131" s="693"/>
      <c r="M131" s="694"/>
      <c r="N131" s="695"/>
      <c r="O131" s="696" t="s">
        <v>1569</v>
      </c>
      <c r="P131" s="695">
        <f>'TB-Key Info'!$L$15*('HPM costs'!F403+'HPM costs'!F406+'HPM costs'!F409+'HPM costs'!F412)</f>
        <v>0</v>
      </c>
      <c r="Q131" s="695" t="s">
        <v>1569</v>
      </c>
      <c r="R131" s="695">
        <f>'TB-Key Info'!$L$15*('HPM costs'!G403+'HPM costs'!G406+'HPM costs'!G409+'HPM costs'!G412)</f>
        <v>0</v>
      </c>
      <c r="S131" s="695" t="s">
        <v>1569</v>
      </c>
      <c r="T131" s="695">
        <f>'TB-Key Info'!$L$15*('HPM costs'!H403+'HPM costs'!H406+'HPM costs'!H409+'HPM costs'!H412)</f>
        <v>0</v>
      </c>
      <c r="U131" s="695" t="s">
        <v>1569</v>
      </c>
      <c r="V131" s="695">
        <f>'TB-Key Info'!$L$15*('HPM costs'!I403+'HPM costs'!I406+'HPM costs'!I409+'HPM costs'!I412)</f>
        <v>0</v>
      </c>
      <c r="W131" s="695"/>
      <c r="X131" s="1492">
        <f t="shared" si="18"/>
        <v>0</v>
      </c>
      <c r="Y131" s="1493"/>
      <c r="Z131" s="1494"/>
      <c r="AA131" s="699"/>
      <c r="AB131" s="695"/>
      <c r="AC131" s="695">
        <f>'TB-Key Info'!$L$15*('HPM costs'!K403+'HPM costs'!K406+'HPM costs'!K409+'HPM costs'!K412)</f>
        <v>0</v>
      </c>
      <c r="AD131" s="695"/>
      <c r="AE131" s="695">
        <f>'TB-Key Info'!$L$15*('HPM costs'!L403+'HPM costs'!L406+'HPM costs'!L409+'HPM costs'!L412)</f>
        <v>0</v>
      </c>
      <c r="AF131" s="695"/>
      <c r="AG131" s="695">
        <f>'TB-Key Info'!$L$15*('HPM costs'!M403+'HPM costs'!M406+'HPM costs'!M409+'HPM costs'!M412)</f>
        <v>0</v>
      </c>
      <c r="AH131" s="695"/>
      <c r="AI131" s="695">
        <f>'TB-Key Info'!$L$15*('HPM costs'!N403+'HPM costs'!N406+'HPM costs'!N409+'HPM costs'!N412)</f>
        <v>0</v>
      </c>
      <c r="AJ131" s="695"/>
      <c r="AK131" s="1492">
        <f t="shared" si="19"/>
        <v>0</v>
      </c>
      <c r="AL131" s="1493"/>
      <c r="AM131" s="1494"/>
      <c r="AN131" s="699"/>
      <c r="AO131" s="695"/>
      <c r="AP131" s="695">
        <f>'TB-Key Info'!$L$15*('HPM costs'!P403+'HPM costs'!P406+'HPM costs'!P409+'HPM costs'!P412)</f>
        <v>0</v>
      </c>
      <c r="AQ131" s="695"/>
      <c r="AR131" s="695">
        <f>'TB-Key Info'!$L$15*('HPM costs'!Q403+'HPM costs'!Q406+'HPM costs'!Q409+'HPM costs'!Q412)</f>
        <v>0</v>
      </c>
      <c r="AS131" s="695"/>
      <c r="AT131" s="695">
        <f>'TB-Key Info'!$L$15*('HPM costs'!R403+'HPM costs'!R406+'HPM costs'!R409+'HPM costs'!R412)</f>
        <v>0</v>
      </c>
      <c r="AU131" s="695"/>
      <c r="AV131" s="695">
        <f>'TB-Key Info'!$L$15*('HPM costs'!S403+'HPM costs'!S406+'HPM costs'!S409+'HPM costs'!S412)</f>
        <v>0</v>
      </c>
      <c r="AW131" s="695"/>
      <c r="AX131" s="1492">
        <f t="shared" si="20"/>
        <v>0</v>
      </c>
      <c r="AY131" s="1492"/>
      <c r="AZ131" s="698"/>
      <c r="BA131" s="699"/>
      <c r="BB131" s="697"/>
      <c r="BC131" s="697">
        <v>0</v>
      </c>
      <c r="BD131" s="697">
        <v>0</v>
      </c>
      <c r="BE131" s="697">
        <v>0</v>
      </c>
      <c r="BF131" s="697">
        <v>0</v>
      </c>
      <c r="BG131" s="697">
        <v>0</v>
      </c>
      <c r="BH131" s="697">
        <v>0</v>
      </c>
      <c r="BI131" s="697">
        <v>0</v>
      </c>
      <c r="BJ131" s="697">
        <v>0</v>
      </c>
      <c r="BK131" s="1492">
        <f t="shared" si="21"/>
        <v>0</v>
      </c>
      <c r="BL131" s="1492"/>
      <c r="BM131" s="1492">
        <f t="shared" si="22"/>
        <v>0</v>
      </c>
      <c r="BN131" s="1492">
        <f t="shared" si="23"/>
        <v>0</v>
      </c>
      <c r="BO131" s="697"/>
      <c r="BP131" s="697"/>
      <c r="BQ131" s="1495">
        <v>0</v>
      </c>
      <c r="BR131" s="1495" t="s">
        <v>816</v>
      </c>
      <c r="BS131" s="1495" t="s">
        <v>655</v>
      </c>
      <c r="BT131" s="691" t="s">
        <v>1801</v>
      </c>
    </row>
    <row r="132" spans="1:72" s="681" customFormat="1" ht="13" hidden="1">
      <c r="A132" s="1545">
        <v>167</v>
      </c>
      <c r="B132" s="1546" t="s">
        <v>773</v>
      </c>
      <c r="C132" s="1546" t="s">
        <v>774</v>
      </c>
      <c r="D132" s="1547" t="s">
        <v>655</v>
      </c>
      <c r="E132" s="690" t="s">
        <v>662</v>
      </c>
      <c r="F132" s="691"/>
      <c r="G132" s="692"/>
      <c r="H132" s="692"/>
      <c r="I132" s="692"/>
      <c r="J132" s="693"/>
      <c r="K132" s="693"/>
      <c r="L132" s="693"/>
      <c r="M132" s="694"/>
      <c r="N132" s="695"/>
      <c r="O132" s="696" t="s">
        <v>1569</v>
      </c>
      <c r="P132" s="695">
        <f>'TB-Key Info'!$L$15*('HPM costs'!F489+'HPM costs'!F492+'HPM costs'!F495+'HPM costs'!F498)</f>
        <v>0</v>
      </c>
      <c r="Q132" s="695" t="s">
        <v>1569</v>
      </c>
      <c r="R132" s="695">
        <f>'TB-Key Info'!$L$15*('HPM costs'!G489+'HPM costs'!G492+'HPM costs'!G495+'HPM costs'!G498)</f>
        <v>0</v>
      </c>
      <c r="S132" s="695" t="s">
        <v>1569</v>
      </c>
      <c r="T132" s="695">
        <f>'TB-Key Info'!$L$15*('HPM costs'!H489+'HPM costs'!H492+'HPM costs'!H495+'HPM costs'!H498)</f>
        <v>0</v>
      </c>
      <c r="U132" s="695" t="s">
        <v>1569</v>
      </c>
      <c r="V132" s="695">
        <f>'TB-Key Info'!$L$15*('HPM costs'!I489+'HPM costs'!I492+'HPM costs'!I495+'HPM costs'!I498)</f>
        <v>0</v>
      </c>
      <c r="W132" s="695"/>
      <c r="X132" s="1492">
        <f t="shared" si="18"/>
        <v>0</v>
      </c>
      <c r="Y132" s="1493"/>
      <c r="Z132" s="1494"/>
      <c r="AA132" s="699"/>
      <c r="AB132" s="695"/>
      <c r="AC132" s="695">
        <f>'TB-Key Info'!$L$15*('HPM costs'!K489+'HPM costs'!K492+'HPM costs'!K495+'HPM costs'!K498)</f>
        <v>0</v>
      </c>
      <c r="AD132" s="695"/>
      <c r="AE132" s="695">
        <f>'TB-Key Info'!$L$15*('HPM costs'!L489+'HPM costs'!L492+'HPM costs'!L495+'HPM costs'!L498)</f>
        <v>0</v>
      </c>
      <c r="AF132" s="695"/>
      <c r="AG132" s="695">
        <f>'TB-Key Info'!$L$15*('HPM costs'!M489+'HPM costs'!M492+'HPM costs'!M495+'HPM costs'!M498)</f>
        <v>0</v>
      </c>
      <c r="AH132" s="695"/>
      <c r="AI132" s="695">
        <f>'TB-Key Info'!$L$15*('HPM costs'!N489+'HPM costs'!N492+'HPM costs'!N495+'HPM costs'!N498)</f>
        <v>0</v>
      </c>
      <c r="AJ132" s="695"/>
      <c r="AK132" s="1492">
        <f t="shared" si="19"/>
        <v>0</v>
      </c>
      <c r="AL132" s="1493"/>
      <c r="AM132" s="1494"/>
      <c r="AN132" s="699"/>
      <c r="AO132" s="695"/>
      <c r="AP132" s="695">
        <f>'TB-Key Info'!$L$15*('HPM costs'!P489+'HPM costs'!P492+'HPM costs'!P495+'HPM costs'!P498)</f>
        <v>0</v>
      </c>
      <c r="AQ132" s="695"/>
      <c r="AR132" s="695">
        <f>'TB-Key Info'!$L$15*('HPM costs'!Q489+'HPM costs'!Q492+'HPM costs'!Q495+'HPM costs'!Q498)</f>
        <v>0</v>
      </c>
      <c r="AS132" s="695"/>
      <c r="AT132" s="695">
        <f>'TB-Key Info'!$L$15*('HPM costs'!R489+'HPM costs'!R492+'HPM costs'!R495+'HPM costs'!R498)</f>
        <v>0</v>
      </c>
      <c r="AU132" s="695"/>
      <c r="AV132" s="695">
        <f>'TB-Key Info'!$L$15*('HPM costs'!S489+'HPM costs'!S492+'HPM costs'!S495+'HPM costs'!S498)</f>
        <v>0</v>
      </c>
      <c r="AW132" s="695"/>
      <c r="AX132" s="1492">
        <f t="shared" si="20"/>
        <v>0</v>
      </c>
      <c r="AY132" s="1492"/>
      <c r="AZ132" s="698"/>
      <c r="BA132" s="699"/>
      <c r="BB132" s="697"/>
      <c r="BC132" s="697">
        <v>0</v>
      </c>
      <c r="BD132" s="697">
        <v>0</v>
      </c>
      <c r="BE132" s="697">
        <v>0</v>
      </c>
      <c r="BF132" s="697">
        <v>0</v>
      </c>
      <c r="BG132" s="697">
        <v>0</v>
      </c>
      <c r="BH132" s="697">
        <v>0</v>
      </c>
      <c r="BI132" s="697">
        <v>0</v>
      </c>
      <c r="BJ132" s="697">
        <v>0</v>
      </c>
      <c r="BK132" s="1492">
        <f t="shared" si="21"/>
        <v>0</v>
      </c>
      <c r="BL132" s="1492"/>
      <c r="BM132" s="1492">
        <f t="shared" si="22"/>
        <v>0</v>
      </c>
      <c r="BN132" s="1492">
        <f t="shared" si="23"/>
        <v>0</v>
      </c>
      <c r="BO132" s="697"/>
      <c r="BP132" s="697"/>
      <c r="BQ132" s="1495">
        <v>0</v>
      </c>
      <c r="BR132" s="1495" t="s">
        <v>816</v>
      </c>
      <c r="BS132" s="1495" t="s">
        <v>655</v>
      </c>
      <c r="BT132" s="691" t="s">
        <v>1802</v>
      </c>
    </row>
    <row r="133" spans="1:72" s="681" customFormat="1" ht="13" hidden="1">
      <c r="A133" s="1545">
        <v>168</v>
      </c>
      <c r="B133" s="1546" t="s">
        <v>773</v>
      </c>
      <c r="C133" s="1546" t="s">
        <v>774</v>
      </c>
      <c r="D133" s="1547" t="s">
        <v>655</v>
      </c>
      <c r="E133" s="690" t="s">
        <v>664</v>
      </c>
      <c r="F133" s="691"/>
      <c r="G133" s="692"/>
      <c r="H133" s="692"/>
      <c r="I133" s="692"/>
      <c r="J133" s="693"/>
      <c r="K133" s="693"/>
      <c r="L133" s="693"/>
      <c r="M133" s="694" t="e">
        <f>X133/W133</f>
        <v>#DIV/0!</v>
      </c>
      <c r="N133" s="695" t="e">
        <f>IF(M133&lt;&gt;"",M133/VLOOKUP($K133,SETUP!$C$28:$D$42,2,0),"")</f>
        <v>#DIV/0!</v>
      </c>
      <c r="O133" s="696" t="s">
        <v>1569</v>
      </c>
      <c r="P133" s="695">
        <f>'TB-Key Info'!$L$15*('HPM costs'!F229+'HPM costs'!F232+'HPM costs'!F235+'HPM costs'!F238+'HPM costs'!F575+'HPM costs'!F578+'HPM costs'!F581+'HPM costs'!F584)</f>
        <v>0</v>
      </c>
      <c r="Q133" s="695"/>
      <c r="R133" s="695">
        <f>'TB-Key Info'!$L$15*('HPM costs'!G229+'HPM costs'!G232+'HPM costs'!G235+'HPM costs'!G238+'HPM costs'!G575+'HPM costs'!G578+'HPM costs'!G581+'HPM costs'!G584)</f>
        <v>0</v>
      </c>
      <c r="S133" s="695" t="s">
        <v>1569</v>
      </c>
      <c r="T133" s="695">
        <f>'TB-Key Info'!$L$15*('HPM costs'!H229+'HPM costs'!H232+'HPM costs'!H235+'HPM costs'!H238+'HPM costs'!H575+'HPM costs'!H578+'HPM costs'!H581+'HPM costs'!H584)</f>
        <v>0</v>
      </c>
      <c r="U133" s="695" t="s">
        <v>1569</v>
      </c>
      <c r="V133" s="695">
        <f>'TB-Key Info'!$L$15*('HPM costs'!I229+'HPM costs'!I232+'HPM costs'!I235+'HPM costs'!I238+'HPM costs'!I575+'HPM costs'!I578+'HPM costs'!I581+'HPM costs'!I584)</f>
        <v>0</v>
      </c>
      <c r="W133" s="695"/>
      <c r="X133" s="1492">
        <f t="shared" si="18"/>
        <v>0</v>
      </c>
      <c r="Y133" s="1493"/>
      <c r="Z133" s="1494"/>
      <c r="AA133" s="699"/>
      <c r="AB133" s="695"/>
      <c r="AC133" s="695">
        <f>'TB-Key Info'!$L$15*('HPM costs'!K229+'HPM costs'!K232+'HPM costs'!K235+'HPM costs'!K238+'HPM costs'!K575+'HPM costs'!K578+'HPM costs'!K581+'HPM costs'!K584)</f>
        <v>0</v>
      </c>
      <c r="AD133" s="695"/>
      <c r="AE133" s="695">
        <f>'TB-Key Info'!$L$15*('HPM costs'!L229+'HPM costs'!L232+'HPM costs'!L235+'HPM costs'!L238+'HPM costs'!L575+'HPM costs'!L578+'HPM costs'!L581+'HPM costs'!L584)</f>
        <v>0</v>
      </c>
      <c r="AF133" s="695"/>
      <c r="AG133" s="695">
        <f>'TB-Key Info'!$L$15*('HPM costs'!M229+'HPM costs'!M232+'HPM costs'!M235+'HPM costs'!M238+'HPM costs'!M575+'HPM costs'!M578+'HPM costs'!M581+'HPM costs'!M584)</f>
        <v>0</v>
      </c>
      <c r="AH133" s="695"/>
      <c r="AI133" s="695">
        <f>'TB-Key Info'!$L$15*('HPM costs'!N229+'HPM costs'!N232+'HPM costs'!N235+'HPM costs'!N238+'HPM costs'!N575+'HPM costs'!N578+'HPM costs'!N581+'HPM costs'!N584)</f>
        <v>0</v>
      </c>
      <c r="AJ133" s="695"/>
      <c r="AK133" s="1492">
        <f t="shared" si="19"/>
        <v>0</v>
      </c>
      <c r="AL133" s="1493"/>
      <c r="AM133" s="1494"/>
      <c r="AN133" s="699"/>
      <c r="AO133" s="695"/>
      <c r="AP133" s="695">
        <f>'TB-Key Info'!$L$15*('HPM costs'!P229+'HPM costs'!P232+'HPM costs'!P235+'HPM costs'!P238+'HPM costs'!P575+'HPM costs'!P578+'HPM costs'!P581+'HPM costs'!P584)</f>
        <v>0</v>
      </c>
      <c r="AQ133" s="695"/>
      <c r="AR133" s="695">
        <f>'TB-Key Info'!$L$15*('HPM costs'!Q229+'HPM costs'!Q232+'HPM costs'!Q235+'HPM costs'!Q238+'HPM costs'!Q575+'HPM costs'!Q578+'HPM costs'!Q581+'HPM costs'!Q584)</f>
        <v>0</v>
      </c>
      <c r="AS133" s="695"/>
      <c r="AT133" s="695">
        <f>'TB-Key Info'!$L$15*('HPM costs'!R229+'HPM costs'!R232+'HPM costs'!R235+'HPM costs'!R238+'HPM costs'!R575+'HPM costs'!R578+'HPM costs'!R581+'HPM costs'!R584)</f>
        <v>0</v>
      </c>
      <c r="AU133" s="695"/>
      <c r="AV133" s="695">
        <f>'TB-Key Info'!$L$15*('HPM costs'!S229+'HPM costs'!S232+'HPM costs'!S235+'HPM costs'!S238+'HPM costs'!S575+'HPM costs'!S578+'HPM costs'!S581+'HPM costs'!S584)</f>
        <v>0</v>
      </c>
      <c r="AW133" s="695"/>
      <c r="AX133" s="1492">
        <f t="shared" si="20"/>
        <v>0</v>
      </c>
      <c r="AY133" s="1492"/>
      <c r="AZ133" s="698"/>
      <c r="BA133" s="699"/>
      <c r="BB133" s="697"/>
      <c r="BC133" s="697">
        <v>0</v>
      </c>
      <c r="BD133" s="697">
        <v>0</v>
      </c>
      <c r="BE133" s="697">
        <v>0</v>
      </c>
      <c r="BF133" s="697">
        <v>0</v>
      </c>
      <c r="BG133" s="697">
        <v>0</v>
      </c>
      <c r="BH133" s="697">
        <v>0</v>
      </c>
      <c r="BI133" s="697">
        <v>0</v>
      </c>
      <c r="BJ133" s="697">
        <v>0</v>
      </c>
      <c r="BK133" s="1492">
        <f t="shared" si="21"/>
        <v>0</v>
      </c>
      <c r="BL133" s="1492"/>
      <c r="BM133" s="1492">
        <f t="shared" si="22"/>
        <v>0</v>
      </c>
      <c r="BN133" s="1492">
        <f t="shared" si="23"/>
        <v>0</v>
      </c>
      <c r="BO133" s="697"/>
      <c r="BP133" s="697"/>
      <c r="BQ133" s="1495">
        <v>0</v>
      </c>
      <c r="BR133" s="1495" t="s">
        <v>816</v>
      </c>
      <c r="BS133" s="1495" t="s">
        <v>655</v>
      </c>
      <c r="BT133" s="691" t="s">
        <v>1803</v>
      </c>
    </row>
    <row r="134" spans="1:72" s="681" customFormat="1" ht="13" hidden="1">
      <c r="A134" s="1545">
        <v>169</v>
      </c>
      <c r="B134" s="1546" t="s">
        <v>773</v>
      </c>
      <c r="C134" s="1546" t="s">
        <v>774</v>
      </c>
      <c r="D134" s="1547" t="s">
        <v>655</v>
      </c>
      <c r="E134" s="690" t="s">
        <v>666</v>
      </c>
      <c r="F134" s="691"/>
      <c r="G134" s="692"/>
      <c r="H134" s="692"/>
      <c r="I134" s="692"/>
      <c r="J134" s="693"/>
      <c r="K134" s="693"/>
      <c r="L134" s="693"/>
      <c r="M134" s="694"/>
      <c r="N134" s="695"/>
      <c r="O134" s="696" t="s">
        <v>1569</v>
      </c>
      <c r="P134" s="695">
        <f>'TB-Key Info'!$L$15*('HPM costs'!F315+'HPM costs'!F318+'HPM costs'!F321+'HPM costs'!F324)</f>
        <v>0</v>
      </c>
      <c r="Q134" s="695" t="s">
        <v>1569</v>
      </c>
      <c r="R134" s="695">
        <f>'TB-Key Info'!$L$15*('HPM costs'!G315+'HPM costs'!G318+'HPM costs'!G321+'HPM costs'!G324)</f>
        <v>0</v>
      </c>
      <c r="S134" s="695" t="s">
        <v>1569</v>
      </c>
      <c r="T134" s="695">
        <f>'TB-Key Info'!$L$15*('HPM costs'!H315+'HPM costs'!H318+'HPM costs'!H321+'HPM costs'!H324)</f>
        <v>0</v>
      </c>
      <c r="U134" s="695" t="s">
        <v>1569</v>
      </c>
      <c r="V134" s="695">
        <f>'TB-Key Info'!$L$15*('HPM costs'!I315+'HPM costs'!I318+'HPM costs'!I321+'HPM costs'!I324)</f>
        <v>0</v>
      </c>
      <c r="W134" s="695"/>
      <c r="X134" s="1492">
        <f t="shared" si="18"/>
        <v>0</v>
      </c>
      <c r="Y134" s="1493"/>
      <c r="Z134" s="1494"/>
      <c r="AA134" s="699"/>
      <c r="AB134" s="695"/>
      <c r="AC134" s="695">
        <f>'TB-Key Info'!$L$15*('HPM costs'!K315+'HPM costs'!K318+'HPM costs'!K321+'HPM costs'!K324)</f>
        <v>0</v>
      </c>
      <c r="AD134" s="695"/>
      <c r="AE134" s="695">
        <f>'TB-Key Info'!$L$15*('HPM costs'!L315+'HPM costs'!L318+'HPM costs'!L321+'HPM costs'!L324)</f>
        <v>0</v>
      </c>
      <c r="AF134" s="695"/>
      <c r="AG134" s="695">
        <f>'TB-Key Info'!$L$15*('HPM costs'!M315+'HPM costs'!M318+'HPM costs'!M321+'HPM costs'!M324)</f>
        <v>0</v>
      </c>
      <c r="AH134" s="695"/>
      <c r="AI134" s="695">
        <f>'TB-Key Info'!$L$15*('HPM costs'!N315+'HPM costs'!N318+'HPM costs'!N321+'HPM costs'!N324)</f>
        <v>0</v>
      </c>
      <c r="AJ134" s="695"/>
      <c r="AK134" s="1492">
        <f t="shared" si="19"/>
        <v>0</v>
      </c>
      <c r="AL134" s="1493"/>
      <c r="AM134" s="1494"/>
      <c r="AN134" s="699"/>
      <c r="AO134" s="695"/>
      <c r="AP134" s="695">
        <f>'TB-Key Info'!$L$15*('HPM costs'!P315+'HPM costs'!P318+'HPM costs'!P321+'HPM costs'!P324)</f>
        <v>0</v>
      </c>
      <c r="AQ134" s="695"/>
      <c r="AR134" s="695">
        <f>'TB-Key Info'!$L$15*('HPM costs'!Q315+'HPM costs'!Q318+'HPM costs'!Q321+'HPM costs'!Q324)</f>
        <v>0</v>
      </c>
      <c r="AS134" s="695"/>
      <c r="AT134" s="695">
        <f>'TB-Key Info'!$L$15*('HPM costs'!R315+'HPM costs'!R318+'HPM costs'!R321+'HPM costs'!R324)</f>
        <v>0</v>
      </c>
      <c r="AU134" s="695"/>
      <c r="AV134" s="695">
        <f>'TB-Key Info'!$L$15*('HPM costs'!S315+'HPM costs'!S318+'HPM costs'!S321+'HPM costs'!S324)</f>
        <v>0</v>
      </c>
      <c r="AW134" s="695"/>
      <c r="AX134" s="1492">
        <f t="shared" si="20"/>
        <v>0</v>
      </c>
      <c r="AY134" s="1492"/>
      <c r="AZ134" s="698"/>
      <c r="BA134" s="699"/>
      <c r="BB134" s="697"/>
      <c r="BC134" s="697">
        <v>0</v>
      </c>
      <c r="BD134" s="697">
        <v>0</v>
      </c>
      <c r="BE134" s="697">
        <v>0</v>
      </c>
      <c r="BF134" s="697">
        <v>0</v>
      </c>
      <c r="BG134" s="697">
        <v>0</v>
      </c>
      <c r="BH134" s="697">
        <v>0</v>
      </c>
      <c r="BI134" s="697">
        <v>0</v>
      </c>
      <c r="BJ134" s="697">
        <v>0</v>
      </c>
      <c r="BK134" s="1492">
        <f t="shared" si="21"/>
        <v>0</v>
      </c>
      <c r="BL134" s="1492"/>
      <c r="BM134" s="1492">
        <f t="shared" si="22"/>
        <v>0</v>
      </c>
      <c r="BN134" s="1492">
        <f t="shared" si="23"/>
        <v>0</v>
      </c>
      <c r="BO134" s="697"/>
      <c r="BP134" s="697"/>
      <c r="BQ134" s="1495">
        <v>0</v>
      </c>
      <c r="BR134" s="1495" t="s">
        <v>816</v>
      </c>
      <c r="BS134" s="1495" t="s">
        <v>655</v>
      </c>
      <c r="BT134" s="691" t="s">
        <v>1804</v>
      </c>
    </row>
    <row r="135" spans="1:72" s="681" customFormat="1" ht="13" hidden="1">
      <c r="A135" s="1545">
        <v>170</v>
      </c>
      <c r="B135" s="1546" t="s">
        <v>773</v>
      </c>
      <c r="C135" s="1546" t="s">
        <v>774</v>
      </c>
      <c r="D135" s="1547" t="s">
        <v>655</v>
      </c>
      <c r="E135" s="690" t="s">
        <v>668</v>
      </c>
      <c r="F135" s="691"/>
      <c r="G135" s="692"/>
      <c r="H135" s="692"/>
      <c r="I135" s="692"/>
      <c r="J135" s="693"/>
      <c r="K135" s="693"/>
      <c r="L135" s="693"/>
      <c r="M135" s="694"/>
      <c r="N135" s="695"/>
      <c r="O135" s="696" t="s">
        <v>1569</v>
      </c>
      <c r="P135" s="695">
        <f>'TB-Key Info'!$L$15*('HPM costs'!F660+'HPM costs'!F663+'HPM costs'!F666+'HPM costs'!F669)</f>
        <v>0</v>
      </c>
      <c r="Q135" s="695" t="s">
        <v>1569</v>
      </c>
      <c r="R135" s="695">
        <f>'TB-Key Info'!$L$15*('HPM costs'!G660+'HPM costs'!G663+'HPM costs'!G666+'HPM costs'!G669)</f>
        <v>0</v>
      </c>
      <c r="S135" s="695" t="s">
        <v>1569</v>
      </c>
      <c r="T135" s="695">
        <f>'TB-Key Info'!$L$15*('HPM costs'!H660+'HPM costs'!H663+'HPM costs'!H666+'HPM costs'!H669)</f>
        <v>0</v>
      </c>
      <c r="U135" s="695" t="s">
        <v>1569</v>
      </c>
      <c r="V135" s="695">
        <f>'TB-Key Info'!$L$15*('HPM costs'!I660+'HPM costs'!I663+'HPM costs'!I666+'HPM costs'!I669)</f>
        <v>0</v>
      </c>
      <c r="W135" s="695"/>
      <c r="X135" s="1492">
        <f t="shared" si="18"/>
        <v>0</v>
      </c>
      <c r="Y135" s="1493"/>
      <c r="Z135" s="1494"/>
      <c r="AA135" s="699"/>
      <c r="AB135" s="695"/>
      <c r="AC135" s="695">
        <f>'TB-Key Info'!$L$15*('HPM costs'!K660+'HPM costs'!K663+'HPM costs'!K666+'HPM costs'!K669)</f>
        <v>0</v>
      </c>
      <c r="AD135" s="695"/>
      <c r="AE135" s="695">
        <f>'TB-Key Info'!$L$15*('HPM costs'!L660+'HPM costs'!L663+'HPM costs'!L666+'HPM costs'!L669)</f>
        <v>0</v>
      </c>
      <c r="AF135" s="695"/>
      <c r="AG135" s="695">
        <f>'TB-Key Info'!$L$15*('HPM costs'!M660+'HPM costs'!M663+'HPM costs'!M666+'HPM costs'!M669)</f>
        <v>0</v>
      </c>
      <c r="AH135" s="695"/>
      <c r="AI135" s="695">
        <f>'TB-Key Info'!$L$15*('HPM costs'!N660+'HPM costs'!N663+'HPM costs'!N666+'HPM costs'!N669)</f>
        <v>0</v>
      </c>
      <c r="AJ135" s="695"/>
      <c r="AK135" s="1492">
        <f t="shared" si="19"/>
        <v>0</v>
      </c>
      <c r="AL135" s="1493"/>
      <c r="AM135" s="1494"/>
      <c r="AN135" s="699"/>
      <c r="AO135" s="695"/>
      <c r="AP135" s="695">
        <f>'TB-Key Info'!$L$15*('HPM costs'!P660+'HPM costs'!P663+'HPM costs'!P666+'HPM costs'!P669)</f>
        <v>0</v>
      </c>
      <c r="AQ135" s="695"/>
      <c r="AR135" s="695">
        <f>'TB-Key Info'!$L$15*('HPM costs'!Q660+'HPM costs'!Q663+'HPM costs'!Q666+'HPM costs'!Q669)</f>
        <v>0</v>
      </c>
      <c r="AS135" s="695"/>
      <c r="AT135" s="695">
        <f>'TB-Key Info'!$L$15*('HPM costs'!R660+'HPM costs'!R663+'HPM costs'!R666+'HPM costs'!R669)</f>
        <v>0</v>
      </c>
      <c r="AU135" s="695"/>
      <c r="AV135" s="695">
        <f>'TB-Key Info'!$L$15*('HPM costs'!S660+'HPM costs'!S663+'HPM costs'!S666+'HPM costs'!S669)</f>
        <v>0</v>
      </c>
      <c r="AW135" s="695"/>
      <c r="AX135" s="1492">
        <f t="shared" si="20"/>
        <v>0</v>
      </c>
      <c r="AY135" s="1492"/>
      <c r="AZ135" s="698"/>
      <c r="BA135" s="699"/>
      <c r="BB135" s="697"/>
      <c r="BC135" s="697">
        <v>0</v>
      </c>
      <c r="BD135" s="697">
        <v>0</v>
      </c>
      <c r="BE135" s="697">
        <v>0</v>
      </c>
      <c r="BF135" s="697">
        <v>0</v>
      </c>
      <c r="BG135" s="697">
        <v>0</v>
      </c>
      <c r="BH135" s="697">
        <v>0</v>
      </c>
      <c r="BI135" s="697">
        <v>0</v>
      </c>
      <c r="BJ135" s="697">
        <v>0</v>
      </c>
      <c r="BK135" s="1492">
        <f t="shared" si="21"/>
        <v>0</v>
      </c>
      <c r="BL135" s="1492"/>
      <c r="BM135" s="1492">
        <f t="shared" si="22"/>
        <v>0</v>
      </c>
      <c r="BN135" s="1492">
        <f t="shared" si="23"/>
        <v>0</v>
      </c>
      <c r="BO135" s="697"/>
      <c r="BP135" s="697"/>
      <c r="BQ135" s="1495">
        <v>0</v>
      </c>
      <c r="BR135" s="1495" t="s">
        <v>816</v>
      </c>
      <c r="BS135" s="1495" t="s">
        <v>655</v>
      </c>
      <c r="BT135" s="691" t="s">
        <v>1805</v>
      </c>
    </row>
    <row r="136" spans="1:72" s="681" customFormat="1" ht="13" hidden="1">
      <c r="A136" s="1545">
        <v>171</v>
      </c>
      <c r="B136" s="1546" t="s">
        <v>773</v>
      </c>
      <c r="C136" s="1546" t="s">
        <v>775</v>
      </c>
      <c r="D136" s="1547" t="s">
        <v>776</v>
      </c>
      <c r="E136" s="690" t="s">
        <v>777</v>
      </c>
      <c r="F136" s="691"/>
      <c r="G136" s="692"/>
      <c r="H136" s="692"/>
      <c r="I136" s="692"/>
      <c r="J136" s="693"/>
      <c r="K136" s="693"/>
      <c r="L136" s="693"/>
      <c r="M136" s="694"/>
      <c r="N136" s="695"/>
      <c r="O136" s="696" t="s">
        <v>1569</v>
      </c>
      <c r="P136" s="1495">
        <f>IF(SETUP!$F$36="Upfront",SUM('Extended Budget Sheet - TB'!K3:K37),0)</f>
        <v>0</v>
      </c>
      <c r="Q136" s="1495" t="s">
        <v>1569</v>
      </c>
      <c r="R136" s="1495">
        <f>IF(SETUP!$F$36="Upfront",SUM('Extended Budget Sheet - TB'!O3:O37),IF(SETUP!$F$36="At delivery", IF(SETUP!$G$36=1,SUM('Extended Budget Sheet - TB'!K3:K37),0),0))</f>
        <v>0</v>
      </c>
      <c r="S136" s="1495" t="s">
        <v>1569</v>
      </c>
      <c r="T136" s="1495">
        <f>IF(SETUP!$F$36="Upfront",SUM('Extended Budget Sheet - TB'!S3:S37),IF(SETUP!$F$36="At delivery",IF(SETUP!$G$36=2,SUM('Extended Budget Sheet - TB'!K3:K37),IF(SETUP!$G$36=1,SUM('Extended Budget Sheet - TB'!O3:O37),0)),0))</f>
        <v>0</v>
      </c>
      <c r="U136" s="1495" t="s">
        <v>1569</v>
      </c>
      <c r="V136" s="1495">
        <f>IF(SETUP!$F$36="Upfront",SUM('Extended Budget Sheet - TB'!W3:W37),IF(SETUP!$F$36="At delivery", IF(SETUP!$G$36=3,SUM('Extended Budget Sheet - TB'!K3:K37),IF(SETUP!$G$36=2,SUM('Extended Budget Sheet - TB'!O3:O37),IF(SETUP!$G$36=1,SUM('Extended Budget Sheet - TB'!S3:S37),0))),0))</f>
        <v>0</v>
      </c>
      <c r="W136" s="1495"/>
      <c r="X136" s="1492">
        <f t="shared" si="18"/>
        <v>0</v>
      </c>
      <c r="Y136" s="1496"/>
      <c r="Z136" s="1497"/>
      <c r="AA136" s="1425"/>
      <c r="AB136" s="1495"/>
      <c r="AC136" s="1498">
        <f>IF(SETUP!$F$36="Upfront",SUM('Extended Budget Sheet - TB'!AC3:AC37),
IF(SETUP!$F$36="At delivery",
IF(SETUP!$G$36=4,SUM('Extended Budget Sheet - TB'!K3:K37),
IF(SETUP!$G$36=3,SUM('Extended Budget Sheet - TB'!O3:O37),
IF(SETUP!$G$36=2,SUM('Extended Budget Sheet - TB'!S3:S37),
IF(SETUP!$G$36=1,SUM('Extended Budget Sheet - TB'!W3:W37),0)))),0))</f>
        <v>0</v>
      </c>
      <c r="AD136" s="1495"/>
      <c r="AE136" s="1498">
        <f>IF(SETUP!$F$36="Upfront",SUM('Extended Budget Sheet - TB'!AG3:AG37),
IF(SETUP!$F$36="At delivery",
IF(SETUP!$G$36=4,SUM('Extended Budget Sheet - TB'!O3:O37),
IF(SETUP!$G$36=3,SUM('Extended Budget Sheet - TB'!S3:S37),
IF(SETUP!$G$36=2,SUM('Extended Budget Sheet - TB'!W3:W37),
IF(SETUP!$G$36=1,SUM('Extended Budget Sheet - TB'!AC3:AC37),0)))),0))</f>
        <v>0</v>
      </c>
      <c r="AF136" s="1495"/>
      <c r="AG136" s="1498">
        <f>IF(SETUP!$F$36="Upfront",SUM('Extended Budget Sheet - TB'!AK3:AK37),
IF(SETUP!$F$36="At delivery",
IF(SETUP!$G$36=4,SUM('Extended Budget Sheet - TB'!S3:S37),
IF(SETUP!$G$36=3,SUM('Extended Budget Sheet - TB'!W3:W37),
IF(SETUP!$G$36=2,SUM('Extended Budget Sheet - TB'!AC3:AC37),
IF(SETUP!$G$36=1,SUM('Extended Budget Sheet - TB'!AG3:AG37),0)))),0))</f>
        <v>0</v>
      </c>
      <c r="AH136" s="1495"/>
      <c r="AI136" s="1498">
        <f>IF(SETUP!$F$36="Upfront",SUM('Extended Budget Sheet - TB'!AO3:AO37),
IF(SETUP!$F$36="At delivery",
IF(SETUP!$G$36=4,SUM('Extended Budget Sheet - TB'!W3:W37),
IF(SETUP!$G$36=3,SUM('Extended Budget Sheet - TB'!AC3:AC37),
IF(SETUP!$G$36=2,SUM('Extended Budget Sheet - TB'!AG3:AG37),
IF(SETUP!$G$36=1,SUM('Extended Budget Sheet - TB'!AK3:AK37),0)))),0))</f>
        <v>0</v>
      </c>
      <c r="AJ136" s="1495"/>
      <c r="AK136" s="1492">
        <f t="shared" si="19"/>
        <v>0</v>
      </c>
      <c r="AL136" s="1496"/>
      <c r="AM136" s="1497"/>
      <c r="AN136" s="1425"/>
      <c r="AO136" s="1495"/>
      <c r="AP136" s="1498">
        <f>IF(SETUP!$F$36="Upfront",SUM('Extended Budget Sheet - TB'!AU3:AU37),
IF(SETUP!$F$36="At delivery",
IF(SETUP!$G$36=4,SUM('Extended Budget Sheet - TB'!AC3:AC37),
IF(SETUP!$G$36=3,SUM('Extended Budget Sheet - TB'!AG3:AG37),
IF(SETUP!$G$36=2,SUM('Extended Budget Sheet - TB'!AK3:AK37),
IF(SETUP!$G$36=1,SUM('Extended Budget Sheet - TB'!AO3:AO37),0)))),0))</f>
        <v>0</v>
      </c>
      <c r="AQ136" s="1495"/>
      <c r="AR136" s="1498">
        <f>IF(SETUP!$F$36="Upfront",SUM('Extended Budget Sheet - TB'!AY3:AY37),
IF(SETUP!$F$36="At delivery",
IF(SETUP!$G$36=4,SUM('Extended Budget Sheet - TB'!AG3:AG37),
IF(SETUP!$G$36=3,SUM('Extended Budget Sheet - TB'!AK3:AK37),
IF(SETUP!$G$36=2,SUM('Extended Budget Sheet - TB'!AO3:AO37),
IF(SETUP!$G$36=1,SUM('Extended Budget Sheet - TB'!AU3:AU37),0)))),0))</f>
        <v>0</v>
      </c>
      <c r="AS136" s="1495"/>
      <c r="AT136" s="1498">
        <f>IF(SETUP!$F$36="Upfront",SUM('Extended Budget Sheet - TB'!BC3:BC37),
IF(SETUP!$F$36="At delivery",
IF(SETUP!$G$36=4,SUM('Extended Budget Sheet - TB'!AK3:AK37),
IF(SETUP!$G$36=3,SUM('Extended Budget Sheet - TB'!AO3:AO37),
IF(SETUP!$G$36=2,SUM('Extended Budget Sheet - TB'!AU3:AU37),
IF(SETUP!$G$36=1,SUM('Extended Budget Sheet - TB'!AY3:AY37),0)))),0))</f>
        <v>0</v>
      </c>
      <c r="AU136" s="1495"/>
      <c r="AV136" s="1498">
        <f>IF(SETUP!$F$36="Upfront",SUM('Extended Budget Sheet - TB'!BG3:BG37),
IF(SETUP!$F$36="At delivery",
IF(SETUP!$G$36=4,SUM('Extended Budget Sheet - TB'!AO3:AO37)+SUM('Extended Budget Sheet - TB'!AU3:AU37)+SUM('Extended Budget Sheet - TB'!AY3:AY37)+SUM('Extended Budget Sheet - TB'!BC3:BC37)+SUM('Extended Budget Sheet - TB'!BG3:BG37),
IF(SETUP!$G$36=3,SUM('Extended Budget Sheet - TB'!AU3:AU37)+SUM('Extended Budget Sheet - TB'!AY3:AY37)+SUM('Extended Budget Sheet - TB'!BC3:BC37)+SUM('Extended Budget Sheet - TB'!BG3:BG37),
IF(SETUP!$G$36=2,SUM('Extended Budget Sheet - TB'!AY3:AY37)+SUM('Extended Budget Sheet - TB'!BC3:BC37)+SUM('Extended Budget Sheet - TB'!BG3:BG37),
IF(SETUP!$G$36=1,SUM('Extended Budget Sheet - TB'!BC3:BC37)+SUM('Extended Budget Sheet - TB'!BG3:BG37),0)))),0))</f>
        <v>0</v>
      </c>
      <c r="AW136" s="1495"/>
      <c r="AX136" s="1492">
        <f t="shared" si="20"/>
        <v>0</v>
      </c>
      <c r="AY136" s="1492"/>
      <c r="AZ136" s="1424"/>
      <c r="BA136" s="1425"/>
      <c r="BB136" s="1422"/>
      <c r="BC136" s="1422">
        <v>0</v>
      </c>
      <c r="BD136" s="1422">
        <v>0</v>
      </c>
      <c r="BE136" s="1422">
        <v>0</v>
      </c>
      <c r="BF136" s="1422">
        <v>0</v>
      </c>
      <c r="BG136" s="1422">
        <v>0</v>
      </c>
      <c r="BH136" s="1422">
        <v>0</v>
      </c>
      <c r="BI136" s="1422">
        <v>0</v>
      </c>
      <c r="BJ136" s="1422">
        <v>0</v>
      </c>
      <c r="BK136" s="1492">
        <f t="shared" si="21"/>
        <v>0</v>
      </c>
      <c r="BL136" s="1492"/>
      <c r="BM136" s="1492">
        <f t="shared" si="22"/>
        <v>0</v>
      </c>
      <c r="BN136" s="1492">
        <f t="shared" si="23"/>
        <v>0</v>
      </c>
      <c r="BO136" s="697"/>
      <c r="BP136" s="697"/>
      <c r="BQ136" s="1495">
        <v>0</v>
      </c>
      <c r="BR136" s="1495" t="s">
        <v>816</v>
      </c>
      <c r="BS136" s="1495" t="s">
        <v>776</v>
      </c>
      <c r="BT136" s="691" t="s">
        <v>778</v>
      </c>
    </row>
    <row r="137" spans="1:72" s="681" customFormat="1" ht="13" hidden="1">
      <c r="A137" s="1545">
        <v>173</v>
      </c>
      <c r="B137" s="1546" t="s">
        <v>773</v>
      </c>
      <c r="C137" s="1546" t="s">
        <v>775</v>
      </c>
      <c r="D137" s="1547" t="s">
        <v>655</v>
      </c>
      <c r="E137" s="690" t="s">
        <v>656</v>
      </c>
      <c r="F137" s="691"/>
      <c r="G137" s="692"/>
      <c r="H137" s="692"/>
      <c r="I137" s="692"/>
      <c r="J137" s="693"/>
      <c r="K137" s="693"/>
      <c r="L137" s="693"/>
      <c r="M137" s="694"/>
      <c r="N137" s="695"/>
      <c r="O137" s="696" t="s">
        <v>1569</v>
      </c>
      <c r="P137" s="695">
        <f>'HPM costs'!F48</f>
        <v>0</v>
      </c>
      <c r="Q137" s="695" t="s">
        <v>1569</v>
      </c>
      <c r="R137" s="695">
        <f>'HPM costs'!G48</f>
        <v>0</v>
      </c>
      <c r="S137" s="695" t="s">
        <v>1569</v>
      </c>
      <c r="T137" s="695">
        <f>'HPM costs'!H48</f>
        <v>0</v>
      </c>
      <c r="U137" s="695" t="s">
        <v>1569</v>
      </c>
      <c r="V137" s="695">
        <f>'HPM costs'!I48</f>
        <v>0</v>
      </c>
      <c r="W137" s="695"/>
      <c r="X137" s="1492">
        <f t="shared" si="18"/>
        <v>0</v>
      </c>
      <c r="Y137" s="1493"/>
      <c r="Z137" s="1494"/>
      <c r="AA137" s="699"/>
      <c r="AB137" s="695"/>
      <c r="AC137" s="695">
        <f>'HPM costs'!K48</f>
        <v>0</v>
      </c>
      <c r="AD137" s="695"/>
      <c r="AE137" s="695">
        <f>'HPM costs'!L48</f>
        <v>0</v>
      </c>
      <c r="AF137" s="695"/>
      <c r="AG137" s="695">
        <f>'HPM costs'!M48</f>
        <v>0</v>
      </c>
      <c r="AH137" s="695"/>
      <c r="AI137" s="695">
        <f>'HPM costs'!N48</f>
        <v>0</v>
      </c>
      <c r="AJ137" s="695"/>
      <c r="AK137" s="1492">
        <f t="shared" si="19"/>
        <v>0</v>
      </c>
      <c r="AL137" s="1493"/>
      <c r="AM137" s="1494"/>
      <c r="AN137" s="699"/>
      <c r="AO137" s="695"/>
      <c r="AP137" s="695">
        <f>'HPM costs'!P48</f>
        <v>0</v>
      </c>
      <c r="AQ137" s="695"/>
      <c r="AR137" s="695">
        <f>'HPM costs'!Q48</f>
        <v>0</v>
      </c>
      <c r="AS137" s="695"/>
      <c r="AT137" s="695">
        <f>'HPM costs'!R48</f>
        <v>0</v>
      </c>
      <c r="AU137" s="695"/>
      <c r="AV137" s="695">
        <f>'HPM costs'!S48</f>
        <v>0</v>
      </c>
      <c r="AW137" s="695"/>
      <c r="AX137" s="1492">
        <f t="shared" si="20"/>
        <v>0</v>
      </c>
      <c r="AY137" s="1492"/>
      <c r="AZ137" s="698"/>
      <c r="BA137" s="699"/>
      <c r="BB137" s="697"/>
      <c r="BC137" s="697">
        <v>0</v>
      </c>
      <c r="BD137" s="697">
        <v>0</v>
      </c>
      <c r="BE137" s="697">
        <v>0</v>
      </c>
      <c r="BF137" s="697">
        <v>0</v>
      </c>
      <c r="BG137" s="697">
        <v>0</v>
      </c>
      <c r="BH137" s="697">
        <v>0</v>
      </c>
      <c r="BI137" s="697">
        <v>0</v>
      </c>
      <c r="BJ137" s="697">
        <v>0</v>
      </c>
      <c r="BK137" s="1492">
        <f t="shared" si="21"/>
        <v>0</v>
      </c>
      <c r="BL137" s="1492"/>
      <c r="BM137" s="1492">
        <f t="shared" si="22"/>
        <v>0</v>
      </c>
      <c r="BN137" s="1492">
        <f t="shared" si="23"/>
        <v>0</v>
      </c>
      <c r="BO137" s="697"/>
      <c r="BP137" s="697"/>
      <c r="BQ137" s="1495">
        <v>0</v>
      </c>
      <c r="BR137" s="1495" t="s">
        <v>816</v>
      </c>
      <c r="BS137" s="1495" t="s">
        <v>655</v>
      </c>
      <c r="BT137" s="691" t="s">
        <v>1806</v>
      </c>
    </row>
    <row r="138" spans="1:72" s="681" customFormat="1" ht="13" hidden="1">
      <c r="A138" s="1545">
        <v>174</v>
      </c>
      <c r="B138" s="1546" t="s">
        <v>773</v>
      </c>
      <c r="C138" s="1546" t="s">
        <v>775</v>
      </c>
      <c r="D138" s="1547" t="s">
        <v>655</v>
      </c>
      <c r="E138" s="690" t="s">
        <v>658</v>
      </c>
      <c r="F138" s="691"/>
      <c r="G138" s="692"/>
      <c r="H138" s="692"/>
      <c r="I138" s="692"/>
      <c r="J138" s="693"/>
      <c r="K138" s="693"/>
      <c r="L138" s="693"/>
      <c r="M138" s="694"/>
      <c r="N138" s="695"/>
      <c r="O138" s="696" t="s">
        <v>1569</v>
      </c>
      <c r="P138" s="695">
        <f>'HPM costs'!F134</f>
        <v>0</v>
      </c>
      <c r="Q138" s="695" t="s">
        <v>1569</v>
      </c>
      <c r="R138" s="695">
        <f>'HPM costs'!G134</f>
        <v>0</v>
      </c>
      <c r="S138" s="695" t="s">
        <v>1569</v>
      </c>
      <c r="T138" s="695">
        <f>'HPM costs'!H134</f>
        <v>0</v>
      </c>
      <c r="U138" s="695" t="s">
        <v>1569</v>
      </c>
      <c r="V138" s="695">
        <f>'HPM costs'!I134</f>
        <v>0</v>
      </c>
      <c r="W138" s="695"/>
      <c r="X138" s="1492">
        <f t="shared" si="18"/>
        <v>0</v>
      </c>
      <c r="Y138" s="1493"/>
      <c r="Z138" s="1494"/>
      <c r="AA138" s="699"/>
      <c r="AB138" s="695"/>
      <c r="AC138" s="695">
        <f>'HPM costs'!K134</f>
        <v>0</v>
      </c>
      <c r="AD138" s="695"/>
      <c r="AE138" s="695">
        <f>'HPM costs'!L134</f>
        <v>0</v>
      </c>
      <c r="AF138" s="695"/>
      <c r="AG138" s="695">
        <f>'HPM costs'!M134</f>
        <v>0</v>
      </c>
      <c r="AH138" s="695"/>
      <c r="AI138" s="695">
        <f>'HPM costs'!N134</f>
        <v>0</v>
      </c>
      <c r="AJ138" s="695"/>
      <c r="AK138" s="1492">
        <f t="shared" si="19"/>
        <v>0</v>
      </c>
      <c r="AL138" s="1493"/>
      <c r="AM138" s="1494"/>
      <c r="AN138" s="699"/>
      <c r="AO138" s="695"/>
      <c r="AP138" s="695">
        <f>'HPM costs'!P134</f>
        <v>0</v>
      </c>
      <c r="AQ138" s="695"/>
      <c r="AR138" s="695">
        <f>'HPM costs'!Q134</f>
        <v>0</v>
      </c>
      <c r="AS138" s="695"/>
      <c r="AT138" s="695">
        <f>'HPM costs'!R134</f>
        <v>0</v>
      </c>
      <c r="AU138" s="695"/>
      <c r="AV138" s="695">
        <f>'HPM costs'!S134</f>
        <v>0</v>
      </c>
      <c r="AW138" s="695"/>
      <c r="AX138" s="1492">
        <f t="shared" si="20"/>
        <v>0</v>
      </c>
      <c r="AY138" s="1492"/>
      <c r="AZ138" s="698"/>
      <c r="BA138" s="699"/>
      <c r="BB138" s="697"/>
      <c r="BC138" s="697">
        <v>0</v>
      </c>
      <c r="BD138" s="697">
        <v>0</v>
      </c>
      <c r="BE138" s="697">
        <v>0</v>
      </c>
      <c r="BF138" s="697">
        <v>0</v>
      </c>
      <c r="BG138" s="697">
        <v>0</v>
      </c>
      <c r="BH138" s="697">
        <v>0</v>
      </c>
      <c r="BI138" s="697">
        <v>0</v>
      </c>
      <c r="BJ138" s="697">
        <v>0</v>
      </c>
      <c r="BK138" s="1492">
        <f t="shared" si="21"/>
        <v>0</v>
      </c>
      <c r="BL138" s="1492"/>
      <c r="BM138" s="1492">
        <f t="shared" si="22"/>
        <v>0</v>
      </c>
      <c r="BN138" s="1492">
        <f t="shared" si="23"/>
        <v>0</v>
      </c>
      <c r="BO138" s="697"/>
      <c r="BP138" s="697"/>
      <c r="BQ138" s="1495">
        <v>0</v>
      </c>
      <c r="BR138" s="1495" t="s">
        <v>816</v>
      </c>
      <c r="BS138" s="1495" t="s">
        <v>655</v>
      </c>
      <c r="BT138" s="691" t="s">
        <v>1807</v>
      </c>
    </row>
    <row r="139" spans="1:72" s="681" customFormat="1" ht="13" hidden="1">
      <c r="A139" s="1545">
        <v>175</v>
      </c>
      <c r="B139" s="1546" t="s">
        <v>773</v>
      </c>
      <c r="C139" s="1546" t="s">
        <v>775</v>
      </c>
      <c r="D139" s="1547" t="s">
        <v>655</v>
      </c>
      <c r="E139" s="690" t="s">
        <v>660</v>
      </c>
      <c r="F139" s="691"/>
      <c r="G139" s="692"/>
      <c r="H139" s="692"/>
      <c r="I139" s="692"/>
      <c r="J139" s="693"/>
      <c r="K139" s="693"/>
      <c r="L139" s="693"/>
      <c r="M139" s="694"/>
      <c r="N139" s="695"/>
      <c r="O139" s="696" t="s">
        <v>1569</v>
      </c>
      <c r="P139" s="695">
        <f>'HPM costs'!F394</f>
        <v>0</v>
      </c>
      <c r="Q139" s="695" t="s">
        <v>1569</v>
      </c>
      <c r="R139" s="695">
        <f>'HPM costs'!G394</f>
        <v>0</v>
      </c>
      <c r="S139" s="695" t="s">
        <v>1569</v>
      </c>
      <c r="T139" s="695">
        <f>'HPM costs'!H394</f>
        <v>0</v>
      </c>
      <c r="U139" s="695" t="s">
        <v>1569</v>
      </c>
      <c r="V139" s="695">
        <f>'HPM costs'!I394</f>
        <v>0</v>
      </c>
      <c r="W139" s="695"/>
      <c r="X139" s="1492">
        <f t="shared" si="18"/>
        <v>0</v>
      </c>
      <c r="Y139" s="1493"/>
      <c r="Z139" s="1494"/>
      <c r="AA139" s="699"/>
      <c r="AB139" s="695"/>
      <c r="AC139" s="695">
        <f>'HPM costs'!K394</f>
        <v>0</v>
      </c>
      <c r="AD139" s="695"/>
      <c r="AE139" s="695">
        <f>'HPM costs'!L394</f>
        <v>0</v>
      </c>
      <c r="AF139" s="695"/>
      <c r="AG139" s="695">
        <f>'HPM costs'!M394</f>
        <v>0</v>
      </c>
      <c r="AH139" s="695"/>
      <c r="AI139" s="695">
        <f>'HPM costs'!N394</f>
        <v>0</v>
      </c>
      <c r="AJ139" s="695"/>
      <c r="AK139" s="1492">
        <f t="shared" si="19"/>
        <v>0</v>
      </c>
      <c r="AL139" s="1493"/>
      <c r="AM139" s="1494"/>
      <c r="AN139" s="699"/>
      <c r="AO139" s="695"/>
      <c r="AP139" s="695">
        <f>'HPM costs'!P394</f>
        <v>0</v>
      </c>
      <c r="AQ139" s="695"/>
      <c r="AR139" s="695">
        <f>'HPM costs'!Q394</f>
        <v>0</v>
      </c>
      <c r="AS139" s="695"/>
      <c r="AT139" s="695">
        <f>'HPM costs'!R394</f>
        <v>0</v>
      </c>
      <c r="AU139" s="695"/>
      <c r="AV139" s="695">
        <f>'HPM costs'!S394</f>
        <v>0</v>
      </c>
      <c r="AW139" s="695"/>
      <c r="AX139" s="1492">
        <f t="shared" si="20"/>
        <v>0</v>
      </c>
      <c r="AY139" s="1492"/>
      <c r="AZ139" s="698"/>
      <c r="BA139" s="699"/>
      <c r="BB139" s="697"/>
      <c r="BC139" s="697">
        <v>0</v>
      </c>
      <c r="BD139" s="697">
        <v>0</v>
      </c>
      <c r="BE139" s="697">
        <v>0</v>
      </c>
      <c r="BF139" s="697">
        <v>0</v>
      </c>
      <c r="BG139" s="697">
        <v>0</v>
      </c>
      <c r="BH139" s="697">
        <v>0</v>
      </c>
      <c r="BI139" s="697">
        <v>0</v>
      </c>
      <c r="BJ139" s="697">
        <v>0</v>
      </c>
      <c r="BK139" s="1492">
        <f t="shared" si="21"/>
        <v>0</v>
      </c>
      <c r="BL139" s="1492"/>
      <c r="BM139" s="1492">
        <f t="shared" si="22"/>
        <v>0</v>
      </c>
      <c r="BN139" s="1492">
        <f t="shared" si="23"/>
        <v>0</v>
      </c>
      <c r="BO139" s="697"/>
      <c r="BP139" s="697"/>
      <c r="BQ139" s="1495">
        <v>0</v>
      </c>
      <c r="BR139" s="1495" t="s">
        <v>816</v>
      </c>
      <c r="BS139" s="1495" t="s">
        <v>655</v>
      </c>
      <c r="BT139" s="691" t="s">
        <v>1808</v>
      </c>
    </row>
    <row r="140" spans="1:72" s="681" customFormat="1" ht="13" hidden="1">
      <c r="A140" s="1545">
        <v>176</v>
      </c>
      <c r="B140" s="1546" t="s">
        <v>773</v>
      </c>
      <c r="C140" s="1546" t="s">
        <v>775</v>
      </c>
      <c r="D140" s="1547" t="s">
        <v>655</v>
      </c>
      <c r="E140" s="690" t="s">
        <v>662</v>
      </c>
      <c r="F140" s="691"/>
      <c r="G140" s="692"/>
      <c r="H140" s="692"/>
      <c r="I140" s="692"/>
      <c r="J140" s="693"/>
      <c r="K140" s="693"/>
      <c r="L140" s="693"/>
      <c r="M140" s="694"/>
      <c r="N140" s="695"/>
      <c r="O140" s="696" t="s">
        <v>1569</v>
      </c>
      <c r="P140" s="695">
        <f>'HPM costs'!F480</f>
        <v>0</v>
      </c>
      <c r="Q140" s="695" t="s">
        <v>1569</v>
      </c>
      <c r="R140" s="695">
        <f>'HPM costs'!G480</f>
        <v>0</v>
      </c>
      <c r="S140" s="695" t="s">
        <v>1569</v>
      </c>
      <c r="T140" s="695">
        <f>'HPM costs'!H480</f>
        <v>0</v>
      </c>
      <c r="U140" s="695" t="s">
        <v>1569</v>
      </c>
      <c r="V140" s="695">
        <f>'HPM costs'!I480</f>
        <v>0</v>
      </c>
      <c r="W140" s="695"/>
      <c r="X140" s="1492">
        <f t="shared" si="18"/>
        <v>0</v>
      </c>
      <c r="Y140" s="1493"/>
      <c r="Z140" s="1494"/>
      <c r="AA140" s="699"/>
      <c r="AB140" s="695"/>
      <c r="AC140" s="695">
        <f>'HPM costs'!K480</f>
        <v>0</v>
      </c>
      <c r="AD140" s="695"/>
      <c r="AE140" s="695">
        <f>'HPM costs'!L480</f>
        <v>0</v>
      </c>
      <c r="AF140" s="695"/>
      <c r="AG140" s="695">
        <f>'HPM costs'!M480</f>
        <v>0</v>
      </c>
      <c r="AH140" s="695"/>
      <c r="AI140" s="695">
        <f>'HPM costs'!N480</f>
        <v>0</v>
      </c>
      <c r="AJ140" s="695"/>
      <c r="AK140" s="1492">
        <f t="shared" si="19"/>
        <v>0</v>
      </c>
      <c r="AL140" s="1493"/>
      <c r="AM140" s="1494"/>
      <c r="AN140" s="699"/>
      <c r="AO140" s="695"/>
      <c r="AP140" s="695">
        <f>'HPM costs'!P480</f>
        <v>0</v>
      </c>
      <c r="AQ140" s="695"/>
      <c r="AR140" s="695">
        <f>'HPM costs'!Q480</f>
        <v>0</v>
      </c>
      <c r="AS140" s="695"/>
      <c r="AT140" s="695">
        <f>'HPM costs'!R480</f>
        <v>0</v>
      </c>
      <c r="AU140" s="695"/>
      <c r="AV140" s="695">
        <f>'HPM costs'!S480</f>
        <v>0</v>
      </c>
      <c r="AW140" s="695"/>
      <c r="AX140" s="1492">
        <f t="shared" si="20"/>
        <v>0</v>
      </c>
      <c r="AY140" s="1492"/>
      <c r="AZ140" s="698"/>
      <c r="BA140" s="699"/>
      <c r="BB140" s="697"/>
      <c r="BC140" s="697">
        <v>0</v>
      </c>
      <c r="BD140" s="697">
        <v>0</v>
      </c>
      <c r="BE140" s="697">
        <v>0</v>
      </c>
      <c r="BF140" s="697">
        <v>0</v>
      </c>
      <c r="BG140" s="697">
        <v>0</v>
      </c>
      <c r="BH140" s="697">
        <v>0</v>
      </c>
      <c r="BI140" s="697">
        <v>0</v>
      </c>
      <c r="BJ140" s="697">
        <v>0</v>
      </c>
      <c r="BK140" s="1492">
        <f t="shared" si="21"/>
        <v>0</v>
      </c>
      <c r="BL140" s="1492"/>
      <c r="BM140" s="1492">
        <f t="shared" si="22"/>
        <v>0</v>
      </c>
      <c r="BN140" s="1492">
        <f t="shared" si="23"/>
        <v>0</v>
      </c>
      <c r="BO140" s="697"/>
      <c r="BP140" s="697"/>
      <c r="BQ140" s="1495">
        <v>0</v>
      </c>
      <c r="BR140" s="1495" t="s">
        <v>816</v>
      </c>
      <c r="BS140" s="1495" t="s">
        <v>655</v>
      </c>
      <c r="BT140" s="691" t="s">
        <v>1809</v>
      </c>
    </row>
    <row r="141" spans="1:72" s="681" customFormat="1" ht="13" hidden="1">
      <c r="A141" s="1545">
        <v>177</v>
      </c>
      <c r="B141" s="1546" t="s">
        <v>773</v>
      </c>
      <c r="C141" s="1546" t="s">
        <v>775</v>
      </c>
      <c r="D141" s="1547" t="s">
        <v>655</v>
      </c>
      <c r="E141" s="690" t="s">
        <v>664</v>
      </c>
      <c r="F141" s="691"/>
      <c r="G141" s="692"/>
      <c r="H141" s="692"/>
      <c r="I141" s="692"/>
      <c r="J141" s="693"/>
      <c r="K141" s="693"/>
      <c r="L141" s="693"/>
      <c r="M141" s="694"/>
      <c r="N141" s="695"/>
      <c r="O141" s="696" t="s">
        <v>1569</v>
      </c>
      <c r="P141" s="695">
        <f>'HPM costs'!F220+'HPM costs'!F566</f>
        <v>0</v>
      </c>
      <c r="Q141" s="695" t="s">
        <v>1569</v>
      </c>
      <c r="R141" s="695">
        <f>'HPM costs'!G220+'HPM costs'!G566</f>
        <v>0</v>
      </c>
      <c r="S141" s="695" t="s">
        <v>1569</v>
      </c>
      <c r="T141" s="695">
        <f>'HPM costs'!H220+'HPM costs'!H566</f>
        <v>0</v>
      </c>
      <c r="U141" s="695" t="s">
        <v>1569</v>
      </c>
      <c r="V141" s="695">
        <f>'HPM costs'!I220+'HPM costs'!I566</f>
        <v>0</v>
      </c>
      <c r="W141" s="695"/>
      <c r="X141" s="1492">
        <f t="shared" si="18"/>
        <v>0</v>
      </c>
      <c r="Y141" s="1493"/>
      <c r="Z141" s="1494"/>
      <c r="AA141" s="699"/>
      <c r="AB141" s="695"/>
      <c r="AC141" s="695">
        <f>'HPM costs'!K220+'HPM costs'!K566</f>
        <v>0</v>
      </c>
      <c r="AD141" s="695"/>
      <c r="AE141" s="695">
        <f>'HPM costs'!L220+'HPM costs'!L566</f>
        <v>0</v>
      </c>
      <c r="AF141" s="695"/>
      <c r="AG141" s="695">
        <f>'HPM costs'!M220+'HPM costs'!M566</f>
        <v>0</v>
      </c>
      <c r="AH141" s="695"/>
      <c r="AI141" s="695">
        <f>'HPM costs'!N220+'HPM costs'!N566</f>
        <v>0</v>
      </c>
      <c r="AJ141" s="695"/>
      <c r="AK141" s="1492">
        <f t="shared" si="19"/>
        <v>0</v>
      </c>
      <c r="AL141" s="1493"/>
      <c r="AM141" s="1494"/>
      <c r="AN141" s="699"/>
      <c r="AO141" s="695"/>
      <c r="AP141" s="695">
        <f>'HPM costs'!P220+'HPM costs'!P566</f>
        <v>0</v>
      </c>
      <c r="AQ141" s="695"/>
      <c r="AR141" s="695">
        <f>'HPM costs'!Q220+'HPM costs'!Q566</f>
        <v>0</v>
      </c>
      <c r="AS141" s="695"/>
      <c r="AT141" s="695">
        <f>'HPM costs'!R220+'HPM costs'!R566</f>
        <v>0</v>
      </c>
      <c r="AU141" s="695"/>
      <c r="AV141" s="695">
        <f>'HPM costs'!S220+'HPM costs'!S566</f>
        <v>0</v>
      </c>
      <c r="AW141" s="695"/>
      <c r="AX141" s="1492">
        <f t="shared" si="20"/>
        <v>0</v>
      </c>
      <c r="AY141" s="1492"/>
      <c r="AZ141" s="698"/>
      <c r="BA141" s="699"/>
      <c r="BB141" s="697"/>
      <c r="BC141" s="697">
        <v>0</v>
      </c>
      <c r="BD141" s="697">
        <v>0</v>
      </c>
      <c r="BE141" s="697">
        <v>0</v>
      </c>
      <c r="BF141" s="697">
        <v>0</v>
      </c>
      <c r="BG141" s="697">
        <v>0</v>
      </c>
      <c r="BH141" s="697">
        <v>0</v>
      </c>
      <c r="BI141" s="697">
        <v>0</v>
      </c>
      <c r="BJ141" s="697">
        <v>0</v>
      </c>
      <c r="BK141" s="1492">
        <f t="shared" si="21"/>
        <v>0</v>
      </c>
      <c r="BL141" s="1492"/>
      <c r="BM141" s="1492">
        <f t="shared" si="22"/>
        <v>0</v>
      </c>
      <c r="BN141" s="1492">
        <f t="shared" si="23"/>
        <v>0</v>
      </c>
      <c r="BO141" s="697"/>
      <c r="BP141" s="697"/>
      <c r="BQ141" s="1495">
        <v>0</v>
      </c>
      <c r="BR141" s="1495" t="s">
        <v>816</v>
      </c>
      <c r="BS141" s="1495" t="s">
        <v>655</v>
      </c>
      <c r="BT141" s="691" t="s">
        <v>1810</v>
      </c>
    </row>
    <row r="142" spans="1:72" s="681" customFormat="1" ht="13" hidden="1">
      <c r="A142" s="1545">
        <v>178</v>
      </c>
      <c r="B142" s="1546" t="s">
        <v>773</v>
      </c>
      <c r="C142" s="1546" t="s">
        <v>775</v>
      </c>
      <c r="D142" s="1547" t="s">
        <v>655</v>
      </c>
      <c r="E142" s="690" t="s">
        <v>666</v>
      </c>
      <c r="F142" s="691"/>
      <c r="G142" s="692"/>
      <c r="H142" s="692"/>
      <c r="I142" s="692"/>
      <c r="J142" s="693"/>
      <c r="K142" s="693"/>
      <c r="L142" s="693"/>
      <c r="M142" s="694"/>
      <c r="N142" s="695"/>
      <c r="O142" s="696" t="s">
        <v>1569</v>
      </c>
      <c r="P142" s="695">
        <f>'HPM costs'!F306</f>
        <v>0</v>
      </c>
      <c r="Q142" s="695" t="s">
        <v>1569</v>
      </c>
      <c r="R142" s="695">
        <f>'HPM costs'!G306</f>
        <v>0</v>
      </c>
      <c r="S142" s="695" t="s">
        <v>1569</v>
      </c>
      <c r="T142" s="695">
        <f>'HPM costs'!H306</f>
        <v>0</v>
      </c>
      <c r="U142" s="695" t="s">
        <v>1569</v>
      </c>
      <c r="V142" s="695">
        <f>'HPM costs'!I306</f>
        <v>0</v>
      </c>
      <c r="W142" s="695"/>
      <c r="X142" s="1492">
        <f t="shared" si="18"/>
        <v>0</v>
      </c>
      <c r="Y142" s="1493"/>
      <c r="Z142" s="1494"/>
      <c r="AA142" s="699"/>
      <c r="AB142" s="695"/>
      <c r="AC142" s="695">
        <f>'HPM costs'!K306</f>
        <v>0</v>
      </c>
      <c r="AD142" s="695"/>
      <c r="AE142" s="695">
        <f>'HPM costs'!L306</f>
        <v>0</v>
      </c>
      <c r="AF142" s="695"/>
      <c r="AG142" s="695">
        <f>'HPM costs'!M306</f>
        <v>0</v>
      </c>
      <c r="AH142" s="695"/>
      <c r="AI142" s="695">
        <f>'HPM costs'!N306</f>
        <v>0</v>
      </c>
      <c r="AJ142" s="695"/>
      <c r="AK142" s="1492">
        <f t="shared" si="19"/>
        <v>0</v>
      </c>
      <c r="AL142" s="1493"/>
      <c r="AM142" s="1494"/>
      <c r="AN142" s="699"/>
      <c r="AO142" s="695"/>
      <c r="AP142" s="695">
        <f>'HPM costs'!P306</f>
        <v>0</v>
      </c>
      <c r="AQ142" s="695"/>
      <c r="AR142" s="695">
        <f>'HPM costs'!Q306</f>
        <v>0</v>
      </c>
      <c r="AS142" s="695"/>
      <c r="AT142" s="695">
        <f>'HPM costs'!R306</f>
        <v>0</v>
      </c>
      <c r="AU142" s="695"/>
      <c r="AV142" s="695">
        <f>'HPM costs'!S306</f>
        <v>0</v>
      </c>
      <c r="AW142" s="695"/>
      <c r="AX142" s="1492">
        <f t="shared" si="20"/>
        <v>0</v>
      </c>
      <c r="AY142" s="1492"/>
      <c r="AZ142" s="698"/>
      <c r="BA142" s="699"/>
      <c r="BB142" s="697"/>
      <c r="BC142" s="697">
        <v>0</v>
      </c>
      <c r="BD142" s="697">
        <v>0</v>
      </c>
      <c r="BE142" s="697">
        <v>0</v>
      </c>
      <c r="BF142" s="697">
        <v>0</v>
      </c>
      <c r="BG142" s="697">
        <v>0</v>
      </c>
      <c r="BH142" s="697">
        <v>0</v>
      </c>
      <c r="BI142" s="697">
        <v>0</v>
      </c>
      <c r="BJ142" s="697">
        <v>0</v>
      </c>
      <c r="BK142" s="1492">
        <f t="shared" si="21"/>
        <v>0</v>
      </c>
      <c r="BL142" s="1492"/>
      <c r="BM142" s="1492">
        <f t="shared" si="22"/>
        <v>0</v>
      </c>
      <c r="BN142" s="1492">
        <f t="shared" si="23"/>
        <v>0</v>
      </c>
      <c r="BO142" s="697"/>
      <c r="BP142" s="697"/>
      <c r="BQ142" s="1495">
        <v>0</v>
      </c>
      <c r="BR142" s="1495" t="s">
        <v>816</v>
      </c>
      <c r="BS142" s="1495" t="s">
        <v>655</v>
      </c>
      <c r="BT142" s="691" t="s">
        <v>1811</v>
      </c>
    </row>
    <row r="143" spans="1:72" s="681" customFormat="1" ht="13" hidden="1">
      <c r="A143" s="1545">
        <v>179</v>
      </c>
      <c r="B143" s="1546" t="s">
        <v>773</v>
      </c>
      <c r="C143" s="1546" t="s">
        <v>775</v>
      </c>
      <c r="D143" s="1547" t="s">
        <v>655</v>
      </c>
      <c r="E143" s="690" t="s">
        <v>668</v>
      </c>
      <c r="F143" s="691"/>
      <c r="G143" s="692"/>
      <c r="H143" s="692"/>
      <c r="I143" s="692"/>
      <c r="J143" s="693"/>
      <c r="K143" s="693"/>
      <c r="L143" s="693"/>
      <c r="M143" s="694"/>
      <c r="N143" s="695"/>
      <c r="O143" s="696" t="s">
        <v>1569</v>
      </c>
      <c r="P143" s="695">
        <f>'HPM costs'!F651</f>
        <v>0</v>
      </c>
      <c r="Q143" s="695" t="s">
        <v>1569</v>
      </c>
      <c r="R143" s="695">
        <f>'HPM costs'!G651</f>
        <v>0</v>
      </c>
      <c r="S143" s="695" t="s">
        <v>1569</v>
      </c>
      <c r="T143" s="695">
        <f>'HPM costs'!H651</f>
        <v>0</v>
      </c>
      <c r="U143" s="695" t="s">
        <v>1569</v>
      </c>
      <c r="V143" s="695">
        <f>'HPM costs'!I651</f>
        <v>0</v>
      </c>
      <c r="W143" s="695"/>
      <c r="X143" s="1492">
        <f t="shared" si="18"/>
        <v>0</v>
      </c>
      <c r="Y143" s="1493"/>
      <c r="Z143" s="1494"/>
      <c r="AA143" s="699"/>
      <c r="AB143" s="695"/>
      <c r="AC143" s="695">
        <f>'HPM costs'!K651</f>
        <v>0</v>
      </c>
      <c r="AD143" s="695"/>
      <c r="AE143" s="695">
        <f>'HPM costs'!L651</f>
        <v>0</v>
      </c>
      <c r="AF143" s="695"/>
      <c r="AG143" s="695">
        <f>'HPM costs'!M651</f>
        <v>0</v>
      </c>
      <c r="AH143" s="695"/>
      <c r="AI143" s="695">
        <f>'HPM costs'!N651</f>
        <v>0</v>
      </c>
      <c r="AJ143" s="695"/>
      <c r="AK143" s="1492">
        <f t="shared" si="19"/>
        <v>0</v>
      </c>
      <c r="AL143" s="1493"/>
      <c r="AM143" s="1494"/>
      <c r="AN143" s="699"/>
      <c r="AO143" s="695"/>
      <c r="AP143" s="695">
        <f>'HPM costs'!P651</f>
        <v>0</v>
      </c>
      <c r="AQ143" s="695"/>
      <c r="AR143" s="695">
        <f>'HPM costs'!Q651</f>
        <v>0</v>
      </c>
      <c r="AS143" s="695"/>
      <c r="AT143" s="695">
        <f>'HPM costs'!R651</f>
        <v>0</v>
      </c>
      <c r="AU143" s="695"/>
      <c r="AV143" s="695">
        <f>'HPM costs'!S651</f>
        <v>0</v>
      </c>
      <c r="AW143" s="695"/>
      <c r="AX143" s="1492">
        <f t="shared" si="20"/>
        <v>0</v>
      </c>
      <c r="AY143" s="1492"/>
      <c r="AZ143" s="698"/>
      <c r="BA143" s="699"/>
      <c r="BB143" s="697"/>
      <c r="BC143" s="697">
        <v>0</v>
      </c>
      <c r="BD143" s="697">
        <v>0</v>
      </c>
      <c r="BE143" s="697">
        <v>0</v>
      </c>
      <c r="BF143" s="697">
        <v>0</v>
      </c>
      <c r="BG143" s="697">
        <v>0</v>
      </c>
      <c r="BH143" s="697">
        <v>0</v>
      </c>
      <c r="BI143" s="697">
        <v>0</v>
      </c>
      <c r="BJ143" s="697">
        <v>0</v>
      </c>
      <c r="BK143" s="1492">
        <f t="shared" si="21"/>
        <v>0</v>
      </c>
      <c r="BL143" s="1492"/>
      <c r="BM143" s="1492">
        <f t="shared" si="22"/>
        <v>0</v>
      </c>
      <c r="BN143" s="1492">
        <f t="shared" si="23"/>
        <v>0</v>
      </c>
      <c r="BO143" s="697"/>
      <c r="BP143" s="697"/>
      <c r="BQ143" s="1495">
        <v>0</v>
      </c>
      <c r="BR143" s="1495" t="s">
        <v>816</v>
      </c>
      <c r="BS143" s="1495" t="s">
        <v>655</v>
      </c>
      <c r="BT143" s="691" t="s">
        <v>1812</v>
      </c>
    </row>
    <row r="144" spans="1:72" s="1572" customFormat="1" ht="13" hidden="1">
      <c r="A144" s="1563">
        <v>180</v>
      </c>
      <c r="B144" s="1564" t="s">
        <v>773</v>
      </c>
      <c r="C144" s="1564" t="s">
        <v>780</v>
      </c>
      <c r="D144" s="1565" t="s">
        <v>6951</v>
      </c>
      <c r="E144" s="1566" t="s">
        <v>777</v>
      </c>
      <c r="F144" s="1567"/>
      <c r="G144" s="1531"/>
      <c r="H144" s="1531"/>
      <c r="I144" s="1531"/>
      <c r="J144" s="1415"/>
      <c r="K144" s="1415"/>
      <c r="L144" s="1415"/>
      <c r="M144" s="1532"/>
      <c r="N144" s="1533"/>
      <c r="O144" s="1534" t="s">
        <v>1569</v>
      </c>
      <c r="P144" s="1568">
        <f>IF(SETUP!$F$36="Upfront",SUM('Extended Budget Sheet - TB'!K98:K105),0)</f>
        <v>0</v>
      </c>
      <c r="Q144" s="1533" t="s">
        <v>1569</v>
      </c>
      <c r="R144" s="1568">
        <f>IF(SETUP!$F$36="Upfront",SUM('Extended Budget Sheet - TB'!O98:O155),IF(SETUP!$F$36="At delivery",IF(SETUP!$G$36=1,SUM('Extended Budget Sheet - TB'!K98:K115),0),0))</f>
        <v>0</v>
      </c>
      <c r="S144" s="1533" t="s">
        <v>1569</v>
      </c>
      <c r="T144" s="1568">
        <f>IF(SETUP!$F$36="Upfront",SUM('Extended Budget Sheet - TB'!S98:S155),IF(SETUP!$F$36="At delivery", IF(SETUP!$G$36=2,SUM('Extended Budget Sheet - TB'!K98:K155),IF(SETUP!$G$36=1,SUM('Extended Budget Sheet - TB'!O98:O155),0)),0))</f>
        <v>0</v>
      </c>
      <c r="U144" s="1533" t="s">
        <v>1569</v>
      </c>
      <c r="V144" s="1568">
        <f>IF(SETUP!$F$36="Upfront",SUM('Extended Budget Sheet - TB'!W98:W155),IF(SETUP!$F$36="At delivery", IF(SETUP!$G$36=3,SUM('Extended Budget Sheet - TB'!K98:K155),IF(SETUP!$G$36=2,SUM('Extended Budget Sheet - TB'!O98:O155),IF(SETUP!$G$36=1,SUM('Extended Budget Sheet - TB'!S98:S155),0))),0))</f>
        <v>0</v>
      </c>
      <c r="W144" s="1533"/>
      <c r="X144" s="1544">
        <f t="shared" si="18"/>
        <v>0</v>
      </c>
      <c r="Y144" s="1536"/>
      <c r="Z144" s="1537"/>
      <c r="AA144" s="1416"/>
      <c r="AB144" s="1533"/>
      <c r="AC144" s="1568">
        <f>IF(SETUP!$F$36="Upfront",SUM('Extended Budget Sheet - TB'!AC98:AC155),IF(SETUP!$F$36="At delivery", IF(SETUP!$G$36=4,SUM('Extended Budget Sheet - TB'!K98:K155),IF(SETUP!$G$36=3,SUM('Extended Budget Sheet - TB'!O98:O155),IF(SETUP!$G$36=2,SUM('Extended Budget Sheet - TB'!S98:S155),IF(SETUP!$G$36=1,SUM('Extended Budget Sheet - TB'!W98:W155),0)))),0))</f>
        <v>0</v>
      </c>
      <c r="AD144" s="1533"/>
      <c r="AE144" s="1568">
        <f>IF(SETUP!$F$36="Upfront",SUM('Extended Budget Sheet - TB'!AG98:AG115),IF(SETUP!$F$36="At delivery", IF(SETUP!$G$36=4,SUM('Extended Budget Sheet - TB'!O98:O115),IF(SETUP!$G$36=3,SUM('Extended Budget Sheet - TB'!S98:S115),IF(SETUP!$G$36=2,SUM('Extended Budget Sheet - TB'!W98:W115),IF(SETUP!$G$36=1,SUM('Extended Budget Sheet - TB'!AC98:AC115),0)))),0))</f>
        <v>0</v>
      </c>
      <c r="AF144" s="1533"/>
      <c r="AG144" s="1568">
        <f>IF(SETUP!$F$36="Upfront",SUM('Extended Budget Sheet - TB'!AK98:AK115),IF(SETUP!$F$36="At delivery", IF(SETUP!$G$36=4,SUM('Extended Budget Sheet - TB'!S98:S115),IF(SETUP!$G$36=3,SUM('Extended Budget Sheet - TB'!W98:W115),IF(SETUP!$G$36=2,SUM('Extended Budget Sheet - TB'!AC98:AC115),IF(SETUP!$G$36=1,SUM('Extended Budget Sheet - TB'!AG98:AG115),0)))),0))</f>
        <v>0</v>
      </c>
      <c r="AH144" s="1533"/>
      <c r="AI144" s="1568">
        <f>IF(SETUP!$F$36="Upfront",SUM('Extended Budget Sheet - TB'!AO98:AO115),IF(SETUP!$F$36="At delivery", IF(SETUP!$G$36=4,SUM('Extended Budget Sheet - TB'!W98:W115),IF(SETUP!$G$36=3,SUM('Extended Budget Sheet - TB'!AC98:AC115),IF(SETUP!$G$36=2,SUM('Extended Budget Sheet - TB'!AG98:AG115),IF(SETUP!$G$36=1,SUM('Extended Budget Sheet - TB'!AK98:AK115),0)))),0))</f>
        <v>0</v>
      </c>
      <c r="AJ144" s="1533"/>
      <c r="AK144" s="1544">
        <f t="shared" si="19"/>
        <v>0</v>
      </c>
      <c r="AL144" s="1536"/>
      <c r="AM144" s="1537"/>
      <c r="AN144" s="1416"/>
      <c r="AO144" s="1533"/>
      <c r="AP144" s="1568">
        <f>IF(SETUP!$F$36="Upfront",SUM('Extended Budget Sheet - TB'!AU98:AU115),IF(SETUP!$F$36="At delivery", IF(SETUP!$G$36=4,SUM('Extended Budget Sheet - TB'!AC98:AC115),IF(SETUP!$G$36=3,SUM('Extended Budget Sheet - TB'!AG98:AG115),IF(SETUP!$G$36=2,SUM('Extended Budget Sheet - TB'!AK98:AK115),IF(SETUP!$G$36=1,SUM('Extended Budget Sheet - TB'!AO98:AO115),0)))),0))</f>
        <v>0</v>
      </c>
      <c r="AQ144" s="1533"/>
      <c r="AR144" s="1568">
        <f>IF(SETUP!$F$36="Upfront",SUM('Extended Budget Sheet - TB'!AY98:AY115),IF(SETUP!$F$36="At delivery", IF(SETUP!$G$36=4,SUM('Extended Budget Sheet - TB'!AG98:AG115),IF(SETUP!$G$36=3,SUM('Extended Budget Sheet - TB'!AK98:AK115),IF(SETUP!$G$36=2,SUM('Extended Budget Sheet - TB'!AO98:AO115),IF(SETUP!$G$36=1,SUM('Extended Budget Sheet - TB'!AU98:AU115),0)))),0))</f>
        <v>0</v>
      </c>
      <c r="AS144" s="1533"/>
      <c r="AT144" s="1568">
        <f>IF(SETUP!$F$36="Upfront",SUM('Extended Budget Sheet - TB'!BC98:BC115),IF(SETUP!$F$36="At delivery", IF(SETUP!$G$36=4,SUM('Extended Budget Sheet - TB'!AK98:AK115),IF(SETUP!$G$36=3,SUM('Extended Budget Sheet - TB'!AO98:AO115),IF(SETUP!$G$36=2,SUM('Extended Budget Sheet - TB'!AU98:AU115),IF(SETUP!$G$36=1,SUM('Extended Budget Sheet - TB'!AY98:AY115),0)))),0))</f>
        <v>0</v>
      </c>
      <c r="AU144" s="1533"/>
      <c r="AV144" s="1568">
        <f>IF(SETUP!$F$36="Upfront",SUM('Extended Budget Sheet - TB'!BG98:BG115),IF(SETUP!$F$36="At delivery", IF(SETUP!$G$36=4,SUM(SUM('Extended Budget Sheet - TB'!AO98:AO115),SUM('Extended Budget Sheet - TB'!AU98:AU115),SUM('Extended Budget Sheet - TB'!AY98:AY115),SUM('Extended Budget Sheet - TB'!BC98:BC115),SUM('Extended Budget Sheet - TB'!BG98:BG115)),IF(SETUP!$G$36=3,SUM(SUM('Extended Budget Sheet - TB'!AU98:AU115),SUM('Extended Budget Sheet - TB'!AY98:AY115),SUM('Extended Budget Sheet - TB'!BC98:BC115),SUM('Extended Budget Sheet - TB'!BG98:BG115)),IF(SETUP!$G$36=2,SUM(SUM('Extended Budget Sheet - TB'!AY98:AY115),SUM('Extended Budget Sheet - TB'!BC98:BC115),SUM('Extended Budget Sheet - TB'!BG98:BG115)),IF(SETUP!$G$36=1,SUM(SUM('Extended Budget Sheet - TB'!BC98:BC115),SUM('Extended Budget Sheet - TB'!BG98:BG115)),0)))),0))</f>
        <v>0</v>
      </c>
      <c r="AW144" s="1533"/>
      <c r="AX144" s="1544">
        <f t="shared" si="20"/>
        <v>0</v>
      </c>
      <c r="AY144" s="1544"/>
      <c r="AZ144" s="1569"/>
      <c r="BA144" s="1416"/>
      <c r="BB144" s="1538"/>
      <c r="BC144" s="1570">
        <v>0</v>
      </c>
      <c r="BD144" s="1538">
        <v>0</v>
      </c>
      <c r="BE144" s="1570">
        <v>0</v>
      </c>
      <c r="BF144" s="1538">
        <v>0</v>
      </c>
      <c r="BG144" s="1570">
        <v>0</v>
      </c>
      <c r="BH144" s="1538">
        <v>0</v>
      </c>
      <c r="BI144" s="1570">
        <v>0</v>
      </c>
      <c r="BJ144" s="1570">
        <v>0</v>
      </c>
      <c r="BK144" s="1544">
        <f t="shared" si="21"/>
        <v>0</v>
      </c>
      <c r="BL144" s="1544"/>
      <c r="BM144" s="1535">
        <f t="shared" si="22"/>
        <v>0</v>
      </c>
      <c r="BN144" s="1544">
        <f t="shared" si="23"/>
        <v>0</v>
      </c>
      <c r="BO144" s="1570"/>
      <c r="BP144" s="1570"/>
      <c r="BQ144" s="1571">
        <v>0</v>
      </c>
      <c r="BR144" s="1571" t="s">
        <v>816</v>
      </c>
      <c r="BS144" s="1571" t="s">
        <v>6951</v>
      </c>
      <c r="BT144" s="1567" t="s">
        <v>1813</v>
      </c>
    </row>
    <row r="145" spans="1:72" s="681" customFormat="1" ht="13" hidden="1">
      <c r="A145" s="1545">
        <v>354</v>
      </c>
      <c r="B145" s="1546" t="s">
        <v>785</v>
      </c>
      <c r="C145" s="1546" t="s">
        <v>786</v>
      </c>
      <c r="D145" s="1547" t="s">
        <v>6946</v>
      </c>
      <c r="E145" s="690" t="s">
        <v>2355</v>
      </c>
      <c r="F145" s="691"/>
      <c r="G145" s="692"/>
      <c r="H145" s="692"/>
      <c r="I145" s="692"/>
      <c r="J145" s="693"/>
      <c r="K145" s="693"/>
      <c r="L145" s="693"/>
      <c r="M145" s="694"/>
      <c r="N145" s="695"/>
      <c r="O145" s="696" t="s">
        <v>1569</v>
      </c>
      <c r="P145" s="695">
        <f>IF(SETUP!$F$40="Upfront",'TB-Key Info'!$L$16*SUM('Extended Budget Sheet - TB'!K208:K211),0)</f>
        <v>0</v>
      </c>
      <c r="Q145" s="695" t="s">
        <v>1569</v>
      </c>
      <c r="R145" s="695">
        <f>IF(SETUP!$F$40="Upfront",'TB-Key Info'!$L$16*SUM('Extended Budget Sheet - TB'!O208:O211),IF(SETUP!$F$40="At delivery", IF(SETUP!$G$40=1,'TB-Key Info'!$L$16*SUM('Extended Budget Sheet - TB'!K208:K211),0),0))</f>
        <v>0</v>
      </c>
      <c r="S145" s="695" t="s">
        <v>1569</v>
      </c>
      <c r="T145" s="695">
        <f>IF(SETUP!$F$40="Upfront",'TB-Key Info'!$L$16*SUM('Extended Budget Sheet - TB'!S208:S211),IF(SETUP!$F$40="At delivery", IF(SETUP!$G$40=2,'TB-Key Info'!$L$16*SUM('Extended Budget Sheet - TB'!K208:K211),IF(SETUP!$G$40=1,'TB-Key Info'!$L$16*SUM('Extended Budget Sheet - TB'!O208:O211),0)),0))</f>
        <v>0</v>
      </c>
      <c r="U145" s="695" t="s">
        <v>1569</v>
      </c>
      <c r="V145" s="695">
        <f>IF(SETUP!$F$40="Upfront",'TB-Key Info'!$L$16*SUM('Extended Budget Sheet - TB'!W208:W211),IF(SETUP!$F$40="At delivery", IF(SETUP!$G$40=3,'TB-Key Info'!$L$16*SUM('Extended Budget Sheet - TB'!K208:K211),IF(SETUP!$G$40=2,'TB-Key Info'!$L$16*SUM('Extended Budget Sheet - TB'!O208:O211),IF(SETUP!$G$40=1,'TB-Key Info'!$L$16*SUM('Extended Budget Sheet - TB'!S208:S211),0))),0))</f>
        <v>0</v>
      </c>
      <c r="W145" s="695"/>
      <c r="X145" s="1492">
        <f t="shared" si="18"/>
        <v>0</v>
      </c>
      <c r="Y145" s="1493"/>
      <c r="Z145" s="1494"/>
      <c r="AA145" s="699"/>
      <c r="AB145" s="695"/>
      <c r="AC145" s="695">
        <f>IF(SETUP!$F$40="Upfront",'TB-Key Info'!$L$16*SUM('Extended Budget Sheet - TB'!AC208:AC211),IF(SETUP!$F$40="At delivery", IF(SETUP!$G$40=4,'TB-Key Info'!$L$16*SUM('Extended Budget Sheet - TB'!K208:K211),IF(SETUP!$G$40=3,'TB-Key Info'!$L$16*SUM('Extended Budget Sheet - TB'!O208:O211),IF(SETUP!$G$40=2,'TB-Key Info'!$L$16*SUM('Extended Budget Sheet - TB'!S208:S211),IF(SETUP!$G$40=1,'TB-Key Info'!$L$16*SUM('Extended Budget Sheet - TB'!W208:W211),0)))),0))</f>
        <v>0</v>
      </c>
      <c r="AD145" s="695"/>
      <c r="AE145" s="695">
        <f>IF(SETUP!$F$40="Upfront",'TB-Key Info'!$L$16*SUM('Extended Budget Sheet - TB'!AG208:AG211),IF(SETUP!$F$40="At delivery", IF(SETUP!$G$40=4,'TB-Key Info'!$L$16*SUM('Extended Budget Sheet - TB'!O208:O211),IF(SETUP!$G$40=3,'TB-Key Info'!$L$16*SUM('Extended Budget Sheet - TB'!S208:S211),IF(SETUP!$G$40=2,'TB-Key Info'!$L$16*SUM('Extended Budget Sheet - TB'!W208:W211),IF(SETUP!$G$40=1,'TB-Key Info'!$L$16*SUM('Extended Budget Sheet - TB'!AC208:AC211),0)))),0))</f>
        <v>0</v>
      </c>
      <c r="AF145" s="695"/>
      <c r="AG145" s="695">
        <f>IF(SETUP!$F$40="Upfront",'TB-Key Info'!$L$16*SUM('Extended Budget Sheet - TB'!AK208:AK211),IF(SETUP!$F$40="At delivery", IF(SETUP!$G$40=4,'TB-Key Info'!$L$16*SUM('Extended Budget Sheet - TB'!S208:S211),IF(SETUP!$G$40=3,'TB-Key Info'!$L$16*SUM('Extended Budget Sheet - TB'!W208:W211),IF(SETUP!$G$40=2,'TB-Key Info'!$L$16*SUM('Extended Budget Sheet - TB'!AC208:AC211),IF(SETUP!$G$40=1,'TB-Key Info'!$L$16*SUM('Extended Budget Sheet - TB'!AG208:AG211),0)))),0))</f>
        <v>0</v>
      </c>
      <c r="AH145" s="695"/>
      <c r="AI145" s="695">
        <f>IF(SETUP!$F$40="Upfront",'TB-Key Info'!$L$16*SUM('Extended Budget Sheet - TB'!AO208:AO211),IF(SETUP!$F$40="At delivery", IF(SETUP!$G$40=4,'TB-Key Info'!$L$16*SUM('Extended Budget Sheet - TB'!W208:W211),IF(SETUP!$G$40=3,'TB-Key Info'!$L$16*SUM('Extended Budget Sheet - TB'!AC208:AC211),IF(SETUP!$G$40=2,'TB-Key Info'!$L$16*SUM('Extended Budget Sheet - TB'!AG208:AG211),IF(SETUP!$G$40=1,'TB-Key Info'!$L$16*SUM('Extended Budget Sheet - TB'!AK208:AK211),0)))),0))</f>
        <v>0</v>
      </c>
      <c r="AJ145" s="695"/>
      <c r="AK145" s="1492">
        <f t="shared" si="19"/>
        <v>0</v>
      </c>
      <c r="AL145" s="1493"/>
      <c r="AM145" s="1494"/>
      <c r="AN145" s="699"/>
      <c r="AO145" s="695"/>
      <c r="AP145" s="695">
        <f>IF(SETUP!$F$40="Upfront",'TB-Key Info'!$L$16*SUM('Extended Budget Sheet - TB'!AU208:AU211),IF(SETUP!$F$40="At delivery", IF(SETUP!$G$40=4,'TB-Key Info'!$L$16*SUM('Extended Budget Sheet - TB'!AC208:AC211),IF(SETUP!$G$40=3,'TB-Key Info'!$L$16*SUM('Extended Budget Sheet - TB'!AG208:AG211),IF(SETUP!$G$40=2,'TB-Key Info'!$L$16*SUM('Extended Budget Sheet - TB'!AK208:AK211),IF(SETUP!$G$40=1,'TB-Key Info'!$L$16*SUM('Extended Budget Sheet - TB'!AO208:AO211),0)))),0))</f>
        <v>0</v>
      </c>
      <c r="AQ145" s="695"/>
      <c r="AR145" s="695">
        <f>IF(SETUP!$F$40="Upfront",'TB-Key Info'!$L$16*SUM('Extended Budget Sheet - TB'!AY208:AY211),IF(SETUP!$F$40="At delivery", IF(SETUP!$G$40=4,'TB-Key Info'!$L$16*SUM('Extended Budget Sheet - TB'!AG208:AG211),IF(SETUP!$G$40=3,'TB-Key Info'!$L$16*SUM('Extended Budget Sheet - TB'!AK208:AK211),IF(SETUP!$G$40=2,'TB-Key Info'!$L$16*SUM('Extended Budget Sheet - TB'!AO208:AO211),IF(SETUP!$G$40=1,'TB-Key Info'!$L$16*SUM('Extended Budget Sheet - TB'!AU208:AU211),0)))),0))</f>
        <v>0</v>
      </c>
      <c r="AS145" s="695"/>
      <c r="AT145" s="695">
        <f>IF(SETUP!$F$40="Upfront",'TB-Key Info'!$L$16*SUM('Extended Budget Sheet - TB'!BC208:BC211),IF(SETUP!$F$40="At delivery", IF(SETUP!$G$40=4,'TB-Key Info'!$L$16*SUM('Extended Budget Sheet - TB'!AK208:AK211),IF(SETUP!$G$40=3,'TB-Key Info'!$L$16*SUM('Extended Budget Sheet - TB'!AO208:AO211),IF(SETUP!$G$40=2,'TB-Key Info'!$L$16*SUM('Extended Budget Sheet - TB'!AU208:AU211),IF(SETUP!$G$40=1,'TB-Key Info'!$L$16*SUM('Extended Budget Sheet - TB'!AY208:AY211),0)))),0))</f>
        <v>0</v>
      </c>
      <c r="AU145" s="695"/>
      <c r="AV145" s="695">
        <f>IF(SETUP!$F$40="Upfront",'TB-Key Info'!$L$16*SUM('Extended Budget Sheet - TB'!BG208:BG211),IF(SETUP!$F$40="At delivery", IF(SETUP!$G$40=4,'TB-Key Info'!$L$16*SUM(SUM('Extended Budget Sheet - TB'!AO208:AO211),SUM('Extended Budget Sheet - TB'!AU208:AU211),SUM('Extended Budget Sheet - TB'!AY208:AY211),SUM('Extended Budget Sheet - TB'!BC208:BC211),SUM('Extended Budget Sheet - TB'!BG208:BG211)),IF(SETUP!$G$40=3,'TB-Key Info'!$L$16*SUM(SUM('Extended Budget Sheet - TB'!AU208:AU211),SUM('Extended Budget Sheet - TB'!AY208:AY211),SUM('Extended Budget Sheet - TB'!BC208:BC211),SUM('Extended Budget Sheet - TB'!BG208:BG211)),IF(SETUP!$G$40=2,'TB-Key Info'!$L$16*SUM(SUM('Extended Budget Sheet - TB'!AY208:AY211),SUM('Extended Budget Sheet - TB'!BC208:BC211),SUM('Extended Budget Sheet - TB'!BG208:BG211)),IF(SETUP!$G$40=1,'TB-Key Info'!$L$16*SUM(SUM('Extended Budget Sheet - TB'!BC208:BC211),SUM('Extended Budget Sheet - TB'!BG208:BG211)),0)))),0))</f>
        <v>0</v>
      </c>
      <c r="AW145" s="695"/>
      <c r="AX145" s="1492">
        <f t="shared" si="20"/>
        <v>0</v>
      </c>
      <c r="AY145" s="1492"/>
      <c r="AZ145" s="698"/>
      <c r="BA145" s="699"/>
      <c r="BB145" s="697"/>
      <c r="BC145" s="697">
        <v>0</v>
      </c>
      <c r="BD145" s="697">
        <v>0</v>
      </c>
      <c r="BE145" s="697">
        <v>0</v>
      </c>
      <c r="BF145" s="697">
        <v>0</v>
      </c>
      <c r="BG145" s="697">
        <v>0</v>
      </c>
      <c r="BH145" s="697">
        <v>0</v>
      </c>
      <c r="BI145" s="697">
        <v>0</v>
      </c>
      <c r="BJ145" s="697">
        <v>0</v>
      </c>
      <c r="BK145" s="1492">
        <f t="shared" si="21"/>
        <v>0</v>
      </c>
      <c r="BL145" s="1492"/>
      <c r="BM145" s="1492">
        <f t="shared" si="22"/>
        <v>0</v>
      </c>
      <c r="BN145" s="1492">
        <f t="shared" si="23"/>
        <v>0</v>
      </c>
      <c r="BO145" s="697"/>
      <c r="BP145" s="697"/>
      <c r="BQ145" s="1495">
        <v>0</v>
      </c>
      <c r="BR145" s="1495" t="s">
        <v>816</v>
      </c>
      <c r="BS145" s="1495" t="s">
        <v>6946</v>
      </c>
      <c r="BT145" s="691" t="s">
        <v>1848</v>
      </c>
    </row>
    <row r="146" spans="1:72" s="681" customFormat="1" ht="13" hidden="1">
      <c r="A146" s="1545">
        <v>355</v>
      </c>
      <c r="B146" s="1546" t="s">
        <v>785</v>
      </c>
      <c r="C146" s="1546" t="s">
        <v>786</v>
      </c>
      <c r="D146" s="1547" t="s">
        <v>6948</v>
      </c>
      <c r="E146" s="690" t="s">
        <v>731</v>
      </c>
      <c r="F146" s="691"/>
      <c r="G146" s="692"/>
      <c r="H146" s="692"/>
      <c r="I146" s="692"/>
      <c r="J146" s="693"/>
      <c r="K146" s="693"/>
      <c r="L146" s="693"/>
      <c r="M146" s="694"/>
      <c r="N146" s="695"/>
      <c r="O146" s="696" t="s">
        <v>1569</v>
      </c>
      <c r="P146" s="695">
        <f>IF(SETUP!$F$41="Upfront",'TB-Key Info'!$L$16*SUM(SUM('Extended Budget Sheet - TB'!K215:K222),SUM('Extended Budget Sheet - TB'!K238:K240),SUM('Extended Budget Sheet - TB'!K356:K387)),0)</f>
        <v>0</v>
      </c>
      <c r="Q146" s="695"/>
      <c r="R146" s="695">
        <f>IF(SETUP!$F$41="Upfront",'TB-Key Info'!$L$16*SUM(SUM('Extended Budget Sheet - TB'!O215:O222),SUM('Extended Budget Sheet - TB'!O238:O240),SUM('Extended Budget Sheet - TB'!O356:O387)),IF(SETUP!$F$41="At delivery", IF(SETUP!$G$41=1,'TB-Key Info'!$L$16*SUM(SUM('Extended Budget Sheet - TB'!K215:K222),SUM('Extended Budget Sheet - TB'!K238:K240),SUM('Extended Budget Sheet - TB'!K356:K387)),0),0))</f>
        <v>0</v>
      </c>
      <c r="S146" s="695"/>
      <c r="T146" s="695">
        <f>IF(SETUP!$F$41="Upfront",'TB-Key Info'!$L$16*SUM(SUM('Extended Budget Sheet - TB'!S215:S222),SUM('Extended Budget Sheet - TB'!S238:S240),SUM('Extended Budget Sheet - TB'!S356:S387)),IF(SETUP!$F$41="At delivery", IF(SETUP!$G$41=2,'TB-Key Info'!$L$16*SUM(SUM('Extended Budget Sheet - TB'!K215:K222),SUM('Extended Budget Sheet - TB'!K238:K240),SUM('Extended Budget Sheet - TB'!K356:K387)),IF(SETUP!$G$41=1,'TB-Key Info'!$L$16*SUM(SUM('Extended Budget Sheet - TB'!O215:O222),SUM('Extended Budget Sheet - TB'!O238:O240),SUM('Extended Budget Sheet - TB'!O356:O387)),0)),0))</f>
        <v>0</v>
      </c>
      <c r="U146" s="695"/>
      <c r="V146" s="695">
        <f>IF(SETUP!$F$41="Upfront",'TB-Key Info'!$L$16*SUM(SUM('Extended Budget Sheet - TB'!W215:W222),SUM('Extended Budget Sheet - TB'!W238:W240),SUM('Extended Budget Sheet - TB'!W356:W387)),IF(SETUP!$F$41="At delivery", IF(SETUP!$G$41=3,'TB-Key Info'!$L$16*SUM(SUM('Extended Budget Sheet - TB'!K215:K222),SUM('Extended Budget Sheet - TB'!K238:K240),SUM('Extended Budget Sheet - TB'!K356:K387)),IF(SETUP!$G$41=2,'TB-Key Info'!$L$16*SUM(SUM('Extended Budget Sheet - TB'!O215:O222),SUM('Extended Budget Sheet - TB'!O238:O240),SUM('Extended Budget Sheet - TB'!O356:O387)),IF(SETUP!$G$41=1,'TB-Key Info'!$L$16*SUM(SUM('Extended Budget Sheet - TB'!S215:S222),SUM('Extended Budget Sheet - TB'!S238:S240),SUM('Extended Budget Sheet - TB'!S356:S387)),0))),0))</f>
        <v>0</v>
      </c>
      <c r="W146" s="695"/>
      <c r="X146" s="1492">
        <f t="shared" si="18"/>
        <v>0</v>
      </c>
      <c r="Y146" s="1493"/>
      <c r="Z146" s="1494"/>
      <c r="AA146" s="699"/>
      <c r="AB146" s="695"/>
      <c r="AC146" s="695">
        <f>IF(SETUP!$F$41="Upfront",'TB-Key Info'!$L$16*SUM(SUM('Extended Budget Sheet - TB'!AC215:AC222),SUM('Extended Budget Sheet - TB'!AC238:AC240),SUM('Extended Budget Sheet - TB'!AC356:AC387)),IF(SETUP!$F$41="At delivery",IF(SETUP!$G$41=4,'TB-Key Info'!$L$16*SUM(SUM('Extended Budget Sheet - TB'!K215:K222),SUM('Extended Budget Sheet - TB'!K238:K240),SUM('Extended Budget Sheet - TB'!K356:K387)),IF(SETUP!$G$41=3,'TB-Key Info'!$L$16*SUM(SUM('Extended Budget Sheet - TB'!O215:O222),SUM('Extended Budget Sheet - TB'!O238:O240),SUM('Extended Budget Sheet - TB'!O356:O387)),IF(SETUP!$G$41=2,'TB-Key Info'!$L$16*SUM(SUM('Extended Budget Sheet - TB'!S215:S222),SUM('Extended Budget Sheet - TB'!S238:S240),SUM('Extended Budget Sheet - TB'!S356:S387)),IF(SETUP!$G$41=1,'TB-Key Info'!$L$16*SUM(SUM('Extended Budget Sheet - TB'!W215:W222),SUM('Extended Budget Sheet - TB'!W238:W240),SUM('Extended Budget Sheet - TB'!W356:W387)),0)))),0))</f>
        <v>0</v>
      </c>
      <c r="AD146" s="695"/>
      <c r="AE146" s="695">
        <f>IF(SETUP!$F$41="Upfront",'TB-Key Info'!$L$16*SUM(SUM('Extended Budget Sheet - TB'!AG215:AG222),SUM('Extended Budget Sheet - TB'!AG238:AG240),SUM('Extended Budget Sheet - TB'!AG356:AG387)),IF(SETUP!$F$41="At delivery", IF(SETUP!$G$41=4,'TB-Key Info'!$L$16*SUM(SUM('Extended Budget Sheet - TB'!O215:O222),SUM('Extended Budget Sheet - TB'!O238:O240),SUM('Extended Budget Sheet - TB'!O356:O387)),IF(SETUP!$G$41=3,'TB-Key Info'!$L$16*SUM(SUM('Extended Budget Sheet - TB'!S215:S222),SUM('Extended Budget Sheet - TB'!S238:S240),SUM('Extended Budget Sheet - TB'!S356:S387)),IF(SETUP!$G$41=2,'TB-Key Info'!$L$16*SUM(SUM('Extended Budget Sheet - TB'!W215:W222),SUM('Extended Budget Sheet - TB'!W238:W240),SUM('Extended Budget Sheet - TB'!W356:W387)),IF(SETUP!$G$41=1,'TB-Key Info'!$L$16*SUM(SUM('Extended Budget Sheet - TB'!AC215:AC222),SUM('Extended Budget Sheet - TB'!AC238:AC240),SUM('Extended Budget Sheet - TB'!AC356:AC387)),0)))),0))</f>
        <v>0</v>
      </c>
      <c r="AF146" s="695"/>
      <c r="AG146" s="695">
        <f>IF(SETUP!$F$41="Upfront",'TB-Key Info'!$L$16*SUM(SUM('Extended Budget Sheet - TB'!AK215:AK222),SUM('Extended Budget Sheet - TB'!AK238:AK240),SUM('Extended Budget Sheet - TB'!AK356:AK387)),IF(SETUP!$F$41="At delivery", IF(SETUP!$G$41=4,'TB-Key Info'!$L$16*SUM(SUM('Extended Budget Sheet - TB'!S215:S222),SUM('Extended Budget Sheet - TB'!S238:S240),SUM('Extended Budget Sheet - TB'!S356:S387)),IF(SETUP!$G$41=3,'TB-Key Info'!$L$16*SUM(SUM('Extended Budget Sheet - TB'!W215:W222),SUM('Extended Budget Sheet - TB'!W238:W240),SUM('Extended Budget Sheet - TB'!W356:W387)),IF(SETUP!$G$41=2,'TB-Key Info'!$L$16*SUM(SUM('Extended Budget Sheet - TB'!AC215:AC222),SUM('Extended Budget Sheet - TB'!AC238:AC240),SUM('Extended Budget Sheet - TB'!AC356:AC387)),IF(SETUP!$G$41=1,'TB-Key Info'!$L$16*SUM(SUM('Extended Budget Sheet - TB'!AG215:AG222),SUM('Extended Budget Sheet - TB'!AG238:AG240),SUM('Extended Budget Sheet - TB'!AG356:AG387)),0)))),0))</f>
        <v>0</v>
      </c>
      <c r="AH146" s="695"/>
      <c r="AI146" s="695">
        <f>IF(SETUP!$F$41="Upfront",'TB-Key Info'!$L$16*SUM(SUM('Extended Budget Sheet - TB'!AO215:AO222),SUM('Extended Budget Sheet - TB'!AO238:AO240),SUM('Extended Budget Sheet - TB'!AO356:AO387)),IF(SETUP!$F$41="At delivery", IF(SETUP!$G$41=4,'TB-Key Info'!$L$16*SUM(SUM('Extended Budget Sheet - TB'!W215:W222),SUM('Extended Budget Sheet - TB'!W238:W240),SUM('Extended Budget Sheet - TB'!W356:W387)),IF(SETUP!$G$41=3,'TB-Key Info'!$L$16*SUM(SUM('Extended Budget Sheet - TB'!AC215:AC222),SUM('Extended Budget Sheet - TB'!AC238:AC240),SUM('Extended Budget Sheet - TB'!AC356:AC387)),IF(SETUP!$G$41=2,'TB-Key Info'!$L$16*SUM(SUM('Extended Budget Sheet - TB'!AG215:AG222),SUM('Extended Budget Sheet - TB'!AG238:AG240),SUM('Extended Budget Sheet - TB'!AG356:AG387)),IF(SETUP!$G$41=1,'TB-Key Info'!$L$16*SUM(SUM('Extended Budget Sheet - TB'!AK215:AK222),SUM('Extended Budget Sheet - TB'!AK238:AK240),SUM('Extended Budget Sheet - TB'!AK356:AK387)),0)))),0))</f>
        <v>0</v>
      </c>
      <c r="AJ146" s="695"/>
      <c r="AK146" s="1492">
        <f t="shared" si="19"/>
        <v>0</v>
      </c>
      <c r="AL146" s="1493"/>
      <c r="AM146" s="1494"/>
      <c r="AN146" s="699"/>
      <c r="AO146" s="695"/>
      <c r="AP146" s="695">
        <f>IF(SETUP!$F$41="Upfront",'TB-Key Info'!$L$16*SUM(SUM('Extended Budget Sheet - TB'!AU215:AU222),SUM('Extended Budget Sheet - TB'!AU238:AU240),SUM('Extended Budget Sheet - TB'!AU356:AU387)),IF(SETUP!$F$41="At delivery", IF(SETUP!$G$41=4,'TB-Key Info'!$L$16*SUM(SUM('Extended Budget Sheet - TB'!AC215:AC222),SUM('Extended Budget Sheet - TB'!AC238:AC240),SUM('Extended Budget Sheet - TB'!AC356:AC387)),IF(SETUP!$G$41=3,'TB-Key Info'!$L$16*SUM(SUM('Extended Budget Sheet - TB'!AG215:AG222),SUM('Extended Budget Sheet - TB'!AG238:AG240),SUM('Extended Budget Sheet - TB'!AG356:AG387)),IF(SETUP!$G$41=2,'TB-Key Info'!$L$16*SUM(SUM('Extended Budget Sheet - TB'!AK215:AK222),SUM('Extended Budget Sheet - TB'!AK238:AK240),SUM('Extended Budget Sheet - TB'!AK356:AK387)),IF(SETUP!$G$41=1,'TB-Key Info'!$L$16*SUM(SUM('Extended Budget Sheet - TB'!AO215:AO222),SUM('Extended Budget Sheet - TB'!AO238:AO240),SUM('Extended Budget Sheet - TB'!AO356:AO387)),0)))),0))</f>
        <v>0</v>
      </c>
      <c r="AQ146" s="695"/>
      <c r="AR146" s="695">
        <f>IF(SETUP!$F$41="Upfront",'TB-Key Info'!$L$16*SUM(SUM('Extended Budget Sheet - TB'!AY215:AY222),SUM('Extended Budget Sheet - TB'!AY238:AY240),SUM('Extended Budget Sheet - TB'!AY356:AY387)),IF(SETUP!$F$41="At delivery", IF(SETUP!$G$41=4,'TB-Key Info'!$L$16*SUM(SUM('Extended Budget Sheet - TB'!AG215:AG222),SUM('Extended Budget Sheet - TB'!AG238:AG240),SUM('Extended Budget Sheet - TB'!AG356:AG387)),IF(SETUP!$G$41=3,'TB-Key Info'!$L$16*SUM(SUM('Extended Budget Sheet - TB'!AK215:AK222),SUM('Extended Budget Sheet - TB'!AK238:AK240),SUM('Extended Budget Sheet - TB'!AK356:AK387)),IF(SETUP!$G$41=2,'TB-Key Info'!$L$16*SUM(SUM('Extended Budget Sheet - TB'!AO215:AO222),SUM('Extended Budget Sheet - TB'!AO238:AO240),SUM('Extended Budget Sheet - TB'!AO356:AO387)),IF(SETUP!$G$41=1,'TB-Key Info'!$L$16*SUM(SUM('Extended Budget Sheet - TB'!AU215:AU222),SUM('Extended Budget Sheet - TB'!AU238:AU240),SUM('Extended Budget Sheet - TB'!AU356:AU387)),0)))),0))</f>
        <v>0</v>
      </c>
      <c r="AS146" s="695"/>
      <c r="AT146" s="695">
        <f>IF(SETUP!$F$41="Upfront",'TB-Key Info'!$L$16*SUM(SUM('Extended Budget Sheet - TB'!BC215:BC222),SUM('Extended Budget Sheet - TB'!BC238:BC240),SUM('Extended Budget Sheet - TB'!BC356:BC387)),IF(SETUP!$F$41="At delivery", IF(SETUP!$G$41=4,'TB-Key Info'!$L$16*SUM(SUM('Extended Budget Sheet - TB'!AK215:AK222),SUM('Extended Budget Sheet - TB'!AK238:AK240),SUM('Extended Budget Sheet - TB'!AK356:AK387)),IF(SETUP!$G$41=3,'TB-Key Info'!$L$16*SUM(SUM('Extended Budget Sheet - TB'!AO215:AO222),SUM('Extended Budget Sheet - TB'!AO238:AO240),SUM('Extended Budget Sheet - TB'!AO356:AO387)),IF(SETUP!$G$41=2,'TB-Key Info'!$L$16*SUM(SUM('Extended Budget Sheet - TB'!AU215:AU222),SUM('Extended Budget Sheet - TB'!AU238:AU240),SUM('Extended Budget Sheet - TB'!AU356:AU387)),IF(SETUP!$G$41=1,'TB-Key Info'!$L$16*SUM(SUM('Extended Budget Sheet - TB'!AY215:AY222),SUM('Extended Budget Sheet - TB'!AY238:AY240),SUM('Extended Budget Sheet - TB'!AY356:AY387)),0)))),0))</f>
        <v>0</v>
      </c>
      <c r="AU146" s="695"/>
      <c r="AV146" s="695">
        <f>IF(SETUP!$F$41="Upfront",'TB-Key Info'!$L$16*SUM(SUM('Extended Budget Sheet - TB'!BG215:BG222),SUM('Extended Budget Sheet - TB'!BG238:BG240),SUM('Extended Budget Sheet - TB'!BG356:BG387)),IF(SETUP!$F$41="At delivery", IF(SETUP!$G$41=4,'TB-Key Info'!$L$16*SUM(SUM('Extended Budget Sheet - TB'!AO215:AO222),SUM('Extended Budget Sheet - TB'!AO238:AO240),SUM('Extended Budget Sheet - TB'!AO356:AO387),SUM('Extended Budget Sheet - TB'!AU215:AU222),SUM('Extended Budget Sheet - TB'!AU238:AU240),SUM('Extended Budget Sheet - TB'!AU356:AU387),SUM('Extended Budget Sheet - TB'!AY215:AY222),SUM('Extended Budget Sheet - TB'!AY238:AY240),SUM('Extended Budget Sheet - TB'!AY356:AY387),SUM('Extended Budget Sheet - TB'!BC215:BC222),SUM('Extended Budget Sheet - TB'!BC238:BC240),SUM('Extended Budget Sheet - TB'!BC356:BC387),SUM('Extended Budget Sheet - TB'!BG215:BG222),SUM('Extended Budget Sheet - TB'!BG238:BG240),SUM('Extended Budget Sheet - TB'!BG356:BG387)),IF(SETUP!$G$41=3,'TB-Key Info'!$L$16*SUM(SUM('Extended Budget Sheet - TB'!AU215:AU222),SUM('Extended Budget Sheet - TB'!AU238:AU240),SUM('Extended Budget Sheet - TB'!AU356:AU387),SUM('Extended Budget Sheet - TB'!AY215:AY222),SUM('Extended Budget Sheet - TB'!AY238:AY240),SUM('Extended Budget Sheet - TB'!AY356:AY387),SUM('Extended Budget Sheet - TB'!BC215:BC222),SUM('Extended Budget Sheet - TB'!BC238:BC240),SUM('Extended Budget Sheet - TB'!BC356:BC387),SUM('Extended Budget Sheet - TB'!BG215:BG222),SUM('Extended Budget Sheet - TB'!BG238:BG240),SUM('Extended Budget Sheet - TB'!BG356:BG387)),IF(SETUP!$G$41=2,'TB-Key Info'!$L$16*SUM(SUM('Extended Budget Sheet - TB'!AY215:AY222),SUM('Extended Budget Sheet - TB'!AY238:AY240),SUM('Extended Budget Sheet - TB'!AY356:AY387),SUM('Extended Budget Sheet - TB'!BC215:BC222),SUM('Extended Budget Sheet - TB'!BC238:BC240),SUM('Extended Budget Sheet - TB'!BC356:BC387),SUM('Extended Budget Sheet - TB'!BG215:BG222),SUM('Extended Budget Sheet - TB'!BG238:BG240),SUM('Extended Budget Sheet - TB'!BG356:BG387)),IF(SETUP!$G$41=1,'TB-Key Info'!$L$16*SUM(SUM('Extended Budget Sheet - TB'!BC215:BC222),SUM('Extended Budget Sheet - TB'!BC238:BC240),SUM('Extended Budget Sheet - TB'!BC356:BC387),SUM('Extended Budget Sheet - TB'!BG215:BG222),SUM('Extended Budget Sheet - TB'!BG238:BG240),SUM('Extended Budget Sheet - TB'!BG356:BG387)),0)))),0))</f>
        <v>0</v>
      </c>
      <c r="AW146" s="695"/>
      <c r="AX146" s="1492">
        <f t="shared" si="20"/>
        <v>0</v>
      </c>
      <c r="AY146" s="1492"/>
      <c r="AZ146" s="698"/>
      <c r="BA146" s="699"/>
      <c r="BB146" s="697"/>
      <c r="BC146" s="697">
        <v>0</v>
      </c>
      <c r="BD146" s="697">
        <v>0</v>
      </c>
      <c r="BE146" s="697">
        <v>0</v>
      </c>
      <c r="BF146" s="697">
        <v>0</v>
      </c>
      <c r="BG146" s="697">
        <v>0</v>
      </c>
      <c r="BH146" s="697">
        <v>0</v>
      </c>
      <c r="BI146" s="697">
        <v>0</v>
      </c>
      <c r="BJ146" s="697">
        <v>0</v>
      </c>
      <c r="BK146" s="1492">
        <f t="shared" si="21"/>
        <v>0</v>
      </c>
      <c r="BL146" s="1492"/>
      <c r="BM146" s="1492">
        <f t="shared" si="22"/>
        <v>0</v>
      </c>
      <c r="BN146" s="1492">
        <f t="shared" si="23"/>
        <v>0</v>
      </c>
      <c r="BO146" s="697"/>
      <c r="BP146" s="697"/>
      <c r="BQ146" s="1495">
        <v>0</v>
      </c>
      <c r="BR146" s="1495" t="s">
        <v>816</v>
      </c>
      <c r="BS146" s="1495" t="s">
        <v>6948</v>
      </c>
      <c r="BT146" s="691" t="s">
        <v>1814</v>
      </c>
    </row>
    <row r="147" spans="1:72" s="681" customFormat="1" ht="13" hidden="1">
      <c r="A147" s="1545">
        <v>356</v>
      </c>
      <c r="B147" s="1546" t="s">
        <v>785</v>
      </c>
      <c r="C147" s="1546" t="s">
        <v>786</v>
      </c>
      <c r="D147" s="1547" t="s">
        <v>722</v>
      </c>
      <c r="E147" s="690" t="s">
        <v>723</v>
      </c>
      <c r="F147" s="691"/>
      <c r="G147" s="692"/>
      <c r="H147" s="692"/>
      <c r="I147" s="692"/>
      <c r="J147" s="693"/>
      <c r="K147" s="693"/>
      <c r="L147" s="693"/>
      <c r="M147" s="694"/>
      <c r="N147" s="695"/>
      <c r="O147" s="696" t="s">
        <v>1569</v>
      </c>
      <c r="P147" s="695">
        <f>IF(SETUP!$F$44="Upfront",'TB-Key Info'!$L$16*SUM(SUM('Extended Budget Sheet - TB'!K205:K207),SUM('Extended Budget Sheet - TB'!K241:K259),SUM('Extended Budget Sheet - TB'!K349:K355)),0)</f>
        <v>0</v>
      </c>
      <c r="Q147" s="695" t="s">
        <v>1569</v>
      </c>
      <c r="R147" s="695">
        <f>IF(SETUP!$F$44="Upfront",'TB-Key Info'!$L$16*SUM(SUM('Extended Budget Sheet - TB'!O205:O207),SUM('Extended Budget Sheet - TB'!O241:O259),SUM('Extended Budget Sheet - TB'!O349:O355)),IF(SETUP!$F$44="At delivery", IF(SETUP!$G$44=1,'TB-Key Info'!$L$16*SUM(SUM('Extended Budget Sheet - TB'!K205:K207),SUM('Extended Budget Sheet - TB'!K241:K259),SUM('Extended Budget Sheet - TB'!K349:K355)),0),0))</f>
        <v>0</v>
      </c>
      <c r="S147" s="695" t="s">
        <v>1569</v>
      </c>
      <c r="T147" s="695">
        <f>IF(SETUP!$F$44="Upfront",'TB-Key Info'!$L$16*SUM(SUM('Extended Budget Sheet - TB'!S205:S207),SUM('Extended Budget Sheet - TB'!S241:S259),SUM('Extended Budget Sheet - TB'!S349:S355)),IF(SETUP!$F$44="At delivery", IF(SETUP!$G$44=2,'TB-Key Info'!$L$16*SUM(SUM('Extended Budget Sheet - TB'!K205:K207),SUM('Extended Budget Sheet - TB'!K241:K259),SUM('Extended Budget Sheet - TB'!K349:K355)),IF(SETUP!$G$44=1,'TB-Key Info'!$L$16*SUM(SUM('Extended Budget Sheet - TB'!O205:O207),SUM('Extended Budget Sheet - TB'!O241:O259),SUM('Extended Budget Sheet - TB'!O349:O355)),0)),0))</f>
        <v>0</v>
      </c>
      <c r="U147" s="695" t="s">
        <v>1569</v>
      </c>
      <c r="V147" s="695">
        <f>IF(SETUP!$F$44="Upfront",'TB-Key Info'!$L$16*SUM(SUM('Extended Budget Sheet - TB'!W205:W207),SUM('Extended Budget Sheet - TB'!W241:W259),SUM('Extended Budget Sheet - TB'!W349:W355)),IF(SETUP!$F$44="At delivery", IF(SETUP!$G$44=3,'TB-Key Info'!$L$16*SUM(SUM('Extended Budget Sheet - TB'!K205:K207),SUM('Extended Budget Sheet - TB'!K241:K259),SUM('Extended Budget Sheet - TB'!K349:K355)),IF(SETUP!$G$44=2,'TB-Key Info'!$L$16*SUM(SUM('Extended Budget Sheet - TB'!O205:O207),SUM('Extended Budget Sheet - TB'!O241:O259),SUM('Extended Budget Sheet - TB'!O349:O355)),IF(SETUP!$G$44=1,'TB-Key Info'!$L$16*SUM(SUM('Extended Budget Sheet - TB'!S205:S207),SUM('Extended Budget Sheet - TB'!S241:S259),SUM('Extended Budget Sheet - TB'!S349:S355)),0))),0))</f>
        <v>0</v>
      </c>
      <c r="W147" s="695"/>
      <c r="X147" s="1492">
        <f t="shared" si="18"/>
        <v>0</v>
      </c>
      <c r="Y147" s="1493"/>
      <c r="Z147" s="1494"/>
      <c r="AA147" s="699"/>
      <c r="AB147" s="695"/>
      <c r="AC147" s="695">
        <f>IF(SETUP!$F$44="Upfront",'TB-Key Info'!$L$16*SUM(SUM('Extended Budget Sheet - TB'!AC205:AC207),SUM('Extended Budget Sheet - TB'!AC241:AC259),SUM('Extended Budget Sheet - TB'!AC349:AC355)),IF(SETUP!$F$44="At delivery",IF(SETUP!$G$44=4,'TB-Key Info'!$L$16*SUM(SUM('Extended Budget Sheet - TB'!K205:K207),SUM('Extended Budget Sheet - TB'!K241:K259),SUM('Extended Budget Sheet - TB'!K349:K355)),IF(SETUP!$G$44=3,'TB-Key Info'!$L$16*SUM(SUM('Extended Budget Sheet - TB'!O205:O207),SUM('Extended Budget Sheet - TB'!O241:O259),SUM('Extended Budget Sheet - TB'!O349:O355)),IF(SETUP!$G$44=2,'TB-Key Info'!$L$16*SUM(SUM('Extended Budget Sheet - TB'!S205:S207),SUM('Extended Budget Sheet - TB'!S241:S259),SUM('Extended Budget Sheet - TB'!S349:S355)),IF(SETUP!$G$44=1,'TB-Key Info'!$L$16*SUM(SUM('Extended Budget Sheet - TB'!W205:W207),SUM('Extended Budget Sheet - TB'!W241:W259),SUM('Extended Budget Sheet - TB'!W349:W355)),0)))),0))</f>
        <v>0</v>
      </c>
      <c r="AD147" s="695"/>
      <c r="AE147" s="695">
        <f>IF(SETUP!$F$44="Upfront",'TB-Key Info'!$L$16*SUM(SUM('Extended Budget Sheet - TB'!AG205:AG207),SUM('Extended Budget Sheet - TB'!AG241:AG259),SUM('Extended Budget Sheet - TB'!AG349:AG355)),IF(SETUP!$F$44="At delivery", IF(SETUP!$G$44=4,'TB-Key Info'!$L$16*SUM(SUM('Extended Budget Sheet - TB'!O205:O207),SUM('Extended Budget Sheet - TB'!O241:O259),SUM('Extended Budget Sheet - TB'!O349:O355)),IF(SETUP!$G$44=3,'TB-Key Info'!$L$16*SUM(SUM('Extended Budget Sheet - TB'!S205:S207),SUM('Extended Budget Sheet - TB'!S241:S259),SUM('Extended Budget Sheet - TB'!S349:S355)),IF(SETUP!$G$44=2,'TB-Key Info'!$L$16*SUM(SUM('Extended Budget Sheet - TB'!W205:W207),SUM('Extended Budget Sheet - TB'!W241:W259),SUM('Extended Budget Sheet - TB'!W349:W355)),IF(SETUP!$G$44=1,'TB-Key Info'!$L$16*SUM(SUM('Extended Budget Sheet - TB'!AC205:AC207),SUM('Extended Budget Sheet - TB'!AC241:AC259),SUM('Extended Budget Sheet - TB'!AC349:AC355)),0)))),0))</f>
        <v>0</v>
      </c>
      <c r="AF147" s="695"/>
      <c r="AG147" s="695">
        <f>IF(SETUP!$F$44="Upfront",'TB-Key Info'!$L$16*SUM(SUM('Extended Budget Sheet - TB'!AK205:AK207),SUM('Extended Budget Sheet - TB'!AK241:AK259),SUM('Extended Budget Sheet - TB'!AK349:AK355)),IF(SETUP!$F$44="At delivery", IF(SETUP!$G$44=4,'TB-Key Info'!$L$16*SUM(SUM('Extended Budget Sheet - TB'!S205:S207),SUM('Extended Budget Sheet - TB'!S241:S259),SUM('Extended Budget Sheet - TB'!S349:S355)),IF(SETUP!$G$44=3,'TB-Key Info'!$L$16*SUM(SUM('Extended Budget Sheet - TB'!W205:W207),SUM('Extended Budget Sheet - TB'!W241:W259),SUM('Extended Budget Sheet - TB'!W349:W355)),IF(SETUP!$G$44=2,'TB-Key Info'!$L$16*SUM(SUM('Extended Budget Sheet - TB'!AC205:AC207),SUM('Extended Budget Sheet - TB'!AC241:AC259),SUM('Extended Budget Sheet - TB'!AC349:AC355)),IF(SETUP!$G$44=1,'TB-Key Info'!$L$16*SUM(SUM('Extended Budget Sheet - TB'!AG205:AG207),SUM('Extended Budget Sheet - TB'!AG241:AG259),SUM('Extended Budget Sheet - TB'!AG349:AG355)),0)))),0))</f>
        <v>0</v>
      </c>
      <c r="AH147" s="695"/>
      <c r="AI147" s="695">
        <f>IF(SETUP!$F$44="Upfront",'TB-Key Info'!$L$16*SUM(SUM('Extended Budget Sheet - TB'!AO205:AO207),SUM('Extended Budget Sheet - TB'!AO241:AO259),SUM('Extended Budget Sheet - TB'!AO349:AO355)),IF(SETUP!$F$44="At delivery", IF(SETUP!$G$44=4,'TB-Key Info'!$L$16*SUM(SUM('Extended Budget Sheet - TB'!W205:W207),SUM('Extended Budget Sheet - TB'!W241:W259),SUM('Extended Budget Sheet - TB'!W349:W355)),IF(SETUP!$G$44=3,'TB-Key Info'!$L$16*SUM(SUM('Extended Budget Sheet - TB'!AC205:AC207),SUM('Extended Budget Sheet - TB'!AC241:AC259),SUM('Extended Budget Sheet - TB'!AC349:AC355)),IF(SETUP!$G$44=2,'TB-Key Info'!$L$16*SUM(SUM('Extended Budget Sheet - TB'!AG205:AG207),SUM('Extended Budget Sheet - TB'!AG241:AG259),SUM('Extended Budget Sheet - TB'!AG349:AG355)),IF(SETUP!$G$44=1,'TB-Key Info'!$L$16*SUM(SUM('Extended Budget Sheet - TB'!AK205:AK207),SUM('Extended Budget Sheet - TB'!AK241:AK259),SUM('Extended Budget Sheet - TB'!AK349:AK355)),0)))),0))</f>
        <v>0</v>
      </c>
      <c r="AJ147" s="695"/>
      <c r="AK147" s="1492">
        <f t="shared" si="19"/>
        <v>0</v>
      </c>
      <c r="AL147" s="1493"/>
      <c r="AM147" s="1494"/>
      <c r="AN147" s="699"/>
      <c r="AO147" s="695"/>
      <c r="AP147" s="695">
        <f>IF(SETUP!$F$44="Upfront",'TB-Key Info'!$L$16*SUM(SUM('Extended Budget Sheet - TB'!AU205:AU207),SUM('Extended Budget Sheet - TB'!AU241:AU259),SUM('Extended Budget Sheet - TB'!AU349:AU355)),IF(SETUP!$F$44="At delivery", IF(SETUP!$G$44=4,'TB-Key Info'!$L$16*SUM(SUM('Extended Budget Sheet - TB'!AC205:AC207),SUM('Extended Budget Sheet - TB'!AC241:AC259),SUM('Extended Budget Sheet - TB'!AC349:AC355)),IF(SETUP!$G$44=3,'TB-Key Info'!$L$16*SUM(SUM('Extended Budget Sheet - TB'!AG205:AG207),SUM('Extended Budget Sheet - TB'!AG241:AG259),SUM('Extended Budget Sheet - TB'!AG349:AG355)),IF(SETUP!$G$44=2,'TB-Key Info'!$L$16*SUM(SUM('Extended Budget Sheet - TB'!AK205:AK207),SUM('Extended Budget Sheet - TB'!AK241:AK259),SUM('Extended Budget Sheet - TB'!AK349:AK355)),IF(SETUP!$G$44=1,'TB-Key Info'!$L$16*SUM(SUM('Extended Budget Sheet - TB'!AO205:AO207),SUM('Extended Budget Sheet - TB'!AO241:AO259),SUM('Extended Budget Sheet - TB'!AO349:AO355)),0)))),0))</f>
        <v>0</v>
      </c>
      <c r="AQ147" s="695"/>
      <c r="AR147" s="695">
        <f>IF(SETUP!$F$44="Upfront",'TB-Key Info'!$L$16*SUM(SUM('Extended Budget Sheet - TB'!AY205:AY207),SUM('Extended Budget Sheet - TB'!AY241:AY259),SUM('Extended Budget Sheet - TB'!AY349:AY355)),IF(SETUP!$F$44="At delivery", IF(SETUP!$G$44=4,'TB-Key Info'!$L$16*SUM(SUM('Extended Budget Sheet - TB'!AG205:AG207),SUM('Extended Budget Sheet - TB'!AG241:AG259),SUM('Extended Budget Sheet - TB'!AG349:AG355)),IF(SETUP!$G$44=3,'TB-Key Info'!$L$16*SUM(SUM('Extended Budget Sheet - TB'!AK205:AK207),SUM('Extended Budget Sheet - TB'!AK241:AK259),SUM('Extended Budget Sheet - TB'!AK349:AK355)),IF(SETUP!$G$44=2,'TB-Key Info'!$L$16*SUM(SUM('Extended Budget Sheet - TB'!AO205:AO207),SUM('Extended Budget Sheet - TB'!AO241:AO259),SUM('Extended Budget Sheet - TB'!AO349:AO355)),IF(SETUP!$G$44=1,'TB-Key Info'!$L$16*SUM(SUM('Extended Budget Sheet - TB'!AU205:AU207),SUM('Extended Budget Sheet - TB'!AU241:AU259),SUM('Extended Budget Sheet - TB'!AU349:AU355)),0)))),0))</f>
        <v>0</v>
      </c>
      <c r="AS147" s="695"/>
      <c r="AT147" s="695">
        <f>IF(SETUP!$F$44="Upfront",'TB-Key Info'!$L$16*SUM(SUM('Extended Budget Sheet - TB'!BC205:BC207),SUM('Extended Budget Sheet - TB'!BC241:BC259),SUM('Extended Budget Sheet - TB'!BC349:BC355)),IF(SETUP!$F$44="At delivery", IF(SETUP!$G$44=4,'TB-Key Info'!$L$16*SUM(SUM('Extended Budget Sheet - TB'!AK205:AK207),SUM('Extended Budget Sheet - TB'!AK241:AK259),SUM('Extended Budget Sheet - TB'!AK349:AK355)),IF(SETUP!$G$44=3,'TB-Key Info'!$L$16*SUM(SUM('Extended Budget Sheet - TB'!AO205:AO207),SUM('Extended Budget Sheet - TB'!AO241:AO259),SUM('Extended Budget Sheet - TB'!AO349:AO355)),IF(SETUP!$G$44=2,'TB-Key Info'!$L$16*SUM(SUM('Extended Budget Sheet - TB'!AU205:AU207),SUM('Extended Budget Sheet - TB'!AU241:AU259),SUM('Extended Budget Sheet - TB'!AU349:AU355)),IF(SETUP!$G$44=1,'TB-Key Info'!$L$16*SUM(SUM('Extended Budget Sheet - TB'!AY205:AY207),SUM('Extended Budget Sheet - TB'!AY241:AY259),SUM('Extended Budget Sheet - TB'!AY349:AY355)),0)))),0))</f>
        <v>0</v>
      </c>
      <c r="AU147" s="695"/>
      <c r="AV147" s="695">
        <f>IF(SETUP!$F$44="Upfront",'TB-Key Info'!$L$16*SUM(SUM('Extended Budget Sheet - TB'!BG205:BG207),SUM('Extended Budget Sheet - TB'!BG241:BG259),SUM('Extended Budget Sheet - TB'!BG349:BG355)),IF(SETUP!$F$44="At delivery", IF(SETUP!$G$44=4,'TB-Key Info'!$L$16*SUM(SUM('Extended Budget Sheet - TB'!AO205:AO207),SUM('Extended Budget Sheet - TB'!AO241:AO259),SUM('Extended Budget Sheet - TB'!AO349:AO355),SUM('Extended Budget Sheet - TB'!AU205:AU207),SUM('Extended Budget Sheet - TB'!AU241:AU259),SUM('Extended Budget Sheet - TB'!AU349:AU355),SUM('Extended Budget Sheet - TB'!AY205:AY207),SUM('Extended Budget Sheet - TB'!AY241:AY259),SUM('Extended Budget Sheet - TB'!AY349:AY355),SUM('Extended Budget Sheet - TB'!BC205:BC207),SUM('Extended Budget Sheet - TB'!BC241:BC259),SUM('Extended Budget Sheet - TB'!BC349:BC355),SUM('Extended Budget Sheet - TB'!BG205:BG207),SUM('Extended Budget Sheet - TB'!BG241:BG259),SUM('Extended Budget Sheet - TB'!BG349:BG355)),IF(SETUP!$G$44=3,'TB-Key Info'!$L$16*SUM(SUM('Extended Budget Sheet - TB'!AU205:AU207),SUM('Extended Budget Sheet - TB'!AU241:AU259),SUM('Extended Budget Sheet - TB'!AU349:AU355),SUM('Extended Budget Sheet - TB'!AY205:AY207),SUM('Extended Budget Sheet - TB'!AY241:AY259),SUM('Extended Budget Sheet - TB'!AY349:AY355),SUM('Extended Budget Sheet - TB'!BC205:BC207),SUM('Extended Budget Sheet - TB'!BC241:BC259),SUM('Extended Budget Sheet - TB'!BC349:BC355),SUM('Extended Budget Sheet - TB'!BG205:BG207),SUM('Extended Budget Sheet - TB'!BG241:BG259),SUM('Extended Budget Sheet - TB'!BG349:BG355)),IF(SETUP!$G$44=2,'TB-Key Info'!$L$16*SUM(SUM('Extended Budget Sheet - TB'!AY205:AY207),SUM('Extended Budget Sheet - TB'!AY241:AY259),SUM('Extended Budget Sheet - TB'!AY349:AY355),SUM('Extended Budget Sheet - TB'!BC205:BC207),SUM('Extended Budget Sheet - TB'!BC241:BC259),SUM('Extended Budget Sheet - TB'!BC349:BC355),SUM('Extended Budget Sheet - TB'!BG205:BG207),SUM('Extended Budget Sheet - TB'!BG241:BG259),SUM('Extended Budget Sheet - TB'!BG349:BG355)),IF(SETUP!$G$44=1,'TB-Key Info'!$L$16*SUM(SUM('Extended Budget Sheet - TB'!BC205:BC207),SUM('Extended Budget Sheet - TB'!BC241:BC259),SUM('Extended Budget Sheet - TB'!BC349:BC355),SUM('Extended Budget Sheet - TB'!BG205:BG207),SUM('Extended Budget Sheet - TB'!BG241:BG259),SUM('Extended Budget Sheet - TB'!BG349:BG355)),0)))),0))</f>
        <v>0</v>
      </c>
      <c r="AW147" s="695"/>
      <c r="AX147" s="1492">
        <f t="shared" si="20"/>
        <v>0</v>
      </c>
      <c r="AY147" s="1492"/>
      <c r="AZ147" s="698"/>
      <c r="BA147" s="699"/>
      <c r="BB147" s="697"/>
      <c r="BC147" s="697">
        <v>0</v>
      </c>
      <c r="BD147" s="697">
        <v>0</v>
      </c>
      <c r="BE147" s="697">
        <v>0</v>
      </c>
      <c r="BF147" s="697">
        <v>0</v>
      </c>
      <c r="BG147" s="697">
        <v>0</v>
      </c>
      <c r="BH147" s="697">
        <v>0</v>
      </c>
      <c r="BI147" s="697">
        <v>0</v>
      </c>
      <c r="BJ147" s="697">
        <v>0</v>
      </c>
      <c r="BK147" s="1492">
        <f t="shared" si="21"/>
        <v>0</v>
      </c>
      <c r="BL147" s="1492"/>
      <c r="BM147" s="1492">
        <f t="shared" si="22"/>
        <v>0</v>
      </c>
      <c r="BN147" s="1492">
        <f t="shared" si="23"/>
        <v>0</v>
      </c>
      <c r="BO147" s="697"/>
      <c r="BP147" s="697"/>
      <c r="BQ147" s="1495">
        <v>0</v>
      </c>
      <c r="BR147" s="1495" t="s">
        <v>816</v>
      </c>
      <c r="BS147" s="1495" t="s">
        <v>722</v>
      </c>
      <c r="BT147" s="691" t="s">
        <v>1846</v>
      </c>
    </row>
    <row r="148" spans="1:72" s="681" customFormat="1" ht="13" hidden="1">
      <c r="A148" s="1545">
        <v>357</v>
      </c>
      <c r="B148" s="1546" t="s">
        <v>785</v>
      </c>
      <c r="C148" s="1546" t="s">
        <v>786</v>
      </c>
      <c r="D148" s="1547" t="s">
        <v>724</v>
      </c>
      <c r="E148" s="690" t="s">
        <v>725</v>
      </c>
      <c r="F148" s="691"/>
      <c r="G148" s="692"/>
      <c r="H148" s="692"/>
      <c r="I148" s="692"/>
      <c r="J148" s="693"/>
      <c r="K148" s="693"/>
      <c r="L148" s="693"/>
      <c r="M148" s="694"/>
      <c r="N148" s="695"/>
      <c r="O148" s="696" t="s">
        <v>1569</v>
      </c>
      <c r="P148" s="695">
        <f>IF(SETUP!$F$44="Upfront",'TB-Key Info'!$L$16*SUM('Extended Budget Sheet - TB'!K271:K281),0)</f>
        <v>0</v>
      </c>
      <c r="Q148" s="695" t="s">
        <v>1569</v>
      </c>
      <c r="R148" s="695">
        <f>IF(SETUP!$F$44="Upfront",'TB-Key Info'!$L$16*SUM('Extended Budget Sheet - TB'!O271:O281),IF(SETUP!$F$44="At delivery", IF(SETUP!$G$44=1,'TB-Key Info'!$L$16*SUM('Extended Budget Sheet - TB'!K271:K281),0),0))</f>
        <v>0</v>
      </c>
      <c r="S148" s="695" t="s">
        <v>1569</v>
      </c>
      <c r="T148" s="695">
        <f>IF(SETUP!$F$44="Upfront",'TB-Key Info'!$L$16*SUM('Extended Budget Sheet - TB'!S271:S281),IF(SETUP!$F$44="At delivery", IF(SETUP!$G$44=2,'TB-Key Info'!$L$16*SUM('Extended Budget Sheet - TB'!K271:K281),IF(SETUP!$G$44=1,'TB-Key Info'!$L$16*SUM('Extended Budget Sheet - TB'!O271:O281),0)),0))</f>
        <v>0</v>
      </c>
      <c r="U148" s="695" t="s">
        <v>1569</v>
      </c>
      <c r="V148" s="695">
        <f>IF(SETUP!$F$44="Upfront",'TB-Key Info'!$L$16*SUM('Extended Budget Sheet - TB'!W271:W281),IF(SETUP!$F$44="At delivery", IF(SETUP!$G$44=3,'TB-Key Info'!$L$16*SUM('Extended Budget Sheet - TB'!K271:K281),IF(SETUP!$G$44=2,'TB-Key Info'!$L$16*SUM('Extended Budget Sheet - TB'!O271:O281),IF(SETUP!$G$44=1,'TB-Key Info'!$L$16*SUM('Extended Budget Sheet - TB'!S271:S281),0))),0))</f>
        <v>0</v>
      </c>
      <c r="W148" s="695"/>
      <c r="X148" s="1492">
        <f t="shared" si="18"/>
        <v>0</v>
      </c>
      <c r="Y148" s="1493"/>
      <c r="Z148" s="1494"/>
      <c r="AA148" s="699"/>
      <c r="AB148" s="695"/>
      <c r="AC148" s="695">
        <f>IF(SETUP!$F$44="Upfront",'TB-Key Info'!$L$16*SUM('Extended Budget Sheet - TB'!AC271:AC281),IF(SETUP!$F$44="At delivery", IF(SETUP!$G$44=4,'TB-Key Info'!$L$16*SUM('Extended Budget Sheet - TB'!K271:K281),IF(SETUP!$G$44=3,'TB-Key Info'!$L$16*SUM('Extended Budget Sheet - TB'!O271:O281),IF(SETUP!$G$44=2,'TB-Key Info'!$L$16*SUM('Extended Budget Sheet - TB'!S271:S281),IF(SETUP!$G$44=1,'TB-Key Info'!$L$16*SUM('Extended Budget Sheet - TB'!W271:W281),0)))),0))</f>
        <v>0</v>
      </c>
      <c r="AD148" s="695"/>
      <c r="AE148" s="695">
        <f>IF(SETUP!$F$44="Upfront",'TB-Key Info'!$L$16*SUM('Extended Budget Sheet - TB'!AG271:AG281),IF(SETUP!$F$44="At delivery", IF(SETUP!$G$44=4,'TB-Key Info'!$L$16*SUM('Extended Budget Sheet - TB'!O271:O281),IF(SETUP!$G$44=3,'TB-Key Info'!$L$16*SUM('Extended Budget Sheet - TB'!S271:S281),IF(SETUP!$G$44=2,'TB-Key Info'!$L$16*SUM('Extended Budget Sheet - TB'!W271:W281),IF(SETUP!$G$44=1,'TB-Key Info'!$L$16*SUM('Extended Budget Sheet - TB'!AC271:AC281),0)))),0))</f>
        <v>0</v>
      </c>
      <c r="AF148" s="695"/>
      <c r="AG148" s="695">
        <f>IF(SETUP!$F$44="Upfront",'TB-Key Info'!$L$16*SUM('Extended Budget Sheet - TB'!AK271:AK281),IF(SETUP!$F$44="At delivery", IF(SETUP!$G$44=4,'TB-Key Info'!$L$16*SUM('Extended Budget Sheet - TB'!S271:S281),IF(SETUP!$G$44=3,'TB-Key Info'!$L$16*SUM('Extended Budget Sheet - TB'!W271:W281),IF(SETUP!$G$44=2,'TB-Key Info'!$L$16*SUM('Extended Budget Sheet - TB'!AC271:AC281),IF(SETUP!$G$44=1,'TB-Key Info'!$L$16*SUM('Extended Budget Sheet - TB'!AG271:AG281),0)))),0))</f>
        <v>0</v>
      </c>
      <c r="AH148" s="695"/>
      <c r="AI148" s="695">
        <f>IF(SETUP!$F$44="Upfront",'TB-Key Info'!$L$16*SUM('Extended Budget Sheet - TB'!AO271:AO281),IF(SETUP!$F$44="At delivery", IF(SETUP!$G$44=4,'TB-Key Info'!$L$16*SUM('Extended Budget Sheet - TB'!W271:W281),IF(SETUP!$G$44=3,'TB-Key Info'!$L$16*SUM('Extended Budget Sheet - TB'!AC271:AC281),IF(SETUP!$G$44=2,'TB-Key Info'!$L$16*SUM('Extended Budget Sheet - TB'!AG271:AG281),IF(SETUP!$G$44=1,'TB-Key Info'!$L$16*SUM('Extended Budget Sheet - TB'!AK271:AK281),0)))),0))</f>
        <v>0</v>
      </c>
      <c r="AJ148" s="695"/>
      <c r="AK148" s="1492">
        <f t="shared" si="19"/>
        <v>0</v>
      </c>
      <c r="AL148" s="1493"/>
      <c r="AM148" s="1494"/>
      <c r="AN148" s="699"/>
      <c r="AO148" s="695"/>
      <c r="AP148" s="695">
        <f>IF(SETUP!$F$44="Upfront",'TB-Key Info'!$L$16*SUM('Extended Budget Sheet - TB'!AU271:AU281),IF(SETUP!$F$44="At delivery", IF(SETUP!$G$44=4,'TB-Key Info'!$L$16*SUM('Extended Budget Sheet - TB'!AC271:AC281),IF(SETUP!$G$44=3,'TB-Key Info'!$L$16*SUM('Extended Budget Sheet - TB'!AG271:AG281),IF(SETUP!$G$44=2,'TB-Key Info'!$L$16*SUM('Extended Budget Sheet - TB'!AK271:AK281),IF(SETUP!$G$44=1,'TB-Key Info'!$L$16*SUM('Extended Budget Sheet - TB'!AO271:AO281),0)))),0))</f>
        <v>0</v>
      </c>
      <c r="AQ148" s="695"/>
      <c r="AR148" s="695">
        <f>IF(SETUP!$F$44="Upfront",'TB-Key Info'!$L$16*SUM('Extended Budget Sheet - TB'!AY271:AY281),IF(SETUP!$F$44="At delivery", IF(SETUP!$G$44=4,'TB-Key Info'!$L$16*SUM('Extended Budget Sheet - TB'!AG271:AG281),IF(SETUP!$G$44=3,'TB-Key Info'!$L$16*SUM('Extended Budget Sheet - TB'!AK271:AK281),IF(SETUP!$G$44=2,'TB-Key Info'!$L$16*SUM('Extended Budget Sheet - TB'!AO271:AO281),IF(SETUP!$G$44=1,'TB-Key Info'!$L$16*SUM('Extended Budget Sheet - TB'!AU271:AU281),0)))),0))</f>
        <v>0</v>
      </c>
      <c r="AS148" s="695"/>
      <c r="AT148" s="695">
        <f>IF(SETUP!$F$44="Upfront",'TB-Key Info'!$L$16*SUM('Extended Budget Sheet - TB'!BC271:BC281),IF(SETUP!$F$44="At delivery", IF(SETUP!$G$44=4,'TB-Key Info'!$L$16*SUM('Extended Budget Sheet - TB'!AK271:AK281),IF(SETUP!$G$44=3,'TB-Key Info'!$L$16*SUM('Extended Budget Sheet - TB'!AO271:AO281),IF(SETUP!$G$44=2,'TB-Key Info'!$L$16*SUM('Extended Budget Sheet - TB'!AU271:AU281),IF(SETUP!$G$44=1,'TB-Key Info'!$L$16*SUM('Extended Budget Sheet - TB'!AY271:AY281),0)))),0))</f>
        <v>0</v>
      </c>
      <c r="AU148" s="695"/>
      <c r="AV148" s="695">
        <f>IF(SETUP!$F$44="Upfront",'TB-Key Info'!$L$16*SUM('Extended Budget Sheet - TB'!BG271:BG281),IF(SETUP!$F$44="At delivery", IF(SETUP!$G$44=4,'TB-Key Info'!$L$16*SUM(SUM('Extended Budget Sheet - TB'!AO271:AO281),SUM('Extended Budget Sheet - TB'!AU271:AU281),SUM('Extended Budget Sheet - TB'!AY271:AY281),SUM('Extended Budget Sheet - TB'!BC271:BC281),SUM('Extended Budget Sheet - TB'!BG271:BG281)),IF(SETUP!$G$44=3,'TB-Key Info'!$L$16*SUM(SUM('Extended Budget Sheet - TB'!AU271:AU281),SUM('Extended Budget Sheet - TB'!AY271:AY281),SUM('Extended Budget Sheet - TB'!BC271:BC281),SUM('Extended Budget Sheet - TB'!BG271:BG281)),IF(SETUP!$G$44=2,'TB-Key Info'!$L$16*SUM(SUM('Extended Budget Sheet - TB'!AY271:AY281),SUM('Extended Budget Sheet - TB'!BC271:BC281),SUM('Extended Budget Sheet - TB'!BG271:BG281)),IF(SETUP!$G$44=1,'TB-Key Info'!$L$16*SUM(SUM('Extended Budget Sheet - TB'!BC271:BC281),SUM('Extended Budget Sheet - TB'!BG271:BG281)),0)))),0))</f>
        <v>0</v>
      </c>
      <c r="AW148" s="695"/>
      <c r="AX148" s="1492">
        <f t="shared" si="20"/>
        <v>0</v>
      </c>
      <c r="AY148" s="1492"/>
      <c r="AZ148" s="698"/>
      <c r="BA148" s="699"/>
      <c r="BB148" s="697"/>
      <c r="BC148" s="697">
        <v>0</v>
      </c>
      <c r="BD148" s="697">
        <v>0</v>
      </c>
      <c r="BE148" s="697">
        <v>0</v>
      </c>
      <c r="BF148" s="697">
        <v>0</v>
      </c>
      <c r="BG148" s="697">
        <v>0</v>
      </c>
      <c r="BH148" s="697">
        <v>0</v>
      </c>
      <c r="BI148" s="697">
        <v>0</v>
      </c>
      <c r="BJ148" s="697">
        <v>0</v>
      </c>
      <c r="BK148" s="1492">
        <f t="shared" si="21"/>
        <v>0</v>
      </c>
      <c r="BL148" s="1492"/>
      <c r="BM148" s="1492">
        <f t="shared" si="22"/>
        <v>0</v>
      </c>
      <c r="BN148" s="1492">
        <f t="shared" si="23"/>
        <v>0</v>
      </c>
      <c r="BO148" s="697"/>
      <c r="BP148" s="697"/>
      <c r="BQ148" s="1495">
        <v>0</v>
      </c>
      <c r="BR148" s="1495" t="s">
        <v>816</v>
      </c>
      <c r="BS148" s="1495" t="s">
        <v>724</v>
      </c>
      <c r="BT148" s="691" t="s">
        <v>1815</v>
      </c>
    </row>
    <row r="149" spans="1:72" s="681" customFormat="1" ht="13" hidden="1">
      <c r="A149" s="1545">
        <v>358</v>
      </c>
      <c r="B149" s="1546" t="s">
        <v>785</v>
      </c>
      <c r="C149" s="1546" t="s">
        <v>786</v>
      </c>
      <c r="D149" s="1547" t="s">
        <v>6949</v>
      </c>
      <c r="E149" s="690" t="s">
        <v>782</v>
      </c>
      <c r="F149" s="691"/>
      <c r="G149" s="692"/>
      <c r="H149" s="692"/>
      <c r="I149" s="692"/>
      <c r="J149" s="693"/>
      <c r="K149" s="693"/>
      <c r="L149" s="693"/>
      <c r="M149" s="694"/>
      <c r="N149" s="695"/>
      <c r="O149" s="696" t="s">
        <v>1569</v>
      </c>
      <c r="P149" s="695">
        <f>IF(SETUP!$F$41="Upfront",'TB-Key Info'!$L$16*SUM(SUM('Extended Budget Sheet - TB'!K223:K234),SUM('Extended Budget Sheet - TB'!K260:K264)),0)</f>
        <v>0</v>
      </c>
      <c r="Q149" s="695" t="s">
        <v>1569</v>
      </c>
      <c r="R149" s="695">
        <f>IF(SETUP!$F$41="Upfront",'TB-Key Info'!$L$16*SUM(SUM('Extended Budget Sheet - TB'!O223:O234),SUM('Extended Budget Sheet - TB'!O260:O264)),IF(SETUP!$F$41="At delivery", IF(SETUP!$G$41=1,'TB-Key Info'!$L$16*SUM(SUM('Extended Budget Sheet - TB'!K223:K234),SUM('Extended Budget Sheet - TB'!K260:K264)),0),0))</f>
        <v>0</v>
      </c>
      <c r="S149" s="695" t="s">
        <v>1569</v>
      </c>
      <c r="T149" s="695">
        <f>IF(SETUP!$F$41="Upfront",'TB-Key Info'!$L$16*SUM(SUM('Extended Budget Sheet - TB'!S223:S234),SUM('Extended Budget Sheet - TB'!S260:S264)),IF(SETUP!$F$41="At delivery", IF(SETUP!$G$41=2,'TB-Key Info'!$L$16*SUM(SUM('Extended Budget Sheet - TB'!K223:K234),SUM('Extended Budget Sheet - TB'!K260:K264)),IF(SETUP!$G$41=1,'TB-Key Info'!$L$16*SUM(SUM('Extended Budget Sheet - TB'!O223:O234),SUM('Extended Budget Sheet - TB'!O260:O264)),0)),0))</f>
        <v>0</v>
      </c>
      <c r="U149" s="695" t="s">
        <v>1569</v>
      </c>
      <c r="V149" s="695">
        <f>IF(SETUP!$F$41="Upfront",'TB-Key Info'!$L$16*SUM(SUM('Extended Budget Sheet - TB'!W223:W234),SUM('Extended Budget Sheet - TB'!W260:W264)),IF(SETUP!$F$41="At delivery", IF(SETUP!$G$41=3,'TB-Key Info'!$L$16*SUM(SUM('Extended Budget Sheet - TB'!K223:K234),SUM('Extended Budget Sheet - TB'!K260:K264)),IF(SETUP!$G$41=2,'TB-Key Info'!$L$16*SUM(SUM('Extended Budget Sheet - TB'!O223:O234),SUM('Extended Budget Sheet - TB'!O260:O264)),IF(SETUP!$G$41=1,'TB-Key Info'!$L$16*SUM(SUM('Extended Budget Sheet - TB'!S223:S234),SUM('Extended Budget Sheet - TB'!S260:S264)),0))),0))</f>
        <v>0</v>
      </c>
      <c r="W149" s="695"/>
      <c r="X149" s="1492">
        <f t="shared" si="18"/>
        <v>0</v>
      </c>
      <c r="Y149" s="1493"/>
      <c r="Z149" s="1494"/>
      <c r="AA149" s="699"/>
      <c r="AB149" s="695"/>
      <c r="AC149" s="695">
        <f>IF(SETUP!$F$41="Upfront",'TB-Key Info'!$L$16*SUM(SUM('Extended Budget Sheet - TB'!AC223:AC234),SUM('Extended Budget Sheet - TB'!AC260:AC264)),IF(SETUP!$F$41="At delivery",IF(SETUP!$G$41=4,'TB-Key Info'!$L$16*SUM(SUM('Extended Budget Sheet - TB'!K223:K234),SUM('Extended Budget Sheet - TB'!K260:K264)),IF(SETUP!$G$41=3,'TB-Key Info'!$L$16*SUM(SUM('Extended Budget Sheet - TB'!O223:O234),SUM('Extended Budget Sheet - TB'!O260:O264)),IF(SETUP!$G$41=2,'TB-Key Info'!$L$16*SUM(SUM('Extended Budget Sheet - TB'!S223:S234),SUM('Extended Budget Sheet - TB'!S260:S264)),IF(SETUP!$G$41=1,'TB-Key Info'!$L$16*SUM(SUM('Extended Budget Sheet - TB'!W223:W234),SUM('Extended Budget Sheet - TB'!W260:W264)),0)))),0))</f>
        <v>0</v>
      </c>
      <c r="AD149" s="695"/>
      <c r="AE149" s="695">
        <f>IF(SETUP!$F$41="Upfront",'TB-Key Info'!$L$16*SUM(SUM('Extended Budget Sheet - TB'!AG223:AG234),SUM('Extended Budget Sheet - TB'!AG260:AG264)),IF(SETUP!$F$41="At delivery", IF(SETUP!$G$41=4,'TB-Key Info'!$L$16*SUM(SUM('Extended Budget Sheet - TB'!O223:O234),SUM('Extended Budget Sheet - TB'!O260:O264)),IF(SETUP!$G$41=3,'TB-Key Info'!$L$16*SUM(SUM('Extended Budget Sheet - TB'!S223:S234),SUM('Extended Budget Sheet - TB'!S260:S264)),IF(SETUP!$G$41=2,'TB-Key Info'!$L$16*SUM(SUM('Extended Budget Sheet - TB'!W223:W234),SUM('Extended Budget Sheet - TB'!W260:W264)),IF(SETUP!$G$41=1,'TB-Key Info'!$L$16*SUM(SUM('Extended Budget Sheet - TB'!AC223:AC234),SUM('Extended Budget Sheet - TB'!AC260:AC264)),0)))),0))</f>
        <v>0</v>
      </c>
      <c r="AF149" s="695"/>
      <c r="AG149" s="695">
        <f>IF(SETUP!$F$41="Upfront",'TB-Key Info'!$L$16*SUM(SUM('Extended Budget Sheet - TB'!AK223:AK234),SUM('Extended Budget Sheet - TB'!AK260:AK264)),IF(SETUP!$F$41="At delivery", IF(SETUP!$G$41=4,'TB-Key Info'!$L$16*SUM(SUM('Extended Budget Sheet - TB'!S223:S234),SUM('Extended Budget Sheet - TB'!S260:S264)),IF(SETUP!$G$41=3,'TB-Key Info'!$L$16*SUM(SUM('Extended Budget Sheet - TB'!W223:W234),SUM('Extended Budget Sheet - TB'!W260:W264)),IF(SETUP!$G$41=2,'TB-Key Info'!$L$16*SUM(SUM('Extended Budget Sheet - TB'!AC223:AC234),SUM('Extended Budget Sheet - TB'!AC260:AC264)),IF(SETUP!$G$41=1,'TB-Key Info'!$L$16*SUM(SUM('Extended Budget Sheet - TB'!AG223:AG234),SUM('Extended Budget Sheet - TB'!AG260:AG264)),0)))),0))</f>
        <v>0</v>
      </c>
      <c r="AH149" s="695"/>
      <c r="AI149" s="695">
        <f>IF(SETUP!$F$41="Upfront",'TB-Key Info'!$L$16*SUM(SUM('Extended Budget Sheet - TB'!AO223:AO234),SUM('Extended Budget Sheet - TB'!AO260:AO264)),IF(SETUP!$F$41="At delivery", IF(SETUP!$G$41=4,'TB-Key Info'!$L$16*SUM(SUM('Extended Budget Sheet - TB'!W223:W234),SUM('Extended Budget Sheet - TB'!W260:W264)),IF(SETUP!$G$41=3,'TB-Key Info'!$L$16*SUM(SUM('Extended Budget Sheet - TB'!AC223:AC234),SUM('Extended Budget Sheet - TB'!AC260:AC264)),IF(SETUP!$G$41=2,'TB-Key Info'!$L$16*SUM(SUM('Extended Budget Sheet - TB'!AG223:AG234),SUM('Extended Budget Sheet - TB'!AG260:AG264)),IF(SETUP!$G$41=1,'TB-Key Info'!$L$16*SUM(SUM('Extended Budget Sheet - TB'!AK223:AK234),SUM('Extended Budget Sheet - TB'!AK260:AK264)),0)))),0))</f>
        <v>0</v>
      </c>
      <c r="AJ149" s="695"/>
      <c r="AK149" s="1492">
        <f t="shared" si="19"/>
        <v>0</v>
      </c>
      <c r="AL149" s="1493"/>
      <c r="AM149" s="1494"/>
      <c r="AN149" s="699"/>
      <c r="AO149" s="695"/>
      <c r="AP149" s="695">
        <f>IF(SETUP!$F$41="Upfront",'TB-Key Info'!$L$16*SUM(SUM('Extended Budget Sheet - TB'!AU223:AU234),SUM('Extended Budget Sheet - TB'!AU260:AU264)),IF(SETUP!$F$41="At delivery", IF(SETUP!$G$41=4,'TB-Key Info'!$L$16*SUM(SUM('Extended Budget Sheet - TB'!AC223:AC234),SUM('Extended Budget Sheet - TB'!AC260:AC264)),IF(SETUP!$G$41=3,'TB-Key Info'!$L$16*SUM(SUM('Extended Budget Sheet - TB'!AG223:AG234),SUM('Extended Budget Sheet - TB'!AG260:AG264)),IF(SETUP!$G$41=2,'TB-Key Info'!$L$16*SUM(SUM('Extended Budget Sheet - TB'!AK223:AK234),SUM('Extended Budget Sheet - TB'!AK260:AK264)),IF(SETUP!$G$41=1,'TB-Key Info'!$L$16*SUM(SUM('Extended Budget Sheet - TB'!AO223:AO234),SUM('Extended Budget Sheet - TB'!AO260:AO264)),0)))),0))</f>
        <v>0</v>
      </c>
      <c r="AQ149" s="695"/>
      <c r="AR149" s="695">
        <f>IF(SETUP!$F$41="Upfront",'TB-Key Info'!$L$16*SUM(SUM('Extended Budget Sheet - TB'!AY223:AY234),SUM('Extended Budget Sheet - TB'!AY260:AY264)),IF(SETUP!$F$41="At delivery", IF(SETUP!$G$41=4,'TB-Key Info'!$L$16*SUM(SUM('Extended Budget Sheet - TB'!AG223:AG234),SUM('Extended Budget Sheet - TB'!AG260:AG264)),IF(SETUP!$G$41=3,'TB-Key Info'!$L$16*SUM(SUM('Extended Budget Sheet - TB'!AK223:AK234),SUM('Extended Budget Sheet - TB'!AK260:AK264)),IF(SETUP!$G$41=2,'TB-Key Info'!$L$16*SUM(SUM('Extended Budget Sheet - TB'!AO223:AO234),SUM('Extended Budget Sheet - TB'!AO260:AO264)),IF(SETUP!$G$41=1,'TB-Key Info'!$L$16*SUM(SUM('Extended Budget Sheet - TB'!AU223:AU234),SUM('Extended Budget Sheet - TB'!AU260:AU264)),0)))),0))</f>
        <v>0</v>
      </c>
      <c r="AS149" s="695"/>
      <c r="AT149" s="695">
        <f>IF(SETUP!$F$41="Upfront",'TB-Key Info'!$L$16*SUM(SUM('Extended Budget Sheet - TB'!BC223:BC234),SUM('Extended Budget Sheet - TB'!BC260:BC264)),IF(SETUP!$F$41="At delivery", IF(SETUP!$G$41=4,'TB-Key Info'!$L$16*SUM(SUM('Extended Budget Sheet - TB'!AK223:AK234),SUM('Extended Budget Sheet - TB'!AK260:AK264)),IF(SETUP!$G$41=3,'TB-Key Info'!$L$16*SUM(SUM('Extended Budget Sheet - TB'!AO223:AO234),SUM('Extended Budget Sheet - TB'!AO260:AO264)),IF(SETUP!$G$41=2,'TB-Key Info'!$L$16*SUM(SUM('Extended Budget Sheet - TB'!AU223:AU234),SUM('Extended Budget Sheet - TB'!AU260:AU264)),IF(SETUP!$G$41=1,'TB-Key Info'!$L$16*SUM(SUM('Extended Budget Sheet - TB'!AY223:AY234),SUM('Extended Budget Sheet - TB'!AY260:AY264)),0)))),0))</f>
        <v>0</v>
      </c>
      <c r="AU149" s="695"/>
      <c r="AV149" s="695">
        <f>IF(SETUP!$F$41="Upfront",'TB-Key Info'!$L$16*SUM(SUM('Extended Budget Sheet - TB'!BG223:BG234),SUM('Extended Budget Sheet - TB'!BG260:BG264)),IF(SETUP!$F$41="At delivery", IF(SETUP!$G$41=4,'TB-Key Info'!$L$16*SUM(SUM('Extended Budget Sheet - TB'!AO223:AO234),SUM('Extended Budget Sheet - TB'!AO260:AO264),SUM('Extended Budget Sheet - TB'!AU223:AU234),SUM('Extended Budget Sheet - TB'!AU260:AU264),SUM('Extended Budget Sheet - TB'!AY223:AY234),SUM('Extended Budget Sheet - TB'!AY260:AY264),SUM('Extended Budget Sheet - TB'!BC223:BC234),SUM('Extended Budget Sheet - TB'!BC260:BC264),SUM('Extended Budget Sheet - TB'!BG223:BG234),SUM('Extended Budget Sheet - TB'!BG260:BG264)),IF(SETUP!$G$41=3,'TB-Key Info'!$L$16*SUM(SUM('Extended Budget Sheet - TB'!AU223:AU234),SUM('Extended Budget Sheet - TB'!AU260:AU264),SUM('Extended Budget Sheet - TB'!AY223:AY234),SUM('Extended Budget Sheet - TB'!AY260:AY264),SUM('Extended Budget Sheet - TB'!BC223:BC234),SUM('Extended Budget Sheet - TB'!BC260:BC264),SUM('Extended Budget Sheet - TB'!BG223:BG234),SUM('Extended Budget Sheet - TB'!BG260:BG264)),IF(SETUP!$G$41=2,'TB-Key Info'!$L$16*SUM(SUM('Extended Budget Sheet - TB'!AY223:AY234),SUM('Extended Budget Sheet - TB'!AY260:AY264),SUM('Extended Budget Sheet - TB'!BC223:BC234),SUM('Extended Budget Sheet - TB'!BC260:BC264),SUM('Extended Budget Sheet - TB'!BG223:BG234),SUM('Extended Budget Sheet - TB'!BG260:BG264)),IF(SETUP!$G$41=1,'TB-Key Info'!$L$16*SUM(SUM('Extended Budget Sheet - TB'!BC223:BC234),SUM('Extended Budget Sheet - TB'!BC260:BC264),SUM('Extended Budget Sheet - TB'!BG223:BG234),SUM('Extended Budget Sheet - TB'!BG260:BG264)),0)))),0))</f>
        <v>0</v>
      </c>
      <c r="AW149" s="695"/>
      <c r="AX149" s="1492">
        <f t="shared" si="20"/>
        <v>0</v>
      </c>
      <c r="AY149" s="1492"/>
      <c r="AZ149" s="698"/>
      <c r="BA149" s="699"/>
      <c r="BB149" s="697"/>
      <c r="BC149" s="697">
        <v>0</v>
      </c>
      <c r="BD149" s="697">
        <v>0</v>
      </c>
      <c r="BE149" s="697">
        <v>0</v>
      </c>
      <c r="BF149" s="697">
        <v>0</v>
      </c>
      <c r="BG149" s="697">
        <v>0</v>
      </c>
      <c r="BH149" s="697">
        <v>0</v>
      </c>
      <c r="BI149" s="697">
        <v>0</v>
      </c>
      <c r="BJ149" s="697">
        <v>0</v>
      </c>
      <c r="BK149" s="1492">
        <f t="shared" si="21"/>
        <v>0</v>
      </c>
      <c r="BL149" s="1492"/>
      <c r="BM149" s="1492">
        <f t="shared" si="22"/>
        <v>0</v>
      </c>
      <c r="BN149" s="1492">
        <f t="shared" si="23"/>
        <v>0</v>
      </c>
      <c r="BO149" s="697"/>
      <c r="BP149" s="697"/>
      <c r="BQ149" s="1495">
        <v>0</v>
      </c>
      <c r="BR149" s="1495" t="s">
        <v>816</v>
      </c>
      <c r="BS149" s="1495" t="s">
        <v>6949</v>
      </c>
      <c r="BT149" s="691" t="s">
        <v>1816</v>
      </c>
    </row>
    <row r="150" spans="1:72" s="681" customFormat="1" ht="13" hidden="1">
      <c r="A150" s="1545">
        <v>359</v>
      </c>
      <c r="B150" s="1546" t="s">
        <v>785</v>
      </c>
      <c r="C150" s="1546" t="s">
        <v>786</v>
      </c>
      <c r="D150" s="1547" t="s">
        <v>6950</v>
      </c>
      <c r="E150" s="690" t="s">
        <v>721</v>
      </c>
      <c r="F150" s="691"/>
      <c r="G150" s="692"/>
      <c r="H150" s="692"/>
      <c r="I150" s="692"/>
      <c r="J150" s="693"/>
      <c r="K150" s="693"/>
      <c r="L150" s="693"/>
      <c r="M150" s="694" t="e">
        <f>X150/W150</f>
        <v>#DIV/0!</v>
      </c>
      <c r="N150" s="695"/>
      <c r="O150" s="696" t="s">
        <v>1569</v>
      </c>
      <c r="P150" s="695">
        <f>IF(SETUP!$F$44="Upfront",'TB-Key Info'!$L$16*SUM('Extended Budget Sheet - TB'!K395),0)</f>
        <v>0</v>
      </c>
      <c r="Q150" s="695"/>
      <c r="R150" s="695">
        <f>IF(SETUP!$F$44="Upfront",'TB-Key Info'!$L$16*SUM('Extended Budget Sheet - TB'!O395),IF(SETUP!$F$44="At delivery", IF(SETUP!$G$44=1,'TB-Key Info'!$L$16*SUM('Extended Budget Sheet - TB'!K395),0),0))</f>
        <v>0</v>
      </c>
      <c r="S150" s="695" t="s">
        <v>1569</v>
      </c>
      <c r="T150" s="695">
        <f>IF(SETUP!$F$44="Upfront",'TB-Key Info'!$L$16*SUM('Extended Budget Sheet - TB'!S395),IF(SETUP!$F$44="At delivery", IF(SETUP!$G$44=2,'TB-Key Info'!$L$16*SUM('Extended Budget Sheet - TB'!K395),IF(SETUP!$G$44=1,'TB-Key Info'!$L$16*SUM('Extended Budget Sheet - TB'!O395),0)),0))</f>
        <v>0</v>
      </c>
      <c r="U150" s="695" t="s">
        <v>1569</v>
      </c>
      <c r="V150" s="695">
        <f>IF(SETUP!$F$44="Upfront",'TB-Key Info'!$L$16*SUM('Extended Budget Sheet - TB'!W395),IF(SETUP!$F$44="At delivery", IF(SETUP!$G$44=3,'TB-Key Info'!$L$16*SUM('Extended Budget Sheet - TB'!K395),IF(SETUP!$G$44=2,'TB-Key Info'!$L$16*SUM('Extended Budget Sheet - TB'!O395),IF(SETUP!$G$44=1,'TB-Key Info'!$L$16*SUM('Extended Budget Sheet - TB'!S395),0))),0))</f>
        <v>0</v>
      </c>
      <c r="W150" s="695"/>
      <c r="X150" s="1492">
        <f t="shared" si="18"/>
        <v>0</v>
      </c>
      <c r="Y150" s="1493"/>
      <c r="Z150" s="1494"/>
      <c r="AA150" s="699"/>
      <c r="AB150" s="695"/>
      <c r="AC150" s="695">
        <f>IF(SETUP!$F$44="Upfront",'TB-Key Info'!$L$16*SUM('Extended Budget Sheet - TB'!AC395),IF(SETUP!$F$44="At delivery", IF(SETUP!$G$44=4,'TB-Key Info'!$L$16*SUM('Extended Budget Sheet - TB'!K395),IF(SETUP!$G$44=3,'TB-Key Info'!$L$16*SUM('Extended Budget Sheet - TB'!O395),IF(SETUP!$G$44=2,'TB-Key Info'!$L$16*SUM('Extended Budget Sheet - TB'!S395),IF(SETUP!$G$44=1,'TB-Key Info'!$L$16*SUM('Extended Budget Sheet - TB'!W395),0)))),0))</f>
        <v>0</v>
      </c>
      <c r="AD150" s="695"/>
      <c r="AE150" s="695">
        <f>IF(SETUP!$F$44="Upfront",'TB-Key Info'!$L$16*SUM('Extended Budget Sheet - TB'!AG395),IF(SETUP!$F$44="At delivery", IF(SETUP!$G$44=4,'TB-Key Info'!$L$16*SUM('Extended Budget Sheet - TB'!O395),IF(SETUP!$G$44=3,'TB-Key Info'!$L$16*SUM('Extended Budget Sheet - TB'!S395),IF(SETUP!$G$44=2,'TB-Key Info'!$L$16*SUM('Extended Budget Sheet - TB'!W395),IF(SETUP!$G$44=1,'TB-Key Info'!$L$16*SUM('Extended Budget Sheet - TB'!AC395),0)))),0))</f>
        <v>0</v>
      </c>
      <c r="AF150" s="695"/>
      <c r="AG150" s="695">
        <f>IF(SETUP!$F$44="Upfront",'TB-Key Info'!$L$16*SUM('Extended Budget Sheet - TB'!AK395),IF(SETUP!$F$44="At delivery", IF(SETUP!$G$44=4,'TB-Key Info'!$L$16*SUM('Extended Budget Sheet - TB'!S395),IF(SETUP!$G$44=3,'TB-Key Info'!$L$16*SUM('Extended Budget Sheet - TB'!W395),IF(SETUP!$G$44=2,'TB-Key Info'!$L$16*SUM('Extended Budget Sheet - TB'!AC395),IF(SETUP!$G$44=1,'TB-Key Info'!$L$16*SUM('Extended Budget Sheet - TB'!AG395),0)))),0))</f>
        <v>0</v>
      </c>
      <c r="AH150" s="695"/>
      <c r="AI150" s="695">
        <f>IF(SETUP!$F$44="Upfront",'TB-Key Info'!$L$16*SUM('Extended Budget Sheet - TB'!AO395),IF(SETUP!$F$44="At delivery", IF(SETUP!$G$44=4,'TB-Key Info'!$L$16*SUM('Extended Budget Sheet - TB'!W395),IF(SETUP!$G$44=3,'TB-Key Info'!$L$16*SUM('Extended Budget Sheet - TB'!AC395),IF(SETUP!$G$44=2,'TB-Key Info'!$L$16*SUM('Extended Budget Sheet - TB'!AG395),IF(SETUP!$G$44=1,'TB-Key Info'!$L$16*SUM('Extended Budget Sheet - TB'!AK395),0)))),0))</f>
        <v>0</v>
      </c>
      <c r="AJ150" s="695"/>
      <c r="AK150" s="1492">
        <f t="shared" si="19"/>
        <v>0</v>
      </c>
      <c r="AL150" s="1493"/>
      <c r="AM150" s="1494"/>
      <c r="AN150" s="699"/>
      <c r="AO150" s="695"/>
      <c r="AP150" s="695">
        <f>IF(SETUP!$F$44="Upfront",'TB-Key Info'!$L$16*SUM('Extended Budget Sheet - TB'!AU395),IF(SETUP!$F$44="At delivery", IF(SETUP!$G$44=4,'TB-Key Info'!$L$16*SUM('Extended Budget Sheet - TB'!AC395),IF(SETUP!$G$44=3,'TB-Key Info'!$L$16*SUM('Extended Budget Sheet - TB'!AG395),IF(SETUP!$G$44=2,'TB-Key Info'!$L$16*SUM('Extended Budget Sheet - TB'!AK395),IF(SETUP!$G$44=1,'TB-Key Info'!$L$16*SUM('Extended Budget Sheet - TB'!AO395),0)))),0))</f>
        <v>0</v>
      </c>
      <c r="AQ150" s="695"/>
      <c r="AR150" s="695">
        <f>IF(SETUP!$F$44="Upfront",'TB-Key Info'!$L$16*SUM('Extended Budget Sheet - TB'!AY395),IF(SETUP!$F$44="At delivery", IF(SETUP!$G$44=4,'TB-Key Info'!$L$16*SUM('Extended Budget Sheet - TB'!AG395),IF(SETUP!$G$44=3,'TB-Key Info'!$L$16*SUM('Extended Budget Sheet - TB'!AK395),IF(SETUP!$G$44=2,'TB-Key Info'!$L$16*SUM('Extended Budget Sheet - TB'!AO395),IF(SETUP!$G$44=1,'TB-Key Info'!$L$16*SUM('Extended Budget Sheet - TB'!AU395),0)))),0))</f>
        <v>0</v>
      </c>
      <c r="AS150" s="695"/>
      <c r="AT150" s="695">
        <f>IF(SETUP!$F$44="Upfront",'TB-Key Info'!$L$16*SUM('Extended Budget Sheet - TB'!BC395),IF(SETUP!$F$44="At delivery", IF(SETUP!$G$44=4,'TB-Key Info'!$L$16*SUM('Extended Budget Sheet - TB'!AK395),IF(SETUP!$G$44=3,'TB-Key Info'!$L$16*SUM('Extended Budget Sheet - TB'!AO395),IF(SETUP!$G$44=2,'TB-Key Info'!$L$16*SUM('Extended Budget Sheet - TB'!AU395),IF(SETUP!$G$44=1,'TB-Key Info'!$L$16*SUM('Extended Budget Sheet - TB'!AY395),0)))),0))</f>
        <v>0</v>
      </c>
      <c r="AU150" s="695"/>
      <c r="AV150" s="695">
        <f>IF(SETUP!$F$44="Upfront",'TB-Key Info'!$L$16*SUM('Extended Budget Sheet - TB'!BG395),IF(SETUP!$F$44="At delivery", IF(SETUP!$G$44=4,'TB-Key Info'!$L$16*SUM(SUM('Extended Budget Sheet - TB'!AO395),SUM('Extended Budget Sheet - TB'!AU395),SUM('Extended Budget Sheet - TB'!AY395),SUM('Extended Budget Sheet - TB'!BC395),SUM('Extended Budget Sheet - TB'!BG395)),IF(SETUP!$G$44=3,'TB-Key Info'!$L$16*SUM(SUM('Extended Budget Sheet - TB'!AU395),SUM('Extended Budget Sheet - TB'!AY395),SUM('Extended Budget Sheet - TB'!BC395),SUM('Extended Budget Sheet - TB'!BG395)),IF(SETUP!$G$44=2,'TB-Key Info'!$L$16*SUM(SUM('Extended Budget Sheet - TB'!AY395),SUM('Extended Budget Sheet - TB'!BC395),SUM('Extended Budget Sheet - TB'!BG395)),IF(SETUP!$G$44=1,'TB-Key Info'!$L$16*SUM(SUM('Extended Budget Sheet - TB'!BC395),SUM('Extended Budget Sheet - TB'!BG395)),0)))),0))</f>
        <v>0</v>
      </c>
      <c r="AW150" s="695"/>
      <c r="AX150" s="1492">
        <f t="shared" si="20"/>
        <v>0</v>
      </c>
      <c r="AY150" s="1492"/>
      <c r="AZ150" s="698"/>
      <c r="BA150" s="699"/>
      <c r="BB150" s="697"/>
      <c r="BC150" s="697">
        <v>0</v>
      </c>
      <c r="BD150" s="697">
        <v>0</v>
      </c>
      <c r="BE150" s="697">
        <v>0</v>
      </c>
      <c r="BF150" s="697">
        <v>0</v>
      </c>
      <c r="BG150" s="697">
        <v>0</v>
      </c>
      <c r="BH150" s="697">
        <v>0</v>
      </c>
      <c r="BI150" s="697">
        <v>0</v>
      </c>
      <c r="BJ150" s="697">
        <v>0</v>
      </c>
      <c r="BK150" s="1492">
        <f t="shared" si="21"/>
        <v>0</v>
      </c>
      <c r="BL150" s="1492"/>
      <c r="BM150" s="1492">
        <f t="shared" si="22"/>
        <v>0</v>
      </c>
      <c r="BN150" s="1492">
        <f t="shared" si="23"/>
        <v>0</v>
      </c>
      <c r="BO150" s="697"/>
      <c r="BP150" s="697"/>
      <c r="BQ150" s="1495">
        <v>0</v>
      </c>
      <c r="BR150" s="1495" t="s">
        <v>816</v>
      </c>
      <c r="BS150" s="1495" t="s">
        <v>6950</v>
      </c>
      <c r="BT150" s="691" t="s">
        <v>1817</v>
      </c>
    </row>
    <row r="151" spans="1:72" s="1436" customFormat="1" ht="13" hidden="1">
      <c r="A151" s="1545">
        <v>360</v>
      </c>
      <c r="B151" s="1548" t="s">
        <v>785</v>
      </c>
      <c r="C151" s="1548" t="s">
        <v>786</v>
      </c>
      <c r="D151" s="1547" t="s">
        <v>2306</v>
      </c>
      <c r="E151" s="690" t="s">
        <v>714</v>
      </c>
      <c r="F151" s="1428"/>
      <c r="G151" s="1427"/>
      <c r="H151" s="1427"/>
      <c r="I151" s="1427"/>
      <c r="J151" s="1429"/>
      <c r="K151" s="1429"/>
      <c r="L151" s="1429"/>
      <c r="M151" s="1430"/>
      <c r="N151" s="1431"/>
      <c r="O151" s="1432" t="s">
        <v>1569</v>
      </c>
      <c r="P151" s="1431">
        <f>IF(SETUP!$F$44="Upfront",'TB-Key Info'!$L$16*SUM(SUM('Extended Budget Sheet - TB'!K394:K394)),0)</f>
        <v>0</v>
      </c>
      <c r="Q151" s="1431" t="s">
        <v>1569</v>
      </c>
      <c r="R151" s="1431">
        <f>IF(SETUP!$F$44="Upfront",'TB-Key Info'!$L$16*SUM(SUM('Extended Budget Sheet - TB'!O394:O394)),IF(SETUP!$F$44="At delivery", IF(SETUP!$G$44=1,'TB-Key Info'!$L$16*SUM(SUM('Extended Budget Sheet - TB'!K394:K394)),0),0))</f>
        <v>0</v>
      </c>
      <c r="S151" s="1431" t="s">
        <v>1569</v>
      </c>
      <c r="T151" s="1431">
        <f>IF(SETUP!$F$44="Upfront",'TB-Key Info'!$L$16*SUM(SUM('Extended Budget Sheet - TB'!S394:S394)),IF(SETUP!$F$44="At delivery", IF(SETUP!$G$44=2,'TB-Key Info'!$L$16*SUM(SUM('Extended Budget Sheet - TB'!K394:K394)),IF(SETUP!$G$44=1,'TB-Key Info'!$L$16*SUM(SUM('Extended Budget Sheet - TB'!O394:O394)),0)),0))</f>
        <v>0</v>
      </c>
      <c r="U151" s="1431" t="s">
        <v>1569</v>
      </c>
      <c r="V151" s="1431">
        <f>IF(SETUP!$F$44="Upfront",'TB-Key Info'!$L$16*SUM(SUM('Extended Budget Sheet - TB'!W394:W394)),IF(SETUP!$F$44="At delivery", IF(SETUP!$G$44=3,'TB-Key Info'!$L$16*SUM(SUM('Extended Budget Sheet - TB'!K394:K394)),IF(SETUP!$G$44=2,'TB-Key Info'!$L$16*SUM(SUM('Extended Budget Sheet - TB'!O394:O394)),IF(SETUP!$G$44=1,'TB-Key Info'!$L$16*SUM(SUM('Extended Budget Sheet - TB'!S394:S394)),0))),0))</f>
        <v>0</v>
      </c>
      <c r="W151" s="1431"/>
      <c r="X151" s="1499">
        <f t="shared" si="18"/>
        <v>0</v>
      </c>
      <c r="Y151" s="1500"/>
      <c r="Z151" s="1501"/>
      <c r="AA151" s="1435"/>
      <c r="AB151" s="1431"/>
      <c r="AC151" s="1431">
        <f>IF(SETUP!$F$44="Upfront",'TB-Key Info'!$L$16*SUM(SUM('Extended Budget Sheet - TB'!AC394:AC394)),IF(SETUP!$F$44="At delivery",IF(SETUP!$G$44=4,'TB-Key Info'!$L$16*SUM(SUM('Extended Budget Sheet - TB'!K394:K394)),IF(SETUP!$G$44=3,'TB-Key Info'!$L$16*SUM(SUM('Extended Budget Sheet - TB'!O394:O394)),IF(SETUP!$G$44=2,'TB-Key Info'!$L$16*SUM(SUM('Extended Budget Sheet - TB'!S394:S394)),IF(SETUP!$G$44=1,'TB-Key Info'!$L$16*SUM(SUM('Extended Budget Sheet - TB'!W394:W394)),0)))),0))</f>
        <v>0</v>
      </c>
      <c r="AD151" s="1431"/>
      <c r="AE151" s="1431">
        <f>IF(SETUP!$F$44="Upfront",'TB-Key Info'!$L$16*SUM(SUM('Extended Budget Sheet - TB'!AG394:AG394)),IF(SETUP!$F$44="At delivery", IF(SETUP!$G$44=4,'TB-Key Info'!$L$16*SUM(SUM('Extended Budget Sheet - TB'!O394:O394)),IF(SETUP!$G$44=3,'TB-Key Info'!$L$16*SUM(SUM('Extended Budget Sheet - TB'!S394:S394)),IF(SETUP!$G$44=2,'TB-Key Info'!$L$16*SUM(SUM('Extended Budget Sheet - TB'!W394:W394)),IF(SETUP!$G$44=1,'TB-Key Info'!$L$16*SUM(SUM('Extended Budget Sheet - TB'!AC394:AC394)),0)))),0))</f>
        <v>0</v>
      </c>
      <c r="AF151" s="1431"/>
      <c r="AG151" s="1431">
        <f>IF(SETUP!$F$44="Upfront",'TB-Key Info'!$L$16*SUM(SUM('Extended Budget Sheet - TB'!AK394:AK394)),IF(SETUP!$F$44="At delivery", IF(SETUP!$G$44=4,'TB-Key Info'!$L$16*SUM(SUM('Extended Budget Sheet - TB'!S394:S394)),IF(SETUP!$G$44=3,'TB-Key Info'!$L$16*SUM(SUM('Extended Budget Sheet - TB'!W394:W394)),IF(SETUP!$G$44=2,'TB-Key Info'!$L$16*SUM(SUM('Extended Budget Sheet - TB'!AC394:AC394)),IF(SETUP!$G$44=1,'TB-Key Info'!$L$16*SUM(SUM('Extended Budget Sheet - TB'!AG394:AG394)),0)))),0))</f>
        <v>0</v>
      </c>
      <c r="AH151" s="1431"/>
      <c r="AI151" s="1431">
        <f>IF(SETUP!$F$44="Upfront",'TB-Key Info'!$L$16*SUM(SUM('Extended Budget Sheet - TB'!AO394:AO394)),IF(SETUP!$F$44="At delivery", IF(SETUP!$G$44=4,'TB-Key Info'!$L$16*SUM(SUM('Extended Budget Sheet - TB'!W394:W394)),IF(SETUP!$G$44=3,'TB-Key Info'!$L$16*SUM(SUM('Extended Budget Sheet - TB'!AC394:AC394)),IF(SETUP!$G$44=2,'TB-Key Info'!$L$16*SUM(SUM('Extended Budget Sheet - TB'!AG394:AG394)),IF(SETUP!$G$44=1,'TB-Key Info'!$L$16*SUM(SUM('Extended Budget Sheet - TB'!AK394:AK394)),0)))),0))</f>
        <v>0</v>
      </c>
      <c r="AJ151" s="1431"/>
      <c r="AK151" s="1499">
        <f t="shared" si="19"/>
        <v>0</v>
      </c>
      <c r="AL151" s="1500"/>
      <c r="AM151" s="1501"/>
      <c r="AN151" s="1435"/>
      <c r="AO151" s="1431"/>
      <c r="AP151" s="1431">
        <f>IF(SETUP!$F$44="Upfront",'TB-Key Info'!$L$16*SUM(SUM('Extended Budget Sheet - TB'!AU394:AU394)),IF(SETUP!$F$44="At delivery", IF(SETUP!$G$44=4,'TB-Key Info'!$L$16*SUM(SUM('Extended Budget Sheet - TB'!AC394:AC394)),IF(SETUP!$G$44=3,'TB-Key Info'!$L$16*SUM(SUM('Extended Budget Sheet - TB'!AG394:AG394)),IF(SETUP!$G$44=2,'TB-Key Info'!$L$16*SUM(SUM('Extended Budget Sheet - TB'!AK394:AK394)),IF(SETUP!$G$44=1,'TB-Key Info'!$L$16*SUM(SUM('Extended Budget Sheet - TB'!AO394:AO394)),0)))),0))</f>
        <v>0</v>
      </c>
      <c r="AQ151" s="1431"/>
      <c r="AR151" s="1431">
        <f>IF(SETUP!$F$44="Upfront",'TB-Key Info'!$L$16*SUM(SUM('Extended Budget Sheet - TB'!AY394:AY394)),IF(SETUP!$F$44="At delivery", IF(SETUP!$G$44=4,'TB-Key Info'!$L$16*SUM(SUM('Extended Budget Sheet - TB'!AG394:AG394)),IF(SETUP!$G$44=3,'TB-Key Info'!$L$16*SUM(SUM('Extended Budget Sheet - TB'!AK394:AK394)),IF(SETUP!$G$44=2,'TB-Key Info'!$L$16*SUM(SUM('Extended Budget Sheet - TB'!AO394:AO394)),IF(SETUP!$G$44=1,'TB-Key Info'!$L$16*SUM(SUM('Extended Budget Sheet - TB'!AU394:AU394)),0)))),0))</f>
        <v>0</v>
      </c>
      <c r="AS151" s="1431"/>
      <c r="AT151" s="1431">
        <f>IF(SETUP!$F$44="Upfront",'TB-Key Info'!$L$16*SUM(SUM('Extended Budget Sheet - TB'!BC394:BC394)),IF(SETUP!$F$44="At delivery", IF(SETUP!$G$44=4,'TB-Key Info'!$L$16*SUM(SUM('Extended Budget Sheet - TB'!AK394:AK394)),IF(SETUP!$G$44=3,'TB-Key Info'!$L$16*SUM(SUM('Extended Budget Sheet - TB'!AO394:AO394)),IF(SETUP!$G$44=2,'TB-Key Info'!$L$16*SUM(SUM('Extended Budget Sheet - TB'!AU394:AU394)),IF(SETUP!$G$44=1,'TB-Key Info'!$L$16*SUM(SUM('Extended Budget Sheet - TB'!AY394:AY394)),0)))),0))</f>
        <v>0</v>
      </c>
      <c r="AU151" s="1431"/>
      <c r="AV151" s="1431">
        <f>IF(SETUP!$F$44="Upfront",'TB-Key Info'!$L$16*SUM(SUM('Extended Budget Sheet - TB'!BG394:BG394)),IF(SETUP!$F$44="At delivery", IF(SETUP!$G$44=4,'TB-Key Info'!$L$16*SUM(SUM('Extended Budget Sheet - TB'!AO394:AO394),SUM('Extended Budget Sheet - TB'!AU394:AU394),SUM('Extended Budget Sheet - TB'!AY394:AY394),SUM('Extended Budget Sheet - TB'!BC394:BC394),SUM('Extended Budget Sheet - TB'!BG394:BG394)),IF(SETUP!$G$44=3,'TB-Key Info'!$L$16*SUM(SUM('Extended Budget Sheet - TB'!AU394:AU394),SUM('Extended Budget Sheet - TB'!AY394:AY394),SUM('Extended Budget Sheet - TB'!BC394:BC394),SUM('Extended Budget Sheet - TB'!BG394:BG394)),IF(SETUP!$G$44=2,'TB-Key Info'!$L$16*SUM(SUM('Extended Budget Sheet - TB'!AY394:AY394),SUM('Extended Budget Sheet - TB'!BC394:BC394),SUM('Extended Budget Sheet - TB'!BG394:BG394)),IF(SETUP!$G$44=1,'TB-Key Info'!$L$16*SUM(SUM('Extended Budget Sheet - TB'!BC394:BC394),SUM('Extended Budget Sheet - TB'!BG394:BG394)),0)))),0))</f>
        <v>0</v>
      </c>
      <c r="AW151" s="1431"/>
      <c r="AX151" s="1499">
        <f t="shared" si="20"/>
        <v>0</v>
      </c>
      <c r="AY151" s="1499"/>
      <c r="AZ151" s="1434"/>
      <c r="BA151" s="1435"/>
      <c r="BB151" s="1433"/>
      <c r="BC151" s="1433">
        <v>0</v>
      </c>
      <c r="BD151" s="1433">
        <v>0</v>
      </c>
      <c r="BE151" s="1433">
        <v>0</v>
      </c>
      <c r="BF151" s="1433">
        <v>0</v>
      </c>
      <c r="BG151" s="1433">
        <v>0</v>
      </c>
      <c r="BH151" s="1433">
        <v>0</v>
      </c>
      <c r="BI151" s="1433">
        <v>0</v>
      </c>
      <c r="BJ151" s="1433">
        <v>0</v>
      </c>
      <c r="BK151" s="1499">
        <f t="shared" si="21"/>
        <v>0</v>
      </c>
      <c r="BL151" s="1499"/>
      <c r="BM151" s="1499">
        <f t="shared" si="22"/>
        <v>0</v>
      </c>
      <c r="BN151" s="1499">
        <f t="shared" si="23"/>
        <v>0</v>
      </c>
      <c r="BO151" s="1433"/>
      <c r="BP151" s="1433"/>
      <c r="BQ151" s="1495">
        <v>0</v>
      </c>
      <c r="BR151" s="1495" t="s">
        <v>816</v>
      </c>
      <c r="BS151" s="1495" t="s">
        <v>2306</v>
      </c>
      <c r="BT151" s="1428" t="s">
        <v>1844</v>
      </c>
    </row>
    <row r="152" spans="1:72" s="681" customFormat="1" ht="13" hidden="1">
      <c r="A152" s="1545">
        <v>361</v>
      </c>
      <c r="B152" s="1546" t="s">
        <v>785</v>
      </c>
      <c r="C152" s="1546" t="s">
        <v>786</v>
      </c>
      <c r="D152" s="1547" t="s">
        <v>6929</v>
      </c>
      <c r="E152" s="690" t="s">
        <v>656</v>
      </c>
      <c r="F152" s="691"/>
      <c r="G152" s="692"/>
      <c r="H152" s="692"/>
      <c r="I152" s="692"/>
      <c r="J152" s="693"/>
      <c r="K152" s="693"/>
      <c r="L152" s="693"/>
      <c r="M152" s="694"/>
      <c r="N152" s="695"/>
      <c r="O152" s="696" t="s">
        <v>1569</v>
      </c>
      <c r="P152" s="695">
        <f>'TB-Key Info'!$L$16*('HPM costs'!F57+'HPM costs'!F60+'HPM costs'!F63+'HPM costs'!F66)</f>
        <v>0</v>
      </c>
      <c r="Q152" s="695" t="s">
        <v>1569</v>
      </c>
      <c r="R152" s="695">
        <f>'TB-Key Info'!$L$16*('HPM costs'!G57+'HPM costs'!G60+'HPM costs'!G63+'HPM costs'!G66)</f>
        <v>0</v>
      </c>
      <c r="S152" s="695" t="s">
        <v>1569</v>
      </c>
      <c r="T152" s="695">
        <f>'TB-Key Info'!$L$16*('HPM costs'!H57+'HPM costs'!H60+'HPM costs'!H63+'HPM costs'!H66)</f>
        <v>0</v>
      </c>
      <c r="U152" s="695" t="s">
        <v>1569</v>
      </c>
      <c r="V152" s="695">
        <f>'TB-Key Info'!$L$16*('HPM costs'!I57+'HPM costs'!I60+'HPM costs'!I63+'HPM costs'!I66)</f>
        <v>0</v>
      </c>
      <c r="W152" s="695"/>
      <c r="X152" s="1492">
        <f t="shared" si="18"/>
        <v>0</v>
      </c>
      <c r="Y152" s="1493"/>
      <c r="Z152" s="1494"/>
      <c r="AA152" s="699"/>
      <c r="AB152" s="695"/>
      <c r="AC152" s="695">
        <f>'TB-Key Info'!$L$16*('HPM costs'!K57+'HPM costs'!K60+'HPM costs'!K63+'HPM costs'!K66)</f>
        <v>0</v>
      </c>
      <c r="AD152" s="695"/>
      <c r="AE152" s="695">
        <f>'TB-Key Info'!$L$16*('HPM costs'!L57+'HPM costs'!L60+'HPM costs'!L63+'HPM costs'!L66)</f>
        <v>0</v>
      </c>
      <c r="AF152" s="695"/>
      <c r="AG152" s="695">
        <f>'TB-Key Info'!$L$16*('HPM costs'!M57+'HPM costs'!M60+'HPM costs'!M63+'HPM costs'!M66)</f>
        <v>0</v>
      </c>
      <c r="AH152" s="695"/>
      <c r="AI152" s="695">
        <f>'TB-Key Info'!$L$16*('HPM costs'!N57+'HPM costs'!N60+'HPM costs'!N63+'HPM costs'!N66)</f>
        <v>0</v>
      </c>
      <c r="AJ152" s="695"/>
      <c r="AK152" s="1492">
        <f t="shared" si="19"/>
        <v>0</v>
      </c>
      <c r="AL152" s="1493"/>
      <c r="AM152" s="1494"/>
      <c r="AN152" s="699"/>
      <c r="AO152" s="695"/>
      <c r="AP152" s="695">
        <f>'TB-Key Info'!$L$16*('HPM costs'!P57+'HPM costs'!P60+'HPM costs'!P63+'HPM costs'!P66)</f>
        <v>0</v>
      </c>
      <c r="AQ152" s="695"/>
      <c r="AR152" s="695">
        <f>'TB-Key Info'!$L$16*('HPM costs'!Q57+'HPM costs'!Q60+'HPM costs'!Q63+'HPM costs'!Q66)</f>
        <v>0</v>
      </c>
      <c r="AS152" s="695"/>
      <c r="AT152" s="695">
        <f>'TB-Key Info'!$L$16*('HPM costs'!R57+'HPM costs'!R60+'HPM costs'!R63+'HPM costs'!R66)</f>
        <v>0</v>
      </c>
      <c r="AU152" s="695"/>
      <c r="AV152" s="695">
        <f>'TB-Key Info'!$L$16*('HPM costs'!S57+'HPM costs'!S60+'HPM costs'!S63+'HPM costs'!S66)</f>
        <v>0</v>
      </c>
      <c r="AW152" s="695"/>
      <c r="AX152" s="1492">
        <f t="shared" si="20"/>
        <v>0</v>
      </c>
      <c r="AY152" s="1492"/>
      <c r="AZ152" s="698"/>
      <c r="BA152" s="699"/>
      <c r="BB152" s="697"/>
      <c r="BC152" s="697">
        <v>0</v>
      </c>
      <c r="BD152" s="697">
        <v>0</v>
      </c>
      <c r="BE152" s="697">
        <v>0</v>
      </c>
      <c r="BF152" s="697">
        <v>0</v>
      </c>
      <c r="BG152" s="697">
        <v>0</v>
      </c>
      <c r="BH152" s="697">
        <v>0</v>
      </c>
      <c r="BI152" s="697">
        <v>0</v>
      </c>
      <c r="BJ152" s="697">
        <v>0</v>
      </c>
      <c r="BK152" s="1492">
        <f t="shared" si="21"/>
        <v>0</v>
      </c>
      <c r="BL152" s="1492"/>
      <c r="BM152" s="1492">
        <f t="shared" si="22"/>
        <v>0</v>
      </c>
      <c r="BN152" s="1492">
        <f t="shared" si="23"/>
        <v>0</v>
      </c>
      <c r="BO152" s="697"/>
      <c r="BP152" s="697"/>
      <c r="BQ152" s="1495">
        <v>0</v>
      </c>
      <c r="BR152" s="1495" t="s">
        <v>816</v>
      </c>
      <c r="BS152" s="1495" t="s">
        <v>6929</v>
      </c>
      <c r="BT152" s="691" t="s">
        <v>1818</v>
      </c>
    </row>
    <row r="153" spans="1:72" s="681" customFormat="1" ht="13" hidden="1">
      <c r="A153" s="1545">
        <v>362</v>
      </c>
      <c r="B153" s="1546" t="s">
        <v>785</v>
      </c>
      <c r="C153" s="1546" t="s">
        <v>786</v>
      </c>
      <c r="D153" s="1547" t="s">
        <v>6929</v>
      </c>
      <c r="E153" s="690" t="s">
        <v>658</v>
      </c>
      <c r="F153" s="691"/>
      <c r="G153" s="692"/>
      <c r="H153" s="692"/>
      <c r="I153" s="692"/>
      <c r="J153" s="693"/>
      <c r="K153" s="693"/>
      <c r="L153" s="693"/>
      <c r="M153" s="694"/>
      <c r="N153" s="695"/>
      <c r="O153" s="696" t="s">
        <v>1569</v>
      </c>
      <c r="P153" s="695">
        <f>'TB-Key Info'!$L$16*('HPM costs'!F143+'HPM costs'!F146+'HPM costs'!F149+'HPM costs'!F152)</f>
        <v>0</v>
      </c>
      <c r="Q153" s="695" t="s">
        <v>1569</v>
      </c>
      <c r="R153" s="695">
        <f>'TB-Key Info'!$L$16*('HPM costs'!G143+'HPM costs'!G146+'HPM costs'!G149+'HPM costs'!G152)</f>
        <v>0</v>
      </c>
      <c r="S153" s="695" t="s">
        <v>1569</v>
      </c>
      <c r="T153" s="695">
        <f>'TB-Key Info'!$L$16*('HPM costs'!H143+'HPM costs'!H146+'HPM costs'!H149+'HPM costs'!H152)</f>
        <v>0</v>
      </c>
      <c r="U153" s="695" t="s">
        <v>1569</v>
      </c>
      <c r="V153" s="695">
        <f>'TB-Key Info'!$L$16*('HPM costs'!I143+'HPM costs'!I146+'HPM costs'!I149+'HPM costs'!I152)</f>
        <v>0</v>
      </c>
      <c r="W153" s="695"/>
      <c r="X153" s="1492">
        <f t="shared" si="18"/>
        <v>0</v>
      </c>
      <c r="Y153" s="1493"/>
      <c r="Z153" s="1494"/>
      <c r="AA153" s="699"/>
      <c r="AB153" s="695"/>
      <c r="AC153" s="695">
        <f>'TB-Key Info'!$L$16*('HPM costs'!K143+'HPM costs'!K146+'HPM costs'!K149+'HPM costs'!K152)</f>
        <v>0</v>
      </c>
      <c r="AD153" s="695"/>
      <c r="AE153" s="695">
        <f>'TB-Key Info'!$L$16*('HPM costs'!L143+'HPM costs'!L146+'HPM costs'!L149+'HPM costs'!L152)</f>
        <v>0</v>
      </c>
      <c r="AF153" s="695"/>
      <c r="AG153" s="695">
        <f>'TB-Key Info'!$L$16*('HPM costs'!M143+'HPM costs'!M146+'HPM costs'!M149+'HPM costs'!M152)</f>
        <v>0</v>
      </c>
      <c r="AH153" s="695"/>
      <c r="AI153" s="695">
        <f>'TB-Key Info'!$L$16*('HPM costs'!N143+'HPM costs'!N146+'HPM costs'!N149+'HPM costs'!N152)</f>
        <v>0</v>
      </c>
      <c r="AJ153" s="695"/>
      <c r="AK153" s="1492">
        <f t="shared" si="19"/>
        <v>0</v>
      </c>
      <c r="AL153" s="1493"/>
      <c r="AM153" s="1494"/>
      <c r="AN153" s="699"/>
      <c r="AO153" s="695"/>
      <c r="AP153" s="695">
        <f>'TB-Key Info'!$L$16*('HPM costs'!P143+'HPM costs'!P146+'HPM costs'!P149+'HPM costs'!P152)</f>
        <v>0</v>
      </c>
      <c r="AQ153" s="695"/>
      <c r="AR153" s="695">
        <f>'TB-Key Info'!$L$16*('HPM costs'!Q143+'HPM costs'!Q146+'HPM costs'!Q149+'HPM costs'!Q152)</f>
        <v>0</v>
      </c>
      <c r="AS153" s="695"/>
      <c r="AT153" s="695">
        <f>'TB-Key Info'!$L$16*('HPM costs'!R143+'HPM costs'!R146+'HPM costs'!R149+'HPM costs'!R152)</f>
        <v>0</v>
      </c>
      <c r="AU153" s="695"/>
      <c r="AV153" s="695">
        <f>'TB-Key Info'!$L$16*('HPM costs'!S143+'HPM costs'!S146+'HPM costs'!S149+'HPM costs'!S152)</f>
        <v>0</v>
      </c>
      <c r="AW153" s="695"/>
      <c r="AX153" s="1492">
        <f t="shared" si="20"/>
        <v>0</v>
      </c>
      <c r="AY153" s="1492"/>
      <c r="AZ153" s="698"/>
      <c r="BA153" s="699"/>
      <c r="BB153" s="697"/>
      <c r="BC153" s="697">
        <v>0</v>
      </c>
      <c r="BD153" s="697">
        <v>0</v>
      </c>
      <c r="BE153" s="697">
        <v>0</v>
      </c>
      <c r="BF153" s="697">
        <v>0</v>
      </c>
      <c r="BG153" s="697">
        <v>0</v>
      </c>
      <c r="BH153" s="697">
        <v>0</v>
      </c>
      <c r="BI153" s="697">
        <v>0</v>
      </c>
      <c r="BJ153" s="697">
        <v>0</v>
      </c>
      <c r="BK153" s="1492">
        <f t="shared" si="21"/>
        <v>0</v>
      </c>
      <c r="BL153" s="1492"/>
      <c r="BM153" s="1492">
        <f t="shared" si="22"/>
        <v>0</v>
      </c>
      <c r="BN153" s="1492">
        <f t="shared" si="23"/>
        <v>0</v>
      </c>
      <c r="BO153" s="697"/>
      <c r="BP153" s="697"/>
      <c r="BQ153" s="1495">
        <v>0</v>
      </c>
      <c r="BR153" s="1495" t="s">
        <v>816</v>
      </c>
      <c r="BS153" s="1495" t="s">
        <v>6929</v>
      </c>
      <c r="BT153" s="691" t="s">
        <v>1819</v>
      </c>
    </row>
    <row r="154" spans="1:72" s="681" customFormat="1" ht="13" hidden="1">
      <c r="A154" s="1545">
        <v>363</v>
      </c>
      <c r="B154" s="1546" t="s">
        <v>785</v>
      </c>
      <c r="C154" s="1546" t="s">
        <v>786</v>
      </c>
      <c r="D154" s="1547" t="s">
        <v>6929</v>
      </c>
      <c r="E154" s="690" t="s">
        <v>660</v>
      </c>
      <c r="F154" s="691"/>
      <c r="G154" s="692"/>
      <c r="H154" s="692"/>
      <c r="I154" s="692"/>
      <c r="J154" s="693"/>
      <c r="K154" s="693"/>
      <c r="L154" s="693"/>
      <c r="M154" s="694"/>
      <c r="N154" s="695"/>
      <c r="O154" s="696" t="s">
        <v>1569</v>
      </c>
      <c r="P154" s="695">
        <f>'TB-Key Info'!$L$16*('HPM costs'!F403+'HPM costs'!F406+'HPM costs'!F409+'HPM costs'!F412)</f>
        <v>0</v>
      </c>
      <c r="Q154" s="695" t="s">
        <v>1569</v>
      </c>
      <c r="R154" s="695">
        <f>'TB-Key Info'!$L$16*('HPM costs'!G403+'HPM costs'!G406+'HPM costs'!G409+'HPM costs'!G412)</f>
        <v>0</v>
      </c>
      <c r="S154" s="695" t="s">
        <v>1569</v>
      </c>
      <c r="T154" s="695">
        <f>'TB-Key Info'!$L$16*('HPM costs'!H403+'HPM costs'!H406+'HPM costs'!H409+'HPM costs'!H412)</f>
        <v>0</v>
      </c>
      <c r="U154" s="695" t="s">
        <v>1569</v>
      </c>
      <c r="V154" s="695">
        <f>'TB-Key Info'!$L$16*('HPM costs'!I403+'HPM costs'!I406+'HPM costs'!I409+'HPM costs'!I412)</f>
        <v>0</v>
      </c>
      <c r="W154" s="695"/>
      <c r="X154" s="1492">
        <f t="shared" si="18"/>
        <v>0</v>
      </c>
      <c r="Y154" s="1493"/>
      <c r="Z154" s="1494"/>
      <c r="AA154" s="699"/>
      <c r="AB154" s="695"/>
      <c r="AC154" s="695">
        <f>'TB-Key Info'!$L$16*('HPM costs'!K403+'HPM costs'!K406+'HPM costs'!K409+'HPM costs'!K412)</f>
        <v>0</v>
      </c>
      <c r="AD154" s="695"/>
      <c r="AE154" s="695">
        <f>'TB-Key Info'!$L$16*('HPM costs'!L403+'HPM costs'!L406+'HPM costs'!L409+'HPM costs'!L412)</f>
        <v>0</v>
      </c>
      <c r="AF154" s="695"/>
      <c r="AG154" s="695">
        <f>'TB-Key Info'!$L$16*('HPM costs'!M403+'HPM costs'!M406+'HPM costs'!M409+'HPM costs'!M412)</f>
        <v>0</v>
      </c>
      <c r="AH154" s="695"/>
      <c r="AI154" s="695">
        <f>'TB-Key Info'!$L$16*('HPM costs'!N403+'HPM costs'!N406+'HPM costs'!N409+'HPM costs'!N412)</f>
        <v>0</v>
      </c>
      <c r="AJ154" s="695"/>
      <c r="AK154" s="1492">
        <f t="shared" si="19"/>
        <v>0</v>
      </c>
      <c r="AL154" s="1493"/>
      <c r="AM154" s="1494"/>
      <c r="AN154" s="699"/>
      <c r="AO154" s="695"/>
      <c r="AP154" s="695">
        <f>'TB-Key Info'!$L$16*('HPM costs'!P403+'HPM costs'!P406+'HPM costs'!P409+'HPM costs'!P412)</f>
        <v>0</v>
      </c>
      <c r="AQ154" s="695"/>
      <c r="AR154" s="695">
        <f>'TB-Key Info'!$L$16*('HPM costs'!Q403+'HPM costs'!Q406+'HPM costs'!Q409+'HPM costs'!Q412)</f>
        <v>0</v>
      </c>
      <c r="AS154" s="695"/>
      <c r="AT154" s="695">
        <f>'TB-Key Info'!$L$16*('HPM costs'!R403+'HPM costs'!R406+'HPM costs'!R409+'HPM costs'!R412)</f>
        <v>0</v>
      </c>
      <c r="AU154" s="695"/>
      <c r="AV154" s="695">
        <f>'TB-Key Info'!$L$16*('HPM costs'!S403+'HPM costs'!S406+'HPM costs'!S409+'HPM costs'!S412)</f>
        <v>0</v>
      </c>
      <c r="AW154" s="695"/>
      <c r="AX154" s="1492">
        <f t="shared" si="20"/>
        <v>0</v>
      </c>
      <c r="AY154" s="1492"/>
      <c r="AZ154" s="698"/>
      <c r="BA154" s="699"/>
      <c r="BB154" s="697"/>
      <c r="BC154" s="697">
        <v>0</v>
      </c>
      <c r="BD154" s="697">
        <v>0</v>
      </c>
      <c r="BE154" s="697">
        <v>0</v>
      </c>
      <c r="BF154" s="697">
        <v>0</v>
      </c>
      <c r="BG154" s="697">
        <v>0</v>
      </c>
      <c r="BH154" s="697">
        <v>0</v>
      </c>
      <c r="BI154" s="697">
        <v>0</v>
      </c>
      <c r="BJ154" s="697">
        <v>0</v>
      </c>
      <c r="BK154" s="1492">
        <f t="shared" si="21"/>
        <v>0</v>
      </c>
      <c r="BL154" s="1492"/>
      <c r="BM154" s="1492">
        <f t="shared" si="22"/>
        <v>0</v>
      </c>
      <c r="BN154" s="1492">
        <f t="shared" si="23"/>
        <v>0</v>
      </c>
      <c r="BO154" s="697"/>
      <c r="BP154" s="697"/>
      <c r="BQ154" s="1495">
        <v>0</v>
      </c>
      <c r="BR154" s="1495" t="s">
        <v>816</v>
      </c>
      <c r="BS154" s="1495" t="s">
        <v>6929</v>
      </c>
      <c r="BT154" s="691" t="s">
        <v>1820</v>
      </c>
    </row>
    <row r="155" spans="1:72" s="681" customFormat="1" ht="13" hidden="1">
      <c r="A155" s="1545">
        <v>364</v>
      </c>
      <c r="B155" s="1546" t="s">
        <v>785</v>
      </c>
      <c r="C155" s="1546" t="s">
        <v>786</v>
      </c>
      <c r="D155" s="1547" t="s">
        <v>6929</v>
      </c>
      <c r="E155" s="690" t="s">
        <v>662</v>
      </c>
      <c r="F155" s="691"/>
      <c r="G155" s="692"/>
      <c r="H155" s="692"/>
      <c r="I155" s="692"/>
      <c r="J155" s="693"/>
      <c r="K155" s="693"/>
      <c r="L155" s="693"/>
      <c r="M155" s="694" t="e">
        <f>X155/W155</f>
        <v>#DIV/0!</v>
      </c>
      <c r="N155" s="695" t="e">
        <f>IF(M155&lt;&gt;"",M155/VLOOKUP($K155,SETUP!$C$28:$D$42,2,0),"")</f>
        <v>#DIV/0!</v>
      </c>
      <c r="O155" s="696" t="s">
        <v>1569</v>
      </c>
      <c r="P155" s="695">
        <f>'TB-Key Info'!$L$16*('HPM costs'!F489+'HPM costs'!F492+'HPM costs'!F495+'HPM costs'!F498)</f>
        <v>0</v>
      </c>
      <c r="Q155" s="695"/>
      <c r="R155" s="695">
        <f>'TB-Key Info'!$L$16*('HPM costs'!G489+'HPM costs'!G492+'HPM costs'!G495+'HPM costs'!G498)</f>
        <v>0</v>
      </c>
      <c r="S155" s="695"/>
      <c r="T155" s="695">
        <f>'TB-Key Info'!$L$16*('HPM costs'!H489+'HPM costs'!H492+'HPM costs'!H495+'HPM costs'!H498)</f>
        <v>0</v>
      </c>
      <c r="U155" s="695"/>
      <c r="V155" s="695">
        <f>'TB-Key Info'!$L$16*('HPM costs'!I489+'HPM costs'!I492+'HPM costs'!I495+'HPM costs'!I498)</f>
        <v>0</v>
      </c>
      <c r="W155" s="695"/>
      <c r="X155" s="1492">
        <f t="shared" si="18"/>
        <v>0</v>
      </c>
      <c r="Y155" s="1493"/>
      <c r="Z155" s="1494"/>
      <c r="AA155" s="699"/>
      <c r="AB155" s="695"/>
      <c r="AC155" s="695">
        <f>'TB-Key Info'!$L$16*('HPM costs'!K489+'HPM costs'!K492+'HPM costs'!K495+'HPM costs'!K498)</f>
        <v>0</v>
      </c>
      <c r="AD155" s="695"/>
      <c r="AE155" s="695">
        <f>'TB-Key Info'!$L$16*('HPM costs'!L489+'HPM costs'!L492+'HPM costs'!L495+'HPM costs'!L498)</f>
        <v>0</v>
      </c>
      <c r="AF155" s="695"/>
      <c r="AG155" s="695">
        <f>'TB-Key Info'!$L$16*('HPM costs'!M489+'HPM costs'!M492+'HPM costs'!M495+'HPM costs'!M498)</f>
        <v>0</v>
      </c>
      <c r="AH155" s="695"/>
      <c r="AI155" s="695">
        <f>'TB-Key Info'!$L$16*('HPM costs'!N489+'HPM costs'!N492+'HPM costs'!N495+'HPM costs'!N498)</f>
        <v>0</v>
      </c>
      <c r="AJ155" s="695"/>
      <c r="AK155" s="1492">
        <f t="shared" si="19"/>
        <v>0</v>
      </c>
      <c r="AL155" s="1493"/>
      <c r="AM155" s="1494"/>
      <c r="AN155" s="699"/>
      <c r="AO155" s="695"/>
      <c r="AP155" s="695">
        <f>'TB-Key Info'!$L$16*('HPM costs'!P489+'HPM costs'!P492+'HPM costs'!P495+'HPM costs'!P498)</f>
        <v>0</v>
      </c>
      <c r="AQ155" s="695"/>
      <c r="AR155" s="695">
        <f>'TB-Key Info'!$L$16*('HPM costs'!Q489+'HPM costs'!Q492+'HPM costs'!Q495+'HPM costs'!Q498)</f>
        <v>0</v>
      </c>
      <c r="AS155" s="695"/>
      <c r="AT155" s="695">
        <f>'TB-Key Info'!$L$16*('HPM costs'!R489+'HPM costs'!R492+'HPM costs'!R495+'HPM costs'!R498)</f>
        <v>0</v>
      </c>
      <c r="AU155" s="695"/>
      <c r="AV155" s="695">
        <f>'TB-Key Info'!$L$16*('HPM costs'!S489+'HPM costs'!S492+'HPM costs'!S495+'HPM costs'!S498)</f>
        <v>0</v>
      </c>
      <c r="AW155" s="695"/>
      <c r="AX155" s="1492">
        <f t="shared" si="20"/>
        <v>0</v>
      </c>
      <c r="AY155" s="1492"/>
      <c r="AZ155" s="698"/>
      <c r="BA155" s="699"/>
      <c r="BB155" s="697"/>
      <c r="BC155" s="697">
        <v>0</v>
      </c>
      <c r="BD155" s="697">
        <v>0</v>
      </c>
      <c r="BE155" s="697">
        <v>0</v>
      </c>
      <c r="BF155" s="697">
        <v>0</v>
      </c>
      <c r="BG155" s="697">
        <v>0</v>
      </c>
      <c r="BH155" s="697">
        <v>0</v>
      </c>
      <c r="BI155" s="697">
        <v>0</v>
      </c>
      <c r="BJ155" s="697">
        <v>0</v>
      </c>
      <c r="BK155" s="1492">
        <f t="shared" si="21"/>
        <v>0</v>
      </c>
      <c r="BL155" s="1492"/>
      <c r="BM155" s="1492">
        <f t="shared" si="22"/>
        <v>0</v>
      </c>
      <c r="BN155" s="1492">
        <f t="shared" si="23"/>
        <v>0</v>
      </c>
      <c r="BO155" s="697"/>
      <c r="BP155" s="697"/>
      <c r="BQ155" s="1495">
        <v>0</v>
      </c>
      <c r="BR155" s="1495" t="s">
        <v>816</v>
      </c>
      <c r="BS155" s="1495" t="s">
        <v>6929</v>
      </c>
      <c r="BT155" s="691" t="s">
        <v>1821</v>
      </c>
    </row>
    <row r="156" spans="1:72" s="681" customFormat="1" ht="13" hidden="1">
      <c r="A156" s="1545">
        <v>365</v>
      </c>
      <c r="B156" s="1546" t="s">
        <v>785</v>
      </c>
      <c r="C156" s="1546" t="s">
        <v>786</v>
      </c>
      <c r="D156" s="1547" t="s">
        <v>6929</v>
      </c>
      <c r="E156" s="690" t="s">
        <v>664</v>
      </c>
      <c r="F156" s="691"/>
      <c r="G156" s="692"/>
      <c r="H156" s="692"/>
      <c r="I156" s="692"/>
      <c r="J156" s="693"/>
      <c r="K156" s="693"/>
      <c r="L156" s="693"/>
      <c r="M156" s="694"/>
      <c r="N156" s="695"/>
      <c r="O156" s="696" t="s">
        <v>1569</v>
      </c>
      <c r="P156" s="695">
        <f>'TB-Key Info'!$L$16*('HPM costs'!F229+'HPM costs'!F232+'HPM costs'!F235+'HPM costs'!F238+'HPM costs'!F575+'HPM costs'!F578+'HPM costs'!F581+'HPM costs'!F584)</f>
        <v>0</v>
      </c>
      <c r="Q156" s="695" t="s">
        <v>1569</v>
      </c>
      <c r="R156" s="695">
        <f>'TB-Key Info'!$L$16*('HPM costs'!G229+'HPM costs'!G232+'HPM costs'!G235+'HPM costs'!G238+'HPM costs'!G575+'HPM costs'!G578+'HPM costs'!G581+'HPM costs'!G584)</f>
        <v>0</v>
      </c>
      <c r="S156" s="695" t="s">
        <v>1569</v>
      </c>
      <c r="T156" s="695">
        <f>'TB-Key Info'!$L$16*('HPM costs'!H229+'HPM costs'!H232+'HPM costs'!H235+'HPM costs'!H238+'HPM costs'!H575+'HPM costs'!H578+'HPM costs'!H581+'HPM costs'!H584)</f>
        <v>0</v>
      </c>
      <c r="U156" s="695" t="s">
        <v>1569</v>
      </c>
      <c r="V156" s="695">
        <f>'TB-Key Info'!$L$16*('HPM costs'!I229+'HPM costs'!I232+'HPM costs'!I235+'HPM costs'!I238+'HPM costs'!I575+'HPM costs'!I578+'HPM costs'!I581+'HPM costs'!I584)</f>
        <v>0</v>
      </c>
      <c r="W156" s="695"/>
      <c r="X156" s="1492">
        <f t="shared" si="18"/>
        <v>0</v>
      </c>
      <c r="Y156" s="1493"/>
      <c r="Z156" s="1494"/>
      <c r="AA156" s="699"/>
      <c r="AB156" s="695"/>
      <c r="AC156" s="695">
        <f>'TB-Key Info'!$L$16*('HPM costs'!K229+'HPM costs'!K232+'HPM costs'!K235+'HPM costs'!K238+'HPM costs'!K575+'HPM costs'!K578+'HPM costs'!K581+'HPM costs'!K584)</f>
        <v>0</v>
      </c>
      <c r="AD156" s="695"/>
      <c r="AE156" s="695">
        <f>'TB-Key Info'!$L$16*('HPM costs'!L229+'HPM costs'!L232+'HPM costs'!L235+'HPM costs'!L238+'HPM costs'!L575+'HPM costs'!L578+'HPM costs'!L581+'HPM costs'!L584)</f>
        <v>0</v>
      </c>
      <c r="AF156" s="695"/>
      <c r="AG156" s="695">
        <f>'TB-Key Info'!$L$16*('HPM costs'!M229+'HPM costs'!M232+'HPM costs'!M235+'HPM costs'!M238+'HPM costs'!M575+'HPM costs'!M578+'HPM costs'!M581+'HPM costs'!M584)</f>
        <v>0</v>
      </c>
      <c r="AH156" s="695"/>
      <c r="AI156" s="695">
        <f>'TB-Key Info'!$L$16*('HPM costs'!N229+'HPM costs'!N232+'HPM costs'!N235+'HPM costs'!N238+'HPM costs'!N575+'HPM costs'!N578+'HPM costs'!N581+'HPM costs'!N584)</f>
        <v>0</v>
      </c>
      <c r="AJ156" s="695"/>
      <c r="AK156" s="1492">
        <f t="shared" si="19"/>
        <v>0</v>
      </c>
      <c r="AL156" s="1493"/>
      <c r="AM156" s="1494"/>
      <c r="AN156" s="699"/>
      <c r="AO156" s="695"/>
      <c r="AP156" s="695">
        <f>'TB-Key Info'!$L$16*('HPM costs'!P229+'HPM costs'!P232+'HPM costs'!P235+'HPM costs'!P238+'HPM costs'!P575+'HPM costs'!P578+'HPM costs'!P581+'HPM costs'!P584)</f>
        <v>0</v>
      </c>
      <c r="AQ156" s="695"/>
      <c r="AR156" s="695">
        <f>'TB-Key Info'!$L$16*('HPM costs'!Q229+'HPM costs'!Q232+'HPM costs'!Q235+'HPM costs'!Q238+'HPM costs'!Q575+'HPM costs'!Q578+'HPM costs'!Q581+'HPM costs'!Q584)</f>
        <v>0</v>
      </c>
      <c r="AS156" s="695"/>
      <c r="AT156" s="695">
        <f>'TB-Key Info'!$L$16*('HPM costs'!R229+'HPM costs'!R232+'HPM costs'!R235+'HPM costs'!R238+'HPM costs'!R575+'HPM costs'!R578+'HPM costs'!R581+'HPM costs'!R584)</f>
        <v>0</v>
      </c>
      <c r="AU156" s="695"/>
      <c r="AV156" s="695">
        <f>'TB-Key Info'!$L$16*('HPM costs'!S229+'HPM costs'!S232+'HPM costs'!S235+'HPM costs'!S238+'HPM costs'!S575+'HPM costs'!S578+'HPM costs'!S581+'HPM costs'!S584)</f>
        <v>0</v>
      </c>
      <c r="AW156" s="695"/>
      <c r="AX156" s="1492">
        <f t="shared" si="20"/>
        <v>0</v>
      </c>
      <c r="AY156" s="1492"/>
      <c r="AZ156" s="698"/>
      <c r="BA156" s="699"/>
      <c r="BB156" s="697"/>
      <c r="BC156" s="697">
        <v>0</v>
      </c>
      <c r="BD156" s="697">
        <v>0</v>
      </c>
      <c r="BE156" s="697">
        <v>0</v>
      </c>
      <c r="BF156" s="697">
        <v>0</v>
      </c>
      <c r="BG156" s="697">
        <v>0</v>
      </c>
      <c r="BH156" s="697">
        <v>0</v>
      </c>
      <c r="BI156" s="697">
        <v>0</v>
      </c>
      <c r="BJ156" s="697">
        <v>0</v>
      </c>
      <c r="BK156" s="1492">
        <f t="shared" si="21"/>
        <v>0</v>
      </c>
      <c r="BL156" s="1492"/>
      <c r="BM156" s="1492">
        <f t="shared" si="22"/>
        <v>0</v>
      </c>
      <c r="BN156" s="1492">
        <f t="shared" si="23"/>
        <v>0</v>
      </c>
      <c r="BO156" s="697"/>
      <c r="BP156" s="697"/>
      <c r="BQ156" s="1495">
        <v>0</v>
      </c>
      <c r="BR156" s="1495" t="s">
        <v>816</v>
      </c>
      <c r="BS156" s="1495" t="s">
        <v>6929</v>
      </c>
      <c r="BT156" s="691" t="s">
        <v>1822</v>
      </c>
    </row>
    <row r="157" spans="1:72" s="681" customFormat="1" ht="13" hidden="1">
      <c r="A157" s="1545">
        <v>366</v>
      </c>
      <c r="B157" s="1546" t="s">
        <v>785</v>
      </c>
      <c r="C157" s="1546" t="s">
        <v>786</v>
      </c>
      <c r="D157" s="1547" t="s">
        <v>6929</v>
      </c>
      <c r="E157" s="690" t="s">
        <v>666</v>
      </c>
      <c r="F157" s="691"/>
      <c r="G157" s="692"/>
      <c r="H157" s="692"/>
      <c r="I157" s="692"/>
      <c r="J157" s="693"/>
      <c r="K157" s="693"/>
      <c r="L157" s="693"/>
      <c r="M157" s="694"/>
      <c r="N157" s="695"/>
      <c r="O157" s="696" t="s">
        <v>1569</v>
      </c>
      <c r="P157" s="695">
        <f>'TB-Key Info'!$L$16*('HPM costs'!F315+'HPM costs'!F318+'HPM costs'!F321+'HPM costs'!F324)</f>
        <v>0</v>
      </c>
      <c r="Q157" s="695" t="s">
        <v>1569</v>
      </c>
      <c r="R157" s="695">
        <f>'TB-Key Info'!$L$16*('HPM costs'!G315+'HPM costs'!G318+'HPM costs'!G321+'HPM costs'!G324)</f>
        <v>0</v>
      </c>
      <c r="S157" s="695" t="s">
        <v>1569</v>
      </c>
      <c r="T157" s="695">
        <f>'TB-Key Info'!$L$16*('HPM costs'!H315+'HPM costs'!H318+'HPM costs'!H321+'HPM costs'!H324)</f>
        <v>0</v>
      </c>
      <c r="U157" s="695" t="s">
        <v>1569</v>
      </c>
      <c r="V157" s="695">
        <f>'TB-Key Info'!$L$16*('HPM costs'!I315+'HPM costs'!I318+'HPM costs'!I321+'HPM costs'!I324)</f>
        <v>0</v>
      </c>
      <c r="W157" s="695"/>
      <c r="X157" s="1492">
        <f t="shared" si="18"/>
        <v>0</v>
      </c>
      <c r="Y157" s="1493"/>
      <c r="Z157" s="1494"/>
      <c r="AA157" s="699"/>
      <c r="AB157" s="695"/>
      <c r="AC157" s="695">
        <f>'TB-Key Info'!$L$16*('HPM costs'!K315+'HPM costs'!K318+'HPM costs'!K321+'HPM costs'!K324)</f>
        <v>0</v>
      </c>
      <c r="AD157" s="695"/>
      <c r="AE157" s="695">
        <f>'TB-Key Info'!$L$16*('HPM costs'!L315+'HPM costs'!L318+'HPM costs'!L321+'HPM costs'!L324)</f>
        <v>0</v>
      </c>
      <c r="AF157" s="695"/>
      <c r="AG157" s="695">
        <f>'TB-Key Info'!$L$16*('HPM costs'!M315+'HPM costs'!M318+'HPM costs'!M321+'HPM costs'!M324)</f>
        <v>0</v>
      </c>
      <c r="AH157" s="695"/>
      <c r="AI157" s="695">
        <f>'TB-Key Info'!$L$16*('HPM costs'!N315+'HPM costs'!N318+'HPM costs'!N321+'HPM costs'!N324)</f>
        <v>0</v>
      </c>
      <c r="AJ157" s="695"/>
      <c r="AK157" s="1492">
        <f t="shared" si="19"/>
        <v>0</v>
      </c>
      <c r="AL157" s="1493"/>
      <c r="AM157" s="1494"/>
      <c r="AN157" s="699"/>
      <c r="AO157" s="695"/>
      <c r="AP157" s="695">
        <f>'TB-Key Info'!$L$16*('HPM costs'!P315+'HPM costs'!P318+'HPM costs'!P321+'HPM costs'!P324)</f>
        <v>0</v>
      </c>
      <c r="AQ157" s="695"/>
      <c r="AR157" s="695">
        <f>'TB-Key Info'!$L$16*('HPM costs'!Q315+'HPM costs'!Q318+'HPM costs'!Q321+'HPM costs'!Q324)</f>
        <v>0</v>
      </c>
      <c r="AS157" s="695"/>
      <c r="AT157" s="695">
        <f>'TB-Key Info'!$L$16*('HPM costs'!R315+'HPM costs'!R318+'HPM costs'!R321+'HPM costs'!R324)</f>
        <v>0</v>
      </c>
      <c r="AU157" s="695"/>
      <c r="AV157" s="695">
        <f>'TB-Key Info'!$L$16*('HPM costs'!S315+'HPM costs'!S318+'HPM costs'!S321+'HPM costs'!S324)</f>
        <v>0</v>
      </c>
      <c r="AW157" s="695"/>
      <c r="AX157" s="1492">
        <f t="shared" si="20"/>
        <v>0</v>
      </c>
      <c r="AY157" s="1492"/>
      <c r="AZ157" s="698"/>
      <c r="BA157" s="699"/>
      <c r="BB157" s="697"/>
      <c r="BC157" s="697">
        <v>0</v>
      </c>
      <c r="BD157" s="697">
        <v>0</v>
      </c>
      <c r="BE157" s="697">
        <v>0</v>
      </c>
      <c r="BF157" s="697">
        <v>0</v>
      </c>
      <c r="BG157" s="697">
        <v>0</v>
      </c>
      <c r="BH157" s="697">
        <v>0</v>
      </c>
      <c r="BI157" s="697">
        <v>0</v>
      </c>
      <c r="BJ157" s="697">
        <v>0</v>
      </c>
      <c r="BK157" s="1492">
        <f t="shared" si="21"/>
        <v>0</v>
      </c>
      <c r="BL157" s="1492"/>
      <c r="BM157" s="1492">
        <f t="shared" si="22"/>
        <v>0</v>
      </c>
      <c r="BN157" s="1492">
        <f t="shared" si="23"/>
        <v>0</v>
      </c>
      <c r="BO157" s="697"/>
      <c r="BP157" s="697"/>
      <c r="BQ157" s="1495">
        <v>0</v>
      </c>
      <c r="BR157" s="1495" t="s">
        <v>816</v>
      </c>
      <c r="BS157" s="1495" t="s">
        <v>6929</v>
      </c>
      <c r="BT157" s="691" t="s">
        <v>1823</v>
      </c>
    </row>
    <row r="158" spans="1:72" s="681" customFormat="1" ht="13" hidden="1">
      <c r="A158" s="1545">
        <v>367</v>
      </c>
      <c r="B158" s="1546" t="s">
        <v>785</v>
      </c>
      <c r="C158" s="1546" t="s">
        <v>786</v>
      </c>
      <c r="D158" s="1547" t="s">
        <v>6929</v>
      </c>
      <c r="E158" s="690" t="s">
        <v>668</v>
      </c>
      <c r="F158" s="691"/>
      <c r="G158" s="692"/>
      <c r="H158" s="692"/>
      <c r="I158" s="692"/>
      <c r="J158" s="693"/>
      <c r="K158" s="693"/>
      <c r="L158" s="693"/>
      <c r="M158" s="694"/>
      <c r="N158" s="695"/>
      <c r="O158" s="696" t="s">
        <v>1569</v>
      </c>
      <c r="P158" s="695">
        <f>'TB-Key Info'!$L$16*('HPM costs'!F660+'HPM costs'!F663+'HPM costs'!F666+'HPM costs'!F669)</f>
        <v>0</v>
      </c>
      <c r="Q158" s="695" t="s">
        <v>1569</v>
      </c>
      <c r="R158" s="695">
        <f>'TB-Key Info'!$L$16*('HPM costs'!G660+'HPM costs'!G663+'HPM costs'!G666+'HPM costs'!G669)</f>
        <v>0</v>
      </c>
      <c r="S158" s="695" t="s">
        <v>1569</v>
      </c>
      <c r="T158" s="695">
        <f>'TB-Key Info'!$L$16*('HPM costs'!H660+'HPM costs'!H663+'HPM costs'!H666+'HPM costs'!H669)</f>
        <v>0</v>
      </c>
      <c r="U158" s="695" t="s">
        <v>1569</v>
      </c>
      <c r="V158" s="695">
        <f>'TB-Key Info'!$L$16*('HPM costs'!I660+'HPM costs'!I663+'HPM costs'!I666+'HPM costs'!I669)</f>
        <v>0</v>
      </c>
      <c r="W158" s="695"/>
      <c r="X158" s="1492">
        <f t="shared" si="18"/>
        <v>0</v>
      </c>
      <c r="Y158" s="1493"/>
      <c r="Z158" s="1494"/>
      <c r="AA158" s="699"/>
      <c r="AB158" s="695"/>
      <c r="AC158" s="695">
        <f>'TB-Key Info'!$L$16*('HPM costs'!K660+'HPM costs'!K663+'HPM costs'!K666+'HPM costs'!K669)</f>
        <v>0</v>
      </c>
      <c r="AD158" s="695"/>
      <c r="AE158" s="695">
        <f>'TB-Key Info'!$L$16*('HPM costs'!L660+'HPM costs'!L663+'HPM costs'!L666+'HPM costs'!L669)</f>
        <v>0</v>
      </c>
      <c r="AF158" s="695"/>
      <c r="AG158" s="695">
        <f>'TB-Key Info'!$L$16*('HPM costs'!M660+'HPM costs'!M663+'HPM costs'!M666+'HPM costs'!M669)</f>
        <v>0</v>
      </c>
      <c r="AH158" s="695"/>
      <c r="AI158" s="695">
        <f>'TB-Key Info'!$L$16*('HPM costs'!N660+'HPM costs'!N663+'HPM costs'!N666+'HPM costs'!N669)</f>
        <v>0</v>
      </c>
      <c r="AJ158" s="695"/>
      <c r="AK158" s="1492">
        <f t="shared" si="19"/>
        <v>0</v>
      </c>
      <c r="AL158" s="1493"/>
      <c r="AM158" s="1494"/>
      <c r="AN158" s="699"/>
      <c r="AO158" s="695"/>
      <c r="AP158" s="695">
        <f>'TB-Key Info'!$L$16*('HPM costs'!P660+'HPM costs'!P663+'HPM costs'!P666+'HPM costs'!P669)</f>
        <v>0</v>
      </c>
      <c r="AQ158" s="695"/>
      <c r="AR158" s="695">
        <f>'TB-Key Info'!$L$16*('HPM costs'!Q660+'HPM costs'!Q663+'HPM costs'!Q666+'HPM costs'!Q669)</f>
        <v>0</v>
      </c>
      <c r="AS158" s="695"/>
      <c r="AT158" s="695">
        <f>'TB-Key Info'!$L$16*('HPM costs'!R660+'HPM costs'!R663+'HPM costs'!R666+'HPM costs'!R669)</f>
        <v>0</v>
      </c>
      <c r="AU158" s="695"/>
      <c r="AV158" s="695">
        <f>'TB-Key Info'!$L$16*('HPM costs'!S660+'HPM costs'!S663+'HPM costs'!S666+'HPM costs'!S669)</f>
        <v>0</v>
      </c>
      <c r="AW158" s="695"/>
      <c r="AX158" s="1492">
        <f t="shared" si="20"/>
        <v>0</v>
      </c>
      <c r="AY158" s="1492"/>
      <c r="AZ158" s="698"/>
      <c r="BA158" s="699"/>
      <c r="BB158" s="697"/>
      <c r="BC158" s="697">
        <v>0</v>
      </c>
      <c r="BD158" s="697">
        <v>0</v>
      </c>
      <c r="BE158" s="697">
        <v>0</v>
      </c>
      <c r="BF158" s="697">
        <v>0</v>
      </c>
      <c r="BG158" s="697">
        <v>0</v>
      </c>
      <c r="BH158" s="697">
        <v>0</v>
      </c>
      <c r="BI158" s="697">
        <v>0</v>
      </c>
      <c r="BJ158" s="697">
        <v>0</v>
      </c>
      <c r="BK158" s="1492">
        <f t="shared" si="21"/>
        <v>0</v>
      </c>
      <c r="BL158" s="1492"/>
      <c r="BM158" s="1492">
        <f t="shared" si="22"/>
        <v>0</v>
      </c>
      <c r="BN158" s="1492">
        <f t="shared" si="23"/>
        <v>0</v>
      </c>
      <c r="BO158" s="697"/>
      <c r="BP158" s="697"/>
      <c r="BQ158" s="1495">
        <v>0</v>
      </c>
      <c r="BR158" s="1495" t="s">
        <v>816</v>
      </c>
      <c r="BS158" s="1495" t="s">
        <v>6929</v>
      </c>
      <c r="BT158" s="691" t="s">
        <v>1824</v>
      </c>
    </row>
    <row r="159" spans="1:72" s="681" customFormat="1" ht="13" hidden="1">
      <c r="A159" s="1545">
        <v>368</v>
      </c>
      <c r="B159" s="1546" t="s">
        <v>785</v>
      </c>
      <c r="C159" s="1546" t="s">
        <v>787</v>
      </c>
      <c r="D159" s="1547" t="s">
        <v>788</v>
      </c>
      <c r="E159" s="690" t="s">
        <v>777</v>
      </c>
      <c r="F159" s="691"/>
      <c r="G159" s="692"/>
      <c r="H159" s="692"/>
      <c r="I159" s="692"/>
      <c r="J159" s="693"/>
      <c r="K159" s="693"/>
      <c r="L159" s="693"/>
      <c r="M159" s="694"/>
      <c r="N159" s="695"/>
      <c r="O159" s="696" t="s">
        <v>1569</v>
      </c>
      <c r="P159" s="695">
        <f>'HPM costs'!F51/'HPM costs'!$E$51</f>
        <v>0</v>
      </c>
      <c r="Q159" s="695" t="s">
        <v>1569</v>
      </c>
      <c r="R159" s="695">
        <f>'HPM costs'!G51/'HPM costs'!$E$51</f>
        <v>0</v>
      </c>
      <c r="S159" s="695" t="s">
        <v>1569</v>
      </c>
      <c r="T159" s="695">
        <f>'HPM costs'!H51/'HPM costs'!$E$51</f>
        <v>0</v>
      </c>
      <c r="U159" s="695" t="s">
        <v>1569</v>
      </c>
      <c r="V159" s="695">
        <f>'HPM costs'!I51/'HPM costs'!$E$51</f>
        <v>0</v>
      </c>
      <c r="W159" s="695"/>
      <c r="X159" s="1492">
        <f t="shared" si="18"/>
        <v>0</v>
      </c>
      <c r="Y159" s="1493"/>
      <c r="Z159" s="1494"/>
      <c r="AA159" s="699"/>
      <c r="AB159" s="695"/>
      <c r="AC159" s="695">
        <f>'HPM costs'!K51/'HPM costs'!$E$51</f>
        <v>0</v>
      </c>
      <c r="AD159" s="695"/>
      <c r="AE159" s="695">
        <f>'HPM costs'!L51/'HPM costs'!$E$51</f>
        <v>0</v>
      </c>
      <c r="AF159" s="695"/>
      <c r="AG159" s="695">
        <f>'HPM costs'!M51/'HPM costs'!$E$51</f>
        <v>0</v>
      </c>
      <c r="AH159" s="695"/>
      <c r="AI159" s="695">
        <f>'HPM costs'!N51/'HPM costs'!$E$51</f>
        <v>0</v>
      </c>
      <c r="AJ159" s="695"/>
      <c r="AK159" s="1492">
        <f t="shared" si="19"/>
        <v>0</v>
      </c>
      <c r="AL159" s="1493"/>
      <c r="AM159" s="1494"/>
      <c r="AN159" s="699"/>
      <c r="AO159" s="695"/>
      <c r="AP159" s="695">
        <f>'HPM costs'!P51/'HPM costs'!$E$51</f>
        <v>0</v>
      </c>
      <c r="AQ159" s="695"/>
      <c r="AR159" s="695">
        <f>'HPM costs'!Q51/'HPM costs'!$E$51</f>
        <v>0</v>
      </c>
      <c r="AS159" s="695"/>
      <c r="AT159" s="695">
        <f>'HPM costs'!R51/'HPM costs'!$E$51</f>
        <v>0</v>
      </c>
      <c r="AU159" s="695"/>
      <c r="AV159" s="695">
        <f>'HPM costs'!S51/'HPM costs'!$E$51</f>
        <v>0</v>
      </c>
      <c r="AW159" s="695"/>
      <c r="AX159" s="1492">
        <f t="shared" si="20"/>
        <v>0</v>
      </c>
      <c r="AY159" s="1492"/>
      <c r="AZ159" s="698"/>
      <c r="BA159" s="699"/>
      <c r="BB159" s="697"/>
      <c r="BC159" s="697">
        <v>0</v>
      </c>
      <c r="BD159" s="697">
        <v>0</v>
      </c>
      <c r="BE159" s="697">
        <v>0</v>
      </c>
      <c r="BF159" s="697">
        <v>0</v>
      </c>
      <c r="BG159" s="697">
        <v>0</v>
      </c>
      <c r="BH159" s="697">
        <v>0</v>
      </c>
      <c r="BI159" s="697">
        <v>0</v>
      </c>
      <c r="BJ159" s="697">
        <v>0</v>
      </c>
      <c r="BK159" s="1492">
        <f t="shared" si="21"/>
        <v>0</v>
      </c>
      <c r="BL159" s="1492"/>
      <c r="BM159" s="1492">
        <f t="shared" si="22"/>
        <v>0</v>
      </c>
      <c r="BN159" s="1492">
        <f t="shared" si="23"/>
        <v>0</v>
      </c>
      <c r="BO159" s="697"/>
      <c r="BP159" s="697"/>
      <c r="BQ159" s="1495">
        <v>0</v>
      </c>
      <c r="BR159" s="1495" t="s">
        <v>816</v>
      </c>
      <c r="BS159" s="1495" t="s">
        <v>788</v>
      </c>
      <c r="BT159" s="691" t="s">
        <v>1825</v>
      </c>
    </row>
    <row r="160" spans="1:72" s="681" customFormat="1" ht="13" hidden="1">
      <c r="A160" s="1545">
        <v>369</v>
      </c>
      <c r="B160" s="1546" t="s">
        <v>785</v>
      </c>
      <c r="C160" s="1546" t="s">
        <v>787</v>
      </c>
      <c r="D160" s="1547" t="s">
        <v>6952</v>
      </c>
      <c r="E160" s="690" t="s">
        <v>779</v>
      </c>
      <c r="F160" s="691"/>
      <c r="G160" s="692"/>
      <c r="H160" s="692"/>
      <c r="I160" s="692"/>
      <c r="J160" s="693"/>
      <c r="K160" s="693"/>
      <c r="L160" s="693"/>
      <c r="M160" s="694" t="e">
        <f>X160/W160</f>
        <v>#DIV/0!</v>
      </c>
      <c r="N160" s="695" t="e">
        <f>IF(M160&lt;&gt;"",M160/VLOOKUP($K160,SETUP!$C$28:$D$42,2,0),"")</f>
        <v>#DIV/0!</v>
      </c>
      <c r="O160" s="696" t="s">
        <v>1569</v>
      </c>
      <c r="P160" s="695">
        <f>'HPM costs'!F54/'HPM costs'!$E$54</f>
        <v>0</v>
      </c>
      <c r="Q160" s="695"/>
      <c r="R160" s="695">
        <f>'HPM costs'!G54/'HPM costs'!$E$54</f>
        <v>0</v>
      </c>
      <c r="S160" s="695"/>
      <c r="T160" s="695">
        <f>'HPM costs'!H54/'HPM costs'!$E$54</f>
        <v>0</v>
      </c>
      <c r="U160" s="695"/>
      <c r="V160" s="695">
        <f>'HPM costs'!I54/'HPM costs'!$E$54</f>
        <v>0</v>
      </c>
      <c r="W160" s="695"/>
      <c r="X160" s="1492">
        <f t="shared" si="18"/>
        <v>0</v>
      </c>
      <c r="Y160" s="1493"/>
      <c r="Z160" s="1494"/>
      <c r="AA160" s="699"/>
      <c r="AB160" s="695"/>
      <c r="AC160" s="695">
        <f>'HPM costs'!K54/'HPM costs'!$E$54</f>
        <v>0</v>
      </c>
      <c r="AD160" s="695"/>
      <c r="AE160" s="695">
        <f>'HPM costs'!L54/'HPM costs'!$E$54</f>
        <v>0</v>
      </c>
      <c r="AF160" s="695"/>
      <c r="AG160" s="695">
        <f>'HPM costs'!M54/'HPM costs'!$E$54</f>
        <v>0</v>
      </c>
      <c r="AH160" s="695"/>
      <c r="AI160" s="695">
        <f>'HPM costs'!N54/'HPM costs'!$E$54</f>
        <v>0</v>
      </c>
      <c r="AJ160" s="695"/>
      <c r="AK160" s="1492">
        <f t="shared" si="19"/>
        <v>0</v>
      </c>
      <c r="AL160" s="1493"/>
      <c r="AM160" s="1494"/>
      <c r="AN160" s="699"/>
      <c r="AO160" s="695"/>
      <c r="AP160" s="695">
        <f>'HPM costs'!P54/'HPM costs'!$E$54</f>
        <v>0</v>
      </c>
      <c r="AQ160" s="695"/>
      <c r="AR160" s="695">
        <f>'HPM costs'!Q54/'HPM costs'!$E$54</f>
        <v>0</v>
      </c>
      <c r="AS160" s="695"/>
      <c r="AT160" s="695">
        <f>'HPM costs'!R54/'HPM costs'!$E$54</f>
        <v>0</v>
      </c>
      <c r="AU160" s="695"/>
      <c r="AV160" s="695">
        <f>'HPM costs'!S54/'HPM costs'!$E$54</f>
        <v>0</v>
      </c>
      <c r="AW160" s="695"/>
      <c r="AX160" s="1492">
        <f t="shared" si="20"/>
        <v>0</v>
      </c>
      <c r="AY160" s="1492"/>
      <c r="AZ160" s="698"/>
      <c r="BA160" s="699"/>
      <c r="BB160" s="697"/>
      <c r="BC160" s="697">
        <v>0</v>
      </c>
      <c r="BD160" s="697">
        <v>0</v>
      </c>
      <c r="BE160" s="697">
        <v>0</v>
      </c>
      <c r="BF160" s="697">
        <v>0</v>
      </c>
      <c r="BG160" s="697">
        <v>0</v>
      </c>
      <c r="BH160" s="697">
        <v>0</v>
      </c>
      <c r="BI160" s="697">
        <v>0</v>
      </c>
      <c r="BJ160" s="697">
        <v>0</v>
      </c>
      <c r="BK160" s="1492">
        <f t="shared" si="21"/>
        <v>0</v>
      </c>
      <c r="BL160" s="1492"/>
      <c r="BM160" s="1492">
        <f t="shared" si="22"/>
        <v>0</v>
      </c>
      <c r="BN160" s="1492">
        <f t="shared" si="23"/>
        <v>0</v>
      </c>
      <c r="BO160" s="697"/>
      <c r="BP160" s="697"/>
      <c r="BQ160" s="1495">
        <v>0</v>
      </c>
      <c r="BR160" s="1495" t="s">
        <v>816</v>
      </c>
      <c r="BS160" s="1495" t="s">
        <v>6952</v>
      </c>
      <c r="BT160" s="691" t="s">
        <v>1826</v>
      </c>
    </row>
    <row r="161" spans="1:72" s="681" customFormat="1" ht="13" hidden="1">
      <c r="A161" s="1545">
        <v>370</v>
      </c>
      <c r="B161" s="1546" t="s">
        <v>785</v>
      </c>
      <c r="C161" s="1546" t="s">
        <v>787</v>
      </c>
      <c r="D161" s="1547" t="s">
        <v>788</v>
      </c>
      <c r="E161" s="690" t="s">
        <v>781</v>
      </c>
      <c r="F161" s="691"/>
      <c r="G161" s="692"/>
      <c r="H161" s="692"/>
      <c r="I161" s="692"/>
      <c r="J161" s="693"/>
      <c r="K161" s="693"/>
      <c r="L161" s="693"/>
      <c r="M161" s="694"/>
      <c r="N161" s="695"/>
      <c r="O161" s="696" t="s">
        <v>1569</v>
      </c>
      <c r="P161" s="695">
        <f>IF(SETUP!$F$44="Upfront",'Extended Budget Sheet - TB'!K270,0)</f>
        <v>0</v>
      </c>
      <c r="Q161" s="695" t="s">
        <v>1569</v>
      </c>
      <c r="R161" s="695">
        <f>IF(SETUP!$F$44="Upfront",'Extended Budget Sheet - TB'!O270,IF(SETUP!$F$44="At delivery", IF(SETUP!$G$44=1,'Extended Budget Sheet - TB'!K270,0),0))</f>
        <v>0</v>
      </c>
      <c r="S161" s="695" t="s">
        <v>1569</v>
      </c>
      <c r="T161" s="695">
        <f>IF(SETUP!$F$44="Upfront",'Extended Budget Sheet - TB'!S270,IF(SETUP!$F$44="At delivery",IF(SETUP!$G$44=2,'Extended Budget Sheet - TB'!K270,IF(SETUP!$G$44=1,'Extended Budget Sheet - TB'!O270,0)),0))</f>
        <v>0</v>
      </c>
      <c r="U161" s="695" t="s">
        <v>1569</v>
      </c>
      <c r="V161" s="695">
        <f>IF(SETUP!$F$44="Upfront",'Extended Budget Sheet - TB'!W270,IF(SETUP!$F$44="At delivery", IF(SETUP!$G$44=3,'Extended Budget Sheet - TB'!K270,IF(SETUP!$G$44=2,'Extended Budget Sheet - TB'!O270,IF(SETUP!$G$44=1,'Extended Budget Sheet - TB'!S270,0))),0))</f>
        <v>0</v>
      </c>
      <c r="W161" s="695"/>
      <c r="X161" s="1492">
        <f t="shared" si="18"/>
        <v>0</v>
      </c>
      <c r="Y161" s="1493"/>
      <c r="Z161" s="1494"/>
      <c r="AA161" s="699"/>
      <c r="AB161" s="695"/>
      <c r="AC161" s="695">
        <f>IF(SETUP!$F$44="Upfront",'Extended Budget Sheet - TB'!AC270,IF(SETUP!$F$44="At delivery", IF(SETUP!$G$44=4,'Extended Budget Sheet - TB'!K270,IF(SETUP!$G$44=3,'Extended Budget Sheet - TB'!O270,IF(SETUP!$G$44=2,'Extended Budget Sheet - TB'!S270,IF(SETUP!$G$44=1,'Extended Budget Sheet - TB'!W270,0)))),0))</f>
        <v>0</v>
      </c>
      <c r="AD161" s="695"/>
      <c r="AE161" s="695">
        <f>IF(SETUP!$F$44="Upfront",'Extended Budget Sheet - TB'!AG270,IF(SETUP!$F$44="At delivery", IF(SETUP!$G$44=4,'Extended Budget Sheet - TB'!O270,IF(SETUP!$G$44=3,'Extended Budget Sheet - TB'!S270,IF(SETUP!$G$44=2,'Extended Budget Sheet - TB'!W270,IF(SETUP!$G$44=1,'Extended Budget Sheet - TB'!AC270,0)))),0))</f>
        <v>0</v>
      </c>
      <c r="AF161" s="695"/>
      <c r="AG161" s="695">
        <f>IF(SETUP!$F$44="Upfront",'Extended Budget Sheet - TB'!AK270,IF(SETUP!$F$44="At delivery", IF(SETUP!$G$44=4,'Extended Budget Sheet - TB'!S270,IF(SETUP!$G$44=3,'Extended Budget Sheet - TB'!W270,IF(SETUP!$G$44=2,'Extended Budget Sheet - TB'!AC270,IF(SETUP!$G$44=1,'Extended Budget Sheet - TB'!AG270,0)))),0))</f>
        <v>0</v>
      </c>
      <c r="AH161" s="695"/>
      <c r="AI161" s="695">
        <f>IF(SETUP!$F$44="Upfront",'Extended Budget Sheet - TB'!AO270,IF(SETUP!$F$44="At delivery", IF(SETUP!$G$44=4,'Extended Budget Sheet - TB'!W270,IF(SETUP!$G$44=3,'Extended Budget Sheet - TB'!AC270,IF(SETUP!$G$44=2,'Extended Budget Sheet - TB'!AG270,IF(SETUP!$G$44=1,'Extended Budget Sheet - TB'!AK270,0)))),0))</f>
        <v>0</v>
      </c>
      <c r="AJ161" s="695"/>
      <c r="AK161" s="1492">
        <f t="shared" si="19"/>
        <v>0</v>
      </c>
      <c r="AL161" s="1493"/>
      <c r="AM161" s="1494"/>
      <c r="AN161" s="699"/>
      <c r="AO161" s="695"/>
      <c r="AP161" s="695">
        <f>IF(SETUP!$F$44="Upfront",'Extended Budget Sheet - TB'!AU270,IF(SETUP!$F$44="At delivery", IF(SETUP!$G$44=4,'Extended Budget Sheet - TB'!AC270,IF(SETUP!$G$44=3,'Extended Budget Sheet - TB'!AG270,IF(SETUP!$G$44=2,'Extended Budget Sheet - TB'!AK270,IF(SETUP!$G$44=1,'Extended Budget Sheet - TB'!AO270,0)))),0))</f>
        <v>0</v>
      </c>
      <c r="AQ161" s="695"/>
      <c r="AR161" s="695">
        <f>IF(SETUP!$F$44="Upfront",'Extended Budget Sheet - TB'!AY270,IF(SETUP!$F$44="At delivery", IF(SETUP!$G$44=4,'Extended Budget Sheet - TB'!AG270,IF(SETUP!$G$44=3,'Extended Budget Sheet - TB'!AK270,IF(SETUP!$G$44=2,'Extended Budget Sheet - TB'!AO270,IF(SETUP!$G$44=1,'Extended Budget Sheet - TB'!AU270,0)))),0))</f>
        <v>0</v>
      </c>
      <c r="AS161" s="695"/>
      <c r="AT161" s="695">
        <f>IF(SETUP!$F$44="Upfront",'Extended Budget Sheet - TB'!BC270,IF(SETUP!$F$44="At delivery", IF(SETUP!$G$44=4,'Extended Budget Sheet - TB'!AK270,IF(SETUP!$G$44=3,'Extended Budget Sheet - TB'!AO270,IF(SETUP!$G$44=2,'Extended Budget Sheet - TB'!AU270,IF(SETUP!$G$44=1,'Extended Budget Sheet - TB'!AY270,0)))),0))</f>
        <v>0</v>
      </c>
      <c r="AU161" s="695"/>
      <c r="AV161" s="695">
        <f>IF(SETUP!$F$44="Upfront",'Extended Budget Sheet - TB'!BG270,IF(SETUP!$F$44="At delivery", IF(SETUP!$G$44=4,SUM('Extended Budget Sheet - TB'!AO270,'Extended Budget Sheet - TB'!AU270,'Extended Budget Sheet - TB'!AY270,'Extended Budget Sheet - TB'!BC270,'Extended Budget Sheet - TB'!BG270),IF(SETUP!$G$44=3,SUM('Extended Budget Sheet - TB'!AU270,'Extended Budget Sheet - TB'!AY270,'Extended Budget Sheet - TB'!BC270,'Extended Budget Sheet - TB'!BG270),IF(SETUP!$G$44=2,SUM('Extended Budget Sheet - TB'!AY270,'Extended Budget Sheet - TB'!BC270,'Extended Budget Sheet - TB'!BG270),IF(SETUP!$G$44=1,SUM('Extended Budget Sheet - TB'!BC270,'Extended Budget Sheet - TB'!BG270),0)))),0))</f>
        <v>0</v>
      </c>
      <c r="AW161" s="695"/>
      <c r="AX161" s="1492">
        <f t="shared" si="20"/>
        <v>0</v>
      </c>
      <c r="AY161" s="1492"/>
      <c r="AZ161" s="698"/>
      <c r="BA161" s="699"/>
      <c r="BB161" s="697"/>
      <c r="BC161" s="697">
        <v>0</v>
      </c>
      <c r="BD161" s="697">
        <v>0</v>
      </c>
      <c r="BE161" s="697">
        <v>0</v>
      </c>
      <c r="BF161" s="697">
        <v>0</v>
      </c>
      <c r="BG161" s="697">
        <v>0</v>
      </c>
      <c r="BH161" s="697">
        <v>0</v>
      </c>
      <c r="BI161" s="697">
        <v>0</v>
      </c>
      <c r="BJ161" s="697">
        <v>0</v>
      </c>
      <c r="BK161" s="1492">
        <f t="shared" si="21"/>
        <v>0</v>
      </c>
      <c r="BL161" s="1492"/>
      <c r="BM161" s="1492">
        <f t="shared" si="22"/>
        <v>0</v>
      </c>
      <c r="BN161" s="1492">
        <f t="shared" si="23"/>
        <v>0</v>
      </c>
      <c r="BO161" s="697"/>
      <c r="BP161" s="697"/>
      <c r="BQ161" s="1495">
        <v>0</v>
      </c>
      <c r="BR161" s="1495" t="s">
        <v>816</v>
      </c>
      <c r="BS161" s="1495" t="s">
        <v>788</v>
      </c>
      <c r="BT161" s="691" t="s">
        <v>1827</v>
      </c>
    </row>
    <row r="162" spans="1:72" s="681" customFormat="1" ht="13" hidden="1">
      <c r="A162" s="1545">
        <v>371</v>
      </c>
      <c r="B162" s="1546" t="s">
        <v>785</v>
      </c>
      <c r="C162" s="1546" t="s">
        <v>787</v>
      </c>
      <c r="D162" s="1547" t="s">
        <v>6929</v>
      </c>
      <c r="E162" s="690" t="s">
        <v>656</v>
      </c>
      <c r="F162" s="691"/>
      <c r="G162" s="692"/>
      <c r="H162" s="692"/>
      <c r="I162" s="692"/>
      <c r="J162" s="693"/>
      <c r="K162" s="693"/>
      <c r="L162" s="693"/>
      <c r="M162" s="694"/>
      <c r="N162" s="695"/>
      <c r="O162" s="696" t="s">
        <v>1569</v>
      </c>
      <c r="P162" s="695">
        <f>'HPM costs'!F51+'HPM costs'!F54</f>
        <v>0</v>
      </c>
      <c r="Q162" s="695" t="s">
        <v>1569</v>
      </c>
      <c r="R162" s="695">
        <f>'HPM costs'!G51+'HPM costs'!G54</f>
        <v>0</v>
      </c>
      <c r="S162" s="695" t="s">
        <v>1569</v>
      </c>
      <c r="T162" s="695">
        <f>'HPM costs'!H51+'HPM costs'!H54</f>
        <v>0</v>
      </c>
      <c r="U162" s="695" t="s">
        <v>1569</v>
      </c>
      <c r="V162" s="695">
        <f>'HPM costs'!I51+'HPM costs'!I54</f>
        <v>0</v>
      </c>
      <c r="W162" s="695"/>
      <c r="X162" s="1492">
        <f t="shared" si="18"/>
        <v>0</v>
      </c>
      <c r="Y162" s="1493"/>
      <c r="Z162" s="1494"/>
      <c r="AA162" s="699"/>
      <c r="AB162" s="695"/>
      <c r="AC162" s="695">
        <f>'HPM costs'!K51+'HPM costs'!K54</f>
        <v>0</v>
      </c>
      <c r="AD162" s="695"/>
      <c r="AE162" s="695">
        <f>'HPM costs'!L51+'HPM costs'!L54</f>
        <v>0</v>
      </c>
      <c r="AF162" s="695"/>
      <c r="AG162" s="695">
        <f>'HPM costs'!M51+'HPM costs'!M54</f>
        <v>0</v>
      </c>
      <c r="AH162" s="695"/>
      <c r="AI162" s="695">
        <f>'HPM costs'!N51+'HPM costs'!N54</f>
        <v>0</v>
      </c>
      <c r="AJ162" s="695"/>
      <c r="AK162" s="1492">
        <f t="shared" si="19"/>
        <v>0</v>
      </c>
      <c r="AL162" s="1493"/>
      <c r="AM162" s="1494"/>
      <c r="AN162" s="699"/>
      <c r="AO162" s="695"/>
      <c r="AP162" s="695">
        <f>'HPM costs'!P51+'HPM costs'!P54</f>
        <v>0</v>
      </c>
      <c r="AQ162" s="695"/>
      <c r="AR162" s="695">
        <f>'HPM costs'!Q51+'HPM costs'!Q54</f>
        <v>0</v>
      </c>
      <c r="AS162" s="695"/>
      <c r="AT162" s="695">
        <f>'HPM costs'!R51+'HPM costs'!R54</f>
        <v>0</v>
      </c>
      <c r="AU162" s="695"/>
      <c r="AV162" s="695">
        <f>'HPM costs'!S51+'HPM costs'!S54</f>
        <v>0</v>
      </c>
      <c r="AW162" s="695"/>
      <c r="AX162" s="1492">
        <f t="shared" si="20"/>
        <v>0</v>
      </c>
      <c r="AY162" s="1492"/>
      <c r="AZ162" s="698"/>
      <c r="BA162" s="699"/>
      <c r="BB162" s="697"/>
      <c r="BC162" s="697">
        <v>0</v>
      </c>
      <c r="BD162" s="697">
        <v>0</v>
      </c>
      <c r="BE162" s="697">
        <v>0</v>
      </c>
      <c r="BF162" s="697">
        <v>0</v>
      </c>
      <c r="BG162" s="697">
        <v>0</v>
      </c>
      <c r="BH162" s="697">
        <v>0</v>
      </c>
      <c r="BI162" s="697">
        <v>0</v>
      </c>
      <c r="BJ162" s="697">
        <v>0</v>
      </c>
      <c r="BK162" s="1492">
        <f t="shared" si="21"/>
        <v>0</v>
      </c>
      <c r="BL162" s="1492"/>
      <c r="BM162" s="1492">
        <f t="shared" si="22"/>
        <v>0</v>
      </c>
      <c r="BN162" s="1492">
        <f t="shared" si="23"/>
        <v>0</v>
      </c>
      <c r="BO162" s="697"/>
      <c r="BP162" s="697"/>
      <c r="BQ162" s="1495">
        <v>0</v>
      </c>
      <c r="BR162" s="1495" t="s">
        <v>816</v>
      </c>
      <c r="BS162" s="1495" t="s">
        <v>6929</v>
      </c>
      <c r="BT162" s="691" t="s">
        <v>1828</v>
      </c>
    </row>
    <row r="163" spans="1:72" s="681" customFormat="1" ht="13" hidden="1">
      <c r="A163" s="1545">
        <v>372</v>
      </c>
      <c r="B163" s="1546" t="s">
        <v>785</v>
      </c>
      <c r="C163" s="1546" t="s">
        <v>787</v>
      </c>
      <c r="D163" s="1547" t="s">
        <v>6929</v>
      </c>
      <c r="E163" s="690" t="s">
        <v>658</v>
      </c>
      <c r="F163" s="691"/>
      <c r="G163" s="692"/>
      <c r="H163" s="692"/>
      <c r="I163" s="692"/>
      <c r="J163" s="693"/>
      <c r="K163" s="693"/>
      <c r="L163" s="693"/>
      <c r="M163" s="694"/>
      <c r="N163" s="695"/>
      <c r="O163" s="696" t="s">
        <v>1569</v>
      </c>
      <c r="P163" s="695">
        <f>'HPM costs'!F137+'HPM costs'!F140</f>
        <v>0</v>
      </c>
      <c r="Q163" s="695" t="s">
        <v>1569</v>
      </c>
      <c r="R163" s="695">
        <f>'HPM costs'!G137+'HPM costs'!G140</f>
        <v>0</v>
      </c>
      <c r="S163" s="695" t="s">
        <v>1569</v>
      </c>
      <c r="T163" s="695">
        <f>'HPM costs'!H137+'HPM costs'!H140</f>
        <v>0</v>
      </c>
      <c r="U163" s="695" t="s">
        <v>1569</v>
      </c>
      <c r="V163" s="695">
        <f>'HPM costs'!I137+'HPM costs'!I140</f>
        <v>0</v>
      </c>
      <c r="W163" s="695"/>
      <c r="X163" s="1492">
        <f t="shared" si="18"/>
        <v>0</v>
      </c>
      <c r="Y163" s="1493"/>
      <c r="Z163" s="1494"/>
      <c r="AA163" s="699"/>
      <c r="AB163" s="695"/>
      <c r="AC163" s="695">
        <f>'HPM costs'!K137+'HPM costs'!K140</f>
        <v>0</v>
      </c>
      <c r="AD163" s="695"/>
      <c r="AE163" s="695">
        <f>'HPM costs'!L137+'HPM costs'!L140</f>
        <v>0</v>
      </c>
      <c r="AF163" s="695"/>
      <c r="AG163" s="695">
        <f>'HPM costs'!M137+'HPM costs'!M140</f>
        <v>0</v>
      </c>
      <c r="AH163" s="695"/>
      <c r="AI163" s="695">
        <f>'HPM costs'!N137+'HPM costs'!N140</f>
        <v>0</v>
      </c>
      <c r="AJ163" s="695"/>
      <c r="AK163" s="1492">
        <f t="shared" si="19"/>
        <v>0</v>
      </c>
      <c r="AL163" s="1493"/>
      <c r="AM163" s="1494"/>
      <c r="AN163" s="699"/>
      <c r="AO163" s="695"/>
      <c r="AP163" s="695">
        <f>'HPM costs'!P137+'HPM costs'!P140</f>
        <v>0</v>
      </c>
      <c r="AQ163" s="695"/>
      <c r="AR163" s="695">
        <f>'HPM costs'!Q137+'HPM costs'!Q140</f>
        <v>0</v>
      </c>
      <c r="AS163" s="695"/>
      <c r="AT163" s="695">
        <f>'HPM costs'!R137+'HPM costs'!R140</f>
        <v>0</v>
      </c>
      <c r="AU163" s="695"/>
      <c r="AV163" s="695">
        <f>'HPM costs'!S137+'HPM costs'!S140</f>
        <v>0</v>
      </c>
      <c r="AW163" s="695"/>
      <c r="AX163" s="1492">
        <f t="shared" si="20"/>
        <v>0</v>
      </c>
      <c r="AY163" s="1492"/>
      <c r="AZ163" s="698"/>
      <c r="BA163" s="699"/>
      <c r="BB163" s="697"/>
      <c r="BC163" s="697">
        <v>0</v>
      </c>
      <c r="BD163" s="697">
        <v>0</v>
      </c>
      <c r="BE163" s="697">
        <v>0</v>
      </c>
      <c r="BF163" s="697">
        <v>0</v>
      </c>
      <c r="BG163" s="697">
        <v>0</v>
      </c>
      <c r="BH163" s="697">
        <v>0</v>
      </c>
      <c r="BI163" s="697">
        <v>0</v>
      </c>
      <c r="BJ163" s="697">
        <v>0</v>
      </c>
      <c r="BK163" s="1492">
        <f t="shared" si="21"/>
        <v>0</v>
      </c>
      <c r="BL163" s="1492"/>
      <c r="BM163" s="1492">
        <f t="shared" si="22"/>
        <v>0</v>
      </c>
      <c r="BN163" s="1492">
        <f t="shared" si="23"/>
        <v>0</v>
      </c>
      <c r="BO163" s="697"/>
      <c r="BP163" s="697"/>
      <c r="BQ163" s="1495">
        <v>0</v>
      </c>
      <c r="BR163" s="1495" t="s">
        <v>816</v>
      </c>
      <c r="BS163" s="1495" t="s">
        <v>6929</v>
      </c>
      <c r="BT163" s="691" t="s">
        <v>1829</v>
      </c>
    </row>
    <row r="164" spans="1:72" s="681" customFormat="1" ht="13" hidden="1">
      <c r="A164" s="1545">
        <v>373</v>
      </c>
      <c r="B164" s="1546" t="s">
        <v>785</v>
      </c>
      <c r="C164" s="1546" t="s">
        <v>787</v>
      </c>
      <c r="D164" s="1547" t="s">
        <v>6929</v>
      </c>
      <c r="E164" s="690" t="s">
        <v>660</v>
      </c>
      <c r="F164" s="691"/>
      <c r="G164" s="692"/>
      <c r="H164" s="692"/>
      <c r="I164" s="692"/>
      <c r="J164" s="693"/>
      <c r="K164" s="693"/>
      <c r="L164" s="693"/>
      <c r="M164" s="694"/>
      <c r="N164" s="695"/>
      <c r="O164" s="696" t="s">
        <v>1569</v>
      </c>
      <c r="P164" s="695">
        <f>'HPM costs'!F397+'HPM costs'!F400</f>
        <v>0</v>
      </c>
      <c r="Q164" s="695" t="s">
        <v>1569</v>
      </c>
      <c r="R164" s="695">
        <f>'HPM costs'!G397+'HPM costs'!G400</f>
        <v>0</v>
      </c>
      <c r="S164" s="695" t="s">
        <v>1569</v>
      </c>
      <c r="T164" s="695">
        <f>'HPM costs'!H397+'HPM costs'!H400</f>
        <v>0</v>
      </c>
      <c r="U164" s="695" t="s">
        <v>1569</v>
      </c>
      <c r="V164" s="695">
        <f>'HPM costs'!I397+'HPM costs'!I400</f>
        <v>0</v>
      </c>
      <c r="W164" s="695"/>
      <c r="X164" s="1492">
        <f t="shared" si="18"/>
        <v>0</v>
      </c>
      <c r="Y164" s="1493"/>
      <c r="Z164" s="1494"/>
      <c r="AA164" s="699"/>
      <c r="AB164" s="695"/>
      <c r="AC164" s="695">
        <f>'HPM costs'!K397+'HPM costs'!K400</f>
        <v>0</v>
      </c>
      <c r="AD164" s="695"/>
      <c r="AE164" s="695">
        <f>'HPM costs'!L397+'HPM costs'!L400</f>
        <v>0</v>
      </c>
      <c r="AF164" s="695"/>
      <c r="AG164" s="695">
        <f>'HPM costs'!M397+'HPM costs'!M400</f>
        <v>0</v>
      </c>
      <c r="AH164" s="695"/>
      <c r="AI164" s="695">
        <f>'HPM costs'!N397+'HPM costs'!N400</f>
        <v>0</v>
      </c>
      <c r="AJ164" s="695"/>
      <c r="AK164" s="1492">
        <f t="shared" si="19"/>
        <v>0</v>
      </c>
      <c r="AL164" s="1493"/>
      <c r="AM164" s="1494"/>
      <c r="AN164" s="699"/>
      <c r="AO164" s="695"/>
      <c r="AP164" s="695">
        <f>'HPM costs'!P397+'HPM costs'!P400</f>
        <v>0</v>
      </c>
      <c r="AQ164" s="695"/>
      <c r="AR164" s="695">
        <f>'HPM costs'!Q397+'HPM costs'!Q400</f>
        <v>0</v>
      </c>
      <c r="AS164" s="695"/>
      <c r="AT164" s="695">
        <f>'HPM costs'!R397+'HPM costs'!R400</f>
        <v>0</v>
      </c>
      <c r="AU164" s="695"/>
      <c r="AV164" s="695">
        <f>'HPM costs'!S397+'HPM costs'!S400</f>
        <v>0</v>
      </c>
      <c r="AW164" s="695"/>
      <c r="AX164" s="1492">
        <f t="shared" si="20"/>
        <v>0</v>
      </c>
      <c r="AY164" s="1492"/>
      <c r="AZ164" s="698"/>
      <c r="BA164" s="699"/>
      <c r="BB164" s="697"/>
      <c r="BC164" s="697">
        <v>0</v>
      </c>
      <c r="BD164" s="697">
        <v>0</v>
      </c>
      <c r="BE164" s="697">
        <v>0</v>
      </c>
      <c r="BF164" s="697">
        <v>0</v>
      </c>
      <c r="BG164" s="697">
        <v>0</v>
      </c>
      <c r="BH164" s="697">
        <v>0</v>
      </c>
      <c r="BI164" s="697">
        <v>0</v>
      </c>
      <c r="BJ164" s="697">
        <v>0</v>
      </c>
      <c r="BK164" s="1492">
        <f t="shared" si="21"/>
        <v>0</v>
      </c>
      <c r="BL164" s="1492"/>
      <c r="BM164" s="1492">
        <f t="shared" si="22"/>
        <v>0</v>
      </c>
      <c r="BN164" s="1492">
        <f t="shared" si="23"/>
        <v>0</v>
      </c>
      <c r="BO164" s="697"/>
      <c r="BP164" s="697"/>
      <c r="BQ164" s="1495">
        <v>0</v>
      </c>
      <c r="BR164" s="1495" t="s">
        <v>816</v>
      </c>
      <c r="BS164" s="1495" t="s">
        <v>6929</v>
      </c>
      <c r="BT164" s="691" t="s">
        <v>1830</v>
      </c>
    </row>
    <row r="165" spans="1:72" s="681" customFormat="1" ht="13" hidden="1">
      <c r="A165" s="1545">
        <v>374</v>
      </c>
      <c r="B165" s="1546" t="s">
        <v>785</v>
      </c>
      <c r="C165" s="1546" t="s">
        <v>787</v>
      </c>
      <c r="D165" s="1547" t="s">
        <v>6929</v>
      </c>
      <c r="E165" s="690" t="s">
        <v>662</v>
      </c>
      <c r="F165" s="691"/>
      <c r="G165" s="692"/>
      <c r="H165" s="692"/>
      <c r="I165" s="692"/>
      <c r="J165" s="693"/>
      <c r="K165" s="693"/>
      <c r="L165" s="693"/>
      <c r="M165" s="694" t="e">
        <f>X165/W165</f>
        <v>#DIV/0!</v>
      </c>
      <c r="N165" s="695" t="e">
        <f>IF(M165&lt;&gt;"",M165/VLOOKUP($K165,SETUP!$C$28:$D$42,2,0),"")</f>
        <v>#DIV/0!</v>
      </c>
      <c r="O165" s="696" t="s">
        <v>1569</v>
      </c>
      <c r="P165" s="695">
        <f>'HPM costs'!F483+'HPM costs'!F486</f>
        <v>0</v>
      </c>
      <c r="Q165" s="695" t="s">
        <v>1569</v>
      </c>
      <c r="R165" s="695">
        <f>'HPM costs'!G483+'HPM costs'!G486</f>
        <v>0</v>
      </c>
      <c r="S165" s="695" t="s">
        <v>1569</v>
      </c>
      <c r="T165" s="695">
        <f>'HPM costs'!H483+'HPM costs'!H486</f>
        <v>0</v>
      </c>
      <c r="U165" s="695" t="s">
        <v>1569</v>
      </c>
      <c r="V165" s="695">
        <f>'HPM costs'!I483+'HPM costs'!I486</f>
        <v>0</v>
      </c>
      <c r="W165" s="695"/>
      <c r="X165" s="1492">
        <f t="shared" si="18"/>
        <v>0</v>
      </c>
      <c r="Y165" s="1493"/>
      <c r="Z165" s="1494"/>
      <c r="AA165" s="699"/>
      <c r="AB165" s="695"/>
      <c r="AC165" s="695">
        <f>'HPM costs'!K483+'HPM costs'!K486</f>
        <v>0</v>
      </c>
      <c r="AD165" s="695"/>
      <c r="AE165" s="695">
        <f>'HPM costs'!L483+'HPM costs'!L486</f>
        <v>0</v>
      </c>
      <c r="AF165" s="695"/>
      <c r="AG165" s="695">
        <f>'HPM costs'!M483+'HPM costs'!M486</f>
        <v>0</v>
      </c>
      <c r="AH165" s="695"/>
      <c r="AI165" s="695">
        <f>'HPM costs'!N483+'HPM costs'!N486</f>
        <v>0</v>
      </c>
      <c r="AJ165" s="695"/>
      <c r="AK165" s="1492">
        <f t="shared" si="19"/>
        <v>0</v>
      </c>
      <c r="AL165" s="1493"/>
      <c r="AM165" s="1494"/>
      <c r="AN165" s="699"/>
      <c r="AO165" s="695"/>
      <c r="AP165" s="695">
        <f>'HPM costs'!P483+'HPM costs'!P486</f>
        <v>0</v>
      </c>
      <c r="AQ165" s="695"/>
      <c r="AR165" s="695">
        <f>'HPM costs'!Q483+'HPM costs'!Q486</f>
        <v>0</v>
      </c>
      <c r="AS165" s="695"/>
      <c r="AT165" s="695">
        <f>'HPM costs'!R483+'HPM costs'!R486</f>
        <v>0</v>
      </c>
      <c r="AU165" s="695"/>
      <c r="AV165" s="695">
        <f>'HPM costs'!S483+'HPM costs'!S486</f>
        <v>0</v>
      </c>
      <c r="AW165" s="695"/>
      <c r="AX165" s="1492">
        <f t="shared" si="20"/>
        <v>0</v>
      </c>
      <c r="AY165" s="1492"/>
      <c r="AZ165" s="698"/>
      <c r="BA165" s="699"/>
      <c r="BB165" s="697"/>
      <c r="BC165" s="697">
        <v>0</v>
      </c>
      <c r="BD165" s="697">
        <v>0</v>
      </c>
      <c r="BE165" s="697">
        <v>0</v>
      </c>
      <c r="BF165" s="697">
        <v>0</v>
      </c>
      <c r="BG165" s="697">
        <v>0</v>
      </c>
      <c r="BH165" s="697">
        <v>0</v>
      </c>
      <c r="BI165" s="697">
        <v>0</v>
      </c>
      <c r="BJ165" s="697">
        <v>0</v>
      </c>
      <c r="BK165" s="1492">
        <f t="shared" si="21"/>
        <v>0</v>
      </c>
      <c r="BL165" s="1492"/>
      <c r="BM165" s="1492">
        <f t="shared" si="22"/>
        <v>0</v>
      </c>
      <c r="BN165" s="1492">
        <f t="shared" si="23"/>
        <v>0</v>
      </c>
      <c r="BO165" s="697"/>
      <c r="BP165" s="697"/>
      <c r="BQ165" s="1495">
        <v>0</v>
      </c>
      <c r="BR165" s="1495" t="s">
        <v>816</v>
      </c>
      <c r="BS165" s="1495" t="s">
        <v>6929</v>
      </c>
      <c r="BT165" s="691" t="s">
        <v>1831</v>
      </c>
    </row>
    <row r="166" spans="1:72" s="681" customFormat="1" ht="13" hidden="1">
      <c r="A166" s="1545">
        <v>375</v>
      </c>
      <c r="B166" s="1546" t="s">
        <v>785</v>
      </c>
      <c r="C166" s="1546" t="s">
        <v>787</v>
      </c>
      <c r="D166" s="1547" t="s">
        <v>6929</v>
      </c>
      <c r="E166" s="690" t="s">
        <v>664</v>
      </c>
      <c r="F166" s="691"/>
      <c r="G166" s="692"/>
      <c r="H166" s="692"/>
      <c r="I166" s="692"/>
      <c r="J166" s="693"/>
      <c r="K166" s="693"/>
      <c r="L166" s="693"/>
      <c r="M166" s="694"/>
      <c r="N166" s="695"/>
      <c r="O166" s="696" t="s">
        <v>1569</v>
      </c>
      <c r="P166" s="695">
        <f>'HPM costs'!F223+'HPM costs'!F226+'HPM costs'!F569+'HPM costs'!F572</f>
        <v>0</v>
      </c>
      <c r="Q166" s="695" t="s">
        <v>1569</v>
      </c>
      <c r="R166" s="695">
        <f>'HPM costs'!G223+'HPM costs'!G226+'HPM costs'!G569+'HPM costs'!G572</f>
        <v>0</v>
      </c>
      <c r="S166" s="695" t="s">
        <v>1569</v>
      </c>
      <c r="T166" s="695">
        <f>'HPM costs'!H223+'HPM costs'!H226+'HPM costs'!H569+'HPM costs'!H572</f>
        <v>0</v>
      </c>
      <c r="U166" s="695" t="s">
        <v>1569</v>
      </c>
      <c r="V166" s="695">
        <f>'HPM costs'!I223+'HPM costs'!I226+'HPM costs'!I569+'HPM costs'!I572</f>
        <v>0</v>
      </c>
      <c r="W166" s="695"/>
      <c r="X166" s="1492">
        <f t="shared" si="18"/>
        <v>0</v>
      </c>
      <c r="Y166" s="1493"/>
      <c r="Z166" s="1494"/>
      <c r="AA166" s="699"/>
      <c r="AB166" s="695"/>
      <c r="AC166" s="695">
        <f>'HPM costs'!K223+'HPM costs'!K226+'HPM costs'!K569+'HPM costs'!K572</f>
        <v>0</v>
      </c>
      <c r="AD166" s="695"/>
      <c r="AE166" s="695">
        <f>'HPM costs'!L223+'HPM costs'!L226+'HPM costs'!L569+'HPM costs'!L572</f>
        <v>0</v>
      </c>
      <c r="AF166" s="695"/>
      <c r="AG166" s="695">
        <f>'HPM costs'!M223+'HPM costs'!M226+'HPM costs'!M569+'HPM costs'!M572</f>
        <v>0</v>
      </c>
      <c r="AH166" s="695"/>
      <c r="AI166" s="695">
        <f>'HPM costs'!N223+'HPM costs'!N226+'HPM costs'!N569+'HPM costs'!N572</f>
        <v>0</v>
      </c>
      <c r="AJ166" s="695"/>
      <c r="AK166" s="1492">
        <f t="shared" si="19"/>
        <v>0</v>
      </c>
      <c r="AL166" s="1493"/>
      <c r="AM166" s="1494"/>
      <c r="AN166" s="699"/>
      <c r="AO166" s="695"/>
      <c r="AP166" s="695">
        <f>'HPM costs'!P223+'HPM costs'!P226+'HPM costs'!P569+'HPM costs'!P572</f>
        <v>0</v>
      </c>
      <c r="AQ166" s="695"/>
      <c r="AR166" s="695">
        <f>'HPM costs'!Q223+'HPM costs'!Q226+'HPM costs'!Q569+'HPM costs'!Q572</f>
        <v>0</v>
      </c>
      <c r="AS166" s="695"/>
      <c r="AT166" s="695">
        <f>'HPM costs'!R223+'HPM costs'!R226+'HPM costs'!R569+'HPM costs'!R572</f>
        <v>0</v>
      </c>
      <c r="AU166" s="695"/>
      <c r="AV166" s="695">
        <f>'HPM costs'!S223+'HPM costs'!S226+'HPM costs'!S569+'HPM costs'!S572</f>
        <v>0</v>
      </c>
      <c r="AW166" s="695"/>
      <c r="AX166" s="1492">
        <f t="shared" si="20"/>
        <v>0</v>
      </c>
      <c r="AY166" s="1492"/>
      <c r="AZ166" s="698"/>
      <c r="BA166" s="699"/>
      <c r="BB166" s="697"/>
      <c r="BC166" s="697">
        <v>0</v>
      </c>
      <c r="BD166" s="697">
        <v>0</v>
      </c>
      <c r="BE166" s="697">
        <v>0</v>
      </c>
      <c r="BF166" s="697">
        <v>0</v>
      </c>
      <c r="BG166" s="697">
        <v>0</v>
      </c>
      <c r="BH166" s="697">
        <v>0</v>
      </c>
      <c r="BI166" s="697">
        <v>0</v>
      </c>
      <c r="BJ166" s="697">
        <v>0</v>
      </c>
      <c r="BK166" s="1492">
        <f t="shared" si="21"/>
        <v>0</v>
      </c>
      <c r="BL166" s="1492"/>
      <c r="BM166" s="1492">
        <f t="shared" si="22"/>
        <v>0</v>
      </c>
      <c r="BN166" s="1492">
        <f t="shared" si="23"/>
        <v>0</v>
      </c>
      <c r="BO166" s="697"/>
      <c r="BP166" s="697"/>
      <c r="BQ166" s="1495">
        <v>0</v>
      </c>
      <c r="BR166" s="1495" t="s">
        <v>816</v>
      </c>
      <c r="BS166" s="1495" t="s">
        <v>6929</v>
      </c>
      <c r="BT166" s="691" t="s">
        <v>1832</v>
      </c>
    </row>
    <row r="167" spans="1:72" s="681" customFormat="1" ht="13" hidden="1">
      <c r="A167" s="1545">
        <v>376</v>
      </c>
      <c r="B167" s="1546" t="s">
        <v>785</v>
      </c>
      <c r="C167" s="1546" t="s">
        <v>787</v>
      </c>
      <c r="D167" s="1547" t="s">
        <v>6929</v>
      </c>
      <c r="E167" s="690" t="s">
        <v>666</v>
      </c>
      <c r="F167" s="691"/>
      <c r="G167" s="692"/>
      <c r="H167" s="692"/>
      <c r="I167" s="692"/>
      <c r="J167" s="693"/>
      <c r="K167" s="693"/>
      <c r="L167" s="693"/>
      <c r="M167" s="694"/>
      <c r="N167" s="695"/>
      <c r="O167" s="696" t="s">
        <v>1569</v>
      </c>
      <c r="P167" s="695">
        <f>'HPM costs'!F309+'HPM costs'!F312</f>
        <v>0</v>
      </c>
      <c r="Q167" s="695" t="s">
        <v>1569</v>
      </c>
      <c r="R167" s="695">
        <f>'HPM costs'!G309+'HPM costs'!G312</f>
        <v>0</v>
      </c>
      <c r="S167" s="695" t="s">
        <v>1569</v>
      </c>
      <c r="T167" s="695">
        <f>'HPM costs'!H309+'HPM costs'!H312</f>
        <v>0</v>
      </c>
      <c r="U167" s="695" t="s">
        <v>1569</v>
      </c>
      <c r="V167" s="695">
        <f>'HPM costs'!I309+'HPM costs'!I312</f>
        <v>0</v>
      </c>
      <c r="W167" s="695"/>
      <c r="X167" s="1492">
        <f t="shared" si="18"/>
        <v>0</v>
      </c>
      <c r="Y167" s="1493"/>
      <c r="Z167" s="1494"/>
      <c r="AA167" s="699"/>
      <c r="AB167" s="695"/>
      <c r="AC167" s="695">
        <f>'HPM costs'!K309+'HPM costs'!K312</f>
        <v>0</v>
      </c>
      <c r="AD167" s="695"/>
      <c r="AE167" s="695">
        <f>'HPM costs'!L309+'HPM costs'!L312</f>
        <v>0</v>
      </c>
      <c r="AF167" s="695"/>
      <c r="AG167" s="695">
        <f>'HPM costs'!M309+'HPM costs'!M312</f>
        <v>0</v>
      </c>
      <c r="AH167" s="695"/>
      <c r="AI167" s="695">
        <f>'HPM costs'!N309+'HPM costs'!N312</f>
        <v>0</v>
      </c>
      <c r="AJ167" s="695"/>
      <c r="AK167" s="1492">
        <f t="shared" si="19"/>
        <v>0</v>
      </c>
      <c r="AL167" s="1493"/>
      <c r="AM167" s="1494"/>
      <c r="AN167" s="699"/>
      <c r="AO167" s="695"/>
      <c r="AP167" s="695">
        <f>'HPM costs'!P309+'HPM costs'!P312</f>
        <v>0</v>
      </c>
      <c r="AQ167" s="695"/>
      <c r="AR167" s="695">
        <f>'HPM costs'!Q309+'HPM costs'!Q312</f>
        <v>0</v>
      </c>
      <c r="AS167" s="695"/>
      <c r="AT167" s="695">
        <f>'HPM costs'!R309+'HPM costs'!R312</f>
        <v>0</v>
      </c>
      <c r="AU167" s="695"/>
      <c r="AV167" s="695">
        <f>'HPM costs'!S309+'HPM costs'!S312</f>
        <v>0</v>
      </c>
      <c r="AW167" s="695"/>
      <c r="AX167" s="1492">
        <f t="shared" si="20"/>
        <v>0</v>
      </c>
      <c r="AY167" s="1492"/>
      <c r="AZ167" s="698"/>
      <c r="BA167" s="699"/>
      <c r="BB167" s="697"/>
      <c r="BC167" s="697">
        <v>0</v>
      </c>
      <c r="BD167" s="697">
        <v>0</v>
      </c>
      <c r="BE167" s="697">
        <v>0</v>
      </c>
      <c r="BF167" s="697">
        <v>0</v>
      </c>
      <c r="BG167" s="697">
        <v>0</v>
      </c>
      <c r="BH167" s="697">
        <v>0</v>
      </c>
      <c r="BI167" s="697">
        <v>0</v>
      </c>
      <c r="BJ167" s="697">
        <v>0</v>
      </c>
      <c r="BK167" s="1492">
        <f t="shared" si="21"/>
        <v>0</v>
      </c>
      <c r="BL167" s="1492"/>
      <c r="BM167" s="1492">
        <f t="shared" si="22"/>
        <v>0</v>
      </c>
      <c r="BN167" s="1492">
        <f t="shared" si="23"/>
        <v>0</v>
      </c>
      <c r="BO167" s="697"/>
      <c r="BP167" s="697"/>
      <c r="BQ167" s="1495">
        <v>0</v>
      </c>
      <c r="BR167" s="1495" t="s">
        <v>816</v>
      </c>
      <c r="BS167" s="1495" t="s">
        <v>6929</v>
      </c>
      <c r="BT167" s="691" t="s">
        <v>1833</v>
      </c>
    </row>
    <row r="168" spans="1:72" s="681" customFormat="1" ht="13" hidden="1">
      <c r="A168" s="1545">
        <v>377</v>
      </c>
      <c r="B168" s="1546" t="s">
        <v>785</v>
      </c>
      <c r="C168" s="1546" t="s">
        <v>787</v>
      </c>
      <c r="D168" s="1547" t="s">
        <v>6929</v>
      </c>
      <c r="E168" s="690" t="s">
        <v>668</v>
      </c>
      <c r="F168" s="691"/>
      <c r="G168" s="692"/>
      <c r="H168" s="692"/>
      <c r="I168" s="692"/>
      <c r="J168" s="693"/>
      <c r="K168" s="693"/>
      <c r="L168" s="693"/>
      <c r="M168" s="694"/>
      <c r="N168" s="695"/>
      <c r="O168" s="696" t="s">
        <v>1569</v>
      </c>
      <c r="P168" s="695">
        <f>'HPM costs'!F654+'HPM costs'!F657</f>
        <v>0</v>
      </c>
      <c r="Q168" s="695" t="s">
        <v>1569</v>
      </c>
      <c r="R168" s="695">
        <f>'HPM costs'!G654+'HPM costs'!G657</f>
        <v>0</v>
      </c>
      <c r="S168" s="695" t="s">
        <v>1569</v>
      </c>
      <c r="T168" s="695">
        <f>'HPM costs'!H654+'HPM costs'!H657</f>
        <v>0</v>
      </c>
      <c r="U168" s="695" t="s">
        <v>1569</v>
      </c>
      <c r="V168" s="695">
        <f>'HPM costs'!I654+'HPM costs'!I657</f>
        <v>0</v>
      </c>
      <c r="W168" s="695"/>
      <c r="X168" s="1492">
        <f t="shared" si="18"/>
        <v>0</v>
      </c>
      <c r="Y168" s="1493"/>
      <c r="Z168" s="1494"/>
      <c r="AA168" s="699"/>
      <c r="AB168" s="695"/>
      <c r="AC168" s="695">
        <f>'HPM costs'!K654+'HPM costs'!K657</f>
        <v>0</v>
      </c>
      <c r="AD168" s="695"/>
      <c r="AE168" s="695">
        <f>'HPM costs'!L654+'HPM costs'!L657</f>
        <v>0</v>
      </c>
      <c r="AF168" s="695"/>
      <c r="AG168" s="695">
        <f>'HPM costs'!M654+'HPM costs'!M657</f>
        <v>0</v>
      </c>
      <c r="AH168" s="695"/>
      <c r="AI168" s="695">
        <f>'HPM costs'!N654+'HPM costs'!N657</f>
        <v>0</v>
      </c>
      <c r="AJ168" s="695"/>
      <c r="AK168" s="1492">
        <f t="shared" si="19"/>
        <v>0</v>
      </c>
      <c r="AL168" s="1493"/>
      <c r="AM168" s="1494"/>
      <c r="AN168" s="699"/>
      <c r="AO168" s="695"/>
      <c r="AP168" s="695">
        <f>'HPM costs'!P654+'HPM costs'!P657</f>
        <v>0</v>
      </c>
      <c r="AQ168" s="695"/>
      <c r="AR168" s="695">
        <f>'HPM costs'!Q654+'HPM costs'!Q657</f>
        <v>0</v>
      </c>
      <c r="AS168" s="695"/>
      <c r="AT168" s="695">
        <f>'HPM costs'!R654+'HPM costs'!R657</f>
        <v>0</v>
      </c>
      <c r="AU168" s="695"/>
      <c r="AV168" s="695">
        <f>'HPM costs'!S654+'HPM costs'!S657</f>
        <v>0</v>
      </c>
      <c r="AW168" s="695"/>
      <c r="AX168" s="1492">
        <f t="shared" si="20"/>
        <v>0</v>
      </c>
      <c r="AY168" s="1492"/>
      <c r="AZ168" s="698"/>
      <c r="BA168" s="699"/>
      <c r="BB168" s="697"/>
      <c r="BC168" s="697">
        <v>0</v>
      </c>
      <c r="BD168" s="697">
        <v>0</v>
      </c>
      <c r="BE168" s="697">
        <v>0</v>
      </c>
      <c r="BF168" s="697">
        <v>0</v>
      </c>
      <c r="BG168" s="697">
        <v>0</v>
      </c>
      <c r="BH168" s="697">
        <v>0</v>
      </c>
      <c r="BI168" s="697">
        <v>0</v>
      </c>
      <c r="BJ168" s="697">
        <v>0</v>
      </c>
      <c r="BK168" s="1492">
        <f t="shared" si="21"/>
        <v>0</v>
      </c>
      <c r="BL168" s="1492"/>
      <c r="BM168" s="1492">
        <f t="shared" si="22"/>
        <v>0</v>
      </c>
      <c r="BN168" s="1492">
        <f t="shared" si="23"/>
        <v>0</v>
      </c>
      <c r="BO168" s="697"/>
      <c r="BP168" s="697"/>
      <c r="BQ168" s="1495">
        <v>0</v>
      </c>
      <c r="BR168" s="1495" t="s">
        <v>816</v>
      </c>
      <c r="BS168" s="1495" t="s">
        <v>6929</v>
      </c>
      <c r="BT168" s="1903" t="s">
        <v>1834</v>
      </c>
    </row>
    <row r="169" spans="1:72" ht="13">
      <c r="A169" s="1545">
        <v>428</v>
      </c>
      <c r="B169" s="1546" t="s">
        <v>780</v>
      </c>
      <c r="C169" s="1546" t="s">
        <v>789</v>
      </c>
      <c r="D169" s="1547" t="s">
        <v>6867</v>
      </c>
      <c r="E169" s="690" t="s">
        <v>791</v>
      </c>
      <c r="F169" s="691"/>
      <c r="G169" s="692"/>
      <c r="H169" s="692"/>
      <c r="I169" s="692"/>
      <c r="J169" s="693"/>
      <c r="K169" s="693"/>
      <c r="L169" s="693"/>
      <c r="M169" s="694" t="e">
        <f>X169/W169</f>
        <v>#DIV/0!</v>
      </c>
      <c r="N169" s="695" t="e">
        <f>IF(M169&lt;&gt;"",M169/VLOOKUP($K169,SETUP!$C$28:$D$42,2,0),"")</f>
        <v>#DIV/0!</v>
      </c>
      <c r="O169" s="696" t="s">
        <v>1569</v>
      </c>
      <c r="P169" s="695">
        <f>IF(SETUP!$F$27="Upfront",'HIV-Key Info'!$E$66*SUM('EBS-H'!K296:K312),0)</f>
        <v>0</v>
      </c>
      <c r="Q169" s="695" t="s">
        <v>1569</v>
      </c>
      <c r="R169" s="695">
        <f>IF(SETUP!$F$27="Upfront",'HIV-Key Info'!$E$66*SUM('EBS-H'!O296:O312),IF(SETUP!$F$27="At delivery", IF(SETUP!$G$27=1,'HIV-Key Info'!$E$66*SUM('EBS-H'!K296:K312),0),0))</f>
        <v>0</v>
      </c>
      <c r="S169" s="695" t="s">
        <v>1569</v>
      </c>
      <c r="T169" s="695">
        <f>IF(SETUP!$F$27="Upfront",'HIV-Key Info'!$E$66*SUM('EBS-H'!S296:S312),IF(SETUP!$F$27="At delivery", IF(SETUP!$G$27=2,'HIV-Key Info'!$E$66*SUM('EBS-H'!K296:K312),IF(SETUP!$G$27=1,'HIV-Key Info'!$E$66*SUM('EBS-H'!O296:O312),0)),0))</f>
        <v>0</v>
      </c>
      <c r="U169" s="695" t="s">
        <v>1569</v>
      </c>
      <c r="V169" s="695">
        <f>IF(SETUP!$F$27="Upfront",'HIV-Key Info'!$E$66*SUM('EBS-H'!W296:W312),IF(SETUP!$F$27="At delivery", IF(SETUP!$G$27=3,'HIV-Key Info'!$E$66*SUM('EBS-H'!K296:K312),IF(SETUP!$G$27=2,'HIV-Key Info'!$E$66*SUM('EBS-H'!O296:O312),IF(SETUP!$G$27=1,'HIV-Key Info'!$E$66*SUM('EBS-H'!S296:S312),0))),0))</f>
        <v>0</v>
      </c>
      <c r="W169" s="695"/>
      <c r="X169" s="1492">
        <f t="shared" si="18"/>
        <v>0</v>
      </c>
      <c r="Y169" s="1493"/>
      <c r="Z169" s="1494"/>
      <c r="AA169" s="699"/>
      <c r="AB169" s="695"/>
      <c r="AC169" s="695">
        <f>IF(SETUP!$F$27="Upfront",'HIV-Key Info'!$E$66*SUM('EBS-H'!AC296:AC312),IF(SETUP!$F$27="At delivery", IF(SETUP!$G$27=4,'HIV-Key Info'!$E$66*SUM('EBS-H'!K296:K312),IF(SETUP!$G$27=3,'HIV-Key Info'!$E$66*SUM('EBS-H'!O296:O312),IF(SETUP!$G$27=2,'HIV-Key Info'!$E$66*SUM('EBS-H'!S296:S312),IF(SETUP!$G$27=1,'HIV-Key Info'!$E$66*SUM('EBS-H'!W296:W312),0)))),0))</f>
        <v>0</v>
      </c>
      <c r="AD169" s="695"/>
      <c r="AE169" s="695">
        <f>IF(SETUP!$F$27="Upfront",'HIV-Key Info'!$E$66*SUM('EBS-H'!AG296:AG312),IF(SETUP!$F$27="At delivery", IF(SETUP!$G$27=4,'HIV-Key Info'!$E$66*SUM('EBS-H'!O296:O312),IF(SETUP!$G$27=3,'HIV-Key Info'!$E$66*SUM('EBS-H'!S296:S312),IF(SETUP!$G$27=2,'HIV-Key Info'!$E$66*SUM('EBS-H'!W296:W312),IF(SETUP!$G$27=1,'HIV-Key Info'!$E$66*SUM('EBS-H'!AC296:AC312),0)))),0))</f>
        <v>0</v>
      </c>
      <c r="AF169" s="695"/>
      <c r="AG169" s="695">
        <f>IF(SETUP!$F$27="Upfront",'HIV-Key Info'!$E$66*SUM('EBS-H'!AK296:AK312),IF(SETUP!$F$27="At delivery", IF(SETUP!$G$27=4,'HIV-Key Info'!$E$66*SUM('EBS-H'!S296:S312),IF(SETUP!$G$27=3,'HIV-Key Info'!$E$66*SUM('EBS-H'!W296:W312),IF(SETUP!$G$27=2,'HIV-Key Info'!$E$66*SUM('EBS-H'!AC296:AC312),IF(SETUP!$G$27=1,'HIV-Key Info'!$E$66*SUM('EBS-H'!AG296:AG312),0)))),0))</f>
        <v>0</v>
      </c>
      <c r="AH169" s="695"/>
      <c r="AI169" s="695">
        <f>IF(SETUP!$F$27="Upfront",'HIV-Key Info'!$E$66*SUM('EBS-H'!AO296:AO312),IF(SETUP!$F$27="At delivery", IF(SETUP!$G$27=4,'HIV-Key Info'!$E$66*SUM('EBS-H'!W296:W312),IF(SETUP!$G$27=3,'HIV-Key Info'!$E$66*SUM('EBS-H'!AC296:AC312),IF(SETUP!$G$27=2,'HIV-Key Info'!$E$66*SUM('EBS-H'!AG296:AG312),IF(SETUP!$G$27=1,'HIV-Key Info'!$E$66*SUM('EBS-H'!AK296:AK312),0)))),0))</f>
        <v>0</v>
      </c>
      <c r="AJ169" s="695"/>
      <c r="AK169" s="1492">
        <f t="shared" si="19"/>
        <v>0</v>
      </c>
      <c r="AL169" s="1493"/>
      <c r="AM169" s="1494"/>
      <c r="AN169" s="699"/>
      <c r="AO169" s="695"/>
      <c r="AP169" s="695">
        <f>IF(SETUP!$F$27="Upfront",'HIV-Key Info'!$E$66*SUM('EBS-H'!AU296:AU312),IF(SETUP!$F$27="At delivery", IF(SETUP!$G$27=4,'HIV-Key Info'!$E$66*SUM('EBS-H'!AC296:AC312),IF(SETUP!$G$27=3,'HIV-Key Info'!$E$66*SUM('EBS-H'!AG296:AG312),IF(SETUP!$G$27=2,'HIV-Key Info'!$E$66*SUM('EBS-H'!AK296:AK312),IF(SETUP!$G$27=1,'HIV-Key Info'!$E$66*SUM('EBS-H'!AO296:AO312),0)))),0))</f>
        <v>0</v>
      </c>
      <c r="AQ169" s="695"/>
      <c r="AR169" s="695">
        <f>IF(SETUP!$F$27="Upfront",'HIV-Key Info'!$E$66*SUM('EBS-H'!AY296:AY312),IF(SETUP!$F$27="At delivery", IF(SETUP!$G$27=4,'HIV-Key Info'!$E$66*SUM('EBS-H'!AG296:AG312),IF(SETUP!$G$27=3,'HIV-Key Info'!$E$66*SUM('EBS-H'!AK296:AK312),IF(SETUP!$G$27=2,'HIV-Key Info'!$E$66*SUM('EBS-H'!AO296:AO312),IF(SETUP!$G$27=1,'HIV-Key Info'!$E$66*SUM('EBS-H'!AU296:AU312),0)))),0))</f>
        <v>0</v>
      </c>
      <c r="AS169" s="695"/>
      <c r="AT169" s="695">
        <f>IF(SETUP!$F$27="Upfront",'HIV-Key Info'!$E$66*SUM('EBS-H'!BC296:BC312),IF(SETUP!$F$27="At delivery", IF(SETUP!$G$27=4,'HIV-Key Info'!$E$66*SUM('EBS-H'!AK296:AK312),IF(SETUP!$G$27=3,'HIV-Key Info'!$E$66*SUM('EBS-H'!AO296:AO312),IF(SETUP!$G$27=2,'HIV-Key Info'!$E$66*SUM('EBS-H'!AU296:AU312),IF(SETUP!$G$27=1,'HIV-Key Info'!$E$66*SUM('EBS-H'!AY296:AY312),0)))),0))</f>
        <v>0</v>
      </c>
      <c r="AU169" s="695"/>
      <c r="AV169" s="695">
        <f>IF(SETUP!$F$27="Upfront",'HIV-Key Info'!$E$66*SUM('EBS-H'!BG296:BG312),IF(SETUP!$F$27="At delivery", IF(SETUP!$G$27=4,'HIV-Key Info'!$E$66*SUM(SUM('EBS-H'!AO296:AO312),SUM('EBS-H'!AU296:AU312),SUM('EBS-H'!AY296:AY312),SUM('EBS-H'!BC296:BC312),SUM('EBS-H'!BG296:BG312)),IF(SETUP!$G$27=3,'HIV-Key Info'!$E$66*SUM(SUM('EBS-H'!AU296:AU312),SUM('EBS-H'!AY296:AY312),SUM('EBS-H'!BC296:BC312),SUM('EBS-H'!BG296:BG312)),IF(SETUP!$G$27=2,'HIV-Key Info'!$E$66*SUM(SUM('EBS-H'!AY296:AY312),SUM('EBS-H'!BC296:BC312),SUM('EBS-H'!BG296:BG312)),IF(SETUP!$G$27=1,'HIV-Key Info'!$E$66*SUM(SUM('EBS-H'!BC296:BC312),SUM('EBS-H'!BG296:BG312)),0)))),0))</f>
        <v>0</v>
      </c>
      <c r="AW169" s="695"/>
      <c r="AX169" s="1492">
        <f t="shared" si="20"/>
        <v>0</v>
      </c>
      <c r="AY169" s="1492"/>
      <c r="AZ169" s="698"/>
      <c r="BA169" s="699"/>
      <c r="BB169" s="697"/>
      <c r="BC169" s="697">
        <v>0</v>
      </c>
      <c r="BD169" s="697">
        <v>0</v>
      </c>
      <c r="BE169" s="697">
        <v>0</v>
      </c>
      <c r="BF169" s="697">
        <v>0</v>
      </c>
      <c r="BG169" s="697">
        <v>0</v>
      </c>
      <c r="BH169" s="697">
        <v>0</v>
      </c>
      <c r="BI169" s="697">
        <v>0</v>
      </c>
      <c r="BJ169" s="697">
        <v>0</v>
      </c>
      <c r="BK169" s="1492">
        <f t="shared" si="21"/>
        <v>0</v>
      </c>
      <c r="BL169" s="1492"/>
      <c r="BM169" s="1492">
        <f t="shared" si="22"/>
        <v>0</v>
      </c>
      <c r="BN169" s="1492">
        <f t="shared" si="23"/>
        <v>0</v>
      </c>
      <c r="BO169" s="697"/>
      <c r="BP169" s="697"/>
      <c r="BQ169" s="1495" t="s">
        <v>6933</v>
      </c>
      <c r="BR169" s="1495" t="s">
        <v>818</v>
      </c>
      <c r="BS169" s="1902" t="s">
        <v>790</v>
      </c>
      <c r="BT169" s="1907" t="s">
        <v>1895</v>
      </c>
    </row>
    <row r="170" spans="1:72" ht="13">
      <c r="A170" s="1545">
        <v>429</v>
      </c>
      <c r="B170" s="1546" t="s">
        <v>780</v>
      </c>
      <c r="C170" s="1546" t="s">
        <v>789</v>
      </c>
      <c r="D170" s="1547" t="s">
        <v>6867</v>
      </c>
      <c r="E170" s="690" t="s">
        <v>725</v>
      </c>
      <c r="F170" s="691"/>
      <c r="G170" s="692"/>
      <c r="H170" s="692"/>
      <c r="I170" s="692"/>
      <c r="J170" s="693"/>
      <c r="K170" s="693"/>
      <c r="L170" s="693"/>
      <c r="M170" s="694"/>
      <c r="N170" s="695"/>
      <c r="O170" s="696" t="s">
        <v>1569</v>
      </c>
      <c r="P170" s="695">
        <f>IF(SETUP!$F$28="Upfront",'HIV-Key Info'!$G$66*SUM('EBS-H'!K318:K322),0)</f>
        <v>0</v>
      </c>
      <c r="Q170" s="695" t="s">
        <v>1569</v>
      </c>
      <c r="R170" s="695">
        <f>IF(SETUP!$F$28="Upfront",'HIV-Key Info'!$G$66*SUM('EBS-H'!O318:O322),IF(SETUP!$F$28="At delivery", IF(SETUP!$G$28=1,'HIV-Key Info'!$G$66*SUM('EBS-H'!K318:K322),0),0))</f>
        <v>0</v>
      </c>
      <c r="S170" s="695" t="s">
        <v>1569</v>
      </c>
      <c r="T170" s="695">
        <f>IF(SETUP!$F$28="Upfront",'HIV-Key Info'!$G$66*SUM('EBS-H'!S318:S322),IF(SETUP!$F$28="At delivery", IF(SETUP!$G$28=2,'HIV-Key Info'!$G$66*SUM('EBS-H'!K318:K322),IF(SETUP!$G$28=1,'HIV-Key Info'!$G$66*SUM('EBS-H'!O318:O322),0)),0))</f>
        <v>0</v>
      </c>
      <c r="U170" s="695" t="s">
        <v>1569</v>
      </c>
      <c r="V170" s="695">
        <f>IF(SETUP!$F$28="Upfront",'HIV-Key Info'!$G$66*SUM('EBS-H'!W318:W322),IF(SETUP!$F$28="At delivery", IF(SETUP!$G$28=3,'HIV-Key Info'!$G$66*SUM('EBS-H'!K318:K322),IF(SETUP!$G$28=2,'HIV-Key Info'!$G$66*SUM('EBS-H'!O318:O322),IF(SETUP!$G$28=1,'HIV-Key Info'!$G$66*SUM('EBS-H'!S318:S322),0))),0))</f>
        <v>0</v>
      </c>
      <c r="W170" s="695"/>
      <c r="X170" s="1492">
        <f t="shared" si="18"/>
        <v>0</v>
      </c>
      <c r="Y170" s="1493"/>
      <c r="Z170" s="1494"/>
      <c r="AA170" s="699"/>
      <c r="AB170" s="695"/>
      <c r="AC170" s="695">
        <f>IF(SETUP!$F$28="Upfront",'HIV-Key Info'!$G$66*SUM('EBS-H'!AC318:AC322),IF(SETUP!$F$28="At delivery", IF(SETUP!$G$28=4,'HIV-Key Info'!$G$66*SUM('EBS-H'!K318:K322),IF(SETUP!$G$28=3,'HIV-Key Info'!$G$66*SUM('EBS-H'!O318:O322),IF(SETUP!$G$28=2,'HIV-Key Info'!$G$66*SUM('EBS-H'!S318:S322),IF(SETUP!$G$28=1,'HIV-Key Info'!$G$66*SUM('EBS-H'!W318:W322),0)))),0))</f>
        <v>0</v>
      </c>
      <c r="AD170" s="695"/>
      <c r="AE170" s="695">
        <f>IF(SETUP!$F$28="Upfront",'HIV-Key Info'!$G$66*SUM('EBS-H'!AG318:AG322),IF(SETUP!$F$28="At delivery", IF(SETUP!$G$28=4,'HIV-Key Info'!$G$66*SUM('EBS-H'!O318:O322),IF(SETUP!$G$28=3,'HIV-Key Info'!$G$66*SUM('EBS-H'!S318:S322),IF(SETUP!$G$28=2,'HIV-Key Info'!$G$66*SUM('EBS-H'!W318:W322),IF(SETUP!$G$28=1,'HIV-Key Info'!$G$66*SUM('EBS-H'!AC318:AC322),0)))),0))</f>
        <v>0</v>
      </c>
      <c r="AF170" s="695"/>
      <c r="AG170" s="695">
        <f>IF(SETUP!$F$28="Upfront",'HIV-Key Info'!$G$66*SUM('EBS-H'!AK318:AK322),IF(SETUP!$F$28="At delivery", IF(SETUP!$G$28=4,'HIV-Key Info'!$G$66*SUM('EBS-H'!S318:S322),IF(SETUP!$G$28=3,'HIV-Key Info'!$G$66*SUM('EBS-H'!W318:W322),IF(SETUP!$G$28=2,'HIV-Key Info'!$G$66*SUM('EBS-H'!AC318:AC322),IF(SETUP!$G$28=1,'HIV-Key Info'!$G$66*SUM('EBS-H'!AG318:AG322),0)))),0))</f>
        <v>0</v>
      </c>
      <c r="AH170" s="695"/>
      <c r="AI170" s="695">
        <f>IF(SETUP!$F$28="Upfront",'HIV-Key Info'!$G$66*SUM('EBS-H'!AO318:AO322),IF(SETUP!$F$28="At delivery", IF(SETUP!$G$28=4,'HIV-Key Info'!$G$66*SUM('EBS-H'!W318:W322),IF(SETUP!$G$28=3,'HIV-Key Info'!$G$66*SUM('EBS-H'!AC318:AC322),IF(SETUP!$G$28=2,'HIV-Key Info'!$G$66*SUM('EBS-H'!AG318:AG322),IF(SETUP!$G$28=1,'HIV-Key Info'!$G$66*SUM('EBS-H'!AK318:AK322),0)))),0))</f>
        <v>0</v>
      </c>
      <c r="AJ170" s="695"/>
      <c r="AK170" s="1492">
        <f t="shared" si="19"/>
        <v>0</v>
      </c>
      <c r="AL170" s="1493"/>
      <c r="AM170" s="1494"/>
      <c r="AN170" s="699"/>
      <c r="AO170" s="695"/>
      <c r="AP170" s="695">
        <f>IF(SETUP!$F$28="Upfront",'HIV-Key Info'!$G$66*SUM('EBS-H'!AU318:AU322),IF(SETUP!$F$28="At delivery", IF(SETUP!$G$28=4,'HIV-Key Info'!$G$66*SUM('EBS-H'!AC318:AC322),IF(SETUP!$G$28=3,'HIV-Key Info'!$G$66*SUM('EBS-H'!AG318:AG322),IF(SETUP!$G$28=2,'HIV-Key Info'!$G$66*SUM('EBS-H'!AK318:AK322),IF(SETUP!$G$28=1,'HIV-Key Info'!$G$66*SUM('EBS-H'!AO318:AO322),0)))),0))</f>
        <v>0</v>
      </c>
      <c r="AQ170" s="695"/>
      <c r="AR170" s="695">
        <f>IF(SETUP!$F$28="Upfront",'HIV-Key Info'!$G$66*SUM('EBS-H'!AY318:AY322),IF(SETUP!$F$28="At delivery", IF(SETUP!$G$28=4,'HIV-Key Info'!$G$66*SUM('EBS-H'!AG318:AG322),IF(SETUP!$G$28=3,'HIV-Key Info'!$G$66*SUM('EBS-H'!AK318:AK322),IF(SETUP!$G$28=2,'HIV-Key Info'!$G$66*SUM('EBS-H'!AO318:AO322),IF(SETUP!$G$28=1,'HIV-Key Info'!$G$66*SUM('EBS-H'!AU318:AU322),0)))),0))</f>
        <v>0</v>
      </c>
      <c r="AS170" s="695"/>
      <c r="AT170" s="695">
        <f>IF(SETUP!$F$28="Upfront",'HIV-Key Info'!$G$66*SUM('EBS-H'!BC318:BC322),IF(SETUP!$F$28="At delivery", IF(SETUP!$G$28=4,'HIV-Key Info'!$G$66*SUM('EBS-H'!AK318:AK322),IF(SETUP!$G$28=3,'HIV-Key Info'!$G$66*SUM('EBS-H'!AO318:AO322),IF(SETUP!$G$28=2,'HIV-Key Info'!$G$66*SUM('EBS-H'!AU318:AU322),IF(SETUP!$G$28=1,'HIV-Key Info'!$G$66*SUM('EBS-H'!AY318:AY322),0)))),0))</f>
        <v>0</v>
      </c>
      <c r="AU170" s="695"/>
      <c r="AV170" s="695">
        <f>IF(SETUP!$F$28="Upfront",'HIV-Key Info'!$G$66*SUM('EBS-H'!BG318:BG322),IF(SETUP!$F$28="At delivery", IF(SETUP!$G$28=4,'HIV-Key Info'!$G$66*SUM(SUM('EBS-H'!AO318:AO322),SUM('EBS-H'!AU318:AU322),SUM('EBS-H'!AY318:AY322),SUM('EBS-H'!BC318:BC322),SUM('EBS-H'!BG318:BG322)),IF(SETUP!$G$28=3,'HIV-Key Info'!$G$66*SUM(SUM('EBS-H'!AU318:AU322),SUM('EBS-H'!AY318:AY322),SUM('EBS-H'!BC318:BC322),SUM('EBS-H'!BG318:BG322)),IF(SETUP!$G$28=2,'HIV-Key Info'!$G$66*SUM(SUM('EBS-H'!AY318:AY322),SUM('EBS-H'!BC318:BC322),SUM('EBS-H'!BG318:BG322)),IF(SETUP!$G$28=1,'HIV-Key Info'!$G$66*SUM(SUM('EBS-H'!BC318:BC322),SUM('EBS-H'!BG318:BG322)),0)))),0))</f>
        <v>0</v>
      </c>
      <c r="AW170" s="695"/>
      <c r="AX170" s="1492">
        <f t="shared" si="20"/>
        <v>0</v>
      </c>
      <c r="AY170" s="1492"/>
      <c r="AZ170" s="698"/>
      <c r="BA170" s="699"/>
      <c r="BB170" s="697"/>
      <c r="BC170" s="697">
        <v>0</v>
      </c>
      <c r="BD170" s="697">
        <v>0</v>
      </c>
      <c r="BE170" s="697">
        <v>0</v>
      </c>
      <c r="BF170" s="697">
        <v>0</v>
      </c>
      <c r="BG170" s="697">
        <v>0</v>
      </c>
      <c r="BH170" s="697">
        <v>0</v>
      </c>
      <c r="BI170" s="697">
        <v>0</v>
      </c>
      <c r="BJ170" s="697">
        <v>0</v>
      </c>
      <c r="BK170" s="1492">
        <f t="shared" si="21"/>
        <v>0</v>
      </c>
      <c r="BL170" s="1492"/>
      <c r="BM170" s="1492">
        <f t="shared" si="22"/>
        <v>0</v>
      </c>
      <c r="BN170" s="1492">
        <f t="shared" si="23"/>
        <v>0</v>
      </c>
      <c r="BO170" s="697"/>
      <c r="BP170" s="697"/>
      <c r="BQ170" s="1495" t="s">
        <v>6933</v>
      </c>
      <c r="BR170" s="1495" t="s">
        <v>818</v>
      </c>
      <c r="BS170" s="1902" t="s">
        <v>790</v>
      </c>
      <c r="BT170" s="1907" t="s">
        <v>1896</v>
      </c>
    </row>
    <row r="171" spans="1:72" ht="13">
      <c r="A171" s="1545">
        <v>430</v>
      </c>
      <c r="B171" s="1546" t="s">
        <v>780</v>
      </c>
      <c r="C171" s="1546" t="s">
        <v>789</v>
      </c>
      <c r="D171" s="1547" t="s">
        <v>6868</v>
      </c>
      <c r="E171" s="690" t="s">
        <v>656</v>
      </c>
      <c r="F171" s="691"/>
      <c r="G171" s="692"/>
      <c r="H171" s="692"/>
      <c r="I171" s="692"/>
      <c r="J171" s="693"/>
      <c r="K171" s="693"/>
      <c r="L171" s="693"/>
      <c r="M171" s="694"/>
      <c r="N171" s="695"/>
      <c r="O171" s="696" t="s">
        <v>1569</v>
      </c>
      <c r="P171" s="695">
        <f>'HIV-Key Info'!$E$66*('HPM costs'!F27+'HPM costs'!F30)</f>
        <v>0</v>
      </c>
      <c r="Q171" s="695" t="s">
        <v>1569</v>
      </c>
      <c r="R171" s="695">
        <f>'HIV-Key Info'!$E$66*('HPM costs'!G27+'HPM costs'!G30)</f>
        <v>0</v>
      </c>
      <c r="S171" s="695" t="s">
        <v>1569</v>
      </c>
      <c r="T171" s="695">
        <f>'HIV-Key Info'!$E$66*('HPM costs'!H27+'HPM costs'!H30)</f>
        <v>0</v>
      </c>
      <c r="U171" s="695" t="s">
        <v>1569</v>
      </c>
      <c r="V171" s="695">
        <f>'HIV-Key Info'!$E$66*('HPM costs'!I27+'HPM costs'!I30)</f>
        <v>0</v>
      </c>
      <c r="W171" s="695"/>
      <c r="X171" s="1492">
        <f t="shared" si="18"/>
        <v>0</v>
      </c>
      <c r="Y171" s="1493"/>
      <c r="Z171" s="1494"/>
      <c r="AA171" s="699"/>
      <c r="AB171" s="695"/>
      <c r="AC171" s="695">
        <f>'HIV-Key Info'!$E$66*('HPM costs'!K27+'HPM costs'!K30)</f>
        <v>0</v>
      </c>
      <c r="AD171" s="695"/>
      <c r="AE171" s="695">
        <f>'HIV-Key Info'!$E$66*('HPM costs'!L27+'HPM costs'!L30)</f>
        <v>0</v>
      </c>
      <c r="AF171" s="695"/>
      <c r="AG171" s="695">
        <f>'HIV-Key Info'!$E$66*('HPM costs'!M27+'HPM costs'!M30)</f>
        <v>0</v>
      </c>
      <c r="AH171" s="695"/>
      <c r="AI171" s="695">
        <f>'HIV-Key Info'!$E$66*('HPM costs'!N27+'HPM costs'!N30)</f>
        <v>0</v>
      </c>
      <c r="AJ171" s="695"/>
      <c r="AK171" s="1492">
        <f t="shared" si="19"/>
        <v>0</v>
      </c>
      <c r="AL171" s="1493"/>
      <c r="AM171" s="1494"/>
      <c r="AN171" s="699"/>
      <c r="AO171" s="695"/>
      <c r="AP171" s="695">
        <f>'HIV-Key Info'!$E$66*('HPM costs'!P27+'HPM costs'!P30)</f>
        <v>0</v>
      </c>
      <c r="AQ171" s="695"/>
      <c r="AR171" s="695">
        <f>'HIV-Key Info'!$E$66*('HPM costs'!Q27+'HPM costs'!Q30)</f>
        <v>0</v>
      </c>
      <c r="AS171" s="695"/>
      <c r="AT171" s="695">
        <f>'HIV-Key Info'!$E$66*('HPM costs'!R27+'HPM costs'!R30)</f>
        <v>0</v>
      </c>
      <c r="AU171" s="695"/>
      <c r="AV171" s="695">
        <f>'HIV-Key Info'!$E$66*('HPM costs'!S27+'HPM costs'!S30)</f>
        <v>0</v>
      </c>
      <c r="AW171" s="695"/>
      <c r="AX171" s="1492">
        <f t="shared" si="20"/>
        <v>0</v>
      </c>
      <c r="AY171" s="1492"/>
      <c r="AZ171" s="698"/>
      <c r="BA171" s="699"/>
      <c r="BB171" s="697"/>
      <c r="BC171" s="697">
        <v>0</v>
      </c>
      <c r="BD171" s="697">
        <v>0</v>
      </c>
      <c r="BE171" s="697">
        <v>0</v>
      </c>
      <c r="BF171" s="697">
        <v>0</v>
      </c>
      <c r="BG171" s="697">
        <v>0</v>
      </c>
      <c r="BH171" s="697">
        <v>0</v>
      </c>
      <c r="BI171" s="697">
        <v>0</v>
      </c>
      <c r="BJ171" s="697">
        <v>0</v>
      </c>
      <c r="BK171" s="1492">
        <f t="shared" si="21"/>
        <v>0</v>
      </c>
      <c r="BL171" s="1492"/>
      <c r="BM171" s="1492">
        <f t="shared" si="22"/>
        <v>0</v>
      </c>
      <c r="BN171" s="1492">
        <f t="shared" si="23"/>
        <v>0</v>
      </c>
      <c r="BO171" s="697"/>
      <c r="BP171" s="697"/>
      <c r="BQ171" s="1495" t="s">
        <v>6933</v>
      </c>
      <c r="BR171" s="1495" t="s">
        <v>818</v>
      </c>
      <c r="BS171" s="1902" t="s">
        <v>655</v>
      </c>
      <c r="BT171" s="1907" t="s">
        <v>1897</v>
      </c>
    </row>
    <row r="172" spans="1:72" ht="13">
      <c r="A172" s="1545">
        <v>431</v>
      </c>
      <c r="B172" s="1546" t="s">
        <v>780</v>
      </c>
      <c r="C172" s="1546" t="s">
        <v>789</v>
      </c>
      <c r="D172" s="1547" t="s">
        <v>6868</v>
      </c>
      <c r="E172" s="690" t="s">
        <v>658</v>
      </c>
      <c r="F172" s="691"/>
      <c r="G172" s="692"/>
      <c r="H172" s="692"/>
      <c r="I172" s="692"/>
      <c r="J172" s="693"/>
      <c r="K172" s="693"/>
      <c r="L172" s="693"/>
      <c r="M172" s="694"/>
      <c r="N172" s="695"/>
      <c r="O172" s="696" t="s">
        <v>1569</v>
      </c>
      <c r="P172" s="695">
        <f>'HIV-Key Info'!$E$66*('HPM costs'!F113+'HPM costs'!F116)</f>
        <v>0</v>
      </c>
      <c r="Q172" s="695" t="s">
        <v>1569</v>
      </c>
      <c r="R172" s="695">
        <f>'HIV-Key Info'!$E$66*('HPM costs'!G113+'HPM costs'!G116)</f>
        <v>0</v>
      </c>
      <c r="S172" s="695" t="s">
        <v>1569</v>
      </c>
      <c r="T172" s="695">
        <f>'HIV-Key Info'!$E$66*('HPM costs'!H113+'HPM costs'!H116)</f>
        <v>0</v>
      </c>
      <c r="U172" s="695" t="s">
        <v>1569</v>
      </c>
      <c r="V172" s="695">
        <f>'HIV-Key Info'!$E$66*('HPM costs'!I113+'HPM costs'!I116)</f>
        <v>0</v>
      </c>
      <c r="W172" s="695"/>
      <c r="X172" s="1492">
        <f t="shared" si="18"/>
        <v>0</v>
      </c>
      <c r="Y172" s="1493"/>
      <c r="Z172" s="1494"/>
      <c r="AA172" s="699"/>
      <c r="AB172" s="695"/>
      <c r="AC172" s="695">
        <f>'HIV-Key Info'!$E$66*('HPM costs'!K113+'HPM costs'!K116)</f>
        <v>0</v>
      </c>
      <c r="AD172" s="695"/>
      <c r="AE172" s="695">
        <f>'HIV-Key Info'!$E$66*('HPM costs'!L113+'HPM costs'!L116)</f>
        <v>0</v>
      </c>
      <c r="AF172" s="695"/>
      <c r="AG172" s="695">
        <f>'HIV-Key Info'!$E$66*('HPM costs'!M113+'HPM costs'!M116)</f>
        <v>0</v>
      </c>
      <c r="AH172" s="695"/>
      <c r="AI172" s="695">
        <f>'HIV-Key Info'!$E$66*('HPM costs'!N113+'HPM costs'!N116)</f>
        <v>0</v>
      </c>
      <c r="AJ172" s="695"/>
      <c r="AK172" s="1492">
        <f t="shared" si="19"/>
        <v>0</v>
      </c>
      <c r="AL172" s="1493"/>
      <c r="AM172" s="1494"/>
      <c r="AN172" s="699"/>
      <c r="AO172" s="695"/>
      <c r="AP172" s="695">
        <f>'HIV-Key Info'!$E$66*('HPM costs'!P113+'HPM costs'!P116)</f>
        <v>0</v>
      </c>
      <c r="AQ172" s="695"/>
      <c r="AR172" s="695">
        <f>'HIV-Key Info'!$E$66*('HPM costs'!Q113+'HPM costs'!Q116)</f>
        <v>0</v>
      </c>
      <c r="AS172" s="695"/>
      <c r="AT172" s="695">
        <f>'HIV-Key Info'!$E$66*('HPM costs'!R113+'HPM costs'!R116)</f>
        <v>0</v>
      </c>
      <c r="AU172" s="695"/>
      <c r="AV172" s="695">
        <f>'HIV-Key Info'!$E$66*('HPM costs'!S113+'HPM costs'!S116)</f>
        <v>0</v>
      </c>
      <c r="AW172" s="695"/>
      <c r="AX172" s="1492">
        <f t="shared" si="20"/>
        <v>0</v>
      </c>
      <c r="AY172" s="1492"/>
      <c r="AZ172" s="698"/>
      <c r="BA172" s="699"/>
      <c r="BB172" s="697"/>
      <c r="BC172" s="697">
        <v>0</v>
      </c>
      <c r="BD172" s="697">
        <v>0</v>
      </c>
      <c r="BE172" s="697">
        <v>0</v>
      </c>
      <c r="BF172" s="697">
        <v>0</v>
      </c>
      <c r="BG172" s="697">
        <v>0</v>
      </c>
      <c r="BH172" s="697">
        <v>0</v>
      </c>
      <c r="BI172" s="697">
        <v>0</v>
      </c>
      <c r="BJ172" s="697">
        <v>0</v>
      </c>
      <c r="BK172" s="1492">
        <f t="shared" si="21"/>
        <v>0</v>
      </c>
      <c r="BL172" s="1492"/>
      <c r="BM172" s="1492">
        <f t="shared" si="22"/>
        <v>0</v>
      </c>
      <c r="BN172" s="1492">
        <f t="shared" si="23"/>
        <v>0</v>
      </c>
      <c r="BO172" s="697"/>
      <c r="BP172" s="697"/>
      <c r="BQ172" s="1495" t="s">
        <v>6933</v>
      </c>
      <c r="BR172" s="1495" t="s">
        <v>818</v>
      </c>
      <c r="BS172" s="1902" t="s">
        <v>655</v>
      </c>
      <c r="BT172" s="1907" t="s">
        <v>1898</v>
      </c>
    </row>
    <row r="173" spans="1:72" ht="13">
      <c r="A173" s="1545">
        <v>432</v>
      </c>
      <c r="B173" s="1546" t="s">
        <v>780</v>
      </c>
      <c r="C173" s="1546" t="s">
        <v>789</v>
      </c>
      <c r="D173" s="1547" t="s">
        <v>6868</v>
      </c>
      <c r="E173" s="690" t="s">
        <v>660</v>
      </c>
      <c r="F173" s="691"/>
      <c r="G173" s="692"/>
      <c r="H173" s="692"/>
      <c r="I173" s="692"/>
      <c r="J173" s="693"/>
      <c r="K173" s="693"/>
      <c r="L173" s="693"/>
      <c r="M173" s="694"/>
      <c r="N173" s="695"/>
      <c r="O173" s="696" t="s">
        <v>1569</v>
      </c>
      <c r="P173" s="695">
        <f>'HIV-Key Info'!$E$66*('HPM costs'!F373+'HPM costs'!F376)</f>
        <v>0</v>
      </c>
      <c r="Q173" s="695" t="s">
        <v>1569</v>
      </c>
      <c r="R173" s="695">
        <f>'HIV-Key Info'!$E$66*('HPM costs'!G373+'HPM costs'!G376)</f>
        <v>0</v>
      </c>
      <c r="S173" s="695" t="s">
        <v>1569</v>
      </c>
      <c r="T173" s="695">
        <f>'HIV-Key Info'!$E$66*('HPM costs'!H373+'HPM costs'!H376)</f>
        <v>0</v>
      </c>
      <c r="U173" s="695" t="s">
        <v>1569</v>
      </c>
      <c r="V173" s="695">
        <f>'HIV-Key Info'!$E$66*('HPM costs'!I373+'HPM costs'!I376)</f>
        <v>0</v>
      </c>
      <c r="W173" s="695"/>
      <c r="X173" s="1492">
        <f t="shared" si="18"/>
        <v>0</v>
      </c>
      <c r="Y173" s="1493"/>
      <c r="Z173" s="1494"/>
      <c r="AA173" s="699"/>
      <c r="AB173" s="695"/>
      <c r="AC173" s="695">
        <f>'HIV-Key Info'!$E$66*('HPM costs'!K373+'HPM costs'!K376)</f>
        <v>0</v>
      </c>
      <c r="AD173" s="695"/>
      <c r="AE173" s="695">
        <f>'HIV-Key Info'!$E$66*('HPM costs'!L373+'HPM costs'!L376)</f>
        <v>0</v>
      </c>
      <c r="AF173" s="695"/>
      <c r="AG173" s="695">
        <f>'HIV-Key Info'!$E$66*('HPM costs'!M373+'HPM costs'!M376)</f>
        <v>0</v>
      </c>
      <c r="AH173" s="695"/>
      <c r="AI173" s="695">
        <f>'HIV-Key Info'!$E$66*('HPM costs'!N373+'HPM costs'!N376)</f>
        <v>0</v>
      </c>
      <c r="AJ173" s="695"/>
      <c r="AK173" s="1492">
        <f t="shared" si="19"/>
        <v>0</v>
      </c>
      <c r="AL173" s="1493"/>
      <c r="AM173" s="1494"/>
      <c r="AN173" s="699"/>
      <c r="AO173" s="695"/>
      <c r="AP173" s="695">
        <f>'HIV-Key Info'!$E$66*('HPM costs'!P373+'HPM costs'!P376)</f>
        <v>0</v>
      </c>
      <c r="AQ173" s="695"/>
      <c r="AR173" s="695">
        <f>'HIV-Key Info'!$E$66*('HPM costs'!Q373+'HPM costs'!Q376)</f>
        <v>0</v>
      </c>
      <c r="AS173" s="695"/>
      <c r="AT173" s="695">
        <f>'HIV-Key Info'!$E$66*('HPM costs'!R373+'HPM costs'!R376)</f>
        <v>0</v>
      </c>
      <c r="AU173" s="695"/>
      <c r="AV173" s="695">
        <f>'HIV-Key Info'!$E$66*('HPM costs'!S373+'HPM costs'!S376)</f>
        <v>0</v>
      </c>
      <c r="AW173" s="695"/>
      <c r="AX173" s="1492">
        <f t="shared" si="20"/>
        <v>0</v>
      </c>
      <c r="AY173" s="1492"/>
      <c r="AZ173" s="698"/>
      <c r="BA173" s="699"/>
      <c r="BB173" s="697"/>
      <c r="BC173" s="697">
        <v>0</v>
      </c>
      <c r="BD173" s="697">
        <v>0</v>
      </c>
      <c r="BE173" s="697">
        <v>0</v>
      </c>
      <c r="BF173" s="697">
        <v>0</v>
      </c>
      <c r="BG173" s="697">
        <v>0</v>
      </c>
      <c r="BH173" s="697">
        <v>0</v>
      </c>
      <c r="BI173" s="697">
        <v>0</v>
      </c>
      <c r="BJ173" s="697">
        <v>0</v>
      </c>
      <c r="BK173" s="1492">
        <f t="shared" si="21"/>
        <v>0</v>
      </c>
      <c r="BL173" s="1492"/>
      <c r="BM173" s="1492">
        <f t="shared" si="22"/>
        <v>0</v>
      </c>
      <c r="BN173" s="1492">
        <f t="shared" si="23"/>
        <v>0</v>
      </c>
      <c r="BO173" s="697"/>
      <c r="BP173" s="697"/>
      <c r="BQ173" s="1495" t="s">
        <v>6933</v>
      </c>
      <c r="BR173" s="1495" t="s">
        <v>818</v>
      </c>
      <c r="BS173" s="1902" t="s">
        <v>655</v>
      </c>
      <c r="BT173" s="1907" t="s">
        <v>1899</v>
      </c>
    </row>
    <row r="174" spans="1:72" ht="13">
      <c r="A174" s="1545">
        <v>433</v>
      </c>
      <c r="B174" s="1546" t="s">
        <v>780</v>
      </c>
      <c r="C174" s="1546" t="s">
        <v>789</v>
      </c>
      <c r="D174" s="1547" t="s">
        <v>6868</v>
      </c>
      <c r="E174" s="690" t="s">
        <v>662</v>
      </c>
      <c r="F174" s="691"/>
      <c r="G174" s="692"/>
      <c r="H174" s="692"/>
      <c r="I174" s="692"/>
      <c r="J174" s="693"/>
      <c r="K174" s="693"/>
      <c r="L174" s="693"/>
      <c r="M174" s="694"/>
      <c r="N174" s="695"/>
      <c r="O174" s="696" t="s">
        <v>1569</v>
      </c>
      <c r="P174" s="695">
        <f>'HIV-Key Info'!$E$66*('HPM costs'!F459+'HPM costs'!F462)</f>
        <v>0</v>
      </c>
      <c r="Q174" s="695" t="s">
        <v>1569</v>
      </c>
      <c r="R174" s="695">
        <f>'HIV-Key Info'!$E$66*('HPM costs'!G459+'HPM costs'!G462)</f>
        <v>0</v>
      </c>
      <c r="S174" s="695" t="s">
        <v>1569</v>
      </c>
      <c r="T174" s="695">
        <f>'HIV-Key Info'!$E$66*('HPM costs'!H459+'HPM costs'!H462)</f>
        <v>0</v>
      </c>
      <c r="U174" s="695" t="s">
        <v>1569</v>
      </c>
      <c r="V174" s="695">
        <f>'HIV-Key Info'!$E$66*('HPM costs'!I459+'HPM costs'!I462)</f>
        <v>0</v>
      </c>
      <c r="W174" s="695"/>
      <c r="X174" s="1492">
        <f t="shared" si="18"/>
        <v>0</v>
      </c>
      <c r="Y174" s="1493"/>
      <c r="Z174" s="1494"/>
      <c r="AA174" s="699"/>
      <c r="AB174" s="695"/>
      <c r="AC174" s="695">
        <f>'HIV-Key Info'!$E$66*('HPM costs'!K459+'HPM costs'!K462)</f>
        <v>0</v>
      </c>
      <c r="AD174" s="695"/>
      <c r="AE174" s="695">
        <f>'HIV-Key Info'!$E$66*('HPM costs'!L459+'HPM costs'!L462)</f>
        <v>0</v>
      </c>
      <c r="AF174" s="695"/>
      <c r="AG174" s="695">
        <f>'HIV-Key Info'!$E$66*('HPM costs'!M459+'HPM costs'!M462)</f>
        <v>0</v>
      </c>
      <c r="AH174" s="695"/>
      <c r="AI174" s="695">
        <f>'HIV-Key Info'!$E$66*('HPM costs'!N459+'HPM costs'!N462)</f>
        <v>0</v>
      </c>
      <c r="AJ174" s="695"/>
      <c r="AK174" s="1492">
        <f t="shared" si="19"/>
        <v>0</v>
      </c>
      <c r="AL174" s="1493"/>
      <c r="AM174" s="1494"/>
      <c r="AN174" s="699"/>
      <c r="AO174" s="695"/>
      <c r="AP174" s="695">
        <f>'HIV-Key Info'!$E$66*('HPM costs'!P459+'HPM costs'!P462)</f>
        <v>0</v>
      </c>
      <c r="AQ174" s="695"/>
      <c r="AR174" s="695">
        <f>'HIV-Key Info'!$E$66*('HPM costs'!Q459+'HPM costs'!Q462)</f>
        <v>0</v>
      </c>
      <c r="AS174" s="695"/>
      <c r="AT174" s="695">
        <f>'HIV-Key Info'!$E$66*('HPM costs'!R459+'HPM costs'!R462)</f>
        <v>0</v>
      </c>
      <c r="AU174" s="695"/>
      <c r="AV174" s="695">
        <f>'HIV-Key Info'!$E$66*('HPM costs'!S459+'HPM costs'!S462)</f>
        <v>0</v>
      </c>
      <c r="AW174" s="695"/>
      <c r="AX174" s="1492">
        <f t="shared" si="20"/>
        <v>0</v>
      </c>
      <c r="AY174" s="1492"/>
      <c r="AZ174" s="698"/>
      <c r="BA174" s="699"/>
      <c r="BB174" s="697"/>
      <c r="BC174" s="697">
        <v>0</v>
      </c>
      <c r="BD174" s="697">
        <v>0</v>
      </c>
      <c r="BE174" s="697">
        <v>0</v>
      </c>
      <c r="BF174" s="697">
        <v>0</v>
      </c>
      <c r="BG174" s="697">
        <v>0</v>
      </c>
      <c r="BH174" s="697">
        <v>0</v>
      </c>
      <c r="BI174" s="697">
        <v>0</v>
      </c>
      <c r="BJ174" s="697">
        <v>0</v>
      </c>
      <c r="BK174" s="1492">
        <f t="shared" si="21"/>
        <v>0</v>
      </c>
      <c r="BL174" s="1492"/>
      <c r="BM174" s="1492">
        <f t="shared" si="22"/>
        <v>0</v>
      </c>
      <c r="BN174" s="1492">
        <f t="shared" si="23"/>
        <v>0</v>
      </c>
      <c r="BO174" s="697"/>
      <c r="BP174" s="697"/>
      <c r="BQ174" s="1495" t="s">
        <v>6933</v>
      </c>
      <c r="BR174" s="1495" t="s">
        <v>818</v>
      </c>
      <c r="BS174" s="1902" t="s">
        <v>655</v>
      </c>
      <c r="BT174" s="1907" t="s">
        <v>1900</v>
      </c>
    </row>
    <row r="175" spans="1:72" ht="13">
      <c r="A175" s="1545">
        <v>434</v>
      </c>
      <c r="B175" s="1546" t="s">
        <v>780</v>
      </c>
      <c r="C175" s="1546" t="s">
        <v>789</v>
      </c>
      <c r="D175" s="1547" t="s">
        <v>6868</v>
      </c>
      <c r="E175" s="690" t="s">
        <v>664</v>
      </c>
      <c r="F175" s="691"/>
      <c r="G175" s="692"/>
      <c r="H175" s="692"/>
      <c r="I175" s="692"/>
      <c r="J175" s="693"/>
      <c r="K175" s="693"/>
      <c r="L175" s="693"/>
      <c r="M175" s="694"/>
      <c r="N175" s="695"/>
      <c r="O175" s="696" t="s">
        <v>1569</v>
      </c>
      <c r="P175" s="695">
        <f>'HIV-Key Info'!$E$66*('HPM costs'!F199+'HPM costs'!F202+'HPM costs'!F545+'HPM costs'!F548)</f>
        <v>0</v>
      </c>
      <c r="Q175" s="695" t="s">
        <v>1569</v>
      </c>
      <c r="R175" s="695">
        <f>'HIV-Key Info'!$E$66*('HPM costs'!G199+'HPM costs'!G202+'HPM costs'!G545+'HPM costs'!G548)</f>
        <v>0</v>
      </c>
      <c r="S175" s="695" t="s">
        <v>1569</v>
      </c>
      <c r="T175" s="695">
        <f>'HIV-Key Info'!$E$66*('HPM costs'!H199+'HPM costs'!H202+'HPM costs'!H545+'HPM costs'!H548)</f>
        <v>0</v>
      </c>
      <c r="U175" s="695" t="s">
        <v>1569</v>
      </c>
      <c r="V175" s="695">
        <f>'HIV-Key Info'!$E$66*('HPM costs'!I199+'HPM costs'!I202+'HPM costs'!I545+'HPM costs'!I548)</f>
        <v>0</v>
      </c>
      <c r="W175" s="695"/>
      <c r="X175" s="1492">
        <f t="shared" si="18"/>
        <v>0</v>
      </c>
      <c r="Y175" s="1493"/>
      <c r="Z175" s="1494"/>
      <c r="AA175" s="699"/>
      <c r="AB175" s="695"/>
      <c r="AC175" s="695">
        <f>'HIV-Key Info'!$E$66*('HPM costs'!K199+'HPM costs'!K202+'HPM costs'!K545+'HPM costs'!K548)</f>
        <v>0</v>
      </c>
      <c r="AD175" s="695"/>
      <c r="AE175" s="695">
        <f>'HIV-Key Info'!$E$66*('HPM costs'!L199+'HPM costs'!L202+'HPM costs'!L545+'HPM costs'!L548)</f>
        <v>0</v>
      </c>
      <c r="AF175" s="695"/>
      <c r="AG175" s="695">
        <f>'HIV-Key Info'!$E$66*('HPM costs'!M199+'HPM costs'!M202+'HPM costs'!M545+'HPM costs'!M548)</f>
        <v>0</v>
      </c>
      <c r="AH175" s="695"/>
      <c r="AI175" s="695">
        <f>'HIV-Key Info'!$E$66*('HPM costs'!N199+'HPM costs'!N202+'HPM costs'!N545+'HPM costs'!N548)</f>
        <v>0</v>
      </c>
      <c r="AJ175" s="695"/>
      <c r="AK175" s="1492">
        <f t="shared" si="19"/>
        <v>0</v>
      </c>
      <c r="AL175" s="1493"/>
      <c r="AM175" s="1494"/>
      <c r="AN175" s="699"/>
      <c r="AO175" s="695"/>
      <c r="AP175" s="695">
        <f>'HIV-Key Info'!$E$66*('HPM costs'!P199+'HPM costs'!P202+'HPM costs'!P545+'HPM costs'!P548)</f>
        <v>0</v>
      </c>
      <c r="AQ175" s="695"/>
      <c r="AR175" s="695">
        <f>'HIV-Key Info'!$E$66*('HPM costs'!Q199+'HPM costs'!Q202+'HPM costs'!Q545+'HPM costs'!Q548)</f>
        <v>0</v>
      </c>
      <c r="AS175" s="695"/>
      <c r="AT175" s="695">
        <f>'HIV-Key Info'!$E$66*('HPM costs'!R199+'HPM costs'!R202+'HPM costs'!R545+'HPM costs'!R548)</f>
        <v>0</v>
      </c>
      <c r="AU175" s="695"/>
      <c r="AV175" s="695">
        <f>'HIV-Key Info'!$E$66*('HPM costs'!S199+'HPM costs'!S202+'HPM costs'!S545+'HPM costs'!S548)</f>
        <v>0</v>
      </c>
      <c r="AW175" s="695"/>
      <c r="AX175" s="1492">
        <f t="shared" si="20"/>
        <v>0</v>
      </c>
      <c r="AY175" s="1492"/>
      <c r="AZ175" s="698"/>
      <c r="BA175" s="699"/>
      <c r="BB175" s="697"/>
      <c r="BC175" s="697">
        <v>0</v>
      </c>
      <c r="BD175" s="697">
        <v>0</v>
      </c>
      <c r="BE175" s="697">
        <v>0</v>
      </c>
      <c r="BF175" s="697">
        <v>0</v>
      </c>
      <c r="BG175" s="697">
        <v>0</v>
      </c>
      <c r="BH175" s="697">
        <v>0</v>
      </c>
      <c r="BI175" s="697">
        <v>0</v>
      </c>
      <c r="BJ175" s="697">
        <v>0</v>
      </c>
      <c r="BK175" s="1492">
        <f t="shared" si="21"/>
        <v>0</v>
      </c>
      <c r="BL175" s="1492"/>
      <c r="BM175" s="1492">
        <f t="shared" si="22"/>
        <v>0</v>
      </c>
      <c r="BN175" s="1492">
        <f t="shared" si="23"/>
        <v>0</v>
      </c>
      <c r="BO175" s="697"/>
      <c r="BP175" s="697"/>
      <c r="BQ175" s="1495" t="s">
        <v>6933</v>
      </c>
      <c r="BR175" s="1495" t="s">
        <v>818</v>
      </c>
      <c r="BS175" s="1902" t="s">
        <v>655</v>
      </c>
      <c r="BT175" s="1907" t="s">
        <v>1901</v>
      </c>
    </row>
    <row r="176" spans="1:72" ht="13">
      <c r="A176" s="1545">
        <v>435</v>
      </c>
      <c r="B176" s="1546" t="s">
        <v>780</v>
      </c>
      <c r="C176" s="1546" t="s">
        <v>789</v>
      </c>
      <c r="D176" s="1547" t="s">
        <v>6868</v>
      </c>
      <c r="E176" s="690" t="s">
        <v>666</v>
      </c>
      <c r="F176" s="691"/>
      <c r="G176" s="692"/>
      <c r="H176" s="692"/>
      <c r="I176" s="692"/>
      <c r="J176" s="693"/>
      <c r="K176" s="693"/>
      <c r="L176" s="693"/>
      <c r="M176" s="694"/>
      <c r="N176" s="695"/>
      <c r="O176" s="696" t="s">
        <v>1569</v>
      </c>
      <c r="P176" s="695">
        <f>'HIV-Key Info'!$E$66*('HPM costs'!F285+'HPM costs'!F288)</f>
        <v>0</v>
      </c>
      <c r="Q176" s="695" t="s">
        <v>1569</v>
      </c>
      <c r="R176" s="695">
        <f>'HIV-Key Info'!$E$66*('HPM costs'!G285+'HPM costs'!G288)</f>
        <v>0</v>
      </c>
      <c r="S176" s="695" t="s">
        <v>1569</v>
      </c>
      <c r="T176" s="695">
        <f>'HIV-Key Info'!$E$66*('HPM costs'!H285+'HPM costs'!H288)</f>
        <v>0</v>
      </c>
      <c r="U176" s="695" t="s">
        <v>1569</v>
      </c>
      <c r="V176" s="695">
        <f>'HIV-Key Info'!$E$66*('HPM costs'!I285+'HPM costs'!I288)</f>
        <v>0</v>
      </c>
      <c r="W176" s="695"/>
      <c r="X176" s="1492">
        <f t="shared" si="18"/>
        <v>0</v>
      </c>
      <c r="Y176" s="1493"/>
      <c r="Z176" s="1494"/>
      <c r="AA176" s="699"/>
      <c r="AB176" s="695"/>
      <c r="AC176" s="695">
        <f>'HIV-Key Info'!$E$66*('HPM costs'!K285+'HPM costs'!K288)</f>
        <v>0</v>
      </c>
      <c r="AD176" s="695"/>
      <c r="AE176" s="695">
        <f>'HIV-Key Info'!$E$66*('HPM costs'!L285+'HPM costs'!L288)</f>
        <v>0</v>
      </c>
      <c r="AF176" s="695"/>
      <c r="AG176" s="695">
        <f>'HIV-Key Info'!$E$66*('HPM costs'!M285+'HPM costs'!M288)</f>
        <v>0</v>
      </c>
      <c r="AH176" s="695"/>
      <c r="AI176" s="695">
        <f>'HIV-Key Info'!$E$66*('HPM costs'!N285+'HPM costs'!N288)</f>
        <v>0</v>
      </c>
      <c r="AJ176" s="695"/>
      <c r="AK176" s="1492">
        <f t="shared" si="19"/>
        <v>0</v>
      </c>
      <c r="AL176" s="1493"/>
      <c r="AM176" s="1494"/>
      <c r="AN176" s="699"/>
      <c r="AO176" s="695"/>
      <c r="AP176" s="695">
        <f>'HIV-Key Info'!$E$66*('HPM costs'!P285+'HPM costs'!P288)</f>
        <v>0</v>
      </c>
      <c r="AQ176" s="695"/>
      <c r="AR176" s="695">
        <f>'HIV-Key Info'!$E$66*('HPM costs'!Q285+'HPM costs'!Q288)</f>
        <v>0</v>
      </c>
      <c r="AS176" s="695"/>
      <c r="AT176" s="695">
        <f>'HIV-Key Info'!$E$66*('HPM costs'!R285+'HPM costs'!R288)</f>
        <v>0</v>
      </c>
      <c r="AU176" s="695"/>
      <c r="AV176" s="695">
        <f>'HIV-Key Info'!$E$66*('HPM costs'!S285+'HPM costs'!S288)</f>
        <v>0</v>
      </c>
      <c r="AW176" s="695"/>
      <c r="AX176" s="1492">
        <f t="shared" si="20"/>
        <v>0</v>
      </c>
      <c r="AY176" s="1492"/>
      <c r="AZ176" s="698"/>
      <c r="BA176" s="699"/>
      <c r="BB176" s="697"/>
      <c r="BC176" s="697">
        <v>0</v>
      </c>
      <c r="BD176" s="697">
        <v>0</v>
      </c>
      <c r="BE176" s="697">
        <v>0</v>
      </c>
      <c r="BF176" s="697">
        <v>0</v>
      </c>
      <c r="BG176" s="697">
        <v>0</v>
      </c>
      <c r="BH176" s="697">
        <v>0</v>
      </c>
      <c r="BI176" s="697">
        <v>0</v>
      </c>
      <c r="BJ176" s="697">
        <v>0</v>
      </c>
      <c r="BK176" s="1492">
        <f t="shared" si="21"/>
        <v>0</v>
      </c>
      <c r="BL176" s="1492"/>
      <c r="BM176" s="1492">
        <f t="shared" si="22"/>
        <v>0</v>
      </c>
      <c r="BN176" s="1492">
        <f t="shared" si="23"/>
        <v>0</v>
      </c>
      <c r="BO176" s="697"/>
      <c r="BP176" s="697"/>
      <c r="BQ176" s="1495" t="s">
        <v>6933</v>
      </c>
      <c r="BR176" s="1495" t="s">
        <v>818</v>
      </c>
      <c r="BS176" s="1902" t="s">
        <v>655</v>
      </c>
      <c r="BT176" s="1907" t="s">
        <v>1902</v>
      </c>
    </row>
    <row r="177" spans="1:72" ht="13">
      <c r="A177" s="1545">
        <v>436</v>
      </c>
      <c r="B177" s="1546" t="s">
        <v>780</v>
      </c>
      <c r="C177" s="1546" t="s">
        <v>789</v>
      </c>
      <c r="D177" s="1547" t="s">
        <v>6868</v>
      </c>
      <c r="E177" s="690" t="s">
        <v>668</v>
      </c>
      <c r="F177" s="691"/>
      <c r="G177" s="692"/>
      <c r="H177" s="692"/>
      <c r="I177" s="692"/>
      <c r="J177" s="693"/>
      <c r="K177" s="693"/>
      <c r="L177" s="693"/>
      <c r="M177" s="694"/>
      <c r="N177" s="695"/>
      <c r="O177" s="696" t="s">
        <v>1569</v>
      </c>
      <c r="P177" s="695">
        <f>'HIV-Key Info'!$E$66*('HPM costs'!F630+'HPM costs'!F633)</f>
        <v>0</v>
      </c>
      <c r="Q177" s="695" t="s">
        <v>1569</v>
      </c>
      <c r="R177" s="695">
        <f>'HIV-Key Info'!$E$66*('HPM costs'!G630+'HPM costs'!G633)</f>
        <v>0</v>
      </c>
      <c r="S177" s="695" t="s">
        <v>1569</v>
      </c>
      <c r="T177" s="695">
        <f>'HIV-Key Info'!$E$66*('HPM costs'!H630+'HPM costs'!H633)</f>
        <v>0</v>
      </c>
      <c r="U177" s="695" t="s">
        <v>1569</v>
      </c>
      <c r="V177" s="695">
        <f>'HIV-Key Info'!$E$66*('HPM costs'!I630+'HPM costs'!I633)</f>
        <v>0</v>
      </c>
      <c r="W177" s="695"/>
      <c r="X177" s="1492">
        <f t="shared" si="18"/>
        <v>0</v>
      </c>
      <c r="Y177" s="1493"/>
      <c r="Z177" s="1494"/>
      <c r="AA177" s="699"/>
      <c r="AB177" s="695"/>
      <c r="AC177" s="695">
        <f>'HIV-Key Info'!$E$66*('HPM costs'!K630+'HPM costs'!K633)</f>
        <v>0</v>
      </c>
      <c r="AD177" s="695"/>
      <c r="AE177" s="695">
        <f>'HIV-Key Info'!$E$66*('HPM costs'!L630+'HPM costs'!L633)</f>
        <v>0</v>
      </c>
      <c r="AF177" s="695"/>
      <c r="AG177" s="695">
        <f>'HIV-Key Info'!$E$66*('HPM costs'!M630+'HPM costs'!M633)</f>
        <v>0</v>
      </c>
      <c r="AH177" s="695"/>
      <c r="AI177" s="695">
        <f>'HIV-Key Info'!$E$66*('HPM costs'!N630+'HPM costs'!N633)</f>
        <v>0</v>
      </c>
      <c r="AJ177" s="695"/>
      <c r="AK177" s="1492">
        <f t="shared" si="19"/>
        <v>0</v>
      </c>
      <c r="AL177" s="1493"/>
      <c r="AM177" s="1494"/>
      <c r="AN177" s="699"/>
      <c r="AO177" s="695"/>
      <c r="AP177" s="695">
        <f>'HIV-Key Info'!$E$66*('HPM costs'!P630+'HPM costs'!P633)</f>
        <v>0</v>
      </c>
      <c r="AQ177" s="695"/>
      <c r="AR177" s="695">
        <f>'HIV-Key Info'!$E$66*('HPM costs'!Q630+'HPM costs'!Q633)</f>
        <v>0</v>
      </c>
      <c r="AS177" s="695"/>
      <c r="AT177" s="695">
        <f>'HIV-Key Info'!$E$66*('HPM costs'!R630+'HPM costs'!R633)</f>
        <v>0</v>
      </c>
      <c r="AU177" s="695"/>
      <c r="AV177" s="695">
        <f>'HIV-Key Info'!$E$66*('HPM costs'!S630+'HPM costs'!S633)</f>
        <v>0</v>
      </c>
      <c r="AW177" s="695"/>
      <c r="AX177" s="1492">
        <f t="shared" si="20"/>
        <v>0</v>
      </c>
      <c r="AY177" s="1492"/>
      <c r="AZ177" s="698"/>
      <c r="BA177" s="699"/>
      <c r="BB177" s="697"/>
      <c r="BC177" s="697">
        <v>0</v>
      </c>
      <c r="BD177" s="697">
        <v>0</v>
      </c>
      <c r="BE177" s="697">
        <v>0</v>
      </c>
      <c r="BF177" s="697">
        <v>0</v>
      </c>
      <c r="BG177" s="697">
        <v>0</v>
      </c>
      <c r="BH177" s="697">
        <v>0</v>
      </c>
      <c r="BI177" s="697">
        <v>0</v>
      </c>
      <c r="BJ177" s="697">
        <v>0</v>
      </c>
      <c r="BK177" s="1492">
        <f t="shared" si="21"/>
        <v>0</v>
      </c>
      <c r="BL177" s="1492"/>
      <c r="BM177" s="1492">
        <f t="shared" si="22"/>
        <v>0</v>
      </c>
      <c r="BN177" s="1492">
        <f t="shared" si="23"/>
        <v>0</v>
      </c>
      <c r="BO177" s="697"/>
      <c r="BP177" s="697"/>
      <c r="BQ177" s="1495" t="s">
        <v>6933</v>
      </c>
      <c r="BR177" s="1495" t="s">
        <v>818</v>
      </c>
      <c r="BS177" s="1902" t="s">
        <v>655</v>
      </c>
      <c r="BT177" s="1907" t="s">
        <v>1903</v>
      </c>
    </row>
    <row r="178" spans="1:72" ht="13">
      <c r="A178" s="1545">
        <v>480</v>
      </c>
      <c r="B178" s="1546" t="s">
        <v>780</v>
      </c>
      <c r="C178" s="1546" t="s">
        <v>789</v>
      </c>
      <c r="D178" s="1547" t="s">
        <v>6869</v>
      </c>
      <c r="E178" s="690" t="s">
        <v>791</v>
      </c>
      <c r="F178" s="691"/>
      <c r="G178" s="692"/>
      <c r="H178" s="692"/>
      <c r="I178" s="692"/>
      <c r="J178" s="693"/>
      <c r="K178" s="693"/>
      <c r="L178" s="693"/>
      <c r="M178" s="694"/>
      <c r="N178" s="695"/>
      <c r="O178" s="696" t="s">
        <v>1569</v>
      </c>
      <c r="P178" s="695">
        <f>IF(SETUP!$F$27="Upfront",'HIV-Key Info'!$E$68*SUM('EBS-H'!K296:K312),0)</f>
        <v>0</v>
      </c>
      <c r="Q178" s="695" t="s">
        <v>1569</v>
      </c>
      <c r="R178" s="695">
        <f>IF(SETUP!$F$27="Upfront",'HIV-Key Info'!$E$68*SUM('EBS-H'!O296:O312),IF(SETUP!$F$27="At delivery", IF(SETUP!$G$27=1,'HIV-Key Info'!$E$68*SUM('EBS-H'!K296:K312),0),0))</f>
        <v>0</v>
      </c>
      <c r="S178" s="695" t="s">
        <v>1569</v>
      </c>
      <c r="T178" s="695">
        <f>IF(SETUP!$F$27="Upfront",'HIV-Key Info'!$E$68*SUM('EBS-H'!S296:S312),IF(SETUP!$F$27="At delivery", IF(SETUP!$G$27=2,'HIV-Key Info'!$E$68*SUM('EBS-H'!K296:K312),IF(SETUP!$G$27=1,'HIV-Key Info'!$E$68*SUM('EBS-H'!O296:O312),0)),0))</f>
        <v>0</v>
      </c>
      <c r="U178" s="695" t="s">
        <v>1569</v>
      </c>
      <c r="V178" s="695">
        <f>IF(SETUP!$F$27="Upfront",'HIV-Key Info'!$E$68*SUM('EBS-H'!W296:W312),IF(SETUP!$F$27="At delivery", IF(SETUP!$G$27=3,'HIV-Key Info'!$E$68*SUM('EBS-H'!K296:K312),IF(SETUP!$G$27=2,'HIV-Key Info'!$E$68*SUM('EBS-H'!O296:O312),IF(SETUP!$G$27=1,'HIV-Key Info'!$E$68*SUM('EBS-H'!S296:S312),0))),0))</f>
        <v>0</v>
      </c>
      <c r="W178" s="695"/>
      <c r="X178" s="1492">
        <f t="shared" si="18"/>
        <v>0</v>
      </c>
      <c r="Y178" s="1493"/>
      <c r="Z178" s="1494"/>
      <c r="AA178" s="699"/>
      <c r="AB178" s="695"/>
      <c r="AC178" s="695">
        <f>IF(SETUP!$F$27="Upfront",'HIV-Key Info'!$E$68*SUM('EBS-H'!AC296:AC312),IF(SETUP!$F$27="At delivery", IF(SETUP!$G$27=4,'HIV-Key Info'!$E$68*SUM('EBS-H'!K296:K312),IF(SETUP!$G$27=3,'HIV-Key Info'!$E$68*SUM('EBS-H'!O296:O312),IF(SETUP!$G$27=2,'HIV-Key Info'!$E$68*SUM('EBS-H'!S296:S312),IF(SETUP!$G$27=1,'HIV-Key Info'!$E$68*SUM('EBS-H'!W296:W312),0)))),0))</f>
        <v>0</v>
      </c>
      <c r="AD178" s="695"/>
      <c r="AE178" s="695">
        <f>IF(SETUP!$F$27="Upfront",'HIV-Key Info'!$E$68*SUM('EBS-H'!AG296:AG312),IF(SETUP!$F$27="At delivery", IF(SETUP!$G$27=4,'HIV-Key Info'!$E$68*SUM('EBS-H'!O296:O312),IF(SETUP!$G$27=3,'HIV-Key Info'!$E$68*SUM('EBS-H'!S296:S312),IF(SETUP!$G$27=2,'HIV-Key Info'!$E$68*SUM('EBS-H'!W296:W312),IF(SETUP!$G$27=1,'HIV-Key Info'!$E$68*SUM('EBS-H'!AC296:AC312),0)))),0))</f>
        <v>0</v>
      </c>
      <c r="AF178" s="695"/>
      <c r="AG178" s="695">
        <f>IF(SETUP!$F$27="Upfront",'HIV-Key Info'!$E$68*SUM('EBS-H'!AK296:AK312),IF(SETUP!$F$27="At delivery", IF(SETUP!$G$27=4,'HIV-Key Info'!$E$68*SUM('EBS-H'!S296:S312),IF(SETUP!$G$27=3,'HIV-Key Info'!$E$68*SUM('EBS-H'!W296:W312),IF(SETUP!$G$27=2,'HIV-Key Info'!$E$68*SUM('EBS-H'!AC296:AC312),IF(SETUP!$G$27=1,'HIV-Key Info'!$E$68*SUM('EBS-H'!AG296:AG312),0)))),0))</f>
        <v>0</v>
      </c>
      <c r="AH178" s="695"/>
      <c r="AI178" s="695">
        <f>IF(SETUP!$F$27="Upfront",'HIV-Key Info'!$E$68*SUM('EBS-H'!AO296:AO312),IF(SETUP!$F$27="At delivery", IF(SETUP!$G$27=4,'HIV-Key Info'!$E$68*SUM('EBS-H'!W296:W312),IF(SETUP!$G$27=3,'HIV-Key Info'!$E$68*SUM('EBS-H'!AC296:AC312),IF(SETUP!$G$27=2,'HIV-Key Info'!$E$68*SUM('EBS-H'!AG296:AG312),IF(SETUP!$G$27=1,'HIV-Key Info'!$E$68*SUM('EBS-H'!AK296:AK312),0)))),0))</f>
        <v>0</v>
      </c>
      <c r="AJ178" s="695"/>
      <c r="AK178" s="1492">
        <f t="shared" si="19"/>
        <v>0</v>
      </c>
      <c r="AL178" s="1493"/>
      <c r="AM178" s="1494"/>
      <c r="AN178" s="699"/>
      <c r="AO178" s="695"/>
      <c r="AP178" s="695">
        <f>IF(SETUP!$F$27="Upfront",'HIV-Key Info'!$E$68*SUM('EBS-H'!AU296:AU312),IF(SETUP!$F$27="At delivery", IF(SETUP!$G$27=4,'HIV-Key Info'!$E$68*SUM('EBS-H'!AC296:AC312),IF(SETUP!$G$27=3,'HIV-Key Info'!$E$68*SUM('EBS-H'!AG296:AG312),IF(SETUP!$G$27=2,'HIV-Key Info'!$E$68*SUM('EBS-H'!AK296:AK312),IF(SETUP!$G$27=1,'HIV-Key Info'!$E$68*SUM('EBS-H'!AO296:AO312),0)))),0))</f>
        <v>0</v>
      </c>
      <c r="AQ178" s="695"/>
      <c r="AR178" s="695">
        <f>IF(SETUP!$F$27="Upfront",'HIV-Key Info'!$E$68*SUM('EBS-H'!AY296:AY312),IF(SETUP!$F$27="At delivery", IF(SETUP!$G$27=4,'HIV-Key Info'!$E$68*SUM('EBS-H'!AG296:AG312),IF(SETUP!$G$27=3,'HIV-Key Info'!$E$68*SUM('EBS-H'!AK296:AK312),IF(SETUP!$G$27=2,'HIV-Key Info'!$E$68*SUM('EBS-H'!AO296:AO312),IF(SETUP!$G$27=1,'HIV-Key Info'!$E$68*SUM('EBS-H'!AU296:AU312),0)))),0))</f>
        <v>0</v>
      </c>
      <c r="AS178" s="695"/>
      <c r="AT178" s="695">
        <f>IF(SETUP!$F$27="Upfront",'HIV-Key Info'!$E$68*SUM('EBS-H'!BC296:BC312),IF(SETUP!$F$27="At delivery", IF(SETUP!$G$27=4,'HIV-Key Info'!$E$68*SUM('EBS-H'!AK296:AK312),IF(SETUP!$G$27=3,'HIV-Key Info'!$E$68*SUM('EBS-H'!AO296:AO312),IF(SETUP!$G$27=2,'HIV-Key Info'!$E$68*SUM('EBS-H'!AU296:AU312),IF(SETUP!$G$27=1,'HIV-Key Info'!$E$68*SUM('EBS-H'!AY296:AY312),0)))),0))</f>
        <v>0</v>
      </c>
      <c r="AU178" s="695"/>
      <c r="AV178" s="695">
        <f>IF(SETUP!$F$27="Upfront",'HIV-Key Info'!$E$68*SUM('EBS-H'!BG296:BG312),IF(SETUP!$F$27="At delivery", IF(SETUP!$G$27=4,'HIV-Key Info'!$E$68*SUM(SUM('EBS-H'!AO296:AO312),SUM('EBS-H'!AU296:AU312),SUM('EBS-H'!AY296:AY312),SUM('EBS-H'!BC296:BC312),SUM('EBS-H'!BG296:BG312)),IF(SETUP!$G$27=3,'HIV-Key Info'!$E$68*SUM(SUM('EBS-H'!AU296:AU312),SUM('EBS-H'!AY296:AY312),SUM('EBS-H'!BC296:BC312),SUM('EBS-H'!BG296:BG312)),IF(SETUP!$G$27=2,'HIV-Key Info'!$E$68*SUM(SUM('EBS-H'!AY296:AY312),SUM('EBS-H'!BC296:BC312),SUM('EBS-H'!BG296:BG312)),IF(SETUP!$G$27=1,'HIV-Key Info'!$E$68*SUM(SUM('EBS-H'!BC296:BC312),SUM('EBS-H'!BG296:BG312)),0)))),0))</f>
        <v>0</v>
      </c>
      <c r="AW178" s="695"/>
      <c r="AX178" s="1492">
        <f t="shared" si="20"/>
        <v>0</v>
      </c>
      <c r="AY178" s="1492"/>
      <c r="AZ178" s="698"/>
      <c r="BA178" s="699"/>
      <c r="BB178" s="697"/>
      <c r="BC178" s="697">
        <v>0</v>
      </c>
      <c r="BD178" s="697">
        <v>0</v>
      </c>
      <c r="BE178" s="697">
        <v>0</v>
      </c>
      <c r="BF178" s="697">
        <v>0</v>
      </c>
      <c r="BG178" s="697">
        <v>0</v>
      </c>
      <c r="BH178" s="697">
        <v>0</v>
      </c>
      <c r="BI178" s="697">
        <v>0</v>
      </c>
      <c r="BJ178" s="697">
        <v>0</v>
      </c>
      <c r="BK178" s="1492">
        <f t="shared" si="21"/>
        <v>0</v>
      </c>
      <c r="BL178" s="1492"/>
      <c r="BM178" s="1492">
        <f t="shared" si="22"/>
        <v>0</v>
      </c>
      <c r="BN178" s="1492">
        <f t="shared" si="23"/>
        <v>0</v>
      </c>
      <c r="BO178" s="697"/>
      <c r="BP178" s="697"/>
      <c r="BQ178" s="1495" t="s">
        <v>92</v>
      </c>
      <c r="BR178" s="1495" t="s">
        <v>818</v>
      </c>
      <c r="BS178" s="1902" t="s">
        <v>790</v>
      </c>
      <c r="BT178" s="1907" t="s">
        <v>1904</v>
      </c>
    </row>
    <row r="179" spans="1:72" ht="13">
      <c r="A179" s="1545">
        <v>481</v>
      </c>
      <c r="B179" s="1546" t="s">
        <v>780</v>
      </c>
      <c r="C179" s="1546" t="s">
        <v>789</v>
      </c>
      <c r="D179" s="1547" t="s">
        <v>6869</v>
      </c>
      <c r="E179" s="690" t="s">
        <v>793</v>
      </c>
      <c r="F179" s="691"/>
      <c r="G179" s="692"/>
      <c r="H179" s="692"/>
      <c r="I179" s="692"/>
      <c r="J179" s="693"/>
      <c r="K179" s="693"/>
      <c r="L179" s="693"/>
      <c r="M179" s="694"/>
      <c r="N179" s="695"/>
      <c r="O179" s="696" t="s">
        <v>1569</v>
      </c>
      <c r="P179" s="695">
        <f>IF(SETUP!$F$27="Upfront",'HIV-Key Info'!$F$68*SUM('EBS-H'!K313:K317),0)</f>
        <v>0</v>
      </c>
      <c r="Q179" s="695" t="s">
        <v>1569</v>
      </c>
      <c r="R179" s="695">
        <f>IF(SETUP!$F$27="Upfront",'HIV-Key Info'!$F$68*SUM('EBS-H'!O313:O317),IF(SETUP!$F$27="At delivery", IF(SETUP!$G$27=1,'HIV-Key Info'!$F$68*SUM('EBS-H'!K313:K317),0),0))</f>
        <v>0</v>
      </c>
      <c r="S179" s="695" t="s">
        <v>1569</v>
      </c>
      <c r="T179" s="695">
        <f>IF(SETUP!$F$27="Upfront",'HIV-Key Info'!$F$68*SUM('EBS-H'!S313:S317),IF(SETUP!$F$27="At delivery", IF(SETUP!$G$27=2,'HIV-Key Info'!$F$68*SUM('EBS-H'!K313:K317),IF(SETUP!$G$27=1,'HIV-Key Info'!$F$68*SUM('EBS-H'!O313:O317),0)),0))</f>
        <v>0</v>
      </c>
      <c r="U179" s="695" t="s">
        <v>1569</v>
      </c>
      <c r="V179" s="695">
        <f>IF(SETUP!$F$27="Upfront",'HIV-Key Info'!$F$68*SUM('EBS-H'!W313:W317),IF(SETUP!$F$27="At delivery", IF(SETUP!$G$27=3,'HIV-Key Info'!$F$68*SUM('EBS-H'!K313:K317),IF(SETUP!$G$27=2,'HIV-Key Info'!$F$68*SUM('EBS-H'!O313:O317),IF(SETUP!$G$27=1,'HIV-Key Info'!$F$68*SUM('EBS-H'!S313:S317),0))),0))</f>
        <v>0</v>
      </c>
      <c r="W179" s="695"/>
      <c r="X179" s="1492">
        <f t="shared" si="18"/>
        <v>0</v>
      </c>
      <c r="Y179" s="1493"/>
      <c r="Z179" s="1494"/>
      <c r="AA179" s="699"/>
      <c r="AB179" s="695"/>
      <c r="AC179" s="695">
        <f>IF(SETUP!$F$27="Upfront",'HIV-Key Info'!$F$68*SUM('EBS-H'!AC313:AC317),IF(SETUP!$F$27="At delivery", IF(SETUP!$G$27=4,'HIV-Key Info'!$F$68*SUM('EBS-H'!K313:K317),IF(SETUP!$G$27=3,'HIV-Key Info'!$F$68*SUM('EBS-H'!O313:O317),IF(SETUP!$G$27=2,'HIV-Key Info'!$F$68*SUM('EBS-H'!S313:S317),IF(SETUP!$G$27=1,'HIV-Key Info'!$F$68*SUM('EBS-H'!W313:W317),0)))),0))</f>
        <v>0</v>
      </c>
      <c r="AD179" s="695"/>
      <c r="AE179" s="695">
        <f>IF(SETUP!$F$27="Upfront",'HIV-Key Info'!$F$68*SUM('EBS-H'!AG313:AG317),IF(SETUP!$F$27="At delivery", IF(SETUP!$G$27=4,'HIV-Key Info'!$F$68*SUM('EBS-H'!O313:O317),IF(SETUP!$G$27=3,'HIV-Key Info'!$F$68*SUM('EBS-H'!S313:S317),IF(SETUP!$G$27=2,'HIV-Key Info'!$F$68*SUM('EBS-H'!W313:W317),IF(SETUP!$G$27=1,'HIV-Key Info'!$F$68*SUM('EBS-H'!AC313:AC317),0)))),0))</f>
        <v>0</v>
      </c>
      <c r="AF179" s="695"/>
      <c r="AG179" s="695">
        <f>IF(SETUP!$F$27="Upfront",'HIV-Key Info'!$F$68*SUM('EBS-H'!AK313:AK317),IF(SETUP!$F$27="At delivery", IF(SETUP!$G$27=4,'HIV-Key Info'!$F$68*SUM('EBS-H'!S313:S317),IF(SETUP!$G$27=3,'HIV-Key Info'!$F$68*SUM('EBS-H'!W313:W317),IF(SETUP!$G$27=2,'HIV-Key Info'!$F$68*SUM('EBS-H'!AC313:AC317),IF(SETUP!$G$27=1,'HIV-Key Info'!$F$68*SUM('EBS-H'!AG313:AG317),0)))),0))</f>
        <v>0</v>
      </c>
      <c r="AH179" s="695"/>
      <c r="AI179" s="695">
        <f>IF(SETUP!$F$27="Upfront",'HIV-Key Info'!$F$68*SUM('EBS-H'!AO313:AO317),IF(SETUP!$F$27="At delivery", IF(SETUP!$G$27=4,'HIV-Key Info'!$F$68*SUM('EBS-H'!W313:W317),IF(SETUP!$G$27=3,'HIV-Key Info'!$F$68*SUM('EBS-H'!AC313:AC317),IF(SETUP!$G$27=2,'HIV-Key Info'!$F$68*SUM('EBS-H'!AG313:AG317),IF(SETUP!$G$27=1,'HIV-Key Info'!$F$68*SUM('EBS-H'!AK313:AK317),0)))),0))</f>
        <v>0</v>
      </c>
      <c r="AJ179" s="695"/>
      <c r="AK179" s="1492">
        <f t="shared" si="19"/>
        <v>0</v>
      </c>
      <c r="AL179" s="1493"/>
      <c r="AM179" s="1494"/>
      <c r="AN179" s="699"/>
      <c r="AO179" s="695"/>
      <c r="AP179" s="695">
        <f>IF(SETUP!$F$27="Upfront",'HIV-Key Info'!$F$68*SUM('EBS-H'!AU313:AU317),IF(SETUP!$F$27="At delivery", IF(SETUP!$G$27=4,'HIV-Key Info'!$F$68*SUM('EBS-H'!AC313:AC317),IF(SETUP!$G$27=3,'HIV-Key Info'!$F$68*SUM('EBS-H'!AG313:AG317),IF(SETUP!$G$27=2,'HIV-Key Info'!$F$68*SUM('EBS-H'!AK313:AK317),IF(SETUP!$G$27=1,'HIV-Key Info'!$F$68*SUM('EBS-H'!AO313:AO317),0)))),0))</f>
        <v>0</v>
      </c>
      <c r="AQ179" s="695"/>
      <c r="AR179" s="695">
        <f>IF(SETUP!$F$27="Upfront",'HIV-Key Info'!$F$68*SUM('EBS-H'!AY313:AY317),IF(SETUP!$F$27="At delivery", IF(SETUP!$G$27=4,'HIV-Key Info'!$F$68*SUM('EBS-H'!AG313:AG317),IF(SETUP!$G$27=3,'HIV-Key Info'!$F$68*SUM('EBS-H'!AK313:AK317),IF(SETUP!$G$27=2,'HIV-Key Info'!$F$68*SUM('EBS-H'!AO313:AO317),IF(SETUP!$G$27=1,'HIV-Key Info'!$F$68*SUM('EBS-H'!AU313:AU317),0)))),0))</f>
        <v>0</v>
      </c>
      <c r="AS179" s="695"/>
      <c r="AT179" s="695">
        <f>IF(SETUP!$F$27="Upfront",'HIV-Key Info'!$F$68*SUM('EBS-H'!BC313:BC317),IF(SETUP!$F$27="At delivery", IF(SETUP!$G$27=4,'HIV-Key Info'!$F$68*SUM('EBS-H'!AK313:AK317),IF(SETUP!$G$27=3,'HIV-Key Info'!$F$68*SUM('EBS-H'!AO313:AO317),IF(SETUP!$G$27=2,'HIV-Key Info'!$F$68*SUM('EBS-H'!AU313:AU317),IF(SETUP!$G$27=1,'HIV-Key Info'!$F$68*SUM('EBS-H'!AY313:AY317),0)))),0))</f>
        <v>0</v>
      </c>
      <c r="AU179" s="695"/>
      <c r="AV179" s="695">
        <f>IF(SETUP!$F$27="Upfront",'HIV-Key Info'!$F$68*SUM('EBS-H'!BG313:BG317),IF(SETUP!$F$27="At delivery", IF(SETUP!$G$27=4,'HIV-Key Info'!$F$68*SUM(SUM('EBS-H'!AO313:AO317),SUM('EBS-H'!AU313:AU317),SUM('EBS-H'!AY313:AY317),SUM('EBS-H'!BC313:BC317),SUM('EBS-H'!BG313:BG317)),IF(SETUP!$G$27=3,'HIV-Key Info'!$F$68*SUM(SUM('EBS-H'!AU313:AU317),SUM('EBS-H'!AY313:AY317),SUM('EBS-H'!BC313:BC317),SUM('EBS-H'!BG313:BG317)),IF(SETUP!$G$27=2,'HIV-Key Info'!$F$68*SUM(SUM('EBS-H'!AY313:AY317),SUM('EBS-H'!BC313:BC317),SUM('EBS-H'!BG313:BG317)),IF(SETUP!$G$27=1,'HIV-Key Info'!$F$68*SUM(SUM('EBS-H'!BC313:BC317),SUM('EBS-H'!BG313:BG317)),0)))),0))</f>
        <v>0</v>
      </c>
      <c r="AW179" s="695"/>
      <c r="AX179" s="1492">
        <f t="shared" si="20"/>
        <v>0</v>
      </c>
      <c r="AY179" s="1492"/>
      <c r="AZ179" s="698"/>
      <c r="BA179" s="699"/>
      <c r="BB179" s="697"/>
      <c r="BC179" s="697">
        <v>0</v>
      </c>
      <c r="BD179" s="697">
        <v>0</v>
      </c>
      <c r="BE179" s="697">
        <v>0</v>
      </c>
      <c r="BF179" s="697">
        <v>0</v>
      </c>
      <c r="BG179" s="697">
        <v>0</v>
      </c>
      <c r="BH179" s="697">
        <v>0</v>
      </c>
      <c r="BI179" s="697">
        <v>0</v>
      </c>
      <c r="BJ179" s="697">
        <v>0</v>
      </c>
      <c r="BK179" s="1492">
        <f t="shared" si="21"/>
        <v>0</v>
      </c>
      <c r="BL179" s="1492"/>
      <c r="BM179" s="1492">
        <f t="shared" si="22"/>
        <v>0</v>
      </c>
      <c r="BN179" s="1492">
        <f t="shared" si="23"/>
        <v>0</v>
      </c>
      <c r="BO179" s="697"/>
      <c r="BP179" s="697"/>
      <c r="BQ179" s="1495" t="s">
        <v>92</v>
      </c>
      <c r="BR179" s="1495" t="s">
        <v>818</v>
      </c>
      <c r="BS179" s="1902" t="s">
        <v>790</v>
      </c>
      <c r="BT179" s="1907" t="s">
        <v>1905</v>
      </c>
    </row>
    <row r="180" spans="1:72" ht="13">
      <c r="A180" s="1545">
        <v>482</v>
      </c>
      <c r="B180" s="1546" t="s">
        <v>780</v>
      </c>
      <c r="C180" s="1546" t="s">
        <v>789</v>
      </c>
      <c r="D180" s="1547" t="s">
        <v>6869</v>
      </c>
      <c r="E180" s="690" t="s">
        <v>725</v>
      </c>
      <c r="F180" s="691"/>
      <c r="G180" s="692"/>
      <c r="H180" s="692"/>
      <c r="I180" s="692"/>
      <c r="J180" s="693"/>
      <c r="K180" s="693"/>
      <c r="L180" s="693"/>
      <c r="M180" s="694"/>
      <c r="N180" s="695"/>
      <c r="O180" s="696" t="s">
        <v>1569</v>
      </c>
      <c r="P180" s="695">
        <f>IF(SETUP!$F$28="Upfront",'HIV-Key Info'!$G$68*SUM('EBS-H'!K318:K322),0)</f>
        <v>0</v>
      </c>
      <c r="Q180" s="695" t="s">
        <v>1569</v>
      </c>
      <c r="R180" s="695">
        <f>IF(SETUP!$F$28="Upfront",'HIV-Key Info'!$G$68*SUM('EBS-H'!O318:O322),IF(SETUP!$F$28="At delivery", IF(SETUP!$G$28=1,'HIV-Key Info'!$G$68*SUM('EBS-H'!K318:K322),0),0))</f>
        <v>0</v>
      </c>
      <c r="S180" s="695" t="s">
        <v>1569</v>
      </c>
      <c r="T180" s="695">
        <f>IF(SETUP!$F$28="Upfront",'HIV-Key Info'!$G$68*SUM('EBS-H'!S318:S322),IF(SETUP!$F$28="At delivery", IF(SETUP!$G$28=2,'HIV-Key Info'!$G$68*SUM('EBS-H'!K318:K322),IF(SETUP!$G$28=1,'HIV-Key Info'!$G$68*SUM('EBS-H'!O318:O322),0)),0))</f>
        <v>0</v>
      </c>
      <c r="U180" s="695" t="s">
        <v>1569</v>
      </c>
      <c r="V180" s="695">
        <f>IF(SETUP!$F$28="Upfront",'HIV-Key Info'!$G$68*SUM('EBS-H'!W318:W322),IF(SETUP!$F$28="At delivery", IF(SETUP!$G$28=3,'HIV-Key Info'!$G$68*SUM('EBS-H'!K318:K322),IF(SETUP!$G$28=2,'HIV-Key Info'!$G$68*SUM('EBS-H'!O318:O322),IF(SETUP!$G$28=1,'HIV-Key Info'!$G$68*SUM('EBS-H'!S318:S322),0))),0))</f>
        <v>0</v>
      </c>
      <c r="W180" s="695"/>
      <c r="X180" s="1492">
        <f t="shared" si="18"/>
        <v>0</v>
      </c>
      <c r="Y180" s="1493"/>
      <c r="Z180" s="1494"/>
      <c r="AA180" s="699"/>
      <c r="AB180" s="695"/>
      <c r="AC180" s="695">
        <f>IF(SETUP!$F$28="Upfront",'HIV-Key Info'!$G$68*SUM('EBS-H'!AC318:AC322),IF(SETUP!$F$28="At delivery", IF(SETUP!$G$28=4,'HIV-Key Info'!$G$68*SUM('EBS-H'!K318:K322),IF(SETUP!$G$28=3,'HIV-Key Info'!$G$68*SUM('EBS-H'!O318:O322),IF(SETUP!$G$28=2,'HIV-Key Info'!$G$68*SUM('EBS-H'!S318:S322),IF(SETUP!$G$28=1,'HIV-Key Info'!$G$68*SUM('EBS-H'!W318:W322),0)))),0))</f>
        <v>0</v>
      </c>
      <c r="AD180" s="695"/>
      <c r="AE180" s="695">
        <f>IF(SETUP!$F$28="Upfront",'HIV-Key Info'!$G$68*SUM('EBS-H'!AG318:AG322),IF(SETUP!$F$28="At delivery", IF(SETUP!$G$28=4,'HIV-Key Info'!$G$68*SUM('EBS-H'!O318:O322),IF(SETUP!$G$28=3,'HIV-Key Info'!$G$68*SUM('EBS-H'!S318:S322),IF(SETUP!$G$28=2,'HIV-Key Info'!$G$68*SUM('EBS-H'!W318:W322),IF(SETUP!$G$28=1,'HIV-Key Info'!$G$68*SUM('EBS-H'!AC318:AC322),0)))),0))</f>
        <v>0</v>
      </c>
      <c r="AF180" s="695"/>
      <c r="AG180" s="695">
        <f>IF(SETUP!$F$28="Upfront",'HIV-Key Info'!$G$68*SUM('EBS-H'!AK318:AK322),IF(SETUP!$F$28="At delivery", IF(SETUP!$G$28=4,'HIV-Key Info'!$G$68*SUM('EBS-H'!S318:S322),IF(SETUP!$G$28=3,'HIV-Key Info'!$G$68*SUM('EBS-H'!W318:W322),IF(SETUP!$G$28=2,'HIV-Key Info'!$G$68*SUM('EBS-H'!AC318:AC322),IF(SETUP!$G$28=1,'HIV-Key Info'!$G$68*SUM('EBS-H'!AG318:AG322),0)))),0))</f>
        <v>0</v>
      </c>
      <c r="AH180" s="695"/>
      <c r="AI180" s="695">
        <f>IF(SETUP!$F$28="Upfront",'HIV-Key Info'!$G$68*SUM('EBS-H'!AO318:AO322),IF(SETUP!$F$28="At delivery", IF(SETUP!$G$28=4,'HIV-Key Info'!$G$68*SUM('EBS-H'!W318:W322),IF(SETUP!$G$28=3,'HIV-Key Info'!$G$68*SUM('EBS-H'!AC318:AC322),IF(SETUP!$G$28=2,'HIV-Key Info'!$G$68*SUM('EBS-H'!AG318:AG322),IF(SETUP!$G$28=1,'HIV-Key Info'!$G$68*SUM('EBS-H'!AK318:AK322),0)))),0))</f>
        <v>0</v>
      </c>
      <c r="AJ180" s="695"/>
      <c r="AK180" s="1492">
        <f t="shared" si="19"/>
        <v>0</v>
      </c>
      <c r="AL180" s="1493"/>
      <c r="AM180" s="1494"/>
      <c r="AN180" s="699"/>
      <c r="AO180" s="695"/>
      <c r="AP180" s="695">
        <f>IF(SETUP!$F$28="Upfront",'HIV-Key Info'!$G$68*SUM('EBS-H'!AU318:AU322),IF(SETUP!$F$28="At delivery", IF(SETUP!$G$28=4,'HIV-Key Info'!$G$68*SUM('EBS-H'!AC318:AC322),IF(SETUP!$G$28=3,'HIV-Key Info'!$G$68*SUM('EBS-H'!AG318:AG322),IF(SETUP!$G$28=2,'HIV-Key Info'!$G$68*SUM('EBS-H'!AK318:AK322),IF(SETUP!$G$28=1,'HIV-Key Info'!$G$68*SUM('EBS-H'!AO318:AO322),0)))),0))</f>
        <v>0</v>
      </c>
      <c r="AQ180" s="695"/>
      <c r="AR180" s="695">
        <f>IF(SETUP!$F$28="Upfront",'HIV-Key Info'!$G$68*SUM('EBS-H'!AY318:AY322),IF(SETUP!$F$28="At delivery", IF(SETUP!$G$28=4,'HIV-Key Info'!$G$68*SUM('EBS-H'!AG318:AG322),IF(SETUP!$G$28=3,'HIV-Key Info'!$G$68*SUM('EBS-H'!AK318:AK322),IF(SETUP!$G$28=2,'HIV-Key Info'!$G$68*SUM('EBS-H'!AO318:AO322),IF(SETUP!$G$28=1,'HIV-Key Info'!$G$68*SUM('EBS-H'!AU318:AU322),0)))),0))</f>
        <v>0</v>
      </c>
      <c r="AS180" s="695"/>
      <c r="AT180" s="695">
        <f>IF(SETUP!$F$28="Upfront",'HIV-Key Info'!$G$68*SUM('EBS-H'!BC318:BC322),IF(SETUP!$F$28="At delivery", IF(SETUP!$G$28=4,'HIV-Key Info'!$G$68*SUM('EBS-H'!AK318:AK322),IF(SETUP!$G$28=3,'HIV-Key Info'!$G$68*SUM('EBS-H'!AO318:AO322),IF(SETUP!$G$28=2,'HIV-Key Info'!$G$68*SUM('EBS-H'!AU318:AU322),IF(SETUP!$G$28=1,'HIV-Key Info'!$G$68*SUM('EBS-H'!AY318:AY322),0)))),0))</f>
        <v>0</v>
      </c>
      <c r="AU180" s="695"/>
      <c r="AV180" s="695">
        <f>IF(SETUP!$F$28="Upfront",'HIV-Key Info'!$G$68*SUM('EBS-H'!BG318:BG322),IF(SETUP!$F$28="At delivery", IF(SETUP!$G$28=4,'HIV-Key Info'!$G$68*SUM(SUM('EBS-H'!AO318:AO322),SUM('EBS-H'!AU318:AU322),SUM('EBS-H'!AY318:AY322),SUM('EBS-H'!BC318:BC322),SUM('EBS-H'!BG318:BG322)),IF(SETUP!$G$28=3,'HIV-Key Info'!$G$68*SUM(SUM('EBS-H'!AU318:AU322),SUM('EBS-H'!AY318:AY322),SUM('EBS-H'!BC318:BC322),SUM('EBS-H'!BG318:BG322)),IF(SETUP!$G$28=2,'HIV-Key Info'!$G$68*SUM(SUM('EBS-H'!AY318:AY322),SUM('EBS-H'!BC318:BC322),SUM('EBS-H'!BG318:BG322)),IF(SETUP!$G$28=1,'HIV-Key Info'!$G$68*SUM(SUM('EBS-H'!BC318:BC322),SUM('EBS-H'!BG318:BG322)),0)))),0))</f>
        <v>0</v>
      </c>
      <c r="AW180" s="695"/>
      <c r="AX180" s="1492">
        <f t="shared" si="20"/>
        <v>0</v>
      </c>
      <c r="AY180" s="1492"/>
      <c r="AZ180" s="698"/>
      <c r="BA180" s="699"/>
      <c r="BB180" s="697"/>
      <c r="BC180" s="697">
        <v>0</v>
      </c>
      <c r="BD180" s="697">
        <v>0</v>
      </c>
      <c r="BE180" s="697">
        <v>0</v>
      </c>
      <c r="BF180" s="697">
        <v>0</v>
      </c>
      <c r="BG180" s="697">
        <v>0</v>
      </c>
      <c r="BH180" s="697">
        <v>0</v>
      </c>
      <c r="BI180" s="697">
        <v>0</v>
      </c>
      <c r="BJ180" s="697">
        <v>0</v>
      </c>
      <c r="BK180" s="1492">
        <f t="shared" si="21"/>
        <v>0</v>
      </c>
      <c r="BL180" s="1492"/>
      <c r="BM180" s="1492">
        <f t="shared" si="22"/>
        <v>0</v>
      </c>
      <c r="BN180" s="1492">
        <f t="shared" si="23"/>
        <v>0</v>
      </c>
      <c r="BO180" s="697"/>
      <c r="BP180" s="697"/>
      <c r="BQ180" s="1495" t="s">
        <v>92</v>
      </c>
      <c r="BR180" s="1495" t="s">
        <v>818</v>
      </c>
      <c r="BS180" s="1902" t="s">
        <v>790</v>
      </c>
      <c r="BT180" s="1907" t="s">
        <v>1906</v>
      </c>
    </row>
    <row r="181" spans="1:72" ht="13">
      <c r="A181" s="1545">
        <v>483</v>
      </c>
      <c r="B181" s="1546" t="s">
        <v>780</v>
      </c>
      <c r="C181" s="1546" t="s">
        <v>789</v>
      </c>
      <c r="D181" s="1547" t="s">
        <v>6870</v>
      </c>
      <c r="E181" s="690" t="s">
        <v>656</v>
      </c>
      <c r="F181" s="691"/>
      <c r="G181" s="692"/>
      <c r="H181" s="692"/>
      <c r="I181" s="692"/>
      <c r="J181" s="693"/>
      <c r="K181" s="693"/>
      <c r="L181" s="693"/>
      <c r="M181" s="694"/>
      <c r="N181" s="695"/>
      <c r="O181" s="696" t="s">
        <v>1569</v>
      </c>
      <c r="P181" s="695">
        <f>'HIV-Key Info'!$E$68*('HPM costs'!F27+'HPM costs'!F30)</f>
        <v>0</v>
      </c>
      <c r="Q181" s="695" t="s">
        <v>1569</v>
      </c>
      <c r="R181" s="695">
        <f>'HIV-Key Info'!$E$68*('HPM costs'!G27+'HPM costs'!G30)</f>
        <v>0</v>
      </c>
      <c r="S181" s="695" t="s">
        <v>1569</v>
      </c>
      <c r="T181" s="695">
        <f>'HIV-Key Info'!$E$68*('HPM costs'!H27+'HPM costs'!H30)</f>
        <v>0</v>
      </c>
      <c r="U181" s="695" t="s">
        <v>1569</v>
      </c>
      <c r="V181" s="695">
        <f>'HIV-Key Info'!$E$68*('HPM costs'!I27+'HPM costs'!I30)</f>
        <v>0</v>
      </c>
      <c r="W181" s="695"/>
      <c r="X181" s="1492">
        <f t="shared" si="18"/>
        <v>0</v>
      </c>
      <c r="Y181" s="1493"/>
      <c r="Z181" s="1494"/>
      <c r="AA181" s="699"/>
      <c r="AB181" s="695"/>
      <c r="AC181" s="695">
        <f>'HIV-Key Info'!$E$68*('HPM costs'!K27+'HPM costs'!K30)</f>
        <v>0</v>
      </c>
      <c r="AD181" s="695"/>
      <c r="AE181" s="695">
        <f>'HIV-Key Info'!$E$68*('HPM costs'!L27+'HPM costs'!L30)</f>
        <v>0</v>
      </c>
      <c r="AF181" s="695"/>
      <c r="AG181" s="695">
        <f>'HIV-Key Info'!$E$68*('HPM costs'!M27+'HPM costs'!M30)</f>
        <v>0</v>
      </c>
      <c r="AH181" s="695"/>
      <c r="AI181" s="695">
        <f>'HIV-Key Info'!$E$68*('HPM costs'!N27+'HPM costs'!N30)</f>
        <v>0</v>
      </c>
      <c r="AJ181" s="695"/>
      <c r="AK181" s="1492">
        <f t="shared" si="19"/>
        <v>0</v>
      </c>
      <c r="AL181" s="1493"/>
      <c r="AM181" s="1494"/>
      <c r="AN181" s="699"/>
      <c r="AO181" s="695"/>
      <c r="AP181" s="695">
        <f>'HIV-Key Info'!$E$68*('HPM costs'!P27+'HPM costs'!P30)</f>
        <v>0</v>
      </c>
      <c r="AQ181" s="695"/>
      <c r="AR181" s="695">
        <f>'HIV-Key Info'!$E$68*('HPM costs'!Q27+'HPM costs'!Q30)</f>
        <v>0</v>
      </c>
      <c r="AS181" s="695"/>
      <c r="AT181" s="695">
        <f>'HIV-Key Info'!$E$68*('HPM costs'!R27+'HPM costs'!R30)</f>
        <v>0</v>
      </c>
      <c r="AU181" s="695"/>
      <c r="AV181" s="695">
        <f>'HIV-Key Info'!$E$68*('HPM costs'!S27+'HPM costs'!S30)</f>
        <v>0</v>
      </c>
      <c r="AW181" s="695"/>
      <c r="AX181" s="1492">
        <f t="shared" si="20"/>
        <v>0</v>
      </c>
      <c r="AY181" s="1492"/>
      <c r="AZ181" s="698"/>
      <c r="BA181" s="699"/>
      <c r="BB181" s="697"/>
      <c r="BC181" s="697">
        <v>0</v>
      </c>
      <c r="BD181" s="697">
        <v>0</v>
      </c>
      <c r="BE181" s="697">
        <v>0</v>
      </c>
      <c r="BF181" s="697">
        <v>0</v>
      </c>
      <c r="BG181" s="697">
        <v>0</v>
      </c>
      <c r="BH181" s="697">
        <v>0</v>
      </c>
      <c r="BI181" s="697">
        <v>0</v>
      </c>
      <c r="BJ181" s="697">
        <v>0</v>
      </c>
      <c r="BK181" s="1492">
        <f t="shared" si="21"/>
        <v>0</v>
      </c>
      <c r="BL181" s="1492"/>
      <c r="BM181" s="1492">
        <f t="shared" si="22"/>
        <v>0</v>
      </c>
      <c r="BN181" s="1492">
        <f t="shared" si="23"/>
        <v>0</v>
      </c>
      <c r="BO181" s="697"/>
      <c r="BP181" s="697"/>
      <c r="BQ181" s="1495" t="s">
        <v>92</v>
      </c>
      <c r="BR181" s="1495" t="s">
        <v>818</v>
      </c>
      <c r="BS181" s="1902" t="s">
        <v>655</v>
      </c>
      <c r="BT181" s="1907" t="s">
        <v>1907</v>
      </c>
    </row>
    <row r="182" spans="1:72" ht="13">
      <c r="A182" s="1545">
        <v>484</v>
      </c>
      <c r="B182" s="1546" t="s">
        <v>780</v>
      </c>
      <c r="C182" s="1546" t="s">
        <v>789</v>
      </c>
      <c r="D182" s="1547" t="s">
        <v>6870</v>
      </c>
      <c r="E182" s="690" t="s">
        <v>658</v>
      </c>
      <c r="F182" s="691"/>
      <c r="G182" s="692"/>
      <c r="H182" s="692"/>
      <c r="I182" s="692"/>
      <c r="J182" s="693"/>
      <c r="K182" s="693"/>
      <c r="L182" s="693"/>
      <c r="M182" s="694"/>
      <c r="N182" s="695"/>
      <c r="O182" s="696" t="s">
        <v>1569</v>
      </c>
      <c r="P182" s="695">
        <f>'HIV-Key Info'!$E$68*('HPM costs'!F113+'HPM costs'!F116)</f>
        <v>0</v>
      </c>
      <c r="Q182" s="695" t="s">
        <v>1569</v>
      </c>
      <c r="R182" s="695">
        <f>'HIV-Key Info'!$E$68*('HPM costs'!G113+'HPM costs'!G116)</f>
        <v>0</v>
      </c>
      <c r="S182" s="695" t="s">
        <v>1569</v>
      </c>
      <c r="T182" s="695">
        <f>'HIV-Key Info'!$E$68*('HPM costs'!H113+'HPM costs'!H116)</f>
        <v>0</v>
      </c>
      <c r="U182" s="695" t="s">
        <v>1569</v>
      </c>
      <c r="V182" s="695">
        <f>'HIV-Key Info'!$E$68*('HPM costs'!I113+'HPM costs'!I116)</f>
        <v>0</v>
      </c>
      <c r="W182" s="695"/>
      <c r="X182" s="1492">
        <f t="shared" si="18"/>
        <v>0</v>
      </c>
      <c r="Y182" s="1493"/>
      <c r="Z182" s="1494"/>
      <c r="AA182" s="699"/>
      <c r="AB182" s="695"/>
      <c r="AC182" s="695">
        <f>'HIV-Key Info'!$E$68*('HPM costs'!K113+'HPM costs'!K116)</f>
        <v>0</v>
      </c>
      <c r="AD182" s="695"/>
      <c r="AE182" s="695">
        <f>'HIV-Key Info'!$E$68*('HPM costs'!L113+'HPM costs'!L116)</f>
        <v>0</v>
      </c>
      <c r="AF182" s="695"/>
      <c r="AG182" s="695">
        <f>'HIV-Key Info'!$E$68*('HPM costs'!M113+'HPM costs'!M116)</f>
        <v>0</v>
      </c>
      <c r="AH182" s="695"/>
      <c r="AI182" s="695">
        <f>'HIV-Key Info'!$E$68*('HPM costs'!N113+'HPM costs'!N116)</f>
        <v>0</v>
      </c>
      <c r="AJ182" s="695"/>
      <c r="AK182" s="1492">
        <f t="shared" si="19"/>
        <v>0</v>
      </c>
      <c r="AL182" s="1493"/>
      <c r="AM182" s="1494"/>
      <c r="AN182" s="699"/>
      <c r="AO182" s="695"/>
      <c r="AP182" s="695">
        <f>'HIV-Key Info'!$E$68*('HPM costs'!P113+'HPM costs'!P116)</f>
        <v>0</v>
      </c>
      <c r="AQ182" s="695"/>
      <c r="AR182" s="695">
        <f>'HIV-Key Info'!$E$68*('HPM costs'!Q113+'HPM costs'!Q116)</f>
        <v>0</v>
      </c>
      <c r="AS182" s="695"/>
      <c r="AT182" s="695">
        <f>'HIV-Key Info'!$E$68*('HPM costs'!R113+'HPM costs'!R116)</f>
        <v>0</v>
      </c>
      <c r="AU182" s="695"/>
      <c r="AV182" s="695">
        <f>'HIV-Key Info'!$E$68*('HPM costs'!S113+'HPM costs'!S116)</f>
        <v>0</v>
      </c>
      <c r="AW182" s="695"/>
      <c r="AX182" s="1492">
        <f t="shared" si="20"/>
        <v>0</v>
      </c>
      <c r="AY182" s="1492"/>
      <c r="AZ182" s="698"/>
      <c r="BA182" s="699"/>
      <c r="BB182" s="697"/>
      <c r="BC182" s="697">
        <v>0</v>
      </c>
      <c r="BD182" s="697">
        <v>0</v>
      </c>
      <c r="BE182" s="697">
        <v>0</v>
      </c>
      <c r="BF182" s="697">
        <v>0</v>
      </c>
      <c r="BG182" s="697">
        <v>0</v>
      </c>
      <c r="BH182" s="697">
        <v>0</v>
      </c>
      <c r="BI182" s="697">
        <v>0</v>
      </c>
      <c r="BJ182" s="697">
        <v>0</v>
      </c>
      <c r="BK182" s="1492">
        <f t="shared" si="21"/>
        <v>0</v>
      </c>
      <c r="BL182" s="1492"/>
      <c r="BM182" s="1492">
        <f t="shared" si="22"/>
        <v>0</v>
      </c>
      <c r="BN182" s="1492">
        <f t="shared" si="23"/>
        <v>0</v>
      </c>
      <c r="BO182" s="697"/>
      <c r="BP182" s="697"/>
      <c r="BQ182" s="1495" t="s">
        <v>92</v>
      </c>
      <c r="BR182" s="1495" t="s">
        <v>818</v>
      </c>
      <c r="BS182" s="1902" t="s">
        <v>655</v>
      </c>
      <c r="BT182" s="1907" t="s">
        <v>1908</v>
      </c>
    </row>
    <row r="183" spans="1:72" ht="13">
      <c r="A183" s="1545">
        <v>485</v>
      </c>
      <c r="B183" s="1546" t="s">
        <v>780</v>
      </c>
      <c r="C183" s="1546" t="s">
        <v>789</v>
      </c>
      <c r="D183" s="1547" t="s">
        <v>6870</v>
      </c>
      <c r="E183" s="690" t="s">
        <v>660</v>
      </c>
      <c r="F183" s="691"/>
      <c r="G183" s="692"/>
      <c r="H183" s="692"/>
      <c r="I183" s="692"/>
      <c r="J183" s="693"/>
      <c r="K183" s="693"/>
      <c r="L183" s="693"/>
      <c r="M183" s="694"/>
      <c r="N183" s="695"/>
      <c r="O183" s="696" t="s">
        <v>1569</v>
      </c>
      <c r="P183" s="695">
        <f>'HIV-Key Info'!$E$68*('HPM costs'!F373+'HPM costs'!F376)</f>
        <v>0</v>
      </c>
      <c r="Q183" s="695" t="s">
        <v>1569</v>
      </c>
      <c r="R183" s="695">
        <f>'HIV-Key Info'!$E$68*('HPM costs'!G373+'HPM costs'!G376)</f>
        <v>0</v>
      </c>
      <c r="S183" s="695" t="s">
        <v>1569</v>
      </c>
      <c r="T183" s="695">
        <f>'HIV-Key Info'!$E$68*('HPM costs'!H373+'HPM costs'!H376)</f>
        <v>0</v>
      </c>
      <c r="U183" s="695" t="s">
        <v>1569</v>
      </c>
      <c r="V183" s="695">
        <f>'HIV-Key Info'!$E$68*('HPM costs'!I373+'HPM costs'!I376)</f>
        <v>0</v>
      </c>
      <c r="W183" s="695"/>
      <c r="X183" s="1492">
        <f t="shared" si="18"/>
        <v>0</v>
      </c>
      <c r="Y183" s="1493"/>
      <c r="Z183" s="1494"/>
      <c r="AA183" s="699"/>
      <c r="AB183" s="695"/>
      <c r="AC183" s="695">
        <f>'HIV-Key Info'!$E$68*('HPM costs'!K373+'HPM costs'!K376)</f>
        <v>0</v>
      </c>
      <c r="AD183" s="695"/>
      <c r="AE183" s="695">
        <f>'HIV-Key Info'!$E$68*('HPM costs'!L373+'HPM costs'!L376)</f>
        <v>0</v>
      </c>
      <c r="AF183" s="695"/>
      <c r="AG183" s="695">
        <f>'HIV-Key Info'!$E$68*('HPM costs'!M373+'HPM costs'!M376)</f>
        <v>0</v>
      </c>
      <c r="AH183" s="695"/>
      <c r="AI183" s="695">
        <f>'HIV-Key Info'!$E$68*('HPM costs'!N373+'HPM costs'!N376)</f>
        <v>0</v>
      </c>
      <c r="AJ183" s="695"/>
      <c r="AK183" s="1492">
        <f t="shared" si="19"/>
        <v>0</v>
      </c>
      <c r="AL183" s="1493"/>
      <c r="AM183" s="1494"/>
      <c r="AN183" s="699"/>
      <c r="AO183" s="695"/>
      <c r="AP183" s="695">
        <f>'HIV-Key Info'!$E$68*('HPM costs'!P373+'HPM costs'!P376)</f>
        <v>0</v>
      </c>
      <c r="AQ183" s="695"/>
      <c r="AR183" s="695">
        <f>'HIV-Key Info'!$E$68*('HPM costs'!Q373+'HPM costs'!Q376)</f>
        <v>0</v>
      </c>
      <c r="AS183" s="695"/>
      <c r="AT183" s="695">
        <f>'HIV-Key Info'!$E$68*('HPM costs'!R373+'HPM costs'!R376)</f>
        <v>0</v>
      </c>
      <c r="AU183" s="695"/>
      <c r="AV183" s="695">
        <f>'HIV-Key Info'!$E$68*('HPM costs'!S373+'HPM costs'!S376)</f>
        <v>0</v>
      </c>
      <c r="AW183" s="695"/>
      <c r="AX183" s="1492">
        <f t="shared" si="20"/>
        <v>0</v>
      </c>
      <c r="AY183" s="1492"/>
      <c r="AZ183" s="698"/>
      <c r="BA183" s="699"/>
      <c r="BB183" s="697"/>
      <c r="BC183" s="697">
        <v>0</v>
      </c>
      <c r="BD183" s="697">
        <v>0</v>
      </c>
      <c r="BE183" s="697">
        <v>0</v>
      </c>
      <c r="BF183" s="697">
        <v>0</v>
      </c>
      <c r="BG183" s="697">
        <v>0</v>
      </c>
      <c r="BH183" s="697">
        <v>0</v>
      </c>
      <c r="BI183" s="697">
        <v>0</v>
      </c>
      <c r="BJ183" s="697">
        <v>0</v>
      </c>
      <c r="BK183" s="1492">
        <f t="shared" si="21"/>
        <v>0</v>
      </c>
      <c r="BL183" s="1492"/>
      <c r="BM183" s="1492">
        <f t="shared" si="22"/>
        <v>0</v>
      </c>
      <c r="BN183" s="1492">
        <f t="shared" si="23"/>
        <v>0</v>
      </c>
      <c r="BO183" s="697"/>
      <c r="BP183" s="697"/>
      <c r="BQ183" s="1495" t="s">
        <v>92</v>
      </c>
      <c r="BR183" s="1495" t="s">
        <v>818</v>
      </c>
      <c r="BS183" s="1902" t="s">
        <v>655</v>
      </c>
      <c r="BT183" s="1907" t="s">
        <v>1909</v>
      </c>
    </row>
    <row r="184" spans="1:72" ht="13">
      <c r="A184" s="1545">
        <v>486</v>
      </c>
      <c r="B184" s="1546" t="s">
        <v>780</v>
      </c>
      <c r="C184" s="1546" t="s">
        <v>789</v>
      </c>
      <c r="D184" s="1547" t="s">
        <v>6870</v>
      </c>
      <c r="E184" s="690" t="s">
        <v>662</v>
      </c>
      <c r="F184" s="691"/>
      <c r="G184" s="692"/>
      <c r="H184" s="692"/>
      <c r="I184" s="692"/>
      <c r="J184" s="693"/>
      <c r="K184" s="693"/>
      <c r="L184" s="693"/>
      <c r="M184" s="694"/>
      <c r="N184" s="695"/>
      <c r="O184" s="696" t="s">
        <v>1569</v>
      </c>
      <c r="P184" s="695">
        <f>'HIV-Key Info'!$E$68*('HPM costs'!F459+'HPM costs'!F462)</f>
        <v>0</v>
      </c>
      <c r="Q184" s="695" t="s">
        <v>1569</v>
      </c>
      <c r="R184" s="695">
        <f>'HIV-Key Info'!$E$68*('HPM costs'!G459+'HPM costs'!G462)</f>
        <v>0</v>
      </c>
      <c r="S184" s="695" t="s">
        <v>1569</v>
      </c>
      <c r="T184" s="695">
        <f>'HIV-Key Info'!$E$68*('HPM costs'!H459+'HPM costs'!H462)</f>
        <v>0</v>
      </c>
      <c r="U184" s="695" t="s">
        <v>1569</v>
      </c>
      <c r="V184" s="695">
        <f>'HIV-Key Info'!$E$68*('HPM costs'!I459+'HPM costs'!I462)</f>
        <v>0</v>
      </c>
      <c r="W184" s="695"/>
      <c r="X184" s="1492">
        <f t="shared" si="18"/>
        <v>0</v>
      </c>
      <c r="Y184" s="1493"/>
      <c r="Z184" s="1494"/>
      <c r="AA184" s="699"/>
      <c r="AB184" s="695"/>
      <c r="AC184" s="695">
        <f>'HIV-Key Info'!$E$68*('HPM costs'!K459+'HPM costs'!K462)</f>
        <v>0</v>
      </c>
      <c r="AD184" s="695"/>
      <c r="AE184" s="695">
        <f>'HIV-Key Info'!$E$68*('HPM costs'!L459+'HPM costs'!L462)</f>
        <v>0</v>
      </c>
      <c r="AF184" s="695"/>
      <c r="AG184" s="695">
        <f>'HIV-Key Info'!$E$68*('HPM costs'!M459+'HPM costs'!M462)</f>
        <v>0</v>
      </c>
      <c r="AH184" s="695"/>
      <c r="AI184" s="695">
        <f>'HIV-Key Info'!$E$68*('HPM costs'!N459+'HPM costs'!N462)</f>
        <v>0</v>
      </c>
      <c r="AJ184" s="695"/>
      <c r="AK184" s="1492">
        <f t="shared" si="19"/>
        <v>0</v>
      </c>
      <c r="AL184" s="1493"/>
      <c r="AM184" s="1494"/>
      <c r="AN184" s="699"/>
      <c r="AO184" s="695"/>
      <c r="AP184" s="695">
        <f>'HIV-Key Info'!$E$68*('HPM costs'!P459+'HPM costs'!P462)</f>
        <v>0</v>
      </c>
      <c r="AQ184" s="695"/>
      <c r="AR184" s="695">
        <f>'HIV-Key Info'!$E$68*('HPM costs'!Q459+'HPM costs'!Q462)</f>
        <v>0</v>
      </c>
      <c r="AS184" s="695"/>
      <c r="AT184" s="695">
        <f>'HIV-Key Info'!$E$68*('HPM costs'!R459+'HPM costs'!R462)</f>
        <v>0</v>
      </c>
      <c r="AU184" s="695"/>
      <c r="AV184" s="695">
        <f>'HIV-Key Info'!$E$68*('HPM costs'!S459+'HPM costs'!S462)</f>
        <v>0</v>
      </c>
      <c r="AW184" s="695"/>
      <c r="AX184" s="1492">
        <f t="shared" si="20"/>
        <v>0</v>
      </c>
      <c r="AY184" s="1492"/>
      <c r="AZ184" s="698"/>
      <c r="BA184" s="699"/>
      <c r="BB184" s="697"/>
      <c r="BC184" s="697">
        <v>0</v>
      </c>
      <c r="BD184" s="697">
        <v>0</v>
      </c>
      <c r="BE184" s="697">
        <v>0</v>
      </c>
      <c r="BF184" s="697">
        <v>0</v>
      </c>
      <c r="BG184" s="697">
        <v>0</v>
      </c>
      <c r="BH184" s="697">
        <v>0</v>
      </c>
      <c r="BI184" s="697">
        <v>0</v>
      </c>
      <c r="BJ184" s="697">
        <v>0</v>
      </c>
      <c r="BK184" s="1492">
        <f t="shared" si="21"/>
        <v>0</v>
      </c>
      <c r="BL184" s="1492"/>
      <c r="BM184" s="1492">
        <f t="shared" si="22"/>
        <v>0</v>
      </c>
      <c r="BN184" s="1492">
        <f t="shared" si="23"/>
        <v>0</v>
      </c>
      <c r="BO184" s="697"/>
      <c r="BP184" s="697"/>
      <c r="BQ184" s="1495" t="s">
        <v>92</v>
      </c>
      <c r="BR184" s="1495" t="s">
        <v>818</v>
      </c>
      <c r="BS184" s="1902" t="s">
        <v>655</v>
      </c>
      <c r="BT184" s="1907" t="s">
        <v>1910</v>
      </c>
    </row>
    <row r="185" spans="1:72" ht="13">
      <c r="A185" s="1545">
        <v>487</v>
      </c>
      <c r="B185" s="1546" t="s">
        <v>780</v>
      </c>
      <c r="C185" s="1546" t="s">
        <v>789</v>
      </c>
      <c r="D185" s="1547" t="s">
        <v>6870</v>
      </c>
      <c r="E185" s="690" t="s">
        <v>664</v>
      </c>
      <c r="F185" s="691"/>
      <c r="G185" s="692"/>
      <c r="H185" s="692"/>
      <c r="I185" s="692"/>
      <c r="J185" s="693"/>
      <c r="K185" s="693"/>
      <c r="L185" s="693"/>
      <c r="M185" s="694"/>
      <c r="N185" s="695"/>
      <c r="O185" s="696" t="s">
        <v>1569</v>
      </c>
      <c r="P185" s="695">
        <f>'HIV-Key Info'!$E$68*('HPM costs'!F199+'HPM costs'!F202+'HPM costs'!F545+'HPM costs'!F548)</f>
        <v>0</v>
      </c>
      <c r="Q185" s="695" t="s">
        <v>1569</v>
      </c>
      <c r="R185" s="695">
        <f>'HIV-Key Info'!$E$68*('HPM costs'!G199+'HPM costs'!G202+'HPM costs'!G545+'HPM costs'!G548)</f>
        <v>0</v>
      </c>
      <c r="S185" s="695" t="s">
        <v>1569</v>
      </c>
      <c r="T185" s="695">
        <f>'HIV-Key Info'!$E$68*('HPM costs'!H199+'HPM costs'!H202+'HPM costs'!H545+'HPM costs'!H548)</f>
        <v>0</v>
      </c>
      <c r="U185" s="695" t="s">
        <v>1569</v>
      </c>
      <c r="V185" s="695">
        <f>'HIV-Key Info'!$E$68*('HPM costs'!I199+'HPM costs'!I202+'HPM costs'!I545+'HPM costs'!I548)</f>
        <v>0</v>
      </c>
      <c r="W185" s="695"/>
      <c r="X185" s="1492">
        <f t="shared" si="18"/>
        <v>0</v>
      </c>
      <c r="Y185" s="1493"/>
      <c r="Z185" s="1494"/>
      <c r="AA185" s="699"/>
      <c r="AB185" s="695"/>
      <c r="AC185" s="695">
        <f>'HIV-Key Info'!$E$68*('HPM costs'!K199+'HPM costs'!K202+'HPM costs'!K545+'HPM costs'!K548)</f>
        <v>0</v>
      </c>
      <c r="AD185" s="695"/>
      <c r="AE185" s="695">
        <f>'HIV-Key Info'!$E$68*('HPM costs'!L199+'HPM costs'!L202+'HPM costs'!L545+'HPM costs'!L548)</f>
        <v>0</v>
      </c>
      <c r="AF185" s="695"/>
      <c r="AG185" s="695">
        <f>'HIV-Key Info'!$E$68*('HPM costs'!M199+'HPM costs'!M202+'HPM costs'!M545+'HPM costs'!M548)</f>
        <v>0</v>
      </c>
      <c r="AH185" s="695"/>
      <c r="AI185" s="695">
        <f>'HIV-Key Info'!$E$68*('HPM costs'!N199+'HPM costs'!N202+'HPM costs'!N545+'HPM costs'!N548)</f>
        <v>0</v>
      </c>
      <c r="AJ185" s="695"/>
      <c r="AK185" s="1492">
        <f t="shared" si="19"/>
        <v>0</v>
      </c>
      <c r="AL185" s="1493"/>
      <c r="AM185" s="1494"/>
      <c r="AN185" s="699"/>
      <c r="AO185" s="695"/>
      <c r="AP185" s="695">
        <f>'HIV-Key Info'!$E$68*('HPM costs'!P199+'HPM costs'!P202+'HPM costs'!P545+'HPM costs'!P548)</f>
        <v>0</v>
      </c>
      <c r="AQ185" s="695"/>
      <c r="AR185" s="695">
        <f>'HIV-Key Info'!$E$68*('HPM costs'!Q199+'HPM costs'!Q202+'HPM costs'!Q545+'HPM costs'!Q548)</f>
        <v>0</v>
      </c>
      <c r="AS185" s="695"/>
      <c r="AT185" s="695">
        <f>'HIV-Key Info'!$E$68*('HPM costs'!R199+'HPM costs'!R202+'HPM costs'!R545+'HPM costs'!R548)</f>
        <v>0</v>
      </c>
      <c r="AU185" s="695"/>
      <c r="AV185" s="695">
        <f>'HIV-Key Info'!$E$68*('HPM costs'!S199+'HPM costs'!S202+'HPM costs'!S545+'HPM costs'!S548)</f>
        <v>0</v>
      </c>
      <c r="AW185" s="695"/>
      <c r="AX185" s="1492">
        <f t="shared" si="20"/>
        <v>0</v>
      </c>
      <c r="AY185" s="1492"/>
      <c r="AZ185" s="698"/>
      <c r="BA185" s="699"/>
      <c r="BB185" s="697"/>
      <c r="BC185" s="697">
        <v>0</v>
      </c>
      <c r="BD185" s="697">
        <v>0</v>
      </c>
      <c r="BE185" s="697">
        <v>0</v>
      </c>
      <c r="BF185" s="697">
        <v>0</v>
      </c>
      <c r="BG185" s="697">
        <v>0</v>
      </c>
      <c r="BH185" s="697">
        <v>0</v>
      </c>
      <c r="BI185" s="697">
        <v>0</v>
      </c>
      <c r="BJ185" s="697">
        <v>0</v>
      </c>
      <c r="BK185" s="1492">
        <f t="shared" si="21"/>
        <v>0</v>
      </c>
      <c r="BL185" s="1492"/>
      <c r="BM185" s="1492">
        <f t="shared" si="22"/>
        <v>0</v>
      </c>
      <c r="BN185" s="1492">
        <f t="shared" si="23"/>
        <v>0</v>
      </c>
      <c r="BO185" s="697"/>
      <c r="BP185" s="697"/>
      <c r="BQ185" s="1495" t="s">
        <v>92</v>
      </c>
      <c r="BR185" s="1495" t="s">
        <v>818</v>
      </c>
      <c r="BS185" s="1902" t="s">
        <v>655</v>
      </c>
      <c r="BT185" s="1907" t="s">
        <v>1911</v>
      </c>
    </row>
    <row r="186" spans="1:72" ht="13">
      <c r="A186" s="1545">
        <v>488</v>
      </c>
      <c r="B186" s="1546" t="s">
        <v>780</v>
      </c>
      <c r="C186" s="1546" t="s">
        <v>789</v>
      </c>
      <c r="D186" s="1547" t="s">
        <v>6870</v>
      </c>
      <c r="E186" s="690" t="s">
        <v>666</v>
      </c>
      <c r="F186" s="691"/>
      <c r="G186" s="692"/>
      <c r="H186" s="692"/>
      <c r="I186" s="692"/>
      <c r="J186" s="693"/>
      <c r="K186" s="693"/>
      <c r="L186" s="693"/>
      <c r="M186" s="694"/>
      <c r="N186" s="695"/>
      <c r="O186" s="696" t="s">
        <v>1569</v>
      </c>
      <c r="P186" s="695">
        <f>'HIV-Key Info'!$E$68*('HPM costs'!F285+'HPM costs'!F288)</f>
        <v>0</v>
      </c>
      <c r="Q186" s="695" t="s">
        <v>1569</v>
      </c>
      <c r="R186" s="695">
        <f>'HIV-Key Info'!$E$68*('HPM costs'!G285+'HPM costs'!G288)</f>
        <v>0</v>
      </c>
      <c r="S186" s="695" t="s">
        <v>1569</v>
      </c>
      <c r="T186" s="695">
        <f>'HIV-Key Info'!$E$68*('HPM costs'!H285+'HPM costs'!H288)</f>
        <v>0</v>
      </c>
      <c r="U186" s="695" t="s">
        <v>1569</v>
      </c>
      <c r="V186" s="695">
        <f>'HIV-Key Info'!$E$68*('HPM costs'!I285+'HPM costs'!I288)</f>
        <v>0</v>
      </c>
      <c r="W186" s="695"/>
      <c r="X186" s="1492">
        <f t="shared" si="18"/>
        <v>0</v>
      </c>
      <c r="Y186" s="1493"/>
      <c r="Z186" s="1494"/>
      <c r="AA186" s="699"/>
      <c r="AB186" s="695"/>
      <c r="AC186" s="695">
        <f>'HIV-Key Info'!$E$68*('HPM costs'!K285+'HPM costs'!K288)</f>
        <v>0</v>
      </c>
      <c r="AD186" s="695"/>
      <c r="AE186" s="695">
        <f>'HIV-Key Info'!$E$68*('HPM costs'!L285+'HPM costs'!L288)</f>
        <v>0</v>
      </c>
      <c r="AF186" s="695"/>
      <c r="AG186" s="695">
        <f>'HIV-Key Info'!$E$68*('HPM costs'!M285+'HPM costs'!M288)</f>
        <v>0</v>
      </c>
      <c r="AH186" s="695"/>
      <c r="AI186" s="695">
        <f>'HIV-Key Info'!$E$68*('HPM costs'!N285+'HPM costs'!N288)</f>
        <v>0</v>
      </c>
      <c r="AJ186" s="695"/>
      <c r="AK186" s="1492">
        <f t="shared" si="19"/>
        <v>0</v>
      </c>
      <c r="AL186" s="1493"/>
      <c r="AM186" s="1494"/>
      <c r="AN186" s="699"/>
      <c r="AO186" s="695"/>
      <c r="AP186" s="695">
        <f>'HIV-Key Info'!$E$68*('HPM costs'!P285+'HPM costs'!P288)</f>
        <v>0</v>
      </c>
      <c r="AQ186" s="695"/>
      <c r="AR186" s="695">
        <f>'HIV-Key Info'!$E$68*('HPM costs'!Q285+'HPM costs'!Q288)</f>
        <v>0</v>
      </c>
      <c r="AS186" s="695"/>
      <c r="AT186" s="695">
        <f>'HIV-Key Info'!$E$68*('HPM costs'!R285+'HPM costs'!R288)</f>
        <v>0</v>
      </c>
      <c r="AU186" s="695"/>
      <c r="AV186" s="695">
        <f>'HIV-Key Info'!$E$68*('HPM costs'!S285+'HPM costs'!S288)</f>
        <v>0</v>
      </c>
      <c r="AW186" s="695"/>
      <c r="AX186" s="1492">
        <f t="shared" si="20"/>
        <v>0</v>
      </c>
      <c r="AY186" s="1492"/>
      <c r="AZ186" s="698"/>
      <c r="BA186" s="699"/>
      <c r="BB186" s="697"/>
      <c r="BC186" s="697">
        <v>0</v>
      </c>
      <c r="BD186" s="697">
        <v>0</v>
      </c>
      <c r="BE186" s="697">
        <v>0</v>
      </c>
      <c r="BF186" s="697">
        <v>0</v>
      </c>
      <c r="BG186" s="697">
        <v>0</v>
      </c>
      <c r="BH186" s="697">
        <v>0</v>
      </c>
      <c r="BI186" s="697">
        <v>0</v>
      </c>
      <c r="BJ186" s="697">
        <v>0</v>
      </c>
      <c r="BK186" s="1492">
        <f t="shared" si="21"/>
        <v>0</v>
      </c>
      <c r="BL186" s="1492"/>
      <c r="BM186" s="1492">
        <f t="shared" si="22"/>
        <v>0</v>
      </c>
      <c r="BN186" s="1492">
        <f t="shared" si="23"/>
        <v>0</v>
      </c>
      <c r="BO186" s="697"/>
      <c r="BP186" s="697"/>
      <c r="BQ186" s="1495" t="s">
        <v>92</v>
      </c>
      <c r="BR186" s="1495" t="s">
        <v>818</v>
      </c>
      <c r="BS186" s="1902" t="s">
        <v>655</v>
      </c>
      <c r="BT186" s="1907" t="s">
        <v>1912</v>
      </c>
    </row>
    <row r="187" spans="1:72" ht="13">
      <c r="A187" s="1545">
        <v>489</v>
      </c>
      <c r="B187" s="1546" t="s">
        <v>780</v>
      </c>
      <c r="C187" s="1546" t="s">
        <v>789</v>
      </c>
      <c r="D187" s="1547" t="s">
        <v>6870</v>
      </c>
      <c r="E187" s="690" t="s">
        <v>668</v>
      </c>
      <c r="F187" s="691"/>
      <c r="G187" s="692"/>
      <c r="H187" s="692"/>
      <c r="I187" s="692"/>
      <c r="J187" s="693"/>
      <c r="K187" s="693"/>
      <c r="L187" s="693"/>
      <c r="M187" s="694"/>
      <c r="N187" s="695"/>
      <c r="O187" s="696" t="s">
        <v>1569</v>
      </c>
      <c r="P187" s="695">
        <f>'HIV-Key Info'!$E$68*('HPM costs'!F630+'HPM costs'!F633)</f>
        <v>0</v>
      </c>
      <c r="Q187" s="695" t="s">
        <v>1569</v>
      </c>
      <c r="R187" s="695">
        <f>'HIV-Key Info'!$E$68*('HPM costs'!G630+'HPM costs'!G633)</f>
        <v>0</v>
      </c>
      <c r="S187" s="695" t="s">
        <v>1569</v>
      </c>
      <c r="T187" s="695">
        <f>'HIV-Key Info'!$E$68*('HPM costs'!H630+'HPM costs'!H633)</f>
        <v>0</v>
      </c>
      <c r="U187" s="695" t="s">
        <v>1569</v>
      </c>
      <c r="V187" s="695">
        <f>'HIV-Key Info'!$E$68*('HPM costs'!I630+'HPM costs'!I633)</f>
        <v>0</v>
      </c>
      <c r="W187" s="695"/>
      <c r="X187" s="1492">
        <f t="shared" si="18"/>
        <v>0</v>
      </c>
      <c r="Y187" s="1493"/>
      <c r="Z187" s="1494"/>
      <c r="AA187" s="699"/>
      <c r="AB187" s="695"/>
      <c r="AC187" s="695">
        <f>'HIV-Key Info'!$E$68*('HPM costs'!K630+'HPM costs'!K633)</f>
        <v>0</v>
      </c>
      <c r="AD187" s="695"/>
      <c r="AE187" s="695">
        <f>'HIV-Key Info'!$E$68*('HPM costs'!L630+'HPM costs'!L633)</f>
        <v>0</v>
      </c>
      <c r="AF187" s="695"/>
      <c r="AG187" s="695">
        <f>'HIV-Key Info'!$E$68*('HPM costs'!M630+'HPM costs'!M633)</f>
        <v>0</v>
      </c>
      <c r="AH187" s="695"/>
      <c r="AI187" s="695">
        <f>'HIV-Key Info'!$E$68*('HPM costs'!N630+'HPM costs'!N633)</f>
        <v>0</v>
      </c>
      <c r="AJ187" s="695"/>
      <c r="AK187" s="1492">
        <f t="shared" si="19"/>
        <v>0</v>
      </c>
      <c r="AL187" s="1493"/>
      <c r="AM187" s="1494"/>
      <c r="AN187" s="699"/>
      <c r="AO187" s="695"/>
      <c r="AP187" s="695">
        <f>'HIV-Key Info'!$E$68*('HPM costs'!P630+'HPM costs'!P633)</f>
        <v>0</v>
      </c>
      <c r="AQ187" s="695"/>
      <c r="AR187" s="695">
        <f>'HIV-Key Info'!$E$68*('HPM costs'!Q630+'HPM costs'!Q633)</f>
        <v>0</v>
      </c>
      <c r="AS187" s="695"/>
      <c r="AT187" s="695">
        <f>'HIV-Key Info'!$E$68*('HPM costs'!R630+'HPM costs'!R633)</f>
        <v>0</v>
      </c>
      <c r="AU187" s="695"/>
      <c r="AV187" s="695">
        <f>'HIV-Key Info'!$E$68*('HPM costs'!S630+'HPM costs'!S633)</f>
        <v>0</v>
      </c>
      <c r="AW187" s="695"/>
      <c r="AX187" s="1492">
        <f t="shared" si="20"/>
        <v>0</v>
      </c>
      <c r="AY187" s="1492"/>
      <c r="AZ187" s="698"/>
      <c r="BA187" s="699"/>
      <c r="BB187" s="697"/>
      <c r="BC187" s="697">
        <v>0</v>
      </c>
      <c r="BD187" s="697">
        <v>0</v>
      </c>
      <c r="BE187" s="697">
        <v>0</v>
      </c>
      <c r="BF187" s="697">
        <v>0</v>
      </c>
      <c r="BG187" s="697">
        <v>0</v>
      </c>
      <c r="BH187" s="697">
        <v>0</v>
      </c>
      <c r="BI187" s="697">
        <v>0</v>
      </c>
      <c r="BJ187" s="697">
        <v>0</v>
      </c>
      <c r="BK187" s="1492">
        <f t="shared" si="21"/>
        <v>0</v>
      </c>
      <c r="BL187" s="1492"/>
      <c r="BM187" s="1492">
        <f t="shared" si="22"/>
        <v>0</v>
      </c>
      <c r="BN187" s="1492">
        <f t="shared" si="23"/>
        <v>0</v>
      </c>
      <c r="BO187" s="697"/>
      <c r="BP187" s="697"/>
      <c r="BQ187" s="1495" t="s">
        <v>92</v>
      </c>
      <c r="BR187" s="1495" t="s">
        <v>818</v>
      </c>
      <c r="BS187" s="1902" t="s">
        <v>655</v>
      </c>
      <c r="BT187" s="1907" t="s">
        <v>1913</v>
      </c>
    </row>
    <row r="188" spans="1:72" ht="13">
      <c r="A188" s="1545">
        <v>533</v>
      </c>
      <c r="B188" s="1546" t="s">
        <v>780</v>
      </c>
      <c r="C188" s="1546" t="s">
        <v>789</v>
      </c>
      <c r="D188" s="1547" t="s">
        <v>6871</v>
      </c>
      <c r="E188" s="690" t="s">
        <v>791</v>
      </c>
      <c r="F188" s="691"/>
      <c r="G188" s="692"/>
      <c r="H188" s="692"/>
      <c r="I188" s="692"/>
      <c r="J188" s="693"/>
      <c r="K188" s="693"/>
      <c r="L188" s="693"/>
      <c r="M188" s="694"/>
      <c r="N188" s="695"/>
      <c r="O188" s="696" t="s">
        <v>1569</v>
      </c>
      <c r="P188" s="695">
        <f>IF(SETUP!$F$27="Upfront",'HIV-Key Info'!$E$67*SUM('EBS-H'!K296:K312),0)</f>
        <v>0</v>
      </c>
      <c r="Q188" s="695" t="s">
        <v>1569</v>
      </c>
      <c r="R188" s="695">
        <f>IF(SETUP!$F$27="Upfront",'HIV-Key Info'!$E$67*SUM('EBS-H'!O296:O312),IF(SETUP!$F$27="At delivery", IF(SETUP!$G$27=1,'HIV-Key Info'!$E$67*SUM('EBS-H'!K296:K312),0),0))</f>
        <v>0</v>
      </c>
      <c r="S188" s="695" t="s">
        <v>1569</v>
      </c>
      <c r="T188" s="695">
        <f>IF(SETUP!$F$27="Upfront",'HIV-Key Info'!$E$67*SUM('EBS-H'!S296:S312),IF(SETUP!$F$27="At delivery", IF(SETUP!$G$27=2,'HIV-Key Info'!$E$67*SUM('EBS-H'!K296:K312),IF(SETUP!$G$27=1,'HIV-Key Info'!$E$67*SUM('EBS-H'!O296:O312),0)),0))</f>
        <v>0</v>
      </c>
      <c r="U188" s="695" t="s">
        <v>1569</v>
      </c>
      <c r="V188" s="695">
        <f>IF(SETUP!$F$27="Upfront",'HIV-Key Info'!$E$67*SUM('EBS-H'!W296:W312),IF(SETUP!$F$27="At delivery", IF(SETUP!$G$27=3,'HIV-Key Info'!$E$67*SUM('EBS-H'!K296:K312),IF(SETUP!$G$27=2,'HIV-Key Info'!$E$67*SUM('EBS-H'!O296:O312),IF(SETUP!$G$27=1,'HIV-Key Info'!$E$67*SUM('EBS-H'!S296:S312),0))),0))</f>
        <v>0</v>
      </c>
      <c r="W188" s="695"/>
      <c r="X188" s="1492">
        <f t="shared" si="18"/>
        <v>0</v>
      </c>
      <c r="Y188" s="1493"/>
      <c r="Z188" s="1494"/>
      <c r="AA188" s="699"/>
      <c r="AB188" s="695"/>
      <c r="AC188" s="695">
        <f>IF(SETUP!$F$27="Upfront",'HIV-Key Info'!$E$67*SUM('EBS-H'!AC296:AC312),IF(SETUP!$F$27="At delivery", IF(SETUP!$G$27=4,'HIV-Key Info'!$E$67*SUM('EBS-H'!K296:K312),IF(SETUP!$G$27=3,'HIV-Key Info'!$E$67*SUM('EBS-H'!O296:O312),IF(SETUP!$G$27=2,'HIV-Key Info'!$E$67*SUM('EBS-H'!S296:S312),IF(SETUP!$G$27=1,'HIV-Key Info'!$E$67*SUM('EBS-H'!W296:W312),0)))),0))</f>
        <v>0</v>
      </c>
      <c r="AD188" s="695"/>
      <c r="AE188" s="695">
        <f>IF(SETUP!$F$27="Upfront",'HIV-Key Info'!$E$67*SUM('EBS-H'!AG296:AG312),IF(SETUP!$F$27="At delivery", IF(SETUP!$G$27=4,'HIV-Key Info'!$E$67*SUM('EBS-H'!O296:O312),IF(SETUP!$G$27=3,'HIV-Key Info'!$E$67*SUM('EBS-H'!S296:S312),IF(SETUP!$G$27=2,'HIV-Key Info'!$E$67*SUM('EBS-H'!W296:W312),IF(SETUP!$G$27=1,'HIV-Key Info'!$E$67*SUM('EBS-H'!AC296:AC312),0)))),0))</f>
        <v>0</v>
      </c>
      <c r="AF188" s="695"/>
      <c r="AG188" s="695">
        <f>IF(SETUP!$F$27="Upfront",'HIV-Key Info'!$E$67*SUM('EBS-H'!AK296:AK312),IF(SETUP!$F$27="At delivery", IF(SETUP!$G$27=4,'HIV-Key Info'!$E$67*SUM('EBS-H'!S296:S312),IF(SETUP!$G$27=3,'HIV-Key Info'!$E$67*SUM('EBS-H'!W296:W312),IF(SETUP!$G$27=2,'HIV-Key Info'!$E$67*SUM('EBS-H'!AC296:AC312),IF(SETUP!$G$27=1,'HIV-Key Info'!$E$67*SUM('EBS-H'!AG296:AG312),0)))),0))</f>
        <v>0</v>
      </c>
      <c r="AH188" s="695"/>
      <c r="AI188" s="695">
        <f>IF(SETUP!$F$27="Upfront",'HIV-Key Info'!$E$67*SUM('EBS-H'!AO296:AO312),IF(SETUP!$F$27="At delivery", IF(SETUP!$G$27=4,'HIV-Key Info'!$E$67*SUM('EBS-H'!W296:W312),IF(SETUP!$G$27=3,'HIV-Key Info'!$E$67*SUM('EBS-H'!AC296:AC312),IF(SETUP!$G$27=2,'HIV-Key Info'!$E$67*SUM('EBS-H'!AG296:AG312),IF(SETUP!$G$27=1,'HIV-Key Info'!$E$67*SUM('EBS-H'!AK296:AK312),0)))),0))</f>
        <v>0</v>
      </c>
      <c r="AJ188" s="695"/>
      <c r="AK188" s="1492">
        <f t="shared" si="19"/>
        <v>0</v>
      </c>
      <c r="AL188" s="1493"/>
      <c r="AM188" s="1494"/>
      <c r="AN188" s="699"/>
      <c r="AO188" s="695"/>
      <c r="AP188" s="695">
        <f>IF(SETUP!$F$27="Upfront",'HIV-Key Info'!$E$67*SUM('EBS-H'!AU296:AU312),IF(SETUP!$F$27="At delivery", IF(SETUP!$G$27=4,'HIV-Key Info'!$E$67*SUM('EBS-H'!AC296:AC312),IF(SETUP!$G$27=3,'HIV-Key Info'!$E$67*SUM('EBS-H'!AG296:AG312),IF(SETUP!$G$27=2,'HIV-Key Info'!$E$67*SUM('EBS-H'!AK296:AK312),IF(SETUP!$G$27=1,'HIV-Key Info'!$E$67*SUM('EBS-H'!AO296:AO312),0)))),0))</f>
        <v>0</v>
      </c>
      <c r="AQ188" s="695"/>
      <c r="AR188" s="695">
        <f>IF(SETUP!$F$27="Upfront",'HIV-Key Info'!$E$67*SUM('EBS-H'!AY296:AY312),IF(SETUP!$F$27="At delivery", IF(SETUP!$G$27=4,'HIV-Key Info'!$E$67*SUM('EBS-H'!AG296:AG312),IF(SETUP!$G$27=3,'HIV-Key Info'!$E$67*SUM('EBS-H'!AK296:AK312),IF(SETUP!$G$27=2,'HIV-Key Info'!$E$67*SUM('EBS-H'!AO296:AO312),IF(SETUP!$G$27=1,'HIV-Key Info'!$E$67*SUM('EBS-H'!AU296:AU312),0)))),0))</f>
        <v>0</v>
      </c>
      <c r="AS188" s="695"/>
      <c r="AT188" s="695">
        <f>IF(SETUP!$F$27="Upfront",'HIV-Key Info'!$E$67*SUM('EBS-H'!BC296:BC312),IF(SETUP!$F$27="At delivery", IF(SETUP!$G$27=4,'HIV-Key Info'!$E$67*SUM('EBS-H'!AK296:AK312),IF(SETUP!$G$27=3,'HIV-Key Info'!$E$67*SUM('EBS-H'!AO296:AO312),IF(SETUP!$G$27=2,'HIV-Key Info'!$E$67*SUM('EBS-H'!AU296:AU312),IF(SETUP!$G$27=1,'HIV-Key Info'!$E$67*SUM('EBS-H'!AY296:AY312),0)))),0))</f>
        <v>0</v>
      </c>
      <c r="AU188" s="695"/>
      <c r="AV188" s="695">
        <f>IF(SETUP!$F$27="Upfront",'HIV-Key Info'!$E$67*SUM('EBS-H'!BG296:BG312),IF(SETUP!$F$27="At delivery", IF(SETUP!$G$27=4,'HIV-Key Info'!$E$67*SUM(SUM('EBS-H'!AO296:AO312),SUM('EBS-H'!AU296:AU312),SUM('EBS-H'!AY296:AY312),SUM('EBS-H'!BC296:BC312),SUM('EBS-H'!BG296:BG312)),IF(SETUP!$G$27=3,'HIV-Key Info'!$E$67*SUM(SUM('EBS-H'!AU296:AU312),SUM('EBS-H'!AY296:AY312),SUM('EBS-H'!BC296:BC312),SUM('EBS-H'!BG296:BG312)),IF(SETUP!$G$27=2,'HIV-Key Info'!$E$67*SUM(SUM('EBS-H'!AY296:AY312),SUM('EBS-H'!BC296:BC312),SUM('EBS-H'!BG296:BG312)),IF(SETUP!$G$27=1,'HIV-Key Info'!$E$67*SUM(SUM('EBS-H'!BC296:BC312),SUM('EBS-H'!BG296:BG312)),0)))),0))</f>
        <v>0</v>
      </c>
      <c r="AW188" s="695"/>
      <c r="AX188" s="1492">
        <f t="shared" si="20"/>
        <v>0</v>
      </c>
      <c r="AY188" s="1492"/>
      <c r="AZ188" s="698"/>
      <c r="BA188" s="699"/>
      <c r="BB188" s="697"/>
      <c r="BC188" s="697">
        <v>0</v>
      </c>
      <c r="BD188" s="697">
        <v>0</v>
      </c>
      <c r="BE188" s="697">
        <v>0</v>
      </c>
      <c r="BF188" s="697">
        <v>0</v>
      </c>
      <c r="BG188" s="697">
        <v>0</v>
      </c>
      <c r="BH188" s="697">
        <v>0</v>
      </c>
      <c r="BI188" s="697">
        <v>0</v>
      </c>
      <c r="BJ188" s="697">
        <v>0</v>
      </c>
      <c r="BK188" s="1492">
        <f t="shared" si="21"/>
        <v>0</v>
      </c>
      <c r="BL188" s="1492"/>
      <c r="BM188" s="1492">
        <f t="shared" si="22"/>
        <v>0</v>
      </c>
      <c r="BN188" s="1492">
        <f t="shared" si="23"/>
        <v>0</v>
      </c>
      <c r="BO188" s="697"/>
      <c r="BP188" s="697"/>
      <c r="BQ188" s="1495" t="s">
        <v>6934</v>
      </c>
      <c r="BR188" s="1495" t="s">
        <v>818</v>
      </c>
      <c r="BS188" s="1902" t="s">
        <v>790</v>
      </c>
      <c r="BT188" s="1907" t="s">
        <v>1914</v>
      </c>
    </row>
    <row r="189" spans="1:72" ht="13">
      <c r="A189" s="1545">
        <v>534</v>
      </c>
      <c r="B189" s="1546" t="s">
        <v>780</v>
      </c>
      <c r="C189" s="1546" t="s">
        <v>789</v>
      </c>
      <c r="D189" s="1547" t="s">
        <v>6871</v>
      </c>
      <c r="E189" s="690" t="s">
        <v>793</v>
      </c>
      <c r="F189" s="691"/>
      <c r="G189" s="692"/>
      <c r="H189" s="692"/>
      <c r="I189" s="692"/>
      <c r="J189" s="693"/>
      <c r="K189" s="693"/>
      <c r="L189" s="693"/>
      <c r="M189" s="694"/>
      <c r="N189" s="695"/>
      <c r="O189" s="696" t="s">
        <v>1569</v>
      </c>
      <c r="P189" s="695">
        <f>IF(SETUP!$F$27="Upfront",'HIV-Key Info'!$F$67*SUM('EBS-H'!K313:K317),0)</f>
        <v>0</v>
      </c>
      <c r="Q189" s="695" t="s">
        <v>1569</v>
      </c>
      <c r="R189" s="695">
        <f>IF(SETUP!$F$27="Upfront",'HIV-Key Info'!$F$67*SUM('EBS-H'!O313:O317),IF(SETUP!$F$27="At delivery", IF(SETUP!$G$27=1,'HIV-Key Info'!$F$67*SUM('EBS-H'!K313:K317),0),0))</f>
        <v>0</v>
      </c>
      <c r="S189" s="695" t="s">
        <v>1569</v>
      </c>
      <c r="T189" s="695">
        <f>IF(SETUP!$F$27="Upfront",'HIV-Key Info'!$F$67*SUM('EBS-H'!S313:S317),IF(SETUP!$F$27="At delivery", IF(SETUP!$G$27=2,'HIV-Key Info'!$F$67*SUM('EBS-H'!K313:K317),IF(SETUP!$G$27=1,'HIV-Key Info'!$F$67*SUM('EBS-H'!O313:O317),0)),0))</f>
        <v>0</v>
      </c>
      <c r="U189" s="695" t="s">
        <v>1569</v>
      </c>
      <c r="V189" s="695">
        <f>IF(SETUP!$F$27="Upfront",'HIV-Key Info'!$F$67*SUM('EBS-H'!W313:W317),IF(SETUP!$F$27="At delivery", IF(SETUP!$G$27=3,'HIV-Key Info'!$F$67*SUM('EBS-H'!K313:K317),IF(SETUP!$G$27=2,'HIV-Key Info'!$F$67*SUM('EBS-H'!O313:O317),IF(SETUP!$G$27=1,'HIV-Key Info'!$F$67*SUM('EBS-H'!S313:S317),0))),0))</f>
        <v>0</v>
      </c>
      <c r="W189" s="695"/>
      <c r="X189" s="1492">
        <f t="shared" si="18"/>
        <v>0</v>
      </c>
      <c r="Y189" s="1493"/>
      <c r="Z189" s="1494"/>
      <c r="AA189" s="699"/>
      <c r="AB189" s="695"/>
      <c r="AC189" s="695">
        <f>IF(SETUP!$F$27="Upfront",'HIV-Key Info'!$F$67*SUM('EBS-H'!AC313:AC317),IF(SETUP!$F$27="At delivery", IF(SETUP!$G$27=4,'HIV-Key Info'!$F$67*SUM('EBS-H'!K313:K317),IF(SETUP!$G$27=3,'HIV-Key Info'!$F$67*SUM('EBS-H'!O313:O317),IF(SETUP!$G$27=2,'HIV-Key Info'!$F$67*SUM('EBS-H'!S313:S317),IF(SETUP!$G$27=1,'HIV-Key Info'!$F$67*SUM('EBS-H'!W313:W317),0)))),0))</f>
        <v>0</v>
      </c>
      <c r="AD189" s="695"/>
      <c r="AE189" s="695">
        <f>IF(SETUP!$F$27="Upfront",'HIV-Key Info'!$F$67*SUM('EBS-H'!AG313:AG317),IF(SETUP!$F$27="At delivery", IF(SETUP!$G$27=4,'HIV-Key Info'!$F$67*SUM('EBS-H'!O313:O317),IF(SETUP!$G$27=3,'HIV-Key Info'!$F$67*SUM('EBS-H'!S313:S317),IF(SETUP!$G$27=2,'HIV-Key Info'!$F$67*SUM('EBS-H'!W313:W317),IF(SETUP!$G$27=1,'HIV-Key Info'!$F$67*SUM('EBS-H'!AC313:AC317),0)))),0))</f>
        <v>0</v>
      </c>
      <c r="AF189" s="695"/>
      <c r="AG189" s="695">
        <f>IF(SETUP!$F$27="Upfront",'HIV-Key Info'!$F$67*SUM('EBS-H'!AK313:AK317),IF(SETUP!$F$27="At delivery", IF(SETUP!$G$27=4,'HIV-Key Info'!$F$67*SUM('EBS-H'!S313:S317),IF(SETUP!$G$27=3,'HIV-Key Info'!$F$67*SUM('EBS-H'!W313:W317),IF(SETUP!$G$27=2,'HIV-Key Info'!$F$67*SUM('EBS-H'!AC313:AC317),IF(SETUP!$G$27=1,'HIV-Key Info'!$F$67*SUM('EBS-H'!AG313:AG317),0)))),0))</f>
        <v>0</v>
      </c>
      <c r="AH189" s="695"/>
      <c r="AI189" s="695">
        <f>IF(SETUP!$F$27="Upfront",'HIV-Key Info'!$F$67*SUM('EBS-H'!AO313:AO317),IF(SETUP!$F$27="At delivery", IF(SETUP!$G$27=4,'HIV-Key Info'!$F$67*SUM('EBS-H'!W313:W317),IF(SETUP!$G$27=3,'HIV-Key Info'!$F$67*SUM('EBS-H'!AC313:AC317),IF(SETUP!$G$27=2,'HIV-Key Info'!$F$67*SUM('EBS-H'!AG313:AG317),IF(SETUP!$G$27=1,'HIV-Key Info'!$F$67*SUM('EBS-H'!AK313:AK317),0)))),0))</f>
        <v>0</v>
      </c>
      <c r="AJ189" s="695"/>
      <c r="AK189" s="1492">
        <f t="shared" si="19"/>
        <v>0</v>
      </c>
      <c r="AL189" s="1493"/>
      <c r="AM189" s="1494"/>
      <c r="AN189" s="699"/>
      <c r="AO189" s="695"/>
      <c r="AP189" s="695">
        <f>IF(SETUP!$F$27="Upfront",'HIV-Key Info'!$F$67*SUM('EBS-H'!AU313:AU317),IF(SETUP!$F$27="At delivery", IF(SETUP!$G$27=4,'HIV-Key Info'!$F$67*SUM('EBS-H'!AC313:AC317),IF(SETUP!$G$27=3,'HIV-Key Info'!$F$67*SUM('EBS-H'!AG313:AG317),IF(SETUP!$G$27=2,'HIV-Key Info'!$F$67*SUM('EBS-H'!AK313:AK317),IF(SETUP!$G$27=1,'HIV-Key Info'!$F$67*SUM('EBS-H'!AO313:AO317),0)))),0))</f>
        <v>0</v>
      </c>
      <c r="AQ189" s="695"/>
      <c r="AR189" s="695">
        <f>IF(SETUP!$F$27="Upfront",'HIV-Key Info'!$F$67*SUM('EBS-H'!AY313:AY317),IF(SETUP!$F$27="At delivery", IF(SETUP!$G$27=4,'HIV-Key Info'!$F$67*SUM('EBS-H'!AG313:AG317),IF(SETUP!$G$27=3,'HIV-Key Info'!$F$67*SUM('EBS-H'!AK313:AK317),IF(SETUP!$G$27=2,'HIV-Key Info'!$F$67*SUM('EBS-H'!AO313:AO317),IF(SETUP!$G$27=1,'HIV-Key Info'!$F$67*SUM('EBS-H'!AU313:AU317),0)))),0))</f>
        <v>0</v>
      </c>
      <c r="AS189" s="695"/>
      <c r="AT189" s="695">
        <f>IF(SETUP!$F$27="Upfront",'HIV-Key Info'!$F$67*SUM('EBS-H'!BC313:BC317),IF(SETUP!$F$27="At delivery", IF(SETUP!$G$27=4,'HIV-Key Info'!$F$67*SUM('EBS-H'!AK313:AK317),IF(SETUP!$G$27=3,'HIV-Key Info'!$F$67*SUM('EBS-H'!AO313:AO317),IF(SETUP!$G$27=2,'HIV-Key Info'!$F$67*SUM('EBS-H'!AU313:AU317),IF(SETUP!$G$27=1,'HIV-Key Info'!$F$67*SUM('EBS-H'!AY313:AY317),0)))),0))</f>
        <v>0</v>
      </c>
      <c r="AU189" s="695"/>
      <c r="AV189" s="695">
        <f>IF(SETUP!$F$27="Upfront",'HIV-Key Info'!$F$67*SUM('EBS-H'!BG313:BG317),IF(SETUP!$F$27="At delivery", IF(SETUP!$G$27=4,'HIV-Key Info'!$F$67*SUM(SUM('EBS-H'!AO313:AO317),SUM('EBS-H'!AU313:AU317),SUM('EBS-H'!AY313:AY317),SUM('EBS-H'!BC313:BC317),SUM('EBS-H'!BG313:BG317)),IF(SETUP!$G$27=3,'HIV-Key Info'!$F$67*SUM(SUM('EBS-H'!AU313:AU317),SUM('EBS-H'!AY313:AY317),SUM('EBS-H'!BC313:BC317),SUM('EBS-H'!BG313:BG317)),IF(SETUP!$G$27=2,'HIV-Key Info'!$F$67*SUM(SUM('EBS-H'!AY313:AY317),SUM('EBS-H'!BC313:BC317),SUM('EBS-H'!BG313:BG317)),IF(SETUP!$G$27=1,'HIV-Key Info'!$F$67*SUM(SUM('EBS-H'!BC313:BC317),SUM('EBS-H'!BG313:BG317)),0)))),0))</f>
        <v>0</v>
      </c>
      <c r="AW189" s="695"/>
      <c r="AX189" s="1492">
        <f t="shared" si="20"/>
        <v>0</v>
      </c>
      <c r="AY189" s="1492"/>
      <c r="AZ189" s="698"/>
      <c r="BA189" s="699"/>
      <c r="BB189" s="697"/>
      <c r="BC189" s="697">
        <v>0</v>
      </c>
      <c r="BD189" s="697">
        <v>0</v>
      </c>
      <c r="BE189" s="697">
        <v>0</v>
      </c>
      <c r="BF189" s="697">
        <v>0</v>
      </c>
      <c r="BG189" s="697">
        <v>0</v>
      </c>
      <c r="BH189" s="697">
        <v>0</v>
      </c>
      <c r="BI189" s="697">
        <v>0</v>
      </c>
      <c r="BJ189" s="697">
        <v>0</v>
      </c>
      <c r="BK189" s="1492">
        <f t="shared" si="21"/>
        <v>0</v>
      </c>
      <c r="BL189" s="1492"/>
      <c r="BM189" s="1492">
        <f t="shared" si="22"/>
        <v>0</v>
      </c>
      <c r="BN189" s="1492">
        <f t="shared" si="23"/>
        <v>0</v>
      </c>
      <c r="BO189" s="697"/>
      <c r="BP189" s="697"/>
      <c r="BQ189" s="1495" t="s">
        <v>6934</v>
      </c>
      <c r="BR189" s="1495" t="s">
        <v>818</v>
      </c>
      <c r="BS189" s="1902" t="s">
        <v>790</v>
      </c>
      <c r="BT189" s="1907" t="s">
        <v>1915</v>
      </c>
    </row>
    <row r="190" spans="1:72" ht="13">
      <c r="A190" s="1545">
        <v>535</v>
      </c>
      <c r="B190" s="1546" t="s">
        <v>780</v>
      </c>
      <c r="C190" s="1546" t="s">
        <v>789</v>
      </c>
      <c r="D190" s="1547" t="s">
        <v>6871</v>
      </c>
      <c r="E190" s="690" t="s">
        <v>725</v>
      </c>
      <c r="F190" s="691"/>
      <c r="G190" s="692"/>
      <c r="H190" s="692"/>
      <c r="I190" s="692"/>
      <c r="J190" s="693"/>
      <c r="K190" s="693"/>
      <c r="L190" s="693"/>
      <c r="M190" s="694"/>
      <c r="N190" s="695"/>
      <c r="O190" s="696" t="s">
        <v>1569</v>
      </c>
      <c r="P190" s="695">
        <f>IF(SETUP!$F$28="Upfront",'HIV-Key Info'!$G$67*SUM('EBS-H'!K318:K322),0)</f>
        <v>0</v>
      </c>
      <c r="Q190" s="695" t="s">
        <v>1569</v>
      </c>
      <c r="R190" s="695">
        <f>IF(SETUP!$F$28="Upfront",'HIV-Key Info'!$G$67*SUM('EBS-H'!O318:O322),IF(SETUP!$F$28="At delivery", IF(SETUP!$G$28=1,'HIV-Key Info'!$G$67*SUM('EBS-H'!K318:K322),0),0))</f>
        <v>0</v>
      </c>
      <c r="S190" s="695" t="s">
        <v>1569</v>
      </c>
      <c r="T190" s="695">
        <f>IF(SETUP!$F$28="Upfront",'HIV-Key Info'!$G$67*SUM('EBS-H'!S318:S322),IF(SETUP!$F$28="At delivery", IF(SETUP!$G$28=2,'HIV-Key Info'!$G$67*SUM('EBS-H'!K318:K322),IF(SETUP!$G$28=1,'HIV-Key Info'!$G$67*SUM('EBS-H'!O318:O322),0)),0))</f>
        <v>0</v>
      </c>
      <c r="U190" s="695" t="s">
        <v>1569</v>
      </c>
      <c r="V190" s="695">
        <f>IF(SETUP!$F$28="Upfront",'HIV-Key Info'!$G$67*SUM('EBS-H'!W318:W322),IF(SETUP!$F$28="At delivery", IF(SETUP!$G$28=3,'HIV-Key Info'!$G$67*SUM('EBS-H'!K318:K322),IF(SETUP!$G$28=2,'HIV-Key Info'!$G$67*SUM('EBS-H'!O318:O322),IF(SETUP!$G$28=1,'HIV-Key Info'!$G$67*SUM('EBS-H'!S318:S322),0))),0))</f>
        <v>0</v>
      </c>
      <c r="W190" s="695"/>
      <c r="X190" s="1492">
        <f t="shared" si="18"/>
        <v>0</v>
      </c>
      <c r="Y190" s="1493"/>
      <c r="Z190" s="1494"/>
      <c r="AA190" s="699"/>
      <c r="AB190" s="695"/>
      <c r="AC190" s="695">
        <f>IF(SETUP!$F$28="Upfront",'HIV-Key Info'!$G$67*SUM('EBS-H'!AC318:AC322),IF(SETUP!$F$28="At delivery", IF(SETUP!$G$28=4,'HIV-Key Info'!$G$67*SUM('EBS-H'!K318:K322),IF(SETUP!$G$28=3,'HIV-Key Info'!$G$67*SUM('EBS-H'!O318:O322),IF(SETUP!$G$28=2,'HIV-Key Info'!$G$67*SUM('EBS-H'!S318:S322),IF(SETUP!$G$28=1,'HIV-Key Info'!$G$67*SUM('EBS-H'!W318:W322),0)))),0))</f>
        <v>0</v>
      </c>
      <c r="AD190" s="695"/>
      <c r="AE190" s="695">
        <f>IF(SETUP!$F$28="Upfront",'HIV-Key Info'!$G$67*SUM('EBS-H'!AG318:AG322),IF(SETUP!$F$28="At delivery", IF(SETUP!$G$28=4,'HIV-Key Info'!$G$67*SUM('EBS-H'!O318:O322),IF(SETUP!$G$28=3,'HIV-Key Info'!$G$67*SUM('EBS-H'!S318:S322),IF(SETUP!$G$28=2,'HIV-Key Info'!$G$67*SUM('EBS-H'!W318:W322),IF(SETUP!$G$28=1,'HIV-Key Info'!$G$67*SUM('EBS-H'!AC318:AC322),0)))),0))</f>
        <v>0</v>
      </c>
      <c r="AF190" s="695"/>
      <c r="AG190" s="695">
        <f>IF(SETUP!$F$28="Upfront",'HIV-Key Info'!$G$67*SUM('EBS-H'!AK318:AK322),IF(SETUP!$F$28="At delivery", IF(SETUP!$G$28=4,'HIV-Key Info'!$G$67*SUM('EBS-H'!S318:S322),IF(SETUP!$G$28=3,'HIV-Key Info'!$G$67*SUM('EBS-H'!W318:W322),IF(SETUP!$G$28=2,'HIV-Key Info'!$G$67*SUM('EBS-H'!AC318:AC322),IF(SETUP!$G$28=1,'HIV-Key Info'!$G$67*SUM('EBS-H'!AG318:AG322),0)))),0))</f>
        <v>0</v>
      </c>
      <c r="AH190" s="695"/>
      <c r="AI190" s="695">
        <f>IF(SETUP!$F$28="Upfront",'HIV-Key Info'!$G$67*SUM('EBS-H'!AO318:AO322),IF(SETUP!$F$28="At delivery", IF(SETUP!$G$28=4,'HIV-Key Info'!$G$67*SUM('EBS-H'!W318:W322),IF(SETUP!$G$28=3,'HIV-Key Info'!$G$67*SUM('EBS-H'!AC318:AC322),IF(SETUP!$G$28=2,'HIV-Key Info'!$G$67*SUM('EBS-H'!AG318:AG322),IF(SETUP!$G$28=1,'HIV-Key Info'!$G$67*SUM('EBS-H'!AK318:AK322),0)))),0))</f>
        <v>0</v>
      </c>
      <c r="AJ190" s="695"/>
      <c r="AK190" s="1492">
        <f t="shared" si="19"/>
        <v>0</v>
      </c>
      <c r="AL190" s="1493"/>
      <c r="AM190" s="1494"/>
      <c r="AN190" s="699"/>
      <c r="AO190" s="695"/>
      <c r="AP190" s="695">
        <f>IF(SETUP!$F$28="Upfront",'HIV-Key Info'!$G$67*SUM('EBS-H'!AU318:AU322),IF(SETUP!$F$28="At delivery", IF(SETUP!$G$28=4,'HIV-Key Info'!$G$67*SUM('EBS-H'!AC318:AC322),IF(SETUP!$G$28=3,'HIV-Key Info'!$G$67*SUM('EBS-H'!AG318:AG322),IF(SETUP!$G$28=2,'HIV-Key Info'!$G$67*SUM('EBS-H'!AK318:AK322),IF(SETUP!$G$28=1,'HIV-Key Info'!$G$67*SUM('EBS-H'!AO318:AO322),0)))),0))</f>
        <v>0</v>
      </c>
      <c r="AQ190" s="695"/>
      <c r="AR190" s="695">
        <f>IF(SETUP!$F$28="Upfront",'HIV-Key Info'!$G$67*SUM('EBS-H'!AY318:AY322),IF(SETUP!$F$28="At delivery", IF(SETUP!$G$28=4,'HIV-Key Info'!$G$67*SUM('EBS-H'!AG318:AG322),IF(SETUP!$G$28=3,'HIV-Key Info'!$G$67*SUM('EBS-H'!AK318:AK322),IF(SETUP!$G$28=2,'HIV-Key Info'!$G$67*SUM('EBS-H'!AO318:AO322),IF(SETUP!$G$28=1,'HIV-Key Info'!$G$67*SUM('EBS-H'!AU318:AU322),0)))),0))</f>
        <v>0</v>
      </c>
      <c r="AS190" s="695"/>
      <c r="AT190" s="695">
        <f>IF(SETUP!$F$28="Upfront",'HIV-Key Info'!$G$67*SUM('EBS-H'!BC318:BC322),IF(SETUP!$F$28="At delivery", IF(SETUP!$G$28=4,'HIV-Key Info'!$G$67*SUM('EBS-H'!AK318:AK322),IF(SETUP!$G$28=3,'HIV-Key Info'!$G$67*SUM('EBS-H'!AO318:AO322),IF(SETUP!$G$28=2,'HIV-Key Info'!$G$67*SUM('EBS-H'!AU318:AU322),IF(SETUP!$G$28=1,'HIV-Key Info'!$G$67*SUM('EBS-H'!AY318:AY322),0)))),0))</f>
        <v>0</v>
      </c>
      <c r="AU190" s="695"/>
      <c r="AV190" s="695">
        <f>IF(SETUP!$F$28="Upfront",'HIV-Key Info'!$G$67*SUM('EBS-H'!BG318:BG322),IF(SETUP!$F$28="At delivery", IF(SETUP!$G$28=4,'HIV-Key Info'!$G$67*SUM(SUM('EBS-H'!AO318:AO322),SUM('EBS-H'!AU318:AU322),SUM('EBS-H'!AY318:AY322),SUM('EBS-H'!BC318:BC322),SUM('EBS-H'!BG318:BG322)),IF(SETUP!$G$28=3,'HIV-Key Info'!$G$67*SUM(SUM('EBS-H'!AU318:AU322),SUM('EBS-H'!AY318:AY322),SUM('EBS-H'!BC318:BC322),SUM('EBS-H'!BG318:BG322)),IF(SETUP!$G$28=2,'HIV-Key Info'!$G$67*SUM(SUM('EBS-H'!AY318:AY322),SUM('EBS-H'!BC318:BC322),SUM('EBS-H'!BG318:BG322)),IF(SETUP!$G$28=1,'HIV-Key Info'!$G$67*SUM(SUM('EBS-H'!BC318:BC322),SUM('EBS-H'!BG318:BG322)),0)))),0))</f>
        <v>0</v>
      </c>
      <c r="AW190" s="695"/>
      <c r="AX190" s="1492">
        <f t="shared" si="20"/>
        <v>0</v>
      </c>
      <c r="AY190" s="1492"/>
      <c r="AZ190" s="698"/>
      <c r="BA190" s="699"/>
      <c r="BB190" s="697"/>
      <c r="BC190" s="697">
        <v>0</v>
      </c>
      <c r="BD190" s="697">
        <v>0</v>
      </c>
      <c r="BE190" s="697">
        <v>0</v>
      </c>
      <c r="BF190" s="697">
        <v>0</v>
      </c>
      <c r="BG190" s="697">
        <v>0</v>
      </c>
      <c r="BH190" s="697">
        <v>0</v>
      </c>
      <c r="BI190" s="697">
        <v>0</v>
      </c>
      <c r="BJ190" s="697">
        <v>0</v>
      </c>
      <c r="BK190" s="1492">
        <f t="shared" si="21"/>
        <v>0</v>
      </c>
      <c r="BL190" s="1492"/>
      <c r="BM190" s="1492">
        <f t="shared" si="22"/>
        <v>0</v>
      </c>
      <c r="BN190" s="1492">
        <f t="shared" si="23"/>
        <v>0</v>
      </c>
      <c r="BO190" s="697"/>
      <c r="BP190" s="697"/>
      <c r="BQ190" s="1495" t="s">
        <v>6934</v>
      </c>
      <c r="BR190" s="1495" t="s">
        <v>818</v>
      </c>
      <c r="BS190" s="1902" t="s">
        <v>790</v>
      </c>
      <c r="BT190" s="1907" t="s">
        <v>1916</v>
      </c>
    </row>
    <row r="191" spans="1:72" ht="13">
      <c r="A191" s="1545">
        <v>536</v>
      </c>
      <c r="B191" s="1546" t="s">
        <v>780</v>
      </c>
      <c r="C191" s="1546" t="s">
        <v>789</v>
      </c>
      <c r="D191" s="1547" t="s">
        <v>6872</v>
      </c>
      <c r="E191" s="690" t="s">
        <v>656</v>
      </c>
      <c r="F191" s="691"/>
      <c r="G191" s="692"/>
      <c r="H191" s="692"/>
      <c r="I191" s="692"/>
      <c r="J191" s="693"/>
      <c r="K191" s="693"/>
      <c r="L191" s="693"/>
      <c r="M191" s="694"/>
      <c r="N191" s="695"/>
      <c r="O191" s="696" t="s">
        <v>1569</v>
      </c>
      <c r="P191" s="695">
        <f>'HIV-Key Info'!$E$67*('HPM costs'!F27+'HPM costs'!F30)</f>
        <v>0</v>
      </c>
      <c r="Q191" s="695" t="s">
        <v>1569</v>
      </c>
      <c r="R191" s="695">
        <f>'HIV-Key Info'!$E$67*('HPM costs'!G27+'HPM costs'!G30)</f>
        <v>0</v>
      </c>
      <c r="S191" s="695" t="s">
        <v>1569</v>
      </c>
      <c r="T191" s="695">
        <f>'HIV-Key Info'!$E$67*('HPM costs'!H27+'HPM costs'!H30)</f>
        <v>0</v>
      </c>
      <c r="U191" s="695" t="s">
        <v>1569</v>
      </c>
      <c r="V191" s="695">
        <f>'HIV-Key Info'!$E$67*('HPM costs'!I27+'HPM costs'!I30)</f>
        <v>0</v>
      </c>
      <c r="W191" s="695"/>
      <c r="X191" s="1492">
        <f t="shared" si="18"/>
        <v>0</v>
      </c>
      <c r="Y191" s="1493"/>
      <c r="Z191" s="1494"/>
      <c r="AA191" s="699"/>
      <c r="AB191" s="695"/>
      <c r="AC191" s="695">
        <f>'HIV-Key Info'!$E$67*('HPM costs'!K27+'HPM costs'!K30)</f>
        <v>0</v>
      </c>
      <c r="AD191" s="695"/>
      <c r="AE191" s="695">
        <f>'HIV-Key Info'!$E$67*('HPM costs'!L27+'HPM costs'!L30)</f>
        <v>0</v>
      </c>
      <c r="AF191" s="695"/>
      <c r="AG191" s="695">
        <f>'HIV-Key Info'!$E$67*('HPM costs'!M27+'HPM costs'!M30)</f>
        <v>0</v>
      </c>
      <c r="AH191" s="695"/>
      <c r="AI191" s="695">
        <f>'HIV-Key Info'!$E$67*('HPM costs'!N27+'HPM costs'!N30)</f>
        <v>0</v>
      </c>
      <c r="AJ191" s="695"/>
      <c r="AK191" s="1492">
        <f t="shared" si="19"/>
        <v>0</v>
      </c>
      <c r="AL191" s="1493"/>
      <c r="AM191" s="1494"/>
      <c r="AN191" s="699"/>
      <c r="AO191" s="695"/>
      <c r="AP191" s="695">
        <f>'HIV-Key Info'!$E$67*('HPM costs'!P27+'HPM costs'!P30)</f>
        <v>0</v>
      </c>
      <c r="AQ191" s="695"/>
      <c r="AR191" s="695">
        <f>'HIV-Key Info'!$E$67*('HPM costs'!Q27+'HPM costs'!Q30)</f>
        <v>0</v>
      </c>
      <c r="AS191" s="695"/>
      <c r="AT191" s="695">
        <f>'HIV-Key Info'!$E$67*('HPM costs'!R27+'HPM costs'!R30)</f>
        <v>0</v>
      </c>
      <c r="AU191" s="695"/>
      <c r="AV191" s="695">
        <f>'HIV-Key Info'!$E$67*('HPM costs'!S27+'HPM costs'!S30)</f>
        <v>0</v>
      </c>
      <c r="AW191" s="695"/>
      <c r="AX191" s="1492">
        <f t="shared" si="20"/>
        <v>0</v>
      </c>
      <c r="AY191" s="1492"/>
      <c r="AZ191" s="698"/>
      <c r="BA191" s="699"/>
      <c r="BB191" s="697"/>
      <c r="BC191" s="697">
        <v>0</v>
      </c>
      <c r="BD191" s="697">
        <v>0</v>
      </c>
      <c r="BE191" s="697">
        <v>0</v>
      </c>
      <c r="BF191" s="697">
        <v>0</v>
      </c>
      <c r="BG191" s="697">
        <v>0</v>
      </c>
      <c r="BH191" s="697">
        <v>0</v>
      </c>
      <c r="BI191" s="697">
        <v>0</v>
      </c>
      <c r="BJ191" s="697">
        <v>0</v>
      </c>
      <c r="BK191" s="1492">
        <f t="shared" si="21"/>
        <v>0</v>
      </c>
      <c r="BL191" s="1492"/>
      <c r="BM191" s="1492">
        <f t="shared" si="22"/>
        <v>0</v>
      </c>
      <c r="BN191" s="1492">
        <f t="shared" si="23"/>
        <v>0</v>
      </c>
      <c r="BO191" s="697"/>
      <c r="BP191" s="697"/>
      <c r="BQ191" s="1495" t="s">
        <v>6934</v>
      </c>
      <c r="BR191" s="1495" t="s">
        <v>818</v>
      </c>
      <c r="BS191" s="1902" t="s">
        <v>655</v>
      </c>
      <c r="BT191" s="1907" t="s">
        <v>1917</v>
      </c>
    </row>
    <row r="192" spans="1:72" ht="13">
      <c r="A192" s="1545">
        <v>537</v>
      </c>
      <c r="B192" s="1546" t="s">
        <v>780</v>
      </c>
      <c r="C192" s="1546" t="s">
        <v>789</v>
      </c>
      <c r="D192" s="1547" t="s">
        <v>6872</v>
      </c>
      <c r="E192" s="690" t="s">
        <v>658</v>
      </c>
      <c r="F192" s="691"/>
      <c r="G192" s="692"/>
      <c r="H192" s="692"/>
      <c r="I192" s="692"/>
      <c r="J192" s="693"/>
      <c r="K192" s="693"/>
      <c r="L192" s="693"/>
      <c r="M192" s="694"/>
      <c r="N192" s="695"/>
      <c r="O192" s="696" t="s">
        <v>1569</v>
      </c>
      <c r="P192" s="695">
        <f>'HIV-Key Info'!$E$67*('HPM costs'!F113+'HPM costs'!F116)</f>
        <v>0</v>
      </c>
      <c r="Q192" s="695" t="s">
        <v>1569</v>
      </c>
      <c r="R192" s="695">
        <f>'HIV-Key Info'!$E$67*('HPM costs'!G113+'HPM costs'!G116)</f>
        <v>0</v>
      </c>
      <c r="S192" s="695" t="s">
        <v>1569</v>
      </c>
      <c r="T192" s="695">
        <f>'HIV-Key Info'!$E$67*('HPM costs'!H113+'HPM costs'!H116)</f>
        <v>0</v>
      </c>
      <c r="U192" s="695" t="s">
        <v>1569</v>
      </c>
      <c r="V192" s="695">
        <f>'HIV-Key Info'!$E$67*('HPM costs'!I113+'HPM costs'!I116)</f>
        <v>0</v>
      </c>
      <c r="W192" s="695"/>
      <c r="X192" s="1492">
        <f t="shared" si="18"/>
        <v>0</v>
      </c>
      <c r="Y192" s="1493"/>
      <c r="Z192" s="1494"/>
      <c r="AA192" s="699"/>
      <c r="AB192" s="695"/>
      <c r="AC192" s="695">
        <f>'HIV-Key Info'!$E$67*('HPM costs'!K113+'HPM costs'!K116)</f>
        <v>0</v>
      </c>
      <c r="AD192" s="695"/>
      <c r="AE192" s="695">
        <f>'HIV-Key Info'!$E$67*('HPM costs'!L113+'HPM costs'!L116)</f>
        <v>0</v>
      </c>
      <c r="AF192" s="695"/>
      <c r="AG192" s="695">
        <f>'HIV-Key Info'!$E$67*('HPM costs'!M113+'HPM costs'!M116)</f>
        <v>0</v>
      </c>
      <c r="AH192" s="695"/>
      <c r="AI192" s="695">
        <f>'HIV-Key Info'!$E$67*('HPM costs'!N113+'HPM costs'!N116)</f>
        <v>0</v>
      </c>
      <c r="AJ192" s="695"/>
      <c r="AK192" s="1492">
        <f t="shared" si="19"/>
        <v>0</v>
      </c>
      <c r="AL192" s="1493"/>
      <c r="AM192" s="1494"/>
      <c r="AN192" s="699"/>
      <c r="AO192" s="695"/>
      <c r="AP192" s="695">
        <f>'HIV-Key Info'!$E$67*('HPM costs'!P113+'HPM costs'!P116)</f>
        <v>0</v>
      </c>
      <c r="AQ192" s="695"/>
      <c r="AR192" s="695">
        <f>'HIV-Key Info'!$E$67*('HPM costs'!Q113+'HPM costs'!Q116)</f>
        <v>0</v>
      </c>
      <c r="AS192" s="695"/>
      <c r="AT192" s="695">
        <f>'HIV-Key Info'!$E$67*('HPM costs'!R113+'HPM costs'!R116)</f>
        <v>0</v>
      </c>
      <c r="AU192" s="695"/>
      <c r="AV192" s="695">
        <f>'HIV-Key Info'!$E$67*('HPM costs'!S113+'HPM costs'!S116)</f>
        <v>0</v>
      </c>
      <c r="AW192" s="695"/>
      <c r="AX192" s="1492">
        <f t="shared" si="20"/>
        <v>0</v>
      </c>
      <c r="AY192" s="1492"/>
      <c r="AZ192" s="698"/>
      <c r="BA192" s="699"/>
      <c r="BB192" s="697"/>
      <c r="BC192" s="697">
        <v>0</v>
      </c>
      <c r="BD192" s="697">
        <v>0</v>
      </c>
      <c r="BE192" s="697">
        <v>0</v>
      </c>
      <c r="BF192" s="697">
        <v>0</v>
      </c>
      <c r="BG192" s="697">
        <v>0</v>
      </c>
      <c r="BH192" s="697">
        <v>0</v>
      </c>
      <c r="BI192" s="697">
        <v>0</v>
      </c>
      <c r="BJ192" s="697">
        <v>0</v>
      </c>
      <c r="BK192" s="1492">
        <f t="shared" si="21"/>
        <v>0</v>
      </c>
      <c r="BL192" s="1492"/>
      <c r="BM192" s="1492">
        <f t="shared" si="22"/>
        <v>0</v>
      </c>
      <c r="BN192" s="1492">
        <f t="shared" si="23"/>
        <v>0</v>
      </c>
      <c r="BO192" s="697"/>
      <c r="BP192" s="697"/>
      <c r="BQ192" s="1495" t="s">
        <v>6934</v>
      </c>
      <c r="BR192" s="1495" t="s">
        <v>818</v>
      </c>
      <c r="BS192" s="1902" t="s">
        <v>655</v>
      </c>
      <c r="BT192" s="1907" t="s">
        <v>1918</v>
      </c>
    </row>
    <row r="193" spans="1:72" ht="13">
      <c r="A193" s="1545">
        <v>538</v>
      </c>
      <c r="B193" s="1546" t="s">
        <v>780</v>
      </c>
      <c r="C193" s="1546" t="s">
        <v>789</v>
      </c>
      <c r="D193" s="1547" t="s">
        <v>6872</v>
      </c>
      <c r="E193" s="690" t="s">
        <v>660</v>
      </c>
      <c r="F193" s="691"/>
      <c r="G193" s="692"/>
      <c r="H193" s="692"/>
      <c r="I193" s="692"/>
      <c r="J193" s="693"/>
      <c r="K193" s="693"/>
      <c r="L193" s="693"/>
      <c r="M193" s="694"/>
      <c r="N193" s="695"/>
      <c r="O193" s="696" t="s">
        <v>1569</v>
      </c>
      <c r="P193" s="695">
        <f>'HIV-Key Info'!$E$67*('HPM costs'!F373+'HPM costs'!F376)</f>
        <v>0</v>
      </c>
      <c r="Q193" s="695" t="s">
        <v>1569</v>
      </c>
      <c r="R193" s="695">
        <f>'HIV-Key Info'!$E$67*('HPM costs'!G373+'HPM costs'!G376)</f>
        <v>0</v>
      </c>
      <c r="S193" s="695" t="s">
        <v>1569</v>
      </c>
      <c r="T193" s="695">
        <f>'HIV-Key Info'!$E$67*('HPM costs'!H373+'HPM costs'!H376)</f>
        <v>0</v>
      </c>
      <c r="U193" s="695" t="s">
        <v>1569</v>
      </c>
      <c r="V193" s="695">
        <f>'HIV-Key Info'!$E$67*('HPM costs'!I373+'HPM costs'!I376)</f>
        <v>0</v>
      </c>
      <c r="W193" s="695"/>
      <c r="X193" s="1492">
        <f t="shared" ref="X193:X256" si="24">P193+R193+T193+V193</f>
        <v>0</v>
      </c>
      <c r="Y193" s="1493"/>
      <c r="Z193" s="1494"/>
      <c r="AA193" s="699"/>
      <c r="AB193" s="695"/>
      <c r="AC193" s="695">
        <f>'HIV-Key Info'!$E$67*('HPM costs'!K373+'HPM costs'!K376)</f>
        <v>0</v>
      </c>
      <c r="AD193" s="695"/>
      <c r="AE193" s="695">
        <f>'HIV-Key Info'!$E$67*('HPM costs'!L373+'HPM costs'!L376)</f>
        <v>0</v>
      </c>
      <c r="AF193" s="695"/>
      <c r="AG193" s="695">
        <f>'HIV-Key Info'!$E$67*('HPM costs'!M373+'HPM costs'!M376)</f>
        <v>0</v>
      </c>
      <c r="AH193" s="695"/>
      <c r="AI193" s="695">
        <f>'HIV-Key Info'!$E$67*('HPM costs'!N373+'HPM costs'!N376)</f>
        <v>0</v>
      </c>
      <c r="AJ193" s="695"/>
      <c r="AK193" s="1492">
        <f t="shared" ref="AK193:AK256" si="25">AI193+AG193+AE193+AC193</f>
        <v>0</v>
      </c>
      <c r="AL193" s="1493"/>
      <c r="AM193" s="1494"/>
      <c r="AN193" s="699"/>
      <c r="AO193" s="695"/>
      <c r="AP193" s="695">
        <f>'HIV-Key Info'!$E$67*('HPM costs'!P373+'HPM costs'!P376)</f>
        <v>0</v>
      </c>
      <c r="AQ193" s="695"/>
      <c r="AR193" s="695">
        <f>'HIV-Key Info'!$E$67*('HPM costs'!Q373+'HPM costs'!Q376)</f>
        <v>0</v>
      </c>
      <c r="AS193" s="695"/>
      <c r="AT193" s="695">
        <f>'HIV-Key Info'!$E$67*('HPM costs'!R373+'HPM costs'!R376)</f>
        <v>0</v>
      </c>
      <c r="AU193" s="695"/>
      <c r="AV193" s="695">
        <f>'HIV-Key Info'!$E$67*('HPM costs'!S373+'HPM costs'!S376)</f>
        <v>0</v>
      </c>
      <c r="AW193" s="695"/>
      <c r="AX193" s="1492">
        <f t="shared" ref="AX193:AX256" si="26">AV193+AT193+AR193+AP193</f>
        <v>0</v>
      </c>
      <c r="AY193" s="1492"/>
      <c r="AZ193" s="698"/>
      <c r="BA193" s="699"/>
      <c r="BB193" s="697"/>
      <c r="BC193" s="697">
        <v>0</v>
      </c>
      <c r="BD193" s="697">
        <v>0</v>
      </c>
      <c r="BE193" s="697">
        <v>0</v>
      </c>
      <c r="BF193" s="697">
        <v>0</v>
      </c>
      <c r="BG193" s="697">
        <v>0</v>
      </c>
      <c r="BH193" s="697">
        <v>0</v>
      </c>
      <c r="BI193" s="697">
        <v>0</v>
      </c>
      <c r="BJ193" s="697">
        <v>0</v>
      </c>
      <c r="BK193" s="1492">
        <f t="shared" ref="BK193:BK256" si="27">BI193+BG193+BE193+BC193</f>
        <v>0</v>
      </c>
      <c r="BL193" s="1492"/>
      <c r="BM193" s="1492">
        <f t="shared" si="22"/>
        <v>0</v>
      </c>
      <c r="BN193" s="1492">
        <f t="shared" si="23"/>
        <v>0</v>
      </c>
      <c r="BO193" s="697"/>
      <c r="BP193" s="697"/>
      <c r="BQ193" s="1495" t="s">
        <v>6934</v>
      </c>
      <c r="BR193" s="1495" t="s">
        <v>818</v>
      </c>
      <c r="BS193" s="1902" t="s">
        <v>655</v>
      </c>
      <c r="BT193" s="1907" t="s">
        <v>1919</v>
      </c>
    </row>
    <row r="194" spans="1:72" ht="13">
      <c r="A194" s="1545">
        <v>539</v>
      </c>
      <c r="B194" s="1546" t="s">
        <v>780</v>
      </c>
      <c r="C194" s="1546" t="s">
        <v>789</v>
      </c>
      <c r="D194" s="1547" t="s">
        <v>6872</v>
      </c>
      <c r="E194" s="690" t="s">
        <v>662</v>
      </c>
      <c r="F194" s="691"/>
      <c r="G194" s="692"/>
      <c r="H194" s="692"/>
      <c r="I194" s="692"/>
      <c r="J194" s="693"/>
      <c r="K194" s="693"/>
      <c r="L194" s="693"/>
      <c r="M194" s="694"/>
      <c r="N194" s="695"/>
      <c r="O194" s="696" t="s">
        <v>1569</v>
      </c>
      <c r="P194" s="695">
        <f>'HIV-Key Info'!$E$67*('HPM costs'!F459+'HPM costs'!F462)</f>
        <v>0</v>
      </c>
      <c r="Q194" s="695" t="s">
        <v>1569</v>
      </c>
      <c r="R194" s="695">
        <f>'HIV-Key Info'!$E$67*('HPM costs'!G459+'HPM costs'!G462)</f>
        <v>0</v>
      </c>
      <c r="S194" s="695" t="s">
        <v>1569</v>
      </c>
      <c r="T194" s="695">
        <f>'HIV-Key Info'!$E$67*('HPM costs'!H459+'HPM costs'!H462)</f>
        <v>0</v>
      </c>
      <c r="U194" s="695" t="s">
        <v>1569</v>
      </c>
      <c r="V194" s="695">
        <f>'HIV-Key Info'!$E$67*('HPM costs'!I459+'HPM costs'!I462)</f>
        <v>0</v>
      </c>
      <c r="W194" s="695"/>
      <c r="X194" s="1492">
        <f t="shared" si="24"/>
        <v>0</v>
      </c>
      <c r="Y194" s="1493"/>
      <c r="Z194" s="1494"/>
      <c r="AA194" s="699"/>
      <c r="AB194" s="695"/>
      <c r="AC194" s="695">
        <f>'HIV-Key Info'!$E$67*('HPM costs'!K459+'HPM costs'!K462)</f>
        <v>0</v>
      </c>
      <c r="AD194" s="695"/>
      <c r="AE194" s="695">
        <f>'HIV-Key Info'!$E$67*('HPM costs'!L459+'HPM costs'!L462)</f>
        <v>0</v>
      </c>
      <c r="AF194" s="695"/>
      <c r="AG194" s="695">
        <f>'HIV-Key Info'!$E$67*('HPM costs'!M459+'HPM costs'!M462)</f>
        <v>0</v>
      </c>
      <c r="AH194" s="695"/>
      <c r="AI194" s="695">
        <f>'HIV-Key Info'!$E$67*('HPM costs'!N459+'HPM costs'!N462)</f>
        <v>0</v>
      </c>
      <c r="AJ194" s="695"/>
      <c r="AK194" s="1492">
        <f t="shared" si="25"/>
        <v>0</v>
      </c>
      <c r="AL194" s="1493"/>
      <c r="AM194" s="1494"/>
      <c r="AN194" s="699"/>
      <c r="AO194" s="695"/>
      <c r="AP194" s="695">
        <f>'HIV-Key Info'!$E$67*('HPM costs'!P459+'HPM costs'!P462)</f>
        <v>0</v>
      </c>
      <c r="AQ194" s="695"/>
      <c r="AR194" s="695">
        <f>'HIV-Key Info'!$E$67*('HPM costs'!Q459+'HPM costs'!Q462)</f>
        <v>0</v>
      </c>
      <c r="AS194" s="695"/>
      <c r="AT194" s="695">
        <f>'HIV-Key Info'!$E$67*('HPM costs'!R459+'HPM costs'!R462)</f>
        <v>0</v>
      </c>
      <c r="AU194" s="695"/>
      <c r="AV194" s="695">
        <f>'HIV-Key Info'!$E$67*('HPM costs'!S459+'HPM costs'!S462)</f>
        <v>0</v>
      </c>
      <c r="AW194" s="695"/>
      <c r="AX194" s="1492">
        <f t="shared" si="26"/>
        <v>0</v>
      </c>
      <c r="AY194" s="1492"/>
      <c r="AZ194" s="698"/>
      <c r="BA194" s="699"/>
      <c r="BB194" s="697"/>
      <c r="BC194" s="697">
        <v>0</v>
      </c>
      <c r="BD194" s="697">
        <v>0</v>
      </c>
      <c r="BE194" s="697">
        <v>0</v>
      </c>
      <c r="BF194" s="697">
        <v>0</v>
      </c>
      <c r="BG194" s="697">
        <v>0</v>
      </c>
      <c r="BH194" s="697">
        <v>0</v>
      </c>
      <c r="BI194" s="697">
        <v>0</v>
      </c>
      <c r="BJ194" s="697">
        <v>0</v>
      </c>
      <c r="BK194" s="1492">
        <f t="shared" si="27"/>
        <v>0</v>
      </c>
      <c r="BL194" s="1492"/>
      <c r="BM194" s="1492">
        <f t="shared" ref="BM194:BM257" si="28">BJ194+AW194+AJ194+W194</f>
        <v>0</v>
      </c>
      <c r="BN194" s="1492">
        <f t="shared" ref="BN194:BN257" si="29">BK194+AX194+AK194+X194</f>
        <v>0</v>
      </c>
      <c r="BO194" s="697"/>
      <c r="BP194" s="697"/>
      <c r="BQ194" s="1495" t="s">
        <v>6934</v>
      </c>
      <c r="BR194" s="1495" t="s">
        <v>818</v>
      </c>
      <c r="BS194" s="1902" t="s">
        <v>655</v>
      </c>
      <c r="BT194" s="1907" t="s">
        <v>1920</v>
      </c>
    </row>
    <row r="195" spans="1:72" ht="13">
      <c r="A195" s="1545">
        <v>540</v>
      </c>
      <c r="B195" s="1546" t="s">
        <v>780</v>
      </c>
      <c r="C195" s="1546" t="s">
        <v>789</v>
      </c>
      <c r="D195" s="1547" t="s">
        <v>6872</v>
      </c>
      <c r="E195" s="690" t="s">
        <v>664</v>
      </c>
      <c r="F195" s="691"/>
      <c r="G195" s="692"/>
      <c r="H195" s="692"/>
      <c r="I195" s="692"/>
      <c r="J195" s="693"/>
      <c r="K195" s="693"/>
      <c r="L195" s="693"/>
      <c r="M195" s="694"/>
      <c r="N195" s="695"/>
      <c r="O195" s="696" t="s">
        <v>1569</v>
      </c>
      <c r="P195" s="695">
        <f>'HIV-Key Info'!$E$67*('HPM costs'!F199+'HPM costs'!F202+'HPM costs'!F545+'HPM costs'!F548)</f>
        <v>0</v>
      </c>
      <c r="Q195" s="695" t="s">
        <v>1569</v>
      </c>
      <c r="R195" s="695">
        <f>'HIV-Key Info'!$E$67*('HPM costs'!G199+'HPM costs'!G202+'HPM costs'!G545+'HPM costs'!G548)</f>
        <v>0</v>
      </c>
      <c r="S195" s="695" t="s">
        <v>1569</v>
      </c>
      <c r="T195" s="695">
        <f>'HIV-Key Info'!$E$67*('HPM costs'!H199+'HPM costs'!H202+'HPM costs'!H545+'HPM costs'!H548)</f>
        <v>0</v>
      </c>
      <c r="U195" s="695" t="s">
        <v>1569</v>
      </c>
      <c r="V195" s="695">
        <f>'HIV-Key Info'!$E$67*('HPM costs'!I199+'HPM costs'!I202+'HPM costs'!I545+'HPM costs'!I548)</f>
        <v>0</v>
      </c>
      <c r="W195" s="695"/>
      <c r="X195" s="1492">
        <f t="shared" si="24"/>
        <v>0</v>
      </c>
      <c r="Y195" s="1493"/>
      <c r="Z195" s="1494"/>
      <c r="AA195" s="699"/>
      <c r="AB195" s="695"/>
      <c r="AC195" s="695">
        <f>'HIV-Key Info'!$E$67*('HPM costs'!K199+'HPM costs'!K202+'HPM costs'!K545+'HPM costs'!K548)</f>
        <v>0</v>
      </c>
      <c r="AD195" s="695"/>
      <c r="AE195" s="695">
        <f>'HIV-Key Info'!$E$67*('HPM costs'!L199+'HPM costs'!L202+'HPM costs'!L545+'HPM costs'!L548)</f>
        <v>0</v>
      </c>
      <c r="AF195" s="695"/>
      <c r="AG195" s="695">
        <f>'HIV-Key Info'!$E$67*('HPM costs'!M199+'HPM costs'!M202+'HPM costs'!M545+'HPM costs'!M548)</f>
        <v>0</v>
      </c>
      <c r="AH195" s="695"/>
      <c r="AI195" s="695">
        <f>'HIV-Key Info'!$E$67*('HPM costs'!N199+'HPM costs'!N202+'HPM costs'!N545+'HPM costs'!N548)</f>
        <v>0</v>
      </c>
      <c r="AJ195" s="695"/>
      <c r="AK195" s="1492">
        <f t="shared" si="25"/>
        <v>0</v>
      </c>
      <c r="AL195" s="1493"/>
      <c r="AM195" s="1494"/>
      <c r="AN195" s="699"/>
      <c r="AO195" s="695"/>
      <c r="AP195" s="695">
        <f>'HIV-Key Info'!$E$67*('HPM costs'!P199+'HPM costs'!P202+'HPM costs'!P545+'HPM costs'!P548)</f>
        <v>0</v>
      </c>
      <c r="AQ195" s="695"/>
      <c r="AR195" s="695">
        <f>'HIV-Key Info'!$E$67*('HPM costs'!Q199+'HPM costs'!Q202+'HPM costs'!Q545+'HPM costs'!Q548)</f>
        <v>0</v>
      </c>
      <c r="AS195" s="695"/>
      <c r="AT195" s="695">
        <f>'HIV-Key Info'!$E$67*('HPM costs'!R199+'HPM costs'!R202+'HPM costs'!R545+'HPM costs'!R548)</f>
        <v>0</v>
      </c>
      <c r="AU195" s="695"/>
      <c r="AV195" s="695">
        <f>'HIV-Key Info'!$E$67*('HPM costs'!S199+'HPM costs'!S202+'HPM costs'!S545+'HPM costs'!S548)</f>
        <v>0</v>
      </c>
      <c r="AW195" s="695"/>
      <c r="AX195" s="1492">
        <f t="shared" si="26"/>
        <v>0</v>
      </c>
      <c r="AY195" s="1492"/>
      <c r="AZ195" s="698"/>
      <c r="BA195" s="699"/>
      <c r="BB195" s="697"/>
      <c r="BC195" s="697">
        <v>0</v>
      </c>
      <c r="BD195" s="697">
        <v>0</v>
      </c>
      <c r="BE195" s="697">
        <v>0</v>
      </c>
      <c r="BF195" s="697">
        <v>0</v>
      </c>
      <c r="BG195" s="697">
        <v>0</v>
      </c>
      <c r="BH195" s="697">
        <v>0</v>
      </c>
      <c r="BI195" s="697">
        <v>0</v>
      </c>
      <c r="BJ195" s="697">
        <v>0</v>
      </c>
      <c r="BK195" s="1492">
        <f t="shared" si="27"/>
        <v>0</v>
      </c>
      <c r="BL195" s="1492"/>
      <c r="BM195" s="1492">
        <f t="shared" si="28"/>
        <v>0</v>
      </c>
      <c r="BN195" s="1492">
        <f t="shared" si="29"/>
        <v>0</v>
      </c>
      <c r="BO195" s="697"/>
      <c r="BP195" s="697"/>
      <c r="BQ195" s="1495" t="s">
        <v>6934</v>
      </c>
      <c r="BR195" s="1495" t="s">
        <v>818</v>
      </c>
      <c r="BS195" s="1902" t="s">
        <v>655</v>
      </c>
      <c r="BT195" s="1907" t="s">
        <v>1921</v>
      </c>
    </row>
    <row r="196" spans="1:72" ht="13">
      <c r="A196" s="1545">
        <v>541</v>
      </c>
      <c r="B196" s="1546" t="s">
        <v>780</v>
      </c>
      <c r="C196" s="1546" t="s">
        <v>789</v>
      </c>
      <c r="D196" s="1547" t="s">
        <v>6872</v>
      </c>
      <c r="E196" s="690" t="s">
        <v>666</v>
      </c>
      <c r="F196" s="691"/>
      <c r="G196" s="692"/>
      <c r="H196" s="692"/>
      <c r="I196" s="692"/>
      <c r="J196" s="693"/>
      <c r="K196" s="693"/>
      <c r="L196" s="693"/>
      <c r="M196" s="694"/>
      <c r="N196" s="695"/>
      <c r="O196" s="696" t="s">
        <v>1569</v>
      </c>
      <c r="P196" s="695">
        <f>'HIV-Key Info'!$E$67*('HPM costs'!F285+'HPM costs'!F288)</f>
        <v>0</v>
      </c>
      <c r="Q196" s="695" t="s">
        <v>1569</v>
      </c>
      <c r="R196" s="695">
        <f>'HIV-Key Info'!$E$67*('HPM costs'!G285+'HPM costs'!G288)</f>
        <v>0</v>
      </c>
      <c r="S196" s="695" t="s">
        <v>1569</v>
      </c>
      <c r="T196" s="695">
        <f>'HIV-Key Info'!$E$67*('HPM costs'!H285+'HPM costs'!H288)</f>
        <v>0</v>
      </c>
      <c r="U196" s="695" t="s">
        <v>1569</v>
      </c>
      <c r="V196" s="695">
        <f>'HIV-Key Info'!$E$67*('HPM costs'!I285+'HPM costs'!I288)</f>
        <v>0</v>
      </c>
      <c r="W196" s="695"/>
      <c r="X196" s="1492">
        <f t="shared" si="24"/>
        <v>0</v>
      </c>
      <c r="Y196" s="1493"/>
      <c r="Z196" s="1494"/>
      <c r="AA196" s="699"/>
      <c r="AB196" s="695"/>
      <c r="AC196" s="695">
        <f>'HIV-Key Info'!$E$67*('HPM costs'!K285+'HPM costs'!K288)</f>
        <v>0</v>
      </c>
      <c r="AD196" s="695"/>
      <c r="AE196" s="695">
        <f>'HIV-Key Info'!$E$67*('HPM costs'!L285+'HPM costs'!L288)</f>
        <v>0</v>
      </c>
      <c r="AF196" s="695"/>
      <c r="AG196" s="695">
        <f>'HIV-Key Info'!$E$67*('HPM costs'!M285+'HPM costs'!M288)</f>
        <v>0</v>
      </c>
      <c r="AH196" s="695"/>
      <c r="AI196" s="695">
        <f>'HIV-Key Info'!$E$67*('HPM costs'!N285+'HPM costs'!N288)</f>
        <v>0</v>
      </c>
      <c r="AJ196" s="695"/>
      <c r="AK196" s="1492">
        <f t="shared" si="25"/>
        <v>0</v>
      </c>
      <c r="AL196" s="1493"/>
      <c r="AM196" s="1494"/>
      <c r="AN196" s="699"/>
      <c r="AO196" s="695"/>
      <c r="AP196" s="695">
        <f>'HIV-Key Info'!$E$67*('HPM costs'!P285+'HPM costs'!P288)</f>
        <v>0</v>
      </c>
      <c r="AQ196" s="695"/>
      <c r="AR196" s="695">
        <f>'HIV-Key Info'!$E$67*('HPM costs'!Q285+'HPM costs'!Q288)</f>
        <v>0</v>
      </c>
      <c r="AS196" s="695"/>
      <c r="AT196" s="695">
        <f>'HIV-Key Info'!$E$67*('HPM costs'!R285+'HPM costs'!R288)</f>
        <v>0</v>
      </c>
      <c r="AU196" s="695"/>
      <c r="AV196" s="695">
        <f>'HIV-Key Info'!$E$67*('HPM costs'!S285+'HPM costs'!S288)</f>
        <v>0</v>
      </c>
      <c r="AW196" s="695"/>
      <c r="AX196" s="1492">
        <f t="shared" si="26"/>
        <v>0</v>
      </c>
      <c r="AY196" s="1492"/>
      <c r="AZ196" s="698"/>
      <c r="BA196" s="699"/>
      <c r="BB196" s="697"/>
      <c r="BC196" s="697">
        <v>0</v>
      </c>
      <c r="BD196" s="697">
        <v>0</v>
      </c>
      <c r="BE196" s="697">
        <v>0</v>
      </c>
      <c r="BF196" s="697">
        <v>0</v>
      </c>
      <c r="BG196" s="697">
        <v>0</v>
      </c>
      <c r="BH196" s="697">
        <v>0</v>
      </c>
      <c r="BI196" s="697">
        <v>0</v>
      </c>
      <c r="BJ196" s="697">
        <v>0</v>
      </c>
      <c r="BK196" s="1492">
        <f t="shared" si="27"/>
        <v>0</v>
      </c>
      <c r="BL196" s="1492"/>
      <c r="BM196" s="1492">
        <f t="shared" si="28"/>
        <v>0</v>
      </c>
      <c r="BN196" s="1492">
        <f t="shared" si="29"/>
        <v>0</v>
      </c>
      <c r="BO196" s="697"/>
      <c r="BP196" s="697"/>
      <c r="BQ196" s="1495" t="s">
        <v>6934</v>
      </c>
      <c r="BR196" s="1495" t="s">
        <v>818</v>
      </c>
      <c r="BS196" s="1902" t="s">
        <v>655</v>
      </c>
      <c r="BT196" s="1907" t="s">
        <v>1922</v>
      </c>
    </row>
    <row r="197" spans="1:72" ht="13">
      <c r="A197" s="1545">
        <v>542</v>
      </c>
      <c r="B197" s="1546" t="s">
        <v>780</v>
      </c>
      <c r="C197" s="1546" t="s">
        <v>789</v>
      </c>
      <c r="D197" s="1547" t="s">
        <v>6872</v>
      </c>
      <c r="E197" s="690" t="s">
        <v>668</v>
      </c>
      <c r="F197" s="691"/>
      <c r="G197" s="692"/>
      <c r="H197" s="692"/>
      <c r="I197" s="692"/>
      <c r="J197" s="693"/>
      <c r="K197" s="693"/>
      <c r="L197" s="693"/>
      <c r="M197" s="694" t="e">
        <f>X197/W197</f>
        <v>#DIV/0!</v>
      </c>
      <c r="N197" s="695"/>
      <c r="O197" s="696" t="s">
        <v>1569</v>
      </c>
      <c r="P197" s="695">
        <f>'HIV-Key Info'!$E$67*('HPM costs'!F630+'HPM costs'!F633)</f>
        <v>0</v>
      </c>
      <c r="Q197" s="695" t="s">
        <v>1569</v>
      </c>
      <c r="R197" s="695">
        <f>'HIV-Key Info'!$E$67*('HPM costs'!G630+'HPM costs'!G633)</f>
        <v>0</v>
      </c>
      <c r="S197" s="695" t="s">
        <v>1569</v>
      </c>
      <c r="T197" s="695">
        <f>'HIV-Key Info'!$E$67*('HPM costs'!H630+'HPM costs'!H633)</f>
        <v>0</v>
      </c>
      <c r="U197" s="695" t="s">
        <v>1569</v>
      </c>
      <c r="V197" s="695">
        <f>'HIV-Key Info'!$E$67*('HPM costs'!I630+'HPM costs'!I633)</f>
        <v>0</v>
      </c>
      <c r="W197" s="695"/>
      <c r="X197" s="1492">
        <f t="shared" si="24"/>
        <v>0</v>
      </c>
      <c r="Y197" s="1493"/>
      <c r="Z197" s="1494"/>
      <c r="AA197" s="699"/>
      <c r="AB197" s="695"/>
      <c r="AC197" s="695">
        <f>'HIV-Key Info'!$E$67*('HPM costs'!K630+'HPM costs'!K633)</f>
        <v>0</v>
      </c>
      <c r="AD197" s="695"/>
      <c r="AE197" s="695">
        <f>'HIV-Key Info'!$E$67*('HPM costs'!L630+'HPM costs'!L633)</f>
        <v>0</v>
      </c>
      <c r="AF197" s="695"/>
      <c r="AG197" s="695">
        <f>'HIV-Key Info'!$E$67*('HPM costs'!M630+'HPM costs'!M633)</f>
        <v>0</v>
      </c>
      <c r="AH197" s="695"/>
      <c r="AI197" s="695">
        <f>'HIV-Key Info'!$E$67*('HPM costs'!N630+'HPM costs'!N633)</f>
        <v>0</v>
      </c>
      <c r="AJ197" s="695"/>
      <c r="AK197" s="1492">
        <f t="shared" si="25"/>
        <v>0</v>
      </c>
      <c r="AL197" s="1493"/>
      <c r="AM197" s="1494"/>
      <c r="AN197" s="699"/>
      <c r="AO197" s="695"/>
      <c r="AP197" s="695">
        <f>'HIV-Key Info'!$E$67*('HPM costs'!P630+'HPM costs'!P633)</f>
        <v>0</v>
      </c>
      <c r="AQ197" s="695"/>
      <c r="AR197" s="695">
        <f>'HIV-Key Info'!$E$67*('HPM costs'!Q630+'HPM costs'!Q633)</f>
        <v>0</v>
      </c>
      <c r="AS197" s="695"/>
      <c r="AT197" s="695">
        <f>'HIV-Key Info'!$E$67*('HPM costs'!R630+'HPM costs'!R633)</f>
        <v>0</v>
      </c>
      <c r="AU197" s="695"/>
      <c r="AV197" s="695">
        <f>'HIV-Key Info'!$E$67*('HPM costs'!S630+'HPM costs'!S633)</f>
        <v>0</v>
      </c>
      <c r="AW197" s="695"/>
      <c r="AX197" s="1492">
        <f t="shared" si="26"/>
        <v>0</v>
      </c>
      <c r="AY197" s="1492"/>
      <c r="AZ197" s="698"/>
      <c r="BA197" s="699"/>
      <c r="BB197" s="697"/>
      <c r="BC197" s="697">
        <v>0</v>
      </c>
      <c r="BD197" s="697">
        <v>0</v>
      </c>
      <c r="BE197" s="697">
        <v>0</v>
      </c>
      <c r="BF197" s="697">
        <v>0</v>
      </c>
      <c r="BG197" s="697">
        <v>0</v>
      </c>
      <c r="BH197" s="697">
        <v>0</v>
      </c>
      <c r="BI197" s="697">
        <v>0</v>
      </c>
      <c r="BJ197" s="697">
        <v>0</v>
      </c>
      <c r="BK197" s="1492">
        <f t="shared" si="27"/>
        <v>0</v>
      </c>
      <c r="BL197" s="1492"/>
      <c r="BM197" s="1492">
        <f t="shared" si="28"/>
        <v>0</v>
      </c>
      <c r="BN197" s="1492">
        <f t="shared" si="29"/>
        <v>0</v>
      </c>
      <c r="BO197" s="697"/>
      <c r="BP197" s="697"/>
      <c r="BQ197" s="1495" t="s">
        <v>6934</v>
      </c>
      <c r="BR197" s="1495" t="s">
        <v>818</v>
      </c>
      <c r="BS197" s="1902" t="s">
        <v>655</v>
      </c>
      <c r="BT197" s="1907" t="s">
        <v>1923</v>
      </c>
    </row>
    <row r="198" spans="1:72" ht="13">
      <c r="A198" s="1545">
        <v>584</v>
      </c>
      <c r="B198" s="1546" t="s">
        <v>780</v>
      </c>
      <c r="C198" s="1546" t="s">
        <v>794</v>
      </c>
      <c r="D198" s="1547" t="s">
        <v>6873</v>
      </c>
      <c r="E198" s="690" t="s">
        <v>781</v>
      </c>
      <c r="F198" s="691"/>
      <c r="G198" s="692"/>
      <c r="H198" s="692"/>
      <c r="I198" s="692"/>
      <c r="J198" s="693"/>
      <c r="K198" s="693"/>
      <c r="L198" s="693"/>
      <c r="M198" s="694"/>
      <c r="N198" s="695"/>
      <c r="O198" s="696" t="s">
        <v>1569</v>
      </c>
      <c r="P198" s="695">
        <f>IF(SETUP!$F$33="Upfront",'EBS-H'!K403,0)</f>
        <v>0</v>
      </c>
      <c r="Q198" s="695" t="s">
        <v>1569</v>
      </c>
      <c r="R198" s="695">
        <f>IF(SETUP!$F$33="Upfront",'EBS-H'!O403,IF(SETUP!$F$33="At delivery", IF(SETUP!$G$33=1,'EBS-H'!K403,0),0))</f>
        <v>0</v>
      </c>
      <c r="S198" s="695" t="s">
        <v>1569</v>
      </c>
      <c r="T198" s="695">
        <f>IF(SETUP!$F$33="Upfront",'EBS-H'!S403,IF(SETUP!$F$33="At delivery", IF(SETUP!$G$33=2,'EBS-H'!K403,IF(SETUP!$G$33=1,'EBS-H'!O403,0)),0))</f>
        <v>0</v>
      </c>
      <c r="U198" s="695" t="s">
        <v>1569</v>
      </c>
      <c r="V198" s="695">
        <f>IF(SETUP!$F$33="Upfront",'EBS-H'!W403,IF(SETUP!$F$33="At delivery", IF(SETUP!$G$33=3,'EBS-H'!K403,IF(SETUP!$G$33=2,'EBS-H'!O403,IF(SETUP!$G$33=1,'EBS-H'!S403,0))),0))</f>
        <v>0</v>
      </c>
      <c r="W198" s="695"/>
      <c r="X198" s="1492">
        <f t="shared" si="24"/>
        <v>0</v>
      </c>
      <c r="Y198" s="1493"/>
      <c r="Z198" s="1494"/>
      <c r="AA198" s="699"/>
      <c r="AB198" s="695"/>
      <c r="AC198" s="695">
        <f>IF(SETUP!$F$33="Upfront",'EBS-H'!AC403,
IF(SETUP!$F$33="At delivery",
IF(SETUP!$G$33=4,'EBS-H'!K403,
IF(SETUP!$G$33=3,'EBS-H'!O403,
IF(SETUP!$G$33=2,'EBS-H'!S403,
IF(SETUP!$G$33=1,'EBS-H'!W403,0)))),0))</f>
        <v>0</v>
      </c>
      <c r="AD198" s="695"/>
      <c r="AE198" s="695">
        <f>IF(SETUP!$F$33="Upfront",'EBS-H'!AG403,
IF(SETUP!$F$33="At delivery",
IF(SETUP!$G$33=4,'EBS-H'!O403,
IF(SETUP!$G$33=3,'EBS-H'!S403,
IF(SETUP!$G$33=2,'EBS-H'!W403,
IF(SETUP!$G$33=1,'EBS-H'!AC403,0)))),0))</f>
        <v>0</v>
      </c>
      <c r="AF198" s="695"/>
      <c r="AG198" s="1502">
        <f>IF(SETUP!$F$33="Upfront",'EBS-H'!AK403,
IF(SETUP!$F$33="At delivery",
IF(SETUP!$G$33=4,'EBS-H'!S403,
IF(SETUP!$G$33=3,'EBS-H'!W403,
IF(SETUP!$G$33=2,'EBS-H'!AC403,
IF(SETUP!$G$33=1,'EBS-H'!AG403,0)))),0))</f>
        <v>0</v>
      </c>
      <c r="AH198" s="695"/>
      <c r="AI198" s="695">
        <f>IF(SETUP!$F$33="Upfront",'EBS-H'!AO403,
IF(SETUP!$F$33="At delivery",
IF(SETUP!$G$33=4,'EBS-H'!W403,
IF(SETUP!$G$33=3,'EBS-H'!AC403,
IF(SETUP!$G$33=2,'EBS-H'!AG403,
IF(SETUP!$G$33=1,'EBS-H'!AK403,0)))),0))</f>
        <v>0</v>
      </c>
      <c r="AJ198" s="695"/>
      <c r="AK198" s="1492">
        <f t="shared" si="25"/>
        <v>0</v>
      </c>
      <c r="AL198" s="1493"/>
      <c r="AM198" s="1494"/>
      <c r="AN198" s="699"/>
      <c r="AO198" s="695"/>
      <c r="AP198" s="695">
        <f>IF(SETUP!$F$33="Upfront",'EBS-H'!AU403,
IF(SETUP!$F$33="At delivery",
IF(SETUP!$G$33=4,'EBS-H'!AC403,
IF(SETUP!$G$33=3,'EBS-H'!AG403,
IF(SETUP!$G$33=2,'EBS-H'!AK403,
IF(SETUP!$G$33=1,'EBS-H'!AO403,0)))),0))</f>
        <v>0</v>
      </c>
      <c r="AQ198" s="695"/>
      <c r="AR198" s="695">
        <f>IF(SETUP!$F$33="Upfront",'EBS-H'!AY403,
IF(SETUP!$F$33="At delivery",
IF(SETUP!$G$33=4,'EBS-H'!AG403,
IF(SETUP!$G$33=3,'EBS-H'!AK403,
IF(SETUP!$G$33=2,'EBS-H'!AO403,
IF(SETUP!$G$33=1,'EBS-H'!AU403,0)))),0))</f>
        <v>0</v>
      </c>
      <c r="AS198" s="695"/>
      <c r="AT198" s="695">
        <f>IF(SETUP!$F$33="Upfront",'EBS-H'!BC403,
IF(SETUP!$F$33="At delivery",
IF(SETUP!$G$33=4,'EBS-H'!AK403,
IF(SETUP!$G$33=3,'EBS-H'!AO403,
IF(SETUP!$G$33=2,'EBS-H'!AU403,
IF(SETUP!$G$33=1,'EBS-H'!AY403,0)))),0))</f>
        <v>0</v>
      </c>
      <c r="AU198" s="695"/>
      <c r="AV198" s="695">
        <f>IF(SETUP!$F$33="Upfront",'EBS-H'!BG403,
IF(SETUP!$F$33="At delivery",
IF(SETUP!$G$33=4,'EBS-H'!AO403+'EBS-H'!AU403+'EBS-H'!AY403+'EBS-H'!BC403+'EBS-H'!BG403,
IF(SETUP!$G$33=3,'EBS-H'!AU403+'EBS-H'!AY403+'EBS-H'!BC403+'EBS-H'!BG403,
IF(SETUP!$G$33=2,'EBS-H'!AY403+'EBS-H'!BC403+'EBS-H'!BG403,
IF(SETUP!$G$33=1,'EBS-H'!BC403+'EBS-H'!BG403,0)))),0))</f>
        <v>0</v>
      </c>
      <c r="AW198" s="695"/>
      <c r="AX198" s="1492">
        <f t="shared" si="26"/>
        <v>0</v>
      </c>
      <c r="AY198" s="1492"/>
      <c r="AZ198" s="698"/>
      <c r="BA198" s="699"/>
      <c r="BB198" s="697"/>
      <c r="BC198" s="697">
        <v>0</v>
      </c>
      <c r="BD198" s="697">
        <v>0</v>
      </c>
      <c r="BE198" s="697">
        <v>0</v>
      </c>
      <c r="BF198" s="697">
        <v>0</v>
      </c>
      <c r="BG198" s="697">
        <v>0</v>
      </c>
      <c r="BH198" s="697">
        <v>0</v>
      </c>
      <c r="BI198" s="697">
        <v>0</v>
      </c>
      <c r="BJ198" s="697">
        <v>0</v>
      </c>
      <c r="BK198" s="1492">
        <f t="shared" si="27"/>
        <v>0</v>
      </c>
      <c r="BL198" s="1492"/>
      <c r="BM198" s="1492">
        <f t="shared" si="28"/>
        <v>0</v>
      </c>
      <c r="BN198" s="1492">
        <f t="shared" si="29"/>
        <v>0</v>
      </c>
      <c r="BO198" s="697"/>
      <c r="BP198" s="697"/>
      <c r="BQ198" s="1495" t="s">
        <v>6935</v>
      </c>
      <c r="BR198" s="1495" t="s">
        <v>818</v>
      </c>
      <c r="BS198" s="1902" t="s">
        <v>6873</v>
      </c>
      <c r="BT198" s="1907" t="s">
        <v>1924</v>
      </c>
    </row>
    <row r="199" spans="1:72" ht="13">
      <c r="A199" s="1545">
        <v>592</v>
      </c>
      <c r="B199" s="1546" t="s">
        <v>780</v>
      </c>
      <c r="C199" s="1546" t="s">
        <v>795</v>
      </c>
      <c r="D199" s="1547" t="s">
        <v>6875</v>
      </c>
      <c r="E199" s="690" t="s">
        <v>792</v>
      </c>
      <c r="F199" s="691"/>
      <c r="G199" s="692"/>
      <c r="H199" s="692"/>
      <c r="I199" s="692"/>
      <c r="J199" s="693"/>
      <c r="K199" s="693"/>
      <c r="L199" s="693"/>
      <c r="M199" s="694" t="e">
        <f>X199/W199</f>
        <v>#DIV/0!</v>
      </c>
      <c r="N199" s="695"/>
      <c r="O199" s="696" t="s">
        <v>1569</v>
      </c>
      <c r="P199" s="695">
        <f>IF(SETUP!$F$21="Upfront",SUM('EBS-H'!K102:K109),0)</f>
        <v>0</v>
      </c>
      <c r="Q199" s="695" t="s">
        <v>1569</v>
      </c>
      <c r="R199" s="695">
        <f>IF(SETUP!$F$21="Upfront",SUM('EBS-H'!O102:O109),IF(SETUP!$F$21="At delivery", IF(SETUP!$G$21=1,SUM('EBS-H'!K102:K109),0),0))</f>
        <v>0</v>
      </c>
      <c r="S199" s="695" t="s">
        <v>1569</v>
      </c>
      <c r="T199" s="695">
        <f>IF(SETUP!$F$21="Upfront",SUM('EBS-H'!S102:S109),IF(SETUP!$F$21="At delivery", IF(SETUP!$G$21=2,SUM('EBS-H'!K102:K109),IF(SETUP!$G$21=1,SUM('EBS-H'!O102:O109),0)),0))</f>
        <v>0</v>
      </c>
      <c r="U199" s="695" t="s">
        <v>1569</v>
      </c>
      <c r="V199" s="695">
        <f>IF(SETUP!$F$21="Upfront",SUM('EBS-H'!W102:W109),IF(SETUP!$F$21="At delivery", IF(SETUP!$G$21=3,SUM('EBS-H'!K102:K109),IF(SETUP!$G$21=2,SUM('EBS-H'!O102:O109),IF(SETUP!$G$21=1,SUM('EBS-H'!S102:S109),0))),0))</f>
        <v>0</v>
      </c>
      <c r="W199" s="695"/>
      <c r="X199" s="1492">
        <f t="shared" si="24"/>
        <v>0</v>
      </c>
      <c r="Y199" s="1493"/>
      <c r="Z199" s="1494"/>
      <c r="AA199" s="699"/>
      <c r="AB199" s="695"/>
      <c r="AC199" s="695">
        <f>IF(SETUP!$F$21="Upfront",SUM('EBS-H'!AC102:AC109),IF(SETUP!$F$21="At delivery", IF(SETUP!$G$21=4,SUM('EBS-H'!K102:K109),IF(SETUP!$G$21=3,SUM('EBS-H'!O102:O109),IF(SETUP!$G$21=2,SUM('EBS-H'!S102:S109),IF(SETUP!$G$21=1,SUM('EBS-H'!W102:W109),0)))),0))</f>
        <v>0</v>
      </c>
      <c r="AD199" s="695"/>
      <c r="AE199" s="695">
        <f>IF(SETUP!$F$21="Upfront",SUM('EBS-H'!AG102:AG109),IF(SETUP!$F$21="At delivery", IF(SETUP!$G$21=4,SUM('EBS-H'!O102:O109),IF(SETUP!$G$21=3,SUM('EBS-H'!S102:S109),IF(SETUP!$G$21=2,SUM('EBS-H'!W102:W109),IF(SETUP!$G$21=1,SUM('EBS-H'!AC102:AC109),0)))),0))</f>
        <v>0</v>
      </c>
      <c r="AF199" s="695"/>
      <c r="AG199" s="695">
        <f>IF(SETUP!$F$21="Upfront",SUM('EBS-H'!AK102:AK109),IF(SETUP!$F$21="At delivery", IF(SETUP!$G$21=4,SUM('EBS-H'!S102:S109),IF(SETUP!$G$21=3,SUM('EBS-H'!W102:W109),IF(SETUP!$G$21=2,SUM('EBS-H'!AC102:AC109),IF(SETUP!$G$21=1,SUM('EBS-H'!AG102:AG109),0)))),0))</f>
        <v>0</v>
      </c>
      <c r="AH199" s="695"/>
      <c r="AI199" s="695">
        <f>IF(SETUP!$F$21="Upfront",SUM('EBS-H'!AO102:AO109),IF(SETUP!$F$21="At delivery", IF(SETUP!$G$21=4,SUM('EBS-H'!W102:W109),IF(SETUP!$G$21=3,SUM('EBS-H'!AC102:AC109),IF(SETUP!$G$21=2,SUM('EBS-H'!AG102:AG109),IF(SETUP!$G$21=1,SUM('EBS-H'!AK102:AK109),0)))),0))</f>
        <v>0</v>
      </c>
      <c r="AJ199" s="695"/>
      <c r="AK199" s="1492">
        <f t="shared" si="25"/>
        <v>0</v>
      </c>
      <c r="AL199" s="1493"/>
      <c r="AM199" s="1494"/>
      <c r="AN199" s="699"/>
      <c r="AO199" s="695"/>
      <c r="AP199" s="695">
        <f>IF(SETUP!$F$21="Upfront",SUM('EBS-H'!AU102:AU109),IF(SETUP!$F$21="At delivery", IF(SETUP!$G$21=4,SUM('EBS-H'!AC102:AC109),IF(SETUP!$G$21=3,SUM('EBS-H'!AG102:AG109),IF(SETUP!$G$21=2,SUM('EBS-H'!AK102:AK109),IF(SETUP!$G$21=1,SUM('EBS-H'!AO102:AO109),0)))),0))</f>
        <v>0</v>
      </c>
      <c r="AQ199" s="695"/>
      <c r="AR199" s="695">
        <f>IF(SETUP!$F$21="Upfront",SUM('EBS-H'!AY102:AY109),IF(SETUP!$F$21="At delivery", IF(SETUP!$G$21=4,SUM('EBS-H'!AG102:AG109),IF(SETUP!$G$21=3,SUM('EBS-H'!AK102:AK109),IF(SETUP!$G$21=2,SUM('EBS-H'!AO102:AO109),IF(SETUP!$G$21=1,SUM('EBS-H'!AU102:AU109),0)))),0))</f>
        <v>0</v>
      </c>
      <c r="AS199" s="695"/>
      <c r="AT199" s="695">
        <f>IF(SETUP!$F$21="Upfront",SUM('EBS-H'!BC102:BC109),IF(SETUP!$F$21="At delivery", IF(SETUP!$G$21=4,SUM('EBS-H'!AK102:AK109),IF(SETUP!$G$21=3,SUM('EBS-H'!AO102:AO109),IF(SETUP!$G$21=2,SUM('EBS-H'!AU102:AU109),IF(SETUP!$G$21=1,SUM('EBS-H'!AY102:AY109),0)))),0))</f>
        <v>0</v>
      </c>
      <c r="AU199" s="695"/>
      <c r="AV199" s="695">
        <f>IF(SETUP!$F$21="Upfront",SUM('EBS-H'!BG102:BG109),IF(SETUP!$F$21="At delivery", IF(SETUP!$G$21=4,SUM(SUM('EBS-H'!AO102:AO109),SUM('EBS-H'!AU102:AU109),SUM('EBS-H'!AY102:AY109),SUM('EBS-H'!BC102:BC109),SUM('EBS-H'!BG102:BG109)),IF(SETUP!$G$21=3,SUM(SUM('EBS-H'!AU102:AU109),SUM('EBS-H'!AY102:AY109),SUM('EBS-H'!BC102:BC109),SUM('EBS-H'!BG102:BG109)),IF(SETUP!$G$21=2,SUM(SUM('EBS-H'!AY102:AY109),SUM('EBS-H'!BC102:BC109),SUM('EBS-H'!BG102:BG109)),IF(SETUP!$G$21=1,SUM(SUM('EBS-H'!BC102:BC109),SUM('EBS-H'!BG102:BG109)),0)))),0))</f>
        <v>0</v>
      </c>
      <c r="AW199" s="695"/>
      <c r="AX199" s="1492">
        <f t="shared" si="26"/>
        <v>0</v>
      </c>
      <c r="AY199" s="1492"/>
      <c r="AZ199" s="698"/>
      <c r="BA199" s="699"/>
      <c r="BB199" s="697"/>
      <c r="BC199" s="697">
        <v>0</v>
      </c>
      <c r="BD199" s="697">
        <v>0</v>
      </c>
      <c r="BE199" s="697">
        <v>0</v>
      </c>
      <c r="BF199" s="697">
        <v>0</v>
      </c>
      <c r="BG199" s="697">
        <v>0</v>
      </c>
      <c r="BH199" s="697">
        <v>0</v>
      </c>
      <c r="BI199" s="697">
        <v>0</v>
      </c>
      <c r="BJ199" s="697">
        <v>0</v>
      </c>
      <c r="BK199" s="1492">
        <f t="shared" si="27"/>
        <v>0</v>
      </c>
      <c r="BL199" s="1492"/>
      <c r="BM199" s="1492">
        <f t="shared" si="28"/>
        <v>0</v>
      </c>
      <c r="BN199" s="1492">
        <f t="shared" si="29"/>
        <v>0</v>
      </c>
      <c r="BO199" s="697"/>
      <c r="BP199" s="697"/>
      <c r="BQ199" s="1495" t="s">
        <v>6935</v>
      </c>
      <c r="BR199" s="1495" t="s">
        <v>818</v>
      </c>
      <c r="BS199" s="1902" t="s">
        <v>6875</v>
      </c>
      <c r="BT199" s="1907" t="s">
        <v>1925</v>
      </c>
    </row>
    <row r="200" spans="1:72" ht="13">
      <c r="A200" s="1545">
        <v>593</v>
      </c>
      <c r="B200" s="1546" t="s">
        <v>780</v>
      </c>
      <c r="C200" s="1546" t="s">
        <v>795</v>
      </c>
      <c r="D200" s="1547" t="s">
        <v>6874</v>
      </c>
      <c r="E200" s="690" t="s">
        <v>656</v>
      </c>
      <c r="F200" s="691"/>
      <c r="G200" s="692"/>
      <c r="H200" s="692"/>
      <c r="I200" s="692"/>
      <c r="J200" s="693"/>
      <c r="K200" s="693"/>
      <c r="L200" s="693"/>
      <c r="M200" s="694"/>
      <c r="N200" s="695"/>
      <c r="O200" s="696" t="s">
        <v>1569</v>
      </c>
      <c r="P200" s="695">
        <f>'HPM costs'!F18</f>
        <v>0</v>
      </c>
      <c r="Q200" s="695" t="s">
        <v>1569</v>
      </c>
      <c r="R200" s="695">
        <f>'HPM costs'!G18</f>
        <v>0</v>
      </c>
      <c r="S200" s="695" t="s">
        <v>1569</v>
      </c>
      <c r="T200" s="695">
        <f>'HPM costs'!H18</f>
        <v>0</v>
      </c>
      <c r="U200" s="695" t="s">
        <v>1569</v>
      </c>
      <c r="V200" s="695">
        <f>'HPM costs'!I18</f>
        <v>0</v>
      </c>
      <c r="W200" s="695"/>
      <c r="X200" s="1492">
        <f t="shared" si="24"/>
        <v>0</v>
      </c>
      <c r="Y200" s="1493"/>
      <c r="Z200" s="1494"/>
      <c r="AA200" s="699"/>
      <c r="AB200" s="695"/>
      <c r="AC200" s="695">
        <f>'HPM costs'!K18</f>
        <v>0</v>
      </c>
      <c r="AD200" s="695"/>
      <c r="AE200" s="695">
        <f>'HPM costs'!L18</f>
        <v>0</v>
      </c>
      <c r="AF200" s="695"/>
      <c r="AG200" s="695">
        <f>'HPM costs'!M18</f>
        <v>0</v>
      </c>
      <c r="AH200" s="695"/>
      <c r="AI200" s="695">
        <f>'HPM costs'!N18</f>
        <v>0</v>
      </c>
      <c r="AJ200" s="695"/>
      <c r="AK200" s="1492">
        <f t="shared" si="25"/>
        <v>0</v>
      </c>
      <c r="AL200" s="1493"/>
      <c r="AM200" s="1494"/>
      <c r="AN200" s="699"/>
      <c r="AO200" s="695"/>
      <c r="AP200" s="695">
        <f>'HPM costs'!P18</f>
        <v>0</v>
      </c>
      <c r="AQ200" s="695"/>
      <c r="AR200" s="695">
        <f>'HPM costs'!Q18</f>
        <v>0</v>
      </c>
      <c r="AS200" s="695"/>
      <c r="AT200" s="695">
        <f>'HPM costs'!R18</f>
        <v>0</v>
      </c>
      <c r="AU200" s="695"/>
      <c r="AV200" s="695">
        <f>'HPM costs'!S18</f>
        <v>0</v>
      </c>
      <c r="AW200" s="695"/>
      <c r="AX200" s="1492">
        <f t="shared" si="26"/>
        <v>0</v>
      </c>
      <c r="AY200" s="1492"/>
      <c r="AZ200" s="698"/>
      <c r="BA200" s="699"/>
      <c r="BB200" s="697"/>
      <c r="BC200" s="697">
        <v>0</v>
      </c>
      <c r="BD200" s="697">
        <v>0</v>
      </c>
      <c r="BE200" s="697">
        <v>0</v>
      </c>
      <c r="BF200" s="697">
        <v>0</v>
      </c>
      <c r="BG200" s="697">
        <v>0</v>
      </c>
      <c r="BH200" s="697">
        <v>0</v>
      </c>
      <c r="BI200" s="697">
        <v>0</v>
      </c>
      <c r="BJ200" s="697">
        <v>0</v>
      </c>
      <c r="BK200" s="1492">
        <f t="shared" si="27"/>
        <v>0</v>
      </c>
      <c r="BL200" s="1492"/>
      <c r="BM200" s="1492">
        <f t="shared" si="28"/>
        <v>0</v>
      </c>
      <c r="BN200" s="1492">
        <f t="shared" si="29"/>
        <v>0</v>
      </c>
      <c r="BO200" s="697"/>
      <c r="BP200" s="697"/>
      <c r="BQ200" s="1495" t="s">
        <v>6935</v>
      </c>
      <c r="BR200" s="1495" t="s">
        <v>818</v>
      </c>
      <c r="BS200" s="1902" t="s">
        <v>655</v>
      </c>
      <c r="BT200" s="1907" t="s">
        <v>2293</v>
      </c>
    </row>
    <row r="201" spans="1:72" ht="13">
      <c r="A201" s="1545">
        <v>594</v>
      </c>
      <c r="B201" s="1546" t="s">
        <v>780</v>
      </c>
      <c r="C201" s="1546" t="s">
        <v>795</v>
      </c>
      <c r="D201" s="1547" t="s">
        <v>6874</v>
      </c>
      <c r="E201" s="690" t="s">
        <v>658</v>
      </c>
      <c r="F201" s="691"/>
      <c r="G201" s="692"/>
      <c r="H201" s="692"/>
      <c r="I201" s="692"/>
      <c r="J201" s="693"/>
      <c r="K201" s="693"/>
      <c r="L201" s="693"/>
      <c r="M201" s="694"/>
      <c r="N201" s="695"/>
      <c r="O201" s="696" t="s">
        <v>1569</v>
      </c>
      <c r="P201" s="695">
        <f>'HPM costs'!F104</f>
        <v>0</v>
      </c>
      <c r="Q201" s="695" t="s">
        <v>1569</v>
      </c>
      <c r="R201" s="695">
        <f>'HPM costs'!G104</f>
        <v>0</v>
      </c>
      <c r="S201" s="695" t="s">
        <v>1569</v>
      </c>
      <c r="T201" s="695">
        <f>'HPM costs'!H104</f>
        <v>0</v>
      </c>
      <c r="U201" s="695" t="s">
        <v>1569</v>
      </c>
      <c r="V201" s="695">
        <f>'HPM costs'!I104</f>
        <v>0</v>
      </c>
      <c r="W201" s="695"/>
      <c r="X201" s="1492">
        <f t="shared" si="24"/>
        <v>0</v>
      </c>
      <c r="Y201" s="1493"/>
      <c r="Z201" s="1494"/>
      <c r="AA201" s="699"/>
      <c r="AB201" s="695"/>
      <c r="AC201" s="695">
        <f>'HPM costs'!K104</f>
        <v>0</v>
      </c>
      <c r="AD201" s="695"/>
      <c r="AE201" s="695">
        <f>'HPM costs'!L104</f>
        <v>0</v>
      </c>
      <c r="AF201" s="695"/>
      <c r="AG201" s="695">
        <f>'HPM costs'!M104</f>
        <v>0</v>
      </c>
      <c r="AH201" s="695"/>
      <c r="AI201" s="695">
        <f>'HPM costs'!N104</f>
        <v>0</v>
      </c>
      <c r="AJ201" s="695"/>
      <c r="AK201" s="1492">
        <f t="shared" si="25"/>
        <v>0</v>
      </c>
      <c r="AL201" s="1493"/>
      <c r="AM201" s="1494"/>
      <c r="AN201" s="699"/>
      <c r="AO201" s="695"/>
      <c r="AP201" s="695">
        <f>'HPM costs'!P104</f>
        <v>0</v>
      </c>
      <c r="AQ201" s="695"/>
      <c r="AR201" s="695">
        <f>'HPM costs'!Q104</f>
        <v>0</v>
      </c>
      <c r="AS201" s="695"/>
      <c r="AT201" s="695">
        <f>'HPM costs'!R104</f>
        <v>0</v>
      </c>
      <c r="AU201" s="695"/>
      <c r="AV201" s="695">
        <f>'HPM costs'!S104</f>
        <v>0</v>
      </c>
      <c r="AW201" s="695"/>
      <c r="AX201" s="1492">
        <f t="shared" si="26"/>
        <v>0</v>
      </c>
      <c r="AY201" s="1492"/>
      <c r="AZ201" s="698"/>
      <c r="BA201" s="699"/>
      <c r="BB201" s="697"/>
      <c r="BC201" s="697">
        <v>0</v>
      </c>
      <c r="BD201" s="697">
        <v>0</v>
      </c>
      <c r="BE201" s="697">
        <v>0</v>
      </c>
      <c r="BF201" s="697">
        <v>0</v>
      </c>
      <c r="BG201" s="697">
        <v>0</v>
      </c>
      <c r="BH201" s="697">
        <v>0</v>
      </c>
      <c r="BI201" s="697">
        <v>0</v>
      </c>
      <c r="BJ201" s="697">
        <v>0</v>
      </c>
      <c r="BK201" s="1492">
        <f t="shared" si="27"/>
        <v>0</v>
      </c>
      <c r="BL201" s="1492"/>
      <c r="BM201" s="1492">
        <f t="shared" si="28"/>
        <v>0</v>
      </c>
      <c r="BN201" s="1492">
        <f t="shared" si="29"/>
        <v>0</v>
      </c>
      <c r="BO201" s="697"/>
      <c r="BP201" s="697"/>
      <c r="BQ201" s="1495" t="s">
        <v>6935</v>
      </c>
      <c r="BR201" s="1495" t="s">
        <v>818</v>
      </c>
      <c r="BS201" s="1902" t="s">
        <v>655</v>
      </c>
      <c r="BT201" s="1907" t="s">
        <v>2294</v>
      </c>
    </row>
    <row r="202" spans="1:72" ht="13">
      <c r="A202" s="1545">
        <v>595</v>
      </c>
      <c r="B202" s="1546" t="s">
        <v>780</v>
      </c>
      <c r="C202" s="1546" t="s">
        <v>795</v>
      </c>
      <c r="D202" s="1547" t="s">
        <v>6874</v>
      </c>
      <c r="E202" s="690" t="s">
        <v>660</v>
      </c>
      <c r="F202" s="691"/>
      <c r="G202" s="692"/>
      <c r="H202" s="692"/>
      <c r="I202" s="692"/>
      <c r="J202" s="693"/>
      <c r="K202" s="693"/>
      <c r="L202" s="693"/>
      <c r="M202" s="694"/>
      <c r="N202" s="695"/>
      <c r="O202" s="696" t="s">
        <v>1569</v>
      </c>
      <c r="P202" s="695">
        <f>'HPM costs'!F364</f>
        <v>0</v>
      </c>
      <c r="Q202" s="695" t="s">
        <v>1569</v>
      </c>
      <c r="R202" s="695">
        <f>'HPM costs'!G364</f>
        <v>0</v>
      </c>
      <c r="S202" s="695" t="s">
        <v>1569</v>
      </c>
      <c r="T202" s="695">
        <f>'HPM costs'!H364</f>
        <v>0</v>
      </c>
      <c r="U202" s="695" t="s">
        <v>1569</v>
      </c>
      <c r="V202" s="695">
        <f>'HPM costs'!I364</f>
        <v>0</v>
      </c>
      <c r="W202" s="695"/>
      <c r="X202" s="1492">
        <f t="shared" si="24"/>
        <v>0</v>
      </c>
      <c r="Y202" s="1493"/>
      <c r="Z202" s="1494"/>
      <c r="AA202" s="699"/>
      <c r="AB202" s="695"/>
      <c r="AC202" s="695">
        <f>'HPM costs'!K364</f>
        <v>0</v>
      </c>
      <c r="AD202" s="695"/>
      <c r="AE202" s="695">
        <f>'HPM costs'!L364</f>
        <v>0</v>
      </c>
      <c r="AF202" s="695"/>
      <c r="AG202" s="695">
        <f>'HPM costs'!M364</f>
        <v>0</v>
      </c>
      <c r="AH202" s="695"/>
      <c r="AI202" s="695">
        <f>'HPM costs'!N364</f>
        <v>0</v>
      </c>
      <c r="AJ202" s="695"/>
      <c r="AK202" s="1492">
        <f t="shared" si="25"/>
        <v>0</v>
      </c>
      <c r="AL202" s="1493"/>
      <c r="AM202" s="1494"/>
      <c r="AN202" s="699"/>
      <c r="AO202" s="695"/>
      <c r="AP202" s="695">
        <f>'HPM costs'!P364</f>
        <v>0</v>
      </c>
      <c r="AQ202" s="695"/>
      <c r="AR202" s="695">
        <f>'HPM costs'!Q364</f>
        <v>0</v>
      </c>
      <c r="AS202" s="695"/>
      <c r="AT202" s="695">
        <f>'HPM costs'!R364</f>
        <v>0</v>
      </c>
      <c r="AU202" s="695"/>
      <c r="AV202" s="695">
        <f>'HPM costs'!S364</f>
        <v>0</v>
      </c>
      <c r="AW202" s="695"/>
      <c r="AX202" s="1492">
        <f t="shared" si="26"/>
        <v>0</v>
      </c>
      <c r="AY202" s="1492"/>
      <c r="AZ202" s="698"/>
      <c r="BA202" s="699"/>
      <c r="BB202" s="697"/>
      <c r="BC202" s="697">
        <v>0</v>
      </c>
      <c r="BD202" s="697">
        <v>0</v>
      </c>
      <c r="BE202" s="697">
        <v>0</v>
      </c>
      <c r="BF202" s="697">
        <v>0</v>
      </c>
      <c r="BG202" s="697">
        <v>0</v>
      </c>
      <c r="BH202" s="697">
        <v>0</v>
      </c>
      <c r="BI202" s="697">
        <v>0</v>
      </c>
      <c r="BJ202" s="697">
        <v>0</v>
      </c>
      <c r="BK202" s="1492">
        <f t="shared" si="27"/>
        <v>0</v>
      </c>
      <c r="BL202" s="1492"/>
      <c r="BM202" s="1492">
        <f t="shared" si="28"/>
        <v>0</v>
      </c>
      <c r="BN202" s="1492">
        <f t="shared" si="29"/>
        <v>0</v>
      </c>
      <c r="BO202" s="697"/>
      <c r="BP202" s="697"/>
      <c r="BQ202" s="1495" t="s">
        <v>6935</v>
      </c>
      <c r="BR202" s="1495" t="s">
        <v>818</v>
      </c>
      <c r="BS202" s="1902" t="s">
        <v>655</v>
      </c>
      <c r="BT202" s="1907" t="s">
        <v>2295</v>
      </c>
    </row>
    <row r="203" spans="1:72" ht="13">
      <c r="A203" s="1545">
        <v>596</v>
      </c>
      <c r="B203" s="1546" t="s">
        <v>780</v>
      </c>
      <c r="C203" s="1546" t="s">
        <v>795</v>
      </c>
      <c r="D203" s="1547" t="s">
        <v>6874</v>
      </c>
      <c r="E203" s="690" t="s">
        <v>662</v>
      </c>
      <c r="F203" s="691"/>
      <c r="G203" s="692"/>
      <c r="H203" s="692"/>
      <c r="I203" s="692"/>
      <c r="J203" s="693"/>
      <c r="K203" s="693"/>
      <c r="L203" s="693"/>
      <c r="M203" s="694"/>
      <c r="N203" s="695"/>
      <c r="O203" s="696" t="s">
        <v>1569</v>
      </c>
      <c r="P203" s="695">
        <f>'HPM costs'!F450</f>
        <v>0</v>
      </c>
      <c r="Q203" s="695" t="s">
        <v>1569</v>
      </c>
      <c r="R203" s="695">
        <f>'HPM costs'!G450</f>
        <v>0</v>
      </c>
      <c r="S203" s="695" t="s">
        <v>1569</v>
      </c>
      <c r="T203" s="695">
        <f>'HPM costs'!H450</f>
        <v>0</v>
      </c>
      <c r="U203" s="695" t="s">
        <v>1569</v>
      </c>
      <c r="V203" s="695">
        <f>'HPM costs'!I450</f>
        <v>0</v>
      </c>
      <c r="W203" s="695"/>
      <c r="X203" s="1492">
        <f t="shared" si="24"/>
        <v>0</v>
      </c>
      <c r="Y203" s="1493"/>
      <c r="Z203" s="1494"/>
      <c r="AA203" s="699"/>
      <c r="AB203" s="695"/>
      <c r="AC203" s="695">
        <f>'HPM costs'!K450</f>
        <v>0</v>
      </c>
      <c r="AD203" s="695"/>
      <c r="AE203" s="695">
        <f>'HPM costs'!L450</f>
        <v>0</v>
      </c>
      <c r="AF203" s="695"/>
      <c r="AG203" s="695">
        <f>'HPM costs'!M450</f>
        <v>0</v>
      </c>
      <c r="AH203" s="695"/>
      <c r="AI203" s="695">
        <f>'HPM costs'!N450</f>
        <v>0</v>
      </c>
      <c r="AJ203" s="695"/>
      <c r="AK203" s="1492">
        <f t="shared" si="25"/>
        <v>0</v>
      </c>
      <c r="AL203" s="1493"/>
      <c r="AM203" s="1494"/>
      <c r="AN203" s="699"/>
      <c r="AO203" s="695"/>
      <c r="AP203" s="695">
        <f>'HPM costs'!P450</f>
        <v>0</v>
      </c>
      <c r="AQ203" s="695"/>
      <c r="AR203" s="695">
        <f>'HPM costs'!Q450</f>
        <v>0</v>
      </c>
      <c r="AS203" s="695"/>
      <c r="AT203" s="695">
        <f>'HPM costs'!R450</f>
        <v>0</v>
      </c>
      <c r="AU203" s="695"/>
      <c r="AV203" s="695">
        <f>'HPM costs'!S450</f>
        <v>0</v>
      </c>
      <c r="AW203" s="695"/>
      <c r="AX203" s="1492">
        <f t="shared" si="26"/>
        <v>0</v>
      </c>
      <c r="AY203" s="1492"/>
      <c r="AZ203" s="698"/>
      <c r="BA203" s="699"/>
      <c r="BB203" s="697"/>
      <c r="BC203" s="697">
        <v>0</v>
      </c>
      <c r="BD203" s="697">
        <v>0</v>
      </c>
      <c r="BE203" s="697">
        <v>0</v>
      </c>
      <c r="BF203" s="697">
        <v>0</v>
      </c>
      <c r="BG203" s="697">
        <v>0</v>
      </c>
      <c r="BH203" s="697">
        <v>0</v>
      </c>
      <c r="BI203" s="697">
        <v>0</v>
      </c>
      <c r="BJ203" s="697">
        <v>0</v>
      </c>
      <c r="BK203" s="1492">
        <f t="shared" si="27"/>
        <v>0</v>
      </c>
      <c r="BL203" s="1492"/>
      <c r="BM203" s="1492">
        <f t="shared" si="28"/>
        <v>0</v>
      </c>
      <c r="BN203" s="1492">
        <f t="shared" si="29"/>
        <v>0</v>
      </c>
      <c r="BO203" s="697"/>
      <c r="BP203" s="697"/>
      <c r="BQ203" s="1495" t="s">
        <v>6935</v>
      </c>
      <c r="BR203" s="1495" t="s">
        <v>818</v>
      </c>
      <c r="BS203" s="1902" t="s">
        <v>655</v>
      </c>
      <c r="BT203" s="1907" t="s">
        <v>2296</v>
      </c>
    </row>
    <row r="204" spans="1:72" ht="13">
      <c r="A204" s="1545">
        <v>597</v>
      </c>
      <c r="B204" s="1546" t="s">
        <v>780</v>
      </c>
      <c r="C204" s="1546" t="s">
        <v>795</v>
      </c>
      <c r="D204" s="1547" t="s">
        <v>6874</v>
      </c>
      <c r="E204" s="690" t="s">
        <v>664</v>
      </c>
      <c r="F204" s="691"/>
      <c r="G204" s="692"/>
      <c r="H204" s="692"/>
      <c r="I204" s="692"/>
      <c r="J204" s="693"/>
      <c r="K204" s="693"/>
      <c r="L204" s="693"/>
      <c r="M204" s="694"/>
      <c r="N204" s="695"/>
      <c r="O204" s="696" t="s">
        <v>1569</v>
      </c>
      <c r="P204" s="695">
        <f>'HPM costs'!F190+'HPM costs'!F536</f>
        <v>0</v>
      </c>
      <c r="Q204" s="695" t="s">
        <v>1569</v>
      </c>
      <c r="R204" s="695">
        <f>'HPM costs'!G190+'HPM costs'!G536</f>
        <v>0</v>
      </c>
      <c r="S204" s="695" t="s">
        <v>1569</v>
      </c>
      <c r="T204" s="695">
        <f>'HPM costs'!H190+'HPM costs'!H536</f>
        <v>0</v>
      </c>
      <c r="U204" s="695" t="s">
        <v>1569</v>
      </c>
      <c r="V204" s="695">
        <f>'HPM costs'!I190+'HPM costs'!I536</f>
        <v>0</v>
      </c>
      <c r="W204" s="695"/>
      <c r="X204" s="1492">
        <f t="shared" si="24"/>
        <v>0</v>
      </c>
      <c r="Y204" s="1493"/>
      <c r="Z204" s="1494"/>
      <c r="AA204" s="699"/>
      <c r="AB204" s="695"/>
      <c r="AC204" s="695">
        <f>'HPM costs'!K190+'HPM costs'!K536</f>
        <v>0</v>
      </c>
      <c r="AD204" s="695"/>
      <c r="AE204" s="695">
        <f>'HPM costs'!L190+'HPM costs'!L536</f>
        <v>0</v>
      </c>
      <c r="AF204" s="695"/>
      <c r="AG204" s="695">
        <f>'HPM costs'!M190+'HPM costs'!M536</f>
        <v>0</v>
      </c>
      <c r="AH204" s="695"/>
      <c r="AI204" s="695">
        <f>'HPM costs'!N190+'HPM costs'!N536</f>
        <v>0</v>
      </c>
      <c r="AJ204" s="695"/>
      <c r="AK204" s="1492">
        <f t="shared" si="25"/>
        <v>0</v>
      </c>
      <c r="AL204" s="1493"/>
      <c r="AM204" s="1494"/>
      <c r="AN204" s="699"/>
      <c r="AO204" s="695"/>
      <c r="AP204" s="695">
        <f>'HPM costs'!P190+'HPM costs'!P536</f>
        <v>0</v>
      </c>
      <c r="AQ204" s="695"/>
      <c r="AR204" s="695">
        <f>'HPM costs'!Q190+'HPM costs'!Q536</f>
        <v>0</v>
      </c>
      <c r="AS204" s="695"/>
      <c r="AT204" s="695">
        <f>'HPM costs'!R190+'HPM costs'!R536</f>
        <v>0</v>
      </c>
      <c r="AU204" s="695"/>
      <c r="AV204" s="695">
        <f>'HPM costs'!S190+'HPM costs'!S536</f>
        <v>0</v>
      </c>
      <c r="AW204" s="695"/>
      <c r="AX204" s="1492">
        <f t="shared" si="26"/>
        <v>0</v>
      </c>
      <c r="AY204" s="1492"/>
      <c r="AZ204" s="698"/>
      <c r="BA204" s="699"/>
      <c r="BB204" s="697"/>
      <c r="BC204" s="697">
        <v>0</v>
      </c>
      <c r="BD204" s="697">
        <v>0</v>
      </c>
      <c r="BE204" s="697">
        <v>0</v>
      </c>
      <c r="BF204" s="697">
        <v>0</v>
      </c>
      <c r="BG204" s="697">
        <v>0</v>
      </c>
      <c r="BH204" s="697">
        <v>0</v>
      </c>
      <c r="BI204" s="697">
        <v>0</v>
      </c>
      <c r="BJ204" s="697">
        <v>0</v>
      </c>
      <c r="BK204" s="1492">
        <f t="shared" si="27"/>
        <v>0</v>
      </c>
      <c r="BL204" s="1492"/>
      <c r="BM204" s="1492">
        <f t="shared" si="28"/>
        <v>0</v>
      </c>
      <c r="BN204" s="1492">
        <f t="shared" si="29"/>
        <v>0</v>
      </c>
      <c r="BO204" s="697"/>
      <c r="BP204" s="697"/>
      <c r="BQ204" s="1495" t="s">
        <v>6935</v>
      </c>
      <c r="BR204" s="1495" t="s">
        <v>818</v>
      </c>
      <c r="BS204" s="1902" t="s">
        <v>655</v>
      </c>
      <c r="BT204" s="1907" t="s">
        <v>2297</v>
      </c>
    </row>
    <row r="205" spans="1:72" ht="13">
      <c r="A205" s="1545">
        <v>598</v>
      </c>
      <c r="B205" s="1546" t="s">
        <v>780</v>
      </c>
      <c r="C205" s="1546" t="s">
        <v>795</v>
      </c>
      <c r="D205" s="1547" t="s">
        <v>6874</v>
      </c>
      <c r="E205" s="690" t="s">
        <v>666</v>
      </c>
      <c r="F205" s="691"/>
      <c r="G205" s="692"/>
      <c r="H205" s="692"/>
      <c r="I205" s="692"/>
      <c r="J205" s="693"/>
      <c r="K205" s="693"/>
      <c r="L205" s="693"/>
      <c r="M205" s="694"/>
      <c r="N205" s="695"/>
      <c r="O205" s="696" t="s">
        <v>1569</v>
      </c>
      <c r="P205" s="695">
        <f>'HPM costs'!F276</f>
        <v>0</v>
      </c>
      <c r="Q205" s="695" t="s">
        <v>1569</v>
      </c>
      <c r="R205" s="695">
        <f>'HPM costs'!G276</f>
        <v>0</v>
      </c>
      <c r="S205" s="695" t="s">
        <v>1569</v>
      </c>
      <c r="T205" s="695">
        <f>'HPM costs'!H276</f>
        <v>0</v>
      </c>
      <c r="U205" s="695" t="s">
        <v>1569</v>
      </c>
      <c r="V205" s="695">
        <f>'HPM costs'!I276</f>
        <v>0</v>
      </c>
      <c r="W205" s="695"/>
      <c r="X205" s="1492">
        <f t="shared" si="24"/>
        <v>0</v>
      </c>
      <c r="Y205" s="1493"/>
      <c r="Z205" s="1494"/>
      <c r="AA205" s="699"/>
      <c r="AB205" s="695"/>
      <c r="AC205" s="695">
        <f>'HPM costs'!K276</f>
        <v>0</v>
      </c>
      <c r="AD205" s="695"/>
      <c r="AE205" s="695">
        <f>'HPM costs'!L276</f>
        <v>0</v>
      </c>
      <c r="AF205" s="695"/>
      <c r="AG205" s="695">
        <f>'HPM costs'!M276</f>
        <v>0</v>
      </c>
      <c r="AH205" s="695"/>
      <c r="AI205" s="695">
        <f>'HPM costs'!N276</f>
        <v>0</v>
      </c>
      <c r="AJ205" s="695"/>
      <c r="AK205" s="1492">
        <f t="shared" si="25"/>
        <v>0</v>
      </c>
      <c r="AL205" s="1493"/>
      <c r="AM205" s="1494"/>
      <c r="AN205" s="699"/>
      <c r="AO205" s="695"/>
      <c r="AP205" s="695">
        <f>'HPM costs'!P276</f>
        <v>0</v>
      </c>
      <c r="AQ205" s="695"/>
      <c r="AR205" s="695">
        <f>'HPM costs'!Q276</f>
        <v>0</v>
      </c>
      <c r="AS205" s="695"/>
      <c r="AT205" s="695">
        <f>'HPM costs'!R276</f>
        <v>0</v>
      </c>
      <c r="AU205" s="695"/>
      <c r="AV205" s="695">
        <f>'HPM costs'!S276</f>
        <v>0</v>
      </c>
      <c r="AW205" s="695"/>
      <c r="AX205" s="1492">
        <f t="shared" si="26"/>
        <v>0</v>
      </c>
      <c r="AY205" s="1492"/>
      <c r="AZ205" s="698"/>
      <c r="BA205" s="699"/>
      <c r="BB205" s="697"/>
      <c r="BC205" s="697">
        <v>0</v>
      </c>
      <c r="BD205" s="697">
        <v>0</v>
      </c>
      <c r="BE205" s="697">
        <v>0</v>
      </c>
      <c r="BF205" s="697">
        <v>0</v>
      </c>
      <c r="BG205" s="697">
        <v>0</v>
      </c>
      <c r="BH205" s="697">
        <v>0</v>
      </c>
      <c r="BI205" s="697">
        <v>0</v>
      </c>
      <c r="BJ205" s="697">
        <v>0</v>
      </c>
      <c r="BK205" s="1492">
        <f t="shared" si="27"/>
        <v>0</v>
      </c>
      <c r="BL205" s="1492"/>
      <c r="BM205" s="1492">
        <f t="shared" si="28"/>
        <v>0</v>
      </c>
      <c r="BN205" s="1492">
        <f t="shared" si="29"/>
        <v>0</v>
      </c>
      <c r="BO205" s="697"/>
      <c r="BP205" s="697"/>
      <c r="BQ205" s="1495" t="s">
        <v>6935</v>
      </c>
      <c r="BR205" s="1495" t="s">
        <v>818</v>
      </c>
      <c r="BS205" s="1902" t="s">
        <v>655</v>
      </c>
      <c r="BT205" s="1907" t="s">
        <v>2298</v>
      </c>
    </row>
    <row r="206" spans="1:72" ht="13">
      <c r="A206" s="1545">
        <v>599</v>
      </c>
      <c r="B206" s="1546" t="s">
        <v>780</v>
      </c>
      <c r="C206" s="1546" t="s">
        <v>795</v>
      </c>
      <c r="D206" s="1547" t="s">
        <v>6874</v>
      </c>
      <c r="E206" s="690" t="s">
        <v>668</v>
      </c>
      <c r="F206" s="691"/>
      <c r="G206" s="692"/>
      <c r="H206" s="692"/>
      <c r="I206" s="692"/>
      <c r="J206" s="693"/>
      <c r="K206" s="693"/>
      <c r="L206" s="693"/>
      <c r="M206" s="694" t="e">
        <f>X206/W206</f>
        <v>#DIV/0!</v>
      </c>
      <c r="N206" s="695"/>
      <c r="O206" s="696" t="s">
        <v>1569</v>
      </c>
      <c r="P206" s="695">
        <f>'HPM costs'!F621</f>
        <v>0</v>
      </c>
      <c r="Q206" s="695" t="s">
        <v>1569</v>
      </c>
      <c r="R206" s="695">
        <f>'HPM costs'!G621</f>
        <v>0</v>
      </c>
      <c r="S206" s="695" t="s">
        <v>1569</v>
      </c>
      <c r="T206" s="695">
        <f>'HPM costs'!H621</f>
        <v>0</v>
      </c>
      <c r="U206" s="695" t="s">
        <v>1569</v>
      </c>
      <c r="V206" s="695">
        <f>'HPM costs'!I621</f>
        <v>0</v>
      </c>
      <c r="W206" s="695"/>
      <c r="X206" s="1492">
        <f t="shared" si="24"/>
        <v>0</v>
      </c>
      <c r="Y206" s="1493"/>
      <c r="Z206" s="1494"/>
      <c r="AA206" s="699"/>
      <c r="AB206" s="695"/>
      <c r="AC206" s="695">
        <f>'HPM costs'!K621</f>
        <v>0</v>
      </c>
      <c r="AD206" s="695"/>
      <c r="AE206" s="695">
        <f>'HPM costs'!L621</f>
        <v>0</v>
      </c>
      <c r="AF206" s="695"/>
      <c r="AG206" s="695">
        <f>'HPM costs'!M621</f>
        <v>0</v>
      </c>
      <c r="AH206" s="695"/>
      <c r="AI206" s="695">
        <f>'HPM costs'!N621</f>
        <v>0</v>
      </c>
      <c r="AJ206" s="695"/>
      <c r="AK206" s="1492">
        <f t="shared" si="25"/>
        <v>0</v>
      </c>
      <c r="AL206" s="1493"/>
      <c r="AM206" s="1494"/>
      <c r="AN206" s="699"/>
      <c r="AO206" s="695"/>
      <c r="AP206" s="695">
        <f>'HPM costs'!P621</f>
        <v>0</v>
      </c>
      <c r="AQ206" s="695"/>
      <c r="AR206" s="695">
        <f>'HPM costs'!Q621</f>
        <v>0</v>
      </c>
      <c r="AS206" s="695"/>
      <c r="AT206" s="695">
        <f>'HPM costs'!R621</f>
        <v>0</v>
      </c>
      <c r="AU206" s="695"/>
      <c r="AV206" s="695">
        <f>'HPM costs'!S621</f>
        <v>0</v>
      </c>
      <c r="AW206" s="695"/>
      <c r="AX206" s="1492">
        <f t="shared" si="26"/>
        <v>0</v>
      </c>
      <c r="AY206" s="1492"/>
      <c r="AZ206" s="698"/>
      <c r="BA206" s="699"/>
      <c r="BB206" s="697"/>
      <c r="BC206" s="697">
        <v>0</v>
      </c>
      <c r="BD206" s="697">
        <v>0</v>
      </c>
      <c r="BE206" s="697">
        <v>0</v>
      </c>
      <c r="BF206" s="697">
        <v>0</v>
      </c>
      <c r="BG206" s="697">
        <v>0</v>
      </c>
      <c r="BH206" s="697">
        <v>0</v>
      </c>
      <c r="BI206" s="697">
        <v>0</v>
      </c>
      <c r="BJ206" s="697">
        <v>0</v>
      </c>
      <c r="BK206" s="1492">
        <f t="shared" si="27"/>
        <v>0</v>
      </c>
      <c r="BL206" s="1492"/>
      <c r="BM206" s="1492">
        <f t="shared" si="28"/>
        <v>0</v>
      </c>
      <c r="BN206" s="1492">
        <f t="shared" si="29"/>
        <v>0</v>
      </c>
      <c r="BO206" s="697"/>
      <c r="BP206" s="697"/>
      <c r="BQ206" s="1495" t="s">
        <v>6935</v>
      </c>
      <c r="BR206" s="1495" t="s">
        <v>818</v>
      </c>
      <c r="BS206" s="1902" t="s">
        <v>655</v>
      </c>
      <c r="BT206" s="1907" t="s">
        <v>2299</v>
      </c>
    </row>
    <row r="207" spans="1:72" ht="13">
      <c r="A207" s="1545">
        <v>608</v>
      </c>
      <c r="B207" s="1546" t="s">
        <v>780</v>
      </c>
      <c r="C207" s="1546" t="s">
        <v>789</v>
      </c>
      <c r="D207" s="1547" t="s">
        <v>6876</v>
      </c>
      <c r="E207" s="690" t="s">
        <v>791</v>
      </c>
      <c r="F207" s="691"/>
      <c r="G207" s="692"/>
      <c r="H207" s="692"/>
      <c r="I207" s="692"/>
      <c r="J207" s="693"/>
      <c r="K207" s="693"/>
      <c r="L207" s="693"/>
      <c r="M207" s="694"/>
      <c r="N207" s="695"/>
      <c r="O207" s="696" t="s">
        <v>1569</v>
      </c>
      <c r="P207" s="695">
        <f>IF(SETUP!$F$27="Upfront",'HIV-Key Info'!$E$69*SUM('EBS-H'!K296:K312),0)</f>
        <v>0</v>
      </c>
      <c r="Q207" s="695" t="s">
        <v>1569</v>
      </c>
      <c r="R207" s="695">
        <f>IF(SETUP!$F$27="Upfront",'HIV-Key Info'!$E$69*SUM('EBS-H'!O296:O312),IF(SETUP!$F$27="At delivery", IF(SETUP!$G$27=1,'HIV-Key Info'!$E$69*SUM('EBS-H'!K296:K312),0),0))</f>
        <v>0</v>
      </c>
      <c r="S207" s="695" t="s">
        <v>1569</v>
      </c>
      <c r="T207" s="695">
        <f>IF(SETUP!$F$27="Upfront",'HIV-Key Info'!$E$69*SUM('EBS-H'!S296:S312),IF(SETUP!$F$27="At delivery", IF(SETUP!$G$27=2,'HIV-Key Info'!$E$69*SUM('EBS-H'!K296:K312),IF(SETUP!$G$27=1,'HIV-Key Info'!$E$69*SUM('EBS-H'!O296:O312),0)),0))</f>
        <v>0</v>
      </c>
      <c r="U207" s="695" t="s">
        <v>1569</v>
      </c>
      <c r="V207" s="695">
        <f>IF(SETUP!$F$27="Upfront",'HIV-Key Info'!$E$69*SUM('EBS-H'!W296:W312),IF(SETUP!$F$27="At delivery", IF(SETUP!$G$27=3,'HIV-Key Info'!$E$69*SUM('EBS-H'!K296:K312),IF(SETUP!$G$27=2,'HIV-Key Info'!$E$69*SUM('EBS-H'!O296:O312),IF(SETUP!$G$27=1,'HIV-Key Info'!$E$69*SUM('EBS-H'!S296:S312),0))),0))</f>
        <v>0</v>
      </c>
      <c r="W207" s="695"/>
      <c r="X207" s="1492">
        <f t="shared" si="24"/>
        <v>0</v>
      </c>
      <c r="Y207" s="1493"/>
      <c r="Z207" s="1494"/>
      <c r="AA207" s="699"/>
      <c r="AB207" s="695"/>
      <c r="AC207" s="695">
        <f>IF(SETUP!$F$27="Upfront",'HIV-Key Info'!$E$69*SUM('EBS-H'!AC296:AC312),IF(SETUP!$F$27="At delivery", IF(SETUP!$G$27=4,'HIV-Key Info'!$E$69*SUM('EBS-H'!K296:K312),IF(SETUP!$G$27=3,'HIV-Key Info'!$E$69*SUM('EBS-H'!O296:O312),IF(SETUP!$G$27=2,'HIV-Key Info'!$E$69*SUM('EBS-H'!S296:S312),IF(SETUP!$G$27=1,'HIV-Key Info'!$E$69*SUM('EBS-H'!W296:W312),0)))),0))</f>
        <v>0</v>
      </c>
      <c r="AD207" s="695"/>
      <c r="AE207" s="695">
        <f>IF(SETUP!$F$27="Upfront",'HIV-Key Info'!$E$69*SUM('EBS-H'!AG296:AG312),IF(SETUP!$F$27="At delivery", IF(SETUP!$G$27=4,'HIV-Key Info'!$E$69*SUM('EBS-H'!O296:O312),IF(SETUP!$G$27=3,'HIV-Key Info'!$E$69*SUM('EBS-H'!S296:S312),IF(SETUP!$G$27=2,'HIV-Key Info'!$E$69*SUM('EBS-H'!W296:W312),IF(SETUP!$G$27=1,'HIV-Key Info'!$E$69*SUM('EBS-H'!AC296:AC312),0)))),0))</f>
        <v>0</v>
      </c>
      <c r="AF207" s="695"/>
      <c r="AG207" s="695">
        <f>IF(SETUP!$F$27="Upfront",'HIV-Key Info'!$E$69*SUM('EBS-H'!AK296:AK312),IF(SETUP!$F$27="At delivery", IF(SETUP!$G$27=4,'HIV-Key Info'!$E$69*SUM('EBS-H'!S296:S312),IF(SETUP!$G$27=3,'HIV-Key Info'!$E$69*SUM('EBS-H'!W296:W312),IF(SETUP!$G$27=2,'HIV-Key Info'!$E$69*SUM('EBS-H'!AC296:AC312),IF(SETUP!$G$27=1,'HIV-Key Info'!$E$69*SUM('EBS-H'!AG296:AG312),0)))),0))</f>
        <v>0</v>
      </c>
      <c r="AH207" s="695"/>
      <c r="AI207" s="695">
        <f>IF(SETUP!$F$27="Upfront",'HIV-Key Info'!$E$69*SUM('EBS-H'!AO296:AO312),IF(SETUP!$F$27="At delivery", IF(SETUP!$G$27=4,'HIV-Key Info'!$E$69*SUM('EBS-H'!W296:W312),IF(SETUP!$G$27=3,'HIV-Key Info'!$E$69*SUM('EBS-H'!AC296:AC312),IF(SETUP!$G$27=2,'HIV-Key Info'!$E$69*SUM('EBS-H'!AG296:AG312),IF(SETUP!$G$27=1,'HIV-Key Info'!$E$69*SUM('EBS-H'!AK296:AK312),0)))),0))</f>
        <v>0</v>
      </c>
      <c r="AJ207" s="695"/>
      <c r="AK207" s="1492">
        <f t="shared" si="25"/>
        <v>0</v>
      </c>
      <c r="AL207" s="1493"/>
      <c r="AM207" s="1494"/>
      <c r="AN207" s="699"/>
      <c r="AO207" s="695"/>
      <c r="AP207" s="695">
        <f>IF(SETUP!$F$27="Upfront",'HIV-Key Info'!$E$69*SUM('EBS-H'!AU296:AU312),IF(SETUP!$F$27="At delivery", IF(SETUP!$G$27=4,'HIV-Key Info'!$E$69*SUM('EBS-H'!AC296:AC312),IF(SETUP!$G$27=3,'HIV-Key Info'!$E$69*SUM('EBS-H'!AG296:AG312),IF(SETUP!$G$27=2,'HIV-Key Info'!$E$69*SUM('EBS-H'!AK296:AK312),IF(SETUP!$G$27=1,'HIV-Key Info'!$E$69*SUM('EBS-H'!AO296:AO312),0)))),0))</f>
        <v>0</v>
      </c>
      <c r="AQ207" s="695"/>
      <c r="AR207" s="695">
        <f>IF(SETUP!$F$27="Upfront",'HIV-Key Info'!$E$69*SUM('EBS-H'!AY296:AY312),IF(SETUP!$F$27="At delivery", IF(SETUP!$G$27=4,'HIV-Key Info'!$E$69*SUM('EBS-H'!AG296:AG312),IF(SETUP!$G$27=3,'HIV-Key Info'!$E$69*SUM('EBS-H'!AK296:AK312),IF(SETUP!$G$27=2,'HIV-Key Info'!$E$69*SUM('EBS-H'!AO296:AO312),IF(SETUP!$G$27=1,'HIV-Key Info'!$E$69*SUM('EBS-H'!AU296:AU312),0)))),0))</f>
        <v>0</v>
      </c>
      <c r="AS207" s="695"/>
      <c r="AT207" s="695">
        <f>IF(SETUP!$F$27="Upfront",'HIV-Key Info'!$E$69*SUM('EBS-H'!BC296:BC312),IF(SETUP!$F$27="At delivery", IF(SETUP!$G$27=4,'HIV-Key Info'!$E$69*SUM('EBS-H'!AK296:AK312),IF(SETUP!$G$27=3,'HIV-Key Info'!$E$69*SUM('EBS-H'!AO296:AO312),IF(SETUP!$G$27=2,'HIV-Key Info'!$E$69*SUM('EBS-H'!AU296:AU312),IF(SETUP!$G$27=1,'HIV-Key Info'!$E$69*SUM('EBS-H'!AY296:AY312),0)))),0))</f>
        <v>0</v>
      </c>
      <c r="AU207" s="695"/>
      <c r="AV207" s="695">
        <f>IF(SETUP!$F$27="Upfront",'HIV-Key Info'!$E$69*SUM('EBS-H'!BG296:BG312),IF(SETUP!$F$27="At delivery", IF(SETUP!$G$27=4,'HIV-Key Info'!$E$69*SUM(SUM('EBS-H'!AO296:AO312),SUM('EBS-H'!AU296:AU312),SUM('EBS-H'!AY296:AY312),SUM('EBS-H'!BC296:BC312),SUM('EBS-H'!BG296:BG312)),IF(SETUP!$G$27=3,'HIV-Key Info'!$E$69*SUM(SUM('EBS-H'!AU296:AU312),SUM('EBS-H'!AY296:AY312),SUM('EBS-H'!BC296:BC312),SUM('EBS-H'!BG296:BG312)),IF(SETUP!$G$27=2,'HIV-Key Info'!$E$69*SUM(SUM('EBS-H'!AY296:AY312),SUM('EBS-H'!BC296:BC312),SUM('EBS-H'!BG296:BG312)),IF(SETUP!$G$27=1,'HIV-Key Info'!$E$69*SUM(SUM('EBS-H'!BC296:BC312),SUM('EBS-H'!BG296:BG312)),0)))),0))</f>
        <v>0</v>
      </c>
      <c r="AW207" s="695"/>
      <c r="AX207" s="1492">
        <f t="shared" si="26"/>
        <v>0</v>
      </c>
      <c r="AY207" s="1492"/>
      <c r="AZ207" s="698"/>
      <c r="BA207" s="699"/>
      <c r="BB207" s="697"/>
      <c r="BC207" s="697">
        <v>0</v>
      </c>
      <c r="BD207" s="697">
        <v>0</v>
      </c>
      <c r="BE207" s="697">
        <v>0</v>
      </c>
      <c r="BF207" s="697">
        <v>0</v>
      </c>
      <c r="BG207" s="697">
        <v>0</v>
      </c>
      <c r="BH207" s="697">
        <v>0</v>
      </c>
      <c r="BI207" s="697">
        <v>0</v>
      </c>
      <c r="BJ207" s="697">
        <v>0</v>
      </c>
      <c r="BK207" s="1492">
        <f t="shared" si="27"/>
        <v>0</v>
      </c>
      <c r="BL207" s="1492"/>
      <c r="BM207" s="1492">
        <f t="shared" si="28"/>
        <v>0</v>
      </c>
      <c r="BN207" s="1492">
        <f t="shared" si="29"/>
        <v>0</v>
      </c>
      <c r="BO207" s="697"/>
      <c r="BP207" s="697"/>
      <c r="BQ207" s="1495" t="s">
        <v>6935</v>
      </c>
      <c r="BR207" s="1495" t="s">
        <v>818</v>
      </c>
      <c r="BS207" s="1902" t="s">
        <v>790</v>
      </c>
      <c r="BT207" s="1907" t="s">
        <v>1926</v>
      </c>
    </row>
    <row r="208" spans="1:72" ht="13">
      <c r="A208" s="1545">
        <v>609</v>
      </c>
      <c r="B208" s="1546" t="s">
        <v>780</v>
      </c>
      <c r="C208" s="1546" t="s">
        <v>789</v>
      </c>
      <c r="D208" s="1547" t="s">
        <v>6876</v>
      </c>
      <c r="E208" s="690" t="s">
        <v>793</v>
      </c>
      <c r="F208" s="691"/>
      <c r="G208" s="692"/>
      <c r="H208" s="692"/>
      <c r="I208" s="692"/>
      <c r="J208" s="693"/>
      <c r="K208" s="693"/>
      <c r="L208" s="693"/>
      <c r="M208" s="694"/>
      <c r="N208" s="695"/>
      <c r="O208" s="696" t="s">
        <v>1569</v>
      </c>
      <c r="P208" s="695">
        <f>IF(SETUP!$F$27="Upfront",'HIV-Key Info'!$F$69*SUM('EBS-H'!K313:K317),0)</f>
        <v>0</v>
      </c>
      <c r="Q208" s="695" t="s">
        <v>1569</v>
      </c>
      <c r="R208" s="695">
        <f>IF(SETUP!$F$27="Upfront",'HIV-Key Info'!$F$69*SUM('EBS-H'!O313:O317),IF(SETUP!$F$27="At delivery", IF(SETUP!$G$27=1,'HIV-Key Info'!$F$69*SUM('EBS-H'!K313:K317),0),0))</f>
        <v>0</v>
      </c>
      <c r="S208" s="695" t="s">
        <v>1569</v>
      </c>
      <c r="T208" s="695">
        <f>IF(SETUP!$F$27="Upfront",'HIV-Key Info'!$F$69*SUM('EBS-H'!S313:S317),IF(SETUP!$F$27="At delivery", IF(SETUP!$G$27=2,'HIV-Key Info'!$F$69*SUM('EBS-H'!K313:K317),IF(SETUP!$G$27=1,'HIV-Key Info'!$F$69*SUM('EBS-H'!O313:O317),0)),0))</f>
        <v>0</v>
      </c>
      <c r="U208" s="695" t="s">
        <v>1569</v>
      </c>
      <c r="V208" s="695">
        <f>IF(SETUP!$F$27="Upfront",'HIV-Key Info'!$F$69*SUM('EBS-H'!W313:W317),IF(SETUP!$F$27="At delivery", IF(SETUP!$G$27=3,'HIV-Key Info'!$F$69*SUM('EBS-H'!K313:K317),IF(SETUP!$G$27=2,'HIV-Key Info'!$F$69*SUM('EBS-H'!O313:O317),IF(SETUP!$G$27=1,'HIV-Key Info'!$F$69*SUM('EBS-H'!S313:S317),0))),0))</f>
        <v>0</v>
      </c>
      <c r="W208" s="695"/>
      <c r="X208" s="1492">
        <f t="shared" si="24"/>
        <v>0</v>
      </c>
      <c r="Y208" s="1493"/>
      <c r="Z208" s="1494"/>
      <c r="AA208" s="699"/>
      <c r="AB208" s="695"/>
      <c r="AC208" s="695">
        <f>IF(SETUP!$F$27="Upfront",'HIV-Key Info'!$F$69*SUM('EBS-H'!AC313:AC317),IF(SETUP!$F$27="At delivery", IF(SETUP!$G$27=4,'HIV-Key Info'!$F$69*SUM('EBS-H'!K313:K317),IF(SETUP!$G$27=3,'HIV-Key Info'!$F$69*SUM('EBS-H'!O313:O317),IF(SETUP!$G$27=2,'HIV-Key Info'!$F$69*SUM('EBS-H'!S313:S317),IF(SETUP!$G$27=1,'HIV-Key Info'!$F$69*SUM('EBS-H'!W313:W317),0)))),0))</f>
        <v>0</v>
      </c>
      <c r="AD208" s="695"/>
      <c r="AE208" s="695">
        <f>IF(SETUP!$F$27="Upfront",'HIV-Key Info'!$F$69*SUM('EBS-H'!AG313:AG317),IF(SETUP!$F$27="At delivery", IF(SETUP!$G$27=4,'HIV-Key Info'!$F$69*SUM('EBS-H'!O313:O317),IF(SETUP!$G$27=3,'HIV-Key Info'!$F$69*SUM('EBS-H'!S313:S317),IF(SETUP!$G$27=2,'HIV-Key Info'!$F$69*SUM('EBS-H'!W313:W317),IF(SETUP!$G$27=1,'HIV-Key Info'!$F$69*SUM('EBS-H'!AC313:AC317),0)))),0))</f>
        <v>0</v>
      </c>
      <c r="AF208" s="695"/>
      <c r="AG208" s="695">
        <f>IF(SETUP!$F$27="Upfront",'HIV-Key Info'!$F$69*SUM('EBS-H'!AK313:AK317),IF(SETUP!$F$27="At delivery", IF(SETUP!$G$27=4,'HIV-Key Info'!$F$69*SUM('EBS-H'!S313:S317),IF(SETUP!$G$27=3,'HIV-Key Info'!$F$69*SUM('EBS-H'!W313:W317),IF(SETUP!$G$27=2,'HIV-Key Info'!$F$69*SUM('EBS-H'!AC313:AC317),IF(SETUP!$G$27=1,'HIV-Key Info'!$F$69*SUM('EBS-H'!AG313:AG317),0)))),0))</f>
        <v>0</v>
      </c>
      <c r="AH208" s="695"/>
      <c r="AI208" s="695">
        <f>IF(SETUP!$F$27="Upfront",'HIV-Key Info'!$F$69*SUM('EBS-H'!AO313:AO317),IF(SETUP!$F$27="At delivery", IF(SETUP!$G$27=4,'HIV-Key Info'!$F$69*SUM('EBS-H'!W313:W317),IF(SETUP!$G$27=3,'HIV-Key Info'!$F$69*SUM('EBS-H'!AC313:AC317),IF(SETUP!$G$27=2,'HIV-Key Info'!$F$69*SUM('EBS-H'!AG313:AG317),IF(SETUP!$G$27=1,'HIV-Key Info'!$F$69*SUM('EBS-H'!AK313:AK317),0)))),0))</f>
        <v>0</v>
      </c>
      <c r="AJ208" s="695"/>
      <c r="AK208" s="1492">
        <f t="shared" si="25"/>
        <v>0</v>
      </c>
      <c r="AL208" s="1493"/>
      <c r="AM208" s="1494"/>
      <c r="AN208" s="699"/>
      <c r="AO208" s="695"/>
      <c r="AP208" s="695">
        <f>IF(SETUP!$F$27="Upfront",'HIV-Key Info'!$F$69*SUM('EBS-H'!AU313:AU317),IF(SETUP!$F$27="At delivery", IF(SETUP!$G$27=4,'HIV-Key Info'!$F$69*SUM('EBS-H'!AC313:AC317),IF(SETUP!$G$27=3,'HIV-Key Info'!$F$69*SUM('EBS-H'!AG313:AG317),IF(SETUP!$G$27=2,'HIV-Key Info'!$F$69*SUM('EBS-H'!AK313:AK317),IF(SETUP!$G$27=1,'HIV-Key Info'!$F$69*SUM('EBS-H'!AO313:AO317),0)))),0))</f>
        <v>0</v>
      </c>
      <c r="AQ208" s="695"/>
      <c r="AR208" s="695">
        <f>IF(SETUP!$F$27="Upfront",'HIV-Key Info'!$F$69*SUM('EBS-H'!AY313:AY317),IF(SETUP!$F$27="At delivery", IF(SETUP!$G$27=4,'HIV-Key Info'!$F$69*SUM('EBS-H'!AG313:AG317),IF(SETUP!$G$27=3,'HIV-Key Info'!$F$69*SUM('EBS-H'!AK313:AK317),IF(SETUP!$G$27=2,'HIV-Key Info'!$F$69*SUM('EBS-H'!AO313:AO317),IF(SETUP!$G$27=1,'HIV-Key Info'!$F$69*SUM('EBS-H'!AU313:AU317),0)))),0))</f>
        <v>0</v>
      </c>
      <c r="AS208" s="695"/>
      <c r="AT208" s="695">
        <f>IF(SETUP!$F$27="Upfront",'HIV-Key Info'!$F$69*SUM('EBS-H'!BC313:BC317),IF(SETUP!$F$27="At delivery", IF(SETUP!$G$27=4,'HIV-Key Info'!$F$69*SUM('EBS-H'!AK313:AK317),IF(SETUP!$G$27=3,'HIV-Key Info'!$F$69*SUM('EBS-H'!AO313:AO317),IF(SETUP!$G$27=2,'HIV-Key Info'!$F$69*SUM('EBS-H'!AU313:AU317),IF(SETUP!$G$27=1,'HIV-Key Info'!$F$69*SUM('EBS-H'!AY313:AY317),0)))),0))</f>
        <v>0</v>
      </c>
      <c r="AU208" s="695"/>
      <c r="AV208" s="695">
        <f>IF(SETUP!$F$27="Upfront",'HIV-Key Info'!$F$69*SUM('EBS-H'!BG313:BG317),IF(SETUP!$F$27="At delivery", IF(SETUP!$G$27=4,'HIV-Key Info'!$F$69*SUM(SUM('EBS-H'!AO313:AO317),SUM('EBS-H'!AU313:AU317),SUM('EBS-H'!AY313:AY317),SUM('EBS-H'!BC313:BC317),SUM('EBS-H'!BG313:BG317)),IF(SETUP!$G$27=3,'HIV-Key Info'!$F$69*SUM(SUM('EBS-H'!AU313:AU317),SUM('EBS-H'!AY313:AY317),SUM('EBS-H'!BC313:BC317),SUM('EBS-H'!BG313:BG317)),IF(SETUP!$G$27=2,'HIV-Key Info'!$F$69*SUM(SUM('EBS-H'!AY313:AY317),SUM('EBS-H'!BC313:BC317),SUM('EBS-H'!BG313:BG317)),IF(SETUP!$G$27=1,'HIV-Key Info'!$F$69*SUM(SUM('EBS-H'!BC313:BC317),SUM('EBS-H'!BG313:BG317)),0)))),0))</f>
        <v>0</v>
      </c>
      <c r="AW208" s="695"/>
      <c r="AX208" s="1492">
        <f t="shared" si="26"/>
        <v>0</v>
      </c>
      <c r="AY208" s="1492"/>
      <c r="AZ208" s="698"/>
      <c r="BA208" s="699"/>
      <c r="BB208" s="697"/>
      <c r="BC208" s="697">
        <v>0</v>
      </c>
      <c r="BD208" s="697">
        <v>0</v>
      </c>
      <c r="BE208" s="697">
        <v>0</v>
      </c>
      <c r="BF208" s="697">
        <v>0</v>
      </c>
      <c r="BG208" s="697">
        <v>0</v>
      </c>
      <c r="BH208" s="697">
        <v>0</v>
      </c>
      <c r="BI208" s="697">
        <v>0</v>
      </c>
      <c r="BJ208" s="697">
        <v>0</v>
      </c>
      <c r="BK208" s="1492">
        <f t="shared" si="27"/>
        <v>0</v>
      </c>
      <c r="BL208" s="1492"/>
      <c r="BM208" s="1492">
        <f t="shared" si="28"/>
        <v>0</v>
      </c>
      <c r="BN208" s="1492">
        <f t="shared" si="29"/>
        <v>0</v>
      </c>
      <c r="BO208" s="697"/>
      <c r="BP208" s="697"/>
      <c r="BQ208" s="1495" t="s">
        <v>6935</v>
      </c>
      <c r="BR208" s="1495" t="s">
        <v>818</v>
      </c>
      <c r="BS208" s="1902" t="s">
        <v>790</v>
      </c>
      <c r="BT208" s="1907" t="s">
        <v>1927</v>
      </c>
    </row>
    <row r="209" spans="1:72" ht="13">
      <c r="A209" s="1545">
        <v>610</v>
      </c>
      <c r="B209" s="1546" t="s">
        <v>780</v>
      </c>
      <c r="C209" s="1546" t="s">
        <v>789</v>
      </c>
      <c r="D209" s="1547" t="s">
        <v>6876</v>
      </c>
      <c r="E209" s="690" t="s">
        <v>725</v>
      </c>
      <c r="F209" s="691"/>
      <c r="G209" s="692"/>
      <c r="H209" s="692"/>
      <c r="I209" s="692"/>
      <c r="J209" s="693"/>
      <c r="K209" s="693"/>
      <c r="L209" s="693"/>
      <c r="M209" s="694"/>
      <c r="N209" s="695"/>
      <c r="O209" s="696" t="s">
        <v>1569</v>
      </c>
      <c r="P209" s="695">
        <f>IF(SETUP!$F$28="Upfront",'HIV-Key Info'!$G$69*SUM('EBS-H'!K318:K322),0)</f>
        <v>0</v>
      </c>
      <c r="Q209" s="695" t="s">
        <v>1569</v>
      </c>
      <c r="R209" s="695">
        <f>IF(SETUP!$F$28="Upfront",'HIV-Key Info'!$G$69*SUM('EBS-H'!O318:O322),IF(SETUP!$F$28="At delivery", IF(SETUP!$G$28=1,'HIV-Key Info'!$G$69*SUM('EBS-H'!K318:K322),0),0))</f>
        <v>0</v>
      </c>
      <c r="S209" s="695" t="s">
        <v>1569</v>
      </c>
      <c r="T209" s="695">
        <f>IF(SETUP!$F$28="Upfront",'HIV-Key Info'!$G$69*SUM('EBS-H'!S318:S322),IF(SETUP!$F$28="At delivery", IF(SETUP!$G$28=2,'HIV-Key Info'!$G$69*SUM('EBS-H'!K318:K322),IF(SETUP!$G$28=1,'HIV-Key Info'!$G$69*SUM('EBS-H'!O318:O322),0)),0))</f>
        <v>0</v>
      </c>
      <c r="U209" s="695" t="s">
        <v>1569</v>
      </c>
      <c r="V209" s="695">
        <f>IF(SETUP!$F$28="Upfront",'HIV-Key Info'!$G$69*SUM('EBS-H'!W318:W322),IF(SETUP!$F$28="At delivery", IF(SETUP!$G$28=3,'HIV-Key Info'!$G$69*SUM('EBS-H'!K318:K322),IF(SETUP!$G$28=2,'HIV-Key Info'!$G$69*SUM('EBS-H'!O318:O322),IF(SETUP!$G$28=1,'HIV-Key Info'!$G$69*SUM('EBS-H'!S318:S322),0))),0))</f>
        <v>0</v>
      </c>
      <c r="W209" s="695"/>
      <c r="X209" s="1492">
        <f t="shared" si="24"/>
        <v>0</v>
      </c>
      <c r="Y209" s="1493"/>
      <c r="Z209" s="1494"/>
      <c r="AA209" s="699"/>
      <c r="AB209" s="695"/>
      <c r="AC209" s="695">
        <f>IF(SETUP!$F$28="Upfront",'HIV-Key Info'!$G$69*SUM('EBS-H'!AC318:AC322),IF(SETUP!$F$28="At delivery", IF(SETUP!$G$28=4,'HIV-Key Info'!$G$69*SUM('EBS-H'!K318:K322),IF(SETUP!$G$28=3,'HIV-Key Info'!$G$69*SUM('EBS-H'!O318:O322),IF(SETUP!$G$28=2,'HIV-Key Info'!$G$69*SUM('EBS-H'!S318:S322),IF(SETUP!$G$28=1,'HIV-Key Info'!$G$69*SUM('EBS-H'!W318:W322),0)))),0))</f>
        <v>0</v>
      </c>
      <c r="AD209" s="695"/>
      <c r="AE209" s="695">
        <f>IF(SETUP!$F$28="Upfront",'HIV-Key Info'!$G$69*SUM('EBS-H'!AG318:AG322),IF(SETUP!$F$28="At delivery", IF(SETUP!$G$28=4,'HIV-Key Info'!$G$69*SUM('EBS-H'!O318:O322),IF(SETUP!$G$28=3,'HIV-Key Info'!$G$69*SUM('EBS-H'!S318:S322),IF(SETUP!$G$28=2,'HIV-Key Info'!$G$69*SUM('EBS-H'!W318:W322),IF(SETUP!$G$28=1,'HIV-Key Info'!$G$69*SUM('EBS-H'!AC318:AC322),0)))),0))</f>
        <v>0</v>
      </c>
      <c r="AF209" s="695"/>
      <c r="AG209" s="695">
        <f>IF(SETUP!$F$28="Upfront",'HIV-Key Info'!$G$69*SUM('EBS-H'!AK318:AK322),IF(SETUP!$F$28="At delivery", IF(SETUP!$G$28=4,'HIV-Key Info'!$G$69*SUM('EBS-H'!S318:S322),IF(SETUP!$G$28=3,'HIV-Key Info'!$G$69*SUM('EBS-H'!W318:W322),IF(SETUP!$G$28=2,'HIV-Key Info'!$G$69*SUM('EBS-H'!AC318:AC322),IF(SETUP!$G$28=1,'HIV-Key Info'!$G$69*SUM('EBS-H'!AG318:AG322),0)))),0))</f>
        <v>0</v>
      </c>
      <c r="AH209" s="695"/>
      <c r="AI209" s="695">
        <f>IF(SETUP!$F$28="Upfront",'HIV-Key Info'!$G$69*SUM('EBS-H'!AO318:AO322),IF(SETUP!$F$28="At delivery", IF(SETUP!$G$28=4,'HIV-Key Info'!$G$69*SUM('EBS-H'!W318:W322),IF(SETUP!$G$28=3,'HIV-Key Info'!$G$69*SUM('EBS-H'!AC318:AC322),IF(SETUP!$G$28=2,'HIV-Key Info'!$G$69*SUM('EBS-H'!AG318:AG322),IF(SETUP!$G$28=1,'HIV-Key Info'!$G$69*SUM('EBS-H'!AK318:AK322),0)))),0))</f>
        <v>0</v>
      </c>
      <c r="AJ209" s="695"/>
      <c r="AK209" s="1492">
        <f t="shared" si="25"/>
        <v>0</v>
      </c>
      <c r="AL209" s="1493"/>
      <c r="AM209" s="1494"/>
      <c r="AN209" s="699"/>
      <c r="AO209" s="695"/>
      <c r="AP209" s="695">
        <f>IF(SETUP!$F$28="Upfront",'HIV-Key Info'!$G$69*SUM('EBS-H'!AU318:AU322),IF(SETUP!$F$28="At delivery", IF(SETUP!$G$28=4,'HIV-Key Info'!$G$69*SUM('EBS-H'!AC318:AC322),IF(SETUP!$G$28=3,'HIV-Key Info'!$G$69*SUM('EBS-H'!AG318:AG322),IF(SETUP!$G$28=2,'HIV-Key Info'!$G$69*SUM('EBS-H'!AK318:AK322),IF(SETUP!$G$28=1,'HIV-Key Info'!$G$69*SUM('EBS-H'!AO318:AO322),0)))),0))</f>
        <v>0</v>
      </c>
      <c r="AQ209" s="695"/>
      <c r="AR209" s="695">
        <f>IF(SETUP!$F$28="Upfront",'HIV-Key Info'!$G$69*SUM('EBS-H'!AY318:AY322),IF(SETUP!$F$28="At delivery", IF(SETUP!$G$28=4,'HIV-Key Info'!$G$69*SUM('EBS-H'!AG318:AG322),IF(SETUP!$G$28=3,'HIV-Key Info'!$G$69*SUM('EBS-H'!AK318:AK322),IF(SETUP!$G$28=2,'HIV-Key Info'!$G$69*SUM('EBS-H'!AO318:AO322),IF(SETUP!$G$28=1,'HIV-Key Info'!$G$69*SUM('EBS-H'!AU318:AU322),0)))),0))</f>
        <v>0</v>
      </c>
      <c r="AS209" s="695"/>
      <c r="AT209" s="695">
        <f>IF(SETUP!$F$28="Upfront",'HIV-Key Info'!$G$69*SUM('EBS-H'!BC318:BC322),IF(SETUP!$F$28="At delivery", IF(SETUP!$G$28=4,'HIV-Key Info'!$G$69*SUM('EBS-H'!AK318:AK322),IF(SETUP!$G$28=3,'HIV-Key Info'!$G$69*SUM('EBS-H'!AO318:AO322),IF(SETUP!$G$28=2,'HIV-Key Info'!$G$69*SUM('EBS-H'!AU318:AU322),IF(SETUP!$G$28=1,'HIV-Key Info'!$G$69*SUM('EBS-H'!AY318:AY322),0)))),0))</f>
        <v>0</v>
      </c>
      <c r="AU209" s="695"/>
      <c r="AV209" s="695">
        <f>IF(SETUP!$F$28="Upfront",'HIV-Key Info'!$G$69*SUM('EBS-H'!BG318:BG322),IF(SETUP!$F$28="At delivery", IF(SETUP!$G$28=4,'HIV-Key Info'!$G$69*SUM(SUM('EBS-H'!AO318:AO322),SUM('EBS-H'!AU318:AU322),SUM('EBS-H'!AY318:AY322),SUM('EBS-H'!BC318:BC322),SUM('EBS-H'!BG318:BG322)),IF(SETUP!$G$28=3,'HIV-Key Info'!$G$69*SUM(SUM('EBS-H'!AU318:AU322),SUM('EBS-H'!AY318:AY322),SUM('EBS-H'!BC318:BC322),SUM('EBS-H'!BG318:BG322)),IF(SETUP!$G$28=2,'HIV-Key Info'!$G$69*SUM(SUM('EBS-H'!AY318:AY322),SUM('EBS-H'!BC318:BC322),SUM('EBS-H'!BG318:BG322)),IF(SETUP!$G$28=1,'HIV-Key Info'!$G$69*SUM(SUM('EBS-H'!BC318:BC322),SUM('EBS-H'!BG318:BG322)),0)))),0))</f>
        <v>0</v>
      </c>
      <c r="AW209" s="695"/>
      <c r="AX209" s="1492">
        <f t="shared" si="26"/>
        <v>0</v>
      </c>
      <c r="AY209" s="1492"/>
      <c r="AZ209" s="698"/>
      <c r="BA209" s="699"/>
      <c r="BB209" s="697"/>
      <c r="BC209" s="697">
        <v>0</v>
      </c>
      <c r="BD209" s="697">
        <v>0</v>
      </c>
      <c r="BE209" s="697">
        <v>0</v>
      </c>
      <c r="BF209" s="697">
        <v>0</v>
      </c>
      <c r="BG209" s="697">
        <v>0</v>
      </c>
      <c r="BH209" s="697">
        <v>0</v>
      </c>
      <c r="BI209" s="697">
        <v>0</v>
      </c>
      <c r="BJ209" s="697">
        <v>0</v>
      </c>
      <c r="BK209" s="1492">
        <f t="shared" si="27"/>
        <v>0</v>
      </c>
      <c r="BL209" s="1492"/>
      <c r="BM209" s="1492">
        <f t="shared" si="28"/>
        <v>0</v>
      </c>
      <c r="BN209" s="1492">
        <f t="shared" si="29"/>
        <v>0</v>
      </c>
      <c r="BO209" s="697"/>
      <c r="BP209" s="697"/>
      <c r="BQ209" s="1495" t="s">
        <v>6935</v>
      </c>
      <c r="BR209" s="1495" t="s">
        <v>818</v>
      </c>
      <c r="BS209" s="1902" t="s">
        <v>790</v>
      </c>
      <c r="BT209" s="1907" t="s">
        <v>1928</v>
      </c>
    </row>
    <row r="210" spans="1:72" ht="13">
      <c r="A210" s="1545">
        <v>611</v>
      </c>
      <c r="B210" s="1546" t="s">
        <v>780</v>
      </c>
      <c r="C210" s="1546" t="s">
        <v>789</v>
      </c>
      <c r="D210" s="1547" t="s">
        <v>6874</v>
      </c>
      <c r="E210" s="690" t="s">
        <v>656</v>
      </c>
      <c r="F210" s="691"/>
      <c r="G210" s="692"/>
      <c r="H210" s="692"/>
      <c r="I210" s="692"/>
      <c r="J210" s="693"/>
      <c r="K210" s="693"/>
      <c r="L210" s="693"/>
      <c r="M210" s="694"/>
      <c r="N210" s="695"/>
      <c r="O210" s="696" t="s">
        <v>1569</v>
      </c>
      <c r="P210" s="695">
        <f>'HIV-Key Info'!$E$69*('HPM costs'!F27+'HPM costs'!F30)</f>
        <v>0</v>
      </c>
      <c r="Q210" s="695" t="s">
        <v>1569</v>
      </c>
      <c r="R210" s="695">
        <f>'HIV-Key Info'!$E$69*('HPM costs'!G27+'HPM costs'!G30)</f>
        <v>0</v>
      </c>
      <c r="S210" s="695" t="s">
        <v>1569</v>
      </c>
      <c r="T210" s="695">
        <f>'HIV-Key Info'!$E$69*('HPM costs'!H27+'HPM costs'!H30)</f>
        <v>0</v>
      </c>
      <c r="U210" s="695" t="s">
        <v>1569</v>
      </c>
      <c r="V210" s="695">
        <f>'HIV-Key Info'!$E$69*('HPM costs'!I27+'HPM costs'!I30)</f>
        <v>0</v>
      </c>
      <c r="W210" s="695"/>
      <c r="X210" s="1492">
        <f t="shared" si="24"/>
        <v>0</v>
      </c>
      <c r="Y210" s="1493"/>
      <c r="Z210" s="1494"/>
      <c r="AA210" s="699"/>
      <c r="AB210" s="695"/>
      <c r="AC210" s="695">
        <f>'HIV-Key Info'!$E$69*('HPM costs'!K27+'HPM costs'!K30)</f>
        <v>0</v>
      </c>
      <c r="AD210" s="695"/>
      <c r="AE210" s="695">
        <f>'HIV-Key Info'!$E$69*('HPM costs'!L27+'HPM costs'!L30)</f>
        <v>0</v>
      </c>
      <c r="AF210" s="695"/>
      <c r="AG210" s="695">
        <f>'HIV-Key Info'!$E$69*('HPM costs'!M27+'HPM costs'!M30)</f>
        <v>0</v>
      </c>
      <c r="AH210" s="695"/>
      <c r="AI210" s="695">
        <f>'HIV-Key Info'!$E$69*('HPM costs'!N27+'HPM costs'!N30)</f>
        <v>0</v>
      </c>
      <c r="AJ210" s="695"/>
      <c r="AK210" s="1492">
        <f t="shared" si="25"/>
        <v>0</v>
      </c>
      <c r="AL210" s="1493"/>
      <c r="AM210" s="1494"/>
      <c r="AN210" s="699"/>
      <c r="AO210" s="695"/>
      <c r="AP210" s="695">
        <f>'HIV-Key Info'!$E$69*('HPM costs'!P27+'HPM costs'!P30)</f>
        <v>0</v>
      </c>
      <c r="AQ210" s="695"/>
      <c r="AR210" s="695">
        <f>'HIV-Key Info'!$E$69*('HPM costs'!Q27+'HPM costs'!Q30)</f>
        <v>0</v>
      </c>
      <c r="AS210" s="695"/>
      <c r="AT210" s="695">
        <f>'HIV-Key Info'!$E$69*('HPM costs'!R27+'HPM costs'!R30)</f>
        <v>0</v>
      </c>
      <c r="AU210" s="695"/>
      <c r="AV210" s="695">
        <f>'HIV-Key Info'!$E$69*('HPM costs'!S27+'HPM costs'!S30)</f>
        <v>0</v>
      </c>
      <c r="AW210" s="695"/>
      <c r="AX210" s="1492">
        <f t="shared" si="26"/>
        <v>0</v>
      </c>
      <c r="AY210" s="1492"/>
      <c r="AZ210" s="698"/>
      <c r="BA210" s="699"/>
      <c r="BB210" s="697"/>
      <c r="BC210" s="697">
        <v>0</v>
      </c>
      <c r="BD210" s="697">
        <v>0</v>
      </c>
      <c r="BE210" s="697">
        <v>0</v>
      </c>
      <c r="BF210" s="697">
        <v>0</v>
      </c>
      <c r="BG210" s="697">
        <v>0</v>
      </c>
      <c r="BH210" s="697">
        <v>0</v>
      </c>
      <c r="BI210" s="697">
        <v>0</v>
      </c>
      <c r="BJ210" s="697">
        <v>0</v>
      </c>
      <c r="BK210" s="1492">
        <f t="shared" si="27"/>
        <v>0</v>
      </c>
      <c r="BL210" s="1492"/>
      <c r="BM210" s="1492">
        <f t="shared" si="28"/>
        <v>0</v>
      </c>
      <c r="BN210" s="1492">
        <f t="shared" si="29"/>
        <v>0</v>
      </c>
      <c r="BO210" s="697"/>
      <c r="BP210" s="697"/>
      <c r="BQ210" s="1495" t="s">
        <v>6935</v>
      </c>
      <c r="BR210" s="1495" t="s">
        <v>818</v>
      </c>
      <c r="BS210" s="1902" t="s">
        <v>655</v>
      </c>
      <c r="BT210" s="1907" t="s">
        <v>1929</v>
      </c>
    </row>
    <row r="211" spans="1:72" ht="13">
      <c r="A211" s="1545">
        <v>612</v>
      </c>
      <c r="B211" s="1546" t="s">
        <v>780</v>
      </c>
      <c r="C211" s="1546" t="s">
        <v>789</v>
      </c>
      <c r="D211" s="1547" t="s">
        <v>6874</v>
      </c>
      <c r="E211" s="690" t="s">
        <v>658</v>
      </c>
      <c r="F211" s="691"/>
      <c r="G211" s="692"/>
      <c r="H211" s="692"/>
      <c r="I211" s="692"/>
      <c r="J211" s="693"/>
      <c r="K211" s="693"/>
      <c r="L211" s="693"/>
      <c r="M211" s="694"/>
      <c r="N211" s="695"/>
      <c r="O211" s="696" t="s">
        <v>1569</v>
      </c>
      <c r="P211" s="695">
        <f>'HIV-Key Info'!$E$69*('HPM costs'!F113+'HPM costs'!F116)</f>
        <v>0</v>
      </c>
      <c r="Q211" s="695" t="s">
        <v>1569</v>
      </c>
      <c r="R211" s="695">
        <f>'HIV-Key Info'!$E$69*('HPM costs'!G113+'HPM costs'!G116)</f>
        <v>0</v>
      </c>
      <c r="S211" s="695" t="s">
        <v>1569</v>
      </c>
      <c r="T211" s="695">
        <f>'HIV-Key Info'!$E$69*('HPM costs'!H113+'HPM costs'!H116)</f>
        <v>0</v>
      </c>
      <c r="U211" s="695" t="s">
        <v>1569</v>
      </c>
      <c r="V211" s="695">
        <f>'HIV-Key Info'!$E$69*('HPM costs'!I113+'HPM costs'!I116)</f>
        <v>0</v>
      </c>
      <c r="W211" s="695"/>
      <c r="X211" s="1492">
        <f t="shared" si="24"/>
        <v>0</v>
      </c>
      <c r="Y211" s="1493"/>
      <c r="Z211" s="1494"/>
      <c r="AA211" s="699"/>
      <c r="AB211" s="695"/>
      <c r="AC211" s="695">
        <f>'HIV-Key Info'!$E$69*('HPM costs'!K113+'HPM costs'!K116)</f>
        <v>0</v>
      </c>
      <c r="AD211" s="695"/>
      <c r="AE211" s="695">
        <f>'HIV-Key Info'!$E$69*('HPM costs'!L113+'HPM costs'!L116)</f>
        <v>0</v>
      </c>
      <c r="AF211" s="695"/>
      <c r="AG211" s="695">
        <f>'HIV-Key Info'!$E$69*('HPM costs'!M113+'HPM costs'!M116)</f>
        <v>0</v>
      </c>
      <c r="AH211" s="695"/>
      <c r="AI211" s="695">
        <f>'HIV-Key Info'!$E$69*('HPM costs'!N113+'HPM costs'!N116)</f>
        <v>0</v>
      </c>
      <c r="AJ211" s="695"/>
      <c r="AK211" s="1492">
        <f t="shared" si="25"/>
        <v>0</v>
      </c>
      <c r="AL211" s="1493"/>
      <c r="AM211" s="1494"/>
      <c r="AN211" s="699"/>
      <c r="AO211" s="695"/>
      <c r="AP211" s="695">
        <f>'HIV-Key Info'!$E$69*('HPM costs'!P113+'HPM costs'!P116)</f>
        <v>0</v>
      </c>
      <c r="AQ211" s="695"/>
      <c r="AR211" s="695">
        <f>'HIV-Key Info'!$E$69*('HPM costs'!Q113+'HPM costs'!Q116)</f>
        <v>0</v>
      </c>
      <c r="AS211" s="695"/>
      <c r="AT211" s="695">
        <f>'HIV-Key Info'!$E$69*('HPM costs'!R113+'HPM costs'!R116)</f>
        <v>0</v>
      </c>
      <c r="AU211" s="695"/>
      <c r="AV211" s="695">
        <f>'HIV-Key Info'!$E$69*('HPM costs'!S113+'HPM costs'!S116)</f>
        <v>0</v>
      </c>
      <c r="AW211" s="695"/>
      <c r="AX211" s="1492">
        <f t="shared" si="26"/>
        <v>0</v>
      </c>
      <c r="AY211" s="1492"/>
      <c r="AZ211" s="698"/>
      <c r="BA211" s="699"/>
      <c r="BB211" s="697"/>
      <c r="BC211" s="697">
        <v>0</v>
      </c>
      <c r="BD211" s="697">
        <v>0</v>
      </c>
      <c r="BE211" s="697">
        <v>0</v>
      </c>
      <c r="BF211" s="697">
        <v>0</v>
      </c>
      <c r="BG211" s="697">
        <v>0</v>
      </c>
      <c r="BH211" s="697">
        <v>0</v>
      </c>
      <c r="BI211" s="697">
        <v>0</v>
      </c>
      <c r="BJ211" s="697">
        <v>0</v>
      </c>
      <c r="BK211" s="1492">
        <f t="shared" si="27"/>
        <v>0</v>
      </c>
      <c r="BL211" s="1492"/>
      <c r="BM211" s="1492">
        <f t="shared" si="28"/>
        <v>0</v>
      </c>
      <c r="BN211" s="1492">
        <f t="shared" si="29"/>
        <v>0</v>
      </c>
      <c r="BO211" s="697"/>
      <c r="BP211" s="697"/>
      <c r="BQ211" s="1495" t="s">
        <v>6935</v>
      </c>
      <c r="BR211" s="1495" t="s">
        <v>818</v>
      </c>
      <c r="BS211" s="1902" t="s">
        <v>655</v>
      </c>
      <c r="BT211" s="1907" t="s">
        <v>1930</v>
      </c>
    </row>
    <row r="212" spans="1:72" ht="13">
      <c r="A212" s="1545">
        <v>613</v>
      </c>
      <c r="B212" s="1546" t="s">
        <v>780</v>
      </c>
      <c r="C212" s="1546" t="s">
        <v>789</v>
      </c>
      <c r="D212" s="1547" t="s">
        <v>6874</v>
      </c>
      <c r="E212" s="690" t="s">
        <v>660</v>
      </c>
      <c r="F212" s="691"/>
      <c r="G212" s="692"/>
      <c r="H212" s="692"/>
      <c r="I212" s="692"/>
      <c r="J212" s="693"/>
      <c r="K212" s="693"/>
      <c r="L212" s="693"/>
      <c r="M212" s="694"/>
      <c r="N212" s="695"/>
      <c r="O212" s="696" t="s">
        <v>1569</v>
      </c>
      <c r="P212" s="695">
        <f>'HIV-Key Info'!$E$69*('HPM costs'!F373+'HPM costs'!F376)</f>
        <v>0</v>
      </c>
      <c r="Q212" s="695" t="s">
        <v>1569</v>
      </c>
      <c r="R212" s="695">
        <f>'HIV-Key Info'!$E$69*('HPM costs'!G373+'HPM costs'!G376)</f>
        <v>0</v>
      </c>
      <c r="S212" s="695" t="s">
        <v>1569</v>
      </c>
      <c r="T212" s="695">
        <f>'HIV-Key Info'!$E$69*('HPM costs'!H373+'HPM costs'!H376)</f>
        <v>0</v>
      </c>
      <c r="U212" s="695" t="s">
        <v>1569</v>
      </c>
      <c r="V212" s="695">
        <f>'HIV-Key Info'!$E$69*('HPM costs'!I373+'HPM costs'!I376)</f>
        <v>0</v>
      </c>
      <c r="W212" s="695"/>
      <c r="X212" s="1492">
        <f t="shared" si="24"/>
        <v>0</v>
      </c>
      <c r="Y212" s="1493"/>
      <c r="Z212" s="1494"/>
      <c r="AA212" s="699"/>
      <c r="AB212" s="695"/>
      <c r="AC212" s="695">
        <f>'HIV-Key Info'!$E$69*('HPM costs'!K373+'HPM costs'!K376)</f>
        <v>0</v>
      </c>
      <c r="AD212" s="695"/>
      <c r="AE212" s="695">
        <f>'HIV-Key Info'!$E$69*('HPM costs'!L373+'HPM costs'!L376)</f>
        <v>0</v>
      </c>
      <c r="AF212" s="695"/>
      <c r="AG212" s="695">
        <f>'HIV-Key Info'!$E$69*('HPM costs'!M373+'HPM costs'!M376)</f>
        <v>0</v>
      </c>
      <c r="AH212" s="695"/>
      <c r="AI212" s="695">
        <f>'HIV-Key Info'!$E$69*('HPM costs'!N373+'HPM costs'!N376)</f>
        <v>0</v>
      </c>
      <c r="AJ212" s="695"/>
      <c r="AK212" s="1492">
        <f t="shared" si="25"/>
        <v>0</v>
      </c>
      <c r="AL212" s="1493"/>
      <c r="AM212" s="1494"/>
      <c r="AN212" s="699"/>
      <c r="AO212" s="695"/>
      <c r="AP212" s="695">
        <f>'HIV-Key Info'!$E$69*('HPM costs'!P373+'HPM costs'!P376)</f>
        <v>0</v>
      </c>
      <c r="AQ212" s="695"/>
      <c r="AR212" s="695">
        <f>'HIV-Key Info'!$E$69*('HPM costs'!Q373+'HPM costs'!Q376)</f>
        <v>0</v>
      </c>
      <c r="AS212" s="695"/>
      <c r="AT212" s="695">
        <f>'HIV-Key Info'!$E$69*('HPM costs'!R373+'HPM costs'!R376)</f>
        <v>0</v>
      </c>
      <c r="AU212" s="695"/>
      <c r="AV212" s="695">
        <f>'HIV-Key Info'!$E$69*('HPM costs'!S373+'HPM costs'!S376)</f>
        <v>0</v>
      </c>
      <c r="AW212" s="695"/>
      <c r="AX212" s="1492">
        <f t="shared" si="26"/>
        <v>0</v>
      </c>
      <c r="AY212" s="1492"/>
      <c r="AZ212" s="698"/>
      <c r="BA212" s="699"/>
      <c r="BB212" s="697"/>
      <c r="BC212" s="697">
        <v>0</v>
      </c>
      <c r="BD212" s="697">
        <v>0</v>
      </c>
      <c r="BE212" s="697">
        <v>0</v>
      </c>
      <c r="BF212" s="697">
        <v>0</v>
      </c>
      <c r="BG212" s="697">
        <v>0</v>
      </c>
      <c r="BH212" s="697">
        <v>0</v>
      </c>
      <c r="BI212" s="697">
        <v>0</v>
      </c>
      <c r="BJ212" s="697">
        <v>0</v>
      </c>
      <c r="BK212" s="1492">
        <f t="shared" si="27"/>
        <v>0</v>
      </c>
      <c r="BL212" s="1492"/>
      <c r="BM212" s="1492">
        <f t="shared" si="28"/>
        <v>0</v>
      </c>
      <c r="BN212" s="1492">
        <f t="shared" si="29"/>
        <v>0</v>
      </c>
      <c r="BO212" s="697"/>
      <c r="BP212" s="697"/>
      <c r="BQ212" s="1495" t="s">
        <v>6935</v>
      </c>
      <c r="BR212" s="1495" t="s">
        <v>818</v>
      </c>
      <c r="BS212" s="1902" t="s">
        <v>655</v>
      </c>
      <c r="BT212" s="1907" t="s">
        <v>1931</v>
      </c>
    </row>
    <row r="213" spans="1:72" ht="13">
      <c r="A213" s="1545">
        <v>614</v>
      </c>
      <c r="B213" s="1546" t="s">
        <v>780</v>
      </c>
      <c r="C213" s="1546" t="s">
        <v>789</v>
      </c>
      <c r="D213" s="1547" t="s">
        <v>6874</v>
      </c>
      <c r="E213" s="690" t="s">
        <v>662</v>
      </c>
      <c r="F213" s="691"/>
      <c r="G213" s="692"/>
      <c r="H213" s="692"/>
      <c r="I213" s="692"/>
      <c r="J213" s="693"/>
      <c r="K213" s="693"/>
      <c r="L213" s="693"/>
      <c r="M213" s="694"/>
      <c r="N213" s="695"/>
      <c r="O213" s="696" t="s">
        <v>1569</v>
      </c>
      <c r="P213" s="695">
        <f>'HIV-Key Info'!$E$69*('HPM costs'!F459+'HPM costs'!F462)</f>
        <v>0</v>
      </c>
      <c r="Q213" s="695" t="s">
        <v>1569</v>
      </c>
      <c r="R213" s="695">
        <f>'HIV-Key Info'!$E$69*('HPM costs'!G459+'HPM costs'!G462)</f>
        <v>0</v>
      </c>
      <c r="S213" s="695" t="s">
        <v>1569</v>
      </c>
      <c r="T213" s="695">
        <f>'HIV-Key Info'!$E$69*('HPM costs'!H459+'HPM costs'!H462)</f>
        <v>0</v>
      </c>
      <c r="U213" s="695" t="s">
        <v>1569</v>
      </c>
      <c r="V213" s="695">
        <f>'HIV-Key Info'!$E$69*('HPM costs'!I459+'HPM costs'!I462)</f>
        <v>0</v>
      </c>
      <c r="W213" s="695"/>
      <c r="X213" s="1492">
        <f t="shared" si="24"/>
        <v>0</v>
      </c>
      <c r="Y213" s="1493"/>
      <c r="Z213" s="1494"/>
      <c r="AA213" s="699"/>
      <c r="AB213" s="695"/>
      <c r="AC213" s="695">
        <f>'HIV-Key Info'!$E$69*('HPM costs'!K459+'HPM costs'!K462)</f>
        <v>0</v>
      </c>
      <c r="AD213" s="695"/>
      <c r="AE213" s="695">
        <f>'HIV-Key Info'!$E$69*('HPM costs'!L459+'HPM costs'!L462)</f>
        <v>0</v>
      </c>
      <c r="AF213" s="695"/>
      <c r="AG213" s="695">
        <f>'HIV-Key Info'!$E$69*('HPM costs'!M459+'HPM costs'!M462)</f>
        <v>0</v>
      </c>
      <c r="AH213" s="695"/>
      <c r="AI213" s="695">
        <f>'HIV-Key Info'!$E$69*('HPM costs'!N459+'HPM costs'!N462)</f>
        <v>0</v>
      </c>
      <c r="AJ213" s="695"/>
      <c r="AK213" s="1492">
        <f t="shared" si="25"/>
        <v>0</v>
      </c>
      <c r="AL213" s="1493"/>
      <c r="AM213" s="1494"/>
      <c r="AN213" s="699"/>
      <c r="AO213" s="695"/>
      <c r="AP213" s="695">
        <f>'HIV-Key Info'!$E$69*('HPM costs'!P459+'HPM costs'!P462)</f>
        <v>0</v>
      </c>
      <c r="AQ213" s="695"/>
      <c r="AR213" s="695">
        <f>'HIV-Key Info'!$E$69*('HPM costs'!Q459+'HPM costs'!Q462)</f>
        <v>0</v>
      </c>
      <c r="AS213" s="695"/>
      <c r="AT213" s="695">
        <f>'HIV-Key Info'!$E$69*('HPM costs'!R459+'HPM costs'!R462)</f>
        <v>0</v>
      </c>
      <c r="AU213" s="695"/>
      <c r="AV213" s="695">
        <f>'HIV-Key Info'!$E$69*('HPM costs'!S459+'HPM costs'!S462)</f>
        <v>0</v>
      </c>
      <c r="AW213" s="695"/>
      <c r="AX213" s="1492">
        <f t="shared" si="26"/>
        <v>0</v>
      </c>
      <c r="AY213" s="1492"/>
      <c r="AZ213" s="698"/>
      <c r="BA213" s="699"/>
      <c r="BB213" s="697"/>
      <c r="BC213" s="697">
        <v>0</v>
      </c>
      <c r="BD213" s="697">
        <v>0</v>
      </c>
      <c r="BE213" s="697">
        <v>0</v>
      </c>
      <c r="BF213" s="697">
        <v>0</v>
      </c>
      <c r="BG213" s="697">
        <v>0</v>
      </c>
      <c r="BH213" s="697">
        <v>0</v>
      </c>
      <c r="BI213" s="697">
        <v>0</v>
      </c>
      <c r="BJ213" s="697">
        <v>0</v>
      </c>
      <c r="BK213" s="1492">
        <f t="shared" si="27"/>
        <v>0</v>
      </c>
      <c r="BL213" s="1492"/>
      <c r="BM213" s="1492">
        <f t="shared" si="28"/>
        <v>0</v>
      </c>
      <c r="BN213" s="1492">
        <f t="shared" si="29"/>
        <v>0</v>
      </c>
      <c r="BO213" s="697"/>
      <c r="BP213" s="697"/>
      <c r="BQ213" s="1495" t="s">
        <v>6935</v>
      </c>
      <c r="BR213" s="1495" t="s">
        <v>818</v>
      </c>
      <c r="BS213" s="1902" t="s">
        <v>655</v>
      </c>
      <c r="BT213" s="1907" t="s">
        <v>1932</v>
      </c>
    </row>
    <row r="214" spans="1:72" ht="13">
      <c r="A214" s="1545">
        <v>615</v>
      </c>
      <c r="B214" s="1546" t="s">
        <v>780</v>
      </c>
      <c r="C214" s="1546" t="s">
        <v>789</v>
      </c>
      <c r="D214" s="1547" t="s">
        <v>6874</v>
      </c>
      <c r="E214" s="690" t="s">
        <v>664</v>
      </c>
      <c r="F214" s="691"/>
      <c r="G214" s="692"/>
      <c r="H214" s="692"/>
      <c r="I214" s="692"/>
      <c r="J214" s="693"/>
      <c r="K214" s="693"/>
      <c r="L214" s="693"/>
      <c r="M214" s="694"/>
      <c r="N214" s="695"/>
      <c r="O214" s="696" t="s">
        <v>1569</v>
      </c>
      <c r="P214" s="695">
        <f>'HIV-Key Info'!$E$69*('HPM costs'!F199+'HPM costs'!F202+'HPM costs'!F545+'HPM costs'!F548)</f>
        <v>0</v>
      </c>
      <c r="Q214" s="695" t="s">
        <v>1569</v>
      </c>
      <c r="R214" s="695">
        <f>'HIV-Key Info'!$E$69*('HPM costs'!G199+'HPM costs'!G202+'HPM costs'!G545+'HPM costs'!G548)</f>
        <v>0</v>
      </c>
      <c r="S214" s="695" t="s">
        <v>1569</v>
      </c>
      <c r="T214" s="695">
        <f>'HIV-Key Info'!$E$69*('HPM costs'!H199+'HPM costs'!H202+'HPM costs'!H545+'HPM costs'!H548)</f>
        <v>0</v>
      </c>
      <c r="U214" s="695" t="s">
        <v>1569</v>
      </c>
      <c r="V214" s="695">
        <f>'HIV-Key Info'!$E$69*('HPM costs'!I199+'HPM costs'!I202+'HPM costs'!I545+'HPM costs'!I548)</f>
        <v>0</v>
      </c>
      <c r="W214" s="695"/>
      <c r="X214" s="1492">
        <f t="shared" si="24"/>
        <v>0</v>
      </c>
      <c r="Y214" s="1493"/>
      <c r="Z214" s="1494"/>
      <c r="AA214" s="699"/>
      <c r="AB214" s="695"/>
      <c r="AC214" s="695">
        <f>'HIV-Key Info'!$E$69*('HPM costs'!K199+'HPM costs'!K202+'HPM costs'!K545+'HPM costs'!K548)</f>
        <v>0</v>
      </c>
      <c r="AD214" s="695"/>
      <c r="AE214" s="695">
        <f>'HIV-Key Info'!$E$69*('HPM costs'!L199+'HPM costs'!L202+'HPM costs'!L545+'HPM costs'!L548)</f>
        <v>0</v>
      </c>
      <c r="AF214" s="695"/>
      <c r="AG214" s="695">
        <f>'HIV-Key Info'!$E$69*('HPM costs'!M199+'HPM costs'!M202+'HPM costs'!M545+'HPM costs'!M548)</f>
        <v>0</v>
      </c>
      <c r="AH214" s="695"/>
      <c r="AI214" s="695">
        <f>'HIV-Key Info'!$E$69*('HPM costs'!N199+'HPM costs'!N202+'HPM costs'!N545+'HPM costs'!N548)</f>
        <v>0</v>
      </c>
      <c r="AJ214" s="695"/>
      <c r="AK214" s="1492">
        <f t="shared" si="25"/>
        <v>0</v>
      </c>
      <c r="AL214" s="1493"/>
      <c r="AM214" s="1494"/>
      <c r="AN214" s="699"/>
      <c r="AO214" s="695"/>
      <c r="AP214" s="695">
        <f>'HIV-Key Info'!$E$69*('HPM costs'!P199+'HPM costs'!P202+'HPM costs'!P545+'HPM costs'!P548)</f>
        <v>0</v>
      </c>
      <c r="AQ214" s="695"/>
      <c r="AR214" s="695">
        <f>'HIV-Key Info'!$E$69*('HPM costs'!Q199+'HPM costs'!Q202+'HPM costs'!Q545+'HPM costs'!Q548)</f>
        <v>0</v>
      </c>
      <c r="AS214" s="695"/>
      <c r="AT214" s="695">
        <f>'HIV-Key Info'!$E$69*('HPM costs'!R199+'HPM costs'!R202+'HPM costs'!R545+'HPM costs'!R548)</f>
        <v>0</v>
      </c>
      <c r="AU214" s="695"/>
      <c r="AV214" s="695">
        <f>'HIV-Key Info'!$E$69*('HPM costs'!S199+'HPM costs'!S202+'HPM costs'!S545+'HPM costs'!S548)</f>
        <v>0</v>
      </c>
      <c r="AW214" s="695"/>
      <c r="AX214" s="1492">
        <f t="shared" si="26"/>
        <v>0</v>
      </c>
      <c r="AY214" s="1492"/>
      <c r="AZ214" s="698"/>
      <c r="BA214" s="699"/>
      <c r="BB214" s="697"/>
      <c r="BC214" s="697">
        <v>0</v>
      </c>
      <c r="BD214" s="697">
        <v>0</v>
      </c>
      <c r="BE214" s="697">
        <v>0</v>
      </c>
      <c r="BF214" s="697">
        <v>0</v>
      </c>
      <c r="BG214" s="697">
        <v>0</v>
      </c>
      <c r="BH214" s="697">
        <v>0</v>
      </c>
      <c r="BI214" s="697">
        <v>0</v>
      </c>
      <c r="BJ214" s="697">
        <v>0</v>
      </c>
      <c r="BK214" s="1492">
        <f t="shared" si="27"/>
        <v>0</v>
      </c>
      <c r="BL214" s="1492"/>
      <c r="BM214" s="1492">
        <f t="shared" si="28"/>
        <v>0</v>
      </c>
      <c r="BN214" s="1492">
        <f t="shared" si="29"/>
        <v>0</v>
      </c>
      <c r="BO214" s="697"/>
      <c r="BP214" s="697"/>
      <c r="BQ214" s="1495" t="s">
        <v>6935</v>
      </c>
      <c r="BR214" s="1495" t="s">
        <v>818</v>
      </c>
      <c r="BS214" s="1902" t="s">
        <v>655</v>
      </c>
      <c r="BT214" s="1907" t="s">
        <v>1933</v>
      </c>
    </row>
    <row r="215" spans="1:72" ht="13">
      <c r="A215" s="1545">
        <v>616</v>
      </c>
      <c r="B215" s="1546" t="s">
        <v>780</v>
      </c>
      <c r="C215" s="1546" t="s">
        <v>789</v>
      </c>
      <c r="D215" s="1547" t="s">
        <v>6874</v>
      </c>
      <c r="E215" s="690" t="s">
        <v>666</v>
      </c>
      <c r="F215" s="691"/>
      <c r="G215" s="692"/>
      <c r="H215" s="692"/>
      <c r="I215" s="692"/>
      <c r="J215" s="693"/>
      <c r="K215" s="693"/>
      <c r="L215" s="693"/>
      <c r="M215" s="694"/>
      <c r="N215" s="695"/>
      <c r="O215" s="696" t="s">
        <v>1569</v>
      </c>
      <c r="P215" s="695">
        <f>'HIV-Key Info'!$E$69*('HPM costs'!F285+'HPM costs'!F288)</f>
        <v>0</v>
      </c>
      <c r="Q215" s="695" t="s">
        <v>1569</v>
      </c>
      <c r="R215" s="695">
        <f>'HIV-Key Info'!$E$69*('HPM costs'!G285+'HPM costs'!G288)</f>
        <v>0</v>
      </c>
      <c r="S215" s="695" t="s">
        <v>1569</v>
      </c>
      <c r="T215" s="695">
        <f>'HIV-Key Info'!$E$69*('HPM costs'!H285+'HPM costs'!H288)</f>
        <v>0</v>
      </c>
      <c r="U215" s="695" t="s">
        <v>1569</v>
      </c>
      <c r="V215" s="695">
        <f>'HIV-Key Info'!$E$69*('HPM costs'!I285+'HPM costs'!I288)</f>
        <v>0</v>
      </c>
      <c r="W215" s="695"/>
      <c r="X215" s="1492">
        <f t="shared" si="24"/>
        <v>0</v>
      </c>
      <c r="Y215" s="1493"/>
      <c r="Z215" s="1494"/>
      <c r="AA215" s="699"/>
      <c r="AB215" s="695"/>
      <c r="AC215" s="695">
        <f>'HIV-Key Info'!$E$69*('HPM costs'!K285+'HPM costs'!K288)</f>
        <v>0</v>
      </c>
      <c r="AD215" s="695"/>
      <c r="AE215" s="695">
        <f>'HIV-Key Info'!$E$69*('HPM costs'!L285+'HPM costs'!L288)</f>
        <v>0</v>
      </c>
      <c r="AF215" s="695"/>
      <c r="AG215" s="695">
        <f>'HIV-Key Info'!$E$69*('HPM costs'!M285+'HPM costs'!M288)</f>
        <v>0</v>
      </c>
      <c r="AH215" s="695"/>
      <c r="AI215" s="695">
        <f>'HIV-Key Info'!$E$69*('HPM costs'!N285+'HPM costs'!N288)</f>
        <v>0</v>
      </c>
      <c r="AJ215" s="695"/>
      <c r="AK215" s="1492">
        <f t="shared" si="25"/>
        <v>0</v>
      </c>
      <c r="AL215" s="1493"/>
      <c r="AM215" s="1494"/>
      <c r="AN215" s="699"/>
      <c r="AO215" s="695"/>
      <c r="AP215" s="695">
        <f>'HIV-Key Info'!$E$69*('HPM costs'!P285+'HPM costs'!P288)</f>
        <v>0</v>
      </c>
      <c r="AQ215" s="695"/>
      <c r="AR215" s="695">
        <f>'HIV-Key Info'!$E$69*('HPM costs'!Q285+'HPM costs'!Q288)</f>
        <v>0</v>
      </c>
      <c r="AS215" s="695"/>
      <c r="AT215" s="695">
        <f>'HIV-Key Info'!$E$69*('HPM costs'!R285+'HPM costs'!R288)</f>
        <v>0</v>
      </c>
      <c r="AU215" s="695"/>
      <c r="AV215" s="695">
        <f>'HIV-Key Info'!$E$69*('HPM costs'!S285+'HPM costs'!S288)</f>
        <v>0</v>
      </c>
      <c r="AW215" s="695"/>
      <c r="AX215" s="1492">
        <f t="shared" si="26"/>
        <v>0</v>
      </c>
      <c r="AY215" s="1492"/>
      <c r="AZ215" s="698"/>
      <c r="BA215" s="699"/>
      <c r="BB215" s="697"/>
      <c r="BC215" s="697">
        <v>0</v>
      </c>
      <c r="BD215" s="697">
        <v>0</v>
      </c>
      <c r="BE215" s="697">
        <v>0</v>
      </c>
      <c r="BF215" s="697">
        <v>0</v>
      </c>
      <c r="BG215" s="697">
        <v>0</v>
      </c>
      <c r="BH215" s="697">
        <v>0</v>
      </c>
      <c r="BI215" s="697">
        <v>0</v>
      </c>
      <c r="BJ215" s="697">
        <v>0</v>
      </c>
      <c r="BK215" s="1492">
        <f t="shared" si="27"/>
        <v>0</v>
      </c>
      <c r="BL215" s="1492"/>
      <c r="BM215" s="1492">
        <f t="shared" si="28"/>
        <v>0</v>
      </c>
      <c r="BN215" s="1492">
        <f t="shared" si="29"/>
        <v>0</v>
      </c>
      <c r="BO215" s="697"/>
      <c r="BP215" s="697"/>
      <c r="BQ215" s="1495" t="s">
        <v>6935</v>
      </c>
      <c r="BR215" s="1495" t="s">
        <v>818</v>
      </c>
      <c r="BS215" s="1902" t="s">
        <v>655</v>
      </c>
      <c r="BT215" s="1907" t="s">
        <v>1934</v>
      </c>
    </row>
    <row r="216" spans="1:72" ht="13">
      <c r="A216" s="1545">
        <v>617</v>
      </c>
      <c r="B216" s="1546" t="s">
        <v>780</v>
      </c>
      <c r="C216" s="1546" t="s">
        <v>789</v>
      </c>
      <c r="D216" s="1547" t="s">
        <v>6874</v>
      </c>
      <c r="E216" s="690" t="s">
        <v>668</v>
      </c>
      <c r="F216" s="691"/>
      <c r="G216" s="692"/>
      <c r="H216" s="692"/>
      <c r="I216" s="692"/>
      <c r="J216" s="693"/>
      <c r="K216" s="693"/>
      <c r="L216" s="693"/>
      <c r="M216" s="694"/>
      <c r="N216" s="695"/>
      <c r="O216" s="696" t="s">
        <v>1569</v>
      </c>
      <c r="P216" s="695">
        <f>'HIV-Key Info'!$E$69*('HPM costs'!F630+'HPM costs'!F633)</f>
        <v>0</v>
      </c>
      <c r="Q216" s="695" t="s">
        <v>1569</v>
      </c>
      <c r="R216" s="695">
        <f>'HIV-Key Info'!$E$69*('HPM costs'!G630+'HPM costs'!G633)</f>
        <v>0</v>
      </c>
      <c r="S216" s="695" t="s">
        <v>1569</v>
      </c>
      <c r="T216" s="695">
        <f>'HIV-Key Info'!$E$69*('HPM costs'!H630+'HPM costs'!H633)</f>
        <v>0</v>
      </c>
      <c r="U216" s="695" t="s">
        <v>1569</v>
      </c>
      <c r="V216" s="695">
        <f>'HIV-Key Info'!$E$69*('HPM costs'!I630+'HPM costs'!I633)</f>
        <v>0</v>
      </c>
      <c r="W216" s="695"/>
      <c r="X216" s="1492">
        <f t="shared" si="24"/>
        <v>0</v>
      </c>
      <c r="Y216" s="1493"/>
      <c r="Z216" s="1494"/>
      <c r="AA216" s="699"/>
      <c r="AB216" s="695"/>
      <c r="AC216" s="695">
        <f>'HIV-Key Info'!$E$69*('HPM costs'!K630+'HPM costs'!K633)</f>
        <v>0</v>
      </c>
      <c r="AD216" s="695"/>
      <c r="AE216" s="695">
        <f>'HIV-Key Info'!$E$69*('HPM costs'!L630+'HPM costs'!L633)</f>
        <v>0</v>
      </c>
      <c r="AF216" s="695"/>
      <c r="AG216" s="695">
        <f>'HIV-Key Info'!$E$69*('HPM costs'!M630+'HPM costs'!M633)</f>
        <v>0</v>
      </c>
      <c r="AH216" s="695"/>
      <c r="AI216" s="695">
        <f>'HIV-Key Info'!$E$69*('HPM costs'!N630+'HPM costs'!N633)</f>
        <v>0</v>
      </c>
      <c r="AJ216" s="695"/>
      <c r="AK216" s="1492">
        <f t="shared" si="25"/>
        <v>0</v>
      </c>
      <c r="AL216" s="1493"/>
      <c r="AM216" s="1494"/>
      <c r="AN216" s="699"/>
      <c r="AO216" s="695"/>
      <c r="AP216" s="695">
        <f>'HIV-Key Info'!$E$69*('HPM costs'!P630+'HPM costs'!P633)</f>
        <v>0</v>
      </c>
      <c r="AQ216" s="695"/>
      <c r="AR216" s="695">
        <f>'HIV-Key Info'!$E$69*('HPM costs'!Q630+'HPM costs'!Q633)</f>
        <v>0</v>
      </c>
      <c r="AS216" s="695"/>
      <c r="AT216" s="695">
        <f>'HIV-Key Info'!$E$69*('HPM costs'!R630+'HPM costs'!R633)</f>
        <v>0</v>
      </c>
      <c r="AU216" s="695"/>
      <c r="AV216" s="695">
        <f>'HIV-Key Info'!$E$69*('HPM costs'!S630+'HPM costs'!S633)</f>
        <v>0</v>
      </c>
      <c r="AW216" s="695"/>
      <c r="AX216" s="1492">
        <f t="shared" si="26"/>
        <v>0</v>
      </c>
      <c r="AY216" s="1492"/>
      <c r="AZ216" s="698"/>
      <c r="BA216" s="699"/>
      <c r="BB216" s="697"/>
      <c r="BC216" s="697">
        <v>0</v>
      </c>
      <c r="BD216" s="697">
        <v>0</v>
      </c>
      <c r="BE216" s="697">
        <v>0</v>
      </c>
      <c r="BF216" s="697">
        <v>0</v>
      </c>
      <c r="BG216" s="697">
        <v>0</v>
      </c>
      <c r="BH216" s="697">
        <v>0</v>
      </c>
      <c r="BI216" s="697">
        <v>0</v>
      </c>
      <c r="BJ216" s="697">
        <v>0</v>
      </c>
      <c r="BK216" s="1492">
        <f t="shared" si="27"/>
        <v>0</v>
      </c>
      <c r="BL216" s="1492"/>
      <c r="BM216" s="1492">
        <f t="shared" si="28"/>
        <v>0</v>
      </c>
      <c r="BN216" s="1492">
        <f t="shared" si="29"/>
        <v>0</v>
      </c>
      <c r="BO216" s="697"/>
      <c r="BP216" s="697"/>
      <c r="BQ216" s="1495" t="s">
        <v>6935</v>
      </c>
      <c r="BR216" s="1495" t="s">
        <v>818</v>
      </c>
      <c r="BS216" s="1902" t="s">
        <v>655</v>
      </c>
      <c r="BT216" s="1907" t="s">
        <v>1935</v>
      </c>
    </row>
    <row r="217" spans="1:72" ht="13">
      <c r="A217" s="1545">
        <v>651</v>
      </c>
      <c r="B217" s="1546" t="s">
        <v>780</v>
      </c>
      <c r="C217" s="1546" t="s">
        <v>789</v>
      </c>
      <c r="D217" s="1547" t="s">
        <v>6877</v>
      </c>
      <c r="E217" s="690" t="s">
        <v>791</v>
      </c>
      <c r="F217" s="691"/>
      <c r="G217" s="692"/>
      <c r="H217" s="692"/>
      <c r="I217" s="692"/>
      <c r="J217" s="693"/>
      <c r="K217" s="693"/>
      <c r="L217" s="693"/>
      <c r="M217" s="694"/>
      <c r="N217" s="695"/>
      <c r="O217" s="696" t="s">
        <v>1569</v>
      </c>
      <c r="P217" s="695">
        <f>IF(SETUP!$F$27="Upfront",'HIV-Key Info'!$E$70*SUM('EBS-H'!K296:K312),0)</f>
        <v>0</v>
      </c>
      <c r="Q217" s="695" t="s">
        <v>1569</v>
      </c>
      <c r="R217" s="695">
        <f>IF(SETUP!$F$27="Upfront",'HIV-Key Info'!$E$70*SUM('EBS-H'!O296:O312),IF(SETUP!$F$27="At delivery", IF(SETUP!$G$27=1,'HIV-Key Info'!$E$70*SUM('EBS-H'!K296:K312),0),0))</f>
        <v>0</v>
      </c>
      <c r="S217" s="695" t="s">
        <v>1569</v>
      </c>
      <c r="T217" s="695">
        <f>IF(SETUP!$F$27="Upfront",'HIV-Key Info'!$E$70*SUM('EBS-H'!S296:S312),IF(SETUP!$F$27="At delivery", IF(SETUP!$G$27=2,'HIV-Key Info'!$E$70*SUM('EBS-H'!K296:K312),IF(SETUP!$G$27=1,'HIV-Key Info'!$E$70*SUM('EBS-H'!O296:O312),0)),0))</f>
        <v>0</v>
      </c>
      <c r="U217" s="695" t="s">
        <v>1569</v>
      </c>
      <c r="V217" s="695">
        <f>IF(SETUP!$F$27="Upfront",'HIV-Key Info'!$E$70*SUM('EBS-H'!W296:W312),IF(SETUP!$F$27="At delivery", IF(SETUP!$G$27=3,'HIV-Key Info'!$E$70*SUM('EBS-H'!K296:K312),IF(SETUP!$G$27=2,'HIV-Key Info'!$E$70*SUM('EBS-H'!O296:O312),IF(SETUP!$G$27=1,'HIV-Key Info'!$E$70*SUM('EBS-H'!S296:S312),0))),0))</f>
        <v>0</v>
      </c>
      <c r="W217" s="695"/>
      <c r="X217" s="1492">
        <f t="shared" si="24"/>
        <v>0</v>
      </c>
      <c r="Y217" s="1493"/>
      <c r="Z217" s="1494"/>
      <c r="AA217" s="699"/>
      <c r="AB217" s="695"/>
      <c r="AC217" s="695">
        <f>IF(SETUP!$F$27="Upfront",'HIV-Key Info'!$E$70*SUM('EBS-H'!AC296:AC312),IF(SETUP!$F$27="At delivery", IF(SETUP!$G$27=4,'HIV-Key Info'!$E$70*SUM('EBS-H'!K296:K312),IF(SETUP!$G$27=3,'HIV-Key Info'!$E$70*SUM('EBS-H'!O296:O312),IF(SETUP!$G$27=2,'HIV-Key Info'!$E$70*SUM('EBS-H'!S296:S312),IF(SETUP!$G$27=1,'HIV-Key Info'!$E$70*SUM('EBS-H'!W296:W312),0)))),0))</f>
        <v>0</v>
      </c>
      <c r="AD217" s="695"/>
      <c r="AE217" s="695">
        <f>IF(SETUP!$F$27="Upfront",'HIV-Key Info'!$E$70*SUM('EBS-H'!AG296:AG312),IF(SETUP!$F$27="At delivery", IF(SETUP!$G$27=4,'HIV-Key Info'!$E$70*SUM('EBS-H'!O296:O312),IF(SETUP!$G$27=3,'HIV-Key Info'!$E$70*SUM('EBS-H'!S296:S312),IF(SETUP!$G$27=2,'HIV-Key Info'!$E$70*SUM('EBS-H'!W296:W312),IF(SETUP!$G$27=1,'HIV-Key Info'!$E$70*SUM('EBS-H'!AC296:AC312),0)))),0))</f>
        <v>0</v>
      </c>
      <c r="AF217" s="695"/>
      <c r="AG217" s="695">
        <f>IF(SETUP!$F$27="Upfront",'HIV-Key Info'!$E$70*SUM('EBS-H'!AK296:AK312),IF(SETUP!$F$27="At delivery", IF(SETUP!$G$27=4,'HIV-Key Info'!$E$70*SUM('EBS-H'!S296:S312),IF(SETUP!$G$27=3,'HIV-Key Info'!$E$70*SUM('EBS-H'!W296:W312),IF(SETUP!$G$27=2,'HIV-Key Info'!$E$70*SUM('EBS-H'!AC296:AC312),IF(SETUP!$G$27=1,'HIV-Key Info'!$E$70*SUM('EBS-H'!AG296:AG312),0)))),0))</f>
        <v>0</v>
      </c>
      <c r="AH217" s="695"/>
      <c r="AI217" s="695">
        <f>IF(SETUP!$F$27="Upfront",'HIV-Key Info'!$E$70*SUM('EBS-H'!AO296:AO312),IF(SETUP!$F$27="At delivery", IF(SETUP!$G$27=4,'HIV-Key Info'!$E$70*SUM('EBS-H'!W296:W312),IF(SETUP!$G$27=3,'HIV-Key Info'!$E$70*SUM('EBS-H'!AC296:AC312),IF(SETUP!$G$27=2,'HIV-Key Info'!$E$70*SUM('EBS-H'!AG296:AG312),IF(SETUP!$G$27=1,'HIV-Key Info'!$E$70*SUM('EBS-H'!AK296:AK312),0)))),0))</f>
        <v>0</v>
      </c>
      <c r="AJ217" s="695"/>
      <c r="AK217" s="1492">
        <f t="shared" si="25"/>
        <v>0</v>
      </c>
      <c r="AL217" s="1493"/>
      <c r="AM217" s="1494"/>
      <c r="AN217" s="699"/>
      <c r="AO217" s="695"/>
      <c r="AP217" s="695">
        <f>IF(SETUP!$F$27="Upfront",'HIV-Key Info'!$E$70*SUM('EBS-H'!AU296:AU312),IF(SETUP!$F$27="At delivery", IF(SETUP!$G$27=4,'HIV-Key Info'!$E$70*SUM('EBS-H'!AC296:AC312),IF(SETUP!$G$27=3,'HIV-Key Info'!$E$70*SUM('EBS-H'!AG296:AG312),IF(SETUP!$G$27=2,'HIV-Key Info'!$E$70*SUM('EBS-H'!AK296:AK312),IF(SETUP!$G$27=1,'HIV-Key Info'!$E$70*SUM('EBS-H'!AO296:AO312),0)))),0))</f>
        <v>0</v>
      </c>
      <c r="AQ217" s="695"/>
      <c r="AR217" s="695">
        <f>IF(SETUP!$F$27="Upfront",'HIV-Key Info'!$E$70*SUM('EBS-H'!AY296:AY312),IF(SETUP!$F$27="At delivery", IF(SETUP!$G$27=4,'HIV-Key Info'!$E$70*SUM('EBS-H'!AG296:AG312),IF(SETUP!$G$27=3,'HIV-Key Info'!$E$70*SUM('EBS-H'!AK296:AK312),IF(SETUP!$G$27=2,'HIV-Key Info'!$E$70*SUM('EBS-H'!AO296:AO312),IF(SETUP!$G$27=1,'HIV-Key Info'!$E$70*SUM('EBS-H'!AU296:AU312),0)))),0))</f>
        <v>0</v>
      </c>
      <c r="AS217" s="695"/>
      <c r="AT217" s="695">
        <f>IF(SETUP!$F$27="Upfront",'HIV-Key Info'!$E$70*SUM('EBS-H'!BC296:BC312),IF(SETUP!$F$27="At delivery", IF(SETUP!$G$27=4,'HIV-Key Info'!$E$70*SUM('EBS-H'!AK296:AK312),IF(SETUP!$G$27=3,'HIV-Key Info'!$E$70*SUM('EBS-H'!AO296:AO312),IF(SETUP!$G$27=2,'HIV-Key Info'!$E$70*SUM('EBS-H'!AU296:AU312),IF(SETUP!$G$27=1,'HIV-Key Info'!$E$70*SUM('EBS-H'!AY296:AY312),0)))),0))</f>
        <v>0</v>
      </c>
      <c r="AU217" s="695"/>
      <c r="AV217" s="695">
        <f>IF(SETUP!$F$27="Upfront",'HIV-Key Info'!$E$70*SUM('EBS-H'!BG296:BG312),IF(SETUP!$F$27="At delivery", IF(SETUP!$G$27=4,'HIV-Key Info'!$E$70*SUM(SUM('EBS-H'!AO296:AO312),SUM('EBS-H'!AU296:AU312),SUM('EBS-H'!AY296:AY312),SUM('EBS-H'!BC296:BC312),SUM('EBS-H'!BG296:BG312)),IF(SETUP!$G$27=3,'HIV-Key Info'!$E$70*SUM(SUM('EBS-H'!AU296:AU312),SUM('EBS-H'!AY296:AY312),SUM('EBS-H'!BC296:BC312),SUM('EBS-H'!BG296:BG312)),IF(SETUP!$G$27=2,'HIV-Key Info'!$E$70*SUM(SUM('EBS-H'!AY296:AY312),SUM('EBS-H'!BC296:BC312),SUM('EBS-H'!BG296:BG312)),IF(SETUP!$G$27=1,'HIV-Key Info'!$E$70*SUM(SUM('EBS-H'!BC296:BC312),SUM('EBS-H'!BG296:BG312)),0)))),0))</f>
        <v>0</v>
      </c>
      <c r="AW217" s="695"/>
      <c r="AX217" s="1492">
        <f t="shared" si="26"/>
        <v>0</v>
      </c>
      <c r="AY217" s="1492"/>
      <c r="AZ217" s="698"/>
      <c r="BA217" s="699"/>
      <c r="BB217" s="697"/>
      <c r="BC217" s="697">
        <v>0</v>
      </c>
      <c r="BD217" s="697">
        <v>0</v>
      </c>
      <c r="BE217" s="697">
        <v>0</v>
      </c>
      <c r="BF217" s="697">
        <v>0</v>
      </c>
      <c r="BG217" s="697">
        <v>0</v>
      </c>
      <c r="BH217" s="697">
        <v>0</v>
      </c>
      <c r="BI217" s="697">
        <v>0</v>
      </c>
      <c r="BJ217" s="697">
        <v>0</v>
      </c>
      <c r="BK217" s="1492">
        <f t="shared" si="27"/>
        <v>0</v>
      </c>
      <c r="BL217" s="1492"/>
      <c r="BM217" s="1492">
        <f t="shared" si="28"/>
        <v>0</v>
      </c>
      <c r="BN217" s="1492">
        <f t="shared" si="29"/>
        <v>0</v>
      </c>
      <c r="BO217" s="697"/>
      <c r="BP217" s="697"/>
      <c r="BQ217" s="1495" t="s">
        <v>6936</v>
      </c>
      <c r="BR217" s="1495" t="s">
        <v>818</v>
      </c>
      <c r="BS217" s="1902" t="s">
        <v>790</v>
      </c>
      <c r="BT217" s="1907" t="s">
        <v>1936</v>
      </c>
    </row>
    <row r="218" spans="1:72" ht="13">
      <c r="A218" s="1545">
        <v>652</v>
      </c>
      <c r="B218" s="1546" t="s">
        <v>780</v>
      </c>
      <c r="C218" s="1546" t="s">
        <v>789</v>
      </c>
      <c r="D218" s="1547" t="s">
        <v>6877</v>
      </c>
      <c r="E218" s="690" t="s">
        <v>793</v>
      </c>
      <c r="F218" s="691"/>
      <c r="G218" s="692"/>
      <c r="H218" s="692"/>
      <c r="I218" s="692"/>
      <c r="J218" s="693"/>
      <c r="K218" s="693"/>
      <c r="L218" s="693"/>
      <c r="M218" s="694"/>
      <c r="N218" s="695"/>
      <c r="O218" s="696" t="s">
        <v>1569</v>
      </c>
      <c r="P218" s="695">
        <f>IF(SETUP!$F$27="Upfront",'HIV-Key Info'!$F$70*SUM('EBS-H'!K313:K317),0)</f>
        <v>0</v>
      </c>
      <c r="Q218" s="695" t="s">
        <v>1569</v>
      </c>
      <c r="R218" s="695">
        <f>IF(SETUP!$F$27="Upfront",'HIV-Key Info'!$F$70*SUM('EBS-H'!O313:O317),IF(SETUP!$F$27="At delivery", IF(SETUP!$G$27=1,'HIV-Key Info'!$F$70*SUM('EBS-H'!K313:K317),0),0))</f>
        <v>0</v>
      </c>
      <c r="S218" s="695" t="s">
        <v>1569</v>
      </c>
      <c r="T218" s="695">
        <f>IF(SETUP!$F$27="Upfront",'HIV-Key Info'!$F$70*SUM('EBS-H'!S313:S317),IF(SETUP!$F$27="At delivery", IF(SETUP!$G$27=2,'HIV-Key Info'!$F$70*SUM('EBS-H'!K313:K317),IF(SETUP!$G$27=1,'HIV-Key Info'!$F$70*SUM('EBS-H'!O313:O317),0)),0))</f>
        <v>0</v>
      </c>
      <c r="U218" s="695" t="s">
        <v>1569</v>
      </c>
      <c r="V218" s="695">
        <f>IF(SETUP!$F$27="Upfront",'HIV-Key Info'!$F$70*SUM('EBS-H'!W313:W317),IF(SETUP!$F$27="At delivery", IF(SETUP!$G$27=3,'HIV-Key Info'!$F$70*SUM('EBS-H'!K313:K317),IF(SETUP!$G$27=2,'HIV-Key Info'!$F$70*SUM('EBS-H'!O313:O317),IF(SETUP!$G$27=1,'HIV-Key Info'!$F$70*SUM('EBS-H'!S313:S317),0))),0))</f>
        <v>0</v>
      </c>
      <c r="W218" s="695"/>
      <c r="X218" s="1492">
        <f t="shared" si="24"/>
        <v>0</v>
      </c>
      <c r="Y218" s="1493"/>
      <c r="Z218" s="1494"/>
      <c r="AA218" s="699"/>
      <c r="AB218" s="695"/>
      <c r="AC218" s="695">
        <f>IF(SETUP!$F$27="Upfront",'HIV-Key Info'!$F$70*SUM('EBS-H'!AC313:AC317),IF(SETUP!$F$27="At delivery", IF(SETUP!$G$27=4,'HIV-Key Info'!$F$70*SUM('EBS-H'!K313:K317),IF(SETUP!$G$27=3,'HIV-Key Info'!$F$70*SUM('EBS-H'!O313:O317),IF(SETUP!$G$27=2,'HIV-Key Info'!$F$70*SUM('EBS-H'!S313:S317),IF(SETUP!$G$27=1,'HIV-Key Info'!$F$70*SUM('EBS-H'!W313:W317),0)))),0))</f>
        <v>0</v>
      </c>
      <c r="AD218" s="695"/>
      <c r="AE218" s="695">
        <f>IF(SETUP!$F$27="Upfront",'HIV-Key Info'!$F$70*SUM('EBS-H'!AG313:AG317),IF(SETUP!$F$27="At delivery", IF(SETUP!$G$27=4,'HIV-Key Info'!$F$70*SUM('EBS-H'!O313:O317),IF(SETUP!$G$27=3,'HIV-Key Info'!$F$70*SUM('EBS-H'!S313:S317),IF(SETUP!$G$27=2,'HIV-Key Info'!$F$70*SUM('EBS-H'!W313:W317),IF(SETUP!$G$27=1,'HIV-Key Info'!$F$70*SUM('EBS-H'!AC313:AC317),0)))),0))</f>
        <v>0</v>
      </c>
      <c r="AF218" s="695"/>
      <c r="AG218" s="695">
        <f>IF(SETUP!$F$27="Upfront",'HIV-Key Info'!$F$70*SUM('EBS-H'!AK313:AK317),IF(SETUP!$F$27="At delivery", IF(SETUP!$G$27=4,'HIV-Key Info'!$F$70*SUM('EBS-H'!S313:S317),IF(SETUP!$G$27=3,'HIV-Key Info'!$F$70*SUM('EBS-H'!W313:W317),IF(SETUP!$G$27=2,'HIV-Key Info'!$F$70*SUM('EBS-H'!AC313:AC317),IF(SETUP!$G$27=1,'HIV-Key Info'!$F$70*SUM('EBS-H'!AG313:AG317),0)))),0))</f>
        <v>0</v>
      </c>
      <c r="AH218" s="695"/>
      <c r="AI218" s="695">
        <f>IF(SETUP!$F$27="Upfront",'HIV-Key Info'!$F$70*SUM('EBS-H'!AO313:AO317),IF(SETUP!$F$27="At delivery", IF(SETUP!$G$27=4,'HIV-Key Info'!$F$70*SUM('EBS-H'!W313:W317),IF(SETUP!$G$27=3,'HIV-Key Info'!$F$70*SUM('EBS-H'!AC313:AC317),IF(SETUP!$G$27=2,'HIV-Key Info'!$F$70*SUM('EBS-H'!AG313:AG317),IF(SETUP!$G$27=1,'HIV-Key Info'!$F$70*SUM('EBS-H'!AK313:AK317),0)))),0))</f>
        <v>0</v>
      </c>
      <c r="AJ218" s="695"/>
      <c r="AK218" s="1492">
        <f t="shared" si="25"/>
        <v>0</v>
      </c>
      <c r="AL218" s="1493"/>
      <c r="AM218" s="1494"/>
      <c r="AN218" s="699"/>
      <c r="AO218" s="695"/>
      <c r="AP218" s="695">
        <f>IF(SETUP!$F$27="Upfront",'HIV-Key Info'!$F$70*SUM('EBS-H'!AU313:AU317),IF(SETUP!$F$27="At delivery", IF(SETUP!$G$27=4,'HIV-Key Info'!$F$70*SUM('EBS-H'!AC313:AC317),IF(SETUP!$G$27=3,'HIV-Key Info'!$F$70*SUM('EBS-H'!AG313:AG317),IF(SETUP!$G$27=2,'HIV-Key Info'!$F$70*SUM('EBS-H'!AK313:AK317),IF(SETUP!$G$27=1,'HIV-Key Info'!$F$70*SUM('EBS-H'!AO313:AO317),0)))),0))</f>
        <v>0</v>
      </c>
      <c r="AQ218" s="695"/>
      <c r="AR218" s="695">
        <f>IF(SETUP!$F$27="Upfront",'HIV-Key Info'!$F$70*SUM('EBS-H'!AY313:AY317),IF(SETUP!$F$27="At delivery", IF(SETUP!$G$27=4,'HIV-Key Info'!$F$70*SUM('EBS-H'!AG313:AG317),IF(SETUP!$G$27=3,'HIV-Key Info'!$F$70*SUM('EBS-H'!AK313:AK317),IF(SETUP!$G$27=2,'HIV-Key Info'!$F$70*SUM('EBS-H'!AO313:AO317),IF(SETUP!$G$27=1,'HIV-Key Info'!$F$70*SUM('EBS-H'!AU313:AU317),0)))),0))</f>
        <v>0</v>
      </c>
      <c r="AS218" s="695"/>
      <c r="AT218" s="695">
        <f>IF(SETUP!$F$27="Upfront",'HIV-Key Info'!$F$70*SUM('EBS-H'!BC313:BC317),IF(SETUP!$F$27="At delivery", IF(SETUP!$G$27=4,'HIV-Key Info'!$F$70*SUM('EBS-H'!AK313:AK317),IF(SETUP!$G$27=3,'HIV-Key Info'!$F$70*SUM('EBS-H'!AO313:AO317),IF(SETUP!$G$27=2,'HIV-Key Info'!$F$70*SUM('EBS-H'!AU313:AU317),IF(SETUP!$G$27=1,'HIV-Key Info'!$F$70*SUM('EBS-H'!AY313:AY317),0)))),0))</f>
        <v>0</v>
      </c>
      <c r="AU218" s="695"/>
      <c r="AV218" s="695">
        <f>IF(SETUP!$F$27="Upfront",'HIV-Key Info'!$F$70*SUM('EBS-H'!BG313:BG317),IF(SETUP!$F$27="At delivery", IF(SETUP!$G$27=4,'HIV-Key Info'!$F$70*SUM(SUM('EBS-H'!AO313:AO317),SUM('EBS-H'!AU313:AU317),SUM('EBS-H'!AY313:AY317),SUM('EBS-H'!BC313:BC317),SUM('EBS-H'!BG313:BG317)),IF(SETUP!$G$27=3,'HIV-Key Info'!$F$70*SUM(SUM('EBS-H'!AU313:AU317),SUM('EBS-H'!AY313:AY317),SUM('EBS-H'!BC313:BC317),SUM('EBS-H'!BG313:BG317)),IF(SETUP!$G$27=2,'HIV-Key Info'!$F$70*SUM(SUM('EBS-H'!AY313:AY317),SUM('EBS-H'!BC313:BC317),SUM('EBS-H'!BG313:BG317)),IF(SETUP!$G$27=1,'HIV-Key Info'!$F$70*SUM(SUM('EBS-H'!BC313:BC317),SUM('EBS-H'!BG313:BG317)),0)))),0))</f>
        <v>0</v>
      </c>
      <c r="AW218" s="695"/>
      <c r="AX218" s="1492">
        <f t="shared" si="26"/>
        <v>0</v>
      </c>
      <c r="AY218" s="1492"/>
      <c r="AZ218" s="698"/>
      <c r="BA218" s="699"/>
      <c r="BB218" s="697"/>
      <c r="BC218" s="697">
        <v>0</v>
      </c>
      <c r="BD218" s="697">
        <v>0</v>
      </c>
      <c r="BE218" s="697">
        <v>0</v>
      </c>
      <c r="BF218" s="697">
        <v>0</v>
      </c>
      <c r="BG218" s="697">
        <v>0</v>
      </c>
      <c r="BH218" s="697">
        <v>0</v>
      </c>
      <c r="BI218" s="697">
        <v>0</v>
      </c>
      <c r="BJ218" s="697">
        <v>0</v>
      </c>
      <c r="BK218" s="1492">
        <f t="shared" si="27"/>
        <v>0</v>
      </c>
      <c r="BL218" s="1492"/>
      <c r="BM218" s="1492">
        <f t="shared" si="28"/>
        <v>0</v>
      </c>
      <c r="BN218" s="1492">
        <f t="shared" si="29"/>
        <v>0</v>
      </c>
      <c r="BO218" s="697"/>
      <c r="BP218" s="697"/>
      <c r="BQ218" s="1495" t="s">
        <v>6936</v>
      </c>
      <c r="BR218" s="1495" t="s">
        <v>818</v>
      </c>
      <c r="BS218" s="1902" t="s">
        <v>790</v>
      </c>
      <c r="BT218" s="1907" t="s">
        <v>1937</v>
      </c>
    </row>
    <row r="219" spans="1:72" ht="13">
      <c r="A219" s="1545">
        <v>653</v>
      </c>
      <c r="B219" s="1546" t="s">
        <v>780</v>
      </c>
      <c r="C219" s="1546" t="s">
        <v>789</v>
      </c>
      <c r="D219" s="1547" t="s">
        <v>6877</v>
      </c>
      <c r="E219" s="690" t="s">
        <v>725</v>
      </c>
      <c r="F219" s="691"/>
      <c r="G219" s="692"/>
      <c r="H219" s="692"/>
      <c r="I219" s="692"/>
      <c r="J219" s="693"/>
      <c r="K219" s="693"/>
      <c r="L219" s="693"/>
      <c r="M219" s="694"/>
      <c r="N219" s="695"/>
      <c r="O219" s="696" t="s">
        <v>1569</v>
      </c>
      <c r="P219" s="695">
        <f>IF(SETUP!$F$28="Upfront",'HIV-Key Info'!$G$70*SUM('EBS-H'!K318:K322),0)</f>
        <v>0</v>
      </c>
      <c r="Q219" s="695" t="s">
        <v>1569</v>
      </c>
      <c r="R219" s="695">
        <f>IF(SETUP!$F$28="Upfront",'HIV-Key Info'!$G$70*SUM('EBS-H'!O318:O322),IF(SETUP!$F$28="At delivery", IF(SETUP!$G$28=1,'HIV-Key Info'!$G$70*SUM('EBS-H'!K318:K322),0),0))</f>
        <v>0</v>
      </c>
      <c r="S219" s="695" t="s">
        <v>1569</v>
      </c>
      <c r="T219" s="695">
        <f>IF(SETUP!$F$28="Upfront",'HIV-Key Info'!$G$70*SUM('EBS-H'!S318:S322),IF(SETUP!$F$28="At delivery", IF(SETUP!$G$28=2,'HIV-Key Info'!$G$70*SUM('EBS-H'!K318:K322),IF(SETUP!$G$28=1,'HIV-Key Info'!$G$70*SUM('EBS-H'!O318:O322),0)),0))</f>
        <v>0</v>
      </c>
      <c r="U219" s="695" t="s">
        <v>1569</v>
      </c>
      <c r="V219" s="695">
        <f>IF(SETUP!$F$28="Upfront",'HIV-Key Info'!$G$70*SUM('EBS-H'!W318:W322),IF(SETUP!$F$28="At delivery", IF(SETUP!$G$28=3,'HIV-Key Info'!$G$70*SUM('EBS-H'!K318:K322),IF(SETUP!$G$28=2,'HIV-Key Info'!$G$70*SUM('EBS-H'!O318:O322),IF(SETUP!$G$28=1,'HIV-Key Info'!$G$70*SUM('EBS-H'!S318:S322),0))),0))</f>
        <v>0</v>
      </c>
      <c r="W219" s="695"/>
      <c r="X219" s="1492">
        <f t="shared" si="24"/>
        <v>0</v>
      </c>
      <c r="Y219" s="1493"/>
      <c r="Z219" s="1494"/>
      <c r="AA219" s="699"/>
      <c r="AB219" s="695"/>
      <c r="AC219" s="695">
        <f>IF(SETUP!$F$28="Upfront",'HIV-Key Info'!$G$70*SUM('EBS-H'!AC318:AC322),IF(SETUP!$F$28="At delivery", IF(SETUP!$G$28=4,'HIV-Key Info'!$G$70*SUM('EBS-H'!K318:K322),IF(SETUP!$G$28=3,'HIV-Key Info'!$G$70*SUM('EBS-H'!O318:O322),IF(SETUP!$G$28=2,'HIV-Key Info'!$G$70*SUM('EBS-H'!S318:S322),IF(SETUP!$G$28=1,'HIV-Key Info'!$G$70*SUM('EBS-H'!W318:W322),0)))),0))</f>
        <v>0</v>
      </c>
      <c r="AD219" s="695"/>
      <c r="AE219" s="695">
        <f>IF(SETUP!$F$28="Upfront",'HIV-Key Info'!$G$70*SUM('EBS-H'!AG318:AG322),IF(SETUP!$F$28="At delivery", IF(SETUP!$G$28=4,'HIV-Key Info'!$G$70*SUM('EBS-H'!O318:O322),IF(SETUP!$G$28=3,'HIV-Key Info'!$G$70*SUM('EBS-H'!S318:S322),IF(SETUP!$G$28=2,'HIV-Key Info'!$G$70*SUM('EBS-H'!W318:W322),IF(SETUP!$G$28=1,'HIV-Key Info'!$G$70*SUM('EBS-H'!AC318:AC322),0)))),0))</f>
        <v>0</v>
      </c>
      <c r="AF219" s="695"/>
      <c r="AG219" s="695">
        <f>IF(SETUP!$F$28="Upfront",'HIV-Key Info'!$G$70*SUM('EBS-H'!AK318:AK322),IF(SETUP!$F$28="At delivery", IF(SETUP!$G$28=4,'HIV-Key Info'!$G$70*SUM('EBS-H'!S318:S322),IF(SETUP!$G$28=3,'HIV-Key Info'!$G$70*SUM('EBS-H'!W318:W322),IF(SETUP!$G$28=2,'HIV-Key Info'!$G$70*SUM('EBS-H'!AC318:AC322),IF(SETUP!$G$28=1,'HIV-Key Info'!$G$70*SUM('EBS-H'!AG318:AG322),0)))),0))</f>
        <v>0</v>
      </c>
      <c r="AH219" s="695"/>
      <c r="AI219" s="695">
        <f>IF(SETUP!$F$28="Upfront",'HIV-Key Info'!$G$70*SUM('EBS-H'!AO318:AO322),IF(SETUP!$F$28="At delivery", IF(SETUP!$G$28=4,'HIV-Key Info'!$G$70*SUM('EBS-H'!W318:W322),IF(SETUP!$G$28=3,'HIV-Key Info'!$G$70*SUM('EBS-H'!AC318:AC322),IF(SETUP!$G$28=2,'HIV-Key Info'!$G$70*SUM('EBS-H'!AG318:AG322),IF(SETUP!$G$28=1,'HIV-Key Info'!$G$70*SUM('EBS-H'!AK318:AK322),0)))),0))</f>
        <v>0</v>
      </c>
      <c r="AJ219" s="695"/>
      <c r="AK219" s="1492">
        <f t="shared" si="25"/>
        <v>0</v>
      </c>
      <c r="AL219" s="1493"/>
      <c r="AM219" s="1494"/>
      <c r="AN219" s="699"/>
      <c r="AO219" s="695"/>
      <c r="AP219" s="695">
        <f>IF(SETUP!$F$28="Upfront",'HIV-Key Info'!$G$70*SUM('EBS-H'!AU318:AU322),IF(SETUP!$F$28="At delivery", IF(SETUP!$G$28=4,'HIV-Key Info'!$G$70*SUM('EBS-H'!AC318:AC322),IF(SETUP!$G$28=3,'HIV-Key Info'!$G$70*SUM('EBS-H'!AG318:AG322),IF(SETUP!$G$28=2,'HIV-Key Info'!$G$70*SUM('EBS-H'!AK318:AK322),IF(SETUP!$G$28=1,'HIV-Key Info'!$G$70*SUM('EBS-H'!AO318:AO322),0)))),0))</f>
        <v>0</v>
      </c>
      <c r="AQ219" s="695"/>
      <c r="AR219" s="695">
        <f>IF(SETUP!$F$28="Upfront",'HIV-Key Info'!$G$70*SUM('EBS-H'!AY318:AY322),IF(SETUP!$F$28="At delivery", IF(SETUP!$G$28=4,'HIV-Key Info'!$G$70*SUM('EBS-H'!AG318:AG322),IF(SETUP!$G$28=3,'HIV-Key Info'!$G$70*SUM('EBS-H'!AK318:AK322),IF(SETUP!$G$28=2,'HIV-Key Info'!$G$70*SUM('EBS-H'!AO318:AO322),IF(SETUP!$G$28=1,'HIV-Key Info'!$G$70*SUM('EBS-H'!AU318:AU322),0)))),0))</f>
        <v>0</v>
      </c>
      <c r="AS219" s="695"/>
      <c r="AT219" s="695">
        <f>IF(SETUP!$F$28="Upfront",'HIV-Key Info'!$G$70*SUM('EBS-H'!BC318:BC322),IF(SETUP!$F$28="At delivery", IF(SETUP!$G$28=4,'HIV-Key Info'!$G$70*SUM('EBS-H'!AK318:AK322),IF(SETUP!$G$28=3,'HIV-Key Info'!$G$70*SUM('EBS-H'!AO318:AO322),IF(SETUP!$G$28=2,'HIV-Key Info'!$G$70*SUM('EBS-H'!AU318:AU322),IF(SETUP!$G$28=1,'HIV-Key Info'!$G$70*SUM('EBS-H'!AY318:AY322),0)))),0))</f>
        <v>0</v>
      </c>
      <c r="AU219" s="695"/>
      <c r="AV219" s="695">
        <f>IF(SETUP!$F$28="Upfront",'HIV-Key Info'!$G$70*SUM('EBS-H'!BG318:BG322),IF(SETUP!$F$28="At delivery", IF(SETUP!$G$28=4,'HIV-Key Info'!$G$70*SUM(SUM('EBS-H'!AO318:AO322),SUM('EBS-H'!AU318:AU322),SUM('EBS-H'!AY318:AY322),SUM('EBS-H'!BC318:BC322),SUM('EBS-H'!BG318:BG322)),IF(SETUP!$G$28=3,'HIV-Key Info'!$G$70*SUM(SUM('EBS-H'!AU318:AU322),SUM('EBS-H'!AY318:AY322),SUM('EBS-H'!BC318:BC322),SUM('EBS-H'!BG318:BG322)),IF(SETUP!$G$28=2,'HIV-Key Info'!$G$70*SUM(SUM('EBS-H'!AY318:AY322),SUM('EBS-H'!BC318:BC322),SUM('EBS-H'!BG318:BG322)),IF(SETUP!$G$28=1,'HIV-Key Info'!$G$70*SUM(SUM('EBS-H'!BC318:BC322),SUM('EBS-H'!BG318:BG322)),0)))),0))</f>
        <v>0</v>
      </c>
      <c r="AW219" s="695"/>
      <c r="AX219" s="1492">
        <f t="shared" si="26"/>
        <v>0</v>
      </c>
      <c r="AY219" s="1492"/>
      <c r="AZ219" s="698"/>
      <c r="BA219" s="699"/>
      <c r="BB219" s="697"/>
      <c r="BC219" s="697">
        <v>0</v>
      </c>
      <c r="BD219" s="697">
        <v>0</v>
      </c>
      <c r="BE219" s="697">
        <v>0</v>
      </c>
      <c r="BF219" s="697">
        <v>0</v>
      </c>
      <c r="BG219" s="697">
        <v>0</v>
      </c>
      <c r="BH219" s="697">
        <v>0</v>
      </c>
      <c r="BI219" s="697">
        <v>0</v>
      </c>
      <c r="BJ219" s="697">
        <v>0</v>
      </c>
      <c r="BK219" s="1492">
        <f t="shared" si="27"/>
        <v>0</v>
      </c>
      <c r="BL219" s="1492"/>
      <c r="BM219" s="1492">
        <f t="shared" si="28"/>
        <v>0</v>
      </c>
      <c r="BN219" s="1492">
        <f t="shared" si="29"/>
        <v>0</v>
      </c>
      <c r="BO219" s="697"/>
      <c r="BP219" s="697"/>
      <c r="BQ219" s="1495" t="s">
        <v>6936</v>
      </c>
      <c r="BR219" s="1495" t="s">
        <v>818</v>
      </c>
      <c r="BS219" s="1902" t="s">
        <v>790</v>
      </c>
      <c r="BT219" s="1907" t="s">
        <v>1938</v>
      </c>
    </row>
    <row r="220" spans="1:72" ht="13">
      <c r="A220" s="1545">
        <v>654</v>
      </c>
      <c r="B220" s="1546" t="s">
        <v>780</v>
      </c>
      <c r="C220" s="1546" t="s">
        <v>789</v>
      </c>
      <c r="D220" s="1547" t="s">
        <v>6878</v>
      </c>
      <c r="E220" s="690" t="s">
        <v>656</v>
      </c>
      <c r="F220" s="691"/>
      <c r="G220" s="692"/>
      <c r="H220" s="692"/>
      <c r="I220" s="692"/>
      <c r="J220" s="693"/>
      <c r="K220" s="693"/>
      <c r="L220" s="693"/>
      <c r="M220" s="694"/>
      <c r="N220" s="695"/>
      <c r="O220" s="696" t="s">
        <v>1569</v>
      </c>
      <c r="P220" s="695">
        <f>'HIV-Key Info'!$E$70*('HPM costs'!F27+'HPM costs'!F30)</f>
        <v>0</v>
      </c>
      <c r="Q220" s="695" t="s">
        <v>1569</v>
      </c>
      <c r="R220" s="695">
        <f>'HIV-Key Info'!$E$70*('HPM costs'!G27+'HPM costs'!G30)</f>
        <v>0</v>
      </c>
      <c r="S220" s="695" t="s">
        <v>1569</v>
      </c>
      <c r="T220" s="695">
        <f>'HIV-Key Info'!$E$70*('HPM costs'!H27+'HPM costs'!H30)</f>
        <v>0</v>
      </c>
      <c r="U220" s="695" t="s">
        <v>1569</v>
      </c>
      <c r="V220" s="695">
        <f>'HIV-Key Info'!$E$70*('HPM costs'!I27+'HPM costs'!I30)</f>
        <v>0</v>
      </c>
      <c r="W220" s="695"/>
      <c r="X220" s="1492">
        <f t="shared" si="24"/>
        <v>0</v>
      </c>
      <c r="Y220" s="1493"/>
      <c r="Z220" s="1494"/>
      <c r="AA220" s="699"/>
      <c r="AB220" s="695"/>
      <c r="AC220" s="695">
        <f>'HIV-Key Info'!$E$70*('HPM costs'!K27+'HPM costs'!K30)</f>
        <v>0</v>
      </c>
      <c r="AD220" s="695"/>
      <c r="AE220" s="695">
        <f>'HIV-Key Info'!$E$70*('HPM costs'!L27+'HPM costs'!L30)</f>
        <v>0</v>
      </c>
      <c r="AF220" s="695"/>
      <c r="AG220" s="695">
        <f>'HIV-Key Info'!$E$70*('HPM costs'!M27+'HPM costs'!M30)</f>
        <v>0</v>
      </c>
      <c r="AH220" s="695"/>
      <c r="AI220" s="695">
        <f>'HIV-Key Info'!$E$70*('HPM costs'!N27+'HPM costs'!N30)</f>
        <v>0</v>
      </c>
      <c r="AJ220" s="695"/>
      <c r="AK220" s="1492">
        <f t="shared" si="25"/>
        <v>0</v>
      </c>
      <c r="AL220" s="1493"/>
      <c r="AM220" s="1494"/>
      <c r="AN220" s="699"/>
      <c r="AO220" s="695"/>
      <c r="AP220" s="695">
        <f>'HIV-Key Info'!$E$70*('HPM costs'!P27+'HPM costs'!P30)</f>
        <v>0</v>
      </c>
      <c r="AQ220" s="695"/>
      <c r="AR220" s="695">
        <f>'HIV-Key Info'!$E$70*('HPM costs'!Q27+'HPM costs'!Q30)</f>
        <v>0</v>
      </c>
      <c r="AS220" s="695"/>
      <c r="AT220" s="695">
        <f>'HIV-Key Info'!$E$70*('HPM costs'!R27+'HPM costs'!R30)</f>
        <v>0</v>
      </c>
      <c r="AU220" s="695"/>
      <c r="AV220" s="695">
        <f>'HIV-Key Info'!$E$70*('HPM costs'!S27+'HPM costs'!S30)</f>
        <v>0</v>
      </c>
      <c r="AW220" s="695"/>
      <c r="AX220" s="1492">
        <f t="shared" si="26"/>
        <v>0</v>
      </c>
      <c r="AY220" s="1492"/>
      <c r="AZ220" s="698"/>
      <c r="BA220" s="699"/>
      <c r="BB220" s="697"/>
      <c r="BC220" s="697">
        <v>0</v>
      </c>
      <c r="BD220" s="697">
        <v>0</v>
      </c>
      <c r="BE220" s="697">
        <v>0</v>
      </c>
      <c r="BF220" s="697">
        <v>0</v>
      </c>
      <c r="BG220" s="697">
        <v>0</v>
      </c>
      <c r="BH220" s="697">
        <v>0</v>
      </c>
      <c r="BI220" s="697">
        <v>0</v>
      </c>
      <c r="BJ220" s="697">
        <v>0</v>
      </c>
      <c r="BK220" s="1492">
        <f t="shared" si="27"/>
        <v>0</v>
      </c>
      <c r="BL220" s="1492"/>
      <c r="BM220" s="1492">
        <f t="shared" si="28"/>
        <v>0</v>
      </c>
      <c r="BN220" s="1492">
        <f t="shared" si="29"/>
        <v>0</v>
      </c>
      <c r="BO220" s="697"/>
      <c r="BP220" s="697"/>
      <c r="BQ220" s="1495" t="s">
        <v>6936</v>
      </c>
      <c r="BR220" s="1495" t="s">
        <v>818</v>
      </c>
      <c r="BS220" s="1902" t="s">
        <v>655</v>
      </c>
      <c r="BT220" s="1907" t="s">
        <v>1939</v>
      </c>
    </row>
    <row r="221" spans="1:72" ht="13">
      <c r="A221" s="1545">
        <v>655</v>
      </c>
      <c r="B221" s="1546" t="s">
        <v>780</v>
      </c>
      <c r="C221" s="1546" t="s">
        <v>789</v>
      </c>
      <c r="D221" s="1547" t="s">
        <v>6878</v>
      </c>
      <c r="E221" s="690" t="s">
        <v>658</v>
      </c>
      <c r="F221" s="691"/>
      <c r="G221" s="692"/>
      <c r="H221" s="692"/>
      <c r="I221" s="692"/>
      <c r="J221" s="693"/>
      <c r="K221" s="693"/>
      <c r="L221" s="693"/>
      <c r="M221" s="694"/>
      <c r="N221" s="695"/>
      <c r="O221" s="696" t="s">
        <v>1569</v>
      </c>
      <c r="P221" s="695">
        <f>'HIV-Key Info'!$E$70*('HPM costs'!F113+'HPM costs'!F116)</f>
        <v>0</v>
      </c>
      <c r="Q221" s="695" t="s">
        <v>1569</v>
      </c>
      <c r="R221" s="695">
        <f>'HIV-Key Info'!$E$70*('HPM costs'!G113+'HPM costs'!G116)</f>
        <v>0</v>
      </c>
      <c r="S221" s="695" t="s">
        <v>1569</v>
      </c>
      <c r="T221" s="695">
        <f>'HIV-Key Info'!$E$70*('HPM costs'!H113+'HPM costs'!H116)</f>
        <v>0</v>
      </c>
      <c r="U221" s="695" t="s">
        <v>1569</v>
      </c>
      <c r="V221" s="695">
        <f>'HIV-Key Info'!$E$70*('HPM costs'!I113+'HPM costs'!I116)</f>
        <v>0</v>
      </c>
      <c r="W221" s="695"/>
      <c r="X221" s="1492">
        <f t="shared" si="24"/>
        <v>0</v>
      </c>
      <c r="Y221" s="1493"/>
      <c r="Z221" s="1494"/>
      <c r="AA221" s="699"/>
      <c r="AB221" s="695"/>
      <c r="AC221" s="695">
        <f>'HIV-Key Info'!$E$70*('HPM costs'!K113+'HPM costs'!K116)</f>
        <v>0</v>
      </c>
      <c r="AD221" s="695"/>
      <c r="AE221" s="695">
        <f>'HIV-Key Info'!$E$70*('HPM costs'!L113+'HPM costs'!L116)</f>
        <v>0</v>
      </c>
      <c r="AF221" s="695"/>
      <c r="AG221" s="695">
        <f>'HIV-Key Info'!$E$70*('HPM costs'!M113+'HPM costs'!M116)</f>
        <v>0</v>
      </c>
      <c r="AH221" s="695"/>
      <c r="AI221" s="695">
        <f>'HIV-Key Info'!$E$70*('HPM costs'!N113+'HPM costs'!N116)</f>
        <v>0</v>
      </c>
      <c r="AJ221" s="695"/>
      <c r="AK221" s="1492">
        <f t="shared" si="25"/>
        <v>0</v>
      </c>
      <c r="AL221" s="1493"/>
      <c r="AM221" s="1494"/>
      <c r="AN221" s="699"/>
      <c r="AO221" s="695"/>
      <c r="AP221" s="695">
        <f>'HIV-Key Info'!$E$70*('HPM costs'!P113+'HPM costs'!P116)</f>
        <v>0</v>
      </c>
      <c r="AQ221" s="695"/>
      <c r="AR221" s="695">
        <f>'HIV-Key Info'!$E$70*('HPM costs'!Q113+'HPM costs'!Q116)</f>
        <v>0</v>
      </c>
      <c r="AS221" s="695"/>
      <c r="AT221" s="695">
        <f>'HIV-Key Info'!$E$70*('HPM costs'!R113+'HPM costs'!R116)</f>
        <v>0</v>
      </c>
      <c r="AU221" s="695"/>
      <c r="AV221" s="695">
        <f>'HIV-Key Info'!$E$70*('HPM costs'!S113+'HPM costs'!S116)</f>
        <v>0</v>
      </c>
      <c r="AW221" s="695"/>
      <c r="AX221" s="1492">
        <f t="shared" si="26"/>
        <v>0</v>
      </c>
      <c r="AY221" s="1492"/>
      <c r="AZ221" s="698"/>
      <c r="BA221" s="699"/>
      <c r="BB221" s="697"/>
      <c r="BC221" s="697">
        <v>0</v>
      </c>
      <c r="BD221" s="697">
        <v>0</v>
      </c>
      <c r="BE221" s="697">
        <v>0</v>
      </c>
      <c r="BF221" s="697">
        <v>0</v>
      </c>
      <c r="BG221" s="697">
        <v>0</v>
      </c>
      <c r="BH221" s="697">
        <v>0</v>
      </c>
      <c r="BI221" s="697">
        <v>0</v>
      </c>
      <c r="BJ221" s="697">
        <v>0</v>
      </c>
      <c r="BK221" s="1492">
        <f t="shared" si="27"/>
        <v>0</v>
      </c>
      <c r="BL221" s="1492"/>
      <c r="BM221" s="1492">
        <f t="shared" si="28"/>
        <v>0</v>
      </c>
      <c r="BN221" s="1492">
        <f t="shared" si="29"/>
        <v>0</v>
      </c>
      <c r="BO221" s="697"/>
      <c r="BP221" s="697"/>
      <c r="BQ221" s="1495" t="s">
        <v>6936</v>
      </c>
      <c r="BR221" s="1495" t="s">
        <v>818</v>
      </c>
      <c r="BS221" s="1902" t="s">
        <v>655</v>
      </c>
      <c r="BT221" s="1907" t="s">
        <v>1940</v>
      </c>
    </row>
    <row r="222" spans="1:72" ht="13">
      <c r="A222" s="1545">
        <v>656</v>
      </c>
      <c r="B222" s="1546" t="s">
        <v>780</v>
      </c>
      <c r="C222" s="1546" t="s">
        <v>789</v>
      </c>
      <c r="D222" s="1547" t="s">
        <v>6878</v>
      </c>
      <c r="E222" s="690" t="s">
        <v>660</v>
      </c>
      <c r="F222" s="691"/>
      <c r="G222" s="692"/>
      <c r="H222" s="692"/>
      <c r="I222" s="692"/>
      <c r="J222" s="693"/>
      <c r="K222" s="693"/>
      <c r="L222" s="693"/>
      <c r="M222" s="694"/>
      <c r="N222" s="695"/>
      <c r="O222" s="696" t="s">
        <v>1569</v>
      </c>
      <c r="P222" s="695">
        <f>'HIV-Key Info'!$E$70*('HPM costs'!F373+'HPM costs'!F376)</f>
        <v>0</v>
      </c>
      <c r="Q222" s="695" t="s">
        <v>1569</v>
      </c>
      <c r="R222" s="695">
        <f>'HIV-Key Info'!$E$70*('HPM costs'!G373+'HPM costs'!G376)</f>
        <v>0</v>
      </c>
      <c r="S222" s="695" t="s">
        <v>1569</v>
      </c>
      <c r="T222" s="695">
        <f>'HIV-Key Info'!$E$70*('HPM costs'!H373+'HPM costs'!H376)</f>
        <v>0</v>
      </c>
      <c r="U222" s="695" t="s">
        <v>1569</v>
      </c>
      <c r="V222" s="695">
        <f>'HIV-Key Info'!$E$70*('HPM costs'!I373+'HPM costs'!I376)</f>
        <v>0</v>
      </c>
      <c r="W222" s="695"/>
      <c r="X222" s="1492">
        <f t="shared" si="24"/>
        <v>0</v>
      </c>
      <c r="Y222" s="1493"/>
      <c r="Z222" s="1494"/>
      <c r="AA222" s="699"/>
      <c r="AB222" s="695"/>
      <c r="AC222" s="695">
        <f>'HIV-Key Info'!$E$70*('HPM costs'!K373+'HPM costs'!K376)</f>
        <v>0</v>
      </c>
      <c r="AD222" s="695"/>
      <c r="AE222" s="695">
        <f>'HIV-Key Info'!$E$70*('HPM costs'!L373+'HPM costs'!L376)</f>
        <v>0</v>
      </c>
      <c r="AF222" s="695"/>
      <c r="AG222" s="695">
        <f>'HIV-Key Info'!$E$70*('HPM costs'!M373+'HPM costs'!M376)</f>
        <v>0</v>
      </c>
      <c r="AH222" s="695"/>
      <c r="AI222" s="695">
        <f>'HIV-Key Info'!$E$70*('HPM costs'!N373+'HPM costs'!N376)</f>
        <v>0</v>
      </c>
      <c r="AJ222" s="695"/>
      <c r="AK222" s="1492">
        <f t="shared" si="25"/>
        <v>0</v>
      </c>
      <c r="AL222" s="1493"/>
      <c r="AM222" s="1494"/>
      <c r="AN222" s="699"/>
      <c r="AO222" s="695"/>
      <c r="AP222" s="695">
        <f>'HIV-Key Info'!$E$70*('HPM costs'!P373+'HPM costs'!P376)</f>
        <v>0</v>
      </c>
      <c r="AQ222" s="695"/>
      <c r="AR222" s="695">
        <f>'HIV-Key Info'!$E$70*('HPM costs'!Q373+'HPM costs'!Q376)</f>
        <v>0</v>
      </c>
      <c r="AS222" s="695"/>
      <c r="AT222" s="695">
        <f>'HIV-Key Info'!$E$70*('HPM costs'!R373+'HPM costs'!R376)</f>
        <v>0</v>
      </c>
      <c r="AU222" s="695"/>
      <c r="AV222" s="695">
        <f>'HIV-Key Info'!$E$70*('HPM costs'!S373+'HPM costs'!S376)</f>
        <v>0</v>
      </c>
      <c r="AW222" s="695"/>
      <c r="AX222" s="1492">
        <f t="shared" si="26"/>
        <v>0</v>
      </c>
      <c r="AY222" s="1492"/>
      <c r="AZ222" s="698"/>
      <c r="BA222" s="699"/>
      <c r="BB222" s="697"/>
      <c r="BC222" s="697">
        <v>0</v>
      </c>
      <c r="BD222" s="697">
        <v>0</v>
      </c>
      <c r="BE222" s="697">
        <v>0</v>
      </c>
      <c r="BF222" s="697">
        <v>0</v>
      </c>
      <c r="BG222" s="697">
        <v>0</v>
      </c>
      <c r="BH222" s="697">
        <v>0</v>
      </c>
      <c r="BI222" s="697">
        <v>0</v>
      </c>
      <c r="BJ222" s="697">
        <v>0</v>
      </c>
      <c r="BK222" s="1492">
        <f t="shared" si="27"/>
        <v>0</v>
      </c>
      <c r="BL222" s="1492"/>
      <c r="BM222" s="1492">
        <f t="shared" si="28"/>
        <v>0</v>
      </c>
      <c r="BN222" s="1492">
        <f t="shared" si="29"/>
        <v>0</v>
      </c>
      <c r="BO222" s="697"/>
      <c r="BP222" s="697"/>
      <c r="BQ222" s="1495" t="s">
        <v>6936</v>
      </c>
      <c r="BR222" s="1495" t="s">
        <v>818</v>
      </c>
      <c r="BS222" s="1902" t="s">
        <v>655</v>
      </c>
      <c r="BT222" s="1907" t="s">
        <v>1941</v>
      </c>
    </row>
    <row r="223" spans="1:72" ht="13">
      <c r="A223" s="1545">
        <v>657</v>
      </c>
      <c r="B223" s="1546" t="s">
        <v>780</v>
      </c>
      <c r="C223" s="1546" t="s">
        <v>789</v>
      </c>
      <c r="D223" s="1547" t="s">
        <v>6878</v>
      </c>
      <c r="E223" s="690" t="s">
        <v>662</v>
      </c>
      <c r="F223" s="691"/>
      <c r="G223" s="692"/>
      <c r="H223" s="692"/>
      <c r="I223" s="692"/>
      <c r="J223" s="693"/>
      <c r="K223" s="693"/>
      <c r="L223" s="693"/>
      <c r="M223" s="694"/>
      <c r="N223" s="695"/>
      <c r="O223" s="696" t="s">
        <v>1569</v>
      </c>
      <c r="P223" s="695">
        <f>'HIV-Key Info'!$E$70*('HPM costs'!F459+'HPM costs'!F462)</f>
        <v>0</v>
      </c>
      <c r="Q223" s="695" t="s">
        <v>1569</v>
      </c>
      <c r="R223" s="695">
        <f>'HIV-Key Info'!$E$70*('HPM costs'!G459+'HPM costs'!G462)</f>
        <v>0</v>
      </c>
      <c r="S223" s="695" t="s">
        <v>1569</v>
      </c>
      <c r="T223" s="695">
        <f>'HIV-Key Info'!$E$70*('HPM costs'!H459+'HPM costs'!H462)</f>
        <v>0</v>
      </c>
      <c r="U223" s="695" t="s">
        <v>1569</v>
      </c>
      <c r="V223" s="695">
        <f>'HIV-Key Info'!$E$70*('HPM costs'!I459+'HPM costs'!I462)</f>
        <v>0</v>
      </c>
      <c r="W223" s="695"/>
      <c r="X223" s="1492">
        <f t="shared" si="24"/>
        <v>0</v>
      </c>
      <c r="Y223" s="1493"/>
      <c r="Z223" s="1494"/>
      <c r="AA223" s="699"/>
      <c r="AB223" s="695"/>
      <c r="AC223" s="695">
        <f>'HIV-Key Info'!$E$70*('HPM costs'!K459+'HPM costs'!K462)</f>
        <v>0</v>
      </c>
      <c r="AD223" s="695"/>
      <c r="AE223" s="695">
        <f>'HIV-Key Info'!$E$70*('HPM costs'!L459+'HPM costs'!L462)</f>
        <v>0</v>
      </c>
      <c r="AF223" s="695"/>
      <c r="AG223" s="695">
        <f>'HIV-Key Info'!$E$70*('HPM costs'!M459+'HPM costs'!M462)</f>
        <v>0</v>
      </c>
      <c r="AH223" s="695"/>
      <c r="AI223" s="695">
        <f>'HIV-Key Info'!$E$70*('HPM costs'!N459+'HPM costs'!N462)</f>
        <v>0</v>
      </c>
      <c r="AJ223" s="695"/>
      <c r="AK223" s="1492">
        <f t="shared" si="25"/>
        <v>0</v>
      </c>
      <c r="AL223" s="1493"/>
      <c r="AM223" s="1494"/>
      <c r="AN223" s="699"/>
      <c r="AO223" s="695"/>
      <c r="AP223" s="695">
        <f>'HIV-Key Info'!$E$70*('HPM costs'!P459+'HPM costs'!P462)</f>
        <v>0</v>
      </c>
      <c r="AQ223" s="695"/>
      <c r="AR223" s="695">
        <f>'HIV-Key Info'!$E$70*('HPM costs'!Q459+'HPM costs'!Q462)</f>
        <v>0</v>
      </c>
      <c r="AS223" s="695"/>
      <c r="AT223" s="695">
        <f>'HIV-Key Info'!$E$70*('HPM costs'!R459+'HPM costs'!R462)</f>
        <v>0</v>
      </c>
      <c r="AU223" s="695"/>
      <c r="AV223" s="695">
        <f>'HIV-Key Info'!$E$70*('HPM costs'!S459+'HPM costs'!S462)</f>
        <v>0</v>
      </c>
      <c r="AW223" s="695"/>
      <c r="AX223" s="1492">
        <f t="shared" si="26"/>
        <v>0</v>
      </c>
      <c r="AY223" s="1492"/>
      <c r="AZ223" s="698"/>
      <c r="BA223" s="699"/>
      <c r="BB223" s="697"/>
      <c r="BC223" s="697">
        <v>0</v>
      </c>
      <c r="BD223" s="697">
        <v>0</v>
      </c>
      <c r="BE223" s="697">
        <v>0</v>
      </c>
      <c r="BF223" s="697">
        <v>0</v>
      </c>
      <c r="BG223" s="697">
        <v>0</v>
      </c>
      <c r="BH223" s="697">
        <v>0</v>
      </c>
      <c r="BI223" s="697">
        <v>0</v>
      </c>
      <c r="BJ223" s="697">
        <v>0</v>
      </c>
      <c r="BK223" s="1492">
        <f t="shared" si="27"/>
        <v>0</v>
      </c>
      <c r="BL223" s="1492"/>
      <c r="BM223" s="1492">
        <f t="shared" si="28"/>
        <v>0</v>
      </c>
      <c r="BN223" s="1492">
        <f t="shared" si="29"/>
        <v>0</v>
      </c>
      <c r="BO223" s="697"/>
      <c r="BP223" s="697"/>
      <c r="BQ223" s="1495" t="s">
        <v>6936</v>
      </c>
      <c r="BR223" s="1495" t="s">
        <v>818</v>
      </c>
      <c r="BS223" s="1902" t="s">
        <v>655</v>
      </c>
      <c r="BT223" s="1907" t="s">
        <v>1942</v>
      </c>
    </row>
    <row r="224" spans="1:72" ht="13">
      <c r="A224" s="1545">
        <v>658</v>
      </c>
      <c r="B224" s="1546" t="s">
        <v>780</v>
      </c>
      <c r="C224" s="1546" t="s">
        <v>789</v>
      </c>
      <c r="D224" s="1547" t="s">
        <v>6878</v>
      </c>
      <c r="E224" s="690" t="s">
        <v>664</v>
      </c>
      <c r="F224" s="691"/>
      <c r="G224" s="692"/>
      <c r="H224" s="692"/>
      <c r="I224" s="692"/>
      <c r="J224" s="693"/>
      <c r="K224" s="693"/>
      <c r="L224" s="693"/>
      <c r="M224" s="694"/>
      <c r="N224" s="695"/>
      <c r="O224" s="696" t="s">
        <v>1569</v>
      </c>
      <c r="P224" s="695">
        <f>'HIV-Key Info'!$E$70*('HPM costs'!F199+'HPM costs'!F202+'HPM costs'!F545+'HPM costs'!F548)</f>
        <v>0</v>
      </c>
      <c r="Q224" s="695" t="s">
        <v>1569</v>
      </c>
      <c r="R224" s="695">
        <f>'HIV-Key Info'!$E$70*('HPM costs'!G199+'HPM costs'!G202+'HPM costs'!G545+'HPM costs'!G548)</f>
        <v>0</v>
      </c>
      <c r="S224" s="695" t="s">
        <v>1569</v>
      </c>
      <c r="T224" s="695">
        <f>'HIV-Key Info'!$E$70*('HPM costs'!H199+'HPM costs'!H202+'HPM costs'!H545+'HPM costs'!H548)</f>
        <v>0</v>
      </c>
      <c r="U224" s="695" t="s">
        <v>1569</v>
      </c>
      <c r="V224" s="695">
        <f>'HIV-Key Info'!$E$70*('HPM costs'!I199+'HPM costs'!I202+'HPM costs'!I545+'HPM costs'!I548)</f>
        <v>0</v>
      </c>
      <c r="W224" s="695"/>
      <c r="X224" s="1492">
        <f t="shared" si="24"/>
        <v>0</v>
      </c>
      <c r="Y224" s="1493"/>
      <c r="Z224" s="1494"/>
      <c r="AA224" s="699"/>
      <c r="AB224" s="695"/>
      <c r="AC224" s="695">
        <f>'HIV-Key Info'!$E$70*('HPM costs'!K199+'HPM costs'!K202+'HPM costs'!K545+'HPM costs'!K548)</f>
        <v>0</v>
      </c>
      <c r="AD224" s="695"/>
      <c r="AE224" s="695">
        <f>'HIV-Key Info'!$E$70*('HPM costs'!L199+'HPM costs'!L202+'HPM costs'!L545+'HPM costs'!L548)</f>
        <v>0</v>
      </c>
      <c r="AF224" s="695"/>
      <c r="AG224" s="695">
        <f>'HIV-Key Info'!$E$70*('HPM costs'!M199+'HPM costs'!M202+'HPM costs'!M545+'HPM costs'!M548)</f>
        <v>0</v>
      </c>
      <c r="AH224" s="695"/>
      <c r="AI224" s="695">
        <f>'HIV-Key Info'!$E$70*('HPM costs'!N199+'HPM costs'!N202+'HPM costs'!N545+'HPM costs'!N548)</f>
        <v>0</v>
      </c>
      <c r="AJ224" s="695"/>
      <c r="AK224" s="1492">
        <f t="shared" si="25"/>
        <v>0</v>
      </c>
      <c r="AL224" s="1493"/>
      <c r="AM224" s="1494"/>
      <c r="AN224" s="699"/>
      <c r="AO224" s="695"/>
      <c r="AP224" s="695">
        <f>'HIV-Key Info'!$E$70*('HPM costs'!P199+'HPM costs'!P202+'HPM costs'!P545+'HPM costs'!P548)</f>
        <v>0</v>
      </c>
      <c r="AQ224" s="695"/>
      <c r="AR224" s="695">
        <f>'HIV-Key Info'!$E$70*('HPM costs'!Q199+'HPM costs'!Q202+'HPM costs'!Q545+'HPM costs'!Q548)</f>
        <v>0</v>
      </c>
      <c r="AS224" s="695"/>
      <c r="AT224" s="695">
        <f>'HIV-Key Info'!$E$70*('HPM costs'!R199+'HPM costs'!R202+'HPM costs'!R545+'HPM costs'!R548)</f>
        <v>0</v>
      </c>
      <c r="AU224" s="695"/>
      <c r="AV224" s="695">
        <f>'HIV-Key Info'!$E$70*('HPM costs'!S199+'HPM costs'!S202+'HPM costs'!S545+'HPM costs'!S548)</f>
        <v>0</v>
      </c>
      <c r="AW224" s="695"/>
      <c r="AX224" s="1492">
        <f t="shared" si="26"/>
        <v>0</v>
      </c>
      <c r="AY224" s="1492"/>
      <c r="AZ224" s="698"/>
      <c r="BA224" s="699"/>
      <c r="BB224" s="697"/>
      <c r="BC224" s="697">
        <v>0</v>
      </c>
      <c r="BD224" s="697">
        <v>0</v>
      </c>
      <c r="BE224" s="697">
        <v>0</v>
      </c>
      <c r="BF224" s="697">
        <v>0</v>
      </c>
      <c r="BG224" s="697">
        <v>0</v>
      </c>
      <c r="BH224" s="697">
        <v>0</v>
      </c>
      <c r="BI224" s="697">
        <v>0</v>
      </c>
      <c r="BJ224" s="697">
        <v>0</v>
      </c>
      <c r="BK224" s="1492">
        <f t="shared" si="27"/>
        <v>0</v>
      </c>
      <c r="BL224" s="1492"/>
      <c r="BM224" s="1492">
        <f t="shared" si="28"/>
        <v>0</v>
      </c>
      <c r="BN224" s="1492">
        <f t="shared" si="29"/>
        <v>0</v>
      </c>
      <c r="BO224" s="697"/>
      <c r="BP224" s="697"/>
      <c r="BQ224" s="1495" t="s">
        <v>6936</v>
      </c>
      <c r="BR224" s="1495" t="s">
        <v>818</v>
      </c>
      <c r="BS224" s="1902" t="s">
        <v>655</v>
      </c>
      <c r="BT224" s="1907" t="s">
        <v>1943</v>
      </c>
    </row>
    <row r="225" spans="1:72" ht="13">
      <c r="A225" s="1545">
        <v>659</v>
      </c>
      <c r="B225" s="1546" t="s">
        <v>780</v>
      </c>
      <c r="C225" s="1546" t="s">
        <v>789</v>
      </c>
      <c r="D225" s="1547" t="s">
        <v>6878</v>
      </c>
      <c r="E225" s="690" t="s">
        <v>666</v>
      </c>
      <c r="F225" s="691"/>
      <c r="G225" s="692"/>
      <c r="H225" s="692"/>
      <c r="I225" s="692"/>
      <c r="J225" s="693"/>
      <c r="K225" s="693"/>
      <c r="L225" s="693"/>
      <c r="M225" s="694"/>
      <c r="N225" s="695"/>
      <c r="O225" s="696" t="s">
        <v>1569</v>
      </c>
      <c r="P225" s="695">
        <f>'HIV-Key Info'!$E$70*('HPM costs'!F285+'HPM costs'!F288)</f>
        <v>0</v>
      </c>
      <c r="Q225" s="695" t="s">
        <v>1569</v>
      </c>
      <c r="R225" s="695">
        <f>'HIV-Key Info'!$E$70*('HPM costs'!G285+'HPM costs'!G288)</f>
        <v>0</v>
      </c>
      <c r="S225" s="695" t="s">
        <v>1569</v>
      </c>
      <c r="T225" s="695">
        <f>'HIV-Key Info'!$E$70*('HPM costs'!H285+'HPM costs'!H288)</f>
        <v>0</v>
      </c>
      <c r="U225" s="695" t="s">
        <v>1569</v>
      </c>
      <c r="V225" s="695">
        <f>'HIV-Key Info'!$E$70*('HPM costs'!I285+'HPM costs'!I288)</f>
        <v>0</v>
      </c>
      <c r="W225" s="695"/>
      <c r="X225" s="1492">
        <f t="shared" si="24"/>
        <v>0</v>
      </c>
      <c r="Y225" s="1493"/>
      <c r="Z225" s="1494"/>
      <c r="AA225" s="699"/>
      <c r="AB225" s="695"/>
      <c r="AC225" s="695">
        <f>'HIV-Key Info'!$E$70*('HPM costs'!K285+'HPM costs'!K288)</f>
        <v>0</v>
      </c>
      <c r="AD225" s="695"/>
      <c r="AE225" s="695">
        <f>'HIV-Key Info'!$E$70*('HPM costs'!L285+'HPM costs'!L288)</f>
        <v>0</v>
      </c>
      <c r="AF225" s="695"/>
      <c r="AG225" s="695">
        <f>'HIV-Key Info'!$E$70*('HPM costs'!M285+'HPM costs'!M288)</f>
        <v>0</v>
      </c>
      <c r="AH225" s="695"/>
      <c r="AI225" s="695">
        <f>'HIV-Key Info'!$E$70*('HPM costs'!N285+'HPM costs'!N288)</f>
        <v>0</v>
      </c>
      <c r="AJ225" s="695"/>
      <c r="AK225" s="1492">
        <f t="shared" si="25"/>
        <v>0</v>
      </c>
      <c r="AL225" s="1493"/>
      <c r="AM225" s="1494"/>
      <c r="AN225" s="699"/>
      <c r="AO225" s="695"/>
      <c r="AP225" s="695">
        <f>'HIV-Key Info'!$E$70*('HPM costs'!P285+'HPM costs'!P288)</f>
        <v>0</v>
      </c>
      <c r="AQ225" s="695"/>
      <c r="AR225" s="695">
        <f>'HIV-Key Info'!$E$70*('HPM costs'!Q285+'HPM costs'!Q288)</f>
        <v>0</v>
      </c>
      <c r="AS225" s="695"/>
      <c r="AT225" s="695">
        <f>'HIV-Key Info'!$E$70*('HPM costs'!R285+'HPM costs'!R288)</f>
        <v>0</v>
      </c>
      <c r="AU225" s="695"/>
      <c r="AV225" s="695">
        <f>'HIV-Key Info'!$E$70*('HPM costs'!S285+'HPM costs'!S288)</f>
        <v>0</v>
      </c>
      <c r="AW225" s="695"/>
      <c r="AX225" s="1492">
        <f t="shared" si="26"/>
        <v>0</v>
      </c>
      <c r="AY225" s="1492"/>
      <c r="AZ225" s="698"/>
      <c r="BA225" s="699"/>
      <c r="BB225" s="697"/>
      <c r="BC225" s="697">
        <v>0</v>
      </c>
      <c r="BD225" s="697">
        <v>0</v>
      </c>
      <c r="BE225" s="697">
        <v>0</v>
      </c>
      <c r="BF225" s="697">
        <v>0</v>
      </c>
      <c r="BG225" s="697">
        <v>0</v>
      </c>
      <c r="BH225" s="697">
        <v>0</v>
      </c>
      <c r="BI225" s="697">
        <v>0</v>
      </c>
      <c r="BJ225" s="697">
        <v>0</v>
      </c>
      <c r="BK225" s="1492">
        <f t="shared" si="27"/>
        <v>0</v>
      </c>
      <c r="BL225" s="1492"/>
      <c r="BM225" s="1492">
        <f t="shared" si="28"/>
        <v>0</v>
      </c>
      <c r="BN225" s="1492">
        <f t="shared" si="29"/>
        <v>0</v>
      </c>
      <c r="BO225" s="697"/>
      <c r="BP225" s="697"/>
      <c r="BQ225" s="1495" t="s">
        <v>6936</v>
      </c>
      <c r="BR225" s="1495" t="s">
        <v>818</v>
      </c>
      <c r="BS225" s="1902" t="s">
        <v>655</v>
      </c>
      <c r="BT225" s="1907" t="s">
        <v>1944</v>
      </c>
    </row>
    <row r="226" spans="1:72" ht="13">
      <c r="A226" s="1545">
        <v>660</v>
      </c>
      <c r="B226" s="1546" t="s">
        <v>780</v>
      </c>
      <c r="C226" s="1546" t="s">
        <v>789</v>
      </c>
      <c r="D226" s="1547" t="s">
        <v>6878</v>
      </c>
      <c r="E226" s="690" t="s">
        <v>668</v>
      </c>
      <c r="F226" s="691"/>
      <c r="G226" s="692"/>
      <c r="H226" s="692"/>
      <c r="I226" s="692"/>
      <c r="J226" s="693"/>
      <c r="K226" s="693"/>
      <c r="L226" s="693"/>
      <c r="M226" s="694"/>
      <c r="N226" s="695"/>
      <c r="O226" s="696" t="s">
        <v>1569</v>
      </c>
      <c r="P226" s="695">
        <f>'HIV-Key Info'!$E$70*('HPM costs'!F630+'HPM costs'!F633)</f>
        <v>0</v>
      </c>
      <c r="Q226" s="695" t="s">
        <v>1569</v>
      </c>
      <c r="R226" s="695">
        <f>'HIV-Key Info'!$E$70*('HPM costs'!G630+'HPM costs'!G633)</f>
        <v>0</v>
      </c>
      <c r="S226" s="695" t="s">
        <v>1569</v>
      </c>
      <c r="T226" s="695">
        <f>'HIV-Key Info'!$E$70*('HPM costs'!H630+'HPM costs'!H633)</f>
        <v>0</v>
      </c>
      <c r="U226" s="695" t="s">
        <v>1569</v>
      </c>
      <c r="V226" s="695">
        <f>'HIV-Key Info'!$E$70*('HPM costs'!I630+'HPM costs'!I633)</f>
        <v>0</v>
      </c>
      <c r="W226" s="695"/>
      <c r="X226" s="1492">
        <f t="shared" si="24"/>
        <v>0</v>
      </c>
      <c r="Y226" s="1493"/>
      <c r="Z226" s="1494"/>
      <c r="AA226" s="699"/>
      <c r="AB226" s="695"/>
      <c r="AC226" s="695">
        <f>'HIV-Key Info'!$E$70*('HPM costs'!K630+'HPM costs'!K633)</f>
        <v>0</v>
      </c>
      <c r="AD226" s="695"/>
      <c r="AE226" s="695">
        <f>'HIV-Key Info'!$E$70*('HPM costs'!L630+'HPM costs'!L633)</f>
        <v>0</v>
      </c>
      <c r="AF226" s="695"/>
      <c r="AG226" s="695">
        <f>'HIV-Key Info'!$E$70*('HPM costs'!M630+'HPM costs'!M633)</f>
        <v>0</v>
      </c>
      <c r="AH226" s="695"/>
      <c r="AI226" s="695">
        <f>'HIV-Key Info'!$E$70*('HPM costs'!N630+'HPM costs'!N633)</f>
        <v>0</v>
      </c>
      <c r="AJ226" s="695"/>
      <c r="AK226" s="1492">
        <f t="shared" si="25"/>
        <v>0</v>
      </c>
      <c r="AL226" s="1493"/>
      <c r="AM226" s="1494"/>
      <c r="AN226" s="699"/>
      <c r="AO226" s="695"/>
      <c r="AP226" s="695">
        <f>'HIV-Key Info'!$E$70*('HPM costs'!P630+'HPM costs'!P633)</f>
        <v>0</v>
      </c>
      <c r="AQ226" s="695"/>
      <c r="AR226" s="695">
        <f>'HIV-Key Info'!$E$70*('HPM costs'!Q630+'HPM costs'!Q633)</f>
        <v>0</v>
      </c>
      <c r="AS226" s="695"/>
      <c r="AT226" s="695">
        <f>'HIV-Key Info'!$E$70*('HPM costs'!R630+'HPM costs'!R633)</f>
        <v>0</v>
      </c>
      <c r="AU226" s="695"/>
      <c r="AV226" s="695">
        <f>'HIV-Key Info'!$E$70*('HPM costs'!S630+'HPM costs'!S633)</f>
        <v>0</v>
      </c>
      <c r="AW226" s="695"/>
      <c r="AX226" s="1492">
        <f t="shared" si="26"/>
        <v>0</v>
      </c>
      <c r="AY226" s="1492"/>
      <c r="AZ226" s="698"/>
      <c r="BA226" s="699"/>
      <c r="BB226" s="697"/>
      <c r="BC226" s="697">
        <v>0</v>
      </c>
      <c r="BD226" s="697">
        <v>0</v>
      </c>
      <c r="BE226" s="697">
        <v>0</v>
      </c>
      <c r="BF226" s="697">
        <v>0</v>
      </c>
      <c r="BG226" s="697">
        <v>0</v>
      </c>
      <c r="BH226" s="697">
        <v>0</v>
      </c>
      <c r="BI226" s="697">
        <v>0</v>
      </c>
      <c r="BJ226" s="697">
        <v>0</v>
      </c>
      <c r="BK226" s="1492">
        <f t="shared" si="27"/>
        <v>0</v>
      </c>
      <c r="BL226" s="1492"/>
      <c r="BM226" s="1492">
        <f t="shared" si="28"/>
        <v>0</v>
      </c>
      <c r="BN226" s="1492">
        <f t="shared" si="29"/>
        <v>0</v>
      </c>
      <c r="BO226" s="697"/>
      <c r="BP226" s="697"/>
      <c r="BQ226" s="1495" t="s">
        <v>6936</v>
      </c>
      <c r="BR226" s="1495" t="s">
        <v>818</v>
      </c>
      <c r="BS226" s="1902" t="s">
        <v>655</v>
      </c>
      <c r="BT226" s="1907" t="s">
        <v>1945</v>
      </c>
    </row>
    <row r="227" spans="1:72" ht="13">
      <c r="A227" s="1545">
        <v>704</v>
      </c>
      <c r="B227" s="1546" t="s">
        <v>780</v>
      </c>
      <c r="C227" s="1546" t="s">
        <v>789</v>
      </c>
      <c r="D227" s="1547" t="s">
        <v>6879</v>
      </c>
      <c r="E227" s="690" t="s">
        <v>791</v>
      </c>
      <c r="F227" s="691"/>
      <c r="G227" s="692"/>
      <c r="H227" s="692"/>
      <c r="I227" s="692"/>
      <c r="J227" s="693"/>
      <c r="K227" s="693"/>
      <c r="L227" s="693"/>
      <c r="M227" s="694"/>
      <c r="N227" s="695"/>
      <c r="O227" s="696" t="s">
        <v>1569</v>
      </c>
      <c r="P227" s="695">
        <f>IF(SETUP!$F$27="Upfront",'HIV-Key Info'!$E$72*SUM('EBS-H'!K296:K312),0)</f>
        <v>0</v>
      </c>
      <c r="Q227" s="695" t="s">
        <v>1569</v>
      </c>
      <c r="R227" s="695">
        <f>IF(SETUP!$F$27="Upfront",'HIV-Key Info'!$E$72*SUM('EBS-H'!O296:O312),IF(SETUP!$F$27="At delivery", IF(SETUP!$G$27=1,'HIV-Key Info'!$E$72*SUM('EBS-H'!K296:K312),0),0))</f>
        <v>0</v>
      </c>
      <c r="S227" s="695" t="s">
        <v>1569</v>
      </c>
      <c r="T227" s="695">
        <f>IF(SETUP!$F$27="Upfront",'HIV-Key Info'!$E$72*SUM('EBS-H'!S296:S312),IF(SETUP!$F$27="At delivery", IF(SETUP!$G$27=2,'HIV-Key Info'!$E$72*SUM('EBS-H'!K296:K312),IF(SETUP!$G$27=1,'HIV-Key Info'!$E$72*SUM('EBS-H'!O296:O312),0)),0))</f>
        <v>0</v>
      </c>
      <c r="U227" s="695" t="s">
        <v>1569</v>
      </c>
      <c r="V227" s="695">
        <f>IF(SETUP!$F$27="Upfront",'HIV-Key Info'!$E$72*SUM('EBS-H'!W296:W312),IF(SETUP!$F$27="At delivery", IF(SETUP!$G$27=3,'HIV-Key Info'!$E$72*SUM('EBS-H'!K296:K312),IF(SETUP!$G$27=2,'HIV-Key Info'!$E$72*SUM('EBS-H'!O296:O312),IF(SETUP!$G$27=1,'HIV-Key Info'!$E$72*SUM('EBS-H'!S296:S312),0))),0))</f>
        <v>0</v>
      </c>
      <c r="W227" s="695"/>
      <c r="X227" s="1492">
        <f t="shared" si="24"/>
        <v>0</v>
      </c>
      <c r="Y227" s="1493"/>
      <c r="Z227" s="1494"/>
      <c r="AA227" s="699"/>
      <c r="AB227" s="695"/>
      <c r="AC227" s="695">
        <f>IF(SETUP!$F$27="Upfront",'HIV-Key Info'!$E$72*SUM('EBS-H'!AC296:AC312),IF(SETUP!$F$27="At delivery", IF(SETUP!$G$27=4,'HIV-Key Info'!$E$72*SUM('EBS-H'!K296:K312),IF(SETUP!$G$27=3,'HIV-Key Info'!$E$72*SUM('EBS-H'!O296:O312),IF(SETUP!$G$27=2,'HIV-Key Info'!$E$72*SUM('EBS-H'!S296:S312),IF(SETUP!$G$27=1,'HIV-Key Info'!$E$72*SUM('EBS-H'!W296:W312),0)))),0))</f>
        <v>0</v>
      </c>
      <c r="AD227" s="695"/>
      <c r="AE227" s="695">
        <f>IF(SETUP!$F$27="Upfront",'HIV-Key Info'!$E$72*SUM('EBS-H'!AG296:AG312),IF(SETUP!$F$27="At delivery", IF(SETUP!$G$27=4,'HIV-Key Info'!$E$72*SUM('EBS-H'!O296:O312),IF(SETUP!$G$27=3,'HIV-Key Info'!$E$72*SUM('EBS-H'!S296:S312),IF(SETUP!$G$27=2,'HIV-Key Info'!$E$72*SUM('EBS-H'!W296:W312),IF(SETUP!$G$27=1,'HIV-Key Info'!$E$72*SUM('EBS-H'!AC296:AC312),0)))),0))</f>
        <v>0</v>
      </c>
      <c r="AF227" s="695"/>
      <c r="AG227" s="695">
        <f>IF(SETUP!$F$27="Upfront",'HIV-Key Info'!$E$72*SUM('EBS-H'!AK296:AK312),IF(SETUP!$F$27="At delivery", IF(SETUP!$G$27=4,'HIV-Key Info'!$E$72*SUM('EBS-H'!S296:S312),IF(SETUP!$G$27=3,'HIV-Key Info'!$E$72*SUM('EBS-H'!W296:W312),IF(SETUP!$G$27=2,'HIV-Key Info'!$E$72*SUM('EBS-H'!AC296:AC312),IF(SETUP!$G$27=1,'HIV-Key Info'!$E$72*SUM('EBS-H'!AG296:AG312),0)))),0))</f>
        <v>0</v>
      </c>
      <c r="AH227" s="695"/>
      <c r="AI227" s="695">
        <f>IF(SETUP!$F$27="Upfront",'HIV-Key Info'!$E$72*SUM('EBS-H'!AO296:AO312),IF(SETUP!$F$27="At delivery", IF(SETUP!$G$27=4,'HIV-Key Info'!$E$72*SUM('EBS-H'!W296:W312),IF(SETUP!$G$27=3,'HIV-Key Info'!$E$72*SUM('EBS-H'!AC296:AC312),IF(SETUP!$G$27=2,'HIV-Key Info'!$E$72*SUM('EBS-H'!AG296:AG312),IF(SETUP!$G$27=1,'HIV-Key Info'!$E$72*SUM('EBS-H'!AK296:AK312),0)))),0))</f>
        <v>0</v>
      </c>
      <c r="AJ227" s="695"/>
      <c r="AK227" s="1492">
        <f t="shared" si="25"/>
        <v>0</v>
      </c>
      <c r="AL227" s="1493"/>
      <c r="AM227" s="1494"/>
      <c r="AN227" s="699"/>
      <c r="AO227" s="695"/>
      <c r="AP227" s="695">
        <f>IF(SETUP!$F$27="Upfront",'HIV-Key Info'!$E$72*SUM('EBS-H'!AU296:AU312),IF(SETUP!$F$27="At delivery", IF(SETUP!$G$27=4,'HIV-Key Info'!$E$72*SUM('EBS-H'!AC296:AC312),IF(SETUP!$G$27=3,'HIV-Key Info'!$E$72*SUM('EBS-H'!AG296:AG312),IF(SETUP!$G$27=2,'HIV-Key Info'!$E$72*SUM('EBS-H'!AK296:AK312),IF(SETUP!$G$27=1,'HIV-Key Info'!$E$72*SUM('EBS-H'!AO296:AO312),0)))),0))</f>
        <v>0</v>
      </c>
      <c r="AQ227" s="695"/>
      <c r="AR227" s="695">
        <f>IF(SETUP!$F$27="Upfront",'HIV-Key Info'!$E$72*SUM('EBS-H'!AY296:AY312),IF(SETUP!$F$27="At delivery", IF(SETUP!$G$27=4,'HIV-Key Info'!$E$72*SUM('EBS-H'!AG296:AG312),IF(SETUP!$G$27=3,'HIV-Key Info'!$E$72*SUM('EBS-H'!AK296:AK312),IF(SETUP!$G$27=2,'HIV-Key Info'!$E$72*SUM('EBS-H'!AO296:AO312),IF(SETUP!$G$27=1,'HIV-Key Info'!$E$72*SUM('EBS-H'!AU296:AU312),0)))),0))</f>
        <v>0</v>
      </c>
      <c r="AS227" s="695"/>
      <c r="AT227" s="695">
        <f>IF(SETUP!$F$27="Upfront",'HIV-Key Info'!$E$72*SUM('EBS-H'!BC296:BC312),IF(SETUP!$F$27="At delivery", IF(SETUP!$G$27=4,'HIV-Key Info'!$E$72*SUM('EBS-H'!AK296:AK312),IF(SETUP!$G$27=3,'HIV-Key Info'!$E$72*SUM('EBS-H'!AO296:AO312),IF(SETUP!$G$27=2,'HIV-Key Info'!$E$72*SUM('EBS-H'!AU296:AU312),IF(SETUP!$G$27=1,'HIV-Key Info'!$E$72*SUM('EBS-H'!AY296:AY312),0)))),0))</f>
        <v>0</v>
      </c>
      <c r="AU227" s="695"/>
      <c r="AV227" s="695">
        <f>IF(SETUP!$F$27="Upfront",'HIV-Key Info'!$E$72*SUM('EBS-H'!BG296:BG312),IF(SETUP!$F$27="At delivery", IF(SETUP!$G$27=4,'HIV-Key Info'!$E$72*SUM(SUM('EBS-H'!AO296:AO312),SUM('EBS-H'!AU296:AU312),SUM('EBS-H'!AY296:AY312),SUM('EBS-H'!BC296:BC312),SUM('EBS-H'!BG296:BG312)),IF(SETUP!$G$27=3,'HIV-Key Info'!$E$72*SUM(SUM('EBS-H'!AU296:AU312),SUM('EBS-H'!AY296:AY312),SUM('EBS-H'!BC296:BC312),SUM('EBS-H'!BG296:BG312)),IF(SETUP!$G$27=2,'HIV-Key Info'!$E$72*SUM(SUM('EBS-H'!AY296:AY312),SUM('EBS-H'!BC296:BC312),SUM('EBS-H'!BG296:BG312)),IF(SETUP!$G$27=1,'HIV-Key Info'!$E$72*SUM(SUM('EBS-H'!BC296:BC312),SUM('EBS-H'!BG296:BG312)),0)))),0))</f>
        <v>0</v>
      </c>
      <c r="AW227" s="695"/>
      <c r="AX227" s="1492">
        <f t="shared" si="26"/>
        <v>0</v>
      </c>
      <c r="AY227" s="1492"/>
      <c r="AZ227" s="698"/>
      <c r="BA227" s="699"/>
      <c r="BB227" s="697"/>
      <c r="BC227" s="697">
        <v>0</v>
      </c>
      <c r="BD227" s="697">
        <v>0</v>
      </c>
      <c r="BE227" s="697">
        <v>0</v>
      </c>
      <c r="BF227" s="697">
        <v>0</v>
      </c>
      <c r="BG227" s="697">
        <v>0</v>
      </c>
      <c r="BH227" s="697">
        <v>0</v>
      </c>
      <c r="BI227" s="697">
        <v>0</v>
      </c>
      <c r="BJ227" s="697">
        <v>0</v>
      </c>
      <c r="BK227" s="1492">
        <f t="shared" si="27"/>
        <v>0</v>
      </c>
      <c r="BL227" s="1492"/>
      <c r="BM227" s="1492">
        <f t="shared" si="28"/>
        <v>0</v>
      </c>
      <c r="BN227" s="1492">
        <f t="shared" si="29"/>
        <v>0</v>
      </c>
      <c r="BO227" s="697"/>
      <c r="BP227" s="697"/>
      <c r="BQ227" s="1495" t="s">
        <v>6937</v>
      </c>
      <c r="BR227" s="1495" t="s">
        <v>818</v>
      </c>
      <c r="BS227" s="1902" t="s">
        <v>790</v>
      </c>
      <c r="BT227" s="1907" t="s">
        <v>1946</v>
      </c>
    </row>
    <row r="228" spans="1:72" ht="13">
      <c r="A228" s="1545">
        <v>705</v>
      </c>
      <c r="B228" s="1546" t="s">
        <v>780</v>
      </c>
      <c r="C228" s="1546" t="s">
        <v>789</v>
      </c>
      <c r="D228" s="1547" t="s">
        <v>6879</v>
      </c>
      <c r="E228" s="690" t="s">
        <v>793</v>
      </c>
      <c r="F228" s="691"/>
      <c r="G228" s="692"/>
      <c r="H228" s="692"/>
      <c r="I228" s="692"/>
      <c r="J228" s="693"/>
      <c r="K228" s="693"/>
      <c r="L228" s="693"/>
      <c r="M228" s="694"/>
      <c r="N228" s="695"/>
      <c r="O228" s="696" t="s">
        <v>1569</v>
      </c>
      <c r="P228" s="695">
        <f>IF(SETUP!$F$27="Upfront",'HIV-Key Info'!$F$72*SUM('EBS-H'!K313:K317),0)</f>
        <v>0</v>
      </c>
      <c r="Q228" s="695" t="s">
        <v>1569</v>
      </c>
      <c r="R228" s="695">
        <f>IF(SETUP!$F$27="Upfront",'HIV-Key Info'!$F$72*SUM('EBS-H'!O313:O317),IF(SETUP!$F$27="At delivery", IF(SETUP!$G$27=1,'HIV-Key Info'!$F$72*SUM('EBS-H'!K313:K317),0),0))</f>
        <v>0</v>
      </c>
      <c r="S228" s="695" t="s">
        <v>1569</v>
      </c>
      <c r="T228" s="695">
        <f>IF(SETUP!$F$27="Upfront",'HIV-Key Info'!$F$72*SUM('EBS-H'!S313:S317),IF(SETUP!$F$27="At delivery", IF(SETUP!$G$27=2,'HIV-Key Info'!$F$72*SUM('EBS-H'!K313:K317),IF(SETUP!$G$27=1,'HIV-Key Info'!$F$72*SUM('EBS-H'!O313:O317),0)),0))</f>
        <v>0</v>
      </c>
      <c r="U228" s="695" t="s">
        <v>1569</v>
      </c>
      <c r="V228" s="695">
        <f>IF(SETUP!$F$27="Upfront",'HIV-Key Info'!$F$72*SUM('EBS-H'!W313:W317),IF(SETUP!$F$27="At delivery", IF(SETUP!$G$27=3,'HIV-Key Info'!$F$72*SUM('EBS-H'!K313:K317),IF(SETUP!$G$27=2,'HIV-Key Info'!$F$72*SUM('EBS-H'!O313:O317),IF(SETUP!$G$27=1,'HIV-Key Info'!$F$72*SUM('EBS-H'!S313:S317),0))),0))</f>
        <v>0</v>
      </c>
      <c r="W228" s="695"/>
      <c r="X228" s="1492">
        <f t="shared" si="24"/>
        <v>0</v>
      </c>
      <c r="Y228" s="1493"/>
      <c r="Z228" s="1494"/>
      <c r="AA228" s="699"/>
      <c r="AB228" s="695"/>
      <c r="AC228" s="695">
        <f>IF(SETUP!$F$27="Upfront",'HIV-Key Info'!$F$72*SUM('EBS-H'!AC313:AC317),IF(SETUP!$F$27="At delivery", IF(SETUP!$G$27=4,'HIV-Key Info'!$F$72*SUM('EBS-H'!K313:K317),IF(SETUP!$G$27=3,'HIV-Key Info'!$F$72*SUM('EBS-H'!O313:O317),IF(SETUP!$G$27=2,'HIV-Key Info'!$F$72*SUM('EBS-H'!S313:S317),IF(SETUP!$G$27=1,'HIV-Key Info'!$F$72*SUM('EBS-H'!W313:W317),0)))),0))</f>
        <v>0</v>
      </c>
      <c r="AD228" s="695"/>
      <c r="AE228" s="695">
        <f>IF(SETUP!$F$27="Upfront",'HIV-Key Info'!$F$72*SUM('EBS-H'!AG313:AG317),IF(SETUP!$F$27="At delivery", IF(SETUP!$G$27=4,'HIV-Key Info'!$F$72*SUM('EBS-H'!O313:O317),IF(SETUP!$G$27=3,'HIV-Key Info'!$F$72*SUM('EBS-H'!S313:S317),IF(SETUP!$G$27=2,'HIV-Key Info'!$F$72*SUM('EBS-H'!W313:W317),IF(SETUP!$G$27=1,'HIV-Key Info'!$F$72*SUM('EBS-H'!AC313:AC317),0)))),0))</f>
        <v>0</v>
      </c>
      <c r="AF228" s="695"/>
      <c r="AG228" s="695">
        <f>IF(SETUP!$F$27="Upfront",'HIV-Key Info'!$F$72*SUM('EBS-H'!AK313:AK317),IF(SETUP!$F$27="At delivery", IF(SETUP!$G$27=4,'HIV-Key Info'!$F$72*SUM('EBS-H'!S313:S317),IF(SETUP!$G$27=3,'HIV-Key Info'!$F$72*SUM('EBS-H'!W313:W317),IF(SETUP!$G$27=2,'HIV-Key Info'!$F$72*SUM('EBS-H'!AC313:AC317),IF(SETUP!$G$27=1,'HIV-Key Info'!$F$72*SUM('EBS-H'!AG313:AG317),0)))),0))</f>
        <v>0</v>
      </c>
      <c r="AH228" s="695"/>
      <c r="AI228" s="695">
        <f>IF(SETUP!$F$27="Upfront",'HIV-Key Info'!$F$72*SUM('EBS-H'!AO313:AO317),IF(SETUP!$F$27="At delivery", IF(SETUP!$G$27=4,'HIV-Key Info'!$F$72*SUM('EBS-H'!W313:W317),IF(SETUP!$G$27=3,'HIV-Key Info'!$F$72*SUM('EBS-H'!AC313:AC317),IF(SETUP!$G$27=2,'HIV-Key Info'!$F$72*SUM('EBS-H'!AG313:AG317),IF(SETUP!$G$27=1,'HIV-Key Info'!$F$72*SUM('EBS-H'!AK313:AK317),0)))),0))</f>
        <v>0</v>
      </c>
      <c r="AJ228" s="695"/>
      <c r="AK228" s="1492">
        <f t="shared" si="25"/>
        <v>0</v>
      </c>
      <c r="AL228" s="1493"/>
      <c r="AM228" s="1494"/>
      <c r="AN228" s="699"/>
      <c r="AO228" s="695"/>
      <c r="AP228" s="695">
        <f>IF(SETUP!$F$27="Upfront",'HIV-Key Info'!$F$72*SUM('EBS-H'!AU313:AU317),IF(SETUP!$F$27="At delivery", IF(SETUP!$G$27=4,'HIV-Key Info'!$F$72*SUM('EBS-H'!AC313:AC317),IF(SETUP!$G$27=3,'HIV-Key Info'!$F$72*SUM('EBS-H'!AG313:AG317),IF(SETUP!$G$27=2,'HIV-Key Info'!$F$72*SUM('EBS-H'!AK313:AK317),IF(SETUP!$G$27=1,'HIV-Key Info'!$F$72*SUM('EBS-H'!AO313:AO317),0)))),0))</f>
        <v>0</v>
      </c>
      <c r="AQ228" s="695"/>
      <c r="AR228" s="695">
        <f>IF(SETUP!$F$27="Upfront",'HIV-Key Info'!$F$72*SUM('EBS-H'!AY313:AY317),IF(SETUP!$F$27="At delivery", IF(SETUP!$G$27=4,'HIV-Key Info'!$F$72*SUM('EBS-H'!AG313:AG317),IF(SETUP!$G$27=3,'HIV-Key Info'!$F$72*SUM('EBS-H'!AK313:AK317),IF(SETUP!$G$27=2,'HIV-Key Info'!$F$72*SUM('EBS-H'!AO313:AO317),IF(SETUP!$G$27=1,'HIV-Key Info'!$F$72*SUM('EBS-H'!AU313:AU317),0)))),0))</f>
        <v>0</v>
      </c>
      <c r="AS228" s="695"/>
      <c r="AT228" s="695">
        <f>IF(SETUP!$F$27="Upfront",'HIV-Key Info'!$F$72*SUM('EBS-H'!BC313:BC317),IF(SETUP!$F$27="At delivery", IF(SETUP!$G$27=4,'HIV-Key Info'!$F$72*SUM('EBS-H'!AK313:AK317),IF(SETUP!$G$27=3,'HIV-Key Info'!$F$72*SUM('EBS-H'!AO313:AO317),IF(SETUP!$G$27=2,'HIV-Key Info'!$F$72*SUM('EBS-H'!AU313:AU317),IF(SETUP!$G$27=1,'HIV-Key Info'!$F$72*SUM('EBS-H'!AY313:AY317),0)))),0))</f>
        <v>0</v>
      </c>
      <c r="AU228" s="695"/>
      <c r="AV228" s="695">
        <f>IF(SETUP!$F$27="Upfront",'HIV-Key Info'!$F$72*SUM('EBS-H'!BG313:BG317),IF(SETUP!$F$27="At delivery", IF(SETUP!$G$27=4,'HIV-Key Info'!$F$72*SUM(SUM('EBS-H'!AO313:AO317),SUM('EBS-H'!AU313:AU317),SUM('EBS-H'!AY313:AY317),SUM('EBS-H'!BC313:BC317),SUM('EBS-H'!BG313:BG317)),IF(SETUP!$G$27=3,'HIV-Key Info'!$F$72*SUM(SUM('EBS-H'!AU313:AU317),SUM('EBS-H'!AY313:AY317),SUM('EBS-H'!BC313:BC317),SUM('EBS-H'!BG313:BG317)),IF(SETUP!$G$27=2,'HIV-Key Info'!$F$72*SUM(SUM('EBS-H'!AY313:AY317),SUM('EBS-H'!BC313:BC317),SUM('EBS-H'!BG313:BG317)),IF(SETUP!$G$27=1,'HIV-Key Info'!$F$72*SUM(SUM('EBS-H'!BC313:BC317),SUM('EBS-H'!BG313:BG317)),0)))),0))</f>
        <v>0</v>
      </c>
      <c r="AW228" s="695"/>
      <c r="AX228" s="1492">
        <f t="shared" si="26"/>
        <v>0</v>
      </c>
      <c r="AY228" s="1492"/>
      <c r="AZ228" s="698"/>
      <c r="BA228" s="699"/>
      <c r="BB228" s="697"/>
      <c r="BC228" s="697">
        <v>0</v>
      </c>
      <c r="BD228" s="697">
        <v>0</v>
      </c>
      <c r="BE228" s="697">
        <v>0</v>
      </c>
      <c r="BF228" s="697">
        <v>0</v>
      </c>
      <c r="BG228" s="697">
        <v>0</v>
      </c>
      <c r="BH228" s="697">
        <v>0</v>
      </c>
      <c r="BI228" s="697">
        <v>0</v>
      </c>
      <c r="BJ228" s="697">
        <v>0</v>
      </c>
      <c r="BK228" s="1492">
        <f t="shared" si="27"/>
        <v>0</v>
      </c>
      <c r="BL228" s="1492"/>
      <c r="BM228" s="1492">
        <f t="shared" si="28"/>
        <v>0</v>
      </c>
      <c r="BN228" s="1492">
        <f t="shared" si="29"/>
        <v>0</v>
      </c>
      <c r="BO228" s="697"/>
      <c r="BP228" s="697"/>
      <c r="BQ228" s="1495" t="s">
        <v>6937</v>
      </c>
      <c r="BR228" s="1495" t="s">
        <v>818</v>
      </c>
      <c r="BS228" s="1902" t="s">
        <v>790</v>
      </c>
      <c r="BT228" s="1907" t="s">
        <v>1947</v>
      </c>
    </row>
    <row r="229" spans="1:72" ht="13">
      <c r="A229" s="1545">
        <v>706</v>
      </c>
      <c r="B229" s="1546" t="s">
        <v>780</v>
      </c>
      <c r="C229" s="1546" t="s">
        <v>789</v>
      </c>
      <c r="D229" s="1547" t="s">
        <v>6879</v>
      </c>
      <c r="E229" s="690" t="s">
        <v>725</v>
      </c>
      <c r="F229" s="691"/>
      <c r="G229" s="692"/>
      <c r="H229" s="692"/>
      <c r="I229" s="692"/>
      <c r="J229" s="693"/>
      <c r="K229" s="693"/>
      <c r="L229" s="693"/>
      <c r="M229" s="694"/>
      <c r="N229" s="695"/>
      <c r="O229" s="696" t="s">
        <v>1569</v>
      </c>
      <c r="P229" s="695">
        <f>IF(SETUP!$F$28="Upfront",'HIV-Key Info'!$G$72*SUM('EBS-H'!K318:K322),0)</f>
        <v>0</v>
      </c>
      <c r="Q229" s="695" t="s">
        <v>1569</v>
      </c>
      <c r="R229" s="695">
        <f>IF(SETUP!$F$28="Upfront",'HIV-Key Info'!$G$72*SUM('EBS-H'!O318:O322),IF(SETUP!$F$28="At delivery", IF(SETUP!$G$28=1,'HIV-Key Info'!$G$72*SUM('EBS-H'!K318:K322),0),0))</f>
        <v>0</v>
      </c>
      <c r="S229" s="695" t="s">
        <v>1569</v>
      </c>
      <c r="T229" s="695">
        <f>IF(SETUP!$F$28="Upfront",'HIV-Key Info'!$G$72*SUM('EBS-H'!S318:S322),IF(SETUP!$F$28="At delivery", IF(SETUP!$G$28=2,'HIV-Key Info'!$G$72*SUM('EBS-H'!K318:K322),IF(SETUP!$G$28=1,'HIV-Key Info'!$G$72*SUM('EBS-H'!O318:O322),0)),0))</f>
        <v>0</v>
      </c>
      <c r="U229" s="695" t="s">
        <v>1569</v>
      </c>
      <c r="V229" s="695">
        <f>IF(SETUP!$F$28="Upfront",'HIV-Key Info'!$G$72*SUM('EBS-H'!W318:W322),IF(SETUP!$F$28="At delivery", IF(SETUP!$G$28=3,'HIV-Key Info'!$G$72*SUM('EBS-H'!K318:K322),IF(SETUP!$G$28=2,'HIV-Key Info'!$G$72*SUM('EBS-H'!O318:O322),IF(SETUP!$G$28=1,'HIV-Key Info'!$G$72*SUM('EBS-H'!S318:S322),0))),0))</f>
        <v>0</v>
      </c>
      <c r="W229" s="695"/>
      <c r="X229" s="1492">
        <f t="shared" si="24"/>
        <v>0</v>
      </c>
      <c r="Y229" s="1493"/>
      <c r="Z229" s="1494"/>
      <c r="AA229" s="699"/>
      <c r="AB229" s="695"/>
      <c r="AC229" s="695">
        <f>IF(SETUP!$F$28="Upfront",'HIV-Key Info'!$G$72*SUM('EBS-H'!AC318:AC322),IF(SETUP!$F$28="At delivery", IF(SETUP!$G$28=4,'HIV-Key Info'!$G$72*SUM('EBS-H'!K318:K322),IF(SETUP!$G$28=3,'HIV-Key Info'!$G$72*SUM('EBS-H'!O318:O322),IF(SETUP!$G$28=2,'HIV-Key Info'!$G$72*SUM('EBS-H'!S318:S322),IF(SETUP!$G$28=1,'HIV-Key Info'!$G$72*SUM('EBS-H'!W318:W322),0)))),0))</f>
        <v>0</v>
      </c>
      <c r="AD229" s="695"/>
      <c r="AE229" s="695">
        <f>IF(SETUP!$F$28="Upfront",'HIV-Key Info'!$G$72*SUM('EBS-H'!AG318:AG322),IF(SETUP!$F$28="At delivery", IF(SETUP!$G$28=4,'HIV-Key Info'!$G$72*SUM('EBS-H'!O318:O322),IF(SETUP!$G$28=3,'HIV-Key Info'!$G$72*SUM('EBS-H'!S318:S322),IF(SETUP!$G$28=2,'HIV-Key Info'!$G$72*SUM('EBS-H'!W318:W322),IF(SETUP!$G$28=1,'HIV-Key Info'!$G$72*SUM('EBS-H'!AC318:AC322),0)))),0))</f>
        <v>0</v>
      </c>
      <c r="AF229" s="695"/>
      <c r="AG229" s="695">
        <f>IF(SETUP!$F$28="Upfront",'HIV-Key Info'!$G$72*SUM('EBS-H'!AK318:AK322),IF(SETUP!$F$28="At delivery", IF(SETUP!$G$28=4,'HIV-Key Info'!$G$72*SUM('EBS-H'!S318:S322),IF(SETUP!$G$28=3,'HIV-Key Info'!$G$72*SUM('EBS-H'!W318:W322),IF(SETUP!$G$28=2,'HIV-Key Info'!$G$72*SUM('EBS-H'!AC318:AC322),IF(SETUP!$G$28=1,'HIV-Key Info'!$G$72*SUM('EBS-H'!AG318:AG322),0)))),0))</f>
        <v>0</v>
      </c>
      <c r="AH229" s="695"/>
      <c r="AI229" s="695">
        <f>IF(SETUP!$F$28="Upfront",'HIV-Key Info'!$G$72*SUM('EBS-H'!AO318:AO322),IF(SETUP!$F$28="At delivery", IF(SETUP!$G$28=4,'HIV-Key Info'!$G$72*SUM('EBS-H'!W318:W322),IF(SETUP!$G$28=3,'HIV-Key Info'!$G$72*SUM('EBS-H'!AC318:AC322),IF(SETUP!$G$28=2,'HIV-Key Info'!$G$72*SUM('EBS-H'!AG318:AG322),IF(SETUP!$G$28=1,'HIV-Key Info'!$G$72*SUM('EBS-H'!AK318:AK322),0)))),0))</f>
        <v>0</v>
      </c>
      <c r="AJ229" s="695"/>
      <c r="AK229" s="1492">
        <f t="shared" si="25"/>
        <v>0</v>
      </c>
      <c r="AL229" s="1493"/>
      <c r="AM229" s="1494"/>
      <c r="AN229" s="699"/>
      <c r="AO229" s="695"/>
      <c r="AP229" s="695">
        <f>IF(SETUP!$F$28="Upfront",'HIV-Key Info'!$G$72*SUM('EBS-H'!AU318:AU322),IF(SETUP!$F$28="At delivery", IF(SETUP!$G$28=4,'HIV-Key Info'!$G$72*SUM('EBS-H'!AC318:AC322),IF(SETUP!$G$28=3,'HIV-Key Info'!$G$72*SUM('EBS-H'!AG318:AG322),IF(SETUP!$G$28=2,'HIV-Key Info'!$G$72*SUM('EBS-H'!AK318:AK322),IF(SETUP!$G$28=1,'HIV-Key Info'!$G$72*SUM('EBS-H'!AO318:AO322),0)))),0))</f>
        <v>0</v>
      </c>
      <c r="AQ229" s="695"/>
      <c r="AR229" s="695">
        <f>IF(SETUP!$F$28="Upfront",'HIV-Key Info'!$G$72*SUM('EBS-H'!AY318:AY322),IF(SETUP!$F$28="At delivery", IF(SETUP!$G$28=4,'HIV-Key Info'!$G$72*SUM('EBS-H'!AG318:AG322),IF(SETUP!$G$28=3,'HIV-Key Info'!$G$72*SUM('EBS-H'!AK318:AK322),IF(SETUP!$G$28=2,'HIV-Key Info'!$G$72*SUM('EBS-H'!AO318:AO322),IF(SETUP!$G$28=1,'HIV-Key Info'!$G$72*SUM('EBS-H'!AU318:AU322),0)))),0))</f>
        <v>0</v>
      </c>
      <c r="AS229" s="695"/>
      <c r="AT229" s="695">
        <f>IF(SETUP!$F$28="Upfront",'HIV-Key Info'!$G$72*SUM('EBS-H'!BC318:BC322),IF(SETUP!$F$28="At delivery", IF(SETUP!$G$28=4,'HIV-Key Info'!$G$72*SUM('EBS-H'!AK318:AK322),IF(SETUP!$G$28=3,'HIV-Key Info'!$G$72*SUM('EBS-H'!AO318:AO322),IF(SETUP!$G$28=2,'HIV-Key Info'!$G$72*SUM('EBS-H'!AU318:AU322),IF(SETUP!$G$28=1,'HIV-Key Info'!$G$72*SUM('EBS-H'!AY318:AY322),0)))),0))</f>
        <v>0</v>
      </c>
      <c r="AU229" s="695"/>
      <c r="AV229" s="695">
        <f>IF(SETUP!$F$28="Upfront",'HIV-Key Info'!$G$72*SUM('EBS-H'!BG318:BG322),IF(SETUP!$F$28="At delivery", IF(SETUP!$G$28=4,'HIV-Key Info'!$G$72*SUM(SUM('EBS-H'!AO318:AO322),SUM('EBS-H'!AU318:AU322),SUM('EBS-H'!AY318:AY322),SUM('EBS-H'!BC318:BC322),SUM('EBS-H'!BG318:BG322)),IF(SETUP!$G$28=3,'HIV-Key Info'!$G$72*SUM(SUM('EBS-H'!AU318:AU322),SUM('EBS-H'!AY318:AY322),SUM('EBS-H'!BC318:BC322),SUM('EBS-H'!BG318:BG322)),IF(SETUP!$G$28=2,'HIV-Key Info'!$G$72*SUM(SUM('EBS-H'!AY318:AY322),SUM('EBS-H'!BC318:BC322),SUM('EBS-H'!BG318:BG322)),IF(SETUP!$G$28=1,'HIV-Key Info'!$G$72*SUM(SUM('EBS-H'!BC318:BC322),SUM('EBS-H'!BG318:BG322)),0)))),0))</f>
        <v>0</v>
      </c>
      <c r="AW229" s="695"/>
      <c r="AX229" s="1492">
        <f t="shared" si="26"/>
        <v>0</v>
      </c>
      <c r="AY229" s="1492"/>
      <c r="AZ229" s="698"/>
      <c r="BA229" s="699"/>
      <c r="BB229" s="697"/>
      <c r="BC229" s="697">
        <v>0</v>
      </c>
      <c r="BD229" s="697">
        <v>0</v>
      </c>
      <c r="BE229" s="697">
        <v>0</v>
      </c>
      <c r="BF229" s="697">
        <v>0</v>
      </c>
      <c r="BG229" s="697">
        <v>0</v>
      </c>
      <c r="BH229" s="697">
        <v>0</v>
      </c>
      <c r="BI229" s="697">
        <v>0</v>
      </c>
      <c r="BJ229" s="697">
        <v>0</v>
      </c>
      <c r="BK229" s="1492">
        <f t="shared" si="27"/>
        <v>0</v>
      </c>
      <c r="BL229" s="1492"/>
      <c r="BM229" s="1492">
        <f t="shared" si="28"/>
        <v>0</v>
      </c>
      <c r="BN229" s="1492">
        <f t="shared" si="29"/>
        <v>0</v>
      </c>
      <c r="BO229" s="697"/>
      <c r="BP229" s="697"/>
      <c r="BQ229" s="1495" t="s">
        <v>6937</v>
      </c>
      <c r="BR229" s="1495" t="s">
        <v>818</v>
      </c>
      <c r="BS229" s="1902" t="s">
        <v>790</v>
      </c>
      <c r="BT229" s="1907" t="s">
        <v>1948</v>
      </c>
    </row>
    <row r="230" spans="1:72" ht="13">
      <c r="A230" s="1545">
        <v>707</v>
      </c>
      <c r="B230" s="1546" t="s">
        <v>780</v>
      </c>
      <c r="C230" s="1546" t="s">
        <v>789</v>
      </c>
      <c r="D230" s="1547" t="s">
        <v>6880</v>
      </c>
      <c r="E230" s="690" t="s">
        <v>656</v>
      </c>
      <c r="F230" s="691"/>
      <c r="G230" s="692"/>
      <c r="H230" s="692"/>
      <c r="I230" s="692"/>
      <c r="J230" s="693"/>
      <c r="K230" s="693"/>
      <c r="L230" s="693"/>
      <c r="M230" s="694"/>
      <c r="N230" s="695"/>
      <c r="O230" s="696" t="s">
        <v>1569</v>
      </c>
      <c r="P230" s="695">
        <f>'HIV-Key Info'!$E$72*('HPM costs'!F27+'HPM costs'!F30)</f>
        <v>0</v>
      </c>
      <c r="Q230" s="695" t="s">
        <v>1569</v>
      </c>
      <c r="R230" s="695">
        <f>'HIV-Key Info'!$E$72*('HPM costs'!G27+'HPM costs'!G30)</f>
        <v>0</v>
      </c>
      <c r="S230" s="695" t="s">
        <v>1569</v>
      </c>
      <c r="T230" s="695">
        <f>'HIV-Key Info'!$E$72*('HPM costs'!H27+'HPM costs'!H30)</f>
        <v>0</v>
      </c>
      <c r="U230" s="695" t="s">
        <v>1569</v>
      </c>
      <c r="V230" s="695">
        <f>'HIV-Key Info'!$E$72*('HPM costs'!I27+'HPM costs'!I30)</f>
        <v>0</v>
      </c>
      <c r="W230" s="695"/>
      <c r="X230" s="1492">
        <f t="shared" si="24"/>
        <v>0</v>
      </c>
      <c r="Y230" s="1493"/>
      <c r="Z230" s="1494"/>
      <c r="AA230" s="699"/>
      <c r="AB230" s="695"/>
      <c r="AC230" s="695">
        <f>'HIV-Key Info'!$E$72*('HPM costs'!K27+'HPM costs'!K30)</f>
        <v>0</v>
      </c>
      <c r="AD230" s="695"/>
      <c r="AE230" s="695">
        <f>'HIV-Key Info'!$E$72*('HPM costs'!L27+'HPM costs'!L30)</f>
        <v>0</v>
      </c>
      <c r="AF230" s="695"/>
      <c r="AG230" s="695">
        <f>'HIV-Key Info'!$E$72*('HPM costs'!M27+'HPM costs'!M30)</f>
        <v>0</v>
      </c>
      <c r="AH230" s="695"/>
      <c r="AI230" s="695">
        <f>'HIV-Key Info'!$E$72*('HPM costs'!N27+'HPM costs'!N30)</f>
        <v>0</v>
      </c>
      <c r="AJ230" s="695"/>
      <c r="AK230" s="1492">
        <f t="shared" si="25"/>
        <v>0</v>
      </c>
      <c r="AL230" s="1493"/>
      <c r="AM230" s="1494"/>
      <c r="AN230" s="699"/>
      <c r="AO230" s="695"/>
      <c r="AP230" s="695">
        <f>'HIV-Key Info'!$E$72*('HPM costs'!P27+'HPM costs'!P30)</f>
        <v>0</v>
      </c>
      <c r="AQ230" s="695"/>
      <c r="AR230" s="695">
        <f>'HIV-Key Info'!$E$72*('HPM costs'!Q27+'HPM costs'!Q30)</f>
        <v>0</v>
      </c>
      <c r="AS230" s="695"/>
      <c r="AT230" s="695">
        <f>'HIV-Key Info'!$E$72*('HPM costs'!R27+'HPM costs'!R30)</f>
        <v>0</v>
      </c>
      <c r="AU230" s="695"/>
      <c r="AV230" s="695">
        <f>'HIV-Key Info'!$E$72*('HPM costs'!S27+'HPM costs'!S30)</f>
        <v>0</v>
      </c>
      <c r="AW230" s="695"/>
      <c r="AX230" s="1492">
        <f t="shared" si="26"/>
        <v>0</v>
      </c>
      <c r="AY230" s="1492"/>
      <c r="AZ230" s="698"/>
      <c r="BA230" s="699"/>
      <c r="BB230" s="697"/>
      <c r="BC230" s="697">
        <v>0</v>
      </c>
      <c r="BD230" s="697">
        <v>0</v>
      </c>
      <c r="BE230" s="697">
        <v>0</v>
      </c>
      <c r="BF230" s="697">
        <v>0</v>
      </c>
      <c r="BG230" s="697">
        <v>0</v>
      </c>
      <c r="BH230" s="697">
        <v>0</v>
      </c>
      <c r="BI230" s="697">
        <v>0</v>
      </c>
      <c r="BJ230" s="697">
        <v>0</v>
      </c>
      <c r="BK230" s="1492">
        <f t="shared" si="27"/>
        <v>0</v>
      </c>
      <c r="BL230" s="1492"/>
      <c r="BM230" s="1492">
        <f t="shared" si="28"/>
        <v>0</v>
      </c>
      <c r="BN230" s="1492">
        <f t="shared" si="29"/>
        <v>0</v>
      </c>
      <c r="BO230" s="697"/>
      <c r="BP230" s="697"/>
      <c r="BQ230" s="1495" t="s">
        <v>6937</v>
      </c>
      <c r="BR230" s="1495" t="s">
        <v>818</v>
      </c>
      <c r="BS230" s="1902" t="s">
        <v>655</v>
      </c>
      <c r="BT230" s="1907" t="s">
        <v>1949</v>
      </c>
    </row>
    <row r="231" spans="1:72" ht="13">
      <c r="A231" s="1545">
        <v>708</v>
      </c>
      <c r="B231" s="1546" t="s">
        <v>780</v>
      </c>
      <c r="C231" s="1546" t="s">
        <v>789</v>
      </c>
      <c r="D231" s="1547" t="s">
        <v>6880</v>
      </c>
      <c r="E231" s="690" t="s">
        <v>658</v>
      </c>
      <c r="F231" s="691"/>
      <c r="G231" s="692"/>
      <c r="H231" s="692"/>
      <c r="I231" s="692"/>
      <c r="J231" s="693"/>
      <c r="K231" s="693"/>
      <c r="L231" s="693"/>
      <c r="M231" s="694"/>
      <c r="N231" s="695"/>
      <c r="O231" s="696" t="s">
        <v>1569</v>
      </c>
      <c r="P231" s="695">
        <f>'HIV-Key Info'!$E$72*('HPM costs'!F113+'HPM costs'!F116)</f>
        <v>0</v>
      </c>
      <c r="Q231" s="695" t="s">
        <v>1569</v>
      </c>
      <c r="R231" s="695">
        <f>'HIV-Key Info'!$E$72*('HPM costs'!G113+'HPM costs'!G116)</f>
        <v>0</v>
      </c>
      <c r="S231" s="695" t="s">
        <v>1569</v>
      </c>
      <c r="T231" s="695">
        <f>'HIV-Key Info'!$E$72*('HPM costs'!H113+'HPM costs'!H116)</f>
        <v>0</v>
      </c>
      <c r="U231" s="695" t="s">
        <v>1569</v>
      </c>
      <c r="V231" s="695">
        <f>'HIV-Key Info'!$E$72*('HPM costs'!I113+'HPM costs'!I116)</f>
        <v>0</v>
      </c>
      <c r="W231" s="695"/>
      <c r="X231" s="1492">
        <f t="shared" si="24"/>
        <v>0</v>
      </c>
      <c r="Y231" s="1493"/>
      <c r="Z231" s="1494"/>
      <c r="AA231" s="699"/>
      <c r="AB231" s="695"/>
      <c r="AC231" s="695">
        <f>'HIV-Key Info'!$E$72*('HPM costs'!K113+'HPM costs'!K116)</f>
        <v>0</v>
      </c>
      <c r="AD231" s="695"/>
      <c r="AE231" s="695">
        <f>'HIV-Key Info'!$E$72*('HPM costs'!L113+'HPM costs'!L116)</f>
        <v>0</v>
      </c>
      <c r="AF231" s="695"/>
      <c r="AG231" s="695">
        <f>'HIV-Key Info'!$E$72*('HPM costs'!M113+'HPM costs'!M116)</f>
        <v>0</v>
      </c>
      <c r="AH231" s="695"/>
      <c r="AI231" s="695">
        <f>'HIV-Key Info'!$E$72*('HPM costs'!N113+'HPM costs'!N116)</f>
        <v>0</v>
      </c>
      <c r="AJ231" s="695"/>
      <c r="AK231" s="1492">
        <f t="shared" si="25"/>
        <v>0</v>
      </c>
      <c r="AL231" s="1493"/>
      <c r="AM231" s="1494"/>
      <c r="AN231" s="699"/>
      <c r="AO231" s="695"/>
      <c r="AP231" s="695">
        <f>'HIV-Key Info'!$E$72*('HPM costs'!P113+'HPM costs'!P116)</f>
        <v>0</v>
      </c>
      <c r="AQ231" s="695"/>
      <c r="AR231" s="695">
        <f>'HIV-Key Info'!$E$72*('HPM costs'!Q113+'HPM costs'!Q116)</f>
        <v>0</v>
      </c>
      <c r="AS231" s="695"/>
      <c r="AT231" s="695">
        <f>'HIV-Key Info'!$E$72*('HPM costs'!R113+'HPM costs'!R116)</f>
        <v>0</v>
      </c>
      <c r="AU231" s="695"/>
      <c r="AV231" s="695">
        <f>'HIV-Key Info'!$E$72*('HPM costs'!S113+'HPM costs'!S116)</f>
        <v>0</v>
      </c>
      <c r="AW231" s="695"/>
      <c r="AX231" s="1492">
        <f t="shared" si="26"/>
        <v>0</v>
      </c>
      <c r="AY231" s="1492"/>
      <c r="AZ231" s="698"/>
      <c r="BA231" s="699"/>
      <c r="BB231" s="697"/>
      <c r="BC231" s="697">
        <v>0</v>
      </c>
      <c r="BD231" s="697">
        <v>0</v>
      </c>
      <c r="BE231" s="697">
        <v>0</v>
      </c>
      <c r="BF231" s="697">
        <v>0</v>
      </c>
      <c r="BG231" s="697">
        <v>0</v>
      </c>
      <c r="BH231" s="697">
        <v>0</v>
      </c>
      <c r="BI231" s="697">
        <v>0</v>
      </c>
      <c r="BJ231" s="697">
        <v>0</v>
      </c>
      <c r="BK231" s="1492">
        <f t="shared" si="27"/>
        <v>0</v>
      </c>
      <c r="BL231" s="1492"/>
      <c r="BM231" s="1492">
        <f t="shared" si="28"/>
        <v>0</v>
      </c>
      <c r="BN231" s="1492">
        <f t="shared" si="29"/>
        <v>0</v>
      </c>
      <c r="BO231" s="697"/>
      <c r="BP231" s="697"/>
      <c r="BQ231" s="1495" t="s">
        <v>6937</v>
      </c>
      <c r="BR231" s="1495" t="s">
        <v>818</v>
      </c>
      <c r="BS231" s="1902" t="s">
        <v>655</v>
      </c>
      <c r="BT231" s="1907" t="s">
        <v>1950</v>
      </c>
    </row>
    <row r="232" spans="1:72" ht="13">
      <c r="A232" s="1545">
        <v>709</v>
      </c>
      <c r="B232" s="1546" t="s">
        <v>780</v>
      </c>
      <c r="C232" s="1546" t="s">
        <v>789</v>
      </c>
      <c r="D232" s="1547" t="s">
        <v>6880</v>
      </c>
      <c r="E232" s="690" t="s">
        <v>660</v>
      </c>
      <c r="F232" s="691"/>
      <c r="G232" s="692"/>
      <c r="H232" s="692"/>
      <c r="I232" s="692"/>
      <c r="J232" s="693"/>
      <c r="K232" s="693"/>
      <c r="L232" s="693"/>
      <c r="M232" s="694"/>
      <c r="N232" s="695"/>
      <c r="O232" s="696" t="s">
        <v>1569</v>
      </c>
      <c r="P232" s="695">
        <f>'HIV-Key Info'!$E$72*('HPM costs'!F373+'HPM costs'!F376)</f>
        <v>0</v>
      </c>
      <c r="Q232" s="695" t="s">
        <v>1569</v>
      </c>
      <c r="R232" s="695">
        <f>'HIV-Key Info'!$E$72*('HPM costs'!G373+'HPM costs'!G376)</f>
        <v>0</v>
      </c>
      <c r="S232" s="695" t="s">
        <v>1569</v>
      </c>
      <c r="T232" s="695">
        <f>'HIV-Key Info'!$E$72*('HPM costs'!H373+'HPM costs'!H376)</f>
        <v>0</v>
      </c>
      <c r="U232" s="695" t="s">
        <v>1569</v>
      </c>
      <c r="V232" s="695">
        <f>'HIV-Key Info'!$E$72*('HPM costs'!I373+'HPM costs'!I376)</f>
        <v>0</v>
      </c>
      <c r="W232" s="695"/>
      <c r="X232" s="1492">
        <f t="shared" si="24"/>
        <v>0</v>
      </c>
      <c r="Y232" s="1493"/>
      <c r="Z232" s="1494"/>
      <c r="AA232" s="699"/>
      <c r="AB232" s="695"/>
      <c r="AC232" s="695">
        <f>'HIV-Key Info'!$E$72*('HPM costs'!K373+'HPM costs'!K376)</f>
        <v>0</v>
      </c>
      <c r="AD232" s="695"/>
      <c r="AE232" s="695">
        <f>'HIV-Key Info'!$E$72*('HPM costs'!L373+'HPM costs'!L376)</f>
        <v>0</v>
      </c>
      <c r="AF232" s="695"/>
      <c r="AG232" s="695">
        <f>'HIV-Key Info'!$E$72*('HPM costs'!M373+'HPM costs'!M376)</f>
        <v>0</v>
      </c>
      <c r="AH232" s="695"/>
      <c r="AI232" s="695">
        <f>'HIV-Key Info'!$E$72*('HPM costs'!N373+'HPM costs'!N376)</f>
        <v>0</v>
      </c>
      <c r="AJ232" s="695"/>
      <c r="AK232" s="1492">
        <f t="shared" si="25"/>
        <v>0</v>
      </c>
      <c r="AL232" s="1493"/>
      <c r="AM232" s="1494"/>
      <c r="AN232" s="699"/>
      <c r="AO232" s="695"/>
      <c r="AP232" s="695">
        <f>'HIV-Key Info'!$E$72*('HPM costs'!P373+'HPM costs'!P376)</f>
        <v>0</v>
      </c>
      <c r="AQ232" s="695"/>
      <c r="AR232" s="695">
        <f>'HIV-Key Info'!$E$72*('HPM costs'!Q373+'HPM costs'!Q376)</f>
        <v>0</v>
      </c>
      <c r="AS232" s="695"/>
      <c r="AT232" s="695">
        <f>'HIV-Key Info'!$E$72*('HPM costs'!R373+'HPM costs'!R376)</f>
        <v>0</v>
      </c>
      <c r="AU232" s="695"/>
      <c r="AV232" s="695">
        <f>'HIV-Key Info'!$E$72*('HPM costs'!S373+'HPM costs'!S376)</f>
        <v>0</v>
      </c>
      <c r="AW232" s="695"/>
      <c r="AX232" s="1492">
        <f t="shared" si="26"/>
        <v>0</v>
      </c>
      <c r="AY232" s="1492"/>
      <c r="AZ232" s="698"/>
      <c r="BA232" s="699"/>
      <c r="BB232" s="697"/>
      <c r="BC232" s="697">
        <v>0</v>
      </c>
      <c r="BD232" s="697">
        <v>0</v>
      </c>
      <c r="BE232" s="697">
        <v>0</v>
      </c>
      <c r="BF232" s="697">
        <v>0</v>
      </c>
      <c r="BG232" s="697">
        <v>0</v>
      </c>
      <c r="BH232" s="697">
        <v>0</v>
      </c>
      <c r="BI232" s="697">
        <v>0</v>
      </c>
      <c r="BJ232" s="697">
        <v>0</v>
      </c>
      <c r="BK232" s="1492">
        <f t="shared" si="27"/>
        <v>0</v>
      </c>
      <c r="BL232" s="1492"/>
      <c r="BM232" s="1492">
        <f t="shared" si="28"/>
        <v>0</v>
      </c>
      <c r="BN232" s="1492">
        <f t="shared" si="29"/>
        <v>0</v>
      </c>
      <c r="BO232" s="697"/>
      <c r="BP232" s="697"/>
      <c r="BQ232" s="1495" t="s">
        <v>6937</v>
      </c>
      <c r="BR232" s="1495" t="s">
        <v>818</v>
      </c>
      <c r="BS232" s="1902" t="s">
        <v>655</v>
      </c>
      <c r="BT232" s="1907" t="s">
        <v>1951</v>
      </c>
    </row>
    <row r="233" spans="1:72" ht="13">
      <c r="A233" s="1545">
        <v>710</v>
      </c>
      <c r="B233" s="1546" t="s">
        <v>780</v>
      </c>
      <c r="C233" s="1546" t="s">
        <v>789</v>
      </c>
      <c r="D233" s="1547" t="s">
        <v>6880</v>
      </c>
      <c r="E233" s="690" t="s">
        <v>662</v>
      </c>
      <c r="F233" s="691"/>
      <c r="G233" s="692"/>
      <c r="H233" s="692"/>
      <c r="I233" s="692"/>
      <c r="J233" s="693"/>
      <c r="K233" s="693"/>
      <c r="L233" s="693"/>
      <c r="M233" s="694"/>
      <c r="N233" s="695"/>
      <c r="O233" s="696" t="s">
        <v>1569</v>
      </c>
      <c r="P233" s="695">
        <f>'HIV-Key Info'!$E$72*('HPM costs'!F459+'HPM costs'!F462)</f>
        <v>0</v>
      </c>
      <c r="Q233" s="695" t="s">
        <v>1569</v>
      </c>
      <c r="R233" s="695">
        <f>'HIV-Key Info'!$E$72*('HPM costs'!G459+'HPM costs'!G462)</f>
        <v>0</v>
      </c>
      <c r="S233" s="695" t="s">
        <v>1569</v>
      </c>
      <c r="T233" s="695">
        <f>'HIV-Key Info'!$E$72*('HPM costs'!H459+'HPM costs'!H462)</f>
        <v>0</v>
      </c>
      <c r="U233" s="695" t="s">
        <v>1569</v>
      </c>
      <c r="V233" s="695">
        <f>'HIV-Key Info'!$E$72*('HPM costs'!I459+'HPM costs'!I462)</f>
        <v>0</v>
      </c>
      <c r="W233" s="695"/>
      <c r="X233" s="1492">
        <f t="shared" si="24"/>
        <v>0</v>
      </c>
      <c r="Y233" s="1493"/>
      <c r="Z233" s="1494"/>
      <c r="AA233" s="699"/>
      <c r="AB233" s="695"/>
      <c r="AC233" s="695">
        <f>'HIV-Key Info'!$E$72*('HPM costs'!K459+'HPM costs'!K462)</f>
        <v>0</v>
      </c>
      <c r="AD233" s="695"/>
      <c r="AE233" s="695">
        <f>'HIV-Key Info'!$E$72*('HPM costs'!L459+'HPM costs'!L462)</f>
        <v>0</v>
      </c>
      <c r="AF233" s="695"/>
      <c r="AG233" s="695">
        <f>'HIV-Key Info'!$E$72*('HPM costs'!M459+'HPM costs'!M462)</f>
        <v>0</v>
      </c>
      <c r="AH233" s="695"/>
      <c r="AI233" s="695">
        <f>'HIV-Key Info'!$E$72*('HPM costs'!N459+'HPM costs'!N462)</f>
        <v>0</v>
      </c>
      <c r="AJ233" s="695"/>
      <c r="AK233" s="1492">
        <f t="shared" si="25"/>
        <v>0</v>
      </c>
      <c r="AL233" s="1493"/>
      <c r="AM233" s="1494"/>
      <c r="AN233" s="699"/>
      <c r="AO233" s="695"/>
      <c r="AP233" s="695">
        <f>'HIV-Key Info'!$E$72*('HPM costs'!P459+'HPM costs'!P462)</f>
        <v>0</v>
      </c>
      <c r="AQ233" s="695"/>
      <c r="AR233" s="695">
        <f>'HIV-Key Info'!$E$72*('HPM costs'!Q459+'HPM costs'!Q462)</f>
        <v>0</v>
      </c>
      <c r="AS233" s="695"/>
      <c r="AT233" s="695">
        <f>'HIV-Key Info'!$E$72*('HPM costs'!R459+'HPM costs'!R462)</f>
        <v>0</v>
      </c>
      <c r="AU233" s="695"/>
      <c r="AV233" s="695">
        <f>'HIV-Key Info'!$E$72*('HPM costs'!S459+'HPM costs'!S462)</f>
        <v>0</v>
      </c>
      <c r="AW233" s="695"/>
      <c r="AX233" s="1492">
        <f t="shared" si="26"/>
        <v>0</v>
      </c>
      <c r="AY233" s="1492"/>
      <c r="AZ233" s="698"/>
      <c r="BA233" s="699"/>
      <c r="BB233" s="697"/>
      <c r="BC233" s="697">
        <v>0</v>
      </c>
      <c r="BD233" s="697">
        <v>0</v>
      </c>
      <c r="BE233" s="697">
        <v>0</v>
      </c>
      <c r="BF233" s="697">
        <v>0</v>
      </c>
      <c r="BG233" s="697">
        <v>0</v>
      </c>
      <c r="BH233" s="697">
        <v>0</v>
      </c>
      <c r="BI233" s="697">
        <v>0</v>
      </c>
      <c r="BJ233" s="697">
        <v>0</v>
      </c>
      <c r="BK233" s="1492">
        <f t="shared" si="27"/>
        <v>0</v>
      </c>
      <c r="BL233" s="1492"/>
      <c r="BM233" s="1492">
        <f t="shared" si="28"/>
        <v>0</v>
      </c>
      <c r="BN233" s="1492">
        <f t="shared" si="29"/>
        <v>0</v>
      </c>
      <c r="BO233" s="697"/>
      <c r="BP233" s="697"/>
      <c r="BQ233" s="1495" t="s">
        <v>6937</v>
      </c>
      <c r="BR233" s="1495" t="s">
        <v>818</v>
      </c>
      <c r="BS233" s="1902" t="s">
        <v>655</v>
      </c>
      <c r="BT233" s="1907" t="s">
        <v>1952</v>
      </c>
    </row>
    <row r="234" spans="1:72" ht="13">
      <c r="A234" s="1545">
        <v>711</v>
      </c>
      <c r="B234" s="1546" t="s">
        <v>780</v>
      </c>
      <c r="C234" s="1546" t="s">
        <v>789</v>
      </c>
      <c r="D234" s="1547" t="s">
        <v>6880</v>
      </c>
      <c r="E234" s="690" t="s">
        <v>664</v>
      </c>
      <c r="F234" s="691"/>
      <c r="G234" s="692"/>
      <c r="H234" s="692"/>
      <c r="I234" s="692"/>
      <c r="J234" s="693"/>
      <c r="K234" s="693"/>
      <c r="L234" s="693"/>
      <c r="M234" s="694"/>
      <c r="N234" s="695"/>
      <c r="O234" s="696" t="s">
        <v>1569</v>
      </c>
      <c r="P234" s="695">
        <f>'HIV-Key Info'!$E$72*('HPM costs'!F199+'HPM costs'!F202+'HPM costs'!F545+'HPM costs'!F548)</f>
        <v>0</v>
      </c>
      <c r="Q234" s="695" t="s">
        <v>1569</v>
      </c>
      <c r="R234" s="695">
        <f>'HIV-Key Info'!$E$72*('HPM costs'!G199+'HPM costs'!G202+'HPM costs'!G545+'HPM costs'!G548)</f>
        <v>0</v>
      </c>
      <c r="S234" s="695" t="s">
        <v>1569</v>
      </c>
      <c r="T234" s="695">
        <f>'HIV-Key Info'!$E$72*('HPM costs'!H199+'HPM costs'!H202+'HPM costs'!H545+'HPM costs'!H548)</f>
        <v>0</v>
      </c>
      <c r="U234" s="695" t="s">
        <v>1569</v>
      </c>
      <c r="V234" s="695">
        <f>'HIV-Key Info'!$E$72*('HPM costs'!I199+'HPM costs'!I202+'HPM costs'!I545+'HPM costs'!I548)</f>
        <v>0</v>
      </c>
      <c r="W234" s="695"/>
      <c r="X234" s="1492">
        <f t="shared" si="24"/>
        <v>0</v>
      </c>
      <c r="Y234" s="1493"/>
      <c r="Z234" s="1494"/>
      <c r="AA234" s="699"/>
      <c r="AB234" s="695"/>
      <c r="AC234" s="695">
        <f>'HIV-Key Info'!$E$72*('HPM costs'!K199+'HPM costs'!K202+'HPM costs'!K545+'HPM costs'!K548)</f>
        <v>0</v>
      </c>
      <c r="AD234" s="695"/>
      <c r="AE234" s="695">
        <f>'HIV-Key Info'!$E$72*('HPM costs'!L199+'HPM costs'!L202+'HPM costs'!L545+'HPM costs'!L548)</f>
        <v>0</v>
      </c>
      <c r="AF234" s="695"/>
      <c r="AG234" s="695">
        <f>'HIV-Key Info'!$E$72*('HPM costs'!M199+'HPM costs'!M202+'HPM costs'!M545+'HPM costs'!M548)</f>
        <v>0</v>
      </c>
      <c r="AH234" s="695"/>
      <c r="AI234" s="695">
        <f>'HIV-Key Info'!$E$72*('HPM costs'!N199+'HPM costs'!N202+'HPM costs'!N545+'HPM costs'!N548)</f>
        <v>0</v>
      </c>
      <c r="AJ234" s="695"/>
      <c r="AK234" s="1492">
        <f t="shared" si="25"/>
        <v>0</v>
      </c>
      <c r="AL234" s="1493"/>
      <c r="AM234" s="1494"/>
      <c r="AN234" s="699"/>
      <c r="AO234" s="695"/>
      <c r="AP234" s="695">
        <f>'HIV-Key Info'!$E$72*('HPM costs'!P199+'HPM costs'!P202+'HPM costs'!P545+'HPM costs'!P548)</f>
        <v>0</v>
      </c>
      <c r="AQ234" s="695"/>
      <c r="AR234" s="695">
        <f>'HIV-Key Info'!$E$72*('HPM costs'!Q199+'HPM costs'!Q202+'HPM costs'!Q545+'HPM costs'!Q548)</f>
        <v>0</v>
      </c>
      <c r="AS234" s="695"/>
      <c r="AT234" s="695">
        <f>'HIV-Key Info'!$E$72*('HPM costs'!R199+'HPM costs'!R202+'HPM costs'!R545+'HPM costs'!R548)</f>
        <v>0</v>
      </c>
      <c r="AU234" s="695"/>
      <c r="AV234" s="695">
        <f>'HIV-Key Info'!$E$72*('HPM costs'!S199+'HPM costs'!S202+'HPM costs'!S545+'HPM costs'!S548)</f>
        <v>0</v>
      </c>
      <c r="AW234" s="695"/>
      <c r="AX234" s="1492">
        <f t="shared" si="26"/>
        <v>0</v>
      </c>
      <c r="AY234" s="1492"/>
      <c r="AZ234" s="698"/>
      <c r="BA234" s="699"/>
      <c r="BB234" s="697"/>
      <c r="BC234" s="697">
        <v>0</v>
      </c>
      <c r="BD234" s="697">
        <v>0</v>
      </c>
      <c r="BE234" s="697">
        <v>0</v>
      </c>
      <c r="BF234" s="697">
        <v>0</v>
      </c>
      <c r="BG234" s="697">
        <v>0</v>
      </c>
      <c r="BH234" s="697">
        <v>0</v>
      </c>
      <c r="BI234" s="697">
        <v>0</v>
      </c>
      <c r="BJ234" s="697">
        <v>0</v>
      </c>
      <c r="BK234" s="1492">
        <f t="shared" si="27"/>
        <v>0</v>
      </c>
      <c r="BL234" s="1492"/>
      <c r="BM234" s="1492">
        <f t="shared" si="28"/>
        <v>0</v>
      </c>
      <c r="BN234" s="1492">
        <f t="shared" si="29"/>
        <v>0</v>
      </c>
      <c r="BO234" s="697"/>
      <c r="BP234" s="697"/>
      <c r="BQ234" s="1495" t="s">
        <v>6937</v>
      </c>
      <c r="BR234" s="1495" t="s">
        <v>818</v>
      </c>
      <c r="BS234" s="1902" t="s">
        <v>655</v>
      </c>
      <c r="BT234" s="1907" t="s">
        <v>1953</v>
      </c>
    </row>
    <row r="235" spans="1:72" ht="13">
      <c r="A235" s="1545">
        <v>712</v>
      </c>
      <c r="B235" s="1546" t="s">
        <v>780</v>
      </c>
      <c r="C235" s="1546" t="s">
        <v>789</v>
      </c>
      <c r="D235" s="1547" t="s">
        <v>6880</v>
      </c>
      <c r="E235" s="690" t="s">
        <v>666</v>
      </c>
      <c r="F235" s="691"/>
      <c r="G235" s="692"/>
      <c r="H235" s="692"/>
      <c r="I235" s="692"/>
      <c r="J235" s="693"/>
      <c r="K235" s="693"/>
      <c r="L235" s="693"/>
      <c r="M235" s="694"/>
      <c r="N235" s="695"/>
      <c r="O235" s="696" t="s">
        <v>1569</v>
      </c>
      <c r="P235" s="695">
        <f>'HIV-Key Info'!$E$72*('HPM costs'!F285+'HPM costs'!F288)</f>
        <v>0</v>
      </c>
      <c r="Q235" s="695" t="s">
        <v>1569</v>
      </c>
      <c r="R235" s="695">
        <f>'HIV-Key Info'!$E$72*('HPM costs'!G285+'HPM costs'!G288)</f>
        <v>0</v>
      </c>
      <c r="S235" s="695" t="s">
        <v>1569</v>
      </c>
      <c r="T235" s="695">
        <f>'HIV-Key Info'!$E$72*('HPM costs'!H285+'HPM costs'!H288)</f>
        <v>0</v>
      </c>
      <c r="U235" s="695" t="s">
        <v>1569</v>
      </c>
      <c r="V235" s="695">
        <f>'HIV-Key Info'!$E$72*('HPM costs'!I285+'HPM costs'!I288)</f>
        <v>0</v>
      </c>
      <c r="W235" s="695"/>
      <c r="X235" s="1492">
        <f t="shared" si="24"/>
        <v>0</v>
      </c>
      <c r="Y235" s="1493"/>
      <c r="Z235" s="1494"/>
      <c r="AA235" s="699"/>
      <c r="AB235" s="695"/>
      <c r="AC235" s="695">
        <f>'HIV-Key Info'!$E$72*('HPM costs'!K285+'HPM costs'!K288)</f>
        <v>0</v>
      </c>
      <c r="AD235" s="695"/>
      <c r="AE235" s="695">
        <f>'HIV-Key Info'!$E$72*('HPM costs'!L285+'HPM costs'!L288)</f>
        <v>0</v>
      </c>
      <c r="AF235" s="695"/>
      <c r="AG235" s="695">
        <f>'HIV-Key Info'!$E$72*('HPM costs'!M285+'HPM costs'!M288)</f>
        <v>0</v>
      </c>
      <c r="AH235" s="695"/>
      <c r="AI235" s="695">
        <f>'HIV-Key Info'!$E$72*('HPM costs'!N285+'HPM costs'!N288)</f>
        <v>0</v>
      </c>
      <c r="AJ235" s="695"/>
      <c r="AK235" s="1492">
        <f t="shared" si="25"/>
        <v>0</v>
      </c>
      <c r="AL235" s="1493"/>
      <c r="AM235" s="1494"/>
      <c r="AN235" s="699"/>
      <c r="AO235" s="695"/>
      <c r="AP235" s="695">
        <f>'HIV-Key Info'!$E$72*('HPM costs'!P285+'HPM costs'!P288)</f>
        <v>0</v>
      </c>
      <c r="AQ235" s="695"/>
      <c r="AR235" s="695">
        <f>'HIV-Key Info'!$E$72*('HPM costs'!Q285+'HPM costs'!Q288)</f>
        <v>0</v>
      </c>
      <c r="AS235" s="695"/>
      <c r="AT235" s="695">
        <f>'HIV-Key Info'!$E$72*('HPM costs'!R285+'HPM costs'!R288)</f>
        <v>0</v>
      </c>
      <c r="AU235" s="695"/>
      <c r="AV235" s="695">
        <f>'HIV-Key Info'!$E$72*('HPM costs'!S285+'HPM costs'!S288)</f>
        <v>0</v>
      </c>
      <c r="AW235" s="695"/>
      <c r="AX235" s="1492">
        <f t="shared" si="26"/>
        <v>0</v>
      </c>
      <c r="AY235" s="1492"/>
      <c r="AZ235" s="698"/>
      <c r="BA235" s="699"/>
      <c r="BB235" s="697"/>
      <c r="BC235" s="697">
        <v>0</v>
      </c>
      <c r="BD235" s="697">
        <v>0</v>
      </c>
      <c r="BE235" s="697">
        <v>0</v>
      </c>
      <c r="BF235" s="697">
        <v>0</v>
      </c>
      <c r="BG235" s="697">
        <v>0</v>
      </c>
      <c r="BH235" s="697">
        <v>0</v>
      </c>
      <c r="BI235" s="697">
        <v>0</v>
      </c>
      <c r="BJ235" s="697">
        <v>0</v>
      </c>
      <c r="BK235" s="1492">
        <f t="shared" si="27"/>
        <v>0</v>
      </c>
      <c r="BL235" s="1492"/>
      <c r="BM235" s="1492">
        <f t="shared" si="28"/>
        <v>0</v>
      </c>
      <c r="BN235" s="1492">
        <f t="shared" si="29"/>
        <v>0</v>
      </c>
      <c r="BO235" s="697"/>
      <c r="BP235" s="697"/>
      <c r="BQ235" s="1495" t="s">
        <v>6937</v>
      </c>
      <c r="BR235" s="1495" t="s">
        <v>818</v>
      </c>
      <c r="BS235" s="1902" t="s">
        <v>655</v>
      </c>
      <c r="BT235" s="1907" t="s">
        <v>1954</v>
      </c>
    </row>
    <row r="236" spans="1:72" ht="13">
      <c r="A236" s="1545">
        <v>713</v>
      </c>
      <c r="B236" s="1546" t="s">
        <v>780</v>
      </c>
      <c r="C236" s="1546" t="s">
        <v>789</v>
      </c>
      <c r="D236" s="1547" t="s">
        <v>6880</v>
      </c>
      <c r="E236" s="690" t="s">
        <v>668</v>
      </c>
      <c r="F236" s="691"/>
      <c r="G236" s="692"/>
      <c r="H236" s="692"/>
      <c r="I236" s="692"/>
      <c r="J236" s="693"/>
      <c r="K236" s="693"/>
      <c r="L236" s="693"/>
      <c r="M236" s="694"/>
      <c r="N236" s="695"/>
      <c r="O236" s="696" t="s">
        <v>1569</v>
      </c>
      <c r="P236" s="695">
        <f>'HIV-Key Info'!$E$72*('HPM costs'!F630+'HPM costs'!F633)</f>
        <v>0</v>
      </c>
      <c r="Q236" s="695" t="s">
        <v>1569</v>
      </c>
      <c r="R236" s="695">
        <f>'HIV-Key Info'!$E$72*('HPM costs'!G630+'HPM costs'!G633)</f>
        <v>0</v>
      </c>
      <c r="S236" s="695" t="s">
        <v>1569</v>
      </c>
      <c r="T236" s="695">
        <f>'HIV-Key Info'!$E$72*('HPM costs'!H630+'HPM costs'!H633)</f>
        <v>0</v>
      </c>
      <c r="U236" s="695" t="s">
        <v>1569</v>
      </c>
      <c r="V236" s="695">
        <f>'HIV-Key Info'!$E$72*('HPM costs'!I630+'HPM costs'!I633)</f>
        <v>0</v>
      </c>
      <c r="W236" s="695"/>
      <c r="X236" s="1492">
        <f t="shared" si="24"/>
        <v>0</v>
      </c>
      <c r="Y236" s="1493"/>
      <c r="Z236" s="1494"/>
      <c r="AA236" s="699"/>
      <c r="AB236" s="695"/>
      <c r="AC236" s="695">
        <f>'HIV-Key Info'!$E$72*('HPM costs'!K630+'HPM costs'!K633)</f>
        <v>0</v>
      </c>
      <c r="AD236" s="695"/>
      <c r="AE236" s="695">
        <f>'HIV-Key Info'!$E$72*('HPM costs'!L630+'HPM costs'!L633)</f>
        <v>0</v>
      </c>
      <c r="AF236" s="695"/>
      <c r="AG236" s="695">
        <f>'HIV-Key Info'!$E$72*('HPM costs'!M630+'HPM costs'!M633)</f>
        <v>0</v>
      </c>
      <c r="AH236" s="695"/>
      <c r="AI236" s="695">
        <f>'HIV-Key Info'!$E$72*('HPM costs'!N630+'HPM costs'!N633)</f>
        <v>0</v>
      </c>
      <c r="AJ236" s="695"/>
      <c r="AK236" s="1492">
        <f t="shared" si="25"/>
        <v>0</v>
      </c>
      <c r="AL236" s="1493"/>
      <c r="AM236" s="1494"/>
      <c r="AN236" s="699"/>
      <c r="AO236" s="695"/>
      <c r="AP236" s="695">
        <f>'HIV-Key Info'!$E$72*('HPM costs'!P630+'HPM costs'!P633)</f>
        <v>0</v>
      </c>
      <c r="AQ236" s="695"/>
      <c r="AR236" s="695">
        <f>'HIV-Key Info'!$E$72*('HPM costs'!Q630+'HPM costs'!Q633)</f>
        <v>0</v>
      </c>
      <c r="AS236" s="695"/>
      <c r="AT236" s="695">
        <f>'HIV-Key Info'!$E$72*('HPM costs'!R630+'HPM costs'!R633)</f>
        <v>0</v>
      </c>
      <c r="AU236" s="695"/>
      <c r="AV236" s="695">
        <f>'HIV-Key Info'!$E$72*('HPM costs'!S630+'HPM costs'!S633)</f>
        <v>0</v>
      </c>
      <c r="AW236" s="695"/>
      <c r="AX236" s="1492">
        <f t="shared" si="26"/>
        <v>0</v>
      </c>
      <c r="AY236" s="1492"/>
      <c r="AZ236" s="698"/>
      <c r="BA236" s="699"/>
      <c r="BB236" s="697"/>
      <c r="BC236" s="697">
        <v>0</v>
      </c>
      <c r="BD236" s="697">
        <v>0</v>
      </c>
      <c r="BE236" s="697">
        <v>0</v>
      </c>
      <c r="BF236" s="697">
        <v>0</v>
      </c>
      <c r="BG236" s="697">
        <v>0</v>
      </c>
      <c r="BH236" s="697">
        <v>0</v>
      </c>
      <c r="BI236" s="697">
        <v>0</v>
      </c>
      <c r="BJ236" s="697">
        <v>0</v>
      </c>
      <c r="BK236" s="1492">
        <f t="shared" si="27"/>
        <v>0</v>
      </c>
      <c r="BL236" s="1492"/>
      <c r="BM236" s="1492">
        <f t="shared" si="28"/>
        <v>0</v>
      </c>
      <c r="BN236" s="1492">
        <f t="shared" si="29"/>
        <v>0</v>
      </c>
      <c r="BO236" s="697"/>
      <c r="BP236" s="697"/>
      <c r="BQ236" s="1495" t="s">
        <v>6937</v>
      </c>
      <c r="BR236" s="1495" t="s">
        <v>818</v>
      </c>
      <c r="BS236" s="1902" t="s">
        <v>655</v>
      </c>
      <c r="BT236" s="1907" t="s">
        <v>1955</v>
      </c>
    </row>
    <row r="237" spans="1:72" ht="13">
      <c r="A237" s="1545">
        <v>727</v>
      </c>
      <c r="B237" s="1546" t="s">
        <v>780</v>
      </c>
      <c r="C237" s="1546" t="s">
        <v>789</v>
      </c>
      <c r="D237" s="1547" t="s">
        <v>6881</v>
      </c>
      <c r="E237" s="690" t="s">
        <v>791</v>
      </c>
      <c r="F237" s="691"/>
      <c r="G237" s="692"/>
      <c r="H237" s="692"/>
      <c r="I237" s="692"/>
      <c r="J237" s="693"/>
      <c r="K237" s="693"/>
      <c r="L237" s="693"/>
      <c r="M237" s="694"/>
      <c r="N237" s="695"/>
      <c r="O237" s="696" t="s">
        <v>1569</v>
      </c>
      <c r="P237" s="695">
        <f>IF(SETUP!$F$27="Upfront",'HIV-Key Info'!$E$71*SUM('EBS-H'!K296:K312),0)</f>
        <v>0</v>
      </c>
      <c r="Q237" s="695" t="s">
        <v>1569</v>
      </c>
      <c r="R237" s="695">
        <f>IF(SETUP!$F$27="Upfront",'HIV-Key Info'!$E$71*SUM('EBS-H'!O296:O312),IF(SETUP!$F$27="At delivery", IF(SETUP!$G$27=1,'HIV-Key Info'!$E$71*SUM('EBS-H'!K296:K312),0),0))</f>
        <v>0</v>
      </c>
      <c r="S237" s="695" t="s">
        <v>1569</v>
      </c>
      <c r="T237" s="695">
        <f>IF(SETUP!$F$27="Upfront",'HIV-Key Info'!$E$71*SUM('EBS-H'!S296:S312),IF(SETUP!$F$27="At delivery", IF(SETUP!$G$27=2,'HIV-Key Info'!$E$71*SUM('EBS-H'!K296:K312),IF(SETUP!$G$27=1,'HIV-Key Info'!$E$71*SUM('EBS-H'!O296:O312),0)),0))</f>
        <v>0</v>
      </c>
      <c r="U237" s="695" t="s">
        <v>1569</v>
      </c>
      <c r="V237" s="695">
        <f>IF(SETUP!$F$27="Upfront",'HIV-Key Info'!$E$71*SUM('EBS-H'!W296:W312),IF(SETUP!$F$27="At delivery", IF(SETUP!$G$27=3,'HIV-Key Info'!$E$71*SUM('EBS-H'!K296:K312),IF(SETUP!$G$27=2,'HIV-Key Info'!$E$71*SUM('EBS-H'!O296:O312),IF(SETUP!$G$27=1,'HIV-Key Info'!$E$71*SUM('EBS-H'!S296:S312),0))),0))</f>
        <v>0</v>
      </c>
      <c r="W237" s="695"/>
      <c r="X237" s="1492">
        <f t="shared" si="24"/>
        <v>0</v>
      </c>
      <c r="Y237" s="1493"/>
      <c r="Z237" s="1494"/>
      <c r="AA237" s="699"/>
      <c r="AB237" s="695"/>
      <c r="AC237" s="695">
        <f>IF(SETUP!$F$27="Upfront",'HIV-Key Info'!$E$71*SUM('EBS-H'!AC296:AC312),IF(SETUP!$F$27="At delivery", IF(SETUP!$G$27=4,'HIV-Key Info'!$E$71*SUM('EBS-H'!K296:K312),IF(SETUP!$G$27=3,'HIV-Key Info'!$E$71*SUM('EBS-H'!O296:O312),IF(SETUP!$G$27=2,'HIV-Key Info'!$E$71*SUM('EBS-H'!S296:S312),IF(SETUP!$G$27=1,'HIV-Key Info'!$E$71*SUM('EBS-H'!W296:W312),0)))),0))</f>
        <v>0</v>
      </c>
      <c r="AD237" s="695"/>
      <c r="AE237" s="695">
        <f>IF(SETUP!$F$27="Upfront",'HIV-Key Info'!$E$71*SUM('EBS-H'!AG296:AG312),IF(SETUP!$F$27="At delivery", IF(SETUP!$G$27=4,'HIV-Key Info'!$E$71*SUM('EBS-H'!O296:O312),IF(SETUP!$G$27=3,'HIV-Key Info'!$E$71*SUM('EBS-H'!S296:S312),IF(SETUP!$G$27=2,'HIV-Key Info'!$E$71*SUM('EBS-H'!W296:W312),IF(SETUP!$G$27=1,'HIV-Key Info'!$E$71*SUM('EBS-H'!AC296:AC312),0)))),0))</f>
        <v>0</v>
      </c>
      <c r="AF237" s="695"/>
      <c r="AG237" s="695">
        <f>IF(SETUP!$F$27="Upfront",'HIV-Key Info'!$E$71*SUM('EBS-H'!AK296:AK312),IF(SETUP!$F$27="At delivery", IF(SETUP!$G$27=4,'HIV-Key Info'!$E$71*SUM('EBS-H'!S296:S312),IF(SETUP!$G$27=3,'HIV-Key Info'!$E$71*SUM('EBS-H'!W296:W312),IF(SETUP!$G$27=2,'HIV-Key Info'!$E$71*SUM('EBS-H'!AC296:AC312),IF(SETUP!$G$27=1,'HIV-Key Info'!$E$71*SUM('EBS-H'!AG296:AG312),0)))),0))</f>
        <v>0</v>
      </c>
      <c r="AH237" s="695"/>
      <c r="AI237" s="695">
        <f>IF(SETUP!$F$27="Upfront",'HIV-Key Info'!$E$71*SUM('EBS-H'!AO296:AO312),IF(SETUP!$F$27="At delivery", IF(SETUP!$G$27=4,'HIV-Key Info'!$E$71*SUM('EBS-H'!W296:W312),IF(SETUP!$G$27=3,'HIV-Key Info'!$E$71*SUM('EBS-H'!AC296:AC312),IF(SETUP!$G$27=2,'HIV-Key Info'!$E$71*SUM('EBS-H'!AG296:AG312),IF(SETUP!$G$27=1,'HIV-Key Info'!$E$71*SUM('EBS-H'!AK296:AK312),0)))),0))</f>
        <v>0</v>
      </c>
      <c r="AJ237" s="695"/>
      <c r="AK237" s="1492">
        <f t="shared" si="25"/>
        <v>0</v>
      </c>
      <c r="AL237" s="1493"/>
      <c r="AM237" s="1494"/>
      <c r="AN237" s="699"/>
      <c r="AO237" s="695"/>
      <c r="AP237" s="695">
        <f>IF(SETUP!$F$27="Upfront",'HIV-Key Info'!$E$71*SUM('EBS-H'!AU296:AU312),IF(SETUP!$F$27="At delivery", IF(SETUP!$G$27=4,'HIV-Key Info'!$E$71*SUM('EBS-H'!AC296:AC312),IF(SETUP!$G$27=3,'HIV-Key Info'!$E$71*SUM('EBS-H'!AG296:AG312),IF(SETUP!$G$27=2,'HIV-Key Info'!$E$71*SUM('EBS-H'!AK296:AK312),IF(SETUP!$G$27=1,'HIV-Key Info'!$E$71*SUM('EBS-H'!AO296:AO312),0)))),0))</f>
        <v>0</v>
      </c>
      <c r="AQ237" s="695"/>
      <c r="AR237" s="695">
        <f>IF(SETUP!$F$27="Upfront",'HIV-Key Info'!$E$71*SUM('EBS-H'!AY296:AY312),IF(SETUP!$F$27="At delivery", IF(SETUP!$G$27=4,'HIV-Key Info'!$E$71*SUM('EBS-H'!AG296:AG312),IF(SETUP!$G$27=3,'HIV-Key Info'!$E$71*SUM('EBS-H'!AK296:AK312),IF(SETUP!$G$27=2,'HIV-Key Info'!$E$71*SUM('EBS-H'!AO296:AO312),IF(SETUP!$G$27=1,'HIV-Key Info'!$E$71*SUM('EBS-H'!AU296:AU312),0)))),0))</f>
        <v>0</v>
      </c>
      <c r="AS237" s="695"/>
      <c r="AT237" s="695">
        <f>IF(SETUP!$F$27="Upfront",'HIV-Key Info'!$E$71*SUM('EBS-H'!BC296:BC312),IF(SETUP!$F$27="At delivery", IF(SETUP!$G$27=4,'HIV-Key Info'!$E$71*SUM('EBS-H'!AK296:AK312),IF(SETUP!$G$27=3,'HIV-Key Info'!$E$71*SUM('EBS-H'!AO296:AO312),IF(SETUP!$G$27=2,'HIV-Key Info'!$E$71*SUM('EBS-H'!AU296:AU312),IF(SETUP!$G$27=1,'HIV-Key Info'!$E$71*SUM('EBS-H'!AY296:AY312),0)))),0))</f>
        <v>0</v>
      </c>
      <c r="AU237" s="695"/>
      <c r="AV237" s="695">
        <f>IF(SETUP!$F$27="Upfront",'HIV-Key Info'!$E$71*SUM('EBS-H'!BG296:BG312),IF(SETUP!$F$27="At delivery", IF(SETUP!$G$27=4,'HIV-Key Info'!$E$71*SUM(SUM('EBS-H'!AO296:AO312),SUM('EBS-H'!AU296:AU312),SUM('EBS-H'!AY296:AY312),SUM('EBS-H'!BC296:BC312),SUM('EBS-H'!BG296:BG312)),IF(SETUP!$G$27=3,'HIV-Key Info'!$E$71*SUM(SUM('EBS-H'!AU296:AU312),SUM('EBS-H'!AY296:AY312),SUM('EBS-H'!BC296:BC312),SUM('EBS-H'!BG296:BG312)),IF(SETUP!$G$27=2,'HIV-Key Info'!$E$71*SUM(SUM('EBS-H'!AY296:AY312),SUM('EBS-H'!BC296:BC312),SUM('EBS-H'!BG296:BG312)),IF(SETUP!$G$27=1,'HIV-Key Info'!$E$71*SUM(SUM('EBS-H'!BC296:BC312),SUM('EBS-H'!BG296:BG312)),0)))),0))</f>
        <v>0</v>
      </c>
      <c r="AW237" s="695"/>
      <c r="AX237" s="1492">
        <f t="shared" si="26"/>
        <v>0</v>
      </c>
      <c r="AY237" s="1492"/>
      <c r="AZ237" s="698"/>
      <c r="BA237" s="699"/>
      <c r="BB237" s="697"/>
      <c r="BC237" s="697">
        <v>0</v>
      </c>
      <c r="BD237" s="697">
        <v>0</v>
      </c>
      <c r="BE237" s="697">
        <v>0</v>
      </c>
      <c r="BF237" s="697">
        <v>0</v>
      </c>
      <c r="BG237" s="697">
        <v>0</v>
      </c>
      <c r="BH237" s="697">
        <v>0</v>
      </c>
      <c r="BI237" s="697">
        <v>0</v>
      </c>
      <c r="BJ237" s="697">
        <v>0</v>
      </c>
      <c r="BK237" s="1492">
        <f t="shared" si="27"/>
        <v>0</v>
      </c>
      <c r="BL237" s="1492"/>
      <c r="BM237" s="1492">
        <f t="shared" si="28"/>
        <v>0</v>
      </c>
      <c r="BN237" s="1492">
        <f t="shared" si="29"/>
        <v>0</v>
      </c>
      <c r="BO237" s="697"/>
      <c r="BP237" s="697"/>
      <c r="BQ237" s="1495" t="s">
        <v>6938</v>
      </c>
      <c r="BR237" s="1495" t="s">
        <v>818</v>
      </c>
      <c r="BS237" s="1902" t="s">
        <v>790</v>
      </c>
      <c r="BT237" s="1907" t="s">
        <v>1956</v>
      </c>
    </row>
    <row r="238" spans="1:72" ht="13">
      <c r="A238" s="1545">
        <v>728</v>
      </c>
      <c r="B238" s="1546" t="s">
        <v>780</v>
      </c>
      <c r="C238" s="1546" t="s">
        <v>789</v>
      </c>
      <c r="D238" s="1547" t="s">
        <v>6881</v>
      </c>
      <c r="E238" s="690" t="s">
        <v>793</v>
      </c>
      <c r="F238" s="691"/>
      <c r="G238" s="692"/>
      <c r="H238" s="692"/>
      <c r="I238" s="692"/>
      <c r="J238" s="693"/>
      <c r="K238" s="693"/>
      <c r="L238" s="693"/>
      <c r="M238" s="694"/>
      <c r="N238" s="695"/>
      <c r="O238" s="696" t="s">
        <v>1569</v>
      </c>
      <c r="P238" s="695">
        <f>IF(SETUP!$F$27="Upfront",'HIV-Key Info'!$F$71*SUM('EBS-H'!K313:K317),0)</f>
        <v>0</v>
      </c>
      <c r="Q238" s="695" t="s">
        <v>1569</v>
      </c>
      <c r="R238" s="695">
        <f>IF(SETUP!$F$27="Upfront",'HIV-Key Info'!$F$71*SUM('EBS-H'!O313:O317),IF(SETUP!$F$27="At delivery", IF(SETUP!$G$27=1,'HIV-Key Info'!$F$71*SUM('EBS-H'!K313:K317),0),0))</f>
        <v>0</v>
      </c>
      <c r="S238" s="695" t="s">
        <v>1569</v>
      </c>
      <c r="T238" s="695">
        <f>IF(SETUP!$F$27="Upfront",'HIV-Key Info'!$F$71*SUM('EBS-H'!S313:S317),IF(SETUP!$F$27="At delivery", IF(SETUP!$G$27=2,'HIV-Key Info'!$F$71*SUM('EBS-H'!K313:K317),IF(SETUP!$G$27=1,'HIV-Key Info'!$F$71*SUM('EBS-H'!O313:O317),0)),0))</f>
        <v>0</v>
      </c>
      <c r="U238" s="695" t="s">
        <v>1569</v>
      </c>
      <c r="V238" s="695">
        <f>IF(SETUP!$F$27="Upfront",'HIV-Key Info'!$F$71*SUM('EBS-H'!W313:W317),IF(SETUP!$F$27="At delivery", IF(SETUP!$G$27=3,'HIV-Key Info'!$F$71*SUM('EBS-H'!K313:K317),IF(SETUP!$G$27=2,'HIV-Key Info'!$F$71*SUM('EBS-H'!O313:O317),IF(SETUP!$G$27=1,'HIV-Key Info'!$F$71*SUM('EBS-H'!S313:S317),0))),0))</f>
        <v>0</v>
      </c>
      <c r="W238" s="695"/>
      <c r="X238" s="1492">
        <f t="shared" si="24"/>
        <v>0</v>
      </c>
      <c r="Y238" s="1493"/>
      <c r="Z238" s="1494"/>
      <c r="AA238" s="699"/>
      <c r="AB238" s="695"/>
      <c r="AC238" s="695">
        <f>IF(SETUP!$F$27="Upfront",'HIV-Key Info'!$F$71*SUM('EBS-H'!AC313:AC317),IF(SETUP!$F$27="At delivery", IF(SETUP!$G$27=4,'HIV-Key Info'!$F$71*SUM('EBS-H'!K313:K317),IF(SETUP!$G$27=3,'HIV-Key Info'!$F$71*SUM('EBS-H'!O313:O317),IF(SETUP!$G$27=2,'HIV-Key Info'!$F$71*SUM('EBS-H'!S313:S317),IF(SETUP!$G$27=1,'HIV-Key Info'!$F$71*SUM('EBS-H'!W313:W317),0)))),0))</f>
        <v>0</v>
      </c>
      <c r="AD238" s="695"/>
      <c r="AE238" s="695">
        <f>IF(SETUP!$F$27="Upfront",'HIV-Key Info'!$F$71*SUM('EBS-H'!AG313:AG317),IF(SETUP!$F$27="At delivery", IF(SETUP!$G$27=4,'HIV-Key Info'!$F$71*SUM('EBS-H'!O313:O317),IF(SETUP!$G$27=3,'HIV-Key Info'!$F$71*SUM('EBS-H'!S313:S317),IF(SETUP!$G$27=2,'HIV-Key Info'!$F$71*SUM('EBS-H'!W313:W317),IF(SETUP!$G$27=1,'HIV-Key Info'!$F$71*SUM('EBS-H'!AC313:AC317),0)))),0))</f>
        <v>0</v>
      </c>
      <c r="AF238" s="695"/>
      <c r="AG238" s="695">
        <f>IF(SETUP!$F$27="Upfront",'HIV-Key Info'!$F$71*SUM('EBS-H'!AK313:AK317),IF(SETUP!$F$27="At delivery", IF(SETUP!$G$27=4,'HIV-Key Info'!$F$71*SUM('EBS-H'!S313:S317),IF(SETUP!$G$27=3,'HIV-Key Info'!$F$71*SUM('EBS-H'!W313:W317),IF(SETUP!$G$27=2,'HIV-Key Info'!$F$71*SUM('EBS-H'!AC313:AC317),IF(SETUP!$G$27=1,'HIV-Key Info'!$F$71*SUM('EBS-H'!AG313:AG317),0)))),0))</f>
        <v>0</v>
      </c>
      <c r="AH238" s="695"/>
      <c r="AI238" s="695">
        <f>IF(SETUP!$F$27="Upfront",'HIV-Key Info'!$F$71*SUM('EBS-H'!AO313:AO317),IF(SETUP!$F$27="At delivery", IF(SETUP!$G$27=4,'HIV-Key Info'!$F$71*SUM('EBS-H'!W313:W317),IF(SETUP!$G$27=3,'HIV-Key Info'!$F$71*SUM('EBS-H'!AC313:AC317),IF(SETUP!$G$27=2,'HIV-Key Info'!$F$71*SUM('EBS-H'!AG313:AG317),IF(SETUP!$G$27=1,'HIV-Key Info'!$F$71*SUM('EBS-H'!AK313:AK317),0)))),0))</f>
        <v>0</v>
      </c>
      <c r="AJ238" s="695"/>
      <c r="AK238" s="1492">
        <f t="shared" si="25"/>
        <v>0</v>
      </c>
      <c r="AL238" s="1493"/>
      <c r="AM238" s="1494"/>
      <c r="AN238" s="699"/>
      <c r="AO238" s="695"/>
      <c r="AP238" s="695">
        <f>IF(SETUP!$F$27="Upfront",'HIV-Key Info'!$F$71*SUM('EBS-H'!AU313:AU317),IF(SETUP!$F$27="At delivery", IF(SETUP!$G$27=4,'HIV-Key Info'!$F$71*SUM('EBS-H'!AC313:AC317),IF(SETUP!$G$27=3,'HIV-Key Info'!$F$71*SUM('EBS-H'!AG313:AG317),IF(SETUP!$G$27=2,'HIV-Key Info'!$F$71*SUM('EBS-H'!AK313:AK317),IF(SETUP!$G$27=1,'HIV-Key Info'!$F$71*SUM('EBS-H'!AO313:AO317),0)))),0))</f>
        <v>0</v>
      </c>
      <c r="AQ238" s="695"/>
      <c r="AR238" s="695">
        <f>IF(SETUP!$F$27="Upfront",'HIV-Key Info'!$F$71*SUM('EBS-H'!AY313:AY317),IF(SETUP!$F$27="At delivery", IF(SETUP!$G$27=4,'HIV-Key Info'!$F$71*SUM('EBS-H'!AG313:AG317),IF(SETUP!$G$27=3,'HIV-Key Info'!$F$71*SUM('EBS-H'!AK313:AK317),IF(SETUP!$G$27=2,'HIV-Key Info'!$F$71*SUM('EBS-H'!AO313:AO317),IF(SETUP!$G$27=1,'HIV-Key Info'!$F$71*SUM('EBS-H'!AU313:AU317),0)))),0))</f>
        <v>0</v>
      </c>
      <c r="AS238" s="695"/>
      <c r="AT238" s="695">
        <f>IF(SETUP!$F$27="Upfront",'HIV-Key Info'!$F$71*SUM('EBS-H'!BC313:BC317),IF(SETUP!$F$27="At delivery", IF(SETUP!$G$27=4,'HIV-Key Info'!$F$71*SUM('EBS-H'!AK313:AK317),IF(SETUP!$G$27=3,'HIV-Key Info'!$F$71*SUM('EBS-H'!AO313:AO317),IF(SETUP!$G$27=2,'HIV-Key Info'!$F$71*SUM('EBS-H'!AU313:AU317),IF(SETUP!$G$27=1,'HIV-Key Info'!$F$71*SUM('EBS-H'!AY313:AY317),0)))),0))</f>
        <v>0</v>
      </c>
      <c r="AU238" s="695"/>
      <c r="AV238" s="695">
        <f>IF(SETUP!$F$27="Upfront",'HIV-Key Info'!$F$71*SUM('EBS-H'!BG313:BG317),IF(SETUP!$F$27="At delivery", IF(SETUP!$G$27=4,'HIV-Key Info'!$F$71*SUM(SUM('EBS-H'!AO313:AO317),SUM('EBS-H'!AU313:AU317),SUM('EBS-H'!AY313:AY317),SUM('EBS-H'!BC313:BC317),SUM('EBS-H'!BG313:BG317)),IF(SETUP!$G$27=3,'HIV-Key Info'!$F$71*SUM(SUM('EBS-H'!AU313:AU317),SUM('EBS-H'!AY313:AY317),SUM('EBS-H'!BC313:BC317),SUM('EBS-H'!BG313:BG317)),IF(SETUP!$G$27=2,'HIV-Key Info'!$F$71*SUM(SUM('EBS-H'!AY313:AY317),SUM('EBS-H'!BC313:BC317),SUM('EBS-H'!BG313:BG317)),IF(SETUP!$G$27=1,'HIV-Key Info'!$F$71*SUM(SUM('EBS-H'!BC313:BC317),SUM('EBS-H'!BG313:BG317)),0)))),0))</f>
        <v>0</v>
      </c>
      <c r="AW238" s="695"/>
      <c r="AX238" s="1492">
        <f t="shared" si="26"/>
        <v>0</v>
      </c>
      <c r="AY238" s="1492"/>
      <c r="AZ238" s="698"/>
      <c r="BA238" s="699"/>
      <c r="BB238" s="697"/>
      <c r="BC238" s="697">
        <v>0</v>
      </c>
      <c r="BD238" s="697">
        <v>0</v>
      </c>
      <c r="BE238" s="697">
        <v>0</v>
      </c>
      <c r="BF238" s="697">
        <v>0</v>
      </c>
      <c r="BG238" s="697">
        <v>0</v>
      </c>
      <c r="BH238" s="697">
        <v>0</v>
      </c>
      <c r="BI238" s="697">
        <v>0</v>
      </c>
      <c r="BJ238" s="697">
        <v>0</v>
      </c>
      <c r="BK238" s="1492">
        <f t="shared" si="27"/>
        <v>0</v>
      </c>
      <c r="BL238" s="1492"/>
      <c r="BM238" s="1492">
        <f t="shared" si="28"/>
        <v>0</v>
      </c>
      <c r="BN238" s="1492">
        <f t="shared" si="29"/>
        <v>0</v>
      </c>
      <c r="BO238" s="697"/>
      <c r="BP238" s="697"/>
      <c r="BQ238" s="1495" t="s">
        <v>6938</v>
      </c>
      <c r="BR238" s="1495" t="s">
        <v>818</v>
      </c>
      <c r="BS238" s="1902" t="s">
        <v>790</v>
      </c>
      <c r="BT238" s="1907" t="s">
        <v>1957</v>
      </c>
    </row>
    <row r="239" spans="1:72" ht="13">
      <c r="A239" s="1545">
        <v>729</v>
      </c>
      <c r="B239" s="1546" t="s">
        <v>780</v>
      </c>
      <c r="C239" s="1546" t="s">
        <v>789</v>
      </c>
      <c r="D239" s="1547" t="s">
        <v>6881</v>
      </c>
      <c r="E239" s="690" t="s">
        <v>725</v>
      </c>
      <c r="F239" s="691"/>
      <c r="G239" s="692"/>
      <c r="H239" s="692"/>
      <c r="I239" s="692"/>
      <c r="J239" s="693"/>
      <c r="K239" s="693"/>
      <c r="L239" s="693"/>
      <c r="M239" s="694"/>
      <c r="N239" s="695"/>
      <c r="O239" s="696" t="s">
        <v>1569</v>
      </c>
      <c r="P239" s="695">
        <f>IF(SETUP!$F$28="Upfront",'HIV-Key Info'!$G$71*SUM('EBS-H'!K318:K322),0)</f>
        <v>0</v>
      </c>
      <c r="Q239" s="695" t="s">
        <v>1569</v>
      </c>
      <c r="R239" s="695">
        <f>IF(SETUP!$F$27="Upfront",'HIV-Key Info'!$F$71*SUM('EBS-H'!O318:O322),IF(SETUP!$F$27="At delivery", IF(SETUP!$G$27=1,'HIV-Key Info'!$F$71*SUM('EBS-H'!K318:K322),0),0))</f>
        <v>0</v>
      </c>
      <c r="S239" s="695" t="s">
        <v>1569</v>
      </c>
      <c r="T239" s="695">
        <f>IF(SETUP!$F$27="Upfront",'HIV-Key Info'!$F$71*SUM('EBS-H'!S318:S322),IF(SETUP!$F$27="At delivery", IF(SETUP!$G$27=2,'HIV-Key Info'!$F$71*SUM('EBS-H'!K318:K322),IF(SETUP!$G$27=1,'HIV-Key Info'!$F$71*SUM('EBS-H'!O318:O322),0)),0))</f>
        <v>0</v>
      </c>
      <c r="U239" s="695" t="s">
        <v>1569</v>
      </c>
      <c r="V239" s="695">
        <f>IF(SETUP!$F$27="Upfront",'HIV-Key Info'!$F$71*SUM('EBS-H'!W318:W322),IF(SETUP!$F$27="At delivery", IF(SETUP!$G$27=3,'HIV-Key Info'!$F$71*SUM('EBS-H'!K318:K322),IF(SETUP!$G$27=2,'HIV-Key Info'!$F$71*SUM('EBS-H'!O318:O322),IF(SETUP!$G$27=1,'HIV-Key Info'!$F$71*SUM('EBS-H'!S318:S322),0))),0))</f>
        <v>0</v>
      </c>
      <c r="W239" s="695"/>
      <c r="X239" s="1492">
        <f t="shared" si="24"/>
        <v>0</v>
      </c>
      <c r="Y239" s="1493"/>
      <c r="Z239" s="1494"/>
      <c r="AA239" s="699"/>
      <c r="AB239" s="695"/>
      <c r="AC239" s="695">
        <f>IF(SETUP!$F$27="Upfront",'HIV-Key Info'!$F$71*SUM('EBS-H'!AC318:AC322),IF(SETUP!$F$27="At delivery", IF(SETUP!$G$27=4,'HIV-Key Info'!$F$71*SUM('EBS-H'!K318:K322),IF(SETUP!$G$27=3,'HIV-Key Info'!$F$71*SUM('EBS-H'!O318:O322),IF(SETUP!$G$27=2,'HIV-Key Info'!$F$71*SUM('EBS-H'!S318:S322),IF(SETUP!$G$27=1,'HIV-Key Info'!$F$71*SUM('EBS-H'!W318:W322),0)))),0))</f>
        <v>0</v>
      </c>
      <c r="AD239" s="695"/>
      <c r="AE239" s="695">
        <f>IF(SETUP!$F$27="Upfront",'HIV-Key Info'!$F$71*SUM('EBS-H'!AG318:AG322),IF(SETUP!$F$27="At delivery", IF(SETUP!$G$27=4,'HIV-Key Info'!$F$71*SUM('EBS-H'!O318:O322),IF(SETUP!$G$27=3,'HIV-Key Info'!$F$71*SUM('EBS-H'!S318:S322),IF(SETUP!$G$27=2,'HIV-Key Info'!$F$71*SUM('EBS-H'!W318:W322),IF(SETUP!$G$27=1,'HIV-Key Info'!$F$71*SUM('EBS-H'!AC318:AC322),0)))),0))</f>
        <v>0</v>
      </c>
      <c r="AF239" s="695"/>
      <c r="AG239" s="695">
        <f>IF(SETUP!$F$27="Upfront",'HIV-Key Info'!$F$71*SUM('EBS-H'!AK318:AK322),IF(SETUP!$F$27="At delivery", IF(SETUP!$G$27=4,'HIV-Key Info'!$F$71*SUM('EBS-H'!S318:S322),IF(SETUP!$G$27=3,'HIV-Key Info'!$F$71*SUM('EBS-H'!W318:W322),IF(SETUP!$G$27=2,'HIV-Key Info'!$F$71*SUM('EBS-H'!AC318:AC322),IF(SETUP!$G$27=1,'HIV-Key Info'!$F$71*SUM('EBS-H'!AG318:AG322),0)))),0))</f>
        <v>0</v>
      </c>
      <c r="AH239" s="695"/>
      <c r="AI239" s="695">
        <f>IF(SETUP!$F$27="Upfront",'HIV-Key Info'!$F$71*SUM('EBS-H'!AO318:AO322),IF(SETUP!$F$27="At delivery", IF(SETUP!$G$27=4,'HIV-Key Info'!$F$71*SUM('EBS-H'!W318:W322),IF(SETUP!$G$27=3,'HIV-Key Info'!$F$71*SUM('EBS-H'!AC318:AC322),IF(SETUP!$G$27=2,'HIV-Key Info'!$F$71*SUM('EBS-H'!AG318:AG322),IF(SETUP!$G$27=1,'HIV-Key Info'!$F$71*SUM('EBS-H'!AK318:AK322),0)))),0))</f>
        <v>0</v>
      </c>
      <c r="AJ239" s="695"/>
      <c r="AK239" s="1492">
        <f t="shared" si="25"/>
        <v>0</v>
      </c>
      <c r="AL239" s="1493"/>
      <c r="AM239" s="1494"/>
      <c r="AN239" s="699"/>
      <c r="AO239" s="695"/>
      <c r="AP239" s="695">
        <f>IF(SETUP!$F$27="Upfront",'HIV-Key Info'!$F$71*SUM('EBS-H'!AU318:AU322),IF(SETUP!$F$27="At delivery", IF(SETUP!$G$27=4,'HIV-Key Info'!$F$71*SUM('EBS-H'!AC318:AC322),IF(SETUP!$G$27=3,'HIV-Key Info'!$F$71*SUM('EBS-H'!AG318:AG322),IF(SETUP!$G$27=2,'HIV-Key Info'!$F$71*SUM('EBS-H'!AK318:AK322),IF(SETUP!$G$27=1,'HIV-Key Info'!$F$71*SUM('EBS-H'!AO318:AO322),0)))),0))</f>
        <v>0</v>
      </c>
      <c r="AQ239" s="695"/>
      <c r="AR239" s="695">
        <f>IF(SETUP!$F$27="Upfront",'HIV-Key Info'!$F$71*SUM('EBS-H'!AY318:AY322),IF(SETUP!$F$27="At delivery", IF(SETUP!$G$27=4,'HIV-Key Info'!$F$71*SUM('EBS-H'!AG318:AG322),IF(SETUP!$G$27=3,'HIV-Key Info'!$F$71*SUM('EBS-H'!AK318:AK322),IF(SETUP!$G$27=2,'HIV-Key Info'!$F$71*SUM('EBS-H'!AO318:AO322),IF(SETUP!$G$27=1,'HIV-Key Info'!$F$71*SUM('EBS-H'!AU318:AU322),0)))),0))</f>
        <v>0</v>
      </c>
      <c r="AS239" s="695"/>
      <c r="AT239" s="695">
        <f>IF(SETUP!$F$27="Upfront",'HIV-Key Info'!$F$71*SUM('EBS-H'!BC318:BC322),IF(SETUP!$F$27="At delivery", IF(SETUP!$G$27=4,'HIV-Key Info'!$F$71*SUM('EBS-H'!AK318:AK322),IF(SETUP!$G$27=3,'HIV-Key Info'!$F$71*SUM('EBS-H'!AO318:AO322),IF(SETUP!$G$27=2,'HIV-Key Info'!$F$71*SUM('EBS-H'!AU318:AU322),IF(SETUP!$G$27=1,'HIV-Key Info'!$F$71*SUM('EBS-H'!AY318:AY322),0)))),0))</f>
        <v>0</v>
      </c>
      <c r="AU239" s="695"/>
      <c r="AV239" s="695">
        <f>IF(SETUP!$F$27="Upfront",'HIV-Key Info'!$F$71*SUM('EBS-H'!BG318:BG322),IF(SETUP!$F$27="At delivery", IF(SETUP!$G$27=4,'HIV-Key Info'!$F$71*SUM(SUM('EBS-H'!AO318:AO322),SUM('EBS-H'!AU318:AU322),SUM('EBS-H'!AY318:AY322),SUM('EBS-H'!BC318:BC322),SUM('EBS-H'!BG318:BG322)),IF(SETUP!$G$27=3,'HIV-Key Info'!$F$71*SUM(SUM('EBS-H'!AU318:AU322),SUM('EBS-H'!AY318:AY322),SUM('EBS-H'!BC318:BC322),SUM('EBS-H'!BG318:BG322)),IF(SETUP!$G$27=2,'HIV-Key Info'!$F$71*SUM(SUM('EBS-H'!AY318:AY322),SUM('EBS-H'!BC318:BC322),SUM('EBS-H'!BG318:BG322)),IF(SETUP!$G$27=1,'HIV-Key Info'!$F$71*SUM(SUM('EBS-H'!BC318:BC322),SUM('EBS-H'!BG318:BG322)),0)))),0))</f>
        <v>0</v>
      </c>
      <c r="AW239" s="695"/>
      <c r="AX239" s="1492">
        <f t="shared" si="26"/>
        <v>0</v>
      </c>
      <c r="AY239" s="1492"/>
      <c r="AZ239" s="698"/>
      <c r="BA239" s="699"/>
      <c r="BB239" s="697"/>
      <c r="BC239" s="697">
        <v>0</v>
      </c>
      <c r="BD239" s="697">
        <v>0</v>
      </c>
      <c r="BE239" s="697">
        <v>0</v>
      </c>
      <c r="BF239" s="697">
        <v>0</v>
      </c>
      <c r="BG239" s="697">
        <v>0</v>
      </c>
      <c r="BH239" s="697">
        <v>0</v>
      </c>
      <c r="BI239" s="697">
        <v>0</v>
      </c>
      <c r="BJ239" s="697">
        <v>0</v>
      </c>
      <c r="BK239" s="1492">
        <f t="shared" si="27"/>
        <v>0</v>
      </c>
      <c r="BL239" s="1492"/>
      <c r="BM239" s="1492">
        <f t="shared" si="28"/>
        <v>0</v>
      </c>
      <c r="BN239" s="1492">
        <f t="shared" si="29"/>
        <v>0</v>
      </c>
      <c r="BO239" s="697"/>
      <c r="BP239" s="697"/>
      <c r="BQ239" s="1495" t="s">
        <v>6938</v>
      </c>
      <c r="BR239" s="1495" t="s">
        <v>818</v>
      </c>
      <c r="BS239" s="1902" t="s">
        <v>790</v>
      </c>
      <c r="BT239" s="1907" t="s">
        <v>1958</v>
      </c>
    </row>
    <row r="240" spans="1:72" ht="13">
      <c r="A240" s="1545">
        <v>730</v>
      </c>
      <c r="B240" s="1546" t="s">
        <v>780</v>
      </c>
      <c r="C240" s="1546" t="s">
        <v>789</v>
      </c>
      <c r="D240" s="1547" t="s">
        <v>6882</v>
      </c>
      <c r="E240" s="690" t="s">
        <v>656</v>
      </c>
      <c r="F240" s="691"/>
      <c r="G240" s="692"/>
      <c r="H240" s="692"/>
      <c r="I240" s="692"/>
      <c r="J240" s="693"/>
      <c r="K240" s="693"/>
      <c r="L240" s="693"/>
      <c r="M240" s="694"/>
      <c r="N240" s="695"/>
      <c r="O240" s="696" t="s">
        <v>1569</v>
      </c>
      <c r="P240" s="695">
        <f>'HIV-Key Info'!$E$71*('HPM costs'!F27+'HPM costs'!F30)</f>
        <v>0</v>
      </c>
      <c r="Q240" s="695" t="s">
        <v>1569</v>
      </c>
      <c r="R240" s="695">
        <f>'HIV-Key Info'!$E$71*('HPM costs'!G27+'HPM costs'!G30)</f>
        <v>0</v>
      </c>
      <c r="S240" s="695" t="s">
        <v>1569</v>
      </c>
      <c r="T240" s="695">
        <f>'HIV-Key Info'!$E$71*('HPM costs'!H27+'HPM costs'!H30)</f>
        <v>0</v>
      </c>
      <c r="U240" s="695" t="s">
        <v>1569</v>
      </c>
      <c r="V240" s="695">
        <f>'HIV-Key Info'!$E$71*('HPM costs'!I27+'HPM costs'!I30)</f>
        <v>0</v>
      </c>
      <c r="W240" s="695"/>
      <c r="X240" s="1492">
        <f t="shared" si="24"/>
        <v>0</v>
      </c>
      <c r="Y240" s="1493"/>
      <c r="Z240" s="1494"/>
      <c r="AA240" s="699"/>
      <c r="AB240" s="695"/>
      <c r="AC240" s="695">
        <f>'HIV-Key Info'!$E$71*('HPM costs'!K27+'HPM costs'!K30)</f>
        <v>0</v>
      </c>
      <c r="AD240" s="695"/>
      <c r="AE240" s="695">
        <f>'HIV-Key Info'!$E$71*('HPM costs'!L27+'HPM costs'!L30)</f>
        <v>0</v>
      </c>
      <c r="AF240" s="695"/>
      <c r="AG240" s="695">
        <f>'HIV-Key Info'!$E$71*('HPM costs'!M27+'HPM costs'!M30)</f>
        <v>0</v>
      </c>
      <c r="AH240" s="695"/>
      <c r="AI240" s="695">
        <f>'HIV-Key Info'!$E$71*('HPM costs'!N27+'HPM costs'!N30)</f>
        <v>0</v>
      </c>
      <c r="AJ240" s="695"/>
      <c r="AK240" s="1492">
        <f t="shared" si="25"/>
        <v>0</v>
      </c>
      <c r="AL240" s="1493"/>
      <c r="AM240" s="1494"/>
      <c r="AN240" s="699"/>
      <c r="AO240" s="695"/>
      <c r="AP240" s="695">
        <f>'HIV-Key Info'!$E$71*('HPM costs'!P27+'HPM costs'!P30)</f>
        <v>0</v>
      </c>
      <c r="AQ240" s="695"/>
      <c r="AR240" s="695">
        <f>'HIV-Key Info'!$E$71*('HPM costs'!Q27+'HPM costs'!Q30)</f>
        <v>0</v>
      </c>
      <c r="AS240" s="695"/>
      <c r="AT240" s="695">
        <f>'HIV-Key Info'!$E$71*('HPM costs'!R27+'HPM costs'!R30)</f>
        <v>0</v>
      </c>
      <c r="AU240" s="695"/>
      <c r="AV240" s="695">
        <f>'HIV-Key Info'!$E$71*('HPM costs'!S27+'HPM costs'!S30)</f>
        <v>0</v>
      </c>
      <c r="AW240" s="695"/>
      <c r="AX240" s="1492">
        <f t="shared" si="26"/>
        <v>0</v>
      </c>
      <c r="AY240" s="1492"/>
      <c r="AZ240" s="698"/>
      <c r="BA240" s="699"/>
      <c r="BB240" s="697"/>
      <c r="BC240" s="697">
        <v>0</v>
      </c>
      <c r="BD240" s="697">
        <v>0</v>
      </c>
      <c r="BE240" s="697">
        <v>0</v>
      </c>
      <c r="BF240" s="697">
        <v>0</v>
      </c>
      <c r="BG240" s="697">
        <v>0</v>
      </c>
      <c r="BH240" s="697">
        <v>0</v>
      </c>
      <c r="BI240" s="697">
        <v>0</v>
      </c>
      <c r="BJ240" s="697">
        <v>0</v>
      </c>
      <c r="BK240" s="1492">
        <f t="shared" si="27"/>
        <v>0</v>
      </c>
      <c r="BL240" s="1492"/>
      <c r="BM240" s="1492">
        <f t="shared" si="28"/>
        <v>0</v>
      </c>
      <c r="BN240" s="1492">
        <f t="shared" si="29"/>
        <v>0</v>
      </c>
      <c r="BO240" s="697"/>
      <c r="BP240" s="697"/>
      <c r="BQ240" s="1495" t="s">
        <v>6938</v>
      </c>
      <c r="BR240" s="1495" t="s">
        <v>818</v>
      </c>
      <c r="BS240" s="1902" t="s">
        <v>655</v>
      </c>
      <c r="BT240" s="1907" t="s">
        <v>1959</v>
      </c>
    </row>
    <row r="241" spans="1:72" ht="13">
      <c r="A241" s="1545">
        <v>731</v>
      </c>
      <c r="B241" s="1546" t="s">
        <v>780</v>
      </c>
      <c r="C241" s="1546" t="s">
        <v>789</v>
      </c>
      <c r="D241" s="1547" t="s">
        <v>6882</v>
      </c>
      <c r="E241" s="690" t="s">
        <v>658</v>
      </c>
      <c r="F241" s="691"/>
      <c r="G241" s="692"/>
      <c r="H241" s="692"/>
      <c r="I241" s="692"/>
      <c r="J241" s="693"/>
      <c r="K241" s="693"/>
      <c r="L241" s="693"/>
      <c r="M241" s="694"/>
      <c r="N241" s="695"/>
      <c r="O241" s="696" t="s">
        <v>1569</v>
      </c>
      <c r="P241" s="695">
        <f>'HIV-Key Info'!$E$71*('HPM costs'!F113+'HPM costs'!F116)</f>
        <v>0</v>
      </c>
      <c r="Q241" s="695" t="s">
        <v>1569</v>
      </c>
      <c r="R241" s="695">
        <f>'HIV-Key Info'!$E$71*('HPM costs'!G113+'HPM costs'!G116)</f>
        <v>0</v>
      </c>
      <c r="S241" s="695" t="s">
        <v>1569</v>
      </c>
      <c r="T241" s="695">
        <f>'HIV-Key Info'!$E$71*('HPM costs'!H113+'HPM costs'!H116)</f>
        <v>0</v>
      </c>
      <c r="U241" s="695" t="s">
        <v>1569</v>
      </c>
      <c r="V241" s="695">
        <f>'HIV-Key Info'!$E$71*('HPM costs'!I113+'HPM costs'!I116)</f>
        <v>0</v>
      </c>
      <c r="W241" s="695"/>
      <c r="X241" s="1492">
        <f t="shared" si="24"/>
        <v>0</v>
      </c>
      <c r="Y241" s="1493"/>
      <c r="Z241" s="1494"/>
      <c r="AA241" s="699"/>
      <c r="AB241" s="695"/>
      <c r="AC241" s="695">
        <f>'HIV-Key Info'!$E$71*('HPM costs'!K113+'HPM costs'!K116)</f>
        <v>0</v>
      </c>
      <c r="AD241" s="695"/>
      <c r="AE241" s="695">
        <f>'HIV-Key Info'!$E$71*('HPM costs'!L113+'HPM costs'!L116)</f>
        <v>0</v>
      </c>
      <c r="AF241" s="695"/>
      <c r="AG241" s="695">
        <f>'HIV-Key Info'!$E$71*('HPM costs'!M113+'HPM costs'!M116)</f>
        <v>0</v>
      </c>
      <c r="AH241" s="695"/>
      <c r="AI241" s="695">
        <f>'HIV-Key Info'!$E$71*('HPM costs'!N113+'HPM costs'!N116)</f>
        <v>0</v>
      </c>
      <c r="AJ241" s="695"/>
      <c r="AK241" s="1492">
        <f t="shared" si="25"/>
        <v>0</v>
      </c>
      <c r="AL241" s="1493"/>
      <c r="AM241" s="1494"/>
      <c r="AN241" s="699"/>
      <c r="AO241" s="695"/>
      <c r="AP241" s="695">
        <f>'HIV-Key Info'!$E$71*('HPM costs'!P113+'HPM costs'!P116)</f>
        <v>0</v>
      </c>
      <c r="AQ241" s="695"/>
      <c r="AR241" s="695">
        <f>'HIV-Key Info'!$E$71*('HPM costs'!Q113+'HPM costs'!Q116)</f>
        <v>0</v>
      </c>
      <c r="AS241" s="695"/>
      <c r="AT241" s="695">
        <f>'HIV-Key Info'!$E$71*('HPM costs'!R113+'HPM costs'!R116)</f>
        <v>0</v>
      </c>
      <c r="AU241" s="695"/>
      <c r="AV241" s="695">
        <f>'HIV-Key Info'!$E$71*('HPM costs'!S113+'HPM costs'!S116)</f>
        <v>0</v>
      </c>
      <c r="AW241" s="695"/>
      <c r="AX241" s="1492">
        <f t="shared" si="26"/>
        <v>0</v>
      </c>
      <c r="AY241" s="1492"/>
      <c r="AZ241" s="698"/>
      <c r="BA241" s="699"/>
      <c r="BB241" s="697"/>
      <c r="BC241" s="697">
        <v>0</v>
      </c>
      <c r="BD241" s="697">
        <v>0</v>
      </c>
      <c r="BE241" s="697">
        <v>0</v>
      </c>
      <c r="BF241" s="697">
        <v>0</v>
      </c>
      <c r="BG241" s="697">
        <v>0</v>
      </c>
      <c r="BH241" s="697">
        <v>0</v>
      </c>
      <c r="BI241" s="697">
        <v>0</v>
      </c>
      <c r="BJ241" s="697">
        <v>0</v>
      </c>
      <c r="BK241" s="1492">
        <f t="shared" si="27"/>
        <v>0</v>
      </c>
      <c r="BL241" s="1492"/>
      <c r="BM241" s="1492">
        <f t="shared" si="28"/>
        <v>0</v>
      </c>
      <c r="BN241" s="1492">
        <f t="shared" si="29"/>
        <v>0</v>
      </c>
      <c r="BO241" s="697"/>
      <c r="BP241" s="697"/>
      <c r="BQ241" s="1495" t="s">
        <v>6938</v>
      </c>
      <c r="BR241" s="1495" t="s">
        <v>818</v>
      </c>
      <c r="BS241" s="1902" t="s">
        <v>655</v>
      </c>
      <c r="BT241" s="1907" t="s">
        <v>1960</v>
      </c>
    </row>
    <row r="242" spans="1:72" ht="13">
      <c r="A242" s="1545">
        <v>732</v>
      </c>
      <c r="B242" s="1546" t="s">
        <v>780</v>
      </c>
      <c r="C242" s="1546" t="s">
        <v>789</v>
      </c>
      <c r="D242" s="1547" t="s">
        <v>6882</v>
      </c>
      <c r="E242" s="690" t="s">
        <v>660</v>
      </c>
      <c r="F242" s="691"/>
      <c r="G242" s="692"/>
      <c r="H242" s="692"/>
      <c r="I242" s="692"/>
      <c r="J242" s="693"/>
      <c r="K242" s="693"/>
      <c r="L242" s="693"/>
      <c r="M242" s="694"/>
      <c r="N242" s="695"/>
      <c r="O242" s="696" t="s">
        <v>1569</v>
      </c>
      <c r="P242" s="695">
        <f>'HIV-Key Info'!$E$71*('HPM costs'!F373+'HPM costs'!F376)</f>
        <v>0</v>
      </c>
      <c r="Q242" s="695" t="s">
        <v>1569</v>
      </c>
      <c r="R242" s="695">
        <f>'HIV-Key Info'!$E$71*('HPM costs'!G373+'HPM costs'!G376)</f>
        <v>0</v>
      </c>
      <c r="S242" s="695" t="s">
        <v>1569</v>
      </c>
      <c r="T242" s="695">
        <f>'HIV-Key Info'!$E$71*('HPM costs'!H373+'HPM costs'!H376)</f>
        <v>0</v>
      </c>
      <c r="U242" s="695" t="s">
        <v>1569</v>
      </c>
      <c r="V242" s="695">
        <f>'HIV-Key Info'!$E$71*('HPM costs'!I373+'HPM costs'!I376)</f>
        <v>0</v>
      </c>
      <c r="W242" s="695"/>
      <c r="X242" s="1492">
        <f t="shared" si="24"/>
        <v>0</v>
      </c>
      <c r="Y242" s="1493"/>
      <c r="Z242" s="1494"/>
      <c r="AA242" s="699"/>
      <c r="AB242" s="695"/>
      <c r="AC242" s="695">
        <f>'HIV-Key Info'!$E$71*('HPM costs'!K373+'HPM costs'!K376)</f>
        <v>0</v>
      </c>
      <c r="AD242" s="695"/>
      <c r="AE242" s="695">
        <f>'HIV-Key Info'!$E$71*('HPM costs'!L373+'HPM costs'!L376)</f>
        <v>0</v>
      </c>
      <c r="AF242" s="695"/>
      <c r="AG242" s="695">
        <f>'HIV-Key Info'!$E$71*('HPM costs'!M373+'HPM costs'!M376)</f>
        <v>0</v>
      </c>
      <c r="AH242" s="695"/>
      <c r="AI242" s="695">
        <f>'HIV-Key Info'!$E$71*('HPM costs'!N373+'HPM costs'!N376)</f>
        <v>0</v>
      </c>
      <c r="AJ242" s="695"/>
      <c r="AK242" s="1492">
        <f t="shared" si="25"/>
        <v>0</v>
      </c>
      <c r="AL242" s="1493"/>
      <c r="AM242" s="1494"/>
      <c r="AN242" s="699"/>
      <c r="AO242" s="695"/>
      <c r="AP242" s="695">
        <f>'HIV-Key Info'!$E$71*('HPM costs'!P373+'HPM costs'!P376)</f>
        <v>0</v>
      </c>
      <c r="AQ242" s="695"/>
      <c r="AR242" s="695">
        <f>'HIV-Key Info'!$E$71*('HPM costs'!Q373+'HPM costs'!Q376)</f>
        <v>0</v>
      </c>
      <c r="AS242" s="695"/>
      <c r="AT242" s="695">
        <f>'HIV-Key Info'!$E$71*('HPM costs'!R373+'HPM costs'!R376)</f>
        <v>0</v>
      </c>
      <c r="AU242" s="695"/>
      <c r="AV242" s="695">
        <f>'HIV-Key Info'!$E$71*('HPM costs'!S373+'HPM costs'!S376)</f>
        <v>0</v>
      </c>
      <c r="AW242" s="695"/>
      <c r="AX242" s="1492">
        <f t="shared" si="26"/>
        <v>0</v>
      </c>
      <c r="AY242" s="1492"/>
      <c r="AZ242" s="698"/>
      <c r="BA242" s="699"/>
      <c r="BB242" s="697"/>
      <c r="BC242" s="697">
        <v>0</v>
      </c>
      <c r="BD242" s="697">
        <v>0</v>
      </c>
      <c r="BE242" s="697">
        <v>0</v>
      </c>
      <c r="BF242" s="697">
        <v>0</v>
      </c>
      <c r="BG242" s="697">
        <v>0</v>
      </c>
      <c r="BH242" s="697">
        <v>0</v>
      </c>
      <c r="BI242" s="697">
        <v>0</v>
      </c>
      <c r="BJ242" s="697">
        <v>0</v>
      </c>
      <c r="BK242" s="1492">
        <f t="shared" si="27"/>
        <v>0</v>
      </c>
      <c r="BL242" s="1492"/>
      <c r="BM242" s="1492">
        <f t="shared" si="28"/>
        <v>0</v>
      </c>
      <c r="BN242" s="1492">
        <f t="shared" si="29"/>
        <v>0</v>
      </c>
      <c r="BO242" s="697"/>
      <c r="BP242" s="697"/>
      <c r="BQ242" s="1495" t="s">
        <v>6938</v>
      </c>
      <c r="BR242" s="1495" t="s">
        <v>818</v>
      </c>
      <c r="BS242" s="1902" t="s">
        <v>655</v>
      </c>
      <c r="BT242" s="1907" t="s">
        <v>1961</v>
      </c>
    </row>
    <row r="243" spans="1:72" ht="13">
      <c r="A243" s="1545">
        <v>733</v>
      </c>
      <c r="B243" s="1546" t="s">
        <v>780</v>
      </c>
      <c r="C243" s="1546" t="s">
        <v>789</v>
      </c>
      <c r="D243" s="1547" t="s">
        <v>6882</v>
      </c>
      <c r="E243" s="690" t="s">
        <v>662</v>
      </c>
      <c r="F243" s="691"/>
      <c r="G243" s="692"/>
      <c r="H243" s="692"/>
      <c r="I243" s="692"/>
      <c r="J243" s="693"/>
      <c r="K243" s="693"/>
      <c r="L243" s="693"/>
      <c r="M243" s="694"/>
      <c r="N243" s="695"/>
      <c r="O243" s="696" t="s">
        <v>1569</v>
      </c>
      <c r="P243" s="695">
        <f>'HIV-Key Info'!$E$71*('HPM costs'!F459+'HPM costs'!F462)</f>
        <v>0</v>
      </c>
      <c r="Q243" s="695" t="s">
        <v>1569</v>
      </c>
      <c r="R243" s="695">
        <f>'HIV-Key Info'!$E$71*('HPM costs'!G459+'HPM costs'!G462)</f>
        <v>0</v>
      </c>
      <c r="S243" s="695" t="s">
        <v>1569</v>
      </c>
      <c r="T243" s="695">
        <f>'HIV-Key Info'!$E$71*('HPM costs'!H459+'HPM costs'!H462)</f>
        <v>0</v>
      </c>
      <c r="U243" s="695" t="s">
        <v>1569</v>
      </c>
      <c r="V243" s="695">
        <f>'HIV-Key Info'!$E$71*('HPM costs'!I459+'HPM costs'!I462)</f>
        <v>0</v>
      </c>
      <c r="W243" s="695"/>
      <c r="X243" s="1492">
        <f t="shared" si="24"/>
        <v>0</v>
      </c>
      <c r="Y243" s="1493"/>
      <c r="Z243" s="1494"/>
      <c r="AA243" s="699"/>
      <c r="AB243" s="695"/>
      <c r="AC243" s="695">
        <f>'HIV-Key Info'!$E$71*('HPM costs'!K459+'HPM costs'!K462)</f>
        <v>0</v>
      </c>
      <c r="AD243" s="695"/>
      <c r="AE243" s="695">
        <f>'HIV-Key Info'!$E$71*('HPM costs'!L459+'HPM costs'!L462)</f>
        <v>0</v>
      </c>
      <c r="AF243" s="695"/>
      <c r="AG243" s="695">
        <f>'HIV-Key Info'!$E$71*('HPM costs'!M459+'HPM costs'!M462)</f>
        <v>0</v>
      </c>
      <c r="AH243" s="695"/>
      <c r="AI243" s="695">
        <f>'HIV-Key Info'!$E$71*('HPM costs'!N459+'HPM costs'!N462)</f>
        <v>0</v>
      </c>
      <c r="AJ243" s="695"/>
      <c r="AK243" s="1492">
        <f t="shared" si="25"/>
        <v>0</v>
      </c>
      <c r="AL243" s="1493"/>
      <c r="AM243" s="1494"/>
      <c r="AN243" s="699"/>
      <c r="AO243" s="695"/>
      <c r="AP243" s="695">
        <f>'HIV-Key Info'!$E$71*('HPM costs'!P459+'HPM costs'!P462)</f>
        <v>0</v>
      </c>
      <c r="AQ243" s="695"/>
      <c r="AR243" s="695">
        <f>'HIV-Key Info'!$E$71*('HPM costs'!Q459+'HPM costs'!Q462)</f>
        <v>0</v>
      </c>
      <c r="AS243" s="695"/>
      <c r="AT243" s="695">
        <f>'HIV-Key Info'!$E$71*('HPM costs'!R459+'HPM costs'!R462)</f>
        <v>0</v>
      </c>
      <c r="AU243" s="695"/>
      <c r="AV243" s="695">
        <f>'HIV-Key Info'!$E$71*('HPM costs'!S459+'HPM costs'!S462)</f>
        <v>0</v>
      </c>
      <c r="AW243" s="695"/>
      <c r="AX243" s="1492">
        <f t="shared" si="26"/>
        <v>0</v>
      </c>
      <c r="AY243" s="1492"/>
      <c r="AZ243" s="698"/>
      <c r="BA243" s="699"/>
      <c r="BB243" s="697"/>
      <c r="BC243" s="697">
        <v>0</v>
      </c>
      <c r="BD243" s="697">
        <v>0</v>
      </c>
      <c r="BE243" s="697">
        <v>0</v>
      </c>
      <c r="BF243" s="697">
        <v>0</v>
      </c>
      <c r="BG243" s="697">
        <v>0</v>
      </c>
      <c r="BH243" s="697">
        <v>0</v>
      </c>
      <c r="BI243" s="697">
        <v>0</v>
      </c>
      <c r="BJ243" s="697">
        <v>0</v>
      </c>
      <c r="BK243" s="1492">
        <f t="shared" si="27"/>
        <v>0</v>
      </c>
      <c r="BL243" s="1492"/>
      <c r="BM243" s="1492">
        <f t="shared" si="28"/>
        <v>0</v>
      </c>
      <c r="BN243" s="1492">
        <f t="shared" si="29"/>
        <v>0</v>
      </c>
      <c r="BO243" s="697"/>
      <c r="BP243" s="697"/>
      <c r="BQ243" s="1495" t="s">
        <v>6938</v>
      </c>
      <c r="BR243" s="1495" t="s">
        <v>818</v>
      </c>
      <c r="BS243" s="1902" t="s">
        <v>655</v>
      </c>
      <c r="BT243" s="1907" t="s">
        <v>1962</v>
      </c>
    </row>
    <row r="244" spans="1:72" ht="13">
      <c r="A244" s="1545">
        <v>734</v>
      </c>
      <c r="B244" s="1546" t="s">
        <v>780</v>
      </c>
      <c r="C244" s="1546" t="s">
        <v>789</v>
      </c>
      <c r="D244" s="1547" t="s">
        <v>6882</v>
      </c>
      <c r="E244" s="690" t="s">
        <v>664</v>
      </c>
      <c r="F244" s="691"/>
      <c r="G244" s="692"/>
      <c r="H244" s="692"/>
      <c r="I244" s="692"/>
      <c r="J244" s="693"/>
      <c r="K244" s="693"/>
      <c r="L244" s="693"/>
      <c r="M244" s="694"/>
      <c r="N244" s="695"/>
      <c r="O244" s="696" t="s">
        <v>1569</v>
      </c>
      <c r="P244" s="695">
        <f>'HIV-Key Info'!$E$71*('HPM costs'!F199+'HPM costs'!F202+'HPM costs'!F545+'HPM costs'!F548)</f>
        <v>0</v>
      </c>
      <c r="Q244" s="695" t="s">
        <v>1569</v>
      </c>
      <c r="R244" s="695">
        <f>'HIV-Key Info'!$E$71*('HPM costs'!G199+'HPM costs'!G202+'HPM costs'!G545+'HPM costs'!G548)</f>
        <v>0</v>
      </c>
      <c r="S244" s="695" t="s">
        <v>1569</v>
      </c>
      <c r="T244" s="695">
        <f>'HIV-Key Info'!$E$71*('HPM costs'!H199+'HPM costs'!H202+'HPM costs'!H545+'HPM costs'!H548)</f>
        <v>0</v>
      </c>
      <c r="U244" s="695" t="s">
        <v>1569</v>
      </c>
      <c r="V244" s="695">
        <f>'HIV-Key Info'!$E$71*('HPM costs'!I199+'HPM costs'!I202+'HPM costs'!I545+'HPM costs'!I548)</f>
        <v>0</v>
      </c>
      <c r="W244" s="695"/>
      <c r="X244" s="1492">
        <f t="shared" si="24"/>
        <v>0</v>
      </c>
      <c r="Y244" s="1493"/>
      <c r="Z244" s="1494"/>
      <c r="AA244" s="699"/>
      <c r="AB244" s="695"/>
      <c r="AC244" s="695">
        <f>'HIV-Key Info'!$E$71*('HPM costs'!K199+'HPM costs'!K202+'HPM costs'!K545+'HPM costs'!K548)</f>
        <v>0</v>
      </c>
      <c r="AD244" s="695"/>
      <c r="AE244" s="695">
        <f>'HIV-Key Info'!$E$71*('HPM costs'!L199+'HPM costs'!L202+'HPM costs'!L545+'HPM costs'!L548)</f>
        <v>0</v>
      </c>
      <c r="AF244" s="695"/>
      <c r="AG244" s="695">
        <f>'HIV-Key Info'!$E$71*('HPM costs'!M199+'HPM costs'!M202+'HPM costs'!M545+'HPM costs'!M548)</f>
        <v>0</v>
      </c>
      <c r="AH244" s="695"/>
      <c r="AI244" s="695">
        <f>'HIV-Key Info'!$E$71*('HPM costs'!N199+'HPM costs'!N202+'HPM costs'!N545+'HPM costs'!N548)</f>
        <v>0</v>
      </c>
      <c r="AJ244" s="695"/>
      <c r="AK244" s="1492">
        <f t="shared" si="25"/>
        <v>0</v>
      </c>
      <c r="AL244" s="1493"/>
      <c r="AM244" s="1494"/>
      <c r="AN244" s="699"/>
      <c r="AO244" s="695"/>
      <c r="AP244" s="695">
        <f>'HIV-Key Info'!$E$71*('HPM costs'!P199+'HPM costs'!P202+'HPM costs'!P545+'HPM costs'!P548)</f>
        <v>0</v>
      </c>
      <c r="AQ244" s="695"/>
      <c r="AR244" s="695">
        <f>'HIV-Key Info'!$E$71*('HPM costs'!Q199+'HPM costs'!Q202+'HPM costs'!Q545+'HPM costs'!Q548)</f>
        <v>0</v>
      </c>
      <c r="AS244" s="695"/>
      <c r="AT244" s="695">
        <f>'HIV-Key Info'!$E$71*('HPM costs'!R199+'HPM costs'!R202+'HPM costs'!R545+'HPM costs'!R548)</f>
        <v>0</v>
      </c>
      <c r="AU244" s="695"/>
      <c r="AV244" s="695">
        <f>'HIV-Key Info'!$E$71*('HPM costs'!S199+'HPM costs'!S202+'HPM costs'!S545+'HPM costs'!S548)</f>
        <v>0</v>
      </c>
      <c r="AW244" s="695"/>
      <c r="AX244" s="1492">
        <f t="shared" si="26"/>
        <v>0</v>
      </c>
      <c r="AY244" s="1492"/>
      <c r="AZ244" s="698"/>
      <c r="BA244" s="699"/>
      <c r="BB244" s="697"/>
      <c r="BC244" s="697">
        <v>0</v>
      </c>
      <c r="BD244" s="697">
        <v>0</v>
      </c>
      <c r="BE244" s="697">
        <v>0</v>
      </c>
      <c r="BF244" s="697">
        <v>0</v>
      </c>
      <c r="BG244" s="697">
        <v>0</v>
      </c>
      <c r="BH244" s="697">
        <v>0</v>
      </c>
      <c r="BI244" s="697">
        <v>0</v>
      </c>
      <c r="BJ244" s="697">
        <v>0</v>
      </c>
      <c r="BK244" s="1492">
        <f t="shared" si="27"/>
        <v>0</v>
      </c>
      <c r="BL244" s="1492"/>
      <c r="BM244" s="1492">
        <f t="shared" si="28"/>
        <v>0</v>
      </c>
      <c r="BN244" s="1492">
        <f t="shared" si="29"/>
        <v>0</v>
      </c>
      <c r="BO244" s="697"/>
      <c r="BP244" s="697"/>
      <c r="BQ244" s="1495" t="s">
        <v>6938</v>
      </c>
      <c r="BR244" s="1495" t="s">
        <v>818</v>
      </c>
      <c r="BS244" s="1902" t="s">
        <v>655</v>
      </c>
      <c r="BT244" s="1907" t="s">
        <v>1963</v>
      </c>
    </row>
    <row r="245" spans="1:72" ht="13">
      <c r="A245" s="1545">
        <v>735</v>
      </c>
      <c r="B245" s="1546" t="s">
        <v>780</v>
      </c>
      <c r="C245" s="1546" t="s">
        <v>789</v>
      </c>
      <c r="D245" s="1547" t="s">
        <v>6882</v>
      </c>
      <c r="E245" s="690" t="s">
        <v>666</v>
      </c>
      <c r="F245" s="691"/>
      <c r="G245" s="692"/>
      <c r="H245" s="692"/>
      <c r="I245" s="692"/>
      <c r="J245" s="693"/>
      <c r="K245" s="693"/>
      <c r="L245" s="693"/>
      <c r="M245" s="694"/>
      <c r="N245" s="695"/>
      <c r="O245" s="696" t="s">
        <v>1569</v>
      </c>
      <c r="P245" s="695">
        <f>'HIV-Key Info'!$E$71*('HPM costs'!F285+'HPM costs'!F288)</f>
        <v>0</v>
      </c>
      <c r="Q245" s="695" t="s">
        <v>1569</v>
      </c>
      <c r="R245" s="695">
        <f>'HIV-Key Info'!$E$71*('HPM costs'!G285+'HPM costs'!G288)</f>
        <v>0</v>
      </c>
      <c r="S245" s="695" t="s">
        <v>1569</v>
      </c>
      <c r="T245" s="695">
        <f>'HIV-Key Info'!$E$71*('HPM costs'!H285+'HPM costs'!H288)</f>
        <v>0</v>
      </c>
      <c r="U245" s="695" t="s">
        <v>1569</v>
      </c>
      <c r="V245" s="695">
        <f>'HIV-Key Info'!$E$71*('HPM costs'!I285+'HPM costs'!I288)</f>
        <v>0</v>
      </c>
      <c r="W245" s="695"/>
      <c r="X245" s="1492">
        <f t="shared" si="24"/>
        <v>0</v>
      </c>
      <c r="Y245" s="1493"/>
      <c r="Z245" s="1494"/>
      <c r="AA245" s="699"/>
      <c r="AB245" s="695"/>
      <c r="AC245" s="695">
        <f>'HIV-Key Info'!$E$71*('HPM costs'!K285+'HPM costs'!K288)</f>
        <v>0</v>
      </c>
      <c r="AD245" s="695"/>
      <c r="AE245" s="695">
        <f>'HIV-Key Info'!$E$71*('HPM costs'!L285+'HPM costs'!L288)</f>
        <v>0</v>
      </c>
      <c r="AF245" s="695"/>
      <c r="AG245" s="695">
        <f>'HIV-Key Info'!$E$71*('HPM costs'!M285+'HPM costs'!M288)</f>
        <v>0</v>
      </c>
      <c r="AH245" s="695"/>
      <c r="AI245" s="695">
        <f>'HIV-Key Info'!$E$71*('HPM costs'!N285+'HPM costs'!N288)</f>
        <v>0</v>
      </c>
      <c r="AJ245" s="695"/>
      <c r="AK245" s="1492">
        <f t="shared" si="25"/>
        <v>0</v>
      </c>
      <c r="AL245" s="1493"/>
      <c r="AM245" s="1494"/>
      <c r="AN245" s="699"/>
      <c r="AO245" s="695"/>
      <c r="AP245" s="695">
        <f>'HIV-Key Info'!$E$71*('HPM costs'!P285+'HPM costs'!P288)</f>
        <v>0</v>
      </c>
      <c r="AQ245" s="695"/>
      <c r="AR245" s="695">
        <f>'HIV-Key Info'!$E$71*('HPM costs'!Q285+'HPM costs'!Q288)</f>
        <v>0</v>
      </c>
      <c r="AS245" s="695"/>
      <c r="AT245" s="695">
        <f>'HIV-Key Info'!$E$71*('HPM costs'!R285+'HPM costs'!R288)</f>
        <v>0</v>
      </c>
      <c r="AU245" s="695"/>
      <c r="AV245" s="695">
        <f>'HIV-Key Info'!$E$71*('HPM costs'!S285+'HPM costs'!S288)</f>
        <v>0</v>
      </c>
      <c r="AW245" s="695"/>
      <c r="AX245" s="1492">
        <f t="shared" si="26"/>
        <v>0</v>
      </c>
      <c r="AY245" s="1492"/>
      <c r="AZ245" s="698"/>
      <c r="BA245" s="699"/>
      <c r="BB245" s="697"/>
      <c r="BC245" s="697">
        <v>0</v>
      </c>
      <c r="BD245" s="697">
        <v>0</v>
      </c>
      <c r="BE245" s="697">
        <v>0</v>
      </c>
      <c r="BF245" s="697">
        <v>0</v>
      </c>
      <c r="BG245" s="697">
        <v>0</v>
      </c>
      <c r="BH245" s="697">
        <v>0</v>
      </c>
      <c r="BI245" s="697">
        <v>0</v>
      </c>
      <c r="BJ245" s="697">
        <v>0</v>
      </c>
      <c r="BK245" s="1492">
        <f t="shared" si="27"/>
        <v>0</v>
      </c>
      <c r="BL245" s="1492"/>
      <c r="BM245" s="1492">
        <f t="shared" si="28"/>
        <v>0</v>
      </c>
      <c r="BN245" s="1492">
        <f t="shared" si="29"/>
        <v>0</v>
      </c>
      <c r="BO245" s="697"/>
      <c r="BP245" s="697"/>
      <c r="BQ245" s="1495" t="s">
        <v>6938</v>
      </c>
      <c r="BR245" s="1495" t="s">
        <v>818</v>
      </c>
      <c r="BS245" s="1902" t="s">
        <v>655</v>
      </c>
      <c r="BT245" s="1907" t="s">
        <v>1964</v>
      </c>
    </row>
    <row r="246" spans="1:72" ht="13">
      <c r="A246" s="1545">
        <v>736</v>
      </c>
      <c r="B246" s="1546" t="s">
        <v>780</v>
      </c>
      <c r="C246" s="1546" t="s">
        <v>789</v>
      </c>
      <c r="D246" s="1547" t="s">
        <v>6882</v>
      </c>
      <c r="E246" s="690" t="s">
        <v>668</v>
      </c>
      <c r="F246" s="691"/>
      <c r="G246" s="692"/>
      <c r="H246" s="692"/>
      <c r="I246" s="692"/>
      <c r="J246" s="693"/>
      <c r="K246" s="693"/>
      <c r="L246" s="693"/>
      <c r="M246" s="694"/>
      <c r="N246" s="695"/>
      <c r="O246" s="696" t="s">
        <v>1569</v>
      </c>
      <c r="P246" s="695">
        <f>'HIV-Key Info'!$E$71*('HPM costs'!F630+'HPM costs'!F633)</f>
        <v>0</v>
      </c>
      <c r="Q246" s="695" t="s">
        <v>1569</v>
      </c>
      <c r="R246" s="695">
        <f>'HIV-Key Info'!$E$71*('HPM costs'!G630+'HPM costs'!G633)</f>
        <v>0</v>
      </c>
      <c r="S246" s="695" t="s">
        <v>1569</v>
      </c>
      <c r="T246" s="695">
        <f>'HIV-Key Info'!$E$71*('HPM costs'!H630+'HPM costs'!H633)</f>
        <v>0</v>
      </c>
      <c r="U246" s="695" t="s">
        <v>1569</v>
      </c>
      <c r="V246" s="695">
        <f>'HIV-Key Info'!$E$71*('HPM costs'!I630+'HPM costs'!I633)</f>
        <v>0</v>
      </c>
      <c r="W246" s="695"/>
      <c r="X246" s="1492">
        <f t="shared" si="24"/>
        <v>0</v>
      </c>
      <c r="Y246" s="1493"/>
      <c r="Z246" s="1494"/>
      <c r="AA246" s="699"/>
      <c r="AB246" s="695"/>
      <c r="AC246" s="695">
        <f>'HIV-Key Info'!$E$71*('HPM costs'!K630+'HPM costs'!K633)</f>
        <v>0</v>
      </c>
      <c r="AD246" s="695"/>
      <c r="AE246" s="695">
        <f>'HIV-Key Info'!$E$71*('HPM costs'!L630+'HPM costs'!L633)</f>
        <v>0</v>
      </c>
      <c r="AF246" s="695"/>
      <c r="AG246" s="695">
        <f>'HIV-Key Info'!$E$71*('HPM costs'!M630+'HPM costs'!M633)</f>
        <v>0</v>
      </c>
      <c r="AH246" s="695"/>
      <c r="AI246" s="695">
        <f>'HIV-Key Info'!$E$71*('HPM costs'!N630+'HPM costs'!N633)</f>
        <v>0</v>
      </c>
      <c r="AJ246" s="695"/>
      <c r="AK246" s="1492">
        <f t="shared" si="25"/>
        <v>0</v>
      </c>
      <c r="AL246" s="1493"/>
      <c r="AM246" s="1494"/>
      <c r="AN246" s="699"/>
      <c r="AO246" s="695"/>
      <c r="AP246" s="695">
        <f>'HIV-Key Info'!$E$71*('HPM costs'!P630+'HPM costs'!P633)</f>
        <v>0</v>
      </c>
      <c r="AQ246" s="695"/>
      <c r="AR246" s="695">
        <f>'HIV-Key Info'!$E$71*('HPM costs'!Q630+'HPM costs'!Q633)</f>
        <v>0</v>
      </c>
      <c r="AS246" s="695"/>
      <c r="AT246" s="695">
        <f>'HIV-Key Info'!$E$71*('HPM costs'!R630+'HPM costs'!R633)</f>
        <v>0</v>
      </c>
      <c r="AU246" s="695"/>
      <c r="AV246" s="695">
        <f>'HIV-Key Info'!$E$71*('HPM costs'!S630+'HPM costs'!S633)</f>
        <v>0</v>
      </c>
      <c r="AW246" s="695"/>
      <c r="AX246" s="1492">
        <f t="shared" si="26"/>
        <v>0</v>
      </c>
      <c r="AY246" s="1492"/>
      <c r="AZ246" s="698"/>
      <c r="BA246" s="699"/>
      <c r="BB246" s="697"/>
      <c r="BC246" s="697">
        <v>0</v>
      </c>
      <c r="BD246" s="697">
        <v>0</v>
      </c>
      <c r="BE246" s="697">
        <v>0</v>
      </c>
      <c r="BF246" s="697">
        <v>0</v>
      </c>
      <c r="BG246" s="697">
        <v>0</v>
      </c>
      <c r="BH246" s="697">
        <v>0</v>
      </c>
      <c r="BI246" s="697">
        <v>0</v>
      </c>
      <c r="BJ246" s="697">
        <v>0</v>
      </c>
      <c r="BK246" s="1492">
        <f t="shared" si="27"/>
        <v>0</v>
      </c>
      <c r="BL246" s="1492"/>
      <c r="BM246" s="1492">
        <f t="shared" si="28"/>
        <v>0</v>
      </c>
      <c r="BN246" s="1492">
        <f t="shared" si="29"/>
        <v>0</v>
      </c>
      <c r="BO246" s="697"/>
      <c r="BP246" s="697"/>
      <c r="BQ246" s="1495" t="s">
        <v>6938</v>
      </c>
      <c r="BR246" s="1495" t="s">
        <v>818</v>
      </c>
      <c r="BS246" s="1902" t="s">
        <v>655</v>
      </c>
      <c r="BT246" s="1907" t="s">
        <v>1965</v>
      </c>
    </row>
    <row r="247" spans="1:72" ht="13">
      <c r="A247" s="1545">
        <v>769</v>
      </c>
      <c r="B247" s="1546" t="s">
        <v>780</v>
      </c>
      <c r="C247" s="1546" t="s">
        <v>789</v>
      </c>
      <c r="D247" s="1547" t="s">
        <v>6883</v>
      </c>
      <c r="E247" s="690" t="s">
        <v>791</v>
      </c>
      <c r="F247" s="691"/>
      <c r="G247" s="692"/>
      <c r="H247" s="692"/>
      <c r="I247" s="692"/>
      <c r="J247" s="693"/>
      <c r="K247" s="693"/>
      <c r="L247" s="693"/>
      <c r="M247" s="694"/>
      <c r="N247" s="695"/>
      <c r="O247" s="696" t="s">
        <v>1569</v>
      </c>
      <c r="P247" s="695">
        <f>IF(SETUP!$F$27="Upfront",'HIV-Key Info'!$E$73*SUM('EBS-H'!K296:K312),0)</f>
        <v>0</v>
      </c>
      <c r="Q247" s="695" t="s">
        <v>1569</v>
      </c>
      <c r="R247" s="695">
        <f>IF(SETUP!$F$27="Upfront",'HIV-Key Info'!$E$73*SUM('EBS-H'!O296:O312),IF(SETUP!$F$27="At delivery", IF(SETUP!$G$27=1,'HIV-Key Info'!$E$73*SUM('EBS-H'!K296:K312),0),0))</f>
        <v>0</v>
      </c>
      <c r="S247" s="695" t="s">
        <v>1569</v>
      </c>
      <c r="T247" s="695">
        <f>IF(SETUP!$F$27="Upfront",'HIV-Key Info'!$E$73*SUM('EBS-H'!S296:S312),IF(SETUP!$F$27="At delivery", IF(SETUP!$G$27=2,'HIV-Key Info'!$E$73*SUM('EBS-H'!K296:K312),IF(SETUP!$G$27=1,'HIV-Key Info'!$E$73*SUM('EBS-H'!O296:O312),0)),0))</f>
        <v>0</v>
      </c>
      <c r="U247" s="695" t="s">
        <v>1569</v>
      </c>
      <c r="V247" s="695">
        <f>IF(SETUP!$F$27="Upfront",'HIV-Key Info'!$E$73*SUM('EBS-H'!W296:W312),IF(SETUP!$F$27="At delivery", IF(SETUP!$G$27=3,'HIV-Key Info'!$E$73*SUM('EBS-H'!K296:K312),IF(SETUP!$G$27=2,'HIV-Key Info'!$E$73*SUM('EBS-H'!O296:O312),IF(SETUP!$G$27=1,'HIV-Key Info'!$E$73*SUM('EBS-H'!S296:S312),0))),0))</f>
        <v>0</v>
      </c>
      <c r="W247" s="695"/>
      <c r="X247" s="1492">
        <f t="shared" si="24"/>
        <v>0</v>
      </c>
      <c r="Y247" s="1493"/>
      <c r="Z247" s="1494"/>
      <c r="AA247" s="699"/>
      <c r="AB247" s="695"/>
      <c r="AC247" s="695">
        <f>IF(SETUP!$F$27="Upfront",'HIV-Key Info'!$E$73*SUM('EBS-H'!AC296:AC312),IF(SETUP!$F$27="At delivery", IF(SETUP!$G$27=4,'HIV-Key Info'!$E$73*SUM('EBS-H'!K296:K312),IF(SETUP!$G$27=3,'HIV-Key Info'!$E$73*SUM('EBS-H'!O296:O312),IF(SETUP!$G$27=2,'HIV-Key Info'!$E$73*SUM('EBS-H'!S296:S312),IF(SETUP!$G$27=1,'HIV-Key Info'!$E$73*SUM('EBS-H'!W296:W312),0)))),0))</f>
        <v>0</v>
      </c>
      <c r="AD247" s="695"/>
      <c r="AE247" s="695">
        <f>IF(SETUP!$F$27="Upfront",'HIV-Key Info'!$E$73*SUM('EBS-H'!AG296:AG312),IF(SETUP!$F$27="At delivery", IF(SETUP!$G$27=4,'HIV-Key Info'!$E$73*SUM('EBS-H'!O296:O312),IF(SETUP!$G$27=3,'HIV-Key Info'!$E$73*SUM('EBS-H'!S296:S312),IF(SETUP!$G$27=2,'HIV-Key Info'!$E$73*SUM('EBS-H'!W296:W312),IF(SETUP!$G$27=1,'HIV-Key Info'!$E$73*SUM('EBS-H'!AC296:AC312),0)))),0))</f>
        <v>0</v>
      </c>
      <c r="AF247" s="695"/>
      <c r="AG247" s="695">
        <f>IF(SETUP!$F$27="Upfront",'HIV-Key Info'!$E$73*SUM('EBS-H'!AK296:AK312),IF(SETUP!$F$27="At delivery", IF(SETUP!$G$27=4,'HIV-Key Info'!$E$73*SUM('EBS-H'!S296:S312),IF(SETUP!$G$27=3,'HIV-Key Info'!$E$73*SUM('EBS-H'!W296:W312),IF(SETUP!$G$27=2,'HIV-Key Info'!$E$73*SUM('EBS-H'!AC296:AC312),IF(SETUP!$G$27=1,'HIV-Key Info'!$E$73*SUM('EBS-H'!AG296:AG312),0)))),0))</f>
        <v>0</v>
      </c>
      <c r="AH247" s="695"/>
      <c r="AI247" s="695">
        <f>IF(SETUP!$F$27="Upfront",'HIV-Key Info'!$E$73*SUM('EBS-H'!AO296:AO312),IF(SETUP!$F$27="At delivery", IF(SETUP!$G$27=4,'HIV-Key Info'!$E$73*SUM('EBS-H'!W296:W312),IF(SETUP!$G$27=3,'HIV-Key Info'!$E$73*SUM('EBS-H'!AC296:AC312),IF(SETUP!$G$27=2,'HIV-Key Info'!$E$73*SUM('EBS-H'!AG296:AG312),IF(SETUP!$G$27=1,'HIV-Key Info'!$E$73*SUM('EBS-H'!AK296:AK312),0)))),0))</f>
        <v>0</v>
      </c>
      <c r="AJ247" s="695"/>
      <c r="AK247" s="1492">
        <f t="shared" si="25"/>
        <v>0</v>
      </c>
      <c r="AL247" s="1493"/>
      <c r="AM247" s="1494"/>
      <c r="AN247" s="699"/>
      <c r="AO247" s="695"/>
      <c r="AP247" s="695">
        <f>IF(SETUP!$F$27="Upfront",'HIV-Key Info'!$E$73*SUM('EBS-H'!AU296:AU312),IF(SETUP!$F$27="At delivery", IF(SETUP!$G$27=4,'HIV-Key Info'!$E$73*SUM('EBS-H'!AC296:AC312),IF(SETUP!$G$27=3,'HIV-Key Info'!$E$73*SUM('EBS-H'!AG296:AG312),IF(SETUP!$G$27=2,'HIV-Key Info'!$E$73*SUM('EBS-H'!AK296:AK312),IF(SETUP!$G$27=1,'HIV-Key Info'!$E$73*SUM('EBS-H'!AO296:AO312),0)))),0))</f>
        <v>0</v>
      </c>
      <c r="AQ247" s="695"/>
      <c r="AR247" s="695">
        <f>IF(SETUP!$F$27="Upfront",'HIV-Key Info'!$E$73*SUM('EBS-H'!AY296:AY312),IF(SETUP!$F$27="At delivery", IF(SETUP!$G$27=4,'HIV-Key Info'!$E$73*SUM('EBS-H'!AG296:AG312),IF(SETUP!$G$27=3,'HIV-Key Info'!$E$73*SUM('EBS-H'!AK296:AK312),IF(SETUP!$G$27=2,'HIV-Key Info'!$E$73*SUM('EBS-H'!AO296:AO312),IF(SETUP!$G$27=1,'HIV-Key Info'!$E$73*SUM('EBS-H'!AU296:AU312),0)))),0))</f>
        <v>0</v>
      </c>
      <c r="AS247" s="695"/>
      <c r="AT247" s="695">
        <f>IF(SETUP!$F$27="Upfront",'HIV-Key Info'!$E$73*SUM('EBS-H'!BC296:BC312),IF(SETUP!$F$27="At delivery", IF(SETUP!$G$27=4,'HIV-Key Info'!$E$73*SUM('EBS-H'!AK296:AK312),IF(SETUP!$G$27=3,'HIV-Key Info'!$E$73*SUM('EBS-H'!AO296:AO312),IF(SETUP!$G$27=2,'HIV-Key Info'!$E$73*SUM('EBS-H'!AU296:AU312),IF(SETUP!$G$27=1,'HIV-Key Info'!$E$73*SUM('EBS-H'!AY296:AY312),0)))),0))</f>
        <v>0</v>
      </c>
      <c r="AU247" s="695"/>
      <c r="AV247" s="695">
        <f>IF(SETUP!$F$27="Upfront",'HIV-Key Info'!$E$73*SUM('EBS-H'!BG296:BG312),IF(SETUP!$F$27="At delivery", IF(SETUP!$G$27=4,'HIV-Key Info'!$E$73*SUM(SUM('EBS-H'!AO296:AO312),SUM('EBS-H'!AU296:AU312),SUM('EBS-H'!AY296:AY312),SUM('EBS-H'!BC296:BC312),SUM('EBS-H'!BG296:BG312)),IF(SETUP!$G$27=3,'HIV-Key Info'!$E$73*SUM(SUM('EBS-H'!AU296:AU312),SUM('EBS-H'!AY296:AY312),SUM('EBS-H'!BC296:BC312),SUM('EBS-H'!BG296:BG312)),IF(SETUP!$G$27=2,'HIV-Key Info'!$E$73*SUM(SUM('EBS-H'!AY296:AY312),SUM('EBS-H'!BC296:BC312),SUM('EBS-H'!BG296:BG312)),IF(SETUP!$G$27=1,'HIV-Key Info'!$E$73*SUM(SUM('EBS-H'!BC296:BC312),SUM('EBS-H'!BG296:BG312)),0)))),0))</f>
        <v>0</v>
      </c>
      <c r="AW247" s="695"/>
      <c r="AX247" s="1492">
        <f t="shared" si="26"/>
        <v>0</v>
      </c>
      <c r="AY247" s="1492"/>
      <c r="AZ247" s="698"/>
      <c r="BA247" s="699"/>
      <c r="BB247" s="697"/>
      <c r="BC247" s="697">
        <v>0</v>
      </c>
      <c r="BD247" s="697">
        <v>0</v>
      </c>
      <c r="BE247" s="697">
        <v>0</v>
      </c>
      <c r="BF247" s="697">
        <v>0</v>
      </c>
      <c r="BG247" s="697">
        <v>0</v>
      </c>
      <c r="BH247" s="697">
        <v>0</v>
      </c>
      <c r="BI247" s="697">
        <v>0</v>
      </c>
      <c r="BJ247" s="697">
        <v>0</v>
      </c>
      <c r="BK247" s="1492">
        <f t="shared" si="27"/>
        <v>0</v>
      </c>
      <c r="BL247" s="1492"/>
      <c r="BM247" s="1492">
        <f t="shared" si="28"/>
        <v>0</v>
      </c>
      <c r="BN247" s="1492">
        <f t="shared" si="29"/>
        <v>0</v>
      </c>
      <c r="BO247" s="697"/>
      <c r="BP247" s="697"/>
      <c r="BQ247" s="1495" t="s">
        <v>6939</v>
      </c>
      <c r="BR247" s="1495" t="s">
        <v>818</v>
      </c>
      <c r="BS247" s="1902" t="s">
        <v>790</v>
      </c>
      <c r="BT247" s="1907" t="s">
        <v>1966</v>
      </c>
    </row>
    <row r="248" spans="1:72" ht="13">
      <c r="A248" s="1545">
        <v>770</v>
      </c>
      <c r="B248" s="1546" t="s">
        <v>780</v>
      </c>
      <c r="C248" s="1546" t="s">
        <v>789</v>
      </c>
      <c r="D248" s="1547" t="s">
        <v>6883</v>
      </c>
      <c r="E248" s="690" t="s">
        <v>725</v>
      </c>
      <c r="F248" s="691"/>
      <c r="G248" s="692"/>
      <c r="H248" s="692"/>
      <c r="I248" s="692"/>
      <c r="J248" s="693"/>
      <c r="K248" s="693"/>
      <c r="L248" s="693"/>
      <c r="M248" s="694"/>
      <c r="N248" s="695"/>
      <c r="O248" s="696" t="s">
        <v>1569</v>
      </c>
      <c r="P248" s="695">
        <f>IF(SETUP!$F$28="Upfront",'HIV-Key Info'!$G$73*SUM('EBS-H'!K318:K322),0)</f>
        <v>0</v>
      </c>
      <c r="Q248" s="695" t="s">
        <v>1569</v>
      </c>
      <c r="R248" s="695">
        <f>IF(SETUP!$F$28="Upfront",'HIV-Key Info'!$G$73*SUM('EBS-H'!O318:O322),IF(SETUP!$F$28="At delivery", IF(SETUP!$G$28=1,'HIV-Key Info'!$G$73*SUM('EBS-H'!K318:K322),0),0))</f>
        <v>0</v>
      </c>
      <c r="S248" s="695" t="s">
        <v>1569</v>
      </c>
      <c r="T248" s="695">
        <f>IF(SETUP!$F$28="Upfront",'HIV-Key Info'!$G$73*SUM('EBS-H'!S318:S322),IF(SETUP!$F$28="At delivery", IF(SETUP!$G$28=2,'HIV-Key Info'!$G$73*SUM('EBS-H'!K318:K322),IF(SETUP!$G$28=1,'HIV-Key Info'!$G$73*SUM('EBS-H'!O318:O322),0)),0))</f>
        <v>0</v>
      </c>
      <c r="U248" s="695" t="s">
        <v>1569</v>
      </c>
      <c r="V248" s="695">
        <f>IF(SETUP!$F$28="Upfront",'HIV-Key Info'!$G$73*SUM('EBS-H'!W318:W322),IF(SETUP!$F$28="At delivery", IF(SETUP!$G$28=3,'HIV-Key Info'!$G$73*SUM('EBS-H'!K318:K322),IF(SETUP!$G$28=2,'HIV-Key Info'!$G$73*SUM('EBS-H'!O318:O322),IF(SETUP!$G$28=1,'HIV-Key Info'!$G$73*SUM('EBS-H'!S318:S322),0))),0))</f>
        <v>0</v>
      </c>
      <c r="W248" s="695"/>
      <c r="X248" s="1492">
        <f t="shared" si="24"/>
        <v>0</v>
      </c>
      <c r="Y248" s="1493"/>
      <c r="Z248" s="1494"/>
      <c r="AA248" s="699"/>
      <c r="AB248" s="695"/>
      <c r="AC248" s="695">
        <f>IF(SETUP!$F$28="Upfront",'HIV-Key Info'!$G$73*SUM('EBS-H'!AC318:AC322),IF(SETUP!$F$28="At delivery", IF(SETUP!$G$28=4,'HIV-Key Info'!$G$73*SUM('EBS-H'!K318:K322),IF(SETUP!$G$28=3,'HIV-Key Info'!$G$73*SUM('EBS-H'!O318:O322),IF(SETUP!$G$28=2,'HIV-Key Info'!$G$73*SUM('EBS-H'!S318:S322),IF(SETUP!$G$28=1,'HIV-Key Info'!$G$73*SUM('EBS-H'!W318:W322),0)))),0))</f>
        <v>0</v>
      </c>
      <c r="AD248" s="695"/>
      <c r="AE248" s="695">
        <f>IF(SETUP!$F$28="Upfront",'HIV-Key Info'!$G$73*SUM('EBS-H'!AG318:AG322),IF(SETUP!$F$28="At delivery", IF(SETUP!$G$28=4,'HIV-Key Info'!$G$73*SUM('EBS-H'!O318:O322),IF(SETUP!$G$28=3,'HIV-Key Info'!$G$73*SUM('EBS-H'!S318:S322),IF(SETUP!$G$28=2,'HIV-Key Info'!$G$73*SUM('EBS-H'!W318:W322),IF(SETUP!$G$28=1,'HIV-Key Info'!$G$73*SUM('EBS-H'!AC318:AC322),0)))),0))</f>
        <v>0</v>
      </c>
      <c r="AF248" s="695"/>
      <c r="AG248" s="695">
        <f>IF(SETUP!$F$28="Upfront",'HIV-Key Info'!$G$73*SUM('EBS-H'!AK318:AK322),IF(SETUP!$F$28="At delivery", IF(SETUP!$G$28=4,'HIV-Key Info'!$G$73*SUM('EBS-H'!S318:S322),IF(SETUP!$G$28=3,'HIV-Key Info'!$G$73*SUM('EBS-H'!W318:W322),IF(SETUP!$G$28=2,'HIV-Key Info'!$G$73*SUM('EBS-H'!AC318:AC322),IF(SETUP!$G$28=1,'HIV-Key Info'!$G$73*SUM('EBS-H'!AG318:AG322),0)))),0))</f>
        <v>0</v>
      </c>
      <c r="AH248" s="695"/>
      <c r="AI248" s="695">
        <f>IF(SETUP!$F$28="Upfront",'HIV-Key Info'!$G$73*SUM('EBS-H'!AO318:AO322),IF(SETUP!$F$28="At delivery", IF(SETUP!$G$28=4,'HIV-Key Info'!$G$73*SUM('EBS-H'!W318:W322),IF(SETUP!$G$28=3,'HIV-Key Info'!$G$73*SUM('EBS-H'!AC318:AC322),IF(SETUP!$G$28=2,'HIV-Key Info'!$G$73*SUM('EBS-H'!AG318:AG322),IF(SETUP!$G$28=1,'HIV-Key Info'!$G$73*SUM('EBS-H'!AK318:AK322),0)))),0))</f>
        <v>0</v>
      </c>
      <c r="AJ248" s="695"/>
      <c r="AK248" s="1492">
        <f t="shared" si="25"/>
        <v>0</v>
      </c>
      <c r="AL248" s="1493"/>
      <c r="AM248" s="1494"/>
      <c r="AN248" s="699"/>
      <c r="AO248" s="695"/>
      <c r="AP248" s="695">
        <f>IF(SETUP!$F$28="Upfront",'HIV-Key Info'!$G$73*SUM('EBS-H'!AU318:AU322),IF(SETUP!$F$28="At delivery", IF(SETUP!$G$28=4,'HIV-Key Info'!$G$73*SUM('EBS-H'!AC318:AC322),IF(SETUP!$G$28=3,'HIV-Key Info'!$G$73*SUM('EBS-H'!AG318:AG322),IF(SETUP!$G$28=2,'HIV-Key Info'!$G$73*SUM('EBS-H'!AK318:AK322),IF(SETUP!$G$28=1,'HIV-Key Info'!$G$73*SUM('EBS-H'!AO318:AO322),0)))),0))</f>
        <v>0</v>
      </c>
      <c r="AQ248" s="695"/>
      <c r="AR248" s="695">
        <f>IF(SETUP!$F$28="Upfront",'HIV-Key Info'!$G$73*SUM('EBS-H'!AY318:AY322),IF(SETUP!$F$28="At delivery", IF(SETUP!$G$28=4,'HIV-Key Info'!$G$73*SUM('EBS-H'!AG318:AG322),IF(SETUP!$G$28=3,'HIV-Key Info'!$G$73*SUM('EBS-H'!AK318:AK322),IF(SETUP!$G$28=2,'HIV-Key Info'!$G$73*SUM('EBS-H'!AO318:AO322),IF(SETUP!$G$28=1,'HIV-Key Info'!$G$73*SUM('EBS-H'!AU318:AU322),0)))),0))</f>
        <v>0</v>
      </c>
      <c r="AS248" s="695"/>
      <c r="AT248" s="695">
        <f>IF(SETUP!$F$28="Upfront",'HIV-Key Info'!$G$73*SUM('EBS-H'!BC318:BC322),IF(SETUP!$F$28="At delivery", IF(SETUP!$G$28=4,'HIV-Key Info'!$G$73*SUM('EBS-H'!AK318:AK322),IF(SETUP!$G$28=3,'HIV-Key Info'!$G$73*SUM('EBS-H'!AO318:AO322),IF(SETUP!$G$28=2,'HIV-Key Info'!$G$73*SUM('EBS-H'!AU318:AU322),IF(SETUP!$G$28=1,'HIV-Key Info'!$G$73*SUM('EBS-H'!AY318:AY322),0)))),0))</f>
        <v>0</v>
      </c>
      <c r="AU248" s="695"/>
      <c r="AV248" s="695">
        <f>IF(SETUP!$F$28="Upfront",'HIV-Key Info'!$G$73*SUM('EBS-H'!BG318:BG322),IF(SETUP!$F$28="At delivery", IF(SETUP!$G$28=4,'HIV-Key Info'!$G$73*SUM(SUM('EBS-H'!AO318:AO322),SUM('EBS-H'!AU318:AU322),SUM('EBS-H'!AY318:AY322),SUM('EBS-H'!BC318:BC322),SUM('EBS-H'!BG318:BG322)),IF(SETUP!$G$28=3,'HIV-Key Info'!$G$73*SUM(SUM('EBS-H'!AU318:AU322),SUM('EBS-H'!AY318:AY322),SUM('EBS-H'!BC318:BC322),SUM('EBS-H'!BG318:BG322)),IF(SETUP!$G$28=2,'HIV-Key Info'!$G$73*SUM(SUM('EBS-H'!AY318:AY322),SUM('EBS-H'!BC318:BC322),SUM('EBS-H'!BG318:BG322)),IF(SETUP!$G$28=1,'HIV-Key Info'!$G$73*SUM(SUM('EBS-H'!BC318:BC322),SUM('EBS-H'!BG318:BG322)),0)))),0))</f>
        <v>0</v>
      </c>
      <c r="AW248" s="695"/>
      <c r="AX248" s="1492">
        <f t="shared" si="26"/>
        <v>0</v>
      </c>
      <c r="AY248" s="1492"/>
      <c r="AZ248" s="698"/>
      <c r="BA248" s="699"/>
      <c r="BB248" s="697"/>
      <c r="BC248" s="697">
        <v>0</v>
      </c>
      <c r="BD248" s="697">
        <v>0</v>
      </c>
      <c r="BE248" s="697">
        <v>0</v>
      </c>
      <c r="BF248" s="697">
        <v>0</v>
      </c>
      <c r="BG248" s="697">
        <v>0</v>
      </c>
      <c r="BH248" s="697">
        <v>0</v>
      </c>
      <c r="BI248" s="697">
        <v>0</v>
      </c>
      <c r="BJ248" s="697">
        <v>0</v>
      </c>
      <c r="BK248" s="1492">
        <f t="shared" si="27"/>
        <v>0</v>
      </c>
      <c r="BL248" s="1492"/>
      <c r="BM248" s="1492">
        <f t="shared" si="28"/>
        <v>0</v>
      </c>
      <c r="BN248" s="1492">
        <f t="shared" si="29"/>
        <v>0</v>
      </c>
      <c r="BO248" s="697"/>
      <c r="BP248" s="697"/>
      <c r="BQ248" s="1495" t="s">
        <v>6939</v>
      </c>
      <c r="BR248" s="1495" t="s">
        <v>818</v>
      </c>
      <c r="BS248" s="1902" t="s">
        <v>790</v>
      </c>
      <c r="BT248" s="1907" t="s">
        <v>1967</v>
      </c>
    </row>
    <row r="249" spans="1:72" ht="13">
      <c r="A249" s="1545">
        <v>771</v>
      </c>
      <c r="B249" s="1546" t="s">
        <v>780</v>
      </c>
      <c r="C249" s="1546" t="s">
        <v>789</v>
      </c>
      <c r="D249" s="1547" t="s">
        <v>6884</v>
      </c>
      <c r="E249" s="690" t="s">
        <v>656</v>
      </c>
      <c r="F249" s="691"/>
      <c r="G249" s="692"/>
      <c r="H249" s="692"/>
      <c r="I249" s="692"/>
      <c r="J249" s="693"/>
      <c r="K249" s="693"/>
      <c r="L249" s="693"/>
      <c r="M249" s="694"/>
      <c r="N249" s="695"/>
      <c r="O249" s="696" t="s">
        <v>1569</v>
      </c>
      <c r="P249" s="695">
        <f>'HIV-Key Info'!$E$73*('HPM costs'!F27+'HPM costs'!F30)</f>
        <v>0</v>
      </c>
      <c r="Q249" s="695" t="s">
        <v>1569</v>
      </c>
      <c r="R249" s="695">
        <f>'HIV-Key Info'!$E$73*('HPM costs'!G27+'HPM costs'!G30)</f>
        <v>0</v>
      </c>
      <c r="S249" s="695" t="s">
        <v>1569</v>
      </c>
      <c r="T249" s="695">
        <f>'HIV-Key Info'!$E$73*('HPM costs'!H27+'HPM costs'!H30)</f>
        <v>0</v>
      </c>
      <c r="U249" s="695" t="s">
        <v>1569</v>
      </c>
      <c r="V249" s="695">
        <f>'HIV-Key Info'!$E$73*('HPM costs'!I27+'HPM costs'!I30)</f>
        <v>0</v>
      </c>
      <c r="W249" s="695"/>
      <c r="X249" s="1492">
        <f t="shared" si="24"/>
        <v>0</v>
      </c>
      <c r="Y249" s="1493"/>
      <c r="Z249" s="1494"/>
      <c r="AA249" s="699"/>
      <c r="AB249" s="695"/>
      <c r="AC249" s="695">
        <f>'HIV-Key Info'!$E$73*('HPM costs'!K27+'HPM costs'!K30)</f>
        <v>0</v>
      </c>
      <c r="AD249" s="695"/>
      <c r="AE249" s="695">
        <f>'HIV-Key Info'!$E$73*('HPM costs'!L27+'HPM costs'!L30)</f>
        <v>0</v>
      </c>
      <c r="AF249" s="695"/>
      <c r="AG249" s="695">
        <f>'HIV-Key Info'!$E$73*('HPM costs'!M27+'HPM costs'!M30)</f>
        <v>0</v>
      </c>
      <c r="AH249" s="695"/>
      <c r="AI249" s="695">
        <f>'HIV-Key Info'!$E$73*('HPM costs'!N27+'HPM costs'!N30)</f>
        <v>0</v>
      </c>
      <c r="AJ249" s="695"/>
      <c r="AK249" s="1492">
        <f t="shared" si="25"/>
        <v>0</v>
      </c>
      <c r="AL249" s="1493"/>
      <c r="AM249" s="1494"/>
      <c r="AN249" s="699"/>
      <c r="AO249" s="695"/>
      <c r="AP249" s="695">
        <f>'HIV-Key Info'!$E$73*('HPM costs'!P27+'HPM costs'!P30)</f>
        <v>0</v>
      </c>
      <c r="AQ249" s="695"/>
      <c r="AR249" s="695">
        <f>'HIV-Key Info'!$E$73*('HPM costs'!Q27+'HPM costs'!Q30)</f>
        <v>0</v>
      </c>
      <c r="AS249" s="695"/>
      <c r="AT249" s="695">
        <f>'HIV-Key Info'!$E$73*('HPM costs'!R27+'HPM costs'!R30)</f>
        <v>0</v>
      </c>
      <c r="AU249" s="695"/>
      <c r="AV249" s="695">
        <f>'HIV-Key Info'!$E$73*('HPM costs'!S27+'HPM costs'!S30)</f>
        <v>0</v>
      </c>
      <c r="AW249" s="695"/>
      <c r="AX249" s="1492">
        <f t="shared" si="26"/>
        <v>0</v>
      </c>
      <c r="AY249" s="1492"/>
      <c r="AZ249" s="698"/>
      <c r="BA249" s="699"/>
      <c r="BB249" s="697"/>
      <c r="BC249" s="697">
        <v>0</v>
      </c>
      <c r="BD249" s="697">
        <v>0</v>
      </c>
      <c r="BE249" s="697">
        <v>0</v>
      </c>
      <c r="BF249" s="697">
        <v>0</v>
      </c>
      <c r="BG249" s="697">
        <v>0</v>
      </c>
      <c r="BH249" s="697">
        <v>0</v>
      </c>
      <c r="BI249" s="697">
        <v>0</v>
      </c>
      <c r="BJ249" s="697">
        <v>0</v>
      </c>
      <c r="BK249" s="1492">
        <f t="shared" si="27"/>
        <v>0</v>
      </c>
      <c r="BL249" s="1492"/>
      <c r="BM249" s="1492">
        <f t="shared" si="28"/>
        <v>0</v>
      </c>
      <c r="BN249" s="1492">
        <f t="shared" si="29"/>
        <v>0</v>
      </c>
      <c r="BO249" s="697"/>
      <c r="BP249" s="697"/>
      <c r="BQ249" s="1495" t="s">
        <v>6939</v>
      </c>
      <c r="BR249" s="1495" t="s">
        <v>818</v>
      </c>
      <c r="BS249" s="1902" t="s">
        <v>655</v>
      </c>
      <c r="BT249" s="1907" t="s">
        <v>1968</v>
      </c>
    </row>
    <row r="250" spans="1:72" ht="13">
      <c r="A250" s="1545">
        <v>772</v>
      </c>
      <c r="B250" s="1546" t="s">
        <v>780</v>
      </c>
      <c r="C250" s="1546" t="s">
        <v>789</v>
      </c>
      <c r="D250" s="1547" t="s">
        <v>6884</v>
      </c>
      <c r="E250" s="690" t="s">
        <v>658</v>
      </c>
      <c r="F250" s="691"/>
      <c r="G250" s="692"/>
      <c r="H250" s="692"/>
      <c r="I250" s="692"/>
      <c r="J250" s="693"/>
      <c r="K250" s="693"/>
      <c r="L250" s="693"/>
      <c r="M250" s="694"/>
      <c r="N250" s="695"/>
      <c r="O250" s="696" t="s">
        <v>1569</v>
      </c>
      <c r="P250" s="695">
        <f>'HIV-Key Info'!$E$73*('HPM costs'!F113+'HPM costs'!F116)</f>
        <v>0</v>
      </c>
      <c r="Q250" s="695" t="s">
        <v>1569</v>
      </c>
      <c r="R250" s="695">
        <f>'HIV-Key Info'!$E$73*('HPM costs'!G113+'HPM costs'!G116)</f>
        <v>0</v>
      </c>
      <c r="S250" s="695" t="s">
        <v>1569</v>
      </c>
      <c r="T250" s="695">
        <f>'HIV-Key Info'!$E$73*('HPM costs'!H113+'HPM costs'!H116)</f>
        <v>0</v>
      </c>
      <c r="U250" s="695" t="s">
        <v>1569</v>
      </c>
      <c r="V250" s="695">
        <f>'HIV-Key Info'!$E$73*('HPM costs'!I113+'HPM costs'!I116)</f>
        <v>0</v>
      </c>
      <c r="W250" s="695"/>
      <c r="X250" s="1492">
        <f t="shared" si="24"/>
        <v>0</v>
      </c>
      <c r="Y250" s="1493"/>
      <c r="Z250" s="1494"/>
      <c r="AA250" s="699"/>
      <c r="AB250" s="695"/>
      <c r="AC250" s="695">
        <f>'HIV-Key Info'!$E$73*('HPM costs'!K113+'HPM costs'!K116)</f>
        <v>0</v>
      </c>
      <c r="AD250" s="695"/>
      <c r="AE250" s="695">
        <f>'HIV-Key Info'!$E$73*('HPM costs'!L113+'HPM costs'!L116)</f>
        <v>0</v>
      </c>
      <c r="AF250" s="695"/>
      <c r="AG250" s="695">
        <f>'HIV-Key Info'!$E$73*('HPM costs'!M113+'HPM costs'!M116)</f>
        <v>0</v>
      </c>
      <c r="AH250" s="695"/>
      <c r="AI250" s="695">
        <f>'HIV-Key Info'!$E$73*('HPM costs'!N113+'HPM costs'!N116)</f>
        <v>0</v>
      </c>
      <c r="AJ250" s="695"/>
      <c r="AK250" s="1492">
        <f t="shared" si="25"/>
        <v>0</v>
      </c>
      <c r="AL250" s="1493"/>
      <c r="AM250" s="1494"/>
      <c r="AN250" s="699"/>
      <c r="AO250" s="695"/>
      <c r="AP250" s="695">
        <f>'HIV-Key Info'!$E$73*('HPM costs'!P113+'HPM costs'!P116)</f>
        <v>0</v>
      </c>
      <c r="AQ250" s="695"/>
      <c r="AR250" s="695">
        <f>'HIV-Key Info'!$E$73*('HPM costs'!Q113+'HPM costs'!Q116)</f>
        <v>0</v>
      </c>
      <c r="AS250" s="695"/>
      <c r="AT250" s="695">
        <f>'HIV-Key Info'!$E$73*('HPM costs'!R113+'HPM costs'!R116)</f>
        <v>0</v>
      </c>
      <c r="AU250" s="695"/>
      <c r="AV250" s="695">
        <f>'HIV-Key Info'!$E$73*('HPM costs'!S113+'HPM costs'!S116)</f>
        <v>0</v>
      </c>
      <c r="AW250" s="695"/>
      <c r="AX250" s="1492">
        <f t="shared" si="26"/>
        <v>0</v>
      </c>
      <c r="AY250" s="1492"/>
      <c r="AZ250" s="698"/>
      <c r="BA250" s="699"/>
      <c r="BB250" s="697"/>
      <c r="BC250" s="697">
        <v>0</v>
      </c>
      <c r="BD250" s="697">
        <v>0</v>
      </c>
      <c r="BE250" s="697">
        <v>0</v>
      </c>
      <c r="BF250" s="697">
        <v>0</v>
      </c>
      <c r="BG250" s="697">
        <v>0</v>
      </c>
      <c r="BH250" s="697">
        <v>0</v>
      </c>
      <c r="BI250" s="697">
        <v>0</v>
      </c>
      <c r="BJ250" s="697">
        <v>0</v>
      </c>
      <c r="BK250" s="1492">
        <f t="shared" si="27"/>
        <v>0</v>
      </c>
      <c r="BL250" s="1492"/>
      <c r="BM250" s="1492">
        <f t="shared" si="28"/>
        <v>0</v>
      </c>
      <c r="BN250" s="1492">
        <f t="shared" si="29"/>
        <v>0</v>
      </c>
      <c r="BO250" s="697"/>
      <c r="BP250" s="697"/>
      <c r="BQ250" s="1495" t="s">
        <v>6939</v>
      </c>
      <c r="BR250" s="1495" t="s">
        <v>818</v>
      </c>
      <c r="BS250" s="1902" t="s">
        <v>655</v>
      </c>
      <c r="BT250" s="1907" t="s">
        <v>1969</v>
      </c>
    </row>
    <row r="251" spans="1:72" ht="13">
      <c r="A251" s="1545">
        <v>773</v>
      </c>
      <c r="B251" s="1546" t="s">
        <v>780</v>
      </c>
      <c r="C251" s="1546" t="s">
        <v>789</v>
      </c>
      <c r="D251" s="1547" t="s">
        <v>6884</v>
      </c>
      <c r="E251" s="690" t="s">
        <v>660</v>
      </c>
      <c r="F251" s="691"/>
      <c r="G251" s="692"/>
      <c r="H251" s="692"/>
      <c r="I251" s="692"/>
      <c r="J251" s="693"/>
      <c r="K251" s="693"/>
      <c r="L251" s="693"/>
      <c r="M251" s="694"/>
      <c r="N251" s="695"/>
      <c r="O251" s="696" t="s">
        <v>1569</v>
      </c>
      <c r="P251" s="695">
        <f>'HIV-Key Info'!$E$73*('HPM costs'!F373+'HPM costs'!F376)</f>
        <v>0</v>
      </c>
      <c r="Q251" s="695" t="s">
        <v>1569</v>
      </c>
      <c r="R251" s="695">
        <f>'HIV-Key Info'!$E$73*('HPM costs'!G373+'HPM costs'!G376)</f>
        <v>0</v>
      </c>
      <c r="S251" s="695" t="s">
        <v>1569</v>
      </c>
      <c r="T251" s="695">
        <f>'HIV-Key Info'!$E$73*('HPM costs'!H373+'HPM costs'!H376)</f>
        <v>0</v>
      </c>
      <c r="U251" s="695" t="s">
        <v>1569</v>
      </c>
      <c r="V251" s="695">
        <f>'HIV-Key Info'!$E$73*('HPM costs'!I373+'HPM costs'!I376)</f>
        <v>0</v>
      </c>
      <c r="W251" s="695"/>
      <c r="X251" s="1492">
        <f t="shared" si="24"/>
        <v>0</v>
      </c>
      <c r="Y251" s="1493"/>
      <c r="Z251" s="1494"/>
      <c r="AA251" s="699"/>
      <c r="AB251" s="695"/>
      <c r="AC251" s="695">
        <f>'HIV-Key Info'!$E$73*('HPM costs'!K373+'HPM costs'!K376)</f>
        <v>0</v>
      </c>
      <c r="AD251" s="695"/>
      <c r="AE251" s="695">
        <f>'HIV-Key Info'!$E$73*('HPM costs'!L373+'HPM costs'!L376)</f>
        <v>0</v>
      </c>
      <c r="AF251" s="695"/>
      <c r="AG251" s="695">
        <f>'HIV-Key Info'!$E$73*('HPM costs'!M373+'HPM costs'!M376)</f>
        <v>0</v>
      </c>
      <c r="AH251" s="695"/>
      <c r="AI251" s="695">
        <f>'HIV-Key Info'!$E$73*('HPM costs'!N373+'HPM costs'!N376)</f>
        <v>0</v>
      </c>
      <c r="AJ251" s="695"/>
      <c r="AK251" s="1492">
        <f t="shared" si="25"/>
        <v>0</v>
      </c>
      <c r="AL251" s="1493"/>
      <c r="AM251" s="1494"/>
      <c r="AN251" s="699"/>
      <c r="AO251" s="695"/>
      <c r="AP251" s="695">
        <f>'HIV-Key Info'!$E$73*('HPM costs'!P373+'HPM costs'!P376)</f>
        <v>0</v>
      </c>
      <c r="AQ251" s="695"/>
      <c r="AR251" s="695">
        <f>'HIV-Key Info'!$E$73*('HPM costs'!Q373+'HPM costs'!Q376)</f>
        <v>0</v>
      </c>
      <c r="AS251" s="695"/>
      <c r="AT251" s="695">
        <f>'HIV-Key Info'!$E$73*('HPM costs'!R373+'HPM costs'!R376)</f>
        <v>0</v>
      </c>
      <c r="AU251" s="695"/>
      <c r="AV251" s="695">
        <f>'HIV-Key Info'!$E$73*('HPM costs'!S373+'HPM costs'!S376)</f>
        <v>0</v>
      </c>
      <c r="AW251" s="695"/>
      <c r="AX251" s="1492">
        <f t="shared" si="26"/>
        <v>0</v>
      </c>
      <c r="AY251" s="1492"/>
      <c r="AZ251" s="698"/>
      <c r="BA251" s="699"/>
      <c r="BB251" s="697"/>
      <c r="BC251" s="697">
        <v>0</v>
      </c>
      <c r="BD251" s="697">
        <v>0</v>
      </c>
      <c r="BE251" s="697">
        <v>0</v>
      </c>
      <c r="BF251" s="697">
        <v>0</v>
      </c>
      <c r="BG251" s="697">
        <v>0</v>
      </c>
      <c r="BH251" s="697">
        <v>0</v>
      </c>
      <c r="BI251" s="697">
        <v>0</v>
      </c>
      <c r="BJ251" s="697">
        <v>0</v>
      </c>
      <c r="BK251" s="1492">
        <f t="shared" si="27"/>
        <v>0</v>
      </c>
      <c r="BL251" s="1492"/>
      <c r="BM251" s="1492">
        <f t="shared" si="28"/>
        <v>0</v>
      </c>
      <c r="BN251" s="1492">
        <f t="shared" si="29"/>
        <v>0</v>
      </c>
      <c r="BO251" s="697"/>
      <c r="BP251" s="697"/>
      <c r="BQ251" s="1495" t="s">
        <v>6939</v>
      </c>
      <c r="BR251" s="1495" t="s">
        <v>818</v>
      </c>
      <c r="BS251" s="1902" t="s">
        <v>655</v>
      </c>
      <c r="BT251" s="1907" t="s">
        <v>1970</v>
      </c>
    </row>
    <row r="252" spans="1:72" ht="13">
      <c r="A252" s="1545">
        <v>774</v>
      </c>
      <c r="B252" s="1546" t="s">
        <v>780</v>
      </c>
      <c r="C252" s="1546" t="s">
        <v>789</v>
      </c>
      <c r="D252" s="1547" t="s">
        <v>6884</v>
      </c>
      <c r="E252" s="690" t="s">
        <v>662</v>
      </c>
      <c r="F252" s="691"/>
      <c r="G252" s="692"/>
      <c r="H252" s="692"/>
      <c r="I252" s="692"/>
      <c r="J252" s="693"/>
      <c r="K252" s="693"/>
      <c r="L252" s="693"/>
      <c r="M252" s="694"/>
      <c r="N252" s="695"/>
      <c r="O252" s="696" t="s">
        <v>1569</v>
      </c>
      <c r="P252" s="695">
        <f>'HIV-Key Info'!$E$73*('HPM costs'!F459+'HPM costs'!F462)</f>
        <v>0</v>
      </c>
      <c r="Q252" s="695" t="s">
        <v>1569</v>
      </c>
      <c r="R252" s="695">
        <f>'HIV-Key Info'!$E$73*('HPM costs'!G459+'HPM costs'!G462)</f>
        <v>0</v>
      </c>
      <c r="S252" s="695" t="s">
        <v>1569</v>
      </c>
      <c r="T252" s="695">
        <f>'HIV-Key Info'!$E$73*('HPM costs'!H459+'HPM costs'!H462)</f>
        <v>0</v>
      </c>
      <c r="U252" s="695" t="s">
        <v>1569</v>
      </c>
      <c r="V252" s="695">
        <f>'HIV-Key Info'!$E$73*('HPM costs'!I459+'HPM costs'!I462)</f>
        <v>0</v>
      </c>
      <c r="W252" s="695"/>
      <c r="X252" s="1492">
        <f t="shared" si="24"/>
        <v>0</v>
      </c>
      <c r="Y252" s="1493"/>
      <c r="Z252" s="1494"/>
      <c r="AA252" s="699"/>
      <c r="AB252" s="695"/>
      <c r="AC252" s="695">
        <f>'HIV-Key Info'!$E$73*('HPM costs'!K459+'HPM costs'!K462)</f>
        <v>0</v>
      </c>
      <c r="AD252" s="695"/>
      <c r="AE252" s="695">
        <f>'HIV-Key Info'!$E$73*('HPM costs'!L459+'HPM costs'!L462)</f>
        <v>0</v>
      </c>
      <c r="AF252" s="695"/>
      <c r="AG252" s="695">
        <f>'HIV-Key Info'!$E$73*('HPM costs'!M459+'HPM costs'!M462)</f>
        <v>0</v>
      </c>
      <c r="AH252" s="695"/>
      <c r="AI252" s="695">
        <f>'HIV-Key Info'!$E$73*('HPM costs'!N459+'HPM costs'!N462)</f>
        <v>0</v>
      </c>
      <c r="AJ252" s="695"/>
      <c r="AK252" s="1492">
        <f t="shared" si="25"/>
        <v>0</v>
      </c>
      <c r="AL252" s="1493"/>
      <c r="AM252" s="1494"/>
      <c r="AN252" s="699"/>
      <c r="AO252" s="695"/>
      <c r="AP252" s="695">
        <f>'HIV-Key Info'!$E$73*('HPM costs'!P459+'HPM costs'!P462)</f>
        <v>0</v>
      </c>
      <c r="AQ252" s="695"/>
      <c r="AR252" s="695">
        <f>'HIV-Key Info'!$E$73*('HPM costs'!Q459+'HPM costs'!Q462)</f>
        <v>0</v>
      </c>
      <c r="AS252" s="695"/>
      <c r="AT252" s="695">
        <f>'HIV-Key Info'!$E$73*('HPM costs'!R459+'HPM costs'!R462)</f>
        <v>0</v>
      </c>
      <c r="AU252" s="695"/>
      <c r="AV252" s="695">
        <f>'HIV-Key Info'!$E$73*('HPM costs'!S459+'HPM costs'!S462)</f>
        <v>0</v>
      </c>
      <c r="AW252" s="695"/>
      <c r="AX252" s="1492">
        <f t="shared" si="26"/>
        <v>0</v>
      </c>
      <c r="AY252" s="1492"/>
      <c r="AZ252" s="698"/>
      <c r="BA252" s="699"/>
      <c r="BB252" s="697"/>
      <c r="BC252" s="697">
        <v>0</v>
      </c>
      <c r="BD252" s="697">
        <v>0</v>
      </c>
      <c r="BE252" s="697">
        <v>0</v>
      </c>
      <c r="BF252" s="697">
        <v>0</v>
      </c>
      <c r="BG252" s="697">
        <v>0</v>
      </c>
      <c r="BH252" s="697">
        <v>0</v>
      </c>
      <c r="BI252" s="697">
        <v>0</v>
      </c>
      <c r="BJ252" s="697">
        <v>0</v>
      </c>
      <c r="BK252" s="1492">
        <f t="shared" si="27"/>
        <v>0</v>
      </c>
      <c r="BL252" s="1492"/>
      <c r="BM252" s="1492">
        <f t="shared" si="28"/>
        <v>0</v>
      </c>
      <c r="BN252" s="1492">
        <f t="shared" si="29"/>
        <v>0</v>
      </c>
      <c r="BO252" s="697"/>
      <c r="BP252" s="697"/>
      <c r="BQ252" s="1495" t="s">
        <v>6939</v>
      </c>
      <c r="BR252" s="1495" t="s">
        <v>818</v>
      </c>
      <c r="BS252" s="1902" t="s">
        <v>655</v>
      </c>
      <c r="BT252" s="1907" t="s">
        <v>1971</v>
      </c>
    </row>
    <row r="253" spans="1:72" ht="13">
      <c r="A253" s="1545">
        <v>775</v>
      </c>
      <c r="B253" s="1546" t="s">
        <v>780</v>
      </c>
      <c r="C253" s="1546" t="s">
        <v>789</v>
      </c>
      <c r="D253" s="1547" t="s">
        <v>6884</v>
      </c>
      <c r="E253" s="690" t="s">
        <v>664</v>
      </c>
      <c r="F253" s="691"/>
      <c r="G253" s="692"/>
      <c r="H253" s="692"/>
      <c r="I253" s="692"/>
      <c r="J253" s="693"/>
      <c r="K253" s="693"/>
      <c r="L253" s="693"/>
      <c r="M253" s="694"/>
      <c r="N253" s="695"/>
      <c r="O253" s="696" t="s">
        <v>1569</v>
      </c>
      <c r="P253" s="695">
        <f>'HIV-Key Info'!$E$73*('HPM costs'!F199+'HPM costs'!F202+'HPM costs'!F545+'HPM costs'!F548)</f>
        <v>0</v>
      </c>
      <c r="Q253" s="695" t="s">
        <v>1569</v>
      </c>
      <c r="R253" s="695">
        <f>'HIV-Key Info'!$E$73*('HPM costs'!G199+'HPM costs'!G202+'HPM costs'!G545+'HPM costs'!G548)</f>
        <v>0</v>
      </c>
      <c r="S253" s="695" t="s">
        <v>1569</v>
      </c>
      <c r="T253" s="695">
        <f>'HIV-Key Info'!$E$73*('HPM costs'!H199+'HPM costs'!H202+'HPM costs'!H545+'HPM costs'!H548)</f>
        <v>0</v>
      </c>
      <c r="U253" s="695" t="s">
        <v>1569</v>
      </c>
      <c r="V253" s="695">
        <f>'HIV-Key Info'!$E$73*('HPM costs'!I199+'HPM costs'!I202+'HPM costs'!I545+'HPM costs'!I548)</f>
        <v>0</v>
      </c>
      <c r="W253" s="695"/>
      <c r="X253" s="1492">
        <f t="shared" si="24"/>
        <v>0</v>
      </c>
      <c r="Y253" s="1493"/>
      <c r="Z253" s="1494"/>
      <c r="AA253" s="699"/>
      <c r="AB253" s="695"/>
      <c r="AC253" s="695">
        <f>'HIV-Key Info'!$E$73*('HPM costs'!K199+'HPM costs'!K202+'HPM costs'!K545+'HPM costs'!K548)</f>
        <v>0</v>
      </c>
      <c r="AD253" s="695"/>
      <c r="AE253" s="695">
        <f>'HIV-Key Info'!$E$73*('HPM costs'!L199+'HPM costs'!L202+'HPM costs'!L545+'HPM costs'!L548)</f>
        <v>0</v>
      </c>
      <c r="AF253" s="695"/>
      <c r="AG253" s="695">
        <f>'HIV-Key Info'!$E$73*('HPM costs'!M199+'HPM costs'!M202+'HPM costs'!M545+'HPM costs'!M548)</f>
        <v>0</v>
      </c>
      <c r="AH253" s="695"/>
      <c r="AI253" s="695">
        <f>'HIV-Key Info'!$E$73*('HPM costs'!N199+'HPM costs'!N202+'HPM costs'!N545+'HPM costs'!N548)</f>
        <v>0</v>
      </c>
      <c r="AJ253" s="695"/>
      <c r="AK253" s="1492">
        <f t="shared" si="25"/>
        <v>0</v>
      </c>
      <c r="AL253" s="1493"/>
      <c r="AM253" s="1494"/>
      <c r="AN253" s="699"/>
      <c r="AO253" s="695"/>
      <c r="AP253" s="695">
        <f>'HIV-Key Info'!$E$73*('HPM costs'!P199+'HPM costs'!P202+'HPM costs'!P545+'HPM costs'!P548)</f>
        <v>0</v>
      </c>
      <c r="AQ253" s="695"/>
      <c r="AR253" s="695">
        <f>'HIV-Key Info'!$E$73*('HPM costs'!Q199+'HPM costs'!Q202+'HPM costs'!Q545+'HPM costs'!Q548)</f>
        <v>0</v>
      </c>
      <c r="AS253" s="695"/>
      <c r="AT253" s="695">
        <f>'HIV-Key Info'!$E$73*('HPM costs'!R199+'HPM costs'!R202+'HPM costs'!R545+'HPM costs'!R548)</f>
        <v>0</v>
      </c>
      <c r="AU253" s="695"/>
      <c r="AV253" s="695">
        <f>'HIV-Key Info'!$E$73*('HPM costs'!S199+'HPM costs'!S202+'HPM costs'!S545+'HPM costs'!S548)</f>
        <v>0</v>
      </c>
      <c r="AW253" s="695"/>
      <c r="AX253" s="1492">
        <f t="shared" si="26"/>
        <v>0</v>
      </c>
      <c r="AY253" s="1492"/>
      <c r="AZ253" s="698"/>
      <c r="BA253" s="699"/>
      <c r="BB253" s="697"/>
      <c r="BC253" s="697">
        <v>0</v>
      </c>
      <c r="BD253" s="697">
        <v>0</v>
      </c>
      <c r="BE253" s="697">
        <v>0</v>
      </c>
      <c r="BF253" s="697">
        <v>0</v>
      </c>
      <c r="BG253" s="697">
        <v>0</v>
      </c>
      <c r="BH253" s="697">
        <v>0</v>
      </c>
      <c r="BI253" s="697">
        <v>0</v>
      </c>
      <c r="BJ253" s="697">
        <v>0</v>
      </c>
      <c r="BK253" s="1492">
        <f t="shared" si="27"/>
        <v>0</v>
      </c>
      <c r="BL253" s="1492"/>
      <c r="BM253" s="1492">
        <f t="shared" si="28"/>
        <v>0</v>
      </c>
      <c r="BN253" s="1492">
        <f t="shared" si="29"/>
        <v>0</v>
      </c>
      <c r="BO253" s="697"/>
      <c r="BP253" s="697"/>
      <c r="BQ253" s="1495" t="s">
        <v>6939</v>
      </c>
      <c r="BR253" s="1495" t="s">
        <v>818</v>
      </c>
      <c r="BS253" s="1902" t="s">
        <v>655</v>
      </c>
      <c r="BT253" s="1907" t="s">
        <v>1972</v>
      </c>
    </row>
    <row r="254" spans="1:72" ht="13">
      <c r="A254" s="1545">
        <v>776</v>
      </c>
      <c r="B254" s="1546" t="s">
        <v>780</v>
      </c>
      <c r="C254" s="1546" t="s">
        <v>789</v>
      </c>
      <c r="D254" s="1547" t="s">
        <v>6884</v>
      </c>
      <c r="E254" s="690" t="s">
        <v>666</v>
      </c>
      <c r="F254" s="691"/>
      <c r="G254" s="692"/>
      <c r="H254" s="692"/>
      <c r="I254" s="692"/>
      <c r="J254" s="693"/>
      <c r="K254" s="693"/>
      <c r="L254" s="693"/>
      <c r="M254" s="694"/>
      <c r="N254" s="695"/>
      <c r="O254" s="696" t="s">
        <v>1569</v>
      </c>
      <c r="P254" s="695">
        <f>'HIV-Key Info'!$E$73*('HPM costs'!F285+'HPM costs'!F288)</f>
        <v>0</v>
      </c>
      <c r="Q254" s="695" t="s">
        <v>1569</v>
      </c>
      <c r="R254" s="695">
        <f>'HIV-Key Info'!$E$73*('HPM costs'!G285+'HPM costs'!G288)</f>
        <v>0</v>
      </c>
      <c r="S254" s="695" t="s">
        <v>1569</v>
      </c>
      <c r="T254" s="695">
        <f>'HIV-Key Info'!$E$73*('HPM costs'!H285+'HPM costs'!H288)</f>
        <v>0</v>
      </c>
      <c r="U254" s="695" t="s">
        <v>1569</v>
      </c>
      <c r="V254" s="695">
        <f>'HIV-Key Info'!$E$73*('HPM costs'!I285+'HPM costs'!I288)</f>
        <v>0</v>
      </c>
      <c r="W254" s="695"/>
      <c r="X254" s="1492">
        <f t="shared" si="24"/>
        <v>0</v>
      </c>
      <c r="Y254" s="1493"/>
      <c r="Z254" s="1494"/>
      <c r="AA254" s="699"/>
      <c r="AB254" s="695"/>
      <c r="AC254" s="695">
        <f>'HIV-Key Info'!$E$73*('HPM costs'!K285+'HPM costs'!K288)</f>
        <v>0</v>
      </c>
      <c r="AD254" s="695"/>
      <c r="AE254" s="695">
        <f>'HIV-Key Info'!$E$73*('HPM costs'!L285+'HPM costs'!L288)</f>
        <v>0</v>
      </c>
      <c r="AF254" s="695"/>
      <c r="AG254" s="695">
        <f>'HIV-Key Info'!$E$73*('HPM costs'!M285+'HPM costs'!M288)</f>
        <v>0</v>
      </c>
      <c r="AH254" s="695"/>
      <c r="AI254" s="695">
        <f>'HIV-Key Info'!$E$73*('HPM costs'!N285+'HPM costs'!N288)</f>
        <v>0</v>
      </c>
      <c r="AJ254" s="695"/>
      <c r="AK254" s="1492">
        <f t="shared" si="25"/>
        <v>0</v>
      </c>
      <c r="AL254" s="1493"/>
      <c r="AM254" s="1494"/>
      <c r="AN254" s="699"/>
      <c r="AO254" s="695"/>
      <c r="AP254" s="695">
        <f>'HIV-Key Info'!$E$73*('HPM costs'!P285+'HPM costs'!P288)</f>
        <v>0</v>
      </c>
      <c r="AQ254" s="695"/>
      <c r="AR254" s="695">
        <f>'HIV-Key Info'!$E$73*('HPM costs'!Q285+'HPM costs'!Q288)</f>
        <v>0</v>
      </c>
      <c r="AS254" s="695"/>
      <c r="AT254" s="695">
        <f>'HIV-Key Info'!$E$73*('HPM costs'!R285+'HPM costs'!R288)</f>
        <v>0</v>
      </c>
      <c r="AU254" s="695"/>
      <c r="AV254" s="695">
        <f>'HIV-Key Info'!$E$73*('HPM costs'!S285+'HPM costs'!S288)</f>
        <v>0</v>
      </c>
      <c r="AW254" s="695"/>
      <c r="AX254" s="1492">
        <f t="shared" si="26"/>
        <v>0</v>
      </c>
      <c r="AY254" s="1492"/>
      <c r="AZ254" s="698"/>
      <c r="BA254" s="699"/>
      <c r="BB254" s="697"/>
      <c r="BC254" s="697">
        <v>0</v>
      </c>
      <c r="BD254" s="697">
        <v>0</v>
      </c>
      <c r="BE254" s="697">
        <v>0</v>
      </c>
      <c r="BF254" s="697">
        <v>0</v>
      </c>
      <c r="BG254" s="697">
        <v>0</v>
      </c>
      <c r="BH254" s="697">
        <v>0</v>
      </c>
      <c r="BI254" s="697">
        <v>0</v>
      </c>
      <c r="BJ254" s="697">
        <v>0</v>
      </c>
      <c r="BK254" s="1492">
        <f t="shared" si="27"/>
        <v>0</v>
      </c>
      <c r="BL254" s="1492"/>
      <c r="BM254" s="1492">
        <f t="shared" si="28"/>
        <v>0</v>
      </c>
      <c r="BN254" s="1492">
        <f t="shared" si="29"/>
        <v>0</v>
      </c>
      <c r="BO254" s="697"/>
      <c r="BP254" s="697"/>
      <c r="BQ254" s="1495" t="s">
        <v>6939</v>
      </c>
      <c r="BR254" s="1495" t="s">
        <v>818</v>
      </c>
      <c r="BS254" s="1902" t="s">
        <v>655</v>
      </c>
      <c r="BT254" s="1907" t="s">
        <v>1973</v>
      </c>
    </row>
    <row r="255" spans="1:72" ht="13">
      <c r="A255" s="1545">
        <v>777</v>
      </c>
      <c r="B255" s="1546" t="s">
        <v>780</v>
      </c>
      <c r="C255" s="1546" t="s">
        <v>789</v>
      </c>
      <c r="D255" s="1547" t="s">
        <v>6884</v>
      </c>
      <c r="E255" s="690" t="s">
        <v>668</v>
      </c>
      <c r="F255" s="691"/>
      <c r="G255" s="692"/>
      <c r="H255" s="692"/>
      <c r="I255" s="692"/>
      <c r="J255" s="693"/>
      <c r="K255" s="693"/>
      <c r="L255" s="693"/>
      <c r="M255" s="694"/>
      <c r="N255" s="695"/>
      <c r="O255" s="696" t="s">
        <v>1569</v>
      </c>
      <c r="P255" s="695">
        <f>'HIV-Key Info'!$E$73*('HPM costs'!F630+'HPM costs'!F633)</f>
        <v>0</v>
      </c>
      <c r="Q255" s="695" t="s">
        <v>1569</v>
      </c>
      <c r="R255" s="695">
        <f>'HIV-Key Info'!$E$73*('HPM costs'!G630+'HPM costs'!G633)</f>
        <v>0</v>
      </c>
      <c r="S255" s="695" t="s">
        <v>1569</v>
      </c>
      <c r="T255" s="695">
        <f>'HIV-Key Info'!$E$73*('HPM costs'!H630+'HPM costs'!H633)</f>
        <v>0</v>
      </c>
      <c r="U255" s="695" t="s">
        <v>1569</v>
      </c>
      <c r="V255" s="695">
        <f>'HIV-Key Info'!$E$73*('HPM costs'!I630+'HPM costs'!I633)</f>
        <v>0</v>
      </c>
      <c r="W255" s="695"/>
      <c r="X255" s="1492">
        <f t="shared" si="24"/>
        <v>0</v>
      </c>
      <c r="Y255" s="1493"/>
      <c r="Z255" s="1494"/>
      <c r="AA255" s="699"/>
      <c r="AB255" s="695"/>
      <c r="AC255" s="695">
        <f>'HIV-Key Info'!$E$73*('HPM costs'!K630+'HPM costs'!K633)</f>
        <v>0</v>
      </c>
      <c r="AD255" s="695"/>
      <c r="AE255" s="695">
        <f>'HIV-Key Info'!$E$73*('HPM costs'!L630+'HPM costs'!L633)</f>
        <v>0</v>
      </c>
      <c r="AF255" s="695"/>
      <c r="AG255" s="695">
        <f>'HIV-Key Info'!$E$73*('HPM costs'!M630+'HPM costs'!M633)</f>
        <v>0</v>
      </c>
      <c r="AH255" s="695"/>
      <c r="AI255" s="695">
        <f>'HIV-Key Info'!$E$73*('HPM costs'!N630+'HPM costs'!N633)</f>
        <v>0</v>
      </c>
      <c r="AJ255" s="695"/>
      <c r="AK255" s="1492">
        <f t="shared" si="25"/>
        <v>0</v>
      </c>
      <c r="AL255" s="1493"/>
      <c r="AM255" s="1494"/>
      <c r="AN255" s="699"/>
      <c r="AO255" s="695"/>
      <c r="AP255" s="695">
        <f>'HIV-Key Info'!$E$73*('HPM costs'!P630+'HPM costs'!P633)</f>
        <v>0</v>
      </c>
      <c r="AQ255" s="695"/>
      <c r="AR255" s="695">
        <f>'HIV-Key Info'!$E$73*('HPM costs'!Q630+'HPM costs'!Q633)</f>
        <v>0</v>
      </c>
      <c r="AS255" s="695"/>
      <c r="AT255" s="695">
        <f>'HIV-Key Info'!$E$73*('HPM costs'!R630+'HPM costs'!R633)</f>
        <v>0</v>
      </c>
      <c r="AU255" s="695"/>
      <c r="AV255" s="695">
        <f>'HIV-Key Info'!$E$73*('HPM costs'!S630+'HPM costs'!S633)</f>
        <v>0</v>
      </c>
      <c r="AW255" s="695"/>
      <c r="AX255" s="1492">
        <f t="shared" si="26"/>
        <v>0</v>
      </c>
      <c r="AY255" s="1492"/>
      <c r="AZ255" s="698"/>
      <c r="BA255" s="699"/>
      <c r="BB255" s="697"/>
      <c r="BC255" s="697">
        <v>0</v>
      </c>
      <c r="BD255" s="697">
        <v>0</v>
      </c>
      <c r="BE255" s="697">
        <v>0</v>
      </c>
      <c r="BF255" s="697">
        <v>0</v>
      </c>
      <c r="BG255" s="697">
        <v>0</v>
      </c>
      <c r="BH255" s="697">
        <v>0</v>
      </c>
      <c r="BI255" s="697">
        <v>0</v>
      </c>
      <c r="BJ255" s="697">
        <v>0</v>
      </c>
      <c r="BK255" s="1492">
        <f t="shared" si="27"/>
        <v>0</v>
      </c>
      <c r="BL255" s="1492"/>
      <c r="BM255" s="1492">
        <f t="shared" si="28"/>
        <v>0</v>
      </c>
      <c r="BN255" s="1492">
        <f t="shared" si="29"/>
        <v>0</v>
      </c>
      <c r="BO255" s="697"/>
      <c r="BP255" s="697"/>
      <c r="BQ255" s="1495" t="s">
        <v>6939</v>
      </c>
      <c r="BR255" s="1495" t="s">
        <v>818</v>
      </c>
      <c r="BS255" s="1902" t="s">
        <v>655</v>
      </c>
      <c r="BT255" s="1907" t="s">
        <v>1974</v>
      </c>
    </row>
    <row r="256" spans="1:72" ht="13">
      <c r="A256" s="1545">
        <v>799</v>
      </c>
      <c r="B256" s="1546" t="s">
        <v>780</v>
      </c>
      <c r="C256" s="1546" t="s">
        <v>796</v>
      </c>
      <c r="D256" s="1547" t="s">
        <v>6885</v>
      </c>
      <c r="E256" s="690" t="s">
        <v>791</v>
      </c>
      <c r="F256" s="691"/>
      <c r="G256" s="692"/>
      <c r="H256" s="692"/>
      <c r="I256" s="692"/>
      <c r="J256" s="693"/>
      <c r="K256" s="693"/>
      <c r="L256" s="693"/>
      <c r="M256" s="694"/>
      <c r="N256" s="695"/>
      <c r="O256" s="696" t="s">
        <v>1569</v>
      </c>
      <c r="P256" s="695">
        <f>IF(SETUP!$F$27="Upfront",'HIV-Key Info'!$E$65*SUM('EBS-H'!K296:K312),0)</f>
        <v>0</v>
      </c>
      <c r="Q256" s="695" t="s">
        <v>1569</v>
      </c>
      <c r="R256" s="695">
        <f>IF(SETUP!$F$27="Upfront",'HIV-Key Info'!$E$65*SUM('EBS-H'!O296:O312),IF(SETUP!$F$27="At delivery", IF(SETUP!$G$27=1,'HIV-Key Info'!$E$65*SUM('EBS-H'!K296:K312),0),0))</f>
        <v>0</v>
      </c>
      <c r="S256" s="695" t="s">
        <v>1569</v>
      </c>
      <c r="T256" s="695">
        <f>IF(SETUP!$F$27="Upfront",'HIV-Key Info'!$E$65*SUM('EBS-H'!S296:S312),IF(SETUP!$F$27="At delivery", IF(SETUP!$G$27=2,'HIV-Key Info'!$E$65*SUM('EBS-H'!K296:K312),IF(SETUP!$G$27=1,'HIV-Key Info'!$E$65*SUM('EBS-H'!O296:O312),0)),0))</f>
        <v>0</v>
      </c>
      <c r="U256" s="695" t="s">
        <v>1569</v>
      </c>
      <c r="V256" s="695">
        <f>IF(SETUP!$F$27="Upfront",'HIV-Key Info'!$E$65*SUM('EBS-H'!W296:W312),IF(SETUP!$F$27="At delivery", IF(SETUP!$G$27=3,'HIV-Key Info'!$E$65*SUM('EBS-H'!K296:K312),IF(SETUP!$G$27=2,'HIV-Key Info'!$E$65*SUM('EBS-H'!O296:O312),IF(SETUP!$G$27=1,'HIV-Key Info'!$E$65*SUM('EBS-H'!S296:S312),0))),0))</f>
        <v>0</v>
      </c>
      <c r="W256" s="695"/>
      <c r="X256" s="1492">
        <f t="shared" si="24"/>
        <v>0</v>
      </c>
      <c r="Y256" s="1493"/>
      <c r="Z256" s="1494"/>
      <c r="AA256" s="699"/>
      <c r="AB256" s="695"/>
      <c r="AC256" s="695">
        <f>IF(SETUP!$F$27="Upfront",'HIV-Key Info'!$E$65*SUM('EBS-H'!AC296:AC312),IF(SETUP!$F$27="At delivery", IF(SETUP!$G$27=4,'HIV-Key Info'!$E$65*SUM('EBS-H'!K296:K312),IF(SETUP!$G$27=3,'HIV-Key Info'!$E$65*SUM('EBS-H'!O296:O312),IF(SETUP!$G$27=2,'HIV-Key Info'!$E$65*SUM('EBS-H'!S296:S312),IF(SETUP!$G$27=1,'HIV-Key Info'!$E$65*SUM('EBS-H'!W296:W312),0)))),0))</f>
        <v>0</v>
      </c>
      <c r="AD256" s="695"/>
      <c r="AE256" s="695">
        <f>IF(SETUP!$F$27="Upfront",'HIV-Key Info'!$E$65*SUM('EBS-H'!AG296:AG312),IF(SETUP!$F$27="At delivery", IF(SETUP!$G$27=4,'HIV-Key Info'!$E$65*SUM('EBS-H'!O296:O312),IF(SETUP!$G$27=3,'HIV-Key Info'!$E$65*SUM('EBS-H'!S296:S312),IF(SETUP!$G$27=2,'HIV-Key Info'!$E$65*SUM('EBS-H'!W296:W312),IF(SETUP!$G$27=1,'HIV-Key Info'!$E$65*SUM('EBS-H'!AC296:AC312),0)))),0))</f>
        <v>0</v>
      </c>
      <c r="AF256" s="695"/>
      <c r="AG256" s="695">
        <f>IF(SETUP!$F$27="Upfront",'HIV-Key Info'!$E$65*SUM('EBS-H'!AK296:AK312),IF(SETUP!$F$27="At delivery", IF(SETUP!$G$27=4,'HIV-Key Info'!$E$65*SUM('EBS-H'!S296:S312),IF(SETUP!$G$27=3,'HIV-Key Info'!$E$65*SUM('EBS-H'!W296:W312),IF(SETUP!$G$27=2,'HIV-Key Info'!$E$65*SUM('EBS-H'!AC296:AC312),IF(SETUP!$G$27=1,'HIV-Key Info'!$E$65*SUM('EBS-H'!AG296:AG312),0)))),0))</f>
        <v>0</v>
      </c>
      <c r="AH256" s="695"/>
      <c r="AI256" s="695">
        <f>IF(SETUP!$F$27="Upfront",'HIV-Key Info'!$E$65*SUM('EBS-H'!AO296:AO312),IF(SETUP!$F$27="At delivery", IF(SETUP!$G$27=4,'HIV-Key Info'!$E$65*SUM('EBS-H'!W296:W312),IF(SETUP!$G$27=3,'HIV-Key Info'!$E$65*SUM('EBS-H'!AC296:AC312),IF(SETUP!$G$27=2,'HIV-Key Info'!$E$65*SUM('EBS-H'!AG296:AG312),IF(SETUP!$G$27=1,'HIV-Key Info'!$E$65*SUM('EBS-H'!AK296:AK312),0)))),0))</f>
        <v>0</v>
      </c>
      <c r="AJ256" s="695"/>
      <c r="AK256" s="1492">
        <f t="shared" si="25"/>
        <v>0</v>
      </c>
      <c r="AL256" s="1493"/>
      <c r="AM256" s="1494"/>
      <c r="AN256" s="699"/>
      <c r="AO256" s="695"/>
      <c r="AP256" s="695">
        <f>IF(SETUP!$F$27="Upfront",'HIV-Key Info'!$E$65*SUM('EBS-H'!AU296:AU312),IF(SETUP!$F$27="At delivery", IF(SETUP!$G$27=4,'HIV-Key Info'!$E$65*SUM('EBS-H'!AC296:AC312),IF(SETUP!$G$27=3,'HIV-Key Info'!$E$65*SUM('EBS-H'!AG296:AG312),IF(SETUP!$G$27=2,'HIV-Key Info'!$E$65*SUM('EBS-H'!AK296:AK312),IF(SETUP!$G$27=1,'HIV-Key Info'!$E$65*SUM('EBS-H'!AO296:AO312),0)))),0))</f>
        <v>0</v>
      </c>
      <c r="AQ256" s="695"/>
      <c r="AR256" s="695">
        <f>IF(SETUP!$F$27="Upfront",'HIV-Key Info'!$E$65*SUM('EBS-H'!AY296:AY312),IF(SETUP!$F$27="At delivery", IF(SETUP!$G$27=4,'HIV-Key Info'!$E$65*SUM('EBS-H'!AG296:AG312),IF(SETUP!$G$27=3,'HIV-Key Info'!$E$65*SUM('EBS-H'!AK296:AK312),IF(SETUP!$G$27=2,'HIV-Key Info'!$E$65*SUM('EBS-H'!AO296:AO312),IF(SETUP!$G$27=1,'HIV-Key Info'!$E$65*SUM('EBS-H'!AU296:AU312),0)))),0))</f>
        <v>0</v>
      </c>
      <c r="AS256" s="695"/>
      <c r="AT256" s="695">
        <f>IF(SETUP!$F$27="Upfront",'HIV-Key Info'!$E$65*SUM('EBS-H'!BC296:BC312),IF(SETUP!$F$27="At delivery", IF(SETUP!$G$27=4,'HIV-Key Info'!$E$65*SUM('EBS-H'!AK296:AK312),IF(SETUP!$G$27=3,'HIV-Key Info'!$E$65*SUM('EBS-H'!AO296:AO312),IF(SETUP!$G$27=2,'HIV-Key Info'!$E$65*SUM('EBS-H'!AU296:AU312),IF(SETUP!$G$27=1,'HIV-Key Info'!$E$65*SUM('EBS-H'!AY296:AY312),0)))),0))</f>
        <v>0</v>
      </c>
      <c r="AU256" s="695"/>
      <c r="AV256" s="695">
        <f>IF(SETUP!$F$27="Upfront",'HIV-Key Info'!$E$65*SUM('EBS-H'!BG296:BG312),IF(SETUP!$F$27="At delivery", IF(SETUP!$G$27=4,'HIV-Key Info'!$E$65*SUM(SUM('EBS-H'!AO296:AO312),SUM('EBS-H'!AU296:AU312),SUM('EBS-H'!AY296:AY312),SUM('EBS-H'!BC296:BC312),SUM('EBS-H'!BG296:BG312)),IF(SETUP!$G$27=3,'HIV-Key Info'!$E$65*SUM(SUM('EBS-H'!AU296:AU312),SUM('EBS-H'!AY296:AY312),SUM('EBS-H'!BC296:BC312),SUM('EBS-H'!BG296:BG312)),IF(SETUP!$G$27=2,'HIV-Key Info'!$E$65*SUM(SUM('EBS-H'!AY296:AY312),SUM('EBS-H'!BC296:BC312),SUM('EBS-H'!BG296:BG312)),IF(SETUP!$G$27=1,'HIV-Key Info'!$E$65*SUM(SUM('EBS-H'!BC296:BC312),SUM('EBS-H'!BG296:BG312)),0)))),0))</f>
        <v>0</v>
      </c>
      <c r="AW256" s="695"/>
      <c r="AX256" s="1492">
        <f t="shared" si="26"/>
        <v>0</v>
      </c>
      <c r="AY256" s="1492"/>
      <c r="AZ256" s="698"/>
      <c r="BA256" s="699"/>
      <c r="BB256" s="697"/>
      <c r="BC256" s="697">
        <v>0</v>
      </c>
      <c r="BD256" s="697">
        <v>0</v>
      </c>
      <c r="BE256" s="697">
        <v>0</v>
      </c>
      <c r="BF256" s="697">
        <v>0</v>
      </c>
      <c r="BG256" s="697">
        <v>0</v>
      </c>
      <c r="BH256" s="697">
        <v>0</v>
      </c>
      <c r="BI256" s="697">
        <v>0</v>
      </c>
      <c r="BJ256" s="697">
        <v>0</v>
      </c>
      <c r="BK256" s="1492">
        <f t="shared" si="27"/>
        <v>0</v>
      </c>
      <c r="BL256" s="1492"/>
      <c r="BM256" s="1492">
        <f t="shared" si="28"/>
        <v>0</v>
      </c>
      <c r="BN256" s="1492">
        <f t="shared" si="29"/>
        <v>0</v>
      </c>
      <c r="BO256" s="697"/>
      <c r="BP256" s="697"/>
      <c r="BQ256" s="1495" t="s">
        <v>6940</v>
      </c>
      <c r="BR256" s="1495" t="s">
        <v>818</v>
      </c>
      <c r="BS256" s="1902" t="s">
        <v>790</v>
      </c>
      <c r="BT256" s="1907" t="s">
        <v>1975</v>
      </c>
    </row>
    <row r="257" spans="1:72" ht="13">
      <c r="A257" s="1545">
        <v>800</v>
      </c>
      <c r="B257" s="1546" t="s">
        <v>780</v>
      </c>
      <c r="C257" s="1546" t="s">
        <v>796</v>
      </c>
      <c r="D257" s="1547" t="s">
        <v>6885</v>
      </c>
      <c r="E257" s="690" t="s">
        <v>793</v>
      </c>
      <c r="F257" s="691"/>
      <c r="G257" s="692"/>
      <c r="H257" s="692"/>
      <c r="I257" s="692"/>
      <c r="J257" s="693"/>
      <c r="K257" s="693"/>
      <c r="L257" s="693"/>
      <c r="M257" s="694"/>
      <c r="N257" s="695"/>
      <c r="O257" s="696" t="s">
        <v>1569</v>
      </c>
      <c r="P257" s="695">
        <f>IF(SETUP!$F$27="Upfront",'HIV-Key Info'!$F$65*SUM('EBS-H'!K313:K317),0)</f>
        <v>0</v>
      </c>
      <c r="Q257" s="695" t="s">
        <v>1569</v>
      </c>
      <c r="R257" s="695">
        <f>IF(SETUP!$F$27="Upfront",'HIV-Key Info'!$F$65*SUM('EBS-H'!O313:O317),IF(SETUP!$F$27="At delivery", IF(SETUP!$G$27=1,'HIV-Key Info'!$F$65*SUM('EBS-H'!K313:K317),0),0))</f>
        <v>0</v>
      </c>
      <c r="S257" s="695" t="s">
        <v>1569</v>
      </c>
      <c r="T257" s="695">
        <f>IF(SETUP!$F$27="Upfront",'HIV-Key Info'!$F$65*SUM('EBS-H'!S313:S317),IF(SETUP!$F$27="At delivery", IF(SETUP!$G$27=2,'HIV-Key Info'!$F$65*SUM('EBS-H'!K313:K317),IF(SETUP!$G$27=1,'HIV-Key Info'!$F$65*SUM('EBS-H'!O313:O317),0)),0))</f>
        <v>0</v>
      </c>
      <c r="U257" s="695" t="s">
        <v>1569</v>
      </c>
      <c r="V257" s="695">
        <f>IF(SETUP!$F$27="Upfront",'HIV-Key Info'!$F$65*SUM('EBS-H'!W313:W317),IF(SETUP!$F$27="At delivery", IF(SETUP!$G$27=3,'HIV-Key Info'!$F$65*SUM('EBS-H'!K313:K317),IF(SETUP!$G$27=2,'HIV-Key Info'!$F$65*SUM('EBS-H'!O313:O317),IF(SETUP!$G$27=1,'HIV-Key Info'!$F$65*SUM('EBS-H'!S313:S317),0))),0))</f>
        <v>0</v>
      </c>
      <c r="W257" s="695"/>
      <c r="X257" s="1492">
        <f t="shared" ref="X257:X320" si="30">P257+R257+T257+V257</f>
        <v>0</v>
      </c>
      <c r="Y257" s="1493"/>
      <c r="Z257" s="1494"/>
      <c r="AA257" s="699"/>
      <c r="AB257" s="695"/>
      <c r="AC257" s="695">
        <f>IF(SETUP!$F$27="Upfront",'HIV-Key Info'!$F$65*SUM('EBS-H'!AC313:AC317),IF(SETUP!$F$27="At delivery", IF(SETUP!$G$27=4,'HIV-Key Info'!$F$65*SUM('EBS-H'!K313:K317),IF(SETUP!$G$27=3,'HIV-Key Info'!$F$65*SUM('EBS-H'!O313:O317),IF(SETUP!$G$27=2,'HIV-Key Info'!$F$65*SUM('EBS-H'!S313:S317),IF(SETUP!$G$27=1,'HIV-Key Info'!$F$65*SUM('EBS-H'!W313:W317),0)))),0))</f>
        <v>0</v>
      </c>
      <c r="AD257" s="695"/>
      <c r="AE257" s="695">
        <f>IF(SETUP!$F$27="Upfront",'HIV-Key Info'!$F$65*SUM('EBS-H'!AG313:AG317),IF(SETUP!$F$27="At delivery", IF(SETUP!$G$27=4,'HIV-Key Info'!$F$65*SUM('EBS-H'!O313:O317),IF(SETUP!$G$27=3,'HIV-Key Info'!$F$65*SUM('EBS-H'!S313:S317),IF(SETUP!$G$27=2,'HIV-Key Info'!$F$65*SUM('EBS-H'!W313:W317),IF(SETUP!$G$27=1,'HIV-Key Info'!$F$65*SUM('EBS-H'!AC313:AC317),0)))),0))</f>
        <v>0</v>
      </c>
      <c r="AF257" s="695"/>
      <c r="AG257" s="695">
        <f>IF(SETUP!$F$27="Upfront",'HIV-Key Info'!$F$65*SUM('EBS-H'!AK313:AK317),IF(SETUP!$F$27="At delivery", IF(SETUP!$G$27=4,'HIV-Key Info'!$F$65*SUM('EBS-H'!S313:S317),IF(SETUP!$G$27=3,'HIV-Key Info'!$F$65*SUM('EBS-H'!W313:W317),IF(SETUP!$G$27=2,'HIV-Key Info'!$F$65*SUM('EBS-H'!AC313:AC317),IF(SETUP!$G$27=1,'HIV-Key Info'!$F$65*SUM('EBS-H'!AG313:AG317),0)))),0))</f>
        <v>0</v>
      </c>
      <c r="AH257" s="695"/>
      <c r="AI257" s="695">
        <f>IF(SETUP!$F$27="Upfront",'HIV-Key Info'!$F$65*SUM('EBS-H'!AO313:AO317),IF(SETUP!$F$27="At delivery", IF(SETUP!$G$27=4,'HIV-Key Info'!$F$65*SUM('EBS-H'!W313:W317),IF(SETUP!$G$27=3,'HIV-Key Info'!$F$65*SUM('EBS-H'!AC313:AC317),IF(SETUP!$G$27=2,'HIV-Key Info'!$F$65*SUM('EBS-H'!AG313:AG317),IF(SETUP!$G$27=1,'HIV-Key Info'!$F$65*SUM('EBS-H'!AK313:AK317),0)))),0))</f>
        <v>0</v>
      </c>
      <c r="AJ257" s="695"/>
      <c r="AK257" s="1492">
        <f t="shared" ref="AK257:AK320" si="31">AI257+AG257+AE257+AC257</f>
        <v>0</v>
      </c>
      <c r="AL257" s="1493"/>
      <c r="AM257" s="1494"/>
      <c r="AN257" s="699"/>
      <c r="AO257" s="695"/>
      <c r="AP257" s="695">
        <f>IF(SETUP!$F$27="Upfront",'HIV-Key Info'!$F$65*SUM('EBS-H'!AU313:AU317),IF(SETUP!$F$27="At delivery", IF(SETUP!$G$27=4,'HIV-Key Info'!$F$65*SUM('EBS-H'!AC313:AC317),IF(SETUP!$G$27=3,'HIV-Key Info'!$F$65*SUM('EBS-H'!AG313:AG317),IF(SETUP!$G$27=2,'HIV-Key Info'!$F$65*SUM('EBS-H'!AK313:AK317),IF(SETUP!$G$27=1,'HIV-Key Info'!$F$65*SUM('EBS-H'!AO313:AO317),0)))),0))</f>
        <v>0</v>
      </c>
      <c r="AQ257" s="695"/>
      <c r="AR257" s="695">
        <f>IF(SETUP!$F$27="Upfront",'HIV-Key Info'!$F$65*SUM('EBS-H'!AY313:AY317),IF(SETUP!$F$27="At delivery", IF(SETUP!$G$27=4,'HIV-Key Info'!$F$65*SUM('EBS-H'!AG313:AG317),IF(SETUP!$G$27=3,'HIV-Key Info'!$F$65*SUM('EBS-H'!AK313:AK317),IF(SETUP!$G$27=2,'HIV-Key Info'!$F$65*SUM('EBS-H'!AO313:AO317),IF(SETUP!$G$27=1,'HIV-Key Info'!$F$65*SUM('EBS-H'!AU313:AU317),0)))),0))</f>
        <v>0</v>
      </c>
      <c r="AS257" s="695"/>
      <c r="AT257" s="695">
        <f>IF(SETUP!$F$27="Upfront",'HIV-Key Info'!$F$65*SUM('EBS-H'!BC313:BC317),IF(SETUP!$F$27="At delivery", IF(SETUP!$G$27=4,'HIV-Key Info'!$F$65*SUM('EBS-H'!AK313:AK317),IF(SETUP!$G$27=3,'HIV-Key Info'!$F$65*SUM('EBS-H'!AO313:AO317),IF(SETUP!$G$27=2,'HIV-Key Info'!$F$65*SUM('EBS-H'!AU313:AU317),IF(SETUP!$G$27=1,'HIV-Key Info'!$F$65*SUM('EBS-H'!AY313:AY317),0)))),0))</f>
        <v>0</v>
      </c>
      <c r="AU257" s="695"/>
      <c r="AV257" s="695">
        <f>IF(SETUP!$F$27="Upfront",'HIV-Key Info'!$F$65*SUM('EBS-H'!BG313:BG317),IF(SETUP!$F$27="At delivery", IF(SETUP!$G$27=4,'HIV-Key Info'!$F$65*SUM(SUM('EBS-H'!AO313:AO317),SUM('EBS-H'!AU313:AU317),SUM('EBS-H'!AY313:AY317),SUM('EBS-H'!BC313:BC317),SUM('EBS-H'!BG313:BG317)),IF(SETUP!$G$27=3,'HIV-Key Info'!$F$65*SUM(SUM('EBS-H'!AU313:AU317),SUM('EBS-H'!AY313:AY317),SUM('EBS-H'!BC313:BC317),SUM('EBS-H'!BG313:BG317)),IF(SETUP!$G$27=2,'HIV-Key Info'!$F$65*SUM(SUM('EBS-H'!AY313:AY317),SUM('EBS-H'!BC313:BC317),SUM('EBS-H'!BG313:BG317)),IF(SETUP!$G$27=1,'HIV-Key Info'!$F$65*SUM(SUM('EBS-H'!BC313:BC317),SUM('EBS-H'!BG313:BG317)),0)))),0))</f>
        <v>0</v>
      </c>
      <c r="AW257" s="695"/>
      <c r="AX257" s="1492">
        <f t="shared" ref="AX257:AX320" si="32">AV257+AT257+AR257+AP257</f>
        <v>0</v>
      </c>
      <c r="AY257" s="1492"/>
      <c r="AZ257" s="698"/>
      <c r="BA257" s="699"/>
      <c r="BB257" s="697"/>
      <c r="BC257" s="697">
        <v>0</v>
      </c>
      <c r="BD257" s="697">
        <v>0</v>
      </c>
      <c r="BE257" s="697">
        <v>0</v>
      </c>
      <c r="BF257" s="697">
        <v>0</v>
      </c>
      <c r="BG257" s="697">
        <v>0</v>
      </c>
      <c r="BH257" s="697">
        <v>0</v>
      </c>
      <c r="BI257" s="697">
        <v>0</v>
      </c>
      <c r="BJ257" s="697">
        <v>0</v>
      </c>
      <c r="BK257" s="1492">
        <f t="shared" ref="BK257:BK320" si="33">BI257+BG257+BE257+BC257</f>
        <v>0</v>
      </c>
      <c r="BL257" s="1492"/>
      <c r="BM257" s="1492">
        <f t="shared" si="28"/>
        <v>0</v>
      </c>
      <c r="BN257" s="1492">
        <f t="shared" si="29"/>
        <v>0</v>
      </c>
      <c r="BO257" s="697"/>
      <c r="BP257" s="697"/>
      <c r="BQ257" s="1495" t="s">
        <v>6940</v>
      </c>
      <c r="BR257" s="1495" t="s">
        <v>818</v>
      </c>
      <c r="BS257" s="1902" t="s">
        <v>790</v>
      </c>
      <c r="BT257" s="1907" t="s">
        <v>1976</v>
      </c>
    </row>
    <row r="258" spans="1:72" ht="13">
      <c r="A258" s="1545">
        <v>801</v>
      </c>
      <c r="B258" s="1546" t="s">
        <v>780</v>
      </c>
      <c r="C258" s="1546" t="s">
        <v>796</v>
      </c>
      <c r="D258" s="1547" t="s">
        <v>6885</v>
      </c>
      <c r="E258" s="690" t="s">
        <v>725</v>
      </c>
      <c r="F258" s="691"/>
      <c r="G258" s="692"/>
      <c r="H258" s="692"/>
      <c r="I258" s="692"/>
      <c r="J258" s="693"/>
      <c r="K258" s="693"/>
      <c r="L258" s="693"/>
      <c r="M258" s="694"/>
      <c r="N258" s="695"/>
      <c r="O258" s="696" t="s">
        <v>1569</v>
      </c>
      <c r="P258" s="695">
        <f>IF(SETUP!$F$28="Upfront",'HIV-Key Info'!$G$65*SUM('EBS-H'!K318:K322),0)</f>
        <v>0</v>
      </c>
      <c r="Q258" s="695" t="s">
        <v>1569</v>
      </c>
      <c r="R258" s="695">
        <f>IF(SETUP!$F$28="Upfront",'HIV-Key Info'!$G$65*SUM('EBS-H'!O318:O322),IF(SETUP!$F$28="At delivery",IF(SETUP!$G$28=1,'HIV-Key Info'!$G$65*SUM('EBS-H'!K318:K322),0),0))</f>
        <v>0</v>
      </c>
      <c r="S258" s="695" t="s">
        <v>1569</v>
      </c>
      <c r="T258" s="695">
        <f>IF(SETUP!$F$28="Upfront",'HIV-Key Info'!$G$65*SUM('EBS-H'!S318:S322),IF(SETUP!$F$28="At delivery", IF(SETUP!$G$28=2,'HIV-Key Info'!$G$65*SUM('EBS-H'!K318:K322),IF(SETUP!$G$28=1,'HIV-Key Info'!$G$65*SUM('EBS-H'!O318:O322),0)),0))</f>
        <v>0</v>
      </c>
      <c r="U258" s="695" t="s">
        <v>1569</v>
      </c>
      <c r="V258" s="695">
        <f>IF(SETUP!$F$28="Upfront",'HIV-Key Info'!$G$65*SUM('EBS-H'!W318:W322),IF(SETUP!$F$28="At delivery", IF(SETUP!$G$28=3,'HIV-Key Info'!$G$65*SUM('EBS-H'!K318:K322),IF(SETUP!$G$28=2,'HIV-Key Info'!$G$65*SUM('EBS-H'!O318:O322),IF(SETUP!$G$28=1,'HIV-Key Info'!$G$65*SUM('EBS-H'!S318:S322),0))),0))</f>
        <v>0</v>
      </c>
      <c r="W258" s="695"/>
      <c r="X258" s="1492">
        <f t="shared" si="30"/>
        <v>0</v>
      </c>
      <c r="Y258" s="1493"/>
      <c r="Z258" s="1494"/>
      <c r="AA258" s="699"/>
      <c r="AB258" s="695"/>
      <c r="AC258" s="695">
        <f>IF(SETUP!$F$28="Upfront",'HIV-Key Info'!$G$65*SUM('EBS-H'!AC318:AC322),IF(SETUP!$F$28="At delivery", IF(SETUP!$G$28=4,'HIV-Key Info'!$G$65*SUM('EBS-H'!K318:K322),IF(SETUP!$G$28=3,'HIV-Key Info'!$G$65*SUM('EBS-H'!O318:O322),IF(SETUP!$G$28=2,'HIV-Key Info'!$G$65*SUM('EBS-H'!S318:S322),IF(SETUP!$G$28=1,'HIV-Key Info'!$G$65*SUM('EBS-H'!W318:W322),0)))),0))</f>
        <v>0</v>
      </c>
      <c r="AD258" s="695"/>
      <c r="AE258" s="695">
        <f>IF(SETUP!$F$28="Upfront",'HIV-Key Info'!$G$65*SUM('EBS-H'!AG318:AG322),IF(SETUP!$F$28="At delivery", IF(SETUP!$G$28=4,'HIV-Key Info'!$G$65*SUM('EBS-H'!O318:O322),IF(SETUP!$G$28=3,'HIV-Key Info'!$G$65*SUM('EBS-H'!S318:S322),IF(SETUP!$G$28=2,'HIV-Key Info'!$G$65*SUM('EBS-H'!W318:W322),IF(SETUP!$G$28=1,'HIV-Key Info'!$G$65*SUM('EBS-H'!AC318:AC322),0)))),0))</f>
        <v>0</v>
      </c>
      <c r="AF258" s="695"/>
      <c r="AG258" s="695">
        <f>IF(SETUP!$F$28="Upfront",'HIV-Key Info'!$G$65*SUM('EBS-H'!AK318:AK322),IF(SETUP!$F$28="At delivery", IF(SETUP!$G$28=4,'HIV-Key Info'!$G$65*SUM('EBS-H'!S318:S322),IF(SETUP!$G$28=3,'HIV-Key Info'!$G$65*SUM('EBS-H'!W318:W322),IF(SETUP!$G$28=2,'HIV-Key Info'!$G$65*SUM('EBS-H'!AC318:AC322),IF(SETUP!$G$28=1,'HIV-Key Info'!$G$65*SUM('EBS-H'!AG318:AG322),0)))),0))</f>
        <v>0</v>
      </c>
      <c r="AH258" s="695"/>
      <c r="AI258" s="695">
        <f>IF(SETUP!$F$28="Upfront",'HIV-Key Info'!$G$65*SUM('EBS-H'!AO318:AO322),IF(SETUP!$F$28="At delivery", IF(SETUP!$G$28=4,'HIV-Key Info'!$G$65*SUM('EBS-H'!W318:W322),IF(SETUP!$G$28=3,'HIV-Key Info'!$G$65*SUM('EBS-H'!AC318:AC322),IF(SETUP!$G$28=2,'HIV-Key Info'!$G$65*SUM('EBS-H'!AG318:AG322),IF(SETUP!$G$28=1,'HIV-Key Info'!$G$65*SUM('EBS-H'!AK318:AK322),0)))),0))</f>
        <v>0</v>
      </c>
      <c r="AJ258" s="695"/>
      <c r="AK258" s="1492">
        <f t="shared" si="31"/>
        <v>0</v>
      </c>
      <c r="AL258" s="1493"/>
      <c r="AM258" s="1494"/>
      <c r="AN258" s="699"/>
      <c r="AO258" s="695"/>
      <c r="AP258" s="695">
        <f>IF(SETUP!$F$28="Upfront",'HIV-Key Info'!$G$65*SUM('EBS-H'!AU318:AU322),IF(SETUP!$F$28="At delivery", IF(SETUP!$G$28=4,'HIV-Key Info'!$G$65*SUM('EBS-H'!AC318:AC322),IF(SETUP!$G$28=3,'HIV-Key Info'!$G$65*SUM('EBS-H'!AG318:AG322),IF(SETUP!$G$28=2,'HIV-Key Info'!$G$65*SUM('EBS-H'!AK318:AK322),IF(SETUP!$G$28=1,'HIV-Key Info'!$G$65*SUM('EBS-H'!AO318:AO322),0)))),0))</f>
        <v>0</v>
      </c>
      <c r="AQ258" s="695"/>
      <c r="AR258" s="695">
        <f>IF(SETUP!$F$28="Upfront",'HIV-Key Info'!$G$65*SUM('EBS-H'!AY318:AY322),IF(SETUP!$F$28="At delivery", IF(SETUP!$G$28=4,'HIV-Key Info'!$G$65*SUM('EBS-H'!AG318:AG322),IF(SETUP!$G$28=3,'HIV-Key Info'!$G$65*SUM('EBS-H'!AK318:AK322),IF(SETUP!$G$28=2,'HIV-Key Info'!$G$65*SUM('EBS-H'!AO318:AO322),IF(SETUP!$G$28=1,'HIV-Key Info'!$G$65*SUM('EBS-H'!AU318:AU322),0)))),0))</f>
        <v>0</v>
      </c>
      <c r="AS258" s="695"/>
      <c r="AT258" s="695">
        <f>IF(SETUP!$F$28="Upfront",'HIV-Key Info'!$G$65*SUM('EBS-H'!BC318:BC322),IF(SETUP!$F$28="At delivery", IF(SETUP!$G$28=4,'HIV-Key Info'!$G$65*SUM('EBS-H'!AK318:AK322),IF(SETUP!$G$28=3,'HIV-Key Info'!$G$65*SUM('EBS-H'!AO318:AO322),IF(SETUP!$G$28=2,'HIV-Key Info'!$G$65*SUM('EBS-H'!AU318:AU322),IF(SETUP!$G$28=1,'HIV-Key Info'!$G$65*SUM('EBS-H'!AY318:AY322),0)))),0))</f>
        <v>0</v>
      </c>
      <c r="AU258" s="695"/>
      <c r="AV258" s="695">
        <f>IF(SETUP!$F$28="Upfront",'HIV-Key Info'!$G$65*SUM('EBS-H'!BG318:BG322),IF(SETUP!$F$28="At delivery", IF(SETUP!$G$28=4,'HIV-Key Info'!$G$65*SUM(SUM('EBS-H'!AO318:AO322),SUM('EBS-H'!AU318:AU322),SUM('EBS-H'!AY318:AY322),SUM('EBS-H'!BC318:BC322),SUM('EBS-H'!BG318:BG322)),IF(SETUP!$G$28=3,'HIV-Key Info'!$G$65*SUM(SUM('EBS-H'!AU318:AU322),SUM('EBS-H'!AY318:AY322),SUM('EBS-H'!BC318:BC322),SUM('EBS-H'!BG318:BG322)),IF(SETUP!$G$28=2,'HIV-Key Info'!$G$65*SUM(SUM('EBS-H'!AY318:AY322),SUM('EBS-H'!BC318:BC322),SUM('EBS-H'!BG318:BG322)),IF(SETUP!$G$28=1,'HIV-Key Info'!$G$65*SUM(SUM('EBS-H'!BC318:BC322),SUM('EBS-H'!BG318:BG322)),0)))),0))</f>
        <v>0</v>
      </c>
      <c r="AW258" s="695"/>
      <c r="AX258" s="1492">
        <f t="shared" si="32"/>
        <v>0</v>
      </c>
      <c r="AY258" s="1492"/>
      <c r="AZ258" s="698"/>
      <c r="BA258" s="699"/>
      <c r="BB258" s="697"/>
      <c r="BC258" s="697">
        <v>0</v>
      </c>
      <c r="BD258" s="697">
        <v>0</v>
      </c>
      <c r="BE258" s="697">
        <v>0</v>
      </c>
      <c r="BF258" s="697">
        <v>0</v>
      </c>
      <c r="BG258" s="697">
        <v>0</v>
      </c>
      <c r="BH258" s="697">
        <v>0</v>
      </c>
      <c r="BI258" s="697">
        <v>0</v>
      </c>
      <c r="BJ258" s="697">
        <v>0</v>
      </c>
      <c r="BK258" s="1492">
        <f t="shared" si="33"/>
        <v>0</v>
      </c>
      <c r="BL258" s="1492"/>
      <c r="BM258" s="1492">
        <f t="shared" ref="BM258:BM321" si="34">BJ258+AW258+AJ258+W258</f>
        <v>0</v>
      </c>
      <c r="BN258" s="1492">
        <f t="shared" ref="BN258:BN321" si="35">BK258+AX258+AK258+X258</f>
        <v>0</v>
      </c>
      <c r="BO258" s="697"/>
      <c r="BP258" s="697"/>
      <c r="BQ258" s="1495" t="s">
        <v>6940</v>
      </c>
      <c r="BR258" s="1495" t="s">
        <v>818</v>
      </c>
      <c r="BS258" s="1902" t="s">
        <v>790</v>
      </c>
      <c r="BT258" s="1907" t="s">
        <v>1977</v>
      </c>
    </row>
    <row r="259" spans="1:72" ht="13">
      <c r="A259" s="1545">
        <v>802</v>
      </c>
      <c r="B259" s="1546" t="s">
        <v>780</v>
      </c>
      <c r="C259" s="1546" t="s">
        <v>796</v>
      </c>
      <c r="D259" s="1547" t="s">
        <v>6886</v>
      </c>
      <c r="E259" s="690" t="s">
        <v>656</v>
      </c>
      <c r="F259" s="691"/>
      <c r="G259" s="692"/>
      <c r="H259" s="692"/>
      <c r="I259" s="692"/>
      <c r="J259" s="693"/>
      <c r="K259" s="693"/>
      <c r="L259" s="693"/>
      <c r="M259" s="694"/>
      <c r="N259" s="695"/>
      <c r="O259" s="696" t="s">
        <v>1569</v>
      </c>
      <c r="P259" s="695">
        <f>'HIV-Key Info'!$E$65*('HPM costs'!F27+'HPM costs'!F30)</f>
        <v>0</v>
      </c>
      <c r="Q259" s="695" t="s">
        <v>1569</v>
      </c>
      <c r="R259" s="695">
        <f>'HIV-Key Info'!$E$65*('HPM costs'!G27+'HPM costs'!G30)</f>
        <v>0</v>
      </c>
      <c r="S259" s="695" t="s">
        <v>1569</v>
      </c>
      <c r="T259" s="695">
        <f>'HIV-Key Info'!$E$65*('HPM costs'!H27+'HPM costs'!H30)</f>
        <v>0</v>
      </c>
      <c r="U259" s="695" t="s">
        <v>1569</v>
      </c>
      <c r="V259" s="695">
        <f>'HIV-Key Info'!$E$65*('HPM costs'!I27+'HPM costs'!I30)</f>
        <v>0</v>
      </c>
      <c r="W259" s="695"/>
      <c r="X259" s="1492">
        <f t="shared" si="30"/>
        <v>0</v>
      </c>
      <c r="Y259" s="1493"/>
      <c r="Z259" s="1494"/>
      <c r="AA259" s="699"/>
      <c r="AB259" s="695"/>
      <c r="AC259" s="695">
        <f>'HIV-Key Info'!$E$65*('HPM costs'!K27+'HPM costs'!K30)</f>
        <v>0</v>
      </c>
      <c r="AD259" s="695"/>
      <c r="AE259" s="695">
        <f>'HIV-Key Info'!$E$65*('HPM costs'!L27+'HPM costs'!L30)</f>
        <v>0</v>
      </c>
      <c r="AF259" s="695"/>
      <c r="AG259" s="695">
        <f>'HIV-Key Info'!$E$65*('HPM costs'!M27+'HPM costs'!M30)</f>
        <v>0</v>
      </c>
      <c r="AH259" s="695"/>
      <c r="AI259" s="695">
        <f>'HIV-Key Info'!$E$65*('HPM costs'!N27+'HPM costs'!N30)</f>
        <v>0</v>
      </c>
      <c r="AJ259" s="695"/>
      <c r="AK259" s="1492">
        <f t="shared" si="31"/>
        <v>0</v>
      </c>
      <c r="AL259" s="1493"/>
      <c r="AM259" s="1494"/>
      <c r="AN259" s="699"/>
      <c r="AO259" s="695"/>
      <c r="AP259" s="695">
        <f>'HIV-Key Info'!$E$65*('HPM costs'!P27+'HPM costs'!P30)</f>
        <v>0</v>
      </c>
      <c r="AQ259" s="695"/>
      <c r="AR259" s="695">
        <f>'HIV-Key Info'!$E$65*('HPM costs'!Q27+'HPM costs'!Q30)</f>
        <v>0</v>
      </c>
      <c r="AS259" s="695"/>
      <c r="AT259" s="695">
        <f>'HIV-Key Info'!$E$65*('HPM costs'!R27+'HPM costs'!R30)</f>
        <v>0</v>
      </c>
      <c r="AU259" s="695"/>
      <c r="AV259" s="695">
        <f>'HIV-Key Info'!$E$65*('HPM costs'!S27+'HPM costs'!S30)</f>
        <v>0</v>
      </c>
      <c r="AW259" s="695"/>
      <c r="AX259" s="1492">
        <f t="shared" si="32"/>
        <v>0</v>
      </c>
      <c r="AY259" s="1492"/>
      <c r="AZ259" s="698"/>
      <c r="BA259" s="699"/>
      <c r="BB259" s="697"/>
      <c r="BC259" s="697">
        <v>0</v>
      </c>
      <c r="BD259" s="697">
        <v>0</v>
      </c>
      <c r="BE259" s="697">
        <v>0</v>
      </c>
      <c r="BF259" s="697">
        <v>0</v>
      </c>
      <c r="BG259" s="697">
        <v>0</v>
      </c>
      <c r="BH259" s="697">
        <v>0</v>
      </c>
      <c r="BI259" s="697">
        <v>0</v>
      </c>
      <c r="BJ259" s="697">
        <v>0</v>
      </c>
      <c r="BK259" s="1492">
        <f t="shared" si="33"/>
        <v>0</v>
      </c>
      <c r="BL259" s="1492"/>
      <c r="BM259" s="1492">
        <f t="shared" si="34"/>
        <v>0</v>
      </c>
      <c r="BN259" s="1492">
        <f t="shared" si="35"/>
        <v>0</v>
      </c>
      <c r="BO259" s="697"/>
      <c r="BP259" s="697"/>
      <c r="BQ259" s="1495" t="s">
        <v>6940</v>
      </c>
      <c r="BR259" s="1495" t="s">
        <v>818</v>
      </c>
      <c r="BS259" s="1902" t="s">
        <v>655</v>
      </c>
      <c r="BT259" s="1907" t="s">
        <v>1978</v>
      </c>
    </row>
    <row r="260" spans="1:72" ht="13">
      <c r="A260" s="1545">
        <v>803</v>
      </c>
      <c r="B260" s="1546" t="s">
        <v>780</v>
      </c>
      <c r="C260" s="1546" t="s">
        <v>796</v>
      </c>
      <c r="D260" s="1547" t="s">
        <v>6886</v>
      </c>
      <c r="E260" s="690" t="s">
        <v>658</v>
      </c>
      <c r="F260" s="691"/>
      <c r="G260" s="692"/>
      <c r="H260" s="692"/>
      <c r="I260" s="692"/>
      <c r="J260" s="693"/>
      <c r="K260" s="693"/>
      <c r="L260" s="693"/>
      <c r="M260" s="694"/>
      <c r="N260" s="695"/>
      <c r="O260" s="696" t="s">
        <v>1569</v>
      </c>
      <c r="P260" s="695">
        <f>'HIV-Key Info'!$E$65*('HPM costs'!F113+'HPM costs'!F116)</f>
        <v>0</v>
      </c>
      <c r="Q260" s="695" t="s">
        <v>1569</v>
      </c>
      <c r="R260" s="695">
        <f>'HIV-Key Info'!$E$65*('HPM costs'!G113+'HPM costs'!G116)</f>
        <v>0</v>
      </c>
      <c r="S260" s="695" t="s">
        <v>1569</v>
      </c>
      <c r="T260" s="695">
        <f>'HIV-Key Info'!$E$65*('HPM costs'!H113+'HPM costs'!H116)</f>
        <v>0</v>
      </c>
      <c r="U260" s="695" t="s">
        <v>1569</v>
      </c>
      <c r="V260" s="695">
        <f>'HIV-Key Info'!$E$65*('HPM costs'!I113+'HPM costs'!I116)</f>
        <v>0</v>
      </c>
      <c r="W260" s="695"/>
      <c r="X260" s="1492">
        <f t="shared" si="30"/>
        <v>0</v>
      </c>
      <c r="Y260" s="1493"/>
      <c r="Z260" s="1494"/>
      <c r="AA260" s="699"/>
      <c r="AB260" s="695"/>
      <c r="AC260" s="695">
        <f>'HIV-Key Info'!$E$65*('HPM costs'!K113+'HPM costs'!K116)</f>
        <v>0</v>
      </c>
      <c r="AD260" s="695"/>
      <c r="AE260" s="695">
        <f>'HIV-Key Info'!$E$65*('HPM costs'!L113+'HPM costs'!L116)</f>
        <v>0</v>
      </c>
      <c r="AF260" s="695"/>
      <c r="AG260" s="695">
        <f>'HIV-Key Info'!$E$65*('HPM costs'!M113+'HPM costs'!M116)</f>
        <v>0</v>
      </c>
      <c r="AH260" s="695"/>
      <c r="AI260" s="695">
        <f>'HIV-Key Info'!$E$65*('HPM costs'!N113+'HPM costs'!N116)</f>
        <v>0</v>
      </c>
      <c r="AJ260" s="695"/>
      <c r="AK260" s="1492">
        <f t="shared" si="31"/>
        <v>0</v>
      </c>
      <c r="AL260" s="1493"/>
      <c r="AM260" s="1494"/>
      <c r="AN260" s="699"/>
      <c r="AO260" s="695"/>
      <c r="AP260" s="695">
        <f>'HIV-Key Info'!$E$65*('HPM costs'!P113+'HPM costs'!P116)</f>
        <v>0</v>
      </c>
      <c r="AQ260" s="695"/>
      <c r="AR260" s="695">
        <f>'HIV-Key Info'!$E$65*('HPM costs'!Q113+'HPM costs'!Q116)</f>
        <v>0</v>
      </c>
      <c r="AS260" s="695"/>
      <c r="AT260" s="695">
        <f>'HIV-Key Info'!$E$65*('HPM costs'!R113+'HPM costs'!R116)</f>
        <v>0</v>
      </c>
      <c r="AU260" s="695"/>
      <c r="AV260" s="695">
        <f>'HIV-Key Info'!$E$65*('HPM costs'!S113+'HPM costs'!S116)</f>
        <v>0</v>
      </c>
      <c r="AW260" s="695"/>
      <c r="AX260" s="1492">
        <f t="shared" si="32"/>
        <v>0</v>
      </c>
      <c r="AY260" s="1492"/>
      <c r="AZ260" s="698"/>
      <c r="BA260" s="699"/>
      <c r="BB260" s="697"/>
      <c r="BC260" s="697">
        <v>0</v>
      </c>
      <c r="BD260" s="697">
        <v>0</v>
      </c>
      <c r="BE260" s="697">
        <v>0</v>
      </c>
      <c r="BF260" s="697">
        <v>0</v>
      </c>
      <c r="BG260" s="697">
        <v>0</v>
      </c>
      <c r="BH260" s="697">
        <v>0</v>
      </c>
      <c r="BI260" s="697">
        <v>0</v>
      </c>
      <c r="BJ260" s="697">
        <v>0</v>
      </c>
      <c r="BK260" s="1492">
        <f t="shared" si="33"/>
        <v>0</v>
      </c>
      <c r="BL260" s="1492"/>
      <c r="BM260" s="1492">
        <f t="shared" si="34"/>
        <v>0</v>
      </c>
      <c r="BN260" s="1492">
        <f t="shared" si="35"/>
        <v>0</v>
      </c>
      <c r="BO260" s="697"/>
      <c r="BP260" s="697"/>
      <c r="BQ260" s="1495" t="s">
        <v>6940</v>
      </c>
      <c r="BR260" s="1495" t="s">
        <v>818</v>
      </c>
      <c r="BS260" s="1902" t="s">
        <v>655</v>
      </c>
      <c r="BT260" s="1907" t="s">
        <v>1979</v>
      </c>
    </row>
    <row r="261" spans="1:72" ht="13">
      <c r="A261" s="1545">
        <v>804</v>
      </c>
      <c r="B261" s="1546" t="s">
        <v>780</v>
      </c>
      <c r="C261" s="1546" t="s">
        <v>796</v>
      </c>
      <c r="D261" s="1547" t="s">
        <v>6886</v>
      </c>
      <c r="E261" s="690" t="s">
        <v>660</v>
      </c>
      <c r="F261" s="691"/>
      <c r="G261" s="692"/>
      <c r="H261" s="692"/>
      <c r="I261" s="692"/>
      <c r="J261" s="693"/>
      <c r="K261" s="693"/>
      <c r="L261" s="693"/>
      <c r="M261" s="694"/>
      <c r="N261" s="695"/>
      <c r="O261" s="696" t="s">
        <v>1569</v>
      </c>
      <c r="P261" s="695">
        <f>'HIV-Key Info'!$E$65*('HPM costs'!F373+'HPM costs'!F376)</f>
        <v>0</v>
      </c>
      <c r="Q261" s="695" t="s">
        <v>1569</v>
      </c>
      <c r="R261" s="695">
        <f>'HIV-Key Info'!$E$65*('HPM costs'!G373+'HPM costs'!G376)</f>
        <v>0</v>
      </c>
      <c r="S261" s="695" t="s">
        <v>1569</v>
      </c>
      <c r="T261" s="695">
        <f>'HIV-Key Info'!$E$65*('HPM costs'!H373+'HPM costs'!H376)</f>
        <v>0</v>
      </c>
      <c r="U261" s="695" t="s">
        <v>1569</v>
      </c>
      <c r="V261" s="695">
        <f>'HIV-Key Info'!$E$65*('HPM costs'!I373+'HPM costs'!I376)</f>
        <v>0</v>
      </c>
      <c r="W261" s="695"/>
      <c r="X261" s="1492">
        <f t="shared" si="30"/>
        <v>0</v>
      </c>
      <c r="Y261" s="1493"/>
      <c r="Z261" s="1494"/>
      <c r="AA261" s="699"/>
      <c r="AB261" s="695"/>
      <c r="AC261" s="695">
        <f>'HIV-Key Info'!$E$65*('HPM costs'!K373+'HPM costs'!K376)</f>
        <v>0</v>
      </c>
      <c r="AD261" s="695"/>
      <c r="AE261" s="695">
        <f>'HIV-Key Info'!$E$65*('HPM costs'!L373+'HPM costs'!L376)</f>
        <v>0</v>
      </c>
      <c r="AF261" s="695"/>
      <c r="AG261" s="695">
        <f>'HIV-Key Info'!$E$65*('HPM costs'!M373+'HPM costs'!M376)</f>
        <v>0</v>
      </c>
      <c r="AH261" s="695"/>
      <c r="AI261" s="695">
        <f>'HIV-Key Info'!$E$65*('HPM costs'!N373+'HPM costs'!N376)</f>
        <v>0</v>
      </c>
      <c r="AJ261" s="695"/>
      <c r="AK261" s="1492">
        <f t="shared" si="31"/>
        <v>0</v>
      </c>
      <c r="AL261" s="1493"/>
      <c r="AM261" s="1494"/>
      <c r="AN261" s="699"/>
      <c r="AO261" s="695"/>
      <c r="AP261" s="695">
        <f>'HIV-Key Info'!$E$65*('HPM costs'!P373+'HPM costs'!P376)</f>
        <v>0</v>
      </c>
      <c r="AQ261" s="695"/>
      <c r="AR261" s="695">
        <f>'HIV-Key Info'!$E$65*('HPM costs'!Q373+'HPM costs'!Q376)</f>
        <v>0</v>
      </c>
      <c r="AS261" s="695"/>
      <c r="AT261" s="695">
        <f>'HIV-Key Info'!$E$65*('HPM costs'!R373+'HPM costs'!R376)</f>
        <v>0</v>
      </c>
      <c r="AU261" s="695"/>
      <c r="AV261" s="695">
        <f>'HIV-Key Info'!$E$65*('HPM costs'!S373+'HPM costs'!S376)</f>
        <v>0</v>
      </c>
      <c r="AW261" s="695"/>
      <c r="AX261" s="1492">
        <f t="shared" si="32"/>
        <v>0</v>
      </c>
      <c r="AY261" s="1492"/>
      <c r="AZ261" s="698"/>
      <c r="BA261" s="699"/>
      <c r="BB261" s="697"/>
      <c r="BC261" s="697">
        <v>0</v>
      </c>
      <c r="BD261" s="697">
        <v>0</v>
      </c>
      <c r="BE261" s="697">
        <v>0</v>
      </c>
      <c r="BF261" s="697">
        <v>0</v>
      </c>
      <c r="BG261" s="697">
        <v>0</v>
      </c>
      <c r="BH261" s="697">
        <v>0</v>
      </c>
      <c r="BI261" s="697">
        <v>0</v>
      </c>
      <c r="BJ261" s="697">
        <v>0</v>
      </c>
      <c r="BK261" s="1492">
        <f t="shared" si="33"/>
        <v>0</v>
      </c>
      <c r="BL261" s="1492"/>
      <c r="BM261" s="1492">
        <f t="shared" si="34"/>
        <v>0</v>
      </c>
      <c r="BN261" s="1492">
        <f t="shared" si="35"/>
        <v>0</v>
      </c>
      <c r="BO261" s="697"/>
      <c r="BP261" s="697"/>
      <c r="BQ261" s="1495" t="s">
        <v>6940</v>
      </c>
      <c r="BR261" s="1495" t="s">
        <v>818</v>
      </c>
      <c r="BS261" s="1902" t="s">
        <v>655</v>
      </c>
      <c r="BT261" s="1907" t="s">
        <v>1980</v>
      </c>
    </row>
    <row r="262" spans="1:72" ht="13">
      <c r="A262" s="1545">
        <v>805</v>
      </c>
      <c r="B262" s="1546" t="s">
        <v>780</v>
      </c>
      <c r="C262" s="1546" t="s">
        <v>796</v>
      </c>
      <c r="D262" s="1547" t="s">
        <v>6886</v>
      </c>
      <c r="E262" s="690" t="s">
        <v>662</v>
      </c>
      <c r="F262" s="691"/>
      <c r="G262" s="692"/>
      <c r="H262" s="692"/>
      <c r="I262" s="692"/>
      <c r="J262" s="693"/>
      <c r="K262" s="693"/>
      <c r="L262" s="693"/>
      <c r="M262" s="694"/>
      <c r="N262" s="695"/>
      <c r="O262" s="696" t="s">
        <v>1569</v>
      </c>
      <c r="P262" s="695">
        <f>'HIV-Key Info'!$E$65*('HPM costs'!F459+'HPM costs'!F462)</f>
        <v>0</v>
      </c>
      <c r="Q262" s="695" t="s">
        <v>1569</v>
      </c>
      <c r="R262" s="695">
        <f>'HIV-Key Info'!$E$65*('HPM costs'!G459+'HPM costs'!G462)</f>
        <v>0</v>
      </c>
      <c r="S262" s="695" t="s">
        <v>1569</v>
      </c>
      <c r="T262" s="695">
        <f>'HIV-Key Info'!$E$65*('HPM costs'!H459+'HPM costs'!H462)</f>
        <v>0</v>
      </c>
      <c r="U262" s="695" t="s">
        <v>1569</v>
      </c>
      <c r="V262" s="695">
        <f>'HIV-Key Info'!$E$65*('HPM costs'!I459+'HPM costs'!I462)</f>
        <v>0</v>
      </c>
      <c r="W262" s="695"/>
      <c r="X262" s="1492">
        <f t="shared" si="30"/>
        <v>0</v>
      </c>
      <c r="Y262" s="1493"/>
      <c r="Z262" s="1494"/>
      <c r="AA262" s="699"/>
      <c r="AB262" s="695"/>
      <c r="AC262" s="695">
        <f>'HIV-Key Info'!$E$65*('HPM costs'!K459+'HPM costs'!K462)</f>
        <v>0</v>
      </c>
      <c r="AD262" s="695"/>
      <c r="AE262" s="695">
        <f>'HIV-Key Info'!$E$65*('HPM costs'!L459+'HPM costs'!L462)</f>
        <v>0</v>
      </c>
      <c r="AF262" s="695"/>
      <c r="AG262" s="695">
        <f>'HIV-Key Info'!$E$65*('HPM costs'!M459+'HPM costs'!M462)</f>
        <v>0</v>
      </c>
      <c r="AH262" s="695"/>
      <c r="AI262" s="695">
        <f>'HIV-Key Info'!$E$65*('HPM costs'!N459+'HPM costs'!N462)</f>
        <v>0</v>
      </c>
      <c r="AJ262" s="695"/>
      <c r="AK262" s="1492">
        <f t="shared" si="31"/>
        <v>0</v>
      </c>
      <c r="AL262" s="1493"/>
      <c r="AM262" s="1494"/>
      <c r="AN262" s="699"/>
      <c r="AO262" s="695"/>
      <c r="AP262" s="695">
        <f>'HIV-Key Info'!$E$65*('HPM costs'!P459+'HPM costs'!P462)</f>
        <v>0</v>
      </c>
      <c r="AQ262" s="695"/>
      <c r="AR262" s="695">
        <f>'HIV-Key Info'!$E$65*('HPM costs'!Q459+'HPM costs'!Q462)</f>
        <v>0</v>
      </c>
      <c r="AS262" s="695"/>
      <c r="AT262" s="695">
        <f>'HIV-Key Info'!$E$65*('HPM costs'!R459+'HPM costs'!R462)</f>
        <v>0</v>
      </c>
      <c r="AU262" s="695"/>
      <c r="AV262" s="695">
        <f>'HIV-Key Info'!$E$65*('HPM costs'!S459+'HPM costs'!S462)</f>
        <v>0</v>
      </c>
      <c r="AW262" s="695"/>
      <c r="AX262" s="1492">
        <f t="shared" si="32"/>
        <v>0</v>
      </c>
      <c r="AY262" s="1492"/>
      <c r="AZ262" s="698"/>
      <c r="BA262" s="699"/>
      <c r="BB262" s="697"/>
      <c r="BC262" s="697">
        <v>0</v>
      </c>
      <c r="BD262" s="697">
        <v>0</v>
      </c>
      <c r="BE262" s="697">
        <v>0</v>
      </c>
      <c r="BF262" s="697">
        <v>0</v>
      </c>
      <c r="BG262" s="697">
        <v>0</v>
      </c>
      <c r="BH262" s="697">
        <v>0</v>
      </c>
      <c r="BI262" s="697">
        <v>0</v>
      </c>
      <c r="BJ262" s="697">
        <v>0</v>
      </c>
      <c r="BK262" s="1492">
        <f t="shared" si="33"/>
        <v>0</v>
      </c>
      <c r="BL262" s="1492"/>
      <c r="BM262" s="1492">
        <f t="shared" si="34"/>
        <v>0</v>
      </c>
      <c r="BN262" s="1492">
        <f t="shared" si="35"/>
        <v>0</v>
      </c>
      <c r="BO262" s="697"/>
      <c r="BP262" s="697"/>
      <c r="BQ262" s="1495" t="s">
        <v>6940</v>
      </c>
      <c r="BR262" s="1495" t="s">
        <v>818</v>
      </c>
      <c r="BS262" s="1902" t="s">
        <v>655</v>
      </c>
      <c r="BT262" s="1907" t="s">
        <v>1981</v>
      </c>
    </row>
    <row r="263" spans="1:72" ht="13">
      <c r="A263" s="1545">
        <v>806</v>
      </c>
      <c r="B263" s="1546" t="s">
        <v>780</v>
      </c>
      <c r="C263" s="1546" t="s">
        <v>796</v>
      </c>
      <c r="D263" s="1547" t="s">
        <v>6886</v>
      </c>
      <c r="E263" s="690" t="s">
        <v>664</v>
      </c>
      <c r="F263" s="691"/>
      <c r="G263" s="692"/>
      <c r="H263" s="692"/>
      <c r="I263" s="692"/>
      <c r="J263" s="693"/>
      <c r="K263" s="693"/>
      <c r="L263" s="693"/>
      <c r="M263" s="694"/>
      <c r="N263" s="695"/>
      <c r="O263" s="696" t="s">
        <v>1569</v>
      </c>
      <c r="P263" s="695">
        <f>'HIV-Key Info'!$E$65*('HPM costs'!F199+'HPM costs'!F202+'HPM costs'!F545+'HPM costs'!F548)</f>
        <v>0</v>
      </c>
      <c r="Q263" s="695" t="s">
        <v>1569</v>
      </c>
      <c r="R263" s="695">
        <f>'HIV-Key Info'!$E$65*('HPM costs'!G199+'HPM costs'!G202+'HPM costs'!G545+'HPM costs'!G548)</f>
        <v>0</v>
      </c>
      <c r="S263" s="695" t="s">
        <v>1569</v>
      </c>
      <c r="T263" s="695">
        <f>'HIV-Key Info'!$E$65*('HPM costs'!H199+'HPM costs'!H202+'HPM costs'!H545+'HPM costs'!H548)</f>
        <v>0</v>
      </c>
      <c r="U263" s="695" t="s">
        <v>1569</v>
      </c>
      <c r="V263" s="695">
        <f>'HIV-Key Info'!$E$65*('HPM costs'!I199+'HPM costs'!I202+'HPM costs'!I545+'HPM costs'!I548)</f>
        <v>0</v>
      </c>
      <c r="W263" s="695"/>
      <c r="X263" s="1492">
        <f t="shared" si="30"/>
        <v>0</v>
      </c>
      <c r="Y263" s="1493"/>
      <c r="Z263" s="1494"/>
      <c r="AA263" s="699"/>
      <c r="AB263" s="695"/>
      <c r="AC263" s="695">
        <f>'HIV-Key Info'!$E$65*('HPM costs'!K199+'HPM costs'!K202+'HPM costs'!K545+'HPM costs'!K548)</f>
        <v>0</v>
      </c>
      <c r="AD263" s="695"/>
      <c r="AE263" s="695">
        <f>'HIV-Key Info'!$E$65*('HPM costs'!L199+'HPM costs'!L202+'HPM costs'!L545+'HPM costs'!L548)</f>
        <v>0</v>
      </c>
      <c r="AF263" s="695"/>
      <c r="AG263" s="695">
        <f>'HIV-Key Info'!$E$65*('HPM costs'!M199+'HPM costs'!M202+'HPM costs'!M545+'HPM costs'!M548)</f>
        <v>0</v>
      </c>
      <c r="AH263" s="695"/>
      <c r="AI263" s="695">
        <f>'HIV-Key Info'!$E$65*('HPM costs'!N199+'HPM costs'!N202+'HPM costs'!N545+'HPM costs'!N548)</f>
        <v>0</v>
      </c>
      <c r="AJ263" s="695"/>
      <c r="AK263" s="1492">
        <f t="shared" si="31"/>
        <v>0</v>
      </c>
      <c r="AL263" s="1493"/>
      <c r="AM263" s="1494"/>
      <c r="AN263" s="699"/>
      <c r="AO263" s="695"/>
      <c r="AP263" s="695">
        <f>'HIV-Key Info'!$E$65*('HPM costs'!P199+'HPM costs'!P202+'HPM costs'!P545+'HPM costs'!P548)</f>
        <v>0</v>
      </c>
      <c r="AQ263" s="695"/>
      <c r="AR263" s="695">
        <f>'HIV-Key Info'!$E$65*('HPM costs'!Q199+'HPM costs'!Q202+'HPM costs'!Q545+'HPM costs'!Q548)</f>
        <v>0</v>
      </c>
      <c r="AS263" s="695"/>
      <c r="AT263" s="695">
        <f>'HIV-Key Info'!$E$65*('HPM costs'!R199+'HPM costs'!R202+'HPM costs'!R545+'HPM costs'!R548)</f>
        <v>0</v>
      </c>
      <c r="AU263" s="695"/>
      <c r="AV263" s="695">
        <f>'HIV-Key Info'!$E$65*('HPM costs'!S199+'HPM costs'!S202+'HPM costs'!S545+'HPM costs'!S548)</f>
        <v>0</v>
      </c>
      <c r="AW263" s="695"/>
      <c r="AX263" s="1492">
        <f t="shared" si="32"/>
        <v>0</v>
      </c>
      <c r="AY263" s="1492"/>
      <c r="AZ263" s="698"/>
      <c r="BA263" s="699"/>
      <c r="BB263" s="697"/>
      <c r="BC263" s="697">
        <v>0</v>
      </c>
      <c r="BD263" s="697">
        <v>0</v>
      </c>
      <c r="BE263" s="697">
        <v>0</v>
      </c>
      <c r="BF263" s="697">
        <v>0</v>
      </c>
      <c r="BG263" s="697">
        <v>0</v>
      </c>
      <c r="BH263" s="697">
        <v>0</v>
      </c>
      <c r="BI263" s="697">
        <v>0</v>
      </c>
      <c r="BJ263" s="697">
        <v>0</v>
      </c>
      <c r="BK263" s="1492">
        <f t="shared" si="33"/>
        <v>0</v>
      </c>
      <c r="BL263" s="1492"/>
      <c r="BM263" s="1492">
        <f t="shared" si="34"/>
        <v>0</v>
      </c>
      <c r="BN263" s="1492">
        <f t="shared" si="35"/>
        <v>0</v>
      </c>
      <c r="BO263" s="697"/>
      <c r="BP263" s="697"/>
      <c r="BQ263" s="1495" t="s">
        <v>6940</v>
      </c>
      <c r="BR263" s="1495" t="s">
        <v>818</v>
      </c>
      <c r="BS263" s="1902" t="s">
        <v>655</v>
      </c>
      <c r="BT263" s="1907" t="s">
        <v>1982</v>
      </c>
    </row>
    <row r="264" spans="1:72" ht="13">
      <c r="A264" s="1545">
        <v>807</v>
      </c>
      <c r="B264" s="1546" t="s">
        <v>780</v>
      </c>
      <c r="C264" s="1546" t="s">
        <v>796</v>
      </c>
      <c r="D264" s="1547" t="s">
        <v>6886</v>
      </c>
      <c r="E264" s="690" t="s">
        <v>666</v>
      </c>
      <c r="F264" s="691"/>
      <c r="G264" s="692"/>
      <c r="H264" s="692"/>
      <c r="I264" s="692"/>
      <c r="J264" s="693"/>
      <c r="K264" s="693"/>
      <c r="L264" s="693"/>
      <c r="M264" s="694"/>
      <c r="N264" s="695"/>
      <c r="O264" s="696" t="s">
        <v>1569</v>
      </c>
      <c r="P264" s="695">
        <f>'HIV-Key Info'!$E$65*('HPM costs'!F285+'HPM costs'!F288)</f>
        <v>0</v>
      </c>
      <c r="Q264" s="695" t="s">
        <v>1569</v>
      </c>
      <c r="R264" s="695">
        <f>'HIV-Key Info'!$E$65*('HPM costs'!G285+'HPM costs'!G288)</f>
        <v>0</v>
      </c>
      <c r="S264" s="695" t="s">
        <v>1569</v>
      </c>
      <c r="T264" s="695">
        <f>'HIV-Key Info'!$E$65*('HPM costs'!H285+'HPM costs'!H288)</f>
        <v>0</v>
      </c>
      <c r="U264" s="695" t="s">
        <v>1569</v>
      </c>
      <c r="V264" s="695">
        <f>'HIV-Key Info'!$E$65*('HPM costs'!I285+'HPM costs'!I288)</f>
        <v>0</v>
      </c>
      <c r="W264" s="695"/>
      <c r="X264" s="1492">
        <f t="shared" si="30"/>
        <v>0</v>
      </c>
      <c r="Y264" s="1493"/>
      <c r="Z264" s="1494"/>
      <c r="AA264" s="699"/>
      <c r="AB264" s="695"/>
      <c r="AC264" s="695">
        <f>'HIV-Key Info'!$E$65*('HPM costs'!K285+'HPM costs'!K288)</f>
        <v>0</v>
      </c>
      <c r="AD264" s="695"/>
      <c r="AE264" s="695">
        <f>'HIV-Key Info'!$E$65*('HPM costs'!L285+'HPM costs'!L288)</f>
        <v>0</v>
      </c>
      <c r="AF264" s="695"/>
      <c r="AG264" s="695">
        <f>'HIV-Key Info'!$E$65*('HPM costs'!M285+'HPM costs'!M288)</f>
        <v>0</v>
      </c>
      <c r="AH264" s="695"/>
      <c r="AI264" s="695">
        <f>'HIV-Key Info'!$E$65*('HPM costs'!N285+'HPM costs'!N288)</f>
        <v>0</v>
      </c>
      <c r="AJ264" s="695"/>
      <c r="AK264" s="1492">
        <f t="shared" si="31"/>
        <v>0</v>
      </c>
      <c r="AL264" s="1493"/>
      <c r="AM264" s="1494"/>
      <c r="AN264" s="699"/>
      <c r="AO264" s="695"/>
      <c r="AP264" s="695">
        <f>'HIV-Key Info'!$E$65*('HPM costs'!P285+'HPM costs'!P288)</f>
        <v>0</v>
      </c>
      <c r="AQ264" s="695"/>
      <c r="AR264" s="695">
        <f>'HIV-Key Info'!$E$65*('HPM costs'!Q285+'HPM costs'!Q288)</f>
        <v>0</v>
      </c>
      <c r="AS264" s="695"/>
      <c r="AT264" s="695">
        <f>'HIV-Key Info'!$E$65*('HPM costs'!R285+'HPM costs'!R288)</f>
        <v>0</v>
      </c>
      <c r="AU264" s="695"/>
      <c r="AV264" s="695">
        <f>'HIV-Key Info'!$E$65*('HPM costs'!S285+'HPM costs'!S288)</f>
        <v>0</v>
      </c>
      <c r="AW264" s="695"/>
      <c r="AX264" s="1492">
        <f t="shared" si="32"/>
        <v>0</v>
      </c>
      <c r="AY264" s="1492"/>
      <c r="AZ264" s="698"/>
      <c r="BA264" s="699"/>
      <c r="BB264" s="697"/>
      <c r="BC264" s="697">
        <v>0</v>
      </c>
      <c r="BD264" s="697">
        <v>0</v>
      </c>
      <c r="BE264" s="697">
        <v>0</v>
      </c>
      <c r="BF264" s="697">
        <v>0</v>
      </c>
      <c r="BG264" s="697">
        <v>0</v>
      </c>
      <c r="BH264" s="697">
        <v>0</v>
      </c>
      <c r="BI264" s="697">
        <v>0</v>
      </c>
      <c r="BJ264" s="697">
        <v>0</v>
      </c>
      <c r="BK264" s="1492">
        <f t="shared" si="33"/>
        <v>0</v>
      </c>
      <c r="BL264" s="1492"/>
      <c r="BM264" s="1492">
        <f t="shared" si="34"/>
        <v>0</v>
      </c>
      <c r="BN264" s="1492">
        <f t="shared" si="35"/>
        <v>0</v>
      </c>
      <c r="BO264" s="697"/>
      <c r="BP264" s="697"/>
      <c r="BQ264" s="1495" t="s">
        <v>6940</v>
      </c>
      <c r="BR264" s="1495" t="s">
        <v>818</v>
      </c>
      <c r="BS264" s="1902" t="s">
        <v>655</v>
      </c>
      <c r="BT264" s="1907" t="s">
        <v>1983</v>
      </c>
    </row>
    <row r="265" spans="1:72" ht="13">
      <c r="A265" s="1545">
        <v>808</v>
      </c>
      <c r="B265" s="1546" t="s">
        <v>780</v>
      </c>
      <c r="C265" s="1546" t="s">
        <v>796</v>
      </c>
      <c r="D265" s="1547" t="s">
        <v>6886</v>
      </c>
      <c r="E265" s="690" t="s">
        <v>668</v>
      </c>
      <c r="F265" s="691"/>
      <c r="G265" s="692"/>
      <c r="H265" s="692"/>
      <c r="I265" s="692"/>
      <c r="J265" s="693"/>
      <c r="K265" s="693"/>
      <c r="L265" s="693"/>
      <c r="M265" s="694"/>
      <c r="N265" s="695"/>
      <c r="O265" s="696" t="s">
        <v>1569</v>
      </c>
      <c r="P265" s="695">
        <f>'HIV-Key Info'!$E$65*('HPM costs'!F630+'HPM costs'!F633)</f>
        <v>0</v>
      </c>
      <c r="Q265" s="695" t="s">
        <v>1569</v>
      </c>
      <c r="R265" s="695">
        <f>'HIV-Key Info'!$E$65*('HPM costs'!G630+'HPM costs'!G633)</f>
        <v>0</v>
      </c>
      <c r="S265" s="695" t="s">
        <v>1569</v>
      </c>
      <c r="T265" s="695">
        <f>'HIV-Key Info'!$E$65*('HPM costs'!H630+'HPM costs'!H633)</f>
        <v>0</v>
      </c>
      <c r="U265" s="695" t="s">
        <v>1569</v>
      </c>
      <c r="V265" s="695">
        <f>'HIV-Key Info'!$E$65*('HPM costs'!I630+'HPM costs'!I633)</f>
        <v>0</v>
      </c>
      <c r="W265" s="695"/>
      <c r="X265" s="1492">
        <f t="shared" si="30"/>
        <v>0</v>
      </c>
      <c r="Y265" s="1493"/>
      <c r="Z265" s="1494"/>
      <c r="AA265" s="699"/>
      <c r="AB265" s="695"/>
      <c r="AC265" s="695">
        <f>'HIV-Key Info'!$E$65*('HPM costs'!K630+'HPM costs'!K633)</f>
        <v>0</v>
      </c>
      <c r="AD265" s="695"/>
      <c r="AE265" s="695">
        <f>'HIV-Key Info'!$E$65*('HPM costs'!L630+'HPM costs'!L633)</f>
        <v>0</v>
      </c>
      <c r="AF265" s="695"/>
      <c r="AG265" s="695">
        <f>'HIV-Key Info'!$E$65*('HPM costs'!M630+'HPM costs'!M633)</f>
        <v>0</v>
      </c>
      <c r="AH265" s="695"/>
      <c r="AI265" s="695">
        <f>'HIV-Key Info'!$E$65*('HPM costs'!N630+'HPM costs'!N633)</f>
        <v>0</v>
      </c>
      <c r="AJ265" s="695"/>
      <c r="AK265" s="1492">
        <f t="shared" si="31"/>
        <v>0</v>
      </c>
      <c r="AL265" s="1493"/>
      <c r="AM265" s="1494"/>
      <c r="AN265" s="699"/>
      <c r="AO265" s="695"/>
      <c r="AP265" s="695">
        <f>'HIV-Key Info'!$E$65*('HPM costs'!P630+'HPM costs'!P633)</f>
        <v>0</v>
      </c>
      <c r="AQ265" s="695"/>
      <c r="AR265" s="695">
        <f>'HIV-Key Info'!$E$65*('HPM costs'!Q630+'HPM costs'!Q633)</f>
        <v>0</v>
      </c>
      <c r="AS265" s="695"/>
      <c r="AT265" s="695">
        <f>'HIV-Key Info'!$E$65*('HPM costs'!R630+'HPM costs'!R633)</f>
        <v>0</v>
      </c>
      <c r="AU265" s="695"/>
      <c r="AV265" s="695">
        <f>'HIV-Key Info'!$E$65*('HPM costs'!S630+'HPM costs'!S633)</f>
        <v>0</v>
      </c>
      <c r="AW265" s="695"/>
      <c r="AX265" s="1492">
        <f t="shared" si="32"/>
        <v>0</v>
      </c>
      <c r="AY265" s="1492"/>
      <c r="AZ265" s="698"/>
      <c r="BA265" s="699"/>
      <c r="BB265" s="697"/>
      <c r="BC265" s="697">
        <v>0</v>
      </c>
      <c r="BD265" s="697">
        <v>0</v>
      </c>
      <c r="BE265" s="697">
        <v>0</v>
      </c>
      <c r="BF265" s="697">
        <v>0</v>
      </c>
      <c r="BG265" s="697">
        <v>0</v>
      </c>
      <c r="BH265" s="697">
        <v>0</v>
      </c>
      <c r="BI265" s="697">
        <v>0</v>
      </c>
      <c r="BJ265" s="697">
        <v>0</v>
      </c>
      <c r="BK265" s="1492">
        <f t="shared" si="33"/>
        <v>0</v>
      </c>
      <c r="BL265" s="1492"/>
      <c r="BM265" s="1492">
        <f t="shared" si="34"/>
        <v>0</v>
      </c>
      <c r="BN265" s="1492">
        <f t="shared" si="35"/>
        <v>0</v>
      </c>
      <c r="BO265" s="697"/>
      <c r="BP265" s="697"/>
      <c r="BQ265" s="1495" t="s">
        <v>6940</v>
      </c>
      <c r="BR265" s="1495" t="s">
        <v>818</v>
      </c>
      <c r="BS265" s="1902" t="s">
        <v>655</v>
      </c>
      <c r="BT265" s="1907" t="s">
        <v>1984</v>
      </c>
    </row>
    <row r="266" spans="1:72" ht="13">
      <c r="A266" s="1545">
        <v>810</v>
      </c>
      <c r="B266" s="1546" t="s">
        <v>238</v>
      </c>
      <c r="C266" s="1546" t="s">
        <v>797</v>
      </c>
      <c r="D266" s="1547" t="s">
        <v>790</v>
      </c>
      <c r="E266" s="690" t="s">
        <v>791</v>
      </c>
      <c r="F266" s="691"/>
      <c r="G266" s="692"/>
      <c r="H266" s="692"/>
      <c r="I266" s="692"/>
      <c r="J266" s="693"/>
      <c r="K266" s="693"/>
      <c r="L266" s="693"/>
      <c r="M266" s="694"/>
      <c r="N266" s="695"/>
      <c r="O266" s="696" t="s">
        <v>1569</v>
      </c>
      <c r="P266" s="695">
        <f>IF(SETUP!$F$27="Upfront",'HIV-Key Info'!$E$74*SUM('EBS-H'!K296:K312),0)</f>
        <v>0</v>
      </c>
      <c r="Q266" s="695" t="s">
        <v>1569</v>
      </c>
      <c r="R266" s="695">
        <f>IF(SETUP!$F$27="Upfront",'HIV-Key Info'!$E$74*SUM('EBS-H'!O296:O312),IF(SETUP!$F$27="At delivery", IF(SETUP!$G$27=1,'HIV-Key Info'!$E$74*SUM('EBS-H'!K296:K312),0),0))</f>
        <v>0</v>
      </c>
      <c r="S266" s="695" t="s">
        <v>1569</v>
      </c>
      <c r="T266" s="695">
        <f>IF(SETUP!$F$27="Upfront",'HIV-Key Info'!$E$74*SUM('EBS-H'!S296:S312),IF(SETUP!$F$27="At delivery", IF(SETUP!$G$27=2,'HIV-Key Info'!$E$74*SUM('EBS-H'!K296:K312),IF(SETUP!$G$27=1,'HIV-Key Info'!$E$74*SUM('EBS-H'!O296:O312),0)),0))</f>
        <v>0</v>
      </c>
      <c r="U266" s="695" t="s">
        <v>1569</v>
      </c>
      <c r="V266" s="695">
        <f>IF(SETUP!$F$27="Upfront",'HIV-Key Info'!$E$74*SUM('EBS-H'!W296:W312),IF(SETUP!$F$27="At delivery", IF(SETUP!$G$27=3,'HIV-Key Info'!$E$74*SUM('EBS-H'!K296:K312),IF(SETUP!$G$27=2,'HIV-Key Info'!$E$74*SUM('EBS-H'!O296:O312),IF(SETUP!$G$27=1,'HIV-Key Info'!$E$74*SUM('EBS-H'!S296:S312),0))),0))</f>
        <v>0</v>
      </c>
      <c r="W266" s="695"/>
      <c r="X266" s="1492">
        <f t="shared" si="30"/>
        <v>0</v>
      </c>
      <c r="Y266" s="1493"/>
      <c r="Z266" s="1494"/>
      <c r="AA266" s="699"/>
      <c r="AB266" s="695"/>
      <c r="AC266" s="695">
        <f>IF(SETUP!$F$27="Upfront",'HIV-Key Info'!$E$74*SUM('EBS-H'!AC296:AC312),IF(SETUP!$F$27="At delivery", IF(SETUP!$G$27=4,'HIV-Key Info'!$E$74*SUM('EBS-H'!K296:K312),IF(SETUP!$G$27=3,'HIV-Key Info'!$E$74*SUM('EBS-H'!O296:O312),IF(SETUP!$G$27=2,'HIV-Key Info'!$E$74*SUM('EBS-H'!S296:S312),IF(SETUP!$G$27=1,'HIV-Key Info'!$E$74*SUM('EBS-H'!W296:W312),0)))),0))</f>
        <v>0</v>
      </c>
      <c r="AD266" s="695"/>
      <c r="AE266" s="695">
        <f>IF(SETUP!$F$27="Upfront",'HIV-Key Info'!$E$74*SUM('EBS-H'!AG296:AG312),IF(SETUP!$F$27="At delivery", IF(SETUP!$G$27=4,'HIV-Key Info'!$E$74*SUM('EBS-H'!O296:O312),IF(SETUP!$G$27=3,'HIV-Key Info'!$E$74*SUM('EBS-H'!S296:S312),IF(SETUP!$G$27=2,'HIV-Key Info'!$E$74*SUM('EBS-H'!W296:W312),IF(SETUP!$G$27=1,'HIV-Key Info'!$E$74*SUM('EBS-H'!AC296:AC312),0)))),0))</f>
        <v>0</v>
      </c>
      <c r="AF266" s="695"/>
      <c r="AG266" s="695">
        <f>IF(SETUP!$F$27="Upfront",'HIV-Key Info'!$E$74*SUM('EBS-H'!AK296:AK312),IF(SETUP!$F$27="At delivery", IF(SETUP!$G$27=4,'HIV-Key Info'!$E$74*SUM('EBS-H'!S296:S312),IF(SETUP!$G$27=3,'HIV-Key Info'!$E$74*SUM('EBS-H'!W296:W312),IF(SETUP!$G$27=2,'HIV-Key Info'!$E$74*SUM('EBS-H'!AC296:AC312),IF(SETUP!$G$27=1,'HIV-Key Info'!$E$74*SUM('EBS-H'!AG296:AG312),0)))),0))</f>
        <v>0</v>
      </c>
      <c r="AH266" s="695"/>
      <c r="AI266" s="695">
        <f>IF(SETUP!$F$27="Upfront",'HIV-Key Info'!$E$74*SUM('EBS-H'!AO296:AO312),IF(SETUP!$F$27="At delivery", IF(SETUP!$G$27=4,'HIV-Key Info'!$E$74*SUM('EBS-H'!W296:W312),IF(SETUP!$G$27=3,'HIV-Key Info'!$E$74*SUM('EBS-H'!AC296:AC312),IF(SETUP!$G$27=2,'HIV-Key Info'!$E$74*SUM('EBS-H'!AG296:AG312),IF(SETUP!$G$27=1,'HIV-Key Info'!$E$74*SUM('EBS-H'!AK296:AK312),0)))),0))</f>
        <v>0</v>
      </c>
      <c r="AJ266" s="695"/>
      <c r="AK266" s="1492">
        <f t="shared" si="31"/>
        <v>0</v>
      </c>
      <c r="AL266" s="1493"/>
      <c r="AM266" s="1494"/>
      <c r="AN266" s="699"/>
      <c r="AO266" s="695"/>
      <c r="AP266" s="695">
        <f>IF(SETUP!$F$27="Upfront",'HIV-Key Info'!$E$74*SUM('EBS-H'!AU296:AU312),IF(SETUP!$F$27="At delivery", IF(SETUP!$G$27=4,'HIV-Key Info'!$E$74*SUM('EBS-H'!AC296:AC312),IF(SETUP!$G$27=3,'HIV-Key Info'!$E$74*SUM('EBS-H'!AG296:AG312),IF(SETUP!$G$27=2,'HIV-Key Info'!$E$74*SUM('EBS-H'!AK296:AK312),IF(SETUP!$G$27=1,'HIV-Key Info'!$E$74*SUM('EBS-H'!AO296:AO312),0)))),0))</f>
        <v>0</v>
      </c>
      <c r="AQ266" s="695"/>
      <c r="AR266" s="695">
        <f>IF(SETUP!$F$27="Upfront",'HIV-Key Info'!$E$74*SUM('EBS-H'!AY296:AY312),IF(SETUP!$F$27="At delivery", IF(SETUP!$G$27=4,'HIV-Key Info'!$E$74*SUM('EBS-H'!AG296:AG312),IF(SETUP!$G$27=3,'HIV-Key Info'!$E$74*SUM('EBS-H'!AK296:AK312),IF(SETUP!$G$27=2,'HIV-Key Info'!$E$74*SUM('EBS-H'!AO296:AO312),IF(SETUP!$G$27=1,'HIV-Key Info'!$E$74*SUM('EBS-H'!AU296:AU312),0)))),0))</f>
        <v>0</v>
      </c>
      <c r="AS266" s="695"/>
      <c r="AT266" s="695">
        <f>IF(SETUP!$F$27="Upfront",'HIV-Key Info'!$E$74*SUM('EBS-H'!BC296:BC312),IF(SETUP!$F$27="At delivery", IF(SETUP!$G$27=4,'HIV-Key Info'!$E$74*SUM('EBS-H'!AK296:AK312),IF(SETUP!$G$27=3,'HIV-Key Info'!$E$74*SUM('EBS-H'!AO296:AO312),IF(SETUP!$G$27=2,'HIV-Key Info'!$E$74*SUM('EBS-H'!AU296:AU312),IF(SETUP!$G$27=1,'HIV-Key Info'!$E$74*SUM('EBS-H'!AY296:AY312),0)))),0))</f>
        <v>0</v>
      </c>
      <c r="AU266" s="695"/>
      <c r="AV266" s="695">
        <f>IF(SETUP!$F$27="Upfront",'HIV-Key Info'!$E$74*SUM('EBS-H'!BG296:BG312),IF(SETUP!$F$27="At delivery", IF(SETUP!$G$27=4,'HIV-Key Info'!$E$74*SUM(SUM('EBS-H'!AO296:AO312),SUM('EBS-H'!AU296:AU312),SUM('EBS-H'!AY296:AY312),SUM('EBS-H'!BC296:BC312),SUM('EBS-H'!BG296:BG312)),IF(SETUP!$G$27=3,'HIV-Key Info'!$E$74*SUM(SUM('EBS-H'!AU296:AU312),SUM('EBS-H'!AY296:AY312),SUM('EBS-H'!BC296:BC312),SUM('EBS-H'!BG296:BG312)),IF(SETUP!$G$27=2,'HIV-Key Info'!$E$74*SUM(SUM('EBS-H'!AY296:AY312),SUM('EBS-H'!BC296:BC312),SUM('EBS-H'!BG296:BG312)),IF(SETUP!$G$27=1,'HIV-Key Info'!$E$74*SUM(SUM('EBS-H'!BC296:BC312),SUM('EBS-H'!BG296:BG312)),0)))),0))</f>
        <v>0</v>
      </c>
      <c r="AW266" s="695"/>
      <c r="AX266" s="1492">
        <f t="shared" si="32"/>
        <v>0</v>
      </c>
      <c r="AY266" s="1492"/>
      <c r="AZ266" s="698"/>
      <c r="BA266" s="699"/>
      <c r="BB266" s="697"/>
      <c r="BC266" s="697">
        <v>0</v>
      </c>
      <c r="BD266" s="697">
        <v>0</v>
      </c>
      <c r="BE266" s="697">
        <v>0</v>
      </c>
      <c r="BF266" s="697">
        <v>0</v>
      </c>
      <c r="BG266" s="697">
        <v>0</v>
      </c>
      <c r="BH266" s="697">
        <v>0</v>
      </c>
      <c r="BI266" s="697">
        <v>0</v>
      </c>
      <c r="BJ266" s="697">
        <v>0</v>
      </c>
      <c r="BK266" s="1492">
        <f t="shared" si="33"/>
        <v>0</v>
      </c>
      <c r="BL266" s="1492"/>
      <c r="BM266" s="1492">
        <f t="shared" si="34"/>
        <v>0</v>
      </c>
      <c r="BN266" s="1492">
        <f t="shared" si="35"/>
        <v>0</v>
      </c>
      <c r="BO266" s="697"/>
      <c r="BP266" s="697"/>
      <c r="BQ266" s="1495" t="s">
        <v>238</v>
      </c>
      <c r="BR266" s="1495" t="s">
        <v>818</v>
      </c>
      <c r="BS266" s="1902" t="s">
        <v>790</v>
      </c>
      <c r="BT266" s="1907" t="s">
        <v>1985</v>
      </c>
    </row>
    <row r="267" spans="1:72" ht="13">
      <c r="A267" s="1545">
        <v>811</v>
      </c>
      <c r="B267" s="1546" t="s">
        <v>238</v>
      </c>
      <c r="C267" s="1546" t="s">
        <v>797</v>
      </c>
      <c r="D267" s="1547" t="s">
        <v>790</v>
      </c>
      <c r="E267" s="690" t="s">
        <v>793</v>
      </c>
      <c r="F267" s="691"/>
      <c r="G267" s="692"/>
      <c r="H267" s="692"/>
      <c r="I267" s="692"/>
      <c r="J267" s="693"/>
      <c r="K267" s="693"/>
      <c r="L267" s="693"/>
      <c r="M267" s="694"/>
      <c r="N267" s="695"/>
      <c r="O267" s="696" t="s">
        <v>1569</v>
      </c>
      <c r="P267" s="695">
        <f>IF(SETUP!$F$27="Upfront",'HIV-Key Info'!$F$74*SUM('EBS-H'!K313:K317),0)</f>
        <v>0</v>
      </c>
      <c r="Q267" s="695" t="s">
        <v>1569</v>
      </c>
      <c r="R267" s="695">
        <f>IF(SETUP!$F$27="Upfront",'HIV-Key Info'!$F$74*SUM('EBS-H'!O313:O317),IF(SETUP!$F$27="At delivery", IF(SETUP!$G$27=1,'HIV-Key Info'!$F$74*SUM('EBS-H'!K313:K317),0),0))</f>
        <v>0</v>
      </c>
      <c r="S267" s="695" t="s">
        <v>1569</v>
      </c>
      <c r="T267" s="695">
        <f>IF(SETUP!$F$27="Upfront",'HIV-Key Info'!$F$74*SUM('EBS-H'!S313:S317),IF(SETUP!$F$27="At delivery", IF(SETUP!$G$27=2,'HIV-Key Info'!$F$74*SUM('EBS-H'!K313:K317),IF(SETUP!$G$27=1,'HIV-Key Info'!$F$74*SUM('EBS-H'!O313:O317),0)),0))</f>
        <v>0</v>
      </c>
      <c r="U267" s="695" t="s">
        <v>1569</v>
      </c>
      <c r="V267" s="695">
        <f>IF(SETUP!$F$27="Upfront",'HIV-Key Info'!$F$74*SUM('EBS-H'!W313:W317),IF(SETUP!$F$27="At delivery", IF(SETUP!$G$27=3,'HIV-Key Info'!$F$74*SUM('EBS-H'!K313:K317),IF(SETUP!$G$27=2,'HIV-Key Info'!$F$74*SUM('EBS-H'!O313:O317),IF(SETUP!$G$27=1,'HIV-Key Info'!$F$74*SUM('EBS-H'!S313:S317),0))),0))</f>
        <v>0</v>
      </c>
      <c r="W267" s="695"/>
      <c r="X267" s="1492">
        <f t="shared" si="30"/>
        <v>0</v>
      </c>
      <c r="Y267" s="1493"/>
      <c r="Z267" s="1494"/>
      <c r="AA267" s="699"/>
      <c r="AB267" s="695"/>
      <c r="AC267" s="695">
        <f>IF(SETUP!$F$27="Upfront",'HIV-Key Info'!$F$74*SUM('EBS-H'!AC313:AC317),IF(SETUP!$F$27="At delivery", IF(SETUP!$G$27=4,'HIV-Key Info'!$F$74*SUM('EBS-H'!K313:K317),IF(SETUP!$G$27=3,'HIV-Key Info'!$F$74*SUM('EBS-H'!O313:O317),IF(SETUP!$G$27=2,'HIV-Key Info'!$F$74*SUM('EBS-H'!S313:S317),IF(SETUP!$G$27=1,'HIV-Key Info'!$F$74*SUM('EBS-H'!W313:W317),0)))),0))</f>
        <v>0</v>
      </c>
      <c r="AD267" s="695"/>
      <c r="AE267" s="695">
        <f>IF(SETUP!$F$27="Upfront",'HIV-Key Info'!$F$74*SUM('EBS-H'!AG313:AG317),IF(SETUP!$F$27="At delivery", IF(SETUP!$G$27=4,'HIV-Key Info'!$F$74*SUM('EBS-H'!O313:O317),IF(SETUP!$G$27=3,'HIV-Key Info'!$F$74*SUM('EBS-H'!S313:S317),IF(SETUP!$G$27=2,'HIV-Key Info'!$F$74*SUM('EBS-H'!W313:W317),IF(SETUP!$G$27=1,'HIV-Key Info'!$F$74*SUM('EBS-H'!AC313:AC317),0)))),0))</f>
        <v>0</v>
      </c>
      <c r="AF267" s="695"/>
      <c r="AG267" s="695">
        <f>IF(SETUP!$F$27="Upfront",'HIV-Key Info'!$F$74*SUM('EBS-H'!AK313:AK317),IF(SETUP!$F$27="At delivery", IF(SETUP!$G$27=4,'HIV-Key Info'!$F$74*SUM('EBS-H'!S313:S317),IF(SETUP!$G$27=3,'HIV-Key Info'!$F$74*SUM('EBS-H'!W313:W317),IF(SETUP!$G$27=2,'HIV-Key Info'!$F$74*SUM('EBS-H'!AC313:AC317),IF(SETUP!$G$27=1,'HIV-Key Info'!$F$74*SUM('EBS-H'!AG313:AG317),0)))),0))</f>
        <v>0</v>
      </c>
      <c r="AH267" s="695"/>
      <c r="AI267" s="695">
        <f>IF(SETUP!$F$27="Upfront",'HIV-Key Info'!$F$74*SUM('EBS-H'!AO313:AO317),IF(SETUP!$F$27="At delivery", IF(SETUP!$G$27=4,'HIV-Key Info'!$F$74*SUM('EBS-H'!W313:W317),IF(SETUP!$G$27=3,'HIV-Key Info'!$F$74*SUM('EBS-H'!AC313:AC317),IF(SETUP!$G$27=2,'HIV-Key Info'!$F$74*SUM('EBS-H'!AG313:AG317),IF(SETUP!$G$27=1,'HIV-Key Info'!$F$74*SUM('EBS-H'!AK313:AK317),0)))),0))</f>
        <v>0</v>
      </c>
      <c r="AJ267" s="695"/>
      <c r="AK267" s="1492">
        <f t="shared" si="31"/>
        <v>0</v>
      </c>
      <c r="AL267" s="1493"/>
      <c r="AM267" s="1494"/>
      <c r="AN267" s="699"/>
      <c r="AO267" s="695"/>
      <c r="AP267" s="695">
        <f>IF(SETUP!$F$27="Upfront",'HIV-Key Info'!$F$74*SUM('EBS-H'!AU313:AU317),IF(SETUP!$F$27="At delivery", IF(SETUP!$G$27=4,'HIV-Key Info'!$F$74*SUM('EBS-H'!AC313:AC317),IF(SETUP!$G$27=3,'HIV-Key Info'!$F$74*SUM('EBS-H'!AG313:AG317),IF(SETUP!$G$27=2,'HIV-Key Info'!$F$74*SUM('EBS-H'!AK313:AK317),IF(SETUP!$G$27=1,'HIV-Key Info'!$F$74*SUM('EBS-H'!AO313:AO317),0)))),0))</f>
        <v>0</v>
      </c>
      <c r="AQ267" s="695"/>
      <c r="AR267" s="695">
        <f>IF(SETUP!$F$27="Upfront",'HIV-Key Info'!$F$74*SUM('EBS-H'!AY313:AY317),IF(SETUP!$F$27="At delivery", IF(SETUP!$G$27=4,'HIV-Key Info'!$F$74*SUM('EBS-H'!AG313:AG317),IF(SETUP!$G$27=3,'HIV-Key Info'!$F$74*SUM('EBS-H'!AK313:AK317),IF(SETUP!$G$27=2,'HIV-Key Info'!$F$74*SUM('EBS-H'!AO313:AO317),IF(SETUP!$G$27=1,'HIV-Key Info'!$F$74*SUM('EBS-H'!AU313:AU317),0)))),0))</f>
        <v>0</v>
      </c>
      <c r="AS267" s="695"/>
      <c r="AT267" s="695">
        <f>IF(SETUP!$F$27="Upfront",'HIV-Key Info'!$F$74*SUM('EBS-H'!BC313:BC317),IF(SETUP!$F$27="At delivery", IF(SETUP!$G$27=4,'HIV-Key Info'!$F$74*SUM('EBS-H'!AK313:AK317),IF(SETUP!$G$27=3,'HIV-Key Info'!$F$74*SUM('EBS-H'!AO313:AO317),IF(SETUP!$G$27=2,'HIV-Key Info'!$F$74*SUM('EBS-H'!AU313:AU317),IF(SETUP!$G$27=1,'HIV-Key Info'!$F$74*SUM('EBS-H'!AY313:AY317),0)))),0))</f>
        <v>0</v>
      </c>
      <c r="AU267" s="695"/>
      <c r="AV267" s="695">
        <f>IF(SETUP!$F$27="Upfront",'HIV-Key Info'!$F$74*SUM('EBS-H'!BG313:BG317),IF(SETUP!$F$27="At delivery", IF(SETUP!$G$27=4,'HIV-Key Info'!$F$74*SUM(SUM('EBS-H'!AO313:AO317),SUM('EBS-H'!AU313:AU317),SUM('EBS-H'!AY313:AY317),SUM('EBS-H'!BC313:BC317),SUM('EBS-H'!BG313:BG317)),IF(SETUP!$G$27=3,'HIV-Key Info'!$F$74*SUM(SUM('EBS-H'!AU313:AU317),SUM('EBS-H'!AY313:AY317),SUM('EBS-H'!BC313:BC317),SUM('EBS-H'!BG313:BG317)),IF(SETUP!$G$27=2,'HIV-Key Info'!$F$74*SUM(SUM('EBS-H'!AY313:AY317),SUM('EBS-H'!BC313:BC317),SUM('EBS-H'!BG313:BG317)),IF(SETUP!$G$27=1,'HIV-Key Info'!$F$74*SUM(SUM('EBS-H'!BC313:BC317),SUM('EBS-H'!BG313:BG317)),0)))),0))</f>
        <v>0</v>
      </c>
      <c r="AW267" s="695"/>
      <c r="AX267" s="1492">
        <f t="shared" si="32"/>
        <v>0</v>
      </c>
      <c r="AY267" s="1492"/>
      <c r="AZ267" s="698"/>
      <c r="BA267" s="699"/>
      <c r="BB267" s="697"/>
      <c r="BC267" s="697">
        <v>0</v>
      </c>
      <c r="BD267" s="697">
        <v>0</v>
      </c>
      <c r="BE267" s="697">
        <v>0</v>
      </c>
      <c r="BF267" s="697">
        <v>0</v>
      </c>
      <c r="BG267" s="697">
        <v>0</v>
      </c>
      <c r="BH267" s="697">
        <v>0</v>
      </c>
      <c r="BI267" s="697">
        <v>0</v>
      </c>
      <c r="BJ267" s="697">
        <v>0</v>
      </c>
      <c r="BK267" s="1492">
        <f t="shared" si="33"/>
        <v>0</v>
      </c>
      <c r="BL267" s="1492"/>
      <c r="BM267" s="1492">
        <f t="shared" si="34"/>
        <v>0</v>
      </c>
      <c r="BN267" s="1492">
        <f t="shared" si="35"/>
        <v>0</v>
      </c>
      <c r="BO267" s="697"/>
      <c r="BP267" s="697"/>
      <c r="BQ267" s="1495" t="s">
        <v>238</v>
      </c>
      <c r="BR267" s="1495" t="s">
        <v>818</v>
      </c>
      <c r="BS267" s="1902" t="s">
        <v>790</v>
      </c>
      <c r="BT267" s="1907" t="s">
        <v>1986</v>
      </c>
    </row>
    <row r="268" spans="1:72" ht="13">
      <c r="A268" s="1545">
        <v>812</v>
      </c>
      <c r="B268" s="1546" t="s">
        <v>238</v>
      </c>
      <c r="C268" s="1546" t="s">
        <v>797</v>
      </c>
      <c r="D268" s="1547" t="s">
        <v>790</v>
      </c>
      <c r="E268" s="690" t="s">
        <v>725</v>
      </c>
      <c r="F268" s="691"/>
      <c r="G268" s="692"/>
      <c r="H268" s="692"/>
      <c r="I268" s="692"/>
      <c r="J268" s="693"/>
      <c r="K268" s="693"/>
      <c r="L268" s="693"/>
      <c r="M268" s="694"/>
      <c r="N268" s="695"/>
      <c r="O268" s="696" t="s">
        <v>1569</v>
      </c>
      <c r="P268" s="695">
        <f>IF(SETUP!$F$28="Upfront",'HIV-Key Info'!$G$74*SUM('EBS-H'!K318:K322),0)</f>
        <v>0</v>
      </c>
      <c r="Q268" s="695" t="s">
        <v>1569</v>
      </c>
      <c r="R268" s="695">
        <f>IF(SETUP!$F$28="Upfront",'HIV-Key Info'!$G$74*SUM('EBS-H'!O318:O322),IF(SETUP!$F$28="At delivery", IF(SETUP!$G$28=1,'HIV-Key Info'!$G$74*SUM('EBS-H'!K318:K322),0),0))</f>
        <v>0</v>
      </c>
      <c r="S268" s="695" t="s">
        <v>1569</v>
      </c>
      <c r="T268" s="695">
        <f>IF(SETUP!$F$28="Upfront",'HIV-Key Info'!$G$74*SUM('EBS-H'!S318:S322),IF(SETUP!$F$28="At delivery", IF(SETUP!$G$28=2,'HIV-Key Info'!$G$74*SUM('EBS-H'!K318:K322),IF(SETUP!$G$28=1,'HIV-Key Info'!$G$74*SUM('EBS-H'!O318:O322),0)),0))</f>
        <v>0</v>
      </c>
      <c r="U268" s="695" t="s">
        <v>1569</v>
      </c>
      <c r="V268" s="695">
        <f>IF(SETUP!$F$28="Upfront",'HIV-Key Info'!$G$74*SUM('EBS-H'!W318:W322),IF(SETUP!$F$28="At delivery", IF(SETUP!$G$28=3,'HIV-Key Info'!$G$74*SUM('EBS-H'!K318:K322),IF(SETUP!$G$28=2,'HIV-Key Info'!$G$74*SUM('EBS-H'!O318:O322),IF(SETUP!$G$28=1,'HIV-Key Info'!$G$74*SUM('EBS-H'!S318:S322),0))),0))</f>
        <v>0</v>
      </c>
      <c r="W268" s="695"/>
      <c r="X268" s="1492">
        <f t="shared" si="30"/>
        <v>0</v>
      </c>
      <c r="Y268" s="1493"/>
      <c r="Z268" s="1494"/>
      <c r="AA268" s="699"/>
      <c r="AB268" s="695"/>
      <c r="AC268" s="695">
        <f>IF(SETUP!$F$28="Upfront",'HIV-Key Info'!$G$74*SUM('EBS-H'!AC318:AC322),IF(SETUP!$F$28="At delivery", IF(SETUP!$G$28=4,'HIV-Key Info'!$G$74*SUM('EBS-H'!K318:K322),IF(SETUP!$G$28=3,'HIV-Key Info'!$G$74*SUM('EBS-H'!O318:O322),IF(SETUP!$G$28=2,'HIV-Key Info'!$G$74*SUM('EBS-H'!S318:S322),IF(SETUP!$G$28=1,'HIV-Key Info'!$G$74*SUM('EBS-H'!W318:W322),0)))),0))</f>
        <v>0</v>
      </c>
      <c r="AD268" s="695"/>
      <c r="AE268" s="695">
        <f>IF(SETUP!$F$28="Upfront",'HIV-Key Info'!$G$74*SUM('EBS-H'!AG318:AG322),IF(SETUP!$F$28="At delivery", IF(SETUP!$G$28=4,'HIV-Key Info'!$G$74*SUM('EBS-H'!O318:O322),IF(SETUP!$G$28=3,'HIV-Key Info'!$G$74*SUM('EBS-H'!S318:S322),IF(SETUP!$G$28=2,'HIV-Key Info'!$G$74*SUM('EBS-H'!W318:W322),IF(SETUP!$G$28=1,'HIV-Key Info'!$G$74*SUM('EBS-H'!AC318:AC322),0)))),0))</f>
        <v>0</v>
      </c>
      <c r="AF268" s="695"/>
      <c r="AG268" s="695">
        <f>IF(SETUP!$F$28="Upfront",'HIV-Key Info'!$G$74*SUM('EBS-H'!AK318:AK322),IF(SETUP!$F$28="At delivery", IF(SETUP!$G$28=4,'HIV-Key Info'!$G$74*SUM('EBS-H'!S318:S322),IF(SETUP!$G$28=3,'HIV-Key Info'!$G$74*SUM('EBS-H'!W318:W322),IF(SETUP!$G$28=2,'HIV-Key Info'!$G$74*SUM('EBS-H'!AC318:AC322),IF(SETUP!$G$28=1,'HIV-Key Info'!$G$74*SUM('EBS-H'!AG318:AG322),0)))),0))</f>
        <v>0</v>
      </c>
      <c r="AH268" s="695"/>
      <c r="AI268" s="695">
        <f>IF(SETUP!$F$28="Upfront",'HIV-Key Info'!$G$74*SUM('EBS-H'!AO318:AO322),IF(SETUP!$F$28="At delivery", IF(SETUP!$G$28=4,'HIV-Key Info'!$G$74*SUM('EBS-H'!W318:W322),IF(SETUP!$G$28=3,'HIV-Key Info'!$G$74*SUM('EBS-H'!AC318:AC322),IF(SETUP!$G$28=2,'HIV-Key Info'!$G$74*SUM('EBS-H'!AG318:AG322),IF(SETUP!$G$28=1,'HIV-Key Info'!$G$74*SUM('EBS-H'!AK318:AK322),0)))),0))</f>
        <v>0</v>
      </c>
      <c r="AJ268" s="695"/>
      <c r="AK268" s="1492">
        <f t="shared" si="31"/>
        <v>0</v>
      </c>
      <c r="AL268" s="1493"/>
      <c r="AM268" s="1494"/>
      <c r="AN268" s="699"/>
      <c r="AO268" s="695"/>
      <c r="AP268" s="695">
        <f>IF(SETUP!$F$28="Upfront",'HIV-Key Info'!$G$74*SUM('EBS-H'!AU318:AU322),IF(SETUP!$F$28="At delivery", IF(SETUP!$G$28=4,'HIV-Key Info'!$G$74*SUM('EBS-H'!AC318:AC322),IF(SETUP!$G$28=3,'HIV-Key Info'!$G$74*SUM('EBS-H'!AG318:AG322),IF(SETUP!$G$28=2,'HIV-Key Info'!$G$74*SUM('EBS-H'!AK318:AK322),IF(SETUP!$G$28=1,'HIV-Key Info'!$G$74*SUM('EBS-H'!AO318:AO322),0)))),0))</f>
        <v>0</v>
      </c>
      <c r="AQ268" s="695"/>
      <c r="AR268" s="695">
        <f>IF(SETUP!$F$28="Upfront",'HIV-Key Info'!$G$74*SUM('EBS-H'!AY318:AY322),IF(SETUP!$F$28="At delivery", IF(SETUP!$G$28=4,'HIV-Key Info'!$G$74*SUM('EBS-H'!AG318:AG322),IF(SETUP!$G$28=3,'HIV-Key Info'!$G$74*SUM('EBS-H'!AK318:AK322),IF(SETUP!$G$28=2,'HIV-Key Info'!$G$74*SUM('EBS-H'!AO318:AO322),IF(SETUP!$G$28=1,'HIV-Key Info'!$G$74*SUM('EBS-H'!AU318:AU322),0)))),0))</f>
        <v>0</v>
      </c>
      <c r="AS268" s="695"/>
      <c r="AT268" s="695">
        <f>IF(SETUP!$F$28="Upfront",'HIV-Key Info'!$G$74*SUM('EBS-H'!BC318:BC322),IF(SETUP!$F$28="At delivery", IF(SETUP!$G$28=4,'HIV-Key Info'!$G$74*SUM('EBS-H'!AK318:AK322),IF(SETUP!$G$28=3,'HIV-Key Info'!$G$74*SUM('EBS-H'!AO318:AO322),IF(SETUP!$G$28=2,'HIV-Key Info'!$G$74*SUM('EBS-H'!AU318:AU322),IF(SETUP!$G$28=1,'HIV-Key Info'!$G$74*SUM('EBS-H'!AY318:AY322),0)))),0))</f>
        <v>0</v>
      </c>
      <c r="AU268" s="695"/>
      <c r="AV268" s="695">
        <f>IF(SETUP!$F$28="Upfront",'HIV-Key Info'!$G$74*SUM('EBS-H'!BG318:BG322),IF(SETUP!$F$28="At delivery", IF(SETUP!$G$28=4,'HIV-Key Info'!$G$74*SUM(SUM('EBS-H'!AO318:AO322),SUM('EBS-H'!AU318:AU322),SUM('EBS-H'!AY318:AY322),SUM('EBS-H'!BC318:BC322),SUM('EBS-H'!BG318:BG322)),IF(SETUP!$G$28=3,'HIV-Key Info'!$G$74*SUM(SUM('EBS-H'!AU318:AU322),SUM('EBS-H'!AY318:AY322),SUM('EBS-H'!BC318:BC322),SUM('EBS-H'!BG318:BG322)),IF(SETUP!$G$28=2,'HIV-Key Info'!$G$74*SUM(SUM('EBS-H'!AY318:AY322),SUM('EBS-H'!BC318:BC322),SUM('EBS-H'!BG318:BG322)),IF(SETUP!$G$28=1,'HIV-Key Info'!$G$74*SUM(SUM('EBS-H'!BC318:BC322),SUM('EBS-H'!BG318:BG322)),0)))),0))</f>
        <v>0</v>
      </c>
      <c r="AW268" s="695"/>
      <c r="AX268" s="1492">
        <f t="shared" si="32"/>
        <v>0</v>
      </c>
      <c r="AY268" s="1492"/>
      <c r="AZ268" s="698"/>
      <c r="BA268" s="699"/>
      <c r="BB268" s="697"/>
      <c r="BC268" s="697">
        <v>0</v>
      </c>
      <c r="BD268" s="697">
        <v>0</v>
      </c>
      <c r="BE268" s="697">
        <v>0</v>
      </c>
      <c r="BF268" s="697">
        <v>0</v>
      </c>
      <c r="BG268" s="697">
        <v>0</v>
      </c>
      <c r="BH268" s="697">
        <v>0</v>
      </c>
      <c r="BI268" s="697">
        <v>0</v>
      </c>
      <c r="BJ268" s="697">
        <v>0</v>
      </c>
      <c r="BK268" s="1492">
        <f t="shared" si="33"/>
        <v>0</v>
      </c>
      <c r="BL268" s="1492"/>
      <c r="BM268" s="1492">
        <f t="shared" si="34"/>
        <v>0</v>
      </c>
      <c r="BN268" s="1492">
        <f t="shared" si="35"/>
        <v>0</v>
      </c>
      <c r="BO268" s="697"/>
      <c r="BP268" s="697"/>
      <c r="BQ268" s="1495" t="s">
        <v>238</v>
      </c>
      <c r="BR268" s="1495" t="s">
        <v>818</v>
      </c>
      <c r="BS268" s="1902" t="s">
        <v>790</v>
      </c>
      <c r="BT268" s="1907" t="s">
        <v>1987</v>
      </c>
    </row>
    <row r="269" spans="1:72" ht="13">
      <c r="A269" s="1545">
        <v>813</v>
      </c>
      <c r="B269" s="1546" t="s">
        <v>238</v>
      </c>
      <c r="C269" s="1546" t="s">
        <v>797</v>
      </c>
      <c r="D269" s="1547" t="s">
        <v>655</v>
      </c>
      <c r="E269" s="690" t="s">
        <v>656</v>
      </c>
      <c r="F269" s="691"/>
      <c r="G269" s="692"/>
      <c r="H269" s="692"/>
      <c r="I269" s="692"/>
      <c r="J269" s="693"/>
      <c r="K269" s="693"/>
      <c r="L269" s="693"/>
      <c r="M269" s="694"/>
      <c r="N269" s="695"/>
      <c r="O269" s="696" t="s">
        <v>1569</v>
      </c>
      <c r="P269" s="695">
        <f>'HIV-Key Info'!$E$74*('HPM costs'!F27+'HPM costs'!F30)</f>
        <v>0</v>
      </c>
      <c r="Q269" s="695" t="s">
        <v>1569</v>
      </c>
      <c r="R269" s="695">
        <f>'HIV-Key Info'!$E$74*('HPM costs'!G27+'HPM costs'!G30)</f>
        <v>0</v>
      </c>
      <c r="S269" s="695" t="s">
        <v>1569</v>
      </c>
      <c r="T269" s="695">
        <f>'HIV-Key Info'!$E$74*('HPM costs'!H27+'HPM costs'!H30)</f>
        <v>0</v>
      </c>
      <c r="U269" s="695" t="s">
        <v>1569</v>
      </c>
      <c r="V269" s="695">
        <f>'HIV-Key Info'!$E$74*('HPM costs'!I27+'HPM costs'!I30)</f>
        <v>0</v>
      </c>
      <c r="W269" s="695"/>
      <c r="X269" s="1492">
        <f t="shared" si="30"/>
        <v>0</v>
      </c>
      <c r="Y269" s="1493"/>
      <c r="Z269" s="1494"/>
      <c r="AA269" s="699"/>
      <c r="AB269" s="695"/>
      <c r="AC269" s="695">
        <f>'HIV-Key Info'!$E$74*('HPM costs'!K27+'HPM costs'!K30)</f>
        <v>0</v>
      </c>
      <c r="AD269" s="695"/>
      <c r="AE269" s="695">
        <f>'HIV-Key Info'!$E$74*('HPM costs'!L27+'HPM costs'!L30)</f>
        <v>0</v>
      </c>
      <c r="AF269" s="695"/>
      <c r="AG269" s="695">
        <f>'HIV-Key Info'!$E$74*('HPM costs'!M27+'HPM costs'!M30)</f>
        <v>0</v>
      </c>
      <c r="AH269" s="695"/>
      <c r="AI269" s="695">
        <f>'HIV-Key Info'!$E$74*('HPM costs'!N27+'HPM costs'!N30)</f>
        <v>0</v>
      </c>
      <c r="AJ269" s="695"/>
      <c r="AK269" s="1492">
        <f t="shared" si="31"/>
        <v>0</v>
      </c>
      <c r="AL269" s="1493"/>
      <c r="AM269" s="1494"/>
      <c r="AN269" s="699"/>
      <c r="AO269" s="695"/>
      <c r="AP269" s="695">
        <f>'HIV-Key Info'!$E$74*('HPM costs'!P27+'HPM costs'!P30)</f>
        <v>0</v>
      </c>
      <c r="AQ269" s="695"/>
      <c r="AR269" s="695">
        <f>'HIV-Key Info'!$E$74*('HPM costs'!Q27+'HPM costs'!Q30)</f>
        <v>0</v>
      </c>
      <c r="AS269" s="695"/>
      <c r="AT269" s="695">
        <f>'HIV-Key Info'!$E$74*('HPM costs'!R27+'HPM costs'!R30)</f>
        <v>0</v>
      </c>
      <c r="AU269" s="695"/>
      <c r="AV269" s="695">
        <f>'HIV-Key Info'!$E$74*('HPM costs'!S27+'HPM costs'!S30)</f>
        <v>0</v>
      </c>
      <c r="AW269" s="695"/>
      <c r="AX269" s="1492">
        <f t="shared" si="32"/>
        <v>0</v>
      </c>
      <c r="AY269" s="1492"/>
      <c r="AZ269" s="698"/>
      <c r="BA269" s="699"/>
      <c r="BB269" s="697"/>
      <c r="BC269" s="697">
        <v>0</v>
      </c>
      <c r="BD269" s="697">
        <v>0</v>
      </c>
      <c r="BE269" s="697">
        <v>0</v>
      </c>
      <c r="BF269" s="697">
        <v>0</v>
      </c>
      <c r="BG269" s="697">
        <v>0</v>
      </c>
      <c r="BH269" s="697">
        <v>0</v>
      </c>
      <c r="BI269" s="697">
        <v>0</v>
      </c>
      <c r="BJ269" s="697">
        <v>0</v>
      </c>
      <c r="BK269" s="1492">
        <f t="shared" si="33"/>
        <v>0</v>
      </c>
      <c r="BL269" s="1492"/>
      <c r="BM269" s="1492">
        <f t="shared" si="34"/>
        <v>0</v>
      </c>
      <c r="BN269" s="1492">
        <f t="shared" si="35"/>
        <v>0</v>
      </c>
      <c r="BO269" s="697"/>
      <c r="BP269" s="697"/>
      <c r="BQ269" s="1495" t="s">
        <v>238</v>
      </c>
      <c r="BR269" s="1495" t="s">
        <v>818</v>
      </c>
      <c r="BS269" s="1902" t="s">
        <v>655</v>
      </c>
      <c r="BT269" s="1907" t="s">
        <v>1988</v>
      </c>
    </row>
    <row r="270" spans="1:72" ht="13">
      <c r="A270" s="1545">
        <v>814</v>
      </c>
      <c r="B270" s="1546" t="s">
        <v>238</v>
      </c>
      <c r="C270" s="1546" t="s">
        <v>797</v>
      </c>
      <c r="D270" s="1547" t="s">
        <v>655</v>
      </c>
      <c r="E270" s="690" t="s">
        <v>658</v>
      </c>
      <c r="F270" s="691"/>
      <c r="G270" s="692"/>
      <c r="H270" s="692"/>
      <c r="I270" s="692"/>
      <c r="J270" s="693"/>
      <c r="K270" s="693"/>
      <c r="L270" s="693"/>
      <c r="M270" s="694"/>
      <c r="N270" s="695"/>
      <c r="O270" s="696" t="s">
        <v>1569</v>
      </c>
      <c r="P270" s="695">
        <f>'HIV-Key Info'!$E$74*('HPM costs'!F113+'HPM costs'!F116)</f>
        <v>0</v>
      </c>
      <c r="Q270" s="695" t="s">
        <v>1569</v>
      </c>
      <c r="R270" s="695">
        <f>'HIV-Key Info'!$E$74*('HPM costs'!G113+'HPM costs'!G116)</f>
        <v>0</v>
      </c>
      <c r="S270" s="695" t="s">
        <v>1569</v>
      </c>
      <c r="T270" s="695">
        <f>'HIV-Key Info'!$E$74*('HPM costs'!H113+'HPM costs'!H116)</f>
        <v>0</v>
      </c>
      <c r="U270" s="695" t="s">
        <v>1569</v>
      </c>
      <c r="V270" s="695">
        <f>'HIV-Key Info'!$E$74*('HPM costs'!I113+'HPM costs'!I116)</f>
        <v>0</v>
      </c>
      <c r="W270" s="695"/>
      <c r="X270" s="1492">
        <f t="shared" si="30"/>
        <v>0</v>
      </c>
      <c r="Y270" s="1493"/>
      <c r="Z270" s="1494"/>
      <c r="AA270" s="699"/>
      <c r="AB270" s="695"/>
      <c r="AC270" s="695">
        <f>'HIV-Key Info'!$E$74*('HPM costs'!K113+'HPM costs'!K116)</f>
        <v>0</v>
      </c>
      <c r="AD270" s="695"/>
      <c r="AE270" s="695">
        <f>'HIV-Key Info'!$E$74*('HPM costs'!L113+'HPM costs'!L116)</f>
        <v>0</v>
      </c>
      <c r="AF270" s="695"/>
      <c r="AG270" s="695">
        <f>'HIV-Key Info'!$E$74*('HPM costs'!M113+'HPM costs'!M116)</f>
        <v>0</v>
      </c>
      <c r="AH270" s="695"/>
      <c r="AI270" s="695">
        <f>'HIV-Key Info'!$E$74*('HPM costs'!N113+'HPM costs'!N116)</f>
        <v>0</v>
      </c>
      <c r="AJ270" s="695"/>
      <c r="AK270" s="1492">
        <f t="shared" si="31"/>
        <v>0</v>
      </c>
      <c r="AL270" s="1493"/>
      <c r="AM270" s="1494"/>
      <c r="AN270" s="699"/>
      <c r="AO270" s="695"/>
      <c r="AP270" s="695">
        <f>'HIV-Key Info'!$E$74*('HPM costs'!P113+'HPM costs'!P116)</f>
        <v>0</v>
      </c>
      <c r="AQ270" s="695"/>
      <c r="AR270" s="695">
        <f>'HIV-Key Info'!$E$74*('HPM costs'!Q113+'HPM costs'!Q116)</f>
        <v>0</v>
      </c>
      <c r="AS270" s="695"/>
      <c r="AT270" s="695">
        <f>'HIV-Key Info'!$E$74*('HPM costs'!R113+'HPM costs'!R116)</f>
        <v>0</v>
      </c>
      <c r="AU270" s="695"/>
      <c r="AV270" s="695">
        <f>'HIV-Key Info'!$E$74*('HPM costs'!S113+'HPM costs'!S116)</f>
        <v>0</v>
      </c>
      <c r="AW270" s="695"/>
      <c r="AX270" s="1492">
        <f t="shared" si="32"/>
        <v>0</v>
      </c>
      <c r="AY270" s="1492"/>
      <c r="AZ270" s="698"/>
      <c r="BA270" s="699"/>
      <c r="BB270" s="697"/>
      <c r="BC270" s="697">
        <v>0</v>
      </c>
      <c r="BD270" s="697">
        <v>0</v>
      </c>
      <c r="BE270" s="697">
        <v>0</v>
      </c>
      <c r="BF270" s="697">
        <v>0</v>
      </c>
      <c r="BG270" s="697">
        <v>0</v>
      </c>
      <c r="BH270" s="697">
        <v>0</v>
      </c>
      <c r="BI270" s="697">
        <v>0</v>
      </c>
      <c r="BJ270" s="697">
        <v>0</v>
      </c>
      <c r="BK270" s="1492">
        <f t="shared" si="33"/>
        <v>0</v>
      </c>
      <c r="BL270" s="1492"/>
      <c r="BM270" s="1492">
        <f t="shared" si="34"/>
        <v>0</v>
      </c>
      <c r="BN270" s="1492">
        <f t="shared" si="35"/>
        <v>0</v>
      </c>
      <c r="BO270" s="697"/>
      <c r="BP270" s="697"/>
      <c r="BQ270" s="1495" t="s">
        <v>238</v>
      </c>
      <c r="BR270" s="1495" t="s">
        <v>818</v>
      </c>
      <c r="BS270" s="1902" t="s">
        <v>655</v>
      </c>
      <c r="BT270" s="1907" t="s">
        <v>1989</v>
      </c>
    </row>
    <row r="271" spans="1:72" ht="13">
      <c r="A271" s="1545">
        <v>815</v>
      </c>
      <c r="B271" s="1546" t="s">
        <v>238</v>
      </c>
      <c r="C271" s="1546" t="s">
        <v>797</v>
      </c>
      <c r="D271" s="1547" t="s">
        <v>655</v>
      </c>
      <c r="E271" s="690" t="s">
        <v>660</v>
      </c>
      <c r="F271" s="691"/>
      <c r="G271" s="692"/>
      <c r="H271" s="692"/>
      <c r="I271" s="692"/>
      <c r="J271" s="693"/>
      <c r="K271" s="693"/>
      <c r="L271" s="693"/>
      <c r="M271" s="694"/>
      <c r="N271" s="695"/>
      <c r="O271" s="696" t="s">
        <v>1569</v>
      </c>
      <c r="P271" s="695">
        <f>'HIV-Key Info'!$E$74*('HPM costs'!F373+'HPM costs'!F376)</f>
        <v>0</v>
      </c>
      <c r="Q271" s="695" t="s">
        <v>1569</v>
      </c>
      <c r="R271" s="695">
        <f>'HIV-Key Info'!$E$74*('HPM costs'!G373+'HPM costs'!G376)</f>
        <v>0</v>
      </c>
      <c r="S271" s="695" t="s">
        <v>1569</v>
      </c>
      <c r="T271" s="695">
        <f>'HIV-Key Info'!$E$74*('HPM costs'!H373+'HPM costs'!H376)</f>
        <v>0</v>
      </c>
      <c r="U271" s="695" t="s">
        <v>1569</v>
      </c>
      <c r="V271" s="695">
        <f>'HIV-Key Info'!$E$74*('HPM costs'!I373+'HPM costs'!I376)</f>
        <v>0</v>
      </c>
      <c r="W271" s="695"/>
      <c r="X271" s="1492">
        <f t="shared" si="30"/>
        <v>0</v>
      </c>
      <c r="Y271" s="1493"/>
      <c r="Z271" s="1494"/>
      <c r="AA271" s="699"/>
      <c r="AB271" s="695"/>
      <c r="AC271" s="695">
        <f>'HIV-Key Info'!$E$74*('HPM costs'!K373+'HPM costs'!K376)</f>
        <v>0</v>
      </c>
      <c r="AD271" s="695"/>
      <c r="AE271" s="695">
        <f>'HIV-Key Info'!$E$74*('HPM costs'!L373+'HPM costs'!L376)</f>
        <v>0</v>
      </c>
      <c r="AF271" s="695"/>
      <c r="AG271" s="695">
        <f>'HIV-Key Info'!$E$74*('HPM costs'!M373+'HPM costs'!M376)</f>
        <v>0</v>
      </c>
      <c r="AH271" s="695"/>
      <c r="AI271" s="695">
        <f>'HIV-Key Info'!$E$74*('HPM costs'!N373+'HPM costs'!N376)</f>
        <v>0</v>
      </c>
      <c r="AJ271" s="695"/>
      <c r="AK271" s="1492">
        <f t="shared" si="31"/>
        <v>0</v>
      </c>
      <c r="AL271" s="1493"/>
      <c r="AM271" s="1494"/>
      <c r="AN271" s="699"/>
      <c r="AO271" s="695"/>
      <c r="AP271" s="695">
        <f>'HIV-Key Info'!$E$74*('HPM costs'!P373+'HPM costs'!P376)</f>
        <v>0</v>
      </c>
      <c r="AQ271" s="695"/>
      <c r="AR271" s="695">
        <f>'HIV-Key Info'!$E$74*('HPM costs'!Q373+'HPM costs'!Q376)</f>
        <v>0</v>
      </c>
      <c r="AS271" s="695"/>
      <c r="AT271" s="695">
        <f>'HIV-Key Info'!$E$74*('HPM costs'!R373+'HPM costs'!R376)</f>
        <v>0</v>
      </c>
      <c r="AU271" s="695"/>
      <c r="AV271" s="695">
        <f>'HIV-Key Info'!$E$74*('HPM costs'!S373+'HPM costs'!S376)</f>
        <v>0</v>
      </c>
      <c r="AW271" s="695"/>
      <c r="AX271" s="1492">
        <f t="shared" si="32"/>
        <v>0</v>
      </c>
      <c r="AY271" s="1492"/>
      <c r="AZ271" s="698"/>
      <c r="BA271" s="699"/>
      <c r="BB271" s="697"/>
      <c r="BC271" s="697">
        <v>0</v>
      </c>
      <c r="BD271" s="697">
        <v>0</v>
      </c>
      <c r="BE271" s="697">
        <v>0</v>
      </c>
      <c r="BF271" s="697">
        <v>0</v>
      </c>
      <c r="BG271" s="697">
        <v>0</v>
      </c>
      <c r="BH271" s="697">
        <v>0</v>
      </c>
      <c r="BI271" s="697">
        <v>0</v>
      </c>
      <c r="BJ271" s="697">
        <v>0</v>
      </c>
      <c r="BK271" s="1492">
        <f t="shared" si="33"/>
        <v>0</v>
      </c>
      <c r="BL271" s="1492"/>
      <c r="BM271" s="1492">
        <f t="shared" si="34"/>
        <v>0</v>
      </c>
      <c r="BN271" s="1492">
        <f t="shared" si="35"/>
        <v>0</v>
      </c>
      <c r="BO271" s="697"/>
      <c r="BP271" s="697"/>
      <c r="BQ271" s="1495" t="s">
        <v>238</v>
      </c>
      <c r="BR271" s="1495" t="s">
        <v>818</v>
      </c>
      <c r="BS271" s="1902" t="s">
        <v>655</v>
      </c>
      <c r="BT271" s="1907" t="s">
        <v>1990</v>
      </c>
    </row>
    <row r="272" spans="1:72" ht="13">
      <c r="A272" s="1545">
        <v>816</v>
      </c>
      <c r="B272" s="1546" t="s">
        <v>238</v>
      </c>
      <c r="C272" s="1546" t="s">
        <v>797</v>
      </c>
      <c r="D272" s="1547" t="s">
        <v>655</v>
      </c>
      <c r="E272" s="690" t="s">
        <v>662</v>
      </c>
      <c r="F272" s="691"/>
      <c r="G272" s="692"/>
      <c r="H272" s="692"/>
      <c r="I272" s="692"/>
      <c r="J272" s="693"/>
      <c r="K272" s="693"/>
      <c r="L272" s="693"/>
      <c r="M272" s="694"/>
      <c r="N272" s="695"/>
      <c r="O272" s="696" t="s">
        <v>1569</v>
      </c>
      <c r="P272" s="695">
        <f>'HIV-Key Info'!$E$74*('HPM costs'!F459+'HPM costs'!F462)</f>
        <v>0</v>
      </c>
      <c r="Q272" s="695" t="s">
        <v>1569</v>
      </c>
      <c r="R272" s="695">
        <f>'HIV-Key Info'!$E$74*('HPM costs'!G459+'HPM costs'!G462)</f>
        <v>0</v>
      </c>
      <c r="S272" s="695" t="s">
        <v>1569</v>
      </c>
      <c r="T272" s="695">
        <f>'HIV-Key Info'!$E$74*('HPM costs'!H459+'HPM costs'!H462)</f>
        <v>0</v>
      </c>
      <c r="U272" s="695" t="s">
        <v>1569</v>
      </c>
      <c r="V272" s="695">
        <f>'HIV-Key Info'!$E$74*('HPM costs'!I459+'HPM costs'!I462)</f>
        <v>0</v>
      </c>
      <c r="W272" s="695"/>
      <c r="X272" s="1492">
        <f t="shared" si="30"/>
        <v>0</v>
      </c>
      <c r="Y272" s="1493"/>
      <c r="Z272" s="1494"/>
      <c r="AA272" s="699"/>
      <c r="AB272" s="695"/>
      <c r="AC272" s="695">
        <f>'HIV-Key Info'!$E$74*('HPM costs'!K459+'HPM costs'!K462)</f>
        <v>0</v>
      </c>
      <c r="AD272" s="695"/>
      <c r="AE272" s="695">
        <f>'HIV-Key Info'!$E$74*('HPM costs'!L459+'HPM costs'!L462)</f>
        <v>0</v>
      </c>
      <c r="AF272" s="695"/>
      <c r="AG272" s="695">
        <f>'HIV-Key Info'!$E$74*('HPM costs'!M459+'HPM costs'!M462)</f>
        <v>0</v>
      </c>
      <c r="AH272" s="695"/>
      <c r="AI272" s="695">
        <f>'HIV-Key Info'!$E$74*('HPM costs'!N459+'HPM costs'!N462)</f>
        <v>0</v>
      </c>
      <c r="AJ272" s="695"/>
      <c r="AK272" s="1492">
        <f t="shared" si="31"/>
        <v>0</v>
      </c>
      <c r="AL272" s="1493"/>
      <c r="AM272" s="1494"/>
      <c r="AN272" s="699"/>
      <c r="AO272" s="695"/>
      <c r="AP272" s="695">
        <f>'HIV-Key Info'!$E$74*('HPM costs'!P459+'HPM costs'!P462)</f>
        <v>0</v>
      </c>
      <c r="AQ272" s="695"/>
      <c r="AR272" s="695">
        <f>'HIV-Key Info'!$E$74*('HPM costs'!Q459+'HPM costs'!Q462)</f>
        <v>0</v>
      </c>
      <c r="AS272" s="695"/>
      <c r="AT272" s="695">
        <f>'HIV-Key Info'!$E$74*('HPM costs'!R459+'HPM costs'!R462)</f>
        <v>0</v>
      </c>
      <c r="AU272" s="695"/>
      <c r="AV272" s="695">
        <f>'HIV-Key Info'!$E$74*('HPM costs'!S459+'HPM costs'!S462)</f>
        <v>0</v>
      </c>
      <c r="AW272" s="695"/>
      <c r="AX272" s="1492">
        <f t="shared" si="32"/>
        <v>0</v>
      </c>
      <c r="AY272" s="1492"/>
      <c r="AZ272" s="698"/>
      <c r="BA272" s="699"/>
      <c r="BB272" s="697"/>
      <c r="BC272" s="697">
        <v>0</v>
      </c>
      <c r="BD272" s="697">
        <v>0</v>
      </c>
      <c r="BE272" s="697">
        <v>0</v>
      </c>
      <c r="BF272" s="697">
        <v>0</v>
      </c>
      <c r="BG272" s="697">
        <v>0</v>
      </c>
      <c r="BH272" s="697">
        <v>0</v>
      </c>
      <c r="BI272" s="697">
        <v>0</v>
      </c>
      <c r="BJ272" s="697">
        <v>0</v>
      </c>
      <c r="BK272" s="1492">
        <f t="shared" si="33"/>
        <v>0</v>
      </c>
      <c r="BL272" s="1492"/>
      <c r="BM272" s="1492">
        <f t="shared" si="34"/>
        <v>0</v>
      </c>
      <c r="BN272" s="1492">
        <f t="shared" si="35"/>
        <v>0</v>
      </c>
      <c r="BO272" s="697"/>
      <c r="BP272" s="697"/>
      <c r="BQ272" s="1495" t="s">
        <v>238</v>
      </c>
      <c r="BR272" s="1495" t="s">
        <v>818</v>
      </c>
      <c r="BS272" s="1902" t="s">
        <v>655</v>
      </c>
      <c r="BT272" s="1907" t="s">
        <v>1991</v>
      </c>
    </row>
    <row r="273" spans="1:72" ht="13">
      <c r="A273" s="1545">
        <v>817</v>
      </c>
      <c r="B273" s="1546" t="s">
        <v>238</v>
      </c>
      <c r="C273" s="1546" t="s">
        <v>797</v>
      </c>
      <c r="D273" s="1547" t="s">
        <v>655</v>
      </c>
      <c r="E273" s="690" t="s">
        <v>664</v>
      </c>
      <c r="F273" s="691"/>
      <c r="G273" s="692"/>
      <c r="H273" s="692"/>
      <c r="I273" s="692"/>
      <c r="J273" s="693"/>
      <c r="K273" s="693"/>
      <c r="L273" s="693"/>
      <c r="M273" s="694"/>
      <c r="N273" s="695"/>
      <c r="O273" s="696" t="s">
        <v>1569</v>
      </c>
      <c r="P273" s="695">
        <f>'HIV-Key Info'!$E$74*('HPM costs'!F199+'HPM costs'!F202+'HPM costs'!F545+'HPM costs'!F548)</f>
        <v>0</v>
      </c>
      <c r="Q273" s="695" t="s">
        <v>1569</v>
      </c>
      <c r="R273" s="695">
        <f>'HIV-Key Info'!$E$74*('HPM costs'!G199+'HPM costs'!G202+'HPM costs'!G545+'HPM costs'!G548)</f>
        <v>0</v>
      </c>
      <c r="S273" s="695" t="s">
        <v>1569</v>
      </c>
      <c r="T273" s="695">
        <f>'HIV-Key Info'!$E$74*('HPM costs'!H199+'HPM costs'!H202+'HPM costs'!H545+'HPM costs'!H548)</f>
        <v>0</v>
      </c>
      <c r="U273" s="695" t="s">
        <v>1569</v>
      </c>
      <c r="V273" s="695">
        <f>'HIV-Key Info'!$E$74*('HPM costs'!I199+'HPM costs'!I202+'HPM costs'!I545+'HPM costs'!I548)</f>
        <v>0</v>
      </c>
      <c r="W273" s="695"/>
      <c r="X273" s="1492">
        <f t="shared" si="30"/>
        <v>0</v>
      </c>
      <c r="Y273" s="1493"/>
      <c r="Z273" s="1494"/>
      <c r="AA273" s="699"/>
      <c r="AB273" s="695"/>
      <c r="AC273" s="695">
        <f>'HIV-Key Info'!$E$74*('HPM costs'!K199+'HPM costs'!K202+'HPM costs'!K545+'HPM costs'!K548)</f>
        <v>0</v>
      </c>
      <c r="AD273" s="695"/>
      <c r="AE273" s="695">
        <f>'HIV-Key Info'!$E$74*('HPM costs'!L199+'HPM costs'!L202+'HPM costs'!L545+'HPM costs'!L548)</f>
        <v>0</v>
      </c>
      <c r="AF273" s="695"/>
      <c r="AG273" s="695">
        <f>'HIV-Key Info'!$E$74*('HPM costs'!M199+'HPM costs'!M202+'HPM costs'!M545+'HPM costs'!M548)</f>
        <v>0</v>
      </c>
      <c r="AH273" s="695"/>
      <c r="AI273" s="695">
        <f>'HIV-Key Info'!$E$74*('HPM costs'!N199+'HPM costs'!N202+'HPM costs'!N545+'HPM costs'!N548)</f>
        <v>0</v>
      </c>
      <c r="AJ273" s="695"/>
      <c r="AK273" s="1492">
        <f t="shared" si="31"/>
        <v>0</v>
      </c>
      <c r="AL273" s="1493"/>
      <c r="AM273" s="1494"/>
      <c r="AN273" s="699"/>
      <c r="AO273" s="695"/>
      <c r="AP273" s="695">
        <f>'HIV-Key Info'!$E$74*('HPM costs'!P199+'HPM costs'!P202+'HPM costs'!P545+'HPM costs'!P548)</f>
        <v>0</v>
      </c>
      <c r="AQ273" s="695"/>
      <c r="AR273" s="695">
        <f>'HIV-Key Info'!$E$74*('HPM costs'!Q199+'HPM costs'!Q202+'HPM costs'!Q545+'HPM costs'!Q548)</f>
        <v>0</v>
      </c>
      <c r="AS273" s="695"/>
      <c r="AT273" s="695">
        <f>'HIV-Key Info'!$E$74*('HPM costs'!R199+'HPM costs'!R202+'HPM costs'!R545+'HPM costs'!R548)</f>
        <v>0</v>
      </c>
      <c r="AU273" s="695"/>
      <c r="AV273" s="695">
        <f>'HIV-Key Info'!$E$74*('HPM costs'!S199+'HPM costs'!S202+'HPM costs'!S545+'HPM costs'!S548)</f>
        <v>0</v>
      </c>
      <c r="AW273" s="695"/>
      <c r="AX273" s="1492">
        <f t="shared" si="32"/>
        <v>0</v>
      </c>
      <c r="AY273" s="1492"/>
      <c r="AZ273" s="698"/>
      <c r="BA273" s="699"/>
      <c r="BB273" s="697"/>
      <c r="BC273" s="697">
        <v>0</v>
      </c>
      <c r="BD273" s="697">
        <v>0</v>
      </c>
      <c r="BE273" s="697">
        <v>0</v>
      </c>
      <c r="BF273" s="697">
        <v>0</v>
      </c>
      <c r="BG273" s="697">
        <v>0</v>
      </c>
      <c r="BH273" s="697">
        <v>0</v>
      </c>
      <c r="BI273" s="697">
        <v>0</v>
      </c>
      <c r="BJ273" s="697">
        <v>0</v>
      </c>
      <c r="BK273" s="1492">
        <f t="shared" si="33"/>
        <v>0</v>
      </c>
      <c r="BL273" s="1492"/>
      <c r="BM273" s="1492">
        <f t="shared" si="34"/>
        <v>0</v>
      </c>
      <c r="BN273" s="1492">
        <f t="shared" si="35"/>
        <v>0</v>
      </c>
      <c r="BO273" s="697"/>
      <c r="BP273" s="697"/>
      <c r="BQ273" s="1495" t="s">
        <v>238</v>
      </c>
      <c r="BR273" s="1495" t="s">
        <v>818</v>
      </c>
      <c r="BS273" s="1902" t="s">
        <v>655</v>
      </c>
      <c r="BT273" s="1907" t="s">
        <v>1992</v>
      </c>
    </row>
    <row r="274" spans="1:72" ht="13">
      <c r="A274" s="1545">
        <v>818</v>
      </c>
      <c r="B274" s="1546" t="s">
        <v>238</v>
      </c>
      <c r="C274" s="1546" t="s">
        <v>797</v>
      </c>
      <c r="D274" s="1547" t="s">
        <v>655</v>
      </c>
      <c r="E274" s="690" t="s">
        <v>666</v>
      </c>
      <c r="F274" s="691"/>
      <c r="G274" s="692"/>
      <c r="H274" s="692"/>
      <c r="I274" s="692"/>
      <c r="J274" s="693"/>
      <c r="K274" s="693"/>
      <c r="L274" s="693"/>
      <c r="M274" s="694"/>
      <c r="N274" s="695"/>
      <c r="O274" s="696" t="s">
        <v>1569</v>
      </c>
      <c r="P274" s="695">
        <f>'HIV-Key Info'!$E$74*('HPM costs'!F285+'HPM costs'!F288)</f>
        <v>0</v>
      </c>
      <c r="Q274" s="695" t="s">
        <v>1569</v>
      </c>
      <c r="R274" s="695">
        <f>'HIV-Key Info'!$E$74*('HPM costs'!G285+'HPM costs'!G288)</f>
        <v>0</v>
      </c>
      <c r="S274" s="695" t="s">
        <v>1569</v>
      </c>
      <c r="T274" s="695">
        <f>'HIV-Key Info'!$E$74*('HPM costs'!H285+'HPM costs'!H288)</f>
        <v>0</v>
      </c>
      <c r="U274" s="695" t="s">
        <v>1569</v>
      </c>
      <c r="V274" s="695">
        <f>'HIV-Key Info'!$E$74*('HPM costs'!I285+'HPM costs'!I288)</f>
        <v>0</v>
      </c>
      <c r="W274" s="695"/>
      <c r="X274" s="1492">
        <f t="shared" si="30"/>
        <v>0</v>
      </c>
      <c r="Y274" s="1493"/>
      <c r="Z274" s="1494"/>
      <c r="AA274" s="699"/>
      <c r="AB274" s="695"/>
      <c r="AC274" s="695">
        <f>'HIV-Key Info'!$E$74*('HPM costs'!K285+'HPM costs'!K288)</f>
        <v>0</v>
      </c>
      <c r="AD274" s="695"/>
      <c r="AE274" s="695">
        <f>'HIV-Key Info'!$E$74*('HPM costs'!L285+'HPM costs'!L288)</f>
        <v>0</v>
      </c>
      <c r="AF274" s="695"/>
      <c r="AG274" s="695">
        <f>'HIV-Key Info'!$E$74*('HPM costs'!M285+'HPM costs'!M288)</f>
        <v>0</v>
      </c>
      <c r="AH274" s="695"/>
      <c r="AI274" s="695">
        <f>'HIV-Key Info'!$E$74*('HPM costs'!N285+'HPM costs'!N288)</f>
        <v>0</v>
      </c>
      <c r="AJ274" s="695"/>
      <c r="AK274" s="1492">
        <f t="shared" si="31"/>
        <v>0</v>
      </c>
      <c r="AL274" s="1493"/>
      <c r="AM274" s="1494"/>
      <c r="AN274" s="699"/>
      <c r="AO274" s="695"/>
      <c r="AP274" s="695">
        <f>'HIV-Key Info'!$E$74*('HPM costs'!P285+'HPM costs'!P288)</f>
        <v>0</v>
      </c>
      <c r="AQ274" s="695"/>
      <c r="AR274" s="695">
        <f>'HIV-Key Info'!$E$74*('HPM costs'!Q285+'HPM costs'!Q288)</f>
        <v>0</v>
      </c>
      <c r="AS274" s="695"/>
      <c r="AT274" s="695">
        <f>'HIV-Key Info'!$E$74*('HPM costs'!R285+'HPM costs'!R288)</f>
        <v>0</v>
      </c>
      <c r="AU274" s="695"/>
      <c r="AV274" s="695">
        <f>'HIV-Key Info'!$E$74*('HPM costs'!S285+'HPM costs'!S288)</f>
        <v>0</v>
      </c>
      <c r="AW274" s="695"/>
      <c r="AX274" s="1492">
        <f t="shared" si="32"/>
        <v>0</v>
      </c>
      <c r="AY274" s="1492"/>
      <c r="AZ274" s="698"/>
      <c r="BA274" s="699"/>
      <c r="BB274" s="697"/>
      <c r="BC274" s="697">
        <v>0</v>
      </c>
      <c r="BD274" s="697">
        <v>0</v>
      </c>
      <c r="BE274" s="697">
        <v>0</v>
      </c>
      <c r="BF274" s="697">
        <v>0</v>
      </c>
      <c r="BG274" s="697">
        <v>0</v>
      </c>
      <c r="BH274" s="697">
        <v>0</v>
      </c>
      <c r="BI274" s="697">
        <v>0</v>
      </c>
      <c r="BJ274" s="697">
        <v>0</v>
      </c>
      <c r="BK274" s="1492">
        <f t="shared" si="33"/>
        <v>0</v>
      </c>
      <c r="BL274" s="1492"/>
      <c r="BM274" s="1492">
        <f t="shared" si="34"/>
        <v>0</v>
      </c>
      <c r="BN274" s="1492">
        <f t="shared" si="35"/>
        <v>0</v>
      </c>
      <c r="BO274" s="697"/>
      <c r="BP274" s="697"/>
      <c r="BQ274" s="1495" t="s">
        <v>238</v>
      </c>
      <c r="BR274" s="1495" t="s">
        <v>818</v>
      </c>
      <c r="BS274" s="1902" t="s">
        <v>655</v>
      </c>
      <c r="BT274" s="1907" t="s">
        <v>1993</v>
      </c>
    </row>
    <row r="275" spans="1:72" ht="13">
      <c r="A275" s="1545">
        <v>819</v>
      </c>
      <c r="B275" s="1546" t="s">
        <v>238</v>
      </c>
      <c r="C275" s="1546" t="s">
        <v>797</v>
      </c>
      <c r="D275" s="1547" t="s">
        <v>655</v>
      </c>
      <c r="E275" s="690" t="s">
        <v>668</v>
      </c>
      <c r="F275" s="691"/>
      <c r="G275" s="692"/>
      <c r="H275" s="692"/>
      <c r="I275" s="692"/>
      <c r="J275" s="693"/>
      <c r="K275" s="693"/>
      <c r="L275" s="693"/>
      <c r="M275" s="694"/>
      <c r="N275" s="695"/>
      <c r="O275" s="696" t="s">
        <v>1569</v>
      </c>
      <c r="P275" s="695">
        <f>'HIV-Key Info'!$E$74*('HPM costs'!F630+'HPM costs'!F633)</f>
        <v>0</v>
      </c>
      <c r="Q275" s="695" t="s">
        <v>1569</v>
      </c>
      <c r="R275" s="695">
        <f>'HIV-Key Info'!$E$74*('HPM costs'!G630+'HPM costs'!G633)</f>
        <v>0</v>
      </c>
      <c r="S275" s="695" t="s">
        <v>1569</v>
      </c>
      <c r="T275" s="695">
        <f>'HIV-Key Info'!$E$74*('HPM costs'!H630+'HPM costs'!H633)</f>
        <v>0</v>
      </c>
      <c r="U275" s="695" t="s">
        <v>1569</v>
      </c>
      <c r="V275" s="695">
        <f>'HIV-Key Info'!$E$74*('HPM costs'!I630+'HPM costs'!I633)</f>
        <v>0</v>
      </c>
      <c r="W275" s="695"/>
      <c r="X275" s="1492">
        <f t="shared" si="30"/>
        <v>0</v>
      </c>
      <c r="Y275" s="1493"/>
      <c r="Z275" s="1494"/>
      <c r="AA275" s="699"/>
      <c r="AB275" s="695"/>
      <c r="AC275" s="695">
        <f>'HIV-Key Info'!$E$74*('HPM costs'!K630+'HPM costs'!K633)</f>
        <v>0</v>
      </c>
      <c r="AD275" s="695"/>
      <c r="AE275" s="695">
        <f>'HIV-Key Info'!$E$74*('HPM costs'!L630+'HPM costs'!L633)</f>
        <v>0</v>
      </c>
      <c r="AF275" s="695"/>
      <c r="AG275" s="695">
        <f>'HIV-Key Info'!$E$74*('HPM costs'!M630+'HPM costs'!M633)</f>
        <v>0</v>
      </c>
      <c r="AH275" s="695"/>
      <c r="AI275" s="695">
        <f>'HIV-Key Info'!$E$74*('HPM costs'!N630+'HPM costs'!N633)</f>
        <v>0</v>
      </c>
      <c r="AJ275" s="695"/>
      <c r="AK275" s="1492">
        <f t="shared" si="31"/>
        <v>0</v>
      </c>
      <c r="AL275" s="1493"/>
      <c r="AM275" s="1494"/>
      <c r="AN275" s="699"/>
      <c r="AO275" s="695"/>
      <c r="AP275" s="695">
        <f>'HIV-Key Info'!$E$74*('HPM costs'!P630+'HPM costs'!P633)</f>
        <v>0</v>
      </c>
      <c r="AQ275" s="695"/>
      <c r="AR275" s="695">
        <f>'HIV-Key Info'!$E$74*('HPM costs'!Q630+'HPM costs'!Q633)</f>
        <v>0</v>
      </c>
      <c r="AS275" s="695"/>
      <c r="AT275" s="695">
        <f>'HIV-Key Info'!$E$74*('HPM costs'!R630+'HPM costs'!R633)</f>
        <v>0</v>
      </c>
      <c r="AU275" s="695"/>
      <c r="AV275" s="695">
        <f>'HIV-Key Info'!$E$74*('HPM costs'!S630+'HPM costs'!S633)</f>
        <v>0</v>
      </c>
      <c r="AW275" s="695"/>
      <c r="AX275" s="1492">
        <f t="shared" si="32"/>
        <v>0</v>
      </c>
      <c r="AY275" s="1492"/>
      <c r="AZ275" s="698"/>
      <c r="BA275" s="699"/>
      <c r="BB275" s="697"/>
      <c r="BC275" s="697">
        <v>0</v>
      </c>
      <c r="BD275" s="697">
        <v>0</v>
      </c>
      <c r="BE275" s="697">
        <v>0</v>
      </c>
      <c r="BF275" s="697">
        <v>0</v>
      </c>
      <c r="BG275" s="697">
        <v>0</v>
      </c>
      <c r="BH275" s="697">
        <v>0</v>
      </c>
      <c r="BI275" s="697">
        <v>0</v>
      </c>
      <c r="BJ275" s="697">
        <v>0</v>
      </c>
      <c r="BK275" s="1492">
        <f t="shared" si="33"/>
        <v>0</v>
      </c>
      <c r="BL275" s="1492"/>
      <c r="BM275" s="1492">
        <f t="shared" si="34"/>
        <v>0</v>
      </c>
      <c r="BN275" s="1492">
        <f t="shared" si="35"/>
        <v>0</v>
      </c>
      <c r="BO275" s="697"/>
      <c r="BP275" s="697"/>
      <c r="BQ275" s="1495" t="s">
        <v>238</v>
      </c>
      <c r="BR275" s="1495" t="s">
        <v>818</v>
      </c>
      <c r="BS275" s="1902" t="s">
        <v>655</v>
      </c>
      <c r="BT275" s="1907" t="s">
        <v>1994</v>
      </c>
    </row>
    <row r="276" spans="1:72" ht="13">
      <c r="A276" s="1545">
        <v>821</v>
      </c>
      <c r="B276" s="1546" t="s">
        <v>238</v>
      </c>
      <c r="C276" s="1546" t="s">
        <v>798</v>
      </c>
      <c r="D276" s="1547" t="s">
        <v>6953</v>
      </c>
      <c r="E276" s="690" t="s">
        <v>731</v>
      </c>
      <c r="F276" s="691"/>
      <c r="G276" s="692"/>
      <c r="H276" s="692"/>
      <c r="I276" s="692"/>
      <c r="J276" s="693"/>
      <c r="K276" s="693"/>
      <c r="L276" s="693"/>
      <c r="M276" s="694"/>
      <c r="N276" s="695"/>
      <c r="O276" s="696" t="s">
        <v>1569</v>
      </c>
      <c r="P276" s="695">
        <f>'HIV-Key Info'!$G$89*('HIV-Key Info'!$E$89*('HPM costs'!F551/'HPM costs'!$E$551)+'HIV-Key Info'!$F$89*('HPM costs'!F557/'HPM costs'!$E$557+'HPM costs'!F554/'HPM costs'!$E$554))</f>
        <v>0</v>
      </c>
      <c r="Q276" s="695" t="s">
        <v>1569</v>
      </c>
      <c r="R276" s="695">
        <f>'HIV-Key Info'!$G$89*('HIV-Key Info'!$E$89*('HPM costs'!G551/'HPM costs'!$E$551)+'HIV-Key Info'!$F$89*('HPM costs'!G557/'HPM costs'!$E$557+'HPM costs'!G554/'HPM costs'!$E$554))</f>
        <v>0</v>
      </c>
      <c r="S276" s="695" t="s">
        <v>1569</v>
      </c>
      <c r="T276" s="695">
        <f>'HIV-Key Info'!$G$89*('HIV-Key Info'!$E$89*('HPM costs'!H551/'HPM costs'!$E$551)+'HIV-Key Info'!$F$89*('HPM costs'!H557/'HPM costs'!$E$557+'HPM costs'!H554/'HPM costs'!$E$554))</f>
        <v>0</v>
      </c>
      <c r="U276" s="695" t="s">
        <v>1569</v>
      </c>
      <c r="V276" s="695">
        <f>'HIV-Key Info'!$G$89*('HIV-Key Info'!$E$89*('HPM costs'!I551/'HPM costs'!$E$551)+'HIV-Key Info'!$F$89*('HPM costs'!I557/'HPM costs'!$E$557+'HPM costs'!I554/'HPM costs'!$E$554))</f>
        <v>0</v>
      </c>
      <c r="W276" s="695"/>
      <c r="X276" s="1492">
        <f t="shared" si="30"/>
        <v>0</v>
      </c>
      <c r="Y276" s="1493"/>
      <c r="Z276" s="1494"/>
      <c r="AA276" s="699"/>
      <c r="AB276" s="695"/>
      <c r="AC276" s="695">
        <f>'HIV-Key Info'!$G$89*('HIV-Key Info'!$E$89*('HPM costs'!K551/'HPM costs'!$E$551)+'HIV-Key Info'!$F$89*('HPM costs'!K557/'HPM costs'!$E$557+'HPM costs'!K554/'HPM costs'!$E$554))</f>
        <v>0</v>
      </c>
      <c r="AD276" s="695"/>
      <c r="AE276" s="695">
        <f>'HIV-Key Info'!$G$89*('HIV-Key Info'!$E$89*('HPM costs'!L551/'HPM costs'!$E$551)+'HIV-Key Info'!$F$89*('HPM costs'!L557/'HPM costs'!$E$557+'HPM costs'!L554/'HPM costs'!$E$554))</f>
        <v>0</v>
      </c>
      <c r="AF276" s="695"/>
      <c r="AG276" s="695">
        <f>'HIV-Key Info'!$G$89*('HIV-Key Info'!$E$89*('HPM costs'!M551/'HPM costs'!$E$551)+'HIV-Key Info'!$F$89*('HPM costs'!M557/'HPM costs'!$E$557+'HPM costs'!M554/'HPM costs'!$E$554))</f>
        <v>0</v>
      </c>
      <c r="AH276" s="695"/>
      <c r="AI276" s="695">
        <f>'HIV-Key Info'!$G$89*('HIV-Key Info'!$E$89*('HPM costs'!N551/'HPM costs'!$E$551)+'HIV-Key Info'!$F$89*('HPM costs'!N557/'HPM costs'!$E$557+'HPM costs'!N554/'HPM costs'!$E$554))</f>
        <v>0</v>
      </c>
      <c r="AJ276" s="695"/>
      <c r="AK276" s="1492">
        <f t="shared" si="31"/>
        <v>0</v>
      </c>
      <c r="AL276" s="1493"/>
      <c r="AM276" s="1494"/>
      <c r="AN276" s="699"/>
      <c r="AO276" s="695"/>
      <c r="AP276" s="695">
        <f>'HIV-Key Info'!$G$89*('HIV-Key Info'!$E$89*('HPM costs'!P551/'HPM costs'!$E$551)+'HIV-Key Info'!$F$89*('HPM costs'!P557/'HPM costs'!$E$557+'HPM costs'!P554/'HPM costs'!$E$554))</f>
        <v>0</v>
      </c>
      <c r="AQ276" s="695"/>
      <c r="AR276" s="695">
        <f>'HIV-Key Info'!$G$89*('HIV-Key Info'!$E$89*('HPM costs'!Q551/'HPM costs'!$E$551)+'HIV-Key Info'!$F$89*('HPM costs'!Q557/'HPM costs'!$E$557+'HPM costs'!Q554/'HPM costs'!$E$554))</f>
        <v>0</v>
      </c>
      <c r="AS276" s="695"/>
      <c r="AT276" s="695">
        <f>'HIV-Key Info'!$G$89*('HIV-Key Info'!$E$89*('HPM costs'!R551/'HPM costs'!$E$551)+'HIV-Key Info'!$F$89*('HPM costs'!R557/'HPM costs'!$E$557+'HPM costs'!R554/'HPM costs'!$E$554))</f>
        <v>0</v>
      </c>
      <c r="AU276" s="695"/>
      <c r="AV276" s="695">
        <f>'HIV-Key Info'!$G$89*('HIV-Key Info'!$E$89*('HPM costs'!S551/'HPM costs'!$E$551)+'HIV-Key Info'!$F$89*('HPM costs'!S557/'HPM costs'!$E$557+'HPM costs'!S554/'HPM costs'!$E$554))</f>
        <v>0</v>
      </c>
      <c r="AW276" s="695"/>
      <c r="AX276" s="1492">
        <f t="shared" si="32"/>
        <v>0</v>
      </c>
      <c r="AY276" s="1492"/>
      <c r="AZ276" s="698"/>
      <c r="BA276" s="699"/>
      <c r="BB276" s="697"/>
      <c r="BC276" s="697">
        <v>0</v>
      </c>
      <c r="BD276" s="697">
        <v>0</v>
      </c>
      <c r="BE276" s="697">
        <v>0</v>
      </c>
      <c r="BF276" s="697">
        <v>0</v>
      </c>
      <c r="BG276" s="697">
        <v>0</v>
      </c>
      <c r="BH276" s="697">
        <v>0</v>
      </c>
      <c r="BI276" s="697">
        <v>0</v>
      </c>
      <c r="BJ276" s="697">
        <v>0</v>
      </c>
      <c r="BK276" s="1492">
        <f t="shared" si="33"/>
        <v>0</v>
      </c>
      <c r="BL276" s="1492"/>
      <c r="BM276" s="1492">
        <f t="shared" si="34"/>
        <v>0</v>
      </c>
      <c r="BN276" s="1492">
        <f t="shared" si="35"/>
        <v>0</v>
      </c>
      <c r="BO276" s="697"/>
      <c r="BP276" s="697"/>
      <c r="BQ276" s="1495" t="s">
        <v>238</v>
      </c>
      <c r="BR276" s="1495" t="s">
        <v>818</v>
      </c>
      <c r="BS276" s="1902" t="s">
        <v>6953</v>
      </c>
      <c r="BT276" s="1907" t="s">
        <v>1995</v>
      </c>
    </row>
    <row r="277" spans="1:72" ht="13">
      <c r="A277" s="1545">
        <v>822</v>
      </c>
      <c r="B277" s="1546" t="s">
        <v>238</v>
      </c>
      <c r="C277" s="1546" t="s">
        <v>798</v>
      </c>
      <c r="D277" s="1547" t="s">
        <v>655</v>
      </c>
      <c r="E277" s="690" t="s">
        <v>656</v>
      </c>
      <c r="F277" s="691"/>
      <c r="G277" s="692"/>
      <c r="H277" s="692"/>
      <c r="I277" s="692"/>
      <c r="J277" s="693"/>
      <c r="K277" s="693"/>
      <c r="L277" s="693"/>
      <c r="M277" s="694"/>
      <c r="N277" s="695"/>
      <c r="O277" s="696" t="s">
        <v>1569</v>
      </c>
      <c r="P277" s="695">
        <f>'HIV-Key Info'!$G$89*(('HIV-Key Info'!$E$89*'HPM costs'!F33)+('HIV-Key Info'!$F$89*('HPM costs'!F36+'HPM costs'!F39)))</f>
        <v>0</v>
      </c>
      <c r="Q277" s="695" t="s">
        <v>1569</v>
      </c>
      <c r="R277" s="695">
        <f>'HIV-Key Info'!$G$89*(('HIV-Key Info'!$E$89*'HPM costs'!G33)+('HIV-Key Info'!$F$89*('HPM costs'!G36+'HPM costs'!G39)))</f>
        <v>0</v>
      </c>
      <c r="S277" s="695" t="s">
        <v>1569</v>
      </c>
      <c r="T277" s="695">
        <f>'HIV-Key Info'!$G$89*(('HIV-Key Info'!$E$89*'HPM costs'!H33)+('HIV-Key Info'!$F$89*('HPM costs'!H36+'HPM costs'!H39)))</f>
        <v>0</v>
      </c>
      <c r="U277" s="695" t="s">
        <v>1569</v>
      </c>
      <c r="V277" s="695">
        <f>'HIV-Key Info'!$G$89*(('HIV-Key Info'!$E$89*'HPM costs'!I33)+('HIV-Key Info'!$F$89*('HPM costs'!I36+'HPM costs'!I39)))</f>
        <v>0</v>
      </c>
      <c r="W277" s="695"/>
      <c r="X277" s="1492">
        <f t="shared" si="30"/>
        <v>0</v>
      </c>
      <c r="Y277" s="1493"/>
      <c r="Z277" s="1494"/>
      <c r="AA277" s="699"/>
      <c r="AB277" s="695"/>
      <c r="AC277" s="695">
        <f>'HIV-Key Info'!$G$89*(('HIV-Key Info'!$E$89*'HPM costs'!K33)+('HIV-Key Info'!$F$89*('HPM costs'!K36+'HPM costs'!K39)))</f>
        <v>0</v>
      </c>
      <c r="AD277" s="695"/>
      <c r="AE277" s="695">
        <f>'HIV-Key Info'!$G$89*(('HIV-Key Info'!$E$89*'HPM costs'!L33)+('HIV-Key Info'!$F$89*('HPM costs'!L36+'HPM costs'!L39)))</f>
        <v>0</v>
      </c>
      <c r="AF277" s="695"/>
      <c r="AG277" s="695">
        <f>'HIV-Key Info'!$G$89*(('HIV-Key Info'!$E$89*'HPM costs'!M33)+('HIV-Key Info'!$F$89*('HPM costs'!M36+'HPM costs'!M39)))</f>
        <v>0</v>
      </c>
      <c r="AH277" s="695"/>
      <c r="AI277" s="695">
        <f>'HIV-Key Info'!$G$89*(('HIV-Key Info'!$E$89*'HPM costs'!N33)+('HIV-Key Info'!$F$89*('HPM costs'!N36+'HPM costs'!N39)))</f>
        <v>0</v>
      </c>
      <c r="AJ277" s="695"/>
      <c r="AK277" s="1492">
        <f t="shared" si="31"/>
        <v>0</v>
      </c>
      <c r="AL277" s="1493"/>
      <c r="AM277" s="1494"/>
      <c r="AN277" s="699"/>
      <c r="AO277" s="695"/>
      <c r="AP277" s="695">
        <f>'HIV-Key Info'!$G$89*(('HIV-Key Info'!$E$89*'HPM costs'!P33)+('HIV-Key Info'!$F$89*('HPM costs'!P36+'HPM costs'!P39)))</f>
        <v>0</v>
      </c>
      <c r="AQ277" s="695"/>
      <c r="AR277" s="695">
        <f>'HIV-Key Info'!$G$89*(('HIV-Key Info'!$E$89*'HPM costs'!Q33)+('HIV-Key Info'!$F$89*('HPM costs'!Q36+'HPM costs'!Q39)))</f>
        <v>0</v>
      </c>
      <c r="AS277" s="695"/>
      <c r="AT277" s="695">
        <f>'HIV-Key Info'!$G$89*(('HIV-Key Info'!$E$89*'HPM costs'!R33)+('HIV-Key Info'!$F$89*('HPM costs'!R36+'HPM costs'!R39)))</f>
        <v>0</v>
      </c>
      <c r="AU277" s="695"/>
      <c r="AV277" s="695">
        <f>'HIV-Key Info'!$G$89*(('HIV-Key Info'!$E$89*'HPM costs'!S33)+('HIV-Key Info'!$F$89*('HPM costs'!S36+'HPM costs'!S39)))</f>
        <v>0</v>
      </c>
      <c r="AW277" s="695"/>
      <c r="AX277" s="1492">
        <f t="shared" si="32"/>
        <v>0</v>
      </c>
      <c r="AY277" s="1492"/>
      <c r="AZ277" s="698"/>
      <c r="BA277" s="699"/>
      <c r="BB277" s="697"/>
      <c r="BC277" s="697">
        <v>0</v>
      </c>
      <c r="BD277" s="697">
        <v>0</v>
      </c>
      <c r="BE277" s="697">
        <v>0</v>
      </c>
      <c r="BF277" s="697">
        <v>0</v>
      </c>
      <c r="BG277" s="697">
        <v>0</v>
      </c>
      <c r="BH277" s="697">
        <v>0</v>
      </c>
      <c r="BI277" s="697">
        <v>0</v>
      </c>
      <c r="BJ277" s="697">
        <v>0</v>
      </c>
      <c r="BK277" s="1492">
        <f t="shared" si="33"/>
        <v>0</v>
      </c>
      <c r="BL277" s="1492"/>
      <c r="BM277" s="1492">
        <f t="shared" si="34"/>
        <v>0</v>
      </c>
      <c r="BN277" s="1492">
        <f t="shared" si="35"/>
        <v>0</v>
      </c>
      <c r="BO277" s="697"/>
      <c r="BP277" s="697"/>
      <c r="BQ277" s="1495" t="s">
        <v>238</v>
      </c>
      <c r="BR277" s="1495" t="s">
        <v>818</v>
      </c>
      <c r="BS277" s="1902" t="s">
        <v>655</v>
      </c>
      <c r="BT277" s="1907" t="s">
        <v>1996</v>
      </c>
    </row>
    <row r="278" spans="1:72" ht="13">
      <c r="A278" s="1545">
        <v>823</v>
      </c>
      <c r="B278" s="1546" t="s">
        <v>238</v>
      </c>
      <c r="C278" s="1546" t="s">
        <v>798</v>
      </c>
      <c r="D278" s="1547" t="s">
        <v>655</v>
      </c>
      <c r="E278" s="690" t="s">
        <v>658</v>
      </c>
      <c r="F278" s="691"/>
      <c r="G278" s="692"/>
      <c r="H278" s="692"/>
      <c r="I278" s="692"/>
      <c r="J278" s="693"/>
      <c r="K278" s="693"/>
      <c r="L278" s="693"/>
      <c r="M278" s="694"/>
      <c r="N278" s="695"/>
      <c r="O278" s="696" t="s">
        <v>1569</v>
      </c>
      <c r="P278" s="695">
        <f>'HIV-Key Info'!$G$89*(('HIV-Key Info'!$E$89*'HPM costs'!F119)+('HIV-Key Info'!$F$89*('HPM costs'!F122+'HPM costs'!F125)))</f>
        <v>0</v>
      </c>
      <c r="Q278" s="695" t="s">
        <v>1569</v>
      </c>
      <c r="R278" s="695">
        <f>'HIV-Key Info'!$G$89*(('HIV-Key Info'!$E$89*'HPM costs'!G119)+('HIV-Key Info'!$F$89*('HPM costs'!G122+'HPM costs'!G125)))</f>
        <v>0</v>
      </c>
      <c r="S278" s="695" t="s">
        <v>1569</v>
      </c>
      <c r="T278" s="695">
        <f>'HIV-Key Info'!$G$89*(('HIV-Key Info'!$E$89*'HPM costs'!H119)+('HIV-Key Info'!$F$89*('HPM costs'!H122+'HPM costs'!H125)))</f>
        <v>0</v>
      </c>
      <c r="U278" s="695" t="s">
        <v>1569</v>
      </c>
      <c r="V278" s="695">
        <f>'HIV-Key Info'!$G$89*(('HIV-Key Info'!$E$89*'HPM costs'!I119)+('HIV-Key Info'!$F$89*('HPM costs'!I122+'HPM costs'!I125)))</f>
        <v>0</v>
      </c>
      <c r="W278" s="695"/>
      <c r="X278" s="1492">
        <f t="shared" si="30"/>
        <v>0</v>
      </c>
      <c r="Y278" s="1493"/>
      <c r="Z278" s="1494"/>
      <c r="AA278" s="699"/>
      <c r="AB278" s="695"/>
      <c r="AC278" s="695">
        <f>'HIV-Key Info'!$G$89*(('HIV-Key Info'!$E$89*'HPM costs'!K119)+('HIV-Key Info'!$F$89*('HPM costs'!K122+'HPM costs'!K125)))</f>
        <v>0</v>
      </c>
      <c r="AD278" s="695"/>
      <c r="AE278" s="695">
        <f>'HIV-Key Info'!$G$89*(('HIV-Key Info'!$E$89*'HPM costs'!L119)+('HIV-Key Info'!$F$89*('HPM costs'!L122+'HPM costs'!L125)))</f>
        <v>0</v>
      </c>
      <c r="AF278" s="695"/>
      <c r="AG278" s="695">
        <f>'HIV-Key Info'!$G$89*(('HIV-Key Info'!$E$89*'HPM costs'!M119)+('HIV-Key Info'!$F$89*('HPM costs'!M122+'HPM costs'!M125)))</f>
        <v>0</v>
      </c>
      <c r="AH278" s="695"/>
      <c r="AI278" s="695">
        <f>'HIV-Key Info'!$G$89*(('HIV-Key Info'!$E$89*'HPM costs'!N119)+('HIV-Key Info'!$F$89*('HPM costs'!N122+'HPM costs'!N125)))</f>
        <v>0</v>
      </c>
      <c r="AJ278" s="695"/>
      <c r="AK278" s="1492">
        <f t="shared" si="31"/>
        <v>0</v>
      </c>
      <c r="AL278" s="1493"/>
      <c r="AM278" s="1494"/>
      <c r="AN278" s="699"/>
      <c r="AO278" s="695"/>
      <c r="AP278" s="695">
        <f>'HIV-Key Info'!$G$89*(('HIV-Key Info'!$E$89*'HPM costs'!P119)+('HIV-Key Info'!$F$89*('HPM costs'!P122+'HPM costs'!P125)))</f>
        <v>0</v>
      </c>
      <c r="AQ278" s="695"/>
      <c r="AR278" s="695">
        <f>'HIV-Key Info'!$G$89*(('HIV-Key Info'!$E$89*'HPM costs'!Q119)+('HIV-Key Info'!$F$89*('HPM costs'!Q122+'HPM costs'!Q125)))</f>
        <v>0</v>
      </c>
      <c r="AS278" s="695"/>
      <c r="AT278" s="695">
        <f>'HIV-Key Info'!$G$89*(('HIV-Key Info'!$E$89*'HPM costs'!R119)+('HIV-Key Info'!$F$89*('HPM costs'!R122+'HPM costs'!R125)))</f>
        <v>0</v>
      </c>
      <c r="AU278" s="695"/>
      <c r="AV278" s="695">
        <f>'HIV-Key Info'!$G$89*(('HIV-Key Info'!$E$89*'HPM costs'!S119)+('HIV-Key Info'!$F$89*('HPM costs'!S122+'HPM costs'!S125)))</f>
        <v>0</v>
      </c>
      <c r="AW278" s="695"/>
      <c r="AX278" s="1492">
        <f t="shared" si="32"/>
        <v>0</v>
      </c>
      <c r="AY278" s="1492"/>
      <c r="AZ278" s="698"/>
      <c r="BA278" s="699"/>
      <c r="BB278" s="697"/>
      <c r="BC278" s="697">
        <v>0</v>
      </c>
      <c r="BD278" s="697">
        <v>0</v>
      </c>
      <c r="BE278" s="697">
        <v>0</v>
      </c>
      <c r="BF278" s="697">
        <v>0</v>
      </c>
      <c r="BG278" s="697">
        <v>0</v>
      </c>
      <c r="BH278" s="697">
        <v>0</v>
      </c>
      <c r="BI278" s="697">
        <v>0</v>
      </c>
      <c r="BJ278" s="697">
        <v>0</v>
      </c>
      <c r="BK278" s="1492">
        <f t="shared" si="33"/>
        <v>0</v>
      </c>
      <c r="BL278" s="1492"/>
      <c r="BM278" s="1492">
        <f t="shared" si="34"/>
        <v>0</v>
      </c>
      <c r="BN278" s="1492">
        <f t="shared" si="35"/>
        <v>0</v>
      </c>
      <c r="BO278" s="697"/>
      <c r="BP278" s="697"/>
      <c r="BQ278" s="1495" t="s">
        <v>238</v>
      </c>
      <c r="BR278" s="1495" t="s">
        <v>818</v>
      </c>
      <c r="BS278" s="1902" t="s">
        <v>655</v>
      </c>
      <c r="BT278" s="1907" t="s">
        <v>1997</v>
      </c>
    </row>
    <row r="279" spans="1:72" ht="13">
      <c r="A279" s="1545">
        <v>824</v>
      </c>
      <c r="B279" s="1546" t="s">
        <v>238</v>
      </c>
      <c r="C279" s="1546" t="s">
        <v>798</v>
      </c>
      <c r="D279" s="1547" t="s">
        <v>655</v>
      </c>
      <c r="E279" s="690" t="s">
        <v>660</v>
      </c>
      <c r="F279" s="691"/>
      <c r="G279" s="692"/>
      <c r="H279" s="692"/>
      <c r="I279" s="692"/>
      <c r="J279" s="693"/>
      <c r="K279" s="693"/>
      <c r="L279" s="693"/>
      <c r="M279" s="694"/>
      <c r="N279" s="695"/>
      <c r="O279" s="696" t="s">
        <v>1569</v>
      </c>
      <c r="P279" s="695">
        <f>'HIV-Key Info'!$G$89*(('HIV-Key Info'!$E$89*'HPM costs'!F379)+('HIV-Key Info'!$F$89*('HPM costs'!F382+'HPM costs'!F385)))</f>
        <v>0</v>
      </c>
      <c r="Q279" s="695" t="s">
        <v>1569</v>
      </c>
      <c r="R279" s="695">
        <f>'HIV-Key Info'!$G$89*(('HIV-Key Info'!$E$89*'HPM costs'!G379)+('HIV-Key Info'!$F$89*('HPM costs'!G382+'HPM costs'!G385)))</f>
        <v>0</v>
      </c>
      <c r="S279" s="695" t="s">
        <v>1569</v>
      </c>
      <c r="T279" s="695">
        <f>'HIV-Key Info'!$G$89*(('HIV-Key Info'!$E$89*'HPM costs'!H379)+('HIV-Key Info'!$F$89*('HPM costs'!H382+'HPM costs'!H385)))</f>
        <v>0</v>
      </c>
      <c r="U279" s="695" t="s">
        <v>1569</v>
      </c>
      <c r="V279" s="695">
        <f>'HIV-Key Info'!$G$89*(('HIV-Key Info'!$E$89*'HPM costs'!I379)+('HIV-Key Info'!$F$89*('HPM costs'!I382+'HPM costs'!I385)))</f>
        <v>0</v>
      </c>
      <c r="W279" s="695"/>
      <c r="X279" s="1492">
        <f t="shared" si="30"/>
        <v>0</v>
      </c>
      <c r="Y279" s="1493"/>
      <c r="Z279" s="1494"/>
      <c r="AA279" s="699"/>
      <c r="AB279" s="695"/>
      <c r="AC279" s="695">
        <f>'HIV-Key Info'!$G$89*(('HIV-Key Info'!$E$89*'HPM costs'!K379)+('HIV-Key Info'!$F$89*('HPM costs'!K382+'HPM costs'!K385)))</f>
        <v>0</v>
      </c>
      <c r="AD279" s="695"/>
      <c r="AE279" s="695">
        <f>'HIV-Key Info'!$G$89*(('HIV-Key Info'!$E$89*'HPM costs'!L379)+('HIV-Key Info'!$F$89*('HPM costs'!L382+'HPM costs'!L385)))</f>
        <v>0</v>
      </c>
      <c r="AF279" s="695"/>
      <c r="AG279" s="695">
        <f>'HIV-Key Info'!$G$89*(('HIV-Key Info'!$E$89*'HPM costs'!M379)+('HIV-Key Info'!$F$89*('HPM costs'!M382+'HPM costs'!M385)))</f>
        <v>0</v>
      </c>
      <c r="AH279" s="695"/>
      <c r="AI279" s="695">
        <f>'HIV-Key Info'!$G$89*(('HIV-Key Info'!$E$89*'HPM costs'!N379)+('HIV-Key Info'!$F$89*('HPM costs'!N382+'HPM costs'!N385)))</f>
        <v>0</v>
      </c>
      <c r="AJ279" s="695"/>
      <c r="AK279" s="1492">
        <f t="shared" si="31"/>
        <v>0</v>
      </c>
      <c r="AL279" s="1493"/>
      <c r="AM279" s="1494"/>
      <c r="AN279" s="699"/>
      <c r="AO279" s="695"/>
      <c r="AP279" s="695">
        <f>'HIV-Key Info'!$G$89*(('HIV-Key Info'!$E$89*'HPM costs'!P379)+('HIV-Key Info'!$F$89*('HPM costs'!P382+'HPM costs'!P385)))</f>
        <v>0</v>
      </c>
      <c r="AQ279" s="695"/>
      <c r="AR279" s="695">
        <f>'HIV-Key Info'!$G$89*(('HIV-Key Info'!$E$89*'HPM costs'!Q379)+('HIV-Key Info'!$F$89*('HPM costs'!Q382+'HPM costs'!Q385)))</f>
        <v>0</v>
      </c>
      <c r="AS279" s="695"/>
      <c r="AT279" s="695">
        <f>'HIV-Key Info'!$G$89*(('HIV-Key Info'!$E$89*'HPM costs'!R379)+('HIV-Key Info'!$F$89*('HPM costs'!R382+'HPM costs'!R385)))</f>
        <v>0</v>
      </c>
      <c r="AU279" s="695"/>
      <c r="AV279" s="695">
        <f>'HIV-Key Info'!$G$89*(('HIV-Key Info'!$E$89*'HPM costs'!S379)+('HIV-Key Info'!$F$89*('HPM costs'!S382+'HPM costs'!S385)))</f>
        <v>0</v>
      </c>
      <c r="AW279" s="695"/>
      <c r="AX279" s="1492">
        <f t="shared" si="32"/>
        <v>0</v>
      </c>
      <c r="AY279" s="1492"/>
      <c r="AZ279" s="698"/>
      <c r="BA279" s="699"/>
      <c r="BB279" s="697"/>
      <c r="BC279" s="697">
        <v>0</v>
      </c>
      <c r="BD279" s="697">
        <v>0</v>
      </c>
      <c r="BE279" s="697">
        <v>0</v>
      </c>
      <c r="BF279" s="697">
        <v>0</v>
      </c>
      <c r="BG279" s="697">
        <v>0</v>
      </c>
      <c r="BH279" s="697">
        <v>0</v>
      </c>
      <c r="BI279" s="697">
        <v>0</v>
      </c>
      <c r="BJ279" s="697">
        <v>0</v>
      </c>
      <c r="BK279" s="1492">
        <f t="shared" si="33"/>
        <v>0</v>
      </c>
      <c r="BL279" s="1492"/>
      <c r="BM279" s="1492">
        <f t="shared" si="34"/>
        <v>0</v>
      </c>
      <c r="BN279" s="1492">
        <f t="shared" si="35"/>
        <v>0</v>
      </c>
      <c r="BO279" s="697"/>
      <c r="BP279" s="697"/>
      <c r="BQ279" s="1495" t="s">
        <v>238</v>
      </c>
      <c r="BR279" s="1495" t="s">
        <v>818</v>
      </c>
      <c r="BS279" s="1902" t="s">
        <v>655</v>
      </c>
      <c r="BT279" s="1907" t="s">
        <v>1998</v>
      </c>
    </row>
    <row r="280" spans="1:72" ht="13">
      <c r="A280" s="1545">
        <v>825</v>
      </c>
      <c r="B280" s="1546" t="s">
        <v>238</v>
      </c>
      <c r="C280" s="1546" t="s">
        <v>798</v>
      </c>
      <c r="D280" s="1547" t="s">
        <v>655</v>
      </c>
      <c r="E280" s="690" t="s">
        <v>662</v>
      </c>
      <c r="F280" s="691"/>
      <c r="G280" s="692"/>
      <c r="H280" s="692"/>
      <c r="I280" s="692"/>
      <c r="J280" s="693"/>
      <c r="K280" s="693"/>
      <c r="L280" s="693"/>
      <c r="M280" s="694"/>
      <c r="N280" s="695"/>
      <c r="O280" s="696" t="s">
        <v>1569</v>
      </c>
      <c r="P280" s="695">
        <f>'HIV-Key Info'!$G$89*(('HIV-Key Info'!$E$89*'HPM costs'!F465)+('HIV-Key Info'!$F$89*('HPM costs'!F468+'HPM costs'!F471)))</f>
        <v>0</v>
      </c>
      <c r="Q280" s="695" t="s">
        <v>1569</v>
      </c>
      <c r="R280" s="695">
        <f>'HIV-Key Info'!$G$89*(('HIV-Key Info'!$E$89*'HPM costs'!G465)+('HIV-Key Info'!$F$89*('HPM costs'!G468+'HPM costs'!G471)))</f>
        <v>0</v>
      </c>
      <c r="S280" s="695" t="s">
        <v>1569</v>
      </c>
      <c r="T280" s="695">
        <f>'HIV-Key Info'!$G$89*(('HIV-Key Info'!$E$89*'HPM costs'!H465)+('HIV-Key Info'!$F$89*('HPM costs'!H468+'HPM costs'!H471)))</f>
        <v>0</v>
      </c>
      <c r="U280" s="695" t="s">
        <v>1569</v>
      </c>
      <c r="V280" s="695">
        <f>'HIV-Key Info'!$G$89*(('HIV-Key Info'!$E$89*'HPM costs'!I465)+('HIV-Key Info'!$F$89*('HPM costs'!I468+'HPM costs'!I471)))</f>
        <v>0</v>
      </c>
      <c r="W280" s="695"/>
      <c r="X280" s="1492">
        <f t="shared" si="30"/>
        <v>0</v>
      </c>
      <c r="Y280" s="1493"/>
      <c r="Z280" s="1494"/>
      <c r="AA280" s="699"/>
      <c r="AB280" s="695"/>
      <c r="AC280" s="695">
        <f>'HIV-Key Info'!$G$89*(('HIV-Key Info'!$E$89*'HPM costs'!K465)+('HIV-Key Info'!$F$89*('HPM costs'!K468+'HPM costs'!K471)))</f>
        <v>0</v>
      </c>
      <c r="AD280" s="695"/>
      <c r="AE280" s="695">
        <f>'HIV-Key Info'!$G$89*(('HIV-Key Info'!$E$89*'HPM costs'!L465)+('HIV-Key Info'!$F$89*('HPM costs'!L468+'HPM costs'!L471)))</f>
        <v>0</v>
      </c>
      <c r="AF280" s="695"/>
      <c r="AG280" s="695">
        <f>'HIV-Key Info'!$G$89*(('HIV-Key Info'!$E$89*'HPM costs'!M465)+('HIV-Key Info'!$F$89*('HPM costs'!M468+'HPM costs'!M471)))</f>
        <v>0</v>
      </c>
      <c r="AH280" s="695"/>
      <c r="AI280" s="695">
        <f>'HIV-Key Info'!$G$89*(('HIV-Key Info'!$E$89*'HPM costs'!N465)+('HIV-Key Info'!$F$89*('HPM costs'!N468+'HPM costs'!N471)))</f>
        <v>0</v>
      </c>
      <c r="AJ280" s="695"/>
      <c r="AK280" s="1492">
        <f t="shared" si="31"/>
        <v>0</v>
      </c>
      <c r="AL280" s="1493"/>
      <c r="AM280" s="1494"/>
      <c r="AN280" s="699"/>
      <c r="AO280" s="695"/>
      <c r="AP280" s="695">
        <f>'HIV-Key Info'!$G$89*(('HIV-Key Info'!$E$89*'HPM costs'!P465)+('HIV-Key Info'!$F$89*('HPM costs'!P468+'HPM costs'!P471)))</f>
        <v>0</v>
      </c>
      <c r="AQ280" s="695"/>
      <c r="AR280" s="695">
        <f>'HIV-Key Info'!$G$89*(('HIV-Key Info'!$E$89*'HPM costs'!Q465)+('HIV-Key Info'!$F$89*('HPM costs'!Q468+'HPM costs'!Q471)))</f>
        <v>0</v>
      </c>
      <c r="AS280" s="695"/>
      <c r="AT280" s="695">
        <f>'HIV-Key Info'!$G$89*(('HIV-Key Info'!$E$89*'HPM costs'!R465)+('HIV-Key Info'!$F$89*('HPM costs'!R468+'HPM costs'!R471)))</f>
        <v>0</v>
      </c>
      <c r="AU280" s="695"/>
      <c r="AV280" s="695">
        <f>'HIV-Key Info'!$G$89*(('HIV-Key Info'!$E$89*'HPM costs'!S465)+('HIV-Key Info'!$F$89*('HPM costs'!S468+'HPM costs'!S471)))</f>
        <v>0</v>
      </c>
      <c r="AW280" s="695"/>
      <c r="AX280" s="1492">
        <f t="shared" si="32"/>
        <v>0</v>
      </c>
      <c r="AY280" s="1492"/>
      <c r="AZ280" s="698"/>
      <c r="BA280" s="699"/>
      <c r="BB280" s="697"/>
      <c r="BC280" s="697">
        <v>0</v>
      </c>
      <c r="BD280" s="697">
        <v>0</v>
      </c>
      <c r="BE280" s="697">
        <v>0</v>
      </c>
      <c r="BF280" s="697">
        <v>0</v>
      </c>
      <c r="BG280" s="697">
        <v>0</v>
      </c>
      <c r="BH280" s="697">
        <v>0</v>
      </c>
      <c r="BI280" s="697">
        <v>0</v>
      </c>
      <c r="BJ280" s="697">
        <v>0</v>
      </c>
      <c r="BK280" s="1492">
        <f t="shared" si="33"/>
        <v>0</v>
      </c>
      <c r="BL280" s="1492"/>
      <c r="BM280" s="1492">
        <f t="shared" si="34"/>
        <v>0</v>
      </c>
      <c r="BN280" s="1492">
        <f t="shared" si="35"/>
        <v>0</v>
      </c>
      <c r="BO280" s="697"/>
      <c r="BP280" s="697"/>
      <c r="BQ280" s="1495" t="s">
        <v>238</v>
      </c>
      <c r="BR280" s="1495" t="s">
        <v>818</v>
      </c>
      <c r="BS280" s="1902" t="s">
        <v>655</v>
      </c>
      <c r="BT280" s="1907" t="s">
        <v>1999</v>
      </c>
    </row>
    <row r="281" spans="1:72" ht="13">
      <c r="A281" s="1545">
        <v>826</v>
      </c>
      <c r="B281" s="1546" t="s">
        <v>238</v>
      </c>
      <c r="C281" s="1546" t="s">
        <v>798</v>
      </c>
      <c r="D281" s="1547" t="s">
        <v>655</v>
      </c>
      <c r="E281" s="690" t="s">
        <v>664</v>
      </c>
      <c r="F281" s="691"/>
      <c r="G281" s="692"/>
      <c r="H281" s="692"/>
      <c r="I281" s="692"/>
      <c r="J281" s="693"/>
      <c r="K281" s="693"/>
      <c r="L281" s="693"/>
      <c r="M281" s="694"/>
      <c r="N281" s="695"/>
      <c r="O281" s="696" t="s">
        <v>1569</v>
      </c>
      <c r="P281" s="695">
        <f>'HIV-Key Info'!$G$89*(('HIV-Key Info'!$E$89*('HPM costs'!F205+'HPM costs'!F551))+('HIV-Key Info'!$F$89*('HPM costs'!F208+'HPM costs'!F211+'HPM costs'!F554+'HPM costs'!F557)))</f>
        <v>0</v>
      </c>
      <c r="Q281" s="695" t="s">
        <v>1569</v>
      </c>
      <c r="R281" s="695">
        <f>'HIV-Key Info'!$G$89*(('HIV-Key Info'!$E$89*('HPM costs'!G205+'HPM costs'!G551))+('HIV-Key Info'!$F$89*('HPM costs'!G208+'HPM costs'!G211+'HPM costs'!G554+'HPM costs'!G557)))</f>
        <v>0</v>
      </c>
      <c r="S281" s="695" t="s">
        <v>1569</v>
      </c>
      <c r="T281" s="695">
        <f>'HIV-Key Info'!$G$89*(('HIV-Key Info'!$E$89*('HPM costs'!H205+'HPM costs'!H551))+('HIV-Key Info'!$F$89*('HPM costs'!H208+'HPM costs'!H211+'HPM costs'!H554+'HPM costs'!H557)))</f>
        <v>0</v>
      </c>
      <c r="U281" s="695" t="s">
        <v>1569</v>
      </c>
      <c r="V281" s="695">
        <f>'HIV-Key Info'!$G$89*(('HIV-Key Info'!$E$89*('HPM costs'!I205+'HPM costs'!I551))+('HIV-Key Info'!$F$89*('HPM costs'!I208+'HPM costs'!I211+'HPM costs'!I554+'HPM costs'!I557)))</f>
        <v>0</v>
      </c>
      <c r="W281" s="695"/>
      <c r="X281" s="1492">
        <f t="shared" si="30"/>
        <v>0</v>
      </c>
      <c r="Y281" s="1493"/>
      <c r="Z281" s="1494"/>
      <c r="AA281" s="699"/>
      <c r="AB281" s="695"/>
      <c r="AC281" s="695">
        <f>'HIV-Key Info'!$G$89*(('HIV-Key Info'!$E$89*('HPM costs'!K205+'HPM costs'!K551))+('HIV-Key Info'!$F$89*('HPM costs'!K208+'HPM costs'!K211+'HPM costs'!K554+'HPM costs'!K557)))</f>
        <v>0</v>
      </c>
      <c r="AD281" s="695"/>
      <c r="AE281" s="695">
        <f>'HIV-Key Info'!$G$89*(('HIV-Key Info'!$E$89*('HPM costs'!L205+'HPM costs'!L551))+('HIV-Key Info'!$F$89*('HPM costs'!L208+'HPM costs'!L211+'HPM costs'!L554+'HPM costs'!L557)))</f>
        <v>0</v>
      </c>
      <c r="AF281" s="695"/>
      <c r="AG281" s="695">
        <f>'HIV-Key Info'!$G$89*(('HIV-Key Info'!$E$89*('HPM costs'!M205+'HPM costs'!M551))+('HIV-Key Info'!$F$89*('HPM costs'!M208+'HPM costs'!M211+'HPM costs'!M554+'HPM costs'!M557)))</f>
        <v>0</v>
      </c>
      <c r="AH281" s="695"/>
      <c r="AI281" s="695">
        <f>'HIV-Key Info'!$G$89*(('HIV-Key Info'!$E$89*('HPM costs'!N205+'HPM costs'!N551))+('HIV-Key Info'!$F$89*('HPM costs'!N208+'HPM costs'!N211+'HPM costs'!N554+'HPM costs'!N557)))</f>
        <v>0</v>
      </c>
      <c r="AJ281" s="695"/>
      <c r="AK281" s="1492">
        <f t="shared" si="31"/>
        <v>0</v>
      </c>
      <c r="AL281" s="1493"/>
      <c r="AM281" s="1494"/>
      <c r="AN281" s="699"/>
      <c r="AO281" s="695"/>
      <c r="AP281" s="695">
        <f>'HIV-Key Info'!$G$89*(('HIV-Key Info'!$E$89*('HPM costs'!P205+'HPM costs'!P551))+('HIV-Key Info'!$F$89*('HPM costs'!P208+'HPM costs'!P211+'HPM costs'!P554+'HPM costs'!P557)))</f>
        <v>0</v>
      </c>
      <c r="AQ281" s="695"/>
      <c r="AR281" s="695">
        <f>'HIV-Key Info'!$G$89*(('HIV-Key Info'!$E$89*('HPM costs'!Q205+'HPM costs'!Q551))+('HIV-Key Info'!$F$89*('HPM costs'!Q208+'HPM costs'!Q211+'HPM costs'!Q554+'HPM costs'!Q557)))</f>
        <v>0</v>
      </c>
      <c r="AS281" s="695"/>
      <c r="AT281" s="695">
        <f>'HIV-Key Info'!$G$89*(('HIV-Key Info'!$E$89*('HPM costs'!R205+'HPM costs'!R551))+('HIV-Key Info'!$F$89*('HPM costs'!R208+'HPM costs'!R211+'HPM costs'!R554+'HPM costs'!R557)))</f>
        <v>0</v>
      </c>
      <c r="AU281" s="695"/>
      <c r="AV281" s="695">
        <f>'HIV-Key Info'!$G$89*(('HIV-Key Info'!$E$89*('HPM costs'!S205+'HPM costs'!S551))+('HIV-Key Info'!$F$89*('HPM costs'!S208+'HPM costs'!S211+'HPM costs'!S554+'HPM costs'!S557)))</f>
        <v>0</v>
      </c>
      <c r="AW281" s="695"/>
      <c r="AX281" s="1492">
        <f t="shared" si="32"/>
        <v>0</v>
      </c>
      <c r="AY281" s="1492"/>
      <c r="AZ281" s="698"/>
      <c r="BA281" s="699"/>
      <c r="BB281" s="697"/>
      <c r="BC281" s="697">
        <v>0</v>
      </c>
      <c r="BD281" s="697">
        <v>0</v>
      </c>
      <c r="BE281" s="697">
        <v>0</v>
      </c>
      <c r="BF281" s="697">
        <v>0</v>
      </c>
      <c r="BG281" s="697">
        <v>0</v>
      </c>
      <c r="BH281" s="697">
        <v>0</v>
      </c>
      <c r="BI281" s="697">
        <v>0</v>
      </c>
      <c r="BJ281" s="697">
        <v>0</v>
      </c>
      <c r="BK281" s="1492">
        <f t="shared" si="33"/>
        <v>0</v>
      </c>
      <c r="BL281" s="1492"/>
      <c r="BM281" s="1492">
        <f t="shared" si="34"/>
        <v>0</v>
      </c>
      <c r="BN281" s="1492">
        <f t="shared" si="35"/>
        <v>0</v>
      </c>
      <c r="BO281" s="697"/>
      <c r="BP281" s="697"/>
      <c r="BQ281" s="1495" t="s">
        <v>238</v>
      </c>
      <c r="BR281" s="1495" t="s">
        <v>818</v>
      </c>
      <c r="BS281" s="1902" t="s">
        <v>655</v>
      </c>
      <c r="BT281" s="1907" t="s">
        <v>2000</v>
      </c>
    </row>
    <row r="282" spans="1:72" ht="13">
      <c r="A282" s="1545">
        <v>827</v>
      </c>
      <c r="B282" s="1546" t="s">
        <v>238</v>
      </c>
      <c r="C282" s="1546" t="s">
        <v>798</v>
      </c>
      <c r="D282" s="1547" t="s">
        <v>655</v>
      </c>
      <c r="E282" s="690" t="s">
        <v>666</v>
      </c>
      <c r="F282" s="691"/>
      <c r="G282" s="692"/>
      <c r="H282" s="692"/>
      <c r="I282" s="692"/>
      <c r="J282" s="693"/>
      <c r="K282" s="693"/>
      <c r="L282" s="693"/>
      <c r="M282" s="694"/>
      <c r="N282" s="695"/>
      <c r="O282" s="696" t="s">
        <v>1569</v>
      </c>
      <c r="P282" s="695">
        <f>'HIV-Key Info'!$G$89*(('HIV-Key Info'!$E$89*'HPM costs'!F291)+('HIV-Key Info'!$F$89*('HPM costs'!F294+'HPM costs'!F297)))</f>
        <v>0</v>
      </c>
      <c r="Q282" s="695" t="s">
        <v>1569</v>
      </c>
      <c r="R282" s="695">
        <f>'HIV-Key Info'!$G$89*(('HIV-Key Info'!$E$89*'HPM costs'!G291)+('HIV-Key Info'!$F$89*('HPM costs'!G294+'HPM costs'!G297)))</f>
        <v>0</v>
      </c>
      <c r="S282" s="695" t="s">
        <v>1569</v>
      </c>
      <c r="T282" s="695">
        <f>'HIV-Key Info'!$G$89*(('HIV-Key Info'!$E$89*'HPM costs'!H291)+('HIV-Key Info'!$F$89*('HPM costs'!H294+'HPM costs'!H297)))</f>
        <v>0</v>
      </c>
      <c r="U282" s="695" t="s">
        <v>1569</v>
      </c>
      <c r="V282" s="695">
        <f>'HIV-Key Info'!$G$89*(('HIV-Key Info'!$E$89*'HPM costs'!I291)+('HIV-Key Info'!$F$89*('HPM costs'!I294+'HPM costs'!I297)))</f>
        <v>0</v>
      </c>
      <c r="W282" s="695"/>
      <c r="X282" s="1492">
        <f t="shared" si="30"/>
        <v>0</v>
      </c>
      <c r="Y282" s="1493"/>
      <c r="Z282" s="1494"/>
      <c r="AA282" s="699"/>
      <c r="AB282" s="695"/>
      <c r="AC282" s="695">
        <f>'HIV-Key Info'!$G$89*(('HIV-Key Info'!$E$89*'HPM costs'!K291)+('HIV-Key Info'!$F$89*('HPM costs'!K294+'HPM costs'!K297)))</f>
        <v>0</v>
      </c>
      <c r="AD282" s="695"/>
      <c r="AE282" s="695">
        <f>'HIV-Key Info'!$G$89*(('HIV-Key Info'!$E$89*'HPM costs'!L291)+('HIV-Key Info'!$F$89*('HPM costs'!L294+'HPM costs'!L297)))</f>
        <v>0</v>
      </c>
      <c r="AF282" s="695"/>
      <c r="AG282" s="695">
        <f>'HIV-Key Info'!$G$89*(('HIV-Key Info'!$E$89*'HPM costs'!M291)+('HIV-Key Info'!$F$89*('HPM costs'!M294+'HPM costs'!M297)))</f>
        <v>0</v>
      </c>
      <c r="AH282" s="695"/>
      <c r="AI282" s="695">
        <f>'HIV-Key Info'!$G$89*(('HIV-Key Info'!$E$89*'HPM costs'!N291)+('HIV-Key Info'!$F$89*('HPM costs'!N294+'HPM costs'!N297)))</f>
        <v>0</v>
      </c>
      <c r="AJ282" s="695"/>
      <c r="AK282" s="1492">
        <f t="shared" si="31"/>
        <v>0</v>
      </c>
      <c r="AL282" s="1493"/>
      <c r="AM282" s="1494"/>
      <c r="AN282" s="699"/>
      <c r="AO282" s="695"/>
      <c r="AP282" s="695">
        <f>'HIV-Key Info'!$G$89*(('HIV-Key Info'!$E$89*'HPM costs'!P291)+('HIV-Key Info'!$F$89*('HPM costs'!P294+'HPM costs'!P297)))</f>
        <v>0</v>
      </c>
      <c r="AQ282" s="695"/>
      <c r="AR282" s="695">
        <f>'HIV-Key Info'!$G$89*(('HIV-Key Info'!$E$89*'HPM costs'!Q291)+('HIV-Key Info'!$F$89*('HPM costs'!Q294+'HPM costs'!Q297)))</f>
        <v>0</v>
      </c>
      <c r="AS282" s="695"/>
      <c r="AT282" s="695">
        <f>'HIV-Key Info'!$G$89*(('HIV-Key Info'!$E$89*'HPM costs'!R291)+('HIV-Key Info'!$F$89*('HPM costs'!R294+'HPM costs'!R297)))</f>
        <v>0</v>
      </c>
      <c r="AU282" s="695"/>
      <c r="AV282" s="695">
        <f>'HIV-Key Info'!$G$89*(('HIV-Key Info'!$E$89*'HPM costs'!S291)+('HIV-Key Info'!$F$89*('HPM costs'!S294+'HPM costs'!S297)))</f>
        <v>0</v>
      </c>
      <c r="AW282" s="695"/>
      <c r="AX282" s="1492">
        <f t="shared" si="32"/>
        <v>0</v>
      </c>
      <c r="AY282" s="1492"/>
      <c r="AZ282" s="698"/>
      <c r="BA282" s="699"/>
      <c r="BB282" s="697"/>
      <c r="BC282" s="697">
        <v>0</v>
      </c>
      <c r="BD282" s="697">
        <v>0</v>
      </c>
      <c r="BE282" s="697">
        <v>0</v>
      </c>
      <c r="BF282" s="697">
        <v>0</v>
      </c>
      <c r="BG282" s="697">
        <v>0</v>
      </c>
      <c r="BH282" s="697">
        <v>0</v>
      </c>
      <c r="BI282" s="697">
        <v>0</v>
      </c>
      <c r="BJ282" s="697">
        <v>0</v>
      </c>
      <c r="BK282" s="1492">
        <f t="shared" si="33"/>
        <v>0</v>
      </c>
      <c r="BL282" s="1492"/>
      <c r="BM282" s="1492">
        <f t="shared" si="34"/>
        <v>0</v>
      </c>
      <c r="BN282" s="1492">
        <f t="shared" si="35"/>
        <v>0</v>
      </c>
      <c r="BO282" s="697"/>
      <c r="BP282" s="697"/>
      <c r="BQ282" s="1495" t="s">
        <v>238</v>
      </c>
      <c r="BR282" s="1495" t="s">
        <v>818</v>
      </c>
      <c r="BS282" s="1902" t="s">
        <v>655</v>
      </c>
      <c r="BT282" s="1907" t="s">
        <v>2001</v>
      </c>
    </row>
    <row r="283" spans="1:72" ht="13">
      <c r="A283" s="1545">
        <v>828</v>
      </c>
      <c r="B283" s="1546" t="s">
        <v>238</v>
      </c>
      <c r="C283" s="1546" t="s">
        <v>798</v>
      </c>
      <c r="D283" s="1547" t="s">
        <v>655</v>
      </c>
      <c r="E283" s="690" t="s">
        <v>668</v>
      </c>
      <c r="F283" s="691"/>
      <c r="G283" s="692"/>
      <c r="H283" s="692"/>
      <c r="I283" s="692"/>
      <c r="J283" s="693"/>
      <c r="K283" s="693"/>
      <c r="L283" s="693"/>
      <c r="M283" s="694"/>
      <c r="N283" s="695"/>
      <c r="O283" s="696" t="s">
        <v>1569</v>
      </c>
      <c r="P283" s="695">
        <f>'HIV-Key Info'!$G$89*(('HIV-Key Info'!$E$89*'HPM costs'!F636)+('HIV-Key Info'!$F$89*('HPM costs'!F639+'HPM costs'!F642)))</f>
        <v>0</v>
      </c>
      <c r="Q283" s="695" t="s">
        <v>1569</v>
      </c>
      <c r="R283" s="695">
        <f>'HIV-Key Info'!$G$89*(('HIV-Key Info'!$E$89*'HPM costs'!G636)+('HIV-Key Info'!$F$89*('HPM costs'!G639+'HPM costs'!G642)))</f>
        <v>0</v>
      </c>
      <c r="S283" s="695" t="s">
        <v>1569</v>
      </c>
      <c r="T283" s="695">
        <f>'HIV-Key Info'!$G$89*(('HIV-Key Info'!$E$89*'HPM costs'!H636)+('HIV-Key Info'!$F$89*('HPM costs'!H639+'HPM costs'!H642)))</f>
        <v>0</v>
      </c>
      <c r="U283" s="695" t="s">
        <v>1569</v>
      </c>
      <c r="V283" s="695">
        <f>'HIV-Key Info'!$G$89*(('HIV-Key Info'!$E$89*'HPM costs'!I636)+('HIV-Key Info'!$F$89*('HPM costs'!I639+'HPM costs'!I642)))</f>
        <v>0</v>
      </c>
      <c r="W283" s="695"/>
      <c r="X283" s="1492">
        <f t="shared" si="30"/>
        <v>0</v>
      </c>
      <c r="Y283" s="1493"/>
      <c r="Z283" s="1494"/>
      <c r="AA283" s="699"/>
      <c r="AB283" s="695"/>
      <c r="AC283" s="695">
        <f>'HIV-Key Info'!$G$89*(('HIV-Key Info'!$E$89*'HPM costs'!K636)+('HIV-Key Info'!$F$89*('HPM costs'!K639+'HPM costs'!K642)))</f>
        <v>0</v>
      </c>
      <c r="AD283" s="695"/>
      <c r="AE283" s="695">
        <f>'HIV-Key Info'!$G$89*(('HIV-Key Info'!$E$89*'HPM costs'!L636)+('HIV-Key Info'!$F$89*('HPM costs'!L639+'HPM costs'!L642)))</f>
        <v>0</v>
      </c>
      <c r="AF283" s="695"/>
      <c r="AG283" s="695">
        <f>'HIV-Key Info'!$G$89*(('HIV-Key Info'!$E$89*'HPM costs'!M636)+('HIV-Key Info'!$F$89*('HPM costs'!M639+'HPM costs'!M642)))</f>
        <v>0</v>
      </c>
      <c r="AH283" s="695"/>
      <c r="AI283" s="695">
        <f>'HIV-Key Info'!$G$89*(('HIV-Key Info'!$E$89*'HPM costs'!N636)+('HIV-Key Info'!$F$89*('HPM costs'!N639+'HPM costs'!N642)))</f>
        <v>0</v>
      </c>
      <c r="AJ283" s="695"/>
      <c r="AK283" s="1492">
        <f t="shared" si="31"/>
        <v>0</v>
      </c>
      <c r="AL283" s="1493"/>
      <c r="AM283" s="1494"/>
      <c r="AN283" s="699"/>
      <c r="AO283" s="695"/>
      <c r="AP283" s="695">
        <f>'HIV-Key Info'!$G$89*(('HIV-Key Info'!$E$89*'HPM costs'!P636)+('HIV-Key Info'!$F$89*('HPM costs'!P639+'HPM costs'!P642)))</f>
        <v>0</v>
      </c>
      <c r="AQ283" s="695"/>
      <c r="AR283" s="695">
        <f>'HIV-Key Info'!$G$89*(('HIV-Key Info'!$E$89*'HPM costs'!Q636)+('HIV-Key Info'!$F$89*('HPM costs'!Q639+'HPM costs'!Q642)))</f>
        <v>0</v>
      </c>
      <c r="AS283" s="695"/>
      <c r="AT283" s="695">
        <f>'HIV-Key Info'!$G$89*(('HIV-Key Info'!$E$89*'HPM costs'!R636)+('HIV-Key Info'!$F$89*('HPM costs'!R639+'HPM costs'!R642)))</f>
        <v>0</v>
      </c>
      <c r="AU283" s="695"/>
      <c r="AV283" s="695">
        <f>'HIV-Key Info'!$G$89*(('HIV-Key Info'!$E$89*'HPM costs'!S636)+('HIV-Key Info'!$F$89*('HPM costs'!S639+'HPM costs'!S642)))</f>
        <v>0</v>
      </c>
      <c r="AW283" s="695"/>
      <c r="AX283" s="1492">
        <f t="shared" si="32"/>
        <v>0</v>
      </c>
      <c r="AY283" s="1492"/>
      <c r="AZ283" s="698"/>
      <c r="BA283" s="699"/>
      <c r="BB283" s="697"/>
      <c r="BC283" s="697">
        <v>0</v>
      </c>
      <c r="BD283" s="697">
        <v>0</v>
      </c>
      <c r="BE283" s="697">
        <v>0</v>
      </c>
      <c r="BF283" s="697">
        <v>0</v>
      </c>
      <c r="BG283" s="697">
        <v>0</v>
      </c>
      <c r="BH283" s="697">
        <v>0</v>
      </c>
      <c r="BI283" s="697">
        <v>0</v>
      </c>
      <c r="BJ283" s="697">
        <v>0</v>
      </c>
      <c r="BK283" s="1492">
        <f t="shared" si="33"/>
        <v>0</v>
      </c>
      <c r="BL283" s="1492"/>
      <c r="BM283" s="1492">
        <f t="shared" si="34"/>
        <v>0</v>
      </c>
      <c r="BN283" s="1492">
        <f t="shared" si="35"/>
        <v>0</v>
      </c>
      <c r="BO283" s="697"/>
      <c r="BP283" s="697"/>
      <c r="BQ283" s="1495" t="s">
        <v>238</v>
      </c>
      <c r="BR283" s="1495" t="s">
        <v>818</v>
      </c>
      <c r="BS283" s="1902" t="s">
        <v>655</v>
      </c>
      <c r="BT283" s="1907" t="s">
        <v>2002</v>
      </c>
    </row>
    <row r="284" spans="1:72" ht="13">
      <c r="A284" s="1545">
        <v>840</v>
      </c>
      <c r="B284" s="1546" t="s">
        <v>800</v>
      </c>
      <c r="C284" s="1546" t="s">
        <v>801</v>
      </c>
      <c r="D284" s="1547" t="s">
        <v>6954</v>
      </c>
      <c r="E284" s="690" t="s">
        <v>731</v>
      </c>
      <c r="F284" s="691"/>
      <c r="G284" s="692"/>
      <c r="H284" s="692"/>
      <c r="I284" s="692"/>
      <c r="J284" s="693"/>
      <c r="K284" s="693"/>
      <c r="L284" s="693"/>
      <c r="M284" s="694"/>
      <c r="N284" s="695"/>
      <c r="O284" s="696" t="s">
        <v>1569</v>
      </c>
      <c r="P284" s="695">
        <f>'HIV-Key Info'!$G$80*('HIV-Key Info'!$E$80*('HPM costs'!F551/'HPM costs'!$E$551)+'HIV-Key Info'!$F$80*('HPM costs'!F557/'HPM costs'!$E$557+'HPM costs'!F554/'HPM costs'!$E$554))</f>
        <v>0</v>
      </c>
      <c r="Q284" s="695" t="s">
        <v>1569</v>
      </c>
      <c r="R284" s="695">
        <f>'HIV-Key Info'!$G$80*('HIV-Key Info'!$E$80*('HPM costs'!G551/'HPM costs'!$E$551)+'HIV-Key Info'!$F$80*('HPM costs'!G557/'HPM costs'!$E$557+'HPM costs'!G554/'HPM costs'!$E$554))</f>
        <v>0</v>
      </c>
      <c r="S284" s="695" t="s">
        <v>1569</v>
      </c>
      <c r="T284" s="695">
        <f>'HIV-Key Info'!$G$80*('HIV-Key Info'!$E$80*('HPM costs'!H551/'HPM costs'!$E$551)+'HIV-Key Info'!$F$80*('HPM costs'!H557/'HPM costs'!$E$557+'HPM costs'!H554/'HPM costs'!$E$554))</f>
        <v>0</v>
      </c>
      <c r="U284" s="695" t="s">
        <v>1569</v>
      </c>
      <c r="V284" s="695">
        <f>'HIV-Key Info'!$G$80*('HIV-Key Info'!$E$80*('HPM costs'!I551/'HPM costs'!$E$551)+'HIV-Key Info'!$F$80*('HPM costs'!I557/'HPM costs'!$E$557+'HPM costs'!I554/'HPM costs'!$E$554))</f>
        <v>0</v>
      </c>
      <c r="W284" s="695"/>
      <c r="X284" s="1492">
        <f t="shared" si="30"/>
        <v>0</v>
      </c>
      <c r="Y284" s="1493"/>
      <c r="Z284" s="1494"/>
      <c r="AA284" s="699"/>
      <c r="AB284" s="695"/>
      <c r="AC284" s="695">
        <f>'HIV-Key Info'!$G$80*('HIV-Key Info'!$E$80*('HPM costs'!K551/'HPM costs'!$E$551)+'HIV-Key Info'!$F$80*('HPM costs'!K557/'HPM costs'!$E$557+'HPM costs'!K554/'HPM costs'!$E$554))</f>
        <v>0</v>
      </c>
      <c r="AD284" s="695"/>
      <c r="AE284" s="695">
        <f>'HIV-Key Info'!$G$80*('HIV-Key Info'!$E$80*('HPM costs'!L551/'HPM costs'!$E$551)+'HIV-Key Info'!$F$80*('HPM costs'!L557/'HPM costs'!$E$557+'HPM costs'!L554/'HPM costs'!$E$554))</f>
        <v>0</v>
      </c>
      <c r="AF284" s="695"/>
      <c r="AG284" s="695">
        <f>'HIV-Key Info'!$G$80*('HIV-Key Info'!$E$80*('HPM costs'!M551/'HPM costs'!$E$551)+'HIV-Key Info'!$F$80*('HPM costs'!M557/'HPM costs'!$E$557+'HPM costs'!M554/'HPM costs'!$E$554))</f>
        <v>0</v>
      </c>
      <c r="AH284" s="695"/>
      <c r="AI284" s="695">
        <f>'HIV-Key Info'!$G$80*('HIV-Key Info'!$E$80*('HPM costs'!N551/'HPM costs'!$E$551)+'HIV-Key Info'!$F$80*('HPM costs'!N557/'HPM costs'!$E$557+'HPM costs'!N554/'HPM costs'!$E$554))</f>
        <v>0</v>
      </c>
      <c r="AJ284" s="695"/>
      <c r="AK284" s="1492">
        <f t="shared" si="31"/>
        <v>0</v>
      </c>
      <c r="AL284" s="1493"/>
      <c r="AM284" s="1494"/>
      <c r="AN284" s="699"/>
      <c r="AO284" s="695"/>
      <c r="AP284" s="695">
        <f>'HIV-Key Info'!$G$80*('HIV-Key Info'!$E$80*('HPM costs'!P551/'HPM costs'!$E$551)+'HIV-Key Info'!$F$80*('HPM costs'!P557/'HPM costs'!$E$557+'HPM costs'!P554/'HPM costs'!$E$554))</f>
        <v>0</v>
      </c>
      <c r="AQ284" s="695"/>
      <c r="AR284" s="695">
        <f>'HIV-Key Info'!$G$80*('HIV-Key Info'!$E$80*('HPM costs'!Q551/'HPM costs'!$E$551)+'HIV-Key Info'!$F$80*('HPM costs'!Q557/'HPM costs'!$E$557+'HPM costs'!Q554/'HPM costs'!$E$554))</f>
        <v>0</v>
      </c>
      <c r="AS284" s="695"/>
      <c r="AT284" s="695">
        <f>'HIV-Key Info'!$G$80*('HIV-Key Info'!$E$80*('HPM costs'!R551/'HPM costs'!$E$551)+'HIV-Key Info'!$F$80*('HPM costs'!R557/'HPM costs'!$E$557+'HPM costs'!R554/'HPM costs'!$E$554))</f>
        <v>0</v>
      </c>
      <c r="AU284" s="695"/>
      <c r="AV284" s="695">
        <f>'HIV-Key Info'!$G$80*('HIV-Key Info'!$E$80*('HPM costs'!S551/'HPM costs'!$E$551)+'HIV-Key Info'!$F$80*('HPM costs'!S557/'HPM costs'!$E$557+'HPM costs'!S554/'HPM costs'!$E$554))</f>
        <v>0</v>
      </c>
      <c r="AW284" s="695"/>
      <c r="AX284" s="1492">
        <f t="shared" si="32"/>
        <v>0</v>
      </c>
      <c r="AY284" s="1492"/>
      <c r="AZ284" s="698"/>
      <c r="BA284" s="699"/>
      <c r="BB284" s="697"/>
      <c r="BC284" s="697">
        <v>0</v>
      </c>
      <c r="BD284" s="697">
        <v>0</v>
      </c>
      <c r="BE284" s="697">
        <v>0</v>
      </c>
      <c r="BF284" s="697">
        <v>0</v>
      </c>
      <c r="BG284" s="697">
        <v>0</v>
      </c>
      <c r="BH284" s="697">
        <v>0</v>
      </c>
      <c r="BI284" s="697">
        <v>0</v>
      </c>
      <c r="BJ284" s="697">
        <v>0</v>
      </c>
      <c r="BK284" s="1492">
        <f t="shared" si="33"/>
        <v>0</v>
      </c>
      <c r="BL284" s="1492"/>
      <c r="BM284" s="1492">
        <f t="shared" si="34"/>
        <v>0</v>
      </c>
      <c r="BN284" s="1492">
        <f t="shared" si="35"/>
        <v>0</v>
      </c>
      <c r="BO284" s="697"/>
      <c r="BP284" s="697"/>
      <c r="BQ284" s="1495" t="s">
        <v>6933</v>
      </c>
      <c r="BR284" s="1495" t="s">
        <v>818</v>
      </c>
      <c r="BS284" s="1902" t="s">
        <v>6953</v>
      </c>
      <c r="BT284" s="1907" t="s">
        <v>2003</v>
      </c>
    </row>
    <row r="285" spans="1:72" ht="13">
      <c r="A285" s="1545">
        <v>841</v>
      </c>
      <c r="B285" s="1546" t="s">
        <v>800</v>
      </c>
      <c r="C285" s="1546" t="s">
        <v>801</v>
      </c>
      <c r="D285" s="1547" t="s">
        <v>6868</v>
      </c>
      <c r="E285" s="690" t="s">
        <v>656</v>
      </c>
      <c r="F285" s="691"/>
      <c r="G285" s="692"/>
      <c r="H285" s="692"/>
      <c r="I285" s="692"/>
      <c r="J285" s="693"/>
      <c r="K285" s="693"/>
      <c r="L285" s="693"/>
      <c r="M285" s="694"/>
      <c r="N285" s="695"/>
      <c r="O285" s="696" t="s">
        <v>1569</v>
      </c>
      <c r="P285" s="695">
        <f>'HIV-Key Info'!$G$80*(('HIV-Key Info'!$E$80*'HPM costs'!F33)+('HIV-Key Info'!$F$80*('HPM costs'!F36+'HPM costs'!F39)))</f>
        <v>0</v>
      </c>
      <c r="Q285" s="695" t="s">
        <v>1569</v>
      </c>
      <c r="R285" s="695">
        <f>'HIV-Key Info'!$G$80*(('HIV-Key Info'!$E$80*'HPM costs'!G33)+('HIV-Key Info'!$F$80*('HPM costs'!G36+'HPM costs'!G39)))</f>
        <v>0</v>
      </c>
      <c r="S285" s="695" t="s">
        <v>1569</v>
      </c>
      <c r="T285" s="695">
        <f>'HIV-Key Info'!$G$80*(('HIV-Key Info'!$E$80*'HPM costs'!H33)+('HIV-Key Info'!$F$80*('HPM costs'!H36+'HPM costs'!H39)))</f>
        <v>0</v>
      </c>
      <c r="U285" s="695" t="s">
        <v>1569</v>
      </c>
      <c r="V285" s="695">
        <f>'HIV-Key Info'!$G$80*(('HIV-Key Info'!$E$80*'HPM costs'!I33)+('HIV-Key Info'!$F$80*('HPM costs'!I36+'HPM costs'!I39)))</f>
        <v>0</v>
      </c>
      <c r="W285" s="695"/>
      <c r="X285" s="1492">
        <f t="shared" si="30"/>
        <v>0</v>
      </c>
      <c r="Y285" s="1493"/>
      <c r="Z285" s="1494"/>
      <c r="AA285" s="699"/>
      <c r="AB285" s="695"/>
      <c r="AC285" s="695">
        <f>'HIV-Key Info'!$G$80*(('HIV-Key Info'!$E$80*'HPM costs'!K33)+('HIV-Key Info'!$F$80*('HPM costs'!K36+'HPM costs'!K39)))</f>
        <v>0</v>
      </c>
      <c r="AD285" s="695"/>
      <c r="AE285" s="695">
        <f>'HIV-Key Info'!$G$80*(('HIV-Key Info'!$E$80*'HPM costs'!L33)+('HIV-Key Info'!$F$80*('HPM costs'!L36+'HPM costs'!L39)))</f>
        <v>0</v>
      </c>
      <c r="AF285" s="695"/>
      <c r="AG285" s="695">
        <f>'HIV-Key Info'!$G$80*(('HIV-Key Info'!$E$80*'HPM costs'!M33)+('HIV-Key Info'!$F$80*('HPM costs'!M36+'HPM costs'!M39)))</f>
        <v>0</v>
      </c>
      <c r="AH285" s="695"/>
      <c r="AI285" s="695">
        <f>'HIV-Key Info'!$G$80*(('HIV-Key Info'!$E$80*'HPM costs'!N33)+('HIV-Key Info'!$F$80*('HPM costs'!N36+'HPM costs'!N39)))</f>
        <v>0</v>
      </c>
      <c r="AJ285" s="695"/>
      <c r="AK285" s="1492">
        <f t="shared" si="31"/>
        <v>0</v>
      </c>
      <c r="AL285" s="1493"/>
      <c r="AM285" s="1494"/>
      <c r="AN285" s="699"/>
      <c r="AO285" s="695"/>
      <c r="AP285" s="695">
        <f>'HIV-Key Info'!$G$80*(('HIV-Key Info'!$E$80*'HPM costs'!P33)+('HIV-Key Info'!$F$80*('HPM costs'!P36+'HPM costs'!P39)))</f>
        <v>0</v>
      </c>
      <c r="AQ285" s="695"/>
      <c r="AR285" s="695">
        <f>'HIV-Key Info'!$G$80*(('HIV-Key Info'!$E$80*'HPM costs'!Q33)+('HIV-Key Info'!$F$80*('HPM costs'!Q36+'HPM costs'!Q39)))</f>
        <v>0</v>
      </c>
      <c r="AS285" s="695"/>
      <c r="AT285" s="695">
        <f>'HIV-Key Info'!$G$80*(('HIV-Key Info'!$E$80*'HPM costs'!R33)+('HIV-Key Info'!$F$80*('HPM costs'!R36+'HPM costs'!R39)))</f>
        <v>0</v>
      </c>
      <c r="AU285" s="695"/>
      <c r="AV285" s="695">
        <f>'HIV-Key Info'!$G$80*(('HIV-Key Info'!$E$80*'HPM costs'!S33)+('HIV-Key Info'!$F$80*('HPM costs'!S36+'HPM costs'!S39)))</f>
        <v>0</v>
      </c>
      <c r="AW285" s="695"/>
      <c r="AX285" s="1492">
        <f t="shared" si="32"/>
        <v>0</v>
      </c>
      <c r="AY285" s="1492"/>
      <c r="AZ285" s="698"/>
      <c r="BA285" s="699"/>
      <c r="BB285" s="697"/>
      <c r="BC285" s="697">
        <v>0</v>
      </c>
      <c r="BD285" s="697">
        <v>0</v>
      </c>
      <c r="BE285" s="697">
        <v>0</v>
      </c>
      <c r="BF285" s="697">
        <v>0</v>
      </c>
      <c r="BG285" s="697">
        <v>0</v>
      </c>
      <c r="BH285" s="697">
        <v>0</v>
      </c>
      <c r="BI285" s="697">
        <v>0</v>
      </c>
      <c r="BJ285" s="697">
        <v>0</v>
      </c>
      <c r="BK285" s="1492">
        <f t="shared" si="33"/>
        <v>0</v>
      </c>
      <c r="BL285" s="1492"/>
      <c r="BM285" s="1492">
        <f t="shared" si="34"/>
        <v>0</v>
      </c>
      <c r="BN285" s="1492">
        <f t="shared" si="35"/>
        <v>0</v>
      </c>
      <c r="BO285" s="697"/>
      <c r="BP285" s="697"/>
      <c r="BQ285" s="1495" t="s">
        <v>6933</v>
      </c>
      <c r="BR285" s="1495" t="s">
        <v>818</v>
      </c>
      <c r="BS285" s="1902" t="s">
        <v>655</v>
      </c>
      <c r="BT285" s="1907" t="s">
        <v>2004</v>
      </c>
    </row>
    <row r="286" spans="1:72" ht="13">
      <c r="A286" s="1545">
        <v>842</v>
      </c>
      <c r="B286" s="1546" t="s">
        <v>800</v>
      </c>
      <c r="C286" s="1546" t="s">
        <v>801</v>
      </c>
      <c r="D286" s="1547" t="s">
        <v>6868</v>
      </c>
      <c r="E286" s="690" t="s">
        <v>658</v>
      </c>
      <c r="F286" s="691"/>
      <c r="G286" s="692"/>
      <c r="H286" s="692"/>
      <c r="I286" s="692"/>
      <c r="J286" s="693"/>
      <c r="K286" s="693"/>
      <c r="L286" s="693"/>
      <c r="M286" s="694"/>
      <c r="N286" s="695"/>
      <c r="O286" s="696" t="s">
        <v>1569</v>
      </c>
      <c r="P286" s="695">
        <f>'HIV-Key Info'!$G$80*(('HIV-Key Info'!$E$80*'HPM costs'!F119)+('HIV-Key Info'!$F$80*('HPM costs'!F122+'HPM costs'!F125)))</f>
        <v>0</v>
      </c>
      <c r="Q286" s="695" t="s">
        <v>1569</v>
      </c>
      <c r="R286" s="695">
        <f>'HIV-Key Info'!$G$80*(('HIV-Key Info'!$E$80*'HPM costs'!G119)+('HIV-Key Info'!$F$80*('HPM costs'!G122+'HPM costs'!G125)))</f>
        <v>0</v>
      </c>
      <c r="S286" s="695" t="s">
        <v>1569</v>
      </c>
      <c r="T286" s="695">
        <f>'HIV-Key Info'!$G$80*(('HIV-Key Info'!$E$80*'HPM costs'!H119)+('HIV-Key Info'!$F$80*('HPM costs'!H122+'HPM costs'!H125)))</f>
        <v>0</v>
      </c>
      <c r="U286" s="695" t="s">
        <v>1569</v>
      </c>
      <c r="V286" s="695">
        <f>'HIV-Key Info'!$G$80*(('HIV-Key Info'!$E$80*'HPM costs'!I119)+('HIV-Key Info'!$F$80*('HPM costs'!I122+'HPM costs'!I125)))</f>
        <v>0</v>
      </c>
      <c r="W286" s="695"/>
      <c r="X286" s="1492">
        <f t="shared" si="30"/>
        <v>0</v>
      </c>
      <c r="Y286" s="1493"/>
      <c r="Z286" s="1494"/>
      <c r="AA286" s="699"/>
      <c r="AB286" s="695"/>
      <c r="AC286" s="695">
        <f>'HIV-Key Info'!$G$80*(('HIV-Key Info'!$E$80*'HPM costs'!K119)+('HIV-Key Info'!$F$80*('HPM costs'!K122+'HPM costs'!K125)))</f>
        <v>0</v>
      </c>
      <c r="AD286" s="695"/>
      <c r="AE286" s="695">
        <f>'HIV-Key Info'!$G$80*(('HIV-Key Info'!$E$80*'HPM costs'!L119)+('HIV-Key Info'!$F$80*('HPM costs'!L122+'HPM costs'!L125)))</f>
        <v>0</v>
      </c>
      <c r="AF286" s="695"/>
      <c r="AG286" s="695">
        <f>'HIV-Key Info'!$G$80*(('HIV-Key Info'!$E$80*'HPM costs'!M119)+('HIV-Key Info'!$F$80*('HPM costs'!M122+'HPM costs'!M125)))</f>
        <v>0</v>
      </c>
      <c r="AH286" s="695"/>
      <c r="AI286" s="695">
        <f>'HIV-Key Info'!$G$80*(('HIV-Key Info'!$E$80*'HPM costs'!N119)+('HIV-Key Info'!$F$80*('HPM costs'!N122+'HPM costs'!N125)))</f>
        <v>0</v>
      </c>
      <c r="AJ286" s="695"/>
      <c r="AK286" s="1492">
        <f t="shared" si="31"/>
        <v>0</v>
      </c>
      <c r="AL286" s="1493"/>
      <c r="AM286" s="1494"/>
      <c r="AN286" s="699"/>
      <c r="AO286" s="695"/>
      <c r="AP286" s="695">
        <f>'HIV-Key Info'!$G$80*(('HIV-Key Info'!$E$80*'HPM costs'!P119)+('HIV-Key Info'!$F$80*('HPM costs'!P122+'HPM costs'!P125)))</f>
        <v>0</v>
      </c>
      <c r="AQ286" s="695"/>
      <c r="AR286" s="695">
        <f>'HIV-Key Info'!$G$80*(('HIV-Key Info'!$E$80*'HPM costs'!Q119)+('HIV-Key Info'!$F$80*('HPM costs'!Q122+'HPM costs'!Q125)))</f>
        <v>0</v>
      </c>
      <c r="AS286" s="695"/>
      <c r="AT286" s="695">
        <f>'HIV-Key Info'!$G$80*(('HIV-Key Info'!$E$80*'HPM costs'!R119)+('HIV-Key Info'!$F$80*('HPM costs'!R122+'HPM costs'!R125)))</f>
        <v>0</v>
      </c>
      <c r="AU286" s="695"/>
      <c r="AV286" s="695">
        <f>'HIV-Key Info'!$G$80*(('HIV-Key Info'!$E$80*'HPM costs'!S119)+('HIV-Key Info'!$F$80*('HPM costs'!S122+'HPM costs'!S125)))</f>
        <v>0</v>
      </c>
      <c r="AW286" s="695"/>
      <c r="AX286" s="1492">
        <f t="shared" si="32"/>
        <v>0</v>
      </c>
      <c r="AY286" s="1492"/>
      <c r="AZ286" s="698"/>
      <c r="BA286" s="699"/>
      <c r="BB286" s="697"/>
      <c r="BC286" s="697">
        <v>0</v>
      </c>
      <c r="BD286" s="697">
        <v>0</v>
      </c>
      <c r="BE286" s="697">
        <v>0</v>
      </c>
      <c r="BF286" s="697">
        <v>0</v>
      </c>
      <c r="BG286" s="697">
        <v>0</v>
      </c>
      <c r="BH286" s="697">
        <v>0</v>
      </c>
      <c r="BI286" s="697">
        <v>0</v>
      </c>
      <c r="BJ286" s="697">
        <v>0</v>
      </c>
      <c r="BK286" s="1492">
        <f t="shared" si="33"/>
        <v>0</v>
      </c>
      <c r="BL286" s="1492"/>
      <c r="BM286" s="1492">
        <f t="shared" si="34"/>
        <v>0</v>
      </c>
      <c r="BN286" s="1492">
        <f t="shared" si="35"/>
        <v>0</v>
      </c>
      <c r="BO286" s="697"/>
      <c r="BP286" s="697"/>
      <c r="BQ286" s="1495" t="s">
        <v>6933</v>
      </c>
      <c r="BR286" s="1495" t="s">
        <v>818</v>
      </c>
      <c r="BS286" s="1902" t="s">
        <v>655</v>
      </c>
      <c r="BT286" s="1907" t="s">
        <v>2005</v>
      </c>
    </row>
    <row r="287" spans="1:72" ht="13">
      <c r="A287" s="1545">
        <v>843</v>
      </c>
      <c r="B287" s="1546" t="s">
        <v>800</v>
      </c>
      <c r="C287" s="1546" t="s">
        <v>801</v>
      </c>
      <c r="D287" s="1547" t="s">
        <v>6868</v>
      </c>
      <c r="E287" s="690" t="s">
        <v>660</v>
      </c>
      <c r="F287" s="691"/>
      <c r="G287" s="692"/>
      <c r="H287" s="692"/>
      <c r="I287" s="692"/>
      <c r="J287" s="693"/>
      <c r="K287" s="693"/>
      <c r="L287" s="693"/>
      <c r="M287" s="694"/>
      <c r="N287" s="695"/>
      <c r="O287" s="696" t="s">
        <v>1569</v>
      </c>
      <c r="P287" s="695">
        <f>'HIV-Key Info'!$G$80*(('HIV-Key Info'!$E$80*'HPM costs'!F379)+('HIV-Key Info'!$F$80*('HPM costs'!F382+'HPM costs'!F385)))</f>
        <v>0</v>
      </c>
      <c r="Q287" s="695" t="s">
        <v>1569</v>
      </c>
      <c r="R287" s="695">
        <f>'HIV-Key Info'!$G$80*(('HIV-Key Info'!$E$80*'HPM costs'!G379)+('HIV-Key Info'!$F$80*('HPM costs'!G382+'HPM costs'!G385)))</f>
        <v>0</v>
      </c>
      <c r="S287" s="695" t="s">
        <v>1569</v>
      </c>
      <c r="T287" s="695">
        <f>'HIV-Key Info'!$G$80*(('HIV-Key Info'!$E$80*'HPM costs'!H379)+('HIV-Key Info'!$F$80*('HPM costs'!H382+'HPM costs'!H385)))</f>
        <v>0</v>
      </c>
      <c r="U287" s="695" t="s">
        <v>1569</v>
      </c>
      <c r="V287" s="695">
        <f>'HIV-Key Info'!$G$80*(('HIV-Key Info'!$E$80*'HPM costs'!I379)+('HIV-Key Info'!$F$80*('HPM costs'!I382+'HPM costs'!I385)))</f>
        <v>0</v>
      </c>
      <c r="W287" s="695"/>
      <c r="X287" s="1492">
        <f t="shared" si="30"/>
        <v>0</v>
      </c>
      <c r="Y287" s="1493"/>
      <c r="Z287" s="1494"/>
      <c r="AA287" s="699"/>
      <c r="AB287" s="695"/>
      <c r="AC287" s="695">
        <f>'HIV-Key Info'!$G$80*(('HIV-Key Info'!$E$80*'HPM costs'!K379)+('HIV-Key Info'!$F$80*('HPM costs'!K382+'HPM costs'!K385)))</f>
        <v>0</v>
      </c>
      <c r="AD287" s="695"/>
      <c r="AE287" s="695">
        <f>'HIV-Key Info'!$G$80*(('HIV-Key Info'!$E$80*'HPM costs'!L379)+('HIV-Key Info'!$F$80*('HPM costs'!L382+'HPM costs'!L385)))</f>
        <v>0</v>
      </c>
      <c r="AF287" s="695"/>
      <c r="AG287" s="695">
        <f>'HIV-Key Info'!$G$80*(('HIV-Key Info'!$E$80*'HPM costs'!M379)+('HIV-Key Info'!$F$80*('HPM costs'!M382+'HPM costs'!M385)))</f>
        <v>0</v>
      </c>
      <c r="AH287" s="695"/>
      <c r="AI287" s="695">
        <f>'HIV-Key Info'!$G$80*(('HIV-Key Info'!$E$80*'HPM costs'!N379)+('HIV-Key Info'!$F$80*('HPM costs'!N382+'HPM costs'!N385)))</f>
        <v>0</v>
      </c>
      <c r="AJ287" s="695"/>
      <c r="AK287" s="1492">
        <f t="shared" si="31"/>
        <v>0</v>
      </c>
      <c r="AL287" s="1493"/>
      <c r="AM287" s="1494"/>
      <c r="AN287" s="699"/>
      <c r="AO287" s="695"/>
      <c r="AP287" s="695">
        <f>'HIV-Key Info'!$G$80*(('HIV-Key Info'!$E$80*'HPM costs'!P379)+('HIV-Key Info'!$F$80*('HPM costs'!P382+'HPM costs'!P385)))</f>
        <v>0</v>
      </c>
      <c r="AQ287" s="695"/>
      <c r="AR287" s="695">
        <f>'HIV-Key Info'!$G$80*(('HIV-Key Info'!$E$80*'HPM costs'!Q379)+('HIV-Key Info'!$F$80*('HPM costs'!Q382+'HPM costs'!Q385)))</f>
        <v>0</v>
      </c>
      <c r="AS287" s="695"/>
      <c r="AT287" s="695">
        <f>'HIV-Key Info'!$G$80*(('HIV-Key Info'!$E$80*'HPM costs'!R379)+('HIV-Key Info'!$F$80*('HPM costs'!R382+'HPM costs'!R385)))</f>
        <v>0</v>
      </c>
      <c r="AU287" s="695"/>
      <c r="AV287" s="695">
        <f>'HIV-Key Info'!$G$80*(('HIV-Key Info'!$E$80*'HPM costs'!S379)+('HIV-Key Info'!$F$80*('HPM costs'!S382+'HPM costs'!S385)))</f>
        <v>0</v>
      </c>
      <c r="AW287" s="695"/>
      <c r="AX287" s="1492">
        <f t="shared" si="32"/>
        <v>0</v>
      </c>
      <c r="AY287" s="1492"/>
      <c r="AZ287" s="698"/>
      <c r="BA287" s="699"/>
      <c r="BB287" s="697"/>
      <c r="BC287" s="697">
        <v>0</v>
      </c>
      <c r="BD287" s="697">
        <v>0</v>
      </c>
      <c r="BE287" s="697">
        <v>0</v>
      </c>
      <c r="BF287" s="697">
        <v>0</v>
      </c>
      <c r="BG287" s="697">
        <v>0</v>
      </c>
      <c r="BH287" s="697">
        <v>0</v>
      </c>
      <c r="BI287" s="697">
        <v>0</v>
      </c>
      <c r="BJ287" s="697">
        <v>0</v>
      </c>
      <c r="BK287" s="1492">
        <f t="shared" si="33"/>
        <v>0</v>
      </c>
      <c r="BL287" s="1492"/>
      <c r="BM287" s="1492">
        <f t="shared" si="34"/>
        <v>0</v>
      </c>
      <c r="BN287" s="1492">
        <f t="shared" si="35"/>
        <v>0</v>
      </c>
      <c r="BO287" s="697"/>
      <c r="BP287" s="697"/>
      <c r="BQ287" s="1495" t="s">
        <v>6933</v>
      </c>
      <c r="BR287" s="1495" t="s">
        <v>818</v>
      </c>
      <c r="BS287" s="1902" t="s">
        <v>655</v>
      </c>
      <c r="BT287" s="1907" t="s">
        <v>2006</v>
      </c>
    </row>
    <row r="288" spans="1:72" ht="13">
      <c r="A288" s="1545">
        <v>844</v>
      </c>
      <c r="B288" s="1546" t="s">
        <v>800</v>
      </c>
      <c r="C288" s="1546" t="s">
        <v>801</v>
      </c>
      <c r="D288" s="1547" t="s">
        <v>6868</v>
      </c>
      <c r="E288" s="690" t="s">
        <v>662</v>
      </c>
      <c r="F288" s="691"/>
      <c r="G288" s="692"/>
      <c r="H288" s="692"/>
      <c r="I288" s="692"/>
      <c r="J288" s="693"/>
      <c r="K288" s="693"/>
      <c r="L288" s="693"/>
      <c r="M288" s="694"/>
      <c r="N288" s="695"/>
      <c r="O288" s="696" t="s">
        <v>1569</v>
      </c>
      <c r="P288" s="695">
        <f>'HIV-Key Info'!$G$80*(('HIV-Key Info'!$E$80*'HPM costs'!F465)+('HIV-Key Info'!$F$80*('HPM costs'!F468+'HPM costs'!F471)))</f>
        <v>0</v>
      </c>
      <c r="Q288" s="695" t="s">
        <v>1569</v>
      </c>
      <c r="R288" s="695">
        <f>'HIV-Key Info'!$G$80*(('HIV-Key Info'!$E$80*'HPM costs'!G465)+('HIV-Key Info'!$F$80*('HPM costs'!G468+'HPM costs'!G471)))</f>
        <v>0</v>
      </c>
      <c r="S288" s="695" t="s">
        <v>1569</v>
      </c>
      <c r="T288" s="695">
        <f>'HIV-Key Info'!$G$80*(('HIV-Key Info'!$E$80*'HPM costs'!H465)+('HIV-Key Info'!$F$80*('HPM costs'!H468+'HPM costs'!H471)))</f>
        <v>0</v>
      </c>
      <c r="U288" s="695" t="s">
        <v>1569</v>
      </c>
      <c r="V288" s="695">
        <f>'HIV-Key Info'!$G$80*(('HIV-Key Info'!$E$80*'HPM costs'!I465)+('HIV-Key Info'!$F$80*('HPM costs'!I468+'HPM costs'!I471)))</f>
        <v>0</v>
      </c>
      <c r="W288" s="695"/>
      <c r="X288" s="1492">
        <f t="shared" si="30"/>
        <v>0</v>
      </c>
      <c r="Y288" s="1493"/>
      <c r="Z288" s="1494"/>
      <c r="AA288" s="699"/>
      <c r="AB288" s="695"/>
      <c r="AC288" s="695">
        <f>'HIV-Key Info'!$G$80*(('HIV-Key Info'!$E$80*'HPM costs'!K465)+('HIV-Key Info'!$F$80*('HPM costs'!K468+'HPM costs'!K471)))</f>
        <v>0</v>
      </c>
      <c r="AD288" s="695"/>
      <c r="AE288" s="695">
        <f>'HIV-Key Info'!$G$80*(('HIV-Key Info'!$E$80*'HPM costs'!L465)+('HIV-Key Info'!$F$80*('HPM costs'!L468+'HPM costs'!L471)))</f>
        <v>0</v>
      </c>
      <c r="AF288" s="695"/>
      <c r="AG288" s="695">
        <f>'HIV-Key Info'!$G$80*(('HIV-Key Info'!$E$80*'HPM costs'!M465)+('HIV-Key Info'!$F$80*('HPM costs'!M468+'HPM costs'!M471)))</f>
        <v>0</v>
      </c>
      <c r="AH288" s="695"/>
      <c r="AI288" s="695">
        <f>'HIV-Key Info'!$G$80*(('HIV-Key Info'!$E$80*'HPM costs'!N465)+('HIV-Key Info'!$F$80*('HPM costs'!N468+'HPM costs'!N471)))</f>
        <v>0</v>
      </c>
      <c r="AJ288" s="695"/>
      <c r="AK288" s="1492">
        <f t="shared" si="31"/>
        <v>0</v>
      </c>
      <c r="AL288" s="1493"/>
      <c r="AM288" s="1494"/>
      <c r="AN288" s="699"/>
      <c r="AO288" s="695"/>
      <c r="AP288" s="695">
        <f>'HIV-Key Info'!$G$80*(('HIV-Key Info'!$E$80*'HPM costs'!P465)+('HIV-Key Info'!$F$80*('HPM costs'!P468+'HPM costs'!P471)))</f>
        <v>0</v>
      </c>
      <c r="AQ288" s="695"/>
      <c r="AR288" s="695">
        <f>'HIV-Key Info'!$G$80*(('HIV-Key Info'!$E$80*'HPM costs'!Q465)+('HIV-Key Info'!$F$80*('HPM costs'!Q468+'HPM costs'!Q471)))</f>
        <v>0</v>
      </c>
      <c r="AS288" s="695"/>
      <c r="AT288" s="695">
        <f>'HIV-Key Info'!$G$80*(('HIV-Key Info'!$E$80*'HPM costs'!R465)+('HIV-Key Info'!$F$80*('HPM costs'!R468+'HPM costs'!R471)))</f>
        <v>0</v>
      </c>
      <c r="AU288" s="695"/>
      <c r="AV288" s="695">
        <f>'HIV-Key Info'!$G$80*(('HIV-Key Info'!$E$80*'HPM costs'!S465)+('HIV-Key Info'!$F$80*('HPM costs'!S468+'HPM costs'!S471)))</f>
        <v>0</v>
      </c>
      <c r="AW288" s="695"/>
      <c r="AX288" s="1492">
        <f t="shared" si="32"/>
        <v>0</v>
      </c>
      <c r="AY288" s="1492"/>
      <c r="AZ288" s="698"/>
      <c r="BA288" s="699"/>
      <c r="BB288" s="697"/>
      <c r="BC288" s="697">
        <v>0</v>
      </c>
      <c r="BD288" s="697">
        <v>0</v>
      </c>
      <c r="BE288" s="697">
        <v>0</v>
      </c>
      <c r="BF288" s="697">
        <v>0</v>
      </c>
      <c r="BG288" s="697">
        <v>0</v>
      </c>
      <c r="BH288" s="697">
        <v>0</v>
      </c>
      <c r="BI288" s="697">
        <v>0</v>
      </c>
      <c r="BJ288" s="697">
        <v>0</v>
      </c>
      <c r="BK288" s="1492">
        <f t="shared" si="33"/>
        <v>0</v>
      </c>
      <c r="BL288" s="1492"/>
      <c r="BM288" s="1492">
        <f t="shared" si="34"/>
        <v>0</v>
      </c>
      <c r="BN288" s="1492">
        <f t="shared" si="35"/>
        <v>0</v>
      </c>
      <c r="BO288" s="697"/>
      <c r="BP288" s="697"/>
      <c r="BQ288" s="1495" t="s">
        <v>6933</v>
      </c>
      <c r="BR288" s="1495" t="s">
        <v>818</v>
      </c>
      <c r="BS288" s="1902" t="s">
        <v>655</v>
      </c>
      <c r="BT288" s="1907" t="s">
        <v>2007</v>
      </c>
    </row>
    <row r="289" spans="1:72" ht="13">
      <c r="A289" s="1545">
        <v>845</v>
      </c>
      <c r="B289" s="1546" t="s">
        <v>800</v>
      </c>
      <c r="C289" s="1546" t="s">
        <v>801</v>
      </c>
      <c r="D289" s="1547" t="s">
        <v>6868</v>
      </c>
      <c r="E289" s="690" t="s">
        <v>664</v>
      </c>
      <c r="F289" s="691"/>
      <c r="G289" s="692"/>
      <c r="H289" s="692"/>
      <c r="I289" s="692"/>
      <c r="J289" s="693"/>
      <c r="K289" s="693"/>
      <c r="L289" s="693"/>
      <c r="M289" s="694"/>
      <c r="N289" s="695"/>
      <c r="O289" s="696" t="s">
        <v>1569</v>
      </c>
      <c r="P289" s="695">
        <f>'HIV-Key Info'!$G$80*(('HIV-Key Info'!$E$80*('HPM costs'!F205+'HPM costs'!F551))+('HIV-Key Info'!$F$80*('HPM costs'!F208+'HPM costs'!F211+'HPM costs'!F554+'HPM costs'!F557)))</f>
        <v>0</v>
      </c>
      <c r="Q289" s="695" t="s">
        <v>1569</v>
      </c>
      <c r="R289" s="695">
        <f>'HIV-Key Info'!$G$80*(('HIV-Key Info'!$E$80*('HPM costs'!G205+'HPM costs'!G551))+('HIV-Key Info'!$F$80*('HPM costs'!G208+'HPM costs'!G211+'HPM costs'!G554+'HPM costs'!G557)))</f>
        <v>0</v>
      </c>
      <c r="S289" s="695" t="s">
        <v>1569</v>
      </c>
      <c r="T289" s="695">
        <f>'HIV-Key Info'!$G$80*(('HIV-Key Info'!$E$80*('HPM costs'!H205+'HPM costs'!H551))+('HIV-Key Info'!$F$80*('HPM costs'!H208+'HPM costs'!H211+'HPM costs'!H554+'HPM costs'!H557)))</f>
        <v>0</v>
      </c>
      <c r="U289" s="695" t="s">
        <v>1569</v>
      </c>
      <c r="V289" s="695">
        <f>'HIV-Key Info'!$G$80*(('HIV-Key Info'!$E$80*('HPM costs'!I205+'HPM costs'!I551))+('HIV-Key Info'!$F$80*('HPM costs'!I208+'HPM costs'!I211+'HPM costs'!I554+'HPM costs'!I557)))</f>
        <v>0</v>
      </c>
      <c r="W289" s="695"/>
      <c r="X289" s="1492">
        <f t="shared" si="30"/>
        <v>0</v>
      </c>
      <c r="Y289" s="1493"/>
      <c r="Z289" s="1494"/>
      <c r="AA289" s="699"/>
      <c r="AB289" s="695"/>
      <c r="AC289" s="695">
        <f>'HIV-Key Info'!$G$80*(('HIV-Key Info'!$E$80*('HPM costs'!K205+'HPM costs'!K551))+('HIV-Key Info'!$F$80*('HPM costs'!K208+'HPM costs'!K211+'HPM costs'!K554+'HPM costs'!K557)))</f>
        <v>0</v>
      </c>
      <c r="AD289" s="695"/>
      <c r="AE289" s="695">
        <f>'HIV-Key Info'!$G$80*(('HIV-Key Info'!$E$80*('HPM costs'!L205+'HPM costs'!L551))+('HIV-Key Info'!$F$80*('HPM costs'!L208+'HPM costs'!L211+'HPM costs'!L554+'HPM costs'!L557)))</f>
        <v>0</v>
      </c>
      <c r="AF289" s="695"/>
      <c r="AG289" s="695">
        <f>'HIV-Key Info'!$G$80*(('HIV-Key Info'!$E$80*('HPM costs'!M205+'HPM costs'!M551))+('HIV-Key Info'!$F$80*('HPM costs'!M208+'HPM costs'!M211+'HPM costs'!M554+'HPM costs'!M557)))</f>
        <v>0</v>
      </c>
      <c r="AH289" s="695"/>
      <c r="AI289" s="695">
        <f>'HIV-Key Info'!$G$80*(('HIV-Key Info'!$E$80*('HPM costs'!N205+'HPM costs'!N551))+('HIV-Key Info'!$F$80*('HPM costs'!N208+'HPM costs'!N211+'HPM costs'!N554+'HPM costs'!N557)))</f>
        <v>0</v>
      </c>
      <c r="AJ289" s="695"/>
      <c r="AK289" s="1492">
        <f t="shared" si="31"/>
        <v>0</v>
      </c>
      <c r="AL289" s="1493"/>
      <c r="AM289" s="1494"/>
      <c r="AN289" s="699"/>
      <c r="AO289" s="695"/>
      <c r="AP289" s="695">
        <f>'HIV-Key Info'!$G$80*(('HIV-Key Info'!$E$80*('HPM costs'!P205+'HPM costs'!P551))+('HIV-Key Info'!$F$80*('HPM costs'!P208+'HPM costs'!P211+'HPM costs'!P554+'HPM costs'!P557)))</f>
        <v>0</v>
      </c>
      <c r="AQ289" s="695"/>
      <c r="AR289" s="695">
        <f>'HIV-Key Info'!$G$80*(('HIV-Key Info'!$E$80*('HPM costs'!Q205+'HPM costs'!Q551))+('HIV-Key Info'!$F$80*('HPM costs'!Q208+'HPM costs'!Q211+'HPM costs'!Q554+'HPM costs'!Q557)))</f>
        <v>0</v>
      </c>
      <c r="AS289" s="695"/>
      <c r="AT289" s="695">
        <f>'HIV-Key Info'!$G$80*(('HIV-Key Info'!$E$80*('HPM costs'!R205+'HPM costs'!R551))+('HIV-Key Info'!$F$80*('HPM costs'!R208+'HPM costs'!R211+'HPM costs'!R554+'HPM costs'!R557)))</f>
        <v>0</v>
      </c>
      <c r="AU289" s="695"/>
      <c r="AV289" s="695">
        <f>'HIV-Key Info'!$G$80*(('HIV-Key Info'!$E$80*('HPM costs'!S205+'HPM costs'!S551))+('HIV-Key Info'!$F$80*('HPM costs'!S208+'HPM costs'!S211+'HPM costs'!S554+'HPM costs'!S557)))</f>
        <v>0</v>
      </c>
      <c r="AW289" s="695"/>
      <c r="AX289" s="1492">
        <f t="shared" si="32"/>
        <v>0</v>
      </c>
      <c r="AY289" s="1492"/>
      <c r="AZ289" s="698"/>
      <c r="BA289" s="699"/>
      <c r="BB289" s="697"/>
      <c r="BC289" s="697">
        <v>0</v>
      </c>
      <c r="BD289" s="697">
        <v>0</v>
      </c>
      <c r="BE289" s="697">
        <v>0</v>
      </c>
      <c r="BF289" s="697">
        <v>0</v>
      </c>
      <c r="BG289" s="697">
        <v>0</v>
      </c>
      <c r="BH289" s="697">
        <v>0</v>
      </c>
      <c r="BI289" s="697">
        <v>0</v>
      </c>
      <c r="BJ289" s="697">
        <v>0</v>
      </c>
      <c r="BK289" s="1492">
        <f t="shared" si="33"/>
        <v>0</v>
      </c>
      <c r="BL289" s="1492"/>
      <c r="BM289" s="1492">
        <f t="shared" si="34"/>
        <v>0</v>
      </c>
      <c r="BN289" s="1492">
        <f t="shared" si="35"/>
        <v>0</v>
      </c>
      <c r="BO289" s="697"/>
      <c r="BP289" s="697"/>
      <c r="BQ289" s="1495" t="s">
        <v>6933</v>
      </c>
      <c r="BR289" s="1495" t="s">
        <v>818</v>
      </c>
      <c r="BS289" s="1902" t="s">
        <v>655</v>
      </c>
      <c r="BT289" s="1907" t="s">
        <v>2008</v>
      </c>
    </row>
    <row r="290" spans="1:72" ht="13">
      <c r="A290" s="1545">
        <v>846</v>
      </c>
      <c r="B290" s="1546" t="s">
        <v>800</v>
      </c>
      <c r="C290" s="1546" t="s">
        <v>801</v>
      </c>
      <c r="D290" s="1547" t="s">
        <v>6868</v>
      </c>
      <c r="E290" s="690" t="s">
        <v>666</v>
      </c>
      <c r="F290" s="691"/>
      <c r="G290" s="692"/>
      <c r="H290" s="692"/>
      <c r="I290" s="692"/>
      <c r="J290" s="693"/>
      <c r="K290" s="693"/>
      <c r="L290" s="693"/>
      <c r="M290" s="694"/>
      <c r="N290" s="695"/>
      <c r="O290" s="696" t="s">
        <v>1569</v>
      </c>
      <c r="P290" s="695">
        <f>'HIV-Key Info'!$G$80*(('HIV-Key Info'!$E$80*'HPM costs'!F291)+('HIV-Key Info'!$F$80*('HPM costs'!F294+'HPM costs'!F297)))</f>
        <v>0</v>
      </c>
      <c r="Q290" s="695" t="s">
        <v>1569</v>
      </c>
      <c r="R290" s="695">
        <f>'HIV-Key Info'!$G$80*(('HIV-Key Info'!$E$80*'HPM costs'!G291)+('HIV-Key Info'!$F$80*('HPM costs'!G294+'HPM costs'!G297)))</f>
        <v>0</v>
      </c>
      <c r="S290" s="695" t="s">
        <v>1569</v>
      </c>
      <c r="T290" s="695">
        <f>'HIV-Key Info'!$G$80*(('HIV-Key Info'!$E$80*'HPM costs'!H291)+('HIV-Key Info'!$F$80*('HPM costs'!H294+'HPM costs'!H297)))</f>
        <v>0</v>
      </c>
      <c r="U290" s="695" t="s">
        <v>1569</v>
      </c>
      <c r="V290" s="695">
        <f>'HIV-Key Info'!$G$80*(('HIV-Key Info'!$E$80*'HPM costs'!I291)+('HIV-Key Info'!$F$80*('HPM costs'!I294+'HPM costs'!I297)))</f>
        <v>0</v>
      </c>
      <c r="W290" s="695"/>
      <c r="X290" s="1492">
        <f t="shared" si="30"/>
        <v>0</v>
      </c>
      <c r="Y290" s="1493"/>
      <c r="Z290" s="1494"/>
      <c r="AA290" s="699"/>
      <c r="AB290" s="695"/>
      <c r="AC290" s="695">
        <f>'HIV-Key Info'!$G$80*(('HIV-Key Info'!$E$80*'HPM costs'!K291)+('HIV-Key Info'!$F$80*('HPM costs'!K294+'HPM costs'!K297)))</f>
        <v>0</v>
      </c>
      <c r="AD290" s="695"/>
      <c r="AE290" s="695">
        <f>'HIV-Key Info'!$G$80*(('HIV-Key Info'!$E$80*'HPM costs'!L291)+('HIV-Key Info'!$F$80*('HPM costs'!L294+'HPM costs'!L297)))</f>
        <v>0</v>
      </c>
      <c r="AF290" s="695"/>
      <c r="AG290" s="695">
        <f>'HIV-Key Info'!$G$80*(('HIV-Key Info'!$E$80*'HPM costs'!M291)+('HIV-Key Info'!$F$80*('HPM costs'!M294+'HPM costs'!M297)))</f>
        <v>0</v>
      </c>
      <c r="AH290" s="695"/>
      <c r="AI290" s="695">
        <f>'HIV-Key Info'!$G$80*(('HIV-Key Info'!$E$80*'HPM costs'!N291)+('HIV-Key Info'!$F$80*('HPM costs'!N294+'HPM costs'!N297)))</f>
        <v>0</v>
      </c>
      <c r="AJ290" s="695"/>
      <c r="AK290" s="1492">
        <f t="shared" si="31"/>
        <v>0</v>
      </c>
      <c r="AL290" s="1493"/>
      <c r="AM290" s="1494"/>
      <c r="AN290" s="699"/>
      <c r="AO290" s="695"/>
      <c r="AP290" s="695">
        <f>'HIV-Key Info'!$G$80*(('HIV-Key Info'!$E$80*'HPM costs'!P291)+('HIV-Key Info'!$F$80*('HPM costs'!P294+'HPM costs'!P297)))</f>
        <v>0</v>
      </c>
      <c r="AQ290" s="695"/>
      <c r="AR290" s="695">
        <f>'HIV-Key Info'!$G$80*(('HIV-Key Info'!$E$80*'HPM costs'!Q291)+('HIV-Key Info'!$F$80*('HPM costs'!Q294+'HPM costs'!Q297)))</f>
        <v>0</v>
      </c>
      <c r="AS290" s="695"/>
      <c r="AT290" s="695">
        <f>'HIV-Key Info'!$G$80*(('HIV-Key Info'!$E$80*'HPM costs'!R291)+('HIV-Key Info'!$F$80*('HPM costs'!R294+'HPM costs'!R297)))</f>
        <v>0</v>
      </c>
      <c r="AU290" s="695"/>
      <c r="AV290" s="695">
        <f>'HIV-Key Info'!$G$80*(('HIV-Key Info'!$E$80*'HPM costs'!S291)+('HIV-Key Info'!$F$80*('HPM costs'!S294+'HPM costs'!S297)))</f>
        <v>0</v>
      </c>
      <c r="AW290" s="695"/>
      <c r="AX290" s="1492">
        <f t="shared" si="32"/>
        <v>0</v>
      </c>
      <c r="AY290" s="1492"/>
      <c r="AZ290" s="698"/>
      <c r="BA290" s="699"/>
      <c r="BB290" s="697"/>
      <c r="BC290" s="697">
        <v>0</v>
      </c>
      <c r="BD290" s="697">
        <v>0</v>
      </c>
      <c r="BE290" s="697">
        <v>0</v>
      </c>
      <c r="BF290" s="697">
        <v>0</v>
      </c>
      <c r="BG290" s="697">
        <v>0</v>
      </c>
      <c r="BH290" s="697">
        <v>0</v>
      </c>
      <c r="BI290" s="697">
        <v>0</v>
      </c>
      <c r="BJ290" s="697">
        <v>0</v>
      </c>
      <c r="BK290" s="1492">
        <f t="shared" si="33"/>
        <v>0</v>
      </c>
      <c r="BL290" s="1492"/>
      <c r="BM290" s="1492">
        <f t="shared" si="34"/>
        <v>0</v>
      </c>
      <c r="BN290" s="1492">
        <f t="shared" si="35"/>
        <v>0</v>
      </c>
      <c r="BO290" s="697"/>
      <c r="BP290" s="697"/>
      <c r="BQ290" s="1495" t="s">
        <v>6933</v>
      </c>
      <c r="BR290" s="1495" t="s">
        <v>818</v>
      </c>
      <c r="BS290" s="1902" t="s">
        <v>655</v>
      </c>
      <c r="BT290" s="1907" t="s">
        <v>2009</v>
      </c>
    </row>
    <row r="291" spans="1:72" ht="13">
      <c r="A291" s="1545">
        <v>847</v>
      </c>
      <c r="B291" s="1546" t="s">
        <v>800</v>
      </c>
      <c r="C291" s="1546" t="s">
        <v>801</v>
      </c>
      <c r="D291" s="1547" t="s">
        <v>6868</v>
      </c>
      <c r="E291" s="690" t="s">
        <v>668</v>
      </c>
      <c r="F291" s="691"/>
      <c r="G291" s="692"/>
      <c r="H291" s="692"/>
      <c r="I291" s="692"/>
      <c r="J291" s="693"/>
      <c r="K291" s="693"/>
      <c r="L291" s="693"/>
      <c r="M291" s="694"/>
      <c r="N291" s="695"/>
      <c r="O291" s="696" t="s">
        <v>1569</v>
      </c>
      <c r="P291" s="695">
        <f>'HIV-Key Info'!$G$80*(('HIV-Key Info'!$E$80*'HPM costs'!F636)+('HIV-Key Info'!$F$80*('HPM costs'!F639+'HPM costs'!F642)))</f>
        <v>0</v>
      </c>
      <c r="Q291" s="695" t="s">
        <v>1569</v>
      </c>
      <c r="R291" s="695">
        <f>'HIV-Key Info'!$G$80*(('HIV-Key Info'!$E$80*'HPM costs'!G636)+('HIV-Key Info'!$F$80*('HPM costs'!G639+'HPM costs'!G642)))</f>
        <v>0</v>
      </c>
      <c r="S291" s="695" t="s">
        <v>1569</v>
      </c>
      <c r="T291" s="695">
        <f>'HIV-Key Info'!$G$80*(('HIV-Key Info'!$E$80*'HPM costs'!H636)+('HIV-Key Info'!$F$80*('HPM costs'!H639+'HPM costs'!H642)))</f>
        <v>0</v>
      </c>
      <c r="U291" s="695" t="s">
        <v>1569</v>
      </c>
      <c r="V291" s="695">
        <f>'HIV-Key Info'!$G$80*(('HIV-Key Info'!$E$80*'HPM costs'!I636)+('HIV-Key Info'!$F$80*('HPM costs'!I639+'HPM costs'!I642)))</f>
        <v>0</v>
      </c>
      <c r="W291" s="695"/>
      <c r="X291" s="1492">
        <f t="shared" si="30"/>
        <v>0</v>
      </c>
      <c r="Y291" s="1493"/>
      <c r="Z291" s="1494"/>
      <c r="AA291" s="699"/>
      <c r="AB291" s="695"/>
      <c r="AC291" s="695">
        <f>'HIV-Key Info'!$G$80*(('HIV-Key Info'!$E$80*'HPM costs'!K636)+('HIV-Key Info'!$F$80*('HPM costs'!K639+'HPM costs'!K642)))</f>
        <v>0</v>
      </c>
      <c r="AD291" s="695"/>
      <c r="AE291" s="695">
        <f>'HIV-Key Info'!$G$80*(('HIV-Key Info'!$E$80*'HPM costs'!L636)+('HIV-Key Info'!$F$80*('HPM costs'!L639+'HPM costs'!L642)))</f>
        <v>0</v>
      </c>
      <c r="AF291" s="695"/>
      <c r="AG291" s="695">
        <f>'HIV-Key Info'!$G$80*(('HIV-Key Info'!$E$80*'HPM costs'!M636)+('HIV-Key Info'!$F$80*('HPM costs'!M639+'HPM costs'!M642)))</f>
        <v>0</v>
      </c>
      <c r="AH291" s="695"/>
      <c r="AI291" s="695">
        <f>'HIV-Key Info'!$G$80*(('HIV-Key Info'!$E$80*'HPM costs'!N636)+('HIV-Key Info'!$F$80*('HPM costs'!N639+'HPM costs'!N642)))</f>
        <v>0</v>
      </c>
      <c r="AJ291" s="695"/>
      <c r="AK291" s="1492">
        <f t="shared" si="31"/>
        <v>0</v>
      </c>
      <c r="AL291" s="1493"/>
      <c r="AM291" s="1494"/>
      <c r="AN291" s="699"/>
      <c r="AO291" s="695"/>
      <c r="AP291" s="695">
        <f>'HIV-Key Info'!$G$80*(('HIV-Key Info'!$E$80*'HPM costs'!P636)+('HIV-Key Info'!$F$80*('HPM costs'!P639+'HPM costs'!P642)))</f>
        <v>0</v>
      </c>
      <c r="AQ291" s="695"/>
      <c r="AR291" s="695">
        <f>'HIV-Key Info'!$G$80*(('HIV-Key Info'!$E$80*'HPM costs'!Q636)+('HIV-Key Info'!$F$80*('HPM costs'!Q639+'HPM costs'!Q642)))</f>
        <v>0</v>
      </c>
      <c r="AS291" s="695"/>
      <c r="AT291" s="695">
        <f>'HIV-Key Info'!$G$80*(('HIV-Key Info'!$E$80*'HPM costs'!R636)+('HIV-Key Info'!$F$80*('HPM costs'!R639+'HPM costs'!R642)))</f>
        <v>0</v>
      </c>
      <c r="AU291" s="695"/>
      <c r="AV291" s="695">
        <f>'HIV-Key Info'!$G$80*(('HIV-Key Info'!$E$80*'HPM costs'!S636)+('HIV-Key Info'!$F$80*('HPM costs'!S639+'HPM costs'!S642)))</f>
        <v>0</v>
      </c>
      <c r="AW291" s="695"/>
      <c r="AX291" s="1492">
        <f t="shared" si="32"/>
        <v>0</v>
      </c>
      <c r="AY291" s="1492"/>
      <c r="AZ291" s="698"/>
      <c r="BA291" s="699"/>
      <c r="BB291" s="697"/>
      <c r="BC291" s="697">
        <v>0</v>
      </c>
      <c r="BD291" s="697">
        <v>0</v>
      </c>
      <c r="BE291" s="697">
        <v>0</v>
      </c>
      <c r="BF291" s="697">
        <v>0</v>
      </c>
      <c r="BG291" s="697">
        <v>0</v>
      </c>
      <c r="BH291" s="697">
        <v>0</v>
      </c>
      <c r="BI291" s="697">
        <v>0</v>
      </c>
      <c r="BJ291" s="697">
        <v>0</v>
      </c>
      <c r="BK291" s="1492">
        <f t="shared" si="33"/>
        <v>0</v>
      </c>
      <c r="BL291" s="1492"/>
      <c r="BM291" s="1492">
        <f t="shared" si="34"/>
        <v>0</v>
      </c>
      <c r="BN291" s="1492">
        <f t="shared" si="35"/>
        <v>0</v>
      </c>
      <c r="BO291" s="697"/>
      <c r="BP291" s="697"/>
      <c r="BQ291" s="1495" t="s">
        <v>6933</v>
      </c>
      <c r="BR291" s="1495" t="s">
        <v>818</v>
      </c>
      <c r="BS291" s="1902" t="s">
        <v>655</v>
      </c>
      <c r="BT291" s="1907" t="s">
        <v>2010</v>
      </c>
    </row>
    <row r="292" spans="1:72" ht="13">
      <c r="A292" s="1545">
        <v>848</v>
      </c>
      <c r="B292" s="1546" t="s">
        <v>800</v>
      </c>
      <c r="C292" s="1546" t="s">
        <v>802</v>
      </c>
      <c r="D292" s="1547" t="s">
        <v>6954</v>
      </c>
      <c r="E292" s="690" t="s">
        <v>731</v>
      </c>
      <c r="F292" s="691"/>
      <c r="G292" s="692"/>
      <c r="H292" s="692"/>
      <c r="I292" s="692"/>
      <c r="J292" s="693"/>
      <c r="K292" s="693"/>
      <c r="L292" s="693"/>
      <c r="M292" s="694"/>
      <c r="N292" s="695"/>
      <c r="O292" s="696" t="s">
        <v>1569</v>
      </c>
      <c r="P292" s="695">
        <f>'HIV-Key Info'!$H$80*('HIV-Key Info'!$E$80*('HPM costs'!F551/'HPM costs'!$E$551)+'HIV-Key Info'!$F$80*('HPM costs'!F557/'HPM costs'!$E$557+'HPM costs'!F554/'HPM costs'!$E$554))</f>
        <v>0</v>
      </c>
      <c r="Q292" s="695" t="s">
        <v>1569</v>
      </c>
      <c r="R292" s="695">
        <f>'HIV-Key Info'!$H$80*('HIV-Key Info'!$E$80*('HPM costs'!G551/'HPM costs'!$E$551)+'HIV-Key Info'!$F$80*('HPM costs'!G557/'HPM costs'!$E$557+'HPM costs'!G554/'HPM costs'!$E$554))</f>
        <v>0</v>
      </c>
      <c r="S292" s="695" t="s">
        <v>1569</v>
      </c>
      <c r="T292" s="695">
        <f>'HIV-Key Info'!$H$80*('HIV-Key Info'!$E$80*('HPM costs'!H551/'HPM costs'!$E$551)+'HIV-Key Info'!$F$80*('HPM costs'!H557/'HPM costs'!$E$557+'HPM costs'!H554/'HPM costs'!$E$554))</f>
        <v>0</v>
      </c>
      <c r="U292" s="695" t="s">
        <v>1569</v>
      </c>
      <c r="V292" s="695">
        <f>'HIV-Key Info'!$H$80*('HIV-Key Info'!$E$80*('HPM costs'!I551/'HPM costs'!$E$551)+'HIV-Key Info'!$F$80*('HPM costs'!I557/'HPM costs'!$E$557+'HPM costs'!I554/'HPM costs'!$E$554))</f>
        <v>0</v>
      </c>
      <c r="W292" s="695"/>
      <c r="X292" s="1492">
        <f t="shared" si="30"/>
        <v>0</v>
      </c>
      <c r="Y292" s="1493"/>
      <c r="Z292" s="1494"/>
      <c r="AA292" s="699"/>
      <c r="AB292" s="695"/>
      <c r="AC292" s="695">
        <f>'HIV-Key Info'!$H$80*('HIV-Key Info'!$E$80*('HPM costs'!K551/'HPM costs'!$E$551)+'HIV-Key Info'!$F$80*('HPM costs'!K557/'HPM costs'!$E$557+'HPM costs'!K554/'HPM costs'!$E$554))</f>
        <v>0</v>
      </c>
      <c r="AD292" s="695"/>
      <c r="AE292" s="695">
        <f>'HIV-Key Info'!$H$80*('HIV-Key Info'!$E$80*('HPM costs'!L551/'HPM costs'!$E$551)+'HIV-Key Info'!$F$80*('HPM costs'!L557/'HPM costs'!$E$557+'HPM costs'!L554/'HPM costs'!$E$554))</f>
        <v>0</v>
      </c>
      <c r="AF292" s="695"/>
      <c r="AG292" s="695">
        <f>'HIV-Key Info'!$H$80*('HIV-Key Info'!$E$80*('HPM costs'!M551/'HPM costs'!$E$551)+'HIV-Key Info'!$F$80*('HPM costs'!M557/'HPM costs'!$E$557+'HPM costs'!M554/'HPM costs'!$E$554))</f>
        <v>0</v>
      </c>
      <c r="AH292" s="695"/>
      <c r="AI292" s="695">
        <f>'HIV-Key Info'!$H$80*('HIV-Key Info'!$E$80*('HPM costs'!N551/'HPM costs'!$E$551)+'HIV-Key Info'!$F$80*('HPM costs'!N557/'HPM costs'!$E$557+'HPM costs'!N554/'HPM costs'!$E$554))</f>
        <v>0</v>
      </c>
      <c r="AJ292" s="695"/>
      <c r="AK292" s="1492">
        <f t="shared" si="31"/>
        <v>0</v>
      </c>
      <c r="AL292" s="1493"/>
      <c r="AM292" s="1494"/>
      <c r="AN292" s="699"/>
      <c r="AO292" s="695"/>
      <c r="AP292" s="695">
        <f>'HIV-Key Info'!$H$80*('HIV-Key Info'!$E$80*('HPM costs'!P551/'HPM costs'!$E$551)+'HIV-Key Info'!$F$80*('HPM costs'!P557/'HPM costs'!$E$557+'HPM costs'!P554/'HPM costs'!$E$554))</f>
        <v>0</v>
      </c>
      <c r="AQ292" s="695"/>
      <c r="AR292" s="695">
        <f>'HIV-Key Info'!$H$80*('HIV-Key Info'!$E$80*('HPM costs'!Q551/'HPM costs'!$E$551)+'HIV-Key Info'!$F$80*('HPM costs'!Q557/'HPM costs'!$E$557+'HPM costs'!Q554/'HPM costs'!$E$554))</f>
        <v>0</v>
      </c>
      <c r="AS292" s="695"/>
      <c r="AT292" s="695">
        <f>'HIV-Key Info'!$H$80*('HIV-Key Info'!$E$80*('HPM costs'!R551/'HPM costs'!$E$551)+'HIV-Key Info'!$F$80*('HPM costs'!R557/'HPM costs'!$E$557+'HPM costs'!R554/'HPM costs'!$E$554))</f>
        <v>0</v>
      </c>
      <c r="AU292" s="695"/>
      <c r="AV292" s="695">
        <f>'HIV-Key Info'!$H$80*('HIV-Key Info'!$E$80*('HPM costs'!S551/'HPM costs'!$E$551)+'HIV-Key Info'!$F$80*('HPM costs'!S557/'HPM costs'!$E$557+'HPM costs'!S554/'HPM costs'!$E$554))</f>
        <v>0</v>
      </c>
      <c r="AW292" s="695"/>
      <c r="AX292" s="1492">
        <f t="shared" si="32"/>
        <v>0</v>
      </c>
      <c r="AY292" s="1492"/>
      <c r="AZ292" s="698"/>
      <c r="BA292" s="699"/>
      <c r="BB292" s="697"/>
      <c r="BC292" s="697">
        <v>0</v>
      </c>
      <c r="BD292" s="697">
        <v>0</v>
      </c>
      <c r="BE292" s="697">
        <v>0</v>
      </c>
      <c r="BF292" s="697">
        <v>0</v>
      </c>
      <c r="BG292" s="697">
        <v>0</v>
      </c>
      <c r="BH292" s="697">
        <v>0</v>
      </c>
      <c r="BI292" s="697">
        <v>0</v>
      </c>
      <c r="BJ292" s="697">
        <v>0</v>
      </c>
      <c r="BK292" s="1492">
        <f t="shared" si="33"/>
        <v>0</v>
      </c>
      <c r="BL292" s="1492"/>
      <c r="BM292" s="1492">
        <f t="shared" si="34"/>
        <v>0</v>
      </c>
      <c r="BN292" s="1492">
        <f t="shared" si="35"/>
        <v>0</v>
      </c>
      <c r="BO292" s="697"/>
      <c r="BP292" s="697"/>
      <c r="BQ292" s="1495" t="s">
        <v>6933</v>
      </c>
      <c r="BR292" s="1495" t="s">
        <v>818</v>
      </c>
      <c r="BS292" s="1902" t="s">
        <v>6953</v>
      </c>
      <c r="BT292" s="1907" t="s">
        <v>2011</v>
      </c>
    </row>
    <row r="293" spans="1:72" ht="13">
      <c r="A293" s="1545">
        <v>849</v>
      </c>
      <c r="B293" s="1546" t="s">
        <v>800</v>
      </c>
      <c r="C293" s="1546" t="s">
        <v>802</v>
      </c>
      <c r="D293" s="1547" t="s">
        <v>6868</v>
      </c>
      <c r="E293" s="690" t="s">
        <v>656</v>
      </c>
      <c r="F293" s="691"/>
      <c r="G293" s="692"/>
      <c r="H293" s="692"/>
      <c r="I293" s="692"/>
      <c r="J293" s="693"/>
      <c r="K293" s="693"/>
      <c r="L293" s="693"/>
      <c r="M293" s="694"/>
      <c r="N293" s="695"/>
      <c r="O293" s="696" t="s">
        <v>1569</v>
      </c>
      <c r="P293" s="695">
        <f>'HIV-Key Info'!$H$80*(('HIV-Key Info'!$E$80*'HPM costs'!F33)+('HIV-Key Info'!$F$80*('HPM costs'!F36+'HPM costs'!F39)))</f>
        <v>0</v>
      </c>
      <c r="Q293" s="695" t="s">
        <v>1569</v>
      </c>
      <c r="R293" s="695">
        <f>'HIV-Key Info'!$H$80*(('HIV-Key Info'!$E$80*'HPM costs'!G33)+('HIV-Key Info'!$F$80*('HPM costs'!G36+'HPM costs'!G39)))</f>
        <v>0</v>
      </c>
      <c r="S293" s="695" t="s">
        <v>1569</v>
      </c>
      <c r="T293" s="695">
        <f>'HIV-Key Info'!$H$80*(('HIV-Key Info'!$E$80*'HPM costs'!H33)+('HIV-Key Info'!$F$80*('HPM costs'!H36+'HPM costs'!H39)))</f>
        <v>0</v>
      </c>
      <c r="U293" s="695" t="s">
        <v>1569</v>
      </c>
      <c r="V293" s="695">
        <f>'HIV-Key Info'!$H$80*(('HIV-Key Info'!$E$80*'HPM costs'!I33)+('HIV-Key Info'!$F$80*('HPM costs'!I36+'HPM costs'!I39)))</f>
        <v>0</v>
      </c>
      <c r="W293" s="695"/>
      <c r="X293" s="1492">
        <f t="shared" si="30"/>
        <v>0</v>
      </c>
      <c r="Y293" s="1493"/>
      <c r="Z293" s="1494"/>
      <c r="AA293" s="699"/>
      <c r="AB293" s="695"/>
      <c r="AC293" s="695">
        <f>'HIV-Key Info'!$H$80*(('HIV-Key Info'!$E$80*'HPM costs'!K33)+('HIV-Key Info'!$F$80*('HPM costs'!K36+'HPM costs'!K39)))</f>
        <v>0</v>
      </c>
      <c r="AD293" s="695"/>
      <c r="AE293" s="695">
        <f>'HIV-Key Info'!$H$80*(('HIV-Key Info'!$E$80*'HPM costs'!L33)+('HIV-Key Info'!$F$80*('HPM costs'!L36+'HPM costs'!L39)))</f>
        <v>0</v>
      </c>
      <c r="AF293" s="695"/>
      <c r="AG293" s="695">
        <f>'HIV-Key Info'!$H$80*(('HIV-Key Info'!$E$80*'HPM costs'!M33)+('HIV-Key Info'!$F$80*('HPM costs'!M36+'HPM costs'!M39)))</f>
        <v>0</v>
      </c>
      <c r="AH293" s="695"/>
      <c r="AI293" s="695">
        <f>'HIV-Key Info'!$H$80*(('HIV-Key Info'!$E$80*'HPM costs'!N33)+('HIV-Key Info'!$F$80*('HPM costs'!N36+'HPM costs'!N39)))</f>
        <v>0</v>
      </c>
      <c r="AJ293" s="695"/>
      <c r="AK293" s="1492">
        <f t="shared" si="31"/>
        <v>0</v>
      </c>
      <c r="AL293" s="1493"/>
      <c r="AM293" s="1494"/>
      <c r="AN293" s="699"/>
      <c r="AO293" s="695"/>
      <c r="AP293" s="695">
        <f>'HIV-Key Info'!$H$80*(('HIV-Key Info'!$E$80*'HPM costs'!P33)+('HIV-Key Info'!$F$80*('HPM costs'!P36+'HPM costs'!P39)))</f>
        <v>0</v>
      </c>
      <c r="AQ293" s="695"/>
      <c r="AR293" s="695">
        <f>'HIV-Key Info'!$H$80*(('HIV-Key Info'!$E$80*'HPM costs'!Q33)+('HIV-Key Info'!$F$80*('HPM costs'!Q36+'HPM costs'!Q39)))</f>
        <v>0</v>
      </c>
      <c r="AS293" s="695"/>
      <c r="AT293" s="695">
        <f>'HIV-Key Info'!$H$80*(('HIV-Key Info'!$E$80*'HPM costs'!R33)+('HIV-Key Info'!$F$80*('HPM costs'!R36+'HPM costs'!R39)))</f>
        <v>0</v>
      </c>
      <c r="AU293" s="695"/>
      <c r="AV293" s="695">
        <f>'HIV-Key Info'!$H$80*(('HIV-Key Info'!$E$80*'HPM costs'!S33)+('HIV-Key Info'!$F$80*('HPM costs'!S36+'HPM costs'!S39)))</f>
        <v>0</v>
      </c>
      <c r="AW293" s="695"/>
      <c r="AX293" s="1492">
        <f t="shared" si="32"/>
        <v>0</v>
      </c>
      <c r="AY293" s="1492"/>
      <c r="AZ293" s="698"/>
      <c r="BA293" s="699"/>
      <c r="BB293" s="697"/>
      <c r="BC293" s="697">
        <v>0</v>
      </c>
      <c r="BD293" s="697">
        <v>0</v>
      </c>
      <c r="BE293" s="697">
        <v>0</v>
      </c>
      <c r="BF293" s="697">
        <v>0</v>
      </c>
      <c r="BG293" s="697">
        <v>0</v>
      </c>
      <c r="BH293" s="697">
        <v>0</v>
      </c>
      <c r="BI293" s="697">
        <v>0</v>
      </c>
      <c r="BJ293" s="697">
        <v>0</v>
      </c>
      <c r="BK293" s="1492">
        <f t="shared" si="33"/>
        <v>0</v>
      </c>
      <c r="BL293" s="1492"/>
      <c r="BM293" s="1492">
        <f t="shared" si="34"/>
        <v>0</v>
      </c>
      <c r="BN293" s="1492">
        <f t="shared" si="35"/>
        <v>0</v>
      </c>
      <c r="BO293" s="697"/>
      <c r="BP293" s="697"/>
      <c r="BQ293" s="1495" t="s">
        <v>6933</v>
      </c>
      <c r="BR293" s="1495" t="s">
        <v>818</v>
      </c>
      <c r="BS293" s="1902" t="s">
        <v>655</v>
      </c>
      <c r="BT293" s="1907" t="s">
        <v>2012</v>
      </c>
    </row>
    <row r="294" spans="1:72" ht="13">
      <c r="A294" s="1545">
        <v>850</v>
      </c>
      <c r="B294" s="1546" t="s">
        <v>800</v>
      </c>
      <c r="C294" s="1546" t="s">
        <v>802</v>
      </c>
      <c r="D294" s="1547" t="s">
        <v>6868</v>
      </c>
      <c r="E294" s="690" t="s">
        <v>658</v>
      </c>
      <c r="F294" s="691"/>
      <c r="G294" s="692"/>
      <c r="H294" s="692"/>
      <c r="I294" s="692"/>
      <c r="J294" s="693"/>
      <c r="K294" s="693"/>
      <c r="L294" s="693"/>
      <c r="M294" s="694"/>
      <c r="N294" s="695"/>
      <c r="O294" s="696" t="s">
        <v>1569</v>
      </c>
      <c r="P294" s="695">
        <f>'HIV-Key Info'!$H$80*(('HIV-Key Info'!$E$80*'HPM costs'!F119)+('HIV-Key Info'!$F$80*('HPM costs'!F122+'HPM costs'!F125)))</f>
        <v>0</v>
      </c>
      <c r="Q294" s="695" t="s">
        <v>1569</v>
      </c>
      <c r="R294" s="695">
        <f>'HIV-Key Info'!$H$80*(('HIV-Key Info'!$E$80*'HPM costs'!G119)+('HIV-Key Info'!$F$80*('HPM costs'!G122+'HPM costs'!G125)))</f>
        <v>0</v>
      </c>
      <c r="S294" s="695" t="s">
        <v>1569</v>
      </c>
      <c r="T294" s="695">
        <f>'HIV-Key Info'!$H$80*(('HIV-Key Info'!$E$80*'HPM costs'!H119)+('HIV-Key Info'!$F$80*('HPM costs'!H122+'HPM costs'!H125)))</f>
        <v>0</v>
      </c>
      <c r="U294" s="695" t="s">
        <v>1569</v>
      </c>
      <c r="V294" s="695">
        <f>'HIV-Key Info'!$H$80*(('HIV-Key Info'!$E$80*'HPM costs'!I119)+('HIV-Key Info'!$F$80*('HPM costs'!I122+'HPM costs'!I125)))</f>
        <v>0</v>
      </c>
      <c r="W294" s="695"/>
      <c r="X294" s="1492">
        <f t="shared" si="30"/>
        <v>0</v>
      </c>
      <c r="Y294" s="1493"/>
      <c r="Z294" s="1494"/>
      <c r="AA294" s="699"/>
      <c r="AB294" s="695"/>
      <c r="AC294" s="695">
        <f>'HIV-Key Info'!$H$80*(('HIV-Key Info'!$E$80*'HPM costs'!K119)+('HIV-Key Info'!$F$80*('HPM costs'!K122+'HPM costs'!K125)))</f>
        <v>0</v>
      </c>
      <c r="AD294" s="695"/>
      <c r="AE294" s="695">
        <f>'HIV-Key Info'!$H$80*(('HIV-Key Info'!$E$80*'HPM costs'!L119)+('HIV-Key Info'!$F$80*('HPM costs'!L122+'HPM costs'!L125)))</f>
        <v>0</v>
      </c>
      <c r="AF294" s="695"/>
      <c r="AG294" s="695">
        <f>'HIV-Key Info'!$H$80*(('HIV-Key Info'!$E$80*'HPM costs'!M119)+('HIV-Key Info'!$F$80*('HPM costs'!M122+'HPM costs'!M125)))</f>
        <v>0</v>
      </c>
      <c r="AH294" s="695"/>
      <c r="AI294" s="695">
        <f>'HIV-Key Info'!$H$80*(('HIV-Key Info'!$E$80*'HPM costs'!N119)+('HIV-Key Info'!$F$80*('HPM costs'!N122+'HPM costs'!N125)))</f>
        <v>0</v>
      </c>
      <c r="AJ294" s="695"/>
      <c r="AK294" s="1492">
        <f t="shared" si="31"/>
        <v>0</v>
      </c>
      <c r="AL294" s="1493"/>
      <c r="AM294" s="1494"/>
      <c r="AN294" s="699"/>
      <c r="AO294" s="695"/>
      <c r="AP294" s="695">
        <f>'HIV-Key Info'!$H$80*(('HIV-Key Info'!$E$80*'HPM costs'!P119)+('HIV-Key Info'!$F$80*('HPM costs'!P122+'HPM costs'!P125)))</f>
        <v>0</v>
      </c>
      <c r="AQ294" s="695"/>
      <c r="AR294" s="695">
        <f>'HIV-Key Info'!$H$80*(('HIV-Key Info'!$E$80*'HPM costs'!Q119)+('HIV-Key Info'!$F$80*('HPM costs'!Q122+'HPM costs'!Q125)))</f>
        <v>0</v>
      </c>
      <c r="AS294" s="695"/>
      <c r="AT294" s="695">
        <f>'HIV-Key Info'!$H$80*(('HIV-Key Info'!$E$80*'HPM costs'!R119)+('HIV-Key Info'!$F$80*('HPM costs'!R122+'HPM costs'!R125)))</f>
        <v>0</v>
      </c>
      <c r="AU294" s="695"/>
      <c r="AV294" s="695">
        <f>'HIV-Key Info'!$H$80*(('HIV-Key Info'!$E$80*'HPM costs'!S119)+('HIV-Key Info'!$F$80*('HPM costs'!S122+'HPM costs'!S125)))</f>
        <v>0</v>
      </c>
      <c r="AW294" s="695"/>
      <c r="AX294" s="1492">
        <f t="shared" si="32"/>
        <v>0</v>
      </c>
      <c r="AY294" s="1492"/>
      <c r="AZ294" s="698"/>
      <c r="BA294" s="699"/>
      <c r="BB294" s="697"/>
      <c r="BC294" s="697">
        <v>0</v>
      </c>
      <c r="BD294" s="697">
        <v>0</v>
      </c>
      <c r="BE294" s="697">
        <v>0</v>
      </c>
      <c r="BF294" s="697">
        <v>0</v>
      </c>
      <c r="BG294" s="697">
        <v>0</v>
      </c>
      <c r="BH294" s="697">
        <v>0</v>
      </c>
      <c r="BI294" s="697">
        <v>0</v>
      </c>
      <c r="BJ294" s="697">
        <v>0</v>
      </c>
      <c r="BK294" s="1492">
        <f t="shared" si="33"/>
        <v>0</v>
      </c>
      <c r="BL294" s="1492"/>
      <c r="BM294" s="1492">
        <f t="shared" si="34"/>
        <v>0</v>
      </c>
      <c r="BN294" s="1492">
        <f t="shared" si="35"/>
        <v>0</v>
      </c>
      <c r="BO294" s="697"/>
      <c r="BP294" s="697"/>
      <c r="BQ294" s="1495" t="s">
        <v>6933</v>
      </c>
      <c r="BR294" s="1495" t="s">
        <v>818</v>
      </c>
      <c r="BS294" s="1902" t="s">
        <v>655</v>
      </c>
      <c r="BT294" s="1907" t="s">
        <v>2013</v>
      </c>
    </row>
    <row r="295" spans="1:72" ht="13">
      <c r="A295" s="1545">
        <v>851</v>
      </c>
      <c r="B295" s="1546" t="s">
        <v>800</v>
      </c>
      <c r="C295" s="1546" t="s">
        <v>802</v>
      </c>
      <c r="D295" s="1547" t="s">
        <v>6868</v>
      </c>
      <c r="E295" s="690" t="s">
        <v>660</v>
      </c>
      <c r="F295" s="691"/>
      <c r="G295" s="692"/>
      <c r="H295" s="692"/>
      <c r="I295" s="692"/>
      <c r="J295" s="693"/>
      <c r="K295" s="693"/>
      <c r="L295" s="693"/>
      <c r="M295" s="694"/>
      <c r="N295" s="695"/>
      <c r="O295" s="696" t="s">
        <v>1569</v>
      </c>
      <c r="P295" s="695">
        <f>'HIV-Key Info'!$H$80*(('HIV-Key Info'!$E$80*'HPM costs'!F379)+('HIV-Key Info'!$F$80*('HPM costs'!F382+'HPM costs'!F385)))</f>
        <v>0</v>
      </c>
      <c r="Q295" s="695" t="s">
        <v>1569</v>
      </c>
      <c r="R295" s="695">
        <f>'HIV-Key Info'!$H$80*(('HIV-Key Info'!$E$80*'HPM costs'!G379)+('HIV-Key Info'!$F$80*('HPM costs'!G382+'HPM costs'!G385)))</f>
        <v>0</v>
      </c>
      <c r="S295" s="695" t="s">
        <v>1569</v>
      </c>
      <c r="T295" s="695">
        <f>'HIV-Key Info'!$H$80*(('HIV-Key Info'!$E$80*'HPM costs'!H379)+('HIV-Key Info'!$F$80*('HPM costs'!H382+'HPM costs'!H385)))</f>
        <v>0</v>
      </c>
      <c r="U295" s="695" t="s">
        <v>1569</v>
      </c>
      <c r="V295" s="695">
        <f>'HIV-Key Info'!$H$80*(('HIV-Key Info'!$E$80*'HPM costs'!I379)+('HIV-Key Info'!$F$80*('HPM costs'!I382+'HPM costs'!I385)))</f>
        <v>0</v>
      </c>
      <c r="W295" s="695"/>
      <c r="X295" s="1492">
        <f t="shared" si="30"/>
        <v>0</v>
      </c>
      <c r="Y295" s="1493"/>
      <c r="Z295" s="1494"/>
      <c r="AA295" s="699"/>
      <c r="AB295" s="695"/>
      <c r="AC295" s="695">
        <f>'HIV-Key Info'!$H$80*(('HIV-Key Info'!$E$80*'HPM costs'!K379)+('HIV-Key Info'!$F$80*('HPM costs'!K382+'HPM costs'!K385)))</f>
        <v>0</v>
      </c>
      <c r="AD295" s="695"/>
      <c r="AE295" s="695">
        <f>'HIV-Key Info'!$H$80*(('HIV-Key Info'!$E$80*'HPM costs'!L379)+('HIV-Key Info'!$F$80*('HPM costs'!L382+'HPM costs'!L385)))</f>
        <v>0</v>
      </c>
      <c r="AF295" s="695"/>
      <c r="AG295" s="695">
        <f>'HIV-Key Info'!$H$80*(('HIV-Key Info'!$E$80*'HPM costs'!M379)+('HIV-Key Info'!$F$80*('HPM costs'!M382+'HPM costs'!M385)))</f>
        <v>0</v>
      </c>
      <c r="AH295" s="695"/>
      <c r="AI295" s="695">
        <f>'HIV-Key Info'!$H$80*(('HIV-Key Info'!$E$80*'HPM costs'!N379)+('HIV-Key Info'!$F$80*('HPM costs'!N382+'HPM costs'!N385)))</f>
        <v>0</v>
      </c>
      <c r="AJ295" s="695"/>
      <c r="AK295" s="1492">
        <f t="shared" si="31"/>
        <v>0</v>
      </c>
      <c r="AL295" s="1493"/>
      <c r="AM295" s="1494"/>
      <c r="AN295" s="699"/>
      <c r="AO295" s="695"/>
      <c r="AP295" s="695">
        <f>'HIV-Key Info'!$H$80*(('HIV-Key Info'!$E$80*'HPM costs'!P379)+('HIV-Key Info'!$F$80*('HPM costs'!P382+'HPM costs'!P385)))</f>
        <v>0</v>
      </c>
      <c r="AQ295" s="695"/>
      <c r="AR295" s="695">
        <f>'HIV-Key Info'!$H$80*(('HIV-Key Info'!$E$80*'HPM costs'!Q379)+('HIV-Key Info'!$F$80*('HPM costs'!Q382+'HPM costs'!Q385)))</f>
        <v>0</v>
      </c>
      <c r="AS295" s="695"/>
      <c r="AT295" s="695">
        <f>'HIV-Key Info'!$H$80*(('HIV-Key Info'!$E$80*'HPM costs'!R379)+('HIV-Key Info'!$F$80*('HPM costs'!R382+'HPM costs'!R385)))</f>
        <v>0</v>
      </c>
      <c r="AU295" s="695"/>
      <c r="AV295" s="695">
        <f>'HIV-Key Info'!$H$80*(('HIV-Key Info'!$E$80*'HPM costs'!S379)+('HIV-Key Info'!$F$80*('HPM costs'!S382+'HPM costs'!S385)))</f>
        <v>0</v>
      </c>
      <c r="AW295" s="695"/>
      <c r="AX295" s="1492">
        <f t="shared" si="32"/>
        <v>0</v>
      </c>
      <c r="AY295" s="1492"/>
      <c r="AZ295" s="698"/>
      <c r="BA295" s="699"/>
      <c r="BB295" s="697"/>
      <c r="BC295" s="697">
        <v>0</v>
      </c>
      <c r="BD295" s="697">
        <v>0</v>
      </c>
      <c r="BE295" s="697">
        <v>0</v>
      </c>
      <c r="BF295" s="697">
        <v>0</v>
      </c>
      <c r="BG295" s="697">
        <v>0</v>
      </c>
      <c r="BH295" s="697">
        <v>0</v>
      </c>
      <c r="BI295" s="697">
        <v>0</v>
      </c>
      <c r="BJ295" s="697">
        <v>0</v>
      </c>
      <c r="BK295" s="1492">
        <f t="shared" si="33"/>
        <v>0</v>
      </c>
      <c r="BL295" s="1492"/>
      <c r="BM295" s="1492">
        <f t="shared" si="34"/>
        <v>0</v>
      </c>
      <c r="BN295" s="1492">
        <f t="shared" si="35"/>
        <v>0</v>
      </c>
      <c r="BO295" s="697"/>
      <c r="BP295" s="697"/>
      <c r="BQ295" s="1495" t="s">
        <v>6933</v>
      </c>
      <c r="BR295" s="1495" t="s">
        <v>818</v>
      </c>
      <c r="BS295" s="1902" t="s">
        <v>655</v>
      </c>
      <c r="BT295" s="1907" t="s">
        <v>2014</v>
      </c>
    </row>
    <row r="296" spans="1:72" ht="13">
      <c r="A296" s="1545">
        <v>852</v>
      </c>
      <c r="B296" s="1546" t="s">
        <v>800</v>
      </c>
      <c r="C296" s="1546" t="s">
        <v>802</v>
      </c>
      <c r="D296" s="1547" t="s">
        <v>6868</v>
      </c>
      <c r="E296" s="690" t="s">
        <v>662</v>
      </c>
      <c r="F296" s="691"/>
      <c r="G296" s="692"/>
      <c r="H296" s="692"/>
      <c r="I296" s="692"/>
      <c r="J296" s="693"/>
      <c r="K296" s="693"/>
      <c r="L296" s="693"/>
      <c r="M296" s="694"/>
      <c r="N296" s="695"/>
      <c r="O296" s="696" t="s">
        <v>1569</v>
      </c>
      <c r="P296" s="695">
        <f>'HIV-Key Info'!$H$80*(('HIV-Key Info'!$E$80*'HPM costs'!F465)+('HIV-Key Info'!$F$80*('HPM costs'!F468+'HPM costs'!F471)))</f>
        <v>0</v>
      </c>
      <c r="Q296" s="695" t="s">
        <v>1569</v>
      </c>
      <c r="R296" s="695">
        <f>'HIV-Key Info'!$H$80*(('HIV-Key Info'!$E$80*'HPM costs'!G465)+('HIV-Key Info'!$F$80*('HPM costs'!G468+'HPM costs'!G471)))</f>
        <v>0</v>
      </c>
      <c r="S296" s="695" t="s">
        <v>1569</v>
      </c>
      <c r="T296" s="695">
        <f>'HIV-Key Info'!$H$80*(('HIV-Key Info'!$E$80*'HPM costs'!H465)+('HIV-Key Info'!$F$80*('HPM costs'!H468+'HPM costs'!H471)))</f>
        <v>0</v>
      </c>
      <c r="U296" s="695" t="s">
        <v>1569</v>
      </c>
      <c r="V296" s="695">
        <f>'HIV-Key Info'!$H$80*(('HIV-Key Info'!$E$80*'HPM costs'!I465)+('HIV-Key Info'!$F$80*('HPM costs'!I468+'HPM costs'!I471)))</f>
        <v>0</v>
      </c>
      <c r="W296" s="695"/>
      <c r="X296" s="1492">
        <f t="shared" si="30"/>
        <v>0</v>
      </c>
      <c r="Y296" s="1493"/>
      <c r="Z296" s="1494"/>
      <c r="AA296" s="699"/>
      <c r="AB296" s="695"/>
      <c r="AC296" s="695">
        <f>'HIV-Key Info'!$H$80*(('HIV-Key Info'!$E$80*'HPM costs'!K465)+('HIV-Key Info'!$F$80*('HPM costs'!K468+'HPM costs'!K471)))</f>
        <v>0</v>
      </c>
      <c r="AD296" s="695"/>
      <c r="AE296" s="695">
        <f>'HIV-Key Info'!$H$80*(('HIV-Key Info'!$E$80*'HPM costs'!L465)+('HIV-Key Info'!$F$80*('HPM costs'!L468+'HPM costs'!L471)))</f>
        <v>0</v>
      </c>
      <c r="AF296" s="695"/>
      <c r="AG296" s="695">
        <f>'HIV-Key Info'!$H$80*(('HIV-Key Info'!$E$80*'HPM costs'!M465)+('HIV-Key Info'!$F$80*('HPM costs'!M468+'HPM costs'!M471)))</f>
        <v>0</v>
      </c>
      <c r="AH296" s="695"/>
      <c r="AI296" s="695">
        <f>'HIV-Key Info'!$H$80*(('HIV-Key Info'!$E$80*'HPM costs'!N465)+('HIV-Key Info'!$F$80*('HPM costs'!N468+'HPM costs'!N471)))</f>
        <v>0</v>
      </c>
      <c r="AJ296" s="695"/>
      <c r="AK296" s="1492">
        <f t="shared" si="31"/>
        <v>0</v>
      </c>
      <c r="AL296" s="1493"/>
      <c r="AM296" s="1494"/>
      <c r="AN296" s="699"/>
      <c r="AO296" s="695"/>
      <c r="AP296" s="695">
        <f>'HIV-Key Info'!$H$80*(('HIV-Key Info'!$E$80*'HPM costs'!P465)+('HIV-Key Info'!$F$80*('HPM costs'!P468+'HPM costs'!P471)))</f>
        <v>0</v>
      </c>
      <c r="AQ296" s="695"/>
      <c r="AR296" s="695">
        <f>'HIV-Key Info'!$H$80*(('HIV-Key Info'!$E$80*'HPM costs'!Q465)+('HIV-Key Info'!$F$80*('HPM costs'!Q468+'HPM costs'!Q471)))</f>
        <v>0</v>
      </c>
      <c r="AS296" s="695"/>
      <c r="AT296" s="695">
        <f>'HIV-Key Info'!$H$80*(('HIV-Key Info'!$E$80*'HPM costs'!R465)+('HIV-Key Info'!$F$80*('HPM costs'!R468+'HPM costs'!R471)))</f>
        <v>0</v>
      </c>
      <c r="AU296" s="695"/>
      <c r="AV296" s="695">
        <f>'HIV-Key Info'!$H$80*(('HIV-Key Info'!$E$80*'HPM costs'!S465)+('HIV-Key Info'!$F$80*('HPM costs'!S468+'HPM costs'!S471)))</f>
        <v>0</v>
      </c>
      <c r="AW296" s="695"/>
      <c r="AX296" s="1492">
        <f t="shared" si="32"/>
        <v>0</v>
      </c>
      <c r="AY296" s="1492"/>
      <c r="AZ296" s="698"/>
      <c r="BA296" s="699"/>
      <c r="BB296" s="697"/>
      <c r="BC296" s="697">
        <v>0</v>
      </c>
      <c r="BD296" s="697">
        <v>0</v>
      </c>
      <c r="BE296" s="697">
        <v>0</v>
      </c>
      <c r="BF296" s="697">
        <v>0</v>
      </c>
      <c r="BG296" s="697">
        <v>0</v>
      </c>
      <c r="BH296" s="697">
        <v>0</v>
      </c>
      <c r="BI296" s="697">
        <v>0</v>
      </c>
      <c r="BJ296" s="697">
        <v>0</v>
      </c>
      <c r="BK296" s="1492">
        <f t="shared" si="33"/>
        <v>0</v>
      </c>
      <c r="BL296" s="1492"/>
      <c r="BM296" s="1492">
        <f t="shared" si="34"/>
        <v>0</v>
      </c>
      <c r="BN296" s="1492">
        <f t="shared" si="35"/>
        <v>0</v>
      </c>
      <c r="BO296" s="697"/>
      <c r="BP296" s="697"/>
      <c r="BQ296" s="1495" t="s">
        <v>6933</v>
      </c>
      <c r="BR296" s="1495" t="s">
        <v>818</v>
      </c>
      <c r="BS296" s="1902" t="s">
        <v>655</v>
      </c>
      <c r="BT296" s="1907" t="s">
        <v>2015</v>
      </c>
    </row>
    <row r="297" spans="1:72" ht="13">
      <c r="A297" s="1545">
        <v>853</v>
      </c>
      <c r="B297" s="1546" t="s">
        <v>800</v>
      </c>
      <c r="C297" s="1546" t="s">
        <v>802</v>
      </c>
      <c r="D297" s="1547" t="s">
        <v>6868</v>
      </c>
      <c r="E297" s="690" t="s">
        <v>664</v>
      </c>
      <c r="F297" s="691"/>
      <c r="G297" s="692"/>
      <c r="H297" s="692"/>
      <c r="I297" s="692"/>
      <c r="J297" s="693"/>
      <c r="K297" s="693"/>
      <c r="L297" s="693"/>
      <c r="M297" s="694"/>
      <c r="N297" s="695"/>
      <c r="O297" s="696" t="s">
        <v>1569</v>
      </c>
      <c r="P297" s="695">
        <f>'HIV-Key Info'!$H$80*(('HIV-Key Info'!$E$80*('HPM costs'!F205+'HPM costs'!F551))+('HIV-Key Info'!$F$80*('HPM costs'!F208+'HPM costs'!F211+'HPM costs'!F554+'HPM costs'!F557)))</f>
        <v>0</v>
      </c>
      <c r="Q297" s="695" t="s">
        <v>1569</v>
      </c>
      <c r="R297" s="695">
        <f>'HIV-Key Info'!$H$80*(('HIV-Key Info'!$E$80*('HPM costs'!G205+'HPM costs'!G551))+('HIV-Key Info'!$F$80*('HPM costs'!G208+'HPM costs'!G211+'HPM costs'!G554+'HPM costs'!G557)))</f>
        <v>0</v>
      </c>
      <c r="S297" s="695" t="s">
        <v>1569</v>
      </c>
      <c r="T297" s="695">
        <f>'HIV-Key Info'!$H$80*(('HIV-Key Info'!$E$80*('HPM costs'!H205+'HPM costs'!H551))+('HIV-Key Info'!$F$80*('HPM costs'!H208+'HPM costs'!H211+'HPM costs'!H554+'HPM costs'!H557)))</f>
        <v>0</v>
      </c>
      <c r="U297" s="695" t="s">
        <v>1569</v>
      </c>
      <c r="V297" s="695">
        <f>'HIV-Key Info'!$H$80*(('HIV-Key Info'!$E$80*('HPM costs'!I205+'HPM costs'!I551))+('HIV-Key Info'!$F$80*('HPM costs'!I208+'HPM costs'!I211+'HPM costs'!I554+'HPM costs'!I557)))</f>
        <v>0</v>
      </c>
      <c r="W297" s="695"/>
      <c r="X297" s="1492">
        <f t="shared" si="30"/>
        <v>0</v>
      </c>
      <c r="Y297" s="1493"/>
      <c r="Z297" s="1494"/>
      <c r="AA297" s="699"/>
      <c r="AB297" s="695"/>
      <c r="AC297" s="695">
        <f>'HIV-Key Info'!$H$80*(('HIV-Key Info'!$E$80*('HPM costs'!K205+'HPM costs'!K551))+('HIV-Key Info'!$F$80*('HPM costs'!K208+'HPM costs'!K211+'HPM costs'!K554+'HPM costs'!K557)))</f>
        <v>0</v>
      </c>
      <c r="AD297" s="695"/>
      <c r="AE297" s="695">
        <f>'HIV-Key Info'!$H$80*(('HIV-Key Info'!$E$80*('HPM costs'!L205+'HPM costs'!L551))+('HIV-Key Info'!$F$80*('HPM costs'!L208+'HPM costs'!L211+'HPM costs'!L554+'HPM costs'!L557)))</f>
        <v>0</v>
      </c>
      <c r="AF297" s="695"/>
      <c r="AG297" s="695">
        <f>'HIV-Key Info'!$H$80*(('HIV-Key Info'!$E$80*('HPM costs'!M205+'HPM costs'!M551))+('HIV-Key Info'!$F$80*('HPM costs'!M208+'HPM costs'!M211+'HPM costs'!M554+'HPM costs'!M557)))</f>
        <v>0</v>
      </c>
      <c r="AH297" s="695"/>
      <c r="AI297" s="695">
        <f>'HIV-Key Info'!$H$80*(('HIV-Key Info'!$E$80*('HPM costs'!N205+'HPM costs'!N551))+('HIV-Key Info'!$F$80*('HPM costs'!N208+'HPM costs'!N211+'HPM costs'!N554+'HPM costs'!N557)))</f>
        <v>0</v>
      </c>
      <c r="AJ297" s="695"/>
      <c r="AK297" s="1492">
        <f t="shared" si="31"/>
        <v>0</v>
      </c>
      <c r="AL297" s="1493"/>
      <c r="AM297" s="1494"/>
      <c r="AN297" s="699"/>
      <c r="AO297" s="695"/>
      <c r="AP297" s="695">
        <f>'HIV-Key Info'!$H$80*(('HIV-Key Info'!$E$80*('HPM costs'!P205+'HPM costs'!P551))+('HIV-Key Info'!$F$80*('HPM costs'!P208+'HPM costs'!P211+'HPM costs'!P554+'HPM costs'!P557)))</f>
        <v>0</v>
      </c>
      <c r="AQ297" s="695"/>
      <c r="AR297" s="695">
        <f>'HIV-Key Info'!$H$80*(('HIV-Key Info'!$E$80*('HPM costs'!Q205+'HPM costs'!Q551))+('HIV-Key Info'!$F$80*('HPM costs'!Q208+'HPM costs'!Q211+'HPM costs'!Q554+'HPM costs'!Q557)))</f>
        <v>0</v>
      </c>
      <c r="AS297" s="695"/>
      <c r="AT297" s="695">
        <f>'HIV-Key Info'!$H$80*(('HIV-Key Info'!$E$80*('HPM costs'!R205+'HPM costs'!R551))+('HIV-Key Info'!$F$80*('HPM costs'!R208+'HPM costs'!R211+'HPM costs'!R554+'HPM costs'!R557)))</f>
        <v>0</v>
      </c>
      <c r="AU297" s="695"/>
      <c r="AV297" s="695">
        <f>'HIV-Key Info'!$H$80*(('HIV-Key Info'!$E$80*('HPM costs'!S205+'HPM costs'!S551))+('HIV-Key Info'!$F$80*('HPM costs'!S208+'HPM costs'!S211+'HPM costs'!S554+'HPM costs'!S557)))</f>
        <v>0</v>
      </c>
      <c r="AW297" s="695"/>
      <c r="AX297" s="1492">
        <f t="shared" si="32"/>
        <v>0</v>
      </c>
      <c r="AY297" s="1492"/>
      <c r="AZ297" s="698"/>
      <c r="BA297" s="699"/>
      <c r="BB297" s="697"/>
      <c r="BC297" s="697">
        <v>0</v>
      </c>
      <c r="BD297" s="697">
        <v>0</v>
      </c>
      <c r="BE297" s="697">
        <v>0</v>
      </c>
      <c r="BF297" s="697">
        <v>0</v>
      </c>
      <c r="BG297" s="697">
        <v>0</v>
      </c>
      <c r="BH297" s="697">
        <v>0</v>
      </c>
      <c r="BI297" s="697">
        <v>0</v>
      </c>
      <c r="BJ297" s="697">
        <v>0</v>
      </c>
      <c r="BK297" s="1492">
        <f t="shared" si="33"/>
        <v>0</v>
      </c>
      <c r="BL297" s="1492"/>
      <c r="BM297" s="1492">
        <f t="shared" si="34"/>
        <v>0</v>
      </c>
      <c r="BN297" s="1492">
        <f t="shared" si="35"/>
        <v>0</v>
      </c>
      <c r="BO297" s="697"/>
      <c r="BP297" s="697"/>
      <c r="BQ297" s="1495" t="s">
        <v>6933</v>
      </c>
      <c r="BR297" s="1495" t="s">
        <v>818</v>
      </c>
      <c r="BS297" s="1902" t="s">
        <v>655</v>
      </c>
      <c r="BT297" s="1907" t="s">
        <v>2016</v>
      </c>
    </row>
    <row r="298" spans="1:72" ht="13">
      <c r="A298" s="1545">
        <v>854</v>
      </c>
      <c r="B298" s="1546" t="s">
        <v>800</v>
      </c>
      <c r="C298" s="1546" t="s">
        <v>802</v>
      </c>
      <c r="D298" s="1547" t="s">
        <v>6868</v>
      </c>
      <c r="E298" s="690" t="s">
        <v>666</v>
      </c>
      <c r="F298" s="691"/>
      <c r="G298" s="692"/>
      <c r="H298" s="692"/>
      <c r="I298" s="692"/>
      <c r="J298" s="693"/>
      <c r="K298" s="693"/>
      <c r="L298" s="693"/>
      <c r="M298" s="694"/>
      <c r="N298" s="695"/>
      <c r="O298" s="696" t="s">
        <v>1569</v>
      </c>
      <c r="P298" s="695">
        <f>'HIV-Key Info'!$H$80*(('HIV-Key Info'!$E$80*'HPM costs'!F291)+('HIV-Key Info'!$F$80*('HPM costs'!F294+'HPM costs'!F297)))</f>
        <v>0</v>
      </c>
      <c r="Q298" s="695" t="s">
        <v>1569</v>
      </c>
      <c r="R298" s="695">
        <f>'HIV-Key Info'!$H$80*(('HIV-Key Info'!$E$80*'HPM costs'!G291)+('HIV-Key Info'!$F$80*('HPM costs'!G294+'HPM costs'!G297)))</f>
        <v>0</v>
      </c>
      <c r="S298" s="695" t="s">
        <v>1569</v>
      </c>
      <c r="T298" s="695">
        <f>'HIV-Key Info'!$H$80*(('HIV-Key Info'!$E$80*'HPM costs'!H291)+('HIV-Key Info'!$F$80*('HPM costs'!H294+'HPM costs'!H297)))</f>
        <v>0</v>
      </c>
      <c r="U298" s="695" t="s">
        <v>1569</v>
      </c>
      <c r="V298" s="695">
        <f>'HIV-Key Info'!$H$80*(('HIV-Key Info'!$E$80*'HPM costs'!I291)+('HIV-Key Info'!$F$80*('HPM costs'!I294+'HPM costs'!I297)))</f>
        <v>0</v>
      </c>
      <c r="W298" s="695"/>
      <c r="X298" s="1492">
        <f t="shared" si="30"/>
        <v>0</v>
      </c>
      <c r="Y298" s="1493"/>
      <c r="Z298" s="1494"/>
      <c r="AA298" s="699"/>
      <c r="AB298" s="695"/>
      <c r="AC298" s="695">
        <f>'HIV-Key Info'!$H$80*(('HIV-Key Info'!$E$80*'HPM costs'!K291)+('HIV-Key Info'!$F$80*('HPM costs'!K294+'HPM costs'!K297)))</f>
        <v>0</v>
      </c>
      <c r="AD298" s="695"/>
      <c r="AE298" s="695">
        <f>'HIV-Key Info'!$H$80*(('HIV-Key Info'!$E$80*'HPM costs'!L291)+('HIV-Key Info'!$F$80*('HPM costs'!L294+'HPM costs'!L297)))</f>
        <v>0</v>
      </c>
      <c r="AF298" s="695"/>
      <c r="AG298" s="695">
        <f>'HIV-Key Info'!$H$80*(('HIV-Key Info'!$E$80*'HPM costs'!M291)+('HIV-Key Info'!$F$80*('HPM costs'!M294+'HPM costs'!M297)))</f>
        <v>0</v>
      </c>
      <c r="AH298" s="695"/>
      <c r="AI298" s="695">
        <f>'HIV-Key Info'!$H$80*(('HIV-Key Info'!$E$80*'HPM costs'!N291)+('HIV-Key Info'!$F$80*('HPM costs'!N294+'HPM costs'!N297)))</f>
        <v>0</v>
      </c>
      <c r="AJ298" s="695"/>
      <c r="AK298" s="1492">
        <f t="shared" si="31"/>
        <v>0</v>
      </c>
      <c r="AL298" s="1493"/>
      <c r="AM298" s="1494"/>
      <c r="AN298" s="699"/>
      <c r="AO298" s="695"/>
      <c r="AP298" s="695">
        <f>'HIV-Key Info'!$H$80*(('HIV-Key Info'!$E$80*'HPM costs'!P291)+('HIV-Key Info'!$F$80*('HPM costs'!P294+'HPM costs'!P297)))</f>
        <v>0</v>
      </c>
      <c r="AQ298" s="695"/>
      <c r="AR298" s="695">
        <f>'HIV-Key Info'!$H$80*(('HIV-Key Info'!$E$80*'HPM costs'!Q291)+('HIV-Key Info'!$F$80*('HPM costs'!Q294+'HPM costs'!Q297)))</f>
        <v>0</v>
      </c>
      <c r="AS298" s="695"/>
      <c r="AT298" s="695">
        <f>'HIV-Key Info'!$H$80*(('HIV-Key Info'!$E$80*'HPM costs'!R291)+('HIV-Key Info'!$F$80*('HPM costs'!R294+'HPM costs'!R297)))</f>
        <v>0</v>
      </c>
      <c r="AU298" s="695"/>
      <c r="AV298" s="695">
        <f>'HIV-Key Info'!$H$80*(('HIV-Key Info'!$E$80*'HPM costs'!S291)+('HIV-Key Info'!$F$80*('HPM costs'!S294+'HPM costs'!S297)))</f>
        <v>0</v>
      </c>
      <c r="AW298" s="695"/>
      <c r="AX298" s="1492">
        <f t="shared" si="32"/>
        <v>0</v>
      </c>
      <c r="AY298" s="1492"/>
      <c r="AZ298" s="698"/>
      <c r="BA298" s="699"/>
      <c r="BB298" s="697"/>
      <c r="BC298" s="697">
        <v>0</v>
      </c>
      <c r="BD298" s="697">
        <v>0</v>
      </c>
      <c r="BE298" s="697">
        <v>0</v>
      </c>
      <c r="BF298" s="697">
        <v>0</v>
      </c>
      <c r="BG298" s="697">
        <v>0</v>
      </c>
      <c r="BH298" s="697">
        <v>0</v>
      </c>
      <c r="BI298" s="697">
        <v>0</v>
      </c>
      <c r="BJ298" s="697">
        <v>0</v>
      </c>
      <c r="BK298" s="1492">
        <f t="shared" si="33"/>
        <v>0</v>
      </c>
      <c r="BL298" s="1492"/>
      <c r="BM298" s="1492">
        <f t="shared" si="34"/>
        <v>0</v>
      </c>
      <c r="BN298" s="1492">
        <f t="shared" si="35"/>
        <v>0</v>
      </c>
      <c r="BO298" s="697"/>
      <c r="BP298" s="697"/>
      <c r="BQ298" s="1495" t="s">
        <v>6933</v>
      </c>
      <c r="BR298" s="1495" t="s">
        <v>818</v>
      </c>
      <c r="BS298" s="1902" t="s">
        <v>655</v>
      </c>
      <c r="BT298" s="1907" t="s">
        <v>2017</v>
      </c>
    </row>
    <row r="299" spans="1:72" ht="13">
      <c r="A299" s="1545">
        <v>855</v>
      </c>
      <c r="B299" s="1546" t="s">
        <v>800</v>
      </c>
      <c r="C299" s="1546" t="s">
        <v>802</v>
      </c>
      <c r="D299" s="1547" t="s">
        <v>6868</v>
      </c>
      <c r="E299" s="690" t="s">
        <v>668</v>
      </c>
      <c r="F299" s="691"/>
      <c r="G299" s="692"/>
      <c r="H299" s="692"/>
      <c r="I299" s="692"/>
      <c r="J299" s="693"/>
      <c r="K299" s="693"/>
      <c r="L299" s="693"/>
      <c r="M299" s="694"/>
      <c r="N299" s="695"/>
      <c r="O299" s="696" t="s">
        <v>1569</v>
      </c>
      <c r="P299" s="695">
        <f>'HIV-Key Info'!$H$80*(('HIV-Key Info'!$E$80*'HPM costs'!F636)+('HIV-Key Info'!$F$80*('HPM costs'!F639+'HPM costs'!F642)))</f>
        <v>0</v>
      </c>
      <c r="Q299" s="695" t="s">
        <v>1569</v>
      </c>
      <c r="R299" s="695">
        <f>'HIV-Key Info'!$H$80*(('HIV-Key Info'!$E$80*'HPM costs'!G636)+('HIV-Key Info'!$F$80*('HPM costs'!G639+'HPM costs'!G642)))</f>
        <v>0</v>
      </c>
      <c r="S299" s="695" t="s">
        <v>1569</v>
      </c>
      <c r="T299" s="695">
        <f>'HIV-Key Info'!$H$80*(('HIV-Key Info'!$E$80*'HPM costs'!H636)+('HIV-Key Info'!$F$80*('HPM costs'!H639+'HPM costs'!H642)))</f>
        <v>0</v>
      </c>
      <c r="U299" s="695" t="s">
        <v>1569</v>
      </c>
      <c r="V299" s="695">
        <f>'HIV-Key Info'!$H$80*(('HIV-Key Info'!$E$80*'HPM costs'!I636)+('HIV-Key Info'!$F$80*('HPM costs'!I639+'HPM costs'!I642)))</f>
        <v>0</v>
      </c>
      <c r="W299" s="695"/>
      <c r="X299" s="1492">
        <f t="shared" si="30"/>
        <v>0</v>
      </c>
      <c r="Y299" s="1493"/>
      <c r="Z299" s="1494"/>
      <c r="AA299" s="699"/>
      <c r="AB299" s="695"/>
      <c r="AC299" s="695">
        <f>'HIV-Key Info'!$H$80*(('HIV-Key Info'!$E$80*'HPM costs'!K636)+('HIV-Key Info'!$F$80*('HPM costs'!K639+'HPM costs'!K642)))</f>
        <v>0</v>
      </c>
      <c r="AD299" s="695"/>
      <c r="AE299" s="695">
        <f>'HIV-Key Info'!$H$80*(('HIV-Key Info'!$E$80*'HPM costs'!L636)+('HIV-Key Info'!$F$80*('HPM costs'!L639+'HPM costs'!L642)))</f>
        <v>0</v>
      </c>
      <c r="AF299" s="695"/>
      <c r="AG299" s="695">
        <f>'HIV-Key Info'!$H$80*(('HIV-Key Info'!$E$80*'HPM costs'!M636)+('HIV-Key Info'!$F$80*('HPM costs'!M639+'HPM costs'!M642)))</f>
        <v>0</v>
      </c>
      <c r="AH299" s="695"/>
      <c r="AI299" s="695">
        <f>'HIV-Key Info'!$H$80*(('HIV-Key Info'!$E$80*'HPM costs'!N636)+('HIV-Key Info'!$F$80*('HPM costs'!N639+'HPM costs'!N642)))</f>
        <v>0</v>
      </c>
      <c r="AJ299" s="695"/>
      <c r="AK299" s="1492">
        <f t="shared" si="31"/>
        <v>0</v>
      </c>
      <c r="AL299" s="1493"/>
      <c r="AM299" s="1494"/>
      <c r="AN299" s="699"/>
      <c r="AO299" s="695"/>
      <c r="AP299" s="695">
        <f>'HIV-Key Info'!$H$80*(('HIV-Key Info'!$E$80*'HPM costs'!P636)+('HIV-Key Info'!$F$80*('HPM costs'!P639+'HPM costs'!P642)))</f>
        <v>0</v>
      </c>
      <c r="AQ299" s="695"/>
      <c r="AR299" s="695">
        <f>'HIV-Key Info'!$H$80*(('HIV-Key Info'!$E$80*'HPM costs'!Q636)+('HIV-Key Info'!$F$80*('HPM costs'!Q639+'HPM costs'!Q642)))</f>
        <v>0</v>
      </c>
      <c r="AS299" s="695"/>
      <c r="AT299" s="695">
        <f>'HIV-Key Info'!$H$80*(('HIV-Key Info'!$E$80*'HPM costs'!R636)+('HIV-Key Info'!$F$80*('HPM costs'!R639+'HPM costs'!R642)))</f>
        <v>0</v>
      </c>
      <c r="AU299" s="695"/>
      <c r="AV299" s="695">
        <f>'HIV-Key Info'!$H$80*(('HIV-Key Info'!$E$80*'HPM costs'!S636)+('HIV-Key Info'!$F$80*('HPM costs'!S639+'HPM costs'!S642)))</f>
        <v>0</v>
      </c>
      <c r="AW299" s="695"/>
      <c r="AX299" s="1492">
        <f t="shared" si="32"/>
        <v>0</v>
      </c>
      <c r="AY299" s="1492"/>
      <c r="AZ299" s="698"/>
      <c r="BA299" s="699"/>
      <c r="BB299" s="697"/>
      <c r="BC299" s="697">
        <v>0</v>
      </c>
      <c r="BD299" s="697">
        <v>0</v>
      </c>
      <c r="BE299" s="697">
        <v>0</v>
      </c>
      <c r="BF299" s="697">
        <v>0</v>
      </c>
      <c r="BG299" s="697">
        <v>0</v>
      </c>
      <c r="BH299" s="697">
        <v>0</v>
      </c>
      <c r="BI299" s="697">
        <v>0</v>
      </c>
      <c r="BJ299" s="697">
        <v>0</v>
      </c>
      <c r="BK299" s="1492">
        <f t="shared" si="33"/>
        <v>0</v>
      </c>
      <c r="BL299" s="1492"/>
      <c r="BM299" s="1492">
        <f t="shared" si="34"/>
        <v>0</v>
      </c>
      <c r="BN299" s="1492">
        <f t="shared" si="35"/>
        <v>0</v>
      </c>
      <c r="BO299" s="697"/>
      <c r="BP299" s="697"/>
      <c r="BQ299" s="1495" t="s">
        <v>6933</v>
      </c>
      <c r="BR299" s="1495" t="s">
        <v>818</v>
      </c>
      <c r="BS299" s="1902" t="s">
        <v>655</v>
      </c>
      <c r="BT299" s="1907" t="s">
        <v>2018</v>
      </c>
    </row>
    <row r="300" spans="1:72" ht="13">
      <c r="A300" s="1545">
        <v>856</v>
      </c>
      <c r="B300" s="1546" t="s">
        <v>800</v>
      </c>
      <c r="C300" s="1546" t="s">
        <v>803</v>
      </c>
      <c r="D300" s="1547" t="s">
        <v>6954</v>
      </c>
      <c r="E300" s="690" t="s">
        <v>731</v>
      </c>
      <c r="F300" s="691"/>
      <c r="G300" s="692"/>
      <c r="H300" s="692"/>
      <c r="I300" s="692"/>
      <c r="J300" s="693"/>
      <c r="K300" s="693"/>
      <c r="L300" s="693"/>
      <c r="M300" s="694"/>
      <c r="N300" s="695"/>
      <c r="O300" s="696" t="s">
        <v>1569</v>
      </c>
      <c r="P300" s="695">
        <f>'HIV-Key Info'!$I$80*('HIV-Key Info'!$E$80*('HPM costs'!F551/'HPM costs'!$E$551)+'HIV-Key Info'!$F$80*('HPM costs'!F557/'HPM costs'!$E$557+'HPM costs'!F554/'HPM costs'!$E$554))</f>
        <v>0</v>
      </c>
      <c r="Q300" s="695" t="s">
        <v>1569</v>
      </c>
      <c r="R300" s="695">
        <f>'HIV-Key Info'!$I$80*('HIV-Key Info'!$E$80*('HPM costs'!G551/'HPM costs'!$E$551)+'HIV-Key Info'!$F$80*('HPM costs'!G557/'HPM costs'!$E$557+'HPM costs'!G554/'HPM costs'!$E$554))</f>
        <v>0</v>
      </c>
      <c r="S300" s="695" t="s">
        <v>1569</v>
      </c>
      <c r="T300" s="695">
        <f>'HIV-Key Info'!$I$80*('HIV-Key Info'!$E$80*('HPM costs'!H551/'HPM costs'!$E$551)+'HIV-Key Info'!$F$80*('HPM costs'!H557/'HPM costs'!$E$557+'HPM costs'!H554/'HPM costs'!$E$554))</f>
        <v>0</v>
      </c>
      <c r="U300" s="695" t="s">
        <v>1569</v>
      </c>
      <c r="V300" s="695">
        <f>'HIV-Key Info'!$I$80*('HIV-Key Info'!$E$80*('HPM costs'!I551/'HPM costs'!$E$551)+'HIV-Key Info'!$F$80*('HPM costs'!I557/'HPM costs'!$E$557+'HPM costs'!I554/'HPM costs'!$E$554))</f>
        <v>0</v>
      </c>
      <c r="W300" s="695"/>
      <c r="X300" s="1492">
        <f t="shared" si="30"/>
        <v>0</v>
      </c>
      <c r="Y300" s="1493"/>
      <c r="Z300" s="1494"/>
      <c r="AA300" s="699"/>
      <c r="AB300" s="695"/>
      <c r="AC300" s="695">
        <f>'HIV-Key Info'!$I$80*('HIV-Key Info'!$E$80*('HPM costs'!K551/'HPM costs'!$E$551)+'HIV-Key Info'!$F$80*('HPM costs'!K557/'HPM costs'!$E$557+'HPM costs'!K554/'HPM costs'!$E$554))</f>
        <v>0</v>
      </c>
      <c r="AD300" s="695"/>
      <c r="AE300" s="695">
        <f>'HIV-Key Info'!$I$80*('HIV-Key Info'!$E$80*('HPM costs'!L551/'HPM costs'!$E$551)+'HIV-Key Info'!$F$80*('HPM costs'!L557/'HPM costs'!$E$557+'HPM costs'!L554/'HPM costs'!$E$554))</f>
        <v>0</v>
      </c>
      <c r="AF300" s="695"/>
      <c r="AG300" s="695">
        <f>'HIV-Key Info'!$I$80*('HIV-Key Info'!$E$80*('HPM costs'!M551/'HPM costs'!$E$551)+'HIV-Key Info'!$F$80*('HPM costs'!M557/'HPM costs'!$E$557+'HPM costs'!M554/'HPM costs'!$E$554))</f>
        <v>0</v>
      </c>
      <c r="AH300" s="695"/>
      <c r="AI300" s="695">
        <f>'HIV-Key Info'!$I$80*('HIV-Key Info'!$E$80*('HPM costs'!N551/'HPM costs'!$E$551)+'HIV-Key Info'!$F$80*('HPM costs'!N557/'HPM costs'!$E$557+'HPM costs'!N554/'HPM costs'!$E$554))</f>
        <v>0</v>
      </c>
      <c r="AJ300" s="695"/>
      <c r="AK300" s="1492">
        <f t="shared" si="31"/>
        <v>0</v>
      </c>
      <c r="AL300" s="1493"/>
      <c r="AM300" s="1494"/>
      <c r="AN300" s="699"/>
      <c r="AO300" s="695"/>
      <c r="AP300" s="695">
        <f>'HIV-Key Info'!$I$80*('HIV-Key Info'!$E$80*('HPM costs'!P551/'HPM costs'!$E$551)+'HIV-Key Info'!$F$80*('HPM costs'!P557/'HPM costs'!$E$557+'HPM costs'!P554/'HPM costs'!$E$554))</f>
        <v>0</v>
      </c>
      <c r="AQ300" s="695"/>
      <c r="AR300" s="695">
        <f>'HIV-Key Info'!$I$80*('HIV-Key Info'!$E$80*('HPM costs'!Q551/'HPM costs'!$E$551)+'HIV-Key Info'!$F$80*('HPM costs'!Q557/'HPM costs'!$E$557+'HPM costs'!Q554/'HPM costs'!$E$554))</f>
        <v>0</v>
      </c>
      <c r="AS300" s="695"/>
      <c r="AT300" s="695">
        <f>'HIV-Key Info'!$I$80*('HIV-Key Info'!$E$80*('HPM costs'!R551/'HPM costs'!$E$551)+'HIV-Key Info'!$F$80*('HPM costs'!R557/'HPM costs'!$E$557+'HPM costs'!R554/'HPM costs'!$E$554))</f>
        <v>0</v>
      </c>
      <c r="AU300" s="695"/>
      <c r="AV300" s="695">
        <f>'HIV-Key Info'!$I$80*('HIV-Key Info'!$E$80*('HPM costs'!S551/'HPM costs'!$E$551)+'HIV-Key Info'!$F$80*('HPM costs'!S557/'HPM costs'!$E$557+'HPM costs'!S554/'HPM costs'!$E$554))</f>
        <v>0</v>
      </c>
      <c r="AW300" s="695"/>
      <c r="AX300" s="1492">
        <f t="shared" si="32"/>
        <v>0</v>
      </c>
      <c r="AY300" s="1492"/>
      <c r="AZ300" s="698"/>
      <c r="BA300" s="699"/>
      <c r="BB300" s="697"/>
      <c r="BC300" s="697">
        <v>0</v>
      </c>
      <c r="BD300" s="697">
        <v>0</v>
      </c>
      <c r="BE300" s="697">
        <v>0</v>
      </c>
      <c r="BF300" s="697">
        <v>0</v>
      </c>
      <c r="BG300" s="697">
        <v>0</v>
      </c>
      <c r="BH300" s="697">
        <v>0</v>
      </c>
      <c r="BI300" s="697">
        <v>0</v>
      </c>
      <c r="BJ300" s="697">
        <v>0</v>
      </c>
      <c r="BK300" s="1492">
        <f t="shared" si="33"/>
        <v>0</v>
      </c>
      <c r="BL300" s="1492"/>
      <c r="BM300" s="1492">
        <f t="shared" si="34"/>
        <v>0</v>
      </c>
      <c r="BN300" s="1492">
        <f t="shared" si="35"/>
        <v>0</v>
      </c>
      <c r="BO300" s="697"/>
      <c r="BP300" s="697"/>
      <c r="BQ300" s="1495" t="s">
        <v>6933</v>
      </c>
      <c r="BR300" s="1495" t="s">
        <v>818</v>
      </c>
      <c r="BS300" s="1902" t="s">
        <v>6953</v>
      </c>
      <c r="BT300" s="1907" t="s">
        <v>2019</v>
      </c>
    </row>
    <row r="301" spans="1:72" ht="13">
      <c r="A301" s="1545">
        <v>857</v>
      </c>
      <c r="B301" s="1546" t="s">
        <v>800</v>
      </c>
      <c r="C301" s="1546" t="s">
        <v>803</v>
      </c>
      <c r="D301" s="1547" t="s">
        <v>6868</v>
      </c>
      <c r="E301" s="690" t="s">
        <v>656</v>
      </c>
      <c r="F301" s="691"/>
      <c r="G301" s="692"/>
      <c r="H301" s="692"/>
      <c r="I301" s="692"/>
      <c r="J301" s="693"/>
      <c r="K301" s="693"/>
      <c r="L301" s="693"/>
      <c r="M301" s="694"/>
      <c r="N301" s="695"/>
      <c r="O301" s="696" t="s">
        <v>1569</v>
      </c>
      <c r="P301" s="695">
        <f>'HIV-Key Info'!$I$80*(('HIV-Key Info'!$E$80*'HPM costs'!F33)+('HIV-Key Info'!$F$80*('HPM costs'!F36+'HPM costs'!F39)))</f>
        <v>0</v>
      </c>
      <c r="Q301" s="695" t="s">
        <v>1569</v>
      </c>
      <c r="R301" s="695">
        <f>'HIV-Key Info'!$I$80*(('HIV-Key Info'!$E$80*'HPM costs'!G33)+('HIV-Key Info'!$F$80*('HPM costs'!G36+'HPM costs'!G39)))</f>
        <v>0</v>
      </c>
      <c r="S301" s="695" t="s">
        <v>1569</v>
      </c>
      <c r="T301" s="695">
        <f>'HIV-Key Info'!$I$80*(('HIV-Key Info'!$E$80*'HPM costs'!H33)+('HIV-Key Info'!$F$80*('HPM costs'!H36+'HPM costs'!H39)))</f>
        <v>0</v>
      </c>
      <c r="U301" s="695" t="s">
        <v>1569</v>
      </c>
      <c r="V301" s="695">
        <f>'HIV-Key Info'!$I$80*(('HIV-Key Info'!$E$80*'HPM costs'!I33)+('HIV-Key Info'!$F$80*('HPM costs'!I36+'HPM costs'!I39)))</f>
        <v>0</v>
      </c>
      <c r="W301" s="695"/>
      <c r="X301" s="1492">
        <f t="shared" si="30"/>
        <v>0</v>
      </c>
      <c r="Y301" s="1493"/>
      <c r="Z301" s="1494"/>
      <c r="AA301" s="699"/>
      <c r="AB301" s="695"/>
      <c r="AC301" s="695">
        <f>'HIV-Key Info'!$I$80*(('HIV-Key Info'!$E$80*'HPM costs'!K33)+('HIV-Key Info'!$F$80*('HPM costs'!K36+'HPM costs'!K39)))</f>
        <v>0</v>
      </c>
      <c r="AD301" s="695"/>
      <c r="AE301" s="695">
        <f>'HIV-Key Info'!$I$80*(('HIV-Key Info'!$E$80*'HPM costs'!L33)+('HIV-Key Info'!$F$80*('HPM costs'!L36+'HPM costs'!L39)))</f>
        <v>0</v>
      </c>
      <c r="AF301" s="695"/>
      <c r="AG301" s="695">
        <f>'HIV-Key Info'!$I$80*(('HIV-Key Info'!$E$80*'HPM costs'!M33)+('HIV-Key Info'!$F$80*('HPM costs'!M36+'HPM costs'!M39)))</f>
        <v>0</v>
      </c>
      <c r="AH301" s="695"/>
      <c r="AI301" s="695">
        <f>'HIV-Key Info'!$I$80*(('HIV-Key Info'!$E$80*'HPM costs'!N33)+('HIV-Key Info'!$F$80*('HPM costs'!N36+'HPM costs'!N39)))</f>
        <v>0</v>
      </c>
      <c r="AJ301" s="695"/>
      <c r="AK301" s="1492">
        <f t="shared" si="31"/>
        <v>0</v>
      </c>
      <c r="AL301" s="1493"/>
      <c r="AM301" s="1494"/>
      <c r="AN301" s="699"/>
      <c r="AO301" s="695"/>
      <c r="AP301" s="695">
        <f>'HIV-Key Info'!$I$80*(('HIV-Key Info'!$E$80*'HPM costs'!P33)+('HIV-Key Info'!$F$80*('HPM costs'!P36+'HPM costs'!P39)))</f>
        <v>0</v>
      </c>
      <c r="AQ301" s="695"/>
      <c r="AR301" s="695">
        <f>'HIV-Key Info'!$I$80*(('HIV-Key Info'!$E$80*'HPM costs'!Q33)+('HIV-Key Info'!$F$80*('HPM costs'!Q36+'HPM costs'!Q39)))</f>
        <v>0</v>
      </c>
      <c r="AS301" s="695"/>
      <c r="AT301" s="695">
        <f>'HIV-Key Info'!$I$80*(('HIV-Key Info'!$E$80*'HPM costs'!R33)+('HIV-Key Info'!$F$80*('HPM costs'!R36+'HPM costs'!R39)))</f>
        <v>0</v>
      </c>
      <c r="AU301" s="695"/>
      <c r="AV301" s="695">
        <f>'HIV-Key Info'!$I$80*(('HIV-Key Info'!$E$80*'HPM costs'!S33)+('HIV-Key Info'!$F$80*('HPM costs'!S36+'HPM costs'!S39)))</f>
        <v>0</v>
      </c>
      <c r="AW301" s="695"/>
      <c r="AX301" s="1492">
        <f t="shared" si="32"/>
        <v>0</v>
      </c>
      <c r="AY301" s="1492"/>
      <c r="AZ301" s="698"/>
      <c r="BA301" s="699"/>
      <c r="BB301" s="697"/>
      <c r="BC301" s="697">
        <v>0</v>
      </c>
      <c r="BD301" s="697">
        <v>0</v>
      </c>
      <c r="BE301" s="697">
        <v>0</v>
      </c>
      <c r="BF301" s="697">
        <v>0</v>
      </c>
      <c r="BG301" s="697">
        <v>0</v>
      </c>
      <c r="BH301" s="697">
        <v>0</v>
      </c>
      <c r="BI301" s="697">
        <v>0</v>
      </c>
      <c r="BJ301" s="697">
        <v>0</v>
      </c>
      <c r="BK301" s="1492">
        <f t="shared" si="33"/>
        <v>0</v>
      </c>
      <c r="BL301" s="1492"/>
      <c r="BM301" s="1492">
        <f t="shared" si="34"/>
        <v>0</v>
      </c>
      <c r="BN301" s="1492">
        <f t="shared" si="35"/>
        <v>0</v>
      </c>
      <c r="BO301" s="697"/>
      <c r="BP301" s="697"/>
      <c r="BQ301" s="1495" t="s">
        <v>6933</v>
      </c>
      <c r="BR301" s="1495" t="s">
        <v>818</v>
      </c>
      <c r="BS301" s="1902" t="s">
        <v>655</v>
      </c>
      <c r="BT301" s="1907" t="s">
        <v>2020</v>
      </c>
    </row>
    <row r="302" spans="1:72" ht="13">
      <c r="A302" s="1545">
        <v>858</v>
      </c>
      <c r="B302" s="1546" t="s">
        <v>800</v>
      </c>
      <c r="C302" s="1546" t="s">
        <v>803</v>
      </c>
      <c r="D302" s="1547" t="s">
        <v>6868</v>
      </c>
      <c r="E302" s="690" t="s">
        <v>658</v>
      </c>
      <c r="F302" s="691"/>
      <c r="G302" s="692"/>
      <c r="H302" s="692"/>
      <c r="I302" s="692"/>
      <c r="J302" s="693"/>
      <c r="K302" s="693"/>
      <c r="L302" s="693"/>
      <c r="M302" s="694"/>
      <c r="N302" s="695"/>
      <c r="O302" s="696" t="s">
        <v>1569</v>
      </c>
      <c r="P302" s="695">
        <f>'HIV-Key Info'!$I$80*(('HIV-Key Info'!$E$80*'HPM costs'!F119)+('HIV-Key Info'!$F$80*('HPM costs'!F122+'HPM costs'!F125)))</f>
        <v>0</v>
      </c>
      <c r="Q302" s="695" t="s">
        <v>1569</v>
      </c>
      <c r="R302" s="695">
        <f>'HIV-Key Info'!$I$80*(('HIV-Key Info'!$E$80*'HPM costs'!G119)+('HIV-Key Info'!$F$80*('HPM costs'!G122+'HPM costs'!G125)))</f>
        <v>0</v>
      </c>
      <c r="S302" s="695" t="s">
        <v>1569</v>
      </c>
      <c r="T302" s="695">
        <f>'HIV-Key Info'!$I$80*(('HIV-Key Info'!$E$80*'HPM costs'!H119)+('HIV-Key Info'!$F$80*('HPM costs'!H122+'HPM costs'!H125)))</f>
        <v>0</v>
      </c>
      <c r="U302" s="695" t="s">
        <v>1569</v>
      </c>
      <c r="V302" s="695">
        <f>'HIV-Key Info'!$I$80*(('HIV-Key Info'!$E$80*'HPM costs'!I119)+('HIV-Key Info'!$F$80*('HPM costs'!I122+'HPM costs'!I125)))</f>
        <v>0</v>
      </c>
      <c r="W302" s="695"/>
      <c r="X302" s="1492">
        <f t="shared" si="30"/>
        <v>0</v>
      </c>
      <c r="Y302" s="1493"/>
      <c r="Z302" s="1494"/>
      <c r="AA302" s="699"/>
      <c r="AB302" s="695"/>
      <c r="AC302" s="695">
        <f>'HIV-Key Info'!$I$80*(('HIV-Key Info'!$E$80*'HPM costs'!K119)+('HIV-Key Info'!$F$80*('HPM costs'!K122+'HPM costs'!K125)))</f>
        <v>0</v>
      </c>
      <c r="AD302" s="695"/>
      <c r="AE302" s="695">
        <f>'HIV-Key Info'!$I$80*(('HIV-Key Info'!$E$80*'HPM costs'!L119)+('HIV-Key Info'!$F$80*('HPM costs'!L122+'HPM costs'!L125)))</f>
        <v>0</v>
      </c>
      <c r="AF302" s="695"/>
      <c r="AG302" s="695">
        <f>'HIV-Key Info'!$I$80*(('HIV-Key Info'!$E$80*'HPM costs'!M119)+('HIV-Key Info'!$F$80*('HPM costs'!M122+'HPM costs'!M125)))</f>
        <v>0</v>
      </c>
      <c r="AH302" s="695"/>
      <c r="AI302" s="695">
        <f>'HIV-Key Info'!$I$80*(('HIV-Key Info'!$E$80*'HPM costs'!N119)+('HIV-Key Info'!$F$80*('HPM costs'!N122+'HPM costs'!N125)))</f>
        <v>0</v>
      </c>
      <c r="AJ302" s="695"/>
      <c r="AK302" s="1492">
        <f t="shared" si="31"/>
        <v>0</v>
      </c>
      <c r="AL302" s="1493"/>
      <c r="AM302" s="1494"/>
      <c r="AN302" s="699"/>
      <c r="AO302" s="695"/>
      <c r="AP302" s="695">
        <f>'HIV-Key Info'!$I$80*(('HIV-Key Info'!$E$80*'HPM costs'!P119)+('HIV-Key Info'!$F$80*('HPM costs'!P122+'HPM costs'!P125)))</f>
        <v>0</v>
      </c>
      <c r="AQ302" s="695"/>
      <c r="AR302" s="695">
        <f>'HIV-Key Info'!$I$80*(('HIV-Key Info'!$E$80*'HPM costs'!Q119)+('HIV-Key Info'!$F$80*('HPM costs'!Q122+'HPM costs'!Q125)))</f>
        <v>0</v>
      </c>
      <c r="AS302" s="695"/>
      <c r="AT302" s="695">
        <f>'HIV-Key Info'!$I$80*(('HIV-Key Info'!$E$80*'HPM costs'!R119)+('HIV-Key Info'!$F$80*('HPM costs'!R122+'HPM costs'!R125)))</f>
        <v>0</v>
      </c>
      <c r="AU302" s="695"/>
      <c r="AV302" s="695">
        <f>'HIV-Key Info'!$I$80*(('HIV-Key Info'!$E$80*'HPM costs'!S119)+('HIV-Key Info'!$F$80*('HPM costs'!S122+'HPM costs'!S125)))</f>
        <v>0</v>
      </c>
      <c r="AW302" s="695"/>
      <c r="AX302" s="1492">
        <f t="shared" si="32"/>
        <v>0</v>
      </c>
      <c r="AY302" s="1492"/>
      <c r="AZ302" s="698"/>
      <c r="BA302" s="699"/>
      <c r="BB302" s="697"/>
      <c r="BC302" s="697">
        <v>0</v>
      </c>
      <c r="BD302" s="697">
        <v>0</v>
      </c>
      <c r="BE302" s="697">
        <v>0</v>
      </c>
      <c r="BF302" s="697">
        <v>0</v>
      </c>
      <c r="BG302" s="697">
        <v>0</v>
      </c>
      <c r="BH302" s="697">
        <v>0</v>
      </c>
      <c r="BI302" s="697">
        <v>0</v>
      </c>
      <c r="BJ302" s="697">
        <v>0</v>
      </c>
      <c r="BK302" s="1492">
        <f t="shared" si="33"/>
        <v>0</v>
      </c>
      <c r="BL302" s="1492"/>
      <c r="BM302" s="1492">
        <f t="shared" si="34"/>
        <v>0</v>
      </c>
      <c r="BN302" s="1492">
        <f t="shared" si="35"/>
        <v>0</v>
      </c>
      <c r="BO302" s="697"/>
      <c r="BP302" s="697"/>
      <c r="BQ302" s="1495" t="s">
        <v>6933</v>
      </c>
      <c r="BR302" s="1495" t="s">
        <v>818</v>
      </c>
      <c r="BS302" s="1902" t="s">
        <v>655</v>
      </c>
      <c r="BT302" s="1907" t="s">
        <v>2021</v>
      </c>
    </row>
    <row r="303" spans="1:72" ht="13">
      <c r="A303" s="1545">
        <v>859</v>
      </c>
      <c r="B303" s="1546" t="s">
        <v>800</v>
      </c>
      <c r="C303" s="1546" t="s">
        <v>803</v>
      </c>
      <c r="D303" s="1547" t="s">
        <v>6868</v>
      </c>
      <c r="E303" s="690" t="s">
        <v>660</v>
      </c>
      <c r="F303" s="691"/>
      <c r="G303" s="692"/>
      <c r="H303" s="692"/>
      <c r="I303" s="692"/>
      <c r="J303" s="693"/>
      <c r="K303" s="693"/>
      <c r="L303" s="693"/>
      <c r="M303" s="694"/>
      <c r="N303" s="695"/>
      <c r="O303" s="696" t="s">
        <v>1569</v>
      </c>
      <c r="P303" s="695">
        <f>'HIV-Key Info'!$I$80*(('HIV-Key Info'!$E$80*'HPM costs'!F379)+('HIV-Key Info'!$F$80*('HPM costs'!F382+'HPM costs'!F385)))</f>
        <v>0</v>
      </c>
      <c r="Q303" s="695" t="s">
        <v>1569</v>
      </c>
      <c r="R303" s="695">
        <f>'HIV-Key Info'!$I$80*(('HIV-Key Info'!$E$80*'HPM costs'!G379)+('HIV-Key Info'!$F$80*('HPM costs'!G382+'HPM costs'!G385)))</f>
        <v>0</v>
      </c>
      <c r="S303" s="695" t="s">
        <v>1569</v>
      </c>
      <c r="T303" s="695">
        <f>'HIV-Key Info'!$I$80*(('HIV-Key Info'!$E$80*'HPM costs'!H379)+('HIV-Key Info'!$F$80*('HPM costs'!H382+'HPM costs'!H385)))</f>
        <v>0</v>
      </c>
      <c r="U303" s="695" t="s">
        <v>1569</v>
      </c>
      <c r="V303" s="695">
        <f>'HIV-Key Info'!$I$80*(('HIV-Key Info'!$E$80*'HPM costs'!I379)+('HIV-Key Info'!$F$80*('HPM costs'!I382+'HPM costs'!I385)))</f>
        <v>0</v>
      </c>
      <c r="W303" s="695"/>
      <c r="X303" s="1492">
        <f t="shared" si="30"/>
        <v>0</v>
      </c>
      <c r="Y303" s="1493"/>
      <c r="Z303" s="1494"/>
      <c r="AA303" s="699"/>
      <c r="AB303" s="695"/>
      <c r="AC303" s="695">
        <f>'HIV-Key Info'!$I$80*(('HIV-Key Info'!$E$80*'HPM costs'!K379)+('HIV-Key Info'!$F$80*('HPM costs'!K382+'HPM costs'!K385)))</f>
        <v>0</v>
      </c>
      <c r="AD303" s="695"/>
      <c r="AE303" s="695">
        <f>'HIV-Key Info'!$I$80*(('HIV-Key Info'!$E$80*'HPM costs'!L379)+('HIV-Key Info'!$F$80*('HPM costs'!L382+'HPM costs'!L385)))</f>
        <v>0</v>
      </c>
      <c r="AF303" s="695"/>
      <c r="AG303" s="695">
        <f>'HIV-Key Info'!$I$80*(('HIV-Key Info'!$E$80*'HPM costs'!M379)+('HIV-Key Info'!$F$80*('HPM costs'!M382+'HPM costs'!M385)))</f>
        <v>0</v>
      </c>
      <c r="AH303" s="695"/>
      <c r="AI303" s="695">
        <f>'HIV-Key Info'!$I$80*(('HIV-Key Info'!$E$80*'HPM costs'!N379)+('HIV-Key Info'!$F$80*('HPM costs'!N382+'HPM costs'!N385)))</f>
        <v>0</v>
      </c>
      <c r="AJ303" s="695"/>
      <c r="AK303" s="1492">
        <f t="shared" si="31"/>
        <v>0</v>
      </c>
      <c r="AL303" s="1493"/>
      <c r="AM303" s="1494"/>
      <c r="AN303" s="699"/>
      <c r="AO303" s="695"/>
      <c r="AP303" s="695">
        <f>'HIV-Key Info'!$I$80*(('HIV-Key Info'!$E$80*'HPM costs'!P379)+('HIV-Key Info'!$F$80*('HPM costs'!P382+'HPM costs'!P385)))</f>
        <v>0</v>
      </c>
      <c r="AQ303" s="695"/>
      <c r="AR303" s="695">
        <f>'HIV-Key Info'!$I$80*(('HIV-Key Info'!$E$80*'HPM costs'!Q379)+('HIV-Key Info'!$F$80*('HPM costs'!Q382+'HPM costs'!Q385)))</f>
        <v>0</v>
      </c>
      <c r="AS303" s="695"/>
      <c r="AT303" s="695">
        <f>'HIV-Key Info'!$I$80*(('HIV-Key Info'!$E$80*'HPM costs'!R379)+('HIV-Key Info'!$F$80*('HPM costs'!R382+'HPM costs'!R385)))</f>
        <v>0</v>
      </c>
      <c r="AU303" s="695"/>
      <c r="AV303" s="695">
        <f>'HIV-Key Info'!$I$80*(('HIV-Key Info'!$E$80*'HPM costs'!S379)+('HIV-Key Info'!$F$80*('HPM costs'!S382+'HPM costs'!S385)))</f>
        <v>0</v>
      </c>
      <c r="AW303" s="695"/>
      <c r="AX303" s="1492">
        <f t="shared" si="32"/>
        <v>0</v>
      </c>
      <c r="AY303" s="1492"/>
      <c r="AZ303" s="698"/>
      <c r="BA303" s="699"/>
      <c r="BB303" s="697"/>
      <c r="BC303" s="697">
        <v>0</v>
      </c>
      <c r="BD303" s="697">
        <v>0</v>
      </c>
      <c r="BE303" s="697">
        <v>0</v>
      </c>
      <c r="BF303" s="697">
        <v>0</v>
      </c>
      <c r="BG303" s="697">
        <v>0</v>
      </c>
      <c r="BH303" s="697">
        <v>0</v>
      </c>
      <c r="BI303" s="697">
        <v>0</v>
      </c>
      <c r="BJ303" s="697">
        <v>0</v>
      </c>
      <c r="BK303" s="1492">
        <f t="shared" si="33"/>
        <v>0</v>
      </c>
      <c r="BL303" s="1492"/>
      <c r="BM303" s="1492">
        <f t="shared" si="34"/>
        <v>0</v>
      </c>
      <c r="BN303" s="1492">
        <f t="shared" si="35"/>
        <v>0</v>
      </c>
      <c r="BO303" s="697"/>
      <c r="BP303" s="697"/>
      <c r="BQ303" s="1495" t="s">
        <v>6933</v>
      </c>
      <c r="BR303" s="1495" t="s">
        <v>818</v>
      </c>
      <c r="BS303" s="1902" t="s">
        <v>655</v>
      </c>
      <c r="BT303" s="1907" t="s">
        <v>2022</v>
      </c>
    </row>
    <row r="304" spans="1:72" ht="13">
      <c r="A304" s="1545">
        <v>860</v>
      </c>
      <c r="B304" s="1546" t="s">
        <v>800</v>
      </c>
      <c r="C304" s="1546" t="s">
        <v>803</v>
      </c>
      <c r="D304" s="1547" t="s">
        <v>6868</v>
      </c>
      <c r="E304" s="690" t="s">
        <v>662</v>
      </c>
      <c r="F304" s="691"/>
      <c r="G304" s="692"/>
      <c r="H304" s="692"/>
      <c r="I304" s="692"/>
      <c r="J304" s="693"/>
      <c r="K304" s="693"/>
      <c r="L304" s="693"/>
      <c r="M304" s="694"/>
      <c r="N304" s="695"/>
      <c r="O304" s="696" t="s">
        <v>1569</v>
      </c>
      <c r="P304" s="695">
        <f>'HIV-Key Info'!$I$80*(('HIV-Key Info'!$E$80*'HPM costs'!F465)+('HIV-Key Info'!$F$80*('HPM costs'!F468+'HPM costs'!F471)))</f>
        <v>0</v>
      </c>
      <c r="Q304" s="695" t="s">
        <v>1569</v>
      </c>
      <c r="R304" s="695">
        <f>'HIV-Key Info'!$I$80*(('HIV-Key Info'!$E$80*'HPM costs'!G465)+('HIV-Key Info'!$F$80*('HPM costs'!G468+'HPM costs'!G471)))</f>
        <v>0</v>
      </c>
      <c r="S304" s="695" t="s">
        <v>1569</v>
      </c>
      <c r="T304" s="695">
        <f>'HIV-Key Info'!$I$80*(('HIV-Key Info'!$E$80*'HPM costs'!H465)+('HIV-Key Info'!$F$80*('HPM costs'!H468+'HPM costs'!H471)))</f>
        <v>0</v>
      </c>
      <c r="U304" s="695" t="s">
        <v>1569</v>
      </c>
      <c r="V304" s="695">
        <f>'HIV-Key Info'!$I$80*(('HIV-Key Info'!$E$80*'HPM costs'!I465)+('HIV-Key Info'!$F$80*('HPM costs'!I468+'HPM costs'!I471)))</f>
        <v>0</v>
      </c>
      <c r="W304" s="695"/>
      <c r="X304" s="1492">
        <f t="shared" si="30"/>
        <v>0</v>
      </c>
      <c r="Y304" s="1493"/>
      <c r="Z304" s="1494"/>
      <c r="AA304" s="699"/>
      <c r="AB304" s="695"/>
      <c r="AC304" s="695">
        <f>'HIV-Key Info'!$I$80*(('HIV-Key Info'!$E$80*'HPM costs'!K465)+('HIV-Key Info'!$F$80*('HPM costs'!K468+'HPM costs'!K471)))</f>
        <v>0</v>
      </c>
      <c r="AD304" s="695"/>
      <c r="AE304" s="695">
        <f>'HIV-Key Info'!$I$80*(('HIV-Key Info'!$E$80*'HPM costs'!L465)+('HIV-Key Info'!$F$80*('HPM costs'!L468+'HPM costs'!L471)))</f>
        <v>0</v>
      </c>
      <c r="AF304" s="695"/>
      <c r="AG304" s="695">
        <f>'HIV-Key Info'!$I$80*(('HIV-Key Info'!$E$80*'HPM costs'!M465)+('HIV-Key Info'!$F$80*('HPM costs'!M468+'HPM costs'!M471)))</f>
        <v>0</v>
      </c>
      <c r="AH304" s="695"/>
      <c r="AI304" s="695">
        <f>'HIV-Key Info'!$I$80*(('HIV-Key Info'!$E$80*'HPM costs'!N465)+('HIV-Key Info'!$F$80*('HPM costs'!N468+'HPM costs'!N471)))</f>
        <v>0</v>
      </c>
      <c r="AJ304" s="695"/>
      <c r="AK304" s="1492">
        <f t="shared" si="31"/>
        <v>0</v>
      </c>
      <c r="AL304" s="1493"/>
      <c r="AM304" s="1494"/>
      <c r="AN304" s="699"/>
      <c r="AO304" s="695"/>
      <c r="AP304" s="695">
        <f>'HIV-Key Info'!$I$80*(('HIV-Key Info'!$E$80*'HPM costs'!P465)+('HIV-Key Info'!$F$80*('HPM costs'!P468+'HPM costs'!P471)))</f>
        <v>0</v>
      </c>
      <c r="AQ304" s="695"/>
      <c r="AR304" s="695">
        <f>'HIV-Key Info'!$I$80*(('HIV-Key Info'!$E$80*'HPM costs'!Q465)+('HIV-Key Info'!$F$80*('HPM costs'!Q468+'HPM costs'!Q471)))</f>
        <v>0</v>
      </c>
      <c r="AS304" s="695"/>
      <c r="AT304" s="695">
        <f>'HIV-Key Info'!$I$80*(('HIV-Key Info'!$E$80*'HPM costs'!R465)+('HIV-Key Info'!$F$80*('HPM costs'!R468+'HPM costs'!R471)))</f>
        <v>0</v>
      </c>
      <c r="AU304" s="695"/>
      <c r="AV304" s="695">
        <f>'HIV-Key Info'!$I$80*(('HIV-Key Info'!$E$80*'HPM costs'!S465)+('HIV-Key Info'!$F$80*('HPM costs'!S468+'HPM costs'!S471)))</f>
        <v>0</v>
      </c>
      <c r="AW304" s="695"/>
      <c r="AX304" s="1492">
        <f t="shared" si="32"/>
        <v>0</v>
      </c>
      <c r="AY304" s="1492"/>
      <c r="AZ304" s="698"/>
      <c r="BA304" s="699"/>
      <c r="BB304" s="697"/>
      <c r="BC304" s="697">
        <v>0</v>
      </c>
      <c r="BD304" s="697">
        <v>0</v>
      </c>
      <c r="BE304" s="697">
        <v>0</v>
      </c>
      <c r="BF304" s="697">
        <v>0</v>
      </c>
      <c r="BG304" s="697">
        <v>0</v>
      </c>
      <c r="BH304" s="697">
        <v>0</v>
      </c>
      <c r="BI304" s="697">
        <v>0</v>
      </c>
      <c r="BJ304" s="697">
        <v>0</v>
      </c>
      <c r="BK304" s="1492">
        <f t="shared" si="33"/>
        <v>0</v>
      </c>
      <c r="BL304" s="1492"/>
      <c r="BM304" s="1492">
        <f t="shared" si="34"/>
        <v>0</v>
      </c>
      <c r="BN304" s="1492">
        <f t="shared" si="35"/>
        <v>0</v>
      </c>
      <c r="BO304" s="697"/>
      <c r="BP304" s="697"/>
      <c r="BQ304" s="1495" t="s">
        <v>6933</v>
      </c>
      <c r="BR304" s="1495" t="s">
        <v>818</v>
      </c>
      <c r="BS304" s="1902" t="s">
        <v>655</v>
      </c>
      <c r="BT304" s="1907" t="s">
        <v>2023</v>
      </c>
    </row>
    <row r="305" spans="1:72" ht="13">
      <c r="A305" s="1545">
        <v>861</v>
      </c>
      <c r="B305" s="1546" t="s">
        <v>800</v>
      </c>
      <c r="C305" s="1546" t="s">
        <v>803</v>
      </c>
      <c r="D305" s="1547" t="s">
        <v>6868</v>
      </c>
      <c r="E305" s="690" t="s">
        <v>664</v>
      </c>
      <c r="F305" s="691"/>
      <c r="G305" s="692"/>
      <c r="H305" s="692"/>
      <c r="I305" s="692"/>
      <c r="J305" s="693"/>
      <c r="K305" s="693"/>
      <c r="L305" s="693"/>
      <c r="M305" s="694"/>
      <c r="N305" s="695"/>
      <c r="O305" s="696" t="s">
        <v>1569</v>
      </c>
      <c r="P305" s="695">
        <f>'HIV-Key Info'!$I$80*(('HIV-Key Info'!$E$80*('HPM costs'!F205+'HPM costs'!F551))+('HIV-Key Info'!$F$80*('HPM costs'!F208+'HPM costs'!F211+'HPM costs'!F554+'HPM costs'!F557)))</f>
        <v>0</v>
      </c>
      <c r="Q305" s="695" t="s">
        <v>1569</v>
      </c>
      <c r="R305" s="695">
        <f>'HIV-Key Info'!$I$80*(('HIV-Key Info'!$E$80*('HPM costs'!G205+'HPM costs'!G551))+('HIV-Key Info'!$F$80*('HPM costs'!G208+'HPM costs'!G211+'HPM costs'!G554+'HPM costs'!G557)))</f>
        <v>0</v>
      </c>
      <c r="S305" s="695" t="s">
        <v>1569</v>
      </c>
      <c r="T305" s="695">
        <f>'HIV-Key Info'!$I$80*(('HIV-Key Info'!$E$80*('HPM costs'!H205+'HPM costs'!H551))+('HIV-Key Info'!$F$80*('HPM costs'!H208+'HPM costs'!H211+'HPM costs'!H554+'HPM costs'!H557)))</f>
        <v>0</v>
      </c>
      <c r="U305" s="695" t="s">
        <v>1569</v>
      </c>
      <c r="V305" s="695">
        <f>'HIV-Key Info'!$I$80*(('HIV-Key Info'!$E$80*('HPM costs'!I205+'HPM costs'!I551))+('HIV-Key Info'!$F$80*('HPM costs'!I208+'HPM costs'!I211+'HPM costs'!I554+'HPM costs'!I557)))</f>
        <v>0</v>
      </c>
      <c r="W305" s="695"/>
      <c r="X305" s="1492">
        <f t="shared" si="30"/>
        <v>0</v>
      </c>
      <c r="Y305" s="1493"/>
      <c r="Z305" s="1494"/>
      <c r="AA305" s="699"/>
      <c r="AB305" s="695"/>
      <c r="AC305" s="695">
        <f>'HIV-Key Info'!$I$80*(('HIV-Key Info'!$E$80*('HPM costs'!K205+'HPM costs'!K551))+('HIV-Key Info'!$F$80*('HPM costs'!K208+'HPM costs'!K211+'HPM costs'!K554+'HPM costs'!K557)))</f>
        <v>0</v>
      </c>
      <c r="AD305" s="695"/>
      <c r="AE305" s="695">
        <f>'HIV-Key Info'!$I$80*(('HIV-Key Info'!$E$80*('HPM costs'!L205+'HPM costs'!L551))+('HIV-Key Info'!$F$80*('HPM costs'!L208+'HPM costs'!L211+'HPM costs'!L554+'HPM costs'!L557)))</f>
        <v>0</v>
      </c>
      <c r="AF305" s="695"/>
      <c r="AG305" s="695">
        <f>'HIV-Key Info'!$I$80*(('HIV-Key Info'!$E$80*('HPM costs'!M205+'HPM costs'!M551))+('HIV-Key Info'!$F$80*('HPM costs'!M208+'HPM costs'!M211+'HPM costs'!M554+'HPM costs'!M557)))</f>
        <v>0</v>
      </c>
      <c r="AH305" s="695"/>
      <c r="AI305" s="695">
        <f>'HIV-Key Info'!$I$80*(('HIV-Key Info'!$E$80*('HPM costs'!N205+'HPM costs'!N551))+('HIV-Key Info'!$F$80*('HPM costs'!N208+'HPM costs'!N211+'HPM costs'!N554+'HPM costs'!N557)))</f>
        <v>0</v>
      </c>
      <c r="AJ305" s="695"/>
      <c r="AK305" s="1492">
        <f t="shared" si="31"/>
        <v>0</v>
      </c>
      <c r="AL305" s="1493"/>
      <c r="AM305" s="1494"/>
      <c r="AN305" s="699"/>
      <c r="AO305" s="695"/>
      <c r="AP305" s="695">
        <f>'HIV-Key Info'!$I$80*(('HIV-Key Info'!$E$80*('HPM costs'!P205+'HPM costs'!P551))+('HIV-Key Info'!$F$80*('HPM costs'!P208+'HPM costs'!P211+'HPM costs'!P554+'HPM costs'!P557)))</f>
        <v>0</v>
      </c>
      <c r="AQ305" s="695"/>
      <c r="AR305" s="695">
        <f>'HIV-Key Info'!$I$80*(('HIV-Key Info'!$E$80*('HPM costs'!Q205+'HPM costs'!Q551))+('HIV-Key Info'!$F$80*('HPM costs'!Q208+'HPM costs'!Q211+'HPM costs'!Q554+'HPM costs'!Q557)))</f>
        <v>0</v>
      </c>
      <c r="AS305" s="695"/>
      <c r="AT305" s="695">
        <f>'HIV-Key Info'!$I$80*(('HIV-Key Info'!$E$80*('HPM costs'!R205+'HPM costs'!R551))+('HIV-Key Info'!$F$80*('HPM costs'!R208+'HPM costs'!R211+'HPM costs'!R554+'HPM costs'!R557)))</f>
        <v>0</v>
      </c>
      <c r="AU305" s="695"/>
      <c r="AV305" s="695">
        <f>'HIV-Key Info'!$I$80*(('HIV-Key Info'!$E$80*('HPM costs'!S205+'HPM costs'!S551))+('HIV-Key Info'!$F$80*('HPM costs'!S208+'HPM costs'!S211+'HPM costs'!S554+'HPM costs'!S557)))</f>
        <v>0</v>
      </c>
      <c r="AW305" s="695"/>
      <c r="AX305" s="1492">
        <f t="shared" si="32"/>
        <v>0</v>
      </c>
      <c r="AY305" s="1492"/>
      <c r="AZ305" s="698"/>
      <c r="BA305" s="699"/>
      <c r="BB305" s="697"/>
      <c r="BC305" s="697">
        <v>0</v>
      </c>
      <c r="BD305" s="697">
        <v>0</v>
      </c>
      <c r="BE305" s="697">
        <v>0</v>
      </c>
      <c r="BF305" s="697">
        <v>0</v>
      </c>
      <c r="BG305" s="697">
        <v>0</v>
      </c>
      <c r="BH305" s="697">
        <v>0</v>
      </c>
      <c r="BI305" s="697">
        <v>0</v>
      </c>
      <c r="BJ305" s="697">
        <v>0</v>
      </c>
      <c r="BK305" s="1492">
        <f t="shared" si="33"/>
        <v>0</v>
      </c>
      <c r="BL305" s="1492"/>
      <c r="BM305" s="1492">
        <f t="shared" si="34"/>
        <v>0</v>
      </c>
      <c r="BN305" s="1492">
        <f t="shared" si="35"/>
        <v>0</v>
      </c>
      <c r="BO305" s="697"/>
      <c r="BP305" s="697"/>
      <c r="BQ305" s="1495" t="s">
        <v>6933</v>
      </c>
      <c r="BR305" s="1495" t="s">
        <v>818</v>
      </c>
      <c r="BS305" s="1902" t="s">
        <v>655</v>
      </c>
      <c r="BT305" s="1907" t="s">
        <v>2024</v>
      </c>
    </row>
    <row r="306" spans="1:72" ht="13">
      <c r="A306" s="1545">
        <v>862</v>
      </c>
      <c r="B306" s="1546" t="s">
        <v>800</v>
      </c>
      <c r="C306" s="1546" t="s">
        <v>803</v>
      </c>
      <c r="D306" s="1547" t="s">
        <v>6868</v>
      </c>
      <c r="E306" s="690" t="s">
        <v>666</v>
      </c>
      <c r="F306" s="691"/>
      <c r="G306" s="692"/>
      <c r="H306" s="692"/>
      <c r="I306" s="692"/>
      <c r="J306" s="693"/>
      <c r="K306" s="693"/>
      <c r="L306" s="693"/>
      <c r="M306" s="694"/>
      <c r="N306" s="695"/>
      <c r="O306" s="696" t="s">
        <v>1569</v>
      </c>
      <c r="P306" s="695">
        <f>'HIV-Key Info'!$I$80*(('HIV-Key Info'!$E$80*'HPM costs'!F291)+('HIV-Key Info'!$F$80*('HPM costs'!F294+'HPM costs'!F297)))</f>
        <v>0</v>
      </c>
      <c r="Q306" s="695" t="s">
        <v>1569</v>
      </c>
      <c r="R306" s="695">
        <f>'HIV-Key Info'!$I$80*(('HIV-Key Info'!$E$80*'HPM costs'!G291)+('HIV-Key Info'!$F$80*('HPM costs'!G294+'HPM costs'!G297)))</f>
        <v>0</v>
      </c>
      <c r="S306" s="695" t="s">
        <v>1569</v>
      </c>
      <c r="T306" s="695">
        <f>'HIV-Key Info'!$I$80*(('HIV-Key Info'!$E$80*'HPM costs'!H291)+('HIV-Key Info'!$F$80*('HPM costs'!H294+'HPM costs'!H297)))</f>
        <v>0</v>
      </c>
      <c r="U306" s="695" t="s">
        <v>1569</v>
      </c>
      <c r="V306" s="695">
        <f>'HIV-Key Info'!$I$80*(('HIV-Key Info'!$E$80*'HPM costs'!I291)+('HIV-Key Info'!$F$80*('HPM costs'!I294+'HPM costs'!I297)))</f>
        <v>0</v>
      </c>
      <c r="W306" s="695"/>
      <c r="X306" s="1492">
        <f t="shared" si="30"/>
        <v>0</v>
      </c>
      <c r="Y306" s="1493"/>
      <c r="Z306" s="1494"/>
      <c r="AA306" s="699"/>
      <c r="AB306" s="695"/>
      <c r="AC306" s="695">
        <f>'HIV-Key Info'!$I$80*(('HIV-Key Info'!$E$80*'HPM costs'!K291)+('HIV-Key Info'!$F$80*('HPM costs'!K294+'HPM costs'!K297)))</f>
        <v>0</v>
      </c>
      <c r="AD306" s="695"/>
      <c r="AE306" s="695">
        <f>'HIV-Key Info'!$I$80*(('HIV-Key Info'!$E$80*'HPM costs'!L291)+('HIV-Key Info'!$F$80*('HPM costs'!L294+'HPM costs'!L297)))</f>
        <v>0</v>
      </c>
      <c r="AF306" s="695"/>
      <c r="AG306" s="695">
        <f>'HIV-Key Info'!$I$80*(('HIV-Key Info'!$E$80*'HPM costs'!M291)+('HIV-Key Info'!$F$80*('HPM costs'!M294+'HPM costs'!M297)))</f>
        <v>0</v>
      </c>
      <c r="AH306" s="695"/>
      <c r="AI306" s="695">
        <f>'HIV-Key Info'!$I$80*(('HIV-Key Info'!$E$80*'HPM costs'!N291)+('HIV-Key Info'!$F$80*('HPM costs'!N294+'HPM costs'!N297)))</f>
        <v>0</v>
      </c>
      <c r="AJ306" s="695"/>
      <c r="AK306" s="1492">
        <f t="shared" si="31"/>
        <v>0</v>
      </c>
      <c r="AL306" s="1493"/>
      <c r="AM306" s="1494"/>
      <c r="AN306" s="699"/>
      <c r="AO306" s="695"/>
      <c r="AP306" s="695">
        <f>'HIV-Key Info'!$I$80*(('HIV-Key Info'!$E$80*'HPM costs'!P291)+('HIV-Key Info'!$F$80*('HPM costs'!P294+'HPM costs'!P297)))</f>
        <v>0</v>
      </c>
      <c r="AQ306" s="695"/>
      <c r="AR306" s="695">
        <f>'HIV-Key Info'!$I$80*(('HIV-Key Info'!$E$80*'HPM costs'!Q291)+('HIV-Key Info'!$F$80*('HPM costs'!Q294+'HPM costs'!Q297)))</f>
        <v>0</v>
      </c>
      <c r="AS306" s="695"/>
      <c r="AT306" s="695">
        <f>'HIV-Key Info'!$I$80*(('HIV-Key Info'!$E$80*'HPM costs'!R291)+('HIV-Key Info'!$F$80*('HPM costs'!R294+'HPM costs'!R297)))</f>
        <v>0</v>
      </c>
      <c r="AU306" s="695"/>
      <c r="AV306" s="695">
        <f>'HIV-Key Info'!$I$80*(('HIV-Key Info'!$E$80*'HPM costs'!S291)+('HIV-Key Info'!$F$80*('HPM costs'!S294+'HPM costs'!S297)))</f>
        <v>0</v>
      </c>
      <c r="AW306" s="695"/>
      <c r="AX306" s="1492">
        <f t="shared" si="32"/>
        <v>0</v>
      </c>
      <c r="AY306" s="1492"/>
      <c r="AZ306" s="698"/>
      <c r="BA306" s="699"/>
      <c r="BB306" s="697"/>
      <c r="BC306" s="697">
        <v>0</v>
      </c>
      <c r="BD306" s="697">
        <v>0</v>
      </c>
      <c r="BE306" s="697">
        <v>0</v>
      </c>
      <c r="BF306" s="697">
        <v>0</v>
      </c>
      <c r="BG306" s="697">
        <v>0</v>
      </c>
      <c r="BH306" s="697">
        <v>0</v>
      </c>
      <c r="BI306" s="697">
        <v>0</v>
      </c>
      <c r="BJ306" s="697">
        <v>0</v>
      </c>
      <c r="BK306" s="1492">
        <f t="shared" si="33"/>
        <v>0</v>
      </c>
      <c r="BL306" s="1492"/>
      <c r="BM306" s="1492">
        <f t="shared" si="34"/>
        <v>0</v>
      </c>
      <c r="BN306" s="1492">
        <f t="shared" si="35"/>
        <v>0</v>
      </c>
      <c r="BO306" s="697"/>
      <c r="BP306" s="697"/>
      <c r="BQ306" s="1495" t="s">
        <v>6933</v>
      </c>
      <c r="BR306" s="1495" t="s">
        <v>818</v>
      </c>
      <c r="BS306" s="1902" t="s">
        <v>655</v>
      </c>
      <c r="BT306" s="1907" t="s">
        <v>2025</v>
      </c>
    </row>
    <row r="307" spans="1:72" ht="13">
      <c r="A307" s="1545">
        <v>863</v>
      </c>
      <c r="B307" s="1546" t="s">
        <v>800</v>
      </c>
      <c r="C307" s="1546" t="s">
        <v>803</v>
      </c>
      <c r="D307" s="1547" t="s">
        <v>6868</v>
      </c>
      <c r="E307" s="690" t="s">
        <v>668</v>
      </c>
      <c r="F307" s="691"/>
      <c r="G307" s="692"/>
      <c r="H307" s="692"/>
      <c r="I307" s="692"/>
      <c r="J307" s="693"/>
      <c r="K307" s="693"/>
      <c r="L307" s="693"/>
      <c r="M307" s="694"/>
      <c r="N307" s="695"/>
      <c r="O307" s="696" t="s">
        <v>1569</v>
      </c>
      <c r="P307" s="695">
        <f>'HIV-Key Info'!$I$80*(('HIV-Key Info'!$E$80*'HPM costs'!F636)+('HIV-Key Info'!$F$80*('HPM costs'!F639+'HPM costs'!F642)))</f>
        <v>0</v>
      </c>
      <c r="Q307" s="695" t="s">
        <v>1569</v>
      </c>
      <c r="R307" s="695">
        <f>'HIV-Key Info'!$I$80*(('HIV-Key Info'!$E$80*'HPM costs'!G636)+('HIV-Key Info'!$F$80*('HPM costs'!G639+'HPM costs'!G642)))</f>
        <v>0</v>
      </c>
      <c r="S307" s="695" t="s">
        <v>1569</v>
      </c>
      <c r="T307" s="695">
        <f>'HIV-Key Info'!$I$80*(('HIV-Key Info'!$E$80*'HPM costs'!H636)+('HIV-Key Info'!$F$80*('HPM costs'!H639+'HPM costs'!H642)))</f>
        <v>0</v>
      </c>
      <c r="U307" s="695" t="s">
        <v>1569</v>
      </c>
      <c r="V307" s="695">
        <f>'HIV-Key Info'!$I$80*(('HIV-Key Info'!$E$80*'HPM costs'!I636)+('HIV-Key Info'!$F$80*('HPM costs'!I639+'HPM costs'!I642)))</f>
        <v>0</v>
      </c>
      <c r="W307" s="695"/>
      <c r="X307" s="1492">
        <f t="shared" si="30"/>
        <v>0</v>
      </c>
      <c r="Y307" s="1493"/>
      <c r="Z307" s="1494"/>
      <c r="AA307" s="699"/>
      <c r="AB307" s="695"/>
      <c r="AC307" s="695">
        <f>'HIV-Key Info'!$I$80*(('HIV-Key Info'!$E$80*'HPM costs'!K636)+('HIV-Key Info'!$F$80*('HPM costs'!K639+'HPM costs'!K642)))</f>
        <v>0</v>
      </c>
      <c r="AD307" s="695"/>
      <c r="AE307" s="695">
        <f>'HIV-Key Info'!$I$80*(('HIV-Key Info'!$E$80*'HPM costs'!L636)+('HIV-Key Info'!$F$80*('HPM costs'!L639+'HPM costs'!L642)))</f>
        <v>0</v>
      </c>
      <c r="AF307" s="695"/>
      <c r="AG307" s="695">
        <f>'HIV-Key Info'!$I$80*(('HIV-Key Info'!$E$80*'HPM costs'!M636)+('HIV-Key Info'!$F$80*('HPM costs'!M639+'HPM costs'!M642)))</f>
        <v>0</v>
      </c>
      <c r="AH307" s="695"/>
      <c r="AI307" s="695">
        <f>'HIV-Key Info'!$I$80*(('HIV-Key Info'!$E$80*'HPM costs'!N636)+('HIV-Key Info'!$F$80*('HPM costs'!N639+'HPM costs'!N642)))</f>
        <v>0</v>
      </c>
      <c r="AJ307" s="695"/>
      <c r="AK307" s="1492">
        <f t="shared" si="31"/>
        <v>0</v>
      </c>
      <c r="AL307" s="1493"/>
      <c r="AM307" s="1494"/>
      <c r="AN307" s="699"/>
      <c r="AO307" s="695"/>
      <c r="AP307" s="695">
        <f>'HIV-Key Info'!$I$80*(('HIV-Key Info'!$E$80*'HPM costs'!P636)+('HIV-Key Info'!$F$80*('HPM costs'!P639+'HPM costs'!P642)))</f>
        <v>0</v>
      </c>
      <c r="AQ307" s="695"/>
      <c r="AR307" s="695">
        <f>'HIV-Key Info'!$I$80*(('HIV-Key Info'!$E$80*'HPM costs'!Q636)+('HIV-Key Info'!$F$80*('HPM costs'!Q639+'HPM costs'!Q642)))</f>
        <v>0</v>
      </c>
      <c r="AS307" s="695"/>
      <c r="AT307" s="695">
        <f>'HIV-Key Info'!$I$80*(('HIV-Key Info'!$E$80*'HPM costs'!R636)+('HIV-Key Info'!$F$80*('HPM costs'!R639+'HPM costs'!R642)))</f>
        <v>0</v>
      </c>
      <c r="AU307" s="695"/>
      <c r="AV307" s="695">
        <f>'HIV-Key Info'!$I$80*(('HIV-Key Info'!$E$80*'HPM costs'!S636)+('HIV-Key Info'!$F$80*('HPM costs'!S639+'HPM costs'!S642)))</f>
        <v>0</v>
      </c>
      <c r="AW307" s="695"/>
      <c r="AX307" s="1492">
        <f t="shared" si="32"/>
        <v>0</v>
      </c>
      <c r="AY307" s="1492"/>
      <c r="AZ307" s="698"/>
      <c r="BA307" s="699"/>
      <c r="BB307" s="697"/>
      <c r="BC307" s="697">
        <v>0</v>
      </c>
      <c r="BD307" s="697">
        <v>0</v>
      </c>
      <c r="BE307" s="697">
        <v>0</v>
      </c>
      <c r="BF307" s="697">
        <v>0</v>
      </c>
      <c r="BG307" s="697">
        <v>0</v>
      </c>
      <c r="BH307" s="697">
        <v>0</v>
      </c>
      <c r="BI307" s="697">
        <v>0</v>
      </c>
      <c r="BJ307" s="697">
        <v>0</v>
      </c>
      <c r="BK307" s="1492">
        <f t="shared" si="33"/>
        <v>0</v>
      </c>
      <c r="BL307" s="1492"/>
      <c r="BM307" s="1492">
        <f t="shared" si="34"/>
        <v>0</v>
      </c>
      <c r="BN307" s="1492">
        <f t="shared" si="35"/>
        <v>0</v>
      </c>
      <c r="BO307" s="697"/>
      <c r="BP307" s="697"/>
      <c r="BQ307" s="1495" t="s">
        <v>6933</v>
      </c>
      <c r="BR307" s="1495" t="s">
        <v>818</v>
      </c>
      <c r="BS307" s="1902" t="s">
        <v>655</v>
      </c>
      <c r="BT307" s="1907" t="s">
        <v>2026</v>
      </c>
    </row>
    <row r="308" spans="1:72" ht="13">
      <c r="A308" s="1545">
        <v>864</v>
      </c>
      <c r="B308" s="1546" t="s">
        <v>800</v>
      </c>
      <c r="C308" s="1546" t="s">
        <v>801</v>
      </c>
      <c r="D308" s="1547" t="s">
        <v>6955</v>
      </c>
      <c r="E308" s="690" t="s">
        <v>731</v>
      </c>
      <c r="F308" s="691"/>
      <c r="G308" s="692"/>
      <c r="H308" s="692"/>
      <c r="I308" s="692"/>
      <c r="J308" s="693"/>
      <c r="K308" s="693"/>
      <c r="L308" s="693"/>
      <c r="M308" s="694"/>
      <c r="N308" s="695"/>
      <c r="O308" s="696" t="s">
        <v>1569</v>
      </c>
      <c r="P308" s="695">
        <f>'HIV-Key Info'!$G$82*('HIV-Key Info'!$E$82*('HPM costs'!F551/'HPM costs'!$E$551)+'HIV-Key Info'!$F$82*('HPM costs'!F557/'HPM costs'!$E$557+'HPM costs'!F554/'HPM costs'!$E$554))</f>
        <v>0</v>
      </c>
      <c r="Q308" s="695" t="s">
        <v>1569</v>
      </c>
      <c r="R308" s="695">
        <f>'HIV-Key Info'!$G$82*('HIV-Key Info'!$E$82*('HPM costs'!G551/'HPM costs'!$E$551)+'HIV-Key Info'!$F$82*('HPM costs'!G557/'HPM costs'!$E$557+'HPM costs'!G554/'HPM costs'!$E$554))</f>
        <v>0</v>
      </c>
      <c r="S308" s="695" t="s">
        <v>1569</v>
      </c>
      <c r="T308" s="695">
        <f>'HIV-Key Info'!$G$82*('HIV-Key Info'!$E$82*('HPM costs'!H551/'HPM costs'!$E$551)+'HIV-Key Info'!$F$82*('HPM costs'!H557/'HPM costs'!$E$557+'HPM costs'!H554/'HPM costs'!$E$554))</f>
        <v>0</v>
      </c>
      <c r="U308" s="695" t="s">
        <v>1569</v>
      </c>
      <c r="V308" s="695">
        <f>'HIV-Key Info'!$G$82*('HIV-Key Info'!$E$82*('HPM costs'!I551/'HPM costs'!$E$551)+'HIV-Key Info'!$F$82*('HPM costs'!I557/'HPM costs'!$E$557+'HPM costs'!I554/'HPM costs'!$E$554))</f>
        <v>0</v>
      </c>
      <c r="W308" s="695"/>
      <c r="X308" s="1492">
        <f t="shared" si="30"/>
        <v>0</v>
      </c>
      <c r="Y308" s="1493"/>
      <c r="Z308" s="1494"/>
      <c r="AA308" s="699"/>
      <c r="AB308" s="695"/>
      <c r="AC308" s="695">
        <f>'HIV-Key Info'!$G$82*('HIV-Key Info'!$E$82*('HPM costs'!K551/'HPM costs'!$E$551)+'HIV-Key Info'!$F$82*('HPM costs'!K557/'HPM costs'!$E$557+'HPM costs'!K554/'HPM costs'!$E$554))</f>
        <v>0</v>
      </c>
      <c r="AD308" s="695"/>
      <c r="AE308" s="695">
        <f>'HIV-Key Info'!$G$82*('HIV-Key Info'!$E$82*('HPM costs'!L551/'HPM costs'!$E$551)+'HIV-Key Info'!$F$82*('HPM costs'!L557/'HPM costs'!$E$557+'HPM costs'!L554/'HPM costs'!$E$554))</f>
        <v>0</v>
      </c>
      <c r="AF308" s="695"/>
      <c r="AG308" s="695">
        <f>'HIV-Key Info'!$G$82*('HIV-Key Info'!$E$82*('HPM costs'!M551/'HPM costs'!$E$551)+'HIV-Key Info'!$F$82*('HPM costs'!M557/'HPM costs'!$E$557+'HPM costs'!M554/'HPM costs'!$E$554))</f>
        <v>0</v>
      </c>
      <c r="AH308" s="695"/>
      <c r="AI308" s="695">
        <f>'HIV-Key Info'!$G$82*('HIV-Key Info'!$E$82*('HPM costs'!N551/'HPM costs'!$E$551)+'HIV-Key Info'!$F$82*('HPM costs'!N557/'HPM costs'!$E$557+'HPM costs'!N554/'HPM costs'!$E$554))</f>
        <v>0</v>
      </c>
      <c r="AJ308" s="695"/>
      <c r="AK308" s="1492">
        <f t="shared" si="31"/>
        <v>0</v>
      </c>
      <c r="AL308" s="1493"/>
      <c r="AM308" s="1494"/>
      <c r="AN308" s="699"/>
      <c r="AO308" s="695"/>
      <c r="AP308" s="695">
        <f>'HIV-Key Info'!$G$82*('HIV-Key Info'!$E$82*('HPM costs'!P551/'HPM costs'!$E$551)+'HIV-Key Info'!$F$82*('HPM costs'!P557/'HPM costs'!$E$557+'HPM costs'!P554/'HPM costs'!$E$554))</f>
        <v>0</v>
      </c>
      <c r="AQ308" s="695"/>
      <c r="AR308" s="695">
        <f>'HIV-Key Info'!$G$82*('HIV-Key Info'!$E$82*('HPM costs'!Q551/'HPM costs'!$E$551)+'HIV-Key Info'!$F$82*('HPM costs'!Q557/'HPM costs'!$E$557+'HPM costs'!Q554/'HPM costs'!$E$554))</f>
        <v>0</v>
      </c>
      <c r="AS308" s="695"/>
      <c r="AT308" s="695">
        <f>'HIV-Key Info'!$G$82*('HIV-Key Info'!$E$82*('HPM costs'!R551/'HPM costs'!$E$551)+'HIV-Key Info'!$F$82*('HPM costs'!R557/'HPM costs'!$E$557+'HPM costs'!R554/'HPM costs'!$E$554))</f>
        <v>0</v>
      </c>
      <c r="AU308" s="695"/>
      <c r="AV308" s="695">
        <f>'HIV-Key Info'!$G$82*('HIV-Key Info'!$E$82*('HPM costs'!S551/'HPM costs'!$E$551)+'HIV-Key Info'!$F$82*('HPM costs'!S557/'HPM costs'!$E$557+'HPM costs'!S554/'HPM costs'!$E$554))</f>
        <v>0</v>
      </c>
      <c r="AW308" s="695"/>
      <c r="AX308" s="1492">
        <f t="shared" si="32"/>
        <v>0</v>
      </c>
      <c r="AY308" s="1492"/>
      <c r="AZ308" s="698"/>
      <c r="BA308" s="699"/>
      <c r="BB308" s="697"/>
      <c r="BC308" s="697">
        <v>0</v>
      </c>
      <c r="BD308" s="697">
        <v>0</v>
      </c>
      <c r="BE308" s="697">
        <v>0</v>
      </c>
      <c r="BF308" s="697">
        <v>0</v>
      </c>
      <c r="BG308" s="697">
        <v>0</v>
      </c>
      <c r="BH308" s="697">
        <v>0</v>
      </c>
      <c r="BI308" s="697">
        <v>0</v>
      </c>
      <c r="BJ308" s="697">
        <v>0</v>
      </c>
      <c r="BK308" s="1492">
        <f t="shared" si="33"/>
        <v>0</v>
      </c>
      <c r="BL308" s="1492"/>
      <c r="BM308" s="1492">
        <f t="shared" si="34"/>
        <v>0</v>
      </c>
      <c r="BN308" s="1492">
        <f t="shared" si="35"/>
        <v>0</v>
      </c>
      <c r="BO308" s="697"/>
      <c r="BP308" s="697"/>
      <c r="BQ308" s="1495" t="s">
        <v>92</v>
      </c>
      <c r="BR308" s="1495" t="s">
        <v>818</v>
      </c>
      <c r="BS308" s="1902" t="s">
        <v>6953</v>
      </c>
      <c r="BT308" s="1907" t="s">
        <v>2027</v>
      </c>
    </row>
    <row r="309" spans="1:72" ht="13">
      <c r="A309" s="1545">
        <v>865</v>
      </c>
      <c r="B309" s="1546" t="s">
        <v>800</v>
      </c>
      <c r="C309" s="1546" t="s">
        <v>801</v>
      </c>
      <c r="D309" s="1547" t="s">
        <v>6870</v>
      </c>
      <c r="E309" s="690" t="s">
        <v>656</v>
      </c>
      <c r="F309" s="691"/>
      <c r="G309" s="692"/>
      <c r="H309" s="692"/>
      <c r="I309" s="692"/>
      <c r="J309" s="693"/>
      <c r="K309" s="693"/>
      <c r="L309" s="693"/>
      <c r="M309" s="694"/>
      <c r="N309" s="695"/>
      <c r="O309" s="696" t="s">
        <v>1569</v>
      </c>
      <c r="P309" s="695">
        <f>'HIV-Key Info'!$G$82*(('HIV-Key Info'!$E$82*'HPM costs'!F33)+('HIV-Key Info'!$F$82*('HPM costs'!F36+'HPM costs'!F39)))</f>
        <v>0</v>
      </c>
      <c r="Q309" s="695" t="s">
        <v>1569</v>
      </c>
      <c r="R309" s="695">
        <f>'HIV-Key Info'!$G$82*(('HIV-Key Info'!$E$82*'HPM costs'!G33)+('HIV-Key Info'!$F$82*('HPM costs'!G36+'HPM costs'!G39)))</f>
        <v>0</v>
      </c>
      <c r="S309" s="695" t="s">
        <v>1569</v>
      </c>
      <c r="T309" s="695">
        <f>'HIV-Key Info'!$G$82*(('HIV-Key Info'!$E$82*'HPM costs'!H33)+('HIV-Key Info'!$F$82*('HPM costs'!H36+'HPM costs'!H39)))</f>
        <v>0</v>
      </c>
      <c r="U309" s="695" t="s">
        <v>1569</v>
      </c>
      <c r="V309" s="695">
        <f>'HIV-Key Info'!$G$82*(('HIV-Key Info'!$E$82*'HPM costs'!I33)+('HIV-Key Info'!$F$82*('HPM costs'!I36+'HPM costs'!I39)))</f>
        <v>0</v>
      </c>
      <c r="W309" s="695"/>
      <c r="X309" s="1492">
        <f t="shared" si="30"/>
        <v>0</v>
      </c>
      <c r="Y309" s="1493"/>
      <c r="Z309" s="1494"/>
      <c r="AA309" s="699"/>
      <c r="AB309" s="695"/>
      <c r="AC309" s="695">
        <f>'HIV-Key Info'!$G$82*(('HIV-Key Info'!$E$82*'HPM costs'!K33)+('HIV-Key Info'!$F$82*('HPM costs'!K36+'HPM costs'!K39)))</f>
        <v>0</v>
      </c>
      <c r="AD309" s="695"/>
      <c r="AE309" s="695">
        <f>'HIV-Key Info'!$G$82*(('HIV-Key Info'!$E$82*'HPM costs'!L33)+('HIV-Key Info'!$F$82*('HPM costs'!L36+'HPM costs'!L39)))</f>
        <v>0</v>
      </c>
      <c r="AF309" s="695"/>
      <c r="AG309" s="695">
        <f>'HIV-Key Info'!$G$82*(('HIV-Key Info'!$E$82*'HPM costs'!M33)+('HIV-Key Info'!$F$82*('HPM costs'!M36+'HPM costs'!M39)))</f>
        <v>0</v>
      </c>
      <c r="AH309" s="695"/>
      <c r="AI309" s="695">
        <f>'HIV-Key Info'!$G$82*(('HIV-Key Info'!$E$82*'HPM costs'!N33)+('HIV-Key Info'!$F$82*('HPM costs'!N36+'HPM costs'!N39)))</f>
        <v>0</v>
      </c>
      <c r="AJ309" s="695"/>
      <c r="AK309" s="1492">
        <f t="shared" si="31"/>
        <v>0</v>
      </c>
      <c r="AL309" s="1493"/>
      <c r="AM309" s="1494"/>
      <c r="AN309" s="699"/>
      <c r="AO309" s="695"/>
      <c r="AP309" s="695">
        <f>'HIV-Key Info'!$G$82*(('HIV-Key Info'!$E$82*'HPM costs'!P33)+('HIV-Key Info'!$F$82*('HPM costs'!P36+'HPM costs'!P39)))</f>
        <v>0</v>
      </c>
      <c r="AQ309" s="695"/>
      <c r="AR309" s="695">
        <f>'HIV-Key Info'!$G$82*(('HIV-Key Info'!$E$82*'HPM costs'!Q33)+('HIV-Key Info'!$F$82*('HPM costs'!Q36+'HPM costs'!Q39)))</f>
        <v>0</v>
      </c>
      <c r="AS309" s="695"/>
      <c r="AT309" s="695">
        <f>'HIV-Key Info'!$G$82*(('HIV-Key Info'!$E$82*'HPM costs'!R33)+('HIV-Key Info'!$F$82*('HPM costs'!R36+'HPM costs'!R39)))</f>
        <v>0</v>
      </c>
      <c r="AU309" s="695"/>
      <c r="AV309" s="695">
        <f>'HIV-Key Info'!$G$82*(('HIV-Key Info'!$E$82*'HPM costs'!S33)+('HIV-Key Info'!$F$82*('HPM costs'!S36+'HPM costs'!S39)))</f>
        <v>0</v>
      </c>
      <c r="AW309" s="695"/>
      <c r="AX309" s="1492">
        <f t="shared" si="32"/>
        <v>0</v>
      </c>
      <c r="AY309" s="1492"/>
      <c r="AZ309" s="698"/>
      <c r="BA309" s="699"/>
      <c r="BB309" s="697"/>
      <c r="BC309" s="697">
        <v>0</v>
      </c>
      <c r="BD309" s="697">
        <v>0</v>
      </c>
      <c r="BE309" s="697">
        <v>0</v>
      </c>
      <c r="BF309" s="697">
        <v>0</v>
      </c>
      <c r="BG309" s="697">
        <v>0</v>
      </c>
      <c r="BH309" s="697">
        <v>0</v>
      </c>
      <c r="BI309" s="697">
        <v>0</v>
      </c>
      <c r="BJ309" s="697">
        <v>0</v>
      </c>
      <c r="BK309" s="1492">
        <f t="shared" si="33"/>
        <v>0</v>
      </c>
      <c r="BL309" s="1492"/>
      <c r="BM309" s="1492">
        <f t="shared" si="34"/>
        <v>0</v>
      </c>
      <c r="BN309" s="1492">
        <f t="shared" si="35"/>
        <v>0</v>
      </c>
      <c r="BO309" s="697"/>
      <c r="BP309" s="697"/>
      <c r="BQ309" s="1495" t="s">
        <v>92</v>
      </c>
      <c r="BR309" s="1495" t="s">
        <v>818</v>
      </c>
      <c r="BS309" s="1902" t="s">
        <v>655</v>
      </c>
      <c r="BT309" s="1907" t="s">
        <v>2028</v>
      </c>
    </row>
    <row r="310" spans="1:72" ht="13">
      <c r="A310" s="1545">
        <v>866</v>
      </c>
      <c r="B310" s="1546" t="s">
        <v>800</v>
      </c>
      <c r="C310" s="1546" t="s">
        <v>801</v>
      </c>
      <c r="D310" s="1547" t="s">
        <v>6870</v>
      </c>
      <c r="E310" s="690" t="s">
        <v>658</v>
      </c>
      <c r="F310" s="691"/>
      <c r="G310" s="692"/>
      <c r="H310" s="692"/>
      <c r="I310" s="692"/>
      <c r="J310" s="693"/>
      <c r="K310" s="693"/>
      <c r="L310" s="693"/>
      <c r="M310" s="694"/>
      <c r="N310" s="695"/>
      <c r="O310" s="696" t="s">
        <v>1569</v>
      </c>
      <c r="P310" s="695">
        <f>'HIV-Key Info'!$G$82*(('HIV-Key Info'!$E$82*'HPM costs'!F119)+('HIV-Key Info'!$F$82*('HPM costs'!F122+'HPM costs'!F125)))</f>
        <v>0</v>
      </c>
      <c r="Q310" s="695" t="s">
        <v>1569</v>
      </c>
      <c r="R310" s="695">
        <f>'HIV-Key Info'!$G$82*(('HIV-Key Info'!$E$82*'HPM costs'!G119)+('HIV-Key Info'!$F$82*('HPM costs'!G122+'HPM costs'!G125)))</f>
        <v>0</v>
      </c>
      <c r="S310" s="695" t="s">
        <v>1569</v>
      </c>
      <c r="T310" s="695">
        <f>'HIV-Key Info'!$G$82*(('HIV-Key Info'!$E$82*'HPM costs'!H119)+('HIV-Key Info'!$F$82*('HPM costs'!H122+'HPM costs'!H125)))</f>
        <v>0</v>
      </c>
      <c r="U310" s="695" t="s">
        <v>1569</v>
      </c>
      <c r="V310" s="695">
        <f>'HIV-Key Info'!$G$82*(('HIV-Key Info'!$E$82*'HPM costs'!I119)+('HIV-Key Info'!$F$82*('HPM costs'!I122+'HPM costs'!I125)))</f>
        <v>0</v>
      </c>
      <c r="W310" s="695"/>
      <c r="X310" s="1492">
        <f t="shared" si="30"/>
        <v>0</v>
      </c>
      <c r="Y310" s="1493"/>
      <c r="Z310" s="1494"/>
      <c r="AA310" s="699"/>
      <c r="AB310" s="695"/>
      <c r="AC310" s="695">
        <f>'HIV-Key Info'!$G$82*(('HIV-Key Info'!$E$82*'HPM costs'!K119)+('HIV-Key Info'!$F$82*('HPM costs'!K122+'HPM costs'!K125)))</f>
        <v>0</v>
      </c>
      <c r="AD310" s="695"/>
      <c r="AE310" s="695">
        <f>'HIV-Key Info'!$G$82*(('HIV-Key Info'!$E$82*'HPM costs'!L119)+('HIV-Key Info'!$F$82*('HPM costs'!L122+'HPM costs'!L125)))</f>
        <v>0</v>
      </c>
      <c r="AF310" s="695"/>
      <c r="AG310" s="695">
        <f>'HIV-Key Info'!$G$82*(('HIV-Key Info'!$E$82*'HPM costs'!M119)+('HIV-Key Info'!$F$82*('HPM costs'!M122+'HPM costs'!M125)))</f>
        <v>0</v>
      </c>
      <c r="AH310" s="695"/>
      <c r="AI310" s="695">
        <f>'HIV-Key Info'!$G$82*(('HIV-Key Info'!$E$82*'HPM costs'!N119)+('HIV-Key Info'!$F$82*('HPM costs'!N122+'HPM costs'!N125)))</f>
        <v>0</v>
      </c>
      <c r="AJ310" s="695"/>
      <c r="AK310" s="1492">
        <f t="shared" si="31"/>
        <v>0</v>
      </c>
      <c r="AL310" s="1493"/>
      <c r="AM310" s="1494"/>
      <c r="AN310" s="699"/>
      <c r="AO310" s="695"/>
      <c r="AP310" s="695">
        <f>'HIV-Key Info'!$G$82*(('HIV-Key Info'!$E$82*'HPM costs'!P119)+('HIV-Key Info'!$F$82*('HPM costs'!P122+'HPM costs'!P125)))</f>
        <v>0</v>
      </c>
      <c r="AQ310" s="695"/>
      <c r="AR310" s="695">
        <f>'HIV-Key Info'!$G$82*(('HIV-Key Info'!$E$82*'HPM costs'!Q119)+('HIV-Key Info'!$F$82*('HPM costs'!Q122+'HPM costs'!Q125)))</f>
        <v>0</v>
      </c>
      <c r="AS310" s="695"/>
      <c r="AT310" s="695">
        <f>'HIV-Key Info'!$G$82*(('HIV-Key Info'!$E$82*'HPM costs'!R119)+('HIV-Key Info'!$F$82*('HPM costs'!R122+'HPM costs'!R125)))</f>
        <v>0</v>
      </c>
      <c r="AU310" s="695"/>
      <c r="AV310" s="695">
        <f>'HIV-Key Info'!$G$82*(('HIV-Key Info'!$E$82*'HPM costs'!S119)+('HIV-Key Info'!$F$82*('HPM costs'!S122+'HPM costs'!S125)))</f>
        <v>0</v>
      </c>
      <c r="AW310" s="695"/>
      <c r="AX310" s="1492">
        <f t="shared" si="32"/>
        <v>0</v>
      </c>
      <c r="AY310" s="1492"/>
      <c r="AZ310" s="698"/>
      <c r="BA310" s="699"/>
      <c r="BB310" s="697"/>
      <c r="BC310" s="697">
        <v>0</v>
      </c>
      <c r="BD310" s="697">
        <v>0</v>
      </c>
      <c r="BE310" s="697">
        <v>0</v>
      </c>
      <c r="BF310" s="697">
        <v>0</v>
      </c>
      <c r="BG310" s="697">
        <v>0</v>
      </c>
      <c r="BH310" s="697">
        <v>0</v>
      </c>
      <c r="BI310" s="697">
        <v>0</v>
      </c>
      <c r="BJ310" s="697">
        <v>0</v>
      </c>
      <c r="BK310" s="1492">
        <f t="shared" si="33"/>
        <v>0</v>
      </c>
      <c r="BL310" s="1492"/>
      <c r="BM310" s="1492">
        <f t="shared" si="34"/>
        <v>0</v>
      </c>
      <c r="BN310" s="1492">
        <f t="shared" si="35"/>
        <v>0</v>
      </c>
      <c r="BO310" s="697"/>
      <c r="BP310" s="697"/>
      <c r="BQ310" s="1495" t="s">
        <v>92</v>
      </c>
      <c r="BR310" s="1495" t="s">
        <v>818</v>
      </c>
      <c r="BS310" s="1902" t="s">
        <v>655</v>
      </c>
      <c r="BT310" s="1907" t="s">
        <v>2029</v>
      </c>
    </row>
    <row r="311" spans="1:72" ht="13">
      <c r="A311" s="1545">
        <v>867</v>
      </c>
      <c r="B311" s="1546" t="s">
        <v>800</v>
      </c>
      <c r="C311" s="1546" t="s">
        <v>801</v>
      </c>
      <c r="D311" s="1547" t="s">
        <v>6870</v>
      </c>
      <c r="E311" s="690" t="s">
        <v>660</v>
      </c>
      <c r="F311" s="691"/>
      <c r="G311" s="692"/>
      <c r="H311" s="692"/>
      <c r="I311" s="692"/>
      <c r="J311" s="693"/>
      <c r="K311" s="693"/>
      <c r="L311" s="693"/>
      <c r="M311" s="694"/>
      <c r="N311" s="695"/>
      <c r="O311" s="696" t="s">
        <v>1569</v>
      </c>
      <c r="P311" s="695">
        <f>'HIV-Key Info'!$G$82*(('HIV-Key Info'!$E$82*'HPM costs'!F379)+('HIV-Key Info'!$F$82*('HPM costs'!F382+'HPM costs'!F385)))</f>
        <v>0</v>
      </c>
      <c r="Q311" s="695" t="s">
        <v>1569</v>
      </c>
      <c r="R311" s="695">
        <f>'HIV-Key Info'!$G$82*(('HIV-Key Info'!$E$82*'HPM costs'!G379)+('HIV-Key Info'!$F$82*('HPM costs'!G382+'HPM costs'!G385)))</f>
        <v>0</v>
      </c>
      <c r="S311" s="695" t="s">
        <v>1569</v>
      </c>
      <c r="T311" s="695">
        <f>'HIV-Key Info'!$G$82*(('HIV-Key Info'!$E$82*'HPM costs'!H379)+('HIV-Key Info'!$F$82*('HPM costs'!H382+'HPM costs'!H385)))</f>
        <v>0</v>
      </c>
      <c r="U311" s="695" t="s">
        <v>1569</v>
      </c>
      <c r="V311" s="695">
        <f>'HIV-Key Info'!$G$82*(('HIV-Key Info'!$E$82*'HPM costs'!I379)+('HIV-Key Info'!$F$82*('HPM costs'!I382+'HPM costs'!I385)))</f>
        <v>0</v>
      </c>
      <c r="W311" s="695"/>
      <c r="X311" s="1492">
        <f t="shared" si="30"/>
        <v>0</v>
      </c>
      <c r="Y311" s="1493"/>
      <c r="Z311" s="1494"/>
      <c r="AA311" s="699"/>
      <c r="AB311" s="695"/>
      <c r="AC311" s="695">
        <f>'HIV-Key Info'!$G$82*(('HIV-Key Info'!$E$82*'HPM costs'!K379)+('HIV-Key Info'!$F$82*('HPM costs'!K382+'HPM costs'!K385)))</f>
        <v>0</v>
      </c>
      <c r="AD311" s="695"/>
      <c r="AE311" s="695">
        <f>'HIV-Key Info'!$G$82*(('HIV-Key Info'!$E$82*'HPM costs'!L379)+('HIV-Key Info'!$F$82*('HPM costs'!L382+'HPM costs'!L385)))</f>
        <v>0</v>
      </c>
      <c r="AF311" s="695"/>
      <c r="AG311" s="695">
        <f>'HIV-Key Info'!$G$82*(('HIV-Key Info'!$E$82*'HPM costs'!M379)+('HIV-Key Info'!$F$82*('HPM costs'!M382+'HPM costs'!M385)))</f>
        <v>0</v>
      </c>
      <c r="AH311" s="695"/>
      <c r="AI311" s="695">
        <f>'HIV-Key Info'!$G$82*(('HIV-Key Info'!$E$82*'HPM costs'!N379)+('HIV-Key Info'!$F$82*('HPM costs'!N382+'HPM costs'!N385)))</f>
        <v>0</v>
      </c>
      <c r="AJ311" s="695"/>
      <c r="AK311" s="1492">
        <f t="shared" si="31"/>
        <v>0</v>
      </c>
      <c r="AL311" s="1493"/>
      <c r="AM311" s="1494"/>
      <c r="AN311" s="699"/>
      <c r="AO311" s="695"/>
      <c r="AP311" s="695">
        <f>'HIV-Key Info'!$G$82*(('HIV-Key Info'!$E$82*'HPM costs'!P379)+('HIV-Key Info'!$F$82*('HPM costs'!P382+'HPM costs'!P385)))</f>
        <v>0</v>
      </c>
      <c r="AQ311" s="695"/>
      <c r="AR311" s="695">
        <f>'HIV-Key Info'!$G$82*(('HIV-Key Info'!$E$82*'HPM costs'!Q379)+('HIV-Key Info'!$F$82*('HPM costs'!Q382+'HPM costs'!Q385)))</f>
        <v>0</v>
      </c>
      <c r="AS311" s="695"/>
      <c r="AT311" s="695">
        <f>'HIV-Key Info'!$G$82*(('HIV-Key Info'!$E$82*'HPM costs'!R379)+('HIV-Key Info'!$F$82*('HPM costs'!R382+'HPM costs'!R385)))</f>
        <v>0</v>
      </c>
      <c r="AU311" s="695"/>
      <c r="AV311" s="695">
        <f>'HIV-Key Info'!$G$82*(('HIV-Key Info'!$E$82*'HPM costs'!S379)+('HIV-Key Info'!$F$82*('HPM costs'!S382+'HPM costs'!S385)))</f>
        <v>0</v>
      </c>
      <c r="AW311" s="695"/>
      <c r="AX311" s="1492">
        <f t="shared" si="32"/>
        <v>0</v>
      </c>
      <c r="AY311" s="1492"/>
      <c r="AZ311" s="698"/>
      <c r="BA311" s="699"/>
      <c r="BB311" s="697"/>
      <c r="BC311" s="697">
        <v>0</v>
      </c>
      <c r="BD311" s="697">
        <v>0</v>
      </c>
      <c r="BE311" s="697">
        <v>0</v>
      </c>
      <c r="BF311" s="697">
        <v>0</v>
      </c>
      <c r="BG311" s="697">
        <v>0</v>
      </c>
      <c r="BH311" s="697">
        <v>0</v>
      </c>
      <c r="BI311" s="697">
        <v>0</v>
      </c>
      <c r="BJ311" s="697">
        <v>0</v>
      </c>
      <c r="BK311" s="1492">
        <f t="shared" si="33"/>
        <v>0</v>
      </c>
      <c r="BL311" s="1492"/>
      <c r="BM311" s="1492">
        <f t="shared" si="34"/>
        <v>0</v>
      </c>
      <c r="BN311" s="1492">
        <f t="shared" si="35"/>
        <v>0</v>
      </c>
      <c r="BO311" s="697"/>
      <c r="BP311" s="697"/>
      <c r="BQ311" s="1495" t="s">
        <v>92</v>
      </c>
      <c r="BR311" s="1495" t="s">
        <v>818</v>
      </c>
      <c r="BS311" s="1902" t="s">
        <v>655</v>
      </c>
      <c r="BT311" s="1907" t="s">
        <v>2030</v>
      </c>
    </row>
    <row r="312" spans="1:72" ht="13">
      <c r="A312" s="1545">
        <v>868</v>
      </c>
      <c r="B312" s="1546" t="s">
        <v>800</v>
      </c>
      <c r="C312" s="1546" t="s">
        <v>801</v>
      </c>
      <c r="D312" s="1547" t="s">
        <v>6870</v>
      </c>
      <c r="E312" s="690" t="s">
        <v>662</v>
      </c>
      <c r="F312" s="691"/>
      <c r="G312" s="692"/>
      <c r="H312" s="692"/>
      <c r="I312" s="692"/>
      <c r="J312" s="693"/>
      <c r="K312" s="693"/>
      <c r="L312" s="693"/>
      <c r="M312" s="694"/>
      <c r="N312" s="695"/>
      <c r="O312" s="696" t="s">
        <v>1569</v>
      </c>
      <c r="P312" s="695">
        <f>'HIV-Key Info'!$G$82*(('HIV-Key Info'!$E$82*'HPM costs'!F465)+('HIV-Key Info'!$F$82*('HPM costs'!F468+'HPM costs'!F471)))</f>
        <v>0</v>
      </c>
      <c r="Q312" s="695" t="s">
        <v>1569</v>
      </c>
      <c r="R312" s="695">
        <f>'HIV-Key Info'!$G$82*(('HIV-Key Info'!$E$82*'HPM costs'!G465)+('HIV-Key Info'!$F$82*('HPM costs'!G468+'HPM costs'!G471)))</f>
        <v>0</v>
      </c>
      <c r="S312" s="695" t="s">
        <v>1569</v>
      </c>
      <c r="T312" s="695">
        <f>'HIV-Key Info'!$G$82*(('HIV-Key Info'!$E$82*'HPM costs'!H465)+('HIV-Key Info'!$F$82*('HPM costs'!H468+'HPM costs'!H471)))</f>
        <v>0</v>
      </c>
      <c r="U312" s="695" t="s">
        <v>1569</v>
      </c>
      <c r="V312" s="695">
        <f>'HIV-Key Info'!$G$82*(('HIV-Key Info'!$E$82*'HPM costs'!I465)+('HIV-Key Info'!$F$82*('HPM costs'!I468+'HPM costs'!I471)))</f>
        <v>0</v>
      </c>
      <c r="W312" s="695"/>
      <c r="X312" s="1492">
        <f t="shared" si="30"/>
        <v>0</v>
      </c>
      <c r="Y312" s="1493"/>
      <c r="Z312" s="1494"/>
      <c r="AA312" s="699"/>
      <c r="AB312" s="695"/>
      <c r="AC312" s="695">
        <f>'HIV-Key Info'!$G$82*(('HIV-Key Info'!$E$82*'HPM costs'!K465)+('HIV-Key Info'!$F$82*('HPM costs'!K468+'HPM costs'!K471)))</f>
        <v>0</v>
      </c>
      <c r="AD312" s="695"/>
      <c r="AE312" s="695">
        <f>'HIV-Key Info'!$G$82*(('HIV-Key Info'!$E$82*'HPM costs'!L465)+('HIV-Key Info'!$F$82*('HPM costs'!L468+'HPM costs'!L471)))</f>
        <v>0</v>
      </c>
      <c r="AF312" s="695"/>
      <c r="AG312" s="695">
        <f>'HIV-Key Info'!$G$82*(('HIV-Key Info'!$E$82*'HPM costs'!M465)+('HIV-Key Info'!$F$82*('HPM costs'!M468+'HPM costs'!M471)))</f>
        <v>0</v>
      </c>
      <c r="AH312" s="695"/>
      <c r="AI312" s="695">
        <f>'HIV-Key Info'!$G$82*(('HIV-Key Info'!$E$82*'HPM costs'!N465)+('HIV-Key Info'!$F$82*('HPM costs'!N468+'HPM costs'!N471)))</f>
        <v>0</v>
      </c>
      <c r="AJ312" s="695"/>
      <c r="AK312" s="1492">
        <f t="shared" si="31"/>
        <v>0</v>
      </c>
      <c r="AL312" s="1493"/>
      <c r="AM312" s="1494"/>
      <c r="AN312" s="699"/>
      <c r="AO312" s="695"/>
      <c r="AP312" s="695">
        <f>'HIV-Key Info'!$G$82*(('HIV-Key Info'!$E$82*'HPM costs'!P465)+('HIV-Key Info'!$F$82*('HPM costs'!P468+'HPM costs'!P471)))</f>
        <v>0</v>
      </c>
      <c r="AQ312" s="695"/>
      <c r="AR312" s="695">
        <f>'HIV-Key Info'!$G$82*(('HIV-Key Info'!$E$82*'HPM costs'!Q465)+('HIV-Key Info'!$F$82*('HPM costs'!Q468+'HPM costs'!Q471)))</f>
        <v>0</v>
      </c>
      <c r="AS312" s="695"/>
      <c r="AT312" s="695">
        <f>'HIV-Key Info'!$G$82*(('HIV-Key Info'!$E$82*'HPM costs'!R465)+('HIV-Key Info'!$F$82*('HPM costs'!R468+'HPM costs'!R471)))</f>
        <v>0</v>
      </c>
      <c r="AU312" s="695"/>
      <c r="AV312" s="695">
        <f>'HIV-Key Info'!$G$82*(('HIV-Key Info'!$E$82*'HPM costs'!S465)+('HIV-Key Info'!$F$82*('HPM costs'!S468+'HPM costs'!S471)))</f>
        <v>0</v>
      </c>
      <c r="AW312" s="695"/>
      <c r="AX312" s="1492">
        <f t="shared" si="32"/>
        <v>0</v>
      </c>
      <c r="AY312" s="1492"/>
      <c r="AZ312" s="698"/>
      <c r="BA312" s="699"/>
      <c r="BB312" s="697"/>
      <c r="BC312" s="697">
        <v>0</v>
      </c>
      <c r="BD312" s="697">
        <v>0</v>
      </c>
      <c r="BE312" s="697">
        <v>0</v>
      </c>
      <c r="BF312" s="697">
        <v>0</v>
      </c>
      <c r="BG312" s="697">
        <v>0</v>
      </c>
      <c r="BH312" s="697">
        <v>0</v>
      </c>
      <c r="BI312" s="697">
        <v>0</v>
      </c>
      <c r="BJ312" s="697">
        <v>0</v>
      </c>
      <c r="BK312" s="1492">
        <f t="shared" si="33"/>
        <v>0</v>
      </c>
      <c r="BL312" s="1492"/>
      <c r="BM312" s="1492">
        <f t="shared" si="34"/>
        <v>0</v>
      </c>
      <c r="BN312" s="1492">
        <f t="shared" si="35"/>
        <v>0</v>
      </c>
      <c r="BO312" s="697"/>
      <c r="BP312" s="697"/>
      <c r="BQ312" s="1495" t="s">
        <v>92</v>
      </c>
      <c r="BR312" s="1495" t="s">
        <v>818</v>
      </c>
      <c r="BS312" s="1902" t="s">
        <v>655</v>
      </c>
      <c r="BT312" s="1907" t="s">
        <v>2031</v>
      </c>
    </row>
    <row r="313" spans="1:72" ht="13">
      <c r="A313" s="1545">
        <v>869</v>
      </c>
      <c r="B313" s="1546" t="s">
        <v>800</v>
      </c>
      <c r="C313" s="1546" t="s">
        <v>801</v>
      </c>
      <c r="D313" s="1547" t="s">
        <v>6870</v>
      </c>
      <c r="E313" s="690" t="s">
        <v>664</v>
      </c>
      <c r="F313" s="691"/>
      <c r="G313" s="692"/>
      <c r="H313" s="692"/>
      <c r="I313" s="692"/>
      <c r="J313" s="693"/>
      <c r="K313" s="693"/>
      <c r="L313" s="693"/>
      <c r="M313" s="694"/>
      <c r="N313" s="695"/>
      <c r="O313" s="696" t="s">
        <v>1569</v>
      </c>
      <c r="P313" s="695">
        <f>'HIV-Key Info'!$G$82*(('HIV-Key Info'!$E$82*('HPM costs'!F205+'HPM costs'!F551))+('HIV-Key Info'!$F$82*('HPM costs'!F208+'HPM costs'!F211+'HPM costs'!F554+'HPM costs'!F557)))</f>
        <v>0</v>
      </c>
      <c r="Q313" s="695" t="s">
        <v>1569</v>
      </c>
      <c r="R313" s="695">
        <f>'HIV-Key Info'!$G$82*(('HIV-Key Info'!$E$82*('HPM costs'!G205+'HPM costs'!G551))+('HIV-Key Info'!$F$82*('HPM costs'!G208+'HPM costs'!G211+'HPM costs'!G554+'HPM costs'!G557)))</f>
        <v>0</v>
      </c>
      <c r="S313" s="695" t="s">
        <v>1569</v>
      </c>
      <c r="T313" s="695">
        <f>'HIV-Key Info'!$G$82*(('HIV-Key Info'!$E$82*('HPM costs'!H205+'HPM costs'!H551))+('HIV-Key Info'!$F$82*('HPM costs'!H208+'HPM costs'!H211+'HPM costs'!H554+'HPM costs'!H557)))</f>
        <v>0</v>
      </c>
      <c r="U313" s="695" t="s">
        <v>1569</v>
      </c>
      <c r="V313" s="695">
        <f>'HIV-Key Info'!$G$82*(('HIV-Key Info'!$E$82*('HPM costs'!I205+'HPM costs'!I551))+('HIV-Key Info'!$F$82*('HPM costs'!I208+'HPM costs'!I211+'HPM costs'!I554+'HPM costs'!I557)))</f>
        <v>0</v>
      </c>
      <c r="W313" s="695"/>
      <c r="X313" s="1492">
        <f t="shared" si="30"/>
        <v>0</v>
      </c>
      <c r="Y313" s="1493"/>
      <c r="Z313" s="1494"/>
      <c r="AA313" s="699"/>
      <c r="AB313" s="695"/>
      <c r="AC313" s="695">
        <f>'HIV-Key Info'!$G$82*(('HIV-Key Info'!$E$82*('HPM costs'!K205+'HPM costs'!K551))+('HIV-Key Info'!$F$82*('HPM costs'!K208+'HPM costs'!K211+'HPM costs'!K554+'HPM costs'!K557)))</f>
        <v>0</v>
      </c>
      <c r="AD313" s="695"/>
      <c r="AE313" s="695">
        <f>'HIV-Key Info'!$G$82*(('HIV-Key Info'!$E$82*('HPM costs'!L205+'HPM costs'!L551))+('HIV-Key Info'!$F$82*('HPM costs'!L208+'HPM costs'!L211+'HPM costs'!L554+'HPM costs'!L557)))</f>
        <v>0</v>
      </c>
      <c r="AF313" s="695"/>
      <c r="AG313" s="695">
        <f>'HIV-Key Info'!$G$82*(('HIV-Key Info'!$E$82*('HPM costs'!M205+'HPM costs'!M551))+('HIV-Key Info'!$F$82*('HPM costs'!M208+'HPM costs'!M211+'HPM costs'!M554+'HPM costs'!M557)))</f>
        <v>0</v>
      </c>
      <c r="AH313" s="695"/>
      <c r="AI313" s="695">
        <f>'HIV-Key Info'!$G$82*(('HIV-Key Info'!$E$82*('HPM costs'!N205+'HPM costs'!N551))+('HIV-Key Info'!$F$82*('HPM costs'!N208+'HPM costs'!N211+'HPM costs'!N554+'HPM costs'!N557)))</f>
        <v>0</v>
      </c>
      <c r="AJ313" s="695"/>
      <c r="AK313" s="1492">
        <f t="shared" si="31"/>
        <v>0</v>
      </c>
      <c r="AL313" s="1493"/>
      <c r="AM313" s="1494"/>
      <c r="AN313" s="699"/>
      <c r="AO313" s="695"/>
      <c r="AP313" s="695">
        <f>'HIV-Key Info'!$G$82*(('HIV-Key Info'!$E$82*('HPM costs'!P205+'HPM costs'!P551))+('HIV-Key Info'!$F$82*('HPM costs'!P208+'HPM costs'!P211+'HPM costs'!P554+'HPM costs'!P557)))</f>
        <v>0</v>
      </c>
      <c r="AQ313" s="695"/>
      <c r="AR313" s="695">
        <f>'HIV-Key Info'!$G$82*(('HIV-Key Info'!$E$82*('HPM costs'!Q205+'HPM costs'!Q551))+('HIV-Key Info'!$F$82*('HPM costs'!Q208+'HPM costs'!Q211+'HPM costs'!Q554+'HPM costs'!Q557)))</f>
        <v>0</v>
      </c>
      <c r="AS313" s="695"/>
      <c r="AT313" s="695">
        <f>'HIV-Key Info'!$G$82*(('HIV-Key Info'!$E$82*('HPM costs'!R205+'HPM costs'!R551))+('HIV-Key Info'!$F$82*('HPM costs'!R208+'HPM costs'!R211+'HPM costs'!R554+'HPM costs'!R557)))</f>
        <v>0</v>
      </c>
      <c r="AU313" s="695"/>
      <c r="AV313" s="695">
        <f>'HIV-Key Info'!$G$82*(('HIV-Key Info'!$E$82*('HPM costs'!S205+'HPM costs'!S551))+('HIV-Key Info'!$F$82*('HPM costs'!S208+'HPM costs'!S211+'HPM costs'!S554+'HPM costs'!S557)))</f>
        <v>0</v>
      </c>
      <c r="AW313" s="695"/>
      <c r="AX313" s="1492">
        <f t="shared" si="32"/>
        <v>0</v>
      </c>
      <c r="AY313" s="1492"/>
      <c r="AZ313" s="698"/>
      <c r="BA313" s="699"/>
      <c r="BB313" s="697"/>
      <c r="BC313" s="697">
        <v>0</v>
      </c>
      <c r="BD313" s="697">
        <v>0</v>
      </c>
      <c r="BE313" s="697">
        <v>0</v>
      </c>
      <c r="BF313" s="697">
        <v>0</v>
      </c>
      <c r="BG313" s="697">
        <v>0</v>
      </c>
      <c r="BH313" s="697">
        <v>0</v>
      </c>
      <c r="BI313" s="697">
        <v>0</v>
      </c>
      <c r="BJ313" s="697">
        <v>0</v>
      </c>
      <c r="BK313" s="1492">
        <f t="shared" si="33"/>
        <v>0</v>
      </c>
      <c r="BL313" s="1492"/>
      <c r="BM313" s="1492">
        <f t="shared" si="34"/>
        <v>0</v>
      </c>
      <c r="BN313" s="1492">
        <f t="shared" si="35"/>
        <v>0</v>
      </c>
      <c r="BO313" s="697"/>
      <c r="BP313" s="697"/>
      <c r="BQ313" s="1495" t="s">
        <v>92</v>
      </c>
      <c r="BR313" s="1495" t="s">
        <v>818</v>
      </c>
      <c r="BS313" s="1902" t="s">
        <v>655</v>
      </c>
      <c r="BT313" s="1907" t="s">
        <v>2032</v>
      </c>
    </row>
    <row r="314" spans="1:72" ht="13">
      <c r="A314" s="1545">
        <v>870</v>
      </c>
      <c r="B314" s="1546" t="s">
        <v>800</v>
      </c>
      <c r="C314" s="1546" t="s">
        <v>801</v>
      </c>
      <c r="D314" s="1547" t="s">
        <v>6870</v>
      </c>
      <c r="E314" s="690" t="s">
        <v>666</v>
      </c>
      <c r="F314" s="691"/>
      <c r="G314" s="692"/>
      <c r="H314" s="692"/>
      <c r="I314" s="692"/>
      <c r="J314" s="693"/>
      <c r="K314" s="693"/>
      <c r="L314" s="693"/>
      <c r="M314" s="694"/>
      <c r="N314" s="695"/>
      <c r="O314" s="696" t="s">
        <v>1569</v>
      </c>
      <c r="P314" s="695">
        <f>'HIV-Key Info'!$G$82*(('HIV-Key Info'!$E$82*'HPM costs'!F291)+('HIV-Key Info'!$F$82*('HPM costs'!F294+'HPM costs'!F297)))</f>
        <v>0</v>
      </c>
      <c r="Q314" s="695" t="s">
        <v>1569</v>
      </c>
      <c r="R314" s="695">
        <f>'HIV-Key Info'!$G$82*(('HIV-Key Info'!$E$82*'HPM costs'!G291)+('HIV-Key Info'!$F$82*('HPM costs'!G294+'HPM costs'!G297)))</f>
        <v>0</v>
      </c>
      <c r="S314" s="695" t="s">
        <v>1569</v>
      </c>
      <c r="T314" s="695">
        <f>'HIV-Key Info'!$G$82*(('HIV-Key Info'!$E$82*'HPM costs'!H291)+('HIV-Key Info'!$F$82*('HPM costs'!H294+'HPM costs'!H297)))</f>
        <v>0</v>
      </c>
      <c r="U314" s="695" t="s">
        <v>1569</v>
      </c>
      <c r="V314" s="695">
        <f>'HIV-Key Info'!$G$82*(('HIV-Key Info'!$E$82*'HPM costs'!I291)+('HIV-Key Info'!$F$82*('HPM costs'!I294+'HPM costs'!I297)))</f>
        <v>0</v>
      </c>
      <c r="W314" s="695"/>
      <c r="X314" s="1492">
        <f t="shared" si="30"/>
        <v>0</v>
      </c>
      <c r="Y314" s="1493"/>
      <c r="Z314" s="1494"/>
      <c r="AA314" s="699"/>
      <c r="AB314" s="695"/>
      <c r="AC314" s="695">
        <f>'HIV-Key Info'!$G$82*(('HIV-Key Info'!$E$82*'HPM costs'!K291)+('HIV-Key Info'!$F$82*('HPM costs'!K294+'HPM costs'!K297)))</f>
        <v>0</v>
      </c>
      <c r="AD314" s="695"/>
      <c r="AE314" s="695">
        <f>'HIV-Key Info'!$G$82*(('HIV-Key Info'!$E$82*'HPM costs'!L291)+('HIV-Key Info'!$F$82*('HPM costs'!L294+'HPM costs'!L297)))</f>
        <v>0</v>
      </c>
      <c r="AF314" s="695"/>
      <c r="AG314" s="695">
        <f>'HIV-Key Info'!$G$82*(('HIV-Key Info'!$E$82*'HPM costs'!M291)+('HIV-Key Info'!$F$82*('HPM costs'!M294+'HPM costs'!M297)))</f>
        <v>0</v>
      </c>
      <c r="AH314" s="695"/>
      <c r="AI314" s="695">
        <f>'HIV-Key Info'!$G$82*(('HIV-Key Info'!$E$82*'HPM costs'!N291)+('HIV-Key Info'!$F$82*('HPM costs'!N294+'HPM costs'!N297)))</f>
        <v>0</v>
      </c>
      <c r="AJ314" s="695"/>
      <c r="AK314" s="1492">
        <f t="shared" si="31"/>
        <v>0</v>
      </c>
      <c r="AL314" s="1493"/>
      <c r="AM314" s="1494"/>
      <c r="AN314" s="699"/>
      <c r="AO314" s="695"/>
      <c r="AP314" s="695">
        <f>'HIV-Key Info'!$G$82*(('HIV-Key Info'!$E$82*'HPM costs'!P291)+('HIV-Key Info'!$F$82*('HPM costs'!P294+'HPM costs'!P297)))</f>
        <v>0</v>
      </c>
      <c r="AQ314" s="695"/>
      <c r="AR314" s="695">
        <f>'HIV-Key Info'!$G$82*(('HIV-Key Info'!$E$82*'HPM costs'!Q291)+('HIV-Key Info'!$F$82*('HPM costs'!Q294+'HPM costs'!Q297)))</f>
        <v>0</v>
      </c>
      <c r="AS314" s="695"/>
      <c r="AT314" s="695">
        <f>'HIV-Key Info'!$G$82*(('HIV-Key Info'!$E$82*'HPM costs'!R291)+('HIV-Key Info'!$F$82*('HPM costs'!R294+'HPM costs'!R297)))</f>
        <v>0</v>
      </c>
      <c r="AU314" s="695"/>
      <c r="AV314" s="695">
        <f>'HIV-Key Info'!$G$82*(('HIV-Key Info'!$E$82*'HPM costs'!S291)+('HIV-Key Info'!$F$82*('HPM costs'!S294+'HPM costs'!S297)))</f>
        <v>0</v>
      </c>
      <c r="AW314" s="695"/>
      <c r="AX314" s="1492">
        <f t="shared" si="32"/>
        <v>0</v>
      </c>
      <c r="AY314" s="1492"/>
      <c r="AZ314" s="698"/>
      <c r="BA314" s="699"/>
      <c r="BB314" s="697"/>
      <c r="BC314" s="697">
        <v>0</v>
      </c>
      <c r="BD314" s="697">
        <v>0</v>
      </c>
      <c r="BE314" s="697">
        <v>0</v>
      </c>
      <c r="BF314" s="697">
        <v>0</v>
      </c>
      <c r="BG314" s="697">
        <v>0</v>
      </c>
      <c r="BH314" s="697">
        <v>0</v>
      </c>
      <c r="BI314" s="697">
        <v>0</v>
      </c>
      <c r="BJ314" s="697">
        <v>0</v>
      </c>
      <c r="BK314" s="1492">
        <f t="shared" si="33"/>
        <v>0</v>
      </c>
      <c r="BL314" s="1492"/>
      <c r="BM314" s="1492">
        <f t="shared" si="34"/>
        <v>0</v>
      </c>
      <c r="BN314" s="1492">
        <f t="shared" si="35"/>
        <v>0</v>
      </c>
      <c r="BO314" s="697"/>
      <c r="BP314" s="697"/>
      <c r="BQ314" s="1495" t="s">
        <v>92</v>
      </c>
      <c r="BR314" s="1495" t="s">
        <v>818</v>
      </c>
      <c r="BS314" s="1902" t="s">
        <v>655</v>
      </c>
      <c r="BT314" s="1907" t="s">
        <v>2033</v>
      </c>
    </row>
    <row r="315" spans="1:72" ht="13">
      <c r="A315" s="1545">
        <v>871</v>
      </c>
      <c r="B315" s="1546" t="s">
        <v>800</v>
      </c>
      <c r="C315" s="1546" t="s">
        <v>801</v>
      </c>
      <c r="D315" s="1547" t="s">
        <v>6870</v>
      </c>
      <c r="E315" s="690" t="s">
        <v>668</v>
      </c>
      <c r="F315" s="691"/>
      <c r="G315" s="692"/>
      <c r="H315" s="692"/>
      <c r="I315" s="692"/>
      <c r="J315" s="693"/>
      <c r="K315" s="693"/>
      <c r="L315" s="693"/>
      <c r="M315" s="694"/>
      <c r="N315" s="695"/>
      <c r="O315" s="696" t="s">
        <v>1569</v>
      </c>
      <c r="P315" s="695">
        <f>'HIV-Key Info'!$G$82*(('HIV-Key Info'!$E$82*'HPM costs'!F636)+('HIV-Key Info'!$F$82*('HPM costs'!F639+'HPM costs'!F642)))</f>
        <v>0</v>
      </c>
      <c r="Q315" s="695" t="s">
        <v>1569</v>
      </c>
      <c r="R315" s="695">
        <f>'HIV-Key Info'!$G$82*(('HIV-Key Info'!$E$82*'HPM costs'!G636)+('HIV-Key Info'!$F$82*('HPM costs'!G639+'HPM costs'!G642)))</f>
        <v>0</v>
      </c>
      <c r="S315" s="695" t="s">
        <v>1569</v>
      </c>
      <c r="T315" s="695">
        <f>'HIV-Key Info'!$G$82*(('HIV-Key Info'!$E$82*'HPM costs'!H636)+('HIV-Key Info'!$F$82*('HPM costs'!H639+'HPM costs'!H642)))</f>
        <v>0</v>
      </c>
      <c r="U315" s="695" t="s">
        <v>1569</v>
      </c>
      <c r="V315" s="695">
        <f>'HIV-Key Info'!$G$82*(('HIV-Key Info'!$E$82*'HPM costs'!I636)+('HIV-Key Info'!$F$82*('HPM costs'!I639+'HPM costs'!I642)))</f>
        <v>0</v>
      </c>
      <c r="W315" s="695"/>
      <c r="X315" s="1492">
        <f t="shared" si="30"/>
        <v>0</v>
      </c>
      <c r="Y315" s="1493"/>
      <c r="Z315" s="1494"/>
      <c r="AA315" s="699"/>
      <c r="AB315" s="695"/>
      <c r="AC315" s="695">
        <f>'HIV-Key Info'!$G$82*(('HIV-Key Info'!$E$82*'HPM costs'!K636)+('HIV-Key Info'!$F$82*('HPM costs'!K639+'HPM costs'!K642)))</f>
        <v>0</v>
      </c>
      <c r="AD315" s="695"/>
      <c r="AE315" s="695">
        <f>'HIV-Key Info'!$G$82*(('HIV-Key Info'!$E$82*'HPM costs'!L636)+('HIV-Key Info'!$F$82*('HPM costs'!L639+'HPM costs'!L642)))</f>
        <v>0</v>
      </c>
      <c r="AF315" s="695"/>
      <c r="AG315" s="695">
        <f>'HIV-Key Info'!$G$82*(('HIV-Key Info'!$E$82*'HPM costs'!M636)+('HIV-Key Info'!$F$82*('HPM costs'!M639+'HPM costs'!M642)))</f>
        <v>0</v>
      </c>
      <c r="AH315" s="695"/>
      <c r="AI315" s="695">
        <f>'HIV-Key Info'!$G$82*(('HIV-Key Info'!$E$82*'HPM costs'!N636)+('HIV-Key Info'!$F$82*('HPM costs'!N639+'HPM costs'!N642)))</f>
        <v>0</v>
      </c>
      <c r="AJ315" s="695"/>
      <c r="AK315" s="1492">
        <f t="shared" si="31"/>
        <v>0</v>
      </c>
      <c r="AL315" s="1493"/>
      <c r="AM315" s="1494"/>
      <c r="AN315" s="699"/>
      <c r="AO315" s="695"/>
      <c r="AP315" s="695">
        <f>'HIV-Key Info'!$G$82*(('HIV-Key Info'!$E$82*'HPM costs'!P636)+('HIV-Key Info'!$F$82*('HPM costs'!P639+'HPM costs'!P642)))</f>
        <v>0</v>
      </c>
      <c r="AQ315" s="695"/>
      <c r="AR315" s="695">
        <f>'HIV-Key Info'!$G$82*(('HIV-Key Info'!$E$82*'HPM costs'!Q636)+('HIV-Key Info'!$F$82*('HPM costs'!Q639+'HPM costs'!Q642)))</f>
        <v>0</v>
      </c>
      <c r="AS315" s="695"/>
      <c r="AT315" s="695">
        <f>'HIV-Key Info'!$G$82*(('HIV-Key Info'!$E$82*'HPM costs'!R636)+('HIV-Key Info'!$F$82*('HPM costs'!R639+'HPM costs'!R642)))</f>
        <v>0</v>
      </c>
      <c r="AU315" s="695"/>
      <c r="AV315" s="695">
        <f>'HIV-Key Info'!$G$82*(('HIV-Key Info'!$E$82*'HPM costs'!S636)+('HIV-Key Info'!$F$82*('HPM costs'!S639+'HPM costs'!S642)))</f>
        <v>0</v>
      </c>
      <c r="AW315" s="695"/>
      <c r="AX315" s="1492">
        <f t="shared" si="32"/>
        <v>0</v>
      </c>
      <c r="AY315" s="1492"/>
      <c r="AZ315" s="698"/>
      <c r="BA315" s="699"/>
      <c r="BB315" s="697"/>
      <c r="BC315" s="697">
        <v>0</v>
      </c>
      <c r="BD315" s="697">
        <v>0</v>
      </c>
      <c r="BE315" s="697">
        <v>0</v>
      </c>
      <c r="BF315" s="697">
        <v>0</v>
      </c>
      <c r="BG315" s="697">
        <v>0</v>
      </c>
      <c r="BH315" s="697">
        <v>0</v>
      </c>
      <c r="BI315" s="697">
        <v>0</v>
      </c>
      <c r="BJ315" s="697">
        <v>0</v>
      </c>
      <c r="BK315" s="1492">
        <f t="shared" si="33"/>
        <v>0</v>
      </c>
      <c r="BL315" s="1492"/>
      <c r="BM315" s="1492">
        <f t="shared" si="34"/>
        <v>0</v>
      </c>
      <c r="BN315" s="1492">
        <f t="shared" si="35"/>
        <v>0</v>
      </c>
      <c r="BO315" s="697"/>
      <c r="BP315" s="697"/>
      <c r="BQ315" s="1495" t="s">
        <v>92</v>
      </c>
      <c r="BR315" s="1495" t="s">
        <v>818</v>
      </c>
      <c r="BS315" s="1902" t="s">
        <v>655</v>
      </c>
      <c r="BT315" s="1907" t="s">
        <v>2034</v>
      </c>
    </row>
    <row r="316" spans="1:72" ht="13">
      <c r="A316" s="1545">
        <v>872</v>
      </c>
      <c r="B316" s="1546" t="s">
        <v>800</v>
      </c>
      <c r="C316" s="1546" t="s">
        <v>802</v>
      </c>
      <c r="D316" s="1547" t="s">
        <v>6955</v>
      </c>
      <c r="E316" s="690" t="s">
        <v>731</v>
      </c>
      <c r="F316" s="691"/>
      <c r="G316" s="692"/>
      <c r="H316" s="692"/>
      <c r="I316" s="692"/>
      <c r="J316" s="693"/>
      <c r="K316" s="693"/>
      <c r="L316" s="693"/>
      <c r="M316" s="694"/>
      <c r="N316" s="695"/>
      <c r="O316" s="696" t="s">
        <v>1569</v>
      </c>
      <c r="P316" s="695">
        <f>'HIV-Key Info'!$H$82*('HIV-Key Info'!$E$82*('HPM costs'!F551/'HPM costs'!$E$551)+'HIV-Key Info'!$F$82*('HPM costs'!F557/'HPM costs'!$E$557+'HPM costs'!F554/'HPM costs'!$E$554))</f>
        <v>0</v>
      </c>
      <c r="Q316" s="695" t="s">
        <v>1569</v>
      </c>
      <c r="R316" s="695">
        <f>'HIV-Key Info'!$H$82*('HIV-Key Info'!$E$82*('HPM costs'!G551/'HPM costs'!$E$551)+'HIV-Key Info'!$F$82*('HPM costs'!G557/'HPM costs'!$E$557+'HPM costs'!G554/'HPM costs'!$E$554))</f>
        <v>0</v>
      </c>
      <c r="S316" s="695" t="s">
        <v>1569</v>
      </c>
      <c r="T316" s="695">
        <f>'HIV-Key Info'!$H$82*('HIV-Key Info'!$E$82*('HPM costs'!H551/'HPM costs'!$E$551)+'HIV-Key Info'!$F$82*('HPM costs'!H557/'HPM costs'!$E$557+'HPM costs'!H554/'HPM costs'!$E$554))</f>
        <v>0</v>
      </c>
      <c r="U316" s="695" t="s">
        <v>1569</v>
      </c>
      <c r="V316" s="695">
        <f>'HIV-Key Info'!$H$82*('HIV-Key Info'!$E$82*('HPM costs'!I551/'HPM costs'!$E$551)+'HIV-Key Info'!$F$82*('HPM costs'!I557/'HPM costs'!$E$557+'HPM costs'!I554/'HPM costs'!$E$554))</f>
        <v>0</v>
      </c>
      <c r="W316" s="695"/>
      <c r="X316" s="1492">
        <f t="shared" si="30"/>
        <v>0</v>
      </c>
      <c r="Y316" s="1493"/>
      <c r="Z316" s="1494"/>
      <c r="AA316" s="699"/>
      <c r="AB316" s="695"/>
      <c r="AC316" s="695">
        <f>'HIV-Key Info'!$H$82*('HIV-Key Info'!$E$82*('HPM costs'!K551/'HPM costs'!$E$551)+'HIV-Key Info'!$F$82*('HPM costs'!K557/'HPM costs'!$E$557+'HPM costs'!K554/'HPM costs'!$E$554))</f>
        <v>0</v>
      </c>
      <c r="AD316" s="695"/>
      <c r="AE316" s="695">
        <f>'HIV-Key Info'!$H$82*('HIV-Key Info'!$E$82*('HPM costs'!L551/'HPM costs'!$E$551)+'HIV-Key Info'!$F$82*('HPM costs'!L557/'HPM costs'!$E$557+'HPM costs'!L554/'HPM costs'!$E$554))</f>
        <v>0</v>
      </c>
      <c r="AF316" s="695"/>
      <c r="AG316" s="695">
        <f>'HIV-Key Info'!$H$82*('HIV-Key Info'!$E$82*('HPM costs'!M551/'HPM costs'!$E$551)+'HIV-Key Info'!$F$82*('HPM costs'!M557/'HPM costs'!$E$557+'HPM costs'!M554/'HPM costs'!$E$554))</f>
        <v>0</v>
      </c>
      <c r="AH316" s="695"/>
      <c r="AI316" s="695">
        <f>'HIV-Key Info'!$H$82*('HIV-Key Info'!$E$82*('HPM costs'!N551/'HPM costs'!$E$551)+'HIV-Key Info'!$F$82*('HPM costs'!N557/'HPM costs'!$E$557+'HPM costs'!N554/'HPM costs'!$E$554))</f>
        <v>0</v>
      </c>
      <c r="AJ316" s="695"/>
      <c r="AK316" s="1492">
        <f t="shared" si="31"/>
        <v>0</v>
      </c>
      <c r="AL316" s="1493"/>
      <c r="AM316" s="1494"/>
      <c r="AN316" s="699"/>
      <c r="AO316" s="695"/>
      <c r="AP316" s="695">
        <f>'HIV-Key Info'!$H$82*('HIV-Key Info'!$E$82*('HPM costs'!P551/'HPM costs'!$E$551)+'HIV-Key Info'!$F$82*('HPM costs'!P557/'HPM costs'!$E$557+'HPM costs'!P554/'HPM costs'!$E$554))</f>
        <v>0</v>
      </c>
      <c r="AQ316" s="695"/>
      <c r="AR316" s="695">
        <f>'HIV-Key Info'!$H$82*('HIV-Key Info'!$E$82*('HPM costs'!Q551/'HPM costs'!$E$551)+'HIV-Key Info'!$F$82*('HPM costs'!Q557/'HPM costs'!$E$557+'HPM costs'!Q554/'HPM costs'!$E$554))</f>
        <v>0</v>
      </c>
      <c r="AS316" s="695"/>
      <c r="AT316" s="695">
        <f>'HIV-Key Info'!$H$82*('HIV-Key Info'!$E$82*('HPM costs'!R551/'HPM costs'!$E$551)+'HIV-Key Info'!$F$82*('HPM costs'!R557/'HPM costs'!$E$557+'HPM costs'!R554/'HPM costs'!$E$554))</f>
        <v>0</v>
      </c>
      <c r="AU316" s="695"/>
      <c r="AV316" s="695">
        <f>'HIV-Key Info'!$H$82*('HIV-Key Info'!$E$82*('HPM costs'!S551/'HPM costs'!$E$551)+'HIV-Key Info'!$F$82*('HPM costs'!S557/'HPM costs'!$E$557+'HPM costs'!S554/'HPM costs'!$E$554))</f>
        <v>0</v>
      </c>
      <c r="AW316" s="695"/>
      <c r="AX316" s="1492">
        <f t="shared" si="32"/>
        <v>0</v>
      </c>
      <c r="AY316" s="1492"/>
      <c r="AZ316" s="698"/>
      <c r="BA316" s="699"/>
      <c r="BB316" s="697"/>
      <c r="BC316" s="697">
        <v>0</v>
      </c>
      <c r="BD316" s="697">
        <v>0</v>
      </c>
      <c r="BE316" s="697">
        <v>0</v>
      </c>
      <c r="BF316" s="697">
        <v>0</v>
      </c>
      <c r="BG316" s="697">
        <v>0</v>
      </c>
      <c r="BH316" s="697">
        <v>0</v>
      </c>
      <c r="BI316" s="697">
        <v>0</v>
      </c>
      <c r="BJ316" s="697">
        <v>0</v>
      </c>
      <c r="BK316" s="1492">
        <f t="shared" si="33"/>
        <v>0</v>
      </c>
      <c r="BL316" s="1492"/>
      <c r="BM316" s="1492">
        <f t="shared" si="34"/>
        <v>0</v>
      </c>
      <c r="BN316" s="1492">
        <f t="shared" si="35"/>
        <v>0</v>
      </c>
      <c r="BO316" s="697"/>
      <c r="BP316" s="697"/>
      <c r="BQ316" s="1495" t="s">
        <v>92</v>
      </c>
      <c r="BR316" s="1495" t="s">
        <v>818</v>
      </c>
      <c r="BS316" s="1902" t="s">
        <v>6953</v>
      </c>
      <c r="BT316" s="1907" t="s">
        <v>2035</v>
      </c>
    </row>
    <row r="317" spans="1:72" ht="13">
      <c r="A317" s="1545">
        <v>873</v>
      </c>
      <c r="B317" s="1546" t="s">
        <v>800</v>
      </c>
      <c r="C317" s="1546" t="s">
        <v>802</v>
      </c>
      <c r="D317" s="1547" t="s">
        <v>6870</v>
      </c>
      <c r="E317" s="690" t="s">
        <v>656</v>
      </c>
      <c r="F317" s="691"/>
      <c r="G317" s="692"/>
      <c r="H317" s="692"/>
      <c r="I317" s="692"/>
      <c r="J317" s="693"/>
      <c r="K317" s="693"/>
      <c r="L317" s="693"/>
      <c r="M317" s="694"/>
      <c r="N317" s="695"/>
      <c r="O317" s="696" t="s">
        <v>1569</v>
      </c>
      <c r="P317" s="695">
        <f>'HIV-Key Info'!$H$82*(('HIV-Key Info'!$E$82*'HPM costs'!F33)+('HIV-Key Info'!$F$82*('HPM costs'!F36+'HPM costs'!F39)))</f>
        <v>0</v>
      </c>
      <c r="Q317" s="695" t="s">
        <v>1569</v>
      </c>
      <c r="R317" s="695">
        <f>'HIV-Key Info'!$H$82*(('HIV-Key Info'!$E$82*'HPM costs'!G33)+('HIV-Key Info'!$F$82*('HPM costs'!G36+'HPM costs'!G39)))</f>
        <v>0</v>
      </c>
      <c r="S317" s="695" t="s">
        <v>1569</v>
      </c>
      <c r="T317" s="695">
        <f>'HIV-Key Info'!$H$82*(('HIV-Key Info'!$E$82*'HPM costs'!H33)+('HIV-Key Info'!$F$82*('HPM costs'!H36+'HPM costs'!H39)))</f>
        <v>0</v>
      </c>
      <c r="U317" s="695" t="s">
        <v>1569</v>
      </c>
      <c r="V317" s="695">
        <f>'HIV-Key Info'!$H$82*(('HIV-Key Info'!$E$82*'HPM costs'!I33)+('HIV-Key Info'!$F$82*('HPM costs'!I36+'HPM costs'!I39)))</f>
        <v>0</v>
      </c>
      <c r="W317" s="695"/>
      <c r="X317" s="1492">
        <f t="shared" si="30"/>
        <v>0</v>
      </c>
      <c r="Y317" s="1493"/>
      <c r="Z317" s="1494"/>
      <c r="AA317" s="699"/>
      <c r="AB317" s="695"/>
      <c r="AC317" s="695">
        <f>'HIV-Key Info'!$H$82*(('HIV-Key Info'!$E$82*'HPM costs'!K33)+('HIV-Key Info'!$F$82*('HPM costs'!K36+'HPM costs'!K39)))</f>
        <v>0</v>
      </c>
      <c r="AD317" s="695"/>
      <c r="AE317" s="695">
        <f>'HIV-Key Info'!$H$82*(('HIV-Key Info'!$E$82*'HPM costs'!L33)+('HIV-Key Info'!$F$82*('HPM costs'!L36+'HPM costs'!L39)))</f>
        <v>0</v>
      </c>
      <c r="AF317" s="695"/>
      <c r="AG317" s="695">
        <f>'HIV-Key Info'!$H$82*(('HIV-Key Info'!$E$82*'HPM costs'!M33)+('HIV-Key Info'!$F$82*('HPM costs'!M36+'HPM costs'!M39)))</f>
        <v>0</v>
      </c>
      <c r="AH317" s="695"/>
      <c r="AI317" s="695">
        <f>'HIV-Key Info'!$H$82*(('HIV-Key Info'!$E$82*'HPM costs'!N33)+('HIV-Key Info'!$F$82*('HPM costs'!N36+'HPM costs'!N39)))</f>
        <v>0</v>
      </c>
      <c r="AJ317" s="695"/>
      <c r="AK317" s="1492">
        <f t="shared" si="31"/>
        <v>0</v>
      </c>
      <c r="AL317" s="1493"/>
      <c r="AM317" s="1494"/>
      <c r="AN317" s="699"/>
      <c r="AO317" s="695"/>
      <c r="AP317" s="695">
        <f>'HIV-Key Info'!$H$82*(('HIV-Key Info'!$E$82*'HPM costs'!P33)+('HIV-Key Info'!$F$82*('HPM costs'!P36+'HPM costs'!P39)))</f>
        <v>0</v>
      </c>
      <c r="AQ317" s="695"/>
      <c r="AR317" s="695">
        <f>'HIV-Key Info'!$H$82*(('HIV-Key Info'!$E$82*'HPM costs'!Q33)+('HIV-Key Info'!$F$82*('HPM costs'!Q36+'HPM costs'!Q39)))</f>
        <v>0</v>
      </c>
      <c r="AS317" s="695"/>
      <c r="AT317" s="695">
        <f>'HIV-Key Info'!$H$82*(('HIV-Key Info'!$E$82*'HPM costs'!R33)+('HIV-Key Info'!$F$82*('HPM costs'!R36+'HPM costs'!R39)))</f>
        <v>0</v>
      </c>
      <c r="AU317" s="695"/>
      <c r="AV317" s="695">
        <f>'HIV-Key Info'!$H$82*(('HIV-Key Info'!$E$82*'HPM costs'!S33)+('HIV-Key Info'!$F$82*('HPM costs'!S36+'HPM costs'!S39)))</f>
        <v>0</v>
      </c>
      <c r="AW317" s="695"/>
      <c r="AX317" s="1492">
        <f t="shared" si="32"/>
        <v>0</v>
      </c>
      <c r="AY317" s="1492"/>
      <c r="AZ317" s="698"/>
      <c r="BA317" s="699"/>
      <c r="BB317" s="697"/>
      <c r="BC317" s="697">
        <v>0</v>
      </c>
      <c r="BD317" s="697">
        <v>0</v>
      </c>
      <c r="BE317" s="697">
        <v>0</v>
      </c>
      <c r="BF317" s="697">
        <v>0</v>
      </c>
      <c r="BG317" s="697">
        <v>0</v>
      </c>
      <c r="BH317" s="697">
        <v>0</v>
      </c>
      <c r="BI317" s="697">
        <v>0</v>
      </c>
      <c r="BJ317" s="697">
        <v>0</v>
      </c>
      <c r="BK317" s="1492">
        <f t="shared" si="33"/>
        <v>0</v>
      </c>
      <c r="BL317" s="1492"/>
      <c r="BM317" s="1492">
        <f t="shared" si="34"/>
        <v>0</v>
      </c>
      <c r="BN317" s="1492">
        <f t="shared" si="35"/>
        <v>0</v>
      </c>
      <c r="BO317" s="697"/>
      <c r="BP317" s="697"/>
      <c r="BQ317" s="1495" t="s">
        <v>92</v>
      </c>
      <c r="BR317" s="1495" t="s">
        <v>818</v>
      </c>
      <c r="BS317" s="1902" t="s">
        <v>655</v>
      </c>
      <c r="BT317" s="1907" t="s">
        <v>2036</v>
      </c>
    </row>
    <row r="318" spans="1:72" ht="13">
      <c r="A318" s="1545">
        <v>874</v>
      </c>
      <c r="B318" s="1546" t="s">
        <v>800</v>
      </c>
      <c r="C318" s="1546" t="s">
        <v>802</v>
      </c>
      <c r="D318" s="1547" t="s">
        <v>6870</v>
      </c>
      <c r="E318" s="690" t="s">
        <v>658</v>
      </c>
      <c r="F318" s="691"/>
      <c r="G318" s="692"/>
      <c r="H318" s="692"/>
      <c r="I318" s="692"/>
      <c r="J318" s="693"/>
      <c r="K318" s="693"/>
      <c r="L318" s="693"/>
      <c r="M318" s="694"/>
      <c r="N318" s="695"/>
      <c r="O318" s="696" t="s">
        <v>1569</v>
      </c>
      <c r="P318" s="695">
        <f>'HIV-Key Info'!$H$82*(('HIV-Key Info'!$E$82*'HPM costs'!F119)+('HIV-Key Info'!$F$82*('HPM costs'!F122+'HPM costs'!F125)))</f>
        <v>0</v>
      </c>
      <c r="Q318" s="695" t="s">
        <v>1569</v>
      </c>
      <c r="R318" s="695">
        <f>'HIV-Key Info'!$H$82*(('HIV-Key Info'!$E$82*'HPM costs'!G119)+('HIV-Key Info'!$F$82*('HPM costs'!G122+'HPM costs'!G125)))</f>
        <v>0</v>
      </c>
      <c r="S318" s="695" t="s">
        <v>1569</v>
      </c>
      <c r="T318" s="695">
        <f>'HIV-Key Info'!$H$82*(('HIV-Key Info'!$E$82*'HPM costs'!H119)+('HIV-Key Info'!$F$82*('HPM costs'!H122+'HPM costs'!H125)))</f>
        <v>0</v>
      </c>
      <c r="U318" s="695" t="s">
        <v>1569</v>
      </c>
      <c r="V318" s="695">
        <f>'HIV-Key Info'!$H$82*(('HIV-Key Info'!$E$82*'HPM costs'!I119)+('HIV-Key Info'!$F$82*('HPM costs'!I122+'HPM costs'!I125)))</f>
        <v>0</v>
      </c>
      <c r="W318" s="695"/>
      <c r="X318" s="1492">
        <f t="shared" si="30"/>
        <v>0</v>
      </c>
      <c r="Y318" s="1493"/>
      <c r="Z318" s="1494"/>
      <c r="AA318" s="699"/>
      <c r="AB318" s="695"/>
      <c r="AC318" s="695">
        <f>'HIV-Key Info'!$H$82*(('HIV-Key Info'!$E$82*'HPM costs'!K119)+('HIV-Key Info'!$F$82*('HPM costs'!K122+'HPM costs'!K125)))</f>
        <v>0</v>
      </c>
      <c r="AD318" s="695"/>
      <c r="AE318" s="695">
        <f>'HIV-Key Info'!$H$82*(('HIV-Key Info'!$E$82*'HPM costs'!L119)+('HIV-Key Info'!$F$82*('HPM costs'!L122+'HPM costs'!L125)))</f>
        <v>0</v>
      </c>
      <c r="AF318" s="695"/>
      <c r="AG318" s="695">
        <f>'HIV-Key Info'!$H$82*(('HIV-Key Info'!$E$82*'HPM costs'!M119)+('HIV-Key Info'!$F$82*('HPM costs'!M122+'HPM costs'!M125)))</f>
        <v>0</v>
      </c>
      <c r="AH318" s="695"/>
      <c r="AI318" s="695">
        <f>'HIV-Key Info'!$H$82*(('HIV-Key Info'!$E$82*'HPM costs'!N119)+('HIV-Key Info'!$F$82*('HPM costs'!N122+'HPM costs'!N125)))</f>
        <v>0</v>
      </c>
      <c r="AJ318" s="695"/>
      <c r="AK318" s="1492">
        <f t="shared" si="31"/>
        <v>0</v>
      </c>
      <c r="AL318" s="1493"/>
      <c r="AM318" s="1494"/>
      <c r="AN318" s="699"/>
      <c r="AO318" s="695"/>
      <c r="AP318" s="695">
        <f>'HIV-Key Info'!$H$82*(('HIV-Key Info'!$E$82*'HPM costs'!P119)+('HIV-Key Info'!$F$82*('HPM costs'!P122+'HPM costs'!P125)))</f>
        <v>0</v>
      </c>
      <c r="AQ318" s="695"/>
      <c r="AR318" s="695">
        <f>'HIV-Key Info'!$H$82*(('HIV-Key Info'!$E$82*'HPM costs'!Q119)+('HIV-Key Info'!$F$82*('HPM costs'!Q122+'HPM costs'!Q125)))</f>
        <v>0</v>
      </c>
      <c r="AS318" s="695"/>
      <c r="AT318" s="695">
        <f>'HIV-Key Info'!$H$82*(('HIV-Key Info'!$E$82*'HPM costs'!R119)+('HIV-Key Info'!$F$82*('HPM costs'!R122+'HPM costs'!R125)))</f>
        <v>0</v>
      </c>
      <c r="AU318" s="695"/>
      <c r="AV318" s="695">
        <f>'HIV-Key Info'!$H$82*(('HIV-Key Info'!$E$82*'HPM costs'!S119)+('HIV-Key Info'!$F$82*('HPM costs'!S122+'HPM costs'!S125)))</f>
        <v>0</v>
      </c>
      <c r="AW318" s="695"/>
      <c r="AX318" s="1492">
        <f t="shared" si="32"/>
        <v>0</v>
      </c>
      <c r="AY318" s="1492"/>
      <c r="AZ318" s="698"/>
      <c r="BA318" s="699"/>
      <c r="BB318" s="697"/>
      <c r="BC318" s="697">
        <v>0</v>
      </c>
      <c r="BD318" s="697">
        <v>0</v>
      </c>
      <c r="BE318" s="697">
        <v>0</v>
      </c>
      <c r="BF318" s="697">
        <v>0</v>
      </c>
      <c r="BG318" s="697">
        <v>0</v>
      </c>
      <c r="BH318" s="697">
        <v>0</v>
      </c>
      <c r="BI318" s="697">
        <v>0</v>
      </c>
      <c r="BJ318" s="697">
        <v>0</v>
      </c>
      <c r="BK318" s="1492">
        <f t="shared" si="33"/>
        <v>0</v>
      </c>
      <c r="BL318" s="1492"/>
      <c r="BM318" s="1492">
        <f t="shared" si="34"/>
        <v>0</v>
      </c>
      <c r="BN318" s="1492">
        <f t="shared" si="35"/>
        <v>0</v>
      </c>
      <c r="BO318" s="697"/>
      <c r="BP318" s="697"/>
      <c r="BQ318" s="1495" t="s">
        <v>92</v>
      </c>
      <c r="BR318" s="1495" t="s">
        <v>818</v>
      </c>
      <c r="BS318" s="1902" t="s">
        <v>655</v>
      </c>
      <c r="BT318" s="1907" t="s">
        <v>2037</v>
      </c>
    </row>
    <row r="319" spans="1:72" ht="13">
      <c r="A319" s="1545">
        <v>875</v>
      </c>
      <c r="B319" s="1546" t="s">
        <v>800</v>
      </c>
      <c r="C319" s="1546" t="s">
        <v>802</v>
      </c>
      <c r="D319" s="1547" t="s">
        <v>6870</v>
      </c>
      <c r="E319" s="690" t="s">
        <v>660</v>
      </c>
      <c r="F319" s="691"/>
      <c r="G319" s="692"/>
      <c r="H319" s="692"/>
      <c r="I319" s="692"/>
      <c r="J319" s="693"/>
      <c r="K319" s="693"/>
      <c r="L319" s="693"/>
      <c r="M319" s="694"/>
      <c r="N319" s="695"/>
      <c r="O319" s="696" t="s">
        <v>1569</v>
      </c>
      <c r="P319" s="695">
        <f>'HIV-Key Info'!$H$82*(('HIV-Key Info'!$E$82*'HPM costs'!F379)+('HIV-Key Info'!$F$82*('HPM costs'!F382+'HPM costs'!F385)))</f>
        <v>0</v>
      </c>
      <c r="Q319" s="695" t="s">
        <v>1569</v>
      </c>
      <c r="R319" s="695">
        <f>'HIV-Key Info'!$H$82*(('HIV-Key Info'!$E$82*'HPM costs'!G379)+('HIV-Key Info'!$F$82*('HPM costs'!G382+'HPM costs'!G385)))</f>
        <v>0</v>
      </c>
      <c r="S319" s="695" t="s">
        <v>1569</v>
      </c>
      <c r="T319" s="695">
        <f>'HIV-Key Info'!$H$82*(('HIV-Key Info'!$E$82*'HPM costs'!H379)+('HIV-Key Info'!$F$82*('HPM costs'!H382+'HPM costs'!H385)))</f>
        <v>0</v>
      </c>
      <c r="U319" s="695" t="s">
        <v>1569</v>
      </c>
      <c r="V319" s="695">
        <f>'HIV-Key Info'!$H$82*(('HIV-Key Info'!$E$82*'HPM costs'!I379)+('HIV-Key Info'!$F$82*('HPM costs'!I382+'HPM costs'!I385)))</f>
        <v>0</v>
      </c>
      <c r="W319" s="695"/>
      <c r="X319" s="1492">
        <f t="shared" si="30"/>
        <v>0</v>
      </c>
      <c r="Y319" s="1493"/>
      <c r="Z319" s="1494"/>
      <c r="AA319" s="699"/>
      <c r="AB319" s="695"/>
      <c r="AC319" s="695">
        <f>'HIV-Key Info'!$H$82*(('HIV-Key Info'!$E$82*'HPM costs'!K379)+('HIV-Key Info'!$F$82*('HPM costs'!K382+'HPM costs'!K385)))</f>
        <v>0</v>
      </c>
      <c r="AD319" s="695"/>
      <c r="AE319" s="695">
        <f>'HIV-Key Info'!$H$82*(('HIV-Key Info'!$E$82*'HPM costs'!L379)+('HIV-Key Info'!$F$82*('HPM costs'!L382+'HPM costs'!L385)))</f>
        <v>0</v>
      </c>
      <c r="AF319" s="695"/>
      <c r="AG319" s="695">
        <f>'HIV-Key Info'!$H$82*(('HIV-Key Info'!$E$82*'HPM costs'!M379)+('HIV-Key Info'!$F$82*('HPM costs'!M382+'HPM costs'!M385)))</f>
        <v>0</v>
      </c>
      <c r="AH319" s="695"/>
      <c r="AI319" s="695">
        <f>'HIV-Key Info'!$H$82*(('HIV-Key Info'!$E$82*'HPM costs'!N379)+('HIV-Key Info'!$F$82*('HPM costs'!N382+'HPM costs'!N385)))</f>
        <v>0</v>
      </c>
      <c r="AJ319" s="695"/>
      <c r="AK319" s="1492">
        <f t="shared" si="31"/>
        <v>0</v>
      </c>
      <c r="AL319" s="1493"/>
      <c r="AM319" s="1494"/>
      <c r="AN319" s="699"/>
      <c r="AO319" s="695"/>
      <c r="AP319" s="695">
        <f>'HIV-Key Info'!$H$82*(('HIV-Key Info'!$E$82*'HPM costs'!P379)+('HIV-Key Info'!$F$82*('HPM costs'!P382+'HPM costs'!P385)))</f>
        <v>0</v>
      </c>
      <c r="AQ319" s="695"/>
      <c r="AR319" s="695">
        <f>'HIV-Key Info'!$H$82*(('HIV-Key Info'!$E$82*'HPM costs'!Q379)+('HIV-Key Info'!$F$82*('HPM costs'!Q382+'HPM costs'!Q385)))</f>
        <v>0</v>
      </c>
      <c r="AS319" s="695"/>
      <c r="AT319" s="695">
        <f>'HIV-Key Info'!$H$82*(('HIV-Key Info'!$E$82*'HPM costs'!R379)+('HIV-Key Info'!$F$82*('HPM costs'!R382+'HPM costs'!R385)))</f>
        <v>0</v>
      </c>
      <c r="AU319" s="695"/>
      <c r="AV319" s="695">
        <f>'HIV-Key Info'!$H$82*(('HIV-Key Info'!$E$82*'HPM costs'!S379)+('HIV-Key Info'!$F$82*('HPM costs'!S382+'HPM costs'!S385)))</f>
        <v>0</v>
      </c>
      <c r="AW319" s="695"/>
      <c r="AX319" s="1492">
        <f t="shared" si="32"/>
        <v>0</v>
      </c>
      <c r="AY319" s="1492"/>
      <c r="AZ319" s="698"/>
      <c r="BA319" s="699"/>
      <c r="BB319" s="697"/>
      <c r="BC319" s="697">
        <v>0</v>
      </c>
      <c r="BD319" s="697">
        <v>0</v>
      </c>
      <c r="BE319" s="697">
        <v>0</v>
      </c>
      <c r="BF319" s="697">
        <v>0</v>
      </c>
      <c r="BG319" s="697">
        <v>0</v>
      </c>
      <c r="BH319" s="697">
        <v>0</v>
      </c>
      <c r="BI319" s="697">
        <v>0</v>
      </c>
      <c r="BJ319" s="697">
        <v>0</v>
      </c>
      <c r="BK319" s="1492">
        <f t="shared" si="33"/>
        <v>0</v>
      </c>
      <c r="BL319" s="1492"/>
      <c r="BM319" s="1492">
        <f t="shared" si="34"/>
        <v>0</v>
      </c>
      <c r="BN319" s="1492">
        <f t="shared" si="35"/>
        <v>0</v>
      </c>
      <c r="BO319" s="697"/>
      <c r="BP319" s="697"/>
      <c r="BQ319" s="1495" t="s">
        <v>92</v>
      </c>
      <c r="BR319" s="1495" t="s">
        <v>818</v>
      </c>
      <c r="BS319" s="1902" t="s">
        <v>655</v>
      </c>
      <c r="BT319" s="1907" t="s">
        <v>2038</v>
      </c>
    </row>
    <row r="320" spans="1:72" ht="13">
      <c r="A320" s="1545">
        <v>876</v>
      </c>
      <c r="B320" s="1546" t="s">
        <v>800</v>
      </c>
      <c r="C320" s="1546" t="s">
        <v>802</v>
      </c>
      <c r="D320" s="1547" t="s">
        <v>6870</v>
      </c>
      <c r="E320" s="690" t="s">
        <v>662</v>
      </c>
      <c r="F320" s="691"/>
      <c r="G320" s="692"/>
      <c r="H320" s="692"/>
      <c r="I320" s="692"/>
      <c r="J320" s="693"/>
      <c r="K320" s="693"/>
      <c r="L320" s="693"/>
      <c r="M320" s="694"/>
      <c r="N320" s="695"/>
      <c r="O320" s="696" t="s">
        <v>1569</v>
      </c>
      <c r="P320" s="695">
        <f>'HIV-Key Info'!$H$82*(('HIV-Key Info'!$E$82*'HPM costs'!F465)+('HIV-Key Info'!$F$82*('HPM costs'!F468+'HPM costs'!F471)))</f>
        <v>0</v>
      </c>
      <c r="Q320" s="695" t="s">
        <v>1569</v>
      </c>
      <c r="R320" s="695">
        <f>'HIV-Key Info'!$H$82*(('HIV-Key Info'!$E$82*'HPM costs'!G465)+('HIV-Key Info'!$F$82*('HPM costs'!G468+'HPM costs'!G471)))</f>
        <v>0</v>
      </c>
      <c r="S320" s="695" t="s">
        <v>1569</v>
      </c>
      <c r="T320" s="695">
        <f>'HIV-Key Info'!$H$82*(('HIV-Key Info'!$E$82*'HPM costs'!H465)+('HIV-Key Info'!$F$82*('HPM costs'!H468+'HPM costs'!H471)))</f>
        <v>0</v>
      </c>
      <c r="U320" s="695" t="s">
        <v>1569</v>
      </c>
      <c r="V320" s="695">
        <f>'HIV-Key Info'!$H$82*(('HIV-Key Info'!$E$82*'HPM costs'!I465)+('HIV-Key Info'!$F$82*('HPM costs'!I468+'HPM costs'!I471)))</f>
        <v>0</v>
      </c>
      <c r="W320" s="695"/>
      <c r="X320" s="1492">
        <f t="shared" si="30"/>
        <v>0</v>
      </c>
      <c r="Y320" s="1493"/>
      <c r="Z320" s="1494"/>
      <c r="AA320" s="699"/>
      <c r="AB320" s="695"/>
      <c r="AC320" s="695">
        <f>'HIV-Key Info'!$H$82*(('HIV-Key Info'!$E$82*'HPM costs'!K465)+('HIV-Key Info'!$F$82*('HPM costs'!K468+'HPM costs'!K471)))</f>
        <v>0</v>
      </c>
      <c r="AD320" s="695"/>
      <c r="AE320" s="695">
        <f>'HIV-Key Info'!$H$82*(('HIV-Key Info'!$E$82*'HPM costs'!L465)+('HIV-Key Info'!$F$82*('HPM costs'!L468+'HPM costs'!L471)))</f>
        <v>0</v>
      </c>
      <c r="AF320" s="695"/>
      <c r="AG320" s="695">
        <f>'HIV-Key Info'!$H$82*(('HIV-Key Info'!$E$82*'HPM costs'!M465)+('HIV-Key Info'!$F$82*('HPM costs'!M468+'HPM costs'!M471)))</f>
        <v>0</v>
      </c>
      <c r="AH320" s="695"/>
      <c r="AI320" s="695">
        <f>'HIV-Key Info'!$H$82*(('HIV-Key Info'!$E$82*'HPM costs'!N465)+('HIV-Key Info'!$F$82*('HPM costs'!N468+'HPM costs'!N471)))</f>
        <v>0</v>
      </c>
      <c r="AJ320" s="695"/>
      <c r="AK320" s="1492">
        <f t="shared" si="31"/>
        <v>0</v>
      </c>
      <c r="AL320" s="1493"/>
      <c r="AM320" s="1494"/>
      <c r="AN320" s="699"/>
      <c r="AO320" s="695"/>
      <c r="AP320" s="695">
        <f>'HIV-Key Info'!$H$82*(('HIV-Key Info'!$E$82*'HPM costs'!P465)+('HIV-Key Info'!$F$82*('HPM costs'!P468+'HPM costs'!P471)))</f>
        <v>0</v>
      </c>
      <c r="AQ320" s="695"/>
      <c r="AR320" s="695">
        <f>'HIV-Key Info'!$H$82*(('HIV-Key Info'!$E$82*'HPM costs'!Q465)+('HIV-Key Info'!$F$82*('HPM costs'!Q468+'HPM costs'!Q471)))</f>
        <v>0</v>
      </c>
      <c r="AS320" s="695"/>
      <c r="AT320" s="695">
        <f>'HIV-Key Info'!$H$82*(('HIV-Key Info'!$E$82*'HPM costs'!R465)+('HIV-Key Info'!$F$82*('HPM costs'!R468+'HPM costs'!R471)))</f>
        <v>0</v>
      </c>
      <c r="AU320" s="695"/>
      <c r="AV320" s="695">
        <f>'HIV-Key Info'!$H$82*(('HIV-Key Info'!$E$82*'HPM costs'!S465)+('HIV-Key Info'!$F$82*('HPM costs'!S468+'HPM costs'!S471)))</f>
        <v>0</v>
      </c>
      <c r="AW320" s="695"/>
      <c r="AX320" s="1492">
        <f t="shared" si="32"/>
        <v>0</v>
      </c>
      <c r="AY320" s="1492"/>
      <c r="AZ320" s="698"/>
      <c r="BA320" s="699"/>
      <c r="BB320" s="697"/>
      <c r="BC320" s="697">
        <v>0</v>
      </c>
      <c r="BD320" s="697">
        <v>0</v>
      </c>
      <c r="BE320" s="697">
        <v>0</v>
      </c>
      <c r="BF320" s="697">
        <v>0</v>
      </c>
      <c r="BG320" s="697">
        <v>0</v>
      </c>
      <c r="BH320" s="697">
        <v>0</v>
      </c>
      <c r="BI320" s="697">
        <v>0</v>
      </c>
      <c r="BJ320" s="697">
        <v>0</v>
      </c>
      <c r="BK320" s="1492">
        <f t="shared" si="33"/>
        <v>0</v>
      </c>
      <c r="BL320" s="1492"/>
      <c r="BM320" s="1492">
        <f t="shared" si="34"/>
        <v>0</v>
      </c>
      <c r="BN320" s="1492">
        <f t="shared" si="35"/>
        <v>0</v>
      </c>
      <c r="BO320" s="697"/>
      <c r="BP320" s="697"/>
      <c r="BQ320" s="1495" t="s">
        <v>92</v>
      </c>
      <c r="BR320" s="1495" t="s">
        <v>818</v>
      </c>
      <c r="BS320" s="1902" t="s">
        <v>655</v>
      </c>
      <c r="BT320" s="1907" t="s">
        <v>2039</v>
      </c>
    </row>
    <row r="321" spans="1:72" ht="13">
      <c r="A321" s="1545">
        <v>877</v>
      </c>
      <c r="B321" s="1546" t="s">
        <v>800</v>
      </c>
      <c r="C321" s="1546" t="s">
        <v>802</v>
      </c>
      <c r="D321" s="1547" t="s">
        <v>6870</v>
      </c>
      <c r="E321" s="690" t="s">
        <v>664</v>
      </c>
      <c r="F321" s="691"/>
      <c r="G321" s="692"/>
      <c r="H321" s="692"/>
      <c r="I321" s="692"/>
      <c r="J321" s="693"/>
      <c r="K321" s="693"/>
      <c r="L321" s="693"/>
      <c r="M321" s="694"/>
      <c r="N321" s="695"/>
      <c r="O321" s="696" t="s">
        <v>1569</v>
      </c>
      <c r="P321" s="695">
        <f>'HIV-Key Info'!$H$82*(('HIV-Key Info'!$E$82*('HPM costs'!F205+'HPM costs'!F551))+('HIV-Key Info'!$F$82*('HPM costs'!F208+'HPM costs'!F211+'HPM costs'!F554+'HPM costs'!F557)))</f>
        <v>0</v>
      </c>
      <c r="Q321" s="695" t="s">
        <v>1569</v>
      </c>
      <c r="R321" s="695">
        <f>'HIV-Key Info'!$H$82*(('HIV-Key Info'!$E$82*('HPM costs'!G205+'HPM costs'!G551))+('HIV-Key Info'!$F$82*('HPM costs'!G208+'HPM costs'!G211+'HPM costs'!G554+'HPM costs'!G557)))</f>
        <v>0</v>
      </c>
      <c r="S321" s="695" t="s">
        <v>1569</v>
      </c>
      <c r="T321" s="695">
        <f>'HIV-Key Info'!$H$82*(('HIV-Key Info'!$E$82*('HPM costs'!H205+'HPM costs'!H551))+('HIV-Key Info'!$F$82*('HPM costs'!H208+'HPM costs'!H211+'HPM costs'!H554+'HPM costs'!H557)))</f>
        <v>0</v>
      </c>
      <c r="U321" s="695" t="s">
        <v>1569</v>
      </c>
      <c r="V321" s="695">
        <f>'HIV-Key Info'!$H$82*(('HIV-Key Info'!$E$82*('HPM costs'!I205+'HPM costs'!I551))+('HIV-Key Info'!$F$82*('HPM costs'!I208+'HPM costs'!I211+'HPM costs'!I554+'HPM costs'!I557)))</f>
        <v>0</v>
      </c>
      <c r="W321" s="695"/>
      <c r="X321" s="1492">
        <f t="shared" ref="X321:X384" si="36">P321+R321+T321+V321</f>
        <v>0</v>
      </c>
      <c r="Y321" s="1493"/>
      <c r="Z321" s="1494"/>
      <c r="AA321" s="699"/>
      <c r="AB321" s="695"/>
      <c r="AC321" s="695">
        <f>'HIV-Key Info'!$H$82*(('HIV-Key Info'!$E$82*('HPM costs'!K205+'HPM costs'!K551))+('HIV-Key Info'!$F$82*('HPM costs'!K208+'HPM costs'!K211+'HPM costs'!K554+'HPM costs'!K557)))</f>
        <v>0</v>
      </c>
      <c r="AD321" s="695"/>
      <c r="AE321" s="695">
        <f>'HIV-Key Info'!$H$82*(('HIV-Key Info'!$E$82*('HPM costs'!L205+'HPM costs'!L551))+('HIV-Key Info'!$F$82*('HPM costs'!L208+'HPM costs'!L211+'HPM costs'!L554+'HPM costs'!L557)))</f>
        <v>0</v>
      </c>
      <c r="AF321" s="695"/>
      <c r="AG321" s="695">
        <f>'HIV-Key Info'!$H$82*(('HIV-Key Info'!$E$82*('HPM costs'!M205+'HPM costs'!M551))+('HIV-Key Info'!$F$82*('HPM costs'!M208+'HPM costs'!M211+'HPM costs'!M554+'HPM costs'!M557)))</f>
        <v>0</v>
      </c>
      <c r="AH321" s="695"/>
      <c r="AI321" s="695">
        <f>'HIV-Key Info'!$H$82*(('HIV-Key Info'!$E$82*('HPM costs'!N205+'HPM costs'!N551))+('HIV-Key Info'!$F$82*('HPM costs'!N208+'HPM costs'!N211+'HPM costs'!N554+'HPM costs'!N557)))</f>
        <v>0</v>
      </c>
      <c r="AJ321" s="695"/>
      <c r="AK321" s="1492">
        <f t="shared" ref="AK321:AK384" si="37">AI321+AG321+AE321+AC321</f>
        <v>0</v>
      </c>
      <c r="AL321" s="1493"/>
      <c r="AM321" s="1494"/>
      <c r="AN321" s="699"/>
      <c r="AO321" s="695"/>
      <c r="AP321" s="695">
        <f>'HIV-Key Info'!$H$82*(('HIV-Key Info'!$E$82*('HPM costs'!P205+'HPM costs'!P551))+('HIV-Key Info'!$F$82*('HPM costs'!P208+'HPM costs'!P211+'HPM costs'!P554+'HPM costs'!P557)))</f>
        <v>0</v>
      </c>
      <c r="AQ321" s="695"/>
      <c r="AR321" s="695">
        <f>'HIV-Key Info'!$H$82*(('HIV-Key Info'!$E$82*('HPM costs'!Q205+'HPM costs'!Q551))+('HIV-Key Info'!$F$82*('HPM costs'!Q208+'HPM costs'!Q211+'HPM costs'!Q554+'HPM costs'!Q557)))</f>
        <v>0</v>
      </c>
      <c r="AS321" s="695"/>
      <c r="AT321" s="695">
        <f>'HIV-Key Info'!$H$82*(('HIV-Key Info'!$E$82*('HPM costs'!R205+'HPM costs'!R551))+('HIV-Key Info'!$F$82*('HPM costs'!R208+'HPM costs'!R211+'HPM costs'!R554+'HPM costs'!R557)))</f>
        <v>0</v>
      </c>
      <c r="AU321" s="695"/>
      <c r="AV321" s="695">
        <f>'HIV-Key Info'!$H$82*(('HIV-Key Info'!$E$82*('HPM costs'!S205+'HPM costs'!S551))+('HIV-Key Info'!$F$82*('HPM costs'!S208+'HPM costs'!S211+'HPM costs'!S554+'HPM costs'!S557)))</f>
        <v>0</v>
      </c>
      <c r="AW321" s="695"/>
      <c r="AX321" s="1492">
        <f t="shared" ref="AX321:AX384" si="38">AV321+AT321+AR321+AP321</f>
        <v>0</v>
      </c>
      <c r="AY321" s="1492"/>
      <c r="AZ321" s="698"/>
      <c r="BA321" s="699"/>
      <c r="BB321" s="697"/>
      <c r="BC321" s="697">
        <v>0</v>
      </c>
      <c r="BD321" s="697">
        <v>0</v>
      </c>
      <c r="BE321" s="697">
        <v>0</v>
      </c>
      <c r="BF321" s="697">
        <v>0</v>
      </c>
      <c r="BG321" s="697">
        <v>0</v>
      </c>
      <c r="BH321" s="697">
        <v>0</v>
      </c>
      <c r="BI321" s="697">
        <v>0</v>
      </c>
      <c r="BJ321" s="697">
        <v>0</v>
      </c>
      <c r="BK321" s="1492">
        <f t="shared" ref="BK321:BK384" si="39">BI321+BG321+BE321+BC321</f>
        <v>0</v>
      </c>
      <c r="BL321" s="1492"/>
      <c r="BM321" s="1492">
        <f t="shared" si="34"/>
        <v>0</v>
      </c>
      <c r="BN321" s="1492">
        <f t="shared" si="35"/>
        <v>0</v>
      </c>
      <c r="BO321" s="697"/>
      <c r="BP321" s="697"/>
      <c r="BQ321" s="1495" t="s">
        <v>92</v>
      </c>
      <c r="BR321" s="1495" t="s">
        <v>818</v>
      </c>
      <c r="BS321" s="1902" t="s">
        <v>655</v>
      </c>
      <c r="BT321" s="1907" t="s">
        <v>2040</v>
      </c>
    </row>
    <row r="322" spans="1:72" ht="13">
      <c r="A322" s="1545">
        <v>878</v>
      </c>
      <c r="B322" s="1546" t="s">
        <v>800</v>
      </c>
      <c r="C322" s="1546" t="s">
        <v>802</v>
      </c>
      <c r="D322" s="1547" t="s">
        <v>6870</v>
      </c>
      <c r="E322" s="690" t="s">
        <v>666</v>
      </c>
      <c r="F322" s="691"/>
      <c r="G322" s="692"/>
      <c r="H322" s="692"/>
      <c r="I322" s="692"/>
      <c r="J322" s="693"/>
      <c r="K322" s="693"/>
      <c r="L322" s="693"/>
      <c r="M322" s="694"/>
      <c r="N322" s="695"/>
      <c r="O322" s="696" t="s">
        <v>1569</v>
      </c>
      <c r="P322" s="695">
        <f>'HIV-Key Info'!$H$82*(('HIV-Key Info'!$E$82*'HPM costs'!F291)+('HIV-Key Info'!$F$82*('HPM costs'!F294+'HPM costs'!F297)))</f>
        <v>0</v>
      </c>
      <c r="Q322" s="695" t="s">
        <v>1569</v>
      </c>
      <c r="R322" s="695">
        <f>'HIV-Key Info'!$H$82*(('HIV-Key Info'!$E$82*'HPM costs'!G291)+('HIV-Key Info'!$F$82*('HPM costs'!G294+'HPM costs'!G297)))</f>
        <v>0</v>
      </c>
      <c r="S322" s="695" t="s">
        <v>1569</v>
      </c>
      <c r="T322" s="695">
        <f>'HIV-Key Info'!$H$82*(('HIV-Key Info'!$E$82*'HPM costs'!H291)+('HIV-Key Info'!$F$82*('HPM costs'!H294+'HPM costs'!H297)))</f>
        <v>0</v>
      </c>
      <c r="U322" s="695" t="s">
        <v>1569</v>
      </c>
      <c r="V322" s="695">
        <f>'HIV-Key Info'!$H$82*(('HIV-Key Info'!$E$82*'HPM costs'!I291)+('HIV-Key Info'!$F$82*('HPM costs'!I294+'HPM costs'!I297)))</f>
        <v>0</v>
      </c>
      <c r="W322" s="695"/>
      <c r="X322" s="1492">
        <f t="shared" si="36"/>
        <v>0</v>
      </c>
      <c r="Y322" s="1493"/>
      <c r="Z322" s="1494"/>
      <c r="AA322" s="699"/>
      <c r="AB322" s="695"/>
      <c r="AC322" s="695">
        <f>'HIV-Key Info'!$H$82*(('HIV-Key Info'!$E$82*'HPM costs'!K291)+('HIV-Key Info'!$F$82*('HPM costs'!K294+'HPM costs'!K297)))</f>
        <v>0</v>
      </c>
      <c r="AD322" s="695"/>
      <c r="AE322" s="695">
        <f>'HIV-Key Info'!$H$82*(('HIV-Key Info'!$E$82*'HPM costs'!L291)+('HIV-Key Info'!$F$82*('HPM costs'!L294+'HPM costs'!L297)))</f>
        <v>0</v>
      </c>
      <c r="AF322" s="695"/>
      <c r="AG322" s="695">
        <f>'HIV-Key Info'!$H$82*(('HIV-Key Info'!$E$82*'HPM costs'!M291)+('HIV-Key Info'!$F$82*('HPM costs'!M294+'HPM costs'!M297)))</f>
        <v>0</v>
      </c>
      <c r="AH322" s="695"/>
      <c r="AI322" s="695">
        <f>'HIV-Key Info'!$H$82*(('HIV-Key Info'!$E$82*'HPM costs'!N291)+('HIV-Key Info'!$F$82*('HPM costs'!N294+'HPM costs'!N297)))</f>
        <v>0</v>
      </c>
      <c r="AJ322" s="695"/>
      <c r="AK322" s="1492">
        <f t="shared" si="37"/>
        <v>0</v>
      </c>
      <c r="AL322" s="1493"/>
      <c r="AM322" s="1494"/>
      <c r="AN322" s="699"/>
      <c r="AO322" s="695"/>
      <c r="AP322" s="695">
        <f>'HIV-Key Info'!$H$82*(('HIV-Key Info'!$E$82*'HPM costs'!P291)+('HIV-Key Info'!$F$82*('HPM costs'!P294+'HPM costs'!P297)))</f>
        <v>0</v>
      </c>
      <c r="AQ322" s="695"/>
      <c r="AR322" s="695">
        <f>'HIV-Key Info'!$H$82*(('HIV-Key Info'!$E$82*'HPM costs'!Q291)+('HIV-Key Info'!$F$82*('HPM costs'!Q294+'HPM costs'!Q297)))</f>
        <v>0</v>
      </c>
      <c r="AS322" s="695"/>
      <c r="AT322" s="695">
        <f>'HIV-Key Info'!$H$82*(('HIV-Key Info'!$E$82*'HPM costs'!R291)+('HIV-Key Info'!$F$82*('HPM costs'!R294+'HPM costs'!R297)))</f>
        <v>0</v>
      </c>
      <c r="AU322" s="695"/>
      <c r="AV322" s="695">
        <f>'HIV-Key Info'!$H$82*(('HIV-Key Info'!$E$82*'HPM costs'!S291)+('HIV-Key Info'!$F$82*('HPM costs'!S294+'HPM costs'!S297)))</f>
        <v>0</v>
      </c>
      <c r="AW322" s="695"/>
      <c r="AX322" s="1492">
        <f t="shared" si="38"/>
        <v>0</v>
      </c>
      <c r="AY322" s="1492"/>
      <c r="AZ322" s="698"/>
      <c r="BA322" s="699"/>
      <c r="BB322" s="697"/>
      <c r="BC322" s="697">
        <v>0</v>
      </c>
      <c r="BD322" s="697">
        <v>0</v>
      </c>
      <c r="BE322" s="697">
        <v>0</v>
      </c>
      <c r="BF322" s="697">
        <v>0</v>
      </c>
      <c r="BG322" s="697">
        <v>0</v>
      </c>
      <c r="BH322" s="697">
        <v>0</v>
      </c>
      <c r="BI322" s="697">
        <v>0</v>
      </c>
      <c r="BJ322" s="697">
        <v>0</v>
      </c>
      <c r="BK322" s="1492">
        <f t="shared" si="39"/>
        <v>0</v>
      </c>
      <c r="BL322" s="1492"/>
      <c r="BM322" s="1492">
        <f t="shared" ref="BM322:BM385" si="40">BJ322+AW322+AJ322+W322</f>
        <v>0</v>
      </c>
      <c r="BN322" s="1492">
        <f t="shared" ref="BN322:BN385" si="41">BK322+AX322+AK322+X322</f>
        <v>0</v>
      </c>
      <c r="BO322" s="697"/>
      <c r="BP322" s="697"/>
      <c r="BQ322" s="1495" t="s">
        <v>92</v>
      </c>
      <c r="BR322" s="1495" t="s">
        <v>818</v>
      </c>
      <c r="BS322" s="1902" t="s">
        <v>655</v>
      </c>
      <c r="BT322" s="1907" t="s">
        <v>2041</v>
      </c>
    </row>
    <row r="323" spans="1:72" ht="13">
      <c r="A323" s="1545">
        <v>879</v>
      </c>
      <c r="B323" s="1546" t="s">
        <v>800</v>
      </c>
      <c r="C323" s="1546" t="s">
        <v>802</v>
      </c>
      <c r="D323" s="1547" t="s">
        <v>6870</v>
      </c>
      <c r="E323" s="690" t="s">
        <v>668</v>
      </c>
      <c r="F323" s="691"/>
      <c r="G323" s="692"/>
      <c r="H323" s="692"/>
      <c r="I323" s="692"/>
      <c r="J323" s="693"/>
      <c r="K323" s="693"/>
      <c r="L323" s="693"/>
      <c r="M323" s="694"/>
      <c r="N323" s="695"/>
      <c r="O323" s="696" t="s">
        <v>1569</v>
      </c>
      <c r="P323" s="695">
        <f>'HIV-Key Info'!$H$82*(('HIV-Key Info'!$E$82*'HPM costs'!F636)+('HIV-Key Info'!$F$82*('HPM costs'!F639+'HPM costs'!F642)))</f>
        <v>0</v>
      </c>
      <c r="Q323" s="695" t="s">
        <v>1569</v>
      </c>
      <c r="R323" s="695">
        <f>'HIV-Key Info'!$H$82*(('HIV-Key Info'!$E$82*'HPM costs'!G636)+('HIV-Key Info'!$F$82*('HPM costs'!G639+'HPM costs'!G642)))</f>
        <v>0</v>
      </c>
      <c r="S323" s="695" t="s">
        <v>1569</v>
      </c>
      <c r="T323" s="695">
        <f>'HIV-Key Info'!$H$82*(('HIV-Key Info'!$E$82*'HPM costs'!H636)+('HIV-Key Info'!$F$82*('HPM costs'!H639+'HPM costs'!H642)))</f>
        <v>0</v>
      </c>
      <c r="U323" s="695" t="s">
        <v>1569</v>
      </c>
      <c r="V323" s="695">
        <f>'HIV-Key Info'!$H$82*(('HIV-Key Info'!$E$82*'HPM costs'!I636)+('HIV-Key Info'!$F$82*('HPM costs'!I639+'HPM costs'!I642)))</f>
        <v>0</v>
      </c>
      <c r="W323" s="695"/>
      <c r="X323" s="1492">
        <f t="shared" si="36"/>
        <v>0</v>
      </c>
      <c r="Y323" s="1493"/>
      <c r="Z323" s="1494"/>
      <c r="AA323" s="699"/>
      <c r="AB323" s="695"/>
      <c r="AC323" s="695">
        <f>'HIV-Key Info'!$H$82*(('HIV-Key Info'!$E$82*'HPM costs'!K636)+('HIV-Key Info'!$F$82*('HPM costs'!K639+'HPM costs'!K642)))</f>
        <v>0</v>
      </c>
      <c r="AD323" s="695"/>
      <c r="AE323" s="695">
        <f>'HIV-Key Info'!$H$82*(('HIV-Key Info'!$E$82*'HPM costs'!L636)+('HIV-Key Info'!$F$82*('HPM costs'!L639+'HPM costs'!L642)))</f>
        <v>0</v>
      </c>
      <c r="AF323" s="695"/>
      <c r="AG323" s="695">
        <f>'HIV-Key Info'!$H$82*(('HIV-Key Info'!$E$82*'HPM costs'!M636)+('HIV-Key Info'!$F$82*('HPM costs'!M639+'HPM costs'!M642)))</f>
        <v>0</v>
      </c>
      <c r="AH323" s="695"/>
      <c r="AI323" s="695">
        <f>'HIV-Key Info'!$H$82*(('HIV-Key Info'!$E$82*'HPM costs'!N636)+('HIV-Key Info'!$F$82*('HPM costs'!N639+'HPM costs'!N642)))</f>
        <v>0</v>
      </c>
      <c r="AJ323" s="695"/>
      <c r="AK323" s="1492">
        <f t="shared" si="37"/>
        <v>0</v>
      </c>
      <c r="AL323" s="1493"/>
      <c r="AM323" s="1494"/>
      <c r="AN323" s="699"/>
      <c r="AO323" s="695"/>
      <c r="AP323" s="695">
        <f>'HIV-Key Info'!$H$82*(('HIV-Key Info'!$E$82*'HPM costs'!P636)+('HIV-Key Info'!$F$82*('HPM costs'!P639+'HPM costs'!P642)))</f>
        <v>0</v>
      </c>
      <c r="AQ323" s="695"/>
      <c r="AR323" s="695">
        <f>'HIV-Key Info'!$H$82*(('HIV-Key Info'!$E$82*'HPM costs'!Q636)+('HIV-Key Info'!$F$82*('HPM costs'!Q639+'HPM costs'!Q642)))</f>
        <v>0</v>
      </c>
      <c r="AS323" s="695"/>
      <c r="AT323" s="695">
        <f>'HIV-Key Info'!$H$82*(('HIV-Key Info'!$E$82*'HPM costs'!R636)+('HIV-Key Info'!$F$82*('HPM costs'!R639+'HPM costs'!R642)))</f>
        <v>0</v>
      </c>
      <c r="AU323" s="695"/>
      <c r="AV323" s="695">
        <f>'HIV-Key Info'!$H$82*(('HIV-Key Info'!$E$82*'HPM costs'!S636)+('HIV-Key Info'!$F$82*('HPM costs'!S639+'HPM costs'!S642)))</f>
        <v>0</v>
      </c>
      <c r="AW323" s="695"/>
      <c r="AX323" s="1492">
        <f t="shared" si="38"/>
        <v>0</v>
      </c>
      <c r="AY323" s="1492"/>
      <c r="AZ323" s="698"/>
      <c r="BA323" s="699"/>
      <c r="BB323" s="697"/>
      <c r="BC323" s="697">
        <v>0</v>
      </c>
      <c r="BD323" s="697">
        <v>0</v>
      </c>
      <c r="BE323" s="697">
        <v>0</v>
      </c>
      <c r="BF323" s="697">
        <v>0</v>
      </c>
      <c r="BG323" s="697">
        <v>0</v>
      </c>
      <c r="BH323" s="697">
        <v>0</v>
      </c>
      <c r="BI323" s="697">
        <v>0</v>
      </c>
      <c r="BJ323" s="697">
        <v>0</v>
      </c>
      <c r="BK323" s="1492">
        <f t="shared" si="39"/>
        <v>0</v>
      </c>
      <c r="BL323" s="1492"/>
      <c r="BM323" s="1492">
        <f t="shared" si="40"/>
        <v>0</v>
      </c>
      <c r="BN323" s="1492">
        <f t="shared" si="41"/>
        <v>0</v>
      </c>
      <c r="BO323" s="697"/>
      <c r="BP323" s="697"/>
      <c r="BQ323" s="1495" t="s">
        <v>92</v>
      </c>
      <c r="BR323" s="1495" t="s">
        <v>818</v>
      </c>
      <c r="BS323" s="1902" t="s">
        <v>655</v>
      </c>
      <c r="BT323" s="1907" t="s">
        <v>2042</v>
      </c>
    </row>
    <row r="324" spans="1:72" ht="13">
      <c r="A324" s="1545">
        <v>880</v>
      </c>
      <c r="B324" s="1546" t="s">
        <v>800</v>
      </c>
      <c r="C324" s="1546" t="s">
        <v>803</v>
      </c>
      <c r="D324" s="1547" t="s">
        <v>6955</v>
      </c>
      <c r="E324" s="690" t="s">
        <v>731</v>
      </c>
      <c r="F324" s="691"/>
      <c r="G324" s="692"/>
      <c r="H324" s="692"/>
      <c r="I324" s="692"/>
      <c r="J324" s="693"/>
      <c r="K324" s="693"/>
      <c r="L324" s="693"/>
      <c r="M324" s="694"/>
      <c r="N324" s="695"/>
      <c r="O324" s="696" t="s">
        <v>1569</v>
      </c>
      <c r="P324" s="695">
        <f>'HIV-Key Info'!$I$82*('HIV-Key Info'!$E$82*('HPM costs'!F551/'HPM costs'!$E$551)+'HIV-Key Info'!$F$82*('HPM costs'!F557/'HPM costs'!$E$557+'HPM costs'!F554/'HPM costs'!$E$554))</f>
        <v>0</v>
      </c>
      <c r="Q324" s="695" t="s">
        <v>1569</v>
      </c>
      <c r="R324" s="695">
        <f>'HIV-Key Info'!$I$82*('HIV-Key Info'!$E$82*('HPM costs'!G551/'HPM costs'!$E$551)+'HIV-Key Info'!$F$82*('HPM costs'!G557/'HPM costs'!$E$557+'HPM costs'!G554/'HPM costs'!$E$554))</f>
        <v>0</v>
      </c>
      <c r="S324" s="695" t="s">
        <v>1569</v>
      </c>
      <c r="T324" s="695">
        <f>'HIV-Key Info'!$I$82*('HIV-Key Info'!$E$82*('HPM costs'!H551/'HPM costs'!$E$551)+'HIV-Key Info'!$F$82*('HPM costs'!H557/'HPM costs'!$E$557+'HPM costs'!H554/'HPM costs'!$E$554))</f>
        <v>0</v>
      </c>
      <c r="U324" s="695" t="s">
        <v>1569</v>
      </c>
      <c r="V324" s="695">
        <f>'HIV-Key Info'!$I$82*('HIV-Key Info'!$E$82*('HPM costs'!I551/'HPM costs'!$E$551)+'HIV-Key Info'!$F$82*('HPM costs'!I557/'HPM costs'!$E$557+'HPM costs'!I554/'HPM costs'!$E$554))</f>
        <v>0</v>
      </c>
      <c r="W324" s="695"/>
      <c r="X324" s="1492">
        <f t="shared" si="36"/>
        <v>0</v>
      </c>
      <c r="Y324" s="1493"/>
      <c r="Z324" s="1494"/>
      <c r="AA324" s="699"/>
      <c r="AB324" s="695"/>
      <c r="AC324" s="695">
        <f>'HIV-Key Info'!$I$82*('HIV-Key Info'!$E$82*('HPM costs'!K551/'HPM costs'!$E$551)+'HIV-Key Info'!$F$82*('HPM costs'!K557/'HPM costs'!$E$557+'HPM costs'!K554/'HPM costs'!$E$554))</f>
        <v>0</v>
      </c>
      <c r="AD324" s="695"/>
      <c r="AE324" s="695">
        <f>'HIV-Key Info'!$I$82*('HIV-Key Info'!$E$82*('HPM costs'!L551/'HPM costs'!$E$551)+'HIV-Key Info'!$F$82*('HPM costs'!L557/'HPM costs'!$E$557+'HPM costs'!L554/'HPM costs'!$E$554))</f>
        <v>0</v>
      </c>
      <c r="AF324" s="695"/>
      <c r="AG324" s="695">
        <f>'HIV-Key Info'!$I$82*('HIV-Key Info'!$E$82*('HPM costs'!M551/'HPM costs'!$E$551)+'HIV-Key Info'!$F$82*('HPM costs'!M557/'HPM costs'!$E$557+'HPM costs'!M554/'HPM costs'!$E$554))</f>
        <v>0</v>
      </c>
      <c r="AH324" s="695"/>
      <c r="AI324" s="695">
        <f>'HIV-Key Info'!$I$82*('HIV-Key Info'!$E$82*('HPM costs'!N551/'HPM costs'!$E$551)+'HIV-Key Info'!$F$82*('HPM costs'!N557/'HPM costs'!$E$557+'HPM costs'!N554/'HPM costs'!$E$554))</f>
        <v>0</v>
      </c>
      <c r="AJ324" s="695"/>
      <c r="AK324" s="1492">
        <f t="shared" si="37"/>
        <v>0</v>
      </c>
      <c r="AL324" s="1493"/>
      <c r="AM324" s="1494"/>
      <c r="AN324" s="699"/>
      <c r="AO324" s="695"/>
      <c r="AP324" s="695">
        <f>'HIV-Key Info'!$I$82*('HIV-Key Info'!$E$82*('HPM costs'!P551/'HPM costs'!$E$551)+'HIV-Key Info'!$F$82*('HPM costs'!P557/'HPM costs'!$E$557+'HPM costs'!P554/'HPM costs'!$E$554))</f>
        <v>0</v>
      </c>
      <c r="AQ324" s="695"/>
      <c r="AR324" s="695">
        <f>'HIV-Key Info'!$I$82*('HIV-Key Info'!$E$82*('HPM costs'!Q551/'HPM costs'!$E$551)+'HIV-Key Info'!$F$82*('HPM costs'!Q557/'HPM costs'!$E$557+'HPM costs'!Q554/'HPM costs'!$E$554))</f>
        <v>0</v>
      </c>
      <c r="AS324" s="695"/>
      <c r="AT324" s="695">
        <f>'HIV-Key Info'!$I$82*('HIV-Key Info'!$E$82*('HPM costs'!R551/'HPM costs'!$E$551)+'HIV-Key Info'!$F$82*('HPM costs'!R557/'HPM costs'!$E$557+'HPM costs'!R554/'HPM costs'!$E$554))</f>
        <v>0</v>
      </c>
      <c r="AU324" s="695"/>
      <c r="AV324" s="695">
        <f>'HIV-Key Info'!$I$82*('HIV-Key Info'!$E$82*('HPM costs'!S551/'HPM costs'!$E$551)+'HIV-Key Info'!$F$82*('HPM costs'!S557/'HPM costs'!$E$557+'HPM costs'!S554/'HPM costs'!$E$554))</f>
        <v>0</v>
      </c>
      <c r="AW324" s="695"/>
      <c r="AX324" s="1492">
        <f t="shared" si="38"/>
        <v>0</v>
      </c>
      <c r="AY324" s="1492"/>
      <c r="AZ324" s="698"/>
      <c r="BA324" s="699"/>
      <c r="BB324" s="697"/>
      <c r="BC324" s="697">
        <v>0</v>
      </c>
      <c r="BD324" s="697">
        <v>0</v>
      </c>
      <c r="BE324" s="697">
        <v>0</v>
      </c>
      <c r="BF324" s="697">
        <v>0</v>
      </c>
      <c r="BG324" s="697">
        <v>0</v>
      </c>
      <c r="BH324" s="697">
        <v>0</v>
      </c>
      <c r="BI324" s="697">
        <v>0</v>
      </c>
      <c r="BJ324" s="697">
        <v>0</v>
      </c>
      <c r="BK324" s="1492">
        <f t="shared" si="39"/>
        <v>0</v>
      </c>
      <c r="BL324" s="1492"/>
      <c r="BM324" s="1492">
        <f t="shared" si="40"/>
        <v>0</v>
      </c>
      <c r="BN324" s="1492">
        <f t="shared" si="41"/>
        <v>0</v>
      </c>
      <c r="BO324" s="697"/>
      <c r="BP324" s="697"/>
      <c r="BQ324" s="1495" t="s">
        <v>92</v>
      </c>
      <c r="BR324" s="1495" t="s">
        <v>818</v>
      </c>
      <c r="BS324" s="1902" t="s">
        <v>6953</v>
      </c>
      <c r="BT324" s="1907" t="s">
        <v>2043</v>
      </c>
    </row>
    <row r="325" spans="1:72" ht="13">
      <c r="A325" s="1545">
        <v>881</v>
      </c>
      <c r="B325" s="1546" t="s">
        <v>800</v>
      </c>
      <c r="C325" s="1546" t="s">
        <v>803</v>
      </c>
      <c r="D325" s="1547" t="s">
        <v>6870</v>
      </c>
      <c r="E325" s="690" t="s">
        <v>656</v>
      </c>
      <c r="F325" s="691"/>
      <c r="G325" s="692"/>
      <c r="H325" s="692"/>
      <c r="I325" s="692"/>
      <c r="J325" s="693"/>
      <c r="K325" s="693"/>
      <c r="L325" s="693"/>
      <c r="M325" s="694"/>
      <c r="N325" s="695"/>
      <c r="O325" s="696" t="s">
        <v>1569</v>
      </c>
      <c r="P325" s="695">
        <f>'HIV-Key Info'!$I$82*(('HIV-Key Info'!$E$82*'HPM costs'!F33)+('HIV-Key Info'!$F$82*('HPM costs'!F36+'HPM costs'!F39)))</f>
        <v>0</v>
      </c>
      <c r="Q325" s="695" t="s">
        <v>1569</v>
      </c>
      <c r="R325" s="695">
        <f>'HIV-Key Info'!$I$82*(('HIV-Key Info'!$E$82*'HPM costs'!G33)+('HIV-Key Info'!$F$82*('HPM costs'!G36+'HPM costs'!G39)))</f>
        <v>0</v>
      </c>
      <c r="S325" s="695" t="s">
        <v>1569</v>
      </c>
      <c r="T325" s="695">
        <f>'HIV-Key Info'!$I$82*(('HIV-Key Info'!$E$82*'HPM costs'!H33)+('HIV-Key Info'!$F$82*('HPM costs'!H36+'HPM costs'!H39)))</f>
        <v>0</v>
      </c>
      <c r="U325" s="695" t="s">
        <v>1569</v>
      </c>
      <c r="V325" s="695">
        <f>'HIV-Key Info'!$I$82*(('HIV-Key Info'!$E$82*'HPM costs'!I33)+('HIV-Key Info'!$F$82*('HPM costs'!I36+'HPM costs'!I39)))</f>
        <v>0</v>
      </c>
      <c r="W325" s="695"/>
      <c r="X325" s="1492">
        <f t="shared" si="36"/>
        <v>0</v>
      </c>
      <c r="Y325" s="1493"/>
      <c r="Z325" s="1494"/>
      <c r="AA325" s="699"/>
      <c r="AB325" s="695"/>
      <c r="AC325" s="695">
        <f>'HIV-Key Info'!$I$82*(('HIV-Key Info'!$E$82*'HPM costs'!K33)+('HIV-Key Info'!$F$82*('HPM costs'!K36+'HPM costs'!K39)))</f>
        <v>0</v>
      </c>
      <c r="AD325" s="695"/>
      <c r="AE325" s="695">
        <f>'HIV-Key Info'!$I$82*(('HIV-Key Info'!$E$82*'HPM costs'!L33)+('HIV-Key Info'!$F$82*('HPM costs'!L36+'HPM costs'!L39)))</f>
        <v>0</v>
      </c>
      <c r="AF325" s="695"/>
      <c r="AG325" s="695">
        <f>'HIV-Key Info'!$I$82*(('HIV-Key Info'!$E$82*'HPM costs'!M33)+('HIV-Key Info'!$F$82*('HPM costs'!M36+'HPM costs'!M39)))</f>
        <v>0</v>
      </c>
      <c r="AH325" s="695"/>
      <c r="AI325" s="695">
        <f>'HIV-Key Info'!$I$82*(('HIV-Key Info'!$E$82*'HPM costs'!N33)+('HIV-Key Info'!$F$82*('HPM costs'!N36+'HPM costs'!N39)))</f>
        <v>0</v>
      </c>
      <c r="AJ325" s="695"/>
      <c r="AK325" s="1492">
        <f t="shared" si="37"/>
        <v>0</v>
      </c>
      <c r="AL325" s="1493"/>
      <c r="AM325" s="1494"/>
      <c r="AN325" s="699"/>
      <c r="AO325" s="695"/>
      <c r="AP325" s="695">
        <f>'HIV-Key Info'!$I$82*(('HIV-Key Info'!$E$82*'HPM costs'!P33)+('HIV-Key Info'!$F$82*('HPM costs'!P36+'HPM costs'!P39)))</f>
        <v>0</v>
      </c>
      <c r="AQ325" s="695"/>
      <c r="AR325" s="695">
        <f>'HIV-Key Info'!$I$82*(('HIV-Key Info'!$E$82*'HPM costs'!Q33)+('HIV-Key Info'!$F$82*('HPM costs'!Q36+'HPM costs'!Q39)))</f>
        <v>0</v>
      </c>
      <c r="AS325" s="695"/>
      <c r="AT325" s="695">
        <f>'HIV-Key Info'!$I$82*(('HIV-Key Info'!$E$82*'HPM costs'!R33)+('HIV-Key Info'!$F$82*('HPM costs'!R36+'HPM costs'!R39)))</f>
        <v>0</v>
      </c>
      <c r="AU325" s="695"/>
      <c r="AV325" s="695">
        <f>'HIV-Key Info'!$I$82*(('HIV-Key Info'!$E$82*'HPM costs'!S33)+('HIV-Key Info'!$F$82*('HPM costs'!S36+'HPM costs'!S39)))</f>
        <v>0</v>
      </c>
      <c r="AW325" s="695"/>
      <c r="AX325" s="1492">
        <f t="shared" si="38"/>
        <v>0</v>
      </c>
      <c r="AY325" s="1492"/>
      <c r="AZ325" s="698"/>
      <c r="BA325" s="699"/>
      <c r="BB325" s="697"/>
      <c r="BC325" s="697">
        <v>0</v>
      </c>
      <c r="BD325" s="697">
        <v>0</v>
      </c>
      <c r="BE325" s="697">
        <v>0</v>
      </c>
      <c r="BF325" s="697">
        <v>0</v>
      </c>
      <c r="BG325" s="697">
        <v>0</v>
      </c>
      <c r="BH325" s="697">
        <v>0</v>
      </c>
      <c r="BI325" s="697">
        <v>0</v>
      </c>
      <c r="BJ325" s="697">
        <v>0</v>
      </c>
      <c r="BK325" s="1492">
        <f t="shared" si="39"/>
        <v>0</v>
      </c>
      <c r="BL325" s="1492"/>
      <c r="BM325" s="1492">
        <f t="shared" si="40"/>
        <v>0</v>
      </c>
      <c r="BN325" s="1492">
        <f t="shared" si="41"/>
        <v>0</v>
      </c>
      <c r="BO325" s="697"/>
      <c r="BP325" s="697"/>
      <c r="BQ325" s="1495" t="s">
        <v>92</v>
      </c>
      <c r="BR325" s="1495" t="s">
        <v>818</v>
      </c>
      <c r="BS325" s="1902" t="s">
        <v>655</v>
      </c>
      <c r="BT325" s="1907" t="s">
        <v>2044</v>
      </c>
    </row>
    <row r="326" spans="1:72" ht="13">
      <c r="A326" s="1545">
        <v>882</v>
      </c>
      <c r="B326" s="1546" t="s">
        <v>800</v>
      </c>
      <c r="C326" s="1546" t="s">
        <v>803</v>
      </c>
      <c r="D326" s="1547" t="s">
        <v>6870</v>
      </c>
      <c r="E326" s="690" t="s">
        <v>658</v>
      </c>
      <c r="F326" s="691"/>
      <c r="G326" s="692"/>
      <c r="H326" s="692"/>
      <c r="I326" s="692"/>
      <c r="J326" s="693"/>
      <c r="K326" s="693"/>
      <c r="L326" s="693"/>
      <c r="M326" s="694"/>
      <c r="N326" s="695"/>
      <c r="O326" s="696" t="s">
        <v>1569</v>
      </c>
      <c r="P326" s="695">
        <f>'HIV-Key Info'!$I$82*(('HIV-Key Info'!$E$82*'HPM costs'!F119)+('HIV-Key Info'!$F$82*('HPM costs'!F122+'HPM costs'!F125)))</f>
        <v>0</v>
      </c>
      <c r="Q326" s="695" t="s">
        <v>1569</v>
      </c>
      <c r="R326" s="695">
        <f>'HIV-Key Info'!$I$82*(('HIV-Key Info'!$E$82*'HPM costs'!G119)+('HIV-Key Info'!$F$82*('HPM costs'!G122+'HPM costs'!G125)))</f>
        <v>0</v>
      </c>
      <c r="S326" s="695" t="s">
        <v>1569</v>
      </c>
      <c r="T326" s="695">
        <f>'HIV-Key Info'!$I$82*(('HIV-Key Info'!$E$82*'HPM costs'!H119)+('HIV-Key Info'!$F$82*('HPM costs'!H122+'HPM costs'!H125)))</f>
        <v>0</v>
      </c>
      <c r="U326" s="695" t="s">
        <v>1569</v>
      </c>
      <c r="V326" s="695">
        <f>'HIV-Key Info'!$I$82*(('HIV-Key Info'!$E$82*'HPM costs'!I119)+('HIV-Key Info'!$F$82*('HPM costs'!I122+'HPM costs'!I125)))</f>
        <v>0</v>
      </c>
      <c r="W326" s="695"/>
      <c r="X326" s="1492">
        <f t="shared" si="36"/>
        <v>0</v>
      </c>
      <c r="Y326" s="1493"/>
      <c r="Z326" s="1494"/>
      <c r="AA326" s="699"/>
      <c r="AB326" s="695"/>
      <c r="AC326" s="695">
        <f>'HIV-Key Info'!$I$82*(('HIV-Key Info'!$E$82*'HPM costs'!K119)+('HIV-Key Info'!$F$82*('HPM costs'!K122+'HPM costs'!K125)))</f>
        <v>0</v>
      </c>
      <c r="AD326" s="695"/>
      <c r="AE326" s="695">
        <f>'HIV-Key Info'!$I$82*(('HIV-Key Info'!$E$82*'HPM costs'!L119)+('HIV-Key Info'!$F$82*('HPM costs'!L122+'HPM costs'!L125)))</f>
        <v>0</v>
      </c>
      <c r="AF326" s="695"/>
      <c r="AG326" s="695">
        <f>'HIV-Key Info'!$I$82*(('HIV-Key Info'!$E$82*'HPM costs'!M119)+('HIV-Key Info'!$F$82*('HPM costs'!M122+'HPM costs'!M125)))</f>
        <v>0</v>
      </c>
      <c r="AH326" s="695"/>
      <c r="AI326" s="695">
        <f>'HIV-Key Info'!$I$82*(('HIV-Key Info'!$E$82*'HPM costs'!N119)+('HIV-Key Info'!$F$82*('HPM costs'!N122+'HPM costs'!N125)))</f>
        <v>0</v>
      </c>
      <c r="AJ326" s="695"/>
      <c r="AK326" s="1492">
        <f t="shared" si="37"/>
        <v>0</v>
      </c>
      <c r="AL326" s="1493"/>
      <c r="AM326" s="1494"/>
      <c r="AN326" s="699"/>
      <c r="AO326" s="695"/>
      <c r="AP326" s="695">
        <f>'HIV-Key Info'!$I$82*(('HIV-Key Info'!$E$82*'HPM costs'!P119)+('HIV-Key Info'!$F$82*('HPM costs'!P122+'HPM costs'!P125)))</f>
        <v>0</v>
      </c>
      <c r="AQ326" s="695"/>
      <c r="AR326" s="695">
        <f>'HIV-Key Info'!$I$82*(('HIV-Key Info'!$E$82*'HPM costs'!Q119)+('HIV-Key Info'!$F$82*('HPM costs'!Q122+'HPM costs'!Q125)))</f>
        <v>0</v>
      </c>
      <c r="AS326" s="695"/>
      <c r="AT326" s="695">
        <f>'HIV-Key Info'!$I$82*(('HIV-Key Info'!$E$82*'HPM costs'!R119)+('HIV-Key Info'!$F$82*('HPM costs'!R122+'HPM costs'!R125)))</f>
        <v>0</v>
      </c>
      <c r="AU326" s="695"/>
      <c r="AV326" s="695">
        <f>'HIV-Key Info'!$I$82*(('HIV-Key Info'!$E$82*'HPM costs'!S119)+('HIV-Key Info'!$F$82*('HPM costs'!S122+'HPM costs'!S125)))</f>
        <v>0</v>
      </c>
      <c r="AW326" s="695"/>
      <c r="AX326" s="1492">
        <f t="shared" si="38"/>
        <v>0</v>
      </c>
      <c r="AY326" s="1492"/>
      <c r="AZ326" s="698"/>
      <c r="BA326" s="699"/>
      <c r="BB326" s="697"/>
      <c r="BC326" s="697">
        <v>0</v>
      </c>
      <c r="BD326" s="697">
        <v>0</v>
      </c>
      <c r="BE326" s="697">
        <v>0</v>
      </c>
      <c r="BF326" s="697">
        <v>0</v>
      </c>
      <c r="BG326" s="697">
        <v>0</v>
      </c>
      <c r="BH326" s="697">
        <v>0</v>
      </c>
      <c r="BI326" s="697">
        <v>0</v>
      </c>
      <c r="BJ326" s="697">
        <v>0</v>
      </c>
      <c r="BK326" s="1492">
        <f t="shared" si="39"/>
        <v>0</v>
      </c>
      <c r="BL326" s="1492"/>
      <c r="BM326" s="1492">
        <f t="shared" si="40"/>
        <v>0</v>
      </c>
      <c r="BN326" s="1492">
        <f t="shared" si="41"/>
        <v>0</v>
      </c>
      <c r="BO326" s="697"/>
      <c r="BP326" s="697"/>
      <c r="BQ326" s="1495" t="s">
        <v>92</v>
      </c>
      <c r="BR326" s="1495" t="s">
        <v>818</v>
      </c>
      <c r="BS326" s="1902" t="s">
        <v>655</v>
      </c>
      <c r="BT326" s="1907" t="s">
        <v>2045</v>
      </c>
    </row>
    <row r="327" spans="1:72" ht="13">
      <c r="A327" s="1545">
        <v>883</v>
      </c>
      <c r="B327" s="1546" t="s">
        <v>800</v>
      </c>
      <c r="C327" s="1546" t="s">
        <v>803</v>
      </c>
      <c r="D327" s="1547" t="s">
        <v>6870</v>
      </c>
      <c r="E327" s="690" t="s">
        <v>660</v>
      </c>
      <c r="F327" s="691"/>
      <c r="G327" s="692"/>
      <c r="H327" s="692"/>
      <c r="I327" s="692"/>
      <c r="J327" s="693"/>
      <c r="K327" s="693"/>
      <c r="L327" s="693"/>
      <c r="M327" s="694"/>
      <c r="N327" s="695"/>
      <c r="O327" s="696" t="s">
        <v>1569</v>
      </c>
      <c r="P327" s="695">
        <f>'HIV-Key Info'!$I$82*(('HIV-Key Info'!$E$82*'HPM costs'!F379)+('HIV-Key Info'!$F$82*('HPM costs'!F382+'HPM costs'!F385)))</f>
        <v>0</v>
      </c>
      <c r="Q327" s="695" t="s">
        <v>1569</v>
      </c>
      <c r="R327" s="695">
        <f>'HIV-Key Info'!$I$82*(('HIV-Key Info'!$E$82*'HPM costs'!G379)+('HIV-Key Info'!$F$82*('HPM costs'!G382+'HPM costs'!G385)))</f>
        <v>0</v>
      </c>
      <c r="S327" s="695" t="s">
        <v>1569</v>
      </c>
      <c r="T327" s="695">
        <f>'HIV-Key Info'!$I$82*(('HIV-Key Info'!$E$82*'HPM costs'!H379)+('HIV-Key Info'!$F$82*('HPM costs'!H382+'HPM costs'!H385)))</f>
        <v>0</v>
      </c>
      <c r="U327" s="695" t="s">
        <v>1569</v>
      </c>
      <c r="V327" s="695">
        <f>'HIV-Key Info'!$I$82*(('HIV-Key Info'!$E$82*'HPM costs'!I379)+('HIV-Key Info'!$F$82*('HPM costs'!I382+'HPM costs'!I385)))</f>
        <v>0</v>
      </c>
      <c r="W327" s="695"/>
      <c r="X327" s="1492">
        <f t="shared" si="36"/>
        <v>0</v>
      </c>
      <c r="Y327" s="1493"/>
      <c r="Z327" s="1494"/>
      <c r="AA327" s="699"/>
      <c r="AB327" s="695"/>
      <c r="AC327" s="695">
        <f>'HIV-Key Info'!$I$82*(('HIV-Key Info'!$E$82*'HPM costs'!K379)+('HIV-Key Info'!$F$82*('HPM costs'!K382+'HPM costs'!K385)))</f>
        <v>0</v>
      </c>
      <c r="AD327" s="695"/>
      <c r="AE327" s="695">
        <f>'HIV-Key Info'!$I$82*(('HIV-Key Info'!$E$82*'HPM costs'!L379)+('HIV-Key Info'!$F$82*('HPM costs'!L382+'HPM costs'!L385)))</f>
        <v>0</v>
      </c>
      <c r="AF327" s="695"/>
      <c r="AG327" s="695">
        <f>'HIV-Key Info'!$I$82*(('HIV-Key Info'!$E$82*'HPM costs'!M379)+('HIV-Key Info'!$F$82*('HPM costs'!M382+'HPM costs'!M385)))</f>
        <v>0</v>
      </c>
      <c r="AH327" s="695"/>
      <c r="AI327" s="695">
        <f>'HIV-Key Info'!$I$82*(('HIV-Key Info'!$E$82*'HPM costs'!N379)+('HIV-Key Info'!$F$82*('HPM costs'!N382+'HPM costs'!N385)))</f>
        <v>0</v>
      </c>
      <c r="AJ327" s="695"/>
      <c r="AK327" s="1492">
        <f t="shared" si="37"/>
        <v>0</v>
      </c>
      <c r="AL327" s="1493"/>
      <c r="AM327" s="1494"/>
      <c r="AN327" s="699"/>
      <c r="AO327" s="695"/>
      <c r="AP327" s="695">
        <f>'HIV-Key Info'!$I$82*(('HIV-Key Info'!$E$82*'HPM costs'!P379)+('HIV-Key Info'!$F$82*('HPM costs'!P382+'HPM costs'!P385)))</f>
        <v>0</v>
      </c>
      <c r="AQ327" s="695"/>
      <c r="AR327" s="695">
        <f>'HIV-Key Info'!$I$82*(('HIV-Key Info'!$E$82*'HPM costs'!Q379)+('HIV-Key Info'!$F$82*('HPM costs'!Q382+'HPM costs'!Q385)))</f>
        <v>0</v>
      </c>
      <c r="AS327" s="695"/>
      <c r="AT327" s="695">
        <f>'HIV-Key Info'!$I$82*(('HIV-Key Info'!$E$82*'HPM costs'!R379)+('HIV-Key Info'!$F$82*('HPM costs'!R382+'HPM costs'!R385)))</f>
        <v>0</v>
      </c>
      <c r="AU327" s="695"/>
      <c r="AV327" s="695">
        <f>'HIV-Key Info'!$I$82*(('HIV-Key Info'!$E$82*'HPM costs'!S379)+('HIV-Key Info'!$F$82*('HPM costs'!S382+'HPM costs'!S385)))</f>
        <v>0</v>
      </c>
      <c r="AW327" s="695"/>
      <c r="AX327" s="1492">
        <f t="shared" si="38"/>
        <v>0</v>
      </c>
      <c r="AY327" s="1492"/>
      <c r="AZ327" s="698"/>
      <c r="BA327" s="699"/>
      <c r="BB327" s="697"/>
      <c r="BC327" s="697">
        <v>0</v>
      </c>
      <c r="BD327" s="697">
        <v>0</v>
      </c>
      <c r="BE327" s="697">
        <v>0</v>
      </c>
      <c r="BF327" s="697">
        <v>0</v>
      </c>
      <c r="BG327" s="697">
        <v>0</v>
      </c>
      <c r="BH327" s="697">
        <v>0</v>
      </c>
      <c r="BI327" s="697">
        <v>0</v>
      </c>
      <c r="BJ327" s="697">
        <v>0</v>
      </c>
      <c r="BK327" s="1492">
        <f t="shared" si="39"/>
        <v>0</v>
      </c>
      <c r="BL327" s="1492"/>
      <c r="BM327" s="1492">
        <f t="shared" si="40"/>
        <v>0</v>
      </c>
      <c r="BN327" s="1492">
        <f t="shared" si="41"/>
        <v>0</v>
      </c>
      <c r="BO327" s="697"/>
      <c r="BP327" s="697"/>
      <c r="BQ327" s="1495" t="s">
        <v>92</v>
      </c>
      <c r="BR327" s="1495" t="s">
        <v>818</v>
      </c>
      <c r="BS327" s="1902" t="s">
        <v>655</v>
      </c>
      <c r="BT327" s="1907" t="s">
        <v>2046</v>
      </c>
    </row>
    <row r="328" spans="1:72" ht="13">
      <c r="A328" s="1545">
        <v>884</v>
      </c>
      <c r="B328" s="1546" t="s">
        <v>800</v>
      </c>
      <c r="C328" s="1546" t="s">
        <v>803</v>
      </c>
      <c r="D328" s="1547" t="s">
        <v>6870</v>
      </c>
      <c r="E328" s="690" t="s">
        <v>662</v>
      </c>
      <c r="F328" s="691"/>
      <c r="G328" s="692"/>
      <c r="H328" s="692"/>
      <c r="I328" s="692"/>
      <c r="J328" s="693"/>
      <c r="K328" s="693"/>
      <c r="L328" s="693"/>
      <c r="M328" s="694"/>
      <c r="N328" s="695"/>
      <c r="O328" s="696" t="s">
        <v>1569</v>
      </c>
      <c r="P328" s="695">
        <f>'HIV-Key Info'!$I$82*(('HIV-Key Info'!$E$82*'HPM costs'!F465)+('HIV-Key Info'!$F$82*('HPM costs'!F468+'HPM costs'!F471)))</f>
        <v>0</v>
      </c>
      <c r="Q328" s="695" t="s">
        <v>1569</v>
      </c>
      <c r="R328" s="695">
        <f>'HIV-Key Info'!$I$82*(('HIV-Key Info'!$E$82*'HPM costs'!G465)+('HIV-Key Info'!$F$82*('HPM costs'!G468+'HPM costs'!G471)))</f>
        <v>0</v>
      </c>
      <c r="S328" s="695" t="s">
        <v>1569</v>
      </c>
      <c r="T328" s="695">
        <f>'HIV-Key Info'!$I$82*(('HIV-Key Info'!$E$82*'HPM costs'!H465)+('HIV-Key Info'!$F$82*('HPM costs'!H468+'HPM costs'!H471)))</f>
        <v>0</v>
      </c>
      <c r="U328" s="695" t="s">
        <v>1569</v>
      </c>
      <c r="V328" s="695">
        <f>'HIV-Key Info'!$I$82*(('HIV-Key Info'!$E$82*'HPM costs'!I465)+('HIV-Key Info'!$F$82*('HPM costs'!I468+'HPM costs'!I471)))</f>
        <v>0</v>
      </c>
      <c r="W328" s="695"/>
      <c r="X328" s="1492">
        <f t="shared" si="36"/>
        <v>0</v>
      </c>
      <c r="Y328" s="1493"/>
      <c r="Z328" s="1494"/>
      <c r="AA328" s="699"/>
      <c r="AB328" s="695"/>
      <c r="AC328" s="695">
        <f>'HIV-Key Info'!$I$82*(('HIV-Key Info'!$E$82*'HPM costs'!K465)+('HIV-Key Info'!$F$82*('HPM costs'!K468+'HPM costs'!K471)))</f>
        <v>0</v>
      </c>
      <c r="AD328" s="695"/>
      <c r="AE328" s="695">
        <f>'HIV-Key Info'!$I$82*(('HIV-Key Info'!$E$82*'HPM costs'!L465)+('HIV-Key Info'!$F$82*('HPM costs'!L468+'HPM costs'!L471)))</f>
        <v>0</v>
      </c>
      <c r="AF328" s="695"/>
      <c r="AG328" s="695">
        <f>'HIV-Key Info'!$I$82*(('HIV-Key Info'!$E$82*'HPM costs'!M465)+('HIV-Key Info'!$F$82*('HPM costs'!M468+'HPM costs'!M471)))</f>
        <v>0</v>
      </c>
      <c r="AH328" s="695"/>
      <c r="AI328" s="695">
        <f>'HIV-Key Info'!$I$82*(('HIV-Key Info'!$E$82*'HPM costs'!N465)+('HIV-Key Info'!$F$82*('HPM costs'!N468+'HPM costs'!N471)))</f>
        <v>0</v>
      </c>
      <c r="AJ328" s="695"/>
      <c r="AK328" s="1492">
        <f t="shared" si="37"/>
        <v>0</v>
      </c>
      <c r="AL328" s="1493"/>
      <c r="AM328" s="1494"/>
      <c r="AN328" s="699"/>
      <c r="AO328" s="695"/>
      <c r="AP328" s="695">
        <f>'HIV-Key Info'!$I$82*(('HIV-Key Info'!$E$82*'HPM costs'!P465)+('HIV-Key Info'!$F$82*('HPM costs'!P468+'HPM costs'!P471)))</f>
        <v>0</v>
      </c>
      <c r="AQ328" s="695"/>
      <c r="AR328" s="695">
        <f>'HIV-Key Info'!$I$82*(('HIV-Key Info'!$E$82*'HPM costs'!Q465)+('HIV-Key Info'!$F$82*('HPM costs'!Q468+'HPM costs'!Q471)))</f>
        <v>0</v>
      </c>
      <c r="AS328" s="695"/>
      <c r="AT328" s="695">
        <f>'HIV-Key Info'!$I$82*(('HIV-Key Info'!$E$82*'HPM costs'!R465)+('HIV-Key Info'!$F$82*('HPM costs'!R468+'HPM costs'!R471)))</f>
        <v>0</v>
      </c>
      <c r="AU328" s="695"/>
      <c r="AV328" s="695">
        <f>'HIV-Key Info'!$I$82*(('HIV-Key Info'!$E$82*'HPM costs'!S465)+('HIV-Key Info'!$F$82*('HPM costs'!S468+'HPM costs'!S471)))</f>
        <v>0</v>
      </c>
      <c r="AW328" s="695"/>
      <c r="AX328" s="1492">
        <f t="shared" si="38"/>
        <v>0</v>
      </c>
      <c r="AY328" s="1492"/>
      <c r="AZ328" s="698"/>
      <c r="BA328" s="699"/>
      <c r="BB328" s="697"/>
      <c r="BC328" s="697">
        <v>0</v>
      </c>
      <c r="BD328" s="697">
        <v>0</v>
      </c>
      <c r="BE328" s="697">
        <v>0</v>
      </c>
      <c r="BF328" s="697">
        <v>0</v>
      </c>
      <c r="BG328" s="697">
        <v>0</v>
      </c>
      <c r="BH328" s="697">
        <v>0</v>
      </c>
      <c r="BI328" s="697">
        <v>0</v>
      </c>
      <c r="BJ328" s="697">
        <v>0</v>
      </c>
      <c r="BK328" s="1492">
        <f t="shared" si="39"/>
        <v>0</v>
      </c>
      <c r="BL328" s="1492"/>
      <c r="BM328" s="1492">
        <f t="shared" si="40"/>
        <v>0</v>
      </c>
      <c r="BN328" s="1492">
        <f t="shared" si="41"/>
        <v>0</v>
      </c>
      <c r="BO328" s="697"/>
      <c r="BP328" s="697"/>
      <c r="BQ328" s="1495" t="s">
        <v>92</v>
      </c>
      <c r="BR328" s="1495" t="s">
        <v>818</v>
      </c>
      <c r="BS328" s="1902" t="s">
        <v>655</v>
      </c>
      <c r="BT328" s="1907" t="s">
        <v>2047</v>
      </c>
    </row>
    <row r="329" spans="1:72" ht="13">
      <c r="A329" s="1545">
        <v>885</v>
      </c>
      <c r="B329" s="1546" t="s">
        <v>800</v>
      </c>
      <c r="C329" s="1546" t="s">
        <v>803</v>
      </c>
      <c r="D329" s="1547" t="s">
        <v>6870</v>
      </c>
      <c r="E329" s="690" t="s">
        <v>664</v>
      </c>
      <c r="F329" s="691"/>
      <c r="G329" s="692"/>
      <c r="H329" s="692"/>
      <c r="I329" s="692"/>
      <c r="J329" s="693"/>
      <c r="K329" s="693"/>
      <c r="L329" s="693"/>
      <c r="M329" s="694"/>
      <c r="N329" s="695"/>
      <c r="O329" s="696" t="s">
        <v>1569</v>
      </c>
      <c r="P329" s="695">
        <f>'HIV-Key Info'!$I$82*(('HIV-Key Info'!$E$82*('HPM costs'!F205+'HPM costs'!F551))+('HIV-Key Info'!$F$82*('HPM costs'!F208+'HPM costs'!F211+'HPM costs'!F554+'HPM costs'!F557)))</f>
        <v>0</v>
      </c>
      <c r="Q329" s="695" t="s">
        <v>1569</v>
      </c>
      <c r="R329" s="695">
        <f>'HIV-Key Info'!$I$82*(('HIV-Key Info'!$E$82*('HPM costs'!G205+'HPM costs'!G551))+('HIV-Key Info'!$F$82*('HPM costs'!G208+'HPM costs'!G211+'HPM costs'!G554+'HPM costs'!G557)))</f>
        <v>0</v>
      </c>
      <c r="S329" s="695" t="s">
        <v>1569</v>
      </c>
      <c r="T329" s="695">
        <f>'HIV-Key Info'!$I$82*(('HIV-Key Info'!$E$82*('HPM costs'!H205+'HPM costs'!H551))+('HIV-Key Info'!$F$82*('HPM costs'!H208+'HPM costs'!H211+'HPM costs'!H554+'HPM costs'!H557)))</f>
        <v>0</v>
      </c>
      <c r="U329" s="695" t="s">
        <v>1569</v>
      </c>
      <c r="V329" s="695">
        <f>'HIV-Key Info'!$I$82*(('HIV-Key Info'!$E$82*('HPM costs'!I205+'HPM costs'!I551))+('HIV-Key Info'!$F$82*('HPM costs'!I208+'HPM costs'!I211+'HPM costs'!I554+'HPM costs'!I557)))</f>
        <v>0</v>
      </c>
      <c r="W329" s="695"/>
      <c r="X329" s="1492">
        <f t="shared" si="36"/>
        <v>0</v>
      </c>
      <c r="Y329" s="1493"/>
      <c r="Z329" s="1494"/>
      <c r="AA329" s="699"/>
      <c r="AB329" s="695"/>
      <c r="AC329" s="695">
        <f>'HIV-Key Info'!$I$82*(('HIV-Key Info'!$E$82*('HPM costs'!K205+'HPM costs'!K551))+('HIV-Key Info'!$F$82*('HPM costs'!K208+'HPM costs'!K211+'HPM costs'!K554+'HPM costs'!K557)))</f>
        <v>0</v>
      </c>
      <c r="AD329" s="695"/>
      <c r="AE329" s="695">
        <f>'HIV-Key Info'!$I$82*(('HIV-Key Info'!$E$82*('HPM costs'!L205+'HPM costs'!L551))+('HIV-Key Info'!$F$82*('HPM costs'!L208+'HPM costs'!L211+'HPM costs'!L554+'HPM costs'!L557)))</f>
        <v>0</v>
      </c>
      <c r="AF329" s="695"/>
      <c r="AG329" s="695">
        <f>'HIV-Key Info'!$I$82*(('HIV-Key Info'!$E$82*('HPM costs'!M205+'HPM costs'!M551))+('HIV-Key Info'!$F$82*('HPM costs'!M208+'HPM costs'!M211+'HPM costs'!M554+'HPM costs'!M557)))</f>
        <v>0</v>
      </c>
      <c r="AH329" s="695"/>
      <c r="AI329" s="695">
        <f>'HIV-Key Info'!$I$82*(('HIV-Key Info'!$E$82*('HPM costs'!N205+'HPM costs'!N551))+('HIV-Key Info'!$F$82*('HPM costs'!N208+'HPM costs'!N211+'HPM costs'!N554+'HPM costs'!N557)))</f>
        <v>0</v>
      </c>
      <c r="AJ329" s="695"/>
      <c r="AK329" s="1492">
        <f t="shared" si="37"/>
        <v>0</v>
      </c>
      <c r="AL329" s="1493"/>
      <c r="AM329" s="1494"/>
      <c r="AN329" s="699"/>
      <c r="AO329" s="695"/>
      <c r="AP329" s="695">
        <f>'HIV-Key Info'!$I$82*(('HIV-Key Info'!$E$82*('HPM costs'!P205+'HPM costs'!P551))+('HIV-Key Info'!$F$82*('HPM costs'!P208+'HPM costs'!P211+'HPM costs'!P554+'HPM costs'!P557)))</f>
        <v>0</v>
      </c>
      <c r="AQ329" s="695"/>
      <c r="AR329" s="695">
        <f>'HIV-Key Info'!$I$82*(('HIV-Key Info'!$E$82*('HPM costs'!Q205+'HPM costs'!Q551))+('HIV-Key Info'!$F$82*('HPM costs'!Q208+'HPM costs'!Q211+'HPM costs'!Q554+'HPM costs'!Q557)))</f>
        <v>0</v>
      </c>
      <c r="AS329" s="695"/>
      <c r="AT329" s="695">
        <f>'HIV-Key Info'!$I$82*(('HIV-Key Info'!$E$82*('HPM costs'!R205+'HPM costs'!R551))+('HIV-Key Info'!$F$82*('HPM costs'!R208+'HPM costs'!R211+'HPM costs'!R554+'HPM costs'!R557)))</f>
        <v>0</v>
      </c>
      <c r="AU329" s="695"/>
      <c r="AV329" s="695">
        <f>'HIV-Key Info'!$I$82*(('HIV-Key Info'!$E$82*('HPM costs'!S205+'HPM costs'!S551))+('HIV-Key Info'!$F$82*('HPM costs'!S208+'HPM costs'!S211+'HPM costs'!S554+'HPM costs'!S557)))</f>
        <v>0</v>
      </c>
      <c r="AW329" s="695"/>
      <c r="AX329" s="1492">
        <f t="shared" si="38"/>
        <v>0</v>
      </c>
      <c r="AY329" s="1492"/>
      <c r="AZ329" s="698"/>
      <c r="BA329" s="699"/>
      <c r="BB329" s="697"/>
      <c r="BC329" s="697">
        <v>0</v>
      </c>
      <c r="BD329" s="697">
        <v>0</v>
      </c>
      <c r="BE329" s="697">
        <v>0</v>
      </c>
      <c r="BF329" s="697">
        <v>0</v>
      </c>
      <c r="BG329" s="697">
        <v>0</v>
      </c>
      <c r="BH329" s="697">
        <v>0</v>
      </c>
      <c r="BI329" s="697">
        <v>0</v>
      </c>
      <c r="BJ329" s="697">
        <v>0</v>
      </c>
      <c r="BK329" s="1492">
        <f t="shared" si="39"/>
        <v>0</v>
      </c>
      <c r="BL329" s="1492"/>
      <c r="BM329" s="1492">
        <f t="shared" si="40"/>
        <v>0</v>
      </c>
      <c r="BN329" s="1492">
        <f t="shared" si="41"/>
        <v>0</v>
      </c>
      <c r="BO329" s="697"/>
      <c r="BP329" s="697"/>
      <c r="BQ329" s="1495" t="s">
        <v>92</v>
      </c>
      <c r="BR329" s="1495" t="s">
        <v>818</v>
      </c>
      <c r="BS329" s="1902" t="s">
        <v>655</v>
      </c>
      <c r="BT329" s="1907" t="s">
        <v>2048</v>
      </c>
    </row>
    <row r="330" spans="1:72" ht="13">
      <c r="A330" s="1545">
        <v>886</v>
      </c>
      <c r="B330" s="1546" t="s">
        <v>800</v>
      </c>
      <c r="C330" s="1546" t="s">
        <v>803</v>
      </c>
      <c r="D330" s="1547" t="s">
        <v>6870</v>
      </c>
      <c r="E330" s="690" t="s">
        <v>666</v>
      </c>
      <c r="F330" s="691"/>
      <c r="G330" s="692"/>
      <c r="H330" s="692"/>
      <c r="I330" s="692"/>
      <c r="J330" s="693"/>
      <c r="K330" s="693"/>
      <c r="L330" s="693"/>
      <c r="M330" s="694"/>
      <c r="N330" s="695"/>
      <c r="O330" s="696" t="s">
        <v>1569</v>
      </c>
      <c r="P330" s="695">
        <f>'HIV-Key Info'!$I$82*(('HIV-Key Info'!$E$82*'HPM costs'!F291)+('HIV-Key Info'!$F$82*('HPM costs'!F294+'HPM costs'!F297)))</f>
        <v>0</v>
      </c>
      <c r="Q330" s="695" t="s">
        <v>1569</v>
      </c>
      <c r="R330" s="695">
        <f>'HIV-Key Info'!$I$82*(('HIV-Key Info'!$E$82*'HPM costs'!G291)+('HIV-Key Info'!$F$82*('HPM costs'!G294+'HPM costs'!G297)))</f>
        <v>0</v>
      </c>
      <c r="S330" s="695" t="s">
        <v>1569</v>
      </c>
      <c r="T330" s="695">
        <f>'HIV-Key Info'!$I$82*(('HIV-Key Info'!$E$82*'HPM costs'!H291)+('HIV-Key Info'!$F$82*('HPM costs'!H294+'HPM costs'!H297)))</f>
        <v>0</v>
      </c>
      <c r="U330" s="695" t="s">
        <v>1569</v>
      </c>
      <c r="V330" s="695">
        <f>'HIV-Key Info'!$I$82*(('HIV-Key Info'!$E$82*'HPM costs'!I291)+('HIV-Key Info'!$F$82*('HPM costs'!I294+'HPM costs'!I297)))</f>
        <v>0</v>
      </c>
      <c r="W330" s="695"/>
      <c r="X330" s="1492">
        <f t="shared" si="36"/>
        <v>0</v>
      </c>
      <c r="Y330" s="1493"/>
      <c r="Z330" s="1494"/>
      <c r="AA330" s="699"/>
      <c r="AB330" s="695"/>
      <c r="AC330" s="695">
        <f>'HIV-Key Info'!$I$82*(('HIV-Key Info'!$E$82*'HPM costs'!K291)+('HIV-Key Info'!$F$82*('HPM costs'!K294+'HPM costs'!K297)))</f>
        <v>0</v>
      </c>
      <c r="AD330" s="695"/>
      <c r="AE330" s="695">
        <f>'HIV-Key Info'!$I$82*(('HIV-Key Info'!$E$82*'HPM costs'!L291)+('HIV-Key Info'!$F$82*('HPM costs'!L294+'HPM costs'!L297)))</f>
        <v>0</v>
      </c>
      <c r="AF330" s="695"/>
      <c r="AG330" s="695">
        <f>'HIV-Key Info'!$I$82*(('HIV-Key Info'!$E$82*'HPM costs'!M291)+('HIV-Key Info'!$F$82*('HPM costs'!M294+'HPM costs'!M297)))</f>
        <v>0</v>
      </c>
      <c r="AH330" s="695"/>
      <c r="AI330" s="695">
        <f>'HIV-Key Info'!$I$82*(('HIV-Key Info'!$E$82*'HPM costs'!N291)+('HIV-Key Info'!$F$82*('HPM costs'!N294+'HPM costs'!N297)))</f>
        <v>0</v>
      </c>
      <c r="AJ330" s="695"/>
      <c r="AK330" s="1492">
        <f t="shared" si="37"/>
        <v>0</v>
      </c>
      <c r="AL330" s="1493"/>
      <c r="AM330" s="1494"/>
      <c r="AN330" s="699"/>
      <c r="AO330" s="695"/>
      <c r="AP330" s="695">
        <f>'HIV-Key Info'!$I$82*(('HIV-Key Info'!$E$82*'HPM costs'!P291)+('HIV-Key Info'!$F$82*('HPM costs'!P294+'HPM costs'!P297)))</f>
        <v>0</v>
      </c>
      <c r="AQ330" s="695"/>
      <c r="AR330" s="695">
        <f>'HIV-Key Info'!$I$82*(('HIV-Key Info'!$E$82*'HPM costs'!Q291)+('HIV-Key Info'!$F$82*('HPM costs'!Q294+'HPM costs'!Q297)))</f>
        <v>0</v>
      </c>
      <c r="AS330" s="695"/>
      <c r="AT330" s="695">
        <f>'HIV-Key Info'!$I$82*(('HIV-Key Info'!$E$82*'HPM costs'!R291)+('HIV-Key Info'!$F$82*('HPM costs'!R294+'HPM costs'!R297)))</f>
        <v>0</v>
      </c>
      <c r="AU330" s="695"/>
      <c r="AV330" s="695">
        <f>'HIV-Key Info'!$I$82*(('HIV-Key Info'!$E$82*'HPM costs'!S291)+('HIV-Key Info'!$F$82*('HPM costs'!S294+'HPM costs'!S297)))</f>
        <v>0</v>
      </c>
      <c r="AW330" s="695"/>
      <c r="AX330" s="1492">
        <f t="shared" si="38"/>
        <v>0</v>
      </c>
      <c r="AY330" s="1492"/>
      <c r="AZ330" s="698"/>
      <c r="BA330" s="699"/>
      <c r="BB330" s="697"/>
      <c r="BC330" s="697">
        <v>0</v>
      </c>
      <c r="BD330" s="697">
        <v>0</v>
      </c>
      <c r="BE330" s="697">
        <v>0</v>
      </c>
      <c r="BF330" s="697">
        <v>0</v>
      </c>
      <c r="BG330" s="697">
        <v>0</v>
      </c>
      <c r="BH330" s="697">
        <v>0</v>
      </c>
      <c r="BI330" s="697">
        <v>0</v>
      </c>
      <c r="BJ330" s="697">
        <v>0</v>
      </c>
      <c r="BK330" s="1492">
        <f t="shared" si="39"/>
        <v>0</v>
      </c>
      <c r="BL330" s="1492"/>
      <c r="BM330" s="1492">
        <f t="shared" si="40"/>
        <v>0</v>
      </c>
      <c r="BN330" s="1492">
        <f t="shared" si="41"/>
        <v>0</v>
      </c>
      <c r="BO330" s="697"/>
      <c r="BP330" s="697"/>
      <c r="BQ330" s="1495" t="s">
        <v>92</v>
      </c>
      <c r="BR330" s="1495" t="s">
        <v>818</v>
      </c>
      <c r="BS330" s="1902" t="s">
        <v>655</v>
      </c>
      <c r="BT330" s="1907" t="s">
        <v>2049</v>
      </c>
    </row>
    <row r="331" spans="1:72" ht="13">
      <c r="A331" s="1545">
        <v>887</v>
      </c>
      <c r="B331" s="1546" t="s">
        <v>800</v>
      </c>
      <c r="C331" s="1546" t="s">
        <v>803</v>
      </c>
      <c r="D331" s="1547" t="s">
        <v>6870</v>
      </c>
      <c r="E331" s="690" t="s">
        <v>668</v>
      </c>
      <c r="F331" s="691"/>
      <c r="G331" s="692"/>
      <c r="H331" s="692"/>
      <c r="I331" s="692"/>
      <c r="J331" s="693"/>
      <c r="K331" s="693"/>
      <c r="L331" s="693"/>
      <c r="M331" s="694"/>
      <c r="N331" s="695"/>
      <c r="O331" s="696" t="s">
        <v>1569</v>
      </c>
      <c r="P331" s="695">
        <f>'HIV-Key Info'!$I$82*(('HIV-Key Info'!$E$82*'HPM costs'!F636)+('HIV-Key Info'!$F$82*('HPM costs'!F639+'HPM costs'!F642)))</f>
        <v>0</v>
      </c>
      <c r="Q331" s="695" t="s">
        <v>1569</v>
      </c>
      <c r="R331" s="695">
        <f>'HIV-Key Info'!$I$82*(('HIV-Key Info'!$E$82*'HPM costs'!G636)+('HIV-Key Info'!$F$82*('HPM costs'!G639+'HPM costs'!G642)))</f>
        <v>0</v>
      </c>
      <c r="S331" s="695" t="s">
        <v>1569</v>
      </c>
      <c r="T331" s="695">
        <f>'HIV-Key Info'!$I$82*(('HIV-Key Info'!$E$82*'HPM costs'!H636)+('HIV-Key Info'!$F$82*('HPM costs'!H639+'HPM costs'!H642)))</f>
        <v>0</v>
      </c>
      <c r="U331" s="695" t="s">
        <v>1569</v>
      </c>
      <c r="V331" s="695">
        <f>'HIV-Key Info'!$I$82*(('HIV-Key Info'!$E$82*'HPM costs'!I636)+('HIV-Key Info'!$F$82*('HPM costs'!I639+'HPM costs'!I642)))</f>
        <v>0</v>
      </c>
      <c r="W331" s="695"/>
      <c r="X331" s="1492">
        <f t="shared" si="36"/>
        <v>0</v>
      </c>
      <c r="Y331" s="1493"/>
      <c r="Z331" s="1494"/>
      <c r="AA331" s="699"/>
      <c r="AB331" s="695"/>
      <c r="AC331" s="695">
        <f>'HIV-Key Info'!$I$82*(('HIV-Key Info'!$E$82*'HPM costs'!K636)+('HIV-Key Info'!$F$82*('HPM costs'!K639+'HPM costs'!K642)))</f>
        <v>0</v>
      </c>
      <c r="AD331" s="695"/>
      <c r="AE331" s="695">
        <f>'HIV-Key Info'!$I$82*(('HIV-Key Info'!$E$82*'HPM costs'!L636)+('HIV-Key Info'!$F$82*('HPM costs'!L639+'HPM costs'!L642)))</f>
        <v>0</v>
      </c>
      <c r="AF331" s="695"/>
      <c r="AG331" s="695">
        <f>'HIV-Key Info'!$I$82*(('HIV-Key Info'!$E$82*'HPM costs'!M636)+('HIV-Key Info'!$F$82*('HPM costs'!M639+'HPM costs'!M642)))</f>
        <v>0</v>
      </c>
      <c r="AH331" s="695"/>
      <c r="AI331" s="695">
        <f>'HIV-Key Info'!$I$82*(('HIV-Key Info'!$E$82*'HPM costs'!N636)+('HIV-Key Info'!$F$82*('HPM costs'!N639+'HPM costs'!N642)))</f>
        <v>0</v>
      </c>
      <c r="AJ331" s="695"/>
      <c r="AK331" s="1492">
        <f t="shared" si="37"/>
        <v>0</v>
      </c>
      <c r="AL331" s="1493"/>
      <c r="AM331" s="1494"/>
      <c r="AN331" s="699"/>
      <c r="AO331" s="695"/>
      <c r="AP331" s="695">
        <f>'HIV-Key Info'!$I$82*(('HIV-Key Info'!$E$82*'HPM costs'!P636)+('HIV-Key Info'!$F$82*('HPM costs'!P639+'HPM costs'!P642)))</f>
        <v>0</v>
      </c>
      <c r="AQ331" s="695"/>
      <c r="AR331" s="695">
        <f>'HIV-Key Info'!$I$82*(('HIV-Key Info'!$E$82*'HPM costs'!Q636)+('HIV-Key Info'!$F$82*('HPM costs'!Q639+'HPM costs'!Q642)))</f>
        <v>0</v>
      </c>
      <c r="AS331" s="695"/>
      <c r="AT331" s="695">
        <f>'HIV-Key Info'!$I$82*(('HIV-Key Info'!$E$82*'HPM costs'!R636)+('HIV-Key Info'!$F$82*('HPM costs'!R639+'HPM costs'!R642)))</f>
        <v>0</v>
      </c>
      <c r="AU331" s="695"/>
      <c r="AV331" s="695">
        <f>'HIV-Key Info'!$I$82*(('HIV-Key Info'!$E$82*'HPM costs'!S636)+('HIV-Key Info'!$F$82*('HPM costs'!S639+'HPM costs'!S642)))</f>
        <v>0</v>
      </c>
      <c r="AW331" s="695"/>
      <c r="AX331" s="1492">
        <f t="shared" si="38"/>
        <v>0</v>
      </c>
      <c r="AY331" s="1492"/>
      <c r="AZ331" s="698"/>
      <c r="BA331" s="699"/>
      <c r="BB331" s="697"/>
      <c r="BC331" s="697">
        <v>0</v>
      </c>
      <c r="BD331" s="697">
        <v>0</v>
      </c>
      <c r="BE331" s="697">
        <v>0</v>
      </c>
      <c r="BF331" s="697">
        <v>0</v>
      </c>
      <c r="BG331" s="697">
        <v>0</v>
      </c>
      <c r="BH331" s="697">
        <v>0</v>
      </c>
      <c r="BI331" s="697">
        <v>0</v>
      </c>
      <c r="BJ331" s="697">
        <v>0</v>
      </c>
      <c r="BK331" s="1492">
        <f t="shared" si="39"/>
        <v>0</v>
      </c>
      <c r="BL331" s="1492"/>
      <c r="BM331" s="1492">
        <f t="shared" si="40"/>
        <v>0</v>
      </c>
      <c r="BN331" s="1492">
        <f t="shared" si="41"/>
        <v>0</v>
      </c>
      <c r="BO331" s="697"/>
      <c r="BP331" s="697"/>
      <c r="BQ331" s="1495" t="s">
        <v>92</v>
      </c>
      <c r="BR331" s="1495" t="s">
        <v>818</v>
      </c>
      <c r="BS331" s="1902" t="s">
        <v>655</v>
      </c>
      <c r="BT331" s="1907" t="s">
        <v>2050</v>
      </c>
    </row>
    <row r="332" spans="1:72" ht="13">
      <c r="A332" s="1545">
        <v>888</v>
      </c>
      <c r="B332" s="1546" t="s">
        <v>800</v>
      </c>
      <c r="C332" s="1546" t="s">
        <v>801</v>
      </c>
      <c r="D332" s="1547" t="s">
        <v>6956</v>
      </c>
      <c r="E332" s="690" t="s">
        <v>731</v>
      </c>
      <c r="F332" s="691"/>
      <c r="G332" s="692"/>
      <c r="H332" s="692"/>
      <c r="I332" s="692"/>
      <c r="J332" s="693"/>
      <c r="K332" s="693"/>
      <c r="L332" s="693"/>
      <c r="M332" s="694"/>
      <c r="N332" s="695"/>
      <c r="O332" s="696" t="s">
        <v>1569</v>
      </c>
      <c r="P332" s="695">
        <f>'HIV-Key Info'!$G$81*('HIV-Key Info'!$E$81*('HPM costs'!F551/'HPM costs'!$E$551)+'HIV-Key Info'!$F$81*('HPM costs'!F557/'HPM costs'!$E$557+'HPM costs'!F554/'HPM costs'!$E$554))</f>
        <v>0</v>
      </c>
      <c r="Q332" s="695" t="s">
        <v>1569</v>
      </c>
      <c r="R332" s="695">
        <f>'HIV-Key Info'!$G$81*('HIV-Key Info'!$E$81*('HPM costs'!G551/'HPM costs'!$E$551)+'HIV-Key Info'!$F$81*('HPM costs'!G557/'HPM costs'!$E$557+'HPM costs'!G554/'HPM costs'!$E$554))</f>
        <v>0</v>
      </c>
      <c r="S332" s="695" t="s">
        <v>1569</v>
      </c>
      <c r="T332" s="695">
        <f>'HIV-Key Info'!$G$81*('HIV-Key Info'!$E$81*('HPM costs'!H551/'HPM costs'!$E$551)+'HIV-Key Info'!$F$81*('HPM costs'!H557/'HPM costs'!$E$557+'HPM costs'!H554/'HPM costs'!$E$554))</f>
        <v>0</v>
      </c>
      <c r="U332" s="695" t="s">
        <v>1569</v>
      </c>
      <c r="V332" s="695">
        <f>'HIV-Key Info'!$G$81*('HIV-Key Info'!$E$81*('HPM costs'!I551/'HPM costs'!$E$551)+'HIV-Key Info'!$F$81*('HPM costs'!I557/'HPM costs'!$E$557+'HPM costs'!I554/'HPM costs'!$E$554))</f>
        <v>0</v>
      </c>
      <c r="W332" s="695"/>
      <c r="X332" s="1492">
        <f t="shared" si="36"/>
        <v>0</v>
      </c>
      <c r="Y332" s="1493"/>
      <c r="Z332" s="1494"/>
      <c r="AA332" s="699"/>
      <c r="AB332" s="695"/>
      <c r="AC332" s="695">
        <f>'HIV-Key Info'!$G$81*('HIV-Key Info'!$E$81*('HPM costs'!K551/'HPM costs'!$E$551)+'HIV-Key Info'!$F$81*('HPM costs'!K557/'HPM costs'!$E$557+'HPM costs'!K554/'HPM costs'!$E$554))</f>
        <v>0</v>
      </c>
      <c r="AD332" s="695"/>
      <c r="AE332" s="695">
        <f>'HIV-Key Info'!$G$81*('HIV-Key Info'!$E$81*('HPM costs'!L551/'HPM costs'!$E$551)+'HIV-Key Info'!$F$81*('HPM costs'!L557/'HPM costs'!$E$557+'HPM costs'!L554/'HPM costs'!$E$554))</f>
        <v>0</v>
      </c>
      <c r="AF332" s="695"/>
      <c r="AG332" s="695">
        <f>'HIV-Key Info'!$G$81*('HIV-Key Info'!$E$81*('HPM costs'!M551/'HPM costs'!$E$551)+'HIV-Key Info'!$F$81*('HPM costs'!M557/'HPM costs'!$E$557+'HPM costs'!M554/'HPM costs'!$E$554))</f>
        <v>0</v>
      </c>
      <c r="AH332" s="695"/>
      <c r="AI332" s="695">
        <f>'HIV-Key Info'!$G$81*('HIV-Key Info'!$E$81*('HPM costs'!N551/'HPM costs'!$E$551)+'HIV-Key Info'!$F$81*('HPM costs'!N557/'HPM costs'!$E$557+'HPM costs'!N554/'HPM costs'!$E$554))</f>
        <v>0</v>
      </c>
      <c r="AJ332" s="695"/>
      <c r="AK332" s="1492">
        <f t="shared" si="37"/>
        <v>0</v>
      </c>
      <c r="AL332" s="1493"/>
      <c r="AM332" s="1494"/>
      <c r="AN332" s="699"/>
      <c r="AO332" s="695"/>
      <c r="AP332" s="695">
        <f>'HIV-Key Info'!$G$81*('HIV-Key Info'!$E$81*('HPM costs'!P551/'HPM costs'!$E$551)+'HIV-Key Info'!$F$81*('HPM costs'!P557/'HPM costs'!$E$557+'HPM costs'!P554/'HPM costs'!$E$554))</f>
        <v>0</v>
      </c>
      <c r="AQ332" s="695"/>
      <c r="AR332" s="695">
        <f>'HIV-Key Info'!$G$81*('HIV-Key Info'!$E$81*('HPM costs'!Q551/'HPM costs'!$E$551)+'HIV-Key Info'!$F$81*('HPM costs'!Q557/'HPM costs'!$E$557+'HPM costs'!Q554/'HPM costs'!$E$554))</f>
        <v>0</v>
      </c>
      <c r="AS332" s="695"/>
      <c r="AT332" s="695">
        <f>'HIV-Key Info'!$G$81*('HIV-Key Info'!$E$81*('HPM costs'!R551/'HPM costs'!$E$551)+'HIV-Key Info'!$F$81*('HPM costs'!R557/'HPM costs'!$E$557+'HPM costs'!R554/'HPM costs'!$E$554))</f>
        <v>0</v>
      </c>
      <c r="AU332" s="695"/>
      <c r="AV332" s="695">
        <f>'HIV-Key Info'!$G$81*('HIV-Key Info'!$E$81*('HPM costs'!S551/'HPM costs'!$E$551)+'HIV-Key Info'!$F$81*('HPM costs'!S557/'HPM costs'!$E$557+'HPM costs'!S554/'HPM costs'!$E$554))</f>
        <v>0</v>
      </c>
      <c r="AW332" s="695"/>
      <c r="AX332" s="1492">
        <f t="shared" si="38"/>
        <v>0</v>
      </c>
      <c r="AY332" s="1492"/>
      <c r="AZ332" s="698"/>
      <c r="BA332" s="699"/>
      <c r="BB332" s="697"/>
      <c r="BC332" s="697">
        <v>0</v>
      </c>
      <c r="BD332" s="697">
        <v>0</v>
      </c>
      <c r="BE332" s="697">
        <v>0</v>
      </c>
      <c r="BF332" s="697">
        <v>0</v>
      </c>
      <c r="BG332" s="697">
        <v>0</v>
      </c>
      <c r="BH332" s="697">
        <v>0</v>
      </c>
      <c r="BI332" s="697">
        <v>0</v>
      </c>
      <c r="BJ332" s="697">
        <v>0</v>
      </c>
      <c r="BK332" s="1492">
        <f t="shared" si="39"/>
        <v>0</v>
      </c>
      <c r="BL332" s="1492"/>
      <c r="BM332" s="1492">
        <f t="shared" si="40"/>
        <v>0</v>
      </c>
      <c r="BN332" s="1492">
        <f t="shared" si="41"/>
        <v>0</v>
      </c>
      <c r="BO332" s="697"/>
      <c r="BP332" s="697"/>
      <c r="BQ332" s="1495" t="s">
        <v>6934</v>
      </c>
      <c r="BR332" s="1495" t="s">
        <v>818</v>
      </c>
      <c r="BS332" s="1902" t="s">
        <v>6953</v>
      </c>
      <c r="BT332" s="1907" t="s">
        <v>2051</v>
      </c>
    </row>
    <row r="333" spans="1:72" ht="13">
      <c r="A333" s="1545">
        <v>889</v>
      </c>
      <c r="B333" s="1546" t="s">
        <v>800</v>
      </c>
      <c r="C333" s="1546" t="s">
        <v>801</v>
      </c>
      <c r="D333" s="1547" t="s">
        <v>6872</v>
      </c>
      <c r="E333" s="690" t="s">
        <v>656</v>
      </c>
      <c r="F333" s="691"/>
      <c r="G333" s="692"/>
      <c r="H333" s="692"/>
      <c r="I333" s="692"/>
      <c r="J333" s="693"/>
      <c r="K333" s="693"/>
      <c r="L333" s="693"/>
      <c r="M333" s="694"/>
      <c r="N333" s="695"/>
      <c r="O333" s="696" t="s">
        <v>1569</v>
      </c>
      <c r="P333" s="695">
        <f>'HIV-Key Info'!$G$81*(('HIV-Key Info'!$E$81*'HPM costs'!F33)+('HIV-Key Info'!$F$81*('HPM costs'!F36+'HPM costs'!F39)))</f>
        <v>0</v>
      </c>
      <c r="Q333" s="695" t="s">
        <v>1569</v>
      </c>
      <c r="R333" s="695">
        <f>'HIV-Key Info'!$G$81*(('HIV-Key Info'!$E$81*'HPM costs'!G33)+('HIV-Key Info'!$F$81*('HPM costs'!G36+'HPM costs'!G39)))</f>
        <v>0</v>
      </c>
      <c r="S333" s="695" t="s">
        <v>1569</v>
      </c>
      <c r="T333" s="695">
        <f>'HIV-Key Info'!$G$81*(('HIV-Key Info'!$E$81*'HPM costs'!H33)+('HIV-Key Info'!$F$81*('HPM costs'!H36+'HPM costs'!H39)))</f>
        <v>0</v>
      </c>
      <c r="U333" s="695" t="s">
        <v>1569</v>
      </c>
      <c r="V333" s="695">
        <f>'HIV-Key Info'!$G$81*(('HIV-Key Info'!$E$81*'HPM costs'!I33)+('HIV-Key Info'!$F$81*('HPM costs'!I36+'HPM costs'!I39)))</f>
        <v>0</v>
      </c>
      <c r="W333" s="695"/>
      <c r="X333" s="1492">
        <f t="shared" si="36"/>
        <v>0</v>
      </c>
      <c r="Y333" s="1493"/>
      <c r="Z333" s="1494"/>
      <c r="AA333" s="699"/>
      <c r="AB333" s="695"/>
      <c r="AC333" s="695">
        <f>'HIV-Key Info'!$G$81*(('HIV-Key Info'!$E$81*'HPM costs'!K33)+('HIV-Key Info'!$F$81*('HPM costs'!K36+'HPM costs'!K39)))</f>
        <v>0</v>
      </c>
      <c r="AD333" s="695"/>
      <c r="AE333" s="695">
        <f>'HIV-Key Info'!$G$81*(('HIV-Key Info'!$E$81*'HPM costs'!L33)+('HIV-Key Info'!$F$81*('HPM costs'!L36+'HPM costs'!L39)))</f>
        <v>0</v>
      </c>
      <c r="AF333" s="695"/>
      <c r="AG333" s="695">
        <f>'HIV-Key Info'!$G$81*(('HIV-Key Info'!$E$81*'HPM costs'!M33)+('HIV-Key Info'!$F$81*('HPM costs'!M36+'HPM costs'!M39)))</f>
        <v>0</v>
      </c>
      <c r="AH333" s="695"/>
      <c r="AI333" s="695">
        <f>'HIV-Key Info'!$G$81*(('HIV-Key Info'!$E$81*'HPM costs'!N33)+('HIV-Key Info'!$F$81*('HPM costs'!N36+'HPM costs'!N39)))</f>
        <v>0</v>
      </c>
      <c r="AJ333" s="695"/>
      <c r="AK333" s="1492">
        <f t="shared" si="37"/>
        <v>0</v>
      </c>
      <c r="AL333" s="1493"/>
      <c r="AM333" s="1494"/>
      <c r="AN333" s="699"/>
      <c r="AO333" s="695"/>
      <c r="AP333" s="695">
        <f>'HIV-Key Info'!$G$81*(('HIV-Key Info'!$E$81*'HPM costs'!P33)+('HIV-Key Info'!$F$81*('HPM costs'!P36+'HPM costs'!P39)))</f>
        <v>0</v>
      </c>
      <c r="AQ333" s="695"/>
      <c r="AR333" s="695">
        <f>'HIV-Key Info'!$G$81*(('HIV-Key Info'!$E$81*'HPM costs'!Q33)+('HIV-Key Info'!$F$81*('HPM costs'!Q36+'HPM costs'!Q39)))</f>
        <v>0</v>
      </c>
      <c r="AS333" s="695"/>
      <c r="AT333" s="695">
        <f>'HIV-Key Info'!$G$81*(('HIV-Key Info'!$E$81*'HPM costs'!R33)+('HIV-Key Info'!$F$81*('HPM costs'!R36+'HPM costs'!R39)))</f>
        <v>0</v>
      </c>
      <c r="AU333" s="695"/>
      <c r="AV333" s="695">
        <f>'HIV-Key Info'!$G$81*(('HIV-Key Info'!$E$81*'HPM costs'!S33)+('HIV-Key Info'!$F$81*('HPM costs'!S36+'HPM costs'!S39)))</f>
        <v>0</v>
      </c>
      <c r="AW333" s="695"/>
      <c r="AX333" s="1492">
        <f t="shared" si="38"/>
        <v>0</v>
      </c>
      <c r="AY333" s="1492"/>
      <c r="AZ333" s="698"/>
      <c r="BA333" s="699"/>
      <c r="BB333" s="697"/>
      <c r="BC333" s="697">
        <v>0</v>
      </c>
      <c r="BD333" s="697">
        <v>0</v>
      </c>
      <c r="BE333" s="697">
        <v>0</v>
      </c>
      <c r="BF333" s="697">
        <v>0</v>
      </c>
      <c r="BG333" s="697">
        <v>0</v>
      </c>
      <c r="BH333" s="697">
        <v>0</v>
      </c>
      <c r="BI333" s="697">
        <v>0</v>
      </c>
      <c r="BJ333" s="697">
        <v>0</v>
      </c>
      <c r="BK333" s="1492">
        <f t="shared" si="39"/>
        <v>0</v>
      </c>
      <c r="BL333" s="1492"/>
      <c r="BM333" s="1492">
        <f t="shared" si="40"/>
        <v>0</v>
      </c>
      <c r="BN333" s="1492">
        <f t="shared" si="41"/>
        <v>0</v>
      </c>
      <c r="BO333" s="697"/>
      <c r="BP333" s="697"/>
      <c r="BQ333" s="1495" t="s">
        <v>6934</v>
      </c>
      <c r="BR333" s="1495" t="s">
        <v>818</v>
      </c>
      <c r="BS333" s="1902" t="s">
        <v>655</v>
      </c>
      <c r="BT333" s="1907" t="s">
        <v>2052</v>
      </c>
    </row>
    <row r="334" spans="1:72" ht="13">
      <c r="A334" s="1545">
        <v>890</v>
      </c>
      <c r="B334" s="1546" t="s">
        <v>800</v>
      </c>
      <c r="C334" s="1546" t="s">
        <v>801</v>
      </c>
      <c r="D334" s="1547" t="s">
        <v>6872</v>
      </c>
      <c r="E334" s="690" t="s">
        <v>658</v>
      </c>
      <c r="F334" s="691"/>
      <c r="G334" s="692"/>
      <c r="H334" s="692"/>
      <c r="I334" s="692"/>
      <c r="J334" s="693"/>
      <c r="K334" s="693"/>
      <c r="L334" s="693"/>
      <c r="M334" s="694"/>
      <c r="N334" s="695"/>
      <c r="O334" s="696" t="s">
        <v>1569</v>
      </c>
      <c r="P334" s="695">
        <f>'HIV-Key Info'!$G$81*(('HIV-Key Info'!$E$81*'HPM costs'!F119)+('HIV-Key Info'!$F$81*('HPM costs'!F122+'HPM costs'!F125)))</f>
        <v>0</v>
      </c>
      <c r="Q334" s="695" t="s">
        <v>1569</v>
      </c>
      <c r="R334" s="695">
        <f>'HIV-Key Info'!$G$81*(('HIV-Key Info'!$E$81*'HPM costs'!G119)+('HIV-Key Info'!$F$81*('HPM costs'!G122+'HPM costs'!G125)))</f>
        <v>0</v>
      </c>
      <c r="S334" s="695" t="s">
        <v>1569</v>
      </c>
      <c r="T334" s="695">
        <f>'HIV-Key Info'!$G$81*(('HIV-Key Info'!$E$81*'HPM costs'!H119)+('HIV-Key Info'!$F$81*('HPM costs'!H122+'HPM costs'!H125)))</f>
        <v>0</v>
      </c>
      <c r="U334" s="695" t="s">
        <v>1569</v>
      </c>
      <c r="V334" s="695">
        <f>'HIV-Key Info'!$G$81*(('HIV-Key Info'!$E$81*'HPM costs'!I119)+('HIV-Key Info'!$F$81*('HPM costs'!I122+'HPM costs'!I125)))</f>
        <v>0</v>
      </c>
      <c r="W334" s="695"/>
      <c r="X334" s="1492">
        <f t="shared" si="36"/>
        <v>0</v>
      </c>
      <c r="Y334" s="1493"/>
      <c r="Z334" s="1494"/>
      <c r="AA334" s="699"/>
      <c r="AB334" s="695"/>
      <c r="AC334" s="695">
        <f>'HIV-Key Info'!$G$81*(('HIV-Key Info'!$E$81*'HPM costs'!K119)+('HIV-Key Info'!$F$81*('HPM costs'!K122+'HPM costs'!K125)))</f>
        <v>0</v>
      </c>
      <c r="AD334" s="695"/>
      <c r="AE334" s="695">
        <f>'HIV-Key Info'!$G$81*(('HIV-Key Info'!$E$81*'HPM costs'!L119)+('HIV-Key Info'!$F$81*('HPM costs'!L122+'HPM costs'!L125)))</f>
        <v>0</v>
      </c>
      <c r="AF334" s="695"/>
      <c r="AG334" s="695">
        <f>'HIV-Key Info'!$G$81*(('HIV-Key Info'!$E$81*'HPM costs'!M119)+('HIV-Key Info'!$F$81*('HPM costs'!M122+'HPM costs'!M125)))</f>
        <v>0</v>
      </c>
      <c r="AH334" s="695"/>
      <c r="AI334" s="695">
        <f>'HIV-Key Info'!$G$81*(('HIV-Key Info'!$E$81*'HPM costs'!N119)+('HIV-Key Info'!$F$81*('HPM costs'!N122+'HPM costs'!N125)))</f>
        <v>0</v>
      </c>
      <c r="AJ334" s="695"/>
      <c r="AK334" s="1492">
        <f t="shared" si="37"/>
        <v>0</v>
      </c>
      <c r="AL334" s="1493"/>
      <c r="AM334" s="1494"/>
      <c r="AN334" s="699"/>
      <c r="AO334" s="695"/>
      <c r="AP334" s="695">
        <f>'HIV-Key Info'!$G$81*(('HIV-Key Info'!$E$81*'HPM costs'!P119)+('HIV-Key Info'!$F$81*('HPM costs'!P122+'HPM costs'!P125)))</f>
        <v>0</v>
      </c>
      <c r="AQ334" s="695"/>
      <c r="AR334" s="695">
        <f>'HIV-Key Info'!$G$81*(('HIV-Key Info'!$E$81*'HPM costs'!Q119)+('HIV-Key Info'!$F$81*('HPM costs'!Q122+'HPM costs'!Q125)))</f>
        <v>0</v>
      </c>
      <c r="AS334" s="695"/>
      <c r="AT334" s="695">
        <f>'HIV-Key Info'!$G$81*(('HIV-Key Info'!$E$81*'HPM costs'!R119)+('HIV-Key Info'!$F$81*('HPM costs'!R122+'HPM costs'!R125)))</f>
        <v>0</v>
      </c>
      <c r="AU334" s="695"/>
      <c r="AV334" s="695">
        <f>'HIV-Key Info'!$G$81*(('HIV-Key Info'!$E$81*'HPM costs'!S119)+('HIV-Key Info'!$F$81*('HPM costs'!S122+'HPM costs'!S125)))</f>
        <v>0</v>
      </c>
      <c r="AW334" s="695"/>
      <c r="AX334" s="1492">
        <f t="shared" si="38"/>
        <v>0</v>
      </c>
      <c r="AY334" s="1492"/>
      <c r="AZ334" s="698"/>
      <c r="BA334" s="699"/>
      <c r="BB334" s="697"/>
      <c r="BC334" s="697">
        <v>0</v>
      </c>
      <c r="BD334" s="697">
        <v>0</v>
      </c>
      <c r="BE334" s="697">
        <v>0</v>
      </c>
      <c r="BF334" s="697">
        <v>0</v>
      </c>
      <c r="BG334" s="697">
        <v>0</v>
      </c>
      <c r="BH334" s="697">
        <v>0</v>
      </c>
      <c r="BI334" s="697">
        <v>0</v>
      </c>
      <c r="BJ334" s="697">
        <v>0</v>
      </c>
      <c r="BK334" s="1492">
        <f t="shared" si="39"/>
        <v>0</v>
      </c>
      <c r="BL334" s="1492"/>
      <c r="BM334" s="1492">
        <f t="shared" si="40"/>
        <v>0</v>
      </c>
      <c r="BN334" s="1492">
        <f t="shared" si="41"/>
        <v>0</v>
      </c>
      <c r="BO334" s="697"/>
      <c r="BP334" s="697"/>
      <c r="BQ334" s="1495" t="s">
        <v>6934</v>
      </c>
      <c r="BR334" s="1495" t="s">
        <v>818</v>
      </c>
      <c r="BS334" s="1902" t="s">
        <v>655</v>
      </c>
      <c r="BT334" s="1907" t="s">
        <v>2053</v>
      </c>
    </row>
    <row r="335" spans="1:72" ht="13">
      <c r="A335" s="1545">
        <v>891</v>
      </c>
      <c r="B335" s="1546" t="s">
        <v>800</v>
      </c>
      <c r="C335" s="1546" t="s">
        <v>801</v>
      </c>
      <c r="D335" s="1547" t="s">
        <v>6872</v>
      </c>
      <c r="E335" s="690" t="s">
        <v>660</v>
      </c>
      <c r="F335" s="691"/>
      <c r="G335" s="692"/>
      <c r="H335" s="692"/>
      <c r="I335" s="692"/>
      <c r="J335" s="693"/>
      <c r="K335" s="693"/>
      <c r="L335" s="693"/>
      <c r="M335" s="694"/>
      <c r="N335" s="695"/>
      <c r="O335" s="696" t="s">
        <v>1569</v>
      </c>
      <c r="P335" s="695">
        <f>'HIV-Key Info'!$G$81*(('HIV-Key Info'!$E$81*'HPM costs'!F379)+('HIV-Key Info'!$F$81*('HPM costs'!F382+'HPM costs'!F385)))</f>
        <v>0</v>
      </c>
      <c r="Q335" s="695" t="s">
        <v>1569</v>
      </c>
      <c r="R335" s="695">
        <f>'HIV-Key Info'!$G$81*(('HIV-Key Info'!$E$81*'HPM costs'!G379)+('HIV-Key Info'!$F$81*('HPM costs'!G382+'HPM costs'!G385)))</f>
        <v>0</v>
      </c>
      <c r="S335" s="695" t="s">
        <v>1569</v>
      </c>
      <c r="T335" s="695">
        <f>'HIV-Key Info'!$G$81*(('HIV-Key Info'!$E$81*'HPM costs'!H379)+('HIV-Key Info'!$F$81*('HPM costs'!H382+'HPM costs'!H385)))</f>
        <v>0</v>
      </c>
      <c r="U335" s="695" t="s">
        <v>1569</v>
      </c>
      <c r="V335" s="695">
        <f>'HIV-Key Info'!$G$81*(('HIV-Key Info'!$E$81*'HPM costs'!I379)+('HIV-Key Info'!$F$81*('HPM costs'!I382+'HPM costs'!I385)))</f>
        <v>0</v>
      </c>
      <c r="W335" s="695"/>
      <c r="X335" s="1492">
        <f t="shared" si="36"/>
        <v>0</v>
      </c>
      <c r="Y335" s="1493"/>
      <c r="Z335" s="1494"/>
      <c r="AA335" s="699"/>
      <c r="AB335" s="695"/>
      <c r="AC335" s="695">
        <f>'HIV-Key Info'!$G$81*(('HIV-Key Info'!$E$81*'HPM costs'!K379)+('HIV-Key Info'!$F$81*('HPM costs'!K382+'HPM costs'!K385)))</f>
        <v>0</v>
      </c>
      <c r="AD335" s="695"/>
      <c r="AE335" s="695">
        <f>'HIV-Key Info'!$G$81*(('HIV-Key Info'!$E$81*'HPM costs'!L379)+('HIV-Key Info'!$F$81*('HPM costs'!L382+'HPM costs'!L385)))</f>
        <v>0</v>
      </c>
      <c r="AF335" s="695"/>
      <c r="AG335" s="695">
        <f>'HIV-Key Info'!$G$81*(('HIV-Key Info'!$E$81*'HPM costs'!M379)+('HIV-Key Info'!$F$81*('HPM costs'!M382+'HPM costs'!M385)))</f>
        <v>0</v>
      </c>
      <c r="AH335" s="695"/>
      <c r="AI335" s="695">
        <f>'HIV-Key Info'!$G$81*(('HIV-Key Info'!$E$81*'HPM costs'!N379)+('HIV-Key Info'!$F$81*('HPM costs'!N382+'HPM costs'!N385)))</f>
        <v>0</v>
      </c>
      <c r="AJ335" s="695"/>
      <c r="AK335" s="1492">
        <f t="shared" si="37"/>
        <v>0</v>
      </c>
      <c r="AL335" s="1493"/>
      <c r="AM335" s="1494"/>
      <c r="AN335" s="699"/>
      <c r="AO335" s="695"/>
      <c r="AP335" s="695">
        <f>'HIV-Key Info'!$G$81*(('HIV-Key Info'!$E$81*'HPM costs'!P379)+('HIV-Key Info'!$F$81*('HPM costs'!P382+'HPM costs'!P385)))</f>
        <v>0</v>
      </c>
      <c r="AQ335" s="695"/>
      <c r="AR335" s="695">
        <f>'HIV-Key Info'!$G$81*(('HIV-Key Info'!$E$81*'HPM costs'!Q379)+('HIV-Key Info'!$F$81*('HPM costs'!Q382+'HPM costs'!Q385)))</f>
        <v>0</v>
      </c>
      <c r="AS335" s="695"/>
      <c r="AT335" s="695">
        <f>'HIV-Key Info'!$G$81*(('HIV-Key Info'!$E$81*'HPM costs'!R379)+('HIV-Key Info'!$F$81*('HPM costs'!R382+'HPM costs'!R385)))</f>
        <v>0</v>
      </c>
      <c r="AU335" s="695"/>
      <c r="AV335" s="695">
        <f>'HIV-Key Info'!$G$81*(('HIV-Key Info'!$E$81*'HPM costs'!S379)+('HIV-Key Info'!$F$81*('HPM costs'!S382+'HPM costs'!S385)))</f>
        <v>0</v>
      </c>
      <c r="AW335" s="695"/>
      <c r="AX335" s="1492">
        <f t="shared" si="38"/>
        <v>0</v>
      </c>
      <c r="AY335" s="1492"/>
      <c r="AZ335" s="698"/>
      <c r="BA335" s="699"/>
      <c r="BB335" s="697"/>
      <c r="BC335" s="697">
        <v>0</v>
      </c>
      <c r="BD335" s="697">
        <v>0</v>
      </c>
      <c r="BE335" s="697">
        <v>0</v>
      </c>
      <c r="BF335" s="697">
        <v>0</v>
      </c>
      <c r="BG335" s="697">
        <v>0</v>
      </c>
      <c r="BH335" s="697">
        <v>0</v>
      </c>
      <c r="BI335" s="697">
        <v>0</v>
      </c>
      <c r="BJ335" s="697">
        <v>0</v>
      </c>
      <c r="BK335" s="1492">
        <f t="shared" si="39"/>
        <v>0</v>
      </c>
      <c r="BL335" s="1492"/>
      <c r="BM335" s="1492">
        <f t="shared" si="40"/>
        <v>0</v>
      </c>
      <c r="BN335" s="1492">
        <f t="shared" si="41"/>
        <v>0</v>
      </c>
      <c r="BO335" s="697"/>
      <c r="BP335" s="697"/>
      <c r="BQ335" s="1495" t="s">
        <v>6934</v>
      </c>
      <c r="BR335" s="1495" t="s">
        <v>818</v>
      </c>
      <c r="BS335" s="1902" t="s">
        <v>655</v>
      </c>
      <c r="BT335" s="1907" t="s">
        <v>2054</v>
      </c>
    </row>
    <row r="336" spans="1:72" ht="13">
      <c r="A336" s="1545">
        <v>892</v>
      </c>
      <c r="B336" s="1546" t="s">
        <v>800</v>
      </c>
      <c r="C336" s="1546" t="s">
        <v>801</v>
      </c>
      <c r="D336" s="1547" t="s">
        <v>6872</v>
      </c>
      <c r="E336" s="690" t="s">
        <v>662</v>
      </c>
      <c r="F336" s="691"/>
      <c r="G336" s="692"/>
      <c r="H336" s="692"/>
      <c r="I336" s="692"/>
      <c r="J336" s="693"/>
      <c r="K336" s="693"/>
      <c r="L336" s="693"/>
      <c r="M336" s="694"/>
      <c r="N336" s="695"/>
      <c r="O336" s="696" t="s">
        <v>1569</v>
      </c>
      <c r="P336" s="695">
        <f>'HIV-Key Info'!$G$81*(('HIV-Key Info'!$E$81*'HPM costs'!F465)+('HIV-Key Info'!$F$81*('HPM costs'!F468+'HPM costs'!F471)))</f>
        <v>0</v>
      </c>
      <c r="Q336" s="695" t="s">
        <v>1569</v>
      </c>
      <c r="R336" s="695">
        <f>'HIV-Key Info'!$G$81*(('HIV-Key Info'!$E$81*'HPM costs'!G465)+('HIV-Key Info'!$F$81*('HPM costs'!G468+'HPM costs'!G471)))</f>
        <v>0</v>
      </c>
      <c r="S336" s="695" t="s">
        <v>1569</v>
      </c>
      <c r="T336" s="695">
        <f>'HIV-Key Info'!$G$81*(('HIV-Key Info'!$E$81*'HPM costs'!H465)+('HIV-Key Info'!$F$81*('HPM costs'!H468+'HPM costs'!H471)))</f>
        <v>0</v>
      </c>
      <c r="U336" s="695" t="s">
        <v>1569</v>
      </c>
      <c r="V336" s="695">
        <f>'HIV-Key Info'!$G$81*(('HIV-Key Info'!$E$81*'HPM costs'!I465)+('HIV-Key Info'!$F$81*('HPM costs'!I468+'HPM costs'!I471)))</f>
        <v>0</v>
      </c>
      <c r="W336" s="695"/>
      <c r="X336" s="1492">
        <f t="shared" si="36"/>
        <v>0</v>
      </c>
      <c r="Y336" s="1493"/>
      <c r="Z336" s="1494"/>
      <c r="AA336" s="699"/>
      <c r="AB336" s="695"/>
      <c r="AC336" s="695">
        <f>'HIV-Key Info'!$G$81*(('HIV-Key Info'!$E$81*'HPM costs'!K465)+('HIV-Key Info'!$F$81*('HPM costs'!K468+'HPM costs'!K471)))</f>
        <v>0</v>
      </c>
      <c r="AD336" s="695"/>
      <c r="AE336" s="695">
        <f>'HIV-Key Info'!$G$81*(('HIV-Key Info'!$E$81*'HPM costs'!L465)+('HIV-Key Info'!$F$81*('HPM costs'!L468+'HPM costs'!L471)))</f>
        <v>0</v>
      </c>
      <c r="AF336" s="695"/>
      <c r="AG336" s="695">
        <f>'HIV-Key Info'!$G$81*(('HIV-Key Info'!$E$81*'HPM costs'!M465)+('HIV-Key Info'!$F$81*('HPM costs'!M468+'HPM costs'!M471)))</f>
        <v>0</v>
      </c>
      <c r="AH336" s="695"/>
      <c r="AI336" s="695">
        <f>'HIV-Key Info'!$G$81*(('HIV-Key Info'!$E$81*'HPM costs'!N465)+('HIV-Key Info'!$F$81*('HPM costs'!N468+'HPM costs'!N471)))</f>
        <v>0</v>
      </c>
      <c r="AJ336" s="695"/>
      <c r="AK336" s="1492">
        <f t="shared" si="37"/>
        <v>0</v>
      </c>
      <c r="AL336" s="1493"/>
      <c r="AM336" s="1494"/>
      <c r="AN336" s="699"/>
      <c r="AO336" s="695"/>
      <c r="AP336" s="695">
        <f>'HIV-Key Info'!$G$81*(('HIV-Key Info'!$E$81*'HPM costs'!P465)+('HIV-Key Info'!$F$81*('HPM costs'!P468+'HPM costs'!P471)))</f>
        <v>0</v>
      </c>
      <c r="AQ336" s="695"/>
      <c r="AR336" s="695">
        <f>'HIV-Key Info'!$G$81*(('HIV-Key Info'!$E$81*'HPM costs'!Q465)+('HIV-Key Info'!$F$81*('HPM costs'!Q468+'HPM costs'!Q471)))</f>
        <v>0</v>
      </c>
      <c r="AS336" s="695"/>
      <c r="AT336" s="695">
        <f>'HIV-Key Info'!$G$81*(('HIV-Key Info'!$E$81*'HPM costs'!R465)+('HIV-Key Info'!$F$81*('HPM costs'!R468+'HPM costs'!R471)))</f>
        <v>0</v>
      </c>
      <c r="AU336" s="695"/>
      <c r="AV336" s="695">
        <f>'HIV-Key Info'!$G$81*(('HIV-Key Info'!$E$81*'HPM costs'!S465)+('HIV-Key Info'!$F$81*('HPM costs'!S468+'HPM costs'!S471)))</f>
        <v>0</v>
      </c>
      <c r="AW336" s="695"/>
      <c r="AX336" s="1492">
        <f t="shared" si="38"/>
        <v>0</v>
      </c>
      <c r="AY336" s="1492"/>
      <c r="AZ336" s="698"/>
      <c r="BA336" s="699"/>
      <c r="BB336" s="697"/>
      <c r="BC336" s="697">
        <v>0</v>
      </c>
      <c r="BD336" s="697">
        <v>0</v>
      </c>
      <c r="BE336" s="697">
        <v>0</v>
      </c>
      <c r="BF336" s="697">
        <v>0</v>
      </c>
      <c r="BG336" s="697">
        <v>0</v>
      </c>
      <c r="BH336" s="697">
        <v>0</v>
      </c>
      <c r="BI336" s="697">
        <v>0</v>
      </c>
      <c r="BJ336" s="697">
        <v>0</v>
      </c>
      <c r="BK336" s="1492">
        <f t="shared" si="39"/>
        <v>0</v>
      </c>
      <c r="BL336" s="1492"/>
      <c r="BM336" s="1492">
        <f t="shared" si="40"/>
        <v>0</v>
      </c>
      <c r="BN336" s="1492">
        <f t="shared" si="41"/>
        <v>0</v>
      </c>
      <c r="BO336" s="697"/>
      <c r="BP336" s="697"/>
      <c r="BQ336" s="1495" t="s">
        <v>6934</v>
      </c>
      <c r="BR336" s="1495" t="s">
        <v>818</v>
      </c>
      <c r="BS336" s="1902" t="s">
        <v>655</v>
      </c>
      <c r="BT336" s="1907" t="s">
        <v>2055</v>
      </c>
    </row>
    <row r="337" spans="1:72" ht="13">
      <c r="A337" s="1545">
        <v>893</v>
      </c>
      <c r="B337" s="1546" t="s">
        <v>800</v>
      </c>
      <c r="C337" s="1546" t="s">
        <v>801</v>
      </c>
      <c r="D337" s="1547" t="s">
        <v>6872</v>
      </c>
      <c r="E337" s="690" t="s">
        <v>664</v>
      </c>
      <c r="F337" s="691"/>
      <c r="G337" s="692"/>
      <c r="H337" s="692"/>
      <c r="I337" s="692"/>
      <c r="J337" s="693"/>
      <c r="K337" s="693"/>
      <c r="L337" s="693"/>
      <c r="M337" s="694"/>
      <c r="N337" s="695"/>
      <c r="O337" s="696" t="s">
        <v>1569</v>
      </c>
      <c r="P337" s="695">
        <f>'HIV-Key Info'!$G$81*(('HIV-Key Info'!$E$81*('HPM costs'!F205+'HPM costs'!F551))+('HIV-Key Info'!$F$81*('HPM costs'!F208+'HPM costs'!F211+'HPM costs'!F554+'HPM costs'!F557)))</f>
        <v>0</v>
      </c>
      <c r="Q337" s="695" t="s">
        <v>1569</v>
      </c>
      <c r="R337" s="695">
        <f>'HIV-Key Info'!$G$81*(('HIV-Key Info'!$E$81*('HPM costs'!G205+'HPM costs'!G551))+('HIV-Key Info'!$F$81*('HPM costs'!G208+'HPM costs'!G211+'HPM costs'!G554+'HPM costs'!G557)))</f>
        <v>0</v>
      </c>
      <c r="S337" s="695" t="s">
        <v>1569</v>
      </c>
      <c r="T337" s="695">
        <f>'HIV-Key Info'!$G$81*(('HIV-Key Info'!$E$81*('HPM costs'!H205+'HPM costs'!H551))+('HIV-Key Info'!$F$81*('HPM costs'!H208+'HPM costs'!H211+'HPM costs'!H554+'HPM costs'!H557)))</f>
        <v>0</v>
      </c>
      <c r="U337" s="695" t="s">
        <v>1569</v>
      </c>
      <c r="V337" s="695">
        <f>'HIV-Key Info'!$G$81*(('HIV-Key Info'!$E$81*('HPM costs'!I205+'HPM costs'!I551))+('HIV-Key Info'!$F$81*('HPM costs'!I208+'HPM costs'!I211+'HPM costs'!I554+'HPM costs'!I557)))</f>
        <v>0</v>
      </c>
      <c r="W337" s="695"/>
      <c r="X337" s="1492">
        <f t="shared" si="36"/>
        <v>0</v>
      </c>
      <c r="Y337" s="1493"/>
      <c r="Z337" s="1494"/>
      <c r="AA337" s="699"/>
      <c r="AB337" s="695"/>
      <c r="AC337" s="695">
        <f>'HIV-Key Info'!$G$81*(('HIV-Key Info'!$E$81*('HPM costs'!K205+'HPM costs'!K551))+('HIV-Key Info'!$F$81*('HPM costs'!K208+'HPM costs'!K211+'HPM costs'!K554+'HPM costs'!K557)))</f>
        <v>0</v>
      </c>
      <c r="AD337" s="695"/>
      <c r="AE337" s="695">
        <f>'HIV-Key Info'!$G$81*(('HIV-Key Info'!$E$81*('HPM costs'!L205+'HPM costs'!L551))+('HIV-Key Info'!$F$81*('HPM costs'!L208+'HPM costs'!L211+'HPM costs'!L554+'HPM costs'!L557)))</f>
        <v>0</v>
      </c>
      <c r="AF337" s="695"/>
      <c r="AG337" s="695">
        <f>'HIV-Key Info'!$G$81*(('HIV-Key Info'!$E$81*('HPM costs'!M205+'HPM costs'!M551))+('HIV-Key Info'!$F$81*('HPM costs'!M208+'HPM costs'!M211+'HPM costs'!M554+'HPM costs'!M557)))</f>
        <v>0</v>
      </c>
      <c r="AH337" s="695"/>
      <c r="AI337" s="695">
        <f>'HIV-Key Info'!$G$81*(('HIV-Key Info'!$E$81*('HPM costs'!N205+'HPM costs'!N551))+('HIV-Key Info'!$F$81*('HPM costs'!N208+'HPM costs'!N211+'HPM costs'!N554+'HPM costs'!N557)))</f>
        <v>0</v>
      </c>
      <c r="AJ337" s="695"/>
      <c r="AK337" s="1492">
        <f t="shared" si="37"/>
        <v>0</v>
      </c>
      <c r="AL337" s="1493"/>
      <c r="AM337" s="1494"/>
      <c r="AN337" s="699"/>
      <c r="AO337" s="695"/>
      <c r="AP337" s="695">
        <f>'HIV-Key Info'!$G$81*(('HIV-Key Info'!$E$81*('HPM costs'!P205+'HPM costs'!P551))+('HIV-Key Info'!$F$81*('HPM costs'!P208+'HPM costs'!P211+'HPM costs'!P554+'HPM costs'!P557)))</f>
        <v>0</v>
      </c>
      <c r="AQ337" s="695"/>
      <c r="AR337" s="695">
        <f>'HIV-Key Info'!$G$81*(('HIV-Key Info'!$E$81*('HPM costs'!Q205+'HPM costs'!Q551))+('HIV-Key Info'!$F$81*('HPM costs'!Q208+'HPM costs'!Q211+'HPM costs'!Q554+'HPM costs'!Q557)))</f>
        <v>0</v>
      </c>
      <c r="AS337" s="695"/>
      <c r="AT337" s="695">
        <f>'HIV-Key Info'!$G$81*(('HIV-Key Info'!$E$81*('HPM costs'!R205+'HPM costs'!R551))+('HIV-Key Info'!$F$81*('HPM costs'!R208+'HPM costs'!R211+'HPM costs'!R554+'HPM costs'!R557)))</f>
        <v>0</v>
      </c>
      <c r="AU337" s="695"/>
      <c r="AV337" s="695">
        <f>'HIV-Key Info'!$G$81*(('HIV-Key Info'!$E$81*('HPM costs'!S205+'HPM costs'!S551))+('HIV-Key Info'!$F$81*('HPM costs'!S208+'HPM costs'!S211+'HPM costs'!S554+'HPM costs'!S557)))</f>
        <v>0</v>
      </c>
      <c r="AW337" s="695"/>
      <c r="AX337" s="1492">
        <f t="shared" si="38"/>
        <v>0</v>
      </c>
      <c r="AY337" s="1492"/>
      <c r="AZ337" s="698"/>
      <c r="BA337" s="699"/>
      <c r="BB337" s="697"/>
      <c r="BC337" s="697">
        <v>0</v>
      </c>
      <c r="BD337" s="697">
        <v>0</v>
      </c>
      <c r="BE337" s="697">
        <v>0</v>
      </c>
      <c r="BF337" s="697">
        <v>0</v>
      </c>
      <c r="BG337" s="697">
        <v>0</v>
      </c>
      <c r="BH337" s="697">
        <v>0</v>
      </c>
      <c r="BI337" s="697">
        <v>0</v>
      </c>
      <c r="BJ337" s="697">
        <v>0</v>
      </c>
      <c r="BK337" s="1492">
        <f t="shared" si="39"/>
        <v>0</v>
      </c>
      <c r="BL337" s="1492"/>
      <c r="BM337" s="1492">
        <f t="shared" si="40"/>
        <v>0</v>
      </c>
      <c r="BN337" s="1492">
        <f t="shared" si="41"/>
        <v>0</v>
      </c>
      <c r="BO337" s="697"/>
      <c r="BP337" s="697"/>
      <c r="BQ337" s="1495" t="s">
        <v>6934</v>
      </c>
      <c r="BR337" s="1495" t="s">
        <v>818</v>
      </c>
      <c r="BS337" s="1902" t="s">
        <v>655</v>
      </c>
      <c r="BT337" s="1907" t="s">
        <v>2056</v>
      </c>
    </row>
    <row r="338" spans="1:72" ht="13">
      <c r="A338" s="1545">
        <v>894</v>
      </c>
      <c r="B338" s="1546" t="s">
        <v>800</v>
      </c>
      <c r="C338" s="1546" t="s">
        <v>801</v>
      </c>
      <c r="D338" s="1547" t="s">
        <v>6872</v>
      </c>
      <c r="E338" s="690" t="s">
        <v>666</v>
      </c>
      <c r="F338" s="691"/>
      <c r="G338" s="692"/>
      <c r="H338" s="692"/>
      <c r="I338" s="692"/>
      <c r="J338" s="693"/>
      <c r="K338" s="693"/>
      <c r="L338" s="693"/>
      <c r="M338" s="694"/>
      <c r="N338" s="695"/>
      <c r="O338" s="696" t="s">
        <v>1569</v>
      </c>
      <c r="P338" s="695">
        <f>'HIV-Key Info'!$G$81*(('HIV-Key Info'!$E$81*'HPM costs'!F291)+('HIV-Key Info'!$F$81*('HPM costs'!F294+'HPM costs'!F297)))</f>
        <v>0</v>
      </c>
      <c r="Q338" s="695" t="s">
        <v>1569</v>
      </c>
      <c r="R338" s="695">
        <f>'HIV-Key Info'!$G$81*(('HIV-Key Info'!$E$81*'HPM costs'!G291)+('HIV-Key Info'!$F$81*('HPM costs'!G294+'HPM costs'!G297)))</f>
        <v>0</v>
      </c>
      <c r="S338" s="695" t="s">
        <v>1569</v>
      </c>
      <c r="T338" s="695">
        <f>'HIV-Key Info'!$G$81*(('HIV-Key Info'!$E$81*'HPM costs'!H291)+('HIV-Key Info'!$F$81*('HPM costs'!H294+'HPM costs'!H297)))</f>
        <v>0</v>
      </c>
      <c r="U338" s="695" t="s">
        <v>1569</v>
      </c>
      <c r="V338" s="695">
        <f>'HIV-Key Info'!$G$81*(('HIV-Key Info'!$E$81*'HPM costs'!I291)+('HIV-Key Info'!$F$81*('HPM costs'!I294+'HPM costs'!I297)))</f>
        <v>0</v>
      </c>
      <c r="W338" s="695"/>
      <c r="X338" s="1492">
        <f t="shared" si="36"/>
        <v>0</v>
      </c>
      <c r="Y338" s="1493"/>
      <c r="Z338" s="1494"/>
      <c r="AA338" s="699"/>
      <c r="AB338" s="695"/>
      <c r="AC338" s="695">
        <f>'HIV-Key Info'!$G$81*(('HIV-Key Info'!$E$81*'HPM costs'!K291)+('HIV-Key Info'!$F$81*('HPM costs'!K294+'HPM costs'!K297)))</f>
        <v>0</v>
      </c>
      <c r="AD338" s="695"/>
      <c r="AE338" s="695">
        <f>'HIV-Key Info'!$G$81*(('HIV-Key Info'!$E$81*'HPM costs'!L291)+('HIV-Key Info'!$F$81*('HPM costs'!L294+'HPM costs'!L297)))</f>
        <v>0</v>
      </c>
      <c r="AF338" s="695"/>
      <c r="AG338" s="695">
        <f>'HIV-Key Info'!$G$81*(('HIV-Key Info'!$E$81*'HPM costs'!M291)+('HIV-Key Info'!$F$81*('HPM costs'!M294+'HPM costs'!M297)))</f>
        <v>0</v>
      </c>
      <c r="AH338" s="695"/>
      <c r="AI338" s="695">
        <f>'HIV-Key Info'!$G$81*(('HIV-Key Info'!$E$81*'HPM costs'!N291)+('HIV-Key Info'!$F$81*('HPM costs'!N294+'HPM costs'!N297)))</f>
        <v>0</v>
      </c>
      <c r="AJ338" s="695"/>
      <c r="AK338" s="1492">
        <f t="shared" si="37"/>
        <v>0</v>
      </c>
      <c r="AL338" s="1493"/>
      <c r="AM338" s="1494"/>
      <c r="AN338" s="699"/>
      <c r="AO338" s="695"/>
      <c r="AP338" s="695">
        <f>'HIV-Key Info'!$G$81*(('HIV-Key Info'!$E$81*'HPM costs'!P291)+('HIV-Key Info'!$F$81*('HPM costs'!P294+'HPM costs'!P297)))</f>
        <v>0</v>
      </c>
      <c r="AQ338" s="695"/>
      <c r="AR338" s="695">
        <f>'HIV-Key Info'!$G$81*(('HIV-Key Info'!$E$81*'HPM costs'!Q291)+('HIV-Key Info'!$F$81*('HPM costs'!Q294+'HPM costs'!Q297)))</f>
        <v>0</v>
      </c>
      <c r="AS338" s="695"/>
      <c r="AT338" s="695">
        <f>'HIV-Key Info'!$G$81*(('HIV-Key Info'!$E$81*'HPM costs'!R291)+('HIV-Key Info'!$F$81*('HPM costs'!R294+'HPM costs'!R297)))</f>
        <v>0</v>
      </c>
      <c r="AU338" s="695"/>
      <c r="AV338" s="695">
        <f>'HIV-Key Info'!$G$81*(('HIV-Key Info'!$E$81*'HPM costs'!S291)+('HIV-Key Info'!$F$81*('HPM costs'!S294+'HPM costs'!S297)))</f>
        <v>0</v>
      </c>
      <c r="AW338" s="695"/>
      <c r="AX338" s="1492">
        <f t="shared" si="38"/>
        <v>0</v>
      </c>
      <c r="AY338" s="1492"/>
      <c r="AZ338" s="698"/>
      <c r="BA338" s="699"/>
      <c r="BB338" s="697"/>
      <c r="BC338" s="697">
        <v>0</v>
      </c>
      <c r="BD338" s="697">
        <v>0</v>
      </c>
      <c r="BE338" s="697">
        <v>0</v>
      </c>
      <c r="BF338" s="697">
        <v>0</v>
      </c>
      <c r="BG338" s="697">
        <v>0</v>
      </c>
      <c r="BH338" s="697">
        <v>0</v>
      </c>
      <c r="BI338" s="697">
        <v>0</v>
      </c>
      <c r="BJ338" s="697">
        <v>0</v>
      </c>
      <c r="BK338" s="1492">
        <f t="shared" si="39"/>
        <v>0</v>
      </c>
      <c r="BL338" s="1492"/>
      <c r="BM338" s="1492">
        <f t="shared" si="40"/>
        <v>0</v>
      </c>
      <c r="BN338" s="1492">
        <f t="shared" si="41"/>
        <v>0</v>
      </c>
      <c r="BO338" s="697"/>
      <c r="BP338" s="697"/>
      <c r="BQ338" s="1495" t="s">
        <v>6934</v>
      </c>
      <c r="BR338" s="1495" t="s">
        <v>818</v>
      </c>
      <c r="BS338" s="1902" t="s">
        <v>655</v>
      </c>
      <c r="BT338" s="1907" t="s">
        <v>2057</v>
      </c>
    </row>
    <row r="339" spans="1:72" ht="13">
      <c r="A339" s="1545">
        <v>895</v>
      </c>
      <c r="B339" s="1546" t="s">
        <v>800</v>
      </c>
      <c r="C339" s="1546" t="s">
        <v>801</v>
      </c>
      <c r="D339" s="1547" t="s">
        <v>6872</v>
      </c>
      <c r="E339" s="690" t="s">
        <v>668</v>
      </c>
      <c r="F339" s="691"/>
      <c r="G339" s="692"/>
      <c r="H339" s="692"/>
      <c r="I339" s="692"/>
      <c r="J339" s="693"/>
      <c r="K339" s="693"/>
      <c r="L339" s="693"/>
      <c r="M339" s="694"/>
      <c r="N339" s="695"/>
      <c r="O339" s="696" t="s">
        <v>1569</v>
      </c>
      <c r="P339" s="695">
        <f>'HIV-Key Info'!$G$81*(('HIV-Key Info'!$E$81*'HPM costs'!F636)+('HIV-Key Info'!$F$81*('HPM costs'!F639+'HPM costs'!F642)))</f>
        <v>0</v>
      </c>
      <c r="Q339" s="695" t="s">
        <v>1569</v>
      </c>
      <c r="R339" s="695">
        <f>'HIV-Key Info'!$G$81*(('HIV-Key Info'!$E$81*'HPM costs'!G636)+('HIV-Key Info'!$F$81*('HPM costs'!G639+'HPM costs'!G642)))</f>
        <v>0</v>
      </c>
      <c r="S339" s="695" t="s">
        <v>1569</v>
      </c>
      <c r="T339" s="695">
        <f>'HIV-Key Info'!$G$81*(('HIV-Key Info'!$E$81*'HPM costs'!H636)+('HIV-Key Info'!$F$81*('HPM costs'!H639+'HPM costs'!H642)))</f>
        <v>0</v>
      </c>
      <c r="U339" s="695" t="s">
        <v>1569</v>
      </c>
      <c r="V339" s="695">
        <f>'HIV-Key Info'!$G$81*(('HIV-Key Info'!$E$81*'HPM costs'!I636)+('HIV-Key Info'!$F$81*('HPM costs'!I639+'HPM costs'!I642)))</f>
        <v>0</v>
      </c>
      <c r="W339" s="695"/>
      <c r="X339" s="1492">
        <f t="shared" si="36"/>
        <v>0</v>
      </c>
      <c r="Y339" s="1493"/>
      <c r="Z339" s="1494"/>
      <c r="AA339" s="699"/>
      <c r="AB339" s="695"/>
      <c r="AC339" s="695">
        <f>'HIV-Key Info'!$G$81*(('HIV-Key Info'!$E$81*'HPM costs'!K636)+('HIV-Key Info'!$F$81*('HPM costs'!K639+'HPM costs'!K642)))</f>
        <v>0</v>
      </c>
      <c r="AD339" s="695"/>
      <c r="AE339" s="695">
        <f>'HIV-Key Info'!$G$81*(('HIV-Key Info'!$E$81*'HPM costs'!L636)+('HIV-Key Info'!$F$81*('HPM costs'!L639+'HPM costs'!L642)))</f>
        <v>0</v>
      </c>
      <c r="AF339" s="695"/>
      <c r="AG339" s="695">
        <f>'HIV-Key Info'!$G$81*(('HIV-Key Info'!$E$81*'HPM costs'!M636)+('HIV-Key Info'!$F$81*('HPM costs'!M639+'HPM costs'!M642)))</f>
        <v>0</v>
      </c>
      <c r="AH339" s="695"/>
      <c r="AI339" s="695">
        <f>'HIV-Key Info'!$G$81*(('HIV-Key Info'!$E$81*'HPM costs'!N636)+('HIV-Key Info'!$F$81*('HPM costs'!N639+'HPM costs'!N642)))</f>
        <v>0</v>
      </c>
      <c r="AJ339" s="695"/>
      <c r="AK339" s="1492">
        <f t="shared" si="37"/>
        <v>0</v>
      </c>
      <c r="AL339" s="1493"/>
      <c r="AM339" s="1494"/>
      <c r="AN339" s="699"/>
      <c r="AO339" s="695"/>
      <c r="AP339" s="695">
        <f>'HIV-Key Info'!$G$81*(('HIV-Key Info'!$E$81*'HPM costs'!P636)+('HIV-Key Info'!$F$81*('HPM costs'!P639+'HPM costs'!P642)))</f>
        <v>0</v>
      </c>
      <c r="AQ339" s="695"/>
      <c r="AR339" s="695">
        <f>'HIV-Key Info'!$G$81*(('HIV-Key Info'!$E$81*'HPM costs'!Q636)+('HIV-Key Info'!$F$81*('HPM costs'!Q639+'HPM costs'!Q642)))</f>
        <v>0</v>
      </c>
      <c r="AS339" s="695"/>
      <c r="AT339" s="695">
        <f>'HIV-Key Info'!$G$81*(('HIV-Key Info'!$E$81*'HPM costs'!R636)+('HIV-Key Info'!$F$81*('HPM costs'!R639+'HPM costs'!R642)))</f>
        <v>0</v>
      </c>
      <c r="AU339" s="695"/>
      <c r="AV339" s="695">
        <f>'HIV-Key Info'!$G$81*(('HIV-Key Info'!$E$81*'HPM costs'!S636)+('HIV-Key Info'!$F$81*('HPM costs'!S639+'HPM costs'!S642)))</f>
        <v>0</v>
      </c>
      <c r="AW339" s="695"/>
      <c r="AX339" s="1492">
        <f t="shared" si="38"/>
        <v>0</v>
      </c>
      <c r="AY339" s="1492"/>
      <c r="AZ339" s="698"/>
      <c r="BA339" s="699"/>
      <c r="BB339" s="697"/>
      <c r="BC339" s="697">
        <v>0</v>
      </c>
      <c r="BD339" s="697">
        <v>0</v>
      </c>
      <c r="BE339" s="697">
        <v>0</v>
      </c>
      <c r="BF339" s="697">
        <v>0</v>
      </c>
      <c r="BG339" s="697">
        <v>0</v>
      </c>
      <c r="BH339" s="697">
        <v>0</v>
      </c>
      <c r="BI339" s="697">
        <v>0</v>
      </c>
      <c r="BJ339" s="697">
        <v>0</v>
      </c>
      <c r="BK339" s="1492">
        <f t="shared" si="39"/>
        <v>0</v>
      </c>
      <c r="BL339" s="1492"/>
      <c r="BM339" s="1492">
        <f t="shared" si="40"/>
        <v>0</v>
      </c>
      <c r="BN339" s="1492">
        <f t="shared" si="41"/>
        <v>0</v>
      </c>
      <c r="BO339" s="697"/>
      <c r="BP339" s="697"/>
      <c r="BQ339" s="1495" t="s">
        <v>6934</v>
      </c>
      <c r="BR339" s="1495" t="s">
        <v>818</v>
      </c>
      <c r="BS339" s="1902" t="s">
        <v>655</v>
      </c>
      <c r="BT339" s="1907" t="s">
        <v>2058</v>
      </c>
    </row>
    <row r="340" spans="1:72" ht="13">
      <c r="A340" s="1545">
        <v>896</v>
      </c>
      <c r="B340" s="1546" t="s">
        <v>800</v>
      </c>
      <c r="C340" s="1546" t="s">
        <v>802</v>
      </c>
      <c r="D340" s="1547" t="s">
        <v>6956</v>
      </c>
      <c r="E340" s="690" t="s">
        <v>731</v>
      </c>
      <c r="F340" s="691"/>
      <c r="G340" s="692"/>
      <c r="H340" s="692"/>
      <c r="I340" s="692"/>
      <c r="J340" s="693"/>
      <c r="K340" s="693"/>
      <c r="L340" s="693"/>
      <c r="M340" s="694"/>
      <c r="N340" s="695"/>
      <c r="O340" s="696" t="s">
        <v>1569</v>
      </c>
      <c r="P340" s="695">
        <f>'HIV-Key Info'!$H$81*('HIV-Key Info'!$E$81*('HPM costs'!F551/'HPM costs'!$E$551)+'HIV-Key Info'!$F$81*('HPM costs'!F557/'HPM costs'!$E$557+'HPM costs'!F554/'HPM costs'!$E$554))</f>
        <v>0</v>
      </c>
      <c r="Q340" s="695" t="s">
        <v>1569</v>
      </c>
      <c r="R340" s="695">
        <f>'HIV-Key Info'!$H$81*('HIV-Key Info'!$E$81*('HPM costs'!G551/'HPM costs'!$E$551)+'HIV-Key Info'!$F$81*('HPM costs'!G557/'HPM costs'!$E$557+'HPM costs'!G554/'HPM costs'!$E$554))</f>
        <v>0</v>
      </c>
      <c r="S340" s="695" t="s">
        <v>1569</v>
      </c>
      <c r="T340" s="695">
        <f>'HIV-Key Info'!$H$81*('HIV-Key Info'!$E$81*('HPM costs'!H551/'HPM costs'!$E$551)+'HIV-Key Info'!$F$81*('HPM costs'!H557/'HPM costs'!$E$557+'HPM costs'!H554/'HPM costs'!$E$554))</f>
        <v>0</v>
      </c>
      <c r="U340" s="695" t="s">
        <v>1569</v>
      </c>
      <c r="V340" s="695">
        <f>'HIV-Key Info'!$H$81*('HIV-Key Info'!$E$81*('HPM costs'!I551/'HPM costs'!$E$551)+'HIV-Key Info'!$F$81*('HPM costs'!I557/'HPM costs'!$E$557+'HPM costs'!I554/'HPM costs'!$E$554))</f>
        <v>0</v>
      </c>
      <c r="W340" s="695"/>
      <c r="X340" s="1492">
        <f t="shared" si="36"/>
        <v>0</v>
      </c>
      <c r="Y340" s="1493"/>
      <c r="Z340" s="1494"/>
      <c r="AA340" s="699"/>
      <c r="AB340" s="695"/>
      <c r="AC340" s="695">
        <f>'HIV-Key Info'!$H$81*('HIV-Key Info'!$E$81*('HPM costs'!K551/'HPM costs'!$E$551)+'HIV-Key Info'!$F$81*('HPM costs'!K557/'HPM costs'!$E$557+'HPM costs'!K554/'HPM costs'!$E$554))</f>
        <v>0</v>
      </c>
      <c r="AD340" s="695"/>
      <c r="AE340" s="695">
        <f>'HIV-Key Info'!$H$81*('HIV-Key Info'!$E$81*('HPM costs'!L551/'HPM costs'!$E$551)+'HIV-Key Info'!$F$81*('HPM costs'!L557/'HPM costs'!$E$557+'HPM costs'!L554/'HPM costs'!$E$554))</f>
        <v>0</v>
      </c>
      <c r="AF340" s="695"/>
      <c r="AG340" s="695">
        <f>'HIV-Key Info'!$H$81*('HIV-Key Info'!$E$81*('HPM costs'!M551/'HPM costs'!$E$551)+'HIV-Key Info'!$F$81*('HPM costs'!M557/'HPM costs'!$E$557+'HPM costs'!M554/'HPM costs'!$E$554))</f>
        <v>0</v>
      </c>
      <c r="AH340" s="695"/>
      <c r="AI340" s="695">
        <f>'HIV-Key Info'!$H$81*('HIV-Key Info'!$E$81*('HPM costs'!N551/'HPM costs'!$E$551)+'HIV-Key Info'!$F$81*('HPM costs'!N557/'HPM costs'!$E$557+'HPM costs'!N554/'HPM costs'!$E$554))</f>
        <v>0</v>
      </c>
      <c r="AJ340" s="695"/>
      <c r="AK340" s="1492">
        <f t="shared" si="37"/>
        <v>0</v>
      </c>
      <c r="AL340" s="1493"/>
      <c r="AM340" s="1494"/>
      <c r="AN340" s="699"/>
      <c r="AO340" s="695"/>
      <c r="AP340" s="695">
        <f>'HIV-Key Info'!$H$81*('HIV-Key Info'!$E$81*('HPM costs'!P551/'HPM costs'!$E$551)+'HIV-Key Info'!$F$81*('HPM costs'!P557/'HPM costs'!$E$557+'HPM costs'!P554/'HPM costs'!$E$554))</f>
        <v>0</v>
      </c>
      <c r="AQ340" s="695"/>
      <c r="AR340" s="695">
        <f>'HIV-Key Info'!$H$81*('HIV-Key Info'!$E$81*('HPM costs'!Q551/'HPM costs'!$E$551)+'HIV-Key Info'!$F$81*('HPM costs'!Q557/'HPM costs'!$E$557+'HPM costs'!Q554/'HPM costs'!$E$554))</f>
        <v>0</v>
      </c>
      <c r="AS340" s="695"/>
      <c r="AT340" s="695">
        <f>'HIV-Key Info'!$H$81*('HIV-Key Info'!$E$81*('HPM costs'!R551/'HPM costs'!$E$551)+'HIV-Key Info'!$F$81*('HPM costs'!R557/'HPM costs'!$E$557+'HPM costs'!R554/'HPM costs'!$E$554))</f>
        <v>0</v>
      </c>
      <c r="AU340" s="695"/>
      <c r="AV340" s="695">
        <f>'HIV-Key Info'!$H$81*('HIV-Key Info'!$E$81*('HPM costs'!S551/'HPM costs'!$E$551)+'HIV-Key Info'!$F$81*('HPM costs'!S557/'HPM costs'!$E$557+'HPM costs'!S554/'HPM costs'!$E$554))</f>
        <v>0</v>
      </c>
      <c r="AW340" s="695"/>
      <c r="AX340" s="1492">
        <f t="shared" si="38"/>
        <v>0</v>
      </c>
      <c r="AY340" s="1492"/>
      <c r="AZ340" s="698"/>
      <c r="BA340" s="699"/>
      <c r="BB340" s="697"/>
      <c r="BC340" s="697">
        <v>0</v>
      </c>
      <c r="BD340" s="697">
        <v>0</v>
      </c>
      <c r="BE340" s="697">
        <v>0</v>
      </c>
      <c r="BF340" s="697">
        <v>0</v>
      </c>
      <c r="BG340" s="697">
        <v>0</v>
      </c>
      <c r="BH340" s="697">
        <v>0</v>
      </c>
      <c r="BI340" s="697">
        <v>0</v>
      </c>
      <c r="BJ340" s="697">
        <v>0</v>
      </c>
      <c r="BK340" s="1492">
        <f t="shared" si="39"/>
        <v>0</v>
      </c>
      <c r="BL340" s="1492"/>
      <c r="BM340" s="1492">
        <f t="shared" si="40"/>
        <v>0</v>
      </c>
      <c r="BN340" s="1492">
        <f t="shared" si="41"/>
        <v>0</v>
      </c>
      <c r="BO340" s="697"/>
      <c r="BP340" s="697"/>
      <c r="BQ340" s="1495" t="s">
        <v>6934</v>
      </c>
      <c r="BR340" s="1495" t="s">
        <v>818</v>
      </c>
      <c r="BS340" s="1902" t="s">
        <v>6953</v>
      </c>
      <c r="BT340" s="1907" t="s">
        <v>2059</v>
      </c>
    </row>
    <row r="341" spans="1:72" ht="13">
      <c r="A341" s="1545">
        <v>897</v>
      </c>
      <c r="B341" s="1546" t="s">
        <v>800</v>
      </c>
      <c r="C341" s="1546" t="s">
        <v>802</v>
      </c>
      <c r="D341" s="1547" t="s">
        <v>6872</v>
      </c>
      <c r="E341" s="690" t="s">
        <v>656</v>
      </c>
      <c r="F341" s="691"/>
      <c r="G341" s="692"/>
      <c r="H341" s="692"/>
      <c r="I341" s="692"/>
      <c r="J341" s="693"/>
      <c r="K341" s="693"/>
      <c r="L341" s="693"/>
      <c r="M341" s="694"/>
      <c r="N341" s="695"/>
      <c r="O341" s="696" t="s">
        <v>1569</v>
      </c>
      <c r="P341" s="695">
        <f>'HIV-Key Info'!$H$81*(('HIV-Key Info'!$E$81*'HPM costs'!F33)+('HIV-Key Info'!$F$81*('HPM costs'!F36+'HPM costs'!F39)))</f>
        <v>0</v>
      </c>
      <c r="Q341" s="695" t="s">
        <v>1569</v>
      </c>
      <c r="R341" s="695">
        <f>'HIV-Key Info'!$H$81*(('HIV-Key Info'!$E$81*'HPM costs'!G33)+('HIV-Key Info'!$F$81*('HPM costs'!G36+'HPM costs'!G39)))</f>
        <v>0</v>
      </c>
      <c r="S341" s="695" t="s">
        <v>1569</v>
      </c>
      <c r="T341" s="695">
        <f>'HIV-Key Info'!$H$81*(('HIV-Key Info'!$E$81*'HPM costs'!H33)+('HIV-Key Info'!$F$81*('HPM costs'!H36+'HPM costs'!H39)))</f>
        <v>0</v>
      </c>
      <c r="U341" s="695" t="s">
        <v>1569</v>
      </c>
      <c r="V341" s="695">
        <f>'HIV-Key Info'!$H$81*(('HIV-Key Info'!$E$81*'HPM costs'!I33)+('HIV-Key Info'!$F$81*('HPM costs'!I36+'HPM costs'!I39)))</f>
        <v>0</v>
      </c>
      <c r="W341" s="695"/>
      <c r="X341" s="1492">
        <f t="shared" si="36"/>
        <v>0</v>
      </c>
      <c r="Y341" s="1493"/>
      <c r="Z341" s="1494"/>
      <c r="AA341" s="699"/>
      <c r="AB341" s="695"/>
      <c r="AC341" s="695">
        <f>'HIV-Key Info'!$H$81*(('HIV-Key Info'!$E$81*'HPM costs'!K33)+('HIV-Key Info'!$F$81*('HPM costs'!K36+'HPM costs'!K39)))</f>
        <v>0</v>
      </c>
      <c r="AD341" s="695"/>
      <c r="AE341" s="695">
        <f>'HIV-Key Info'!$H$81*(('HIV-Key Info'!$E$81*'HPM costs'!L33)+('HIV-Key Info'!$F$81*('HPM costs'!L36+'HPM costs'!L39)))</f>
        <v>0</v>
      </c>
      <c r="AF341" s="695"/>
      <c r="AG341" s="695">
        <f>'HIV-Key Info'!$H$81*(('HIV-Key Info'!$E$81*'HPM costs'!M33)+('HIV-Key Info'!$F$81*('HPM costs'!M36+'HPM costs'!M39)))</f>
        <v>0</v>
      </c>
      <c r="AH341" s="695"/>
      <c r="AI341" s="695">
        <f>'HIV-Key Info'!$H$81*(('HIV-Key Info'!$E$81*'HPM costs'!N33)+('HIV-Key Info'!$F$81*('HPM costs'!N36+'HPM costs'!N39)))</f>
        <v>0</v>
      </c>
      <c r="AJ341" s="695"/>
      <c r="AK341" s="1492">
        <f t="shared" si="37"/>
        <v>0</v>
      </c>
      <c r="AL341" s="1493"/>
      <c r="AM341" s="1494"/>
      <c r="AN341" s="699"/>
      <c r="AO341" s="695"/>
      <c r="AP341" s="695">
        <f>'HIV-Key Info'!$H$81*(('HIV-Key Info'!$E$81*'HPM costs'!P33)+('HIV-Key Info'!$F$81*('HPM costs'!P36+'HPM costs'!P39)))</f>
        <v>0</v>
      </c>
      <c r="AQ341" s="695"/>
      <c r="AR341" s="695">
        <f>'HIV-Key Info'!$H$81*(('HIV-Key Info'!$E$81*'HPM costs'!Q33)+('HIV-Key Info'!$F$81*('HPM costs'!Q36+'HPM costs'!Q39)))</f>
        <v>0</v>
      </c>
      <c r="AS341" s="695"/>
      <c r="AT341" s="695">
        <f>'HIV-Key Info'!$H$81*(('HIV-Key Info'!$E$81*'HPM costs'!R33)+('HIV-Key Info'!$F$81*('HPM costs'!R36+'HPM costs'!R39)))</f>
        <v>0</v>
      </c>
      <c r="AU341" s="695"/>
      <c r="AV341" s="695">
        <f>'HIV-Key Info'!$H$81*(('HIV-Key Info'!$E$81*'HPM costs'!S33)+('HIV-Key Info'!$F$81*('HPM costs'!S36+'HPM costs'!S39)))</f>
        <v>0</v>
      </c>
      <c r="AW341" s="695"/>
      <c r="AX341" s="1492">
        <f t="shared" si="38"/>
        <v>0</v>
      </c>
      <c r="AY341" s="1492"/>
      <c r="AZ341" s="698"/>
      <c r="BA341" s="699"/>
      <c r="BB341" s="697"/>
      <c r="BC341" s="697">
        <v>0</v>
      </c>
      <c r="BD341" s="697">
        <v>0</v>
      </c>
      <c r="BE341" s="697">
        <v>0</v>
      </c>
      <c r="BF341" s="697">
        <v>0</v>
      </c>
      <c r="BG341" s="697">
        <v>0</v>
      </c>
      <c r="BH341" s="697">
        <v>0</v>
      </c>
      <c r="BI341" s="697">
        <v>0</v>
      </c>
      <c r="BJ341" s="697">
        <v>0</v>
      </c>
      <c r="BK341" s="1492">
        <f t="shared" si="39"/>
        <v>0</v>
      </c>
      <c r="BL341" s="1492"/>
      <c r="BM341" s="1492">
        <f t="shared" si="40"/>
        <v>0</v>
      </c>
      <c r="BN341" s="1492">
        <f t="shared" si="41"/>
        <v>0</v>
      </c>
      <c r="BO341" s="697"/>
      <c r="BP341" s="697"/>
      <c r="BQ341" s="1495" t="s">
        <v>6934</v>
      </c>
      <c r="BR341" s="1495" t="s">
        <v>818</v>
      </c>
      <c r="BS341" s="1902" t="s">
        <v>655</v>
      </c>
      <c r="BT341" s="1907" t="s">
        <v>2060</v>
      </c>
    </row>
    <row r="342" spans="1:72" ht="13">
      <c r="A342" s="1545">
        <v>898</v>
      </c>
      <c r="B342" s="1546" t="s">
        <v>800</v>
      </c>
      <c r="C342" s="1546" t="s">
        <v>802</v>
      </c>
      <c r="D342" s="1547" t="s">
        <v>6872</v>
      </c>
      <c r="E342" s="690" t="s">
        <v>658</v>
      </c>
      <c r="F342" s="691"/>
      <c r="G342" s="692"/>
      <c r="H342" s="692"/>
      <c r="I342" s="692"/>
      <c r="J342" s="693"/>
      <c r="K342" s="693"/>
      <c r="L342" s="693"/>
      <c r="M342" s="694"/>
      <c r="N342" s="695"/>
      <c r="O342" s="696" t="s">
        <v>1569</v>
      </c>
      <c r="P342" s="695">
        <f>'HIV-Key Info'!$H$81*(('HIV-Key Info'!$E$81*'HPM costs'!F119)+('HIV-Key Info'!$F$81*('HPM costs'!F122+'HPM costs'!F125)))</f>
        <v>0</v>
      </c>
      <c r="Q342" s="695" t="s">
        <v>1569</v>
      </c>
      <c r="R342" s="695">
        <f>'HIV-Key Info'!$H$81*(('HIV-Key Info'!$E$81*'HPM costs'!G119)+('HIV-Key Info'!$F$81*('HPM costs'!G122+'HPM costs'!G125)))</f>
        <v>0</v>
      </c>
      <c r="S342" s="695" t="s">
        <v>1569</v>
      </c>
      <c r="T342" s="695">
        <f>'HIV-Key Info'!$H$81*(('HIV-Key Info'!$E$81*'HPM costs'!H119)+('HIV-Key Info'!$F$81*('HPM costs'!H122+'HPM costs'!H125)))</f>
        <v>0</v>
      </c>
      <c r="U342" s="695" t="s">
        <v>1569</v>
      </c>
      <c r="V342" s="695">
        <f>'HIV-Key Info'!$H$81*(('HIV-Key Info'!$E$81*'HPM costs'!I119)+('HIV-Key Info'!$F$81*('HPM costs'!I122+'HPM costs'!I125)))</f>
        <v>0</v>
      </c>
      <c r="W342" s="695"/>
      <c r="X342" s="1492">
        <f t="shared" si="36"/>
        <v>0</v>
      </c>
      <c r="Y342" s="1493"/>
      <c r="Z342" s="1494"/>
      <c r="AA342" s="699"/>
      <c r="AB342" s="695"/>
      <c r="AC342" s="695">
        <f>'HIV-Key Info'!$H$81*(('HIV-Key Info'!$E$81*'HPM costs'!K119)+('HIV-Key Info'!$F$81*('HPM costs'!K122+'HPM costs'!K125)))</f>
        <v>0</v>
      </c>
      <c r="AD342" s="695"/>
      <c r="AE342" s="695">
        <f>'HIV-Key Info'!$H$81*(('HIV-Key Info'!$E$81*'HPM costs'!L119)+('HIV-Key Info'!$F$81*('HPM costs'!L122+'HPM costs'!L125)))</f>
        <v>0</v>
      </c>
      <c r="AF342" s="695"/>
      <c r="AG342" s="695">
        <f>'HIV-Key Info'!$H$81*(('HIV-Key Info'!$E$81*'HPM costs'!M119)+('HIV-Key Info'!$F$81*('HPM costs'!M122+'HPM costs'!M125)))</f>
        <v>0</v>
      </c>
      <c r="AH342" s="695"/>
      <c r="AI342" s="695">
        <f>'HIV-Key Info'!$H$81*(('HIV-Key Info'!$E$81*'HPM costs'!N119)+('HIV-Key Info'!$F$81*('HPM costs'!N122+'HPM costs'!N125)))</f>
        <v>0</v>
      </c>
      <c r="AJ342" s="695"/>
      <c r="AK342" s="1492">
        <f t="shared" si="37"/>
        <v>0</v>
      </c>
      <c r="AL342" s="1493"/>
      <c r="AM342" s="1494"/>
      <c r="AN342" s="699"/>
      <c r="AO342" s="695"/>
      <c r="AP342" s="695">
        <f>'HIV-Key Info'!$H$81*(('HIV-Key Info'!$E$81*'HPM costs'!P119)+('HIV-Key Info'!$F$81*('HPM costs'!P122+'HPM costs'!P125)))</f>
        <v>0</v>
      </c>
      <c r="AQ342" s="695"/>
      <c r="AR342" s="695">
        <f>'HIV-Key Info'!$H$81*(('HIV-Key Info'!$E$81*'HPM costs'!Q119)+('HIV-Key Info'!$F$81*('HPM costs'!Q122+'HPM costs'!Q125)))</f>
        <v>0</v>
      </c>
      <c r="AS342" s="695"/>
      <c r="AT342" s="695">
        <f>'HIV-Key Info'!$H$81*(('HIV-Key Info'!$E$81*'HPM costs'!R119)+('HIV-Key Info'!$F$81*('HPM costs'!R122+'HPM costs'!R125)))</f>
        <v>0</v>
      </c>
      <c r="AU342" s="695"/>
      <c r="AV342" s="695">
        <f>'HIV-Key Info'!$H$81*(('HIV-Key Info'!$E$81*'HPM costs'!S119)+('HIV-Key Info'!$F$81*('HPM costs'!S122+'HPM costs'!S125)))</f>
        <v>0</v>
      </c>
      <c r="AW342" s="695"/>
      <c r="AX342" s="1492">
        <f t="shared" si="38"/>
        <v>0</v>
      </c>
      <c r="AY342" s="1492"/>
      <c r="AZ342" s="698"/>
      <c r="BA342" s="699"/>
      <c r="BB342" s="697"/>
      <c r="BC342" s="697">
        <v>0</v>
      </c>
      <c r="BD342" s="697">
        <v>0</v>
      </c>
      <c r="BE342" s="697">
        <v>0</v>
      </c>
      <c r="BF342" s="697">
        <v>0</v>
      </c>
      <c r="BG342" s="697">
        <v>0</v>
      </c>
      <c r="BH342" s="697">
        <v>0</v>
      </c>
      <c r="BI342" s="697">
        <v>0</v>
      </c>
      <c r="BJ342" s="697">
        <v>0</v>
      </c>
      <c r="BK342" s="1492">
        <f t="shared" si="39"/>
        <v>0</v>
      </c>
      <c r="BL342" s="1492"/>
      <c r="BM342" s="1492">
        <f t="shared" si="40"/>
        <v>0</v>
      </c>
      <c r="BN342" s="1492">
        <f t="shared" si="41"/>
        <v>0</v>
      </c>
      <c r="BO342" s="697"/>
      <c r="BP342" s="697"/>
      <c r="BQ342" s="1495" t="s">
        <v>6934</v>
      </c>
      <c r="BR342" s="1495" t="s">
        <v>818</v>
      </c>
      <c r="BS342" s="1902" t="s">
        <v>655</v>
      </c>
      <c r="BT342" s="1907" t="s">
        <v>2061</v>
      </c>
    </row>
    <row r="343" spans="1:72" ht="13">
      <c r="A343" s="1545">
        <v>899</v>
      </c>
      <c r="B343" s="1546" t="s">
        <v>800</v>
      </c>
      <c r="C343" s="1546" t="s">
        <v>802</v>
      </c>
      <c r="D343" s="1547" t="s">
        <v>6872</v>
      </c>
      <c r="E343" s="690" t="s">
        <v>660</v>
      </c>
      <c r="F343" s="691"/>
      <c r="G343" s="692"/>
      <c r="H343" s="692"/>
      <c r="I343" s="692"/>
      <c r="J343" s="693"/>
      <c r="K343" s="693"/>
      <c r="L343" s="693"/>
      <c r="M343" s="694"/>
      <c r="N343" s="695"/>
      <c r="O343" s="696" t="s">
        <v>1569</v>
      </c>
      <c r="P343" s="695">
        <f>'HIV-Key Info'!$H$81*(('HIV-Key Info'!$E$81*'HPM costs'!F379)+('HIV-Key Info'!$F$81*('HPM costs'!F382+'HPM costs'!F385)))</f>
        <v>0</v>
      </c>
      <c r="Q343" s="695" t="s">
        <v>1569</v>
      </c>
      <c r="R343" s="695">
        <f>'HIV-Key Info'!$H$81*(('HIV-Key Info'!$E$81*'HPM costs'!G379)+('HIV-Key Info'!$F$81*('HPM costs'!G382+'HPM costs'!G385)))</f>
        <v>0</v>
      </c>
      <c r="S343" s="695" t="s">
        <v>1569</v>
      </c>
      <c r="T343" s="695">
        <f>'HIV-Key Info'!$H$81*(('HIV-Key Info'!$E$81*'HPM costs'!H379)+('HIV-Key Info'!$F$81*('HPM costs'!H382+'HPM costs'!H385)))</f>
        <v>0</v>
      </c>
      <c r="U343" s="695" t="s">
        <v>1569</v>
      </c>
      <c r="V343" s="695">
        <f>'HIV-Key Info'!$H$81*(('HIV-Key Info'!$E$81*'HPM costs'!I379)+('HIV-Key Info'!$F$81*('HPM costs'!I382+'HPM costs'!I385)))</f>
        <v>0</v>
      </c>
      <c r="W343" s="695"/>
      <c r="X343" s="1492">
        <f t="shared" si="36"/>
        <v>0</v>
      </c>
      <c r="Y343" s="1493"/>
      <c r="Z343" s="1494"/>
      <c r="AA343" s="699"/>
      <c r="AB343" s="695"/>
      <c r="AC343" s="695">
        <f>'HIV-Key Info'!$H$81*(('HIV-Key Info'!$E$81*'HPM costs'!K379)+('HIV-Key Info'!$F$81*('HPM costs'!K382+'HPM costs'!K385)))</f>
        <v>0</v>
      </c>
      <c r="AD343" s="695"/>
      <c r="AE343" s="695">
        <f>'HIV-Key Info'!$H$81*(('HIV-Key Info'!$E$81*'HPM costs'!L379)+('HIV-Key Info'!$F$81*('HPM costs'!L382+'HPM costs'!L385)))</f>
        <v>0</v>
      </c>
      <c r="AF343" s="695"/>
      <c r="AG343" s="695">
        <f>'HIV-Key Info'!$H$81*(('HIV-Key Info'!$E$81*'HPM costs'!M379)+('HIV-Key Info'!$F$81*('HPM costs'!M382+'HPM costs'!M385)))</f>
        <v>0</v>
      </c>
      <c r="AH343" s="695"/>
      <c r="AI343" s="695">
        <f>'HIV-Key Info'!$H$81*(('HIV-Key Info'!$E$81*'HPM costs'!N379)+('HIV-Key Info'!$F$81*('HPM costs'!N382+'HPM costs'!N385)))</f>
        <v>0</v>
      </c>
      <c r="AJ343" s="695"/>
      <c r="AK343" s="1492">
        <f t="shared" si="37"/>
        <v>0</v>
      </c>
      <c r="AL343" s="1493"/>
      <c r="AM343" s="1494"/>
      <c r="AN343" s="699"/>
      <c r="AO343" s="695"/>
      <c r="AP343" s="695">
        <f>'HIV-Key Info'!$H$81*(('HIV-Key Info'!$E$81*'HPM costs'!P379)+('HIV-Key Info'!$F$81*('HPM costs'!P382+'HPM costs'!P385)))</f>
        <v>0</v>
      </c>
      <c r="AQ343" s="695"/>
      <c r="AR343" s="695">
        <f>'HIV-Key Info'!$H$81*(('HIV-Key Info'!$E$81*'HPM costs'!Q379)+('HIV-Key Info'!$F$81*('HPM costs'!Q382+'HPM costs'!Q385)))</f>
        <v>0</v>
      </c>
      <c r="AS343" s="695"/>
      <c r="AT343" s="695">
        <f>'HIV-Key Info'!$H$81*(('HIV-Key Info'!$E$81*'HPM costs'!R379)+('HIV-Key Info'!$F$81*('HPM costs'!R382+'HPM costs'!R385)))</f>
        <v>0</v>
      </c>
      <c r="AU343" s="695"/>
      <c r="AV343" s="695">
        <f>'HIV-Key Info'!$H$81*(('HIV-Key Info'!$E$81*'HPM costs'!S379)+('HIV-Key Info'!$F$81*('HPM costs'!S382+'HPM costs'!S385)))</f>
        <v>0</v>
      </c>
      <c r="AW343" s="695"/>
      <c r="AX343" s="1492">
        <f t="shared" si="38"/>
        <v>0</v>
      </c>
      <c r="AY343" s="1492"/>
      <c r="AZ343" s="698"/>
      <c r="BA343" s="699"/>
      <c r="BB343" s="697"/>
      <c r="BC343" s="697">
        <v>0</v>
      </c>
      <c r="BD343" s="697">
        <v>0</v>
      </c>
      <c r="BE343" s="697">
        <v>0</v>
      </c>
      <c r="BF343" s="697">
        <v>0</v>
      </c>
      <c r="BG343" s="697">
        <v>0</v>
      </c>
      <c r="BH343" s="697">
        <v>0</v>
      </c>
      <c r="BI343" s="697">
        <v>0</v>
      </c>
      <c r="BJ343" s="697">
        <v>0</v>
      </c>
      <c r="BK343" s="1492">
        <f t="shared" si="39"/>
        <v>0</v>
      </c>
      <c r="BL343" s="1492"/>
      <c r="BM343" s="1492">
        <f t="shared" si="40"/>
        <v>0</v>
      </c>
      <c r="BN343" s="1492">
        <f t="shared" si="41"/>
        <v>0</v>
      </c>
      <c r="BO343" s="697"/>
      <c r="BP343" s="697"/>
      <c r="BQ343" s="1495" t="s">
        <v>6934</v>
      </c>
      <c r="BR343" s="1495" t="s">
        <v>818</v>
      </c>
      <c r="BS343" s="1902" t="s">
        <v>655</v>
      </c>
      <c r="BT343" s="1907" t="s">
        <v>2062</v>
      </c>
    </row>
    <row r="344" spans="1:72" ht="13">
      <c r="A344" s="1545">
        <v>900</v>
      </c>
      <c r="B344" s="1546" t="s">
        <v>800</v>
      </c>
      <c r="C344" s="1546" t="s">
        <v>802</v>
      </c>
      <c r="D344" s="1547" t="s">
        <v>6872</v>
      </c>
      <c r="E344" s="690" t="s">
        <v>662</v>
      </c>
      <c r="F344" s="691"/>
      <c r="G344" s="692"/>
      <c r="H344" s="692"/>
      <c r="I344" s="692"/>
      <c r="J344" s="693"/>
      <c r="K344" s="693"/>
      <c r="L344" s="693"/>
      <c r="M344" s="694"/>
      <c r="N344" s="695"/>
      <c r="O344" s="696" t="s">
        <v>1569</v>
      </c>
      <c r="P344" s="695">
        <f>'HIV-Key Info'!$H$81*(('HIV-Key Info'!$E$81*'HPM costs'!F465)+('HIV-Key Info'!$F$81*('HPM costs'!F468+'HPM costs'!F471)))</f>
        <v>0</v>
      </c>
      <c r="Q344" s="695" t="s">
        <v>1569</v>
      </c>
      <c r="R344" s="695">
        <f>'HIV-Key Info'!$H$81*(('HIV-Key Info'!$E$81*'HPM costs'!G465)+('HIV-Key Info'!$F$81*('HPM costs'!G468+'HPM costs'!G471)))</f>
        <v>0</v>
      </c>
      <c r="S344" s="695" t="s">
        <v>1569</v>
      </c>
      <c r="T344" s="695">
        <f>'HIV-Key Info'!$H$81*(('HIV-Key Info'!$E$81*'HPM costs'!H465)+('HIV-Key Info'!$F$81*('HPM costs'!H468+'HPM costs'!H471)))</f>
        <v>0</v>
      </c>
      <c r="U344" s="695" t="s">
        <v>1569</v>
      </c>
      <c r="V344" s="695">
        <f>'HIV-Key Info'!$H$81*(('HIV-Key Info'!$E$81*'HPM costs'!I465)+('HIV-Key Info'!$F$81*('HPM costs'!I468+'HPM costs'!I471)))</f>
        <v>0</v>
      </c>
      <c r="W344" s="695"/>
      <c r="X344" s="1492">
        <f t="shared" si="36"/>
        <v>0</v>
      </c>
      <c r="Y344" s="1493"/>
      <c r="Z344" s="1494"/>
      <c r="AA344" s="699"/>
      <c r="AB344" s="695"/>
      <c r="AC344" s="695">
        <f>'HIV-Key Info'!$H$81*(('HIV-Key Info'!$E$81*'HPM costs'!K465)+('HIV-Key Info'!$F$81*('HPM costs'!K468+'HPM costs'!K471)))</f>
        <v>0</v>
      </c>
      <c r="AD344" s="695"/>
      <c r="AE344" s="695">
        <f>'HIV-Key Info'!$H$81*(('HIV-Key Info'!$E$81*'HPM costs'!L465)+('HIV-Key Info'!$F$81*('HPM costs'!L468+'HPM costs'!L471)))</f>
        <v>0</v>
      </c>
      <c r="AF344" s="695"/>
      <c r="AG344" s="695">
        <f>'HIV-Key Info'!$H$81*(('HIV-Key Info'!$E$81*'HPM costs'!M465)+('HIV-Key Info'!$F$81*('HPM costs'!M468+'HPM costs'!M471)))</f>
        <v>0</v>
      </c>
      <c r="AH344" s="695"/>
      <c r="AI344" s="695">
        <f>'HIV-Key Info'!$H$81*(('HIV-Key Info'!$E$81*'HPM costs'!N465)+('HIV-Key Info'!$F$81*('HPM costs'!N468+'HPM costs'!N471)))</f>
        <v>0</v>
      </c>
      <c r="AJ344" s="695"/>
      <c r="AK344" s="1492">
        <f t="shared" si="37"/>
        <v>0</v>
      </c>
      <c r="AL344" s="1493"/>
      <c r="AM344" s="1494"/>
      <c r="AN344" s="699"/>
      <c r="AO344" s="695"/>
      <c r="AP344" s="695">
        <f>'HIV-Key Info'!$H$81*(('HIV-Key Info'!$E$81*'HPM costs'!P465)+('HIV-Key Info'!$F$81*('HPM costs'!P468+'HPM costs'!P471)))</f>
        <v>0</v>
      </c>
      <c r="AQ344" s="695"/>
      <c r="AR344" s="695">
        <f>'HIV-Key Info'!$H$81*(('HIV-Key Info'!$E$81*'HPM costs'!Q465)+('HIV-Key Info'!$F$81*('HPM costs'!Q468+'HPM costs'!Q471)))</f>
        <v>0</v>
      </c>
      <c r="AS344" s="695"/>
      <c r="AT344" s="695">
        <f>'HIV-Key Info'!$H$81*(('HIV-Key Info'!$E$81*'HPM costs'!R465)+('HIV-Key Info'!$F$81*('HPM costs'!R468+'HPM costs'!R471)))</f>
        <v>0</v>
      </c>
      <c r="AU344" s="695"/>
      <c r="AV344" s="695">
        <f>'HIV-Key Info'!$H$81*(('HIV-Key Info'!$E$81*'HPM costs'!S465)+('HIV-Key Info'!$F$81*('HPM costs'!S468+'HPM costs'!S471)))</f>
        <v>0</v>
      </c>
      <c r="AW344" s="695"/>
      <c r="AX344" s="1492">
        <f t="shared" si="38"/>
        <v>0</v>
      </c>
      <c r="AY344" s="1492"/>
      <c r="AZ344" s="698"/>
      <c r="BA344" s="699"/>
      <c r="BB344" s="697"/>
      <c r="BC344" s="697">
        <v>0</v>
      </c>
      <c r="BD344" s="697">
        <v>0</v>
      </c>
      <c r="BE344" s="697">
        <v>0</v>
      </c>
      <c r="BF344" s="697">
        <v>0</v>
      </c>
      <c r="BG344" s="697">
        <v>0</v>
      </c>
      <c r="BH344" s="697">
        <v>0</v>
      </c>
      <c r="BI344" s="697">
        <v>0</v>
      </c>
      <c r="BJ344" s="697">
        <v>0</v>
      </c>
      <c r="BK344" s="1492">
        <f t="shared" si="39"/>
        <v>0</v>
      </c>
      <c r="BL344" s="1492"/>
      <c r="BM344" s="1492">
        <f t="shared" si="40"/>
        <v>0</v>
      </c>
      <c r="BN344" s="1492">
        <f t="shared" si="41"/>
        <v>0</v>
      </c>
      <c r="BO344" s="697"/>
      <c r="BP344" s="697"/>
      <c r="BQ344" s="1495" t="s">
        <v>6934</v>
      </c>
      <c r="BR344" s="1495" t="s">
        <v>818</v>
      </c>
      <c r="BS344" s="1902" t="s">
        <v>655</v>
      </c>
      <c r="BT344" s="1907" t="s">
        <v>2063</v>
      </c>
    </row>
    <row r="345" spans="1:72" ht="13">
      <c r="A345" s="1545">
        <v>901</v>
      </c>
      <c r="B345" s="1546" t="s">
        <v>800</v>
      </c>
      <c r="C345" s="1546" t="s">
        <v>802</v>
      </c>
      <c r="D345" s="1547" t="s">
        <v>6872</v>
      </c>
      <c r="E345" s="690" t="s">
        <v>664</v>
      </c>
      <c r="F345" s="691"/>
      <c r="G345" s="692"/>
      <c r="H345" s="692"/>
      <c r="I345" s="692"/>
      <c r="J345" s="693"/>
      <c r="K345" s="693"/>
      <c r="L345" s="693"/>
      <c r="M345" s="694"/>
      <c r="N345" s="695"/>
      <c r="O345" s="696" t="s">
        <v>1569</v>
      </c>
      <c r="P345" s="695">
        <f>'HIV-Key Info'!$H$81*(('HIV-Key Info'!$E$81*('HPM costs'!F205+'HPM costs'!F551))+('HIV-Key Info'!$F$81*('HPM costs'!F208+'HPM costs'!F211+'HPM costs'!F554+'HPM costs'!F557)))</f>
        <v>0</v>
      </c>
      <c r="Q345" s="695" t="s">
        <v>1569</v>
      </c>
      <c r="R345" s="695">
        <f>'HIV-Key Info'!$H$81*(('HIV-Key Info'!$E$81*('HPM costs'!G205+'HPM costs'!G551))+('HIV-Key Info'!$F$81*('HPM costs'!G208+'HPM costs'!G211+'HPM costs'!G554+'HPM costs'!G557)))</f>
        <v>0</v>
      </c>
      <c r="S345" s="695" t="s">
        <v>1569</v>
      </c>
      <c r="T345" s="695">
        <f>'HIV-Key Info'!$H$81*(('HIV-Key Info'!$E$81*('HPM costs'!H205+'HPM costs'!H551))+('HIV-Key Info'!$F$81*('HPM costs'!H208+'HPM costs'!H211+'HPM costs'!H554+'HPM costs'!H557)))</f>
        <v>0</v>
      </c>
      <c r="U345" s="695" t="s">
        <v>1569</v>
      </c>
      <c r="V345" s="695">
        <f>'HIV-Key Info'!$H$81*(('HIV-Key Info'!$E$81*('HPM costs'!I205+'HPM costs'!I551))+('HIV-Key Info'!$F$81*('HPM costs'!I208+'HPM costs'!I211+'HPM costs'!I554+'HPM costs'!I557)))</f>
        <v>0</v>
      </c>
      <c r="W345" s="695"/>
      <c r="X345" s="1492">
        <f t="shared" si="36"/>
        <v>0</v>
      </c>
      <c r="Y345" s="1493"/>
      <c r="Z345" s="1494"/>
      <c r="AA345" s="699"/>
      <c r="AB345" s="695"/>
      <c r="AC345" s="695">
        <f>'HIV-Key Info'!$H$81*(('HIV-Key Info'!$E$81*('HPM costs'!K205+'HPM costs'!K551))+('HIV-Key Info'!$F$81*('HPM costs'!K208+'HPM costs'!K211+'HPM costs'!K554+'HPM costs'!K557)))</f>
        <v>0</v>
      </c>
      <c r="AD345" s="695"/>
      <c r="AE345" s="695">
        <f>'HIV-Key Info'!$H$81*(('HIV-Key Info'!$E$81*('HPM costs'!L205+'HPM costs'!L551))+('HIV-Key Info'!$F$81*('HPM costs'!L208+'HPM costs'!L211+'HPM costs'!L554+'HPM costs'!L557)))</f>
        <v>0</v>
      </c>
      <c r="AF345" s="695"/>
      <c r="AG345" s="695">
        <f>'HIV-Key Info'!$H$81*(('HIV-Key Info'!$E$81*('HPM costs'!M205+'HPM costs'!M551))+('HIV-Key Info'!$F$81*('HPM costs'!M208+'HPM costs'!M211+'HPM costs'!M554+'HPM costs'!M557)))</f>
        <v>0</v>
      </c>
      <c r="AH345" s="695"/>
      <c r="AI345" s="695">
        <f>'HIV-Key Info'!$H$81*(('HIV-Key Info'!$E$81*('HPM costs'!N205+'HPM costs'!N551))+('HIV-Key Info'!$F$81*('HPM costs'!N208+'HPM costs'!N211+'HPM costs'!N554+'HPM costs'!N557)))</f>
        <v>0</v>
      </c>
      <c r="AJ345" s="695"/>
      <c r="AK345" s="1492">
        <f t="shared" si="37"/>
        <v>0</v>
      </c>
      <c r="AL345" s="1493"/>
      <c r="AM345" s="1494"/>
      <c r="AN345" s="699"/>
      <c r="AO345" s="695"/>
      <c r="AP345" s="695">
        <f>'HIV-Key Info'!$H$81*(('HIV-Key Info'!$E$81*('HPM costs'!P205+'HPM costs'!P551))+('HIV-Key Info'!$F$81*('HPM costs'!P208+'HPM costs'!P211+'HPM costs'!P554+'HPM costs'!P557)))</f>
        <v>0</v>
      </c>
      <c r="AQ345" s="695"/>
      <c r="AR345" s="695">
        <f>'HIV-Key Info'!$H$81*(('HIV-Key Info'!$E$81*('HPM costs'!Q205+'HPM costs'!Q551))+('HIV-Key Info'!$F$81*('HPM costs'!Q208+'HPM costs'!Q211+'HPM costs'!Q554+'HPM costs'!Q557)))</f>
        <v>0</v>
      </c>
      <c r="AS345" s="695"/>
      <c r="AT345" s="695">
        <f>'HIV-Key Info'!$H$81*(('HIV-Key Info'!$E$81*('HPM costs'!R205+'HPM costs'!R551))+('HIV-Key Info'!$F$81*('HPM costs'!R208+'HPM costs'!R211+'HPM costs'!R554+'HPM costs'!R557)))</f>
        <v>0</v>
      </c>
      <c r="AU345" s="695"/>
      <c r="AV345" s="695">
        <f>'HIV-Key Info'!$H$81*(('HIV-Key Info'!$E$81*('HPM costs'!S205+'HPM costs'!S551))+('HIV-Key Info'!$F$81*('HPM costs'!S208+'HPM costs'!S211+'HPM costs'!S554+'HPM costs'!S557)))</f>
        <v>0</v>
      </c>
      <c r="AW345" s="695"/>
      <c r="AX345" s="1492">
        <f t="shared" si="38"/>
        <v>0</v>
      </c>
      <c r="AY345" s="1492"/>
      <c r="AZ345" s="698"/>
      <c r="BA345" s="699"/>
      <c r="BB345" s="697"/>
      <c r="BC345" s="697">
        <v>0</v>
      </c>
      <c r="BD345" s="697">
        <v>0</v>
      </c>
      <c r="BE345" s="697">
        <v>0</v>
      </c>
      <c r="BF345" s="697">
        <v>0</v>
      </c>
      <c r="BG345" s="697">
        <v>0</v>
      </c>
      <c r="BH345" s="697">
        <v>0</v>
      </c>
      <c r="BI345" s="697">
        <v>0</v>
      </c>
      <c r="BJ345" s="697">
        <v>0</v>
      </c>
      <c r="BK345" s="1492">
        <f t="shared" si="39"/>
        <v>0</v>
      </c>
      <c r="BL345" s="1492"/>
      <c r="BM345" s="1492">
        <f t="shared" si="40"/>
        <v>0</v>
      </c>
      <c r="BN345" s="1492">
        <f t="shared" si="41"/>
        <v>0</v>
      </c>
      <c r="BO345" s="697"/>
      <c r="BP345" s="697"/>
      <c r="BQ345" s="1495" t="s">
        <v>6934</v>
      </c>
      <c r="BR345" s="1495" t="s">
        <v>818</v>
      </c>
      <c r="BS345" s="1902" t="s">
        <v>655</v>
      </c>
      <c r="BT345" s="1907" t="s">
        <v>2064</v>
      </c>
    </row>
    <row r="346" spans="1:72" ht="13">
      <c r="A346" s="1545">
        <v>902</v>
      </c>
      <c r="B346" s="1546" t="s">
        <v>800</v>
      </c>
      <c r="C346" s="1546" t="s">
        <v>802</v>
      </c>
      <c r="D346" s="1547" t="s">
        <v>6872</v>
      </c>
      <c r="E346" s="690" t="s">
        <v>666</v>
      </c>
      <c r="F346" s="691"/>
      <c r="G346" s="692"/>
      <c r="H346" s="692"/>
      <c r="I346" s="692"/>
      <c r="J346" s="693"/>
      <c r="K346" s="693"/>
      <c r="L346" s="693"/>
      <c r="M346" s="694"/>
      <c r="N346" s="695"/>
      <c r="O346" s="696" t="s">
        <v>1569</v>
      </c>
      <c r="P346" s="695">
        <f>'HIV-Key Info'!$H$81*(('HIV-Key Info'!$E$81*'HPM costs'!F291)+('HIV-Key Info'!$F$81*('HPM costs'!F294+'HPM costs'!F297)))</f>
        <v>0</v>
      </c>
      <c r="Q346" s="695" t="s">
        <v>1569</v>
      </c>
      <c r="R346" s="695">
        <f>'HIV-Key Info'!$H$81*(('HIV-Key Info'!$E$81*'HPM costs'!G291)+('HIV-Key Info'!$F$81*('HPM costs'!G294+'HPM costs'!G297)))</f>
        <v>0</v>
      </c>
      <c r="S346" s="695" t="s">
        <v>1569</v>
      </c>
      <c r="T346" s="695">
        <f>'HIV-Key Info'!$H$81*(('HIV-Key Info'!$E$81*'HPM costs'!H291)+('HIV-Key Info'!$F$81*('HPM costs'!H294+'HPM costs'!H297)))</f>
        <v>0</v>
      </c>
      <c r="U346" s="695" t="s">
        <v>1569</v>
      </c>
      <c r="V346" s="695">
        <f>'HIV-Key Info'!$H$81*(('HIV-Key Info'!$E$81*'HPM costs'!I291)+('HIV-Key Info'!$F$81*('HPM costs'!I294+'HPM costs'!I297)))</f>
        <v>0</v>
      </c>
      <c r="W346" s="695"/>
      <c r="X346" s="1492">
        <f t="shared" si="36"/>
        <v>0</v>
      </c>
      <c r="Y346" s="1493"/>
      <c r="Z346" s="1494"/>
      <c r="AA346" s="699"/>
      <c r="AB346" s="695"/>
      <c r="AC346" s="695">
        <f>'HIV-Key Info'!$H$81*(('HIV-Key Info'!$E$81*'HPM costs'!K291)+('HIV-Key Info'!$F$81*('HPM costs'!K294+'HPM costs'!K297)))</f>
        <v>0</v>
      </c>
      <c r="AD346" s="695"/>
      <c r="AE346" s="695">
        <f>'HIV-Key Info'!$H$81*(('HIV-Key Info'!$E$81*'HPM costs'!L291)+('HIV-Key Info'!$F$81*('HPM costs'!L294+'HPM costs'!L297)))</f>
        <v>0</v>
      </c>
      <c r="AF346" s="695"/>
      <c r="AG346" s="695">
        <f>'HIV-Key Info'!$H$81*(('HIV-Key Info'!$E$81*'HPM costs'!M291)+('HIV-Key Info'!$F$81*('HPM costs'!M294+'HPM costs'!M297)))</f>
        <v>0</v>
      </c>
      <c r="AH346" s="695"/>
      <c r="AI346" s="695">
        <f>'HIV-Key Info'!$H$81*(('HIV-Key Info'!$E$81*'HPM costs'!N291)+('HIV-Key Info'!$F$81*('HPM costs'!N294+'HPM costs'!N297)))</f>
        <v>0</v>
      </c>
      <c r="AJ346" s="695"/>
      <c r="AK346" s="1492">
        <f t="shared" si="37"/>
        <v>0</v>
      </c>
      <c r="AL346" s="1493"/>
      <c r="AM346" s="1494"/>
      <c r="AN346" s="699"/>
      <c r="AO346" s="695"/>
      <c r="AP346" s="695">
        <f>'HIV-Key Info'!$H$81*(('HIV-Key Info'!$E$81*'HPM costs'!P291)+('HIV-Key Info'!$F$81*('HPM costs'!P294+'HPM costs'!P297)))</f>
        <v>0</v>
      </c>
      <c r="AQ346" s="695"/>
      <c r="AR346" s="695">
        <f>'HIV-Key Info'!$H$81*(('HIV-Key Info'!$E$81*'HPM costs'!Q291)+('HIV-Key Info'!$F$81*('HPM costs'!Q294+'HPM costs'!Q297)))</f>
        <v>0</v>
      </c>
      <c r="AS346" s="695"/>
      <c r="AT346" s="695">
        <f>'HIV-Key Info'!$H$81*(('HIV-Key Info'!$E$81*'HPM costs'!R291)+('HIV-Key Info'!$F$81*('HPM costs'!R294+'HPM costs'!R297)))</f>
        <v>0</v>
      </c>
      <c r="AU346" s="695"/>
      <c r="AV346" s="695">
        <f>'HIV-Key Info'!$H$81*(('HIV-Key Info'!$E$81*'HPM costs'!S291)+('HIV-Key Info'!$F$81*('HPM costs'!S294+'HPM costs'!S297)))</f>
        <v>0</v>
      </c>
      <c r="AW346" s="695"/>
      <c r="AX346" s="1492">
        <f t="shared" si="38"/>
        <v>0</v>
      </c>
      <c r="AY346" s="1492"/>
      <c r="AZ346" s="698"/>
      <c r="BA346" s="699"/>
      <c r="BB346" s="697"/>
      <c r="BC346" s="697">
        <v>0</v>
      </c>
      <c r="BD346" s="697">
        <v>0</v>
      </c>
      <c r="BE346" s="697">
        <v>0</v>
      </c>
      <c r="BF346" s="697">
        <v>0</v>
      </c>
      <c r="BG346" s="697">
        <v>0</v>
      </c>
      <c r="BH346" s="697">
        <v>0</v>
      </c>
      <c r="BI346" s="697">
        <v>0</v>
      </c>
      <c r="BJ346" s="697">
        <v>0</v>
      </c>
      <c r="BK346" s="1492">
        <f t="shared" si="39"/>
        <v>0</v>
      </c>
      <c r="BL346" s="1492"/>
      <c r="BM346" s="1492">
        <f t="shared" si="40"/>
        <v>0</v>
      </c>
      <c r="BN346" s="1492">
        <f t="shared" si="41"/>
        <v>0</v>
      </c>
      <c r="BO346" s="697"/>
      <c r="BP346" s="697"/>
      <c r="BQ346" s="1495" t="s">
        <v>6934</v>
      </c>
      <c r="BR346" s="1495" t="s">
        <v>818</v>
      </c>
      <c r="BS346" s="1902" t="s">
        <v>655</v>
      </c>
      <c r="BT346" s="1907" t="s">
        <v>2065</v>
      </c>
    </row>
    <row r="347" spans="1:72" ht="13">
      <c r="A347" s="1545">
        <v>903</v>
      </c>
      <c r="B347" s="1546" t="s">
        <v>800</v>
      </c>
      <c r="C347" s="1546" t="s">
        <v>802</v>
      </c>
      <c r="D347" s="1547" t="s">
        <v>6872</v>
      </c>
      <c r="E347" s="690" t="s">
        <v>668</v>
      </c>
      <c r="F347" s="691"/>
      <c r="G347" s="692"/>
      <c r="H347" s="692"/>
      <c r="I347" s="692"/>
      <c r="J347" s="693"/>
      <c r="K347" s="693"/>
      <c r="L347" s="693"/>
      <c r="M347" s="694"/>
      <c r="N347" s="695"/>
      <c r="O347" s="696" t="s">
        <v>1569</v>
      </c>
      <c r="P347" s="695">
        <f>'HIV-Key Info'!$H$81*(('HIV-Key Info'!$E$81*'HPM costs'!F636)+('HIV-Key Info'!$F$81*('HPM costs'!F639+'HPM costs'!F642)))</f>
        <v>0</v>
      </c>
      <c r="Q347" s="695" t="s">
        <v>1569</v>
      </c>
      <c r="R347" s="695">
        <f>'HIV-Key Info'!$H$81*(('HIV-Key Info'!$E$81*'HPM costs'!G636)+('HIV-Key Info'!$F$81*('HPM costs'!G639+'HPM costs'!G642)))</f>
        <v>0</v>
      </c>
      <c r="S347" s="695" t="s">
        <v>1569</v>
      </c>
      <c r="T347" s="695">
        <f>'HIV-Key Info'!$H$81*(('HIV-Key Info'!$E$81*'HPM costs'!H636)+('HIV-Key Info'!$F$81*('HPM costs'!H639+'HPM costs'!H642)))</f>
        <v>0</v>
      </c>
      <c r="U347" s="695" t="s">
        <v>1569</v>
      </c>
      <c r="V347" s="695">
        <f>'HIV-Key Info'!$H$81*(('HIV-Key Info'!$E$81*'HPM costs'!I636)+('HIV-Key Info'!$F$81*('HPM costs'!I639+'HPM costs'!I642)))</f>
        <v>0</v>
      </c>
      <c r="W347" s="695"/>
      <c r="X347" s="1492">
        <f t="shared" si="36"/>
        <v>0</v>
      </c>
      <c r="Y347" s="1493"/>
      <c r="Z347" s="1494"/>
      <c r="AA347" s="699"/>
      <c r="AB347" s="695"/>
      <c r="AC347" s="695">
        <f>'HIV-Key Info'!$H$81*(('HIV-Key Info'!$E$81*'HPM costs'!K636)+('HIV-Key Info'!$F$81*('HPM costs'!K639+'HPM costs'!K642)))</f>
        <v>0</v>
      </c>
      <c r="AD347" s="695"/>
      <c r="AE347" s="695">
        <f>'HIV-Key Info'!$H$81*(('HIV-Key Info'!$E$81*'HPM costs'!L636)+('HIV-Key Info'!$F$81*('HPM costs'!L639+'HPM costs'!L642)))</f>
        <v>0</v>
      </c>
      <c r="AF347" s="695"/>
      <c r="AG347" s="695">
        <f>'HIV-Key Info'!$H$81*(('HIV-Key Info'!$E$81*'HPM costs'!M636)+('HIV-Key Info'!$F$81*('HPM costs'!M639+'HPM costs'!M642)))</f>
        <v>0</v>
      </c>
      <c r="AH347" s="695"/>
      <c r="AI347" s="695">
        <f>'HIV-Key Info'!$H$81*(('HIV-Key Info'!$E$81*'HPM costs'!N636)+('HIV-Key Info'!$F$81*('HPM costs'!N639+'HPM costs'!N642)))</f>
        <v>0</v>
      </c>
      <c r="AJ347" s="695"/>
      <c r="AK347" s="1492">
        <f t="shared" si="37"/>
        <v>0</v>
      </c>
      <c r="AL347" s="1493"/>
      <c r="AM347" s="1494"/>
      <c r="AN347" s="699"/>
      <c r="AO347" s="695"/>
      <c r="AP347" s="695">
        <f>'HIV-Key Info'!$H$81*(('HIV-Key Info'!$E$81*'HPM costs'!P636)+('HIV-Key Info'!$F$81*('HPM costs'!P639+'HPM costs'!P642)))</f>
        <v>0</v>
      </c>
      <c r="AQ347" s="695"/>
      <c r="AR347" s="695">
        <f>'HIV-Key Info'!$H$81*(('HIV-Key Info'!$E$81*'HPM costs'!Q636)+('HIV-Key Info'!$F$81*('HPM costs'!Q639+'HPM costs'!Q642)))</f>
        <v>0</v>
      </c>
      <c r="AS347" s="695"/>
      <c r="AT347" s="695">
        <f>'HIV-Key Info'!$H$81*(('HIV-Key Info'!$E$81*'HPM costs'!R636)+('HIV-Key Info'!$F$81*('HPM costs'!R639+'HPM costs'!R642)))</f>
        <v>0</v>
      </c>
      <c r="AU347" s="695"/>
      <c r="AV347" s="695">
        <f>'HIV-Key Info'!$H$81*(('HIV-Key Info'!$E$81*'HPM costs'!S636)+('HIV-Key Info'!$F$81*('HPM costs'!S639+'HPM costs'!S642)))</f>
        <v>0</v>
      </c>
      <c r="AW347" s="695"/>
      <c r="AX347" s="1492">
        <f t="shared" si="38"/>
        <v>0</v>
      </c>
      <c r="AY347" s="1492"/>
      <c r="AZ347" s="698"/>
      <c r="BA347" s="699"/>
      <c r="BB347" s="697"/>
      <c r="BC347" s="697">
        <v>0</v>
      </c>
      <c r="BD347" s="697">
        <v>0</v>
      </c>
      <c r="BE347" s="697">
        <v>0</v>
      </c>
      <c r="BF347" s="697">
        <v>0</v>
      </c>
      <c r="BG347" s="697">
        <v>0</v>
      </c>
      <c r="BH347" s="697">
        <v>0</v>
      </c>
      <c r="BI347" s="697">
        <v>0</v>
      </c>
      <c r="BJ347" s="697">
        <v>0</v>
      </c>
      <c r="BK347" s="1492">
        <f t="shared" si="39"/>
        <v>0</v>
      </c>
      <c r="BL347" s="1492"/>
      <c r="BM347" s="1492">
        <f t="shared" si="40"/>
        <v>0</v>
      </c>
      <c r="BN347" s="1492">
        <f t="shared" si="41"/>
        <v>0</v>
      </c>
      <c r="BO347" s="697"/>
      <c r="BP347" s="697"/>
      <c r="BQ347" s="1495" t="s">
        <v>6934</v>
      </c>
      <c r="BR347" s="1495" t="s">
        <v>818</v>
      </c>
      <c r="BS347" s="1902" t="s">
        <v>655</v>
      </c>
      <c r="BT347" s="1907" t="s">
        <v>2066</v>
      </c>
    </row>
    <row r="348" spans="1:72" ht="13">
      <c r="A348" s="1545">
        <v>904</v>
      </c>
      <c r="B348" s="1546" t="s">
        <v>800</v>
      </c>
      <c r="C348" s="1546" t="s">
        <v>803</v>
      </c>
      <c r="D348" s="1547" t="s">
        <v>6956</v>
      </c>
      <c r="E348" s="690" t="s">
        <v>731</v>
      </c>
      <c r="F348" s="691"/>
      <c r="G348" s="692"/>
      <c r="H348" s="692"/>
      <c r="I348" s="692"/>
      <c r="J348" s="693"/>
      <c r="K348" s="693"/>
      <c r="L348" s="693"/>
      <c r="M348" s="694"/>
      <c r="N348" s="695"/>
      <c r="O348" s="696" t="s">
        <v>1569</v>
      </c>
      <c r="P348" s="695">
        <f>'HIV-Key Info'!$I$81*('HIV-Key Info'!$E$81*('HPM costs'!F551/'HPM costs'!$E$551)+'HIV-Key Info'!$F$81*('HPM costs'!F557/'HPM costs'!$E$557+'HPM costs'!F554/'HPM costs'!$E$554))</f>
        <v>0</v>
      </c>
      <c r="Q348" s="695" t="s">
        <v>1569</v>
      </c>
      <c r="R348" s="695">
        <f>'HIV-Key Info'!$I$81*('HIV-Key Info'!$E$81*('HPM costs'!G551/'HPM costs'!$E$551)+'HIV-Key Info'!$F$81*('HPM costs'!G557/'HPM costs'!$E$557+'HPM costs'!G554/'HPM costs'!$E$554))</f>
        <v>0</v>
      </c>
      <c r="S348" s="695" t="s">
        <v>1569</v>
      </c>
      <c r="T348" s="695">
        <f>'HIV-Key Info'!$I$81*('HIV-Key Info'!$E$81*('HPM costs'!H551/'HPM costs'!$E$551)+'HIV-Key Info'!$F$81*('HPM costs'!H557/'HPM costs'!$E$557+'HPM costs'!H554/'HPM costs'!$E$554))</f>
        <v>0</v>
      </c>
      <c r="U348" s="695" t="s">
        <v>1569</v>
      </c>
      <c r="V348" s="695">
        <f>'HIV-Key Info'!$I$81*('HIV-Key Info'!$E$81*('HPM costs'!I551/'HPM costs'!$E$551)+'HIV-Key Info'!$F$81*('HPM costs'!I557/'HPM costs'!$E$557+'HPM costs'!I554/'HPM costs'!$E$554))</f>
        <v>0</v>
      </c>
      <c r="W348" s="695"/>
      <c r="X348" s="1492">
        <f t="shared" si="36"/>
        <v>0</v>
      </c>
      <c r="Y348" s="1493"/>
      <c r="Z348" s="1494"/>
      <c r="AA348" s="699"/>
      <c r="AB348" s="695"/>
      <c r="AC348" s="695">
        <f>'HIV-Key Info'!$I$81*('HIV-Key Info'!$E$81*('HPM costs'!K551/'HPM costs'!$E$551)+'HIV-Key Info'!$F$81*('HPM costs'!K557/'HPM costs'!$E$557+'HPM costs'!K554/'HPM costs'!$E$554))</f>
        <v>0</v>
      </c>
      <c r="AD348" s="695"/>
      <c r="AE348" s="695">
        <f>'HIV-Key Info'!$I$81*('HIV-Key Info'!$E$81*('HPM costs'!L551/'HPM costs'!$E$551)+'HIV-Key Info'!$F$81*('HPM costs'!L557/'HPM costs'!$E$557+'HPM costs'!L554/'HPM costs'!$E$554))</f>
        <v>0</v>
      </c>
      <c r="AF348" s="695"/>
      <c r="AG348" s="695">
        <f>'HIV-Key Info'!$I$81*('HIV-Key Info'!$E$81*('HPM costs'!M551/'HPM costs'!$E$551)+'HIV-Key Info'!$F$81*('HPM costs'!M557/'HPM costs'!$E$557+'HPM costs'!M554/'HPM costs'!$E$554))</f>
        <v>0</v>
      </c>
      <c r="AH348" s="695"/>
      <c r="AI348" s="695">
        <f>'HIV-Key Info'!$I$81*('HIV-Key Info'!$E$81*('HPM costs'!N551/'HPM costs'!$E$551)+'HIV-Key Info'!$F$81*('HPM costs'!N557/'HPM costs'!$E$557+'HPM costs'!N554/'HPM costs'!$E$554))</f>
        <v>0</v>
      </c>
      <c r="AJ348" s="695"/>
      <c r="AK348" s="1492">
        <f t="shared" si="37"/>
        <v>0</v>
      </c>
      <c r="AL348" s="1493"/>
      <c r="AM348" s="1494"/>
      <c r="AN348" s="699"/>
      <c r="AO348" s="695"/>
      <c r="AP348" s="695">
        <f>'HIV-Key Info'!$I$81*('HIV-Key Info'!$E$81*('HPM costs'!P551/'HPM costs'!$E$551)+'HIV-Key Info'!$F$81*('HPM costs'!P557/'HPM costs'!$E$557+'HPM costs'!P554/'HPM costs'!$E$554))</f>
        <v>0</v>
      </c>
      <c r="AQ348" s="695"/>
      <c r="AR348" s="695">
        <f>'HIV-Key Info'!$I$81*('HIV-Key Info'!$E$81*('HPM costs'!Q551/'HPM costs'!$E$551)+'HIV-Key Info'!$F$81*('HPM costs'!Q557/'HPM costs'!$E$557+'HPM costs'!Q554/'HPM costs'!$E$554))</f>
        <v>0</v>
      </c>
      <c r="AS348" s="695"/>
      <c r="AT348" s="695">
        <f>'HIV-Key Info'!$I$81*('HIV-Key Info'!$E$81*('HPM costs'!R551/'HPM costs'!$E$551)+'HIV-Key Info'!$F$81*('HPM costs'!R557/'HPM costs'!$E$557+'HPM costs'!R554/'HPM costs'!$E$554))</f>
        <v>0</v>
      </c>
      <c r="AU348" s="695"/>
      <c r="AV348" s="695">
        <f>'HIV-Key Info'!$I$81*('HIV-Key Info'!$E$81*('HPM costs'!S551/'HPM costs'!$E$551)+'HIV-Key Info'!$F$81*('HPM costs'!S557/'HPM costs'!$E$557+'HPM costs'!S554/'HPM costs'!$E$554))</f>
        <v>0</v>
      </c>
      <c r="AW348" s="695"/>
      <c r="AX348" s="1492">
        <f t="shared" si="38"/>
        <v>0</v>
      </c>
      <c r="AY348" s="1492"/>
      <c r="AZ348" s="698"/>
      <c r="BA348" s="699"/>
      <c r="BB348" s="697"/>
      <c r="BC348" s="697">
        <v>0</v>
      </c>
      <c r="BD348" s="697">
        <v>0</v>
      </c>
      <c r="BE348" s="697">
        <v>0</v>
      </c>
      <c r="BF348" s="697">
        <v>0</v>
      </c>
      <c r="BG348" s="697">
        <v>0</v>
      </c>
      <c r="BH348" s="697">
        <v>0</v>
      </c>
      <c r="BI348" s="697">
        <v>0</v>
      </c>
      <c r="BJ348" s="697">
        <v>0</v>
      </c>
      <c r="BK348" s="1492">
        <f t="shared" si="39"/>
        <v>0</v>
      </c>
      <c r="BL348" s="1492"/>
      <c r="BM348" s="1492">
        <f t="shared" si="40"/>
        <v>0</v>
      </c>
      <c r="BN348" s="1492">
        <f t="shared" si="41"/>
        <v>0</v>
      </c>
      <c r="BO348" s="697"/>
      <c r="BP348" s="697"/>
      <c r="BQ348" s="1495" t="s">
        <v>6934</v>
      </c>
      <c r="BR348" s="1495" t="s">
        <v>818</v>
      </c>
      <c r="BS348" s="1902" t="s">
        <v>6953</v>
      </c>
      <c r="BT348" s="1907" t="s">
        <v>2067</v>
      </c>
    </row>
    <row r="349" spans="1:72" ht="13">
      <c r="A349" s="1545">
        <v>905</v>
      </c>
      <c r="B349" s="1546" t="s">
        <v>800</v>
      </c>
      <c r="C349" s="1546" t="s">
        <v>803</v>
      </c>
      <c r="D349" s="1547" t="s">
        <v>6872</v>
      </c>
      <c r="E349" s="690" t="s">
        <v>656</v>
      </c>
      <c r="F349" s="691"/>
      <c r="G349" s="692"/>
      <c r="H349" s="692"/>
      <c r="I349" s="692"/>
      <c r="J349" s="693"/>
      <c r="K349" s="693"/>
      <c r="L349" s="693"/>
      <c r="M349" s="694"/>
      <c r="N349" s="695"/>
      <c r="O349" s="696" t="s">
        <v>1569</v>
      </c>
      <c r="P349" s="695">
        <f>'HIV-Key Info'!$I$81*(('HIV-Key Info'!$E$81*'HPM costs'!F33)+('HIV-Key Info'!$F$81*('HPM costs'!F36+'HPM costs'!F39)))</f>
        <v>0</v>
      </c>
      <c r="Q349" s="695" t="s">
        <v>1569</v>
      </c>
      <c r="R349" s="695">
        <f>'HIV-Key Info'!$I$81*(('HIV-Key Info'!$E$81*'HPM costs'!G33)+('HIV-Key Info'!$F$81*('HPM costs'!G36+'HPM costs'!G39)))</f>
        <v>0</v>
      </c>
      <c r="S349" s="695" t="s">
        <v>1569</v>
      </c>
      <c r="T349" s="695">
        <f>'HIV-Key Info'!$I$81*(('HIV-Key Info'!$E$81*'HPM costs'!H33)+('HIV-Key Info'!$F$81*('HPM costs'!H36+'HPM costs'!H39)))</f>
        <v>0</v>
      </c>
      <c r="U349" s="695" t="s">
        <v>1569</v>
      </c>
      <c r="V349" s="695">
        <f>'HIV-Key Info'!$I$81*(('HIV-Key Info'!$E$81*'HPM costs'!I33)+('HIV-Key Info'!$F$81*('HPM costs'!I36+'HPM costs'!I39)))</f>
        <v>0</v>
      </c>
      <c r="W349" s="695"/>
      <c r="X349" s="1492">
        <f t="shared" si="36"/>
        <v>0</v>
      </c>
      <c r="Y349" s="1493"/>
      <c r="Z349" s="1494"/>
      <c r="AA349" s="699"/>
      <c r="AB349" s="695"/>
      <c r="AC349" s="695">
        <f>'HIV-Key Info'!$I$81*(('HIV-Key Info'!$E$81*'HPM costs'!K33)+('HIV-Key Info'!$F$81*('HPM costs'!K36+'HPM costs'!K39)))</f>
        <v>0</v>
      </c>
      <c r="AD349" s="695"/>
      <c r="AE349" s="695">
        <f>'HIV-Key Info'!$I$81*(('HIV-Key Info'!$E$81*'HPM costs'!L33)+('HIV-Key Info'!$F$81*('HPM costs'!L36+'HPM costs'!L39)))</f>
        <v>0</v>
      </c>
      <c r="AF349" s="695"/>
      <c r="AG349" s="695">
        <f>'HIV-Key Info'!$I$81*(('HIV-Key Info'!$E$81*'HPM costs'!M33)+('HIV-Key Info'!$F$81*('HPM costs'!M36+'HPM costs'!M39)))</f>
        <v>0</v>
      </c>
      <c r="AH349" s="695"/>
      <c r="AI349" s="695">
        <f>'HIV-Key Info'!$I$81*(('HIV-Key Info'!$E$81*'HPM costs'!N33)+('HIV-Key Info'!$F$81*('HPM costs'!N36+'HPM costs'!N39)))</f>
        <v>0</v>
      </c>
      <c r="AJ349" s="695"/>
      <c r="AK349" s="1492">
        <f t="shared" si="37"/>
        <v>0</v>
      </c>
      <c r="AL349" s="1493"/>
      <c r="AM349" s="1494"/>
      <c r="AN349" s="699"/>
      <c r="AO349" s="695"/>
      <c r="AP349" s="695">
        <f>'HIV-Key Info'!$I$81*(('HIV-Key Info'!$E$81*'HPM costs'!P33)+('HIV-Key Info'!$F$81*('HPM costs'!P36+'HPM costs'!P39)))</f>
        <v>0</v>
      </c>
      <c r="AQ349" s="695"/>
      <c r="AR349" s="695">
        <f>'HIV-Key Info'!$I$81*(('HIV-Key Info'!$E$81*'HPM costs'!Q33)+('HIV-Key Info'!$F$81*('HPM costs'!Q36+'HPM costs'!Q39)))</f>
        <v>0</v>
      </c>
      <c r="AS349" s="695"/>
      <c r="AT349" s="695">
        <f>'HIV-Key Info'!$I$81*(('HIV-Key Info'!$E$81*'HPM costs'!R33)+('HIV-Key Info'!$F$81*('HPM costs'!R36+'HPM costs'!R39)))</f>
        <v>0</v>
      </c>
      <c r="AU349" s="695"/>
      <c r="AV349" s="695">
        <f>'HIV-Key Info'!$I$81*(('HIV-Key Info'!$E$81*'HPM costs'!S33)+('HIV-Key Info'!$F$81*('HPM costs'!S36+'HPM costs'!S39)))</f>
        <v>0</v>
      </c>
      <c r="AW349" s="695"/>
      <c r="AX349" s="1492">
        <f t="shared" si="38"/>
        <v>0</v>
      </c>
      <c r="AY349" s="1492"/>
      <c r="AZ349" s="698"/>
      <c r="BA349" s="699"/>
      <c r="BB349" s="697"/>
      <c r="BC349" s="697">
        <v>0</v>
      </c>
      <c r="BD349" s="697">
        <v>0</v>
      </c>
      <c r="BE349" s="697">
        <v>0</v>
      </c>
      <c r="BF349" s="697">
        <v>0</v>
      </c>
      <c r="BG349" s="697">
        <v>0</v>
      </c>
      <c r="BH349" s="697">
        <v>0</v>
      </c>
      <c r="BI349" s="697">
        <v>0</v>
      </c>
      <c r="BJ349" s="697">
        <v>0</v>
      </c>
      <c r="BK349" s="1492">
        <f t="shared" si="39"/>
        <v>0</v>
      </c>
      <c r="BL349" s="1492"/>
      <c r="BM349" s="1492">
        <f t="shared" si="40"/>
        <v>0</v>
      </c>
      <c r="BN349" s="1492">
        <f t="shared" si="41"/>
        <v>0</v>
      </c>
      <c r="BO349" s="697"/>
      <c r="BP349" s="697"/>
      <c r="BQ349" s="1495" t="s">
        <v>6934</v>
      </c>
      <c r="BR349" s="1495" t="s">
        <v>818</v>
      </c>
      <c r="BS349" s="1902" t="s">
        <v>655</v>
      </c>
      <c r="BT349" s="1907" t="s">
        <v>2068</v>
      </c>
    </row>
    <row r="350" spans="1:72" ht="13">
      <c r="A350" s="1545">
        <v>906</v>
      </c>
      <c r="B350" s="1546" t="s">
        <v>800</v>
      </c>
      <c r="C350" s="1546" t="s">
        <v>803</v>
      </c>
      <c r="D350" s="1547" t="s">
        <v>6872</v>
      </c>
      <c r="E350" s="690" t="s">
        <v>658</v>
      </c>
      <c r="F350" s="691"/>
      <c r="G350" s="692"/>
      <c r="H350" s="692"/>
      <c r="I350" s="692"/>
      <c r="J350" s="693"/>
      <c r="K350" s="693"/>
      <c r="L350" s="693"/>
      <c r="M350" s="694"/>
      <c r="N350" s="695"/>
      <c r="O350" s="696" t="s">
        <v>1569</v>
      </c>
      <c r="P350" s="695">
        <f>'HIV-Key Info'!$I$81*(('HIV-Key Info'!$E$81*'HPM costs'!F119)+('HIV-Key Info'!$F$81*('HPM costs'!F122+'HPM costs'!F125)))</f>
        <v>0</v>
      </c>
      <c r="Q350" s="695" t="s">
        <v>1569</v>
      </c>
      <c r="R350" s="695">
        <f>'HIV-Key Info'!$I$81*(('HIV-Key Info'!$E$81*'HPM costs'!G119)+('HIV-Key Info'!$F$81*('HPM costs'!G122+'HPM costs'!G125)))</f>
        <v>0</v>
      </c>
      <c r="S350" s="695" t="s">
        <v>1569</v>
      </c>
      <c r="T350" s="695">
        <f>'HIV-Key Info'!$I$81*(('HIV-Key Info'!$E$81*'HPM costs'!H119)+('HIV-Key Info'!$F$81*('HPM costs'!H122+'HPM costs'!H125)))</f>
        <v>0</v>
      </c>
      <c r="U350" s="695" t="s">
        <v>1569</v>
      </c>
      <c r="V350" s="695">
        <f>'HIV-Key Info'!$I$81*(('HIV-Key Info'!$E$81*'HPM costs'!I119)+('HIV-Key Info'!$F$81*('HPM costs'!I122+'HPM costs'!I125)))</f>
        <v>0</v>
      </c>
      <c r="W350" s="695"/>
      <c r="X350" s="1492">
        <f t="shared" si="36"/>
        <v>0</v>
      </c>
      <c r="Y350" s="1493"/>
      <c r="Z350" s="1494"/>
      <c r="AA350" s="699"/>
      <c r="AB350" s="695"/>
      <c r="AC350" s="695">
        <f>'HIV-Key Info'!$I$81*(('HIV-Key Info'!$E$81*'HPM costs'!K119)+('HIV-Key Info'!$F$81*('HPM costs'!K122+'HPM costs'!K125)))</f>
        <v>0</v>
      </c>
      <c r="AD350" s="695"/>
      <c r="AE350" s="695">
        <f>'HIV-Key Info'!$I$81*(('HIV-Key Info'!$E$81*'HPM costs'!L119)+('HIV-Key Info'!$F$81*('HPM costs'!L122+'HPM costs'!L125)))</f>
        <v>0</v>
      </c>
      <c r="AF350" s="695"/>
      <c r="AG350" s="695">
        <f>'HIV-Key Info'!$I$81*(('HIV-Key Info'!$E$81*'HPM costs'!M119)+('HIV-Key Info'!$F$81*('HPM costs'!M122+'HPM costs'!M125)))</f>
        <v>0</v>
      </c>
      <c r="AH350" s="695"/>
      <c r="AI350" s="695">
        <f>'HIV-Key Info'!$I$81*(('HIV-Key Info'!$E$81*'HPM costs'!N119)+('HIV-Key Info'!$F$81*('HPM costs'!N122+'HPM costs'!N125)))</f>
        <v>0</v>
      </c>
      <c r="AJ350" s="695"/>
      <c r="AK350" s="1492">
        <f t="shared" si="37"/>
        <v>0</v>
      </c>
      <c r="AL350" s="1493"/>
      <c r="AM350" s="1494"/>
      <c r="AN350" s="699"/>
      <c r="AO350" s="695"/>
      <c r="AP350" s="695">
        <f>'HIV-Key Info'!$I$81*(('HIV-Key Info'!$E$81*'HPM costs'!P119)+('HIV-Key Info'!$F$81*('HPM costs'!P122+'HPM costs'!P125)))</f>
        <v>0</v>
      </c>
      <c r="AQ350" s="695"/>
      <c r="AR350" s="695">
        <f>'HIV-Key Info'!$I$81*(('HIV-Key Info'!$E$81*'HPM costs'!Q119)+('HIV-Key Info'!$F$81*('HPM costs'!Q122+'HPM costs'!Q125)))</f>
        <v>0</v>
      </c>
      <c r="AS350" s="695"/>
      <c r="AT350" s="695">
        <f>'HIV-Key Info'!$I$81*(('HIV-Key Info'!$E$81*'HPM costs'!R119)+('HIV-Key Info'!$F$81*('HPM costs'!R122+'HPM costs'!R125)))</f>
        <v>0</v>
      </c>
      <c r="AU350" s="695"/>
      <c r="AV350" s="695">
        <f>'HIV-Key Info'!$I$81*(('HIV-Key Info'!$E$81*'HPM costs'!S119)+('HIV-Key Info'!$F$81*('HPM costs'!S122+'HPM costs'!S125)))</f>
        <v>0</v>
      </c>
      <c r="AW350" s="695"/>
      <c r="AX350" s="1492">
        <f t="shared" si="38"/>
        <v>0</v>
      </c>
      <c r="AY350" s="1492"/>
      <c r="AZ350" s="698"/>
      <c r="BA350" s="699"/>
      <c r="BB350" s="697"/>
      <c r="BC350" s="697">
        <v>0</v>
      </c>
      <c r="BD350" s="697">
        <v>0</v>
      </c>
      <c r="BE350" s="697">
        <v>0</v>
      </c>
      <c r="BF350" s="697">
        <v>0</v>
      </c>
      <c r="BG350" s="697">
        <v>0</v>
      </c>
      <c r="BH350" s="697">
        <v>0</v>
      </c>
      <c r="BI350" s="697">
        <v>0</v>
      </c>
      <c r="BJ350" s="697">
        <v>0</v>
      </c>
      <c r="BK350" s="1492">
        <f t="shared" si="39"/>
        <v>0</v>
      </c>
      <c r="BL350" s="1492"/>
      <c r="BM350" s="1492">
        <f t="shared" si="40"/>
        <v>0</v>
      </c>
      <c r="BN350" s="1492">
        <f t="shared" si="41"/>
        <v>0</v>
      </c>
      <c r="BO350" s="697"/>
      <c r="BP350" s="697"/>
      <c r="BQ350" s="1495" t="s">
        <v>6934</v>
      </c>
      <c r="BR350" s="1495" t="s">
        <v>818</v>
      </c>
      <c r="BS350" s="1902" t="s">
        <v>655</v>
      </c>
      <c r="BT350" s="1907" t="s">
        <v>2069</v>
      </c>
    </row>
    <row r="351" spans="1:72" ht="13">
      <c r="A351" s="1545">
        <v>907</v>
      </c>
      <c r="B351" s="1546" t="s">
        <v>800</v>
      </c>
      <c r="C351" s="1546" t="s">
        <v>803</v>
      </c>
      <c r="D351" s="1547" t="s">
        <v>6872</v>
      </c>
      <c r="E351" s="690" t="s">
        <v>660</v>
      </c>
      <c r="F351" s="691"/>
      <c r="G351" s="692"/>
      <c r="H351" s="692"/>
      <c r="I351" s="692"/>
      <c r="J351" s="693"/>
      <c r="K351" s="693"/>
      <c r="L351" s="693"/>
      <c r="M351" s="694"/>
      <c r="N351" s="695"/>
      <c r="O351" s="696" t="s">
        <v>1569</v>
      </c>
      <c r="P351" s="695">
        <f>'HIV-Key Info'!$I$81*(('HIV-Key Info'!$E$81*'HPM costs'!F379)+('HIV-Key Info'!$F$81*('HPM costs'!F382+'HPM costs'!F385)))</f>
        <v>0</v>
      </c>
      <c r="Q351" s="695" t="s">
        <v>1569</v>
      </c>
      <c r="R351" s="695">
        <f>'HIV-Key Info'!$I$81*(('HIV-Key Info'!$E$81*'HPM costs'!G379)+('HIV-Key Info'!$F$81*('HPM costs'!G382+'HPM costs'!G385)))</f>
        <v>0</v>
      </c>
      <c r="S351" s="695" t="s">
        <v>1569</v>
      </c>
      <c r="T351" s="695">
        <f>'HIV-Key Info'!$I$81*(('HIV-Key Info'!$E$81*'HPM costs'!H379)+('HIV-Key Info'!$F$81*('HPM costs'!H382+'HPM costs'!H385)))</f>
        <v>0</v>
      </c>
      <c r="U351" s="695" t="s">
        <v>1569</v>
      </c>
      <c r="V351" s="695">
        <f>'HIV-Key Info'!$I$81*(('HIV-Key Info'!$E$81*'HPM costs'!I379)+('HIV-Key Info'!$F$81*('HPM costs'!I382+'HPM costs'!I385)))</f>
        <v>0</v>
      </c>
      <c r="W351" s="695"/>
      <c r="X351" s="1492">
        <f t="shared" si="36"/>
        <v>0</v>
      </c>
      <c r="Y351" s="1493"/>
      <c r="Z351" s="1494"/>
      <c r="AA351" s="699"/>
      <c r="AB351" s="695"/>
      <c r="AC351" s="695">
        <f>'HIV-Key Info'!$I$81*(('HIV-Key Info'!$E$81*'HPM costs'!K379)+('HIV-Key Info'!$F$81*('HPM costs'!K382+'HPM costs'!K385)))</f>
        <v>0</v>
      </c>
      <c r="AD351" s="695"/>
      <c r="AE351" s="695">
        <f>'HIV-Key Info'!$I$81*(('HIV-Key Info'!$E$81*'HPM costs'!L379)+('HIV-Key Info'!$F$81*('HPM costs'!L382+'HPM costs'!L385)))</f>
        <v>0</v>
      </c>
      <c r="AF351" s="695"/>
      <c r="AG351" s="695">
        <f>'HIV-Key Info'!$I$81*(('HIV-Key Info'!$E$81*'HPM costs'!M379)+('HIV-Key Info'!$F$81*('HPM costs'!M382+'HPM costs'!M385)))</f>
        <v>0</v>
      </c>
      <c r="AH351" s="695"/>
      <c r="AI351" s="695">
        <f>'HIV-Key Info'!$I$81*(('HIV-Key Info'!$E$81*'HPM costs'!N379)+('HIV-Key Info'!$F$81*('HPM costs'!N382+'HPM costs'!N385)))</f>
        <v>0</v>
      </c>
      <c r="AJ351" s="695"/>
      <c r="AK351" s="1492">
        <f t="shared" si="37"/>
        <v>0</v>
      </c>
      <c r="AL351" s="1493"/>
      <c r="AM351" s="1494"/>
      <c r="AN351" s="699"/>
      <c r="AO351" s="695"/>
      <c r="AP351" s="695">
        <f>'HIV-Key Info'!$I$81*(('HIV-Key Info'!$E$81*'HPM costs'!P379)+('HIV-Key Info'!$F$81*('HPM costs'!P382+'HPM costs'!P385)))</f>
        <v>0</v>
      </c>
      <c r="AQ351" s="695"/>
      <c r="AR351" s="695">
        <f>'HIV-Key Info'!$I$81*(('HIV-Key Info'!$E$81*'HPM costs'!Q379)+('HIV-Key Info'!$F$81*('HPM costs'!Q382+'HPM costs'!Q385)))</f>
        <v>0</v>
      </c>
      <c r="AS351" s="695"/>
      <c r="AT351" s="695">
        <f>'HIV-Key Info'!$I$81*(('HIV-Key Info'!$E$81*'HPM costs'!R379)+('HIV-Key Info'!$F$81*('HPM costs'!R382+'HPM costs'!R385)))</f>
        <v>0</v>
      </c>
      <c r="AU351" s="695"/>
      <c r="AV351" s="695">
        <f>'HIV-Key Info'!$I$81*(('HIV-Key Info'!$E$81*'HPM costs'!S379)+('HIV-Key Info'!$F$81*('HPM costs'!S382+'HPM costs'!S385)))</f>
        <v>0</v>
      </c>
      <c r="AW351" s="695"/>
      <c r="AX351" s="1492">
        <f t="shared" si="38"/>
        <v>0</v>
      </c>
      <c r="AY351" s="1492"/>
      <c r="AZ351" s="698"/>
      <c r="BA351" s="699"/>
      <c r="BB351" s="697"/>
      <c r="BC351" s="697">
        <v>0</v>
      </c>
      <c r="BD351" s="697">
        <v>0</v>
      </c>
      <c r="BE351" s="697">
        <v>0</v>
      </c>
      <c r="BF351" s="697">
        <v>0</v>
      </c>
      <c r="BG351" s="697">
        <v>0</v>
      </c>
      <c r="BH351" s="697">
        <v>0</v>
      </c>
      <c r="BI351" s="697">
        <v>0</v>
      </c>
      <c r="BJ351" s="697">
        <v>0</v>
      </c>
      <c r="BK351" s="1492">
        <f t="shared" si="39"/>
        <v>0</v>
      </c>
      <c r="BL351" s="1492"/>
      <c r="BM351" s="1492">
        <f t="shared" si="40"/>
        <v>0</v>
      </c>
      <c r="BN351" s="1492">
        <f t="shared" si="41"/>
        <v>0</v>
      </c>
      <c r="BO351" s="697"/>
      <c r="BP351" s="697"/>
      <c r="BQ351" s="1495" t="s">
        <v>6934</v>
      </c>
      <c r="BR351" s="1495" t="s">
        <v>818</v>
      </c>
      <c r="BS351" s="1902" t="s">
        <v>655</v>
      </c>
      <c r="BT351" s="1907" t="s">
        <v>2070</v>
      </c>
    </row>
    <row r="352" spans="1:72" ht="13">
      <c r="A352" s="1545">
        <v>908</v>
      </c>
      <c r="B352" s="1546" t="s">
        <v>800</v>
      </c>
      <c r="C352" s="1546" t="s">
        <v>803</v>
      </c>
      <c r="D352" s="1547" t="s">
        <v>6872</v>
      </c>
      <c r="E352" s="690" t="s">
        <v>662</v>
      </c>
      <c r="F352" s="691"/>
      <c r="G352" s="692"/>
      <c r="H352" s="692"/>
      <c r="I352" s="692"/>
      <c r="J352" s="693"/>
      <c r="K352" s="693"/>
      <c r="L352" s="693"/>
      <c r="M352" s="694"/>
      <c r="N352" s="695"/>
      <c r="O352" s="696" t="s">
        <v>1569</v>
      </c>
      <c r="P352" s="695">
        <f>'HIV-Key Info'!$I$81*(('HIV-Key Info'!$E$81*'HPM costs'!F465)+('HIV-Key Info'!$F$81*('HPM costs'!F468+'HPM costs'!F471)))</f>
        <v>0</v>
      </c>
      <c r="Q352" s="695" t="s">
        <v>1569</v>
      </c>
      <c r="R352" s="695">
        <f>'HIV-Key Info'!$I$81*(('HIV-Key Info'!$E$81*'HPM costs'!G465)+('HIV-Key Info'!$F$81*('HPM costs'!G468+'HPM costs'!G471)))</f>
        <v>0</v>
      </c>
      <c r="S352" s="695" t="s">
        <v>1569</v>
      </c>
      <c r="T352" s="695">
        <f>'HIV-Key Info'!$I$81*(('HIV-Key Info'!$E$81*'HPM costs'!H465)+('HIV-Key Info'!$F$81*('HPM costs'!H468+'HPM costs'!H471)))</f>
        <v>0</v>
      </c>
      <c r="U352" s="695" t="s">
        <v>1569</v>
      </c>
      <c r="V352" s="695">
        <f>'HIV-Key Info'!$I$81*(('HIV-Key Info'!$E$81*'HPM costs'!I465)+('HIV-Key Info'!$F$81*('HPM costs'!I468+'HPM costs'!I471)))</f>
        <v>0</v>
      </c>
      <c r="W352" s="695"/>
      <c r="X352" s="1492">
        <f t="shared" si="36"/>
        <v>0</v>
      </c>
      <c r="Y352" s="1493"/>
      <c r="Z352" s="1494"/>
      <c r="AA352" s="699"/>
      <c r="AB352" s="695"/>
      <c r="AC352" s="695">
        <f>'HIV-Key Info'!$I$81*(('HIV-Key Info'!$E$81*'HPM costs'!K465)+('HIV-Key Info'!$F$81*('HPM costs'!K468+'HPM costs'!K471)))</f>
        <v>0</v>
      </c>
      <c r="AD352" s="695"/>
      <c r="AE352" s="695">
        <f>'HIV-Key Info'!$I$81*(('HIV-Key Info'!$E$81*'HPM costs'!L465)+('HIV-Key Info'!$F$81*('HPM costs'!L468+'HPM costs'!L471)))</f>
        <v>0</v>
      </c>
      <c r="AF352" s="695"/>
      <c r="AG352" s="695">
        <f>'HIV-Key Info'!$I$81*(('HIV-Key Info'!$E$81*'HPM costs'!M465)+('HIV-Key Info'!$F$81*('HPM costs'!M468+'HPM costs'!M471)))</f>
        <v>0</v>
      </c>
      <c r="AH352" s="695"/>
      <c r="AI352" s="695">
        <f>'HIV-Key Info'!$I$81*(('HIV-Key Info'!$E$81*'HPM costs'!N465)+('HIV-Key Info'!$F$81*('HPM costs'!N468+'HPM costs'!N471)))</f>
        <v>0</v>
      </c>
      <c r="AJ352" s="695"/>
      <c r="AK352" s="1492">
        <f t="shared" si="37"/>
        <v>0</v>
      </c>
      <c r="AL352" s="1493"/>
      <c r="AM352" s="1494"/>
      <c r="AN352" s="699"/>
      <c r="AO352" s="695"/>
      <c r="AP352" s="695">
        <f>'HIV-Key Info'!$I$81*(('HIV-Key Info'!$E$81*'HPM costs'!P465)+('HIV-Key Info'!$F$81*('HPM costs'!P468+'HPM costs'!P471)))</f>
        <v>0</v>
      </c>
      <c r="AQ352" s="695"/>
      <c r="AR352" s="695">
        <f>'HIV-Key Info'!$I$81*(('HIV-Key Info'!$E$81*'HPM costs'!Q465)+('HIV-Key Info'!$F$81*('HPM costs'!Q468+'HPM costs'!Q471)))</f>
        <v>0</v>
      </c>
      <c r="AS352" s="695"/>
      <c r="AT352" s="695">
        <f>'HIV-Key Info'!$I$81*(('HIV-Key Info'!$E$81*'HPM costs'!R465)+('HIV-Key Info'!$F$81*('HPM costs'!R468+'HPM costs'!R471)))</f>
        <v>0</v>
      </c>
      <c r="AU352" s="695"/>
      <c r="AV352" s="695">
        <f>'HIV-Key Info'!$I$81*(('HIV-Key Info'!$E$81*'HPM costs'!S465)+('HIV-Key Info'!$F$81*('HPM costs'!S468+'HPM costs'!S471)))</f>
        <v>0</v>
      </c>
      <c r="AW352" s="695"/>
      <c r="AX352" s="1492">
        <f t="shared" si="38"/>
        <v>0</v>
      </c>
      <c r="AY352" s="1492"/>
      <c r="AZ352" s="698"/>
      <c r="BA352" s="699"/>
      <c r="BB352" s="697"/>
      <c r="BC352" s="697">
        <v>0</v>
      </c>
      <c r="BD352" s="697">
        <v>0</v>
      </c>
      <c r="BE352" s="697">
        <v>0</v>
      </c>
      <c r="BF352" s="697">
        <v>0</v>
      </c>
      <c r="BG352" s="697">
        <v>0</v>
      </c>
      <c r="BH352" s="697">
        <v>0</v>
      </c>
      <c r="BI352" s="697">
        <v>0</v>
      </c>
      <c r="BJ352" s="697">
        <v>0</v>
      </c>
      <c r="BK352" s="1492">
        <f t="shared" si="39"/>
        <v>0</v>
      </c>
      <c r="BL352" s="1492"/>
      <c r="BM352" s="1492">
        <f t="shared" si="40"/>
        <v>0</v>
      </c>
      <c r="BN352" s="1492">
        <f t="shared" si="41"/>
        <v>0</v>
      </c>
      <c r="BO352" s="697"/>
      <c r="BP352" s="697"/>
      <c r="BQ352" s="1495" t="s">
        <v>6934</v>
      </c>
      <c r="BR352" s="1495" t="s">
        <v>818</v>
      </c>
      <c r="BS352" s="1902" t="s">
        <v>655</v>
      </c>
      <c r="BT352" s="1907" t="s">
        <v>2071</v>
      </c>
    </row>
    <row r="353" spans="1:72" ht="13">
      <c r="A353" s="1545">
        <v>909</v>
      </c>
      <c r="B353" s="1546" t="s">
        <v>800</v>
      </c>
      <c r="C353" s="1546" t="s">
        <v>803</v>
      </c>
      <c r="D353" s="1547" t="s">
        <v>6872</v>
      </c>
      <c r="E353" s="690" t="s">
        <v>664</v>
      </c>
      <c r="F353" s="691"/>
      <c r="G353" s="692"/>
      <c r="H353" s="692"/>
      <c r="I353" s="692"/>
      <c r="J353" s="693"/>
      <c r="K353" s="693"/>
      <c r="L353" s="693"/>
      <c r="M353" s="694"/>
      <c r="N353" s="695"/>
      <c r="O353" s="696" t="s">
        <v>1569</v>
      </c>
      <c r="P353" s="695">
        <f>'HIV-Key Info'!$I$81*(('HIV-Key Info'!$E$81*('HPM costs'!F205+'HPM costs'!F551))+('HIV-Key Info'!$F$81*('HPM costs'!F208+'HPM costs'!F211+'HPM costs'!F554+'HPM costs'!F557)))</f>
        <v>0</v>
      </c>
      <c r="Q353" s="695" t="s">
        <v>1569</v>
      </c>
      <c r="R353" s="695">
        <f>'HIV-Key Info'!$I$81*(('HIV-Key Info'!$E$81*('HPM costs'!G205+'HPM costs'!G551))+('HIV-Key Info'!$F$81*('HPM costs'!G208+'HPM costs'!G211+'HPM costs'!G554+'HPM costs'!G557)))</f>
        <v>0</v>
      </c>
      <c r="S353" s="695" t="s">
        <v>1569</v>
      </c>
      <c r="T353" s="695">
        <f>'HIV-Key Info'!$I$81*(('HIV-Key Info'!$E$81*('HPM costs'!H205+'HPM costs'!H551))+('HIV-Key Info'!$F$81*('HPM costs'!H208+'HPM costs'!H211+'HPM costs'!H554+'HPM costs'!H557)))</f>
        <v>0</v>
      </c>
      <c r="U353" s="695" t="s">
        <v>1569</v>
      </c>
      <c r="V353" s="695">
        <f>'HIV-Key Info'!$I$81*(('HIV-Key Info'!$E$81*('HPM costs'!I205+'HPM costs'!I551))+('HIV-Key Info'!$F$81*('HPM costs'!I208+'HPM costs'!I211+'HPM costs'!I554+'HPM costs'!I557)))</f>
        <v>0</v>
      </c>
      <c r="W353" s="695"/>
      <c r="X353" s="1492">
        <f t="shared" si="36"/>
        <v>0</v>
      </c>
      <c r="Y353" s="1493"/>
      <c r="Z353" s="1494"/>
      <c r="AA353" s="699"/>
      <c r="AB353" s="695"/>
      <c r="AC353" s="695">
        <f>'HIV-Key Info'!$I$81*(('HIV-Key Info'!$E$81*('HPM costs'!K205+'HPM costs'!K551))+('HIV-Key Info'!$F$81*('HPM costs'!K208+'HPM costs'!K211+'HPM costs'!K554+'HPM costs'!K557)))</f>
        <v>0</v>
      </c>
      <c r="AD353" s="695"/>
      <c r="AE353" s="695">
        <f>'HIV-Key Info'!$I$81*(('HIV-Key Info'!$E$81*('HPM costs'!L205+'HPM costs'!L551))+('HIV-Key Info'!$F$81*('HPM costs'!L208+'HPM costs'!L211+'HPM costs'!L554+'HPM costs'!L557)))</f>
        <v>0</v>
      </c>
      <c r="AF353" s="695"/>
      <c r="AG353" s="695">
        <f>'HIV-Key Info'!$I$81*(('HIV-Key Info'!$E$81*('HPM costs'!M205+'HPM costs'!M551))+('HIV-Key Info'!$F$81*('HPM costs'!M208+'HPM costs'!M211+'HPM costs'!M554+'HPM costs'!M557)))</f>
        <v>0</v>
      </c>
      <c r="AH353" s="695"/>
      <c r="AI353" s="695">
        <f>'HIV-Key Info'!$I$81*(('HIV-Key Info'!$E$81*('HPM costs'!N205+'HPM costs'!N551))+('HIV-Key Info'!$F$81*('HPM costs'!N208+'HPM costs'!N211+'HPM costs'!N554+'HPM costs'!N557)))</f>
        <v>0</v>
      </c>
      <c r="AJ353" s="695"/>
      <c r="AK353" s="1492">
        <f t="shared" si="37"/>
        <v>0</v>
      </c>
      <c r="AL353" s="1493"/>
      <c r="AM353" s="1494"/>
      <c r="AN353" s="699"/>
      <c r="AO353" s="695"/>
      <c r="AP353" s="695">
        <f>'HIV-Key Info'!$I$81*(('HIV-Key Info'!$E$81*('HPM costs'!P205+'HPM costs'!P551))+('HIV-Key Info'!$F$81*('HPM costs'!P208+'HPM costs'!P211+'HPM costs'!P554+'HPM costs'!P557)))</f>
        <v>0</v>
      </c>
      <c r="AQ353" s="695"/>
      <c r="AR353" s="695">
        <f>'HIV-Key Info'!$I$81*(('HIV-Key Info'!$E$81*('HPM costs'!Q205+'HPM costs'!Q551))+('HIV-Key Info'!$F$81*('HPM costs'!Q208+'HPM costs'!Q211+'HPM costs'!Q554+'HPM costs'!Q557)))</f>
        <v>0</v>
      </c>
      <c r="AS353" s="695"/>
      <c r="AT353" s="695">
        <f>'HIV-Key Info'!$I$81*(('HIV-Key Info'!$E$81*('HPM costs'!R205+'HPM costs'!R551))+('HIV-Key Info'!$F$81*('HPM costs'!R208+'HPM costs'!R211+'HPM costs'!R554+'HPM costs'!R557)))</f>
        <v>0</v>
      </c>
      <c r="AU353" s="695"/>
      <c r="AV353" s="695">
        <f>'HIV-Key Info'!$I$81*(('HIV-Key Info'!$E$81*('HPM costs'!S205+'HPM costs'!S551))+('HIV-Key Info'!$F$81*('HPM costs'!S208+'HPM costs'!S211+'HPM costs'!S554+'HPM costs'!S557)))</f>
        <v>0</v>
      </c>
      <c r="AW353" s="695"/>
      <c r="AX353" s="1492">
        <f t="shared" si="38"/>
        <v>0</v>
      </c>
      <c r="AY353" s="1492"/>
      <c r="AZ353" s="698"/>
      <c r="BA353" s="699"/>
      <c r="BB353" s="697"/>
      <c r="BC353" s="697">
        <v>0</v>
      </c>
      <c r="BD353" s="697">
        <v>0</v>
      </c>
      <c r="BE353" s="697">
        <v>0</v>
      </c>
      <c r="BF353" s="697">
        <v>0</v>
      </c>
      <c r="BG353" s="697">
        <v>0</v>
      </c>
      <c r="BH353" s="697">
        <v>0</v>
      </c>
      <c r="BI353" s="697">
        <v>0</v>
      </c>
      <c r="BJ353" s="697">
        <v>0</v>
      </c>
      <c r="BK353" s="1492">
        <f t="shared" si="39"/>
        <v>0</v>
      </c>
      <c r="BL353" s="1492"/>
      <c r="BM353" s="1492">
        <f t="shared" si="40"/>
        <v>0</v>
      </c>
      <c r="BN353" s="1492">
        <f t="shared" si="41"/>
        <v>0</v>
      </c>
      <c r="BO353" s="697"/>
      <c r="BP353" s="697"/>
      <c r="BQ353" s="1495" t="s">
        <v>6934</v>
      </c>
      <c r="BR353" s="1495" t="s">
        <v>818</v>
      </c>
      <c r="BS353" s="1902" t="s">
        <v>655</v>
      </c>
      <c r="BT353" s="1907" t="s">
        <v>2072</v>
      </c>
    </row>
    <row r="354" spans="1:72" ht="13">
      <c r="A354" s="1545">
        <v>910</v>
      </c>
      <c r="B354" s="1546" t="s">
        <v>800</v>
      </c>
      <c r="C354" s="1546" t="s">
        <v>803</v>
      </c>
      <c r="D354" s="1547" t="s">
        <v>6872</v>
      </c>
      <c r="E354" s="690" t="s">
        <v>666</v>
      </c>
      <c r="F354" s="691"/>
      <c r="G354" s="692"/>
      <c r="H354" s="692"/>
      <c r="I354" s="692"/>
      <c r="J354" s="693"/>
      <c r="K354" s="693"/>
      <c r="L354" s="693"/>
      <c r="M354" s="694"/>
      <c r="N354" s="695"/>
      <c r="O354" s="696" t="s">
        <v>1569</v>
      </c>
      <c r="P354" s="695">
        <f>'HIV-Key Info'!$I$81*(('HIV-Key Info'!$E$81*'HPM costs'!F291)+('HIV-Key Info'!$F$81*('HPM costs'!F294+'HPM costs'!F297)))</f>
        <v>0</v>
      </c>
      <c r="Q354" s="695" t="s">
        <v>1569</v>
      </c>
      <c r="R354" s="695">
        <f>'HIV-Key Info'!$I$81*(('HIV-Key Info'!$E$81*'HPM costs'!G291)+('HIV-Key Info'!$F$81*('HPM costs'!G294+'HPM costs'!G297)))</f>
        <v>0</v>
      </c>
      <c r="S354" s="695" t="s">
        <v>1569</v>
      </c>
      <c r="T354" s="695">
        <f>'HIV-Key Info'!$I$81*(('HIV-Key Info'!$E$81*'HPM costs'!H291)+('HIV-Key Info'!$F$81*('HPM costs'!H294+'HPM costs'!H297)))</f>
        <v>0</v>
      </c>
      <c r="U354" s="695" t="s">
        <v>1569</v>
      </c>
      <c r="V354" s="695">
        <f>'HIV-Key Info'!$I$81*(('HIV-Key Info'!$E$81*'HPM costs'!I291)+('HIV-Key Info'!$F$81*('HPM costs'!I294+'HPM costs'!I297)))</f>
        <v>0</v>
      </c>
      <c r="W354" s="695"/>
      <c r="X354" s="1492">
        <f t="shared" si="36"/>
        <v>0</v>
      </c>
      <c r="Y354" s="1493"/>
      <c r="Z354" s="1494"/>
      <c r="AA354" s="699"/>
      <c r="AB354" s="695"/>
      <c r="AC354" s="695">
        <f>'HIV-Key Info'!$I$81*(('HIV-Key Info'!$E$81*'HPM costs'!K291)+('HIV-Key Info'!$F$81*('HPM costs'!K294+'HPM costs'!K297)))</f>
        <v>0</v>
      </c>
      <c r="AD354" s="695"/>
      <c r="AE354" s="695">
        <f>'HIV-Key Info'!$I$81*(('HIV-Key Info'!$E$81*'HPM costs'!L291)+('HIV-Key Info'!$F$81*('HPM costs'!L294+'HPM costs'!L297)))</f>
        <v>0</v>
      </c>
      <c r="AF354" s="695"/>
      <c r="AG354" s="695">
        <f>'HIV-Key Info'!$I$81*(('HIV-Key Info'!$E$81*'HPM costs'!M291)+('HIV-Key Info'!$F$81*('HPM costs'!M294+'HPM costs'!M297)))</f>
        <v>0</v>
      </c>
      <c r="AH354" s="695"/>
      <c r="AI354" s="695">
        <f>'HIV-Key Info'!$I$81*(('HIV-Key Info'!$E$81*'HPM costs'!N291)+('HIV-Key Info'!$F$81*('HPM costs'!N294+'HPM costs'!N297)))</f>
        <v>0</v>
      </c>
      <c r="AJ354" s="695"/>
      <c r="AK354" s="1492">
        <f t="shared" si="37"/>
        <v>0</v>
      </c>
      <c r="AL354" s="1493"/>
      <c r="AM354" s="1494"/>
      <c r="AN354" s="699"/>
      <c r="AO354" s="695"/>
      <c r="AP354" s="695">
        <f>'HIV-Key Info'!$I$81*(('HIV-Key Info'!$E$81*'HPM costs'!P291)+('HIV-Key Info'!$F$81*('HPM costs'!P294+'HPM costs'!P297)))</f>
        <v>0</v>
      </c>
      <c r="AQ354" s="695"/>
      <c r="AR354" s="695">
        <f>'HIV-Key Info'!$I$81*(('HIV-Key Info'!$E$81*'HPM costs'!Q291)+('HIV-Key Info'!$F$81*('HPM costs'!Q294+'HPM costs'!Q297)))</f>
        <v>0</v>
      </c>
      <c r="AS354" s="695"/>
      <c r="AT354" s="695">
        <f>'HIV-Key Info'!$I$81*(('HIV-Key Info'!$E$81*'HPM costs'!R291)+('HIV-Key Info'!$F$81*('HPM costs'!R294+'HPM costs'!R297)))</f>
        <v>0</v>
      </c>
      <c r="AU354" s="695"/>
      <c r="AV354" s="695">
        <f>'HIV-Key Info'!$I$81*(('HIV-Key Info'!$E$81*'HPM costs'!S291)+('HIV-Key Info'!$F$81*('HPM costs'!S294+'HPM costs'!S297)))</f>
        <v>0</v>
      </c>
      <c r="AW354" s="695"/>
      <c r="AX354" s="1492">
        <f t="shared" si="38"/>
        <v>0</v>
      </c>
      <c r="AY354" s="1492"/>
      <c r="AZ354" s="698"/>
      <c r="BA354" s="699"/>
      <c r="BB354" s="697"/>
      <c r="BC354" s="697">
        <v>0</v>
      </c>
      <c r="BD354" s="697">
        <v>0</v>
      </c>
      <c r="BE354" s="697">
        <v>0</v>
      </c>
      <c r="BF354" s="697">
        <v>0</v>
      </c>
      <c r="BG354" s="697">
        <v>0</v>
      </c>
      <c r="BH354" s="697">
        <v>0</v>
      </c>
      <c r="BI354" s="697">
        <v>0</v>
      </c>
      <c r="BJ354" s="697">
        <v>0</v>
      </c>
      <c r="BK354" s="1492">
        <f t="shared" si="39"/>
        <v>0</v>
      </c>
      <c r="BL354" s="1492"/>
      <c r="BM354" s="1492">
        <f t="shared" si="40"/>
        <v>0</v>
      </c>
      <c r="BN354" s="1492">
        <f t="shared" si="41"/>
        <v>0</v>
      </c>
      <c r="BO354" s="697"/>
      <c r="BP354" s="697"/>
      <c r="BQ354" s="1495" t="s">
        <v>6934</v>
      </c>
      <c r="BR354" s="1495" t="s">
        <v>818</v>
      </c>
      <c r="BS354" s="1902" t="s">
        <v>655</v>
      </c>
      <c r="BT354" s="1907" t="s">
        <v>2073</v>
      </c>
    </row>
    <row r="355" spans="1:72" ht="13">
      <c r="A355" s="1545">
        <v>911</v>
      </c>
      <c r="B355" s="1546" t="s">
        <v>800</v>
      </c>
      <c r="C355" s="1546" t="s">
        <v>803</v>
      </c>
      <c r="D355" s="1547" t="s">
        <v>6872</v>
      </c>
      <c r="E355" s="690" t="s">
        <v>668</v>
      </c>
      <c r="F355" s="691"/>
      <c r="G355" s="692"/>
      <c r="H355" s="692"/>
      <c r="I355" s="692"/>
      <c r="J355" s="693"/>
      <c r="K355" s="693"/>
      <c r="L355" s="693"/>
      <c r="M355" s="694"/>
      <c r="N355" s="695"/>
      <c r="O355" s="696" t="s">
        <v>1569</v>
      </c>
      <c r="P355" s="695">
        <f>'HIV-Key Info'!$I$81*(('HIV-Key Info'!$E$81*'HPM costs'!F636)+('HIV-Key Info'!$F$81*('HPM costs'!F639+'HPM costs'!F642)))</f>
        <v>0</v>
      </c>
      <c r="Q355" s="695" t="s">
        <v>1569</v>
      </c>
      <c r="R355" s="695">
        <f>'HIV-Key Info'!$I$81*(('HIV-Key Info'!$E$81*'HPM costs'!G636)+('HIV-Key Info'!$F$81*('HPM costs'!G639+'HPM costs'!G642)))</f>
        <v>0</v>
      </c>
      <c r="S355" s="695" t="s">
        <v>1569</v>
      </c>
      <c r="T355" s="695">
        <f>'HIV-Key Info'!$I$81*(('HIV-Key Info'!$E$81*'HPM costs'!H636)+('HIV-Key Info'!$F$81*('HPM costs'!H639+'HPM costs'!H642)))</f>
        <v>0</v>
      </c>
      <c r="U355" s="695" t="s">
        <v>1569</v>
      </c>
      <c r="V355" s="695">
        <f>'HIV-Key Info'!$I$81*(('HIV-Key Info'!$E$81*'HPM costs'!I636)+('HIV-Key Info'!$F$81*('HPM costs'!I639+'HPM costs'!I642)))</f>
        <v>0</v>
      </c>
      <c r="W355" s="695"/>
      <c r="X355" s="1492">
        <f t="shared" si="36"/>
        <v>0</v>
      </c>
      <c r="Y355" s="1493"/>
      <c r="Z355" s="1494"/>
      <c r="AA355" s="699"/>
      <c r="AB355" s="695"/>
      <c r="AC355" s="695">
        <f>'HIV-Key Info'!$I$81*(('HIV-Key Info'!$E$81*'HPM costs'!K636)+('HIV-Key Info'!$F$81*('HPM costs'!K639+'HPM costs'!K642)))</f>
        <v>0</v>
      </c>
      <c r="AD355" s="695"/>
      <c r="AE355" s="695">
        <f>'HIV-Key Info'!$I$81*(('HIV-Key Info'!$E$81*'HPM costs'!L636)+('HIV-Key Info'!$F$81*('HPM costs'!L639+'HPM costs'!L642)))</f>
        <v>0</v>
      </c>
      <c r="AF355" s="695"/>
      <c r="AG355" s="695">
        <f>'HIV-Key Info'!$I$81*(('HIV-Key Info'!$E$81*'HPM costs'!M636)+('HIV-Key Info'!$F$81*('HPM costs'!M639+'HPM costs'!M642)))</f>
        <v>0</v>
      </c>
      <c r="AH355" s="695"/>
      <c r="AI355" s="695">
        <f>'HIV-Key Info'!$I$81*(('HIV-Key Info'!$E$81*'HPM costs'!N636)+('HIV-Key Info'!$F$81*('HPM costs'!N639+'HPM costs'!N642)))</f>
        <v>0</v>
      </c>
      <c r="AJ355" s="695"/>
      <c r="AK355" s="1492">
        <f t="shared" si="37"/>
        <v>0</v>
      </c>
      <c r="AL355" s="1493"/>
      <c r="AM355" s="1494"/>
      <c r="AN355" s="699"/>
      <c r="AO355" s="695"/>
      <c r="AP355" s="695">
        <f>'HIV-Key Info'!$I$81*(('HIV-Key Info'!$E$81*'HPM costs'!P636)+('HIV-Key Info'!$F$81*('HPM costs'!P639+'HPM costs'!P642)))</f>
        <v>0</v>
      </c>
      <c r="AQ355" s="695"/>
      <c r="AR355" s="695">
        <f>'HIV-Key Info'!$I$81*(('HIV-Key Info'!$E$81*'HPM costs'!Q636)+('HIV-Key Info'!$F$81*('HPM costs'!Q639+'HPM costs'!Q642)))</f>
        <v>0</v>
      </c>
      <c r="AS355" s="695"/>
      <c r="AT355" s="695">
        <f>'HIV-Key Info'!$I$81*(('HIV-Key Info'!$E$81*'HPM costs'!R636)+('HIV-Key Info'!$F$81*('HPM costs'!R639+'HPM costs'!R642)))</f>
        <v>0</v>
      </c>
      <c r="AU355" s="695"/>
      <c r="AV355" s="695">
        <f>'HIV-Key Info'!$I$81*(('HIV-Key Info'!$E$81*'HPM costs'!S636)+('HIV-Key Info'!$F$81*('HPM costs'!S639+'HPM costs'!S642)))</f>
        <v>0</v>
      </c>
      <c r="AW355" s="695"/>
      <c r="AX355" s="1492">
        <f t="shared" si="38"/>
        <v>0</v>
      </c>
      <c r="AY355" s="1492"/>
      <c r="AZ355" s="698"/>
      <c r="BA355" s="699"/>
      <c r="BB355" s="697"/>
      <c r="BC355" s="697">
        <v>0</v>
      </c>
      <c r="BD355" s="697">
        <v>0</v>
      </c>
      <c r="BE355" s="697">
        <v>0</v>
      </c>
      <c r="BF355" s="697">
        <v>0</v>
      </c>
      <c r="BG355" s="697">
        <v>0</v>
      </c>
      <c r="BH355" s="697">
        <v>0</v>
      </c>
      <c r="BI355" s="697">
        <v>0</v>
      </c>
      <c r="BJ355" s="697">
        <v>0</v>
      </c>
      <c r="BK355" s="1492">
        <f t="shared" si="39"/>
        <v>0</v>
      </c>
      <c r="BL355" s="1492"/>
      <c r="BM355" s="1492">
        <f t="shared" si="40"/>
        <v>0</v>
      </c>
      <c r="BN355" s="1492">
        <f t="shared" si="41"/>
        <v>0</v>
      </c>
      <c r="BO355" s="697"/>
      <c r="BP355" s="697"/>
      <c r="BQ355" s="1495" t="s">
        <v>6934</v>
      </c>
      <c r="BR355" s="1495" t="s">
        <v>818</v>
      </c>
      <c r="BS355" s="1902" t="s">
        <v>655</v>
      </c>
      <c r="BT355" s="1907" t="s">
        <v>2074</v>
      </c>
    </row>
    <row r="356" spans="1:72" ht="13">
      <c r="A356" s="1545">
        <v>912</v>
      </c>
      <c r="B356" s="1546" t="s">
        <v>800</v>
      </c>
      <c r="C356" s="1546" t="s">
        <v>801</v>
      </c>
      <c r="D356" s="1547" t="s">
        <v>6957</v>
      </c>
      <c r="E356" s="690" t="s">
        <v>731</v>
      </c>
      <c r="F356" s="691"/>
      <c r="G356" s="692"/>
      <c r="H356" s="692"/>
      <c r="I356" s="692"/>
      <c r="J356" s="693"/>
      <c r="K356" s="693"/>
      <c r="L356" s="693"/>
      <c r="M356" s="694"/>
      <c r="N356" s="695"/>
      <c r="O356" s="696" t="s">
        <v>1569</v>
      </c>
      <c r="P356" s="695">
        <f>'HIV-Key Info'!$G$83*('HIV-Key Info'!$E$83*('HPM costs'!F551/'HPM costs'!$E$551)+'HIV-Key Info'!$F$83*('HPM costs'!F557/'HPM costs'!$E$557+'HPM costs'!F554/'HPM costs'!$E$554))</f>
        <v>0</v>
      </c>
      <c r="Q356" s="695" t="s">
        <v>1569</v>
      </c>
      <c r="R356" s="695">
        <f>'HIV-Key Info'!$G$83*('HIV-Key Info'!$E$83*('HPM costs'!G551/'HPM costs'!$E$551)+'HIV-Key Info'!$F$83*('HPM costs'!G557/'HPM costs'!$E$557+'HPM costs'!G554/'HPM costs'!$E$554))</f>
        <v>0</v>
      </c>
      <c r="S356" s="695" t="s">
        <v>1569</v>
      </c>
      <c r="T356" s="695">
        <f>'HIV-Key Info'!$G$83*('HIV-Key Info'!$E$83*('HPM costs'!H551/'HPM costs'!$E$551)+'HIV-Key Info'!$F$83*('HPM costs'!H557/'HPM costs'!$E$557+'HPM costs'!H554/'HPM costs'!$E$554))</f>
        <v>0</v>
      </c>
      <c r="U356" s="695" t="s">
        <v>1569</v>
      </c>
      <c r="V356" s="695">
        <f>'HIV-Key Info'!$G$83*('HIV-Key Info'!$E$83*('HPM costs'!I551/'HPM costs'!$E$551)+'HIV-Key Info'!$F$83*('HPM costs'!I557/'HPM costs'!$E$557+'HPM costs'!I554/'HPM costs'!$E$554))</f>
        <v>0</v>
      </c>
      <c r="W356" s="695"/>
      <c r="X356" s="1492">
        <f t="shared" si="36"/>
        <v>0</v>
      </c>
      <c r="Y356" s="1493"/>
      <c r="Z356" s="1494"/>
      <c r="AA356" s="699"/>
      <c r="AB356" s="695"/>
      <c r="AC356" s="695">
        <f>'HIV-Key Info'!$G$83*('HIV-Key Info'!$E$83*('HPM costs'!K551/'HPM costs'!$E$551)+'HIV-Key Info'!$F$83*('HPM costs'!K557/'HPM costs'!$E$557+'HPM costs'!K554/'HPM costs'!$E$554))</f>
        <v>0</v>
      </c>
      <c r="AD356" s="695"/>
      <c r="AE356" s="695">
        <f>'HIV-Key Info'!$G$83*('HIV-Key Info'!$E$83*('HPM costs'!L551/'HPM costs'!$E$551)+'HIV-Key Info'!$F$83*('HPM costs'!L557/'HPM costs'!$E$557+'HPM costs'!L554/'HPM costs'!$E$554))</f>
        <v>0</v>
      </c>
      <c r="AF356" s="695"/>
      <c r="AG356" s="695">
        <f>'HIV-Key Info'!$G$83*('HIV-Key Info'!$E$83*('HPM costs'!M551/'HPM costs'!$E$551)+'HIV-Key Info'!$F$83*('HPM costs'!M557/'HPM costs'!$E$557+'HPM costs'!M554/'HPM costs'!$E$554))</f>
        <v>0</v>
      </c>
      <c r="AH356" s="695"/>
      <c r="AI356" s="695">
        <f>'HIV-Key Info'!$G$83*('HIV-Key Info'!$E$83*('HPM costs'!N551/'HPM costs'!$E$551)+'HIV-Key Info'!$F$83*('HPM costs'!N557/'HPM costs'!$E$557+'HPM costs'!N554/'HPM costs'!$E$554))</f>
        <v>0</v>
      </c>
      <c r="AJ356" s="695"/>
      <c r="AK356" s="1492">
        <f t="shared" si="37"/>
        <v>0</v>
      </c>
      <c r="AL356" s="1493"/>
      <c r="AM356" s="1494"/>
      <c r="AN356" s="699"/>
      <c r="AO356" s="695"/>
      <c r="AP356" s="695">
        <f>'HIV-Key Info'!$G$83*('HIV-Key Info'!$E$83*('HPM costs'!P551/'HPM costs'!$E$551)+'HIV-Key Info'!$F$83*('HPM costs'!P557/'HPM costs'!$E$557+'HPM costs'!P554/'HPM costs'!$E$554))</f>
        <v>0</v>
      </c>
      <c r="AQ356" s="695"/>
      <c r="AR356" s="695">
        <f>'HIV-Key Info'!$G$83*('HIV-Key Info'!$E$83*('HPM costs'!Q551/'HPM costs'!$E$551)+'HIV-Key Info'!$F$83*('HPM costs'!Q557/'HPM costs'!$E$557+'HPM costs'!Q554/'HPM costs'!$E$554))</f>
        <v>0</v>
      </c>
      <c r="AS356" s="695"/>
      <c r="AT356" s="695">
        <f>'HIV-Key Info'!$G$83*('HIV-Key Info'!$E$83*('HPM costs'!R551/'HPM costs'!$E$551)+'HIV-Key Info'!$F$83*('HPM costs'!R557/'HPM costs'!$E$557+'HPM costs'!R554/'HPM costs'!$E$554))</f>
        <v>0</v>
      </c>
      <c r="AU356" s="695"/>
      <c r="AV356" s="695">
        <f>'HIV-Key Info'!$G$83*('HIV-Key Info'!$E$83*('HPM costs'!S551/'HPM costs'!$E$551)+'HIV-Key Info'!$F$83*('HPM costs'!S557/'HPM costs'!$E$557+'HPM costs'!S554/'HPM costs'!$E$554))</f>
        <v>0</v>
      </c>
      <c r="AW356" s="695"/>
      <c r="AX356" s="1492">
        <f t="shared" si="38"/>
        <v>0</v>
      </c>
      <c r="AY356" s="1492"/>
      <c r="AZ356" s="698"/>
      <c r="BA356" s="699"/>
      <c r="BB356" s="697"/>
      <c r="BC356" s="697">
        <v>0</v>
      </c>
      <c r="BD356" s="697">
        <v>0</v>
      </c>
      <c r="BE356" s="697">
        <v>0</v>
      </c>
      <c r="BF356" s="697">
        <v>0</v>
      </c>
      <c r="BG356" s="697">
        <v>0</v>
      </c>
      <c r="BH356" s="697">
        <v>0</v>
      </c>
      <c r="BI356" s="697">
        <v>0</v>
      </c>
      <c r="BJ356" s="697">
        <v>0</v>
      </c>
      <c r="BK356" s="1492">
        <f t="shared" si="39"/>
        <v>0</v>
      </c>
      <c r="BL356" s="1492"/>
      <c r="BM356" s="1492">
        <f t="shared" si="40"/>
        <v>0</v>
      </c>
      <c r="BN356" s="1492">
        <f t="shared" si="41"/>
        <v>0</v>
      </c>
      <c r="BO356" s="697"/>
      <c r="BP356" s="697"/>
      <c r="BQ356" s="1495" t="s">
        <v>6935</v>
      </c>
      <c r="BR356" s="1495" t="s">
        <v>818</v>
      </c>
      <c r="BS356" s="1902" t="s">
        <v>6953</v>
      </c>
      <c r="BT356" s="1907" t="s">
        <v>2075</v>
      </c>
    </row>
    <row r="357" spans="1:72" ht="13">
      <c r="A357" s="1545">
        <v>913</v>
      </c>
      <c r="B357" s="1546" t="s">
        <v>800</v>
      </c>
      <c r="C357" s="1546" t="s">
        <v>801</v>
      </c>
      <c r="D357" s="1547" t="s">
        <v>6887</v>
      </c>
      <c r="E357" s="690" t="s">
        <v>656</v>
      </c>
      <c r="F357" s="691"/>
      <c r="G357" s="692"/>
      <c r="H357" s="692"/>
      <c r="I357" s="692"/>
      <c r="J357" s="693"/>
      <c r="K357" s="693"/>
      <c r="L357" s="693"/>
      <c r="M357" s="694"/>
      <c r="N357" s="695"/>
      <c r="O357" s="696" t="s">
        <v>1569</v>
      </c>
      <c r="P357" s="695">
        <f>'HIV-Key Info'!$G$83*(('HIV-Key Info'!$E$83*'HPM costs'!F33)+('HIV-Key Info'!$F$83*('HPM costs'!F36+'HPM costs'!F39)))</f>
        <v>0</v>
      </c>
      <c r="Q357" s="695" t="s">
        <v>1569</v>
      </c>
      <c r="R357" s="695">
        <f>'HIV-Key Info'!$G$83*(('HIV-Key Info'!$E$83*'HPM costs'!G33)+('HIV-Key Info'!$F$83*('HPM costs'!G36+'HPM costs'!G39)))</f>
        <v>0</v>
      </c>
      <c r="S357" s="695" t="s">
        <v>1569</v>
      </c>
      <c r="T357" s="695">
        <f>'HIV-Key Info'!$G$83*(('HIV-Key Info'!$E$83*'HPM costs'!H33)+('HIV-Key Info'!$F$83*('HPM costs'!H36+'HPM costs'!H39)))</f>
        <v>0</v>
      </c>
      <c r="U357" s="695" t="s">
        <v>1569</v>
      </c>
      <c r="V357" s="695">
        <f>'HIV-Key Info'!$G$83*(('HIV-Key Info'!$E$83*'HPM costs'!I33)+('HIV-Key Info'!$F$83*('HPM costs'!I36+'HPM costs'!I39)))</f>
        <v>0</v>
      </c>
      <c r="W357" s="695"/>
      <c r="X357" s="1492">
        <f t="shared" si="36"/>
        <v>0</v>
      </c>
      <c r="Y357" s="1493"/>
      <c r="Z357" s="1494"/>
      <c r="AA357" s="699"/>
      <c r="AB357" s="695"/>
      <c r="AC357" s="695">
        <f>'HIV-Key Info'!$G$83*(('HIV-Key Info'!$E$83*'HPM costs'!K33)+('HIV-Key Info'!$F$83*('HPM costs'!K36+'HPM costs'!K39)))</f>
        <v>0</v>
      </c>
      <c r="AD357" s="695"/>
      <c r="AE357" s="695">
        <f>'HIV-Key Info'!$G$83*(('HIV-Key Info'!$E$83*'HPM costs'!L33)+('HIV-Key Info'!$F$83*('HPM costs'!L36+'HPM costs'!L39)))</f>
        <v>0</v>
      </c>
      <c r="AF357" s="695"/>
      <c r="AG357" s="695">
        <f>'HIV-Key Info'!$G$83*(('HIV-Key Info'!$E$83*'HPM costs'!M33)+('HIV-Key Info'!$F$83*('HPM costs'!M36+'HPM costs'!M39)))</f>
        <v>0</v>
      </c>
      <c r="AH357" s="695"/>
      <c r="AI357" s="695">
        <f>'HIV-Key Info'!$G$83*(('HIV-Key Info'!$E$83*'HPM costs'!N33)+('HIV-Key Info'!$F$83*('HPM costs'!N36+'HPM costs'!N39)))</f>
        <v>0</v>
      </c>
      <c r="AJ357" s="695"/>
      <c r="AK357" s="1492">
        <f t="shared" si="37"/>
        <v>0</v>
      </c>
      <c r="AL357" s="1493"/>
      <c r="AM357" s="1494"/>
      <c r="AN357" s="699"/>
      <c r="AO357" s="695"/>
      <c r="AP357" s="695">
        <f>'HIV-Key Info'!$G$83*(('HIV-Key Info'!$E$83*'HPM costs'!P33)+('HIV-Key Info'!$F$83*('HPM costs'!P36+'HPM costs'!P39)))</f>
        <v>0</v>
      </c>
      <c r="AQ357" s="695"/>
      <c r="AR357" s="695">
        <f>'HIV-Key Info'!$G$83*(('HIV-Key Info'!$E$83*'HPM costs'!Q33)+('HIV-Key Info'!$F$83*('HPM costs'!Q36+'HPM costs'!Q39)))</f>
        <v>0</v>
      </c>
      <c r="AS357" s="695"/>
      <c r="AT357" s="695">
        <f>'HIV-Key Info'!$G$83*(('HIV-Key Info'!$E$83*'HPM costs'!R33)+('HIV-Key Info'!$F$83*('HPM costs'!R36+'HPM costs'!R39)))</f>
        <v>0</v>
      </c>
      <c r="AU357" s="695"/>
      <c r="AV357" s="695">
        <f>'HIV-Key Info'!$G$83*(('HIV-Key Info'!$E$83*'HPM costs'!S33)+('HIV-Key Info'!$F$83*('HPM costs'!S36+'HPM costs'!S39)))</f>
        <v>0</v>
      </c>
      <c r="AW357" s="695"/>
      <c r="AX357" s="1492">
        <f t="shared" si="38"/>
        <v>0</v>
      </c>
      <c r="AY357" s="1492"/>
      <c r="AZ357" s="698"/>
      <c r="BA357" s="699"/>
      <c r="BB357" s="697"/>
      <c r="BC357" s="697">
        <v>0</v>
      </c>
      <c r="BD357" s="697">
        <v>0</v>
      </c>
      <c r="BE357" s="697">
        <v>0</v>
      </c>
      <c r="BF357" s="697">
        <v>0</v>
      </c>
      <c r="BG357" s="697">
        <v>0</v>
      </c>
      <c r="BH357" s="697">
        <v>0</v>
      </c>
      <c r="BI357" s="697">
        <v>0</v>
      </c>
      <c r="BJ357" s="697">
        <v>0</v>
      </c>
      <c r="BK357" s="1492">
        <f t="shared" si="39"/>
        <v>0</v>
      </c>
      <c r="BL357" s="1492"/>
      <c r="BM357" s="1492">
        <f t="shared" si="40"/>
        <v>0</v>
      </c>
      <c r="BN357" s="1492">
        <f t="shared" si="41"/>
        <v>0</v>
      </c>
      <c r="BO357" s="697"/>
      <c r="BP357" s="697"/>
      <c r="BQ357" s="1495" t="s">
        <v>6935</v>
      </c>
      <c r="BR357" s="1495" t="s">
        <v>818</v>
      </c>
      <c r="BS357" s="1902" t="s">
        <v>655</v>
      </c>
      <c r="BT357" s="1907" t="s">
        <v>2076</v>
      </c>
    </row>
    <row r="358" spans="1:72" ht="13">
      <c r="A358" s="1545">
        <v>914</v>
      </c>
      <c r="B358" s="1546" t="s">
        <v>800</v>
      </c>
      <c r="C358" s="1546" t="s">
        <v>801</v>
      </c>
      <c r="D358" s="1547" t="s">
        <v>6887</v>
      </c>
      <c r="E358" s="690" t="s">
        <v>658</v>
      </c>
      <c r="F358" s="691"/>
      <c r="G358" s="692"/>
      <c r="H358" s="692"/>
      <c r="I358" s="692"/>
      <c r="J358" s="693"/>
      <c r="K358" s="693"/>
      <c r="L358" s="693"/>
      <c r="M358" s="694"/>
      <c r="N358" s="695"/>
      <c r="O358" s="696" t="s">
        <v>1569</v>
      </c>
      <c r="P358" s="695">
        <f>'HIV-Key Info'!$G$83*(('HIV-Key Info'!$E$83*'HPM costs'!F119)+('HIV-Key Info'!$F$83*('HPM costs'!F122+'HPM costs'!F125)))</f>
        <v>0</v>
      </c>
      <c r="Q358" s="695" t="s">
        <v>1569</v>
      </c>
      <c r="R358" s="695">
        <f>'HIV-Key Info'!$G$83*(('HIV-Key Info'!$E$83*'HPM costs'!G119)+('HIV-Key Info'!$F$83*('HPM costs'!G122+'HPM costs'!G125)))</f>
        <v>0</v>
      </c>
      <c r="S358" s="695" t="s">
        <v>1569</v>
      </c>
      <c r="T358" s="695">
        <f>'HIV-Key Info'!$G$83*(('HIV-Key Info'!$E$83*'HPM costs'!H119)+('HIV-Key Info'!$F$83*('HPM costs'!H122+'HPM costs'!H125)))</f>
        <v>0</v>
      </c>
      <c r="U358" s="695" t="s">
        <v>1569</v>
      </c>
      <c r="V358" s="695">
        <f>'HIV-Key Info'!$G$83*(('HIV-Key Info'!$E$83*'HPM costs'!I119)+('HIV-Key Info'!$F$83*('HPM costs'!I122+'HPM costs'!I125)))</f>
        <v>0</v>
      </c>
      <c r="W358" s="695"/>
      <c r="X358" s="1492">
        <f t="shared" si="36"/>
        <v>0</v>
      </c>
      <c r="Y358" s="1493"/>
      <c r="Z358" s="1494"/>
      <c r="AA358" s="699"/>
      <c r="AB358" s="695"/>
      <c r="AC358" s="695">
        <f>'HIV-Key Info'!$G$83*(('HIV-Key Info'!$E$83*'HPM costs'!K119)+('HIV-Key Info'!$F$83*('HPM costs'!K122+'HPM costs'!K125)))</f>
        <v>0</v>
      </c>
      <c r="AD358" s="695"/>
      <c r="AE358" s="695">
        <f>'HIV-Key Info'!$G$83*(('HIV-Key Info'!$E$83*'HPM costs'!L119)+('HIV-Key Info'!$F$83*('HPM costs'!L122+'HPM costs'!L125)))</f>
        <v>0</v>
      </c>
      <c r="AF358" s="695"/>
      <c r="AG358" s="695">
        <f>'HIV-Key Info'!$G$83*(('HIV-Key Info'!$E$83*'HPM costs'!M119)+('HIV-Key Info'!$F$83*('HPM costs'!M122+'HPM costs'!M125)))</f>
        <v>0</v>
      </c>
      <c r="AH358" s="695"/>
      <c r="AI358" s="695">
        <f>'HIV-Key Info'!$G$83*(('HIV-Key Info'!$E$83*'HPM costs'!N119)+('HIV-Key Info'!$F$83*('HPM costs'!N122+'HPM costs'!N125)))</f>
        <v>0</v>
      </c>
      <c r="AJ358" s="695"/>
      <c r="AK358" s="1492">
        <f t="shared" si="37"/>
        <v>0</v>
      </c>
      <c r="AL358" s="1493"/>
      <c r="AM358" s="1494"/>
      <c r="AN358" s="699"/>
      <c r="AO358" s="695"/>
      <c r="AP358" s="695">
        <f>'HIV-Key Info'!$G$83*(('HIV-Key Info'!$E$83*'HPM costs'!P119)+('HIV-Key Info'!$F$83*('HPM costs'!P122+'HPM costs'!P125)))</f>
        <v>0</v>
      </c>
      <c r="AQ358" s="695"/>
      <c r="AR358" s="695">
        <f>'HIV-Key Info'!$G$83*(('HIV-Key Info'!$E$83*'HPM costs'!Q119)+('HIV-Key Info'!$F$83*('HPM costs'!Q122+'HPM costs'!Q125)))</f>
        <v>0</v>
      </c>
      <c r="AS358" s="695"/>
      <c r="AT358" s="695">
        <f>'HIV-Key Info'!$G$83*(('HIV-Key Info'!$E$83*'HPM costs'!R119)+('HIV-Key Info'!$F$83*('HPM costs'!R122+'HPM costs'!R125)))</f>
        <v>0</v>
      </c>
      <c r="AU358" s="695"/>
      <c r="AV358" s="695">
        <f>'HIV-Key Info'!$G$83*(('HIV-Key Info'!$E$83*'HPM costs'!S119)+('HIV-Key Info'!$F$83*('HPM costs'!S122+'HPM costs'!S125)))</f>
        <v>0</v>
      </c>
      <c r="AW358" s="695"/>
      <c r="AX358" s="1492">
        <f t="shared" si="38"/>
        <v>0</v>
      </c>
      <c r="AY358" s="1492"/>
      <c r="AZ358" s="698"/>
      <c r="BA358" s="699"/>
      <c r="BB358" s="697"/>
      <c r="BC358" s="697">
        <v>0</v>
      </c>
      <c r="BD358" s="697">
        <v>0</v>
      </c>
      <c r="BE358" s="697">
        <v>0</v>
      </c>
      <c r="BF358" s="697">
        <v>0</v>
      </c>
      <c r="BG358" s="697">
        <v>0</v>
      </c>
      <c r="BH358" s="697">
        <v>0</v>
      </c>
      <c r="BI358" s="697">
        <v>0</v>
      </c>
      <c r="BJ358" s="697">
        <v>0</v>
      </c>
      <c r="BK358" s="1492">
        <f t="shared" si="39"/>
        <v>0</v>
      </c>
      <c r="BL358" s="1492"/>
      <c r="BM358" s="1492">
        <f t="shared" si="40"/>
        <v>0</v>
      </c>
      <c r="BN358" s="1492">
        <f t="shared" si="41"/>
        <v>0</v>
      </c>
      <c r="BO358" s="697"/>
      <c r="BP358" s="697"/>
      <c r="BQ358" s="1495" t="s">
        <v>6935</v>
      </c>
      <c r="BR358" s="1495" t="s">
        <v>818</v>
      </c>
      <c r="BS358" s="1902" t="s">
        <v>655</v>
      </c>
      <c r="BT358" s="1907" t="s">
        <v>2077</v>
      </c>
    </row>
    <row r="359" spans="1:72" ht="13">
      <c r="A359" s="1545">
        <v>915</v>
      </c>
      <c r="B359" s="1546" t="s">
        <v>800</v>
      </c>
      <c r="C359" s="1546" t="s">
        <v>801</v>
      </c>
      <c r="D359" s="1547" t="s">
        <v>6887</v>
      </c>
      <c r="E359" s="690" t="s">
        <v>660</v>
      </c>
      <c r="F359" s="691"/>
      <c r="G359" s="692"/>
      <c r="H359" s="692"/>
      <c r="I359" s="692"/>
      <c r="J359" s="693"/>
      <c r="K359" s="693"/>
      <c r="L359" s="693"/>
      <c r="M359" s="694"/>
      <c r="N359" s="695"/>
      <c r="O359" s="696" t="s">
        <v>1569</v>
      </c>
      <c r="P359" s="695">
        <f>'HIV-Key Info'!$G$83*(('HIV-Key Info'!$E$83*'HPM costs'!F379)+('HIV-Key Info'!$F$83*('HPM costs'!F382+'HPM costs'!F385)))</f>
        <v>0</v>
      </c>
      <c r="Q359" s="695" t="s">
        <v>1569</v>
      </c>
      <c r="R359" s="695">
        <f>'HIV-Key Info'!$G$83*(('HIV-Key Info'!$E$83*'HPM costs'!G379)+('HIV-Key Info'!$F$83*('HPM costs'!G382+'HPM costs'!G385)))</f>
        <v>0</v>
      </c>
      <c r="S359" s="695" t="s">
        <v>1569</v>
      </c>
      <c r="T359" s="695">
        <f>'HIV-Key Info'!$G$83*(('HIV-Key Info'!$E$83*'HPM costs'!H379)+('HIV-Key Info'!$F$83*('HPM costs'!H382+'HPM costs'!H385)))</f>
        <v>0</v>
      </c>
      <c r="U359" s="695" t="s">
        <v>1569</v>
      </c>
      <c r="V359" s="695">
        <f>'HIV-Key Info'!$G$83*(('HIV-Key Info'!$E$83*'HPM costs'!I379)+('HIV-Key Info'!$F$83*('HPM costs'!I382+'HPM costs'!I385)))</f>
        <v>0</v>
      </c>
      <c r="W359" s="695"/>
      <c r="X359" s="1492">
        <f t="shared" si="36"/>
        <v>0</v>
      </c>
      <c r="Y359" s="1493"/>
      <c r="Z359" s="1494"/>
      <c r="AA359" s="699"/>
      <c r="AB359" s="695"/>
      <c r="AC359" s="695">
        <f>'HIV-Key Info'!$G$83*(('HIV-Key Info'!$E$83*'HPM costs'!K379)+('HIV-Key Info'!$F$83*('HPM costs'!K382+'HPM costs'!K385)))</f>
        <v>0</v>
      </c>
      <c r="AD359" s="695"/>
      <c r="AE359" s="695">
        <f>'HIV-Key Info'!$G$83*(('HIV-Key Info'!$E$83*'HPM costs'!L379)+('HIV-Key Info'!$F$83*('HPM costs'!L382+'HPM costs'!L385)))</f>
        <v>0</v>
      </c>
      <c r="AF359" s="695"/>
      <c r="AG359" s="695">
        <f>'HIV-Key Info'!$G$83*(('HIV-Key Info'!$E$83*'HPM costs'!M379)+('HIV-Key Info'!$F$83*('HPM costs'!M382+'HPM costs'!M385)))</f>
        <v>0</v>
      </c>
      <c r="AH359" s="695"/>
      <c r="AI359" s="695">
        <f>'HIV-Key Info'!$G$83*(('HIV-Key Info'!$E$83*'HPM costs'!N379)+('HIV-Key Info'!$F$83*('HPM costs'!N382+'HPM costs'!N385)))</f>
        <v>0</v>
      </c>
      <c r="AJ359" s="695"/>
      <c r="AK359" s="1492">
        <f t="shared" si="37"/>
        <v>0</v>
      </c>
      <c r="AL359" s="1493"/>
      <c r="AM359" s="1494"/>
      <c r="AN359" s="699"/>
      <c r="AO359" s="695"/>
      <c r="AP359" s="695">
        <f>'HIV-Key Info'!$G$83*(('HIV-Key Info'!$E$83*'HPM costs'!P379)+('HIV-Key Info'!$F$83*('HPM costs'!P382+'HPM costs'!P385)))</f>
        <v>0</v>
      </c>
      <c r="AQ359" s="695"/>
      <c r="AR359" s="695">
        <f>'HIV-Key Info'!$G$83*(('HIV-Key Info'!$E$83*'HPM costs'!Q379)+('HIV-Key Info'!$F$83*('HPM costs'!Q382+'HPM costs'!Q385)))</f>
        <v>0</v>
      </c>
      <c r="AS359" s="695"/>
      <c r="AT359" s="695">
        <f>'HIV-Key Info'!$G$83*(('HIV-Key Info'!$E$83*'HPM costs'!R379)+('HIV-Key Info'!$F$83*('HPM costs'!R382+'HPM costs'!R385)))</f>
        <v>0</v>
      </c>
      <c r="AU359" s="695"/>
      <c r="AV359" s="695">
        <f>'HIV-Key Info'!$G$83*(('HIV-Key Info'!$E$83*'HPM costs'!S379)+('HIV-Key Info'!$F$83*('HPM costs'!S382+'HPM costs'!S385)))</f>
        <v>0</v>
      </c>
      <c r="AW359" s="695"/>
      <c r="AX359" s="1492">
        <f t="shared" si="38"/>
        <v>0</v>
      </c>
      <c r="AY359" s="1492"/>
      <c r="AZ359" s="698"/>
      <c r="BA359" s="699"/>
      <c r="BB359" s="697"/>
      <c r="BC359" s="697">
        <v>0</v>
      </c>
      <c r="BD359" s="697">
        <v>0</v>
      </c>
      <c r="BE359" s="697">
        <v>0</v>
      </c>
      <c r="BF359" s="697">
        <v>0</v>
      </c>
      <c r="BG359" s="697">
        <v>0</v>
      </c>
      <c r="BH359" s="697">
        <v>0</v>
      </c>
      <c r="BI359" s="697">
        <v>0</v>
      </c>
      <c r="BJ359" s="697">
        <v>0</v>
      </c>
      <c r="BK359" s="1492">
        <f t="shared" si="39"/>
        <v>0</v>
      </c>
      <c r="BL359" s="1492"/>
      <c r="BM359" s="1492">
        <f t="shared" si="40"/>
        <v>0</v>
      </c>
      <c r="BN359" s="1492">
        <f t="shared" si="41"/>
        <v>0</v>
      </c>
      <c r="BO359" s="697"/>
      <c r="BP359" s="697"/>
      <c r="BQ359" s="1495" t="s">
        <v>6935</v>
      </c>
      <c r="BR359" s="1495" t="s">
        <v>818</v>
      </c>
      <c r="BS359" s="1902" t="s">
        <v>655</v>
      </c>
      <c r="BT359" s="1907" t="s">
        <v>2078</v>
      </c>
    </row>
    <row r="360" spans="1:72" ht="13">
      <c r="A360" s="1545">
        <v>916</v>
      </c>
      <c r="B360" s="1546" t="s">
        <v>800</v>
      </c>
      <c r="C360" s="1546" t="s">
        <v>801</v>
      </c>
      <c r="D360" s="1547" t="s">
        <v>6887</v>
      </c>
      <c r="E360" s="690" t="s">
        <v>662</v>
      </c>
      <c r="F360" s="691"/>
      <c r="G360" s="692"/>
      <c r="H360" s="692"/>
      <c r="I360" s="692"/>
      <c r="J360" s="693"/>
      <c r="K360" s="693"/>
      <c r="L360" s="693"/>
      <c r="M360" s="694"/>
      <c r="N360" s="695"/>
      <c r="O360" s="696" t="s">
        <v>1569</v>
      </c>
      <c r="P360" s="695">
        <f>'HIV-Key Info'!$G$83*(('HIV-Key Info'!$E$83*'HPM costs'!F465)+('HIV-Key Info'!$F$83*('HPM costs'!F468+'HPM costs'!F471)))</f>
        <v>0</v>
      </c>
      <c r="Q360" s="695" t="s">
        <v>1569</v>
      </c>
      <c r="R360" s="695">
        <f>'HIV-Key Info'!$G$83*(('HIV-Key Info'!$E$83*'HPM costs'!G465)+('HIV-Key Info'!$F$83*('HPM costs'!G468+'HPM costs'!G471)))</f>
        <v>0</v>
      </c>
      <c r="S360" s="695" t="s">
        <v>1569</v>
      </c>
      <c r="T360" s="695">
        <f>'HIV-Key Info'!$G$83*(('HIV-Key Info'!$E$83*'HPM costs'!H465)+('HIV-Key Info'!$F$83*('HPM costs'!H468+'HPM costs'!H471)))</f>
        <v>0</v>
      </c>
      <c r="U360" s="695" t="s">
        <v>1569</v>
      </c>
      <c r="V360" s="695">
        <f>'HIV-Key Info'!$G$83*(('HIV-Key Info'!$E$83*'HPM costs'!I465)+('HIV-Key Info'!$F$83*('HPM costs'!I468+'HPM costs'!I471)))</f>
        <v>0</v>
      </c>
      <c r="W360" s="695"/>
      <c r="X360" s="1492">
        <f t="shared" si="36"/>
        <v>0</v>
      </c>
      <c r="Y360" s="1493"/>
      <c r="Z360" s="1494"/>
      <c r="AA360" s="699"/>
      <c r="AB360" s="695"/>
      <c r="AC360" s="695">
        <f>'HIV-Key Info'!$G$83*(('HIV-Key Info'!$E$83*'HPM costs'!K465)+('HIV-Key Info'!$F$83*('HPM costs'!K468+'HPM costs'!K471)))</f>
        <v>0</v>
      </c>
      <c r="AD360" s="695"/>
      <c r="AE360" s="695">
        <f>'HIV-Key Info'!$G$83*(('HIV-Key Info'!$E$83*'HPM costs'!L465)+('HIV-Key Info'!$F$83*('HPM costs'!L468+'HPM costs'!L471)))</f>
        <v>0</v>
      </c>
      <c r="AF360" s="695"/>
      <c r="AG360" s="695">
        <f>'HIV-Key Info'!$G$83*(('HIV-Key Info'!$E$83*'HPM costs'!M465)+('HIV-Key Info'!$F$83*('HPM costs'!M468+'HPM costs'!M471)))</f>
        <v>0</v>
      </c>
      <c r="AH360" s="695"/>
      <c r="AI360" s="695">
        <f>'HIV-Key Info'!$G$83*(('HIV-Key Info'!$E$83*'HPM costs'!N465)+('HIV-Key Info'!$F$83*('HPM costs'!N468+'HPM costs'!N471)))</f>
        <v>0</v>
      </c>
      <c r="AJ360" s="695"/>
      <c r="AK360" s="1492">
        <f t="shared" si="37"/>
        <v>0</v>
      </c>
      <c r="AL360" s="1493"/>
      <c r="AM360" s="1494"/>
      <c r="AN360" s="699"/>
      <c r="AO360" s="695"/>
      <c r="AP360" s="695">
        <f>'HIV-Key Info'!$G$83*(('HIV-Key Info'!$E$83*'HPM costs'!P465)+('HIV-Key Info'!$F$83*('HPM costs'!P468+'HPM costs'!P471)))</f>
        <v>0</v>
      </c>
      <c r="AQ360" s="695"/>
      <c r="AR360" s="695">
        <f>'HIV-Key Info'!$G$83*(('HIV-Key Info'!$E$83*'HPM costs'!Q465)+('HIV-Key Info'!$F$83*('HPM costs'!Q468+'HPM costs'!Q471)))</f>
        <v>0</v>
      </c>
      <c r="AS360" s="695"/>
      <c r="AT360" s="695">
        <f>'HIV-Key Info'!$G$83*(('HIV-Key Info'!$E$83*'HPM costs'!R465)+('HIV-Key Info'!$F$83*('HPM costs'!R468+'HPM costs'!R471)))</f>
        <v>0</v>
      </c>
      <c r="AU360" s="695"/>
      <c r="AV360" s="695">
        <f>'HIV-Key Info'!$G$83*(('HIV-Key Info'!$E$83*'HPM costs'!S465)+('HIV-Key Info'!$F$83*('HPM costs'!S468+'HPM costs'!S471)))</f>
        <v>0</v>
      </c>
      <c r="AW360" s="695"/>
      <c r="AX360" s="1492">
        <f t="shared" si="38"/>
        <v>0</v>
      </c>
      <c r="AY360" s="1492"/>
      <c r="AZ360" s="698"/>
      <c r="BA360" s="699"/>
      <c r="BB360" s="697"/>
      <c r="BC360" s="697">
        <v>0</v>
      </c>
      <c r="BD360" s="697">
        <v>0</v>
      </c>
      <c r="BE360" s="697">
        <v>0</v>
      </c>
      <c r="BF360" s="697">
        <v>0</v>
      </c>
      <c r="BG360" s="697">
        <v>0</v>
      </c>
      <c r="BH360" s="697">
        <v>0</v>
      </c>
      <c r="BI360" s="697">
        <v>0</v>
      </c>
      <c r="BJ360" s="697">
        <v>0</v>
      </c>
      <c r="BK360" s="1492">
        <f t="shared" si="39"/>
        <v>0</v>
      </c>
      <c r="BL360" s="1492"/>
      <c r="BM360" s="1492">
        <f t="shared" si="40"/>
        <v>0</v>
      </c>
      <c r="BN360" s="1492">
        <f t="shared" si="41"/>
        <v>0</v>
      </c>
      <c r="BO360" s="697"/>
      <c r="BP360" s="697"/>
      <c r="BQ360" s="1495" t="s">
        <v>6935</v>
      </c>
      <c r="BR360" s="1495" t="s">
        <v>818</v>
      </c>
      <c r="BS360" s="1902" t="s">
        <v>655</v>
      </c>
      <c r="BT360" s="1907" t="s">
        <v>2079</v>
      </c>
    </row>
    <row r="361" spans="1:72" ht="13">
      <c r="A361" s="1545">
        <v>917</v>
      </c>
      <c r="B361" s="1546" t="s">
        <v>800</v>
      </c>
      <c r="C361" s="1546" t="s">
        <v>801</v>
      </c>
      <c r="D361" s="1547" t="s">
        <v>6887</v>
      </c>
      <c r="E361" s="690" t="s">
        <v>664</v>
      </c>
      <c r="F361" s="691"/>
      <c r="G361" s="692"/>
      <c r="H361" s="692"/>
      <c r="I361" s="692"/>
      <c r="J361" s="693"/>
      <c r="K361" s="693"/>
      <c r="L361" s="693"/>
      <c r="M361" s="694"/>
      <c r="N361" s="695"/>
      <c r="O361" s="696" t="s">
        <v>1569</v>
      </c>
      <c r="P361" s="695">
        <f>'HIV-Key Info'!$G$83*(('HIV-Key Info'!$E$83*('HPM costs'!F205+'HPM costs'!F551))+('HIV-Key Info'!$F$83*('HPM costs'!F208+'HPM costs'!F211+'HPM costs'!F554+'HPM costs'!F557)))</f>
        <v>0</v>
      </c>
      <c r="Q361" s="695" t="s">
        <v>1569</v>
      </c>
      <c r="R361" s="695">
        <f>'HIV-Key Info'!$G$83*(('HIV-Key Info'!$E$83*('HPM costs'!G205+'HPM costs'!G551))+('HIV-Key Info'!$F$83*('HPM costs'!G208+'HPM costs'!G211+'HPM costs'!G554+'HPM costs'!G557)))</f>
        <v>0</v>
      </c>
      <c r="S361" s="695" t="s">
        <v>1569</v>
      </c>
      <c r="T361" s="695">
        <f>'HIV-Key Info'!$G$83*(('HIV-Key Info'!$E$83*('HPM costs'!H205+'HPM costs'!H551))+('HIV-Key Info'!$F$83*('HPM costs'!H208+'HPM costs'!H211+'HPM costs'!H554+'HPM costs'!H557)))</f>
        <v>0</v>
      </c>
      <c r="U361" s="695" t="s">
        <v>1569</v>
      </c>
      <c r="V361" s="695">
        <f>'HIV-Key Info'!$G$83*(('HIV-Key Info'!$E$83*('HPM costs'!I205+'HPM costs'!I551))+('HIV-Key Info'!$F$83*('HPM costs'!I208+'HPM costs'!I211+'HPM costs'!I554+'HPM costs'!I557)))</f>
        <v>0</v>
      </c>
      <c r="W361" s="695"/>
      <c r="X361" s="1492">
        <f t="shared" si="36"/>
        <v>0</v>
      </c>
      <c r="Y361" s="1493"/>
      <c r="Z361" s="1494"/>
      <c r="AA361" s="699"/>
      <c r="AB361" s="695"/>
      <c r="AC361" s="695">
        <f>'HIV-Key Info'!$G$83*(('HIV-Key Info'!$E$83*('HPM costs'!K205+'HPM costs'!K551))+('HIV-Key Info'!$F$83*('HPM costs'!K208+'HPM costs'!K211+'HPM costs'!K554+'HPM costs'!K557)))</f>
        <v>0</v>
      </c>
      <c r="AD361" s="695"/>
      <c r="AE361" s="695">
        <f>'HIV-Key Info'!$G$83*(('HIV-Key Info'!$E$83*('HPM costs'!L205+'HPM costs'!L551))+('HIV-Key Info'!$F$83*('HPM costs'!L208+'HPM costs'!L211+'HPM costs'!L554+'HPM costs'!L557)))</f>
        <v>0</v>
      </c>
      <c r="AF361" s="695"/>
      <c r="AG361" s="695">
        <f>'HIV-Key Info'!$G$83*(('HIV-Key Info'!$E$83*('HPM costs'!M205+'HPM costs'!M551))+('HIV-Key Info'!$F$83*('HPM costs'!M208+'HPM costs'!M211+'HPM costs'!M554+'HPM costs'!M557)))</f>
        <v>0</v>
      </c>
      <c r="AH361" s="695"/>
      <c r="AI361" s="695">
        <f>'HIV-Key Info'!$G$83*(('HIV-Key Info'!$E$83*('HPM costs'!N205+'HPM costs'!N551))+('HIV-Key Info'!$F$83*('HPM costs'!N208+'HPM costs'!N211+'HPM costs'!N554+'HPM costs'!N557)))</f>
        <v>0</v>
      </c>
      <c r="AJ361" s="695"/>
      <c r="AK361" s="1492">
        <f t="shared" si="37"/>
        <v>0</v>
      </c>
      <c r="AL361" s="1493"/>
      <c r="AM361" s="1494"/>
      <c r="AN361" s="699"/>
      <c r="AO361" s="695"/>
      <c r="AP361" s="695">
        <f>'HIV-Key Info'!$G$83*(('HIV-Key Info'!$E$83*('HPM costs'!P205+'HPM costs'!P551))+('HIV-Key Info'!$F$83*('HPM costs'!P208+'HPM costs'!P211+'HPM costs'!P554+'HPM costs'!P557)))</f>
        <v>0</v>
      </c>
      <c r="AQ361" s="695"/>
      <c r="AR361" s="695">
        <f>'HIV-Key Info'!$G$83*(('HIV-Key Info'!$E$83*('HPM costs'!Q205+'HPM costs'!Q551))+('HIV-Key Info'!$F$83*('HPM costs'!Q208+'HPM costs'!Q211+'HPM costs'!Q554+'HPM costs'!Q557)))</f>
        <v>0</v>
      </c>
      <c r="AS361" s="695"/>
      <c r="AT361" s="695">
        <f>'HIV-Key Info'!$G$83*(('HIV-Key Info'!$E$83*('HPM costs'!R205+'HPM costs'!R551))+('HIV-Key Info'!$F$83*('HPM costs'!R208+'HPM costs'!R211+'HPM costs'!R554+'HPM costs'!R557)))</f>
        <v>0</v>
      </c>
      <c r="AU361" s="695"/>
      <c r="AV361" s="695">
        <f>'HIV-Key Info'!$G$83*(('HIV-Key Info'!$E$83*('HPM costs'!S205+'HPM costs'!S551))+('HIV-Key Info'!$F$83*('HPM costs'!S208+'HPM costs'!S211+'HPM costs'!S554+'HPM costs'!S557)))</f>
        <v>0</v>
      </c>
      <c r="AW361" s="695"/>
      <c r="AX361" s="1492">
        <f t="shared" si="38"/>
        <v>0</v>
      </c>
      <c r="AY361" s="1492"/>
      <c r="AZ361" s="698"/>
      <c r="BA361" s="699"/>
      <c r="BB361" s="697"/>
      <c r="BC361" s="697">
        <v>0</v>
      </c>
      <c r="BD361" s="697">
        <v>0</v>
      </c>
      <c r="BE361" s="697">
        <v>0</v>
      </c>
      <c r="BF361" s="697">
        <v>0</v>
      </c>
      <c r="BG361" s="697">
        <v>0</v>
      </c>
      <c r="BH361" s="697">
        <v>0</v>
      </c>
      <c r="BI361" s="697">
        <v>0</v>
      </c>
      <c r="BJ361" s="697">
        <v>0</v>
      </c>
      <c r="BK361" s="1492">
        <f t="shared" si="39"/>
        <v>0</v>
      </c>
      <c r="BL361" s="1492"/>
      <c r="BM361" s="1492">
        <f t="shared" si="40"/>
        <v>0</v>
      </c>
      <c r="BN361" s="1492">
        <f t="shared" si="41"/>
        <v>0</v>
      </c>
      <c r="BO361" s="697"/>
      <c r="BP361" s="697"/>
      <c r="BQ361" s="1495" t="s">
        <v>6935</v>
      </c>
      <c r="BR361" s="1495" t="s">
        <v>818</v>
      </c>
      <c r="BS361" s="1902" t="s">
        <v>655</v>
      </c>
      <c r="BT361" s="1907" t="s">
        <v>2080</v>
      </c>
    </row>
    <row r="362" spans="1:72" ht="13">
      <c r="A362" s="1545">
        <v>918</v>
      </c>
      <c r="B362" s="1546" t="s">
        <v>800</v>
      </c>
      <c r="C362" s="1546" t="s">
        <v>801</v>
      </c>
      <c r="D362" s="1547" t="s">
        <v>6887</v>
      </c>
      <c r="E362" s="690" t="s">
        <v>666</v>
      </c>
      <c r="F362" s="691"/>
      <c r="G362" s="692"/>
      <c r="H362" s="692"/>
      <c r="I362" s="692"/>
      <c r="J362" s="693"/>
      <c r="K362" s="693"/>
      <c r="L362" s="693"/>
      <c r="M362" s="694"/>
      <c r="N362" s="695"/>
      <c r="O362" s="696" t="s">
        <v>1569</v>
      </c>
      <c r="P362" s="695">
        <f>'HIV-Key Info'!$G$83*(('HIV-Key Info'!$E$83*'HPM costs'!F291)+('HIV-Key Info'!$F$83*('HPM costs'!F294+'HPM costs'!F297)))</f>
        <v>0</v>
      </c>
      <c r="Q362" s="695" t="s">
        <v>1569</v>
      </c>
      <c r="R362" s="695">
        <f>'HIV-Key Info'!$G$83*(('HIV-Key Info'!$E$83*'HPM costs'!G291)+('HIV-Key Info'!$F$83*('HPM costs'!G294+'HPM costs'!G297)))</f>
        <v>0</v>
      </c>
      <c r="S362" s="695" t="s">
        <v>1569</v>
      </c>
      <c r="T362" s="695">
        <f>'HIV-Key Info'!$G$83*(('HIV-Key Info'!$E$83*'HPM costs'!H291)+('HIV-Key Info'!$F$83*('HPM costs'!H294+'HPM costs'!H297)))</f>
        <v>0</v>
      </c>
      <c r="U362" s="695" t="s">
        <v>1569</v>
      </c>
      <c r="V362" s="695">
        <f>'HIV-Key Info'!$G$83*(('HIV-Key Info'!$E$83*'HPM costs'!I291)+('HIV-Key Info'!$F$83*('HPM costs'!I294+'HPM costs'!I297)))</f>
        <v>0</v>
      </c>
      <c r="W362" s="695"/>
      <c r="X362" s="1492">
        <f t="shared" si="36"/>
        <v>0</v>
      </c>
      <c r="Y362" s="1493"/>
      <c r="Z362" s="1494"/>
      <c r="AA362" s="699"/>
      <c r="AB362" s="695"/>
      <c r="AC362" s="695">
        <f>'HIV-Key Info'!$G$83*(('HIV-Key Info'!$E$83*'HPM costs'!K291)+('HIV-Key Info'!$F$83*('HPM costs'!K294+'HPM costs'!K297)))</f>
        <v>0</v>
      </c>
      <c r="AD362" s="695"/>
      <c r="AE362" s="695">
        <f>'HIV-Key Info'!$G$83*(('HIV-Key Info'!$E$83*'HPM costs'!L291)+('HIV-Key Info'!$F$83*('HPM costs'!L294+'HPM costs'!L297)))</f>
        <v>0</v>
      </c>
      <c r="AF362" s="695"/>
      <c r="AG362" s="695">
        <f>'HIV-Key Info'!$G$83*(('HIV-Key Info'!$E$83*'HPM costs'!M291)+('HIV-Key Info'!$F$83*('HPM costs'!M294+'HPM costs'!M297)))</f>
        <v>0</v>
      </c>
      <c r="AH362" s="695"/>
      <c r="AI362" s="695">
        <f>'HIV-Key Info'!$G$83*(('HIV-Key Info'!$E$83*'HPM costs'!N291)+('HIV-Key Info'!$F$83*('HPM costs'!N294+'HPM costs'!N297)))</f>
        <v>0</v>
      </c>
      <c r="AJ362" s="695"/>
      <c r="AK362" s="1492">
        <f t="shared" si="37"/>
        <v>0</v>
      </c>
      <c r="AL362" s="1493"/>
      <c r="AM362" s="1494"/>
      <c r="AN362" s="699"/>
      <c r="AO362" s="695"/>
      <c r="AP362" s="695">
        <f>'HIV-Key Info'!$G$83*(('HIV-Key Info'!$E$83*'HPM costs'!P291)+('HIV-Key Info'!$F$83*('HPM costs'!P294+'HPM costs'!P297)))</f>
        <v>0</v>
      </c>
      <c r="AQ362" s="695"/>
      <c r="AR362" s="695">
        <f>'HIV-Key Info'!$G$83*(('HIV-Key Info'!$E$83*'HPM costs'!Q291)+('HIV-Key Info'!$F$83*('HPM costs'!Q294+'HPM costs'!Q297)))</f>
        <v>0</v>
      </c>
      <c r="AS362" s="695"/>
      <c r="AT362" s="695">
        <f>'HIV-Key Info'!$G$83*(('HIV-Key Info'!$E$83*'HPM costs'!R291)+('HIV-Key Info'!$F$83*('HPM costs'!R294+'HPM costs'!R297)))</f>
        <v>0</v>
      </c>
      <c r="AU362" s="695"/>
      <c r="AV362" s="695">
        <f>'HIV-Key Info'!$G$83*(('HIV-Key Info'!$E$83*'HPM costs'!S291)+('HIV-Key Info'!$F$83*('HPM costs'!S294+'HPM costs'!S297)))</f>
        <v>0</v>
      </c>
      <c r="AW362" s="695"/>
      <c r="AX362" s="1492">
        <f t="shared" si="38"/>
        <v>0</v>
      </c>
      <c r="AY362" s="1492"/>
      <c r="AZ362" s="698"/>
      <c r="BA362" s="699"/>
      <c r="BB362" s="697"/>
      <c r="BC362" s="697">
        <v>0</v>
      </c>
      <c r="BD362" s="697">
        <v>0</v>
      </c>
      <c r="BE362" s="697">
        <v>0</v>
      </c>
      <c r="BF362" s="697">
        <v>0</v>
      </c>
      <c r="BG362" s="697">
        <v>0</v>
      </c>
      <c r="BH362" s="697">
        <v>0</v>
      </c>
      <c r="BI362" s="697">
        <v>0</v>
      </c>
      <c r="BJ362" s="697">
        <v>0</v>
      </c>
      <c r="BK362" s="1492">
        <f t="shared" si="39"/>
        <v>0</v>
      </c>
      <c r="BL362" s="1492"/>
      <c r="BM362" s="1492">
        <f t="shared" si="40"/>
        <v>0</v>
      </c>
      <c r="BN362" s="1492">
        <f t="shared" si="41"/>
        <v>0</v>
      </c>
      <c r="BO362" s="697"/>
      <c r="BP362" s="697"/>
      <c r="BQ362" s="1495" t="s">
        <v>6935</v>
      </c>
      <c r="BR362" s="1495" t="s">
        <v>818</v>
      </c>
      <c r="BS362" s="1902" t="s">
        <v>655</v>
      </c>
      <c r="BT362" s="1907" t="s">
        <v>2081</v>
      </c>
    </row>
    <row r="363" spans="1:72" ht="13">
      <c r="A363" s="1545">
        <v>919</v>
      </c>
      <c r="B363" s="1546" t="s">
        <v>800</v>
      </c>
      <c r="C363" s="1546" t="s">
        <v>801</v>
      </c>
      <c r="D363" s="1547" t="s">
        <v>6887</v>
      </c>
      <c r="E363" s="690" t="s">
        <v>668</v>
      </c>
      <c r="F363" s="691"/>
      <c r="G363" s="692"/>
      <c r="H363" s="692"/>
      <c r="I363" s="692"/>
      <c r="J363" s="693"/>
      <c r="K363" s="693"/>
      <c r="L363" s="693"/>
      <c r="M363" s="694"/>
      <c r="N363" s="695"/>
      <c r="O363" s="696" t="s">
        <v>1569</v>
      </c>
      <c r="P363" s="695">
        <f>'HIV-Key Info'!$G$83*(('HIV-Key Info'!$E$83*'HPM costs'!F636)+('HIV-Key Info'!$F$83*('HPM costs'!F639+'HPM costs'!F642)))</f>
        <v>0</v>
      </c>
      <c r="Q363" s="695" t="s">
        <v>1569</v>
      </c>
      <c r="R363" s="695">
        <f>'HIV-Key Info'!$G$83*(('HIV-Key Info'!$E$83*'HPM costs'!G636)+('HIV-Key Info'!$F$83*('HPM costs'!G639+'HPM costs'!G642)))</f>
        <v>0</v>
      </c>
      <c r="S363" s="695" t="s">
        <v>1569</v>
      </c>
      <c r="T363" s="695">
        <f>'HIV-Key Info'!$G$83*(('HIV-Key Info'!$E$83*'HPM costs'!H636)+('HIV-Key Info'!$F$83*('HPM costs'!H639+'HPM costs'!H642)))</f>
        <v>0</v>
      </c>
      <c r="U363" s="695" t="s">
        <v>1569</v>
      </c>
      <c r="V363" s="695">
        <f>'HIV-Key Info'!$G$83*(('HIV-Key Info'!$E$83*'HPM costs'!I636)+('HIV-Key Info'!$F$83*('HPM costs'!I639+'HPM costs'!I642)))</f>
        <v>0</v>
      </c>
      <c r="W363" s="695"/>
      <c r="X363" s="1492">
        <f t="shared" si="36"/>
        <v>0</v>
      </c>
      <c r="Y363" s="1493"/>
      <c r="Z363" s="1494"/>
      <c r="AA363" s="699"/>
      <c r="AB363" s="695"/>
      <c r="AC363" s="695">
        <f>'HIV-Key Info'!$G$83*(('HIV-Key Info'!$E$83*'HPM costs'!K636)+('HIV-Key Info'!$F$83*('HPM costs'!K639+'HPM costs'!K642)))</f>
        <v>0</v>
      </c>
      <c r="AD363" s="695"/>
      <c r="AE363" s="695">
        <f>'HIV-Key Info'!$G$83*(('HIV-Key Info'!$E$83*'HPM costs'!L636)+('HIV-Key Info'!$F$83*('HPM costs'!L639+'HPM costs'!L642)))</f>
        <v>0</v>
      </c>
      <c r="AF363" s="695"/>
      <c r="AG363" s="695">
        <f>'HIV-Key Info'!$G$83*(('HIV-Key Info'!$E$83*'HPM costs'!M636)+('HIV-Key Info'!$F$83*('HPM costs'!M639+'HPM costs'!M642)))</f>
        <v>0</v>
      </c>
      <c r="AH363" s="695"/>
      <c r="AI363" s="695">
        <f>'HIV-Key Info'!$G$83*(('HIV-Key Info'!$E$83*'HPM costs'!N636)+('HIV-Key Info'!$F$83*('HPM costs'!N639+'HPM costs'!N642)))</f>
        <v>0</v>
      </c>
      <c r="AJ363" s="695"/>
      <c r="AK363" s="1492">
        <f t="shared" si="37"/>
        <v>0</v>
      </c>
      <c r="AL363" s="1493"/>
      <c r="AM363" s="1494"/>
      <c r="AN363" s="699"/>
      <c r="AO363" s="695"/>
      <c r="AP363" s="695">
        <f>'HIV-Key Info'!$G$83*(('HIV-Key Info'!$E$83*'HPM costs'!P636)+('HIV-Key Info'!$F$83*('HPM costs'!P639+'HPM costs'!P642)))</f>
        <v>0</v>
      </c>
      <c r="AQ363" s="695"/>
      <c r="AR363" s="695">
        <f>'HIV-Key Info'!$G$83*(('HIV-Key Info'!$E$83*'HPM costs'!Q636)+('HIV-Key Info'!$F$83*('HPM costs'!Q639+'HPM costs'!Q642)))</f>
        <v>0</v>
      </c>
      <c r="AS363" s="695"/>
      <c r="AT363" s="695">
        <f>'HIV-Key Info'!$G$83*(('HIV-Key Info'!$E$83*'HPM costs'!R636)+('HIV-Key Info'!$F$83*('HPM costs'!R639+'HPM costs'!R642)))</f>
        <v>0</v>
      </c>
      <c r="AU363" s="695"/>
      <c r="AV363" s="695">
        <f>'HIV-Key Info'!$G$83*(('HIV-Key Info'!$E$83*'HPM costs'!S636)+('HIV-Key Info'!$F$83*('HPM costs'!S639+'HPM costs'!S642)))</f>
        <v>0</v>
      </c>
      <c r="AW363" s="695"/>
      <c r="AX363" s="1492">
        <f t="shared" si="38"/>
        <v>0</v>
      </c>
      <c r="AY363" s="1492"/>
      <c r="AZ363" s="698"/>
      <c r="BA363" s="699"/>
      <c r="BB363" s="697"/>
      <c r="BC363" s="697">
        <v>0</v>
      </c>
      <c r="BD363" s="697">
        <v>0</v>
      </c>
      <c r="BE363" s="697">
        <v>0</v>
      </c>
      <c r="BF363" s="697">
        <v>0</v>
      </c>
      <c r="BG363" s="697">
        <v>0</v>
      </c>
      <c r="BH363" s="697">
        <v>0</v>
      </c>
      <c r="BI363" s="697">
        <v>0</v>
      </c>
      <c r="BJ363" s="697">
        <v>0</v>
      </c>
      <c r="BK363" s="1492">
        <f t="shared" si="39"/>
        <v>0</v>
      </c>
      <c r="BL363" s="1492"/>
      <c r="BM363" s="1492">
        <f t="shared" si="40"/>
        <v>0</v>
      </c>
      <c r="BN363" s="1492">
        <f t="shared" si="41"/>
        <v>0</v>
      </c>
      <c r="BO363" s="697"/>
      <c r="BP363" s="697"/>
      <c r="BQ363" s="1495" t="s">
        <v>6935</v>
      </c>
      <c r="BR363" s="1495" t="s">
        <v>818</v>
      </c>
      <c r="BS363" s="1902" t="s">
        <v>655</v>
      </c>
      <c r="BT363" s="1907" t="s">
        <v>2082</v>
      </c>
    </row>
    <row r="364" spans="1:72" ht="13">
      <c r="A364" s="1545">
        <v>920</v>
      </c>
      <c r="B364" s="1546" t="s">
        <v>800</v>
      </c>
      <c r="C364" s="1546" t="s">
        <v>802</v>
      </c>
      <c r="D364" s="1547" t="s">
        <v>6957</v>
      </c>
      <c r="E364" s="690" t="s">
        <v>731</v>
      </c>
      <c r="F364" s="691"/>
      <c r="G364" s="692"/>
      <c r="H364" s="692"/>
      <c r="I364" s="692"/>
      <c r="J364" s="693"/>
      <c r="K364" s="693"/>
      <c r="L364" s="693"/>
      <c r="M364" s="694"/>
      <c r="N364" s="695"/>
      <c r="O364" s="696" t="s">
        <v>1569</v>
      </c>
      <c r="P364" s="695">
        <f>'HIV-Key Info'!$H$83*('HIV-Key Info'!$E$83*('HPM costs'!F551/'HPM costs'!$E$551)+'HIV-Key Info'!$F$83*('HPM costs'!F557/'HPM costs'!$E$557+'HPM costs'!F554/'HPM costs'!$E$554))</f>
        <v>0</v>
      </c>
      <c r="Q364" s="695" t="s">
        <v>1569</v>
      </c>
      <c r="R364" s="695">
        <f>'HIV-Key Info'!$H$83*('HIV-Key Info'!$E$83*('HPM costs'!G551/'HPM costs'!$E$551)+'HIV-Key Info'!$F$83*('HPM costs'!G557/'HPM costs'!$E$557+'HPM costs'!G554/'HPM costs'!$E$554))</f>
        <v>0</v>
      </c>
      <c r="S364" s="695" t="s">
        <v>1569</v>
      </c>
      <c r="T364" s="695">
        <f>'HIV-Key Info'!$H$83*('HIV-Key Info'!$E$83*('HPM costs'!H551/'HPM costs'!$E$551)+'HIV-Key Info'!$F$83*('HPM costs'!H557/'HPM costs'!$E$557+'HPM costs'!H554/'HPM costs'!$E$554))</f>
        <v>0</v>
      </c>
      <c r="U364" s="695" t="s">
        <v>1569</v>
      </c>
      <c r="V364" s="695">
        <f>'HIV-Key Info'!$H$83*('HIV-Key Info'!$E$83*('HPM costs'!I551/'HPM costs'!$E$551)+'HIV-Key Info'!$F$83*('HPM costs'!I557/'HPM costs'!$E$557+'HPM costs'!I554/'HPM costs'!$E$554))</f>
        <v>0</v>
      </c>
      <c r="W364" s="695"/>
      <c r="X364" s="1492">
        <f t="shared" si="36"/>
        <v>0</v>
      </c>
      <c r="Y364" s="1493"/>
      <c r="Z364" s="1494"/>
      <c r="AA364" s="699"/>
      <c r="AB364" s="695"/>
      <c r="AC364" s="695">
        <f>'HIV-Key Info'!$H$83*('HIV-Key Info'!$E$83*('HPM costs'!K551/'HPM costs'!$E$551)+'HIV-Key Info'!$F$83*('HPM costs'!K557/'HPM costs'!$E$557+'HPM costs'!K554/'HPM costs'!$E$554))</f>
        <v>0</v>
      </c>
      <c r="AD364" s="695"/>
      <c r="AE364" s="695">
        <f>'HIV-Key Info'!$H$83*('HIV-Key Info'!$E$83*('HPM costs'!L551/'HPM costs'!$E$551)+'HIV-Key Info'!$F$83*('HPM costs'!L557/'HPM costs'!$E$557+'HPM costs'!L554/'HPM costs'!$E$554))</f>
        <v>0</v>
      </c>
      <c r="AF364" s="695"/>
      <c r="AG364" s="695">
        <f>'HIV-Key Info'!$H$83*('HIV-Key Info'!$E$83*('HPM costs'!M551/'HPM costs'!$E$551)+'HIV-Key Info'!$F$83*('HPM costs'!M557/'HPM costs'!$E$557+'HPM costs'!M554/'HPM costs'!$E$554))</f>
        <v>0</v>
      </c>
      <c r="AH364" s="695"/>
      <c r="AI364" s="695">
        <f>'HIV-Key Info'!$H$83*('HIV-Key Info'!$E$83*('HPM costs'!N551/'HPM costs'!$E$551)+'HIV-Key Info'!$F$83*('HPM costs'!N557/'HPM costs'!$E$557+'HPM costs'!N554/'HPM costs'!$E$554))</f>
        <v>0</v>
      </c>
      <c r="AJ364" s="695"/>
      <c r="AK364" s="1492">
        <f t="shared" si="37"/>
        <v>0</v>
      </c>
      <c r="AL364" s="1493"/>
      <c r="AM364" s="1494"/>
      <c r="AN364" s="699"/>
      <c r="AO364" s="695"/>
      <c r="AP364" s="695">
        <f>'HIV-Key Info'!$H$83*('HIV-Key Info'!$E$83*('HPM costs'!P551/'HPM costs'!$E$551)+'HIV-Key Info'!$F$83*('HPM costs'!P557/'HPM costs'!$E$557+'HPM costs'!P554/'HPM costs'!$E$554))</f>
        <v>0</v>
      </c>
      <c r="AQ364" s="695"/>
      <c r="AR364" s="695">
        <f>'HIV-Key Info'!$H$83*('HIV-Key Info'!$E$83*('HPM costs'!Q551/'HPM costs'!$E$551)+'HIV-Key Info'!$F$83*('HPM costs'!Q557/'HPM costs'!$E$557+'HPM costs'!Q554/'HPM costs'!$E$554))</f>
        <v>0</v>
      </c>
      <c r="AS364" s="695"/>
      <c r="AT364" s="695">
        <f>'HIV-Key Info'!$H$83*('HIV-Key Info'!$E$83*('HPM costs'!R551/'HPM costs'!$E$551)+'HIV-Key Info'!$F$83*('HPM costs'!R557/'HPM costs'!$E$557+'HPM costs'!R554/'HPM costs'!$E$554))</f>
        <v>0</v>
      </c>
      <c r="AU364" s="695"/>
      <c r="AV364" s="695">
        <f>'HIV-Key Info'!$H$83*('HIV-Key Info'!$E$83*('HPM costs'!S551/'HPM costs'!$E$551)+'HIV-Key Info'!$F$83*('HPM costs'!S557/'HPM costs'!$E$557+'HPM costs'!S554/'HPM costs'!$E$554))</f>
        <v>0</v>
      </c>
      <c r="AW364" s="695"/>
      <c r="AX364" s="1492">
        <f t="shared" si="38"/>
        <v>0</v>
      </c>
      <c r="AY364" s="1492"/>
      <c r="AZ364" s="698"/>
      <c r="BA364" s="699"/>
      <c r="BB364" s="697"/>
      <c r="BC364" s="697">
        <v>0</v>
      </c>
      <c r="BD364" s="697">
        <v>0</v>
      </c>
      <c r="BE364" s="697">
        <v>0</v>
      </c>
      <c r="BF364" s="697">
        <v>0</v>
      </c>
      <c r="BG364" s="697">
        <v>0</v>
      </c>
      <c r="BH364" s="697">
        <v>0</v>
      </c>
      <c r="BI364" s="697">
        <v>0</v>
      </c>
      <c r="BJ364" s="697">
        <v>0</v>
      </c>
      <c r="BK364" s="1492">
        <f t="shared" si="39"/>
        <v>0</v>
      </c>
      <c r="BL364" s="1492"/>
      <c r="BM364" s="1492">
        <f t="shared" si="40"/>
        <v>0</v>
      </c>
      <c r="BN364" s="1492">
        <f t="shared" si="41"/>
        <v>0</v>
      </c>
      <c r="BO364" s="697"/>
      <c r="BP364" s="697"/>
      <c r="BQ364" s="1495" t="s">
        <v>6935</v>
      </c>
      <c r="BR364" s="1495" t="s">
        <v>818</v>
      </c>
      <c r="BS364" s="1902" t="s">
        <v>6953</v>
      </c>
      <c r="BT364" s="1907" t="s">
        <v>2083</v>
      </c>
    </row>
    <row r="365" spans="1:72" ht="13">
      <c r="A365" s="1545">
        <v>921</v>
      </c>
      <c r="B365" s="1546" t="s">
        <v>800</v>
      </c>
      <c r="C365" s="1546" t="s">
        <v>802</v>
      </c>
      <c r="D365" s="1547" t="s">
        <v>6887</v>
      </c>
      <c r="E365" s="690" t="s">
        <v>656</v>
      </c>
      <c r="F365" s="691"/>
      <c r="G365" s="692"/>
      <c r="H365" s="692"/>
      <c r="I365" s="692"/>
      <c r="J365" s="693"/>
      <c r="K365" s="693"/>
      <c r="L365" s="693"/>
      <c r="M365" s="694"/>
      <c r="N365" s="695"/>
      <c r="O365" s="696" t="s">
        <v>1569</v>
      </c>
      <c r="P365" s="695">
        <f>'HIV-Key Info'!$H$83*(('HIV-Key Info'!$E$83*'HPM costs'!F33)+('HIV-Key Info'!$F$83*('HPM costs'!F36+'HPM costs'!F39)))</f>
        <v>0</v>
      </c>
      <c r="Q365" s="695" t="s">
        <v>1569</v>
      </c>
      <c r="R365" s="695">
        <f>'HIV-Key Info'!$H$83*(('HIV-Key Info'!$E$83*'HPM costs'!G33)+('HIV-Key Info'!$F$83*('HPM costs'!G36+'HPM costs'!G39)))</f>
        <v>0</v>
      </c>
      <c r="S365" s="695" t="s">
        <v>1569</v>
      </c>
      <c r="T365" s="695">
        <f>'HIV-Key Info'!$H$83*(('HIV-Key Info'!$E$83*'HPM costs'!H33)+('HIV-Key Info'!$F$83*('HPM costs'!H36+'HPM costs'!H39)))</f>
        <v>0</v>
      </c>
      <c r="U365" s="695" t="s">
        <v>1569</v>
      </c>
      <c r="V365" s="695">
        <f>'HIV-Key Info'!$H$83*(('HIV-Key Info'!$E$83*'HPM costs'!I33)+('HIV-Key Info'!$F$83*('HPM costs'!I36+'HPM costs'!I39)))</f>
        <v>0</v>
      </c>
      <c r="W365" s="695"/>
      <c r="X365" s="1492">
        <f t="shared" si="36"/>
        <v>0</v>
      </c>
      <c r="Y365" s="1493"/>
      <c r="Z365" s="1494"/>
      <c r="AA365" s="699"/>
      <c r="AB365" s="695"/>
      <c r="AC365" s="695">
        <f>'HIV-Key Info'!$H$83*(('HIV-Key Info'!$E$83*'HPM costs'!K33)+('HIV-Key Info'!$F$83*('HPM costs'!K36+'HPM costs'!K39)))</f>
        <v>0</v>
      </c>
      <c r="AD365" s="695"/>
      <c r="AE365" s="695">
        <f>'HIV-Key Info'!$H$83*(('HIV-Key Info'!$E$83*'HPM costs'!L33)+('HIV-Key Info'!$F$83*('HPM costs'!L36+'HPM costs'!L39)))</f>
        <v>0</v>
      </c>
      <c r="AF365" s="695"/>
      <c r="AG365" s="695">
        <f>'HIV-Key Info'!$H$83*(('HIV-Key Info'!$E$83*'HPM costs'!M33)+('HIV-Key Info'!$F$83*('HPM costs'!M36+'HPM costs'!M39)))</f>
        <v>0</v>
      </c>
      <c r="AH365" s="695"/>
      <c r="AI365" s="695">
        <f>'HIV-Key Info'!$H$83*(('HIV-Key Info'!$E$83*'HPM costs'!N33)+('HIV-Key Info'!$F$83*('HPM costs'!N36+'HPM costs'!N39)))</f>
        <v>0</v>
      </c>
      <c r="AJ365" s="695"/>
      <c r="AK365" s="1492">
        <f t="shared" si="37"/>
        <v>0</v>
      </c>
      <c r="AL365" s="1493"/>
      <c r="AM365" s="1494"/>
      <c r="AN365" s="699"/>
      <c r="AO365" s="695"/>
      <c r="AP365" s="695">
        <f>'HIV-Key Info'!$H$83*(('HIV-Key Info'!$E$83*'HPM costs'!P33)+('HIV-Key Info'!$F$83*('HPM costs'!P36+'HPM costs'!P39)))</f>
        <v>0</v>
      </c>
      <c r="AQ365" s="695"/>
      <c r="AR365" s="695">
        <f>'HIV-Key Info'!$H$83*(('HIV-Key Info'!$E$83*'HPM costs'!Q33)+('HIV-Key Info'!$F$83*('HPM costs'!Q36+'HPM costs'!Q39)))</f>
        <v>0</v>
      </c>
      <c r="AS365" s="695"/>
      <c r="AT365" s="695">
        <f>'HIV-Key Info'!$H$83*(('HIV-Key Info'!$E$83*'HPM costs'!R33)+('HIV-Key Info'!$F$83*('HPM costs'!R36+'HPM costs'!R39)))</f>
        <v>0</v>
      </c>
      <c r="AU365" s="695"/>
      <c r="AV365" s="695">
        <f>'HIV-Key Info'!$H$83*(('HIV-Key Info'!$E$83*'HPM costs'!S33)+('HIV-Key Info'!$F$83*('HPM costs'!S36+'HPM costs'!S39)))</f>
        <v>0</v>
      </c>
      <c r="AW365" s="695"/>
      <c r="AX365" s="1492">
        <f t="shared" si="38"/>
        <v>0</v>
      </c>
      <c r="AY365" s="1492"/>
      <c r="AZ365" s="698"/>
      <c r="BA365" s="699"/>
      <c r="BB365" s="697"/>
      <c r="BC365" s="697">
        <v>0</v>
      </c>
      <c r="BD365" s="697">
        <v>0</v>
      </c>
      <c r="BE365" s="697">
        <v>0</v>
      </c>
      <c r="BF365" s="697">
        <v>0</v>
      </c>
      <c r="BG365" s="697">
        <v>0</v>
      </c>
      <c r="BH365" s="697">
        <v>0</v>
      </c>
      <c r="BI365" s="697">
        <v>0</v>
      </c>
      <c r="BJ365" s="697">
        <v>0</v>
      </c>
      <c r="BK365" s="1492">
        <f t="shared" si="39"/>
        <v>0</v>
      </c>
      <c r="BL365" s="1492"/>
      <c r="BM365" s="1492">
        <f t="shared" si="40"/>
        <v>0</v>
      </c>
      <c r="BN365" s="1492">
        <f t="shared" si="41"/>
        <v>0</v>
      </c>
      <c r="BO365" s="697"/>
      <c r="BP365" s="697"/>
      <c r="BQ365" s="1495" t="s">
        <v>6935</v>
      </c>
      <c r="BR365" s="1495" t="s">
        <v>818</v>
      </c>
      <c r="BS365" s="1902" t="s">
        <v>655</v>
      </c>
      <c r="BT365" s="1907" t="s">
        <v>2084</v>
      </c>
    </row>
    <row r="366" spans="1:72" ht="13">
      <c r="A366" s="1545">
        <v>922</v>
      </c>
      <c r="B366" s="1546" t="s">
        <v>800</v>
      </c>
      <c r="C366" s="1546" t="s">
        <v>802</v>
      </c>
      <c r="D366" s="1547" t="s">
        <v>6887</v>
      </c>
      <c r="E366" s="690" t="s">
        <v>658</v>
      </c>
      <c r="F366" s="691"/>
      <c r="G366" s="692"/>
      <c r="H366" s="692"/>
      <c r="I366" s="692"/>
      <c r="J366" s="693"/>
      <c r="K366" s="693"/>
      <c r="L366" s="693"/>
      <c r="M366" s="694"/>
      <c r="N366" s="695"/>
      <c r="O366" s="696" t="s">
        <v>1569</v>
      </c>
      <c r="P366" s="695">
        <f>'HIV-Key Info'!$H$83*(('HIV-Key Info'!$E$83*'HPM costs'!F119)+('HIV-Key Info'!$F$83*('HPM costs'!F122+'HPM costs'!F125)))</f>
        <v>0</v>
      </c>
      <c r="Q366" s="695" t="s">
        <v>1569</v>
      </c>
      <c r="R366" s="695">
        <f>'HIV-Key Info'!$H$83*(('HIV-Key Info'!$E$83*'HPM costs'!G119)+('HIV-Key Info'!$F$83*('HPM costs'!G122+'HPM costs'!G125)))</f>
        <v>0</v>
      </c>
      <c r="S366" s="695" t="s">
        <v>1569</v>
      </c>
      <c r="T366" s="695">
        <f>'HIV-Key Info'!$H$83*(('HIV-Key Info'!$E$83*'HPM costs'!H119)+('HIV-Key Info'!$F$83*('HPM costs'!H122+'HPM costs'!H125)))</f>
        <v>0</v>
      </c>
      <c r="U366" s="695" t="s">
        <v>1569</v>
      </c>
      <c r="V366" s="695">
        <f>'HIV-Key Info'!$H$83*(('HIV-Key Info'!$E$83*'HPM costs'!I119)+('HIV-Key Info'!$F$83*('HPM costs'!I122+'HPM costs'!I125)))</f>
        <v>0</v>
      </c>
      <c r="W366" s="695"/>
      <c r="X366" s="1492">
        <f t="shared" si="36"/>
        <v>0</v>
      </c>
      <c r="Y366" s="1493"/>
      <c r="Z366" s="1494"/>
      <c r="AA366" s="699"/>
      <c r="AB366" s="695"/>
      <c r="AC366" s="695">
        <f>'HIV-Key Info'!$H$83*(('HIV-Key Info'!$E$83*'HPM costs'!K119)+('HIV-Key Info'!$F$83*('HPM costs'!K122+'HPM costs'!K125)))</f>
        <v>0</v>
      </c>
      <c r="AD366" s="695"/>
      <c r="AE366" s="695">
        <f>'HIV-Key Info'!$H$83*(('HIV-Key Info'!$E$83*'HPM costs'!L119)+('HIV-Key Info'!$F$83*('HPM costs'!L122+'HPM costs'!L125)))</f>
        <v>0</v>
      </c>
      <c r="AF366" s="695"/>
      <c r="AG366" s="695">
        <f>'HIV-Key Info'!$H$83*(('HIV-Key Info'!$E$83*'HPM costs'!M119)+('HIV-Key Info'!$F$83*('HPM costs'!M122+'HPM costs'!M125)))</f>
        <v>0</v>
      </c>
      <c r="AH366" s="695"/>
      <c r="AI366" s="695">
        <f>'HIV-Key Info'!$H$83*(('HIV-Key Info'!$E$83*'HPM costs'!N119)+('HIV-Key Info'!$F$83*('HPM costs'!N122+'HPM costs'!N125)))</f>
        <v>0</v>
      </c>
      <c r="AJ366" s="695"/>
      <c r="AK366" s="1492">
        <f t="shared" si="37"/>
        <v>0</v>
      </c>
      <c r="AL366" s="1493"/>
      <c r="AM366" s="1494"/>
      <c r="AN366" s="699"/>
      <c r="AO366" s="695"/>
      <c r="AP366" s="695">
        <f>'HIV-Key Info'!$H$83*(('HIV-Key Info'!$E$83*'HPM costs'!P119)+('HIV-Key Info'!$F$83*('HPM costs'!P122+'HPM costs'!P125)))</f>
        <v>0</v>
      </c>
      <c r="AQ366" s="695"/>
      <c r="AR366" s="695">
        <f>'HIV-Key Info'!$H$83*(('HIV-Key Info'!$E$83*'HPM costs'!Q119)+('HIV-Key Info'!$F$83*('HPM costs'!Q122+'HPM costs'!Q125)))</f>
        <v>0</v>
      </c>
      <c r="AS366" s="695"/>
      <c r="AT366" s="695">
        <f>'HIV-Key Info'!$H$83*(('HIV-Key Info'!$E$83*'HPM costs'!R119)+('HIV-Key Info'!$F$83*('HPM costs'!R122+'HPM costs'!R125)))</f>
        <v>0</v>
      </c>
      <c r="AU366" s="695"/>
      <c r="AV366" s="695">
        <f>'HIV-Key Info'!$H$83*(('HIV-Key Info'!$E$83*'HPM costs'!S119)+('HIV-Key Info'!$F$83*('HPM costs'!S122+'HPM costs'!S125)))</f>
        <v>0</v>
      </c>
      <c r="AW366" s="695"/>
      <c r="AX366" s="1492">
        <f t="shared" si="38"/>
        <v>0</v>
      </c>
      <c r="AY366" s="1492"/>
      <c r="AZ366" s="698"/>
      <c r="BA366" s="699"/>
      <c r="BB366" s="697"/>
      <c r="BC366" s="697">
        <v>0</v>
      </c>
      <c r="BD366" s="697">
        <v>0</v>
      </c>
      <c r="BE366" s="697">
        <v>0</v>
      </c>
      <c r="BF366" s="697">
        <v>0</v>
      </c>
      <c r="BG366" s="697">
        <v>0</v>
      </c>
      <c r="BH366" s="697">
        <v>0</v>
      </c>
      <c r="BI366" s="697">
        <v>0</v>
      </c>
      <c r="BJ366" s="697">
        <v>0</v>
      </c>
      <c r="BK366" s="1492">
        <f t="shared" si="39"/>
        <v>0</v>
      </c>
      <c r="BL366" s="1492"/>
      <c r="BM366" s="1492">
        <f t="shared" si="40"/>
        <v>0</v>
      </c>
      <c r="BN366" s="1492">
        <f t="shared" si="41"/>
        <v>0</v>
      </c>
      <c r="BO366" s="697"/>
      <c r="BP366" s="697"/>
      <c r="BQ366" s="1495" t="s">
        <v>6935</v>
      </c>
      <c r="BR366" s="1495" t="s">
        <v>818</v>
      </c>
      <c r="BS366" s="1902" t="s">
        <v>655</v>
      </c>
      <c r="BT366" s="1907" t="s">
        <v>2085</v>
      </c>
    </row>
    <row r="367" spans="1:72" ht="13">
      <c r="A367" s="1545">
        <v>923</v>
      </c>
      <c r="B367" s="1546" t="s">
        <v>800</v>
      </c>
      <c r="C367" s="1546" t="s">
        <v>802</v>
      </c>
      <c r="D367" s="1547" t="s">
        <v>6887</v>
      </c>
      <c r="E367" s="690" t="s">
        <v>660</v>
      </c>
      <c r="F367" s="691"/>
      <c r="G367" s="692"/>
      <c r="H367" s="692"/>
      <c r="I367" s="692"/>
      <c r="J367" s="693"/>
      <c r="K367" s="693"/>
      <c r="L367" s="693"/>
      <c r="M367" s="694"/>
      <c r="N367" s="695"/>
      <c r="O367" s="696" t="s">
        <v>1569</v>
      </c>
      <c r="P367" s="695">
        <f>'HIV-Key Info'!$H$83*(('HIV-Key Info'!$E$83*'HPM costs'!F379)+('HIV-Key Info'!$F$83*('HPM costs'!F382+'HPM costs'!F385)))</f>
        <v>0</v>
      </c>
      <c r="Q367" s="695" t="s">
        <v>1569</v>
      </c>
      <c r="R367" s="695">
        <f>'HIV-Key Info'!$H$83*(('HIV-Key Info'!$E$83*'HPM costs'!G379)+('HIV-Key Info'!$F$83*('HPM costs'!G382+'HPM costs'!G385)))</f>
        <v>0</v>
      </c>
      <c r="S367" s="695" t="s">
        <v>1569</v>
      </c>
      <c r="T367" s="695">
        <f>'HIV-Key Info'!$H$83*(('HIV-Key Info'!$E$83*'HPM costs'!H379)+('HIV-Key Info'!$F$83*('HPM costs'!H382+'HPM costs'!H385)))</f>
        <v>0</v>
      </c>
      <c r="U367" s="695" t="s">
        <v>1569</v>
      </c>
      <c r="V367" s="695">
        <f>'HIV-Key Info'!$H$83*(('HIV-Key Info'!$E$83*'HPM costs'!I379)+('HIV-Key Info'!$F$83*('HPM costs'!I382+'HPM costs'!I385)))</f>
        <v>0</v>
      </c>
      <c r="W367" s="695"/>
      <c r="X367" s="1492">
        <f t="shared" si="36"/>
        <v>0</v>
      </c>
      <c r="Y367" s="1493"/>
      <c r="Z367" s="1494"/>
      <c r="AA367" s="699"/>
      <c r="AB367" s="695"/>
      <c r="AC367" s="695">
        <f>'HIV-Key Info'!$H$83*(('HIV-Key Info'!$E$83*'HPM costs'!K379)+('HIV-Key Info'!$F$83*('HPM costs'!K382+'HPM costs'!K385)))</f>
        <v>0</v>
      </c>
      <c r="AD367" s="695"/>
      <c r="AE367" s="695">
        <f>'HIV-Key Info'!$H$83*(('HIV-Key Info'!$E$83*'HPM costs'!L379)+('HIV-Key Info'!$F$83*('HPM costs'!L382+'HPM costs'!L385)))</f>
        <v>0</v>
      </c>
      <c r="AF367" s="695"/>
      <c r="AG367" s="695">
        <f>'HIV-Key Info'!$H$83*(('HIV-Key Info'!$E$83*'HPM costs'!M379)+('HIV-Key Info'!$F$83*('HPM costs'!M382+'HPM costs'!M385)))</f>
        <v>0</v>
      </c>
      <c r="AH367" s="695"/>
      <c r="AI367" s="695">
        <f>'HIV-Key Info'!$H$83*(('HIV-Key Info'!$E$83*'HPM costs'!N379)+('HIV-Key Info'!$F$83*('HPM costs'!N382+'HPM costs'!N385)))</f>
        <v>0</v>
      </c>
      <c r="AJ367" s="695"/>
      <c r="AK367" s="1492">
        <f t="shared" si="37"/>
        <v>0</v>
      </c>
      <c r="AL367" s="1493"/>
      <c r="AM367" s="1494"/>
      <c r="AN367" s="699"/>
      <c r="AO367" s="695"/>
      <c r="AP367" s="695">
        <f>'HIV-Key Info'!$H$83*(('HIV-Key Info'!$E$83*'HPM costs'!P379)+('HIV-Key Info'!$F$83*('HPM costs'!P382+'HPM costs'!P385)))</f>
        <v>0</v>
      </c>
      <c r="AQ367" s="695"/>
      <c r="AR367" s="695">
        <f>'HIV-Key Info'!$H$83*(('HIV-Key Info'!$E$83*'HPM costs'!Q379)+('HIV-Key Info'!$F$83*('HPM costs'!Q382+'HPM costs'!Q385)))</f>
        <v>0</v>
      </c>
      <c r="AS367" s="695"/>
      <c r="AT367" s="695">
        <f>'HIV-Key Info'!$H$83*(('HIV-Key Info'!$E$83*'HPM costs'!R379)+('HIV-Key Info'!$F$83*('HPM costs'!R382+'HPM costs'!R385)))</f>
        <v>0</v>
      </c>
      <c r="AU367" s="695"/>
      <c r="AV367" s="695">
        <f>'HIV-Key Info'!$H$83*(('HIV-Key Info'!$E$83*'HPM costs'!S379)+('HIV-Key Info'!$F$83*('HPM costs'!S382+'HPM costs'!S385)))</f>
        <v>0</v>
      </c>
      <c r="AW367" s="695"/>
      <c r="AX367" s="1492">
        <f t="shared" si="38"/>
        <v>0</v>
      </c>
      <c r="AY367" s="1492"/>
      <c r="AZ367" s="698"/>
      <c r="BA367" s="699"/>
      <c r="BB367" s="697"/>
      <c r="BC367" s="697">
        <v>0</v>
      </c>
      <c r="BD367" s="697">
        <v>0</v>
      </c>
      <c r="BE367" s="697">
        <v>0</v>
      </c>
      <c r="BF367" s="697">
        <v>0</v>
      </c>
      <c r="BG367" s="697">
        <v>0</v>
      </c>
      <c r="BH367" s="697">
        <v>0</v>
      </c>
      <c r="BI367" s="697">
        <v>0</v>
      </c>
      <c r="BJ367" s="697">
        <v>0</v>
      </c>
      <c r="BK367" s="1492">
        <f t="shared" si="39"/>
        <v>0</v>
      </c>
      <c r="BL367" s="1492"/>
      <c r="BM367" s="1492">
        <f t="shared" si="40"/>
        <v>0</v>
      </c>
      <c r="BN367" s="1492">
        <f t="shared" si="41"/>
        <v>0</v>
      </c>
      <c r="BO367" s="697"/>
      <c r="BP367" s="697"/>
      <c r="BQ367" s="1495" t="s">
        <v>6935</v>
      </c>
      <c r="BR367" s="1495" t="s">
        <v>818</v>
      </c>
      <c r="BS367" s="1902" t="s">
        <v>655</v>
      </c>
      <c r="BT367" s="1907" t="s">
        <v>2086</v>
      </c>
    </row>
    <row r="368" spans="1:72" ht="13">
      <c r="A368" s="1545">
        <v>924</v>
      </c>
      <c r="B368" s="1546" t="s">
        <v>800</v>
      </c>
      <c r="C368" s="1546" t="s">
        <v>802</v>
      </c>
      <c r="D368" s="1547" t="s">
        <v>6887</v>
      </c>
      <c r="E368" s="690" t="s">
        <v>662</v>
      </c>
      <c r="F368" s="691"/>
      <c r="G368" s="692"/>
      <c r="H368" s="692"/>
      <c r="I368" s="692"/>
      <c r="J368" s="693"/>
      <c r="K368" s="693"/>
      <c r="L368" s="693"/>
      <c r="M368" s="694"/>
      <c r="N368" s="695"/>
      <c r="O368" s="696" t="s">
        <v>1569</v>
      </c>
      <c r="P368" s="695">
        <f>'HIV-Key Info'!$H$83*(('HIV-Key Info'!$E$83*'HPM costs'!F465)+('HIV-Key Info'!$F$83*('HPM costs'!F468+'HPM costs'!F471)))</f>
        <v>0</v>
      </c>
      <c r="Q368" s="695" t="s">
        <v>1569</v>
      </c>
      <c r="R368" s="695">
        <f>'HIV-Key Info'!$H$83*(('HIV-Key Info'!$E$83*'HPM costs'!G465)+('HIV-Key Info'!$F$83*('HPM costs'!G468+'HPM costs'!G471)))</f>
        <v>0</v>
      </c>
      <c r="S368" s="695" t="s">
        <v>1569</v>
      </c>
      <c r="T368" s="695">
        <f>'HIV-Key Info'!$H$83*(('HIV-Key Info'!$E$83*'HPM costs'!H465)+('HIV-Key Info'!$F$83*('HPM costs'!H468+'HPM costs'!H471)))</f>
        <v>0</v>
      </c>
      <c r="U368" s="695" t="s">
        <v>1569</v>
      </c>
      <c r="V368" s="695">
        <f>'HIV-Key Info'!$H$83*(('HIV-Key Info'!$E$83*'HPM costs'!I465)+('HIV-Key Info'!$F$83*('HPM costs'!I468+'HPM costs'!I471)))</f>
        <v>0</v>
      </c>
      <c r="W368" s="695"/>
      <c r="X368" s="1492">
        <f t="shared" si="36"/>
        <v>0</v>
      </c>
      <c r="Y368" s="1493"/>
      <c r="Z368" s="1494"/>
      <c r="AA368" s="699"/>
      <c r="AB368" s="695"/>
      <c r="AC368" s="695">
        <f>'HIV-Key Info'!$H$83*(('HIV-Key Info'!$E$83*'HPM costs'!K465)+('HIV-Key Info'!$F$83*('HPM costs'!K468+'HPM costs'!K471)))</f>
        <v>0</v>
      </c>
      <c r="AD368" s="695"/>
      <c r="AE368" s="695">
        <f>'HIV-Key Info'!$H$83*(('HIV-Key Info'!$E$83*'HPM costs'!L465)+('HIV-Key Info'!$F$83*('HPM costs'!L468+'HPM costs'!L471)))</f>
        <v>0</v>
      </c>
      <c r="AF368" s="695"/>
      <c r="AG368" s="695">
        <f>'HIV-Key Info'!$H$83*(('HIV-Key Info'!$E$83*'HPM costs'!M465)+('HIV-Key Info'!$F$83*('HPM costs'!M468+'HPM costs'!M471)))</f>
        <v>0</v>
      </c>
      <c r="AH368" s="695"/>
      <c r="AI368" s="695">
        <f>'HIV-Key Info'!$H$83*(('HIV-Key Info'!$E$83*'HPM costs'!N465)+('HIV-Key Info'!$F$83*('HPM costs'!N468+'HPM costs'!N471)))</f>
        <v>0</v>
      </c>
      <c r="AJ368" s="695"/>
      <c r="AK368" s="1492">
        <f t="shared" si="37"/>
        <v>0</v>
      </c>
      <c r="AL368" s="1493"/>
      <c r="AM368" s="1494"/>
      <c r="AN368" s="699"/>
      <c r="AO368" s="695"/>
      <c r="AP368" s="695">
        <f>'HIV-Key Info'!$H$83*(('HIV-Key Info'!$E$83*'HPM costs'!P465)+('HIV-Key Info'!$F$83*('HPM costs'!P468+'HPM costs'!P471)))</f>
        <v>0</v>
      </c>
      <c r="AQ368" s="695"/>
      <c r="AR368" s="695">
        <f>'HIV-Key Info'!$H$83*(('HIV-Key Info'!$E$83*'HPM costs'!Q465)+('HIV-Key Info'!$F$83*('HPM costs'!Q468+'HPM costs'!Q471)))</f>
        <v>0</v>
      </c>
      <c r="AS368" s="695"/>
      <c r="AT368" s="695">
        <f>'HIV-Key Info'!$H$83*(('HIV-Key Info'!$E$83*'HPM costs'!R465)+('HIV-Key Info'!$F$83*('HPM costs'!R468+'HPM costs'!R471)))</f>
        <v>0</v>
      </c>
      <c r="AU368" s="695"/>
      <c r="AV368" s="695">
        <f>'HIV-Key Info'!$H$83*(('HIV-Key Info'!$E$83*'HPM costs'!S465)+('HIV-Key Info'!$F$83*('HPM costs'!S468+'HPM costs'!S471)))</f>
        <v>0</v>
      </c>
      <c r="AW368" s="695"/>
      <c r="AX368" s="1492">
        <f t="shared" si="38"/>
        <v>0</v>
      </c>
      <c r="AY368" s="1492"/>
      <c r="AZ368" s="698"/>
      <c r="BA368" s="699"/>
      <c r="BB368" s="697"/>
      <c r="BC368" s="697">
        <v>0</v>
      </c>
      <c r="BD368" s="697">
        <v>0</v>
      </c>
      <c r="BE368" s="697">
        <v>0</v>
      </c>
      <c r="BF368" s="697">
        <v>0</v>
      </c>
      <c r="BG368" s="697">
        <v>0</v>
      </c>
      <c r="BH368" s="697">
        <v>0</v>
      </c>
      <c r="BI368" s="697">
        <v>0</v>
      </c>
      <c r="BJ368" s="697">
        <v>0</v>
      </c>
      <c r="BK368" s="1492">
        <f t="shared" si="39"/>
        <v>0</v>
      </c>
      <c r="BL368" s="1492"/>
      <c r="BM368" s="1492">
        <f t="shared" si="40"/>
        <v>0</v>
      </c>
      <c r="BN368" s="1492">
        <f t="shared" si="41"/>
        <v>0</v>
      </c>
      <c r="BO368" s="697"/>
      <c r="BP368" s="697"/>
      <c r="BQ368" s="1495" t="s">
        <v>6935</v>
      </c>
      <c r="BR368" s="1495" t="s">
        <v>818</v>
      </c>
      <c r="BS368" s="1902" t="s">
        <v>655</v>
      </c>
      <c r="BT368" s="1907" t="s">
        <v>2087</v>
      </c>
    </row>
    <row r="369" spans="1:72" ht="13">
      <c r="A369" s="1545">
        <v>925</v>
      </c>
      <c r="B369" s="1546" t="s">
        <v>800</v>
      </c>
      <c r="C369" s="1546" t="s">
        <v>802</v>
      </c>
      <c r="D369" s="1547" t="s">
        <v>6887</v>
      </c>
      <c r="E369" s="690" t="s">
        <v>664</v>
      </c>
      <c r="F369" s="691"/>
      <c r="G369" s="692"/>
      <c r="H369" s="692"/>
      <c r="I369" s="692"/>
      <c r="J369" s="693"/>
      <c r="K369" s="693"/>
      <c r="L369" s="693"/>
      <c r="M369" s="694"/>
      <c r="N369" s="695"/>
      <c r="O369" s="696" t="s">
        <v>1569</v>
      </c>
      <c r="P369" s="695">
        <f>'HIV-Key Info'!$H$83*(('HIV-Key Info'!$E$83*('HPM costs'!F205+'HPM costs'!F551))+('HIV-Key Info'!$F$83*('HPM costs'!F208+'HPM costs'!F211+'HPM costs'!F554+'HPM costs'!F557)))</f>
        <v>0</v>
      </c>
      <c r="Q369" s="695" t="s">
        <v>1569</v>
      </c>
      <c r="R369" s="695">
        <f>'HIV-Key Info'!$H$83*(('HIV-Key Info'!$E$83*('HPM costs'!G205+'HPM costs'!G551))+('HIV-Key Info'!$F$83*('HPM costs'!G208+'HPM costs'!G211+'HPM costs'!G554+'HPM costs'!G557)))</f>
        <v>0</v>
      </c>
      <c r="S369" s="695" t="s">
        <v>1569</v>
      </c>
      <c r="T369" s="695">
        <f>'HIV-Key Info'!$H$83*(('HIV-Key Info'!$E$83*('HPM costs'!H205+'HPM costs'!H551))+('HIV-Key Info'!$F$83*('HPM costs'!H208+'HPM costs'!H211+'HPM costs'!H554+'HPM costs'!H557)))</f>
        <v>0</v>
      </c>
      <c r="U369" s="695" t="s">
        <v>1569</v>
      </c>
      <c r="V369" s="695">
        <f>'HIV-Key Info'!$H$83*(('HIV-Key Info'!$E$83*('HPM costs'!I205+'HPM costs'!I551))+('HIV-Key Info'!$F$83*('HPM costs'!I208+'HPM costs'!I211+'HPM costs'!I554+'HPM costs'!I557)))</f>
        <v>0</v>
      </c>
      <c r="W369" s="695"/>
      <c r="X369" s="1492">
        <f t="shared" si="36"/>
        <v>0</v>
      </c>
      <c r="Y369" s="1493"/>
      <c r="Z369" s="1494"/>
      <c r="AA369" s="699"/>
      <c r="AB369" s="695"/>
      <c r="AC369" s="695">
        <f>'HIV-Key Info'!$H$83*(('HIV-Key Info'!$E$83*('HPM costs'!K205+'HPM costs'!K551))+('HIV-Key Info'!$F$83*('HPM costs'!K208+'HPM costs'!K211+'HPM costs'!K554+'HPM costs'!K557)))</f>
        <v>0</v>
      </c>
      <c r="AD369" s="695"/>
      <c r="AE369" s="695">
        <f>'HIV-Key Info'!$H$83*(('HIV-Key Info'!$E$83*('HPM costs'!L205+'HPM costs'!L551))+('HIV-Key Info'!$F$83*('HPM costs'!L208+'HPM costs'!L211+'HPM costs'!L554+'HPM costs'!L557)))</f>
        <v>0</v>
      </c>
      <c r="AF369" s="695"/>
      <c r="AG369" s="695">
        <f>'HIV-Key Info'!$H$83*(('HIV-Key Info'!$E$83*('HPM costs'!M205+'HPM costs'!M551))+('HIV-Key Info'!$F$83*('HPM costs'!M208+'HPM costs'!M211+'HPM costs'!M554+'HPM costs'!M557)))</f>
        <v>0</v>
      </c>
      <c r="AH369" s="695"/>
      <c r="AI369" s="695">
        <f>'HIV-Key Info'!$H$83*(('HIV-Key Info'!$E$83*('HPM costs'!N205+'HPM costs'!N551))+('HIV-Key Info'!$F$83*('HPM costs'!N208+'HPM costs'!N211+'HPM costs'!N554+'HPM costs'!N557)))</f>
        <v>0</v>
      </c>
      <c r="AJ369" s="695"/>
      <c r="AK369" s="1492">
        <f t="shared" si="37"/>
        <v>0</v>
      </c>
      <c r="AL369" s="1493"/>
      <c r="AM369" s="1494"/>
      <c r="AN369" s="699"/>
      <c r="AO369" s="695"/>
      <c r="AP369" s="695">
        <f>'HIV-Key Info'!$H$83*(('HIV-Key Info'!$E$83*('HPM costs'!P205+'HPM costs'!P551))+('HIV-Key Info'!$F$83*('HPM costs'!P208+'HPM costs'!P211+'HPM costs'!P554+'HPM costs'!P557)))</f>
        <v>0</v>
      </c>
      <c r="AQ369" s="695"/>
      <c r="AR369" s="695">
        <f>'HIV-Key Info'!$H$83*(('HIV-Key Info'!$E$83*('HPM costs'!Q205+'HPM costs'!Q551))+('HIV-Key Info'!$F$83*('HPM costs'!Q208+'HPM costs'!Q211+'HPM costs'!Q554+'HPM costs'!Q557)))</f>
        <v>0</v>
      </c>
      <c r="AS369" s="695"/>
      <c r="AT369" s="695">
        <f>'HIV-Key Info'!$H$83*(('HIV-Key Info'!$E$83*('HPM costs'!R205+'HPM costs'!R551))+('HIV-Key Info'!$F$83*('HPM costs'!R208+'HPM costs'!R211+'HPM costs'!R554+'HPM costs'!R557)))</f>
        <v>0</v>
      </c>
      <c r="AU369" s="695"/>
      <c r="AV369" s="695">
        <f>'HIV-Key Info'!$H$83*(('HIV-Key Info'!$E$83*('HPM costs'!S205+'HPM costs'!S551))+('HIV-Key Info'!$F$83*('HPM costs'!S208+'HPM costs'!S211+'HPM costs'!S554+'HPM costs'!S557)))</f>
        <v>0</v>
      </c>
      <c r="AW369" s="695"/>
      <c r="AX369" s="1492">
        <f t="shared" si="38"/>
        <v>0</v>
      </c>
      <c r="AY369" s="1492"/>
      <c r="AZ369" s="698"/>
      <c r="BA369" s="699"/>
      <c r="BB369" s="697"/>
      <c r="BC369" s="697">
        <v>0</v>
      </c>
      <c r="BD369" s="697">
        <v>0</v>
      </c>
      <c r="BE369" s="697">
        <v>0</v>
      </c>
      <c r="BF369" s="697">
        <v>0</v>
      </c>
      <c r="BG369" s="697">
        <v>0</v>
      </c>
      <c r="BH369" s="697">
        <v>0</v>
      </c>
      <c r="BI369" s="697">
        <v>0</v>
      </c>
      <c r="BJ369" s="697">
        <v>0</v>
      </c>
      <c r="BK369" s="1492">
        <f t="shared" si="39"/>
        <v>0</v>
      </c>
      <c r="BL369" s="1492"/>
      <c r="BM369" s="1492">
        <f t="shared" si="40"/>
        <v>0</v>
      </c>
      <c r="BN369" s="1492">
        <f t="shared" si="41"/>
        <v>0</v>
      </c>
      <c r="BO369" s="697"/>
      <c r="BP369" s="697"/>
      <c r="BQ369" s="1495" t="s">
        <v>6935</v>
      </c>
      <c r="BR369" s="1495" t="s">
        <v>818</v>
      </c>
      <c r="BS369" s="1902" t="s">
        <v>655</v>
      </c>
      <c r="BT369" s="1907" t="s">
        <v>2088</v>
      </c>
    </row>
    <row r="370" spans="1:72" ht="13">
      <c r="A370" s="1545">
        <v>926</v>
      </c>
      <c r="B370" s="1546" t="s">
        <v>800</v>
      </c>
      <c r="C370" s="1546" t="s">
        <v>802</v>
      </c>
      <c r="D370" s="1547" t="s">
        <v>6887</v>
      </c>
      <c r="E370" s="690" t="s">
        <v>666</v>
      </c>
      <c r="F370" s="691"/>
      <c r="G370" s="692"/>
      <c r="H370" s="692"/>
      <c r="I370" s="692"/>
      <c r="J370" s="693"/>
      <c r="K370" s="693"/>
      <c r="L370" s="693"/>
      <c r="M370" s="694"/>
      <c r="N370" s="695"/>
      <c r="O370" s="696" t="s">
        <v>1569</v>
      </c>
      <c r="P370" s="695">
        <f>'HIV-Key Info'!$H$83*(('HIV-Key Info'!$E$83*'HPM costs'!F291)+('HIV-Key Info'!$F$83*('HPM costs'!F294+'HPM costs'!F297)))</f>
        <v>0</v>
      </c>
      <c r="Q370" s="695" t="s">
        <v>1569</v>
      </c>
      <c r="R370" s="695">
        <f>'HIV-Key Info'!$H$83*(('HIV-Key Info'!$E$83*'HPM costs'!G291)+('HIV-Key Info'!$F$83*('HPM costs'!G294+'HPM costs'!G297)))</f>
        <v>0</v>
      </c>
      <c r="S370" s="695" t="s">
        <v>1569</v>
      </c>
      <c r="T370" s="695">
        <f>'HIV-Key Info'!$H$83*(('HIV-Key Info'!$E$83*'HPM costs'!H291)+('HIV-Key Info'!$F$83*('HPM costs'!H294+'HPM costs'!H297)))</f>
        <v>0</v>
      </c>
      <c r="U370" s="695" t="s">
        <v>1569</v>
      </c>
      <c r="V370" s="695">
        <f>'HIV-Key Info'!$H$83*(('HIV-Key Info'!$E$83*'HPM costs'!I291)+('HIV-Key Info'!$F$83*('HPM costs'!I294+'HPM costs'!I297)))</f>
        <v>0</v>
      </c>
      <c r="W370" s="695"/>
      <c r="X370" s="1492">
        <f t="shared" si="36"/>
        <v>0</v>
      </c>
      <c r="Y370" s="1493"/>
      <c r="Z370" s="1494"/>
      <c r="AA370" s="699"/>
      <c r="AB370" s="695"/>
      <c r="AC370" s="695">
        <f>'HIV-Key Info'!$H$83*(('HIV-Key Info'!$E$83*'HPM costs'!K291)+('HIV-Key Info'!$F$83*('HPM costs'!K294+'HPM costs'!K297)))</f>
        <v>0</v>
      </c>
      <c r="AD370" s="695"/>
      <c r="AE370" s="695">
        <f>'HIV-Key Info'!$H$83*(('HIV-Key Info'!$E$83*'HPM costs'!L291)+('HIV-Key Info'!$F$83*('HPM costs'!L294+'HPM costs'!L297)))</f>
        <v>0</v>
      </c>
      <c r="AF370" s="695"/>
      <c r="AG370" s="695">
        <f>'HIV-Key Info'!$H$83*(('HIV-Key Info'!$E$83*'HPM costs'!M291)+('HIV-Key Info'!$F$83*('HPM costs'!M294+'HPM costs'!M297)))</f>
        <v>0</v>
      </c>
      <c r="AH370" s="695"/>
      <c r="AI370" s="695">
        <f>'HIV-Key Info'!$H$83*(('HIV-Key Info'!$E$83*'HPM costs'!N291)+('HIV-Key Info'!$F$83*('HPM costs'!N294+'HPM costs'!N297)))</f>
        <v>0</v>
      </c>
      <c r="AJ370" s="695"/>
      <c r="AK370" s="1492">
        <f t="shared" si="37"/>
        <v>0</v>
      </c>
      <c r="AL370" s="1493"/>
      <c r="AM370" s="1494"/>
      <c r="AN370" s="699"/>
      <c r="AO370" s="695"/>
      <c r="AP370" s="695">
        <f>'HIV-Key Info'!$H$83*(('HIV-Key Info'!$E$83*'HPM costs'!P291)+('HIV-Key Info'!$F$83*('HPM costs'!P294+'HPM costs'!P297)))</f>
        <v>0</v>
      </c>
      <c r="AQ370" s="695"/>
      <c r="AR370" s="695">
        <f>'HIV-Key Info'!$H$83*(('HIV-Key Info'!$E$83*'HPM costs'!Q291)+('HIV-Key Info'!$F$83*('HPM costs'!Q294+'HPM costs'!Q297)))</f>
        <v>0</v>
      </c>
      <c r="AS370" s="695"/>
      <c r="AT370" s="695">
        <f>'HIV-Key Info'!$H$83*(('HIV-Key Info'!$E$83*'HPM costs'!R291)+('HIV-Key Info'!$F$83*('HPM costs'!R294+'HPM costs'!R297)))</f>
        <v>0</v>
      </c>
      <c r="AU370" s="695"/>
      <c r="AV370" s="695">
        <f>'HIV-Key Info'!$H$83*(('HIV-Key Info'!$E$83*'HPM costs'!S291)+('HIV-Key Info'!$F$83*('HPM costs'!S294+'HPM costs'!S297)))</f>
        <v>0</v>
      </c>
      <c r="AW370" s="695"/>
      <c r="AX370" s="1492">
        <f t="shared" si="38"/>
        <v>0</v>
      </c>
      <c r="AY370" s="1492"/>
      <c r="AZ370" s="698"/>
      <c r="BA370" s="699"/>
      <c r="BB370" s="697"/>
      <c r="BC370" s="697">
        <v>0</v>
      </c>
      <c r="BD370" s="697">
        <v>0</v>
      </c>
      <c r="BE370" s="697">
        <v>0</v>
      </c>
      <c r="BF370" s="697">
        <v>0</v>
      </c>
      <c r="BG370" s="697">
        <v>0</v>
      </c>
      <c r="BH370" s="697">
        <v>0</v>
      </c>
      <c r="BI370" s="697">
        <v>0</v>
      </c>
      <c r="BJ370" s="697">
        <v>0</v>
      </c>
      <c r="BK370" s="1492">
        <f t="shared" si="39"/>
        <v>0</v>
      </c>
      <c r="BL370" s="1492"/>
      <c r="BM370" s="1492">
        <f t="shared" si="40"/>
        <v>0</v>
      </c>
      <c r="BN370" s="1492">
        <f t="shared" si="41"/>
        <v>0</v>
      </c>
      <c r="BO370" s="697"/>
      <c r="BP370" s="697"/>
      <c r="BQ370" s="1495" t="s">
        <v>6935</v>
      </c>
      <c r="BR370" s="1495" t="s">
        <v>818</v>
      </c>
      <c r="BS370" s="1902" t="s">
        <v>655</v>
      </c>
      <c r="BT370" s="1907" t="s">
        <v>2089</v>
      </c>
    </row>
    <row r="371" spans="1:72" ht="13">
      <c r="A371" s="1545">
        <v>927</v>
      </c>
      <c r="B371" s="1546" t="s">
        <v>800</v>
      </c>
      <c r="C371" s="1546" t="s">
        <v>802</v>
      </c>
      <c r="D371" s="1547" t="s">
        <v>6887</v>
      </c>
      <c r="E371" s="690" t="s">
        <v>668</v>
      </c>
      <c r="F371" s="691"/>
      <c r="G371" s="692"/>
      <c r="H371" s="692"/>
      <c r="I371" s="692"/>
      <c r="J371" s="693"/>
      <c r="K371" s="693"/>
      <c r="L371" s="693"/>
      <c r="M371" s="694"/>
      <c r="N371" s="695"/>
      <c r="O371" s="696" t="s">
        <v>1569</v>
      </c>
      <c r="P371" s="695">
        <f>'HIV-Key Info'!$H$83*(('HIV-Key Info'!$E$83*'HPM costs'!F636)+('HIV-Key Info'!$F$83*('HPM costs'!F639+'HPM costs'!F642)))</f>
        <v>0</v>
      </c>
      <c r="Q371" s="695" t="s">
        <v>1569</v>
      </c>
      <c r="R371" s="695">
        <f>'HIV-Key Info'!$H$83*(('HIV-Key Info'!$E$83*'HPM costs'!G636)+('HIV-Key Info'!$F$83*('HPM costs'!G639+'HPM costs'!G642)))</f>
        <v>0</v>
      </c>
      <c r="S371" s="695" t="s">
        <v>1569</v>
      </c>
      <c r="T371" s="695">
        <f>'HIV-Key Info'!$H$83*(('HIV-Key Info'!$E$83*'HPM costs'!H636)+('HIV-Key Info'!$F$83*('HPM costs'!H639+'HPM costs'!H642)))</f>
        <v>0</v>
      </c>
      <c r="U371" s="695" t="s">
        <v>1569</v>
      </c>
      <c r="V371" s="695">
        <f>'HIV-Key Info'!$H$83*(('HIV-Key Info'!$E$83*'HPM costs'!I636)+('HIV-Key Info'!$F$83*('HPM costs'!I639+'HPM costs'!I642)))</f>
        <v>0</v>
      </c>
      <c r="W371" s="695"/>
      <c r="X371" s="1492">
        <f t="shared" si="36"/>
        <v>0</v>
      </c>
      <c r="Y371" s="1493"/>
      <c r="Z371" s="1494"/>
      <c r="AA371" s="699"/>
      <c r="AB371" s="695"/>
      <c r="AC371" s="695">
        <f>'HIV-Key Info'!$H$83*(('HIV-Key Info'!$E$83*'HPM costs'!K636)+('HIV-Key Info'!$F$83*('HPM costs'!K639+'HPM costs'!K642)))</f>
        <v>0</v>
      </c>
      <c r="AD371" s="695"/>
      <c r="AE371" s="695">
        <f>'HIV-Key Info'!$H$83*(('HIV-Key Info'!$E$83*'HPM costs'!L636)+('HIV-Key Info'!$F$83*('HPM costs'!L639+'HPM costs'!L642)))</f>
        <v>0</v>
      </c>
      <c r="AF371" s="695"/>
      <c r="AG371" s="695">
        <f>'HIV-Key Info'!$H$83*(('HIV-Key Info'!$E$83*'HPM costs'!M636)+('HIV-Key Info'!$F$83*('HPM costs'!M639+'HPM costs'!M642)))</f>
        <v>0</v>
      </c>
      <c r="AH371" s="695"/>
      <c r="AI371" s="695">
        <f>'HIV-Key Info'!$H$83*(('HIV-Key Info'!$E$83*'HPM costs'!N636)+('HIV-Key Info'!$F$83*('HPM costs'!N639+'HPM costs'!N642)))</f>
        <v>0</v>
      </c>
      <c r="AJ371" s="695"/>
      <c r="AK371" s="1492">
        <f t="shared" si="37"/>
        <v>0</v>
      </c>
      <c r="AL371" s="1493"/>
      <c r="AM371" s="1494"/>
      <c r="AN371" s="699"/>
      <c r="AO371" s="695"/>
      <c r="AP371" s="695">
        <f>'HIV-Key Info'!$H$83*(('HIV-Key Info'!$E$83*'HPM costs'!P636)+('HIV-Key Info'!$F$83*('HPM costs'!P639+'HPM costs'!P642)))</f>
        <v>0</v>
      </c>
      <c r="AQ371" s="695"/>
      <c r="AR371" s="695">
        <f>'HIV-Key Info'!$H$83*(('HIV-Key Info'!$E$83*'HPM costs'!Q636)+('HIV-Key Info'!$F$83*('HPM costs'!Q639+'HPM costs'!Q642)))</f>
        <v>0</v>
      </c>
      <c r="AS371" s="695"/>
      <c r="AT371" s="695">
        <f>'HIV-Key Info'!$H$83*(('HIV-Key Info'!$E$83*'HPM costs'!R636)+('HIV-Key Info'!$F$83*('HPM costs'!R639+'HPM costs'!R642)))</f>
        <v>0</v>
      </c>
      <c r="AU371" s="695"/>
      <c r="AV371" s="695">
        <f>'HIV-Key Info'!$H$83*(('HIV-Key Info'!$E$83*'HPM costs'!S636)+('HIV-Key Info'!$F$83*('HPM costs'!S639+'HPM costs'!S642)))</f>
        <v>0</v>
      </c>
      <c r="AW371" s="695"/>
      <c r="AX371" s="1492">
        <f t="shared" si="38"/>
        <v>0</v>
      </c>
      <c r="AY371" s="1492"/>
      <c r="AZ371" s="698"/>
      <c r="BA371" s="699"/>
      <c r="BB371" s="697"/>
      <c r="BC371" s="697">
        <v>0</v>
      </c>
      <c r="BD371" s="697">
        <v>0</v>
      </c>
      <c r="BE371" s="697">
        <v>0</v>
      </c>
      <c r="BF371" s="697">
        <v>0</v>
      </c>
      <c r="BG371" s="697">
        <v>0</v>
      </c>
      <c r="BH371" s="697">
        <v>0</v>
      </c>
      <c r="BI371" s="697">
        <v>0</v>
      </c>
      <c r="BJ371" s="697">
        <v>0</v>
      </c>
      <c r="BK371" s="1492">
        <f t="shared" si="39"/>
        <v>0</v>
      </c>
      <c r="BL371" s="1492"/>
      <c r="BM371" s="1492">
        <f t="shared" si="40"/>
        <v>0</v>
      </c>
      <c r="BN371" s="1492">
        <f t="shared" si="41"/>
        <v>0</v>
      </c>
      <c r="BO371" s="697"/>
      <c r="BP371" s="697"/>
      <c r="BQ371" s="1495" t="s">
        <v>6935</v>
      </c>
      <c r="BR371" s="1495" t="s">
        <v>818</v>
      </c>
      <c r="BS371" s="1902" t="s">
        <v>655</v>
      </c>
      <c r="BT371" s="1907" t="s">
        <v>2090</v>
      </c>
    </row>
    <row r="372" spans="1:72" ht="13">
      <c r="A372" s="1545">
        <v>928</v>
      </c>
      <c r="B372" s="1546" t="s">
        <v>800</v>
      </c>
      <c r="C372" s="1546" t="s">
        <v>803</v>
      </c>
      <c r="D372" s="1547" t="s">
        <v>6957</v>
      </c>
      <c r="E372" s="690" t="s">
        <v>731</v>
      </c>
      <c r="F372" s="691"/>
      <c r="G372" s="692"/>
      <c r="H372" s="692"/>
      <c r="I372" s="692"/>
      <c r="J372" s="693"/>
      <c r="K372" s="693"/>
      <c r="L372" s="693"/>
      <c r="M372" s="694"/>
      <c r="N372" s="695"/>
      <c r="O372" s="696" t="s">
        <v>1569</v>
      </c>
      <c r="P372" s="695">
        <f>'HIV-Key Info'!$I$83*('HIV-Key Info'!$E$83*('HPM costs'!F551/'HPM costs'!$E$551)+'HIV-Key Info'!$F$83*('HPM costs'!F557/'HPM costs'!$E$557+'HPM costs'!F554/'HPM costs'!$E$554))</f>
        <v>0</v>
      </c>
      <c r="Q372" s="695" t="s">
        <v>1569</v>
      </c>
      <c r="R372" s="695">
        <f>'HIV-Key Info'!$I$83*('HIV-Key Info'!$E$83*('HPM costs'!G551/'HPM costs'!$E$551)+'HIV-Key Info'!$F$83*('HPM costs'!G557/'HPM costs'!$E$557+'HPM costs'!G554/'HPM costs'!$E$554))</f>
        <v>0</v>
      </c>
      <c r="S372" s="695" t="s">
        <v>1569</v>
      </c>
      <c r="T372" s="695">
        <f>'HIV-Key Info'!$I$83*('HIV-Key Info'!$E$83*('HPM costs'!H551/'HPM costs'!$E$551)+'HIV-Key Info'!$F$83*('HPM costs'!H557/'HPM costs'!$E$557+'HPM costs'!H554/'HPM costs'!$E$554))</f>
        <v>0</v>
      </c>
      <c r="U372" s="695" t="s">
        <v>1569</v>
      </c>
      <c r="V372" s="695">
        <f>'HIV-Key Info'!$I$83*('HIV-Key Info'!$E$83*('HPM costs'!I551/'HPM costs'!$E$551)+'HIV-Key Info'!$F$83*('HPM costs'!I557/'HPM costs'!$E$557+'HPM costs'!I554/'HPM costs'!$E$554))</f>
        <v>0</v>
      </c>
      <c r="W372" s="695"/>
      <c r="X372" s="1492">
        <f t="shared" si="36"/>
        <v>0</v>
      </c>
      <c r="Y372" s="1493"/>
      <c r="Z372" s="1494"/>
      <c r="AA372" s="699"/>
      <c r="AB372" s="695"/>
      <c r="AC372" s="695">
        <f>'HIV-Key Info'!$I$83*('HIV-Key Info'!$E$83*('HPM costs'!K551/'HPM costs'!$E$551)+'HIV-Key Info'!$F$83*('HPM costs'!K557/'HPM costs'!$E$557+'HPM costs'!K554/'HPM costs'!$E$554))</f>
        <v>0</v>
      </c>
      <c r="AD372" s="695"/>
      <c r="AE372" s="695">
        <f>'HIV-Key Info'!$I$83*('HIV-Key Info'!$E$83*('HPM costs'!L551/'HPM costs'!$E$551)+'HIV-Key Info'!$F$83*('HPM costs'!L557/'HPM costs'!$E$557+'HPM costs'!L554/'HPM costs'!$E$554))</f>
        <v>0</v>
      </c>
      <c r="AF372" s="695"/>
      <c r="AG372" s="695">
        <f>'HIV-Key Info'!$I$83*('HIV-Key Info'!$E$83*('HPM costs'!M551/'HPM costs'!$E$551)+'HIV-Key Info'!$F$83*('HPM costs'!M557/'HPM costs'!$E$557+'HPM costs'!M554/'HPM costs'!$E$554))</f>
        <v>0</v>
      </c>
      <c r="AH372" s="695"/>
      <c r="AI372" s="695">
        <f>'HIV-Key Info'!$I$83*('HIV-Key Info'!$E$83*('HPM costs'!N551/'HPM costs'!$E$551)+'HIV-Key Info'!$F$83*('HPM costs'!N557/'HPM costs'!$E$557+'HPM costs'!N554/'HPM costs'!$E$554))</f>
        <v>0</v>
      </c>
      <c r="AJ372" s="695"/>
      <c r="AK372" s="1492">
        <f t="shared" si="37"/>
        <v>0</v>
      </c>
      <c r="AL372" s="1493"/>
      <c r="AM372" s="1494"/>
      <c r="AN372" s="699"/>
      <c r="AO372" s="695"/>
      <c r="AP372" s="695">
        <f>'HIV-Key Info'!$I$83*('HIV-Key Info'!$E$83*('HPM costs'!P551/'HPM costs'!$E$551)+'HIV-Key Info'!$F$83*('HPM costs'!P557/'HPM costs'!$E$557+'HPM costs'!P554/'HPM costs'!$E$554))</f>
        <v>0</v>
      </c>
      <c r="AQ372" s="695"/>
      <c r="AR372" s="695">
        <f>'HIV-Key Info'!$I$83*('HIV-Key Info'!$E$83*('HPM costs'!Q551/'HPM costs'!$E$551)+'HIV-Key Info'!$F$83*('HPM costs'!Q557/'HPM costs'!$E$557+'HPM costs'!Q554/'HPM costs'!$E$554))</f>
        <v>0</v>
      </c>
      <c r="AS372" s="695"/>
      <c r="AT372" s="695">
        <f>'HIV-Key Info'!$I$83*('HIV-Key Info'!$E$83*('HPM costs'!R551/'HPM costs'!$E$551)+'HIV-Key Info'!$F$83*('HPM costs'!R557/'HPM costs'!$E$557+'HPM costs'!R554/'HPM costs'!$E$554))</f>
        <v>0</v>
      </c>
      <c r="AU372" s="695"/>
      <c r="AV372" s="695">
        <f>'HIV-Key Info'!$I$83*('HIV-Key Info'!$E$83*('HPM costs'!S551/'HPM costs'!$E$551)+'HIV-Key Info'!$F$83*('HPM costs'!S557/'HPM costs'!$E$557+'HPM costs'!S554/'HPM costs'!$E$554))</f>
        <v>0</v>
      </c>
      <c r="AW372" s="695"/>
      <c r="AX372" s="1492">
        <f t="shared" si="38"/>
        <v>0</v>
      </c>
      <c r="AY372" s="1492"/>
      <c r="AZ372" s="698"/>
      <c r="BA372" s="699"/>
      <c r="BB372" s="697"/>
      <c r="BC372" s="697">
        <v>0</v>
      </c>
      <c r="BD372" s="697">
        <v>0</v>
      </c>
      <c r="BE372" s="697">
        <v>0</v>
      </c>
      <c r="BF372" s="697">
        <v>0</v>
      </c>
      <c r="BG372" s="697">
        <v>0</v>
      </c>
      <c r="BH372" s="697">
        <v>0</v>
      </c>
      <c r="BI372" s="697">
        <v>0</v>
      </c>
      <c r="BJ372" s="697">
        <v>0</v>
      </c>
      <c r="BK372" s="1492">
        <f t="shared" si="39"/>
        <v>0</v>
      </c>
      <c r="BL372" s="1492"/>
      <c r="BM372" s="1492">
        <f t="shared" si="40"/>
        <v>0</v>
      </c>
      <c r="BN372" s="1492">
        <f t="shared" si="41"/>
        <v>0</v>
      </c>
      <c r="BO372" s="697"/>
      <c r="BP372" s="697"/>
      <c r="BQ372" s="1495" t="s">
        <v>6935</v>
      </c>
      <c r="BR372" s="1495" t="s">
        <v>818</v>
      </c>
      <c r="BS372" s="1902" t="s">
        <v>6953</v>
      </c>
      <c r="BT372" s="1907" t="s">
        <v>2091</v>
      </c>
    </row>
    <row r="373" spans="1:72" ht="13">
      <c r="A373" s="1545">
        <v>929</v>
      </c>
      <c r="B373" s="1546" t="s">
        <v>800</v>
      </c>
      <c r="C373" s="1546" t="s">
        <v>803</v>
      </c>
      <c r="D373" s="1547" t="s">
        <v>6887</v>
      </c>
      <c r="E373" s="690" t="s">
        <v>656</v>
      </c>
      <c r="F373" s="691"/>
      <c r="G373" s="692"/>
      <c r="H373" s="692"/>
      <c r="I373" s="692"/>
      <c r="J373" s="693"/>
      <c r="K373" s="693"/>
      <c r="L373" s="693"/>
      <c r="M373" s="694"/>
      <c r="N373" s="695"/>
      <c r="O373" s="696" t="s">
        <v>1569</v>
      </c>
      <c r="P373" s="695">
        <f>'HIV-Key Info'!$I$83*(('HIV-Key Info'!$E$83*'HPM costs'!F33)+('HIV-Key Info'!$F$83*('HPM costs'!F36+'HPM costs'!F39)))</f>
        <v>0</v>
      </c>
      <c r="Q373" s="695" t="s">
        <v>1569</v>
      </c>
      <c r="R373" s="695">
        <f>'HIV-Key Info'!$I$83*(('HIV-Key Info'!$E$83*'HPM costs'!G33)+('HIV-Key Info'!$F$83*('HPM costs'!G36+'HPM costs'!G39)))</f>
        <v>0</v>
      </c>
      <c r="S373" s="695" t="s">
        <v>1569</v>
      </c>
      <c r="T373" s="695">
        <f>'HIV-Key Info'!$I$83*(('HIV-Key Info'!$E$83*'HPM costs'!H33)+('HIV-Key Info'!$F$83*('HPM costs'!H36+'HPM costs'!H39)))</f>
        <v>0</v>
      </c>
      <c r="U373" s="695" t="s">
        <v>1569</v>
      </c>
      <c r="V373" s="695">
        <f>'HIV-Key Info'!$I$83*(('HIV-Key Info'!$E$83*'HPM costs'!I33)+('HIV-Key Info'!$F$83*('HPM costs'!I36+'HPM costs'!I39)))</f>
        <v>0</v>
      </c>
      <c r="W373" s="695"/>
      <c r="X373" s="1492">
        <f t="shared" si="36"/>
        <v>0</v>
      </c>
      <c r="Y373" s="1493"/>
      <c r="Z373" s="1494"/>
      <c r="AA373" s="699"/>
      <c r="AB373" s="695"/>
      <c r="AC373" s="695">
        <f>'HIV-Key Info'!$I$83*(('HIV-Key Info'!$E$83*'HPM costs'!K33)+('HIV-Key Info'!$F$83*('HPM costs'!K36+'HPM costs'!K39)))</f>
        <v>0</v>
      </c>
      <c r="AD373" s="695"/>
      <c r="AE373" s="695">
        <f>'HIV-Key Info'!$I$83*(('HIV-Key Info'!$E$83*'HPM costs'!L33)+('HIV-Key Info'!$F$83*('HPM costs'!L36+'HPM costs'!L39)))</f>
        <v>0</v>
      </c>
      <c r="AF373" s="695"/>
      <c r="AG373" s="695">
        <f>'HIV-Key Info'!$I$83*(('HIV-Key Info'!$E$83*'HPM costs'!M33)+('HIV-Key Info'!$F$83*('HPM costs'!M36+'HPM costs'!M39)))</f>
        <v>0</v>
      </c>
      <c r="AH373" s="695"/>
      <c r="AI373" s="695">
        <f>'HIV-Key Info'!$I$83*(('HIV-Key Info'!$E$83*'HPM costs'!N33)+('HIV-Key Info'!$F$83*('HPM costs'!N36+'HPM costs'!N39)))</f>
        <v>0</v>
      </c>
      <c r="AJ373" s="695"/>
      <c r="AK373" s="1492">
        <f t="shared" si="37"/>
        <v>0</v>
      </c>
      <c r="AL373" s="1493"/>
      <c r="AM373" s="1494"/>
      <c r="AN373" s="699"/>
      <c r="AO373" s="695"/>
      <c r="AP373" s="695">
        <f>'HIV-Key Info'!$I$83*(('HIV-Key Info'!$E$83*'HPM costs'!P33)+('HIV-Key Info'!$F$83*('HPM costs'!P36+'HPM costs'!P39)))</f>
        <v>0</v>
      </c>
      <c r="AQ373" s="695"/>
      <c r="AR373" s="695">
        <f>'HIV-Key Info'!$I$83*(('HIV-Key Info'!$E$83*'HPM costs'!Q33)+('HIV-Key Info'!$F$83*('HPM costs'!Q36+'HPM costs'!Q39)))</f>
        <v>0</v>
      </c>
      <c r="AS373" s="695"/>
      <c r="AT373" s="695">
        <f>'HIV-Key Info'!$I$83*(('HIV-Key Info'!$E$83*'HPM costs'!R33)+('HIV-Key Info'!$F$83*('HPM costs'!R36+'HPM costs'!R39)))</f>
        <v>0</v>
      </c>
      <c r="AU373" s="695"/>
      <c r="AV373" s="695">
        <f>'HIV-Key Info'!$I$83*(('HIV-Key Info'!$E$83*'HPM costs'!S33)+('HIV-Key Info'!$F$83*('HPM costs'!S36+'HPM costs'!S39)))</f>
        <v>0</v>
      </c>
      <c r="AW373" s="695"/>
      <c r="AX373" s="1492">
        <f t="shared" si="38"/>
        <v>0</v>
      </c>
      <c r="AY373" s="1492"/>
      <c r="AZ373" s="698"/>
      <c r="BA373" s="699"/>
      <c r="BB373" s="697"/>
      <c r="BC373" s="697">
        <v>0</v>
      </c>
      <c r="BD373" s="697">
        <v>0</v>
      </c>
      <c r="BE373" s="697">
        <v>0</v>
      </c>
      <c r="BF373" s="697">
        <v>0</v>
      </c>
      <c r="BG373" s="697">
        <v>0</v>
      </c>
      <c r="BH373" s="697">
        <v>0</v>
      </c>
      <c r="BI373" s="697">
        <v>0</v>
      </c>
      <c r="BJ373" s="697">
        <v>0</v>
      </c>
      <c r="BK373" s="1492">
        <f t="shared" si="39"/>
        <v>0</v>
      </c>
      <c r="BL373" s="1492"/>
      <c r="BM373" s="1492">
        <f t="shared" si="40"/>
        <v>0</v>
      </c>
      <c r="BN373" s="1492">
        <f t="shared" si="41"/>
        <v>0</v>
      </c>
      <c r="BO373" s="697"/>
      <c r="BP373" s="697"/>
      <c r="BQ373" s="1495" t="s">
        <v>6935</v>
      </c>
      <c r="BR373" s="1495" t="s">
        <v>818</v>
      </c>
      <c r="BS373" s="1902" t="s">
        <v>655</v>
      </c>
      <c r="BT373" s="1907" t="s">
        <v>2092</v>
      </c>
    </row>
    <row r="374" spans="1:72" ht="13">
      <c r="A374" s="1545">
        <v>930</v>
      </c>
      <c r="B374" s="1546" t="s">
        <v>800</v>
      </c>
      <c r="C374" s="1546" t="s">
        <v>803</v>
      </c>
      <c r="D374" s="1547" t="s">
        <v>6887</v>
      </c>
      <c r="E374" s="690" t="s">
        <v>658</v>
      </c>
      <c r="F374" s="691"/>
      <c r="G374" s="692"/>
      <c r="H374" s="692"/>
      <c r="I374" s="692"/>
      <c r="J374" s="693"/>
      <c r="K374" s="693"/>
      <c r="L374" s="693"/>
      <c r="M374" s="694"/>
      <c r="N374" s="695"/>
      <c r="O374" s="696" t="s">
        <v>1569</v>
      </c>
      <c r="P374" s="695">
        <f>'HIV-Key Info'!$I$83*(('HIV-Key Info'!$E$83*'HPM costs'!F119)+('HIV-Key Info'!$F$83*('HPM costs'!F122+'HPM costs'!F125)))</f>
        <v>0</v>
      </c>
      <c r="Q374" s="695" t="s">
        <v>1569</v>
      </c>
      <c r="R374" s="695">
        <f>'HIV-Key Info'!$I$83*(('HIV-Key Info'!$E$83*'HPM costs'!G119)+('HIV-Key Info'!$F$83*('HPM costs'!G122+'HPM costs'!G125)))</f>
        <v>0</v>
      </c>
      <c r="S374" s="695" t="s">
        <v>1569</v>
      </c>
      <c r="T374" s="695">
        <f>'HIV-Key Info'!$I$83*(('HIV-Key Info'!$E$83*'HPM costs'!H119)+('HIV-Key Info'!$F$83*('HPM costs'!H122+'HPM costs'!H125)))</f>
        <v>0</v>
      </c>
      <c r="U374" s="695" t="s">
        <v>1569</v>
      </c>
      <c r="V374" s="695">
        <f>'HIV-Key Info'!$I$83*(('HIV-Key Info'!$E$83*'HPM costs'!I119)+('HIV-Key Info'!$F$83*('HPM costs'!I122+'HPM costs'!I125)))</f>
        <v>0</v>
      </c>
      <c r="W374" s="695"/>
      <c r="X374" s="1492">
        <f t="shared" si="36"/>
        <v>0</v>
      </c>
      <c r="Y374" s="1493"/>
      <c r="Z374" s="1494"/>
      <c r="AA374" s="699"/>
      <c r="AB374" s="695"/>
      <c r="AC374" s="695">
        <f>'HIV-Key Info'!$I$83*(('HIV-Key Info'!$E$83*'HPM costs'!K119)+('HIV-Key Info'!$F$83*('HPM costs'!K122+'HPM costs'!K125)))</f>
        <v>0</v>
      </c>
      <c r="AD374" s="695"/>
      <c r="AE374" s="695">
        <f>'HIV-Key Info'!$I$83*(('HIV-Key Info'!$E$83*'HPM costs'!L119)+('HIV-Key Info'!$F$83*('HPM costs'!L122+'HPM costs'!L125)))</f>
        <v>0</v>
      </c>
      <c r="AF374" s="695"/>
      <c r="AG374" s="695">
        <f>'HIV-Key Info'!$I$83*(('HIV-Key Info'!$E$83*'HPM costs'!M119)+('HIV-Key Info'!$F$83*('HPM costs'!M122+'HPM costs'!M125)))</f>
        <v>0</v>
      </c>
      <c r="AH374" s="695"/>
      <c r="AI374" s="695">
        <f>'HIV-Key Info'!$I$83*(('HIV-Key Info'!$E$83*'HPM costs'!N119)+('HIV-Key Info'!$F$83*('HPM costs'!N122+'HPM costs'!N125)))</f>
        <v>0</v>
      </c>
      <c r="AJ374" s="695"/>
      <c r="AK374" s="1492">
        <f t="shared" si="37"/>
        <v>0</v>
      </c>
      <c r="AL374" s="1493"/>
      <c r="AM374" s="1494"/>
      <c r="AN374" s="699"/>
      <c r="AO374" s="695"/>
      <c r="AP374" s="695">
        <f>'HIV-Key Info'!$I$83*(('HIV-Key Info'!$E$83*'HPM costs'!P119)+('HIV-Key Info'!$F$83*('HPM costs'!P122+'HPM costs'!P125)))</f>
        <v>0</v>
      </c>
      <c r="AQ374" s="695"/>
      <c r="AR374" s="695">
        <f>'HIV-Key Info'!$I$83*(('HIV-Key Info'!$E$83*'HPM costs'!Q119)+('HIV-Key Info'!$F$83*('HPM costs'!Q122+'HPM costs'!Q125)))</f>
        <v>0</v>
      </c>
      <c r="AS374" s="695"/>
      <c r="AT374" s="695">
        <f>'HIV-Key Info'!$I$83*(('HIV-Key Info'!$E$83*'HPM costs'!R119)+('HIV-Key Info'!$F$83*('HPM costs'!R122+'HPM costs'!R125)))</f>
        <v>0</v>
      </c>
      <c r="AU374" s="695"/>
      <c r="AV374" s="695">
        <f>'HIV-Key Info'!$I$83*(('HIV-Key Info'!$E$83*'HPM costs'!S119)+('HIV-Key Info'!$F$83*('HPM costs'!S122+'HPM costs'!S125)))</f>
        <v>0</v>
      </c>
      <c r="AW374" s="695"/>
      <c r="AX374" s="1492">
        <f t="shared" si="38"/>
        <v>0</v>
      </c>
      <c r="AY374" s="1492"/>
      <c r="AZ374" s="698"/>
      <c r="BA374" s="699"/>
      <c r="BB374" s="697"/>
      <c r="BC374" s="697">
        <v>0</v>
      </c>
      <c r="BD374" s="697">
        <v>0</v>
      </c>
      <c r="BE374" s="697">
        <v>0</v>
      </c>
      <c r="BF374" s="697">
        <v>0</v>
      </c>
      <c r="BG374" s="697">
        <v>0</v>
      </c>
      <c r="BH374" s="697">
        <v>0</v>
      </c>
      <c r="BI374" s="697">
        <v>0</v>
      </c>
      <c r="BJ374" s="697">
        <v>0</v>
      </c>
      <c r="BK374" s="1492">
        <f t="shared" si="39"/>
        <v>0</v>
      </c>
      <c r="BL374" s="1492"/>
      <c r="BM374" s="1492">
        <f t="shared" si="40"/>
        <v>0</v>
      </c>
      <c r="BN374" s="1492">
        <f t="shared" si="41"/>
        <v>0</v>
      </c>
      <c r="BO374" s="697"/>
      <c r="BP374" s="697"/>
      <c r="BQ374" s="1495" t="s">
        <v>6935</v>
      </c>
      <c r="BR374" s="1495" t="s">
        <v>818</v>
      </c>
      <c r="BS374" s="1902" t="s">
        <v>655</v>
      </c>
      <c r="BT374" s="1907" t="s">
        <v>2093</v>
      </c>
    </row>
    <row r="375" spans="1:72" ht="13">
      <c r="A375" s="1545">
        <v>931</v>
      </c>
      <c r="B375" s="1546" t="s">
        <v>800</v>
      </c>
      <c r="C375" s="1546" t="s">
        <v>803</v>
      </c>
      <c r="D375" s="1547" t="s">
        <v>6887</v>
      </c>
      <c r="E375" s="690" t="s">
        <v>660</v>
      </c>
      <c r="F375" s="691"/>
      <c r="G375" s="692"/>
      <c r="H375" s="692"/>
      <c r="I375" s="692"/>
      <c r="J375" s="693"/>
      <c r="K375" s="693"/>
      <c r="L375" s="693"/>
      <c r="M375" s="694"/>
      <c r="N375" s="695"/>
      <c r="O375" s="696" t="s">
        <v>1569</v>
      </c>
      <c r="P375" s="695">
        <f>'HIV-Key Info'!$I$83*(('HIV-Key Info'!$E$83*'HPM costs'!F379)+('HIV-Key Info'!$F$83*('HPM costs'!F382+'HPM costs'!F385)))</f>
        <v>0</v>
      </c>
      <c r="Q375" s="695" t="s">
        <v>1569</v>
      </c>
      <c r="R375" s="695">
        <f>'HIV-Key Info'!$I$83*(('HIV-Key Info'!$E$83*'HPM costs'!G379)+('HIV-Key Info'!$F$83*('HPM costs'!G382+'HPM costs'!G385)))</f>
        <v>0</v>
      </c>
      <c r="S375" s="695" t="s">
        <v>1569</v>
      </c>
      <c r="T375" s="695">
        <f>'HIV-Key Info'!$I$83*(('HIV-Key Info'!$E$83*'HPM costs'!H379)+('HIV-Key Info'!$F$83*('HPM costs'!H382+'HPM costs'!H385)))</f>
        <v>0</v>
      </c>
      <c r="U375" s="695" t="s">
        <v>1569</v>
      </c>
      <c r="V375" s="695">
        <f>'HIV-Key Info'!$I$83*(('HIV-Key Info'!$E$83*'HPM costs'!I379)+('HIV-Key Info'!$F$83*('HPM costs'!I382+'HPM costs'!I385)))</f>
        <v>0</v>
      </c>
      <c r="W375" s="695"/>
      <c r="X375" s="1492">
        <f t="shared" si="36"/>
        <v>0</v>
      </c>
      <c r="Y375" s="1493"/>
      <c r="Z375" s="1494"/>
      <c r="AA375" s="699"/>
      <c r="AB375" s="695"/>
      <c r="AC375" s="695">
        <f>'HIV-Key Info'!$I$83*(('HIV-Key Info'!$E$83*'HPM costs'!K379)+('HIV-Key Info'!$F$83*('HPM costs'!K382+'HPM costs'!K385)))</f>
        <v>0</v>
      </c>
      <c r="AD375" s="695"/>
      <c r="AE375" s="695">
        <f>'HIV-Key Info'!$I$83*(('HIV-Key Info'!$E$83*'HPM costs'!L379)+('HIV-Key Info'!$F$83*('HPM costs'!L382+'HPM costs'!L385)))</f>
        <v>0</v>
      </c>
      <c r="AF375" s="695"/>
      <c r="AG375" s="695">
        <f>'HIV-Key Info'!$I$83*(('HIV-Key Info'!$E$83*'HPM costs'!M379)+('HIV-Key Info'!$F$83*('HPM costs'!M382+'HPM costs'!M385)))</f>
        <v>0</v>
      </c>
      <c r="AH375" s="695"/>
      <c r="AI375" s="695">
        <f>'HIV-Key Info'!$I$83*(('HIV-Key Info'!$E$83*'HPM costs'!N379)+('HIV-Key Info'!$F$83*('HPM costs'!N382+'HPM costs'!N385)))</f>
        <v>0</v>
      </c>
      <c r="AJ375" s="695"/>
      <c r="AK375" s="1492">
        <f t="shared" si="37"/>
        <v>0</v>
      </c>
      <c r="AL375" s="1493"/>
      <c r="AM375" s="1494"/>
      <c r="AN375" s="699"/>
      <c r="AO375" s="695"/>
      <c r="AP375" s="695">
        <f>'HIV-Key Info'!$I$83*(('HIV-Key Info'!$E$83*'HPM costs'!P379)+('HIV-Key Info'!$F$83*('HPM costs'!P382+'HPM costs'!P385)))</f>
        <v>0</v>
      </c>
      <c r="AQ375" s="695"/>
      <c r="AR375" s="695">
        <f>'HIV-Key Info'!$I$83*(('HIV-Key Info'!$E$83*'HPM costs'!Q379)+('HIV-Key Info'!$F$83*('HPM costs'!Q382+'HPM costs'!Q385)))</f>
        <v>0</v>
      </c>
      <c r="AS375" s="695"/>
      <c r="AT375" s="695">
        <f>'HIV-Key Info'!$I$83*(('HIV-Key Info'!$E$83*'HPM costs'!R379)+('HIV-Key Info'!$F$83*('HPM costs'!R382+'HPM costs'!R385)))</f>
        <v>0</v>
      </c>
      <c r="AU375" s="695"/>
      <c r="AV375" s="695">
        <f>'HIV-Key Info'!$I$83*(('HIV-Key Info'!$E$83*'HPM costs'!S379)+('HIV-Key Info'!$F$83*('HPM costs'!S382+'HPM costs'!S385)))</f>
        <v>0</v>
      </c>
      <c r="AW375" s="695"/>
      <c r="AX375" s="1492">
        <f t="shared" si="38"/>
        <v>0</v>
      </c>
      <c r="AY375" s="1492"/>
      <c r="AZ375" s="698"/>
      <c r="BA375" s="699"/>
      <c r="BB375" s="697"/>
      <c r="BC375" s="697">
        <v>0</v>
      </c>
      <c r="BD375" s="697">
        <v>0</v>
      </c>
      <c r="BE375" s="697">
        <v>0</v>
      </c>
      <c r="BF375" s="697">
        <v>0</v>
      </c>
      <c r="BG375" s="697">
        <v>0</v>
      </c>
      <c r="BH375" s="697">
        <v>0</v>
      </c>
      <c r="BI375" s="697">
        <v>0</v>
      </c>
      <c r="BJ375" s="697">
        <v>0</v>
      </c>
      <c r="BK375" s="1492">
        <f t="shared" si="39"/>
        <v>0</v>
      </c>
      <c r="BL375" s="1492"/>
      <c r="BM375" s="1492">
        <f t="shared" si="40"/>
        <v>0</v>
      </c>
      <c r="BN375" s="1492">
        <f t="shared" si="41"/>
        <v>0</v>
      </c>
      <c r="BO375" s="697"/>
      <c r="BP375" s="697"/>
      <c r="BQ375" s="1495" t="s">
        <v>6935</v>
      </c>
      <c r="BR375" s="1495" t="s">
        <v>818</v>
      </c>
      <c r="BS375" s="1902" t="s">
        <v>655</v>
      </c>
      <c r="BT375" s="1907" t="s">
        <v>2094</v>
      </c>
    </row>
    <row r="376" spans="1:72" ht="13">
      <c r="A376" s="1545">
        <v>932</v>
      </c>
      <c r="B376" s="1546" t="s">
        <v>800</v>
      </c>
      <c r="C376" s="1546" t="s">
        <v>803</v>
      </c>
      <c r="D376" s="1547" t="s">
        <v>6887</v>
      </c>
      <c r="E376" s="690" t="s">
        <v>662</v>
      </c>
      <c r="F376" s="691"/>
      <c r="G376" s="692"/>
      <c r="H376" s="692"/>
      <c r="I376" s="692"/>
      <c r="J376" s="693"/>
      <c r="K376" s="693"/>
      <c r="L376" s="693"/>
      <c r="M376" s="694"/>
      <c r="N376" s="695"/>
      <c r="O376" s="696" t="s">
        <v>1569</v>
      </c>
      <c r="P376" s="695">
        <f>'HIV-Key Info'!$I$83*(('HIV-Key Info'!$E$83*'HPM costs'!F465)+('HIV-Key Info'!$F$83*('HPM costs'!F468+'HPM costs'!F471)))</f>
        <v>0</v>
      </c>
      <c r="Q376" s="695" t="s">
        <v>1569</v>
      </c>
      <c r="R376" s="695">
        <f>'HIV-Key Info'!$I$83*(('HIV-Key Info'!$E$83*'HPM costs'!G465)+('HIV-Key Info'!$F$83*('HPM costs'!G468+'HPM costs'!G471)))</f>
        <v>0</v>
      </c>
      <c r="S376" s="695" t="s">
        <v>1569</v>
      </c>
      <c r="T376" s="695">
        <f>'HIV-Key Info'!$I$83*(('HIV-Key Info'!$E$83*'HPM costs'!H465)+('HIV-Key Info'!$F$83*('HPM costs'!H468+'HPM costs'!H471)))</f>
        <v>0</v>
      </c>
      <c r="U376" s="695" t="s">
        <v>1569</v>
      </c>
      <c r="V376" s="695">
        <f>'HIV-Key Info'!$I$83*(('HIV-Key Info'!$E$83*'HPM costs'!I465)+('HIV-Key Info'!$F$83*('HPM costs'!I468+'HPM costs'!I471)))</f>
        <v>0</v>
      </c>
      <c r="W376" s="695"/>
      <c r="X376" s="1492">
        <f t="shared" si="36"/>
        <v>0</v>
      </c>
      <c r="Y376" s="1493"/>
      <c r="Z376" s="1494"/>
      <c r="AA376" s="699"/>
      <c r="AB376" s="695"/>
      <c r="AC376" s="695">
        <f>'HIV-Key Info'!$I$83*(('HIV-Key Info'!$E$83*'HPM costs'!K465)+('HIV-Key Info'!$F$83*('HPM costs'!K468+'HPM costs'!K471)))</f>
        <v>0</v>
      </c>
      <c r="AD376" s="695"/>
      <c r="AE376" s="695">
        <f>'HIV-Key Info'!$I$83*(('HIV-Key Info'!$E$83*'HPM costs'!L465)+('HIV-Key Info'!$F$83*('HPM costs'!L468+'HPM costs'!L471)))</f>
        <v>0</v>
      </c>
      <c r="AF376" s="695"/>
      <c r="AG376" s="695">
        <f>'HIV-Key Info'!$I$83*(('HIV-Key Info'!$E$83*'HPM costs'!M465)+('HIV-Key Info'!$F$83*('HPM costs'!M468+'HPM costs'!M471)))</f>
        <v>0</v>
      </c>
      <c r="AH376" s="695"/>
      <c r="AI376" s="695">
        <f>'HIV-Key Info'!$I$83*(('HIV-Key Info'!$E$83*'HPM costs'!N465)+('HIV-Key Info'!$F$83*('HPM costs'!N468+'HPM costs'!N471)))</f>
        <v>0</v>
      </c>
      <c r="AJ376" s="695"/>
      <c r="AK376" s="1492">
        <f t="shared" si="37"/>
        <v>0</v>
      </c>
      <c r="AL376" s="1493"/>
      <c r="AM376" s="1494"/>
      <c r="AN376" s="699"/>
      <c r="AO376" s="695"/>
      <c r="AP376" s="695">
        <f>'HIV-Key Info'!$I$83*(('HIV-Key Info'!$E$83*'HPM costs'!P465)+('HIV-Key Info'!$F$83*('HPM costs'!P468+'HPM costs'!P471)))</f>
        <v>0</v>
      </c>
      <c r="AQ376" s="695"/>
      <c r="AR376" s="695">
        <f>'HIV-Key Info'!$I$83*(('HIV-Key Info'!$E$83*'HPM costs'!Q465)+('HIV-Key Info'!$F$83*('HPM costs'!Q468+'HPM costs'!Q471)))</f>
        <v>0</v>
      </c>
      <c r="AS376" s="695"/>
      <c r="AT376" s="695">
        <f>'HIV-Key Info'!$I$83*(('HIV-Key Info'!$E$83*'HPM costs'!R465)+('HIV-Key Info'!$F$83*('HPM costs'!R468+'HPM costs'!R471)))</f>
        <v>0</v>
      </c>
      <c r="AU376" s="695"/>
      <c r="AV376" s="695">
        <f>'HIV-Key Info'!$I$83*(('HIV-Key Info'!$E$83*'HPM costs'!S465)+('HIV-Key Info'!$F$83*('HPM costs'!S468+'HPM costs'!S471)))</f>
        <v>0</v>
      </c>
      <c r="AW376" s="695"/>
      <c r="AX376" s="1492">
        <f t="shared" si="38"/>
        <v>0</v>
      </c>
      <c r="AY376" s="1492"/>
      <c r="AZ376" s="698"/>
      <c r="BA376" s="699"/>
      <c r="BB376" s="697"/>
      <c r="BC376" s="697">
        <v>0</v>
      </c>
      <c r="BD376" s="697">
        <v>0</v>
      </c>
      <c r="BE376" s="697">
        <v>0</v>
      </c>
      <c r="BF376" s="697">
        <v>0</v>
      </c>
      <c r="BG376" s="697">
        <v>0</v>
      </c>
      <c r="BH376" s="697">
        <v>0</v>
      </c>
      <c r="BI376" s="697">
        <v>0</v>
      </c>
      <c r="BJ376" s="697">
        <v>0</v>
      </c>
      <c r="BK376" s="1492">
        <f t="shared" si="39"/>
        <v>0</v>
      </c>
      <c r="BL376" s="1492"/>
      <c r="BM376" s="1492">
        <f t="shared" si="40"/>
        <v>0</v>
      </c>
      <c r="BN376" s="1492">
        <f t="shared" si="41"/>
        <v>0</v>
      </c>
      <c r="BO376" s="697"/>
      <c r="BP376" s="697"/>
      <c r="BQ376" s="1495" t="s">
        <v>6935</v>
      </c>
      <c r="BR376" s="1495" t="s">
        <v>818</v>
      </c>
      <c r="BS376" s="1902" t="s">
        <v>655</v>
      </c>
      <c r="BT376" s="1907" t="s">
        <v>2095</v>
      </c>
    </row>
    <row r="377" spans="1:72" ht="13">
      <c r="A377" s="1545">
        <v>933</v>
      </c>
      <c r="B377" s="1546" t="s">
        <v>800</v>
      </c>
      <c r="C377" s="1546" t="s">
        <v>803</v>
      </c>
      <c r="D377" s="1547" t="s">
        <v>6887</v>
      </c>
      <c r="E377" s="690" t="s">
        <v>664</v>
      </c>
      <c r="F377" s="691"/>
      <c r="G377" s="692"/>
      <c r="H377" s="692"/>
      <c r="I377" s="692"/>
      <c r="J377" s="693"/>
      <c r="K377" s="693"/>
      <c r="L377" s="693"/>
      <c r="M377" s="694"/>
      <c r="N377" s="695"/>
      <c r="O377" s="696" t="s">
        <v>1569</v>
      </c>
      <c r="P377" s="695">
        <f>'HIV-Key Info'!$I$83*(('HIV-Key Info'!$E$83*('HPM costs'!F205+'HPM costs'!F551))+('HIV-Key Info'!$F$83*('HPM costs'!F208+'HPM costs'!F211+'HPM costs'!F554+'HPM costs'!F557)))</f>
        <v>0</v>
      </c>
      <c r="Q377" s="695" t="s">
        <v>1569</v>
      </c>
      <c r="R377" s="695">
        <f>'HIV-Key Info'!$I$83*(('HIV-Key Info'!$E$83*('HPM costs'!G205+'HPM costs'!G551))+('HIV-Key Info'!$F$83*('HPM costs'!G208+'HPM costs'!G211+'HPM costs'!G554+'HPM costs'!G557)))</f>
        <v>0</v>
      </c>
      <c r="S377" s="695" t="s">
        <v>1569</v>
      </c>
      <c r="T377" s="695">
        <f>'HIV-Key Info'!$I$83*(('HIV-Key Info'!$E$83*('HPM costs'!H205+'HPM costs'!H551))+('HIV-Key Info'!$F$83*('HPM costs'!H208+'HPM costs'!H211+'HPM costs'!H554+'HPM costs'!H557)))</f>
        <v>0</v>
      </c>
      <c r="U377" s="695" t="s">
        <v>1569</v>
      </c>
      <c r="V377" s="695">
        <f>'HIV-Key Info'!$I$83*(('HIV-Key Info'!$E$83*('HPM costs'!I205+'HPM costs'!I551))+('HIV-Key Info'!$F$83*('HPM costs'!I208+'HPM costs'!I211+'HPM costs'!I554+'HPM costs'!I557)))</f>
        <v>0</v>
      </c>
      <c r="W377" s="695"/>
      <c r="X377" s="1492">
        <f t="shared" si="36"/>
        <v>0</v>
      </c>
      <c r="Y377" s="1493"/>
      <c r="Z377" s="1494"/>
      <c r="AA377" s="699"/>
      <c r="AB377" s="695"/>
      <c r="AC377" s="695">
        <f>'HIV-Key Info'!$I$83*(('HIV-Key Info'!$E$83*('HPM costs'!K205+'HPM costs'!K551))+('HIV-Key Info'!$F$83*('HPM costs'!K208+'HPM costs'!K211+'HPM costs'!K554+'HPM costs'!K557)))</f>
        <v>0</v>
      </c>
      <c r="AD377" s="695"/>
      <c r="AE377" s="695">
        <f>'HIV-Key Info'!$I$83*(('HIV-Key Info'!$E$83*('HPM costs'!L205+'HPM costs'!L551))+('HIV-Key Info'!$F$83*('HPM costs'!L208+'HPM costs'!L211+'HPM costs'!L554+'HPM costs'!L557)))</f>
        <v>0</v>
      </c>
      <c r="AF377" s="695"/>
      <c r="AG377" s="695">
        <f>'HIV-Key Info'!$I$83*(('HIV-Key Info'!$E$83*('HPM costs'!M205+'HPM costs'!M551))+('HIV-Key Info'!$F$83*('HPM costs'!M208+'HPM costs'!M211+'HPM costs'!M554+'HPM costs'!M557)))</f>
        <v>0</v>
      </c>
      <c r="AH377" s="695"/>
      <c r="AI377" s="695">
        <f>'HIV-Key Info'!$I$83*(('HIV-Key Info'!$E$83*('HPM costs'!N205+'HPM costs'!N551))+('HIV-Key Info'!$F$83*('HPM costs'!N208+'HPM costs'!N211+'HPM costs'!N554+'HPM costs'!N557)))</f>
        <v>0</v>
      </c>
      <c r="AJ377" s="695"/>
      <c r="AK377" s="1492">
        <f t="shared" si="37"/>
        <v>0</v>
      </c>
      <c r="AL377" s="1493"/>
      <c r="AM377" s="1494"/>
      <c r="AN377" s="699"/>
      <c r="AO377" s="695"/>
      <c r="AP377" s="695">
        <f>'HIV-Key Info'!$I$83*(('HIV-Key Info'!$E$83*('HPM costs'!P205+'HPM costs'!P551))+('HIV-Key Info'!$F$83*('HPM costs'!P208+'HPM costs'!P211+'HPM costs'!P554+'HPM costs'!P557)))</f>
        <v>0</v>
      </c>
      <c r="AQ377" s="695"/>
      <c r="AR377" s="695">
        <f>'HIV-Key Info'!$I$83*(('HIV-Key Info'!$E$83*('HPM costs'!Q205+'HPM costs'!Q551))+('HIV-Key Info'!$F$83*('HPM costs'!Q208+'HPM costs'!Q211+'HPM costs'!Q554+'HPM costs'!Q557)))</f>
        <v>0</v>
      </c>
      <c r="AS377" s="695"/>
      <c r="AT377" s="695">
        <f>'HIV-Key Info'!$I$83*(('HIV-Key Info'!$E$83*('HPM costs'!R205+'HPM costs'!R551))+('HIV-Key Info'!$F$83*('HPM costs'!R208+'HPM costs'!R211+'HPM costs'!R554+'HPM costs'!R557)))</f>
        <v>0</v>
      </c>
      <c r="AU377" s="695"/>
      <c r="AV377" s="695">
        <f>'HIV-Key Info'!$I$83*(('HIV-Key Info'!$E$83*('HPM costs'!S205+'HPM costs'!S551))+('HIV-Key Info'!$F$83*('HPM costs'!S208+'HPM costs'!S211+'HPM costs'!S554+'HPM costs'!S557)))</f>
        <v>0</v>
      </c>
      <c r="AW377" s="695"/>
      <c r="AX377" s="1492">
        <f t="shared" si="38"/>
        <v>0</v>
      </c>
      <c r="AY377" s="1492"/>
      <c r="AZ377" s="698"/>
      <c r="BA377" s="699"/>
      <c r="BB377" s="697"/>
      <c r="BC377" s="697">
        <v>0</v>
      </c>
      <c r="BD377" s="697">
        <v>0</v>
      </c>
      <c r="BE377" s="697">
        <v>0</v>
      </c>
      <c r="BF377" s="697">
        <v>0</v>
      </c>
      <c r="BG377" s="697">
        <v>0</v>
      </c>
      <c r="BH377" s="697">
        <v>0</v>
      </c>
      <c r="BI377" s="697">
        <v>0</v>
      </c>
      <c r="BJ377" s="697">
        <v>0</v>
      </c>
      <c r="BK377" s="1492">
        <f t="shared" si="39"/>
        <v>0</v>
      </c>
      <c r="BL377" s="1492"/>
      <c r="BM377" s="1492">
        <f t="shared" si="40"/>
        <v>0</v>
      </c>
      <c r="BN377" s="1492">
        <f t="shared" si="41"/>
        <v>0</v>
      </c>
      <c r="BO377" s="697"/>
      <c r="BP377" s="697"/>
      <c r="BQ377" s="1495" t="s">
        <v>6935</v>
      </c>
      <c r="BR377" s="1495" t="s">
        <v>818</v>
      </c>
      <c r="BS377" s="1902" t="s">
        <v>655</v>
      </c>
      <c r="BT377" s="1907" t="s">
        <v>2096</v>
      </c>
    </row>
    <row r="378" spans="1:72" ht="13">
      <c r="A378" s="1545">
        <v>934</v>
      </c>
      <c r="B378" s="1546" t="s">
        <v>800</v>
      </c>
      <c r="C378" s="1546" t="s">
        <v>803</v>
      </c>
      <c r="D378" s="1547" t="s">
        <v>6887</v>
      </c>
      <c r="E378" s="690" t="s">
        <v>666</v>
      </c>
      <c r="F378" s="691"/>
      <c r="G378" s="692"/>
      <c r="H378" s="692"/>
      <c r="I378" s="692"/>
      <c r="J378" s="693"/>
      <c r="K378" s="693"/>
      <c r="L378" s="693"/>
      <c r="M378" s="694"/>
      <c r="N378" s="695"/>
      <c r="O378" s="696" t="s">
        <v>1569</v>
      </c>
      <c r="P378" s="695">
        <f>'HIV-Key Info'!$I$83*(('HIV-Key Info'!$E$83*'HPM costs'!F291)+('HIV-Key Info'!$F$83*('HPM costs'!F294+'HPM costs'!F297)))</f>
        <v>0</v>
      </c>
      <c r="Q378" s="695" t="s">
        <v>1569</v>
      </c>
      <c r="R378" s="695">
        <f>'HIV-Key Info'!$I$83*(('HIV-Key Info'!$E$83*'HPM costs'!G291)+('HIV-Key Info'!$F$83*('HPM costs'!G294+'HPM costs'!G297)))</f>
        <v>0</v>
      </c>
      <c r="S378" s="695" t="s">
        <v>1569</v>
      </c>
      <c r="T378" s="695">
        <f>'HIV-Key Info'!$I$83*(('HIV-Key Info'!$E$83*'HPM costs'!H291)+('HIV-Key Info'!$F$83*('HPM costs'!H294+'HPM costs'!H297)))</f>
        <v>0</v>
      </c>
      <c r="U378" s="695" t="s">
        <v>1569</v>
      </c>
      <c r="V378" s="695">
        <f>'HIV-Key Info'!$I$83*(('HIV-Key Info'!$E$83*'HPM costs'!I291)+('HIV-Key Info'!$F$83*('HPM costs'!I294+'HPM costs'!I297)))</f>
        <v>0</v>
      </c>
      <c r="W378" s="695"/>
      <c r="X378" s="1492">
        <f t="shared" si="36"/>
        <v>0</v>
      </c>
      <c r="Y378" s="1493"/>
      <c r="Z378" s="1494"/>
      <c r="AA378" s="699"/>
      <c r="AB378" s="695"/>
      <c r="AC378" s="695">
        <f>'HIV-Key Info'!$I$83*(('HIV-Key Info'!$E$83*'HPM costs'!K291)+('HIV-Key Info'!$F$83*('HPM costs'!K294+'HPM costs'!K297)))</f>
        <v>0</v>
      </c>
      <c r="AD378" s="695"/>
      <c r="AE378" s="695">
        <f>'HIV-Key Info'!$I$83*(('HIV-Key Info'!$E$83*'HPM costs'!L291)+('HIV-Key Info'!$F$83*('HPM costs'!L294+'HPM costs'!L297)))</f>
        <v>0</v>
      </c>
      <c r="AF378" s="695"/>
      <c r="AG378" s="695">
        <f>'HIV-Key Info'!$I$83*(('HIV-Key Info'!$E$83*'HPM costs'!M291)+('HIV-Key Info'!$F$83*('HPM costs'!M294+'HPM costs'!M297)))</f>
        <v>0</v>
      </c>
      <c r="AH378" s="695"/>
      <c r="AI378" s="695">
        <f>'HIV-Key Info'!$I$83*(('HIV-Key Info'!$E$83*'HPM costs'!N291)+('HIV-Key Info'!$F$83*('HPM costs'!N294+'HPM costs'!N297)))</f>
        <v>0</v>
      </c>
      <c r="AJ378" s="695"/>
      <c r="AK378" s="1492">
        <f t="shared" si="37"/>
        <v>0</v>
      </c>
      <c r="AL378" s="1493"/>
      <c r="AM378" s="1494"/>
      <c r="AN378" s="699"/>
      <c r="AO378" s="695"/>
      <c r="AP378" s="695">
        <f>'HIV-Key Info'!$I$83*(('HIV-Key Info'!$E$83*'HPM costs'!P291)+('HIV-Key Info'!$F$83*('HPM costs'!P294+'HPM costs'!P297)))</f>
        <v>0</v>
      </c>
      <c r="AQ378" s="695"/>
      <c r="AR378" s="695">
        <f>'HIV-Key Info'!$I$83*(('HIV-Key Info'!$E$83*'HPM costs'!Q291)+('HIV-Key Info'!$F$83*('HPM costs'!Q294+'HPM costs'!Q297)))</f>
        <v>0</v>
      </c>
      <c r="AS378" s="695"/>
      <c r="AT378" s="695">
        <f>'HIV-Key Info'!$I$83*(('HIV-Key Info'!$E$83*'HPM costs'!R291)+('HIV-Key Info'!$F$83*('HPM costs'!R294+'HPM costs'!R297)))</f>
        <v>0</v>
      </c>
      <c r="AU378" s="695"/>
      <c r="AV378" s="695">
        <f>'HIV-Key Info'!$I$83*(('HIV-Key Info'!$E$83*'HPM costs'!S291)+('HIV-Key Info'!$F$83*('HPM costs'!S294+'HPM costs'!S297)))</f>
        <v>0</v>
      </c>
      <c r="AW378" s="695"/>
      <c r="AX378" s="1492">
        <f t="shared" si="38"/>
        <v>0</v>
      </c>
      <c r="AY378" s="1492"/>
      <c r="AZ378" s="698"/>
      <c r="BA378" s="699"/>
      <c r="BB378" s="697"/>
      <c r="BC378" s="697">
        <v>0</v>
      </c>
      <c r="BD378" s="697">
        <v>0</v>
      </c>
      <c r="BE378" s="697">
        <v>0</v>
      </c>
      <c r="BF378" s="697">
        <v>0</v>
      </c>
      <c r="BG378" s="697">
        <v>0</v>
      </c>
      <c r="BH378" s="697">
        <v>0</v>
      </c>
      <c r="BI378" s="697">
        <v>0</v>
      </c>
      <c r="BJ378" s="697">
        <v>0</v>
      </c>
      <c r="BK378" s="1492">
        <f t="shared" si="39"/>
        <v>0</v>
      </c>
      <c r="BL378" s="1492"/>
      <c r="BM378" s="1492">
        <f t="shared" si="40"/>
        <v>0</v>
      </c>
      <c r="BN378" s="1492">
        <f t="shared" si="41"/>
        <v>0</v>
      </c>
      <c r="BO378" s="697"/>
      <c r="BP378" s="697"/>
      <c r="BQ378" s="1495" t="s">
        <v>6935</v>
      </c>
      <c r="BR378" s="1495" t="s">
        <v>818</v>
      </c>
      <c r="BS378" s="1902" t="s">
        <v>655</v>
      </c>
      <c r="BT378" s="1907" t="s">
        <v>2097</v>
      </c>
    </row>
    <row r="379" spans="1:72" ht="13">
      <c r="A379" s="1545">
        <v>935</v>
      </c>
      <c r="B379" s="1546" t="s">
        <v>800</v>
      </c>
      <c r="C379" s="1546" t="s">
        <v>803</v>
      </c>
      <c r="D379" s="1547" t="s">
        <v>6887</v>
      </c>
      <c r="E379" s="690" t="s">
        <v>668</v>
      </c>
      <c r="F379" s="691"/>
      <c r="G379" s="692"/>
      <c r="H379" s="692"/>
      <c r="I379" s="692"/>
      <c r="J379" s="693"/>
      <c r="K379" s="693"/>
      <c r="L379" s="693"/>
      <c r="M379" s="694"/>
      <c r="N379" s="695"/>
      <c r="O379" s="696" t="s">
        <v>1569</v>
      </c>
      <c r="P379" s="695">
        <f>'HIV-Key Info'!$I$83*(('HIV-Key Info'!$E$83*'HPM costs'!F636)+('HIV-Key Info'!$F$83*('HPM costs'!F639+'HPM costs'!F642)))</f>
        <v>0</v>
      </c>
      <c r="Q379" s="695" t="s">
        <v>1569</v>
      </c>
      <c r="R379" s="695">
        <f>'HIV-Key Info'!$I$83*(('HIV-Key Info'!$E$83*'HPM costs'!G636)+('HIV-Key Info'!$F$83*('HPM costs'!G639+'HPM costs'!G642)))</f>
        <v>0</v>
      </c>
      <c r="S379" s="695" t="s">
        <v>1569</v>
      </c>
      <c r="T379" s="695">
        <f>'HIV-Key Info'!$I$83*(('HIV-Key Info'!$E$83*'HPM costs'!H636)+('HIV-Key Info'!$F$83*('HPM costs'!H639+'HPM costs'!H642)))</f>
        <v>0</v>
      </c>
      <c r="U379" s="695" t="s">
        <v>1569</v>
      </c>
      <c r="V379" s="695">
        <f>'HIV-Key Info'!$I$83*(('HIV-Key Info'!$E$83*'HPM costs'!I636)+('HIV-Key Info'!$F$83*('HPM costs'!I639+'HPM costs'!I642)))</f>
        <v>0</v>
      </c>
      <c r="W379" s="695"/>
      <c r="X379" s="1492">
        <f t="shared" si="36"/>
        <v>0</v>
      </c>
      <c r="Y379" s="1493"/>
      <c r="Z379" s="1494"/>
      <c r="AA379" s="699"/>
      <c r="AB379" s="695"/>
      <c r="AC379" s="695">
        <f>'HIV-Key Info'!$I$83*(('HIV-Key Info'!$E$83*'HPM costs'!K636)+('HIV-Key Info'!$F$83*('HPM costs'!K639+'HPM costs'!K642)))</f>
        <v>0</v>
      </c>
      <c r="AD379" s="695"/>
      <c r="AE379" s="695">
        <f>'HIV-Key Info'!$I$83*(('HIV-Key Info'!$E$83*'HPM costs'!L636)+('HIV-Key Info'!$F$83*('HPM costs'!L639+'HPM costs'!L642)))</f>
        <v>0</v>
      </c>
      <c r="AF379" s="695"/>
      <c r="AG379" s="695">
        <f>'HIV-Key Info'!$I$83*(('HIV-Key Info'!$E$83*'HPM costs'!M636)+('HIV-Key Info'!$F$83*('HPM costs'!M639+'HPM costs'!M642)))</f>
        <v>0</v>
      </c>
      <c r="AH379" s="695"/>
      <c r="AI379" s="695">
        <f>'HIV-Key Info'!$I$83*(('HIV-Key Info'!$E$83*'HPM costs'!N636)+('HIV-Key Info'!$F$83*('HPM costs'!N639+'HPM costs'!N642)))</f>
        <v>0</v>
      </c>
      <c r="AJ379" s="695"/>
      <c r="AK379" s="1492">
        <f t="shared" si="37"/>
        <v>0</v>
      </c>
      <c r="AL379" s="1493"/>
      <c r="AM379" s="1494"/>
      <c r="AN379" s="699"/>
      <c r="AO379" s="695"/>
      <c r="AP379" s="695">
        <f>'HIV-Key Info'!$I$83*(('HIV-Key Info'!$E$83*'HPM costs'!P636)+('HIV-Key Info'!$F$83*('HPM costs'!P639+'HPM costs'!P642)))</f>
        <v>0</v>
      </c>
      <c r="AQ379" s="695"/>
      <c r="AR379" s="695">
        <f>'HIV-Key Info'!$I$83*(('HIV-Key Info'!$E$83*'HPM costs'!Q636)+('HIV-Key Info'!$F$83*('HPM costs'!Q639+'HPM costs'!Q642)))</f>
        <v>0</v>
      </c>
      <c r="AS379" s="695"/>
      <c r="AT379" s="695">
        <f>'HIV-Key Info'!$I$83*(('HIV-Key Info'!$E$83*'HPM costs'!R636)+('HIV-Key Info'!$F$83*('HPM costs'!R639+'HPM costs'!R642)))</f>
        <v>0</v>
      </c>
      <c r="AU379" s="695"/>
      <c r="AV379" s="695">
        <f>'HIV-Key Info'!$I$83*(('HIV-Key Info'!$E$83*'HPM costs'!S636)+('HIV-Key Info'!$F$83*('HPM costs'!S639+'HPM costs'!S642)))</f>
        <v>0</v>
      </c>
      <c r="AW379" s="695"/>
      <c r="AX379" s="1492">
        <f t="shared" si="38"/>
        <v>0</v>
      </c>
      <c r="AY379" s="1492"/>
      <c r="AZ379" s="698"/>
      <c r="BA379" s="699"/>
      <c r="BB379" s="697"/>
      <c r="BC379" s="697">
        <v>0</v>
      </c>
      <c r="BD379" s="697">
        <v>0</v>
      </c>
      <c r="BE379" s="697">
        <v>0</v>
      </c>
      <c r="BF379" s="697">
        <v>0</v>
      </c>
      <c r="BG379" s="697">
        <v>0</v>
      </c>
      <c r="BH379" s="697">
        <v>0</v>
      </c>
      <c r="BI379" s="697">
        <v>0</v>
      </c>
      <c r="BJ379" s="697">
        <v>0</v>
      </c>
      <c r="BK379" s="1492">
        <f t="shared" si="39"/>
        <v>0</v>
      </c>
      <c r="BL379" s="1492"/>
      <c r="BM379" s="1492">
        <f t="shared" si="40"/>
        <v>0</v>
      </c>
      <c r="BN379" s="1492">
        <f t="shared" si="41"/>
        <v>0</v>
      </c>
      <c r="BO379" s="697"/>
      <c r="BP379" s="697"/>
      <c r="BQ379" s="1495" t="s">
        <v>6935</v>
      </c>
      <c r="BR379" s="1495" t="s">
        <v>818</v>
      </c>
      <c r="BS379" s="1902" t="s">
        <v>655</v>
      </c>
      <c r="BT379" s="1907" t="s">
        <v>2098</v>
      </c>
    </row>
    <row r="380" spans="1:72" ht="13">
      <c r="A380" s="1545">
        <v>936</v>
      </c>
      <c r="B380" s="1546" t="s">
        <v>800</v>
      </c>
      <c r="C380" s="1546" t="s">
        <v>801</v>
      </c>
      <c r="D380" s="1547" t="s">
        <v>6958</v>
      </c>
      <c r="E380" s="690" t="s">
        <v>731</v>
      </c>
      <c r="F380" s="691"/>
      <c r="G380" s="692"/>
      <c r="H380" s="692"/>
      <c r="I380" s="692"/>
      <c r="J380" s="693"/>
      <c r="K380" s="693"/>
      <c r="L380" s="693"/>
      <c r="M380" s="694"/>
      <c r="N380" s="695"/>
      <c r="O380" s="696" t="s">
        <v>1569</v>
      </c>
      <c r="P380" s="695">
        <f>'HIV-Key Info'!$G$84*('HIV-Key Info'!$E$84*('HPM costs'!F551/'HPM costs'!$E$551)+'HIV-Key Info'!$F$84*('HPM costs'!F557/'HPM costs'!$E$557+'HPM costs'!F554/'HPM costs'!$E$554))</f>
        <v>0</v>
      </c>
      <c r="Q380" s="695" t="s">
        <v>1569</v>
      </c>
      <c r="R380" s="695">
        <f>'HIV-Key Info'!$G$84*('HIV-Key Info'!$E$84*('HPM costs'!G551/'HPM costs'!$E$551)+'HIV-Key Info'!$F$84*('HPM costs'!G557/'HPM costs'!$E$557+'HPM costs'!G554/'HPM costs'!$E$554))</f>
        <v>0</v>
      </c>
      <c r="S380" s="695" t="s">
        <v>1569</v>
      </c>
      <c r="T380" s="695">
        <f>'HIV-Key Info'!$G$84*('HIV-Key Info'!$E$84*('HPM costs'!H551/'HPM costs'!$E$551)+'HIV-Key Info'!$F$84*('HPM costs'!H557/'HPM costs'!$E$557+'HPM costs'!H554/'HPM costs'!$E$554))</f>
        <v>0</v>
      </c>
      <c r="U380" s="695" t="s">
        <v>1569</v>
      </c>
      <c r="V380" s="695">
        <f>'HIV-Key Info'!$G$84*('HIV-Key Info'!$E$84*('HPM costs'!I551/'HPM costs'!$E$551)+'HIV-Key Info'!$F$84*('HPM costs'!I557/'HPM costs'!$E$557+'HPM costs'!I554/'HPM costs'!$E$554))</f>
        <v>0</v>
      </c>
      <c r="W380" s="695"/>
      <c r="X380" s="1492">
        <f t="shared" si="36"/>
        <v>0</v>
      </c>
      <c r="Y380" s="1493"/>
      <c r="Z380" s="1494"/>
      <c r="AA380" s="699"/>
      <c r="AB380" s="695"/>
      <c r="AC380" s="695">
        <f>'HIV-Key Info'!$G$84*('HIV-Key Info'!$E$84*('HPM costs'!K551/'HPM costs'!$E$551)+'HIV-Key Info'!$F$84*('HPM costs'!K557/'HPM costs'!$E$557+'HPM costs'!K554/'HPM costs'!$E$554))</f>
        <v>0</v>
      </c>
      <c r="AD380" s="695"/>
      <c r="AE380" s="695">
        <f>'HIV-Key Info'!$G$84*('HIV-Key Info'!$E$84*('HPM costs'!L551/'HPM costs'!$E$551)+'HIV-Key Info'!$F$84*('HPM costs'!L557/'HPM costs'!$E$557+'HPM costs'!L554/'HPM costs'!$E$554))</f>
        <v>0</v>
      </c>
      <c r="AF380" s="695"/>
      <c r="AG380" s="695">
        <f>'HIV-Key Info'!$G$84*('HIV-Key Info'!$E$84*('HPM costs'!M551/'HPM costs'!$E$551)+'HIV-Key Info'!$F$84*('HPM costs'!M557/'HPM costs'!$E$557+'HPM costs'!M554/'HPM costs'!$E$554))</f>
        <v>0</v>
      </c>
      <c r="AH380" s="695"/>
      <c r="AI380" s="695">
        <f>'HIV-Key Info'!$G$84*('HIV-Key Info'!$E$84*('HPM costs'!N551/'HPM costs'!$E$551)+'HIV-Key Info'!$F$84*('HPM costs'!N557/'HPM costs'!$E$557+'HPM costs'!N554/'HPM costs'!$E$554))</f>
        <v>0</v>
      </c>
      <c r="AJ380" s="695"/>
      <c r="AK380" s="1492">
        <f t="shared" si="37"/>
        <v>0</v>
      </c>
      <c r="AL380" s="1493"/>
      <c r="AM380" s="1494"/>
      <c r="AN380" s="699"/>
      <c r="AO380" s="695"/>
      <c r="AP380" s="695">
        <f>'HIV-Key Info'!$G$84*('HIV-Key Info'!$E$84*('HPM costs'!P551/'HPM costs'!$E$551)+'HIV-Key Info'!$F$84*('HPM costs'!P557/'HPM costs'!$E$557+'HPM costs'!P554/'HPM costs'!$E$554))</f>
        <v>0</v>
      </c>
      <c r="AQ380" s="695"/>
      <c r="AR380" s="695">
        <f>'HIV-Key Info'!$G$84*('HIV-Key Info'!$E$84*('HPM costs'!Q551/'HPM costs'!$E$551)+'HIV-Key Info'!$F$84*('HPM costs'!Q557/'HPM costs'!$E$557+'HPM costs'!Q554/'HPM costs'!$E$554))</f>
        <v>0</v>
      </c>
      <c r="AS380" s="695"/>
      <c r="AT380" s="695">
        <f>'HIV-Key Info'!$G$84*('HIV-Key Info'!$E$84*('HPM costs'!R551/'HPM costs'!$E$551)+'HIV-Key Info'!$F$84*('HPM costs'!R557/'HPM costs'!$E$557+'HPM costs'!R554/'HPM costs'!$E$554))</f>
        <v>0</v>
      </c>
      <c r="AU380" s="695"/>
      <c r="AV380" s="695">
        <f>'HIV-Key Info'!$G$84*('HIV-Key Info'!$E$84*('HPM costs'!S551/'HPM costs'!$E$551)+'HIV-Key Info'!$F$84*('HPM costs'!S557/'HPM costs'!$E$557+'HPM costs'!S554/'HPM costs'!$E$554))</f>
        <v>0</v>
      </c>
      <c r="AW380" s="695"/>
      <c r="AX380" s="1492">
        <f t="shared" si="38"/>
        <v>0</v>
      </c>
      <c r="AY380" s="1492"/>
      <c r="AZ380" s="698"/>
      <c r="BA380" s="699"/>
      <c r="BB380" s="697"/>
      <c r="BC380" s="697">
        <v>0</v>
      </c>
      <c r="BD380" s="697">
        <v>0</v>
      </c>
      <c r="BE380" s="697">
        <v>0</v>
      </c>
      <c r="BF380" s="697">
        <v>0</v>
      </c>
      <c r="BG380" s="697">
        <v>0</v>
      </c>
      <c r="BH380" s="697">
        <v>0</v>
      </c>
      <c r="BI380" s="697">
        <v>0</v>
      </c>
      <c r="BJ380" s="697">
        <v>0</v>
      </c>
      <c r="BK380" s="1492">
        <f t="shared" si="39"/>
        <v>0</v>
      </c>
      <c r="BL380" s="1492"/>
      <c r="BM380" s="1492">
        <f t="shared" si="40"/>
        <v>0</v>
      </c>
      <c r="BN380" s="1492">
        <f t="shared" si="41"/>
        <v>0</v>
      </c>
      <c r="BO380" s="697"/>
      <c r="BP380" s="697"/>
      <c r="BQ380" s="1495" t="s">
        <v>6936</v>
      </c>
      <c r="BR380" s="1495" t="s">
        <v>818</v>
      </c>
      <c r="BS380" s="1902" t="s">
        <v>6953</v>
      </c>
      <c r="BT380" s="1907" t="s">
        <v>2099</v>
      </c>
    </row>
    <row r="381" spans="1:72" ht="13">
      <c r="A381" s="1545">
        <v>937</v>
      </c>
      <c r="B381" s="1546" t="s">
        <v>800</v>
      </c>
      <c r="C381" s="1546" t="s">
        <v>801</v>
      </c>
      <c r="D381" s="1547" t="s">
        <v>6878</v>
      </c>
      <c r="E381" s="690" t="s">
        <v>656</v>
      </c>
      <c r="F381" s="691"/>
      <c r="G381" s="692"/>
      <c r="H381" s="692"/>
      <c r="I381" s="692"/>
      <c r="J381" s="693"/>
      <c r="K381" s="693"/>
      <c r="L381" s="693"/>
      <c r="M381" s="694"/>
      <c r="N381" s="695"/>
      <c r="O381" s="696" t="s">
        <v>1569</v>
      </c>
      <c r="P381" s="695">
        <f>'HIV-Key Info'!$G$84*(('HIV-Key Info'!$E$84*'HPM costs'!F33)+('HIV-Key Info'!$F$84*('HPM costs'!F36+'HPM costs'!F39)))</f>
        <v>0</v>
      </c>
      <c r="Q381" s="695" t="s">
        <v>1569</v>
      </c>
      <c r="R381" s="695">
        <f>'HIV-Key Info'!$G$84*(('HIV-Key Info'!$E$84*'HPM costs'!G33)+('HIV-Key Info'!$F$84*('HPM costs'!G36+'HPM costs'!G39)))</f>
        <v>0</v>
      </c>
      <c r="S381" s="695" t="s">
        <v>1569</v>
      </c>
      <c r="T381" s="695">
        <f>'HIV-Key Info'!$G$84*(('HIV-Key Info'!$E$84*'HPM costs'!H33)+('HIV-Key Info'!$F$84*('HPM costs'!H36+'HPM costs'!H39)))</f>
        <v>0</v>
      </c>
      <c r="U381" s="695" t="s">
        <v>1569</v>
      </c>
      <c r="V381" s="695">
        <f>'HIV-Key Info'!$G$84*(('HIV-Key Info'!$E$84*'HPM costs'!I33)+('HIV-Key Info'!$F$84*('HPM costs'!I36+'HPM costs'!I39)))</f>
        <v>0</v>
      </c>
      <c r="W381" s="695"/>
      <c r="X381" s="1492">
        <f t="shared" si="36"/>
        <v>0</v>
      </c>
      <c r="Y381" s="1493"/>
      <c r="Z381" s="1494"/>
      <c r="AA381" s="699"/>
      <c r="AB381" s="695"/>
      <c r="AC381" s="695">
        <f>'HIV-Key Info'!$G$84*(('HIV-Key Info'!$E$84*'HPM costs'!K33)+('HIV-Key Info'!$F$84*('HPM costs'!K36+'HPM costs'!K39)))</f>
        <v>0</v>
      </c>
      <c r="AD381" s="695"/>
      <c r="AE381" s="695">
        <f>'HIV-Key Info'!$G$84*(('HIV-Key Info'!$E$84*'HPM costs'!L33)+('HIV-Key Info'!$F$84*('HPM costs'!L36+'HPM costs'!L39)))</f>
        <v>0</v>
      </c>
      <c r="AF381" s="695"/>
      <c r="AG381" s="695">
        <f>'HIV-Key Info'!$G$84*(('HIV-Key Info'!$E$84*'HPM costs'!M33)+('HIV-Key Info'!$F$84*('HPM costs'!M36+'HPM costs'!M39)))</f>
        <v>0</v>
      </c>
      <c r="AH381" s="695"/>
      <c r="AI381" s="695">
        <f>'HIV-Key Info'!$G$84*(('HIV-Key Info'!$E$84*'HPM costs'!N33)+('HIV-Key Info'!$F$84*('HPM costs'!N36+'HPM costs'!N39)))</f>
        <v>0</v>
      </c>
      <c r="AJ381" s="695"/>
      <c r="AK381" s="1492">
        <f t="shared" si="37"/>
        <v>0</v>
      </c>
      <c r="AL381" s="1493"/>
      <c r="AM381" s="1494"/>
      <c r="AN381" s="699"/>
      <c r="AO381" s="695"/>
      <c r="AP381" s="695">
        <f>'HIV-Key Info'!$G$84*(('HIV-Key Info'!$E$84*'HPM costs'!P33)+('HIV-Key Info'!$F$84*('HPM costs'!P36+'HPM costs'!P39)))</f>
        <v>0</v>
      </c>
      <c r="AQ381" s="695"/>
      <c r="AR381" s="695">
        <f>'HIV-Key Info'!$G$84*(('HIV-Key Info'!$E$84*'HPM costs'!Q33)+('HIV-Key Info'!$F$84*('HPM costs'!Q36+'HPM costs'!Q39)))</f>
        <v>0</v>
      </c>
      <c r="AS381" s="695"/>
      <c r="AT381" s="695">
        <f>'HIV-Key Info'!$G$84*(('HIV-Key Info'!$E$84*'HPM costs'!R33)+('HIV-Key Info'!$F$84*('HPM costs'!R36+'HPM costs'!R39)))</f>
        <v>0</v>
      </c>
      <c r="AU381" s="695"/>
      <c r="AV381" s="695">
        <f>'HIV-Key Info'!$G$84*(('HIV-Key Info'!$E$84*'HPM costs'!S33)+('HIV-Key Info'!$F$84*('HPM costs'!S36+'HPM costs'!S39)))</f>
        <v>0</v>
      </c>
      <c r="AW381" s="695"/>
      <c r="AX381" s="1492">
        <f t="shared" si="38"/>
        <v>0</v>
      </c>
      <c r="AY381" s="1492"/>
      <c r="AZ381" s="698"/>
      <c r="BA381" s="699"/>
      <c r="BB381" s="697"/>
      <c r="BC381" s="697">
        <v>0</v>
      </c>
      <c r="BD381" s="697">
        <v>0</v>
      </c>
      <c r="BE381" s="697">
        <v>0</v>
      </c>
      <c r="BF381" s="697">
        <v>0</v>
      </c>
      <c r="BG381" s="697">
        <v>0</v>
      </c>
      <c r="BH381" s="697">
        <v>0</v>
      </c>
      <c r="BI381" s="697">
        <v>0</v>
      </c>
      <c r="BJ381" s="697">
        <v>0</v>
      </c>
      <c r="BK381" s="1492">
        <f t="shared" si="39"/>
        <v>0</v>
      </c>
      <c r="BL381" s="1492"/>
      <c r="BM381" s="1492">
        <f t="shared" si="40"/>
        <v>0</v>
      </c>
      <c r="BN381" s="1492">
        <f t="shared" si="41"/>
        <v>0</v>
      </c>
      <c r="BO381" s="697"/>
      <c r="BP381" s="697"/>
      <c r="BQ381" s="1495" t="s">
        <v>6936</v>
      </c>
      <c r="BR381" s="1495" t="s">
        <v>818</v>
      </c>
      <c r="BS381" s="1902" t="s">
        <v>655</v>
      </c>
      <c r="BT381" s="1907" t="s">
        <v>2100</v>
      </c>
    </row>
    <row r="382" spans="1:72" ht="13">
      <c r="A382" s="1545">
        <v>938</v>
      </c>
      <c r="B382" s="1546" t="s">
        <v>800</v>
      </c>
      <c r="C382" s="1546" t="s">
        <v>801</v>
      </c>
      <c r="D382" s="1547" t="s">
        <v>6878</v>
      </c>
      <c r="E382" s="690" t="s">
        <v>658</v>
      </c>
      <c r="F382" s="691"/>
      <c r="G382" s="692"/>
      <c r="H382" s="692"/>
      <c r="I382" s="692"/>
      <c r="J382" s="693"/>
      <c r="K382" s="693"/>
      <c r="L382" s="693"/>
      <c r="M382" s="694"/>
      <c r="N382" s="695"/>
      <c r="O382" s="696" t="s">
        <v>1569</v>
      </c>
      <c r="P382" s="695">
        <f>'HIV-Key Info'!$G$84*(('HIV-Key Info'!$E$84*'HPM costs'!F119)+('HIV-Key Info'!$F$84*('HPM costs'!F122+'HPM costs'!F125)))</f>
        <v>0</v>
      </c>
      <c r="Q382" s="695" t="s">
        <v>1569</v>
      </c>
      <c r="R382" s="695">
        <f>'HIV-Key Info'!$G$84*(('HIV-Key Info'!$E$84*'HPM costs'!G119)+('HIV-Key Info'!$F$84*('HPM costs'!G122+'HPM costs'!G125)))</f>
        <v>0</v>
      </c>
      <c r="S382" s="695" t="s">
        <v>1569</v>
      </c>
      <c r="T382" s="695">
        <f>'HIV-Key Info'!$G$84*(('HIV-Key Info'!$E$84*'HPM costs'!H119)+('HIV-Key Info'!$F$84*('HPM costs'!H122+'HPM costs'!H125)))</f>
        <v>0</v>
      </c>
      <c r="U382" s="695" t="s">
        <v>1569</v>
      </c>
      <c r="V382" s="695">
        <f>'HIV-Key Info'!$G$84*(('HIV-Key Info'!$E$84*'HPM costs'!I119)+('HIV-Key Info'!$F$84*('HPM costs'!I122+'HPM costs'!I125)))</f>
        <v>0</v>
      </c>
      <c r="W382" s="695"/>
      <c r="X382" s="1492">
        <f t="shared" si="36"/>
        <v>0</v>
      </c>
      <c r="Y382" s="1493"/>
      <c r="Z382" s="1494"/>
      <c r="AA382" s="699"/>
      <c r="AB382" s="695"/>
      <c r="AC382" s="695">
        <f>'HIV-Key Info'!$G$84*(('HIV-Key Info'!$E$84*'HPM costs'!K119)+('HIV-Key Info'!$F$84*('HPM costs'!K122+'HPM costs'!K125)))</f>
        <v>0</v>
      </c>
      <c r="AD382" s="695"/>
      <c r="AE382" s="695">
        <f>'HIV-Key Info'!$G$84*(('HIV-Key Info'!$E$84*'HPM costs'!L119)+('HIV-Key Info'!$F$84*('HPM costs'!L122+'HPM costs'!L125)))</f>
        <v>0</v>
      </c>
      <c r="AF382" s="695"/>
      <c r="AG382" s="695">
        <f>'HIV-Key Info'!$G$84*(('HIV-Key Info'!$E$84*'HPM costs'!M119)+('HIV-Key Info'!$F$84*('HPM costs'!M122+'HPM costs'!M125)))</f>
        <v>0</v>
      </c>
      <c r="AH382" s="695"/>
      <c r="AI382" s="695">
        <f>'HIV-Key Info'!$G$84*(('HIV-Key Info'!$E$84*'HPM costs'!N119)+('HIV-Key Info'!$F$84*('HPM costs'!N122+'HPM costs'!N125)))</f>
        <v>0</v>
      </c>
      <c r="AJ382" s="695"/>
      <c r="AK382" s="1492">
        <f t="shared" si="37"/>
        <v>0</v>
      </c>
      <c r="AL382" s="1493"/>
      <c r="AM382" s="1494"/>
      <c r="AN382" s="699"/>
      <c r="AO382" s="695"/>
      <c r="AP382" s="695">
        <f>'HIV-Key Info'!$G$84*(('HIV-Key Info'!$E$84*'HPM costs'!P119)+('HIV-Key Info'!$F$84*('HPM costs'!P122+'HPM costs'!P125)))</f>
        <v>0</v>
      </c>
      <c r="AQ382" s="695"/>
      <c r="AR382" s="695">
        <f>'HIV-Key Info'!$G$84*(('HIV-Key Info'!$E$84*'HPM costs'!Q119)+('HIV-Key Info'!$F$84*('HPM costs'!Q122+'HPM costs'!Q125)))</f>
        <v>0</v>
      </c>
      <c r="AS382" s="695"/>
      <c r="AT382" s="695">
        <f>'HIV-Key Info'!$G$84*(('HIV-Key Info'!$E$84*'HPM costs'!R119)+('HIV-Key Info'!$F$84*('HPM costs'!R122+'HPM costs'!R125)))</f>
        <v>0</v>
      </c>
      <c r="AU382" s="695"/>
      <c r="AV382" s="695">
        <f>'HIV-Key Info'!$G$84*(('HIV-Key Info'!$E$84*'HPM costs'!S119)+('HIV-Key Info'!$F$84*('HPM costs'!S122+'HPM costs'!S125)))</f>
        <v>0</v>
      </c>
      <c r="AW382" s="695"/>
      <c r="AX382" s="1492">
        <f t="shared" si="38"/>
        <v>0</v>
      </c>
      <c r="AY382" s="1492"/>
      <c r="AZ382" s="698"/>
      <c r="BA382" s="699"/>
      <c r="BB382" s="697"/>
      <c r="BC382" s="697">
        <v>0</v>
      </c>
      <c r="BD382" s="697">
        <v>0</v>
      </c>
      <c r="BE382" s="697">
        <v>0</v>
      </c>
      <c r="BF382" s="697">
        <v>0</v>
      </c>
      <c r="BG382" s="697">
        <v>0</v>
      </c>
      <c r="BH382" s="697">
        <v>0</v>
      </c>
      <c r="BI382" s="697">
        <v>0</v>
      </c>
      <c r="BJ382" s="697">
        <v>0</v>
      </c>
      <c r="BK382" s="1492">
        <f t="shared" si="39"/>
        <v>0</v>
      </c>
      <c r="BL382" s="1492"/>
      <c r="BM382" s="1492">
        <f t="shared" si="40"/>
        <v>0</v>
      </c>
      <c r="BN382" s="1492">
        <f t="shared" si="41"/>
        <v>0</v>
      </c>
      <c r="BO382" s="697"/>
      <c r="BP382" s="697"/>
      <c r="BQ382" s="1495" t="s">
        <v>6936</v>
      </c>
      <c r="BR382" s="1495" t="s">
        <v>818</v>
      </c>
      <c r="BS382" s="1902" t="s">
        <v>655</v>
      </c>
      <c r="BT382" s="1907" t="s">
        <v>2101</v>
      </c>
    </row>
    <row r="383" spans="1:72" ht="13">
      <c r="A383" s="1545">
        <v>939</v>
      </c>
      <c r="B383" s="1546" t="s">
        <v>800</v>
      </c>
      <c r="C383" s="1546" t="s">
        <v>801</v>
      </c>
      <c r="D383" s="1547" t="s">
        <v>6878</v>
      </c>
      <c r="E383" s="690" t="s">
        <v>660</v>
      </c>
      <c r="F383" s="691"/>
      <c r="G383" s="692"/>
      <c r="H383" s="692"/>
      <c r="I383" s="692"/>
      <c r="J383" s="693"/>
      <c r="K383" s="693"/>
      <c r="L383" s="693"/>
      <c r="M383" s="694"/>
      <c r="N383" s="695"/>
      <c r="O383" s="696" t="s">
        <v>1569</v>
      </c>
      <c r="P383" s="695">
        <f>'HIV-Key Info'!$G$84*(('HIV-Key Info'!$E$84*'HPM costs'!F385)+('HIV-Key Info'!$F$84*('HPM costs'!F382+'HPM costs'!F385)))</f>
        <v>0</v>
      </c>
      <c r="Q383" s="695" t="s">
        <v>1569</v>
      </c>
      <c r="R383" s="695">
        <f>'HIV-Key Info'!$G$84*(('HIV-Key Info'!$E$84*'HPM costs'!G385)+('HIV-Key Info'!$F$84*('HPM costs'!G382+'HPM costs'!G385)))</f>
        <v>0</v>
      </c>
      <c r="S383" s="695" t="s">
        <v>1569</v>
      </c>
      <c r="T383" s="695">
        <f>'HIV-Key Info'!$G$84*(('HIV-Key Info'!$E$84*'HPM costs'!H385)+('HIV-Key Info'!$F$84*('HPM costs'!H382+'HPM costs'!H385)))</f>
        <v>0</v>
      </c>
      <c r="U383" s="695" t="s">
        <v>1569</v>
      </c>
      <c r="V383" s="695">
        <f>'HIV-Key Info'!$G$84*(('HIV-Key Info'!$E$84*'HPM costs'!I385)+('HIV-Key Info'!$F$84*('HPM costs'!I382+'HPM costs'!I385)))</f>
        <v>0</v>
      </c>
      <c r="W383" s="695"/>
      <c r="X383" s="1492">
        <f t="shared" si="36"/>
        <v>0</v>
      </c>
      <c r="Y383" s="1493"/>
      <c r="Z383" s="1494"/>
      <c r="AA383" s="699"/>
      <c r="AB383" s="695"/>
      <c r="AC383" s="695">
        <f>'HIV-Key Info'!$G$84*(('HIV-Key Info'!$E$84*'HPM costs'!K385)+('HIV-Key Info'!$F$84*('HPM costs'!K382+'HPM costs'!K385)))</f>
        <v>0</v>
      </c>
      <c r="AD383" s="695"/>
      <c r="AE383" s="695">
        <f>'HIV-Key Info'!$G$84*(('HIV-Key Info'!$E$84*'HPM costs'!L385)+('HIV-Key Info'!$F$84*('HPM costs'!L382+'HPM costs'!L385)))</f>
        <v>0</v>
      </c>
      <c r="AF383" s="695"/>
      <c r="AG383" s="695">
        <f>'HIV-Key Info'!$G$84*(('HIV-Key Info'!$E$84*'HPM costs'!M385)+('HIV-Key Info'!$F$84*('HPM costs'!M382+'HPM costs'!M385)))</f>
        <v>0</v>
      </c>
      <c r="AH383" s="695"/>
      <c r="AI383" s="695">
        <f>'HIV-Key Info'!$G$84*(('HIV-Key Info'!$E$84*'HPM costs'!N385)+('HIV-Key Info'!$F$84*('HPM costs'!N382+'HPM costs'!N385)))</f>
        <v>0</v>
      </c>
      <c r="AJ383" s="695"/>
      <c r="AK383" s="1492">
        <f t="shared" si="37"/>
        <v>0</v>
      </c>
      <c r="AL383" s="1493"/>
      <c r="AM383" s="1494"/>
      <c r="AN383" s="699"/>
      <c r="AO383" s="695"/>
      <c r="AP383" s="695">
        <f>'HIV-Key Info'!$G$84*(('HIV-Key Info'!$E$84*'HPM costs'!P385)+('HIV-Key Info'!$F$84*('HPM costs'!P382+'HPM costs'!P385)))</f>
        <v>0</v>
      </c>
      <c r="AQ383" s="695"/>
      <c r="AR383" s="695">
        <f>'HIV-Key Info'!$G$84*(('HIV-Key Info'!$E$84*'HPM costs'!Q385)+('HIV-Key Info'!$F$84*('HPM costs'!Q382+'HPM costs'!Q385)))</f>
        <v>0</v>
      </c>
      <c r="AS383" s="695"/>
      <c r="AT383" s="695">
        <f>'HIV-Key Info'!$G$84*(('HIV-Key Info'!$E$84*'HPM costs'!R385)+('HIV-Key Info'!$F$84*('HPM costs'!R382+'HPM costs'!R385)))</f>
        <v>0</v>
      </c>
      <c r="AU383" s="695"/>
      <c r="AV383" s="695">
        <f>'HIV-Key Info'!$G$84*(('HIV-Key Info'!$E$84*'HPM costs'!S385)+('HIV-Key Info'!$F$84*('HPM costs'!S382+'HPM costs'!S385)))</f>
        <v>0</v>
      </c>
      <c r="AW383" s="695"/>
      <c r="AX383" s="1492">
        <f t="shared" si="38"/>
        <v>0</v>
      </c>
      <c r="AY383" s="1492"/>
      <c r="AZ383" s="698"/>
      <c r="BA383" s="699"/>
      <c r="BB383" s="697"/>
      <c r="BC383" s="697">
        <v>0</v>
      </c>
      <c r="BD383" s="697">
        <v>0</v>
      </c>
      <c r="BE383" s="697">
        <v>0</v>
      </c>
      <c r="BF383" s="697">
        <v>0</v>
      </c>
      <c r="BG383" s="697">
        <v>0</v>
      </c>
      <c r="BH383" s="697">
        <v>0</v>
      </c>
      <c r="BI383" s="697">
        <v>0</v>
      </c>
      <c r="BJ383" s="697">
        <v>0</v>
      </c>
      <c r="BK383" s="1492">
        <f t="shared" si="39"/>
        <v>0</v>
      </c>
      <c r="BL383" s="1492"/>
      <c r="BM383" s="1492">
        <f t="shared" si="40"/>
        <v>0</v>
      </c>
      <c r="BN383" s="1492">
        <f t="shared" si="41"/>
        <v>0</v>
      </c>
      <c r="BO383" s="697"/>
      <c r="BP383" s="697"/>
      <c r="BQ383" s="1495" t="s">
        <v>6936</v>
      </c>
      <c r="BR383" s="1495" t="s">
        <v>818</v>
      </c>
      <c r="BS383" s="1902" t="s">
        <v>655</v>
      </c>
      <c r="BT383" s="1907" t="s">
        <v>2102</v>
      </c>
    </row>
    <row r="384" spans="1:72" ht="13">
      <c r="A384" s="1545">
        <v>940</v>
      </c>
      <c r="B384" s="1546" t="s">
        <v>800</v>
      </c>
      <c r="C384" s="1546" t="s">
        <v>801</v>
      </c>
      <c r="D384" s="1547" t="s">
        <v>6878</v>
      </c>
      <c r="E384" s="690" t="s">
        <v>662</v>
      </c>
      <c r="F384" s="691"/>
      <c r="G384" s="692"/>
      <c r="H384" s="692"/>
      <c r="I384" s="692"/>
      <c r="J384" s="693"/>
      <c r="K384" s="693"/>
      <c r="L384" s="693"/>
      <c r="M384" s="694"/>
      <c r="N384" s="695"/>
      <c r="O384" s="696" t="s">
        <v>1569</v>
      </c>
      <c r="P384" s="695">
        <f>'HIV-Key Info'!$G$84*(('HIV-Key Info'!$E$84*'HPM costs'!F465)+('HIV-Key Info'!$F$84*('HPM costs'!F468+'HPM costs'!F471)))</f>
        <v>0</v>
      </c>
      <c r="Q384" s="695" t="s">
        <v>1569</v>
      </c>
      <c r="R384" s="695">
        <f>'HIV-Key Info'!$G$84*(('HIV-Key Info'!$E$84*'HPM costs'!G465)+('HIV-Key Info'!$F$84*('HPM costs'!G468+'HPM costs'!G471)))</f>
        <v>0</v>
      </c>
      <c r="S384" s="695" t="s">
        <v>1569</v>
      </c>
      <c r="T384" s="695">
        <f>'HIV-Key Info'!$G$84*(('HIV-Key Info'!$E$84*'HPM costs'!H465)+('HIV-Key Info'!$F$84*('HPM costs'!H468+'HPM costs'!H471)))</f>
        <v>0</v>
      </c>
      <c r="U384" s="695" t="s">
        <v>1569</v>
      </c>
      <c r="V384" s="695">
        <f>'HIV-Key Info'!$G$84*(('HIV-Key Info'!$E$84*'HPM costs'!I465)+('HIV-Key Info'!$F$84*('HPM costs'!I468+'HPM costs'!I471)))</f>
        <v>0</v>
      </c>
      <c r="W384" s="695"/>
      <c r="X384" s="1492">
        <f t="shared" si="36"/>
        <v>0</v>
      </c>
      <c r="Y384" s="1493"/>
      <c r="Z384" s="1494"/>
      <c r="AA384" s="699"/>
      <c r="AB384" s="695"/>
      <c r="AC384" s="695">
        <f>'HIV-Key Info'!$G$84*(('HIV-Key Info'!$E$84*'HPM costs'!K465)+('HIV-Key Info'!$F$84*('HPM costs'!K468+'HPM costs'!K471)))</f>
        <v>0</v>
      </c>
      <c r="AD384" s="695"/>
      <c r="AE384" s="695">
        <f>'HIV-Key Info'!$G$84*(('HIV-Key Info'!$E$84*'HPM costs'!L465)+('HIV-Key Info'!$F$84*('HPM costs'!L468+'HPM costs'!L471)))</f>
        <v>0</v>
      </c>
      <c r="AF384" s="695"/>
      <c r="AG384" s="695">
        <f>'HIV-Key Info'!$G$84*(('HIV-Key Info'!$E$84*'HPM costs'!M465)+('HIV-Key Info'!$F$84*('HPM costs'!M468+'HPM costs'!M471)))</f>
        <v>0</v>
      </c>
      <c r="AH384" s="695"/>
      <c r="AI384" s="695">
        <f>'HIV-Key Info'!$G$84*(('HIV-Key Info'!$E$84*'HPM costs'!N465)+('HIV-Key Info'!$F$84*('HPM costs'!N468+'HPM costs'!N471)))</f>
        <v>0</v>
      </c>
      <c r="AJ384" s="695"/>
      <c r="AK384" s="1492">
        <f t="shared" si="37"/>
        <v>0</v>
      </c>
      <c r="AL384" s="1493"/>
      <c r="AM384" s="1494"/>
      <c r="AN384" s="699"/>
      <c r="AO384" s="695"/>
      <c r="AP384" s="695">
        <f>'HIV-Key Info'!$G$84*(('HIV-Key Info'!$E$84*'HPM costs'!P465)+('HIV-Key Info'!$F$84*('HPM costs'!P468+'HPM costs'!P471)))</f>
        <v>0</v>
      </c>
      <c r="AQ384" s="695"/>
      <c r="AR384" s="695">
        <f>'HIV-Key Info'!$G$84*(('HIV-Key Info'!$E$84*'HPM costs'!Q465)+('HIV-Key Info'!$F$84*('HPM costs'!Q468+'HPM costs'!Q471)))</f>
        <v>0</v>
      </c>
      <c r="AS384" s="695"/>
      <c r="AT384" s="695">
        <f>'HIV-Key Info'!$G$84*(('HIV-Key Info'!$E$84*'HPM costs'!R465)+('HIV-Key Info'!$F$84*('HPM costs'!R468+'HPM costs'!R471)))</f>
        <v>0</v>
      </c>
      <c r="AU384" s="695"/>
      <c r="AV384" s="695">
        <f>'HIV-Key Info'!$G$84*(('HIV-Key Info'!$E$84*'HPM costs'!S465)+('HIV-Key Info'!$F$84*('HPM costs'!S468+'HPM costs'!S471)))</f>
        <v>0</v>
      </c>
      <c r="AW384" s="695"/>
      <c r="AX384" s="1492">
        <f t="shared" si="38"/>
        <v>0</v>
      </c>
      <c r="AY384" s="1492"/>
      <c r="AZ384" s="698"/>
      <c r="BA384" s="699"/>
      <c r="BB384" s="697"/>
      <c r="BC384" s="697">
        <v>0</v>
      </c>
      <c r="BD384" s="697">
        <v>0</v>
      </c>
      <c r="BE384" s="697">
        <v>0</v>
      </c>
      <c r="BF384" s="697">
        <v>0</v>
      </c>
      <c r="BG384" s="697">
        <v>0</v>
      </c>
      <c r="BH384" s="697">
        <v>0</v>
      </c>
      <c r="BI384" s="697">
        <v>0</v>
      </c>
      <c r="BJ384" s="697">
        <v>0</v>
      </c>
      <c r="BK384" s="1492">
        <f t="shared" si="39"/>
        <v>0</v>
      </c>
      <c r="BL384" s="1492"/>
      <c r="BM384" s="1492">
        <f t="shared" si="40"/>
        <v>0</v>
      </c>
      <c r="BN384" s="1492">
        <f t="shared" si="41"/>
        <v>0</v>
      </c>
      <c r="BO384" s="697"/>
      <c r="BP384" s="697"/>
      <c r="BQ384" s="1495" t="s">
        <v>6936</v>
      </c>
      <c r="BR384" s="1495" t="s">
        <v>818</v>
      </c>
      <c r="BS384" s="1902" t="s">
        <v>655</v>
      </c>
      <c r="BT384" s="1907" t="s">
        <v>2103</v>
      </c>
    </row>
    <row r="385" spans="1:72" ht="13">
      <c r="A385" s="1545">
        <v>941</v>
      </c>
      <c r="B385" s="1546" t="s">
        <v>800</v>
      </c>
      <c r="C385" s="1546" t="s">
        <v>801</v>
      </c>
      <c r="D385" s="1547" t="s">
        <v>6878</v>
      </c>
      <c r="E385" s="690" t="s">
        <v>664</v>
      </c>
      <c r="F385" s="691"/>
      <c r="G385" s="692"/>
      <c r="H385" s="692"/>
      <c r="I385" s="692"/>
      <c r="J385" s="693"/>
      <c r="K385" s="693"/>
      <c r="L385" s="693"/>
      <c r="M385" s="694"/>
      <c r="N385" s="695"/>
      <c r="O385" s="696" t="s">
        <v>1569</v>
      </c>
      <c r="P385" s="695">
        <f>'HIV-Key Info'!$G$84*(('HIV-Key Info'!$E$84*('HPM costs'!F205+'HPM costs'!F551))+('HIV-Key Info'!$F$84*('HPM costs'!F208+'HPM costs'!F211+'HPM costs'!F554+'HPM costs'!F557)))</f>
        <v>0</v>
      </c>
      <c r="Q385" s="695" t="s">
        <v>1569</v>
      </c>
      <c r="R385" s="695">
        <f>'HIV-Key Info'!$G$84*(('HIV-Key Info'!$E$84*('HPM costs'!G205+'HPM costs'!G551))+('HIV-Key Info'!$F$84*('HPM costs'!G208+'HPM costs'!G211+'HPM costs'!G554+'HPM costs'!G557)))</f>
        <v>0</v>
      </c>
      <c r="S385" s="695" t="s">
        <v>1569</v>
      </c>
      <c r="T385" s="695">
        <f>'HIV-Key Info'!$G$84*(('HIV-Key Info'!$E$84*('HPM costs'!H205+'HPM costs'!H551))+('HIV-Key Info'!$F$84*('HPM costs'!H208+'HPM costs'!H211+'HPM costs'!H554+'HPM costs'!H557)))</f>
        <v>0</v>
      </c>
      <c r="U385" s="695" t="s">
        <v>1569</v>
      </c>
      <c r="V385" s="695">
        <f>'HIV-Key Info'!$G$84*(('HIV-Key Info'!$E$84*('HPM costs'!I205+'HPM costs'!I551))+('HIV-Key Info'!$F$84*('HPM costs'!I208+'HPM costs'!I211+'HPM costs'!I554+'HPM costs'!I557)))</f>
        <v>0</v>
      </c>
      <c r="W385" s="695"/>
      <c r="X385" s="1492">
        <f t="shared" ref="X385:X448" si="42">P385+R385+T385+V385</f>
        <v>0</v>
      </c>
      <c r="Y385" s="1493"/>
      <c r="Z385" s="1494"/>
      <c r="AA385" s="699"/>
      <c r="AB385" s="695"/>
      <c r="AC385" s="695">
        <f>'HIV-Key Info'!$G$84*(('HIV-Key Info'!$E$84*('HPM costs'!K205+'HPM costs'!K551))+('HIV-Key Info'!$F$84*('HPM costs'!K208+'HPM costs'!K211+'HPM costs'!K554+'HPM costs'!K557)))</f>
        <v>0</v>
      </c>
      <c r="AD385" s="695"/>
      <c r="AE385" s="695">
        <f>'HIV-Key Info'!$G$84*(('HIV-Key Info'!$E$84*('HPM costs'!L205+'HPM costs'!L551))+('HIV-Key Info'!$F$84*('HPM costs'!L208+'HPM costs'!L211+'HPM costs'!L554+'HPM costs'!L557)))</f>
        <v>0</v>
      </c>
      <c r="AF385" s="695"/>
      <c r="AG385" s="695">
        <f>'HIV-Key Info'!$G$84*(('HIV-Key Info'!$E$84*('HPM costs'!M205+'HPM costs'!M551))+('HIV-Key Info'!$F$84*('HPM costs'!M208+'HPM costs'!M211+'HPM costs'!M554+'HPM costs'!M557)))</f>
        <v>0</v>
      </c>
      <c r="AH385" s="695"/>
      <c r="AI385" s="695">
        <f>'HIV-Key Info'!$G$84*(('HIV-Key Info'!$E$84*('HPM costs'!N205+'HPM costs'!N551))+('HIV-Key Info'!$F$84*('HPM costs'!N208+'HPM costs'!N211+'HPM costs'!N554+'HPM costs'!N557)))</f>
        <v>0</v>
      </c>
      <c r="AJ385" s="695"/>
      <c r="AK385" s="1492">
        <f t="shared" ref="AK385:AK448" si="43">AI385+AG385+AE385+AC385</f>
        <v>0</v>
      </c>
      <c r="AL385" s="1493"/>
      <c r="AM385" s="1494"/>
      <c r="AN385" s="699"/>
      <c r="AO385" s="695"/>
      <c r="AP385" s="695">
        <f>'HIV-Key Info'!$G$84*(('HIV-Key Info'!$E$84*('HPM costs'!P205+'HPM costs'!P551))+('HIV-Key Info'!$F$84*('HPM costs'!P208+'HPM costs'!P211+'HPM costs'!P554+'HPM costs'!P557)))</f>
        <v>0</v>
      </c>
      <c r="AQ385" s="695"/>
      <c r="AR385" s="695">
        <f>'HIV-Key Info'!$G$84*(('HIV-Key Info'!$E$84*('HPM costs'!Q205+'HPM costs'!Q551))+('HIV-Key Info'!$F$84*('HPM costs'!Q208+'HPM costs'!Q211+'HPM costs'!Q554+'HPM costs'!Q557)))</f>
        <v>0</v>
      </c>
      <c r="AS385" s="695"/>
      <c r="AT385" s="695">
        <f>'HIV-Key Info'!$G$84*(('HIV-Key Info'!$E$84*('HPM costs'!R205+'HPM costs'!R551))+('HIV-Key Info'!$F$84*('HPM costs'!R208+'HPM costs'!R211+'HPM costs'!R554+'HPM costs'!R557)))</f>
        <v>0</v>
      </c>
      <c r="AU385" s="695"/>
      <c r="AV385" s="695">
        <f>'HIV-Key Info'!$G$84*(('HIV-Key Info'!$E$84*('HPM costs'!S205+'HPM costs'!S551))+('HIV-Key Info'!$F$84*('HPM costs'!S208+'HPM costs'!S211+'HPM costs'!S554+'HPM costs'!S557)))</f>
        <v>0</v>
      </c>
      <c r="AW385" s="695"/>
      <c r="AX385" s="1492">
        <f t="shared" ref="AX385:AX448" si="44">AV385+AT385+AR385+AP385</f>
        <v>0</v>
      </c>
      <c r="AY385" s="1492"/>
      <c r="AZ385" s="698"/>
      <c r="BA385" s="699"/>
      <c r="BB385" s="697"/>
      <c r="BC385" s="697">
        <v>0</v>
      </c>
      <c r="BD385" s="697">
        <v>0</v>
      </c>
      <c r="BE385" s="697">
        <v>0</v>
      </c>
      <c r="BF385" s="697">
        <v>0</v>
      </c>
      <c r="BG385" s="697">
        <v>0</v>
      </c>
      <c r="BH385" s="697">
        <v>0</v>
      </c>
      <c r="BI385" s="697">
        <v>0</v>
      </c>
      <c r="BJ385" s="697">
        <v>0</v>
      </c>
      <c r="BK385" s="1492">
        <f t="shared" ref="BK385:BK448" si="45">BI385+BG385+BE385+BC385</f>
        <v>0</v>
      </c>
      <c r="BL385" s="1492"/>
      <c r="BM385" s="1492">
        <f t="shared" si="40"/>
        <v>0</v>
      </c>
      <c r="BN385" s="1492">
        <f t="shared" si="41"/>
        <v>0</v>
      </c>
      <c r="BO385" s="697"/>
      <c r="BP385" s="697"/>
      <c r="BQ385" s="1495" t="s">
        <v>6936</v>
      </c>
      <c r="BR385" s="1495" t="s">
        <v>818</v>
      </c>
      <c r="BS385" s="1902" t="s">
        <v>655</v>
      </c>
      <c r="BT385" s="1907" t="s">
        <v>2104</v>
      </c>
    </row>
    <row r="386" spans="1:72" ht="13">
      <c r="A386" s="1545">
        <v>942</v>
      </c>
      <c r="B386" s="1546" t="s">
        <v>800</v>
      </c>
      <c r="C386" s="1546" t="s">
        <v>801</v>
      </c>
      <c r="D386" s="1547" t="s">
        <v>6878</v>
      </c>
      <c r="E386" s="690" t="s">
        <v>666</v>
      </c>
      <c r="F386" s="691"/>
      <c r="G386" s="692"/>
      <c r="H386" s="692"/>
      <c r="I386" s="692"/>
      <c r="J386" s="693"/>
      <c r="K386" s="693"/>
      <c r="L386" s="693"/>
      <c r="M386" s="694"/>
      <c r="N386" s="695"/>
      <c r="O386" s="696" t="s">
        <v>1569</v>
      </c>
      <c r="P386" s="695">
        <f>'HIV-Key Info'!$G$84*(('HIV-Key Info'!$E$84*'HPM costs'!F291)+('HIV-Key Info'!$F$84*('HPM costs'!F294+'HPM costs'!F297)))</f>
        <v>0</v>
      </c>
      <c r="Q386" s="695" t="s">
        <v>1569</v>
      </c>
      <c r="R386" s="695">
        <f>'HIV-Key Info'!$G$84*(('HIV-Key Info'!$E$84*'HPM costs'!G291)+('HIV-Key Info'!$F$84*('HPM costs'!G294+'HPM costs'!G297)))</f>
        <v>0</v>
      </c>
      <c r="S386" s="695" t="s">
        <v>1569</v>
      </c>
      <c r="T386" s="695">
        <f>'HIV-Key Info'!$G$84*(('HIV-Key Info'!$E$84*'HPM costs'!H291)+('HIV-Key Info'!$F$84*('HPM costs'!H294+'HPM costs'!H297)))</f>
        <v>0</v>
      </c>
      <c r="U386" s="695" t="s">
        <v>1569</v>
      </c>
      <c r="V386" s="695">
        <f>'HIV-Key Info'!$G$84*(('HIV-Key Info'!$E$84*'HPM costs'!I291)+('HIV-Key Info'!$F$84*('HPM costs'!I294+'HPM costs'!I297)))</f>
        <v>0</v>
      </c>
      <c r="W386" s="695"/>
      <c r="X386" s="1492">
        <f t="shared" si="42"/>
        <v>0</v>
      </c>
      <c r="Y386" s="1493"/>
      <c r="Z386" s="1494"/>
      <c r="AA386" s="699"/>
      <c r="AB386" s="695"/>
      <c r="AC386" s="695">
        <f>'HIV-Key Info'!$G$84*(('HIV-Key Info'!$E$84*'HPM costs'!K291)+('HIV-Key Info'!$F$84*('HPM costs'!K294+'HPM costs'!K297)))</f>
        <v>0</v>
      </c>
      <c r="AD386" s="695"/>
      <c r="AE386" s="695">
        <f>'HIV-Key Info'!$G$84*(('HIV-Key Info'!$E$84*'HPM costs'!L291)+('HIV-Key Info'!$F$84*('HPM costs'!L294+'HPM costs'!L297)))</f>
        <v>0</v>
      </c>
      <c r="AF386" s="695"/>
      <c r="AG386" s="695">
        <f>'HIV-Key Info'!$G$84*(('HIV-Key Info'!$E$84*'HPM costs'!M291)+('HIV-Key Info'!$F$84*('HPM costs'!M294+'HPM costs'!M297)))</f>
        <v>0</v>
      </c>
      <c r="AH386" s="695"/>
      <c r="AI386" s="695">
        <f>'HIV-Key Info'!$G$84*(('HIV-Key Info'!$E$84*'HPM costs'!N291)+('HIV-Key Info'!$F$84*('HPM costs'!N294+'HPM costs'!N297)))</f>
        <v>0</v>
      </c>
      <c r="AJ386" s="695"/>
      <c r="AK386" s="1492">
        <f t="shared" si="43"/>
        <v>0</v>
      </c>
      <c r="AL386" s="1493"/>
      <c r="AM386" s="1494"/>
      <c r="AN386" s="699"/>
      <c r="AO386" s="695"/>
      <c r="AP386" s="695">
        <f>'HIV-Key Info'!$G$84*(('HIV-Key Info'!$E$84*'HPM costs'!P291)+('HIV-Key Info'!$F$84*('HPM costs'!P294+'HPM costs'!P297)))</f>
        <v>0</v>
      </c>
      <c r="AQ386" s="695"/>
      <c r="AR386" s="695">
        <f>'HIV-Key Info'!$G$84*(('HIV-Key Info'!$E$84*'HPM costs'!Q291)+('HIV-Key Info'!$F$84*('HPM costs'!Q294+'HPM costs'!Q297)))</f>
        <v>0</v>
      </c>
      <c r="AS386" s="695"/>
      <c r="AT386" s="695">
        <f>'HIV-Key Info'!$G$84*(('HIV-Key Info'!$E$84*'HPM costs'!R291)+('HIV-Key Info'!$F$84*('HPM costs'!R294+'HPM costs'!R297)))</f>
        <v>0</v>
      </c>
      <c r="AU386" s="695"/>
      <c r="AV386" s="695">
        <f>'HIV-Key Info'!$G$84*(('HIV-Key Info'!$E$84*'HPM costs'!S291)+('HIV-Key Info'!$F$84*('HPM costs'!S294+'HPM costs'!S297)))</f>
        <v>0</v>
      </c>
      <c r="AW386" s="695"/>
      <c r="AX386" s="1492">
        <f t="shared" si="44"/>
        <v>0</v>
      </c>
      <c r="AY386" s="1492"/>
      <c r="AZ386" s="698"/>
      <c r="BA386" s="699"/>
      <c r="BB386" s="697"/>
      <c r="BC386" s="697">
        <v>0</v>
      </c>
      <c r="BD386" s="697">
        <v>0</v>
      </c>
      <c r="BE386" s="697">
        <v>0</v>
      </c>
      <c r="BF386" s="697">
        <v>0</v>
      </c>
      <c r="BG386" s="697">
        <v>0</v>
      </c>
      <c r="BH386" s="697">
        <v>0</v>
      </c>
      <c r="BI386" s="697">
        <v>0</v>
      </c>
      <c r="BJ386" s="697">
        <v>0</v>
      </c>
      <c r="BK386" s="1492">
        <f t="shared" si="45"/>
        <v>0</v>
      </c>
      <c r="BL386" s="1492"/>
      <c r="BM386" s="1492">
        <f t="shared" ref="BM386:BM449" si="46">BJ386+AW386+AJ386+W386</f>
        <v>0</v>
      </c>
      <c r="BN386" s="1492">
        <f t="shared" ref="BN386:BN449" si="47">BK386+AX386+AK386+X386</f>
        <v>0</v>
      </c>
      <c r="BO386" s="697"/>
      <c r="BP386" s="697"/>
      <c r="BQ386" s="1495" t="s">
        <v>6936</v>
      </c>
      <c r="BR386" s="1495" t="s">
        <v>818</v>
      </c>
      <c r="BS386" s="1902" t="s">
        <v>655</v>
      </c>
      <c r="BT386" s="1907" t="s">
        <v>2105</v>
      </c>
    </row>
    <row r="387" spans="1:72" ht="13">
      <c r="A387" s="1545">
        <v>943</v>
      </c>
      <c r="B387" s="1546" t="s">
        <v>800</v>
      </c>
      <c r="C387" s="1546" t="s">
        <v>801</v>
      </c>
      <c r="D387" s="1547" t="s">
        <v>6878</v>
      </c>
      <c r="E387" s="690" t="s">
        <v>668</v>
      </c>
      <c r="F387" s="691"/>
      <c r="G387" s="692"/>
      <c r="H387" s="692"/>
      <c r="I387" s="692"/>
      <c r="J387" s="693"/>
      <c r="K387" s="693"/>
      <c r="L387" s="693"/>
      <c r="M387" s="694"/>
      <c r="N387" s="695"/>
      <c r="O387" s="696" t="s">
        <v>1569</v>
      </c>
      <c r="P387" s="695">
        <f>'HIV-Key Info'!$G$84*(('HIV-Key Info'!$E$84*'HPM costs'!F636)+('HIV-Key Info'!$F$84*('HPM costs'!F639+'HPM costs'!F642)))</f>
        <v>0</v>
      </c>
      <c r="Q387" s="695" t="s">
        <v>1569</v>
      </c>
      <c r="R387" s="695">
        <f>'HIV-Key Info'!$G$84*(('HIV-Key Info'!$E$84*'HPM costs'!G636)+('HIV-Key Info'!$F$84*('HPM costs'!G639+'HPM costs'!G642)))</f>
        <v>0</v>
      </c>
      <c r="S387" s="695" t="s">
        <v>1569</v>
      </c>
      <c r="T387" s="695">
        <f>'HIV-Key Info'!$G$84*(('HIV-Key Info'!$E$84*'HPM costs'!H636)+('HIV-Key Info'!$F$84*('HPM costs'!H639+'HPM costs'!H642)))</f>
        <v>0</v>
      </c>
      <c r="U387" s="695" t="s">
        <v>1569</v>
      </c>
      <c r="V387" s="695">
        <f>'HIV-Key Info'!$G$84*(('HIV-Key Info'!$E$84*'HPM costs'!I636)+('HIV-Key Info'!$F$84*('HPM costs'!I639+'HPM costs'!I642)))</f>
        <v>0</v>
      </c>
      <c r="W387" s="695"/>
      <c r="X387" s="1492">
        <f t="shared" si="42"/>
        <v>0</v>
      </c>
      <c r="Y387" s="1493"/>
      <c r="Z387" s="1494"/>
      <c r="AA387" s="699"/>
      <c r="AB387" s="695"/>
      <c r="AC387" s="695">
        <f>'HIV-Key Info'!$G$84*(('HIV-Key Info'!$E$84*'HPM costs'!K636)+('HIV-Key Info'!$F$84*('HPM costs'!K639+'HPM costs'!K642)))</f>
        <v>0</v>
      </c>
      <c r="AD387" s="695"/>
      <c r="AE387" s="695">
        <f>'HIV-Key Info'!$G$84*(('HIV-Key Info'!$E$84*'HPM costs'!L636)+('HIV-Key Info'!$F$84*('HPM costs'!L639+'HPM costs'!L642)))</f>
        <v>0</v>
      </c>
      <c r="AF387" s="695"/>
      <c r="AG387" s="695">
        <f>'HIV-Key Info'!$G$84*(('HIV-Key Info'!$E$84*'HPM costs'!M636)+('HIV-Key Info'!$F$84*('HPM costs'!M639+'HPM costs'!M642)))</f>
        <v>0</v>
      </c>
      <c r="AH387" s="695"/>
      <c r="AI387" s="695">
        <f>'HIV-Key Info'!$G$84*(('HIV-Key Info'!$E$84*'HPM costs'!N636)+('HIV-Key Info'!$F$84*('HPM costs'!N639+'HPM costs'!N642)))</f>
        <v>0</v>
      </c>
      <c r="AJ387" s="695"/>
      <c r="AK387" s="1492">
        <f t="shared" si="43"/>
        <v>0</v>
      </c>
      <c r="AL387" s="1493"/>
      <c r="AM387" s="1494"/>
      <c r="AN387" s="699"/>
      <c r="AO387" s="695"/>
      <c r="AP387" s="695">
        <f>'HIV-Key Info'!$G$84*(('HIV-Key Info'!$E$84*'HPM costs'!P636)+('HIV-Key Info'!$F$84*('HPM costs'!P639+'HPM costs'!P642)))</f>
        <v>0</v>
      </c>
      <c r="AQ387" s="695"/>
      <c r="AR387" s="695">
        <f>'HIV-Key Info'!$G$84*(('HIV-Key Info'!$E$84*'HPM costs'!Q636)+('HIV-Key Info'!$F$84*('HPM costs'!Q639+'HPM costs'!Q642)))</f>
        <v>0</v>
      </c>
      <c r="AS387" s="695"/>
      <c r="AT387" s="695">
        <f>'HIV-Key Info'!$G$84*(('HIV-Key Info'!$E$84*'HPM costs'!R636)+('HIV-Key Info'!$F$84*('HPM costs'!R639+'HPM costs'!R642)))</f>
        <v>0</v>
      </c>
      <c r="AU387" s="695"/>
      <c r="AV387" s="695">
        <f>'HIV-Key Info'!$G$84*(('HIV-Key Info'!$E$84*'HPM costs'!S636)+('HIV-Key Info'!$F$84*('HPM costs'!S639+'HPM costs'!S642)))</f>
        <v>0</v>
      </c>
      <c r="AW387" s="695"/>
      <c r="AX387" s="1492">
        <f t="shared" si="44"/>
        <v>0</v>
      </c>
      <c r="AY387" s="1492"/>
      <c r="AZ387" s="698"/>
      <c r="BA387" s="699"/>
      <c r="BB387" s="697"/>
      <c r="BC387" s="697">
        <v>0</v>
      </c>
      <c r="BD387" s="697">
        <v>0</v>
      </c>
      <c r="BE387" s="697">
        <v>0</v>
      </c>
      <c r="BF387" s="697">
        <v>0</v>
      </c>
      <c r="BG387" s="697">
        <v>0</v>
      </c>
      <c r="BH387" s="697">
        <v>0</v>
      </c>
      <c r="BI387" s="697">
        <v>0</v>
      </c>
      <c r="BJ387" s="697">
        <v>0</v>
      </c>
      <c r="BK387" s="1492">
        <f t="shared" si="45"/>
        <v>0</v>
      </c>
      <c r="BL387" s="1492"/>
      <c r="BM387" s="1492">
        <f t="shared" si="46"/>
        <v>0</v>
      </c>
      <c r="BN387" s="1492">
        <f t="shared" si="47"/>
        <v>0</v>
      </c>
      <c r="BO387" s="697"/>
      <c r="BP387" s="697"/>
      <c r="BQ387" s="1495" t="s">
        <v>6936</v>
      </c>
      <c r="BR387" s="1495" t="s">
        <v>818</v>
      </c>
      <c r="BS387" s="1902" t="s">
        <v>655</v>
      </c>
      <c r="BT387" s="1907" t="s">
        <v>2106</v>
      </c>
    </row>
    <row r="388" spans="1:72" ht="13">
      <c r="A388" s="1545">
        <v>944</v>
      </c>
      <c r="B388" s="1546" t="s">
        <v>800</v>
      </c>
      <c r="C388" s="1546" t="s">
        <v>802</v>
      </c>
      <c r="D388" s="1547" t="s">
        <v>6958</v>
      </c>
      <c r="E388" s="690" t="s">
        <v>731</v>
      </c>
      <c r="F388" s="691"/>
      <c r="G388" s="692"/>
      <c r="H388" s="692"/>
      <c r="I388" s="692"/>
      <c r="J388" s="693"/>
      <c r="K388" s="693"/>
      <c r="L388" s="693"/>
      <c r="M388" s="694"/>
      <c r="N388" s="695"/>
      <c r="O388" s="696" t="s">
        <v>1569</v>
      </c>
      <c r="P388" s="695">
        <f>'HIV-Key Info'!$H$84*('HIV-Key Info'!$E$84*('HPM costs'!F551/'HPM costs'!$E$551)+'HIV-Key Info'!$F$84*('HPM costs'!F557/'HPM costs'!$E$557+'HPM costs'!F554/'HPM costs'!$E$554))</f>
        <v>0</v>
      </c>
      <c r="Q388" s="695" t="s">
        <v>1569</v>
      </c>
      <c r="R388" s="695">
        <f>'HIV-Key Info'!$H$84*('HIV-Key Info'!$E$84*('HPM costs'!G551/'HPM costs'!$E$551)+'HIV-Key Info'!$F$84*('HPM costs'!G557/'HPM costs'!$E$557+'HPM costs'!G554/'HPM costs'!$E$554))</f>
        <v>0</v>
      </c>
      <c r="S388" s="695" t="s">
        <v>1569</v>
      </c>
      <c r="T388" s="695">
        <f>'HIV-Key Info'!$H$84*('HIV-Key Info'!$E$84*('HPM costs'!H551/'HPM costs'!$E$551)+'HIV-Key Info'!$F$84*('HPM costs'!H557/'HPM costs'!$E$557+'HPM costs'!H554/'HPM costs'!$E$554))</f>
        <v>0</v>
      </c>
      <c r="U388" s="695" t="s">
        <v>1569</v>
      </c>
      <c r="V388" s="695">
        <f>'HIV-Key Info'!$H$84*('HIV-Key Info'!$E$84*('HPM costs'!I551/'HPM costs'!$E$551)+'HIV-Key Info'!$F$84*('HPM costs'!I557/'HPM costs'!$E$557+'HPM costs'!I554/'HPM costs'!$E$554))</f>
        <v>0</v>
      </c>
      <c r="W388" s="695"/>
      <c r="X388" s="1492">
        <f t="shared" si="42"/>
        <v>0</v>
      </c>
      <c r="Y388" s="1493"/>
      <c r="Z388" s="1494"/>
      <c r="AA388" s="699"/>
      <c r="AB388" s="695"/>
      <c r="AC388" s="695">
        <f>'HIV-Key Info'!$H$84*('HIV-Key Info'!$E$84*('HPM costs'!K551/'HPM costs'!$E$551)+'HIV-Key Info'!$F$84*('HPM costs'!K557/'HPM costs'!$E$557+'HPM costs'!K554/'HPM costs'!$E$554))</f>
        <v>0</v>
      </c>
      <c r="AD388" s="695"/>
      <c r="AE388" s="695">
        <f>'HIV-Key Info'!$H$84*('HIV-Key Info'!$E$84*('HPM costs'!L551/'HPM costs'!$E$551)+'HIV-Key Info'!$F$84*('HPM costs'!L557/'HPM costs'!$E$557+'HPM costs'!L554/'HPM costs'!$E$554))</f>
        <v>0</v>
      </c>
      <c r="AF388" s="695"/>
      <c r="AG388" s="695">
        <f>'HIV-Key Info'!$H$84*('HIV-Key Info'!$E$84*('HPM costs'!M551/'HPM costs'!$E$551)+'HIV-Key Info'!$F$84*('HPM costs'!M557/'HPM costs'!$E$557+'HPM costs'!M554/'HPM costs'!$E$554))</f>
        <v>0</v>
      </c>
      <c r="AH388" s="695"/>
      <c r="AI388" s="695">
        <f>'HIV-Key Info'!$H$84*('HIV-Key Info'!$E$84*('HPM costs'!N551/'HPM costs'!$E$551)+'HIV-Key Info'!$F$84*('HPM costs'!N557/'HPM costs'!$E$557+'HPM costs'!N554/'HPM costs'!$E$554))</f>
        <v>0</v>
      </c>
      <c r="AJ388" s="695"/>
      <c r="AK388" s="1492">
        <f t="shared" si="43"/>
        <v>0</v>
      </c>
      <c r="AL388" s="1493"/>
      <c r="AM388" s="1494"/>
      <c r="AN388" s="699"/>
      <c r="AO388" s="695"/>
      <c r="AP388" s="695">
        <f>'HIV-Key Info'!$H$84*('HIV-Key Info'!$E$84*('HPM costs'!P551/'HPM costs'!$E$551)+'HIV-Key Info'!$F$84*('HPM costs'!P557/'HPM costs'!$E$557+'HPM costs'!P554/'HPM costs'!$E$554))</f>
        <v>0</v>
      </c>
      <c r="AQ388" s="695"/>
      <c r="AR388" s="695">
        <f>'HIV-Key Info'!$H$84*('HIV-Key Info'!$E$84*('HPM costs'!Q551/'HPM costs'!$E$551)+'HIV-Key Info'!$F$84*('HPM costs'!Q557/'HPM costs'!$E$557+'HPM costs'!Q554/'HPM costs'!$E$554))</f>
        <v>0</v>
      </c>
      <c r="AS388" s="695"/>
      <c r="AT388" s="695">
        <f>'HIV-Key Info'!$H$84*('HIV-Key Info'!$E$84*('HPM costs'!R551/'HPM costs'!$E$551)+'HIV-Key Info'!$F$84*('HPM costs'!R557/'HPM costs'!$E$557+'HPM costs'!R554/'HPM costs'!$E$554))</f>
        <v>0</v>
      </c>
      <c r="AU388" s="695"/>
      <c r="AV388" s="695">
        <f>'HIV-Key Info'!$H$84*('HIV-Key Info'!$E$84*('HPM costs'!S551/'HPM costs'!$E$551)+'HIV-Key Info'!$F$84*('HPM costs'!S557/'HPM costs'!$E$557+'HPM costs'!S554/'HPM costs'!$E$554))</f>
        <v>0</v>
      </c>
      <c r="AW388" s="695"/>
      <c r="AX388" s="1492">
        <f t="shared" si="44"/>
        <v>0</v>
      </c>
      <c r="AY388" s="1492"/>
      <c r="AZ388" s="698"/>
      <c r="BA388" s="699"/>
      <c r="BB388" s="697"/>
      <c r="BC388" s="697">
        <v>0</v>
      </c>
      <c r="BD388" s="697">
        <v>0</v>
      </c>
      <c r="BE388" s="697">
        <v>0</v>
      </c>
      <c r="BF388" s="697">
        <v>0</v>
      </c>
      <c r="BG388" s="697">
        <v>0</v>
      </c>
      <c r="BH388" s="697">
        <v>0</v>
      </c>
      <c r="BI388" s="697">
        <v>0</v>
      </c>
      <c r="BJ388" s="697">
        <v>0</v>
      </c>
      <c r="BK388" s="1492">
        <f t="shared" si="45"/>
        <v>0</v>
      </c>
      <c r="BL388" s="1492"/>
      <c r="BM388" s="1492">
        <f t="shared" si="46"/>
        <v>0</v>
      </c>
      <c r="BN388" s="1492">
        <f t="shared" si="47"/>
        <v>0</v>
      </c>
      <c r="BO388" s="697"/>
      <c r="BP388" s="697"/>
      <c r="BQ388" s="1495" t="s">
        <v>6936</v>
      </c>
      <c r="BR388" s="1495" t="s">
        <v>818</v>
      </c>
      <c r="BS388" s="1902" t="s">
        <v>6953</v>
      </c>
      <c r="BT388" s="1907" t="s">
        <v>2107</v>
      </c>
    </row>
    <row r="389" spans="1:72" ht="13">
      <c r="A389" s="1545">
        <v>945</v>
      </c>
      <c r="B389" s="1546" t="s">
        <v>800</v>
      </c>
      <c r="C389" s="1546" t="s">
        <v>802</v>
      </c>
      <c r="D389" s="1547" t="s">
        <v>6878</v>
      </c>
      <c r="E389" s="690" t="s">
        <v>656</v>
      </c>
      <c r="F389" s="691"/>
      <c r="G389" s="692"/>
      <c r="H389" s="692"/>
      <c r="I389" s="692"/>
      <c r="J389" s="693"/>
      <c r="K389" s="693"/>
      <c r="L389" s="693"/>
      <c r="M389" s="694"/>
      <c r="N389" s="695"/>
      <c r="O389" s="696" t="s">
        <v>1569</v>
      </c>
      <c r="P389" s="695">
        <f>'HIV-Key Info'!$H$84*(('HIV-Key Info'!$E$84*'HPM costs'!F33)+('HIV-Key Info'!$F$84*('HPM costs'!F36+'HPM costs'!F39)))</f>
        <v>0</v>
      </c>
      <c r="Q389" s="695" t="s">
        <v>1569</v>
      </c>
      <c r="R389" s="695">
        <f>'HIV-Key Info'!$H$84*(('HIV-Key Info'!$E$84*'HPM costs'!G33)+('HIV-Key Info'!$F$84*('HPM costs'!G36+'HPM costs'!G39)))</f>
        <v>0</v>
      </c>
      <c r="S389" s="695" t="s">
        <v>1569</v>
      </c>
      <c r="T389" s="695">
        <f>'HIV-Key Info'!$H$84*(('HIV-Key Info'!$E$84*'HPM costs'!H33)+('HIV-Key Info'!$F$84*('HPM costs'!H36+'HPM costs'!H39)))</f>
        <v>0</v>
      </c>
      <c r="U389" s="695" t="s">
        <v>1569</v>
      </c>
      <c r="V389" s="695">
        <f>'HIV-Key Info'!$H$84*(('HIV-Key Info'!$E$84*'HPM costs'!I33)+('HIV-Key Info'!$F$84*('HPM costs'!I36+'HPM costs'!I39)))</f>
        <v>0</v>
      </c>
      <c r="W389" s="695"/>
      <c r="X389" s="1492">
        <f t="shared" si="42"/>
        <v>0</v>
      </c>
      <c r="Y389" s="1493"/>
      <c r="Z389" s="1494"/>
      <c r="AA389" s="699"/>
      <c r="AB389" s="695"/>
      <c r="AC389" s="695">
        <f>'HIV-Key Info'!$H$84*(('HIV-Key Info'!$E$84*'HPM costs'!K33)+('HIV-Key Info'!$F$84*('HPM costs'!K36+'HPM costs'!K39)))</f>
        <v>0</v>
      </c>
      <c r="AD389" s="695"/>
      <c r="AE389" s="695">
        <f>'HIV-Key Info'!$H$84*(('HIV-Key Info'!$E$84*'HPM costs'!L33)+('HIV-Key Info'!$F$84*('HPM costs'!L36+'HPM costs'!L39)))</f>
        <v>0</v>
      </c>
      <c r="AF389" s="695"/>
      <c r="AG389" s="695">
        <f>'HIV-Key Info'!$H$84*(('HIV-Key Info'!$E$84*'HPM costs'!M33)+('HIV-Key Info'!$F$84*('HPM costs'!M36+'HPM costs'!M39)))</f>
        <v>0</v>
      </c>
      <c r="AH389" s="695"/>
      <c r="AI389" s="695">
        <f>'HIV-Key Info'!$H$84*(('HIV-Key Info'!$E$84*'HPM costs'!N33)+('HIV-Key Info'!$F$84*('HPM costs'!N36+'HPM costs'!N39)))</f>
        <v>0</v>
      </c>
      <c r="AJ389" s="695"/>
      <c r="AK389" s="1492">
        <f t="shared" si="43"/>
        <v>0</v>
      </c>
      <c r="AL389" s="1493"/>
      <c r="AM389" s="1494"/>
      <c r="AN389" s="699"/>
      <c r="AO389" s="695"/>
      <c r="AP389" s="695">
        <f>'HIV-Key Info'!$H$84*(('HIV-Key Info'!$E$84*'HPM costs'!P33)+('HIV-Key Info'!$F$84*('HPM costs'!P36+'HPM costs'!P39)))</f>
        <v>0</v>
      </c>
      <c r="AQ389" s="695"/>
      <c r="AR389" s="695">
        <f>'HIV-Key Info'!$H$84*(('HIV-Key Info'!$E$84*'HPM costs'!Q33)+('HIV-Key Info'!$F$84*('HPM costs'!Q36+'HPM costs'!Q39)))</f>
        <v>0</v>
      </c>
      <c r="AS389" s="695"/>
      <c r="AT389" s="695">
        <f>'HIV-Key Info'!$H$84*(('HIV-Key Info'!$E$84*'HPM costs'!R33)+('HIV-Key Info'!$F$84*('HPM costs'!R36+'HPM costs'!R39)))</f>
        <v>0</v>
      </c>
      <c r="AU389" s="695"/>
      <c r="AV389" s="695">
        <f>'HIV-Key Info'!$H$84*(('HIV-Key Info'!$E$84*'HPM costs'!S33)+('HIV-Key Info'!$F$84*('HPM costs'!S36+'HPM costs'!S39)))</f>
        <v>0</v>
      </c>
      <c r="AW389" s="695"/>
      <c r="AX389" s="1492">
        <f t="shared" si="44"/>
        <v>0</v>
      </c>
      <c r="AY389" s="1492"/>
      <c r="AZ389" s="698"/>
      <c r="BA389" s="699"/>
      <c r="BB389" s="697"/>
      <c r="BC389" s="697">
        <v>0</v>
      </c>
      <c r="BD389" s="697">
        <v>0</v>
      </c>
      <c r="BE389" s="697">
        <v>0</v>
      </c>
      <c r="BF389" s="697">
        <v>0</v>
      </c>
      <c r="BG389" s="697">
        <v>0</v>
      </c>
      <c r="BH389" s="697">
        <v>0</v>
      </c>
      <c r="BI389" s="697">
        <v>0</v>
      </c>
      <c r="BJ389" s="697">
        <v>0</v>
      </c>
      <c r="BK389" s="1492">
        <f t="shared" si="45"/>
        <v>0</v>
      </c>
      <c r="BL389" s="1492"/>
      <c r="BM389" s="1492">
        <f t="shared" si="46"/>
        <v>0</v>
      </c>
      <c r="BN389" s="1492">
        <f t="shared" si="47"/>
        <v>0</v>
      </c>
      <c r="BO389" s="697"/>
      <c r="BP389" s="697"/>
      <c r="BQ389" s="1495" t="s">
        <v>6936</v>
      </c>
      <c r="BR389" s="1495" t="s">
        <v>818</v>
      </c>
      <c r="BS389" s="1902" t="s">
        <v>655</v>
      </c>
      <c r="BT389" s="1907" t="s">
        <v>2108</v>
      </c>
    </row>
    <row r="390" spans="1:72" ht="13">
      <c r="A390" s="1545">
        <v>946</v>
      </c>
      <c r="B390" s="1546" t="s">
        <v>800</v>
      </c>
      <c r="C390" s="1546" t="s">
        <v>802</v>
      </c>
      <c r="D390" s="1547" t="s">
        <v>6878</v>
      </c>
      <c r="E390" s="690" t="s">
        <v>658</v>
      </c>
      <c r="F390" s="691"/>
      <c r="G390" s="692"/>
      <c r="H390" s="692"/>
      <c r="I390" s="692"/>
      <c r="J390" s="693"/>
      <c r="K390" s="693"/>
      <c r="L390" s="693"/>
      <c r="M390" s="694"/>
      <c r="N390" s="695"/>
      <c r="O390" s="696" t="s">
        <v>1569</v>
      </c>
      <c r="P390" s="695">
        <f>'HIV-Key Info'!$H$84*(('HIV-Key Info'!$E$84*'HPM costs'!F119)+('HIV-Key Info'!$F$84*('HPM costs'!F122+'HPM costs'!F125)))</f>
        <v>0</v>
      </c>
      <c r="Q390" s="695" t="s">
        <v>1569</v>
      </c>
      <c r="R390" s="695">
        <f>'HIV-Key Info'!$H$84*(('HIV-Key Info'!$E$84*'HPM costs'!G119)+('HIV-Key Info'!$F$84*('HPM costs'!G122+'HPM costs'!G125)))</f>
        <v>0</v>
      </c>
      <c r="S390" s="695" t="s">
        <v>1569</v>
      </c>
      <c r="T390" s="695">
        <f>'HIV-Key Info'!$H$84*(('HIV-Key Info'!$E$84*'HPM costs'!H119)+('HIV-Key Info'!$F$84*('HPM costs'!H122+'HPM costs'!H125)))</f>
        <v>0</v>
      </c>
      <c r="U390" s="695" t="s">
        <v>1569</v>
      </c>
      <c r="V390" s="695">
        <f>'HIV-Key Info'!$H$84*(('HIV-Key Info'!$E$84*'HPM costs'!I119)+('HIV-Key Info'!$F$84*('HPM costs'!I122+'HPM costs'!I125)))</f>
        <v>0</v>
      </c>
      <c r="W390" s="695"/>
      <c r="X390" s="1492">
        <f t="shared" si="42"/>
        <v>0</v>
      </c>
      <c r="Y390" s="1493"/>
      <c r="Z390" s="1494"/>
      <c r="AA390" s="699"/>
      <c r="AB390" s="695"/>
      <c r="AC390" s="695">
        <f>'HIV-Key Info'!$H$84*(('HIV-Key Info'!$E$84*'HPM costs'!K119)+('HIV-Key Info'!$F$84*('HPM costs'!K122+'HPM costs'!K125)))</f>
        <v>0</v>
      </c>
      <c r="AD390" s="695"/>
      <c r="AE390" s="695">
        <f>'HIV-Key Info'!$H$84*(('HIV-Key Info'!$E$84*'HPM costs'!L119)+('HIV-Key Info'!$F$84*('HPM costs'!L122+'HPM costs'!L125)))</f>
        <v>0</v>
      </c>
      <c r="AF390" s="695"/>
      <c r="AG390" s="695">
        <f>'HIV-Key Info'!$H$84*(('HIV-Key Info'!$E$84*'HPM costs'!M119)+('HIV-Key Info'!$F$84*('HPM costs'!M122+'HPM costs'!M125)))</f>
        <v>0</v>
      </c>
      <c r="AH390" s="695"/>
      <c r="AI390" s="695">
        <f>'HIV-Key Info'!$H$84*(('HIV-Key Info'!$E$84*'HPM costs'!N119)+('HIV-Key Info'!$F$84*('HPM costs'!N122+'HPM costs'!N125)))</f>
        <v>0</v>
      </c>
      <c r="AJ390" s="695"/>
      <c r="AK390" s="1492">
        <f t="shared" si="43"/>
        <v>0</v>
      </c>
      <c r="AL390" s="1493"/>
      <c r="AM390" s="1494"/>
      <c r="AN390" s="699"/>
      <c r="AO390" s="695"/>
      <c r="AP390" s="695">
        <f>'HIV-Key Info'!$H$84*(('HIV-Key Info'!$E$84*'HPM costs'!P119)+('HIV-Key Info'!$F$84*('HPM costs'!P122+'HPM costs'!P125)))</f>
        <v>0</v>
      </c>
      <c r="AQ390" s="695"/>
      <c r="AR390" s="695">
        <f>'HIV-Key Info'!$H$84*(('HIV-Key Info'!$E$84*'HPM costs'!Q119)+('HIV-Key Info'!$F$84*('HPM costs'!Q122+'HPM costs'!Q125)))</f>
        <v>0</v>
      </c>
      <c r="AS390" s="695"/>
      <c r="AT390" s="695">
        <f>'HIV-Key Info'!$H$84*(('HIV-Key Info'!$E$84*'HPM costs'!R119)+('HIV-Key Info'!$F$84*('HPM costs'!R122+'HPM costs'!R125)))</f>
        <v>0</v>
      </c>
      <c r="AU390" s="695"/>
      <c r="AV390" s="695">
        <f>'HIV-Key Info'!$H$84*(('HIV-Key Info'!$E$84*'HPM costs'!S119)+('HIV-Key Info'!$F$84*('HPM costs'!S122+'HPM costs'!S125)))</f>
        <v>0</v>
      </c>
      <c r="AW390" s="695"/>
      <c r="AX390" s="1492">
        <f t="shared" si="44"/>
        <v>0</v>
      </c>
      <c r="AY390" s="1492"/>
      <c r="AZ390" s="698"/>
      <c r="BA390" s="699"/>
      <c r="BB390" s="697"/>
      <c r="BC390" s="697">
        <v>0</v>
      </c>
      <c r="BD390" s="697">
        <v>0</v>
      </c>
      <c r="BE390" s="697">
        <v>0</v>
      </c>
      <c r="BF390" s="697">
        <v>0</v>
      </c>
      <c r="BG390" s="697">
        <v>0</v>
      </c>
      <c r="BH390" s="697">
        <v>0</v>
      </c>
      <c r="BI390" s="697">
        <v>0</v>
      </c>
      <c r="BJ390" s="697">
        <v>0</v>
      </c>
      <c r="BK390" s="1492">
        <f t="shared" si="45"/>
        <v>0</v>
      </c>
      <c r="BL390" s="1492"/>
      <c r="BM390" s="1492">
        <f t="shared" si="46"/>
        <v>0</v>
      </c>
      <c r="BN390" s="1492">
        <f t="shared" si="47"/>
        <v>0</v>
      </c>
      <c r="BO390" s="697"/>
      <c r="BP390" s="697"/>
      <c r="BQ390" s="1495" t="s">
        <v>6936</v>
      </c>
      <c r="BR390" s="1495" t="s">
        <v>818</v>
      </c>
      <c r="BS390" s="1902" t="s">
        <v>655</v>
      </c>
      <c r="BT390" s="1907" t="s">
        <v>2109</v>
      </c>
    </row>
    <row r="391" spans="1:72" ht="13">
      <c r="A391" s="1545">
        <v>947</v>
      </c>
      <c r="B391" s="1546" t="s">
        <v>800</v>
      </c>
      <c r="C391" s="1546" t="s">
        <v>802</v>
      </c>
      <c r="D391" s="1547" t="s">
        <v>6878</v>
      </c>
      <c r="E391" s="690" t="s">
        <v>660</v>
      </c>
      <c r="F391" s="691"/>
      <c r="G391" s="692"/>
      <c r="H391" s="692"/>
      <c r="I391" s="692"/>
      <c r="J391" s="693"/>
      <c r="K391" s="693"/>
      <c r="L391" s="693"/>
      <c r="M391" s="694"/>
      <c r="N391" s="695"/>
      <c r="O391" s="696" t="s">
        <v>1569</v>
      </c>
      <c r="P391" s="695">
        <f>'HIV-Key Info'!$H$84*(('HIV-Key Info'!$E$84*'HPM costs'!F379)+('HIV-Key Info'!$F$84*('HPM costs'!F382+'HPM costs'!F385)))</f>
        <v>0</v>
      </c>
      <c r="Q391" s="695" t="s">
        <v>1569</v>
      </c>
      <c r="R391" s="695">
        <f>'HIV-Key Info'!$H$84*(('HIV-Key Info'!$E$84*'HPM costs'!G379)+('HIV-Key Info'!$F$84*('HPM costs'!G382+'HPM costs'!G385)))</f>
        <v>0</v>
      </c>
      <c r="S391" s="695" t="s">
        <v>1569</v>
      </c>
      <c r="T391" s="695">
        <f>'HIV-Key Info'!$H$84*(('HIV-Key Info'!$E$84*'HPM costs'!H379)+('HIV-Key Info'!$F$84*('HPM costs'!H382+'HPM costs'!H385)))</f>
        <v>0</v>
      </c>
      <c r="U391" s="695" t="s">
        <v>1569</v>
      </c>
      <c r="V391" s="695">
        <f>'HIV-Key Info'!$H$84*(('HIV-Key Info'!$E$84*'HPM costs'!I379)+('HIV-Key Info'!$F$84*('HPM costs'!I382+'HPM costs'!I385)))</f>
        <v>0</v>
      </c>
      <c r="W391" s="695"/>
      <c r="X391" s="1492">
        <f t="shared" si="42"/>
        <v>0</v>
      </c>
      <c r="Y391" s="1493"/>
      <c r="Z391" s="1494"/>
      <c r="AA391" s="699"/>
      <c r="AB391" s="695"/>
      <c r="AC391" s="695">
        <f>'HIV-Key Info'!$H$84*(('HIV-Key Info'!$E$84*'HPM costs'!K379)+('HIV-Key Info'!$F$84*('HPM costs'!K382+'HPM costs'!K385)))</f>
        <v>0</v>
      </c>
      <c r="AD391" s="695"/>
      <c r="AE391" s="695">
        <f>'HIV-Key Info'!$H$84*(('HIV-Key Info'!$E$84*'HPM costs'!L379)+('HIV-Key Info'!$F$84*('HPM costs'!L382+'HPM costs'!L385)))</f>
        <v>0</v>
      </c>
      <c r="AF391" s="695"/>
      <c r="AG391" s="695">
        <f>'HIV-Key Info'!$H$84*(('HIV-Key Info'!$E$84*'HPM costs'!M379)+('HIV-Key Info'!$F$84*('HPM costs'!M382+'HPM costs'!M385)))</f>
        <v>0</v>
      </c>
      <c r="AH391" s="695"/>
      <c r="AI391" s="695">
        <f>'HIV-Key Info'!$H$84*(('HIV-Key Info'!$E$84*'HPM costs'!N379)+('HIV-Key Info'!$F$84*('HPM costs'!N382+'HPM costs'!N385)))</f>
        <v>0</v>
      </c>
      <c r="AJ391" s="695"/>
      <c r="AK391" s="1492">
        <f t="shared" si="43"/>
        <v>0</v>
      </c>
      <c r="AL391" s="1493"/>
      <c r="AM391" s="1494"/>
      <c r="AN391" s="699"/>
      <c r="AO391" s="695"/>
      <c r="AP391" s="695">
        <f>'HIV-Key Info'!$H$84*(('HIV-Key Info'!$E$84*'HPM costs'!P379)+('HIV-Key Info'!$F$84*('HPM costs'!P382+'HPM costs'!P385)))</f>
        <v>0</v>
      </c>
      <c r="AQ391" s="695"/>
      <c r="AR391" s="695">
        <f>'HIV-Key Info'!$H$84*(('HIV-Key Info'!$E$84*'HPM costs'!Q379)+('HIV-Key Info'!$F$84*('HPM costs'!Q382+'HPM costs'!Q385)))</f>
        <v>0</v>
      </c>
      <c r="AS391" s="695"/>
      <c r="AT391" s="695">
        <f>'HIV-Key Info'!$H$84*(('HIV-Key Info'!$E$84*'HPM costs'!R379)+('HIV-Key Info'!$F$84*('HPM costs'!R382+'HPM costs'!R385)))</f>
        <v>0</v>
      </c>
      <c r="AU391" s="695"/>
      <c r="AV391" s="695">
        <f>'HIV-Key Info'!$H$84*(('HIV-Key Info'!$E$84*'HPM costs'!S379)+('HIV-Key Info'!$F$84*('HPM costs'!S382+'HPM costs'!S385)))</f>
        <v>0</v>
      </c>
      <c r="AW391" s="695"/>
      <c r="AX391" s="1492">
        <f t="shared" si="44"/>
        <v>0</v>
      </c>
      <c r="AY391" s="1492"/>
      <c r="AZ391" s="698"/>
      <c r="BA391" s="699"/>
      <c r="BB391" s="697"/>
      <c r="BC391" s="697">
        <v>0</v>
      </c>
      <c r="BD391" s="697">
        <v>0</v>
      </c>
      <c r="BE391" s="697">
        <v>0</v>
      </c>
      <c r="BF391" s="697">
        <v>0</v>
      </c>
      <c r="BG391" s="697">
        <v>0</v>
      </c>
      <c r="BH391" s="697">
        <v>0</v>
      </c>
      <c r="BI391" s="697">
        <v>0</v>
      </c>
      <c r="BJ391" s="697">
        <v>0</v>
      </c>
      <c r="BK391" s="1492">
        <f t="shared" si="45"/>
        <v>0</v>
      </c>
      <c r="BL391" s="1492"/>
      <c r="BM391" s="1492">
        <f t="shared" si="46"/>
        <v>0</v>
      </c>
      <c r="BN391" s="1492">
        <f t="shared" si="47"/>
        <v>0</v>
      </c>
      <c r="BO391" s="697"/>
      <c r="BP391" s="697"/>
      <c r="BQ391" s="1495" t="s">
        <v>6936</v>
      </c>
      <c r="BR391" s="1495" t="s">
        <v>818</v>
      </c>
      <c r="BS391" s="1902" t="s">
        <v>655</v>
      </c>
      <c r="BT391" s="1907" t="s">
        <v>2110</v>
      </c>
    </row>
    <row r="392" spans="1:72" ht="13">
      <c r="A392" s="1545">
        <v>948</v>
      </c>
      <c r="B392" s="1546" t="s">
        <v>800</v>
      </c>
      <c r="C392" s="1546" t="s">
        <v>802</v>
      </c>
      <c r="D392" s="1547" t="s">
        <v>6878</v>
      </c>
      <c r="E392" s="690" t="s">
        <v>662</v>
      </c>
      <c r="F392" s="691"/>
      <c r="G392" s="692"/>
      <c r="H392" s="692"/>
      <c r="I392" s="692"/>
      <c r="J392" s="693"/>
      <c r="K392" s="693"/>
      <c r="L392" s="693"/>
      <c r="M392" s="694"/>
      <c r="N392" s="695"/>
      <c r="O392" s="696" t="s">
        <v>1569</v>
      </c>
      <c r="P392" s="695">
        <f>'HIV-Key Info'!$H$84*(('HIV-Key Info'!$E$84*'HPM costs'!F465)+('HIV-Key Info'!$F$84*('HPM costs'!F468+'HPM costs'!F471)))</f>
        <v>0</v>
      </c>
      <c r="Q392" s="695" t="s">
        <v>1569</v>
      </c>
      <c r="R392" s="695">
        <f>'HIV-Key Info'!$H$84*(('HIV-Key Info'!$E$84*'HPM costs'!G465)+('HIV-Key Info'!$F$84*('HPM costs'!G468+'HPM costs'!G471)))</f>
        <v>0</v>
      </c>
      <c r="S392" s="695" t="s">
        <v>1569</v>
      </c>
      <c r="T392" s="695">
        <f>'HIV-Key Info'!$H$84*(('HIV-Key Info'!$E$84*'HPM costs'!H465)+('HIV-Key Info'!$F$84*('HPM costs'!H468+'HPM costs'!H471)))</f>
        <v>0</v>
      </c>
      <c r="U392" s="695" t="s">
        <v>1569</v>
      </c>
      <c r="V392" s="695">
        <f>'HIV-Key Info'!$H$84*(('HIV-Key Info'!$E$84*'HPM costs'!I465)+('HIV-Key Info'!$F$84*('HPM costs'!I468+'HPM costs'!I471)))</f>
        <v>0</v>
      </c>
      <c r="W392" s="695"/>
      <c r="X392" s="1492">
        <f t="shared" si="42"/>
        <v>0</v>
      </c>
      <c r="Y392" s="1493"/>
      <c r="Z392" s="1494"/>
      <c r="AA392" s="699"/>
      <c r="AB392" s="695"/>
      <c r="AC392" s="695">
        <f>'HIV-Key Info'!$H$84*(('HIV-Key Info'!$E$84*'HPM costs'!K465)+('HIV-Key Info'!$F$84*('HPM costs'!K468+'HPM costs'!K471)))</f>
        <v>0</v>
      </c>
      <c r="AD392" s="695"/>
      <c r="AE392" s="695">
        <f>'HIV-Key Info'!$H$84*(('HIV-Key Info'!$E$84*'HPM costs'!L465)+('HIV-Key Info'!$F$84*('HPM costs'!L468+'HPM costs'!L471)))</f>
        <v>0</v>
      </c>
      <c r="AF392" s="695"/>
      <c r="AG392" s="695">
        <f>'HIV-Key Info'!$H$84*(('HIV-Key Info'!$E$84*'HPM costs'!M465)+('HIV-Key Info'!$F$84*('HPM costs'!M468+'HPM costs'!M471)))</f>
        <v>0</v>
      </c>
      <c r="AH392" s="695"/>
      <c r="AI392" s="695">
        <f>'HIV-Key Info'!$H$84*(('HIV-Key Info'!$E$84*'HPM costs'!N465)+('HIV-Key Info'!$F$84*('HPM costs'!N468+'HPM costs'!N471)))</f>
        <v>0</v>
      </c>
      <c r="AJ392" s="695"/>
      <c r="AK392" s="1492">
        <f t="shared" si="43"/>
        <v>0</v>
      </c>
      <c r="AL392" s="1493"/>
      <c r="AM392" s="1494"/>
      <c r="AN392" s="699"/>
      <c r="AO392" s="695"/>
      <c r="AP392" s="695">
        <f>'HIV-Key Info'!$H$84*(('HIV-Key Info'!$E$84*'HPM costs'!P465)+('HIV-Key Info'!$F$84*('HPM costs'!P468+'HPM costs'!P471)))</f>
        <v>0</v>
      </c>
      <c r="AQ392" s="695"/>
      <c r="AR392" s="695">
        <f>'HIV-Key Info'!$H$84*(('HIV-Key Info'!$E$84*'HPM costs'!Q465)+('HIV-Key Info'!$F$84*('HPM costs'!Q468+'HPM costs'!Q471)))</f>
        <v>0</v>
      </c>
      <c r="AS392" s="695"/>
      <c r="AT392" s="695">
        <f>'HIV-Key Info'!$H$84*(('HIV-Key Info'!$E$84*'HPM costs'!R465)+('HIV-Key Info'!$F$84*('HPM costs'!R468+'HPM costs'!R471)))</f>
        <v>0</v>
      </c>
      <c r="AU392" s="695"/>
      <c r="AV392" s="695">
        <f>'HIV-Key Info'!$H$84*(('HIV-Key Info'!$E$84*'HPM costs'!S465)+('HIV-Key Info'!$F$84*('HPM costs'!S468+'HPM costs'!S471)))</f>
        <v>0</v>
      </c>
      <c r="AW392" s="695"/>
      <c r="AX392" s="1492">
        <f t="shared" si="44"/>
        <v>0</v>
      </c>
      <c r="AY392" s="1492"/>
      <c r="AZ392" s="698"/>
      <c r="BA392" s="699"/>
      <c r="BB392" s="697"/>
      <c r="BC392" s="697">
        <v>0</v>
      </c>
      <c r="BD392" s="697">
        <v>0</v>
      </c>
      <c r="BE392" s="697">
        <v>0</v>
      </c>
      <c r="BF392" s="697">
        <v>0</v>
      </c>
      <c r="BG392" s="697">
        <v>0</v>
      </c>
      <c r="BH392" s="697">
        <v>0</v>
      </c>
      <c r="BI392" s="697">
        <v>0</v>
      </c>
      <c r="BJ392" s="697">
        <v>0</v>
      </c>
      <c r="BK392" s="1492">
        <f t="shared" si="45"/>
        <v>0</v>
      </c>
      <c r="BL392" s="1492"/>
      <c r="BM392" s="1492">
        <f t="shared" si="46"/>
        <v>0</v>
      </c>
      <c r="BN392" s="1492">
        <f t="shared" si="47"/>
        <v>0</v>
      </c>
      <c r="BO392" s="697"/>
      <c r="BP392" s="697"/>
      <c r="BQ392" s="1495" t="s">
        <v>6936</v>
      </c>
      <c r="BR392" s="1495" t="s">
        <v>818</v>
      </c>
      <c r="BS392" s="1902" t="s">
        <v>655</v>
      </c>
      <c r="BT392" s="1907" t="s">
        <v>2111</v>
      </c>
    </row>
    <row r="393" spans="1:72" ht="13">
      <c r="A393" s="1545">
        <v>949</v>
      </c>
      <c r="B393" s="1546" t="s">
        <v>800</v>
      </c>
      <c r="C393" s="1546" t="s">
        <v>802</v>
      </c>
      <c r="D393" s="1547" t="s">
        <v>6878</v>
      </c>
      <c r="E393" s="690" t="s">
        <v>664</v>
      </c>
      <c r="F393" s="691"/>
      <c r="G393" s="692"/>
      <c r="H393" s="692"/>
      <c r="I393" s="692"/>
      <c r="J393" s="693"/>
      <c r="K393" s="693"/>
      <c r="L393" s="693"/>
      <c r="M393" s="694"/>
      <c r="N393" s="695"/>
      <c r="O393" s="696" t="s">
        <v>1569</v>
      </c>
      <c r="P393" s="695">
        <f>'HIV-Key Info'!$H$84*(('HIV-Key Info'!$E$84*('HPM costs'!F205+'HPM costs'!F551))+('HIV-Key Info'!$F$84*('HPM costs'!F208+'HPM costs'!F211+'HPM costs'!F554+'HPM costs'!F557)))</f>
        <v>0</v>
      </c>
      <c r="Q393" s="695" t="s">
        <v>1569</v>
      </c>
      <c r="R393" s="695">
        <f>'HIV-Key Info'!$H$84*(('HIV-Key Info'!$E$84*('HPM costs'!G205+'HPM costs'!G551))+('HIV-Key Info'!$F$84*('HPM costs'!G208+'HPM costs'!G211+'HPM costs'!G554+'HPM costs'!G557)))</f>
        <v>0</v>
      </c>
      <c r="S393" s="695" t="s">
        <v>1569</v>
      </c>
      <c r="T393" s="695">
        <f>'HIV-Key Info'!$H$84*(('HIV-Key Info'!$E$84*('HPM costs'!H205+'HPM costs'!H551))+('HIV-Key Info'!$F$84*('HPM costs'!H208+'HPM costs'!H211+'HPM costs'!H554+'HPM costs'!H557)))</f>
        <v>0</v>
      </c>
      <c r="U393" s="695" t="s">
        <v>1569</v>
      </c>
      <c r="V393" s="695">
        <f>'HIV-Key Info'!$H$84*(('HIV-Key Info'!$E$84*('HPM costs'!I205+'HPM costs'!I551))+('HIV-Key Info'!$F$84*('HPM costs'!I208+'HPM costs'!I211+'HPM costs'!I554+'HPM costs'!I557)))</f>
        <v>0</v>
      </c>
      <c r="W393" s="695"/>
      <c r="X393" s="1492">
        <f t="shared" si="42"/>
        <v>0</v>
      </c>
      <c r="Y393" s="1493"/>
      <c r="Z393" s="1494"/>
      <c r="AA393" s="699"/>
      <c r="AB393" s="695"/>
      <c r="AC393" s="695">
        <f>'HIV-Key Info'!$H$84*(('HIV-Key Info'!$E$84*('HPM costs'!K205+'HPM costs'!K551))+('HIV-Key Info'!$F$84*('HPM costs'!K208+'HPM costs'!K211+'HPM costs'!K554+'HPM costs'!K557)))</f>
        <v>0</v>
      </c>
      <c r="AD393" s="695"/>
      <c r="AE393" s="695">
        <f>'HIV-Key Info'!$H$84*(('HIV-Key Info'!$E$84*('HPM costs'!L205+'HPM costs'!L551))+('HIV-Key Info'!$F$84*('HPM costs'!L208+'HPM costs'!L211+'HPM costs'!L554+'HPM costs'!L557)))</f>
        <v>0</v>
      </c>
      <c r="AF393" s="695"/>
      <c r="AG393" s="695">
        <f>'HIV-Key Info'!$H$84*(('HIV-Key Info'!$E$84*('HPM costs'!M205+'HPM costs'!M551))+('HIV-Key Info'!$F$84*('HPM costs'!M208+'HPM costs'!M211+'HPM costs'!M554+'HPM costs'!M557)))</f>
        <v>0</v>
      </c>
      <c r="AH393" s="695"/>
      <c r="AI393" s="695">
        <f>'HIV-Key Info'!$H$84*(('HIV-Key Info'!$E$84*('HPM costs'!N205+'HPM costs'!N551))+('HIV-Key Info'!$F$84*('HPM costs'!N208+'HPM costs'!N211+'HPM costs'!N554+'HPM costs'!N557)))</f>
        <v>0</v>
      </c>
      <c r="AJ393" s="695"/>
      <c r="AK393" s="1492">
        <f t="shared" si="43"/>
        <v>0</v>
      </c>
      <c r="AL393" s="1493"/>
      <c r="AM393" s="1494"/>
      <c r="AN393" s="699"/>
      <c r="AO393" s="695"/>
      <c r="AP393" s="695">
        <f>'HIV-Key Info'!$H$84*(('HIV-Key Info'!$E$84*('HPM costs'!P205+'HPM costs'!P551))+('HIV-Key Info'!$F$84*('HPM costs'!P208+'HPM costs'!P211+'HPM costs'!P554+'HPM costs'!P557)))</f>
        <v>0</v>
      </c>
      <c r="AQ393" s="695"/>
      <c r="AR393" s="695">
        <f>'HIV-Key Info'!$H$84*(('HIV-Key Info'!$E$84*('HPM costs'!Q205+'HPM costs'!Q551))+('HIV-Key Info'!$F$84*('HPM costs'!Q208+'HPM costs'!Q211+'HPM costs'!Q554+'HPM costs'!Q557)))</f>
        <v>0</v>
      </c>
      <c r="AS393" s="695"/>
      <c r="AT393" s="695">
        <f>'HIV-Key Info'!$H$84*(('HIV-Key Info'!$E$84*('HPM costs'!R205+'HPM costs'!R551))+('HIV-Key Info'!$F$84*('HPM costs'!R208+'HPM costs'!R211+'HPM costs'!R554+'HPM costs'!R557)))</f>
        <v>0</v>
      </c>
      <c r="AU393" s="695"/>
      <c r="AV393" s="695">
        <f>'HIV-Key Info'!$H$84*(('HIV-Key Info'!$E$84*('HPM costs'!S205+'HPM costs'!S551))+('HIV-Key Info'!$F$84*('HPM costs'!S208+'HPM costs'!S211+'HPM costs'!S554+'HPM costs'!S557)))</f>
        <v>0</v>
      </c>
      <c r="AW393" s="695"/>
      <c r="AX393" s="1492">
        <f t="shared" si="44"/>
        <v>0</v>
      </c>
      <c r="AY393" s="1492"/>
      <c r="AZ393" s="698"/>
      <c r="BA393" s="699"/>
      <c r="BB393" s="697"/>
      <c r="BC393" s="697">
        <v>0</v>
      </c>
      <c r="BD393" s="697">
        <v>0</v>
      </c>
      <c r="BE393" s="697">
        <v>0</v>
      </c>
      <c r="BF393" s="697">
        <v>0</v>
      </c>
      <c r="BG393" s="697">
        <v>0</v>
      </c>
      <c r="BH393" s="697">
        <v>0</v>
      </c>
      <c r="BI393" s="697">
        <v>0</v>
      </c>
      <c r="BJ393" s="697">
        <v>0</v>
      </c>
      <c r="BK393" s="1492">
        <f t="shared" si="45"/>
        <v>0</v>
      </c>
      <c r="BL393" s="1492"/>
      <c r="BM393" s="1492">
        <f t="shared" si="46"/>
        <v>0</v>
      </c>
      <c r="BN393" s="1492">
        <f t="shared" si="47"/>
        <v>0</v>
      </c>
      <c r="BO393" s="697"/>
      <c r="BP393" s="697"/>
      <c r="BQ393" s="1495" t="s">
        <v>6936</v>
      </c>
      <c r="BR393" s="1495" t="s">
        <v>818</v>
      </c>
      <c r="BS393" s="1902" t="s">
        <v>655</v>
      </c>
      <c r="BT393" s="1907" t="s">
        <v>2112</v>
      </c>
    </row>
    <row r="394" spans="1:72" ht="13">
      <c r="A394" s="1545">
        <v>950</v>
      </c>
      <c r="B394" s="1546" t="s">
        <v>800</v>
      </c>
      <c r="C394" s="1546" t="s">
        <v>802</v>
      </c>
      <c r="D394" s="1547" t="s">
        <v>6878</v>
      </c>
      <c r="E394" s="690" t="s">
        <v>666</v>
      </c>
      <c r="F394" s="691"/>
      <c r="G394" s="692"/>
      <c r="H394" s="692"/>
      <c r="I394" s="692"/>
      <c r="J394" s="693"/>
      <c r="K394" s="693"/>
      <c r="L394" s="693"/>
      <c r="M394" s="694"/>
      <c r="N394" s="695"/>
      <c r="O394" s="696" t="s">
        <v>1569</v>
      </c>
      <c r="P394" s="695">
        <f>'HIV-Key Info'!$H$84*(('HIV-Key Info'!$E$84*'HPM costs'!F291)+('HIV-Key Info'!$F$84*('HPM costs'!F294+'HPM costs'!F297)))</f>
        <v>0</v>
      </c>
      <c r="Q394" s="695" t="s">
        <v>1569</v>
      </c>
      <c r="R394" s="695">
        <f>'HIV-Key Info'!$H$84*(('HIV-Key Info'!$E$84*'HPM costs'!G291)+('HIV-Key Info'!$F$84*('HPM costs'!G294+'HPM costs'!G297)))</f>
        <v>0</v>
      </c>
      <c r="S394" s="695" t="s">
        <v>1569</v>
      </c>
      <c r="T394" s="695">
        <f>'HIV-Key Info'!$H$84*(('HIV-Key Info'!$E$84*'HPM costs'!H291)+('HIV-Key Info'!$F$84*('HPM costs'!H294+'HPM costs'!H297)))</f>
        <v>0</v>
      </c>
      <c r="U394" s="695" t="s">
        <v>1569</v>
      </c>
      <c r="V394" s="695">
        <f>'HIV-Key Info'!$H$84*(('HIV-Key Info'!$E$84*'HPM costs'!I291)+('HIV-Key Info'!$F$84*('HPM costs'!I294+'HPM costs'!I297)))</f>
        <v>0</v>
      </c>
      <c r="W394" s="695"/>
      <c r="X394" s="1492">
        <f t="shared" si="42"/>
        <v>0</v>
      </c>
      <c r="Y394" s="1493"/>
      <c r="Z394" s="1494"/>
      <c r="AA394" s="699"/>
      <c r="AB394" s="695"/>
      <c r="AC394" s="695">
        <f>'HIV-Key Info'!$H$84*(('HIV-Key Info'!$E$84*'HPM costs'!K291)+('HIV-Key Info'!$F$84*('HPM costs'!K294+'HPM costs'!K297)))</f>
        <v>0</v>
      </c>
      <c r="AD394" s="695"/>
      <c r="AE394" s="695">
        <f>'HIV-Key Info'!$H$84*(('HIV-Key Info'!$E$84*'HPM costs'!L291)+('HIV-Key Info'!$F$84*('HPM costs'!L294+'HPM costs'!L297)))</f>
        <v>0</v>
      </c>
      <c r="AF394" s="695"/>
      <c r="AG394" s="695">
        <f>'HIV-Key Info'!$H$84*(('HIV-Key Info'!$E$84*'HPM costs'!M291)+('HIV-Key Info'!$F$84*('HPM costs'!M294+'HPM costs'!M297)))</f>
        <v>0</v>
      </c>
      <c r="AH394" s="695"/>
      <c r="AI394" s="695">
        <f>'HIV-Key Info'!$H$84*(('HIV-Key Info'!$E$84*'HPM costs'!N291)+('HIV-Key Info'!$F$84*('HPM costs'!N294+'HPM costs'!N297)))</f>
        <v>0</v>
      </c>
      <c r="AJ394" s="695"/>
      <c r="AK394" s="1492">
        <f t="shared" si="43"/>
        <v>0</v>
      </c>
      <c r="AL394" s="1493"/>
      <c r="AM394" s="1494"/>
      <c r="AN394" s="699"/>
      <c r="AO394" s="695"/>
      <c r="AP394" s="695">
        <f>'HIV-Key Info'!$H$84*(('HIV-Key Info'!$E$84*'HPM costs'!P291)+('HIV-Key Info'!$F$84*('HPM costs'!P294+'HPM costs'!P297)))</f>
        <v>0</v>
      </c>
      <c r="AQ394" s="695"/>
      <c r="AR394" s="695">
        <f>'HIV-Key Info'!$H$84*(('HIV-Key Info'!$E$84*'HPM costs'!Q291)+('HIV-Key Info'!$F$84*('HPM costs'!Q294+'HPM costs'!Q297)))</f>
        <v>0</v>
      </c>
      <c r="AS394" s="695"/>
      <c r="AT394" s="695">
        <f>'HIV-Key Info'!$H$84*(('HIV-Key Info'!$E$84*'HPM costs'!R291)+('HIV-Key Info'!$F$84*('HPM costs'!R294+'HPM costs'!R297)))</f>
        <v>0</v>
      </c>
      <c r="AU394" s="695"/>
      <c r="AV394" s="695">
        <f>'HIV-Key Info'!$H$84*(('HIV-Key Info'!$E$84*'HPM costs'!S291)+('HIV-Key Info'!$F$84*('HPM costs'!S294+'HPM costs'!S297)))</f>
        <v>0</v>
      </c>
      <c r="AW394" s="695"/>
      <c r="AX394" s="1492">
        <f t="shared" si="44"/>
        <v>0</v>
      </c>
      <c r="AY394" s="1492"/>
      <c r="AZ394" s="698"/>
      <c r="BA394" s="699"/>
      <c r="BB394" s="697"/>
      <c r="BC394" s="697">
        <v>0</v>
      </c>
      <c r="BD394" s="697">
        <v>0</v>
      </c>
      <c r="BE394" s="697">
        <v>0</v>
      </c>
      <c r="BF394" s="697">
        <v>0</v>
      </c>
      <c r="BG394" s="697">
        <v>0</v>
      </c>
      <c r="BH394" s="697">
        <v>0</v>
      </c>
      <c r="BI394" s="697">
        <v>0</v>
      </c>
      <c r="BJ394" s="697">
        <v>0</v>
      </c>
      <c r="BK394" s="1492">
        <f t="shared" si="45"/>
        <v>0</v>
      </c>
      <c r="BL394" s="1492"/>
      <c r="BM394" s="1492">
        <f t="shared" si="46"/>
        <v>0</v>
      </c>
      <c r="BN394" s="1492">
        <f t="shared" si="47"/>
        <v>0</v>
      </c>
      <c r="BO394" s="697"/>
      <c r="BP394" s="697"/>
      <c r="BQ394" s="1495" t="s">
        <v>6936</v>
      </c>
      <c r="BR394" s="1495" t="s">
        <v>818</v>
      </c>
      <c r="BS394" s="1902" t="s">
        <v>655</v>
      </c>
      <c r="BT394" s="1907" t="s">
        <v>2113</v>
      </c>
    </row>
    <row r="395" spans="1:72" ht="13">
      <c r="A395" s="1545">
        <v>951</v>
      </c>
      <c r="B395" s="1546" t="s">
        <v>800</v>
      </c>
      <c r="C395" s="1546" t="s">
        <v>802</v>
      </c>
      <c r="D395" s="1547" t="s">
        <v>6878</v>
      </c>
      <c r="E395" s="690" t="s">
        <v>668</v>
      </c>
      <c r="F395" s="691"/>
      <c r="G395" s="692"/>
      <c r="H395" s="692"/>
      <c r="I395" s="692"/>
      <c r="J395" s="693"/>
      <c r="K395" s="693"/>
      <c r="L395" s="693"/>
      <c r="M395" s="694"/>
      <c r="N395" s="695"/>
      <c r="O395" s="696" t="s">
        <v>1569</v>
      </c>
      <c r="P395" s="695">
        <f>'HIV-Key Info'!$H$84*(('HIV-Key Info'!$E$84*'HPM costs'!F636)+('HIV-Key Info'!$F$84*('HPM costs'!F639+'HPM costs'!F642)))</f>
        <v>0</v>
      </c>
      <c r="Q395" s="695" t="s">
        <v>1569</v>
      </c>
      <c r="R395" s="695">
        <f>'HIV-Key Info'!$H$84*(('HIV-Key Info'!$E$84*'HPM costs'!G636)+('HIV-Key Info'!$F$84*('HPM costs'!G639+'HPM costs'!G642)))</f>
        <v>0</v>
      </c>
      <c r="S395" s="695" t="s">
        <v>1569</v>
      </c>
      <c r="T395" s="695">
        <f>'HIV-Key Info'!$H$84*(('HIV-Key Info'!$E$84*'HPM costs'!H636)+('HIV-Key Info'!$F$84*('HPM costs'!H639+'HPM costs'!H642)))</f>
        <v>0</v>
      </c>
      <c r="U395" s="695" t="s">
        <v>1569</v>
      </c>
      <c r="V395" s="695">
        <f>'HIV-Key Info'!$H$84*(('HIV-Key Info'!$E$84*'HPM costs'!I636)+('HIV-Key Info'!$F$84*('HPM costs'!I639+'HPM costs'!I642)))</f>
        <v>0</v>
      </c>
      <c r="W395" s="695"/>
      <c r="X395" s="1492">
        <f t="shared" si="42"/>
        <v>0</v>
      </c>
      <c r="Y395" s="1493"/>
      <c r="Z395" s="1494"/>
      <c r="AA395" s="699"/>
      <c r="AB395" s="695"/>
      <c r="AC395" s="695">
        <f>'HIV-Key Info'!$H$84*(('HIV-Key Info'!$E$84*'HPM costs'!K636)+('HIV-Key Info'!$F$84*('HPM costs'!K639+'HPM costs'!K642)))</f>
        <v>0</v>
      </c>
      <c r="AD395" s="695"/>
      <c r="AE395" s="695">
        <f>'HIV-Key Info'!$H$84*(('HIV-Key Info'!$E$84*'HPM costs'!L636)+('HIV-Key Info'!$F$84*('HPM costs'!L639+'HPM costs'!L642)))</f>
        <v>0</v>
      </c>
      <c r="AF395" s="695"/>
      <c r="AG395" s="695">
        <f>'HIV-Key Info'!$H$84*(('HIV-Key Info'!$E$84*'HPM costs'!M636)+('HIV-Key Info'!$F$84*('HPM costs'!M639+'HPM costs'!M642)))</f>
        <v>0</v>
      </c>
      <c r="AH395" s="695"/>
      <c r="AI395" s="695">
        <f>'HIV-Key Info'!$H$84*(('HIV-Key Info'!$E$84*'HPM costs'!N636)+('HIV-Key Info'!$F$84*('HPM costs'!N639+'HPM costs'!N642)))</f>
        <v>0</v>
      </c>
      <c r="AJ395" s="695"/>
      <c r="AK395" s="1492">
        <f t="shared" si="43"/>
        <v>0</v>
      </c>
      <c r="AL395" s="1493"/>
      <c r="AM395" s="1494"/>
      <c r="AN395" s="699"/>
      <c r="AO395" s="695"/>
      <c r="AP395" s="695">
        <f>'HIV-Key Info'!$H$84*(('HIV-Key Info'!$E$84*'HPM costs'!P636)+('HIV-Key Info'!$F$84*('HPM costs'!P639+'HPM costs'!P642)))</f>
        <v>0</v>
      </c>
      <c r="AQ395" s="695"/>
      <c r="AR395" s="695">
        <f>'HIV-Key Info'!$H$84*(('HIV-Key Info'!$E$84*'HPM costs'!Q636)+('HIV-Key Info'!$F$84*('HPM costs'!Q639+'HPM costs'!Q642)))</f>
        <v>0</v>
      </c>
      <c r="AS395" s="695"/>
      <c r="AT395" s="695">
        <f>'HIV-Key Info'!$H$84*(('HIV-Key Info'!$E$84*'HPM costs'!R636)+('HIV-Key Info'!$F$84*('HPM costs'!R639+'HPM costs'!R642)))</f>
        <v>0</v>
      </c>
      <c r="AU395" s="695"/>
      <c r="AV395" s="695">
        <f>'HIV-Key Info'!$H$84*(('HIV-Key Info'!$E$84*'HPM costs'!S636)+('HIV-Key Info'!$F$84*('HPM costs'!S639+'HPM costs'!S642)))</f>
        <v>0</v>
      </c>
      <c r="AW395" s="695"/>
      <c r="AX395" s="1492">
        <f t="shared" si="44"/>
        <v>0</v>
      </c>
      <c r="AY395" s="1492"/>
      <c r="AZ395" s="698"/>
      <c r="BA395" s="699"/>
      <c r="BB395" s="697"/>
      <c r="BC395" s="697">
        <v>0</v>
      </c>
      <c r="BD395" s="697">
        <v>0</v>
      </c>
      <c r="BE395" s="697">
        <v>0</v>
      </c>
      <c r="BF395" s="697">
        <v>0</v>
      </c>
      <c r="BG395" s="697">
        <v>0</v>
      </c>
      <c r="BH395" s="697">
        <v>0</v>
      </c>
      <c r="BI395" s="697">
        <v>0</v>
      </c>
      <c r="BJ395" s="697">
        <v>0</v>
      </c>
      <c r="BK395" s="1492">
        <f t="shared" si="45"/>
        <v>0</v>
      </c>
      <c r="BL395" s="1492"/>
      <c r="BM395" s="1492">
        <f t="shared" si="46"/>
        <v>0</v>
      </c>
      <c r="BN395" s="1492">
        <f t="shared" si="47"/>
        <v>0</v>
      </c>
      <c r="BO395" s="697"/>
      <c r="BP395" s="697"/>
      <c r="BQ395" s="1495" t="s">
        <v>6936</v>
      </c>
      <c r="BR395" s="1495" t="s">
        <v>818</v>
      </c>
      <c r="BS395" s="1902" t="s">
        <v>655</v>
      </c>
      <c r="BT395" s="1907" t="s">
        <v>2114</v>
      </c>
    </row>
    <row r="396" spans="1:72" ht="13">
      <c r="A396" s="1545">
        <v>952</v>
      </c>
      <c r="B396" s="1546" t="s">
        <v>800</v>
      </c>
      <c r="C396" s="1546" t="s">
        <v>803</v>
      </c>
      <c r="D396" s="1547" t="s">
        <v>6958</v>
      </c>
      <c r="E396" s="690" t="s">
        <v>731</v>
      </c>
      <c r="F396" s="691"/>
      <c r="G396" s="692"/>
      <c r="H396" s="692"/>
      <c r="I396" s="692"/>
      <c r="J396" s="693"/>
      <c r="K396" s="693"/>
      <c r="L396" s="693"/>
      <c r="M396" s="694"/>
      <c r="N396" s="695"/>
      <c r="O396" s="696" t="s">
        <v>1569</v>
      </c>
      <c r="P396" s="695">
        <f>'HIV-Key Info'!$I$84*('HIV-Key Info'!$E$84*('HPM costs'!F551/'HPM costs'!$E$551)+'HIV-Key Info'!$F$84*('HPM costs'!F557/'HPM costs'!$E$557+'HPM costs'!F554/'HPM costs'!$E$554))</f>
        <v>0</v>
      </c>
      <c r="Q396" s="695" t="s">
        <v>1569</v>
      </c>
      <c r="R396" s="695">
        <f>'HIV-Key Info'!$I$84*('HIV-Key Info'!$E$84*('HPM costs'!G551/'HPM costs'!$E$551)+'HIV-Key Info'!$F$84*('HPM costs'!G557/'HPM costs'!$E$557+'HPM costs'!G554/'HPM costs'!$E$554))</f>
        <v>0</v>
      </c>
      <c r="S396" s="695" t="s">
        <v>1569</v>
      </c>
      <c r="T396" s="695">
        <f>'HIV-Key Info'!$I$84*('HIV-Key Info'!$E$84*('HPM costs'!H551/'HPM costs'!$E$551)+'HIV-Key Info'!$F$84*('HPM costs'!H557/'HPM costs'!$E$557+'HPM costs'!H554/'HPM costs'!$E$554))</f>
        <v>0</v>
      </c>
      <c r="U396" s="695" t="s">
        <v>1569</v>
      </c>
      <c r="V396" s="695">
        <f>'HIV-Key Info'!$I$84*('HIV-Key Info'!$E$84*('HPM costs'!I551/'HPM costs'!$E$551)+'HIV-Key Info'!$F$84*('HPM costs'!I557/'HPM costs'!$E$557+'HPM costs'!I554/'HPM costs'!$E$554))</f>
        <v>0</v>
      </c>
      <c r="W396" s="695"/>
      <c r="X396" s="1492">
        <f t="shared" si="42"/>
        <v>0</v>
      </c>
      <c r="Y396" s="1493"/>
      <c r="Z396" s="1494"/>
      <c r="AA396" s="699"/>
      <c r="AB396" s="695"/>
      <c r="AC396" s="695">
        <f>'HIV-Key Info'!$I$84*('HIV-Key Info'!$E$84*('HPM costs'!K551/'HPM costs'!$E$551)+'HIV-Key Info'!$F$84*('HPM costs'!K557/'HPM costs'!$E$557+'HPM costs'!K554/'HPM costs'!$E$554))</f>
        <v>0</v>
      </c>
      <c r="AD396" s="695"/>
      <c r="AE396" s="695">
        <f>'HIV-Key Info'!$I$84*('HIV-Key Info'!$E$84*('HPM costs'!L551/'HPM costs'!$E$551)+'HIV-Key Info'!$F$84*('HPM costs'!L557/'HPM costs'!$E$557+'HPM costs'!L554/'HPM costs'!$E$554))</f>
        <v>0</v>
      </c>
      <c r="AF396" s="695"/>
      <c r="AG396" s="695">
        <f>'HIV-Key Info'!$I$84*('HIV-Key Info'!$E$84*('HPM costs'!M551/'HPM costs'!$E$551)+'HIV-Key Info'!$F$84*('HPM costs'!M557/'HPM costs'!$E$557+'HPM costs'!M554/'HPM costs'!$E$554))</f>
        <v>0</v>
      </c>
      <c r="AH396" s="695"/>
      <c r="AI396" s="695">
        <f>'HIV-Key Info'!$I$84*('HIV-Key Info'!$E$84*('HPM costs'!N551/'HPM costs'!$E$551)+'HIV-Key Info'!$F$84*('HPM costs'!N557/'HPM costs'!$E$557+'HPM costs'!N554/'HPM costs'!$E$554))</f>
        <v>0</v>
      </c>
      <c r="AJ396" s="695"/>
      <c r="AK396" s="1492">
        <f t="shared" si="43"/>
        <v>0</v>
      </c>
      <c r="AL396" s="1493"/>
      <c r="AM396" s="1494"/>
      <c r="AN396" s="699"/>
      <c r="AO396" s="695"/>
      <c r="AP396" s="695">
        <f>'HIV-Key Info'!$I$84*('HIV-Key Info'!$E$84*('HPM costs'!P551/'HPM costs'!$E$551)+'HIV-Key Info'!$F$84*('HPM costs'!P557/'HPM costs'!$E$557+'HPM costs'!P554/'HPM costs'!$E$554))</f>
        <v>0</v>
      </c>
      <c r="AQ396" s="695"/>
      <c r="AR396" s="695">
        <f>'HIV-Key Info'!$I$84*('HIV-Key Info'!$E$84*('HPM costs'!Q551/'HPM costs'!$E$551)+'HIV-Key Info'!$F$84*('HPM costs'!Q557/'HPM costs'!$E$557+'HPM costs'!Q554/'HPM costs'!$E$554))</f>
        <v>0</v>
      </c>
      <c r="AS396" s="695"/>
      <c r="AT396" s="695">
        <f>'HIV-Key Info'!$I$84*('HIV-Key Info'!$E$84*('HPM costs'!R551/'HPM costs'!$E$551)+'HIV-Key Info'!$F$84*('HPM costs'!R557/'HPM costs'!$E$557+'HPM costs'!R554/'HPM costs'!$E$554))</f>
        <v>0</v>
      </c>
      <c r="AU396" s="695"/>
      <c r="AV396" s="695">
        <f>'HIV-Key Info'!$I$84*('HIV-Key Info'!$E$84*('HPM costs'!S551/'HPM costs'!$E$551)+'HIV-Key Info'!$F$84*('HPM costs'!S557/'HPM costs'!$E$557+'HPM costs'!S554/'HPM costs'!$E$554))</f>
        <v>0</v>
      </c>
      <c r="AW396" s="695"/>
      <c r="AX396" s="1492">
        <f t="shared" si="44"/>
        <v>0</v>
      </c>
      <c r="AY396" s="1492"/>
      <c r="AZ396" s="698"/>
      <c r="BA396" s="699"/>
      <c r="BB396" s="697"/>
      <c r="BC396" s="697">
        <v>0</v>
      </c>
      <c r="BD396" s="697">
        <v>0</v>
      </c>
      <c r="BE396" s="697">
        <v>0</v>
      </c>
      <c r="BF396" s="697">
        <v>0</v>
      </c>
      <c r="BG396" s="697">
        <v>0</v>
      </c>
      <c r="BH396" s="697">
        <v>0</v>
      </c>
      <c r="BI396" s="697">
        <v>0</v>
      </c>
      <c r="BJ396" s="697">
        <v>0</v>
      </c>
      <c r="BK396" s="1492">
        <f t="shared" si="45"/>
        <v>0</v>
      </c>
      <c r="BL396" s="1492"/>
      <c r="BM396" s="1492">
        <f t="shared" si="46"/>
        <v>0</v>
      </c>
      <c r="BN396" s="1492">
        <f t="shared" si="47"/>
        <v>0</v>
      </c>
      <c r="BO396" s="697"/>
      <c r="BP396" s="697"/>
      <c r="BQ396" s="1495" t="s">
        <v>6936</v>
      </c>
      <c r="BR396" s="1495" t="s">
        <v>818</v>
      </c>
      <c r="BS396" s="1902" t="s">
        <v>6953</v>
      </c>
      <c r="BT396" s="1907" t="s">
        <v>2115</v>
      </c>
    </row>
    <row r="397" spans="1:72" ht="13">
      <c r="A397" s="1545">
        <v>953</v>
      </c>
      <c r="B397" s="1546" t="s">
        <v>800</v>
      </c>
      <c r="C397" s="1546" t="s">
        <v>803</v>
      </c>
      <c r="D397" s="1547" t="s">
        <v>6878</v>
      </c>
      <c r="E397" s="690" t="s">
        <v>656</v>
      </c>
      <c r="F397" s="691"/>
      <c r="G397" s="692"/>
      <c r="H397" s="692"/>
      <c r="I397" s="692"/>
      <c r="J397" s="693"/>
      <c r="K397" s="693"/>
      <c r="L397" s="693"/>
      <c r="M397" s="694"/>
      <c r="N397" s="695"/>
      <c r="O397" s="696" t="s">
        <v>1569</v>
      </c>
      <c r="P397" s="695">
        <f>'HIV-Key Info'!$I$84*(('HIV-Key Info'!$E$84*'HPM costs'!F33)+('HIV-Key Info'!$F$84*('HPM costs'!F36+'HPM costs'!F39)))</f>
        <v>0</v>
      </c>
      <c r="Q397" s="695" t="s">
        <v>1569</v>
      </c>
      <c r="R397" s="695">
        <f>'HIV-Key Info'!$I$84*(('HIV-Key Info'!$E$84*'HPM costs'!G33)+('HIV-Key Info'!$F$84*('HPM costs'!G36+'HPM costs'!G39)))</f>
        <v>0</v>
      </c>
      <c r="S397" s="695" t="s">
        <v>1569</v>
      </c>
      <c r="T397" s="695">
        <f>'HIV-Key Info'!$I$84*(('HIV-Key Info'!$E$84*'HPM costs'!H33)+('HIV-Key Info'!$F$84*('HPM costs'!H36+'HPM costs'!H39)))</f>
        <v>0</v>
      </c>
      <c r="U397" s="695" t="s">
        <v>1569</v>
      </c>
      <c r="V397" s="695">
        <f>'HIV-Key Info'!$I$84*(('HIV-Key Info'!$E$84*'HPM costs'!I33)+('HIV-Key Info'!$F$84*('HPM costs'!I36+'HPM costs'!I39)))</f>
        <v>0</v>
      </c>
      <c r="W397" s="695"/>
      <c r="X397" s="1492">
        <f t="shared" si="42"/>
        <v>0</v>
      </c>
      <c r="Y397" s="1493"/>
      <c r="Z397" s="1494"/>
      <c r="AA397" s="699"/>
      <c r="AB397" s="695"/>
      <c r="AC397" s="695">
        <f>'HIV-Key Info'!$I$84*(('HIV-Key Info'!$E$84*'HPM costs'!K33)+('HIV-Key Info'!$F$84*('HPM costs'!K36+'HPM costs'!K39)))</f>
        <v>0</v>
      </c>
      <c r="AD397" s="695"/>
      <c r="AE397" s="695">
        <f>'HIV-Key Info'!$I$84*(('HIV-Key Info'!$E$84*'HPM costs'!L33)+('HIV-Key Info'!$F$84*('HPM costs'!L36+'HPM costs'!L39)))</f>
        <v>0</v>
      </c>
      <c r="AF397" s="695"/>
      <c r="AG397" s="695">
        <f>'HIV-Key Info'!$I$84*(('HIV-Key Info'!$E$84*'HPM costs'!M33)+('HIV-Key Info'!$F$84*('HPM costs'!M36+'HPM costs'!M39)))</f>
        <v>0</v>
      </c>
      <c r="AH397" s="695"/>
      <c r="AI397" s="695">
        <f>'HIV-Key Info'!$I$84*(('HIV-Key Info'!$E$84*'HPM costs'!N33)+('HIV-Key Info'!$F$84*('HPM costs'!N36+'HPM costs'!N39)))</f>
        <v>0</v>
      </c>
      <c r="AJ397" s="695"/>
      <c r="AK397" s="1492">
        <f t="shared" si="43"/>
        <v>0</v>
      </c>
      <c r="AL397" s="1493"/>
      <c r="AM397" s="1494"/>
      <c r="AN397" s="699"/>
      <c r="AO397" s="695"/>
      <c r="AP397" s="695">
        <f>'HIV-Key Info'!$I$84*(('HIV-Key Info'!$E$84*'HPM costs'!P33)+('HIV-Key Info'!$F$84*('HPM costs'!P36+'HPM costs'!P39)))</f>
        <v>0</v>
      </c>
      <c r="AQ397" s="695"/>
      <c r="AR397" s="695">
        <f>'HIV-Key Info'!$I$84*(('HIV-Key Info'!$E$84*'HPM costs'!Q33)+('HIV-Key Info'!$F$84*('HPM costs'!Q36+'HPM costs'!Q39)))</f>
        <v>0</v>
      </c>
      <c r="AS397" s="695"/>
      <c r="AT397" s="695">
        <f>'HIV-Key Info'!$I$84*(('HIV-Key Info'!$E$84*'HPM costs'!R33)+('HIV-Key Info'!$F$84*('HPM costs'!R36+'HPM costs'!R39)))</f>
        <v>0</v>
      </c>
      <c r="AU397" s="695"/>
      <c r="AV397" s="695">
        <f>'HIV-Key Info'!$I$84*(('HIV-Key Info'!$E$84*'HPM costs'!S33)+('HIV-Key Info'!$F$84*('HPM costs'!S36+'HPM costs'!S39)))</f>
        <v>0</v>
      </c>
      <c r="AW397" s="695"/>
      <c r="AX397" s="1492">
        <f t="shared" si="44"/>
        <v>0</v>
      </c>
      <c r="AY397" s="1492"/>
      <c r="AZ397" s="698"/>
      <c r="BA397" s="699"/>
      <c r="BB397" s="697"/>
      <c r="BC397" s="697">
        <v>0</v>
      </c>
      <c r="BD397" s="697">
        <v>0</v>
      </c>
      <c r="BE397" s="697">
        <v>0</v>
      </c>
      <c r="BF397" s="697">
        <v>0</v>
      </c>
      <c r="BG397" s="697">
        <v>0</v>
      </c>
      <c r="BH397" s="697">
        <v>0</v>
      </c>
      <c r="BI397" s="697">
        <v>0</v>
      </c>
      <c r="BJ397" s="697">
        <v>0</v>
      </c>
      <c r="BK397" s="1492">
        <f t="shared" si="45"/>
        <v>0</v>
      </c>
      <c r="BL397" s="1492"/>
      <c r="BM397" s="1492">
        <f t="shared" si="46"/>
        <v>0</v>
      </c>
      <c r="BN397" s="1492">
        <f t="shared" si="47"/>
        <v>0</v>
      </c>
      <c r="BO397" s="697"/>
      <c r="BP397" s="697"/>
      <c r="BQ397" s="1495" t="s">
        <v>6936</v>
      </c>
      <c r="BR397" s="1495" t="s">
        <v>818</v>
      </c>
      <c r="BS397" s="1902" t="s">
        <v>655</v>
      </c>
      <c r="BT397" s="1907" t="s">
        <v>2116</v>
      </c>
    </row>
    <row r="398" spans="1:72" ht="13">
      <c r="A398" s="1545">
        <v>954</v>
      </c>
      <c r="B398" s="1546" t="s">
        <v>800</v>
      </c>
      <c r="C398" s="1546" t="s">
        <v>803</v>
      </c>
      <c r="D398" s="1547" t="s">
        <v>6878</v>
      </c>
      <c r="E398" s="690" t="s">
        <v>658</v>
      </c>
      <c r="F398" s="691"/>
      <c r="G398" s="692"/>
      <c r="H398" s="692"/>
      <c r="I398" s="692"/>
      <c r="J398" s="693"/>
      <c r="K398" s="693"/>
      <c r="L398" s="693"/>
      <c r="M398" s="694"/>
      <c r="N398" s="695"/>
      <c r="O398" s="696" t="s">
        <v>1569</v>
      </c>
      <c r="P398" s="695">
        <f>'HIV-Key Info'!$I$84*(('HIV-Key Info'!$E$84*'HPM costs'!F119)+('HIV-Key Info'!$F$84*('HPM costs'!F122+'HPM costs'!F125)))</f>
        <v>0</v>
      </c>
      <c r="Q398" s="695" t="s">
        <v>1569</v>
      </c>
      <c r="R398" s="695">
        <f>'HIV-Key Info'!$I$84*(('HIV-Key Info'!$E$84*'HPM costs'!G119)+('HIV-Key Info'!$F$84*('HPM costs'!G122+'HPM costs'!G125)))</f>
        <v>0</v>
      </c>
      <c r="S398" s="695" t="s">
        <v>1569</v>
      </c>
      <c r="T398" s="695">
        <f>'HIV-Key Info'!$I$84*(('HIV-Key Info'!$E$84*'HPM costs'!H119)+('HIV-Key Info'!$F$84*('HPM costs'!H122+'HPM costs'!H125)))</f>
        <v>0</v>
      </c>
      <c r="U398" s="695" t="s">
        <v>1569</v>
      </c>
      <c r="V398" s="695">
        <f>'HIV-Key Info'!$I$84*(('HIV-Key Info'!$E$84*'HPM costs'!I119)+('HIV-Key Info'!$F$84*('HPM costs'!I122+'HPM costs'!I125)))</f>
        <v>0</v>
      </c>
      <c r="W398" s="695"/>
      <c r="X398" s="1492">
        <f t="shared" si="42"/>
        <v>0</v>
      </c>
      <c r="Y398" s="1493"/>
      <c r="Z398" s="1494"/>
      <c r="AA398" s="699"/>
      <c r="AB398" s="695"/>
      <c r="AC398" s="695">
        <f>'HIV-Key Info'!$I$84*(('HIV-Key Info'!$E$84*'HPM costs'!K119)+('HIV-Key Info'!$F$84*('HPM costs'!K122+'HPM costs'!K125)))</f>
        <v>0</v>
      </c>
      <c r="AD398" s="695"/>
      <c r="AE398" s="695">
        <f>'HIV-Key Info'!$I$84*(('HIV-Key Info'!$E$84*'HPM costs'!L119)+('HIV-Key Info'!$F$84*('HPM costs'!L122+'HPM costs'!L125)))</f>
        <v>0</v>
      </c>
      <c r="AF398" s="695"/>
      <c r="AG398" s="695">
        <f>'HIV-Key Info'!$I$84*(('HIV-Key Info'!$E$84*'HPM costs'!M119)+('HIV-Key Info'!$F$84*('HPM costs'!M122+'HPM costs'!M125)))</f>
        <v>0</v>
      </c>
      <c r="AH398" s="695"/>
      <c r="AI398" s="695">
        <f>'HIV-Key Info'!$I$84*(('HIV-Key Info'!$E$84*'HPM costs'!N119)+('HIV-Key Info'!$F$84*('HPM costs'!N122+'HPM costs'!N125)))</f>
        <v>0</v>
      </c>
      <c r="AJ398" s="695"/>
      <c r="AK398" s="1492">
        <f t="shared" si="43"/>
        <v>0</v>
      </c>
      <c r="AL398" s="1493"/>
      <c r="AM398" s="1494"/>
      <c r="AN398" s="699"/>
      <c r="AO398" s="695"/>
      <c r="AP398" s="695">
        <f>'HIV-Key Info'!$I$84*(('HIV-Key Info'!$E$84*'HPM costs'!P119)+('HIV-Key Info'!$F$84*('HPM costs'!P122+'HPM costs'!P125)))</f>
        <v>0</v>
      </c>
      <c r="AQ398" s="695"/>
      <c r="AR398" s="695">
        <f>'HIV-Key Info'!$I$84*(('HIV-Key Info'!$E$84*'HPM costs'!Q119)+('HIV-Key Info'!$F$84*('HPM costs'!Q122+'HPM costs'!Q125)))</f>
        <v>0</v>
      </c>
      <c r="AS398" s="695"/>
      <c r="AT398" s="695">
        <f>'HIV-Key Info'!$I$84*(('HIV-Key Info'!$E$84*'HPM costs'!R119)+('HIV-Key Info'!$F$84*('HPM costs'!R122+'HPM costs'!R125)))</f>
        <v>0</v>
      </c>
      <c r="AU398" s="695"/>
      <c r="AV398" s="695">
        <f>'HIV-Key Info'!$I$84*(('HIV-Key Info'!$E$84*'HPM costs'!S119)+('HIV-Key Info'!$F$84*('HPM costs'!S122+'HPM costs'!S125)))</f>
        <v>0</v>
      </c>
      <c r="AW398" s="695"/>
      <c r="AX398" s="1492">
        <f t="shared" si="44"/>
        <v>0</v>
      </c>
      <c r="AY398" s="1492"/>
      <c r="AZ398" s="698"/>
      <c r="BA398" s="699"/>
      <c r="BB398" s="697"/>
      <c r="BC398" s="697">
        <v>0</v>
      </c>
      <c r="BD398" s="697">
        <v>0</v>
      </c>
      <c r="BE398" s="697">
        <v>0</v>
      </c>
      <c r="BF398" s="697">
        <v>0</v>
      </c>
      <c r="BG398" s="697">
        <v>0</v>
      </c>
      <c r="BH398" s="697">
        <v>0</v>
      </c>
      <c r="BI398" s="697">
        <v>0</v>
      </c>
      <c r="BJ398" s="697">
        <v>0</v>
      </c>
      <c r="BK398" s="1492">
        <f t="shared" si="45"/>
        <v>0</v>
      </c>
      <c r="BL398" s="1492"/>
      <c r="BM398" s="1492">
        <f t="shared" si="46"/>
        <v>0</v>
      </c>
      <c r="BN398" s="1492">
        <f t="shared" si="47"/>
        <v>0</v>
      </c>
      <c r="BO398" s="697"/>
      <c r="BP398" s="697"/>
      <c r="BQ398" s="1495" t="s">
        <v>6936</v>
      </c>
      <c r="BR398" s="1495" t="s">
        <v>818</v>
      </c>
      <c r="BS398" s="1902" t="s">
        <v>655</v>
      </c>
      <c r="BT398" s="1907" t="s">
        <v>2117</v>
      </c>
    </row>
    <row r="399" spans="1:72" ht="13">
      <c r="A399" s="1545">
        <v>955</v>
      </c>
      <c r="B399" s="1546" t="s">
        <v>800</v>
      </c>
      <c r="C399" s="1546" t="s">
        <v>803</v>
      </c>
      <c r="D399" s="1547" t="s">
        <v>6878</v>
      </c>
      <c r="E399" s="690" t="s">
        <v>660</v>
      </c>
      <c r="F399" s="691"/>
      <c r="G399" s="692"/>
      <c r="H399" s="692"/>
      <c r="I399" s="692"/>
      <c r="J399" s="693"/>
      <c r="K399" s="693"/>
      <c r="L399" s="693"/>
      <c r="M399" s="694"/>
      <c r="N399" s="695"/>
      <c r="O399" s="696" t="s">
        <v>1569</v>
      </c>
      <c r="P399" s="695">
        <f>'HIV-Key Info'!$I$84*(('HIV-Key Info'!$E$84*'HPM costs'!F379)+('HIV-Key Info'!$F$84*('HPM costs'!F382+'HPM costs'!F385)))</f>
        <v>0</v>
      </c>
      <c r="Q399" s="695" t="s">
        <v>1569</v>
      </c>
      <c r="R399" s="695">
        <f>'HIV-Key Info'!$I$84*(('HIV-Key Info'!$E$84*'HPM costs'!G379)+('HIV-Key Info'!$F$84*('HPM costs'!G382+'HPM costs'!G385)))</f>
        <v>0</v>
      </c>
      <c r="S399" s="695" t="s">
        <v>1569</v>
      </c>
      <c r="T399" s="695">
        <f>'HIV-Key Info'!$I$84*(('HIV-Key Info'!$E$84*'HPM costs'!H379)+('HIV-Key Info'!$F$84*('HPM costs'!H382+'HPM costs'!H385)))</f>
        <v>0</v>
      </c>
      <c r="U399" s="695" t="s">
        <v>1569</v>
      </c>
      <c r="V399" s="695">
        <f>'HIV-Key Info'!$I$84*(('HIV-Key Info'!$E$84*'HPM costs'!I379)+('HIV-Key Info'!$F$84*('HPM costs'!I382+'HPM costs'!I385)))</f>
        <v>0</v>
      </c>
      <c r="W399" s="695"/>
      <c r="X399" s="1492">
        <f t="shared" si="42"/>
        <v>0</v>
      </c>
      <c r="Y399" s="1493"/>
      <c r="Z399" s="1494"/>
      <c r="AA399" s="699"/>
      <c r="AB399" s="695"/>
      <c r="AC399" s="695">
        <f>'HIV-Key Info'!$I$84*(('HIV-Key Info'!$E$84*'HPM costs'!K379)+('HIV-Key Info'!$F$84*('HPM costs'!K382+'HPM costs'!K385)))</f>
        <v>0</v>
      </c>
      <c r="AD399" s="695"/>
      <c r="AE399" s="695">
        <f>'HIV-Key Info'!$I$84*(('HIV-Key Info'!$E$84*'HPM costs'!L379)+('HIV-Key Info'!$F$84*('HPM costs'!L382+'HPM costs'!L385)))</f>
        <v>0</v>
      </c>
      <c r="AF399" s="695"/>
      <c r="AG399" s="695">
        <f>'HIV-Key Info'!$I$84*(('HIV-Key Info'!$E$84*'HPM costs'!M379)+('HIV-Key Info'!$F$84*('HPM costs'!M382+'HPM costs'!M385)))</f>
        <v>0</v>
      </c>
      <c r="AH399" s="695"/>
      <c r="AI399" s="695">
        <f>'HIV-Key Info'!$I$84*(('HIV-Key Info'!$E$84*'HPM costs'!N379)+('HIV-Key Info'!$F$84*('HPM costs'!N382+'HPM costs'!N385)))</f>
        <v>0</v>
      </c>
      <c r="AJ399" s="695"/>
      <c r="AK399" s="1492">
        <f t="shared" si="43"/>
        <v>0</v>
      </c>
      <c r="AL399" s="1493"/>
      <c r="AM399" s="1494"/>
      <c r="AN399" s="699"/>
      <c r="AO399" s="695"/>
      <c r="AP399" s="695">
        <f>'HIV-Key Info'!$I$84*(('HIV-Key Info'!$E$84*'HPM costs'!P379)+('HIV-Key Info'!$F$84*('HPM costs'!P382+'HPM costs'!P385)))</f>
        <v>0</v>
      </c>
      <c r="AQ399" s="695"/>
      <c r="AR399" s="695">
        <f>'HIV-Key Info'!$I$84*(('HIV-Key Info'!$E$84*'HPM costs'!Q379)+('HIV-Key Info'!$F$84*('HPM costs'!Q382+'HPM costs'!Q385)))</f>
        <v>0</v>
      </c>
      <c r="AS399" s="695"/>
      <c r="AT399" s="695">
        <f>'HIV-Key Info'!$I$84*(('HIV-Key Info'!$E$84*'HPM costs'!R379)+('HIV-Key Info'!$F$84*('HPM costs'!R382+'HPM costs'!R385)))</f>
        <v>0</v>
      </c>
      <c r="AU399" s="695"/>
      <c r="AV399" s="695">
        <f>'HIV-Key Info'!$I$84*(('HIV-Key Info'!$E$84*'HPM costs'!S379)+('HIV-Key Info'!$F$84*('HPM costs'!S382+'HPM costs'!S385)))</f>
        <v>0</v>
      </c>
      <c r="AW399" s="695"/>
      <c r="AX399" s="1492">
        <f t="shared" si="44"/>
        <v>0</v>
      </c>
      <c r="AY399" s="1492"/>
      <c r="AZ399" s="698"/>
      <c r="BA399" s="699"/>
      <c r="BB399" s="697"/>
      <c r="BC399" s="697">
        <v>0</v>
      </c>
      <c r="BD399" s="697">
        <v>0</v>
      </c>
      <c r="BE399" s="697">
        <v>0</v>
      </c>
      <c r="BF399" s="697">
        <v>0</v>
      </c>
      <c r="BG399" s="697">
        <v>0</v>
      </c>
      <c r="BH399" s="697">
        <v>0</v>
      </c>
      <c r="BI399" s="697">
        <v>0</v>
      </c>
      <c r="BJ399" s="697">
        <v>0</v>
      </c>
      <c r="BK399" s="1492">
        <f t="shared" si="45"/>
        <v>0</v>
      </c>
      <c r="BL399" s="1492"/>
      <c r="BM399" s="1492">
        <f t="shared" si="46"/>
        <v>0</v>
      </c>
      <c r="BN399" s="1492">
        <f t="shared" si="47"/>
        <v>0</v>
      </c>
      <c r="BO399" s="697"/>
      <c r="BP399" s="697"/>
      <c r="BQ399" s="1495" t="s">
        <v>6936</v>
      </c>
      <c r="BR399" s="1495" t="s">
        <v>818</v>
      </c>
      <c r="BS399" s="1902" t="s">
        <v>655</v>
      </c>
      <c r="BT399" s="1907" t="s">
        <v>2118</v>
      </c>
    </row>
    <row r="400" spans="1:72" ht="13">
      <c r="A400" s="1545">
        <v>956</v>
      </c>
      <c r="B400" s="1546" t="s">
        <v>800</v>
      </c>
      <c r="C400" s="1546" t="s">
        <v>803</v>
      </c>
      <c r="D400" s="1547" t="s">
        <v>6878</v>
      </c>
      <c r="E400" s="690" t="s">
        <v>662</v>
      </c>
      <c r="F400" s="691"/>
      <c r="G400" s="692"/>
      <c r="H400" s="692"/>
      <c r="I400" s="692"/>
      <c r="J400" s="693"/>
      <c r="K400" s="693"/>
      <c r="L400" s="693"/>
      <c r="M400" s="694"/>
      <c r="N400" s="695"/>
      <c r="O400" s="696" t="s">
        <v>1569</v>
      </c>
      <c r="P400" s="695">
        <f>'HIV-Key Info'!$I$84*(('HIV-Key Info'!$E$84*'HPM costs'!F465)+('HIV-Key Info'!$F$84*('HPM costs'!F468+'HPM costs'!F471)))</f>
        <v>0</v>
      </c>
      <c r="Q400" s="695" t="s">
        <v>1569</v>
      </c>
      <c r="R400" s="695">
        <f>'HIV-Key Info'!$I$84*(('HIV-Key Info'!$E$84*'HPM costs'!G465)+('HIV-Key Info'!$F$84*('HPM costs'!G468+'HPM costs'!G471)))</f>
        <v>0</v>
      </c>
      <c r="S400" s="695" t="s">
        <v>1569</v>
      </c>
      <c r="T400" s="695">
        <f>'HIV-Key Info'!$I$84*(('HIV-Key Info'!$E$84*'HPM costs'!H465)+('HIV-Key Info'!$F$84*('HPM costs'!H468+'HPM costs'!H471)))</f>
        <v>0</v>
      </c>
      <c r="U400" s="695" t="s">
        <v>1569</v>
      </c>
      <c r="V400" s="695">
        <f>'HIV-Key Info'!$I$84*(('HIV-Key Info'!$E$84*'HPM costs'!I465)+('HIV-Key Info'!$F$84*('HPM costs'!I468+'HPM costs'!I471)))</f>
        <v>0</v>
      </c>
      <c r="W400" s="695"/>
      <c r="X400" s="1492">
        <f t="shared" si="42"/>
        <v>0</v>
      </c>
      <c r="Y400" s="1493"/>
      <c r="Z400" s="1494"/>
      <c r="AA400" s="699"/>
      <c r="AB400" s="695"/>
      <c r="AC400" s="695">
        <f>'HIV-Key Info'!$I$84*(('HIV-Key Info'!$E$84*'HPM costs'!K465)+('HIV-Key Info'!$F$84*('HPM costs'!K468+'HPM costs'!K471)))</f>
        <v>0</v>
      </c>
      <c r="AD400" s="695"/>
      <c r="AE400" s="695">
        <f>'HIV-Key Info'!$I$84*(('HIV-Key Info'!$E$84*'HPM costs'!L465)+('HIV-Key Info'!$F$84*('HPM costs'!L468+'HPM costs'!L471)))</f>
        <v>0</v>
      </c>
      <c r="AF400" s="695"/>
      <c r="AG400" s="695">
        <f>'HIV-Key Info'!$I$84*(('HIV-Key Info'!$E$84*'HPM costs'!M465)+('HIV-Key Info'!$F$84*('HPM costs'!M468+'HPM costs'!M471)))</f>
        <v>0</v>
      </c>
      <c r="AH400" s="695"/>
      <c r="AI400" s="695">
        <f>'HIV-Key Info'!$I$84*(('HIV-Key Info'!$E$84*'HPM costs'!N465)+('HIV-Key Info'!$F$84*('HPM costs'!N468+'HPM costs'!N471)))</f>
        <v>0</v>
      </c>
      <c r="AJ400" s="695"/>
      <c r="AK400" s="1492">
        <f t="shared" si="43"/>
        <v>0</v>
      </c>
      <c r="AL400" s="1493"/>
      <c r="AM400" s="1494"/>
      <c r="AN400" s="699"/>
      <c r="AO400" s="695"/>
      <c r="AP400" s="695">
        <f>'HIV-Key Info'!$I$84*(('HIV-Key Info'!$E$84*'HPM costs'!P465)+('HIV-Key Info'!$F$84*('HPM costs'!P468+'HPM costs'!P471)))</f>
        <v>0</v>
      </c>
      <c r="AQ400" s="695"/>
      <c r="AR400" s="695">
        <f>'HIV-Key Info'!$I$84*(('HIV-Key Info'!$E$84*'HPM costs'!Q465)+('HIV-Key Info'!$F$84*('HPM costs'!Q468+'HPM costs'!Q471)))</f>
        <v>0</v>
      </c>
      <c r="AS400" s="695"/>
      <c r="AT400" s="695">
        <f>'HIV-Key Info'!$I$84*(('HIV-Key Info'!$E$84*'HPM costs'!R465)+('HIV-Key Info'!$F$84*('HPM costs'!R468+'HPM costs'!R471)))</f>
        <v>0</v>
      </c>
      <c r="AU400" s="695"/>
      <c r="AV400" s="695">
        <f>'HIV-Key Info'!$I$84*(('HIV-Key Info'!$E$84*'HPM costs'!S465)+('HIV-Key Info'!$F$84*('HPM costs'!S468+'HPM costs'!S471)))</f>
        <v>0</v>
      </c>
      <c r="AW400" s="695"/>
      <c r="AX400" s="1492">
        <f t="shared" si="44"/>
        <v>0</v>
      </c>
      <c r="AY400" s="1492"/>
      <c r="AZ400" s="698"/>
      <c r="BA400" s="699"/>
      <c r="BB400" s="697"/>
      <c r="BC400" s="697">
        <v>0</v>
      </c>
      <c r="BD400" s="697">
        <v>0</v>
      </c>
      <c r="BE400" s="697">
        <v>0</v>
      </c>
      <c r="BF400" s="697">
        <v>0</v>
      </c>
      <c r="BG400" s="697">
        <v>0</v>
      </c>
      <c r="BH400" s="697">
        <v>0</v>
      </c>
      <c r="BI400" s="697">
        <v>0</v>
      </c>
      <c r="BJ400" s="697">
        <v>0</v>
      </c>
      <c r="BK400" s="1492">
        <f t="shared" si="45"/>
        <v>0</v>
      </c>
      <c r="BL400" s="1492"/>
      <c r="BM400" s="1492">
        <f t="shared" si="46"/>
        <v>0</v>
      </c>
      <c r="BN400" s="1492">
        <f t="shared" si="47"/>
        <v>0</v>
      </c>
      <c r="BO400" s="697"/>
      <c r="BP400" s="697"/>
      <c r="BQ400" s="1495" t="s">
        <v>6936</v>
      </c>
      <c r="BR400" s="1495" t="s">
        <v>818</v>
      </c>
      <c r="BS400" s="1902" t="s">
        <v>655</v>
      </c>
      <c r="BT400" s="1907" t="s">
        <v>2119</v>
      </c>
    </row>
    <row r="401" spans="1:72" ht="13">
      <c r="A401" s="1545">
        <v>957</v>
      </c>
      <c r="B401" s="1546" t="s">
        <v>800</v>
      </c>
      <c r="C401" s="1546" t="s">
        <v>803</v>
      </c>
      <c r="D401" s="1547" t="s">
        <v>6878</v>
      </c>
      <c r="E401" s="690" t="s">
        <v>664</v>
      </c>
      <c r="F401" s="691"/>
      <c r="G401" s="692"/>
      <c r="H401" s="692"/>
      <c r="I401" s="692"/>
      <c r="J401" s="693"/>
      <c r="K401" s="693"/>
      <c r="L401" s="693"/>
      <c r="M401" s="694"/>
      <c r="N401" s="695"/>
      <c r="O401" s="696" t="s">
        <v>1569</v>
      </c>
      <c r="P401" s="695">
        <f>'HIV-Key Info'!$I$84*(('HIV-Key Info'!$E$84*('HPM costs'!F205+'HPM costs'!F551))+('HIV-Key Info'!$F$84*('HPM costs'!F208+'HPM costs'!F211+'HPM costs'!F554+'HPM costs'!F557)))</f>
        <v>0</v>
      </c>
      <c r="Q401" s="695" t="s">
        <v>1569</v>
      </c>
      <c r="R401" s="695">
        <f>'HIV-Key Info'!$I$84*(('HIV-Key Info'!$E$84*('HPM costs'!G205+'HPM costs'!G551))+('HIV-Key Info'!$F$84*('HPM costs'!G208+'HPM costs'!G211+'HPM costs'!G554+'HPM costs'!G557)))</f>
        <v>0</v>
      </c>
      <c r="S401" s="695" t="s">
        <v>1569</v>
      </c>
      <c r="T401" s="695">
        <f>'HIV-Key Info'!$I$84*(('HIV-Key Info'!$E$84*('HPM costs'!H205+'HPM costs'!H551))+('HIV-Key Info'!$F$84*('HPM costs'!H208+'HPM costs'!H211+'HPM costs'!H554+'HPM costs'!H557)))</f>
        <v>0</v>
      </c>
      <c r="U401" s="695" t="s">
        <v>1569</v>
      </c>
      <c r="V401" s="695">
        <f>'HIV-Key Info'!$I$84*(('HIV-Key Info'!$E$84*('HPM costs'!I205+'HPM costs'!I551))+('HIV-Key Info'!$F$84*('HPM costs'!I208+'HPM costs'!I211+'HPM costs'!I554+'HPM costs'!I557)))</f>
        <v>0</v>
      </c>
      <c r="W401" s="695"/>
      <c r="X401" s="1492">
        <f t="shared" si="42"/>
        <v>0</v>
      </c>
      <c r="Y401" s="1493"/>
      <c r="Z401" s="1494"/>
      <c r="AA401" s="699"/>
      <c r="AB401" s="695"/>
      <c r="AC401" s="695">
        <f>'HIV-Key Info'!$I$84*(('HIV-Key Info'!$E$84*('HPM costs'!K205+'HPM costs'!K551))+('HIV-Key Info'!$F$84*('HPM costs'!K208+'HPM costs'!K211+'HPM costs'!K554+'HPM costs'!K557)))</f>
        <v>0</v>
      </c>
      <c r="AD401" s="695"/>
      <c r="AE401" s="695">
        <f>'HIV-Key Info'!$I$84*(('HIV-Key Info'!$E$84*('HPM costs'!L205+'HPM costs'!L551))+('HIV-Key Info'!$F$84*('HPM costs'!L208+'HPM costs'!L211+'HPM costs'!L554+'HPM costs'!L557)))</f>
        <v>0</v>
      </c>
      <c r="AF401" s="695"/>
      <c r="AG401" s="695">
        <f>'HIV-Key Info'!$I$84*(('HIV-Key Info'!$E$84*('HPM costs'!M205+'HPM costs'!M551))+('HIV-Key Info'!$F$84*('HPM costs'!M208+'HPM costs'!M211+'HPM costs'!M554+'HPM costs'!M557)))</f>
        <v>0</v>
      </c>
      <c r="AH401" s="695"/>
      <c r="AI401" s="695">
        <f>'HIV-Key Info'!$I$84*(('HIV-Key Info'!$E$84*('HPM costs'!N205+'HPM costs'!N551))+('HIV-Key Info'!$F$84*('HPM costs'!N208+'HPM costs'!N211+'HPM costs'!N554+'HPM costs'!N557)))</f>
        <v>0</v>
      </c>
      <c r="AJ401" s="695"/>
      <c r="AK401" s="1492">
        <f t="shared" si="43"/>
        <v>0</v>
      </c>
      <c r="AL401" s="1493"/>
      <c r="AM401" s="1494"/>
      <c r="AN401" s="699"/>
      <c r="AO401" s="695"/>
      <c r="AP401" s="695">
        <f>'HIV-Key Info'!$I$84*(('HIV-Key Info'!$E$84*('HPM costs'!P205+'HPM costs'!P551))+('HIV-Key Info'!$F$84*('HPM costs'!P208+'HPM costs'!P211+'HPM costs'!P554+'HPM costs'!P557)))</f>
        <v>0</v>
      </c>
      <c r="AQ401" s="695"/>
      <c r="AR401" s="695">
        <f>'HIV-Key Info'!$I$84*(('HIV-Key Info'!$E$84*('HPM costs'!Q205+'HPM costs'!Q551))+('HIV-Key Info'!$F$84*('HPM costs'!Q208+'HPM costs'!Q211+'HPM costs'!Q554+'HPM costs'!Q557)))</f>
        <v>0</v>
      </c>
      <c r="AS401" s="695"/>
      <c r="AT401" s="695">
        <f>'HIV-Key Info'!$I$84*(('HIV-Key Info'!$E$84*('HPM costs'!R205+'HPM costs'!R551))+('HIV-Key Info'!$F$84*('HPM costs'!R208+'HPM costs'!R211+'HPM costs'!R554+'HPM costs'!R557)))</f>
        <v>0</v>
      </c>
      <c r="AU401" s="695"/>
      <c r="AV401" s="695">
        <f>'HIV-Key Info'!$I$84*(('HIV-Key Info'!$E$84*('HPM costs'!S205+'HPM costs'!S551))+('HIV-Key Info'!$F$84*('HPM costs'!S208+'HPM costs'!S211+'HPM costs'!S554+'HPM costs'!S557)))</f>
        <v>0</v>
      </c>
      <c r="AW401" s="695"/>
      <c r="AX401" s="1492">
        <f t="shared" si="44"/>
        <v>0</v>
      </c>
      <c r="AY401" s="1492"/>
      <c r="AZ401" s="698"/>
      <c r="BA401" s="699"/>
      <c r="BB401" s="697"/>
      <c r="BC401" s="697">
        <v>0</v>
      </c>
      <c r="BD401" s="697">
        <v>0</v>
      </c>
      <c r="BE401" s="697">
        <v>0</v>
      </c>
      <c r="BF401" s="697">
        <v>0</v>
      </c>
      <c r="BG401" s="697">
        <v>0</v>
      </c>
      <c r="BH401" s="697">
        <v>0</v>
      </c>
      <c r="BI401" s="697">
        <v>0</v>
      </c>
      <c r="BJ401" s="697">
        <v>0</v>
      </c>
      <c r="BK401" s="1492">
        <f t="shared" si="45"/>
        <v>0</v>
      </c>
      <c r="BL401" s="1492"/>
      <c r="BM401" s="1492">
        <f t="shared" si="46"/>
        <v>0</v>
      </c>
      <c r="BN401" s="1492">
        <f t="shared" si="47"/>
        <v>0</v>
      </c>
      <c r="BO401" s="697"/>
      <c r="BP401" s="697"/>
      <c r="BQ401" s="1495" t="s">
        <v>6936</v>
      </c>
      <c r="BR401" s="1495" t="s">
        <v>818</v>
      </c>
      <c r="BS401" s="1902" t="s">
        <v>655</v>
      </c>
      <c r="BT401" s="1907" t="s">
        <v>2120</v>
      </c>
    </row>
    <row r="402" spans="1:72" ht="13">
      <c r="A402" s="1545">
        <v>958</v>
      </c>
      <c r="B402" s="1546" t="s">
        <v>800</v>
      </c>
      <c r="C402" s="1546" t="s">
        <v>803</v>
      </c>
      <c r="D402" s="1547" t="s">
        <v>6878</v>
      </c>
      <c r="E402" s="690" t="s">
        <v>666</v>
      </c>
      <c r="F402" s="691"/>
      <c r="G402" s="692"/>
      <c r="H402" s="692"/>
      <c r="I402" s="692"/>
      <c r="J402" s="693"/>
      <c r="K402" s="693"/>
      <c r="L402" s="693"/>
      <c r="M402" s="694"/>
      <c r="N402" s="695"/>
      <c r="O402" s="696" t="s">
        <v>1569</v>
      </c>
      <c r="P402" s="695">
        <f>'HIV-Key Info'!$I$84*(('HIV-Key Info'!$E$84*'HPM costs'!F291)+('HIV-Key Info'!$F$84*('HPM costs'!F294+'HPM costs'!F297)))</f>
        <v>0</v>
      </c>
      <c r="Q402" s="695" t="s">
        <v>1569</v>
      </c>
      <c r="R402" s="695">
        <f>'HIV-Key Info'!$I$84*(('HIV-Key Info'!$E$84*'HPM costs'!G291)+('HIV-Key Info'!$F$84*('HPM costs'!G294+'HPM costs'!G297)))</f>
        <v>0</v>
      </c>
      <c r="S402" s="695" t="s">
        <v>1569</v>
      </c>
      <c r="T402" s="695">
        <f>'HIV-Key Info'!$I$84*(('HIV-Key Info'!$E$84*'HPM costs'!H291)+('HIV-Key Info'!$F$84*('HPM costs'!H294+'HPM costs'!H297)))</f>
        <v>0</v>
      </c>
      <c r="U402" s="695" t="s">
        <v>1569</v>
      </c>
      <c r="V402" s="695">
        <f>'HIV-Key Info'!$I$84*(('HIV-Key Info'!$E$84*'HPM costs'!I291)+('HIV-Key Info'!$F$84*('HPM costs'!I294+'HPM costs'!I297)))</f>
        <v>0</v>
      </c>
      <c r="W402" s="695"/>
      <c r="X402" s="1492">
        <f t="shared" si="42"/>
        <v>0</v>
      </c>
      <c r="Y402" s="1493"/>
      <c r="Z402" s="1494"/>
      <c r="AA402" s="699"/>
      <c r="AB402" s="695"/>
      <c r="AC402" s="695">
        <f>'HIV-Key Info'!$I$84*(('HIV-Key Info'!$E$84*'HPM costs'!K291)+('HIV-Key Info'!$F$84*('HPM costs'!K294+'HPM costs'!K297)))</f>
        <v>0</v>
      </c>
      <c r="AD402" s="695"/>
      <c r="AE402" s="695">
        <f>'HIV-Key Info'!$I$84*(('HIV-Key Info'!$E$84*'HPM costs'!L291)+('HIV-Key Info'!$F$84*('HPM costs'!L294+'HPM costs'!L297)))</f>
        <v>0</v>
      </c>
      <c r="AF402" s="695"/>
      <c r="AG402" s="695">
        <f>'HIV-Key Info'!$I$84*(('HIV-Key Info'!$E$84*'HPM costs'!M291)+('HIV-Key Info'!$F$84*('HPM costs'!M294+'HPM costs'!M297)))</f>
        <v>0</v>
      </c>
      <c r="AH402" s="695"/>
      <c r="AI402" s="695">
        <f>'HIV-Key Info'!$I$84*(('HIV-Key Info'!$E$84*'HPM costs'!N291)+('HIV-Key Info'!$F$84*('HPM costs'!N294+'HPM costs'!N297)))</f>
        <v>0</v>
      </c>
      <c r="AJ402" s="695"/>
      <c r="AK402" s="1492">
        <f t="shared" si="43"/>
        <v>0</v>
      </c>
      <c r="AL402" s="1493"/>
      <c r="AM402" s="1494"/>
      <c r="AN402" s="699"/>
      <c r="AO402" s="695"/>
      <c r="AP402" s="695">
        <f>'HIV-Key Info'!$I$84*(('HIV-Key Info'!$E$84*'HPM costs'!P291)+('HIV-Key Info'!$F$84*('HPM costs'!P294+'HPM costs'!P297)))</f>
        <v>0</v>
      </c>
      <c r="AQ402" s="695"/>
      <c r="AR402" s="695">
        <f>'HIV-Key Info'!$I$84*(('HIV-Key Info'!$E$84*'HPM costs'!Q291)+('HIV-Key Info'!$F$84*('HPM costs'!Q294+'HPM costs'!Q297)))</f>
        <v>0</v>
      </c>
      <c r="AS402" s="695"/>
      <c r="AT402" s="695">
        <f>'HIV-Key Info'!$I$84*(('HIV-Key Info'!$E$84*'HPM costs'!R291)+('HIV-Key Info'!$F$84*('HPM costs'!R294+'HPM costs'!R297)))</f>
        <v>0</v>
      </c>
      <c r="AU402" s="695"/>
      <c r="AV402" s="695">
        <f>'HIV-Key Info'!$I$84*(('HIV-Key Info'!$E$84*'HPM costs'!S291)+('HIV-Key Info'!$F$84*('HPM costs'!S294+'HPM costs'!S297)))</f>
        <v>0</v>
      </c>
      <c r="AW402" s="695"/>
      <c r="AX402" s="1492">
        <f t="shared" si="44"/>
        <v>0</v>
      </c>
      <c r="AY402" s="1492"/>
      <c r="AZ402" s="698"/>
      <c r="BA402" s="699"/>
      <c r="BB402" s="697"/>
      <c r="BC402" s="697">
        <v>0</v>
      </c>
      <c r="BD402" s="697">
        <v>0</v>
      </c>
      <c r="BE402" s="697">
        <v>0</v>
      </c>
      <c r="BF402" s="697">
        <v>0</v>
      </c>
      <c r="BG402" s="697">
        <v>0</v>
      </c>
      <c r="BH402" s="697">
        <v>0</v>
      </c>
      <c r="BI402" s="697">
        <v>0</v>
      </c>
      <c r="BJ402" s="697">
        <v>0</v>
      </c>
      <c r="BK402" s="1492">
        <f t="shared" si="45"/>
        <v>0</v>
      </c>
      <c r="BL402" s="1492"/>
      <c r="BM402" s="1492">
        <f t="shared" si="46"/>
        <v>0</v>
      </c>
      <c r="BN402" s="1492">
        <f t="shared" si="47"/>
        <v>0</v>
      </c>
      <c r="BO402" s="697"/>
      <c r="BP402" s="697"/>
      <c r="BQ402" s="1495" t="s">
        <v>6936</v>
      </c>
      <c r="BR402" s="1495" t="s">
        <v>818</v>
      </c>
      <c r="BS402" s="1902" t="s">
        <v>655</v>
      </c>
      <c r="BT402" s="1907" t="s">
        <v>2121</v>
      </c>
    </row>
    <row r="403" spans="1:72" ht="13">
      <c r="A403" s="1545">
        <v>959</v>
      </c>
      <c r="B403" s="1546" t="s">
        <v>800</v>
      </c>
      <c r="C403" s="1546" t="s">
        <v>803</v>
      </c>
      <c r="D403" s="1547" t="s">
        <v>6878</v>
      </c>
      <c r="E403" s="690" t="s">
        <v>668</v>
      </c>
      <c r="F403" s="691"/>
      <c r="G403" s="692"/>
      <c r="H403" s="692"/>
      <c r="I403" s="692"/>
      <c r="J403" s="693"/>
      <c r="K403" s="693"/>
      <c r="L403" s="693"/>
      <c r="M403" s="694"/>
      <c r="N403" s="695"/>
      <c r="O403" s="696" t="s">
        <v>1569</v>
      </c>
      <c r="P403" s="695">
        <f>'HIV-Key Info'!$I$84*(('HIV-Key Info'!$E$84*'HPM costs'!F636)+('HIV-Key Info'!$F$84*('HPM costs'!F639+'HPM costs'!F642)))</f>
        <v>0</v>
      </c>
      <c r="Q403" s="695" t="s">
        <v>1569</v>
      </c>
      <c r="R403" s="695">
        <f>'HIV-Key Info'!$I$84*(('HIV-Key Info'!$E$84*'HPM costs'!G636)+('HIV-Key Info'!$F$84*('HPM costs'!G639+'HPM costs'!G642)))</f>
        <v>0</v>
      </c>
      <c r="S403" s="695" t="s">
        <v>1569</v>
      </c>
      <c r="T403" s="695">
        <f>'HIV-Key Info'!$I$84*(('HIV-Key Info'!$E$84*'HPM costs'!H636)+('HIV-Key Info'!$F$84*('HPM costs'!H639+'HPM costs'!H642)))</f>
        <v>0</v>
      </c>
      <c r="U403" s="695" t="s">
        <v>1569</v>
      </c>
      <c r="V403" s="695">
        <f>'HIV-Key Info'!$I$84*(('HIV-Key Info'!$E$84*'HPM costs'!I636)+('HIV-Key Info'!$F$84*('HPM costs'!I639+'HPM costs'!I642)))</f>
        <v>0</v>
      </c>
      <c r="W403" s="695"/>
      <c r="X403" s="1492">
        <f t="shared" si="42"/>
        <v>0</v>
      </c>
      <c r="Y403" s="1493"/>
      <c r="Z403" s="1494"/>
      <c r="AA403" s="699"/>
      <c r="AB403" s="695"/>
      <c r="AC403" s="695">
        <f>'HIV-Key Info'!$I$84*(('HIV-Key Info'!$E$84*'HPM costs'!K636)+('HIV-Key Info'!$F$84*('HPM costs'!K639+'HPM costs'!K642)))</f>
        <v>0</v>
      </c>
      <c r="AD403" s="695"/>
      <c r="AE403" s="695">
        <f>'HIV-Key Info'!$I$84*(('HIV-Key Info'!$E$84*'HPM costs'!L636)+('HIV-Key Info'!$F$84*('HPM costs'!L639+'HPM costs'!L642)))</f>
        <v>0</v>
      </c>
      <c r="AF403" s="695"/>
      <c r="AG403" s="695">
        <f>'HIV-Key Info'!$I$84*(('HIV-Key Info'!$E$84*'HPM costs'!M636)+('HIV-Key Info'!$F$84*('HPM costs'!M639+'HPM costs'!M642)))</f>
        <v>0</v>
      </c>
      <c r="AH403" s="695"/>
      <c r="AI403" s="695">
        <f>'HIV-Key Info'!$I$84*(('HIV-Key Info'!$E$84*'HPM costs'!N636)+('HIV-Key Info'!$F$84*('HPM costs'!N639+'HPM costs'!N642)))</f>
        <v>0</v>
      </c>
      <c r="AJ403" s="695"/>
      <c r="AK403" s="1492">
        <f t="shared" si="43"/>
        <v>0</v>
      </c>
      <c r="AL403" s="1493"/>
      <c r="AM403" s="1494"/>
      <c r="AN403" s="699"/>
      <c r="AO403" s="695"/>
      <c r="AP403" s="695">
        <f>'HIV-Key Info'!$I$84*(('HIV-Key Info'!$E$84*'HPM costs'!P636)+('HIV-Key Info'!$F$84*('HPM costs'!P639+'HPM costs'!P642)))</f>
        <v>0</v>
      </c>
      <c r="AQ403" s="695"/>
      <c r="AR403" s="695">
        <f>'HIV-Key Info'!$I$84*(('HIV-Key Info'!$E$84*'HPM costs'!Q636)+('HIV-Key Info'!$F$84*('HPM costs'!Q639+'HPM costs'!Q642)))</f>
        <v>0</v>
      </c>
      <c r="AS403" s="695"/>
      <c r="AT403" s="695">
        <f>'HIV-Key Info'!$I$84*(('HIV-Key Info'!$E$84*'HPM costs'!R636)+('HIV-Key Info'!$F$84*('HPM costs'!R639+'HPM costs'!R642)))</f>
        <v>0</v>
      </c>
      <c r="AU403" s="695"/>
      <c r="AV403" s="695">
        <f>'HIV-Key Info'!$I$84*(('HIV-Key Info'!$E$84*'HPM costs'!S636)+('HIV-Key Info'!$F$84*('HPM costs'!S639+'HPM costs'!S642)))</f>
        <v>0</v>
      </c>
      <c r="AW403" s="695"/>
      <c r="AX403" s="1492">
        <f t="shared" si="44"/>
        <v>0</v>
      </c>
      <c r="AY403" s="1492"/>
      <c r="AZ403" s="698"/>
      <c r="BA403" s="699"/>
      <c r="BB403" s="697"/>
      <c r="BC403" s="697">
        <v>0</v>
      </c>
      <c r="BD403" s="697">
        <v>0</v>
      </c>
      <c r="BE403" s="697">
        <v>0</v>
      </c>
      <c r="BF403" s="697">
        <v>0</v>
      </c>
      <c r="BG403" s="697">
        <v>0</v>
      </c>
      <c r="BH403" s="697">
        <v>0</v>
      </c>
      <c r="BI403" s="697">
        <v>0</v>
      </c>
      <c r="BJ403" s="697">
        <v>0</v>
      </c>
      <c r="BK403" s="1492">
        <f t="shared" si="45"/>
        <v>0</v>
      </c>
      <c r="BL403" s="1492"/>
      <c r="BM403" s="1492">
        <f t="shared" si="46"/>
        <v>0</v>
      </c>
      <c r="BN403" s="1492">
        <f t="shared" si="47"/>
        <v>0</v>
      </c>
      <c r="BO403" s="697"/>
      <c r="BP403" s="697"/>
      <c r="BQ403" s="1495" t="s">
        <v>6936</v>
      </c>
      <c r="BR403" s="1495" t="s">
        <v>818</v>
      </c>
      <c r="BS403" s="1902" t="s">
        <v>655</v>
      </c>
      <c r="BT403" s="1907" t="s">
        <v>2122</v>
      </c>
    </row>
    <row r="404" spans="1:72" ht="13">
      <c r="A404" s="1545">
        <v>960</v>
      </c>
      <c r="B404" s="1546" t="s">
        <v>800</v>
      </c>
      <c r="C404" s="1546" t="s">
        <v>801</v>
      </c>
      <c r="D404" s="1547" t="s">
        <v>6959</v>
      </c>
      <c r="E404" s="690" t="s">
        <v>731</v>
      </c>
      <c r="F404" s="691"/>
      <c r="G404" s="692"/>
      <c r="H404" s="692"/>
      <c r="I404" s="692"/>
      <c r="J404" s="693"/>
      <c r="K404" s="693"/>
      <c r="L404" s="693"/>
      <c r="M404" s="694"/>
      <c r="N404" s="695"/>
      <c r="O404" s="696" t="s">
        <v>1569</v>
      </c>
      <c r="P404" s="695">
        <f>'HIV-Key Info'!$G$86*('HIV-Key Info'!$E$86*('HPM costs'!F551/'HPM costs'!$E$551)+'HIV-Key Info'!$F$86*('HPM costs'!F557/'HPM costs'!$E$557+'HPM costs'!F554/'HPM costs'!$E$554))</f>
        <v>0</v>
      </c>
      <c r="Q404" s="695" t="s">
        <v>1569</v>
      </c>
      <c r="R404" s="695">
        <f>'HIV-Key Info'!$G$86*('HIV-Key Info'!$E$86*('HPM costs'!G551/'HPM costs'!$E$551)+'HIV-Key Info'!$F$86*('HPM costs'!G557/'HPM costs'!$E$557+'HPM costs'!G554/'HPM costs'!$E$554))</f>
        <v>0</v>
      </c>
      <c r="S404" s="695" t="s">
        <v>1569</v>
      </c>
      <c r="T404" s="695">
        <f>'HIV-Key Info'!$G$86*('HIV-Key Info'!$E$86*('HPM costs'!H551/'HPM costs'!$E$551)+'HIV-Key Info'!$F$86*('HPM costs'!H557/'HPM costs'!$E$557+'HPM costs'!H554/'HPM costs'!$E$554))</f>
        <v>0</v>
      </c>
      <c r="U404" s="695" t="s">
        <v>1569</v>
      </c>
      <c r="V404" s="695">
        <f>'HIV-Key Info'!$G$86*('HIV-Key Info'!$E$86*('HPM costs'!I551/'HPM costs'!$E$551)+'HIV-Key Info'!$F$86*('HPM costs'!I557/'HPM costs'!$E$557+'HPM costs'!I554/'HPM costs'!$E$554))</f>
        <v>0</v>
      </c>
      <c r="W404" s="695"/>
      <c r="X404" s="1492">
        <f t="shared" si="42"/>
        <v>0</v>
      </c>
      <c r="Y404" s="1493"/>
      <c r="Z404" s="1494"/>
      <c r="AA404" s="699"/>
      <c r="AB404" s="695"/>
      <c r="AC404" s="695">
        <f>'HIV-Key Info'!$G$86*('HIV-Key Info'!$E$86*('HPM costs'!K551/'HPM costs'!$E$551)+'HIV-Key Info'!$F$86*('HPM costs'!K557/'HPM costs'!$E$557+'HPM costs'!K554/'HPM costs'!$E$554))</f>
        <v>0</v>
      </c>
      <c r="AD404" s="695"/>
      <c r="AE404" s="695">
        <f>'HIV-Key Info'!$G$86*('HIV-Key Info'!$E$86*('HPM costs'!L551/'HPM costs'!$E$551)+'HIV-Key Info'!$F$86*('HPM costs'!L557/'HPM costs'!$E$557+'HPM costs'!L554/'HPM costs'!$E$554))</f>
        <v>0</v>
      </c>
      <c r="AF404" s="695"/>
      <c r="AG404" s="695">
        <f>'HIV-Key Info'!$G$86*('HIV-Key Info'!$E$86*('HPM costs'!M551/'HPM costs'!$E$551)+'HIV-Key Info'!$F$86*('HPM costs'!M557/'HPM costs'!$E$557+'HPM costs'!M554/'HPM costs'!$E$554))</f>
        <v>0</v>
      </c>
      <c r="AH404" s="695"/>
      <c r="AI404" s="695">
        <f>'HIV-Key Info'!$G$86*('HIV-Key Info'!$E$86*('HPM costs'!N551/'HPM costs'!$E$551)+'HIV-Key Info'!$F$86*('HPM costs'!N557/'HPM costs'!$E$557+'HPM costs'!N554/'HPM costs'!$E$554))</f>
        <v>0</v>
      </c>
      <c r="AJ404" s="695"/>
      <c r="AK404" s="1492">
        <f t="shared" si="43"/>
        <v>0</v>
      </c>
      <c r="AL404" s="1493"/>
      <c r="AM404" s="1494"/>
      <c r="AN404" s="699"/>
      <c r="AO404" s="695"/>
      <c r="AP404" s="695">
        <f>'HIV-Key Info'!$G$86*('HIV-Key Info'!$E$86*('HPM costs'!P551/'HPM costs'!$E$551)+'HIV-Key Info'!$F$86*('HPM costs'!P557/'HPM costs'!$E$557+'HPM costs'!P554/'HPM costs'!$E$554))</f>
        <v>0</v>
      </c>
      <c r="AQ404" s="695"/>
      <c r="AR404" s="695">
        <f>'HIV-Key Info'!$G$86*('HIV-Key Info'!$E$86*('HPM costs'!Q551/'HPM costs'!$E$551)+'HIV-Key Info'!$F$86*('HPM costs'!Q557/'HPM costs'!$E$557+'HPM costs'!Q554/'HPM costs'!$E$554))</f>
        <v>0</v>
      </c>
      <c r="AS404" s="695"/>
      <c r="AT404" s="695">
        <f>'HIV-Key Info'!$G$86*('HIV-Key Info'!$E$86*('HPM costs'!R551/'HPM costs'!$E$551)+'HIV-Key Info'!$F$86*('HPM costs'!R557/'HPM costs'!$E$557+'HPM costs'!R554/'HPM costs'!$E$554))</f>
        <v>0</v>
      </c>
      <c r="AU404" s="695"/>
      <c r="AV404" s="695">
        <f>'HIV-Key Info'!$G$86*('HIV-Key Info'!$E$86*('HPM costs'!S551/'HPM costs'!$E$551)+'HIV-Key Info'!$F$86*('HPM costs'!S557/'HPM costs'!$E$557+'HPM costs'!S554/'HPM costs'!$E$554))</f>
        <v>0</v>
      </c>
      <c r="AW404" s="695"/>
      <c r="AX404" s="1492">
        <f t="shared" si="44"/>
        <v>0</v>
      </c>
      <c r="AY404" s="1492"/>
      <c r="AZ404" s="698"/>
      <c r="BA404" s="699"/>
      <c r="BB404" s="697"/>
      <c r="BC404" s="697">
        <v>0</v>
      </c>
      <c r="BD404" s="697">
        <v>0</v>
      </c>
      <c r="BE404" s="697">
        <v>0</v>
      </c>
      <c r="BF404" s="697">
        <v>0</v>
      </c>
      <c r="BG404" s="697">
        <v>0</v>
      </c>
      <c r="BH404" s="697">
        <v>0</v>
      </c>
      <c r="BI404" s="697">
        <v>0</v>
      </c>
      <c r="BJ404" s="697">
        <v>0</v>
      </c>
      <c r="BK404" s="1492">
        <f t="shared" si="45"/>
        <v>0</v>
      </c>
      <c r="BL404" s="1492"/>
      <c r="BM404" s="1492">
        <f t="shared" si="46"/>
        <v>0</v>
      </c>
      <c r="BN404" s="1492">
        <f t="shared" si="47"/>
        <v>0</v>
      </c>
      <c r="BO404" s="697"/>
      <c r="BP404" s="697"/>
      <c r="BQ404" s="1495" t="s">
        <v>6937</v>
      </c>
      <c r="BR404" s="1495" t="s">
        <v>818</v>
      </c>
      <c r="BS404" s="1902" t="s">
        <v>6953</v>
      </c>
      <c r="BT404" s="1907" t="s">
        <v>2123</v>
      </c>
    </row>
    <row r="405" spans="1:72" ht="13">
      <c r="A405" s="1545">
        <v>961</v>
      </c>
      <c r="B405" s="1546" t="s">
        <v>800</v>
      </c>
      <c r="C405" s="1546" t="s">
        <v>801</v>
      </c>
      <c r="D405" s="1547" t="s">
        <v>6880</v>
      </c>
      <c r="E405" s="690" t="s">
        <v>656</v>
      </c>
      <c r="F405" s="691"/>
      <c r="G405" s="692"/>
      <c r="H405" s="692"/>
      <c r="I405" s="692"/>
      <c r="J405" s="693"/>
      <c r="K405" s="693"/>
      <c r="L405" s="693"/>
      <c r="M405" s="694"/>
      <c r="N405" s="695"/>
      <c r="O405" s="696" t="s">
        <v>1569</v>
      </c>
      <c r="P405" s="695">
        <f>'HIV-Key Info'!$G$86*(('HIV-Key Info'!$E$86*'HPM costs'!F33)+('HIV-Key Info'!$F$86*('HPM costs'!F36+'HPM costs'!F39)))</f>
        <v>0</v>
      </c>
      <c r="Q405" s="695" t="s">
        <v>1569</v>
      </c>
      <c r="R405" s="695">
        <f>'HIV-Key Info'!$G$86*(('HIV-Key Info'!$E$86*'HPM costs'!G33)+('HIV-Key Info'!$F$86*('HPM costs'!G36+'HPM costs'!G39)))</f>
        <v>0</v>
      </c>
      <c r="S405" s="695" t="s">
        <v>1569</v>
      </c>
      <c r="T405" s="695">
        <f>'HIV-Key Info'!$G$86*(('HIV-Key Info'!$E$86*'HPM costs'!H33)+('HIV-Key Info'!$F$86*('HPM costs'!H36+'HPM costs'!H39)))</f>
        <v>0</v>
      </c>
      <c r="U405" s="695" t="s">
        <v>1569</v>
      </c>
      <c r="V405" s="695">
        <f>'HIV-Key Info'!$G$86*(('HIV-Key Info'!$E$86*'HPM costs'!I33)+('HIV-Key Info'!$F$86*('HPM costs'!I36+'HPM costs'!I39)))</f>
        <v>0</v>
      </c>
      <c r="W405" s="695"/>
      <c r="X405" s="1492">
        <f t="shared" si="42"/>
        <v>0</v>
      </c>
      <c r="Y405" s="1493"/>
      <c r="Z405" s="1494"/>
      <c r="AA405" s="699"/>
      <c r="AB405" s="695"/>
      <c r="AC405" s="695">
        <f>'HIV-Key Info'!$G$86*(('HIV-Key Info'!$E$86*'HPM costs'!K33)+('HIV-Key Info'!$F$86*('HPM costs'!K36+'HPM costs'!K39)))</f>
        <v>0</v>
      </c>
      <c r="AD405" s="695"/>
      <c r="AE405" s="695">
        <f>'HIV-Key Info'!$G$86*(('HIV-Key Info'!$E$86*'HPM costs'!L33)+('HIV-Key Info'!$F$86*('HPM costs'!L36+'HPM costs'!L39)))</f>
        <v>0</v>
      </c>
      <c r="AF405" s="695"/>
      <c r="AG405" s="695">
        <f>'HIV-Key Info'!$G$86*(('HIV-Key Info'!$E$86*'HPM costs'!M33)+('HIV-Key Info'!$F$86*('HPM costs'!M36+'HPM costs'!M39)))</f>
        <v>0</v>
      </c>
      <c r="AH405" s="695"/>
      <c r="AI405" s="695">
        <f>'HIV-Key Info'!$G$86*(('HIV-Key Info'!$E$86*'HPM costs'!N33)+('HIV-Key Info'!$F$86*('HPM costs'!N36+'HPM costs'!N39)))</f>
        <v>0</v>
      </c>
      <c r="AJ405" s="695"/>
      <c r="AK405" s="1492">
        <f t="shared" si="43"/>
        <v>0</v>
      </c>
      <c r="AL405" s="1493"/>
      <c r="AM405" s="1494"/>
      <c r="AN405" s="699"/>
      <c r="AO405" s="695"/>
      <c r="AP405" s="695">
        <f>'HIV-Key Info'!$G$86*(('HIV-Key Info'!$E$86*'HPM costs'!P33)+('HIV-Key Info'!$F$86*('HPM costs'!P36+'HPM costs'!P39)))</f>
        <v>0</v>
      </c>
      <c r="AQ405" s="695"/>
      <c r="AR405" s="695">
        <f>'HIV-Key Info'!$G$86*(('HIV-Key Info'!$E$86*'HPM costs'!Q33)+('HIV-Key Info'!$F$86*('HPM costs'!Q36+'HPM costs'!Q39)))</f>
        <v>0</v>
      </c>
      <c r="AS405" s="695"/>
      <c r="AT405" s="695">
        <f>'HIV-Key Info'!$G$86*(('HIV-Key Info'!$E$86*'HPM costs'!R33)+('HIV-Key Info'!$F$86*('HPM costs'!R36+'HPM costs'!R39)))</f>
        <v>0</v>
      </c>
      <c r="AU405" s="695"/>
      <c r="AV405" s="695">
        <f>'HIV-Key Info'!$G$86*(('HIV-Key Info'!$E$86*'HPM costs'!S33)+('HIV-Key Info'!$F$86*('HPM costs'!S36+'HPM costs'!S39)))</f>
        <v>0</v>
      </c>
      <c r="AW405" s="695"/>
      <c r="AX405" s="1492">
        <f t="shared" si="44"/>
        <v>0</v>
      </c>
      <c r="AY405" s="1492"/>
      <c r="AZ405" s="698"/>
      <c r="BA405" s="699"/>
      <c r="BB405" s="697"/>
      <c r="BC405" s="697">
        <v>0</v>
      </c>
      <c r="BD405" s="697">
        <v>0</v>
      </c>
      <c r="BE405" s="697">
        <v>0</v>
      </c>
      <c r="BF405" s="697">
        <v>0</v>
      </c>
      <c r="BG405" s="697">
        <v>0</v>
      </c>
      <c r="BH405" s="697">
        <v>0</v>
      </c>
      <c r="BI405" s="697">
        <v>0</v>
      </c>
      <c r="BJ405" s="697">
        <v>0</v>
      </c>
      <c r="BK405" s="1492">
        <f t="shared" si="45"/>
        <v>0</v>
      </c>
      <c r="BL405" s="1492"/>
      <c r="BM405" s="1492">
        <f t="shared" si="46"/>
        <v>0</v>
      </c>
      <c r="BN405" s="1492">
        <f t="shared" si="47"/>
        <v>0</v>
      </c>
      <c r="BO405" s="697"/>
      <c r="BP405" s="697"/>
      <c r="BQ405" s="1495" t="s">
        <v>6937</v>
      </c>
      <c r="BR405" s="1495" t="s">
        <v>818</v>
      </c>
      <c r="BS405" s="1902" t="s">
        <v>655</v>
      </c>
      <c r="BT405" s="1907" t="s">
        <v>2124</v>
      </c>
    </row>
    <row r="406" spans="1:72" ht="13">
      <c r="A406" s="1545">
        <v>962</v>
      </c>
      <c r="B406" s="1546" t="s">
        <v>800</v>
      </c>
      <c r="C406" s="1546" t="s">
        <v>801</v>
      </c>
      <c r="D406" s="1547" t="s">
        <v>6880</v>
      </c>
      <c r="E406" s="690" t="s">
        <v>658</v>
      </c>
      <c r="F406" s="691"/>
      <c r="G406" s="692"/>
      <c r="H406" s="692"/>
      <c r="I406" s="692"/>
      <c r="J406" s="693"/>
      <c r="K406" s="693"/>
      <c r="L406" s="693"/>
      <c r="M406" s="694"/>
      <c r="N406" s="695"/>
      <c r="O406" s="696" t="s">
        <v>1569</v>
      </c>
      <c r="P406" s="695">
        <f>'HIV-Key Info'!$G$86*(('HIV-Key Info'!$E$86*'HPM costs'!F119)+('HIV-Key Info'!$F$86*('HPM costs'!F122+'HPM costs'!F125)))</f>
        <v>0</v>
      </c>
      <c r="Q406" s="695" t="s">
        <v>1569</v>
      </c>
      <c r="R406" s="695">
        <f>'HIV-Key Info'!$G$86*(('HIV-Key Info'!$E$86*'HPM costs'!G119)+('HIV-Key Info'!$F$86*('HPM costs'!G122+'HPM costs'!G125)))</f>
        <v>0</v>
      </c>
      <c r="S406" s="695" t="s">
        <v>1569</v>
      </c>
      <c r="T406" s="695">
        <f>'HIV-Key Info'!$G$86*(('HIV-Key Info'!$E$86*'HPM costs'!H119)+('HIV-Key Info'!$F$86*('HPM costs'!H122+'HPM costs'!H125)))</f>
        <v>0</v>
      </c>
      <c r="U406" s="695" t="s">
        <v>1569</v>
      </c>
      <c r="V406" s="695">
        <f>'HIV-Key Info'!$G$86*(('HIV-Key Info'!$E$86*'HPM costs'!I119)+('HIV-Key Info'!$F$86*('HPM costs'!I122+'HPM costs'!I125)))</f>
        <v>0</v>
      </c>
      <c r="W406" s="695"/>
      <c r="X406" s="1492">
        <f t="shared" si="42"/>
        <v>0</v>
      </c>
      <c r="Y406" s="1493"/>
      <c r="Z406" s="1494"/>
      <c r="AA406" s="699"/>
      <c r="AB406" s="695"/>
      <c r="AC406" s="695">
        <f>'HIV-Key Info'!$G$86*(('HIV-Key Info'!$E$86*'HPM costs'!K119)+('HIV-Key Info'!$F$86*('HPM costs'!K122+'HPM costs'!K125)))</f>
        <v>0</v>
      </c>
      <c r="AD406" s="695"/>
      <c r="AE406" s="695">
        <f>'HIV-Key Info'!$G$86*(('HIV-Key Info'!$E$86*'HPM costs'!L119)+('HIV-Key Info'!$F$86*('HPM costs'!L122+'HPM costs'!L125)))</f>
        <v>0</v>
      </c>
      <c r="AF406" s="695"/>
      <c r="AG406" s="695">
        <f>'HIV-Key Info'!$G$86*(('HIV-Key Info'!$E$86*'HPM costs'!M119)+('HIV-Key Info'!$F$86*('HPM costs'!M122+'HPM costs'!M125)))</f>
        <v>0</v>
      </c>
      <c r="AH406" s="695"/>
      <c r="AI406" s="695">
        <f>'HIV-Key Info'!$G$86*(('HIV-Key Info'!$E$86*'HPM costs'!N119)+('HIV-Key Info'!$F$86*('HPM costs'!N122+'HPM costs'!N125)))</f>
        <v>0</v>
      </c>
      <c r="AJ406" s="695"/>
      <c r="AK406" s="1492">
        <f t="shared" si="43"/>
        <v>0</v>
      </c>
      <c r="AL406" s="1493"/>
      <c r="AM406" s="1494"/>
      <c r="AN406" s="699"/>
      <c r="AO406" s="695"/>
      <c r="AP406" s="695">
        <f>'HIV-Key Info'!$G$86*(('HIV-Key Info'!$E$86*'HPM costs'!P119)+('HIV-Key Info'!$F$86*('HPM costs'!P122+'HPM costs'!P125)))</f>
        <v>0</v>
      </c>
      <c r="AQ406" s="695"/>
      <c r="AR406" s="695">
        <f>'HIV-Key Info'!$G$86*(('HIV-Key Info'!$E$86*'HPM costs'!Q119)+('HIV-Key Info'!$F$86*('HPM costs'!Q122+'HPM costs'!Q125)))</f>
        <v>0</v>
      </c>
      <c r="AS406" s="695"/>
      <c r="AT406" s="695">
        <f>'HIV-Key Info'!$G$86*(('HIV-Key Info'!$E$86*'HPM costs'!R119)+('HIV-Key Info'!$F$86*('HPM costs'!R122+'HPM costs'!R125)))</f>
        <v>0</v>
      </c>
      <c r="AU406" s="695"/>
      <c r="AV406" s="695">
        <f>'HIV-Key Info'!$G$86*(('HIV-Key Info'!$E$86*'HPM costs'!S119)+('HIV-Key Info'!$F$86*('HPM costs'!S122+'HPM costs'!S125)))</f>
        <v>0</v>
      </c>
      <c r="AW406" s="695"/>
      <c r="AX406" s="1492">
        <f t="shared" si="44"/>
        <v>0</v>
      </c>
      <c r="AY406" s="1492"/>
      <c r="AZ406" s="698"/>
      <c r="BA406" s="699"/>
      <c r="BB406" s="697"/>
      <c r="BC406" s="697">
        <v>0</v>
      </c>
      <c r="BD406" s="697">
        <v>0</v>
      </c>
      <c r="BE406" s="697">
        <v>0</v>
      </c>
      <c r="BF406" s="697">
        <v>0</v>
      </c>
      <c r="BG406" s="697">
        <v>0</v>
      </c>
      <c r="BH406" s="697">
        <v>0</v>
      </c>
      <c r="BI406" s="697">
        <v>0</v>
      </c>
      <c r="BJ406" s="697">
        <v>0</v>
      </c>
      <c r="BK406" s="1492">
        <f t="shared" si="45"/>
        <v>0</v>
      </c>
      <c r="BL406" s="1492"/>
      <c r="BM406" s="1492">
        <f t="shared" si="46"/>
        <v>0</v>
      </c>
      <c r="BN406" s="1492">
        <f t="shared" si="47"/>
        <v>0</v>
      </c>
      <c r="BO406" s="697"/>
      <c r="BP406" s="697"/>
      <c r="BQ406" s="1495" t="s">
        <v>6937</v>
      </c>
      <c r="BR406" s="1495" t="s">
        <v>818</v>
      </c>
      <c r="BS406" s="1902" t="s">
        <v>655</v>
      </c>
      <c r="BT406" s="1907" t="s">
        <v>2125</v>
      </c>
    </row>
    <row r="407" spans="1:72" ht="13">
      <c r="A407" s="1545">
        <v>963</v>
      </c>
      <c r="B407" s="1546" t="s">
        <v>800</v>
      </c>
      <c r="C407" s="1546" t="s">
        <v>801</v>
      </c>
      <c r="D407" s="1547" t="s">
        <v>6880</v>
      </c>
      <c r="E407" s="690" t="s">
        <v>660</v>
      </c>
      <c r="F407" s="691"/>
      <c r="G407" s="692"/>
      <c r="H407" s="692"/>
      <c r="I407" s="692"/>
      <c r="J407" s="693"/>
      <c r="K407" s="693"/>
      <c r="L407" s="693"/>
      <c r="M407" s="694"/>
      <c r="N407" s="695"/>
      <c r="O407" s="696" t="s">
        <v>1569</v>
      </c>
      <c r="P407" s="695">
        <f>'HIV-Key Info'!$G$86*(('HIV-Key Info'!$E$86*'HPM costs'!F379)+('HIV-Key Info'!$F$86*('HPM costs'!F382+'HPM costs'!F385)))</f>
        <v>0</v>
      </c>
      <c r="Q407" s="695" t="s">
        <v>1569</v>
      </c>
      <c r="R407" s="695">
        <f>'HIV-Key Info'!$G$86*(('HIV-Key Info'!$E$86*'HPM costs'!G379)+('HIV-Key Info'!$F$86*('HPM costs'!G382+'HPM costs'!G385)))</f>
        <v>0</v>
      </c>
      <c r="S407" s="695" t="s">
        <v>1569</v>
      </c>
      <c r="T407" s="695">
        <f>'HIV-Key Info'!$G$86*(('HIV-Key Info'!$E$86*'HPM costs'!H379)+('HIV-Key Info'!$F$86*('HPM costs'!H382+'HPM costs'!H385)))</f>
        <v>0</v>
      </c>
      <c r="U407" s="695" t="s">
        <v>1569</v>
      </c>
      <c r="V407" s="695">
        <f>'HIV-Key Info'!$G$86*(('HIV-Key Info'!$E$86*'HPM costs'!I379)+('HIV-Key Info'!$F$86*('HPM costs'!I382+'HPM costs'!I385)))</f>
        <v>0</v>
      </c>
      <c r="W407" s="695"/>
      <c r="X407" s="1492">
        <f t="shared" si="42"/>
        <v>0</v>
      </c>
      <c r="Y407" s="1493"/>
      <c r="Z407" s="1494"/>
      <c r="AA407" s="699"/>
      <c r="AB407" s="695"/>
      <c r="AC407" s="695">
        <f>'HIV-Key Info'!$G$86*(('HIV-Key Info'!$E$86*'HPM costs'!K379)+('HIV-Key Info'!$F$86*('HPM costs'!K382+'HPM costs'!K385)))</f>
        <v>0</v>
      </c>
      <c r="AD407" s="695"/>
      <c r="AE407" s="695">
        <f>'HIV-Key Info'!$G$86*(('HIV-Key Info'!$E$86*'HPM costs'!L379)+('HIV-Key Info'!$F$86*('HPM costs'!L382+'HPM costs'!L385)))</f>
        <v>0</v>
      </c>
      <c r="AF407" s="695"/>
      <c r="AG407" s="695">
        <f>'HIV-Key Info'!$G$86*(('HIV-Key Info'!$E$86*'HPM costs'!M379)+('HIV-Key Info'!$F$86*('HPM costs'!M382+'HPM costs'!M385)))</f>
        <v>0</v>
      </c>
      <c r="AH407" s="695"/>
      <c r="AI407" s="695">
        <f>'HIV-Key Info'!$G$86*(('HIV-Key Info'!$E$86*'HPM costs'!N379)+('HIV-Key Info'!$F$86*('HPM costs'!N382+'HPM costs'!N385)))</f>
        <v>0</v>
      </c>
      <c r="AJ407" s="695"/>
      <c r="AK407" s="1492">
        <f t="shared" si="43"/>
        <v>0</v>
      </c>
      <c r="AL407" s="1493"/>
      <c r="AM407" s="1494"/>
      <c r="AN407" s="699"/>
      <c r="AO407" s="695"/>
      <c r="AP407" s="695">
        <f>'HIV-Key Info'!$G$86*(('HIV-Key Info'!$E$86*'HPM costs'!P379)+('HIV-Key Info'!$F$86*('HPM costs'!P382+'HPM costs'!P385)))</f>
        <v>0</v>
      </c>
      <c r="AQ407" s="695"/>
      <c r="AR407" s="695">
        <f>'HIV-Key Info'!$G$86*(('HIV-Key Info'!$E$86*'HPM costs'!Q379)+('HIV-Key Info'!$F$86*('HPM costs'!Q382+'HPM costs'!Q385)))</f>
        <v>0</v>
      </c>
      <c r="AS407" s="695"/>
      <c r="AT407" s="695">
        <f>'HIV-Key Info'!$G$86*(('HIV-Key Info'!$E$86*'HPM costs'!R379)+('HIV-Key Info'!$F$86*('HPM costs'!R382+'HPM costs'!R385)))</f>
        <v>0</v>
      </c>
      <c r="AU407" s="695"/>
      <c r="AV407" s="695">
        <f>'HIV-Key Info'!$G$86*(('HIV-Key Info'!$E$86*'HPM costs'!S379)+('HIV-Key Info'!$F$86*('HPM costs'!S382+'HPM costs'!S385)))</f>
        <v>0</v>
      </c>
      <c r="AW407" s="695"/>
      <c r="AX407" s="1492">
        <f t="shared" si="44"/>
        <v>0</v>
      </c>
      <c r="AY407" s="1492"/>
      <c r="AZ407" s="698"/>
      <c r="BA407" s="699"/>
      <c r="BB407" s="697"/>
      <c r="BC407" s="697">
        <v>0</v>
      </c>
      <c r="BD407" s="697">
        <v>0</v>
      </c>
      <c r="BE407" s="697">
        <v>0</v>
      </c>
      <c r="BF407" s="697">
        <v>0</v>
      </c>
      <c r="BG407" s="697">
        <v>0</v>
      </c>
      <c r="BH407" s="697">
        <v>0</v>
      </c>
      <c r="BI407" s="697">
        <v>0</v>
      </c>
      <c r="BJ407" s="697">
        <v>0</v>
      </c>
      <c r="BK407" s="1492">
        <f t="shared" si="45"/>
        <v>0</v>
      </c>
      <c r="BL407" s="1492"/>
      <c r="BM407" s="1492">
        <f t="shared" si="46"/>
        <v>0</v>
      </c>
      <c r="BN407" s="1492">
        <f t="shared" si="47"/>
        <v>0</v>
      </c>
      <c r="BO407" s="697"/>
      <c r="BP407" s="697"/>
      <c r="BQ407" s="1495" t="s">
        <v>6937</v>
      </c>
      <c r="BR407" s="1495" t="s">
        <v>818</v>
      </c>
      <c r="BS407" s="1902" t="s">
        <v>655</v>
      </c>
      <c r="BT407" s="1907" t="s">
        <v>2126</v>
      </c>
    </row>
    <row r="408" spans="1:72" ht="13">
      <c r="A408" s="1545">
        <v>964</v>
      </c>
      <c r="B408" s="1546" t="s">
        <v>800</v>
      </c>
      <c r="C408" s="1546" t="s">
        <v>801</v>
      </c>
      <c r="D408" s="1547" t="s">
        <v>6880</v>
      </c>
      <c r="E408" s="690" t="s">
        <v>662</v>
      </c>
      <c r="F408" s="691"/>
      <c r="G408" s="692"/>
      <c r="H408" s="692"/>
      <c r="I408" s="692"/>
      <c r="J408" s="693"/>
      <c r="K408" s="693"/>
      <c r="L408" s="693"/>
      <c r="M408" s="694"/>
      <c r="N408" s="695"/>
      <c r="O408" s="696" t="s">
        <v>1569</v>
      </c>
      <c r="P408" s="695">
        <f>'HIV-Key Info'!$G$86*(('HIV-Key Info'!$E$86*'HPM costs'!F465)+('HIV-Key Info'!$F$86*('HPM costs'!F468+'HPM costs'!F471)))</f>
        <v>0</v>
      </c>
      <c r="Q408" s="695" t="s">
        <v>1569</v>
      </c>
      <c r="R408" s="695">
        <f>'HIV-Key Info'!$G$86*(('HIV-Key Info'!$E$86*'HPM costs'!G465)+('HIV-Key Info'!$F$86*('HPM costs'!G468+'HPM costs'!G471)))</f>
        <v>0</v>
      </c>
      <c r="S408" s="695" t="s">
        <v>1569</v>
      </c>
      <c r="T408" s="695">
        <f>'HIV-Key Info'!$G$86*(('HIV-Key Info'!$E$86*'HPM costs'!H465)+('HIV-Key Info'!$F$86*('HPM costs'!H468+'HPM costs'!H471)))</f>
        <v>0</v>
      </c>
      <c r="U408" s="695" t="s">
        <v>1569</v>
      </c>
      <c r="V408" s="695">
        <f>'HIV-Key Info'!$G$86*(('HIV-Key Info'!$E$86*'HPM costs'!I465)+('HIV-Key Info'!$F$86*('HPM costs'!I468+'HPM costs'!I471)))</f>
        <v>0</v>
      </c>
      <c r="W408" s="695"/>
      <c r="X408" s="1492">
        <f t="shared" si="42"/>
        <v>0</v>
      </c>
      <c r="Y408" s="1493"/>
      <c r="Z408" s="1494"/>
      <c r="AA408" s="699"/>
      <c r="AB408" s="695"/>
      <c r="AC408" s="695">
        <f>'HIV-Key Info'!$G$86*(('HIV-Key Info'!$E$86*'HPM costs'!K465)+('HIV-Key Info'!$F$86*('HPM costs'!K468+'HPM costs'!K471)))</f>
        <v>0</v>
      </c>
      <c r="AD408" s="695"/>
      <c r="AE408" s="695">
        <f>'HIV-Key Info'!$G$86*(('HIV-Key Info'!$E$86*'HPM costs'!L465)+('HIV-Key Info'!$F$86*('HPM costs'!L468+'HPM costs'!L471)))</f>
        <v>0</v>
      </c>
      <c r="AF408" s="695"/>
      <c r="AG408" s="695">
        <f>'HIV-Key Info'!$G$86*(('HIV-Key Info'!$E$86*'HPM costs'!M465)+('HIV-Key Info'!$F$86*('HPM costs'!M468+'HPM costs'!M471)))</f>
        <v>0</v>
      </c>
      <c r="AH408" s="695"/>
      <c r="AI408" s="695">
        <f>'HIV-Key Info'!$G$86*(('HIV-Key Info'!$E$86*'HPM costs'!N465)+('HIV-Key Info'!$F$86*('HPM costs'!N468+'HPM costs'!N471)))</f>
        <v>0</v>
      </c>
      <c r="AJ408" s="695"/>
      <c r="AK408" s="1492">
        <f t="shared" si="43"/>
        <v>0</v>
      </c>
      <c r="AL408" s="1493"/>
      <c r="AM408" s="1494"/>
      <c r="AN408" s="699"/>
      <c r="AO408" s="695"/>
      <c r="AP408" s="695">
        <f>'HIV-Key Info'!$G$86*(('HIV-Key Info'!$E$86*'HPM costs'!P465)+('HIV-Key Info'!$F$86*('HPM costs'!P468+'HPM costs'!P471)))</f>
        <v>0</v>
      </c>
      <c r="AQ408" s="695"/>
      <c r="AR408" s="695">
        <f>'HIV-Key Info'!$G$86*(('HIV-Key Info'!$E$86*'HPM costs'!Q465)+('HIV-Key Info'!$F$86*('HPM costs'!Q468+'HPM costs'!Q471)))</f>
        <v>0</v>
      </c>
      <c r="AS408" s="695"/>
      <c r="AT408" s="695">
        <f>'HIV-Key Info'!$G$86*(('HIV-Key Info'!$E$86*'HPM costs'!R465)+('HIV-Key Info'!$F$86*('HPM costs'!R468+'HPM costs'!R471)))</f>
        <v>0</v>
      </c>
      <c r="AU408" s="695"/>
      <c r="AV408" s="695">
        <f>'HIV-Key Info'!$G$86*(('HIV-Key Info'!$E$86*'HPM costs'!S465)+('HIV-Key Info'!$F$86*('HPM costs'!S468+'HPM costs'!S471)))</f>
        <v>0</v>
      </c>
      <c r="AW408" s="695"/>
      <c r="AX408" s="1492">
        <f t="shared" si="44"/>
        <v>0</v>
      </c>
      <c r="AY408" s="1492"/>
      <c r="AZ408" s="698"/>
      <c r="BA408" s="699"/>
      <c r="BB408" s="697"/>
      <c r="BC408" s="697">
        <v>0</v>
      </c>
      <c r="BD408" s="697">
        <v>0</v>
      </c>
      <c r="BE408" s="697">
        <v>0</v>
      </c>
      <c r="BF408" s="697">
        <v>0</v>
      </c>
      <c r="BG408" s="697">
        <v>0</v>
      </c>
      <c r="BH408" s="697">
        <v>0</v>
      </c>
      <c r="BI408" s="697">
        <v>0</v>
      </c>
      <c r="BJ408" s="697">
        <v>0</v>
      </c>
      <c r="BK408" s="1492">
        <f t="shared" si="45"/>
        <v>0</v>
      </c>
      <c r="BL408" s="1492"/>
      <c r="BM408" s="1492">
        <f t="shared" si="46"/>
        <v>0</v>
      </c>
      <c r="BN408" s="1492">
        <f t="shared" si="47"/>
        <v>0</v>
      </c>
      <c r="BO408" s="697"/>
      <c r="BP408" s="697"/>
      <c r="BQ408" s="1495" t="s">
        <v>6937</v>
      </c>
      <c r="BR408" s="1495" t="s">
        <v>818</v>
      </c>
      <c r="BS408" s="1902" t="s">
        <v>655</v>
      </c>
      <c r="BT408" s="1907" t="s">
        <v>2127</v>
      </c>
    </row>
    <row r="409" spans="1:72" ht="13">
      <c r="A409" s="1545">
        <v>965</v>
      </c>
      <c r="B409" s="1546" t="s">
        <v>800</v>
      </c>
      <c r="C409" s="1546" t="s">
        <v>801</v>
      </c>
      <c r="D409" s="1547" t="s">
        <v>6880</v>
      </c>
      <c r="E409" s="690" t="s">
        <v>664</v>
      </c>
      <c r="F409" s="691"/>
      <c r="G409" s="692"/>
      <c r="H409" s="692"/>
      <c r="I409" s="692"/>
      <c r="J409" s="693"/>
      <c r="K409" s="693"/>
      <c r="L409" s="693"/>
      <c r="M409" s="694"/>
      <c r="N409" s="695"/>
      <c r="O409" s="696" t="s">
        <v>1569</v>
      </c>
      <c r="P409" s="695">
        <f>'HIV-Key Info'!$G$86*(('HIV-Key Info'!$E$86*('HPM costs'!F205+'HPM costs'!F551))+('HIV-Key Info'!$F$86*('HPM costs'!F208+'HPM costs'!F211+'HPM costs'!F554+'HPM costs'!F557)))</f>
        <v>0</v>
      </c>
      <c r="Q409" s="695" t="s">
        <v>1569</v>
      </c>
      <c r="R409" s="695">
        <f>'HIV-Key Info'!$G$86*(('HIV-Key Info'!$E$86*('HPM costs'!G205+'HPM costs'!G551))+('HIV-Key Info'!$F$86*('HPM costs'!G208+'HPM costs'!G211+'HPM costs'!G554+'HPM costs'!G557)))</f>
        <v>0</v>
      </c>
      <c r="S409" s="695" t="s">
        <v>1569</v>
      </c>
      <c r="T409" s="695">
        <f>'HIV-Key Info'!$G$86*(('HIV-Key Info'!$E$86*('HPM costs'!H205+'HPM costs'!H551))+('HIV-Key Info'!$F$86*('HPM costs'!H208+'HPM costs'!H211+'HPM costs'!H554+'HPM costs'!H557)))</f>
        <v>0</v>
      </c>
      <c r="U409" s="695" t="s">
        <v>1569</v>
      </c>
      <c r="V409" s="695">
        <f>'HIV-Key Info'!$G$86*(('HIV-Key Info'!$E$86*('HPM costs'!I205+'HPM costs'!I551))+('HIV-Key Info'!$F$86*('HPM costs'!I208+'HPM costs'!I211+'HPM costs'!I554+'HPM costs'!I557)))</f>
        <v>0</v>
      </c>
      <c r="W409" s="695"/>
      <c r="X409" s="1492">
        <f t="shared" si="42"/>
        <v>0</v>
      </c>
      <c r="Y409" s="1493"/>
      <c r="Z409" s="1494"/>
      <c r="AA409" s="699"/>
      <c r="AB409" s="695"/>
      <c r="AC409" s="695">
        <f>'HIV-Key Info'!$G$86*(('HIV-Key Info'!$E$86*('HPM costs'!K205+'HPM costs'!K551))+('HIV-Key Info'!$F$86*('HPM costs'!K208+'HPM costs'!K211+'HPM costs'!K554+'HPM costs'!K557)))</f>
        <v>0</v>
      </c>
      <c r="AD409" s="695"/>
      <c r="AE409" s="695">
        <f>'HIV-Key Info'!$G$86*(('HIV-Key Info'!$E$86*('HPM costs'!L205+'HPM costs'!L551))+('HIV-Key Info'!$F$86*('HPM costs'!L208+'HPM costs'!L211+'HPM costs'!L554+'HPM costs'!L557)))</f>
        <v>0</v>
      </c>
      <c r="AF409" s="695"/>
      <c r="AG409" s="695">
        <f>'HIV-Key Info'!$G$86*(('HIV-Key Info'!$E$86*('HPM costs'!M205+'HPM costs'!M551))+('HIV-Key Info'!$F$86*('HPM costs'!M208+'HPM costs'!M211+'HPM costs'!M554+'HPM costs'!M557)))</f>
        <v>0</v>
      </c>
      <c r="AH409" s="695"/>
      <c r="AI409" s="695">
        <f>'HIV-Key Info'!$G$86*(('HIV-Key Info'!$E$86*('HPM costs'!N205+'HPM costs'!N551))+('HIV-Key Info'!$F$86*('HPM costs'!N208+'HPM costs'!N211+'HPM costs'!N554+'HPM costs'!N557)))</f>
        <v>0</v>
      </c>
      <c r="AJ409" s="695"/>
      <c r="AK409" s="1492">
        <f t="shared" si="43"/>
        <v>0</v>
      </c>
      <c r="AL409" s="1493"/>
      <c r="AM409" s="1494"/>
      <c r="AN409" s="699"/>
      <c r="AO409" s="695"/>
      <c r="AP409" s="695">
        <f>'HIV-Key Info'!$G$86*(('HIV-Key Info'!$E$86*('HPM costs'!P205+'HPM costs'!P551))+('HIV-Key Info'!$F$86*('HPM costs'!P208+'HPM costs'!P211+'HPM costs'!P554+'HPM costs'!P557)))</f>
        <v>0</v>
      </c>
      <c r="AQ409" s="695"/>
      <c r="AR409" s="695">
        <f>'HIV-Key Info'!$G$86*(('HIV-Key Info'!$E$86*('HPM costs'!Q205+'HPM costs'!Q551))+('HIV-Key Info'!$F$86*('HPM costs'!Q208+'HPM costs'!Q211+'HPM costs'!Q554+'HPM costs'!Q557)))</f>
        <v>0</v>
      </c>
      <c r="AS409" s="695"/>
      <c r="AT409" s="695">
        <f>'HIV-Key Info'!$G$86*(('HIV-Key Info'!$E$86*('HPM costs'!R205+'HPM costs'!R551))+('HIV-Key Info'!$F$86*('HPM costs'!R208+'HPM costs'!R211+'HPM costs'!R554+'HPM costs'!R557)))</f>
        <v>0</v>
      </c>
      <c r="AU409" s="695"/>
      <c r="AV409" s="695">
        <f>'HIV-Key Info'!$G$86*(('HIV-Key Info'!$E$86*('HPM costs'!S205+'HPM costs'!S551))+('HIV-Key Info'!$F$86*('HPM costs'!S208+'HPM costs'!S211+'HPM costs'!S554+'HPM costs'!S557)))</f>
        <v>0</v>
      </c>
      <c r="AW409" s="695"/>
      <c r="AX409" s="1492">
        <f t="shared" si="44"/>
        <v>0</v>
      </c>
      <c r="AY409" s="1492"/>
      <c r="AZ409" s="698"/>
      <c r="BA409" s="699"/>
      <c r="BB409" s="697"/>
      <c r="BC409" s="697">
        <v>0</v>
      </c>
      <c r="BD409" s="697">
        <v>0</v>
      </c>
      <c r="BE409" s="697">
        <v>0</v>
      </c>
      <c r="BF409" s="697">
        <v>0</v>
      </c>
      <c r="BG409" s="697">
        <v>0</v>
      </c>
      <c r="BH409" s="697">
        <v>0</v>
      </c>
      <c r="BI409" s="697">
        <v>0</v>
      </c>
      <c r="BJ409" s="697">
        <v>0</v>
      </c>
      <c r="BK409" s="1492">
        <f t="shared" si="45"/>
        <v>0</v>
      </c>
      <c r="BL409" s="1492"/>
      <c r="BM409" s="1492">
        <f t="shared" si="46"/>
        <v>0</v>
      </c>
      <c r="BN409" s="1492">
        <f t="shared" si="47"/>
        <v>0</v>
      </c>
      <c r="BO409" s="697"/>
      <c r="BP409" s="697"/>
      <c r="BQ409" s="1495" t="s">
        <v>6937</v>
      </c>
      <c r="BR409" s="1495" t="s">
        <v>818</v>
      </c>
      <c r="BS409" s="1902" t="s">
        <v>655</v>
      </c>
      <c r="BT409" s="1907" t="s">
        <v>2128</v>
      </c>
    </row>
    <row r="410" spans="1:72" ht="13">
      <c r="A410" s="1545">
        <v>966</v>
      </c>
      <c r="B410" s="1546" t="s">
        <v>800</v>
      </c>
      <c r="C410" s="1546" t="s">
        <v>801</v>
      </c>
      <c r="D410" s="1547" t="s">
        <v>6880</v>
      </c>
      <c r="E410" s="690" t="s">
        <v>666</v>
      </c>
      <c r="F410" s="691"/>
      <c r="G410" s="692"/>
      <c r="H410" s="692"/>
      <c r="I410" s="692"/>
      <c r="J410" s="693"/>
      <c r="K410" s="693"/>
      <c r="L410" s="693"/>
      <c r="M410" s="694"/>
      <c r="N410" s="695"/>
      <c r="O410" s="696" t="s">
        <v>1569</v>
      </c>
      <c r="P410" s="695">
        <f>'HIV-Key Info'!$G$86*(('HIV-Key Info'!$E$86*'HPM costs'!F291)+('HIV-Key Info'!$F$86*('HPM costs'!F294+'HPM costs'!F297)))</f>
        <v>0</v>
      </c>
      <c r="Q410" s="695" t="s">
        <v>1569</v>
      </c>
      <c r="R410" s="695">
        <f>'HIV-Key Info'!$G$86*(('HIV-Key Info'!$E$86*'HPM costs'!G291)+('HIV-Key Info'!$F$86*('HPM costs'!G294+'HPM costs'!G297)))</f>
        <v>0</v>
      </c>
      <c r="S410" s="695" t="s">
        <v>1569</v>
      </c>
      <c r="T410" s="695">
        <f>'HIV-Key Info'!$G$86*(('HIV-Key Info'!$E$86*'HPM costs'!H291)+('HIV-Key Info'!$F$86*('HPM costs'!H294+'HPM costs'!H297)))</f>
        <v>0</v>
      </c>
      <c r="U410" s="695" t="s">
        <v>1569</v>
      </c>
      <c r="V410" s="695">
        <f>'HIV-Key Info'!$G$86*(('HIV-Key Info'!$E$86*'HPM costs'!I291)+('HIV-Key Info'!$F$86*('HPM costs'!I294+'HPM costs'!I297)))</f>
        <v>0</v>
      </c>
      <c r="W410" s="695"/>
      <c r="X410" s="1492">
        <f t="shared" si="42"/>
        <v>0</v>
      </c>
      <c r="Y410" s="1493"/>
      <c r="Z410" s="1494"/>
      <c r="AA410" s="699"/>
      <c r="AB410" s="695"/>
      <c r="AC410" s="695">
        <f>'HIV-Key Info'!$G$86*(('HIV-Key Info'!$E$86*'HPM costs'!K291)+('HIV-Key Info'!$F$86*('HPM costs'!K294+'HPM costs'!K297)))</f>
        <v>0</v>
      </c>
      <c r="AD410" s="695"/>
      <c r="AE410" s="695">
        <f>'HIV-Key Info'!$G$86*(('HIV-Key Info'!$E$86*'HPM costs'!L291)+('HIV-Key Info'!$F$86*('HPM costs'!L294+'HPM costs'!L297)))</f>
        <v>0</v>
      </c>
      <c r="AF410" s="695"/>
      <c r="AG410" s="695">
        <f>'HIV-Key Info'!$G$86*(('HIV-Key Info'!$E$86*'HPM costs'!M291)+('HIV-Key Info'!$F$86*('HPM costs'!M294+'HPM costs'!M297)))</f>
        <v>0</v>
      </c>
      <c r="AH410" s="695"/>
      <c r="AI410" s="695">
        <f>'HIV-Key Info'!$G$86*(('HIV-Key Info'!$E$86*'HPM costs'!N291)+('HIV-Key Info'!$F$86*('HPM costs'!N294+'HPM costs'!N297)))</f>
        <v>0</v>
      </c>
      <c r="AJ410" s="695"/>
      <c r="AK410" s="1492">
        <f t="shared" si="43"/>
        <v>0</v>
      </c>
      <c r="AL410" s="1493"/>
      <c r="AM410" s="1494"/>
      <c r="AN410" s="699"/>
      <c r="AO410" s="695"/>
      <c r="AP410" s="695">
        <f>'HIV-Key Info'!$G$86*(('HIV-Key Info'!$E$86*'HPM costs'!P291)+('HIV-Key Info'!$F$86*('HPM costs'!P294+'HPM costs'!P297)))</f>
        <v>0</v>
      </c>
      <c r="AQ410" s="695"/>
      <c r="AR410" s="695">
        <f>'HIV-Key Info'!$G$86*(('HIV-Key Info'!$E$86*'HPM costs'!Q291)+('HIV-Key Info'!$F$86*('HPM costs'!Q294+'HPM costs'!Q297)))</f>
        <v>0</v>
      </c>
      <c r="AS410" s="695"/>
      <c r="AT410" s="695">
        <f>'HIV-Key Info'!$G$86*(('HIV-Key Info'!$E$86*'HPM costs'!R291)+('HIV-Key Info'!$F$86*('HPM costs'!R294+'HPM costs'!R297)))</f>
        <v>0</v>
      </c>
      <c r="AU410" s="695"/>
      <c r="AV410" s="695">
        <f>'HIV-Key Info'!$G$86*(('HIV-Key Info'!$E$86*'HPM costs'!S291)+('HIV-Key Info'!$F$86*('HPM costs'!S294+'HPM costs'!S297)))</f>
        <v>0</v>
      </c>
      <c r="AW410" s="695"/>
      <c r="AX410" s="1492">
        <f t="shared" si="44"/>
        <v>0</v>
      </c>
      <c r="AY410" s="1492"/>
      <c r="AZ410" s="698"/>
      <c r="BA410" s="699"/>
      <c r="BB410" s="697"/>
      <c r="BC410" s="697">
        <v>0</v>
      </c>
      <c r="BD410" s="697">
        <v>0</v>
      </c>
      <c r="BE410" s="697">
        <v>0</v>
      </c>
      <c r="BF410" s="697">
        <v>0</v>
      </c>
      <c r="BG410" s="697">
        <v>0</v>
      </c>
      <c r="BH410" s="697">
        <v>0</v>
      </c>
      <c r="BI410" s="697">
        <v>0</v>
      </c>
      <c r="BJ410" s="697">
        <v>0</v>
      </c>
      <c r="BK410" s="1492">
        <f t="shared" si="45"/>
        <v>0</v>
      </c>
      <c r="BL410" s="1492"/>
      <c r="BM410" s="1492">
        <f t="shared" si="46"/>
        <v>0</v>
      </c>
      <c r="BN410" s="1492">
        <f t="shared" si="47"/>
        <v>0</v>
      </c>
      <c r="BO410" s="697"/>
      <c r="BP410" s="697"/>
      <c r="BQ410" s="1495" t="s">
        <v>6937</v>
      </c>
      <c r="BR410" s="1495" t="s">
        <v>818</v>
      </c>
      <c r="BS410" s="1902" t="s">
        <v>655</v>
      </c>
      <c r="BT410" s="1907" t="s">
        <v>2129</v>
      </c>
    </row>
    <row r="411" spans="1:72" ht="13">
      <c r="A411" s="1545">
        <v>967</v>
      </c>
      <c r="B411" s="1546" t="s">
        <v>800</v>
      </c>
      <c r="C411" s="1546" t="s">
        <v>801</v>
      </c>
      <c r="D411" s="1547" t="s">
        <v>6880</v>
      </c>
      <c r="E411" s="690" t="s">
        <v>668</v>
      </c>
      <c r="F411" s="691"/>
      <c r="G411" s="692"/>
      <c r="H411" s="692"/>
      <c r="I411" s="692"/>
      <c r="J411" s="693"/>
      <c r="K411" s="693"/>
      <c r="L411" s="693"/>
      <c r="M411" s="694"/>
      <c r="N411" s="695"/>
      <c r="O411" s="696" t="s">
        <v>1569</v>
      </c>
      <c r="P411" s="695">
        <f>'HIV-Key Info'!$G$86*(('HIV-Key Info'!$E$86*'HPM costs'!F636)+('HIV-Key Info'!$F$86*('HPM costs'!F639+'HPM costs'!F642)))</f>
        <v>0</v>
      </c>
      <c r="Q411" s="695" t="s">
        <v>1569</v>
      </c>
      <c r="R411" s="695">
        <f>'HIV-Key Info'!$G$86*(('HIV-Key Info'!$E$86*'HPM costs'!G636)+('HIV-Key Info'!$F$86*('HPM costs'!G639+'HPM costs'!G642)))</f>
        <v>0</v>
      </c>
      <c r="S411" s="695" t="s">
        <v>1569</v>
      </c>
      <c r="T411" s="695">
        <f>'HIV-Key Info'!$G$86*(('HIV-Key Info'!$E$86*'HPM costs'!H636)+('HIV-Key Info'!$F$86*('HPM costs'!H639+'HPM costs'!H642)))</f>
        <v>0</v>
      </c>
      <c r="U411" s="695" t="s">
        <v>1569</v>
      </c>
      <c r="V411" s="695">
        <f>'HIV-Key Info'!$G$86*(('HIV-Key Info'!$E$86*'HPM costs'!I636)+('HIV-Key Info'!$F$86*('HPM costs'!I639+'HPM costs'!I642)))</f>
        <v>0</v>
      </c>
      <c r="W411" s="695"/>
      <c r="X411" s="1492">
        <f t="shared" si="42"/>
        <v>0</v>
      </c>
      <c r="Y411" s="1493"/>
      <c r="Z411" s="1494"/>
      <c r="AA411" s="699"/>
      <c r="AB411" s="695"/>
      <c r="AC411" s="695">
        <f>'HIV-Key Info'!$G$86*(('HIV-Key Info'!$E$86*'HPM costs'!K636)+('HIV-Key Info'!$F$86*('HPM costs'!K639+'HPM costs'!K642)))</f>
        <v>0</v>
      </c>
      <c r="AD411" s="695"/>
      <c r="AE411" s="695">
        <f>'HIV-Key Info'!$G$86*(('HIV-Key Info'!$E$86*'HPM costs'!L636)+('HIV-Key Info'!$F$86*('HPM costs'!L639+'HPM costs'!L642)))</f>
        <v>0</v>
      </c>
      <c r="AF411" s="695"/>
      <c r="AG411" s="695">
        <f>'HIV-Key Info'!$G$86*(('HIV-Key Info'!$E$86*'HPM costs'!M636)+('HIV-Key Info'!$F$86*('HPM costs'!M639+'HPM costs'!M642)))</f>
        <v>0</v>
      </c>
      <c r="AH411" s="695"/>
      <c r="AI411" s="695">
        <f>'HIV-Key Info'!$G$86*(('HIV-Key Info'!$E$86*'HPM costs'!N636)+('HIV-Key Info'!$F$86*('HPM costs'!N639+'HPM costs'!N642)))</f>
        <v>0</v>
      </c>
      <c r="AJ411" s="695"/>
      <c r="AK411" s="1492">
        <f t="shared" si="43"/>
        <v>0</v>
      </c>
      <c r="AL411" s="1493"/>
      <c r="AM411" s="1494"/>
      <c r="AN411" s="699"/>
      <c r="AO411" s="695"/>
      <c r="AP411" s="695">
        <f>'HIV-Key Info'!$G$86*(('HIV-Key Info'!$E$86*'HPM costs'!P636)+('HIV-Key Info'!$F$86*('HPM costs'!P639+'HPM costs'!P642)))</f>
        <v>0</v>
      </c>
      <c r="AQ411" s="695"/>
      <c r="AR411" s="695">
        <f>'HIV-Key Info'!$G$86*(('HIV-Key Info'!$E$86*'HPM costs'!Q636)+('HIV-Key Info'!$F$86*('HPM costs'!Q639+'HPM costs'!Q642)))</f>
        <v>0</v>
      </c>
      <c r="AS411" s="695"/>
      <c r="AT411" s="695">
        <f>'HIV-Key Info'!$G$86*(('HIV-Key Info'!$E$86*'HPM costs'!R636)+('HIV-Key Info'!$F$86*('HPM costs'!R639+'HPM costs'!R642)))</f>
        <v>0</v>
      </c>
      <c r="AU411" s="695"/>
      <c r="AV411" s="695">
        <f>'HIV-Key Info'!$G$86*(('HIV-Key Info'!$E$86*'HPM costs'!S636)+('HIV-Key Info'!$F$86*('HPM costs'!S639+'HPM costs'!S642)))</f>
        <v>0</v>
      </c>
      <c r="AW411" s="695"/>
      <c r="AX411" s="1492">
        <f t="shared" si="44"/>
        <v>0</v>
      </c>
      <c r="AY411" s="1492"/>
      <c r="AZ411" s="698"/>
      <c r="BA411" s="699"/>
      <c r="BB411" s="697"/>
      <c r="BC411" s="697">
        <v>0</v>
      </c>
      <c r="BD411" s="697">
        <v>0</v>
      </c>
      <c r="BE411" s="697">
        <v>0</v>
      </c>
      <c r="BF411" s="697">
        <v>0</v>
      </c>
      <c r="BG411" s="697">
        <v>0</v>
      </c>
      <c r="BH411" s="697">
        <v>0</v>
      </c>
      <c r="BI411" s="697">
        <v>0</v>
      </c>
      <c r="BJ411" s="697">
        <v>0</v>
      </c>
      <c r="BK411" s="1492">
        <f t="shared" si="45"/>
        <v>0</v>
      </c>
      <c r="BL411" s="1492"/>
      <c r="BM411" s="1492">
        <f t="shared" si="46"/>
        <v>0</v>
      </c>
      <c r="BN411" s="1492">
        <f t="shared" si="47"/>
        <v>0</v>
      </c>
      <c r="BO411" s="697"/>
      <c r="BP411" s="697"/>
      <c r="BQ411" s="1495" t="s">
        <v>6937</v>
      </c>
      <c r="BR411" s="1495" t="s">
        <v>818</v>
      </c>
      <c r="BS411" s="1902" t="s">
        <v>655</v>
      </c>
      <c r="BT411" s="1907" t="s">
        <v>2130</v>
      </c>
    </row>
    <row r="412" spans="1:72" ht="13">
      <c r="A412" s="1545">
        <v>968</v>
      </c>
      <c r="B412" s="1546" t="s">
        <v>800</v>
      </c>
      <c r="C412" s="1546" t="s">
        <v>802</v>
      </c>
      <c r="D412" s="1547" t="s">
        <v>6959</v>
      </c>
      <c r="E412" s="690" t="s">
        <v>731</v>
      </c>
      <c r="F412" s="691"/>
      <c r="G412" s="692"/>
      <c r="H412" s="692"/>
      <c r="I412" s="692"/>
      <c r="J412" s="693"/>
      <c r="K412" s="693"/>
      <c r="L412" s="693"/>
      <c r="M412" s="694"/>
      <c r="N412" s="695"/>
      <c r="O412" s="696" t="s">
        <v>1569</v>
      </c>
      <c r="P412" s="695">
        <f>'HIV-Key Info'!$H$86*('HIV-Key Info'!$E$86*('HPM costs'!F551/'HPM costs'!$E$551)+'HIV-Key Info'!$F$86*('HPM costs'!F557/'HPM costs'!$E$557+'HPM costs'!F554/'HPM costs'!$E$554))</f>
        <v>0</v>
      </c>
      <c r="Q412" s="695" t="s">
        <v>1569</v>
      </c>
      <c r="R412" s="695">
        <f>'HIV-Key Info'!$H$86*('HIV-Key Info'!$E$86*('HPM costs'!G551/'HPM costs'!$E$551)+'HIV-Key Info'!$F$86*('HPM costs'!G557/'HPM costs'!$E$557+'HPM costs'!G554/'HPM costs'!$E$554))</f>
        <v>0</v>
      </c>
      <c r="S412" s="695" t="s">
        <v>1569</v>
      </c>
      <c r="T412" s="695">
        <f>'HIV-Key Info'!$H$86*('HIV-Key Info'!$E$86*('HPM costs'!H551/'HPM costs'!$E$551)+'HIV-Key Info'!$F$86*('HPM costs'!H557/'HPM costs'!$E$557+'HPM costs'!H554/'HPM costs'!$E$554))</f>
        <v>0</v>
      </c>
      <c r="U412" s="695" t="s">
        <v>1569</v>
      </c>
      <c r="V412" s="695">
        <f>'HIV-Key Info'!$H$86*('HIV-Key Info'!$E$86*('HPM costs'!I551/'HPM costs'!$E$551)+'HIV-Key Info'!$F$86*('HPM costs'!I557/'HPM costs'!$E$557+'HPM costs'!I554/'HPM costs'!$E$554))</f>
        <v>0</v>
      </c>
      <c r="W412" s="695"/>
      <c r="X412" s="1492">
        <f t="shared" si="42"/>
        <v>0</v>
      </c>
      <c r="Y412" s="1493"/>
      <c r="Z412" s="1494"/>
      <c r="AA412" s="699"/>
      <c r="AB412" s="695"/>
      <c r="AC412" s="695">
        <f>'HIV-Key Info'!$H$86*('HIV-Key Info'!$E$86*('HPM costs'!K551/'HPM costs'!$E$551)+'HIV-Key Info'!$F$86*('HPM costs'!K557/'HPM costs'!$E$557+'HPM costs'!K554/'HPM costs'!$E$554))</f>
        <v>0</v>
      </c>
      <c r="AD412" s="695"/>
      <c r="AE412" s="695">
        <f>'HIV-Key Info'!$H$86*('HIV-Key Info'!$E$86*('HPM costs'!L551/'HPM costs'!$E$551)+'HIV-Key Info'!$F$86*('HPM costs'!L557/'HPM costs'!$E$557+'HPM costs'!L554/'HPM costs'!$E$554))</f>
        <v>0</v>
      </c>
      <c r="AF412" s="695"/>
      <c r="AG412" s="695">
        <f>'HIV-Key Info'!$H$86*('HIV-Key Info'!$E$86*('HPM costs'!M551/'HPM costs'!$E$551)+'HIV-Key Info'!$F$86*('HPM costs'!M557/'HPM costs'!$E$557+'HPM costs'!M554/'HPM costs'!$E$554))</f>
        <v>0</v>
      </c>
      <c r="AH412" s="695"/>
      <c r="AI412" s="695">
        <f>'HIV-Key Info'!$H$86*('HIV-Key Info'!$E$86*('HPM costs'!N551/'HPM costs'!$E$551)+'HIV-Key Info'!$F$86*('HPM costs'!N557/'HPM costs'!$E$557+'HPM costs'!N554/'HPM costs'!$E$554))</f>
        <v>0</v>
      </c>
      <c r="AJ412" s="695"/>
      <c r="AK412" s="1492">
        <f t="shared" si="43"/>
        <v>0</v>
      </c>
      <c r="AL412" s="1493"/>
      <c r="AM412" s="1494"/>
      <c r="AN412" s="699"/>
      <c r="AO412" s="695"/>
      <c r="AP412" s="695">
        <f>'HIV-Key Info'!$H$86*('HIV-Key Info'!$E$86*('HPM costs'!P551/'HPM costs'!$E$551)+'HIV-Key Info'!$F$86*('HPM costs'!P557/'HPM costs'!$E$557+'HPM costs'!P554/'HPM costs'!$E$554))</f>
        <v>0</v>
      </c>
      <c r="AQ412" s="695"/>
      <c r="AR412" s="695">
        <f>'HIV-Key Info'!$H$86*('HIV-Key Info'!$E$86*('HPM costs'!Q551/'HPM costs'!$E$551)+'HIV-Key Info'!$F$86*('HPM costs'!Q557/'HPM costs'!$E$557+'HPM costs'!Q554/'HPM costs'!$E$554))</f>
        <v>0</v>
      </c>
      <c r="AS412" s="695"/>
      <c r="AT412" s="695">
        <f>'HIV-Key Info'!$H$86*('HIV-Key Info'!$E$86*('HPM costs'!R551/'HPM costs'!$E$551)+'HIV-Key Info'!$F$86*('HPM costs'!R557/'HPM costs'!$E$557+'HPM costs'!R554/'HPM costs'!$E$554))</f>
        <v>0</v>
      </c>
      <c r="AU412" s="695"/>
      <c r="AV412" s="695">
        <f>'HIV-Key Info'!$H$86*('HIV-Key Info'!$E$86*('HPM costs'!S551/'HPM costs'!$E$551)+'HIV-Key Info'!$F$86*('HPM costs'!S557/'HPM costs'!$E$557+'HPM costs'!S554/'HPM costs'!$E$554))</f>
        <v>0</v>
      </c>
      <c r="AW412" s="695"/>
      <c r="AX412" s="1492">
        <f t="shared" si="44"/>
        <v>0</v>
      </c>
      <c r="AY412" s="1492"/>
      <c r="AZ412" s="698"/>
      <c r="BA412" s="699"/>
      <c r="BB412" s="697"/>
      <c r="BC412" s="697">
        <v>0</v>
      </c>
      <c r="BD412" s="697">
        <v>0</v>
      </c>
      <c r="BE412" s="697">
        <v>0</v>
      </c>
      <c r="BF412" s="697">
        <v>0</v>
      </c>
      <c r="BG412" s="697">
        <v>0</v>
      </c>
      <c r="BH412" s="697">
        <v>0</v>
      </c>
      <c r="BI412" s="697">
        <v>0</v>
      </c>
      <c r="BJ412" s="697">
        <v>0</v>
      </c>
      <c r="BK412" s="1492">
        <f t="shared" si="45"/>
        <v>0</v>
      </c>
      <c r="BL412" s="1492"/>
      <c r="BM412" s="1492">
        <f t="shared" si="46"/>
        <v>0</v>
      </c>
      <c r="BN412" s="1492">
        <f t="shared" si="47"/>
        <v>0</v>
      </c>
      <c r="BO412" s="697"/>
      <c r="BP412" s="697"/>
      <c r="BQ412" s="1495" t="s">
        <v>6937</v>
      </c>
      <c r="BR412" s="1495" t="s">
        <v>818</v>
      </c>
      <c r="BS412" s="1902" t="s">
        <v>6953</v>
      </c>
      <c r="BT412" s="1907" t="s">
        <v>2131</v>
      </c>
    </row>
    <row r="413" spans="1:72" ht="13">
      <c r="A413" s="1545">
        <v>969</v>
      </c>
      <c r="B413" s="1546" t="s">
        <v>800</v>
      </c>
      <c r="C413" s="1546" t="s">
        <v>802</v>
      </c>
      <c r="D413" s="1547" t="s">
        <v>6880</v>
      </c>
      <c r="E413" s="690" t="s">
        <v>656</v>
      </c>
      <c r="F413" s="691"/>
      <c r="G413" s="692"/>
      <c r="H413" s="692"/>
      <c r="I413" s="692"/>
      <c r="J413" s="693"/>
      <c r="K413" s="693"/>
      <c r="L413" s="693"/>
      <c r="M413" s="694"/>
      <c r="N413" s="695"/>
      <c r="O413" s="696" t="s">
        <v>1569</v>
      </c>
      <c r="P413" s="695">
        <f>'HIV-Key Info'!$H$86*(('HIV-Key Info'!$E$86*'HPM costs'!F33)+('HIV-Key Info'!$F$86*('HPM costs'!F36+'HPM costs'!F39)))</f>
        <v>0</v>
      </c>
      <c r="Q413" s="695" t="s">
        <v>1569</v>
      </c>
      <c r="R413" s="695">
        <f>'HIV-Key Info'!$H$86*(('HIV-Key Info'!$E$86*'HPM costs'!G33)+('HIV-Key Info'!$F$86*('HPM costs'!G36+'HPM costs'!G39)))</f>
        <v>0</v>
      </c>
      <c r="S413" s="695" t="s">
        <v>1569</v>
      </c>
      <c r="T413" s="695">
        <f>'HIV-Key Info'!$H$86*(('HIV-Key Info'!$E$86*'HPM costs'!H33)+('HIV-Key Info'!$F$86*('HPM costs'!H36+'HPM costs'!H39)))</f>
        <v>0</v>
      </c>
      <c r="U413" s="695" t="s">
        <v>1569</v>
      </c>
      <c r="V413" s="695">
        <f>'HIV-Key Info'!$H$86*(('HIV-Key Info'!$E$86*'HPM costs'!I33)+('HIV-Key Info'!$F$86*('HPM costs'!I36+'HPM costs'!I39)))</f>
        <v>0</v>
      </c>
      <c r="W413" s="695"/>
      <c r="X413" s="1492">
        <f t="shared" si="42"/>
        <v>0</v>
      </c>
      <c r="Y413" s="1493"/>
      <c r="Z413" s="1494"/>
      <c r="AA413" s="699"/>
      <c r="AB413" s="695"/>
      <c r="AC413" s="695">
        <f>'HIV-Key Info'!$H$86*(('HIV-Key Info'!$E$86*'HPM costs'!K33)+('HIV-Key Info'!$F$86*('HPM costs'!K36+'HPM costs'!K39)))</f>
        <v>0</v>
      </c>
      <c r="AD413" s="695"/>
      <c r="AE413" s="695">
        <f>'HIV-Key Info'!$H$86*(('HIV-Key Info'!$E$86*'HPM costs'!L33)+('HIV-Key Info'!$F$86*('HPM costs'!L36+'HPM costs'!L39)))</f>
        <v>0</v>
      </c>
      <c r="AF413" s="695"/>
      <c r="AG413" s="695">
        <f>'HIV-Key Info'!$H$86*(('HIV-Key Info'!$E$86*'HPM costs'!M33)+('HIV-Key Info'!$F$86*('HPM costs'!M36+'HPM costs'!M39)))</f>
        <v>0</v>
      </c>
      <c r="AH413" s="695"/>
      <c r="AI413" s="695">
        <f>'HIV-Key Info'!$H$86*(('HIV-Key Info'!$E$86*'HPM costs'!N33)+('HIV-Key Info'!$F$86*('HPM costs'!N36+'HPM costs'!N39)))</f>
        <v>0</v>
      </c>
      <c r="AJ413" s="695"/>
      <c r="AK413" s="1492">
        <f t="shared" si="43"/>
        <v>0</v>
      </c>
      <c r="AL413" s="1493"/>
      <c r="AM413" s="1494"/>
      <c r="AN413" s="699"/>
      <c r="AO413" s="695"/>
      <c r="AP413" s="695">
        <f>'HIV-Key Info'!$H$86*(('HIV-Key Info'!$E$86*'HPM costs'!P33)+('HIV-Key Info'!$F$86*('HPM costs'!P36+'HPM costs'!P39)))</f>
        <v>0</v>
      </c>
      <c r="AQ413" s="695"/>
      <c r="AR413" s="695">
        <f>'HIV-Key Info'!$H$86*(('HIV-Key Info'!$E$86*'HPM costs'!Q33)+('HIV-Key Info'!$F$86*('HPM costs'!Q36+'HPM costs'!Q39)))</f>
        <v>0</v>
      </c>
      <c r="AS413" s="695"/>
      <c r="AT413" s="695">
        <f>'HIV-Key Info'!$H$86*(('HIV-Key Info'!$E$86*'HPM costs'!R33)+('HIV-Key Info'!$F$86*('HPM costs'!R36+'HPM costs'!R39)))</f>
        <v>0</v>
      </c>
      <c r="AU413" s="695"/>
      <c r="AV413" s="695">
        <f>'HIV-Key Info'!$H$86*(('HIV-Key Info'!$E$86*'HPM costs'!S33)+('HIV-Key Info'!$F$86*('HPM costs'!S36+'HPM costs'!S39)))</f>
        <v>0</v>
      </c>
      <c r="AW413" s="695"/>
      <c r="AX413" s="1492">
        <f t="shared" si="44"/>
        <v>0</v>
      </c>
      <c r="AY413" s="1492"/>
      <c r="AZ413" s="698"/>
      <c r="BA413" s="699"/>
      <c r="BB413" s="697"/>
      <c r="BC413" s="697">
        <v>0</v>
      </c>
      <c r="BD413" s="697">
        <v>0</v>
      </c>
      <c r="BE413" s="697">
        <v>0</v>
      </c>
      <c r="BF413" s="697">
        <v>0</v>
      </c>
      <c r="BG413" s="697">
        <v>0</v>
      </c>
      <c r="BH413" s="697">
        <v>0</v>
      </c>
      <c r="BI413" s="697">
        <v>0</v>
      </c>
      <c r="BJ413" s="697">
        <v>0</v>
      </c>
      <c r="BK413" s="1492">
        <f t="shared" si="45"/>
        <v>0</v>
      </c>
      <c r="BL413" s="1492"/>
      <c r="BM413" s="1492">
        <f t="shared" si="46"/>
        <v>0</v>
      </c>
      <c r="BN413" s="1492">
        <f t="shared" si="47"/>
        <v>0</v>
      </c>
      <c r="BO413" s="697"/>
      <c r="BP413" s="697"/>
      <c r="BQ413" s="1495" t="s">
        <v>6937</v>
      </c>
      <c r="BR413" s="1495" t="s">
        <v>818</v>
      </c>
      <c r="BS413" s="1902" t="s">
        <v>655</v>
      </c>
      <c r="BT413" s="1907" t="s">
        <v>2132</v>
      </c>
    </row>
    <row r="414" spans="1:72" ht="13">
      <c r="A414" s="1545">
        <v>970</v>
      </c>
      <c r="B414" s="1546" t="s">
        <v>800</v>
      </c>
      <c r="C414" s="1546" t="s">
        <v>802</v>
      </c>
      <c r="D414" s="1547" t="s">
        <v>6880</v>
      </c>
      <c r="E414" s="690" t="s">
        <v>658</v>
      </c>
      <c r="F414" s="691"/>
      <c r="G414" s="692"/>
      <c r="H414" s="692"/>
      <c r="I414" s="692"/>
      <c r="J414" s="693"/>
      <c r="K414" s="693"/>
      <c r="L414" s="693"/>
      <c r="M414" s="694"/>
      <c r="N414" s="695"/>
      <c r="O414" s="696" t="s">
        <v>1569</v>
      </c>
      <c r="P414" s="695">
        <f>'HIV-Key Info'!$H$86*(('HIV-Key Info'!$E$86*'HPM costs'!F119)+('HIV-Key Info'!$F$86*('HPM costs'!F122+'HPM costs'!F125)))</f>
        <v>0</v>
      </c>
      <c r="Q414" s="695" t="s">
        <v>1569</v>
      </c>
      <c r="R414" s="695">
        <f>'HIV-Key Info'!$H$86*(('HIV-Key Info'!$E$86*'HPM costs'!G119)+('HIV-Key Info'!$F$86*('HPM costs'!G122+'HPM costs'!G125)))</f>
        <v>0</v>
      </c>
      <c r="S414" s="695" t="s">
        <v>1569</v>
      </c>
      <c r="T414" s="695">
        <f>'HIV-Key Info'!$H$86*(('HIV-Key Info'!$E$86*'HPM costs'!H119)+('HIV-Key Info'!$F$86*('HPM costs'!H122+'HPM costs'!H125)))</f>
        <v>0</v>
      </c>
      <c r="U414" s="695" t="s">
        <v>1569</v>
      </c>
      <c r="V414" s="695">
        <f>'HIV-Key Info'!$H$86*(('HIV-Key Info'!$E$86*'HPM costs'!I119)+('HIV-Key Info'!$F$86*('HPM costs'!I122+'HPM costs'!I125)))</f>
        <v>0</v>
      </c>
      <c r="W414" s="695"/>
      <c r="X414" s="1492">
        <f t="shared" si="42"/>
        <v>0</v>
      </c>
      <c r="Y414" s="1493"/>
      <c r="Z414" s="1494"/>
      <c r="AA414" s="699"/>
      <c r="AB414" s="695"/>
      <c r="AC414" s="695">
        <f>'HIV-Key Info'!$H$86*(('HIV-Key Info'!$E$86*'HPM costs'!K119)+('HIV-Key Info'!$F$86*('HPM costs'!K122+'HPM costs'!K125)))</f>
        <v>0</v>
      </c>
      <c r="AD414" s="695"/>
      <c r="AE414" s="695">
        <f>'HIV-Key Info'!$H$86*(('HIV-Key Info'!$E$86*'HPM costs'!L119)+('HIV-Key Info'!$F$86*('HPM costs'!L122+'HPM costs'!L125)))</f>
        <v>0</v>
      </c>
      <c r="AF414" s="695"/>
      <c r="AG414" s="695">
        <f>'HIV-Key Info'!$H$86*(('HIV-Key Info'!$E$86*'HPM costs'!M119)+('HIV-Key Info'!$F$86*('HPM costs'!M122+'HPM costs'!M125)))</f>
        <v>0</v>
      </c>
      <c r="AH414" s="695"/>
      <c r="AI414" s="695">
        <f>'HIV-Key Info'!$H$86*(('HIV-Key Info'!$E$86*'HPM costs'!N119)+('HIV-Key Info'!$F$86*('HPM costs'!N122+'HPM costs'!N125)))</f>
        <v>0</v>
      </c>
      <c r="AJ414" s="695"/>
      <c r="AK414" s="1492">
        <f t="shared" si="43"/>
        <v>0</v>
      </c>
      <c r="AL414" s="1493"/>
      <c r="AM414" s="1494"/>
      <c r="AN414" s="699"/>
      <c r="AO414" s="695"/>
      <c r="AP414" s="695">
        <f>'HIV-Key Info'!$H$86*(('HIV-Key Info'!$E$86*'HPM costs'!P119)+('HIV-Key Info'!$F$86*('HPM costs'!P122+'HPM costs'!P125)))</f>
        <v>0</v>
      </c>
      <c r="AQ414" s="695"/>
      <c r="AR414" s="695">
        <f>'HIV-Key Info'!$H$86*(('HIV-Key Info'!$E$86*'HPM costs'!Q119)+('HIV-Key Info'!$F$86*('HPM costs'!Q122+'HPM costs'!Q125)))</f>
        <v>0</v>
      </c>
      <c r="AS414" s="695"/>
      <c r="AT414" s="695">
        <f>'HIV-Key Info'!$H$86*(('HIV-Key Info'!$E$86*'HPM costs'!R119)+('HIV-Key Info'!$F$86*('HPM costs'!R122+'HPM costs'!R125)))</f>
        <v>0</v>
      </c>
      <c r="AU414" s="695"/>
      <c r="AV414" s="695">
        <f>'HIV-Key Info'!$H$86*(('HIV-Key Info'!$E$86*'HPM costs'!S119)+('HIV-Key Info'!$F$86*('HPM costs'!S122+'HPM costs'!S125)))</f>
        <v>0</v>
      </c>
      <c r="AW414" s="695"/>
      <c r="AX414" s="1492">
        <f t="shared" si="44"/>
        <v>0</v>
      </c>
      <c r="AY414" s="1492"/>
      <c r="AZ414" s="698"/>
      <c r="BA414" s="699"/>
      <c r="BB414" s="697"/>
      <c r="BC414" s="697">
        <v>0</v>
      </c>
      <c r="BD414" s="697">
        <v>0</v>
      </c>
      <c r="BE414" s="697">
        <v>0</v>
      </c>
      <c r="BF414" s="697">
        <v>0</v>
      </c>
      <c r="BG414" s="697">
        <v>0</v>
      </c>
      <c r="BH414" s="697">
        <v>0</v>
      </c>
      <c r="BI414" s="697">
        <v>0</v>
      </c>
      <c r="BJ414" s="697">
        <v>0</v>
      </c>
      <c r="BK414" s="1492">
        <f t="shared" si="45"/>
        <v>0</v>
      </c>
      <c r="BL414" s="1492"/>
      <c r="BM414" s="1492">
        <f t="shared" si="46"/>
        <v>0</v>
      </c>
      <c r="BN414" s="1492">
        <f t="shared" si="47"/>
        <v>0</v>
      </c>
      <c r="BO414" s="697"/>
      <c r="BP414" s="697"/>
      <c r="BQ414" s="1495" t="s">
        <v>6937</v>
      </c>
      <c r="BR414" s="1495" t="s">
        <v>818</v>
      </c>
      <c r="BS414" s="1902" t="s">
        <v>655</v>
      </c>
      <c r="BT414" s="1907" t="s">
        <v>2133</v>
      </c>
    </row>
    <row r="415" spans="1:72" ht="13">
      <c r="A415" s="1545">
        <v>971</v>
      </c>
      <c r="B415" s="1546" t="s">
        <v>800</v>
      </c>
      <c r="C415" s="1546" t="s">
        <v>802</v>
      </c>
      <c r="D415" s="1547" t="s">
        <v>6880</v>
      </c>
      <c r="E415" s="690" t="s">
        <v>660</v>
      </c>
      <c r="F415" s="691"/>
      <c r="G415" s="692"/>
      <c r="H415" s="692"/>
      <c r="I415" s="692"/>
      <c r="J415" s="693"/>
      <c r="K415" s="693"/>
      <c r="L415" s="693"/>
      <c r="M415" s="694"/>
      <c r="N415" s="695"/>
      <c r="O415" s="696" t="s">
        <v>1569</v>
      </c>
      <c r="P415" s="695">
        <f>'HIV-Key Info'!$H$86*(('HIV-Key Info'!$E$86*'HPM costs'!F379)+('HIV-Key Info'!$F$86*('HPM costs'!F382+'HPM costs'!F385)))</f>
        <v>0</v>
      </c>
      <c r="Q415" s="695" t="s">
        <v>1569</v>
      </c>
      <c r="R415" s="695">
        <f>'HIV-Key Info'!$H$86*(('HIV-Key Info'!$E$86*'HPM costs'!G379)+('HIV-Key Info'!$F$86*('HPM costs'!G382+'HPM costs'!G385)))</f>
        <v>0</v>
      </c>
      <c r="S415" s="695" t="s">
        <v>1569</v>
      </c>
      <c r="T415" s="695">
        <f>'HIV-Key Info'!$H$86*(('HIV-Key Info'!$E$86*'HPM costs'!H379)+('HIV-Key Info'!$F$86*('HPM costs'!H382+'HPM costs'!H385)))</f>
        <v>0</v>
      </c>
      <c r="U415" s="695" t="s">
        <v>1569</v>
      </c>
      <c r="V415" s="695">
        <f>'HIV-Key Info'!$H$86*(('HIV-Key Info'!$E$86*'HPM costs'!I379)+('HIV-Key Info'!$F$86*('HPM costs'!I382+'HPM costs'!I385)))</f>
        <v>0</v>
      </c>
      <c r="W415" s="695"/>
      <c r="X415" s="1492">
        <f t="shared" si="42"/>
        <v>0</v>
      </c>
      <c r="Y415" s="1493"/>
      <c r="Z415" s="1494"/>
      <c r="AA415" s="699"/>
      <c r="AB415" s="695"/>
      <c r="AC415" s="695">
        <f>'HIV-Key Info'!$H$86*(('HIV-Key Info'!$E$86*'HPM costs'!K379)+('HIV-Key Info'!$F$86*('HPM costs'!K382+'HPM costs'!K385)))</f>
        <v>0</v>
      </c>
      <c r="AD415" s="695"/>
      <c r="AE415" s="695">
        <f>'HIV-Key Info'!$H$86*(('HIV-Key Info'!$E$86*'HPM costs'!L379)+('HIV-Key Info'!$F$86*('HPM costs'!L382+'HPM costs'!L385)))</f>
        <v>0</v>
      </c>
      <c r="AF415" s="695"/>
      <c r="AG415" s="695">
        <f>'HIV-Key Info'!$H$86*(('HIV-Key Info'!$E$86*'HPM costs'!M379)+('HIV-Key Info'!$F$86*('HPM costs'!M382+'HPM costs'!M385)))</f>
        <v>0</v>
      </c>
      <c r="AH415" s="695"/>
      <c r="AI415" s="695">
        <f>'HIV-Key Info'!$H$86*(('HIV-Key Info'!$E$86*'HPM costs'!N379)+('HIV-Key Info'!$F$86*('HPM costs'!N382+'HPM costs'!N385)))</f>
        <v>0</v>
      </c>
      <c r="AJ415" s="695"/>
      <c r="AK415" s="1492">
        <f t="shared" si="43"/>
        <v>0</v>
      </c>
      <c r="AL415" s="1493"/>
      <c r="AM415" s="1494"/>
      <c r="AN415" s="699"/>
      <c r="AO415" s="695"/>
      <c r="AP415" s="695">
        <f>'HIV-Key Info'!$H$86*(('HIV-Key Info'!$E$86*'HPM costs'!P379)+('HIV-Key Info'!$F$86*('HPM costs'!P382+'HPM costs'!P385)))</f>
        <v>0</v>
      </c>
      <c r="AQ415" s="695"/>
      <c r="AR415" s="695">
        <f>'HIV-Key Info'!$H$86*(('HIV-Key Info'!$E$86*'HPM costs'!Q379)+('HIV-Key Info'!$F$86*('HPM costs'!Q382+'HPM costs'!Q385)))</f>
        <v>0</v>
      </c>
      <c r="AS415" s="695"/>
      <c r="AT415" s="695">
        <f>'HIV-Key Info'!$H$86*(('HIV-Key Info'!$E$86*'HPM costs'!R379)+('HIV-Key Info'!$F$86*('HPM costs'!R382+'HPM costs'!R385)))</f>
        <v>0</v>
      </c>
      <c r="AU415" s="695"/>
      <c r="AV415" s="695">
        <f>'HIV-Key Info'!$H$86*(('HIV-Key Info'!$E$86*'HPM costs'!S379)+('HIV-Key Info'!$F$86*('HPM costs'!S382+'HPM costs'!S385)))</f>
        <v>0</v>
      </c>
      <c r="AW415" s="695"/>
      <c r="AX415" s="1492">
        <f t="shared" si="44"/>
        <v>0</v>
      </c>
      <c r="AY415" s="1492"/>
      <c r="AZ415" s="698"/>
      <c r="BA415" s="699"/>
      <c r="BB415" s="697"/>
      <c r="BC415" s="697">
        <v>0</v>
      </c>
      <c r="BD415" s="697">
        <v>0</v>
      </c>
      <c r="BE415" s="697">
        <v>0</v>
      </c>
      <c r="BF415" s="697">
        <v>0</v>
      </c>
      <c r="BG415" s="697">
        <v>0</v>
      </c>
      <c r="BH415" s="697">
        <v>0</v>
      </c>
      <c r="BI415" s="697">
        <v>0</v>
      </c>
      <c r="BJ415" s="697">
        <v>0</v>
      </c>
      <c r="BK415" s="1492">
        <f t="shared" si="45"/>
        <v>0</v>
      </c>
      <c r="BL415" s="1492"/>
      <c r="BM415" s="1492">
        <f t="shared" si="46"/>
        <v>0</v>
      </c>
      <c r="BN415" s="1492">
        <f t="shared" si="47"/>
        <v>0</v>
      </c>
      <c r="BO415" s="697"/>
      <c r="BP415" s="697"/>
      <c r="BQ415" s="1495" t="s">
        <v>6937</v>
      </c>
      <c r="BR415" s="1495" t="s">
        <v>818</v>
      </c>
      <c r="BS415" s="1902" t="s">
        <v>655</v>
      </c>
      <c r="BT415" s="1907" t="s">
        <v>2134</v>
      </c>
    </row>
    <row r="416" spans="1:72" ht="13">
      <c r="A416" s="1545">
        <v>972</v>
      </c>
      <c r="B416" s="1546" t="s">
        <v>800</v>
      </c>
      <c r="C416" s="1546" t="s">
        <v>802</v>
      </c>
      <c r="D416" s="1547" t="s">
        <v>6880</v>
      </c>
      <c r="E416" s="690" t="s">
        <v>662</v>
      </c>
      <c r="F416" s="691"/>
      <c r="G416" s="692"/>
      <c r="H416" s="692"/>
      <c r="I416" s="692"/>
      <c r="J416" s="693"/>
      <c r="K416" s="693"/>
      <c r="L416" s="693"/>
      <c r="M416" s="694"/>
      <c r="N416" s="695"/>
      <c r="O416" s="696" t="s">
        <v>1569</v>
      </c>
      <c r="P416" s="695">
        <f>'HIV-Key Info'!$H$86*(('HIV-Key Info'!$E$86*'HPM costs'!F465)+('HIV-Key Info'!$F$86*('HPM costs'!F468+'HPM costs'!F471)))</f>
        <v>0</v>
      </c>
      <c r="Q416" s="695" t="s">
        <v>1569</v>
      </c>
      <c r="R416" s="695">
        <f>'HIV-Key Info'!$H$86*(('HIV-Key Info'!$E$86*'HPM costs'!G465)+('HIV-Key Info'!$F$86*('HPM costs'!G468+'HPM costs'!G471)))</f>
        <v>0</v>
      </c>
      <c r="S416" s="695" t="s">
        <v>1569</v>
      </c>
      <c r="T416" s="695">
        <f>'HIV-Key Info'!$H$86*(('HIV-Key Info'!$E$86*'HPM costs'!H465)+('HIV-Key Info'!$F$86*('HPM costs'!H468+'HPM costs'!H471)))</f>
        <v>0</v>
      </c>
      <c r="U416" s="695" t="s">
        <v>1569</v>
      </c>
      <c r="V416" s="695">
        <f>'HIV-Key Info'!$H$86*(('HIV-Key Info'!$E$86*'HPM costs'!I465)+('HIV-Key Info'!$F$86*('HPM costs'!I468+'HPM costs'!I471)))</f>
        <v>0</v>
      </c>
      <c r="W416" s="695"/>
      <c r="X416" s="1492">
        <f t="shared" si="42"/>
        <v>0</v>
      </c>
      <c r="Y416" s="1493"/>
      <c r="Z416" s="1494"/>
      <c r="AA416" s="699"/>
      <c r="AB416" s="695"/>
      <c r="AC416" s="695">
        <f>'HIV-Key Info'!$H$86*(('HIV-Key Info'!$E$86*'HPM costs'!K465)+('HIV-Key Info'!$F$86*('HPM costs'!K468+'HPM costs'!K471)))</f>
        <v>0</v>
      </c>
      <c r="AD416" s="695"/>
      <c r="AE416" s="695">
        <f>'HIV-Key Info'!$H$86*(('HIV-Key Info'!$E$86*'HPM costs'!L465)+('HIV-Key Info'!$F$86*('HPM costs'!L468+'HPM costs'!L471)))</f>
        <v>0</v>
      </c>
      <c r="AF416" s="695"/>
      <c r="AG416" s="695">
        <f>'HIV-Key Info'!$H$86*(('HIV-Key Info'!$E$86*'HPM costs'!M465)+('HIV-Key Info'!$F$86*('HPM costs'!M468+'HPM costs'!M471)))</f>
        <v>0</v>
      </c>
      <c r="AH416" s="695"/>
      <c r="AI416" s="695">
        <f>'HIV-Key Info'!$H$86*(('HIV-Key Info'!$E$86*'HPM costs'!N465)+('HIV-Key Info'!$F$86*('HPM costs'!N468+'HPM costs'!N471)))</f>
        <v>0</v>
      </c>
      <c r="AJ416" s="695"/>
      <c r="AK416" s="1492">
        <f t="shared" si="43"/>
        <v>0</v>
      </c>
      <c r="AL416" s="1493"/>
      <c r="AM416" s="1494"/>
      <c r="AN416" s="699"/>
      <c r="AO416" s="695"/>
      <c r="AP416" s="695">
        <f>'HIV-Key Info'!$H$86*(('HIV-Key Info'!$E$86*'HPM costs'!P465)+('HIV-Key Info'!$F$86*('HPM costs'!P468+'HPM costs'!P471)))</f>
        <v>0</v>
      </c>
      <c r="AQ416" s="695"/>
      <c r="AR416" s="695">
        <f>'HIV-Key Info'!$H$86*(('HIV-Key Info'!$E$86*'HPM costs'!Q465)+('HIV-Key Info'!$F$86*('HPM costs'!Q468+'HPM costs'!Q471)))</f>
        <v>0</v>
      </c>
      <c r="AS416" s="695"/>
      <c r="AT416" s="695">
        <f>'HIV-Key Info'!$H$86*(('HIV-Key Info'!$E$86*'HPM costs'!R465)+('HIV-Key Info'!$F$86*('HPM costs'!R468+'HPM costs'!R471)))</f>
        <v>0</v>
      </c>
      <c r="AU416" s="695"/>
      <c r="AV416" s="695">
        <f>'HIV-Key Info'!$H$86*(('HIV-Key Info'!$E$86*'HPM costs'!S465)+('HIV-Key Info'!$F$86*('HPM costs'!S468+'HPM costs'!S471)))</f>
        <v>0</v>
      </c>
      <c r="AW416" s="695"/>
      <c r="AX416" s="1492">
        <f t="shared" si="44"/>
        <v>0</v>
      </c>
      <c r="AY416" s="1492"/>
      <c r="AZ416" s="698"/>
      <c r="BA416" s="699"/>
      <c r="BB416" s="697"/>
      <c r="BC416" s="697">
        <v>0</v>
      </c>
      <c r="BD416" s="697">
        <v>0</v>
      </c>
      <c r="BE416" s="697">
        <v>0</v>
      </c>
      <c r="BF416" s="697">
        <v>0</v>
      </c>
      <c r="BG416" s="697">
        <v>0</v>
      </c>
      <c r="BH416" s="697">
        <v>0</v>
      </c>
      <c r="BI416" s="697">
        <v>0</v>
      </c>
      <c r="BJ416" s="697">
        <v>0</v>
      </c>
      <c r="BK416" s="1492">
        <f t="shared" si="45"/>
        <v>0</v>
      </c>
      <c r="BL416" s="1492"/>
      <c r="BM416" s="1492">
        <f t="shared" si="46"/>
        <v>0</v>
      </c>
      <c r="BN416" s="1492">
        <f t="shared" si="47"/>
        <v>0</v>
      </c>
      <c r="BO416" s="697"/>
      <c r="BP416" s="697"/>
      <c r="BQ416" s="1495" t="s">
        <v>6937</v>
      </c>
      <c r="BR416" s="1495" t="s">
        <v>818</v>
      </c>
      <c r="BS416" s="1902" t="s">
        <v>655</v>
      </c>
      <c r="BT416" s="1907" t="s">
        <v>2135</v>
      </c>
    </row>
    <row r="417" spans="1:72" ht="13">
      <c r="A417" s="1545">
        <v>973</v>
      </c>
      <c r="B417" s="1546" t="s">
        <v>800</v>
      </c>
      <c r="C417" s="1546" t="s">
        <v>802</v>
      </c>
      <c r="D417" s="1547" t="s">
        <v>6880</v>
      </c>
      <c r="E417" s="690" t="s">
        <v>664</v>
      </c>
      <c r="F417" s="691"/>
      <c r="G417" s="692"/>
      <c r="H417" s="692"/>
      <c r="I417" s="692"/>
      <c r="J417" s="693"/>
      <c r="K417" s="693"/>
      <c r="L417" s="693"/>
      <c r="M417" s="694"/>
      <c r="N417" s="695"/>
      <c r="O417" s="696" t="s">
        <v>1569</v>
      </c>
      <c r="P417" s="695">
        <f>'HIV-Key Info'!$H$86*(('HIV-Key Info'!$E$86*('HPM costs'!F205+'HPM costs'!F551))+('HIV-Key Info'!$F$86*('HPM costs'!F208+'HPM costs'!F211+'HPM costs'!F554+'HPM costs'!F557)))</f>
        <v>0</v>
      </c>
      <c r="Q417" s="695" t="s">
        <v>1569</v>
      </c>
      <c r="R417" s="695">
        <f>'HIV-Key Info'!$H$86*(('HIV-Key Info'!$E$86*('HPM costs'!G205+'HPM costs'!G551))+('HIV-Key Info'!$F$86*('HPM costs'!G208+'HPM costs'!G211+'HPM costs'!G554+'HPM costs'!G557)))</f>
        <v>0</v>
      </c>
      <c r="S417" s="695" t="s">
        <v>1569</v>
      </c>
      <c r="T417" s="695">
        <f>'HIV-Key Info'!$H$86*(('HIV-Key Info'!$E$86*('HPM costs'!H205+'HPM costs'!H551))+('HIV-Key Info'!$F$86*('HPM costs'!H208+'HPM costs'!H211+'HPM costs'!H554+'HPM costs'!H557)))</f>
        <v>0</v>
      </c>
      <c r="U417" s="695" t="s">
        <v>1569</v>
      </c>
      <c r="V417" s="695">
        <f>'HIV-Key Info'!$H$86*(('HIV-Key Info'!$E$86*('HPM costs'!I205+'HPM costs'!I551))+('HIV-Key Info'!$F$86*('HPM costs'!I208+'HPM costs'!I211+'HPM costs'!I554+'HPM costs'!I557)))</f>
        <v>0</v>
      </c>
      <c r="W417" s="695"/>
      <c r="X417" s="1492">
        <f t="shared" si="42"/>
        <v>0</v>
      </c>
      <c r="Y417" s="1493"/>
      <c r="Z417" s="1494"/>
      <c r="AA417" s="699"/>
      <c r="AB417" s="695"/>
      <c r="AC417" s="695">
        <f>'HIV-Key Info'!$H$86*(('HIV-Key Info'!$E$86*('HPM costs'!K205+'HPM costs'!K551))+('HIV-Key Info'!$F$86*('HPM costs'!K208+'HPM costs'!K211+'HPM costs'!K554+'HPM costs'!K557)))</f>
        <v>0</v>
      </c>
      <c r="AD417" s="695"/>
      <c r="AE417" s="695">
        <f>'HIV-Key Info'!$H$86*(('HIV-Key Info'!$E$86*('HPM costs'!L205+'HPM costs'!L551))+('HIV-Key Info'!$F$86*('HPM costs'!L208+'HPM costs'!L211+'HPM costs'!L554+'HPM costs'!L557)))</f>
        <v>0</v>
      </c>
      <c r="AF417" s="695"/>
      <c r="AG417" s="695">
        <f>'HIV-Key Info'!$H$86*(('HIV-Key Info'!$E$86*('HPM costs'!M205+'HPM costs'!M551))+('HIV-Key Info'!$F$86*('HPM costs'!M208+'HPM costs'!M211+'HPM costs'!M554+'HPM costs'!M557)))</f>
        <v>0</v>
      </c>
      <c r="AH417" s="695"/>
      <c r="AI417" s="695">
        <f>'HIV-Key Info'!$H$86*(('HIV-Key Info'!$E$86*('HPM costs'!N205+'HPM costs'!N551))+('HIV-Key Info'!$F$86*('HPM costs'!N208+'HPM costs'!N211+'HPM costs'!N554+'HPM costs'!N557)))</f>
        <v>0</v>
      </c>
      <c r="AJ417" s="695"/>
      <c r="AK417" s="1492">
        <f t="shared" si="43"/>
        <v>0</v>
      </c>
      <c r="AL417" s="1493"/>
      <c r="AM417" s="1494"/>
      <c r="AN417" s="699"/>
      <c r="AO417" s="695"/>
      <c r="AP417" s="695">
        <f>'HIV-Key Info'!$H$86*(('HIV-Key Info'!$E$86*('HPM costs'!P205+'HPM costs'!P551))+('HIV-Key Info'!$F$86*('HPM costs'!P208+'HPM costs'!P211+'HPM costs'!P554+'HPM costs'!P557)))</f>
        <v>0</v>
      </c>
      <c r="AQ417" s="695"/>
      <c r="AR417" s="695">
        <f>'HIV-Key Info'!$H$86*(('HIV-Key Info'!$E$86*('HPM costs'!Q205+'HPM costs'!Q551))+('HIV-Key Info'!$F$86*('HPM costs'!Q208+'HPM costs'!Q211+'HPM costs'!Q554+'HPM costs'!Q557)))</f>
        <v>0</v>
      </c>
      <c r="AS417" s="695"/>
      <c r="AT417" s="695">
        <f>'HIV-Key Info'!$H$86*(('HIV-Key Info'!$E$86*('HPM costs'!R205+'HPM costs'!R551))+('HIV-Key Info'!$F$86*('HPM costs'!R208+'HPM costs'!R211+'HPM costs'!R554+'HPM costs'!R557)))</f>
        <v>0</v>
      </c>
      <c r="AU417" s="695"/>
      <c r="AV417" s="695">
        <f>'HIV-Key Info'!$H$86*(('HIV-Key Info'!$E$86*('HPM costs'!S205+'HPM costs'!S551))+('HIV-Key Info'!$F$86*('HPM costs'!S208+'HPM costs'!S211+'HPM costs'!S554+'HPM costs'!S557)))</f>
        <v>0</v>
      </c>
      <c r="AW417" s="695"/>
      <c r="AX417" s="1492">
        <f t="shared" si="44"/>
        <v>0</v>
      </c>
      <c r="AY417" s="1492"/>
      <c r="AZ417" s="698"/>
      <c r="BA417" s="699"/>
      <c r="BB417" s="697"/>
      <c r="BC417" s="697">
        <v>0</v>
      </c>
      <c r="BD417" s="697">
        <v>0</v>
      </c>
      <c r="BE417" s="697">
        <v>0</v>
      </c>
      <c r="BF417" s="697">
        <v>0</v>
      </c>
      <c r="BG417" s="697">
        <v>0</v>
      </c>
      <c r="BH417" s="697">
        <v>0</v>
      </c>
      <c r="BI417" s="697">
        <v>0</v>
      </c>
      <c r="BJ417" s="697">
        <v>0</v>
      </c>
      <c r="BK417" s="1492">
        <f t="shared" si="45"/>
        <v>0</v>
      </c>
      <c r="BL417" s="1492"/>
      <c r="BM417" s="1492">
        <f t="shared" si="46"/>
        <v>0</v>
      </c>
      <c r="BN417" s="1492">
        <f t="shared" si="47"/>
        <v>0</v>
      </c>
      <c r="BO417" s="697"/>
      <c r="BP417" s="697"/>
      <c r="BQ417" s="1495" t="s">
        <v>6937</v>
      </c>
      <c r="BR417" s="1495" t="s">
        <v>818</v>
      </c>
      <c r="BS417" s="1902" t="s">
        <v>655</v>
      </c>
      <c r="BT417" s="1907" t="s">
        <v>2136</v>
      </c>
    </row>
    <row r="418" spans="1:72" ht="13">
      <c r="A418" s="1545">
        <v>974</v>
      </c>
      <c r="B418" s="1546" t="s">
        <v>800</v>
      </c>
      <c r="C418" s="1546" t="s">
        <v>802</v>
      </c>
      <c r="D418" s="1547" t="s">
        <v>6880</v>
      </c>
      <c r="E418" s="690" t="s">
        <v>666</v>
      </c>
      <c r="F418" s="691"/>
      <c r="G418" s="692"/>
      <c r="H418" s="692"/>
      <c r="I418" s="692"/>
      <c r="J418" s="693"/>
      <c r="K418" s="693"/>
      <c r="L418" s="693"/>
      <c r="M418" s="694"/>
      <c r="N418" s="695"/>
      <c r="O418" s="696" t="s">
        <v>1569</v>
      </c>
      <c r="P418" s="695">
        <f>'HIV-Key Info'!$H$86*(('HIV-Key Info'!$E$86*'HPM costs'!F291)+('HIV-Key Info'!$F$86*('HPM costs'!F294+'HPM costs'!F297)))</f>
        <v>0</v>
      </c>
      <c r="Q418" s="695" t="s">
        <v>1569</v>
      </c>
      <c r="R418" s="695">
        <f>'HIV-Key Info'!$H$86*(('HIV-Key Info'!$E$86*'HPM costs'!G291)+('HIV-Key Info'!$F$86*('HPM costs'!G294+'HPM costs'!G297)))</f>
        <v>0</v>
      </c>
      <c r="S418" s="695" t="s">
        <v>1569</v>
      </c>
      <c r="T418" s="695">
        <f>'HIV-Key Info'!$H$86*(('HIV-Key Info'!$E$86*'HPM costs'!H291)+('HIV-Key Info'!$F$86*('HPM costs'!H294+'HPM costs'!H297)))</f>
        <v>0</v>
      </c>
      <c r="U418" s="695" t="s">
        <v>1569</v>
      </c>
      <c r="V418" s="695">
        <f>'HIV-Key Info'!$H$86*(('HIV-Key Info'!$E$86*'HPM costs'!I291)+('HIV-Key Info'!$F$86*('HPM costs'!I294+'HPM costs'!I297)))</f>
        <v>0</v>
      </c>
      <c r="W418" s="695"/>
      <c r="X418" s="1492">
        <f t="shared" si="42"/>
        <v>0</v>
      </c>
      <c r="Y418" s="1493"/>
      <c r="Z418" s="1494"/>
      <c r="AA418" s="699"/>
      <c r="AB418" s="695"/>
      <c r="AC418" s="695">
        <f>'HIV-Key Info'!$H$86*(('HIV-Key Info'!$E$86*'HPM costs'!K291)+('HIV-Key Info'!$F$86*('HPM costs'!K294+'HPM costs'!K297)))</f>
        <v>0</v>
      </c>
      <c r="AD418" s="695"/>
      <c r="AE418" s="695">
        <f>'HIV-Key Info'!$H$86*(('HIV-Key Info'!$E$86*'HPM costs'!L291)+('HIV-Key Info'!$F$86*('HPM costs'!L294+'HPM costs'!L297)))</f>
        <v>0</v>
      </c>
      <c r="AF418" s="695"/>
      <c r="AG418" s="695">
        <f>'HIV-Key Info'!$H$86*(('HIV-Key Info'!$E$86*'HPM costs'!M291)+('HIV-Key Info'!$F$86*('HPM costs'!M294+'HPM costs'!M297)))</f>
        <v>0</v>
      </c>
      <c r="AH418" s="695"/>
      <c r="AI418" s="695">
        <f>'HIV-Key Info'!$H$86*(('HIV-Key Info'!$E$86*'HPM costs'!N291)+('HIV-Key Info'!$F$86*('HPM costs'!N294+'HPM costs'!N297)))</f>
        <v>0</v>
      </c>
      <c r="AJ418" s="695"/>
      <c r="AK418" s="1492">
        <f t="shared" si="43"/>
        <v>0</v>
      </c>
      <c r="AL418" s="1493"/>
      <c r="AM418" s="1494"/>
      <c r="AN418" s="699"/>
      <c r="AO418" s="695"/>
      <c r="AP418" s="695">
        <f>'HIV-Key Info'!$H$86*(('HIV-Key Info'!$E$86*'HPM costs'!P291)+('HIV-Key Info'!$F$86*('HPM costs'!P294+'HPM costs'!P297)))</f>
        <v>0</v>
      </c>
      <c r="AQ418" s="695"/>
      <c r="AR418" s="695">
        <f>'HIV-Key Info'!$H$86*(('HIV-Key Info'!$E$86*'HPM costs'!Q291)+('HIV-Key Info'!$F$86*('HPM costs'!Q294+'HPM costs'!Q297)))</f>
        <v>0</v>
      </c>
      <c r="AS418" s="695"/>
      <c r="AT418" s="695">
        <f>'HIV-Key Info'!$H$86*(('HIV-Key Info'!$E$86*'HPM costs'!R291)+('HIV-Key Info'!$F$86*('HPM costs'!R294+'HPM costs'!R297)))</f>
        <v>0</v>
      </c>
      <c r="AU418" s="695"/>
      <c r="AV418" s="695">
        <f>'HIV-Key Info'!$H$86*(('HIV-Key Info'!$E$86*'HPM costs'!S291)+('HIV-Key Info'!$F$86*('HPM costs'!S294+'HPM costs'!S297)))</f>
        <v>0</v>
      </c>
      <c r="AW418" s="695"/>
      <c r="AX418" s="1492">
        <f t="shared" si="44"/>
        <v>0</v>
      </c>
      <c r="AY418" s="1492"/>
      <c r="AZ418" s="698"/>
      <c r="BA418" s="699"/>
      <c r="BB418" s="697"/>
      <c r="BC418" s="697">
        <v>0</v>
      </c>
      <c r="BD418" s="697">
        <v>0</v>
      </c>
      <c r="BE418" s="697">
        <v>0</v>
      </c>
      <c r="BF418" s="697">
        <v>0</v>
      </c>
      <c r="BG418" s="697">
        <v>0</v>
      </c>
      <c r="BH418" s="697">
        <v>0</v>
      </c>
      <c r="BI418" s="697">
        <v>0</v>
      </c>
      <c r="BJ418" s="697">
        <v>0</v>
      </c>
      <c r="BK418" s="1492">
        <f t="shared" si="45"/>
        <v>0</v>
      </c>
      <c r="BL418" s="1492"/>
      <c r="BM418" s="1492">
        <f t="shared" si="46"/>
        <v>0</v>
      </c>
      <c r="BN418" s="1492">
        <f t="shared" si="47"/>
        <v>0</v>
      </c>
      <c r="BO418" s="697"/>
      <c r="BP418" s="697"/>
      <c r="BQ418" s="1495" t="s">
        <v>6937</v>
      </c>
      <c r="BR418" s="1495" t="s">
        <v>818</v>
      </c>
      <c r="BS418" s="1902" t="s">
        <v>655</v>
      </c>
      <c r="BT418" s="1907" t="s">
        <v>2137</v>
      </c>
    </row>
    <row r="419" spans="1:72" ht="13">
      <c r="A419" s="1545">
        <v>975</v>
      </c>
      <c r="B419" s="1546" t="s">
        <v>800</v>
      </c>
      <c r="C419" s="1546" t="s">
        <v>802</v>
      </c>
      <c r="D419" s="1547" t="s">
        <v>6880</v>
      </c>
      <c r="E419" s="690" t="s">
        <v>668</v>
      </c>
      <c r="F419" s="691"/>
      <c r="G419" s="692"/>
      <c r="H419" s="692"/>
      <c r="I419" s="692"/>
      <c r="J419" s="693"/>
      <c r="K419" s="693"/>
      <c r="L419" s="693"/>
      <c r="M419" s="694"/>
      <c r="N419" s="695"/>
      <c r="O419" s="696" t="s">
        <v>1569</v>
      </c>
      <c r="P419" s="695">
        <f>'HIV-Key Info'!$H$86*(('HIV-Key Info'!$E$86*'HPM costs'!F636)+('HIV-Key Info'!$F$86*('HPM costs'!F639+'HPM costs'!F642)))</f>
        <v>0</v>
      </c>
      <c r="Q419" s="695" t="s">
        <v>1569</v>
      </c>
      <c r="R419" s="695">
        <f>'HIV-Key Info'!$H$86*(('HIV-Key Info'!$E$86*'HPM costs'!G636)+('HIV-Key Info'!$F$86*('HPM costs'!G639+'HPM costs'!G642)))</f>
        <v>0</v>
      </c>
      <c r="S419" s="695" t="s">
        <v>1569</v>
      </c>
      <c r="T419" s="695">
        <f>'HIV-Key Info'!$H$86*(('HIV-Key Info'!$E$86*'HPM costs'!H636)+('HIV-Key Info'!$F$86*('HPM costs'!H639+'HPM costs'!H642)))</f>
        <v>0</v>
      </c>
      <c r="U419" s="695" t="s">
        <v>1569</v>
      </c>
      <c r="V419" s="695">
        <f>'HIV-Key Info'!$H$86*(('HIV-Key Info'!$E$86*'HPM costs'!I636)+('HIV-Key Info'!$F$86*('HPM costs'!I639+'HPM costs'!I642)))</f>
        <v>0</v>
      </c>
      <c r="W419" s="695"/>
      <c r="X419" s="1492">
        <f t="shared" si="42"/>
        <v>0</v>
      </c>
      <c r="Y419" s="1493"/>
      <c r="Z419" s="1494"/>
      <c r="AA419" s="699"/>
      <c r="AB419" s="695"/>
      <c r="AC419" s="695">
        <f>'HIV-Key Info'!$H$86*(('HIV-Key Info'!$E$86*'HPM costs'!K636)+('HIV-Key Info'!$F$86*('HPM costs'!K639+'HPM costs'!K642)))</f>
        <v>0</v>
      </c>
      <c r="AD419" s="695"/>
      <c r="AE419" s="695">
        <f>'HIV-Key Info'!$H$86*(('HIV-Key Info'!$E$86*'HPM costs'!L636)+('HIV-Key Info'!$F$86*('HPM costs'!L639+'HPM costs'!L642)))</f>
        <v>0</v>
      </c>
      <c r="AF419" s="695"/>
      <c r="AG419" s="695">
        <f>'HIV-Key Info'!$H$86*(('HIV-Key Info'!$E$86*'HPM costs'!M636)+('HIV-Key Info'!$F$86*('HPM costs'!M639+'HPM costs'!M642)))</f>
        <v>0</v>
      </c>
      <c r="AH419" s="695"/>
      <c r="AI419" s="695">
        <f>'HIV-Key Info'!$H$86*(('HIV-Key Info'!$E$86*'HPM costs'!N636)+('HIV-Key Info'!$F$86*('HPM costs'!N639+'HPM costs'!N642)))</f>
        <v>0</v>
      </c>
      <c r="AJ419" s="695"/>
      <c r="AK419" s="1492">
        <f t="shared" si="43"/>
        <v>0</v>
      </c>
      <c r="AL419" s="1493"/>
      <c r="AM419" s="1494"/>
      <c r="AN419" s="699"/>
      <c r="AO419" s="695"/>
      <c r="AP419" s="695">
        <f>'HIV-Key Info'!$H$86*(('HIV-Key Info'!$E$86*'HPM costs'!P636)+('HIV-Key Info'!$F$86*('HPM costs'!P639+'HPM costs'!P642)))</f>
        <v>0</v>
      </c>
      <c r="AQ419" s="695"/>
      <c r="AR419" s="695">
        <f>'HIV-Key Info'!$H$86*(('HIV-Key Info'!$E$86*'HPM costs'!Q636)+('HIV-Key Info'!$F$86*('HPM costs'!Q639+'HPM costs'!Q642)))</f>
        <v>0</v>
      </c>
      <c r="AS419" s="695"/>
      <c r="AT419" s="695">
        <f>'HIV-Key Info'!$H$86*(('HIV-Key Info'!$E$86*'HPM costs'!R636)+('HIV-Key Info'!$F$86*('HPM costs'!R639+'HPM costs'!R642)))</f>
        <v>0</v>
      </c>
      <c r="AU419" s="695"/>
      <c r="AV419" s="695">
        <f>'HIV-Key Info'!$H$86*(('HIV-Key Info'!$E$86*'HPM costs'!S636)+('HIV-Key Info'!$F$86*('HPM costs'!S639+'HPM costs'!S642)))</f>
        <v>0</v>
      </c>
      <c r="AW419" s="695"/>
      <c r="AX419" s="1492">
        <f t="shared" si="44"/>
        <v>0</v>
      </c>
      <c r="AY419" s="1492"/>
      <c r="AZ419" s="698"/>
      <c r="BA419" s="699"/>
      <c r="BB419" s="697"/>
      <c r="BC419" s="697">
        <v>0</v>
      </c>
      <c r="BD419" s="697">
        <v>0</v>
      </c>
      <c r="BE419" s="697">
        <v>0</v>
      </c>
      <c r="BF419" s="697">
        <v>0</v>
      </c>
      <c r="BG419" s="697">
        <v>0</v>
      </c>
      <c r="BH419" s="697">
        <v>0</v>
      </c>
      <c r="BI419" s="697">
        <v>0</v>
      </c>
      <c r="BJ419" s="697">
        <v>0</v>
      </c>
      <c r="BK419" s="1492">
        <f t="shared" si="45"/>
        <v>0</v>
      </c>
      <c r="BL419" s="1492"/>
      <c r="BM419" s="1492">
        <f t="shared" si="46"/>
        <v>0</v>
      </c>
      <c r="BN419" s="1492">
        <f t="shared" si="47"/>
        <v>0</v>
      </c>
      <c r="BO419" s="697"/>
      <c r="BP419" s="697"/>
      <c r="BQ419" s="1495" t="s">
        <v>6937</v>
      </c>
      <c r="BR419" s="1495" t="s">
        <v>818</v>
      </c>
      <c r="BS419" s="1902" t="s">
        <v>655</v>
      </c>
      <c r="BT419" s="1907" t="s">
        <v>2138</v>
      </c>
    </row>
    <row r="420" spans="1:72" ht="13">
      <c r="A420" s="1545">
        <v>976</v>
      </c>
      <c r="B420" s="1546" t="s">
        <v>800</v>
      </c>
      <c r="C420" s="1546" t="s">
        <v>803</v>
      </c>
      <c r="D420" s="1547" t="s">
        <v>6959</v>
      </c>
      <c r="E420" s="690" t="s">
        <v>731</v>
      </c>
      <c r="F420" s="691"/>
      <c r="G420" s="692"/>
      <c r="H420" s="692"/>
      <c r="I420" s="692"/>
      <c r="J420" s="693"/>
      <c r="K420" s="693"/>
      <c r="L420" s="693"/>
      <c r="M420" s="694"/>
      <c r="N420" s="695"/>
      <c r="O420" s="696" t="s">
        <v>1569</v>
      </c>
      <c r="P420" s="695">
        <f>'HIV-Key Info'!$I$86*('HIV-Key Info'!$E$86*('HPM costs'!F551/'HPM costs'!$E$551)+'HIV-Key Info'!$F$86*('HPM costs'!F557/'HPM costs'!$E$557+'HPM costs'!F554/'HPM costs'!$E$554))</f>
        <v>0</v>
      </c>
      <c r="Q420" s="695" t="s">
        <v>1569</v>
      </c>
      <c r="R420" s="695">
        <f>'HIV-Key Info'!$I$86*('HIV-Key Info'!$E$86*('HPM costs'!G551/'HPM costs'!$E$551)+'HIV-Key Info'!$F$86*('HPM costs'!G557/'HPM costs'!$E$557+'HPM costs'!G554/'HPM costs'!$E$554))</f>
        <v>0</v>
      </c>
      <c r="S420" s="695" t="s">
        <v>1569</v>
      </c>
      <c r="T420" s="695">
        <f>'HIV-Key Info'!$I$86*('HIV-Key Info'!$E$86*('HPM costs'!H551/'HPM costs'!$E$551)+'HIV-Key Info'!$F$86*('HPM costs'!H557/'HPM costs'!$E$557+'HPM costs'!H554/'HPM costs'!$E$554))</f>
        <v>0</v>
      </c>
      <c r="U420" s="695" t="s">
        <v>1569</v>
      </c>
      <c r="V420" s="695">
        <f>'HIV-Key Info'!$I$86*('HIV-Key Info'!$E$86*('HPM costs'!I551/'HPM costs'!$E$551)+'HIV-Key Info'!$F$86*('HPM costs'!I557/'HPM costs'!$E$557+'HPM costs'!I554/'HPM costs'!$E$554))</f>
        <v>0</v>
      </c>
      <c r="W420" s="695"/>
      <c r="X420" s="1492">
        <f t="shared" si="42"/>
        <v>0</v>
      </c>
      <c r="Y420" s="1493"/>
      <c r="Z420" s="1494"/>
      <c r="AA420" s="699"/>
      <c r="AB420" s="695"/>
      <c r="AC420" s="695">
        <f>'HIV-Key Info'!$I$86*('HIV-Key Info'!$E$86*('HPM costs'!K551/'HPM costs'!$E$551)+'HIV-Key Info'!$F$86*('HPM costs'!K557/'HPM costs'!$E$557+'HPM costs'!K554/'HPM costs'!$E$554))</f>
        <v>0</v>
      </c>
      <c r="AD420" s="695"/>
      <c r="AE420" s="695">
        <f>'HIV-Key Info'!$I$86*('HIV-Key Info'!$E$86*('HPM costs'!L551/'HPM costs'!$E$551)+'HIV-Key Info'!$F$86*('HPM costs'!L557/'HPM costs'!$E$557+'HPM costs'!L554/'HPM costs'!$E$554))</f>
        <v>0</v>
      </c>
      <c r="AF420" s="695"/>
      <c r="AG420" s="695">
        <f>'HIV-Key Info'!$I$86*('HIV-Key Info'!$E$86*('HPM costs'!M551/'HPM costs'!$E$551)+'HIV-Key Info'!$F$86*('HPM costs'!M557/'HPM costs'!$E$557+'HPM costs'!M554/'HPM costs'!$E$554))</f>
        <v>0</v>
      </c>
      <c r="AH420" s="695"/>
      <c r="AI420" s="695">
        <f>'HIV-Key Info'!$I$86*('HIV-Key Info'!$E$86*('HPM costs'!N551/'HPM costs'!$E$551)+'HIV-Key Info'!$F$86*('HPM costs'!N557/'HPM costs'!$E$557+'HPM costs'!N554/'HPM costs'!$E$554))</f>
        <v>0</v>
      </c>
      <c r="AJ420" s="695"/>
      <c r="AK420" s="1492">
        <f t="shared" si="43"/>
        <v>0</v>
      </c>
      <c r="AL420" s="1493"/>
      <c r="AM420" s="1494"/>
      <c r="AN420" s="699"/>
      <c r="AO420" s="695"/>
      <c r="AP420" s="695">
        <f>'HIV-Key Info'!$I$86*('HIV-Key Info'!$E$86*('HPM costs'!P551/'HPM costs'!$E$551)+'HIV-Key Info'!$F$86*('HPM costs'!P557/'HPM costs'!$E$557+'HPM costs'!P554/'HPM costs'!$E$554))</f>
        <v>0</v>
      </c>
      <c r="AQ420" s="695"/>
      <c r="AR420" s="695">
        <f>'HIV-Key Info'!$I$86*('HIV-Key Info'!$E$86*('HPM costs'!Q551/'HPM costs'!$E$551)+'HIV-Key Info'!$F$86*('HPM costs'!Q557/'HPM costs'!$E$557+'HPM costs'!Q554/'HPM costs'!$E$554))</f>
        <v>0</v>
      </c>
      <c r="AS420" s="695"/>
      <c r="AT420" s="695">
        <f>'HIV-Key Info'!$I$86*('HIV-Key Info'!$E$86*('HPM costs'!R551/'HPM costs'!$E$551)+'HIV-Key Info'!$F$86*('HPM costs'!R557/'HPM costs'!$E$557+'HPM costs'!R554/'HPM costs'!$E$554))</f>
        <v>0</v>
      </c>
      <c r="AU420" s="695"/>
      <c r="AV420" s="695">
        <f>'HIV-Key Info'!$I$86*('HIV-Key Info'!$E$86*('HPM costs'!S551/'HPM costs'!$E$551)+'HIV-Key Info'!$F$86*('HPM costs'!S557/'HPM costs'!$E$557+'HPM costs'!S554/'HPM costs'!$E$554))</f>
        <v>0</v>
      </c>
      <c r="AW420" s="695"/>
      <c r="AX420" s="1492">
        <f t="shared" si="44"/>
        <v>0</v>
      </c>
      <c r="AY420" s="1492"/>
      <c r="AZ420" s="698"/>
      <c r="BA420" s="699"/>
      <c r="BB420" s="697"/>
      <c r="BC420" s="697">
        <v>0</v>
      </c>
      <c r="BD420" s="697">
        <v>0</v>
      </c>
      <c r="BE420" s="697">
        <v>0</v>
      </c>
      <c r="BF420" s="697">
        <v>0</v>
      </c>
      <c r="BG420" s="697">
        <v>0</v>
      </c>
      <c r="BH420" s="697">
        <v>0</v>
      </c>
      <c r="BI420" s="697">
        <v>0</v>
      </c>
      <c r="BJ420" s="697">
        <v>0</v>
      </c>
      <c r="BK420" s="1492">
        <f t="shared" si="45"/>
        <v>0</v>
      </c>
      <c r="BL420" s="1492"/>
      <c r="BM420" s="1492">
        <f t="shared" si="46"/>
        <v>0</v>
      </c>
      <c r="BN420" s="1492">
        <f t="shared" si="47"/>
        <v>0</v>
      </c>
      <c r="BO420" s="697"/>
      <c r="BP420" s="697"/>
      <c r="BQ420" s="1495" t="s">
        <v>6937</v>
      </c>
      <c r="BR420" s="1495" t="s">
        <v>818</v>
      </c>
      <c r="BS420" s="1902" t="s">
        <v>6953</v>
      </c>
      <c r="BT420" s="1907" t="s">
        <v>2139</v>
      </c>
    </row>
    <row r="421" spans="1:72" ht="13">
      <c r="A421" s="1545">
        <v>977</v>
      </c>
      <c r="B421" s="1546" t="s">
        <v>800</v>
      </c>
      <c r="C421" s="1546" t="s">
        <v>803</v>
      </c>
      <c r="D421" s="1547" t="s">
        <v>6880</v>
      </c>
      <c r="E421" s="690" t="s">
        <v>656</v>
      </c>
      <c r="F421" s="691"/>
      <c r="G421" s="692"/>
      <c r="H421" s="692"/>
      <c r="I421" s="692"/>
      <c r="J421" s="693"/>
      <c r="K421" s="693"/>
      <c r="L421" s="693"/>
      <c r="M421" s="694"/>
      <c r="N421" s="695"/>
      <c r="O421" s="696" t="s">
        <v>1569</v>
      </c>
      <c r="P421" s="695">
        <f>'HIV-Key Info'!$I$86*(('HIV-Key Info'!$E$86*'HPM costs'!F33)+('HIV-Key Info'!$F$86*('HPM costs'!F36+'HPM costs'!F39)))</f>
        <v>0</v>
      </c>
      <c r="Q421" s="695" t="s">
        <v>1569</v>
      </c>
      <c r="R421" s="695">
        <f>'HIV-Key Info'!$I$86*(('HIV-Key Info'!$E$86*'HPM costs'!G33)+('HIV-Key Info'!$F$86*('HPM costs'!G36+'HPM costs'!G39)))</f>
        <v>0</v>
      </c>
      <c r="S421" s="695" t="s">
        <v>1569</v>
      </c>
      <c r="T421" s="695">
        <f>'HIV-Key Info'!$I$86*(('HIV-Key Info'!$E$86*'HPM costs'!H33)+('HIV-Key Info'!$F$86*('HPM costs'!H36+'HPM costs'!H39)))</f>
        <v>0</v>
      </c>
      <c r="U421" s="695" t="s">
        <v>1569</v>
      </c>
      <c r="V421" s="695">
        <f>'HIV-Key Info'!$I$86*(('HIV-Key Info'!$E$86*'HPM costs'!I33)+('HIV-Key Info'!$F$86*('HPM costs'!I36+'HPM costs'!I39)))</f>
        <v>0</v>
      </c>
      <c r="W421" s="695"/>
      <c r="X421" s="1492">
        <f t="shared" si="42"/>
        <v>0</v>
      </c>
      <c r="Y421" s="1493"/>
      <c r="Z421" s="1494"/>
      <c r="AA421" s="699"/>
      <c r="AB421" s="695"/>
      <c r="AC421" s="695">
        <f>'HIV-Key Info'!$I$86*(('HIV-Key Info'!$E$86*'HPM costs'!K33)+('HIV-Key Info'!$F$86*('HPM costs'!K36+'HPM costs'!K39)))</f>
        <v>0</v>
      </c>
      <c r="AD421" s="695"/>
      <c r="AE421" s="695">
        <f>'HIV-Key Info'!$I$86*(('HIV-Key Info'!$E$86*'HPM costs'!L33)+('HIV-Key Info'!$F$86*('HPM costs'!L36+'HPM costs'!L39)))</f>
        <v>0</v>
      </c>
      <c r="AF421" s="695"/>
      <c r="AG421" s="695">
        <f>'HIV-Key Info'!$I$86*(('HIV-Key Info'!$E$86*'HPM costs'!M33)+('HIV-Key Info'!$F$86*('HPM costs'!M36+'HPM costs'!M39)))</f>
        <v>0</v>
      </c>
      <c r="AH421" s="695"/>
      <c r="AI421" s="695">
        <f>'HIV-Key Info'!$I$86*(('HIV-Key Info'!$E$86*'HPM costs'!N33)+('HIV-Key Info'!$F$86*('HPM costs'!N36+'HPM costs'!N39)))</f>
        <v>0</v>
      </c>
      <c r="AJ421" s="695"/>
      <c r="AK421" s="1492">
        <f t="shared" si="43"/>
        <v>0</v>
      </c>
      <c r="AL421" s="1493"/>
      <c r="AM421" s="1494"/>
      <c r="AN421" s="699"/>
      <c r="AO421" s="695"/>
      <c r="AP421" s="695">
        <f>'HIV-Key Info'!$I$86*(('HIV-Key Info'!$E$86*'HPM costs'!P33)+('HIV-Key Info'!$F$86*('HPM costs'!P36+'HPM costs'!P39)))</f>
        <v>0</v>
      </c>
      <c r="AQ421" s="695"/>
      <c r="AR421" s="695">
        <f>'HIV-Key Info'!$I$86*(('HIV-Key Info'!$E$86*'HPM costs'!Q33)+('HIV-Key Info'!$F$86*('HPM costs'!Q36+'HPM costs'!Q39)))</f>
        <v>0</v>
      </c>
      <c r="AS421" s="695"/>
      <c r="AT421" s="695">
        <f>'HIV-Key Info'!$I$86*(('HIV-Key Info'!$E$86*'HPM costs'!R33)+('HIV-Key Info'!$F$86*('HPM costs'!R36+'HPM costs'!R39)))</f>
        <v>0</v>
      </c>
      <c r="AU421" s="695"/>
      <c r="AV421" s="695">
        <f>'HIV-Key Info'!$I$86*(('HIV-Key Info'!$E$86*'HPM costs'!S33)+('HIV-Key Info'!$F$86*('HPM costs'!S36+'HPM costs'!S39)))</f>
        <v>0</v>
      </c>
      <c r="AW421" s="695"/>
      <c r="AX421" s="1492">
        <f t="shared" si="44"/>
        <v>0</v>
      </c>
      <c r="AY421" s="1492"/>
      <c r="AZ421" s="698"/>
      <c r="BA421" s="699"/>
      <c r="BB421" s="697"/>
      <c r="BC421" s="697">
        <v>0</v>
      </c>
      <c r="BD421" s="697">
        <v>0</v>
      </c>
      <c r="BE421" s="697">
        <v>0</v>
      </c>
      <c r="BF421" s="697">
        <v>0</v>
      </c>
      <c r="BG421" s="697">
        <v>0</v>
      </c>
      <c r="BH421" s="697">
        <v>0</v>
      </c>
      <c r="BI421" s="697">
        <v>0</v>
      </c>
      <c r="BJ421" s="697">
        <v>0</v>
      </c>
      <c r="BK421" s="1492">
        <f t="shared" si="45"/>
        <v>0</v>
      </c>
      <c r="BL421" s="1492"/>
      <c r="BM421" s="1492">
        <f t="shared" si="46"/>
        <v>0</v>
      </c>
      <c r="BN421" s="1492">
        <f t="shared" si="47"/>
        <v>0</v>
      </c>
      <c r="BO421" s="697"/>
      <c r="BP421" s="697"/>
      <c r="BQ421" s="1495" t="s">
        <v>6937</v>
      </c>
      <c r="BR421" s="1495" t="s">
        <v>818</v>
      </c>
      <c r="BS421" s="1902" t="s">
        <v>655</v>
      </c>
      <c r="BT421" s="1907" t="s">
        <v>2140</v>
      </c>
    </row>
    <row r="422" spans="1:72" ht="13">
      <c r="A422" s="1545">
        <v>978</v>
      </c>
      <c r="B422" s="1546" t="s">
        <v>800</v>
      </c>
      <c r="C422" s="1546" t="s">
        <v>803</v>
      </c>
      <c r="D422" s="1547" t="s">
        <v>6880</v>
      </c>
      <c r="E422" s="690" t="s">
        <v>658</v>
      </c>
      <c r="F422" s="691"/>
      <c r="G422" s="692"/>
      <c r="H422" s="692"/>
      <c r="I422" s="692"/>
      <c r="J422" s="693"/>
      <c r="K422" s="693"/>
      <c r="L422" s="693"/>
      <c r="M422" s="694"/>
      <c r="N422" s="695"/>
      <c r="O422" s="696" t="s">
        <v>1569</v>
      </c>
      <c r="P422" s="695">
        <f>'HIV-Key Info'!$I$86*(('HIV-Key Info'!$E$86*'HPM costs'!F119)+('HIV-Key Info'!$F$86*('HPM costs'!F122+'HPM costs'!F125)))</f>
        <v>0</v>
      </c>
      <c r="Q422" s="695" t="s">
        <v>1569</v>
      </c>
      <c r="R422" s="695">
        <f>'HIV-Key Info'!$I$86*(('HIV-Key Info'!$E$86*'HPM costs'!G119)+('HIV-Key Info'!$F$86*('HPM costs'!G122+'HPM costs'!G125)))</f>
        <v>0</v>
      </c>
      <c r="S422" s="695" t="s">
        <v>1569</v>
      </c>
      <c r="T422" s="695">
        <f>'HIV-Key Info'!$I$86*(('HIV-Key Info'!$E$86*'HPM costs'!H119)+('HIV-Key Info'!$F$86*('HPM costs'!H122+'HPM costs'!H125)))</f>
        <v>0</v>
      </c>
      <c r="U422" s="695" t="s">
        <v>1569</v>
      </c>
      <c r="V422" s="695">
        <f>'HIV-Key Info'!$I$86*(('HIV-Key Info'!$E$86*'HPM costs'!I119)+('HIV-Key Info'!$F$86*('HPM costs'!I122+'HPM costs'!I125)))</f>
        <v>0</v>
      </c>
      <c r="W422" s="695"/>
      <c r="X422" s="1492">
        <f t="shared" si="42"/>
        <v>0</v>
      </c>
      <c r="Y422" s="1493"/>
      <c r="Z422" s="1494"/>
      <c r="AA422" s="699"/>
      <c r="AB422" s="695"/>
      <c r="AC422" s="695">
        <f>'HIV-Key Info'!$I$86*(('HIV-Key Info'!$E$86*'HPM costs'!K119)+('HIV-Key Info'!$F$86*('HPM costs'!K122+'HPM costs'!K125)))</f>
        <v>0</v>
      </c>
      <c r="AD422" s="695"/>
      <c r="AE422" s="695">
        <f>'HIV-Key Info'!$I$86*(('HIV-Key Info'!$E$86*'HPM costs'!L119)+('HIV-Key Info'!$F$86*('HPM costs'!L122+'HPM costs'!L125)))</f>
        <v>0</v>
      </c>
      <c r="AF422" s="695"/>
      <c r="AG422" s="695">
        <f>'HIV-Key Info'!$I$86*(('HIV-Key Info'!$E$86*'HPM costs'!M119)+('HIV-Key Info'!$F$86*('HPM costs'!M122+'HPM costs'!M125)))</f>
        <v>0</v>
      </c>
      <c r="AH422" s="695"/>
      <c r="AI422" s="695">
        <f>'HIV-Key Info'!$I$86*(('HIV-Key Info'!$E$86*'HPM costs'!N119)+('HIV-Key Info'!$F$86*('HPM costs'!N122+'HPM costs'!N125)))</f>
        <v>0</v>
      </c>
      <c r="AJ422" s="695"/>
      <c r="AK422" s="1492">
        <f t="shared" si="43"/>
        <v>0</v>
      </c>
      <c r="AL422" s="1493"/>
      <c r="AM422" s="1494"/>
      <c r="AN422" s="699"/>
      <c r="AO422" s="695"/>
      <c r="AP422" s="695">
        <f>'HIV-Key Info'!$I$86*(('HIV-Key Info'!$E$86*'HPM costs'!P119)+('HIV-Key Info'!$F$86*('HPM costs'!P122+'HPM costs'!P125)))</f>
        <v>0</v>
      </c>
      <c r="AQ422" s="695"/>
      <c r="AR422" s="695">
        <f>'HIV-Key Info'!$I$86*(('HIV-Key Info'!$E$86*'HPM costs'!Q119)+('HIV-Key Info'!$F$86*('HPM costs'!Q122+'HPM costs'!Q125)))</f>
        <v>0</v>
      </c>
      <c r="AS422" s="695"/>
      <c r="AT422" s="695">
        <f>'HIV-Key Info'!$I$86*(('HIV-Key Info'!$E$86*'HPM costs'!R119)+('HIV-Key Info'!$F$86*('HPM costs'!R122+'HPM costs'!R125)))</f>
        <v>0</v>
      </c>
      <c r="AU422" s="695"/>
      <c r="AV422" s="695">
        <f>'HIV-Key Info'!$I$86*(('HIV-Key Info'!$E$86*'HPM costs'!S119)+('HIV-Key Info'!$F$86*('HPM costs'!S122+'HPM costs'!S125)))</f>
        <v>0</v>
      </c>
      <c r="AW422" s="695"/>
      <c r="AX422" s="1492">
        <f t="shared" si="44"/>
        <v>0</v>
      </c>
      <c r="AY422" s="1492"/>
      <c r="AZ422" s="698"/>
      <c r="BA422" s="699"/>
      <c r="BB422" s="697"/>
      <c r="BC422" s="697">
        <v>0</v>
      </c>
      <c r="BD422" s="697">
        <v>0</v>
      </c>
      <c r="BE422" s="697">
        <v>0</v>
      </c>
      <c r="BF422" s="697">
        <v>0</v>
      </c>
      <c r="BG422" s="697">
        <v>0</v>
      </c>
      <c r="BH422" s="697">
        <v>0</v>
      </c>
      <c r="BI422" s="697">
        <v>0</v>
      </c>
      <c r="BJ422" s="697">
        <v>0</v>
      </c>
      <c r="BK422" s="1492">
        <f t="shared" si="45"/>
        <v>0</v>
      </c>
      <c r="BL422" s="1492"/>
      <c r="BM422" s="1492">
        <f t="shared" si="46"/>
        <v>0</v>
      </c>
      <c r="BN422" s="1492">
        <f t="shared" si="47"/>
        <v>0</v>
      </c>
      <c r="BO422" s="697"/>
      <c r="BP422" s="697"/>
      <c r="BQ422" s="1495" t="s">
        <v>6937</v>
      </c>
      <c r="BR422" s="1495" t="s">
        <v>818</v>
      </c>
      <c r="BS422" s="1902" t="s">
        <v>655</v>
      </c>
      <c r="BT422" s="1907" t="s">
        <v>2141</v>
      </c>
    </row>
    <row r="423" spans="1:72" ht="13">
      <c r="A423" s="1545">
        <v>979</v>
      </c>
      <c r="B423" s="1546" t="s">
        <v>800</v>
      </c>
      <c r="C423" s="1546" t="s">
        <v>803</v>
      </c>
      <c r="D423" s="1547" t="s">
        <v>6880</v>
      </c>
      <c r="E423" s="690" t="s">
        <v>660</v>
      </c>
      <c r="F423" s="691"/>
      <c r="G423" s="692"/>
      <c r="H423" s="692"/>
      <c r="I423" s="692"/>
      <c r="J423" s="693"/>
      <c r="K423" s="693"/>
      <c r="L423" s="693"/>
      <c r="M423" s="694"/>
      <c r="N423" s="695"/>
      <c r="O423" s="696" t="s">
        <v>1569</v>
      </c>
      <c r="P423" s="695">
        <f>'HIV-Key Info'!$I$86*(('HIV-Key Info'!$E$86*'HPM costs'!F379)+('HIV-Key Info'!$F$86*('HPM costs'!F382+'HPM costs'!F385)))</f>
        <v>0</v>
      </c>
      <c r="Q423" s="695" t="s">
        <v>1569</v>
      </c>
      <c r="R423" s="695">
        <f>'HIV-Key Info'!$I$86*(('HIV-Key Info'!$E$86*'HPM costs'!G379)+('HIV-Key Info'!$F$86*('HPM costs'!G382+'HPM costs'!G385)))</f>
        <v>0</v>
      </c>
      <c r="S423" s="695" t="s">
        <v>1569</v>
      </c>
      <c r="T423" s="695">
        <f>'HIV-Key Info'!$I$86*(('HIV-Key Info'!$E$86*'HPM costs'!H379)+('HIV-Key Info'!$F$86*('HPM costs'!H382+'HPM costs'!H385)))</f>
        <v>0</v>
      </c>
      <c r="U423" s="695" t="s">
        <v>1569</v>
      </c>
      <c r="V423" s="695">
        <f>'HIV-Key Info'!$I$86*(('HIV-Key Info'!$E$86*'HPM costs'!I379)+('HIV-Key Info'!$F$86*('HPM costs'!I382+'HPM costs'!I385)))</f>
        <v>0</v>
      </c>
      <c r="W423" s="695"/>
      <c r="X423" s="1492">
        <f t="shared" si="42"/>
        <v>0</v>
      </c>
      <c r="Y423" s="1493"/>
      <c r="Z423" s="1494"/>
      <c r="AA423" s="699"/>
      <c r="AB423" s="695"/>
      <c r="AC423" s="695">
        <f>'HIV-Key Info'!$I$86*(('HIV-Key Info'!$E$86*'HPM costs'!K379)+('HIV-Key Info'!$F$86*('HPM costs'!K382+'HPM costs'!K385)))</f>
        <v>0</v>
      </c>
      <c r="AD423" s="695"/>
      <c r="AE423" s="695">
        <f>'HIV-Key Info'!$I$86*(('HIV-Key Info'!$E$86*'HPM costs'!L379)+('HIV-Key Info'!$F$86*('HPM costs'!L382+'HPM costs'!L385)))</f>
        <v>0</v>
      </c>
      <c r="AF423" s="695"/>
      <c r="AG423" s="695">
        <f>'HIV-Key Info'!$I$86*(('HIV-Key Info'!$E$86*'HPM costs'!M379)+('HIV-Key Info'!$F$86*('HPM costs'!M382+'HPM costs'!M385)))</f>
        <v>0</v>
      </c>
      <c r="AH423" s="695"/>
      <c r="AI423" s="695">
        <f>'HIV-Key Info'!$I$86*(('HIV-Key Info'!$E$86*'HPM costs'!N379)+('HIV-Key Info'!$F$86*('HPM costs'!N382+'HPM costs'!N385)))</f>
        <v>0</v>
      </c>
      <c r="AJ423" s="695"/>
      <c r="AK423" s="1492">
        <f t="shared" si="43"/>
        <v>0</v>
      </c>
      <c r="AL423" s="1493"/>
      <c r="AM423" s="1494"/>
      <c r="AN423" s="699"/>
      <c r="AO423" s="695"/>
      <c r="AP423" s="695">
        <f>'HIV-Key Info'!$I$86*(('HIV-Key Info'!$E$86*'HPM costs'!P379)+('HIV-Key Info'!$F$86*('HPM costs'!P382+'HPM costs'!P385)))</f>
        <v>0</v>
      </c>
      <c r="AQ423" s="695"/>
      <c r="AR423" s="695">
        <f>'HIV-Key Info'!$I$86*(('HIV-Key Info'!$E$86*'HPM costs'!Q379)+('HIV-Key Info'!$F$86*('HPM costs'!Q382+'HPM costs'!Q385)))</f>
        <v>0</v>
      </c>
      <c r="AS423" s="695"/>
      <c r="AT423" s="695">
        <f>'HIV-Key Info'!$I$86*(('HIV-Key Info'!$E$86*'HPM costs'!R379)+('HIV-Key Info'!$F$86*('HPM costs'!R382+'HPM costs'!R385)))</f>
        <v>0</v>
      </c>
      <c r="AU423" s="695"/>
      <c r="AV423" s="695">
        <f>'HIV-Key Info'!$I$86*(('HIV-Key Info'!$E$86*'HPM costs'!S379)+('HIV-Key Info'!$F$86*('HPM costs'!S382+'HPM costs'!S385)))</f>
        <v>0</v>
      </c>
      <c r="AW423" s="695"/>
      <c r="AX423" s="1492">
        <f t="shared" si="44"/>
        <v>0</v>
      </c>
      <c r="AY423" s="1492"/>
      <c r="AZ423" s="698"/>
      <c r="BA423" s="699"/>
      <c r="BB423" s="697"/>
      <c r="BC423" s="697">
        <v>0</v>
      </c>
      <c r="BD423" s="697">
        <v>0</v>
      </c>
      <c r="BE423" s="697">
        <v>0</v>
      </c>
      <c r="BF423" s="697">
        <v>0</v>
      </c>
      <c r="BG423" s="697">
        <v>0</v>
      </c>
      <c r="BH423" s="697">
        <v>0</v>
      </c>
      <c r="BI423" s="697">
        <v>0</v>
      </c>
      <c r="BJ423" s="697">
        <v>0</v>
      </c>
      <c r="BK423" s="1492">
        <f t="shared" si="45"/>
        <v>0</v>
      </c>
      <c r="BL423" s="1492"/>
      <c r="BM423" s="1492">
        <f t="shared" si="46"/>
        <v>0</v>
      </c>
      <c r="BN423" s="1492">
        <f t="shared" si="47"/>
        <v>0</v>
      </c>
      <c r="BO423" s="697"/>
      <c r="BP423" s="697"/>
      <c r="BQ423" s="1495" t="s">
        <v>6937</v>
      </c>
      <c r="BR423" s="1495" t="s">
        <v>818</v>
      </c>
      <c r="BS423" s="1902" t="s">
        <v>655</v>
      </c>
      <c r="BT423" s="1907" t="s">
        <v>2142</v>
      </c>
    </row>
    <row r="424" spans="1:72" ht="13">
      <c r="A424" s="1545">
        <v>980</v>
      </c>
      <c r="B424" s="1546" t="s">
        <v>800</v>
      </c>
      <c r="C424" s="1546" t="s">
        <v>803</v>
      </c>
      <c r="D424" s="1547" t="s">
        <v>6880</v>
      </c>
      <c r="E424" s="690" t="s">
        <v>662</v>
      </c>
      <c r="F424" s="691"/>
      <c r="G424" s="692"/>
      <c r="H424" s="692"/>
      <c r="I424" s="692"/>
      <c r="J424" s="693"/>
      <c r="K424" s="693"/>
      <c r="L424" s="693"/>
      <c r="M424" s="694"/>
      <c r="N424" s="695"/>
      <c r="O424" s="696" t="s">
        <v>1569</v>
      </c>
      <c r="P424" s="695">
        <f>'HIV-Key Info'!$I$86*(('HIV-Key Info'!$E$86*'HPM costs'!F465)+('HIV-Key Info'!$F$86*('HPM costs'!F468+'HPM costs'!F471)))</f>
        <v>0</v>
      </c>
      <c r="Q424" s="695" t="s">
        <v>1569</v>
      </c>
      <c r="R424" s="695">
        <f>'HIV-Key Info'!$I$86*(('HIV-Key Info'!$E$86*'HPM costs'!G465)+('HIV-Key Info'!$F$86*('HPM costs'!G468+'HPM costs'!G471)))</f>
        <v>0</v>
      </c>
      <c r="S424" s="695" t="s">
        <v>1569</v>
      </c>
      <c r="T424" s="695">
        <f>'HIV-Key Info'!$I$86*(('HIV-Key Info'!$E$86*'HPM costs'!H465)+('HIV-Key Info'!$F$86*('HPM costs'!H468+'HPM costs'!H471)))</f>
        <v>0</v>
      </c>
      <c r="U424" s="695" t="s">
        <v>1569</v>
      </c>
      <c r="V424" s="695">
        <f>'HIV-Key Info'!$I$86*(('HIV-Key Info'!$E$86*'HPM costs'!I465)+('HIV-Key Info'!$F$86*('HPM costs'!I468+'HPM costs'!I471)))</f>
        <v>0</v>
      </c>
      <c r="W424" s="695"/>
      <c r="X424" s="1492">
        <f t="shared" si="42"/>
        <v>0</v>
      </c>
      <c r="Y424" s="1493"/>
      <c r="Z424" s="1494"/>
      <c r="AA424" s="699"/>
      <c r="AB424" s="695"/>
      <c r="AC424" s="695">
        <f>'HIV-Key Info'!$I$86*(('HIV-Key Info'!$E$86*'HPM costs'!K465)+('HIV-Key Info'!$F$86*('HPM costs'!K468+'HPM costs'!K471)))</f>
        <v>0</v>
      </c>
      <c r="AD424" s="695"/>
      <c r="AE424" s="695">
        <f>'HIV-Key Info'!$I$86*(('HIV-Key Info'!$E$86*'HPM costs'!L465)+('HIV-Key Info'!$F$86*('HPM costs'!L468+'HPM costs'!L471)))</f>
        <v>0</v>
      </c>
      <c r="AF424" s="695"/>
      <c r="AG424" s="695">
        <f>'HIV-Key Info'!$I$86*(('HIV-Key Info'!$E$86*'HPM costs'!M465)+('HIV-Key Info'!$F$86*('HPM costs'!M468+'HPM costs'!M471)))</f>
        <v>0</v>
      </c>
      <c r="AH424" s="695"/>
      <c r="AI424" s="695">
        <f>'HIV-Key Info'!$I$86*(('HIV-Key Info'!$E$86*'HPM costs'!N465)+('HIV-Key Info'!$F$86*('HPM costs'!N468+'HPM costs'!N471)))</f>
        <v>0</v>
      </c>
      <c r="AJ424" s="695"/>
      <c r="AK424" s="1492">
        <f t="shared" si="43"/>
        <v>0</v>
      </c>
      <c r="AL424" s="1493"/>
      <c r="AM424" s="1494"/>
      <c r="AN424" s="699"/>
      <c r="AO424" s="695"/>
      <c r="AP424" s="695">
        <f>'HIV-Key Info'!$I$86*(('HIV-Key Info'!$E$86*'HPM costs'!P465)+('HIV-Key Info'!$F$86*('HPM costs'!P468+'HPM costs'!P471)))</f>
        <v>0</v>
      </c>
      <c r="AQ424" s="695"/>
      <c r="AR424" s="695">
        <f>'HIV-Key Info'!$I$86*(('HIV-Key Info'!$E$86*'HPM costs'!Q465)+('HIV-Key Info'!$F$86*('HPM costs'!Q468+'HPM costs'!Q471)))</f>
        <v>0</v>
      </c>
      <c r="AS424" s="695"/>
      <c r="AT424" s="695">
        <f>'HIV-Key Info'!$I$86*(('HIV-Key Info'!$E$86*'HPM costs'!R465)+('HIV-Key Info'!$F$86*('HPM costs'!R468+'HPM costs'!R471)))</f>
        <v>0</v>
      </c>
      <c r="AU424" s="695"/>
      <c r="AV424" s="695">
        <f>'HIV-Key Info'!$I$86*(('HIV-Key Info'!$E$86*'HPM costs'!S465)+('HIV-Key Info'!$F$86*('HPM costs'!S468+'HPM costs'!S471)))</f>
        <v>0</v>
      </c>
      <c r="AW424" s="695"/>
      <c r="AX424" s="1492">
        <f t="shared" si="44"/>
        <v>0</v>
      </c>
      <c r="AY424" s="1492"/>
      <c r="AZ424" s="698"/>
      <c r="BA424" s="699"/>
      <c r="BB424" s="697"/>
      <c r="BC424" s="697">
        <v>0</v>
      </c>
      <c r="BD424" s="697">
        <v>0</v>
      </c>
      <c r="BE424" s="697">
        <v>0</v>
      </c>
      <c r="BF424" s="697">
        <v>0</v>
      </c>
      <c r="BG424" s="697">
        <v>0</v>
      </c>
      <c r="BH424" s="697">
        <v>0</v>
      </c>
      <c r="BI424" s="697">
        <v>0</v>
      </c>
      <c r="BJ424" s="697">
        <v>0</v>
      </c>
      <c r="BK424" s="1492">
        <f t="shared" si="45"/>
        <v>0</v>
      </c>
      <c r="BL424" s="1492"/>
      <c r="BM424" s="1492">
        <f t="shared" si="46"/>
        <v>0</v>
      </c>
      <c r="BN424" s="1492">
        <f t="shared" si="47"/>
        <v>0</v>
      </c>
      <c r="BO424" s="697"/>
      <c r="BP424" s="697"/>
      <c r="BQ424" s="1495" t="s">
        <v>6937</v>
      </c>
      <c r="BR424" s="1495" t="s">
        <v>818</v>
      </c>
      <c r="BS424" s="1902" t="s">
        <v>655</v>
      </c>
      <c r="BT424" s="1907" t="s">
        <v>2143</v>
      </c>
    </row>
    <row r="425" spans="1:72" ht="13">
      <c r="A425" s="1545">
        <v>981</v>
      </c>
      <c r="B425" s="1546" t="s">
        <v>800</v>
      </c>
      <c r="C425" s="1546" t="s">
        <v>803</v>
      </c>
      <c r="D425" s="1547" t="s">
        <v>6880</v>
      </c>
      <c r="E425" s="690" t="s">
        <v>664</v>
      </c>
      <c r="F425" s="691"/>
      <c r="G425" s="692"/>
      <c r="H425" s="692"/>
      <c r="I425" s="692"/>
      <c r="J425" s="693"/>
      <c r="K425" s="693"/>
      <c r="L425" s="693"/>
      <c r="M425" s="694"/>
      <c r="N425" s="695"/>
      <c r="O425" s="696" t="s">
        <v>1569</v>
      </c>
      <c r="P425" s="695">
        <f>'HIV-Key Info'!$I$86*(('HIV-Key Info'!$E$86*('HPM costs'!F205+'HPM costs'!F551))+('HIV-Key Info'!$F$86*('HPM costs'!F208+'HPM costs'!F211+'HPM costs'!F554+'HPM costs'!F557)))</f>
        <v>0</v>
      </c>
      <c r="Q425" s="695" t="s">
        <v>1569</v>
      </c>
      <c r="R425" s="695">
        <f>'HIV-Key Info'!$I$86*(('HIV-Key Info'!$E$86*('HPM costs'!G205+'HPM costs'!G551))+('HIV-Key Info'!$F$86*('HPM costs'!G208+'HPM costs'!G211+'HPM costs'!G554+'HPM costs'!G557)))</f>
        <v>0</v>
      </c>
      <c r="S425" s="695" t="s">
        <v>1569</v>
      </c>
      <c r="T425" s="695">
        <f>'HIV-Key Info'!$I$86*(('HIV-Key Info'!$E$86*('HPM costs'!H205+'HPM costs'!H551))+('HIV-Key Info'!$F$86*('HPM costs'!H208+'HPM costs'!H211+'HPM costs'!H554+'HPM costs'!H557)))</f>
        <v>0</v>
      </c>
      <c r="U425" s="695" t="s">
        <v>1569</v>
      </c>
      <c r="V425" s="695">
        <f>'HIV-Key Info'!$I$86*(('HIV-Key Info'!$E$86*('HPM costs'!I205+'HPM costs'!I551))+('HIV-Key Info'!$F$86*('HPM costs'!I208+'HPM costs'!I211+'HPM costs'!I554+'HPM costs'!I557)))</f>
        <v>0</v>
      </c>
      <c r="W425" s="695"/>
      <c r="X425" s="1492">
        <f t="shared" si="42"/>
        <v>0</v>
      </c>
      <c r="Y425" s="1493"/>
      <c r="Z425" s="1494"/>
      <c r="AA425" s="699"/>
      <c r="AB425" s="695"/>
      <c r="AC425" s="695">
        <f>'HIV-Key Info'!$I$86*(('HIV-Key Info'!$E$86*('HPM costs'!K205+'HPM costs'!K551))+('HIV-Key Info'!$F$86*('HPM costs'!K208+'HPM costs'!K211+'HPM costs'!K554+'HPM costs'!K557)))</f>
        <v>0</v>
      </c>
      <c r="AD425" s="695"/>
      <c r="AE425" s="695">
        <f>'HIV-Key Info'!$I$86*(('HIV-Key Info'!$E$86*('HPM costs'!L205+'HPM costs'!L551))+('HIV-Key Info'!$F$86*('HPM costs'!L208+'HPM costs'!L211+'HPM costs'!L554+'HPM costs'!L557)))</f>
        <v>0</v>
      </c>
      <c r="AF425" s="695"/>
      <c r="AG425" s="695">
        <f>'HIV-Key Info'!$I$86*(('HIV-Key Info'!$E$86*('HPM costs'!M205+'HPM costs'!M551))+('HIV-Key Info'!$F$86*('HPM costs'!M208+'HPM costs'!M211+'HPM costs'!M554+'HPM costs'!M557)))</f>
        <v>0</v>
      </c>
      <c r="AH425" s="695"/>
      <c r="AI425" s="695">
        <f>'HIV-Key Info'!$I$86*(('HIV-Key Info'!$E$86*('HPM costs'!N205+'HPM costs'!N551))+('HIV-Key Info'!$F$86*('HPM costs'!N208+'HPM costs'!N211+'HPM costs'!N554+'HPM costs'!N557)))</f>
        <v>0</v>
      </c>
      <c r="AJ425" s="695"/>
      <c r="AK425" s="1492">
        <f t="shared" si="43"/>
        <v>0</v>
      </c>
      <c r="AL425" s="1493"/>
      <c r="AM425" s="1494"/>
      <c r="AN425" s="699"/>
      <c r="AO425" s="695"/>
      <c r="AP425" s="695">
        <f>'HIV-Key Info'!$I$86*(('HIV-Key Info'!$E$86*('HPM costs'!P205+'HPM costs'!P551))+('HIV-Key Info'!$F$86*('HPM costs'!P208+'HPM costs'!P211+'HPM costs'!P554+'HPM costs'!P557)))</f>
        <v>0</v>
      </c>
      <c r="AQ425" s="695"/>
      <c r="AR425" s="695">
        <f>'HIV-Key Info'!$I$86*(('HIV-Key Info'!$E$86*('HPM costs'!Q205+'HPM costs'!Q551))+('HIV-Key Info'!$F$86*('HPM costs'!Q208+'HPM costs'!Q211+'HPM costs'!Q554+'HPM costs'!Q557)))</f>
        <v>0</v>
      </c>
      <c r="AS425" s="695"/>
      <c r="AT425" s="695">
        <f>'HIV-Key Info'!$I$86*(('HIV-Key Info'!$E$86*('HPM costs'!R205+'HPM costs'!R551))+('HIV-Key Info'!$F$86*('HPM costs'!R208+'HPM costs'!R211+'HPM costs'!R554+'HPM costs'!R557)))</f>
        <v>0</v>
      </c>
      <c r="AU425" s="695"/>
      <c r="AV425" s="695">
        <f>'HIV-Key Info'!$I$86*(('HIV-Key Info'!$E$86*('HPM costs'!S205+'HPM costs'!S551))+('HIV-Key Info'!$F$86*('HPM costs'!S208+'HPM costs'!S211+'HPM costs'!S554+'HPM costs'!S557)))</f>
        <v>0</v>
      </c>
      <c r="AW425" s="695"/>
      <c r="AX425" s="1492">
        <f t="shared" si="44"/>
        <v>0</v>
      </c>
      <c r="AY425" s="1492"/>
      <c r="AZ425" s="698"/>
      <c r="BA425" s="699"/>
      <c r="BB425" s="697"/>
      <c r="BC425" s="697">
        <v>0</v>
      </c>
      <c r="BD425" s="697">
        <v>0</v>
      </c>
      <c r="BE425" s="697">
        <v>0</v>
      </c>
      <c r="BF425" s="697">
        <v>0</v>
      </c>
      <c r="BG425" s="697">
        <v>0</v>
      </c>
      <c r="BH425" s="697">
        <v>0</v>
      </c>
      <c r="BI425" s="697">
        <v>0</v>
      </c>
      <c r="BJ425" s="697">
        <v>0</v>
      </c>
      <c r="BK425" s="1492">
        <f t="shared" si="45"/>
        <v>0</v>
      </c>
      <c r="BL425" s="1492"/>
      <c r="BM425" s="1492">
        <f t="shared" si="46"/>
        <v>0</v>
      </c>
      <c r="BN425" s="1492">
        <f t="shared" si="47"/>
        <v>0</v>
      </c>
      <c r="BO425" s="697"/>
      <c r="BP425" s="697"/>
      <c r="BQ425" s="1495" t="s">
        <v>6937</v>
      </c>
      <c r="BR425" s="1495" t="s">
        <v>818</v>
      </c>
      <c r="BS425" s="1902" t="s">
        <v>655</v>
      </c>
      <c r="BT425" s="1907" t="s">
        <v>2144</v>
      </c>
    </row>
    <row r="426" spans="1:72" ht="13">
      <c r="A426" s="1545">
        <v>982</v>
      </c>
      <c r="B426" s="1546" t="s">
        <v>800</v>
      </c>
      <c r="C426" s="1546" t="s">
        <v>803</v>
      </c>
      <c r="D426" s="1547" t="s">
        <v>6880</v>
      </c>
      <c r="E426" s="690" t="s">
        <v>666</v>
      </c>
      <c r="F426" s="691"/>
      <c r="G426" s="692"/>
      <c r="H426" s="692"/>
      <c r="I426" s="692"/>
      <c r="J426" s="693"/>
      <c r="K426" s="693"/>
      <c r="L426" s="693"/>
      <c r="M426" s="694"/>
      <c r="N426" s="695"/>
      <c r="O426" s="696" t="s">
        <v>1569</v>
      </c>
      <c r="P426" s="695">
        <f>'HIV-Key Info'!$I$86*(('HIV-Key Info'!$E$86*'HPM costs'!F291)+('HIV-Key Info'!$F$86*('HPM costs'!F294+'HPM costs'!F297)))</f>
        <v>0</v>
      </c>
      <c r="Q426" s="695" t="s">
        <v>1569</v>
      </c>
      <c r="R426" s="695">
        <f>'HIV-Key Info'!$I$86*(('HIV-Key Info'!$E$86*'HPM costs'!G291)+('HIV-Key Info'!$F$86*('HPM costs'!G294+'HPM costs'!G297)))</f>
        <v>0</v>
      </c>
      <c r="S426" s="695" t="s">
        <v>1569</v>
      </c>
      <c r="T426" s="695">
        <f>'HIV-Key Info'!$I$86*(('HIV-Key Info'!$E$86*'HPM costs'!H291)+('HIV-Key Info'!$F$86*('HPM costs'!H294+'HPM costs'!H297)))</f>
        <v>0</v>
      </c>
      <c r="U426" s="695" t="s">
        <v>1569</v>
      </c>
      <c r="V426" s="695">
        <f>'HIV-Key Info'!$I$86*(('HIV-Key Info'!$E$86*'HPM costs'!I291)+('HIV-Key Info'!$F$86*('HPM costs'!I294+'HPM costs'!I297)))</f>
        <v>0</v>
      </c>
      <c r="W426" s="695"/>
      <c r="X426" s="1492">
        <f t="shared" si="42"/>
        <v>0</v>
      </c>
      <c r="Y426" s="1493"/>
      <c r="Z426" s="1494"/>
      <c r="AA426" s="699"/>
      <c r="AB426" s="695"/>
      <c r="AC426" s="695">
        <f>'HIV-Key Info'!$I$86*(('HIV-Key Info'!$E$86*'HPM costs'!K291)+('HIV-Key Info'!$F$86*('HPM costs'!K294+'HPM costs'!K297)))</f>
        <v>0</v>
      </c>
      <c r="AD426" s="695"/>
      <c r="AE426" s="695">
        <f>'HIV-Key Info'!$I$86*(('HIV-Key Info'!$E$86*'HPM costs'!L291)+('HIV-Key Info'!$F$86*('HPM costs'!L294+'HPM costs'!L297)))</f>
        <v>0</v>
      </c>
      <c r="AF426" s="695"/>
      <c r="AG426" s="695">
        <f>'HIV-Key Info'!$I$86*(('HIV-Key Info'!$E$86*'HPM costs'!M291)+('HIV-Key Info'!$F$86*('HPM costs'!M294+'HPM costs'!M297)))</f>
        <v>0</v>
      </c>
      <c r="AH426" s="695"/>
      <c r="AI426" s="695">
        <f>'HIV-Key Info'!$I$86*(('HIV-Key Info'!$E$86*'HPM costs'!N291)+('HIV-Key Info'!$F$86*('HPM costs'!N294+'HPM costs'!N297)))</f>
        <v>0</v>
      </c>
      <c r="AJ426" s="695"/>
      <c r="AK426" s="1492">
        <f t="shared" si="43"/>
        <v>0</v>
      </c>
      <c r="AL426" s="1493"/>
      <c r="AM426" s="1494"/>
      <c r="AN426" s="699"/>
      <c r="AO426" s="695"/>
      <c r="AP426" s="695">
        <f>'HIV-Key Info'!$I$86*(('HIV-Key Info'!$E$86*'HPM costs'!P291)+('HIV-Key Info'!$F$86*('HPM costs'!P294+'HPM costs'!P297)))</f>
        <v>0</v>
      </c>
      <c r="AQ426" s="695"/>
      <c r="AR426" s="695">
        <f>'HIV-Key Info'!$I$86*(('HIV-Key Info'!$E$86*'HPM costs'!Q291)+('HIV-Key Info'!$F$86*('HPM costs'!Q294+'HPM costs'!Q297)))</f>
        <v>0</v>
      </c>
      <c r="AS426" s="695"/>
      <c r="AT426" s="695">
        <f>'HIV-Key Info'!$I$86*(('HIV-Key Info'!$E$86*'HPM costs'!R291)+('HIV-Key Info'!$F$86*('HPM costs'!R294+'HPM costs'!R297)))</f>
        <v>0</v>
      </c>
      <c r="AU426" s="695"/>
      <c r="AV426" s="695">
        <f>'HIV-Key Info'!$I$86*(('HIV-Key Info'!$E$86*'HPM costs'!S291)+('HIV-Key Info'!$F$86*('HPM costs'!S294+'HPM costs'!S297)))</f>
        <v>0</v>
      </c>
      <c r="AW426" s="695"/>
      <c r="AX426" s="1492">
        <f t="shared" si="44"/>
        <v>0</v>
      </c>
      <c r="AY426" s="1492"/>
      <c r="AZ426" s="698"/>
      <c r="BA426" s="699"/>
      <c r="BB426" s="697"/>
      <c r="BC426" s="697">
        <v>0</v>
      </c>
      <c r="BD426" s="697">
        <v>0</v>
      </c>
      <c r="BE426" s="697">
        <v>0</v>
      </c>
      <c r="BF426" s="697">
        <v>0</v>
      </c>
      <c r="BG426" s="697">
        <v>0</v>
      </c>
      <c r="BH426" s="697">
        <v>0</v>
      </c>
      <c r="BI426" s="697">
        <v>0</v>
      </c>
      <c r="BJ426" s="697">
        <v>0</v>
      </c>
      <c r="BK426" s="1492">
        <f t="shared" si="45"/>
        <v>0</v>
      </c>
      <c r="BL426" s="1492"/>
      <c r="BM426" s="1492">
        <f t="shared" si="46"/>
        <v>0</v>
      </c>
      <c r="BN426" s="1492">
        <f t="shared" si="47"/>
        <v>0</v>
      </c>
      <c r="BO426" s="697"/>
      <c r="BP426" s="697"/>
      <c r="BQ426" s="1495" t="s">
        <v>6937</v>
      </c>
      <c r="BR426" s="1495" t="s">
        <v>818</v>
      </c>
      <c r="BS426" s="1902" t="s">
        <v>655</v>
      </c>
      <c r="BT426" s="1907" t="s">
        <v>2145</v>
      </c>
    </row>
    <row r="427" spans="1:72" ht="13">
      <c r="A427" s="1545">
        <v>983</v>
      </c>
      <c r="B427" s="1546" t="s">
        <v>800</v>
      </c>
      <c r="C427" s="1546" t="s">
        <v>803</v>
      </c>
      <c r="D427" s="1547" t="s">
        <v>6880</v>
      </c>
      <c r="E427" s="690" t="s">
        <v>668</v>
      </c>
      <c r="F427" s="691"/>
      <c r="G427" s="692"/>
      <c r="H427" s="692"/>
      <c r="I427" s="692"/>
      <c r="J427" s="693"/>
      <c r="K427" s="693"/>
      <c r="L427" s="693"/>
      <c r="M427" s="694"/>
      <c r="N427" s="695"/>
      <c r="O427" s="696" t="s">
        <v>1569</v>
      </c>
      <c r="P427" s="695">
        <f>'HIV-Key Info'!$I$86*(('HIV-Key Info'!$E$86*'HPM costs'!F636)+('HIV-Key Info'!$F$86*('HPM costs'!F639+'HPM costs'!F642)))</f>
        <v>0</v>
      </c>
      <c r="Q427" s="695" t="s">
        <v>1569</v>
      </c>
      <c r="R427" s="695">
        <f>'HIV-Key Info'!$I$86*(('HIV-Key Info'!$E$86*'HPM costs'!G636)+('HIV-Key Info'!$F$86*('HPM costs'!G639+'HPM costs'!G642)))</f>
        <v>0</v>
      </c>
      <c r="S427" s="695" t="s">
        <v>1569</v>
      </c>
      <c r="T427" s="695">
        <f>'HIV-Key Info'!$I$86*(('HIV-Key Info'!$E$86*'HPM costs'!H636)+('HIV-Key Info'!$F$86*('HPM costs'!H639+'HPM costs'!H642)))</f>
        <v>0</v>
      </c>
      <c r="U427" s="695" t="s">
        <v>1569</v>
      </c>
      <c r="V427" s="695">
        <f>'HIV-Key Info'!$I$86*(('HIV-Key Info'!$E$86*'HPM costs'!I636)+('HIV-Key Info'!$F$86*('HPM costs'!I639+'HPM costs'!I642)))</f>
        <v>0</v>
      </c>
      <c r="W427" s="695"/>
      <c r="X427" s="1492">
        <f t="shared" si="42"/>
        <v>0</v>
      </c>
      <c r="Y427" s="1493"/>
      <c r="Z427" s="1494"/>
      <c r="AA427" s="699"/>
      <c r="AB427" s="695"/>
      <c r="AC427" s="695">
        <f>'HIV-Key Info'!$I$86*(('HIV-Key Info'!$E$86*'HPM costs'!K636)+('HIV-Key Info'!$F$86*('HPM costs'!K639+'HPM costs'!K642)))</f>
        <v>0</v>
      </c>
      <c r="AD427" s="695"/>
      <c r="AE427" s="695">
        <f>'HIV-Key Info'!$I$86*(('HIV-Key Info'!$E$86*'HPM costs'!L636)+('HIV-Key Info'!$F$86*('HPM costs'!L639+'HPM costs'!L642)))</f>
        <v>0</v>
      </c>
      <c r="AF427" s="695"/>
      <c r="AG427" s="695">
        <f>'HIV-Key Info'!$I$86*(('HIV-Key Info'!$E$86*'HPM costs'!M636)+('HIV-Key Info'!$F$86*('HPM costs'!M639+'HPM costs'!M642)))</f>
        <v>0</v>
      </c>
      <c r="AH427" s="695"/>
      <c r="AI427" s="695">
        <f>'HIV-Key Info'!$I$86*(('HIV-Key Info'!$E$86*'HPM costs'!N636)+('HIV-Key Info'!$F$86*('HPM costs'!N639+'HPM costs'!N642)))</f>
        <v>0</v>
      </c>
      <c r="AJ427" s="695"/>
      <c r="AK427" s="1492">
        <f t="shared" si="43"/>
        <v>0</v>
      </c>
      <c r="AL427" s="1493"/>
      <c r="AM427" s="1494"/>
      <c r="AN427" s="699"/>
      <c r="AO427" s="695"/>
      <c r="AP427" s="695">
        <f>'HIV-Key Info'!$I$86*(('HIV-Key Info'!$E$86*'HPM costs'!P636)+('HIV-Key Info'!$F$86*('HPM costs'!P639+'HPM costs'!P642)))</f>
        <v>0</v>
      </c>
      <c r="AQ427" s="695"/>
      <c r="AR427" s="695">
        <f>'HIV-Key Info'!$I$86*(('HIV-Key Info'!$E$86*'HPM costs'!Q636)+('HIV-Key Info'!$F$86*('HPM costs'!Q639+'HPM costs'!Q642)))</f>
        <v>0</v>
      </c>
      <c r="AS427" s="695"/>
      <c r="AT427" s="695">
        <f>'HIV-Key Info'!$I$86*(('HIV-Key Info'!$E$86*'HPM costs'!R636)+('HIV-Key Info'!$F$86*('HPM costs'!R639+'HPM costs'!R642)))</f>
        <v>0</v>
      </c>
      <c r="AU427" s="695"/>
      <c r="AV427" s="695">
        <f>'HIV-Key Info'!$I$86*(('HIV-Key Info'!$E$86*'HPM costs'!S636)+('HIV-Key Info'!$F$86*('HPM costs'!S639+'HPM costs'!S642)))</f>
        <v>0</v>
      </c>
      <c r="AW427" s="695"/>
      <c r="AX427" s="1492">
        <f t="shared" si="44"/>
        <v>0</v>
      </c>
      <c r="AY427" s="1492"/>
      <c r="AZ427" s="698"/>
      <c r="BA427" s="699"/>
      <c r="BB427" s="697"/>
      <c r="BC427" s="697">
        <v>0</v>
      </c>
      <c r="BD427" s="697">
        <v>0</v>
      </c>
      <c r="BE427" s="697">
        <v>0</v>
      </c>
      <c r="BF427" s="697">
        <v>0</v>
      </c>
      <c r="BG427" s="697">
        <v>0</v>
      </c>
      <c r="BH427" s="697">
        <v>0</v>
      </c>
      <c r="BI427" s="697">
        <v>0</v>
      </c>
      <c r="BJ427" s="697">
        <v>0</v>
      </c>
      <c r="BK427" s="1492">
        <f t="shared" si="45"/>
        <v>0</v>
      </c>
      <c r="BL427" s="1492"/>
      <c r="BM427" s="1492">
        <f t="shared" si="46"/>
        <v>0</v>
      </c>
      <c r="BN427" s="1492">
        <f t="shared" si="47"/>
        <v>0</v>
      </c>
      <c r="BO427" s="697"/>
      <c r="BP427" s="697"/>
      <c r="BQ427" s="1495" t="s">
        <v>6937</v>
      </c>
      <c r="BR427" s="1495" t="s">
        <v>818</v>
      </c>
      <c r="BS427" s="1902" t="s">
        <v>655</v>
      </c>
      <c r="BT427" s="1907" t="s">
        <v>2146</v>
      </c>
    </row>
    <row r="428" spans="1:72" ht="13">
      <c r="A428" s="1545">
        <v>984</v>
      </c>
      <c r="B428" s="1546" t="s">
        <v>800</v>
      </c>
      <c r="C428" s="1546" t="s">
        <v>801</v>
      </c>
      <c r="D428" s="1547" t="s">
        <v>6960</v>
      </c>
      <c r="E428" s="690" t="s">
        <v>731</v>
      </c>
      <c r="F428" s="691"/>
      <c r="G428" s="692"/>
      <c r="H428" s="692"/>
      <c r="I428" s="692"/>
      <c r="J428" s="693"/>
      <c r="K428" s="693"/>
      <c r="L428" s="693"/>
      <c r="M428" s="694"/>
      <c r="N428" s="695"/>
      <c r="O428" s="696" t="s">
        <v>1569</v>
      </c>
      <c r="P428" s="695">
        <f>'HIV-Key Info'!$G$85*('HIV-Key Info'!$E$85*('HPM costs'!F551/'HPM costs'!$E$551)+'HIV-Key Info'!$F$85*('HPM costs'!F557/'HPM costs'!$E$557+'HPM costs'!F554/'HPM costs'!$E$554))</f>
        <v>0</v>
      </c>
      <c r="Q428" s="695" t="s">
        <v>1569</v>
      </c>
      <c r="R428" s="695">
        <f>'HIV-Key Info'!$G$85*('HIV-Key Info'!$E$85*('HPM costs'!G551/'HPM costs'!$E$551)+'HIV-Key Info'!$F$85*('HPM costs'!G557/'HPM costs'!$E$557+'HPM costs'!G554/'HPM costs'!$E$554))</f>
        <v>0</v>
      </c>
      <c r="S428" s="695" t="s">
        <v>1569</v>
      </c>
      <c r="T428" s="695">
        <f>'HIV-Key Info'!$G$85*('HIV-Key Info'!$E$85*('HPM costs'!H551/'HPM costs'!$E$551)+'HIV-Key Info'!$F$85*('HPM costs'!H557/'HPM costs'!$E$557+'HPM costs'!H554/'HPM costs'!$E$554))</f>
        <v>0</v>
      </c>
      <c r="U428" s="695" t="s">
        <v>1569</v>
      </c>
      <c r="V428" s="695">
        <f>'HIV-Key Info'!$G$85*('HIV-Key Info'!$E$85*('HPM costs'!I551/'HPM costs'!$E$551)+'HIV-Key Info'!$F$85*('HPM costs'!I557/'HPM costs'!$E$557+'HPM costs'!I554/'HPM costs'!$E$554))</f>
        <v>0</v>
      </c>
      <c r="W428" s="695"/>
      <c r="X428" s="1492">
        <f t="shared" si="42"/>
        <v>0</v>
      </c>
      <c r="Y428" s="1493"/>
      <c r="Z428" s="1494"/>
      <c r="AA428" s="699"/>
      <c r="AB428" s="695"/>
      <c r="AC428" s="695">
        <f>'HIV-Key Info'!$G$85*('HIV-Key Info'!$E$85*('HPM costs'!K551/'HPM costs'!$E$551)+'HIV-Key Info'!$F$85*('HPM costs'!K557/'HPM costs'!$E$557+'HPM costs'!K554/'HPM costs'!$E$554))</f>
        <v>0</v>
      </c>
      <c r="AD428" s="695"/>
      <c r="AE428" s="695">
        <f>'HIV-Key Info'!$G$85*('HIV-Key Info'!$E$85*('HPM costs'!L551/'HPM costs'!$E$551)+'HIV-Key Info'!$F$85*('HPM costs'!L557/'HPM costs'!$E$557+'HPM costs'!L554/'HPM costs'!$E$554))</f>
        <v>0</v>
      </c>
      <c r="AF428" s="695"/>
      <c r="AG428" s="695">
        <f>'HIV-Key Info'!$G$85*('HIV-Key Info'!$E$85*('HPM costs'!M551/'HPM costs'!$E$551)+'HIV-Key Info'!$F$85*('HPM costs'!M557/'HPM costs'!$E$557+'HPM costs'!M554/'HPM costs'!$E$554))</f>
        <v>0</v>
      </c>
      <c r="AH428" s="695"/>
      <c r="AI428" s="695">
        <f>'HIV-Key Info'!$G$85*('HIV-Key Info'!$E$85*('HPM costs'!N551/'HPM costs'!$E$551)+'HIV-Key Info'!$F$85*('HPM costs'!N557/'HPM costs'!$E$557+'HPM costs'!N554/'HPM costs'!$E$554))</f>
        <v>0</v>
      </c>
      <c r="AJ428" s="695"/>
      <c r="AK428" s="1492">
        <f t="shared" si="43"/>
        <v>0</v>
      </c>
      <c r="AL428" s="1493"/>
      <c r="AM428" s="1494"/>
      <c r="AN428" s="699"/>
      <c r="AO428" s="695"/>
      <c r="AP428" s="695">
        <f>'HIV-Key Info'!$G$85*('HIV-Key Info'!$E$85*('HPM costs'!P551/'HPM costs'!$E$551)+'HIV-Key Info'!$F$85*('HPM costs'!P557/'HPM costs'!$E$557+'HPM costs'!P554/'HPM costs'!$E$554))</f>
        <v>0</v>
      </c>
      <c r="AQ428" s="695"/>
      <c r="AR428" s="695">
        <f>'HIV-Key Info'!$G$85*('HIV-Key Info'!$E$85*('HPM costs'!Q551/'HPM costs'!$E$551)+'HIV-Key Info'!$F$85*('HPM costs'!Q557/'HPM costs'!$E$557+'HPM costs'!Q554/'HPM costs'!$E$554))</f>
        <v>0</v>
      </c>
      <c r="AS428" s="695"/>
      <c r="AT428" s="695">
        <f>'HIV-Key Info'!$G$85*('HIV-Key Info'!$E$85*('HPM costs'!R551/'HPM costs'!$E$551)+'HIV-Key Info'!$F$85*('HPM costs'!R557/'HPM costs'!$E$557+'HPM costs'!R554/'HPM costs'!$E$554))</f>
        <v>0</v>
      </c>
      <c r="AU428" s="695"/>
      <c r="AV428" s="695">
        <f>'HIV-Key Info'!$G$85*('HIV-Key Info'!$E$85*('HPM costs'!S551/'HPM costs'!$E$551)+'HIV-Key Info'!$F$85*('HPM costs'!S557/'HPM costs'!$E$557+'HPM costs'!S554/'HPM costs'!$E$554))</f>
        <v>0</v>
      </c>
      <c r="AW428" s="695"/>
      <c r="AX428" s="1492">
        <f t="shared" si="44"/>
        <v>0</v>
      </c>
      <c r="AY428" s="1492"/>
      <c r="AZ428" s="698"/>
      <c r="BA428" s="699"/>
      <c r="BB428" s="697"/>
      <c r="BC428" s="697">
        <v>0</v>
      </c>
      <c r="BD428" s="697">
        <v>0</v>
      </c>
      <c r="BE428" s="697">
        <v>0</v>
      </c>
      <c r="BF428" s="697">
        <v>0</v>
      </c>
      <c r="BG428" s="697">
        <v>0</v>
      </c>
      <c r="BH428" s="697">
        <v>0</v>
      </c>
      <c r="BI428" s="697">
        <v>0</v>
      </c>
      <c r="BJ428" s="697">
        <v>0</v>
      </c>
      <c r="BK428" s="1492">
        <f t="shared" si="45"/>
        <v>0</v>
      </c>
      <c r="BL428" s="1492"/>
      <c r="BM428" s="1492">
        <f t="shared" si="46"/>
        <v>0</v>
      </c>
      <c r="BN428" s="1492">
        <f t="shared" si="47"/>
        <v>0</v>
      </c>
      <c r="BO428" s="697"/>
      <c r="BP428" s="697"/>
      <c r="BQ428" s="1495" t="s">
        <v>6938</v>
      </c>
      <c r="BR428" s="1495" t="s">
        <v>818</v>
      </c>
      <c r="BS428" s="1902" t="s">
        <v>6953</v>
      </c>
      <c r="BT428" s="1907" t="s">
        <v>2147</v>
      </c>
    </row>
    <row r="429" spans="1:72" ht="13">
      <c r="A429" s="1545">
        <v>985</v>
      </c>
      <c r="B429" s="1546" t="s">
        <v>800</v>
      </c>
      <c r="C429" s="1546" t="s">
        <v>801</v>
      </c>
      <c r="D429" s="1547" t="s">
        <v>6882</v>
      </c>
      <c r="E429" s="690" t="s">
        <v>656</v>
      </c>
      <c r="F429" s="691"/>
      <c r="G429" s="692"/>
      <c r="H429" s="692"/>
      <c r="I429" s="692"/>
      <c r="J429" s="693"/>
      <c r="K429" s="693"/>
      <c r="L429" s="693"/>
      <c r="M429" s="694"/>
      <c r="N429" s="695"/>
      <c r="O429" s="696" t="s">
        <v>1569</v>
      </c>
      <c r="P429" s="695">
        <f>'HIV-Key Info'!$G$85*(('HIV-Key Info'!$E$85*'HPM costs'!F33)+('HIV-Key Info'!$F$85*('HPM costs'!F36+'HPM costs'!F39)))</f>
        <v>0</v>
      </c>
      <c r="Q429" s="695" t="s">
        <v>1569</v>
      </c>
      <c r="R429" s="695">
        <f>'HIV-Key Info'!$G$85*(('HIV-Key Info'!$E$85*'HPM costs'!G33)+('HIV-Key Info'!$F$85*('HPM costs'!G36+'HPM costs'!G39)))</f>
        <v>0</v>
      </c>
      <c r="S429" s="695" t="s">
        <v>1569</v>
      </c>
      <c r="T429" s="695">
        <f>'HIV-Key Info'!$G$85*(('HIV-Key Info'!$E$85*'HPM costs'!H33)+('HIV-Key Info'!$F$85*('HPM costs'!H36+'HPM costs'!H39)))</f>
        <v>0</v>
      </c>
      <c r="U429" s="695" t="s">
        <v>1569</v>
      </c>
      <c r="V429" s="695">
        <f>'HIV-Key Info'!$G$85*(('HIV-Key Info'!$E$85*'HPM costs'!I33)+('HIV-Key Info'!$F$85*('HPM costs'!I36+'HPM costs'!I39)))</f>
        <v>0</v>
      </c>
      <c r="W429" s="695"/>
      <c r="X429" s="1492">
        <f t="shared" si="42"/>
        <v>0</v>
      </c>
      <c r="Y429" s="1493"/>
      <c r="Z429" s="1494"/>
      <c r="AA429" s="699"/>
      <c r="AB429" s="695"/>
      <c r="AC429" s="695">
        <f>'HIV-Key Info'!$G$85*(('HIV-Key Info'!$E$85*'HPM costs'!K33)+('HIV-Key Info'!$F$85*('HPM costs'!K36+'HPM costs'!K39)))</f>
        <v>0</v>
      </c>
      <c r="AD429" s="695"/>
      <c r="AE429" s="695">
        <f>'HIV-Key Info'!$G$85*(('HIV-Key Info'!$E$85*'HPM costs'!L33)+('HIV-Key Info'!$F$85*('HPM costs'!L36+'HPM costs'!L39)))</f>
        <v>0</v>
      </c>
      <c r="AF429" s="695"/>
      <c r="AG429" s="695">
        <f>'HIV-Key Info'!$G$85*(('HIV-Key Info'!$E$85*'HPM costs'!M33)+('HIV-Key Info'!$F$85*('HPM costs'!M36+'HPM costs'!M39)))</f>
        <v>0</v>
      </c>
      <c r="AH429" s="695"/>
      <c r="AI429" s="695">
        <f>'HIV-Key Info'!$G$85*(('HIV-Key Info'!$E$85*'HPM costs'!N33)+('HIV-Key Info'!$F$85*('HPM costs'!N36+'HPM costs'!N39)))</f>
        <v>0</v>
      </c>
      <c r="AJ429" s="695"/>
      <c r="AK429" s="1492">
        <f t="shared" si="43"/>
        <v>0</v>
      </c>
      <c r="AL429" s="1493"/>
      <c r="AM429" s="1494"/>
      <c r="AN429" s="699"/>
      <c r="AO429" s="695"/>
      <c r="AP429" s="695">
        <f>'HIV-Key Info'!$G$85*(('HIV-Key Info'!$E$85*'HPM costs'!P33)+('HIV-Key Info'!$F$85*('HPM costs'!P36+'HPM costs'!P39)))</f>
        <v>0</v>
      </c>
      <c r="AQ429" s="695"/>
      <c r="AR429" s="695">
        <f>'HIV-Key Info'!$G$85*(('HIV-Key Info'!$E$85*'HPM costs'!Q33)+('HIV-Key Info'!$F$85*('HPM costs'!Q36+'HPM costs'!Q39)))</f>
        <v>0</v>
      </c>
      <c r="AS429" s="695"/>
      <c r="AT429" s="695">
        <f>'HIV-Key Info'!$G$85*(('HIV-Key Info'!$E$85*'HPM costs'!R33)+('HIV-Key Info'!$F$85*('HPM costs'!R36+'HPM costs'!R39)))</f>
        <v>0</v>
      </c>
      <c r="AU429" s="695"/>
      <c r="AV429" s="695">
        <f>'HIV-Key Info'!$G$85*(('HIV-Key Info'!$E$85*'HPM costs'!S33)+('HIV-Key Info'!$F$85*('HPM costs'!S36+'HPM costs'!S39)))</f>
        <v>0</v>
      </c>
      <c r="AW429" s="695"/>
      <c r="AX429" s="1492">
        <f t="shared" si="44"/>
        <v>0</v>
      </c>
      <c r="AY429" s="1492"/>
      <c r="AZ429" s="698"/>
      <c r="BA429" s="699"/>
      <c r="BB429" s="697"/>
      <c r="BC429" s="697">
        <v>0</v>
      </c>
      <c r="BD429" s="697">
        <v>0</v>
      </c>
      <c r="BE429" s="697">
        <v>0</v>
      </c>
      <c r="BF429" s="697">
        <v>0</v>
      </c>
      <c r="BG429" s="697">
        <v>0</v>
      </c>
      <c r="BH429" s="697">
        <v>0</v>
      </c>
      <c r="BI429" s="697">
        <v>0</v>
      </c>
      <c r="BJ429" s="697">
        <v>0</v>
      </c>
      <c r="BK429" s="1492">
        <f t="shared" si="45"/>
        <v>0</v>
      </c>
      <c r="BL429" s="1492"/>
      <c r="BM429" s="1492">
        <f t="shared" si="46"/>
        <v>0</v>
      </c>
      <c r="BN429" s="1492">
        <f t="shared" si="47"/>
        <v>0</v>
      </c>
      <c r="BO429" s="697"/>
      <c r="BP429" s="697"/>
      <c r="BQ429" s="1495" t="s">
        <v>6938</v>
      </c>
      <c r="BR429" s="1495" t="s">
        <v>818</v>
      </c>
      <c r="BS429" s="1902" t="s">
        <v>655</v>
      </c>
      <c r="BT429" s="1907" t="s">
        <v>2148</v>
      </c>
    </row>
    <row r="430" spans="1:72" ht="13">
      <c r="A430" s="1545">
        <v>986</v>
      </c>
      <c r="B430" s="1546" t="s">
        <v>800</v>
      </c>
      <c r="C430" s="1546" t="s">
        <v>801</v>
      </c>
      <c r="D430" s="1547" t="s">
        <v>6882</v>
      </c>
      <c r="E430" s="690" t="s">
        <v>658</v>
      </c>
      <c r="F430" s="691"/>
      <c r="G430" s="692"/>
      <c r="H430" s="692"/>
      <c r="I430" s="692"/>
      <c r="J430" s="693"/>
      <c r="K430" s="693"/>
      <c r="L430" s="693"/>
      <c r="M430" s="694"/>
      <c r="N430" s="695"/>
      <c r="O430" s="696" t="s">
        <v>1569</v>
      </c>
      <c r="P430" s="695">
        <f>'HIV-Key Info'!$G$85*(('HIV-Key Info'!$E$85*'HPM costs'!F119)+('HIV-Key Info'!$F$85*('HPM costs'!F122+'HPM costs'!F125)))</f>
        <v>0</v>
      </c>
      <c r="Q430" s="695" t="s">
        <v>1569</v>
      </c>
      <c r="R430" s="695">
        <f>'HIV-Key Info'!$G$85*(('HIV-Key Info'!$E$85*'HPM costs'!G119)+('HIV-Key Info'!$F$85*('HPM costs'!G122+'HPM costs'!G125)))</f>
        <v>0</v>
      </c>
      <c r="S430" s="695" t="s">
        <v>1569</v>
      </c>
      <c r="T430" s="695">
        <f>'HIV-Key Info'!$G$85*(('HIV-Key Info'!$E$85*'HPM costs'!H119)+('HIV-Key Info'!$F$85*('HPM costs'!H122+'HPM costs'!H125)))</f>
        <v>0</v>
      </c>
      <c r="U430" s="695" t="s">
        <v>1569</v>
      </c>
      <c r="V430" s="695">
        <f>'HIV-Key Info'!$G$85*(('HIV-Key Info'!$E$85*'HPM costs'!I119)+('HIV-Key Info'!$F$85*('HPM costs'!I122+'HPM costs'!I125)))</f>
        <v>0</v>
      </c>
      <c r="W430" s="695"/>
      <c r="X430" s="1492">
        <f t="shared" si="42"/>
        <v>0</v>
      </c>
      <c r="Y430" s="1493"/>
      <c r="Z430" s="1494"/>
      <c r="AA430" s="699"/>
      <c r="AB430" s="695"/>
      <c r="AC430" s="695">
        <f>'HIV-Key Info'!$G$85*(('HIV-Key Info'!$E$85*'HPM costs'!K119)+('HIV-Key Info'!$F$85*('HPM costs'!K122+'HPM costs'!K125)))</f>
        <v>0</v>
      </c>
      <c r="AD430" s="695"/>
      <c r="AE430" s="695">
        <f>'HIV-Key Info'!$G$85*(('HIV-Key Info'!$E$85*'HPM costs'!L119)+('HIV-Key Info'!$F$85*('HPM costs'!L122+'HPM costs'!L125)))</f>
        <v>0</v>
      </c>
      <c r="AF430" s="695"/>
      <c r="AG430" s="695">
        <f>'HIV-Key Info'!$G$85*(('HIV-Key Info'!$E$85*'HPM costs'!M119)+('HIV-Key Info'!$F$85*('HPM costs'!M122+'HPM costs'!M125)))</f>
        <v>0</v>
      </c>
      <c r="AH430" s="695"/>
      <c r="AI430" s="695">
        <f>'HIV-Key Info'!$G$85*(('HIV-Key Info'!$E$85*'HPM costs'!N119)+('HIV-Key Info'!$F$85*('HPM costs'!N122+'HPM costs'!N125)))</f>
        <v>0</v>
      </c>
      <c r="AJ430" s="695"/>
      <c r="AK430" s="1492">
        <f t="shared" si="43"/>
        <v>0</v>
      </c>
      <c r="AL430" s="1493"/>
      <c r="AM430" s="1494"/>
      <c r="AN430" s="699"/>
      <c r="AO430" s="695"/>
      <c r="AP430" s="695">
        <f>'HIV-Key Info'!$G$85*(('HIV-Key Info'!$E$85*'HPM costs'!P119)+('HIV-Key Info'!$F$85*('HPM costs'!P122+'HPM costs'!P125)))</f>
        <v>0</v>
      </c>
      <c r="AQ430" s="695"/>
      <c r="AR430" s="695">
        <f>'HIV-Key Info'!$G$85*(('HIV-Key Info'!$E$85*'HPM costs'!Q119)+('HIV-Key Info'!$F$85*('HPM costs'!Q122+'HPM costs'!Q125)))</f>
        <v>0</v>
      </c>
      <c r="AS430" s="695"/>
      <c r="AT430" s="695">
        <f>'HIV-Key Info'!$G$85*(('HIV-Key Info'!$E$85*'HPM costs'!R119)+('HIV-Key Info'!$F$85*('HPM costs'!R122+'HPM costs'!R125)))</f>
        <v>0</v>
      </c>
      <c r="AU430" s="695"/>
      <c r="AV430" s="695">
        <f>'HIV-Key Info'!$G$85*(('HIV-Key Info'!$E$85*'HPM costs'!S119)+('HIV-Key Info'!$F$85*('HPM costs'!S122+'HPM costs'!S125)))</f>
        <v>0</v>
      </c>
      <c r="AW430" s="695"/>
      <c r="AX430" s="1492">
        <f t="shared" si="44"/>
        <v>0</v>
      </c>
      <c r="AY430" s="1492"/>
      <c r="AZ430" s="698"/>
      <c r="BA430" s="699"/>
      <c r="BB430" s="697"/>
      <c r="BC430" s="697">
        <v>0</v>
      </c>
      <c r="BD430" s="697">
        <v>0</v>
      </c>
      <c r="BE430" s="697">
        <v>0</v>
      </c>
      <c r="BF430" s="697">
        <v>0</v>
      </c>
      <c r="BG430" s="697">
        <v>0</v>
      </c>
      <c r="BH430" s="697">
        <v>0</v>
      </c>
      <c r="BI430" s="697">
        <v>0</v>
      </c>
      <c r="BJ430" s="697">
        <v>0</v>
      </c>
      <c r="BK430" s="1492">
        <f t="shared" si="45"/>
        <v>0</v>
      </c>
      <c r="BL430" s="1492"/>
      <c r="BM430" s="1492">
        <f t="shared" si="46"/>
        <v>0</v>
      </c>
      <c r="BN430" s="1492">
        <f t="shared" si="47"/>
        <v>0</v>
      </c>
      <c r="BO430" s="697"/>
      <c r="BP430" s="697"/>
      <c r="BQ430" s="1495" t="s">
        <v>6938</v>
      </c>
      <c r="BR430" s="1495" t="s">
        <v>818</v>
      </c>
      <c r="BS430" s="1902" t="s">
        <v>655</v>
      </c>
      <c r="BT430" s="1907" t="s">
        <v>2149</v>
      </c>
    </row>
    <row r="431" spans="1:72" ht="13">
      <c r="A431" s="1545">
        <v>987</v>
      </c>
      <c r="B431" s="1546" t="s">
        <v>800</v>
      </c>
      <c r="C431" s="1546" t="s">
        <v>801</v>
      </c>
      <c r="D431" s="1547" t="s">
        <v>6882</v>
      </c>
      <c r="E431" s="690" t="s">
        <v>660</v>
      </c>
      <c r="F431" s="691"/>
      <c r="G431" s="692"/>
      <c r="H431" s="692"/>
      <c r="I431" s="692"/>
      <c r="J431" s="693"/>
      <c r="K431" s="693"/>
      <c r="L431" s="693"/>
      <c r="M431" s="694"/>
      <c r="N431" s="695"/>
      <c r="O431" s="696" t="s">
        <v>1569</v>
      </c>
      <c r="P431" s="695">
        <f>'HIV-Key Info'!$G$85*(('HIV-Key Info'!$E$85*'HPM costs'!F379)+('HIV-Key Info'!$F$85*('HPM costs'!F382+'HPM costs'!F385)))</f>
        <v>0</v>
      </c>
      <c r="Q431" s="695" t="s">
        <v>1569</v>
      </c>
      <c r="R431" s="695">
        <f>'HIV-Key Info'!$G$85*(('HIV-Key Info'!$E$85*'HPM costs'!G379)+('HIV-Key Info'!$F$85*('HPM costs'!G382+'HPM costs'!G385)))</f>
        <v>0</v>
      </c>
      <c r="S431" s="695" t="s">
        <v>1569</v>
      </c>
      <c r="T431" s="695">
        <f>'HIV-Key Info'!$G$85*(('HIV-Key Info'!$E$85*'HPM costs'!H379)+('HIV-Key Info'!$F$85*('HPM costs'!H382+'HPM costs'!H385)))</f>
        <v>0</v>
      </c>
      <c r="U431" s="695" t="s">
        <v>1569</v>
      </c>
      <c r="V431" s="695">
        <f>'HIV-Key Info'!$G$85*(('HIV-Key Info'!$E$85*'HPM costs'!I379)+('HIV-Key Info'!$F$85*('HPM costs'!I382+'HPM costs'!I385)))</f>
        <v>0</v>
      </c>
      <c r="W431" s="695"/>
      <c r="X431" s="1492">
        <f t="shared" si="42"/>
        <v>0</v>
      </c>
      <c r="Y431" s="1493"/>
      <c r="Z431" s="1494"/>
      <c r="AA431" s="699"/>
      <c r="AB431" s="695"/>
      <c r="AC431" s="695">
        <f>'HIV-Key Info'!$G$85*(('HIV-Key Info'!$E$85*'HPM costs'!K379)+('HIV-Key Info'!$F$85*('HPM costs'!K382+'HPM costs'!K385)))</f>
        <v>0</v>
      </c>
      <c r="AD431" s="695"/>
      <c r="AE431" s="695">
        <f>'HIV-Key Info'!$G$85*(('HIV-Key Info'!$E$85*'HPM costs'!L379)+('HIV-Key Info'!$F$85*('HPM costs'!L382+'HPM costs'!L385)))</f>
        <v>0</v>
      </c>
      <c r="AF431" s="695"/>
      <c r="AG431" s="695">
        <f>'HIV-Key Info'!$G$85*(('HIV-Key Info'!$E$85*'HPM costs'!M379)+('HIV-Key Info'!$F$85*('HPM costs'!M382+'HPM costs'!M385)))</f>
        <v>0</v>
      </c>
      <c r="AH431" s="695"/>
      <c r="AI431" s="695">
        <f>'HIV-Key Info'!$G$85*(('HIV-Key Info'!$E$85*'HPM costs'!N379)+('HIV-Key Info'!$F$85*('HPM costs'!N382+'HPM costs'!N385)))</f>
        <v>0</v>
      </c>
      <c r="AJ431" s="695"/>
      <c r="AK431" s="1492">
        <f t="shared" si="43"/>
        <v>0</v>
      </c>
      <c r="AL431" s="1493"/>
      <c r="AM431" s="1494"/>
      <c r="AN431" s="699"/>
      <c r="AO431" s="695"/>
      <c r="AP431" s="695">
        <f>'HIV-Key Info'!$G$85*(('HIV-Key Info'!$E$85*'HPM costs'!P379)+('HIV-Key Info'!$F$85*('HPM costs'!P382+'HPM costs'!P385)))</f>
        <v>0</v>
      </c>
      <c r="AQ431" s="695"/>
      <c r="AR431" s="695">
        <f>'HIV-Key Info'!$G$85*(('HIV-Key Info'!$E$85*'HPM costs'!Q379)+('HIV-Key Info'!$F$85*('HPM costs'!Q382+'HPM costs'!Q385)))</f>
        <v>0</v>
      </c>
      <c r="AS431" s="695"/>
      <c r="AT431" s="695">
        <f>'HIV-Key Info'!$G$85*(('HIV-Key Info'!$E$85*'HPM costs'!R379)+('HIV-Key Info'!$F$85*('HPM costs'!R382+'HPM costs'!R385)))</f>
        <v>0</v>
      </c>
      <c r="AU431" s="695"/>
      <c r="AV431" s="695">
        <f>'HIV-Key Info'!$G$85*(('HIV-Key Info'!$E$85*'HPM costs'!S379)+('HIV-Key Info'!$F$85*('HPM costs'!S382+'HPM costs'!S385)))</f>
        <v>0</v>
      </c>
      <c r="AW431" s="695"/>
      <c r="AX431" s="1492">
        <f t="shared" si="44"/>
        <v>0</v>
      </c>
      <c r="AY431" s="1492"/>
      <c r="AZ431" s="698"/>
      <c r="BA431" s="699"/>
      <c r="BB431" s="697"/>
      <c r="BC431" s="697">
        <v>0</v>
      </c>
      <c r="BD431" s="697">
        <v>0</v>
      </c>
      <c r="BE431" s="697">
        <v>0</v>
      </c>
      <c r="BF431" s="697">
        <v>0</v>
      </c>
      <c r="BG431" s="697">
        <v>0</v>
      </c>
      <c r="BH431" s="697">
        <v>0</v>
      </c>
      <c r="BI431" s="697">
        <v>0</v>
      </c>
      <c r="BJ431" s="697">
        <v>0</v>
      </c>
      <c r="BK431" s="1492">
        <f t="shared" si="45"/>
        <v>0</v>
      </c>
      <c r="BL431" s="1492"/>
      <c r="BM431" s="1492">
        <f t="shared" si="46"/>
        <v>0</v>
      </c>
      <c r="BN431" s="1492">
        <f t="shared" si="47"/>
        <v>0</v>
      </c>
      <c r="BO431" s="697"/>
      <c r="BP431" s="697"/>
      <c r="BQ431" s="1495" t="s">
        <v>6938</v>
      </c>
      <c r="BR431" s="1495" t="s">
        <v>818</v>
      </c>
      <c r="BS431" s="1902" t="s">
        <v>655</v>
      </c>
      <c r="BT431" s="1907" t="s">
        <v>2150</v>
      </c>
    </row>
    <row r="432" spans="1:72" ht="13">
      <c r="A432" s="1545">
        <v>988</v>
      </c>
      <c r="B432" s="1546" t="s">
        <v>800</v>
      </c>
      <c r="C432" s="1546" t="s">
        <v>801</v>
      </c>
      <c r="D432" s="1547" t="s">
        <v>6882</v>
      </c>
      <c r="E432" s="690" t="s">
        <v>662</v>
      </c>
      <c r="F432" s="691"/>
      <c r="G432" s="692"/>
      <c r="H432" s="692"/>
      <c r="I432" s="692"/>
      <c r="J432" s="693"/>
      <c r="K432" s="693"/>
      <c r="L432" s="693"/>
      <c r="M432" s="694"/>
      <c r="N432" s="695"/>
      <c r="O432" s="696" t="s">
        <v>1569</v>
      </c>
      <c r="P432" s="695">
        <f>'HIV-Key Info'!$G$85*(('HIV-Key Info'!$E$85*'HPM costs'!F465)+('HIV-Key Info'!$F$85*('HPM costs'!F468+'HPM costs'!F471)))</f>
        <v>0</v>
      </c>
      <c r="Q432" s="695" t="s">
        <v>1569</v>
      </c>
      <c r="R432" s="695">
        <f>'HIV-Key Info'!$G$85*(('HIV-Key Info'!$E$85*'HPM costs'!G465)+('HIV-Key Info'!$F$85*('HPM costs'!G468+'HPM costs'!G471)))</f>
        <v>0</v>
      </c>
      <c r="S432" s="695" t="s">
        <v>1569</v>
      </c>
      <c r="T432" s="695">
        <f>'HIV-Key Info'!$G$85*(('HIV-Key Info'!$E$85*'HPM costs'!H465)+('HIV-Key Info'!$F$85*('HPM costs'!H468+'HPM costs'!H471)))</f>
        <v>0</v>
      </c>
      <c r="U432" s="695" t="s">
        <v>1569</v>
      </c>
      <c r="V432" s="695">
        <f>'HIV-Key Info'!$G$85*(('HIV-Key Info'!$E$85*'HPM costs'!I465)+('HIV-Key Info'!$F$85*('HPM costs'!I468+'HPM costs'!I471)))</f>
        <v>0</v>
      </c>
      <c r="W432" s="695"/>
      <c r="X432" s="1492">
        <f t="shared" si="42"/>
        <v>0</v>
      </c>
      <c r="Y432" s="1493"/>
      <c r="Z432" s="1494"/>
      <c r="AA432" s="699"/>
      <c r="AB432" s="695"/>
      <c r="AC432" s="695">
        <f>'HIV-Key Info'!$G$85*(('HIV-Key Info'!$E$85*'HPM costs'!K465)+('HIV-Key Info'!$F$85*('HPM costs'!K468+'HPM costs'!K471)))</f>
        <v>0</v>
      </c>
      <c r="AD432" s="695"/>
      <c r="AE432" s="695">
        <f>'HIV-Key Info'!$G$85*(('HIV-Key Info'!$E$85*'HPM costs'!L465)+('HIV-Key Info'!$F$85*('HPM costs'!L468+'HPM costs'!L471)))</f>
        <v>0</v>
      </c>
      <c r="AF432" s="695"/>
      <c r="AG432" s="695">
        <f>'HIV-Key Info'!$G$85*(('HIV-Key Info'!$E$85*'HPM costs'!M465)+('HIV-Key Info'!$F$85*('HPM costs'!M468+'HPM costs'!M471)))</f>
        <v>0</v>
      </c>
      <c r="AH432" s="695"/>
      <c r="AI432" s="695">
        <f>'HIV-Key Info'!$G$85*(('HIV-Key Info'!$E$85*'HPM costs'!N465)+('HIV-Key Info'!$F$85*('HPM costs'!N468+'HPM costs'!N471)))</f>
        <v>0</v>
      </c>
      <c r="AJ432" s="695"/>
      <c r="AK432" s="1492">
        <f t="shared" si="43"/>
        <v>0</v>
      </c>
      <c r="AL432" s="1493"/>
      <c r="AM432" s="1494"/>
      <c r="AN432" s="699"/>
      <c r="AO432" s="695"/>
      <c r="AP432" s="695">
        <f>'HIV-Key Info'!$G$85*(('HIV-Key Info'!$E$85*'HPM costs'!P465)+('HIV-Key Info'!$F$85*('HPM costs'!P468+'HPM costs'!P471)))</f>
        <v>0</v>
      </c>
      <c r="AQ432" s="695"/>
      <c r="AR432" s="695">
        <f>'HIV-Key Info'!$G$85*(('HIV-Key Info'!$E$85*'HPM costs'!Q465)+('HIV-Key Info'!$F$85*('HPM costs'!Q468+'HPM costs'!Q471)))</f>
        <v>0</v>
      </c>
      <c r="AS432" s="695"/>
      <c r="AT432" s="695">
        <f>'HIV-Key Info'!$G$85*(('HIV-Key Info'!$E$85*'HPM costs'!R465)+('HIV-Key Info'!$F$85*('HPM costs'!R468+'HPM costs'!R471)))</f>
        <v>0</v>
      </c>
      <c r="AU432" s="695"/>
      <c r="AV432" s="695">
        <f>'HIV-Key Info'!$G$85*(('HIV-Key Info'!$E$85*'HPM costs'!S465)+('HIV-Key Info'!$F$85*('HPM costs'!S468+'HPM costs'!S471)))</f>
        <v>0</v>
      </c>
      <c r="AW432" s="695"/>
      <c r="AX432" s="1492">
        <f t="shared" si="44"/>
        <v>0</v>
      </c>
      <c r="AY432" s="1492"/>
      <c r="AZ432" s="698"/>
      <c r="BA432" s="699"/>
      <c r="BB432" s="697"/>
      <c r="BC432" s="697">
        <v>0</v>
      </c>
      <c r="BD432" s="697">
        <v>0</v>
      </c>
      <c r="BE432" s="697">
        <v>0</v>
      </c>
      <c r="BF432" s="697">
        <v>0</v>
      </c>
      <c r="BG432" s="697">
        <v>0</v>
      </c>
      <c r="BH432" s="697">
        <v>0</v>
      </c>
      <c r="BI432" s="697">
        <v>0</v>
      </c>
      <c r="BJ432" s="697">
        <v>0</v>
      </c>
      <c r="BK432" s="1492">
        <f t="shared" si="45"/>
        <v>0</v>
      </c>
      <c r="BL432" s="1492"/>
      <c r="BM432" s="1492">
        <f t="shared" si="46"/>
        <v>0</v>
      </c>
      <c r="BN432" s="1492">
        <f t="shared" si="47"/>
        <v>0</v>
      </c>
      <c r="BO432" s="697"/>
      <c r="BP432" s="697"/>
      <c r="BQ432" s="1495" t="s">
        <v>6938</v>
      </c>
      <c r="BR432" s="1495" t="s">
        <v>818</v>
      </c>
      <c r="BS432" s="1902" t="s">
        <v>655</v>
      </c>
      <c r="BT432" s="1907" t="s">
        <v>2151</v>
      </c>
    </row>
    <row r="433" spans="1:72" ht="13">
      <c r="A433" s="1545">
        <v>989</v>
      </c>
      <c r="B433" s="1546" t="s">
        <v>800</v>
      </c>
      <c r="C433" s="1546" t="s">
        <v>801</v>
      </c>
      <c r="D433" s="1547" t="s">
        <v>6882</v>
      </c>
      <c r="E433" s="690" t="s">
        <v>664</v>
      </c>
      <c r="F433" s="691"/>
      <c r="G433" s="692"/>
      <c r="H433" s="692"/>
      <c r="I433" s="692"/>
      <c r="J433" s="693"/>
      <c r="K433" s="693"/>
      <c r="L433" s="693"/>
      <c r="M433" s="694"/>
      <c r="N433" s="695"/>
      <c r="O433" s="696" t="s">
        <v>1569</v>
      </c>
      <c r="P433" s="695">
        <f>'HIV-Key Info'!$G$85*(('HIV-Key Info'!$E$85*('HPM costs'!F205+'HPM costs'!F551))+('HIV-Key Info'!$F$85*('HPM costs'!F208+'HPM costs'!F211+'HPM costs'!F554+'HPM costs'!F557)))</f>
        <v>0</v>
      </c>
      <c r="Q433" s="695" t="s">
        <v>1569</v>
      </c>
      <c r="R433" s="695">
        <f>'HIV-Key Info'!$G$85*(('HIV-Key Info'!$E$85*('HPM costs'!G205+'HPM costs'!G551))+('HIV-Key Info'!$F$85*('HPM costs'!G208+'HPM costs'!G211+'HPM costs'!G554+'HPM costs'!G557)))</f>
        <v>0</v>
      </c>
      <c r="S433" s="695" t="s">
        <v>1569</v>
      </c>
      <c r="T433" s="695">
        <f>'HIV-Key Info'!$G$85*(('HIV-Key Info'!$E$85*('HPM costs'!H205+'HPM costs'!H551))+('HIV-Key Info'!$F$85*('HPM costs'!H208+'HPM costs'!H211+'HPM costs'!H554+'HPM costs'!H557)))</f>
        <v>0</v>
      </c>
      <c r="U433" s="695" t="s">
        <v>1569</v>
      </c>
      <c r="V433" s="695">
        <f>'HIV-Key Info'!$G$85*(('HIV-Key Info'!$E$85*('HPM costs'!I205+'HPM costs'!I551))+('HIV-Key Info'!$F$85*('HPM costs'!I208+'HPM costs'!I211+'HPM costs'!I554+'HPM costs'!I557)))</f>
        <v>0</v>
      </c>
      <c r="W433" s="695"/>
      <c r="X433" s="1492">
        <f t="shared" si="42"/>
        <v>0</v>
      </c>
      <c r="Y433" s="1493"/>
      <c r="Z433" s="1494"/>
      <c r="AA433" s="699"/>
      <c r="AB433" s="695"/>
      <c r="AC433" s="695">
        <f>'HIV-Key Info'!$G$85*(('HIV-Key Info'!$E$85*('HPM costs'!K205+'HPM costs'!K551))+('HIV-Key Info'!$F$85*('HPM costs'!K208+'HPM costs'!K211+'HPM costs'!K554+'HPM costs'!K557)))</f>
        <v>0</v>
      </c>
      <c r="AD433" s="695"/>
      <c r="AE433" s="695">
        <f>'HIV-Key Info'!$G$85*(('HIV-Key Info'!$E$85*('HPM costs'!L205+'HPM costs'!L551))+('HIV-Key Info'!$F$85*('HPM costs'!L208+'HPM costs'!L211+'HPM costs'!L554+'HPM costs'!L557)))</f>
        <v>0</v>
      </c>
      <c r="AF433" s="695"/>
      <c r="AG433" s="695">
        <f>'HIV-Key Info'!$G$85*(('HIV-Key Info'!$E$85*('HPM costs'!M205+'HPM costs'!M551))+('HIV-Key Info'!$F$85*('HPM costs'!M208+'HPM costs'!M211+'HPM costs'!M554+'HPM costs'!M557)))</f>
        <v>0</v>
      </c>
      <c r="AH433" s="695"/>
      <c r="AI433" s="695">
        <f>'HIV-Key Info'!$G$85*(('HIV-Key Info'!$E$85*('HPM costs'!N205+'HPM costs'!N551))+('HIV-Key Info'!$F$85*('HPM costs'!N208+'HPM costs'!N211+'HPM costs'!N554+'HPM costs'!N557)))</f>
        <v>0</v>
      </c>
      <c r="AJ433" s="695"/>
      <c r="AK433" s="1492">
        <f t="shared" si="43"/>
        <v>0</v>
      </c>
      <c r="AL433" s="1493"/>
      <c r="AM433" s="1494"/>
      <c r="AN433" s="699"/>
      <c r="AO433" s="695"/>
      <c r="AP433" s="695">
        <f>'HIV-Key Info'!$G$85*(('HIV-Key Info'!$E$85*('HPM costs'!P205+'HPM costs'!P551))+('HIV-Key Info'!$F$85*('HPM costs'!P208+'HPM costs'!P211+'HPM costs'!P554+'HPM costs'!P557)))</f>
        <v>0</v>
      </c>
      <c r="AQ433" s="695"/>
      <c r="AR433" s="695">
        <f>'HIV-Key Info'!$G$85*(('HIV-Key Info'!$E$85*('HPM costs'!Q205+'HPM costs'!Q551))+('HIV-Key Info'!$F$85*('HPM costs'!Q208+'HPM costs'!Q211+'HPM costs'!Q554+'HPM costs'!Q557)))</f>
        <v>0</v>
      </c>
      <c r="AS433" s="695"/>
      <c r="AT433" s="695">
        <f>'HIV-Key Info'!$G$85*(('HIV-Key Info'!$E$85*('HPM costs'!R205+'HPM costs'!R551))+('HIV-Key Info'!$F$85*('HPM costs'!R208+'HPM costs'!R211+'HPM costs'!R554+'HPM costs'!R557)))</f>
        <v>0</v>
      </c>
      <c r="AU433" s="695"/>
      <c r="AV433" s="695">
        <f>'HIV-Key Info'!$G$85*(('HIV-Key Info'!$E$85*('HPM costs'!S205+'HPM costs'!S551))+('HIV-Key Info'!$F$85*('HPM costs'!S208+'HPM costs'!S211+'HPM costs'!S554+'HPM costs'!S557)))</f>
        <v>0</v>
      </c>
      <c r="AW433" s="695"/>
      <c r="AX433" s="1492">
        <f t="shared" si="44"/>
        <v>0</v>
      </c>
      <c r="AY433" s="1492"/>
      <c r="AZ433" s="698"/>
      <c r="BA433" s="699"/>
      <c r="BB433" s="697"/>
      <c r="BC433" s="697">
        <v>0</v>
      </c>
      <c r="BD433" s="697">
        <v>0</v>
      </c>
      <c r="BE433" s="697">
        <v>0</v>
      </c>
      <c r="BF433" s="697">
        <v>0</v>
      </c>
      <c r="BG433" s="697">
        <v>0</v>
      </c>
      <c r="BH433" s="697">
        <v>0</v>
      </c>
      <c r="BI433" s="697">
        <v>0</v>
      </c>
      <c r="BJ433" s="697">
        <v>0</v>
      </c>
      <c r="BK433" s="1492">
        <f t="shared" si="45"/>
        <v>0</v>
      </c>
      <c r="BL433" s="1492"/>
      <c r="BM433" s="1492">
        <f t="shared" si="46"/>
        <v>0</v>
      </c>
      <c r="BN433" s="1492">
        <f t="shared" si="47"/>
        <v>0</v>
      </c>
      <c r="BO433" s="697"/>
      <c r="BP433" s="697"/>
      <c r="BQ433" s="1495" t="s">
        <v>6938</v>
      </c>
      <c r="BR433" s="1495" t="s">
        <v>818</v>
      </c>
      <c r="BS433" s="1902" t="s">
        <v>655</v>
      </c>
      <c r="BT433" s="1907" t="s">
        <v>2152</v>
      </c>
    </row>
    <row r="434" spans="1:72" ht="13">
      <c r="A434" s="1545">
        <v>990</v>
      </c>
      <c r="B434" s="1546" t="s">
        <v>800</v>
      </c>
      <c r="C434" s="1546" t="s">
        <v>801</v>
      </c>
      <c r="D434" s="1547" t="s">
        <v>6882</v>
      </c>
      <c r="E434" s="690" t="s">
        <v>666</v>
      </c>
      <c r="F434" s="691"/>
      <c r="G434" s="692"/>
      <c r="H434" s="692"/>
      <c r="I434" s="692"/>
      <c r="J434" s="693"/>
      <c r="K434" s="693"/>
      <c r="L434" s="693"/>
      <c r="M434" s="694"/>
      <c r="N434" s="695"/>
      <c r="O434" s="696" t="s">
        <v>1569</v>
      </c>
      <c r="P434" s="695">
        <f>'HIV-Key Info'!$G$85*(('HIV-Key Info'!$E$85*'HPM costs'!F291)+('HIV-Key Info'!$F$85*('HPM costs'!F294+'HPM costs'!F297)))</f>
        <v>0</v>
      </c>
      <c r="Q434" s="695" t="s">
        <v>1569</v>
      </c>
      <c r="R434" s="695">
        <f>'HIV-Key Info'!$G$85*(('HIV-Key Info'!$E$85*'HPM costs'!G291)+('HIV-Key Info'!$F$85*('HPM costs'!G294+'HPM costs'!G297)))</f>
        <v>0</v>
      </c>
      <c r="S434" s="695" t="s">
        <v>1569</v>
      </c>
      <c r="T434" s="695">
        <f>'HIV-Key Info'!$G$85*(('HIV-Key Info'!$E$85*'HPM costs'!H291)+('HIV-Key Info'!$F$85*('HPM costs'!H294+'HPM costs'!H297)))</f>
        <v>0</v>
      </c>
      <c r="U434" s="695" t="s">
        <v>1569</v>
      </c>
      <c r="V434" s="695">
        <f>'HIV-Key Info'!$G$85*(('HIV-Key Info'!$E$85*'HPM costs'!I291)+('HIV-Key Info'!$F$85*('HPM costs'!I294+'HPM costs'!I297)))</f>
        <v>0</v>
      </c>
      <c r="W434" s="695"/>
      <c r="X434" s="1492">
        <f t="shared" si="42"/>
        <v>0</v>
      </c>
      <c r="Y434" s="1493"/>
      <c r="Z434" s="1494"/>
      <c r="AA434" s="699"/>
      <c r="AB434" s="695"/>
      <c r="AC434" s="695">
        <f>'HIV-Key Info'!$G$85*(('HIV-Key Info'!$E$85*'HPM costs'!K291)+('HIV-Key Info'!$F$85*('HPM costs'!K294+'HPM costs'!K297)))</f>
        <v>0</v>
      </c>
      <c r="AD434" s="695"/>
      <c r="AE434" s="695">
        <f>'HIV-Key Info'!$G$85*(('HIV-Key Info'!$E$85*'HPM costs'!L291)+('HIV-Key Info'!$F$85*('HPM costs'!L294+'HPM costs'!L297)))</f>
        <v>0</v>
      </c>
      <c r="AF434" s="695"/>
      <c r="AG434" s="695">
        <f>'HIV-Key Info'!$G$85*(('HIV-Key Info'!$E$85*'HPM costs'!M291)+('HIV-Key Info'!$F$85*('HPM costs'!M294+'HPM costs'!M297)))</f>
        <v>0</v>
      </c>
      <c r="AH434" s="695"/>
      <c r="AI434" s="695">
        <f>'HIV-Key Info'!$G$85*(('HIV-Key Info'!$E$85*'HPM costs'!N291)+('HIV-Key Info'!$F$85*('HPM costs'!N294+'HPM costs'!N297)))</f>
        <v>0</v>
      </c>
      <c r="AJ434" s="695"/>
      <c r="AK434" s="1492">
        <f t="shared" si="43"/>
        <v>0</v>
      </c>
      <c r="AL434" s="1493"/>
      <c r="AM434" s="1494"/>
      <c r="AN434" s="699"/>
      <c r="AO434" s="695"/>
      <c r="AP434" s="695">
        <f>'HIV-Key Info'!$G$85*(('HIV-Key Info'!$E$85*'HPM costs'!P291)+('HIV-Key Info'!$F$85*('HPM costs'!P294+'HPM costs'!P297)))</f>
        <v>0</v>
      </c>
      <c r="AQ434" s="695"/>
      <c r="AR434" s="695">
        <f>'HIV-Key Info'!$G$85*(('HIV-Key Info'!$E$85*'HPM costs'!Q291)+('HIV-Key Info'!$F$85*('HPM costs'!Q294+'HPM costs'!Q297)))</f>
        <v>0</v>
      </c>
      <c r="AS434" s="695"/>
      <c r="AT434" s="695">
        <f>'HIV-Key Info'!$G$85*(('HIV-Key Info'!$E$85*'HPM costs'!R291)+('HIV-Key Info'!$F$85*('HPM costs'!R294+'HPM costs'!R297)))</f>
        <v>0</v>
      </c>
      <c r="AU434" s="695"/>
      <c r="AV434" s="695">
        <f>'HIV-Key Info'!$G$85*(('HIV-Key Info'!$E$85*'HPM costs'!S291)+('HIV-Key Info'!$F$85*('HPM costs'!S294+'HPM costs'!S297)))</f>
        <v>0</v>
      </c>
      <c r="AW434" s="695"/>
      <c r="AX434" s="1492">
        <f t="shared" si="44"/>
        <v>0</v>
      </c>
      <c r="AY434" s="1492"/>
      <c r="AZ434" s="698"/>
      <c r="BA434" s="699"/>
      <c r="BB434" s="697"/>
      <c r="BC434" s="697">
        <v>0</v>
      </c>
      <c r="BD434" s="697">
        <v>0</v>
      </c>
      <c r="BE434" s="697">
        <v>0</v>
      </c>
      <c r="BF434" s="697">
        <v>0</v>
      </c>
      <c r="BG434" s="697">
        <v>0</v>
      </c>
      <c r="BH434" s="697">
        <v>0</v>
      </c>
      <c r="BI434" s="697">
        <v>0</v>
      </c>
      <c r="BJ434" s="697">
        <v>0</v>
      </c>
      <c r="BK434" s="1492">
        <f t="shared" si="45"/>
        <v>0</v>
      </c>
      <c r="BL434" s="1492"/>
      <c r="BM434" s="1492">
        <f t="shared" si="46"/>
        <v>0</v>
      </c>
      <c r="BN434" s="1492">
        <f t="shared" si="47"/>
        <v>0</v>
      </c>
      <c r="BO434" s="697"/>
      <c r="BP434" s="697"/>
      <c r="BQ434" s="1495" t="s">
        <v>6938</v>
      </c>
      <c r="BR434" s="1495" t="s">
        <v>818</v>
      </c>
      <c r="BS434" s="1902" t="s">
        <v>655</v>
      </c>
      <c r="BT434" s="1907" t="s">
        <v>2153</v>
      </c>
    </row>
    <row r="435" spans="1:72" ht="13">
      <c r="A435" s="1545">
        <v>991</v>
      </c>
      <c r="B435" s="1546" t="s">
        <v>800</v>
      </c>
      <c r="C435" s="1546" t="s">
        <v>801</v>
      </c>
      <c r="D435" s="1547" t="s">
        <v>6882</v>
      </c>
      <c r="E435" s="690" t="s">
        <v>668</v>
      </c>
      <c r="F435" s="691"/>
      <c r="G435" s="692"/>
      <c r="H435" s="692"/>
      <c r="I435" s="692"/>
      <c r="J435" s="693"/>
      <c r="K435" s="693"/>
      <c r="L435" s="693"/>
      <c r="M435" s="694"/>
      <c r="N435" s="695"/>
      <c r="O435" s="696" t="s">
        <v>1569</v>
      </c>
      <c r="P435" s="695">
        <f>'HIV-Key Info'!$G$85*(('HIV-Key Info'!$E$85*'HPM costs'!F636)+('HIV-Key Info'!$F$85*('HPM costs'!F639+'HPM costs'!F642)))</f>
        <v>0</v>
      </c>
      <c r="Q435" s="695" t="s">
        <v>1569</v>
      </c>
      <c r="R435" s="695">
        <f>'HIV-Key Info'!$G$85*(('HIV-Key Info'!$E$85*'HPM costs'!G636)+('HIV-Key Info'!$F$85*('HPM costs'!G639+'HPM costs'!G642)))</f>
        <v>0</v>
      </c>
      <c r="S435" s="695" t="s">
        <v>1569</v>
      </c>
      <c r="T435" s="695">
        <f>'HIV-Key Info'!$G$85*(('HIV-Key Info'!$E$85*'HPM costs'!H636)+('HIV-Key Info'!$F$85*('HPM costs'!H639+'HPM costs'!H642)))</f>
        <v>0</v>
      </c>
      <c r="U435" s="695" t="s">
        <v>1569</v>
      </c>
      <c r="V435" s="695">
        <f>'HIV-Key Info'!$G$85*(('HIV-Key Info'!$E$85*'HPM costs'!I636)+('HIV-Key Info'!$F$85*('HPM costs'!I639+'HPM costs'!I642)))</f>
        <v>0</v>
      </c>
      <c r="W435" s="695"/>
      <c r="X435" s="1492">
        <f t="shared" si="42"/>
        <v>0</v>
      </c>
      <c r="Y435" s="1493"/>
      <c r="Z435" s="1494"/>
      <c r="AA435" s="699"/>
      <c r="AB435" s="695"/>
      <c r="AC435" s="695">
        <f>'HIV-Key Info'!$G$85*(('HIV-Key Info'!$E$85*'HPM costs'!K636)+('HIV-Key Info'!$F$85*('HPM costs'!K639+'HPM costs'!K642)))</f>
        <v>0</v>
      </c>
      <c r="AD435" s="695"/>
      <c r="AE435" s="695">
        <f>'HIV-Key Info'!$G$85*(('HIV-Key Info'!$E$85*'HPM costs'!L636)+('HIV-Key Info'!$F$85*('HPM costs'!L639+'HPM costs'!L642)))</f>
        <v>0</v>
      </c>
      <c r="AF435" s="695"/>
      <c r="AG435" s="695">
        <f>'HIV-Key Info'!$G$85*(('HIV-Key Info'!$E$85*'HPM costs'!M636)+('HIV-Key Info'!$F$85*('HPM costs'!M639+'HPM costs'!M642)))</f>
        <v>0</v>
      </c>
      <c r="AH435" s="695"/>
      <c r="AI435" s="695">
        <f>'HIV-Key Info'!$G$85*(('HIV-Key Info'!$E$85*'HPM costs'!N636)+('HIV-Key Info'!$F$85*('HPM costs'!N639+'HPM costs'!N642)))</f>
        <v>0</v>
      </c>
      <c r="AJ435" s="695"/>
      <c r="AK435" s="1492">
        <f t="shared" si="43"/>
        <v>0</v>
      </c>
      <c r="AL435" s="1493"/>
      <c r="AM435" s="1494"/>
      <c r="AN435" s="699"/>
      <c r="AO435" s="695"/>
      <c r="AP435" s="695">
        <f>'HIV-Key Info'!$G$85*(('HIV-Key Info'!$E$85*'HPM costs'!P636)+('HIV-Key Info'!$F$85*('HPM costs'!P639+'HPM costs'!P642)))</f>
        <v>0</v>
      </c>
      <c r="AQ435" s="695"/>
      <c r="AR435" s="695">
        <f>'HIV-Key Info'!$G$85*(('HIV-Key Info'!$E$85*'HPM costs'!Q636)+('HIV-Key Info'!$F$85*('HPM costs'!Q639+'HPM costs'!Q642)))</f>
        <v>0</v>
      </c>
      <c r="AS435" s="695"/>
      <c r="AT435" s="695">
        <f>'HIV-Key Info'!$G$85*(('HIV-Key Info'!$E$85*'HPM costs'!R636)+('HIV-Key Info'!$F$85*('HPM costs'!R639+'HPM costs'!R642)))</f>
        <v>0</v>
      </c>
      <c r="AU435" s="695"/>
      <c r="AV435" s="695">
        <f>'HIV-Key Info'!$G$85*(('HIV-Key Info'!$E$85*'HPM costs'!S636)+('HIV-Key Info'!$F$85*('HPM costs'!S639+'HPM costs'!S642)))</f>
        <v>0</v>
      </c>
      <c r="AW435" s="695"/>
      <c r="AX435" s="1492">
        <f t="shared" si="44"/>
        <v>0</v>
      </c>
      <c r="AY435" s="1492"/>
      <c r="AZ435" s="698"/>
      <c r="BA435" s="699"/>
      <c r="BB435" s="697"/>
      <c r="BC435" s="697">
        <v>0</v>
      </c>
      <c r="BD435" s="697">
        <v>0</v>
      </c>
      <c r="BE435" s="697">
        <v>0</v>
      </c>
      <c r="BF435" s="697">
        <v>0</v>
      </c>
      <c r="BG435" s="697">
        <v>0</v>
      </c>
      <c r="BH435" s="697">
        <v>0</v>
      </c>
      <c r="BI435" s="697">
        <v>0</v>
      </c>
      <c r="BJ435" s="697">
        <v>0</v>
      </c>
      <c r="BK435" s="1492">
        <f t="shared" si="45"/>
        <v>0</v>
      </c>
      <c r="BL435" s="1492"/>
      <c r="BM435" s="1492">
        <f t="shared" si="46"/>
        <v>0</v>
      </c>
      <c r="BN435" s="1492">
        <f t="shared" si="47"/>
        <v>0</v>
      </c>
      <c r="BO435" s="697"/>
      <c r="BP435" s="697"/>
      <c r="BQ435" s="1495" t="s">
        <v>6938</v>
      </c>
      <c r="BR435" s="1495" t="s">
        <v>818</v>
      </c>
      <c r="BS435" s="1902" t="s">
        <v>655</v>
      </c>
      <c r="BT435" s="1907" t="s">
        <v>2154</v>
      </c>
    </row>
    <row r="436" spans="1:72" ht="13">
      <c r="A436" s="1545">
        <v>992</v>
      </c>
      <c r="B436" s="1546" t="s">
        <v>800</v>
      </c>
      <c r="C436" s="1546" t="s">
        <v>802</v>
      </c>
      <c r="D436" s="1547" t="s">
        <v>6960</v>
      </c>
      <c r="E436" s="690" t="s">
        <v>731</v>
      </c>
      <c r="F436" s="691"/>
      <c r="G436" s="692"/>
      <c r="H436" s="692"/>
      <c r="I436" s="692"/>
      <c r="J436" s="693"/>
      <c r="K436" s="693"/>
      <c r="L436" s="693"/>
      <c r="M436" s="694"/>
      <c r="N436" s="695"/>
      <c r="O436" s="696" t="s">
        <v>1569</v>
      </c>
      <c r="P436" s="695">
        <f>'HIV-Key Info'!$H$85*('HIV-Key Info'!$E$85*('HPM costs'!F551/'HPM costs'!$E$551)+'HIV-Key Info'!$F$85*('HPM costs'!F557/'HPM costs'!$E$557+'HPM costs'!F554/'HPM costs'!$E$554))</f>
        <v>0</v>
      </c>
      <c r="Q436" s="695" t="s">
        <v>1569</v>
      </c>
      <c r="R436" s="695">
        <f>'HIV-Key Info'!$H$85*('HIV-Key Info'!$E$85*('HPM costs'!G551/'HPM costs'!$E$551)+'HIV-Key Info'!$F$85*('HPM costs'!G557/'HPM costs'!$E$557+'HPM costs'!G554/'HPM costs'!$E$554))</f>
        <v>0</v>
      </c>
      <c r="S436" s="695" t="s">
        <v>1569</v>
      </c>
      <c r="T436" s="695">
        <f>'HIV-Key Info'!$H$85*('HIV-Key Info'!$E$85*('HPM costs'!H551/'HPM costs'!$E$551)+'HIV-Key Info'!$F$85*('HPM costs'!H557/'HPM costs'!$E$557+'HPM costs'!H554/'HPM costs'!$E$554))</f>
        <v>0</v>
      </c>
      <c r="U436" s="695" t="s">
        <v>1569</v>
      </c>
      <c r="V436" s="695">
        <f>'HIV-Key Info'!$H$85*('HIV-Key Info'!$E$85*('HPM costs'!I551/'HPM costs'!$E$551)+'HIV-Key Info'!$F$85*('HPM costs'!I557/'HPM costs'!$E$557+'HPM costs'!I554/'HPM costs'!$E$554))</f>
        <v>0</v>
      </c>
      <c r="W436" s="695"/>
      <c r="X436" s="1492">
        <f t="shared" si="42"/>
        <v>0</v>
      </c>
      <c r="Y436" s="1493"/>
      <c r="Z436" s="1494"/>
      <c r="AA436" s="699"/>
      <c r="AB436" s="695"/>
      <c r="AC436" s="695">
        <f>'HIV-Key Info'!$H$85*('HIV-Key Info'!$E$85*('HPM costs'!K551/'HPM costs'!$E$551)+'HIV-Key Info'!$F$85*('HPM costs'!K557/'HPM costs'!$E$557+'HPM costs'!K554/'HPM costs'!$E$554))</f>
        <v>0</v>
      </c>
      <c r="AD436" s="695"/>
      <c r="AE436" s="695">
        <f>'HIV-Key Info'!$H$85*('HIV-Key Info'!$E$85*('HPM costs'!L551/'HPM costs'!$E$551)+'HIV-Key Info'!$F$85*('HPM costs'!L557/'HPM costs'!$E$557+'HPM costs'!L554/'HPM costs'!$E$554))</f>
        <v>0</v>
      </c>
      <c r="AF436" s="695"/>
      <c r="AG436" s="695">
        <f>'HIV-Key Info'!$H$85*('HIV-Key Info'!$E$85*('HPM costs'!M551/'HPM costs'!$E$551)+'HIV-Key Info'!$F$85*('HPM costs'!M557/'HPM costs'!$E$557+'HPM costs'!M554/'HPM costs'!$E$554))</f>
        <v>0</v>
      </c>
      <c r="AH436" s="695"/>
      <c r="AI436" s="695">
        <f>'HIV-Key Info'!$H$85*('HIV-Key Info'!$E$85*('HPM costs'!N551/'HPM costs'!$E$551)+'HIV-Key Info'!$F$85*('HPM costs'!N557/'HPM costs'!$E$557+'HPM costs'!N554/'HPM costs'!$E$554))</f>
        <v>0</v>
      </c>
      <c r="AJ436" s="695"/>
      <c r="AK436" s="1492">
        <f t="shared" si="43"/>
        <v>0</v>
      </c>
      <c r="AL436" s="1493"/>
      <c r="AM436" s="1494"/>
      <c r="AN436" s="699"/>
      <c r="AO436" s="695"/>
      <c r="AP436" s="695">
        <f>'HIV-Key Info'!$H$85*('HIV-Key Info'!$E$85*('HPM costs'!P551/'HPM costs'!$E$551)+'HIV-Key Info'!$F$85*('HPM costs'!P557/'HPM costs'!$E$557+'HPM costs'!P554/'HPM costs'!$E$554))</f>
        <v>0</v>
      </c>
      <c r="AQ436" s="695"/>
      <c r="AR436" s="695">
        <f>'HIV-Key Info'!$H$85*('HIV-Key Info'!$E$85*('HPM costs'!Q551/'HPM costs'!$E$551)+'HIV-Key Info'!$F$85*('HPM costs'!Q557/'HPM costs'!$E$557+'HPM costs'!Q554/'HPM costs'!$E$554))</f>
        <v>0</v>
      </c>
      <c r="AS436" s="695"/>
      <c r="AT436" s="695">
        <f>'HIV-Key Info'!$H$85*('HIV-Key Info'!$E$85*('HPM costs'!R551/'HPM costs'!$E$551)+'HIV-Key Info'!$F$85*('HPM costs'!R557/'HPM costs'!$E$557+'HPM costs'!R554/'HPM costs'!$E$554))</f>
        <v>0</v>
      </c>
      <c r="AU436" s="695"/>
      <c r="AV436" s="695">
        <f>'HIV-Key Info'!$H$85*('HIV-Key Info'!$E$85*('HPM costs'!S551/'HPM costs'!$E$551)+'HIV-Key Info'!$F$85*('HPM costs'!S557/'HPM costs'!$E$557+'HPM costs'!S554/'HPM costs'!$E$554))</f>
        <v>0</v>
      </c>
      <c r="AW436" s="695"/>
      <c r="AX436" s="1492">
        <f t="shared" si="44"/>
        <v>0</v>
      </c>
      <c r="AY436" s="1492"/>
      <c r="AZ436" s="698"/>
      <c r="BA436" s="699"/>
      <c r="BB436" s="697"/>
      <c r="BC436" s="697">
        <v>0</v>
      </c>
      <c r="BD436" s="697">
        <v>0</v>
      </c>
      <c r="BE436" s="697">
        <v>0</v>
      </c>
      <c r="BF436" s="697">
        <v>0</v>
      </c>
      <c r="BG436" s="697">
        <v>0</v>
      </c>
      <c r="BH436" s="697">
        <v>0</v>
      </c>
      <c r="BI436" s="697">
        <v>0</v>
      </c>
      <c r="BJ436" s="697">
        <v>0</v>
      </c>
      <c r="BK436" s="1492">
        <f t="shared" si="45"/>
        <v>0</v>
      </c>
      <c r="BL436" s="1492"/>
      <c r="BM436" s="1492">
        <f t="shared" si="46"/>
        <v>0</v>
      </c>
      <c r="BN436" s="1492">
        <f t="shared" si="47"/>
        <v>0</v>
      </c>
      <c r="BO436" s="697"/>
      <c r="BP436" s="697"/>
      <c r="BQ436" s="1495" t="s">
        <v>6938</v>
      </c>
      <c r="BR436" s="1495" t="s">
        <v>818</v>
      </c>
      <c r="BS436" s="1902" t="s">
        <v>6953</v>
      </c>
      <c r="BT436" s="1907" t="s">
        <v>2155</v>
      </c>
    </row>
    <row r="437" spans="1:72" ht="13">
      <c r="A437" s="1545">
        <v>993</v>
      </c>
      <c r="B437" s="1546" t="s">
        <v>800</v>
      </c>
      <c r="C437" s="1546" t="s">
        <v>802</v>
      </c>
      <c r="D437" s="1547" t="s">
        <v>6882</v>
      </c>
      <c r="E437" s="690" t="s">
        <v>656</v>
      </c>
      <c r="F437" s="691"/>
      <c r="G437" s="692"/>
      <c r="H437" s="692"/>
      <c r="I437" s="692"/>
      <c r="J437" s="693"/>
      <c r="K437" s="693"/>
      <c r="L437" s="693"/>
      <c r="M437" s="694"/>
      <c r="N437" s="695"/>
      <c r="O437" s="696" t="s">
        <v>1569</v>
      </c>
      <c r="P437" s="695">
        <f>'HIV-Key Info'!$H$85*(('HIV-Key Info'!$E$85*'HPM costs'!F33)+('HIV-Key Info'!$F$85*('HPM costs'!F36+'HPM costs'!F39)))</f>
        <v>0</v>
      </c>
      <c r="Q437" s="695" t="s">
        <v>1569</v>
      </c>
      <c r="R437" s="695">
        <f>'HIV-Key Info'!$H$85*(('HIV-Key Info'!$E$85*'HPM costs'!G33)+('HIV-Key Info'!$F$85*('HPM costs'!G36+'HPM costs'!G39)))</f>
        <v>0</v>
      </c>
      <c r="S437" s="695" t="s">
        <v>1569</v>
      </c>
      <c r="T437" s="695">
        <f>'HIV-Key Info'!$H$85*(('HIV-Key Info'!$E$85*'HPM costs'!H33)+('HIV-Key Info'!$F$85*('HPM costs'!H36+'HPM costs'!H39)))</f>
        <v>0</v>
      </c>
      <c r="U437" s="695" t="s">
        <v>1569</v>
      </c>
      <c r="V437" s="695">
        <f>'HIV-Key Info'!$H$85*(('HIV-Key Info'!$E$85*'HPM costs'!I33)+('HIV-Key Info'!$F$85*('HPM costs'!I36+'HPM costs'!I39)))</f>
        <v>0</v>
      </c>
      <c r="W437" s="695"/>
      <c r="X437" s="1492">
        <f t="shared" si="42"/>
        <v>0</v>
      </c>
      <c r="Y437" s="1493"/>
      <c r="Z437" s="1494"/>
      <c r="AA437" s="699"/>
      <c r="AB437" s="695"/>
      <c r="AC437" s="695">
        <f>'HIV-Key Info'!$H$85*(('HIV-Key Info'!$E$85*'HPM costs'!K33)+('HIV-Key Info'!$F$85*('HPM costs'!K36+'HPM costs'!K39)))</f>
        <v>0</v>
      </c>
      <c r="AD437" s="695"/>
      <c r="AE437" s="695">
        <f>'HIV-Key Info'!$H$85*(('HIV-Key Info'!$E$85*'HPM costs'!L33)+('HIV-Key Info'!$F$85*('HPM costs'!L36+'HPM costs'!L39)))</f>
        <v>0</v>
      </c>
      <c r="AF437" s="695"/>
      <c r="AG437" s="695">
        <f>'HIV-Key Info'!$H$85*(('HIV-Key Info'!$E$85*'HPM costs'!M33)+('HIV-Key Info'!$F$85*('HPM costs'!M36+'HPM costs'!M39)))</f>
        <v>0</v>
      </c>
      <c r="AH437" s="695"/>
      <c r="AI437" s="695">
        <f>'HIV-Key Info'!$H$85*(('HIV-Key Info'!$E$85*'HPM costs'!N33)+('HIV-Key Info'!$F$85*('HPM costs'!N36+'HPM costs'!N39)))</f>
        <v>0</v>
      </c>
      <c r="AJ437" s="695"/>
      <c r="AK437" s="1492">
        <f t="shared" si="43"/>
        <v>0</v>
      </c>
      <c r="AL437" s="1493"/>
      <c r="AM437" s="1494"/>
      <c r="AN437" s="699"/>
      <c r="AO437" s="695"/>
      <c r="AP437" s="695">
        <f>'HIV-Key Info'!$H$85*(('HIV-Key Info'!$E$85*'HPM costs'!P33)+('HIV-Key Info'!$F$85*('HPM costs'!P36+'HPM costs'!P39)))</f>
        <v>0</v>
      </c>
      <c r="AQ437" s="695"/>
      <c r="AR437" s="695">
        <f>'HIV-Key Info'!$H$85*(('HIV-Key Info'!$E$85*'HPM costs'!Q33)+('HIV-Key Info'!$F$85*('HPM costs'!Q36+'HPM costs'!Q39)))</f>
        <v>0</v>
      </c>
      <c r="AS437" s="695"/>
      <c r="AT437" s="695">
        <f>'HIV-Key Info'!$H$85*(('HIV-Key Info'!$E$85*'HPM costs'!R33)+('HIV-Key Info'!$F$85*('HPM costs'!R36+'HPM costs'!R39)))</f>
        <v>0</v>
      </c>
      <c r="AU437" s="695"/>
      <c r="AV437" s="695">
        <f>'HIV-Key Info'!$H$85*(('HIV-Key Info'!$E$85*'HPM costs'!S33)+('HIV-Key Info'!$F$85*('HPM costs'!S36+'HPM costs'!S39)))</f>
        <v>0</v>
      </c>
      <c r="AW437" s="695"/>
      <c r="AX437" s="1492">
        <f t="shared" si="44"/>
        <v>0</v>
      </c>
      <c r="AY437" s="1492"/>
      <c r="AZ437" s="698"/>
      <c r="BA437" s="699"/>
      <c r="BB437" s="697"/>
      <c r="BC437" s="697">
        <v>0</v>
      </c>
      <c r="BD437" s="697">
        <v>0</v>
      </c>
      <c r="BE437" s="697">
        <v>0</v>
      </c>
      <c r="BF437" s="697">
        <v>0</v>
      </c>
      <c r="BG437" s="697">
        <v>0</v>
      </c>
      <c r="BH437" s="697">
        <v>0</v>
      </c>
      <c r="BI437" s="697">
        <v>0</v>
      </c>
      <c r="BJ437" s="697">
        <v>0</v>
      </c>
      <c r="BK437" s="1492">
        <f t="shared" si="45"/>
        <v>0</v>
      </c>
      <c r="BL437" s="1492"/>
      <c r="BM437" s="1492">
        <f t="shared" si="46"/>
        <v>0</v>
      </c>
      <c r="BN437" s="1492">
        <f t="shared" si="47"/>
        <v>0</v>
      </c>
      <c r="BO437" s="697"/>
      <c r="BP437" s="697"/>
      <c r="BQ437" s="1495" t="s">
        <v>6938</v>
      </c>
      <c r="BR437" s="1495" t="s">
        <v>818</v>
      </c>
      <c r="BS437" s="1902" t="s">
        <v>655</v>
      </c>
      <c r="BT437" s="1907" t="s">
        <v>2156</v>
      </c>
    </row>
    <row r="438" spans="1:72" ht="13">
      <c r="A438" s="1545">
        <v>994</v>
      </c>
      <c r="B438" s="1546" t="s">
        <v>800</v>
      </c>
      <c r="C438" s="1546" t="s">
        <v>802</v>
      </c>
      <c r="D438" s="1547" t="s">
        <v>6882</v>
      </c>
      <c r="E438" s="690" t="s">
        <v>658</v>
      </c>
      <c r="F438" s="691"/>
      <c r="G438" s="692"/>
      <c r="H438" s="692"/>
      <c r="I438" s="692"/>
      <c r="J438" s="693"/>
      <c r="K438" s="693"/>
      <c r="L438" s="693"/>
      <c r="M438" s="694"/>
      <c r="N438" s="695"/>
      <c r="O438" s="696" t="s">
        <v>1569</v>
      </c>
      <c r="P438" s="695">
        <f>'HIV-Key Info'!$H$85*(('HIV-Key Info'!$E$85*'HPM costs'!F119)+('HIV-Key Info'!$F$85*('HPM costs'!F122+'HPM costs'!F125)))</f>
        <v>0</v>
      </c>
      <c r="Q438" s="695" t="s">
        <v>1569</v>
      </c>
      <c r="R438" s="695">
        <f>'HIV-Key Info'!$H$85*(('HIV-Key Info'!$E$85*'HPM costs'!G119)+('HIV-Key Info'!$F$85*('HPM costs'!G122+'HPM costs'!G125)))</f>
        <v>0</v>
      </c>
      <c r="S438" s="695" t="s">
        <v>1569</v>
      </c>
      <c r="T438" s="695">
        <f>'HIV-Key Info'!$H$85*(('HIV-Key Info'!$E$85*'HPM costs'!H119)+('HIV-Key Info'!$F$85*('HPM costs'!H122+'HPM costs'!H125)))</f>
        <v>0</v>
      </c>
      <c r="U438" s="695" t="s">
        <v>1569</v>
      </c>
      <c r="V438" s="695">
        <f>'HIV-Key Info'!$H$85*(('HIV-Key Info'!$E$85*'HPM costs'!I119)+('HIV-Key Info'!$F$85*('HPM costs'!I122+'HPM costs'!I125)))</f>
        <v>0</v>
      </c>
      <c r="W438" s="695"/>
      <c r="X438" s="1492">
        <f t="shared" si="42"/>
        <v>0</v>
      </c>
      <c r="Y438" s="1493"/>
      <c r="Z438" s="1494"/>
      <c r="AA438" s="699"/>
      <c r="AB438" s="695"/>
      <c r="AC438" s="695">
        <f>'HIV-Key Info'!$H$85*(('HIV-Key Info'!$E$85*'HPM costs'!K119)+('HIV-Key Info'!$F$85*('HPM costs'!K122+'HPM costs'!K125)))</f>
        <v>0</v>
      </c>
      <c r="AD438" s="695"/>
      <c r="AE438" s="695">
        <f>'HIV-Key Info'!$H$85*(('HIV-Key Info'!$E$85*'HPM costs'!L119)+('HIV-Key Info'!$F$85*('HPM costs'!L122+'HPM costs'!L125)))</f>
        <v>0</v>
      </c>
      <c r="AF438" s="695"/>
      <c r="AG438" s="695">
        <f>'HIV-Key Info'!$H$85*(('HIV-Key Info'!$E$85*'HPM costs'!M119)+('HIV-Key Info'!$F$85*('HPM costs'!M122+'HPM costs'!M125)))</f>
        <v>0</v>
      </c>
      <c r="AH438" s="695"/>
      <c r="AI438" s="695">
        <f>'HIV-Key Info'!$H$85*(('HIV-Key Info'!$E$85*'HPM costs'!N119)+('HIV-Key Info'!$F$85*('HPM costs'!N122+'HPM costs'!N125)))</f>
        <v>0</v>
      </c>
      <c r="AJ438" s="695"/>
      <c r="AK438" s="1492">
        <f t="shared" si="43"/>
        <v>0</v>
      </c>
      <c r="AL438" s="1493"/>
      <c r="AM438" s="1494"/>
      <c r="AN438" s="699"/>
      <c r="AO438" s="695"/>
      <c r="AP438" s="695">
        <f>'HIV-Key Info'!$H$85*(('HIV-Key Info'!$E$85*'HPM costs'!P119)+('HIV-Key Info'!$F$85*('HPM costs'!P122+'HPM costs'!P125)))</f>
        <v>0</v>
      </c>
      <c r="AQ438" s="695"/>
      <c r="AR438" s="695">
        <f>'HIV-Key Info'!$H$85*(('HIV-Key Info'!$E$85*'HPM costs'!Q119)+('HIV-Key Info'!$F$85*('HPM costs'!Q122+'HPM costs'!Q125)))</f>
        <v>0</v>
      </c>
      <c r="AS438" s="695"/>
      <c r="AT438" s="695">
        <f>'HIV-Key Info'!$H$85*(('HIV-Key Info'!$E$85*'HPM costs'!R119)+('HIV-Key Info'!$F$85*('HPM costs'!R122+'HPM costs'!R125)))</f>
        <v>0</v>
      </c>
      <c r="AU438" s="695"/>
      <c r="AV438" s="695">
        <f>'HIV-Key Info'!$H$85*(('HIV-Key Info'!$E$85*'HPM costs'!S119)+('HIV-Key Info'!$F$85*('HPM costs'!S122+'HPM costs'!S125)))</f>
        <v>0</v>
      </c>
      <c r="AW438" s="695"/>
      <c r="AX438" s="1492">
        <f t="shared" si="44"/>
        <v>0</v>
      </c>
      <c r="AY438" s="1492"/>
      <c r="AZ438" s="698"/>
      <c r="BA438" s="699"/>
      <c r="BB438" s="697"/>
      <c r="BC438" s="697">
        <v>0</v>
      </c>
      <c r="BD438" s="697">
        <v>0</v>
      </c>
      <c r="BE438" s="697">
        <v>0</v>
      </c>
      <c r="BF438" s="697">
        <v>0</v>
      </c>
      <c r="BG438" s="697">
        <v>0</v>
      </c>
      <c r="BH438" s="697">
        <v>0</v>
      </c>
      <c r="BI438" s="697">
        <v>0</v>
      </c>
      <c r="BJ438" s="697">
        <v>0</v>
      </c>
      <c r="BK438" s="1492">
        <f t="shared" si="45"/>
        <v>0</v>
      </c>
      <c r="BL438" s="1492"/>
      <c r="BM438" s="1492">
        <f t="shared" si="46"/>
        <v>0</v>
      </c>
      <c r="BN438" s="1492">
        <f t="shared" si="47"/>
        <v>0</v>
      </c>
      <c r="BO438" s="697"/>
      <c r="BP438" s="697"/>
      <c r="BQ438" s="1495" t="s">
        <v>6938</v>
      </c>
      <c r="BR438" s="1495" t="s">
        <v>818</v>
      </c>
      <c r="BS438" s="1902" t="s">
        <v>655</v>
      </c>
      <c r="BT438" s="1907" t="s">
        <v>2157</v>
      </c>
    </row>
    <row r="439" spans="1:72" ht="13">
      <c r="A439" s="1545">
        <v>995</v>
      </c>
      <c r="B439" s="1546" t="s">
        <v>800</v>
      </c>
      <c r="C439" s="1546" t="s">
        <v>802</v>
      </c>
      <c r="D439" s="1547" t="s">
        <v>6882</v>
      </c>
      <c r="E439" s="690" t="s">
        <v>660</v>
      </c>
      <c r="F439" s="691"/>
      <c r="G439" s="692"/>
      <c r="H439" s="692"/>
      <c r="I439" s="692"/>
      <c r="J439" s="693"/>
      <c r="K439" s="693"/>
      <c r="L439" s="693"/>
      <c r="M439" s="694"/>
      <c r="N439" s="695"/>
      <c r="O439" s="696" t="s">
        <v>1569</v>
      </c>
      <c r="P439" s="695">
        <f>'HIV-Key Info'!$H$85*(('HIV-Key Info'!$E$85*'HPM costs'!F379)+('HIV-Key Info'!$F$85*('HPM costs'!F382+'HPM costs'!F385)))</f>
        <v>0</v>
      </c>
      <c r="Q439" s="695" t="s">
        <v>1569</v>
      </c>
      <c r="R439" s="695">
        <f>'HIV-Key Info'!$H$85*(('HIV-Key Info'!$E$85*'HPM costs'!G379)+('HIV-Key Info'!$F$85*('HPM costs'!G382+'HPM costs'!G385)))</f>
        <v>0</v>
      </c>
      <c r="S439" s="695" t="s">
        <v>1569</v>
      </c>
      <c r="T439" s="695">
        <f>'HIV-Key Info'!$H$85*(('HIV-Key Info'!$E$85*'HPM costs'!H379)+('HIV-Key Info'!$F$85*('HPM costs'!H382+'HPM costs'!H385)))</f>
        <v>0</v>
      </c>
      <c r="U439" s="695" t="s">
        <v>1569</v>
      </c>
      <c r="V439" s="695">
        <f>'HIV-Key Info'!$H$85*(('HIV-Key Info'!$E$85*'HPM costs'!I379)+('HIV-Key Info'!$F$85*('HPM costs'!I382+'HPM costs'!I385)))</f>
        <v>0</v>
      </c>
      <c r="W439" s="695"/>
      <c r="X439" s="1492">
        <f t="shared" si="42"/>
        <v>0</v>
      </c>
      <c r="Y439" s="1493"/>
      <c r="Z439" s="1494"/>
      <c r="AA439" s="699"/>
      <c r="AB439" s="695"/>
      <c r="AC439" s="695">
        <f>'HIV-Key Info'!$H$85*(('HIV-Key Info'!$E$85*'HPM costs'!K379)+('HIV-Key Info'!$F$85*('HPM costs'!K382+'HPM costs'!K385)))</f>
        <v>0</v>
      </c>
      <c r="AD439" s="695"/>
      <c r="AE439" s="695">
        <f>'HIV-Key Info'!$H$85*(('HIV-Key Info'!$E$85*'HPM costs'!L379)+('HIV-Key Info'!$F$85*('HPM costs'!L382+'HPM costs'!L385)))</f>
        <v>0</v>
      </c>
      <c r="AF439" s="695"/>
      <c r="AG439" s="695">
        <f>'HIV-Key Info'!$H$85*(('HIV-Key Info'!$E$85*'HPM costs'!M379)+('HIV-Key Info'!$F$85*('HPM costs'!M382+'HPM costs'!M385)))</f>
        <v>0</v>
      </c>
      <c r="AH439" s="695"/>
      <c r="AI439" s="695">
        <f>'HIV-Key Info'!$H$85*(('HIV-Key Info'!$E$85*'HPM costs'!N379)+('HIV-Key Info'!$F$85*('HPM costs'!N382+'HPM costs'!N385)))</f>
        <v>0</v>
      </c>
      <c r="AJ439" s="695"/>
      <c r="AK439" s="1492">
        <f t="shared" si="43"/>
        <v>0</v>
      </c>
      <c r="AL439" s="1493"/>
      <c r="AM439" s="1494"/>
      <c r="AN439" s="699"/>
      <c r="AO439" s="695"/>
      <c r="AP439" s="695">
        <f>'HIV-Key Info'!$H$85*(('HIV-Key Info'!$E$85*'HPM costs'!P379)+('HIV-Key Info'!$F$85*('HPM costs'!P382+'HPM costs'!P385)))</f>
        <v>0</v>
      </c>
      <c r="AQ439" s="695"/>
      <c r="AR439" s="695">
        <f>'HIV-Key Info'!$H$85*(('HIV-Key Info'!$E$85*'HPM costs'!Q379)+('HIV-Key Info'!$F$85*('HPM costs'!Q382+'HPM costs'!Q385)))</f>
        <v>0</v>
      </c>
      <c r="AS439" s="695"/>
      <c r="AT439" s="695">
        <f>'HIV-Key Info'!$H$85*(('HIV-Key Info'!$E$85*'HPM costs'!R379)+('HIV-Key Info'!$F$85*('HPM costs'!R382+'HPM costs'!R385)))</f>
        <v>0</v>
      </c>
      <c r="AU439" s="695"/>
      <c r="AV439" s="695">
        <f>'HIV-Key Info'!$H$85*(('HIV-Key Info'!$E$85*'HPM costs'!S379)+('HIV-Key Info'!$F$85*('HPM costs'!S382+'HPM costs'!S385)))</f>
        <v>0</v>
      </c>
      <c r="AW439" s="695"/>
      <c r="AX439" s="1492">
        <f t="shared" si="44"/>
        <v>0</v>
      </c>
      <c r="AY439" s="1492"/>
      <c r="AZ439" s="698"/>
      <c r="BA439" s="699"/>
      <c r="BB439" s="697"/>
      <c r="BC439" s="697">
        <v>0</v>
      </c>
      <c r="BD439" s="697">
        <v>0</v>
      </c>
      <c r="BE439" s="697">
        <v>0</v>
      </c>
      <c r="BF439" s="697">
        <v>0</v>
      </c>
      <c r="BG439" s="697">
        <v>0</v>
      </c>
      <c r="BH439" s="697">
        <v>0</v>
      </c>
      <c r="BI439" s="697">
        <v>0</v>
      </c>
      <c r="BJ439" s="697">
        <v>0</v>
      </c>
      <c r="BK439" s="1492">
        <f t="shared" si="45"/>
        <v>0</v>
      </c>
      <c r="BL439" s="1492"/>
      <c r="BM439" s="1492">
        <f t="shared" si="46"/>
        <v>0</v>
      </c>
      <c r="BN439" s="1492">
        <f t="shared" si="47"/>
        <v>0</v>
      </c>
      <c r="BO439" s="697"/>
      <c r="BP439" s="697"/>
      <c r="BQ439" s="1495" t="s">
        <v>6938</v>
      </c>
      <c r="BR439" s="1495" t="s">
        <v>818</v>
      </c>
      <c r="BS439" s="1902" t="s">
        <v>655</v>
      </c>
      <c r="BT439" s="1907" t="s">
        <v>2158</v>
      </c>
    </row>
    <row r="440" spans="1:72" ht="13">
      <c r="A440" s="1545">
        <v>996</v>
      </c>
      <c r="B440" s="1546" t="s">
        <v>800</v>
      </c>
      <c r="C440" s="1546" t="s">
        <v>802</v>
      </c>
      <c r="D440" s="1547" t="s">
        <v>6882</v>
      </c>
      <c r="E440" s="690" t="s">
        <v>662</v>
      </c>
      <c r="F440" s="691"/>
      <c r="G440" s="692"/>
      <c r="H440" s="692"/>
      <c r="I440" s="692"/>
      <c r="J440" s="693"/>
      <c r="K440" s="693"/>
      <c r="L440" s="693"/>
      <c r="M440" s="694"/>
      <c r="N440" s="695"/>
      <c r="O440" s="696" t="s">
        <v>1569</v>
      </c>
      <c r="P440" s="695">
        <f>'HIV-Key Info'!$H$85*(('HIV-Key Info'!$E$85*'HPM costs'!F465)+('HIV-Key Info'!$F$85*('HPM costs'!F468+'HPM costs'!F471)))</f>
        <v>0</v>
      </c>
      <c r="Q440" s="695" t="s">
        <v>1569</v>
      </c>
      <c r="R440" s="695">
        <f>'HIV-Key Info'!$H$85*(('HIV-Key Info'!$E$85*'HPM costs'!G465)+('HIV-Key Info'!$F$85*('HPM costs'!G468+'HPM costs'!G471)))</f>
        <v>0</v>
      </c>
      <c r="S440" s="695" t="s">
        <v>1569</v>
      </c>
      <c r="T440" s="695">
        <f>'HIV-Key Info'!$H$85*(('HIV-Key Info'!$E$85*'HPM costs'!H465)+('HIV-Key Info'!$F$85*('HPM costs'!H468+'HPM costs'!H471)))</f>
        <v>0</v>
      </c>
      <c r="U440" s="695" t="s">
        <v>1569</v>
      </c>
      <c r="V440" s="695">
        <f>'HIV-Key Info'!$H$85*(('HIV-Key Info'!$E$85*'HPM costs'!I465)+('HIV-Key Info'!$F$85*('HPM costs'!I468+'HPM costs'!I471)))</f>
        <v>0</v>
      </c>
      <c r="W440" s="695"/>
      <c r="X440" s="1492">
        <f t="shared" si="42"/>
        <v>0</v>
      </c>
      <c r="Y440" s="1493"/>
      <c r="Z440" s="1494"/>
      <c r="AA440" s="699"/>
      <c r="AB440" s="695"/>
      <c r="AC440" s="695">
        <f>'HIV-Key Info'!$H$85*(('HIV-Key Info'!$E$85*'HPM costs'!K465)+('HIV-Key Info'!$F$85*('HPM costs'!K468+'HPM costs'!K471)))</f>
        <v>0</v>
      </c>
      <c r="AD440" s="695"/>
      <c r="AE440" s="695">
        <f>'HIV-Key Info'!$H$85*(('HIV-Key Info'!$E$85*'HPM costs'!L465)+('HIV-Key Info'!$F$85*('HPM costs'!L468+'HPM costs'!L471)))</f>
        <v>0</v>
      </c>
      <c r="AF440" s="695"/>
      <c r="AG440" s="695">
        <f>'HIV-Key Info'!$H$85*(('HIV-Key Info'!$E$85*'HPM costs'!M465)+('HIV-Key Info'!$F$85*('HPM costs'!M468+'HPM costs'!M471)))</f>
        <v>0</v>
      </c>
      <c r="AH440" s="695"/>
      <c r="AI440" s="695">
        <f>'HIV-Key Info'!$H$85*(('HIV-Key Info'!$E$85*'HPM costs'!N465)+('HIV-Key Info'!$F$85*('HPM costs'!N468+'HPM costs'!N471)))</f>
        <v>0</v>
      </c>
      <c r="AJ440" s="695"/>
      <c r="AK440" s="1492">
        <f t="shared" si="43"/>
        <v>0</v>
      </c>
      <c r="AL440" s="1493"/>
      <c r="AM440" s="1494"/>
      <c r="AN440" s="699"/>
      <c r="AO440" s="695"/>
      <c r="AP440" s="695">
        <f>'HIV-Key Info'!$H$85*(('HIV-Key Info'!$E$85*'HPM costs'!P465)+('HIV-Key Info'!$F$85*('HPM costs'!P468+'HPM costs'!P471)))</f>
        <v>0</v>
      </c>
      <c r="AQ440" s="695"/>
      <c r="AR440" s="695">
        <f>'HIV-Key Info'!$H$85*(('HIV-Key Info'!$E$85*'HPM costs'!Q465)+('HIV-Key Info'!$F$85*('HPM costs'!Q468+'HPM costs'!Q471)))</f>
        <v>0</v>
      </c>
      <c r="AS440" s="695"/>
      <c r="AT440" s="695">
        <f>'HIV-Key Info'!$H$85*(('HIV-Key Info'!$E$85*'HPM costs'!R465)+('HIV-Key Info'!$F$85*('HPM costs'!R468+'HPM costs'!R471)))</f>
        <v>0</v>
      </c>
      <c r="AU440" s="695"/>
      <c r="AV440" s="695">
        <f>'HIV-Key Info'!$H$85*(('HIV-Key Info'!$E$85*'HPM costs'!S465)+('HIV-Key Info'!$F$85*('HPM costs'!S468+'HPM costs'!S471)))</f>
        <v>0</v>
      </c>
      <c r="AW440" s="695"/>
      <c r="AX440" s="1492">
        <f t="shared" si="44"/>
        <v>0</v>
      </c>
      <c r="AY440" s="1492"/>
      <c r="AZ440" s="698"/>
      <c r="BA440" s="699"/>
      <c r="BB440" s="697"/>
      <c r="BC440" s="697">
        <v>0</v>
      </c>
      <c r="BD440" s="697">
        <v>0</v>
      </c>
      <c r="BE440" s="697">
        <v>0</v>
      </c>
      <c r="BF440" s="697">
        <v>0</v>
      </c>
      <c r="BG440" s="697">
        <v>0</v>
      </c>
      <c r="BH440" s="697">
        <v>0</v>
      </c>
      <c r="BI440" s="697">
        <v>0</v>
      </c>
      <c r="BJ440" s="697">
        <v>0</v>
      </c>
      <c r="BK440" s="1492">
        <f t="shared" si="45"/>
        <v>0</v>
      </c>
      <c r="BL440" s="1492"/>
      <c r="BM440" s="1492">
        <f t="shared" si="46"/>
        <v>0</v>
      </c>
      <c r="BN440" s="1492">
        <f t="shared" si="47"/>
        <v>0</v>
      </c>
      <c r="BO440" s="697"/>
      <c r="BP440" s="697"/>
      <c r="BQ440" s="1495" t="s">
        <v>6938</v>
      </c>
      <c r="BR440" s="1495" t="s">
        <v>818</v>
      </c>
      <c r="BS440" s="1902" t="s">
        <v>655</v>
      </c>
      <c r="BT440" s="1907" t="s">
        <v>2159</v>
      </c>
    </row>
    <row r="441" spans="1:72" ht="13">
      <c r="A441" s="1545">
        <v>997</v>
      </c>
      <c r="B441" s="1546" t="s">
        <v>800</v>
      </c>
      <c r="C441" s="1546" t="s">
        <v>802</v>
      </c>
      <c r="D441" s="1547" t="s">
        <v>6882</v>
      </c>
      <c r="E441" s="690" t="s">
        <v>664</v>
      </c>
      <c r="F441" s="691"/>
      <c r="G441" s="692"/>
      <c r="H441" s="692"/>
      <c r="I441" s="692"/>
      <c r="J441" s="693"/>
      <c r="K441" s="693"/>
      <c r="L441" s="693"/>
      <c r="M441" s="694"/>
      <c r="N441" s="695"/>
      <c r="O441" s="696" t="s">
        <v>1569</v>
      </c>
      <c r="P441" s="695">
        <f>'HIV-Key Info'!$H$85*(('HIV-Key Info'!$E$85*('HPM costs'!F205+'HPM costs'!F551))+('HIV-Key Info'!$F$85*('HPM costs'!F208+'HPM costs'!F211+'HPM costs'!F554+'HPM costs'!F557)))</f>
        <v>0</v>
      </c>
      <c r="Q441" s="695" t="s">
        <v>1569</v>
      </c>
      <c r="R441" s="695">
        <f>'HIV-Key Info'!$H$85*(('HIV-Key Info'!$E$85*('HPM costs'!G205+'HPM costs'!G551))+('HIV-Key Info'!$F$85*('HPM costs'!G208+'HPM costs'!G211+'HPM costs'!G554+'HPM costs'!G557)))</f>
        <v>0</v>
      </c>
      <c r="S441" s="695" t="s">
        <v>1569</v>
      </c>
      <c r="T441" s="695">
        <f>'HIV-Key Info'!$H$85*(('HIV-Key Info'!$E$85*('HPM costs'!H205+'HPM costs'!H551))+('HIV-Key Info'!$F$85*('HPM costs'!H208+'HPM costs'!H211+'HPM costs'!H554+'HPM costs'!H557)))</f>
        <v>0</v>
      </c>
      <c r="U441" s="695" t="s">
        <v>1569</v>
      </c>
      <c r="V441" s="695">
        <f>'HIV-Key Info'!$H$85*(('HIV-Key Info'!$E$85*('HPM costs'!I205+'HPM costs'!I551))+('HIV-Key Info'!$F$85*('HPM costs'!I208+'HPM costs'!I211+'HPM costs'!I554+'HPM costs'!I557)))</f>
        <v>0</v>
      </c>
      <c r="W441" s="695"/>
      <c r="X441" s="1492">
        <f t="shared" si="42"/>
        <v>0</v>
      </c>
      <c r="Y441" s="1493"/>
      <c r="Z441" s="1494"/>
      <c r="AA441" s="699"/>
      <c r="AB441" s="695"/>
      <c r="AC441" s="695">
        <f>'HIV-Key Info'!$H$85*(('HIV-Key Info'!$E$85*('HPM costs'!K205+'HPM costs'!K551))+('HIV-Key Info'!$F$85*('HPM costs'!K208+'HPM costs'!K211+'HPM costs'!K554+'HPM costs'!K557)))</f>
        <v>0</v>
      </c>
      <c r="AD441" s="695"/>
      <c r="AE441" s="695">
        <f>'HIV-Key Info'!$H$85*(('HIV-Key Info'!$E$85*('HPM costs'!L205+'HPM costs'!L551))+('HIV-Key Info'!$F$85*('HPM costs'!L208+'HPM costs'!L211+'HPM costs'!L554+'HPM costs'!L557)))</f>
        <v>0</v>
      </c>
      <c r="AF441" s="695"/>
      <c r="AG441" s="695">
        <f>'HIV-Key Info'!$H$85*(('HIV-Key Info'!$E$85*('HPM costs'!M205+'HPM costs'!M551))+('HIV-Key Info'!$F$85*('HPM costs'!M208+'HPM costs'!M211+'HPM costs'!M554+'HPM costs'!M557)))</f>
        <v>0</v>
      </c>
      <c r="AH441" s="695"/>
      <c r="AI441" s="695">
        <f>'HIV-Key Info'!$H$85*(('HIV-Key Info'!$E$85*('HPM costs'!N205+'HPM costs'!N551))+('HIV-Key Info'!$F$85*('HPM costs'!N208+'HPM costs'!N211+'HPM costs'!N554+'HPM costs'!N557)))</f>
        <v>0</v>
      </c>
      <c r="AJ441" s="695"/>
      <c r="AK441" s="1492">
        <f t="shared" si="43"/>
        <v>0</v>
      </c>
      <c r="AL441" s="1493"/>
      <c r="AM441" s="1494"/>
      <c r="AN441" s="699"/>
      <c r="AO441" s="695"/>
      <c r="AP441" s="695">
        <f>'HIV-Key Info'!$H$85*(('HIV-Key Info'!$E$85*('HPM costs'!P205+'HPM costs'!P551))+('HIV-Key Info'!$F$85*('HPM costs'!P208+'HPM costs'!P211+'HPM costs'!P554+'HPM costs'!P557)))</f>
        <v>0</v>
      </c>
      <c r="AQ441" s="695"/>
      <c r="AR441" s="695">
        <f>'HIV-Key Info'!$H$85*(('HIV-Key Info'!$E$85*('HPM costs'!Q205+'HPM costs'!Q551))+('HIV-Key Info'!$F$85*('HPM costs'!Q208+'HPM costs'!Q211+'HPM costs'!Q554+'HPM costs'!Q557)))</f>
        <v>0</v>
      </c>
      <c r="AS441" s="695"/>
      <c r="AT441" s="695">
        <f>'HIV-Key Info'!$H$85*(('HIV-Key Info'!$E$85*('HPM costs'!R205+'HPM costs'!R551))+('HIV-Key Info'!$F$85*('HPM costs'!R208+'HPM costs'!R211+'HPM costs'!R554+'HPM costs'!R557)))</f>
        <v>0</v>
      </c>
      <c r="AU441" s="695"/>
      <c r="AV441" s="695">
        <f>'HIV-Key Info'!$H$85*(('HIV-Key Info'!$E$85*('HPM costs'!S205+'HPM costs'!S551))+('HIV-Key Info'!$F$85*('HPM costs'!S208+'HPM costs'!S211+'HPM costs'!S554+'HPM costs'!S557)))</f>
        <v>0</v>
      </c>
      <c r="AW441" s="695"/>
      <c r="AX441" s="1492">
        <f t="shared" si="44"/>
        <v>0</v>
      </c>
      <c r="AY441" s="1492"/>
      <c r="AZ441" s="698"/>
      <c r="BA441" s="699"/>
      <c r="BB441" s="697"/>
      <c r="BC441" s="697">
        <v>0</v>
      </c>
      <c r="BD441" s="697">
        <v>0</v>
      </c>
      <c r="BE441" s="697">
        <v>0</v>
      </c>
      <c r="BF441" s="697">
        <v>0</v>
      </c>
      <c r="BG441" s="697">
        <v>0</v>
      </c>
      <c r="BH441" s="697">
        <v>0</v>
      </c>
      <c r="BI441" s="697">
        <v>0</v>
      </c>
      <c r="BJ441" s="697">
        <v>0</v>
      </c>
      <c r="BK441" s="1492">
        <f t="shared" si="45"/>
        <v>0</v>
      </c>
      <c r="BL441" s="1492"/>
      <c r="BM441" s="1492">
        <f t="shared" si="46"/>
        <v>0</v>
      </c>
      <c r="BN441" s="1492">
        <f t="shared" si="47"/>
        <v>0</v>
      </c>
      <c r="BO441" s="697"/>
      <c r="BP441" s="697"/>
      <c r="BQ441" s="1495" t="s">
        <v>6938</v>
      </c>
      <c r="BR441" s="1495" t="s">
        <v>818</v>
      </c>
      <c r="BS441" s="1902" t="s">
        <v>655</v>
      </c>
      <c r="BT441" s="1907" t="s">
        <v>2160</v>
      </c>
    </row>
    <row r="442" spans="1:72" ht="13">
      <c r="A442" s="1545">
        <v>998</v>
      </c>
      <c r="B442" s="1546" t="s">
        <v>800</v>
      </c>
      <c r="C442" s="1546" t="s">
        <v>802</v>
      </c>
      <c r="D442" s="1547" t="s">
        <v>6882</v>
      </c>
      <c r="E442" s="690" t="s">
        <v>666</v>
      </c>
      <c r="F442" s="691"/>
      <c r="G442" s="692"/>
      <c r="H442" s="692"/>
      <c r="I442" s="692"/>
      <c r="J442" s="693"/>
      <c r="K442" s="693"/>
      <c r="L442" s="693"/>
      <c r="M442" s="694"/>
      <c r="N442" s="695"/>
      <c r="O442" s="696" t="s">
        <v>1569</v>
      </c>
      <c r="P442" s="695">
        <f>'HIV-Key Info'!$H$85*(('HIV-Key Info'!$E$85*'HPM costs'!F291)+('HIV-Key Info'!$F$85*('HPM costs'!F294+'HPM costs'!F297)))</f>
        <v>0</v>
      </c>
      <c r="Q442" s="695" t="s">
        <v>1569</v>
      </c>
      <c r="R442" s="695">
        <f>'HIV-Key Info'!$H$85*(('HIV-Key Info'!$E$85*'HPM costs'!G291)+('HIV-Key Info'!$F$85*('HPM costs'!G294+'HPM costs'!G297)))</f>
        <v>0</v>
      </c>
      <c r="S442" s="695" t="s">
        <v>1569</v>
      </c>
      <c r="T442" s="695">
        <f>'HIV-Key Info'!$H$85*(('HIV-Key Info'!$E$85*'HPM costs'!H291)+('HIV-Key Info'!$F$85*('HPM costs'!H294+'HPM costs'!H297)))</f>
        <v>0</v>
      </c>
      <c r="U442" s="695" t="s">
        <v>1569</v>
      </c>
      <c r="V442" s="695">
        <f>'HIV-Key Info'!$H$85*(('HIV-Key Info'!$E$85*'HPM costs'!I291)+('HIV-Key Info'!$F$85*('HPM costs'!I294+'HPM costs'!I297)))</f>
        <v>0</v>
      </c>
      <c r="W442" s="695"/>
      <c r="X442" s="1492">
        <f t="shared" si="42"/>
        <v>0</v>
      </c>
      <c r="Y442" s="1493"/>
      <c r="Z442" s="1494"/>
      <c r="AA442" s="699"/>
      <c r="AB442" s="695"/>
      <c r="AC442" s="695">
        <f>'HIV-Key Info'!$H$85*(('HIV-Key Info'!$E$85*'HPM costs'!K291)+('HIV-Key Info'!$F$85*('HPM costs'!K294+'HPM costs'!K297)))</f>
        <v>0</v>
      </c>
      <c r="AD442" s="695"/>
      <c r="AE442" s="695">
        <f>'HIV-Key Info'!$H$85*(('HIV-Key Info'!$E$85*'HPM costs'!L291)+('HIV-Key Info'!$F$85*('HPM costs'!L294+'HPM costs'!L297)))</f>
        <v>0</v>
      </c>
      <c r="AF442" s="695"/>
      <c r="AG442" s="695">
        <f>'HIV-Key Info'!$H$85*(('HIV-Key Info'!$E$85*'HPM costs'!M291)+('HIV-Key Info'!$F$85*('HPM costs'!M294+'HPM costs'!M297)))</f>
        <v>0</v>
      </c>
      <c r="AH442" s="695"/>
      <c r="AI442" s="695">
        <f>'HIV-Key Info'!$H$85*(('HIV-Key Info'!$E$85*'HPM costs'!N291)+('HIV-Key Info'!$F$85*('HPM costs'!N294+'HPM costs'!N297)))</f>
        <v>0</v>
      </c>
      <c r="AJ442" s="695"/>
      <c r="AK442" s="1492">
        <f t="shared" si="43"/>
        <v>0</v>
      </c>
      <c r="AL442" s="1493"/>
      <c r="AM442" s="1494"/>
      <c r="AN442" s="699"/>
      <c r="AO442" s="695"/>
      <c r="AP442" s="695">
        <f>'HIV-Key Info'!$H$85*(('HIV-Key Info'!$E$85*'HPM costs'!P291)+('HIV-Key Info'!$F$85*('HPM costs'!P294+'HPM costs'!P297)))</f>
        <v>0</v>
      </c>
      <c r="AQ442" s="695"/>
      <c r="AR442" s="695">
        <f>'HIV-Key Info'!$H$85*(('HIV-Key Info'!$E$85*'HPM costs'!Q291)+('HIV-Key Info'!$F$85*('HPM costs'!Q294+'HPM costs'!Q297)))</f>
        <v>0</v>
      </c>
      <c r="AS442" s="695"/>
      <c r="AT442" s="695">
        <f>'HIV-Key Info'!$H$85*(('HIV-Key Info'!$E$85*'HPM costs'!R291)+('HIV-Key Info'!$F$85*('HPM costs'!R294+'HPM costs'!R297)))</f>
        <v>0</v>
      </c>
      <c r="AU442" s="695"/>
      <c r="AV442" s="695">
        <f>'HIV-Key Info'!$H$85*(('HIV-Key Info'!$E$85*'HPM costs'!S291)+('HIV-Key Info'!$F$85*('HPM costs'!S294+'HPM costs'!S297)))</f>
        <v>0</v>
      </c>
      <c r="AW442" s="695"/>
      <c r="AX442" s="1492">
        <f t="shared" si="44"/>
        <v>0</v>
      </c>
      <c r="AY442" s="1492"/>
      <c r="AZ442" s="698"/>
      <c r="BA442" s="699"/>
      <c r="BB442" s="697"/>
      <c r="BC442" s="697">
        <v>0</v>
      </c>
      <c r="BD442" s="697">
        <v>0</v>
      </c>
      <c r="BE442" s="697">
        <v>0</v>
      </c>
      <c r="BF442" s="697">
        <v>0</v>
      </c>
      <c r="BG442" s="697">
        <v>0</v>
      </c>
      <c r="BH442" s="697">
        <v>0</v>
      </c>
      <c r="BI442" s="697">
        <v>0</v>
      </c>
      <c r="BJ442" s="697">
        <v>0</v>
      </c>
      <c r="BK442" s="1492">
        <f t="shared" si="45"/>
        <v>0</v>
      </c>
      <c r="BL442" s="1492"/>
      <c r="BM442" s="1492">
        <f t="shared" si="46"/>
        <v>0</v>
      </c>
      <c r="BN442" s="1492">
        <f t="shared" si="47"/>
        <v>0</v>
      </c>
      <c r="BO442" s="697"/>
      <c r="BP442" s="697"/>
      <c r="BQ442" s="1495" t="s">
        <v>6938</v>
      </c>
      <c r="BR442" s="1495" t="s">
        <v>818</v>
      </c>
      <c r="BS442" s="1902" t="s">
        <v>655</v>
      </c>
      <c r="BT442" s="1907" t="s">
        <v>2161</v>
      </c>
    </row>
    <row r="443" spans="1:72" ht="13">
      <c r="A443" s="1545">
        <v>999</v>
      </c>
      <c r="B443" s="1546" t="s">
        <v>800</v>
      </c>
      <c r="C443" s="1546" t="s">
        <v>802</v>
      </c>
      <c r="D443" s="1547" t="s">
        <v>6882</v>
      </c>
      <c r="E443" s="690" t="s">
        <v>668</v>
      </c>
      <c r="F443" s="691"/>
      <c r="G443" s="692"/>
      <c r="H443" s="692"/>
      <c r="I443" s="692"/>
      <c r="J443" s="693"/>
      <c r="K443" s="693"/>
      <c r="L443" s="693"/>
      <c r="M443" s="694"/>
      <c r="N443" s="695"/>
      <c r="O443" s="696" t="s">
        <v>1569</v>
      </c>
      <c r="P443" s="695">
        <f>'HIV-Key Info'!$H$85*(('HIV-Key Info'!$E$85*'HPM costs'!F636)+('HIV-Key Info'!$F$85*('HPM costs'!F639+'HPM costs'!F642)))</f>
        <v>0</v>
      </c>
      <c r="Q443" s="695" t="s">
        <v>1569</v>
      </c>
      <c r="R443" s="695">
        <f>'HIV-Key Info'!$H$85*(('HIV-Key Info'!$E$85*'HPM costs'!G636)+('HIV-Key Info'!$F$85*('HPM costs'!G639+'HPM costs'!G642)))</f>
        <v>0</v>
      </c>
      <c r="S443" s="695" t="s">
        <v>1569</v>
      </c>
      <c r="T443" s="695">
        <f>'HIV-Key Info'!$H$85*(('HIV-Key Info'!$E$85*'HPM costs'!H636)+('HIV-Key Info'!$F$85*('HPM costs'!H639+'HPM costs'!H642)))</f>
        <v>0</v>
      </c>
      <c r="U443" s="695" t="s">
        <v>1569</v>
      </c>
      <c r="V443" s="695">
        <f>'HIV-Key Info'!$H$85*(('HIV-Key Info'!$E$85*'HPM costs'!I636)+('HIV-Key Info'!$F$85*('HPM costs'!I639+'HPM costs'!I642)))</f>
        <v>0</v>
      </c>
      <c r="W443" s="695"/>
      <c r="X443" s="1492">
        <f t="shared" si="42"/>
        <v>0</v>
      </c>
      <c r="Y443" s="1493"/>
      <c r="Z443" s="1494"/>
      <c r="AA443" s="699"/>
      <c r="AB443" s="695"/>
      <c r="AC443" s="695">
        <f>'HIV-Key Info'!$H$85*(('HIV-Key Info'!$E$85*'HPM costs'!K636)+('HIV-Key Info'!$F$85*('HPM costs'!K639+'HPM costs'!K642)))</f>
        <v>0</v>
      </c>
      <c r="AD443" s="695"/>
      <c r="AE443" s="695">
        <f>'HIV-Key Info'!$H$85*(('HIV-Key Info'!$E$85*'HPM costs'!L636)+('HIV-Key Info'!$F$85*('HPM costs'!L639+'HPM costs'!L642)))</f>
        <v>0</v>
      </c>
      <c r="AF443" s="695"/>
      <c r="AG443" s="695">
        <f>'HIV-Key Info'!$H$85*(('HIV-Key Info'!$E$85*'HPM costs'!M636)+('HIV-Key Info'!$F$85*('HPM costs'!M639+'HPM costs'!M642)))</f>
        <v>0</v>
      </c>
      <c r="AH443" s="695"/>
      <c r="AI443" s="695">
        <f>'HIV-Key Info'!$H$85*(('HIV-Key Info'!$E$85*'HPM costs'!N636)+('HIV-Key Info'!$F$85*('HPM costs'!N639+'HPM costs'!N642)))</f>
        <v>0</v>
      </c>
      <c r="AJ443" s="695"/>
      <c r="AK443" s="1492">
        <f t="shared" si="43"/>
        <v>0</v>
      </c>
      <c r="AL443" s="1493"/>
      <c r="AM443" s="1494"/>
      <c r="AN443" s="699"/>
      <c r="AO443" s="695"/>
      <c r="AP443" s="695">
        <f>'HIV-Key Info'!$H$85*(('HIV-Key Info'!$E$85*'HPM costs'!P636)+('HIV-Key Info'!$F$85*('HPM costs'!P639+'HPM costs'!P642)))</f>
        <v>0</v>
      </c>
      <c r="AQ443" s="695"/>
      <c r="AR443" s="695">
        <f>'HIV-Key Info'!$H$85*(('HIV-Key Info'!$E$85*'HPM costs'!Q636)+('HIV-Key Info'!$F$85*('HPM costs'!Q639+'HPM costs'!Q642)))</f>
        <v>0</v>
      </c>
      <c r="AS443" s="695"/>
      <c r="AT443" s="695">
        <f>'HIV-Key Info'!$H$85*(('HIV-Key Info'!$E$85*'HPM costs'!R636)+('HIV-Key Info'!$F$85*('HPM costs'!R639+'HPM costs'!R642)))</f>
        <v>0</v>
      </c>
      <c r="AU443" s="695"/>
      <c r="AV443" s="695">
        <f>'HIV-Key Info'!$H$85*(('HIV-Key Info'!$E$85*'HPM costs'!S636)+('HIV-Key Info'!$F$85*('HPM costs'!S639+'HPM costs'!S642)))</f>
        <v>0</v>
      </c>
      <c r="AW443" s="695"/>
      <c r="AX443" s="1492">
        <f t="shared" si="44"/>
        <v>0</v>
      </c>
      <c r="AY443" s="1492"/>
      <c r="AZ443" s="698"/>
      <c r="BA443" s="699"/>
      <c r="BB443" s="697"/>
      <c r="BC443" s="697">
        <v>0</v>
      </c>
      <c r="BD443" s="697">
        <v>0</v>
      </c>
      <c r="BE443" s="697">
        <v>0</v>
      </c>
      <c r="BF443" s="697">
        <v>0</v>
      </c>
      <c r="BG443" s="697">
        <v>0</v>
      </c>
      <c r="BH443" s="697">
        <v>0</v>
      </c>
      <c r="BI443" s="697">
        <v>0</v>
      </c>
      <c r="BJ443" s="697">
        <v>0</v>
      </c>
      <c r="BK443" s="1492">
        <f t="shared" si="45"/>
        <v>0</v>
      </c>
      <c r="BL443" s="1492"/>
      <c r="BM443" s="1492">
        <f t="shared" si="46"/>
        <v>0</v>
      </c>
      <c r="BN443" s="1492">
        <f t="shared" si="47"/>
        <v>0</v>
      </c>
      <c r="BO443" s="697"/>
      <c r="BP443" s="697"/>
      <c r="BQ443" s="1495" t="s">
        <v>6938</v>
      </c>
      <c r="BR443" s="1495" t="s">
        <v>818</v>
      </c>
      <c r="BS443" s="1902" t="s">
        <v>655</v>
      </c>
      <c r="BT443" s="1907" t="s">
        <v>2162</v>
      </c>
    </row>
    <row r="444" spans="1:72" ht="13">
      <c r="A444" s="1545">
        <v>1000</v>
      </c>
      <c r="B444" s="1546" t="s">
        <v>800</v>
      </c>
      <c r="C444" s="1546" t="s">
        <v>803</v>
      </c>
      <c r="D444" s="1547" t="s">
        <v>6960</v>
      </c>
      <c r="E444" s="690" t="s">
        <v>731</v>
      </c>
      <c r="F444" s="691"/>
      <c r="G444" s="692"/>
      <c r="H444" s="692"/>
      <c r="I444" s="692"/>
      <c r="J444" s="693"/>
      <c r="K444" s="693"/>
      <c r="L444" s="693"/>
      <c r="M444" s="694"/>
      <c r="N444" s="695"/>
      <c r="O444" s="696" t="s">
        <v>1569</v>
      </c>
      <c r="P444" s="695">
        <f>'HIV-Key Info'!$I$85*('HIV-Key Info'!$E$85*('HPM costs'!F551/'HPM costs'!$E$551)+'HIV-Key Info'!$F$85*('HPM costs'!F557/'HPM costs'!$E$557+'HPM costs'!F554/'HPM costs'!$E$554))</f>
        <v>0</v>
      </c>
      <c r="Q444" s="695" t="s">
        <v>1569</v>
      </c>
      <c r="R444" s="695">
        <f>'HIV-Key Info'!$I$85*('HIV-Key Info'!$E$85*('HPM costs'!G551/'HPM costs'!$E$551)+'HIV-Key Info'!$F$85*('HPM costs'!G557/'HPM costs'!$E$557+'HPM costs'!G554/'HPM costs'!$E$554))</f>
        <v>0</v>
      </c>
      <c r="S444" s="695" t="s">
        <v>1569</v>
      </c>
      <c r="T444" s="695">
        <f>'HIV-Key Info'!$I$85*('HIV-Key Info'!$E$85*('HPM costs'!H551/'HPM costs'!$E$551)+'HIV-Key Info'!$F$85*('HPM costs'!H557/'HPM costs'!$E$557+'HPM costs'!H554/'HPM costs'!$E$554))</f>
        <v>0</v>
      </c>
      <c r="U444" s="695" t="s">
        <v>1569</v>
      </c>
      <c r="V444" s="695">
        <f>'HIV-Key Info'!$I$85*('HIV-Key Info'!$E$85*('HPM costs'!I551/'HPM costs'!$E$551)+'HIV-Key Info'!$F$85*('HPM costs'!I557/'HPM costs'!$E$557+'HPM costs'!I554/'HPM costs'!$E$554))</f>
        <v>0</v>
      </c>
      <c r="W444" s="695"/>
      <c r="X444" s="1492">
        <f t="shared" si="42"/>
        <v>0</v>
      </c>
      <c r="Y444" s="1493"/>
      <c r="Z444" s="1494"/>
      <c r="AA444" s="699"/>
      <c r="AB444" s="695"/>
      <c r="AC444" s="695">
        <f>'HIV-Key Info'!$I$85*('HIV-Key Info'!$E$85*('HPM costs'!K551/'HPM costs'!$E$551)+'HIV-Key Info'!$F$85*('HPM costs'!K557/'HPM costs'!$E$557+'HPM costs'!K554/'HPM costs'!$E$554))</f>
        <v>0</v>
      </c>
      <c r="AD444" s="695"/>
      <c r="AE444" s="695">
        <f>'HIV-Key Info'!$I$85*('HIV-Key Info'!$E$85*('HPM costs'!L551/'HPM costs'!$E$551)+'HIV-Key Info'!$F$85*('HPM costs'!L557/'HPM costs'!$E$557+'HPM costs'!L554/'HPM costs'!$E$554))</f>
        <v>0</v>
      </c>
      <c r="AF444" s="695"/>
      <c r="AG444" s="695">
        <f>'HIV-Key Info'!$I$85*('HIV-Key Info'!$E$85*('HPM costs'!M551/'HPM costs'!$E$551)+'HIV-Key Info'!$F$85*('HPM costs'!M557/'HPM costs'!$E$557+'HPM costs'!M554/'HPM costs'!$E$554))</f>
        <v>0</v>
      </c>
      <c r="AH444" s="695"/>
      <c r="AI444" s="695">
        <f>'HIV-Key Info'!$I$85*('HIV-Key Info'!$E$85*('HPM costs'!N551/'HPM costs'!$E$551)+'HIV-Key Info'!$F$85*('HPM costs'!N557/'HPM costs'!$E$557+'HPM costs'!N554/'HPM costs'!$E$554))</f>
        <v>0</v>
      </c>
      <c r="AJ444" s="695"/>
      <c r="AK444" s="1492">
        <f t="shared" si="43"/>
        <v>0</v>
      </c>
      <c r="AL444" s="1493"/>
      <c r="AM444" s="1494"/>
      <c r="AN444" s="699"/>
      <c r="AO444" s="695"/>
      <c r="AP444" s="695">
        <f>'HIV-Key Info'!$I$85*('HIV-Key Info'!$E$85*('HPM costs'!P551/'HPM costs'!$E$551)+'HIV-Key Info'!$F$85*('HPM costs'!P557/'HPM costs'!$E$557+'HPM costs'!P554/'HPM costs'!$E$554))</f>
        <v>0</v>
      </c>
      <c r="AQ444" s="695"/>
      <c r="AR444" s="695">
        <f>'HIV-Key Info'!$I$85*('HIV-Key Info'!$E$85*('HPM costs'!Q551/'HPM costs'!$E$551)+'HIV-Key Info'!$F$85*('HPM costs'!Q557/'HPM costs'!$E$557+'HPM costs'!Q554/'HPM costs'!$E$554))</f>
        <v>0</v>
      </c>
      <c r="AS444" s="695"/>
      <c r="AT444" s="695">
        <f>'HIV-Key Info'!$I$85*('HIV-Key Info'!$E$85*('HPM costs'!R551/'HPM costs'!$E$551)+'HIV-Key Info'!$F$85*('HPM costs'!R557/'HPM costs'!$E$557+'HPM costs'!R554/'HPM costs'!$E$554))</f>
        <v>0</v>
      </c>
      <c r="AU444" s="695"/>
      <c r="AV444" s="695">
        <f>'HIV-Key Info'!$I$85*('HIV-Key Info'!$E$85*('HPM costs'!S551/'HPM costs'!$E$551)+'HIV-Key Info'!$F$85*('HPM costs'!S557/'HPM costs'!$E$557+'HPM costs'!S554/'HPM costs'!$E$554))</f>
        <v>0</v>
      </c>
      <c r="AW444" s="695"/>
      <c r="AX444" s="1492">
        <f t="shared" si="44"/>
        <v>0</v>
      </c>
      <c r="AY444" s="1492"/>
      <c r="AZ444" s="698"/>
      <c r="BA444" s="699"/>
      <c r="BB444" s="697"/>
      <c r="BC444" s="697">
        <v>0</v>
      </c>
      <c r="BD444" s="697">
        <v>0</v>
      </c>
      <c r="BE444" s="697">
        <v>0</v>
      </c>
      <c r="BF444" s="697">
        <v>0</v>
      </c>
      <c r="BG444" s="697">
        <v>0</v>
      </c>
      <c r="BH444" s="697">
        <v>0</v>
      </c>
      <c r="BI444" s="697">
        <v>0</v>
      </c>
      <c r="BJ444" s="697">
        <v>0</v>
      </c>
      <c r="BK444" s="1492">
        <f t="shared" si="45"/>
        <v>0</v>
      </c>
      <c r="BL444" s="1492"/>
      <c r="BM444" s="1492">
        <f t="shared" si="46"/>
        <v>0</v>
      </c>
      <c r="BN444" s="1492">
        <f t="shared" si="47"/>
        <v>0</v>
      </c>
      <c r="BO444" s="697"/>
      <c r="BP444" s="697"/>
      <c r="BQ444" s="1495" t="s">
        <v>6938</v>
      </c>
      <c r="BR444" s="1495" t="s">
        <v>818</v>
      </c>
      <c r="BS444" s="1902" t="s">
        <v>6953</v>
      </c>
      <c r="BT444" s="1907" t="s">
        <v>2163</v>
      </c>
    </row>
    <row r="445" spans="1:72" ht="13">
      <c r="A445" s="1545">
        <v>1001</v>
      </c>
      <c r="B445" s="1546" t="s">
        <v>800</v>
      </c>
      <c r="C445" s="1546" t="s">
        <v>803</v>
      </c>
      <c r="D445" s="1547" t="s">
        <v>6882</v>
      </c>
      <c r="E445" s="690" t="s">
        <v>656</v>
      </c>
      <c r="F445" s="691"/>
      <c r="G445" s="692"/>
      <c r="H445" s="692"/>
      <c r="I445" s="692"/>
      <c r="J445" s="693"/>
      <c r="K445" s="693"/>
      <c r="L445" s="693"/>
      <c r="M445" s="694"/>
      <c r="N445" s="695"/>
      <c r="O445" s="696" t="s">
        <v>1569</v>
      </c>
      <c r="P445" s="695">
        <f>'HIV-Key Info'!$I$85*(('HIV-Key Info'!$E$85*'HPM costs'!F33)+('HIV-Key Info'!$F$85*('HPM costs'!F36+'HPM costs'!F39)))</f>
        <v>0</v>
      </c>
      <c r="Q445" s="695" t="s">
        <v>1569</v>
      </c>
      <c r="R445" s="695">
        <f>'HIV-Key Info'!$I$85*(('HIV-Key Info'!$E$85*'HPM costs'!G33)+('HIV-Key Info'!$F$85*('HPM costs'!G36+'HPM costs'!G39)))</f>
        <v>0</v>
      </c>
      <c r="S445" s="695" t="s">
        <v>1569</v>
      </c>
      <c r="T445" s="695">
        <f>'HIV-Key Info'!$I$85*(('HIV-Key Info'!$E$85*'HPM costs'!H33)+('HIV-Key Info'!$F$85*('HPM costs'!H36+'HPM costs'!H39)))</f>
        <v>0</v>
      </c>
      <c r="U445" s="695" t="s">
        <v>1569</v>
      </c>
      <c r="V445" s="695">
        <f>'HIV-Key Info'!$I$85*(('HIV-Key Info'!$E$85*'HPM costs'!I33)+('HIV-Key Info'!$F$85*('HPM costs'!I36+'HPM costs'!I39)))</f>
        <v>0</v>
      </c>
      <c r="W445" s="695"/>
      <c r="X445" s="1492">
        <f t="shared" si="42"/>
        <v>0</v>
      </c>
      <c r="Y445" s="1493"/>
      <c r="Z445" s="1494"/>
      <c r="AA445" s="699"/>
      <c r="AB445" s="695"/>
      <c r="AC445" s="695">
        <f>'HIV-Key Info'!$I$85*(('HIV-Key Info'!$E$85*'HPM costs'!K33)+('HIV-Key Info'!$F$85*('HPM costs'!K36+'HPM costs'!K39)))</f>
        <v>0</v>
      </c>
      <c r="AD445" s="695"/>
      <c r="AE445" s="695">
        <f>'HIV-Key Info'!$I$85*(('HIV-Key Info'!$E$85*'HPM costs'!L33)+('HIV-Key Info'!$F$85*('HPM costs'!L36+'HPM costs'!L39)))</f>
        <v>0</v>
      </c>
      <c r="AF445" s="695"/>
      <c r="AG445" s="695">
        <f>'HIV-Key Info'!$I$85*(('HIV-Key Info'!$E$85*'HPM costs'!M33)+('HIV-Key Info'!$F$85*('HPM costs'!M36+'HPM costs'!M39)))</f>
        <v>0</v>
      </c>
      <c r="AH445" s="695"/>
      <c r="AI445" s="695">
        <f>'HIV-Key Info'!$I$85*(('HIV-Key Info'!$E$85*'HPM costs'!N33)+('HIV-Key Info'!$F$85*('HPM costs'!N36+'HPM costs'!N39)))</f>
        <v>0</v>
      </c>
      <c r="AJ445" s="695"/>
      <c r="AK445" s="1492">
        <f t="shared" si="43"/>
        <v>0</v>
      </c>
      <c r="AL445" s="1493"/>
      <c r="AM445" s="1494"/>
      <c r="AN445" s="699"/>
      <c r="AO445" s="695"/>
      <c r="AP445" s="695">
        <f>'HIV-Key Info'!$I$85*(('HIV-Key Info'!$E$85*'HPM costs'!P33)+('HIV-Key Info'!$F$85*('HPM costs'!P36+'HPM costs'!P39)))</f>
        <v>0</v>
      </c>
      <c r="AQ445" s="695"/>
      <c r="AR445" s="695">
        <f>'HIV-Key Info'!$I$85*(('HIV-Key Info'!$E$85*'HPM costs'!Q33)+('HIV-Key Info'!$F$85*('HPM costs'!Q36+'HPM costs'!Q39)))</f>
        <v>0</v>
      </c>
      <c r="AS445" s="695"/>
      <c r="AT445" s="695">
        <f>'HIV-Key Info'!$I$85*(('HIV-Key Info'!$E$85*'HPM costs'!R33)+('HIV-Key Info'!$F$85*('HPM costs'!R36+'HPM costs'!R39)))</f>
        <v>0</v>
      </c>
      <c r="AU445" s="695"/>
      <c r="AV445" s="695">
        <f>'HIV-Key Info'!$I$85*(('HIV-Key Info'!$E$85*'HPM costs'!S33)+('HIV-Key Info'!$F$85*('HPM costs'!S36+'HPM costs'!S39)))</f>
        <v>0</v>
      </c>
      <c r="AW445" s="695"/>
      <c r="AX445" s="1492">
        <f t="shared" si="44"/>
        <v>0</v>
      </c>
      <c r="AY445" s="1492"/>
      <c r="AZ445" s="698"/>
      <c r="BA445" s="699"/>
      <c r="BB445" s="697"/>
      <c r="BC445" s="697">
        <v>0</v>
      </c>
      <c r="BD445" s="697">
        <v>0</v>
      </c>
      <c r="BE445" s="697">
        <v>0</v>
      </c>
      <c r="BF445" s="697">
        <v>0</v>
      </c>
      <c r="BG445" s="697">
        <v>0</v>
      </c>
      <c r="BH445" s="697">
        <v>0</v>
      </c>
      <c r="BI445" s="697">
        <v>0</v>
      </c>
      <c r="BJ445" s="697">
        <v>0</v>
      </c>
      <c r="BK445" s="1492">
        <f t="shared" si="45"/>
        <v>0</v>
      </c>
      <c r="BL445" s="1492"/>
      <c r="BM445" s="1492">
        <f t="shared" si="46"/>
        <v>0</v>
      </c>
      <c r="BN445" s="1492">
        <f t="shared" si="47"/>
        <v>0</v>
      </c>
      <c r="BO445" s="697"/>
      <c r="BP445" s="697"/>
      <c r="BQ445" s="1495" t="s">
        <v>6938</v>
      </c>
      <c r="BR445" s="1495" t="s">
        <v>818</v>
      </c>
      <c r="BS445" s="1902" t="s">
        <v>655</v>
      </c>
      <c r="BT445" s="1907" t="s">
        <v>2164</v>
      </c>
    </row>
    <row r="446" spans="1:72" ht="13">
      <c r="A446" s="1545">
        <v>1002</v>
      </c>
      <c r="B446" s="1546" t="s">
        <v>800</v>
      </c>
      <c r="C446" s="1546" t="s">
        <v>803</v>
      </c>
      <c r="D446" s="1547" t="s">
        <v>6882</v>
      </c>
      <c r="E446" s="690" t="s">
        <v>658</v>
      </c>
      <c r="F446" s="691"/>
      <c r="G446" s="692"/>
      <c r="H446" s="692"/>
      <c r="I446" s="692"/>
      <c r="J446" s="693"/>
      <c r="K446" s="693"/>
      <c r="L446" s="693"/>
      <c r="M446" s="694"/>
      <c r="N446" s="695"/>
      <c r="O446" s="696" t="s">
        <v>1569</v>
      </c>
      <c r="P446" s="695">
        <f>'HIV-Key Info'!$I$85*(('HIV-Key Info'!$E$85*'HPM costs'!F119)+('HIV-Key Info'!$F$85*('HPM costs'!F122+'HPM costs'!F125)))</f>
        <v>0</v>
      </c>
      <c r="Q446" s="695" t="s">
        <v>1569</v>
      </c>
      <c r="R446" s="695">
        <f>'HIV-Key Info'!$I$85*(('HIV-Key Info'!$E$85*'HPM costs'!G119)+('HIV-Key Info'!$F$85*('HPM costs'!G122+'HPM costs'!G125)))</f>
        <v>0</v>
      </c>
      <c r="S446" s="695" t="s">
        <v>1569</v>
      </c>
      <c r="T446" s="695">
        <f>'HIV-Key Info'!$I$85*(('HIV-Key Info'!$E$85*'HPM costs'!H119)+('HIV-Key Info'!$F$85*('HPM costs'!H122+'HPM costs'!H125)))</f>
        <v>0</v>
      </c>
      <c r="U446" s="695" t="s">
        <v>1569</v>
      </c>
      <c r="V446" s="695">
        <f>'HIV-Key Info'!$I$85*(('HIV-Key Info'!$E$85*'HPM costs'!I119)+('HIV-Key Info'!$F$85*('HPM costs'!I122+'HPM costs'!I125)))</f>
        <v>0</v>
      </c>
      <c r="W446" s="695"/>
      <c r="X446" s="1492">
        <f t="shared" si="42"/>
        <v>0</v>
      </c>
      <c r="Y446" s="1493"/>
      <c r="Z446" s="1494"/>
      <c r="AA446" s="699"/>
      <c r="AB446" s="695"/>
      <c r="AC446" s="695">
        <f>'HIV-Key Info'!$I$85*(('HIV-Key Info'!$E$85*'HPM costs'!K119)+('HIV-Key Info'!$F$85*('HPM costs'!K122+'HPM costs'!K125)))</f>
        <v>0</v>
      </c>
      <c r="AD446" s="695"/>
      <c r="AE446" s="695">
        <f>'HIV-Key Info'!$I$85*(('HIV-Key Info'!$E$85*'HPM costs'!L119)+('HIV-Key Info'!$F$85*('HPM costs'!L122+'HPM costs'!L125)))</f>
        <v>0</v>
      </c>
      <c r="AF446" s="695"/>
      <c r="AG446" s="695">
        <f>'HIV-Key Info'!$I$85*(('HIV-Key Info'!$E$85*'HPM costs'!M119)+('HIV-Key Info'!$F$85*('HPM costs'!M122+'HPM costs'!M125)))</f>
        <v>0</v>
      </c>
      <c r="AH446" s="695"/>
      <c r="AI446" s="695">
        <f>'HIV-Key Info'!$I$85*(('HIV-Key Info'!$E$85*'HPM costs'!N119)+('HIV-Key Info'!$F$85*('HPM costs'!N122+'HPM costs'!N125)))</f>
        <v>0</v>
      </c>
      <c r="AJ446" s="695"/>
      <c r="AK446" s="1492">
        <f t="shared" si="43"/>
        <v>0</v>
      </c>
      <c r="AL446" s="1493"/>
      <c r="AM446" s="1494"/>
      <c r="AN446" s="699"/>
      <c r="AO446" s="695"/>
      <c r="AP446" s="695">
        <f>'HIV-Key Info'!$I$85*(('HIV-Key Info'!$E$85*'HPM costs'!P119)+('HIV-Key Info'!$F$85*('HPM costs'!P122+'HPM costs'!P125)))</f>
        <v>0</v>
      </c>
      <c r="AQ446" s="695"/>
      <c r="AR446" s="695">
        <f>'HIV-Key Info'!$I$85*(('HIV-Key Info'!$E$85*'HPM costs'!Q119)+('HIV-Key Info'!$F$85*('HPM costs'!Q122+'HPM costs'!Q125)))</f>
        <v>0</v>
      </c>
      <c r="AS446" s="695"/>
      <c r="AT446" s="695">
        <f>'HIV-Key Info'!$I$85*(('HIV-Key Info'!$E$85*'HPM costs'!R119)+('HIV-Key Info'!$F$85*('HPM costs'!R122+'HPM costs'!R125)))</f>
        <v>0</v>
      </c>
      <c r="AU446" s="695"/>
      <c r="AV446" s="695">
        <f>'HIV-Key Info'!$I$85*(('HIV-Key Info'!$E$85*'HPM costs'!S119)+('HIV-Key Info'!$F$85*('HPM costs'!S122+'HPM costs'!S125)))</f>
        <v>0</v>
      </c>
      <c r="AW446" s="695"/>
      <c r="AX446" s="1492">
        <f t="shared" si="44"/>
        <v>0</v>
      </c>
      <c r="AY446" s="1492"/>
      <c r="AZ446" s="698"/>
      <c r="BA446" s="699"/>
      <c r="BB446" s="697"/>
      <c r="BC446" s="697">
        <v>0</v>
      </c>
      <c r="BD446" s="697">
        <v>0</v>
      </c>
      <c r="BE446" s="697">
        <v>0</v>
      </c>
      <c r="BF446" s="697">
        <v>0</v>
      </c>
      <c r="BG446" s="697">
        <v>0</v>
      </c>
      <c r="BH446" s="697">
        <v>0</v>
      </c>
      <c r="BI446" s="697">
        <v>0</v>
      </c>
      <c r="BJ446" s="697">
        <v>0</v>
      </c>
      <c r="BK446" s="1492">
        <f t="shared" si="45"/>
        <v>0</v>
      </c>
      <c r="BL446" s="1492"/>
      <c r="BM446" s="1492">
        <f t="shared" si="46"/>
        <v>0</v>
      </c>
      <c r="BN446" s="1492">
        <f t="shared" si="47"/>
        <v>0</v>
      </c>
      <c r="BO446" s="697"/>
      <c r="BP446" s="697"/>
      <c r="BQ446" s="1495" t="s">
        <v>6938</v>
      </c>
      <c r="BR446" s="1495" t="s">
        <v>818</v>
      </c>
      <c r="BS446" s="1902" t="s">
        <v>655</v>
      </c>
      <c r="BT446" s="1907" t="s">
        <v>2165</v>
      </c>
    </row>
    <row r="447" spans="1:72" ht="13">
      <c r="A447" s="1545">
        <v>1003</v>
      </c>
      <c r="B447" s="1546" t="s">
        <v>800</v>
      </c>
      <c r="C447" s="1546" t="s">
        <v>803</v>
      </c>
      <c r="D447" s="1547" t="s">
        <v>6882</v>
      </c>
      <c r="E447" s="690" t="s">
        <v>660</v>
      </c>
      <c r="F447" s="691"/>
      <c r="G447" s="692"/>
      <c r="H447" s="692"/>
      <c r="I447" s="692"/>
      <c r="J447" s="693"/>
      <c r="K447" s="693"/>
      <c r="L447" s="693"/>
      <c r="M447" s="694"/>
      <c r="N447" s="695"/>
      <c r="O447" s="696" t="s">
        <v>1569</v>
      </c>
      <c r="P447" s="695">
        <f>'HIV-Key Info'!$I$85*(('HIV-Key Info'!$E$85*'HPM costs'!F379)+('HIV-Key Info'!$F$85*('HPM costs'!F382+'HPM costs'!F385)))</f>
        <v>0</v>
      </c>
      <c r="Q447" s="695" t="s">
        <v>1569</v>
      </c>
      <c r="R447" s="695">
        <f>'HIV-Key Info'!$I$85*(('HIV-Key Info'!$E$85*'HPM costs'!G379)+('HIV-Key Info'!$F$85*('HPM costs'!G382+'HPM costs'!G385)))</f>
        <v>0</v>
      </c>
      <c r="S447" s="695" t="s">
        <v>1569</v>
      </c>
      <c r="T447" s="695">
        <f>'HIV-Key Info'!$I$85*(('HIV-Key Info'!$E$85*'HPM costs'!H379)+('HIV-Key Info'!$F$85*('HPM costs'!H382+'HPM costs'!H385)))</f>
        <v>0</v>
      </c>
      <c r="U447" s="695" t="s">
        <v>1569</v>
      </c>
      <c r="V447" s="695">
        <f>'HIV-Key Info'!$I$85*(('HIV-Key Info'!$E$85*'HPM costs'!I379)+('HIV-Key Info'!$F$85*('HPM costs'!I382+'HPM costs'!I385)))</f>
        <v>0</v>
      </c>
      <c r="W447" s="695"/>
      <c r="X447" s="1492">
        <f t="shared" si="42"/>
        <v>0</v>
      </c>
      <c r="Y447" s="1493"/>
      <c r="Z447" s="1494"/>
      <c r="AA447" s="699"/>
      <c r="AB447" s="695"/>
      <c r="AC447" s="695">
        <f>'HIV-Key Info'!$I$85*(('HIV-Key Info'!$E$85*'HPM costs'!K379)+('HIV-Key Info'!$F$85*('HPM costs'!K382+'HPM costs'!K385)))</f>
        <v>0</v>
      </c>
      <c r="AD447" s="695"/>
      <c r="AE447" s="695">
        <f>'HIV-Key Info'!$I$85*(('HIV-Key Info'!$E$85*'HPM costs'!L379)+('HIV-Key Info'!$F$85*('HPM costs'!L382+'HPM costs'!L385)))</f>
        <v>0</v>
      </c>
      <c r="AF447" s="695"/>
      <c r="AG447" s="695">
        <f>'HIV-Key Info'!$I$85*(('HIV-Key Info'!$E$85*'HPM costs'!M379)+('HIV-Key Info'!$F$85*('HPM costs'!M382+'HPM costs'!M385)))</f>
        <v>0</v>
      </c>
      <c r="AH447" s="695"/>
      <c r="AI447" s="695">
        <f>'HIV-Key Info'!$I$85*(('HIV-Key Info'!$E$85*'HPM costs'!N379)+('HIV-Key Info'!$F$85*('HPM costs'!N382+'HPM costs'!N385)))</f>
        <v>0</v>
      </c>
      <c r="AJ447" s="695"/>
      <c r="AK447" s="1492">
        <f t="shared" si="43"/>
        <v>0</v>
      </c>
      <c r="AL447" s="1493"/>
      <c r="AM447" s="1494"/>
      <c r="AN447" s="699"/>
      <c r="AO447" s="695"/>
      <c r="AP447" s="695">
        <f>'HIV-Key Info'!$I$85*(('HIV-Key Info'!$E$85*'HPM costs'!P379)+('HIV-Key Info'!$F$85*('HPM costs'!P382+'HPM costs'!P385)))</f>
        <v>0</v>
      </c>
      <c r="AQ447" s="695"/>
      <c r="AR447" s="695">
        <f>'HIV-Key Info'!$I$85*(('HIV-Key Info'!$E$85*'HPM costs'!Q379)+('HIV-Key Info'!$F$85*('HPM costs'!Q382+'HPM costs'!Q385)))</f>
        <v>0</v>
      </c>
      <c r="AS447" s="695"/>
      <c r="AT447" s="695">
        <f>'HIV-Key Info'!$I$85*(('HIV-Key Info'!$E$85*'HPM costs'!R379)+('HIV-Key Info'!$F$85*('HPM costs'!R382+'HPM costs'!R385)))</f>
        <v>0</v>
      </c>
      <c r="AU447" s="695"/>
      <c r="AV447" s="695">
        <f>'HIV-Key Info'!$I$85*(('HIV-Key Info'!$E$85*'HPM costs'!S379)+('HIV-Key Info'!$F$85*('HPM costs'!S382+'HPM costs'!S385)))</f>
        <v>0</v>
      </c>
      <c r="AW447" s="695"/>
      <c r="AX447" s="1492">
        <f t="shared" si="44"/>
        <v>0</v>
      </c>
      <c r="AY447" s="1492"/>
      <c r="AZ447" s="698"/>
      <c r="BA447" s="699"/>
      <c r="BB447" s="697"/>
      <c r="BC447" s="697">
        <v>0</v>
      </c>
      <c r="BD447" s="697">
        <v>0</v>
      </c>
      <c r="BE447" s="697">
        <v>0</v>
      </c>
      <c r="BF447" s="697">
        <v>0</v>
      </c>
      <c r="BG447" s="697">
        <v>0</v>
      </c>
      <c r="BH447" s="697">
        <v>0</v>
      </c>
      <c r="BI447" s="697">
        <v>0</v>
      </c>
      <c r="BJ447" s="697">
        <v>0</v>
      </c>
      <c r="BK447" s="1492">
        <f t="shared" si="45"/>
        <v>0</v>
      </c>
      <c r="BL447" s="1492"/>
      <c r="BM447" s="1492">
        <f t="shared" si="46"/>
        <v>0</v>
      </c>
      <c r="BN447" s="1492">
        <f t="shared" si="47"/>
        <v>0</v>
      </c>
      <c r="BO447" s="697"/>
      <c r="BP447" s="697"/>
      <c r="BQ447" s="1495" t="s">
        <v>6938</v>
      </c>
      <c r="BR447" s="1495" t="s">
        <v>818</v>
      </c>
      <c r="BS447" s="1902" t="s">
        <v>655</v>
      </c>
      <c r="BT447" s="1907" t="s">
        <v>2166</v>
      </c>
    </row>
    <row r="448" spans="1:72" ht="13">
      <c r="A448" s="1545">
        <v>1004</v>
      </c>
      <c r="B448" s="1546" t="s">
        <v>800</v>
      </c>
      <c r="C448" s="1546" t="s">
        <v>803</v>
      </c>
      <c r="D448" s="1547" t="s">
        <v>6882</v>
      </c>
      <c r="E448" s="690" t="s">
        <v>662</v>
      </c>
      <c r="F448" s="691"/>
      <c r="G448" s="692"/>
      <c r="H448" s="692"/>
      <c r="I448" s="692"/>
      <c r="J448" s="693"/>
      <c r="K448" s="693"/>
      <c r="L448" s="693"/>
      <c r="M448" s="694"/>
      <c r="N448" s="695"/>
      <c r="O448" s="696" t="s">
        <v>1569</v>
      </c>
      <c r="P448" s="695">
        <f>'HIV-Key Info'!$I$85*(('HIV-Key Info'!$E$85*'HPM costs'!F465)+('HIV-Key Info'!$F$85*('HPM costs'!F468+'HPM costs'!F471)))</f>
        <v>0</v>
      </c>
      <c r="Q448" s="695" t="s">
        <v>1569</v>
      </c>
      <c r="R448" s="695">
        <f>'HIV-Key Info'!$I$85*(('HIV-Key Info'!$E$85*'HPM costs'!G465)+('HIV-Key Info'!$F$85*('HPM costs'!G468+'HPM costs'!G471)))</f>
        <v>0</v>
      </c>
      <c r="S448" s="695" t="s">
        <v>1569</v>
      </c>
      <c r="T448" s="695">
        <f>'HIV-Key Info'!$I$85*(('HIV-Key Info'!$E$85*'HPM costs'!H465)+('HIV-Key Info'!$F$85*('HPM costs'!H468+'HPM costs'!H471)))</f>
        <v>0</v>
      </c>
      <c r="U448" s="695" t="s">
        <v>1569</v>
      </c>
      <c r="V448" s="695">
        <f>'HIV-Key Info'!$I$85*(('HIV-Key Info'!$E$85*'HPM costs'!I465)+('HIV-Key Info'!$F$85*('HPM costs'!I468+'HPM costs'!I471)))</f>
        <v>0</v>
      </c>
      <c r="W448" s="695"/>
      <c r="X448" s="1492">
        <f t="shared" si="42"/>
        <v>0</v>
      </c>
      <c r="Y448" s="1493"/>
      <c r="Z448" s="1494"/>
      <c r="AA448" s="699"/>
      <c r="AB448" s="695"/>
      <c r="AC448" s="695">
        <f>'HIV-Key Info'!$I$85*(('HIV-Key Info'!$E$85*'HPM costs'!K465)+('HIV-Key Info'!$F$85*('HPM costs'!K468+'HPM costs'!K471)))</f>
        <v>0</v>
      </c>
      <c r="AD448" s="695"/>
      <c r="AE448" s="695">
        <f>'HIV-Key Info'!$I$85*(('HIV-Key Info'!$E$85*'HPM costs'!L465)+('HIV-Key Info'!$F$85*('HPM costs'!L468+'HPM costs'!L471)))</f>
        <v>0</v>
      </c>
      <c r="AF448" s="695"/>
      <c r="AG448" s="695">
        <f>'HIV-Key Info'!$I$85*(('HIV-Key Info'!$E$85*'HPM costs'!M465)+('HIV-Key Info'!$F$85*('HPM costs'!M468+'HPM costs'!M471)))</f>
        <v>0</v>
      </c>
      <c r="AH448" s="695"/>
      <c r="AI448" s="695">
        <f>'HIV-Key Info'!$I$85*(('HIV-Key Info'!$E$85*'HPM costs'!N465)+('HIV-Key Info'!$F$85*('HPM costs'!N468+'HPM costs'!N471)))</f>
        <v>0</v>
      </c>
      <c r="AJ448" s="695"/>
      <c r="AK448" s="1492">
        <f t="shared" si="43"/>
        <v>0</v>
      </c>
      <c r="AL448" s="1493"/>
      <c r="AM448" s="1494"/>
      <c r="AN448" s="699"/>
      <c r="AO448" s="695"/>
      <c r="AP448" s="695">
        <f>'HIV-Key Info'!$I$85*(('HIV-Key Info'!$E$85*'HPM costs'!P465)+('HIV-Key Info'!$F$85*('HPM costs'!P468+'HPM costs'!P471)))</f>
        <v>0</v>
      </c>
      <c r="AQ448" s="695"/>
      <c r="AR448" s="695">
        <f>'HIV-Key Info'!$I$85*(('HIV-Key Info'!$E$85*'HPM costs'!Q465)+('HIV-Key Info'!$F$85*('HPM costs'!Q468+'HPM costs'!Q471)))</f>
        <v>0</v>
      </c>
      <c r="AS448" s="695"/>
      <c r="AT448" s="695">
        <f>'HIV-Key Info'!$I$85*(('HIV-Key Info'!$E$85*'HPM costs'!R465)+('HIV-Key Info'!$F$85*('HPM costs'!R468+'HPM costs'!R471)))</f>
        <v>0</v>
      </c>
      <c r="AU448" s="695"/>
      <c r="AV448" s="695">
        <f>'HIV-Key Info'!$I$85*(('HIV-Key Info'!$E$85*'HPM costs'!S465)+('HIV-Key Info'!$F$85*('HPM costs'!S468+'HPM costs'!S471)))</f>
        <v>0</v>
      </c>
      <c r="AW448" s="695"/>
      <c r="AX448" s="1492">
        <f t="shared" si="44"/>
        <v>0</v>
      </c>
      <c r="AY448" s="1492"/>
      <c r="AZ448" s="698"/>
      <c r="BA448" s="699"/>
      <c r="BB448" s="697"/>
      <c r="BC448" s="697">
        <v>0</v>
      </c>
      <c r="BD448" s="697">
        <v>0</v>
      </c>
      <c r="BE448" s="697">
        <v>0</v>
      </c>
      <c r="BF448" s="697">
        <v>0</v>
      </c>
      <c r="BG448" s="697">
        <v>0</v>
      </c>
      <c r="BH448" s="697">
        <v>0</v>
      </c>
      <c r="BI448" s="697">
        <v>0</v>
      </c>
      <c r="BJ448" s="697">
        <v>0</v>
      </c>
      <c r="BK448" s="1492">
        <f t="shared" si="45"/>
        <v>0</v>
      </c>
      <c r="BL448" s="1492"/>
      <c r="BM448" s="1492">
        <f t="shared" si="46"/>
        <v>0</v>
      </c>
      <c r="BN448" s="1492">
        <f t="shared" si="47"/>
        <v>0</v>
      </c>
      <c r="BO448" s="697"/>
      <c r="BP448" s="697"/>
      <c r="BQ448" s="1495" t="s">
        <v>6938</v>
      </c>
      <c r="BR448" s="1495" t="s">
        <v>818</v>
      </c>
      <c r="BS448" s="1902" t="s">
        <v>655</v>
      </c>
      <c r="BT448" s="1907" t="s">
        <v>2167</v>
      </c>
    </row>
    <row r="449" spans="1:72" ht="13">
      <c r="A449" s="1545">
        <v>1005</v>
      </c>
      <c r="B449" s="1546" t="s">
        <v>800</v>
      </c>
      <c r="C449" s="1546" t="s">
        <v>803</v>
      </c>
      <c r="D449" s="1547" t="s">
        <v>6882</v>
      </c>
      <c r="E449" s="690" t="s">
        <v>664</v>
      </c>
      <c r="F449" s="691"/>
      <c r="G449" s="692"/>
      <c r="H449" s="692"/>
      <c r="I449" s="692"/>
      <c r="J449" s="693"/>
      <c r="K449" s="693"/>
      <c r="L449" s="693"/>
      <c r="M449" s="694"/>
      <c r="N449" s="695"/>
      <c r="O449" s="696" t="s">
        <v>1569</v>
      </c>
      <c r="P449" s="695">
        <f>'HIV-Key Info'!$I$85*(('HIV-Key Info'!$E$85*('HPM costs'!F205+'HPM costs'!F551))+('HIV-Key Info'!$F$85*('HPM costs'!F208+'HPM costs'!F211+'HPM costs'!F554+'HPM costs'!F557)))</f>
        <v>0</v>
      </c>
      <c r="Q449" s="695" t="s">
        <v>1569</v>
      </c>
      <c r="R449" s="695">
        <f>'HIV-Key Info'!$I$85*(('HIV-Key Info'!$E$85*('HPM costs'!G205+'HPM costs'!G551))+('HIV-Key Info'!$F$85*('HPM costs'!G208+'HPM costs'!G211+'HPM costs'!G554+'HPM costs'!G557)))</f>
        <v>0</v>
      </c>
      <c r="S449" s="695" t="s">
        <v>1569</v>
      </c>
      <c r="T449" s="695">
        <f>'HIV-Key Info'!$I$85*(('HIV-Key Info'!$E$85*('HPM costs'!H205+'HPM costs'!H551))+('HIV-Key Info'!$F$85*('HPM costs'!H208+'HPM costs'!H211+'HPM costs'!H554+'HPM costs'!H557)))</f>
        <v>0</v>
      </c>
      <c r="U449" s="695" t="s">
        <v>1569</v>
      </c>
      <c r="V449" s="695">
        <f>'HIV-Key Info'!$I$85*(('HIV-Key Info'!$E$85*('HPM costs'!I205+'HPM costs'!I551))+('HIV-Key Info'!$F$85*('HPM costs'!I208+'HPM costs'!I211+'HPM costs'!I554+'HPM costs'!I557)))</f>
        <v>0</v>
      </c>
      <c r="W449" s="695"/>
      <c r="X449" s="1492">
        <f t="shared" ref="X449:X512" si="48">P449+R449+T449+V449</f>
        <v>0</v>
      </c>
      <c r="Y449" s="1493"/>
      <c r="Z449" s="1494"/>
      <c r="AA449" s="699"/>
      <c r="AB449" s="695"/>
      <c r="AC449" s="695">
        <f>'HIV-Key Info'!$I$85*(('HIV-Key Info'!$E$85*('HPM costs'!K205+'HPM costs'!K551))+('HIV-Key Info'!$F$85*('HPM costs'!K208+'HPM costs'!K211+'HPM costs'!K554+'HPM costs'!K557)))</f>
        <v>0</v>
      </c>
      <c r="AD449" s="695"/>
      <c r="AE449" s="695">
        <f>'HIV-Key Info'!$I$85*(('HIV-Key Info'!$E$85*('HPM costs'!L205+'HPM costs'!L551))+('HIV-Key Info'!$F$85*('HPM costs'!L208+'HPM costs'!L211+'HPM costs'!L554+'HPM costs'!L557)))</f>
        <v>0</v>
      </c>
      <c r="AF449" s="695"/>
      <c r="AG449" s="695">
        <f>'HIV-Key Info'!$I$85*(('HIV-Key Info'!$E$85*('HPM costs'!M205+'HPM costs'!M551))+('HIV-Key Info'!$F$85*('HPM costs'!M208+'HPM costs'!M211+'HPM costs'!M554+'HPM costs'!M557)))</f>
        <v>0</v>
      </c>
      <c r="AH449" s="695"/>
      <c r="AI449" s="695">
        <f>'HIV-Key Info'!$I$85*(('HIV-Key Info'!$E$85*('HPM costs'!N205+'HPM costs'!N551))+('HIV-Key Info'!$F$85*('HPM costs'!N208+'HPM costs'!N211+'HPM costs'!N554+'HPM costs'!N557)))</f>
        <v>0</v>
      </c>
      <c r="AJ449" s="695"/>
      <c r="AK449" s="1492">
        <f t="shared" ref="AK449:AK512" si="49">AI449+AG449+AE449+AC449</f>
        <v>0</v>
      </c>
      <c r="AL449" s="1493"/>
      <c r="AM449" s="1494"/>
      <c r="AN449" s="699"/>
      <c r="AO449" s="695"/>
      <c r="AP449" s="695">
        <f>'HIV-Key Info'!$I$85*(('HIV-Key Info'!$E$85*('HPM costs'!P205+'HPM costs'!P551))+('HIV-Key Info'!$F$85*('HPM costs'!P208+'HPM costs'!P211+'HPM costs'!P554+'HPM costs'!P557)))</f>
        <v>0</v>
      </c>
      <c r="AQ449" s="695"/>
      <c r="AR449" s="695">
        <f>'HIV-Key Info'!$I$85*(('HIV-Key Info'!$E$85*('HPM costs'!Q205+'HPM costs'!Q551))+('HIV-Key Info'!$F$85*('HPM costs'!Q208+'HPM costs'!Q211+'HPM costs'!Q554+'HPM costs'!Q557)))</f>
        <v>0</v>
      </c>
      <c r="AS449" s="695"/>
      <c r="AT449" s="695">
        <f>'HIV-Key Info'!$I$85*(('HIV-Key Info'!$E$85*('HPM costs'!R205+'HPM costs'!R551))+('HIV-Key Info'!$F$85*('HPM costs'!R208+'HPM costs'!R211+'HPM costs'!R554+'HPM costs'!R557)))</f>
        <v>0</v>
      </c>
      <c r="AU449" s="695"/>
      <c r="AV449" s="695">
        <f>'HIV-Key Info'!$I$85*(('HIV-Key Info'!$E$85*('HPM costs'!S205+'HPM costs'!S551))+('HIV-Key Info'!$F$85*('HPM costs'!S208+'HPM costs'!S211+'HPM costs'!S554+'HPM costs'!S557)))</f>
        <v>0</v>
      </c>
      <c r="AW449" s="695"/>
      <c r="AX449" s="1492">
        <f t="shared" ref="AX449:AX512" si="50">AV449+AT449+AR449+AP449</f>
        <v>0</v>
      </c>
      <c r="AY449" s="1492"/>
      <c r="AZ449" s="698"/>
      <c r="BA449" s="699"/>
      <c r="BB449" s="697"/>
      <c r="BC449" s="697">
        <v>0</v>
      </c>
      <c r="BD449" s="697">
        <v>0</v>
      </c>
      <c r="BE449" s="697">
        <v>0</v>
      </c>
      <c r="BF449" s="697">
        <v>0</v>
      </c>
      <c r="BG449" s="697">
        <v>0</v>
      </c>
      <c r="BH449" s="697">
        <v>0</v>
      </c>
      <c r="BI449" s="697">
        <v>0</v>
      </c>
      <c r="BJ449" s="697">
        <v>0</v>
      </c>
      <c r="BK449" s="1492">
        <f t="shared" ref="BK449:BK512" si="51">BI449+BG449+BE449+BC449</f>
        <v>0</v>
      </c>
      <c r="BL449" s="1492"/>
      <c r="BM449" s="1492">
        <f t="shared" si="46"/>
        <v>0</v>
      </c>
      <c r="BN449" s="1492">
        <f t="shared" si="47"/>
        <v>0</v>
      </c>
      <c r="BO449" s="697"/>
      <c r="BP449" s="697"/>
      <c r="BQ449" s="1495" t="s">
        <v>6938</v>
      </c>
      <c r="BR449" s="1495" t="s">
        <v>818</v>
      </c>
      <c r="BS449" s="1902" t="s">
        <v>655</v>
      </c>
      <c r="BT449" s="1907" t="s">
        <v>2168</v>
      </c>
    </row>
    <row r="450" spans="1:72" ht="13">
      <c r="A450" s="1545">
        <v>1006</v>
      </c>
      <c r="B450" s="1546" t="s">
        <v>800</v>
      </c>
      <c r="C450" s="1546" t="s">
        <v>803</v>
      </c>
      <c r="D450" s="1547" t="s">
        <v>6882</v>
      </c>
      <c r="E450" s="690" t="s">
        <v>666</v>
      </c>
      <c r="F450" s="691"/>
      <c r="G450" s="692"/>
      <c r="H450" s="692"/>
      <c r="I450" s="692"/>
      <c r="J450" s="693"/>
      <c r="K450" s="693"/>
      <c r="L450" s="693"/>
      <c r="M450" s="694"/>
      <c r="N450" s="695"/>
      <c r="O450" s="696" t="s">
        <v>1569</v>
      </c>
      <c r="P450" s="695">
        <f>'HIV-Key Info'!$I$85*(('HIV-Key Info'!$E$85*'HPM costs'!F291)+('HIV-Key Info'!$F$85*('HPM costs'!F294+'HPM costs'!F297)))</f>
        <v>0</v>
      </c>
      <c r="Q450" s="695" t="s">
        <v>1569</v>
      </c>
      <c r="R450" s="695">
        <f>'HIV-Key Info'!$I$85*(('HIV-Key Info'!$E$85*'HPM costs'!G291)+('HIV-Key Info'!$F$85*('HPM costs'!G294+'HPM costs'!G297)))</f>
        <v>0</v>
      </c>
      <c r="S450" s="695" t="s">
        <v>1569</v>
      </c>
      <c r="T450" s="695">
        <f>'HIV-Key Info'!$I$85*(('HIV-Key Info'!$E$85*'HPM costs'!H291)+('HIV-Key Info'!$F$85*('HPM costs'!H294+'HPM costs'!H297)))</f>
        <v>0</v>
      </c>
      <c r="U450" s="695" t="s">
        <v>1569</v>
      </c>
      <c r="V450" s="695">
        <f>'HIV-Key Info'!$I$85*(('HIV-Key Info'!$E$85*'HPM costs'!I291)+('HIV-Key Info'!$F$85*('HPM costs'!I294+'HPM costs'!I297)))</f>
        <v>0</v>
      </c>
      <c r="W450" s="695"/>
      <c r="X450" s="1492">
        <f t="shared" si="48"/>
        <v>0</v>
      </c>
      <c r="Y450" s="1493"/>
      <c r="Z450" s="1494"/>
      <c r="AA450" s="699"/>
      <c r="AB450" s="695"/>
      <c r="AC450" s="695">
        <f>'HIV-Key Info'!$I$85*(('HIV-Key Info'!$E$85*'HPM costs'!K291)+('HIV-Key Info'!$F$85*('HPM costs'!K294+'HPM costs'!K297)))</f>
        <v>0</v>
      </c>
      <c r="AD450" s="695"/>
      <c r="AE450" s="695">
        <f>'HIV-Key Info'!$I$85*(('HIV-Key Info'!$E$85*'HPM costs'!L291)+('HIV-Key Info'!$F$85*('HPM costs'!L294+'HPM costs'!L297)))</f>
        <v>0</v>
      </c>
      <c r="AF450" s="695"/>
      <c r="AG450" s="695">
        <f>'HIV-Key Info'!$I$85*(('HIV-Key Info'!$E$85*'HPM costs'!M291)+('HIV-Key Info'!$F$85*('HPM costs'!M294+'HPM costs'!M297)))</f>
        <v>0</v>
      </c>
      <c r="AH450" s="695"/>
      <c r="AI450" s="695">
        <f>'HIV-Key Info'!$I$85*(('HIV-Key Info'!$E$85*'HPM costs'!N291)+('HIV-Key Info'!$F$85*('HPM costs'!N294+'HPM costs'!N297)))</f>
        <v>0</v>
      </c>
      <c r="AJ450" s="695"/>
      <c r="AK450" s="1492">
        <f t="shared" si="49"/>
        <v>0</v>
      </c>
      <c r="AL450" s="1493"/>
      <c r="AM450" s="1494"/>
      <c r="AN450" s="699"/>
      <c r="AO450" s="695"/>
      <c r="AP450" s="695">
        <f>'HIV-Key Info'!$I$85*(('HIV-Key Info'!$E$85*'HPM costs'!P291)+('HIV-Key Info'!$F$85*('HPM costs'!P294+'HPM costs'!P297)))</f>
        <v>0</v>
      </c>
      <c r="AQ450" s="695"/>
      <c r="AR450" s="695">
        <f>'HIV-Key Info'!$I$85*(('HIV-Key Info'!$E$85*'HPM costs'!Q291)+('HIV-Key Info'!$F$85*('HPM costs'!Q294+'HPM costs'!Q297)))</f>
        <v>0</v>
      </c>
      <c r="AS450" s="695"/>
      <c r="AT450" s="695">
        <f>'HIV-Key Info'!$I$85*(('HIV-Key Info'!$E$85*'HPM costs'!R291)+('HIV-Key Info'!$F$85*('HPM costs'!R294+'HPM costs'!R297)))</f>
        <v>0</v>
      </c>
      <c r="AU450" s="695"/>
      <c r="AV450" s="695">
        <f>'HIV-Key Info'!$I$85*(('HIV-Key Info'!$E$85*'HPM costs'!S291)+('HIV-Key Info'!$F$85*('HPM costs'!S294+'HPM costs'!S297)))</f>
        <v>0</v>
      </c>
      <c r="AW450" s="695"/>
      <c r="AX450" s="1492">
        <f t="shared" si="50"/>
        <v>0</v>
      </c>
      <c r="AY450" s="1492"/>
      <c r="AZ450" s="698"/>
      <c r="BA450" s="699"/>
      <c r="BB450" s="697"/>
      <c r="BC450" s="697">
        <v>0</v>
      </c>
      <c r="BD450" s="697">
        <v>0</v>
      </c>
      <c r="BE450" s="697">
        <v>0</v>
      </c>
      <c r="BF450" s="697">
        <v>0</v>
      </c>
      <c r="BG450" s="697">
        <v>0</v>
      </c>
      <c r="BH450" s="697">
        <v>0</v>
      </c>
      <c r="BI450" s="697">
        <v>0</v>
      </c>
      <c r="BJ450" s="697">
        <v>0</v>
      </c>
      <c r="BK450" s="1492">
        <f t="shared" si="51"/>
        <v>0</v>
      </c>
      <c r="BL450" s="1492"/>
      <c r="BM450" s="1492">
        <f t="shared" ref="BM450:BM513" si="52">BJ450+AW450+AJ450+W450</f>
        <v>0</v>
      </c>
      <c r="BN450" s="1492">
        <f t="shared" ref="BN450:BN513" si="53">BK450+AX450+AK450+X450</f>
        <v>0</v>
      </c>
      <c r="BO450" s="697"/>
      <c r="BP450" s="697"/>
      <c r="BQ450" s="1495" t="s">
        <v>6938</v>
      </c>
      <c r="BR450" s="1495" t="s">
        <v>818</v>
      </c>
      <c r="BS450" s="1902" t="s">
        <v>655</v>
      </c>
      <c r="BT450" s="1907" t="s">
        <v>2169</v>
      </c>
    </row>
    <row r="451" spans="1:72" ht="13">
      <c r="A451" s="1545">
        <v>1007</v>
      </c>
      <c r="B451" s="1546" t="s">
        <v>800</v>
      </c>
      <c r="C451" s="1546" t="s">
        <v>803</v>
      </c>
      <c r="D451" s="1547" t="s">
        <v>6882</v>
      </c>
      <c r="E451" s="690" t="s">
        <v>668</v>
      </c>
      <c r="F451" s="691"/>
      <c r="G451" s="692"/>
      <c r="H451" s="692"/>
      <c r="I451" s="692"/>
      <c r="J451" s="693"/>
      <c r="K451" s="693"/>
      <c r="L451" s="693"/>
      <c r="M451" s="694"/>
      <c r="N451" s="695"/>
      <c r="O451" s="696" t="s">
        <v>1569</v>
      </c>
      <c r="P451" s="695">
        <f>'HIV-Key Info'!$I$85*(('HIV-Key Info'!$E$85*'HPM costs'!F636)+('HIV-Key Info'!$F$85*('HPM costs'!F639+'HPM costs'!F642)))</f>
        <v>0</v>
      </c>
      <c r="Q451" s="695" t="s">
        <v>1569</v>
      </c>
      <c r="R451" s="695">
        <f>'HIV-Key Info'!$I$85*(('HIV-Key Info'!$E$85*'HPM costs'!G636)+('HIV-Key Info'!$F$85*('HPM costs'!G639+'HPM costs'!G642)))</f>
        <v>0</v>
      </c>
      <c r="S451" s="695" t="s">
        <v>1569</v>
      </c>
      <c r="T451" s="695">
        <f>'HIV-Key Info'!$I$85*(('HIV-Key Info'!$E$85*'HPM costs'!H636)+('HIV-Key Info'!$F$85*('HPM costs'!H639+'HPM costs'!H642)))</f>
        <v>0</v>
      </c>
      <c r="U451" s="695" t="s">
        <v>1569</v>
      </c>
      <c r="V451" s="695">
        <f>'HIV-Key Info'!$I$85*(('HIV-Key Info'!$E$85*'HPM costs'!I636)+('HIV-Key Info'!$F$85*('HPM costs'!I639+'HPM costs'!I642)))</f>
        <v>0</v>
      </c>
      <c r="W451" s="695"/>
      <c r="X451" s="1492">
        <f t="shared" si="48"/>
        <v>0</v>
      </c>
      <c r="Y451" s="1493"/>
      <c r="Z451" s="1494"/>
      <c r="AA451" s="699"/>
      <c r="AB451" s="695"/>
      <c r="AC451" s="695">
        <f>'HIV-Key Info'!$I$85*(('HIV-Key Info'!$E$85*'HPM costs'!K636)+('HIV-Key Info'!$F$85*('HPM costs'!K639+'HPM costs'!K642)))</f>
        <v>0</v>
      </c>
      <c r="AD451" s="695"/>
      <c r="AE451" s="695">
        <f>'HIV-Key Info'!$I$85*(('HIV-Key Info'!$E$85*'HPM costs'!L636)+('HIV-Key Info'!$F$85*('HPM costs'!L639+'HPM costs'!L642)))</f>
        <v>0</v>
      </c>
      <c r="AF451" s="695"/>
      <c r="AG451" s="695">
        <f>'HIV-Key Info'!$I$85*(('HIV-Key Info'!$E$85*'HPM costs'!M636)+('HIV-Key Info'!$F$85*('HPM costs'!M639+'HPM costs'!M642)))</f>
        <v>0</v>
      </c>
      <c r="AH451" s="695"/>
      <c r="AI451" s="695">
        <f>'HIV-Key Info'!$I$85*(('HIV-Key Info'!$E$85*'HPM costs'!N636)+('HIV-Key Info'!$F$85*('HPM costs'!N639+'HPM costs'!N642)))</f>
        <v>0</v>
      </c>
      <c r="AJ451" s="695"/>
      <c r="AK451" s="1492">
        <f t="shared" si="49"/>
        <v>0</v>
      </c>
      <c r="AL451" s="1493"/>
      <c r="AM451" s="1494"/>
      <c r="AN451" s="699"/>
      <c r="AO451" s="695"/>
      <c r="AP451" s="695">
        <f>'HIV-Key Info'!$I$85*(('HIV-Key Info'!$E$85*'HPM costs'!P636)+('HIV-Key Info'!$F$85*('HPM costs'!P639+'HPM costs'!P642)))</f>
        <v>0</v>
      </c>
      <c r="AQ451" s="695"/>
      <c r="AR451" s="695">
        <f>'HIV-Key Info'!$I$85*(('HIV-Key Info'!$E$85*'HPM costs'!Q636)+('HIV-Key Info'!$F$85*('HPM costs'!Q639+'HPM costs'!Q642)))</f>
        <v>0</v>
      </c>
      <c r="AS451" s="695"/>
      <c r="AT451" s="695">
        <f>'HIV-Key Info'!$I$85*(('HIV-Key Info'!$E$85*'HPM costs'!R636)+('HIV-Key Info'!$F$85*('HPM costs'!R639+'HPM costs'!R642)))</f>
        <v>0</v>
      </c>
      <c r="AU451" s="695"/>
      <c r="AV451" s="695">
        <f>'HIV-Key Info'!$I$85*(('HIV-Key Info'!$E$85*'HPM costs'!S636)+('HIV-Key Info'!$F$85*('HPM costs'!S639+'HPM costs'!S642)))</f>
        <v>0</v>
      </c>
      <c r="AW451" s="695"/>
      <c r="AX451" s="1492">
        <f t="shared" si="50"/>
        <v>0</v>
      </c>
      <c r="AY451" s="1492"/>
      <c r="AZ451" s="698"/>
      <c r="BA451" s="699"/>
      <c r="BB451" s="697"/>
      <c r="BC451" s="697">
        <v>0</v>
      </c>
      <c r="BD451" s="697">
        <v>0</v>
      </c>
      <c r="BE451" s="697">
        <v>0</v>
      </c>
      <c r="BF451" s="697">
        <v>0</v>
      </c>
      <c r="BG451" s="697">
        <v>0</v>
      </c>
      <c r="BH451" s="697">
        <v>0</v>
      </c>
      <c r="BI451" s="697">
        <v>0</v>
      </c>
      <c r="BJ451" s="697">
        <v>0</v>
      </c>
      <c r="BK451" s="1492">
        <f t="shared" si="51"/>
        <v>0</v>
      </c>
      <c r="BL451" s="1492"/>
      <c r="BM451" s="1492">
        <f t="shared" si="52"/>
        <v>0</v>
      </c>
      <c r="BN451" s="1492">
        <f t="shared" si="53"/>
        <v>0</v>
      </c>
      <c r="BO451" s="697"/>
      <c r="BP451" s="697"/>
      <c r="BQ451" s="1495" t="s">
        <v>6938</v>
      </c>
      <c r="BR451" s="1495" t="s">
        <v>818</v>
      </c>
      <c r="BS451" s="1902" t="s">
        <v>655</v>
      </c>
      <c r="BT451" s="1907" t="s">
        <v>2170</v>
      </c>
    </row>
    <row r="452" spans="1:72" ht="13">
      <c r="A452" s="1545">
        <v>1008</v>
      </c>
      <c r="B452" s="1546" t="s">
        <v>800</v>
      </c>
      <c r="C452" s="1546" t="s">
        <v>801</v>
      </c>
      <c r="D452" s="1547" t="s">
        <v>6961</v>
      </c>
      <c r="E452" s="690" t="s">
        <v>731</v>
      </c>
      <c r="F452" s="691"/>
      <c r="G452" s="692"/>
      <c r="H452" s="692"/>
      <c r="I452" s="692"/>
      <c r="J452" s="693"/>
      <c r="K452" s="693"/>
      <c r="L452" s="693"/>
      <c r="M452" s="694"/>
      <c r="N452" s="695"/>
      <c r="O452" s="696" t="s">
        <v>1569</v>
      </c>
      <c r="P452" s="695">
        <f>'HIV-Key Info'!$G$87*('HIV-Key Info'!$E$87*('HPM costs'!F551/'HPM costs'!$E$551)+'HIV-Key Info'!$F$87*('HPM costs'!F557/'HPM costs'!$E$557+'HPM costs'!F554/'HPM costs'!$E$554))</f>
        <v>0</v>
      </c>
      <c r="Q452" s="695" t="s">
        <v>1569</v>
      </c>
      <c r="R452" s="695">
        <f>'HIV-Key Info'!$G$87*('HIV-Key Info'!$E$87*('HPM costs'!G551/'HPM costs'!$E$551)+'HIV-Key Info'!$F$87*('HPM costs'!G557/'HPM costs'!$E$557+'HPM costs'!G554/'HPM costs'!$E$554))</f>
        <v>0</v>
      </c>
      <c r="S452" s="695" t="s">
        <v>1569</v>
      </c>
      <c r="T452" s="695">
        <f>'HIV-Key Info'!$G$87*('HIV-Key Info'!$E$87*('HPM costs'!H551/'HPM costs'!$E$551)+'HIV-Key Info'!$F$87*('HPM costs'!H557/'HPM costs'!$E$557+'HPM costs'!H554/'HPM costs'!$E$554))</f>
        <v>0</v>
      </c>
      <c r="U452" s="695" t="s">
        <v>1569</v>
      </c>
      <c r="V452" s="695">
        <f>'HIV-Key Info'!$G$87*('HIV-Key Info'!$E$87*('HPM costs'!I551/'HPM costs'!$E$551)+'HIV-Key Info'!$F$87*('HPM costs'!I557/'HPM costs'!$E$557+'HPM costs'!I554/'HPM costs'!$E$554))</f>
        <v>0</v>
      </c>
      <c r="W452" s="695"/>
      <c r="X452" s="1492">
        <f t="shared" si="48"/>
        <v>0</v>
      </c>
      <c r="Y452" s="1493"/>
      <c r="Z452" s="1494"/>
      <c r="AA452" s="699"/>
      <c r="AB452" s="695"/>
      <c r="AC452" s="695">
        <f>'HIV-Key Info'!$G$87*('HIV-Key Info'!$E$87*('HPM costs'!K551/'HPM costs'!$E$551)+'HIV-Key Info'!$F$87*('HPM costs'!K557/'HPM costs'!$E$557+'HPM costs'!K554/'HPM costs'!$E$554))</f>
        <v>0</v>
      </c>
      <c r="AD452" s="695"/>
      <c r="AE452" s="695">
        <f>'HIV-Key Info'!$G$87*('HIV-Key Info'!$E$87*('HPM costs'!L551/'HPM costs'!$E$551)+'HIV-Key Info'!$F$87*('HPM costs'!L557/'HPM costs'!$E$557+'HPM costs'!L554/'HPM costs'!$E$554))</f>
        <v>0</v>
      </c>
      <c r="AF452" s="695"/>
      <c r="AG452" s="695">
        <f>'HIV-Key Info'!$G$87*('HIV-Key Info'!$E$87*('HPM costs'!M551/'HPM costs'!$E$551)+'HIV-Key Info'!$F$87*('HPM costs'!M557/'HPM costs'!$E$557+'HPM costs'!M554/'HPM costs'!$E$554))</f>
        <v>0</v>
      </c>
      <c r="AH452" s="695"/>
      <c r="AI452" s="695">
        <f>'HIV-Key Info'!$G$87*('HIV-Key Info'!$E$87*('HPM costs'!N551/'HPM costs'!$E$551)+'HIV-Key Info'!$F$87*('HPM costs'!N557/'HPM costs'!$E$557+'HPM costs'!N554/'HPM costs'!$E$554))</f>
        <v>0</v>
      </c>
      <c r="AJ452" s="695"/>
      <c r="AK452" s="1492">
        <f t="shared" si="49"/>
        <v>0</v>
      </c>
      <c r="AL452" s="1493"/>
      <c r="AM452" s="1494"/>
      <c r="AN452" s="699"/>
      <c r="AO452" s="695"/>
      <c r="AP452" s="695">
        <f>'HIV-Key Info'!$G$87*('HIV-Key Info'!$E$87*('HPM costs'!P551/'HPM costs'!$E$551)+'HIV-Key Info'!$F$87*('HPM costs'!P557/'HPM costs'!$E$557+'HPM costs'!P554/'HPM costs'!$E$554))</f>
        <v>0</v>
      </c>
      <c r="AQ452" s="695"/>
      <c r="AR452" s="695">
        <f>'HIV-Key Info'!$G$87*('HIV-Key Info'!$E$87*('HPM costs'!Q551/'HPM costs'!$E$551)+'HIV-Key Info'!$F$87*('HPM costs'!Q557/'HPM costs'!$E$557+'HPM costs'!Q554/'HPM costs'!$E$554))</f>
        <v>0</v>
      </c>
      <c r="AS452" s="695"/>
      <c r="AT452" s="695">
        <f>'HIV-Key Info'!$G$87*('HIV-Key Info'!$E$87*('HPM costs'!R551/'HPM costs'!$E$551)+'HIV-Key Info'!$F$87*('HPM costs'!R557/'HPM costs'!$E$557+'HPM costs'!R554/'HPM costs'!$E$554))</f>
        <v>0</v>
      </c>
      <c r="AU452" s="695"/>
      <c r="AV452" s="695">
        <f>'HIV-Key Info'!$G$87*('HIV-Key Info'!$E$87*('HPM costs'!S551/'HPM costs'!$E$551)+'HIV-Key Info'!$F$87*('HPM costs'!S557/'HPM costs'!$E$557+'HPM costs'!S554/'HPM costs'!$E$554))</f>
        <v>0</v>
      </c>
      <c r="AW452" s="695"/>
      <c r="AX452" s="1492">
        <f t="shared" si="50"/>
        <v>0</v>
      </c>
      <c r="AY452" s="1492"/>
      <c r="AZ452" s="698"/>
      <c r="BA452" s="699"/>
      <c r="BB452" s="697"/>
      <c r="BC452" s="697">
        <v>0</v>
      </c>
      <c r="BD452" s="697">
        <v>0</v>
      </c>
      <c r="BE452" s="697">
        <v>0</v>
      </c>
      <c r="BF452" s="697">
        <v>0</v>
      </c>
      <c r="BG452" s="697">
        <v>0</v>
      </c>
      <c r="BH452" s="697">
        <v>0</v>
      </c>
      <c r="BI452" s="697">
        <v>0</v>
      </c>
      <c r="BJ452" s="697">
        <v>0</v>
      </c>
      <c r="BK452" s="1492">
        <f t="shared" si="51"/>
        <v>0</v>
      </c>
      <c r="BL452" s="1492"/>
      <c r="BM452" s="1492">
        <f t="shared" si="52"/>
        <v>0</v>
      </c>
      <c r="BN452" s="1492">
        <f t="shared" si="53"/>
        <v>0</v>
      </c>
      <c r="BO452" s="697"/>
      <c r="BP452" s="697"/>
      <c r="BQ452" s="1495" t="s">
        <v>6939</v>
      </c>
      <c r="BR452" s="1495" t="s">
        <v>818</v>
      </c>
      <c r="BS452" s="1902" t="s">
        <v>6953</v>
      </c>
      <c r="BT452" s="1907" t="s">
        <v>2171</v>
      </c>
    </row>
    <row r="453" spans="1:72" ht="13">
      <c r="A453" s="1545">
        <v>1009</v>
      </c>
      <c r="B453" s="1546" t="s">
        <v>800</v>
      </c>
      <c r="C453" s="1546" t="s">
        <v>801</v>
      </c>
      <c r="D453" s="1547" t="s">
        <v>6884</v>
      </c>
      <c r="E453" s="690" t="s">
        <v>656</v>
      </c>
      <c r="F453" s="691"/>
      <c r="G453" s="692"/>
      <c r="H453" s="692"/>
      <c r="I453" s="692"/>
      <c r="J453" s="693"/>
      <c r="K453" s="693"/>
      <c r="L453" s="693"/>
      <c r="M453" s="694"/>
      <c r="N453" s="695"/>
      <c r="O453" s="696" t="s">
        <v>1569</v>
      </c>
      <c r="P453" s="695">
        <f>'HIV-Key Info'!$G$87*(('HIV-Key Info'!$E$87*'HPM costs'!F33)+('HIV-Key Info'!$F$87*('HPM costs'!F36+'HPM costs'!F39)))</f>
        <v>0</v>
      </c>
      <c r="Q453" s="695" t="s">
        <v>1569</v>
      </c>
      <c r="R453" s="695">
        <f>'HIV-Key Info'!$G$87*(('HIV-Key Info'!$E$87*'HPM costs'!G33)+('HIV-Key Info'!$F$87*('HPM costs'!G36+'HPM costs'!G39)))</f>
        <v>0</v>
      </c>
      <c r="S453" s="695" t="s">
        <v>1569</v>
      </c>
      <c r="T453" s="695">
        <f>'HIV-Key Info'!$G$87*(('HIV-Key Info'!$E$87*'HPM costs'!H33)+('HIV-Key Info'!$F$87*('HPM costs'!H36+'HPM costs'!H39)))</f>
        <v>0</v>
      </c>
      <c r="U453" s="695" t="s">
        <v>1569</v>
      </c>
      <c r="V453" s="695">
        <f>'HIV-Key Info'!$G$87*(('HIV-Key Info'!$E$87*'HPM costs'!I33)+('HIV-Key Info'!$F$87*('HPM costs'!I36+'HPM costs'!I39)))</f>
        <v>0</v>
      </c>
      <c r="W453" s="695"/>
      <c r="X453" s="1492">
        <f t="shared" si="48"/>
        <v>0</v>
      </c>
      <c r="Y453" s="1493"/>
      <c r="Z453" s="1494"/>
      <c r="AA453" s="699"/>
      <c r="AB453" s="695"/>
      <c r="AC453" s="695">
        <f>'HIV-Key Info'!$G$87*(('HIV-Key Info'!$E$87*'HPM costs'!K33)+('HIV-Key Info'!$F$87*('HPM costs'!K36+'HPM costs'!K39)))</f>
        <v>0</v>
      </c>
      <c r="AD453" s="695"/>
      <c r="AE453" s="695">
        <f>'HIV-Key Info'!$G$87*(('HIV-Key Info'!$E$87*'HPM costs'!L33)+('HIV-Key Info'!$F$87*('HPM costs'!L36+'HPM costs'!L39)))</f>
        <v>0</v>
      </c>
      <c r="AF453" s="695"/>
      <c r="AG453" s="695">
        <f>'HIV-Key Info'!$G$87*(('HIV-Key Info'!$E$87*'HPM costs'!M33)+('HIV-Key Info'!$F$87*('HPM costs'!M36+'HPM costs'!M39)))</f>
        <v>0</v>
      </c>
      <c r="AH453" s="695"/>
      <c r="AI453" s="695">
        <f>'HIV-Key Info'!$G$87*(('HIV-Key Info'!$E$87*'HPM costs'!N33)+('HIV-Key Info'!$F$87*('HPM costs'!N36+'HPM costs'!N39)))</f>
        <v>0</v>
      </c>
      <c r="AJ453" s="695"/>
      <c r="AK453" s="1492">
        <f t="shared" si="49"/>
        <v>0</v>
      </c>
      <c r="AL453" s="1493"/>
      <c r="AM453" s="1494"/>
      <c r="AN453" s="699"/>
      <c r="AO453" s="695"/>
      <c r="AP453" s="695">
        <f>'HIV-Key Info'!$G$87*(('HIV-Key Info'!$E$87*'HPM costs'!P33)+('HIV-Key Info'!$F$87*('HPM costs'!P36+'HPM costs'!P39)))</f>
        <v>0</v>
      </c>
      <c r="AQ453" s="695"/>
      <c r="AR453" s="695">
        <f>'HIV-Key Info'!$G$87*(('HIV-Key Info'!$E$87*'HPM costs'!Q33)+('HIV-Key Info'!$F$87*('HPM costs'!Q36+'HPM costs'!Q39)))</f>
        <v>0</v>
      </c>
      <c r="AS453" s="695"/>
      <c r="AT453" s="695">
        <f>'HIV-Key Info'!$G$87*(('HIV-Key Info'!$E$87*'HPM costs'!R33)+('HIV-Key Info'!$F$87*('HPM costs'!R36+'HPM costs'!R39)))</f>
        <v>0</v>
      </c>
      <c r="AU453" s="695"/>
      <c r="AV453" s="695">
        <f>'HIV-Key Info'!$G$87*(('HIV-Key Info'!$E$87*'HPM costs'!S33)+('HIV-Key Info'!$F$87*('HPM costs'!S36+'HPM costs'!S39)))</f>
        <v>0</v>
      </c>
      <c r="AW453" s="695"/>
      <c r="AX453" s="1492">
        <f t="shared" si="50"/>
        <v>0</v>
      </c>
      <c r="AY453" s="1492"/>
      <c r="AZ453" s="698"/>
      <c r="BA453" s="699"/>
      <c r="BB453" s="697"/>
      <c r="BC453" s="697">
        <v>0</v>
      </c>
      <c r="BD453" s="697">
        <v>0</v>
      </c>
      <c r="BE453" s="697">
        <v>0</v>
      </c>
      <c r="BF453" s="697">
        <v>0</v>
      </c>
      <c r="BG453" s="697">
        <v>0</v>
      </c>
      <c r="BH453" s="697">
        <v>0</v>
      </c>
      <c r="BI453" s="697">
        <v>0</v>
      </c>
      <c r="BJ453" s="697">
        <v>0</v>
      </c>
      <c r="BK453" s="1492">
        <f t="shared" si="51"/>
        <v>0</v>
      </c>
      <c r="BL453" s="1492"/>
      <c r="BM453" s="1492">
        <f t="shared" si="52"/>
        <v>0</v>
      </c>
      <c r="BN453" s="1492">
        <f t="shared" si="53"/>
        <v>0</v>
      </c>
      <c r="BO453" s="697"/>
      <c r="BP453" s="697"/>
      <c r="BQ453" s="1495" t="s">
        <v>6939</v>
      </c>
      <c r="BR453" s="1495" t="s">
        <v>818</v>
      </c>
      <c r="BS453" s="1902" t="s">
        <v>655</v>
      </c>
      <c r="BT453" s="1907" t="s">
        <v>2172</v>
      </c>
    </row>
    <row r="454" spans="1:72" ht="13">
      <c r="A454" s="1545">
        <v>1010</v>
      </c>
      <c r="B454" s="1546" t="s">
        <v>800</v>
      </c>
      <c r="C454" s="1546" t="s">
        <v>801</v>
      </c>
      <c r="D454" s="1547" t="s">
        <v>6884</v>
      </c>
      <c r="E454" s="690" t="s">
        <v>658</v>
      </c>
      <c r="F454" s="691"/>
      <c r="G454" s="692"/>
      <c r="H454" s="692"/>
      <c r="I454" s="692"/>
      <c r="J454" s="693"/>
      <c r="K454" s="693"/>
      <c r="L454" s="693"/>
      <c r="M454" s="694"/>
      <c r="N454" s="695"/>
      <c r="O454" s="696" t="s">
        <v>1569</v>
      </c>
      <c r="P454" s="695">
        <f>'HIV-Key Info'!$G$87*(('HIV-Key Info'!$E$87*'HPM costs'!F119)+('HIV-Key Info'!$F$87*('HPM costs'!F122+'HPM costs'!F125)))</f>
        <v>0</v>
      </c>
      <c r="Q454" s="695" t="s">
        <v>1569</v>
      </c>
      <c r="R454" s="695">
        <f>'HIV-Key Info'!$G$87*(('HIV-Key Info'!$E$87*'HPM costs'!G119)+('HIV-Key Info'!$F$87*('HPM costs'!G122+'HPM costs'!G125)))</f>
        <v>0</v>
      </c>
      <c r="S454" s="695" t="s">
        <v>1569</v>
      </c>
      <c r="T454" s="695">
        <f>'HIV-Key Info'!$G$87*(('HIV-Key Info'!$E$87*'HPM costs'!H119)+('HIV-Key Info'!$F$87*('HPM costs'!H122+'HPM costs'!H125)))</f>
        <v>0</v>
      </c>
      <c r="U454" s="695" t="s">
        <v>1569</v>
      </c>
      <c r="V454" s="695">
        <f>'HIV-Key Info'!$G$87*(('HIV-Key Info'!$E$87*'HPM costs'!I119)+('HIV-Key Info'!$F$87*('HPM costs'!I122+'HPM costs'!I125)))</f>
        <v>0</v>
      </c>
      <c r="W454" s="695"/>
      <c r="X454" s="1492">
        <f t="shared" si="48"/>
        <v>0</v>
      </c>
      <c r="Y454" s="1493"/>
      <c r="Z454" s="1494"/>
      <c r="AA454" s="699"/>
      <c r="AB454" s="695"/>
      <c r="AC454" s="695">
        <f>'HIV-Key Info'!$G$87*(('HIV-Key Info'!$E$87*'HPM costs'!K119)+('HIV-Key Info'!$F$87*('HPM costs'!K122+'HPM costs'!K125)))</f>
        <v>0</v>
      </c>
      <c r="AD454" s="695"/>
      <c r="AE454" s="695">
        <f>'HIV-Key Info'!$G$87*(('HIV-Key Info'!$E$87*'HPM costs'!L119)+('HIV-Key Info'!$F$87*('HPM costs'!L122+'HPM costs'!L125)))</f>
        <v>0</v>
      </c>
      <c r="AF454" s="695"/>
      <c r="AG454" s="695">
        <f>'HIV-Key Info'!$G$87*(('HIV-Key Info'!$E$87*'HPM costs'!M119)+('HIV-Key Info'!$F$87*('HPM costs'!M122+'HPM costs'!M125)))</f>
        <v>0</v>
      </c>
      <c r="AH454" s="695"/>
      <c r="AI454" s="695">
        <f>'HIV-Key Info'!$G$87*(('HIV-Key Info'!$E$87*'HPM costs'!N119)+('HIV-Key Info'!$F$87*('HPM costs'!N122+'HPM costs'!N125)))</f>
        <v>0</v>
      </c>
      <c r="AJ454" s="695"/>
      <c r="AK454" s="1492">
        <f t="shared" si="49"/>
        <v>0</v>
      </c>
      <c r="AL454" s="1493"/>
      <c r="AM454" s="1494"/>
      <c r="AN454" s="699"/>
      <c r="AO454" s="695"/>
      <c r="AP454" s="695">
        <f>'HIV-Key Info'!$G$87*(('HIV-Key Info'!$E$87*'HPM costs'!P119)+('HIV-Key Info'!$F$87*('HPM costs'!P122+'HPM costs'!P125)))</f>
        <v>0</v>
      </c>
      <c r="AQ454" s="695"/>
      <c r="AR454" s="695">
        <f>'HIV-Key Info'!$G$87*(('HIV-Key Info'!$E$87*'HPM costs'!Q119)+('HIV-Key Info'!$F$87*('HPM costs'!Q122+'HPM costs'!Q125)))</f>
        <v>0</v>
      </c>
      <c r="AS454" s="695"/>
      <c r="AT454" s="695">
        <f>'HIV-Key Info'!$G$87*(('HIV-Key Info'!$E$87*'HPM costs'!R119)+('HIV-Key Info'!$F$87*('HPM costs'!R122+'HPM costs'!R125)))</f>
        <v>0</v>
      </c>
      <c r="AU454" s="695"/>
      <c r="AV454" s="695">
        <f>'HIV-Key Info'!$G$87*(('HIV-Key Info'!$E$87*'HPM costs'!S119)+('HIV-Key Info'!$F$87*('HPM costs'!S122+'HPM costs'!S125)))</f>
        <v>0</v>
      </c>
      <c r="AW454" s="695"/>
      <c r="AX454" s="1492">
        <f t="shared" si="50"/>
        <v>0</v>
      </c>
      <c r="AY454" s="1492"/>
      <c r="AZ454" s="698"/>
      <c r="BA454" s="699"/>
      <c r="BB454" s="697"/>
      <c r="BC454" s="697">
        <v>0</v>
      </c>
      <c r="BD454" s="697">
        <v>0</v>
      </c>
      <c r="BE454" s="697">
        <v>0</v>
      </c>
      <c r="BF454" s="697">
        <v>0</v>
      </c>
      <c r="BG454" s="697">
        <v>0</v>
      </c>
      <c r="BH454" s="697">
        <v>0</v>
      </c>
      <c r="BI454" s="697">
        <v>0</v>
      </c>
      <c r="BJ454" s="697">
        <v>0</v>
      </c>
      <c r="BK454" s="1492">
        <f t="shared" si="51"/>
        <v>0</v>
      </c>
      <c r="BL454" s="1492"/>
      <c r="BM454" s="1492">
        <f t="shared" si="52"/>
        <v>0</v>
      </c>
      <c r="BN454" s="1492">
        <f t="shared" si="53"/>
        <v>0</v>
      </c>
      <c r="BO454" s="697"/>
      <c r="BP454" s="697"/>
      <c r="BQ454" s="1495" t="s">
        <v>6939</v>
      </c>
      <c r="BR454" s="1495" t="s">
        <v>818</v>
      </c>
      <c r="BS454" s="1902" t="s">
        <v>655</v>
      </c>
      <c r="BT454" s="1907" t="s">
        <v>2173</v>
      </c>
    </row>
    <row r="455" spans="1:72" ht="13">
      <c r="A455" s="1545">
        <v>1011</v>
      </c>
      <c r="B455" s="1546" t="s">
        <v>800</v>
      </c>
      <c r="C455" s="1546" t="s">
        <v>801</v>
      </c>
      <c r="D455" s="1547" t="s">
        <v>6884</v>
      </c>
      <c r="E455" s="690" t="s">
        <v>660</v>
      </c>
      <c r="F455" s="691"/>
      <c r="G455" s="692"/>
      <c r="H455" s="692"/>
      <c r="I455" s="692"/>
      <c r="J455" s="693"/>
      <c r="K455" s="693"/>
      <c r="L455" s="693"/>
      <c r="M455" s="694"/>
      <c r="N455" s="695"/>
      <c r="O455" s="696" t="s">
        <v>1569</v>
      </c>
      <c r="P455" s="695">
        <f>'HIV-Key Info'!$G$87*(('HIV-Key Info'!$E$87*'HPM costs'!F379)+('HIV-Key Info'!$F$87*('HPM costs'!F382+'HPM costs'!F385)))</f>
        <v>0</v>
      </c>
      <c r="Q455" s="695" t="s">
        <v>1569</v>
      </c>
      <c r="R455" s="695">
        <f>'HIV-Key Info'!$G$87*(('HIV-Key Info'!$E$87*'HPM costs'!G379)+('HIV-Key Info'!$F$87*('HPM costs'!G382+'HPM costs'!G385)))</f>
        <v>0</v>
      </c>
      <c r="S455" s="695" t="s">
        <v>1569</v>
      </c>
      <c r="T455" s="695">
        <f>'HIV-Key Info'!$G$87*(('HIV-Key Info'!$E$87*'HPM costs'!H379)+('HIV-Key Info'!$F$87*('HPM costs'!H382+'HPM costs'!H385)))</f>
        <v>0</v>
      </c>
      <c r="U455" s="695" t="s">
        <v>1569</v>
      </c>
      <c r="V455" s="695">
        <f>'HIV-Key Info'!$G$87*(('HIV-Key Info'!$E$87*'HPM costs'!I379)+('HIV-Key Info'!$F$87*('HPM costs'!I382+'HPM costs'!I385)))</f>
        <v>0</v>
      </c>
      <c r="W455" s="695"/>
      <c r="X455" s="1492">
        <f t="shared" si="48"/>
        <v>0</v>
      </c>
      <c r="Y455" s="1493"/>
      <c r="Z455" s="1494"/>
      <c r="AA455" s="699"/>
      <c r="AB455" s="695"/>
      <c r="AC455" s="695">
        <f>'HIV-Key Info'!$G$87*(('HIV-Key Info'!$E$87*'HPM costs'!K379)+('HIV-Key Info'!$F$87*('HPM costs'!K382+'HPM costs'!K385)))</f>
        <v>0</v>
      </c>
      <c r="AD455" s="695"/>
      <c r="AE455" s="695">
        <f>'HIV-Key Info'!$G$87*(('HIV-Key Info'!$E$87*'HPM costs'!L379)+('HIV-Key Info'!$F$87*('HPM costs'!L382+'HPM costs'!L385)))</f>
        <v>0</v>
      </c>
      <c r="AF455" s="695"/>
      <c r="AG455" s="695">
        <f>'HIV-Key Info'!$G$87*(('HIV-Key Info'!$E$87*'HPM costs'!M379)+('HIV-Key Info'!$F$87*('HPM costs'!M382+'HPM costs'!M385)))</f>
        <v>0</v>
      </c>
      <c r="AH455" s="695"/>
      <c r="AI455" s="695">
        <f>'HIV-Key Info'!$G$87*(('HIV-Key Info'!$E$87*'HPM costs'!N379)+('HIV-Key Info'!$F$87*('HPM costs'!N382+'HPM costs'!N385)))</f>
        <v>0</v>
      </c>
      <c r="AJ455" s="695"/>
      <c r="AK455" s="1492">
        <f t="shared" si="49"/>
        <v>0</v>
      </c>
      <c r="AL455" s="1493"/>
      <c r="AM455" s="1494"/>
      <c r="AN455" s="699"/>
      <c r="AO455" s="695"/>
      <c r="AP455" s="695">
        <f>'HIV-Key Info'!$G$87*(('HIV-Key Info'!$E$87*'HPM costs'!P379)+('HIV-Key Info'!$F$87*('HPM costs'!P382+'HPM costs'!P385)))</f>
        <v>0</v>
      </c>
      <c r="AQ455" s="695"/>
      <c r="AR455" s="695">
        <f>'HIV-Key Info'!$G$87*(('HIV-Key Info'!$E$87*'HPM costs'!Q379)+('HIV-Key Info'!$F$87*('HPM costs'!Q382+'HPM costs'!Q385)))</f>
        <v>0</v>
      </c>
      <c r="AS455" s="695"/>
      <c r="AT455" s="695">
        <f>'HIV-Key Info'!$G$87*(('HIV-Key Info'!$E$87*'HPM costs'!R379)+('HIV-Key Info'!$F$87*('HPM costs'!R382+'HPM costs'!R385)))</f>
        <v>0</v>
      </c>
      <c r="AU455" s="695"/>
      <c r="AV455" s="695">
        <f>'HIV-Key Info'!$G$87*(('HIV-Key Info'!$E$87*'HPM costs'!S379)+('HIV-Key Info'!$F$87*('HPM costs'!S382+'HPM costs'!S385)))</f>
        <v>0</v>
      </c>
      <c r="AW455" s="695"/>
      <c r="AX455" s="1492">
        <f t="shared" si="50"/>
        <v>0</v>
      </c>
      <c r="AY455" s="1492"/>
      <c r="AZ455" s="698"/>
      <c r="BA455" s="699"/>
      <c r="BB455" s="697"/>
      <c r="BC455" s="697">
        <v>0</v>
      </c>
      <c r="BD455" s="697">
        <v>0</v>
      </c>
      <c r="BE455" s="697">
        <v>0</v>
      </c>
      <c r="BF455" s="697">
        <v>0</v>
      </c>
      <c r="BG455" s="697">
        <v>0</v>
      </c>
      <c r="BH455" s="697">
        <v>0</v>
      </c>
      <c r="BI455" s="697">
        <v>0</v>
      </c>
      <c r="BJ455" s="697">
        <v>0</v>
      </c>
      <c r="BK455" s="1492">
        <f t="shared" si="51"/>
        <v>0</v>
      </c>
      <c r="BL455" s="1492"/>
      <c r="BM455" s="1492">
        <f t="shared" si="52"/>
        <v>0</v>
      </c>
      <c r="BN455" s="1492">
        <f t="shared" si="53"/>
        <v>0</v>
      </c>
      <c r="BO455" s="697"/>
      <c r="BP455" s="697"/>
      <c r="BQ455" s="1495" t="s">
        <v>6939</v>
      </c>
      <c r="BR455" s="1495" t="s">
        <v>818</v>
      </c>
      <c r="BS455" s="1902" t="s">
        <v>655</v>
      </c>
      <c r="BT455" s="1907" t="s">
        <v>2174</v>
      </c>
    </row>
    <row r="456" spans="1:72" ht="13">
      <c r="A456" s="1545">
        <v>1012</v>
      </c>
      <c r="B456" s="1546" t="s">
        <v>800</v>
      </c>
      <c r="C456" s="1546" t="s">
        <v>801</v>
      </c>
      <c r="D456" s="1547" t="s">
        <v>6884</v>
      </c>
      <c r="E456" s="690" t="s">
        <v>662</v>
      </c>
      <c r="F456" s="691"/>
      <c r="G456" s="692"/>
      <c r="H456" s="692"/>
      <c r="I456" s="692"/>
      <c r="J456" s="693"/>
      <c r="K456" s="693"/>
      <c r="L456" s="693"/>
      <c r="M456" s="694"/>
      <c r="N456" s="695"/>
      <c r="O456" s="696" t="s">
        <v>1569</v>
      </c>
      <c r="P456" s="695">
        <f>'HIV-Key Info'!$G$87*(('HIV-Key Info'!$E$87*'HPM costs'!F465)+('HIV-Key Info'!$F$87*('HPM costs'!F468+'HPM costs'!F471)))</f>
        <v>0</v>
      </c>
      <c r="Q456" s="695" t="s">
        <v>1569</v>
      </c>
      <c r="R456" s="695">
        <f>'HIV-Key Info'!$G$87*(('HIV-Key Info'!$E$87*'HPM costs'!G465)+('HIV-Key Info'!$F$87*('HPM costs'!G468+'HPM costs'!G471)))</f>
        <v>0</v>
      </c>
      <c r="S456" s="695" t="s">
        <v>1569</v>
      </c>
      <c r="T456" s="695">
        <f>'HIV-Key Info'!$G$87*(('HIV-Key Info'!$E$87*'HPM costs'!H465)+('HIV-Key Info'!$F$87*('HPM costs'!H468+'HPM costs'!H471)))</f>
        <v>0</v>
      </c>
      <c r="U456" s="695" t="s">
        <v>1569</v>
      </c>
      <c r="V456" s="695">
        <f>'HIV-Key Info'!$G$87*(('HIV-Key Info'!$E$87*'HPM costs'!I465)+('HIV-Key Info'!$F$87*('HPM costs'!I468+'HPM costs'!I471)))</f>
        <v>0</v>
      </c>
      <c r="W456" s="695"/>
      <c r="X456" s="1492">
        <f t="shared" si="48"/>
        <v>0</v>
      </c>
      <c r="Y456" s="1493"/>
      <c r="Z456" s="1494"/>
      <c r="AA456" s="699"/>
      <c r="AB456" s="695"/>
      <c r="AC456" s="695">
        <f>'HIV-Key Info'!$G$87*(('HIV-Key Info'!$E$87*'HPM costs'!K465)+('HIV-Key Info'!$F$87*('HPM costs'!K468+'HPM costs'!K471)))</f>
        <v>0</v>
      </c>
      <c r="AD456" s="695"/>
      <c r="AE456" s="695">
        <f>'HIV-Key Info'!$G$87*(('HIV-Key Info'!$E$87*'HPM costs'!L465)+('HIV-Key Info'!$F$87*('HPM costs'!L468+'HPM costs'!L471)))</f>
        <v>0</v>
      </c>
      <c r="AF456" s="695"/>
      <c r="AG456" s="695">
        <f>'HIV-Key Info'!$G$87*(('HIV-Key Info'!$E$87*'HPM costs'!M465)+('HIV-Key Info'!$F$87*('HPM costs'!M468+'HPM costs'!M471)))</f>
        <v>0</v>
      </c>
      <c r="AH456" s="695"/>
      <c r="AI456" s="695">
        <f>'HIV-Key Info'!$G$87*(('HIV-Key Info'!$E$87*'HPM costs'!N465)+('HIV-Key Info'!$F$87*('HPM costs'!N468+'HPM costs'!N471)))</f>
        <v>0</v>
      </c>
      <c r="AJ456" s="695"/>
      <c r="AK456" s="1492">
        <f t="shared" si="49"/>
        <v>0</v>
      </c>
      <c r="AL456" s="1493"/>
      <c r="AM456" s="1494"/>
      <c r="AN456" s="699"/>
      <c r="AO456" s="695"/>
      <c r="AP456" s="695">
        <f>'HIV-Key Info'!$G$87*(('HIV-Key Info'!$E$87*'HPM costs'!P465)+('HIV-Key Info'!$F$87*('HPM costs'!P468+'HPM costs'!P471)))</f>
        <v>0</v>
      </c>
      <c r="AQ456" s="695"/>
      <c r="AR456" s="695">
        <f>'HIV-Key Info'!$G$87*(('HIV-Key Info'!$E$87*'HPM costs'!Q465)+('HIV-Key Info'!$F$87*('HPM costs'!Q468+'HPM costs'!Q471)))</f>
        <v>0</v>
      </c>
      <c r="AS456" s="695"/>
      <c r="AT456" s="695">
        <f>'HIV-Key Info'!$G$87*(('HIV-Key Info'!$E$87*'HPM costs'!R465)+('HIV-Key Info'!$F$87*('HPM costs'!R468+'HPM costs'!R471)))</f>
        <v>0</v>
      </c>
      <c r="AU456" s="695"/>
      <c r="AV456" s="695">
        <f>'HIV-Key Info'!$G$87*(('HIV-Key Info'!$E$87*'HPM costs'!S465)+('HIV-Key Info'!$F$87*('HPM costs'!S468+'HPM costs'!S471)))</f>
        <v>0</v>
      </c>
      <c r="AW456" s="695"/>
      <c r="AX456" s="1492">
        <f t="shared" si="50"/>
        <v>0</v>
      </c>
      <c r="AY456" s="1492"/>
      <c r="AZ456" s="698"/>
      <c r="BA456" s="699"/>
      <c r="BB456" s="697"/>
      <c r="BC456" s="697">
        <v>0</v>
      </c>
      <c r="BD456" s="697">
        <v>0</v>
      </c>
      <c r="BE456" s="697">
        <v>0</v>
      </c>
      <c r="BF456" s="697">
        <v>0</v>
      </c>
      <c r="BG456" s="697">
        <v>0</v>
      </c>
      <c r="BH456" s="697">
        <v>0</v>
      </c>
      <c r="BI456" s="697">
        <v>0</v>
      </c>
      <c r="BJ456" s="697">
        <v>0</v>
      </c>
      <c r="BK456" s="1492">
        <f t="shared" si="51"/>
        <v>0</v>
      </c>
      <c r="BL456" s="1492"/>
      <c r="BM456" s="1492">
        <f t="shared" si="52"/>
        <v>0</v>
      </c>
      <c r="BN456" s="1492">
        <f t="shared" si="53"/>
        <v>0</v>
      </c>
      <c r="BO456" s="697"/>
      <c r="BP456" s="697"/>
      <c r="BQ456" s="1495" t="s">
        <v>6939</v>
      </c>
      <c r="BR456" s="1495" t="s">
        <v>818</v>
      </c>
      <c r="BS456" s="1902" t="s">
        <v>655</v>
      </c>
      <c r="BT456" s="1907" t="s">
        <v>2175</v>
      </c>
    </row>
    <row r="457" spans="1:72" ht="13">
      <c r="A457" s="1545">
        <v>1013</v>
      </c>
      <c r="B457" s="1546" t="s">
        <v>800</v>
      </c>
      <c r="C457" s="1546" t="s">
        <v>801</v>
      </c>
      <c r="D457" s="1547" t="s">
        <v>6884</v>
      </c>
      <c r="E457" s="690" t="s">
        <v>664</v>
      </c>
      <c r="F457" s="691"/>
      <c r="G457" s="692"/>
      <c r="H457" s="692"/>
      <c r="I457" s="692"/>
      <c r="J457" s="693"/>
      <c r="K457" s="693"/>
      <c r="L457" s="693"/>
      <c r="M457" s="694"/>
      <c r="N457" s="695"/>
      <c r="O457" s="696" t="s">
        <v>1569</v>
      </c>
      <c r="P457" s="695">
        <f>'HIV-Key Info'!$G$87*(('HIV-Key Info'!$E$87*('HPM costs'!F205+'HPM costs'!F551))+('HIV-Key Info'!$F$87*('HPM costs'!F208+'HPM costs'!F211+'HPM costs'!F554+'HPM costs'!F557)))</f>
        <v>0</v>
      </c>
      <c r="Q457" s="695" t="s">
        <v>1569</v>
      </c>
      <c r="R457" s="695">
        <f>'HIV-Key Info'!$G$87*(('HIV-Key Info'!$E$87*('HPM costs'!G205+'HPM costs'!G551))+('HIV-Key Info'!$F$87*('HPM costs'!G208+'HPM costs'!G211+'HPM costs'!G554+'HPM costs'!G557)))</f>
        <v>0</v>
      </c>
      <c r="S457" s="695" t="s">
        <v>1569</v>
      </c>
      <c r="T457" s="695">
        <f>'HIV-Key Info'!$G$87*(('HIV-Key Info'!$E$87*('HPM costs'!H205+'HPM costs'!H551))+('HIV-Key Info'!$F$87*('HPM costs'!H208+'HPM costs'!H211+'HPM costs'!H554+'HPM costs'!H557)))</f>
        <v>0</v>
      </c>
      <c r="U457" s="695" t="s">
        <v>1569</v>
      </c>
      <c r="V457" s="695">
        <f>'HIV-Key Info'!$G$87*(('HIV-Key Info'!$E$87*('HPM costs'!I205+'HPM costs'!I551))+('HIV-Key Info'!$F$87*('HPM costs'!I208+'HPM costs'!I211+'HPM costs'!I554+'HPM costs'!I557)))</f>
        <v>0</v>
      </c>
      <c r="W457" s="695"/>
      <c r="X457" s="1492">
        <f t="shared" si="48"/>
        <v>0</v>
      </c>
      <c r="Y457" s="1493"/>
      <c r="Z457" s="1494"/>
      <c r="AA457" s="699"/>
      <c r="AB457" s="695"/>
      <c r="AC457" s="695">
        <f>'HIV-Key Info'!$G$87*(('HIV-Key Info'!$E$87*('HPM costs'!K205+'HPM costs'!K551))+('HIV-Key Info'!$F$87*('HPM costs'!K208+'HPM costs'!K211+'HPM costs'!K554+'HPM costs'!K557)))</f>
        <v>0</v>
      </c>
      <c r="AD457" s="695"/>
      <c r="AE457" s="695">
        <f>'HIV-Key Info'!$G$87*(('HIV-Key Info'!$E$87*('HPM costs'!L205+'HPM costs'!L551))+('HIV-Key Info'!$F$87*('HPM costs'!L208+'HPM costs'!L211+'HPM costs'!L554+'HPM costs'!L557)))</f>
        <v>0</v>
      </c>
      <c r="AF457" s="695"/>
      <c r="AG457" s="695">
        <f>'HIV-Key Info'!$G$87*(('HIV-Key Info'!$E$87*('HPM costs'!M205+'HPM costs'!M551))+('HIV-Key Info'!$F$87*('HPM costs'!M208+'HPM costs'!M211+'HPM costs'!M554+'HPM costs'!M557)))</f>
        <v>0</v>
      </c>
      <c r="AH457" s="695"/>
      <c r="AI457" s="695">
        <f>'HIV-Key Info'!$G$87*(('HIV-Key Info'!$E$87*('HPM costs'!N205+'HPM costs'!N551))+('HIV-Key Info'!$F$87*('HPM costs'!N208+'HPM costs'!N211+'HPM costs'!N554+'HPM costs'!N557)))</f>
        <v>0</v>
      </c>
      <c r="AJ457" s="695"/>
      <c r="AK457" s="1492">
        <f t="shared" si="49"/>
        <v>0</v>
      </c>
      <c r="AL457" s="1493"/>
      <c r="AM457" s="1494"/>
      <c r="AN457" s="699"/>
      <c r="AO457" s="695"/>
      <c r="AP457" s="695">
        <f>'HIV-Key Info'!$G$87*(('HIV-Key Info'!$E$87*('HPM costs'!P205+'HPM costs'!P551))+('HIV-Key Info'!$F$87*('HPM costs'!P208+'HPM costs'!P211+'HPM costs'!P554+'HPM costs'!P557)))</f>
        <v>0</v>
      </c>
      <c r="AQ457" s="695"/>
      <c r="AR457" s="695">
        <f>'HIV-Key Info'!$G$87*(('HIV-Key Info'!$E$87*('HPM costs'!Q205+'HPM costs'!Q551))+('HIV-Key Info'!$F$87*('HPM costs'!Q208+'HPM costs'!Q211+'HPM costs'!Q554+'HPM costs'!Q557)))</f>
        <v>0</v>
      </c>
      <c r="AS457" s="695"/>
      <c r="AT457" s="695">
        <f>'HIV-Key Info'!$G$87*(('HIV-Key Info'!$E$87*('HPM costs'!R205+'HPM costs'!R551))+('HIV-Key Info'!$F$87*('HPM costs'!R208+'HPM costs'!R211+'HPM costs'!R554+'HPM costs'!R557)))</f>
        <v>0</v>
      </c>
      <c r="AU457" s="695"/>
      <c r="AV457" s="695">
        <f>'HIV-Key Info'!$G$87*(('HIV-Key Info'!$E$87*('HPM costs'!S205+'HPM costs'!S551))+('HIV-Key Info'!$F$87*('HPM costs'!S208+'HPM costs'!S211+'HPM costs'!S554+'HPM costs'!S557)))</f>
        <v>0</v>
      </c>
      <c r="AW457" s="695"/>
      <c r="AX457" s="1492">
        <f t="shared" si="50"/>
        <v>0</v>
      </c>
      <c r="AY457" s="1492"/>
      <c r="AZ457" s="698"/>
      <c r="BA457" s="699"/>
      <c r="BB457" s="697"/>
      <c r="BC457" s="697">
        <v>0</v>
      </c>
      <c r="BD457" s="697">
        <v>0</v>
      </c>
      <c r="BE457" s="697">
        <v>0</v>
      </c>
      <c r="BF457" s="697">
        <v>0</v>
      </c>
      <c r="BG457" s="697">
        <v>0</v>
      </c>
      <c r="BH457" s="697">
        <v>0</v>
      </c>
      <c r="BI457" s="697">
        <v>0</v>
      </c>
      <c r="BJ457" s="697">
        <v>0</v>
      </c>
      <c r="BK457" s="1492">
        <f t="shared" si="51"/>
        <v>0</v>
      </c>
      <c r="BL457" s="1492"/>
      <c r="BM457" s="1492">
        <f t="shared" si="52"/>
        <v>0</v>
      </c>
      <c r="BN457" s="1492">
        <f t="shared" si="53"/>
        <v>0</v>
      </c>
      <c r="BO457" s="697"/>
      <c r="BP457" s="697"/>
      <c r="BQ457" s="1495" t="s">
        <v>6939</v>
      </c>
      <c r="BR457" s="1495" t="s">
        <v>818</v>
      </c>
      <c r="BS457" s="1902" t="s">
        <v>655</v>
      </c>
      <c r="BT457" s="1907" t="s">
        <v>2176</v>
      </c>
    </row>
    <row r="458" spans="1:72" ht="13">
      <c r="A458" s="1545">
        <v>1014</v>
      </c>
      <c r="B458" s="1546" t="s">
        <v>800</v>
      </c>
      <c r="C458" s="1546" t="s">
        <v>801</v>
      </c>
      <c r="D458" s="1547" t="s">
        <v>6884</v>
      </c>
      <c r="E458" s="690" t="s">
        <v>666</v>
      </c>
      <c r="F458" s="691"/>
      <c r="G458" s="692"/>
      <c r="H458" s="692"/>
      <c r="I458" s="692"/>
      <c r="J458" s="693"/>
      <c r="K458" s="693"/>
      <c r="L458" s="693"/>
      <c r="M458" s="694"/>
      <c r="N458" s="695"/>
      <c r="O458" s="696" t="s">
        <v>1569</v>
      </c>
      <c r="P458" s="695">
        <f>'HIV-Key Info'!$G$87*(('HIV-Key Info'!$E$87*'HPM costs'!F291)+('HIV-Key Info'!$F$87*('HPM costs'!F294+'HPM costs'!F297)))</f>
        <v>0</v>
      </c>
      <c r="Q458" s="695" t="s">
        <v>1569</v>
      </c>
      <c r="R458" s="695">
        <f>'HIV-Key Info'!$G$87*(('HIV-Key Info'!$E$87*'HPM costs'!G291)+('HIV-Key Info'!$F$87*('HPM costs'!G294+'HPM costs'!G297)))</f>
        <v>0</v>
      </c>
      <c r="S458" s="695" t="s">
        <v>1569</v>
      </c>
      <c r="T458" s="695">
        <f>'HIV-Key Info'!$G$87*(('HIV-Key Info'!$E$87*'HPM costs'!H291)+('HIV-Key Info'!$F$87*('HPM costs'!H294+'HPM costs'!H297)))</f>
        <v>0</v>
      </c>
      <c r="U458" s="695" t="s">
        <v>1569</v>
      </c>
      <c r="V458" s="695">
        <f>'HIV-Key Info'!$G$87*(('HIV-Key Info'!$E$87*'HPM costs'!I291)+('HIV-Key Info'!$F$87*('HPM costs'!I294+'HPM costs'!I297)))</f>
        <v>0</v>
      </c>
      <c r="W458" s="695"/>
      <c r="X458" s="1492">
        <f t="shared" si="48"/>
        <v>0</v>
      </c>
      <c r="Y458" s="1493"/>
      <c r="Z458" s="1494"/>
      <c r="AA458" s="699"/>
      <c r="AB458" s="695"/>
      <c r="AC458" s="695">
        <f>'HIV-Key Info'!$G$87*(('HIV-Key Info'!$E$87*'HPM costs'!K291)+('HIV-Key Info'!$F$87*('HPM costs'!K294+'HPM costs'!K297)))</f>
        <v>0</v>
      </c>
      <c r="AD458" s="695"/>
      <c r="AE458" s="695">
        <f>'HIV-Key Info'!$G$87*(('HIV-Key Info'!$E$87*'HPM costs'!L291)+('HIV-Key Info'!$F$87*('HPM costs'!L294+'HPM costs'!L297)))</f>
        <v>0</v>
      </c>
      <c r="AF458" s="695"/>
      <c r="AG458" s="695">
        <f>'HIV-Key Info'!$G$87*(('HIV-Key Info'!$E$87*'HPM costs'!M291)+('HIV-Key Info'!$F$87*('HPM costs'!M294+'HPM costs'!M297)))</f>
        <v>0</v>
      </c>
      <c r="AH458" s="695"/>
      <c r="AI458" s="695">
        <f>'HIV-Key Info'!$G$87*(('HIV-Key Info'!$E$87*'HPM costs'!N291)+('HIV-Key Info'!$F$87*('HPM costs'!N294+'HPM costs'!N297)))</f>
        <v>0</v>
      </c>
      <c r="AJ458" s="695"/>
      <c r="AK458" s="1492">
        <f t="shared" si="49"/>
        <v>0</v>
      </c>
      <c r="AL458" s="1493"/>
      <c r="AM458" s="1494"/>
      <c r="AN458" s="699"/>
      <c r="AO458" s="695"/>
      <c r="AP458" s="695">
        <f>'HIV-Key Info'!$G$87*(('HIV-Key Info'!$E$87*'HPM costs'!P291)+('HIV-Key Info'!$F$87*('HPM costs'!P294+'HPM costs'!P297)))</f>
        <v>0</v>
      </c>
      <c r="AQ458" s="695"/>
      <c r="AR458" s="695">
        <f>'HIV-Key Info'!$G$87*(('HIV-Key Info'!$E$87*'HPM costs'!Q291)+('HIV-Key Info'!$F$87*('HPM costs'!Q294+'HPM costs'!Q297)))</f>
        <v>0</v>
      </c>
      <c r="AS458" s="695"/>
      <c r="AT458" s="695">
        <f>'HIV-Key Info'!$G$87*(('HIV-Key Info'!$E$87*'HPM costs'!R291)+('HIV-Key Info'!$F$87*('HPM costs'!R294+'HPM costs'!R297)))</f>
        <v>0</v>
      </c>
      <c r="AU458" s="695"/>
      <c r="AV458" s="695">
        <f>'HIV-Key Info'!$G$87*(('HIV-Key Info'!$E$87*'HPM costs'!S291)+('HIV-Key Info'!$F$87*('HPM costs'!S294+'HPM costs'!S297)))</f>
        <v>0</v>
      </c>
      <c r="AW458" s="695"/>
      <c r="AX458" s="1492">
        <f t="shared" si="50"/>
        <v>0</v>
      </c>
      <c r="AY458" s="1492"/>
      <c r="AZ458" s="698"/>
      <c r="BA458" s="699"/>
      <c r="BB458" s="697"/>
      <c r="BC458" s="697">
        <v>0</v>
      </c>
      <c r="BD458" s="697">
        <v>0</v>
      </c>
      <c r="BE458" s="697">
        <v>0</v>
      </c>
      <c r="BF458" s="697">
        <v>0</v>
      </c>
      <c r="BG458" s="697">
        <v>0</v>
      </c>
      <c r="BH458" s="697">
        <v>0</v>
      </c>
      <c r="BI458" s="697">
        <v>0</v>
      </c>
      <c r="BJ458" s="697">
        <v>0</v>
      </c>
      <c r="BK458" s="1492">
        <f t="shared" si="51"/>
        <v>0</v>
      </c>
      <c r="BL458" s="1492"/>
      <c r="BM458" s="1492">
        <f t="shared" si="52"/>
        <v>0</v>
      </c>
      <c r="BN458" s="1492">
        <f t="shared" si="53"/>
        <v>0</v>
      </c>
      <c r="BO458" s="697"/>
      <c r="BP458" s="697"/>
      <c r="BQ458" s="1495" t="s">
        <v>6939</v>
      </c>
      <c r="BR458" s="1495" t="s">
        <v>818</v>
      </c>
      <c r="BS458" s="1902" t="s">
        <v>655</v>
      </c>
      <c r="BT458" s="1907" t="s">
        <v>2177</v>
      </c>
    </row>
    <row r="459" spans="1:72" ht="13">
      <c r="A459" s="1545">
        <v>1015</v>
      </c>
      <c r="B459" s="1546" t="s">
        <v>800</v>
      </c>
      <c r="C459" s="1546" t="s">
        <v>801</v>
      </c>
      <c r="D459" s="1547" t="s">
        <v>6884</v>
      </c>
      <c r="E459" s="690" t="s">
        <v>668</v>
      </c>
      <c r="F459" s="691"/>
      <c r="G459" s="692"/>
      <c r="H459" s="692"/>
      <c r="I459" s="692"/>
      <c r="J459" s="693"/>
      <c r="K459" s="693"/>
      <c r="L459" s="693"/>
      <c r="M459" s="694"/>
      <c r="N459" s="695"/>
      <c r="O459" s="696" t="s">
        <v>1569</v>
      </c>
      <c r="P459" s="695">
        <f>'HIV-Key Info'!$G$87*(('HIV-Key Info'!$E$87*'HPM costs'!F636)+('HIV-Key Info'!$F$87*('HPM costs'!F639+'HPM costs'!F642)))</f>
        <v>0</v>
      </c>
      <c r="Q459" s="695" t="s">
        <v>1569</v>
      </c>
      <c r="R459" s="695">
        <f>'HIV-Key Info'!$G$87*(('HIV-Key Info'!$E$87*'HPM costs'!G636)+('HIV-Key Info'!$F$87*('HPM costs'!G639+'HPM costs'!G642)))</f>
        <v>0</v>
      </c>
      <c r="S459" s="695" t="s">
        <v>1569</v>
      </c>
      <c r="T459" s="695">
        <f>'HIV-Key Info'!$G$87*(('HIV-Key Info'!$E$87*'HPM costs'!H636)+('HIV-Key Info'!$F$87*('HPM costs'!H639+'HPM costs'!H642)))</f>
        <v>0</v>
      </c>
      <c r="U459" s="695" t="s">
        <v>1569</v>
      </c>
      <c r="V459" s="695">
        <f>'HIV-Key Info'!$G$87*(('HIV-Key Info'!$E$87*'HPM costs'!I636)+('HIV-Key Info'!$F$87*('HPM costs'!I639+'HPM costs'!I642)))</f>
        <v>0</v>
      </c>
      <c r="W459" s="695"/>
      <c r="X459" s="1492">
        <f t="shared" si="48"/>
        <v>0</v>
      </c>
      <c r="Y459" s="1493"/>
      <c r="Z459" s="1494"/>
      <c r="AA459" s="699"/>
      <c r="AB459" s="695"/>
      <c r="AC459" s="695">
        <f>'HIV-Key Info'!$G$87*(('HIV-Key Info'!$E$87*'HPM costs'!K636)+('HIV-Key Info'!$F$87*('HPM costs'!K639+'HPM costs'!K642)))</f>
        <v>0</v>
      </c>
      <c r="AD459" s="695"/>
      <c r="AE459" s="695">
        <f>'HIV-Key Info'!$G$87*(('HIV-Key Info'!$E$87*'HPM costs'!L636)+('HIV-Key Info'!$F$87*('HPM costs'!L639+'HPM costs'!L642)))</f>
        <v>0</v>
      </c>
      <c r="AF459" s="695"/>
      <c r="AG459" s="695">
        <f>'HIV-Key Info'!$G$87*(('HIV-Key Info'!$E$87*'HPM costs'!M636)+('HIV-Key Info'!$F$87*('HPM costs'!M639+'HPM costs'!M642)))</f>
        <v>0</v>
      </c>
      <c r="AH459" s="695"/>
      <c r="AI459" s="695">
        <f>'HIV-Key Info'!$G$87*(('HIV-Key Info'!$E$87*'HPM costs'!N636)+('HIV-Key Info'!$F$87*('HPM costs'!N639+'HPM costs'!N642)))</f>
        <v>0</v>
      </c>
      <c r="AJ459" s="695"/>
      <c r="AK459" s="1492">
        <f t="shared" si="49"/>
        <v>0</v>
      </c>
      <c r="AL459" s="1493"/>
      <c r="AM459" s="1494"/>
      <c r="AN459" s="699"/>
      <c r="AO459" s="695"/>
      <c r="AP459" s="695">
        <f>'HIV-Key Info'!$G$87*(('HIV-Key Info'!$E$87*'HPM costs'!P636)+('HIV-Key Info'!$F$87*('HPM costs'!P639+'HPM costs'!P642)))</f>
        <v>0</v>
      </c>
      <c r="AQ459" s="695"/>
      <c r="AR459" s="695">
        <f>'HIV-Key Info'!$G$87*(('HIV-Key Info'!$E$87*'HPM costs'!Q636)+('HIV-Key Info'!$F$87*('HPM costs'!Q639+'HPM costs'!Q642)))</f>
        <v>0</v>
      </c>
      <c r="AS459" s="695"/>
      <c r="AT459" s="695">
        <f>'HIV-Key Info'!$G$87*(('HIV-Key Info'!$E$87*'HPM costs'!R636)+('HIV-Key Info'!$F$87*('HPM costs'!R639+'HPM costs'!R642)))</f>
        <v>0</v>
      </c>
      <c r="AU459" s="695"/>
      <c r="AV459" s="695">
        <f>'HIV-Key Info'!$G$87*(('HIV-Key Info'!$E$87*'HPM costs'!S636)+('HIV-Key Info'!$F$87*('HPM costs'!S639+'HPM costs'!S642)))</f>
        <v>0</v>
      </c>
      <c r="AW459" s="695"/>
      <c r="AX459" s="1492">
        <f t="shared" si="50"/>
        <v>0</v>
      </c>
      <c r="AY459" s="1492"/>
      <c r="AZ459" s="698"/>
      <c r="BA459" s="699"/>
      <c r="BB459" s="697"/>
      <c r="BC459" s="697">
        <v>0</v>
      </c>
      <c r="BD459" s="697">
        <v>0</v>
      </c>
      <c r="BE459" s="697">
        <v>0</v>
      </c>
      <c r="BF459" s="697">
        <v>0</v>
      </c>
      <c r="BG459" s="697">
        <v>0</v>
      </c>
      <c r="BH459" s="697">
        <v>0</v>
      </c>
      <c r="BI459" s="697">
        <v>0</v>
      </c>
      <c r="BJ459" s="697">
        <v>0</v>
      </c>
      <c r="BK459" s="1492">
        <f t="shared" si="51"/>
        <v>0</v>
      </c>
      <c r="BL459" s="1492"/>
      <c r="BM459" s="1492">
        <f t="shared" si="52"/>
        <v>0</v>
      </c>
      <c r="BN459" s="1492">
        <f t="shared" si="53"/>
        <v>0</v>
      </c>
      <c r="BO459" s="697"/>
      <c r="BP459" s="697"/>
      <c r="BQ459" s="1495" t="s">
        <v>6939</v>
      </c>
      <c r="BR459" s="1495" t="s">
        <v>818</v>
      </c>
      <c r="BS459" s="1902" t="s">
        <v>655</v>
      </c>
      <c r="BT459" s="1907" t="s">
        <v>2178</v>
      </c>
    </row>
    <row r="460" spans="1:72" ht="13">
      <c r="A460" s="1545">
        <v>1016</v>
      </c>
      <c r="B460" s="1546" t="s">
        <v>800</v>
      </c>
      <c r="C460" s="1546" t="s">
        <v>802</v>
      </c>
      <c r="D460" s="1547" t="s">
        <v>6961</v>
      </c>
      <c r="E460" s="690" t="s">
        <v>731</v>
      </c>
      <c r="F460" s="691"/>
      <c r="G460" s="692"/>
      <c r="H460" s="692"/>
      <c r="I460" s="692"/>
      <c r="J460" s="693"/>
      <c r="K460" s="693"/>
      <c r="L460" s="693"/>
      <c r="M460" s="694"/>
      <c r="N460" s="695"/>
      <c r="O460" s="696" t="s">
        <v>1569</v>
      </c>
      <c r="P460" s="695">
        <f>'HIV-Key Info'!$H$87*('HIV-Key Info'!$E$87*('HPM costs'!F551/'HPM costs'!$E$551)+'HIV-Key Info'!$F$87*('HPM costs'!F557/'HPM costs'!$E$557+'HPM costs'!F554/'HPM costs'!$E$554))</f>
        <v>0</v>
      </c>
      <c r="Q460" s="695" t="s">
        <v>1569</v>
      </c>
      <c r="R460" s="695">
        <f>'HIV-Key Info'!$H$87*('HIV-Key Info'!$E$87*('HPM costs'!G551/'HPM costs'!$E$551)+'HIV-Key Info'!$F$87*('HPM costs'!G557/'HPM costs'!$E$557+'HPM costs'!G554/'HPM costs'!$E$554))</f>
        <v>0</v>
      </c>
      <c r="S460" s="695" t="s">
        <v>1569</v>
      </c>
      <c r="T460" s="695">
        <f>'HIV-Key Info'!$H$87*('HIV-Key Info'!$E$87*('HPM costs'!H551/'HPM costs'!$E$551)+'HIV-Key Info'!$F$87*('HPM costs'!H557/'HPM costs'!$E$557+'HPM costs'!H554/'HPM costs'!$E$554))</f>
        <v>0</v>
      </c>
      <c r="U460" s="695" t="s">
        <v>1569</v>
      </c>
      <c r="V460" s="695">
        <f>'HIV-Key Info'!$H$87*('HIV-Key Info'!$E$87*('HPM costs'!I551/'HPM costs'!$E$551)+'HIV-Key Info'!$F$87*('HPM costs'!I557/'HPM costs'!$E$557+'HPM costs'!I554/'HPM costs'!$E$554))</f>
        <v>0</v>
      </c>
      <c r="W460" s="695"/>
      <c r="X460" s="1492">
        <f t="shared" si="48"/>
        <v>0</v>
      </c>
      <c r="Y460" s="1493"/>
      <c r="Z460" s="1494"/>
      <c r="AA460" s="699"/>
      <c r="AB460" s="695"/>
      <c r="AC460" s="695">
        <f>'HIV-Key Info'!$H$87*('HIV-Key Info'!$E$87*('HPM costs'!K551/'HPM costs'!$E$551)+'HIV-Key Info'!$F$87*('HPM costs'!K557/'HPM costs'!$E$557+'HPM costs'!K554/'HPM costs'!$E$554))</f>
        <v>0</v>
      </c>
      <c r="AD460" s="695"/>
      <c r="AE460" s="695">
        <f>'HIV-Key Info'!$H$87*('HIV-Key Info'!$E$87*('HPM costs'!L551/'HPM costs'!$E$551)+'HIV-Key Info'!$F$87*('HPM costs'!L557/'HPM costs'!$E$557+'HPM costs'!L554/'HPM costs'!$E$554))</f>
        <v>0</v>
      </c>
      <c r="AF460" s="695"/>
      <c r="AG460" s="695">
        <f>'HIV-Key Info'!$H$87*('HIV-Key Info'!$E$87*('HPM costs'!M551/'HPM costs'!$E$551)+'HIV-Key Info'!$F$87*('HPM costs'!M557/'HPM costs'!$E$557+'HPM costs'!M554/'HPM costs'!$E$554))</f>
        <v>0</v>
      </c>
      <c r="AH460" s="695"/>
      <c r="AI460" s="695">
        <f>'HIV-Key Info'!$H$87*('HIV-Key Info'!$E$87*('HPM costs'!N551/'HPM costs'!$E$551)+'HIV-Key Info'!$F$87*('HPM costs'!N557/'HPM costs'!$E$557+'HPM costs'!N554/'HPM costs'!$E$554))</f>
        <v>0</v>
      </c>
      <c r="AJ460" s="695"/>
      <c r="AK460" s="1492">
        <f t="shared" si="49"/>
        <v>0</v>
      </c>
      <c r="AL460" s="1493"/>
      <c r="AM460" s="1494"/>
      <c r="AN460" s="699"/>
      <c r="AO460" s="695"/>
      <c r="AP460" s="695">
        <f>'HIV-Key Info'!$H$87*('HIV-Key Info'!$E$87*('HPM costs'!P551/'HPM costs'!$E$551)+'HIV-Key Info'!$F$87*('HPM costs'!P557/'HPM costs'!$E$557+'HPM costs'!P554/'HPM costs'!$E$554))</f>
        <v>0</v>
      </c>
      <c r="AQ460" s="695"/>
      <c r="AR460" s="695">
        <f>'HIV-Key Info'!$H$87*('HIV-Key Info'!$E$87*('HPM costs'!Q551/'HPM costs'!$E$551)+'HIV-Key Info'!$F$87*('HPM costs'!Q557/'HPM costs'!$E$557+'HPM costs'!Q554/'HPM costs'!$E$554))</f>
        <v>0</v>
      </c>
      <c r="AS460" s="695"/>
      <c r="AT460" s="695">
        <f>'HIV-Key Info'!$H$87*('HIV-Key Info'!$E$87*('HPM costs'!R551/'HPM costs'!$E$551)+'HIV-Key Info'!$F$87*('HPM costs'!R557/'HPM costs'!$E$557+'HPM costs'!R554/'HPM costs'!$E$554))</f>
        <v>0</v>
      </c>
      <c r="AU460" s="695"/>
      <c r="AV460" s="695">
        <f>'HIV-Key Info'!$H$87*('HIV-Key Info'!$E$87*('HPM costs'!S551/'HPM costs'!$E$551)+'HIV-Key Info'!$F$87*('HPM costs'!S557/'HPM costs'!$E$557+'HPM costs'!S554/'HPM costs'!$E$554))</f>
        <v>0</v>
      </c>
      <c r="AW460" s="695"/>
      <c r="AX460" s="1492">
        <f t="shared" si="50"/>
        <v>0</v>
      </c>
      <c r="AY460" s="1492"/>
      <c r="AZ460" s="698"/>
      <c r="BA460" s="699"/>
      <c r="BB460" s="697"/>
      <c r="BC460" s="697">
        <v>0</v>
      </c>
      <c r="BD460" s="697">
        <v>0</v>
      </c>
      <c r="BE460" s="697">
        <v>0</v>
      </c>
      <c r="BF460" s="697">
        <v>0</v>
      </c>
      <c r="BG460" s="697">
        <v>0</v>
      </c>
      <c r="BH460" s="697">
        <v>0</v>
      </c>
      <c r="BI460" s="697">
        <v>0</v>
      </c>
      <c r="BJ460" s="697">
        <v>0</v>
      </c>
      <c r="BK460" s="1492">
        <f t="shared" si="51"/>
        <v>0</v>
      </c>
      <c r="BL460" s="1492"/>
      <c r="BM460" s="1492">
        <f t="shared" si="52"/>
        <v>0</v>
      </c>
      <c r="BN460" s="1492">
        <f t="shared" si="53"/>
        <v>0</v>
      </c>
      <c r="BO460" s="697"/>
      <c r="BP460" s="697"/>
      <c r="BQ460" s="1495" t="s">
        <v>6939</v>
      </c>
      <c r="BR460" s="1495" t="s">
        <v>818</v>
      </c>
      <c r="BS460" s="1902" t="s">
        <v>6953</v>
      </c>
      <c r="BT460" s="1907" t="s">
        <v>2179</v>
      </c>
    </row>
    <row r="461" spans="1:72" ht="13">
      <c r="A461" s="1545">
        <v>1017</v>
      </c>
      <c r="B461" s="1546" t="s">
        <v>800</v>
      </c>
      <c r="C461" s="1546" t="s">
        <v>802</v>
      </c>
      <c r="D461" s="1547" t="s">
        <v>6884</v>
      </c>
      <c r="E461" s="690" t="s">
        <v>656</v>
      </c>
      <c r="F461" s="691"/>
      <c r="G461" s="692"/>
      <c r="H461" s="692"/>
      <c r="I461" s="692"/>
      <c r="J461" s="693"/>
      <c r="K461" s="693"/>
      <c r="L461" s="693"/>
      <c r="M461" s="694"/>
      <c r="N461" s="695"/>
      <c r="O461" s="696" t="s">
        <v>1569</v>
      </c>
      <c r="P461" s="695">
        <f>'HIV-Key Info'!$H$87*(('HIV-Key Info'!$E$87*'HPM costs'!F33)+('HIV-Key Info'!$F$87*('HPM costs'!F36+'HPM costs'!F39)))</f>
        <v>0</v>
      </c>
      <c r="Q461" s="695" t="s">
        <v>1569</v>
      </c>
      <c r="R461" s="695">
        <f>'HIV-Key Info'!$H$87*(('HIV-Key Info'!$E$87*'HPM costs'!G33)+('HIV-Key Info'!$F$87*('HPM costs'!G36+'HPM costs'!G39)))</f>
        <v>0</v>
      </c>
      <c r="S461" s="695" t="s">
        <v>1569</v>
      </c>
      <c r="T461" s="695">
        <f>'HIV-Key Info'!$H$87*(('HIV-Key Info'!$E$87*'HPM costs'!H33)+('HIV-Key Info'!$F$87*('HPM costs'!H36+'HPM costs'!H39)))</f>
        <v>0</v>
      </c>
      <c r="U461" s="695" t="s">
        <v>1569</v>
      </c>
      <c r="V461" s="695">
        <f>'HIV-Key Info'!$H$87*(('HIV-Key Info'!$E$87*'HPM costs'!I33)+('HIV-Key Info'!$F$87*('HPM costs'!I36+'HPM costs'!I39)))</f>
        <v>0</v>
      </c>
      <c r="W461" s="695"/>
      <c r="X461" s="1492">
        <f t="shared" si="48"/>
        <v>0</v>
      </c>
      <c r="Y461" s="1493"/>
      <c r="Z461" s="1494"/>
      <c r="AA461" s="699"/>
      <c r="AB461" s="695"/>
      <c r="AC461" s="695">
        <f>'HIV-Key Info'!$H$87*(('HIV-Key Info'!$E$87*'HPM costs'!K33)+('HIV-Key Info'!$F$87*('HPM costs'!K36+'HPM costs'!K39)))</f>
        <v>0</v>
      </c>
      <c r="AD461" s="695"/>
      <c r="AE461" s="695">
        <f>'HIV-Key Info'!$H$87*(('HIV-Key Info'!$E$87*'HPM costs'!L33)+('HIV-Key Info'!$F$87*('HPM costs'!L36+'HPM costs'!L39)))</f>
        <v>0</v>
      </c>
      <c r="AF461" s="695"/>
      <c r="AG461" s="695">
        <f>'HIV-Key Info'!$H$87*(('HIV-Key Info'!$E$87*'HPM costs'!M33)+('HIV-Key Info'!$F$87*('HPM costs'!M36+'HPM costs'!M39)))</f>
        <v>0</v>
      </c>
      <c r="AH461" s="695"/>
      <c r="AI461" s="695">
        <f>'HIV-Key Info'!$H$87*(('HIV-Key Info'!$E$87*'HPM costs'!N33)+('HIV-Key Info'!$F$87*('HPM costs'!N36+'HPM costs'!N39)))</f>
        <v>0</v>
      </c>
      <c r="AJ461" s="695"/>
      <c r="AK461" s="1492">
        <f t="shared" si="49"/>
        <v>0</v>
      </c>
      <c r="AL461" s="1493"/>
      <c r="AM461" s="1494"/>
      <c r="AN461" s="699"/>
      <c r="AO461" s="695"/>
      <c r="AP461" s="695">
        <f>'HIV-Key Info'!$H$87*(('HIV-Key Info'!$E$87*'HPM costs'!P33)+('HIV-Key Info'!$F$87*('HPM costs'!P36+'HPM costs'!P39)))</f>
        <v>0</v>
      </c>
      <c r="AQ461" s="695"/>
      <c r="AR461" s="695">
        <f>'HIV-Key Info'!$H$87*(('HIV-Key Info'!$E$87*'HPM costs'!Q33)+('HIV-Key Info'!$F$87*('HPM costs'!Q36+'HPM costs'!Q39)))</f>
        <v>0</v>
      </c>
      <c r="AS461" s="695"/>
      <c r="AT461" s="695">
        <f>'HIV-Key Info'!$H$87*(('HIV-Key Info'!$E$87*'HPM costs'!R33)+('HIV-Key Info'!$F$87*('HPM costs'!R36+'HPM costs'!R39)))</f>
        <v>0</v>
      </c>
      <c r="AU461" s="695"/>
      <c r="AV461" s="695">
        <f>'HIV-Key Info'!$H$87*(('HIV-Key Info'!$E$87*'HPM costs'!S33)+('HIV-Key Info'!$F$87*('HPM costs'!S36+'HPM costs'!S39)))</f>
        <v>0</v>
      </c>
      <c r="AW461" s="695"/>
      <c r="AX461" s="1492">
        <f t="shared" si="50"/>
        <v>0</v>
      </c>
      <c r="AY461" s="1492"/>
      <c r="AZ461" s="698"/>
      <c r="BA461" s="699"/>
      <c r="BB461" s="697"/>
      <c r="BC461" s="697">
        <v>0</v>
      </c>
      <c r="BD461" s="697">
        <v>0</v>
      </c>
      <c r="BE461" s="697">
        <v>0</v>
      </c>
      <c r="BF461" s="697">
        <v>0</v>
      </c>
      <c r="BG461" s="697">
        <v>0</v>
      </c>
      <c r="BH461" s="697">
        <v>0</v>
      </c>
      <c r="BI461" s="697">
        <v>0</v>
      </c>
      <c r="BJ461" s="697">
        <v>0</v>
      </c>
      <c r="BK461" s="1492">
        <f t="shared" si="51"/>
        <v>0</v>
      </c>
      <c r="BL461" s="1492"/>
      <c r="BM461" s="1492">
        <f t="shared" si="52"/>
        <v>0</v>
      </c>
      <c r="BN461" s="1492">
        <f t="shared" si="53"/>
        <v>0</v>
      </c>
      <c r="BO461" s="697"/>
      <c r="BP461" s="697"/>
      <c r="BQ461" s="1495" t="s">
        <v>6939</v>
      </c>
      <c r="BR461" s="1495" t="s">
        <v>818</v>
      </c>
      <c r="BS461" s="1902" t="s">
        <v>655</v>
      </c>
      <c r="BT461" s="1907" t="s">
        <v>2180</v>
      </c>
    </row>
    <row r="462" spans="1:72" ht="13">
      <c r="A462" s="1545">
        <v>1018</v>
      </c>
      <c r="B462" s="1546" t="s">
        <v>800</v>
      </c>
      <c r="C462" s="1546" t="s">
        <v>802</v>
      </c>
      <c r="D462" s="1547" t="s">
        <v>6884</v>
      </c>
      <c r="E462" s="690" t="s">
        <v>658</v>
      </c>
      <c r="F462" s="691"/>
      <c r="G462" s="692"/>
      <c r="H462" s="692"/>
      <c r="I462" s="692"/>
      <c r="J462" s="693"/>
      <c r="K462" s="693"/>
      <c r="L462" s="693"/>
      <c r="M462" s="694"/>
      <c r="N462" s="695"/>
      <c r="O462" s="696" t="s">
        <v>1569</v>
      </c>
      <c r="P462" s="695">
        <f>'HIV-Key Info'!$H$87*(('HIV-Key Info'!$E$87*'HPM costs'!F119)+('HIV-Key Info'!$F$87*('HPM costs'!F122+'HPM costs'!F125)))</f>
        <v>0</v>
      </c>
      <c r="Q462" s="695" t="s">
        <v>1569</v>
      </c>
      <c r="R462" s="695">
        <f>'HIV-Key Info'!$H$87*(('HIV-Key Info'!$E$87*'HPM costs'!G119)+('HIV-Key Info'!$F$87*('HPM costs'!G122+'HPM costs'!G125)))</f>
        <v>0</v>
      </c>
      <c r="S462" s="695" t="s">
        <v>1569</v>
      </c>
      <c r="T462" s="695">
        <f>'HIV-Key Info'!$H$87*(('HIV-Key Info'!$E$87*'HPM costs'!H119)+('HIV-Key Info'!$F$87*('HPM costs'!H122+'HPM costs'!H125)))</f>
        <v>0</v>
      </c>
      <c r="U462" s="695" t="s">
        <v>1569</v>
      </c>
      <c r="V462" s="695">
        <f>'HIV-Key Info'!$H$87*(('HIV-Key Info'!$E$87*'HPM costs'!I119)+('HIV-Key Info'!$F$87*('HPM costs'!I122+'HPM costs'!I125)))</f>
        <v>0</v>
      </c>
      <c r="W462" s="695"/>
      <c r="X462" s="1492">
        <f t="shared" si="48"/>
        <v>0</v>
      </c>
      <c r="Y462" s="1493"/>
      <c r="Z462" s="1494"/>
      <c r="AA462" s="699"/>
      <c r="AB462" s="695"/>
      <c r="AC462" s="695">
        <f>'HIV-Key Info'!$H$87*(('HIV-Key Info'!$E$87*'HPM costs'!K119)+('HIV-Key Info'!$F$87*('HPM costs'!K122+'HPM costs'!K125)))</f>
        <v>0</v>
      </c>
      <c r="AD462" s="695"/>
      <c r="AE462" s="695">
        <f>'HIV-Key Info'!$H$87*(('HIV-Key Info'!$E$87*'HPM costs'!L119)+('HIV-Key Info'!$F$87*('HPM costs'!L122+'HPM costs'!L125)))</f>
        <v>0</v>
      </c>
      <c r="AF462" s="695"/>
      <c r="AG462" s="695">
        <f>'HIV-Key Info'!$H$87*(('HIV-Key Info'!$E$87*'HPM costs'!M119)+('HIV-Key Info'!$F$87*('HPM costs'!M122+'HPM costs'!M125)))</f>
        <v>0</v>
      </c>
      <c r="AH462" s="695"/>
      <c r="AI462" s="695">
        <f>'HIV-Key Info'!$H$87*(('HIV-Key Info'!$E$87*'HPM costs'!N119)+('HIV-Key Info'!$F$87*('HPM costs'!N122+'HPM costs'!N125)))</f>
        <v>0</v>
      </c>
      <c r="AJ462" s="695"/>
      <c r="AK462" s="1492">
        <f t="shared" si="49"/>
        <v>0</v>
      </c>
      <c r="AL462" s="1493"/>
      <c r="AM462" s="1494"/>
      <c r="AN462" s="699"/>
      <c r="AO462" s="695"/>
      <c r="AP462" s="695">
        <f>'HIV-Key Info'!$H$87*(('HIV-Key Info'!$E$87*'HPM costs'!P119)+('HIV-Key Info'!$F$87*('HPM costs'!P122+'HPM costs'!P125)))</f>
        <v>0</v>
      </c>
      <c r="AQ462" s="695"/>
      <c r="AR462" s="695">
        <f>'HIV-Key Info'!$H$87*(('HIV-Key Info'!$E$87*'HPM costs'!Q119)+('HIV-Key Info'!$F$87*('HPM costs'!Q122+'HPM costs'!Q125)))</f>
        <v>0</v>
      </c>
      <c r="AS462" s="695"/>
      <c r="AT462" s="695">
        <f>'HIV-Key Info'!$H$87*(('HIV-Key Info'!$E$87*'HPM costs'!R119)+('HIV-Key Info'!$F$87*('HPM costs'!R122+'HPM costs'!R125)))</f>
        <v>0</v>
      </c>
      <c r="AU462" s="695"/>
      <c r="AV462" s="695">
        <f>'HIV-Key Info'!$H$87*(('HIV-Key Info'!$E$87*'HPM costs'!S119)+('HIV-Key Info'!$F$87*('HPM costs'!S122+'HPM costs'!S125)))</f>
        <v>0</v>
      </c>
      <c r="AW462" s="695"/>
      <c r="AX462" s="1492">
        <f t="shared" si="50"/>
        <v>0</v>
      </c>
      <c r="AY462" s="1492"/>
      <c r="AZ462" s="698"/>
      <c r="BA462" s="699"/>
      <c r="BB462" s="697"/>
      <c r="BC462" s="697">
        <v>0</v>
      </c>
      <c r="BD462" s="697">
        <v>0</v>
      </c>
      <c r="BE462" s="697">
        <v>0</v>
      </c>
      <c r="BF462" s="697">
        <v>0</v>
      </c>
      <c r="BG462" s="697">
        <v>0</v>
      </c>
      <c r="BH462" s="697">
        <v>0</v>
      </c>
      <c r="BI462" s="697">
        <v>0</v>
      </c>
      <c r="BJ462" s="697">
        <v>0</v>
      </c>
      <c r="BK462" s="1492">
        <f t="shared" si="51"/>
        <v>0</v>
      </c>
      <c r="BL462" s="1492"/>
      <c r="BM462" s="1492">
        <f t="shared" si="52"/>
        <v>0</v>
      </c>
      <c r="BN462" s="1492">
        <f t="shared" si="53"/>
        <v>0</v>
      </c>
      <c r="BO462" s="697"/>
      <c r="BP462" s="697"/>
      <c r="BQ462" s="1495" t="s">
        <v>6939</v>
      </c>
      <c r="BR462" s="1495" t="s">
        <v>818</v>
      </c>
      <c r="BS462" s="1902" t="s">
        <v>655</v>
      </c>
      <c r="BT462" s="1907" t="s">
        <v>2181</v>
      </c>
    </row>
    <row r="463" spans="1:72" ht="13">
      <c r="A463" s="1545">
        <v>1019</v>
      </c>
      <c r="B463" s="1546" t="s">
        <v>800</v>
      </c>
      <c r="C463" s="1546" t="s">
        <v>802</v>
      </c>
      <c r="D463" s="1547" t="s">
        <v>6884</v>
      </c>
      <c r="E463" s="690" t="s">
        <v>660</v>
      </c>
      <c r="F463" s="691"/>
      <c r="G463" s="692"/>
      <c r="H463" s="692"/>
      <c r="I463" s="692"/>
      <c r="J463" s="693"/>
      <c r="K463" s="693"/>
      <c r="L463" s="693"/>
      <c r="M463" s="694"/>
      <c r="N463" s="695"/>
      <c r="O463" s="696" t="s">
        <v>1569</v>
      </c>
      <c r="P463" s="695">
        <f>'HIV-Key Info'!$H$87*(('HIV-Key Info'!$E$87*'HPM costs'!F379)+('HIV-Key Info'!$F$87*('HPM costs'!F382+'HPM costs'!F385)))</f>
        <v>0</v>
      </c>
      <c r="Q463" s="695" t="s">
        <v>1569</v>
      </c>
      <c r="R463" s="695">
        <f>'HIV-Key Info'!$H$87*(('HIV-Key Info'!$E$87*'HPM costs'!G379)+('HIV-Key Info'!$F$87*('HPM costs'!G382+'HPM costs'!G385)))</f>
        <v>0</v>
      </c>
      <c r="S463" s="695" t="s">
        <v>1569</v>
      </c>
      <c r="T463" s="695">
        <f>'HIV-Key Info'!$H$87*(('HIV-Key Info'!$E$87*'HPM costs'!H379)+('HIV-Key Info'!$F$87*('HPM costs'!H382+'HPM costs'!H385)))</f>
        <v>0</v>
      </c>
      <c r="U463" s="695" t="s">
        <v>1569</v>
      </c>
      <c r="V463" s="695">
        <f>'HIV-Key Info'!$H$87*(('HIV-Key Info'!$E$87*'HPM costs'!I379)+('HIV-Key Info'!$F$87*('HPM costs'!I382+'HPM costs'!I385)))</f>
        <v>0</v>
      </c>
      <c r="W463" s="695"/>
      <c r="X463" s="1492">
        <f t="shared" si="48"/>
        <v>0</v>
      </c>
      <c r="Y463" s="1493"/>
      <c r="Z463" s="1494"/>
      <c r="AA463" s="699"/>
      <c r="AB463" s="695"/>
      <c r="AC463" s="695">
        <f>'HIV-Key Info'!$H$87*(('HIV-Key Info'!$E$87*'HPM costs'!K379)+('HIV-Key Info'!$F$87*('HPM costs'!K382+'HPM costs'!K385)))</f>
        <v>0</v>
      </c>
      <c r="AD463" s="695"/>
      <c r="AE463" s="695">
        <f>'HIV-Key Info'!$H$87*(('HIV-Key Info'!$E$87*'HPM costs'!L379)+('HIV-Key Info'!$F$87*('HPM costs'!L382+'HPM costs'!L385)))</f>
        <v>0</v>
      </c>
      <c r="AF463" s="695"/>
      <c r="AG463" s="695">
        <f>'HIV-Key Info'!$H$87*(('HIV-Key Info'!$E$87*'HPM costs'!M379)+('HIV-Key Info'!$F$87*('HPM costs'!M382+'HPM costs'!M385)))</f>
        <v>0</v>
      </c>
      <c r="AH463" s="695"/>
      <c r="AI463" s="695">
        <f>'HIV-Key Info'!$H$87*(('HIV-Key Info'!$E$87*'HPM costs'!N379)+('HIV-Key Info'!$F$87*('HPM costs'!N382+'HPM costs'!N385)))</f>
        <v>0</v>
      </c>
      <c r="AJ463" s="695"/>
      <c r="AK463" s="1492">
        <f t="shared" si="49"/>
        <v>0</v>
      </c>
      <c r="AL463" s="1493"/>
      <c r="AM463" s="1494"/>
      <c r="AN463" s="699"/>
      <c r="AO463" s="695"/>
      <c r="AP463" s="695">
        <f>'HIV-Key Info'!$H$87*(('HIV-Key Info'!$E$87*'HPM costs'!P379)+('HIV-Key Info'!$F$87*('HPM costs'!P382+'HPM costs'!P385)))</f>
        <v>0</v>
      </c>
      <c r="AQ463" s="695"/>
      <c r="AR463" s="695">
        <f>'HIV-Key Info'!$H$87*(('HIV-Key Info'!$E$87*'HPM costs'!Q379)+('HIV-Key Info'!$F$87*('HPM costs'!Q382+'HPM costs'!Q385)))</f>
        <v>0</v>
      </c>
      <c r="AS463" s="695"/>
      <c r="AT463" s="695">
        <f>'HIV-Key Info'!$H$87*(('HIV-Key Info'!$E$87*'HPM costs'!R379)+('HIV-Key Info'!$F$87*('HPM costs'!R382+'HPM costs'!R385)))</f>
        <v>0</v>
      </c>
      <c r="AU463" s="695"/>
      <c r="AV463" s="695">
        <f>'HIV-Key Info'!$H$87*(('HIV-Key Info'!$E$87*'HPM costs'!S379)+('HIV-Key Info'!$F$87*('HPM costs'!S382+'HPM costs'!S385)))</f>
        <v>0</v>
      </c>
      <c r="AW463" s="695"/>
      <c r="AX463" s="1492">
        <f t="shared" si="50"/>
        <v>0</v>
      </c>
      <c r="AY463" s="1492"/>
      <c r="AZ463" s="698"/>
      <c r="BA463" s="699"/>
      <c r="BB463" s="697"/>
      <c r="BC463" s="697">
        <v>0</v>
      </c>
      <c r="BD463" s="697">
        <v>0</v>
      </c>
      <c r="BE463" s="697">
        <v>0</v>
      </c>
      <c r="BF463" s="697">
        <v>0</v>
      </c>
      <c r="BG463" s="697">
        <v>0</v>
      </c>
      <c r="BH463" s="697">
        <v>0</v>
      </c>
      <c r="BI463" s="697">
        <v>0</v>
      </c>
      <c r="BJ463" s="697">
        <v>0</v>
      </c>
      <c r="BK463" s="1492">
        <f t="shared" si="51"/>
        <v>0</v>
      </c>
      <c r="BL463" s="1492"/>
      <c r="BM463" s="1492">
        <f t="shared" si="52"/>
        <v>0</v>
      </c>
      <c r="BN463" s="1492">
        <f t="shared" si="53"/>
        <v>0</v>
      </c>
      <c r="BO463" s="697"/>
      <c r="BP463" s="697"/>
      <c r="BQ463" s="1495" t="s">
        <v>6939</v>
      </c>
      <c r="BR463" s="1495" t="s">
        <v>818</v>
      </c>
      <c r="BS463" s="1902" t="s">
        <v>655</v>
      </c>
      <c r="BT463" s="1907" t="s">
        <v>2182</v>
      </c>
    </row>
    <row r="464" spans="1:72" ht="13">
      <c r="A464" s="1545">
        <v>1020</v>
      </c>
      <c r="B464" s="1546" t="s">
        <v>800</v>
      </c>
      <c r="C464" s="1546" t="s">
        <v>802</v>
      </c>
      <c r="D464" s="1547" t="s">
        <v>6884</v>
      </c>
      <c r="E464" s="690" t="s">
        <v>662</v>
      </c>
      <c r="F464" s="691"/>
      <c r="G464" s="692"/>
      <c r="H464" s="692"/>
      <c r="I464" s="692"/>
      <c r="J464" s="693"/>
      <c r="K464" s="693"/>
      <c r="L464" s="693"/>
      <c r="M464" s="694"/>
      <c r="N464" s="695"/>
      <c r="O464" s="696" t="s">
        <v>1569</v>
      </c>
      <c r="P464" s="695">
        <f>'HIV-Key Info'!$H$87*(('HIV-Key Info'!$E$87*'HPM costs'!F465)+('HIV-Key Info'!$F$87*('HPM costs'!F468+'HPM costs'!F471)))</f>
        <v>0</v>
      </c>
      <c r="Q464" s="695" t="s">
        <v>1569</v>
      </c>
      <c r="R464" s="695">
        <f>'HIV-Key Info'!$H$87*(('HIV-Key Info'!$E$87*'HPM costs'!G465)+('HIV-Key Info'!$F$87*('HPM costs'!G468+'HPM costs'!G471)))</f>
        <v>0</v>
      </c>
      <c r="S464" s="695" t="s">
        <v>1569</v>
      </c>
      <c r="T464" s="695">
        <f>'HIV-Key Info'!$H$87*(('HIV-Key Info'!$E$87*'HPM costs'!H465)+('HIV-Key Info'!$F$87*('HPM costs'!H468+'HPM costs'!H471)))</f>
        <v>0</v>
      </c>
      <c r="U464" s="695" t="s">
        <v>1569</v>
      </c>
      <c r="V464" s="695">
        <f>'HIV-Key Info'!$H$87*(('HIV-Key Info'!$E$87*'HPM costs'!I465)+('HIV-Key Info'!$F$87*('HPM costs'!I468+'HPM costs'!I471)))</f>
        <v>0</v>
      </c>
      <c r="W464" s="695"/>
      <c r="X464" s="1492">
        <f t="shared" si="48"/>
        <v>0</v>
      </c>
      <c r="Y464" s="1493"/>
      <c r="Z464" s="1494"/>
      <c r="AA464" s="699"/>
      <c r="AB464" s="695"/>
      <c r="AC464" s="695">
        <f>'HIV-Key Info'!$H$87*(('HIV-Key Info'!$E$87*'HPM costs'!K465)+('HIV-Key Info'!$F$87*('HPM costs'!K468+'HPM costs'!K471)))</f>
        <v>0</v>
      </c>
      <c r="AD464" s="695"/>
      <c r="AE464" s="695">
        <f>'HIV-Key Info'!$H$87*(('HIV-Key Info'!$E$87*'HPM costs'!L465)+('HIV-Key Info'!$F$87*('HPM costs'!L468+'HPM costs'!L471)))</f>
        <v>0</v>
      </c>
      <c r="AF464" s="695"/>
      <c r="AG464" s="695">
        <f>'HIV-Key Info'!$H$87*(('HIV-Key Info'!$E$87*'HPM costs'!M465)+('HIV-Key Info'!$F$87*('HPM costs'!M468+'HPM costs'!M471)))</f>
        <v>0</v>
      </c>
      <c r="AH464" s="695"/>
      <c r="AI464" s="695">
        <f>'HIV-Key Info'!$H$87*(('HIV-Key Info'!$E$87*'HPM costs'!N465)+('HIV-Key Info'!$F$87*('HPM costs'!N468+'HPM costs'!N471)))</f>
        <v>0</v>
      </c>
      <c r="AJ464" s="695"/>
      <c r="AK464" s="1492">
        <f t="shared" si="49"/>
        <v>0</v>
      </c>
      <c r="AL464" s="1493"/>
      <c r="AM464" s="1494"/>
      <c r="AN464" s="699"/>
      <c r="AO464" s="695"/>
      <c r="AP464" s="695">
        <f>'HIV-Key Info'!$H$87*(('HIV-Key Info'!$E$87*'HPM costs'!P465)+('HIV-Key Info'!$F$87*('HPM costs'!P468+'HPM costs'!P471)))</f>
        <v>0</v>
      </c>
      <c r="AQ464" s="695"/>
      <c r="AR464" s="695">
        <f>'HIV-Key Info'!$H$87*(('HIV-Key Info'!$E$87*'HPM costs'!Q465)+('HIV-Key Info'!$F$87*('HPM costs'!Q468+'HPM costs'!Q471)))</f>
        <v>0</v>
      </c>
      <c r="AS464" s="695"/>
      <c r="AT464" s="695">
        <f>'HIV-Key Info'!$H$87*(('HIV-Key Info'!$E$87*'HPM costs'!R465)+('HIV-Key Info'!$F$87*('HPM costs'!R468+'HPM costs'!R471)))</f>
        <v>0</v>
      </c>
      <c r="AU464" s="695"/>
      <c r="AV464" s="695">
        <f>'HIV-Key Info'!$H$87*(('HIV-Key Info'!$E$87*'HPM costs'!S465)+('HIV-Key Info'!$F$87*('HPM costs'!S468+'HPM costs'!S471)))</f>
        <v>0</v>
      </c>
      <c r="AW464" s="695"/>
      <c r="AX464" s="1492">
        <f t="shared" si="50"/>
        <v>0</v>
      </c>
      <c r="AY464" s="1492"/>
      <c r="AZ464" s="698"/>
      <c r="BA464" s="699"/>
      <c r="BB464" s="697"/>
      <c r="BC464" s="697">
        <v>0</v>
      </c>
      <c r="BD464" s="697">
        <v>0</v>
      </c>
      <c r="BE464" s="697">
        <v>0</v>
      </c>
      <c r="BF464" s="697">
        <v>0</v>
      </c>
      <c r="BG464" s="697">
        <v>0</v>
      </c>
      <c r="BH464" s="697">
        <v>0</v>
      </c>
      <c r="BI464" s="697">
        <v>0</v>
      </c>
      <c r="BJ464" s="697">
        <v>0</v>
      </c>
      <c r="BK464" s="1492">
        <f t="shared" si="51"/>
        <v>0</v>
      </c>
      <c r="BL464" s="1492"/>
      <c r="BM464" s="1492">
        <f t="shared" si="52"/>
        <v>0</v>
      </c>
      <c r="BN464" s="1492">
        <f t="shared" si="53"/>
        <v>0</v>
      </c>
      <c r="BO464" s="697"/>
      <c r="BP464" s="697"/>
      <c r="BQ464" s="1495" t="s">
        <v>6939</v>
      </c>
      <c r="BR464" s="1495" t="s">
        <v>818</v>
      </c>
      <c r="BS464" s="1902" t="s">
        <v>655</v>
      </c>
      <c r="BT464" s="1907" t="s">
        <v>2183</v>
      </c>
    </row>
    <row r="465" spans="1:72" ht="13">
      <c r="A465" s="1545">
        <v>1021</v>
      </c>
      <c r="B465" s="1546" t="s">
        <v>800</v>
      </c>
      <c r="C465" s="1546" t="s">
        <v>802</v>
      </c>
      <c r="D465" s="1547" t="s">
        <v>6884</v>
      </c>
      <c r="E465" s="690" t="s">
        <v>664</v>
      </c>
      <c r="F465" s="691"/>
      <c r="G465" s="692"/>
      <c r="H465" s="692"/>
      <c r="I465" s="692"/>
      <c r="J465" s="693"/>
      <c r="K465" s="693"/>
      <c r="L465" s="693"/>
      <c r="M465" s="694"/>
      <c r="N465" s="695"/>
      <c r="O465" s="696" t="s">
        <v>1569</v>
      </c>
      <c r="P465" s="695">
        <f>'HIV-Key Info'!$H$87*(('HIV-Key Info'!$E$87*('HPM costs'!F205+'HPM costs'!F551))+('HIV-Key Info'!$F$87*('HPM costs'!F208+'HPM costs'!F211+'HPM costs'!F554+'HPM costs'!F557)))</f>
        <v>0</v>
      </c>
      <c r="Q465" s="695" t="s">
        <v>1569</v>
      </c>
      <c r="R465" s="695">
        <f>'HIV-Key Info'!$H$87*(('HIV-Key Info'!$E$87*('HPM costs'!G205+'HPM costs'!G551))+('HIV-Key Info'!$F$87*('HPM costs'!G208+'HPM costs'!G211+'HPM costs'!G554+'HPM costs'!G557)))</f>
        <v>0</v>
      </c>
      <c r="S465" s="695" t="s">
        <v>1569</v>
      </c>
      <c r="T465" s="695">
        <f>'HIV-Key Info'!$H$87*(('HIV-Key Info'!$E$87*('HPM costs'!H205+'HPM costs'!H551))+('HIV-Key Info'!$F$87*('HPM costs'!H208+'HPM costs'!H211+'HPM costs'!H554+'HPM costs'!H557)))</f>
        <v>0</v>
      </c>
      <c r="U465" s="695" t="s">
        <v>1569</v>
      </c>
      <c r="V465" s="695">
        <f>'HIV-Key Info'!$H$87*(('HIV-Key Info'!$E$87*('HPM costs'!I205+'HPM costs'!I551))+('HIV-Key Info'!$F$87*('HPM costs'!I208+'HPM costs'!I211+'HPM costs'!I554+'HPM costs'!I557)))</f>
        <v>0</v>
      </c>
      <c r="W465" s="695"/>
      <c r="X465" s="1492">
        <f t="shared" si="48"/>
        <v>0</v>
      </c>
      <c r="Y465" s="1493"/>
      <c r="Z465" s="1494"/>
      <c r="AA465" s="699"/>
      <c r="AB465" s="695"/>
      <c r="AC465" s="695">
        <f>'HIV-Key Info'!$H$87*(('HIV-Key Info'!$E$87*('HPM costs'!K205+'HPM costs'!K551))+('HIV-Key Info'!$F$87*('HPM costs'!K208+'HPM costs'!K211+'HPM costs'!K554+'HPM costs'!K557)))</f>
        <v>0</v>
      </c>
      <c r="AD465" s="695"/>
      <c r="AE465" s="695">
        <f>'HIV-Key Info'!$H$87*(('HIV-Key Info'!$E$87*('HPM costs'!L205+'HPM costs'!L551))+('HIV-Key Info'!$F$87*('HPM costs'!L208+'HPM costs'!L211+'HPM costs'!L554+'HPM costs'!L557)))</f>
        <v>0</v>
      </c>
      <c r="AF465" s="695"/>
      <c r="AG465" s="695">
        <f>'HIV-Key Info'!$H$87*(('HIV-Key Info'!$E$87*('HPM costs'!M205+'HPM costs'!M551))+('HIV-Key Info'!$F$87*('HPM costs'!M208+'HPM costs'!M211+'HPM costs'!M554+'HPM costs'!M557)))</f>
        <v>0</v>
      </c>
      <c r="AH465" s="695"/>
      <c r="AI465" s="695">
        <f>'HIV-Key Info'!$H$87*(('HIV-Key Info'!$E$87*('HPM costs'!N205+'HPM costs'!N551))+('HIV-Key Info'!$F$87*('HPM costs'!N208+'HPM costs'!N211+'HPM costs'!N554+'HPM costs'!N557)))</f>
        <v>0</v>
      </c>
      <c r="AJ465" s="695"/>
      <c r="AK465" s="1492">
        <f t="shared" si="49"/>
        <v>0</v>
      </c>
      <c r="AL465" s="1493"/>
      <c r="AM465" s="1494"/>
      <c r="AN465" s="699"/>
      <c r="AO465" s="695"/>
      <c r="AP465" s="695">
        <f>'HIV-Key Info'!$H$87*(('HIV-Key Info'!$E$87*('HPM costs'!P205+'HPM costs'!P551))+('HIV-Key Info'!$F$87*('HPM costs'!P208+'HPM costs'!P211+'HPM costs'!P554+'HPM costs'!P557)))</f>
        <v>0</v>
      </c>
      <c r="AQ465" s="695"/>
      <c r="AR465" s="695">
        <f>'HIV-Key Info'!$H$87*(('HIV-Key Info'!$E$87*('HPM costs'!Q205+'HPM costs'!Q551))+('HIV-Key Info'!$F$87*('HPM costs'!Q208+'HPM costs'!Q211+'HPM costs'!Q554+'HPM costs'!Q557)))</f>
        <v>0</v>
      </c>
      <c r="AS465" s="695"/>
      <c r="AT465" s="695">
        <f>'HIV-Key Info'!$H$87*(('HIV-Key Info'!$E$87*('HPM costs'!R205+'HPM costs'!R551))+('HIV-Key Info'!$F$87*('HPM costs'!R208+'HPM costs'!R211+'HPM costs'!R554+'HPM costs'!R557)))</f>
        <v>0</v>
      </c>
      <c r="AU465" s="695"/>
      <c r="AV465" s="695">
        <f>'HIV-Key Info'!$H$87*(('HIV-Key Info'!$E$87*('HPM costs'!S205+'HPM costs'!S551))+('HIV-Key Info'!$F$87*('HPM costs'!S208+'HPM costs'!S211+'HPM costs'!S554+'HPM costs'!S557)))</f>
        <v>0</v>
      </c>
      <c r="AW465" s="695"/>
      <c r="AX465" s="1492">
        <f t="shared" si="50"/>
        <v>0</v>
      </c>
      <c r="AY465" s="1492"/>
      <c r="AZ465" s="698"/>
      <c r="BA465" s="699"/>
      <c r="BB465" s="697"/>
      <c r="BC465" s="697">
        <v>0</v>
      </c>
      <c r="BD465" s="697">
        <v>0</v>
      </c>
      <c r="BE465" s="697">
        <v>0</v>
      </c>
      <c r="BF465" s="697">
        <v>0</v>
      </c>
      <c r="BG465" s="697">
        <v>0</v>
      </c>
      <c r="BH465" s="697">
        <v>0</v>
      </c>
      <c r="BI465" s="697">
        <v>0</v>
      </c>
      <c r="BJ465" s="697">
        <v>0</v>
      </c>
      <c r="BK465" s="1492">
        <f t="shared" si="51"/>
        <v>0</v>
      </c>
      <c r="BL465" s="1492"/>
      <c r="BM465" s="1492">
        <f t="shared" si="52"/>
        <v>0</v>
      </c>
      <c r="BN465" s="1492">
        <f t="shared" si="53"/>
        <v>0</v>
      </c>
      <c r="BO465" s="697"/>
      <c r="BP465" s="697"/>
      <c r="BQ465" s="1495" t="s">
        <v>6939</v>
      </c>
      <c r="BR465" s="1495" t="s">
        <v>818</v>
      </c>
      <c r="BS465" s="1902" t="s">
        <v>655</v>
      </c>
      <c r="BT465" s="1907" t="s">
        <v>2184</v>
      </c>
    </row>
    <row r="466" spans="1:72" ht="13">
      <c r="A466" s="1545">
        <v>1022</v>
      </c>
      <c r="B466" s="1546" t="s">
        <v>800</v>
      </c>
      <c r="C466" s="1546" t="s">
        <v>802</v>
      </c>
      <c r="D466" s="1547" t="s">
        <v>6884</v>
      </c>
      <c r="E466" s="690" t="s">
        <v>666</v>
      </c>
      <c r="F466" s="691"/>
      <c r="G466" s="692"/>
      <c r="H466" s="692"/>
      <c r="I466" s="692"/>
      <c r="J466" s="693"/>
      <c r="K466" s="693"/>
      <c r="L466" s="693"/>
      <c r="M466" s="694"/>
      <c r="N466" s="695"/>
      <c r="O466" s="696" t="s">
        <v>1569</v>
      </c>
      <c r="P466" s="695">
        <f>'HIV-Key Info'!$H$87*(('HIV-Key Info'!$E$87*'HPM costs'!F291)+('HIV-Key Info'!$F$87*('HPM costs'!F294+'HPM costs'!F297)))</f>
        <v>0</v>
      </c>
      <c r="Q466" s="695" t="s">
        <v>1569</v>
      </c>
      <c r="R466" s="695">
        <f>'HIV-Key Info'!$H$87*(('HIV-Key Info'!$E$87*'HPM costs'!G291)+('HIV-Key Info'!$F$87*('HPM costs'!G294+'HPM costs'!G297)))</f>
        <v>0</v>
      </c>
      <c r="S466" s="695" t="s">
        <v>1569</v>
      </c>
      <c r="T466" s="695">
        <f>'HIV-Key Info'!$H$87*(('HIV-Key Info'!$E$87*'HPM costs'!H291)+('HIV-Key Info'!$F$87*('HPM costs'!H294+'HPM costs'!H297)))</f>
        <v>0</v>
      </c>
      <c r="U466" s="695" t="s">
        <v>1569</v>
      </c>
      <c r="V466" s="695">
        <f>'HIV-Key Info'!$H$87*(('HIV-Key Info'!$E$87*'HPM costs'!I291)+('HIV-Key Info'!$F$87*('HPM costs'!I294+'HPM costs'!I297)))</f>
        <v>0</v>
      </c>
      <c r="W466" s="695"/>
      <c r="X466" s="1492">
        <f t="shared" si="48"/>
        <v>0</v>
      </c>
      <c r="Y466" s="1493"/>
      <c r="Z466" s="1494"/>
      <c r="AA466" s="699"/>
      <c r="AB466" s="695"/>
      <c r="AC466" s="695">
        <f>'HIV-Key Info'!$H$87*(('HIV-Key Info'!$E$87*'HPM costs'!K291)+('HIV-Key Info'!$F$87*('HPM costs'!K294+'HPM costs'!K297)))</f>
        <v>0</v>
      </c>
      <c r="AD466" s="695"/>
      <c r="AE466" s="695">
        <f>'HIV-Key Info'!$H$87*(('HIV-Key Info'!$E$87*'HPM costs'!L291)+('HIV-Key Info'!$F$87*('HPM costs'!L294+'HPM costs'!L297)))</f>
        <v>0</v>
      </c>
      <c r="AF466" s="695"/>
      <c r="AG466" s="695">
        <f>'HIV-Key Info'!$H$87*(('HIV-Key Info'!$E$87*'HPM costs'!M291)+('HIV-Key Info'!$F$87*('HPM costs'!M294+'HPM costs'!M297)))</f>
        <v>0</v>
      </c>
      <c r="AH466" s="695"/>
      <c r="AI466" s="695">
        <f>'HIV-Key Info'!$H$87*(('HIV-Key Info'!$E$87*'HPM costs'!N291)+('HIV-Key Info'!$F$87*('HPM costs'!N294+'HPM costs'!N297)))</f>
        <v>0</v>
      </c>
      <c r="AJ466" s="695"/>
      <c r="AK466" s="1492">
        <f t="shared" si="49"/>
        <v>0</v>
      </c>
      <c r="AL466" s="1493"/>
      <c r="AM466" s="1494"/>
      <c r="AN466" s="699"/>
      <c r="AO466" s="695"/>
      <c r="AP466" s="695">
        <f>'HIV-Key Info'!$H$87*(('HIV-Key Info'!$E$87*'HPM costs'!P291)+('HIV-Key Info'!$F$87*('HPM costs'!P294+'HPM costs'!P297)))</f>
        <v>0</v>
      </c>
      <c r="AQ466" s="695"/>
      <c r="AR466" s="695">
        <f>'HIV-Key Info'!$H$87*(('HIV-Key Info'!$E$87*'HPM costs'!Q291)+('HIV-Key Info'!$F$87*('HPM costs'!Q294+'HPM costs'!Q297)))</f>
        <v>0</v>
      </c>
      <c r="AS466" s="695"/>
      <c r="AT466" s="695">
        <f>'HIV-Key Info'!$H$87*(('HIV-Key Info'!$E$87*'HPM costs'!R291)+('HIV-Key Info'!$F$87*('HPM costs'!R294+'HPM costs'!R297)))</f>
        <v>0</v>
      </c>
      <c r="AU466" s="695"/>
      <c r="AV466" s="695">
        <f>'HIV-Key Info'!$H$87*(('HIV-Key Info'!$E$87*'HPM costs'!S291)+('HIV-Key Info'!$F$87*('HPM costs'!S294+'HPM costs'!S297)))</f>
        <v>0</v>
      </c>
      <c r="AW466" s="695"/>
      <c r="AX466" s="1492">
        <f t="shared" si="50"/>
        <v>0</v>
      </c>
      <c r="AY466" s="1492"/>
      <c r="AZ466" s="698"/>
      <c r="BA466" s="699"/>
      <c r="BB466" s="697"/>
      <c r="BC466" s="697">
        <v>0</v>
      </c>
      <c r="BD466" s="697">
        <v>0</v>
      </c>
      <c r="BE466" s="697">
        <v>0</v>
      </c>
      <c r="BF466" s="697">
        <v>0</v>
      </c>
      <c r="BG466" s="697">
        <v>0</v>
      </c>
      <c r="BH466" s="697">
        <v>0</v>
      </c>
      <c r="BI466" s="697">
        <v>0</v>
      </c>
      <c r="BJ466" s="697">
        <v>0</v>
      </c>
      <c r="BK466" s="1492">
        <f t="shared" si="51"/>
        <v>0</v>
      </c>
      <c r="BL466" s="1492"/>
      <c r="BM466" s="1492">
        <f t="shared" si="52"/>
        <v>0</v>
      </c>
      <c r="BN466" s="1492">
        <f t="shared" si="53"/>
        <v>0</v>
      </c>
      <c r="BO466" s="697"/>
      <c r="BP466" s="697"/>
      <c r="BQ466" s="1495" t="s">
        <v>6939</v>
      </c>
      <c r="BR466" s="1495" t="s">
        <v>818</v>
      </c>
      <c r="BS466" s="1902" t="s">
        <v>655</v>
      </c>
      <c r="BT466" s="1907" t="s">
        <v>2185</v>
      </c>
    </row>
    <row r="467" spans="1:72" ht="13">
      <c r="A467" s="1545">
        <v>1023</v>
      </c>
      <c r="B467" s="1546" t="s">
        <v>800</v>
      </c>
      <c r="C467" s="1546" t="s">
        <v>802</v>
      </c>
      <c r="D467" s="1547" t="s">
        <v>6884</v>
      </c>
      <c r="E467" s="690" t="s">
        <v>668</v>
      </c>
      <c r="F467" s="691"/>
      <c r="G467" s="692"/>
      <c r="H467" s="692"/>
      <c r="I467" s="692"/>
      <c r="J467" s="693"/>
      <c r="K467" s="693"/>
      <c r="L467" s="693"/>
      <c r="M467" s="694"/>
      <c r="N467" s="695"/>
      <c r="O467" s="696" t="s">
        <v>1569</v>
      </c>
      <c r="P467" s="695">
        <f>'HIV-Key Info'!$H$87*(('HIV-Key Info'!$E$87*'HPM costs'!F636)+('HIV-Key Info'!$F$87*('HPM costs'!F639+'HPM costs'!F642)))</f>
        <v>0</v>
      </c>
      <c r="Q467" s="695" t="s">
        <v>1569</v>
      </c>
      <c r="R467" s="695">
        <f>'HIV-Key Info'!$H$87*(('HIV-Key Info'!$E$87*'HPM costs'!G636)+('HIV-Key Info'!$F$87*('HPM costs'!G639+'HPM costs'!G642)))</f>
        <v>0</v>
      </c>
      <c r="S467" s="695" t="s">
        <v>1569</v>
      </c>
      <c r="T467" s="695">
        <f>'HIV-Key Info'!$H$87*(('HIV-Key Info'!$E$87*'HPM costs'!H636)+('HIV-Key Info'!$F$87*('HPM costs'!H639+'HPM costs'!H642)))</f>
        <v>0</v>
      </c>
      <c r="U467" s="695" t="s">
        <v>1569</v>
      </c>
      <c r="V467" s="695">
        <f>'HIV-Key Info'!$H$87*(('HIV-Key Info'!$E$87*'HPM costs'!I636)+('HIV-Key Info'!$F$87*('HPM costs'!I639+'HPM costs'!I642)))</f>
        <v>0</v>
      </c>
      <c r="W467" s="695"/>
      <c r="X467" s="1492">
        <f t="shared" si="48"/>
        <v>0</v>
      </c>
      <c r="Y467" s="1493"/>
      <c r="Z467" s="1494"/>
      <c r="AA467" s="699"/>
      <c r="AB467" s="695"/>
      <c r="AC467" s="695">
        <f>'HIV-Key Info'!$H$87*(('HIV-Key Info'!$E$87*'HPM costs'!K636)+('HIV-Key Info'!$F$87*('HPM costs'!K639+'HPM costs'!K642)))</f>
        <v>0</v>
      </c>
      <c r="AD467" s="695"/>
      <c r="AE467" s="695">
        <f>'HIV-Key Info'!$H$87*(('HIV-Key Info'!$E$87*'HPM costs'!L636)+('HIV-Key Info'!$F$87*('HPM costs'!L639+'HPM costs'!L642)))</f>
        <v>0</v>
      </c>
      <c r="AF467" s="695"/>
      <c r="AG467" s="695">
        <f>'HIV-Key Info'!$H$87*(('HIV-Key Info'!$E$87*'HPM costs'!M636)+('HIV-Key Info'!$F$87*('HPM costs'!M639+'HPM costs'!M642)))</f>
        <v>0</v>
      </c>
      <c r="AH467" s="695"/>
      <c r="AI467" s="695">
        <f>'HIV-Key Info'!$H$87*(('HIV-Key Info'!$E$87*'HPM costs'!N636)+('HIV-Key Info'!$F$87*('HPM costs'!N639+'HPM costs'!N642)))</f>
        <v>0</v>
      </c>
      <c r="AJ467" s="695"/>
      <c r="AK467" s="1492">
        <f t="shared" si="49"/>
        <v>0</v>
      </c>
      <c r="AL467" s="1493"/>
      <c r="AM467" s="1494"/>
      <c r="AN467" s="699"/>
      <c r="AO467" s="695"/>
      <c r="AP467" s="695">
        <f>'HIV-Key Info'!$H$87*(('HIV-Key Info'!$E$87*'HPM costs'!P636)+('HIV-Key Info'!$F$87*('HPM costs'!P639+'HPM costs'!P642)))</f>
        <v>0</v>
      </c>
      <c r="AQ467" s="695"/>
      <c r="AR467" s="695">
        <f>'HIV-Key Info'!$H$87*(('HIV-Key Info'!$E$87*'HPM costs'!Q636)+('HIV-Key Info'!$F$87*('HPM costs'!Q639+'HPM costs'!Q642)))</f>
        <v>0</v>
      </c>
      <c r="AS467" s="695"/>
      <c r="AT467" s="695">
        <f>'HIV-Key Info'!$H$87*(('HIV-Key Info'!$E$87*'HPM costs'!R636)+('HIV-Key Info'!$F$87*('HPM costs'!R639+'HPM costs'!R642)))</f>
        <v>0</v>
      </c>
      <c r="AU467" s="695"/>
      <c r="AV467" s="695">
        <f>'HIV-Key Info'!$H$87*(('HIV-Key Info'!$E$87*'HPM costs'!S636)+('HIV-Key Info'!$F$87*('HPM costs'!S639+'HPM costs'!S642)))</f>
        <v>0</v>
      </c>
      <c r="AW467" s="695"/>
      <c r="AX467" s="1492">
        <f t="shared" si="50"/>
        <v>0</v>
      </c>
      <c r="AY467" s="1492"/>
      <c r="AZ467" s="698"/>
      <c r="BA467" s="699"/>
      <c r="BB467" s="697"/>
      <c r="BC467" s="697">
        <v>0</v>
      </c>
      <c r="BD467" s="697">
        <v>0</v>
      </c>
      <c r="BE467" s="697">
        <v>0</v>
      </c>
      <c r="BF467" s="697">
        <v>0</v>
      </c>
      <c r="BG467" s="697">
        <v>0</v>
      </c>
      <c r="BH467" s="697">
        <v>0</v>
      </c>
      <c r="BI467" s="697">
        <v>0</v>
      </c>
      <c r="BJ467" s="697">
        <v>0</v>
      </c>
      <c r="BK467" s="1492">
        <f t="shared" si="51"/>
        <v>0</v>
      </c>
      <c r="BL467" s="1492"/>
      <c r="BM467" s="1492">
        <f t="shared" si="52"/>
        <v>0</v>
      </c>
      <c r="BN467" s="1492">
        <f t="shared" si="53"/>
        <v>0</v>
      </c>
      <c r="BO467" s="697"/>
      <c r="BP467" s="697"/>
      <c r="BQ467" s="1495" t="s">
        <v>6939</v>
      </c>
      <c r="BR467" s="1495" t="s">
        <v>818</v>
      </c>
      <c r="BS467" s="1902" t="s">
        <v>655</v>
      </c>
      <c r="BT467" s="1907" t="s">
        <v>2186</v>
      </c>
    </row>
    <row r="468" spans="1:72" ht="13">
      <c r="A468" s="1545">
        <v>1024</v>
      </c>
      <c r="B468" s="1546" t="s">
        <v>800</v>
      </c>
      <c r="C468" s="1546" t="s">
        <v>803</v>
      </c>
      <c r="D468" s="1547" t="s">
        <v>6961</v>
      </c>
      <c r="E468" s="690" t="s">
        <v>731</v>
      </c>
      <c r="F468" s="691"/>
      <c r="G468" s="692"/>
      <c r="H468" s="692"/>
      <c r="I468" s="692"/>
      <c r="J468" s="693"/>
      <c r="K468" s="693"/>
      <c r="L468" s="693"/>
      <c r="M468" s="694"/>
      <c r="N468" s="695"/>
      <c r="O468" s="696" t="s">
        <v>1569</v>
      </c>
      <c r="P468" s="695">
        <f>'HIV-Key Info'!$I$87*('HIV-Key Info'!$E$87*('HPM costs'!F551/'HPM costs'!$E$551)+'HIV-Key Info'!$F$87*('HPM costs'!F557/'HPM costs'!$E$557+'HPM costs'!F554/'HPM costs'!$E$554))</f>
        <v>0</v>
      </c>
      <c r="Q468" s="695" t="s">
        <v>1569</v>
      </c>
      <c r="R468" s="695">
        <f>'HIV-Key Info'!$I$87*('HIV-Key Info'!$E$87*('HPM costs'!G551/'HPM costs'!$E$551)+'HIV-Key Info'!$F$87*('HPM costs'!G557/'HPM costs'!$E$557+'HPM costs'!G554/'HPM costs'!$E$554))</f>
        <v>0</v>
      </c>
      <c r="S468" s="695" t="s">
        <v>1569</v>
      </c>
      <c r="T468" s="695">
        <f>'HIV-Key Info'!$I$87*('HIV-Key Info'!$E$87*('HPM costs'!H551/'HPM costs'!$E$551)+'HIV-Key Info'!$F$87*('HPM costs'!H557/'HPM costs'!$E$557+'HPM costs'!H554/'HPM costs'!$E$554))</f>
        <v>0</v>
      </c>
      <c r="U468" s="695" t="s">
        <v>1569</v>
      </c>
      <c r="V468" s="695">
        <f>'HIV-Key Info'!$I$87*('HIV-Key Info'!$E$87*('HPM costs'!I551/'HPM costs'!$E$551)+'HIV-Key Info'!$F$87*('HPM costs'!I557/'HPM costs'!$E$557+'HPM costs'!I554/'HPM costs'!$E$554))</f>
        <v>0</v>
      </c>
      <c r="W468" s="695"/>
      <c r="X468" s="1492">
        <f t="shared" si="48"/>
        <v>0</v>
      </c>
      <c r="Y468" s="1493"/>
      <c r="Z468" s="1494"/>
      <c r="AA468" s="699"/>
      <c r="AB468" s="695"/>
      <c r="AC468" s="695">
        <f>'HIV-Key Info'!$I$87*('HIV-Key Info'!$E$87*('HPM costs'!K551/'HPM costs'!$E$551)+'HIV-Key Info'!$F$87*('HPM costs'!K557/'HPM costs'!$E$557+'HPM costs'!K554/'HPM costs'!$E$554))</f>
        <v>0</v>
      </c>
      <c r="AD468" s="695"/>
      <c r="AE468" s="695">
        <f>'HIV-Key Info'!$I$87*('HIV-Key Info'!$E$87*('HPM costs'!L551/'HPM costs'!$E$551)+'HIV-Key Info'!$F$87*('HPM costs'!L557/'HPM costs'!$E$557+'HPM costs'!L554/'HPM costs'!$E$554))</f>
        <v>0</v>
      </c>
      <c r="AF468" s="695"/>
      <c r="AG468" s="695">
        <f>'HIV-Key Info'!$I$87*('HIV-Key Info'!$E$87*('HPM costs'!M551/'HPM costs'!$E$551)+'HIV-Key Info'!$F$87*('HPM costs'!M557/'HPM costs'!$E$557+'HPM costs'!M554/'HPM costs'!$E$554))</f>
        <v>0</v>
      </c>
      <c r="AH468" s="695"/>
      <c r="AI468" s="695">
        <f>'HIV-Key Info'!$I$87*('HIV-Key Info'!$E$87*('HPM costs'!N551/'HPM costs'!$E$551)+'HIV-Key Info'!$F$87*('HPM costs'!N557/'HPM costs'!$E$557+'HPM costs'!N554/'HPM costs'!$E$554))</f>
        <v>0</v>
      </c>
      <c r="AJ468" s="695"/>
      <c r="AK468" s="1492">
        <f t="shared" si="49"/>
        <v>0</v>
      </c>
      <c r="AL468" s="1493"/>
      <c r="AM468" s="1494"/>
      <c r="AN468" s="699"/>
      <c r="AO468" s="695"/>
      <c r="AP468" s="695">
        <f>'HIV-Key Info'!$I$87*('HIV-Key Info'!$E$87*('HPM costs'!P551/'HPM costs'!$E$551)+'HIV-Key Info'!$F$87*('HPM costs'!P557/'HPM costs'!$E$557+'HPM costs'!P554/'HPM costs'!$E$554))</f>
        <v>0</v>
      </c>
      <c r="AQ468" s="695"/>
      <c r="AR468" s="695">
        <f>'HIV-Key Info'!$I$87*('HIV-Key Info'!$E$87*('HPM costs'!Q551/'HPM costs'!$E$551)+'HIV-Key Info'!$F$87*('HPM costs'!Q557/'HPM costs'!$E$557+'HPM costs'!Q554/'HPM costs'!$E$554))</f>
        <v>0</v>
      </c>
      <c r="AS468" s="695"/>
      <c r="AT468" s="695">
        <f>'HIV-Key Info'!$I$87*('HIV-Key Info'!$E$87*('HPM costs'!R551/'HPM costs'!$E$551)+'HIV-Key Info'!$F$87*('HPM costs'!R557/'HPM costs'!$E$557+'HPM costs'!R554/'HPM costs'!$E$554))</f>
        <v>0</v>
      </c>
      <c r="AU468" s="695"/>
      <c r="AV468" s="695">
        <f>'HIV-Key Info'!$I$87*('HIV-Key Info'!$E$87*('HPM costs'!S551/'HPM costs'!$E$551)+'HIV-Key Info'!$F$87*('HPM costs'!S557/'HPM costs'!$E$557+'HPM costs'!S554/'HPM costs'!$E$554))</f>
        <v>0</v>
      </c>
      <c r="AW468" s="695"/>
      <c r="AX468" s="1492">
        <f t="shared" si="50"/>
        <v>0</v>
      </c>
      <c r="AY468" s="1492"/>
      <c r="AZ468" s="698"/>
      <c r="BA468" s="699"/>
      <c r="BB468" s="697"/>
      <c r="BC468" s="697">
        <v>0</v>
      </c>
      <c r="BD468" s="697">
        <v>0</v>
      </c>
      <c r="BE468" s="697">
        <v>0</v>
      </c>
      <c r="BF468" s="697">
        <v>0</v>
      </c>
      <c r="BG468" s="697">
        <v>0</v>
      </c>
      <c r="BH468" s="697">
        <v>0</v>
      </c>
      <c r="BI468" s="697">
        <v>0</v>
      </c>
      <c r="BJ468" s="697">
        <v>0</v>
      </c>
      <c r="BK468" s="1492">
        <f t="shared" si="51"/>
        <v>0</v>
      </c>
      <c r="BL468" s="1492"/>
      <c r="BM468" s="1492">
        <f t="shared" si="52"/>
        <v>0</v>
      </c>
      <c r="BN468" s="1492">
        <f t="shared" si="53"/>
        <v>0</v>
      </c>
      <c r="BO468" s="697"/>
      <c r="BP468" s="697"/>
      <c r="BQ468" s="1495" t="s">
        <v>6939</v>
      </c>
      <c r="BR468" s="1495" t="s">
        <v>818</v>
      </c>
      <c r="BS468" s="1902" t="s">
        <v>6953</v>
      </c>
      <c r="BT468" s="1907" t="s">
        <v>2187</v>
      </c>
    </row>
    <row r="469" spans="1:72" ht="13">
      <c r="A469" s="1545">
        <v>1025</v>
      </c>
      <c r="B469" s="1546" t="s">
        <v>800</v>
      </c>
      <c r="C469" s="1546" t="s">
        <v>803</v>
      </c>
      <c r="D469" s="1547" t="s">
        <v>6884</v>
      </c>
      <c r="E469" s="690" t="s">
        <v>656</v>
      </c>
      <c r="F469" s="691"/>
      <c r="G469" s="692"/>
      <c r="H469" s="692"/>
      <c r="I469" s="692"/>
      <c r="J469" s="693"/>
      <c r="K469" s="693"/>
      <c r="L469" s="693"/>
      <c r="M469" s="694"/>
      <c r="N469" s="695"/>
      <c r="O469" s="696" t="s">
        <v>1569</v>
      </c>
      <c r="P469" s="695">
        <f>'HIV-Key Info'!$I$87*(('HIV-Key Info'!$E$87*'HPM costs'!F33)+('HIV-Key Info'!$F$87*('HPM costs'!F36+'HPM costs'!F39)))</f>
        <v>0</v>
      </c>
      <c r="Q469" s="695" t="s">
        <v>1569</v>
      </c>
      <c r="R469" s="695">
        <f>'HIV-Key Info'!$I$87*(('HIV-Key Info'!$E$87*'HPM costs'!G33)+('HIV-Key Info'!$F$87*('HPM costs'!G36+'HPM costs'!G39)))</f>
        <v>0</v>
      </c>
      <c r="S469" s="695" t="s">
        <v>1569</v>
      </c>
      <c r="T469" s="695">
        <f>'HIV-Key Info'!$I$87*(('HIV-Key Info'!$E$87*'HPM costs'!H33)+('HIV-Key Info'!$F$87*('HPM costs'!H36+'HPM costs'!H39)))</f>
        <v>0</v>
      </c>
      <c r="U469" s="695" t="s">
        <v>1569</v>
      </c>
      <c r="V469" s="695">
        <f>'HIV-Key Info'!$I$87*(('HIV-Key Info'!$E$87*'HPM costs'!I33)+('HIV-Key Info'!$F$87*('HPM costs'!I36+'HPM costs'!I39)))</f>
        <v>0</v>
      </c>
      <c r="W469" s="695"/>
      <c r="X469" s="1492">
        <f t="shared" si="48"/>
        <v>0</v>
      </c>
      <c r="Y469" s="1493"/>
      <c r="Z469" s="1494"/>
      <c r="AA469" s="699"/>
      <c r="AB469" s="695"/>
      <c r="AC469" s="695">
        <f>'HIV-Key Info'!$I$87*(('HIV-Key Info'!$E$87*'HPM costs'!K33)+('HIV-Key Info'!$F$87*('HPM costs'!K36+'HPM costs'!K39)))</f>
        <v>0</v>
      </c>
      <c r="AD469" s="695"/>
      <c r="AE469" s="695">
        <f>'HIV-Key Info'!$I$87*(('HIV-Key Info'!$E$87*'HPM costs'!L33)+('HIV-Key Info'!$F$87*('HPM costs'!L36+'HPM costs'!L39)))</f>
        <v>0</v>
      </c>
      <c r="AF469" s="695"/>
      <c r="AG469" s="695">
        <f>'HIV-Key Info'!$I$87*(('HIV-Key Info'!$E$87*'HPM costs'!M33)+('HIV-Key Info'!$F$87*('HPM costs'!M36+'HPM costs'!M39)))</f>
        <v>0</v>
      </c>
      <c r="AH469" s="695"/>
      <c r="AI469" s="695">
        <f>'HIV-Key Info'!$I$87*(('HIV-Key Info'!$E$87*'HPM costs'!N33)+('HIV-Key Info'!$F$87*('HPM costs'!N36+'HPM costs'!N39)))</f>
        <v>0</v>
      </c>
      <c r="AJ469" s="695"/>
      <c r="AK469" s="1492">
        <f t="shared" si="49"/>
        <v>0</v>
      </c>
      <c r="AL469" s="1493"/>
      <c r="AM469" s="1494"/>
      <c r="AN469" s="699"/>
      <c r="AO469" s="695"/>
      <c r="AP469" s="695">
        <f>'HIV-Key Info'!$I$87*(('HIV-Key Info'!$E$87*'HPM costs'!P33)+('HIV-Key Info'!$F$87*('HPM costs'!P36+'HPM costs'!P39)))</f>
        <v>0</v>
      </c>
      <c r="AQ469" s="695"/>
      <c r="AR469" s="695">
        <f>'HIV-Key Info'!$I$87*(('HIV-Key Info'!$E$87*'HPM costs'!Q33)+('HIV-Key Info'!$F$87*('HPM costs'!Q36+'HPM costs'!Q39)))</f>
        <v>0</v>
      </c>
      <c r="AS469" s="695"/>
      <c r="AT469" s="695">
        <f>'HIV-Key Info'!$I$87*(('HIV-Key Info'!$E$87*'HPM costs'!R33)+('HIV-Key Info'!$F$87*('HPM costs'!R36+'HPM costs'!R39)))</f>
        <v>0</v>
      </c>
      <c r="AU469" s="695"/>
      <c r="AV469" s="695">
        <f>'HIV-Key Info'!$I$87*(('HIV-Key Info'!$E$87*'HPM costs'!S33)+('HIV-Key Info'!$F$87*('HPM costs'!S36+'HPM costs'!S39)))</f>
        <v>0</v>
      </c>
      <c r="AW469" s="695"/>
      <c r="AX469" s="1492">
        <f t="shared" si="50"/>
        <v>0</v>
      </c>
      <c r="AY469" s="1492"/>
      <c r="AZ469" s="698"/>
      <c r="BA469" s="699"/>
      <c r="BB469" s="697"/>
      <c r="BC469" s="697">
        <v>0</v>
      </c>
      <c r="BD469" s="697">
        <v>0</v>
      </c>
      <c r="BE469" s="697">
        <v>0</v>
      </c>
      <c r="BF469" s="697">
        <v>0</v>
      </c>
      <c r="BG469" s="697">
        <v>0</v>
      </c>
      <c r="BH469" s="697">
        <v>0</v>
      </c>
      <c r="BI469" s="697">
        <v>0</v>
      </c>
      <c r="BJ469" s="697">
        <v>0</v>
      </c>
      <c r="BK469" s="1492">
        <f t="shared" si="51"/>
        <v>0</v>
      </c>
      <c r="BL469" s="1492"/>
      <c r="BM469" s="1492">
        <f t="shared" si="52"/>
        <v>0</v>
      </c>
      <c r="BN469" s="1492">
        <f t="shared" si="53"/>
        <v>0</v>
      </c>
      <c r="BO469" s="697"/>
      <c r="BP469" s="697"/>
      <c r="BQ469" s="1495" t="s">
        <v>6939</v>
      </c>
      <c r="BR469" s="1495" t="s">
        <v>818</v>
      </c>
      <c r="BS469" s="1902" t="s">
        <v>655</v>
      </c>
      <c r="BT469" s="1907" t="s">
        <v>2188</v>
      </c>
    </row>
    <row r="470" spans="1:72" ht="13">
      <c r="A470" s="1545">
        <v>1026</v>
      </c>
      <c r="B470" s="1546" t="s">
        <v>800</v>
      </c>
      <c r="C470" s="1546" t="s">
        <v>803</v>
      </c>
      <c r="D470" s="1547" t="s">
        <v>6884</v>
      </c>
      <c r="E470" s="690" t="s">
        <v>658</v>
      </c>
      <c r="F470" s="691"/>
      <c r="G470" s="692"/>
      <c r="H470" s="692"/>
      <c r="I470" s="692"/>
      <c r="J470" s="693"/>
      <c r="K470" s="693"/>
      <c r="L470" s="693"/>
      <c r="M470" s="694"/>
      <c r="N470" s="695"/>
      <c r="O470" s="696" t="s">
        <v>1569</v>
      </c>
      <c r="P470" s="695">
        <f>'HIV-Key Info'!$I$87*(('HIV-Key Info'!$E$87*'HPM costs'!F119)+('HIV-Key Info'!$F$87*('HPM costs'!F122+'HPM costs'!F125)))</f>
        <v>0</v>
      </c>
      <c r="Q470" s="695" t="s">
        <v>1569</v>
      </c>
      <c r="R470" s="695">
        <f>'HIV-Key Info'!$I$87*(('HIV-Key Info'!$E$87*'HPM costs'!G119)+('HIV-Key Info'!$F$87*('HPM costs'!G122+'HPM costs'!G125)))</f>
        <v>0</v>
      </c>
      <c r="S470" s="695" t="s">
        <v>1569</v>
      </c>
      <c r="T470" s="695">
        <f>'HIV-Key Info'!$I$87*(('HIV-Key Info'!$E$87*'HPM costs'!H119)+('HIV-Key Info'!$F$87*('HPM costs'!H122+'HPM costs'!H125)))</f>
        <v>0</v>
      </c>
      <c r="U470" s="695" t="s">
        <v>1569</v>
      </c>
      <c r="V470" s="695">
        <f>'HIV-Key Info'!$I$87*(('HIV-Key Info'!$E$87*'HPM costs'!I119)+('HIV-Key Info'!$F$87*('HPM costs'!I122+'HPM costs'!I125)))</f>
        <v>0</v>
      </c>
      <c r="W470" s="695"/>
      <c r="X470" s="1492">
        <f t="shared" si="48"/>
        <v>0</v>
      </c>
      <c r="Y470" s="1493"/>
      <c r="Z470" s="1494"/>
      <c r="AA470" s="699"/>
      <c r="AB470" s="695"/>
      <c r="AC470" s="695">
        <f>'HIV-Key Info'!$I$87*(('HIV-Key Info'!$E$87*'HPM costs'!K119)+('HIV-Key Info'!$F$87*('HPM costs'!K122+'HPM costs'!K125)))</f>
        <v>0</v>
      </c>
      <c r="AD470" s="695"/>
      <c r="AE470" s="695">
        <f>'HIV-Key Info'!$I$87*(('HIV-Key Info'!$E$87*'HPM costs'!L119)+('HIV-Key Info'!$F$87*('HPM costs'!L122+'HPM costs'!L125)))</f>
        <v>0</v>
      </c>
      <c r="AF470" s="695"/>
      <c r="AG470" s="695">
        <f>'HIV-Key Info'!$I$87*(('HIV-Key Info'!$E$87*'HPM costs'!M119)+('HIV-Key Info'!$F$87*('HPM costs'!M122+'HPM costs'!M125)))</f>
        <v>0</v>
      </c>
      <c r="AH470" s="695"/>
      <c r="AI470" s="695">
        <f>'HIV-Key Info'!$I$87*(('HIV-Key Info'!$E$87*'HPM costs'!N119)+('HIV-Key Info'!$F$87*('HPM costs'!N122+'HPM costs'!N125)))</f>
        <v>0</v>
      </c>
      <c r="AJ470" s="695"/>
      <c r="AK470" s="1492">
        <f t="shared" si="49"/>
        <v>0</v>
      </c>
      <c r="AL470" s="1493"/>
      <c r="AM470" s="1494"/>
      <c r="AN470" s="699"/>
      <c r="AO470" s="695"/>
      <c r="AP470" s="695">
        <f>'HIV-Key Info'!$I$87*(('HIV-Key Info'!$E$87*'HPM costs'!P119)+('HIV-Key Info'!$F$87*('HPM costs'!P122+'HPM costs'!P125)))</f>
        <v>0</v>
      </c>
      <c r="AQ470" s="695"/>
      <c r="AR470" s="695">
        <f>'HIV-Key Info'!$I$87*(('HIV-Key Info'!$E$87*'HPM costs'!Q119)+('HIV-Key Info'!$F$87*('HPM costs'!Q122+'HPM costs'!Q125)))</f>
        <v>0</v>
      </c>
      <c r="AS470" s="695"/>
      <c r="AT470" s="695">
        <f>'HIV-Key Info'!$I$87*(('HIV-Key Info'!$E$87*'HPM costs'!R119)+('HIV-Key Info'!$F$87*('HPM costs'!R122+'HPM costs'!R125)))</f>
        <v>0</v>
      </c>
      <c r="AU470" s="695"/>
      <c r="AV470" s="695">
        <f>'HIV-Key Info'!$I$87*(('HIV-Key Info'!$E$87*'HPM costs'!S119)+('HIV-Key Info'!$F$87*('HPM costs'!S122+'HPM costs'!S125)))</f>
        <v>0</v>
      </c>
      <c r="AW470" s="695"/>
      <c r="AX470" s="1492">
        <f t="shared" si="50"/>
        <v>0</v>
      </c>
      <c r="AY470" s="1492"/>
      <c r="AZ470" s="698"/>
      <c r="BA470" s="699"/>
      <c r="BB470" s="697"/>
      <c r="BC470" s="697">
        <v>0</v>
      </c>
      <c r="BD470" s="697">
        <v>0</v>
      </c>
      <c r="BE470" s="697">
        <v>0</v>
      </c>
      <c r="BF470" s="697">
        <v>0</v>
      </c>
      <c r="BG470" s="697">
        <v>0</v>
      </c>
      <c r="BH470" s="697">
        <v>0</v>
      </c>
      <c r="BI470" s="697">
        <v>0</v>
      </c>
      <c r="BJ470" s="697">
        <v>0</v>
      </c>
      <c r="BK470" s="1492">
        <f t="shared" si="51"/>
        <v>0</v>
      </c>
      <c r="BL470" s="1492"/>
      <c r="BM470" s="1492">
        <f t="shared" si="52"/>
        <v>0</v>
      </c>
      <c r="BN470" s="1492">
        <f t="shared" si="53"/>
        <v>0</v>
      </c>
      <c r="BO470" s="697"/>
      <c r="BP470" s="697"/>
      <c r="BQ470" s="1495" t="s">
        <v>6939</v>
      </c>
      <c r="BR470" s="1495" t="s">
        <v>818</v>
      </c>
      <c r="BS470" s="1902" t="s">
        <v>655</v>
      </c>
      <c r="BT470" s="1907" t="s">
        <v>2189</v>
      </c>
    </row>
    <row r="471" spans="1:72" ht="13">
      <c r="A471" s="1545">
        <v>1027</v>
      </c>
      <c r="B471" s="1546" t="s">
        <v>800</v>
      </c>
      <c r="C471" s="1546" t="s">
        <v>803</v>
      </c>
      <c r="D471" s="1547" t="s">
        <v>6884</v>
      </c>
      <c r="E471" s="690" t="s">
        <v>660</v>
      </c>
      <c r="F471" s="691"/>
      <c r="G471" s="692"/>
      <c r="H471" s="692"/>
      <c r="I471" s="692"/>
      <c r="J471" s="693"/>
      <c r="K471" s="693"/>
      <c r="L471" s="693"/>
      <c r="M471" s="694"/>
      <c r="N471" s="695"/>
      <c r="O471" s="696" t="s">
        <v>1569</v>
      </c>
      <c r="P471" s="695">
        <f>'HIV-Key Info'!$I$87*(('HIV-Key Info'!$E$87*'HPM costs'!F379)+('HIV-Key Info'!$F$87*('HPM costs'!F382+'HPM costs'!F385)))</f>
        <v>0</v>
      </c>
      <c r="Q471" s="695" t="s">
        <v>1569</v>
      </c>
      <c r="R471" s="695">
        <f>'HIV-Key Info'!$I$87*(('HIV-Key Info'!$E$87*'HPM costs'!G379)+('HIV-Key Info'!$F$87*('HPM costs'!G382+'HPM costs'!G385)))</f>
        <v>0</v>
      </c>
      <c r="S471" s="695" t="s">
        <v>1569</v>
      </c>
      <c r="T471" s="695">
        <f>'HIV-Key Info'!$I$87*(('HIV-Key Info'!$E$87*'HPM costs'!H379)+('HIV-Key Info'!$F$87*('HPM costs'!H382+'HPM costs'!H385)))</f>
        <v>0</v>
      </c>
      <c r="U471" s="695" t="s">
        <v>1569</v>
      </c>
      <c r="V471" s="695">
        <f>'HIV-Key Info'!$I$87*(('HIV-Key Info'!$E$87*'HPM costs'!I379)+('HIV-Key Info'!$F$87*('HPM costs'!I382+'HPM costs'!I385)))</f>
        <v>0</v>
      </c>
      <c r="W471" s="695"/>
      <c r="X471" s="1492">
        <f t="shared" si="48"/>
        <v>0</v>
      </c>
      <c r="Y471" s="1493"/>
      <c r="Z471" s="1494"/>
      <c r="AA471" s="699"/>
      <c r="AB471" s="695"/>
      <c r="AC471" s="695">
        <f>'HIV-Key Info'!$I$87*(('HIV-Key Info'!$E$87*'HPM costs'!K379)+('HIV-Key Info'!$F$87*('HPM costs'!K382+'HPM costs'!K385)))</f>
        <v>0</v>
      </c>
      <c r="AD471" s="695"/>
      <c r="AE471" s="695">
        <f>'HIV-Key Info'!$I$87*(('HIV-Key Info'!$E$87*'HPM costs'!L379)+('HIV-Key Info'!$F$87*('HPM costs'!L382+'HPM costs'!L385)))</f>
        <v>0</v>
      </c>
      <c r="AF471" s="695"/>
      <c r="AG471" s="695">
        <f>'HIV-Key Info'!$I$87*(('HIV-Key Info'!$E$87*'HPM costs'!M379)+('HIV-Key Info'!$F$87*('HPM costs'!M382+'HPM costs'!M385)))</f>
        <v>0</v>
      </c>
      <c r="AH471" s="695"/>
      <c r="AI471" s="695">
        <f>'HIV-Key Info'!$I$87*(('HIV-Key Info'!$E$87*'HPM costs'!N379)+('HIV-Key Info'!$F$87*('HPM costs'!N382+'HPM costs'!N385)))</f>
        <v>0</v>
      </c>
      <c r="AJ471" s="695"/>
      <c r="AK471" s="1492">
        <f t="shared" si="49"/>
        <v>0</v>
      </c>
      <c r="AL471" s="1493"/>
      <c r="AM471" s="1494"/>
      <c r="AN471" s="699"/>
      <c r="AO471" s="695"/>
      <c r="AP471" s="695">
        <f>'HIV-Key Info'!$I$87*(('HIV-Key Info'!$E$87*'HPM costs'!P379)+('HIV-Key Info'!$F$87*('HPM costs'!P382+'HPM costs'!P385)))</f>
        <v>0</v>
      </c>
      <c r="AQ471" s="695"/>
      <c r="AR471" s="695">
        <f>'HIV-Key Info'!$I$87*(('HIV-Key Info'!$E$87*'HPM costs'!Q379)+('HIV-Key Info'!$F$87*('HPM costs'!Q382+'HPM costs'!Q385)))</f>
        <v>0</v>
      </c>
      <c r="AS471" s="695"/>
      <c r="AT471" s="695">
        <f>'HIV-Key Info'!$I$87*(('HIV-Key Info'!$E$87*'HPM costs'!R379)+('HIV-Key Info'!$F$87*('HPM costs'!R382+'HPM costs'!R385)))</f>
        <v>0</v>
      </c>
      <c r="AU471" s="695"/>
      <c r="AV471" s="695">
        <f>'HIV-Key Info'!$I$87*(('HIV-Key Info'!$E$87*'HPM costs'!S379)+('HIV-Key Info'!$F$87*('HPM costs'!S382+'HPM costs'!S385)))</f>
        <v>0</v>
      </c>
      <c r="AW471" s="695"/>
      <c r="AX471" s="1492">
        <f t="shared" si="50"/>
        <v>0</v>
      </c>
      <c r="AY471" s="1492"/>
      <c r="AZ471" s="698"/>
      <c r="BA471" s="699"/>
      <c r="BB471" s="697"/>
      <c r="BC471" s="697">
        <v>0</v>
      </c>
      <c r="BD471" s="697">
        <v>0</v>
      </c>
      <c r="BE471" s="697">
        <v>0</v>
      </c>
      <c r="BF471" s="697">
        <v>0</v>
      </c>
      <c r="BG471" s="697">
        <v>0</v>
      </c>
      <c r="BH471" s="697">
        <v>0</v>
      </c>
      <c r="BI471" s="697">
        <v>0</v>
      </c>
      <c r="BJ471" s="697">
        <v>0</v>
      </c>
      <c r="BK471" s="1492">
        <f t="shared" si="51"/>
        <v>0</v>
      </c>
      <c r="BL471" s="1492"/>
      <c r="BM471" s="1492">
        <f t="shared" si="52"/>
        <v>0</v>
      </c>
      <c r="BN471" s="1492">
        <f t="shared" si="53"/>
        <v>0</v>
      </c>
      <c r="BO471" s="697"/>
      <c r="BP471" s="697"/>
      <c r="BQ471" s="1495" t="s">
        <v>6939</v>
      </c>
      <c r="BR471" s="1495" t="s">
        <v>818</v>
      </c>
      <c r="BS471" s="1902" t="s">
        <v>655</v>
      </c>
      <c r="BT471" s="1907" t="s">
        <v>2190</v>
      </c>
    </row>
    <row r="472" spans="1:72" ht="13">
      <c r="A472" s="1545">
        <v>1028</v>
      </c>
      <c r="B472" s="1546" t="s">
        <v>800</v>
      </c>
      <c r="C472" s="1546" t="s">
        <v>803</v>
      </c>
      <c r="D472" s="1547" t="s">
        <v>6884</v>
      </c>
      <c r="E472" s="690" t="s">
        <v>662</v>
      </c>
      <c r="F472" s="691"/>
      <c r="G472" s="692"/>
      <c r="H472" s="692"/>
      <c r="I472" s="692"/>
      <c r="J472" s="693"/>
      <c r="K472" s="693"/>
      <c r="L472" s="693"/>
      <c r="M472" s="694"/>
      <c r="N472" s="695"/>
      <c r="O472" s="696" t="s">
        <v>1569</v>
      </c>
      <c r="P472" s="695">
        <f>'HIV-Key Info'!$I$87*(('HIV-Key Info'!$E$87*'HPM costs'!F465)+('HIV-Key Info'!$F$87*('HPM costs'!F468+'HPM costs'!F471)))</f>
        <v>0</v>
      </c>
      <c r="Q472" s="695" t="s">
        <v>1569</v>
      </c>
      <c r="R472" s="695">
        <f>'HIV-Key Info'!$I$87*(('HIV-Key Info'!$E$87*'HPM costs'!G465)+('HIV-Key Info'!$F$87*('HPM costs'!G468+'HPM costs'!G471)))</f>
        <v>0</v>
      </c>
      <c r="S472" s="695" t="s">
        <v>1569</v>
      </c>
      <c r="T472" s="695">
        <f>'HIV-Key Info'!$I$87*(('HIV-Key Info'!$E$87*'HPM costs'!H465)+('HIV-Key Info'!$F$87*('HPM costs'!H468+'HPM costs'!H471)))</f>
        <v>0</v>
      </c>
      <c r="U472" s="695" t="s">
        <v>1569</v>
      </c>
      <c r="V472" s="695">
        <f>'HIV-Key Info'!$I$87*(('HIV-Key Info'!$E$87*'HPM costs'!I465)+('HIV-Key Info'!$F$87*('HPM costs'!I468+'HPM costs'!I471)))</f>
        <v>0</v>
      </c>
      <c r="W472" s="695"/>
      <c r="X472" s="1492">
        <f t="shared" si="48"/>
        <v>0</v>
      </c>
      <c r="Y472" s="1493"/>
      <c r="Z472" s="1494"/>
      <c r="AA472" s="699"/>
      <c r="AB472" s="695"/>
      <c r="AC472" s="695">
        <f>'HIV-Key Info'!$I$87*(('HIV-Key Info'!$E$87*'HPM costs'!K465)+('HIV-Key Info'!$F$87*('HPM costs'!K468+'HPM costs'!K471)))</f>
        <v>0</v>
      </c>
      <c r="AD472" s="695"/>
      <c r="AE472" s="695">
        <f>'HIV-Key Info'!$I$87*(('HIV-Key Info'!$E$87*'HPM costs'!L465)+('HIV-Key Info'!$F$87*('HPM costs'!L468+'HPM costs'!L471)))</f>
        <v>0</v>
      </c>
      <c r="AF472" s="695"/>
      <c r="AG472" s="695">
        <f>'HIV-Key Info'!$I$87*(('HIV-Key Info'!$E$87*'HPM costs'!M465)+('HIV-Key Info'!$F$87*('HPM costs'!M468+'HPM costs'!M471)))</f>
        <v>0</v>
      </c>
      <c r="AH472" s="695"/>
      <c r="AI472" s="695">
        <f>'HIV-Key Info'!$I$87*(('HIV-Key Info'!$E$87*'HPM costs'!N465)+('HIV-Key Info'!$F$87*('HPM costs'!N468+'HPM costs'!N471)))</f>
        <v>0</v>
      </c>
      <c r="AJ472" s="695"/>
      <c r="AK472" s="1492">
        <f t="shared" si="49"/>
        <v>0</v>
      </c>
      <c r="AL472" s="1493"/>
      <c r="AM472" s="1494"/>
      <c r="AN472" s="699"/>
      <c r="AO472" s="695"/>
      <c r="AP472" s="695">
        <f>'HIV-Key Info'!$I$87*(('HIV-Key Info'!$E$87*'HPM costs'!P465)+('HIV-Key Info'!$F$87*('HPM costs'!P468+'HPM costs'!P471)))</f>
        <v>0</v>
      </c>
      <c r="AQ472" s="695"/>
      <c r="AR472" s="695">
        <f>'HIV-Key Info'!$I$87*(('HIV-Key Info'!$E$87*'HPM costs'!Q465)+('HIV-Key Info'!$F$87*('HPM costs'!Q468+'HPM costs'!Q471)))</f>
        <v>0</v>
      </c>
      <c r="AS472" s="695"/>
      <c r="AT472" s="695">
        <f>'HIV-Key Info'!$I$87*(('HIV-Key Info'!$E$87*'HPM costs'!R465)+('HIV-Key Info'!$F$87*('HPM costs'!R468+'HPM costs'!R471)))</f>
        <v>0</v>
      </c>
      <c r="AU472" s="695"/>
      <c r="AV472" s="695">
        <f>'HIV-Key Info'!$I$87*(('HIV-Key Info'!$E$87*'HPM costs'!S465)+('HIV-Key Info'!$F$87*('HPM costs'!S468+'HPM costs'!S471)))</f>
        <v>0</v>
      </c>
      <c r="AW472" s="695"/>
      <c r="AX472" s="1492">
        <f t="shared" si="50"/>
        <v>0</v>
      </c>
      <c r="AY472" s="1492"/>
      <c r="AZ472" s="698"/>
      <c r="BA472" s="699"/>
      <c r="BB472" s="697"/>
      <c r="BC472" s="697">
        <v>0</v>
      </c>
      <c r="BD472" s="697">
        <v>0</v>
      </c>
      <c r="BE472" s="697">
        <v>0</v>
      </c>
      <c r="BF472" s="697">
        <v>0</v>
      </c>
      <c r="BG472" s="697">
        <v>0</v>
      </c>
      <c r="BH472" s="697">
        <v>0</v>
      </c>
      <c r="BI472" s="697">
        <v>0</v>
      </c>
      <c r="BJ472" s="697">
        <v>0</v>
      </c>
      <c r="BK472" s="1492">
        <f t="shared" si="51"/>
        <v>0</v>
      </c>
      <c r="BL472" s="1492"/>
      <c r="BM472" s="1492">
        <f t="shared" si="52"/>
        <v>0</v>
      </c>
      <c r="BN472" s="1492">
        <f t="shared" si="53"/>
        <v>0</v>
      </c>
      <c r="BO472" s="697"/>
      <c r="BP472" s="697"/>
      <c r="BQ472" s="1495" t="s">
        <v>6939</v>
      </c>
      <c r="BR472" s="1495" t="s">
        <v>818</v>
      </c>
      <c r="BS472" s="1902" t="s">
        <v>655</v>
      </c>
      <c r="BT472" s="1907" t="s">
        <v>2191</v>
      </c>
    </row>
    <row r="473" spans="1:72" ht="13">
      <c r="A473" s="1545">
        <v>1029</v>
      </c>
      <c r="B473" s="1546" t="s">
        <v>800</v>
      </c>
      <c r="C473" s="1546" t="s">
        <v>803</v>
      </c>
      <c r="D473" s="1547" t="s">
        <v>6884</v>
      </c>
      <c r="E473" s="690" t="s">
        <v>664</v>
      </c>
      <c r="F473" s="691"/>
      <c r="G473" s="692"/>
      <c r="H473" s="692"/>
      <c r="I473" s="692"/>
      <c r="J473" s="693"/>
      <c r="K473" s="693"/>
      <c r="L473" s="693"/>
      <c r="M473" s="694"/>
      <c r="N473" s="695"/>
      <c r="O473" s="696" t="s">
        <v>1569</v>
      </c>
      <c r="P473" s="695">
        <f>'HIV-Key Info'!$I$87*(('HIV-Key Info'!$E$87*('HPM costs'!F205+'HPM costs'!F551))+('HIV-Key Info'!$F$87*('HPM costs'!F208+'HPM costs'!F211+'HPM costs'!F554+'HPM costs'!F557)))</f>
        <v>0</v>
      </c>
      <c r="Q473" s="695" t="s">
        <v>1569</v>
      </c>
      <c r="R473" s="695">
        <f>'HIV-Key Info'!$I$87*(('HIV-Key Info'!$E$87*('HPM costs'!G205+'HPM costs'!G551))+('HIV-Key Info'!$F$87*('HPM costs'!G208+'HPM costs'!G211+'HPM costs'!G554+'HPM costs'!G557)))</f>
        <v>0</v>
      </c>
      <c r="S473" s="695" t="s">
        <v>1569</v>
      </c>
      <c r="T473" s="695">
        <f>'HIV-Key Info'!$I$87*(('HIV-Key Info'!$E$87*('HPM costs'!H205+'HPM costs'!H551))+('HIV-Key Info'!$F$87*('HPM costs'!H208+'HPM costs'!H211+'HPM costs'!H554+'HPM costs'!H557)))</f>
        <v>0</v>
      </c>
      <c r="U473" s="695" t="s">
        <v>1569</v>
      </c>
      <c r="V473" s="695">
        <f>'HIV-Key Info'!$I$87*(('HIV-Key Info'!$E$87*('HPM costs'!I205+'HPM costs'!I551))+('HIV-Key Info'!$F$87*('HPM costs'!I208+'HPM costs'!I211+'HPM costs'!I554+'HPM costs'!I557)))</f>
        <v>0</v>
      </c>
      <c r="W473" s="695"/>
      <c r="X473" s="1492">
        <f t="shared" si="48"/>
        <v>0</v>
      </c>
      <c r="Y473" s="1493"/>
      <c r="Z473" s="1494"/>
      <c r="AA473" s="699"/>
      <c r="AB473" s="695"/>
      <c r="AC473" s="695">
        <f>'HIV-Key Info'!$I$87*(('HIV-Key Info'!$E$87*('HPM costs'!K205+'HPM costs'!K551))+('HIV-Key Info'!$F$87*('HPM costs'!K208+'HPM costs'!K211+'HPM costs'!K554+'HPM costs'!K557)))</f>
        <v>0</v>
      </c>
      <c r="AD473" s="695"/>
      <c r="AE473" s="695">
        <f>'HIV-Key Info'!$I$87*(('HIV-Key Info'!$E$87*('HPM costs'!L205+'HPM costs'!L551))+('HIV-Key Info'!$F$87*('HPM costs'!L208+'HPM costs'!L211+'HPM costs'!L554+'HPM costs'!L557)))</f>
        <v>0</v>
      </c>
      <c r="AF473" s="695"/>
      <c r="AG473" s="695">
        <f>'HIV-Key Info'!$I$87*(('HIV-Key Info'!$E$87*('HPM costs'!M205+'HPM costs'!M551))+('HIV-Key Info'!$F$87*('HPM costs'!M208+'HPM costs'!M211+'HPM costs'!M554+'HPM costs'!M557)))</f>
        <v>0</v>
      </c>
      <c r="AH473" s="695"/>
      <c r="AI473" s="695">
        <f>'HIV-Key Info'!$I$87*(('HIV-Key Info'!$E$87*('HPM costs'!N205+'HPM costs'!N551))+('HIV-Key Info'!$F$87*('HPM costs'!N208+'HPM costs'!N211+'HPM costs'!N554+'HPM costs'!N557)))</f>
        <v>0</v>
      </c>
      <c r="AJ473" s="695"/>
      <c r="AK473" s="1492">
        <f t="shared" si="49"/>
        <v>0</v>
      </c>
      <c r="AL473" s="1493"/>
      <c r="AM473" s="1494"/>
      <c r="AN473" s="699"/>
      <c r="AO473" s="695"/>
      <c r="AP473" s="695">
        <f>'HIV-Key Info'!$I$87*(('HIV-Key Info'!$E$87*('HPM costs'!P205+'HPM costs'!P551))+('HIV-Key Info'!$F$87*('HPM costs'!P208+'HPM costs'!P211+'HPM costs'!P554+'HPM costs'!P557)))</f>
        <v>0</v>
      </c>
      <c r="AQ473" s="695"/>
      <c r="AR473" s="695">
        <f>'HIV-Key Info'!$I$87*(('HIV-Key Info'!$E$87*('HPM costs'!Q205+'HPM costs'!Q551))+('HIV-Key Info'!$F$87*('HPM costs'!Q208+'HPM costs'!Q211+'HPM costs'!Q554+'HPM costs'!Q557)))</f>
        <v>0</v>
      </c>
      <c r="AS473" s="695"/>
      <c r="AT473" s="695">
        <f>'HIV-Key Info'!$I$87*(('HIV-Key Info'!$E$87*('HPM costs'!R205+'HPM costs'!R551))+('HIV-Key Info'!$F$87*('HPM costs'!R208+'HPM costs'!R211+'HPM costs'!R554+'HPM costs'!R557)))</f>
        <v>0</v>
      </c>
      <c r="AU473" s="695"/>
      <c r="AV473" s="695">
        <f>'HIV-Key Info'!$I$87*(('HIV-Key Info'!$E$87*('HPM costs'!S205+'HPM costs'!S551))+('HIV-Key Info'!$F$87*('HPM costs'!S208+'HPM costs'!S211+'HPM costs'!S554+'HPM costs'!S557)))</f>
        <v>0</v>
      </c>
      <c r="AW473" s="695"/>
      <c r="AX473" s="1492">
        <f t="shared" si="50"/>
        <v>0</v>
      </c>
      <c r="AY473" s="1492"/>
      <c r="AZ473" s="698"/>
      <c r="BA473" s="699"/>
      <c r="BB473" s="697"/>
      <c r="BC473" s="697">
        <v>0</v>
      </c>
      <c r="BD473" s="697">
        <v>0</v>
      </c>
      <c r="BE473" s="697">
        <v>0</v>
      </c>
      <c r="BF473" s="697">
        <v>0</v>
      </c>
      <c r="BG473" s="697">
        <v>0</v>
      </c>
      <c r="BH473" s="697">
        <v>0</v>
      </c>
      <c r="BI473" s="697">
        <v>0</v>
      </c>
      <c r="BJ473" s="697">
        <v>0</v>
      </c>
      <c r="BK473" s="1492">
        <f t="shared" si="51"/>
        <v>0</v>
      </c>
      <c r="BL473" s="1492"/>
      <c r="BM473" s="1492">
        <f t="shared" si="52"/>
        <v>0</v>
      </c>
      <c r="BN473" s="1492">
        <f t="shared" si="53"/>
        <v>0</v>
      </c>
      <c r="BO473" s="697"/>
      <c r="BP473" s="697"/>
      <c r="BQ473" s="1495" t="s">
        <v>6939</v>
      </c>
      <c r="BR473" s="1495" t="s">
        <v>818</v>
      </c>
      <c r="BS473" s="1902" t="s">
        <v>655</v>
      </c>
      <c r="BT473" s="1907" t="s">
        <v>2192</v>
      </c>
    </row>
    <row r="474" spans="1:72" ht="13">
      <c r="A474" s="1545">
        <v>1030</v>
      </c>
      <c r="B474" s="1546" t="s">
        <v>800</v>
      </c>
      <c r="C474" s="1546" t="s">
        <v>803</v>
      </c>
      <c r="D474" s="1547" t="s">
        <v>6884</v>
      </c>
      <c r="E474" s="690" t="s">
        <v>666</v>
      </c>
      <c r="F474" s="691"/>
      <c r="G474" s="692"/>
      <c r="H474" s="692"/>
      <c r="I474" s="692"/>
      <c r="J474" s="693"/>
      <c r="K474" s="693"/>
      <c r="L474" s="693"/>
      <c r="M474" s="694"/>
      <c r="N474" s="695"/>
      <c r="O474" s="696" t="s">
        <v>1569</v>
      </c>
      <c r="P474" s="695">
        <f>'HIV-Key Info'!$I$87*(('HIV-Key Info'!$E$87*'HPM costs'!F291)+('HIV-Key Info'!$F$87*('HPM costs'!F294+'HPM costs'!F297)))</f>
        <v>0</v>
      </c>
      <c r="Q474" s="695" t="s">
        <v>1569</v>
      </c>
      <c r="R474" s="695">
        <f>'HIV-Key Info'!$I$87*(('HIV-Key Info'!$E$87*'HPM costs'!G291)+('HIV-Key Info'!$F$87*('HPM costs'!G294+'HPM costs'!G297)))</f>
        <v>0</v>
      </c>
      <c r="S474" s="695" t="s">
        <v>1569</v>
      </c>
      <c r="T474" s="695">
        <f>'HIV-Key Info'!$I$87*(('HIV-Key Info'!$E$87*'HPM costs'!H291)+('HIV-Key Info'!$F$87*('HPM costs'!H294+'HPM costs'!H297)))</f>
        <v>0</v>
      </c>
      <c r="U474" s="695" t="s">
        <v>1569</v>
      </c>
      <c r="V474" s="695">
        <f>'HIV-Key Info'!$I$87*(('HIV-Key Info'!$E$87*'HPM costs'!I291)+('HIV-Key Info'!$F$87*('HPM costs'!I294+'HPM costs'!I297)))</f>
        <v>0</v>
      </c>
      <c r="W474" s="695"/>
      <c r="X474" s="1492">
        <f t="shared" si="48"/>
        <v>0</v>
      </c>
      <c r="Y474" s="1493"/>
      <c r="Z474" s="1494"/>
      <c r="AA474" s="699"/>
      <c r="AB474" s="695"/>
      <c r="AC474" s="695">
        <f>'HIV-Key Info'!$I$87*(('HIV-Key Info'!$E$87*'HPM costs'!K291)+('HIV-Key Info'!$F$87*('HPM costs'!K294+'HPM costs'!K297)))</f>
        <v>0</v>
      </c>
      <c r="AD474" s="695"/>
      <c r="AE474" s="695">
        <f>'HIV-Key Info'!$I$87*(('HIV-Key Info'!$E$87*'HPM costs'!L291)+('HIV-Key Info'!$F$87*('HPM costs'!L294+'HPM costs'!L297)))</f>
        <v>0</v>
      </c>
      <c r="AF474" s="695"/>
      <c r="AG474" s="695">
        <f>'HIV-Key Info'!$I$87*(('HIV-Key Info'!$E$87*'HPM costs'!M291)+('HIV-Key Info'!$F$87*('HPM costs'!M294+'HPM costs'!M297)))</f>
        <v>0</v>
      </c>
      <c r="AH474" s="695"/>
      <c r="AI474" s="695">
        <f>'HIV-Key Info'!$I$87*(('HIV-Key Info'!$E$87*'HPM costs'!N291)+('HIV-Key Info'!$F$87*('HPM costs'!N294+'HPM costs'!N297)))</f>
        <v>0</v>
      </c>
      <c r="AJ474" s="695"/>
      <c r="AK474" s="1492">
        <f t="shared" si="49"/>
        <v>0</v>
      </c>
      <c r="AL474" s="1493"/>
      <c r="AM474" s="1494"/>
      <c r="AN474" s="699"/>
      <c r="AO474" s="695"/>
      <c r="AP474" s="695">
        <f>'HIV-Key Info'!$I$87*(('HIV-Key Info'!$E$87*'HPM costs'!P291)+('HIV-Key Info'!$F$87*('HPM costs'!P294+'HPM costs'!P297)))</f>
        <v>0</v>
      </c>
      <c r="AQ474" s="695"/>
      <c r="AR474" s="695">
        <f>'HIV-Key Info'!$I$87*(('HIV-Key Info'!$E$87*'HPM costs'!Q291)+('HIV-Key Info'!$F$87*('HPM costs'!Q294+'HPM costs'!Q297)))</f>
        <v>0</v>
      </c>
      <c r="AS474" s="695"/>
      <c r="AT474" s="695">
        <f>'HIV-Key Info'!$I$87*(('HIV-Key Info'!$E$87*'HPM costs'!R291)+('HIV-Key Info'!$F$87*('HPM costs'!R294+'HPM costs'!R297)))</f>
        <v>0</v>
      </c>
      <c r="AU474" s="695"/>
      <c r="AV474" s="695">
        <f>'HIV-Key Info'!$I$87*(('HIV-Key Info'!$E$87*'HPM costs'!S291)+('HIV-Key Info'!$F$87*('HPM costs'!S294+'HPM costs'!S297)))</f>
        <v>0</v>
      </c>
      <c r="AW474" s="695"/>
      <c r="AX474" s="1492">
        <f t="shared" si="50"/>
        <v>0</v>
      </c>
      <c r="AY474" s="1492"/>
      <c r="AZ474" s="698"/>
      <c r="BA474" s="699"/>
      <c r="BB474" s="697"/>
      <c r="BC474" s="697">
        <v>0</v>
      </c>
      <c r="BD474" s="697">
        <v>0</v>
      </c>
      <c r="BE474" s="697">
        <v>0</v>
      </c>
      <c r="BF474" s="697">
        <v>0</v>
      </c>
      <c r="BG474" s="697">
        <v>0</v>
      </c>
      <c r="BH474" s="697">
        <v>0</v>
      </c>
      <c r="BI474" s="697">
        <v>0</v>
      </c>
      <c r="BJ474" s="697">
        <v>0</v>
      </c>
      <c r="BK474" s="1492">
        <f t="shared" si="51"/>
        <v>0</v>
      </c>
      <c r="BL474" s="1492"/>
      <c r="BM474" s="1492">
        <f t="shared" si="52"/>
        <v>0</v>
      </c>
      <c r="BN474" s="1492">
        <f t="shared" si="53"/>
        <v>0</v>
      </c>
      <c r="BO474" s="697"/>
      <c r="BP474" s="697"/>
      <c r="BQ474" s="1495" t="s">
        <v>6939</v>
      </c>
      <c r="BR474" s="1495" t="s">
        <v>818</v>
      </c>
      <c r="BS474" s="1902" t="s">
        <v>655</v>
      </c>
      <c r="BT474" s="1907" t="s">
        <v>2193</v>
      </c>
    </row>
    <row r="475" spans="1:72" ht="13">
      <c r="A475" s="1545">
        <v>1031</v>
      </c>
      <c r="B475" s="1546" t="s">
        <v>800</v>
      </c>
      <c r="C475" s="1546" t="s">
        <v>803</v>
      </c>
      <c r="D475" s="1547" t="s">
        <v>6884</v>
      </c>
      <c r="E475" s="690" t="s">
        <v>668</v>
      </c>
      <c r="F475" s="691"/>
      <c r="G475" s="692"/>
      <c r="H475" s="692"/>
      <c r="I475" s="692"/>
      <c r="J475" s="693"/>
      <c r="K475" s="693"/>
      <c r="L475" s="693"/>
      <c r="M475" s="694"/>
      <c r="N475" s="695"/>
      <c r="O475" s="696" t="s">
        <v>1569</v>
      </c>
      <c r="P475" s="695">
        <f>'HIV-Key Info'!$I$87*(('HIV-Key Info'!$E$87*'HPM costs'!F636)+('HIV-Key Info'!$F$87*('HPM costs'!F639+'HPM costs'!F642)))</f>
        <v>0</v>
      </c>
      <c r="Q475" s="695" t="s">
        <v>1569</v>
      </c>
      <c r="R475" s="695">
        <f>'HIV-Key Info'!$I$87*(('HIV-Key Info'!$E$87*'HPM costs'!G636)+('HIV-Key Info'!$F$87*('HPM costs'!G639+'HPM costs'!G642)))</f>
        <v>0</v>
      </c>
      <c r="S475" s="695" t="s">
        <v>1569</v>
      </c>
      <c r="T475" s="695">
        <f>'HIV-Key Info'!$I$87*(('HIV-Key Info'!$E$87*'HPM costs'!H636)+('HIV-Key Info'!$F$87*('HPM costs'!H639+'HPM costs'!H642)))</f>
        <v>0</v>
      </c>
      <c r="U475" s="695" t="s">
        <v>1569</v>
      </c>
      <c r="V475" s="695">
        <f>'HIV-Key Info'!$I$87*(('HIV-Key Info'!$E$87*'HPM costs'!I636)+('HIV-Key Info'!$F$87*('HPM costs'!I639+'HPM costs'!I642)))</f>
        <v>0</v>
      </c>
      <c r="W475" s="695"/>
      <c r="X475" s="1492">
        <f t="shared" si="48"/>
        <v>0</v>
      </c>
      <c r="Y475" s="1493"/>
      <c r="Z475" s="1494"/>
      <c r="AA475" s="699"/>
      <c r="AB475" s="695"/>
      <c r="AC475" s="695">
        <f>'HIV-Key Info'!$I$87*(('HIV-Key Info'!$E$87*'HPM costs'!K636)+('HIV-Key Info'!$F$87*('HPM costs'!K639+'HPM costs'!K642)))</f>
        <v>0</v>
      </c>
      <c r="AD475" s="695"/>
      <c r="AE475" s="695">
        <f>'HIV-Key Info'!$I$87*(('HIV-Key Info'!$E$87*'HPM costs'!L636)+('HIV-Key Info'!$F$87*('HPM costs'!L639+'HPM costs'!L642)))</f>
        <v>0</v>
      </c>
      <c r="AF475" s="695"/>
      <c r="AG475" s="695">
        <f>'HIV-Key Info'!$I$87*(('HIV-Key Info'!$E$87*'HPM costs'!M636)+('HIV-Key Info'!$F$87*('HPM costs'!M639+'HPM costs'!M642)))</f>
        <v>0</v>
      </c>
      <c r="AH475" s="695"/>
      <c r="AI475" s="695">
        <f>'HIV-Key Info'!$I$87*(('HIV-Key Info'!$E$87*'HPM costs'!N636)+('HIV-Key Info'!$F$87*('HPM costs'!N639+'HPM costs'!N642)))</f>
        <v>0</v>
      </c>
      <c r="AJ475" s="695"/>
      <c r="AK475" s="1492">
        <f t="shared" si="49"/>
        <v>0</v>
      </c>
      <c r="AL475" s="1493"/>
      <c r="AM475" s="1494"/>
      <c r="AN475" s="699"/>
      <c r="AO475" s="695"/>
      <c r="AP475" s="695">
        <f>'HIV-Key Info'!$I$87*(('HIV-Key Info'!$E$87*'HPM costs'!P636)+('HIV-Key Info'!$F$87*('HPM costs'!P639+'HPM costs'!P642)))</f>
        <v>0</v>
      </c>
      <c r="AQ475" s="695"/>
      <c r="AR475" s="695">
        <f>'HIV-Key Info'!$I$87*(('HIV-Key Info'!$E$87*'HPM costs'!Q636)+('HIV-Key Info'!$F$87*('HPM costs'!Q639+'HPM costs'!Q642)))</f>
        <v>0</v>
      </c>
      <c r="AS475" s="695"/>
      <c r="AT475" s="695">
        <f>'HIV-Key Info'!$I$87*(('HIV-Key Info'!$E$87*'HPM costs'!R636)+('HIV-Key Info'!$F$87*('HPM costs'!R639+'HPM costs'!R642)))</f>
        <v>0</v>
      </c>
      <c r="AU475" s="695"/>
      <c r="AV475" s="695">
        <f>'HIV-Key Info'!$I$87*(('HIV-Key Info'!$E$87*'HPM costs'!S636)+('HIV-Key Info'!$F$87*('HPM costs'!S639+'HPM costs'!S642)))</f>
        <v>0</v>
      </c>
      <c r="AW475" s="695"/>
      <c r="AX475" s="1492">
        <f t="shared" si="50"/>
        <v>0</v>
      </c>
      <c r="AY475" s="1492"/>
      <c r="AZ475" s="698"/>
      <c r="BA475" s="699"/>
      <c r="BB475" s="697"/>
      <c r="BC475" s="697">
        <v>0</v>
      </c>
      <c r="BD475" s="697">
        <v>0</v>
      </c>
      <c r="BE475" s="697">
        <v>0</v>
      </c>
      <c r="BF475" s="697">
        <v>0</v>
      </c>
      <c r="BG475" s="697">
        <v>0</v>
      </c>
      <c r="BH475" s="697">
        <v>0</v>
      </c>
      <c r="BI475" s="697">
        <v>0</v>
      </c>
      <c r="BJ475" s="697">
        <v>0</v>
      </c>
      <c r="BK475" s="1492">
        <f t="shared" si="51"/>
        <v>0</v>
      </c>
      <c r="BL475" s="1492"/>
      <c r="BM475" s="1492">
        <f t="shared" si="52"/>
        <v>0</v>
      </c>
      <c r="BN475" s="1492">
        <f t="shared" si="53"/>
        <v>0</v>
      </c>
      <c r="BO475" s="697"/>
      <c r="BP475" s="697"/>
      <c r="BQ475" s="1495" t="s">
        <v>6939</v>
      </c>
      <c r="BR475" s="1495" t="s">
        <v>818</v>
      </c>
      <c r="BS475" s="1902" t="s">
        <v>655</v>
      </c>
      <c r="BT475" s="1907" t="s">
        <v>2194</v>
      </c>
    </row>
    <row r="476" spans="1:72" ht="13">
      <c r="A476" s="1545">
        <v>1032</v>
      </c>
      <c r="B476" s="1546" t="s">
        <v>800</v>
      </c>
      <c r="C476" s="1546" t="s">
        <v>801</v>
      </c>
      <c r="D476" s="1547" t="s">
        <v>6962</v>
      </c>
      <c r="E476" s="690" t="s">
        <v>731</v>
      </c>
      <c r="F476" s="691"/>
      <c r="G476" s="692"/>
      <c r="H476" s="692"/>
      <c r="I476" s="692"/>
      <c r="J476" s="693"/>
      <c r="K476" s="693"/>
      <c r="L476" s="693"/>
      <c r="M476" s="694"/>
      <c r="N476" s="695"/>
      <c r="O476" s="696" t="s">
        <v>1569</v>
      </c>
      <c r="P476" s="695">
        <f>'HIV-Key Info'!$G$88*('HIV-Key Info'!$E$88*('HPM costs'!F551/'HPM costs'!$E$551)+'HIV-Key Info'!$F$88*('HPM costs'!F557/'HPM costs'!$E$557+'HPM costs'!F554/'HPM costs'!$E$554))</f>
        <v>0</v>
      </c>
      <c r="Q476" s="695" t="s">
        <v>1569</v>
      </c>
      <c r="R476" s="695">
        <f>'HIV-Key Info'!$G$88*('HIV-Key Info'!$E$88*('HPM costs'!G551/'HPM costs'!$E$551)+'HIV-Key Info'!$F$88*('HPM costs'!G557/'HPM costs'!$E$557+'HPM costs'!G554/'HPM costs'!$E$554))</f>
        <v>0</v>
      </c>
      <c r="S476" s="695" t="s">
        <v>1569</v>
      </c>
      <c r="T476" s="695">
        <f>'HIV-Key Info'!$G$88*('HIV-Key Info'!$E$88*('HPM costs'!H551/'HPM costs'!$E$551)+'HIV-Key Info'!$F$88*('HPM costs'!H557/'HPM costs'!$E$557+'HPM costs'!H554/'HPM costs'!$E$554))</f>
        <v>0</v>
      </c>
      <c r="U476" s="695" t="s">
        <v>1569</v>
      </c>
      <c r="V476" s="695">
        <f>'HIV-Key Info'!$G$88*('HIV-Key Info'!$E$88*('HPM costs'!I551/'HPM costs'!$E$551)+'HIV-Key Info'!$F$88*('HPM costs'!I557/'HPM costs'!$E$557+'HPM costs'!I554/'HPM costs'!$E$554))</f>
        <v>0</v>
      </c>
      <c r="W476" s="695"/>
      <c r="X476" s="1492">
        <f t="shared" si="48"/>
        <v>0</v>
      </c>
      <c r="Y476" s="1493"/>
      <c r="Z476" s="1494"/>
      <c r="AA476" s="699"/>
      <c r="AB476" s="695"/>
      <c r="AC476" s="695">
        <f>'HIV-Key Info'!$G$88*('HIV-Key Info'!$E$88*('HPM costs'!K551/'HPM costs'!$E$551)+'HIV-Key Info'!$F$88*('HPM costs'!K557/'HPM costs'!$E$557+'HPM costs'!K554/'HPM costs'!$E$554))</f>
        <v>0</v>
      </c>
      <c r="AD476" s="695"/>
      <c r="AE476" s="695">
        <f>'HIV-Key Info'!$G$88*('HIV-Key Info'!$E$88*('HPM costs'!L551/'HPM costs'!$E$551)+'HIV-Key Info'!$F$88*('HPM costs'!L557/'HPM costs'!$E$557+'HPM costs'!L554/'HPM costs'!$E$554))</f>
        <v>0</v>
      </c>
      <c r="AF476" s="695"/>
      <c r="AG476" s="695">
        <f>'HIV-Key Info'!$G$88*('HIV-Key Info'!$E$88*('HPM costs'!M551/'HPM costs'!$E$551)+'HIV-Key Info'!$F$88*('HPM costs'!M557/'HPM costs'!$E$557+'HPM costs'!M554/'HPM costs'!$E$554))</f>
        <v>0</v>
      </c>
      <c r="AH476" s="695"/>
      <c r="AI476" s="695">
        <f>'HIV-Key Info'!$G$88*('HIV-Key Info'!$E$88*('HPM costs'!N551/'HPM costs'!$E$551)+'HIV-Key Info'!$F$88*('HPM costs'!N557/'HPM costs'!$E$557+'HPM costs'!N554/'HPM costs'!$E$554))</f>
        <v>0</v>
      </c>
      <c r="AJ476" s="695"/>
      <c r="AK476" s="1492">
        <f t="shared" si="49"/>
        <v>0</v>
      </c>
      <c r="AL476" s="1493"/>
      <c r="AM476" s="1494"/>
      <c r="AN476" s="699"/>
      <c r="AO476" s="695"/>
      <c r="AP476" s="695">
        <f>'HIV-Key Info'!$G$88*('HIV-Key Info'!$E$88*('HPM costs'!P551/'HPM costs'!$E$551)+'HIV-Key Info'!$F$88*('HPM costs'!P557/'HPM costs'!$E$557+'HPM costs'!P554/'HPM costs'!$E$554))</f>
        <v>0</v>
      </c>
      <c r="AQ476" s="695"/>
      <c r="AR476" s="695">
        <f>'HIV-Key Info'!$G$88*('HIV-Key Info'!$E$88*('HPM costs'!Q551/'HPM costs'!$E$551)+'HIV-Key Info'!$F$88*('HPM costs'!Q557/'HPM costs'!$E$557+'HPM costs'!Q554/'HPM costs'!$E$554))</f>
        <v>0</v>
      </c>
      <c r="AS476" s="695"/>
      <c r="AT476" s="695">
        <f>'HIV-Key Info'!$G$88*('HIV-Key Info'!$E$88*('HPM costs'!R551/'HPM costs'!$E$551)+'HIV-Key Info'!$F$88*('HPM costs'!R557/'HPM costs'!$E$557+'HPM costs'!R554/'HPM costs'!$E$554))</f>
        <v>0</v>
      </c>
      <c r="AU476" s="695"/>
      <c r="AV476" s="695">
        <f>'HIV-Key Info'!$G$88*('HIV-Key Info'!$E$88*('HPM costs'!S551/'HPM costs'!$E$551)+'HIV-Key Info'!$F$88*('HPM costs'!S557/'HPM costs'!$E$557+'HPM costs'!S554/'HPM costs'!$E$554))</f>
        <v>0</v>
      </c>
      <c r="AW476" s="695"/>
      <c r="AX476" s="1492">
        <f t="shared" si="50"/>
        <v>0</v>
      </c>
      <c r="AY476" s="1492"/>
      <c r="AZ476" s="698"/>
      <c r="BA476" s="699"/>
      <c r="BB476" s="697"/>
      <c r="BC476" s="697">
        <v>0</v>
      </c>
      <c r="BD476" s="697">
        <v>0</v>
      </c>
      <c r="BE476" s="697">
        <v>0</v>
      </c>
      <c r="BF476" s="697">
        <v>0</v>
      </c>
      <c r="BG476" s="697">
        <v>0</v>
      </c>
      <c r="BH476" s="697">
        <v>0</v>
      </c>
      <c r="BI476" s="697">
        <v>0</v>
      </c>
      <c r="BJ476" s="697">
        <v>0</v>
      </c>
      <c r="BK476" s="1492">
        <f t="shared" si="51"/>
        <v>0</v>
      </c>
      <c r="BL476" s="1492"/>
      <c r="BM476" s="1492">
        <f t="shared" si="52"/>
        <v>0</v>
      </c>
      <c r="BN476" s="1492">
        <f t="shared" si="53"/>
        <v>0</v>
      </c>
      <c r="BO476" s="697"/>
      <c r="BP476" s="697"/>
      <c r="BQ476" s="1495" t="s">
        <v>6939</v>
      </c>
      <c r="BR476" s="1495" t="s">
        <v>818</v>
      </c>
      <c r="BS476" s="1902" t="s">
        <v>6953</v>
      </c>
      <c r="BT476" s="1907" t="s">
        <v>2195</v>
      </c>
    </row>
    <row r="477" spans="1:72" ht="13">
      <c r="A477" s="1545">
        <v>1033</v>
      </c>
      <c r="B477" s="1546" t="s">
        <v>800</v>
      </c>
      <c r="C477" s="1546" t="s">
        <v>801</v>
      </c>
      <c r="D477" s="1547" t="s">
        <v>6888</v>
      </c>
      <c r="E477" s="690" t="s">
        <v>656</v>
      </c>
      <c r="F477" s="691"/>
      <c r="G477" s="692"/>
      <c r="H477" s="692"/>
      <c r="I477" s="692"/>
      <c r="J477" s="693"/>
      <c r="K477" s="693"/>
      <c r="L477" s="693"/>
      <c r="M477" s="694"/>
      <c r="N477" s="695"/>
      <c r="O477" s="696" t="s">
        <v>1569</v>
      </c>
      <c r="P477" s="695">
        <f>'HIV-Key Info'!$G$88*(('HIV-Key Info'!$E$88*'HPM costs'!F33)+('HIV-Key Info'!$F$88*('HPM costs'!F36+'HPM costs'!F39)))</f>
        <v>0</v>
      </c>
      <c r="Q477" s="695" t="s">
        <v>1569</v>
      </c>
      <c r="R477" s="695">
        <f>'HIV-Key Info'!$G$88*(('HIV-Key Info'!$E$88*'HPM costs'!G33)+('HIV-Key Info'!$F$88*('HPM costs'!G36+'HPM costs'!G39)))</f>
        <v>0</v>
      </c>
      <c r="S477" s="695" t="s">
        <v>1569</v>
      </c>
      <c r="T477" s="695">
        <f>'HIV-Key Info'!$G$88*(('HIV-Key Info'!$E$88*'HPM costs'!H33)+('HIV-Key Info'!$F$88*('HPM costs'!H36+'HPM costs'!H39)))</f>
        <v>0</v>
      </c>
      <c r="U477" s="695" t="s">
        <v>1569</v>
      </c>
      <c r="V477" s="695">
        <f>'HIV-Key Info'!$G$88*(('HIV-Key Info'!$E$88*'HPM costs'!I33)+('HIV-Key Info'!$F$88*('HPM costs'!I36+'HPM costs'!I39)))</f>
        <v>0</v>
      </c>
      <c r="W477" s="695"/>
      <c r="X477" s="1492">
        <f t="shared" si="48"/>
        <v>0</v>
      </c>
      <c r="Y477" s="1493"/>
      <c r="Z477" s="1494"/>
      <c r="AA477" s="699"/>
      <c r="AB477" s="695"/>
      <c r="AC477" s="695">
        <f>'HIV-Key Info'!$G$88*(('HIV-Key Info'!$E$88*'HPM costs'!K33)+('HIV-Key Info'!$F$88*('HPM costs'!K36+'HPM costs'!K39)))</f>
        <v>0</v>
      </c>
      <c r="AD477" s="695"/>
      <c r="AE477" s="695">
        <f>'HIV-Key Info'!$G$88*(('HIV-Key Info'!$E$88*'HPM costs'!L33)+('HIV-Key Info'!$F$88*('HPM costs'!L36+'HPM costs'!L39)))</f>
        <v>0</v>
      </c>
      <c r="AF477" s="695"/>
      <c r="AG477" s="695">
        <f>'HIV-Key Info'!$G$88*(('HIV-Key Info'!$E$88*'HPM costs'!M33)+('HIV-Key Info'!$F$88*('HPM costs'!M36+'HPM costs'!M39)))</f>
        <v>0</v>
      </c>
      <c r="AH477" s="695"/>
      <c r="AI477" s="695">
        <f>'HIV-Key Info'!$G$88*(('HIV-Key Info'!$E$88*'HPM costs'!N33)+('HIV-Key Info'!$F$88*('HPM costs'!N36+'HPM costs'!N39)))</f>
        <v>0</v>
      </c>
      <c r="AJ477" s="695"/>
      <c r="AK477" s="1492">
        <f t="shared" si="49"/>
        <v>0</v>
      </c>
      <c r="AL477" s="1493"/>
      <c r="AM477" s="1494"/>
      <c r="AN477" s="699"/>
      <c r="AO477" s="695"/>
      <c r="AP477" s="695">
        <f>'HIV-Key Info'!$G$88*(('HIV-Key Info'!$E$88*'HPM costs'!P33)+('HIV-Key Info'!$F$88*('HPM costs'!P36+'HPM costs'!P39)))</f>
        <v>0</v>
      </c>
      <c r="AQ477" s="695"/>
      <c r="AR477" s="695">
        <f>'HIV-Key Info'!$G$88*(('HIV-Key Info'!$E$88*'HPM costs'!Q33)+('HIV-Key Info'!$F$88*('HPM costs'!Q36+'HPM costs'!Q39)))</f>
        <v>0</v>
      </c>
      <c r="AS477" s="695"/>
      <c r="AT477" s="695">
        <f>'HIV-Key Info'!$G$88*(('HIV-Key Info'!$E$88*'HPM costs'!R33)+('HIV-Key Info'!$F$88*('HPM costs'!R36+'HPM costs'!R39)))</f>
        <v>0</v>
      </c>
      <c r="AU477" s="695"/>
      <c r="AV477" s="695">
        <f>'HIV-Key Info'!$G$88*(('HIV-Key Info'!$E$88*'HPM costs'!S33)+('HIV-Key Info'!$F$88*('HPM costs'!S36+'HPM costs'!S39)))</f>
        <v>0</v>
      </c>
      <c r="AW477" s="695"/>
      <c r="AX477" s="1492">
        <f t="shared" si="50"/>
        <v>0</v>
      </c>
      <c r="AY477" s="1492"/>
      <c r="AZ477" s="698"/>
      <c r="BA477" s="699"/>
      <c r="BB477" s="697"/>
      <c r="BC477" s="697">
        <v>0</v>
      </c>
      <c r="BD477" s="697">
        <v>0</v>
      </c>
      <c r="BE477" s="697">
        <v>0</v>
      </c>
      <c r="BF477" s="697">
        <v>0</v>
      </c>
      <c r="BG477" s="697">
        <v>0</v>
      </c>
      <c r="BH477" s="697">
        <v>0</v>
      </c>
      <c r="BI477" s="697">
        <v>0</v>
      </c>
      <c r="BJ477" s="697">
        <v>0</v>
      </c>
      <c r="BK477" s="1492">
        <f t="shared" si="51"/>
        <v>0</v>
      </c>
      <c r="BL477" s="1492"/>
      <c r="BM477" s="1492">
        <f t="shared" si="52"/>
        <v>0</v>
      </c>
      <c r="BN477" s="1492">
        <f t="shared" si="53"/>
        <v>0</v>
      </c>
      <c r="BO477" s="697"/>
      <c r="BP477" s="697"/>
      <c r="BQ477" s="1495" t="s">
        <v>6941</v>
      </c>
      <c r="BR477" s="1495" t="s">
        <v>818</v>
      </c>
      <c r="BS477" s="1902" t="s">
        <v>655</v>
      </c>
      <c r="BT477" s="1907" t="s">
        <v>2196</v>
      </c>
    </row>
    <row r="478" spans="1:72" ht="13">
      <c r="A478" s="1545">
        <v>1034</v>
      </c>
      <c r="B478" s="1546" t="s">
        <v>800</v>
      </c>
      <c r="C478" s="1546" t="s">
        <v>801</v>
      </c>
      <c r="D478" s="1547" t="s">
        <v>6888</v>
      </c>
      <c r="E478" s="690" t="s">
        <v>658</v>
      </c>
      <c r="F478" s="691"/>
      <c r="G478" s="692"/>
      <c r="H478" s="692"/>
      <c r="I478" s="692"/>
      <c r="J478" s="693"/>
      <c r="K478" s="693"/>
      <c r="L478" s="693"/>
      <c r="M478" s="694"/>
      <c r="N478" s="695"/>
      <c r="O478" s="696" t="s">
        <v>1569</v>
      </c>
      <c r="P478" s="695">
        <f>'HIV-Key Info'!$G$88*(('HIV-Key Info'!$E$88*'HPM costs'!F119)+('HIV-Key Info'!$F$88*('HPM costs'!F122+'HPM costs'!F125)))</f>
        <v>0</v>
      </c>
      <c r="Q478" s="695" t="s">
        <v>1569</v>
      </c>
      <c r="R478" s="695">
        <f>'HIV-Key Info'!$G$88*(('HIV-Key Info'!$E$88*'HPM costs'!G119)+('HIV-Key Info'!$F$88*('HPM costs'!G122+'HPM costs'!G125)))</f>
        <v>0</v>
      </c>
      <c r="S478" s="695" t="s">
        <v>1569</v>
      </c>
      <c r="T478" s="695">
        <f>'HIV-Key Info'!$G$88*(('HIV-Key Info'!$E$88*'HPM costs'!H119)+('HIV-Key Info'!$F$88*('HPM costs'!H122+'HPM costs'!H125)))</f>
        <v>0</v>
      </c>
      <c r="U478" s="695" t="s">
        <v>1569</v>
      </c>
      <c r="V478" s="695">
        <f>'HIV-Key Info'!$G$88*(('HIV-Key Info'!$E$88*'HPM costs'!I119)+('HIV-Key Info'!$F$88*('HPM costs'!I122+'HPM costs'!I125)))</f>
        <v>0</v>
      </c>
      <c r="W478" s="695"/>
      <c r="X478" s="1492">
        <f t="shared" si="48"/>
        <v>0</v>
      </c>
      <c r="Y478" s="1493"/>
      <c r="Z478" s="1494"/>
      <c r="AA478" s="699"/>
      <c r="AB478" s="695"/>
      <c r="AC478" s="695">
        <f>'HIV-Key Info'!$G$88*(('HIV-Key Info'!$E$88*'HPM costs'!K119)+('HIV-Key Info'!$F$88*('HPM costs'!K122+'HPM costs'!K125)))</f>
        <v>0</v>
      </c>
      <c r="AD478" s="695"/>
      <c r="AE478" s="695">
        <f>'HIV-Key Info'!$G$88*(('HIV-Key Info'!$E$88*'HPM costs'!L119)+('HIV-Key Info'!$F$88*('HPM costs'!L122+'HPM costs'!L125)))</f>
        <v>0</v>
      </c>
      <c r="AF478" s="695"/>
      <c r="AG478" s="695">
        <f>'HIV-Key Info'!$G$88*(('HIV-Key Info'!$E$88*'HPM costs'!M119)+('HIV-Key Info'!$F$88*('HPM costs'!M122+'HPM costs'!M125)))</f>
        <v>0</v>
      </c>
      <c r="AH478" s="695"/>
      <c r="AI478" s="695">
        <f>'HIV-Key Info'!$G$88*(('HIV-Key Info'!$E$88*'HPM costs'!N119)+('HIV-Key Info'!$F$88*('HPM costs'!N122+'HPM costs'!N125)))</f>
        <v>0</v>
      </c>
      <c r="AJ478" s="695"/>
      <c r="AK478" s="1492">
        <f t="shared" si="49"/>
        <v>0</v>
      </c>
      <c r="AL478" s="1493"/>
      <c r="AM478" s="1494"/>
      <c r="AN478" s="699"/>
      <c r="AO478" s="695"/>
      <c r="AP478" s="695">
        <f>'HIV-Key Info'!$G$88*(('HIV-Key Info'!$E$88*'HPM costs'!P119)+('HIV-Key Info'!$F$88*('HPM costs'!P122+'HPM costs'!P125)))</f>
        <v>0</v>
      </c>
      <c r="AQ478" s="695"/>
      <c r="AR478" s="695">
        <f>'HIV-Key Info'!$G$88*(('HIV-Key Info'!$E$88*'HPM costs'!Q119)+('HIV-Key Info'!$F$88*('HPM costs'!Q122+'HPM costs'!Q125)))</f>
        <v>0</v>
      </c>
      <c r="AS478" s="695"/>
      <c r="AT478" s="695">
        <f>'HIV-Key Info'!$G$88*(('HIV-Key Info'!$E$88*'HPM costs'!R119)+('HIV-Key Info'!$F$88*('HPM costs'!R122+'HPM costs'!R125)))</f>
        <v>0</v>
      </c>
      <c r="AU478" s="695"/>
      <c r="AV478" s="695">
        <f>'HIV-Key Info'!$G$88*(('HIV-Key Info'!$E$88*'HPM costs'!S119)+('HIV-Key Info'!$F$88*('HPM costs'!S122+'HPM costs'!S125)))</f>
        <v>0</v>
      </c>
      <c r="AW478" s="695"/>
      <c r="AX478" s="1492">
        <f t="shared" si="50"/>
        <v>0</v>
      </c>
      <c r="AY478" s="1492"/>
      <c r="AZ478" s="698"/>
      <c r="BA478" s="699"/>
      <c r="BB478" s="697"/>
      <c r="BC478" s="697">
        <v>0</v>
      </c>
      <c r="BD478" s="697">
        <v>0</v>
      </c>
      <c r="BE478" s="697">
        <v>0</v>
      </c>
      <c r="BF478" s="697">
        <v>0</v>
      </c>
      <c r="BG478" s="697">
        <v>0</v>
      </c>
      <c r="BH478" s="697">
        <v>0</v>
      </c>
      <c r="BI478" s="697">
        <v>0</v>
      </c>
      <c r="BJ478" s="697">
        <v>0</v>
      </c>
      <c r="BK478" s="1492">
        <f t="shared" si="51"/>
        <v>0</v>
      </c>
      <c r="BL478" s="1492"/>
      <c r="BM478" s="1492">
        <f t="shared" si="52"/>
        <v>0</v>
      </c>
      <c r="BN478" s="1492">
        <f t="shared" si="53"/>
        <v>0</v>
      </c>
      <c r="BO478" s="697"/>
      <c r="BP478" s="697"/>
      <c r="BQ478" s="1495" t="s">
        <v>6941</v>
      </c>
      <c r="BR478" s="1495" t="s">
        <v>818</v>
      </c>
      <c r="BS478" s="1902" t="s">
        <v>655</v>
      </c>
      <c r="BT478" s="1907" t="s">
        <v>2197</v>
      </c>
    </row>
    <row r="479" spans="1:72" ht="13">
      <c r="A479" s="1545">
        <v>1035</v>
      </c>
      <c r="B479" s="1546" t="s">
        <v>800</v>
      </c>
      <c r="C479" s="1546" t="s">
        <v>801</v>
      </c>
      <c r="D479" s="1547" t="s">
        <v>6888</v>
      </c>
      <c r="E479" s="690" t="s">
        <v>660</v>
      </c>
      <c r="F479" s="691"/>
      <c r="G479" s="692"/>
      <c r="H479" s="692"/>
      <c r="I479" s="692"/>
      <c r="J479" s="693"/>
      <c r="K479" s="693"/>
      <c r="L479" s="693"/>
      <c r="M479" s="694"/>
      <c r="N479" s="695"/>
      <c r="O479" s="696" t="s">
        <v>1569</v>
      </c>
      <c r="P479" s="695">
        <f>'HIV-Key Info'!$G$88*(('HIV-Key Info'!$E$88*'HPM costs'!F379)+('HIV-Key Info'!$F$88*('HPM costs'!F382+'HPM costs'!F385)))</f>
        <v>0</v>
      </c>
      <c r="Q479" s="695" t="s">
        <v>1569</v>
      </c>
      <c r="R479" s="695">
        <f>'HIV-Key Info'!$G$88*(('HIV-Key Info'!$E$88*'HPM costs'!G379)+('HIV-Key Info'!$F$88*('HPM costs'!G382+'HPM costs'!G385)))</f>
        <v>0</v>
      </c>
      <c r="S479" s="695" t="s">
        <v>1569</v>
      </c>
      <c r="T479" s="695">
        <f>'HIV-Key Info'!$G$88*(('HIV-Key Info'!$E$88*'HPM costs'!H379)+('HIV-Key Info'!$F$88*('HPM costs'!H382+'HPM costs'!H385)))</f>
        <v>0</v>
      </c>
      <c r="U479" s="695" t="s">
        <v>1569</v>
      </c>
      <c r="V479" s="695">
        <f>'HIV-Key Info'!$G$88*(('HIV-Key Info'!$E$88*'HPM costs'!I379)+('HIV-Key Info'!$F$88*('HPM costs'!I382+'HPM costs'!I385)))</f>
        <v>0</v>
      </c>
      <c r="W479" s="695"/>
      <c r="X479" s="1492">
        <f t="shared" si="48"/>
        <v>0</v>
      </c>
      <c r="Y479" s="1493"/>
      <c r="Z479" s="1494"/>
      <c r="AA479" s="699"/>
      <c r="AB479" s="695"/>
      <c r="AC479" s="695">
        <f>'HIV-Key Info'!$G$88*(('HIV-Key Info'!$E$88*'HPM costs'!K379)+('HIV-Key Info'!$F$88*('HPM costs'!K382+'HPM costs'!K385)))</f>
        <v>0</v>
      </c>
      <c r="AD479" s="695"/>
      <c r="AE479" s="695">
        <f>'HIV-Key Info'!$G$88*(('HIV-Key Info'!$E$88*'HPM costs'!L379)+('HIV-Key Info'!$F$88*('HPM costs'!L382+'HPM costs'!L385)))</f>
        <v>0</v>
      </c>
      <c r="AF479" s="695"/>
      <c r="AG479" s="695">
        <f>'HIV-Key Info'!$G$88*(('HIV-Key Info'!$E$88*'HPM costs'!M379)+('HIV-Key Info'!$F$88*('HPM costs'!M382+'HPM costs'!M385)))</f>
        <v>0</v>
      </c>
      <c r="AH479" s="695"/>
      <c r="AI479" s="695">
        <f>'HIV-Key Info'!$G$88*(('HIV-Key Info'!$E$88*'HPM costs'!N379)+('HIV-Key Info'!$F$88*('HPM costs'!N382+'HPM costs'!N385)))</f>
        <v>0</v>
      </c>
      <c r="AJ479" s="695"/>
      <c r="AK479" s="1492">
        <f t="shared" si="49"/>
        <v>0</v>
      </c>
      <c r="AL479" s="1493"/>
      <c r="AM479" s="1494"/>
      <c r="AN479" s="699"/>
      <c r="AO479" s="695"/>
      <c r="AP479" s="695">
        <f>'HIV-Key Info'!$G$88*(('HIV-Key Info'!$E$88*'HPM costs'!P379)+('HIV-Key Info'!$F$88*('HPM costs'!P382+'HPM costs'!P385)))</f>
        <v>0</v>
      </c>
      <c r="AQ479" s="695"/>
      <c r="AR479" s="695">
        <f>'HIV-Key Info'!$G$88*(('HIV-Key Info'!$E$88*'HPM costs'!Q379)+('HIV-Key Info'!$F$88*('HPM costs'!Q382+'HPM costs'!Q385)))</f>
        <v>0</v>
      </c>
      <c r="AS479" s="695"/>
      <c r="AT479" s="695">
        <f>'HIV-Key Info'!$G$88*(('HIV-Key Info'!$E$88*'HPM costs'!R379)+('HIV-Key Info'!$F$88*('HPM costs'!R382+'HPM costs'!R385)))</f>
        <v>0</v>
      </c>
      <c r="AU479" s="695"/>
      <c r="AV479" s="695">
        <f>'HIV-Key Info'!$G$88*(('HIV-Key Info'!$E$88*'HPM costs'!S379)+('HIV-Key Info'!$F$88*('HPM costs'!S382+'HPM costs'!S385)))</f>
        <v>0</v>
      </c>
      <c r="AW479" s="695"/>
      <c r="AX479" s="1492">
        <f t="shared" si="50"/>
        <v>0</v>
      </c>
      <c r="AY479" s="1492"/>
      <c r="AZ479" s="698"/>
      <c r="BA479" s="699"/>
      <c r="BB479" s="697"/>
      <c r="BC479" s="697">
        <v>0</v>
      </c>
      <c r="BD479" s="697">
        <v>0</v>
      </c>
      <c r="BE479" s="697">
        <v>0</v>
      </c>
      <c r="BF479" s="697">
        <v>0</v>
      </c>
      <c r="BG479" s="697">
        <v>0</v>
      </c>
      <c r="BH479" s="697">
        <v>0</v>
      </c>
      <c r="BI479" s="697">
        <v>0</v>
      </c>
      <c r="BJ479" s="697">
        <v>0</v>
      </c>
      <c r="BK479" s="1492">
        <f t="shared" si="51"/>
        <v>0</v>
      </c>
      <c r="BL479" s="1492"/>
      <c r="BM479" s="1492">
        <f t="shared" si="52"/>
        <v>0</v>
      </c>
      <c r="BN479" s="1492">
        <f t="shared" si="53"/>
        <v>0</v>
      </c>
      <c r="BO479" s="697"/>
      <c r="BP479" s="697"/>
      <c r="BQ479" s="1495" t="s">
        <v>6941</v>
      </c>
      <c r="BR479" s="1495" t="s">
        <v>818</v>
      </c>
      <c r="BS479" s="1902" t="s">
        <v>655</v>
      </c>
      <c r="BT479" s="1907" t="s">
        <v>2198</v>
      </c>
    </row>
    <row r="480" spans="1:72" ht="13">
      <c r="A480" s="1545">
        <v>1036</v>
      </c>
      <c r="B480" s="1546" t="s">
        <v>800</v>
      </c>
      <c r="C480" s="1546" t="s">
        <v>801</v>
      </c>
      <c r="D480" s="1547" t="s">
        <v>6888</v>
      </c>
      <c r="E480" s="690" t="s">
        <v>662</v>
      </c>
      <c r="F480" s="691"/>
      <c r="G480" s="692"/>
      <c r="H480" s="692"/>
      <c r="I480" s="692"/>
      <c r="J480" s="693"/>
      <c r="K480" s="693"/>
      <c r="L480" s="693"/>
      <c r="M480" s="694"/>
      <c r="N480" s="695"/>
      <c r="O480" s="696" t="s">
        <v>1569</v>
      </c>
      <c r="P480" s="695">
        <f>'HIV-Key Info'!$G$88*(('HIV-Key Info'!$E$88*'HPM costs'!F465)+('HIV-Key Info'!$F$88*('HPM costs'!F468+'HPM costs'!F471)))</f>
        <v>0</v>
      </c>
      <c r="Q480" s="695" t="s">
        <v>1569</v>
      </c>
      <c r="R480" s="695">
        <f>'HIV-Key Info'!$G$88*(('HIV-Key Info'!$E$88*'HPM costs'!G465)+('HIV-Key Info'!$F$88*('HPM costs'!G468+'HPM costs'!G471)))</f>
        <v>0</v>
      </c>
      <c r="S480" s="695" t="s">
        <v>1569</v>
      </c>
      <c r="T480" s="695">
        <f>'HIV-Key Info'!$G$88*(('HIV-Key Info'!$E$88*'HPM costs'!H465)+('HIV-Key Info'!$F$88*('HPM costs'!H468+'HPM costs'!H471)))</f>
        <v>0</v>
      </c>
      <c r="U480" s="695" t="s">
        <v>1569</v>
      </c>
      <c r="V480" s="695">
        <f>'HIV-Key Info'!$G$88*(('HIV-Key Info'!$E$88*'HPM costs'!I465)+('HIV-Key Info'!$F$88*('HPM costs'!I468+'HPM costs'!I471)))</f>
        <v>0</v>
      </c>
      <c r="W480" s="695"/>
      <c r="X480" s="1492">
        <f t="shared" si="48"/>
        <v>0</v>
      </c>
      <c r="Y480" s="1493"/>
      <c r="Z480" s="1494"/>
      <c r="AA480" s="699"/>
      <c r="AB480" s="695"/>
      <c r="AC480" s="695">
        <f>'HIV-Key Info'!$G$88*(('HIV-Key Info'!$E$88*'HPM costs'!K465)+('HIV-Key Info'!$F$88*('HPM costs'!K468+'HPM costs'!K471)))</f>
        <v>0</v>
      </c>
      <c r="AD480" s="695"/>
      <c r="AE480" s="695">
        <f>'HIV-Key Info'!$G$88*(('HIV-Key Info'!$E$88*'HPM costs'!L465)+('HIV-Key Info'!$F$88*('HPM costs'!L468+'HPM costs'!L471)))</f>
        <v>0</v>
      </c>
      <c r="AF480" s="695"/>
      <c r="AG480" s="695">
        <f>'HIV-Key Info'!$G$88*(('HIV-Key Info'!$E$88*'HPM costs'!M465)+('HIV-Key Info'!$F$88*('HPM costs'!M468+'HPM costs'!M471)))</f>
        <v>0</v>
      </c>
      <c r="AH480" s="695"/>
      <c r="AI480" s="695">
        <f>'HIV-Key Info'!$G$88*(('HIV-Key Info'!$E$88*'HPM costs'!N465)+('HIV-Key Info'!$F$88*('HPM costs'!N468+'HPM costs'!N471)))</f>
        <v>0</v>
      </c>
      <c r="AJ480" s="695"/>
      <c r="AK480" s="1492">
        <f t="shared" si="49"/>
        <v>0</v>
      </c>
      <c r="AL480" s="1493"/>
      <c r="AM480" s="1494"/>
      <c r="AN480" s="699"/>
      <c r="AO480" s="695"/>
      <c r="AP480" s="695">
        <f>'HIV-Key Info'!$G$88*(('HIV-Key Info'!$E$88*'HPM costs'!P465)+('HIV-Key Info'!$F$88*('HPM costs'!P468+'HPM costs'!P471)))</f>
        <v>0</v>
      </c>
      <c r="AQ480" s="695"/>
      <c r="AR480" s="695">
        <f>'HIV-Key Info'!$G$88*(('HIV-Key Info'!$E$88*'HPM costs'!Q465)+('HIV-Key Info'!$F$88*('HPM costs'!Q468+'HPM costs'!Q471)))</f>
        <v>0</v>
      </c>
      <c r="AS480" s="695"/>
      <c r="AT480" s="695">
        <f>'HIV-Key Info'!$G$88*(('HIV-Key Info'!$E$88*'HPM costs'!R465)+('HIV-Key Info'!$F$88*('HPM costs'!R468+'HPM costs'!R471)))</f>
        <v>0</v>
      </c>
      <c r="AU480" s="695"/>
      <c r="AV480" s="695">
        <f>'HIV-Key Info'!$G$88*(('HIV-Key Info'!$E$88*'HPM costs'!S465)+('HIV-Key Info'!$F$88*('HPM costs'!S468+'HPM costs'!S471)))</f>
        <v>0</v>
      </c>
      <c r="AW480" s="695"/>
      <c r="AX480" s="1492">
        <f t="shared" si="50"/>
        <v>0</v>
      </c>
      <c r="AY480" s="1492"/>
      <c r="AZ480" s="698"/>
      <c r="BA480" s="699"/>
      <c r="BB480" s="697"/>
      <c r="BC480" s="697">
        <v>0</v>
      </c>
      <c r="BD480" s="697">
        <v>0</v>
      </c>
      <c r="BE480" s="697">
        <v>0</v>
      </c>
      <c r="BF480" s="697">
        <v>0</v>
      </c>
      <c r="BG480" s="697">
        <v>0</v>
      </c>
      <c r="BH480" s="697">
        <v>0</v>
      </c>
      <c r="BI480" s="697">
        <v>0</v>
      </c>
      <c r="BJ480" s="697">
        <v>0</v>
      </c>
      <c r="BK480" s="1492">
        <f t="shared" si="51"/>
        <v>0</v>
      </c>
      <c r="BL480" s="1492"/>
      <c r="BM480" s="1492">
        <f t="shared" si="52"/>
        <v>0</v>
      </c>
      <c r="BN480" s="1492">
        <f t="shared" si="53"/>
        <v>0</v>
      </c>
      <c r="BO480" s="697"/>
      <c r="BP480" s="697"/>
      <c r="BQ480" s="1495" t="s">
        <v>6941</v>
      </c>
      <c r="BR480" s="1495" t="s">
        <v>818</v>
      </c>
      <c r="BS480" s="1902" t="s">
        <v>655</v>
      </c>
      <c r="BT480" s="1907" t="s">
        <v>2199</v>
      </c>
    </row>
    <row r="481" spans="1:72" ht="13">
      <c r="A481" s="1545">
        <v>1037</v>
      </c>
      <c r="B481" s="1546" t="s">
        <v>800</v>
      </c>
      <c r="C481" s="1546" t="s">
        <v>801</v>
      </c>
      <c r="D481" s="1547" t="s">
        <v>6888</v>
      </c>
      <c r="E481" s="690" t="s">
        <v>664</v>
      </c>
      <c r="F481" s="691"/>
      <c r="G481" s="692"/>
      <c r="H481" s="692"/>
      <c r="I481" s="692"/>
      <c r="J481" s="693"/>
      <c r="K481" s="693"/>
      <c r="L481" s="693"/>
      <c r="M481" s="694"/>
      <c r="N481" s="695"/>
      <c r="O481" s="696" t="s">
        <v>1569</v>
      </c>
      <c r="P481" s="695">
        <f>'HIV-Key Info'!$G$88*(('HIV-Key Info'!$E$88*('HPM costs'!F205+'HPM costs'!F551))+('HIV-Key Info'!$F$88*('HPM costs'!F208+'HPM costs'!F211+'HPM costs'!F554+'HPM costs'!F557)))</f>
        <v>0</v>
      </c>
      <c r="Q481" s="695" t="s">
        <v>1569</v>
      </c>
      <c r="R481" s="695">
        <f>'HIV-Key Info'!$G$88*(('HIV-Key Info'!$E$88*('HPM costs'!G205+'HPM costs'!G551))+('HIV-Key Info'!$F$88*('HPM costs'!G208+'HPM costs'!G211+'HPM costs'!G554+'HPM costs'!G557)))</f>
        <v>0</v>
      </c>
      <c r="S481" s="695" t="s">
        <v>1569</v>
      </c>
      <c r="T481" s="695">
        <f>'HIV-Key Info'!$G$88*(('HIV-Key Info'!$E$88*('HPM costs'!H205+'HPM costs'!H551))+('HIV-Key Info'!$F$88*('HPM costs'!H208+'HPM costs'!H211+'HPM costs'!H554+'HPM costs'!H557)))</f>
        <v>0</v>
      </c>
      <c r="U481" s="695" t="s">
        <v>1569</v>
      </c>
      <c r="V481" s="695">
        <f>'HIV-Key Info'!$G$88*(('HIV-Key Info'!$E$88*('HPM costs'!I205+'HPM costs'!I551))+('HIV-Key Info'!$F$88*('HPM costs'!I208+'HPM costs'!I211+'HPM costs'!I554+'HPM costs'!I557)))</f>
        <v>0</v>
      </c>
      <c r="W481" s="695"/>
      <c r="X481" s="1492">
        <f t="shared" si="48"/>
        <v>0</v>
      </c>
      <c r="Y481" s="1493"/>
      <c r="Z481" s="1494"/>
      <c r="AA481" s="699"/>
      <c r="AB481" s="695"/>
      <c r="AC481" s="695">
        <f>'HIV-Key Info'!$G$88*(('HIV-Key Info'!$E$88*('HPM costs'!K205+'HPM costs'!K551))+('HIV-Key Info'!$F$88*('HPM costs'!K208+'HPM costs'!K211+'HPM costs'!K554+'HPM costs'!K557)))</f>
        <v>0</v>
      </c>
      <c r="AD481" s="695"/>
      <c r="AE481" s="695">
        <f>'HIV-Key Info'!$G$88*(('HIV-Key Info'!$E$88*('HPM costs'!L205+'HPM costs'!L551))+('HIV-Key Info'!$F$88*('HPM costs'!L208+'HPM costs'!L211+'HPM costs'!L554+'HPM costs'!L557)))</f>
        <v>0</v>
      </c>
      <c r="AF481" s="695"/>
      <c r="AG481" s="695">
        <f>'HIV-Key Info'!$G$88*(('HIV-Key Info'!$E$88*('HPM costs'!M205+'HPM costs'!M551))+('HIV-Key Info'!$F$88*('HPM costs'!M208+'HPM costs'!M211+'HPM costs'!M554+'HPM costs'!M557)))</f>
        <v>0</v>
      </c>
      <c r="AH481" s="695"/>
      <c r="AI481" s="695">
        <f>'HIV-Key Info'!$G$88*(('HIV-Key Info'!$E$88*('HPM costs'!N205+'HPM costs'!N551))+('HIV-Key Info'!$F$88*('HPM costs'!N208+'HPM costs'!N211+'HPM costs'!N554+'HPM costs'!N557)))</f>
        <v>0</v>
      </c>
      <c r="AJ481" s="695"/>
      <c r="AK481" s="1492">
        <f t="shared" si="49"/>
        <v>0</v>
      </c>
      <c r="AL481" s="1493"/>
      <c r="AM481" s="1494"/>
      <c r="AN481" s="699"/>
      <c r="AO481" s="695"/>
      <c r="AP481" s="695">
        <f>'HIV-Key Info'!$G$88*(('HIV-Key Info'!$E$88*('HPM costs'!P205+'HPM costs'!P551))+('HIV-Key Info'!$F$88*('HPM costs'!P208+'HPM costs'!P211+'HPM costs'!P554+'HPM costs'!P557)))</f>
        <v>0</v>
      </c>
      <c r="AQ481" s="695"/>
      <c r="AR481" s="695">
        <f>'HIV-Key Info'!$G$88*(('HIV-Key Info'!$E$88*('HPM costs'!Q205+'HPM costs'!Q551))+('HIV-Key Info'!$F$88*('HPM costs'!Q208+'HPM costs'!Q211+'HPM costs'!Q554+'HPM costs'!Q557)))</f>
        <v>0</v>
      </c>
      <c r="AS481" s="695"/>
      <c r="AT481" s="695">
        <f>'HIV-Key Info'!$G$88*(('HIV-Key Info'!$E$88*('HPM costs'!R205+'HPM costs'!R551))+('HIV-Key Info'!$F$88*('HPM costs'!R208+'HPM costs'!R211+'HPM costs'!R554+'HPM costs'!R557)))</f>
        <v>0</v>
      </c>
      <c r="AU481" s="695"/>
      <c r="AV481" s="695">
        <f>'HIV-Key Info'!$G$88*(('HIV-Key Info'!$E$88*('HPM costs'!S205+'HPM costs'!S551))+('HIV-Key Info'!$F$88*('HPM costs'!S208+'HPM costs'!S211+'HPM costs'!S554+'HPM costs'!S557)))</f>
        <v>0</v>
      </c>
      <c r="AW481" s="695"/>
      <c r="AX481" s="1492">
        <f t="shared" si="50"/>
        <v>0</v>
      </c>
      <c r="AY481" s="1492"/>
      <c r="AZ481" s="698"/>
      <c r="BA481" s="699"/>
      <c r="BB481" s="697"/>
      <c r="BC481" s="697">
        <v>0</v>
      </c>
      <c r="BD481" s="697">
        <v>0</v>
      </c>
      <c r="BE481" s="697">
        <v>0</v>
      </c>
      <c r="BF481" s="697">
        <v>0</v>
      </c>
      <c r="BG481" s="697">
        <v>0</v>
      </c>
      <c r="BH481" s="697">
        <v>0</v>
      </c>
      <c r="BI481" s="697">
        <v>0</v>
      </c>
      <c r="BJ481" s="697">
        <v>0</v>
      </c>
      <c r="BK481" s="1492">
        <f t="shared" si="51"/>
        <v>0</v>
      </c>
      <c r="BL481" s="1492"/>
      <c r="BM481" s="1492">
        <f t="shared" si="52"/>
        <v>0</v>
      </c>
      <c r="BN481" s="1492">
        <f t="shared" si="53"/>
        <v>0</v>
      </c>
      <c r="BO481" s="697"/>
      <c r="BP481" s="697"/>
      <c r="BQ481" s="1495" t="s">
        <v>6941</v>
      </c>
      <c r="BR481" s="1495" t="s">
        <v>818</v>
      </c>
      <c r="BS481" s="1902" t="s">
        <v>655</v>
      </c>
      <c r="BT481" s="1907" t="s">
        <v>2200</v>
      </c>
    </row>
    <row r="482" spans="1:72" ht="13">
      <c r="A482" s="1545">
        <v>1038</v>
      </c>
      <c r="B482" s="1546" t="s">
        <v>800</v>
      </c>
      <c r="C482" s="1546" t="s">
        <v>801</v>
      </c>
      <c r="D482" s="1547" t="s">
        <v>6888</v>
      </c>
      <c r="E482" s="690" t="s">
        <v>666</v>
      </c>
      <c r="F482" s="691"/>
      <c r="G482" s="692"/>
      <c r="H482" s="692"/>
      <c r="I482" s="692"/>
      <c r="J482" s="693"/>
      <c r="K482" s="693"/>
      <c r="L482" s="693"/>
      <c r="M482" s="694"/>
      <c r="N482" s="695"/>
      <c r="O482" s="696" t="s">
        <v>1569</v>
      </c>
      <c r="P482" s="695">
        <f>'HIV-Key Info'!$G$88*(('HIV-Key Info'!$E$88*'HPM costs'!F291)+('HIV-Key Info'!$F$88*('HPM costs'!F294+'HPM costs'!F297)))</f>
        <v>0</v>
      </c>
      <c r="Q482" s="695" t="s">
        <v>1569</v>
      </c>
      <c r="R482" s="695">
        <f>'HIV-Key Info'!$G$88*(('HIV-Key Info'!$E$88*'HPM costs'!G291)+('HIV-Key Info'!$F$88*('HPM costs'!G294+'HPM costs'!G297)))</f>
        <v>0</v>
      </c>
      <c r="S482" s="695" t="s">
        <v>1569</v>
      </c>
      <c r="T482" s="695">
        <f>'HIV-Key Info'!$G$88*(('HIV-Key Info'!$E$88*'HPM costs'!H291)+('HIV-Key Info'!$F$88*('HPM costs'!H294+'HPM costs'!H297)))</f>
        <v>0</v>
      </c>
      <c r="U482" s="695" t="s">
        <v>1569</v>
      </c>
      <c r="V482" s="695">
        <f>'HIV-Key Info'!$G$88*(('HIV-Key Info'!$E$88*'HPM costs'!I291)+('HIV-Key Info'!$F$88*('HPM costs'!I294+'HPM costs'!I297)))</f>
        <v>0</v>
      </c>
      <c r="W482" s="695"/>
      <c r="X482" s="1492">
        <f t="shared" si="48"/>
        <v>0</v>
      </c>
      <c r="Y482" s="1493"/>
      <c r="Z482" s="1494"/>
      <c r="AA482" s="699"/>
      <c r="AB482" s="695"/>
      <c r="AC482" s="695">
        <f>'HIV-Key Info'!$G$88*(('HIV-Key Info'!$E$88*'HPM costs'!K291)+('HIV-Key Info'!$F$88*('HPM costs'!K294+'HPM costs'!K297)))</f>
        <v>0</v>
      </c>
      <c r="AD482" s="695"/>
      <c r="AE482" s="695">
        <f>'HIV-Key Info'!$G$88*(('HIV-Key Info'!$E$88*'HPM costs'!L291)+('HIV-Key Info'!$F$88*('HPM costs'!L294+'HPM costs'!L297)))</f>
        <v>0</v>
      </c>
      <c r="AF482" s="695"/>
      <c r="AG482" s="695">
        <f>'HIV-Key Info'!$G$88*(('HIV-Key Info'!$E$88*'HPM costs'!M291)+('HIV-Key Info'!$F$88*('HPM costs'!M294+'HPM costs'!M297)))</f>
        <v>0</v>
      </c>
      <c r="AH482" s="695"/>
      <c r="AI482" s="695">
        <f>'HIV-Key Info'!$G$88*(('HIV-Key Info'!$E$88*'HPM costs'!N291)+('HIV-Key Info'!$F$88*('HPM costs'!N294+'HPM costs'!N297)))</f>
        <v>0</v>
      </c>
      <c r="AJ482" s="695"/>
      <c r="AK482" s="1492">
        <f t="shared" si="49"/>
        <v>0</v>
      </c>
      <c r="AL482" s="1493"/>
      <c r="AM482" s="1494"/>
      <c r="AN482" s="699"/>
      <c r="AO482" s="695"/>
      <c r="AP482" s="695">
        <f>'HIV-Key Info'!$G$88*(('HIV-Key Info'!$E$88*'HPM costs'!P291)+('HIV-Key Info'!$F$88*('HPM costs'!P294+'HPM costs'!P297)))</f>
        <v>0</v>
      </c>
      <c r="AQ482" s="695"/>
      <c r="AR482" s="695">
        <f>'HIV-Key Info'!$G$88*(('HIV-Key Info'!$E$88*'HPM costs'!Q291)+('HIV-Key Info'!$F$88*('HPM costs'!Q294+'HPM costs'!Q297)))</f>
        <v>0</v>
      </c>
      <c r="AS482" s="695"/>
      <c r="AT482" s="695">
        <f>'HIV-Key Info'!$G$88*(('HIV-Key Info'!$E$88*'HPM costs'!R291)+('HIV-Key Info'!$F$88*('HPM costs'!R294+'HPM costs'!R297)))</f>
        <v>0</v>
      </c>
      <c r="AU482" s="695"/>
      <c r="AV482" s="695">
        <f>'HIV-Key Info'!$G$88*(('HIV-Key Info'!$E$88*'HPM costs'!S291)+('HIV-Key Info'!$F$88*('HPM costs'!S294+'HPM costs'!S297)))</f>
        <v>0</v>
      </c>
      <c r="AW482" s="695"/>
      <c r="AX482" s="1492">
        <f t="shared" si="50"/>
        <v>0</v>
      </c>
      <c r="AY482" s="1492"/>
      <c r="AZ482" s="698"/>
      <c r="BA482" s="699"/>
      <c r="BB482" s="697"/>
      <c r="BC482" s="697">
        <v>0</v>
      </c>
      <c r="BD482" s="697">
        <v>0</v>
      </c>
      <c r="BE482" s="697">
        <v>0</v>
      </c>
      <c r="BF482" s="697">
        <v>0</v>
      </c>
      <c r="BG482" s="697">
        <v>0</v>
      </c>
      <c r="BH482" s="697">
        <v>0</v>
      </c>
      <c r="BI482" s="697">
        <v>0</v>
      </c>
      <c r="BJ482" s="697">
        <v>0</v>
      </c>
      <c r="BK482" s="1492">
        <f t="shared" si="51"/>
        <v>0</v>
      </c>
      <c r="BL482" s="1492"/>
      <c r="BM482" s="1492">
        <f t="shared" si="52"/>
        <v>0</v>
      </c>
      <c r="BN482" s="1492">
        <f t="shared" si="53"/>
        <v>0</v>
      </c>
      <c r="BO482" s="697"/>
      <c r="BP482" s="697"/>
      <c r="BQ482" s="1495" t="s">
        <v>6941</v>
      </c>
      <c r="BR482" s="1495" t="s">
        <v>818</v>
      </c>
      <c r="BS482" s="1902" t="s">
        <v>655</v>
      </c>
      <c r="BT482" s="1907" t="s">
        <v>2201</v>
      </c>
    </row>
    <row r="483" spans="1:72" ht="13">
      <c r="A483" s="1545">
        <v>1039</v>
      </c>
      <c r="B483" s="1546" t="s">
        <v>800</v>
      </c>
      <c r="C483" s="1546" t="s">
        <v>801</v>
      </c>
      <c r="D483" s="1547" t="s">
        <v>6888</v>
      </c>
      <c r="E483" s="690" t="s">
        <v>668</v>
      </c>
      <c r="F483" s="691"/>
      <c r="G483" s="692"/>
      <c r="H483" s="692"/>
      <c r="I483" s="692"/>
      <c r="J483" s="693"/>
      <c r="K483" s="693"/>
      <c r="L483" s="693"/>
      <c r="M483" s="694"/>
      <c r="N483" s="695"/>
      <c r="O483" s="696" t="s">
        <v>1569</v>
      </c>
      <c r="P483" s="695">
        <f>'HIV-Key Info'!$G$88*(('HIV-Key Info'!$E$88*'HPM costs'!F636)+('HIV-Key Info'!$F$88*('HPM costs'!F639+'HPM costs'!F642)))</f>
        <v>0</v>
      </c>
      <c r="Q483" s="695" t="s">
        <v>1569</v>
      </c>
      <c r="R483" s="695">
        <f>'HIV-Key Info'!$G$88*(('HIV-Key Info'!$E$88*'HPM costs'!G636)+('HIV-Key Info'!$F$88*('HPM costs'!G639+'HPM costs'!G642)))</f>
        <v>0</v>
      </c>
      <c r="S483" s="695" t="s">
        <v>1569</v>
      </c>
      <c r="T483" s="695">
        <f>'HIV-Key Info'!$G$88*(('HIV-Key Info'!$E$88*'HPM costs'!H636)+('HIV-Key Info'!$F$88*('HPM costs'!H639+'HPM costs'!H642)))</f>
        <v>0</v>
      </c>
      <c r="U483" s="695" t="s">
        <v>1569</v>
      </c>
      <c r="V483" s="695">
        <f>'HIV-Key Info'!$G$88*(('HIV-Key Info'!$E$88*'HPM costs'!I636)+('HIV-Key Info'!$F$88*('HPM costs'!I639+'HPM costs'!I642)))</f>
        <v>0</v>
      </c>
      <c r="W483" s="695"/>
      <c r="X483" s="1492">
        <f t="shared" si="48"/>
        <v>0</v>
      </c>
      <c r="Y483" s="1493"/>
      <c r="Z483" s="1494"/>
      <c r="AA483" s="699"/>
      <c r="AB483" s="695"/>
      <c r="AC483" s="695">
        <f>'HIV-Key Info'!$G$88*(('HIV-Key Info'!$E$88*'HPM costs'!K636)+('HIV-Key Info'!$F$88*('HPM costs'!K639+'HPM costs'!K642)))</f>
        <v>0</v>
      </c>
      <c r="AD483" s="695"/>
      <c r="AE483" s="695">
        <f>'HIV-Key Info'!$G$88*(('HIV-Key Info'!$E$88*'HPM costs'!L636)+('HIV-Key Info'!$F$88*('HPM costs'!L639+'HPM costs'!L642)))</f>
        <v>0</v>
      </c>
      <c r="AF483" s="695"/>
      <c r="AG483" s="695">
        <f>'HIV-Key Info'!$G$88*(('HIV-Key Info'!$E$88*'HPM costs'!M636)+('HIV-Key Info'!$F$88*('HPM costs'!M639+'HPM costs'!M642)))</f>
        <v>0</v>
      </c>
      <c r="AH483" s="695"/>
      <c r="AI483" s="695">
        <f>'HIV-Key Info'!$G$88*(('HIV-Key Info'!$E$88*'HPM costs'!N636)+('HIV-Key Info'!$F$88*('HPM costs'!N639+'HPM costs'!N642)))</f>
        <v>0</v>
      </c>
      <c r="AJ483" s="695"/>
      <c r="AK483" s="1492">
        <f t="shared" si="49"/>
        <v>0</v>
      </c>
      <c r="AL483" s="1493"/>
      <c r="AM483" s="1494"/>
      <c r="AN483" s="699"/>
      <c r="AO483" s="695"/>
      <c r="AP483" s="695">
        <f>'HIV-Key Info'!$G$88*(('HIV-Key Info'!$E$88*'HPM costs'!P636)+('HIV-Key Info'!$F$88*('HPM costs'!P639+'HPM costs'!P642)))</f>
        <v>0</v>
      </c>
      <c r="AQ483" s="695"/>
      <c r="AR483" s="695">
        <f>'HIV-Key Info'!$G$88*(('HIV-Key Info'!$E$88*'HPM costs'!Q636)+('HIV-Key Info'!$F$88*('HPM costs'!Q639+'HPM costs'!Q642)))</f>
        <v>0</v>
      </c>
      <c r="AS483" s="695"/>
      <c r="AT483" s="695">
        <f>'HIV-Key Info'!$G$88*(('HIV-Key Info'!$E$88*'HPM costs'!R636)+('HIV-Key Info'!$F$88*('HPM costs'!R639+'HPM costs'!R642)))</f>
        <v>0</v>
      </c>
      <c r="AU483" s="695"/>
      <c r="AV483" s="695">
        <f>'HIV-Key Info'!$G$88*(('HIV-Key Info'!$E$88*'HPM costs'!S636)+('HIV-Key Info'!$F$88*('HPM costs'!S639+'HPM costs'!S642)))</f>
        <v>0</v>
      </c>
      <c r="AW483" s="695"/>
      <c r="AX483" s="1492">
        <f t="shared" si="50"/>
        <v>0</v>
      </c>
      <c r="AY483" s="1492"/>
      <c r="AZ483" s="698"/>
      <c r="BA483" s="699"/>
      <c r="BB483" s="697"/>
      <c r="BC483" s="697">
        <v>0</v>
      </c>
      <c r="BD483" s="697">
        <v>0</v>
      </c>
      <c r="BE483" s="697">
        <v>0</v>
      </c>
      <c r="BF483" s="697">
        <v>0</v>
      </c>
      <c r="BG483" s="697">
        <v>0</v>
      </c>
      <c r="BH483" s="697">
        <v>0</v>
      </c>
      <c r="BI483" s="697">
        <v>0</v>
      </c>
      <c r="BJ483" s="697">
        <v>0</v>
      </c>
      <c r="BK483" s="1492">
        <f t="shared" si="51"/>
        <v>0</v>
      </c>
      <c r="BL483" s="1492"/>
      <c r="BM483" s="1492">
        <f t="shared" si="52"/>
        <v>0</v>
      </c>
      <c r="BN483" s="1492">
        <f t="shared" si="53"/>
        <v>0</v>
      </c>
      <c r="BO483" s="697"/>
      <c r="BP483" s="697"/>
      <c r="BQ483" s="1495" t="s">
        <v>6941</v>
      </c>
      <c r="BR483" s="1495" t="s">
        <v>818</v>
      </c>
      <c r="BS483" s="1902" t="s">
        <v>655</v>
      </c>
      <c r="BT483" s="1907" t="s">
        <v>2202</v>
      </c>
    </row>
    <row r="484" spans="1:72" ht="13">
      <c r="A484" s="1545">
        <v>1040</v>
      </c>
      <c r="B484" s="1546" t="s">
        <v>800</v>
      </c>
      <c r="C484" s="1546" t="s">
        <v>802</v>
      </c>
      <c r="D484" s="1547" t="s">
        <v>6962</v>
      </c>
      <c r="E484" s="690" t="s">
        <v>731</v>
      </c>
      <c r="F484" s="691"/>
      <c r="G484" s="692"/>
      <c r="H484" s="692"/>
      <c r="I484" s="692"/>
      <c r="J484" s="693"/>
      <c r="K484" s="693"/>
      <c r="L484" s="693"/>
      <c r="M484" s="694"/>
      <c r="N484" s="695"/>
      <c r="O484" s="696" t="s">
        <v>1569</v>
      </c>
      <c r="P484" s="695">
        <f>'HIV-Key Info'!$H$88*('HIV-Key Info'!$E$88*('HPM costs'!F551/'HPM costs'!$E$551)+'HIV-Key Info'!$F$88*('HPM costs'!F557/'HPM costs'!$E$557+'HPM costs'!F554/'HPM costs'!$E$554))</f>
        <v>0</v>
      </c>
      <c r="Q484" s="695" t="s">
        <v>1569</v>
      </c>
      <c r="R484" s="695">
        <f>'HIV-Key Info'!$H$88*('HIV-Key Info'!$E$88*('HPM costs'!G551/'HPM costs'!$E$551)+'HIV-Key Info'!$F$88*('HPM costs'!G557/'HPM costs'!$E$557+'HPM costs'!G554/'HPM costs'!$E$554))</f>
        <v>0</v>
      </c>
      <c r="S484" s="695" t="s">
        <v>1569</v>
      </c>
      <c r="T484" s="695">
        <f>'HIV-Key Info'!$H$88*('HIV-Key Info'!$E$88*('HPM costs'!H551/'HPM costs'!$E$551)+'HIV-Key Info'!$F$88*('HPM costs'!H557/'HPM costs'!$E$557+'HPM costs'!H554/'HPM costs'!$E$554))</f>
        <v>0</v>
      </c>
      <c r="U484" s="695" t="s">
        <v>1569</v>
      </c>
      <c r="V484" s="695">
        <f>'HIV-Key Info'!$H$88*('HIV-Key Info'!$E$88*('HPM costs'!I551/'HPM costs'!$E$551)+'HIV-Key Info'!$F$88*('HPM costs'!I557/'HPM costs'!$E$557+'HPM costs'!I554/'HPM costs'!$E$554))</f>
        <v>0</v>
      </c>
      <c r="W484" s="695"/>
      <c r="X484" s="1492">
        <f t="shared" si="48"/>
        <v>0</v>
      </c>
      <c r="Y484" s="1493"/>
      <c r="Z484" s="1494"/>
      <c r="AA484" s="699"/>
      <c r="AB484" s="695"/>
      <c r="AC484" s="695">
        <f>'HIV-Key Info'!$H$88*('HIV-Key Info'!$E$88*('HPM costs'!K551/'HPM costs'!$E$551)+'HIV-Key Info'!$F$88*('HPM costs'!K557/'HPM costs'!$E$557+'HPM costs'!K554/'HPM costs'!$E$554))</f>
        <v>0</v>
      </c>
      <c r="AD484" s="695"/>
      <c r="AE484" s="695">
        <f>'HIV-Key Info'!$H$88*('HIV-Key Info'!$E$88*('HPM costs'!L551/'HPM costs'!$E$551)+'HIV-Key Info'!$F$88*('HPM costs'!L557/'HPM costs'!$E$557+'HPM costs'!L554/'HPM costs'!$E$554))</f>
        <v>0</v>
      </c>
      <c r="AF484" s="695"/>
      <c r="AG484" s="695">
        <f>'HIV-Key Info'!$H$88*('HIV-Key Info'!$E$88*('HPM costs'!M551/'HPM costs'!$E$551)+'HIV-Key Info'!$F$88*('HPM costs'!M557/'HPM costs'!$E$557+'HPM costs'!M554/'HPM costs'!$E$554))</f>
        <v>0</v>
      </c>
      <c r="AH484" s="695"/>
      <c r="AI484" s="695">
        <f>'HIV-Key Info'!$H$88*('HIV-Key Info'!$E$88*('HPM costs'!N551/'HPM costs'!$E$551)+'HIV-Key Info'!$F$88*('HPM costs'!N557/'HPM costs'!$E$557+'HPM costs'!N554/'HPM costs'!$E$554))</f>
        <v>0</v>
      </c>
      <c r="AJ484" s="695"/>
      <c r="AK484" s="1492">
        <f t="shared" si="49"/>
        <v>0</v>
      </c>
      <c r="AL484" s="1493"/>
      <c r="AM484" s="1494"/>
      <c r="AN484" s="699"/>
      <c r="AO484" s="695"/>
      <c r="AP484" s="695">
        <f>'HIV-Key Info'!$H$88*('HIV-Key Info'!$E$88*('HPM costs'!P551/'HPM costs'!$E$551)+'HIV-Key Info'!$F$88*('HPM costs'!P557/'HPM costs'!$E$557+'HPM costs'!P554/'HPM costs'!$E$554))</f>
        <v>0</v>
      </c>
      <c r="AQ484" s="695"/>
      <c r="AR484" s="695">
        <f>'HIV-Key Info'!$H$88*('HIV-Key Info'!$E$88*('HPM costs'!Q551/'HPM costs'!$E$551)+'HIV-Key Info'!$F$88*('HPM costs'!Q557/'HPM costs'!$E$557+'HPM costs'!Q554/'HPM costs'!$E$554))</f>
        <v>0</v>
      </c>
      <c r="AS484" s="695"/>
      <c r="AT484" s="695">
        <f>'HIV-Key Info'!$H$88*('HIV-Key Info'!$E$88*('HPM costs'!R551/'HPM costs'!$E$551)+'HIV-Key Info'!$F$88*('HPM costs'!R557/'HPM costs'!$E$557+'HPM costs'!R554/'HPM costs'!$E$554))</f>
        <v>0</v>
      </c>
      <c r="AU484" s="695"/>
      <c r="AV484" s="695">
        <f>'HIV-Key Info'!$H$88*('HIV-Key Info'!$E$88*('HPM costs'!S551/'HPM costs'!$E$551)+'HIV-Key Info'!$F$88*('HPM costs'!S557/'HPM costs'!$E$557+'HPM costs'!S554/'HPM costs'!$E$554))</f>
        <v>0</v>
      </c>
      <c r="AW484" s="695"/>
      <c r="AX484" s="1492">
        <f t="shared" si="50"/>
        <v>0</v>
      </c>
      <c r="AY484" s="1492"/>
      <c r="AZ484" s="698"/>
      <c r="BA484" s="699"/>
      <c r="BB484" s="697"/>
      <c r="BC484" s="697">
        <v>0</v>
      </c>
      <c r="BD484" s="697">
        <v>0</v>
      </c>
      <c r="BE484" s="697">
        <v>0</v>
      </c>
      <c r="BF484" s="697">
        <v>0</v>
      </c>
      <c r="BG484" s="697">
        <v>0</v>
      </c>
      <c r="BH484" s="697">
        <v>0</v>
      </c>
      <c r="BI484" s="697">
        <v>0</v>
      </c>
      <c r="BJ484" s="697">
        <v>0</v>
      </c>
      <c r="BK484" s="1492">
        <f t="shared" si="51"/>
        <v>0</v>
      </c>
      <c r="BL484" s="1492"/>
      <c r="BM484" s="1492">
        <f t="shared" si="52"/>
        <v>0</v>
      </c>
      <c r="BN484" s="1492">
        <f t="shared" si="53"/>
        <v>0</v>
      </c>
      <c r="BO484" s="697"/>
      <c r="BP484" s="697"/>
      <c r="BQ484" s="1495" t="s">
        <v>6941</v>
      </c>
      <c r="BR484" s="1495" t="s">
        <v>818</v>
      </c>
      <c r="BS484" s="1902" t="s">
        <v>6953</v>
      </c>
      <c r="BT484" s="1907" t="s">
        <v>2203</v>
      </c>
    </row>
    <row r="485" spans="1:72" ht="13">
      <c r="A485" s="1545">
        <v>1041</v>
      </c>
      <c r="B485" s="1546" t="s">
        <v>800</v>
      </c>
      <c r="C485" s="1546" t="s">
        <v>802</v>
      </c>
      <c r="D485" s="1547" t="s">
        <v>6888</v>
      </c>
      <c r="E485" s="690" t="s">
        <v>656</v>
      </c>
      <c r="F485" s="691"/>
      <c r="G485" s="692"/>
      <c r="H485" s="692"/>
      <c r="I485" s="692"/>
      <c r="J485" s="693"/>
      <c r="K485" s="693"/>
      <c r="L485" s="693"/>
      <c r="M485" s="694"/>
      <c r="N485" s="695"/>
      <c r="O485" s="696" t="s">
        <v>1569</v>
      </c>
      <c r="P485" s="695">
        <f>'HIV-Key Info'!$H$88*(('HIV-Key Info'!$E$88*'HPM costs'!F33)+('HIV-Key Info'!$F$88*('HPM costs'!F36+'HPM costs'!F39)))</f>
        <v>0</v>
      </c>
      <c r="Q485" s="695" t="s">
        <v>1569</v>
      </c>
      <c r="R485" s="695">
        <f>'HIV-Key Info'!$H$88*(('HIV-Key Info'!$E$88*'HPM costs'!G33)+('HIV-Key Info'!$F$88*('HPM costs'!G36+'HPM costs'!G39)))</f>
        <v>0</v>
      </c>
      <c r="S485" s="695" t="s">
        <v>1569</v>
      </c>
      <c r="T485" s="695">
        <f>'HIV-Key Info'!$H$88*(('HIV-Key Info'!$E$88*'HPM costs'!H33)+('HIV-Key Info'!$F$88*('HPM costs'!H36+'HPM costs'!H39)))</f>
        <v>0</v>
      </c>
      <c r="U485" s="695" t="s">
        <v>1569</v>
      </c>
      <c r="V485" s="695">
        <f>'HIV-Key Info'!$H$88*(('HIV-Key Info'!$E$88*'HPM costs'!I33)+('HIV-Key Info'!$F$88*('HPM costs'!I36+'HPM costs'!I39)))</f>
        <v>0</v>
      </c>
      <c r="W485" s="695"/>
      <c r="X485" s="1492">
        <f t="shared" si="48"/>
        <v>0</v>
      </c>
      <c r="Y485" s="1493"/>
      <c r="Z485" s="1494"/>
      <c r="AA485" s="699"/>
      <c r="AB485" s="695"/>
      <c r="AC485" s="695">
        <f>'HIV-Key Info'!$H$88*(('HIV-Key Info'!$E$88*'HPM costs'!K33)+('HIV-Key Info'!$F$88*('HPM costs'!K36+'HPM costs'!K39)))</f>
        <v>0</v>
      </c>
      <c r="AD485" s="695"/>
      <c r="AE485" s="695">
        <f>'HIV-Key Info'!$H$88*(('HIV-Key Info'!$E$88*'HPM costs'!L33)+('HIV-Key Info'!$F$88*('HPM costs'!L36+'HPM costs'!L39)))</f>
        <v>0</v>
      </c>
      <c r="AF485" s="695"/>
      <c r="AG485" s="695">
        <f>'HIV-Key Info'!$H$88*(('HIV-Key Info'!$E$88*'HPM costs'!M33)+('HIV-Key Info'!$F$88*('HPM costs'!M36+'HPM costs'!M39)))</f>
        <v>0</v>
      </c>
      <c r="AH485" s="695"/>
      <c r="AI485" s="695">
        <f>'HIV-Key Info'!$H$88*(('HIV-Key Info'!$E$88*'HPM costs'!N33)+('HIV-Key Info'!$F$88*('HPM costs'!N36+'HPM costs'!N39)))</f>
        <v>0</v>
      </c>
      <c r="AJ485" s="695"/>
      <c r="AK485" s="1492">
        <f t="shared" si="49"/>
        <v>0</v>
      </c>
      <c r="AL485" s="1493"/>
      <c r="AM485" s="1494"/>
      <c r="AN485" s="699"/>
      <c r="AO485" s="695"/>
      <c r="AP485" s="695">
        <f>'HIV-Key Info'!$H$88*(('HIV-Key Info'!$E$88*'HPM costs'!P33)+('HIV-Key Info'!$F$88*('HPM costs'!P36+'HPM costs'!P39)))</f>
        <v>0</v>
      </c>
      <c r="AQ485" s="695"/>
      <c r="AR485" s="695">
        <f>'HIV-Key Info'!$H$88*(('HIV-Key Info'!$E$88*'HPM costs'!Q33)+('HIV-Key Info'!$F$88*('HPM costs'!Q36+'HPM costs'!Q39)))</f>
        <v>0</v>
      </c>
      <c r="AS485" s="695"/>
      <c r="AT485" s="695">
        <f>'HIV-Key Info'!$H$88*(('HIV-Key Info'!$E$88*'HPM costs'!R33)+('HIV-Key Info'!$F$88*('HPM costs'!R36+'HPM costs'!R39)))</f>
        <v>0</v>
      </c>
      <c r="AU485" s="695"/>
      <c r="AV485" s="695">
        <f>'HIV-Key Info'!$H$88*(('HIV-Key Info'!$E$88*'HPM costs'!S33)+('HIV-Key Info'!$F$88*('HPM costs'!S36+'HPM costs'!S39)))</f>
        <v>0</v>
      </c>
      <c r="AW485" s="695"/>
      <c r="AX485" s="1492">
        <f t="shared" si="50"/>
        <v>0</v>
      </c>
      <c r="AY485" s="1492"/>
      <c r="AZ485" s="698"/>
      <c r="BA485" s="699"/>
      <c r="BB485" s="697"/>
      <c r="BC485" s="697">
        <v>0</v>
      </c>
      <c r="BD485" s="697">
        <v>0</v>
      </c>
      <c r="BE485" s="697">
        <v>0</v>
      </c>
      <c r="BF485" s="697">
        <v>0</v>
      </c>
      <c r="BG485" s="697">
        <v>0</v>
      </c>
      <c r="BH485" s="697">
        <v>0</v>
      </c>
      <c r="BI485" s="697">
        <v>0</v>
      </c>
      <c r="BJ485" s="697">
        <v>0</v>
      </c>
      <c r="BK485" s="1492">
        <f t="shared" si="51"/>
        <v>0</v>
      </c>
      <c r="BL485" s="1492"/>
      <c r="BM485" s="1492">
        <f t="shared" si="52"/>
        <v>0</v>
      </c>
      <c r="BN485" s="1492">
        <f t="shared" si="53"/>
        <v>0</v>
      </c>
      <c r="BO485" s="697"/>
      <c r="BP485" s="697"/>
      <c r="BQ485" s="1495" t="s">
        <v>6941</v>
      </c>
      <c r="BR485" s="1495" t="s">
        <v>818</v>
      </c>
      <c r="BS485" s="1902" t="s">
        <v>655</v>
      </c>
      <c r="BT485" s="1907" t="s">
        <v>2204</v>
      </c>
    </row>
    <row r="486" spans="1:72" ht="13">
      <c r="A486" s="1545">
        <v>1042</v>
      </c>
      <c r="B486" s="1546" t="s">
        <v>800</v>
      </c>
      <c r="C486" s="1546" t="s">
        <v>802</v>
      </c>
      <c r="D486" s="1547" t="s">
        <v>6888</v>
      </c>
      <c r="E486" s="690" t="s">
        <v>658</v>
      </c>
      <c r="F486" s="691"/>
      <c r="G486" s="692"/>
      <c r="H486" s="692"/>
      <c r="I486" s="692"/>
      <c r="J486" s="693"/>
      <c r="K486" s="693"/>
      <c r="L486" s="693"/>
      <c r="M486" s="694"/>
      <c r="N486" s="695"/>
      <c r="O486" s="696" t="s">
        <v>1569</v>
      </c>
      <c r="P486" s="695">
        <f>'HIV-Key Info'!$H$88*(('HIV-Key Info'!$E$88*'HPM costs'!F119)+('HIV-Key Info'!$F$88*('HPM costs'!F122+'HPM costs'!F125)))</f>
        <v>0</v>
      </c>
      <c r="Q486" s="695" t="s">
        <v>1569</v>
      </c>
      <c r="R486" s="695">
        <f>'HIV-Key Info'!$H$88*(('HIV-Key Info'!$E$88*'HPM costs'!G119)+('HIV-Key Info'!$F$88*('HPM costs'!G122+'HPM costs'!G125)))</f>
        <v>0</v>
      </c>
      <c r="S486" s="695" t="s">
        <v>1569</v>
      </c>
      <c r="T486" s="695">
        <f>'HIV-Key Info'!$H$88*(('HIV-Key Info'!$E$88*'HPM costs'!H119)+('HIV-Key Info'!$F$88*('HPM costs'!H122+'HPM costs'!H125)))</f>
        <v>0</v>
      </c>
      <c r="U486" s="695" t="s">
        <v>1569</v>
      </c>
      <c r="V486" s="695">
        <f>'HIV-Key Info'!$H$88*(('HIV-Key Info'!$E$88*'HPM costs'!I119)+('HIV-Key Info'!$F$88*('HPM costs'!I122+'HPM costs'!I125)))</f>
        <v>0</v>
      </c>
      <c r="W486" s="695"/>
      <c r="X486" s="1492">
        <f t="shared" si="48"/>
        <v>0</v>
      </c>
      <c r="Y486" s="1493"/>
      <c r="Z486" s="1494"/>
      <c r="AA486" s="699"/>
      <c r="AB486" s="695"/>
      <c r="AC486" s="695">
        <f>'HIV-Key Info'!$H$88*(('HIV-Key Info'!$E$88*'HPM costs'!K119)+('HIV-Key Info'!$F$88*('HPM costs'!K122+'HPM costs'!K125)))</f>
        <v>0</v>
      </c>
      <c r="AD486" s="695"/>
      <c r="AE486" s="695">
        <f>'HIV-Key Info'!$H$88*(('HIV-Key Info'!$E$88*'HPM costs'!L119)+('HIV-Key Info'!$F$88*('HPM costs'!L122+'HPM costs'!L125)))</f>
        <v>0</v>
      </c>
      <c r="AF486" s="695"/>
      <c r="AG486" s="695">
        <f>'HIV-Key Info'!$H$88*(('HIV-Key Info'!$E$88*'HPM costs'!M119)+('HIV-Key Info'!$F$88*('HPM costs'!M122+'HPM costs'!M125)))</f>
        <v>0</v>
      </c>
      <c r="AH486" s="695"/>
      <c r="AI486" s="695">
        <f>'HIV-Key Info'!$H$88*(('HIV-Key Info'!$E$88*'HPM costs'!N119)+('HIV-Key Info'!$F$88*('HPM costs'!N122+'HPM costs'!N125)))</f>
        <v>0</v>
      </c>
      <c r="AJ486" s="695"/>
      <c r="AK486" s="1492">
        <f t="shared" si="49"/>
        <v>0</v>
      </c>
      <c r="AL486" s="1493"/>
      <c r="AM486" s="1494"/>
      <c r="AN486" s="699"/>
      <c r="AO486" s="695"/>
      <c r="AP486" s="695">
        <f>'HIV-Key Info'!$H$88*(('HIV-Key Info'!$E$88*'HPM costs'!P119)+('HIV-Key Info'!$F$88*('HPM costs'!P122+'HPM costs'!P125)))</f>
        <v>0</v>
      </c>
      <c r="AQ486" s="695"/>
      <c r="AR486" s="695">
        <f>'HIV-Key Info'!$H$88*(('HIV-Key Info'!$E$88*'HPM costs'!Q119)+('HIV-Key Info'!$F$88*('HPM costs'!Q122+'HPM costs'!Q125)))</f>
        <v>0</v>
      </c>
      <c r="AS486" s="695"/>
      <c r="AT486" s="695">
        <f>'HIV-Key Info'!$H$88*(('HIV-Key Info'!$E$88*'HPM costs'!R119)+('HIV-Key Info'!$F$88*('HPM costs'!R122+'HPM costs'!R125)))</f>
        <v>0</v>
      </c>
      <c r="AU486" s="695"/>
      <c r="AV486" s="695">
        <f>'HIV-Key Info'!$H$88*(('HIV-Key Info'!$E$88*'HPM costs'!S119)+('HIV-Key Info'!$F$88*('HPM costs'!S122+'HPM costs'!S125)))</f>
        <v>0</v>
      </c>
      <c r="AW486" s="695"/>
      <c r="AX486" s="1492">
        <f t="shared" si="50"/>
        <v>0</v>
      </c>
      <c r="AY486" s="1492"/>
      <c r="AZ486" s="698"/>
      <c r="BA486" s="699"/>
      <c r="BB486" s="697"/>
      <c r="BC486" s="697">
        <v>0</v>
      </c>
      <c r="BD486" s="697">
        <v>0</v>
      </c>
      <c r="BE486" s="697">
        <v>0</v>
      </c>
      <c r="BF486" s="697">
        <v>0</v>
      </c>
      <c r="BG486" s="697">
        <v>0</v>
      </c>
      <c r="BH486" s="697">
        <v>0</v>
      </c>
      <c r="BI486" s="697">
        <v>0</v>
      </c>
      <c r="BJ486" s="697">
        <v>0</v>
      </c>
      <c r="BK486" s="1492">
        <f t="shared" si="51"/>
        <v>0</v>
      </c>
      <c r="BL486" s="1492"/>
      <c r="BM486" s="1492">
        <f t="shared" si="52"/>
        <v>0</v>
      </c>
      <c r="BN486" s="1492">
        <f t="shared" si="53"/>
        <v>0</v>
      </c>
      <c r="BO486" s="697"/>
      <c r="BP486" s="697"/>
      <c r="BQ486" s="1495" t="s">
        <v>6941</v>
      </c>
      <c r="BR486" s="1495" t="s">
        <v>818</v>
      </c>
      <c r="BS486" s="1902" t="s">
        <v>655</v>
      </c>
      <c r="BT486" s="1907" t="s">
        <v>2205</v>
      </c>
    </row>
    <row r="487" spans="1:72" ht="13">
      <c r="A487" s="1545">
        <v>1043</v>
      </c>
      <c r="B487" s="1546" t="s">
        <v>800</v>
      </c>
      <c r="C487" s="1546" t="s">
        <v>802</v>
      </c>
      <c r="D487" s="1547" t="s">
        <v>6888</v>
      </c>
      <c r="E487" s="690" t="s">
        <v>660</v>
      </c>
      <c r="F487" s="691"/>
      <c r="G487" s="692"/>
      <c r="H487" s="692"/>
      <c r="I487" s="692"/>
      <c r="J487" s="693"/>
      <c r="K487" s="693"/>
      <c r="L487" s="693"/>
      <c r="M487" s="694"/>
      <c r="N487" s="695"/>
      <c r="O487" s="696" t="s">
        <v>1569</v>
      </c>
      <c r="P487" s="695">
        <f>'HIV-Key Info'!$H$88*(('HIV-Key Info'!$E$88*'HPM costs'!F379)+('HIV-Key Info'!$F$88*('HPM costs'!F382+'HPM costs'!F385)))</f>
        <v>0</v>
      </c>
      <c r="Q487" s="695" t="s">
        <v>1569</v>
      </c>
      <c r="R487" s="695">
        <f>'HIV-Key Info'!$H$88*(('HIV-Key Info'!$E$88*'HPM costs'!G379)+('HIV-Key Info'!$F$88*('HPM costs'!G382+'HPM costs'!G385)))</f>
        <v>0</v>
      </c>
      <c r="S487" s="695" t="s">
        <v>1569</v>
      </c>
      <c r="T487" s="695">
        <f>'HIV-Key Info'!$H$88*(('HIV-Key Info'!$E$88*'HPM costs'!H379)+('HIV-Key Info'!$F$88*('HPM costs'!H382+'HPM costs'!H385)))</f>
        <v>0</v>
      </c>
      <c r="U487" s="695" t="s">
        <v>1569</v>
      </c>
      <c r="V487" s="695">
        <f>'HIV-Key Info'!$H$88*(('HIV-Key Info'!$E$88*'HPM costs'!I379)+('HIV-Key Info'!$F$88*('HPM costs'!I382+'HPM costs'!I385)))</f>
        <v>0</v>
      </c>
      <c r="W487" s="695"/>
      <c r="X487" s="1492">
        <f t="shared" si="48"/>
        <v>0</v>
      </c>
      <c r="Y487" s="1493"/>
      <c r="Z487" s="1494"/>
      <c r="AA487" s="699"/>
      <c r="AB487" s="695"/>
      <c r="AC487" s="695">
        <f>'HIV-Key Info'!$H$88*(('HIV-Key Info'!$E$88*'HPM costs'!K379)+('HIV-Key Info'!$F$88*('HPM costs'!K382+'HPM costs'!K385)))</f>
        <v>0</v>
      </c>
      <c r="AD487" s="695"/>
      <c r="AE487" s="695">
        <f>'HIV-Key Info'!$H$88*(('HIV-Key Info'!$E$88*'HPM costs'!L379)+('HIV-Key Info'!$F$88*('HPM costs'!L382+'HPM costs'!L385)))</f>
        <v>0</v>
      </c>
      <c r="AF487" s="695"/>
      <c r="AG487" s="695">
        <f>'HIV-Key Info'!$H$88*(('HIV-Key Info'!$E$88*'HPM costs'!M379)+('HIV-Key Info'!$F$88*('HPM costs'!M382+'HPM costs'!M385)))</f>
        <v>0</v>
      </c>
      <c r="AH487" s="695"/>
      <c r="AI487" s="695">
        <f>'HIV-Key Info'!$H$88*(('HIV-Key Info'!$E$88*'HPM costs'!N379)+('HIV-Key Info'!$F$88*('HPM costs'!N382+'HPM costs'!N385)))</f>
        <v>0</v>
      </c>
      <c r="AJ487" s="695"/>
      <c r="AK487" s="1492">
        <f t="shared" si="49"/>
        <v>0</v>
      </c>
      <c r="AL487" s="1493"/>
      <c r="AM487" s="1494"/>
      <c r="AN487" s="699"/>
      <c r="AO487" s="695"/>
      <c r="AP487" s="695">
        <f>'HIV-Key Info'!$H$88*(('HIV-Key Info'!$E$88*'HPM costs'!P379)+('HIV-Key Info'!$F$88*('HPM costs'!P382+'HPM costs'!P385)))</f>
        <v>0</v>
      </c>
      <c r="AQ487" s="695"/>
      <c r="AR487" s="695">
        <f>'HIV-Key Info'!$H$88*(('HIV-Key Info'!$E$88*'HPM costs'!Q379)+('HIV-Key Info'!$F$88*('HPM costs'!Q382+'HPM costs'!Q385)))</f>
        <v>0</v>
      </c>
      <c r="AS487" s="695"/>
      <c r="AT487" s="695">
        <f>'HIV-Key Info'!$H$88*(('HIV-Key Info'!$E$88*'HPM costs'!R379)+('HIV-Key Info'!$F$88*('HPM costs'!R382+'HPM costs'!R385)))</f>
        <v>0</v>
      </c>
      <c r="AU487" s="695"/>
      <c r="AV487" s="695">
        <f>'HIV-Key Info'!$H$88*(('HIV-Key Info'!$E$88*'HPM costs'!S379)+('HIV-Key Info'!$F$88*('HPM costs'!S382+'HPM costs'!S385)))</f>
        <v>0</v>
      </c>
      <c r="AW487" s="695"/>
      <c r="AX487" s="1492">
        <f t="shared" si="50"/>
        <v>0</v>
      </c>
      <c r="AY487" s="1492"/>
      <c r="AZ487" s="698"/>
      <c r="BA487" s="699"/>
      <c r="BB487" s="697"/>
      <c r="BC487" s="697">
        <v>0</v>
      </c>
      <c r="BD487" s="697">
        <v>0</v>
      </c>
      <c r="BE487" s="697">
        <v>0</v>
      </c>
      <c r="BF487" s="697">
        <v>0</v>
      </c>
      <c r="BG487" s="697">
        <v>0</v>
      </c>
      <c r="BH487" s="697">
        <v>0</v>
      </c>
      <c r="BI487" s="697">
        <v>0</v>
      </c>
      <c r="BJ487" s="697">
        <v>0</v>
      </c>
      <c r="BK487" s="1492">
        <f t="shared" si="51"/>
        <v>0</v>
      </c>
      <c r="BL487" s="1492"/>
      <c r="BM487" s="1492">
        <f t="shared" si="52"/>
        <v>0</v>
      </c>
      <c r="BN487" s="1492">
        <f t="shared" si="53"/>
        <v>0</v>
      </c>
      <c r="BO487" s="697"/>
      <c r="BP487" s="697"/>
      <c r="BQ487" s="1495" t="s">
        <v>6941</v>
      </c>
      <c r="BR487" s="1495" t="s">
        <v>818</v>
      </c>
      <c r="BS487" s="1902" t="s">
        <v>655</v>
      </c>
      <c r="BT487" s="1907" t="s">
        <v>2206</v>
      </c>
    </row>
    <row r="488" spans="1:72" ht="13">
      <c r="A488" s="1545">
        <v>1044</v>
      </c>
      <c r="B488" s="1546" t="s">
        <v>800</v>
      </c>
      <c r="C488" s="1546" t="s">
        <v>802</v>
      </c>
      <c r="D488" s="1547" t="s">
        <v>6888</v>
      </c>
      <c r="E488" s="690" t="s">
        <v>662</v>
      </c>
      <c r="F488" s="691"/>
      <c r="G488" s="692"/>
      <c r="H488" s="692"/>
      <c r="I488" s="692"/>
      <c r="J488" s="693"/>
      <c r="K488" s="693"/>
      <c r="L488" s="693"/>
      <c r="M488" s="694"/>
      <c r="N488" s="695"/>
      <c r="O488" s="696" t="s">
        <v>1569</v>
      </c>
      <c r="P488" s="695">
        <f>'HIV-Key Info'!$H$88*(('HIV-Key Info'!$E$88*'HPM costs'!F465)+('HIV-Key Info'!$F$88*('HPM costs'!F468+'HPM costs'!F471)))</f>
        <v>0</v>
      </c>
      <c r="Q488" s="695" t="s">
        <v>1569</v>
      </c>
      <c r="R488" s="695">
        <f>'HIV-Key Info'!$H$88*(('HIV-Key Info'!$E$88*'HPM costs'!G465)+('HIV-Key Info'!$F$88*('HPM costs'!G468+'HPM costs'!G471)))</f>
        <v>0</v>
      </c>
      <c r="S488" s="695" t="s">
        <v>1569</v>
      </c>
      <c r="T488" s="695">
        <f>'HIV-Key Info'!$H$88*(('HIV-Key Info'!$E$88*'HPM costs'!H465)+('HIV-Key Info'!$F$88*('HPM costs'!H468+'HPM costs'!H471)))</f>
        <v>0</v>
      </c>
      <c r="U488" s="695" t="s">
        <v>1569</v>
      </c>
      <c r="V488" s="695">
        <f>'HIV-Key Info'!$H$88*(('HIV-Key Info'!$E$88*'HPM costs'!I465)+('HIV-Key Info'!$F$88*('HPM costs'!I468+'HPM costs'!I471)))</f>
        <v>0</v>
      </c>
      <c r="W488" s="695"/>
      <c r="X488" s="1492">
        <f t="shared" si="48"/>
        <v>0</v>
      </c>
      <c r="Y488" s="1493"/>
      <c r="Z488" s="1494"/>
      <c r="AA488" s="699"/>
      <c r="AB488" s="695"/>
      <c r="AC488" s="695">
        <f>'HIV-Key Info'!$H$88*(('HIV-Key Info'!$E$88*'HPM costs'!K465)+('HIV-Key Info'!$F$88*('HPM costs'!K468+'HPM costs'!K471)))</f>
        <v>0</v>
      </c>
      <c r="AD488" s="695"/>
      <c r="AE488" s="695">
        <f>'HIV-Key Info'!$H$88*(('HIV-Key Info'!$E$88*'HPM costs'!L465)+('HIV-Key Info'!$F$88*('HPM costs'!L468+'HPM costs'!L471)))</f>
        <v>0</v>
      </c>
      <c r="AF488" s="695"/>
      <c r="AG488" s="695">
        <f>'HIV-Key Info'!$H$88*(('HIV-Key Info'!$E$88*'HPM costs'!M465)+('HIV-Key Info'!$F$88*('HPM costs'!M468+'HPM costs'!M471)))</f>
        <v>0</v>
      </c>
      <c r="AH488" s="695"/>
      <c r="AI488" s="695">
        <f>'HIV-Key Info'!$H$88*(('HIV-Key Info'!$E$88*'HPM costs'!N465)+('HIV-Key Info'!$F$88*('HPM costs'!N468+'HPM costs'!N471)))</f>
        <v>0</v>
      </c>
      <c r="AJ488" s="695"/>
      <c r="AK488" s="1492">
        <f t="shared" si="49"/>
        <v>0</v>
      </c>
      <c r="AL488" s="1493"/>
      <c r="AM488" s="1494"/>
      <c r="AN488" s="699"/>
      <c r="AO488" s="695"/>
      <c r="AP488" s="695">
        <f>'HIV-Key Info'!$H$88*(('HIV-Key Info'!$E$88*'HPM costs'!P465)+('HIV-Key Info'!$F$88*('HPM costs'!P468+'HPM costs'!P471)))</f>
        <v>0</v>
      </c>
      <c r="AQ488" s="695"/>
      <c r="AR488" s="695">
        <f>'HIV-Key Info'!$H$88*(('HIV-Key Info'!$E$88*'HPM costs'!Q465)+('HIV-Key Info'!$F$88*('HPM costs'!Q468+'HPM costs'!Q471)))</f>
        <v>0</v>
      </c>
      <c r="AS488" s="695"/>
      <c r="AT488" s="695">
        <f>'HIV-Key Info'!$H$88*(('HIV-Key Info'!$E$88*'HPM costs'!R465)+('HIV-Key Info'!$F$88*('HPM costs'!R468+'HPM costs'!R471)))</f>
        <v>0</v>
      </c>
      <c r="AU488" s="695"/>
      <c r="AV488" s="695">
        <f>'HIV-Key Info'!$H$88*(('HIV-Key Info'!$E$88*'HPM costs'!S465)+('HIV-Key Info'!$F$88*('HPM costs'!S468+'HPM costs'!S471)))</f>
        <v>0</v>
      </c>
      <c r="AW488" s="695"/>
      <c r="AX488" s="1492">
        <f t="shared" si="50"/>
        <v>0</v>
      </c>
      <c r="AY488" s="1492"/>
      <c r="AZ488" s="698"/>
      <c r="BA488" s="699"/>
      <c r="BB488" s="697"/>
      <c r="BC488" s="697">
        <v>0</v>
      </c>
      <c r="BD488" s="697">
        <v>0</v>
      </c>
      <c r="BE488" s="697">
        <v>0</v>
      </c>
      <c r="BF488" s="697">
        <v>0</v>
      </c>
      <c r="BG488" s="697">
        <v>0</v>
      </c>
      <c r="BH488" s="697">
        <v>0</v>
      </c>
      <c r="BI488" s="697">
        <v>0</v>
      </c>
      <c r="BJ488" s="697">
        <v>0</v>
      </c>
      <c r="BK488" s="1492">
        <f t="shared" si="51"/>
        <v>0</v>
      </c>
      <c r="BL488" s="1492"/>
      <c r="BM488" s="1492">
        <f t="shared" si="52"/>
        <v>0</v>
      </c>
      <c r="BN488" s="1492">
        <f t="shared" si="53"/>
        <v>0</v>
      </c>
      <c r="BO488" s="697"/>
      <c r="BP488" s="697"/>
      <c r="BQ488" s="1495" t="s">
        <v>6941</v>
      </c>
      <c r="BR488" s="1495" t="s">
        <v>818</v>
      </c>
      <c r="BS488" s="1902" t="s">
        <v>655</v>
      </c>
      <c r="BT488" s="1907" t="s">
        <v>2207</v>
      </c>
    </row>
    <row r="489" spans="1:72" ht="13">
      <c r="A489" s="1545">
        <v>1045</v>
      </c>
      <c r="B489" s="1546" t="s">
        <v>800</v>
      </c>
      <c r="C489" s="1546" t="s">
        <v>802</v>
      </c>
      <c r="D489" s="1547" t="s">
        <v>6888</v>
      </c>
      <c r="E489" s="690" t="s">
        <v>664</v>
      </c>
      <c r="F489" s="691"/>
      <c r="G489" s="692"/>
      <c r="H489" s="692"/>
      <c r="I489" s="692"/>
      <c r="J489" s="693"/>
      <c r="K489" s="693"/>
      <c r="L489" s="693"/>
      <c r="M489" s="694"/>
      <c r="N489" s="695"/>
      <c r="O489" s="696" t="s">
        <v>1569</v>
      </c>
      <c r="P489" s="695">
        <f>'HIV-Key Info'!$H$88*(('HIV-Key Info'!$E$88*('HPM costs'!F205+'HPM costs'!F551))+('HIV-Key Info'!$F$88*('HPM costs'!F208+'HPM costs'!F211+'HPM costs'!F554+'HPM costs'!F557)))</f>
        <v>0</v>
      </c>
      <c r="Q489" s="695" t="s">
        <v>1569</v>
      </c>
      <c r="R489" s="695">
        <f>'HIV-Key Info'!$H$88*(('HIV-Key Info'!$E$88*('HPM costs'!G205+'HPM costs'!G551))+('HIV-Key Info'!$F$88*('HPM costs'!G208+'HPM costs'!G211+'HPM costs'!G554+'HPM costs'!G557)))</f>
        <v>0</v>
      </c>
      <c r="S489" s="695" t="s">
        <v>1569</v>
      </c>
      <c r="T489" s="695">
        <f>'HIV-Key Info'!$H$88*(('HIV-Key Info'!$E$88*('HPM costs'!H205+'HPM costs'!H551))+('HIV-Key Info'!$F$88*('HPM costs'!H208+'HPM costs'!H211+'HPM costs'!H554+'HPM costs'!H557)))</f>
        <v>0</v>
      </c>
      <c r="U489" s="695" t="s">
        <v>1569</v>
      </c>
      <c r="V489" s="695">
        <f>'HIV-Key Info'!$H$88*(('HIV-Key Info'!$E$88*('HPM costs'!I205+'HPM costs'!I551))+('HIV-Key Info'!$F$88*('HPM costs'!I208+'HPM costs'!I211+'HPM costs'!I554+'HPM costs'!I557)))</f>
        <v>0</v>
      </c>
      <c r="W489" s="695"/>
      <c r="X489" s="1492">
        <f t="shared" si="48"/>
        <v>0</v>
      </c>
      <c r="Y489" s="1493"/>
      <c r="Z489" s="1494"/>
      <c r="AA489" s="699"/>
      <c r="AB489" s="695"/>
      <c r="AC489" s="695">
        <f>'HIV-Key Info'!$H$88*(('HIV-Key Info'!$E$88*('HPM costs'!K205+'HPM costs'!K551))+('HIV-Key Info'!$F$88*('HPM costs'!K208+'HPM costs'!K211+'HPM costs'!K554+'HPM costs'!K557)))</f>
        <v>0</v>
      </c>
      <c r="AD489" s="695"/>
      <c r="AE489" s="695">
        <f>'HIV-Key Info'!$H$88*(('HIV-Key Info'!$E$88*('HPM costs'!L205+'HPM costs'!L551))+('HIV-Key Info'!$F$88*('HPM costs'!L208+'HPM costs'!L211+'HPM costs'!L554+'HPM costs'!L557)))</f>
        <v>0</v>
      </c>
      <c r="AF489" s="695"/>
      <c r="AG489" s="695">
        <f>'HIV-Key Info'!$H$88*(('HIV-Key Info'!$E$88*('HPM costs'!M205+'HPM costs'!M551))+('HIV-Key Info'!$F$88*('HPM costs'!M208+'HPM costs'!M211+'HPM costs'!M554+'HPM costs'!M557)))</f>
        <v>0</v>
      </c>
      <c r="AH489" s="695"/>
      <c r="AI489" s="695">
        <f>'HIV-Key Info'!$H$88*(('HIV-Key Info'!$E$88*('HPM costs'!N205+'HPM costs'!N551))+('HIV-Key Info'!$F$88*('HPM costs'!N208+'HPM costs'!N211+'HPM costs'!N554+'HPM costs'!N557)))</f>
        <v>0</v>
      </c>
      <c r="AJ489" s="695"/>
      <c r="AK489" s="1492">
        <f t="shared" si="49"/>
        <v>0</v>
      </c>
      <c r="AL489" s="1493"/>
      <c r="AM489" s="1494"/>
      <c r="AN489" s="699"/>
      <c r="AO489" s="695"/>
      <c r="AP489" s="695">
        <f>'HIV-Key Info'!$H$88*(('HIV-Key Info'!$E$88*('HPM costs'!P205+'HPM costs'!P551))+('HIV-Key Info'!$F$88*('HPM costs'!P208+'HPM costs'!P211+'HPM costs'!P554+'HPM costs'!P557)))</f>
        <v>0</v>
      </c>
      <c r="AQ489" s="695"/>
      <c r="AR489" s="695">
        <f>'HIV-Key Info'!$H$88*(('HIV-Key Info'!$E$88*('HPM costs'!Q205+'HPM costs'!Q551))+('HIV-Key Info'!$F$88*('HPM costs'!Q208+'HPM costs'!Q211+'HPM costs'!Q554+'HPM costs'!Q557)))</f>
        <v>0</v>
      </c>
      <c r="AS489" s="695"/>
      <c r="AT489" s="695">
        <f>'HIV-Key Info'!$H$88*(('HIV-Key Info'!$E$88*('HPM costs'!R205+'HPM costs'!R551))+('HIV-Key Info'!$F$88*('HPM costs'!R208+'HPM costs'!R211+'HPM costs'!R554+'HPM costs'!R557)))</f>
        <v>0</v>
      </c>
      <c r="AU489" s="695"/>
      <c r="AV489" s="695">
        <f>'HIV-Key Info'!$H$88*(('HIV-Key Info'!$E$88*('HPM costs'!S205+'HPM costs'!S551))+('HIV-Key Info'!$F$88*('HPM costs'!S208+'HPM costs'!S211+'HPM costs'!S554+'HPM costs'!S557)))</f>
        <v>0</v>
      </c>
      <c r="AW489" s="695"/>
      <c r="AX489" s="1492">
        <f t="shared" si="50"/>
        <v>0</v>
      </c>
      <c r="AY489" s="1492"/>
      <c r="AZ489" s="698"/>
      <c r="BA489" s="699"/>
      <c r="BB489" s="697"/>
      <c r="BC489" s="697">
        <v>0</v>
      </c>
      <c r="BD489" s="697">
        <v>0</v>
      </c>
      <c r="BE489" s="697">
        <v>0</v>
      </c>
      <c r="BF489" s="697">
        <v>0</v>
      </c>
      <c r="BG489" s="697">
        <v>0</v>
      </c>
      <c r="BH489" s="697">
        <v>0</v>
      </c>
      <c r="BI489" s="697">
        <v>0</v>
      </c>
      <c r="BJ489" s="697">
        <v>0</v>
      </c>
      <c r="BK489" s="1492">
        <f t="shared" si="51"/>
        <v>0</v>
      </c>
      <c r="BL489" s="1492"/>
      <c r="BM489" s="1492">
        <f t="shared" si="52"/>
        <v>0</v>
      </c>
      <c r="BN489" s="1492">
        <f t="shared" si="53"/>
        <v>0</v>
      </c>
      <c r="BO489" s="697"/>
      <c r="BP489" s="697"/>
      <c r="BQ489" s="1495" t="s">
        <v>6941</v>
      </c>
      <c r="BR489" s="1495" t="s">
        <v>818</v>
      </c>
      <c r="BS489" s="1902" t="s">
        <v>655</v>
      </c>
      <c r="BT489" s="1907" t="s">
        <v>2208</v>
      </c>
    </row>
    <row r="490" spans="1:72" ht="13">
      <c r="A490" s="1545">
        <v>1046</v>
      </c>
      <c r="B490" s="1546" t="s">
        <v>800</v>
      </c>
      <c r="C490" s="1546" t="s">
        <v>802</v>
      </c>
      <c r="D490" s="1547" t="s">
        <v>6888</v>
      </c>
      <c r="E490" s="690" t="s">
        <v>666</v>
      </c>
      <c r="F490" s="691"/>
      <c r="G490" s="692"/>
      <c r="H490" s="692"/>
      <c r="I490" s="692"/>
      <c r="J490" s="693"/>
      <c r="K490" s="693"/>
      <c r="L490" s="693"/>
      <c r="M490" s="694"/>
      <c r="N490" s="695"/>
      <c r="O490" s="696" t="s">
        <v>1569</v>
      </c>
      <c r="P490" s="695">
        <f>'HIV-Key Info'!$H$88*(('HIV-Key Info'!$E$88*'HPM costs'!F291)+('HIV-Key Info'!$F$88*('HPM costs'!F294+'HPM costs'!F297)))</f>
        <v>0</v>
      </c>
      <c r="Q490" s="695" t="s">
        <v>1569</v>
      </c>
      <c r="R490" s="695">
        <f>'HIV-Key Info'!$H$88*(('HIV-Key Info'!$E$88*'HPM costs'!G291)+('HIV-Key Info'!$F$88*('HPM costs'!G294+'HPM costs'!G297)))</f>
        <v>0</v>
      </c>
      <c r="S490" s="695" t="s">
        <v>1569</v>
      </c>
      <c r="T490" s="695">
        <f>'HIV-Key Info'!$H$88*(('HIV-Key Info'!$E$88*'HPM costs'!H291)+('HIV-Key Info'!$F$88*('HPM costs'!H294+'HPM costs'!H297)))</f>
        <v>0</v>
      </c>
      <c r="U490" s="695" t="s">
        <v>1569</v>
      </c>
      <c r="V490" s="695">
        <f>'HIV-Key Info'!$H$88*(('HIV-Key Info'!$E$88*'HPM costs'!I291)+('HIV-Key Info'!$F$88*('HPM costs'!I294+'HPM costs'!I297)))</f>
        <v>0</v>
      </c>
      <c r="W490" s="695"/>
      <c r="X490" s="1492">
        <f t="shared" si="48"/>
        <v>0</v>
      </c>
      <c r="Y490" s="1493"/>
      <c r="Z490" s="1494"/>
      <c r="AA490" s="699"/>
      <c r="AB490" s="695"/>
      <c r="AC490" s="695">
        <f>'HIV-Key Info'!$H$88*(('HIV-Key Info'!$E$88*'HPM costs'!K291)+('HIV-Key Info'!$F$88*('HPM costs'!K294+'HPM costs'!K297)))</f>
        <v>0</v>
      </c>
      <c r="AD490" s="695"/>
      <c r="AE490" s="695">
        <f>'HIV-Key Info'!$H$88*(('HIV-Key Info'!$E$88*'HPM costs'!L291)+('HIV-Key Info'!$F$88*('HPM costs'!L294+'HPM costs'!L297)))</f>
        <v>0</v>
      </c>
      <c r="AF490" s="695"/>
      <c r="AG490" s="695">
        <f>'HIV-Key Info'!$H$88*(('HIV-Key Info'!$E$88*'HPM costs'!M291)+('HIV-Key Info'!$F$88*('HPM costs'!M294+'HPM costs'!M297)))</f>
        <v>0</v>
      </c>
      <c r="AH490" s="695"/>
      <c r="AI490" s="695">
        <f>'HIV-Key Info'!$H$88*(('HIV-Key Info'!$E$88*'HPM costs'!N291)+('HIV-Key Info'!$F$88*('HPM costs'!N294+'HPM costs'!N297)))</f>
        <v>0</v>
      </c>
      <c r="AJ490" s="695"/>
      <c r="AK490" s="1492">
        <f t="shared" si="49"/>
        <v>0</v>
      </c>
      <c r="AL490" s="1493"/>
      <c r="AM490" s="1494"/>
      <c r="AN490" s="699"/>
      <c r="AO490" s="695"/>
      <c r="AP490" s="695">
        <f>'HIV-Key Info'!$H$88*(('HIV-Key Info'!$E$88*'HPM costs'!P291)+('HIV-Key Info'!$F$88*('HPM costs'!P294+'HPM costs'!P297)))</f>
        <v>0</v>
      </c>
      <c r="AQ490" s="695"/>
      <c r="AR490" s="695">
        <f>'HIV-Key Info'!$H$88*(('HIV-Key Info'!$E$88*'HPM costs'!Q291)+('HIV-Key Info'!$F$88*('HPM costs'!Q294+'HPM costs'!Q297)))</f>
        <v>0</v>
      </c>
      <c r="AS490" s="695"/>
      <c r="AT490" s="695">
        <f>'HIV-Key Info'!$H$88*(('HIV-Key Info'!$E$88*'HPM costs'!R291)+('HIV-Key Info'!$F$88*('HPM costs'!R294+'HPM costs'!R297)))</f>
        <v>0</v>
      </c>
      <c r="AU490" s="695"/>
      <c r="AV490" s="695">
        <f>'HIV-Key Info'!$H$88*(('HIV-Key Info'!$E$88*'HPM costs'!S291)+('HIV-Key Info'!$F$88*('HPM costs'!S294+'HPM costs'!S297)))</f>
        <v>0</v>
      </c>
      <c r="AW490" s="695"/>
      <c r="AX490" s="1492">
        <f t="shared" si="50"/>
        <v>0</v>
      </c>
      <c r="AY490" s="1492"/>
      <c r="AZ490" s="698"/>
      <c r="BA490" s="699"/>
      <c r="BB490" s="697"/>
      <c r="BC490" s="697">
        <v>0</v>
      </c>
      <c r="BD490" s="697">
        <v>0</v>
      </c>
      <c r="BE490" s="697">
        <v>0</v>
      </c>
      <c r="BF490" s="697">
        <v>0</v>
      </c>
      <c r="BG490" s="697">
        <v>0</v>
      </c>
      <c r="BH490" s="697">
        <v>0</v>
      </c>
      <c r="BI490" s="697">
        <v>0</v>
      </c>
      <c r="BJ490" s="697">
        <v>0</v>
      </c>
      <c r="BK490" s="1492">
        <f t="shared" si="51"/>
        <v>0</v>
      </c>
      <c r="BL490" s="1492"/>
      <c r="BM490" s="1492">
        <f t="shared" si="52"/>
        <v>0</v>
      </c>
      <c r="BN490" s="1492">
        <f t="shared" si="53"/>
        <v>0</v>
      </c>
      <c r="BO490" s="697"/>
      <c r="BP490" s="697"/>
      <c r="BQ490" s="1495" t="s">
        <v>6941</v>
      </c>
      <c r="BR490" s="1495" t="s">
        <v>818</v>
      </c>
      <c r="BS490" s="1902" t="s">
        <v>655</v>
      </c>
      <c r="BT490" s="1907" t="s">
        <v>2209</v>
      </c>
    </row>
    <row r="491" spans="1:72" ht="13">
      <c r="A491" s="1545">
        <v>1047</v>
      </c>
      <c r="B491" s="1546" t="s">
        <v>800</v>
      </c>
      <c r="C491" s="1546" t="s">
        <v>802</v>
      </c>
      <c r="D491" s="1547" t="s">
        <v>6888</v>
      </c>
      <c r="E491" s="690" t="s">
        <v>668</v>
      </c>
      <c r="F491" s="691"/>
      <c r="G491" s="692"/>
      <c r="H491" s="692"/>
      <c r="I491" s="692"/>
      <c r="J491" s="693"/>
      <c r="K491" s="693"/>
      <c r="L491" s="693"/>
      <c r="M491" s="694"/>
      <c r="N491" s="695"/>
      <c r="O491" s="696" t="s">
        <v>1569</v>
      </c>
      <c r="P491" s="695">
        <f>'HIV-Key Info'!$H$88*(('HIV-Key Info'!$E$88*'HPM costs'!F636)+('HIV-Key Info'!$F$88*('HPM costs'!F639+'HPM costs'!F642)))</f>
        <v>0</v>
      </c>
      <c r="Q491" s="695" t="s">
        <v>1569</v>
      </c>
      <c r="R491" s="695">
        <f>'HIV-Key Info'!$H$88*(('HIV-Key Info'!$E$88*'HPM costs'!G636)+('HIV-Key Info'!$F$88*('HPM costs'!G639+'HPM costs'!G642)))</f>
        <v>0</v>
      </c>
      <c r="S491" s="695" t="s">
        <v>1569</v>
      </c>
      <c r="T491" s="695">
        <f>'HIV-Key Info'!$H$88*(('HIV-Key Info'!$E$88*'HPM costs'!H636)+('HIV-Key Info'!$F$88*('HPM costs'!H639+'HPM costs'!H642)))</f>
        <v>0</v>
      </c>
      <c r="U491" s="695" t="s">
        <v>1569</v>
      </c>
      <c r="V491" s="695">
        <f>'HIV-Key Info'!$H$88*(('HIV-Key Info'!$E$88*'HPM costs'!I636)+('HIV-Key Info'!$F$88*('HPM costs'!I639+'HPM costs'!I642)))</f>
        <v>0</v>
      </c>
      <c r="W491" s="695"/>
      <c r="X491" s="1492">
        <f t="shared" si="48"/>
        <v>0</v>
      </c>
      <c r="Y491" s="1493"/>
      <c r="Z491" s="1494"/>
      <c r="AA491" s="699"/>
      <c r="AB491" s="695"/>
      <c r="AC491" s="695">
        <f>'HIV-Key Info'!$H$88*(('HIV-Key Info'!$E$88*'HPM costs'!K636)+('HIV-Key Info'!$F$88*('HPM costs'!K639+'HPM costs'!K642)))</f>
        <v>0</v>
      </c>
      <c r="AD491" s="695"/>
      <c r="AE491" s="695">
        <f>'HIV-Key Info'!$H$88*(('HIV-Key Info'!$E$88*'HPM costs'!L636)+('HIV-Key Info'!$F$88*('HPM costs'!L639+'HPM costs'!L642)))</f>
        <v>0</v>
      </c>
      <c r="AF491" s="695"/>
      <c r="AG491" s="695">
        <f>'HIV-Key Info'!$H$88*(('HIV-Key Info'!$E$88*'HPM costs'!M636)+('HIV-Key Info'!$F$88*('HPM costs'!M639+'HPM costs'!M642)))</f>
        <v>0</v>
      </c>
      <c r="AH491" s="695"/>
      <c r="AI491" s="695">
        <f>'HIV-Key Info'!$H$88*(('HIV-Key Info'!$E$88*'HPM costs'!N636)+('HIV-Key Info'!$F$88*('HPM costs'!N639+'HPM costs'!N642)))</f>
        <v>0</v>
      </c>
      <c r="AJ491" s="695"/>
      <c r="AK491" s="1492">
        <f t="shared" si="49"/>
        <v>0</v>
      </c>
      <c r="AL491" s="1493"/>
      <c r="AM491" s="1494"/>
      <c r="AN491" s="699"/>
      <c r="AO491" s="695"/>
      <c r="AP491" s="695">
        <f>'HIV-Key Info'!$H$88*(('HIV-Key Info'!$E$88*'HPM costs'!P636)+('HIV-Key Info'!$F$88*('HPM costs'!P639+'HPM costs'!P642)))</f>
        <v>0</v>
      </c>
      <c r="AQ491" s="695"/>
      <c r="AR491" s="695">
        <f>'HIV-Key Info'!$H$88*(('HIV-Key Info'!$E$88*'HPM costs'!Q636)+('HIV-Key Info'!$F$88*('HPM costs'!Q639+'HPM costs'!Q642)))</f>
        <v>0</v>
      </c>
      <c r="AS491" s="695"/>
      <c r="AT491" s="695">
        <f>'HIV-Key Info'!$H$88*(('HIV-Key Info'!$E$88*'HPM costs'!R636)+('HIV-Key Info'!$F$88*('HPM costs'!R639+'HPM costs'!R642)))</f>
        <v>0</v>
      </c>
      <c r="AU491" s="695"/>
      <c r="AV491" s="695">
        <f>'HIV-Key Info'!$H$88*(('HIV-Key Info'!$E$88*'HPM costs'!S636)+('HIV-Key Info'!$F$88*('HPM costs'!S639+'HPM costs'!S642)))</f>
        <v>0</v>
      </c>
      <c r="AW491" s="695"/>
      <c r="AX491" s="1492">
        <f t="shared" si="50"/>
        <v>0</v>
      </c>
      <c r="AY491" s="1492"/>
      <c r="AZ491" s="698"/>
      <c r="BA491" s="699"/>
      <c r="BB491" s="697"/>
      <c r="BC491" s="697">
        <v>0</v>
      </c>
      <c r="BD491" s="697">
        <v>0</v>
      </c>
      <c r="BE491" s="697">
        <v>0</v>
      </c>
      <c r="BF491" s="697">
        <v>0</v>
      </c>
      <c r="BG491" s="697">
        <v>0</v>
      </c>
      <c r="BH491" s="697">
        <v>0</v>
      </c>
      <c r="BI491" s="697">
        <v>0</v>
      </c>
      <c r="BJ491" s="697">
        <v>0</v>
      </c>
      <c r="BK491" s="1492">
        <f t="shared" si="51"/>
        <v>0</v>
      </c>
      <c r="BL491" s="1492"/>
      <c r="BM491" s="1492">
        <f t="shared" si="52"/>
        <v>0</v>
      </c>
      <c r="BN491" s="1492">
        <f t="shared" si="53"/>
        <v>0</v>
      </c>
      <c r="BO491" s="697"/>
      <c r="BP491" s="697"/>
      <c r="BQ491" s="1495" t="s">
        <v>6941</v>
      </c>
      <c r="BR491" s="1495" t="s">
        <v>818</v>
      </c>
      <c r="BS491" s="1902" t="s">
        <v>655</v>
      </c>
      <c r="BT491" s="1907" t="s">
        <v>2210</v>
      </c>
    </row>
    <row r="492" spans="1:72" ht="13">
      <c r="A492" s="1545">
        <v>1048</v>
      </c>
      <c r="B492" s="1546" t="s">
        <v>800</v>
      </c>
      <c r="C492" s="1546" t="s">
        <v>803</v>
      </c>
      <c r="D492" s="1547" t="s">
        <v>6962</v>
      </c>
      <c r="E492" s="690" t="s">
        <v>731</v>
      </c>
      <c r="F492" s="691"/>
      <c r="G492" s="692"/>
      <c r="H492" s="692"/>
      <c r="I492" s="692"/>
      <c r="J492" s="693"/>
      <c r="K492" s="693"/>
      <c r="L492" s="693"/>
      <c r="M492" s="694"/>
      <c r="N492" s="695"/>
      <c r="O492" s="696" t="s">
        <v>1569</v>
      </c>
      <c r="P492" s="695">
        <f>'HIV-Key Info'!$I$88*('HIV-Key Info'!$E$88*('HPM costs'!F551/'HPM costs'!$E$551)+'HIV-Key Info'!$F$88*('HPM costs'!F557/'HPM costs'!$E$557+'HPM costs'!F554/'HPM costs'!$E$554))</f>
        <v>0</v>
      </c>
      <c r="Q492" s="695" t="s">
        <v>1569</v>
      </c>
      <c r="R492" s="695">
        <f>'HIV-Key Info'!$I$88*('HIV-Key Info'!$E$88*('HPM costs'!G551/'HPM costs'!$E$551)+'HIV-Key Info'!$F$88*('HPM costs'!G557/'HPM costs'!$E$557+'HPM costs'!G554/'HPM costs'!$E$554))</f>
        <v>0</v>
      </c>
      <c r="S492" s="695" t="s">
        <v>1569</v>
      </c>
      <c r="T492" s="695">
        <f>'HIV-Key Info'!$I$88*('HIV-Key Info'!$E$88*('HPM costs'!H551/'HPM costs'!$E$551)+'HIV-Key Info'!$F$88*('HPM costs'!H557/'HPM costs'!$E$557+'HPM costs'!H554/'HPM costs'!$E$554))</f>
        <v>0</v>
      </c>
      <c r="U492" s="695" t="s">
        <v>1569</v>
      </c>
      <c r="V492" s="695">
        <f>'HIV-Key Info'!$I$88*('HIV-Key Info'!$E$88*('HPM costs'!I551/'HPM costs'!$E$551)+'HIV-Key Info'!$F$88*('HPM costs'!I557/'HPM costs'!$E$557+'HPM costs'!I554/'HPM costs'!$E$554))</f>
        <v>0</v>
      </c>
      <c r="W492" s="695"/>
      <c r="X492" s="1492">
        <f t="shared" si="48"/>
        <v>0</v>
      </c>
      <c r="Y492" s="1493"/>
      <c r="Z492" s="1494"/>
      <c r="AA492" s="699"/>
      <c r="AB492" s="695"/>
      <c r="AC492" s="695">
        <f>'HIV-Key Info'!$I$88*('HIV-Key Info'!$E$88*('HPM costs'!K551/'HPM costs'!$E$551)+'HIV-Key Info'!$F$88*('HPM costs'!K557/'HPM costs'!$E$557+'HPM costs'!K554/'HPM costs'!$E$554))</f>
        <v>0</v>
      </c>
      <c r="AD492" s="695"/>
      <c r="AE492" s="695">
        <f>'HIV-Key Info'!$I$88*('HIV-Key Info'!$E$88*('HPM costs'!L551/'HPM costs'!$E$551)+'HIV-Key Info'!$F$88*('HPM costs'!L557/'HPM costs'!$E$557+'HPM costs'!L554/'HPM costs'!$E$554))</f>
        <v>0</v>
      </c>
      <c r="AF492" s="695"/>
      <c r="AG492" s="695">
        <f>'HIV-Key Info'!$I$88*('HIV-Key Info'!$E$88*('HPM costs'!M551/'HPM costs'!$E$551)+'HIV-Key Info'!$F$88*('HPM costs'!M557/'HPM costs'!$E$557+'HPM costs'!M554/'HPM costs'!$E$554))</f>
        <v>0</v>
      </c>
      <c r="AH492" s="695"/>
      <c r="AI492" s="695">
        <f>'HIV-Key Info'!$I$88*('HIV-Key Info'!$E$88*('HPM costs'!N551/'HPM costs'!$E$551)+'HIV-Key Info'!$F$88*('HPM costs'!N557/'HPM costs'!$E$557+'HPM costs'!N554/'HPM costs'!$E$554))</f>
        <v>0</v>
      </c>
      <c r="AJ492" s="695"/>
      <c r="AK492" s="1492">
        <f t="shared" si="49"/>
        <v>0</v>
      </c>
      <c r="AL492" s="1493"/>
      <c r="AM492" s="1494"/>
      <c r="AN492" s="699"/>
      <c r="AO492" s="695"/>
      <c r="AP492" s="695">
        <f>'HIV-Key Info'!$I$88*('HIV-Key Info'!$E$88*('HPM costs'!P551/'HPM costs'!$E$551)+'HIV-Key Info'!$F$88*('HPM costs'!P557/'HPM costs'!$E$557+'HPM costs'!P554/'HPM costs'!$E$554))</f>
        <v>0</v>
      </c>
      <c r="AQ492" s="695"/>
      <c r="AR492" s="695">
        <f>'HIV-Key Info'!$I$88*('HIV-Key Info'!$E$88*('HPM costs'!Q551/'HPM costs'!$E$551)+'HIV-Key Info'!$F$88*('HPM costs'!Q557/'HPM costs'!$E$557+'HPM costs'!Q554/'HPM costs'!$E$554))</f>
        <v>0</v>
      </c>
      <c r="AS492" s="695"/>
      <c r="AT492" s="695">
        <f>'HIV-Key Info'!$I$88*('HIV-Key Info'!$E$88*('HPM costs'!R551/'HPM costs'!$E$551)+'HIV-Key Info'!$F$88*('HPM costs'!R557/'HPM costs'!$E$557+'HPM costs'!R554/'HPM costs'!$E$554))</f>
        <v>0</v>
      </c>
      <c r="AU492" s="695"/>
      <c r="AV492" s="695">
        <f>'HIV-Key Info'!$I$88*('HIV-Key Info'!$E$88*('HPM costs'!S551/'HPM costs'!$E$551)+'HIV-Key Info'!$F$88*('HPM costs'!S557/'HPM costs'!$E$557+'HPM costs'!S554/'HPM costs'!$E$554))</f>
        <v>0</v>
      </c>
      <c r="AW492" s="695"/>
      <c r="AX492" s="1492">
        <f t="shared" si="50"/>
        <v>0</v>
      </c>
      <c r="AY492" s="1492"/>
      <c r="AZ492" s="698"/>
      <c r="BA492" s="699"/>
      <c r="BB492" s="697"/>
      <c r="BC492" s="697">
        <v>0</v>
      </c>
      <c r="BD492" s="697">
        <v>0</v>
      </c>
      <c r="BE492" s="697">
        <v>0</v>
      </c>
      <c r="BF492" s="697">
        <v>0</v>
      </c>
      <c r="BG492" s="697">
        <v>0</v>
      </c>
      <c r="BH492" s="697">
        <v>0</v>
      </c>
      <c r="BI492" s="697">
        <v>0</v>
      </c>
      <c r="BJ492" s="697">
        <v>0</v>
      </c>
      <c r="BK492" s="1492">
        <f t="shared" si="51"/>
        <v>0</v>
      </c>
      <c r="BL492" s="1492"/>
      <c r="BM492" s="1492">
        <f t="shared" si="52"/>
        <v>0</v>
      </c>
      <c r="BN492" s="1492">
        <f t="shared" si="53"/>
        <v>0</v>
      </c>
      <c r="BO492" s="697"/>
      <c r="BP492" s="697"/>
      <c r="BQ492" s="1495" t="s">
        <v>6941</v>
      </c>
      <c r="BR492" s="1495" t="s">
        <v>818</v>
      </c>
      <c r="BS492" s="1902" t="s">
        <v>6953</v>
      </c>
      <c r="BT492" s="1907" t="s">
        <v>2211</v>
      </c>
    </row>
    <row r="493" spans="1:72" ht="13">
      <c r="A493" s="1545">
        <v>1049</v>
      </c>
      <c r="B493" s="1546" t="s">
        <v>800</v>
      </c>
      <c r="C493" s="1546" t="s">
        <v>803</v>
      </c>
      <c r="D493" s="1547" t="s">
        <v>6888</v>
      </c>
      <c r="E493" s="690" t="s">
        <v>656</v>
      </c>
      <c r="F493" s="691"/>
      <c r="G493" s="692"/>
      <c r="H493" s="692"/>
      <c r="I493" s="692"/>
      <c r="J493" s="693"/>
      <c r="K493" s="693"/>
      <c r="L493" s="693"/>
      <c r="M493" s="694"/>
      <c r="N493" s="695"/>
      <c r="O493" s="696" t="s">
        <v>1569</v>
      </c>
      <c r="P493" s="695">
        <f>'HIV-Key Info'!$I$88*(('HIV-Key Info'!$E$88*'HPM costs'!F33)+('HIV-Key Info'!$F$88*('HPM costs'!F36+'HPM costs'!F39)))</f>
        <v>0</v>
      </c>
      <c r="Q493" s="695" t="s">
        <v>1569</v>
      </c>
      <c r="R493" s="695">
        <f>'HIV-Key Info'!$I$88*(('HIV-Key Info'!$E$88*'HPM costs'!G33)+('HIV-Key Info'!$F$88*('HPM costs'!G36+'HPM costs'!G39)))</f>
        <v>0</v>
      </c>
      <c r="S493" s="695" t="s">
        <v>1569</v>
      </c>
      <c r="T493" s="695">
        <f>'HIV-Key Info'!$I$88*(('HIV-Key Info'!$E$88*'HPM costs'!H33)+('HIV-Key Info'!$F$88*('HPM costs'!H36+'HPM costs'!H39)))</f>
        <v>0</v>
      </c>
      <c r="U493" s="695" t="s">
        <v>1569</v>
      </c>
      <c r="V493" s="695">
        <f>'HIV-Key Info'!$I$88*(('HIV-Key Info'!$E$88*'HPM costs'!I33)+('HIV-Key Info'!$F$88*('HPM costs'!I36+'HPM costs'!I39)))</f>
        <v>0</v>
      </c>
      <c r="W493" s="695"/>
      <c r="X493" s="1492">
        <f t="shared" si="48"/>
        <v>0</v>
      </c>
      <c r="Y493" s="1493"/>
      <c r="Z493" s="1494"/>
      <c r="AA493" s="699"/>
      <c r="AB493" s="695"/>
      <c r="AC493" s="695">
        <f>'HIV-Key Info'!$I$88*(('HIV-Key Info'!$E$88*'HPM costs'!K33)+('HIV-Key Info'!$F$88*('HPM costs'!K36+'HPM costs'!K39)))</f>
        <v>0</v>
      </c>
      <c r="AD493" s="695"/>
      <c r="AE493" s="695">
        <f>'HIV-Key Info'!$I$88*(('HIV-Key Info'!$E$88*'HPM costs'!L33)+('HIV-Key Info'!$F$88*('HPM costs'!L36+'HPM costs'!L39)))</f>
        <v>0</v>
      </c>
      <c r="AF493" s="695"/>
      <c r="AG493" s="695">
        <f>'HIV-Key Info'!$I$88*(('HIV-Key Info'!$E$88*'HPM costs'!M33)+('HIV-Key Info'!$F$88*('HPM costs'!M36+'HPM costs'!M39)))</f>
        <v>0</v>
      </c>
      <c r="AH493" s="695"/>
      <c r="AI493" s="695">
        <f>'HIV-Key Info'!$I$88*(('HIV-Key Info'!$E$88*'HPM costs'!N33)+('HIV-Key Info'!$F$88*('HPM costs'!N36+'HPM costs'!N39)))</f>
        <v>0</v>
      </c>
      <c r="AJ493" s="695"/>
      <c r="AK493" s="1492">
        <f t="shared" si="49"/>
        <v>0</v>
      </c>
      <c r="AL493" s="1493"/>
      <c r="AM493" s="1494"/>
      <c r="AN493" s="699"/>
      <c r="AO493" s="695"/>
      <c r="AP493" s="695">
        <f>'HIV-Key Info'!$I$88*(('HIV-Key Info'!$E$88*'HPM costs'!P33)+('HIV-Key Info'!$F$88*('HPM costs'!P36+'HPM costs'!P39)))</f>
        <v>0</v>
      </c>
      <c r="AQ493" s="695"/>
      <c r="AR493" s="695">
        <f>'HIV-Key Info'!$I$88*(('HIV-Key Info'!$E$88*'HPM costs'!Q33)+('HIV-Key Info'!$F$88*('HPM costs'!Q36+'HPM costs'!Q39)))</f>
        <v>0</v>
      </c>
      <c r="AS493" s="695"/>
      <c r="AT493" s="695">
        <f>'HIV-Key Info'!$I$88*(('HIV-Key Info'!$E$88*'HPM costs'!R33)+('HIV-Key Info'!$F$88*('HPM costs'!R36+'HPM costs'!R39)))</f>
        <v>0</v>
      </c>
      <c r="AU493" s="695"/>
      <c r="AV493" s="695">
        <f>'HIV-Key Info'!$I$88*(('HIV-Key Info'!$E$88*'HPM costs'!S33)+('HIV-Key Info'!$F$88*('HPM costs'!S36+'HPM costs'!S39)))</f>
        <v>0</v>
      </c>
      <c r="AW493" s="695"/>
      <c r="AX493" s="1492">
        <f t="shared" si="50"/>
        <v>0</v>
      </c>
      <c r="AY493" s="1492"/>
      <c r="AZ493" s="698"/>
      <c r="BA493" s="699"/>
      <c r="BB493" s="697"/>
      <c r="BC493" s="697">
        <v>0</v>
      </c>
      <c r="BD493" s="697">
        <v>0</v>
      </c>
      <c r="BE493" s="697">
        <v>0</v>
      </c>
      <c r="BF493" s="697">
        <v>0</v>
      </c>
      <c r="BG493" s="697">
        <v>0</v>
      </c>
      <c r="BH493" s="697">
        <v>0</v>
      </c>
      <c r="BI493" s="697">
        <v>0</v>
      </c>
      <c r="BJ493" s="697">
        <v>0</v>
      </c>
      <c r="BK493" s="1492">
        <f t="shared" si="51"/>
        <v>0</v>
      </c>
      <c r="BL493" s="1492"/>
      <c r="BM493" s="1492">
        <f t="shared" si="52"/>
        <v>0</v>
      </c>
      <c r="BN493" s="1492">
        <f t="shared" si="53"/>
        <v>0</v>
      </c>
      <c r="BO493" s="697"/>
      <c r="BP493" s="697"/>
      <c r="BQ493" s="1495" t="s">
        <v>6941</v>
      </c>
      <c r="BR493" s="1495" t="s">
        <v>818</v>
      </c>
      <c r="BS493" s="1902" t="s">
        <v>655</v>
      </c>
      <c r="BT493" s="1907" t="s">
        <v>2212</v>
      </c>
    </row>
    <row r="494" spans="1:72" ht="13">
      <c r="A494" s="1545">
        <v>1050</v>
      </c>
      <c r="B494" s="1546" t="s">
        <v>800</v>
      </c>
      <c r="C494" s="1546" t="s">
        <v>803</v>
      </c>
      <c r="D494" s="1547" t="s">
        <v>6888</v>
      </c>
      <c r="E494" s="690" t="s">
        <v>658</v>
      </c>
      <c r="F494" s="691"/>
      <c r="G494" s="692"/>
      <c r="H494" s="692"/>
      <c r="I494" s="692"/>
      <c r="J494" s="693"/>
      <c r="K494" s="693"/>
      <c r="L494" s="693"/>
      <c r="M494" s="694"/>
      <c r="N494" s="695"/>
      <c r="O494" s="696" t="s">
        <v>1569</v>
      </c>
      <c r="P494" s="695">
        <f>'HIV-Key Info'!$I$88*(('HIV-Key Info'!$E$88*'HPM costs'!F119)+('HIV-Key Info'!$F$88*('HPM costs'!F122+'HPM costs'!F125)))</f>
        <v>0</v>
      </c>
      <c r="Q494" s="695" t="s">
        <v>1569</v>
      </c>
      <c r="R494" s="695">
        <f>'HIV-Key Info'!$I$88*(('HIV-Key Info'!$E$88*'HPM costs'!G119)+('HIV-Key Info'!$F$88*('HPM costs'!G122+'HPM costs'!G125)))</f>
        <v>0</v>
      </c>
      <c r="S494" s="695" t="s">
        <v>1569</v>
      </c>
      <c r="T494" s="695">
        <f>'HIV-Key Info'!$I$88*(('HIV-Key Info'!$E$88*'HPM costs'!H119)+('HIV-Key Info'!$F$88*('HPM costs'!H122+'HPM costs'!H125)))</f>
        <v>0</v>
      </c>
      <c r="U494" s="695" t="s">
        <v>1569</v>
      </c>
      <c r="V494" s="695">
        <f>'HIV-Key Info'!$I$88*(('HIV-Key Info'!$E$88*'HPM costs'!I119)+('HIV-Key Info'!$F$88*('HPM costs'!I122+'HPM costs'!I125)))</f>
        <v>0</v>
      </c>
      <c r="W494" s="695"/>
      <c r="X494" s="1492">
        <f t="shared" si="48"/>
        <v>0</v>
      </c>
      <c r="Y494" s="1493"/>
      <c r="Z494" s="1494"/>
      <c r="AA494" s="699"/>
      <c r="AB494" s="695"/>
      <c r="AC494" s="695">
        <f>'HIV-Key Info'!$I$88*(('HIV-Key Info'!$E$88*'HPM costs'!K119)+('HIV-Key Info'!$F$88*('HPM costs'!K122+'HPM costs'!K125)))</f>
        <v>0</v>
      </c>
      <c r="AD494" s="695"/>
      <c r="AE494" s="695">
        <f>'HIV-Key Info'!$I$88*(('HIV-Key Info'!$E$88*'HPM costs'!L119)+('HIV-Key Info'!$F$88*('HPM costs'!L122+'HPM costs'!L125)))</f>
        <v>0</v>
      </c>
      <c r="AF494" s="695"/>
      <c r="AG494" s="695">
        <f>'HIV-Key Info'!$I$88*(('HIV-Key Info'!$E$88*'HPM costs'!M119)+('HIV-Key Info'!$F$88*('HPM costs'!M122+'HPM costs'!M125)))</f>
        <v>0</v>
      </c>
      <c r="AH494" s="695"/>
      <c r="AI494" s="695">
        <f>'HIV-Key Info'!$I$88*(('HIV-Key Info'!$E$88*'HPM costs'!N119)+('HIV-Key Info'!$F$88*('HPM costs'!N122+'HPM costs'!N125)))</f>
        <v>0</v>
      </c>
      <c r="AJ494" s="695"/>
      <c r="AK494" s="1492">
        <f t="shared" si="49"/>
        <v>0</v>
      </c>
      <c r="AL494" s="1493"/>
      <c r="AM494" s="1494"/>
      <c r="AN494" s="699"/>
      <c r="AO494" s="695"/>
      <c r="AP494" s="695">
        <f>'HIV-Key Info'!$I$88*(('HIV-Key Info'!$E$88*'HPM costs'!P119)+('HIV-Key Info'!$F$88*('HPM costs'!P122+'HPM costs'!P125)))</f>
        <v>0</v>
      </c>
      <c r="AQ494" s="695"/>
      <c r="AR494" s="695">
        <f>'HIV-Key Info'!$I$88*(('HIV-Key Info'!$E$88*'HPM costs'!Q119)+('HIV-Key Info'!$F$88*('HPM costs'!Q122+'HPM costs'!Q125)))</f>
        <v>0</v>
      </c>
      <c r="AS494" s="695"/>
      <c r="AT494" s="695">
        <f>'HIV-Key Info'!$I$88*(('HIV-Key Info'!$E$88*'HPM costs'!R119)+('HIV-Key Info'!$F$88*('HPM costs'!R122+'HPM costs'!R125)))</f>
        <v>0</v>
      </c>
      <c r="AU494" s="695"/>
      <c r="AV494" s="695">
        <f>'HIV-Key Info'!$I$88*(('HIV-Key Info'!$E$88*'HPM costs'!S119)+('HIV-Key Info'!$F$88*('HPM costs'!S122+'HPM costs'!S125)))</f>
        <v>0</v>
      </c>
      <c r="AW494" s="695"/>
      <c r="AX494" s="1492">
        <f t="shared" si="50"/>
        <v>0</v>
      </c>
      <c r="AY494" s="1492"/>
      <c r="AZ494" s="698"/>
      <c r="BA494" s="699"/>
      <c r="BB494" s="697"/>
      <c r="BC494" s="697">
        <v>0</v>
      </c>
      <c r="BD494" s="697">
        <v>0</v>
      </c>
      <c r="BE494" s="697">
        <v>0</v>
      </c>
      <c r="BF494" s="697">
        <v>0</v>
      </c>
      <c r="BG494" s="697">
        <v>0</v>
      </c>
      <c r="BH494" s="697">
        <v>0</v>
      </c>
      <c r="BI494" s="697">
        <v>0</v>
      </c>
      <c r="BJ494" s="697">
        <v>0</v>
      </c>
      <c r="BK494" s="1492">
        <f t="shared" si="51"/>
        <v>0</v>
      </c>
      <c r="BL494" s="1492"/>
      <c r="BM494" s="1492">
        <f t="shared" si="52"/>
        <v>0</v>
      </c>
      <c r="BN494" s="1492">
        <f t="shared" si="53"/>
        <v>0</v>
      </c>
      <c r="BO494" s="697"/>
      <c r="BP494" s="697"/>
      <c r="BQ494" s="1495" t="s">
        <v>6941</v>
      </c>
      <c r="BR494" s="1495" t="s">
        <v>818</v>
      </c>
      <c r="BS494" s="1902" t="s">
        <v>655</v>
      </c>
      <c r="BT494" s="1907" t="s">
        <v>2213</v>
      </c>
    </row>
    <row r="495" spans="1:72" ht="13">
      <c r="A495" s="1545">
        <v>1051</v>
      </c>
      <c r="B495" s="1546" t="s">
        <v>800</v>
      </c>
      <c r="C495" s="1546" t="s">
        <v>803</v>
      </c>
      <c r="D495" s="1547" t="s">
        <v>6888</v>
      </c>
      <c r="E495" s="690" t="s">
        <v>660</v>
      </c>
      <c r="F495" s="691"/>
      <c r="G495" s="692"/>
      <c r="H495" s="692"/>
      <c r="I495" s="692"/>
      <c r="J495" s="693"/>
      <c r="K495" s="693"/>
      <c r="L495" s="693"/>
      <c r="M495" s="694"/>
      <c r="N495" s="695"/>
      <c r="O495" s="696" t="s">
        <v>1569</v>
      </c>
      <c r="P495" s="695">
        <f>'HIV-Key Info'!$I$88*(('HIV-Key Info'!$E$88*'HPM costs'!F379)+('HIV-Key Info'!$F$88*('HPM costs'!F382+'HPM costs'!F385)))</f>
        <v>0</v>
      </c>
      <c r="Q495" s="695" t="s">
        <v>1569</v>
      </c>
      <c r="R495" s="695">
        <f>'HIV-Key Info'!$I$88*(('HIV-Key Info'!$E$88*'HPM costs'!G379)+('HIV-Key Info'!$F$88*('HPM costs'!G382+'HPM costs'!G385)))</f>
        <v>0</v>
      </c>
      <c r="S495" s="695" t="s">
        <v>1569</v>
      </c>
      <c r="T495" s="695">
        <f>'HIV-Key Info'!$I$88*(('HIV-Key Info'!$E$88*'HPM costs'!H379)+('HIV-Key Info'!$F$88*('HPM costs'!H382+'HPM costs'!H385)))</f>
        <v>0</v>
      </c>
      <c r="U495" s="695" t="s">
        <v>1569</v>
      </c>
      <c r="V495" s="695">
        <f>'HIV-Key Info'!$I$88*(('HIV-Key Info'!$E$88*'HPM costs'!I379)+('HIV-Key Info'!$F$88*('HPM costs'!I382+'HPM costs'!I385)))</f>
        <v>0</v>
      </c>
      <c r="W495" s="695"/>
      <c r="X495" s="1492">
        <f t="shared" si="48"/>
        <v>0</v>
      </c>
      <c r="Y495" s="1493"/>
      <c r="Z495" s="1494"/>
      <c r="AA495" s="699"/>
      <c r="AB495" s="695"/>
      <c r="AC495" s="695">
        <f>'HIV-Key Info'!$I$88*(('HIV-Key Info'!$E$88*'HPM costs'!K379)+('HIV-Key Info'!$F$88*('HPM costs'!K382+'HPM costs'!K385)))</f>
        <v>0</v>
      </c>
      <c r="AD495" s="695"/>
      <c r="AE495" s="695">
        <f>'HIV-Key Info'!$I$88*(('HIV-Key Info'!$E$88*'HPM costs'!L379)+('HIV-Key Info'!$F$88*('HPM costs'!L382+'HPM costs'!L385)))</f>
        <v>0</v>
      </c>
      <c r="AF495" s="695"/>
      <c r="AG495" s="695">
        <f>'HIV-Key Info'!$I$88*(('HIV-Key Info'!$E$88*'HPM costs'!M379)+('HIV-Key Info'!$F$88*('HPM costs'!M382+'HPM costs'!M385)))</f>
        <v>0</v>
      </c>
      <c r="AH495" s="695"/>
      <c r="AI495" s="695">
        <f>'HIV-Key Info'!$I$88*(('HIV-Key Info'!$E$88*'HPM costs'!N379)+('HIV-Key Info'!$F$88*('HPM costs'!N382+'HPM costs'!N385)))</f>
        <v>0</v>
      </c>
      <c r="AJ495" s="695"/>
      <c r="AK495" s="1492">
        <f t="shared" si="49"/>
        <v>0</v>
      </c>
      <c r="AL495" s="1493"/>
      <c r="AM495" s="1494"/>
      <c r="AN495" s="699"/>
      <c r="AO495" s="695"/>
      <c r="AP495" s="695">
        <f>'HIV-Key Info'!$I$88*(('HIV-Key Info'!$E$88*'HPM costs'!P379)+('HIV-Key Info'!$F$88*('HPM costs'!P382+'HPM costs'!P385)))</f>
        <v>0</v>
      </c>
      <c r="AQ495" s="695"/>
      <c r="AR495" s="695">
        <f>'HIV-Key Info'!$I$88*(('HIV-Key Info'!$E$88*'HPM costs'!Q379)+('HIV-Key Info'!$F$88*('HPM costs'!Q382+'HPM costs'!Q385)))</f>
        <v>0</v>
      </c>
      <c r="AS495" s="695"/>
      <c r="AT495" s="695">
        <f>'HIV-Key Info'!$I$88*(('HIV-Key Info'!$E$88*'HPM costs'!R379)+('HIV-Key Info'!$F$88*('HPM costs'!R382+'HPM costs'!R385)))</f>
        <v>0</v>
      </c>
      <c r="AU495" s="695"/>
      <c r="AV495" s="695">
        <f>'HIV-Key Info'!$I$88*(('HIV-Key Info'!$E$88*'HPM costs'!S379)+('HIV-Key Info'!$F$88*('HPM costs'!S382+'HPM costs'!S385)))</f>
        <v>0</v>
      </c>
      <c r="AW495" s="695"/>
      <c r="AX495" s="1492">
        <f t="shared" si="50"/>
        <v>0</v>
      </c>
      <c r="AY495" s="1492"/>
      <c r="AZ495" s="698"/>
      <c r="BA495" s="699"/>
      <c r="BB495" s="697"/>
      <c r="BC495" s="697">
        <v>0</v>
      </c>
      <c r="BD495" s="697">
        <v>0</v>
      </c>
      <c r="BE495" s="697">
        <v>0</v>
      </c>
      <c r="BF495" s="697">
        <v>0</v>
      </c>
      <c r="BG495" s="697">
        <v>0</v>
      </c>
      <c r="BH495" s="697">
        <v>0</v>
      </c>
      <c r="BI495" s="697">
        <v>0</v>
      </c>
      <c r="BJ495" s="697">
        <v>0</v>
      </c>
      <c r="BK495" s="1492">
        <f t="shared" si="51"/>
        <v>0</v>
      </c>
      <c r="BL495" s="1492"/>
      <c r="BM495" s="1492">
        <f t="shared" si="52"/>
        <v>0</v>
      </c>
      <c r="BN495" s="1492">
        <f t="shared" si="53"/>
        <v>0</v>
      </c>
      <c r="BO495" s="697"/>
      <c r="BP495" s="697"/>
      <c r="BQ495" s="1495" t="s">
        <v>6941</v>
      </c>
      <c r="BR495" s="1495" t="s">
        <v>818</v>
      </c>
      <c r="BS495" s="1902" t="s">
        <v>655</v>
      </c>
      <c r="BT495" s="1907" t="s">
        <v>2214</v>
      </c>
    </row>
    <row r="496" spans="1:72" ht="13">
      <c r="A496" s="1545">
        <v>1052</v>
      </c>
      <c r="B496" s="1546" t="s">
        <v>800</v>
      </c>
      <c r="C496" s="1546" t="s">
        <v>803</v>
      </c>
      <c r="D496" s="1547" t="s">
        <v>6888</v>
      </c>
      <c r="E496" s="690" t="s">
        <v>662</v>
      </c>
      <c r="F496" s="691"/>
      <c r="G496" s="692"/>
      <c r="H496" s="692"/>
      <c r="I496" s="692"/>
      <c r="J496" s="693"/>
      <c r="K496" s="693"/>
      <c r="L496" s="693"/>
      <c r="M496" s="694"/>
      <c r="N496" s="695"/>
      <c r="O496" s="696" t="s">
        <v>1569</v>
      </c>
      <c r="P496" s="695">
        <f>'HIV-Key Info'!$I$88*(('HIV-Key Info'!$E$88*'HPM costs'!F465)+('HIV-Key Info'!$F$88*('HPM costs'!F468+'HPM costs'!F471)))</f>
        <v>0</v>
      </c>
      <c r="Q496" s="695" t="s">
        <v>1569</v>
      </c>
      <c r="R496" s="695">
        <f>'HIV-Key Info'!$I$88*(('HIV-Key Info'!$E$88*'HPM costs'!G465)+('HIV-Key Info'!$F$88*('HPM costs'!G468+'HPM costs'!G471)))</f>
        <v>0</v>
      </c>
      <c r="S496" s="695" t="s">
        <v>1569</v>
      </c>
      <c r="T496" s="695">
        <f>'HIV-Key Info'!$I$88*(('HIV-Key Info'!$E$88*'HPM costs'!H465)+('HIV-Key Info'!$F$88*('HPM costs'!H468+'HPM costs'!H471)))</f>
        <v>0</v>
      </c>
      <c r="U496" s="695" t="s">
        <v>1569</v>
      </c>
      <c r="V496" s="695">
        <f>'HIV-Key Info'!$I$88*(('HIV-Key Info'!$E$88*'HPM costs'!I465)+('HIV-Key Info'!$F$88*('HPM costs'!I468+'HPM costs'!I471)))</f>
        <v>0</v>
      </c>
      <c r="W496" s="695"/>
      <c r="X496" s="1492">
        <f t="shared" si="48"/>
        <v>0</v>
      </c>
      <c r="Y496" s="1493"/>
      <c r="Z496" s="1494"/>
      <c r="AA496" s="699"/>
      <c r="AB496" s="695"/>
      <c r="AC496" s="695">
        <f>'HIV-Key Info'!$I$88*(('HIV-Key Info'!$E$88*'HPM costs'!K465)+('HIV-Key Info'!$F$88*('HPM costs'!K468+'HPM costs'!K471)))</f>
        <v>0</v>
      </c>
      <c r="AD496" s="695"/>
      <c r="AE496" s="695">
        <f>'HIV-Key Info'!$I$88*(('HIV-Key Info'!$E$88*'HPM costs'!L465)+('HIV-Key Info'!$F$88*('HPM costs'!L468+'HPM costs'!L471)))</f>
        <v>0</v>
      </c>
      <c r="AF496" s="695"/>
      <c r="AG496" s="695">
        <f>'HIV-Key Info'!$I$88*(('HIV-Key Info'!$E$88*'HPM costs'!M465)+('HIV-Key Info'!$F$88*('HPM costs'!M468+'HPM costs'!M471)))</f>
        <v>0</v>
      </c>
      <c r="AH496" s="695"/>
      <c r="AI496" s="695">
        <f>'HIV-Key Info'!$I$88*(('HIV-Key Info'!$E$88*'HPM costs'!N465)+('HIV-Key Info'!$F$88*('HPM costs'!N468+'HPM costs'!N471)))</f>
        <v>0</v>
      </c>
      <c r="AJ496" s="695"/>
      <c r="AK496" s="1492">
        <f t="shared" si="49"/>
        <v>0</v>
      </c>
      <c r="AL496" s="1493"/>
      <c r="AM496" s="1494"/>
      <c r="AN496" s="699"/>
      <c r="AO496" s="695"/>
      <c r="AP496" s="695">
        <f>'HIV-Key Info'!$I$88*(('HIV-Key Info'!$E$88*'HPM costs'!P465)+('HIV-Key Info'!$F$88*('HPM costs'!P468+'HPM costs'!P471)))</f>
        <v>0</v>
      </c>
      <c r="AQ496" s="695"/>
      <c r="AR496" s="695">
        <f>'HIV-Key Info'!$I$88*(('HIV-Key Info'!$E$88*'HPM costs'!Q465)+('HIV-Key Info'!$F$88*('HPM costs'!Q468+'HPM costs'!Q471)))</f>
        <v>0</v>
      </c>
      <c r="AS496" s="695"/>
      <c r="AT496" s="695">
        <f>'HIV-Key Info'!$I$88*(('HIV-Key Info'!$E$88*'HPM costs'!R465)+('HIV-Key Info'!$F$88*('HPM costs'!R468+'HPM costs'!R471)))</f>
        <v>0</v>
      </c>
      <c r="AU496" s="695"/>
      <c r="AV496" s="695">
        <f>'HIV-Key Info'!$I$88*(('HIV-Key Info'!$E$88*'HPM costs'!S465)+('HIV-Key Info'!$F$88*('HPM costs'!S468+'HPM costs'!S471)))</f>
        <v>0</v>
      </c>
      <c r="AW496" s="695"/>
      <c r="AX496" s="1492">
        <f t="shared" si="50"/>
        <v>0</v>
      </c>
      <c r="AY496" s="1492"/>
      <c r="AZ496" s="698"/>
      <c r="BA496" s="699"/>
      <c r="BB496" s="697"/>
      <c r="BC496" s="697">
        <v>0</v>
      </c>
      <c r="BD496" s="697">
        <v>0</v>
      </c>
      <c r="BE496" s="697">
        <v>0</v>
      </c>
      <c r="BF496" s="697">
        <v>0</v>
      </c>
      <c r="BG496" s="697">
        <v>0</v>
      </c>
      <c r="BH496" s="697">
        <v>0</v>
      </c>
      <c r="BI496" s="697">
        <v>0</v>
      </c>
      <c r="BJ496" s="697">
        <v>0</v>
      </c>
      <c r="BK496" s="1492">
        <f t="shared" si="51"/>
        <v>0</v>
      </c>
      <c r="BL496" s="1492"/>
      <c r="BM496" s="1492">
        <f t="shared" si="52"/>
        <v>0</v>
      </c>
      <c r="BN496" s="1492">
        <f t="shared" si="53"/>
        <v>0</v>
      </c>
      <c r="BO496" s="697"/>
      <c r="BP496" s="697"/>
      <c r="BQ496" s="1495" t="s">
        <v>6941</v>
      </c>
      <c r="BR496" s="1495" t="s">
        <v>818</v>
      </c>
      <c r="BS496" s="1902" t="s">
        <v>655</v>
      </c>
      <c r="BT496" s="1907" t="s">
        <v>2215</v>
      </c>
    </row>
    <row r="497" spans="1:72" ht="13">
      <c r="A497" s="1545">
        <v>1053</v>
      </c>
      <c r="B497" s="1546" t="s">
        <v>800</v>
      </c>
      <c r="C497" s="1546" t="s">
        <v>803</v>
      </c>
      <c r="D497" s="1547" t="s">
        <v>6888</v>
      </c>
      <c r="E497" s="690" t="s">
        <v>664</v>
      </c>
      <c r="F497" s="691"/>
      <c r="G497" s="692"/>
      <c r="H497" s="692"/>
      <c r="I497" s="692"/>
      <c r="J497" s="693"/>
      <c r="K497" s="693"/>
      <c r="L497" s="693"/>
      <c r="M497" s="694"/>
      <c r="N497" s="695"/>
      <c r="O497" s="696" t="s">
        <v>1569</v>
      </c>
      <c r="P497" s="695">
        <f>'HIV-Key Info'!$I$88*(('HIV-Key Info'!$E$88*('HPM costs'!F205+'HPM costs'!F551))+('HIV-Key Info'!$F$88*('HPM costs'!F208+'HPM costs'!F211+'HPM costs'!F554+'HPM costs'!F557)))</f>
        <v>0</v>
      </c>
      <c r="Q497" s="695" t="s">
        <v>1569</v>
      </c>
      <c r="R497" s="695">
        <f>'HIV-Key Info'!$I$88*(('HIV-Key Info'!$E$88*('HPM costs'!G205+'HPM costs'!G551))+('HIV-Key Info'!$F$88*('HPM costs'!G208+'HPM costs'!G211+'HPM costs'!G554+'HPM costs'!G557)))</f>
        <v>0</v>
      </c>
      <c r="S497" s="695" t="s">
        <v>1569</v>
      </c>
      <c r="T497" s="695">
        <f>'HIV-Key Info'!$I$88*(('HIV-Key Info'!$E$88*('HPM costs'!H205+'HPM costs'!H551))+('HIV-Key Info'!$F$88*('HPM costs'!H208+'HPM costs'!H211+'HPM costs'!H554+'HPM costs'!H557)))</f>
        <v>0</v>
      </c>
      <c r="U497" s="695" t="s">
        <v>1569</v>
      </c>
      <c r="V497" s="695">
        <f>'HIV-Key Info'!$I$88*(('HIV-Key Info'!$E$88*('HPM costs'!I205+'HPM costs'!I551))+('HIV-Key Info'!$F$88*('HPM costs'!I208+'HPM costs'!I211+'HPM costs'!I554+'HPM costs'!I557)))</f>
        <v>0</v>
      </c>
      <c r="W497" s="695"/>
      <c r="X497" s="1492">
        <f t="shared" si="48"/>
        <v>0</v>
      </c>
      <c r="Y497" s="1493"/>
      <c r="Z497" s="1494"/>
      <c r="AA497" s="699"/>
      <c r="AB497" s="695"/>
      <c r="AC497" s="695">
        <f>'HIV-Key Info'!$I$88*(('HIV-Key Info'!$E$88*('HPM costs'!K205+'HPM costs'!K551))+('HIV-Key Info'!$F$88*('HPM costs'!K208+'HPM costs'!K211+'HPM costs'!K554+'HPM costs'!K557)))</f>
        <v>0</v>
      </c>
      <c r="AD497" s="695"/>
      <c r="AE497" s="695">
        <f>'HIV-Key Info'!$I$88*(('HIV-Key Info'!$E$88*('HPM costs'!L205+'HPM costs'!L551))+('HIV-Key Info'!$F$88*('HPM costs'!L208+'HPM costs'!L211+'HPM costs'!L554+'HPM costs'!L557)))</f>
        <v>0</v>
      </c>
      <c r="AF497" s="695"/>
      <c r="AG497" s="695">
        <f>'HIV-Key Info'!$I$88*(('HIV-Key Info'!$E$88*('HPM costs'!M205+'HPM costs'!M551))+('HIV-Key Info'!$F$88*('HPM costs'!M208+'HPM costs'!M211+'HPM costs'!M554+'HPM costs'!M557)))</f>
        <v>0</v>
      </c>
      <c r="AH497" s="695"/>
      <c r="AI497" s="695">
        <f>'HIV-Key Info'!$I$88*(('HIV-Key Info'!$E$88*('HPM costs'!N205+'HPM costs'!N551))+('HIV-Key Info'!$F$88*('HPM costs'!N208+'HPM costs'!N211+'HPM costs'!N554+'HPM costs'!N557)))</f>
        <v>0</v>
      </c>
      <c r="AJ497" s="695"/>
      <c r="AK497" s="1492">
        <f t="shared" si="49"/>
        <v>0</v>
      </c>
      <c r="AL497" s="1493"/>
      <c r="AM497" s="1494"/>
      <c r="AN497" s="699"/>
      <c r="AO497" s="695"/>
      <c r="AP497" s="695">
        <f>'HIV-Key Info'!$I$88*(('HIV-Key Info'!$E$88*('HPM costs'!P205+'HPM costs'!P551))+('HIV-Key Info'!$F$88*('HPM costs'!P208+'HPM costs'!P211+'HPM costs'!P554+'HPM costs'!P557)))</f>
        <v>0</v>
      </c>
      <c r="AQ497" s="695"/>
      <c r="AR497" s="695">
        <f>'HIV-Key Info'!$I$88*(('HIV-Key Info'!$E$88*('HPM costs'!Q205+'HPM costs'!Q551))+('HIV-Key Info'!$F$88*('HPM costs'!Q208+'HPM costs'!Q211+'HPM costs'!Q554+'HPM costs'!Q557)))</f>
        <v>0</v>
      </c>
      <c r="AS497" s="695"/>
      <c r="AT497" s="695">
        <f>'HIV-Key Info'!$I$88*(('HIV-Key Info'!$E$88*('HPM costs'!R205+'HPM costs'!R551))+('HIV-Key Info'!$F$88*('HPM costs'!R208+'HPM costs'!R211+'HPM costs'!R554+'HPM costs'!R557)))</f>
        <v>0</v>
      </c>
      <c r="AU497" s="695"/>
      <c r="AV497" s="695">
        <f>'HIV-Key Info'!$I$88*(('HIV-Key Info'!$E$88*('HPM costs'!S205+'HPM costs'!S551))+('HIV-Key Info'!$F$88*('HPM costs'!S208+'HPM costs'!S211+'HPM costs'!S554+'HPM costs'!S557)))</f>
        <v>0</v>
      </c>
      <c r="AW497" s="695"/>
      <c r="AX497" s="1492">
        <f t="shared" si="50"/>
        <v>0</v>
      </c>
      <c r="AY497" s="1492"/>
      <c r="AZ497" s="698"/>
      <c r="BA497" s="699"/>
      <c r="BB497" s="697"/>
      <c r="BC497" s="697">
        <v>0</v>
      </c>
      <c r="BD497" s="697">
        <v>0</v>
      </c>
      <c r="BE497" s="697">
        <v>0</v>
      </c>
      <c r="BF497" s="697">
        <v>0</v>
      </c>
      <c r="BG497" s="697">
        <v>0</v>
      </c>
      <c r="BH497" s="697">
        <v>0</v>
      </c>
      <c r="BI497" s="697">
        <v>0</v>
      </c>
      <c r="BJ497" s="697">
        <v>0</v>
      </c>
      <c r="BK497" s="1492">
        <f t="shared" si="51"/>
        <v>0</v>
      </c>
      <c r="BL497" s="1492"/>
      <c r="BM497" s="1492">
        <f t="shared" si="52"/>
        <v>0</v>
      </c>
      <c r="BN497" s="1492">
        <f t="shared" si="53"/>
        <v>0</v>
      </c>
      <c r="BO497" s="697"/>
      <c r="BP497" s="697"/>
      <c r="BQ497" s="1495" t="s">
        <v>6941</v>
      </c>
      <c r="BR497" s="1495" t="s">
        <v>818</v>
      </c>
      <c r="BS497" s="1902" t="s">
        <v>655</v>
      </c>
      <c r="BT497" s="1907" t="s">
        <v>2216</v>
      </c>
    </row>
    <row r="498" spans="1:72" ht="13">
      <c r="A498" s="1545">
        <v>1054</v>
      </c>
      <c r="B498" s="1546" t="s">
        <v>800</v>
      </c>
      <c r="C498" s="1546" t="s">
        <v>803</v>
      </c>
      <c r="D498" s="1547" t="s">
        <v>6888</v>
      </c>
      <c r="E498" s="690" t="s">
        <v>666</v>
      </c>
      <c r="F498" s="691"/>
      <c r="G498" s="692"/>
      <c r="H498" s="692"/>
      <c r="I498" s="692"/>
      <c r="J498" s="693"/>
      <c r="K498" s="693"/>
      <c r="L498" s="693"/>
      <c r="M498" s="694"/>
      <c r="N498" s="695"/>
      <c r="O498" s="696" t="s">
        <v>1569</v>
      </c>
      <c r="P498" s="695">
        <f>'HIV-Key Info'!$I$88*(('HIV-Key Info'!$E$88*'HPM costs'!F291)+('HIV-Key Info'!$F$88*('HPM costs'!F294+'HPM costs'!F297)))</f>
        <v>0</v>
      </c>
      <c r="Q498" s="695" t="s">
        <v>1569</v>
      </c>
      <c r="R498" s="695">
        <f>'HIV-Key Info'!$I$88*(('HIV-Key Info'!$E$88*'HPM costs'!G291)+('HIV-Key Info'!$F$88*('HPM costs'!G294+'HPM costs'!G297)))</f>
        <v>0</v>
      </c>
      <c r="S498" s="695" t="s">
        <v>1569</v>
      </c>
      <c r="T498" s="695">
        <f>'HIV-Key Info'!$I$88*(('HIV-Key Info'!$E$88*'HPM costs'!H291)+('HIV-Key Info'!$F$88*('HPM costs'!H294+'HPM costs'!H297)))</f>
        <v>0</v>
      </c>
      <c r="U498" s="695" t="s">
        <v>1569</v>
      </c>
      <c r="V498" s="695">
        <f>'HIV-Key Info'!$I$88*(('HIV-Key Info'!$E$88*'HPM costs'!I291)+('HIV-Key Info'!$F$88*('HPM costs'!I294+'HPM costs'!I297)))</f>
        <v>0</v>
      </c>
      <c r="W498" s="695"/>
      <c r="X498" s="1492">
        <f t="shared" si="48"/>
        <v>0</v>
      </c>
      <c r="Y498" s="1493"/>
      <c r="Z498" s="1494"/>
      <c r="AA498" s="699"/>
      <c r="AB498" s="695"/>
      <c r="AC498" s="695">
        <f>'HIV-Key Info'!$I$88*(('HIV-Key Info'!$E$88*'HPM costs'!K291)+('HIV-Key Info'!$F$88*('HPM costs'!K294+'HPM costs'!K297)))</f>
        <v>0</v>
      </c>
      <c r="AD498" s="695"/>
      <c r="AE498" s="695">
        <f>'HIV-Key Info'!$I$88*(('HIV-Key Info'!$E$88*'HPM costs'!L291)+('HIV-Key Info'!$F$88*('HPM costs'!L294+'HPM costs'!L297)))</f>
        <v>0</v>
      </c>
      <c r="AF498" s="695"/>
      <c r="AG498" s="695">
        <f>'HIV-Key Info'!$I$88*(('HIV-Key Info'!$E$88*'HPM costs'!M291)+('HIV-Key Info'!$F$88*('HPM costs'!M294+'HPM costs'!M297)))</f>
        <v>0</v>
      </c>
      <c r="AH498" s="695"/>
      <c r="AI498" s="695">
        <f>'HIV-Key Info'!$I$88*(('HIV-Key Info'!$E$88*'HPM costs'!N291)+('HIV-Key Info'!$F$88*('HPM costs'!N294+'HPM costs'!N297)))</f>
        <v>0</v>
      </c>
      <c r="AJ498" s="695"/>
      <c r="AK498" s="1492">
        <f t="shared" si="49"/>
        <v>0</v>
      </c>
      <c r="AL498" s="1493"/>
      <c r="AM498" s="1494"/>
      <c r="AN498" s="699"/>
      <c r="AO498" s="695"/>
      <c r="AP498" s="695">
        <f>'HIV-Key Info'!$I$88*(('HIV-Key Info'!$E$88*'HPM costs'!P291)+('HIV-Key Info'!$F$88*('HPM costs'!P294+'HPM costs'!P297)))</f>
        <v>0</v>
      </c>
      <c r="AQ498" s="695"/>
      <c r="AR498" s="695">
        <f>'HIV-Key Info'!$I$88*(('HIV-Key Info'!$E$88*'HPM costs'!Q291)+('HIV-Key Info'!$F$88*('HPM costs'!Q294+'HPM costs'!Q297)))</f>
        <v>0</v>
      </c>
      <c r="AS498" s="695"/>
      <c r="AT498" s="695">
        <f>'HIV-Key Info'!$I$88*(('HIV-Key Info'!$E$88*'HPM costs'!R291)+('HIV-Key Info'!$F$88*('HPM costs'!R294+'HPM costs'!R297)))</f>
        <v>0</v>
      </c>
      <c r="AU498" s="695"/>
      <c r="AV498" s="695">
        <f>'HIV-Key Info'!$I$88*(('HIV-Key Info'!$E$88*'HPM costs'!S291)+('HIV-Key Info'!$F$88*('HPM costs'!S294+'HPM costs'!S297)))</f>
        <v>0</v>
      </c>
      <c r="AW498" s="695"/>
      <c r="AX498" s="1492">
        <f t="shared" si="50"/>
        <v>0</v>
      </c>
      <c r="AY498" s="1492"/>
      <c r="AZ498" s="698"/>
      <c r="BA498" s="699"/>
      <c r="BB498" s="697"/>
      <c r="BC498" s="697">
        <v>0</v>
      </c>
      <c r="BD498" s="697">
        <v>0</v>
      </c>
      <c r="BE498" s="697">
        <v>0</v>
      </c>
      <c r="BF498" s="697">
        <v>0</v>
      </c>
      <c r="BG498" s="697">
        <v>0</v>
      </c>
      <c r="BH498" s="697">
        <v>0</v>
      </c>
      <c r="BI498" s="697">
        <v>0</v>
      </c>
      <c r="BJ498" s="697">
        <v>0</v>
      </c>
      <c r="BK498" s="1492">
        <f t="shared" si="51"/>
        <v>0</v>
      </c>
      <c r="BL498" s="1492"/>
      <c r="BM498" s="1492">
        <f t="shared" si="52"/>
        <v>0</v>
      </c>
      <c r="BN498" s="1492">
        <f t="shared" si="53"/>
        <v>0</v>
      </c>
      <c r="BO498" s="697"/>
      <c r="BP498" s="697"/>
      <c r="BQ498" s="1495" t="s">
        <v>6941</v>
      </c>
      <c r="BR498" s="1495" t="s">
        <v>818</v>
      </c>
      <c r="BS498" s="1902" t="s">
        <v>655</v>
      </c>
      <c r="BT498" s="1907" t="s">
        <v>2217</v>
      </c>
    </row>
    <row r="499" spans="1:72" ht="13">
      <c r="A499" s="1545">
        <v>1055</v>
      </c>
      <c r="B499" s="1546" t="s">
        <v>800</v>
      </c>
      <c r="C499" s="1546" t="s">
        <v>803</v>
      </c>
      <c r="D499" s="1547" t="s">
        <v>6888</v>
      </c>
      <c r="E499" s="690" t="s">
        <v>668</v>
      </c>
      <c r="F499" s="691"/>
      <c r="G499" s="692"/>
      <c r="H499" s="692"/>
      <c r="I499" s="692"/>
      <c r="J499" s="693"/>
      <c r="K499" s="693"/>
      <c r="L499" s="693"/>
      <c r="M499" s="694"/>
      <c r="N499" s="695"/>
      <c r="O499" s="696" t="s">
        <v>1569</v>
      </c>
      <c r="P499" s="695">
        <f>'HIV-Key Info'!$I$88*(('HIV-Key Info'!$E$88*'HPM costs'!F636)+('HIV-Key Info'!$F$88*('HPM costs'!F639+'HPM costs'!F642)))</f>
        <v>0</v>
      </c>
      <c r="Q499" s="695" t="s">
        <v>1569</v>
      </c>
      <c r="R499" s="695">
        <f>'HIV-Key Info'!$I$88*(('HIV-Key Info'!$E$88*'HPM costs'!G636)+('HIV-Key Info'!$F$88*('HPM costs'!G639+'HPM costs'!G642)))</f>
        <v>0</v>
      </c>
      <c r="S499" s="695" t="s">
        <v>1569</v>
      </c>
      <c r="T499" s="695">
        <f>'HIV-Key Info'!$I$88*(('HIV-Key Info'!$E$88*'HPM costs'!H636)+('HIV-Key Info'!$F$88*('HPM costs'!H639+'HPM costs'!H642)))</f>
        <v>0</v>
      </c>
      <c r="U499" s="695" t="s">
        <v>1569</v>
      </c>
      <c r="V499" s="695">
        <f>'HIV-Key Info'!$I$88*(('HIV-Key Info'!$E$88*'HPM costs'!I636)+('HIV-Key Info'!$F$88*('HPM costs'!I639+'HPM costs'!I642)))</f>
        <v>0</v>
      </c>
      <c r="W499" s="695"/>
      <c r="X499" s="1492">
        <f t="shared" si="48"/>
        <v>0</v>
      </c>
      <c r="Y499" s="1493"/>
      <c r="Z499" s="1494"/>
      <c r="AA499" s="699"/>
      <c r="AB499" s="695"/>
      <c r="AC499" s="695">
        <f>'HIV-Key Info'!$I$88*(('HIV-Key Info'!$E$88*'HPM costs'!K636)+('HIV-Key Info'!$F$88*('HPM costs'!K639+'HPM costs'!K642)))</f>
        <v>0</v>
      </c>
      <c r="AD499" s="695"/>
      <c r="AE499" s="695">
        <f>'HIV-Key Info'!$I$88*(('HIV-Key Info'!$E$88*'HPM costs'!L636)+('HIV-Key Info'!$F$88*('HPM costs'!L639+'HPM costs'!L642)))</f>
        <v>0</v>
      </c>
      <c r="AF499" s="695"/>
      <c r="AG499" s="695">
        <f>'HIV-Key Info'!$I$88*(('HIV-Key Info'!$E$88*'HPM costs'!M636)+('HIV-Key Info'!$F$88*('HPM costs'!M639+'HPM costs'!M642)))</f>
        <v>0</v>
      </c>
      <c r="AH499" s="695"/>
      <c r="AI499" s="695">
        <f>'HIV-Key Info'!$I$88*(('HIV-Key Info'!$E$88*'HPM costs'!N636)+('HIV-Key Info'!$F$88*('HPM costs'!N639+'HPM costs'!N642)))</f>
        <v>0</v>
      </c>
      <c r="AJ499" s="695"/>
      <c r="AK499" s="1492">
        <f t="shared" si="49"/>
        <v>0</v>
      </c>
      <c r="AL499" s="1493"/>
      <c r="AM499" s="1494"/>
      <c r="AN499" s="699"/>
      <c r="AO499" s="695"/>
      <c r="AP499" s="695">
        <f>'HIV-Key Info'!$I$88*(('HIV-Key Info'!$E$88*'HPM costs'!P636)+('HIV-Key Info'!$F$88*('HPM costs'!P639+'HPM costs'!P642)))</f>
        <v>0</v>
      </c>
      <c r="AQ499" s="695"/>
      <c r="AR499" s="695">
        <f>'HIV-Key Info'!$I$88*(('HIV-Key Info'!$E$88*'HPM costs'!Q636)+('HIV-Key Info'!$F$88*('HPM costs'!Q639+'HPM costs'!Q642)))</f>
        <v>0</v>
      </c>
      <c r="AS499" s="695"/>
      <c r="AT499" s="695">
        <f>'HIV-Key Info'!$I$88*(('HIV-Key Info'!$E$88*'HPM costs'!R636)+('HIV-Key Info'!$F$88*('HPM costs'!R639+'HPM costs'!R642)))</f>
        <v>0</v>
      </c>
      <c r="AU499" s="695"/>
      <c r="AV499" s="695">
        <f>'HIV-Key Info'!$I$88*(('HIV-Key Info'!$E$88*'HPM costs'!S636)+('HIV-Key Info'!$F$88*('HPM costs'!S639+'HPM costs'!S642)))</f>
        <v>0</v>
      </c>
      <c r="AW499" s="695"/>
      <c r="AX499" s="1492">
        <f t="shared" si="50"/>
        <v>0</v>
      </c>
      <c r="AY499" s="1492"/>
      <c r="AZ499" s="698"/>
      <c r="BA499" s="699"/>
      <c r="BB499" s="697"/>
      <c r="BC499" s="697">
        <v>0</v>
      </c>
      <c r="BD499" s="697">
        <v>0</v>
      </c>
      <c r="BE499" s="697">
        <v>0</v>
      </c>
      <c r="BF499" s="697">
        <v>0</v>
      </c>
      <c r="BG499" s="697">
        <v>0</v>
      </c>
      <c r="BH499" s="697">
        <v>0</v>
      </c>
      <c r="BI499" s="697">
        <v>0</v>
      </c>
      <c r="BJ499" s="697">
        <v>0</v>
      </c>
      <c r="BK499" s="1492">
        <f t="shared" si="51"/>
        <v>0</v>
      </c>
      <c r="BL499" s="1492"/>
      <c r="BM499" s="1492">
        <f t="shared" si="52"/>
        <v>0</v>
      </c>
      <c r="BN499" s="1492">
        <f t="shared" si="53"/>
        <v>0</v>
      </c>
      <c r="BO499" s="697"/>
      <c r="BP499" s="697"/>
      <c r="BQ499" s="1495" t="s">
        <v>6941</v>
      </c>
      <c r="BR499" s="1495" t="s">
        <v>818</v>
      </c>
      <c r="BS499" s="1902" t="s">
        <v>655</v>
      </c>
      <c r="BT499" s="1907" t="s">
        <v>2218</v>
      </c>
    </row>
    <row r="500" spans="1:72" ht="13">
      <c r="A500" s="1545">
        <v>1056</v>
      </c>
      <c r="B500" s="1546" t="s">
        <v>800</v>
      </c>
      <c r="C500" s="1546" t="s">
        <v>801</v>
      </c>
      <c r="D500" s="1547" t="s">
        <v>6963</v>
      </c>
      <c r="E500" s="690" t="s">
        <v>731</v>
      </c>
      <c r="F500" s="691"/>
      <c r="G500" s="692"/>
      <c r="H500" s="692"/>
      <c r="I500" s="692"/>
      <c r="J500" s="693"/>
      <c r="K500" s="693"/>
      <c r="L500" s="693"/>
      <c r="M500" s="694"/>
      <c r="N500" s="695"/>
      <c r="O500" s="696" t="s">
        <v>1569</v>
      </c>
      <c r="P500" s="695">
        <f>'HIV-Key Info'!$G$79*('HIV-Key Info'!$E$79*('HPM costs'!F551/'HPM costs'!$E$551)+'HIV-Key Info'!$F$79*('HPM costs'!F557/'HPM costs'!$E$557+'HPM costs'!F554/'HPM costs'!$E$554))</f>
        <v>0</v>
      </c>
      <c r="Q500" s="695" t="s">
        <v>1569</v>
      </c>
      <c r="R500" s="695">
        <f>'HIV-Key Info'!$G$79*('HIV-Key Info'!$E$79*('HPM costs'!G551/'HPM costs'!$E$551)+'HIV-Key Info'!$F$79*('HPM costs'!G557/'HPM costs'!$E$557+'HPM costs'!G554/'HPM costs'!$E$554))</f>
        <v>0</v>
      </c>
      <c r="S500" s="695" t="s">
        <v>1569</v>
      </c>
      <c r="T500" s="695">
        <f>'HIV-Key Info'!$G$79*('HIV-Key Info'!$E$79*('HPM costs'!H551/'HPM costs'!$E$551)+'HIV-Key Info'!$F$79*('HPM costs'!H557/'HPM costs'!$E$557+'HPM costs'!H554/'HPM costs'!$E$554))</f>
        <v>0</v>
      </c>
      <c r="U500" s="695" t="s">
        <v>1569</v>
      </c>
      <c r="V500" s="695">
        <f>'HIV-Key Info'!$G$79*('HIV-Key Info'!$E$79*('HPM costs'!I551/'HPM costs'!$E$551)+'HIV-Key Info'!$F$79*('HPM costs'!I557/'HPM costs'!$E$557+'HPM costs'!I554/'HPM costs'!$E$554))</f>
        <v>0</v>
      </c>
      <c r="W500" s="695"/>
      <c r="X500" s="1492">
        <f t="shared" si="48"/>
        <v>0</v>
      </c>
      <c r="Y500" s="1493"/>
      <c r="Z500" s="1494"/>
      <c r="AA500" s="699"/>
      <c r="AB500" s="695"/>
      <c r="AC500" s="695">
        <f>'HIV-Key Info'!$G$79*('HIV-Key Info'!$E$79*('HPM costs'!K551/'HPM costs'!$E$551)+'HIV-Key Info'!$F$79*('HPM costs'!K557/'HPM costs'!$E$557+'HPM costs'!K554/'HPM costs'!$E$554))</f>
        <v>0</v>
      </c>
      <c r="AD500" s="695"/>
      <c r="AE500" s="695">
        <f>'HIV-Key Info'!$G$79*('HIV-Key Info'!$E$79*('HPM costs'!L551/'HPM costs'!$E$551)+'HIV-Key Info'!$F$79*('HPM costs'!L557/'HPM costs'!$E$557+'HPM costs'!L554/'HPM costs'!$E$554))</f>
        <v>0</v>
      </c>
      <c r="AF500" s="695"/>
      <c r="AG500" s="695">
        <f>'HIV-Key Info'!$G$79*('HIV-Key Info'!$E$79*('HPM costs'!M551/'HPM costs'!$E$551)+'HIV-Key Info'!$F$79*('HPM costs'!M557/'HPM costs'!$E$557+'HPM costs'!M554/'HPM costs'!$E$554))</f>
        <v>0</v>
      </c>
      <c r="AH500" s="695"/>
      <c r="AI500" s="695">
        <f>'HIV-Key Info'!$G$79*('HIV-Key Info'!$E$79*('HPM costs'!N551/'HPM costs'!$E$551)+'HIV-Key Info'!$F$79*('HPM costs'!N557/'HPM costs'!$E$557+'HPM costs'!N554/'HPM costs'!$E$554))</f>
        <v>0</v>
      </c>
      <c r="AJ500" s="695"/>
      <c r="AK500" s="1492">
        <f t="shared" si="49"/>
        <v>0</v>
      </c>
      <c r="AL500" s="1493"/>
      <c r="AM500" s="1494"/>
      <c r="AN500" s="699"/>
      <c r="AO500" s="695"/>
      <c r="AP500" s="695">
        <f>'HIV-Key Info'!$G$79*('HIV-Key Info'!$E$79*('HPM costs'!P551/'HPM costs'!$E$551)+'HIV-Key Info'!$F$79*('HPM costs'!P557/'HPM costs'!$E$557+'HPM costs'!P554/'HPM costs'!$E$554))</f>
        <v>0</v>
      </c>
      <c r="AQ500" s="695"/>
      <c r="AR500" s="695">
        <f>'HIV-Key Info'!$G$79*('HIV-Key Info'!$E$79*('HPM costs'!Q551/'HPM costs'!$E$551)+'HIV-Key Info'!$F$79*('HPM costs'!Q557/'HPM costs'!$E$557+'HPM costs'!Q554/'HPM costs'!$E$554))</f>
        <v>0</v>
      </c>
      <c r="AS500" s="695"/>
      <c r="AT500" s="695">
        <f>'HIV-Key Info'!$G$79*('HIV-Key Info'!$E$79*('HPM costs'!R551/'HPM costs'!$E$551)+'HIV-Key Info'!$F$79*('HPM costs'!R557/'HPM costs'!$E$557+'HPM costs'!R554/'HPM costs'!$E$554))</f>
        <v>0</v>
      </c>
      <c r="AU500" s="695"/>
      <c r="AV500" s="695">
        <f>'HIV-Key Info'!$G$79*('HIV-Key Info'!$E$79*('HPM costs'!S551/'HPM costs'!$E$551)+'HIV-Key Info'!$F$79*('HPM costs'!S557/'HPM costs'!$E$557+'HPM costs'!S554/'HPM costs'!$E$554))</f>
        <v>0</v>
      </c>
      <c r="AW500" s="695"/>
      <c r="AX500" s="1492">
        <f t="shared" si="50"/>
        <v>0</v>
      </c>
      <c r="AY500" s="1492"/>
      <c r="AZ500" s="698"/>
      <c r="BA500" s="699"/>
      <c r="BB500" s="697"/>
      <c r="BC500" s="697">
        <v>0</v>
      </c>
      <c r="BD500" s="697">
        <v>0</v>
      </c>
      <c r="BE500" s="697">
        <v>0</v>
      </c>
      <c r="BF500" s="697">
        <v>0</v>
      </c>
      <c r="BG500" s="697">
        <v>0</v>
      </c>
      <c r="BH500" s="697">
        <v>0</v>
      </c>
      <c r="BI500" s="697">
        <v>0</v>
      </c>
      <c r="BJ500" s="697">
        <v>0</v>
      </c>
      <c r="BK500" s="1492">
        <f t="shared" si="51"/>
        <v>0</v>
      </c>
      <c r="BL500" s="1492"/>
      <c r="BM500" s="1492">
        <f t="shared" si="52"/>
        <v>0</v>
      </c>
      <c r="BN500" s="1492">
        <f t="shared" si="53"/>
        <v>0</v>
      </c>
      <c r="BO500" s="697"/>
      <c r="BP500" s="697"/>
      <c r="BQ500" s="1495" t="s">
        <v>6940</v>
      </c>
      <c r="BR500" s="1495" t="s">
        <v>818</v>
      </c>
      <c r="BS500" s="1902" t="s">
        <v>6953</v>
      </c>
      <c r="BT500" s="1907" t="s">
        <v>2219</v>
      </c>
    </row>
    <row r="501" spans="1:72" ht="13">
      <c r="A501" s="1545">
        <v>1057</v>
      </c>
      <c r="B501" s="1546" t="s">
        <v>800</v>
      </c>
      <c r="C501" s="1546" t="s">
        <v>801</v>
      </c>
      <c r="D501" s="1547" t="s">
        <v>6886</v>
      </c>
      <c r="E501" s="690" t="s">
        <v>656</v>
      </c>
      <c r="F501" s="691"/>
      <c r="G501" s="692"/>
      <c r="H501" s="692"/>
      <c r="I501" s="692"/>
      <c r="J501" s="693"/>
      <c r="K501" s="693"/>
      <c r="L501" s="693"/>
      <c r="M501" s="694"/>
      <c r="N501" s="695"/>
      <c r="O501" s="696" t="s">
        <v>1569</v>
      </c>
      <c r="P501" s="695">
        <f>'HIV-Key Info'!$G$79*(('HIV-Key Info'!$E$79*'HPM costs'!F33)+('HIV-Key Info'!$F$79*('HPM costs'!F36+'HPM costs'!F39)))</f>
        <v>0</v>
      </c>
      <c r="Q501" s="695" t="s">
        <v>1569</v>
      </c>
      <c r="R501" s="695">
        <f>'HIV-Key Info'!$G$79*(('HIV-Key Info'!$E$79*'HPM costs'!G33)+('HIV-Key Info'!$F$79*('HPM costs'!G36+'HPM costs'!G39)))</f>
        <v>0</v>
      </c>
      <c r="S501" s="695" t="s">
        <v>1569</v>
      </c>
      <c r="T501" s="695">
        <f>'HIV-Key Info'!$G$79*(('HIV-Key Info'!$E$79*'HPM costs'!H33)+('HIV-Key Info'!$F$79*('HPM costs'!H36+'HPM costs'!H39)))</f>
        <v>0</v>
      </c>
      <c r="U501" s="695" t="s">
        <v>1569</v>
      </c>
      <c r="V501" s="695">
        <f>'HIV-Key Info'!$G$79*(('HIV-Key Info'!$E$79*'HPM costs'!I33)+('HIV-Key Info'!$F$79*('HPM costs'!I36+'HPM costs'!I39)))</f>
        <v>0</v>
      </c>
      <c r="W501" s="695"/>
      <c r="X501" s="1492">
        <f t="shared" si="48"/>
        <v>0</v>
      </c>
      <c r="Y501" s="1493"/>
      <c r="Z501" s="1494"/>
      <c r="AA501" s="699"/>
      <c r="AB501" s="695"/>
      <c r="AC501" s="695">
        <f>'HIV-Key Info'!$G$79*(('HIV-Key Info'!$E$79*'HPM costs'!K33)+('HIV-Key Info'!$F$79*('HPM costs'!K36+'HPM costs'!K39)))</f>
        <v>0</v>
      </c>
      <c r="AD501" s="695"/>
      <c r="AE501" s="695">
        <f>'HIV-Key Info'!$G$79*(('HIV-Key Info'!$E$79*'HPM costs'!L33)+('HIV-Key Info'!$F$79*('HPM costs'!L36+'HPM costs'!L39)))</f>
        <v>0</v>
      </c>
      <c r="AF501" s="695"/>
      <c r="AG501" s="695">
        <f>'HIV-Key Info'!$G$79*(('HIV-Key Info'!$E$79*'HPM costs'!M33)+('HIV-Key Info'!$F$79*('HPM costs'!M36+'HPM costs'!M39)))</f>
        <v>0</v>
      </c>
      <c r="AH501" s="695"/>
      <c r="AI501" s="695">
        <f>'HIV-Key Info'!$G$79*(('HIV-Key Info'!$E$79*'HPM costs'!N33)+('HIV-Key Info'!$F$79*('HPM costs'!N36+'HPM costs'!N39)))</f>
        <v>0</v>
      </c>
      <c r="AJ501" s="695"/>
      <c r="AK501" s="1492">
        <f t="shared" si="49"/>
        <v>0</v>
      </c>
      <c r="AL501" s="1493"/>
      <c r="AM501" s="1494"/>
      <c r="AN501" s="699"/>
      <c r="AO501" s="695"/>
      <c r="AP501" s="695">
        <f>'HIV-Key Info'!$G$79*(('HIV-Key Info'!$E$79*'HPM costs'!P33)+('HIV-Key Info'!$F$79*('HPM costs'!P36+'HPM costs'!P39)))</f>
        <v>0</v>
      </c>
      <c r="AQ501" s="695"/>
      <c r="AR501" s="695">
        <f>'HIV-Key Info'!$G$79*(('HIV-Key Info'!$E$79*'HPM costs'!Q33)+('HIV-Key Info'!$F$79*('HPM costs'!Q36+'HPM costs'!Q39)))</f>
        <v>0</v>
      </c>
      <c r="AS501" s="695"/>
      <c r="AT501" s="695">
        <f>'HIV-Key Info'!$G$79*(('HIV-Key Info'!$E$79*'HPM costs'!R33)+('HIV-Key Info'!$F$79*('HPM costs'!R36+'HPM costs'!R39)))</f>
        <v>0</v>
      </c>
      <c r="AU501" s="695"/>
      <c r="AV501" s="695">
        <f>'HIV-Key Info'!$G$79*(('HIV-Key Info'!$E$79*'HPM costs'!S33)+('HIV-Key Info'!$F$79*('HPM costs'!S36+'HPM costs'!S39)))</f>
        <v>0</v>
      </c>
      <c r="AW501" s="695"/>
      <c r="AX501" s="1492">
        <f t="shared" si="50"/>
        <v>0</v>
      </c>
      <c r="AY501" s="1492"/>
      <c r="AZ501" s="698"/>
      <c r="BA501" s="699"/>
      <c r="BB501" s="697"/>
      <c r="BC501" s="697">
        <v>0</v>
      </c>
      <c r="BD501" s="697">
        <v>0</v>
      </c>
      <c r="BE501" s="697">
        <v>0</v>
      </c>
      <c r="BF501" s="697">
        <v>0</v>
      </c>
      <c r="BG501" s="697">
        <v>0</v>
      </c>
      <c r="BH501" s="697">
        <v>0</v>
      </c>
      <c r="BI501" s="697">
        <v>0</v>
      </c>
      <c r="BJ501" s="697">
        <v>0</v>
      </c>
      <c r="BK501" s="1492">
        <f t="shared" si="51"/>
        <v>0</v>
      </c>
      <c r="BL501" s="1492"/>
      <c r="BM501" s="1492">
        <f t="shared" si="52"/>
        <v>0</v>
      </c>
      <c r="BN501" s="1492">
        <f t="shared" si="53"/>
        <v>0</v>
      </c>
      <c r="BO501" s="697"/>
      <c r="BP501" s="697"/>
      <c r="BQ501" s="1495" t="s">
        <v>6940</v>
      </c>
      <c r="BR501" s="1495" t="s">
        <v>818</v>
      </c>
      <c r="BS501" s="1902" t="s">
        <v>655</v>
      </c>
      <c r="BT501" s="1907" t="s">
        <v>2220</v>
      </c>
    </row>
    <row r="502" spans="1:72" ht="13">
      <c r="A502" s="1545">
        <v>1058</v>
      </c>
      <c r="B502" s="1546" t="s">
        <v>800</v>
      </c>
      <c r="C502" s="1546" t="s">
        <v>801</v>
      </c>
      <c r="D502" s="1547" t="s">
        <v>6886</v>
      </c>
      <c r="E502" s="690" t="s">
        <v>658</v>
      </c>
      <c r="F502" s="691"/>
      <c r="G502" s="692"/>
      <c r="H502" s="692"/>
      <c r="I502" s="692"/>
      <c r="J502" s="693"/>
      <c r="K502" s="693"/>
      <c r="L502" s="693"/>
      <c r="M502" s="694"/>
      <c r="N502" s="695"/>
      <c r="O502" s="696" t="s">
        <v>1569</v>
      </c>
      <c r="P502" s="695">
        <f>'HIV-Key Info'!$G$79*(('HIV-Key Info'!$E$79*'HPM costs'!F119)+('HIV-Key Info'!$F$79*('HPM costs'!F122+'HPM costs'!F125)))</f>
        <v>0</v>
      </c>
      <c r="Q502" s="695" t="s">
        <v>1569</v>
      </c>
      <c r="R502" s="695">
        <f>'HIV-Key Info'!$G$79*(('HIV-Key Info'!$E$79*'HPM costs'!G119)+('HIV-Key Info'!$F$79*('HPM costs'!G122+'HPM costs'!G125)))</f>
        <v>0</v>
      </c>
      <c r="S502" s="695" t="s">
        <v>1569</v>
      </c>
      <c r="T502" s="695">
        <f>'HIV-Key Info'!$G$79*(('HIV-Key Info'!$E$79*'HPM costs'!H119)+('HIV-Key Info'!$F$79*('HPM costs'!H122+'HPM costs'!H125)))</f>
        <v>0</v>
      </c>
      <c r="U502" s="695" t="s">
        <v>1569</v>
      </c>
      <c r="V502" s="695">
        <f>'HIV-Key Info'!$G$79*(('HIV-Key Info'!$E$79*'HPM costs'!I119)+('HIV-Key Info'!$F$79*('HPM costs'!I122+'HPM costs'!I125)))</f>
        <v>0</v>
      </c>
      <c r="W502" s="695"/>
      <c r="X502" s="1492">
        <f t="shared" si="48"/>
        <v>0</v>
      </c>
      <c r="Y502" s="1493"/>
      <c r="Z502" s="1494"/>
      <c r="AA502" s="699"/>
      <c r="AB502" s="695"/>
      <c r="AC502" s="695">
        <f>'HIV-Key Info'!$G$79*(('HIV-Key Info'!$E$79*'HPM costs'!K119)+('HIV-Key Info'!$F$79*('HPM costs'!K122+'HPM costs'!K125)))</f>
        <v>0</v>
      </c>
      <c r="AD502" s="695"/>
      <c r="AE502" s="695">
        <f>'HIV-Key Info'!$G$79*(('HIV-Key Info'!$E$79*'HPM costs'!L119)+('HIV-Key Info'!$F$79*('HPM costs'!L122+'HPM costs'!L125)))</f>
        <v>0</v>
      </c>
      <c r="AF502" s="695"/>
      <c r="AG502" s="695">
        <f>'HIV-Key Info'!$G$79*(('HIV-Key Info'!$E$79*'HPM costs'!M119)+('HIV-Key Info'!$F$79*('HPM costs'!M122+'HPM costs'!M125)))</f>
        <v>0</v>
      </c>
      <c r="AH502" s="695"/>
      <c r="AI502" s="695">
        <f>'HIV-Key Info'!$G$79*(('HIV-Key Info'!$E$79*'HPM costs'!N119)+('HIV-Key Info'!$F$79*('HPM costs'!N122+'HPM costs'!N125)))</f>
        <v>0</v>
      </c>
      <c r="AJ502" s="695"/>
      <c r="AK502" s="1492">
        <f t="shared" si="49"/>
        <v>0</v>
      </c>
      <c r="AL502" s="1493"/>
      <c r="AM502" s="1494"/>
      <c r="AN502" s="699"/>
      <c r="AO502" s="695"/>
      <c r="AP502" s="695">
        <f>'HIV-Key Info'!$G$79*(('HIV-Key Info'!$E$79*'HPM costs'!P119)+('HIV-Key Info'!$F$79*('HPM costs'!P122+'HPM costs'!P125)))</f>
        <v>0</v>
      </c>
      <c r="AQ502" s="695"/>
      <c r="AR502" s="695">
        <f>'HIV-Key Info'!$G$79*(('HIV-Key Info'!$E$79*'HPM costs'!Q119)+('HIV-Key Info'!$F$79*('HPM costs'!Q122+'HPM costs'!Q125)))</f>
        <v>0</v>
      </c>
      <c r="AS502" s="695"/>
      <c r="AT502" s="695">
        <f>'HIV-Key Info'!$G$79*(('HIV-Key Info'!$E$79*'HPM costs'!R119)+('HIV-Key Info'!$F$79*('HPM costs'!R122+'HPM costs'!R125)))</f>
        <v>0</v>
      </c>
      <c r="AU502" s="695"/>
      <c r="AV502" s="695">
        <f>'HIV-Key Info'!$G$79*(('HIV-Key Info'!$E$79*'HPM costs'!S119)+('HIV-Key Info'!$F$79*('HPM costs'!S122+'HPM costs'!S125)))</f>
        <v>0</v>
      </c>
      <c r="AW502" s="695"/>
      <c r="AX502" s="1492">
        <f t="shared" si="50"/>
        <v>0</v>
      </c>
      <c r="AY502" s="1492"/>
      <c r="AZ502" s="698"/>
      <c r="BA502" s="699"/>
      <c r="BB502" s="697"/>
      <c r="BC502" s="697">
        <v>0</v>
      </c>
      <c r="BD502" s="697">
        <v>0</v>
      </c>
      <c r="BE502" s="697">
        <v>0</v>
      </c>
      <c r="BF502" s="697">
        <v>0</v>
      </c>
      <c r="BG502" s="697">
        <v>0</v>
      </c>
      <c r="BH502" s="697">
        <v>0</v>
      </c>
      <c r="BI502" s="697">
        <v>0</v>
      </c>
      <c r="BJ502" s="697">
        <v>0</v>
      </c>
      <c r="BK502" s="1492">
        <f t="shared" si="51"/>
        <v>0</v>
      </c>
      <c r="BL502" s="1492"/>
      <c r="BM502" s="1492">
        <f t="shared" si="52"/>
        <v>0</v>
      </c>
      <c r="BN502" s="1492">
        <f t="shared" si="53"/>
        <v>0</v>
      </c>
      <c r="BO502" s="697"/>
      <c r="BP502" s="697"/>
      <c r="BQ502" s="1495" t="s">
        <v>6940</v>
      </c>
      <c r="BR502" s="1495" t="s">
        <v>818</v>
      </c>
      <c r="BS502" s="1902" t="s">
        <v>655</v>
      </c>
      <c r="BT502" s="1907" t="s">
        <v>2221</v>
      </c>
    </row>
    <row r="503" spans="1:72" ht="13">
      <c r="A503" s="1545">
        <v>1059</v>
      </c>
      <c r="B503" s="1546" t="s">
        <v>800</v>
      </c>
      <c r="C503" s="1546" t="s">
        <v>801</v>
      </c>
      <c r="D503" s="1547" t="s">
        <v>6886</v>
      </c>
      <c r="E503" s="690" t="s">
        <v>660</v>
      </c>
      <c r="F503" s="691"/>
      <c r="G503" s="692"/>
      <c r="H503" s="692"/>
      <c r="I503" s="692"/>
      <c r="J503" s="693"/>
      <c r="K503" s="693"/>
      <c r="L503" s="693"/>
      <c r="M503" s="694"/>
      <c r="N503" s="695"/>
      <c r="O503" s="696" t="s">
        <v>1569</v>
      </c>
      <c r="P503" s="695">
        <f>'HIV-Key Info'!$G$79*(('HIV-Key Info'!$E$79*'HPM costs'!F379)+('HIV-Key Info'!$F$79*('HPM costs'!F382+'HPM costs'!F385)))</f>
        <v>0</v>
      </c>
      <c r="Q503" s="695" t="s">
        <v>1569</v>
      </c>
      <c r="R503" s="695">
        <f>'HIV-Key Info'!$G$79*(('HIV-Key Info'!$E$79*'HPM costs'!G379)+('HIV-Key Info'!$F$79*('HPM costs'!G382+'HPM costs'!G385)))</f>
        <v>0</v>
      </c>
      <c r="S503" s="695" t="s">
        <v>1569</v>
      </c>
      <c r="T503" s="695">
        <f>'HIV-Key Info'!$G$79*(('HIV-Key Info'!$E$79*'HPM costs'!H379)+('HIV-Key Info'!$F$79*('HPM costs'!H382+'HPM costs'!H385)))</f>
        <v>0</v>
      </c>
      <c r="U503" s="695" t="s">
        <v>1569</v>
      </c>
      <c r="V503" s="695">
        <f>'HIV-Key Info'!$G$79*(('HIV-Key Info'!$E$79*'HPM costs'!I379)+('HIV-Key Info'!$F$79*('HPM costs'!I382+'HPM costs'!I385)))</f>
        <v>0</v>
      </c>
      <c r="W503" s="695"/>
      <c r="X503" s="1492">
        <f t="shared" si="48"/>
        <v>0</v>
      </c>
      <c r="Y503" s="1493"/>
      <c r="Z503" s="1494"/>
      <c r="AA503" s="699"/>
      <c r="AB503" s="695"/>
      <c r="AC503" s="695">
        <f>'HIV-Key Info'!$G$79*(('HIV-Key Info'!$E$79*'HPM costs'!K379)+('HIV-Key Info'!$F$79*('HPM costs'!K382+'HPM costs'!K385)))</f>
        <v>0</v>
      </c>
      <c r="AD503" s="695"/>
      <c r="AE503" s="695">
        <f>'HIV-Key Info'!$G$79*(('HIV-Key Info'!$E$79*'HPM costs'!L379)+('HIV-Key Info'!$F$79*('HPM costs'!L382+'HPM costs'!L385)))</f>
        <v>0</v>
      </c>
      <c r="AF503" s="695"/>
      <c r="AG503" s="695">
        <f>'HIV-Key Info'!$G$79*(('HIV-Key Info'!$E$79*'HPM costs'!M379)+('HIV-Key Info'!$F$79*('HPM costs'!M382+'HPM costs'!M385)))</f>
        <v>0</v>
      </c>
      <c r="AH503" s="695"/>
      <c r="AI503" s="695">
        <f>'HIV-Key Info'!$G$79*(('HIV-Key Info'!$E$79*'HPM costs'!N379)+('HIV-Key Info'!$F$79*('HPM costs'!N382+'HPM costs'!N385)))</f>
        <v>0</v>
      </c>
      <c r="AJ503" s="695"/>
      <c r="AK503" s="1492">
        <f t="shared" si="49"/>
        <v>0</v>
      </c>
      <c r="AL503" s="1493"/>
      <c r="AM503" s="1494"/>
      <c r="AN503" s="699"/>
      <c r="AO503" s="695"/>
      <c r="AP503" s="695">
        <f>'HIV-Key Info'!$G$79*(('HIV-Key Info'!$E$79*'HPM costs'!P379)+('HIV-Key Info'!$F$79*('HPM costs'!P382+'HPM costs'!P385)))</f>
        <v>0</v>
      </c>
      <c r="AQ503" s="695"/>
      <c r="AR503" s="695">
        <f>'HIV-Key Info'!$G$79*(('HIV-Key Info'!$E$79*'HPM costs'!Q379)+('HIV-Key Info'!$F$79*('HPM costs'!Q382+'HPM costs'!Q385)))</f>
        <v>0</v>
      </c>
      <c r="AS503" s="695"/>
      <c r="AT503" s="695">
        <f>'HIV-Key Info'!$G$79*(('HIV-Key Info'!$E$79*'HPM costs'!R379)+('HIV-Key Info'!$F$79*('HPM costs'!R382+'HPM costs'!R385)))</f>
        <v>0</v>
      </c>
      <c r="AU503" s="695"/>
      <c r="AV503" s="695">
        <f>'HIV-Key Info'!$G$79*(('HIV-Key Info'!$E$79*'HPM costs'!S379)+('HIV-Key Info'!$F$79*('HPM costs'!S382+'HPM costs'!S385)))</f>
        <v>0</v>
      </c>
      <c r="AW503" s="695"/>
      <c r="AX503" s="1492">
        <f t="shared" si="50"/>
        <v>0</v>
      </c>
      <c r="AY503" s="1492"/>
      <c r="AZ503" s="698"/>
      <c r="BA503" s="699"/>
      <c r="BB503" s="697"/>
      <c r="BC503" s="697">
        <v>0</v>
      </c>
      <c r="BD503" s="697">
        <v>0</v>
      </c>
      <c r="BE503" s="697">
        <v>0</v>
      </c>
      <c r="BF503" s="697">
        <v>0</v>
      </c>
      <c r="BG503" s="697">
        <v>0</v>
      </c>
      <c r="BH503" s="697">
        <v>0</v>
      </c>
      <c r="BI503" s="697">
        <v>0</v>
      </c>
      <c r="BJ503" s="697">
        <v>0</v>
      </c>
      <c r="BK503" s="1492">
        <f t="shared" si="51"/>
        <v>0</v>
      </c>
      <c r="BL503" s="1492"/>
      <c r="BM503" s="1492">
        <f t="shared" si="52"/>
        <v>0</v>
      </c>
      <c r="BN503" s="1492">
        <f t="shared" si="53"/>
        <v>0</v>
      </c>
      <c r="BO503" s="697"/>
      <c r="BP503" s="697"/>
      <c r="BQ503" s="1495" t="s">
        <v>6940</v>
      </c>
      <c r="BR503" s="1495" t="s">
        <v>818</v>
      </c>
      <c r="BS503" s="1902" t="s">
        <v>655</v>
      </c>
      <c r="BT503" s="1907" t="s">
        <v>2222</v>
      </c>
    </row>
    <row r="504" spans="1:72" ht="13">
      <c r="A504" s="1545">
        <v>1060</v>
      </c>
      <c r="B504" s="1546" t="s">
        <v>800</v>
      </c>
      <c r="C504" s="1546" t="s">
        <v>801</v>
      </c>
      <c r="D504" s="1547" t="s">
        <v>6886</v>
      </c>
      <c r="E504" s="690" t="s">
        <v>662</v>
      </c>
      <c r="F504" s="691"/>
      <c r="G504" s="692"/>
      <c r="H504" s="692"/>
      <c r="I504" s="692"/>
      <c r="J504" s="693"/>
      <c r="K504" s="693"/>
      <c r="L504" s="693"/>
      <c r="M504" s="694"/>
      <c r="N504" s="695"/>
      <c r="O504" s="696" t="s">
        <v>1569</v>
      </c>
      <c r="P504" s="695">
        <f>'HIV-Key Info'!$G$79*(('HIV-Key Info'!$E$79*'HPM costs'!F465)+('HIV-Key Info'!$F$79*('HPM costs'!F468+'HPM costs'!F471)))</f>
        <v>0</v>
      </c>
      <c r="Q504" s="695" t="s">
        <v>1569</v>
      </c>
      <c r="R504" s="695">
        <f>'HIV-Key Info'!$G$79*(('HIV-Key Info'!$E$79*'HPM costs'!G465)+('HIV-Key Info'!$F$79*('HPM costs'!G468+'HPM costs'!G471)))</f>
        <v>0</v>
      </c>
      <c r="S504" s="695" t="s">
        <v>1569</v>
      </c>
      <c r="T504" s="695">
        <f>'HIV-Key Info'!$G$79*(('HIV-Key Info'!$E$79*'HPM costs'!H465)+('HIV-Key Info'!$F$79*('HPM costs'!H468+'HPM costs'!H471)))</f>
        <v>0</v>
      </c>
      <c r="U504" s="695" t="s">
        <v>1569</v>
      </c>
      <c r="V504" s="695">
        <f>'HIV-Key Info'!$G$79*(('HIV-Key Info'!$E$79*'HPM costs'!I465)+('HIV-Key Info'!$F$79*('HPM costs'!I468+'HPM costs'!I471)))</f>
        <v>0</v>
      </c>
      <c r="W504" s="695"/>
      <c r="X504" s="1492">
        <f t="shared" si="48"/>
        <v>0</v>
      </c>
      <c r="Y504" s="1493"/>
      <c r="Z504" s="1494"/>
      <c r="AA504" s="699"/>
      <c r="AB504" s="695"/>
      <c r="AC504" s="695">
        <f>'HIV-Key Info'!$G$79*(('HIV-Key Info'!$E$79*'HPM costs'!K465)+('HIV-Key Info'!$F$79*('HPM costs'!K468+'HPM costs'!K471)))</f>
        <v>0</v>
      </c>
      <c r="AD504" s="695"/>
      <c r="AE504" s="695">
        <f>'HIV-Key Info'!$G$79*(('HIV-Key Info'!$E$79*'HPM costs'!L465)+('HIV-Key Info'!$F$79*('HPM costs'!L468+'HPM costs'!L471)))</f>
        <v>0</v>
      </c>
      <c r="AF504" s="695"/>
      <c r="AG504" s="695">
        <f>'HIV-Key Info'!$G$79*(('HIV-Key Info'!$E$79*'HPM costs'!M465)+('HIV-Key Info'!$F$79*('HPM costs'!M468+'HPM costs'!M471)))</f>
        <v>0</v>
      </c>
      <c r="AH504" s="695"/>
      <c r="AI504" s="695">
        <f>'HIV-Key Info'!$G$79*(('HIV-Key Info'!$E$79*'HPM costs'!N465)+('HIV-Key Info'!$F$79*('HPM costs'!N468+'HPM costs'!N471)))</f>
        <v>0</v>
      </c>
      <c r="AJ504" s="695"/>
      <c r="AK504" s="1492">
        <f t="shared" si="49"/>
        <v>0</v>
      </c>
      <c r="AL504" s="1493"/>
      <c r="AM504" s="1494"/>
      <c r="AN504" s="699"/>
      <c r="AO504" s="695"/>
      <c r="AP504" s="695">
        <f>'HIV-Key Info'!$G$79*(('HIV-Key Info'!$E$79*'HPM costs'!P465)+('HIV-Key Info'!$F$79*('HPM costs'!P468+'HPM costs'!P471)))</f>
        <v>0</v>
      </c>
      <c r="AQ504" s="695"/>
      <c r="AR504" s="695">
        <f>'HIV-Key Info'!$G$79*(('HIV-Key Info'!$E$79*'HPM costs'!Q465)+('HIV-Key Info'!$F$79*('HPM costs'!Q468+'HPM costs'!Q471)))</f>
        <v>0</v>
      </c>
      <c r="AS504" s="695"/>
      <c r="AT504" s="695">
        <f>'HIV-Key Info'!$G$79*(('HIV-Key Info'!$E$79*'HPM costs'!R465)+('HIV-Key Info'!$F$79*('HPM costs'!R468+'HPM costs'!R471)))</f>
        <v>0</v>
      </c>
      <c r="AU504" s="695"/>
      <c r="AV504" s="695">
        <f>'HIV-Key Info'!$G$79*(('HIV-Key Info'!$E$79*'HPM costs'!S465)+('HIV-Key Info'!$F$79*('HPM costs'!S468+'HPM costs'!S471)))</f>
        <v>0</v>
      </c>
      <c r="AW504" s="695"/>
      <c r="AX504" s="1492">
        <f t="shared" si="50"/>
        <v>0</v>
      </c>
      <c r="AY504" s="1492"/>
      <c r="AZ504" s="698"/>
      <c r="BA504" s="699"/>
      <c r="BB504" s="697"/>
      <c r="BC504" s="697">
        <v>0</v>
      </c>
      <c r="BD504" s="697">
        <v>0</v>
      </c>
      <c r="BE504" s="697">
        <v>0</v>
      </c>
      <c r="BF504" s="697">
        <v>0</v>
      </c>
      <c r="BG504" s="697">
        <v>0</v>
      </c>
      <c r="BH504" s="697">
        <v>0</v>
      </c>
      <c r="BI504" s="697">
        <v>0</v>
      </c>
      <c r="BJ504" s="697">
        <v>0</v>
      </c>
      <c r="BK504" s="1492">
        <f t="shared" si="51"/>
        <v>0</v>
      </c>
      <c r="BL504" s="1492"/>
      <c r="BM504" s="1492">
        <f t="shared" si="52"/>
        <v>0</v>
      </c>
      <c r="BN504" s="1492">
        <f t="shared" si="53"/>
        <v>0</v>
      </c>
      <c r="BO504" s="697"/>
      <c r="BP504" s="697"/>
      <c r="BQ504" s="1495" t="s">
        <v>6940</v>
      </c>
      <c r="BR504" s="1495" t="s">
        <v>818</v>
      </c>
      <c r="BS504" s="1902" t="s">
        <v>655</v>
      </c>
      <c r="BT504" s="1907" t="s">
        <v>2223</v>
      </c>
    </row>
    <row r="505" spans="1:72" ht="13">
      <c r="A505" s="1545">
        <v>1061</v>
      </c>
      <c r="B505" s="1546" t="s">
        <v>800</v>
      </c>
      <c r="C505" s="1546" t="s">
        <v>801</v>
      </c>
      <c r="D505" s="1547" t="s">
        <v>6886</v>
      </c>
      <c r="E505" s="690" t="s">
        <v>664</v>
      </c>
      <c r="F505" s="691"/>
      <c r="G505" s="692"/>
      <c r="H505" s="692"/>
      <c r="I505" s="692"/>
      <c r="J505" s="693"/>
      <c r="K505" s="693"/>
      <c r="L505" s="693"/>
      <c r="M505" s="694"/>
      <c r="N505" s="695"/>
      <c r="O505" s="696" t="s">
        <v>1569</v>
      </c>
      <c r="P505" s="695">
        <f>'HIV-Key Info'!$G$79*(('HIV-Key Info'!$E$79*('HPM costs'!F205+'HPM costs'!F551))+('HIV-Key Info'!$F$79*('HPM costs'!F208+'HPM costs'!F211+'HPM costs'!F554+'HPM costs'!F557)))</f>
        <v>0</v>
      </c>
      <c r="Q505" s="695" t="s">
        <v>1569</v>
      </c>
      <c r="R505" s="695">
        <f>'HIV-Key Info'!$G$79*(('HIV-Key Info'!$E$79*('HPM costs'!G205+'HPM costs'!G551))+('HIV-Key Info'!$F$79*('HPM costs'!G208+'HPM costs'!G211+'HPM costs'!G554+'HPM costs'!G557)))</f>
        <v>0</v>
      </c>
      <c r="S505" s="695" t="s">
        <v>1569</v>
      </c>
      <c r="T505" s="695">
        <f>'HIV-Key Info'!$G$79*(('HIV-Key Info'!$E$79*('HPM costs'!H205+'HPM costs'!H551))+('HIV-Key Info'!$F$79*('HPM costs'!H208+'HPM costs'!H211+'HPM costs'!H554+'HPM costs'!H557)))</f>
        <v>0</v>
      </c>
      <c r="U505" s="695" t="s">
        <v>1569</v>
      </c>
      <c r="V505" s="695">
        <f>'HIV-Key Info'!$G$79*(('HIV-Key Info'!$E$79*('HPM costs'!I205+'HPM costs'!I551))+('HIV-Key Info'!$F$79*('HPM costs'!I208+'HPM costs'!I211+'HPM costs'!I554+'HPM costs'!I557)))</f>
        <v>0</v>
      </c>
      <c r="W505" s="695"/>
      <c r="X505" s="1492">
        <f t="shared" si="48"/>
        <v>0</v>
      </c>
      <c r="Y505" s="1493"/>
      <c r="Z505" s="1494"/>
      <c r="AA505" s="699"/>
      <c r="AB505" s="695"/>
      <c r="AC505" s="695">
        <f>'HIV-Key Info'!$G$79*(('HIV-Key Info'!$E$79*('HPM costs'!K205+'HPM costs'!K551))+('HIV-Key Info'!$F$79*('HPM costs'!K208+'HPM costs'!K211+'HPM costs'!K554+'HPM costs'!K557)))</f>
        <v>0</v>
      </c>
      <c r="AD505" s="695"/>
      <c r="AE505" s="695">
        <f>'HIV-Key Info'!$G$79*(('HIV-Key Info'!$E$79*('HPM costs'!L205+'HPM costs'!L551))+('HIV-Key Info'!$F$79*('HPM costs'!L208+'HPM costs'!L211+'HPM costs'!L554+'HPM costs'!L557)))</f>
        <v>0</v>
      </c>
      <c r="AF505" s="695"/>
      <c r="AG505" s="695">
        <f>'HIV-Key Info'!$G$79*(('HIV-Key Info'!$E$79*('HPM costs'!M205+'HPM costs'!M551))+('HIV-Key Info'!$F$79*('HPM costs'!M208+'HPM costs'!M211+'HPM costs'!M554+'HPM costs'!M557)))</f>
        <v>0</v>
      </c>
      <c r="AH505" s="695"/>
      <c r="AI505" s="695">
        <f>'HIV-Key Info'!$G$79*(('HIV-Key Info'!$E$79*('HPM costs'!N205+'HPM costs'!N551))+('HIV-Key Info'!$F$79*('HPM costs'!N208+'HPM costs'!N211+'HPM costs'!N554+'HPM costs'!N557)))</f>
        <v>0</v>
      </c>
      <c r="AJ505" s="695"/>
      <c r="AK505" s="1492">
        <f t="shared" si="49"/>
        <v>0</v>
      </c>
      <c r="AL505" s="1493"/>
      <c r="AM505" s="1494"/>
      <c r="AN505" s="699"/>
      <c r="AO505" s="695"/>
      <c r="AP505" s="695">
        <f>'HIV-Key Info'!$G$79*(('HIV-Key Info'!$E$79*('HPM costs'!P205+'HPM costs'!P551))+('HIV-Key Info'!$F$79*('HPM costs'!P208+'HPM costs'!P211+'HPM costs'!P554+'HPM costs'!P557)))</f>
        <v>0</v>
      </c>
      <c r="AQ505" s="695"/>
      <c r="AR505" s="695">
        <f>'HIV-Key Info'!$G$79*(('HIV-Key Info'!$E$79*('HPM costs'!Q205+'HPM costs'!Q551))+('HIV-Key Info'!$F$79*('HPM costs'!Q208+'HPM costs'!Q211+'HPM costs'!Q554+'HPM costs'!Q557)))</f>
        <v>0</v>
      </c>
      <c r="AS505" s="695"/>
      <c r="AT505" s="695">
        <f>'HIV-Key Info'!$G$79*(('HIV-Key Info'!$E$79*('HPM costs'!R205+'HPM costs'!R551))+('HIV-Key Info'!$F$79*('HPM costs'!R208+'HPM costs'!R211+'HPM costs'!R554+'HPM costs'!R557)))</f>
        <v>0</v>
      </c>
      <c r="AU505" s="695"/>
      <c r="AV505" s="695">
        <f>'HIV-Key Info'!$G$79*(('HIV-Key Info'!$E$79*('HPM costs'!S205+'HPM costs'!S551))+('HIV-Key Info'!$F$79*('HPM costs'!S208+'HPM costs'!S211+'HPM costs'!S554+'HPM costs'!S557)))</f>
        <v>0</v>
      </c>
      <c r="AW505" s="695"/>
      <c r="AX505" s="1492">
        <f t="shared" si="50"/>
        <v>0</v>
      </c>
      <c r="AY505" s="1492"/>
      <c r="AZ505" s="698"/>
      <c r="BA505" s="699"/>
      <c r="BB505" s="697"/>
      <c r="BC505" s="697">
        <v>0</v>
      </c>
      <c r="BD505" s="697">
        <v>0</v>
      </c>
      <c r="BE505" s="697">
        <v>0</v>
      </c>
      <c r="BF505" s="697">
        <v>0</v>
      </c>
      <c r="BG505" s="697">
        <v>0</v>
      </c>
      <c r="BH505" s="697">
        <v>0</v>
      </c>
      <c r="BI505" s="697">
        <v>0</v>
      </c>
      <c r="BJ505" s="697">
        <v>0</v>
      </c>
      <c r="BK505" s="1492">
        <f t="shared" si="51"/>
        <v>0</v>
      </c>
      <c r="BL505" s="1492"/>
      <c r="BM505" s="1492">
        <f t="shared" si="52"/>
        <v>0</v>
      </c>
      <c r="BN505" s="1492">
        <f t="shared" si="53"/>
        <v>0</v>
      </c>
      <c r="BO505" s="697"/>
      <c r="BP505" s="697"/>
      <c r="BQ505" s="1495" t="s">
        <v>6940</v>
      </c>
      <c r="BR505" s="1495" t="s">
        <v>818</v>
      </c>
      <c r="BS505" s="1902" t="s">
        <v>655</v>
      </c>
      <c r="BT505" s="1907" t="s">
        <v>2224</v>
      </c>
    </row>
    <row r="506" spans="1:72" ht="13">
      <c r="A506" s="1545">
        <v>1062</v>
      </c>
      <c r="B506" s="1546" t="s">
        <v>800</v>
      </c>
      <c r="C506" s="1546" t="s">
        <v>801</v>
      </c>
      <c r="D506" s="1547" t="s">
        <v>6886</v>
      </c>
      <c r="E506" s="690" t="s">
        <v>666</v>
      </c>
      <c r="F506" s="691"/>
      <c r="G506" s="692"/>
      <c r="H506" s="692"/>
      <c r="I506" s="692"/>
      <c r="J506" s="693"/>
      <c r="K506" s="693"/>
      <c r="L506" s="693"/>
      <c r="M506" s="694"/>
      <c r="N506" s="695"/>
      <c r="O506" s="696" t="s">
        <v>1569</v>
      </c>
      <c r="P506" s="695">
        <f>'HIV-Key Info'!$G$79*(('HIV-Key Info'!$E$79*'HPM costs'!F291)+('HIV-Key Info'!$F$79*('HPM costs'!F294+'HPM costs'!F297)))</f>
        <v>0</v>
      </c>
      <c r="Q506" s="695" t="s">
        <v>1569</v>
      </c>
      <c r="R506" s="695">
        <f>'HIV-Key Info'!$G$79*(('HIV-Key Info'!$E$79*'HPM costs'!G291)+('HIV-Key Info'!$F$79*('HPM costs'!G294+'HPM costs'!G297)))</f>
        <v>0</v>
      </c>
      <c r="S506" s="695" t="s">
        <v>1569</v>
      </c>
      <c r="T506" s="695">
        <f>'HIV-Key Info'!$G$79*(('HIV-Key Info'!$E$79*'HPM costs'!H291)+('HIV-Key Info'!$F$79*('HPM costs'!H294+'HPM costs'!H297)))</f>
        <v>0</v>
      </c>
      <c r="U506" s="695" t="s">
        <v>1569</v>
      </c>
      <c r="V506" s="695">
        <f>'HIV-Key Info'!$G$79*(('HIV-Key Info'!$E$79*'HPM costs'!I291)+('HIV-Key Info'!$F$79*('HPM costs'!I294+'HPM costs'!I297)))</f>
        <v>0</v>
      </c>
      <c r="W506" s="695"/>
      <c r="X506" s="1492">
        <f t="shared" si="48"/>
        <v>0</v>
      </c>
      <c r="Y506" s="1493"/>
      <c r="Z506" s="1494"/>
      <c r="AA506" s="699"/>
      <c r="AB506" s="695"/>
      <c r="AC506" s="695">
        <f>'HIV-Key Info'!$G$79*(('HIV-Key Info'!$E$79*'HPM costs'!K291)+('HIV-Key Info'!$F$79*('HPM costs'!K294+'HPM costs'!K297)))</f>
        <v>0</v>
      </c>
      <c r="AD506" s="695"/>
      <c r="AE506" s="695">
        <f>'HIV-Key Info'!$G$79*(('HIV-Key Info'!$E$79*'HPM costs'!L291)+('HIV-Key Info'!$F$79*('HPM costs'!L294+'HPM costs'!L297)))</f>
        <v>0</v>
      </c>
      <c r="AF506" s="695"/>
      <c r="AG506" s="695">
        <f>'HIV-Key Info'!$G$79*(('HIV-Key Info'!$E$79*'HPM costs'!M291)+('HIV-Key Info'!$F$79*('HPM costs'!M294+'HPM costs'!M297)))</f>
        <v>0</v>
      </c>
      <c r="AH506" s="695"/>
      <c r="AI506" s="695">
        <f>'HIV-Key Info'!$G$79*(('HIV-Key Info'!$E$79*'HPM costs'!N291)+('HIV-Key Info'!$F$79*('HPM costs'!N294+'HPM costs'!N297)))</f>
        <v>0</v>
      </c>
      <c r="AJ506" s="695"/>
      <c r="AK506" s="1492">
        <f t="shared" si="49"/>
        <v>0</v>
      </c>
      <c r="AL506" s="1493"/>
      <c r="AM506" s="1494"/>
      <c r="AN506" s="699"/>
      <c r="AO506" s="695"/>
      <c r="AP506" s="695">
        <f>'HIV-Key Info'!$G$79*(('HIV-Key Info'!$E$79*'HPM costs'!P291)+('HIV-Key Info'!$F$79*('HPM costs'!P294+'HPM costs'!P297)))</f>
        <v>0</v>
      </c>
      <c r="AQ506" s="695"/>
      <c r="AR506" s="695">
        <f>'HIV-Key Info'!$G$79*(('HIV-Key Info'!$E$79*'HPM costs'!Q291)+('HIV-Key Info'!$F$79*('HPM costs'!Q294+'HPM costs'!Q297)))</f>
        <v>0</v>
      </c>
      <c r="AS506" s="695"/>
      <c r="AT506" s="695">
        <f>'HIV-Key Info'!$G$79*(('HIV-Key Info'!$E$79*'HPM costs'!R291)+('HIV-Key Info'!$F$79*('HPM costs'!R294+'HPM costs'!R297)))</f>
        <v>0</v>
      </c>
      <c r="AU506" s="695"/>
      <c r="AV506" s="695">
        <f>'HIV-Key Info'!$G$79*(('HIV-Key Info'!$E$79*'HPM costs'!S291)+('HIV-Key Info'!$F$79*('HPM costs'!S294+'HPM costs'!S297)))</f>
        <v>0</v>
      </c>
      <c r="AW506" s="695"/>
      <c r="AX506" s="1492">
        <f t="shared" si="50"/>
        <v>0</v>
      </c>
      <c r="AY506" s="1492"/>
      <c r="AZ506" s="698"/>
      <c r="BA506" s="699"/>
      <c r="BB506" s="697"/>
      <c r="BC506" s="697">
        <v>0</v>
      </c>
      <c r="BD506" s="697">
        <v>0</v>
      </c>
      <c r="BE506" s="697">
        <v>0</v>
      </c>
      <c r="BF506" s="697">
        <v>0</v>
      </c>
      <c r="BG506" s="697">
        <v>0</v>
      </c>
      <c r="BH506" s="697">
        <v>0</v>
      </c>
      <c r="BI506" s="697">
        <v>0</v>
      </c>
      <c r="BJ506" s="697">
        <v>0</v>
      </c>
      <c r="BK506" s="1492">
        <f t="shared" si="51"/>
        <v>0</v>
      </c>
      <c r="BL506" s="1492"/>
      <c r="BM506" s="1492">
        <f t="shared" si="52"/>
        <v>0</v>
      </c>
      <c r="BN506" s="1492">
        <f t="shared" si="53"/>
        <v>0</v>
      </c>
      <c r="BO506" s="697"/>
      <c r="BP506" s="697"/>
      <c r="BQ506" s="1495" t="s">
        <v>6940</v>
      </c>
      <c r="BR506" s="1495" t="s">
        <v>818</v>
      </c>
      <c r="BS506" s="1902" t="s">
        <v>655</v>
      </c>
      <c r="BT506" s="1907" t="s">
        <v>2225</v>
      </c>
    </row>
    <row r="507" spans="1:72" ht="13">
      <c r="A507" s="1545">
        <v>1063</v>
      </c>
      <c r="B507" s="1546" t="s">
        <v>800</v>
      </c>
      <c r="C507" s="1546" t="s">
        <v>801</v>
      </c>
      <c r="D507" s="1547" t="s">
        <v>6886</v>
      </c>
      <c r="E507" s="690" t="s">
        <v>668</v>
      </c>
      <c r="F507" s="691"/>
      <c r="G507" s="692"/>
      <c r="H507" s="692"/>
      <c r="I507" s="692"/>
      <c r="J507" s="693"/>
      <c r="K507" s="693"/>
      <c r="L507" s="693"/>
      <c r="M507" s="694"/>
      <c r="N507" s="695"/>
      <c r="O507" s="696" t="s">
        <v>1569</v>
      </c>
      <c r="P507" s="695">
        <f>'HIV-Key Info'!$G$79*(('HIV-Key Info'!$E$79*'HPM costs'!F636)+('HIV-Key Info'!$F$79*('HPM costs'!F639+'HPM costs'!F642)))</f>
        <v>0</v>
      </c>
      <c r="Q507" s="695" t="s">
        <v>1569</v>
      </c>
      <c r="R507" s="695">
        <f>'HIV-Key Info'!$G$79*(('HIV-Key Info'!$E$79*'HPM costs'!G636)+('HIV-Key Info'!$F$79*('HPM costs'!G639+'HPM costs'!G642)))</f>
        <v>0</v>
      </c>
      <c r="S507" s="695" t="s">
        <v>1569</v>
      </c>
      <c r="T507" s="695">
        <f>'HIV-Key Info'!$G$79*(('HIV-Key Info'!$E$79*'HPM costs'!H636)+('HIV-Key Info'!$F$79*('HPM costs'!H639+'HPM costs'!H642)))</f>
        <v>0</v>
      </c>
      <c r="U507" s="695" t="s">
        <v>1569</v>
      </c>
      <c r="V507" s="695">
        <f>'HIV-Key Info'!$G$79*(('HIV-Key Info'!$E$79*'HPM costs'!I636)+('HIV-Key Info'!$F$79*('HPM costs'!I639+'HPM costs'!I642)))</f>
        <v>0</v>
      </c>
      <c r="W507" s="695"/>
      <c r="X507" s="1492">
        <f t="shared" si="48"/>
        <v>0</v>
      </c>
      <c r="Y507" s="1493"/>
      <c r="Z507" s="1494"/>
      <c r="AA507" s="699"/>
      <c r="AB507" s="695"/>
      <c r="AC507" s="695">
        <f>'HIV-Key Info'!$G$79*(('HIV-Key Info'!$E$79*'HPM costs'!K636)+('HIV-Key Info'!$F$79*('HPM costs'!K639+'HPM costs'!K642)))</f>
        <v>0</v>
      </c>
      <c r="AD507" s="695"/>
      <c r="AE507" s="695">
        <f>'HIV-Key Info'!$G$79*(('HIV-Key Info'!$E$79*'HPM costs'!L636)+('HIV-Key Info'!$F$79*('HPM costs'!L639+'HPM costs'!L642)))</f>
        <v>0</v>
      </c>
      <c r="AF507" s="695"/>
      <c r="AG507" s="695">
        <f>'HIV-Key Info'!$G$79*(('HIV-Key Info'!$E$79*'HPM costs'!M636)+('HIV-Key Info'!$F$79*('HPM costs'!M639+'HPM costs'!M642)))</f>
        <v>0</v>
      </c>
      <c r="AH507" s="695"/>
      <c r="AI507" s="695">
        <f>'HIV-Key Info'!$G$79*(('HIV-Key Info'!$E$79*'HPM costs'!N636)+('HIV-Key Info'!$F$79*('HPM costs'!N639+'HPM costs'!N642)))</f>
        <v>0</v>
      </c>
      <c r="AJ507" s="695"/>
      <c r="AK507" s="1492">
        <f t="shared" si="49"/>
        <v>0</v>
      </c>
      <c r="AL507" s="1493"/>
      <c r="AM507" s="1494"/>
      <c r="AN507" s="699"/>
      <c r="AO507" s="695"/>
      <c r="AP507" s="695">
        <f>'HIV-Key Info'!$G$79*(('HIV-Key Info'!$E$79*'HPM costs'!P636)+('HIV-Key Info'!$F$79*('HPM costs'!P639+'HPM costs'!P642)))</f>
        <v>0</v>
      </c>
      <c r="AQ507" s="695"/>
      <c r="AR507" s="695">
        <f>'HIV-Key Info'!$G$79*(('HIV-Key Info'!$E$79*'HPM costs'!Q636)+('HIV-Key Info'!$F$79*('HPM costs'!Q639+'HPM costs'!Q642)))</f>
        <v>0</v>
      </c>
      <c r="AS507" s="695"/>
      <c r="AT507" s="695">
        <f>'HIV-Key Info'!$G$79*(('HIV-Key Info'!$E$79*'HPM costs'!R636)+('HIV-Key Info'!$F$79*('HPM costs'!R639+'HPM costs'!R642)))</f>
        <v>0</v>
      </c>
      <c r="AU507" s="695"/>
      <c r="AV507" s="695">
        <f>'HIV-Key Info'!$G$79*(('HIV-Key Info'!$E$79*'HPM costs'!S636)+('HIV-Key Info'!$F$79*('HPM costs'!S639+'HPM costs'!S642)))</f>
        <v>0</v>
      </c>
      <c r="AW507" s="695"/>
      <c r="AX507" s="1492">
        <f t="shared" si="50"/>
        <v>0</v>
      </c>
      <c r="AY507" s="1492"/>
      <c r="AZ507" s="698"/>
      <c r="BA507" s="699"/>
      <c r="BB507" s="697"/>
      <c r="BC507" s="697">
        <v>0</v>
      </c>
      <c r="BD507" s="697">
        <v>0</v>
      </c>
      <c r="BE507" s="697">
        <v>0</v>
      </c>
      <c r="BF507" s="697">
        <v>0</v>
      </c>
      <c r="BG507" s="697">
        <v>0</v>
      </c>
      <c r="BH507" s="697">
        <v>0</v>
      </c>
      <c r="BI507" s="697">
        <v>0</v>
      </c>
      <c r="BJ507" s="697">
        <v>0</v>
      </c>
      <c r="BK507" s="1492">
        <f t="shared" si="51"/>
        <v>0</v>
      </c>
      <c r="BL507" s="1492"/>
      <c r="BM507" s="1492">
        <f t="shared" si="52"/>
        <v>0</v>
      </c>
      <c r="BN507" s="1492">
        <f t="shared" si="53"/>
        <v>0</v>
      </c>
      <c r="BO507" s="697"/>
      <c r="BP507" s="697"/>
      <c r="BQ507" s="1495" t="s">
        <v>6940</v>
      </c>
      <c r="BR507" s="1495" t="s">
        <v>818</v>
      </c>
      <c r="BS507" s="1902" t="s">
        <v>655</v>
      </c>
      <c r="BT507" s="1907" t="s">
        <v>2226</v>
      </c>
    </row>
    <row r="508" spans="1:72" ht="13">
      <c r="A508" s="1545">
        <v>1064</v>
      </c>
      <c r="B508" s="1546" t="s">
        <v>800</v>
      </c>
      <c r="C508" s="1546" t="s">
        <v>802</v>
      </c>
      <c r="D508" s="1547" t="s">
        <v>6963</v>
      </c>
      <c r="E508" s="690" t="s">
        <v>731</v>
      </c>
      <c r="F508" s="691"/>
      <c r="G508" s="692"/>
      <c r="H508" s="692"/>
      <c r="I508" s="692"/>
      <c r="J508" s="693"/>
      <c r="K508" s="693"/>
      <c r="L508" s="693"/>
      <c r="M508" s="694"/>
      <c r="N508" s="695"/>
      <c r="O508" s="696" t="s">
        <v>1569</v>
      </c>
      <c r="P508" s="695">
        <f>'HIV-Key Info'!$H$79*('HIV-Key Info'!$E$79*('HPM costs'!F551/'HPM costs'!$E$551)+'HIV-Key Info'!$F$79*('HPM costs'!F557/'HPM costs'!$E$557+'HPM costs'!F554/'HPM costs'!$E$554))</f>
        <v>0</v>
      </c>
      <c r="Q508" s="695" t="s">
        <v>1569</v>
      </c>
      <c r="R508" s="695">
        <f>'HIV-Key Info'!$H$79*('HIV-Key Info'!$E$79*('HPM costs'!G551/'HPM costs'!$E$551)+'HIV-Key Info'!$F$79*('HPM costs'!G557/'HPM costs'!$E$557+'HPM costs'!G554/'HPM costs'!$E$554))</f>
        <v>0</v>
      </c>
      <c r="S508" s="695" t="s">
        <v>1569</v>
      </c>
      <c r="T508" s="695">
        <f>'HIV-Key Info'!$H$79*('HIV-Key Info'!$E$79*('HPM costs'!H551/'HPM costs'!$E$551)+'HIV-Key Info'!$F$79*('HPM costs'!H557/'HPM costs'!$E$557+'HPM costs'!H554/'HPM costs'!$E$554))</f>
        <v>0</v>
      </c>
      <c r="U508" s="695" t="s">
        <v>1569</v>
      </c>
      <c r="V508" s="695">
        <f>'HIV-Key Info'!$H$79*('HIV-Key Info'!$E$79*('HPM costs'!I551/'HPM costs'!$E$551)+'HIV-Key Info'!$F$79*('HPM costs'!I557/'HPM costs'!$E$557+'HPM costs'!I554/'HPM costs'!$E$554))</f>
        <v>0</v>
      </c>
      <c r="W508" s="695"/>
      <c r="X508" s="1492">
        <f t="shared" si="48"/>
        <v>0</v>
      </c>
      <c r="Y508" s="1493"/>
      <c r="Z508" s="1494"/>
      <c r="AA508" s="699"/>
      <c r="AB508" s="695"/>
      <c r="AC508" s="695">
        <f>'HIV-Key Info'!$H$79*('HIV-Key Info'!$E$79*('HPM costs'!K551/'HPM costs'!$E$551)+'HIV-Key Info'!$F$79*('HPM costs'!K557/'HPM costs'!$E$557+'HPM costs'!K554/'HPM costs'!$E$554))</f>
        <v>0</v>
      </c>
      <c r="AD508" s="695"/>
      <c r="AE508" s="695">
        <f>'HIV-Key Info'!$H$79*('HIV-Key Info'!$E$79*('HPM costs'!L551/'HPM costs'!$E$551)+'HIV-Key Info'!$F$79*('HPM costs'!L557/'HPM costs'!$E$557+'HPM costs'!L554/'HPM costs'!$E$554))</f>
        <v>0</v>
      </c>
      <c r="AF508" s="695"/>
      <c r="AG508" s="695">
        <f>'HIV-Key Info'!$H$79*('HIV-Key Info'!$E$79*('HPM costs'!M551/'HPM costs'!$E$551)+'HIV-Key Info'!$F$79*('HPM costs'!M557/'HPM costs'!$E$557+'HPM costs'!M554/'HPM costs'!$E$554))</f>
        <v>0</v>
      </c>
      <c r="AH508" s="695"/>
      <c r="AI508" s="695">
        <f>'HIV-Key Info'!$H$79*('HIV-Key Info'!$E$79*('HPM costs'!N551/'HPM costs'!$E$551)+'HIV-Key Info'!$F$79*('HPM costs'!N557/'HPM costs'!$E$557+'HPM costs'!N554/'HPM costs'!$E$554))</f>
        <v>0</v>
      </c>
      <c r="AJ508" s="695"/>
      <c r="AK508" s="1492">
        <f t="shared" si="49"/>
        <v>0</v>
      </c>
      <c r="AL508" s="1493"/>
      <c r="AM508" s="1494"/>
      <c r="AN508" s="699"/>
      <c r="AO508" s="695"/>
      <c r="AP508" s="695">
        <f>'HIV-Key Info'!$H$79*('HIV-Key Info'!$E$79*('HPM costs'!P551/'HPM costs'!$E$551)+'HIV-Key Info'!$F$79*('HPM costs'!P557/'HPM costs'!$E$557+'HPM costs'!P554/'HPM costs'!$E$554))</f>
        <v>0</v>
      </c>
      <c r="AQ508" s="695"/>
      <c r="AR508" s="695">
        <f>'HIV-Key Info'!$H$79*('HIV-Key Info'!$E$79*('HPM costs'!Q551/'HPM costs'!$E$551)+'HIV-Key Info'!$F$79*('HPM costs'!Q557/'HPM costs'!$E$557+'HPM costs'!Q554/'HPM costs'!$E$554))</f>
        <v>0</v>
      </c>
      <c r="AS508" s="695"/>
      <c r="AT508" s="695">
        <f>'HIV-Key Info'!$H$79*('HIV-Key Info'!$E$79*('HPM costs'!R551/'HPM costs'!$E$551)+'HIV-Key Info'!$F$79*('HPM costs'!R557/'HPM costs'!$E$557+'HPM costs'!R554/'HPM costs'!$E$554))</f>
        <v>0</v>
      </c>
      <c r="AU508" s="695"/>
      <c r="AV508" s="695">
        <f>'HIV-Key Info'!$H$79*('HIV-Key Info'!$E$79*('HPM costs'!S551/'HPM costs'!$E$551)+'HIV-Key Info'!$F$79*('HPM costs'!S557/'HPM costs'!$E$557+'HPM costs'!S554/'HPM costs'!$E$554))</f>
        <v>0</v>
      </c>
      <c r="AW508" s="695"/>
      <c r="AX508" s="1492">
        <f t="shared" si="50"/>
        <v>0</v>
      </c>
      <c r="AY508" s="1492"/>
      <c r="AZ508" s="698"/>
      <c r="BA508" s="699"/>
      <c r="BB508" s="697"/>
      <c r="BC508" s="697">
        <v>0</v>
      </c>
      <c r="BD508" s="697">
        <v>0</v>
      </c>
      <c r="BE508" s="697">
        <v>0</v>
      </c>
      <c r="BF508" s="697">
        <v>0</v>
      </c>
      <c r="BG508" s="697">
        <v>0</v>
      </c>
      <c r="BH508" s="697">
        <v>0</v>
      </c>
      <c r="BI508" s="697">
        <v>0</v>
      </c>
      <c r="BJ508" s="697">
        <v>0</v>
      </c>
      <c r="BK508" s="1492">
        <f t="shared" si="51"/>
        <v>0</v>
      </c>
      <c r="BL508" s="1492"/>
      <c r="BM508" s="1492">
        <f t="shared" si="52"/>
        <v>0</v>
      </c>
      <c r="BN508" s="1492">
        <f t="shared" si="53"/>
        <v>0</v>
      </c>
      <c r="BO508" s="697"/>
      <c r="BP508" s="697"/>
      <c r="BQ508" s="1495" t="s">
        <v>6940</v>
      </c>
      <c r="BR508" s="1495" t="s">
        <v>818</v>
      </c>
      <c r="BS508" s="1902" t="s">
        <v>6953</v>
      </c>
      <c r="BT508" s="1907" t="s">
        <v>2227</v>
      </c>
    </row>
    <row r="509" spans="1:72" ht="13">
      <c r="A509" s="1545">
        <v>1065</v>
      </c>
      <c r="B509" s="1546" t="s">
        <v>800</v>
      </c>
      <c r="C509" s="1546" t="s">
        <v>802</v>
      </c>
      <c r="D509" s="1547" t="s">
        <v>6886</v>
      </c>
      <c r="E509" s="690" t="s">
        <v>656</v>
      </c>
      <c r="F509" s="691"/>
      <c r="G509" s="692"/>
      <c r="H509" s="692"/>
      <c r="I509" s="692"/>
      <c r="J509" s="693"/>
      <c r="K509" s="693"/>
      <c r="L509" s="693"/>
      <c r="M509" s="694"/>
      <c r="N509" s="695"/>
      <c r="O509" s="696" t="s">
        <v>1569</v>
      </c>
      <c r="P509" s="695">
        <f>'HIV-Key Info'!$H$79*(('HIV-Key Info'!$E$79*'HPM costs'!F33)+('HIV-Key Info'!$F$79*('HPM costs'!F36+'HPM costs'!F39)))</f>
        <v>0</v>
      </c>
      <c r="Q509" s="695" t="s">
        <v>1569</v>
      </c>
      <c r="R509" s="695">
        <f>'HIV-Key Info'!$H$79*(('HIV-Key Info'!$E$79*'HPM costs'!G33)+('HIV-Key Info'!$F$79*('HPM costs'!G36+'HPM costs'!G39)))</f>
        <v>0</v>
      </c>
      <c r="S509" s="695" t="s">
        <v>1569</v>
      </c>
      <c r="T509" s="695">
        <f>'HIV-Key Info'!$H$79*(('HIV-Key Info'!$E$79*'HPM costs'!H33)+('HIV-Key Info'!$F$79*('HPM costs'!H36+'HPM costs'!H39)))</f>
        <v>0</v>
      </c>
      <c r="U509" s="695" t="s">
        <v>1569</v>
      </c>
      <c r="V509" s="695">
        <f>'HIV-Key Info'!$H$79*(('HIV-Key Info'!$E$79*'HPM costs'!I33)+('HIV-Key Info'!$F$79*('HPM costs'!I36+'HPM costs'!I39)))</f>
        <v>0</v>
      </c>
      <c r="W509" s="695"/>
      <c r="X509" s="1492">
        <f t="shared" si="48"/>
        <v>0</v>
      </c>
      <c r="Y509" s="1493"/>
      <c r="Z509" s="1494"/>
      <c r="AA509" s="699"/>
      <c r="AB509" s="695"/>
      <c r="AC509" s="695">
        <f>'HIV-Key Info'!$H$79*(('HIV-Key Info'!$E$79*'HPM costs'!K33)+('HIV-Key Info'!$F$79*('HPM costs'!K36+'HPM costs'!K39)))</f>
        <v>0</v>
      </c>
      <c r="AD509" s="695"/>
      <c r="AE509" s="695">
        <f>'HIV-Key Info'!$H$79*(('HIV-Key Info'!$E$79*'HPM costs'!L33)+('HIV-Key Info'!$F$79*('HPM costs'!L36+'HPM costs'!L39)))</f>
        <v>0</v>
      </c>
      <c r="AF509" s="695"/>
      <c r="AG509" s="695">
        <f>'HIV-Key Info'!$H$79*(('HIV-Key Info'!$E$79*'HPM costs'!M33)+('HIV-Key Info'!$F$79*('HPM costs'!M36+'HPM costs'!M39)))</f>
        <v>0</v>
      </c>
      <c r="AH509" s="695"/>
      <c r="AI509" s="695">
        <f>'HIV-Key Info'!$H$79*(('HIV-Key Info'!$E$79*'HPM costs'!N33)+('HIV-Key Info'!$F$79*('HPM costs'!N36+'HPM costs'!N39)))</f>
        <v>0</v>
      </c>
      <c r="AJ509" s="695"/>
      <c r="AK509" s="1492">
        <f t="shared" si="49"/>
        <v>0</v>
      </c>
      <c r="AL509" s="1493"/>
      <c r="AM509" s="1494"/>
      <c r="AN509" s="699"/>
      <c r="AO509" s="695"/>
      <c r="AP509" s="695">
        <f>'HIV-Key Info'!$H$79*(('HIV-Key Info'!$E$79*'HPM costs'!P33)+('HIV-Key Info'!$F$79*('HPM costs'!P36+'HPM costs'!P39)))</f>
        <v>0</v>
      </c>
      <c r="AQ509" s="695"/>
      <c r="AR509" s="695">
        <f>'HIV-Key Info'!$H$79*(('HIV-Key Info'!$E$79*'HPM costs'!Q33)+('HIV-Key Info'!$F$79*('HPM costs'!Q36+'HPM costs'!Q39)))</f>
        <v>0</v>
      </c>
      <c r="AS509" s="695"/>
      <c r="AT509" s="695">
        <f>'HIV-Key Info'!$H$79*(('HIV-Key Info'!$E$79*'HPM costs'!R33)+('HIV-Key Info'!$F$79*('HPM costs'!R36+'HPM costs'!R39)))</f>
        <v>0</v>
      </c>
      <c r="AU509" s="695"/>
      <c r="AV509" s="695">
        <f>'HIV-Key Info'!$H$79*(('HIV-Key Info'!$E$79*'HPM costs'!S33)+('HIV-Key Info'!$F$79*('HPM costs'!S36+'HPM costs'!S39)))</f>
        <v>0</v>
      </c>
      <c r="AW509" s="695"/>
      <c r="AX509" s="1492">
        <f t="shared" si="50"/>
        <v>0</v>
      </c>
      <c r="AY509" s="1492"/>
      <c r="AZ509" s="698"/>
      <c r="BA509" s="699"/>
      <c r="BB509" s="697"/>
      <c r="BC509" s="697">
        <v>0</v>
      </c>
      <c r="BD509" s="697">
        <v>0</v>
      </c>
      <c r="BE509" s="697">
        <v>0</v>
      </c>
      <c r="BF509" s="697">
        <v>0</v>
      </c>
      <c r="BG509" s="697">
        <v>0</v>
      </c>
      <c r="BH509" s="697">
        <v>0</v>
      </c>
      <c r="BI509" s="697">
        <v>0</v>
      </c>
      <c r="BJ509" s="697">
        <v>0</v>
      </c>
      <c r="BK509" s="1492">
        <f t="shared" si="51"/>
        <v>0</v>
      </c>
      <c r="BL509" s="1492"/>
      <c r="BM509" s="1492">
        <f t="shared" si="52"/>
        <v>0</v>
      </c>
      <c r="BN509" s="1492">
        <f t="shared" si="53"/>
        <v>0</v>
      </c>
      <c r="BO509" s="697"/>
      <c r="BP509" s="697"/>
      <c r="BQ509" s="1495" t="s">
        <v>6940</v>
      </c>
      <c r="BR509" s="1495" t="s">
        <v>818</v>
      </c>
      <c r="BS509" s="1902" t="s">
        <v>655</v>
      </c>
      <c r="BT509" s="1907" t="s">
        <v>2228</v>
      </c>
    </row>
    <row r="510" spans="1:72" ht="13">
      <c r="A510" s="1545">
        <v>1066</v>
      </c>
      <c r="B510" s="1546" t="s">
        <v>800</v>
      </c>
      <c r="C510" s="1546" t="s">
        <v>802</v>
      </c>
      <c r="D510" s="1547" t="s">
        <v>6886</v>
      </c>
      <c r="E510" s="690" t="s">
        <v>658</v>
      </c>
      <c r="F510" s="691"/>
      <c r="G510" s="692"/>
      <c r="H510" s="692"/>
      <c r="I510" s="692"/>
      <c r="J510" s="693"/>
      <c r="K510" s="693"/>
      <c r="L510" s="693"/>
      <c r="M510" s="694"/>
      <c r="N510" s="695"/>
      <c r="O510" s="696" t="s">
        <v>1569</v>
      </c>
      <c r="P510" s="695">
        <f>'HIV-Key Info'!$H$79*(('HIV-Key Info'!$E$79*'HPM costs'!F119)+('HIV-Key Info'!$F$79*('HPM costs'!F122+'HPM costs'!F125)))</f>
        <v>0</v>
      </c>
      <c r="Q510" s="695" t="s">
        <v>1569</v>
      </c>
      <c r="R510" s="695">
        <f>'HIV-Key Info'!$H$79*(('HIV-Key Info'!$E$79*'HPM costs'!G119)+('HIV-Key Info'!$F$79*('HPM costs'!G122+'HPM costs'!G125)))</f>
        <v>0</v>
      </c>
      <c r="S510" s="695" t="s">
        <v>1569</v>
      </c>
      <c r="T510" s="695">
        <f>'HIV-Key Info'!$H$79*(('HIV-Key Info'!$E$79*'HPM costs'!H119)+('HIV-Key Info'!$F$79*('HPM costs'!H122+'HPM costs'!H125)))</f>
        <v>0</v>
      </c>
      <c r="U510" s="695" t="s">
        <v>1569</v>
      </c>
      <c r="V510" s="695">
        <f>'HIV-Key Info'!$H$79*(('HIV-Key Info'!$E$79*'HPM costs'!I119)+('HIV-Key Info'!$F$79*('HPM costs'!I122+'HPM costs'!I125)))</f>
        <v>0</v>
      </c>
      <c r="W510" s="695"/>
      <c r="X510" s="1492">
        <f t="shared" si="48"/>
        <v>0</v>
      </c>
      <c r="Y510" s="1493"/>
      <c r="Z510" s="1494"/>
      <c r="AA510" s="699"/>
      <c r="AB510" s="695"/>
      <c r="AC510" s="695">
        <f>'HIV-Key Info'!$H$79*(('HIV-Key Info'!$E$79*'HPM costs'!K119)+('HIV-Key Info'!$F$79*('HPM costs'!K122+'HPM costs'!K125)))</f>
        <v>0</v>
      </c>
      <c r="AD510" s="695"/>
      <c r="AE510" s="695">
        <f>'HIV-Key Info'!$H$79*(('HIV-Key Info'!$E$79*'HPM costs'!L119)+('HIV-Key Info'!$F$79*('HPM costs'!L122+'HPM costs'!L125)))</f>
        <v>0</v>
      </c>
      <c r="AF510" s="695"/>
      <c r="AG510" s="695">
        <f>'HIV-Key Info'!$H$79*(('HIV-Key Info'!$E$79*'HPM costs'!M119)+('HIV-Key Info'!$F$79*('HPM costs'!M122+'HPM costs'!M125)))</f>
        <v>0</v>
      </c>
      <c r="AH510" s="695"/>
      <c r="AI510" s="695">
        <f>'HIV-Key Info'!$H$79*(('HIV-Key Info'!$E$79*'HPM costs'!N119)+('HIV-Key Info'!$F$79*('HPM costs'!N122+'HPM costs'!N125)))</f>
        <v>0</v>
      </c>
      <c r="AJ510" s="695"/>
      <c r="AK510" s="1492">
        <f t="shared" si="49"/>
        <v>0</v>
      </c>
      <c r="AL510" s="1493"/>
      <c r="AM510" s="1494"/>
      <c r="AN510" s="699"/>
      <c r="AO510" s="695"/>
      <c r="AP510" s="695">
        <f>'HIV-Key Info'!$H$79*(('HIV-Key Info'!$E$79*'HPM costs'!P119)+('HIV-Key Info'!$F$79*('HPM costs'!P122+'HPM costs'!P125)))</f>
        <v>0</v>
      </c>
      <c r="AQ510" s="695"/>
      <c r="AR510" s="695">
        <f>'HIV-Key Info'!$H$79*(('HIV-Key Info'!$E$79*'HPM costs'!Q119)+('HIV-Key Info'!$F$79*('HPM costs'!Q122+'HPM costs'!Q125)))</f>
        <v>0</v>
      </c>
      <c r="AS510" s="695"/>
      <c r="AT510" s="695">
        <f>'HIV-Key Info'!$H$79*(('HIV-Key Info'!$E$79*'HPM costs'!R119)+('HIV-Key Info'!$F$79*('HPM costs'!R122+'HPM costs'!R125)))</f>
        <v>0</v>
      </c>
      <c r="AU510" s="695"/>
      <c r="AV510" s="695">
        <f>'HIV-Key Info'!$H$79*(('HIV-Key Info'!$E$79*'HPM costs'!S119)+('HIV-Key Info'!$F$79*('HPM costs'!S122+'HPM costs'!S125)))</f>
        <v>0</v>
      </c>
      <c r="AW510" s="695"/>
      <c r="AX510" s="1492">
        <f t="shared" si="50"/>
        <v>0</v>
      </c>
      <c r="AY510" s="1492"/>
      <c r="AZ510" s="698"/>
      <c r="BA510" s="699"/>
      <c r="BB510" s="697"/>
      <c r="BC510" s="697">
        <v>0</v>
      </c>
      <c r="BD510" s="697">
        <v>0</v>
      </c>
      <c r="BE510" s="697">
        <v>0</v>
      </c>
      <c r="BF510" s="697">
        <v>0</v>
      </c>
      <c r="BG510" s="697">
        <v>0</v>
      </c>
      <c r="BH510" s="697">
        <v>0</v>
      </c>
      <c r="BI510" s="697">
        <v>0</v>
      </c>
      <c r="BJ510" s="697">
        <v>0</v>
      </c>
      <c r="BK510" s="1492">
        <f t="shared" si="51"/>
        <v>0</v>
      </c>
      <c r="BL510" s="1492"/>
      <c r="BM510" s="1492">
        <f t="shared" si="52"/>
        <v>0</v>
      </c>
      <c r="BN510" s="1492">
        <f t="shared" si="53"/>
        <v>0</v>
      </c>
      <c r="BO510" s="697"/>
      <c r="BP510" s="697"/>
      <c r="BQ510" s="1495" t="s">
        <v>6940</v>
      </c>
      <c r="BR510" s="1495" t="s">
        <v>818</v>
      </c>
      <c r="BS510" s="1902" t="s">
        <v>655</v>
      </c>
      <c r="BT510" s="1907" t="s">
        <v>2229</v>
      </c>
    </row>
    <row r="511" spans="1:72" ht="13">
      <c r="A511" s="1545">
        <v>1067</v>
      </c>
      <c r="B511" s="1546" t="s">
        <v>800</v>
      </c>
      <c r="C511" s="1546" t="s">
        <v>802</v>
      </c>
      <c r="D511" s="1547" t="s">
        <v>6886</v>
      </c>
      <c r="E511" s="690" t="s">
        <v>660</v>
      </c>
      <c r="F511" s="691"/>
      <c r="G511" s="692"/>
      <c r="H511" s="692"/>
      <c r="I511" s="692"/>
      <c r="J511" s="693"/>
      <c r="K511" s="693"/>
      <c r="L511" s="693"/>
      <c r="M511" s="694"/>
      <c r="N511" s="695"/>
      <c r="O511" s="696" t="s">
        <v>1569</v>
      </c>
      <c r="P511" s="695">
        <f>'HIV-Key Info'!$H$79*(('HIV-Key Info'!$E$79*'HPM costs'!F379)+('HIV-Key Info'!$F$79*('HPM costs'!F382+'HPM costs'!F385)))</f>
        <v>0</v>
      </c>
      <c r="Q511" s="695" t="s">
        <v>1569</v>
      </c>
      <c r="R511" s="695">
        <f>'HIV-Key Info'!$H$79*(('HIV-Key Info'!$E$79*'HPM costs'!G379)+('HIV-Key Info'!$F$79*('HPM costs'!G382+'HPM costs'!G385)))</f>
        <v>0</v>
      </c>
      <c r="S511" s="695" t="s">
        <v>1569</v>
      </c>
      <c r="T511" s="695">
        <f>'HIV-Key Info'!$H$79*(('HIV-Key Info'!$E$79*'HPM costs'!H379)+('HIV-Key Info'!$F$79*('HPM costs'!H382+'HPM costs'!H385)))</f>
        <v>0</v>
      </c>
      <c r="U511" s="695" t="s">
        <v>1569</v>
      </c>
      <c r="V511" s="695">
        <f>'HIV-Key Info'!$H$79*(('HIV-Key Info'!$E$79*'HPM costs'!I379)+('HIV-Key Info'!$F$79*('HPM costs'!I382+'HPM costs'!I385)))</f>
        <v>0</v>
      </c>
      <c r="W511" s="695"/>
      <c r="X511" s="1492">
        <f t="shared" si="48"/>
        <v>0</v>
      </c>
      <c r="Y511" s="1493"/>
      <c r="Z511" s="1494"/>
      <c r="AA511" s="699"/>
      <c r="AB511" s="695"/>
      <c r="AC511" s="695">
        <f>'HIV-Key Info'!$H$79*(('HIV-Key Info'!$E$79*'HPM costs'!K379)+('HIV-Key Info'!$F$79*('HPM costs'!K382+'HPM costs'!K385)))</f>
        <v>0</v>
      </c>
      <c r="AD511" s="695"/>
      <c r="AE511" s="695">
        <f>'HIV-Key Info'!$H$79*(('HIV-Key Info'!$E$79*'HPM costs'!L379)+('HIV-Key Info'!$F$79*('HPM costs'!L382+'HPM costs'!L385)))</f>
        <v>0</v>
      </c>
      <c r="AF511" s="695"/>
      <c r="AG511" s="695">
        <f>'HIV-Key Info'!$H$79*(('HIV-Key Info'!$E$79*'HPM costs'!M379)+('HIV-Key Info'!$F$79*('HPM costs'!M382+'HPM costs'!M385)))</f>
        <v>0</v>
      </c>
      <c r="AH511" s="695"/>
      <c r="AI511" s="695">
        <f>'HIV-Key Info'!$H$79*(('HIV-Key Info'!$E$79*'HPM costs'!N379)+('HIV-Key Info'!$F$79*('HPM costs'!N382+'HPM costs'!N385)))</f>
        <v>0</v>
      </c>
      <c r="AJ511" s="695"/>
      <c r="AK511" s="1492">
        <f t="shared" si="49"/>
        <v>0</v>
      </c>
      <c r="AL511" s="1493"/>
      <c r="AM511" s="1494"/>
      <c r="AN511" s="699"/>
      <c r="AO511" s="695"/>
      <c r="AP511" s="695">
        <f>'HIV-Key Info'!$H$79*(('HIV-Key Info'!$E$79*'HPM costs'!P379)+('HIV-Key Info'!$F$79*('HPM costs'!P382+'HPM costs'!P385)))</f>
        <v>0</v>
      </c>
      <c r="AQ511" s="695"/>
      <c r="AR511" s="695">
        <f>'HIV-Key Info'!$H$79*(('HIV-Key Info'!$E$79*'HPM costs'!Q379)+('HIV-Key Info'!$F$79*('HPM costs'!Q382+'HPM costs'!Q385)))</f>
        <v>0</v>
      </c>
      <c r="AS511" s="695"/>
      <c r="AT511" s="695">
        <f>'HIV-Key Info'!$H$79*(('HIV-Key Info'!$E$79*'HPM costs'!R379)+('HIV-Key Info'!$F$79*('HPM costs'!R382+'HPM costs'!R385)))</f>
        <v>0</v>
      </c>
      <c r="AU511" s="695"/>
      <c r="AV511" s="695">
        <f>'HIV-Key Info'!$H$79*(('HIV-Key Info'!$E$79*'HPM costs'!S379)+('HIV-Key Info'!$F$79*('HPM costs'!S382+'HPM costs'!S385)))</f>
        <v>0</v>
      </c>
      <c r="AW511" s="695"/>
      <c r="AX511" s="1492">
        <f t="shared" si="50"/>
        <v>0</v>
      </c>
      <c r="AY511" s="1492"/>
      <c r="AZ511" s="698"/>
      <c r="BA511" s="699"/>
      <c r="BB511" s="697"/>
      <c r="BC511" s="697">
        <v>0</v>
      </c>
      <c r="BD511" s="697">
        <v>0</v>
      </c>
      <c r="BE511" s="697">
        <v>0</v>
      </c>
      <c r="BF511" s="697">
        <v>0</v>
      </c>
      <c r="BG511" s="697">
        <v>0</v>
      </c>
      <c r="BH511" s="697">
        <v>0</v>
      </c>
      <c r="BI511" s="697">
        <v>0</v>
      </c>
      <c r="BJ511" s="697">
        <v>0</v>
      </c>
      <c r="BK511" s="1492">
        <f t="shared" si="51"/>
        <v>0</v>
      </c>
      <c r="BL511" s="1492"/>
      <c r="BM511" s="1492">
        <f t="shared" si="52"/>
        <v>0</v>
      </c>
      <c r="BN511" s="1492">
        <f t="shared" si="53"/>
        <v>0</v>
      </c>
      <c r="BO511" s="697"/>
      <c r="BP511" s="697"/>
      <c r="BQ511" s="1495" t="s">
        <v>6940</v>
      </c>
      <c r="BR511" s="1495" t="s">
        <v>818</v>
      </c>
      <c r="BS511" s="1902" t="s">
        <v>655</v>
      </c>
      <c r="BT511" s="1907" t="s">
        <v>2230</v>
      </c>
    </row>
    <row r="512" spans="1:72" ht="13">
      <c r="A512" s="1545">
        <v>1068</v>
      </c>
      <c r="B512" s="1546" t="s">
        <v>800</v>
      </c>
      <c r="C512" s="1546" t="s">
        <v>802</v>
      </c>
      <c r="D512" s="1547" t="s">
        <v>6886</v>
      </c>
      <c r="E512" s="690" t="s">
        <v>662</v>
      </c>
      <c r="F512" s="691"/>
      <c r="G512" s="692"/>
      <c r="H512" s="692"/>
      <c r="I512" s="692"/>
      <c r="J512" s="693"/>
      <c r="K512" s="693"/>
      <c r="L512" s="693"/>
      <c r="M512" s="694"/>
      <c r="N512" s="695"/>
      <c r="O512" s="696" t="s">
        <v>1569</v>
      </c>
      <c r="P512" s="695">
        <f>'HIV-Key Info'!$H$79*(('HIV-Key Info'!$E$79*'HPM costs'!F465)+('HIV-Key Info'!$F$79*('HPM costs'!F468+'HPM costs'!F471)))</f>
        <v>0</v>
      </c>
      <c r="Q512" s="695" t="s">
        <v>1569</v>
      </c>
      <c r="R512" s="695">
        <f>'HIV-Key Info'!$H$79*(('HIV-Key Info'!$E$79*'HPM costs'!G465)+('HIV-Key Info'!$F$79*('HPM costs'!G468+'HPM costs'!G471)))</f>
        <v>0</v>
      </c>
      <c r="S512" s="695" t="s">
        <v>1569</v>
      </c>
      <c r="T512" s="695">
        <f>'HIV-Key Info'!$H$79*(('HIV-Key Info'!$E$79*'HPM costs'!H465)+('HIV-Key Info'!$F$79*('HPM costs'!H468+'HPM costs'!H471)))</f>
        <v>0</v>
      </c>
      <c r="U512" s="695" t="s">
        <v>1569</v>
      </c>
      <c r="V512" s="695">
        <f>'HIV-Key Info'!$H$79*(('HIV-Key Info'!$E$79*'HPM costs'!I465)+('HIV-Key Info'!$F$79*('HPM costs'!I468+'HPM costs'!I471)))</f>
        <v>0</v>
      </c>
      <c r="W512" s="695"/>
      <c r="X512" s="1492">
        <f t="shared" si="48"/>
        <v>0</v>
      </c>
      <c r="Y512" s="1493"/>
      <c r="Z512" s="1494"/>
      <c r="AA512" s="699"/>
      <c r="AB512" s="695"/>
      <c r="AC512" s="695">
        <f>'HIV-Key Info'!$H$79*(('HIV-Key Info'!$E$79*'HPM costs'!K465)+('HIV-Key Info'!$F$79*('HPM costs'!K468+'HPM costs'!K471)))</f>
        <v>0</v>
      </c>
      <c r="AD512" s="695"/>
      <c r="AE512" s="695">
        <f>'HIV-Key Info'!$H$79*(('HIV-Key Info'!$E$79*'HPM costs'!L465)+('HIV-Key Info'!$F$79*('HPM costs'!L468+'HPM costs'!L471)))</f>
        <v>0</v>
      </c>
      <c r="AF512" s="695"/>
      <c r="AG512" s="695">
        <f>'HIV-Key Info'!$H$79*(('HIV-Key Info'!$E$79*'HPM costs'!M465)+('HIV-Key Info'!$F$79*('HPM costs'!M468+'HPM costs'!M471)))</f>
        <v>0</v>
      </c>
      <c r="AH512" s="695"/>
      <c r="AI512" s="695">
        <f>'HIV-Key Info'!$H$79*(('HIV-Key Info'!$E$79*'HPM costs'!N465)+('HIV-Key Info'!$F$79*('HPM costs'!N468+'HPM costs'!N471)))</f>
        <v>0</v>
      </c>
      <c r="AJ512" s="695"/>
      <c r="AK512" s="1492">
        <f t="shared" si="49"/>
        <v>0</v>
      </c>
      <c r="AL512" s="1493"/>
      <c r="AM512" s="1494"/>
      <c r="AN512" s="699"/>
      <c r="AO512" s="695"/>
      <c r="AP512" s="695">
        <f>'HIV-Key Info'!$H$79*(('HIV-Key Info'!$E$79*'HPM costs'!P465)+('HIV-Key Info'!$F$79*('HPM costs'!P468+'HPM costs'!P471)))</f>
        <v>0</v>
      </c>
      <c r="AQ512" s="695"/>
      <c r="AR512" s="695">
        <f>'HIV-Key Info'!$H$79*(('HIV-Key Info'!$E$79*'HPM costs'!Q465)+('HIV-Key Info'!$F$79*('HPM costs'!Q468+'HPM costs'!Q471)))</f>
        <v>0</v>
      </c>
      <c r="AS512" s="695"/>
      <c r="AT512" s="695">
        <f>'HIV-Key Info'!$H$79*(('HIV-Key Info'!$E$79*'HPM costs'!R465)+('HIV-Key Info'!$F$79*('HPM costs'!R468+'HPM costs'!R471)))</f>
        <v>0</v>
      </c>
      <c r="AU512" s="695"/>
      <c r="AV512" s="695">
        <f>'HIV-Key Info'!$H$79*(('HIV-Key Info'!$E$79*'HPM costs'!S465)+('HIV-Key Info'!$F$79*('HPM costs'!S468+'HPM costs'!S471)))</f>
        <v>0</v>
      </c>
      <c r="AW512" s="695"/>
      <c r="AX512" s="1492">
        <f t="shared" si="50"/>
        <v>0</v>
      </c>
      <c r="AY512" s="1492"/>
      <c r="AZ512" s="698"/>
      <c r="BA512" s="699"/>
      <c r="BB512" s="697"/>
      <c r="BC512" s="697">
        <v>0</v>
      </c>
      <c r="BD512" s="697">
        <v>0</v>
      </c>
      <c r="BE512" s="697">
        <v>0</v>
      </c>
      <c r="BF512" s="697">
        <v>0</v>
      </c>
      <c r="BG512" s="697">
        <v>0</v>
      </c>
      <c r="BH512" s="697">
        <v>0</v>
      </c>
      <c r="BI512" s="697">
        <v>0</v>
      </c>
      <c r="BJ512" s="697">
        <v>0</v>
      </c>
      <c r="BK512" s="1492">
        <f t="shared" si="51"/>
        <v>0</v>
      </c>
      <c r="BL512" s="1492"/>
      <c r="BM512" s="1492">
        <f t="shared" si="52"/>
        <v>0</v>
      </c>
      <c r="BN512" s="1492">
        <f t="shared" si="53"/>
        <v>0</v>
      </c>
      <c r="BO512" s="697"/>
      <c r="BP512" s="697"/>
      <c r="BQ512" s="1495" t="s">
        <v>6940</v>
      </c>
      <c r="BR512" s="1495" t="s">
        <v>818</v>
      </c>
      <c r="BS512" s="1902" t="s">
        <v>655</v>
      </c>
      <c r="BT512" s="1907" t="s">
        <v>2231</v>
      </c>
    </row>
    <row r="513" spans="1:72" ht="13">
      <c r="A513" s="1545">
        <v>1069</v>
      </c>
      <c r="B513" s="1546" t="s">
        <v>800</v>
      </c>
      <c r="C513" s="1546" t="s">
        <v>802</v>
      </c>
      <c r="D513" s="1547" t="s">
        <v>6886</v>
      </c>
      <c r="E513" s="690" t="s">
        <v>664</v>
      </c>
      <c r="F513" s="691"/>
      <c r="G513" s="692"/>
      <c r="H513" s="692"/>
      <c r="I513" s="692"/>
      <c r="J513" s="693"/>
      <c r="K513" s="693"/>
      <c r="L513" s="693"/>
      <c r="M513" s="694"/>
      <c r="N513" s="695"/>
      <c r="O513" s="696" t="s">
        <v>1569</v>
      </c>
      <c r="P513" s="695">
        <f>'HIV-Key Info'!$H$79*(('HIV-Key Info'!$E$79*('HPM costs'!F205+'HPM costs'!F551))+('HIV-Key Info'!$F$79*('HPM costs'!F208+'HPM costs'!F211+'HPM costs'!F554+'HPM costs'!F557)))</f>
        <v>0</v>
      </c>
      <c r="Q513" s="695" t="s">
        <v>1569</v>
      </c>
      <c r="R513" s="695">
        <f>'HIV-Key Info'!$H$79*(('HIV-Key Info'!$E$79*('HPM costs'!G205+'HPM costs'!G551))+('HIV-Key Info'!$F$79*('HPM costs'!G208+'HPM costs'!G211+'HPM costs'!G554+'HPM costs'!G557)))</f>
        <v>0</v>
      </c>
      <c r="S513" s="695" t="s">
        <v>1569</v>
      </c>
      <c r="T513" s="695">
        <f>'HIV-Key Info'!$H$79*(('HIV-Key Info'!$E$79*('HPM costs'!H205+'HPM costs'!H551))+('HIV-Key Info'!$F$79*('HPM costs'!H208+'HPM costs'!H211+'HPM costs'!H554+'HPM costs'!H557)))</f>
        <v>0</v>
      </c>
      <c r="U513" s="695" t="s">
        <v>1569</v>
      </c>
      <c r="V513" s="695">
        <f>'HIV-Key Info'!$H$79*(('HIV-Key Info'!$E$79*('HPM costs'!I205+'HPM costs'!I551))+('HIV-Key Info'!$F$79*('HPM costs'!I208+'HPM costs'!I211+'HPM costs'!I554+'HPM costs'!I557)))</f>
        <v>0</v>
      </c>
      <c r="W513" s="695"/>
      <c r="X513" s="1492">
        <f t="shared" ref="X513:X549" si="54">P513+R513+T513+V513</f>
        <v>0</v>
      </c>
      <c r="Y513" s="1493"/>
      <c r="Z513" s="1494"/>
      <c r="AA513" s="699"/>
      <c r="AB513" s="695"/>
      <c r="AC513" s="695">
        <f>'HIV-Key Info'!$H$79*(('HIV-Key Info'!$E$79*('HPM costs'!K205+'HPM costs'!K551))+('HIV-Key Info'!$F$79*('HPM costs'!K208+'HPM costs'!K211+'HPM costs'!K554+'HPM costs'!K557)))</f>
        <v>0</v>
      </c>
      <c r="AD513" s="695"/>
      <c r="AE513" s="695">
        <f>'HIV-Key Info'!$H$79*(('HIV-Key Info'!$E$79*('HPM costs'!L205+'HPM costs'!L551))+('HIV-Key Info'!$F$79*('HPM costs'!L208+'HPM costs'!L211+'HPM costs'!L554+'HPM costs'!L557)))</f>
        <v>0</v>
      </c>
      <c r="AF513" s="695"/>
      <c r="AG513" s="695">
        <f>'HIV-Key Info'!$H$79*(('HIV-Key Info'!$E$79*('HPM costs'!M205+'HPM costs'!M551))+('HIV-Key Info'!$F$79*('HPM costs'!M208+'HPM costs'!M211+'HPM costs'!M554+'HPM costs'!M557)))</f>
        <v>0</v>
      </c>
      <c r="AH513" s="695"/>
      <c r="AI513" s="695">
        <f>'HIV-Key Info'!$H$79*(('HIV-Key Info'!$E$79*('HPM costs'!N205+'HPM costs'!N551))+('HIV-Key Info'!$F$79*('HPM costs'!N208+'HPM costs'!N211+'HPM costs'!N554+'HPM costs'!N557)))</f>
        <v>0</v>
      </c>
      <c r="AJ513" s="695"/>
      <c r="AK513" s="1492">
        <f t="shared" ref="AK513:AK549" si="55">AI513+AG513+AE513+AC513</f>
        <v>0</v>
      </c>
      <c r="AL513" s="1493"/>
      <c r="AM513" s="1494"/>
      <c r="AN513" s="699"/>
      <c r="AO513" s="695"/>
      <c r="AP513" s="695">
        <f>'HIV-Key Info'!$H$79*(('HIV-Key Info'!$E$79*('HPM costs'!P205+'HPM costs'!P551))+('HIV-Key Info'!$F$79*('HPM costs'!P208+'HPM costs'!P211+'HPM costs'!P554+'HPM costs'!P557)))</f>
        <v>0</v>
      </c>
      <c r="AQ513" s="695"/>
      <c r="AR513" s="695">
        <f>'HIV-Key Info'!$H$79*(('HIV-Key Info'!$E$79*('HPM costs'!Q205+'HPM costs'!Q551))+('HIV-Key Info'!$F$79*('HPM costs'!Q208+'HPM costs'!Q211+'HPM costs'!Q554+'HPM costs'!Q557)))</f>
        <v>0</v>
      </c>
      <c r="AS513" s="695"/>
      <c r="AT513" s="695">
        <f>'HIV-Key Info'!$H$79*(('HIV-Key Info'!$E$79*('HPM costs'!R205+'HPM costs'!R551))+('HIV-Key Info'!$F$79*('HPM costs'!R208+'HPM costs'!R211+'HPM costs'!R554+'HPM costs'!R557)))</f>
        <v>0</v>
      </c>
      <c r="AU513" s="695"/>
      <c r="AV513" s="695">
        <f>'HIV-Key Info'!$H$79*(('HIV-Key Info'!$E$79*('HPM costs'!S205+'HPM costs'!S551))+('HIV-Key Info'!$F$79*('HPM costs'!S208+'HPM costs'!S211+'HPM costs'!S554+'HPM costs'!S557)))</f>
        <v>0</v>
      </c>
      <c r="AW513" s="695"/>
      <c r="AX513" s="1492">
        <f t="shared" ref="AX513:AX549" si="56">AV513+AT513+AR513+AP513</f>
        <v>0</v>
      </c>
      <c r="AY513" s="1492"/>
      <c r="AZ513" s="698"/>
      <c r="BA513" s="699"/>
      <c r="BB513" s="697"/>
      <c r="BC513" s="697">
        <v>0</v>
      </c>
      <c r="BD513" s="697">
        <v>0</v>
      </c>
      <c r="BE513" s="697">
        <v>0</v>
      </c>
      <c r="BF513" s="697">
        <v>0</v>
      </c>
      <c r="BG513" s="697">
        <v>0</v>
      </c>
      <c r="BH513" s="697">
        <v>0</v>
      </c>
      <c r="BI513" s="697">
        <v>0</v>
      </c>
      <c r="BJ513" s="697">
        <v>0</v>
      </c>
      <c r="BK513" s="1492">
        <f t="shared" ref="BK513:BK549" si="57">BI513+BG513+BE513+BC513</f>
        <v>0</v>
      </c>
      <c r="BL513" s="1492"/>
      <c r="BM513" s="1492">
        <f t="shared" si="52"/>
        <v>0</v>
      </c>
      <c r="BN513" s="1492">
        <f t="shared" si="53"/>
        <v>0</v>
      </c>
      <c r="BO513" s="697"/>
      <c r="BP513" s="697"/>
      <c r="BQ513" s="1495" t="s">
        <v>6940</v>
      </c>
      <c r="BR513" s="1495" t="s">
        <v>818</v>
      </c>
      <c r="BS513" s="1902" t="s">
        <v>655</v>
      </c>
      <c r="BT513" s="1907" t="s">
        <v>2232</v>
      </c>
    </row>
    <row r="514" spans="1:72" ht="13">
      <c r="A514" s="1545">
        <v>1070</v>
      </c>
      <c r="B514" s="1546" t="s">
        <v>800</v>
      </c>
      <c r="C514" s="1546" t="s">
        <v>802</v>
      </c>
      <c r="D514" s="1547" t="s">
        <v>6886</v>
      </c>
      <c r="E514" s="690" t="s">
        <v>666</v>
      </c>
      <c r="F514" s="691"/>
      <c r="G514" s="692"/>
      <c r="H514" s="692"/>
      <c r="I514" s="692"/>
      <c r="J514" s="693"/>
      <c r="K514" s="693"/>
      <c r="L514" s="693"/>
      <c r="M514" s="694"/>
      <c r="N514" s="695"/>
      <c r="O514" s="696" t="s">
        <v>1569</v>
      </c>
      <c r="P514" s="695">
        <f>'HIV-Key Info'!$H$79*(('HIV-Key Info'!$E$79*'HPM costs'!F291)+('HIV-Key Info'!$F$79*('HPM costs'!F294+'HPM costs'!F297)))</f>
        <v>0</v>
      </c>
      <c r="Q514" s="695" t="s">
        <v>1569</v>
      </c>
      <c r="R514" s="695">
        <f>'HIV-Key Info'!$H$79*(('HIV-Key Info'!$E$79*'HPM costs'!G291)+('HIV-Key Info'!$F$79*('HPM costs'!G294+'HPM costs'!G297)))</f>
        <v>0</v>
      </c>
      <c r="S514" s="695" t="s">
        <v>1569</v>
      </c>
      <c r="T514" s="695">
        <f>'HIV-Key Info'!$H$79*(('HIV-Key Info'!$E$79*'HPM costs'!H291)+('HIV-Key Info'!$F$79*('HPM costs'!H294+'HPM costs'!H297)))</f>
        <v>0</v>
      </c>
      <c r="U514" s="695" t="s">
        <v>1569</v>
      </c>
      <c r="V514" s="695">
        <f>'HIV-Key Info'!$H$79*(('HIV-Key Info'!$E$79*'HPM costs'!I291)+('HIV-Key Info'!$F$79*('HPM costs'!I294+'HPM costs'!I297)))</f>
        <v>0</v>
      </c>
      <c r="W514" s="695"/>
      <c r="X514" s="1492">
        <f t="shared" si="54"/>
        <v>0</v>
      </c>
      <c r="Y514" s="1493"/>
      <c r="Z514" s="1494"/>
      <c r="AA514" s="699"/>
      <c r="AB514" s="695"/>
      <c r="AC514" s="695">
        <f>'HIV-Key Info'!$H$79*(('HIV-Key Info'!$E$79*'HPM costs'!K291)+('HIV-Key Info'!$F$79*('HPM costs'!K294+'HPM costs'!K297)))</f>
        <v>0</v>
      </c>
      <c r="AD514" s="695"/>
      <c r="AE514" s="695">
        <f>'HIV-Key Info'!$H$79*(('HIV-Key Info'!$E$79*'HPM costs'!L291)+('HIV-Key Info'!$F$79*('HPM costs'!L294+'HPM costs'!L297)))</f>
        <v>0</v>
      </c>
      <c r="AF514" s="695"/>
      <c r="AG514" s="695">
        <f>'HIV-Key Info'!$H$79*(('HIV-Key Info'!$E$79*'HPM costs'!M291)+('HIV-Key Info'!$F$79*('HPM costs'!M294+'HPM costs'!M297)))</f>
        <v>0</v>
      </c>
      <c r="AH514" s="695"/>
      <c r="AI514" s="695">
        <f>'HIV-Key Info'!$H$79*(('HIV-Key Info'!$E$79*'HPM costs'!N291)+('HIV-Key Info'!$F$79*('HPM costs'!N294+'HPM costs'!N297)))</f>
        <v>0</v>
      </c>
      <c r="AJ514" s="695"/>
      <c r="AK514" s="1492">
        <f t="shared" si="55"/>
        <v>0</v>
      </c>
      <c r="AL514" s="1493"/>
      <c r="AM514" s="1494"/>
      <c r="AN514" s="699"/>
      <c r="AO514" s="695"/>
      <c r="AP514" s="695">
        <f>'HIV-Key Info'!$H$79*(('HIV-Key Info'!$E$79*'HPM costs'!P291)+('HIV-Key Info'!$F$79*('HPM costs'!P294+'HPM costs'!P297)))</f>
        <v>0</v>
      </c>
      <c r="AQ514" s="695"/>
      <c r="AR514" s="695">
        <f>'HIV-Key Info'!$H$79*(('HIV-Key Info'!$E$79*'HPM costs'!Q291)+('HIV-Key Info'!$F$79*('HPM costs'!Q294+'HPM costs'!Q297)))</f>
        <v>0</v>
      </c>
      <c r="AS514" s="695"/>
      <c r="AT514" s="695">
        <f>'HIV-Key Info'!$H$79*(('HIV-Key Info'!$E$79*'HPM costs'!R291)+('HIV-Key Info'!$F$79*('HPM costs'!R294+'HPM costs'!R297)))</f>
        <v>0</v>
      </c>
      <c r="AU514" s="695"/>
      <c r="AV514" s="695">
        <f>'HIV-Key Info'!$H$79*(('HIV-Key Info'!$E$79*'HPM costs'!S291)+('HIV-Key Info'!$F$79*('HPM costs'!S294+'HPM costs'!S297)))</f>
        <v>0</v>
      </c>
      <c r="AW514" s="695"/>
      <c r="AX514" s="1492">
        <f t="shared" si="56"/>
        <v>0</v>
      </c>
      <c r="AY514" s="1492"/>
      <c r="AZ514" s="698"/>
      <c r="BA514" s="699"/>
      <c r="BB514" s="697"/>
      <c r="BC514" s="697">
        <v>0</v>
      </c>
      <c r="BD514" s="697">
        <v>0</v>
      </c>
      <c r="BE514" s="697">
        <v>0</v>
      </c>
      <c r="BF514" s="697">
        <v>0</v>
      </c>
      <c r="BG514" s="697">
        <v>0</v>
      </c>
      <c r="BH514" s="697">
        <v>0</v>
      </c>
      <c r="BI514" s="697">
        <v>0</v>
      </c>
      <c r="BJ514" s="697">
        <v>0</v>
      </c>
      <c r="BK514" s="1492">
        <f t="shared" si="57"/>
        <v>0</v>
      </c>
      <c r="BL514" s="1492"/>
      <c r="BM514" s="1492">
        <f t="shared" ref="BM514:BM550" si="58">BJ514+AW514+AJ514+W514</f>
        <v>0</v>
      </c>
      <c r="BN514" s="1492">
        <f t="shared" ref="BN514:BN550" si="59">BK514+AX514+AK514+X514</f>
        <v>0</v>
      </c>
      <c r="BO514" s="697"/>
      <c r="BP514" s="697"/>
      <c r="BQ514" s="1495" t="s">
        <v>6940</v>
      </c>
      <c r="BR514" s="1495" t="s">
        <v>818</v>
      </c>
      <c r="BS514" s="1902" t="s">
        <v>655</v>
      </c>
      <c r="BT514" s="1907" t="s">
        <v>2233</v>
      </c>
    </row>
    <row r="515" spans="1:72" ht="13">
      <c r="A515" s="1545">
        <v>1071</v>
      </c>
      <c r="B515" s="1546" t="s">
        <v>800</v>
      </c>
      <c r="C515" s="1546" t="s">
        <v>802</v>
      </c>
      <c r="D515" s="1547" t="s">
        <v>6886</v>
      </c>
      <c r="E515" s="690" t="s">
        <v>668</v>
      </c>
      <c r="F515" s="691"/>
      <c r="G515" s="692"/>
      <c r="H515" s="692"/>
      <c r="I515" s="692"/>
      <c r="J515" s="693"/>
      <c r="K515" s="693"/>
      <c r="L515" s="693"/>
      <c r="M515" s="694"/>
      <c r="N515" s="695"/>
      <c r="O515" s="696" t="s">
        <v>1569</v>
      </c>
      <c r="P515" s="695">
        <f>'HIV-Key Info'!$H$79*(('HIV-Key Info'!$E$79*'HPM costs'!F636)+('HIV-Key Info'!$F$79*('HPM costs'!F639+'HPM costs'!F642)))</f>
        <v>0</v>
      </c>
      <c r="Q515" s="695" t="s">
        <v>1569</v>
      </c>
      <c r="R515" s="695">
        <f>'HIV-Key Info'!$H$79*(('HIV-Key Info'!$E$79*'HPM costs'!G636)+('HIV-Key Info'!$F$79*('HPM costs'!G639+'HPM costs'!G642)))</f>
        <v>0</v>
      </c>
      <c r="S515" s="695" t="s">
        <v>1569</v>
      </c>
      <c r="T515" s="695">
        <f>'HIV-Key Info'!$H$79*(('HIV-Key Info'!$E$79*'HPM costs'!H636)+('HIV-Key Info'!$F$79*('HPM costs'!H639+'HPM costs'!H642)))</f>
        <v>0</v>
      </c>
      <c r="U515" s="695" t="s">
        <v>1569</v>
      </c>
      <c r="V515" s="695">
        <f>'HIV-Key Info'!$H$79*(('HIV-Key Info'!$E$79*'HPM costs'!I636)+('HIV-Key Info'!$F$79*('HPM costs'!I639+'HPM costs'!I642)))</f>
        <v>0</v>
      </c>
      <c r="W515" s="695"/>
      <c r="X515" s="1492">
        <f t="shared" si="54"/>
        <v>0</v>
      </c>
      <c r="Y515" s="1493"/>
      <c r="Z515" s="1494"/>
      <c r="AA515" s="699"/>
      <c r="AB515" s="695"/>
      <c r="AC515" s="695">
        <f>'HIV-Key Info'!$H$79*(('HIV-Key Info'!$E$79*'HPM costs'!K636)+('HIV-Key Info'!$F$79*('HPM costs'!K639+'HPM costs'!K642)))</f>
        <v>0</v>
      </c>
      <c r="AD515" s="695"/>
      <c r="AE515" s="695">
        <f>'HIV-Key Info'!$H$79*(('HIV-Key Info'!$E$79*'HPM costs'!L636)+('HIV-Key Info'!$F$79*('HPM costs'!L639+'HPM costs'!L642)))</f>
        <v>0</v>
      </c>
      <c r="AF515" s="695"/>
      <c r="AG515" s="695">
        <f>'HIV-Key Info'!$H$79*(('HIV-Key Info'!$E$79*'HPM costs'!M636)+('HIV-Key Info'!$F$79*('HPM costs'!M639+'HPM costs'!M642)))</f>
        <v>0</v>
      </c>
      <c r="AH515" s="695"/>
      <c r="AI515" s="695">
        <f>'HIV-Key Info'!$H$79*(('HIV-Key Info'!$E$79*'HPM costs'!N636)+('HIV-Key Info'!$F$79*('HPM costs'!N639+'HPM costs'!N642)))</f>
        <v>0</v>
      </c>
      <c r="AJ515" s="695"/>
      <c r="AK515" s="1492">
        <f t="shared" si="55"/>
        <v>0</v>
      </c>
      <c r="AL515" s="1493"/>
      <c r="AM515" s="1494"/>
      <c r="AN515" s="699"/>
      <c r="AO515" s="695"/>
      <c r="AP515" s="695">
        <f>'HIV-Key Info'!$H$79*(('HIV-Key Info'!$E$79*'HPM costs'!P636)+('HIV-Key Info'!$F$79*('HPM costs'!P639+'HPM costs'!P642)))</f>
        <v>0</v>
      </c>
      <c r="AQ515" s="695"/>
      <c r="AR515" s="695">
        <f>'HIV-Key Info'!$H$79*(('HIV-Key Info'!$E$79*'HPM costs'!Q636)+('HIV-Key Info'!$F$79*('HPM costs'!Q639+'HPM costs'!Q642)))</f>
        <v>0</v>
      </c>
      <c r="AS515" s="695"/>
      <c r="AT515" s="695">
        <f>'HIV-Key Info'!$H$79*(('HIV-Key Info'!$E$79*'HPM costs'!R636)+('HIV-Key Info'!$F$79*('HPM costs'!R639+'HPM costs'!R642)))</f>
        <v>0</v>
      </c>
      <c r="AU515" s="695"/>
      <c r="AV515" s="695">
        <f>'HIV-Key Info'!$H$79*(('HIV-Key Info'!$E$79*'HPM costs'!S636)+('HIV-Key Info'!$F$79*('HPM costs'!S639+'HPM costs'!S642)))</f>
        <v>0</v>
      </c>
      <c r="AW515" s="695"/>
      <c r="AX515" s="1492">
        <f t="shared" si="56"/>
        <v>0</v>
      </c>
      <c r="AY515" s="1492"/>
      <c r="AZ515" s="698"/>
      <c r="BA515" s="699"/>
      <c r="BB515" s="697"/>
      <c r="BC515" s="697">
        <v>0</v>
      </c>
      <c r="BD515" s="697">
        <v>0</v>
      </c>
      <c r="BE515" s="697">
        <v>0</v>
      </c>
      <c r="BF515" s="697">
        <v>0</v>
      </c>
      <c r="BG515" s="697">
        <v>0</v>
      </c>
      <c r="BH515" s="697">
        <v>0</v>
      </c>
      <c r="BI515" s="697">
        <v>0</v>
      </c>
      <c r="BJ515" s="697">
        <v>0</v>
      </c>
      <c r="BK515" s="1492">
        <f t="shared" si="57"/>
        <v>0</v>
      </c>
      <c r="BL515" s="1492"/>
      <c r="BM515" s="1492">
        <f t="shared" si="58"/>
        <v>0</v>
      </c>
      <c r="BN515" s="1492">
        <f t="shared" si="59"/>
        <v>0</v>
      </c>
      <c r="BO515" s="697"/>
      <c r="BP515" s="697"/>
      <c r="BQ515" s="1495" t="s">
        <v>6940</v>
      </c>
      <c r="BR515" s="1495" t="s">
        <v>818</v>
      </c>
      <c r="BS515" s="1902" t="s">
        <v>655</v>
      </c>
      <c r="BT515" s="1907" t="s">
        <v>2234</v>
      </c>
    </row>
    <row r="516" spans="1:72" ht="13">
      <c r="A516" s="1545">
        <v>1072</v>
      </c>
      <c r="B516" s="1546" t="s">
        <v>800</v>
      </c>
      <c r="C516" s="1546" t="s">
        <v>803</v>
      </c>
      <c r="D516" s="1547" t="s">
        <v>6963</v>
      </c>
      <c r="E516" s="690" t="s">
        <v>731</v>
      </c>
      <c r="F516" s="691"/>
      <c r="G516" s="692"/>
      <c r="H516" s="692"/>
      <c r="I516" s="692"/>
      <c r="J516" s="693"/>
      <c r="K516" s="693"/>
      <c r="L516" s="693"/>
      <c r="M516" s="694"/>
      <c r="N516" s="695"/>
      <c r="O516" s="696" t="s">
        <v>1569</v>
      </c>
      <c r="P516" s="695">
        <f>'HIV-Key Info'!$I$79*('HIV-Key Info'!$E$79*('HPM costs'!F551/'HPM costs'!$E$551)+'HIV-Key Info'!$F$79*('HPM costs'!F557/'HPM costs'!$E$557+'HPM costs'!F554/'HPM costs'!$E$554))</f>
        <v>0</v>
      </c>
      <c r="Q516" s="695" t="s">
        <v>1569</v>
      </c>
      <c r="R516" s="695">
        <f>'HIV-Key Info'!$I$79*('HIV-Key Info'!$E$79*('HPM costs'!G551/'HPM costs'!$E$551)+'HIV-Key Info'!$F$79*('HPM costs'!G557/'HPM costs'!$E$557+'HPM costs'!G554/'HPM costs'!$E$554))</f>
        <v>0</v>
      </c>
      <c r="S516" s="695" t="s">
        <v>1569</v>
      </c>
      <c r="T516" s="695">
        <f>'HIV-Key Info'!$I$79*('HIV-Key Info'!$E$79*('HPM costs'!H551/'HPM costs'!$E$551)+'HIV-Key Info'!$F$79*('HPM costs'!H557/'HPM costs'!$E$557+'HPM costs'!H554/'HPM costs'!$E$554))</f>
        <v>0</v>
      </c>
      <c r="U516" s="695" t="s">
        <v>1569</v>
      </c>
      <c r="V516" s="695">
        <f>'HIV-Key Info'!$I$79*('HIV-Key Info'!$E$79*('HPM costs'!I551/'HPM costs'!$E$551)+'HIV-Key Info'!$F$79*('HPM costs'!I557/'HPM costs'!$E$557+'HPM costs'!I554/'HPM costs'!$E$554))</f>
        <v>0</v>
      </c>
      <c r="W516" s="695"/>
      <c r="X516" s="1492">
        <f t="shared" si="54"/>
        <v>0</v>
      </c>
      <c r="Y516" s="1493"/>
      <c r="Z516" s="1494"/>
      <c r="AA516" s="699"/>
      <c r="AB516" s="695"/>
      <c r="AC516" s="695">
        <f>'HIV-Key Info'!$I$79*('HIV-Key Info'!$E$79*('HPM costs'!K551/'HPM costs'!$E$551)+'HIV-Key Info'!$F$79*('HPM costs'!K557/'HPM costs'!$E$557+'HPM costs'!K554/'HPM costs'!$E$554))</f>
        <v>0</v>
      </c>
      <c r="AD516" s="695"/>
      <c r="AE516" s="695">
        <f>'HIV-Key Info'!$I$79*('HIV-Key Info'!$E$79*('HPM costs'!L551/'HPM costs'!$E$551)+'HIV-Key Info'!$F$79*('HPM costs'!L557/'HPM costs'!$E$557+'HPM costs'!L554/'HPM costs'!$E$554))</f>
        <v>0</v>
      </c>
      <c r="AF516" s="695"/>
      <c r="AG516" s="695">
        <f>'HIV-Key Info'!$I$79*('HIV-Key Info'!$E$79*('HPM costs'!M551/'HPM costs'!$E$551)+'HIV-Key Info'!$F$79*('HPM costs'!M557/'HPM costs'!$E$557+'HPM costs'!M554/'HPM costs'!$E$554))</f>
        <v>0</v>
      </c>
      <c r="AH516" s="695"/>
      <c r="AI516" s="695">
        <f>'HIV-Key Info'!$I$79*('HIV-Key Info'!$E$79*('HPM costs'!N551/'HPM costs'!$E$551)+'HIV-Key Info'!$F$79*('HPM costs'!N557/'HPM costs'!$E$557+'HPM costs'!N554/'HPM costs'!$E$554))</f>
        <v>0</v>
      </c>
      <c r="AJ516" s="695"/>
      <c r="AK516" s="1492">
        <f t="shared" si="55"/>
        <v>0</v>
      </c>
      <c r="AL516" s="1493"/>
      <c r="AM516" s="1494"/>
      <c r="AN516" s="699"/>
      <c r="AO516" s="695"/>
      <c r="AP516" s="695">
        <f>'HIV-Key Info'!$I$79*('HIV-Key Info'!$E$79*('HPM costs'!P551/'HPM costs'!$E$551)+'HIV-Key Info'!$F$79*('HPM costs'!P557/'HPM costs'!$E$557+'HPM costs'!P554/'HPM costs'!$E$554))</f>
        <v>0</v>
      </c>
      <c r="AQ516" s="695"/>
      <c r="AR516" s="695">
        <f>'HIV-Key Info'!$I$79*('HIV-Key Info'!$E$79*('HPM costs'!Q551/'HPM costs'!$E$551)+'HIV-Key Info'!$F$79*('HPM costs'!Q557/'HPM costs'!$E$557+'HPM costs'!Q554/'HPM costs'!$E$554))</f>
        <v>0</v>
      </c>
      <c r="AS516" s="695"/>
      <c r="AT516" s="695">
        <f>'HIV-Key Info'!$I$79*('HIV-Key Info'!$E$79*('HPM costs'!R551/'HPM costs'!$E$551)+'HIV-Key Info'!$F$79*('HPM costs'!R557/'HPM costs'!$E$557+'HPM costs'!R554/'HPM costs'!$E$554))</f>
        <v>0</v>
      </c>
      <c r="AU516" s="695"/>
      <c r="AV516" s="695">
        <f>'HIV-Key Info'!$I$79*('HIV-Key Info'!$E$79*('HPM costs'!S551/'HPM costs'!$E$551)+'HIV-Key Info'!$F$79*('HPM costs'!S557/'HPM costs'!$E$557+'HPM costs'!S554/'HPM costs'!$E$554))</f>
        <v>0</v>
      </c>
      <c r="AW516" s="695"/>
      <c r="AX516" s="1492">
        <f t="shared" si="56"/>
        <v>0</v>
      </c>
      <c r="AY516" s="1492"/>
      <c r="AZ516" s="698"/>
      <c r="BA516" s="699"/>
      <c r="BB516" s="697"/>
      <c r="BC516" s="697">
        <v>0</v>
      </c>
      <c r="BD516" s="697">
        <v>0</v>
      </c>
      <c r="BE516" s="697">
        <v>0</v>
      </c>
      <c r="BF516" s="697">
        <v>0</v>
      </c>
      <c r="BG516" s="697">
        <v>0</v>
      </c>
      <c r="BH516" s="697">
        <v>0</v>
      </c>
      <c r="BI516" s="697">
        <v>0</v>
      </c>
      <c r="BJ516" s="697">
        <v>0</v>
      </c>
      <c r="BK516" s="1492">
        <f t="shared" si="57"/>
        <v>0</v>
      </c>
      <c r="BL516" s="1492"/>
      <c r="BM516" s="1492">
        <f t="shared" si="58"/>
        <v>0</v>
      </c>
      <c r="BN516" s="1492">
        <f t="shared" si="59"/>
        <v>0</v>
      </c>
      <c r="BO516" s="697"/>
      <c r="BP516" s="697"/>
      <c r="BQ516" s="1495" t="s">
        <v>6940</v>
      </c>
      <c r="BR516" s="1495" t="s">
        <v>818</v>
      </c>
      <c r="BS516" s="1902" t="s">
        <v>6953</v>
      </c>
      <c r="BT516" s="1907" t="s">
        <v>2235</v>
      </c>
    </row>
    <row r="517" spans="1:72" ht="13">
      <c r="A517" s="1545">
        <v>1073</v>
      </c>
      <c r="B517" s="1546" t="s">
        <v>800</v>
      </c>
      <c r="C517" s="1546" t="s">
        <v>803</v>
      </c>
      <c r="D517" s="1547" t="s">
        <v>6886</v>
      </c>
      <c r="E517" s="690" t="s">
        <v>656</v>
      </c>
      <c r="F517" s="691"/>
      <c r="G517" s="692"/>
      <c r="H517" s="692"/>
      <c r="I517" s="692"/>
      <c r="J517" s="693"/>
      <c r="K517" s="693"/>
      <c r="L517" s="693"/>
      <c r="M517" s="694"/>
      <c r="N517" s="695"/>
      <c r="O517" s="696" t="s">
        <v>1569</v>
      </c>
      <c r="P517" s="695">
        <f>'HIV-Key Info'!$I$79*(('HIV-Key Info'!$E$79*'HPM costs'!F33)+('HIV-Key Info'!$F$79*('HPM costs'!F36+'HPM costs'!F39)))</f>
        <v>0</v>
      </c>
      <c r="Q517" s="695" t="s">
        <v>1569</v>
      </c>
      <c r="R517" s="695">
        <f>'HIV-Key Info'!$I$79*(('HIV-Key Info'!$E$79*'HPM costs'!G33)+('HIV-Key Info'!$F$79*('HPM costs'!G36+'HPM costs'!G39)))</f>
        <v>0</v>
      </c>
      <c r="S517" s="695" t="s">
        <v>1569</v>
      </c>
      <c r="T517" s="695">
        <f>'HIV-Key Info'!$I$79*(('HIV-Key Info'!$E$79*'HPM costs'!H33)+('HIV-Key Info'!$F$79*('HPM costs'!H36+'HPM costs'!H39)))</f>
        <v>0</v>
      </c>
      <c r="U517" s="695" t="s">
        <v>1569</v>
      </c>
      <c r="V517" s="695">
        <f>'HIV-Key Info'!$I$79*(('HIV-Key Info'!$E$79*'HPM costs'!I33)+('HIV-Key Info'!$F$79*('HPM costs'!I36+'HPM costs'!I39)))</f>
        <v>0</v>
      </c>
      <c r="W517" s="695"/>
      <c r="X517" s="1492">
        <f t="shared" si="54"/>
        <v>0</v>
      </c>
      <c r="Y517" s="1493"/>
      <c r="Z517" s="1494"/>
      <c r="AA517" s="699"/>
      <c r="AB517" s="695"/>
      <c r="AC517" s="695">
        <f>'HIV-Key Info'!$I$79*(('HIV-Key Info'!$E$79*'HPM costs'!K33)+('HIV-Key Info'!$F$79*('HPM costs'!K36+'HPM costs'!K39)))</f>
        <v>0</v>
      </c>
      <c r="AD517" s="695"/>
      <c r="AE517" s="695">
        <f>'HIV-Key Info'!$I$79*(('HIV-Key Info'!$E$79*'HPM costs'!L33)+('HIV-Key Info'!$F$79*('HPM costs'!L36+'HPM costs'!L39)))</f>
        <v>0</v>
      </c>
      <c r="AF517" s="695"/>
      <c r="AG517" s="695">
        <f>'HIV-Key Info'!$I$79*(('HIV-Key Info'!$E$79*'HPM costs'!M33)+('HIV-Key Info'!$F$79*('HPM costs'!M36+'HPM costs'!M39)))</f>
        <v>0</v>
      </c>
      <c r="AH517" s="695"/>
      <c r="AI517" s="695">
        <f>'HIV-Key Info'!$I$79*(('HIV-Key Info'!$E$79*'HPM costs'!N33)+('HIV-Key Info'!$F$79*('HPM costs'!N36+'HPM costs'!N39)))</f>
        <v>0</v>
      </c>
      <c r="AJ517" s="695"/>
      <c r="AK517" s="1492">
        <f t="shared" si="55"/>
        <v>0</v>
      </c>
      <c r="AL517" s="1493"/>
      <c r="AM517" s="1494"/>
      <c r="AN517" s="699"/>
      <c r="AO517" s="695"/>
      <c r="AP517" s="695">
        <f>'HIV-Key Info'!$I$79*(('HIV-Key Info'!$E$79*'HPM costs'!P33)+('HIV-Key Info'!$F$79*('HPM costs'!P36+'HPM costs'!P39)))</f>
        <v>0</v>
      </c>
      <c r="AQ517" s="695"/>
      <c r="AR517" s="695">
        <f>'HIV-Key Info'!$I$79*(('HIV-Key Info'!$E$79*'HPM costs'!Q33)+('HIV-Key Info'!$F$79*('HPM costs'!Q36+'HPM costs'!Q39)))</f>
        <v>0</v>
      </c>
      <c r="AS517" s="695"/>
      <c r="AT517" s="695">
        <f>'HIV-Key Info'!$I$79*(('HIV-Key Info'!$E$79*'HPM costs'!R33)+('HIV-Key Info'!$F$79*('HPM costs'!R36+'HPM costs'!R39)))</f>
        <v>0</v>
      </c>
      <c r="AU517" s="695"/>
      <c r="AV517" s="695">
        <f>'HIV-Key Info'!$I$79*(('HIV-Key Info'!$E$79*'HPM costs'!S33)+('HIV-Key Info'!$F$79*('HPM costs'!S36+'HPM costs'!S39)))</f>
        <v>0</v>
      </c>
      <c r="AW517" s="695"/>
      <c r="AX517" s="1492">
        <f t="shared" si="56"/>
        <v>0</v>
      </c>
      <c r="AY517" s="1492"/>
      <c r="AZ517" s="698"/>
      <c r="BA517" s="699"/>
      <c r="BB517" s="697"/>
      <c r="BC517" s="697">
        <v>0</v>
      </c>
      <c r="BD517" s="697">
        <v>0</v>
      </c>
      <c r="BE517" s="697">
        <v>0</v>
      </c>
      <c r="BF517" s="697">
        <v>0</v>
      </c>
      <c r="BG517" s="697">
        <v>0</v>
      </c>
      <c r="BH517" s="697">
        <v>0</v>
      </c>
      <c r="BI517" s="697">
        <v>0</v>
      </c>
      <c r="BJ517" s="697">
        <v>0</v>
      </c>
      <c r="BK517" s="1492">
        <f t="shared" si="57"/>
        <v>0</v>
      </c>
      <c r="BL517" s="1492"/>
      <c r="BM517" s="1492">
        <f t="shared" si="58"/>
        <v>0</v>
      </c>
      <c r="BN517" s="1492">
        <f t="shared" si="59"/>
        <v>0</v>
      </c>
      <c r="BO517" s="697"/>
      <c r="BP517" s="697"/>
      <c r="BQ517" s="1495" t="s">
        <v>6940</v>
      </c>
      <c r="BR517" s="1495" t="s">
        <v>818</v>
      </c>
      <c r="BS517" s="1902" t="s">
        <v>655</v>
      </c>
      <c r="BT517" s="1907" t="s">
        <v>2236</v>
      </c>
    </row>
    <row r="518" spans="1:72" ht="13">
      <c r="A518" s="1545">
        <v>1074</v>
      </c>
      <c r="B518" s="1546" t="s">
        <v>800</v>
      </c>
      <c r="C518" s="1546" t="s">
        <v>803</v>
      </c>
      <c r="D518" s="1547" t="s">
        <v>6886</v>
      </c>
      <c r="E518" s="690" t="s">
        <v>658</v>
      </c>
      <c r="F518" s="691"/>
      <c r="G518" s="692"/>
      <c r="H518" s="692"/>
      <c r="I518" s="692"/>
      <c r="J518" s="693"/>
      <c r="K518" s="693"/>
      <c r="L518" s="693"/>
      <c r="M518" s="694"/>
      <c r="N518" s="695"/>
      <c r="O518" s="696" t="s">
        <v>1569</v>
      </c>
      <c r="P518" s="695">
        <f>'HIV-Key Info'!$I$79*(('HIV-Key Info'!$E$79*'HPM costs'!F119)+('HIV-Key Info'!$F$79*('HPM costs'!F122+'HPM costs'!F125)))</f>
        <v>0</v>
      </c>
      <c r="Q518" s="695" t="s">
        <v>1569</v>
      </c>
      <c r="R518" s="695">
        <f>'HIV-Key Info'!$I$79*(('HIV-Key Info'!$E$79*'HPM costs'!G119)+('HIV-Key Info'!$F$79*('HPM costs'!G122+'HPM costs'!G125)))</f>
        <v>0</v>
      </c>
      <c r="S518" s="695" t="s">
        <v>1569</v>
      </c>
      <c r="T518" s="695">
        <f>'HIV-Key Info'!$I$79*(('HIV-Key Info'!$E$79*'HPM costs'!H119)+('HIV-Key Info'!$F$79*('HPM costs'!H122+'HPM costs'!H125)))</f>
        <v>0</v>
      </c>
      <c r="U518" s="695" t="s">
        <v>1569</v>
      </c>
      <c r="V518" s="695">
        <f>'HIV-Key Info'!$I$79*(('HIV-Key Info'!$E$79*'HPM costs'!I119)+('HIV-Key Info'!$F$79*('HPM costs'!I122+'HPM costs'!I125)))</f>
        <v>0</v>
      </c>
      <c r="W518" s="695"/>
      <c r="X518" s="1492">
        <f t="shared" si="54"/>
        <v>0</v>
      </c>
      <c r="Y518" s="1493"/>
      <c r="Z518" s="1494"/>
      <c r="AA518" s="699"/>
      <c r="AB518" s="695"/>
      <c r="AC518" s="695">
        <f>'HIV-Key Info'!$I$79*(('HIV-Key Info'!$E$79*'HPM costs'!K119)+('HIV-Key Info'!$F$79*('HPM costs'!K122+'HPM costs'!K125)))</f>
        <v>0</v>
      </c>
      <c r="AD518" s="695"/>
      <c r="AE518" s="695">
        <f>'HIV-Key Info'!$I$79*(('HIV-Key Info'!$E$79*'HPM costs'!L119)+('HIV-Key Info'!$F$79*('HPM costs'!L122+'HPM costs'!L125)))</f>
        <v>0</v>
      </c>
      <c r="AF518" s="695"/>
      <c r="AG518" s="695">
        <f>'HIV-Key Info'!$I$79*(('HIV-Key Info'!$E$79*'HPM costs'!M119)+('HIV-Key Info'!$F$79*('HPM costs'!M122+'HPM costs'!M125)))</f>
        <v>0</v>
      </c>
      <c r="AH518" s="695"/>
      <c r="AI518" s="695">
        <f>'HIV-Key Info'!$I$79*(('HIV-Key Info'!$E$79*'HPM costs'!N119)+('HIV-Key Info'!$F$79*('HPM costs'!N122+'HPM costs'!N125)))</f>
        <v>0</v>
      </c>
      <c r="AJ518" s="695"/>
      <c r="AK518" s="1492">
        <f t="shared" si="55"/>
        <v>0</v>
      </c>
      <c r="AL518" s="1493"/>
      <c r="AM518" s="1494"/>
      <c r="AN518" s="699"/>
      <c r="AO518" s="695"/>
      <c r="AP518" s="695">
        <f>'HIV-Key Info'!$I$79*(('HIV-Key Info'!$E$79*'HPM costs'!P119)+('HIV-Key Info'!$F$79*('HPM costs'!P122+'HPM costs'!P125)))</f>
        <v>0</v>
      </c>
      <c r="AQ518" s="695"/>
      <c r="AR518" s="695">
        <f>'HIV-Key Info'!$I$79*(('HIV-Key Info'!$E$79*'HPM costs'!Q119)+('HIV-Key Info'!$F$79*('HPM costs'!Q122+'HPM costs'!Q125)))</f>
        <v>0</v>
      </c>
      <c r="AS518" s="695"/>
      <c r="AT518" s="695">
        <f>'HIV-Key Info'!$I$79*(('HIV-Key Info'!$E$79*'HPM costs'!R119)+('HIV-Key Info'!$F$79*('HPM costs'!R122+'HPM costs'!R125)))</f>
        <v>0</v>
      </c>
      <c r="AU518" s="695"/>
      <c r="AV518" s="695">
        <f>'HIV-Key Info'!$I$79*(('HIV-Key Info'!$E$79*'HPM costs'!S119)+('HIV-Key Info'!$F$79*('HPM costs'!S122+'HPM costs'!S125)))</f>
        <v>0</v>
      </c>
      <c r="AW518" s="695"/>
      <c r="AX518" s="1492">
        <f t="shared" si="56"/>
        <v>0</v>
      </c>
      <c r="AY518" s="1492"/>
      <c r="AZ518" s="698"/>
      <c r="BA518" s="699"/>
      <c r="BB518" s="697"/>
      <c r="BC518" s="697">
        <v>0</v>
      </c>
      <c r="BD518" s="697">
        <v>0</v>
      </c>
      <c r="BE518" s="697">
        <v>0</v>
      </c>
      <c r="BF518" s="697">
        <v>0</v>
      </c>
      <c r="BG518" s="697">
        <v>0</v>
      </c>
      <c r="BH518" s="697">
        <v>0</v>
      </c>
      <c r="BI518" s="697">
        <v>0</v>
      </c>
      <c r="BJ518" s="697">
        <v>0</v>
      </c>
      <c r="BK518" s="1492">
        <f t="shared" si="57"/>
        <v>0</v>
      </c>
      <c r="BL518" s="1492"/>
      <c r="BM518" s="1492">
        <f t="shared" si="58"/>
        <v>0</v>
      </c>
      <c r="BN518" s="1492">
        <f t="shared" si="59"/>
        <v>0</v>
      </c>
      <c r="BO518" s="697"/>
      <c r="BP518" s="697"/>
      <c r="BQ518" s="1495" t="s">
        <v>6940</v>
      </c>
      <c r="BR518" s="1495" t="s">
        <v>818</v>
      </c>
      <c r="BS518" s="1902" t="s">
        <v>655</v>
      </c>
      <c r="BT518" s="1907" t="s">
        <v>2237</v>
      </c>
    </row>
    <row r="519" spans="1:72" ht="13">
      <c r="A519" s="1545">
        <v>1075</v>
      </c>
      <c r="B519" s="1546" t="s">
        <v>800</v>
      </c>
      <c r="C519" s="1546" t="s">
        <v>803</v>
      </c>
      <c r="D519" s="1547" t="s">
        <v>6886</v>
      </c>
      <c r="E519" s="690" t="s">
        <v>660</v>
      </c>
      <c r="F519" s="691"/>
      <c r="G519" s="692"/>
      <c r="H519" s="692"/>
      <c r="I519" s="692"/>
      <c r="J519" s="693"/>
      <c r="K519" s="693"/>
      <c r="L519" s="693"/>
      <c r="M519" s="694"/>
      <c r="N519" s="695"/>
      <c r="O519" s="696" t="s">
        <v>1569</v>
      </c>
      <c r="P519" s="695">
        <f>'HIV-Key Info'!$I$79*(('HIV-Key Info'!$E$79*'HPM costs'!F379)+('HIV-Key Info'!$F$79*('HPM costs'!F382+'HPM costs'!F385)))</f>
        <v>0</v>
      </c>
      <c r="Q519" s="695" t="s">
        <v>1569</v>
      </c>
      <c r="R519" s="695">
        <f>'HIV-Key Info'!$I$79*(('HIV-Key Info'!$E$79*'HPM costs'!G379)+('HIV-Key Info'!$F$79*('HPM costs'!G382+'HPM costs'!G385)))</f>
        <v>0</v>
      </c>
      <c r="S519" s="695" t="s">
        <v>1569</v>
      </c>
      <c r="T519" s="695">
        <f>'HIV-Key Info'!$I$79*(('HIV-Key Info'!$E$79*'HPM costs'!H379)+('HIV-Key Info'!$F$79*('HPM costs'!H382+'HPM costs'!H385)))</f>
        <v>0</v>
      </c>
      <c r="U519" s="695" t="s">
        <v>1569</v>
      </c>
      <c r="V519" s="695">
        <f>'HIV-Key Info'!$I$79*(('HIV-Key Info'!$E$79*'HPM costs'!I379)+('HIV-Key Info'!$F$79*('HPM costs'!I382+'HPM costs'!I385)))</f>
        <v>0</v>
      </c>
      <c r="W519" s="695"/>
      <c r="X519" s="1492">
        <f t="shared" si="54"/>
        <v>0</v>
      </c>
      <c r="Y519" s="1493"/>
      <c r="Z519" s="1494"/>
      <c r="AA519" s="699"/>
      <c r="AB519" s="695"/>
      <c r="AC519" s="695">
        <f>'HIV-Key Info'!$I$79*(('HIV-Key Info'!$E$79*'HPM costs'!K379)+('HIV-Key Info'!$F$79*('HPM costs'!K382+'HPM costs'!K385)))</f>
        <v>0</v>
      </c>
      <c r="AD519" s="695"/>
      <c r="AE519" s="695">
        <f>'HIV-Key Info'!$I$79*(('HIV-Key Info'!$E$79*'HPM costs'!L379)+('HIV-Key Info'!$F$79*('HPM costs'!L382+'HPM costs'!L385)))</f>
        <v>0</v>
      </c>
      <c r="AF519" s="695"/>
      <c r="AG519" s="695">
        <f>'HIV-Key Info'!$I$79*(('HIV-Key Info'!$E$79*'HPM costs'!M379)+('HIV-Key Info'!$F$79*('HPM costs'!M382+'HPM costs'!M385)))</f>
        <v>0</v>
      </c>
      <c r="AH519" s="695"/>
      <c r="AI519" s="695">
        <f>'HIV-Key Info'!$I$79*(('HIV-Key Info'!$E$79*'HPM costs'!N379)+('HIV-Key Info'!$F$79*('HPM costs'!N382+'HPM costs'!N385)))</f>
        <v>0</v>
      </c>
      <c r="AJ519" s="695"/>
      <c r="AK519" s="1492">
        <f t="shared" si="55"/>
        <v>0</v>
      </c>
      <c r="AL519" s="1493"/>
      <c r="AM519" s="1494"/>
      <c r="AN519" s="699"/>
      <c r="AO519" s="695"/>
      <c r="AP519" s="695">
        <f>'HIV-Key Info'!$I$79*(('HIV-Key Info'!$E$79*'HPM costs'!P379)+('HIV-Key Info'!$F$79*('HPM costs'!P382+'HPM costs'!P385)))</f>
        <v>0</v>
      </c>
      <c r="AQ519" s="695"/>
      <c r="AR519" s="695">
        <f>'HIV-Key Info'!$I$79*(('HIV-Key Info'!$E$79*'HPM costs'!Q379)+('HIV-Key Info'!$F$79*('HPM costs'!Q382+'HPM costs'!Q385)))</f>
        <v>0</v>
      </c>
      <c r="AS519" s="695"/>
      <c r="AT519" s="695">
        <f>'HIV-Key Info'!$I$79*(('HIV-Key Info'!$E$79*'HPM costs'!R379)+('HIV-Key Info'!$F$79*('HPM costs'!R382+'HPM costs'!R385)))</f>
        <v>0</v>
      </c>
      <c r="AU519" s="695"/>
      <c r="AV519" s="695">
        <f>'HIV-Key Info'!$I$79*(('HIV-Key Info'!$E$79*'HPM costs'!S379)+('HIV-Key Info'!$F$79*('HPM costs'!S382+'HPM costs'!S385)))</f>
        <v>0</v>
      </c>
      <c r="AW519" s="695"/>
      <c r="AX519" s="1492">
        <f t="shared" si="56"/>
        <v>0</v>
      </c>
      <c r="AY519" s="1492"/>
      <c r="AZ519" s="698"/>
      <c r="BA519" s="699"/>
      <c r="BB519" s="697"/>
      <c r="BC519" s="697">
        <v>0</v>
      </c>
      <c r="BD519" s="697">
        <v>0</v>
      </c>
      <c r="BE519" s="697">
        <v>0</v>
      </c>
      <c r="BF519" s="697">
        <v>0</v>
      </c>
      <c r="BG519" s="697">
        <v>0</v>
      </c>
      <c r="BH519" s="697">
        <v>0</v>
      </c>
      <c r="BI519" s="697">
        <v>0</v>
      </c>
      <c r="BJ519" s="697">
        <v>0</v>
      </c>
      <c r="BK519" s="1492">
        <f t="shared" si="57"/>
        <v>0</v>
      </c>
      <c r="BL519" s="1492"/>
      <c r="BM519" s="1492">
        <f t="shared" si="58"/>
        <v>0</v>
      </c>
      <c r="BN519" s="1492">
        <f t="shared" si="59"/>
        <v>0</v>
      </c>
      <c r="BO519" s="697"/>
      <c r="BP519" s="697"/>
      <c r="BQ519" s="1495" t="s">
        <v>6940</v>
      </c>
      <c r="BR519" s="1495" t="s">
        <v>818</v>
      </c>
      <c r="BS519" s="1902" t="s">
        <v>655</v>
      </c>
      <c r="BT519" s="1907" t="s">
        <v>2238</v>
      </c>
    </row>
    <row r="520" spans="1:72" ht="13">
      <c r="A520" s="1545">
        <v>1076</v>
      </c>
      <c r="B520" s="1546" t="s">
        <v>800</v>
      </c>
      <c r="C520" s="1546" t="s">
        <v>803</v>
      </c>
      <c r="D520" s="1547" t="s">
        <v>6886</v>
      </c>
      <c r="E520" s="690" t="s">
        <v>662</v>
      </c>
      <c r="F520" s="691"/>
      <c r="G520" s="692"/>
      <c r="H520" s="692"/>
      <c r="I520" s="692"/>
      <c r="J520" s="693"/>
      <c r="K520" s="693"/>
      <c r="L520" s="693"/>
      <c r="M520" s="694"/>
      <c r="N520" s="695"/>
      <c r="O520" s="696" t="s">
        <v>1569</v>
      </c>
      <c r="P520" s="695">
        <f>'HIV-Key Info'!$I$79*(('HIV-Key Info'!$E$79*'HPM costs'!F465)+('HIV-Key Info'!$F$79*('HPM costs'!F468+'HPM costs'!F471)))</f>
        <v>0</v>
      </c>
      <c r="Q520" s="695" t="s">
        <v>1569</v>
      </c>
      <c r="R520" s="695">
        <f>'HIV-Key Info'!$I$79*(('HIV-Key Info'!$E$79*'HPM costs'!G465)+('HIV-Key Info'!$F$79*('HPM costs'!G468+'HPM costs'!G471)))</f>
        <v>0</v>
      </c>
      <c r="S520" s="695" t="s">
        <v>1569</v>
      </c>
      <c r="T520" s="695">
        <f>'HIV-Key Info'!$I$79*(('HIV-Key Info'!$E$79*'HPM costs'!H465)+('HIV-Key Info'!$F$79*('HPM costs'!H468+'HPM costs'!H471)))</f>
        <v>0</v>
      </c>
      <c r="U520" s="695" t="s">
        <v>1569</v>
      </c>
      <c r="V520" s="695">
        <f>'HIV-Key Info'!$I$79*(('HIV-Key Info'!$E$79*'HPM costs'!I465)+('HIV-Key Info'!$F$79*('HPM costs'!I468+'HPM costs'!I471)))</f>
        <v>0</v>
      </c>
      <c r="W520" s="695"/>
      <c r="X520" s="1492">
        <f t="shared" si="54"/>
        <v>0</v>
      </c>
      <c r="Y520" s="1493"/>
      <c r="Z520" s="1494"/>
      <c r="AA520" s="699"/>
      <c r="AB520" s="695"/>
      <c r="AC520" s="695">
        <f>'HIV-Key Info'!$I$79*(('HIV-Key Info'!$E$79*'HPM costs'!K465)+('HIV-Key Info'!$F$79*('HPM costs'!K468+'HPM costs'!K471)))</f>
        <v>0</v>
      </c>
      <c r="AD520" s="695"/>
      <c r="AE520" s="695">
        <f>'HIV-Key Info'!$I$79*(('HIV-Key Info'!$E$79*'HPM costs'!L465)+('HIV-Key Info'!$F$79*('HPM costs'!L468+'HPM costs'!L471)))</f>
        <v>0</v>
      </c>
      <c r="AF520" s="695"/>
      <c r="AG520" s="695">
        <f>'HIV-Key Info'!$I$79*(('HIV-Key Info'!$E$79*'HPM costs'!M465)+('HIV-Key Info'!$F$79*('HPM costs'!M468+'HPM costs'!M471)))</f>
        <v>0</v>
      </c>
      <c r="AH520" s="695"/>
      <c r="AI520" s="695">
        <f>'HIV-Key Info'!$I$79*(('HIV-Key Info'!$E$79*'HPM costs'!N465)+('HIV-Key Info'!$F$79*('HPM costs'!N468+'HPM costs'!N471)))</f>
        <v>0</v>
      </c>
      <c r="AJ520" s="695"/>
      <c r="AK520" s="1492">
        <f t="shared" si="55"/>
        <v>0</v>
      </c>
      <c r="AL520" s="1493"/>
      <c r="AM520" s="1494"/>
      <c r="AN520" s="699"/>
      <c r="AO520" s="695"/>
      <c r="AP520" s="695">
        <f>'HIV-Key Info'!$I$79*(('HIV-Key Info'!$E$79*'HPM costs'!P465)+('HIV-Key Info'!$F$79*('HPM costs'!P468+'HPM costs'!P471)))</f>
        <v>0</v>
      </c>
      <c r="AQ520" s="695"/>
      <c r="AR520" s="695">
        <f>'HIV-Key Info'!$I$79*(('HIV-Key Info'!$E$79*'HPM costs'!Q465)+('HIV-Key Info'!$F$79*('HPM costs'!Q468+'HPM costs'!Q471)))</f>
        <v>0</v>
      </c>
      <c r="AS520" s="695"/>
      <c r="AT520" s="695">
        <f>'HIV-Key Info'!$I$79*(('HIV-Key Info'!$E$79*'HPM costs'!R465)+('HIV-Key Info'!$F$79*('HPM costs'!R468+'HPM costs'!R471)))</f>
        <v>0</v>
      </c>
      <c r="AU520" s="695"/>
      <c r="AV520" s="695">
        <f>'HIV-Key Info'!$I$79*(('HIV-Key Info'!$E$79*'HPM costs'!S465)+('HIV-Key Info'!$F$79*('HPM costs'!S468+'HPM costs'!S471)))</f>
        <v>0</v>
      </c>
      <c r="AW520" s="695"/>
      <c r="AX520" s="1492">
        <f t="shared" si="56"/>
        <v>0</v>
      </c>
      <c r="AY520" s="1492"/>
      <c r="AZ520" s="698"/>
      <c r="BA520" s="699"/>
      <c r="BB520" s="697"/>
      <c r="BC520" s="697">
        <v>0</v>
      </c>
      <c r="BD520" s="697">
        <v>0</v>
      </c>
      <c r="BE520" s="697">
        <v>0</v>
      </c>
      <c r="BF520" s="697">
        <v>0</v>
      </c>
      <c r="BG520" s="697">
        <v>0</v>
      </c>
      <c r="BH520" s="697">
        <v>0</v>
      </c>
      <c r="BI520" s="697">
        <v>0</v>
      </c>
      <c r="BJ520" s="697">
        <v>0</v>
      </c>
      <c r="BK520" s="1492">
        <f t="shared" si="57"/>
        <v>0</v>
      </c>
      <c r="BL520" s="1492"/>
      <c r="BM520" s="1492">
        <f t="shared" si="58"/>
        <v>0</v>
      </c>
      <c r="BN520" s="1492">
        <f t="shared" si="59"/>
        <v>0</v>
      </c>
      <c r="BO520" s="697"/>
      <c r="BP520" s="697"/>
      <c r="BQ520" s="1495" t="s">
        <v>6940</v>
      </c>
      <c r="BR520" s="1495" t="s">
        <v>818</v>
      </c>
      <c r="BS520" s="1902" t="s">
        <v>655</v>
      </c>
      <c r="BT520" s="1907" t="s">
        <v>2239</v>
      </c>
    </row>
    <row r="521" spans="1:72" ht="13">
      <c r="A521" s="1545">
        <v>1077</v>
      </c>
      <c r="B521" s="1546" t="s">
        <v>800</v>
      </c>
      <c r="C521" s="1546" t="s">
        <v>803</v>
      </c>
      <c r="D521" s="1547" t="s">
        <v>6886</v>
      </c>
      <c r="E521" s="690" t="s">
        <v>664</v>
      </c>
      <c r="F521" s="691"/>
      <c r="G521" s="692"/>
      <c r="H521" s="692"/>
      <c r="I521" s="692"/>
      <c r="J521" s="693"/>
      <c r="K521" s="693"/>
      <c r="L521" s="693"/>
      <c r="M521" s="694"/>
      <c r="N521" s="695"/>
      <c r="O521" s="696" t="s">
        <v>1569</v>
      </c>
      <c r="P521" s="695">
        <f>'HIV-Key Info'!$I$79*(('HIV-Key Info'!$E$79*('HPM costs'!F205+'HPM costs'!F551))+('HIV-Key Info'!$F$79*('HPM costs'!F208+'HPM costs'!F211+'HPM costs'!F554+'HPM costs'!F557)))</f>
        <v>0</v>
      </c>
      <c r="Q521" s="695" t="s">
        <v>1569</v>
      </c>
      <c r="R521" s="695">
        <f>'HIV-Key Info'!$I$79*(('HIV-Key Info'!$E$79*('HPM costs'!G205+'HPM costs'!G551))+('HIV-Key Info'!$F$79*('HPM costs'!G208+'HPM costs'!G211+'HPM costs'!G554+'HPM costs'!G557)))</f>
        <v>0</v>
      </c>
      <c r="S521" s="695" t="s">
        <v>1569</v>
      </c>
      <c r="T521" s="695">
        <f>'HIV-Key Info'!$I$79*(('HIV-Key Info'!$E$79*('HPM costs'!H205+'HPM costs'!H551))+('HIV-Key Info'!$F$79*('HPM costs'!H208+'HPM costs'!H211+'HPM costs'!H554+'HPM costs'!H557)))</f>
        <v>0</v>
      </c>
      <c r="U521" s="695" t="s">
        <v>1569</v>
      </c>
      <c r="V521" s="695">
        <f>'HIV-Key Info'!$I$79*(('HIV-Key Info'!$E$79*('HPM costs'!I205+'HPM costs'!I551))+('HIV-Key Info'!$F$79*('HPM costs'!I208+'HPM costs'!I211+'HPM costs'!I554+'HPM costs'!I557)))</f>
        <v>0</v>
      </c>
      <c r="W521" s="695"/>
      <c r="X521" s="1492">
        <f t="shared" si="54"/>
        <v>0</v>
      </c>
      <c r="Y521" s="1493"/>
      <c r="Z521" s="1494"/>
      <c r="AA521" s="699"/>
      <c r="AB521" s="695"/>
      <c r="AC521" s="695">
        <f>'HIV-Key Info'!$I$79*(('HIV-Key Info'!$E$79*('HPM costs'!K205+'HPM costs'!K551))+('HIV-Key Info'!$F$79*('HPM costs'!K208+'HPM costs'!K211+'HPM costs'!K554+'HPM costs'!K557)))</f>
        <v>0</v>
      </c>
      <c r="AD521" s="695"/>
      <c r="AE521" s="695">
        <f>'HIV-Key Info'!$I$79*(('HIV-Key Info'!$E$79*('HPM costs'!L205+'HPM costs'!L551))+('HIV-Key Info'!$F$79*('HPM costs'!L208+'HPM costs'!L211+'HPM costs'!L554+'HPM costs'!L557)))</f>
        <v>0</v>
      </c>
      <c r="AF521" s="695"/>
      <c r="AG521" s="695">
        <f>'HIV-Key Info'!$I$79*(('HIV-Key Info'!$E$79*('HPM costs'!M205+'HPM costs'!M551))+('HIV-Key Info'!$F$79*('HPM costs'!M208+'HPM costs'!M211+'HPM costs'!M554+'HPM costs'!M557)))</f>
        <v>0</v>
      </c>
      <c r="AH521" s="695"/>
      <c r="AI521" s="695">
        <f>'HIV-Key Info'!$I$79*(('HIV-Key Info'!$E$79*('HPM costs'!N205+'HPM costs'!N551))+('HIV-Key Info'!$F$79*('HPM costs'!N208+'HPM costs'!N211+'HPM costs'!N554+'HPM costs'!N557)))</f>
        <v>0</v>
      </c>
      <c r="AJ521" s="695"/>
      <c r="AK521" s="1492">
        <f t="shared" si="55"/>
        <v>0</v>
      </c>
      <c r="AL521" s="1493"/>
      <c r="AM521" s="1494"/>
      <c r="AN521" s="699"/>
      <c r="AO521" s="695"/>
      <c r="AP521" s="695">
        <f>'HIV-Key Info'!$I$79*(('HIV-Key Info'!$E$79*('HPM costs'!P205+'HPM costs'!P551))+('HIV-Key Info'!$F$79*('HPM costs'!P208+'HPM costs'!P211+'HPM costs'!P554+'HPM costs'!P557)))</f>
        <v>0</v>
      </c>
      <c r="AQ521" s="695"/>
      <c r="AR521" s="695">
        <f>'HIV-Key Info'!$I$79*(('HIV-Key Info'!$E$79*('HPM costs'!Q205+'HPM costs'!Q551))+('HIV-Key Info'!$F$79*('HPM costs'!Q208+'HPM costs'!Q211+'HPM costs'!Q554+'HPM costs'!Q557)))</f>
        <v>0</v>
      </c>
      <c r="AS521" s="695"/>
      <c r="AT521" s="695">
        <f>'HIV-Key Info'!$I$79*(('HIV-Key Info'!$E$79*('HPM costs'!R205+'HPM costs'!R551))+('HIV-Key Info'!$F$79*('HPM costs'!R208+'HPM costs'!R211+'HPM costs'!R554+'HPM costs'!R557)))</f>
        <v>0</v>
      </c>
      <c r="AU521" s="695"/>
      <c r="AV521" s="695">
        <f>'HIV-Key Info'!$I$79*(('HIV-Key Info'!$E$79*('HPM costs'!S205+'HPM costs'!S551))+('HIV-Key Info'!$F$79*('HPM costs'!S208+'HPM costs'!S211+'HPM costs'!S554+'HPM costs'!S557)))</f>
        <v>0</v>
      </c>
      <c r="AW521" s="695"/>
      <c r="AX521" s="1492">
        <f t="shared" si="56"/>
        <v>0</v>
      </c>
      <c r="AY521" s="1492"/>
      <c r="AZ521" s="698"/>
      <c r="BA521" s="699"/>
      <c r="BB521" s="697"/>
      <c r="BC521" s="697">
        <v>0</v>
      </c>
      <c r="BD521" s="697">
        <v>0</v>
      </c>
      <c r="BE521" s="697">
        <v>0</v>
      </c>
      <c r="BF521" s="697">
        <v>0</v>
      </c>
      <c r="BG521" s="697">
        <v>0</v>
      </c>
      <c r="BH521" s="697">
        <v>0</v>
      </c>
      <c r="BI521" s="697">
        <v>0</v>
      </c>
      <c r="BJ521" s="697">
        <v>0</v>
      </c>
      <c r="BK521" s="1492">
        <f t="shared" si="57"/>
        <v>0</v>
      </c>
      <c r="BL521" s="1492"/>
      <c r="BM521" s="1492">
        <f t="shared" si="58"/>
        <v>0</v>
      </c>
      <c r="BN521" s="1492">
        <f t="shared" si="59"/>
        <v>0</v>
      </c>
      <c r="BO521" s="697"/>
      <c r="BP521" s="697"/>
      <c r="BQ521" s="1495" t="s">
        <v>6940</v>
      </c>
      <c r="BR521" s="1495" t="s">
        <v>818</v>
      </c>
      <c r="BS521" s="1902" t="s">
        <v>655</v>
      </c>
      <c r="BT521" s="1907" t="s">
        <v>2240</v>
      </c>
    </row>
    <row r="522" spans="1:72" ht="13">
      <c r="A522" s="1545">
        <v>1078</v>
      </c>
      <c r="B522" s="1546" t="s">
        <v>800</v>
      </c>
      <c r="C522" s="1546" t="s">
        <v>803</v>
      </c>
      <c r="D522" s="1547" t="s">
        <v>6886</v>
      </c>
      <c r="E522" s="690" t="s">
        <v>666</v>
      </c>
      <c r="F522" s="691"/>
      <c r="G522" s="692"/>
      <c r="H522" s="692"/>
      <c r="I522" s="692"/>
      <c r="J522" s="693"/>
      <c r="K522" s="693"/>
      <c r="L522" s="693"/>
      <c r="M522" s="694"/>
      <c r="N522" s="695"/>
      <c r="O522" s="696" t="s">
        <v>1569</v>
      </c>
      <c r="P522" s="695">
        <f>'HIV-Key Info'!$I$79*(('HIV-Key Info'!$E$79*'HPM costs'!F291)+('HIV-Key Info'!$F$79*('HPM costs'!F294+'HPM costs'!F297)))</f>
        <v>0</v>
      </c>
      <c r="Q522" s="695" t="s">
        <v>1569</v>
      </c>
      <c r="R522" s="695">
        <f>'HIV-Key Info'!$I$79*(('HIV-Key Info'!$E$79*'HPM costs'!G291)+('HIV-Key Info'!$F$79*('HPM costs'!G294+'HPM costs'!G297)))</f>
        <v>0</v>
      </c>
      <c r="S522" s="695" t="s">
        <v>1569</v>
      </c>
      <c r="T522" s="695">
        <f>'HIV-Key Info'!$I$79*(('HIV-Key Info'!$E$79*'HPM costs'!H291)+('HIV-Key Info'!$F$79*('HPM costs'!H294+'HPM costs'!H297)))</f>
        <v>0</v>
      </c>
      <c r="U522" s="695" t="s">
        <v>1569</v>
      </c>
      <c r="V522" s="695">
        <f>'HIV-Key Info'!$I$79*(('HIV-Key Info'!$E$79*'HPM costs'!I291)+('HIV-Key Info'!$F$79*('HPM costs'!I294+'HPM costs'!I297)))</f>
        <v>0</v>
      </c>
      <c r="W522" s="695"/>
      <c r="X522" s="1492">
        <f t="shared" si="54"/>
        <v>0</v>
      </c>
      <c r="Y522" s="1493"/>
      <c r="Z522" s="1494"/>
      <c r="AA522" s="699"/>
      <c r="AB522" s="695"/>
      <c r="AC522" s="695">
        <f>'HIV-Key Info'!$I$79*(('HIV-Key Info'!$E$79*'HPM costs'!K291)+('HIV-Key Info'!$F$79*('HPM costs'!K294+'HPM costs'!K297)))</f>
        <v>0</v>
      </c>
      <c r="AD522" s="695"/>
      <c r="AE522" s="695">
        <f>'HIV-Key Info'!$I$79*(('HIV-Key Info'!$E$79*'HPM costs'!L291)+('HIV-Key Info'!$F$79*('HPM costs'!L294+'HPM costs'!L297)))</f>
        <v>0</v>
      </c>
      <c r="AF522" s="695"/>
      <c r="AG522" s="695">
        <f>'HIV-Key Info'!$I$79*(('HIV-Key Info'!$E$79*'HPM costs'!M291)+('HIV-Key Info'!$F$79*('HPM costs'!M294+'HPM costs'!M297)))</f>
        <v>0</v>
      </c>
      <c r="AH522" s="695"/>
      <c r="AI522" s="695">
        <f>'HIV-Key Info'!$I$79*(('HIV-Key Info'!$E$79*'HPM costs'!N291)+('HIV-Key Info'!$F$79*('HPM costs'!N294+'HPM costs'!N297)))</f>
        <v>0</v>
      </c>
      <c r="AJ522" s="695"/>
      <c r="AK522" s="1492">
        <f t="shared" si="55"/>
        <v>0</v>
      </c>
      <c r="AL522" s="1493"/>
      <c r="AM522" s="1494"/>
      <c r="AN522" s="699"/>
      <c r="AO522" s="695"/>
      <c r="AP522" s="695">
        <f>'HIV-Key Info'!$I$79*(('HIV-Key Info'!$E$79*'HPM costs'!P291)+('HIV-Key Info'!$F$79*('HPM costs'!P294+'HPM costs'!P297)))</f>
        <v>0</v>
      </c>
      <c r="AQ522" s="695"/>
      <c r="AR522" s="695">
        <f>'HIV-Key Info'!$I$79*(('HIV-Key Info'!$E$79*'HPM costs'!Q291)+('HIV-Key Info'!$F$79*('HPM costs'!Q294+'HPM costs'!Q297)))</f>
        <v>0</v>
      </c>
      <c r="AS522" s="695"/>
      <c r="AT522" s="695">
        <f>'HIV-Key Info'!$I$79*(('HIV-Key Info'!$E$79*'HPM costs'!R291)+('HIV-Key Info'!$F$79*('HPM costs'!R294+'HPM costs'!R297)))</f>
        <v>0</v>
      </c>
      <c r="AU522" s="695"/>
      <c r="AV522" s="695">
        <f>'HIV-Key Info'!$I$79*(('HIV-Key Info'!$E$79*'HPM costs'!S291)+('HIV-Key Info'!$F$79*('HPM costs'!S294+'HPM costs'!S297)))</f>
        <v>0</v>
      </c>
      <c r="AW522" s="695"/>
      <c r="AX522" s="1492">
        <f t="shared" si="56"/>
        <v>0</v>
      </c>
      <c r="AY522" s="1492"/>
      <c r="AZ522" s="698"/>
      <c r="BA522" s="699"/>
      <c r="BB522" s="697"/>
      <c r="BC522" s="697">
        <v>0</v>
      </c>
      <c r="BD522" s="697">
        <v>0</v>
      </c>
      <c r="BE522" s="697">
        <v>0</v>
      </c>
      <c r="BF522" s="697">
        <v>0</v>
      </c>
      <c r="BG522" s="697">
        <v>0</v>
      </c>
      <c r="BH522" s="697">
        <v>0</v>
      </c>
      <c r="BI522" s="697">
        <v>0</v>
      </c>
      <c r="BJ522" s="697">
        <v>0</v>
      </c>
      <c r="BK522" s="1492">
        <f t="shared" si="57"/>
        <v>0</v>
      </c>
      <c r="BL522" s="1492"/>
      <c r="BM522" s="1492">
        <f t="shared" si="58"/>
        <v>0</v>
      </c>
      <c r="BN522" s="1492">
        <f t="shared" si="59"/>
        <v>0</v>
      </c>
      <c r="BO522" s="697"/>
      <c r="BP522" s="697"/>
      <c r="BQ522" s="1495" t="s">
        <v>6940</v>
      </c>
      <c r="BR522" s="1495" t="s">
        <v>818</v>
      </c>
      <c r="BS522" s="1902" t="s">
        <v>655</v>
      </c>
      <c r="BT522" s="1907" t="s">
        <v>2241</v>
      </c>
    </row>
    <row r="523" spans="1:72" ht="13">
      <c r="A523" s="1545">
        <v>1079</v>
      </c>
      <c r="B523" s="1546" t="s">
        <v>800</v>
      </c>
      <c r="C523" s="1546" t="s">
        <v>803</v>
      </c>
      <c r="D523" s="1547" t="s">
        <v>6886</v>
      </c>
      <c r="E523" s="690" t="s">
        <v>668</v>
      </c>
      <c r="F523" s="691"/>
      <c r="G523" s="692"/>
      <c r="H523" s="692"/>
      <c r="I523" s="692"/>
      <c r="J523" s="693"/>
      <c r="K523" s="693"/>
      <c r="L523" s="693"/>
      <c r="M523" s="694"/>
      <c r="N523" s="695"/>
      <c r="O523" s="696" t="s">
        <v>1569</v>
      </c>
      <c r="P523" s="695">
        <f>'HIV-Key Info'!$I$79*(('HIV-Key Info'!$E$79*'HPM costs'!F636)+('HIV-Key Info'!$F$79*('HPM costs'!F639+'HPM costs'!F642)))</f>
        <v>0</v>
      </c>
      <c r="Q523" s="695" t="s">
        <v>1569</v>
      </c>
      <c r="R523" s="695">
        <f>'HIV-Key Info'!$I$79*(('HIV-Key Info'!$E$79*'HPM costs'!G636)+('HIV-Key Info'!$F$79*('HPM costs'!G639+'HPM costs'!G642)))</f>
        <v>0</v>
      </c>
      <c r="S523" s="695" t="s">
        <v>1569</v>
      </c>
      <c r="T523" s="695">
        <f>'HIV-Key Info'!$I$79*(('HIV-Key Info'!$E$79*'HPM costs'!H636)+('HIV-Key Info'!$F$79*('HPM costs'!H639+'HPM costs'!H642)))</f>
        <v>0</v>
      </c>
      <c r="U523" s="695" t="s">
        <v>1569</v>
      </c>
      <c r="V523" s="695">
        <f>'HIV-Key Info'!$I$79*(('HIV-Key Info'!$E$79*'HPM costs'!I636)+('HIV-Key Info'!$F$79*('HPM costs'!I639+'HPM costs'!I642)))</f>
        <v>0</v>
      </c>
      <c r="W523" s="695"/>
      <c r="X523" s="1492">
        <f t="shared" si="54"/>
        <v>0</v>
      </c>
      <c r="Y523" s="1493"/>
      <c r="Z523" s="1494"/>
      <c r="AA523" s="699"/>
      <c r="AB523" s="695"/>
      <c r="AC523" s="695">
        <f>'HIV-Key Info'!$I$79*(('HIV-Key Info'!$E$79*'HPM costs'!K636)+('HIV-Key Info'!$F$79*('HPM costs'!K639+'HPM costs'!K642)))</f>
        <v>0</v>
      </c>
      <c r="AD523" s="695"/>
      <c r="AE523" s="695">
        <f>'HIV-Key Info'!$I$79*(('HIV-Key Info'!$E$79*'HPM costs'!L636)+('HIV-Key Info'!$F$79*('HPM costs'!L639+'HPM costs'!L642)))</f>
        <v>0</v>
      </c>
      <c r="AF523" s="695"/>
      <c r="AG523" s="695">
        <f>'HIV-Key Info'!$I$79*(('HIV-Key Info'!$E$79*'HPM costs'!M636)+('HIV-Key Info'!$F$79*('HPM costs'!M639+'HPM costs'!M642)))</f>
        <v>0</v>
      </c>
      <c r="AH523" s="695"/>
      <c r="AI523" s="695">
        <f>'HIV-Key Info'!$I$79*(('HIV-Key Info'!$E$79*'HPM costs'!N636)+('HIV-Key Info'!$F$79*('HPM costs'!N639+'HPM costs'!N642)))</f>
        <v>0</v>
      </c>
      <c r="AJ523" s="695"/>
      <c r="AK523" s="1492">
        <f t="shared" si="55"/>
        <v>0</v>
      </c>
      <c r="AL523" s="1493"/>
      <c r="AM523" s="1494"/>
      <c r="AN523" s="699"/>
      <c r="AO523" s="695"/>
      <c r="AP523" s="695">
        <f>'HIV-Key Info'!$I$79*(('HIV-Key Info'!$E$79*'HPM costs'!P636)+('HIV-Key Info'!$F$79*('HPM costs'!P639+'HPM costs'!P642)))</f>
        <v>0</v>
      </c>
      <c r="AQ523" s="695"/>
      <c r="AR523" s="695">
        <f>'HIV-Key Info'!$I$79*(('HIV-Key Info'!$E$79*'HPM costs'!Q636)+('HIV-Key Info'!$F$79*('HPM costs'!Q639+'HPM costs'!Q642)))</f>
        <v>0</v>
      </c>
      <c r="AS523" s="695"/>
      <c r="AT523" s="695">
        <f>'HIV-Key Info'!$I$79*(('HIV-Key Info'!$E$79*'HPM costs'!R636)+('HIV-Key Info'!$F$79*('HPM costs'!R639+'HPM costs'!R642)))</f>
        <v>0</v>
      </c>
      <c r="AU523" s="695"/>
      <c r="AV523" s="695">
        <f>'HIV-Key Info'!$I$79*(('HIV-Key Info'!$E$79*'HPM costs'!S636)+('HIV-Key Info'!$F$79*('HPM costs'!S639+'HPM costs'!S642)))</f>
        <v>0</v>
      </c>
      <c r="AW523" s="695"/>
      <c r="AX523" s="1492">
        <f t="shared" si="56"/>
        <v>0</v>
      </c>
      <c r="AY523" s="1492"/>
      <c r="AZ523" s="698"/>
      <c r="BA523" s="699"/>
      <c r="BB523" s="697"/>
      <c r="BC523" s="697">
        <v>0</v>
      </c>
      <c r="BD523" s="697">
        <v>0</v>
      </c>
      <c r="BE523" s="697">
        <v>0</v>
      </c>
      <c r="BF523" s="697">
        <v>0</v>
      </c>
      <c r="BG523" s="697">
        <v>0</v>
      </c>
      <c r="BH523" s="697">
        <v>0</v>
      </c>
      <c r="BI523" s="697">
        <v>0</v>
      </c>
      <c r="BJ523" s="697">
        <v>0</v>
      </c>
      <c r="BK523" s="1492">
        <f t="shared" si="57"/>
        <v>0</v>
      </c>
      <c r="BL523" s="1492"/>
      <c r="BM523" s="1492">
        <f t="shared" si="58"/>
        <v>0</v>
      </c>
      <c r="BN523" s="1492">
        <f t="shared" si="59"/>
        <v>0</v>
      </c>
      <c r="BO523" s="697"/>
      <c r="BP523" s="697"/>
      <c r="BQ523" s="1495" t="s">
        <v>6940</v>
      </c>
      <c r="BR523" s="1495" t="s">
        <v>818</v>
      </c>
      <c r="BS523" s="1902" t="s">
        <v>655</v>
      </c>
      <c r="BT523" s="1907" t="s">
        <v>2242</v>
      </c>
    </row>
    <row r="524" spans="1:72" ht="13">
      <c r="A524" s="1545">
        <v>1080</v>
      </c>
      <c r="B524" s="1546" t="s">
        <v>804</v>
      </c>
      <c r="C524" s="1546" t="s">
        <v>805</v>
      </c>
      <c r="D524" s="1547" t="s">
        <v>6930</v>
      </c>
      <c r="E524" s="690" t="s">
        <v>783</v>
      </c>
      <c r="F524" s="691"/>
      <c r="G524" s="692"/>
      <c r="H524" s="692"/>
      <c r="I524" s="692"/>
      <c r="J524" s="693"/>
      <c r="K524" s="693"/>
      <c r="L524" s="693"/>
      <c r="M524" s="694"/>
      <c r="N524" s="695"/>
      <c r="O524" s="696" t="s">
        <v>1569</v>
      </c>
      <c r="P524" s="695">
        <f>IF(SETUP!$F$20="Upfront",SUM('EBS-H'!K3:K101),0)</f>
        <v>0</v>
      </c>
      <c r="Q524" s="695" t="s">
        <v>1569</v>
      </c>
      <c r="R524" s="695">
        <f>IF(SETUP!$F$20="Upfront",SUM('EBS-H'!O3:O101),IF(SETUP!$F$20="At delivery", IF(SETUP!$G$20=1,SUM('EBS-H'!K3:K101),0),0))</f>
        <v>0</v>
      </c>
      <c r="S524" s="695" t="s">
        <v>1569</v>
      </c>
      <c r="T524" s="695">
        <f>IF(SETUP!$F$20="Upfront",SUM('EBS-H'!S3:S101),IF(SETUP!$F$20="At delivery", IF(SETUP!$G$20=2,SUM('EBS-H'!K3:K101),IF(SETUP!$G$20=1,SUM('EBS-H'!O3:O101),0)),0))</f>
        <v>0</v>
      </c>
      <c r="U524" s="695" t="s">
        <v>1569</v>
      </c>
      <c r="V524" s="695">
        <f>IF(SETUP!$F$20="Upfront",SUM('EBS-H'!W3:W101),IF(SETUP!$F$20="At delivery", IF(SETUP!$G$20=3,SUM('EBS-H'!K3:K101),IF(SETUP!$G$20=2,SUM('EBS-H'!O3:O101),IF(SETUP!$G$20=1,SUM('EBS-H'!S3:S101),0))),0))</f>
        <v>0</v>
      </c>
      <c r="W524" s="695"/>
      <c r="X524" s="1492">
        <f t="shared" si="54"/>
        <v>0</v>
      </c>
      <c r="Y524" s="1493"/>
      <c r="Z524" s="1494"/>
      <c r="AA524" s="699"/>
      <c r="AB524" s="695"/>
      <c r="AC524" s="695">
        <f>IF(SETUP!$F$20="Upfront",SUM('EBS-H'!AC3:AC101),IF(SETUP!$F$20="At delivery", IF(SETUP!$G$20=4,SUM('EBS-H'!K3:K101),IF(SETUP!$G$20=3,SUM('EBS-H'!O3:O101),IF(SETUP!$G$20=2,SUM('EBS-H'!S3:S101),IF(SETUP!$G$20=1,SUM('EBS-H'!W3:W101),0)))),0))</f>
        <v>0</v>
      </c>
      <c r="AD524" s="695"/>
      <c r="AE524" s="695">
        <f>IF(SETUP!$F$20="Upfront",SUM('EBS-H'!AG3:AG101),IF(SETUP!$F$20="At delivery", IF(SETUP!$G$20=4,SUM('EBS-H'!O3:O101),IF(SETUP!$G$20=3,SUM('EBS-H'!S3:S101),IF(SETUP!$G$20=2,SUM('EBS-H'!W3:W101),IF(SETUP!$G$20=1,SUM('EBS-H'!AC3:AC101),0)))),0))</f>
        <v>0</v>
      </c>
      <c r="AF524" s="695"/>
      <c r="AG524" s="695">
        <f>IF(SETUP!$F$20="Upfront",SUM('EBS-H'!AK3:AK101),IF(SETUP!$F$20="At delivery", IF(SETUP!$G$20=4,SUM('EBS-H'!S3:S101),IF(SETUP!$G$20=3,SUM('EBS-H'!W3:W101),IF(SETUP!$G$20=2,SUM('EBS-H'!AC3:AC101),IF(SETUP!$G$20=1,SUM('EBS-H'!AG3:AG101),0)))),0))</f>
        <v>0</v>
      </c>
      <c r="AH524" s="695"/>
      <c r="AI524" s="695">
        <f>IF(SETUP!$F$20="Upfront",SUM('EBS-H'!AO3:AO101),IF(SETUP!$F$20="At delivery", IF(SETUP!$G$20=4,SUM('EBS-H'!W3:W101),IF(SETUP!$G$20=3,SUM('EBS-H'!AC3:AC101),IF(SETUP!$G$20=2,SUM('EBS-H'!AG3:AG101),IF(SETUP!$G$20=1,SUM('EBS-H'!AK3:AK101),0)))),0))</f>
        <v>0</v>
      </c>
      <c r="AJ524" s="695"/>
      <c r="AK524" s="1492">
        <f t="shared" si="55"/>
        <v>0</v>
      </c>
      <c r="AL524" s="1493"/>
      <c r="AM524" s="1494"/>
      <c r="AN524" s="699"/>
      <c r="AO524" s="695"/>
      <c r="AP524" s="695">
        <f>IF(SETUP!$F$20="Upfront",SUM('EBS-H'!AU3:AU101),IF(SETUP!$F$20="At delivery", IF(SETUP!$G$20=4,SUM('EBS-H'!AC3:AC101),IF(SETUP!$G$20=3,SUM('EBS-H'!AG3:AG101),IF(SETUP!$G$20=2,SUM('EBS-H'!AK3:AK101),IF(SETUP!$G$20=1,SUM('EBS-H'!AO3:AO101),0)))),0))</f>
        <v>0</v>
      </c>
      <c r="AQ524" s="695"/>
      <c r="AR524" s="695">
        <f>IF(SETUP!$F$20="Upfront",SUM('EBS-H'!AY3:AY101),IF(SETUP!$F$20="At delivery", IF(SETUP!$G$20=4,SUM('EBS-H'!AG3:AG101),IF(SETUP!$G$20=3,SUM('EBS-H'!AK3:AK101),IF(SETUP!$G$20=2,SUM('EBS-H'!AO3:AO101),IF(SETUP!$G$20=1,SUM('EBS-H'!AU3:AU101),0)))),0))</f>
        <v>0</v>
      </c>
      <c r="AS524" s="695"/>
      <c r="AT524" s="695">
        <f>IF(SETUP!$F$20="Upfront",SUM('EBS-H'!BC3:BC101),IF(SETUP!$F$20="At delivery", IF(SETUP!$G$20=4,SUM('EBS-H'!AK3:AK101),IF(SETUP!$G$20=3,SUM('EBS-H'!AO3:AO101),IF(SETUP!$G$20=2,SUM('EBS-H'!AU3:AU101),IF(SETUP!$G$20=1,SUM('EBS-H'!AY3:AY101),0)))),0))</f>
        <v>0</v>
      </c>
      <c r="AU524" s="695"/>
      <c r="AV524" s="695">
        <f>IF(SETUP!$F$20="Upfront",SUM('EBS-H'!BG3:BG101),IF(SETUP!$F$20="At delivery", IF(SETUP!$G$20=4,SUM(SUM('EBS-H'!AO3:AO101),SUM('EBS-H'!AU3:AU101),SUM('EBS-H'!AY3:AY101),SUM('EBS-H'!BC3:BC101),SUM('EBS-H'!BG3:BG101)),IF(SETUP!$G$20=3,SUM(SUM('EBS-H'!AU3:AU101),SUM('EBS-H'!AY3:AY101),SUM('EBS-H'!BC3:BC101),SUM('EBS-H'!BG3:BG101)),IF(SETUP!$G$20=2,SUM(SUM('EBS-H'!AY3:AY101),SUM('EBS-H'!BC3:BC101),SUM('EBS-H'!BG3:BG101)),IF(SETUP!$G$20=1,SUM(SUM('EBS-H'!BC3:BC101),SUM('EBS-H'!BG3:BG101)),0)))),0))</f>
        <v>0</v>
      </c>
      <c r="AW524" s="695"/>
      <c r="AX524" s="1492">
        <f t="shared" si="56"/>
        <v>0</v>
      </c>
      <c r="AY524" s="1492"/>
      <c r="AZ524" s="698"/>
      <c r="BA524" s="699"/>
      <c r="BB524" s="697"/>
      <c r="BC524" s="697">
        <v>0</v>
      </c>
      <c r="BD524" s="697">
        <v>0</v>
      </c>
      <c r="BE524" s="697">
        <v>0</v>
      </c>
      <c r="BF524" s="697">
        <v>0</v>
      </c>
      <c r="BG524" s="697">
        <v>0</v>
      </c>
      <c r="BH524" s="697">
        <v>0</v>
      </c>
      <c r="BI524" s="697">
        <v>0</v>
      </c>
      <c r="BJ524" s="697">
        <v>0</v>
      </c>
      <c r="BK524" s="1492">
        <f t="shared" si="57"/>
        <v>0</v>
      </c>
      <c r="BL524" s="1492"/>
      <c r="BM524" s="1492">
        <f t="shared" si="58"/>
        <v>0</v>
      </c>
      <c r="BN524" s="1492">
        <f t="shared" si="59"/>
        <v>0</v>
      </c>
      <c r="BO524" s="697"/>
      <c r="BP524" s="697"/>
      <c r="BQ524" s="1495">
        <v>0</v>
      </c>
      <c r="BR524" s="1495" t="s">
        <v>818</v>
      </c>
      <c r="BS524" s="1902" t="s">
        <v>6930</v>
      </c>
      <c r="BT524" s="1907" t="s">
        <v>2243</v>
      </c>
    </row>
    <row r="525" spans="1:72" ht="13">
      <c r="A525" s="1545">
        <v>1083</v>
      </c>
      <c r="B525" s="1546" t="s">
        <v>804</v>
      </c>
      <c r="C525" s="1546" t="s">
        <v>805</v>
      </c>
      <c r="D525" s="1547" t="s">
        <v>6964</v>
      </c>
      <c r="E525" s="690" t="s">
        <v>806</v>
      </c>
      <c r="F525" s="691"/>
      <c r="G525" s="692"/>
      <c r="H525" s="692"/>
      <c r="I525" s="692"/>
      <c r="J525" s="693"/>
      <c r="K525" s="693"/>
      <c r="L525" s="693"/>
      <c r="M525" s="694"/>
      <c r="N525" s="695"/>
      <c r="O525" s="696" t="s">
        <v>1569</v>
      </c>
      <c r="P525" s="695">
        <f>IF(SETUP!$F$23="Upfront",SUM('EBS-H'!K242:K243),0)</f>
        <v>0</v>
      </c>
      <c r="Q525" s="695" t="s">
        <v>1569</v>
      </c>
      <c r="R525" s="695">
        <f>IF(SETUP!$F$23="Upfront",SUM('EBS-H'!O242:O243),IF(SETUP!$F$23="At delivery", IF(SETUP!$G$23=1,SUM('EBS-H'!K242:K243),0),0))</f>
        <v>0</v>
      </c>
      <c r="S525" s="695" t="s">
        <v>1569</v>
      </c>
      <c r="T525" s="695">
        <f>IF(SETUP!$F$23="Upfront",SUM('EBS-H'!S242:S243),IF(SETUP!$F$23="At delivery", IF(SETUP!$G$23=2,SUM('EBS-H'!K242:K243),IF(SETUP!$G$23=1,SUM('EBS-H'!O242:O243),0)),0))</f>
        <v>0</v>
      </c>
      <c r="U525" s="695" t="s">
        <v>1569</v>
      </c>
      <c r="V525" s="695">
        <f>IF(SETUP!$F$23="Upfront",SUM('EBS-H'!W242:W243),IF(SETUP!$F$23="At delivery", IF(SETUP!$G$23=3,SUM('EBS-H'!K242:K243),IF(SETUP!$G$23=2,SUM('EBS-H'!O242:O243),IF(SETUP!$G$23=1,SUM('EBS-H'!S242:S243),0))),0))</f>
        <v>0</v>
      </c>
      <c r="W525" s="695"/>
      <c r="X525" s="1492">
        <f t="shared" si="54"/>
        <v>0</v>
      </c>
      <c r="Y525" s="1493"/>
      <c r="Z525" s="1494"/>
      <c r="AA525" s="699"/>
      <c r="AB525" s="695"/>
      <c r="AC525" s="695">
        <f>IF(SETUP!$F$23="Upfront",SUM('EBS-H'!AC242:AC243),IF(SETUP!$F$23="At delivery", IF(SETUP!$G$23=4,SUM('EBS-H'!K242:K243),IF(SETUP!$G$23=3,SUM('EBS-H'!O242:O243),IF(SETUP!$G$23=2,SUM('EBS-H'!S242:S243),IF(SETUP!$G$23=1,SUM('EBS-H'!W242:W243),0)))),0))</f>
        <v>0</v>
      </c>
      <c r="AD525" s="695"/>
      <c r="AE525" s="695">
        <f>IF(SETUP!$F$23="Upfront",SUM('EBS-H'!AG242:AG243),IF(SETUP!$F$23="At delivery", IF(SETUP!$G$23=4,SUM('EBS-H'!O242:O243),IF(SETUP!$G$23=3,SUM('EBS-H'!S242:S243),IF(SETUP!$G$23=2,SUM('EBS-H'!W242:W243),IF(SETUP!$G$23=1,SUM('EBS-H'!AC242:AC243),0)))),0))</f>
        <v>0</v>
      </c>
      <c r="AF525" s="695"/>
      <c r="AG525" s="695">
        <f>IF(SETUP!$F$23="Upfront",SUM('EBS-H'!AK242:AK243),IF(SETUP!$F$23="At delivery", IF(SETUP!$G$23=4,SUM('EBS-H'!S242:S243),IF(SETUP!$G$23=3,SUM('EBS-H'!W242:W243),IF(SETUP!$G$23=2,SUM('EBS-H'!AC242:AC243),IF(SETUP!$G$23=1,SUM('EBS-H'!AG242:AG243),0)))),0))</f>
        <v>0</v>
      </c>
      <c r="AH525" s="695"/>
      <c r="AI525" s="695">
        <f>IF(SETUP!$F$23="Upfront",SUM('EBS-H'!AO242:AO243),IF(SETUP!$F$23="At delivery", IF(SETUP!$G$23=4,SUM('EBS-H'!W242:W243),IF(SETUP!$G$23=3,SUM('EBS-H'!AC242:AC243),IF(SETUP!$G$23=2,SUM('EBS-H'!AG242:AG243),IF(SETUP!$G$23=1,SUM('EBS-H'!AK242:AK243),0)))),0))</f>
        <v>0</v>
      </c>
      <c r="AJ525" s="695"/>
      <c r="AK525" s="1492">
        <f t="shared" si="55"/>
        <v>0</v>
      </c>
      <c r="AL525" s="1493"/>
      <c r="AM525" s="1494"/>
      <c r="AN525" s="699"/>
      <c r="AO525" s="695"/>
      <c r="AP525" s="695">
        <f>IF(SETUP!$F$23="Upfront",SUM('EBS-H'!AU242:AU243),IF(SETUP!$F$23="At delivery", IF(SETUP!$G$23=4,SUM('EBS-H'!AC242:AC243),IF(SETUP!$G$23=3,SUM('EBS-H'!AG242:AG243),IF(SETUP!$G$23=2,SUM('EBS-H'!AK242:AK243),IF(SETUP!$G$23=1,SUM('EBS-H'!AO242:AO243),0)))),0))</f>
        <v>0</v>
      </c>
      <c r="AQ525" s="695"/>
      <c r="AR525" s="695">
        <f>IF(SETUP!$F$23="Upfront",SUM('EBS-H'!AY242:AY243),IF(SETUP!$F$23="At delivery", IF(SETUP!$G$23=4,SUM('EBS-H'!AG242:AG243),IF(SETUP!$G$23=3,SUM('EBS-H'!AK242:AK243),IF(SETUP!$G$23=2,SUM('EBS-H'!AO242:AO243),IF(SETUP!$G$23=1,SUM('EBS-H'!AU242:AU243),0)))),0))</f>
        <v>0</v>
      </c>
      <c r="AS525" s="695"/>
      <c r="AT525" s="695">
        <f>IF(SETUP!$F$23="Upfront",SUM('EBS-H'!BC242:BC243),IF(SETUP!$F$23="At delivery", IF(SETUP!$G$23=4,SUM('EBS-H'!AK242:AK243),IF(SETUP!$G$23=3,SUM('EBS-H'!AO242:AO243),IF(SETUP!$G$23=2,SUM('EBS-H'!AU242:AU243),IF(SETUP!$G$23=1,SUM('EBS-H'!AY242:AY243),0)))),0))</f>
        <v>0</v>
      </c>
      <c r="AU525" s="695"/>
      <c r="AV525" s="695">
        <f>IF(SETUP!$F$23="Upfront",SUM('EBS-H'!BG242:BG243),IF(SETUP!$F$23="At delivery", IF(SETUP!$G$23=4,SUM(SUM('EBS-H'!AO242:AO243),SUM('EBS-H'!AU242:AU243),SUM('EBS-H'!AY242:AY243),SUM('EBS-H'!BC242:BC243),SUM('EBS-H'!BG242:BG243)),IF(SETUP!$G$23=3,SUM(SUM('EBS-H'!AU242:AU243),SUM('EBS-H'!AY242:AY243),SUM('EBS-H'!BC242:BC243),SUM('EBS-H'!BG242:BG243)),IF(SETUP!$G$23=2,SUM(SUM('EBS-H'!AY242:AY243),SUM('EBS-H'!BC242:BC243),SUM('EBS-H'!BG242:BG243)),IF(SETUP!$G$23=1,SUM(SUM('EBS-H'!BC242:BC243),SUM('EBS-H'!BG242:BG243)),0)))),0))</f>
        <v>0</v>
      </c>
      <c r="AW525" s="695"/>
      <c r="AX525" s="1492">
        <f t="shared" si="56"/>
        <v>0</v>
      </c>
      <c r="AY525" s="1492"/>
      <c r="AZ525" s="698"/>
      <c r="BA525" s="699"/>
      <c r="BB525" s="697"/>
      <c r="BC525" s="697">
        <v>0</v>
      </c>
      <c r="BD525" s="697">
        <v>0</v>
      </c>
      <c r="BE525" s="697">
        <v>0</v>
      </c>
      <c r="BF525" s="697">
        <v>0</v>
      </c>
      <c r="BG525" s="697">
        <v>0</v>
      </c>
      <c r="BH525" s="697">
        <v>0</v>
      </c>
      <c r="BI525" s="697">
        <v>0</v>
      </c>
      <c r="BJ525" s="697">
        <v>0</v>
      </c>
      <c r="BK525" s="1492">
        <f t="shared" si="57"/>
        <v>0</v>
      </c>
      <c r="BL525" s="1492"/>
      <c r="BM525" s="1492">
        <f t="shared" si="58"/>
        <v>0</v>
      </c>
      <c r="BN525" s="1492">
        <f t="shared" si="59"/>
        <v>0</v>
      </c>
      <c r="BO525" s="697"/>
      <c r="BP525" s="697"/>
      <c r="BQ525" s="1495">
        <v>0</v>
      </c>
      <c r="BR525" s="1495" t="s">
        <v>818</v>
      </c>
      <c r="BS525" s="1902" t="s">
        <v>6964</v>
      </c>
      <c r="BT525" s="1907" t="s">
        <v>2244</v>
      </c>
    </row>
    <row r="526" spans="1:72" ht="13">
      <c r="A526" s="1545">
        <v>1084</v>
      </c>
      <c r="B526" s="1546" t="s">
        <v>804</v>
      </c>
      <c r="C526" s="1546" t="s">
        <v>805</v>
      </c>
      <c r="D526" s="1547" t="s">
        <v>6965</v>
      </c>
      <c r="E526" s="690" t="s">
        <v>799</v>
      </c>
      <c r="F526" s="691"/>
      <c r="G526" s="692"/>
      <c r="H526" s="692"/>
      <c r="I526" s="692"/>
      <c r="J526" s="693"/>
      <c r="K526" s="693"/>
      <c r="L526" s="693"/>
      <c r="M526" s="694"/>
      <c r="N526" s="695"/>
      <c r="O526" s="696" t="s">
        <v>1569</v>
      </c>
      <c r="P526" s="695">
        <f>IF(SETUP!$F$23="Upfront",SUM('EBS-H'!K262:K263),0)</f>
        <v>0</v>
      </c>
      <c r="Q526" s="695" t="s">
        <v>1569</v>
      </c>
      <c r="R526" s="695">
        <f>IF(SETUP!$F$23="Upfront",SUM('EBS-H'!O262:O263),IF(SETUP!$F$23="At delivery", IF(SETUP!$G$23=1,SUM('EBS-H'!K262:K263),0),0))</f>
        <v>0</v>
      </c>
      <c r="S526" s="695" t="s">
        <v>1569</v>
      </c>
      <c r="T526" s="695">
        <f>IF(SETUP!$F$23="Upfront",SUM('EBS-H'!S262:S263),IF(SETUP!$F$23="At delivery", IF(SETUP!$G$23=2,SUM('EBS-H'!K262:K263),IF(SETUP!$G$23=1,SUM('EBS-H'!O262:O263),0)),0))</f>
        <v>0</v>
      </c>
      <c r="U526" s="695" t="s">
        <v>1569</v>
      </c>
      <c r="V526" s="695">
        <f>IF(SETUP!$F$23="Upfront",SUM('EBS-H'!W262:W263),IF(SETUP!$F$23="At delivery", IF(SETUP!$G$23=3,SUM('EBS-H'!K262:K263),IF(SETUP!$G$23=2,SUM('EBS-H'!O262:O263),IF(SETUP!$G$23=1,SUM('EBS-H'!S262:S263),0))),0))</f>
        <v>0</v>
      </c>
      <c r="W526" s="695"/>
      <c r="X526" s="1492">
        <f t="shared" si="54"/>
        <v>0</v>
      </c>
      <c r="Y526" s="1493"/>
      <c r="Z526" s="1494"/>
      <c r="AA526" s="699"/>
      <c r="AB526" s="695"/>
      <c r="AC526" s="695">
        <f>IF(SETUP!$F$23="Upfront",SUM('EBS-H'!AC262:AC263),IF(SETUP!$F$23="At delivery", IF(SETUP!$G$23=4,SUM('EBS-H'!K262:K263),IF(SETUP!$G$23=3,SUM('EBS-H'!O262:O263),IF(SETUP!$G$23=2,SUM('EBS-H'!S262:S263),IF(SETUP!$G$23=1,SUM('EBS-H'!W262:W263),0)))),0))</f>
        <v>0</v>
      </c>
      <c r="AD526" s="695"/>
      <c r="AE526" s="695">
        <f>IF(SETUP!$F$23="Upfront",SUM('EBS-H'!AG262:AG263),IF(SETUP!$F$23="At delivery", IF(SETUP!$G$23=4,SUM('EBS-H'!O262:O263),IF(SETUP!$G$23=3,SUM('EBS-H'!S262:S263),IF(SETUP!$G$23=2,SUM('EBS-H'!W262:W263),IF(SETUP!$G$23=1,SUM('EBS-H'!AC262:AC263),0)))),0))</f>
        <v>0</v>
      </c>
      <c r="AF526" s="695"/>
      <c r="AG526" s="695">
        <f>IF(SETUP!$F$23="Upfront",SUM('EBS-H'!AK262:AK263),IF(SETUP!$F$23="At delivery", IF(SETUP!$G$23=4,SUM('EBS-H'!S262:S263),IF(SETUP!$G$23=3,SUM('EBS-H'!W262:W263),IF(SETUP!$G$23=2,SUM('EBS-H'!AC262:AC263),IF(SETUP!$G$23=1,SUM('EBS-H'!AG262:AG263),0)))),0))</f>
        <v>0</v>
      </c>
      <c r="AH526" s="695"/>
      <c r="AI526" s="695">
        <f>IF(SETUP!$F$23="Upfront",SUM('EBS-H'!AO262:AO263),IF(SETUP!$F$23="At delivery", IF(SETUP!$G$23=4,SUM('EBS-H'!W262:W263),IF(SETUP!$G$23=3,SUM('EBS-H'!AC262:AC263),IF(SETUP!$G$23=2,SUM('EBS-H'!AG262:AG263),IF(SETUP!$G$23=1,SUM('EBS-H'!AK262:AK263),0)))),0))</f>
        <v>0</v>
      </c>
      <c r="AJ526" s="695"/>
      <c r="AK526" s="1492">
        <f t="shared" si="55"/>
        <v>0</v>
      </c>
      <c r="AL526" s="1493"/>
      <c r="AM526" s="1494"/>
      <c r="AN526" s="699"/>
      <c r="AO526" s="695"/>
      <c r="AP526" s="695">
        <f>IF(SETUP!$F$23="Upfront",SUM('EBS-H'!AU262:AU263),IF(SETUP!$F$23="At delivery", IF(SETUP!$G$23=4,SUM('EBS-H'!AC262:AC263),IF(SETUP!$G$23=3,SUM('EBS-H'!AG262:AG263),IF(SETUP!$G$23=2,SUM('EBS-H'!AK262:AK263),IF(SETUP!$G$23=1,SUM('EBS-H'!AO262:AO263),0)))),0))</f>
        <v>0</v>
      </c>
      <c r="AQ526" s="695"/>
      <c r="AR526" s="695">
        <f>IF(SETUP!$F$23="Upfront",SUM('EBS-H'!AY262:AY263),IF(SETUP!$F$23="At delivery", IF(SETUP!$G$23=4,SUM('EBS-H'!AG262:AG263),IF(SETUP!$G$23=3,SUM('EBS-H'!AK262:AK263),IF(SETUP!$G$23=2,SUM('EBS-H'!AO262:AO263),IF(SETUP!$G$23=1,SUM('EBS-H'!AU262:AU263),0)))),0))</f>
        <v>0</v>
      </c>
      <c r="AS526" s="695"/>
      <c r="AT526" s="695">
        <f>IF(SETUP!$F$23="Upfront",SUM('EBS-H'!BC262:BC263),IF(SETUP!$F$23="At delivery", IF(SETUP!$G$23=4,SUM('EBS-H'!AK262:AK263),IF(SETUP!$G$23=3,SUM('EBS-H'!AO262:AO263),IF(SETUP!$G$23=2,SUM('EBS-H'!AU262:AU263),IF(SETUP!$G$23=1,SUM('EBS-H'!AY262:AY263),0)))),0))</f>
        <v>0</v>
      </c>
      <c r="AU526" s="695"/>
      <c r="AV526" s="695">
        <f>IF(SETUP!$F$23="Upfront",SUM('EBS-H'!BG262:BG263),IF(SETUP!$F$23="At delivery", IF(SETUP!$G$23=4,SUM(SUM('EBS-H'!AO262:AO263),SUM('EBS-H'!AU262:AU263),SUM('EBS-H'!AY262:AY263),SUM('EBS-H'!BC262:BC263),SUM('EBS-H'!BG262:BG263)),IF(SETUP!$G$23=3,SUM(SUM('EBS-H'!AU262:AU263),SUM('EBS-H'!AY262:AY263),SUM('EBS-H'!BC262:BC263),SUM('EBS-H'!BG262:BG263)),IF(SETUP!$G$23=2,SUM(SUM('EBS-H'!AY262:AY263),SUM('EBS-H'!BC262:BC263),SUM('EBS-H'!BG262:BG263)),IF(SETUP!$G$23=1,SUM(SUM('EBS-H'!BC262:BC263),SUM('EBS-H'!BG262:BG263)),0)))),0))</f>
        <v>0</v>
      </c>
      <c r="AW526" s="695"/>
      <c r="AX526" s="1492">
        <f t="shared" si="56"/>
        <v>0</v>
      </c>
      <c r="AY526" s="1492"/>
      <c r="AZ526" s="698"/>
      <c r="BA526" s="699"/>
      <c r="BB526" s="697"/>
      <c r="BC526" s="697">
        <v>0</v>
      </c>
      <c r="BD526" s="697">
        <v>0</v>
      </c>
      <c r="BE526" s="697">
        <v>0</v>
      </c>
      <c r="BF526" s="697">
        <v>0</v>
      </c>
      <c r="BG526" s="697">
        <v>0</v>
      </c>
      <c r="BH526" s="697">
        <v>0</v>
      </c>
      <c r="BI526" s="697">
        <v>0</v>
      </c>
      <c r="BJ526" s="697">
        <v>0</v>
      </c>
      <c r="BK526" s="1492">
        <f t="shared" si="57"/>
        <v>0</v>
      </c>
      <c r="BL526" s="1492"/>
      <c r="BM526" s="1492">
        <f t="shared" si="58"/>
        <v>0</v>
      </c>
      <c r="BN526" s="1492">
        <f t="shared" si="59"/>
        <v>0</v>
      </c>
      <c r="BO526" s="697"/>
      <c r="BP526" s="697"/>
      <c r="BQ526" s="1495">
        <v>0</v>
      </c>
      <c r="BR526" s="1495" t="s">
        <v>818</v>
      </c>
      <c r="BS526" s="1902" t="s">
        <v>6965</v>
      </c>
      <c r="BT526" s="1907" t="s">
        <v>2245</v>
      </c>
    </row>
    <row r="527" spans="1:72" ht="13">
      <c r="A527" s="1545">
        <v>1085</v>
      </c>
      <c r="B527" s="1546" t="s">
        <v>804</v>
      </c>
      <c r="C527" s="1546" t="s">
        <v>805</v>
      </c>
      <c r="D527" s="1547" t="s">
        <v>6949</v>
      </c>
      <c r="E527" s="690" t="s">
        <v>782</v>
      </c>
      <c r="F527" s="691"/>
      <c r="G527" s="692"/>
      <c r="H527" s="692"/>
      <c r="I527" s="692"/>
      <c r="J527" s="693"/>
      <c r="K527" s="693"/>
      <c r="L527" s="693"/>
      <c r="M527" s="694"/>
      <c r="N527" s="695"/>
      <c r="O527" s="696" t="s">
        <v>1569</v>
      </c>
      <c r="P527" s="695">
        <f>IF(SETUP!$F$23="Upfront",SUM('EBS-H'!K215:K222),0)</f>
        <v>0</v>
      </c>
      <c r="Q527" s="695" t="s">
        <v>1569</v>
      </c>
      <c r="R527" s="695">
        <f>IF(SETUP!$F$23="Upfront",SUM('EBS-H'!O215:O222),IF(SETUP!$F$23="At delivery", IF(SETUP!$G$23=1,SUM('EBS-H'!K215:K222),0),0))</f>
        <v>0</v>
      </c>
      <c r="S527" s="695" t="s">
        <v>1569</v>
      </c>
      <c r="T527" s="695">
        <f>IF(SETUP!$F$23="Upfront",SUM('EBS-H'!S215:S222),IF(SETUP!$F$23="At delivery", IF(SETUP!$G$23=2,SUM('EBS-H'!K215:K222),IF(SETUP!$G$23=1,SUM('EBS-H'!O215:O222),0)),0))</f>
        <v>0</v>
      </c>
      <c r="U527" s="695" t="s">
        <v>1569</v>
      </c>
      <c r="V527" s="695">
        <f>IF(SETUP!$F$23="Upfront",SUM('EBS-H'!W215:W222),IF(SETUP!$F$23="At delivery", IF(SETUP!$G$23=3,SUM('EBS-H'!K215:K222),IF(SETUP!$G$23=2,SUM('EBS-H'!O215:O222),IF(SETUP!$G$23=1,SUM('EBS-H'!S215:S222),0))),0))</f>
        <v>0</v>
      </c>
      <c r="W527" s="695"/>
      <c r="X527" s="1492">
        <f t="shared" si="54"/>
        <v>0</v>
      </c>
      <c r="Y527" s="1493"/>
      <c r="Z527" s="1494"/>
      <c r="AA527" s="699"/>
      <c r="AB527" s="695"/>
      <c r="AC527" s="695">
        <f>IF(SETUP!$F$23="Upfront",SUM('EBS-H'!AC215:AC222),IF(SETUP!$F$23="At delivery", IF(SETUP!$G$23=4,SUM('EBS-H'!K215:K222),IF(SETUP!$G$23=3,SUM('EBS-H'!O215:O222),IF(SETUP!$G$23=2,SUM('EBS-H'!S215:S222),IF(SETUP!$G$23=1,SUM('EBS-H'!W215:W222),0)))),0))</f>
        <v>0</v>
      </c>
      <c r="AD527" s="695"/>
      <c r="AE527" s="695">
        <f>IF(SETUP!$F$23="Upfront",SUM('EBS-H'!AG215:AG222),IF(SETUP!$F$23="At delivery", IF(SETUP!$G$23=4,SUM('EBS-H'!O215:O222),IF(SETUP!$G$23=3,SUM('EBS-H'!S215:S222),IF(SETUP!$G$23=2,SUM('EBS-H'!W215:W222),IF(SETUP!$G$23=1,SUM('EBS-H'!AC215:AC222),0)))),0))</f>
        <v>0</v>
      </c>
      <c r="AF527" s="695"/>
      <c r="AG527" s="695">
        <f>IF(SETUP!$F$23="Upfront",SUM('EBS-H'!AK215:AK222),IF(SETUP!$F$23="At delivery", IF(SETUP!$G$23=4,SUM('EBS-H'!S215:S222),IF(SETUP!$G$23=3,SUM('EBS-H'!W215:W222),IF(SETUP!$G$23=2,SUM('EBS-H'!AC215:AC222),IF(SETUP!$G$23=1,SUM('EBS-H'!AG215:AG222),0)))),0))</f>
        <v>0</v>
      </c>
      <c r="AH527" s="695"/>
      <c r="AI527" s="695">
        <f>IF(SETUP!$F$23="Upfront",SUM('EBS-H'!AO215:AO222),IF(SETUP!$F$23="At delivery", IF(SETUP!$G$23=4,SUM('EBS-H'!W215:W222),IF(SETUP!$G$23=3,SUM('EBS-H'!AC215:AC222),IF(SETUP!$G$23=2,SUM('EBS-H'!AG215:AG222),IF(SETUP!$G$23=1,SUM('EBS-H'!AK215:AK222),0)))),0))</f>
        <v>0</v>
      </c>
      <c r="AJ527" s="695"/>
      <c r="AK527" s="1492">
        <f t="shared" si="55"/>
        <v>0</v>
      </c>
      <c r="AL527" s="1493"/>
      <c r="AM527" s="1494"/>
      <c r="AN527" s="699"/>
      <c r="AO527" s="695"/>
      <c r="AP527" s="695">
        <f>IF(SETUP!$F$23="Upfront",SUM('EBS-H'!AU215:AU222),IF(SETUP!$F$23="At delivery", IF(SETUP!$G$23=4,SUM('EBS-H'!AC215:AC222),IF(SETUP!$G$23=3,SUM('EBS-H'!AG215:AG222),IF(SETUP!$G$23=2,SUM('EBS-H'!AK215:AK222),IF(SETUP!$G$23=1,SUM('EBS-H'!AO215:AO222),0)))),0))</f>
        <v>0</v>
      </c>
      <c r="AQ527" s="695"/>
      <c r="AR527" s="695">
        <f>IF(SETUP!$F$23="Upfront",SUM('EBS-H'!AY215:AY222),IF(SETUP!$F$23="At delivery", IF(SETUP!$G$23=4,SUM('EBS-H'!AG215:AG222),IF(SETUP!$G$23=3,SUM('EBS-H'!AK215:AK222),IF(SETUP!$G$23=2,SUM('EBS-H'!AO215:AO222),IF(SETUP!$G$23=1,SUM('EBS-H'!AU215:AU222),0)))),0))</f>
        <v>0</v>
      </c>
      <c r="AS527" s="695"/>
      <c r="AT527" s="695">
        <f>IF(SETUP!$F$23="Upfront",SUM('EBS-H'!BC215:BC222),IF(SETUP!$F$23="At delivery", IF(SETUP!$G$23=4,SUM('EBS-H'!AK215:AK222),IF(SETUP!$G$23=3,SUM('EBS-H'!AO215:AO222),IF(SETUP!$G$23=2,SUM('EBS-H'!AU215:AU222),IF(SETUP!$G$23=1,SUM('EBS-H'!AY215:AY222),0)))),0))</f>
        <v>0</v>
      </c>
      <c r="AU527" s="695"/>
      <c r="AV527" s="695">
        <f>IF(SETUP!$F$23="Upfront",SUM('EBS-H'!BG215:BG222),IF(SETUP!$F$23="At delivery", IF(SETUP!$G$23=4,SUM(SUM('EBS-H'!AO215:AO222),SUM('EBS-H'!AU215:AU222),SUM('EBS-H'!AY215:AY222),SUM('EBS-H'!BC215:BC222),SUM('EBS-H'!BG215:BG222)),IF(SETUP!$G$23=3,SUM(SUM('EBS-H'!AU215:AU222),SUM('EBS-H'!AY215:AY222),SUM('EBS-H'!BC215:BC222),SUM('EBS-H'!BG215:BG222)),IF(SETUP!$G$23=2,SUM(SUM('EBS-H'!AY215:AY222),SUM('EBS-H'!BC215:BC222),SUM('EBS-H'!BG215:BG222)),IF(SETUP!$G$23=1,SUM(SUM('EBS-H'!BC215:BC222),SUM('EBS-H'!BG215:BG222)),0)))),0))</f>
        <v>0</v>
      </c>
      <c r="AW527" s="695"/>
      <c r="AX527" s="1492">
        <f t="shared" si="56"/>
        <v>0</v>
      </c>
      <c r="AY527" s="1492"/>
      <c r="AZ527" s="698"/>
      <c r="BA527" s="699"/>
      <c r="BB527" s="697"/>
      <c r="BC527" s="697">
        <v>0</v>
      </c>
      <c r="BD527" s="697">
        <v>0</v>
      </c>
      <c r="BE527" s="697">
        <v>0</v>
      </c>
      <c r="BF527" s="697">
        <v>0</v>
      </c>
      <c r="BG527" s="697">
        <v>0</v>
      </c>
      <c r="BH527" s="697">
        <v>0</v>
      </c>
      <c r="BI527" s="697">
        <v>0</v>
      </c>
      <c r="BJ527" s="697">
        <v>0</v>
      </c>
      <c r="BK527" s="1492">
        <f t="shared" si="57"/>
        <v>0</v>
      </c>
      <c r="BL527" s="1492"/>
      <c r="BM527" s="1492">
        <f t="shared" si="58"/>
        <v>0</v>
      </c>
      <c r="BN527" s="1492">
        <f t="shared" si="59"/>
        <v>0</v>
      </c>
      <c r="BO527" s="697"/>
      <c r="BP527" s="697"/>
      <c r="BQ527" s="1495">
        <v>0</v>
      </c>
      <c r="BR527" s="1495" t="s">
        <v>818</v>
      </c>
      <c r="BS527" s="1902" t="s">
        <v>6949</v>
      </c>
      <c r="BT527" s="1907" t="s">
        <v>2246</v>
      </c>
    </row>
    <row r="528" spans="1:72" ht="13">
      <c r="A528" s="1545">
        <v>1086</v>
      </c>
      <c r="B528" s="1546" t="s">
        <v>804</v>
      </c>
      <c r="C528" s="1546" t="s">
        <v>805</v>
      </c>
      <c r="D528" s="1547" t="s">
        <v>6950</v>
      </c>
      <c r="E528" s="690" t="s">
        <v>721</v>
      </c>
      <c r="F528" s="691"/>
      <c r="G528" s="692"/>
      <c r="H528" s="692"/>
      <c r="I528" s="692"/>
      <c r="J528" s="693"/>
      <c r="K528" s="693"/>
      <c r="L528" s="693"/>
      <c r="M528" s="694"/>
      <c r="N528" s="695"/>
      <c r="O528" s="696" t="s">
        <v>1569</v>
      </c>
      <c r="P528" s="695">
        <f>IF(SETUP!$F$23="Upfront",SUMIF('EBS-H'!D215:D292,6.5,'EBS-H'!K215:K292),0)</f>
        <v>0</v>
      </c>
      <c r="Q528" s="695" t="s">
        <v>1569</v>
      </c>
      <c r="R528" s="695">
        <f>IF(SETUP!$F$23="Upfront",SUMIF('EBS-H'!D215:D292,6.5,'EBS-H'!O215:O292),IF(SETUP!$F$23="At delivery", IF(SETUP!$G$23=1,SUMIF('EBS-H'!D215:D292,6.5,'EBS-H'!K215:K292),0),0))</f>
        <v>0</v>
      </c>
      <c r="S528" s="695" t="s">
        <v>1569</v>
      </c>
      <c r="T528" s="695">
        <f>IF(SETUP!$F$23="Upfront",SUMIF('EBS-H'!D215:D292,6.5,'EBS-H'!S215:S292),IF(SETUP!$F$23="At delivery", IF(SETUP!$G$23=2,SUMIF('EBS-H'!D215:D292,6.5,'EBS-H'!K215:K292),IF(SETUP!$G$23=1,SUMIF('EBS-H'!D215:D292,6.5,'EBS-H'!O215:O292),0)),0))</f>
        <v>0</v>
      </c>
      <c r="U528" s="695" t="s">
        <v>1569</v>
      </c>
      <c r="V528" s="695">
        <f>IF(SETUP!$F$23="Upfront",SUMIF('EBS-H'!D215:D292,6.5,'EBS-H'!W215:W292),IF(SETUP!$F$23="At delivery", IF(SETUP!$G$23=3,SUMIF('EBS-H'!D215:D292,6.5,'EBS-H'!K215:K292),IF(SETUP!$G$23=2,SUMIF('EBS-H'!D215:D292,6.5,'EBS-H'!O215:O292),IF(SETUP!$G$23=1,SUMIF('EBS-H'!D215:D292,6.5,'EBS-H'!S215:S292),0))),0))</f>
        <v>0</v>
      </c>
      <c r="W528" s="695"/>
      <c r="X528" s="1492">
        <f t="shared" si="54"/>
        <v>0</v>
      </c>
      <c r="Y528" s="1493"/>
      <c r="Z528" s="1494"/>
      <c r="AA528" s="699"/>
      <c r="AB528" s="695"/>
      <c r="AC528" s="695">
        <f>IF(SETUP!$F$23="Upfront",SUMIF('EBS-H'!D215:D292,6.5,'EBS-H'!AC215:AC292),IF(SETUP!$F$23="At delivery", IF(SETUP!$G$23=4,SUMIF('EBS-H'!D215:D292,6.5,'EBS-H'!K215:K292),IF(SETUP!$G$23=3,SUMIF('EBS-H'!D215:D292,6.5,'EBS-H'!O215:O292),IF(SETUP!$G$23=2,SUMIF('EBS-H'!D215:D292,6.5,'EBS-H'!S215:S292),IF(SETUP!$G$23=1,SUMIF('EBS-H'!D215:D292,6.5,'EBS-H'!W215:W292),0)))),0))</f>
        <v>0</v>
      </c>
      <c r="AD528" s="695"/>
      <c r="AE528" s="695">
        <f>IF(SETUP!$F$23="Upfront",SUMIF('EBS-H'!D215:D292,6.5,'EBS-H'!AG215:AG292),IF(SETUP!$F$23="At delivery", IF(SETUP!$G$23=4,SUMIF('EBS-H'!D215:D292,6.5,'EBS-H'!O215:O292),IF(SETUP!$G$23=3,SUMIF('EBS-H'!D215:D292,6.5,'EBS-H'!S215:S292),IF(SETUP!$G$23=2,SUMIF('EBS-H'!D215:D292,6.5,'EBS-H'!W215:W292),IF(SETUP!$G$23=1,SUMIF('EBS-H'!D215:D292,6.5,'EBS-H'!AC215:AC292),0)))),0))</f>
        <v>0</v>
      </c>
      <c r="AF528" s="695"/>
      <c r="AG528" s="695">
        <f>IF(SETUP!$F$23="Upfront",SUMIF('EBS-H'!D215:D292,6.5,'EBS-H'!AK215:AK292),IF(SETUP!$F$23="At delivery", IF(SETUP!$G$23=4,SUMIF('EBS-H'!D215:D292,6.5,'EBS-H'!S215:S292),IF(SETUP!$G$23=3,SUMIF('EBS-H'!D215:D292,6.5,'EBS-H'!W215:W292),IF(SETUP!$G$23=2,SUMIF('EBS-H'!D215:D292,6.5,'EBS-H'!AC215:AC292),IF(SETUP!$G$23=1,SUMIF('EBS-H'!D215:D292,6.5,'EBS-H'!AG215:AG292),0)))),0))</f>
        <v>0</v>
      </c>
      <c r="AH528" s="695"/>
      <c r="AI528" s="695">
        <f>IF(SETUP!$F$23="Upfront",SUMIF('EBS-H'!D215:D292,6.5,'EBS-H'!AO215:AO292),IF(SETUP!$F$23="At delivery", IF(SETUP!$G$23=4,SUMIF('EBS-H'!D215:D292,6.5,'EBS-H'!W215:W292),IF(SETUP!$G$23=3,SUMIF('EBS-H'!D215:D292,6.5,'EBS-H'!AC215:AC292),IF(SETUP!$G$23=2,SUMIF('EBS-H'!D215:D292,6.5,'EBS-H'!AG215:AG292),IF(SETUP!$G$23=1,SUMIF('EBS-H'!D215:D292,6.5,'EBS-H'!AK215:AK292),0)))),0))</f>
        <v>0</v>
      </c>
      <c r="AJ528" s="695"/>
      <c r="AK528" s="1492">
        <f t="shared" si="55"/>
        <v>0</v>
      </c>
      <c r="AL528" s="1493"/>
      <c r="AM528" s="1494"/>
      <c r="AN528" s="699"/>
      <c r="AO528" s="695"/>
      <c r="AP528" s="695">
        <f>IF(SETUP!$F$23="Upfront",SUMIF('EBS-H'!D215:D292,6.5,'EBS-H'!AU215:AU292),IF(SETUP!$F$23="At delivery",IF(SETUP!$G$23=4,SUMIF('EBS-H'!D215:D292,6.5,'EBS-H'!AC215:AC292),IF(SETUP!$G$23=3,SUMIF('EBS-H'!D215:D292,6.5,'EBS-H'!AG215:AG292),IF(SETUP!$G$23=2,SUMIF('EBS-H'!D215:D292,6.5,'EBS-H'!AK215:AK292),IF(SETUP!$G$23=1,SUMIF('EBS-H'!D215:D292,6.5,'EBS-H'!AO215:AO292),0)))),0))</f>
        <v>0</v>
      </c>
      <c r="AQ528" s="695"/>
      <c r="AR528" s="695">
        <f>IF(SETUP!$F$23="Upfront",SUMIF('EBS-H'!D215:D292,6.5,'EBS-H'!AY215:AY292),IF(SETUP!$F$23="At delivery", IF(SETUP!$G$23=4,SUMIF('EBS-H'!D215:D292,6.5,'EBS-H'!AG215:AG292),IF(SETUP!$G$23=3,SUMIF('EBS-H'!D215:D292,6.5,'EBS-H'!AK215:AK292),IF(SETUP!$G$23=2,SUMIF('EBS-H'!D215:D292,6.5,'EBS-H'!AO215:AO292),IF(SETUP!$G$23=1,SUMIF('EBS-H'!D215:D292,6.5,'EBS-H'!AU215:AU292),0)))),0))</f>
        <v>0</v>
      </c>
      <c r="AS528" s="695"/>
      <c r="AT528" s="695">
        <f>IF(SETUP!$F$23="Upfront",SUMIF('EBS-H'!D215:D292,6.5,'EBS-H'!BC215:BC292),IF(SETUP!$F$23="At delivery", IF(SETUP!$G$23=4,SUMIF('EBS-H'!D215:D292,6.5,'EBS-H'!AK215:AK292),IF(SETUP!$G$23=3,SUMIF('EBS-H'!D215:D292,6.5,'EBS-H'!AO215:AO292),IF(SETUP!$G$23=2,SUMIF('EBS-H'!D215:D292,6.5,'EBS-H'!AU215:AU292),IF(SETUP!$G$23=1,SUMIF('EBS-H'!D215:D292,6.5,'EBS-H'!AY215:AY292),0)))),0))</f>
        <v>0</v>
      </c>
      <c r="AU528" s="695"/>
      <c r="AV528" s="695">
        <f>IF(SETUP!$F$23="Upfront",SUMIF('EBS-H'!D215:D292,6.5,'EBS-H'!BG215:BG292),IF(SETUP!$F$23="At delivery", IF(SETUP!$G$23=4,SUM(SUMIF('EBS-H'!D215:D292,6.5,'EBS-H'!AO215:AO292),SUMIF('EBS-H'!D215:D292,6.5,'EBS-H'!AU215:AU292),SUMIF('EBS-H'!D215:D292,6.5,'EBS-H'!AY215:AY292),SUMIF('EBS-H'!D215:D292,6.5,'EBS-H'!BC215:BC292),SUMIF('EBS-H'!D215:D292,6.5,'EBS-H'!BG215:BG292)),IF(SETUP!$G$23=3,SUM(SUMIF('EBS-H'!D215:D292,6.5,'EBS-H'!AU215:AU292),SUMIF('EBS-H'!D215:D292,6.5,'EBS-H'!AY215:AY292),SUMIF('EBS-H'!D215:D292,6.5,'EBS-H'!BC215:BC292),SUMIF('EBS-H'!D215:D292,6.5,'EBS-H'!BG215:BG292)),IF(SETUP!$G$23=2,SUM(SUMIF('EBS-H'!D215:D292,6.5,'EBS-H'!AY215:AY292),SUMIF('EBS-H'!D215:D292,6.5,'EBS-H'!BC215:BC292),SUMIF('EBS-H'!D215:D292,6.5,'EBS-H'!BG215:BG292)),IF(SETUP!$G$23=1,SUM(SUMIF('EBS-H'!D215:D292,6.5,'EBS-H'!BC215:BC292),SUMIF('EBS-H'!D215:D292,6.5,'EBS-H'!BG215:BG292)),0)))),0))</f>
        <v>0</v>
      </c>
      <c r="AW528" s="695"/>
      <c r="AX528" s="1492">
        <f t="shared" si="56"/>
        <v>0</v>
      </c>
      <c r="AY528" s="1492"/>
      <c r="AZ528" s="698"/>
      <c r="BA528" s="699"/>
      <c r="BB528" s="697"/>
      <c r="BC528" s="697">
        <v>0</v>
      </c>
      <c r="BD528" s="697">
        <v>0</v>
      </c>
      <c r="BE528" s="697">
        <v>0</v>
      </c>
      <c r="BF528" s="697">
        <v>0</v>
      </c>
      <c r="BG528" s="697">
        <v>0</v>
      </c>
      <c r="BH528" s="697">
        <v>0</v>
      </c>
      <c r="BI528" s="697">
        <v>0</v>
      </c>
      <c r="BJ528" s="697">
        <v>0</v>
      </c>
      <c r="BK528" s="1492">
        <f t="shared" si="57"/>
        <v>0</v>
      </c>
      <c r="BL528" s="1492"/>
      <c r="BM528" s="1492">
        <f t="shared" si="58"/>
        <v>0</v>
      </c>
      <c r="BN528" s="1492">
        <f t="shared" si="59"/>
        <v>0</v>
      </c>
      <c r="BO528" s="697"/>
      <c r="BP528" s="697"/>
      <c r="BQ528" s="1495">
        <v>0</v>
      </c>
      <c r="BR528" s="1495" t="s">
        <v>818</v>
      </c>
      <c r="BS528" s="1902" t="s">
        <v>6950</v>
      </c>
      <c r="BT528" s="1907" t="s">
        <v>2247</v>
      </c>
    </row>
    <row r="529" spans="1:72" ht="13">
      <c r="A529" s="1545">
        <v>1087</v>
      </c>
      <c r="B529" s="1546" t="s">
        <v>804</v>
      </c>
      <c r="C529" s="1546" t="s">
        <v>805</v>
      </c>
      <c r="D529" s="1547" t="s">
        <v>2306</v>
      </c>
      <c r="E529" s="690" t="s">
        <v>714</v>
      </c>
      <c r="F529" s="691"/>
      <c r="G529" s="692"/>
      <c r="H529" s="692"/>
      <c r="I529" s="692"/>
      <c r="J529" s="693"/>
      <c r="K529" s="693"/>
      <c r="L529" s="693"/>
      <c r="M529" s="694"/>
      <c r="N529" s="695"/>
      <c r="O529" s="696" t="s">
        <v>1569</v>
      </c>
      <c r="P529" s="695">
        <f>IF(SETUP!$F$23="Upfront",SUM(
SUM('EBS-H'!K225:K226),
SUM('EBS-H'!K228:K229),
SUM('EBS-H'!K231:K232),
SUM('EBS-H'!K234:K235),
SUM('EBS-H'!K237:K238),
SUM('EBS-H'!K245:K246),
SUM('EBS-H'!K248:K251),
SUM('EBS-H'!K253:K254),
SUM('EBS-H'!K256:K257),
SUM('EBS-H'!K259:K260),
SUM('EBS-H'!K265:K266),
SUM('EBS-H'!K268:K269),
SUM('EBS-H'!K271:K272),
SUM('EBS-H'!K274:K276), SUM('EBS-H'!K279:K280),
SUM('EBS-H'!K282:K283),
SUM('EBS-H'!K285:K286),
SUM('EBS-H'!K288:K289),
SUM('EBS-H'!K291:K292)),0)</f>
        <v>0</v>
      </c>
      <c r="Q529" s="695" t="s">
        <v>1569</v>
      </c>
      <c r="R529" s="695">
        <f>IF(SETUP!$F$23="Upfront",SUM(
SUM('EBS-H'!O225:O226),
SUM('EBS-H'!O228:O229),
SUM('EBS-H'!O231:O232),
SUM('EBS-H'!O234:O235),
SUM('EBS-H'!O237:O238),
SUM('EBS-H'!O245:O246),
SUM('EBS-H'!O248:O251),
SUM('EBS-H'!O253:O254),
SUM('EBS-H'!O256:O257),
SUM('EBS-H'!O259:O260),
SUM('EBS-H'!O265:O266),
SUM('EBS-H'!O268:O269),
SUM('EBS-H'!O271:O272),
SUM('EBS-H'!O274:O276),SUM('EBS-H'!O279:O280),
SUM('EBS-H'!O282:O283),
SUM('EBS-H'!O285:O286),
SUM('EBS-H'!O288:O289),
SUM('EBS-H'!O291:O292)),IF(SETUP!$F$23="At delivery",IF(SETUP!$G$23=1,SUM(
SUM('EBS-H'!K225:K226),
SUM('EBS-H'!K228:K229),
SUM('EBS-H'!K231:K232),
SUM('EBS-H'!K234:K235),
SUM('EBS-H'!K237:K238),
SUM('EBS-H'!K245:K246),
SUM('EBS-H'!K248:K251),
SUM('EBS-H'!K253:K254),
SUM('EBS-H'!K256:K257),
SUM('EBS-H'!K259:K260),
SUM('EBS-H'!K265:K266),
SUM('EBS-H'!K268:K269),
SUM('EBS-H'!K271:K272),
SUM('EBS-H'!K274:K276),SUM('EBS-H'!K279:K280),
SUM('EBS-H'!K282:K283),
SUM('EBS-H'!K285:K286),
SUM('EBS-H'!K288:K289),
SUM('EBS-H'!K291:K292)),0),0))</f>
        <v>0</v>
      </c>
      <c r="S529" s="695" t="s">
        <v>1569</v>
      </c>
      <c r="T529" s="695">
        <f>IF(SETUP!$F$23="Upfront",SUM(
SUM('EBS-H'!S225:S226),
SUM('EBS-H'!S228:S229),
SUM('EBS-H'!S231:S232),
SUM('EBS-H'!S234:S235),
SUM('EBS-H'!S237:S238),
SUM('EBS-H'!S245:S246),
SUM('EBS-H'!S248:S251),
SUM('EBS-H'!S253:S254),
SUM('EBS-H'!S256:S257),
SUM('EBS-H'!S259:S260),
SUM('EBS-H'!S265:S266),
SUM('EBS-H'!S268:S269),
SUM('EBS-H'!S271:S272),
SUM('EBS-H'!S274:S276),SUM('EBS-H'!S279:S280),
SUM('EBS-H'!S282:S283),
SUM('EBS-H'!S285:S286),
SUM('EBS-H'!S288:S289),
SUM('EBS-H'!S291:S292)),IF(SETUP!$F$23="At delivery", IF(SETUP!$G$23=2,SUM(
SUM('EBS-H'!K225:K226),
SUM('EBS-H'!K228:K229),
SUM('EBS-H'!K231:K232),
SUM('EBS-H'!K234:K235),
SUM('EBS-H'!K237:K238),
SUM('EBS-H'!K245:K246),
SUM('EBS-H'!K248:K251),
SUM('EBS-H'!K253:K254),
SUM('EBS-H'!K256:K257),
SUM('EBS-H'!K259:K260),
SUM('EBS-H'!K265:K266),
SUM('EBS-H'!K268:K269),
SUM('EBS-H'!K271:K272),
SUM('EBS-H'!K274:K276),SUM('EBS-H'!K279:K280),
SUM('EBS-H'!K282:K283),
SUM('EBS-H'!K285:K286),
SUM('EBS-H'!K288:K289),
SUM('EBS-H'!K291:K292)),IF(SETUP!$G$23=1,SUM(
SUM('EBS-H'!O225:O226),
SUM('EBS-H'!O228:O229),
SUM('EBS-H'!O231:O232),
SUM('EBS-H'!O234:O235),
SUM('EBS-H'!O237:O238),
SUM('EBS-H'!O245:O246),
SUM('EBS-H'!O248:O251),
SUM('EBS-H'!O253:O254),
SUM('EBS-H'!O256:O257),
SUM('EBS-H'!O259:O260),
SUM('EBS-H'!O265:O266),
SUM('EBS-H'!O268:O269),
SUM('EBS-H'!O271:O272),
SUM('EBS-H'!O274:O276),SUM('EBS-H'!O279:O280),
SUM('EBS-H'!O282:O283),
SUM('EBS-H'!O285:O286),
SUM('EBS-H'!O288:O289),
SUM('EBS-H'!O291:O292)),0)),0))</f>
        <v>0</v>
      </c>
      <c r="U529" s="695" t="s">
        <v>1569</v>
      </c>
      <c r="V529" s="695">
        <f>IF(SETUP!$F$23="Upfront",SUM(
SUM('EBS-H'!W225:W226),
SUM('EBS-H'!W228:W229),
SUM('EBS-H'!W231:W232),
SUM('EBS-H'!W234:W235),
SUM('EBS-H'!W237:W238),
SUM('EBS-H'!W245:W246),
SUM('EBS-H'!W248:W251),
SUM('EBS-H'!W253:W254),
SUM('EBS-H'!W256:W257),
SUM('EBS-H'!W259:W260),
SUM('EBS-H'!W265:W266),
SUM('EBS-H'!W268:W269),
SUM('EBS-H'!W271:W272),
SUM('EBS-H'!W274:W276),SUM('EBS-H'!W279:W280),
SUM('EBS-H'!W282:W283),
SUM('EBS-H'!W285:W286),
SUM('EBS-H'!W288:W289),
SUM('EBS-H'!W291:W292)),IF(SETUP!$F$23="At delivery", IF(SETUP!$G$23=3,SUM(
SUM('EBS-H'!K225:K226),
SUM('EBS-H'!K228:K229),
SUM('EBS-H'!K231:K232),
SUM('EBS-H'!K234:K235),
SUM('EBS-H'!K237:K238),
SUM('EBS-H'!K245:K246),
SUM('EBS-H'!K248:K251),
SUM('EBS-H'!K253:K254),
SUM('EBS-H'!K256:K257),
SUM('EBS-H'!K259:K260),
SUM('EBS-H'!K265:K266),
SUM('EBS-H'!K268:K269),
SUM('EBS-H'!K271:K272),
SUM('EBS-H'!K274:K276),SUM('EBS-H'!K279:K280),
SUM('EBS-H'!K282:K283),
SUM('EBS-H'!K285:K286),
SUM('EBS-H'!K288:K289),
SUM('EBS-H'!K291:K292)),IF(SETUP!$G$23=2,SUM(
SUM('EBS-H'!O225:O226),
SUM('EBS-H'!O228:O229),
SUM('EBS-H'!O231:O232),
SUM('EBS-H'!O234:O235),
SUM('EBS-H'!O237:O238),
SUM('EBS-H'!O245:O246),
SUM('EBS-H'!O248:O251),
SUM('EBS-H'!O253:O254),
SUM('EBS-H'!O256:O257),
SUM('EBS-H'!O259:O260),
SUM('EBS-H'!O265:O266),
SUM('EBS-H'!O268:O269),
SUM('EBS-H'!O271:O272),
SUM('EBS-H'!O274:O276),SUM('EBS-H'!O279:O280),
SUM('EBS-H'!O282:O283),
SUM('EBS-H'!O285:O286),
SUM('EBS-H'!O288:O289),
SUM('EBS-H'!O291:O292)),IF(SETUP!$G$23=1,SUM(
SUM('EBS-H'!S225:S226),
SUM('EBS-H'!S228:S229),
SUM('EBS-H'!S231:S232),
SUM('EBS-H'!S234:S235),
SUM('EBS-H'!S237:S238),
SUM('EBS-H'!S245:S246),
SUM('EBS-H'!S248:S251),
SUM('EBS-H'!S253:S254),
SUM('EBS-H'!S256:S257),
SUM('EBS-H'!S259:S260),
SUM('EBS-H'!S265:S266),
SUM('EBS-H'!S268:S269),
SUM('EBS-H'!S271:S272),
SUM('EBS-H'!S274:S276),SUM('EBS-H'!S279:S280),
SUM('EBS-H'!S282:S283),
SUM('EBS-H'!S285:S286),
SUM('EBS-H'!S288:S289),
SUM('EBS-H'!S291:S292)),0))),0))</f>
        <v>0</v>
      </c>
      <c r="W529" s="695"/>
      <c r="X529" s="1492">
        <f t="shared" si="54"/>
        <v>0</v>
      </c>
      <c r="Y529" s="1493"/>
      <c r="Z529" s="1494"/>
      <c r="AA529" s="699"/>
      <c r="AB529" s="695"/>
      <c r="AC529" s="695">
        <f>IF(SETUP!$F$23="Upfront",SUM(
SUM('EBS-H'!AC225:AC226),
SUM('EBS-H'!AC228:AC229),
SUM('EBS-H'!AC231:AC232),
SUM('EBS-H'!AC234:AC235),
SUM('EBS-H'!AC237:AC238),
SUM('EBS-H'!AC245:AC246),
SUM('EBS-H'!AC248:AC251),
SUM('EBS-H'!AC253:AC254),
SUM('EBS-H'!AC256:AC257),
SUM('EBS-H'!AC259:AC260),
SUM('EBS-H'!AC265:AC266),
SUM('EBS-H'!AC268:AC269),
SUM('EBS-H'!AC271:AC272),
SUM('EBS-H'!AC274:AC276),SUM('EBS-H'!AC279:AC280),
SUM('EBS-H'!AC282:AC283),
SUM('EBS-H'!AC285:AC286),
SUM('EBS-H'!AC288:AC289),
SUM('EBS-H'!AC291:AC292)),IF(SETUP!$F$23="At delivery", IF(SETUP!$G$23=4,SUM(
SUM('EBS-H'!K225:K226),
SUM('EBS-H'!K228:K229),
SUM('EBS-H'!K231:K232),
SUM('EBS-H'!K234:K235),
SUM('EBS-H'!K237:K238),
SUM('EBS-H'!K245:K246),
SUM('EBS-H'!K248:K251),
SUM('EBS-H'!K253:K254),
SUM('EBS-H'!K256:K257),
SUM('EBS-H'!K259:K260),
SUM('EBS-H'!K265:K266),
SUM('EBS-H'!K268:K269),
SUM('EBS-H'!K271:K272),
SUM('EBS-H'!K274:K276),SUM('EBS-H'!K279:K280),
SUM('EBS-H'!K282:K283),
SUM('EBS-H'!K285:K286),
SUM('EBS-H'!K288:K289),
SUM('EBS-H'!K291:K292)),IF(SETUP!$G$23=3,SUM(
SUM('EBS-H'!O225:O226),
SUM('EBS-H'!O228:O229),
SUM('EBS-H'!O231:O232),
SUM('EBS-H'!O234:O235),
SUM('EBS-H'!O237:O238),
SUM('EBS-H'!O245:O246),
SUM('EBS-H'!O248:O251),
SUM('EBS-H'!O253:O254),
SUM('EBS-H'!O256:O257),
SUM('EBS-H'!O259:O260),
SUM('EBS-H'!O265:O266),
SUM('EBS-H'!O268:O269),
SUM('EBS-H'!O271:O272),
SUM('EBS-H'!O274:O276),SUM('EBS-H'!O279:O280),
SUM('EBS-H'!O282:O283),
SUM('EBS-H'!O285:O286),
SUM('EBS-H'!O288:O289),
SUM('EBS-H'!O291:O292)),IF(SETUP!$G$23=2,SUM(
SUM('EBS-H'!S225:S226),
SUM('EBS-H'!S228:S229),
SUM('EBS-H'!S231:S232),
SUM('EBS-H'!S234:S235),
SUM('EBS-H'!S237:S238),
SUM('EBS-H'!S245:S246),
SUM('EBS-H'!S248:S251),
SUM('EBS-H'!S253:S254),
SUM('EBS-H'!S256:S257),
SUM('EBS-H'!S259:S260),
SUM('EBS-H'!S265:S266),
SUM('EBS-H'!S268:S269),
SUM('EBS-H'!S271:S272),
SUM('EBS-H'!S274:S276),SUM('EBS-H'!S279:S280),
SUM('EBS-H'!S282:S283),
SUM('EBS-H'!S285:S286),
SUM('EBS-H'!S288:S289),
SUM('EBS-H'!S291:S292)),IF(SETUP!$G$23=1,SUM(
SUM('EBS-H'!W225:W226),
SUM('EBS-H'!W228:W229),
SUM('EBS-H'!W231:W232),
SUM('EBS-H'!W234:W235),
SUM('EBS-H'!W237:W238),
SUM('EBS-H'!W245:W246),
SUM('EBS-H'!W248:W251),
SUM('EBS-H'!W253:W254),
SUM('EBS-H'!W256:W257),
SUM('EBS-H'!W259:W260),
SUM('EBS-H'!W265:W266),
SUM('EBS-H'!W268:W269),
SUM('EBS-H'!W271:W272),
SUM('EBS-H'!W274:W276),SUM('EBS-H'!W279:W280),
SUM('EBS-H'!W282:W283),
SUM('EBS-H'!W285:W286),
SUM('EBS-H'!W288:W289),
SUM('EBS-H'!W291:W292)),0)))),0))</f>
        <v>0</v>
      </c>
      <c r="AD529" s="695"/>
      <c r="AE529" s="695">
        <f>IF(SETUP!$F$23="Upfront",SUM(
SUM('EBS-H'!AG225:AG226),
SUM('EBS-H'!AG228:AG229),
SUM('EBS-H'!AG231:AG232),
SUM('EBS-H'!AG234:AG235),
SUM('EBS-H'!AG237:AG238),
SUM('EBS-H'!AG245:AG246),
SUM('EBS-H'!AG248:AG251),
SUM('EBS-H'!AG253:AG254),
SUM('EBS-H'!AG256:AG257),
SUM('EBS-H'!AG259:AG260),
SUM('EBS-H'!AG265:AG266),
SUM('EBS-H'!AG268:AG269),
SUM('EBS-H'!AG271:AG272),
SUM('EBS-H'!AG274:AG276),SUM('EBS-H'!AG279:AG280),
SUM('EBS-H'!AG282:AG283),
SUM('EBS-H'!AG285:AG286),
SUM('EBS-H'!AG288:AG289),
SUM('EBS-H'!AG291:AG292)),IF(SETUP!$F$23="At delivery", IF(SETUP!$G$23=4,SUM(
SUM('EBS-H'!O225:O226),
SUM('EBS-H'!O228:O229),
SUM('EBS-H'!O231:O232),
SUM('EBS-H'!O234:O235),
SUM('EBS-H'!O237:O238),
SUM('EBS-H'!O245:O246),
SUM('EBS-H'!O248:O251),
SUM('EBS-H'!O253:O254),
SUM('EBS-H'!O256:O257),
SUM('EBS-H'!O259:O260),
SUM('EBS-H'!O265:O266),
SUM('EBS-H'!O268:O269),
SUM('EBS-H'!O271:O272),
SUM('EBS-H'!O274:O276),SUM('EBS-H'!O279:O280),
SUM('EBS-H'!O282:O283),
SUM('EBS-H'!O285:O286),
SUM('EBS-H'!O288:O289),
SUM('EBS-H'!O291:O292)),IF(SETUP!$G$23=3,SUM(
SUM('EBS-H'!S225:S226),
SUM('EBS-H'!S228:S229),
SUM('EBS-H'!S231:S232),
SUM('EBS-H'!S234:S235),
SUM('EBS-H'!S237:S238),
SUM('EBS-H'!S245:S246),
SUM('EBS-H'!S248:S251),
SUM('EBS-H'!S253:S254),
SUM('EBS-H'!S256:S257),
SUM('EBS-H'!S259:S260),
SUM('EBS-H'!S265:S266),
SUM('EBS-H'!S268:S269),
SUM('EBS-H'!S271:S272),
SUM('EBS-H'!S274:S276),SUM('EBS-H'!S279:S280),
SUM('EBS-H'!S282:S283),
SUM('EBS-H'!S285:S286),
SUM('EBS-H'!S288:S289),
SUM('EBS-H'!S291:S292)),IF(SETUP!$G$23=2,SUM(
SUM('EBS-H'!W225:W226),
SUM('EBS-H'!W228:W229),
SUM('EBS-H'!W231:W232),
SUM('EBS-H'!W234:W235),
SUM('EBS-H'!W237:W238),
SUM('EBS-H'!W245:W246),
SUM('EBS-H'!W248:W251),
SUM('EBS-H'!W253:W254),
SUM('EBS-H'!W256:W257),
SUM('EBS-H'!W259:W260),
SUM('EBS-H'!W265:W266),
SUM('EBS-H'!W268:W269),
SUM('EBS-H'!W271:W272),
SUM('EBS-H'!W274:W276),SUM('EBS-H'!W279:W280),
SUM('EBS-H'!W282:W283),
SUM('EBS-H'!W285:W286),
SUM('EBS-H'!W288:W289),
SUM('EBS-H'!W291:W292)),IF(SETUP!$G$23=1,SUM(
SUM('EBS-H'!AC225:AC226),
SUM('EBS-H'!AC228:AC229),
SUM('EBS-H'!AC231:AC232),
SUM('EBS-H'!AC234:AC235),
SUM('EBS-H'!AC237:AC238),
SUM('EBS-H'!AC245:AC246),
SUM('EBS-H'!AC248:AC251),
SUM('EBS-H'!AC253:AC254),
SUM('EBS-H'!AC256:AC257),
SUM('EBS-H'!AC259:AC260),
SUM('EBS-H'!AC265:AC266),
SUM('EBS-H'!AC268:AC269),
SUM('EBS-H'!AC271:AC272),
SUM('EBS-H'!AC274:AC276),SUM('EBS-H'!AC279:AC280),
SUM('EBS-H'!AC282:AC283),
SUM('EBS-H'!AC285:AC286),
SUM('EBS-H'!AC288:AC289),
SUM('EBS-H'!AC291:AC292)),0)))),0))</f>
        <v>0</v>
      </c>
      <c r="AF529" s="695"/>
      <c r="AG529" s="695">
        <f>IF(SETUP!$F$23="Upfront",SUM(
SUM('EBS-H'!AK225:AK226),
SUM('EBS-H'!AK228:AK229),
SUM('EBS-H'!AK231:AK232),
SUM('EBS-H'!AK234:AK235),
SUM('EBS-H'!AK237:AK238),
SUM('EBS-H'!AK245:AK246),
SUM('EBS-H'!AK248:AK251),
SUM('EBS-H'!AK253:AK254),
SUM('EBS-H'!AK256:AK257),
SUM('EBS-H'!AK259:AK260),
SUM('EBS-H'!AK265:AK266),
SUM('EBS-H'!AK268:AK269),
SUM('EBS-H'!AK271:AK272),
SUM('EBS-H'!AK274:AK276),SUM('EBS-H'!AK279:AK280),
SUM('EBS-H'!AK282:AK283),
SUM('EBS-H'!AK285:AK286),
SUM('EBS-H'!AK288:AK289),
SUM('EBS-H'!AK291:AK292)),IF(SETUP!$F$23="At delivery", IF(SETUP!$G$23=4,SUM(
SUM('EBS-H'!S225:S226),
SUM('EBS-H'!S228:S229),
SUM('EBS-H'!S231:S232),
SUM('EBS-H'!S234:S235),
SUM('EBS-H'!S237:S238),
SUM('EBS-H'!S245:S246),
SUM('EBS-H'!S248:S251),
SUM('EBS-H'!S253:S254),
SUM('EBS-H'!S256:S257),
SUM('EBS-H'!S259:S260),
SUM('EBS-H'!S265:S266),
SUM('EBS-H'!S268:S269),
SUM('EBS-H'!S271:S272),
SUM('EBS-H'!S274:S276),SUM('EBS-H'!S279:S280),
SUM('EBS-H'!S282:S283),
SUM('EBS-H'!S285:S286),
SUM('EBS-H'!S288:S289),
SUM('EBS-H'!S291:S292)),IF(SETUP!$G$23=3,SUM(
SUM('EBS-H'!W225:W226),
SUM('EBS-H'!W228:W229),
SUM('EBS-H'!W231:W232),
SUM('EBS-H'!W234:W235),
SUM('EBS-H'!W237:W238),
SUM('EBS-H'!W245:W246),
SUM('EBS-H'!W248:W251),
SUM('EBS-H'!W253:W254),
SUM('EBS-H'!W256:W257),
SUM('EBS-H'!W259:W260),
SUM('EBS-H'!W265:W266),
SUM('EBS-H'!W268:W269),
SUM('EBS-H'!W271:W272),
SUM('EBS-H'!W274:W276),SUM('EBS-H'!W279:W280),
SUM('EBS-H'!W282:W283),
SUM('EBS-H'!W285:W286),
SUM('EBS-H'!W288:W289),
SUM('EBS-H'!W291:W292)),IF(SETUP!$G$23=2,SUM(
SUM('EBS-H'!AC225:AC226),
SUM('EBS-H'!AC228:AC229),
SUM('EBS-H'!AC231:AC232),
SUM('EBS-H'!AC234:AC235),
SUM('EBS-H'!AC237:AC238),
SUM('EBS-H'!AC245:AC246),
SUM('EBS-H'!AC248:AC251),
SUM('EBS-H'!AC253:AC254),
SUM('EBS-H'!AC256:AC257),
SUM('EBS-H'!AC259:AC260),
SUM('EBS-H'!AC265:AC266),
SUM('EBS-H'!AC268:AC269),
SUM('EBS-H'!AC271:AC272),
SUM('EBS-H'!AC274:AC276),SUM('EBS-H'!AC279:AC280),
SUM('EBS-H'!AC282:AC283),
SUM('EBS-H'!AC285:AC286),
SUM('EBS-H'!AC288:AC289),
SUM('EBS-H'!AC291:AC292)),IF(SETUP!$G$23=1,SUM(
SUM('EBS-H'!AG225:AG226),
SUM('EBS-H'!AG228:AG229),
SUM('EBS-H'!AG231:AG232),
SUM('EBS-H'!AG234:AG235),
SUM('EBS-H'!AG237:AG238),
SUM('EBS-H'!AG245:AG246),
SUM('EBS-H'!AG248:AG251),
SUM('EBS-H'!AG253:AG254),
SUM('EBS-H'!AG256:AG257),
SUM('EBS-H'!AG259:AG260),
SUM('EBS-H'!AG265:AG266),
SUM('EBS-H'!AG268:AG269),
SUM('EBS-H'!AG271:AG272),
SUM('EBS-H'!AG274:AG276),SUM('EBS-H'!AG279:AG280),
SUM('EBS-H'!AG282:AG283),
SUM('EBS-H'!AG285:AG286),
SUM('EBS-H'!AG288:AG289),
SUM('EBS-H'!AG291:AG292)),0)))),0))</f>
        <v>0</v>
      </c>
      <c r="AH529" s="695"/>
      <c r="AI529" s="695">
        <f>IF(SETUP!$F$23="Upfront",SUM(
SUM('EBS-H'!AO225:AO226),
SUM('EBS-H'!AO228:AO229),
SUM('EBS-H'!AO231:AO232),
SUM('EBS-H'!AO234:AO235),
SUM('EBS-H'!AO237:AO238),
SUM('EBS-H'!AO245:AO246),
SUM('EBS-H'!AO248:AO251),
SUM('EBS-H'!AO253:AO254),
SUM('EBS-H'!AO256:AO257),
SUM('EBS-H'!AO259:AO260),
SUM('EBS-H'!AO265:AO266),
SUM('EBS-H'!AO268:AO269),
SUM('EBS-H'!AO271:AO272),
SUM('EBS-H'!AO274:AO276),SUM('EBS-H'!AO279:AO280),
SUM('EBS-H'!AO282:AO283),
SUM('EBS-H'!AO285:AO286),
SUM('EBS-H'!AO288:AO289),
SUM('EBS-H'!AO291:AO292)),IF(SETUP!$F$23="At delivery", IF(SETUP!$G$23=4,SUM(
SUM('EBS-H'!W225:W226),
SUM('EBS-H'!W228:W229),
SUM('EBS-H'!W231:W232),
SUM('EBS-H'!W234:W235),
SUM('EBS-H'!W237:W238),
SUM('EBS-H'!W245:W246),
SUM('EBS-H'!W248:W251),
SUM('EBS-H'!W253:W254),
SUM('EBS-H'!W256:W257),
SUM('EBS-H'!W259:W260),
SUM('EBS-H'!W265:W266),
SUM('EBS-H'!W268:W269),
SUM('EBS-H'!W271:W272),
SUM('EBS-H'!W274:W276),SUM('EBS-H'!W279:W280),
SUM('EBS-H'!W282:W283),
SUM('EBS-H'!W285:W286),
SUM('EBS-H'!W288:W289),
SUM('EBS-H'!W291:W292)),IF(SETUP!$G$23=3,SUM(
SUM('EBS-H'!AC225:AC226),
SUM('EBS-H'!AC228:AC229),
SUM('EBS-H'!AC231:AC232),
SUM('EBS-H'!AC234:AC235),
SUM('EBS-H'!AC237:AC238),
SUM('EBS-H'!AC245:AC246),
SUM('EBS-H'!AC248:AC251),
SUM('EBS-H'!AC253:AC254),
SUM('EBS-H'!AC256:AC257),
SUM('EBS-H'!AC259:AC260),
SUM('EBS-H'!AC265:AC266),
SUM('EBS-H'!AC268:AC269),
SUM('EBS-H'!AC271:AC272),
SUM('EBS-H'!AC274:AC276),SUM('EBS-H'!AC279:AC280),
SUM('EBS-H'!AC282:AC283),
SUM('EBS-H'!AC285:AC286),
SUM('EBS-H'!AC288:AC289),
SUM('EBS-H'!AC291:AC292)),IF(SETUP!$G$23=2,SUM(
SUM('EBS-H'!AG225:AG226),
SUM('EBS-H'!AG228:AG229),
SUM('EBS-H'!AG231:AG232),
SUM('EBS-H'!AG234:AG235),
SUM('EBS-H'!AG237:AG238),
SUM('EBS-H'!AG245:AG246),
SUM('EBS-H'!AG248:AG251),
SUM('EBS-H'!AG253:AG254),
SUM('EBS-H'!AG256:AG257),
SUM('EBS-H'!AG259:AG260),
SUM('EBS-H'!AG265:AG266),
SUM('EBS-H'!AG268:AG269),
SUM('EBS-H'!AG271:AG272),
SUM('EBS-H'!AG274:AG276),SUM('EBS-H'!AG279:AG280),
SUM('EBS-H'!AG282:AG283),
SUM('EBS-H'!AG285:AG286),
SUM('EBS-H'!AG288:AG289),
SUM('EBS-H'!AG291:AG292)),IF(SETUP!$G$23=1,SUM(
SUM('EBS-H'!AK225:AK226),
SUM('EBS-H'!AK228:AK229),
SUM('EBS-H'!AK231:AK232),
SUM('EBS-H'!AK234:AK235),
SUM('EBS-H'!AK237:AK238),
SUM('EBS-H'!AK245:AK246),
SUM('EBS-H'!AK248:AK251),
SUM('EBS-H'!AK253:AK254),
SUM('EBS-H'!AK256:AK257),
SUM('EBS-H'!AK259:AK260),
SUM('EBS-H'!AK265:AK266),
SUM('EBS-H'!AK268:AK269),
SUM('EBS-H'!AK271:AK272),
SUM('EBS-H'!AK274:AK276),SUM('EBS-H'!AK279:AK280),
SUM('EBS-H'!AK282:AK283),
SUM('EBS-H'!AK285:AK286),
SUM('EBS-H'!AK288:AK289),
SUM('EBS-H'!AK291:AK292)),0)))),0))</f>
        <v>0</v>
      </c>
      <c r="AJ529" s="695"/>
      <c r="AK529" s="1492">
        <f t="shared" si="55"/>
        <v>0</v>
      </c>
      <c r="AL529" s="1493"/>
      <c r="AM529" s="1494"/>
      <c r="AN529" s="699"/>
      <c r="AO529" s="695"/>
      <c r="AP529" s="695">
        <f>IF(SETUP!$F$23="Upfront",SUM(
SUM('EBS-H'!AU225:AU226),
SUM('EBS-H'!AU228:AU229),
SUM('EBS-H'!AU231:AU232),
SUM('EBS-H'!AU234:AU235),
SUM('EBS-H'!AU237:AU238),
SUM('EBS-H'!AU245:AU246),
SUM('EBS-H'!AU248:AU251),
SUM('EBS-H'!AU253:AU254),
SUM('EBS-H'!AU256:AU257),
SUM('EBS-H'!AU259:AU260),
SUM('EBS-H'!AU265:AU266),
SUM('EBS-H'!AU268:AU269),
SUM('EBS-H'!AU271:AU272),
SUM('EBS-H'!AU274:AU276),SUM('EBS-H'!AU279:AU280),
SUM('EBS-H'!AU282:AU283),
SUM('EBS-H'!AU285:AU286),
SUM('EBS-H'!AU288:AU289),
SUM('EBS-H'!AU291:AU292)),IF(SETUP!$F$23="At delivery", IF(SETUP!$G$23=4,SUM(
SUM('EBS-H'!AC225:AC226),
SUM('EBS-H'!AC228:AC229),
SUM('EBS-H'!AC231:AC232),
SUM('EBS-H'!AC234:AC235),
SUM('EBS-H'!AC237:AC238),
SUM('EBS-H'!AC245:AC246),
SUM('EBS-H'!AC248:AC251),
SUM('EBS-H'!AC253:AC254),
SUM('EBS-H'!AC256:AC257),
SUM('EBS-H'!AC259:AC260),
SUM('EBS-H'!AC265:AC266),
SUM('EBS-H'!AC268:AC269),
SUM('EBS-H'!AC271:AC272),
SUM('EBS-H'!AC274:AC276),SUM('EBS-H'!AC279:AC280),
SUM('EBS-H'!AC282:AC283),
SUM('EBS-H'!AC285:AC286),
SUM('EBS-H'!AC288:AC289),
SUM('EBS-H'!AC291:AC292)),IF(SETUP!$G$23=3,SUM(
SUM('EBS-H'!AG225:AG226),
SUM('EBS-H'!AG228:AG229),
SUM('EBS-H'!AG231:AG232),
SUM('EBS-H'!AG234:AG235),
SUM('EBS-H'!AG237:AG238),
SUM('EBS-H'!AG245:AG246),
SUM('EBS-H'!AG248:AG251),
SUM('EBS-H'!AG253:AG254),
SUM('EBS-H'!AG256:AG257),
SUM('EBS-H'!AG259:AG260),
SUM('EBS-H'!AG265:AG266),
SUM('EBS-H'!AG268:AG269),
SUM('EBS-H'!AG271:AG272),
SUM('EBS-H'!AG274:AG276),SUM('EBS-H'!AG279:AG280),
SUM('EBS-H'!AG282:AG283),
SUM('EBS-H'!AG285:AG286),
SUM('EBS-H'!AG288:AG289),
SUM('EBS-H'!AG291:AG292)),IF(SETUP!$G$23=2,SUM(
SUM('EBS-H'!AK225:AK226),
SUM('EBS-H'!AK228:AK229),
SUM('EBS-H'!AK231:AK232),
SUM('EBS-H'!AK234:AK235),
SUM('EBS-H'!AK237:AK238),
SUM('EBS-H'!AK245:AK246),
SUM('EBS-H'!AK248:AK251),
SUM('EBS-H'!AK253:AK254),
SUM('EBS-H'!AK256:AK257),
SUM('EBS-H'!AK259:AK260),
SUM('EBS-H'!AK265:AK266),
SUM('EBS-H'!AK268:AK269),
SUM('EBS-H'!AK271:AK272),
SUM('EBS-H'!AK274:AK276),SUM('EBS-H'!AK279:AK280),
SUM('EBS-H'!AK282:AK283),
SUM('EBS-H'!AK285:AK286),
SUM('EBS-H'!AK288:AK289),
SUM('EBS-H'!AK291:AK292)),IF(SETUP!$G$23=1,SUM(
SUM('EBS-H'!AO225:AO226),
SUM('EBS-H'!AO228:AO229),
SUM('EBS-H'!AO231:AO232),
SUM('EBS-H'!AO234:AO235),
SUM('EBS-H'!AO237:AO238),
SUM('EBS-H'!AO245:AO246),
SUM('EBS-H'!AO248:AO251),
SUM('EBS-H'!AO253:AO254),
SUM('EBS-H'!AO256:AO257),
SUM('EBS-H'!AO259:AO260),
SUM('EBS-H'!AO265:AO266),
SUM('EBS-H'!AO268:AO269),
SUM('EBS-H'!AO271:AO272),
SUM('EBS-H'!AO274:AO276),SUM('EBS-H'!AO279:AO280),
SUM('EBS-H'!AO282:AO283),
SUM('EBS-H'!AO285:AO286),
SUM('EBS-H'!AO288:AO289),
SUM('EBS-H'!AO291:AO292)),0)))),0))</f>
        <v>0</v>
      </c>
      <c r="AQ529" s="695"/>
      <c r="AR529" s="695">
        <f>IF(SETUP!$F$23="Upfront",SUM(
SUM('EBS-H'!AY225:AY226),
SUM('EBS-H'!AY228:AY229),
SUM('EBS-H'!AY231:AY232),
SUM('EBS-H'!AY234:AY235),
SUM('EBS-H'!AY237:AY238),
SUM('EBS-H'!AY245:AY246),
SUM('EBS-H'!AY248:AY251),
SUM('EBS-H'!AY253:AY254),
SUM('EBS-H'!AY256:AY257),
SUM('EBS-H'!AY259:AY260),
SUM('EBS-H'!AY265:AY266),
SUM('EBS-H'!AY268:AY269),
SUM('EBS-H'!AY271:AY272),
SUM('EBS-H'!AY274:AY276),SUM('EBS-H'!AY279:AY280),
SUM('EBS-H'!AY282:AY283),
SUM('EBS-H'!AY285:AY286),
SUM('EBS-H'!AY288:AY289),
SUM('EBS-H'!AY291:AY292)),IF(SETUP!$F$23="At delivery", IF(SETUP!$G$23=4,SUM(
SUM('EBS-H'!AG225:AG226),
SUM('EBS-H'!AG228:AG229),
SUM('EBS-H'!AG231:AG232),
SUM('EBS-H'!AG234:AG235),
SUM('EBS-H'!AG237:AG238),
SUM('EBS-H'!AG245:AG246),
SUM('EBS-H'!AG248:AG251),
SUM('EBS-H'!AG253:AG254),
SUM('EBS-H'!AG256:AG257),
SUM('EBS-H'!AG259:AG260),
SUM('EBS-H'!AG265:AG266),
SUM('EBS-H'!AG268:AG269),
SUM('EBS-H'!AG271:AG272),
SUM('EBS-H'!AG274:AG276),SUM('EBS-H'!AG279:AG280),
SUM('EBS-H'!AG282:AG283),
SUM('EBS-H'!AG285:AG286),
SUM('EBS-H'!AG288:AG289),
SUM('EBS-H'!AG291:AG292)),IF(SETUP!$G$23=3,SUM(
SUM('EBS-H'!AK225:AK226),
SUM('EBS-H'!AK228:AK229),
SUM('EBS-H'!AK231:AK232),
SUM('EBS-H'!AK234:AK235),
SUM('EBS-H'!AK237:AK238),
SUM('EBS-H'!AK245:AK246),
SUM('EBS-H'!AK248:AK251),
SUM('EBS-H'!AK253:AK254),
SUM('EBS-H'!AK256:AK257),
SUM('EBS-H'!AK259:AK260),
SUM('EBS-H'!AK265:AK266),
SUM('EBS-H'!AK268:AK269),
SUM('EBS-H'!AK271:AK272),
SUM('EBS-H'!AK274:AK276),SUM('EBS-H'!AK279:AK280),
SUM('EBS-H'!AK282:AK283),
SUM('EBS-H'!AK285:AK286),
SUM('EBS-H'!AK288:AK289),
SUM('EBS-H'!AK291:AK292)),IF(SETUP!$G$23=2,SUM(
SUM('EBS-H'!AO225:AO226),
SUM('EBS-H'!AO228:AO229),
SUM('EBS-H'!AO231:AO232),
SUM('EBS-H'!AO234:AO235),
SUM('EBS-H'!AO237:AO238),
SUM('EBS-H'!AO245:AO246),
SUM('EBS-H'!AO248:AO251),
SUM('EBS-H'!AO253:AO254),
SUM('EBS-H'!AO256:AO257),
SUM('EBS-H'!AO259:AO260),
SUM('EBS-H'!AO265:AO266),
SUM('EBS-H'!AO268:AO269),
SUM('EBS-H'!AO271:AO272),
SUM('EBS-H'!AO274:AO276),SUM('EBS-H'!AO279:AO280),
SUM('EBS-H'!AO282:AO283),
SUM('EBS-H'!AO285:AO286),
SUM('EBS-H'!AO288:AO289),
SUM('EBS-H'!AO291:AO292)),IF(SETUP!$G$23=1,SUM(
SUM('EBS-H'!AU225:AU226),
SUM('EBS-H'!AU228:AU229),
SUM('EBS-H'!AU231:AU232),
SUM('EBS-H'!AU234:AU235),
SUM('EBS-H'!AU237:AU238),
SUM('EBS-H'!AU245:AU246),
SUM('EBS-H'!AU248:AU251),
SUM('EBS-H'!AU253:AU254),
SUM('EBS-H'!AU256:AU257),
SUM('EBS-H'!AU259:AU260),
SUM('EBS-H'!AU265:AU266),
SUM('EBS-H'!AU268:AU269),
SUM('EBS-H'!AU271:AU272),
SUM('EBS-H'!AU274:AU276),SUM('EBS-H'!AU279:AU280),
SUM('EBS-H'!AU282:AU283),
SUM('EBS-H'!AU285:AU286),
SUM('EBS-H'!AU288:AU289),
SUM('EBS-H'!AU291:AU292)),0)))),0))</f>
        <v>0</v>
      </c>
      <c r="AS529" s="695"/>
      <c r="AT529" s="695">
        <f>IF(SETUP!$F$23="Upfront",SUM(
SUM('EBS-H'!BC225:BC226),
SUM('EBS-H'!BC228:BC229),
SUM('EBS-H'!BC231:BC232),
SUM('EBS-H'!BC234:BC235),
SUM('EBS-H'!BC237:BC238),
SUM('EBS-H'!BC245:BC246),
SUM('EBS-H'!BC248:BC251),
SUM('EBS-H'!BC253:BC254),
SUM('EBS-H'!BC256:BC257),
SUM('EBS-H'!BC259:BC260),
SUM('EBS-H'!BC265:BC266),
SUM('EBS-H'!BC268:BC269),
SUM('EBS-H'!BC271:BC272),
SUM('EBS-H'!BC274:BC276),SUM('EBS-H'!BC279:BC280),
SUM('EBS-H'!BC282:BC283),
SUM('EBS-H'!BC285:BC286),
SUM('EBS-H'!BC288:BC289),
SUM('EBS-H'!BC291:BC292)),IF(SETUP!$F$23="At delivery", IF(SETUP!$G$23=4,SUM(
SUM('EBS-H'!AK225:AK226),
SUM('EBS-H'!AK228:AK229),
SUM('EBS-H'!AK231:AK232),
SUM('EBS-H'!AK234:AK235),
SUM('EBS-H'!AK237:AK238),
SUM('EBS-H'!AK245:AK246),
SUM('EBS-H'!AK248:AK251),
SUM('EBS-H'!AK253:AK254),
SUM('EBS-H'!AK256:AK257),
SUM('EBS-H'!AK259:AK260),
SUM('EBS-H'!AK265:AK266),
SUM('EBS-H'!AK268:AK269),
SUM('EBS-H'!AK271:AK272),
SUM('EBS-H'!AK274:AK276),SUM('EBS-H'!AK279:AK280),
SUM('EBS-H'!AK282:AK283),
SUM('EBS-H'!AK285:AK286),
SUM('EBS-H'!AK288:AK289),
SUM('EBS-H'!AK291:AK292)),IF(SETUP!$G$23=3,SUM(
SUM('EBS-H'!AO225:AO226),
SUM('EBS-H'!AO228:AO229),
SUM('EBS-H'!AO231:AO232),
SUM('EBS-H'!AO234:AO235),
SUM('EBS-H'!AO237:AO238),
SUM('EBS-H'!AO245:AO246),
SUM('EBS-H'!AO248:AO251),
SUM('EBS-H'!AO253:AO254),
SUM('EBS-H'!AO256:AO257),
SUM('EBS-H'!AO259:AO260),
SUM('EBS-H'!AO265:AO266),
SUM('EBS-H'!AO268:AO269),
SUM('EBS-H'!AO271:AO272),
SUM('EBS-H'!AO274:AO276),SUM('EBS-H'!AO279:AO280),
SUM('EBS-H'!AO282:AO283),
SUM('EBS-H'!AO285:AO286),
SUM('EBS-H'!AO288:AO289),
SUM('EBS-H'!AO291:AO292)),IF(SETUP!$G$23=2,SUM(
SUM('EBS-H'!AU225:AU226),
SUM('EBS-H'!AU228:AU229),
SUM('EBS-H'!AU231:AU232),
SUM('EBS-H'!AU234:AU235),
SUM('EBS-H'!AU237:AU238),
SUM('EBS-H'!AU245:AU246),
SUM('EBS-H'!AU248:AU251),
SUM('EBS-H'!AU253:AU254),
SUM('EBS-H'!AU256:AU257),
SUM('EBS-H'!AU259:AU260),
SUM('EBS-H'!AU265:AU266),
SUM('EBS-H'!AU268:AU269),
SUM('EBS-H'!AU271:AU272),
SUM('EBS-H'!AU274:AU276),SUM('EBS-H'!AU279:AU280),
SUM('EBS-H'!AU282:AU283),
SUM('EBS-H'!AU285:AU286),
SUM('EBS-H'!AU288:AU289),
SUM('EBS-H'!AU291:AU292)),IF(SETUP!$G$23=1,SUM(
SUM('EBS-H'!AY225:AY226),
SUM('EBS-H'!AY228:AY229),
SUM('EBS-H'!AY231:AY232),
SUM('EBS-H'!AY234:AY235),
SUM('EBS-H'!AY237:AY238),
SUM('EBS-H'!AY245:AY246),
SUM('EBS-H'!AY248:AY251),
SUM('EBS-H'!AY253:AY254),
SUM('EBS-H'!AY256:AY257),
SUM('EBS-H'!AY259:AY260),
SUM('EBS-H'!AY265:AY266),
SUM('EBS-H'!AY268:AY269),
SUM('EBS-H'!AY271:AY272),
SUM('EBS-H'!AY274:AY276),SUM('EBS-H'!AY279:AY280),
SUM('EBS-H'!AY282:AY283),
SUM('EBS-H'!AY285:AY286),
SUM('EBS-H'!AY288:AY289),
SUM('EBS-H'!AY291:AY292)),0)))),0))</f>
        <v>0</v>
      </c>
      <c r="AU529" s="695"/>
      <c r="AV529" s="695">
        <f>IF(SETUP!$F$23="Upfront",SUM(SUM('EBS-H'!BG225:BG226),SUM('EBS-H'!BG228:BG229),SUM('EBS-H'!BG231:BG232),SUM('EBS-H'!BG234:BG235),SUM('EBS-H'!BG237:BG238),SUM('EBS-H'!BG245:BG246),SUM('EBS-H'!BG248:BG251),SUM('EBS-H'!BG253:BG254),SUM('EBS-H'!BG256:BG257),SUM('EBS-H'!BG259:BG260),SUM('EBS-H'!BG265:BG266),SUM('EBS-H'!BG268:BG269),SUM('EBS-H'!BG271:BG272),SUM('EBS-H'!BG274:BG276),SUM('EBS-H'!BG279:BG280),SUM('EBS-H'!BG281:BG282),SUM('EBS-H'!BG284:BG285),SUM('EBS-H'!BG287:BG288),SUM('EBS-H'!BG290:BG291)),IF(SETUP!$F$23="At delivery",IF(SETUP!$G$23=4,SUM(SUM(SUM('EBS-H'!AO225:AO226),SUM('EBS-H'!AO228:AO229),SUM('EBS-H'!AO231:AO232),SUM('EBS-H'!AO234:AO235),SUM('EBS-H'!AO237:AO238),SUM('EBS-H'!AO245:AO246),SUM('EBS-H'!AO248:AO251),SUM('EBS-H'!AO253:AO254),SUM('EBS-H'!AO256:AO257),SUM('EBS-H'!AO259:AO260),SUM('EBS-H'!AO265:AO266),SUM('EBS-H'!AO268:AO269),SUM('EBS-H'!AO271:AO272),SUM('EBS-H'!AO274:AO276),SUM('EBS-H'!AO279:AO280),SUM('EBS-H'!AO281:AO282),SUM('EBS-H'!AO284:AO285),SUM('EBS-H'!AO287:AO288),SUM('EBS-H'!AO290:AO291)),SUM(SUM('EBS-H'!AU225:AU226),SUM('EBS-H'!AU228:AU229),SUM('EBS-H'!AU231:AU232),SUM('EBS-H'!AU234:AU235),SUM('EBS-H'!AU237:AU238),SUM('EBS-H'!AU245:AU246),SUM('EBS-H'!AU248:AU251),SUM('EBS-H'!AU253:AU254),SUM('EBS-H'!AU256:AU257),SUM('EBS-H'!AU259:AU260),SUM('EBS-H'!AU265:AU266),SUM('EBS-H'!AU268:AU269),SUM('EBS-H'!AU271:AU272),SUM('EBS-H'!AU274:AU276),SUM('EBS-H'!AU279:AU280),SUM('EBS-H'!AU281:AU282),SUM('EBS-H'!AU284:AU285),SUM('EBS-H'!AU287:AU288),SUM('EBS-H'!AU290:AU291)),SUM(SUM('EBS-H'!AY225:AY226),SUM('EBS-H'!AY228:AY229),SUM('EBS-H'!AY231:AY232),SUM('EBS-H'!AY234:AY235),SUM('EBS-H'!AY237:AY238),SUM('EBS-H'!AY245:AY246),SUM('EBS-H'!AY248:AY251),SUM('EBS-H'!AY253:AY254),SUM('EBS-H'!AY256:AY257),SUM('EBS-H'!AY259:AY260),SUM('EBS-H'!AY265:AY266),SUM('EBS-H'!AY268:AY269),SUM('EBS-H'!AY271:AY272),SUM('EBS-H'!AY274:AY276),SUM('EBS-H'!AY279:AY280),SUM('EBS-H'!AY281:AY282),SUM('EBS-H'!AY284:AY285),SUM('EBS-H'!AY287:AY288),SUM('EBS-H'!AY290:AY291)),SUM(SUM('EBS-H'!BC225:BC226),SUM('EBS-H'!BC228:BC229),SUM('EBS-H'!BC231:BC232),SUM('EBS-H'!BC234:BC235),SUM('EBS-H'!BC237:BC238),SUM('EBS-H'!BC245:BC246),SUM('EBS-H'!BC248:BC251),SUM('EBS-H'!BC253:BC254),SUM('EBS-H'!BC256:BC257),SUM('EBS-H'!BC259:BC260),SUM('EBS-H'!BC265:BC266),SUM('EBS-H'!BC268:BC269),SUM('EBS-H'!BC271:BC272),SUM('EBS-H'!BC274:BC276),SUM('EBS-H'!BC279:BC280),SUM('EBS-H'!BC281:BC282),SUM('EBS-H'!BC284:BC285),SUM('EBS-H'!BC287:BC288),SUM('EBS-H'!BC290:BC291)),SUM(SUM('EBS-H'!BG225:BG226),SUM('EBS-H'!BG228:BG229),SUM('EBS-H'!BG231:BG232),SUM('EBS-H'!BG234:BG235),SUM('EBS-H'!BG237:BG238),SUM('EBS-H'!BG245:BG246),SUM('EBS-H'!BG248:BG251),SUM('EBS-H'!BG253:BG254),SUM('EBS-H'!BG256:BG257),SUM('EBS-H'!BG259:BG260),SUM('EBS-H'!BG265:BG266),SUM('EBS-H'!BG268:BG269),SUM('EBS-H'!BG271:BG272),SUM('EBS-H'!BG274:BG276),SUM('EBS-H'!BG279:BG280),SUM('EBS-H'!BG281:BG282),SUM('EBS-H'!BG284:BG285),SUM('EBS-H'!BG287:BG288),SUM('EBS-H'!BG290:BG291)),IF(SETUP!$G$23=3,SUM(SUM(SUM('EBS-H'!AU225:AU226),SUM('EBS-H'!AU228:AU229),SUM('EBS-H'!AU231:AU232),SUM('EBS-H'!AU234:AU235),SUM('EBS-H'!AU237:AU238),SUM('EBS-H'!AU245:AU246),SUM('EBS-H'!AU248:AU251),SUM('EBS-H'!AU253:AU254),SUM('EBS-H'!AU256:AU257),SUM('EBS-H'!AU259:AU260),SUM('EBS-H'!AU265:AU266),SUM('EBS-H'!AU268:AU269),SUM('EBS-H'!AU271:AU272),SUM('EBS-H'!AU274:AU276),SUM('EBS-H'!AU279:AU280),SUM('EBS-H'!AU281:AU282),SUM('EBS-H'!AU284:AU285),SUM('EBS-H'!AU287:AU288),SUM('EBS-H'!AU290:AU291)),SUM(SUM('EBS-H'!AY225:AY226),SUM('EBS-H'!AY228:AY229),SUM('EBS-H'!AY231:AY232),SUM('EBS-H'!AY234:AY235),SUM('EBS-H'!AY237:AY238),SUM('EBS-H'!AY245:AY246),SUM('EBS-H'!AY248:AY251),SUM('EBS-H'!AY253:AY254),SUM('EBS-H'!AY256:AY257),SUM('EBS-H'!AY259:AY260),SUM('EBS-H'!AY265:AY266),SUM('EBS-H'!AY268:AY269),SUM('EBS-H'!AY271:AY272),SUM('EBS-H'!AY274:AY276),SUM('EBS-H'!AY279:AY280),SUM('EBS-H'!AY281:AY282),SUM('EBS-H'!AY284:AY285),SUM('EBS-H'!AY287:AY288),SUM('EBS-H'!AY290:AY291)),SUM(SUM('EBS-H'!BC225:BC226),SUM('EBS-H'!BC228:BC229),SUM('EBS-H'!BC231:BC232),SUM('EBS-H'!BC234:BC235),SUM('EBS-H'!BC237:BC238),SUM('EBS-H'!BC245:BC246),SUM('EBS-H'!BC248:BC251),SUM('EBS-H'!BC253:BC254),SUM('EBS-H'!BC256:BC257),SUM('EBS-H'!BC259:BC260),SUM('EBS-H'!BC265:BC266),SUM('EBS-H'!BC268:BC269),SUM('EBS-H'!BC271:BC272),SUM('EBS-H'!BC274:BC276),SUM('EBS-H'!BC279:BC280),SUM('EBS-H'!BC281:BC282),SUM('EBS-H'!BC284:BC285),SUM('EBS-H'!BC287:BC288),SUM('EBS-H'!BC290:BC291)),SUM(SUM('EBS-H'!BG225:BG226),SUM('EBS-H'!BG228:BG229),SUM('EBS-H'!BG231:BG232),SUM('EBS-H'!BG234:BG235),SUM('EBS-H'!BG237:BG238),SUM('EBS-H'!BG245:BG246),SUM('EBS-H'!BG248:BG251),SUM('EBS-H'!BG253:BG254),SUM('EBS-H'!BG256:BG257),SUM('EBS-H'!BG259:BG260),SUM('EBS-H'!BG265:BG266),SUM('EBS-H'!BG268:BG269),SUM('EBS-H'!BG271:BG272),SUM('EBS-H'!BG274:BG276),SUM('EBS-H'!BG279:BG280),SUM('EBS-H'!BG281:BG282),SUM('EBS-H'!BG284:BG285),SUM('EBS-H'!BG287:BG288),SUM('EBS-H'!BG290:BG291)),IF(SETUP!$G$23=2,SUM(SUM(SUM('EBS-H'!AY225:AY226),SUM('EBS-H'!AY228:AY229),SUM('EBS-H'!AY231:AY232),SUM('EBS-H'!AY234:AY235),SUM('EBS-H'!AY237:AY238),SUM('EBS-H'!AY245:AY246),SUM('EBS-H'!AY248:AY251),SUM('EBS-H'!AY253:AY254),SUM('EBS-H'!AY256:AY257),SUM('EBS-H'!AY259:AY260),SUM('EBS-H'!AY265:AY266),SUM('EBS-H'!AY268:AY269),SUM('EBS-H'!AY271:AY272),SUM('EBS-H'!AY274:AY276),SUM('EBS-H'!AY279:AY280),SUM('EBS-H'!AY281:AY282),SUM('EBS-H'!AY284:AY285),SUM('EBS-H'!AY287:AY288),SUM('EBS-H'!AY290:AY291)),SUM(SUM('EBS-H'!BC225:BC226),SUM('EBS-H'!BC228:BC229),SUM('EBS-H'!BC231:BC232),SUM('EBS-H'!BC234:BC235),SUM('EBS-H'!BC237:BC238),SUM('EBS-H'!BC245:BC246),SUM('EBS-H'!BC248:BC251),SUM('EBS-H'!BC253:BC254),SUM('EBS-H'!BC256:BC257),SUM('EBS-H'!BC259:BC260),SUM('EBS-H'!BC265:BC266),SUM('EBS-H'!BC268:BC269),SUM('EBS-H'!BC271:BC272),SUM('EBS-H'!BC274:BC276),SUM('EBS-H'!BC279:BC280),SUM('EBS-H'!BC281:BC282),SUM('EBS-H'!BC284:BC285),SUM('EBS-H'!BC287:BC288),SUM('EBS-H'!BC290:BC291)),SUM(SUM('EBS-H'!BG225:BG226),SUM('EBS-H'!BG228:BG229),SUM('EBS-H'!BG231:BG232),SUM('EBS-H'!BG234:BG235),SUM('EBS-H'!BG237:BG238),SUM('EBS-H'!BG245:BG246),SUM('EBS-H'!BG248:BG251),SUM('EBS-H'!BG253:BG254),SUM('EBS-H'!BG256:BG257),SUM('EBS-H'!BG259:BG260),SUM('EBS-H'!BG265:BG266),SUM('EBS-H'!BG268:BG269),SUM('EBS-H'!BG271:BG272),SUM('EBS-H'!BG274:BG276),SUM('EBS-H'!BG279:BG280),SUM('EBS-H'!BG281:BG282),SUM('EBS-H'!BG284:BG285),SUM('EBS-H'!BG287:BG288),SUM('EBS-H'!BG290:BG291)),IF(SETUP!$G$23=1,SUM(SUM(SUM('EBS-H'!BC225:BC226),SUM('EBS-H'!BC228:BC229),SUM('EBS-H'!BC231:BC232),SUM('EBS-H'!BC234:BC235),SUM('EBS-H'!BC237:BC238),SUM('EBS-H'!BC245:BC246),SUM('EBS-H'!BC248:BC251),SUM('EBS-H'!BC253:BC254),SUM('EBS-H'!BC256:BC257),SUM('EBS-H'!BC259:BC260),SUM('EBS-H'!BC265:BC266),SUM('EBS-H'!BC268:BC269),SUM('EBS-H'!BC271:BC272),SUM('EBS-H'!BC274:BC276),SUM('EBS-H'!BC279:BC280),SUM('EBS-H'!BC281:BC282),SUM('EBS-H'!BC284:BC285),SUM('EBS-H'!BC287:BC288),SUM('EBS-H'!BC290:BC291)),SUM(SUM('EBS-H'!BG225:BG226),SUM('EBS-H'!BG228:BG229),SUM('EBS-H'!BG231:BG232),SUM('EBS-H'!BG234:BG235),SUM('EBS-H'!BG237:BG238),SUM('EBS-H'!BG245:BG246),SUM('EBS-H'!BG248:BG251),SUM('EBS-H'!BG253:BG254),SUM('EBS-H'!BG256:BG257),SUM('EBS-H'!BG259:BG260),SUM('EBS-H'!BG265:BG266),SUM('EBS-H'!BG268:BG269),SUM('EBS-H'!BG271:BG272),SUM('EBS-H'!BG274:BG276),SUM('EBS-H'!BG279:BG280),SUM('EBS-H'!BG281:BG282),SUM('EBS-H'!BG284:BG285),SUM('EBS-H'!BG287:BG288),SUM('EBS-H'!BG290:BG291))),0)))),0))))*0)</f>
        <v>0</v>
      </c>
      <c r="AW529" s="695"/>
      <c r="AX529" s="1492">
        <f t="shared" si="56"/>
        <v>0</v>
      </c>
      <c r="AY529" s="1492"/>
      <c r="AZ529" s="698"/>
      <c r="BA529" s="699"/>
      <c r="BB529" s="697"/>
      <c r="BC529" s="697">
        <v>0</v>
      </c>
      <c r="BD529" s="697">
        <v>0</v>
      </c>
      <c r="BE529" s="697">
        <v>0</v>
      </c>
      <c r="BF529" s="697">
        <v>0</v>
      </c>
      <c r="BG529" s="697">
        <v>0</v>
      </c>
      <c r="BH529" s="697">
        <v>0</v>
      </c>
      <c r="BI529" s="697">
        <v>0</v>
      </c>
      <c r="BJ529" s="697">
        <v>0</v>
      </c>
      <c r="BK529" s="1492">
        <f t="shared" si="57"/>
        <v>0</v>
      </c>
      <c r="BL529" s="1492"/>
      <c r="BM529" s="1492">
        <f t="shared" si="58"/>
        <v>0</v>
      </c>
      <c r="BN529" s="1492">
        <f t="shared" si="59"/>
        <v>0</v>
      </c>
      <c r="BO529" s="697"/>
      <c r="BP529" s="697"/>
      <c r="BQ529" s="1495">
        <v>0</v>
      </c>
      <c r="BR529" s="1495" t="s">
        <v>818</v>
      </c>
      <c r="BS529" s="1902" t="s">
        <v>2306</v>
      </c>
      <c r="BT529" s="1907" t="s">
        <v>2248</v>
      </c>
    </row>
    <row r="530" spans="1:72" ht="13">
      <c r="A530" s="1545">
        <v>1088</v>
      </c>
      <c r="B530" s="1546" t="s">
        <v>804</v>
      </c>
      <c r="C530" s="1546" t="s">
        <v>805</v>
      </c>
      <c r="D530" s="1547" t="s">
        <v>722</v>
      </c>
      <c r="E530" s="690" t="s">
        <v>723</v>
      </c>
      <c r="F530" s="691"/>
      <c r="G530" s="692"/>
      <c r="H530" s="692"/>
      <c r="I530" s="692"/>
      <c r="J530" s="693"/>
      <c r="K530" s="693"/>
      <c r="L530" s="693"/>
      <c r="M530" s="694"/>
      <c r="N530" s="695"/>
      <c r="O530" s="696" t="s">
        <v>1569</v>
      </c>
      <c r="P530" s="695">
        <f>IF(SETUP!$F$33="Upfront",SUM(SUM('EBS-H'!K373:K391),SUM('EBS-H'!K408:K426)),0)</f>
        <v>0</v>
      </c>
      <c r="Q530" s="695" t="s">
        <v>1569</v>
      </c>
      <c r="R530" s="695">
        <f>IF(SETUP!$F$33="Upfront",SUM(SUM('EBS-H'!O373:O391),SUM('EBS-H'!O408:O426)),IF(SETUP!$F$33="At delivery", IF(SETUP!$G$33=1,SUM(SUM('EBS-H'!K373:K391),SUM('EBS-H'!K408:K426)),0),0))</f>
        <v>0</v>
      </c>
      <c r="S530" s="695" t="s">
        <v>1569</v>
      </c>
      <c r="T530" s="695">
        <f>IF(SETUP!$F$33="Upfront",SUM(SUM('EBS-H'!S373:S391),SUM('EBS-H'!S408:S426)),IF(SETUP!$F$33="At delivery", IF(SETUP!$G$33=2,SUM(SUM('EBS-H'!K373:K391),SUM('EBS-H'!K408:K426)),IF(SETUP!$G$33=1,SUM(SUM('EBS-H'!O373:O391),SUM('EBS-H'!O408:O426)),0)),0))</f>
        <v>0</v>
      </c>
      <c r="U530" s="695" t="s">
        <v>1569</v>
      </c>
      <c r="V530" s="695">
        <f>IF(SETUP!$F$33="Upfront",SUM(SUM('EBS-H'!W373:W391),SUM('EBS-H'!W408:W426)),IF(SETUP!$F$33="At delivery", IF(SETUP!$G$33=3,SUM(SUM('EBS-H'!K373:K391),SUM('EBS-H'!K408:K426)),IF(SETUP!$G$33=2,SUM(SUM('EBS-H'!O373:O391),SUM('EBS-H'!O408:O426)),IF(SETUP!$G$33=1,SUM(SUM('EBS-H'!S373:S391),SUM('EBS-H'!S408:S426)),0))),0))</f>
        <v>0</v>
      </c>
      <c r="W530" s="695"/>
      <c r="X530" s="1492">
        <f t="shared" si="54"/>
        <v>0</v>
      </c>
      <c r="Y530" s="1493"/>
      <c r="Z530" s="1494"/>
      <c r="AA530" s="699"/>
      <c r="AB530" s="695"/>
      <c r="AC530" s="695">
        <f>IF(SETUP!$F$33="Upfront",SUM(SUM('EBS-H'!AC373:AC391),SUM('EBS-H'!AC408:AC426)),IF(SETUP!$F$33="At delivery",IF(SETUP!$G$33=4,SUM(SUM('EBS-H'!K373:K391),SUM('EBS-H'!K408:K426)),IF(SETUP!$G$33=3,SUM(SUM('EBS-H'!O373:O391),SUM('EBS-H'!O408:O426)),IF(SETUP!$G$33=2,SUM(SUM('EBS-H'!S373:S391),SUM('EBS-H'!S408:S426)),IF(SETUP!$G$33=1,SUM(SUM('EBS-H'!W373:W391),SUM('EBS-H'!W408:W426)),0)))),0))</f>
        <v>0</v>
      </c>
      <c r="AD530" s="695"/>
      <c r="AE530" s="695">
        <f>IF(SETUP!$F$33="Upfront",SUM(SUM('EBS-H'!AG373:AG391),SUM('EBS-H'!AG408:AG426)),IF(SETUP!$F$33="At delivery",IF(SETUP!$G$33=4,SUM(SUM('EBS-H'!O373:O391),SUM('EBS-H'!O408:O426)),IF(SETUP!$G$33=3,SUM(SUM('EBS-H'!S373:S391),SUM('EBS-H'!S408:S426)),IF(SETUP!$G$33=2,SUM(SUM('EBS-H'!W373:W391),SUM('EBS-H'!W408:W426)),IF(SETUP!$G$33=1,SUM(SUM('EBS-H'!AC373:AC391),SUM('EBS-H'!AC408:AC426)),0)))),0))</f>
        <v>0</v>
      </c>
      <c r="AF530" s="695"/>
      <c r="AG530" s="695">
        <f>IF(SETUP!$F$33="Upfront",SUM(SUM('EBS-H'!AK373:AK391),SUM('EBS-H'!AK408:AK426)),IF(SETUP!$F$33="At delivery",IF(SETUP!$G$33=4,SUM(SUM('EBS-H'!S373:S391),SUM('EBS-H'!S408:S426)),IF(SETUP!$G$33=3,SUM(SUM('EBS-H'!W373:W391),SUM('EBS-H'!W408:W426)),IF(SETUP!$G$33=2,SUM(SUM('EBS-H'!AC373:AC391),SUM('EBS-H'!AC408:AC426)),IF(SETUP!$G$33=1,SUM(SUM('EBS-H'!AG373:AG391),SUM('EBS-H'!AG408:AG426)),0)))),0))</f>
        <v>0</v>
      </c>
      <c r="AH530" s="695"/>
      <c r="AI530" s="695">
        <f>IF(SETUP!$F$33="Upfront",SUM(SUM('EBS-H'!AO373:AO391),SUM('EBS-H'!AO408:AO426)),IF(SETUP!$F$33="At delivery",IF(SETUP!$G$33=4,SUM(SUM('EBS-H'!W373:W391),SUM('EBS-H'!W408:W426)),IF(SETUP!$G$33=3,SUM(SUM('EBS-H'!AC373:AC391),SUM('EBS-H'!AC408:AC426)),IF(SETUP!$G$33=2,SUM(SUM('EBS-H'!AG373:AG391),SUM('EBS-H'!AG408:AG426)),IF(SETUP!$G$33=1,SUM(SUM('EBS-H'!AK373:AK391),SUM('EBS-H'!AK408:AK426)),0)))),0))</f>
        <v>0</v>
      </c>
      <c r="AJ530" s="695"/>
      <c r="AK530" s="1492">
        <f t="shared" si="55"/>
        <v>0</v>
      </c>
      <c r="AL530" s="1493"/>
      <c r="AM530" s="1494"/>
      <c r="AN530" s="699"/>
      <c r="AO530" s="695"/>
      <c r="AP530" s="695">
        <f>IF(SETUP!$F$33="Upfront",SUM(SUM('EBS-H'!AU373:AU391),SUM('EBS-H'!AU408:AU426)),IF(SETUP!$F$33="At delivery",IF(SETUP!$G$33=4,SUM(SUM('EBS-H'!AC373:AC391),SUM('EBS-H'!AC408:AC426)),IF(SETUP!$G$33=3,SUM(SUM('EBS-H'!AG373:AG391),SUM('EBS-H'!AG408:AG426)),IF(SETUP!$G$33=2,SUM(SUM('EBS-H'!AK373:AK391),SUM('EBS-H'!AK408:AK426)),IF(SETUP!$G$33=1,SUM(SUM('EBS-H'!AO373:AO391),SUM('EBS-H'!AO408:AO426)),0)))),0))</f>
        <v>0</v>
      </c>
      <c r="AQ530" s="695"/>
      <c r="AR530" s="695">
        <f>IF(SETUP!$F$33="Upfront",SUM(SUM('EBS-H'!AY373:AY391),SUM('EBS-H'!AY408:AY426)),IF(SETUP!$F$33="At delivery",IF(SETUP!$G$33=4,SUM(SUM('EBS-H'!AG373:AG391),SUM('EBS-H'!AG408:AG426)),IF(SETUP!$G$33=3,SUM(SUM('EBS-H'!AK373:AK391),SUM('EBS-H'!AK408:AK426)),IF(SETUP!$G$33=2,SUM(SUM('EBS-H'!AO373:AO391),SUM('EBS-H'!AO408:AO426)),IF(SETUP!$G$33=1,SUM(SUM('EBS-H'!AU373:AU391),SUM('EBS-H'!AU408:AU426)),0)))),0))</f>
        <v>0</v>
      </c>
      <c r="AS530" s="695"/>
      <c r="AT530" s="695">
        <f>IF(SETUP!$F$33="Upfront",SUM(SUM('EBS-H'!BC373:BC391),SUM('EBS-H'!BC408:BC426)),IF(SETUP!$F$33="At delivery",IF(SETUP!$G$33=4,SUM(SUM('EBS-H'!AK373:AK391),SUM('EBS-H'!AK408:AK426)),IF(SETUP!$G$33=3,SUM(SUM('EBS-H'!AO373:AO391),SUM('EBS-H'!AO408:AO426)),IF(SETUP!$G$33=2,SUM(SUM('EBS-H'!AU373:AU391),SUM('EBS-H'!AU408:AU426)),IF(SETUP!$G$33=1,SUM(SUM('EBS-H'!AY373:AY391),SUM('EBS-H'!AY408:AY426)),0)))),0))</f>
        <v>0</v>
      </c>
      <c r="AU530" s="695"/>
      <c r="AV530" s="695">
        <f>IF(SETUP!$F$33="Upfront",SUM(SUM('EBS-H'!BG373:BG391),SUM('EBS-H'!BG408:BG426)),IF(SETUP!$F$33="At delivery",IF(SETUP!$G$33=4,SUM(SUM(SUM('EBS-H'!AO373:AO391),SUM('EBS-H'!AO408:AO426)),SUM(SUM('EBS-H'!AU373:AU391),SUM('EBS-H'!AU408:AU426)),SUM(SUM('EBS-H'!AY373:AY391),SUM('EBS-H'!AY408:AY426)),SUM(SUM('EBS-H'!BC373:BC391),SUM('EBS-H'!BC408:BC426)),SUM(SUM('EBS-H'!BG373:BG391),SUM('EBS-H'!BG408:BG426))),IF(SETUP!$G$33=3,SUM(SUM(SUM('EBS-H'!AU373:AU391),SUM('EBS-H'!AU408:AU426)),SUM(SUM('EBS-H'!AY373:AY391),SUM('EBS-H'!AY408:AY426)),SUM(SUM('EBS-H'!BC373:BC391),SUM('EBS-H'!BC408:BC426)),SUM(SUM('EBS-H'!BG373:BG391),SUM('EBS-H'!BG408:BG426))),IF(SETUP!$G$33=2,SUM(SUM(SUM('EBS-H'!AY373:AY391),SUM('EBS-H'!AY408:AY426)),SUM(SUM('EBS-H'!BC373:BC391),SUM('EBS-H'!BC408:BC426)),SUM(SUM('EBS-H'!BG373:BG391),SUM('EBS-H'!BG408:BG426))),IF(SETUP!$G$33=1,SUM(SUM(SUM('EBS-H'!BC373:BC391),SUM('EBS-H'!BC408:BC426)),SUM(SUM('EBS-H'!BG373:BG391),SUM('EBS-H'!BG408:BG426))),0)))),0))</f>
        <v>0</v>
      </c>
      <c r="AW530" s="695"/>
      <c r="AX530" s="1492">
        <f t="shared" si="56"/>
        <v>0</v>
      </c>
      <c r="AY530" s="1492"/>
      <c r="AZ530" s="698"/>
      <c r="BA530" s="699"/>
      <c r="BB530" s="697"/>
      <c r="BC530" s="697">
        <v>0</v>
      </c>
      <c r="BD530" s="697">
        <v>0</v>
      </c>
      <c r="BE530" s="697">
        <v>0</v>
      </c>
      <c r="BF530" s="697">
        <v>0</v>
      </c>
      <c r="BG530" s="697">
        <v>0</v>
      </c>
      <c r="BH530" s="697">
        <v>0</v>
      </c>
      <c r="BI530" s="697">
        <v>0</v>
      </c>
      <c r="BJ530" s="697">
        <v>0</v>
      </c>
      <c r="BK530" s="1492">
        <f t="shared" si="57"/>
        <v>0</v>
      </c>
      <c r="BL530" s="1492"/>
      <c r="BM530" s="1492">
        <f t="shared" si="58"/>
        <v>0</v>
      </c>
      <c r="BN530" s="1492">
        <f t="shared" si="59"/>
        <v>0</v>
      </c>
      <c r="BO530" s="697"/>
      <c r="BP530" s="697"/>
      <c r="BQ530" s="1495">
        <v>0</v>
      </c>
      <c r="BR530" s="1495" t="s">
        <v>818</v>
      </c>
      <c r="BS530" s="1902" t="s">
        <v>722</v>
      </c>
      <c r="BT530" s="1907" t="s">
        <v>2249</v>
      </c>
    </row>
    <row r="531" spans="1:72" ht="13">
      <c r="A531" s="1545">
        <v>1089</v>
      </c>
      <c r="B531" s="1546" t="s">
        <v>804</v>
      </c>
      <c r="C531" s="1546" t="s">
        <v>805</v>
      </c>
      <c r="D531" s="1547" t="s">
        <v>724</v>
      </c>
      <c r="E531" s="690" t="s">
        <v>725</v>
      </c>
      <c r="F531" s="691"/>
      <c r="G531" s="692"/>
      <c r="H531" s="692"/>
      <c r="I531" s="692"/>
      <c r="J531" s="693"/>
      <c r="K531" s="693"/>
      <c r="L531" s="693"/>
      <c r="M531" s="694"/>
      <c r="N531" s="695"/>
      <c r="O531" s="696" t="s">
        <v>1569</v>
      </c>
      <c r="P531" s="695">
        <f>IF(SETUP!$F$33="Upfront",SUM('EBS-H'!K395:K402,'EBS-H'!K404:K407),0)</f>
        <v>0</v>
      </c>
      <c r="Q531" s="695" t="s">
        <v>1569</v>
      </c>
      <c r="R531" s="695">
        <f>IF(SETUP!$F$33="Upfront",SUM('EBS-H'!O395:O402,'EBS-H'!O404:O407),IF(SETUP!$F$33="At delivery", IF(SETUP!$G$33=1,SUM('EBS-H'!K395:K402,'EBS-H'!K404:K407),0),0))</f>
        <v>0</v>
      </c>
      <c r="S531" s="695" t="s">
        <v>1569</v>
      </c>
      <c r="T531" s="695">
        <f>IF(SETUP!$F$33="Upfront",SUM('EBS-H'!S395:S402,'EBS-H'!S404:S407),IF(SETUP!$F$33="At delivery", IF(SETUP!$G$33=2,SUM('EBS-H'!K395:K402,'EBS-H'!K404:K407),IF(SETUP!$G$33=1,SUM('EBS-H'!O395:O402,'EBS-H'!O404:O407),0)),0))</f>
        <v>0</v>
      </c>
      <c r="U531" s="695" t="s">
        <v>1569</v>
      </c>
      <c r="V531" s="695">
        <f>IF(SETUP!$F$33="Upfront",SUM('EBS-H'!W395:W402,'EBS-H'!W404:W407),IF(SETUP!$F$33="At delivery", IF(SETUP!$G$33=3,SUM('EBS-H'!K395:K402,'EBS-H'!K404:K407),IF(SETUP!$G$33=2,SUM('EBS-H'!O395:O402,'EBS-H'!O404:O407),IF(SETUP!$G$33=1,SUM('EBS-H'!S395:S402,'EBS-H'!S404:S407),0))),0))</f>
        <v>0</v>
      </c>
      <c r="W531" s="695"/>
      <c r="X531" s="1492">
        <f t="shared" si="54"/>
        <v>0</v>
      </c>
      <c r="Y531" s="1493"/>
      <c r="Z531" s="1494"/>
      <c r="AA531" s="699"/>
      <c r="AB531" s="695"/>
      <c r="AC531" s="695">
        <f>IF(SETUP!$F$33="Upfront",SUM('EBS-H'!AC395:AC402,'EBS-H'!AC404:AC407),IF(SETUP!$F$33="At delivery", IF(SETUP!$G$33=4,SUM('EBS-H'!K395:K402,'EBS-H'!K404:K407),IF(SETUP!$G$33=3,SUM('EBS-H'!O395:O402,'EBS-H'!O404:O407),IF(SETUP!$G$33=2,SUM('EBS-H'!S395:S402,'EBS-H'!S404:S407),IF(SETUP!$G$33=1,SUM('EBS-H'!W395:W402,'EBS-H'!W404:W407),0)))),0))</f>
        <v>0</v>
      </c>
      <c r="AD531" s="695"/>
      <c r="AE531" s="695">
        <f>IF(SETUP!$F$33="Upfront",SUM('EBS-H'!AG395:AG402,'EBS-H'!AG404:AG407),IF(SETUP!$F$33="At delivery", IF(SETUP!$G$33=4,SUM('EBS-H'!O395:O402,'EBS-H'!O404:O407),IF(SETUP!$G$33=3,SUM('EBS-H'!S395:S402,'EBS-H'!S404:S407),IF(SETUP!$G$33=2,SUM('EBS-H'!W395:W402,'EBS-H'!W404:W407),IF(SETUP!$G$33=1,SUM('EBS-H'!AC395:AC402,'EBS-H'!AC404:AC407),0)))),0))</f>
        <v>0</v>
      </c>
      <c r="AF531" s="695"/>
      <c r="AG531" s="695">
        <f>IF(SETUP!$F$33="Upfront",SUM('EBS-H'!AK395:AK402,'EBS-H'!AK404:AK407),IF(SETUP!$F$33="At delivery", IF(SETUP!$G$33=4,SUM('EBS-H'!S395:S402,'EBS-H'!S404:S407),IF(SETUP!$G$33=3,SUM('EBS-H'!W395:W402,'EBS-H'!W404:W407),IF(SETUP!$G$33=2,SUM('EBS-H'!AC395:AC402,'EBS-H'!AC404:AC407),IF(SETUP!$G$33=1,SUM('EBS-H'!AG395:AG402,'EBS-H'!AG404:AG407),0)))),0))</f>
        <v>0</v>
      </c>
      <c r="AH531" s="695"/>
      <c r="AI531" s="695">
        <f>IF(SETUP!$F$33="Upfront",SUM('EBS-H'!AO395:AO402,'EBS-H'!AO404:AO407),IF(SETUP!$F$33="At delivery", IF(SETUP!$G$33=4,SUM('EBS-H'!W395:W402,'EBS-H'!W404:W407),IF(SETUP!$G$33=3,SUM('EBS-H'!AC395:AC402,'EBS-H'!AC404:AC407),IF(SETUP!$G$33=2,SUM('EBS-H'!AG395:AG402,'EBS-H'!AG404:AG407),IF(SETUP!$G$33=1,SUM('EBS-H'!AK395:AK402,'EBS-H'!AK404:AK407),0)))),0))</f>
        <v>0</v>
      </c>
      <c r="AJ531" s="695"/>
      <c r="AK531" s="1492">
        <f t="shared" si="55"/>
        <v>0</v>
      </c>
      <c r="AL531" s="1493"/>
      <c r="AM531" s="1494"/>
      <c r="AN531" s="699"/>
      <c r="AO531" s="695"/>
      <c r="AP531" s="695">
        <f>IF(SETUP!$F$33="Upfront",SUM('EBS-H'!AU395:AU402,'EBS-H'!AU404:AU407),IF(SETUP!$F$33="At delivery", IF(SETUP!$G$33=4,SUM('EBS-H'!AC395:AC402,'EBS-H'!AC404:AC407),IF(SETUP!$G$33=3,SUM('EBS-H'!AG395:AG402,'EBS-H'!AG404:AG407),IF(SETUP!$G$33=2,SUM('EBS-H'!AK395:AK402,'EBS-H'!AK404:AK407),IF(SETUP!$G$33=1,SUM('EBS-H'!AO395:AO402,'EBS-H'!AO404:AO407),0)))),0))</f>
        <v>0</v>
      </c>
      <c r="AQ531" s="695"/>
      <c r="AR531" s="695">
        <f>IF(SETUP!$F$33="Upfront",SUM('EBS-H'!AY395:AY402,'EBS-H'!AY404:AY407),IF(SETUP!$F$33="At delivery", IF(SETUP!$G$33=4,SUM('EBS-H'!AG395:AG402,'EBS-H'!AG404:AG407),IF(SETUP!$G$33=3,SUM('EBS-H'!AK395:AK402,'EBS-H'!AK404:AK407),IF(SETUP!$G$33=2,SUM('EBS-H'!AO395:AO402,'EBS-H'!AO404:AO407),IF(SETUP!$G$33=1,SUM('EBS-H'!AU395:AU402,'EBS-H'!AU404:AU407),0)))),0))</f>
        <v>0</v>
      </c>
      <c r="AS531" s="695"/>
      <c r="AT531" s="695">
        <f>IF(SETUP!$F$33="Upfront",SUM('EBS-H'!BC395:BC402,'EBS-H'!BC404:BC407),IF(SETUP!$F$33="At delivery", IF(SETUP!$G$33=4,SUM('EBS-H'!AK395:AK402,'EBS-H'!AK404:AK407),IF(SETUP!$G$33=3,SUM('EBS-H'!AO395:AO402,'EBS-H'!AO404:AO407),IF(SETUP!$G$33=2,SUM('EBS-H'!AU395:AU402,'EBS-H'!AU404:AU407),IF(SETUP!$G$33=1,SUM('EBS-H'!AY395:AY402,'EBS-H'!AY404:AY407),0)))),0))</f>
        <v>0</v>
      </c>
      <c r="AU531" s="695"/>
      <c r="AV531" s="695">
        <f>IF(SETUP!$F$33="Upfront",SUM('EBS-H'!BG395:BG402,'EBS-H'!BG404:BG407),IF(SETUP!$F$33="At delivery", IF(SETUP!$G$33=4,SUM(SUM('EBS-H'!AO395:AO402,'EBS-H'!AO404:AO407),SUM('EBS-H'!AU395:AU402,'EBS-H'!AU404:AU407),SUM('EBS-H'!AY395:AY402,'EBS-H'!AY404:AY407),SUM('EBS-H'!BC395:BC402,'EBS-H'!BC404:BC407),SUM('EBS-H'!BG395:BG402,'EBS-H'!BG404:BG407)),IF(SETUP!$G$33=3,SUM(SUM('EBS-H'!AU395:AU402,'EBS-H'!AU404:AU407),SUM('EBS-H'!AY395:AY402,'EBS-H'!AY404:AY407),SUM('EBS-H'!BC395:BC402,'EBS-H'!BC404:BC407),SUM('EBS-H'!BG395:BG402,'EBS-H'!BG404:BG407)),IF(SETUP!$G$33=2,SUM(SUM('EBS-H'!AY395:AY402,'EBS-H'!AY404:AY407),SUM('EBS-H'!BC395:BC402,'EBS-H'!BC404:BC407),SUM('EBS-H'!BG395:BG402,'EBS-H'!BG404:BG407)),IF(SETUP!$G$33=1,SUM(SUM('EBS-H'!BC395:BC402,'EBS-H'!BC404:BC407),SUM('EBS-H'!BG395:BG402,'EBS-H'!BG404:BG407)),0)))),0))</f>
        <v>0</v>
      </c>
      <c r="AW531" s="695"/>
      <c r="AX531" s="1492">
        <f t="shared" si="56"/>
        <v>0</v>
      </c>
      <c r="AY531" s="1492"/>
      <c r="AZ531" s="698"/>
      <c r="BA531" s="699"/>
      <c r="BB531" s="697"/>
      <c r="BC531" s="697">
        <v>0</v>
      </c>
      <c r="BD531" s="697">
        <v>0</v>
      </c>
      <c r="BE531" s="697">
        <v>0</v>
      </c>
      <c r="BF531" s="697">
        <v>0</v>
      </c>
      <c r="BG531" s="697">
        <v>0</v>
      </c>
      <c r="BH531" s="697">
        <v>0</v>
      </c>
      <c r="BI531" s="697">
        <v>0</v>
      </c>
      <c r="BJ531" s="697">
        <v>0</v>
      </c>
      <c r="BK531" s="1492">
        <f t="shared" si="57"/>
        <v>0</v>
      </c>
      <c r="BL531" s="1492"/>
      <c r="BM531" s="1492">
        <f t="shared" si="58"/>
        <v>0</v>
      </c>
      <c r="BN531" s="1492">
        <f t="shared" si="59"/>
        <v>0</v>
      </c>
      <c r="BO531" s="697"/>
      <c r="BP531" s="697"/>
      <c r="BQ531" s="1495">
        <v>0</v>
      </c>
      <c r="BR531" s="1495" t="s">
        <v>818</v>
      </c>
      <c r="BS531" s="1902" t="s">
        <v>724</v>
      </c>
      <c r="BT531" s="1907" t="s">
        <v>2250</v>
      </c>
    </row>
    <row r="532" spans="1:72" ht="13">
      <c r="A532" s="1545">
        <v>1090</v>
      </c>
      <c r="B532" s="1546" t="s">
        <v>804</v>
      </c>
      <c r="C532" s="1546" t="s">
        <v>805</v>
      </c>
      <c r="D532" s="1547" t="s">
        <v>6929</v>
      </c>
      <c r="E532" s="690" t="s">
        <v>656</v>
      </c>
      <c r="F532" s="691"/>
      <c r="G532" s="692"/>
      <c r="H532" s="692"/>
      <c r="I532" s="692"/>
      <c r="J532" s="693"/>
      <c r="K532" s="693"/>
      <c r="L532" s="693"/>
      <c r="M532" s="694"/>
      <c r="N532" s="695"/>
      <c r="O532" s="696" t="s">
        <v>1569</v>
      </c>
      <c r="P532" s="695">
        <f>'HPM costs'!F15+'HPM costs'!F24+'HPM costs'!F42+'HPM costs'!F45</f>
        <v>0</v>
      </c>
      <c r="Q532" s="695" t="s">
        <v>1569</v>
      </c>
      <c r="R532" s="695">
        <f>'HPM costs'!G15+'HPM costs'!G24+'HPM costs'!G45+'HPM costs'!G42</f>
        <v>0</v>
      </c>
      <c r="S532" s="695" t="s">
        <v>1569</v>
      </c>
      <c r="T532" s="695">
        <f>'HPM costs'!H15+'HPM costs'!H24+'HPM costs'!H45+'HPM costs'!H42</f>
        <v>0</v>
      </c>
      <c r="U532" s="695" t="s">
        <v>1569</v>
      </c>
      <c r="V532" s="695">
        <f>'HPM costs'!I15+'HPM costs'!I24+'HPM costs'!I45+'HPM costs'!I42</f>
        <v>0</v>
      </c>
      <c r="W532" s="695"/>
      <c r="X532" s="1492">
        <f t="shared" si="54"/>
        <v>0</v>
      </c>
      <c r="Y532" s="1493"/>
      <c r="Z532" s="1494"/>
      <c r="AA532" s="699"/>
      <c r="AB532" s="695"/>
      <c r="AC532" s="695">
        <f>'HPM costs'!K15+'HPM costs'!K24+'HPM costs'!K45+'HPM costs'!K42</f>
        <v>0</v>
      </c>
      <c r="AD532" s="695"/>
      <c r="AE532" s="695">
        <f>'HPM costs'!L15+'HPM costs'!L24+'HPM costs'!L45+'HPM costs'!L42</f>
        <v>0</v>
      </c>
      <c r="AF532" s="695"/>
      <c r="AG532" s="695">
        <f>'HPM costs'!M15+'HPM costs'!M24+'HPM costs'!M45+'HPM costs'!M42</f>
        <v>0</v>
      </c>
      <c r="AH532" s="695"/>
      <c r="AI532" s="695">
        <f>'HPM costs'!N15+'HPM costs'!N24+'HPM costs'!N45+'HPM costs'!N42</f>
        <v>0</v>
      </c>
      <c r="AJ532" s="695"/>
      <c r="AK532" s="1492">
        <f>AI532+AG532+AE532+AC532</f>
        <v>0</v>
      </c>
      <c r="AL532" s="1493"/>
      <c r="AM532" s="1494"/>
      <c r="AN532" s="699"/>
      <c r="AO532" s="695"/>
      <c r="AP532" s="695">
        <f>'HPM costs'!P15+'HPM costs'!P24+'HPM costs'!P45+'HPM costs'!P42</f>
        <v>0</v>
      </c>
      <c r="AQ532" s="695"/>
      <c r="AR532" s="695">
        <f>'HPM costs'!Q15+'HPM costs'!Q24+'HPM costs'!Q45+'HPM costs'!Q42</f>
        <v>0</v>
      </c>
      <c r="AS532" s="695"/>
      <c r="AT532" s="695">
        <f>'HPM costs'!R15+'HPM costs'!R24+'HPM costs'!R45+'HPM costs'!R42</f>
        <v>0</v>
      </c>
      <c r="AU532" s="695"/>
      <c r="AV532" s="695">
        <f>'HPM costs'!S15+'HPM costs'!S24+'HPM costs'!S45+'HPM costs'!S42</f>
        <v>0</v>
      </c>
      <c r="AW532" s="695"/>
      <c r="AX532" s="1492">
        <f t="shared" si="56"/>
        <v>0</v>
      </c>
      <c r="AY532" s="1492"/>
      <c r="AZ532" s="698"/>
      <c r="BA532" s="699"/>
      <c r="BB532" s="697"/>
      <c r="BC532" s="697">
        <v>0</v>
      </c>
      <c r="BD532" s="697">
        <v>0</v>
      </c>
      <c r="BE532" s="697">
        <v>0</v>
      </c>
      <c r="BF532" s="697">
        <v>0</v>
      </c>
      <c r="BG532" s="697">
        <v>0</v>
      </c>
      <c r="BH532" s="697">
        <v>0</v>
      </c>
      <c r="BI532" s="697">
        <v>0</v>
      </c>
      <c r="BJ532" s="697">
        <v>0</v>
      </c>
      <c r="BK532" s="1492">
        <f t="shared" si="57"/>
        <v>0</v>
      </c>
      <c r="BL532" s="1492"/>
      <c r="BM532" s="1492">
        <f t="shared" si="58"/>
        <v>0</v>
      </c>
      <c r="BN532" s="1492">
        <f t="shared" si="59"/>
        <v>0</v>
      </c>
      <c r="BO532" s="697"/>
      <c r="BP532" s="697"/>
      <c r="BQ532" s="1495">
        <v>0</v>
      </c>
      <c r="BR532" s="1495" t="s">
        <v>818</v>
      </c>
      <c r="BS532" s="1902" t="s">
        <v>6929</v>
      </c>
      <c r="BT532" s="1907" t="s">
        <v>2251</v>
      </c>
    </row>
    <row r="533" spans="1:72" ht="13">
      <c r="A533" s="1545">
        <v>1091</v>
      </c>
      <c r="B533" s="1546" t="s">
        <v>804</v>
      </c>
      <c r="C533" s="1546" t="s">
        <v>805</v>
      </c>
      <c r="D533" s="1547" t="s">
        <v>6929</v>
      </c>
      <c r="E533" s="690" t="s">
        <v>658</v>
      </c>
      <c r="F533" s="691"/>
      <c r="G533" s="692"/>
      <c r="H533" s="692"/>
      <c r="I533" s="692"/>
      <c r="J533" s="693"/>
      <c r="K533" s="693"/>
      <c r="L533" s="693"/>
      <c r="M533" s="694"/>
      <c r="N533" s="695"/>
      <c r="O533" s="696" t="s">
        <v>1569</v>
      </c>
      <c r="P533" s="695">
        <f>'HPM costs'!F101+'HPM costs'!F110+'HPM costs'!F131+'HPM costs'!F128</f>
        <v>0</v>
      </c>
      <c r="Q533" s="695" t="s">
        <v>1569</v>
      </c>
      <c r="R533" s="695">
        <f>'HPM costs'!G101+'HPM costs'!G110+'HPM costs'!G131+'HPM costs'!G128</f>
        <v>0</v>
      </c>
      <c r="S533" s="695" t="s">
        <v>1569</v>
      </c>
      <c r="T533" s="695">
        <f>'HPM costs'!H101+'HPM costs'!H110+'HPM costs'!H131+'HPM costs'!H128</f>
        <v>0</v>
      </c>
      <c r="U533" s="695" t="s">
        <v>1569</v>
      </c>
      <c r="V533" s="695">
        <f>'HPM costs'!I101+'HPM costs'!I110+'HPM costs'!I131+'HPM costs'!I128</f>
        <v>0</v>
      </c>
      <c r="W533" s="695"/>
      <c r="X533" s="1492">
        <f t="shared" si="54"/>
        <v>0</v>
      </c>
      <c r="Y533" s="1493"/>
      <c r="Z533" s="1494"/>
      <c r="AA533" s="699"/>
      <c r="AB533" s="695"/>
      <c r="AC533" s="695">
        <f>'HPM costs'!K101+'HPM costs'!K110+'HPM costs'!K131+'HPM costs'!K128</f>
        <v>0</v>
      </c>
      <c r="AD533" s="695"/>
      <c r="AE533" s="695">
        <f>'HPM costs'!L101+'HPM costs'!L110+'HPM costs'!L131+'HPM costs'!L128</f>
        <v>0</v>
      </c>
      <c r="AF533" s="695"/>
      <c r="AG533" s="695">
        <f>'HPM costs'!M101+'HPM costs'!M110+'HPM costs'!M131+'HPM costs'!M128</f>
        <v>0</v>
      </c>
      <c r="AH533" s="695"/>
      <c r="AI533" s="695">
        <f>'HPM costs'!N101+'HPM costs'!N110+'HPM costs'!N131+'HPM costs'!N128</f>
        <v>0</v>
      </c>
      <c r="AJ533" s="695"/>
      <c r="AK533" s="1492">
        <f t="shared" si="55"/>
        <v>0</v>
      </c>
      <c r="AL533" s="1493"/>
      <c r="AM533" s="1494"/>
      <c r="AN533" s="699"/>
      <c r="AO533" s="695"/>
      <c r="AP533" s="695">
        <f>'HPM costs'!P101+'HPM costs'!P110+'HPM costs'!P131+'HPM costs'!P128</f>
        <v>0</v>
      </c>
      <c r="AQ533" s="695"/>
      <c r="AR533" s="695">
        <f>'HPM costs'!Q101+'HPM costs'!Q110+'HPM costs'!Q131+'HPM costs'!Q128</f>
        <v>0</v>
      </c>
      <c r="AS533" s="695"/>
      <c r="AT533" s="695">
        <f>'HPM costs'!R101+'HPM costs'!R110+'HPM costs'!R131+'HPM costs'!R128</f>
        <v>0</v>
      </c>
      <c r="AU533" s="695"/>
      <c r="AV533" s="695">
        <f>'HPM costs'!S101+'HPM costs'!S110+'HPM costs'!S131+'HPM costs'!S128</f>
        <v>0</v>
      </c>
      <c r="AW533" s="695"/>
      <c r="AX533" s="1492">
        <f t="shared" si="56"/>
        <v>0</v>
      </c>
      <c r="AY533" s="1492"/>
      <c r="AZ533" s="698"/>
      <c r="BA533" s="699"/>
      <c r="BB533" s="697"/>
      <c r="BC533" s="697">
        <v>0</v>
      </c>
      <c r="BD533" s="697">
        <v>0</v>
      </c>
      <c r="BE533" s="697">
        <v>0</v>
      </c>
      <c r="BF533" s="697">
        <v>0</v>
      </c>
      <c r="BG533" s="697">
        <v>0</v>
      </c>
      <c r="BH533" s="697">
        <v>0</v>
      </c>
      <c r="BI533" s="697">
        <v>0</v>
      </c>
      <c r="BJ533" s="697">
        <v>0</v>
      </c>
      <c r="BK533" s="1492">
        <f t="shared" si="57"/>
        <v>0</v>
      </c>
      <c r="BL533" s="1492"/>
      <c r="BM533" s="1492">
        <f t="shared" si="58"/>
        <v>0</v>
      </c>
      <c r="BN533" s="1492">
        <f t="shared" si="59"/>
        <v>0</v>
      </c>
      <c r="BO533" s="697"/>
      <c r="BP533" s="697"/>
      <c r="BQ533" s="1495">
        <v>0</v>
      </c>
      <c r="BR533" s="1495" t="s">
        <v>818</v>
      </c>
      <c r="BS533" s="1902" t="s">
        <v>6929</v>
      </c>
      <c r="BT533" s="1907" t="s">
        <v>2252</v>
      </c>
    </row>
    <row r="534" spans="1:72" ht="13">
      <c r="A534" s="1545">
        <v>1092</v>
      </c>
      <c r="B534" s="1546" t="s">
        <v>804</v>
      </c>
      <c r="C534" s="1546" t="s">
        <v>805</v>
      </c>
      <c r="D534" s="1547" t="s">
        <v>6929</v>
      </c>
      <c r="E534" s="690" t="s">
        <v>660</v>
      </c>
      <c r="F534" s="691"/>
      <c r="G534" s="692"/>
      <c r="H534" s="692"/>
      <c r="I534" s="692"/>
      <c r="J534" s="693"/>
      <c r="K534" s="693"/>
      <c r="L534" s="693"/>
      <c r="M534" s="694"/>
      <c r="N534" s="695"/>
      <c r="O534" s="696" t="s">
        <v>1569</v>
      </c>
      <c r="P534" s="695">
        <f>'HPM costs'!F361+'HPM costs'!F370+'HPM costs'!F391+'HPM costs'!F388</f>
        <v>0</v>
      </c>
      <c r="Q534" s="695" t="s">
        <v>1569</v>
      </c>
      <c r="R534" s="695">
        <f>'HPM costs'!G361+'HPM costs'!G370+'HPM costs'!G391+'HPM costs'!G388</f>
        <v>0</v>
      </c>
      <c r="S534" s="695" t="s">
        <v>1569</v>
      </c>
      <c r="T534" s="695">
        <f>'HPM costs'!H361+'HPM costs'!H370+'HPM costs'!H391+'HPM costs'!H388</f>
        <v>0</v>
      </c>
      <c r="U534" s="695" t="s">
        <v>1569</v>
      </c>
      <c r="V534" s="695">
        <f>'HPM costs'!I361+'HPM costs'!I370+'HPM costs'!I391+'HPM costs'!I388</f>
        <v>0</v>
      </c>
      <c r="W534" s="695"/>
      <c r="X534" s="1492">
        <f t="shared" si="54"/>
        <v>0</v>
      </c>
      <c r="Y534" s="1493"/>
      <c r="Z534" s="1494"/>
      <c r="AA534" s="699"/>
      <c r="AB534" s="695"/>
      <c r="AC534" s="695">
        <f>'HPM costs'!K361+'HPM costs'!K370+'HPM costs'!K391+'HPM costs'!K388</f>
        <v>0</v>
      </c>
      <c r="AD534" s="695"/>
      <c r="AE534" s="695">
        <f>'HPM costs'!L361+'HPM costs'!L370+'HPM costs'!L391+'HPM costs'!L388</f>
        <v>0</v>
      </c>
      <c r="AF534" s="695"/>
      <c r="AG534" s="695">
        <f>'HPM costs'!M361+'HPM costs'!M370+'HPM costs'!M391+'HPM costs'!M388</f>
        <v>0</v>
      </c>
      <c r="AH534" s="695"/>
      <c r="AI534" s="695">
        <f>'HPM costs'!N361+'HPM costs'!N370+'HPM costs'!N391+'HPM costs'!N388</f>
        <v>0</v>
      </c>
      <c r="AJ534" s="695"/>
      <c r="AK534" s="1492">
        <f>AI534+AG534+AE534+AC534</f>
        <v>0</v>
      </c>
      <c r="AL534" s="1493"/>
      <c r="AM534" s="1494"/>
      <c r="AN534" s="699"/>
      <c r="AO534" s="695"/>
      <c r="AP534" s="695">
        <f>'HPM costs'!P361+'HPM costs'!P370+'HPM costs'!P391+'HPM costs'!P388</f>
        <v>0</v>
      </c>
      <c r="AQ534" s="695"/>
      <c r="AR534" s="695">
        <f>'HPM costs'!Q361+'HPM costs'!Q370+'HPM costs'!Q391+'HPM costs'!Q388</f>
        <v>0</v>
      </c>
      <c r="AS534" s="695"/>
      <c r="AT534" s="695">
        <f>'HPM costs'!R361+'HPM costs'!R370+'HPM costs'!R391+'HPM costs'!R388</f>
        <v>0</v>
      </c>
      <c r="AU534" s="695"/>
      <c r="AV534" s="695">
        <f>'HPM costs'!S361+'HPM costs'!S370+'HPM costs'!S391+'HPM costs'!S388</f>
        <v>0</v>
      </c>
      <c r="AW534" s="695"/>
      <c r="AX534" s="1492">
        <f>AV534+AT534+AR534+AP534</f>
        <v>0</v>
      </c>
      <c r="AY534" s="1492"/>
      <c r="AZ534" s="698"/>
      <c r="BA534" s="699"/>
      <c r="BB534" s="697"/>
      <c r="BC534" s="697">
        <v>0</v>
      </c>
      <c r="BD534" s="697">
        <v>0</v>
      </c>
      <c r="BE534" s="697">
        <v>0</v>
      </c>
      <c r="BF534" s="697">
        <v>0</v>
      </c>
      <c r="BG534" s="697">
        <v>0</v>
      </c>
      <c r="BH534" s="697">
        <v>0</v>
      </c>
      <c r="BI534" s="697">
        <v>0</v>
      </c>
      <c r="BJ534" s="697">
        <v>0</v>
      </c>
      <c r="BK534" s="1492">
        <f t="shared" si="57"/>
        <v>0</v>
      </c>
      <c r="BL534" s="1492"/>
      <c r="BM534" s="1492">
        <f t="shared" si="58"/>
        <v>0</v>
      </c>
      <c r="BN534" s="1492">
        <f t="shared" si="59"/>
        <v>0</v>
      </c>
      <c r="BO534" s="697"/>
      <c r="BP534" s="697"/>
      <c r="BQ534" s="1495">
        <v>0</v>
      </c>
      <c r="BR534" s="1495" t="s">
        <v>818</v>
      </c>
      <c r="BS534" s="1902" t="s">
        <v>6929</v>
      </c>
      <c r="BT534" s="1907" t="s">
        <v>2253</v>
      </c>
    </row>
    <row r="535" spans="1:72" ht="13">
      <c r="A535" s="1545">
        <v>1093</v>
      </c>
      <c r="B535" s="1546" t="s">
        <v>804</v>
      </c>
      <c r="C535" s="1546" t="s">
        <v>805</v>
      </c>
      <c r="D535" s="1547" t="s">
        <v>6929</v>
      </c>
      <c r="E535" s="690" t="s">
        <v>662</v>
      </c>
      <c r="F535" s="691"/>
      <c r="G535" s="692"/>
      <c r="H535" s="692"/>
      <c r="I535" s="692"/>
      <c r="J535" s="693"/>
      <c r="K535" s="693"/>
      <c r="L535" s="693"/>
      <c r="M535" s="694"/>
      <c r="N535" s="695"/>
      <c r="O535" s="696" t="s">
        <v>1569</v>
      </c>
      <c r="P535" s="695">
        <f>'HPM costs'!F447+'HPM costs'!F456+'HPM costs'!F477+'HPM costs'!F474</f>
        <v>0</v>
      </c>
      <c r="Q535" s="695" t="s">
        <v>1569</v>
      </c>
      <c r="R535" s="695">
        <f>'HPM costs'!G447+'HPM costs'!G456+'HPM costs'!G477+'HPM costs'!G474</f>
        <v>0</v>
      </c>
      <c r="S535" s="695" t="s">
        <v>1569</v>
      </c>
      <c r="T535" s="695">
        <f>'HPM costs'!H447+'HPM costs'!H456+'HPM costs'!H477+'HPM costs'!H474</f>
        <v>0</v>
      </c>
      <c r="U535" s="695" t="s">
        <v>1569</v>
      </c>
      <c r="V535" s="695">
        <f>'HPM costs'!I447+'HPM costs'!I456+'HPM costs'!I477+'HPM costs'!I474</f>
        <v>0</v>
      </c>
      <c r="W535" s="695"/>
      <c r="X535" s="1492">
        <f t="shared" si="54"/>
        <v>0</v>
      </c>
      <c r="Y535" s="1493"/>
      <c r="Z535" s="1494"/>
      <c r="AA535" s="699"/>
      <c r="AB535" s="695"/>
      <c r="AC535" s="695">
        <f>'HPM costs'!K447+'HPM costs'!K456+'HPM costs'!K477+'HPM costs'!K474</f>
        <v>0</v>
      </c>
      <c r="AD535" s="695"/>
      <c r="AE535" s="695">
        <f>'HPM costs'!L447+'HPM costs'!L456+'HPM costs'!L477+'HPM costs'!L474</f>
        <v>0</v>
      </c>
      <c r="AF535" s="695"/>
      <c r="AG535" s="695">
        <f>'HPM costs'!M447+'HPM costs'!M456+'HPM costs'!M477+'HPM costs'!M474</f>
        <v>0</v>
      </c>
      <c r="AH535" s="695"/>
      <c r="AI535" s="695">
        <f>'HPM costs'!N447+'HPM costs'!N456+'HPM costs'!N477+'HPM costs'!N474</f>
        <v>0</v>
      </c>
      <c r="AJ535" s="695"/>
      <c r="AK535" s="1492">
        <f t="shared" si="55"/>
        <v>0</v>
      </c>
      <c r="AL535" s="1493"/>
      <c r="AM535" s="1494"/>
      <c r="AN535" s="699"/>
      <c r="AO535" s="695"/>
      <c r="AP535" s="695">
        <f>'HPM costs'!P447+'HPM costs'!P456+'HPM costs'!P477+'HPM costs'!P474</f>
        <v>0</v>
      </c>
      <c r="AQ535" s="695"/>
      <c r="AR535" s="695">
        <f>'HPM costs'!Q447+'HPM costs'!Q456+'HPM costs'!Q477+'HPM costs'!Q474</f>
        <v>0</v>
      </c>
      <c r="AS535" s="695"/>
      <c r="AT535" s="695">
        <f>'HPM costs'!R447+'HPM costs'!R456+'HPM costs'!R477+'HPM costs'!R474</f>
        <v>0</v>
      </c>
      <c r="AU535" s="695"/>
      <c r="AV535" s="695">
        <f>'HPM costs'!S447+'HPM costs'!S456+'HPM costs'!S477+'HPM costs'!S474</f>
        <v>0</v>
      </c>
      <c r="AW535" s="695"/>
      <c r="AX535" s="1492">
        <f t="shared" si="56"/>
        <v>0</v>
      </c>
      <c r="AY535" s="1492"/>
      <c r="AZ535" s="698"/>
      <c r="BA535" s="699"/>
      <c r="BB535" s="697"/>
      <c r="BC535" s="697">
        <v>0</v>
      </c>
      <c r="BD535" s="697">
        <v>0</v>
      </c>
      <c r="BE535" s="697">
        <v>0</v>
      </c>
      <c r="BF535" s="697">
        <v>0</v>
      </c>
      <c r="BG535" s="697">
        <v>0</v>
      </c>
      <c r="BH535" s="697">
        <v>0</v>
      </c>
      <c r="BI535" s="697">
        <v>0</v>
      </c>
      <c r="BJ535" s="697">
        <v>0</v>
      </c>
      <c r="BK535" s="1492">
        <f t="shared" si="57"/>
        <v>0</v>
      </c>
      <c r="BL535" s="1492"/>
      <c r="BM535" s="1492">
        <f t="shared" si="58"/>
        <v>0</v>
      </c>
      <c r="BN535" s="1492">
        <f t="shared" si="59"/>
        <v>0</v>
      </c>
      <c r="BO535" s="697"/>
      <c r="BP535" s="697"/>
      <c r="BQ535" s="1495">
        <v>0</v>
      </c>
      <c r="BR535" s="1495" t="s">
        <v>818</v>
      </c>
      <c r="BS535" s="1902" t="s">
        <v>6929</v>
      </c>
      <c r="BT535" s="1907" t="s">
        <v>2254</v>
      </c>
    </row>
    <row r="536" spans="1:72" ht="13">
      <c r="A536" s="1545">
        <v>1094</v>
      </c>
      <c r="B536" s="1546" t="s">
        <v>804</v>
      </c>
      <c r="C536" s="1546" t="s">
        <v>805</v>
      </c>
      <c r="D536" s="1547" t="s">
        <v>6929</v>
      </c>
      <c r="E536" s="690" t="s">
        <v>664</v>
      </c>
      <c r="F536" s="691"/>
      <c r="G536" s="692"/>
      <c r="H536" s="692"/>
      <c r="I536" s="692"/>
      <c r="J536" s="693"/>
      <c r="K536" s="693"/>
      <c r="L536" s="693"/>
      <c r="M536" s="694"/>
      <c r="N536" s="695"/>
      <c r="O536" s="696" t="s">
        <v>1569</v>
      </c>
      <c r="P536" s="695">
        <f>'HPM costs'!F187+'HPM costs'!F196+'HPM costs'!F217+'HPM costs'!F533+'HPM costs'!F542+'HPM costs'!F563++'HPM costs'!F214+'HPM costs'!F560</f>
        <v>0</v>
      </c>
      <c r="Q536" s="695" t="s">
        <v>1569</v>
      </c>
      <c r="R536" s="695">
        <f>'HPM costs'!G187+'HPM costs'!G196+'HPM costs'!G217+'HPM costs'!G533+'HPM costs'!G542+'HPM costs'!G563+'HPM costs'!G214+'HPM costs'!G560</f>
        <v>0</v>
      </c>
      <c r="S536" s="695" t="s">
        <v>1569</v>
      </c>
      <c r="T536" s="695">
        <f>'HPM costs'!H187+'HPM costs'!H196+'HPM costs'!H217+'HPM costs'!H533+'HPM costs'!H542+'HPM costs'!H563+'HPM costs'!H214+'HPM costs'!H560</f>
        <v>0</v>
      </c>
      <c r="U536" s="695" t="s">
        <v>1569</v>
      </c>
      <c r="V536" s="695">
        <f>'HPM costs'!I187+'HPM costs'!I196+'HPM costs'!I217+'HPM costs'!I533+'HPM costs'!I542+'HPM costs'!I563+'HPM costs'!I214+'HPM costs'!I560</f>
        <v>0</v>
      </c>
      <c r="W536" s="695"/>
      <c r="X536" s="1492">
        <f t="shared" si="54"/>
        <v>0</v>
      </c>
      <c r="Y536" s="1493"/>
      <c r="Z536" s="1494"/>
      <c r="AA536" s="699"/>
      <c r="AB536" s="695"/>
      <c r="AC536" s="695">
        <f>'HPM costs'!K187+'HPM costs'!K196+'HPM costs'!K217+'HPM costs'!K533+'HPM costs'!K542+'HPM costs'!K563+'HPM costs'!K214+'HPM costs'!K560</f>
        <v>0</v>
      </c>
      <c r="AD536" s="695"/>
      <c r="AE536" s="695">
        <f>'HPM costs'!L187+'HPM costs'!L196+'HPM costs'!L217+'HPM costs'!L533+'HPM costs'!L542+'HPM costs'!L563+'HPM costs'!L214+'HPM costs'!L560</f>
        <v>0</v>
      </c>
      <c r="AF536" s="695"/>
      <c r="AG536" s="695">
        <f>'HPM costs'!M187+'HPM costs'!M196+'HPM costs'!M217+'HPM costs'!M533+'HPM costs'!M542+'HPM costs'!M563+'HPM costs'!M214+'HPM costs'!M560</f>
        <v>0</v>
      </c>
      <c r="AH536" s="695"/>
      <c r="AI536" s="695">
        <f>'HPM costs'!N187+'HPM costs'!N196+'HPM costs'!N217+'HPM costs'!N533+'HPM costs'!N542+'HPM costs'!N563+'HPM costs'!N214+'HPM costs'!N560</f>
        <v>0</v>
      </c>
      <c r="AJ536" s="695"/>
      <c r="AK536" s="1492">
        <f t="shared" si="55"/>
        <v>0</v>
      </c>
      <c r="AL536" s="1493"/>
      <c r="AM536" s="1494"/>
      <c r="AN536" s="699"/>
      <c r="AO536" s="695"/>
      <c r="AP536" s="695">
        <f>'HPM costs'!P187+'HPM costs'!P196+'HPM costs'!P217+'HPM costs'!P533+'HPM costs'!P542+'HPM costs'!P563+'HPM costs'!P214+'HPM costs'!P560</f>
        <v>0</v>
      </c>
      <c r="AQ536" s="695"/>
      <c r="AR536" s="695">
        <f>'HPM costs'!Q187+'HPM costs'!Q196+'HPM costs'!Q217+'HPM costs'!Q533+'HPM costs'!Q542+'HPM costs'!Q563+'HPM costs'!Q214+'HPM costs'!Q560</f>
        <v>0</v>
      </c>
      <c r="AS536" s="695"/>
      <c r="AT536" s="695">
        <f>'HPM costs'!R187+'HPM costs'!R196+'HPM costs'!R217+'HPM costs'!R533+'HPM costs'!R542+'HPM costs'!R563+'HPM costs'!R214+'HPM costs'!R560</f>
        <v>0</v>
      </c>
      <c r="AU536" s="695"/>
      <c r="AV536" s="695">
        <f>'HPM costs'!S187+'HPM costs'!S196+'HPM costs'!S217+'HPM costs'!S533+'HPM costs'!S542+'HPM costs'!S563+'HPM costs'!S214+'HPM costs'!S560</f>
        <v>0</v>
      </c>
      <c r="AW536" s="695"/>
      <c r="AX536" s="1492">
        <f t="shared" si="56"/>
        <v>0</v>
      </c>
      <c r="AY536" s="1492"/>
      <c r="AZ536" s="698"/>
      <c r="BA536" s="699"/>
      <c r="BB536" s="697"/>
      <c r="BC536" s="697">
        <v>0</v>
      </c>
      <c r="BD536" s="697">
        <v>0</v>
      </c>
      <c r="BE536" s="697">
        <v>0</v>
      </c>
      <c r="BF536" s="697">
        <v>0</v>
      </c>
      <c r="BG536" s="697">
        <v>0</v>
      </c>
      <c r="BH536" s="697">
        <v>0</v>
      </c>
      <c r="BI536" s="697">
        <v>0</v>
      </c>
      <c r="BJ536" s="697">
        <v>0</v>
      </c>
      <c r="BK536" s="1492">
        <f t="shared" si="57"/>
        <v>0</v>
      </c>
      <c r="BL536" s="1492"/>
      <c r="BM536" s="1492">
        <f t="shared" si="58"/>
        <v>0</v>
      </c>
      <c r="BN536" s="1492">
        <f t="shared" si="59"/>
        <v>0</v>
      </c>
      <c r="BO536" s="697"/>
      <c r="BP536" s="697"/>
      <c r="BQ536" s="1495">
        <v>0</v>
      </c>
      <c r="BR536" s="1495" t="s">
        <v>818</v>
      </c>
      <c r="BS536" s="1902" t="s">
        <v>6929</v>
      </c>
      <c r="BT536" s="1907" t="s">
        <v>2255</v>
      </c>
    </row>
    <row r="537" spans="1:72" ht="13">
      <c r="A537" s="1545">
        <v>1095</v>
      </c>
      <c r="B537" s="1546" t="s">
        <v>804</v>
      </c>
      <c r="C537" s="1546" t="s">
        <v>805</v>
      </c>
      <c r="D537" s="1547" t="s">
        <v>6929</v>
      </c>
      <c r="E537" s="690" t="s">
        <v>666</v>
      </c>
      <c r="F537" s="691"/>
      <c r="G537" s="692"/>
      <c r="H537" s="692"/>
      <c r="I537" s="692"/>
      <c r="J537" s="693"/>
      <c r="K537" s="693"/>
      <c r="L537" s="693"/>
      <c r="M537" s="694"/>
      <c r="N537" s="695"/>
      <c r="O537" s="696" t="s">
        <v>1569</v>
      </c>
      <c r="P537" s="695">
        <f>'HPM costs'!F273+'HPM costs'!F282+'HPM costs'!F303+'HPM costs'!F300</f>
        <v>0</v>
      </c>
      <c r="Q537" s="695" t="s">
        <v>1569</v>
      </c>
      <c r="R537" s="695">
        <f>'HPM costs'!G273+'HPM costs'!G282+'HPM costs'!G303+'HPM costs'!G300</f>
        <v>0</v>
      </c>
      <c r="S537" s="695" t="s">
        <v>1569</v>
      </c>
      <c r="T537" s="695">
        <f>'HPM costs'!H273+'HPM costs'!H282+'HPM costs'!H303+'HPM costs'!H300</f>
        <v>0</v>
      </c>
      <c r="U537" s="695" t="s">
        <v>1569</v>
      </c>
      <c r="V537" s="695">
        <f>'HPM costs'!I273+'HPM costs'!I282+'HPM costs'!I303+'HPM costs'!I300</f>
        <v>0</v>
      </c>
      <c r="W537" s="695"/>
      <c r="X537" s="1492">
        <f t="shared" si="54"/>
        <v>0</v>
      </c>
      <c r="Y537" s="1493"/>
      <c r="Z537" s="1494"/>
      <c r="AA537" s="699"/>
      <c r="AB537" s="695"/>
      <c r="AC537" s="695">
        <f>'HPM costs'!K273+'HPM costs'!K282+'HPM costs'!K303+'HPM costs'!K300</f>
        <v>0</v>
      </c>
      <c r="AD537" s="695"/>
      <c r="AE537" s="695">
        <f>'HPM costs'!L273+'HPM costs'!L282+'HPM costs'!L303+'HPM costs'!L300</f>
        <v>0</v>
      </c>
      <c r="AF537" s="695"/>
      <c r="AG537" s="695">
        <f>'HPM costs'!M273+'HPM costs'!M282+'HPM costs'!M303+'HPM costs'!M300</f>
        <v>0</v>
      </c>
      <c r="AH537" s="695"/>
      <c r="AI537" s="695">
        <f>'HPM costs'!N273+'HPM costs'!N282+'HPM costs'!N303+'HPM costs'!N300</f>
        <v>0</v>
      </c>
      <c r="AJ537" s="695"/>
      <c r="AK537" s="1492">
        <f t="shared" si="55"/>
        <v>0</v>
      </c>
      <c r="AL537" s="1493"/>
      <c r="AM537" s="1494"/>
      <c r="AN537" s="699"/>
      <c r="AO537" s="695"/>
      <c r="AP537" s="695">
        <f>'HPM costs'!P273+'HPM costs'!P282+'HPM costs'!P303+'HPM costs'!P300</f>
        <v>0</v>
      </c>
      <c r="AQ537" s="695"/>
      <c r="AR537" s="695">
        <f>'HPM costs'!Q273+'HPM costs'!Q282+'HPM costs'!Q303+'HPM costs'!Q300</f>
        <v>0</v>
      </c>
      <c r="AS537" s="695"/>
      <c r="AT537" s="695">
        <f>'HPM costs'!R273+'HPM costs'!R282+'HPM costs'!R303+'HPM costs'!R300</f>
        <v>0</v>
      </c>
      <c r="AU537" s="695"/>
      <c r="AV537" s="695">
        <f>'HPM costs'!S273+'HPM costs'!S282+'HPM costs'!S303+'HPM costs'!S300</f>
        <v>0</v>
      </c>
      <c r="AW537" s="695"/>
      <c r="AX537" s="1492">
        <f t="shared" si="56"/>
        <v>0</v>
      </c>
      <c r="AY537" s="1492"/>
      <c r="AZ537" s="698"/>
      <c r="BA537" s="699"/>
      <c r="BB537" s="697"/>
      <c r="BC537" s="697">
        <v>0</v>
      </c>
      <c r="BD537" s="697">
        <v>0</v>
      </c>
      <c r="BE537" s="697">
        <v>0</v>
      </c>
      <c r="BF537" s="697">
        <v>0</v>
      </c>
      <c r="BG537" s="697">
        <v>0</v>
      </c>
      <c r="BH537" s="697">
        <v>0</v>
      </c>
      <c r="BI537" s="697">
        <v>0</v>
      </c>
      <c r="BJ537" s="697">
        <v>0</v>
      </c>
      <c r="BK537" s="1492">
        <f t="shared" si="57"/>
        <v>0</v>
      </c>
      <c r="BL537" s="1492"/>
      <c r="BM537" s="1492">
        <f t="shared" si="58"/>
        <v>0</v>
      </c>
      <c r="BN537" s="1492">
        <f t="shared" si="59"/>
        <v>0</v>
      </c>
      <c r="BO537" s="697"/>
      <c r="BP537" s="697"/>
      <c r="BQ537" s="1495">
        <v>0</v>
      </c>
      <c r="BR537" s="1495" t="s">
        <v>818</v>
      </c>
      <c r="BS537" s="1902" t="s">
        <v>6929</v>
      </c>
      <c r="BT537" s="1907" t="s">
        <v>2256</v>
      </c>
    </row>
    <row r="538" spans="1:72" ht="13">
      <c r="A538" s="1545">
        <v>1096</v>
      </c>
      <c r="B538" s="1546" t="s">
        <v>804</v>
      </c>
      <c r="C538" s="1546" t="s">
        <v>805</v>
      </c>
      <c r="D538" s="1547" t="s">
        <v>6929</v>
      </c>
      <c r="E538" s="690" t="s">
        <v>668</v>
      </c>
      <c r="F538" s="691"/>
      <c r="G538" s="692"/>
      <c r="H538" s="692"/>
      <c r="I538" s="692"/>
      <c r="J538" s="693"/>
      <c r="K538" s="693"/>
      <c r="L538" s="693"/>
      <c r="M538" s="694"/>
      <c r="N538" s="695"/>
      <c r="O538" s="696" t="s">
        <v>1569</v>
      </c>
      <c r="P538" s="695">
        <f>'HPM costs'!F618+'HPM costs'!F627+'HPM costs'!F648+'HPM costs'!F645</f>
        <v>0</v>
      </c>
      <c r="Q538" s="695" t="s">
        <v>1569</v>
      </c>
      <c r="R538" s="695">
        <f>'HPM costs'!G618+'HPM costs'!G627+'HPM costs'!G648+'HPM costs'!G645</f>
        <v>0</v>
      </c>
      <c r="S538" s="695" t="s">
        <v>1569</v>
      </c>
      <c r="T538" s="695">
        <f>'HPM costs'!H618+'HPM costs'!H627+'HPM costs'!H648+'HPM costs'!H645</f>
        <v>0</v>
      </c>
      <c r="U538" s="695" t="s">
        <v>1569</v>
      </c>
      <c r="V538" s="695">
        <f>'HPM costs'!I618+'HPM costs'!I627+'HPM costs'!I648+'HPM costs'!I645</f>
        <v>0</v>
      </c>
      <c r="W538" s="695"/>
      <c r="X538" s="1492">
        <f t="shared" si="54"/>
        <v>0</v>
      </c>
      <c r="Y538" s="1493"/>
      <c r="Z538" s="1494"/>
      <c r="AA538" s="699"/>
      <c r="AB538" s="695"/>
      <c r="AC538" s="695">
        <f>'HPM costs'!K618+'HPM costs'!K627+'HPM costs'!K648+'HPM costs'!K645</f>
        <v>0</v>
      </c>
      <c r="AD538" s="695"/>
      <c r="AE538" s="695">
        <f>'HPM costs'!L618+'HPM costs'!L627+'HPM costs'!L648+'HPM costs'!L645</f>
        <v>0</v>
      </c>
      <c r="AF538" s="695"/>
      <c r="AG538" s="695">
        <f>'HPM costs'!M618+'HPM costs'!M627+'HPM costs'!M648+'HPM costs'!M645</f>
        <v>0</v>
      </c>
      <c r="AH538" s="695"/>
      <c r="AI538" s="695">
        <f>'HPM costs'!N618+'HPM costs'!N627+'HPM costs'!N648+'HPM costs'!N645</f>
        <v>0</v>
      </c>
      <c r="AJ538" s="695"/>
      <c r="AK538" s="1492">
        <f t="shared" si="55"/>
        <v>0</v>
      </c>
      <c r="AL538" s="1493"/>
      <c r="AM538" s="1494"/>
      <c r="AN538" s="699"/>
      <c r="AO538" s="695"/>
      <c r="AP538" s="695">
        <f>'HPM costs'!P618+'HPM costs'!P627+'HPM costs'!P648+'HPM costs'!P645</f>
        <v>0</v>
      </c>
      <c r="AQ538" s="695"/>
      <c r="AR538" s="695">
        <f>'HPM costs'!Q618+'HPM costs'!Q627+'HPM costs'!Q648+'HPM costs'!Q645</f>
        <v>0</v>
      </c>
      <c r="AS538" s="695"/>
      <c r="AT538" s="695">
        <f>'HPM costs'!R618+'HPM costs'!R627+'HPM costs'!R648+'HPM costs'!R645</f>
        <v>0</v>
      </c>
      <c r="AU538" s="695"/>
      <c r="AV538" s="695">
        <f>'HPM costs'!S618+'HPM costs'!S627+'HPM costs'!S648+'HPM costs'!S645</f>
        <v>0</v>
      </c>
      <c r="AW538" s="695"/>
      <c r="AX538" s="1492">
        <f t="shared" si="56"/>
        <v>0</v>
      </c>
      <c r="AY538" s="1492"/>
      <c r="AZ538" s="698"/>
      <c r="BA538" s="699"/>
      <c r="BB538" s="697"/>
      <c r="BC538" s="697">
        <v>0</v>
      </c>
      <c r="BD538" s="697">
        <v>0</v>
      </c>
      <c r="BE538" s="697">
        <v>0</v>
      </c>
      <c r="BF538" s="697">
        <v>0</v>
      </c>
      <c r="BG538" s="697">
        <v>0</v>
      </c>
      <c r="BH538" s="697">
        <v>0</v>
      </c>
      <c r="BI538" s="697">
        <v>0</v>
      </c>
      <c r="BJ538" s="697">
        <v>0</v>
      </c>
      <c r="BK538" s="1492">
        <f t="shared" si="57"/>
        <v>0</v>
      </c>
      <c r="BL538" s="1492"/>
      <c r="BM538" s="1492">
        <f t="shared" si="58"/>
        <v>0</v>
      </c>
      <c r="BN538" s="1492">
        <f t="shared" si="59"/>
        <v>0</v>
      </c>
      <c r="BO538" s="697"/>
      <c r="BP538" s="697"/>
      <c r="BQ538" s="1495">
        <v>0</v>
      </c>
      <c r="BR538" s="1495" t="s">
        <v>818</v>
      </c>
      <c r="BS538" s="1902" t="s">
        <v>6929</v>
      </c>
      <c r="BT538" s="1907" t="s">
        <v>2257</v>
      </c>
    </row>
    <row r="539" spans="1:72" ht="13">
      <c r="A539" s="1545">
        <v>1109</v>
      </c>
      <c r="B539" s="1546" t="s">
        <v>804</v>
      </c>
      <c r="C539" s="1546" t="s">
        <v>807</v>
      </c>
      <c r="D539" s="1547" t="s">
        <v>6966</v>
      </c>
      <c r="E539" s="690" t="s">
        <v>784</v>
      </c>
      <c r="F539" s="691"/>
      <c r="G539" s="692"/>
      <c r="H539" s="692"/>
      <c r="I539" s="692"/>
      <c r="J539" s="693"/>
      <c r="K539" s="693"/>
      <c r="L539" s="693"/>
      <c r="M539" s="694"/>
      <c r="N539" s="695"/>
      <c r="O539" s="696" t="s">
        <v>1569</v>
      </c>
      <c r="P539" s="695">
        <f>IF(SETUP!$F$22="Upfront",SUM('EBS-H'!K113:K128),0)</f>
        <v>0</v>
      </c>
      <c r="Q539" s="695" t="s">
        <v>1569</v>
      </c>
      <c r="R539" s="695">
        <f>IF(SETUP!$F$22="Upfront",SUM('EBS-H'!O113:O128),IF(SETUP!$F$22="At delivery", IF(SETUP!$G$22=1,SUM('EBS-H'!K113:K128),0),0))</f>
        <v>0</v>
      </c>
      <c r="S539" s="695" t="s">
        <v>1569</v>
      </c>
      <c r="T539" s="695">
        <f>IF(SETUP!$F$22="Upfront",SUM('EBS-H'!S113:S128),IF(SETUP!$F$33="At delivery", IF(SETUP!$G$22=2,SUM('EBS-H'!K113:K128),IF(SETUP!$G$22=1,SUM('EBS-H'!O113:O128),0)),0))</f>
        <v>0</v>
      </c>
      <c r="U539" s="695" t="s">
        <v>1569</v>
      </c>
      <c r="V539" s="695">
        <f>IF(SETUP!$F$22="Upfront",SUM('EBS-H'!W113:W128),IF(SETUP!$F$22="At delivery", IF(SETUP!$G$22=3,SUM('EBS-H'!K113:K128),IF(SETUP!$G$22=2,SUM('EBS-H'!O113:O128),IF(SETUP!$G$22=1,SUM('EBS-H'!S113:S128),0))),0))</f>
        <v>0</v>
      </c>
      <c r="W539" s="695"/>
      <c r="X539" s="1492">
        <f t="shared" si="54"/>
        <v>0</v>
      </c>
      <c r="Y539" s="1493"/>
      <c r="Z539" s="1494"/>
      <c r="AA539" s="699"/>
      <c r="AB539" s="695"/>
      <c r="AC539" s="695">
        <f>IF(SETUP!$F$22="Upfront",SUM('EBS-H'!AC113:AC128),IF(SETUP!$F$22="At delivery", IF(SETUP!$G$22=4,SUM('EBS-H'!K113:K128),IF(SETUP!$G$22=3,SUM('EBS-H'!O113:O128),IF(SETUP!$G$22=2,SUM('EBS-H'!S113:S128),IF(SETUP!$G$22=1,SUM('EBS-H'!W113:W128),0)))),0))</f>
        <v>0</v>
      </c>
      <c r="AD539" s="695"/>
      <c r="AE539" s="695">
        <f>IF(SETUP!$F$22="Upfront",SUM('EBS-H'!AG113:AG128),IF(SETUP!$F$22="At delivery", IF(SETUP!$G$22=4,SUM('EBS-H'!O113:O128),IF(SETUP!$G$22=3,SUM('EBS-H'!S113:S128),IF(SETUP!$G$22=2,SUM('EBS-H'!W113:W128),IF(SETUP!$G$22=1,SUM('EBS-H'!AC113:AC128),0)))),0))</f>
        <v>0</v>
      </c>
      <c r="AF539" s="695"/>
      <c r="AG539" s="695">
        <f>IF(SETUP!$F$22="Upfront",SUM('EBS-H'!AK113:AK128),IF(SETUP!$F$22="At delivery", IF(SETUP!$G$22=4,SUM('EBS-H'!S113:S128),IF(SETUP!$G$22=3,SUM('EBS-H'!W113:W128),IF(SETUP!$G$22=2,SUM('EBS-H'!AC113:AC128),IF(SETUP!$G$22=1,SUM('EBS-H'!AG113:AG128),0)))),0))</f>
        <v>0</v>
      </c>
      <c r="AH539" s="695"/>
      <c r="AI539" s="695">
        <f>IF(SETUP!$F$22="Upfront",SUM('EBS-H'!AO113:AO128),IF(SETUP!$F$22="At delivery", IF(SETUP!$G$22=4,SUM('EBS-H'!W113:W128),IF(SETUP!$G$22=3,SUM('EBS-H'!AC113:AC128),IF(SETUP!$G$22=2,SUM('EBS-H'!AG113:AG128),IF(SETUP!$G$22=1,SUM('EBS-H'!AK113:AK128),0)))),0))</f>
        <v>0</v>
      </c>
      <c r="AJ539" s="695"/>
      <c r="AK539" s="1492">
        <f t="shared" si="55"/>
        <v>0</v>
      </c>
      <c r="AL539" s="1493"/>
      <c r="AM539" s="1494"/>
      <c r="AN539" s="699"/>
      <c r="AO539" s="695"/>
      <c r="AP539" s="695">
        <f>IF(SETUP!$F$22="Upfront",SUM('EBS-H'!AU113:AU128),IF(SETUP!$F$22="At delivery", IF(SETUP!$G$22=4,SUM('EBS-H'!AC113:AC128),IF(SETUP!$G$22=3,SUM('EBS-H'!AG113:AG128),IF(SETUP!$G$22=2,SUM('EBS-H'!AK113:AK128),IF(SETUP!$G$22=1,SUM('EBS-H'!AO113:AO128),0)))),0))</f>
        <v>0</v>
      </c>
      <c r="AQ539" s="695"/>
      <c r="AR539" s="695">
        <f>IF(SETUP!$F$22="Upfront",SUM('EBS-H'!AY113:AY128),IF(SETUP!$F$22="At delivery", IF(SETUP!$G$22=4,SUM('EBS-H'!AG113:AG128),IF(SETUP!$G$22=3,SUM('EBS-H'!AK113:AK128),IF(SETUP!$G$22=2,SUM('EBS-H'!AO113:AO128),IF(SETUP!$G$22=1,SUM('EBS-H'!AU113:AU128),0)))),0))</f>
        <v>0</v>
      </c>
      <c r="AS539" s="695"/>
      <c r="AT539" s="695">
        <f>IF(SETUP!$F$22="Upfront",SUM('EBS-H'!BC113:BC128),IF(SETUP!$F$22="At delivery", IF(SETUP!$G$22=4,SUM('EBS-H'!AK113:AK128),IF(SETUP!$G$22=3,SUM('EBS-H'!AO113:AO128),IF(SETUP!$G$22=2,SUM('EBS-H'!AU113:AU128),IF(SETUP!$G$22=1,SUM('EBS-H'!AY113:AY128),0)))),0))</f>
        <v>0</v>
      </c>
      <c r="AU539" s="695"/>
      <c r="AV539" s="695">
        <f>IF(SETUP!$F$22="Upfront",SUM('EBS-H'!BG113:BG128),IF(SETUP!$F$22="At delivery", IF(SETUP!$G$22=4,SUM(SUM('EBS-H'!AO113:AO128),SUM('EBS-H'!AU113:AU128),SUM('EBS-H'!AY113:AY128),SUM('EBS-H'!BC113:BC128),SUM('EBS-H'!BG113:BG128)),IF(SETUP!$G$22=3,SUM(SUM('EBS-H'!AU113:AU128),SUM('EBS-H'!AY113:AY128),SUM('EBS-H'!BC113:BC128),SUM('EBS-H'!BG113:BG128)),IF(SETUP!$G$22=2,SUM(SUM('EBS-H'!AY113:AY128),SUM('EBS-H'!BC113:BC128),SUM('EBS-H'!BG113:BG128)),IF(SETUP!$G$22=1,SUM(SUM('EBS-H'!BC113:BC128),SUM('EBS-H'!BG113:BG128)),0)))),0))</f>
        <v>0</v>
      </c>
      <c r="AW539" s="695"/>
      <c r="AX539" s="1492">
        <f t="shared" si="56"/>
        <v>0</v>
      </c>
      <c r="AY539" s="1492"/>
      <c r="AZ539" s="698"/>
      <c r="BA539" s="699"/>
      <c r="BB539" s="697"/>
      <c r="BC539" s="697">
        <v>0</v>
      </c>
      <c r="BD539" s="697">
        <v>0</v>
      </c>
      <c r="BE539" s="697">
        <v>0</v>
      </c>
      <c r="BF539" s="697">
        <v>0</v>
      </c>
      <c r="BG539" s="697">
        <v>0</v>
      </c>
      <c r="BH539" s="697">
        <v>0</v>
      </c>
      <c r="BI539" s="697">
        <v>0</v>
      </c>
      <c r="BJ539" s="697">
        <v>0</v>
      </c>
      <c r="BK539" s="1492">
        <f t="shared" si="57"/>
        <v>0</v>
      </c>
      <c r="BL539" s="1492"/>
      <c r="BM539" s="1492">
        <f t="shared" si="58"/>
        <v>0</v>
      </c>
      <c r="BN539" s="1492">
        <f t="shared" si="59"/>
        <v>0</v>
      </c>
      <c r="BO539" s="697"/>
      <c r="BP539" s="697"/>
      <c r="BQ539" s="1495">
        <v>0</v>
      </c>
      <c r="BR539" s="1495" t="s">
        <v>818</v>
      </c>
      <c r="BS539" s="1902" t="s">
        <v>6966</v>
      </c>
      <c r="BT539" s="1907" t="s">
        <v>2258</v>
      </c>
    </row>
    <row r="540" spans="1:72" ht="13">
      <c r="A540" s="1545">
        <v>1110</v>
      </c>
      <c r="B540" s="1546" t="s">
        <v>804</v>
      </c>
      <c r="C540" s="1546" t="s">
        <v>807</v>
      </c>
      <c r="D540" s="1547" t="s">
        <v>6951</v>
      </c>
      <c r="E540" s="690" t="s">
        <v>777</v>
      </c>
      <c r="F540" s="691"/>
      <c r="G540" s="692"/>
      <c r="H540" s="692"/>
      <c r="I540" s="692"/>
      <c r="J540" s="693"/>
      <c r="K540" s="693"/>
      <c r="L540" s="693"/>
      <c r="M540" s="694"/>
      <c r="N540" s="695"/>
      <c r="O540" s="696" t="s">
        <v>1569</v>
      </c>
      <c r="P540" s="695">
        <f>IF(SETUP!$F$22="Upfront",SUM('EBS-H'!K205:K211),0)</f>
        <v>0</v>
      </c>
      <c r="Q540" s="695" t="s">
        <v>1569</v>
      </c>
      <c r="R540" s="695">
        <f>IF(SETUP!$F$22="Upfront",SUM('EBS-H'!O205:O211),IF(SETUP!$F$22="At delivery", IF(SETUP!$G$22=1,SUM('EBS-H'!K205:K211),0),0))</f>
        <v>0</v>
      </c>
      <c r="S540" s="695" t="s">
        <v>1569</v>
      </c>
      <c r="T540" s="695">
        <f>IF(SETUP!$F$22="Upfront",SUM('EBS-H'!S205:S211),IF(SETUP!$F$22="At delivery", IF(SETUP!$G$22=2,SUM('EBS-H'!K205:K211),IF(SETUP!$G$22=1,SUM('EBS-H'!O205:O211),0)),0))</f>
        <v>0</v>
      </c>
      <c r="U540" s="695" t="s">
        <v>1569</v>
      </c>
      <c r="V540" s="695">
        <f>IF(SETUP!$F$22="Upfront",SUM('EBS-H'!W205:W211),IF(SETUP!$F$22="At delivery", IF(SETUP!$G$22=3,SUM('EBS-H'!K205:K211),IF(SETUP!$G$22=2,SUM('EBS-H'!O205:O211),IF(SETUP!$G$22=1,SUM('EBS-H'!S205:S211),0))),0))</f>
        <v>0</v>
      </c>
      <c r="W540" s="695"/>
      <c r="X540" s="1492">
        <f t="shared" si="54"/>
        <v>0</v>
      </c>
      <c r="Y540" s="1493"/>
      <c r="Z540" s="1494"/>
      <c r="AA540" s="699"/>
      <c r="AB540" s="695"/>
      <c r="AC540" s="695">
        <f>IF(SETUP!$F$22="Upfront",SUM('EBS-H'!AC205:AC211),IF(SETUP!$F$22="At delivery", IF(SETUP!$G$22=4,SUM('EBS-H'!K205:K211),IF(SETUP!$G$22=3,SUM('EBS-H'!O205:O211),IF(SETUP!$G$22=2,SUM('EBS-H'!S205:S211),IF(SETUP!$G$22=1,SUM('EBS-H'!W205:W211),0)))),0))</f>
        <v>0</v>
      </c>
      <c r="AD540" s="695"/>
      <c r="AE540" s="695">
        <f>IF(SETUP!$F$22="Upfront",SUM('EBS-H'!AG205:AG211),IF(SETUP!$F$22="At delivery", IF(SETUP!$G$22=4,SUM('EBS-H'!O205:O211),IF(SETUP!$G$22=3,SUM('EBS-H'!S205:S211),IF(SETUP!$G$22=2,SUM('EBS-H'!W205:W211),IF(SETUP!$G$22=1,SUM('EBS-H'!AC205:AC211),0)))),0))</f>
        <v>0</v>
      </c>
      <c r="AF540" s="695"/>
      <c r="AG540" s="695">
        <f>IF(SETUP!$F$22="Upfront",SUM('EBS-H'!AK205:AK211),IF(SETUP!$F$22="At delivery", IF(SETUP!$G$22=4,SUM('EBS-H'!S205:S211),IF(SETUP!$G$22=3,SUM('EBS-H'!W205:W211),IF(SETUP!$G$22=2,SUM('EBS-H'!AC205:AC211),IF(SETUP!$G$22=1,SUM('EBS-H'!AG205:AG211),0)))),0))</f>
        <v>0</v>
      </c>
      <c r="AH540" s="695"/>
      <c r="AI540" s="695">
        <f>IF(SETUP!$F$22="Upfront",SUM('EBS-H'!AO205:AO211),IF(SETUP!$F$22="At delivery", IF(SETUP!$G$22=4,SUM('EBS-H'!W205:W211),IF(SETUP!$G$22=3,SUM('EBS-H'!AC205:AC211),IF(SETUP!$G$22=2,SUM('EBS-H'!AG205:AG211),IF(SETUP!$G$22=1,SUM('EBS-H'!AK205:AK211),0)))),0))</f>
        <v>0</v>
      </c>
      <c r="AJ540" s="695"/>
      <c r="AK540" s="1492">
        <f t="shared" si="55"/>
        <v>0</v>
      </c>
      <c r="AL540" s="1493"/>
      <c r="AM540" s="1494"/>
      <c r="AN540" s="699"/>
      <c r="AO540" s="695"/>
      <c r="AP540" s="695">
        <f>IF(SETUP!$F$22="Upfront",SUM('EBS-H'!AU205:AU211),IF(SETUP!$F$22="At delivery", IF(SETUP!$G$22=4,SUM('EBS-H'!AC205:AC211),IF(SETUP!$G$22=3,SUM('EBS-H'!AG205:AG211),IF(SETUP!$G$22=2,SUM('EBS-H'!AK205:AK211),IF(SETUP!$G$22=1,SUM('EBS-H'!AO205:AO211),0)))),0))</f>
        <v>0</v>
      </c>
      <c r="AQ540" s="695"/>
      <c r="AR540" s="695">
        <f>IF(SETUP!$F$22="Upfront",SUM('EBS-H'!AY205:AY211),IF(SETUP!$F$22="At delivery", IF(SETUP!$G$22=4,SUM('EBS-H'!AG205:AG211),IF(SETUP!$G$22=3,SUM('EBS-H'!AK205:AK211),IF(SETUP!$G$22=2,SUM('EBS-H'!AO205:AO211),IF(SETUP!$G$22=1,SUM('EBS-H'!AU205:AU211),0)))),0))</f>
        <v>0</v>
      </c>
      <c r="AS540" s="695"/>
      <c r="AT540" s="695">
        <f>IF(SETUP!$F$22="Upfront",SUM('EBS-H'!BC205:BC211),IF(SETUP!$F$22="At delivery", IF(SETUP!$G$22=4,SUM('EBS-H'!AK205:AK211),IF(SETUP!$G$22=3,SUM('EBS-H'!AO205:AO211),IF(SETUP!$G$22=2,SUM('EBS-H'!AU205:AU211),IF(SETUP!$G$22=1,SUM('EBS-H'!AY205:AY211),0)))),0))</f>
        <v>0</v>
      </c>
      <c r="AU540" s="695"/>
      <c r="AV540" s="695">
        <f>IF(SETUP!$F$22="Upfront",SUM('EBS-H'!BG205:BG211),IF(SETUP!$F$22="At delivery", IF(SETUP!$G$22=4,SUM(SUM('EBS-H'!AO205:AO211),SUM('EBS-H'!AU205:AU211),SUM('EBS-H'!AY205:AY211),SUM('EBS-H'!BC205:BC211),SUM('EBS-H'!BG205:BG211)),IF(SETUP!$G$22=3,SUM(SUM('EBS-H'!AU205:AU211),SUM('EBS-H'!AY205:AY211),SUM('EBS-H'!BC205:BC211),SUM('EBS-H'!BG205:BG211)),IF(SETUP!$G$22=2,SUM(SUM('EBS-H'!AY205:AY211),SUM('EBS-H'!BC205:BC211),SUM('EBS-H'!BG205:BG211)),IF(SETUP!$G$22=1,SUM(SUM('EBS-H'!BC205:BC211),SUM('EBS-H'!BG205:BG211)),0)))),0))</f>
        <v>0</v>
      </c>
      <c r="AW540" s="695"/>
      <c r="AX540" s="1492">
        <f t="shared" si="56"/>
        <v>0</v>
      </c>
      <c r="AY540" s="1492"/>
      <c r="AZ540" s="698"/>
      <c r="BA540" s="699"/>
      <c r="BB540" s="697"/>
      <c r="BC540" s="697">
        <v>0</v>
      </c>
      <c r="BD540" s="697">
        <v>0</v>
      </c>
      <c r="BE540" s="697">
        <v>0</v>
      </c>
      <c r="BF540" s="697">
        <v>0</v>
      </c>
      <c r="BG540" s="697">
        <v>0</v>
      </c>
      <c r="BH540" s="697">
        <v>0</v>
      </c>
      <c r="BI540" s="697">
        <v>0</v>
      </c>
      <c r="BJ540" s="697">
        <v>0</v>
      </c>
      <c r="BK540" s="1492">
        <f t="shared" si="57"/>
        <v>0</v>
      </c>
      <c r="BL540" s="1492"/>
      <c r="BM540" s="1492">
        <f t="shared" si="58"/>
        <v>0</v>
      </c>
      <c r="BN540" s="1492">
        <f t="shared" si="59"/>
        <v>0</v>
      </c>
      <c r="BO540" s="697"/>
      <c r="BP540" s="697"/>
      <c r="BQ540" s="1495">
        <v>0</v>
      </c>
      <c r="BR540" s="1495" t="s">
        <v>818</v>
      </c>
      <c r="BS540" s="1902" t="s">
        <v>6951</v>
      </c>
      <c r="BT540" s="1907" t="s">
        <v>2259</v>
      </c>
    </row>
    <row r="541" spans="1:72" ht="13">
      <c r="A541" s="1545">
        <v>1111</v>
      </c>
      <c r="B541" s="1546" t="s">
        <v>804</v>
      </c>
      <c r="C541" s="1546" t="s">
        <v>807</v>
      </c>
      <c r="D541" s="1547" t="s">
        <v>6967</v>
      </c>
      <c r="E541" s="690" t="s">
        <v>779</v>
      </c>
      <c r="F541" s="691"/>
      <c r="G541" s="692"/>
      <c r="H541" s="692"/>
      <c r="I541" s="692"/>
      <c r="J541" s="693"/>
      <c r="K541" s="693"/>
      <c r="L541" s="693"/>
      <c r="M541" s="694"/>
      <c r="N541" s="695"/>
      <c r="O541" s="696" t="s">
        <v>1569</v>
      </c>
      <c r="P541" s="695">
        <f>IF(SETUP!$F$22="Upfront",SUM('EBS-H'!K129:K204),0)</f>
        <v>0</v>
      </c>
      <c r="Q541" s="695" t="s">
        <v>1569</v>
      </c>
      <c r="R541" s="695">
        <f>IF(SETUP!$F$22="Upfront",SUM('EBS-H'!O129:O204),IF(SETUP!$F$22="At delivery", IF(SETUP!$G$22=1,SUM('EBS-H'!K129:K204),0),0))</f>
        <v>0</v>
      </c>
      <c r="S541" s="695" t="s">
        <v>1569</v>
      </c>
      <c r="T541" s="695">
        <f>IF(SETUP!$F$22="Upfront",SUM('EBS-H'!S129:S204),IF(SETUP!$F$22="At delivery", IF(SETUP!$G$22=2,SUM('EBS-H'!K129:K204),IF(SETUP!$G$22=1,SUM('EBS-H'!O129:O204),0)),0))</f>
        <v>0</v>
      </c>
      <c r="U541" s="695" t="s">
        <v>1569</v>
      </c>
      <c r="V541" s="695">
        <f>IF(SETUP!$F$22="Upfront",SUM('EBS-H'!W129:W204),IF(SETUP!$F$22="At delivery", IF(SETUP!$G$22=3,SUM('EBS-H'!K129:K204),IF(SETUP!$G$22=2,SUM('EBS-H'!O129:O204),IF(SETUP!$G$22=1,SUM('EBS-H'!S129:S204),0))),0))</f>
        <v>0</v>
      </c>
      <c r="W541" s="695"/>
      <c r="X541" s="1492">
        <f t="shared" si="54"/>
        <v>0</v>
      </c>
      <c r="Y541" s="1493"/>
      <c r="Z541" s="1494"/>
      <c r="AA541" s="699"/>
      <c r="AB541" s="695"/>
      <c r="AC541" s="695">
        <f>IF(SETUP!$F$22="Upfront",SUM('EBS-H'!AC129:AC204),IF(SETUP!$F$22="At delivery", IF(SETUP!$G$22=4,SUM('EBS-H'!K129:K204),IF(SETUP!$G$22=3,SUM('EBS-H'!O129:O204),IF(SETUP!$G$22=2,SUM('EBS-H'!S129:S204),IF(SETUP!$G$22=1,SUM('EBS-H'!W129:W204),0)))),0))</f>
        <v>0</v>
      </c>
      <c r="AD541" s="695"/>
      <c r="AE541" s="695">
        <f>IF(SETUP!$F$22="Upfront",SUM('EBS-H'!AG129:AG204),IF(SETUP!$F$22="At delivery", IF(SETUP!$G$22=4,SUM('EBS-H'!O129:O204),IF(SETUP!$G$22=3,SUM('EBS-H'!S129:S204),IF(SETUP!$G$22=2,SUM('EBS-H'!W129:W204),IF(SETUP!$G$22=1,SUM('EBS-H'!AC129:AC204),0)))),0))</f>
        <v>0</v>
      </c>
      <c r="AF541" s="695"/>
      <c r="AG541" s="695">
        <f>IF(SETUP!$F$22="Upfront",SUM('EBS-H'!AK129:AK204),IF(SETUP!$F$22="At delivery", IF(SETUP!$G$22=4,SUM('EBS-H'!S129:S204),IF(SETUP!$G$22=3,SUM('EBS-H'!W129:W204),IF(SETUP!$G$22=2,SUM('EBS-H'!AC129:AC204),IF(SETUP!$G$22=1,SUM('EBS-H'!AG129:AG204),0)))),0))</f>
        <v>0</v>
      </c>
      <c r="AH541" s="695"/>
      <c r="AI541" s="695">
        <f>IF(SETUP!$F$22="Upfront",SUM('EBS-H'!AO129:AO204),IF(SETUP!$F$22="At delivery", IF(SETUP!$G$22=4,SUM('EBS-H'!W129:W204),IF(SETUP!$G$22=3,SUM('EBS-H'!AC129:AC204),IF(SETUP!$G$22=2,SUM('EBS-H'!AG129:AG204),IF(SETUP!$G$22=1,SUM('EBS-H'!AK129:AK204),0)))),0))</f>
        <v>0</v>
      </c>
      <c r="AJ541" s="695"/>
      <c r="AK541" s="1492">
        <f t="shared" si="55"/>
        <v>0</v>
      </c>
      <c r="AL541" s="1493"/>
      <c r="AM541" s="1494"/>
      <c r="AN541" s="699"/>
      <c r="AO541" s="695"/>
      <c r="AP541" s="695">
        <f>IF(SETUP!$F$22="Upfront",SUM('EBS-H'!AU129:AU204),IF(SETUP!$F$22="At delivery", IF(SETUP!$G$22=4,SUM('EBS-H'!AC129:AC204),IF(SETUP!$G$22=3,SUM('EBS-H'!AG129:AG204),IF(SETUP!$G$22=2,SUM('EBS-H'!AK129:AK204),IF(SETUP!$G$22=1,SUM('EBS-H'!AO129:AO204),0)))),0))</f>
        <v>0</v>
      </c>
      <c r="AQ541" s="695"/>
      <c r="AR541" s="695">
        <f>IF(SETUP!$F$22="Upfront",SUM('EBS-H'!AY129:AY204),IF(SETUP!$F$22="At delivery", IF(SETUP!$G$22=4,SUM('EBS-H'!AG129:AG204),IF(SETUP!$G$22=3,SUM('EBS-H'!AK129:AK204),IF(SETUP!$G$22=2,SUM('EBS-H'!AO129:AO204),IF(SETUP!$G$22=1,SUM('EBS-H'!AU129:AU204),0)))),0))</f>
        <v>0</v>
      </c>
      <c r="AS541" s="695"/>
      <c r="AT541" s="695">
        <f>IF(SETUP!$F$22="Upfront",SUM('EBS-H'!BC129:BC204),IF(SETUP!$F$22="At delivery", IF(SETUP!$G$22=4,SUM('EBS-H'!AK129:AK204),IF(SETUP!$G$22=3,SUM('EBS-H'!AO129:AO204),IF(SETUP!$G$22=2,SUM('EBS-H'!AU129:AU204),IF(SETUP!$G$22=1,SUM('EBS-H'!AY129:AY204),0)))),0))</f>
        <v>0</v>
      </c>
      <c r="AU541" s="695"/>
      <c r="AV541" s="695">
        <f>IF(SETUP!$F$22="Upfront",SUM('EBS-H'!BG129:BG204),IF(SETUP!$F$22="At delivery", IF(SETUP!$G$22=4,SUM(SUM('EBS-H'!AO129:AO204),SUM('EBS-H'!AU129:AU204),SUM('EBS-H'!AY129:AY204),SUM('EBS-H'!BC129:BC204),SUM('EBS-H'!BG129:BG204)),IF(SETUP!$G$22=3,SUM(SUM('EBS-H'!AU129:AU204),SUM('EBS-H'!AY129:AY204),SUM('EBS-H'!BC129:BC204),SUM('EBS-H'!BG129:BG204)),IF(SETUP!$G$22=2,SUM(SUM('EBS-H'!AY129:AY204),SUM('EBS-H'!BC129:BC204),SUM('EBS-H'!BG129:BG204)),IF(SETUP!$G$22=1,SUM(SUM('EBS-H'!BC129:BC204),SUM('EBS-H'!BG129:BG204)),0)))),0))</f>
        <v>0</v>
      </c>
      <c r="AW541" s="695"/>
      <c r="AX541" s="1492">
        <f t="shared" si="56"/>
        <v>0</v>
      </c>
      <c r="AY541" s="1492"/>
      <c r="AZ541" s="698"/>
      <c r="BA541" s="699"/>
      <c r="BB541" s="697"/>
      <c r="BC541" s="697">
        <v>0</v>
      </c>
      <c r="BD541" s="697">
        <v>0</v>
      </c>
      <c r="BE541" s="697">
        <v>0</v>
      </c>
      <c r="BF541" s="697">
        <v>0</v>
      </c>
      <c r="BG541" s="697">
        <v>0</v>
      </c>
      <c r="BH541" s="697">
        <v>0</v>
      </c>
      <c r="BI541" s="697">
        <v>0</v>
      </c>
      <c r="BJ541" s="697">
        <v>0</v>
      </c>
      <c r="BK541" s="1492">
        <f t="shared" si="57"/>
        <v>0</v>
      </c>
      <c r="BL541" s="1492"/>
      <c r="BM541" s="1492">
        <f t="shared" si="58"/>
        <v>0</v>
      </c>
      <c r="BN541" s="1492">
        <f t="shared" si="59"/>
        <v>0</v>
      </c>
      <c r="BO541" s="697"/>
      <c r="BP541" s="697"/>
      <c r="BQ541" s="1495">
        <v>0</v>
      </c>
      <c r="BR541" s="1495" t="s">
        <v>818</v>
      </c>
      <c r="BS541" s="1902" t="s">
        <v>6967</v>
      </c>
      <c r="BT541" s="1907" t="s">
        <v>2260</v>
      </c>
    </row>
    <row r="542" spans="1:72" ht="13">
      <c r="A542" s="1545">
        <v>1115</v>
      </c>
      <c r="B542" s="1546" t="s">
        <v>804</v>
      </c>
      <c r="C542" s="1546" t="s">
        <v>807</v>
      </c>
      <c r="D542" s="1547" t="s">
        <v>6929</v>
      </c>
      <c r="E542" s="690" t="s">
        <v>656</v>
      </c>
      <c r="F542" s="691"/>
      <c r="G542" s="692"/>
      <c r="H542" s="692"/>
      <c r="I542" s="692"/>
      <c r="J542" s="693"/>
      <c r="K542" s="693"/>
      <c r="L542" s="693"/>
      <c r="M542" s="694"/>
      <c r="N542" s="695"/>
      <c r="O542" s="696" t="s">
        <v>1569</v>
      </c>
      <c r="P542" s="695">
        <f>'HPM costs'!F21</f>
        <v>0</v>
      </c>
      <c r="Q542" s="695" t="s">
        <v>1569</v>
      </c>
      <c r="R542" s="695">
        <f>'HPM costs'!G21</f>
        <v>0</v>
      </c>
      <c r="S542" s="695" t="s">
        <v>1569</v>
      </c>
      <c r="T542" s="695">
        <f>'HPM costs'!H21</f>
        <v>0</v>
      </c>
      <c r="U542" s="695" t="s">
        <v>1569</v>
      </c>
      <c r="V542" s="695">
        <f>'HPM costs'!I21</f>
        <v>0</v>
      </c>
      <c r="W542" s="695"/>
      <c r="X542" s="1492">
        <f t="shared" si="54"/>
        <v>0</v>
      </c>
      <c r="Y542" s="1493"/>
      <c r="Z542" s="1494"/>
      <c r="AA542" s="699"/>
      <c r="AB542" s="695"/>
      <c r="AC542" s="695">
        <f>'HPM costs'!K21</f>
        <v>0</v>
      </c>
      <c r="AD542" s="695"/>
      <c r="AE542" s="695">
        <f>'HPM costs'!L21</f>
        <v>0</v>
      </c>
      <c r="AF542" s="695"/>
      <c r="AG542" s="695">
        <f>'HPM costs'!M21</f>
        <v>0</v>
      </c>
      <c r="AH542" s="695"/>
      <c r="AI542" s="695">
        <f>'HPM costs'!N21</f>
        <v>0</v>
      </c>
      <c r="AJ542" s="695"/>
      <c r="AK542" s="1492">
        <f t="shared" si="55"/>
        <v>0</v>
      </c>
      <c r="AL542" s="1493"/>
      <c r="AM542" s="1494"/>
      <c r="AN542" s="699"/>
      <c r="AO542" s="695"/>
      <c r="AP542" s="695">
        <f>'HPM costs'!P21</f>
        <v>0</v>
      </c>
      <c r="AQ542" s="695"/>
      <c r="AR542" s="695">
        <f>'HPM costs'!Q21</f>
        <v>0</v>
      </c>
      <c r="AS542" s="695"/>
      <c r="AT542" s="695">
        <f>'HPM costs'!R21</f>
        <v>0</v>
      </c>
      <c r="AU542" s="695"/>
      <c r="AV542" s="695">
        <f>'HPM costs'!S21</f>
        <v>0</v>
      </c>
      <c r="AW542" s="695"/>
      <c r="AX542" s="1492">
        <f t="shared" si="56"/>
        <v>0</v>
      </c>
      <c r="AY542" s="1492"/>
      <c r="AZ542" s="698"/>
      <c r="BA542" s="699"/>
      <c r="BB542" s="697"/>
      <c r="BC542" s="697">
        <v>0</v>
      </c>
      <c r="BD542" s="697">
        <v>0</v>
      </c>
      <c r="BE542" s="697">
        <v>0</v>
      </c>
      <c r="BF542" s="697">
        <v>0</v>
      </c>
      <c r="BG542" s="697">
        <v>0</v>
      </c>
      <c r="BH542" s="697">
        <v>0</v>
      </c>
      <c r="BI542" s="697">
        <v>0</v>
      </c>
      <c r="BJ542" s="697">
        <v>0</v>
      </c>
      <c r="BK542" s="1492">
        <f t="shared" si="57"/>
        <v>0</v>
      </c>
      <c r="BL542" s="1492"/>
      <c r="BM542" s="1492">
        <f t="shared" si="58"/>
        <v>0</v>
      </c>
      <c r="BN542" s="1492">
        <f t="shared" si="59"/>
        <v>0</v>
      </c>
      <c r="BO542" s="697"/>
      <c r="BP542" s="697"/>
      <c r="BQ542" s="1495">
        <v>0</v>
      </c>
      <c r="BR542" s="1495" t="s">
        <v>818</v>
      </c>
      <c r="BS542" s="1902" t="s">
        <v>6929</v>
      </c>
      <c r="BT542" s="1907" t="s">
        <v>2300</v>
      </c>
    </row>
    <row r="543" spans="1:72" ht="13">
      <c r="A543" s="1545">
        <v>1116</v>
      </c>
      <c r="B543" s="1546" t="s">
        <v>804</v>
      </c>
      <c r="C543" s="1546" t="s">
        <v>807</v>
      </c>
      <c r="D543" s="1547" t="s">
        <v>6929</v>
      </c>
      <c r="E543" s="690" t="s">
        <v>658</v>
      </c>
      <c r="F543" s="691"/>
      <c r="G543" s="692"/>
      <c r="H543" s="692"/>
      <c r="I543" s="692"/>
      <c r="J543" s="693"/>
      <c r="K543" s="693"/>
      <c r="L543" s="693"/>
      <c r="M543" s="694"/>
      <c r="N543" s="695"/>
      <c r="O543" s="696" t="s">
        <v>1569</v>
      </c>
      <c r="P543" s="695">
        <f>'HPM costs'!F107</f>
        <v>0</v>
      </c>
      <c r="Q543" s="695" t="s">
        <v>1569</v>
      </c>
      <c r="R543" s="695">
        <f>'HPM costs'!G107</f>
        <v>0</v>
      </c>
      <c r="S543" s="695" t="s">
        <v>1569</v>
      </c>
      <c r="T543" s="695">
        <f>'HPM costs'!H107</f>
        <v>0</v>
      </c>
      <c r="U543" s="695" t="s">
        <v>1569</v>
      </c>
      <c r="V543" s="695">
        <f>'HPM costs'!I107</f>
        <v>0</v>
      </c>
      <c r="W543" s="695"/>
      <c r="X543" s="1492">
        <f t="shared" si="54"/>
        <v>0</v>
      </c>
      <c r="Y543" s="1493"/>
      <c r="Z543" s="1494"/>
      <c r="AA543" s="699"/>
      <c r="AB543" s="695"/>
      <c r="AC543" s="695">
        <f>'HPM costs'!K107</f>
        <v>0</v>
      </c>
      <c r="AD543" s="695"/>
      <c r="AE543" s="695">
        <f>'HPM costs'!L107</f>
        <v>0</v>
      </c>
      <c r="AF543" s="695"/>
      <c r="AG543" s="695">
        <f>'HPM costs'!M107</f>
        <v>0</v>
      </c>
      <c r="AH543" s="695"/>
      <c r="AI543" s="695">
        <f>'HPM costs'!N107</f>
        <v>0</v>
      </c>
      <c r="AJ543" s="695"/>
      <c r="AK543" s="1492">
        <f t="shared" si="55"/>
        <v>0</v>
      </c>
      <c r="AL543" s="1493"/>
      <c r="AM543" s="1494"/>
      <c r="AN543" s="699"/>
      <c r="AO543" s="695"/>
      <c r="AP543" s="695">
        <f>'HPM costs'!P107</f>
        <v>0</v>
      </c>
      <c r="AQ543" s="695"/>
      <c r="AR543" s="695">
        <f>'HPM costs'!Q107</f>
        <v>0</v>
      </c>
      <c r="AS543" s="695"/>
      <c r="AT543" s="695">
        <f>'HPM costs'!R107</f>
        <v>0</v>
      </c>
      <c r="AU543" s="695"/>
      <c r="AV543" s="695">
        <f>'HPM costs'!S107</f>
        <v>0</v>
      </c>
      <c r="AW543" s="695"/>
      <c r="AX543" s="1492">
        <f t="shared" si="56"/>
        <v>0</v>
      </c>
      <c r="AY543" s="1492"/>
      <c r="AZ543" s="698"/>
      <c r="BA543" s="699"/>
      <c r="BB543" s="697"/>
      <c r="BC543" s="697">
        <v>0</v>
      </c>
      <c r="BD543" s="697">
        <v>0</v>
      </c>
      <c r="BE543" s="697">
        <v>0</v>
      </c>
      <c r="BF543" s="697">
        <v>0</v>
      </c>
      <c r="BG543" s="697">
        <v>0</v>
      </c>
      <c r="BH543" s="697">
        <v>0</v>
      </c>
      <c r="BI543" s="697">
        <v>0</v>
      </c>
      <c r="BJ543" s="697">
        <v>0</v>
      </c>
      <c r="BK543" s="1492">
        <f t="shared" si="57"/>
        <v>0</v>
      </c>
      <c r="BL543" s="1492"/>
      <c r="BM543" s="1492">
        <f t="shared" si="58"/>
        <v>0</v>
      </c>
      <c r="BN543" s="1492">
        <f t="shared" si="59"/>
        <v>0</v>
      </c>
      <c r="BO543" s="697"/>
      <c r="BP543" s="697"/>
      <c r="BQ543" s="1495">
        <v>0</v>
      </c>
      <c r="BR543" s="1495" t="s">
        <v>818</v>
      </c>
      <c r="BS543" s="1902" t="s">
        <v>6929</v>
      </c>
      <c r="BT543" s="1907" t="s">
        <v>2301</v>
      </c>
    </row>
    <row r="544" spans="1:72" ht="13">
      <c r="A544" s="1545">
        <v>1117</v>
      </c>
      <c r="B544" s="1546" t="s">
        <v>804</v>
      </c>
      <c r="C544" s="1546" t="s">
        <v>807</v>
      </c>
      <c r="D544" s="1547" t="s">
        <v>6929</v>
      </c>
      <c r="E544" s="690" t="s">
        <v>660</v>
      </c>
      <c r="F544" s="691"/>
      <c r="G544" s="692"/>
      <c r="H544" s="692"/>
      <c r="I544" s="692"/>
      <c r="J544" s="693"/>
      <c r="K544" s="693"/>
      <c r="L544" s="693"/>
      <c r="M544" s="694"/>
      <c r="N544" s="695"/>
      <c r="O544" s="696" t="s">
        <v>1569</v>
      </c>
      <c r="P544" s="695">
        <f>'HPM costs'!F367</f>
        <v>0</v>
      </c>
      <c r="Q544" s="695" t="s">
        <v>1569</v>
      </c>
      <c r="R544" s="695">
        <f>'HPM costs'!G367</f>
        <v>0</v>
      </c>
      <c r="S544" s="695" t="s">
        <v>1569</v>
      </c>
      <c r="T544" s="695">
        <f>'HPM costs'!H367</f>
        <v>0</v>
      </c>
      <c r="U544" s="695" t="s">
        <v>1569</v>
      </c>
      <c r="V544" s="695">
        <f>'HPM costs'!I367</f>
        <v>0</v>
      </c>
      <c r="W544" s="695"/>
      <c r="X544" s="1492">
        <f t="shared" si="54"/>
        <v>0</v>
      </c>
      <c r="Y544" s="1493"/>
      <c r="Z544" s="1494"/>
      <c r="AA544" s="699"/>
      <c r="AB544" s="695"/>
      <c r="AC544" s="695">
        <f>'HPM costs'!K367</f>
        <v>0</v>
      </c>
      <c r="AD544" s="695"/>
      <c r="AE544" s="695">
        <f>'HPM costs'!L367</f>
        <v>0</v>
      </c>
      <c r="AF544" s="695"/>
      <c r="AG544" s="695">
        <f>'HPM costs'!M367</f>
        <v>0</v>
      </c>
      <c r="AH544" s="695"/>
      <c r="AI544" s="695">
        <f>'HPM costs'!N367</f>
        <v>0</v>
      </c>
      <c r="AJ544" s="695"/>
      <c r="AK544" s="1492">
        <f t="shared" si="55"/>
        <v>0</v>
      </c>
      <c r="AL544" s="1493"/>
      <c r="AM544" s="1494"/>
      <c r="AN544" s="699"/>
      <c r="AO544" s="695"/>
      <c r="AP544" s="695">
        <f>'HPM costs'!P367</f>
        <v>0</v>
      </c>
      <c r="AQ544" s="695"/>
      <c r="AR544" s="695">
        <f>'HPM costs'!Q367</f>
        <v>0</v>
      </c>
      <c r="AS544" s="695"/>
      <c r="AT544" s="695">
        <f>'HPM costs'!R367</f>
        <v>0</v>
      </c>
      <c r="AU544" s="695"/>
      <c r="AV544" s="695">
        <f>'HPM costs'!S367</f>
        <v>0</v>
      </c>
      <c r="AW544" s="695"/>
      <c r="AX544" s="1492">
        <f t="shared" si="56"/>
        <v>0</v>
      </c>
      <c r="AY544" s="1492"/>
      <c r="AZ544" s="698"/>
      <c r="BA544" s="699"/>
      <c r="BB544" s="697"/>
      <c r="BC544" s="697">
        <v>0</v>
      </c>
      <c r="BD544" s="697">
        <v>0</v>
      </c>
      <c r="BE544" s="697">
        <v>0</v>
      </c>
      <c r="BF544" s="697">
        <v>0</v>
      </c>
      <c r="BG544" s="697">
        <v>0</v>
      </c>
      <c r="BH544" s="697">
        <v>0</v>
      </c>
      <c r="BI544" s="697">
        <v>0</v>
      </c>
      <c r="BJ544" s="697">
        <v>0</v>
      </c>
      <c r="BK544" s="1492">
        <f t="shared" si="57"/>
        <v>0</v>
      </c>
      <c r="BL544" s="1492"/>
      <c r="BM544" s="1492">
        <f t="shared" si="58"/>
        <v>0</v>
      </c>
      <c r="BN544" s="1492">
        <f t="shared" si="59"/>
        <v>0</v>
      </c>
      <c r="BO544" s="697"/>
      <c r="BP544" s="697"/>
      <c r="BQ544" s="1495">
        <v>0</v>
      </c>
      <c r="BR544" s="1495" t="s">
        <v>818</v>
      </c>
      <c r="BS544" s="1902" t="s">
        <v>6929</v>
      </c>
      <c r="BT544" s="1907" t="s">
        <v>2302</v>
      </c>
    </row>
    <row r="545" spans="1:72" ht="13">
      <c r="A545" s="1545">
        <v>1118</v>
      </c>
      <c r="B545" s="1546" t="s">
        <v>804</v>
      </c>
      <c r="C545" s="1546" t="s">
        <v>807</v>
      </c>
      <c r="D545" s="1547" t="s">
        <v>6929</v>
      </c>
      <c r="E545" s="690" t="s">
        <v>662</v>
      </c>
      <c r="F545" s="691"/>
      <c r="G545" s="692"/>
      <c r="H545" s="692"/>
      <c r="I545" s="692"/>
      <c r="J545" s="693"/>
      <c r="K545" s="693"/>
      <c r="L545" s="693"/>
      <c r="M545" s="694"/>
      <c r="N545" s="695"/>
      <c r="O545" s="696" t="s">
        <v>1569</v>
      </c>
      <c r="P545" s="695">
        <f>'HPM costs'!F453</f>
        <v>0</v>
      </c>
      <c r="Q545" s="695" t="s">
        <v>1569</v>
      </c>
      <c r="R545" s="695">
        <f>'HPM costs'!G453</f>
        <v>0</v>
      </c>
      <c r="S545" s="695" t="s">
        <v>1569</v>
      </c>
      <c r="T545" s="695">
        <f>'HPM costs'!H453</f>
        <v>0</v>
      </c>
      <c r="U545" s="695" t="s">
        <v>1569</v>
      </c>
      <c r="V545" s="695">
        <f>'HPM costs'!I453</f>
        <v>0</v>
      </c>
      <c r="W545" s="695"/>
      <c r="X545" s="1492">
        <f t="shared" si="54"/>
        <v>0</v>
      </c>
      <c r="Y545" s="1493"/>
      <c r="Z545" s="1494"/>
      <c r="AA545" s="699"/>
      <c r="AB545" s="695"/>
      <c r="AC545" s="695">
        <f>'HPM costs'!K453</f>
        <v>0</v>
      </c>
      <c r="AD545" s="695"/>
      <c r="AE545" s="695">
        <f>'HPM costs'!L453</f>
        <v>0</v>
      </c>
      <c r="AF545" s="695"/>
      <c r="AG545" s="695">
        <f>'HPM costs'!M453</f>
        <v>0</v>
      </c>
      <c r="AH545" s="695"/>
      <c r="AI545" s="695">
        <f>'HPM costs'!N453</f>
        <v>0</v>
      </c>
      <c r="AJ545" s="695"/>
      <c r="AK545" s="1492">
        <f t="shared" si="55"/>
        <v>0</v>
      </c>
      <c r="AL545" s="1493"/>
      <c r="AM545" s="1494"/>
      <c r="AN545" s="699"/>
      <c r="AO545" s="695"/>
      <c r="AP545" s="695">
        <f>'HPM costs'!P453</f>
        <v>0</v>
      </c>
      <c r="AQ545" s="695"/>
      <c r="AR545" s="695">
        <f>'HPM costs'!Q453</f>
        <v>0</v>
      </c>
      <c r="AS545" s="695"/>
      <c r="AT545" s="695">
        <f>'HPM costs'!R453</f>
        <v>0</v>
      </c>
      <c r="AU545" s="695"/>
      <c r="AV545" s="695">
        <f>'HPM costs'!S453</f>
        <v>0</v>
      </c>
      <c r="AW545" s="695"/>
      <c r="AX545" s="1492">
        <f t="shared" si="56"/>
        <v>0</v>
      </c>
      <c r="AY545" s="1492"/>
      <c r="AZ545" s="698"/>
      <c r="BA545" s="699"/>
      <c r="BB545" s="697"/>
      <c r="BC545" s="697">
        <v>0</v>
      </c>
      <c r="BD545" s="697">
        <v>0</v>
      </c>
      <c r="BE545" s="697">
        <v>0</v>
      </c>
      <c r="BF545" s="697">
        <v>0</v>
      </c>
      <c r="BG545" s="697">
        <v>0</v>
      </c>
      <c r="BH545" s="697">
        <v>0</v>
      </c>
      <c r="BI545" s="697">
        <v>0</v>
      </c>
      <c r="BJ545" s="697">
        <v>0</v>
      </c>
      <c r="BK545" s="1492">
        <f t="shared" si="57"/>
        <v>0</v>
      </c>
      <c r="BL545" s="1492"/>
      <c r="BM545" s="1492">
        <f t="shared" si="58"/>
        <v>0</v>
      </c>
      <c r="BN545" s="1492">
        <f t="shared" si="59"/>
        <v>0</v>
      </c>
      <c r="BO545" s="697"/>
      <c r="BP545" s="697"/>
      <c r="BQ545" s="1495">
        <v>0</v>
      </c>
      <c r="BR545" s="1495" t="s">
        <v>818</v>
      </c>
      <c r="BS545" s="1902" t="s">
        <v>6929</v>
      </c>
      <c r="BT545" s="1907" t="s">
        <v>2303</v>
      </c>
    </row>
    <row r="546" spans="1:72" ht="13">
      <c r="A546" s="1545">
        <v>1119</v>
      </c>
      <c r="B546" s="1546" t="s">
        <v>804</v>
      </c>
      <c r="C546" s="1546" t="s">
        <v>807</v>
      </c>
      <c r="D546" s="1547" t="s">
        <v>6929</v>
      </c>
      <c r="E546" s="690" t="s">
        <v>664</v>
      </c>
      <c r="F546" s="691"/>
      <c r="G546" s="692"/>
      <c r="H546" s="692"/>
      <c r="I546" s="692"/>
      <c r="J546" s="693"/>
      <c r="K546" s="693"/>
      <c r="L546" s="693"/>
      <c r="M546" s="694"/>
      <c r="N546" s="695"/>
      <c r="O546" s="696" t="s">
        <v>1569</v>
      </c>
      <c r="P546" s="695">
        <f>'HPM costs'!F193+'HPM costs'!F539</f>
        <v>0</v>
      </c>
      <c r="Q546" s="695" t="s">
        <v>1569</v>
      </c>
      <c r="R546" s="695">
        <f>'HPM costs'!G193+'HPM costs'!G539</f>
        <v>0</v>
      </c>
      <c r="S546" s="695" t="s">
        <v>1569</v>
      </c>
      <c r="T546" s="695">
        <f>'HPM costs'!H193+'HPM costs'!H539</f>
        <v>0</v>
      </c>
      <c r="U546" s="695" t="s">
        <v>1569</v>
      </c>
      <c r="V546" s="695">
        <f>'HPM costs'!I193+'HPM costs'!I539</f>
        <v>0</v>
      </c>
      <c r="W546" s="695"/>
      <c r="X546" s="1492">
        <f t="shared" si="54"/>
        <v>0</v>
      </c>
      <c r="Y546" s="1493"/>
      <c r="Z546" s="1494"/>
      <c r="AA546" s="699"/>
      <c r="AB546" s="695"/>
      <c r="AC546" s="695">
        <f>'HPM costs'!K193+'HPM costs'!K539</f>
        <v>0</v>
      </c>
      <c r="AD546" s="695"/>
      <c r="AE546" s="695">
        <f>'HPM costs'!L193+'HPM costs'!L539</f>
        <v>0</v>
      </c>
      <c r="AF546" s="695"/>
      <c r="AG546" s="695">
        <f>'HPM costs'!M193+'HPM costs'!M539</f>
        <v>0</v>
      </c>
      <c r="AH546" s="695"/>
      <c r="AI546" s="695">
        <f>'HPM costs'!N193+'HPM costs'!N539</f>
        <v>0</v>
      </c>
      <c r="AJ546" s="695"/>
      <c r="AK546" s="1492">
        <f t="shared" si="55"/>
        <v>0</v>
      </c>
      <c r="AL546" s="1493"/>
      <c r="AM546" s="1494"/>
      <c r="AN546" s="699"/>
      <c r="AO546" s="695"/>
      <c r="AP546" s="695">
        <f>'HPM costs'!P193+'HPM costs'!P539</f>
        <v>0</v>
      </c>
      <c r="AQ546" s="695"/>
      <c r="AR546" s="695">
        <f>'HPM costs'!Q193+'HPM costs'!Q539</f>
        <v>0</v>
      </c>
      <c r="AS546" s="695"/>
      <c r="AT546" s="695">
        <f>'HPM costs'!R193+'HPM costs'!R539</f>
        <v>0</v>
      </c>
      <c r="AU546" s="695"/>
      <c r="AV546" s="695">
        <f>'HPM costs'!S193+'HPM costs'!S539</f>
        <v>0</v>
      </c>
      <c r="AW546" s="695"/>
      <c r="AX546" s="1492">
        <f t="shared" si="56"/>
        <v>0</v>
      </c>
      <c r="AY546" s="1492"/>
      <c r="AZ546" s="698"/>
      <c r="BA546" s="699"/>
      <c r="BB546" s="697"/>
      <c r="BC546" s="697">
        <v>0</v>
      </c>
      <c r="BD546" s="697">
        <v>0</v>
      </c>
      <c r="BE546" s="697">
        <v>0</v>
      </c>
      <c r="BF546" s="697">
        <v>0</v>
      </c>
      <c r="BG546" s="697">
        <v>0</v>
      </c>
      <c r="BH546" s="697">
        <v>0</v>
      </c>
      <c r="BI546" s="697">
        <v>0</v>
      </c>
      <c r="BJ546" s="697">
        <v>0</v>
      </c>
      <c r="BK546" s="1492">
        <f t="shared" si="57"/>
        <v>0</v>
      </c>
      <c r="BL546" s="1492"/>
      <c r="BM546" s="1492">
        <f t="shared" si="58"/>
        <v>0</v>
      </c>
      <c r="BN546" s="1492">
        <f t="shared" si="59"/>
        <v>0</v>
      </c>
      <c r="BO546" s="697"/>
      <c r="BP546" s="697"/>
      <c r="BQ546" s="1495">
        <v>0</v>
      </c>
      <c r="BR546" s="1495" t="s">
        <v>818</v>
      </c>
      <c r="BS546" s="1902" t="s">
        <v>6929</v>
      </c>
      <c r="BT546" s="1907" t="s">
        <v>2304</v>
      </c>
    </row>
    <row r="547" spans="1:72" ht="13">
      <c r="A547" s="1545">
        <v>1120</v>
      </c>
      <c r="B547" s="1546" t="s">
        <v>804</v>
      </c>
      <c r="C547" s="1546" t="s">
        <v>807</v>
      </c>
      <c r="D547" s="1547" t="s">
        <v>6929</v>
      </c>
      <c r="E547" s="690" t="s">
        <v>666</v>
      </c>
      <c r="F547" s="691"/>
      <c r="G547" s="692"/>
      <c r="H547" s="692"/>
      <c r="I547" s="692"/>
      <c r="J547" s="693"/>
      <c r="K547" s="693"/>
      <c r="L547" s="693"/>
      <c r="M547" s="694"/>
      <c r="N547" s="695"/>
      <c r="O547" s="696" t="s">
        <v>1569</v>
      </c>
      <c r="P547" s="695">
        <f>'HPM costs'!F279</f>
        <v>0</v>
      </c>
      <c r="Q547" s="695" t="s">
        <v>1569</v>
      </c>
      <c r="R547" s="695">
        <f>'HPM costs'!G279</f>
        <v>0</v>
      </c>
      <c r="S547" s="695" t="s">
        <v>1569</v>
      </c>
      <c r="T547" s="695">
        <f>'HPM costs'!H279</f>
        <v>0</v>
      </c>
      <c r="U547" s="695" t="s">
        <v>1569</v>
      </c>
      <c r="V547" s="695">
        <f>'HPM costs'!I279</f>
        <v>0</v>
      </c>
      <c r="W547" s="695"/>
      <c r="X547" s="1492">
        <f>P547+R547+T547+V547</f>
        <v>0</v>
      </c>
      <c r="Y547" s="1493"/>
      <c r="Z547" s="1494"/>
      <c r="AA547" s="699"/>
      <c r="AB547" s="695"/>
      <c r="AC547" s="695">
        <f>'HPM costs'!K279</f>
        <v>0</v>
      </c>
      <c r="AD547" s="695"/>
      <c r="AE547" s="695">
        <f>'HPM costs'!L279</f>
        <v>0</v>
      </c>
      <c r="AF547" s="695"/>
      <c r="AG547" s="695">
        <f>'HPM costs'!M279</f>
        <v>0</v>
      </c>
      <c r="AH547" s="695"/>
      <c r="AI547" s="695">
        <f>'HPM costs'!N279</f>
        <v>0</v>
      </c>
      <c r="AJ547" s="695"/>
      <c r="AK547" s="1492">
        <f t="shared" si="55"/>
        <v>0</v>
      </c>
      <c r="AL547" s="1493"/>
      <c r="AM547" s="1494"/>
      <c r="AN547" s="699"/>
      <c r="AO547" s="695"/>
      <c r="AP547" s="695">
        <f>'HPM costs'!P279</f>
        <v>0</v>
      </c>
      <c r="AQ547" s="695"/>
      <c r="AR547" s="695">
        <f>'HPM costs'!Q279</f>
        <v>0</v>
      </c>
      <c r="AS547" s="695"/>
      <c r="AT547" s="695">
        <f>'HPM costs'!R279</f>
        <v>0</v>
      </c>
      <c r="AU547" s="695"/>
      <c r="AV547" s="695">
        <f>'HPM costs'!S279</f>
        <v>0</v>
      </c>
      <c r="AW547" s="695"/>
      <c r="AX547" s="1492">
        <f t="shared" si="56"/>
        <v>0</v>
      </c>
      <c r="AY547" s="1492"/>
      <c r="AZ547" s="698"/>
      <c r="BA547" s="699"/>
      <c r="BB547" s="697"/>
      <c r="BC547" s="697">
        <v>0</v>
      </c>
      <c r="BD547" s="697">
        <v>0</v>
      </c>
      <c r="BE547" s="697">
        <v>0</v>
      </c>
      <c r="BF547" s="697">
        <v>0</v>
      </c>
      <c r="BG547" s="697">
        <v>0</v>
      </c>
      <c r="BH547" s="697">
        <v>0</v>
      </c>
      <c r="BI547" s="697">
        <v>0</v>
      </c>
      <c r="BJ547" s="697">
        <v>0</v>
      </c>
      <c r="BK547" s="1492">
        <f t="shared" si="57"/>
        <v>0</v>
      </c>
      <c r="BL547" s="1492"/>
      <c r="BM547" s="1492">
        <f t="shared" si="58"/>
        <v>0</v>
      </c>
      <c r="BN547" s="1492">
        <f t="shared" si="59"/>
        <v>0</v>
      </c>
      <c r="BO547" s="697"/>
      <c r="BP547" s="697"/>
      <c r="BQ547" s="1495">
        <v>0</v>
      </c>
      <c r="BR547" s="1495" t="s">
        <v>818</v>
      </c>
      <c r="BS547" s="1902" t="s">
        <v>6929</v>
      </c>
      <c r="BT547" s="1907" t="s">
        <v>6911</v>
      </c>
    </row>
    <row r="548" spans="1:72" ht="13">
      <c r="A548" s="1545">
        <v>1121</v>
      </c>
      <c r="B548" s="1546" t="s">
        <v>804</v>
      </c>
      <c r="C548" s="1546" t="s">
        <v>807</v>
      </c>
      <c r="D548" s="1547" t="s">
        <v>6929</v>
      </c>
      <c r="E548" s="690" t="s">
        <v>668</v>
      </c>
      <c r="F548" s="691"/>
      <c r="G548" s="692"/>
      <c r="H548" s="692"/>
      <c r="I548" s="692"/>
      <c r="J548" s="693"/>
      <c r="K548" s="693"/>
      <c r="L548" s="693"/>
      <c r="M548" s="694"/>
      <c r="N548" s="695"/>
      <c r="O548" s="696" t="s">
        <v>1569</v>
      </c>
      <c r="P548" s="695">
        <f>'HPM costs'!F624</f>
        <v>0</v>
      </c>
      <c r="Q548" s="695" t="s">
        <v>1569</v>
      </c>
      <c r="R548" s="695">
        <f>'HPM costs'!G624</f>
        <v>0</v>
      </c>
      <c r="S548" s="695" t="s">
        <v>1569</v>
      </c>
      <c r="T548" s="695">
        <f>'HPM costs'!H624</f>
        <v>0</v>
      </c>
      <c r="U548" s="695" t="s">
        <v>1569</v>
      </c>
      <c r="V548" s="695">
        <f>'HPM costs'!I624</f>
        <v>0</v>
      </c>
      <c r="W548" s="695"/>
      <c r="X548" s="1492">
        <f t="shared" si="54"/>
        <v>0</v>
      </c>
      <c r="Y548" s="1493"/>
      <c r="Z548" s="1494"/>
      <c r="AA548" s="699"/>
      <c r="AB548" s="695"/>
      <c r="AC548" s="695">
        <f>'HPM costs'!K624</f>
        <v>0</v>
      </c>
      <c r="AD548" s="695"/>
      <c r="AE548" s="695">
        <f>'HPM costs'!L624</f>
        <v>0</v>
      </c>
      <c r="AF548" s="695"/>
      <c r="AG548" s="695">
        <f>'HPM costs'!M624</f>
        <v>0</v>
      </c>
      <c r="AH548" s="695"/>
      <c r="AI548" s="695">
        <f>'HPM costs'!N624</f>
        <v>0</v>
      </c>
      <c r="AJ548" s="695"/>
      <c r="AK548" s="1492">
        <f t="shared" si="55"/>
        <v>0</v>
      </c>
      <c r="AL548" s="1493"/>
      <c r="AM548" s="1494"/>
      <c r="AN548" s="699"/>
      <c r="AO548" s="695"/>
      <c r="AP548" s="695">
        <f>'HPM costs'!P624</f>
        <v>0</v>
      </c>
      <c r="AQ548" s="695"/>
      <c r="AR548" s="695">
        <f>'HPM costs'!Q624</f>
        <v>0</v>
      </c>
      <c r="AS548" s="695"/>
      <c r="AT548" s="695">
        <f>'HPM costs'!R624</f>
        <v>0</v>
      </c>
      <c r="AU548" s="695"/>
      <c r="AV548" s="695">
        <f>'HPM costs'!S624</f>
        <v>0</v>
      </c>
      <c r="AW548" s="695"/>
      <c r="AX548" s="1492">
        <f t="shared" si="56"/>
        <v>0</v>
      </c>
      <c r="AY548" s="1492"/>
      <c r="AZ548" s="698"/>
      <c r="BA548" s="699"/>
      <c r="BB548" s="697"/>
      <c r="BC548" s="697">
        <v>0</v>
      </c>
      <c r="BD548" s="697">
        <v>0</v>
      </c>
      <c r="BE548" s="697">
        <v>0</v>
      </c>
      <c r="BF548" s="697">
        <v>0</v>
      </c>
      <c r="BG548" s="697">
        <v>0</v>
      </c>
      <c r="BH548" s="697">
        <v>0</v>
      </c>
      <c r="BI548" s="697">
        <v>0</v>
      </c>
      <c r="BJ548" s="697">
        <v>0</v>
      </c>
      <c r="BK548" s="1492">
        <f t="shared" si="57"/>
        <v>0</v>
      </c>
      <c r="BL548" s="1492"/>
      <c r="BM548" s="1492">
        <f t="shared" si="58"/>
        <v>0</v>
      </c>
      <c r="BN548" s="1492">
        <f t="shared" si="59"/>
        <v>0</v>
      </c>
      <c r="BO548" s="697"/>
      <c r="BP548" s="697"/>
      <c r="BQ548" s="1495">
        <v>0</v>
      </c>
      <c r="BR548" s="1495" t="s">
        <v>818</v>
      </c>
      <c r="BS548" s="1902" t="s">
        <v>6929</v>
      </c>
      <c r="BT548" s="1907" t="s">
        <v>2305</v>
      </c>
    </row>
    <row r="549" spans="1:72" s="681" customFormat="1" ht="20.65" hidden="1" customHeight="1">
      <c r="A549" s="1545">
        <v>72</v>
      </c>
      <c r="B549" s="1689" t="s">
        <v>726</v>
      </c>
      <c r="C549" s="1689" t="s">
        <v>727</v>
      </c>
      <c r="D549" s="1547" t="s">
        <v>6950</v>
      </c>
      <c r="E549" s="1690" t="s">
        <v>721</v>
      </c>
      <c r="F549" s="691"/>
      <c r="G549" s="692"/>
      <c r="H549" s="692"/>
      <c r="I549" s="692"/>
      <c r="J549" s="693"/>
      <c r="K549" s="693"/>
      <c r="L549" s="693"/>
      <c r="M549" s="694"/>
      <c r="N549" s="695"/>
      <c r="O549" s="696" t="s">
        <v>1569</v>
      </c>
      <c r="P549" s="695">
        <f>IF(SETUP!$F$58="Upfront",SUM('Extended Budget Sheet - Malaria'!K257:K257),0)</f>
        <v>0</v>
      </c>
      <c r="Q549" s="695" t="s">
        <v>1569</v>
      </c>
      <c r="R549" s="695">
        <f>IF(SETUP!$F$58="Upfront",SUM('Extended Budget Sheet - Malaria'!O257:O257),IF(SETUP!$F$58="At delivery", IF(SETUP!$G$58=1,SUM('Extended Budget Sheet - Malaria'!K257:K257),0),0))</f>
        <v>0</v>
      </c>
      <c r="S549" s="695" t="s">
        <v>1569</v>
      </c>
      <c r="T549" s="695">
        <f>IF(SETUP!$F$58="Upfront",SUM('Extended Budget Sheet - Malaria'!S257:S257),IF(SETUP!$F$58="At delivery", IF(SETUP!$G$58=2,SUM('Extended Budget Sheet - Malaria'!K257:K257),IF(SETUP!$G$58=1,SUM('Extended Budget Sheet - Malaria'!O257:O257),0)),0))</f>
        <v>0</v>
      </c>
      <c r="U549" s="695" t="s">
        <v>1569</v>
      </c>
      <c r="V549" s="695">
        <f>IF(SETUP!$F$58="Upfront",SUM('Extended Budget Sheet - Malaria'!W257:W257),IF(SETUP!$F$58="At delivery", IF(SETUP!$G$58=3,SUM('Extended Budget Sheet - Malaria'!K257:K257),IF(SETUP!$G$58=2,SUM('Extended Budget Sheet - Malaria'!O257:O257),IF(SETUP!$G$58=1,SUM('Extended Budget Sheet - Malaria'!S257:S257),0))),0))</f>
        <v>0</v>
      </c>
      <c r="W549" s="695"/>
      <c r="X549" s="1492">
        <f t="shared" si="54"/>
        <v>0</v>
      </c>
      <c r="Y549" s="1493"/>
      <c r="Z549" s="1494"/>
      <c r="AA549" s="699"/>
      <c r="AB549" s="695"/>
      <c r="AC549" s="695">
        <f>IF(SETUP!$F$58="Upfront",SUM('Extended Budget Sheet - Malaria'!AC257:AC257),IF(SETUP!$F$58="At delivery", IF(SETUP!$G$58=4,SUM('Extended Budget Sheet - Malaria'!K257:K257),IF(SETUP!$G$58=3,SUM('Extended Budget Sheet - Malaria'!O257:O257),IF(SETUP!$G$58=2,SUM('Extended Budget Sheet - Malaria'!S257:S257),IF(SETUP!$G$58=1,SUM('Extended Budget Sheet - Malaria'!W257:W257),0)))),0))</f>
        <v>0</v>
      </c>
      <c r="AD549" s="695"/>
      <c r="AE549" s="695">
        <f>IF(SETUP!$F$58="Upfront",SUM('Extended Budget Sheet - Malaria'!AG257:AG257),IF(SETUP!$F$58="At delivery", IF(SETUP!$G$58=4,SUM('Extended Budget Sheet - Malaria'!O257:O257),IF(SETUP!$G$58=3,SUM('Extended Budget Sheet - Malaria'!S257:S257),IF(SETUP!$G$58=2,SUM('Extended Budget Sheet - Malaria'!W257:W257),IF(SETUP!$G$58=1,SUM('Extended Budget Sheet - Malaria'!AC257:AC257),0)))),0))</f>
        <v>0</v>
      </c>
      <c r="AF549" s="695"/>
      <c r="AG549" s="695">
        <f>IF(SETUP!$F$58="Upfront",SUM('Extended Budget Sheet - Malaria'!AK257:AK257),IF(SETUP!$F$58="At delivery", IF(SETUP!$G$58=4,SUM('Extended Budget Sheet - Malaria'!S257:S257),IF(SETUP!$G$58=3,SUM('Extended Budget Sheet - Malaria'!W257:W257),IF(SETUP!$G$58=2,SUM('Extended Budget Sheet - Malaria'!AC257:AC257),IF(SETUP!$G$58=1,SUM('Extended Budget Sheet - Malaria'!AG257:AG257),0)))),0))</f>
        <v>0</v>
      </c>
      <c r="AH549" s="695"/>
      <c r="AI549" s="695">
        <f>IF(SETUP!$F$58="Upfront",SUM('Extended Budget Sheet - Malaria'!AO257:AO257),IF(SETUP!$F$58="At delivery", IF(SETUP!$G$58=4,SUM('Extended Budget Sheet - Malaria'!W257:W257),IF(SETUP!$G$58=3,SUM('Extended Budget Sheet - Malaria'!AC257:AC257),IF(SETUP!$G$58=2,SUM('Extended Budget Sheet - Malaria'!AG257:AG257),IF(SETUP!$G$58=1,SUM('Extended Budget Sheet - Malaria'!AK257:AK257),0)))),0))</f>
        <v>0</v>
      </c>
      <c r="AJ549" s="695"/>
      <c r="AK549" s="1492">
        <f t="shared" si="55"/>
        <v>0</v>
      </c>
      <c r="AL549" s="1493"/>
      <c r="AM549" s="1494"/>
      <c r="AN549" s="699"/>
      <c r="AO549" s="695"/>
      <c r="AP549" s="695">
        <f>IF(SETUP!$F$58="Upfront",SUM('Extended Budget Sheet - Malaria'!AU257:AU257),IF(SETUP!$F$58="At delivery", IF(SETUP!$G$58=4,SUM('Extended Budget Sheet - Malaria'!AC257:AC257),IF(SETUP!$G$58=3,SUM('Extended Budget Sheet - Malaria'!AG257:AG257),IF(SETUP!$G$58=2,SUM('Extended Budget Sheet - Malaria'!AK257:AK257),IF(SETUP!$G$58=1,SUM('Extended Budget Sheet - Malaria'!AO257:AO257),0)))),0))</f>
        <v>0</v>
      </c>
      <c r="AQ549" s="695"/>
      <c r="AR549" s="695">
        <f>IF(SETUP!$F$58="Upfront",SUM('Extended Budget Sheet - Malaria'!AY257:AY257),IF(SETUP!$F$58="At delivery", IF(SETUP!$G$58=4,SUM('Extended Budget Sheet - Malaria'!AG257:AG257),IF(SETUP!$G$58=3,SUM('Extended Budget Sheet - Malaria'!AK257:AK257),IF(SETUP!$G$58=2,SUM('Extended Budget Sheet - Malaria'!AO257:AO257),IF(SETUP!$G$58=1,SUM('Extended Budget Sheet - Malaria'!AU257:AU257),0)))),0))</f>
        <v>0</v>
      </c>
      <c r="AS549" s="695"/>
      <c r="AT549" s="695">
        <f>IF(SETUP!$F$58="Upfront",SUM('Extended Budget Sheet - Malaria'!BC257:BC257),IF(SETUP!$F$58="At delivery", IF(SETUP!$G$58=4,SUM('Extended Budget Sheet - Malaria'!AK257:AK257),IF(SETUP!$G$58=3,SUM('Extended Budget Sheet - Malaria'!AO257:AO257),IF(SETUP!$G$58=2,SUM('Extended Budget Sheet - Malaria'!AU257:AU257),IF(SETUP!$G$58=1,SUM('Extended Budget Sheet - Malaria'!AY257:AY257),0)))),0))</f>
        <v>0</v>
      </c>
      <c r="AU549" s="695"/>
      <c r="AV549" s="695">
        <f>IF(SETUP!$F$58="Upfront",SUM('Extended Budget Sheet - Malaria'!BG257:BG257),IF(SETUP!$F$58="At delivery", IF(SETUP!$G$58=4,SUM(SUM('Extended Budget Sheet - Malaria'!AO257:AO257),SUM('Extended Budget Sheet - Malaria'!AU257:AU257),SUM('Extended Budget Sheet - Malaria'!AY257:AY257),SUM('Extended Budget Sheet - Malaria'!BC257:BC257),SUM('Extended Budget Sheet - Malaria'!BG257:BG257)),IF(SETUP!$G$58=3,SUM(SUM('Extended Budget Sheet - Malaria'!AU257:AU257),SUM('Extended Budget Sheet - Malaria'!AY257:AY257),SUM('Extended Budget Sheet - Malaria'!BC257:BC257),SUM('Extended Budget Sheet - Malaria'!BG257:BG257)),IF(SETUP!$G$58=2,SUM(SUM('Extended Budget Sheet - Malaria'!AY257:AY257),SUM('Extended Budget Sheet - Malaria'!BC257:BC257),SUM('Extended Budget Sheet - Malaria'!BG257:BG257)),IF(SETUP!$G$58=1,SUM(SUM('Extended Budget Sheet - Malaria'!BC257:BC257),SUM('Extended Budget Sheet - Malaria'!BG257:BG257)),0)))),0))</f>
        <v>0</v>
      </c>
      <c r="AW549" s="695"/>
      <c r="AX549" s="1492">
        <f t="shared" si="56"/>
        <v>0</v>
      </c>
      <c r="AY549" s="1492"/>
      <c r="AZ549" s="698"/>
      <c r="BA549" s="699"/>
      <c r="BB549" s="697"/>
      <c r="BC549" s="697">
        <v>0</v>
      </c>
      <c r="BD549" s="697">
        <v>0</v>
      </c>
      <c r="BE549" s="697">
        <v>0</v>
      </c>
      <c r="BF549" s="697">
        <v>0</v>
      </c>
      <c r="BG549" s="697">
        <v>0</v>
      </c>
      <c r="BH549" s="697">
        <v>0</v>
      </c>
      <c r="BI549" s="697">
        <v>0</v>
      </c>
      <c r="BJ549" s="697">
        <v>0</v>
      </c>
      <c r="BK549" s="1492">
        <f t="shared" si="57"/>
        <v>0</v>
      </c>
      <c r="BL549" s="1492"/>
      <c r="BM549" s="1492">
        <f t="shared" si="58"/>
        <v>0</v>
      </c>
      <c r="BN549" s="1492">
        <f t="shared" si="59"/>
        <v>0</v>
      </c>
      <c r="BO549" s="697"/>
      <c r="BP549" s="697"/>
      <c r="BQ549" s="1495">
        <v>0</v>
      </c>
      <c r="BR549" s="1495" t="s">
        <v>19</v>
      </c>
      <c r="BS549" s="1495" t="s">
        <v>6950</v>
      </c>
      <c r="BT549" s="1905" t="s">
        <v>1579</v>
      </c>
    </row>
    <row r="550" spans="1:72" s="1870" customFormat="1" ht="5.65" customHeight="1">
      <c r="A550" s="1270"/>
      <c r="B550" s="1270"/>
      <c r="C550" s="1270"/>
      <c r="D550" s="1270"/>
      <c r="E550" s="1270"/>
      <c r="F550" s="1270"/>
      <c r="G550" s="1270"/>
      <c r="H550" s="1270"/>
      <c r="I550" s="1270"/>
      <c r="J550" s="1270"/>
      <c r="K550" s="1270"/>
      <c r="L550" s="1270"/>
      <c r="M550" s="1270"/>
      <c r="N550" s="1270"/>
      <c r="O550" s="1270"/>
      <c r="P550" s="1270"/>
      <c r="Q550" s="1270"/>
      <c r="R550" s="1270"/>
      <c r="S550" s="1270"/>
      <c r="T550" s="1270"/>
      <c r="U550" s="1270"/>
      <c r="V550" s="1270"/>
      <c r="W550" s="1270"/>
      <c r="X550" s="1270"/>
      <c r="Y550" s="1270"/>
      <c r="Z550" s="1270"/>
      <c r="AA550" s="1270"/>
      <c r="AB550" s="1270"/>
      <c r="AC550" s="1270"/>
      <c r="AD550" s="1270"/>
      <c r="AE550" s="1270"/>
      <c r="AF550" s="1270"/>
      <c r="AG550" s="1270"/>
      <c r="AH550" s="1270"/>
      <c r="AI550" s="1270"/>
      <c r="AJ550" s="1270"/>
      <c r="AK550" s="1270"/>
      <c r="AL550" s="1270"/>
      <c r="AM550" s="1270"/>
      <c r="AN550" s="1270"/>
      <c r="AO550" s="1270"/>
      <c r="AP550" s="1270"/>
      <c r="AQ550" s="1270"/>
      <c r="AR550" s="1270"/>
      <c r="AS550" s="1270"/>
      <c r="AT550" s="1270"/>
      <c r="AU550" s="1270"/>
      <c r="AV550" s="1270"/>
      <c r="AW550" s="1270"/>
      <c r="AX550" s="1270"/>
      <c r="AY550" s="1270"/>
      <c r="AZ550" s="1270"/>
      <c r="BA550" s="1270"/>
      <c r="BB550" s="1270"/>
      <c r="BC550" s="1270"/>
      <c r="BD550" s="1270"/>
      <c r="BE550" s="1270"/>
      <c r="BF550" s="1270"/>
      <c r="BG550" s="1270"/>
      <c r="BH550" s="1270"/>
      <c r="BI550" s="1270"/>
      <c r="BJ550" s="1270"/>
      <c r="BK550" s="1270"/>
      <c r="BL550" s="1270"/>
      <c r="BM550" s="1543">
        <f t="shared" si="58"/>
        <v>0</v>
      </c>
      <c r="BN550" s="1543">
        <f t="shared" si="59"/>
        <v>0</v>
      </c>
      <c r="BO550" s="1405"/>
      <c r="BP550" s="1405"/>
      <c r="BQ550" s="1542"/>
      <c r="BR550" s="1868"/>
      <c r="BS550" s="1869"/>
      <c r="BT550" s="1543"/>
    </row>
  </sheetData>
  <sheetProtection algorithmName="SHA-512" hashValue="sPRk0suQcPpjZ9fWJoupHfBlL7LYZWz9mSx4mcFNy2Stay+6DLCOwL5vh4kzPJ2QUKtIv7P7X67k/JIvahZYAQ==" saltValue="LVIoBV4HC1F6kH5+yaiGFw==" spinCount="100000" sheet="1" formatColumns="0" formatRows="0" autoFilter="0" pivotTables="0"/>
  <autoFilter ref="A1:BR550" xr:uid="{B5948ABC-AFA9-4024-9260-EA8CBF8425B1}">
    <filterColumn colId="69">
      <filters blank="1">
        <filter val="HIV"/>
      </filters>
    </filterColumn>
  </autoFilter>
  <sortState xmlns:xlrd2="http://schemas.microsoft.com/office/spreadsheetml/2017/richdata2" ref="A2:BR550">
    <sortCondition sortBy="cellColor" ref="A2:A550" dxfId="20"/>
    <sortCondition ref="A2:A550"/>
  </sortState>
  <conditionalFormatting sqref="D550 D2">
    <cfRule type="expression" dxfId="19" priority="238">
      <formula>LEN(INDIRECT(ADDRESS(ROW(),COLUMN())))&gt;255</formula>
    </cfRule>
  </conditionalFormatting>
  <conditionalFormatting sqref="E70 BP550 BU550:XFD550 B2:B550 A550:BM550">
    <cfRule type="expression" dxfId="18" priority="169">
      <formula>AND(#REF!="Discontinued")</formula>
    </cfRule>
  </conditionalFormatting>
  <conditionalFormatting sqref="C2:C33 C550 C50:C548 E2:E550">
    <cfRule type="expression" dxfId="17" priority="569">
      <formula>AND(#REF!="Discontinued")</formula>
    </cfRule>
  </conditionalFormatting>
  <conditionalFormatting sqref="BN550">
    <cfRule type="expression" dxfId="16" priority="48">
      <formula>AND(#REF!="Discontinued")</formula>
    </cfRule>
  </conditionalFormatting>
  <conditionalFormatting sqref="BO550">
    <cfRule type="expression" dxfId="15" priority="47">
      <formula>AND(#REF!="Discontinued")</formula>
    </cfRule>
  </conditionalFormatting>
  <conditionalFormatting sqref="C549">
    <cfRule type="expression" dxfId="14" priority="44">
      <formula>AND(#REF!="Discontinued")</formula>
    </cfRule>
  </conditionalFormatting>
  <conditionalFormatting sqref="C34:C41">
    <cfRule type="expression" dxfId="13" priority="36">
      <formula>AND(#REF!="Discontinued")</formula>
    </cfRule>
  </conditionalFormatting>
  <conditionalFormatting sqref="C42:C49">
    <cfRule type="expression" dxfId="12" priority="35">
      <formula>AND(#REF!="Discontinued")</formula>
    </cfRule>
  </conditionalFormatting>
  <conditionalFormatting sqref="D3:D549">
    <cfRule type="expression" dxfId="11" priority="11">
      <formula>LEN(INDIRECT(ADDRESS(ROW(),COLUMN())))&gt;255</formula>
    </cfRule>
  </conditionalFormatting>
  <conditionalFormatting sqref="K1:K550">
    <cfRule type="expression" dxfId="10" priority="602">
      <formula>AND($Q1="",$C1&lt;&gt;"--")</formula>
    </cfRule>
  </conditionalFormatting>
  <conditionalFormatting sqref="BT550">
    <cfRule type="expression" dxfId="9" priority="9">
      <formula>AND(#REF!="Discontinued")</formula>
    </cfRule>
  </conditionalFormatting>
  <pageMargins left="0.25" right="0.25" top="0.75" bottom="0.75" header="0.3" footer="0.3"/>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289C7-3969-CF40-B923-9FA3C2144A20}">
  <sheetPr>
    <tabColor theme="0" tint="-0.499984740745262"/>
  </sheetPr>
  <dimension ref="A1:Q27"/>
  <sheetViews>
    <sheetView workbookViewId="0">
      <selection activeCell="B11" sqref="B11"/>
    </sheetView>
  </sheetViews>
  <sheetFormatPr defaultColWidth="11.36328125" defaultRowHeight="14.5"/>
  <cols>
    <col min="1" max="1" width="48.1796875" bestFit="1" customWidth="1"/>
    <col min="2" max="5" width="16.7265625" bestFit="1" customWidth="1"/>
    <col min="6" max="6" width="25.54296875" bestFit="1" customWidth="1"/>
    <col min="7" max="10" width="16.7265625" bestFit="1" customWidth="1"/>
    <col min="11" max="11" width="25.54296875" bestFit="1" customWidth="1"/>
    <col min="12" max="15" width="16.7265625" bestFit="1" customWidth="1"/>
    <col min="16" max="16" width="25.54296875" bestFit="1" customWidth="1"/>
    <col min="17" max="17" width="27.08984375" bestFit="1" customWidth="1"/>
  </cols>
  <sheetData>
    <row r="1" spans="1:17">
      <c r="A1" s="838" t="s">
        <v>814</v>
      </c>
      <c r="B1" t="s">
        <v>818</v>
      </c>
    </row>
    <row r="3" spans="1:17">
      <c r="A3" s="838" t="s">
        <v>6912</v>
      </c>
      <c r="B3" t="s">
        <v>6917</v>
      </c>
      <c r="C3" t="s">
        <v>6918</v>
      </c>
      <c r="D3" t="s">
        <v>6919</v>
      </c>
      <c r="E3" t="s">
        <v>6920</v>
      </c>
      <c r="F3" t="s">
        <v>6913</v>
      </c>
      <c r="G3" t="s">
        <v>6921</v>
      </c>
      <c r="H3" t="s">
        <v>6922</v>
      </c>
      <c r="I3" t="s">
        <v>6923</v>
      </c>
      <c r="J3" t="s">
        <v>6924</v>
      </c>
      <c r="K3" t="s">
        <v>6914</v>
      </c>
      <c r="L3" t="s">
        <v>6925</v>
      </c>
      <c r="M3" t="s">
        <v>6926</v>
      </c>
      <c r="N3" t="s">
        <v>6927</v>
      </c>
      <c r="O3" t="s">
        <v>6928</v>
      </c>
      <c r="P3" t="s">
        <v>6915</v>
      </c>
      <c r="Q3" t="s">
        <v>6916</v>
      </c>
    </row>
    <row r="4" spans="1:17">
      <c r="A4" s="1437" t="s">
        <v>783</v>
      </c>
      <c r="B4" s="1555">
        <v>0</v>
      </c>
      <c r="C4" s="1555">
        <v>0</v>
      </c>
      <c r="D4" s="1555">
        <v>0</v>
      </c>
      <c r="E4" s="1555">
        <v>0</v>
      </c>
      <c r="F4" s="1555">
        <v>0</v>
      </c>
      <c r="G4" s="1555">
        <v>0</v>
      </c>
      <c r="H4" s="1555">
        <v>0</v>
      </c>
      <c r="I4" s="1555">
        <v>0</v>
      </c>
      <c r="J4" s="1555">
        <v>0</v>
      </c>
      <c r="K4" s="1555">
        <v>0</v>
      </c>
      <c r="L4" s="1555">
        <v>0</v>
      </c>
      <c r="M4" s="1555">
        <v>0</v>
      </c>
      <c r="N4" s="1555">
        <v>0</v>
      </c>
      <c r="O4" s="1555">
        <v>0</v>
      </c>
      <c r="P4" s="1555">
        <v>0</v>
      </c>
      <c r="Q4" s="1555">
        <v>0</v>
      </c>
    </row>
    <row r="5" spans="1:17">
      <c r="A5" s="1437" t="s">
        <v>777</v>
      </c>
      <c r="B5" s="1555">
        <v>0</v>
      </c>
      <c r="C5" s="1555">
        <v>0</v>
      </c>
      <c r="D5" s="1555">
        <v>0</v>
      </c>
      <c r="E5" s="1555">
        <v>0</v>
      </c>
      <c r="F5" s="1555">
        <v>0</v>
      </c>
      <c r="G5" s="1555">
        <v>0</v>
      </c>
      <c r="H5" s="1555">
        <v>0</v>
      </c>
      <c r="I5" s="1555">
        <v>0</v>
      </c>
      <c r="J5" s="1555">
        <v>0</v>
      </c>
      <c r="K5" s="1555">
        <v>0</v>
      </c>
      <c r="L5" s="1555">
        <v>0</v>
      </c>
      <c r="M5" s="1555">
        <v>0</v>
      </c>
      <c r="N5" s="1555">
        <v>0</v>
      </c>
      <c r="O5" s="1555">
        <v>0</v>
      </c>
      <c r="P5" s="1555">
        <v>0</v>
      </c>
      <c r="Q5" s="1555">
        <v>0</v>
      </c>
    </row>
    <row r="6" spans="1:17">
      <c r="A6" s="1437" t="s">
        <v>792</v>
      </c>
      <c r="B6" s="1555">
        <v>0</v>
      </c>
      <c r="C6" s="1555">
        <v>0</v>
      </c>
      <c r="D6" s="1555">
        <v>0</v>
      </c>
      <c r="E6" s="1555">
        <v>0</v>
      </c>
      <c r="F6" s="1555">
        <v>0</v>
      </c>
      <c r="G6" s="1555">
        <v>0</v>
      </c>
      <c r="H6" s="1555">
        <v>0</v>
      </c>
      <c r="I6" s="1555">
        <v>0</v>
      </c>
      <c r="J6" s="1555">
        <v>0</v>
      </c>
      <c r="K6" s="1555">
        <v>0</v>
      </c>
      <c r="L6" s="1555">
        <v>0</v>
      </c>
      <c r="M6" s="1555">
        <v>0</v>
      </c>
      <c r="N6" s="1555">
        <v>0</v>
      </c>
      <c r="O6" s="1555">
        <v>0</v>
      </c>
      <c r="P6" s="1555">
        <v>0</v>
      </c>
      <c r="Q6" s="1555">
        <v>0</v>
      </c>
    </row>
    <row r="7" spans="1:17">
      <c r="A7" s="1437" t="s">
        <v>784</v>
      </c>
      <c r="B7" s="1555">
        <v>0</v>
      </c>
      <c r="C7" s="1555">
        <v>0</v>
      </c>
      <c r="D7" s="1555">
        <v>0</v>
      </c>
      <c r="E7" s="1555">
        <v>0</v>
      </c>
      <c r="F7" s="1555">
        <v>0</v>
      </c>
      <c r="G7" s="1555">
        <v>0</v>
      </c>
      <c r="H7" s="1555">
        <v>0</v>
      </c>
      <c r="I7" s="1555">
        <v>0</v>
      </c>
      <c r="J7" s="1555">
        <v>0</v>
      </c>
      <c r="K7" s="1555">
        <v>0</v>
      </c>
      <c r="L7" s="1555">
        <v>0</v>
      </c>
      <c r="M7" s="1555">
        <v>0</v>
      </c>
      <c r="N7" s="1555">
        <v>0</v>
      </c>
      <c r="O7" s="1555">
        <v>0</v>
      </c>
      <c r="P7" s="1555">
        <v>0</v>
      </c>
      <c r="Q7" s="1555">
        <v>0</v>
      </c>
    </row>
    <row r="8" spans="1:17">
      <c r="A8" s="1437" t="s">
        <v>779</v>
      </c>
      <c r="B8" s="1555">
        <v>0</v>
      </c>
      <c r="C8" s="1555">
        <v>0</v>
      </c>
      <c r="D8" s="1555">
        <v>0</v>
      </c>
      <c r="E8" s="1555">
        <v>0</v>
      </c>
      <c r="F8" s="1555">
        <v>0</v>
      </c>
      <c r="G8" s="1555">
        <v>0</v>
      </c>
      <c r="H8" s="1555">
        <v>0</v>
      </c>
      <c r="I8" s="1555">
        <v>0</v>
      </c>
      <c r="J8" s="1555">
        <v>0</v>
      </c>
      <c r="K8" s="1555">
        <v>0</v>
      </c>
      <c r="L8" s="1555">
        <v>0</v>
      </c>
      <c r="M8" s="1555">
        <v>0</v>
      </c>
      <c r="N8" s="1555">
        <v>0</v>
      </c>
      <c r="O8" s="1555">
        <v>0</v>
      </c>
      <c r="P8" s="1555">
        <v>0</v>
      </c>
      <c r="Q8" s="1555">
        <v>0</v>
      </c>
    </row>
    <row r="9" spans="1:17">
      <c r="A9" s="1437" t="s">
        <v>791</v>
      </c>
      <c r="B9" s="1555">
        <v>0</v>
      </c>
      <c r="C9" s="1555">
        <v>0</v>
      </c>
      <c r="D9" s="1555">
        <v>0</v>
      </c>
      <c r="E9" s="1555">
        <v>0</v>
      </c>
      <c r="F9" s="1555">
        <v>0</v>
      </c>
      <c r="G9" s="1555">
        <v>0</v>
      </c>
      <c r="H9" s="1555">
        <v>0</v>
      </c>
      <c r="I9" s="1555">
        <v>0</v>
      </c>
      <c r="J9" s="1555">
        <v>0</v>
      </c>
      <c r="K9" s="1555">
        <v>0</v>
      </c>
      <c r="L9" s="1555">
        <v>0</v>
      </c>
      <c r="M9" s="1555">
        <v>0</v>
      </c>
      <c r="N9" s="1555">
        <v>0</v>
      </c>
      <c r="O9" s="1555">
        <v>0</v>
      </c>
      <c r="P9" s="1555">
        <v>0</v>
      </c>
      <c r="Q9" s="1555">
        <v>0</v>
      </c>
    </row>
    <row r="10" spans="1:17">
      <c r="A10" s="1437" t="s">
        <v>793</v>
      </c>
      <c r="B10" s="1555">
        <v>0</v>
      </c>
      <c r="C10" s="1555">
        <v>0</v>
      </c>
      <c r="D10" s="1555">
        <v>0</v>
      </c>
      <c r="E10" s="1555">
        <v>0</v>
      </c>
      <c r="F10" s="1555">
        <v>0</v>
      </c>
      <c r="G10" s="1555">
        <v>0</v>
      </c>
      <c r="H10" s="1555">
        <v>0</v>
      </c>
      <c r="I10" s="1555">
        <v>0</v>
      </c>
      <c r="J10" s="1555">
        <v>0</v>
      </c>
      <c r="K10" s="1555">
        <v>0</v>
      </c>
      <c r="L10" s="1555">
        <v>0</v>
      </c>
      <c r="M10" s="1555">
        <v>0</v>
      </c>
      <c r="N10" s="1555">
        <v>0</v>
      </c>
      <c r="O10" s="1555">
        <v>0</v>
      </c>
      <c r="P10" s="1555">
        <v>0</v>
      </c>
      <c r="Q10" s="1555">
        <v>0</v>
      </c>
    </row>
    <row r="11" spans="1:17">
      <c r="A11" s="1437" t="s">
        <v>731</v>
      </c>
      <c r="B11" s="1555">
        <v>0</v>
      </c>
      <c r="C11" s="1555">
        <v>0</v>
      </c>
      <c r="D11" s="1555">
        <v>0</v>
      </c>
      <c r="E11" s="1555">
        <v>0</v>
      </c>
      <c r="F11" s="1555">
        <v>0</v>
      </c>
      <c r="G11" s="1555">
        <v>0</v>
      </c>
      <c r="H11" s="1555">
        <v>0</v>
      </c>
      <c r="I11" s="1555">
        <v>0</v>
      </c>
      <c r="J11" s="1555">
        <v>0</v>
      </c>
      <c r="K11" s="1555">
        <v>0</v>
      </c>
      <c r="L11" s="1555">
        <v>0</v>
      </c>
      <c r="M11" s="1555">
        <v>0</v>
      </c>
      <c r="N11" s="1555">
        <v>0</v>
      </c>
      <c r="O11" s="1555">
        <v>0</v>
      </c>
      <c r="P11" s="1555">
        <v>0</v>
      </c>
      <c r="Q11" s="1555">
        <v>0</v>
      </c>
    </row>
    <row r="12" spans="1:17">
      <c r="A12" s="1437" t="s">
        <v>723</v>
      </c>
      <c r="B12" s="1555">
        <v>0</v>
      </c>
      <c r="C12" s="1555">
        <v>0</v>
      </c>
      <c r="D12" s="1555">
        <v>0</v>
      </c>
      <c r="E12" s="1555">
        <v>0</v>
      </c>
      <c r="F12" s="1555">
        <v>0</v>
      </c>
      <c r="G12" s="1555">
        <v>0</v>
      </c>
      <c r="H12" s="1555">
        <v>0</v>
      </c>
      <c r="I12" s="1555">
        <v>0</v>
      </c>
      <c r="J12" s="1555">
        <v>0</v>
      </c>
      <c r="K12" s="1555">
        <v>0</v>
      </c>
      <c r="L12" s="1555">
        <v>0</v>
      </c>
      <c r="M12" s="1555">
        <v>0</v>
      </c>
      <c r="N12" s="1555">
        <v>0</v>
      </c>
      <c r="O12" s="1555">
        <v>0</v>
      </c>
      <c r="P12" s="1555">
        <v>0</v>
      </c>
      <c r="Q12" s="1555">
        <v>0</v>
      </c>
    </row>
    <row r="13" spans="1:17">
      <c r="A13" s="1437" t="s">
        <v>781</v>
      </c>
      <c r="B13" s="1555">
        <v>0</v>
      </c>
      <c r="C13" s="1555">
        <v>0</v>
      </c>
      <c r="D13" s="1555">
        <v>0</v>
      </c>
      <c r="E13" s="1555">
        <v>0</v>
      </c>
      <c r="F13" s="1555">
        <v>0</v>
      </c>
      <c r="G13" s="1555">
        <v>0</v>
      </c>
      <c r="H13" s="1555">
        <v>0</v>
      </c>
      <c r="I13" s="1555">
        <v>0</v>
      </c>
      <c r="J13" s="1555">
        <v>0</v>
      </c>
      <c r="K13" s="1555">
        <v>0</v>
      </c>
      <c r="L13" s="1555">
        <v>0</v>
      </c>
      <c r="M13" s="1555">
        <v>0</v>
      </c>
      <c r="N13" s="1555">
        <v>0</v>
      </c>
      <c r="O13" s="1555">
        <v>0</v>
      </c>
      <c r="P13" s="1555">
        <v>0</v>
      </c>
      <c r="Q13" s="1555">
        <v>0</v>
      </c>
    </row>
    <row r="14" spans="1:17">
      <c r="A14" s="1437" t="s">
        <v>725</v>
      </c>
      <c r="B14" s="1555">
        <v>0</v>
      </c>
      <c r="C14" s="1555">
        <v>0</v>
      </c>
      <c r="D14" s="1555">
        <v>0</v>
      </c>
      <c r="E14" s="1555">
        <v>0</v>
      </c>
      <c r="F14" s="1555">
        <v>0</v>
      </c>
      <c r="G14" s="1555">
        <v>0</v>
      </c>
      <c r="H14" s="1555">
        <v>0</v>
      </c>
      <c r="I14" s="1555">
        <v>0</v>
      </c>
      <c r="J14" s="1555">
        <v>0</v>
      </c>
      <c r="K14" s="1555">
        <v>0</v>
      </c>
      <c r="L14" s="1555">
        <v>0</v>
      </c>
      <c r="M14" s="1555">
        <v>0</v>
      </c>
      <c r="N14" s="1555">
        <v>0</v>
      </c>
      <c r="O14" s="1555">
        <v>0</v>
      </c>
      <c r="P14" s="1555">
        <v>0</v>
      </c>
      <c r="Q14" s="1555">
        <v>0</v>
      </c>
    </row>
    <row r="15" spans="1:17">
      <c r="A15" s="1437" t="s">
        <v>806</v>
      </c>
      <c r="B15" s="1555">
        <v>0</v>
      </c>
      <c r="C15" s="1555">
        <v>0</v>
      </c>
      <c r="D15" s="1555">
        <v>0</v>
      </c>
      <c r="E15" s="1555">
        <v>0</v>
      </c>
      <c r="F15" s="1555">
        <v>0</v>
      </c>
      <c r="G15" s="1555">
        <v>0</v>
      </c>
      <c r="H15" s="1555">
        <v>0</v>
      </c>
      <c r="I15" s="1555">
        <v>0</v>
      </c>
      <c r="J15" s="1555">
        <v>0</v>
      </c>
      <c r="K15" s="1555">
        <v>0</v>
      </c>
      <c r="L15" s="1555">
        <v>0</v>
      </c>
      <c r="M15" s="1555">
        <v>0</v>
      </c>
      <c r="N15" s="1555">
        <v>0</v>
      </c>
      <c r="O15" s="1555">
        <v>0</v>
      </c>
      <c r="P15" s="1555">
        <v>0</v>
      </c>
      <c r="Q15" s="1555">
        <v>0</v>
      </c>
    </row>
    <row r="16" spans="1:17">
      <c r="A16" s="1437" t="s">
        <v>799</v>
      </c>
      <c r="B16" s="1555">
        <v>0</v>
      </c>
      <c r="C16" s="1555">
        <v>0</v>
      </c>
      <c r="D16" s="1555">
        <v>0</v>
      </c>
      <c r="E16" s="1555">
        <v>0</v>
      </c>
      <c r="F16" s="1555">
        <v>0</v>
      </c>
      <c r="G16" s="1555">
        <v>0</v>
      </c>
      <c r="H16" s="1555">
        <v>0</v>
      </c>
      <c r="I16" s="1555">
        <v>0</v>
      </c>
      <c r="J16" s="1555">
        <v>0</v>
      </c>
      <c r="K16" s="1555">
        <v>0</v>
      </c>
      <c r="L16" s="1555">
        <v>0</v>
      </c>
      <c r="M16" s="1555">
        <v>0</v>
      </c>
      <c r="N16" s="1555">
        <v>0</v>
      </c>
      <c r="O16" s="1555">
        <v>0</v>
      </c>
      <c r="P16" s="1555">
        <v>0</v>
      </c>
      <c r="Q16" s="1555">
        <v>0</v>
      </c>
    </row>
    <row r="17" spans="1:17">
      <c r="A17" s="1437" t="s">
        <v>782</v>
      </c>
      <c r="B17" s="1555">
        <v>0</v>
      </c>
      <c r="C17" s="1555">
        <v>0</v>
      </c>
      <c r="D17" s="1555">
        <v>0</v>
      </c>
      <c r="E17" s="1555">
        <v>0</v>
      </c>
      <c r="F17" s="1555">
        <v>0</v>
      </c>
      <c r="G17" s="1555">
        <v>0</v>
      </c>
      <c r="H17" s="1555">
        <v>0</v>
      </c>
      <c r="I17" s="1555">
        <v>0</v>
      </c>
      <c r="J17" s="1555">
        <v>0</v>
      </c>
      <c r="K17" s="1555">
        <v>0</v>
      </c>
      <c r="L17" s="1555">
        <v>0</v>
      </c>
      <c r="M17" s="1555">
        <v>0</v>
      </c>
      <c r="N17" s="1555">
        <v>0</v>
      </c>
      <c r="O17" s="1555">
        <v>0</v>
      </c>
      <c r="P17" s="1555">
        <v>0</v>
      </c>
      <c r="Q17" s="1555">
        <v>0</v>
      </c>
    </row>
    <row r="18" spans="1:17">
      <c r="A18" s="1437" t="s">
        <v>721</v>
      </c>
      <c r="B18" s="1555">
        <v>0</v>
      </c>
      <c r="C18" s="1555">
        <v>0</v>
      </c>
      <c r="D18" s="1555">
        <v>0</v>
      </c>
      <c r="E18" s="1555">
        <v>0</v>
      </c>
      <c r="F18" s="1555">
        <v>0</v>
      </c>
      <c r="G18" s="1555">
        <v>0</v>
      </c>
      <c r="H18" s="1555">
        <v>0</v>
      </c>
      <c r="I18" s="1555">
        <v>0</v>
      </c>
      <c r="J18" s="1555">
        <v>0</v>
      </c>
      <c r="K18" s="1555">
        <v>0</v>
      </c>
      <c r="L18" s="1555">
        <v>0</v>
      </c>
      <c r="M18" s="1555">
        <v>0</v>
      </c>
      <c r="N18" s="1555">
        <v>0</v>
      </c>
      <c r="O18" s="1555">
        <v>0</v>
      </c>
      <c r="P18" s="1555">
        <v>0</v>
      </c>
      <c r="Q18" s="1555">
        <v>0</v>
      </c>
    </row>
    <row r="19" spans="1:17">
      <c r="A19" s="1437" t="s">
        <v>714</v>
      </c>
      <c r="B19" s="1555">
        <v>0</v>
      </c>
      <c r="C19" s="1555">
        <v>0</v>
      </c>
      <c r="D19" s="1555">
        <v>0</v>
      </c>
      <c r="E19" s="1555">
        <v>0</v>
      </c>
      <c r="F19" s="1555">
        <v>0</v>
      </c>
      <c r="G19" s="1555">
        <v>0</v>
      </c>
      <c r="H19" s="1555">
        <v>0</v>
      </c>
      <c r="I19" s="1555">
        <v>0</v>
      </c>
      <c r="J19" s="1555">
        <v>0</v>
      </c>
      <c r="K19" s="1555">
        <v>0</v>
      </c>
      <c r="L19" s="1555">
        <v>0</v>
      </c>
      <c r="M19" s="1555">
        <v>0</v>
      </c>
      <c r="N19" s="1555">
        <v>0</v>
      </c>
      <c r="O19" s="1555">
        <v>0</v>
      </c>
      <c r="P19" s="1555">
        <v>0</v>
      </c>
      <c r="Q19" s="1555">
        <v>0</v>
      </c>
    </row>
    <row r="20" spans="1:17">
      <c r="A20" s="1437" t="s">
        <v>656</v>
      </c>
      <c r="B20" s="1555">
        <v>0</v>
      </c>
      <c r="C20" s="1555">
        <v>0</v>
      </c>
      <c r="D20" s="1555">
        <v>0</v>
      </c>
      <c r="E20" s="1555">
        <v>0</v>
      </c>
      <c r="F20" s="1555">
        <v>0</v>
      </c>
      <c r="G20" s="1555">
        <v>0</v>
      </c>
      <c r="H20" s="1555">
        <v>0</v>
      </c>
      <c r="I20" s="1555">
        <v>0</v>
      </c>
      <c r="J20" s="1555">
        <v>0</v>
      </c>
      <c r="K20" s="1555">
        <v>0</v>
      </c>
      <c r="L20" s="1555">
        <v>0</v>
      </c>
      <c r="M20" s="1555">
        <v>0</v>
      </c>
      <c r="N20" s="1555">
        <v>0</v>
      </c>
      <c r="O20" s="1555">
        <v>0</v>
      </c>
      <c r="P20" s="1555">
        <v>0</v>
      </c>
      <c r="Q20" s="1555">
        <v>0</v>
      </c>
    </row>
    <row r="21" spans="1:17">
      <c r="A21" s="1437" t="s">
        <v>658</v>
      </c>
      <c r="B21" s="1555">
        <v>0</v>
      </c>
      <c r="C21" s="1555">
        <v>0</v>
      </c>
      <c r="D21" s="1555">
        <v>0</v>
      </c>
      <c r="E21" s="1555">
        <v>0</v>
      </c>
      <c r="F21" s="1555">
        <v>0</v>
      </c>
      <c r="G21" s="1555">
        <v>0</v>
      </c>
      <c r="H21" s="1555">
        <v>0</v>
      </c>
      <c r="I21" s="1555">
        <v>0</v>
      </c>
      <c r="J21" s="1555">
        <v>0</v>
      </c>
      <c r="K21" s="1555">
        <v>0</v>
      </c>
      <c r="L21" s="1555">
        <v>0</v>
      </c>
      <c r="M21" s="1555">
        <v>0</v>
      </c>
      <c r="N21" s="1555">
        <v>0</v>
      </c>
      <c r="O21" s="1555">
        <v>0</v>
      </c>
      <c r="P21" s="1555">
        <v>0</v>
      </c>
      <c r="Q21" s="1555">
        <v>0</v>
      </c>
    </row>
    <row r="22" spans="1:17">
      <c r="A22" s="1437" t="s">
        <v>660</v>
      </c>
      <c r="B22" s="1555">
        <v>0</v>
      </c>
      <c r="C22" s="1555">
        <v>0</v>
      </c>
      <c r="D22" s="1555">
        <v>0</v>
      </c>
      <c r="E22" s="1555">
        <v>0</v>
      </c>
      <c r="F22" s="1555">
        <v>0</v>
      </c>
      <c r="G22" s="1555">
        <v>0</v>
      </c>
      <c r="H22" s="1555">
        <v>0</v>
      </c>
      <c r="I22" s="1555">
        <v>0</v>
      </c>
      <c r="J22" s="1555">
        <v>0</v>
      </c>
      <c r="K22" s="1555">
        <v>0</v>
      </c>
      <c r="L22" s="1555">
        <v>0</v>
      </c>
      <c r="M22" s="1555">
        <v>0</v>
      </c>
      <c r="N22" s="1555">
        <v>0</v>
      </c>
      <c r="O22" s="1555">
        <v>0</v>
      </c>
      <c r="P22" s="1555">
        <v>0</v>
      </c>
      <c r="Q22" s="1555">
        <v>0</v>
      </c>
    </row>
    <row r="23" spans="1:17">
      <c r="A23" s="1437" t="s">
        <v>662</v>
      </c>
      <c r="B23" s="1555">
        <v>0</v>
      </c>
      <c r="C23" s="1555">
        <v>0</v>
      </c>
      <c r="D23" s="1555">
        <v>0</v>
      </c>
      <c r="E23" s="1555">
        <v>0</v>
      </c>
      <c r="F23" s="1555">
        <v>0</v>
      </c>
      <c r="G23" s="1555">
        <v>0</v>
      </c>
      <c r="H23" s="1555">
        <v>0</v>
      </c>
      <c r="I23" s="1555">
        <v>0</v>
      </c>
      <c r="J23" s="1555">
        <v>0</v>
      </c>
      <c r="K23" s="1555">
        <v>0</v>
      </c>
      <c r="L23" s="1555">
        <v>0</v>
      </c>
      <c r="M23" s="1555">
        <v>0</v>
      </c>
      <c r="N23" s="1555">
        <v>0</v>
      </c>
      <c r="O23" s="1555">
        <v>0</v>
      </c>
      <c r="P23" s="1555">
        <v>0</v>
      </c>
      <c r="Q23" s="1555">
        <v>0</v>
      </c>
    </row>
    <row r="24" spans="1:17">
      <c r="A24" s="1437" t="s">
        <v>664</v>
      </c>
      <c r="B24" s="1555">
        <v>0</v>
      </c>
      <c r="C24" s="1555">
        <v>0</v>
      </c>
      <c r="D24" s="1555">
        <v>0</v>
      </c>
      <c r="E24" s="1555">
        <v>0</v>
      </c>
      <c r="F24" s="1555">
        <v>0</v>
      </c>
      <c r="G24" s="1555">
        <v>0</v>
      </c>
      <c r="H24" s="1555">
        <v>0</v>
      </c>
      <c r="I24" s="1555">
        <v>0</v>
      </c>
      <c r="J24" s="1555">
        <v>0</v>
      </c>
      <c r="K24" s="1555">
        <v>0</v>
      </c>
      <c r="L24" s="1555">
        <v>0</v>
      </c>
      <c r="M24" s="1555">
        <v>0</v>
      </c>
      <c r="N24" s="1555">
        <v>0</v>
      </c>
      <c r="O24" s="1555">
        <v>0</v>
      </c>
      <c r="P24" s="1555">
        <v>0</v>
      </c>
      <c r="Q24" s="1555">
        <v>0</v>
      </c>
    </row>
    <row r="25" spans="1:17">
      <c r="A25" s="1437" t="s">
        <v>666</v>
      </c>
      <c r="B25" s="1555">
        <v>0</v>
      </c>
      <c r="C25" s="1555">
        <v>0</v>
      </c>
      <c r="D25" s="1555">
        <v>0</v>
      </c>
      <c r="E25" s="1555">
        <v>0</v>
      </c>
      <c r="F25" s="1555">
        <v>0</v>
      </c>
      <c r="G25" s="1555">
        <v>0</v>
      </c>
      <c r="H25" s="1555">
        <v>0</v>
      </c>
      <c r="I25" s="1555">
        <v>0</v>
      </c>
      <c r="J25" s="1555">
        <v>0</v>
      </c>
      <c r="K25" s="1555">
        <v>0</v>
      </c>
      <c r="L25" s="1555">
        <v>0</v>
      </c>
      <c r="M25" s="1555">
        <v>0</v>
      </c>
      <c r="N25" s="1555">
        <v>0</v>
      </c>
      <c r="O25" s="1555">
        <v>0</v>
      </c>
      <c r="P25" s="1555">
        <v>0</v>
      </c>
      <c r="Q25" s="1555">
        <v>0</v>
      </c>
    </row>
    <row r="26" spans="1:17">
      <c r="A26" s="1437" t="s">
        <v>668</v>
      </c>
      <c r="B26" s="1555">
        <v>0</v>
      </c>
      <c r="C26" s="1555">
        <v>0</v>
      </c>
      <c r="D26" s="1555">
        <v>0</v>
      </c>
      <c r="E26" s="1555">
        <v>0</v>
      </c>
      <c r="F26" s="1555">
        <v>0</v>
      </c>
      <c r="G26" s="1555">
        <v>0</v>
      </c>
      <c r="H26" s="1555">
        <v>0</v>
      </c>
      <c r="I26" s="1555">
        <v>0</v>
      </c>
      <c r="J26" s="1555">
        <v>0</v>
      </c>
      <c r="K26" s="1555">
        <v>0</v>
      </c>
      <c r="L26" s="1555">
        <v>0</v>
      </c>
      <c r="M26" s="1555">
        <v>0</v>
      </c>
      <c r="N26" s="1555">
        <v>0</v>
      </c>
      <c r="O26" s="1555">
        <v>0</v>
      </c>
      <c r="P26" s="1555">
        <v>0</v>
      </c>
      <c r="Q26" s="1555">
        <v>0</v>
      </c>
    </row>
    <row r="27" spans="1:17">
      <c r="A27" s="1437" t="s">
        <v>4639</v>
      </c>
      <c r="B27" s="1555">
        <v>0</v>
      </c>
      <c r="C27" s="1555">
        <v>0</v>
      </c>
      <c r="D27" s="1555">
        <v>0</v>
      </c>
      <c r="E27" s="1555">
        <v>0</v>
      </c>
      <c r="F27" s="1555">
        <v>0</v>
      </c>
      <c r="G27" s="1555">
        <v>0</v>
      </c>
      <c r="H27" s="1555">
        <v>0</v>
      </c>
      <c r="I27" s="1555">
        <v>0</v>
      </c>
      <c r="J27" s="1555">
        <v>0</v>
      </c>
      <c r="K27" s="1555">
        <v>0</v>
      </c>
      <c r="L27" s="1555">
        <v>0</v>
      </c>
      <c r="M27" s="1555">
        <v>0</v>
      </c>
      <c r="N27" s="1555">
        <v>0</v>
      </c>
      <c r="O27" s="1555">
        <v>0</v>
      </c>
      <c r="P27" s="1555">
        <v>0</v>
      </c>
      <c r="Q27" s="1555">
        <v>0</v>
      </c>
    </row>
  </sheetData>
  <sheetProtection algorithmName="SHA-512" hashValue="VgKrkz/9s90ieXvU14MEOZ7xjlfwWsDPgiDpxszNXD3i9iRReHZfisMdJ9EQpfN+gnVjMkcrtrSC7ZIcOYLT/A==" saltValue="fsB3yrqzN6aJl5wrNyV2Tw=="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82655-53EA-2E41-A441-6DD1C2FD892E}">
  <sheetPr>
    <tabColor theme="0" tint="-0.499984740745262"/>
  </sheetPr>
  <dimension ref="A1:Q115"/>
  <sheetViews>
    <sheetView workbookViewId="0">
      <selection activeCell="A14" sqref="A14"/>
    </sheetView>
  </sheetViews>
  <sheetFormatPr defaultColWidth="11.36328125" defaultRowHeight="14.5"/>
  <cols>
    <col min="1" max="1" width="78.36328125" bestFit="1" customWidth="1"/>
    <col min="2" max="5" width="16.7265625" bestFit="1" customWidth="1"/>
    <col min="6" max="6" width="25.6328125" bestFit="1" customWidth="1"/>
    <col min="7" max="10" width="16.7265625" bestFit="1" customWidth="1"/>
    <col min="11" max="11" width="25.6328125" bestFit="1" customWidth="1"/>
    <col min="12" max="15" width="16.7265625" bestFit="1" customWidth="1"/>
    <col min="16" max="16" width="25.6328125" bestFit="1" customWidth="1"/>
    <col min="17" max="17" width="27.08984375" bestFit="1" customWidth="1"/>
  </cols>
  <sheetData>
    <row r="1" spans="1:17">
      <c r="A1" s="838" t="s">
        <v>814</v>
      </c>
      <c r="B1" t="s">
        <v>818</v>
      </c>
    </row>
    <row r="3" spans="1:17">
      <c r="A3" s="838" t="s">
        <v>6912</v>
      </c>
      <c r="B3" t="s">
        <v>6917</v>
      </c>
      <c r="C3" t="s">
        <v>6918</v>
      </c>
      <c r="D3" t="s">
        <v>6919</v>
      </c>
      <c r="E3" t="s">
        <v>6920</v>
      </c>
      <c r="F3" t="s">
        <v>6913</v>
      </c>
      <c r="G3" t="s">
        <v>6921</v>
      </c>
      <c r="H3" t="s">
        <v>6922</v>
      </c>
      <c r="I3" t="s">
        <v>6923</v>
      </c>
      <c r="J3" t="s">
        <v>6924</v>
      </c>
      <c r="K3" t="s">
        <v>6914</v>
      </c>
      <c r="L3" t="s">
        <v>6925</v>
      </c>
      <c r="M3" t="s">
        <v>6926</v>
      </c>
      <c r="N3" t="s">
        <v>6927</v>
      </c>
      <c r="O3" t="s">
        <v>6928</v>
      </c>
      <c r="P3" t="s">
        <v>6915</v>
      </c>
      <c r="Q3" t="s">
        <v>6916</v>
      </c>
    </row>
    <row r="4" spans="1:17">
      <c r="A4" s="1437" t="s">
        <v>800</v>
      </c>
      <c r="B4" s="1555">
        <v>0</v>
      </c>
      <c r="C4" s="1555">
        <v>0</v>
      </c>
      <c r="D4" s="1555">
        <v>0</v>
      </c>
      <c r="E4" s="1555">
        <v>0</v>
      </c>
      <c r="F4" s="1555">
        <v>0</v>
      </c>
      <c r="G4" s="1555">
        <v>0</v>
      </c>
      <c r="H4" s="1555">
        <v>0</v>
      </c>
      <c r="I4" s="1555">
        <v>0</v>
      </c>
      <c r="J4" s="1555">
        <v>0</v>
      </c>
      <c r="K4" s="1555">
        <v>0</v>
      </c>
      <c r="L4" s="1555">
        <v>0</v>
      </c>
      <c r="M4" s="1555">
        <v>0</v>
      </c>
      <c r="N4" s="1555">
        <v>0</v>
      </c>
      <c r="O4" s="1555">
        <v>0</v>
      </c>
      <c r="P4" s="1555">
        <v>0</v>
      </c>
      <c r="Q4" s="1555">
        <v>0</v>
      </c>
    </row>
    <row r="5" spans="1:17">
      <c r="A5" s="1553" t="s">
        <v>802</v>
      </c>
      <c r="B5" s="1555">
        <v>0</v>
      </c>
      <c r="C5" s="1555">
        <v>0</v>
      </c>
      <c r="D5" s="1555">
        <v>0</v>
      </c>
      <c r="E5" s="1555">
        <v>0</v>
      </c>
      <c r="F5" s="1555">
        <v>0</v>
      </c>
      <c r="G5" s="1555">
        <v>0</v>
      </c>
      <c r="H5" s="1555">
        <v>0</v>
      </c>
      <c r="I5" s="1555">
        <v>0</v>
      </c>
      <c r="J5" s="1555">
        <v>0</v>
      </c>
      <c r="K5" s="1555">
        <v>0</v>
      </c>
      <c r="L5" s="1555">
        <v>0</v>
      </c>
      <c r="M5" s="1555">
        <v>0</v>
      </c>
      <c r="N5" s="1555">
        <v>0</v>
      </c>
      <c r="O5" s="1555">
        <v>0</v>
      </c>
      <c r="P5" s="1555">
        <v>0</v>
      </c>
      <c r="Q5" s="1555">
        <v>0</v>
      </c>
    </row>
    <row r="6" spans="1:17">
      <c r="A6" s="1554" t="s">
        <v>731</v>
      </c>
      <c r="B6" s="1555">
        <v>0</v>
      </c>
      <c r="C6" s="1555">
        <v>0</v>
      </c>
      <c r="D6" s="1555">
        <v>0</v>
      </c>
      <c r="E6" s="1555">
        <v>0</v>
      </c>
      <c r="F6" s="1555">
        <v>0</v>
      </c>
      <c r="G6" s="1555">
        <v>0</v>
      </c>
      <c r="H6" s="1555">
        <v>0</v>
      </c>
      <c r="I6" s="1555">
        <v>0</v>
      </c>
      <c r="J6" s="1555">
        <v>0</v>
      </c>
      <c r="K6" s="1555">
        <v>0</v>
      </c>
      <c r="L6" s="1555">
        <v>0</v>
      </c>
      <c r="M6" s="1555">
        <v>0</v>
      </c>
      <c r="N6" s="1555">
        <v>0</v>
      </c>
      <c r="O6" s="1555">
        <v>0</v>
      </c>
      <c r="P6" s="1555">
        <v>0</v>
      </c>
      <c r="Q6" s="1555">
        <v>0</v>
      </c>
    </row>
    <row r="7" spans="1:17">
      <c r="A7" s="1554" t="s">
        <v>656</v>
      </c>
      <c r="B7" s="1555">
        <v>0</v>
      </c>
      <c r="C7" s="1555">
        <v>0</v>
      </c>
      <c r="D7" s="1555">
        <v>0</v>
      </c>
      <c r="E7" s="1555">
        <v>0</v>
      </c>
      <c r="F7" s="1555">
        <v>0</v>
      </c>
      <c r="G7" s="1555">
        <v>0</v>
      </c>
      <c r="H7" s="1555">
        <v>0</v>
      </c>
      <c r="I7" s="1555">
        <v>0</v>
      </c>
      <c r="J7" s="1555">
        <v>0</v>
      </c>
      <c r="K7" s="1555">
        <v>0</v>
      </c>
      <c r="L7" s="1555">
        <v>0</v>
      </c>
      <c r="M7" s="1555">
        <v>0</v>
      </c>
      <c r="N7" s="1555">
        <v>0</v>
      </c>
      <c r="O7" s="1555">
        <v>0</v>
      </c>
      <c r="P7" s="1555">
        <v>0</v>
      </c>
      <c r="Q7" s="1555">
        <v>0</v>
      </c>
    </row>
    <row r="8" spans="1:17">
      <c r="A8" s="1554" t="s">
        <v>658</v>
      </c>
      <c r="B8" s="1555">
        <v>0</v>
      </c>
      <c r="C8" s="1555">
        <v>0</v>
      </c>
      <c r="D8" s="1555">
        <v>0</v>
      </c>
      <c r="E8" s="1555">
        <v>0</v>
      </c>
      <c r="F8" s="1555">
        <v>0</v>
      </c>
      <c r="G8" s="1555">
        <v>0</v>
      </c>
      <c r="H8" s="1555">
        <v>0</v>
      </c>
      <c r="I8" s="1555">
        <v>0</v>
      </c>
      <c r="J8" s="1555">
        <v>0</v>
      </c>
      <c r="K8" s="1555">
        <v>0</v>
      </c>
      <c r="L8" s="1555">
        <v>0</v>
      </c>
      <c r="M8" s="1555">
        <v>0</v>
      </c>
      <c r="N8" s="1555">
        <v>0</v>
      </c>
      <c r="O8" s="1555">
        <v>0</v>
      </c>
      <c r="P8" s="1555">
        <v>0</v>
      </c>
      <c r="Q8" s="1555">
        <v>0</v>
      </c>
    </row>
    <row r="9" spans="1:17">
      <c r="A9" s="1554" t="s">
        <v>660</v>
      </c>
      <c r="B9" s="1555">
        <v>0</v>
      </c>
      <c r="C9" s="1555">
        <v>0</v>
      </c>
      <c r="D9" s="1555">
        <v>0</v>
      </c>
      <c r="E9" s="1555">
        <v>0</v>
      </c>
      <c r="F9" s="1555">
        <v>0</v>
      </c>
      <c r="G9" s="1555">
        <v>0</v>
      </c>
      <c r="H9" s="1555">
        <v>0</v>
      </c>
      <c r="I9" s="1555">
        <v>0</v>
      </c>
      <c r="J9" s="1555">
        <v>0</v>
      </c>
      <c r="K9" s="1555">
        <v>0</v>
      </c>
      <c r="L9" s="1555">
        <v>0</v>
      </c>
      <c r="M9" s="1555">
        <v>0</v>
      </c>
      <c r="N9" s="1555">
        <v>0</v>
      </c>
      <c r="O9" s="1555">
        <v>0</v>
      </c>
      <c r="P9" s="1555">
        <v>0</v>
      </c>
      <c r="Q9" s="1555">
        <v>0</v>
      </c>
    </row>
    <row r="10" spans="1:17">
      <c r="A10" s="1554" t="s">
        <v>662</v>
      </c>
      <c r="B10" s="1555">
        <v>0</v>
      </c>
      <c r="C10" s="1555">
        <v>0</v>
      </c>
      <c r="D10" s="1555">
        <v>0</v>
      </c>
      <c r="E10" s="1555">
        <v>0</v>
      </c>
      <c r="F10" s="1555">
        <v>0</v>
      </c>
      <c r="G10" s="1555">
        <v>0</v>
      </c>
      <c r="H10" s="1555">
        <v>0</v>
      </c>
      <c r="I10" s="1555">
        <v>0</v>
      </c>
      <c r="J10" s="1555">
        <v>0</v>
      </c>
      <c r="K10" s="1555">
        <v>0</v>
      </c>
      <c r="L10" s="1555">
        <v>0</v>
      </c>
      <c r="M10" s="1555">
        <v>0</v>
      </c>
      <c r="N10" s="1555">
        <v>0</v>
      </c>
      <c r="O10" s="1555">
        <v>0</v>
      </c>
      <c r="P10" s="1555">
        <v>0</v>
      </c>
      <c r="Q10" s="1555">
        <v>0</v>
      </c>
    </row>
    <row r="11" spans="1:17">
      <c r="A11" s="1554" t="s">
        <v>664</v>
      </c>
      <c r="B11" s="1555">
        <v>0</v>
      </c>
      <c r="C11" s="1555">
        <v>0</v>
      </c>
      <c r="D11" s="1555">
        <v>0</v>
      </c>
      <c r="E11" s="1555">
        <v>0</v>
      </c>
      <c r="F11" s="1555">
        <v>0</v>
      </c>
      <c r="G11" s="1555">
        <v>0</v>
      </c>
      <c r="H11" s="1555">
        <v>0</v>
      </c>
      <c r="I11" s="1555">
        <v>0</v>
      </c>
      <c r="J11" s="1555">
        <v>0</v>
      </c>
      <c r="K11" s="1555">
        <v>0</v>
      </c>
      <c r="L11" s="1555">
        <v>0</v>
      </c>
      <c r="M11" s="1555">
        <v>0</v>
      </c>
      <c r="N11" s="1555">
        <v>0</v>
      </c>
      <c r="O11" s="1555">
        <v>0</v>
      </c>
      <c r="P11" s="1555">
        <v>0</v>
      </c>
      <c r="Q11" s="1555">
        <v>0</v>
      </c>
    </row>
    <row r="12" spans="1:17">
      <c r="A12" s="1554" t="s">
        <v>666</v>
      </c>
      <c r="B12" s="1555">
        <v>0</v>
      </c>
      <c r="C12" s="1555">
        <v>0</v>
      </c>
      <c r="D12" s="1555">
        <v>0</v>
      </c>
      <c r="E12" s="1555">
        <v>0</v>
      </c>
      <c r="F12" s="1555">
        <v>0</v>
      </c>
      <c r="G12" s="1555">
        <v>0</v>
      </c>
      <c r="H12" s="1555">
        <v>0</v>
      </c>
      <c r="I12" s="1555">
        <v>0</v>
      </c>
      <c r="J12" s="1555">
        <v>0</v>
      </c>
      <c r="K12" s="1555">
        <v>0</v>
      </c>
      <c r="L12" s="1555">
        <v>0</v>
      </c>
      <c r="M12" s="1555">
        <v>0</v>
      </c>
      <c r="N12" s="1555">
        <v>0</v>
      </c>
      <c r="O12" s="1555">
        <v>0</v>
      </c>
      <c r="P12" s="1555">
        <v>0</v>
      </c>
      <c r="Q12" s="1555">
        <v>0</v>
      </c>
    </row>
    <row r="13" spans="1:17">
      <c r="A13" s="1554" t="s">
        <v>668</v>
      </c>
      <c r="B13" s="1555">
        <v>0</v>
      </c>
      <c r="C13" s="1555">
        <v>0</v>
      </c>
      <c r="D13" s="1555">
        <v>0</v>
      </c>
      <c r="E13" s="1555">
        <v>0</v>
      </c>
      <c r="F13" s="1555">
        <v>0</v>
      </c>
      <c r="G13" s="1555">
        <v>0</v>
      </c>
      <c r="H13" s="1555">
        <v>0</v>
      </c>
      <c r="I13" s="1555">
        <v>0</v>
      </c>
      <c r="J13" s="1555">
        <v>0</v>
      </c>
      <c r="K13" s="1555">
        <v>0</v>
      </c>
      <c r="L13" s="1555">
        <v>0</v>
      </c>
      <c r="M13" s="1555">
        <v>0</v>
      </c>
      <c r="N13" s="1555">
        <v>0</v>
      </c>
      <c r="O13" s="1555">
        <v>0</v>
      </c>
      <c r="P13" s="1555">
        <v>0</v>
      </c>
      <c r="Q13" s="1555">
        <v>0</v>
      </c>
    </row>
    <row r="14" spans="1:17">
      <c r="A14" s="1553" t="s">
        <v>801</v>
      </c>
      <c r="B14" s="1555">
        <v>0</v>
      </c>
      <c r="C14" s="1555">
        <v>0</v>
      </c>
      <c r="D14" s="1555">
        <v>0</v>
      </c>
      <c r="E14" s="1555">
        <v>0</v>
      </c>
      <c r="F14" s="1555">
        <v>0</v>
      </c>
      <c r="G14" s="1555">
        <v>0</v>
      </c>
      <c r="H14" s="1555">
        <v>0</v>
      </c>
      <c r="I14" s="1555">
        <v>0</v>
      </c>
      <c r="J14" s="1555">
        <v>0</v>
      </c>
      <c r="K14" s="1555">
        <v>0</v>
      </c>
      <c r="L14" s="1555">
        <v>0</v>
      </c>
      <c r="M14" s="1555">
        <v>0</v>
      </c>
      <c r="N14" s="1555">
        <v>0</v>
      </c>
      <c r="O14" s="1555">
        <v>0</v>
      </c>
      <c r="P14" s="1555">
        <v>0</v>
      </c>
      <c r="Q14" s="1555">
        <v>0</v>
      </c>
    </row>
    <row r="15" spans="1:17">
      <c r="A15" s="1554" t="s">
        <v>731</v>
      </c>
      <c r="B15" s="1555">
        <v>0</v>
      </c>
      <c r="C15" s="1555">
        <v>0</v>
      </c>
      <c r="D15" s="1555">
        <v>0</v>
      </c>
      <c r="E15" s="1555">
        <v>0</v>
      </c>
      <c r="F15" s="1555">
        <v>0</v>
      </c>
      <c r="G15" s="1555">
        <v>0</v>
      </c>
      <c r="H15" s="1555">
        <v>0</v>
      </c>
      <c r="I15" s="1555">
        <v>0</v>
      </c>
      <c r="J15" s="1555">
        <v>0</v>
      </c>
      <c r="K15" s="1555">
        <v>0</v>
      </c>
      <c r="L15" s="1555">
        <v>0</v>
      </c>
      <c r="M15" s="1555">
        <v>0</v>
      </c>
      <c r="N15" s="1555">
        <v>0</v>
      </c>
      <c r="O15" s="1555">
        <v>0</v>
      </c>
      <c r="P15" s="1555">
        <v>0</v>
      </c>
      <c r="Q15" s="1555">
        <v>0</v>
      </c>
    </row>
    <row r="16" spans="1:17">
      <c r="A16" s="1554" t="s">
        <v>656</v>
      </c>
      <c r="B16" s="1555">
        <v>0</v>
      </c>
      <c r="C16" s="1555">
        <v>0</v>
      </c>
      <c r="D16" s="1555">
        <v>0</v>
      </c>
      <c r="E16" s="1555">
        <v>0</v>
      </c>
      <c r="F16" s="1555">
        <v>0</v>
      </c>
      <c r="G16" s="1555">
        <v>0</v>
      </c>
      <c r="H16" s="1555">
        <v>0</v>
      </c>
      <c r="I16" s="1555">
        <v>0</v>
      </c>
      <c r="J16" s="1555">
        <v>0</v>
      </c>
      <c r="K16" s="1555">
        <v>0</v>
      </c>
      <c r="L16" s="1555">
        <v>0</v>
      </c>
      <c r="M16" s="1555">
        <v>0</v>
      </c>
      <c r="N16" s="1555">
        <v>0</v>
      </c>
      <c r="O16" s="1555">
        <v>0</v>
      </c>
      <c r="P16" s="1555">
        <v>0</v>
      </c>
      <c r="Q16" s="1555">
        <v>0</v>
      </c>
    </row>
    <row r="17" spans="1:17">
      <c r="A17" s="1554" t="s">
        <v>658</v>
      </c>
      <c r="B17" s="1555">
        <v>0</v>
      </c>
      <c r="C17" s="1555">
        <v>0</v>
      </c>
      <c r="D17" s="1555">
        <v>0</v>
      </c>
      <c r="E17" s="1555">
        <v>0</v>
      </c>
      <c r="F17" s="1555">
        <v>0</v>
      </c>
      <c r="G17" s="1555">
        <v>0</v>
      </c>
      <c r="H17" s="1555">
        <v>0</v>
      </c>
      <c r="I17" s="1555">
        <v>0</v>
      </c>
      <c r="J17" s="1555">
        <v>0</v>
      </c>
      <c r="K17" s="1555">
        <v>0</v>
      </c>
      <c r="L17" s="1555">
        <v>0</v>
      </c>
      <c r="M17" s="1555">
        <v>0</v>
      </c>
      <c r="N17" s="1555">
        <v>0</v>
      </c>
      <c r="O17" s="1555">
        <v>0</v>
      </c>
      <c r="P17" s="1555">
        <v>0</v>
      </c>
      <c r="Q17" s="1555">
        <v>0</v>
      </c>
    </row>
    <row r="18" spans="1:17">
      <c r="A18" s="1554" t="s">
        <v>660</v>
      </c>
      <c r="B18" s="1555">
        <v>0</v>
      </c>
      <c r="C18" s="1555">
        <v>0</v>
      </c>
      <c r="D18" s="1555">
        <v>0</v>
      </c>
      <c r="E18" s="1555">
        <v>0</v>
      </c>
      <c r="F18" s="1555">
        <v>0</v>
      </c>
      <c r="G18" s="1555">
        <v>0</v>
      </c>
      <c r="H18" s="1555">
        <v>0</v>
      </c>
      <c r="I18" s="1555">
        <v>0</v>
      </c>
      <c r="J18" s="1555">
        <v>0</v>
      </c>
      <c r="K18" s="1555">
        <v>0</v>
      </c>
      <c r="L18" s="1555">
        <v>0</v>
      </c>
      <c r="M18" s="1555">
        <v>0</v>
      </c>
      <c r="N18" s="1555">
        <v>0</v>
      </c>
      <c r="O18" s="1555">
        <v>0</v>
      </c>
      <c r="P18" s="1555">
        <v>0</v>
      </c>
      <c r="Q18" s="1555">
        <v>0</v>
      </c>
    </row>
    <row r="19" spans="1:17">
      <c r="A19" s="1554" t="s">
        <v>662</v>
      </c>
      <c r="B19" s="1555">
        <v>0</v>
      </c>
      <c r="C19" s="1555">
        <v>0</v>
      </c>
      <c r="D19" s="1555">
        <v>0</v>
      </c>
      <c r="E19" s="1555">
        <v>0</v>
      </c>
      <c r="F19" s="1555">
        <v>0</v>
      </c>
      <c r="G19" s="1555">
        <v>0</v>
      </c>
      <c r="H19" s="1555">
        <v>0</v>
      </c>
      <c r="I19" s="1555">
        <v>0</v>
      </c>
      <c r="J19" s="1555">
        <v>0</v>
      </c>
      <c r="K19" s="1555">
        <v>0</v>
      </c>
      <c r="L19" s="1555">
        <v>0</v>
      </c>
      <c r="M19" s="1555">
        <v>0</v>
      </c>
      <c r="N19" s="1555">
        <v>0</v>
      </c>
      <c r="O19" s="1555">
        <v>0</v>
      </c>
      <c r="P19" s="1555">
        <v>0</v>
      </c>
      <c r="Q19" s="1555">
        <v>0</v>
      </c>
    </row>
    <row r="20" spans="1:17">
      <c r="A20" s="1554" t="s">
        <v>664</v>
      </c>
      <c r="B20" s="1555">
        <v>0</v>
      </c>
      <c r="C20" s="1555">
        <v>0</v>
      </c>
      <c r="D20" s="1555">
        <v>0</v>
      </c>
      <c r="E20" s="1555">
        <v>0</v>
      </c>
      <c r="F20" s="1555">
        <v>0</v>
      </c>
      <c r="G20" s="1555">
        <v>0</v>
      </c>
      <c r="H20" s="1555">
        <v>0</v>
      </c>
      <c r="I20" s="1555">
        <v>0</v>
      </c>
      <c r="J20" s="1555">
        <v>0</v>
      </c>
      <c r="K20" s="1555">
        <v>0</v>
      </c>
      <c r="L20" s="1555">
        <v>0</v>
      </c>
      <c r="M20" s="1555">
        <v>0</v>
      </c>
      <c r="N20" s="1555">
        <v>0</v>
      </c>
      <c r="O20" s="1555">
        <v>0</v>
      </c>
      <c r="P20" s="1555">
        <v>0</v>
      </c>
      <c r="Q20" s="1555">
        <v>0</v>
      </c>
    </row>
    <row r="21" spans="1:17">
      <c r="A21" s="1554" t="s">
        <v>666</v>
      </c>
      <c r="B21" s="1555">
        <v>0</v>
      </c>
      <c r="C21" s="1555">
        <v>0</v>
      </c>
      <c r="D21" s="1555">
        <v>0</v>
      </c>
      <c r="E21" s="1555">
        <v>0</v>
      </c>
      <c r="F21" s="1555">
        <v>0</v>
      </c>
      <c r="G21" s="1555">
        <v>0</v>
      </c>
      <c r="H21" s="1555">
        <v>0</v>
      </c>
      <c r="I21" s="1555">
        <v>0</v>
      </c>
      <c r="J21" s="1555">
        <v>0</v>
      </c>
      <c r="K21" s="1555">
        <v>0</v>
      </c>
      <c r="L21" s="1555">
        <v>0</v>
      </c>
      <c r="M21" s="1555">
        <v>0</v>
      </c>
      <c r="N21" s="1555">
        <v>0</v>
      </c>
      <c r="O21" s="1555">
        <v>0</v>
      </c>
      <c r="P21" s="1555">
        <v>0</v>
      </c>
      <c r="Q21" s="1555">
        <v>0</v>
      </c>
    </row>
    <row r="22" spans="1:17">
      <c r="A22" s="1554" t="s">
        <v>668</v>
      </c>
      <c r="B22" s="1555">
        <v>0</v>
      </c>
      <c r="C22" s="1555">
        <v>0</v>
      </c>
      <c r="D22" s="1555">
        <v>0</v>
      </c>
      <c r="E22" s="1555">
        <v>0</v>
      </c>
      <c r="F22" s="1555">
        <v>0</v>
      </c>
      <c r="G22" s="1555">
        <v>0</v>
      </c>
      <c r="H22" s="1555">
        <v>0</v>
      </c>
      <c r="I22" s="1555">
        <v>0</v>
      </c>
      <c r="J22" s="1555">
        <v>0</v>
      </c>
      <c r="K22" s="1555">
        <v>0</v>
      </c>
      <c r="L22" s="1555">
        <v>0</v>
      </c>
      <c r="M22" s="1555">
        <v>0</v>
      </c>
      <c r="N22" s="1555">
        <v>0</v>
      </c>
      <c r="O22" s="1555">
        <v>0</v>
      </c>
      <c r="P22" s="1555">
        <v>0</v>
      </c>
      <c r="Q22" s="1555">
        <v>0</v>
      </c>
    </row>
    <row r="23" spans="1:17">
      <c r="A23" s="1553" t="s">
        <v>803</v>
      </c>
      <c r="B23" s="1555">
        <v>0</v>
      </c>
      <c r="C23" s="1555">
        <v>0</v>
      </c>
      <c r="D23" s="1555">
        <v>0</v>
      </c>
      <c r="E23" s="1555">
        <v>0</v>
      </c>
      <c r="F23" s="1555">
        <v>0</v>
      </c>
      <c r="G23" s="1555">
        <v>0</v>
      </c>
      <c r="H23" s="1555">
        <v>0</v>
      </c>
      <c r="I23" s="1555">
        <v>0</v>
      </c>
      <c r="J23" s="1555">
        <v>0</v>
      </c>
      <c r="K23" s="1555">
        <v>0</v>
      </c>
      <c r="L23" s="1555">
        <v>0</v>
      </c>
      <c r="M23" s="1555">
        <v>0</v>
      </c>
      <c r="N23" s="1555">
        <v>0</v>
      </c>
      <c r="O23" s="1555">
        <v>0</v>
      </c>
      <c r="P23" s="1555">
        <v>0</v>
      </c>
      <c r="Q23" s="1555">
        <v>0</v>
      </c>
    </row>
    <row r="24" spans="1:17">
      <c r="A24" s="1554" t="s">
        <v>731</v>
      </c>
      <c r="B24" s="1555">
        <v>0</v>
      </c>
      <c r="C24" s="1555">
        <v>0</v>
      </c>
      <c r="D24" s="1555">
        <v>0</v>
      </c>
      <c r="E24" s="1555">
        <v>0</v>
      </c>
      <c r="F24" s="1555">
        <v>0</v>
      </c>
      <c r="G24" s="1555">
        <v>0</v>
      </c>
      <c r="H24" s="1555">
        <v>0</v>
      </c>
      <c r="I24" s="1555">
        <v>0</v>
      </c>
      <c r="J24" s="1555">
        <v>0</v>
      </c>
      <c r="K24" s="1555">
        <v>0</v>
      </c>
      <c r="L24" s="1555">
        <v>0</v>
      </c>
      <c r="M24" s="1555">
        <v>0</v>
      </c>
      <c r="N24" s="1555">
        <v>0</v>
      </c>
      <c r="O24" s="1555">
        <v>0</v>
      </c>
      <c r="P24" s="1555">
        <v>0</v>
      </c>
      <c r="Q24" s="1555">
        <v>0</v>
      </c>
    </row>
    <row r="25" spans="1:17">
      <c r="A25" s="1554" t="s">
        <v>656</v>
      </c>
      <c r="B25" s="1555">
        <v>0</v>
      </c>
      <c r="C25" s="1555">
        <v>0</v>
      </c>
      <c r="D25" s="1555">
        <v>0</v>
      </c>
      <c r="E25" s="1555">
        <v>0</v>
      </c>
      <c r="F25" s="1555">
        <v>0</v>
      </c>
      <c r="G25" s="1555">
        <v>0</v>
      </c>
      <c r="H25" s="1555">
        <v>0</v>
      </c>
      <c r="I25" s="1555">
        <v>0</v>
      </c>
      <c r="J25" s="1555">
        <v>0</v>
      </c>
      <c r="K25" s="1555">
        <v>0</v>
      </c>
      <c r="L25" s="1555">
        <v>0</v>
      </c>
      <c r="M25" s="1555">
        <v>0</v>
      </c>
      <c r="N25" s="1555">
        <v>0</v>
      </c>
      <c r="O25" s="1555">
        <v>0</v>
      </c>
      <c r="P25" s="1555">
        <v>0</v>
      </c>
      <c r="Q25" s="1555">
        <v>0</v>
      </c>
    </row>
    <row r="26" spans="1:17">
      <c r="A26" s="1554" t="s">
        <v>658</v>
      </c>
      <c r="B26" s="1555">
        <v>0</v>
      </c>
      <c r="C26" s="1555">
        <v>0</v>
      </c>
      <c r="D26" s="1555">
        <v>0</v>
      </c>
      <c r="E26" s="1555">
        <v>0</v>
      </c>
      <c r="F26" s="1555">
        <v>0</v>
      </c>
      <c r="G26" s="1555">
        <v>0</v>
      </c>
      <c r="H26" s="1555">
        <v>0</v>
      </c>
      <c r="I26" s="1555">
        <v>0</v>
      </c>
      <c r="J26" s="1555">
        <v>0</v>
      </c>
      <c r="K26" s="1555">
        <v>0</v>
      </c>
      <c r="L26" s="1555">
        <v>0</v>
      </c>
      <c r="M26" s="1555">
        <v>0</v>
      </c>
      <c r="N26" s="1555">
        <v>0</v>
      </c>
      <c r="O26" s="1555">
        <v>0</v>
      </c>
      <c r="P26" s="1555">
        <v>0</v>
      </c>
      <c r="Q26" s="1555">
        <v>0</v>
      </c>
    </row>
    <row r="27" spans="1:17">
      <c r="A27" s="1554" t="s">
        <v>660</v>
      </c>
      <c r="B27" s="1555">
        <v>0</v>
      </c>
      <c r="C27" s="1555">
        <v>0</v>
      </c>
      <c r="D27" s="1555">
        <v>0</v>
      </c>
      <c r="E27" s="1555">
        <v>0</v>
      </c>
      <c r="F27" s="1555">
        <v>0</v>
      </c>
      <c r="G27" s="1555">
        <v>0</v>
      </c>
      <c r="H27" s="1555">
        <v>0</v>
      </c>
      <c r="I27" s="1555">
        <v>0</v>
      </c>
      <c r="J27" s="1555">
        <v>0</v>
      </c>
      <c r="K27" s="1555">
        <v>0</v>
      </c>
      <c r="L27" s="1555">
        <v>0</v>
      </c>
      <c r="M27" s="1555">
        <v>0</v>
      </c>
      <c r="N27" s="1555">
        <v>0</v>
      </c>
      <c r="O27" s="1555">
        <v>0</v>
      </c>
      <c r="P27" s="1555">
        <v>0</v>
      </c>
      <c r="Q27" s="1555">
        <v>0</v>
      </c>
    </row>
    <row r="28" spans="1:17">
      <c r="A28" s="1554" t="s">
        <v>662</v>
      </c>
      <c r="B28" s="1555">
        <v>0</v>
      </c>
      <c r="C28" s="1555">
        <v>0</v>
      </c>
      <c r="D28" s="1555">
        <v>0</v>
      </c>
      <c r="E28" s="1555">
        <v>0</v>
      </c>
      <c r="F28" s="1555">
        <v>0</v>
      </c>
      <c r="G28" s="1555">
        <v>0</v>
      </c>
      <c r="H28" s="1555">
        <v>0</v>
      </c>
      <c r="I28" s="1555">
        <v>0</v>
      </c>
      <c r="J28" s="1555">
        <v>0</v>
      </c>
      <c r="K28" s="1555">
        <v>0</v>
      </c>
      <c r="L28" s="1555">
        <v>0</v>
      </c>
      <c r="M28" s="1555">
        <v>0</v>
      </c>
      <c r="N28" s="1555">
        <v>0</v>
      </c>
      <c r="O28" s="1555">
        <v>0</v>
      </c>
      <c r="P28" s="1555">
        <v>0</v>
      </c>
      <c r="Q28" s="1555">
        <v>0</v>
      </c>
    </row>
    <row r="29" spans="1:17">
      <c r="A29" s="1554" t="s">
        <v>664</v>
      </c>
      <c r="B29" s="1555">
        <v>0</v>
      </c>
      <c r="C29" s="1555">
        <v>0</v>
      </c>
      <c r="D29" s="1555">
        <v>0</v>
      </c>
      <c r="E29" s="1555">
        <v>0</v>
      </c>
      <c r="F29" s="1555">
        <v>0</v>
      </c>
      <c r="G29" s="1555">
        <v>0</v>
      </c>
      <c r="H29" s="1555">
        <v>0</v>
      </c>
      <c r="I29" s="1555">
        <v>0</v>
      </c>
      <c r="J29" s="1555">
        <v>0</v>
      </c>
      <c r="K29" s="1555">
        <v>0</v>
      </c>
      <c r="L29" s="1555">
        <v>0</v>
      </c>
      <c r="M29" s="1555">
        <v>0</v>
      </c>
      <c r="N29" s="1555">
        <v>0</v>
      </c>
      <c r="O29" s="1555">
        <v>0</v>
      </c>
      <c r="P29" s="1555">
        <v>0</v>
      </c>
      <c r="Q29" s="1555">
        <v>0</v>
      </c>
    </row>
    <row r="30" spans="1:17">
      <c r="A30" s="1554" t="s">
        <v>666</v>
      </c>
      <c r="B30" s="1555">
        <v>0</v>
      </c>
      <c r="C30" s="1555">
        <v>0</v>
      </c>
      <c r="D30" s="1555">
        <v>0</v>
      </c>
      <c r="E30" s="1555">
        <v>0</v>
      </c>
      <c r="F30" s="1555">
        <v>0</v>
      </c>
      <c r="G30" s="1555">
        <v>0</v>
      </c>
      <c r="H30" s="1555">
        <v>0</v>
      </c>
      <c r="I30" s="1555">
        <v>0</v>
      </c>
      <c r="J30" s="1555">
        <v>0</v>
      </c>
      <c r="K30" s="1555">
        <v>0</v>
      </c>
      <c r="L30" s="1555">
        <v>0</v>
      </c>
      <c r="M30" s="1555">
        <v>0</v>
      </c>
      <c r="N30" s="1555">
        <v>0</v>
      </c>
      <c r="O30" s="1555">
        <v>0</v>
      </c>
      <c r="P30" s="1555">
        <v>0</v>
      </c>
      <c r="Q30" s="1555">
        <v>0</v>
      </c>
    </row>
    <row r="31" spans="1:17">
      <c r="A31" s="1554" t="s">
        <v>668</v>
      </c>
      <c r="B31" s="1555">
        <v>0</v>
      </c>
      <c r="C31" s="1555">
        <v>0</v>
      </c>
      <c r="D31" s="1555">
        <v>0</v>
      </c>
      <c r="E31" s="1555">
        <v>0</v>
      </c>
      <c r="F31" s="1555">
        <v>0</v>
      </c>
      <c r="G31" s="1555">
        <v>0</v>
      </c>
      <c r="H31" s="1555">
        <v>0</v>
      </c>
      <c r="I31" s="1555">
        <v>0</v>
      </c>
      <c r="J31" s="1555">
        <v>0</v>
      </c>
      <c r="K31" s="1555">
        <v>0</v>
      </c>
      <c r="L31" s="1555">
        <v>0</v>
      </c>
      <c r="M31" s="1555">
        <v>0</v>
      </c>
      <c r="N31" s="1555">
        <v>0</v>
      </c>
      <c r="O31" s="1555">
        <v>0</v>
      </c>
      <c r="P31" s="1555">
        <v>0</v>
      </c>
      <c r="Q31" s="1555">
        <v>0</v>
      </c>
    </row>
    <row r="32" spans="1:17">
      <c r="A32" s="1437" t="s">
        <v>238</v>
      </c>
      <c r="B32" s="1555">
        <v>0</v>
      </c>
      <c r="C32" s="1555">
        <v>0</v>
      </c>
      <c r="D32" s="1555">
        <v>0</v>
      </c>
      <c r="E32" s="1555">
        <v>0</v>
      </c>
      <c r="F32" s="1555">
        <v>0</v>
      </c>
      <c r="G32" s="1555">
        <v>0</v>
      </c>
      <c r="H32" s="1555">
        <v>0</v>
      </c>
      <c r="I32" s="1555">
        <v>0</v>
      </c>
      <c r="J32" s="1555">
        <v>0</v>
      </c>
      <c r="K32" s="1555">
        <v>0</v>
      </c>
      <c r="L32" s="1555">
        <v>0</v>
      </c>
      <c r="M32" s="1555">
        <v>0</v>
      </c>
      <c r="N32" s="1555">
        <v>0</v>
      </c>
      <c r="O32" s="1555">
        <v>0</v>
      </c>
      <c r="P32" s="1555">
        <v>0</v>
      </c>
      <c r="Q32" s="1555">
        <v>0</v>
      </c>
    </row>
    <row r="33" spans="1:17">
      <c r="A33" s="1553" t="s">
        <v>797</v>
      </c>
      <c r="B33" s="1555">
        <v>0</v>
      </c>
      <c r="C33" s="1555">
        <v>0</v>
      </c>
      <c r="D33" s="1555">
        <v>0</v>
      </c>
      <c r="E33" s="1555">
        <v>0</v>
      </c>
      <c r="F33" s="1555">
        <v>0</v>
      </c>
      <c r="G33" s="1555">
        <v>0</v>
      </c>
      <c r="H33" s="1555">
        <v>0</v>
      </c>
      <c r="I33" s="1555">
        <v>0</v>
      </c>
      <c r="J33" s="1555">
        <v>0</v>
      </c>
      <c r="K33" s="1555">
        <v>0</v>
      </c>
      <c r="L33" s="1555">
        <v>0</v>
      </c>
      <c r="M33" s="1555">
        <v>0</v>
      </c>
      <c r="N33" s="1555">
        <v>0</v>
      </c>
      <c r="O33" s="1555">
        <v>0</v>
      </c>
      <c r="P33" s="1555">
        <v>0</v>
      </c>
      <c r="Q33" s="1555">
        <v>0</v>
      </c>
    </row>
    <row r="34" spans="1:17">
      <c r="A34" s="1554" t="s">
        <v>791</v>
      </c>
      <c r="B34" s="1555">
        <v>0</v>
      </c>
      <c r="C34" s="1555">
        <v>0</v>
      </c>
      <c r="D34" s="1555">
        <v>0</v>
      </c>
      <c r="E34" s="1555">
        <v>0</v>
      </c>
      <c r="F34" s="1555">
        <v>0</v>
      </c>
      <c r="G34" s="1555">
        <v>0</v>
      </c>
      <c r="H34" s="1555">
        <v>0</v>
      </c>
      <c r="I34" s="1555">
        <v>0</v>
      </c>
      <c r="J34" s="1555">
        <v>0</v>
      </c>
      <c r="K34" s="1555">
        <v>0</v>
      </c>
      <c r="L34" s="1555">
        <v>0</v>
      </c>
      <c r="M34" s="1555">
        <v>0</v>
      </c>
      <c r="N34" s="1555">
        <v>0</v>
      </c>
      <c r="O34" s="1555">
        <v>0</v>
      </c>
      <c r="P34" s="1555">
        <v>0</v>
      </c>
      <c r="Q34" s="1555">
        <v>0</v>
      </c>
    </row>
    <row r="35" spans="1:17">
      <c r="A35" s="1554" t="s">
        <v>793</v>
      </c>
      <c r="B35" s="1555">
        <v>0</v>
      </c>
      <c r="C35" s="1555">
        <v>0</v>
      </c>
      <c r="D35" s="1555">
        <v>0</v>
      </c>
      <c r="E35" s="1555">
        <v>0</v>
      </c>
      <c r="F35" s="1555">
        <v>0</v>
      </c>
      <c r="G35" s="1555">
        <v>0</v>
      </c>
      <c r="H35" s="1555">
        <v>0</v>
      </c>
      <c r="I35" s="1555">
        <v>0</v>
      </c>
      <c r="J35" s="1555">
        <v>0</v>
      </c>
      <c r="K35" s="1555">
        <v>0</v>
      </c>
      <c r="L35" s="1555">
        <v>0</v>
      </c>
      <c r="M35" s="1555">
        <v>0</v>
      </c>
      <c r="N35" s="1555">
        <v>0</v>
      </c>
      <c r="O35" s="1555">
        <v>0</v>
      </c>
      <c r="P35" s="1555">
        <v>0</v>
      </c>
      <c r="Q35" s="1555">
        <v>0</v>
      </c>
    </row>
    <row r="36" spans="1:17">
      <c r="A36" s="1554" t="s">
        <v>725</v>
      </c>
      <c r="B36" s="1555">
        <v>0</v>
      </c>
      <c r="C36" s="1555">
        <v>0</v>
      </c>
      <c r="D36" s="1555">
        <v>0</v>
      </c>
      <c r="E36" s="1555">
        <v>0</v>
      </c>
      <c r="F36" s="1555">
        <v>0</v>
      </c>
      <c r="G36" s="1555">
        <v>0</v>
      </c>
      <c r="H36" s="1555">
        <v>0</v>
      </c>
      <c r="I36" s="1555">
        <v>0</v>
      </c>
      <c r="J36" s="1555">
        <v>0</v>
      </c>
      <c r="K36" s="1555">
        <v>0</v>
      </c>
      <c r="L36" s="1555">
        <v>0</v>
      </c>
      <c r="M36" s="1555">
        <v>0</v>
      </c>
      <c r="N36" s="1555">
        <v>0</v>
      </c>
      <c r="O36" s="1555">
        <v>0</v>
      </c>
      <c r="P36" s="1555">
        <v>0</v>
      </c>
      <c r="Q36" s="1555">
        <v>0</v>
      </c>
    </row>
    <row r="37" spans="1:17">
      <c r="A37" s="1554" t="s">
        <v>656</v>
      </c>
      <c r="B37" s="1555">
        <v>0</v>
      </c>
      <c r="C37" s="1555">
        <v>0</v>
      </c>
      <c r="D37" s="1555">
        <v>0</v>
      </c>
      <c r="E37" s="1555">
        <v>0</v>
      </c>
      <c r="F37" s="1555">
        <v>0</v>
      </c>
      <c r="G37" s="1555">
        <v>0</v>
      </c>
      <c r="H37" s="1555">
        <v>0</v>
      </c>
      <c r="I37" s="1555">
        <v>0</v>
      </c>
      <c r="J37" s="1555">
        <v>0</v>
      </c>
      <c r="K37" s="1555">
        <v>0</v>
      </c>
      <c r="L37" s="1555">
        <v>0</v>
      </c>
      <c r="M37" s="1555">
        <v>0</v>
      </c>
      <c r="N37" s="1555">
        <v>0</v>
      </c>
      <c r="O37" s="1555">
        <v>0</v>
      </c>
      <c r="P37" s="1555">
        <v>0</v>
      </c>
      <c r="Q37" s="1555">
        <v>0</v>
      </c>
    </row>
    <row r="38" spans="1:17">
      <c r="A38" s="1554" t="s">
        <v>658</v>
      </c>
      <c r="B38" s="1555">
        <v>0</v>
      </c>
      <c r="C38" s="1555">
        <v>0</v>
      </c>
      <c r="D38" s="1555">
        <v>0</v>
      </c>
      <c r="E38" s="1555">
        <v>0</v>
      </c>
      <c r="F38" s="1555">
        <v>0</v>
      </c>
      <c r="G38" s="1555">
        <v>0</v>
      </c>
      <c r="H38" s="1555">
        <v>0</v>
      </c>
      <c r="I38" s="1555">
        <v>0</v>
      </c>
      <c r="J38" s="1555">
        <v>0</v>
      </c>
      <c r="K38" s="1555">
        <v>0</v>
      </c>
      <c r="L38" s="1555">
        <v>0</v>
      </c>
      <c r="M38" s="1555">
        <v>0</v>
      </c>
      <c r="N38" s="1555">
        <v>0</v>
      </c>
      <c r="O38" s="1555">
        <v>0</v>
      </c>
      <c r="P38" s="1555">
        <v>0</v>
      </c>
      <c r="Q38" s="1555">
        <v>0</v>
      </c>
    </row>
    <row r="39" spans="1:17">
      <c r="A39" s="1554" t="s">
        <v>660</v>
      </c>
      <c r="B39" s="1555">
        <v>0</v>
      </c>
      <c r="C39" s="1555">
        <v>0</v>
      </c>
      <c r="D39" s="1555">
        <v>0</v>
      </c>
      <c r="E39" s="1555">
        <v>0</v>
      </c>
      <c r="F39" s="1555">
        <v>0</v>
      </c>
      <c r="G39" s="1555">
        <v>0</v>
      </c>
      <c r="H39" s="1555">
        <v>0</v>
      </c>
      <c r="I39" s="1555">
        <v>0</v>
      </c>
      <c r="J39" s="1555">
        <v>0</v>
      </c>
      <c r="K39" s="1555">
        <v>0</v>
      </c>
      <c r="L39" s="1555">
        <v>0</v>
      </c>
      <c r="M39" s="1555">
        <v>0</v>
      </c>
      <c r="N39" s="1555">
        <v>0</v>
      </c>
      <c r="O39" s="1555">
        <v>0</v>
      </c>
      <c r="P39" s="1555">
        <v>0</v>
      </c>
      <c r="Q39" s="1555">
        <v>0</v>
      </c>
    </row>
    <row r="40" spans="1:17">
      <c r="A40" s="1554" t="s">
        <v>662</v>
      </c>
      <c r="B40" s="1555">
        <v>0</v>
      </c>
      <c r="C40" s="1555">
        <v>0</v>
      </c>
      <c r="D40" s="1555">
        <v>0</v>
      </c>
      <c r="E40" s="1555">
        <v>0</v>
      </c>
      <c r="F40" s="1555">
        <v>0</v>
      </c>
      <c r="G40" s="1555">
        <v>0</v>
      </c>
      <c r="H40" s="1555">
        <v>0</v>
      </c>
      <c r="I40" s="1555">
        <v>0</v>
      </c>
      <c r="J40" s="1555">
        <v>0</v>
      </c>
      <c r="K40" s="1555">
        <v>0</v>
      </c>
      <c r="L40" s="1555">
        <v>0</v>
      </c>
      <c r="M40" s="1555">
        <v>0</v>
      </c>
      <c r="N40" s="1555">
        <v>0</v>
      </c>
      <c r="O40" s="1555">
        <v>0</v>
      </c>
      <c r="P40" s="1555">
        <v>0</v>
      </c>
      <c r="Q40" s="1555">
        <v>0</v>
      </c>
    </row>
    <row r="41" spans="1:17">
      <c r="A41" s="1554" t="s">
        <v>664</v>
      </c>
      <c r="B41" s="1555">
        <v>0</v>
      </c>
      <c r="C41" s="1555">
        <v>0</v>
      </c>
      <c r="D41" s="1555">
        <v>0</v>
      </c>
      <c r="E41" s="1555">
        <v>0</v>
      </c>
      <c r="F41" s="1555">
        <v>0</v>
      </c>
      <c r="G41" s="1555">
        <v>0</v>
      </c>
      <c r="H41" s="1555">
        <v>0</v>
      </c>
      <c r="I41" s="1555">
        <v>0</v>
      </c>
      <c r="J41" s="1555">
        <v>0</v>
      </c>
      <c r="K41" s="1555">
        <v>0</v>
      </c>
      <c r="L41" s="1555">
        <v>0</v>
      </c>
      <c r="M41" s="1555">
        <v>0</v>
      </c>
      <c r="N41" s="1555">
        <v>0</v>
      </c>
      <c r="O41" s="1555">
        <v>0</v>
      </c>
      <c r="P41" s="1555">
        <v>0</v>
      </c>
      <c r="Q41" s="1555">
        <v>0</v>
      </c>
    </row>
    <row r="42" spans="1:17">
      <c r="A42" s="1554" t="s">
        <v>666</v>
      </c>
      <c r="B42" s="1555">
        <v>0</v>
      </c>
      <c r="C42" s="1555">
        <v>0</v>
      </c>
      <c r="D42" s="1555">
        <v>0</v>
      </c>
      <c r="E42" s="1555">
        <v>0</v>
      </c>
      <c r="F42" s="1555">
        <v>0</v>
      </c>
      <c r="G42" s="1555">
        <v>0</v>
      </c>
      <c r="H42" s="1555">
        <v>0</v>
      </c>
      <c r="I42" s="1555">
        <v>0</v>
      </c>
      <c r="J42" s="1555">
        <v>0</v>
      </c>
      <c r="K42" s="1555">
        <v>0</v>
      </c>
      <c r="L42" s="1555">
        <v>0</v>
      </c>
      <c r="M42" s="1555">
        <v>0</v>
      </c>
      <c r="N42" s="1555">
        <v>0</v>
      </c>
      <c r="O42" s="1555">
        <v>0</v>
      </c>
      <c r="P42" s="1555">
        <v>0</v>
      </c>
      <c r="Q42" s="1555">
        <v>0</v>
      </c>
    </row>
    <row r="43" spans="1:17">
      <c r="A43" s="1554" t="s">
        <v>668</v>
      </c>
      <c r="B43" s="1555">
        <v>0</v>
      </c>
      <c r="C43" s="1555">
        <v>0</v>
      </c>
      <c r="D43" s="1555">
        <v>0</v>
      </c>
      <c r="E43" s="1555">
        <v>0</v>
      </c>
      <c r="F43" s="1555">
        <v>0</v>
      </c>
      <c r="G43" s="1555">
        <v>0</v>
      </c>
      <c r="H43" s="1555">
        <v>0</v>
      </c>
      <c r="I43" s="1555">
        <v>0</v>
      </c>
      <c r="J43" s="1555">
        <v>0</v>
      </c>
      <c r="K43" s="1555">
        <v>0</v>
      </c>
      <c r="L43" s="1555">
        <v>0</v>
      </c>
      <c r="M43" s="1555">
        <v>0</v>
      </c>
      <c r="N43" s="1555">
        <v>0</v>
      </c>
      <c r="O43" s="1555">
        <v>0</v>
      </c>
      <c r="P43" s="1555">
        <v>0</v>
      </c>
      <c r="Q43" s="1555">
        <v>0</v>
      </c>
    </row>
    <row r="44" spans="1:17">
      <c r="A44" s="1553" t="s">
        <v>798</v>
      </c>
      <c r="B44" s="1555">
        <v>0</v>
      </c>
      <c r="C44" s="1555">
        <v>0</v>
      </c>
      <c r="D44" s="1555">
        <v>0</v>
      </c>
      <c r="E44" s="1555">
        <v>0</v>
      </c>
      <c r="F44" s="1555">
        <v>0</v>
      </c>
      <c r="G44" s="1555">
        <v>0</v>
      </c>
      <c r="H44" s="1555">
        <v>0</v>
      </c>
      <c r="I44" s="1555">
        <v>0</v>
      </c>
      <c r="J44" s="1555">
        <v>0</v>
      </c>
      <c r="K44" s="1555">
        <v>0</v>
      </c>
      <c r="L44" s="1555">
        <v>0</v>
      </c>
      <c r="M44" s="1555">
        <v>0</v>
      </c>
      <c r="N44" s="1555">
        <v>0</v>
      </c>
      <c r="O44" s="1555">
        <v>0</v>
      </c>
      <c r="P44" s="1555">
        <v>0</v>
      </c>
      <c r="Q44" s="1555">
        <v>0</v>
      </c>
    </row>
    <row r="45" spans="1:17">
      <c r="A45" s="1554" t="s">
        <v>731</v>
      </c>
      <c r="B45" s="1555">
        <v>0</v>
      </c>
      <c r="C45" s="1555">
        <v>0</v>
      </c>
      <c r="D45" s="1555">
        <v>0</v>
      </c>
      <c r="E45" s="1555">
        <v>0</v>
      </c>
      <c r="F45" s="1555">
        <v>0</v>
      </c>
      <c r="G45" s="1555">
        <v>0</v>
      </c>
      <c r="H45" s="1555">
        <v>0</v>
      </c>
      <c r="I45" s="1555">
        <v>0</v>
      </c>
      <c r="J45" s="1555">
        <v>0</v>
      </c>
      <c r="K45" s="1555">
        <v>0</v>
      </c>
      <c r="L45" s="1555">
        <v>0</v>
      </c>
      <c r="M45" s="1555">
        <v>0</v>
      </c>
      <c r="N45" s="1555">
        <v>0</v>
      </c>
      <c r="O45" s="1555">
        <v>0</v>
      </c>
      <c r="P45" s="1555">
        <v>0</v>
      </c>
      <c r="Q45" s="1555">
        <v>0</v>
      </c>
    </row>
    <row r="46" spans="1:17">
      <c r="A46" s="1554" t="s">
        <v>656</v>
      </c>
      <c r="B46" s="1555">
        <v>0</v>
      </c>
      <c r="C46" s="1555">
        <v>0</v>
      </c>
      <c r="D46" s="1555">
        <v>0</v>
      </c>
      <c r="E46" s="1555">
        <v>0</v>
      </c>
      <c r="F46" s="1555">
        <v>0</v>
      </c>
      <c r="G46" s="1555">
        <v>0</v>
      </c>
      <c r="H46" s="1555">
        <v>0</v>
      </c>
      <c r="I46" s="1555">
        <v>0</v>
      </c>
      <c r="J46" s="1555">
        <v>0</v>
      </c>
      <c r="K46" s="1555">
        <v>0</v>
      </c>
      <c r="L46" s="1555">
        <v>0</v>
      </c>
      <c r="M46" s="1555">
        <v>0</v>
      </c>
      <c r="N46" s="1555">
        <v>0</v>
      </c>
      <c r="O46" s="1555">
        <v>0</v>
      </c>
      <c r="P46" s="1555">
        <v>0</v>
      </c>
      <c r="Q46" s="1555">
        <v>0</v>
      </c>
    </row>
    <row r="47" spans="1:17">
      <c r="A47" s="1554" t="s">
        <v>658</v>
      </c>
      <c r="B47" s="1555">
        <v>0</v>
      </c>
      <c r="C47" s="1555">
        <v>0</v>
      </c>
      <c r="D47" s="1555">
        <v>0</v>
      </c>
      <c r="E47" s="1555">
        <v>0</v>
      </c>
      <c r="F47" s="1555">
        <v>0</v>
      </c>
      <c r="G47" s="1555">
        <v>0</v>
      </c>
      <c r="H47" s="1555">
        <v>0</v>
      </c>
      <c r="I47" s="1555">
        <v>0</v>
      </c>
      <c r="J47" s="1555">
        <v>0</v>
      </c>
      <c r="K47" s="1555">
        <v>0</v>
      </c>
      <c r="L47" s="1555">
        <v>0</v>
      </c>
      <c r="M47" s="1555">
        <v>0</v>
      </c>
      <c r="N47" s="1555">
        <v>0</v>
      </c>
      <c r="O47" s="1555">
        <v>0</v>
      </c>
      <c r="P47" s="1555">
        <v>0</v>
      </c>
      <c r="Q47" s="1555">
        <v>0</v>
      </c>
    </row>
    <row r="48" spans="1:17">
      <c r="A48" s="1554" t="s">
        <v>660</v>
      </c>
      <c r="B48" s="1555">
        <v>0</v>
      </c>
      <c r="C48" s="1555">
        <v>0</v>
      </c>
      <c r="D48" s="1555">
        <v>0</v>
      </c>
      <c r="E48" s="1555">
        <v>0</v>
      </c>
      <c r="F48" s="1555">
        <v>0</v>
      </c>
      <c r="G48" s="1555">
        <v>0</v>
      </c>
      <c r="H48" s="1555">
        <v>0</v>
      </c>
      <c r="I48" s="1555">
        <v>0</v>
      </c>
      <c r="J48" s="1555">
        <v>0</v>
      </c>
      <c r="K48" s="1555">
        <v>0</v>
      </c>
      <c r="L48" s="1555">
        <v>0</v>
      </c>
      <c r="M48" s="1555">
        <v>0</v>
      </c>
      <c r="N48" s="1555">
        <v>0</v>
      </c>
      <c r="O48" s="1555">
        <v>0</v>
      </c>
      <c r="P48" s="1555">
        <v>0</v>
      </c>
      <c r="Q48" s="1555">
        <v>0</v>
      </c>
    </row>
    <row r="49" spans="1:17">
      <c r="A49" s="1554" t="s">
        <v>662</v>
      </c>
      <c r="B49" s="1555">
        <v>0</v>
      </c>
      <c r="C49" s="1555">
        <v>0</v>
      </c>
      <c r="D49" s="1555">
        <v>0</v>
      </c>
      <c r="E49" s="1555">
        <v>0</v>
      </c>
      <c r="F49" s="1555">
        <v>0</v>
      </c>
      <c r="G49" s="1555">
        <v>0</v>
      </c>
      <c r="H49" s="1555">
        <v>0</v>
      </c>
      <c r="I49" s="1555">
        <v>0</v>
      </c>
      <c r="J49" s="1555">
        <v>0</v>
      </c>
      <c r="K49" s="1555">
        <v>0</v>
      </c>
      <c r="L49" s="1555">
        <v>0</v>
      </c>
      <c r="M49" s="1555">
        <v>0</v>
      </c>
      <c r="N49" s="1555">
        <v>0</v>
      </c>
      <c r="O49" s="1555">
        <v>0</v>
      </c>
      <c r="P49" s="1555">
        <v>0</v>
      </c>
      <c r="Q49" s="1555">
        <v>0</v>
      </c>
    </row>
    <row r="50" spans="1:17">
      <c r="A50" s="1554" t="s">
        <v>664</v>
      </c>
      <c r="B50" s="1555">
        <v>0</v>
      </c>
      <c r="C50" s="1555">
        <v>0</v>
      </c>
      <c r="D50" s="1555">
        <v>0</v>
      </c>
      <c r="E50" s="1555">
        <v>0</v>
      </c>
      <c r="F50" s="1555">
        <v>0</v>
      </c>
      <c r="G50" s="1555">
        <v>0</v>
      </c>
      <c r="H50" s="1555">
        <v>0</v>
      </c>
      <c r="I50" s="1555">
        <v>0</v>
      </c>
      <c r="J50" s="1555">
        <v>0</v>
      </c>
      <c r="K50" s="1555">
        <v>0</v>
      </c>
      <c r="L50" s="1555">
        <v>0</v>
      </c>
      <c r="M50" s="1555">
        <v>0</v>
      </c>
      <c r="N50" s="1555">
        <v>0</v>
      </c>
      <c r="O50" s="1555">
        <v>0</v>
      </c>
      <c r="P50" s="1555">
        <v>0</v>
      </c>
      <c r="Q50" s="1555">
        <v>0</v>
      </c>
    </row>
    <row r="51" spans="1:17">
      <c r="A51" s="1554" t="s">
        <v>666</v>
      </c>
      <c r="B51" s="1555">
        <v>0</v>
      </c>
      <c r="C51" s="1555">
        <v>0</v>
      </c>
      <c r="D51" s="1555">
        <v>0</v>
      </c>
      <c r="E51" s="1555">
        <v>0</v>
      </c>
      <c r="F51" s="1555">
        <v>0</v>
      </c>
      <c r="G51" s="1555">
        <v>0</v>
      </c>
      <c r="H51" s="1555">
        <v>0</v>
      </c>
      <c r="I51" s="1555">
        <v>0</v>
      </c>
      <c r="J51" s="1555">
        <v>0</v>
      </c>
      <c r="K51" s="1555">
        <v>0</v>
      </c>
      <c r="L51" s="1555">
        <v>0</v>
      </c>
      <c r="M51" s="1555">
        <v>0</v>
      </c>
      <c r="N51" s="1555">
        <v>0</v>
      </c>
      <c r="O51" s="1555">
        <v>0</v>
      </c>
      <c r="P51" s="1555">
        <v>0</v>
      </c>
      <c r="Q51" s="1555">
        <v>0</v>
      </c>
    </row>
    <row r="52" spans="1:17">
      <c r="A52" s="1554" t="s">
        <v>668</v>
      </c>
      <c r="B52" s="1555">
        <v>0</v>
      </c>
      <c r="C52" s="1555">
        <v>0</v>
      </c>
      <c r="D52" s="1555">
        <v>0</v>
      </c>
      <c r="E52" s="1555">
        <v>0</v>
      </c>
      <c r="F52" s="1555">
        <v>0</v>
      </c>
      <c r="G52" s="1555">
        <v>0</v>
      </c>
      <c r="H52" s="1555">
        <v>0</v>
      </c>
      <c r="I52" s="1555">
        <v>0</v>
      </c>
      <c r="J52" s="1555">
        <v>0</v>
      </c>
      <c r="K52" s="1555">
        <v>0</v>
      </c>
      <c r="L52" s="1555">
        <v>0</v>
      </c>
      <c r="M52" s="1555">
        <v>0</v>
      </c>
      <c r="N52" s="1555">
        <v>0</v>
      </c>
      <c r="O52" s="1555">
        <v>0</v>
      </c>
      <c r="P52" s="1555">
        <v>0</v>
      </c>
      <c r="Q52" s="1555">
        <v>0</v>
      </c>
    </row>
    <row r="53" spans="1:17">
      <c r="A53" s="1437" t="s">
        <v>780</v>
      </c>
      <c r="B53" s="1555">
        <v>0</v>
      </c>
      <c r="C53" s="1555">
        <v>0</v>
      </c>
      <c r="D53" s="1555">
        <v>0</v>
      </c>
      <c r="E53" s="1555">
        <v>0</v>
      </c>
      <c r="F53" s="1555">
        <v>0</v>
      </c>
      <c r="G53" s="1555">
        <v>0</v>
      </c>
      <c r="H53" s="1555">
        <v>0</v>
      </c>
      <c r="I53" s="1555">
        <v>0</v>
      </c>
      <c r="J53" s="1555">
        <v>0</v>
      </c>
      <c r="K53" s="1555">
        <v>0</v>
      </c>
      <c r="L53" s="1555">
        <v>0</v>
      </c>
      <c r="M53" s="1555">
        <v>0</v>
      </c>
      <c r="N53" s="1555">
        <v>0</v>
      </c>
      <c r="O53" s="1555">
        <v>0</v>
      </c>
      <c r="P53" s="1555">
        <v>0</v>
      </c>
      <c r="Q53" s="1555">
        <v>0</v>
      </c>
    </row>
    <row r="54" spans="1:17">
      <c r="A54" s="1553" t="s">
        <v>789</v>
      </c>
      <c r="B54" s="1555">
        <v>0</v>
      </c>
      <c r="C54" s="1555">
        <v>0</v>
      </c>
      <c r="D54" s="1555">
        <v>0</v>
      </c>
      <c r="E54" s="1555">
        <v>0</v>
      </c>
      <c r="F54" s="1555">
        <v>0</v>
      </c>
      <c r="G54" s="1555">
        <v>0</v>
      </c>
      <c r="H54" s="1555">
        <v>0</v>
      </c>
      <c r="I54" s="1555">
        <v>0</v>
      </c>
      <c r="J54" s="1555">
        <v>0</v>
      </c>
      <c r="K54" s="1555">
        <v>0</v>
      </c>
      <c r="L54" s="1555">
        <v>0</v>
      </c>
      <c r="M54" s="1555">
        <v>0</v>
      </c>
      <c r="N54" s="1555">
        <v>0</v>
      </c>
      <c r="O54" s="1555">
        <v>0</v>
      </c>
      <c r="P54" s="1555">
        <v>0</v>
      </c>
      <c r="Q54" s="1555">
        <v>0</v>
      </c>
    </row>
    <row r="55" spans="1:17">
      <c r="A55" s="1554" t="s">
        <v>791</v>
      </c>
      <c r="B55" s="1555">
        <v>0</v>
      </c>
      <c r="C55" s="1555">
        <v>0</v>
      </c>
      <c r="D55" s="1555">
        <v>0</v>
      </c>
      <c r="E55" s="1555">
        <v>0</v>
      </c>
      <c r="F55" s="1555">
        <v>0</v>
      </c>
      <c r="G55" s="1555">
        <v>0</v>
      </c>
      <c r="H55" s="1555">
        <v>0</v>
      </c>
      <c r="I55" s="1555">
        <v>0</v>
      </c>
      <c r="J55" s="1555">
        <v>0</v>
      </c>
      <c r="K55" s="1555">
        <v>0</v>
      </c>
      <c r="L55" s="1555">
        <v>0</v>
      </c>
      <c r="M55" s="1555">
        <v>0</v>
      </c>
      <c r="N55" s="1555">
        <v>0</v>
      </c>
      <c r="O55" s="1555">
        <v>0</v>
      </c>
      <c r="P55" s="1555">
        <v>0</v>
      </c>
      <c r="Q55" s="1555">
        <v>0</v>
      </c>
    </row>
    <row r="56" spans="1:17">
      <c r="A56" s="1554" t="s">
        <v>793</v>
      </c>
      <c r="B56" s="1555">
        <v>0</v>
      </c>
      <c r="C56" s="1555">
        <v>0</v>
      </c>
      <c r="D56" s="1555">
        <v>0</v>
      </c>
      <c r="E56" s="1555">
        <v>0</v>
      </c>
      <c r="F56" s="1555">
        <v>0</v>
      </c>
      <c r="G56" s="1555">
        <v>0</v>
      </c>
      <c r="H56" s="1555">
        <v>0</v>
      </c>
      <c r="I56" s="1555">
        <v>0</v>
      </c>
      <c r="J56" s="1555">
        <v>0</v>
      </c>
      <c r="K56" s="1555">
        <v>0</v>
      </c>
      <c r="L56" s="1555">
        <v>0</v>
      </c>
      <c r="M56" s="1555">
        <v>0</v>
      </c>
      <c r="N56" s="1555">
        <v>0</v>
      </c>
      <c r="O56" s="1555">
        <v>0</v>
      </c>
      <c r="P56" s="1555">
        <v>0</v>
      </c>
      <c r="Q56" s="1555">
        <v>0</v>
      </c>
    </row>
    <row r="57" spans="1:17">
      <c r="A57" s="1554" t="s">
        <v>725</v>
      </c>
      <c r="B57" s="1555">
        <v>0</v>
      </c>
      <c r="C57" s="1555">
        <v>0</v>
      </c>
      <c r="D57" s="1555">
        <v>0</v>
      </c>
      <c r="E57" s="1555">
        <v>0</v>
      </c>
      <c r="F57" s="1555">
        <v>0</v>
      </c>
      <c r="G57" s="1555">
        <v>0</v>
      </c>
      <c r="H57" s="1555">
        <v>0</v>
      </c>
      <c r="I57" s="1555">
        <v>0</v>
      </c>
      <c r="J57" s="1555">
        <v>0</v>
      </c>
      <c r="K57" s="1555">
        <v>0</v>
      </c>
      <c r="L57" s="1555">
        <v>0</v>
      </c>
      <c r="M57" s="1555">
        <v>0</v>
      </c>
      <c r="N57" s="1555">
        <v>0</v>
      </c>
      <c r="O57" s="1555">
        <v>0</v>
      </c>
      <c r="P57" s="1555">
        <v>0</v>
      </c>
      <c r="Q57" s="1555">
        <v>0</v>
      </c>
    </row>
    <row r="58" spans="1:17">
      <c r="A58" s="1554" t="s">
        <v>656</v>
      </c>
      <c r="B58" s="1555">
        <v>0</v>
      </c>
      <c r="C58" s="1555">
        <v>0</v>
      </c>
      <c r="D58" s="1555">
        <v>0</v>
      </c>
      <c r="E58" s="1555">
        <v>0</v>
      </c>
      <c r="F58" s="1555">
        <v>0</v>
      </c>
      <c r="G58" s="1555">
        <v>0</v>
      </c>
      <c r="H58" s="1555">
        <v>0</v>
      </c>
      <c r="I58" s="1555">
        <v>0</v>
      </c>
      <c r="J58" s="1555">
        <v>0</v>
      </c>
      <c r="K58" s="1555">
        <v>0</v>
      </c>
      <c r="L58" s="1555">
        <v>0</v>
      </c>
      <c r="M58" s="1555">
        <v>0</v>
      </c>
      <c r="N58" s="1555">
        <v>0</v>
      </c>
      <c r="O58" s="1555">
        <v>0</v>
      </c>
      <c r="P58" s="1555">
        <v>0</v>
      </c>
      <c r="Q58" s="1555">
        <v>0</v>
      </c>
    </row>
    <row r="59" spans="1:17">
      <c r="A59" s="1554" t="s">
        <v>658</v>
      </c>
      <c r="B59" s="1555">
        <v>0</v>
      </c>
      <c r="C59" s="1555">
        <v>0</v>
      </c>
      <c r="D59" s="1555">
        <v>0</v>
      </c>
      <c r="E59" s="1555">
        <v>0</v>
      </c>
      <c r="F59" s="1555">
        <v>0</v>
      </c>
      <c r="G59" s="1555">
        <v>0</v>
      </c>
      <c r="H59" s="1555">
        <v>0</v>
      </c>
      <c r="I59" s="1555">
        <v>0</v>
      </c>
      <c r="J59" s="1555">
        <v>0</v>
      </c>
      <c r="K59" s="1555">
        <v>0</v>
      </c>
      <c r="L59" s="1555">
        <v>0</v>
      </c>
      <c r="M59" s="1555">
        <v>0</v>
      </c>
      <c r="N59" s="1555">
        <v>0</v>
      </c>
      <c r="O59" s="1555">
        <v>0</v>
      </c>
      <c r="P59" s="1555">
        <v>0</v>
      </c>
      <c r="Q59" s="1555">
        <v>0</v>
      </c>
    </row>
    <row r="60" spans="1:17">
      <c r="A60" s="1554" t="s">
        <v>660</v>
      </c>
      <c r="B60" s="1555">
        <v>0</v>
      </c>
      <c r="C60" s="1555">
        <v>0</v>
      </c>
      <c r="D60" s="1555">
        <v>0</v>
      </c>
      <c r="E60" s="1555">
        <v>0</v>
      </c>
      <c r="F60" s="1555">
        <v>0</v>
      </c>
      <c r="G60" s="1555">
        <v>0</v>
      </c>
      <c r="H60" s="1555">
        <v>0</v>
      </c>
      <c r="I60" s="1555">
        <v>0</v>
      </c>
      <c r="J60" s="1555">
        <v>0</v>
      </c>
      <c r="K60" s="1555">
        <v>0</v>
      </c>
      <c r="L60" s="1555">
        <v>0</v>
      </c>
      <c r="M60" s="1555">
        <v>0</v>
      </c>
      <c r="N60" s="1555">
        <v>0</v>
      </c>
      <c r="O60" s="1555">
        <v>0</v>
      </c>
      <c r="P60" s="1555">
        <v>0</v>
      </c>
      <c r="Q60" s="1555">
        <v>0</v>
      </c>
    </row>
    <row r="61" spans="1:17">
      <c r="A61" s="1554" t="s">
        <v>662</v>
      </c>
      <c r="B61" s="1555">
        <v>0</v>
      </c>
      <c r="C61" s="1555">
        <v>0</v>
      </c>
      <c r="D61" s="1555">
        <v>0</v>
      </c>
      <c r="E61" s="1555">
        <v>0</v>
      </c>
      <c r="F61" s="1555">
        <v>0</v>
      </c>
      <c r="G61" s="1555">
        <v>0</v>
      </c>
      <c r="H61" s="1555">
        <v>0</v>
      </c>
      <c r="I61" s="1555">
        <v>0</v>
      </c>
      <c r="J61" s="1555">
        <v>0</v>
      </c>
      <c r="K61" s="1555">
        <v>0</v>
      </c>
      <c r="L61" s="1555">
        <v>0</v>
      </c>
      <c r="M61" s="1555">
        <v>0</v>
      </c>
      <c r="N61" s="1555">
        <v>0</v>
      </c>
      <c r="O61" s="1555">
        <v>0</v>
      </c>
      <c r="P61" s="1555">
        <v>0</v>
      </c>
      <c r="Q61" s="1555">
        <v>0</v>
      </c>
    </row>
    <row r="62" spans="1:17">
      <c r="A62" s="1554" t="s">
        <v>664</v>
      </c>
      <c r="B62" s="1555">
        <v>0</v>
      </c>
      <c r="C62" s="1555">
        <v>0</v>
      </c>
      <c r="D62" s="1555">
        <v>0</v>
      </c>
      <c r="E62" s="1555">
        <v>0</v>
      </c>
      <c r="F62" s="1555">
        <v>0</v>
      </c>
      <c r="G62" s="1555">
        <v>0</v>
      </c>
      <c r="H62" s="1555">
        <v>0</v>
      </c>
      <c r="I62" s="1555">
        <v>0</v>
      </c>
      <c r="J62" s="1555">
        <v>0</v>
      </c>
      <c r="K62" s="1555">
        <v>0</v>
      </c>
      <c r="L62" s="1555">
        <v>0</v>
      </c>
      <c r="M62" s="1555">
        <v>0</v>
      </c>
      <c r="N62" s="1555">
        <v>0</v>
      </c>
      <c r="O62" s="1555">
        <v>0</v>
      </c>
      <c r="P62" s="1555">
        <v>0</v>
      </c>
      <c r="Q62" s="1555">
        <v>0</v>
      </c>
    </row>
    <row r="63" spans="1:17">
      <c r="A63" s="1554" t="s">
        <v>666</v>
      </c>
      <c r="B63" s="1555">
        <v>0</v>
      </c>
      <c r="C63" s="1555">
        <v>0</v>
      </c>
      <c r="D63" s="1555">
        <v>0</v>
      </c>
      <c r="E63" s="1555">
        <v>0</v>
      </c>
      <c r="F63" s="1555">
        <v>0</v>
      </c>
      <c r="G63" s="1555">
        <v>0</v>
      </c>
      <c r="H63" s="1555">
        <v>0</v>
      </c>
      <c r="I63" s="1555">
        <v>0</v>
      </c>
      <c r="J63" s="1555">
        <v>0</v>
      </c>
      <c r="K63" s="1555">
        <v>0</v>
      </c>
      <c r="L63" s="1555">
        <v>0</v>
      </c>
      <c r="M63" s="1555">
        <v>0</v>
      </c>
      <c r="N63" s="1555">
        <v>0</v>
      </c>
      <c r="O63" s="1555">
        <v>0</v>
      </c>
      <c r="P63" s="1555">
        <v>0</v>
      </c>
      <c r="Q63" s="1555">
        <v>0</v>
      </c>
    </row>
    <row r="64" spans="1:17">
      <c r="A64" s="1554" t="s">
        <v>668</v>
      </c>
      <c r="B64" s="1555">
        <v>0</v>
      </c>
      <c r="C64" s="1555">
        <v>0</v>
      </c>
      <c r="D64" s="1555">
        <v>0</v>
      </c>
      <c r="E64" s="1555">
        <v>0</v>
      </c>
      <c r="F64" s="1555">
        <v>0</v>
      </c>
      <c r="G64" s="1555">
        <v>0</v>
      </c>
      <c r="H64" s="1555">
        <v>0</v>
      </c>
      <c r="I64" s="1555">
        <v>0</v>
      </c>
      <c r="J64" s="1555">
        <v>0</v>
      </c>
      <c r="K64" s="1555">
        <v>0</v>
      </c>
      <c r="L64" s="1555">
        <v>0</v>
      </c>
      <c r="M64" s="1555">
        <v>0</v>
      </c>
      <c r="N64" s="1555">
        <v>0</v>
      </c>
      <c r="O64" s="1555">
        <v>0</v>
      </c>
      <c r="P64" s="1555">
        <v>0</v>
      </c>
      <c r="Q64" s="1555">
        <v>0</v>
      </c>
    </row>
    <row r="65" spans="1:17">
      <c r="A65" s="1553" t="s">
        <v>796</v>
      </c>
      <c r="B65" s="1555">
        <v>0</v>
      </c>
      <c r="C65" s="1555">
        <v>0</v>
      </c>
      <c r="D65" s="1555">
        <v>0</v>
      </c>
      <c r="E65" s="1555">
        <v>0</v>
      </c>
      <c r="F65" s="1555">
        <v>0</v>
      </c>
      <c r="G65" s="1555">
        <v>0</v>
      </c>
      <c r="H65" s="1555">
        <v>0</v>
      </c>
      <c r="I65" s="1555">
        <v>0</v>
      </c>
      <c r="J65" s="1555">
        <v>0</v>
      </c>
      <c r="K65" s="1555">
        <v>0</v>
      </c>
      <c r="L65" s="1555">
        <v>0</v>
      </c>
      <c r="M65" s="1555">
        <v>0</v>
      </c>
      <c r="N65" s="1555">
        <v>0</v>
      </c>
      <c r="O65" s="1555">
        <v>0</v>
      </c>
      <c r="P65" s="1555">
        <v>0</v>
      </c>
      <c r="Q65" s="1555">
        <v>0</v>
      </c>
    </row>
    <row r="66" spans="1:17">
      <c r="A66" s="1554" t="s">
        <v>791</v>
      </c>
      <c r="B66" s="1555">
        <v>0</v>
      </c>
      <c r="C66" s="1555">
        <v>0</v>
      </c>
      <c r="D66" s="1555">
        <v>0</v>
      </c>
      <c r="E66" s="1555">
        <v>0</v>
      </c>
      <c r="F66" s="1555">
        <v>0</v>
      </c>
      <c r="G66" s="1555">
        <v>0</v>
      </c>
      <c r="H66" s="1555">
        <v>0</v>
      </c>
      <c r="I66" s="1555">
        <v>0</v>
      </c>
      <c r="J66" s="1555">
        <v>0</v>
      </c>
      <c r="K66" s="1555">
        <v>0</v>
      </c>
      <c r="L66" s="1555">
        <v>0</v>
      </c>
      <c r="M66" s="1555">
        <v>0</v>
      </c>
      <c r="N66" s="1555">
        <v>0</v>
      </c>
      <c r="O66" s="1555">
        <v>0</v>
      </c>
      <c r="P66" s="1555">
        <v>0</v>
      </c>
      <c r="Q66" s="1555">
        <v>0</v>
      </c>
    </row>
    <row r="67" spans="1:17">
      <c r="A67" s="1554" t="s">
        <v>793</v>
      </c>
      <c r="B67" s="1555">
        <v>0</v>
      </c>
      <c r="C67" s="1555">
        <v>0</v>
      </c>
      <c r="D67" s="1555">
        <v>0</v>
      </c>
      <c r="E67" s="1555">
        <v>0</v>
      </c>
      <c r="F67" s="1555">
        <v>0</v>
      </c>
      <c r="G67" s="1555">
        <v>0</v>
      </c>
      <c r="H67" s="1555">
        <v>0</v>
      </c>
      <c r="I67" s="1555">
        <v>0</v>
      </c>
      <c r="J67" s="1555">
        <v>0</v>
      </c>
      <c r="K67" s="1555">
        <v>0</v>
      </c>
      <c r="L67" s="1555">
        <v>0</v>
      </c>
      <c r="M67" s="1555">
        <v>0</v>
      </c>
      <c r="N67" s="1555">
        <v>0</v>
      </c>
      <c r="O67" s="1555">
        <v>0</v>
      </c>
      <c r="P67" s="1555">
        <v>0</v>
      </c>
      <c r="Q67" s="1555">
        <v>0</v>
      </c>
    </row>
    <row r="68" spans="1:17">
      <c r="A68" s="1554" t="s">
        <v>725</v>
      </c>
      <c r="B68" s="1555">
        <v>0</v>
      </c>
      <c r="C68" s="1555">
        <v>0</v>
      </c>
      <c r="D68" s="1555">
        <v>0</v>
      </c>
      <c r="E68" s="1555">
        <v>0</v>
      </c>
      <c r="F68" s="1555">
        <v>0</v>
      </c>
      <c r="G68" s="1555">
        <v>0</v>
      </c>
      <c r="H68" s="1555">
        <v>0</v>
      </c>
      <c r="I68" s="1555">
        <v>0</v>
      </c>
      <c r="J68" s="1555">
        <v>0</v>
      </c>
      <c r="K68" s="1555">
        <v>0</v>
      </c>
      <c r="L68" s="1555">
        <v>0</v>
      </c>
      <c r="M68" s="1555">
        <v>0</v>
      </c>
      <c r="N68" s="1555">
        <v>0</v>
      </c>
      <c r="O68" s="1555">
        <v>0</v>
      </c>
      <c r="P68" s="1555">
        <v>0</v>
      </c>
      <c r="Q68" s="1555">
        <v>0</v>
      </c>
    </row>
    <row r="69" spans="1:17">
      <c r="A69" s="1554" t="s">
        <v>656</v>
      </c>
      <c r="B69" s="1555">
        <v>0</v>
      </c>
      <c r="C69" s="1555">
        <v>0</v>
      </c>
      <c r="D69" s="1555">
        <v>0</v>
      </c>
      <c r="E69" s="1555">
        <v>0</v>
      </c>
      <c r="F69" s="1555">
        <v>0</v>
      </c>
      <c r="G69" s="1555">
        <v>0</v>
      </c>
      <c r="H69" s="1555">
        <v>0</v>
      </c>
      <c r="I69" s="1555">
        <v>0</v>
      </c>
      <c r="J69" s="1555">
        <v>0</v>
      </c>
      <c r="K69" s="1555">
        <v>0</v>
      </c>
      <c r="L69" s="1555">
        <v>0</v>
      </c>
      <c r="M69" s="1555">
        <v>0</v>
      </c>
      <c r="N69" s="1555">
        <v>0</v>
      </c>
      <c r="O69" s="1555">
        <v>0</v>
      </c>
      <c r="P69" s="1555">
        <v>0</v>
      </c>
      <c r="Q69" s="1555">
        <v>0</v>
      </c>
    </row>
    <row r="70" spans="1:17">
      <c r="A70" s="1554" t="s">
        <v>658</v>
      </c>
      <c r="B70" s="1555">
        <v>0</v>
      </c>
      <c r="C70" s="1555">
        <v>0</v>
      </c>
      <c r="D70" s="1555">
        <v>0</v>
      </c>
      <c r="E70" s="1555">
        <v>0</v>
      </c>
      <c r="F70" s="1555">
        <v>0</v>
      </c>
      <c r="G70" s="1555">
        <v>0</v>
      </c>
      <c r="H70" s="1555">
        <v>0</v>
      </c>
      <c r="I70" s="1555">
        <v>0</v>
      </c>
      <c r="J70" s="1555">
        <v>0</v>
      </c>
      <c r="K70" s="1555">
        <v>0</v>
      </c>
      <c r="L70" s="1555">
        <v>0</v>
      </c>
      <c r="M70" s="1555">
        <v>0</v>
      </c>
      <c r="N70" s="1555">
        <v>0</v>
      </c>
      <c r="O70" s="1555">
        <v>0</v>
      </c>
      <c r="P70" s="1555">
        <v>0</v>
      </c>
      <c r="Q70" s="1555">
        <v>0</v>
      </c>
    </row>
    <row r="71" spans="1:17">
      <c r="A71" s="1554" t="s">
        <v>660</v>
      </c>
      <c r="B71" s="1555">
        <v>0</v>
      </c>
      <c r="C71" s="1555">
        <v>0</v>
      </c>
      <c r="D71" s="1555">
        <v>0</v>
      </c>
      <c r="E71" s="1555">
        <v>0</v>
      </c>
      <c r="F71" s="1555">
        <v>0</v>
      </c>
      <c r="G71" s="1555">
        <v>0</v>
      </c>
      <c r="H71" s="1555">
        <v>0</v>
      </c>
      <c r="I71" s="1555">
        <v>0</v>
      </c>
      <c r="J71" s="1555">
        <v>0</v>
      </c>
      <c r="K71" s="1555">
        <v>0</v>
      </c>
      <c r="L71" s="1555">
        <v>0</v>
      </c>
      <c r="M71" s="1555">
        <v>0</v>
      </c>
      <c r="N71" s="1555">
        <v>0</v>
      </c>
      <c r="O71" s="1555">
        <v>0</v>
      </c>
      <c r="P71" s="1555">
        <v>0</v>
      </c>
      <c r="Q71" s="1555">
        <v>0</v>
      </c>
    </row>
    <row r="72" spans="1:17">
      <c r="A72" s="1554" t="s">
        <v>662</v>
      </c>
      <c r="B72" s="1555">
        <v>0</v>
      </c>
      <c r="C72" s="1555">
        <v>0</v>
      </c>
      <c r="D72" s="1555">
        <v>0</v>
      </c>
      <c r="E72" s="1555">
        <v>0</v>
      </c>
      <c r="F72" s="1555">
        <v>0</v>
      </c>
      <c r="G72" s="1555">
        <v>0</v>
      </c>
      <c r="H72" s="1555">
        <v>0</v>
      </c>
      <c r="I72" s="1555">
        <v>0</v>
      </c>
      <c r="J72" s="1555">
        <v>0</v>
      </c>
      <c r="K72" s="1555">
        <v>0</v>
      </c>
      <c r="L72" s="1555">
        <v>0</v>
      </c>
      <c r="M72" s="1555">
        <v>0</v>
      </c>
      <c r="N72" s="1555">
        <v>0</v>
      </c>
      <c r="O72" s="1555">
        <v>0</v>
      </c>
      <c r="P72" s="1555">
        <v>0</v>
      </c>
      <c r="Q72" s="1555">
        <v>0</v>
      </c>
    </row>
    <row r="73" spans="1:17">
      <c r="A73" s="1554" t="s">
        <v>664</v>
      </c>
      <c r="B73" s="1555">
        <v>0</v>
      </c>
      <c r="C73" s="1555">
        <v>0</v>
      </c>
      <c r="D73" s="1555">
        <v>0</v>
      </c>
      <c r="E73" s="1555">
        <v>0</v>
      </c>
      <c r="F73" s="1555">
        <v>0</v>
      </c>
      <c r="G73" s="1555">
        <v>0</v>
      </c>
      <c r="H73" s="1555">
        <v>0</v>
      </c>
      <c r="I73" s="1555">
        <v>0</v>
      </c>
      <c r="J73" s="1555">
        <v>0</v>
      </c>
      <c r="K73" s="1555">
        <v>0</v>
      </c>
      <c r="L73" s="1555">
        <v>0</v>
      </c>
      <c r="M73" s="1555">
        <v>0</v>
      </c>
      <c r="N73" s="1555">
        <v>0</v>
      </c>
      <c r="O73" s="1555">
        <v>0</v>
      </c>
      <c r="P73" s="1555">
        <v>0</v>
      </c>
      <c r="Q73" s="1555">
        <v>0</v>
      </c>
    </row>
    <row r="74" spans="1:17">
      <c r="A74" s="1554" t="s">
        <v>666</v>
      </c>
      <c r="B74" s="1555">
        <v>0</v>
      </c>
      <c r="C74" s="1555">
        <v>0</v>
      </c>
      <c r="D74" s="1555">
        <v>0</v>
      </c>
      <c r="E74" s="1555">
        <v>0</v>
      </c>
      <c r="F74" s="1555">
        <v>0</v>
      </c>
      <c r="G74" s="1555">
        <v>0</v>
      </c>
      <c r="H74" s="1555">
        <v>0</v>
      </c>
      <c r="I74" s="1555">
        <v>0</v>
      </c>
      <c r="J74" s="1555">
        <v>0</v>
      </c>
      <c r="K74" s="1555">
        <v>0</v>
      </c>
      <c r="L74" s="1555">
        <v>0</v>
      </c>
      <c r="M74" s="1555">
        <v>0</v>
      </c>
      <c r="N74" s="1555">
        <v>0</v>
      </c>
      <c r="O74" s="1555">
        <v>0</v>
      </c>
      <c r="P74" s="1555">
        <v>0</v>
      </c>
      <c r="Q74" s="1555">
        <v>0</v>
      </c>
    </row>
    <row r="75" spans="1:17">
      <c r="A75" s="1554" t="s">
        <v>668</v>
      </c>
      <c r="B75" s="1555">
        <v>0</v>
      </c>
      <c r="C75" s="1555">
        <v>0</v>
      </c>
      <c r="D75" s="1555">
        <v>0</v>
      </c>
      <c r="E75" s="1555">
        <v>0</v>
      </c>
      <c r="F75" s="1555">
        <v>0</v>
      </c>
      <c r="G75" s="1555">
        <v>0</v>
      </c>
      <c r="H75" s="1555">
        <v>0</v>
      </c>
      <c r="I75" s="1555">
        <v>0</v>
      </c>
      <c r="J75" s="1555">
        <v>0</v>
      </c>
      <c r="K75" s="1555">
        <v>0</v>
      </c>
      <c r="L75" s="1555">
        <v>0</v>
      </c>
      <c r="M75" s="1555">
        <v>0</v>
      </c>
      <c r="N75" s="1555">
        <v>0</v>
      </c>
      <c r="O75" s="1555">
        <v>0</v>
      </c>
      <c r="P75" s="1555">
        <v>0</v>
      </c>
      <c r="Q75" s="1555">
        <v>0</v>
      </c>
    </row>
    <row r="76" spans="1:17">
      <c r="A76" s="1553" t="s">
        <v>794</v>
      </c>
      <c r="B76" s="1555">
        <v>0</v>
      </c>
      <c r="C76" s="1555">
        <v>0</v>
      </c>
      <c r="D76" s="1555">
        <v>0</v>
      </c>
      <c r="E76" s="1555">
        <v>0</v>
      </c>
      <c r="F76" s="1555">
        <v>0</v>
      </c>
      <c r="G76" s="1555">
        <v>0</v>
      </c>
      <c r="H76" s="1555">
        <v>0</v>
      </c>
      <c r="I76" s="1555">
        <v>0</v>
      </c>
      <c r="J76" s="1555">
        <v>0</v>
      </c>
      <c r="K76" s="1555">
        <v>0</v>
      </c>
      <c r="L76" s="1555">
        <v>0</v>
      </c>
      <c r="M76" s="1555">
        <v>0</v>
      </c>
      <c r="N76" s="1555">
        <v>0</v>
      </c>
      <c r="O76" s="1555">
        <v>0</v>
      </c>
      <c r="P76" s="1555">
        <v>0</v>
      </c>
      <c r="Q76" s="1555">
        <v>0</v>
      </c>
    </row>
    <row r="77" spans="1:17">
      <c r="A77" s="1554" t="s">
        <v>781</v>
      </c>
      <c r="B77" s="1555">
        <v>0</v>
      </c>
      <c r="C77" s="1555">
        <v>0</v>
      </c>
      <c r="D77" s="1555">
        <v>0</v>
      </c>
      <c r="E77" s="1555">
        <v>0</v>
      </c>
      <c r="F77" s="1555">
        <v>0</v>
      </c>
      <c r="G77" s="1555">
        <v>0</v>
      </c>
      <c r="H77" s="1555">
        <v>0</v>
      </c>
      <c r="I77" s="1555">
        <v>0</v>
      </c>
      <c r="J77" s="1555">
        <v>0</v>
      </c>
      <c r="K77" s="1555">
        <v>0</v>
      </c>
      <c r="L77" s="1555">
        <v>0</v>
      </c>
      <c r="M77" s="1555">
        <v>0</v>
      </c>
      <c r="N77" s="1555">
        <v>0</v>
      </c>
      <c r="O77" s="1555">
        <v>0</v>
      </c>
      <c r="P77" s="1555">
        <v>0</v>
      </c>
      <c r="Q77" s="1555">
        <v>0</v>
      </c>
    </row>
    <row r="78" spans="1:17">
      <c r="A78" s="1553" t="s">
        <v>795</v>
      </c>
      <c r="B78" s="1555">
        <v>0</v>
      </c>
      <c r="C78" s="1555">
        <v>0</v>
      </c>
      <c r="D78" s="1555">
        <v>0</v>
      </c>
      <c r="E78" s="1555">
        <v>0</v>
      </c>
      <c r="F78" s="1555">
        <v>0</v>
      </c>
      <c r="G78" s="1555">
        <v>0</v>
      </c>
      <c r="H78" s="1555">
        <v>0</v>
      </c>
      <c r="I78" s="1555">
        <v>0</v>
      </c>
      <c r="J78" s="1555">
        <v>0</v>
      </c>
      <c r="K78" s="1555">
        <v>0</v>
      </c>
      <c r="L78" s="1555">
        <v>0</v>
      </c>
      <c r="M78" s="1555">
        <v>0</v>
      </c>
      <c r="N78" s="1555">
        <v>0</v>
      </c>
      <c r="O78" s="1555">
        <v>0</v>
      </c>
      <c r="P78" s="1555">
        <v>0</v>
      </c>
      <c r="Q78" s="1555">
        <v>0</v>
      </c>
    </row>
    <row r="79" spans="1:17">
      <c r="A79" s="1554" t="s">
        <v>792</v>
      </c>
      <c r="B79" s="1555">
        <v>0</v>
      </c>
      <c r="C79" s="1555">
        <v>0</v>
      </c>
      <c r="D79" s="1555">
        <v>0</v>
      </c>
      <c r="E79" s="1555">
        <v>0</v>
      </c>
      <c r="F79" s="1555">
        <v>0</v>
      </c>
      <c r="G79" s="1555">
        <v>0</v>
      </c>
      <c r="H79" s="1555">
        <v>0</v>
      </c>
      <c r="I79" s="1555">
        <v>0</v>
      </c>
      <c r="J79" s="1555">
        <v>0</v>
      </c>
      <c r="K79" s="1555">
        <v>0</v>
      </c>
      <c r="L79" s="1555">
        <v>0</v>
      </c>
      <c r="M79" s="1555">
        <v>0</v>
      </c>
      <c r="N79" s="1555">
        <v>0</v>
      </c>
      <c r="O79" s="1555">
        <v>0</v>
      </c>
      <c r="P79" s="1555">
        <v>0</v>
      </c>
      <c r="Q79" s="1555">
        <v>0</v>
      </c>
    </row>
    <row r="80" spans="1:17">
      <c r="A80" s="1554" t="s">
        <v>656</v>
      </c>
      <c r="B80" s="1555">
        <v>0</v>
      </c>
      <c r="C80" s="1555">
        <v>0</v>
      </c>
      <c r="D80" s="1555">
        <v>0</v>
      </c>
      <c r="E80" s="1555">
        <v>0</v>
      </c>
      <c r="F80" s="1555">
        <v>0</v>
      </c>
      <c r="G80" s="1555">
        <v>0</v>
      </c>
      <c r="H80" s="1555">
        <v>0</v>
      </c>
      <c r="I80" s="1555">
        <v>0</v>
      </c>
      <c r="J80" s="1555">
        <v>0</v>
      </c>
      <c r="K80" s="1555">
        <v>0</v>
      </c>
      <c r="L80" s="1555">
        <v>0</v>
      </c>
      <c r="M80" s="1555">
        <v>0</v>
      </c>
      <c r="N80" s="1555">
        <v>0</v>
      </c>
      <c r="O80" s="1555">
        <v>0</v>
      </c>
      <c r="P80" s="1555">
        <v>0</v>
      </c>
      <c r="Q80" s="1555">
        <v>0</v>
      </c>
    </row>
    <row r="81" spans="1:17">
      <c r="A81" s="1554" t="s">
        <v>658</v>
      </c>
      <c r="B81" s="1555">
        <v>0</v>
      </c>
      <c r="C81" s="1555">
        <v>0</v>
      </c>
      <c r="D81" s="1555">
        <v>0</v>
      </c>
      <c r="E81" s="1555">
        <v>0</v>
      </c>
      <c r="F81" s="1555">
        <v>0</v>
      </c>
      <c r="G81" s="1555">
        <v>0</v>
      </c>
      <c r="H81" s="1555">
        <v>0</v>
      </c>
      <c r="I81" s="1555">
        <v>0</v>
      </c>
      <c r="J81" s="1555">
        <v>0</v>
      </c>
      <c r="K81" s="1555">
        <v>0</v>
      </c>
      <c r="L81" s="1555">
        <v>0</v>
      </c>
      <c r="M81" s="1555">
        <v>0</v>
      </c>
      <c r="N81" s="1555">
        <v>0</v>
      </c>
      <c r="O81" s="1555">
        <v>0</v>
      </c>
      <c r="P81" s="1555">
        <v>0</v>
      </c>
      <c r="Q81" s="1555">
        <v>0</v>
      </c>
    </row>
    <row r="82" spans="1:17">
      <c r="A82" s="1554" t="s">
        <v>660</v>
      </c>
      <c r="B82" s="1555">
        <v>0</v>
      </c>
      <c r="C82" s="1555">
        <v>0</v>
      </c>
      <c r="D82" s="1555">
        <v>0</v>
      </c>
      <c r="E82" s="1555">
        <v>0</v>
      </c>
      <c r="F82" s="1555">
        <v>0</v>
      </c>
      <c r="G82" s="1555">
        <v>0</v>
      </c>
      <c r="H82" s="1555">
        <v>0</v>
      </c>
      <c r="I82" s="1555">
        <v>0</v>
      </c>
      <c r="J82" s="1555">
        <v>0</v>
      </c>
      <c r="K82" s="1555">
        <v>0</v>
      </c>
      <c r="L82" s="1555">
        <v>0</v>
      </c>
      <c r="M82" s="1555">
        <v>0</v>
      </c>
      <c r="N82" s="1555">
        <v>0</v>
      </c>
      <c r="O82" s="1555">
        <v>0</v>
      </c>
      <c r="P82" s="1555">
        <v>0</v>
      </c>
      <c r="Q82" s="1555">
        <v>0</v>
      </c>
    </row>
    <row r="83" spans="1:17">
      <c r="A83" s="1554" t="s">
        <v>662</v>
      </c>
      <c r="B83" s="1555">
        <v>0</v>
      </c>
      <c r="C83" s="1555">
        <v>0</v>
      </c>
      <c r="D83" s="1555">
        <v>0</v>
      </c>
      <c r="E83" s="1555">
        <v>0</v>
      </c>
      <c r="F83" s="1555">
        <v>0</v>
      </c>
      <c r="G83" s="1555">
        <v>0</v>
      </c>
      <c r="H83" s="1555">
        <v>0</v>
      </c>
      <c r="I83" s="1555">
        <v>0</v>
      </c>
      <c r="J83" s="1555">
        <v>0</v>
      </c>
      <c r="K83" s="1555">
        <v>0</v>
      </c>
      <c r="L83" s="1555">
        <v>0</v>
      </c>
      <c r="M83" s="1555">
        <v>0</v>
      </c>
      <c r="N83" s="1555">
        <v>0</v>
      </c>
      <c r="O83" s="1555">
        <v>0</v>
      </c>
      <c r="P83" s="1555">
        <v>0</v>
      </c>
      <c r="Q83" s="1555">
        <v>0</v>
      </c>
    </row>
    <row r="84" spans="1:17">
      <c r="A84" s="1554" t="s">
        <v>664</v>
      </c>
      <c r="B84" s="1555">
        <v>0</v>
      </c>
      <c r="C84" s="1555">
        <v>0</v>
      </c>
      <c r="D84" s="1555">
        <v>0</v>
      </c>
      <c r="E84" s="1555">
        <v>0</v>
      </c>
      <c r="F84" s="1555">
        <v>0</v>
      </c>
      <c r="G84" s="1555">
        <v>0</v>
      </c>
      <c r="H84" s="1555">
        <v>0</v>
      </c>
      <c r="I84" s="1555">
        <v>0</v>
      </c>
      <c r="J84" s="1555">
        <v>0</v>
      </c>
      <c r="K84" s="1555">
        <v>0</v>
      </c>
      <c r="L84" s="1555">
        <v>0</v>
      </c>
      <c r="M84" s="1555">
        <v>0</v>
      </c>
      <c r="N84" s="1555">
        <v>0</v>
      </c>
      <c r="O84" s="1555">
        <v>0</v>
      </c>
      <c r="P84" s="1555">
        <v>0</v>
      </c>
      <c r="Q84" s="1555">
        <v>0</v>
      </c>
    </row>
    <row r="85" spans="1:17">
      <c r="A85" s="1554" t="s">
        <v>666</v>
      </c>
      <c r="B85" s="1555">
        <v>0</v>
      </c>
      <c r="C85" s="1555">
        <v>0</v>
      </c>
      <c r="D85" s="1555">
        <v>0</v>
      </c>
      <c r="E85" s="1555">
        <v>0</v>
      </c>
      <c r="F85" s="1555">
        <v>0</v>
      </c>
      <c r="G85" s="1555">
        <v>0</v>
      </c>
      <c r="H85" s="1555">
        <v>0</v>
      </c>
      <c r="I85" s="1555">
        <v>0</v>
      </c>
      <c r="J85" s="1555">
        <v>0</v>
      </c>
      <c r="K85" s="1555">
        <v>0</v>
      </c>
      <c r="L85" s="1555">
        <v>0</v>
      </c>
      <c r="M85" s="1555">
        <v>0</v>
      </c>
      <c r="N85" s="1555">
        <v>0</v>
      </c>
      <c r="O85" s="1555">
        <v>0</v>
      </c>
      <c r="P85" s="1555">
        <v>0</v>
      </c>
      <c r="Q85" s="1555">
        <v>0</v>
      </c>
    </row>
    <row r="86" spans="1:17">
      <c r="A86" s="1554" t="s">
        <v>668</v>
      </c>
      <c r="B86" s="1555">
        <v>0</v>
      </c>
      <c r="C86" s="1555">
        <v>0</v>
      </c>
      <c r="D86" s="1555">
        <v>0</v>
      </c>
      <c r="E86" s="1555">
        <v>0</v>
      </c>
      <c r="F86" s="1555">
        <v>0</v>
      </c>
      <c r="G86" s="1555">
        <v>0</v>
      </c>
      <c r="H86" s="1555">
        <v>0</v>
      </c>
      <c r="I86" s="1555">
        <v>0</v>
      </c>
      <c r="J86" s="1555">
        <v>0</v>
      </c>
      <c r="K86" s="1555">
        <v>0</v>
      </c>
      <c r="L86" s="1555">
        <v>0</v>
      </c>
      <c r="M86" s="1555">
        <v>0</v>
      </c>
      <c r="N86" s="1555">
        <v>0</v>
      </c>
      <c r="O86" s="1555">
        <v>0</v>
      </c>
      <c r="P86" s="1555">
        <v>0</v>
      </c>
      <c r="Q86" s="1555">
        <v>0</v>
      </c>
    </row>
    <row r="87" spans="1:17">
      <c r="A87" s="1437" t="s">
        <v>804</v>
      </c>
      <c r="B87" s="1555">
        <v>0</v>
      </c>
      <c r="C87" s="1555">
        <v>0</v>
      </c>
      <c r="D87" s="1555">
        <v>0</v>
      </c>
      <c r="E87" s="1555">
        <v>0</v>
      </c>
      <c r="F87" s="1555">
        <v>0</v>
      </c>
      <c r="G87" s="1555">
        <v>0</v>
      </c>
      <c r="H87" s="1555">
        <v>0</v>
      </c>
      <c r="I87" s="1555">
        <v>0</v>
      </c>
      <c r="J87" s="1555">
        <v>0</v>
      </c>
      <c r="K87" s="1555">
        <v>0</v>
      </c>
      <c r="L87" s="1555">
        <v>0</v>
      </c>
      <c r="M87" s="1555">
        <v>0</v>
      </c>
      <c r="N87" s="1555">
        <v>0</v>
      </c>
      <c r="O87" s="1555">
        <v>0</v>
      </c>
      <c r="P87" s="1555">
        <v>0</v>
      </c>
      <c r="Q87" s="1555">
        <v>0</v>
      </c>
    </row>
    <row r="88" spans="1:17">
      <c r="A88" s="1553" t="s">
        <v>805</v>
      </c>
      <c r="B88" s="1555">
        <v>0</v>
      </c>
      <c r="C88" s="1555">
        <v>0</v>
      </c>
      <c r="D88" s="1555">
        <v>0</v>
      </c>
      <c r="E88" s="1555">
        <v>0</v>
      </c>
      <c r="F88" s="1555">
        <v>0</v>
      </c>
      <c r="G88" s="1555">
        <v>0</v>
      </c>
      <c r="H88" s="1555">
        <v>0</v>
      </c>
      <c r="I88" s="1555">
        <v>0</v>
      </c>
      <c r="J88" s="1555">
        <v>0</v>
      </c>
      <c r="K88" s="1555">
        <v>0</v>
      </c>
      <c r="L88" s="1555">
        <v>0</v>
      </c>
      <c r="M88" s="1555">
        <v>0</v>
      </c>
      <c r="N88" s="1555">
        <v>0</v>
      </c>
      <c r="O88" s="1555">
        <v>0</v>
      </c>
      <c r="P88" s="1555">
        <v>0</v>
      </c>
      <c r="Q88" s="1555">
        <v>0</v>
      </c>
    </row>
    <row r="89" spans="1:17">
      <c r="A89" s="1554" t="s">
        <v>783</v>
      </c>
      <c r="B89" s="1555">
        <v>0</v>
      </c>
      <c r="C89" s="1555">
        <v>0</v>
      </c>
      <c r="D89" s="1555">
        <v>0</v>
      </c>
      <c r="E89" s="1555">
        <v>0</v>
      </c>
      <c r="F89" s="1555">
        <v>0</v>
      </c>
      <c r="G89" s="1555">
        <v>0</v>
      </c>
      <c r="H89" s="1555">
        <v>0</v>
      </c>
      <c r="I89" s="1555">
        <v>0</v>
      </c>
      <c r="J89" s="1555">
        <v>0</v>
      </c>
      <c r="K89" s="1555">
        <v>0</v>
      </c>
      <c r="L89" s="1555">
        <v>0</v>
      </c>
      <c r="M89" s="1555">
        <v>0</v>
      </c>
      <c r="N89" s="1555">
        <v>0</v>
      </c>
      <c r="O89" s="1555">
        <v>0</v>
      </c>
      <c r="P89" s="1555">
        <v>0</v>
      </c>
      <c r="Q89" s="1555">
        <v>0</v>
      </c>
    </row>
    <row r="90" spans="1:17">
      <c r="A90" s="1554" t="s">
        <v>723</v>
      </c>
      <c r="B90" s="1555">
        <v>0</v>
      </c>
      <c r="C90" s="1555">
        <v>0</v>
      </c>
      <c r="D90" s="1555">
        <v>0</v>
      </c>
      <c r="E90" s="1555">
        <v>0</v>
      </c>
      <c r="F90" s="1555">
        <v>0</v>
      </c>
      <c r="G90" s="1555">
        <v>0</v>
      </c>
      <c r="H90" s="1555">
        <v>0</v>
      </c>
      <c r="I90" s="1555">
        <v>0</v>
      </c>
      <c r="J90" s="1555">
        <v>0</v>
      </c>
      <c r="K90" s="1555">
        <v>0</v>
      </c>
      <c r="L90" s="1555">
        <v>0</v>
      </c>
      <c r="M90" s="1555">
        <v>0</v>
      </c>
      <c r="N90" s="1555">
        <v>0</v>
      </c>
      <c r="O90" s="1555">
        <v>0</v>
      </c>
      <c r="P90" s="1555">
        <v>0</v>
      </c>
      <c r="Q90" s="1555">
        <v>0</v>
      </c>
    </row>
    <row r="91" spans="1:17">
      <c r="A91" s="1554" t="s">
        <v>725</v>
      </c>
      <c r="B91" s="1555">
        <v>0</v>
      </c>
      <c r="C91" s="1555">
        <v>0</v>
      </c>
      <c r="D91" s="1555">
        <v>0</v>
      </c>
      <c r="E91" s="1555">
        <v>0</v>
      </c>
      <c r="F91" s="1555">
        <v>0</v>
      </c>
      <c r="G91" s="1555">
        <v>0</v>
      </c>
      <c r="H91" s="1555">
        <v>0</v>
      </c>
      <c r="I91" s="1555">
        <v>0</v>
      </c>
      <c r="J91" s="1555">
        <v>0</v>
      </c>
      <c r="K91" s="1555">
        <v>0</v>
      </c>
      <c r="L91" s="1555">
        <v>0</v>
      </c>
      <c r="M91" s="1555">
        <v>0</v>
      </c>
      <c r="N91" s="1555">
        <v>0</v>
      </c>
      <c r="O91" s="1555">
        <v>0</v>
      </c>
      <c r="P91" s="1555">
        <v>0</v>
      </c>
      <c r="Q91" s="1555">
        <v>0</v>
      </c>
    </row>
    <row r="92" spans="1:17">
      <c r="A92" s="1554" t="s">
        <v>806</v>
      </c>
      <c r="B92" s="1555">
        <v>0</v>
      </c>
      <c r="C92" s="1555">
        <v>0</v>
      </c>
      <c r="D92" s="1555">
        <v>0</v>
      </c>
      <c r="E92" s="1555">
        <v>0</v>
      </c>
      <c r="F92" s="1555">
        <v>0</v>
      </c>
      <c r="G92" s="1555">
        <v>0</v>
      </c>
      <c r="H92" s="1555">
        <v>0</v>
      </c>
      <c r="I92" s="1555">
        <v>0</v>
      </c>
      <c r="J92" s="1555">
        <v>0</v>
      </c>
      <c r="K92" s="1555">
        <v>0</v>
      </c>
      <c r="L92" s="1555">
        <v>0</v>
      </c>
      <c r="M92" s="1555">
        <v>0</v>
      </c>
      <c r="N92" s="1555">
        <v>0</v>
      </c>
      <c r="O92" s="1555">
        <v>0</v>
      </c>
      <c r="P92" s="1555">
        <v>0</v>
      </c>
      <c r="Q92" s="1555">
        <v>0</v>
      </c>
    </row>
    <row r="93" spans="1:17">
      <c r="A93" s="1554" t="s">
        <v>799</v>
      </c>
      <c r="B93" s="1555">
        <v>0</v>
      </c>
      <c r="C93" s="1555">
        <v>0</v>
      </c>
      <c r="D93" s="1555">
        <v>0</v>
      </c>
      <c r="E93" s="1555">
        <v>0</v>
      </c>
      <c r="F93" s="1555">
        <v>0</v>
      </c>
      <c r="G93" s="1555">
        <v>0</v>
      </c>
      <c r="H93" s="1555">
        <v>0</v>
      </c>
      <c r="I93" s="1555">
        <v>0</v>
      </c>
      <c r="J93" s="1555">
        <v>0</v>
      </c>
      <c r="K93" s="1555">
        <v>0</v>
      </c>
      <c r="L93" s="1555">
        <v>0</v>
      </c>
      <c r="M93" s="1555">
        <v>0</v>
      </c>
      <c r="N93" s="1555">
        <v>0</v>
      </c>
      <c r="O93" s="1555">
        <v>0</v>
      </c>
      <c r="P93" s="1555">
        <v>0</v>
      </c>
      <c r="Q93" s="1555">
        <v>0</v>
      </c>
    </row>
    <row r="94" spans="1:17">
      <c r="A94" s="1554" t="s">
        <v>782</v>
      </c>
      <c r="B94" s="1555">
        <v>0</v>
      </c>
      <c r="C94" s="1555">
        <v>0</v>
      </c>
      <c r="D94" s="1555">
        <v>0</v>
      </c>
      <c r="E94" s="1555">
        <v>0</v>
      </c>
      <c r="F94" s="1555">
        <v>0</v>
      </c>
      <c r="G94" s="1555">
        <v>0</v>
      </c>
      <c r="H94" s="1555">
        <v>0</v>
      </c>
      <c r="I94" s="1555">
        <v>0</v>
      </c>
      <c r="J94" s="1555">
        <v>0</v>
      </c>
      <c r="K94" s="1555">
        <v>0</v>
      </c>
      <c r="L94" s="1555">
        <v>0</v>
      </c>
      <c r="M94" s="1555">
        <v>0</v>
      </c>
      <c r="N94" s="1555">
        <v>0</v>
      </c>
      <c r="O94" s="1555">
        <v>0</v>
      </c>
      <c r="P94" s="1555">
        <v>0</v>
      </c>
      <c r="Q94" s="1555">
        <v>0</v>
      </c>
    </row>
    <row r="95" spans="1:17">
      <c r="A95" s="1554" t="s">
        <v>721</v>
      </c>
      <c r="B95" s="1555">
        <v>0</v>
      </c>
      <c r="C95" s="1555">
        <v>0</v>
      </c>
      <c r="D95" s="1555">
        <v>0</v>
      </c>
      <c r="E95" s="1555">
        <v>0</v>
      </c>
      <c r="F95" s="1555">
        <v>0</v>
      </c>
      <c r="G95" s="1555">
        <v>0</v>
      </c>
      <c r="H95" s="1555">
        <v>0</v>
      </c>
      <c r="I95" s="1555">
        <v>0</v>
      </c>
      <c r="J95" s="1555">
        <v>0</v>
      </c>
      <c r="K95" s="1555">
        <v>0</v>
      </c>
      <c r="L95" s="1555">
        <v>0</v>
      </c>
      <c r="M95" s="1555">
        <v>0</v>
      </c>
      <c r="N95" s="1555">
        <v>0</v>
      </c>
      <c r="O95" s="1555">
        <v>0</v>
      </c>
      <c r="P95" s="1555">
        <v>0</v>
      </c>
      <c r="Q95" s="1555">
        <v>0</v>
      </c>
    </row>
    <row r="96" spans="1:17">
      <c r="A96" s="1554" t="s">
        <v>714</v>
      </c>
      <c r="B96" s="1555">
        <v>0</v>
      </c>
      <c r="C96" s="1555">
        <v>0</v>
      </c>
      <c r="D96" s="1555">
        <v>0</v>
      </c>
      <c r="E96" s="1555">
        <v>0</v>
      </c>
      <c r="F96" s="1555">
        <v>0</v>
      </c>
      <c r="G96" s="1555">
        <v>0</v>
      </c>
      <c r="H96" s="1555">
        <v>0</v>
      </c>
      <c r="I96" s="1555">
        <v>0</v>
      </c>
      <c r="J96" s="1555">
        <v>0</v>
      </c>
      <c r="K96" s="1555">
        <v>0</v>
      </c>
      <c r="L96" s="1555">
        <v>0</v>
      </c>
      <c r="M96" s="1555">
        <v>0</v>
      </c>
      <c r="N96" s="1555">
        <v>0</v>
      </c>
      <c r="O96" s="1555">
        <v>0</v>
      </c>
      <c r="P96" s="1555">
        <v>0</v>
      </c>
      <c r="Q96" s="1555">
        <v>0</v>
      </c>
    </row>
    <row r="97" spans="1:17">
      <c r="A97" s="1554" t="s">
        <v>656</v>
      </c>
      <c r="B97" s="1555">
        <v>0</v>
      </c>
      <c r="C97" s="1555">
        <v>0</v>
      </c>
      <c r="D97" s="1555">
        <v>0</v>
      </c>
      <c r="E97" s="1555">
        <v>0</v>
      </c>
      <c r="F97" s="1555">
        <v>0</v>
      </c>
      <c r="G97" s="1555">
        <v>0</v>
      </c>
      <c r="H97" s="1555">
        <v>0</v>
      </c>
      <c r="I97" s="1555">
        <v>0</v>
      </c>
      <c r="J97" s="1555">
        <v>0</v>
      </c>
      <c r="K97" s="1555">
        <v>0</v>
      </c>
      <c r="L97" s="1555">
        <v>0</v>
      </c>
      <c r="M97" s="1555">
        <v>0</v>
      </c>
      <c r="N97" s="1555">
        <v>0</v>
      </c>
      <c r="O97" s="1555">
        <v>0</v>
      </c>
      <c r="P97" s="1555">
        <v>0</v>
      </c>
      <c r="Q97" s="1555">
        <v>0</v>
      </c>
    </row>
    <row r="98" spans="1:17">
      <c r="A98" s="1554" t="s">
        <v>658</v>
      </c>
      <c r="B98" s="1555">
        <v>0</v>
      </c>
      <c r="C98" s="1555">
        <v>0</v>
      </c>
      <c r="D98" s="1555">
        <v>0</v>
      </c>
      <c r="E98" s="1555">
        <v>0</v>
      </c>
      <c r="F98" s="1555">
        <v>0</v>
      </c>
      <c r="G98" s="1555">
        <v>0</v>
      </c>
      <c r="H98" s="1555">
        <v>0</v>
      </c>
      <c r="I98" s="1555">
        <v>0</v>
      </c>
      <c r="J98" s="1555">
        <v>0</v>
      </c>
      <c r="K98" s="1555">
        <v>0</v>
      </c>
      <c r="L98" s="1555">
        <v>0</v>
      </c>
      <c r="M98" s="1555">
        <v>0</v>
      </c>
      <c r="N98" s="1555">
        <v>0</v>
      </c>
      <c r="O98" s="1555">
        <v>0</v>
      </c>
      <c r="P98" s="1555">
        <v>0</v>
      </c>
      <c r="Q98" s="1555">
        <v>0</v>
      </c>
    </row>
    <row r="99" spans="1:17">
      <c r="A99" s="1554" t="s">
        <v>660</v>
      </c>
      <c r="B99" s="1555">
        <v>0</v>
      </c>
      <c r="C99" s="1555">
        <v>0</v>
      </c>
      <c r="D99" s="1555">
        <v>0</v>
      </c>
      <c r="E99" s="1555">
        <v>0</v>
      </c>
      <c r="F99" s="1555">
        <v>0</v>
      </c>
      <c r="G99" s="1555">
        <v>0</v>
      </c>
      <c r="H99" s="1555">
        <v>0</v>
      </c>
      <c r="I99" s="1555">
        <v>0</v>
      </c>
      <c r="J99" s="1555">
        <v>0</v>
      </c>
      <c r="K99" s="1555">
        <v>0</v>
      </c>
      <c r="L99" s="1555">
        <v>0</v>
      </c>
      <c r="M99" s="1555">
        <v>0</v>
      </c>
      <c r="N99" s="1555">
        <v>0</v>
      </c>
      <c r="O99" s="1555">
        <v>0</v>
      </c>
      <c r="P99" s="1555">
        <v>0</v>
      </c>
      <c r="Q99" s="1555">
        <v>0</v>
      </c>
    </row>
    <row r="100" spans="1:17">
      <c r="A100" s="1554" t="s">
        <v>662</v>
      </c>
      <c r="B100" s="1555">
        <v>0</v>
      </c>
      <c r="C100" s="1555">
        <v>0</v>
      </c>
      <c r="D100" s="1555">
        <v>0</v>
      </c>
      <c r="E100" s="1555">
        <v>0</v>
      </c>
      <c r="F100" s="1555">
        <v>0</v>
      </c>
      <c r="G100" s="1555">
        <v>0</v>
      </c>
      <c r="H100" s="1555">
        <v>0</v>
      </c>
      <c r="I100" s="1555">
        <v>0</v>
      </c>
      <c r="J100" s="1555">
        <v>0</v>
      </c>
      <c r="K100" s="1555">
        <v>0</v>
      </c>
      <c r="L100" s="1555">
        <v>0</v>
      </c>
      <c r="M100" s="1555">
        <v>0</v>
      </c>
      <c r="N100" s="1555">
        <v>0</v>
      </c>
      <c r="O100" s="1555">
        <v>0</v>
      </c>
      <c r="P100" s="1555">
        <v>0</v>
      </c>
      <c r="Q100" s="1555">
        <v>0</v>
      </c>
    </row>
    <row r="101" spans="1:17">
      <c r="A101" s="1554" t="s">
        <v>664</v>
      </c>
      <c r="B101" s="1555">
        <v>0</v>
      </c>
      <c r="C101" s="1555">
        <v>0</v>
      </c>
      <c r="D101" s="1555">
        <v>0</v>
      </c>
      <c r="E101" s="1555">
        <v>0</v>
      </c>
      <c r="F101" s="1555">
        <v>0</v>
      </c>
      <c r="G101" s="1555">
        <v>0</v>
      </c>
      <c r="H101" s="1555">
        <v>0</v>
      </c>
      <c r="I101" s="1555">
        <v>0</v>
      </c>
      <c r="J101" s="1555">
        <v>0</v>
      </c>
      <c r="K101" s="1555">
        <v>0</v>
      </c>
      <c r="L101" s="1555">
        <v>0</v>
      </c>
      <c r="M101" s="1555">
        <v>0</v>
      </c>
      <c r="N101" s="1555">
        <v>0</v>
      </c>
      <c r="O101" s="1555">
        <v>0</v>
      </c>
      <c r="P101" s="1555">
        <v>0</v>
      </c>
      <c r="Q101" s="1555">
        <v>0</v>
      </c>
    </row>
    <row r="102" spans="1:17">
      <c r="A102" s="1554" t="s">
        <v>666</v>
      </c>
      <c r="B102" s="1555">
        <v>0</v>
      </c>
      <c r="C102" s="1555">
        <v>0</v>
      </c>
      <c r="D102" s="1555">
        <v>0</v>
      </c>
      <c r="E102" s="1555">
        <v>0</v>
      </c>
      <c r="F102" s="1555">
        <v>0</v>
      </c>
      <c r="G102" s="1555">
        <v>0</v>
      </c>
      <c r="H102" s="1555">
        <v>0</v>
      </c>
      <c r="I102" s="1555">
        <v>0</v>
      </c>
      <c r="J102" s="1555">
        <v>0</v>
      </c>
      <c r="K102" s="1555">
        <v>0</v>
      </c>
      <c r="L102" s="1555">
        <v>0</v>
      </c>
      <c r="M102" s="1555">
        <v>0</v>
      </c>
      <c r="N102" s="1555">
        <v>0</v>
      </c>
      <c r="O102" s="1555">
        <v>0</v>
      </c>
      <c r="P102" s="1555">
        <v>0</v>
      </c>
      <c r="Q102" s="1555">
        <v>0</v>
      </c>
    </row>
    <row r="103" spans="1:17">
      <c r="A103" s="1554" t="s">
        <v>668</v>
      </c>
      <c r="B103" s="1555">
        <v>0</v>
      </c>
      <c r="C103" s="1555">
        <v>0</v>
      </c>
      <c r="D103" s="1555">
        <v>0</v>
      </c>
      <c r="E103" s="1555">
        <v>0</v>
      </c>
      <c r="F103" s="1555">
        <v>0</v>
      </c>
      <c r="G103" s="1555">
        <v>0</v>
      </c>
      <c r="H103" s="1555">
        <v>0</v>
      </c>
      <c r="I103" s="1555">
        <v>0</v>
      </c>
      <c r="J103" s="1555">
        <v>0</v>
      </c>
      <c r="K103" s="1555">
        <v>0</v>
      </c>
      <c r="L103" s="1555">
        <v>0</v>
      </c>
      <c r="M103" s="1555">
        <v>0</v>
      </c>
      <c r="N103" s="1555">
        <v>0</v>
      </c>
      <c r="O103" s="1555">
        <v>0</v>
      </c>
      <c r="P103" s="1555">
        <v>0</v>
      </c>
      <c r="Q103" s="1555">
        <v>0</v>
      </c>
    </row>
    <row r="104" spans="1:17">
      <c r="A104" s="1553" t="s">
        <v>807</v>
      </c>
      <c r="B104" s="1555">
        <v>0</v>
      </c>
      <c r="C104" s="1555">
        <v>0</v>
      </c>
      <c r="D104" s="1555">
        <v>0</v>
      </c>
      <c r="E104" s="1555">
        <v>0</v>
      </c>
      <c r="F104" s="1555">
        <v>0</v>
      </c>
      <c r="G104" s="1555">
        <v>0</v>
      </c>
      <c r="H104" s="1555">
        <v>0</v>
      </c>
      <c r="I104" s="1555">
        <v>0</v>
      </c>
      <c r="J104" s="1555">
        <v>0</v>
      </c>
      <c r="K104" s="1555">
        <v>0</v>
      </c>
      <c r="L104" s="1555">
        <v>0</v>
      </c>
      <c r="M104" s="1555">
        <v>0</v>
      </c>
      <c r="N104" s="1555">
        <v>0</v>
      </c>
      <c r="O104" s="1555">
        <v>0</v>
      </c>
      <c r="P104" s="1555">
        <v>0</v>
      </c>
      <c r="Q104" s="1555">
        <v>0</v>
      </c>
    </row>
    <row r="105" spans="1:17">
      <c r="A105" s="1554" t="s">
        <v>777</v>
      </c>
      <c r="B105" s="1555">
        <v>0</v>
      </c>
      <c r="C105" s="1555">
        <v>0</v>
      </c>
      <c r="D105" s="1555">
        <v>0</v>
      </c>
      <c r="E105" s="1555">
        <v>0</v>
      </c>
      <c r="F105" s="1555">
        <v>0</v>
      </c>
      <c r="G105" s="1555">
        <v>0</v>
      </c>
      <c r="H105" s="1555">
        <v>0</v>
      </c>
      <c r="I105" s="1555">
        <v>0</v>
      </c>
      <c r="J105" s="1555">
        <v>0</v>
      </c>
      <c r="K105" s="1555">
        <v>0</v>
      </c>
      <c r="L105" s="1555">
        <v>0</v>
      </c>
      <c r="M105" s="1555">
        <v>0</v>
      </c>
      <c r="N105" s="1555">
        <v>0</v>
      </c>
      <c r="O105" s="1555">
        <v>0</v>
      </c>
      <c r="P105" s="1555">
        <v>0</v>
      </c>
      <c r="Q105" s="1555">
        <v>0</v>
      </c>
    </row>
    <row r="106" spans="1:17">
      <c r="A106" s="1554" t="s">
        <v>784</v>
      </c>
      <c r="B106" s="1555">
        <v>0</v>
      </c>
      <c r="C106" s="1555">
        <v>0</v>
      </c>
      <c r="D106" s="1555">
        <v>0</v>
      </c>
      <c r="E106" s="1555">
        <v>0</v>
      </c>
      <c r="F106" s="1555">
        <v>0</v>
      </c>
      <c r="G106" s="1555">
        <v>0</v>
      </c>
      <c r="H106" s="1555">
        <v>0</v>
      </c>
      <c r="I106" s="1555">
        <v>0</v>
      </c>
      <c r="J106" s="1555">
        <v>0</v>
      </c>
      <c r="K106" s="1555">
        <v>0</v>
      </c>
      <c r="L106" s="1555">
        <v>0</v>
      </c>
      <c r="M106" s="1555">
        <v>0</v>
      </c>
      <c r="N106" s="1555">
        <v>0</v>
      </c>
      <c r="O106" s="1555">
        <v>0</v>
      </c>
      <c r="P106" s="1555">
        <v>0</v>
      </c>
      <c r="Q106" s="1555">
        <v>0</v>
      </c>
    </row>
    <row r="107" spans="1:17">
      <c r="A107" s="1554" t="s">
        <v>779</v>
      </c>
      <c r="B107" s="1555">
        <v>0</v>
      </c>
      <c r="C107" s="1555">
        <v>0</v>
      </c>
      <c r="D107" s="1555">
        <v>0</v>
      </c>
      <c r="E107" s="1555">
        <v>0</v>
      </c>
      <c r="F107" s="1555">
        <v>0</v>
      </c>
      <c r="G107" s="1555">
        <v>0</v>
      </c>
      <c r="H107" s="1555">
        <v>0</v>
      </c>
      <c r="I107" s="1555">
        <v>0</v>
      </c>
      <c r="J107" s="1555">
        <v>0</v>
      </c>
      <c r="K107" s="1555">
        <v>0</v>
      </c>
      <c r="L107" s="1555">
        <v>0</v>
      </c>
      <c r="M107" s="1555">
        <v>0</v>
      </c>
      <c r="N107" s="1555">
        <v>0</v>
      </c>
      <c r="O107" s="1555">
        <v>0</v>
      </c>
      <c r="P107" s="1555">
        <v>0</v>
      </c>
      <c r="Q107" s="1555">
        <v>0</v>
      </c>
    </row>
    <row r="108" spans="1:17">
      <c r="A108" s="1554" t="s">
        <v>656</v>
      </c>
      <c r="B108" s="1555">
        <v>0</v>
      </c>
      <c r="C108" s="1555">
        <v>0</v>
      </c>
      <c r="D108" s="1555">
        <v>0</v>
      </c>
      <c r="E108" s="1555">
        <v>0</v>
      </c>
      <c r="F108" s="1555">
        <v>0</v>
      </c>
      <c r="G108" s="1555">
        <v>0</v>
      </c>
      <c r="H108" s="1555">
        <v>0</v>
      </c>
      <c r="I108" s="1555">
        <v>0</v>
      </c>
      <c r="J108" s="1555">
        <v>0</v>
      </c>
      <c r="K108" s="1555">
        <v>0</v>
      </c>
      <c r="L108" s="1555">
        <v>0</v>
      </c>
      <c r="M108" s="1555">
        <v>0</v>
      </c>
      <c r="N108" s="1555">
        <v>0</v>
      </c>
      <c r="O108" s="1555">
        <v>0</v>
      </c>
      <c r="P108" s="1555">
        <v>0</v>
      </c>
      <c r="Q108" s="1555">
        <v>0</v>
      </c>
    </row>
    <row r="109" spans="1:17">
      <c r="A109" s="1554" t="s">
        <v>658</v>
      </c>
      <c r="B109" s="1555">
        <v>0</v>
      </c>
      <c r="C109" s="1555">
        <v>0</v>
      </c>
      <c r="D109" s="1555">
        <v>0</v>
      </c>
      <c r="E109" s="1555">
        <v>0</v>
      </c>
      <c r="F109" s="1555">
        <v>0</v>
      </c>
      <c r="G109" s="1555">
        <v>0</v>
      </c>
      <c r="H109" s="1555">
        <v>0</v>
      </c>
      <c r="I109" s="1555">
        <v>0</v>
      </c>
      <c r="J109" s="1555">
        <v>0</v>
      </c>
      <c r="K109" s="1555">
        <v>0</v>
      </c>
      <c r="L109" s="1555">
        <v>0</v>
      </c>
      <c r="M109" s="1555">
        <v>0</v>
      </c>
      <c r="N109" s="1555">
        <v>0</v>
      </c>
      <c r="O109" s="1555">
        <v>0</v>
      </c>
      <c r="P109" s="1555">
        <v>0</v>
      </c>
      <c r="Q109" s="1555">
        <v>0</v>
      </c>
    </row>
    <row r="110" spans="1:17">
      <c r="A110" s="1554" t="s">
        <v>660</v>
      </c>
      <c r="B110" s="1555">
        <v>0</v>
      </c>
      <c r="C110" s="1555">
        <v>0</v>
      </c>
      <c r="D110" s="1555">
        <v>0</v>
      </c>
      <c r="E110" s="1555">
        <v>0</v>
      </c>
      <c r="F110" s="1555">
        <v>0</v>
      </c>
      <c r="G110" s="1555">
        <v>0</v>
      </c>
      <c r="H110" s="1555">
        <v>0</v>
      </c>
      <c r="I110" s="1555">
        <v>0</v>
      </c>
      <c r="J110" s="1555">
        <v>0</v>
      </c>
      <c r="K110" s="1555">
        <v>0</v>
      </c>
      <c r="L110" s="1555">
        <v>0</v>
      </c>
      <c r="M110" s="1555">
        <v>0</v>
      </c>
      <c r="N110" s="1555">
        <v>0</v>
      </c>
      <c r="O110" s="1555">
        <v>0</v>
      </c>
      <c r="P110" s="1555">
        <v>0</v>
      </c>
      <c r="Q110" s="1555">
        <v>0</v>
      </c>
    </row>
    <row r="111" spans="1:17">
      <c r="A111" s="1554" t="s">
        <v>662</v>
      </c>
      <c r="B111" s="1555">
        <v>0</v>
      </c>
      <c r="C111" s="1555">
        <v>0</v>
      </c>
      <c r="D111" s="1555">
        <v>0</v>
      </c>
      <c r="E111" s="1555">
        <v>0</v>
      </c>
      <c r="F111" s="1555">
        <v>0</v>
      </c>
      <c r="G111" s="1555">
        <v>0</v>
      </c>
      <c r="H111" s="1555">
        <v>0</v>
      </c>
      <c r="I111" s="1555">
        <v>0</v>
      </c>
      <c r="J111" s="1555">
        <v>0</v>
      </c>
      <c r="K111" s="1555">
        <v>0</v>
      </c>
      <c r="L111" s="1555">
        <v>0</v>
      </c>
      <c r="M111" s="1555">
        <v>0</v>
      </c>
      <c r="N111" s="1555">
        <v>0</v>
      </c>
      <c r="O111" s="1555">
        <v>0</v>
      </c>
      <c r="P111" s="1555">
        <v>0</v>
      </c>
      <c r="Q111" s="1555">
        <v>0</v>
      </c>
    </row>
    <row r="112" spans="1:17">
      <c r="A112" s="1554" t="s">
        <v>664</v>
      </c>
      <c r="B112" s="1555">
        <v>0</v>
      </c>
      <c r="C112" s="1555">
        <v>0</v>
      </c>
      <c r="D112" s="1555">
        <v>0</v>
      </c>
      <c r="E112" s="1555">
        <v>0</v>
      </c>
      <c r="F112" s="1555">
        <v>0</v>
      </c>
      <c r="G112" s="1555">
        <v>0</v>
      </c>
      <c r="H112" s="1555">
        <v>0</v>
      </c>
      <c r="I112" s="1555">
        <v>0</v>
      </c>
      <c r="J112" s="1555">
        <v>0</v>
      </c>
      <c r="K112" s="1555">
        <v>0</v>
      </c>
      <c r="L112" s="1555">
        <v>0</v>
      </c>
      <c r="M112" s="1555">
        <v>0</v>
      </c>
      <c r="N112" s="1555">
        <v>0</v>
      </c>
      <c r="O112" s="1555">
        <v>0</v>
      </c>
      <c r="P112" s="1555">
        <v>0</v>
      </c>
      <c r="Q112" s="1555">
        <v>0</v>
      </c>
    </row>
    <row r="113" spans="1:17">
      <c r="A113" s="1554" t="s">
        <v>666</v>
      </c>
      <c r="B113" s="1555">
        <v>0</v>
      </c>
      <c r="C113" s="1555">
        <v>0</v>
      </c>
      <c r="D113" s="1555">
        <v>0</v>
      </c>
      <c r="E113" s="1555">
        <v>0</v>
      </c>
      <c r="F113" s="1555">
        <v>0</v>
      </c>
      <c r="G113" s="1555">
        <v>0</v>
      </c>
      <c r="H113" s="1555">
        <v>0</v>
      </c>
      <c r="I113" s="1555">
        <v>0</v>
      </c>
      <c r="J113" s="1555">
        <v>0</v>
      </c>
      <c r="K113" s="1555">
        <v>0</v>
      </c>
      <c r="L113" s="1555">
        <v>0</v>
      </c>
      <c r="M113" s="1555">
        <v>0</v>
      </c>
      <c r="N113" s="1555">
        <v>0</v>
      </c>
      <c r="O113" s="1555">
        <v>0</v>
      </c>
      <c r="P113" s="1555">
        <v>0</v>
      </c>
      <c r="Q113" s="1555">
        <v>0</v>
      </c>
    </row>
    <row r="114" spans="1:17">
      <c r="A114" s="1554" t="s">
        <v>668</v>
      </c>
      <c r="B114" s="1555">
        <v>0</v>
      </c>
      <c r="C114" s="1555">
        <v>0</v>
      </c>
      <c r="D114" s="1555">
        <v>0</v>
      </c>
      <c r="E114" s="1555">
        <v>0</v>
      </c>
      <c r="F114" s="1555">
        <v>0</v>
      </c>
      <c r="G114" s="1555">
        <v>0</v>
      </c>
      <c r="H114" s="1555">
        <v>0</v>
      </c>
      <c r="I114" s="1555">
        <v>0</v>
      </c>
      <c r="J114" s="1555">
        <v>0</v>
      </c>
      <c r="K114" s="1555">
        <v>0</v>
      </c>
      <c r="L114" s="1555">
        <v>0</v>
      </c>
      <c r="M114" s="1555">
        <v>0</v>
      </c>
      <c r="N114" s="1555">
        <v>0</v>
      </c>
      <c r="O114" s="1555">
        <v>0</v>
      </c>
      <c r="P114" s="1555">
        <v>0</v>
      </c>
      <c r="Q114" s="1555">
        <v>0</v>
      </c>
    </row>
    <row r="115" spans="1:17">
      <c r="A115" s="1437" t="s">
        <v>4639</v>
      </c>
      <c r="B115" s="1555">
        <v>0</v>
      </c>
      <c r="C115" s="1555">
        <v>0</v>
      </c>
      <c r="D115" s="1555">
        <v>0</v>
      </c>
      <c r="E115" s="1555">
        <v>0</v>
      </c>
      <c r="F115" s="1555">
        <v>0</v>
      </c>
      <c r="G115" s="1555">
        <v>0</v>
      </c>
      <c r="H115" s="1555">
        <v>0</v>
      </c>
      <c r="I115" s="1555">
        <v>0</v>
      </c>
      <c r="J115" s="1555">
        <v>0</v>
      </c>
      <c r="K115" s="1555">
        <v>0</v>
      </c>
      <c r="L115" s="1555">
        <v>0</v>
      </c>
      <c r="M115" s="1555">
        <v>0</v>
      </c>
      <c r="N115" s="1555">
        <v>0</v>
      </c>
      <c r="O115" s="1555">
        <v>0</v>
      </c>
      <c r="P115" s="1555">
        <v>0</v>
      </c>
      <c r="Q115" s="1555">
        <v>0</v>
      </c>
    </row>
  </sheetData>
  <sheetProtection algorithmName="SHA-512" hashValue="W8Mt56QTn8GeKOsZgtu6qT7UlbLL5hbvrffZyHmyWb8PEXZx+aHpJqTbKZAGxQ5T2zaRPWY7EDImyvhGrKtQbg==" saltValue="kxknQLzJT4DnrSyttJWHrg=="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E5D98-008F-4A48-9835-AED56CFA1570}">
  <sheetPr>
    <tabColor theme="0" tint="-0.499984740745262"/>
  </sheetPr>
  <dimension ref="A1:Q443"/>
  <sheetViews>
    <sheetView workbookViewId="0">
      <selection activeCell="A12" sqref="A12"/>
    </sheetView>
  </sheetViews>
  <sheetFormatPr defaultColWidth="11.36328125" defaultRowHeight="14.5"/>
  <cols>
    <col min="1" max="1" width="78.36328125" bestFit="1" customWidth="1"/>
    <col min="2" max="5" width="16.7265625" bestFit="1" customWidth="1"/>
    <col min="6" max="6" width="25.6328125" bestFit="1" customWidth="1"/>
    <col min="7" max="10" width="16.7265625" bestFit="1" customWidth="1"/>
    <col min="11" max="11" width="25.6328125" bestFit="1" customWidth="1"/>
    <col min="12" max="15" width="16.7265625" bestFit="1" customWidth="1"/>
    <col min="16" max="16" width="25.6328125" bestFit="1" customWidth="1"/>
    <col min="17" max="17" width="27.08984375" bestFit="1" customWidth="1"/>
  </cols>
  <sheetData>
    <row r="1" spans="1:17">
      <c r="A1" s="838" t="s">
        <v>814</v>
      </c>
      <c r="B1" t="s">
        <v>818</v>
      </c>
    </row>
    <row r="3" spans="1:17">
      <c r="A3" s="838" t="s">
        <v>6912</v>
      </c>
      <c r="B3" t="s">
        <v>6917</v>
      </c>
      <c r="C3" t="s">
        <v>6918</v>
      </c>
      <c r="D3" t="s">
        <v>6919</v>
      </c>
      <c r="E3" t="s">
        <v>6920</v>
      </c>
      <c r="F3" t="s">
        <v>6913</v>
      </c>
      <c r="G3" t="s">
        <v>6921</v>
      </c>
      <c r="H3" t="s">
        <v>6922</v>
      </c>
      <c r="I3" t="s">
        <v>6923</v>
      </c>
      <c r="J3" t="s">
        <v>6924</v>
      </c>
      <c r="K3" t="s">
        <v>6914</v>
      </c>
      <c r="L3" t="s">
        <v>6925</v>
      </c>
      <c r="M3" t="s">
        <v>6926</v>
      </c>
      <c r="N3" t="s">
        <v>6927</v>
      </c>
      <c r="O3" t="s">
        <v>6928</v>
      </c>
      <c r="P3" t="s">
        <v>6915</v>
      </c>
      <c r="Q3" t="s">
        <v>6916</v>
      </c>
    </row>
    <row r="4" spans="1:17">
      <c r="A4" s="1437" t="s">
        <v>800</v>
      </c>
      <c r="B4" s="1555">
        <v>0</v>
      </c>
      <c r="C4" s="1555">
        <v>0</v>
      </c>
      <c r="D4" s="1555">
        <v>0</v>
      </c>
      <c r="E4" s="1555">
        <v>0</v>
      </c>
      <c r="F4" s="1555">
        <v>0</v>
      </c>
      <c r="G4" s="1555">
        <v>0</v>
      </c>
      <c r="H4" s="1555">
        <v>0</v>
      </c>
      <c r="I4" s="1555">
        <v>0</v>
      </c>
      <c r="J4" s="1555">
        <v>0</v>
      </c>
      <c r="K4" s="1555">
        <v>0</v>
      </c>
      <c r="L4" s="1555">
        <v>0</v>
      </c>
      <c r="M4" s="1555">
        <v>0</v>
      </c>
      <c r="N4" s="1555">
        <v>0</v>
      </c>
      <c r="O4" s="1555">
        <v>0</v>
      </c>
      <c r="P4" s="1555">
        <v>0</v>
      </c>
      <c r="Q4" s="1555">
        <v>0</v>
      </c>
    </row>
    <row r="5" spans="1:17">
      <c r="A5" s="1553" t="s">
        <v>802</v>
      </c>
      <c r="B5" s="1555">
        <v>0</v>
      </c>
      <c r="C5" s="1555">
        <v>0</v>
      </c>
      <c r="D5" s="1555">
        <v>0</v>
      </c>
      <c r="E5" s="1555">
        <v>0</v>
      </c>
      <c r="F5" s="1555">
        <v>0</v>
      </c>
      <c r="G5" s="1555">
        <v>0</v>
      </c>
      <c r="H5" s="1555">
        <v>0</v>
      </c>
      <c r="I5" s="1555">
        <v>0</v>
      </c>
      <c r="J5" s="1555">
        <v>0</v>
      </c>
      <c r="K5" s="1555">
        <v>0</v>
      </c>
      <c r="L5" s="1555">
        <v>0</v>
      </c>
      <c r="M5" s="1555">
        <v>0</v>
      </c>
      <c r="N5" s="1555">
        <v>0</v>
      </c>
      <c r="O5" s="1555">
        <v>0</v>
      </c>
      <c r="P5" s="1555">
        <v>0</v>
      </c>
      <c r="Q5" s="1555">
        <v>0</v>
      </c>
    </row>
    <row r="6" spans="1:17">
      <c r="A6" s="1554" t="s">
        <v>6938</v>
      </c>
      <c r="B6" s="1555">
        <v>0</v>
      </c>
      <c r="C6" s="1555">
        <v>0</v>
      </c>
      <c r="D6" s="1555">
        <v>0</v>
      </c>
      <c r="E6" s="1555">
        <v>0</v>
      </c>
      <c r="F6" s="1555">
        <v>0</v>
      </c>
      <c r="G6" s="1555">
        <v>0</v>
      </c>
      <c r="H6" s="1555">
        <v>0</v>
      </c>
      <c r="I6" s="1555">
        <v>0</v>
      </c>
      <c r="J6" s="1555">
        <v>0</v>
      </c>
      <c r="K6" s="1555">
        <v>0</v>
      </c>
      <c r="L6" s="1555">
        <v>0</v>
      </c>
      <c r="M6" s="1555">
        <v>0</v>
      </c>
      <c r="N6" s="1555">
        <v>0</v>
      </c>
      <c r="O6" s="1555">
        <v>0</v>
      </c>
      <c r="P6" s="1555">
        <v>0</v>
      </c>
      <c r="Q6" s="1555">
        <v>0</v>
      </c>
    </row>
    <row r="7" spans="1:17">
      <c r="A7" s="1556" t="s">
        <v>731</v>
      </c>
      <c r="B7" s="1555">
        <v>0</v>
      </c>
      <c r="C7" s="1555">
        <v>0</v>
      </c>
      <c r="D7" s="1555">
        <v>0</v>
      </c>
      <c r="E7" s="1555">
        <v>0</v>
      </c>
      <c r="F7" s="1555">
        <v>0</v>
      </c>
      <c r="G7" s="1555">
        <v>0</v>
      </c>
      <c r="H7" s="1555">
        <v>0</v>
      </c>
      <c r="I7" s="1555">
        <v>0</v>
      </c>
      <c r="J7" s="1555">
        <v>0</v>
      </c>
      <c r="K7" s="1555">
        <v>0</v>
      </c>
      <c r="L7" s="1555">
        <v>0</v>
      </c>
      <c r="M7" s="1555">
        <v>0</v>
      </c>
      <c r="N7" s="1555">
        <v>0</v>
      </c>
      <c r="O7" s="1555">
        <v>0</v>
      </c>
      <c r="P7" s="1555">
        <v>0</v>
      </c>
      <c r="Q7" s="1555">
        <v>0</v>
      </c>
    </row>
    <row r="8" spans="1:17">
      <c r="A8" s="1556" t="s">
        <v>656</v>
      </c>
      <c r="B8" s="1555">
        <v>0</v>
      </c>
      <c r="C8" s="1555">
        <v>0</v>
      </c>
      <c r="D8" s="1555">
        <v>0</v>
      </c>
      <c r="E8" s="1555">
        <v>0</v>
      </c>
      <c r="F8" s="1555">
        <v>0</v>
      </c>
      <c r="G8" s="1555">
        <v>0</v>
      </c>
      <c r="H8" s="1555">
        <v>0</v>
      </c>
      <c r="I8" s="1555">
        <v>0</v>
      </c>
      <c r="J8" s="1555">
        <v>0</v>
      </c>
      <c r="K8" s="1555">
        <v>0</v>
      </c>
      <c r="L8" s="1555">
        <v>0</v>
      </c>
      <c r="M8" s="1555">
        <v>0</v>
      </c>
      <c r="N8" s="1555">
        <v>0</v>
      </c>
      <c r="O8" s="1555">
        <v>0</v>
      </c>
      <c r="P8" s="1555">
        <v>0</v>
      </c>
      <c r="Q8" s="1555">
        <v>0</v>
      </c>
    </row>
    <row r="9" spans="1:17">
      <c r="A9" s="1556" t="s">
        <v>658</v>
      </c>
      <c r="B9" s="1555">
        <v>0</v>
      </c>
      <c r="C9" s="1555">
        <v>0</v>
      </c>
      <c r="D9" s="1555">
        <v>0</v>
      </c>
      <c r="E9" s="1555">
        <v>0</v>
      </c>
      <c r="F9" s="1555">
        <v>0</v>
      </c>
      <c r="G9" s="1555">
        <v>0</v>
      </c>
      <c r="H9" s="1555">
        <v>0</v>
      </c>
      <c r="I9" s="1555">
        <v>0</v>
      </c>
      <c r="J9" s="1555">
        <v>0</v>
      </c>
      <c r="K9" s="1555">
        <v>0</v>
      </c>
      <c r="L9" s="1555">
        <v>0</v>
      </c>
      <c r="M9" s="1555">
        <v>0</v>
      </c>
      <c r="N9" s="1555">
        <v>0</v>
      </c>
      <c r="O9" s="1555">
        <v>0</v>
      </c>
      <c r="P9" s="1555">
        <v>0</v>
      </c>
      <c r="Q9" s="1555">
        <v>0</v>
      </c>
    </row>
    <row r="10" spans="1:17">
      <c r="A10" s="1556" t="s">
        <v>660</v>
      </c>
      <c r="B10" s="1555">
        <v>0</v>
      </c>
      <c r="C10" s="1555">
        <v>0</v>
      </c>
      <c r="D10" s="1555">
        <v>0</v>
      </c>
      <c r="E10" s="1555">
        <v>0</v>
      </c>
      <c r="F10" s="1555">
        <v>0</v>
      </c>
      <c r="G10" s="1555">
        <v>0</v>
      </c>
      <c r="H10" s="1555">
        <v>0</v>
      </c>
      <c r="I10" s="1555">
        <v>0</v>
      </c>
      <c r="J10" s="1555">
        <v>0</v>
      </c>
      <c r="K10" s="1555">
        <v>0</v>
      </c>
      <c r="L10" s="1555">
        <v>0</v>
      </c>
      <c r="M10" s="1555">
        <v>0</v>
      </c>
      <c r="N10" s="1555">
        <v>0</v>
      </c>
      <c r="O10" s="1555">
        <v>0</v>
      </c>
      <c r="P10" s="1555">
        <v>0</v>
      </c>
      <c r="Q10" s="1555">
        <v>0</v>
      </c>
    </row>
    <row r="11" spans="1:17">
      <c r="A11" s="1556" t="s">
        <v>662</v>
      </c>
      <c r="B11" s="1555">
        <v>0</v>
      </c>
      <c r="C11" s="1555">
        <v>0</v>
      </c>
      <c r="D11" s="1555">
        <v>0</v>
      </c>
      <c r="E11" s="1555">
        <v>0</v>
      </c>
      <c r="F11" s="1555">
        <v>0</v>
      </c>
      <c r="G11" s="1555">
        <v>0</v>
      </c>
      <c r="H11" s="1555">
        <v>0</v>
      </c>
      <c r="I11" s="1555">
        <v>0</v>
      </c>
      <c r="J11" s="1555">
        <v>0</v>
      </c>
      <c r="K11" s="1555">
        <v>0</v>
      </c>
      <c r="L11" s="1555">
        <v>0</v>
      </c>
      <c r="M11" s="1555">
        <v>0</v>
      </c>
      <c r="N11" s="1555">
        <v>0</v>
      </c>
      <c r="O11" s="1555">
        <v>0</v>
      </c>
      <c r="P11" s="1555">
        <v>0</v>
      </c>
      <c r="Q11" s="1555">
        <v>0</v>
      </c>
    </row>
    <row r="12" spans="1:17">
      <c r="A12" s="1556" t="s">
        <v>664</v>
      </c>
      <c r="B12" s="1555">
        <v>0</v>
      </c>
      <c r="C12" s="1555">
        <v>0</v>
      </c>
      <c r="D12" s="1555">
        <v>0</v>
      </c>
      <c r="E12" s="1555">
        <v>0</v>
      </c>
      <c r="F12" s="1555">
        <v>0</v>
      </c>
      <c r="G12" s="1555">
        <v>0</v>
      </c>
      <c r="H12" s="1555">
        <v>0</v>
      </c>
      <c r="I12" s="1555">
        <v>0</v>
      </c>
      <c r="J12" s="1555">
        <v>0</v>
      </c>
      <c r="K12" s="1555">
        <v>0</v>
      </c>
      <c r="L12" s="1555">
        <v>0</v>
      </c>
      <c r="M12" s="1555">
        <v>0</v>
      </c>
      <c r="N12" s="1555">
        <v>0</v>
      </c>
      <c r="O12" s="1555">
        <v>0</v>
      </c>
      <c r="P12" s="1555">
        <v>0</v>
      </c>
      <c r="Q12" s="1555">
        <v>0</v>
      </c>
    </row>
    <row r="13" spans="1:17">
      <c r="A13" s="1556" t="s">
        <v>666</v>
      </c>
      <c r="B13" s="1555">
        <v>0</v>
      </c>
      <c r="C13" s="1555">
        <v>0</v>
      </c>
      <c r="D13" s="1555">
        <v>0</v>
      </c>
      <c r="E13" s="1555">
        <v>0</v>
      </c>
      <c r="F13" s="1555">
        <v>0</v>
      </c>
      <c r="G13" s="1555">
        <v>0</v>
      </c>
      <c r="H13" s="1555">
        <v>0</v>
      </c>
      <c r="I13" s="1555">
        <v>0</v>
      </c>
      <c r="J13" s="1555">
        <v>0</v>
      </c>
      <c r="K13" s="1555">
        <v>0</v>
      </c>
      <c r="L13" s="1555">
        <v>0</v>
      </c>
      <c r="M13" s="1555">
        <v>0</v>
      </c>
      <c r="N13" s="1555">
        <v>0</v>
      </c>
      <c r="O13" s="1555">
        <v>0</v>
      </c>
      <c r="P13" s="1555">
        <v>0</v>
      </c>
      <c r="Q13" s="1555">
        <v>0</v>
      </c>
    </row>
    <row r="14" spans="1:17">
      <c r="A14" s="1556" t="s">
        <v>668</v>
      </c>
      <c r="B14" s="1555">
        <v>0</v>
      </c>
      <c r="C14" s="1555">
        <v>0</v>
      </c>
      <c r="D14" s="1555">
        <v>0</v>
      </c>
      <c r="E14" s="1555">
        <v>0</v>
      </c>
      <c r="F14" s="1555">
        <v>0</v>
      </c>
      <c r="G14" s="1555">
        <v>0</v>
      </c>
      <c r="H14" s="1555">
        <v>0</v>
      </c>
      <c r="I14" s="1555">
        <v>0</v>
      </c>
      <c r="J14" s="1555">
        <v>0</v>
      </c>
      <c r="K14" s="1555">
        <v>0</v>
      </c>
      <c r="L14" s="1555">
        <v>0</v>
      </c>
      <c r="M14" s="1555">
        <v>0</v>
      </c>
      <c r="N14" s="1555">
        <v>0</v>
      </c>
      <c r="O14" s="1555">
        <v>0</v>
      </c>
      <c r="P14" s="1555">
        <v>0</v>
      </c>
      <c r="Q14" s="1555">
        <v>0</v>
      </c>
    </row>
    <row r="15" spans="1:17">
      <c r="A15" s="1554" t="s">
        <v>6939</v>
      </c>
      <c r="B15" s="1555">
        <v>0</v>
      </c>
      <c r="C15" s="1555">
        <v>0</v>
      </c>
      <c r="D15" s="1555">
        <v>0</v>
      </c>
      <c r="E15" s="1555">
        <v>0</v>
      </c>
      <c r="F15" s="1555">
        <v>0</v>
      </c>
      <c r="G15" s="1555">
        <v>0</v>
      </c>
      <c r="H15" s="1555">
        <v>0</v>
      </c>
      <c r="I15" s="1555">
        <v>0</v>
      </c>
      <c r="J15" s="1555">
        <v>0</v>
      </c>
      <c r="K15" s="1555">
        <v>0</v>
      </c>
      <c r="L15" s="1555">
        <v>0</v>
      </c>
      <c r="M15" s="1555">
        <v>0</v>
      </c>
      <c r="N15" s="1555">
        <v>0</v>
      </c>
      <c r="O15" s="1555">
        <v>0</v>
      </c>
      <c r="P15" s="1555">
        <v>0</v>
      </c>
      <c r="Q15" s="1555">
        <v>0</v>
      </c>
    </row>
    <row r="16" spans="1:17">
      <c r="A16" s="1556" t="s">
        <v>731</v>
      </c>
      <c r="B16" s="1555">
        <v>0</v>
      </c>
      <c r="C16" s="1555">
        <v>0</v>
      </c>
      <c r="D16" s="1555">
        <v>0</v>
      </c>
      <c r="E16" s="1555">
        <v>0</v>
      </c>
      <c r="F16" s="1555">
        <v>0</v>
      </c>
      <c r="G16" s="1555">
        <v>0</v>
      </c>
      <c r="H16" s="1555">
        <v>0</v>
      </c>
      <c r="I16" s="1555">
        <v>0</v>
      </c>
      <c r="J16" s="1555">
        <v>0</v>
      </c>
      <c r="K16" s="1555">
        <v>0</v>
      </c>
      <c r="L16" s="1555">
        <v>0</v>
      </c>
      <c r="M16" s="1555">
        <v>0</v>
      </c>
      <c r="N16" s="1555">
        <v>0</v>
      </c>
      <c r="O16" s="1555">
        <v>0</v>
      </c>
      <c r="P16" s="1555">
        <v>0</v>
      </c>
      <c r="Q16" s="1555">
        <v>0</v>
      </c>
    </row>
    <row r="17" spans="1:17">
      <c r="A17" s="1556" t="s">
        <v>656</v>
      </c>
      <c r="B17" s="1555">
        <v>0</v>
      </c>
      <c r="C17" s="1555">
        <v>0</v>
      </c>
      <c r="D17" s="1555">
        <v>0</v>
      </c>
      <c r="E17" s="1555">
        <v>0</v>
      </c>
      <c r="F17" s="1555">
        <v>0</v>
      </c>
      <c r="G17" s="1555">
        <v>0</v>
      </c>
      <c r="H17" s="1555">
        <v>0</v>
      </c>
      <c r="I17" s="1555">
        <v>0</v>
      </c>
      <c r="J17" s="1555">
        <v>0</v>
      </c>
      <c r="K17" s="1555">
        <v>0</v>
      </c>
      <c r="L17" s="1555">
        <v>0</v>
      </c>
      <c r="M17" s="1555">
        <v>0</v>
      </c>
      <c r="N17" s="1555">
        <v>0</v>
      </c>
      <c r="O17" s="1555">
        <v>0</v>
      </c>
      <c r="P17" s="1555">
        <v>0</v>
      </c>
      <c r="Q17" s="1555">
        <v>0</v>
      </c>
    </row>
    <row r="18" spans="1:17">
      <c r="A18" s="1556" t="s">
        <v>658</v>
      </c>
      <c r="B18" s="1555">
        <v>0</v>
      </c>
      <c r="C18" s="1555">
        <v>0</v>
      </c>
      <c r="D18" s="1555">
        <v>0</v>
      </c>
      <c r="E18" s="1555">
        <v>0</v>
      </c>
      <c r="F18" s="1555">
        <v>0</v>
      </c>
      <c r="G18" s="1555">
        <v>0</v>
      </c>
      <c r="H18" s="1555">
        <v>0</v>
      </c>
      <c r="I18" s="1555">
        <v>0</v>
      </c>
      <c r="J18" s="1555">
        <v>0</v>
      </c>
      <c r="K18" s="1555">
        <v>0</v>
      </c>
      <c r="L18" s="1555">
        <v>0</v>
      </c>
      <c r="M18" s="1555">
        <v>0</v>
      </c>
      <c r="N18" s="1555">
        <v>0</v>
      </c>
      <c r="O18" s="1555">
        <v>0</v>
      </c>
      <c r="P18" s="1555">
        <v>0</v>
      </c>
      <c r="Q18" s="1555">
        <v>0</v>
      </c>
    </row>
    <row r="19" spans="1:17">
      <c r="A19" s="1556" t="s">
        <v>660</v>
      </c>
      <c r="B19" s="1555">
        <v>0</v>
      </c>
      <c r="C19" s="1555">
        <v>0</v>
      </c>
      <c r="D19" s="1555">
        <v>0</v>
      </c>
      <c r="E19" s="1555">
        <v>0</v>
      </c>
      <c r="F19" s="1555">
        <v>0</v>
      </c>
      <c r="G19" s="1555">
        <v>0</v>
      </c>
      <c r="H19" s="1555">
        <v>0</v>
      </c>
      <c r="I19" s="1555">
        <v>0</v>
      </c>
      <c r="J19" s="1555">
        <v>0</v>
      </c>
      <c r="K19" s="1555">
        <v>0</v>
      </c>
      <c r="L19" s="1555">
        <v>0</v>
      </c>
      <c r="M19" s="1555">
        <v>0</v>
      </c>
      <c r="N19" s="1555">
        <v>0</v>
      </c>
      <c r="O19" s="1555">
        <v>0</v>
      </c>
      <c r="P19" s="1555">
        <v>0</v>
      </c>
      <c r="Q19" s="1555">
        <v>0</v>
      </c>
    </row>
    <row r="20" spans="1:17">
      <c r="A20" s="1556" t="s">
        <v>662</v>
      </c>
      <c r="B20" s="1555">
        <v>0</v>
      </c>
      <c r="C20" s="1555">
        <v>0</v>
      </c>
      <c r="D20" s="1555">
        <v>0</v>
      </c>
      <c r="E20" s="1555">
        <v>0</v>
      </c>
      <c r="F20" s="1555">
        <v>0</v>
      </c>
      <c r="G20" s="1555">
        <v>0</v>
      </c>
      <c r="H20" s="1555">
        <v>0</v>
      </c>
      <c r="I20" s="1555">
        <v>0</v>
      </c>
      <c r="J20" s="1555">
        <v>0</v>
      </c>
      <c r="K20" s="1555">
        <v>0</v>
      </c>
      <c r="L20" s="1555">
        <v>0</v>
      </c>
      <c r="M20" s="1555">
        <v>0</v>
      </c>
      <c r="N20" s="1555">
        <v>0</v>
      </c>
      <c r="O20" s="1555">
        <v>0</v>
      </c>
      <c r="P20" s="1555">
        <v>0</v>
      </c>
      <c r="Q20" s="1555">
        <v>0</v>
      </c>
    </row>
    <row r="21" spans="1:17">
      <c r="A21" s="1556" t="s">
        <v>664</v>
      </c>
      <c r="B21" s="1555">
        <v>0</v>
      </c>
      <c r="C21" s="1555">
        <v>0</v>
      </c>
      <c r="D21" s="1555">
        <v>0</v>
      </c>
      <c r="E21" s="1555">
        <v>0</v>
      </c>
      <c r="F21" s="1555">
        <v>0</v>
      </c>
      <c r="G21" s="1555">
        <v>0</v>
      </c>
      <c r="H21" s="1555">
        <v>0</v>
      </c>
      <c r="I21" s="1555">
        <v>0</v>
      </c>
      <c r="J21" s="1555">
        <v>0</v>
      </c>
      <c r="K21" s="1555">
        <v>0</v>
      </c>
      <c r="L21" s="1555">
        <v>0</v>
      </c>
      <c r="M21" s="1555">
        <v>0</v>
      </c>
      <c r="N21" s="1555">
        <v>0</v>
      </c>
      <c r="O21" s="1555">
        <v>0</v>
      </c>
      <c r="P21" s="1555">
        <v>0</v>
      </c>
      <c r="Q21" s="1555">
        <v>0</v>
      </c>
    </row>
    <row r="22" spans="1:17">
      <c r="A22" s="1556" t="s">
        <v>666</v>
      </c>
      <c r="B22" s="1555">
        <v>0</v>
      </c>
      <c r="C22" s="1555">
        <v>0</v>
      </c>
      <c r="D22" s="1555">
        <v>0</v>
      </c>
      <c r="E22" s="1555">
        <v>0</v>
      </c>
      <c r="F22" s="1555">
        <v>0</v>
      </c>
      <c r="G22" s="1555">
        <v>0</v>
      </c>
      <c r="H22" s="1555">
        <v>0</v>
      </c>
      <c r="I22" s="1555">
        <v>0</v>
      </c>
      <c r="J22" s="1555">
        <v>0</v>
      </c>
      <c r="K22" s="1555">
        <v>0</v>
      </c>
      <c r="L22" s="1555">
        <v>0</v>
      </c>
      <c r="M22" s="1555">
        <v>0</v>
      </c>
      <c r="N22" s="1555">
        <v>0</v>
      </c>
      <c r="O22" s="1555">
        <v>0</v>
      </c>
      <c r="P22" s="1555">
        <v>0</v>
      </c>
      <c r="Q22" s="1555">
        <v>0</v>
      </c>
    </row>
    <row r="23" spans="1:17">
      <c r="A23" s="1556" t="s">
        <v>668</v>
      </c>
      <c r="B23" s="1555">
        <v>0</v>
      </c>
      <c r="C23" s="1555">
        <v>0</v>
      </c>
      <c r="D23" s="1555">
        <v>0</v>
      </c>
      <c r="E23" s="1555">
        <v>0</v>
      </c>
      <c r="F23" s="1555">
        <v>0</v>
      </c>
      <c r="G23" s="1555">
        <v>0</v>
      </c>
      <c r="H23" s="1555">
        <v>0</v>
      </c>
      <c r="I23" s="1555">
        <v>0</v>
      </c>
      <c r="J23" s="1555">
        <v>0</v>
      </c>
      <c r="K23" s="1555">
        <v>0</v>
      </c>
      <c r="L23" s="1555">
        <v>0</v>
      </c>
      <c r="M23" s="1555">
        <v>0</v>
      </c>
      <c r="N23" s="1555">
        <v>0</v>
      </c>
      <c r="O23" s="1555">
        <v>0</v>
      </c>
      <c r="P23" s="1555">
        <v>0</v>
      </c>
      <c r="Q23" s="1555">
        <v>0</v>
      </c>
    </row>
    <row r="24" spans="1:17">
      <c r="A24" s="1554" t="s">
        <v>6933</v>
      </c>
      <c r="B24" s="1555">
        <v>0</v>
      </c>
      <c r="C24" s="1555">
        <v>0</v>
      </c>
      <c r="D24" s="1555">
        <v>0</v>
      </c>
      <c r="E24" s="1555">
        <v>0</v>
      </c>
      <c r="F24" s="1555">
        <v>0</v>
      </c>
      <c r="G24" s="1555">
        <v>0</v>
      </c>
      <c r="H24" s="1555">
        <v>0</v>
      </c>
      <c r="I24" s="1555">
        <v>0</v>
      </c>
      <c r="J24" s="1555">
        <v>0</v>
      </c>
      <c r="K24" s="1555">
        <v>0</v>
      </c>
      <c r="L24" s="1555">
        <v>0</v>
      </c>
      <c r="M24" s="1555">
        <v>0</v>
      </c>
      <c r="N24" s="1555">
        <v>0</v>
      </c>
      <c r="O24" s="1555">
        <v>0</v>
      </c>
      <c r="P24" s="1555">
        <v>0</v>
      </c>
      <c r="Q24" s="1555">
        <v>0</v>
      </c>
    </row>
    <row r="25" spans="1:17">
      <c r="A25" s="1556" t="s">
        <v>731</v>
      </c>
      <c r="B25" s="1555">
        <v>0</v>
      </c>
      <c r="C25" s="1555">
        <v>0</v>
      </c>
      <c r="D25" s="1555">
        <v>0</v>
      </c>
      <c r="E25" s="1555">
        <v>0</v>
      </c>
      <c r="F25" s="1555">
        <v>0</v>
      </c>
      <c r="G25" s="1555">
        <v>0</v>
      </c>
      <c r="H25" s="1555">
        <v>0</v>
      </c>
      <c r="I25" s="1555">
        <v>0</v>
      </c>
      <c r="J25" s="1555">
        <v>0</v>
      </c>
      <c r="K25" s="1555">
        <v>0</v>
      </c>
      <c r="L25" s="1555">
        <v>0</v>
      </c>
      <c r="M25" s="1555">
        <v>0</v>
      </c>
      <c r="N25" s="1555">
        <v>0</v>
      </c>
      <c r="O25" s="1555">
        <v>0</v>
      </c>
      <c r="P25" s="1555">
        <v>0</v>
      </c>
      <c r="Q25" s="1555">
        <v>0</v>
      </c>
    </row>
    <row r="26" spans="1:17">
      <c r="A26" s="1556" t="s">
        <v>656</v>
      </c>
      <c r="B26" s="1555">
        <v>0</v>
      </c>
      <c r="C26" s="1555">
        <v>0</v>
      </c>
      <c r="D26" s="1555">
        <v>0</v>
      </c>
      <c r="E26" s="1555">
        <v>0</v>
      </c>
      <c r="F26" s="1555">
        <v>0</v>
      </c>
      <c r="G26" s="1555">
        <v>0</v>
      </c>
      <c r="H26" s="1555">
        <v>0</v>
      </c>
      <c r="I26" s="1555">
        <v>0</v>
      </c>
      <c r="J26" s="1555">
        <v>0</v>
      </c>
      <c r="K26" s="1555">
        <v>0</v>
      </c>
      <c r="L26" s="1555">
        <v>0</v>
      </c>
      <c r="M26" s="1555">
        <v>0</v>
      </c>
      <c r="N26" s="1555">
        <v>0</v>
      </c>
      <c r="O26" s="1555">
        <v>0</v>
      </c>
      <c r="P26" s="1555">
        <v>0</v>
      </c>
      <c r="Q26" s="1555">
        <v>0</v>
      </c>
    </row>
    <row r="27" spans="1:17">
      <c r="A27" s="1556" t="s">
        <v>658</v>
      </c>
      <c r="B27" s="1555">
        <v>0</v>
      </c>
      <c r="C27" s="1555">
        <v>0</v>
      </c>
      <c r="D27" s="1555">
        <v>0</v>
      </c>
      <c r="E27" s="1555">
        <v>0</v>
      </c>
      <c r="F27" s="1555">
        <v>0</v>
      </c>
      <c r="G27" s="1555">
        <v>0</v>
      </c>
      <c r="H27" s="1555">
        <v>0</v>
      </c>
      <c r="I27" s="1555">
        <v>0</v>
      </c>
      <c r="J27" s="1555">
        <v>0</v>
      </c>
      <c r="K27" s="1555">
        <v>0</v>
      </c>
      <c r="L27" s="1555">
        <v>0</v>
      </c>
      <c r="M27" s="1555">
        <v>0</v>
      </c>
      <c r="N27" s="1555">
        <v>0</v>
      </c>
      <c r="O27" s="1555">
        <v>0</v>
      </c>
      <c r="P27" s="1555">
        <v>0</v>
      </c>
      <c r="Q27" s="1555">
        <v>0</v>
      </c>
    </row>
    <row r="28" spans="1:17">
      <c r="A28" s="1556" t="s">
        <v>660</v>
      </c>
      <c r="B28" s="1555">
        <v>0</v>
      </c>
      <c r="C28" s="1555">
        <v>0</v>
      </c>
      <c r="D28" s="1555">
        <v>0</v>
      </c>
      <c r="E28" s="1555">
        <v>0</v>
      </c>
      <c r="F28" s="1555">
        <v>0</v>
      </c>
      <c r="G28" s="1555">
        <v>0</v>
      </c>
      <c r="H28" s="1555">
        <v>0</v>
      </c>
      <c r="I28" s="1555">
        <v>0</v>
      </c>
      <c r="J28" s="1555">
        <v>0</v>
      </c>
      <c r="K28" s="1555">
        <v>0</v>
      </c>
      <c r="L28" s="1555">
        <v>0</v>
      </c>
      <c r="M28" s="1555">
        <v>0</v>
      </c>
      <c r="N28" s="1555">
        <v>0</v>
      </c>
      <c r="O28" s="1555">
        <v>0</v>
      </c>
      <c r="P28" s="1555">
        <v>0</v>
      </c>
      <c r="Q28" s="1555">
        <v>0</v>
      </c>
    </row>
    <row r="29" spans="1:17">
      <c r="A29" s="1556" t="s">
        <v>662</v>
      </c>
      <c r="B29" s="1555">
        <v>0</v>
      </c>
      <c r="C29" s="1555">
        <v>0</v>
      </c>
      <c r="D29" s="1555">
        <v>0</v>
      </c>
      <c r="E29" s="1555">
        <v>0</v>
      </c>
      <c r="F29" s="1555">
        <v>0</v>
      </c>
      <c r="G29" s="1555">
        <v>0</v>
      </c>
      <c r="H29" s="1555">
        <v>0</v>
      </c>
      <c r="I29" s="1555">
        <v>0</v>
      </c>
      <c r="J29" s="1555">
        <v>0</v>
      </c>
      <c r="K29" s="1555">
        <v>0</v>
      </c>
      <c r="L29" s="1555">
        <v>0</v>
      </c>
      <c r="M29" s="1555">
        <v>0</v>
      </c>
      <c r="N29" s="1555">
        <v>0</v>
      </c>
      <c r="O29" s="1555">
        <v>0</v>
      </c>
      <c r="P29" s="1555">
        <v>0</v>
      </c>
      <c r="Q29" s="1555">
        <v>0</v>
      </c>
    </row>
    <row r="30" spans="1:17">
      <c r="A30" s="1556" t="s">
        <v>664</v>
      </c>
      <c r="B30" s="1555">
        <v>0</v>
      </c>
      <c r="C30" s="1555">
        <v>0</v>
      </c>
      <c r="D30" s="1555">
        <v>0</v>
      </c>
      <c r="E30" s="1555">
        <v>0</v>
      </c>
      <c r="F30" s="1555">
        <v>0</v>
      </c>
      <c r="G30" s="1555">
        <v>0</v>
      </c>
      <c r="H30" s="1555">
        <v>0</v>
      </c>
      <c r="I30" s="1555">
        <v>0</v>
      </c>
      <c r="J30" s="1555">
        <v>0</v>
      </c>
      <c r="K30" s="1555">
        <v>0</v>
      </c>
      <c r="L30" s="1555">
        <v>0</v>
      </c>
      <c r="M30" s="1555">
        <v>0</v>
      </c>
      <c r="N30" s="1555">
        <v>0</v>
      </c>
      <c r="O30" s="1555">
        <v>0</v>
      </c>
      <c r="P30" s="1555">
        <v>0</v>
      </c>
      <c r="Q30" s="1555">
        <v>0</v>
      </c>
    </row>
    <row r="31" spans="1:17">
      <c r="A31" s="1556" t="s">
        <v>666</v>
      </c>
      <c r="B31" s="1555">
        <v>0</v>
      </c>
      <c r="C31" s="1555">
        <v>0</v>
      </c>
      <c r="D31" s="1555">
        <v>0</v>
      </c>
      <c r="E31" s="1555">
        <v>0</v>
      </c>
      <c r="F31" s="1555">
        <v>0</v>
      </c>
      <c r="G31" s="1555">
        <v>0</v>
      </c>
      <c r="H31" s="1555">
        <v>0</v>
      </c>
      <c r="I31" s="1555">
        <v>0</v>
      </c>
      <c r="J31" s="1555">
        <v>0</v>
      </c>
      <c r="K31" s="1555">
        <v>0</v>
      </c>
      <c r="L31" s="1555">
        <v>0</v>
      </c>
      <c r="M31" s="1555">
        <v>0</v>
      </c>
      <c r="N31" s="1555">
        <v>0</v>
      </c>
      <c r="O31" s="1555">
        <v>0</v>
      </c>
      <c r="P31" s="1555">
        <v>0</v>
      </c>
      <c r="Q31" s="1555">
        <v>0</v>
      </c>
    </row>
    <row r="32" spans="1:17">
      <c r="A32" s="1556" t="s">
        <v>668</v>
      </c>
      <c r="B32" s="1555">
        <v>0</v>
      </c>
      <c r="C32" s="1555">
        <v>0</v>
      </c>
      <c r="D32" s="1555">
        <v>0</v>
      </c>
      <c r="E32" s="1555">
        <v>0</v>
      </c>
      <c r="F32" s="1555">
        <v>0</v>
      </c>
      <c r="G32" s="1555">
        <v>0</v>
      </c>
      <c r="H32" s="1555">
        <v>0</v>
      </c>
      <c r="I32" s="1555">
        <v>0</v>
      </c>
      <c r="J32" s="1555">
        <v>0</v>
      </c>
      <c r="K32" s="1555">
        <v>0</v>
      </c>
      <c r="L32" s="1555">
        <v>0</v>
      </c>
      <c r="M32" s="1555">
        <v>0</v>
      </c>
      <c r="N32" s="1555">
        <v>0</v>
      </c>
      <c r="O32" s="1555">
        <v>0</v>
      </c>
      <c r="P32" s="1555">
        <v>0</v>
      </c>
      <c r="Q32" s="1555">
        <v>0</v>
      </c>
    </row>
    <row r="33" spans="1:17">
      <c r="A33" s="1554" t="s">
        <v>6940</v>
      </c>
      <c r="B33" s="1555">
        <v>0</v>
      </c>
      <c r="C33" s="1555">
        <v>0</v>
      </c>
      <c r="D33" s="1555">
        <v>0</v>
      </c>
      <c r="E33" s="1555">
        <v>0</v>
      </c>
      <c r="F33" s="1555">
        <v>0</v>
      </c>
      <c r="G33" s="1555">
        <v>0</v>
      </c>
      <c r="H33" s="1555">
        <v>0</v>
      </c>
      <c r="I33" s="1555">
        <v>0</v>
      </c>
      <c r="J33" s="1555">
        <v>0</v>
      </c>
      <c r="K33" s="1555">
        <v>0</v>
      </c>
      <c r="L33" s="1555">
        <v>0</v>
      </c>
      <c r="M33" s="1555">
        <v>0</v>
      </c>
      <c r="N33" s="1555">
        <v>0</v>
      </c>
      <c r="O33" s="1555">
        <v>0</v>
      </c>
      <c r="P33" s="1555">
        <v>0</v>
      </c>
      <c r="Q33" s="1555">
        <v>0</v>
      </c>
    </row>
    <row r="34" spans="1:17">
      <c r="A34" s="1556" t="s">
        <v>731</v>
      </c>
      <c r="B34" s="1555">
        <v>0</v>
      </c>
      <c r="C34" s="1555">
        <v>0</v>
      </c>
      <c r="D34" s="1555">
        <v>0</v>
      </c>
      <c r="E34" s="1555">
        <v>0</v>
      </c>
      <c r="F34" s="1555">
        <v>0</v>
      </c>
      <c r="G34" s="1555">
        <v>0</v>
      </c>
      <c r="H34" s="1555">
        <v>0</v>
      </c>
      <c r="I34" s="1555">
        <v>0</v>
      </c>
      <c r="J34" s="1555">
        <v>0</v>
      </c>
      <c r="K34" s="1555">
        <v>0</v>
      </c>
      <c r="L34" s="1555">
        <v>0</v>
      </c>
      <c r="M34" s="1555">
        <v>0</v>
      </c>
      <c r="N34" s="1555">
        <v>0</v>
      </c>
      <c r="O34" s="1555">
        <v>0</v>
      </c>
      <c r="P34" s="1555">
        <v>0</v>
      </c>
      <c r="Q34" s="1555">
        <v>0</v>
      </c>
    </row>
    <row r="35" spans="1:17">
      <c r="A35" s="1556" t="s">
        <v>656</v>
      </c>
      <c r="B35" s="1555">
        <v>0</v>
      </c>
      <c r="C35" s="1555">
        <v>0</v>
      </c>
      <c r="D35" s="1555">
        <v>0</v>
      </c>
      <c r="E35" s="1555">
        <v>0</v>
      </c>
      <c r="F35" s="1555">
        <v>0</v>
      </c>
      <c r="G35" s="1555">
        <v>0</v>
      </c>
      <c r="H35" s="1555">
        <v>0</v>
      </c>
      <c r="I35" s="1555">
        <v>0</v>
      </c>
      <c r="J35" s="1555">
        <v>0</v>
      </c>
      <c r="K35" s="1555">
        <v>0</v>
      </c>
      <c r="L35" s="1555">
        <v>0</v>
      </c>
      <c r="M35" s="1555">
        <v>0</v>
      </c>
      <c r="N35" s="1555">
        <v>0</v>
      </c>
      <c r="O35" s="1555">
        <v>0</v>
      </c>
      <c r="P35" s="1555">
        <v>0</v>
      </c>
      <c r="Q35" s="1555">
        <v>0</v>
      </c>
    </row>
    <row r="36" spans="1:17">
      <c r="A36" s="1556" t="s">
        <v>658</v>
      </c>
      <c r="B36" s="1555">
        <v>0</v>
      </c>
      <c r="C36" s="1555">
        <v>0</v>
      </c>
      <c r="D36" s="1555">
        <v>0</v>
      </c>
      <c r="E36" s="1555">
        <v>0</v>
      </c>
      <c r="F36" s="1555">
        <v>0</v>
      </c>
      <c r="G36" s="1555">
        <v>0</v>
      </c>
      <c r="H36" s="1555">
        <v>0</v>
      </c>
      <c r="I36" s="1555">
        <v>0</v>
      </c>
      <c r="J36" s="1555">
        <v>0</v>
      </c>
      <c r="K36" s="1555">
        <v>0</v>
      </c>
      <c r="L36" s="1555">
        <v>0</v>
      </c>
      <c r="M36" s="1555">
        <v>0</v>
      </c>
      <c r="N36" s="1555">
        <v>0</v>
      </c>
      <c r="O36" s="1555">
        <v>0</v>
      </c>
      <c r="P36" s="1555">
        <v>0</v>
      </c>
      <c r="Q36" s="1555">
        <v>0</v>
      </c>
    </row>
    <row r="37" spans="1:17">
      <c r="A37" s="1556" t="s">
        <v>660</v>
      </c>
      <c r="B37" s="1555">
        <v>0</v>
      </c>
      <c r="C37" s="1555">
        <v>0</v>
      </c>
      <c r="D37" s="1555">
        <v>0</v>
      </c>
      <c r="E37" s="1555">
        <v>0</v>
      </c>
      <c r="F37" s="1555">
        <v>0</v>
      </c>
      <c r="G37" s="1555">
        <v>0</v>
      </c>
      <c r="H37" s="1555">
        <v>0</v>
      </c>
      <c r="I37" s="1555">
        <v>0</v>
      </c>
      <c r="J37" s="1555">
        <v>0</v>
      </c>
      <c r="K37" s="1555">
        <v>0</v>
      </c>
      <c r="L37" s="1555">
        <v>0</v>
      </c>
      <c r="M37" s="1555">
        <v>0</v>
      </c>
      <c r="N37" s="1555">
        <v>0</v>
      </c>
      <c r="O37" s="1555">
        <v>0</v>
      </c>
      <c r="P37" s="1555">
        <v>0</v>
      </c>
      <c r="Q37" s="1555">
        <v>0</v>
      </c>
    </row>
    <row r="38" spans="1:17">
      <c r="A38" s="1556" t="s">
        <v>662</v>
      </c>
      <c r="B38" s="1555">
        <v>0</v>
      </c>
      <c r="C38" s="1555">
        <v>0</v>
      </c>
      <c r="D38" s="1555">
        <v>0</v>
      </c>
      <c r="E38" s="1555">
        <v>0</v>
      </c>
      <c r="F38" s="1555">
        <v>0</v>
      </c>
      <c r="G38" s="1555">
        <v>0</v>
      </c>
      <c r="H38" s="1555">
        <v>0</v>
      </c>
      <c r="I38" s="1555">
        <v>0</v>
      </c>
      <c r="J38" s="1555">
        <v>0</v>
      </c>
      <c r="K38" s="1555">
        <v>0</v>
      </c>
      <c r="L38" s="1555">
        <v>0</v>
      </c>
      <c r="M38" s="1555">
        <v>0</v>
      </c>
      <c r="N38" s="1555">
        <v>0</v>
      </c>
      <c r="O38" s="1555">
        <v>0</v>
      </c>
      <c r="P38" s="1555">
        <v>0</v>
      </c>
      <c r="Q38" s="1555">
        <v>0</v>
      </c>
    </row>
    <row r="39" spans="1:17">
      <c r="A39" s="1556" t="s">
        <v>664</v>
      </c>
      <c r="B39" s="1555">
        <v>0</v>
      </c>
      <c r="C39" s="1555">
        <v>0</v>
      </c>
      <c r="D39" s="1555">
        <v>0</v>
      </c>
      <c r="E39" s="1555">
        <v>0</v>
      </c>
      <c r="F39" s="1555">
        <v>0</v>
      </c>
      <c r="G39" s="1555">
        <v>0</v>
      </c>
      <c r="H39" s="1555">
        <v>0</v>
      </c>
      <c r="I39" s="1555">
        <v>0</v>
      </c>
      <c r="J39" s="1555">
        <v>0</v>
      </c>
      <c r="K39" s="1555">
        <v>0</v>
      </c>
      <c r="L39" s="1555">
        <v>0</v>
      </c>
      <c r="M39" s="1555">
        <v>0</v>
      </c>
      <c r="N39" s="1555">
        <v>0</v>
      </c>
      <c r="O39" s="1555">
        <v>0</v>
      </c>
      <c r="P39" s="1555">
        <v>0</v>
      </c>
      <c r="Q39" s="1555">
        <v>0</v>
      </c>
    </row>
    <row r="40" spans="1:17">
      <c r="A40" s="1556" t="s">
        <v>666</v>
      </c>
      <c r="B40" s="1555">
        <v>0</v>
      </c>
      <c r="C40" s="1555">
        <v>0</v>
      </c>
      <c r="D40" s="1555">
        <v>0</v>
      </c>
      <c r="E40" s="1555">
        <v>0</v>
      </c>
      <c r="F40" s="1555">
        <v>0</v>
      </c>
      <c r="G40" s="1555">
        <v>0</v>
      </c>
      <c r="H40" s="1555">
        <v>0</v>
      </c>
      <c r="I40" s="1555">
        <v>0</v>
      </c>
      <c r="J40" s="1555">
        <v>0</v>
      </c>
      <c r="K40" s="1555">
        <v>0</v>
      </c>
      <c r="L40" s="1555">
        <v>0</v>
      </c>
      <c r="M40" s="1555">
        <v>0</v>
      </c>
      <c r="N40" s="1555">
        <v>0</v>
      </c>
      <c r="O40" s="1555">
        <v>0</v>
      </c>
      <c r="P40" s="1555">
        <v>0</v>
      </c>
      <c r="Q40" s="1555">
        <v>0</v>
      </c>
    </row>
    <row r="41" spans="1:17">
      <c r="A41" s="1556" t="s">
        <v>668</v>
      </c>
      <c r="B41" s="1555">
        <v>0</v>
      </c>
      <c r="C41" s="1555">
        <v>0</v>
      </c>
      <c r="D41" s="1555">
        <v>0</v>
      </c>
      <c r="E41" s="1555">
        <v>0</v>
      </c>
      <c r="F41" s="1555">
        <v>0</v>
      </c>
      <c r="G41" s="1555">
        <v>0</v>
      </c>
      <c r="H41" s="1555">
        <v>0</v>
      </c>
      <c r="I41" s="1555">
        <v>0</v>
      </c>
      <c r="J41" s="1555">
        <v>0</v>
      </c>
      <c r="K41" s="1555">
        <v>0</v>
      </c>
      <c r="L41" s="1555">
        <v>0</v>
      </c>
      <c r="M41" s="1555">
        <v>0</v>
      </c>
      <c r="N41" s="1555">
        <v>0</v>
      </c>
      <c r="O41" s="1555">
        <v>0</v>
      </c>
      <c r="P41" s="1555">
        <v>0</v>
      </c>
      <c r="Q41" s="1555">
        <v>0</v>
      </c>
    </row>
    <row r="42" spans="1:17">
      <c r="A42" s="1554" t="s">
        <v>6937</v>
      </c>
      <c r="B42" s="1555">
        <v>0</v>
      </c>
      <c r="C42" s="1555">
        <v>0</v>
      </c>
      <c r="D42" s="1555">
        <v>0</v>
      </c>
      <c r="E42" s="1555">
        <v>0</v>
      </c>
      <c r="F42" s="1555">
        <v>0</v>
      </c>
      <c r="G42" s="1555">
        <v>0</v>
      </c>
      <c r="H42" s="1555">
        <v>0</v>
      </c>
      <c r="I42" s="1555">
        <v>0</v>
      </c>
      <c r="J42" s="1555">
        <v>0</v>
      </c>
      <c r="K42" s="1555">
        <v>0</v>
      </c>
      <c r="L42" s="1555">
        <v>0</v>
      </c>
      <c r="M42" s="1555">
        <v>0</v>
      </c>
      <c r="N42" s="1555">
        <v>0</v>
      </c>
      <c r="O42" s="1555">
        <v>0</v>
      </c>
      <c r="P42" s="1555">
        <v>0</v>
      </c>
      <c r="Q42" s="1555">
        <v>0</v>
      </c>
    </row>
    <row r="43" spans="1:17">
      <c r="A43" s="1556" t="s">
        <v>731</v>
      </c>
      <c r="B43" s="1555">
        <v>0</v>
      </c>
      <c r="C43" s="1555">
        <v>0</v>
      </c>
      <c r="D43" s="1555">
        <v>0</v>
      </c>
      <c r="E43" s="1555">
        <v>0</v>
      </c>
      <c r="F43" s="1555">
        <v>0</v>
      </c>
      <c r="G43" s="1555">
        <v>0</v>
      </c>
      <c r="H43" s="1555">
        <v>0</v>
      </c>
      <c r="I43" s="1555">
        <v>0</v>
      </c>
      <c r="J43" s="1555">
        <v>0</v>
      </c>
      <c r="K43" s="1555">
        <v>0</v>
      </c>
      <c r="L43" s="1555">
        <v>0</v>
      </c>
      <c r="M43" s="1555">
        <v>0</v>
      </c>
      <c r="N43" s="1555">
        <v>0</v>
      </c>
      <c r="O43" s="1555">
        <v>0</v>
      </c>
      <c r="P43" s="1555">
        <v>0</v>
      </c>
      <c r="Q43" s="1555">
        <v>0</v>
      </c>
    </row>
    <row r="44" spans="1:17">
      <c r="A44" s="1556" t="s">
        <v>656</v>
      </c>
      <c r="B44" s="1555">
        <v>0</v>
      </c>
      <c r="C44" s="1555">
        <v>0</v>
      </c>
      <c r="D44" s="1555">
        <v>0</v>
      </c>
      <c r="E44" s="1555">
        <v>0</v>
      </c>
      <c r="F44" s="1555">
        <v>0</v>
      </c>
      <c r="G44" s="1555">
        <v>0</v>
      </c>
      <c r="H44" s="1555">
        <v>0</v>
      </c>
      <c r="I44" s="1555">
        <v>0</v>
      </c>
      <c r="J44" s="1555">
        <v>0</v>
      </c>
      <c r="K44" s="1555">
        <v>0</v>
      </c>
      <c r="L44" s="1555">
        <v>0</v>
      </c>
      <c r="M44" s="1555">
        <v>0</v>
      </c>
      <c r="N44" s="1555">
        <v>0</v>
      </c>
      <c r="O44" s="1555">
        <v>0</v>
      </c>
      <c r="P44" s="1555">
        <v>0</v>
      </c>
      <c r="Q44" s="1555">
        <v>0</v>
      </c>
    </row>
    <row r="45" spans="1:17">
      <c r="A45" s="1556" t="s">
        <v>658</v>
      </c>
      <c r="B45" s="1555">
        <v>0</v>
      </c>
      <c r="C45" s="1555">
        <v>0</v>
      </c>
      <c r="D45" s="1555">
        <v>0</v>
      </c>
      <c r="E45" s="1555">
        <v>0</v>
      </c>
      <c r="F45" s="1555">
        <v>0</v>
      </c>
      <c r="G45" s="1555">
        <v>0</v>
      </c>
      <c r="H45" s="1555">
        <v>0</v>
      </c>
      <c r="I45" s="1555">
        <v>0</v>
      </c>
      <c r="J45" s="1555">
        <v>0</v>
      </c>
      <c r="K45" s="1555">
        <v>0</v>
      </c>
      <c r="L45" s="1555">
        <v>0</v>
      </c>
      <c r="M45" s="1555">
        <v>0</v>
      </c>
      <c r="N45" s="1555">
        <v>0</v>
      </c>
      <c r="O45" s="1555">
        <v>0</v>
      </c>
      <c r="P45" s="1555">
        <v>0</v>
      </c>
      <c r="Q45" s="1555">
        <v>0</v>
      </c>
    </row>
    <row r="46" spans="1:17">
      <c r="A46" s="1556" t="s">
        <v>660</v>
      </c>
      <c r="B46" s="1555">
        <v>0</v>
      </c>
      <c r="C46" s="1555">
        <v>0</v>
      </c>
      <c r="D46" s="1555">
        <v>0</v>
      </c>
      <c r="E46" s="1555">
        <v>0</v>
      </c>
      <c r="F46" s="1555">
        <v>0</v>
      </c>
      <c r="G46" s="1555">
        <v>0</v>
      </c>
      <c r="H46" s="1555">
        <v>0</v>
      </c>
      <c r="I46" s="1555">
        <v>0</v>
      </c>
      <c r="J46" s="1555">
        <v>0</v>
      </c>
      <c r="K46" s="1555">
        <v>0</v>
      </c>
      <c r="L46" s="1555">
        <v>0</v>
      </c>
      <c r="M46" s="1555">
        <v>0</v>
      </c>
      <c r="N46" s="1555">
        <v>0</v>
      </c>
      <c r="O46" s="1555">
        <v>0</v>
      </c>
      <c r="P46" s="1555">
        <v>0</v>
      </c>
      <c r="Q46" s="1555">
        <v>0</v>
      </c>
    </row>
    <row r="47" spans="1:17">
      <c r="A47" s="1556" t="s">
        <v>662</v>
      </c>
      <c r="B47" s="1555">
        <v>0</v>
      </c>
      <c r="C47" s="1555">
        <v>0</v>
      </c>
      <c r="D47" s="1555">
        <v>0</v>
      </c>
      <c r="E47" s="1555">
        <v>0</v>
      </c>
      <c r="F47" s="1555">
        <v>0</v>
      </c>
      <c r="G47" s="1555">
        <v>0</v>
      </c>
      <c r="H47" s="1555">
        <v>0</v>
      </c>
      <c r="I47" s="1555">
        <v>0</v>
      </c>
      <c r="J47" s="1555">
        <v>0</v>
      </c>
      <c r="K47" s="1555">
        <v>0</v>
      </c>
      <c r="L47" s="1555">
        <v>0</v>
      </c>
      <c r="M47" s="1555">
        <v>0</v>
      </c>
      <c r="N47" s="1555">
        <v>0</v>
      </c>
      <c r="O47" s="1555">
        <v>0</v>
      </c>
      <c r="P47" s="1555">
        <v>0</v>
      </c>
      <c r="Q47" s="1555">
        <v>0</v>
      </c>
    </row>
    <row r="48" spans="1:17">
      <c r="A48" s="1556" t="s">
        <v>664</v>
      </c>
      <c r="B48" s="1555">
        <v>0</v>
      </c>
      <c r="C48" s="1555">
        <v>0</v>
      </c>
      <c r="D48" s="1555">
        <v>0</v>
      </c>
      <c r="E48" s="1555">
        <v>0</v>
      </c>
      <c r="F48" s="1555">
        <v>0</v>
      </c>
      <c r="G48" s="1555">
        <v>0</v>
      </c>
      <c r="H48" s="1555">
        <v>0</v>
      </c>
      <c r="I48" s="1555">
        <v>0</v>
      </c>
      <c r="J48" s="1555">
        <v>0</v>
      </c>
      <c r="K48" s="1555">
        <v>0</v>
      </c>
      <c r="L48" s="1555">
        <v>0</v>
      </c>
      <c r="M48" s="1555">
        <v>0</v>
      </c>
      <c r="N48" s="1555">
        <v>0</v>
      </c>
      <c r="O48" s="1555">
        <v>0</v>
      </c>
      <c r="P48" s="1555">
        <v>0</v>
      </c>
      <c r="Q48" s="1555">
        <v>0</v>
      </c>
    </row>
    <row r="49" spans="1:17">
      <c r="A49" s="1556" t="s">
        <v>666</v>
      </c>
      <c r="B49" s="1555">
        <v>0</v>
      </c>
      <c r="C49" s="1555">
        <v>0</v>
      </c>
      <c r="D49" s="1555">
        <v>0</v>
      </c>
      <c r="E49" s="1555">
        <v>0</v>
      </c>
      <c r="F49" s="1555">
        <v>0</v>
      </c>
      <c r="G49" s="1555">
        <v>0</v>
      </c>
      <c r="H49" s="1555">
        <v>0</v>
      </c>
      <c r="I49" s="1555">
        <v>0</v>
      </c>
      <c r="J49" s="1555">
        <v>0</v>
      </c>
      <c r="K49" s="1555">
        <v>0</v>
      </c>
      <c r="L49" s="1555">
        <v>0</v>
      </c>
      <c r="M49" s="1555">
        <v>0</v>
      </c>
      <c r="N49" s="1555">
        <v>0</v>
      </c>
      <c r="O49" s="1555">
        <v>0</v>
      </c>
      <c r="P49" s="1555">
        <v>0</v>
      </c>
      <c r="Q49" s="1555">
        <v>0</v>
      </c>
    </row>
    <row r="50" spans="1:17">
      <c r="A50" s="1556" t="s">
        <v>668</v>
      </c>
      <c r="B50" s="1555">
        <v>0</v>
      </c>
      <c r="C50" s="1555">
        <v>0</v>
      </c>
      <c r="D50" s="1555">
        <v>0</v>
      </c>
      <c r="E50" s="1555">
        <v>0</v>
      </c>
      <c r="F50" s="1555">
        <v>0</v>
      </c>
      <c r="G50" s="1555">
        <v>0</v>
      </c>
      <c r="H50" s="1555">
        <v>0</v>
      </c>
      <c r="I50" s="1555">
        <v>0</v>
      </c>
      <c r="J50" s="1555">
        <v>0</v>
      </c>
      <c r="K50" s="1555">
        <v>0</v>
      </c>
      <c r="L50" s="1555">
        <v>0</v>
      </c>
      <c r="M50" s="1555">
        <v>0</v>
      </c>
      <c r="N50" s="1555">
        <v>0</v>
      </c>
      <c r="O50" s="1555">
        <v>0</v>
      </c>
      <c r="P50" s="1555">
        <v>0</v>
      </c>
      <c r="Q50" s="1555">
        <v>0</v>
      </c>
    </row>
    <row r="51" spans="1:17">
      <c r="A51" s="1554" t="s">
        <v>6941</v>
      </c>
      <c r="B51" s="1555">
        <v>0</v>
      </c>
      <c r="C51" s="1555">
        <v>0</v>
      </c>
      <c r="D51" s="1555">
        <v>0</v>
      </c>
      <c r="E51" s="1555">
        <v>0</v>
      </c>
      <c r="F51" s="1555">
        <v>0</v>
      </c>
      <c r="G51" s="1555">
        <v>0</v>
      </c>
      <c r="H51" s="1555">
        <v>0</v>
      </c>
      <c r="I51" s="1555">
        <v>0</v>
      </c>
      <c r="J51" s="1555">
        <v>0</v>
      </c>
      <c r="K51" s="1555">
        <v>0</v>
      </c>
      <c r="L51" s="1555">
        <v>0</v>
      </c>
      <c r="M51" s="1555">
        <v>0</v>
      </c>
      <c r="N51" s="1555">
        <v>0</v>
      </c>
      <c r="O51" s="1555">
        <v>0</v>
      </c>
      <c r="P51" s="1555">
        <v>0</v>
      </c>
      <c r="Q51" s="1555">
        <v>0</v>
      </c>
    </row>
    <row r="52" spans="1:17">
      <c r="A52" s="1556" t="s">
        <v>731</v>
      </c>
      <c r="B52" s="1555">
        <v>0</v>
      </c>
      <c r="C52" s="1555">
        <v>0</v>
      </c>
      <c r="D52" s="1555">
        <v>0</v>
      </c>
      <c r="E52" s="1555">
        <v>0</v>
      </c>
      <c r="F52" s="1555">
        <v>0</v>
      </c>
      <c r="G52" s="1555">
        <v>0</v>
      </c>
      <c r="H52" s="1555">
        <v>0</v>
      </c>
      <c r="I52" s="1555">
        <v>0</v>
      </c>
      <c r="J52" s="1555">
        <v>0</v>
      </c>
      <c r="K52" s="1555">
        <v>0</v>
      </c>
      <c r="L52" s="1555">
        <v>0</v>
      </c>
      <c r="M52" s="1555">
        <v>0</v>
      </c>
      <c r="N52" s="1555">
        <v>0</v>
      </c>
      <c r="O52" s="1555">
        <v>0</v>
      </c>
      <c r="P52" s="1555">
        <v>0</v>
      </c>
      <c r="Q52" s="1555">
        <v>0</v>
      </c>
    </row>
    <row r="53" spans="1:17">
      <c r="A53" s="1556" t="s">
        <v>656</v>
      </c>
      <c r="B53" s="1555">
        <v>0</v>
      </c>
      <c r="C53" s="1555">
        <v>0</v>
      </c>
      <c r="D53" s="1555">
        <v>0</v>
      </c>
      <c r="E53" s="1555">
        <v>0</v>
      </c>
      <c r="F53" s="1555">
        <v>0</v>
      </c>
      <c r="G53" s="1555">
        <v>0</v>
      </c>
      <c r="H53" s="1555">
        <v>0</v>
      </c>
      <c r="I53" s="1555">
        <v>0</v>
      </c>
      <c r="J53" s="1555">
        <v>0</v>
      </c>
      <c r="K53" s="1555">
        <v>0</v>
      </c>
      <c r="L53" s="1555">
        <v>0</v>
      </c>
      <c r="M53" s="1555">
        <v>0</v>
      </c>
      <c r="N53" s="1555">
        <v>0</v>
      </c>
      <c r="O53" s="1555">
        <v>0</v>
      </c>
      <c r="P53" s="1555">
        <v>0</v>
      </c>
      <c r="Q53" s="1555">
        <v>0</v>
      </c>
    </row>
    <row r="54" spans="1:17">
      <c r="A54" s="1556" t="s">
        <v>658</v>
      </c>
      <c r="B54" s="1555">
        <v>0</v>
      </c>
      <c r="C54" s="1555">
        <v>0</v>
      </c>
      <c r="D54" s="1555">
        <v>0</v>
      </c>
      <c r="E54" s="1555">
        <v>0</v>
      </c>
      <c r="F54" s="1555">
        <v>0</v>
      </c>
      <c r="G54" s="1555">
        <v>0</v>
      </c>
      <c r="H54" s="1555">
        <v>0</v>
      </c>
      <c r="I54" s="1555">
        <v>0</v>
      </c>
      <c r="J54" s="1555">
        <v>0</v>
      </c>
      <c r="K54" s="1555">
        <v>0</v>
      </c>
      <c r="L54" s="1555">
        <v>0</v>
      </c>
      <c r="M54" s="1555">
        <v>0</v>
      </c>
      <c r="N54" s="1555">
        <v>0</v>
      </c>
      <c r="O54" s="1555">
        <v>0</v>
      </c>
      <c r="P54" s="1555">
        <v>0</v>
      </c>
      <c r="Q54" s="1555">
        <v>0</v>
      </c>
    </row>
    <row r="55" spans="1:17">
      <c r="A55" s="1556" t="s">
        <v>660</v>
      </c>
      <c r="B55" s="1555">
        <v>0</v>
      </c>
      <c r="C55" s="1555">
        <v>0</v>
      </c>
      <c r="D55" s="1555">
        <v>0</v>
      </c>
      <c r="E55" s="1555">
        <v>0</v>
      </c>
      <c r="F55" s="1555">
        <v>0</v>
      </c>
      <c r="G55" s="1555">
        <v>0</v>
      </c>
      <c r="H55" s="1555">
        <v>0</v>
      </c>
      <c r="I55" s="1555">
        <v>0</v>
      </c>
      <c r="J55" s="1555">
        <v>0</v>
      </c>
      <c r="K55" s="1555">
        <v>0</v>
      </c>
      <c r="L55" s="1555">
        <v>0</v>
      </c>
      <c r="M55" s="1555">
        <v>0</v>
      </c>
      <c r="N55" s="1555">
        <v>0</v>
      </c>
      <c r="O55" s="1555">
        <v>0</v>
      </c>
      <c r="P55" s="1555">
        <v>0</v>
      </c>
      <c r="Q55" s="1555">
        <v>0</v>
      </c>
    </row>
    <row r="56" spans="1:17">
      <c r="A56" s="1556" t="s">
        <v>662</v>
      </c>
      <c r="B56" s="1555">
        <v>0</v>
      </c>
      <c r="C56" s="1555">
        <v>0</v>
      </c>
      <c r="D56" s="1555">
        <v>0</v>
      </c>
      <c r="E56" s="1555">
        <v>0</v>
      </c>
      <c r="F56" s="1555">
        <v>0</v>
      </c>
      <c r="G56" s="1555">
        <v>0</v>
      </c>
      <c r="H56" s="1555">
        <v>0</v>
      </c>
      <c r="I56" s="1555">
        <v>0</v>
      </c>
      <c r="J56" s="1555">
        <v>0</v>
      </c>
      <c r="K56" s="1555">
        <v>0</v>
      </c>
      <c r="L56" s="1555">
        <v>0</v>
      </c>
      <c r="M56" s="1555">
        <v>0</v>
      </c>
      <c r="N56" s="1555">
        <v>0</v>
      </c>
      <c r="O56" s="1555">
        <v>0</v>
      </c>
      <c r="P56" s="1555">
        <v>0</v>
      </c>
      <c r="Q56" s="1555">
        <v>0</v>
      </c>
    </row>
    <row r="57" spans="1:17">
      <c r="A57" s="1556" t="s">
        <v>664</v>
      </c>
      <c r="B57" s="1555">
        <v>0</v>
      </c>
      <c r="C57" s="1555">
        <v>0</v>
      </c>
      <c r="D57" s="1555">
        <v>0</v>
      </c>
      <c r="E57" s="1555">
        <v>0</v>
      </c>
      <c r="F57" s="1555">
        <v>0</v>
      </c>
      <c r="G57" s="1555">
        <v>0</v>
      </c>
      <c r="H57" s="1555">
        <v>0</v>
      </c>
      <c r="I57" s="1555">
        <v>0</v>
      </c>
      <c r="J57" s="1555">
        <v>0</v>
      </c>
      <c r="K57" s="1555">
        <v>0</v>
      </c>
      <c r="L57" s="1555">
        <v>0</v>
      </c>
      <c r="M57" s="1555">
        <v>0</v>
      </c>
      <c r="N57" s="1555">
        <v>0</v>
      </c>
      <c r="O57" s="1555">
        <v>0</v>
      </c>
      <c r="P57" s="1555">
        <v>0</v>
      </c>
      <c r="Q57" s="1555">
        <v>0</v>
      </c>
    </row>
    <row r="58" spans="1:17">
      <c r="A58" s="1556" t="s">
        <v>666</v>
      </c>
      <c r="B58" s="1555">
        <v>0</v>
      </c>
      <c r="C58" s="1555">
        <v>0</v>
      </c>
      <c r="D58" s="1555">
        <v>0</v>
      </c>
      <c r="E58" s="1555">
        <v>0</v>
      </c>
      <c r="F58" s="1555">
        <v>0</v>
      </c>
      <c r="G58" s="1555">
        <v>0</v>
      </c>
      <c r="H58" s="1555">
        <v>0</v>
      </c>
      <c r="I58" s="1555">
        <v>0</v>
      </c>
      <c r="J58" s="1555">
        <v>0</v>
      </c>
      <c r="K58" s="1555">
        <v>0</v>
      </c>
      <c r="L58" s="1555">
        <v>0</v>
      </c>
      <c r="M58" s="1555">
        <v>0</v>
      </c>
      <c r="N58" s="1555">
        <v>0</v>
      </c>
      <c r="O58" s="1555">
        <v>0</v>
      </c>
      <c r="P58" s="1555">
        <v>0</v>
      </c>
      <c r="Q58" s="1555">
        <v>0</v>
      </c>
    </row>
    <row r="59" spans="1:17">
      <c r="A59" s="1556" t="s">
        <v>668</v>
      </c>
      <c r="B59" s="1555">
        <v>0</v>
      </c>
      <c r="C59" s="1555">
        <v>0</v>
      </c>
      <c r="D59" s="1555">
        <v>0</v>
      </c>
      <c r="E59" s="1555">
        <v>0</v>
      </c>
      <c r="F59" s="1555">
        <v>0</v>
      </c>
      <c r="G59" s="1555">
        <v>0</v>
      </c>
      <c r="H59" s="1555">
        <v>0</v>
      </c>
      <c r="I59" s="1555">
        <v>0</v>
      </c>
      <c r="J59" s="1555">
        <v>0</v>
      </c>
      <c r="K59" s="1555">
        <v>0</v>
      </c>
      <c r="L59" s="1555">
        <v>0</v>
      </c>
      <c r="M59" s="1555">
        <v>0</v>
      </c>
      <c r="N59" s="1555">
        <v>0</v>
      </c>
      <c r="O59" s="1555">
        <v>0</v>
      </c>
      <c r="P59" s="1555">
        <v>0</v>
      </c>
      <c r="Q59" s="1555">
        <v>0</v>
      </c>
    </row>
    <row r="60" spans="1:17">
      <c r="A60" s="1554" t="s">
        <v>6936</v>
      </c>
      <c r="B60" s="1555">
        <v>0</v>
      </c>
      <c r="C60" s="1555">
        <v>0</v>
      </c>
      <c r="D60" s="1555">
        <v>0</v>
      </c>
      <c r="E60" s="1555">
        <v>0</v>
      </c>
      <c r="F60" s="1555">
        <v>0</v>
      </c>
      <c r="G60" s="1555">
        <v>0</v>
      </c>
      <c r="H60" s="1555">
        <v>0</v>
      </c>
      <c r="I60" s="1555">
        <v>0</v>
      </c>
      <c r="J60" s="1555">
        <v>0</v>
      </c>
      <c r="K60" s="1555">
        <v>0</v>
      </c>
      <c r="L60" s="1555">
        <v>0</v>
      </c>
      <c r="M60" s="1555">
        <v>0</v>
      </c>
      <c r="N60" s="1555">
        <v>0</v>
      </c>
      <c r="O60" s="1555">
        <v>0</v>
      </c>
      <c r="P60" s="1555">
        <v>0</v>
      </c>
      <c r="Q60" s="1555">
        <v>0</v>
      </c>
    </row>
    <row r="61" spans="1:17">
      <c r="A61" s="1556" t="s">
        <v>731</v>
      </c>
      <c r="B61" s="1555">
        <v>0</v>
      </c>
      <c r="C61" s="1555">
        <v>0</v>
      </c>
      <c r="D61" s="1555">
        <v>0</v>
      </c>
      <c r="E61" s="1555">
        <v>0</v>
      </c>
      <c r="F61" s="1555">
        <v>0</v>
      </c>
      <c r="G61" s="1555">
        <v>0</v>
      </c>
      <c r="H61" s="1555">
        <v>0</v>
      </c>
      <c r="I61" s="1555">
        <v>0</v>
      </c>
      <c r="J61" s="1555">
        <v>0</v>
      </c>
      <c r="K61" s="1555">
        <v>0</v>
      </c>
      <c r="L61" s="1555">
        <v>0</v>
      </c>
      <c r="M61" s="1555">
        <v>0</v>
      </c>
      <c r="N61" s="1555">
        <v>0</v>
      </c>
      <c r="O61" s="1555">
        <v>0</v>
      </c>
      <c r="P61" s="1555">
        <v>0</v>
      </c>
      <c r="Q61" s="1555">
        <v>0</v>
      </c>
    </row>
    <row r="62" spans="1:17">
      <c r="A62" s="1556" t="s">
        <v>656</v>
      </c>
      <c r="B62" s="1555">
        <v>0</v>
      </c>
      <c r="C62" s="1555">
        <v>0</v>
      </c>
      <c r="D62" s="1555">
        <v>0</v>
      </c>
      <c r="E62" s="1555">
        <v>0</v>
      </c>
      <c r="F62" s="1555">
        <v>0</v>
      </c>
      <c r="G62" s="1555">
        <v>0</v>
      </c>
      <c r="H62" s="1555">
        <v>0</v>
      </c>
      <c r="I62" s="1555">
        <v>0</v>
      </c>
      <c r="J62" s="1555">
        <v>0</v>
      </c>
      <c r="K62" s="1555">
        <v>0</v>
      </c>
      <c r="L62" s="1555">
        <v>0</v>
      </c>
      <c r="M62" s="1555">
        <v>0</v>
      </c>
      <c r="N62" s="1555">
        <v>0</v>
      </c>
      <c r="O62" s="1555">
        <v>0</v>
      </c>
      <c r="P62" s="1555">
        <v>0</v>
      </c>
      <c r="Q62" s="1555">
        <v>0</v>
      </c>
    </row>
    <row r="63" spans="1:17">
      <c r="A63" s="1556" t="s">
        <v>658</v>
      </c>
      <c r="B63" s="1555">
        <v>0</v>
      </c>
      <c r="C63" s="1555">
        <v>0</v>
      </c>
      <c r="D63" s="1555">
        <v>0</v>
      </c>
      <c r="E63" s="1555">
        <v>0</v>
      </c>
      <c r="F63" s="1555">
        <v>0</v>
      </c>
      <c r="G63" s="1555">
        <v>0</v>
      </c>
      <c r="H63" s="1555">
        <v>0</v>
      </c>
      <c r="I63" s="1555">
        <v>0</v>
      </c>
      <c r="J63" s="1555">
        <v>0</v>
      </c>
      <c r="K63" s="1555">
        <v>0</v>
      </c>
      <c r="L63" s="1555">
        <v>0</v>
      </c>
      <c r="M63" s="1555">
        <v>0</v>
      </c>
      <c r="N63" s="1555">
        <v>0</v>
      </c>
      <c r="O63" s="1555">
        <v>0</v>
      </c>
      <c r="P63" s="1555">
        <v>0</v>
      </c>
      <c r="Q63" s="1555">
        <v>0</v>
      </c>
    </row>
    <row r="64" spans="1:17">
      <c r="A64" s="1556" t="s">
        <v>660</v>
      </c>
      <c r="B64" s="1555">
        <v>0</v>
      </c>
      <c r="C64" s="1555">
        <v>0</v>
      </c>
      <c r="D64" s="1555">
        <v>0</v>
      </c>
      <c r="E64" s="1555">
        <v>0</v>
      </c>
      <c r="F64" s="1555">
        <v>0</v>
      </c>
      <c r="G64" s="1555">
        <v>0</v>
      </c>
      <c r="H64" s="1555">
        <v>0</v>
      </c>
      <c r="I64" s="1555">
        <v>0</v>
      </c>
      <c r="J64" s="1555">
        <v>0</v>
      </c>
      <c r="K64" s="1555">
        <v>0</v>
      </c>
      <c r="L64" s="1555">
        <v>0</v>
      </c>
      <c r="M64" s="1555">
        <v>0</v>
      </c>
      <c r="N64" s="1555">
        <v>0</v>
      </c>
      <c r="O64" s="1555">
        <v>0</v>
      </c>
      <c r="P64" s="1555">
        <v>0</v>
      </c>
      <c r="Q64" s="1555">
        <v>0</v>
      </c>
    </row>
    <row r="65" spans="1:17">
      <c r="A65" s="1556" t="s">
        <v>662</v>
      </c>
      <c r="B65" s="1555">
        <v>0</v>
      </c>
      <c r="C65" s="1555">
        <v>0</v>
      </c>
      <c r="D65" s="1555">
        <v>0</v>
      </c>
      <c r="E65" s="1555">
        <v>0</v>
      </c>
      <c r="F65" s="1555">
        <v>0</v>
      </c>
      <c r="G65" s="1555">
        <v>0</v>
      </c>
      <c r="H65" s="1555">
        <v>0</v>
      </c>
      <c r="I65" s="1555">
        <v>0</v>
      </c>
      <c r="J65" s="1555">
        <v>0</v>
      </c>
      <c r="K65" s="1555">
        <v>0</v>
      </c>
      <c r="L65" s="1555">
        <v>0</v>
      </c>
      <c r="M65" s="1555">
        <v>0</v>
      </c>
      <c r="N65" s="1555">
        <v>0</v>
      </c>
      <c r="O65" s="1555">
        <v>0</v>
      </c>
      <c r="P65" s="1555">
        <v>0</v>
      </c>
      <c r="Q65" s="1555">
        <v>0</v>
      </c>
    </row>
    <row r="66" spans="1:17">
      <c r="A66" s="1556" t="s">
        <v>664</v>
      </c>
      <c r="B66" s="1555">
        <v>0</v>
      </c>
      <c r="C66" s="1555">
        <v>0</v>
      </c>
      <c r="D66" s="1555">
        <v>0</v>
      </c>
      <c r="E66" s="1555">
        <v>0</v>
      </c>
      <c r="F66" s="1555">
        <v>0</v>
      </c>
      <c r="G66" s="1555">
        <v>0</v>
      </c>
      <c r="H66" s="1555">
        <v>0</v>
      </c>
      <c r="I66" s="1555">
        <v>0</v>
      </c>
      <c r="J66" s="1555">
        <v>0</v>
      </c>
      <c r="K66" s="1555">
        <v>0</v>
      </c>
      <c r="L66" s="1555">
        <v>0</v>
      </c>
      <c r="M66" s="1555">
        <v>0</v>
      </c>
      <c r="N66" s="1555">
        <v>0</v>
      </c>
      <c r="O66" s="1555">
        <v>0</v>
      </c>
      <c r="P66" s="1555">
        <v>0</v>
      </c>
      <c r="Q66" s="1555">
        <v>0</v>
      </c>
    </row>
    <row r="67" spans="1:17">
      <c r="A67" s="1556" t="s">
        <v>666</v>
      </c>
      <c r="B67" s="1555">
        <v>0</v>
      </c>
      <c r="C67" s="1555">
        <v>0</v>
      </c>
      <c r="D67" s="1555">
        <v>0</v>
      </c>
      <c r="E67" s="1555">
        <v>0</v>
      </c>
      <c r="F67" s="1555">
        <v>0</v>
      </c>
      <c r="G67" s="1555">
        <v>0</v>
      </c>
      <c r="H67" s="1555">
        <v>0</v>
      </c>
      <c r="I67" s="1555">
        <v>0</v>
      </c>
      <c r="J67" s="1555">
        <v>0</v>
      </c>
      <c r="K67" s="1555">
        <v>0</v>
      </c>
      <c r="L67" s="1555">
        <v>0</v>
      </c>
      <c r="M67" s="1555">
        <v>0</v>
      </c>
      <c r="N67" s="1555">
        <v>0</v>
      </c>
      <c r="O67" s="1555">
        <v>0</v>
      </c>
      <c r="P67" s="1555">
        <v>0</v>
      </c>
      <c r="Q67" s="1555">
        <v>0</v>
      </c>
    </row>
    <row r="68" spans="1:17">
      <c r="A68" s="1556" t="s">
        <v>668</v>
      </c>
      <c r="B68" s="1555">
        <v>0</v>
      </c>
      <c r="C68" s="1555">
        <v>0</v>
      </c>
      <c r="D68" s="1555">
        <v>0</v>
      </c>
      <c r="E68" s="1555">
        <v>0</v>
      </c>
      <c r="F68" s="1555">
        <v>0</v>
      </c>
      <c r="G68" s="1555">
        <v>0</v>
      </c>
      <c r="H68" s="1555">
        <v>0</v>
      </c>
      <c r="I68" s="1555">
        <v>0</v>
      </c>
      <c r="J68" s="1555">
        <v>0</v>
      </c>
      <c r="K68" s="1555">
        <v>0</v>
      </c>
      <c r="L68" s="1555">
        <v>0</v>
      </c>
      <c r="M68" s="1555">
        <v>0</v>
      </c>
      <c r="N68" s="1555">
        <v>0</v>
      </c>
      <c r="O68" s="1555">
        <v>0</v>
      </c>
      <c r="P68" s="1555">
        <v>0</v>
      </c>
      <c r="Q68" s="1555">
        <v>0</v>
      </c>
    </row>
    <row r="69" spans="1:17">
      <c r="A69" s="1554" t="s">
        <v>6935</v>
      </c>
      <c r="B69" s="1555">
        <v>0</v>
      </c>
      <c r="C69" s="1555">
        <v>0</v>
      </c>
      <c r="D69" s="1555">
        <v>0</v>
      </c>
      <c r="E69" s="1555">
        <v>0</v>
      </c>
      <c r="F69" s="1555">
        <v>0</v>
      </c>
      <c r="G69" s="1555">
        <v>0</v>
      </c>
      <c r="H69" s="1555">
        <v>0</v>
      </c>
      <c r="I69" s="1555">
        <v>0</v>
      </c>
      <c r="J69" s="1555">
        <v>0</v>
      </c>
      <c r="K69" s="1555">
        <v>0</v>
      </c>
      <c r="L69" s="1555">
        <v>0</v>
      </c>
      <c r="M69" s="1555">
        <v>0</v>
      </c>
      <c r="N69" s="1555">
        <v>0</v>
      </c>
      <c r="O69" s="1555">
        <v>0</v>
      </c>
      <c r="P69" s="1555">
        <v>0</v>
      </c>
      <c r="Q69" s="1555">
        <v>0</v>
      </c>
    </row>
    <row r="70" spans="1:17">
      <c r="A70" s="1556" t="s">
        <v>731</v>
      </c>
      <c r="B70" s="1555">
        <v>0</v>
      </c>
      <c r="C70" s="1555">
        <v>0</v>
      </c>
      <c r="D70" s="1555">
        <v>0</v>
      </c>
      <c r="E70" s="1555">
        <v>0</v>
      </c>
      <c r="F70" s="1555">
        <v>0</v>
      </c>
      <c r="G70" s="1555">
        <v>0</v>
      </c>
      <c r="H70" s="1555">
        <v>0</v>
      </c>
      <c r="I70" s="1555">
        <v>0</v>
      </c>
      <c r="J70" s="1555">
        <v>0</v>
      </c>
      <c r="K70" s="1555">
        <v>0</v>
      </c>
      <c r="L70" s="1555">
        <v>0</v>
      </c>
      <c r="M70" s="1555">
        <v>0</v>
      </c>
      <c r="N70" s="1555">
        <v>0</v>
      </c>
      <c r="O70" s="1555">
        <v>0</v>
      </c>
      <c r="P70" s="1555">
        <v>0</v>
      </c>
      <c r="Q70" s="1555">
        <v>0</v>
      </c>
    </row>
    <row r="71" spans="1:17">
      <c r="A71" s="1556" t="s">
        <v>656</v>
      </c>
      <c r="B71" s="1555">
        <v>0</v>
      </c>
      <c r="C71" s="1555">
        <v>0</v>
      </c>
      <c r="D71" s="1555">
        <v>0</v>
      </c>
      <c r="E71" s="1555">
        <v>0</v>
      </c>
      <c r="F71" s="1555">
        <v>0</v>
      </c>
      <c r="G71" s="1555">
        <v>0</v>
      </c>
      <c r="H71" s="1555">
        <v>0</v>
      </c>
      <c r="I71" s="1555">
        <v>0</v>
      </c>
      <c r="J71" s="1555">
        <v>0</v>
      </c>
      <c r="K71" s="1555">
        <v>0</v>
      </c>
      <c r="L71" s="1555">
        <v>0</v>
      </c>
      <c r="M71" s="1555">
        <v>0</v>
      </c>
      <c r="N71" s="1555">
        <v>0</v>
      </c>
      <c r="O71" s="1555">
        <v>0</v>
      </c>
      <c r="P71" s="1555">
        <v>0</v>
      </c>
      <c r="Q71" s="1555">
        <v>0</v>
      </c>
    </row>
    <row r="72" spans="1:17">
      <c r="A72" s="1556" t="s">
        <v>658</v>
      </c>
      <c r="B72" s="1555">
        <v>0</v>
      </c>
      <c r="C72" s="1555">
        <v>0</v>
      </c>
      <c r="D72" s="1555">
        <v>0</v>
      </c>
      <c r="E72" s="1555">
        <v>0</v>
      </c>
      <c r="F72" s="1555">
        <v>0</v>
      </c>
      <c r="G72" s="1555">
        <v>0</v>
      </c>
      <c r="H72" s="1555">
        <v>0</v>
      </c>
      <c r="I72" s="1555">
        <v>0</v>
      </c>
      <c r="J72" s="1555">
        <v>0</v>
      </c>
      <c r="K72" s="1555">
        <v>0</v>
      </c>
      <c r="L72" s="1555">
        <v>0</v>
      </c>
      <c r="M72" s="1555">
        <v>0</v>
      </c>
      <c r="N72" s="1555">
        <v>0</v>
      </c>
      <c r="O72" s="1555">
        <v>0</v>
      </c>
      <c r="P72" s="1555">
        <v>0</v>
      </c>
      <c r="Q72" s="1555">
        <v>0</v>
      </c>
    </row>
    <row r="73" spans="1:17">
      <c r="A73" s="1556" t="s">
        <v>660</v>
      </c>
      <c r="B73" s="1555">
        <v>0</v>
      </c>
      <c r="C73" s="1555">
        <v>0</v>
      </c>
      <c r="D73" s="1555">
        <v>0</v>
      </c>
      <c r="E73" s="1555">
        <v>0</v>
      </c>
      <c r="F73" s="1555">
        <v>0</v>
      </c>
      <c r="G73" s="1555">
        <v>0</v>
      </c>
      <c r="H73" s="1555">
        <v>0</v>
      </c>
      <c r="I73" s="1555">
        <v>0</v>
      </c>
      <c r="J73" s="1555">
        <v>0</v>
      </c>
      <c r="K73" s="1555">
        <v>0</v>
      </c>
      <c r="L73" s="1555">
        <v>0</v>
      </c>
      <c r="M73" s="1555">
        <v>0</v>
      </c>
      <c r="N73" s="1555">
        <v>0</v>
      </c>
      <c r="O73" s="1555">
        <v>0</v>
      </c>
      <c r="P73" s="1555">
        <v>0</v>
      </c>
      <c r="Q73" s="1555">
        <v>0</v>
      </c>
    </row>
    <row r="74" spans="1:17">
      <c r="A74" s="1556" t="s">
        <v>662</v>
      </c>
      <c r="B74" s="1555">
        <v>0</v>
      </c>
      <c r="C74" s="1555">
        <v>0</v>
      </c>
      <c r="D74" s="1555">
        <v>0</v>
      </c>
      <c r="E74" s="1555">
        <v>0</v>
      </c>
      <c r="F74" s="1555">
        <v>0</v>
      </c>
      <c r="G74" s="1555">
        <v>0</v>
      </c>
      <c r="H74" s="1555">
        <v>0</v>
      </c>
      <c r="I74" s="1555">
        <v>0</v>
      </c>
      <c r="J74" s="1555">
        <v>0</v>
      </c>
      <c r="K74" s="1555">
        <v>0</v>
      </c>
      <c r="L74" s="1555">
        <v>0</v>
      </c>
      <c r="M74" s="1555">
        <v>0</v>
      </c>
      <c r="N74" s="1555">
        <v>0</v>
      </c>
      <c r="O74" s="1555">
        <v>0</v>
      </c>
      <c r="P74" s="1555">
        <v>0</v>
      </c>
      <c r="Q74" s="1555">
        <v>0</v>
      </c>
    </row>
    <row r="75" spans="1:17">
      <c r="A75" s="1556" t="s">
        <v>664</v>
      </c>
      <c r="B75" s="1555">
        <v>0</v>
      </c>
      <c r="C75" s="1555">
        <v>0</v>
      </c>
      <c r="D75" s="1555">
        <v>0</v>
      </c>
      <c r="E75" s="1555">
        <v>0</v>
      </c>
      <c r="F75" s="1555">
        <v>0</v>
      </c>
      <c r="G75" s="1555">
        <v>0</v>
      </c>
      <c r="H75" s="1555">
        <v>0</v>
      </c>
      <c r="I75" s="1555">
        <v>0</v>
      </c>
      <c r="J75" s="1555">
        <v>0</v>
      </c>
      <c r="K75" s="1555">
        <v>0</v>
      </c>
      <c r="L75" s="1555">
        <v>0</v>
      </c>
      <c r="M75" s="1555">
        <v>0</v>
      </c>
      <c r="N75" s="1555">
        <v>0</v>
      </c>
      <c r="O75" s="1555">
        <v>0</v>
      </c>
      <c r="P75" s="1555">
        <v>0</v>
      </c>
      <c r="Q75" s="1555">
        <v>0</v>
      </c>
    </row>
    <row r="76" spans="1:17">
      <c r="A76" s="1556" t="s">
        <v>666</v>
      </c>
      <c r="B76" s="1555">
        <v>0</v>
      </c>
      <c r="C76" s="1555">
        <v>0</v>
      </c>
      <c r="D76" s="1555">
        <v>0</v>
      </c>
      <c r="E76" s="1555">
        <v>0</v>
      </c>
      <c r="F76" s="1555">
        <v>0</v>
      </c>
      <c r="G76" s="1555">
        <v>0</v>
      </c>
      <c r="H76" s="1555">
        <v>0</v>
      </c>
      <c r="I76" s="1555">
        <v>0</v>
      </c>
      <c r="J76" s="1555">
        <v>0</v>
      </c>
      <c r="K76" s="1555">
        <v>0</v>
      </c>
      <c r="L76" s="1555">
        <v>0</v>
      </c>
      <c r="M76" s="1555">
        <v>0</v>
      </c>
      <c r="N76" s="1555">
        <v>0</v>
      </c>
      <c r="O76" s="1555">
        <v>0</v>
      </c>
      <c r="P76" s="1555">
        <v>0</v>
      </c>
      <c r="Q76" s="1555">
        <v>0</v>
      </c>
    </row>
    <row r="77" spans="1:17">
      <c r="A77" s="1556" t="s">
        <v>668</v>
      </c>
      <c r="B77" s="1555">
        <v>0</v>
      </c>
      <c r="C77" s="1555">
        <v>0</v>
      </c>
      <c r="D77" s="1555">
        <v>0</v>
      </c>
      <c r="E77" s="1555">
        <v>0</v>
      </c>
      <c r="F77" s="1555">
        <v>0</v>
      </c>
      <c r="G77" s="1555">
        <v>0</v>
      </c>
      <c r="H77" s="1555">
        <v>0</v>
      </c>
      <c r="I77" s="1555">
        <v>0</v>
      </c>
      <c r="J77" s="1555">
        <v>0</v>
      </c>
      <c r="K77" s="1555">
        <v>0</v>
      </c>
      <c r="L77" s="1555">
        <v>0</v>
      </c>
      <c r="M77" s="1555">
        <v>0</v>
      </c>
      <c r="N77" s="1555">
        <v>0</v>
      </c>
      <c r="O77" s="1555">
        <v>0</v>
      </c>
      <c r="P77" s="1555">
        <v>0</v>
      </c>
      <c r="Q77" s="1555">
        <v>0</v>
      </c>
    </row>
    <row r="78" spans="1:17">
      <c r="A78" s="1554" t="s">
        <v>92</v>
      </c>
      <c r="B78" s="1555">
        <v>0</v>
      </c>
      <c r="C78" s="1555">
        <v>0</v>
      </c>
      <c r="D78" s="1555">
        <v>0</v>
      </c>
      <c r="E78" s="1555">
        <v>0</v>
      </c>
      <c r="F78" s="1555">
        <v>0</v>
      </c>
      <c r="G78" s="1555">
        <v>0</v>
      </c>
      <c r="H78" s="1555">
        <v>0</v>
      </c>
      <c r="I78" s="1555">
        <v>0</v>
      </c>
      <c r="J78" s="1555">
        <v>0</v>
      </c>
      <c r="K78" s="1555">
        <v>0</v>
      </c>
      <c r="L78" s="1555">
        <v>0</v>
      </c>
      <c r="M78" s="1555">
        <v>0</v>
      </c>
      <c r="N78" s="1555">
        <v>0</v>
      </c>
      <c r="O78" s="1555">
        <v>0</v>
      </c>
      <c r="P78" s="1555">
        <v>0</v>
      </c>
      <c r="Q78" s="1555">
        <v>0</v>
      </c>
    </row>
    <row r="79" spans="1:17">
      <c r="A79" s="1556" t="s">
        <v>731</v>
      </c>
      <c r="B79" s="1555">
        <v>0</v>
      </c>
      <c r="C79" s="1555">
        <v>0</v>
      </c>
      <c r="D79" s="1555">
        <v>0</v>
      </c>
      <c r="E79" s="1555">
        <v>0</v>
      </c>
      <c r="F79" s="1555">
        <v>0</v>
      </c>
      <c r="G79" s="1555">
        <v>0</v>
      </c>
      <c r="H79" s="1555">
        <v>0</v>
      </c>
      <c r="I79" s="1555">
        <v>0</v>
      </c>
      <c r="J79" s="1555">
        <v>0</v>
      </c>
      <c r="K79" s="1555">
        <v>0</v>
      </c>
      <c r="L79" s="1555">
        <v>0</v>
      </c>
      <c r="M79" s="1555">
        <v>0</v>
      </c>
      <c r="N79" s="1555">
        <v>0</v>
      </c>
      <c r="O79" s="1555">
        <v>0</v>
      </c>
      <c r="P79" s="1555">
        <v>0</v>
      </c>
      <c r="Q79" s="1555">
        <v>0</v>
      </c>
    </row>
    <row r="80" spans="1:17">
      <c r="A80" s="1556" t="s">
        <v>656</v>
      </c>
      <c r="B80" s="1555">
        <v>0</v>
      </c>
      <c r="C80" s="1555">
        <v>0</v>
      </c>
      <c r="D80" s="1555">
        <v>0</v>
      </c>
      <c r="E80" s="1555">
        <v>0</v>
      </c>
      <c r="F80" s="1555">
        <v>0</v>
      </c>
      <c r="G80" s="1555">
        <v>0</v>
      </c>
      <c r="H80" s="1555">
        <v>0</v>
      </c>
      <c r="I80" s="1555">
        <v>0</v>
      </c>
      <c r="J80" s="1555">
        <v>0</v>
      </c>
      <c r="K80" s="1555">
        <v>0</v>
      </c>
      <c r="L80" s="1555">
        <v>0</v>
      </c>
      <c r="M80" s="1555">
        <v>0</v>
      </c>
      <c r="N80" s="1555">
        <v>0</v>
      </c>
      <c r="O80" s="1555">
        <v>0</v>
      </c>
      <c r="P80" s="1555">
        <v>0</v>
      </c>
      <c r="Q80" s="1555">
        <v>0</v>
      </c>
    </row>
    <row r="81" spans="1:17">
      <c r="A81" s="1556" t="s">
        <v>658</v>
      </c>
      <c r="B81" s="1555">
        <v>0</v>
      </c>
      <c r="C81" s="1555">
        <v>0</v>
      </c>
      <c r="D81" s="1555">
        <v>0</v>
      </c>
      <c r="E81" s="1555">
        <v>0</v>
      </c>
      <c r="F81" s="1555">
        <v>0</v>
      </c>
      <c r="G81" s="1555">
        <v>0</v>
      </c>
      <c r="H81" s="1555">
        <v>0</v>
      </c>
      <c r="I81" s="1555">
        <v>0</v>
      </c>
      <c r="J81" s="1555">
        <v>0</v>
      </c>
      <c r="K81" s="1555">
        <v>0</v>
      </c>
      <c r="L81" s="1555">
        <v>0</v>
      </c>
      <c r="M81" s="1555">
        <v>0</v>
      </c>
      <c r="N81" s="1555">
        <v>0</v>
      </c>
      <c r="O81" s="1555">
        <v>0</v>
      </c>
      <c r="P81" s="1555">
        <v>0</v>
      </c>
      <c r="Q81" s="1555">
        <v>0</v>
      </c>
    </row>
    <row r="82" spans="1:17">
      <c r="A82" s="1556" t="s">
        <v>660</v>
      </c>
      <c r="B82" s="1555">
        <v>0</v>
      </c>
      <c r="C82" s="1555">
        <v>0</v>
      </c>
      <c r="D82" s="1555">
        <v>0</v>
      </c>
      <c r="E82" s="1555">
        <v>0</v>
      </c>
      <c r="F82" s="1555">
        <v>0</v>
      </c>
      <c r="G82" s="1555">
        <v>0</v>
      </c>
      <c r="H82" s="1555">
        <v>0</v>
      </c>
      <c r="I82" s="1555">
        <v>0</v>
      </c>
      <c r="J82" s="1555">
        <v>0</v>
      </c>
      <c r="K82" s="1555">
        <v>0</v>
      </c>
      <c r="L82" s="1555">
        <v>0</v>
      </c>
      <c r="M82" s="1555">
        <v>0</v>
      </c>
      <c r="N82" s="1555">
        <v>0</v>
      </c>
      <c r="O82" s="1555">
        <v>0</v>
      </c>
      <c r="P82" s="1555">
        <v>0</v>
      </c>
      <c r="Q82" s="1555">
        <v>0</v>
      </c>
    </row>
    <row r="83" spans="1:17">
      <c r="A83" s="1556" t="s">
        <v>662</v>
      </c>
      <c r="B83" s="1555">
        <v>0</v>
      </c>
      <c r="C83" s="1555">
        <v>0</v>
      </c>
      <c r="D83" s="1555">
        <v>0</v>
      </c>
      <c r="E83" s="1555">
        <v>0</v>
      </c>
      <c r="F83" s="1555">
        <v>0</v>
      </c>
      <c r="G83" s="1555">
        <v>0</v>
      </c>
      <c r="H83" s="1555">
        <v>0</v>
      </c>
      <c r="I83" s="1555">
        <v>0</v>
      </c>
      <c r="J83" s="1555">
        <v>0</v>
      </c>
      <c r="K83" s="1555">
        <v>0</v>
      </c>
      <c r="L83" s="1555">
        <v>0</v>
      </c>
      <c r="M83" s="1555">
        <v>0</v>
      </c>
      <c r="N83" s="1555">
        <v>0</v>
      </c>
      <c r="O83" s="1555">
        <v>0</v>
      </c>
      <c r="P83" s="1555">
        <v>0</v>
      </c>
      <c r="Q83" s="1555">
        <v>0</v>
      </c>
    </row>
    <row r="84" spans="1:17">
      <c r="A84" s="1556" t="s">
        <v>664</v>
      </c>
      <c r="B84" s="1555">
        <v>0</v>
      </c>
      <c r="C84" s="1555">
        <v>0</v>
      </c>
      <c r="D84" s="1555">
        <v>0</v>
      </c>
      <c r="E84" s="1555">
        <v>0</v>
      </c>
      <c r="F84" s="1555">
        <v>0</v>
      </c>
      <c r="G84" s="1555">
        <v>0</v>
      </c>
      <c r="H84" s="1555">
        <v>0</v>
      </c>
      <c r="I84" s="1555">
        <v>0</v>
      </c>
      <c r="J84" s="1555">
        <v>0</v>
      </c>
      <c r="K84" s="1555">
        <v>0</v>
      </c>
      <c r="L84" s="1555">
        <v>0</v>
      </c>
      <c r="M84" s="1555">
        <v>0</v>
      </c>
      <c r="N84" s="1555">
        <v>0</v>
      </c>
      <c r="O84" s="1555">
        <v>0</v>
      </c>
      <c r="P84" s="1555">
        <v>0</v>
      </c>
      <c r="Q84" s="1555">
        <v>0</v>
      </c>
    </row>
    <row r="85" spans="1:17">
      <c r="A85" s="1556" t="s">
        <v>666</v>
      </c>
      <c r="B85" s="1555">
        <v>0</v>
      </c>
      <c r="C85" s="1555">
        <v>0</v>
      </c>
      <c r="D85" s="1555">
        <v>0</v>
      </c>
      <c r="E85" s="1555">
        <v>0</v>
      </c>
      <c r="F85" s="1555">
        <v>0</v>
      </c>
      <c r="G85" s="1555">
        <v>0</v>
      </c>
      <c r="H85" s="1555">
        <v>0</v>
      </c>
      <c r="I85" s="1555">
        <v>0</v>
      </c>
      <c r="J85" s="1555">
        <v>0</v>
      </c>
      <c r="K85" s="1555">
        <v>0</v>
      </c>
      <c r="L85" s="1555">
        <v>0</v>
      </c>
      <c r="M85" s="1555">
        <v>0</v>
      </c>
      <c r="N85" s="1555">
        <v>0</v>
      </c>
      <c r="O85" s="1555">
        <v>0</v>
      </c>
      <c r="P85" s="1555">
        <v>0</v>
      </c>
      <c r="Q85" s="1555">
        <v>0</v>
      </c>
    </row>
    <row r="86" spans="1:17">
      <c r="A86" s="1556" t="s">
        <v>668</v>
      </c>
      <c r="B86" s="1555">
        <v>0</v>
      </c>
      <c r="C86" s="1555">
        <v>0</v>
      </c>
      <c r="D86" s="1555">
        <v>0</v>
      </c>
      <c r="E86" s="1555">
        <v>0</v>
      </c>
      <c r="F86" s="1555">
        <v>0</v>
      </c>
      <c r="G86" s="1555">
        <v>0</v>
      </c>
      <c r="H86" s="1555">
        <v>0</v>
      </c>
      <c r="I86" s="1555">
        <v>0</v>
      </c>
      <c r="J86" s="1555">
        <v>0</v>
      </c>
      <c r="K86" s="1555">
        <v>0</v>
      </c>
      <c r="L86" s="1555">
        <v>0</v>
      </c>
      <c r="M86" s="1555">
        <v>0</v>
      </c>
      <c r="N86" s="1555">
        <v>0</v>
      </c>
      <c r="O86" s="1555">
        <v>0</v>
      </c>
      <c r="P86" s="1555">
        <v>0</v>
      </c>
      <c r="Q86" s="1555">
        <v>0</v>
      </c>
    </row>
    <row r="87" spans="1:17">
      <c r="A87" s="1554" t="s">
        <v>6934</v>
      </c>
      <c r="B87" s="1555">
        <v>0</v>
      </c>
      <c r="C87" s="1555">
        <v>0</v>
      </c>
      <c r="D87" s="1555">
        <v>0</v>
      </c>
      <c r="E87" s="1555">
        <v>0</v>
      </c>
      <c r="F87" s="1555">
        <v>0</v>
      </c>
      <c r="G87" s="1555">
        <v>0</v>
      </c>
      <c r="H87" s="1555">
        <v>0</v>
      </c>
      <c r="I87" s="1555">
        <v>0</v>
      </c>
      <c r="J87" s="1555">
        <v>0</v>
      </c>
      <c r="K87" s="1555">
        <v>0</v>
      </c>
      <c r="L87" s="1555">
        <v>0</v>
      </c>
      <c r="M87" s="1555">
        <v>0</v>
      </c>
      <c r="N87" s="1555">
        <v>0</v>
      </c>
      <c r="O87" s="1555">
        <v>0</v>
      </c>
      <c r="P87" s="1555">
        <v>0</v>
      </c>
      <c r="Q87" s="1555">
        <v>0</v>
      </c>
    </row>
    <row r="88" spans="1:17">
      <c r="A88" s="1556" t="s">
        <v>731</v>
      </c>
      <c r="B88" s="1555">
        <v>0</v>
      </c>
      <c r="C88" s="1555">
        <v>0</v>
      </c>
      <c r="D88" s="1555">
        <v>0</v>
      </c>
      <c r="E88" s="1555">
        <v>0</v>
      </c>
      <c r="F88" s="1555">
        <v>0</v>
      </c>
      <c r="G88" s="1555">
        <v>0</v>
      </c>
      <c r="H88" s="1555">
        <v>0</v>
      </c>
      <c r="I88" s="1555">
        <v>0</v>
      </c>
      <c r="J88" s="1555">
        <v>0</v>
      </c>
      <c r="K88" s="1555">
        <v>0</v>
      </c>
      <c r="L88" s="1555">
        <v>0</v>
      </c>
      <c r="M88" s="1555">
        <v>0</v>
      </c>
      <c r="N88" s="1555">
        <v>0</v>
      </c>
      <c r="O88" s="1555">
        <v>0</v>
      </c>
      <c r="P88" s="1555">
        <v>0</v>
      </c>
      <c r="Q88" s="1555">
        <v>0</v>
      </c>
    </row>
    <row r="89" spans="1:17">
      <c r="A89" s="1556" t="s">
        <v>656</v>
      </c>
      <c r="B89" s="1555">
        <v>0</v>
      </c>
      <c r="C89" s="1555">
        <v>0</v>
      </c>
      <c r="D89" s="1555">
        <v>0</v>
      </c>
      <c r="E89" s="1555">
        <v>0</v>
      </c>
      <c r="F89" s="1555">
        <v>0</v>
      </c>
      <c r="G89" s="1555">
        <v>0</v>
      </c>
      <c r="H89" s="1555">
        <v>0</v>
      </c>
      <c r="I89" s="1555">
        <v>0</v>
      </c>
      <c r="J89" s="1555">
        <v>0</v>
      </c>
      <c r="K89" s="1555">
        <v>0</v>
      </c>
      <c r="L89" s="1555">
        <v>0</v>
      </c>
      <c r="M89" s="1555">
        <v>0</v>
      </c>
      <c r="N89" s="1555">
        <v>0</v>
      </c>
      <c r="O89" s="1555">
        <v>0</v>
      </c>
      <c r="P89" s="1555">
        <v>0</v>
      </c>
      <c r="Q89" s="1555">
        <v>0</v>
      </c>
    </row>
    <row r="90" spans="1:17">
      <c r="A90" s="1556" t="s">
        <v>658</v>
      </c>
      <c r="B90" s="1555">
        <v>0</v>
      </c>
      <c r="C90" s="1555">
        <v>0</v>
      </c>
      <c r="D90" s="1555">
        <v>0</v>
      </c>
      <c r="E90" s="1555">
        <v>0</v>
      </c>
      <c r="F90" s="1555">
        <v>0</v>
      </c>
      <c r="G90" s="1555">
        <v>0</v>
      </c>
      <c r="H90" s="1555">
        <v>0</v>
      </c>
      <c r="I90" s="1555">
        <v>0</v>
      </c>
      <c r="J90" s="1555">
        <v>0</v>
      </c>
      <c r="K90" s="1555">
        <v>0</v>
      </c>
      <c r="L90" s="1555">
        <v>0</v>
      </c>
      <c r="M90" s="1555">
        <v>0</v>
      </c>
      <c r="N90" s="1555">
        <v>0</v>
      </c>
      <c r="O90" s="1555">
        <v>0</v>
      </c>
      <c r="P90" s="1555">
        <v>0</v>
      </c>
      <c r="Q90" s="1555">
        <v>0</v>
      </c>
    </row>
    <row r="91" spans="1:17">
      <c r="A91" s="1556" t="s">
        <v>660</v>
      </c>
      <c r="B91" s="1555">
        <v>0</v>
      </c>
      <c r="C91" s="1555">
        <v>0</v>
      </c>
      <c r="D91" s="1555">
        <v>0</v>
      </c>
      <c r="E91" s="1555">
        <v>0</v>
      </c>
      <c r="F91" s="1555">
        <v>0</v>
      </c>
      <c r="G91" s="1555">
        <v>0</v>
      </c>
      <c r="H91" s="1555">
        <v>0</v>
      </c>
      <c r="I91" s="1555">
        <v>0</v>
      </c>
      <c r="J91" s="1555">
        <v>0</v>
      </c>
      <c r="K91" s="1555">
        <v>0</v>
      </c>
      <c r="L91" s="1555">
        <v>0</v>
      </c>
      <c r="M91" s="1555">
        <v>0</v>
      </c>
      <c r="N91" s="1555">
        <v>0</v>
      </c>
      <c r="O91" s="1555">
        <v>0</v>
      </c>
      <c r="P91" s="1555">
        <v>0</v>
      </c>
      <c r="Q91" s="1555">
        <v>0</v>
      </c>
    </row>
    <row r="92" spans="1:17">
      <c r="A92" s="1556" t="s">
        <v>662</v>
      </c>
      <c r="B92" s="1555">
        <v>0</v>
      </c>
      <c r="C92" s="1555">
        <v>0</v>
      </c>
      <c r="D92" s="1555">
        <v>0</v>
      </c>
      <c r="E92" s="1555">
        <v>0</v>
      </c>
      <c r="F92" s="1555">
        <v>0</v>
      </c>
      <c r="G92" s="1555">
        <v>0</v>
      </c>
      <c r="H92" s="1555">
        <v>0</v>
      </c>
      <c r="I92" s="1555">
        <v>0</v>
      </c>
      <c r="J92" s="1555">
        <v>0</v>
      </c>
      <c r="K92" s="1555">
        <v>0</v>
      </c>
      <c r="L92" s="1555">
        <v>0</v>
      </c>
      <c r="M92" s="1555">
        <v>0</v>
      </c>
      <c r="N92" s="1555">
        <v>0</v>
      </c>
      <c r="O92" s="1555">
        <v>0</v>
      </c>
      <c r="P92" s="1555">
        <v>0</v>
      </c>
      <c r="Q92" s="1555">
        <v>0</v>
      </c>
    </row>
    <row r="93" spans="1:17">
      <c r="A93" s="1556" t="s">
        <v>664</v>
      </c>
      <c r="B93" s="1555">
        <v>0</v>
      </c>
      <c r="C93" s="1555">
        <v>0</v>
      </c>
      <c r="D93" s="1555">
        <v>0</v>
      </c>
      <c r="E93" s="1555">
        <v>0</v>
      </c>
      <c r="F93" s="1555">
        <v>0</v>
      </c>
      <c r="G93" s="1555">
        <v>0</v>
      </c>
      <c r="H93" s="1555">
        <v>0</v>
      </c>
      <c r="I93" s="1555">
        <v>0</v>
      </c>
      <c r="J93" s="1555">
        <v>0</v>
      </c>
      <c r="K93" s="1555">
        <v>0</v>
      </c>
      <c r="L93" s="1555">
        <v>0</v>
      </c>
      <c r="M93" s="1555">
        <v>0</v>
      </c>
      <c r="N93" s="1555">
        <v>0</v>
      </c>
      <c r="O93" s="1555">
        <v>0</v>
      </c>
      <c r="P93" s="1555">
        <v>0</v>
      </c>
      <c r="Q93" s="1555">
        <v>0</v>
      </c>
    </row>
    <row r="94" spans="1:17">
      <c r="A94" s="1556" t="s">
        <v>666</v>
      </c>
      <c r="B94" s="1555">
        <v>0</v>
      </c>
      <c r="C94" s="1555">
        <v>0</v>
      </c>
      <c r="D94" s="1555">
        <v>0</v>
      </c>
      <c r="E94" s="1555">
        <v>0</v>
      </c>
      <c r="F94" s="1555">
        <v>0</v>
      </c>
      <c r="G94" s="1555">
        <v>0</v>
      </c>
      <c r="H94" s="1555">
        <v>0</v>
      </c>
      <c r="I94" s="1555">
        <v>0</v>
      </c>
      <c r="J94" s="1555">
        <v>0</v>
      </c>
      <c r="K94" s="1555">
        <v>0</v>
      </c>
      <c r="L94" s="1555">
        <v>0</v>
      </c>
      <c r="M94" s="1555">
        <v>0</v>
      </c>
      <c r="N94" s="1555">
        <v>0</v>
      </c>
      <c r="O94" s="1555">
        <v>0</v>
      </c>
      <c r="P94" s="1555">
        <v>0</v>
      </c>
      <c r="Q94" s="1555">
        <v>0</v>
      </c>
    </row>
    <row r="95" spans="1:17">
      <c r="A95" s="1556" t="s">
        <v>668</v>
      </c>
      <c r="B95" s="1555">
        <v>0</v>
      </c>
      <c r="C95" s="1555">
        <v>0</v>
      </c>
      <c r="D95" s="1555">
        <v>0</v>
      </c>
      <c r="E95" s="1555">
        <v>0</v>
      </c>
      <c r="F95" s="1555">
        <v>0</v>
      </c>
      <c r="G95" s="1555">
        <v>0</v>
      </c>
      <c r="H95" s="1555">
        <v>0</v>
      </c>
      <c r="I95" s="1555">
        <v>0</v>
      </c>
      <c r="J95" s="1555">
        <v>0</v>
      </c>
      <c r="K95" s="1555">
        <v>0</v>
      </c>
      <c r="L95" s="1555">
        <v>0</v>
      </c>
      <c r="M95" s="1555">
        <v>0</v>
      </c>
      <c r="N95" s="1555">
        <v>0</v>
      </c>
      <c r="O95" s="1555">
        <v>0</v>
      </c>
      <c r="P95" s="1555">
        <v>0</v>
      </c>
      <c r="Q95" s="1555">
        <v>0</v>
      </c>
    </row>
    <row r="96" spans="1:17">
      <c r="A96" s="1553" t="s">
        <v>801</v>
      </c>
      <c r="B96" s="1555">
        <v>0</v>
      </c>
      <c r="C96" s="1555">
        <v>0</v>
      </c>
      <c r="D96" s="1555">
        <v>0</v>
      </c>
      <c r="E96" s="1555">
        <v>0</v>
      </c>
      <c r="F96" s="1555">
        <v>0</v>
      </c>
      <c r="G96" s="1555">
        <v>0</v>
      </c>
      <c r="H96" s="1555">
        <v>0</v>
      </c>
      <c r="I96" s="1555">
        <v>0</v>
      </c>
      <c r="J96" s="1555">
        <v>0</v>
      </c>
      <c r="K96" s="1555">
        <v>0</v>
      </c>
      <c r="L96" s="1555">
        <v>0</v>
      </c>
      <c r="M96" s="1555">
        <v>0</v>
      </c>
      <c r="N96" s="1555">
        <v>0</v>
      </c>
      <c r="O96" s="1555">
        <v>0</v>
      </c>
      <c r="P96" s="1555">
        <v>0</v>
      </c>
      <c r="Q96" s="1555">
        <v>0</v>
      </c>
    </row>
    <row r="97" spans="1:17">
      <c r="A97" s="1554" t="s">
        <v>6938</v>
      </c>
      <c r="B97" s="1555">
        <v>0</v>
      </c>
      <c r="C97" s="1555">
        <v>0</v>
      </c>
      <c r="D97" s="1555">
        <v>0</v>
      </c>
      <c r="E97" s="1555">
        <v>0</v>
      </c>
      <c r="F97" s="1555">
        <v>0</v>
      </c>
      <c r="G97" s="1555">
        <v>0</v>
      </c>
      <c r="H97" s="1555">
        <v>0</v>
      </c>
      <c r="I97" s="1555">
        <v>0</v>
      </c>
      <c r="J97" s="1555">
        <v>0</v>
      </c>
      <c r="K97" s="1555">
        <v>0</v>
      </c>
      <c r="L97" s="1555">
        <v>0</v>
      </c>
      <c r="M97" s="1555">
        <v>0</v>
      </c>
      <c r="N97" s="1555">
        <v>0</v>
      </c>
      <c r="O97" s="1555">
        <v>0</v>
      </c>
      <c r="P97" s="1555">
        <v>0</v>
      </c>
      <c r="Q97" s="1555">
        <v>0</v>
      </c>
    </row>
    <row r="98" spans="1:17">
      <c r="A98" s="1556" t="s">
        <v>731</v>
      </c>
      <c r="B98" s="1555">
        <v>0</v>
      </c>
      <c r="C98" s="1555">
        <v>0</v>
      </c>
      <c r="D98" s="1555">
        <v>0</v>
      </c>
      <c r="E98" s="1555">
        <v>0</v>
      </c>
      <c r="F98" s="1555">
        <v>0</v>
      </c>
      <c r="G98" s="1555">
        <v>0</v>
      </c>
      <c r="H98" s="1555">
        <v>0</v>
      </c>
      <c r="I98" s="1555">
        <v>0</v>
      </c>
      <c r="J98" s="1555">
        <v>0</v>
      </c>
      <c r="K98" s="1555">
        <v>0</v>
      </c>
      <c r="L98" s="1555">
        <v>0</v>
      </c>
      <c r="M98" s="1555">
        <v>0</v>
      </c>
      <c r="N98" s="1555">
        <v>0</v>
      </c>
      <c r="O98" s="1555">
        <v>0</v>
      </c>
      <c r="P98" s="1555">
        <v>0</v>
      </c>
      <c r="Q98" s="1555">
        <v>0</v>
      </c>
    </row>
    <row r="99" spans="1:17">
      <c r="A99" s="1556" t="s">
        <v>656</v>
      </c>
      <c r="B99" s="1555">
        <v>0</v>
      </c>
      <c r="C99" s="1555">
        <v>0</v>
      </c>
      <c r="D99" s="1555">
        <v>0</v>
      </c>
      <c r="E99" s="1555">
        <v>0</v>
      </c>
      <c r="F99" s="1555">
        <v>0</v>
      </c>
      <c r="G99" s="1555">
        <v>0</v>
      </c>
      <c r="H99" s="1555">
        <v>0</v>
      </c>
      <c r="I99" s="1555">
        <v>0</v>
      </c>
      <c r="J99" s="1555">
        <v>0</v>
      </c>
      <c r="K99" s="1555">
        <v>0</v>
      </c>
      <c r="L99" s="1555">
        <v>0</v>
      </c>
      <c r="M99" s="1555">
        <v>0</v>
      </c>
      <c r="N99" s="1555">
        <v>0</v>
      </c>
      <c r="O99" s="1555">
        <v>0</v>
      </c>
      <c r="P99" s="1555">
        <v>0</v>
      </c>
      <c r="Q99" s="1555">
        <v>0</v>
      </c>
    </row>
    <row r="100" spans="1:17">
      <c r="A100" s="1556" t="s">
        <v>658</v>
      </c>
      <c r="B100" s="1555">
        <v>0</v>
      </c>
      <c r="C100" s="1555">
        <v>0</v>
      </c>
      <c r="D100" s="1555">
        <v>0</v>
      </c>
      <c r="E100" s="1555">
        <v>0</v>
      </c>
      <c r="F100" s="1555">
        <v>0</v>
      </c>
      <c r="G100" s="1555">
        <v>0</v>
      </c>
      <c r="H100" s="1555">
        <v>0</v>
      </c>
      <c r="I100" s="1555">
        <v>0</v>
      </c>
      <c r="J100" s="1555">
        <v>0</v>
      </c>
      <c r="K100" s="1555">
        <v>0</v>
      </c>
      <c r="L100" s="1555">
        <v>0</v>
      </c>
      <c r="M100" s="1555">
        <v>0</v>
      </c>
      <c r="N100" s="1555">
        <v>0</v>
      </c>
      <c r="O100" s="1555">
        <v>0</v>
      </c>
      <c r="P100" s="1555">
        <v>0</v>
      </c>
      <c r="Q100" s="1555">
        <v>0</v>
      </c>
    </row>
    <row r="101" spans="1:17">
      <c r="A101" s="1556" t="s">
        <v>660</v>
      </c>
      <c r="B101" s="1555">
        <v>0</v>
      </c>
      <c r="C101" s="1555">
        <v>0</v>
      </c>
      <c r="D101" s="1555">
        <v>0</v>
      </c>
      <c r="E101" s="1555">
        <v>0</v>
      </c>
      <c r="F101" s="1555">
        <v>0</v>
      </c>
      <c r="G101" s="1555">
        <v>0</v>
      </c>
      <c r="H101" s="1555">
        <v>0</v>
      </c>
      <c r="I101" s="1555">
        <v>0</v>
      </c>
      <c r="J101" s="1555">
        <v>0</v>
      </c>
      <c r="K101" s="1555">
        <v>0</v>
      </c>
      <c r="L101" s="1555">
        <v>0</v>
      </c>
      <c r="M101" s="1555">
        <v>0</v>
      </c>
      <c r="N101" s="1555">
        <v>0</v>
      </c>
      <c r="O101" s="1555">
        <v>0</v>
      </c>
      <c r="P101" s="1555">
        <v>0</v>
      </c>
      <c r="Q101" s="1555">
        <v>0</v>
      </c>
    </row>
    <row r="102" spans="1:17">
      <c r="A102" s="1556" t="s">
        <v>662</v>
      </c>
      <c r="B102" s="1555">
        <v>0</v>
      </c>
      <c r="C102" s="1555">
        <v>0</v>
      </c>
      <c r="D102" s="1555">
        <v>0</v>
      </c>
      <c r="E102" s="1555">
        <v>0</v>
      </c>
      <c r="F102" s="1555">
        <v>0</v>
      </c>
      <c r="G102" s="1555">
        <v>0</v>
      </c>
      <c r="H102" s="1555">
        <v>0</v>
      </c>
      <c r="I102" s="1555">
        <v>0</v>
      </c>
      <c r="J102" s="1555">
        <v>0</v>
      </c>
      <c r="K102" s="1555">
        <v>0</v>
      </c>
      <c r="L102" s="1555">
        <v>0</v>
      </c>
      <c r="M102" s="1555">
        <v>0</v>
      </c>
      <c r="N102" s="1555">
        <v>0</v>
      </c>
      <c r="O102" s="1555">
        <v>0</v>
      </c>
      <c r="P102" s="1555">
        <v>0</v>
      </c>
      <c r="Q102" s="1555">
        <v>0</v>
      </c>
    </row>
    <row r="103" spans="1:17">
      <c r="A103" s="1556" t="s">
        <v>664</v>
      </c>
      <c r="B103" s="1555">
        <v>0</v>
      </c>
      <c r="C103" s="1555">
        <v>0</v>
      </c>
      <c r="D103" s="1555">
        <v>0</v>
      </c>
      <c r="E103" s="1555">
        <v>0</v>
      </c>
      <c r="F103" s="1555">
        <v>0</v>
      </c>
      <c r="G103" s="1555">
        <v>0</v>
      </c>
      <c r="H103" s="1555">
        <v>0</v>
      </c>
      <c r="I103" s="1555">
        <v>0</v>
      </c>
      <c r="J103" s="1555">
        <v>0</v>
      </c>
      <c r="K103" s="1555">
        <v>0</v>
      </c>
      <c r="L103" s="1555">
        <v>0</v>
      </c>
      <c r="M103" s="1555">
        <v>0</v>
      </c>
      <c r="N103" s="1555">
        <v>0</v>
      </c>
      <c r="O103" s="1555">
        <v>0</v>
      </c>
      <c r="P103" s="1555">
        <v>0</v>
      </c>
      <c r="Q103" s="1555">
        <v>0</v>
      </c>
    </row>
    <row r="104" spans="1:17">
      <c r="A104" s="1556" t="s">
        <v>666</v>
      </c>
      <c r="B104" s="1555">
        <v>0</v>
      </c>
      <c r="C104" s="1555">
        <v>0</v>
      </c>
      <c r="D104" s="1555">
        <v>0</v>
      </c>
      <c r="E104" s="1555">
        <v>0</v>
      </c>
      <c r="F104" s="1555">
        <v>0</v>
      </c>
      <c r="G104" s="1555">
        <v>0</v>
      </c>
      <c r="H104" s="1555">
        <v>0</v>
      </c>
      <c r="I104" s="1555">
        <v>0</v>
      </c>
      <c r="J104" s="1555">
        <v>0</v>
      </c>
      <c r="K104" s="1555">
        <v>0</v>
      </c>
      <c r="L104" s="1555">
        <v>0</v>
      </c>
      <c r="M104" s="1555">
        <v>0</v>
      </c>
      <c r="N104" s="1555">
        <v>0</v>
      </c>
      <c r="O104" s="1555">
        <v>0</v>
      </c>
      <c r="P104" s="1555">
        <v>0</v>
      </c>
      <c r="Q104" s="1555">
        <v>0</v>
      </c>
    </row>
    <row r="105" spans="1:17">
      <c r="A105" s="1556" t="s">
        <v>668</v>
      </c>
      <c r="B105" s="1555">
        <v>0</v>
      </c>
      <c r="C105" s="1555">
        <v>0</v>
      </c>
      <c r="D105" s="1555">
        <v>0</v>
      </c>
      <c r="E105" s="1555">
        <v>0</v>
      </c>
      <c r="F105" s="1555">
        <v>0</v>
      </c>
      <c r="G105" s="1555">
        <v>0</v>
      </c>
      <c r="H105" s="1555">
        <v>0</v>
      </c>
      <c r="I105" s="1555">
        <v>0</v>
      </c>
      <c r="J105" s="1555">
        <v>0</v>
      </c>
      <c r="K105" s="1555">
        <v>0</v>
      </c>
      <c r="L105" s="1555">
        <v>0</v>
      </c>
      <c r="M105" s="1555">
        <v>0</v>
      </c>
      <c r="N105" s="1555">
        <v>0</v>
      </c>
      <c r="O105" s="1555">
        <v>0</v>
      </c>
      <c r="P105" s="1555">
        <v>0</v>
      </c>
      <c r="Q105" s="1555">
        <v>0</v>
      </c>
    </row>
    <row r="106" spans="1:17">
      <c r="A106" s="1554" t="s">
        <v>6939</v>
      </c>
      <c r="B106" s="1555">
        <v>0</v>
      </c>
      <c r="C106" s="1555">
        <v>0</v>
      </c>
      <c r="D106" s="1555">
        <v>0</v>
      </c>
      <c r="E106" s="1555">
        <v>0</v>
      </c>
      <c r="F106" s="1555">
        <v>0</v>
      </c>
      <c r="G106" s="1555">
        <v>0</v>
      </c>
      <c r="H106" s="1555">
        <v>0</v>
      </c>
      <c r="I106" s="1555">
        <v>0</v>
      </c>
      <c r="J106" s="1555">
        <v>0</v>
      </c>
      <c r="K106" s="1555">
        <v>0</v>
      </c>
      <c r="L106" s="1555">
        <v>0</v>
      </c>
      <c r="M106" s="1555">
        <v>0</v>
      </c>
      <c r="N106" s="1555">
        <v>0</v>
      </c>
      <c r="O106" s="1555">
        <v>0</v>
      </c>
      <c r="P106" s="1555">
        <v>0</v>
      </c>
      <c r="Q106" s="1555">
        <v>0</v>
      </c>
    </row>
    <row r="107" spans="1:17">
      <c r="A107" s="1556" t="s">
        <v>731</v>
      </c>
      <c r="B107" s="1555">
        <v>0</v>
      </c>
      <c r="C107" s="1555">
        <v>0</v>
      </c>
      <c r="D107" s="1555">
        <v>0</v>
      </c>
      <c r="E107" s="1555">
        <v>0</v>
      </c>
      <c r="F107" s="1555">
        <v>0</v>
      </c>
      <c r="G107" s="1555">
        <v>0</v>
      </c>
      <c r="H107" s="1555">
        <v>0</v>
      </c>
      <c r="I107" s="1555">
        <v>0</v>
      </c>
      <c r="J107" s="1555">
        <v>0</v>
      </c>
      <c r="K107" s="1555">
        <v>0</v>
      </c>
      <c r="L107" s="1555">
        <v>0</v>
      </c>
      <c r="M107" s="1555">
        <v>0</v>
      </c>
      <c r="N107" s="1555">
        <v>0</v>
      </c>
      <c r="O107" s="1555">
        <v>0</v>
      </c>
      <c r="P107" s="1555">
        <v>0</v>
      </c>
      <c r="Q107" s="1555">
        <v>0</v>
      </c>
    </row>
    <row r="108" spans="1:17">
      <c r="A108" s="1556" t="s">
        <v>656</v>
      </c>
      <c r="B108" s="1555">
        <v>0</v>
      </c>
      <c r="C108" s="1555">
        <v>0</v>
      </c>
      <c r="D108" s="1555">
        <v>0</v>
      </c>
      <c r="E108" s="1555">
        <v>0</v>
      </c>
      <c r="F108" s="1555">
        <v>0</v>
      </c>
      <c r="G108" s="1555">
        <v>0</v>
      </c>
      <c r="H108" s="1555">
        <v>0</v>
      </c>
      <c r="I108" s="1555">
        <v>0</v>
      </c>
      <c r="J108" s="1555">
        <v>0</v>
      </c>
      <c r="K108" s="1555">
        <v>0</v>
      </c>
      <c r="L108" s="1555">
        <v>0</v>
      </c>
      <c r="M108" s="1555">
        <v>0</v>
      </c>
      <c r="N108" s="1555">
        <v>0</v>
      </c>
      <c r="O108" s="1555">
        <v>0</v>
      </c>
      <c r="P108" s="1555">
        <v>0</v>
      </c>
      <c r="Q108" s="1555">
        <v>0</v>
      </c>
    </row>
    <row r="109" spans="1:17">
      <c r="A109" s="1556" t="s">
        <v>658</v>
      </c>
      <c r="B109" s="1555">
        <v>0</v>
      </c>
      <c r="C109" s="1555">
        <v>0</v>
      </c>
      <c r="D109" s="1555">
        <v>0</v>
      </c>
      <c r="E109" s="1555">
        <v>0</v>
      </c>
      <c r="F109" s="1555">
        <v>0</v>
      </c>
      <c r="G109" s="1555">
        <v>0</v>
      </c>
      <c r="H109" s="1555">
        <v>0</v>
      </c>
      <c r="I109" s="1555">
        <v>0</v>
      </c>
      <c r="J109" s="1555">
        <v>0</v>
      </c>
      <c r="K109" s="1555">
        <v>0</v>
      </c>
      <c r="L109" s="1555">
        <v>0</v>
      </c>
      <c r="M109" s="1555">
        <v>0</v>
      </c>
      <c r="N109" s="1555">
        <v>0</v>
      </c>
      <c r="O109" s="1555">
        <v>0</v>
      </c>
      <c r="P109" s="1555">
        <v>0</v>
      </c>
      <c r="Q109" s="1555">
        <v>0</v>
      </c>
    </row>
    <row r="110" spans="1:17">
      <c r="A110" s="1556" t="s">
        <v>660</v>
      </c>
      <c r="B110" s="1555">
        <v>0</v>
      </c>
      <c r="C110" s="1555">
        <v>0</v>
      </c>
      <c r="D110" s="1555">
        <v>0</v>
      </c>
      <c r="E110" s="1555">
        <v>0</v>
      </c>
      <c r="F110" s="1555">
        <v>0</v>
      </c>
      <c r="G110" s="1555">
        <v>0</v>
      </c>
      <c r="H110" s="1555">
        <v>0</v>
      </c>
      <c r="I110" s="1555">
        <v>0</v>
      </c>
      <c r="J110" s="1555">
        <v>0</v>
      </c>
      <c r="K110" s="1555">
        <v>0</v>
      </c>
      <c r="L110" s="1555">
        <v>0</v>
      </c>
      <c r="M110" s="1555">
        <v>0</v>
      </c>
      <c r="N110" s="1555">
        <v>0</v>
      </c>
      <c r="O110" s="1555">
        <v>0</v>
      </c>
      <c r="P110" s="1555">
        <v>0</v>
      </c>
      <c r="Q110" s="1555">
        <v>0</v>
      </c>
    </row>
    <row r="111" spans="1:17">
      <c r="A111" s="1556" t="s">
        <v>662</v>
      </c>
      <c r="B111" s="1555">
        <v>0</v>
      </c>
      <c r="C111" s="1555">
        <v>0</v>
      </c>
      <c r="D111" s="1555">
        <v>0</v>
      </c>
      <c r="E111" s="1555">
        <v>0</v>
      </c>
      <c r="F111" s="1555">
        <v>0</v>
      </c>
      <c r="G111" s="1555">
        <v>0</v>
      </c>
      <c r="H111" s="1555">
        <v>0</v>
      </c>
      <c r="I111" s="1555">
        <v>0</v>
      </c>
      <c r="J111" s="1555">
        <v>0</v>
      </c>
      <c r="K111" s="1555">
        <v>0</v>
      </c>
      <c r="L111" s="1555">
        <v>0</v>
      </c>
      <c r="M111" s="1555">
        <v>0</v>
      </c>
      <c r="N111" s="1555">
        <v>0</v>
      </c>
      <c r="O111" s="1555">
        <v>0</v>
      </c>
      <c r="P111" s="1555">
        <v>0</v>
      </c>
      <c r="Q111" s="1555">
        <v>0</v>
      </c>
    </row>
    <row r="112" spans="1:17">
      <c r="A112" s="1556" t="s">
        <v>664</v>
      </c>
      <c r="B112" s="1555">
        <v>0</v>
      </c>
      <c r="C112" s="1555">
        <v>0</v>
      </c>
      <c r="D112" s="1555">
        <v>0</v>
      </c>
      <c r="E112" s="1555">
        <v>0</v>
      </c>
      <c r="F112" s="1555">
        <v>0</v>
      </c>
      <c r="G112" s="1555">
        <v>0</v>
      </c>
      <c r="H112" s="1555">
        <v>0</v>
      </c>
      <c r="I112" s="1555">
        <v>0</v>
      </c>
      <c r="J112" s="1555">
        <v>0</v>
      </c>
      <c r="K112" s="1555">
        <v>0</v>
      </c>
      <c r="L112" s="1555">
        <v>0</v>
      </c>
      <c r="M112" s="1555">
        <v>0</v>
      </c>
      <c r="N112" s="1555">
        <v>0</v>
      </c>
      <c r="O112" s="1555">
        <v>0</v>
      </c>
      <c r="P112" s="1555">
        <v>0</v>
      </c>
      <c r="Q112" s="1555">
        <v>0</v>
      </c>
    </row>
    <row r="113" spans="1:17">
      <c r="A113" s="1556" t="s">
        <v>666</v>
      </c>
      <c r="B113" s="1555">
        <v>0</v>
      </c>
      <c r="C113" s="1555">
        <v>0</v>
      </c>
      <c r="D113" s="1555">
        <v>0</v>
      </c>
      <c r="E113" s="1555">
        <v>0</v>
      </c>
      <c r="F113" s="1555">
        <v>0</v>
      </c>
      <c r="G113" s="1555">
        <v>0</v>
      </c>
      <c r="H113" s="1555">
        <v>0</v>
      </c>
      <c r="I113" s="1555">
        <v>0</v>
      </c>
      <c r="J113" s="1555">
        <v>0</v>
      </c>
      <c r="K113" s="1555">
        <v>0</v>
      </c>
      <c r="L113" s="1555">
        <v>0</v>
      </c>
      <c r="M113" s="1555">
        <v>0</v>
      </c>
      <c r="N113" s="1555">
        <v>0</v>
      </c>
      <c r="O113" s="1555">
        <v>0</v>
      </c>
      <c r="P113" s="1555">
        <v>0</v>
      </c>
      <c r="Q113" s="1555">
        <v>0</v>
      </c>
    </row>
    <row r="114" spans="1:17">
      <c r="A114" s="1556" t="s">
        <v>668</v>
      </c>
      <c r="B114" s="1555">
        <v>0</v>
      </c>
      <c r="C114" s="1555">
        <v>0</v>
      </c>
      <c r="D114" s="1555">
        <v>0</v>
      </c>
      <c r="E114" s="1555">
        <v>0</v>
      </c>
      <c r="F114" s="1555">
        <v>0</v>
      </c>
      <c r="G114" s="1555">
        <v>0</v>
      </c>
      <c r="H114" s="1555">
        <v>0</v>
      </c>
      <c r="I114" s="1555">
        <v>0</v>
      </c>
      <c r="J114" s="1555">
        <v>0</v>
      </c>
      <c r="K114" s="1555">
        <v>0</v>
      </c>
      <c r="L114" s="1555">
        <v>0</v>
      </c>
      <c r="M114" s="1555">
        <v>0</v>
      </c>
      <c r="N114" s="1555">
        <v>0</v>
      </c>
      <c r="O114" s="1555">
        <v>0</v>
      </c>
      <c r="P114" s="1555">
        <v>0</v>
      </c>
      <c r="Q114" s="1555">
        <v>0</v>
      </c>
    </row>
    <row r="115" spans="1:17">
      <c r="A115" s="1554" t="s">
        <v>6933</v>
      </c>
      <c r="B115" s="1555">
        <v>0</v>
      </c>
      <c r="C115" s="1555">
        <v>0</v>
      </c>
      <c r="D115" s="1555">
        <v>0</v>
      </c>
      <c r="E115" s="1555">
        <v>0</v>
      </c>
      <c r="F115" s="1555">
        <v>0</v>
      </c>
      <c r="G115" s="1555">
        <v>0</v>
      </c>
      <c r="H115" s="1555">
        <v>0</v>
      </c>
      <c r="I115" s="1555">
        <v>0</v>
      </c>
      <c r="J115" s="1555">
        <v>0</v>
      </c>
      <c r="K115" s="1555">
        <v>0</v>
      </c>
      <c r="L115" s="1555">
        <v>0</v>
      </c>
      <c r="M115" s="1555">
        <v>0</v>
      </c>
      <c r="N115" s="1555">
        <v>0</v>
      </c>
      <c r="O115" s="1555">
        <v>0</v>
      </c>
      <c r="P115" s="1555">
        <v>0</v>
      </c>
      <c r="Q115" s="1555">
        <v>0</v>
      </c>
    </row>
    <row r="116" spans="1:17">
      <c r="A116" s="1556" t="s">
        <v>731</v>
      </c>
      <c r="B116" s="1555">
        <v>0</v>
      </c>
      <c r="C116" s="1555">
        <v>0</v>
      </c>
      <c r="D116" s="1555">
        <v>0</v>
      </c>
      <c r="E116" s="1555">
        <v>0</v>
      </c>
      <c r="F116" s="1555">
        <v>0</v>
      </c>
      <c r="G116" s="1555">
        <v>0</v>
      </c>
      <c r="H116" s="1555">
        <v>0</v>
      </c>
      <c r="I116" s="1555">
        <v>0</v>
      </c>
      <c r="J116" s="1555">
        <v>0</v>
      </c>
      <c r="K116" s="1555">
        <v>0</v>
      </c>
      <c r="L116" s="1555">
        <v>0</v>
      </c>
      <c r="M116" s="1555">
        <v>0</v>
      </c>
      <c r="N116" s="1555">
        <v>0</v>
      </c>
      <c r="O116" s="1555">
        <v>0</v>
      </c>
      <c r="P116" s="1555">
        <v>0</v>
      </c>
      <c r="Q116" s="1555">
        <v>0</v>
      </c>
    </row>
    <row r="117" spans="1:17">
      <c r="A117" s="1556" t="s">
        <v>656</v>
      </c>
      <c r="B117" s="1555">
        <v>0</v>
      </c>
      <c r="C117" s="1555">
        <v>0</v>
      </c>
      <c r="D117" s="1555">
        <v>0</v>
      </c>
      <c r="E117" s="1555">
        <v>0</v>
      </c>
      <c r="F117" s="1555">
        <v>0</v>
      </c>
      <c r="G117" s="1555">
        <v>0</v>
      </c>
      <c r="H117" s="1555">
        <v>0</v>
      </c>
      <c r="I117" s="1555">
        <v>0</v>
      </c>
      <c r="J117" s="1555">
        <v>0</v>
      </c>
      <c r="K117" s="1555">
        <v>0</v>
      </c>
      <c r="L117" s="1555">
        <v>0</v>
      </c>
      <c r="M117" s="1555">
        <v>0</v>
      </c>
      <c r="N117" s="1555">
        <v>0</v>
      </c>
      <c r="O117" s="1555">
        <v>0</v>
      </c>
      <c r="P117" s="1555">
        <v>0</v>
      </c>
      <c r="Q117" s="1555">
        <v>0</v>
      </c>
    </row>
    <row r="118" spans="1:17">
      <c r="A118" s="1556" t="s">
        <v>658</v>
      </c>
      <c r="B118" s="1555">
        <v>0</v>
      </c>
      <c r="C118" s="1555">
        <v>0</v>
      </c>
      <c r="D118" s="1555">
        <v>0</v>
      </c>
      <c r="E118" s="1555">
        <v>0</v>
      </c>
      <c r="F118" s="1555">
        <v>0</v>
      </c>
      <c r="G118" s="1555">
        <v>0</v>
      </c>
      <c r="H118" s="1555">
        <v>0</v>
      </c>
      <c r="I118" s="1555">
        <v>0</v>
      </c>
      <c r="J118" s="1555">
        <v>0</v>
      </c>
      <c r="K118" s="1555">
        <v>0</v>
      </c>
      <c r="L118" s="1555">
        <v>0</v>
      </c>
      <c r="M118" s="1555">
        <v>0</v>
      </c>
      <c r="N118" s="1555">
        <v>0</v>
      </c>
      <c r="O118" s="1555">
        <v>0</v>
      </c>
      <c r="P118" s="1555">
        <v>0</v>
      </c>
      <c r="Q118" s="1555">
        <v>0</v>
      </c>
    </row>
    <row r="119" spans="1:17">
      <c r="A119" s="1556" t="s">
        <v>660</v>
      </c>
      <c r="B119" s="1555">
        <v>0</v>
      </c>
      <c r="C119" s="1555">
        <v>0</v>
      </c>
      <c r="D119" s="1555">
        <v>0</v>
      </c>
      <c r="E119" s="1555">
        <v>0</v>
      </c>
      <c r="F119" s="1555">
        <v>0</v>
      </c>
      <c r="G119" s="1555">
        <v>0</v>
      </c>
      <c r="H119" s="1555">
        <v>0</v>
      </c>
      <c r="I119" s="1555">
        <v>0</v>
      </c>
      <c r="J119" s="1555">
        <v>0</v>
      </c>
      <c r="K119" s="1555">
        <v>0</v>
      </c>
      <c r="L119" s="1555">
        <v>0</v>
      </c>
      <c r="M119" s="1555">
        <v>0</v>
      </c>
      <c r="N119" s="1555">
        <v>0</v>
      </c>
      <c r="O119" s="1555">
        <v>0</v>
      </c>
      <c r="P119" s="1555">
        <v>0</v>
      </c>
      <c r="Q119" s="1555">
        <v>0</v>
      </c>
    </row>
    <row r="120" spans="1:17">
      <c r="A120" s="1556" t="s">
        <v>662</v>
      </c>
      <c r="B120" s="1555">
        <v>0</v>
      </c>
      <c r="C120" s="1555">
        <v>0</v>
      </c>
      <c r="D120" s="1555">
        <v>0</v>
      </c>
      <c r="E120" s="1555">
        <v>0</v>
      </c>
      <c r="F120" s="1555">
        <v>0</v>
      </c>
      <c r="G120" s="1555">
        <v>0</v>
      </c>
      <c r="H120" s="1555">
        <v>0</v>
      </c>
      <c r="I120" s="1555">
        <v>0</v>
      </c>
      <c r="J120" s="1555">
        <v>0</v>
      </c>
      <c r="K120" s="1555">
        <v>0</v>
      </c>
      <c r="L120" s="1555">
        <v>0</v>
      </c>
      <c r="M120" s="1555">
        <v>0</v>
      </c>
      <c r="N120" s="1555">
        <v>0</v>
      </c>
      <c r="O120" s="1555">
        <v>0</v>
      </c>
      <c r="P120" s="1555">
        <v>0</v>
      </c>
      <c r="Q120" s="1555">
        <v>0</v>
      </c>
    </row>
    <row r="121" spans="1:17">
      <c r="A121" s="1556" t="s">
        <v>664</v>
      </c>
      <c r="B121" s="1555">
        <v>0</v>
      </c>
      <c r="C121" s="1555">
        <v>0</v>
      </c>
      <c r="D121" s="1555">
        <v>0</v>
      </c>
      <c r="E121" s="1555">
        <v>0</v>
      </c>
      <c r="F121" s="1555">
        <v>0</v>
      </c>
      <c r="G121" s="1555">
        <v>0</v>
      </c>
      <c r="H121" s="1555">
        <v>0</v>
      </c>
      <c r="I121" s="1555">
        <v>0</v>
      </c>
      <c r="J121" s="1555">
        <v>0</v>
      </c>
      <c r="K121" s="1555">
        <v>0</v>
      </c>
      <c r="L121" s="1555">
        <v>0</v>
      </c>
      <c r="M121" s="1555">
        <v>0</v>
      </c>
      <c r="N121" s="1555">
        <v>0</v>
      </c>
      <c r="O121" s="1555">
        <v>0</v>
      </c>
      <c r="P121" s="1555">
        <v>0</v>
      </c>
      <c r="Q121" s="1555">
        <v>0</v>
      </c>
    </row>
    <row r="122" spans="1:17">
      <c r="A122" s="1556" t="s">
        <v>666</v>
      </c>
      <c r="B122" s="1555">
        <v>0</v>
      </c>
      <c r="C122" s="1555">
        <v>0</v>
      </c>
      <c r="D122" s="1555">
        <v>0</v>
      </c>
      <c r="E122" s="1555">
        <v>0</v>
      </c>
      <c r="F122" s="1555">
        <v>0</v>
      </c>
      <c r="G122" s="1555">
        <v>0</v>
      </c>
      <c r="H122" s="1555">
        <v>0</v>
      </c>
      <c r="I122" s="1555">
        <v>0</v>
      </c>
      <c r="J122" s="1555">
        <v>0</v>
      </c>
      <c r="K122" s="1555">
        <v>0</v>
      </c>
      <c r="L122" s="1555">
        <v>0</v>
      </c>
      <c r="M122" s="1555">
        <v>0</v>
      </c>
      <c r="N122" s="1555">
        <v>0</v>
      </c>
      <c r="O122" s="1555">
        <v>0</v>
      </c>
      <c r="P122" s="1555">
        <v>0</v>
      </c>
      <c r="Q122" s="1555">
        <v>0</v>
      </c>
    </row>
    <row r="123" spans="1:17">
      <c r="A123" s="1556" t="s">
        <v>668</v>
      </c>
      <c r="B123" s="1555">
        <v>0</v>
      </c>
      <c r="C123" s="1555">
        <v>0</v>
      </c>
      <c r="D123" s="1555">
        <v>0</v>
      </c>
      <c r="E123" s="1555">
        <v>0</v>
      </c>
      <c r="F123" s="1555">
        <v>0</v>
      </c>
      <c r="G123" s="1555">
        <v>0</v>
      </c>
      <c r="H123" s="1555">
        <v>0</v>
      </c>
      <c r="I123" s="1555">
        <v>0</v>
      </c>
      <c r="J123" s="1555">
        <v>0</v>
      </c>
      <c r="K123" s="1555">
        <v>0</v>
      </c>
      <c r="L123" s="1555">
        <v>0</v>
      </c>
      <c r="M123" s="1555">
        <v>0</v>
      </c>
      <c r="N123" s="1555">
        <v>0</v>
      </c>
      <c r="O123" s="1555">
        <v>0</v>
      </c>
      <c r="P123" s="1555">
        <v>0</v>
      </c>
      <c r="Q123" s="1555">
        <v>0</v>
      </c>
    </row>
    <row r="124" spans="1:17">
      <c r="A124" s="1554" t="s">
        <v>6940</v>
      </c>
      <c r="B124" s="1555">
        <v>0</v>
      </c>
      <c r="C124" s="1555">
        <v>0</v>
      </c>
      <c r="D124" s="1555">
        <v>0</v>
      </c>
      <c r="E124" s="1555">
        <v>0</v>
      </c>
      <c r="F124" s="1555">
        <v>0</v>
      </c>
      <c r="G124" s="1555">
        <v>0</v>
      </c>
      <c r="H124" s="1555">
        <v>0</v>
      </c>
      <c r="I124" s="1555">
        <v>0</v>
      </c>
      <c r="J124" s="1555">
        <v>0</v>
      </c>
      <c r="K124" s="1555">
        <v>0</v>
      </c>
      <c r="L124" s="1555">
        <v>0</v>
      </c>
      <c r="M124" s="1555">
        <v>0</v>
      </c>
      <c r="N124" s="1555">
        <v>0</v>
      </c>
      <c r="O124" s="1555">
        <v>0</v>
      </c>
      <c r="P124" s="1555">
        <v>0</v>
      </c>
      <c r="Q124" s="1555">
        <v>0</v>
      </c>
    </row>
    <row r="125" spans="1:17">
      <c r="A125" s="1556" t="s">
        <v>731</v>
      </c>
      <c r="B125" s="1555">
        <v>0</v>
      </c>
      <c r="C125" s="1555">
        <v>0</v>
      </c>
      <c r="D125" s="1555">
        <v>0</v>
      </c>
      <c r="E125" s="1555">
        <v>0</v>
      </c>
      <c r="F125" s="1555">
        <v>0</v>
      </c>
      <c r="G125" s="1555">
        <v>0</v>
      </c>
      <c r="H125" s="1555">
        <v>0</v>
      </c>
      <c r="I125" s="1555">
        <v>0</v>
      </c>
      <c r="J125" s="1555">
        <v>0</v>
      </c>
      <c r="K125" s="1555">
        <v>0</v>
      </c>
      <c r="L125" s="1555">
        <v>0</v>
      </c>
      <c r="M125" s="1555">
        <v>0</v>
      </c>
      <c r="N125" s="1555">
        <v>0</v>
      </c>
      <c r="O125" s="1555">
        <v>0</v>
      </c>
      <c r="P125" s="1555">
        <v>0</v>
      </c>
      <c r="Q125" s="1555">
        <v>0</v>
      </c>
    </row>
    <row r="126" spans="1:17">
      <c r="A126" s="1556" t="s">
        <v>656</v>
      </c>
      <c r="B126" s="1555">
        <v>0</v>
      </c>
      <c r="C126" s="1555">
        <v>0</v>
      </c>
      <c r="D126" s="1555">
        <v>0</v>
      </c>
      <c r="E126" s="1555">
        <v>0</v>
      </c>
      <c r="F126" s="1555">
        <v>0</v>
      </c>
      <c r="G126" s="1555">
        <v>0</v>
      </c>
      <c r="H126" s="1555">
        <v>0</v>
      </c>
      <c r="I126" s="1555">
        <v>0</v>
      </c>
      <c r="J126" s="1555">
        <v>0</v>
      </c>
      <c r="K126" s="1555">
        <v>0</v>
      </c>
      <c r="L126" s="1555">
        <v>0</v>
      </c>
      <c r="M126" s="1555">
        <v>0</v>
      </c>
      <c r="N126" s="1555">
        <v>0</v>
      </c>
      <c r="O126" s="1555">
        <v>0</v>
      </c>
      <c r="P126" s="1555">
        <v>0</v>
      </c>
      <c r="Q126" s="1555">
        <v>0</v>
      </c>
    </row>
    <row r="127" spans="1:17">
      <c r="A127" s="1556" t="s">
        <v>658</v>
      </c>
      <c r="B127" s="1555">
        <v>0</v>
      </c>
      <c r="C127" s="1555">
        <v>0</v>
      </c>
      <c r="D127" s="1555">
        <v>0</v>
      </c>
      <c r="E127" s="1555">
        <v>0</v>
      </c>
      <c r="F127" s="1555">
        <v>0</v>
      </c>
      <c r="G127" s="1555">
        <v>0</v>
      </c>
      <c r="H127" s="1555">
        <v>0</v>
      </c>
      <c r="I127" s="1555">
        <v>0</v>
      </c>
      <c r="J127" s="1555">
        <v>0</v>
      </c>
      <c r="K127" s="1555">
        <v>0</v>
      </c>
      <c r="L127" s="1555">
        <v>0</v>
      </c>
      <c r="M127" s="1555">
        <v>0</v>
      </c>
      <c r="N127" s="1555">
        <v>0</v>
      </c>
      <c r="O127" s="1555">
        <v>0</v>
      </c>
      <c r="P127" s="1555">
        <v>0</v>
      </c>
      <c r="Q127" s="1555">
        <v>0</v>
      </c>
    </row>
    <row r="128" spans="1:17">
      <c r="A128" s="1556" t="s">
        <v>660</v>
      </c>
      <c r="B128" s="1555">
        <v>0</v>
      </c>
      <c r="C128" s="1555">
        <v>0</v>
      </c>
      <c r="D128" s="1555">
        <v>0</v>
      </c>
      <c r="E128" s="1555">
        <v>0</v>
      </c>
      <c r="F128" s="1555">
        <v>0</v>
      </c>
      <c r="G128" s="1555">
        <v>0</v>
      </c>
      <c r="H128" s="1555">
        <v>0</v>
      </c>
      <c r="I128" s="1555">
        <v>0</v>
      </c>
      <c r="J128" s="1555">
        <v>0</v>
      </c>
      <c r="K128" s="1555">
        <v>0</v>
      </c>
      <c r="L128" s="1555">
        <v>0</v>
      </c>
      <c r="M128" s="1555">
        <v>0</v>
      </c>
      <c r="N128" s="1555">
        <v>0</v>
      </c>
      <c r="O128" s="1555">
        <v>0</v>
      </c>
      <c r="P128" s="1555">
        <v>0</v>
      </c>
      <c r="Q128" s="1555">
        <v>0</v>
      </c>
    </row>
    <row r="129" spans="1:17">
      <c r="A129" s="1556" t="s">
        <v>662</v>
      </c>
      <c r="B129" s="1555">
        <v>0</v>
      </c>
      <c r="C129" s="1555">
        <v>0</v>
      </c>
      <c r="D129" s="1555">
        <v>0</v>
      </c>
      <c r="E129" s="1555">
        <v>0</v>
      </c>
      <c r="F129" s="1555">
        <v>0</v>
      </c>
      <c r="G129" s="1555">
        <v>0</v>
      </c>
      <c r="H129" s="1555">
        <v>0</v>
      </c>
      <c r="I129" s="1555">
        <v>0</v>
      </c>
      <c r="J129" s="1555">
        <v>0</v>
      </c>
      <c r="K129" s="1555">
        <v>0</v>
      </c>
      <c r="L129" s="1555">
        <v>0</v>
      </c>
      <c r="M129" s="1555">
        <v>0</v>
      </c>
      <c r="N129" s="1555">
        <v>0</v>
      </c>
      <c r="O129" s="1555">
        <v>0</v>
      </c>
      <c r="P129" s="1555">
        <v>0</v>
      </c>
      <c r="Q129" s="1555">
        <v>0</v>
      </c>
    </row>
    <row r="130" spans="1:17">
      <c r="A130" s="1556" t="s">
        <v>664</v>
      </c>
      <c r="B130" s="1555">
        <v>0</v>
      </c>
      <c r="C130" s="1555">
        <v>0</v>
      </c>
      <c r="D130" s="1555">
        <v>0</v>
      </c>
      <c r="E130" s="1555">
        <v>0</v>
      </c>
      <c r="F130" s="1555">
        <v>0</v>
      </c>
      <c r="G130" s="1555">
        <v>0</v>
      </c>
      <c r="H130" s="1555">
        <v>0</v>
      </c>
      <c r="I130" s="1555">
        <v>0</v>
      </c>
      <c r="J130" s="1555">
        <v>0</v>
      </c>
      <c r="K130" s="1555">
        <v>0</v>
      </c>
      <c r="L130" s="1555">
        <v>0</v>
      </c>
      <c r="M130" s="1555">
        <v>0</v>
      </c>
      <c r="N130" s="1555">
        <v>0</v>
      </c>
      <c r="O130" s="1555">
        <v>0</v>
      </c>
      <c r="P130" s="1555">
        <v>0</v>
      </c>
      <c r="Q130" s="1555">
        <v>0</v>
      </c>
    </row>
    <row r="131" spans="1:17">
      <c r="A131" s="1556" t="s">
        <v>666</v>
      </c>
      <c r="B131" s="1555">
        <v>0</v>
      </c>
      <c r="C131" s="1555">
        <v>0</v>
      </c>
      <c r="D131" s="1555">
        <v>0</v>
      </c>
      <c r="E131" s="1555">
        <v>0</v>
      </c>
      <c r="F131" s="1555">
        <v>0</v>
      </c>
      <c r="G131" s="1555">
        <v>0</v>
      </c>
      <c r="H131" s="1555">
        <v>0</v>
      </c>
      <c r="I131" s="1555">
        <v>0</v>
      </c>
      <c r="J131" s="1555">
        <v>0</v>
      </c>
      <c r="K131" s="1555">
        <v>0</v>
      </c>
      <c r="L131" s="1555">
        <v>0</v>
      </c>
      <c r="M131" s="1555">
        <v>0</v>
      </c>
      <c r="N131" s="1555">
        <v>0</v>
      </c>
      <c r="O131" s="1555">
        <v>0</v>
      </c>
      <c r="P131" s="1555">
        <v>0</v>
      </c>
      <c r="Q131" s="1555">
        <v>0</v>
      </c>
    </row>
    <row r="132" spans="1:17">
      <c r="A132" s="1556" t="s">
        <v>668</v>
      </c>
      <c r="B132" s="1555">
        <v>0</v>
      </c>
      <c r="C132" s="1555">
        <v>0</v>
      </c>
      <c r="D132" s="1555">
        <v>0</v>
      </c>
      <c r="E132" s="1555">
        <v>0</v>
      </c>
      <c r="F132" s="1555">
        <v>0</v>
      </c>
      <c r="G132" s="1555">
        <v>0</v>
      </c>
      <c r="H132" s="1555">
        <v>0</v>
      </c>
      <c r="I132" s="1555">
        <v>0</v>
      </c>
      <c r="J132" s="1555">
        <v>0</v>
      </c>
      <c r="K132" s="1555">
        <v>0</v>
      </c>
      <c r="L132" s="1555">
        <v>0</v>
      </c>
      <c r="M132" s="1555">
        <v>0</v>
      </c>
      <c r="N132" s="1555">
        <v>0</v>
      </c>
      <c r="O132" s="1555">
        <v>0</v>
      </c>
      <c r="P132" s="1555">
        <v>0</v>
      </c>
      <c r="Q132" s="1555">
        <v>0</v>
      </c>
    </row>
    <row r="133" spans="1:17">
      <c r="A133" s="1554" t="s">
        <v>6937</v>
      </c>
      <c r="B133" s="1555">
        <v>0</v>
      </c>
      <c r="C133" s="1555">
        <v>0</v>
      </c>
      <c r="D133" s="1555">
        <v>0</v>
      </c>
      <c r="E133" s="1555">
        <v>0</v>
      </c>
      <c r="F133" s="1555">
        <v>0</v>
      </c>
      <c r="G133" s="1555">
        <v>0</v>
      </c>
      <c r="H133" s="1555">
        <v>0</v>
      </c>
      <c r="I133" s="1555">
        <v>0</v>
      </c>
      <c r="J133" s="1555">
        <v>0</v>
      </c>
      <c r="K133" s="1555">
        <v>0</v>
      </c>
      <c r="L133" s="1555">
        <v>0</v>
      </c>
      <c r="M133" s="1555">
        <v>0</v>
      </c>
      <c r="N133" s="1555">
        <v>0</v>
      </c>
      <c r="O133" s="1555">
        <v>0</v>
      </c>
      <c r="P133" s="1555">
        <v>0</v>
      </c>
      <c r="Q133" s="1555">
        <v>0</v>
      </c>
    </row>
    <row r="134" spans="1:17">
      <c r="A134" s="1556" t="s">
        <v>731</v>
      </c>
      <c r="B134" s="1555">
        <v>0</v>
      </c>
      <c r="C134" s="1555">
        <v>0</v>
      </c>
      <c r="D134" s="1555">
        <v>0</v>
      </c>
      <c r="E134" s="1555">
        <v>0</v>
      </c>
      <c r="F134" s="1555">
        <v>0</v>
      </c>
      <c r="G134" s="1555">
        <v>0</v>
      </c>
      <c r="H134" s="1555">
        <v>0</v>
      </c>
      <c r="I134" s="1555">
        <v>0</v>
      </c>
      <c r="J134" s="1555">
        <v>0</v>
      </c>
      <c r="K134" s="1555">
        <v>0</v>
      </c>
      <c r="L134" s="1555">
        <v>0</v>
      </c>
      <c r="M134" s="1555">
        <v>0</v>
      </c>
      <c r="N134" s="1555">
        <v>0</v>
      </c>
      <c r="O134" s="1555">
        <v>0</v>
      </c>
      <c r="P134" s="1555">
        <v>0</v>
      </c>
      <c r="Q134" s="1555">
        <v>0</v>
      </c>
    </row>
    <row r="135" spans="1:17">
      <c r="A135" s="1556" t="s">
        <v>656</v>
      </c>
      <c r="B135" s="1555">
        <v>0</v>
      </c>
      <c r="C135" s="1555">
        <v>0</v>
      </c>
      <c r="D135" s="1555">
        <v>0</v>
      </c>
      <c r="E135" s="1555">
        <v>0</v>
      </c>
      <c r="F135" s="1555">
        <v>0</v>
      </c>
      <c r="G135" s="1555">
        <v>0</v>
      </c>
      <c r="H135" s="1555">
        <v>0</v>
      </c>
      <c r="I135" s="1555">
        <v>0</v>
      </c>
      <c r="J135" s="1555">
        <v>0</v>
      </c>
      <c r="K135" s="1555">
        <v>0</v>
      </c>
      <c r="L135" s="1555">
        <v>0</v>
      </c>
      <c r="M135" s="1555">
        <v>0</v>
      </c>
      <c r="N135" s="1555">
        <v>0</v>
      </c>
      <c r="O135" s="1555">
        <v>0</v>
      </c>
      <c r="P135" s="1555">
        <v>0</v>
      </c>
      <c r="Q135" s="1555">
        <v>0</v>
      </c>
    </row>
    <row r="136" spans="1:17">
      <c r="A136" s="1556" t="s">
        <v>658</v>
      </c>
      <c r="B136" s="1555">
        <v>0</v>
      </c>
      <c r="C136" s="1555">
        <v>0</v>
      </c>
      <c r="D136" s="1555">
        <v>0</v>
      </c>
      <c r="E136" s="1555">
        <v>0</v>
      </c>
      <c r="F136" s="1555">
        <v>0</v>
      </c>
      <c r="G136" s="1555">
        <v>0</v>
      </c>
      <c r="H136" s="1555">
        <v>0</v>
      </c>
      <c r="I136" s="1555">
        <v>0</v>
      </c>
      <c r="J136" s="1555">
        <v>0</v>
      </c>
      <c r="K136" s="1555">
        <v>0</v>
      </c>
      <c r="L136" s="1555">
        <v>0</v>
      </c>
      <c r="M136" s="1555">
        <v>0</v>
      </c>
      <c r="N136" s="1555">
        <v>0</v>
      </c>
      <c r="O136" s="1555">
        <v>0</v>
      </c>
      <c r="P136" s="1555">
        <v>0</v>
      </c>
      <c r="Q136" s="1555">
        <v>0</v>
      </c>
    </row>
    <row r="137" spans="1:17">
      <c r="A137" s="1556" t="s">
        <v>660</v>
      </c>
      <c r="B137" s="1555">
        <v>0</v>
      </c>
      <c r="C137" s="1555">
        <v>0</v>
      </c>
      <c r="D137" s="1555">
        <v>0</v>
      </c>
      <c r="E137" s="1555">
        <v>0</v>
      </c>
      <c r="F137" s="1555">
        <v>0</v>
      </c>
      <c r="G137" s="1555">
        <v>0</v>
      </c>
      <c r="H137" s="1555">
        <v>0</v>
      </c>
      <c r="I137" s="1555">
        <v>0</v>
      </c>
      <c r="J137" s="1555">
        <v>0</v>
      </c>
      <c r="K137" s="1555">
        <v>0</v>
      </c>
      <c r="L137" s="1555">
        <v>0</v>
      </c>
      <c r="M137" s="1555">
        <v>0</v>
      </c>
      <c r="N137" s="1555">
        <v>0</v>
      </c>
      <c r="O137" s="1555">
        <v>0</v>
      </c>
      <c r="P137" s="1555">
        <v>0</v>
      </c>
      <c r="Q137" s="1555">
        <v>0</v>
      </c>
    </row>
    <row r="138" spans="1:17">
      <c r="A138" s="1556" t="s">
        <v>662</v>
      </c>
      <c r="B138" s="1555">
        <v>0</v>
      </c>
      <c r="C138" s="1555">
        <v>0</v>
      </c>
      <c r="D138" s="1555">
        <v>0</v>
      </c>
      <c r="E138" s="1555">
        <v>0</v>
      </c>
      <c r="F138" s="1555">
        <v>0</v>
      </c>
      <c r="G138" s="1555">
        <v>0</v>
      </c>
      <c r="H138" s="1555">
        <v>0</v>
      </c>
      <c r="I138" s="1555">
        <v>0</v>
      </c>
      <c r="J138" s="1555">
        <v>0</v>
      </c>
      <c r="K138" s="1555">
        <v>0</v>
      </c>
      <c r="L138" s="1555">
        <v>0</v>
      </c>
      <c r="M138" s="1555">
        <v>0</v>
      </c>
      <c r="N138" s="1555">
        <v>0</v>
      </c>
      <c r="O138" s="1555">
        <v>0</v>
      </c>
      <c r="P138" s="1555">
        <v>0</v>
      </c>
      <c r="Q138" s="1555">
        <v>0</v>
      </c>
    </row>
    <row r="139" spans="1:17">
      <c r="A139" s="1556" t="s">
        <v>664</v>
      </c>
      <c r="B139" s="1555">
        <v>0</v>
      </c>
      <c r="C139" s="1555">
        <v>0</v>
      </c>
      <c r="D139" s="1555">
        <v>0</v>
      </c>
      <c r="E139" s="1555">
        <v>0</v>
      </c>
      <c r="F139" s="1555">
        <v>0</v>
      </c>
      <c r="G139" s="1555">
        <v>0</v>
      </c>
      <c r="H139" s="1555">
        <v>0</v>
      </c>
      <c r="I139" s="1555">
        <v>0</v>
      </c>
      <c r="J139" s="1555">
        <v>0</v>
      </c>
      <c r="K139" s="1555">
        <v>0</v>
      </c>
      <c r="L139" s="1555">
        <v>0</v>
      </c>
      <c r="M139" s="1555">
        <v>0</v>
      </c>
      <c r="N139" s="1555">
        <v>0</v>
      </c>
      <c r="O139" s="1555">
        <v>0</v>
      </c>
      <c r="P139" s="1555">
        <v>0</v>
      </c>
      <c r="Q139" s="1555">
        <v>0</v>
      </c>
    </row>
    <row r="140" spans="1:17">
      <c r="A140" s="1556" t="s">
        <v>666</v>
      </c>
      <c r="B140" s="1555">
        <v>0</v>
      </c>
      <c r="C140" s="1555">
        <v>0</v>
      </c>
      <c r="D140" s="1555">
        <v>0</v>
      </c>
      <c r="E140" s="1555">
        <v>0</v>
      </c>
      <c r="F140" s="1555">
        <v>0</v>
      </c>
      <c r="G140" s="1555">
        <v>0</v>
      </c>
      <c r="H140" s="1555">
        <v>0</v>
      </c>
      <c r="I140" s="1555">
        <v>0</v>
      </c>
      <c r="J140" s="1555">
        <v>0</v>
      </c>
      <c r="K140" s="1555">
        <v>0</v>
      </c>
      <c r="L140" s="1555">
        <v>0</v>
      </c>
      <c r="M140" s="1555">
        <v>0</v>
      </c>
      <c r="N140" s="1555">
        <v>0</v>
      </c>
      <c r="O140" s="1555">
        <v>0</v>
      </c>
      <c r="P140" s="1555">
        <v>0</v>
      </c>
      <c r="Q140" s="1555">
        <v>0</v>
      </c>
    </row>
    <row r="141" spans="1:17">
      <c r="A141" s="1556" t="s">
        <v>668</v>
      </c>
      <c r="B141" s="1555">
        <v>0</v>
      </c>
      <c r="C141" s="1555">
        <v>0</v>
      </c>
      <c r="D141" s="1555">
        <v>0</v>
      </c>
      <c r="E141" s="1555">
        <v>0</v>
      </c>
      <c r="F141" s="1555">
        <v>0</v>
      </c>
      <c r="G141" s="1555">
        <v>0</v>
      </c>
      <c r="H141" s="1555">
        <v>0</v>
      </c>
      <c r="I141" s="1555">
        <v>0</v>
      </c>
      <c r="J141" s="1555">
        <v>0</v>
      </c>
      <c r="K141" s="1555">
        <v>0</v>
      </c>
      <c r="L141" s="1555">
        <v>0</v>
      </c>
      <c r="M141" s="1555">
        <v>0</v>
      </c>
      <c r="N141" s="1555">
        <v>0</v>
      </c>
      <c r="O141" s="1555">
        <v>0</v>
      </c>
      <c r="P141" s="1555">
        <v>0</v>
      </c>
      <c r="Q141" s="1555">
        <v>0</v>
      </c>
    </row>
    <row r="142" spans="1:17">
      <c r="A142" s="1554" t="s">
        <v>6941</v>
      </c>
      <c r="B142" s="1555">
        <v>0</v>
      </c>
      <c r="C142" s="1555">
        <v>0</v>
      </c>
      <c r="D142" s="1555">
        <v>0</v>
      </c>
      <c r="E142" s="1555">
        <v>0</v>
      </c>
      <c r="F142" s="1555">
        <v>0</v>
      </c>
      <c r="G142" s="1555">
        <v>0</v>
      </c>
      <c r="H142" s="1555">
        <v>0</v>
      </c>
      <c r="I142" s="1555">
        <v>0</v>
      </c>
      <c r="J142" s="1555">
        <v>0</v>
      </c>
      <c r="K142" s="1555">
        <v>0</v>
      </c>
      <c r="L142" s="1555">
        <v>0</v>
      </c>
      <c r="M142" s="1555">
        <v>0</v>
      </c>
      <c r="N142" s="1555">
        <v>0</v>
      </c>
      <c r="O142" s="1555">
        <v>0</v>
      </c>
      <c r="P142" s="1555">
        <v>0</v>
      </c>
      <c r="Q142" s="1555">
        <v>0</v>
      </c>
    </row>
    <row r="143" spans="1:17">
      <c r="A143" s="1556" t="s">
        <v>656</v>
      </c>
      <c r="B143" s="1555">
        <v>0</v>
      </c>
      <c r="C143" s="1555">
        <v>0</v>
      </c>
      <c r="D143" s="1555">
        <v>0</v>
      </c>
      <c r="E143" s="1555">
        <v>0</v>
      </c>
      <c r="F143" s="1555">
        <v>0</v>
      </c>
      <c r="G143" s="1555">
        <v>0</v>
      </c>
      <c r="H143" s="1555">
        <v>0</v>
      </c>
      <c r="I143" s="1555">
        <v>0</v>
      </c>
      <c r="J143" s="1555">
        <v>0</v>
      </c>
      <c r="K143" s="1555">
        <v>0</v>
      </c>
      <c r="L143" s="1555">
        <v>0</v>
      </c>
      <c r="M143" s="1555">
        <v>0</v>
      </c>
      <c r="N143" s="1555">
        <v>0</v>
      </c>
      <c r="O143" s="1555">
        <v>0</v>
      </c>
      <c r="P143" s="1555">
        <v>0</v>
      </c>
      <c r="Q143" s="1555">
        <v>0</v>
      </c>
    </row>
    <row r="144" spans="1:17">
      <c r="A144" s="1556" t="s">
        <v>658</v>
      </c>
      <c r="B144" s="1555">
        <v>0</v>
      </c>
      <c r="C144" s="1555">
        <v>0</v>
      </c>
      <c r="D144" s="1555">
        <v>0</v>
      </c>
      <c r="E144" s="1555">
        <v>0</v>
      </c>
      <c r="F144" s="1555">
        <v>0</v>
      </c>
      <c r="G144" s="1555">
        <v>0</v>
      </c>
      <c r="H144" s="1555">
        <v>0</v>
      </c>
      <c r="I144" s="1555">
        <v>0</v>
      </c>
      <c r="J144" s="1555">
        <v>0</v>
      </c>
      <c r="K144" s="1555">
        <v>0</v>
      </c>
      <c r="L144" s="1555">
        <v>0</v>
      </c>
      <c r="M144" s="1555">
        <v>0</v>
      </c>
      <c r="N144" s="1555">
        <v>0</v>
      </c>
      <c r="O144" s="1555">
        <v>0</v>
      </c>
      <c r="P144" s="1555">
        <v>0</v>
      </c>
      <c r="Q144" s="1555">
        <v>0</v>
      </c>
    </row>
    <row r="145" spans="1:17">
      <c r="A145" s="1556" t="s">
        <v>660</v>
      </c>
      <c r="B145" s="1555">
        <v>0</v>
      </c>
      <c r="C145" s="1555">
        <v>0</v>
      </c>
      <c r="D145" s="1555">
        <v>0</v>
      </c>
      <c r="E145" s="1555">
        <v>0</v>
      </c>
      <c r="F145" s="1555">
        <v>0</v>
      </c>
      <c r="G145" s="1555">
        <v>0</v>
      </c>
      <c r="H145" s="1555">
        <v>0</v>
      </c>
      <c r="I145" s="1555">
        <v>0</v>
      </c>
      <c r="J145" s="1555">
        <v>0</v>
      </c>
      <c r="K145" s="1555">
        <v>0</v>
      </c>
      <c r="L145" s="1555">
        <v>0</v>
      </c>
      <c r="M145" s="1555">
        <v>0</v>
      </c>
      <c r="N145" s="1555">
        <v>0</v>
      </c>
      <c r="O145" s="1555">
        <v>0</v>
      </c>
      <c r="P145" s="1555">
        <v>0</v>
      </c>
      <c r="Q145" s="1555">
        <v>0</v>
      </c>
    </row>
    <row r="146" spans="1:17">
      <c r="A146" s="1556" t="s">
        <v>662</v>
      </c>
      <c r="B146" s="1555">
        <v>0</v>
      </c>
      <c r="C146" s="1555">
        <v>0</v>
      </c>
      <c r="D146" s="1555">
        <v>0</v>
      </c>
      <c r="E146" s="1555">
        <v>0</v>
      </c>
      <c r="F146" s="1555">
        <v>0</v>
      </c>
      <c r="G146" s="1555">
        <v>0</v>
      </c>
      <c r="H146" s="1555">
        <v>0</v>
      </c>
      <c r="I146" s="1555">
        <v>0</v>
      </c>
      <c r="J146" s="1555">
        <v>0</v>
      </c>
      <c r="K146" s="1555">
        <v>0</v>
      </c>
      <c r="L146" s="1555">
        <v>0</v>
      </c>
      <c r="M146" s="1555">
        <v>0</v>
      </c>
      <c r="N146" s="1555">
        <v>0</v>
      </c>
      <c r="O146" s="1555">
        <v>0</v>
      </c>
      <c r="P146" s="1555">
        <v>0</v>
      </c>
      <c r="Q146" s="1555">
        <v>0</v>
      </c>
    </row>
    <row r="147" spans="1:17">
      <c r="A147" s="1556" t="s">
        <v>664</v>
      </c>
      <c r="B147" s="1555">
        <v>0</v>
      </c>
      <c r="C147" s="1555">
        <v>0</v>
      </c>
      <c r="D147" s="1555">
        <v>0</v>
      </c>
      <c r="E147" s="1555">
        <v>0</v>
      </c>
      <c r="F147" s="1555">
        <v>0</v>
      </c>
      <c r="G147" s="1555">
        <v>0</v>
      </c>
      <c r="H147" s="1555">
        <v>0</v>
      </c>
      <c r="I147" s="1555">
        <v>0</v>
      </c>
      <c r="J147" s="1555">
        <v>0</v>
      </c>
      <c r="K147" s="1555">
        <v>0</v>
      </c>
      <c r="L147" s="1555">
        <v>0</v>
      </c>
      <c r="M147" s="1555">
        <v>0</v>
      </c>
      <c r="N147" s="1555">
        <v>0</v>
      </c>
      <c r="O147" s="1555">
        <v>0</v>
      </c>
      <c r="P147" s="1555">
        <v>0</v>
      </c>
      <c r="Q147" s="1555">
        <v>0</v>
      </c>
    </row>
    <row r="148" spans="1:17">
      <c r="A148" s="1556" t="s">
        <v>666</v>
      </c>
      <c r="B148" s="1555">
        <v>0</v>
      </c>
      <c r="C148" s="1555">
        <v>0</v>
      </c>
      <c r="D148" s="1555">
        <v>0</v>
      </c>
      <c r="E148" s="1555">
        <v>0</v>
      </c>
      <c r="F148" s="1555">
        <v>0</v>
      </c>
      <c r="G148" s="1555">
        <v>0</v>
      </c>
      <c r="H148" s="1555">
        <v>0</v>
      </c>
      <c r="I148" s="1555">
        <v>0</v>
      </c>
      <c r="J148" s="1555">
        <v>0</v>
      </c>
      <c r="K148" s="1555">
        <v>0</v>
      </c>
      <c r="L148" s="1555">
        <v>0</v>
      </c>
      <c r="M148" s="1555">
        <v>0</v>
      </c>
      <c r="N148" s="1555">
        <v>0</v>
      </c>
      <c r="O148" s="1555">
        <v>0</v>
      </c>
      <c r="P148" s="1555">
        <v>0</v>
      </c>
      <c r="Q148" s="1555">
        <v>0</v>
      </c>
    </row>
    <row r="149" spans="1:17">
      <c r="A149" s="1556" t="s">
        <v>668</v>
      </c>
      <c r="B149" s="1555">
        <v>0</v>
      </c>
      <c r="C149" s="1555">
        <v>0</v>
      </c>
      <c r="D149" s="1555">
        <v>0</v>
      </c>
      <c r="E149" s="1555">
        <v>0</v>
      </c>
      <c r="F149" s="1555">
        <v>0</v>
      </c>
      <c r="G149" s="1555">
        <v>0</v>
      </c>
      <c r="H149" s="1555">
        <v>0</v>
      </c>
      <c r="I149" s="1555">
        <v>0</v>
      </c>
      <c r="J149" s="1555">
        <v>0</v>
      </c>
      <c r="K149" s="1555">
        <v>0</v>
      </c>
      <c r="L149" s="1555">
        <v>0</v>
      </c>
      <c r="M149" s="1555">
        <v>0</v>
      </c>
      <c r="N149" s="1555">
        <v>0</v>
      </c>
      <c r="O149" s="1555">
        <v>0</v>
      </c>
      <c r="P149" s="1555">
        <v>0</v>
      </c>
      <c r="Q149" s="1555">
        <v>0</v>
      </c>
    </row>
    <row r="150" spans="1:17">
      <c r="A150" s="1554" t="s">
        <v>6936</v>
      </c>
      <c r="B150" s="1555">
        <v>0</v>
      </c>
      <c r="C150" s="1555">
        <v>0</v>
      </c>
      <c r="D150" s="1555">
        <v>0</v>
      </c>
      <c r="E150" s="1555">
        <v>0</v>
      </c>
      <c r="F150" s="1555">
        <v>0</v>
      </c>
      <c r="G150" s="1555">
        <v>0</v>
      </c>
      <c r="H150" s="1555">
        <v>0</v>
      </c>
      <c r="I150" s="1555">
        <v>0</v>
      </c>
      <c r="J150" s="1555">
        <v>0</v>
      </c>
      <c r="K150" s="1555">
        <v>0</v>
      </c>
      <c r="L150" s="1555">
        <v>0</v>
      </c>
      <c r="M150" s="1555">
        <v>0</v>
      </c>
      <c r="N150" s="1555">
        <v>0</v>
      </c>
      <c r="O150" s="1555">
        <v>0</v>
      </c>
      <c r="P150" s="1555">
        <v>0</v>
      </c>
      <c r="Q150" s="1555">
        <v>0</v>
      </c>
    </row>
    <row r="151" spans="1:17">
      <c r="A151" s="1556" t="s">
        <v>731</v>
      </c>
      <c r="B151" s="1555">
        <v>0</v>
      </c>
      <c r="C151" s="1555">
        <v>0</v>
      </c>
      <c r="D151" s="1555">
        <v>0</v>
      </c>
      <c r="E151" s="1555">
        <v>0</v>
      </c>
      <c r="F151" s="1555">
        <v>0</v>
      </c>
      <c r="G151" s="1555">
        <v>0</v>
      </c>
      <c r="H151" s="1555">
        <v>0</v>
      </c>
      <c r="I151" s="1555">
        <v>0</v>
      </c>
      <c r="J151" s="1555">
        <v>0</v>
      </c>
      <c r="K151" s="1555">
        <v>0</v>
      </c>
      <c r="L151" s="1555">
        <v>0</v>
      </c>
      <c r="M151" s="1555">
        <v>0</v>
      </c>
      <c r="N151" s="1555">
        <v>0</v>
      </c>
      <c r="O151" s="1555">
        <v>0</v>
      </c>
      <c r="P151" s="1555">
        <v>0</v>
      </c>
      <c r="Q151" s="1555">
        <v>0</v>
      </c>
    </row>
    <row r="152" spans="1:17">
      <c r="A152" s="1556" t="s">
        <v>656</v>
      </c>
      <c r="B152" s="1555">
        <v>0</v>
      </c>
      <c r="C152" s="1555">
        <v>0</v>
      </c>
      <c r="D152" s="1555">
        <v>0</v>
      </c>
      <c r="E152" s="1555">
        <v>0</v>
      </c>
      <c r="F152" s="1555">
        <v>0</v>
      </c>
      <c r="G152" s="1555">
        <v>0</v>
      </c>
      <c r="H152" s="1555">
        <v>0</v>
      </c>
      <c r="I152" s="1555">
        <v>0</v>
      </c>
      <c r="J152" s="1555">
        <v>0</v>
      </c>
      <c r="K152" s="1555">
        <v>0</v>
      </c>
      <c r="L152" s="1555">
        <v>0</v>
      </c>
      <c r="M152" s="1555">
        <v>0</v>
      </c>
      <c r="N152" s="1555">
        <v>0</v>
      </c>
      <c r="O152" s="1555">
        <v>0</v>
      </c>
      <c r="P152" s="1555">
        <v>0</v>
      </c>
      <c r="Q152" s="1555">
        <v>0</v>
      </c>
    </row>
    <row r="153" spans="1:17">
      <c r="A153" s="1556" t="s">
        <v>658</v>
      </c>
      <c r="B153" s="1555">
        <v>0</v>
      </c>
      <c r="C153" s="1555">
        <v>0</v>
      </c>
      <c r="D153" s="1555">
        <v>0</v>
      </c>
      <c r="E153" s="1555">
        <v>0</v>
      </c>
      <c r="F153" s="1555">
        <v>0</v>
      </c>
      <c r="G153" s="1555">
        <v>0</v>
      </c>
      <c r="H153" s="1555">
        <v>0</v>
      </c>
      <c r="I153" s="1555">
        <v>0</v>
      </c>
      <c r="J153" s="1555">
        <v>0</v>
      </c>
      <c r="K153" s="1555">
        <v>0</v>
      </c>
      <c r="L153" s="1555">
        <v>0</v>
      </c>
      <c r="M153" s="1555">
        <v>0</v>
      </c>
      <c r="N153" s="1555">
        <v>0</v>
      </c>
      <c r="O153" s="1555">
        <v>0</v>
      </c>
      <c r="P153" s="1555">
        <v>0</v>
      </c>
      <c r="Q153" s="1555">
        <v>0</v>
      </c>
    </row>
    <row r="154" spans="1:17">
      <c r="A154" s="1556" t="s">
        <v>660</v>
      </c>
      <c r="B154" s="1555">
        <v>0</v>
      </c>
      <c r="C154" s="1555">
        <v>0</v>
      </c>
      <c r="D154" s="1555">
        <v>0</v>
      </c>
      <c r="E154" s="1555">
        <v>0</v>
      </c>
      <c r="F154" s="1555">
        <v>0</v>
      </c>
      <c r="G154" s="1555">
        <v>0</v>
      </c>
      <c r="H154" s="1555">
        <v>0</v>
      </c>
      <c r="I154" s="1555">
        <v>0</v>
      </c>
      <c r="J154" s="1555">
        <v>0</v>
      </c>
      <c r="K154" s="1555">
        <v>0</v>
      </c>
      <c r="L154" s="1555">
        <v>0</v>
      </c>
      <c r="M154" s="1555">
        <v>0</v>
      </c>
      <c r="N154" s="1555">
        <v>0</v>
      </c>
      <c r="O154" s="1555">
        <v>0</v>
      </c>
      <c r="P154" s="1555">
        <v>0</v>
      </c>
      <c r="Q154" s="1555">
        <v>0</v>
      </c>
    </row>
    <row r="155" spans="1:17">
      <c r="A155" s="1556" t="s">
        <v>662</v>
      </c>
      <c r="B155" s="1555">
        <v>0</v>
      </c>
      <c r="C155" s="1555">
        <v>0</v>
      </c>
      <c r="D155" s="1555">
        <v>0</v>
      </c>
      <c r="E155" s="1555">
        <v>0</v>
      </c>
      <c r="F155" s="1555">
        <v>0</v>
      </c>
      <c r="G155" s="1555">
        <v>0</v>
      </c>
      <c r="H155" s="1555">
        <v>0</v>
      </c>
      <c r="I155" s="1555">
        <v>0</v>
      </c>
      <c r="J155" s="1555">
        <v>0</v>
      </c>
      <c r="K155" s="1555">
        <v>0</v>
      </c>
      <c r="L155" s="1555">
        <v>0</v>
      </c>
      <c r="M155" s="1555">
        <v>0</v>
      </c>
      <c r="N155" s="1555">
        <v>0</v>
      </c>
      <c r="O155" s="1555">
        <v>0</v>
      </c>
      <c r="P155" s="1555">
        <v>0</v>
      </c>
      <c r="Q155" s="1555">
        <v>0</v>
      </c>
    </row>
    <row r="156" spans="1:17">
      <c r="A156" s="1556" t="s">
        <v>664</v>
      </c>
      <c r="B156" s="1555">
        <v>0</v>
      </c>
      <c r="C156" s="1555">
        <v>0</v>
      </c>
      <c r="D156" s="1555">
        <v>0</v>
      </c>
      <c r="E156" s="1555">
        <v>0</v>
      </c>
      <c r="F156" s="1555">
        <v>0</v>
      </c>
      <c r="G156" s="1555">
        <v>0</v>
      </c>
      <c r="H156" s="1555">
        <v>0</v>
      </c>
      <c r="I156" s="1555">
        <v>0</v>
      </c>
      <c r="J156" s="1555">
        <v>0</v>
      </c>
      <c r="K156" s="1555">
        <v>0</v>
      </c>
      <c r="L156" s="1555">
        <v>0</v>
      </c>
      <c r="M156" s="1555">
        <v>0</v>
      </c>
      <c r="N156" s="1555">
        <v>0</v>
      </c>
      <c r="O156" s="1555">
        <v>0</v>
      </c>
      <c r="P156" s="1555">
        <v>0</v>
      </c>
      <c r="Q156" s="1555">
        <v>0</v>
      </c>
    </row>
    <row r="157" spans="1:17">
      <c r="A157" s="1556" t="s">
        <v>666</v>
      </c>
      <c r="B157" s="1555">
        <v>0</v>
      </c>
      <c r="C157" s="1555">
        <v>0</v>
      </c>
      <c r="D157" s="1555">
        <v>0</v>
      </c>
      <c r="E157" s="1555">
        <v>0</v>
      </c>
      <c r="F157" s="1555">
        <v>0</v>
      </c>
      <c r="G157" s="1555">
        <v>0</v>
      </c>
      <c r="H157" s="1555">
        <v>0</v>
      </c>
      <c r="I157" s="1555">
        <v>0</v>
      </c>
      <c r="J157" s="1555">
        <v>0</v>
      </c>
      <c r="K157" s="1555">
        <v>0</v>
      </c>
      <c r="L157" s="1555">
        <v>0</v>
      </c>
      <c r="M157" s="1555">
        <v>0</v>
      </c>
      <c r="N157" s="1555">
        <v>0</v>
      </c>
      <c r="O157" s="1555">
        <v>0</v>
      </c>
      <c r="P157" s="1555">
        <v>0</v>
      </c>
      <c r="Q157" s="1555">
        <v>0</v>
      </c>
    </row>
    <row r="158" spans="1:17">
      <c r="A158" s="1556" t="s">
        <v>668</v>
      </c>
      <c r="B158" s="1555">
        <v>0</v>
      </c>
      <c r="C158" s="1555">
        <v>0</v>
      </c>
      <c r="D158" s="1555">
        <v>0</v>
      </c>
      <c r="E158" s="1555">
        <v>0</v>
      </c>
      <c r="F158" s="1555">
        <v>0</v>
      </c>
      <c r="G158" s="1555">
        <v>0</v>
      </c>
      <c r="H158" s="1555">
        <v>0</v>
      </c>
      <c r="I158" s="1555">
        <v>0</v>
      </c>
      <c r="J158" s="1555">
        <v>0</v>
      </c>
      <c r="K158" s="1555">
        <v>0</v>
      </c>
      <c r="L158" s="1555">
        <v>0</v>
      </c>
      <c r="M158" s="1555">
        <v>0</v>
      </c>
      <c r="N158" s="1555">
        <v>0</v>
      </c>
      <c r="O158" s="1555">
        <v>0</v>
      </c>
      <c r="P158" s="1555">
        <v>0</v>
      </c>
      <c r="Q158" s="1555">
        <v>0</v>
      </c>
    </row>
    <row r="159" spans="1:17">
      <c r="A159" s="1554" t="s">
        <v>6935</v>
      </c>
      <c r="B159" s="1555">
        <v>0</v>
      </c>
      <c r="C159" s="1555">
        <v>0</v>
      </c>
      <c r="D159" s="1555">
        <v>0</v>
      </c>
      <c r="E159" s="1555">
        <v>0</v>
      </c>
      <c r="F159" s="1555">
        <v>0</v>
      </c>
      <c r="G159" s="1555">
        <v>0</v>
      </c>
      <c r="H159" s="1555">
        <v>0</v>
      </c>
      <c r="I159" s="1555">
        <v>0</v>
      </c>
      <c r="J159" s="1555">
        <v>0</v>
      </c>
      <c r="K159" s="1555">
        <v>0</v>
      </c>
      <c r="L159" s="1555">
        <v>0</v>
      </c>
      <c r="M159" s="1555">
        <v>0</v>
      </c>
      <c r="N159" s="1555">
        <v>0</v>
      </c>
      <c r="O159" s="1555">
        <v>0</v>
      </c>
      <c r="P159" s="1555">
        <v>0</v>
      </c>
      <c r="Q159" s="1555">
        <v>0</v>
      </c>
    </row>
    <row r="160" spans="1:17">
      <c r="A160" s="1556" t="s">
        <v>731</v>
      </c>
      <c r="B160" s="1555">
        <v>0</v>
      </c>
      <c r="C160" s="1555">
        <v>0</v>
      </c>
      <c r="D160" s="1555">
        <v>0</v>
      </c>
      <c r="E160" s="1555">
        <v>0</v>
      </c>
      <c r="F160" s="1555">
        <v>0</v>
      </c>
      <c r="G160" s="1555">
        <v>0</v>
      </c>
      <c r="H160" s="1555">
        <v>0</v>
      </c>
      <c r="I160" s="1555">
        <v>0</v>
      </c>
      <c r="J160" s="1555">
        <v>0</v>
      </c>
      <c r="K160" s="1555">
        <v>0</v>
      </c>
      <c r="L160" s="1555">
        <v>0</v>
      </c>
      <c r="M160" s="1555">
        <v>0</v>
      </c>
      <c r="N160" s="1555">
        <v>0</v>
      </c>
      <c r="O160" s="1555">
        <v>0</v>
      </c>
      <c r="P160" s="1555">
        <v>0</v>
      </c>
      <c r="Q160" s="1555">
        <v>0</v>
      </c>
    </row>
    <row r="161" spans="1:17">
      <c r="A161" s="1556" t="s">
        <v>656</v>
      </c>
      <c r="B161" s="1555">
        <v>0</v>
      </c>
      <c r="C161" s="1555">
        <v>0</v>
      </c>
      <c r="D161" s="1555">
        <v>0</v>
      </c>
      <c r="E161" s="1555">
        <v>0</v>
      </c>
      <c r="F161" s="1555">
        <v>0</v>
      </c>
      <c r="G161" s="1555">
        <v>0</v>
      </c>
      <c r="H161" s="1555">
        <v>0</v>
      </c>
      <c r="I161" s="1555">
        <v>0</v>
      </c>
      <c r="J161" s="1555">
        <v>0</v>
      </c>
      <c r="K161" s="1555">
        <v>0</v>
      </c>
      <c r="L161" s="1555">
        <v>0</v>
      </c>
      <c r="M161" s="1555">
        <v>0</v>
      </c>
      <c r="N161" s="1555">
        <v>0</v>
      </c>
      <c r="O161" s="1555">
        <v>0</v>
      </c>
      <c r="P161" s="1555">
        <v>0</v>
      </c>
      <c r="Q161" s="1555">
        <v>0</v>
      </c>
    </row>
    <row r="162" spans="1:17">
      <c r="A162" s="1556" t="s">
        <v>658</v>
      </c>
      <c r="B162" s="1555">
        <v>0</v>
      </c>
      <c r="C162" s="1555">
        <v>0</v>
      </c>
      <c r="D162" s="1555">
        <v>0</v>
      </c>
      <c r="E162" s="1555">
        <v>0</v>
      </c>
      <c r="F162" s="1555">
        <v>0</v>
      </c>
      <c r="G162" s="1555">
        <v>0</v>
      </c>
      <c r="H162" s="1555">
        <v>0</v>
      </c>
      <c r="I162" s="1555">
        <v>0</v>
      </c>
      <c r="J162" s="1555">
        <v>0</v>
      </c>
      <c r="K162" s="1555">
        <v>0</v>
      </c>
      <c r="L162" s="1555">
        <v>0</v>
      </c>
      <c r="M162" s="1555">
        <v>0</v>
      </c>
      <c r="N162" s="1555">
        <v>0</v>
      </c>
      <c r="O162" s="1555">
        <v>0</v>
      </c>
      <c r="P162" s="1555">
        <v>0</v>
      </c>
      <c r="Q162" s="1555">
        <v>0</v>
      </c>
    </row>
    <row r="163" spans="1:17">
      <c r="A163" s="1556" t="s">
        <v>660</v>
      </c>
      <c r="B163" s="1555">
        <v>0</v>
      </c>
      <c r="C163" s="1555">
        <v>0</v>
      </c>
      <c r="D163" s="1555">
        <v>0</v>
      </c>
      <c r="E163" s="1555">
        <v>0</v>
      </c>
      <c r="F163" s="1555">
        <v>0</v>
      </c>
      <c r="G163" s="1555">
        <v>0</v>
      </c>
      <c r="H163" s="1555">
        <v>0</v>
      </c>
      <c r="I163" s="1555">
        <v>0</v>
      </c>
      <c r="J163" s="1555">
        <v>0</v>
      </c>
      <c r="K163" s="1555">
        <v>0</v>
      </c>
      <c r="L163" s="1555">
        <v>0</v>
      </c>
      <c r="M163" s="1555">
        <v>0</v>
      </c>
      <c r="N163" s="1555">
        <v>0</v>
      </c>
      <c r="O163" s="1555">
        <v>0</v>
      </c>
      <c r="P163" s="1555">
        <v>0</v>
      </c>
      <c r="Q163" s="1555">
        <v>0</v>
      </c>
    </row>
    <row r="164" spans="1:17">
      <c r="A164" s="1556" t="s">
        <v>662</v>
      </c>
      <c r="B164" s="1555">
        <v>0</v>
      </c>
      <c r="C164" s="1555">
        <v>0</v>
      </c>
      <c r="D164" s="1555">
        <v>0</v>
      </c>
      <c r="E164" s="1555">
        <v>0</v>
      </c>
      <c r="F164" s="1555">
        <v>0</v>
      </c>
      <c r="G164" s="1555">
        <v>0</v>
      </c>
      <c r="H164" s="1555">
        <v>0</v>
      </c>
      <c r="I164" s="1555">
        <v>0</v>
      </c>
      <c r="J164" s="1555">
        <v>0</v>
      </c>
      <c r="K164" s="1555">
        <v>0</v>
      </c>
      <c r="L164" s="1555">
        <v>0</v>
      </c>
      <c r="M164" s="1555">
        <v>0</v>
      </c>
      <c r="N164" s="1555">
        <v>0</v>
      </c>
      <c r="O164" s="1555">
        <v>0</v>
      </c>
      <c r="P164" s="1555">
        <v>0</v>
      </c>
      <c r="Q164" s="1555">
        <v>0</v>
      </c>
    </row>
    <row r="165" spans="1:17">
      <c r="A165" s="1556" t="s">
        <v>664</v>
      </c>
      <c r="B165" s="1555">
        <v>0</v>
      </c>
      <c r="C165" s="1555">
        <v>0</v>
      </c>
      <c r="D165" s="1555">
        <v>0</v>
      </c>
      <c r="E165" s="1555">
        <v>0</v>
      </c>
      <c r="F165" s="1555">
        <v>0</v>
      </c>
      <c r="G165" s="1555">
        <v>0</v>
      </c>
      <c r="H165" s="1555">
        <v>0</v>
      </c>
      <c r="I165" s="1555">
        <v>0</v>
      </c>
      <c r="J165" s="1555">
        <v>0</v>
      </c>
      <c r="K165" s="1555">
        <v>0</v>
      </c>
      <c r="L165" s="1555">
        <v>0</v>
      </c>
      <c r="M165" s="1555">
        <v>0</v>
      </c>
      <c r="N165" s="1555">
        <v>0</v>
      </c>
      <c r="O165" s="1555">
        <v>0</v>
      </c>
      <c r="P165" s="1555">
        <v>0</v>
      </c>
      <c r="Q165" s="1555">
        <v>0</v>
      </c>
    </row>
    <row r="166" spans="1:17">
      <c r="A166" s="1556" t="s">
        <v>666</v>
      </c>
      <c r="B166" s="1555">
        <v>0</v>
      </c>
      <c r="C166" s="1555">
        <v>0</v>
      </c>
      <c r="D166" s="1555">
        <v>0</v>
      </c>
      <c r="E166" s="1555">
        <v>0</v>
      </c>
      <c r="F166" s="1555">
        <v>0</v>
      </c>
      <c r="G166" s="1555">
        <v>0</v>
      </c>
      <c r="H166" s="1555">
        <v>0</v>
      </c>
      <c r="I166" s="1555">
        <v>0</v>
      </c>
      <c r="J166" s="1555">
        <v>0</v>
      </c>
      <c r="K166" s="1555">
        <v>0</v>
      </c>
      <c r="L166" s="1555">
        <v>0</v>
      </c>
      <c r="M166" s="1555">
        <v>0</v>
      </c>
      <c r="N166" s="1555">
        <v>0</v>
      </c>
      <c r="O166" s="1555">
        <v>0</v>
      </c>
      <c r="P166" s="1555">
        <v>0</v>
      </c>
      <c r="Q166" s="1555">
        <v>0</v>
      </c>
    </row>
    <row r="167" spans="1:17">
      <c r="A167" s="1556" t="s">
        <v>668</v>
      </c>
      <c r="B167" s="1555">
        <v>0</v>
      </c>
      <c r="C167" s="1555">
        <v>0</v>
      </c>
      <c r="D167" s="1555">
        <v>0</v>
      </c>
      <c r="E167" s="1555">
        <v>0</v>
      </c>
      <c r="F167" s="1555">
        <v>0</v>
      </c>
      <c r="G167" s="1555">
        <v>0</v>
      </c>
      <c r="H167" s="1555">
        <v>0</v>
      </c>
      <c r="I167" s="1555">
        <v>0</v>
      </c>
      <c r="J167" s="1555">
        <v>0</v>
      </c>
      <c r="K167" s="1555">
        <v>0</v>
      </c>
      <c r="L167" s="1555">
        <v>0</v>
      </c>
      <c r="M167" s="1555">
        <v>0</v>
      </c>
      <c r="N167" s="1555">
        <v>0</v>
      </c>
      <c r="O167" s="1555">
        <v>0</v>
      </c>
      <c r="P167" s="1555">
        <v>0</v>
      </c>
      <c r="Q167" s="1555">
        <v>0</v>
      </c>
    </row>
    <row r="168" spans="1:17">
      <c r="A168" s="1554" t="s">
        <v>92</v>
      </c>
      <c r="B168" s="1555">
        <v>0</v>
      </c>
      <c r="C168" s="1555">
        <v>0</v>
      </c>
      <c r="D168" s="1555">
        <v>0</v>
      </c>
      <c r="E168" s="1555">
        <v>0</v>
      </c>
      <c r="F168" s="1555">
        <v>0</v>
      </c>
      <c r="G168" s="1555">
        <v>0</v>
      </c>
      <c r="H168" s="1555">
        <v>0</v>
      </c>
      <c r="I168" s="1555">
        <v>0</v>
      </c>
      <c r="J168" s="1555">
        <v>0</v>
      </c>
      <c r="K168" s="1555">
        <v>0</v>
      </c>
      <c r="L168" s="1555">
        <v>0</v>
      </c>
      <c r="M168" s="1555">
        <v>0</v>
      </c>
      <c r="N168" s="1555">
        <v>0</v>
      </c>
      <c r="O168" s="1555">
        <v>0</v>
      </c>
      <c r="P168" s="1555">
        <v>0</v>
      </c>
      <c r="Q168" s="1555">
        <v>0</v>
      </c>
    </row>
    <row r="169" spans="1:17">
      <c r="A169" s="1556" t="s">
        <v>731</v>
      </c>
      <c r="B169" s="1555">
        <v>0</v>
      </c>
      <c r="C169" s="1555">
        <v>0</v>
      </c>
      <c r="D169" s="1555">
        <v>0</v>
      </c>
      <c r="E169" s="1555">
        <v>0</v>
      </c>
      <c r="F169" s="1555">
        <v>0</v>
      </c>
      <c r="G169" s="1555">
        <v>0</v>
      </c>
      <c r="H169" s="1555">
        <v>0</v>
      </c>
      <c r="I169" s="1555">
        <v>0</v>
      </c>
      <c r="J169" s="1555">
        <v>0</v>
      </c>
      <c r="K169" s="1555">
        <v>0</v>
      </c>
      <c r="L169" s="1555">
        <v>0</v>
      </c>
      <c r="M169" s="1555">
        <v>0</v>
      </c>
      <c r="N169" s="1555">
        <v>0</v>
      </c>
      <c r="O169" s="1555">
        <v>0</v>
      </c>
      <c r="P169" s="1555">
        <v>0</v>
      </c>
      <c r="Q169" s="1555">
        <v>0</v>
      </c>
    </row>
    <row r="170" spans="1:17">
      <c r="A170" s="1556" t="s">
        <v>656</v>
      </c>
      <c r="B170" s="1555">
        <v>0</v>
      </c>
      <c r="C170" s="1555">
        <v>0</v>
      </c>
      <c r="D170" s="1555">
        <v>0</v>
      </c>
      <c r="E170" s="1555">
        <v>0</v>
      </c>
      <c r="F170" s="1555">
        <v>0</v>
      </c>
      <c r="G170" s="1555">
        <v>0</v>
      </c>
      <c r="H170" s="1555">
        <v>0</v>
      </c>
      <c r="I170" s="1555">
        <v>0</v>
      </c>
      <c r="J170" s="1555">
        <v>0</v>
      </c>
      <c r="K170" s="1555">
        <v>0</v>
      </c>
      <c r="L170" s="1555">
        <v>0</v>
      </c>
      <c r="M170" s="1555">
        <v>0</v>
      </c>
      <c r="N170" s="1555">
        <v>0</v>
      </c>
      <c r="O170" s="1555">
        <v>0</v>
      </c>
      <c r="P170" s="1555">
        <v>0</v>
      </c>
      <c r="Q170" s="1555">
        <v>0</v>
      </c>
    </row>
    <row r="171" spans="1:17">
      <c r="A171" s="1556" t="s">
        <v>658</v>
      </c>
      <c r="B171" s="1555">
        <v>0</v>
      </c>
      <c r="C171" s="1555">
        <v>0</v>
      </c>
      <c r="D171" s="1555">
        <v>0</v>
      </c>
      <c r="E171" s="1555">
        <v>0</v>
      </c>
      <c r="F171" s="1555">
        <v>0</v>
      </c>
      <c r="G171" s="1555">
        <v>0</v>
      </c>
      <c r="H171" s="1555">
        <v>0</v>
      </c>
      <c r="I171" s="1555">
        <v>0</v>
      </c>
      <c r="J171" s="1555">
        <v>0</v>
      </c>
      <c r="K171" s="1555">
        <v>0</v>
      </c>
      <c r="L171" s="1555">
        <v>0</v>
      </c>
      <c r="M171" s="1555">
        <v>0</v>
      </c>
      <c r="N171" s="1555">
        <v>0</v>
      </c>
      <c r="O171" s="1555">
        <v>0</v>
      </c>
      <c r="P171" s="1555">
        <v>0</v>
      </c>
      <c r="Q171" s="1555">
        <v>0</v>
      </c>
    </row>
    <row r="172" spans="1:17">
      <c r="A172" s="1556" t="s">
        <v>660</v>
      </c>
      <c r="B172" s="1555">
        <v>0</v>
      </c>
      <c r="C172" s="1555">
        <v>0</v>
      </c>
      <c r="D172" s="1555">
        <v>0</v>
      </c>
      <c r="E172" s="1555">
        <v>0</v>
      </c>
      <c r="F172" s="1555">
        <v>0</v>
      </c>
      <c r="G172" s="1555">
        <v>0</v>
      </c>
      <c r="H172" s="1555">
        <v>0</v>
      </c>
      <c r="I172" s="1555">
        <v>0</v>
      </c>
      <c r="J172" s="1555">
        <v>0</v>
      </c>
      <c r="K172" s="1555">
        <v>0</v>
      </c>
      <c r="L172" s="1555">
        <v>0</v>
      </c>
      <c r="M172" s="1555">
        <v>0</v>
      </c>
      <c r="N172" s="1555">
        <v>0</v>
      </c>
      <c r="O172" s="1555">
        <v>0</v>
      </c>
      <c r="P172" s="1555">
        <v>0</v>
      </c>
      <c r="Q172" s="1555">
        <v>0</v>
      </c>
    </row>
    <row r="173" spans="1:17">
      <c r="A173" s="1556" t="s">
        <v>662</v>
      </c>
      <c r="B173" s="1555">
        <v>0</v>
      </c>
      <c r="C173" s="1555">
        <v>0</v>
      </c>
      <c r="D173" s="1555">
        <v>0</v>
      </c>
      <c r="E173" s="1555">
        <v>0</v>
      </c>
      <c r="F173" s="1555">
        <v>0</v>
      </c>
      <c r="G173" s="1555">
        <v>0</v>
      </c>
      <c r="H173" s="1555">
        <v>0</v>
      </c>
      <c r="I173" s="1555">
        <v>0</v>
      </c>
      <c r="J173" s="1555">
        <v>0</v>
      </c>
      <c r="K173" s="1555">
        <v>0</v>
      </c>
      <c r="L173" s="1555">
        <v>0</v>
      </c>
      <c r="M173" s="1555">
        <v>0</v>
      </c>
      <c r="N173" s="1555">
        <v>0</v>
      </c>
      <c r="O173" s="1555">
        <v>0</v>
      </c>
      <c r="P173" s="1555">
        <v>0</v>
      </c>
      <c r="Q173" s="1555">
        <v>0</v>
      </c>
    </row>
    <row r="174" spans="1:17">
      <c r="A174" s="1556" t="s">
        <v>664</v>
      </c>
      <c r="B174" s="1555">
        <v>0</v>
      </c>
      <c r="C174" s="1555">
        <v>0</v>
      </c>
      <c r="D174" s="1555">
        <v>0</v>
      </c>
      <c r="E174" s="1555">
        <v>0</v>
      </c>
      <c r="F174" s="1555">
        <v>0</v>
      </c>
      <c r="G174" s="1555">
        <v>0</v>
      </c>
      <c r="H174" s="1555">
        <v>0</v>
      </c>
      <c r="I174" s="1555">
        <v>0</v>
      </c>
      <c r="J174" s="1555">
        <v>0</v>
      </c>
      <c r="K174" s="1555">
        <v>0</v>
      </c>
      <c r="L174" s="1555">
        <v>0</v>
      </c>
      <c r="M174" s="1555">
        <v>0</v>
      </c>
      <c r="N174" s="1555">
        <v>0</v>
      </c>
      <c r="O174" s="1555">
        <v>0</v>
      </c>
      <c r="P174" s="1555">
        <v>0</v>
      </c>
      <c r="Q174" s="1555">
        <v>0</v>
      </c>
    </row>
    <row r="175" spans="1:17">
      <c r="A175" s="1556" t="s">
        <v>666</v>
      </c>
      <c r="B175" s="1555">
        <v>0</v>
      </c>
      <c r="C175" s="1555">
        <v>0</v>
      </c>
      <c r="D175" s="1555">
        <v>0</v>
      </c>
      <c r="E175" s="1555">
        <v>0</v>
      </c>
      <c r="F175" s="1555">
        <v>0</v>
      </c>
      <c r="G175" s="1555">
        <v>0</v>
      </c>
      <c r="H175" s="1555">
        <v>0</v>
      </c>
      <c r="I175" s="1555">
        <v>0</v>
      </c>
      <c r="J175" s="1555">
        <v>0</v>
      </c>
      <c r="K175" s="1555">
        <v>0</v>
      </c>
      <c r="L175" s="1555">
        <v>0</v>
      </c>
      <c r="M175" s="1555">
        <v>0</v>
      </c>
      <c r="N175" s="1555">
        <v>0</v>
      </c>
      <c r="O175" s="1555">
        <v>0</v>
      </c>
      <c r="P175" s="1555">
        <v>0</v>
      </c>
      <c r="Q175" s="1555">
        <v>0</v>
      </c>
    </row>
    <row r="176" spans="1:17">
      <c r="A176" s="1556" t="s">
        <v>668</v>
      </c>
      <c r="B176" s="1555">
        <v>0</v>
      </c>
      <c r="C176" s="1555">
        <v>0</v>
      </c>
      <c r="D176" s="1555">
        <v>0</v>
      </c>
      <c r="E176" s="1555">
        <v>0</v>
      </c>
      <c r="F176" s="1555">
        <v>0</v>
      </c>
      <c r="G176" s="1555">
        <v>0</v>
      </c>
      <c r="H176" s="1555">
        <v>0</v>
      </c>
      <c r="I176" s="1555">
        <v>0</v>
      </c>
      <c r="J176" s="1555">
        <v>0</v>
      </c>
      <c r="K176" s="1555">
        <v>0</v>
      </c>
      <c r="L176" s="1555">
        <v>0</v>
      </c>
      <c r="M176" s="1555">
        <v>0</v>
      </c>
      <c r="N176" s="1555">
        <v>0</v>
      </c>
      <c r="O176" s="1555">
        <v>0</v>
      </c>
      <c r="P176" s="1555">
        <v>0</v>
      </c>
      <c r="Q176" s="1555">
        <v>0</v>
      </c>
    </row>
    <row r="177" spans="1:17">
      <c r="A177" s="1554" t="s">
        <v>6934</v>
      </c>
      <c r="B177" s="1555">
        <v>0</v>
      </c>
      <c r="C177" s="1555">
        <v>0</v>
      </c>
      <c r="D177" s="1555">
        <v>0</v>
      </c>
      <c r="E177" s="1555">
        <v>0</v>
      </c>
      <c r="F177" s="1555">
        <v>0</v>
      </c>
      <c r="G177" s="1555">
        <v>0</v>
      </c>
      <c r="H177" s="1555">
        <v>0</v>
      </c>
      <c r="I177" s="1555">
        <v>0</v>
      </c>
      <c r="J177" s="1555">
        <v>0</v>
      </c>
      <c r="K177" s="1555">
        <v>0</v>
      </c>
      <c r="L177" s="1555">
        <v>0</v>
      </c>
      <c r="M177" s="1555">
        <v>0</v>
      </c>
      <c r="N177" s="1555">
        <v>0</v>
      </c>
      <c r="O177" s="1555">
        <v>0</v>
      </c>
      <c r="P177" s="1555">
        <v>0</v>
      </c>
      <c r="Q177" s="1555">
        <v>0</v>
      </c>
    </row>
    <row r="178" spans="1:17">
      <c r="A178" s="1556" t="s">
        <v>731</v>
      </c>
      <c r="B178" s="1555">
        <v>0</v>
      </c>
      <c r="C178" s="1555">
        <v>0</v>
      </c>
      <c r="D178" s="1555">
        <v>0</v>
      </c>
      <c r="E178" s="1555">
        <v>0</v>
      </c>
      <c r="F178" s="1555">
        <v>0</v>
      </c>
      <c r="G178" s="1555">
        <v>0</v>
      </c>
      <c r="H178" s="1555">
        <v>0</v>
      </c>
      <c r="I178" s="1555">
        <v>0</v>
      </c>
      <c r="J178" s="1555">
        <v>0</v>
      </c>
      <c r="K178" s="1555">
        <v>0</v>
      </c>
      <c r="L178" s="1555">
        <v>0</v>
      </c>
      <c r="M178" s="1555">
        <v>0</v>
      </c>
      <c r="N178" s="1555">
        <v>0</v>
      </c>
      <c r="O178" s="1555">
        <v>0</v>
      </c>
      <c r="P178" s="1555">
        <v>0</v>
      </c>
      <c r="Q178" s="1555">
        <v>0</v>
      </c>
    </row>
    <row r="179" spans="1:17">
      <c r="A179" s="1556" t="s">
        <v>656</v>
      </c>
      <c r="B179" s="1555">
        <v>0</v>
      </c>
      <c r="C179" s="1555">
        <v>0</v>
      </c>
      <c r="D179" s="1555">
        <v>0</v>
      </c>
      <c r="E179" s="1555">
        <v>0</v>
      </c>
      <c r="F179" s="1555">
        <v>0</v>
      </c>
      <c r="G179" s="1555">
        <v>0</v>
      </c>
      <c r="H179" s="1555">
        <v>0</v>
      </c>
      <c r="I179" s="1555">
        <v>0</v>
      </c>
      <c r="J179" s="1555">
        <v>0</v>
      </c>
      <c r="K179" s="1555">
        <v>0</v>
      </c>
      <c r="L179" s="1555">
        <v>0</v>
      </c>
      <c r="M179" s="1555">
        <v>0</v>
      </c>
      <c r="N179" s="1555">
        <v>0</v>
      </c>
      <c r="O179" s="1555">
        <v>0</v>
      </c>
      <c r="P179" s="1555">
        <v>0</v>
      </c>
      <c r="Q179" s="1555">
        <v>0</v>
      </c>
    </row>
    <row r="180" spans="1:17">
      <c r="A180" s="1556" t="s">
        <v>658</v>
      </c>
      <c r="B180" s="1555">
        <v>0</v>
      </c>
      <c r="C180" s="1555">
        <v>0</v>
      </c>
      <c r="D180" s="1555">
        <v>0</v>
      </c>
      <c r="E180" s="1555">
        <v>0</v>
      </c>
      <c r="F180" s="1555">
        <v>0</v>
      </c>
      <c r="G180" s="1555">
        <v>0</v>
      </c>
      <c r="H180" s="1555">
        <v>0</v>
      </c>
      <c r="I180" s="1555">
        <v>0</v>
      </c>
      <c r="J180" s="1555">
        <v>0</v>
      </c>
      <c r="K180" s="1555">
        <v>0</v>
      </c>
      <c r="L180" s="1555">
        <v>0</v>
      </c>
      <c r="M180" s="1555">
        <v>0</v>
      </c>
      <c r="N180" s="1555">
        <v>0</v>
      </c>
      <c r="O180" s="1555">
        <v>0</v>
      </c>
      <c r="P180" s="1555">
        <v>0</v>
      </c>
      <c r="Q180" s="1555">
        <v>0</v>
      </c>
    </row>
    <row r="181" spans="1:17">
      <c r="A181" s="1556" t="s">
        <v>660</v>
      </c>
      <c r="B181" s="1555">
        <v>0</v>
      </c>
      <c r="C181" s="1555">
        <v>0</v>
      </c>
      <c r="D181" s="1555">
        <v>0</v>
      </c>
      <c r="E181" s="1555">
        <v>0</v>
      </c>
      <c r="F181" s="1555">
        <v>0</v>
      </c>
      <c r="G181" s="1555">
        <v>0</v>
      </c>
      <c r="H181" s="1555">
        <v>0</v>
      </c>
      <c r="I181" s="1555">
        <v>0</v>
      </c>
      <c r="J181" s="1555">
        <v>0</v>
      </c>
      <c r="K181" s="1555">
        <v>0</v>
      </c>
      <c r="L181" s="1555">
        <v>0</v>
      </c>
      <c r="M181" s="1555">
        <v>0</v>
      </c>
      <c r="N181" s="1555">
        <v>0</v>
      </c>
      <c r="O181" s="1555">
        <v>0</v>
      </c>
      <c r="P181" s="1555">
        <v>0</v>
      </c>
      <c r="Q181" s="1555">
        <v>0</v>
      </c>
    </row>
    <row r="182" spans="1:17">
      <c r="A182" s="1556" t="s">
        <v>662</v>
      </c>
      <c r="B182" s="1555">
        <v>0</v>
      </c>
      <c r="C182" s="1555">
        <v>0</v>
      </c>
      <c r="D182" s="1555">
        <v>0</v>
      </c>
      <c r="E182" s="1555">
        <v>0</v>
      </c>
      <c r="F182" s="1555">
        <v>0</v>
      </c>
      <c r="G182" s="1555">
        <v>0</v>
      </c>
      <c r="H182" s="1555">
        <v>0</v>
      </c>
      <c r="I182" s="1555">
        <v>0</v>
      </c>
      <c r="J182" s="1555">
        <v>0</v>
      </c>
      <c r="K182" s="1555">
        <v>0</v>
      </c>
      <c r="L182" s="1555">
        <v>0</v>
      </c>
      <c r="M182" s="1555">
        <v>0</v>
      </c>
      <c r="N182" s="1555">
        <v>0</v>
      </c>
      <c r="O182" s="1555">
        <v>0</v>
      </c>
      <c r="P182" s="1555">
        <v>0</v>
      </c>
      <c r="Q182" s="1555">
        <v>0</v>
      </c>
    </row>
    <row r="183" spans="1:17">
      <c r="A183" s="1556" t="s">
        <v>664</v>
      </c>
      <c r="B183" s="1555">
        <v>0</v>
      </c>
      <c r="C183" s="1555">
        <v>0</v>
      </c>
      <c r="D183" s="1555">
        <v>0</v>
      </c>
      <c r="E183" s="1555">
        <v>0</v>
      </c>
      <c r="F183" s="1555">
        <v>0</v>
      </c>
      <c r="G183" s="1555">
        <v>0</v>
      </c>
      <c r="H183" s="1555">
        <v>0</v>
      </c>
      <c r="I183" s="1555">
        <v>0</v>
      </c>
      <c r="J183" s="1555">
        <v>0</v>
      </c>
      <c r="K183" s="1555">
        <v>0</v>
      </c>
      <c r="L183" s="1555">
        <v>0</v>
      </c>
      <c r="M183" s="1555">
        <v>0</v>
      </c>
      <c r="N183" s="1555">
        <v>0</v>
      </c>
      <c r="O183" s="1555">
        <v>0</v>
      </c>
      <c r="P183" s="1555">
        <v>0</v>
      </c>
      <c r="Q183" s="1555">
        <v>0</v>
      </c>
    </row>
    <row r="184" spans="1:17">
      <c r="A184" s="1556" t="s">
        <v>666</v>
      </c>
      <c r="B184" s="1555">
        <v>0</v>
      </c>
      <c r="C184" s="1555">
        <v>0</v>
      </c>
      <c r="D184" s="1555">
        <v>0</v>
      </c>
      <c r="E184" s="1555">
        <v>0</v>
      </c>
      <c r="F184" s="1555">
        <v>0</v>
      </c>
      <c r="G184" s="1555">
        <v>0</v>
      </c>
      <c r="H184" s="1555">
        <v>0</v>
      </c>
      <c r="I184" s="1555">
        <v>0</v>
      </c>
      <c r="J184" s="1555">
        <v>0</v>
      </c>
      <c r="K184" s="1555">
        <v>0</v>
      </c>
      <c r="L184" s="1555">
        <v>0</v>
      </c>
      <c r="M184" s="1555">
        <v>0</v>
      </c>
      <c r="N184" s="1555">
        <v>0</v>
      </c>
      <c r="O184" s="1555">
        <v>0</v>
      </c>
      <c r="P184" s="1555">
        <v>0</v>
      </c>
      <c r="Q184" s="1555">
        <v>0</v>
      </c>
    </row>
    <row r="185" spans="1:17">
      <c r="A185" s="1556" t="s">
        <v>668</v>
      </c>
      <c r="B185" s="1555">
        <v>0</v>
      </c>
      <c r="C185" s="1555">
        <v>0</v>
      </c>
      <c r="D185" s="1555">
        <v>0</v>
      </c>
      <c r="E185" s="1555">
        <v>0</v>
      </c>
      <c r="F185" s="1555">
        <v>0</v>
      </c>
      <c r="G185" s="1555">
        <v>0</v>
      </c>
      <c r="H185" s="1555">
        <v>0</v>
      </c>
      <c r="I185" s="1555">
        <v>0</v>
      </c>
      <c r="J185" s="1555">
        <v>0</v>
      </c>
      <c r="K185" s="1555">
        <v>0</v>
      </c>
      <c r="L185" s="1555">
        <v>0</v>
      </c>
      <c r="M185" s="1555">
        <v>0</v>
      </c>
      <c r="N185" s="1555">
        <v>0</v>
      </c>
      <c r="O185" s="1555">
        <v>0</v>
      </c>
      <c r="P185" s="1555">
        <v>0</v>
      </c>
      <c r="Q185" s="1555">
        <v>0</v>
      </c>
    </row>
    <row r="186" spans="1:17">
      <c r="A186" s="1553" t="s">
        <v>803</v>
      </c>
      <c r="B186" s="1555">
        <v>0</v>
      </c>
      <c r="C186" s="1555">
        <v>0</v>
      </c>
      <c r="D186" s="1555">
        <v>0</v>
      </c>
      <c r="E186" s="1555">
        <v>0</v>
      </c>
      <c r="F186" s="1555">
        <v>0</v>
      </c>
      <c r="G186" s="1555">
        <v>0</v>
      </c>
      <c r="H186" s="1555">
        <v>0</v>
      </c>
      <c r="I186" s="1555">
        <v>0</v>
      </c>
      <c r="J186" s="1555">
        <v>0</v>
      </c>
      <c r="K186" s="1555">
        <v>0</v>
      </c>
      <c r="L186" s="1555">
        <v>0</v>
      </c>
      <c r="M186" s="1555">
        <v>0</v>
      </c>
      <c r="N186" s="1555">
        <v>0</v>
      </c>
      <c r="O186" s="1555">
        <v>0</v>
      </c>
      <c r="P186" s="1555">
        <v>0</v>
      </c>
      <c r="Q186" s="1555">
        <v>0</v>
      </c>
    </row>
    <row r="187" spans="1:17">
      <c r="A187" s="1554" t="s">
        <v>6938</v>
      </c>
      <c r="B187" s="1555">
        <v>0</v>
      </c>
      <c r="C187" s="1555">
        <v>0</v>
      </c>
      <c r="D187" s="1555">
        <v>0</v>
      </c>
      <c r="E187" s="1555">
        <v>0</v>
      </c>
      <c r="F187" s="1555">
        <v>0</v>
      </c>
      <c r="G187" s="1555">
        <v>0</v>
      </c>
      <c r="H187" s="1555">
        <v>0</v>
      </c>
      <c r="I187" s="1555">
        <v>0</v>
      </c>
      <c r="J187" s="1555">
        <v>0</v>
      </c>
      <c r="K187" s="1555">
        <v>0</v>
      </c>
      <c r="L187" s="1555">
        <v>0</v>
      </c>
      <c r="M187" s="1555">
        <v>0</v>
      </c>
      <c r="N187" s="1555">
        <v>0</v>
      </c>
      <c r="O187" s="1555">
        <v>0</v>
      </c>
      <c r="P187" s="1555">
        <v>0</v>
      </c>
      <c r="Q187" s="1555">
        <v>0</v>
      </c>
    </row>
    <row r="188" spans="1:17">
      <c r="A188" s="1556" t="s">
        <v>731</v>
      </c>
      <c r="B188" s="1555">
        <v>0</v>
      </c>
      <c r="C188" s="1555">
        <v>0</v>
      </c>
      <c r="D188" s="1555">
        <v>0</v>
      </c>
      <c r="E188" s="1555">
        <v>0</v>
      </c>
      <c r="F188" s="1555">
        <v>0</v>
      </c>
      <c r="G188" s="1555">
        <v>0</v>
      </c>
      <c r="H188" s="1555">
        <v>0</v>
      </c>
      <c r="I188" s="1555">
        <v>0</v>
      </c>
      <c r="J188" s="1555">
        <v>0</v>
      </c>
      <c r="K188" s="1555">
        <v>0</v>
      </c>
      <c r="L188" s="1555">
        <v>0</v>
      </c>
      <c r="M188" s="1555">
        <v>0</v>
      </c>
      <c r="N188" s="1555">
        <v>0</v>
      </c>
      <c r="O188" s="1555">
        <v>0</v>
      </c>
      <c r="P188" s="1555">
        <v>0</v>
      </c>
      <c r="Q188" s="1555">
        <v>0</v>
      </c>
    </row>
    <row r="189" spans="1:17">
      <c r="A189" s="1556" t="s">
        <v>656</v>
      </c>
      <c r="B189" s="1555">
        <v>0</v>
      </c>
      <c r="C189" s="1555">
        <v>0</v>
      </c>
      <c r="D189" s="1555">
        <v>0</v>
      </c>
      <c r="E189" s="1555">
        <v>0</v>
      </c>
      <c r="F189" s="1555">
        <v>0</v>
      </c>
      <c r="G189" s="1555">
        <v>0</v>
      </c>
      <c r="H189" s="1555">
        <v>0</v>
      </c>
      <c r="I189" s="1555">
        <v>0</v>
      </c>
      <c r="J189" s="1555">
        <v>0</v>
      </c>
      <c r="K189" s="1555">
        <v>0</v>
      </c>
      <c r="L189" s="1555">
        <v>0</v>
      </c>
      <c r="M189" s="1555">
        <v>0</v>
      </c>
      <c r="N189" s="1555">
        <v>0</v>
      </c>
      <c r="O189" s="1555">
        <v>0</v>
      </c>
      <c r="P189" s="1555">
        <v>0</v>
      </c>
      <c r="Q189" s="1555">
        <v>0</v>
      </c>
    </row>
    <row r="190" spans="1:17">
      <c r="A190" s="1556" t="s">
        <v>658</v>
      </c>
      <c r="B190" s="1555">
        <v>0</v>
      </c>
      <c r="C190" s="1555">
        <v>0</v>
      </c>
      <c r="D190" s="1555">
        <v>0</v>
      </c>
      <c r="E190" s="1555">
        <v>0</v>
      </c>
      <c r="F190" s="1555">
        <v>0</v>
      </c>
      <c r="G190" s="1555">
        <v>0</v>
      </c>
      <c r="H190" s="1555">
        <v>0</v>
      </c>
      <c r="I190" s="1555">
        <v>0</v>
      </c>
      <c r="J190" s="1555">
        <v>0</v>
      </c>
      <c r="K190" s="1555">
        <v>0</v>
      </c>
      <c r="L190" s="1555">
        <v>0</v>
      </c>
      <c r="M190" s="1555">
        <v>0</v>
      </c>
      <c r="N190" s="1555">
        <v>0</v>
      </c>
      <c r="O190" s="1555">
        <v>0</v>
      </c>
      <c r="P190" s="1555">
        <v>0</v>
      </c>
      <c r="Q190" s="1555">
        <v>0</v>
      </c>
    </row>
    <row r="191" spans="1:17">
      <c r="A191" s="1556" t="s">
        <v>660</v>
      </c>
      <c r="B191" s="1555">
        <v>0</v>
      </c>
      <c r="C191" s="1555">
        <v>0</v>
      </c>
      <c r="D191" s="1555">
        <v>0</v>
      </c>
      <c r="E191" s="1555">
        <v>0</v>
      </c>
      <c r="F191" s="1555">
        <v>0</v>
      </c>
      <c r="G191" s="1555">
        <v>0</v>
      </c>
      <c r="H191" s="1555">
        <v>0</v>
      </c>
      <c r="I191" s="1555">
        <v>0</v>
      </c>
      <c r="J191" s="1555">
        <v>0</v>
      </c>
      <c r="K191" s="1555">
        <v>0</v>
      </c>
      <c r="L191" s="1555">
        <v>0</v>
      </c>
      <c r="M191" s="1555">
        <v>0</v>
      </c>
      <c r="N191" s="1555">
        <v>0</v>
      </c>
      <c r="O191" s="1555">
        <v>0</v>
      </c>
      <c r="P191" s="1555">
        <v>0</v>
      </c>
      <c r="Q191" s="1555">
        <v>0</v>
      </c>
    </row>
    <row r="192" spans="1:17">
      <c r="A192" s="1556" t="s">
        <v>662</v>
      </c>
      <c r="B192" s="1555">
        <v>0</v>
      </c>
      <c r="C192" s="1555">
        <v>0</v>
      </c>
      <c r="D192" s="1555">
        <v>0</v>
      </c>
      <c r="E192" s="1555">
        <v>0</v>
      </c>
      <c r="F192" s="1555">
        <v>0</v>
      </c>
      <c r="G192" s="1555">
        <v>0</v>
      </c>
      <c r="H192" s="1555">
        <v>0</v>
      </c>
      <c r="I192" s="1555">
        <v>0</v>
      </c>
      <c r="J192" s="1555">
        <v>0</v>
      </c>
      <c r="K192" s="1555">
        <v>0</v>
      </c>
      <c r="L192" s="1555">
        <v>0</v>
      </c>
      <c r="M192" s="1555">
        <v>0</v>
      </c>
      <c r="N192" s="1555">
        <v>0</v>
      </c>
      <c r="O192" s="1555">
        <v>0</v>
      </c>
      <c r="P192" s="1555">
        <v>0</v>
      </c>
      <c r="Q192" s="1555">
        <v>0</v>
      </c>
    </row>
    <row r="193" spans="1:17">
      <c r="A193" s="1556" t="s">
        <v>664</v>
      </c>
      <c r="B193" s="1555">
        <v>0</v>
      </c>
      <c r="C193" s="1555">
        <v>0</v>
      </c>
      <c r="D193" s="1555">
        <v>0</v>
      </c>
      <c r="E193" s="1555">
        <v>0</v>
      </c>
      <c r="F193" s="1555">
        <v>0</v>
      </c>
      <c r="G193" s="1555">
        <v>0</v>
      </c>
      <c r="H193" s="1555">
        <v>0</v>
      </c>
      <c r="I193" s="1555">
        <v>0</v>
      </c>
      <c r="J193" s="1555">
        <v>0</v>
      </c>
      <c r="K193" s="1555">
        <v>0</v>
      </c>
      <c r="L193" s="1555">
        <v>0</v>
      </c>
      <c r="M193" s="1555">
        <v>0</v>
      </c>
      <c r="N193" s="1555">
        <v>0</v>
      </c>
      <c r="O193" s="1555">
        <v>0</v>
      </c>
      <c r="P193" s="1555">
        <v>0</v>
      </c>
      <c r="Q193" s="1555">
        <v>0</v>
      </c>
    </row>
    <row r="194" spans="1:17">
      <c r="A194" s="1556" t="s">
        <v>666</v>
      </c>
      <c r="B194" s="1555">
        <v>0</v>
      </c>
      <c r="C194" s="1555">
        <v>0</v>
      </c>
      <c r="D194" s="1555">
        <v>0</v>
      </c>
      <c r="E194" s="1555">
        <v>0</v>
      </c>
      <c r="F194" s="1555">
        <v>0</v>
      </c>
      <c r="G194" s="1555">
        <v>0</v>
      </c>
      <c r="H194" s="1555">
        <v>0</v>
      </c>
      <c r="I194" s="1555">
        <v>0</v>
      </c>
      <c r="J194" s="1555">
        <v>0</v>
      </c>
      <c r="K194" s="1555">
        <v>0</v>
      </c>
      <c r="L194" s="1555">
        <v>0</v>
      </c>
      <c r="M194" s="1555">
        <v>0</v>
      </c>
      <c r="N194" s="1555">
        <v>0</v>
      </c>
      <c r="O194" s="1555">
        <v>0</v>
      </c>
      <c r="P194" s="1555">
        <v>0</v>
      </c>
      <c r="Q194" s="1555">
        <v>0</v>
      </c>
    </row>
    <row r="195" spans="1:17">
      <c r="A195" s="1556" t="s">
        <v>668</v>
      </c>
      <c r="B195" s="1555">
        <v>0</v>
      </c>
      <c r="C195" s="1555">
        <v>0</v>
      </c>
      <c r="D195" s="1555">
        <v>0</v>
      </c>
      <c r="E195" s="1555">
        <v>0</v>
      </c>
      <c r="F195" s="1555">
        <v>0</v>
      </c>
      <c r="G195" s="1555">
        <v>0</v>
      </c>
      <c r="H195" s="1555">
        <v>0</v>
      </c>
      <c r="I195" s="1555">
        <v>0</v>
      </c>
      <c r="J195" s="1555">
        <v>0</v>
      </c>
      <c r="K195" s="1555">
        <v>0</v>
      </c>
      <c r="L195" s="1555">
        <v>0</v>
      </c>
      <c r="M195" s="1555">
        <v>0</v>
      </c>
      <c r="N195" s="1555">
        <v>0</v>
      </c>
      <c r="O195" s="1555">
        <v>0</v>
      </c>
      <c r="P195" s="1555">
        <v>0</v>
      </c>
      <c r="Q195" s="1555">
        <v>0</v>
      </c>
    </row>
    <row r="196" spans="1:17">
      <c r="A196" s="1554" t="s">
        <v>6939</v>
      </c>
      <c r="B196" s="1555">
        <v>0</v>
      </c>
      <c r="C196" s="1555">
        <v>0</v>
      </c>
      <c r="D196" s="1555">
        <v>0</v>
      </c>
      <c r="E196" s="1555">
        <v>0</v>
      </c>
      <c r="F196" s="1555">
        <v>0</v>
      </c>
      <c r="G196" s="1555">
        <v>0</v>
      </c>
      <c r="H196" s="1555">
        <v>0</v>
      </c>
      <c r="I196" s="1555">
        <v>0</v>
      </c>
      <c r="J196" s="1555">
        <v>0</v>
      </c>
      <c r="K196" s="1555">
        <v>0</v>
      </c>
      <c r="L196" s="1555">
        <v>0</v>
      </c>
      <c r="M196" s="1555">
        <v>0</v>
      </c>
      <c r="N196" s="1555">
        <v>0</v>
      </c>
      <c r="O196" s="1555">
        <v>0</v>
      </c>
      <c r="P196" s="1555">
        <v>0</v>
      </c>
      <c r="Q196" s="1555">
        <v>0</v>
      </c>
    </row>
    <row r="197" spans="1:17">
      <c r="A197" s="1556" t="s">
        <v>731</v>
      </c>
      <c r="B197" s="1555">
        <v>0</v>
      </c>
      <c r="C197" s="1555">
        <v>0</v>
      </c>
      <c r="D197" s="1555">
        <v>0</v>
      </c>
      <c r="E197" s="1555">
        <v>0</v>
      </c>
      <c r="F197" s="1555">
        <v>0</v>
      </c>
      <c r="G197" s="1555">
        <v>0</v>
      </c>
      <c r="H197" s="1555">
        <v>0</v>
      </c>
      <c r="I197" s="1555">
        <v>0</v>
      </c>
      <c r="J197" s="1555">
        <v>0</v>
      </c>
      <c r="K197" s="1555">
        <v>0</v>
      </c>
      <c r="L197" s="1555">
        <v>0</v>
      </c>
      <c r="M197" s="1555">
        <v>0</v>
      </c>
      <c r="N197" s="1555">
        <v>0</v>
      </c>
      <c r="O197" s="1555">
        <v>0</v>
      </c>
      <c r="P197" s="1555">
        <v>0</v>
      </c>
      <c r="Q197" s="1555">
        <v>0</v>
      </c>
    </row>
    <row r="198" spans="1:17">
      <c r="A198" s="1556" t="s">
        <v>656</v>
      </c>
      <c r="B198" s="1555">
        <v>0</v>
      </c>
      <c r="C198" s="1555">
        <v>0</v>
      </c>
      <c r="D198" s="1555">
        <v>0</v>
      </c>
      <c r="E198" s="1555">
        <v>0</v>
      </c>
      <c r="F198" s="1555">
        <v>0</v>
      </c>
      <c r="G198" s="1555">
        <v>0</v>
      </c>
      <c r="H198" s="1555">
        <v>0</v>
      </c>
      <c r="I198" s="1555">
        <v>0</v>
      </c>
      <c r="J198" s="1555">
        <v>0</v>
      </c>
      <c r="K198" s="1555">
        <v>0</v>
      </c>
      <c r="L198" s="1555">
        <v>0</v>
      </c>
      <c r="M198" s="1555">
        <v>0</v>
      </c>
      <c r="N198" s="1555">
        <v>0</v>
      </c>
      <c r="O198" s="1555">
        <v>0</v>
      </c>
      <c r="P198" s="1555">
        <v>0</v>
      </c>
      <c r="Q198" s="1555">
        <v>0</v>
      </c>
    </row>
    <row r="199" spans="1:17">
      <c r="A199" s="1556" t="s">
        <v>658</v>
      </c>
      <c r="B199" s="1555">
        <v>0</v>
      </c>
      <c r="C199" s="1555">
        <v>0</v>
      </c>
      <c r="D199" s="1555">
        <v>0</v>
      </c>
      <c r="E199" s="1555">
        <v>0</v>
      </c>
      <c r="F199" s="1555">
        <v>0</v>
      </c>
      <c r="G199" s="1555">
        <v>0</v>
      </c>
      <c r="H199" s="1555">
        <v>0</v>
      </c>
      <c r="I199" s="1555">
        <v>0</v>
      </c>
      <c r="J199" s="1555">
        <v>0</v>
      </c>
      <c r="K199" s="1555">
        <v>0</v>
      </c>
      <c r="L199" s="1555">
        <v>0</v>
      </c>
      <c r="M199" s="1555">
        <v>0</v>
      </c>
      <c r="N199" s="1555">
        <v>0</v>
      </c>
      <c r="O199" s="1555">
        <v>0</v>
      </c>
      <c r="P199" s="1555">
        <v>0</v>
      </c>
      <c r="Q199" s="1555">
        <v>0</v>
      </c>
    </row>
    <row r="200" spans="1:17">
      <c r="A200" s="1556" t="s">
        <v>660</v>
      </c>
      <c r="B200" s="1555">
        <v>0</v>
      </c>
      <c r="C200" s="1555">
        <v>0</v>
      </c>
      <c r="D200" s="1555">
        <v>0</v>
      </c>
      <c r="E200" s="1555">
        <v>0</v>
      </c>
      <c r="F200" s="1555">
        <v>0</v>
      </c>
      <c r="G200" s="1555">
        <v>0</v>
      </c>
      <c r="H200" s="1555">
        <v>0</v>
      </c>
      <c r="I200" s="1555">
        <v>0</v>
      </c>
      <c r="J200" s="1555">
        <v>0</v>
      </c>
      <c r="K200" s="1555">
        <v>0</v>
      </c>
      <c r="L200" s="1555">
        <v>0</v>
      </c>
      <c r="M200" s="1555">
        <v>0</v>
      </c>
      <c r="N200" s="1555">
        <v>0</v>
      </c>
      <c r="O200" s="1555">
        <v>0</v>
      </c>
      <c r="P200" s="1555">
        <v>0</v>
      </c>
      <c r="Q200" s="1555">
        <v>0</v>
      </c>
    </row>
    <row r="201" spans="1:17">
      <c r="A201" s="1556" t="s">
        <v>662</v>
      </c>
      <c r="B201" s="1555">
        <v>0</v>
      </c>
      <c r="C201" s="1555">
        <v>0</v>
      </c>
      <c r="D201" s="1555">
        <v>0</v>
      </c>
      <c r="E201" s="1555">
        <v>0</v>
      </c>
      <c r="F201" s="1555">
        <v>0</v>
      </c>
      <c r="G201" s="1555">
        <v>0</v>
      </c>
      <c r="H201" s="1555">
        <v>0</v>
      </c>
      <c r="I201" s="1555">
        <v>0</v>
      </c>
      <c r="J201" s="1555">
        <v>0</v>
      </c>
      <c r="K201" s="1555">
        <v>0</v>
      </c>
      <c r="L201" s="1555">
        <v>0</v>
      </c>
      <c r="M201" s="1555">
        <v>0</v>
      </c>
      <c r="N201" s="1555">
        <v>0</v>
      </c>
      <c r="O201" s="1555">
        <v>0</v>
      </c>
      <c r="P201" s="1555">
        <v>0</v>
      </c>
      <c r="Q201" s="1555">
        <v>0</v>
      </c>
    </row>
    <row r="202" spans="1:17">
      <c r="A202" s="1556" t="s">
        <v>664</v>
      </c>
      <c r="B202" s="1555">
        <v>0</v>
      </c>
      <c r="C202" s="1555">
        <v>0</v>
      </c>
      <c r="D202" s="1555">
        <v>0</v>
      </c>
      <c r="E202" s="1555">
        <v>0</v>
      </c>
      <c r="F202" s="1555">
        <v>0</v>
      </c>
      <c r="G202" s="1555">
        <v>0</v>
      </c>
      <c r="H202" s="1555">
        <v>0</v>
      </c>
      <c r="I202" s="1555">
        <v>0</v>
      </c>
      <c r="J202" s="1555">
        <v>0</v>
      </c>
      <c r="K202" s="1555">
        <v>0</v>
      </c>
      <c r="L202" s="1555">
        <v>0</v>
      </c>
      <c r="M202" s="1555">
        <v>0</v>
      </c>
      <c r="N202" s="1555">
        <v>0</v>
      </c>
      <c r="O202" s="1555">
        <v>0</v>
      </c>
      <c r="P202" s="1555">
        <v>0</v>
      </c>
      <c r="Q202" s="1555">
        <v>0</v>
      </c>
    </row>
    <row r="203" spans="1:17">
      <c r="A203" s="1556" t="s">
        <v>666</v>
      </c>
      <c r="B203" s="1555">
        <v>0</v>
      </c>
      <c r="C203" s="1555">
        <v>0</v>
      </c>
      <c r="D203" s="1555">
        <v>0</v>
      </c>
      <c r="E203" s="1555">
        <v>0</v>
      </c>
      <c r="F203" s="1555">
        <v>0</v>
      </c>
      <c r="G203" s="1555">
        <v>0</v>
      </c>
      <c r="H203" s="1555">
        <v>0</v>
      </c>
      <c r="I203" s="1555">
        <v>0</v>
      </c>
      <c r="J203" s="1555">
        <v>0</v>
      </c>
      <c r="K203" s="1555">
        <v>0</v>
      </c>
      <c r="L203" s="1555">
        <v>0</v>
      </c>
      <c r="M203" s="1555">
        <v>0</v>
      </c>
      <c r="N203" s="1555">
        <v>0</v>
      </c>
      <c r="O203" s="1555">
        <v>0</v>
      </c>
      <c r="P203" s="1555">
        <v>0</v>
      </c>
      <c r="Q203" s="1555">
        <v>0</v>
      </c>
    </row>
    <row r="204" spans="1:17">
      <c r="A204" s="1556" t="s">
        <v>668</v>
      </c>
      <c r="B204" s="1555">
        <v>0</v>
      </c>
      <c r="C204" s="1555">
        <v>0</v>
      </c>
      <c r="D204" s="1555">
        <v>0</v>
      </c>
      <c r="E204" s="1555">
        <v>0</v>
      </c>
      <c r="F204" s="1555">
        <v>0</v>
      </c>
      <c r="G204" s="1555">
        <v>0</v>
      </c>
      <c r="H204" s="1555">
        <v>0</v>
      </c>
      <c r="I204" s="1555">
        <v>0</v>
      </c>
      <c r="J204" s="1555">
        <v>0</v>
      </c>
      <c r="K204" s="1555">
        <v>0</v>
      </c>
      <c r="L204" s="1555">
        <v>0</v>
      </c>
      <c r="M204" s="1555">
        <v>0</v>
      </c>
      <c r="N204" s="1555">
        <v>0</v>
      </c>
      <c r="O204" s="1555">
        <v>0</v>
      </c>
      <c r="P204" s="1555">
        <v>0</v>
      </c>
      <c r="Q204" s="1555">
        <v>0</v>
      </c>
    </row>
    <row r="205" spans="1:17">
      <c r="A205" s="1554" t="s">
        <v>6933</v>
      </c>
      <c r="B205" s="1555">
        <v>0</v>
      </c>
      <c r="C205" s="1555">
        <v>0</v>
      </c>
      <c r="D205" s="1555">
        <v>0</v>
      </c>
      <c r="E205" s="1555">
        <v>0</v>
      </c>
      <c r="F205" s="1555">
        <v>0</v>
      </c>
      <c r="G205" s="1555">
        <v>0</v>
      </c>
      <c r="H205" s="1555">
        <v>0</v>
      </c>
      <c r="I205" s="1555">
        <v>0</v>
      </c>
      <c r="J205" s="1555">
        <v>0</v>
      </c>
      <c r="K205" s="1555">
        <v>0</v>
      </c>
      <c r="L205" s="1555">
        <v>0</v>
      </c>
      <c r="M205" s="1555">
        <v>0</v>
      </c>
      <c r="N205" s="1555">
        <v>0</v>
      </c>
      <c r="O205" s="1555">
        <v>0</v>
      </c>
      <c r="P205" s="1555">
        <v>0</v>
      </c>
      <c r="Q205" s="1555">
        <v>0</v>
      </c>
    </row>
    <row r="206" spans="1:17">
      <c r="A206" s="1556" t="s">
        <v>731</v>
      </c>
      <c r="B206" s="1555">
        <v>0</v>
      </c>
      <c r="C206" s="1555">
        <v>0</v>
      </c>
      <c r="D206" s="1555">
        <v>0</v>
      </c>
      <c r="E206" s="1555">
        <v>0</v>
      </c>
      <c r="F206" s="1555">
        <v>0</v>
      </c>
      <c r="G206" s="1555">
        <v>0</v>
      </c>
      <c r="H206" s="1555">
        <v>0</v>
      </c>
      <c r="I206" s="1555">
        <v>0</v>
      </c>
      <c r="J206" s="1555">
        <v>0</v>
      </c>
      <c r="K206" s="1555">
        <v>0</v>
      </c>
      <c r="L206" s="1555">
        <v>0</v>
      </c>
      <c r="M206" s="1555">
        <v>0</v>
      </c>
      <c r="N206" s="1555">
        <v>0</v>
      </c>
      <c r="O206" s="1555">
        <v>0</v>
      </c>
      <c r="P206" s="1555">
        <v>0</v>
      </c>
      <c r="Q206" s="1555">
        <v>0</v>
      </c>
    </row>
    <row r="207" spans="1:17">
      <c r="A207" s="1556" t="s">
        <v>656</v>
      </c>
      <c r="B207" s="1555">
        <v>0</v>
      </c>
      <c r="C207" s="1555">
        <v>0</v>
      </c>
      <c r="D207" s="1555">
        <v>0</v>
      </c>
      <c r="E207" s="1555">
        <v>0</v>
      </c>
      <c r="F207" s="1555">
        <v>0</v>
      </c>
      <c r="G207" s="1555">
        <v>0</v>
      </c>
      <c r="H207" s="1555">
        <v>0</v>
      </c>
      <c r="I207" s="1555">
        <v>0</v>
      </c>
      <c r="J207" s="1555">
        <v>0</v>
      </c>
      <c r="K207" s="1555">
        <v>0</v>
      </c>
      <c r="L207" s="1555">
        <v>0</v>
      </c>
      <c r="M207" s="1555">
        <v>0</v>
      </c>
      <c r="N207" s="1555">
        <v>0</v>
      </c>
      <c r="O207" s="1555">
        <v>0</v>
      </c>
      <c r="P207" s="1555">
        <v>0</v>
      </c>
      <c r="Q207" s="1555">
        <v>0</v>
      </c>
    </row>
    <row r="208" spans="1:17">
      <c r="A208" s="1556" t="s">
        <v>658</v>
      </c>
      <c r="B208" s="1555">
        <v>0</v>
      </c>
      <c r="C208" s="1555">
        <v>0</v>
      </c>
      <c r="D208" s="1555">
        <v>0</v>
      </c>
      <c r="E208" s="1555">
        <v>0</v>
      </c>
      <c r="F208" s="1555">
        <v>0</v>
      </c>
      <c r="G208" s="1555">
        <v>0</v>
      </c>
      <c r="H208" s="1555">
        <v>0</v>
      </c>
      <c r="I208" s="1555">
        <v>0</v>
      </c>
      <c r="J208" s="1555">
        <v>0</v>
      </c>
      <c r="K208" s="1555">
        <v>0</v>
      </c>
      <c r="L208" s="1555">
        <v>0</v>
      </c>
      <c r="M208" s="1555">
        <v>0</v>
      </c>
      <c r="N208" s="1555">
        <v>0</v>
      </c>
      <c r="O208" s="1555">
        <v>0</v>
      </c>
      <c r="P208" s="1555">
        <v>0</v>
      </c>
      <c r="Q208" s="1555">
        <v>0</v>
      </c>
    </row>
    <row r="209" spans="1:17">
      <c r="A209" s="1556" t="s">
        <v>660</v>
      </c>
      <c r="B209" s="1555">
        <v>0</v>
      </c>
      <c r="C209" s="1555">
        <v>0</v>
      </c>
      <c r="D209" s="1555">
        <v>0</v>
      </c>
      <c r="E209" s="1555">
        <v>0</v>
      </c>
      <c r="F209" s="1555">
        <v>0</v>
      </c>
      <c r="G209" s="1555">
        <v>0</v>
      </c>
      <c r="H209" s="1555">
        <v>0</v>
      </c>
      <c r="I209" s="1555">
        <v>0</v>
      </c>
      <c r="J209" s="1555">
        <v>0</v>
      </c>
      <c r="K209" s="1555">
        <v>0</v>
      </c>
      <c r="L209" s="1555">
        <v>0</v>
      </c>
      <c r="M209" s="1555">
        <v>0</v>
      </c>
      <c r="N209" s="1555">
        <v>0</v>
      </c>
      <c r="O209" s="1555">
        <v>0</v>
      </c>
      <c r="P209" s="1555">
        <v>0</v>
      </c>
      <c r="Q209" s="1555">
        <v>0</v>
      </c>
    </row>
    <row r="210" spans="1:17">
      <c r="A210" s="1556" t="s">
        <v>662</v>
      </c>
      <c r="B210" s="1555">
        <v>0</v>
      </c>
      <c r="C210" s="1555">
        <v>0</v>
      </c>
      <c r="D210" s="1555">
        <v>0</v>
      </c>
      <c r="E210" s="1555">
        <v>0</v>
      </c>
      <c r="F210" s="1555">
        <v>0</v>
      </c>
      <c r="G210" s="1555">
        <v>0</v>
      </c>
      <c r="H210" s="1555">
        <v>0</v>
      </c>
      <c r="I210" s="1555">
        <v>0</v>
      </c>
      <c r="J210" s="1555">
        <v>0</v>
      </c>
      <c r="K210" s="1555">
        <v>0</v>
      </c>
      <c r="L210" s="1555">
        <v>0</v>
      </c>
      <c r="M210" s="1555">
        <v>0</v>
      </c>
      <c r="N210" s="1555">
        <v>0</v>
      </c>
      <c r="O210" s="1555">
        <v>0</v>
      </c>
      <c r="P210" s="1555">
        <v>0</v>
      </c>
      <c r="Q210" s="1555">
        <v>0</v>
      </c>
    </row>
    <row r="211" spans="1:17">
      <c r="A211" s="1556" t="s">
        <v>664</v>
      </c>
      <c r="B211" s="1555">
        <v>0</v>
      </c>
      <c r="C211" s="1555">
        <v>0</v>
      </c>
      <c r="D211" s="1555">
        <v>0</v>
      </c>
      <c r="E211" s="1555">
        <v>0</v>
      </c>
      <c r="F211" s="1555">
        <v>0</v>
      </c>
      <c r="G211" s="1555">
        <v>0</v>
      </c>
      <c r="H211" s="1555">
        <v>0</v>
      </c>
      <c r="I211" s="1555">
        <v>0</v>
      </c>
      <c r="J211" s="1555">
        <v>0</v>
      </c>
      <c r="K211" s="1555">
        <v>0</v>
      </c>
      <c r="L211" s="1555">
        <v>0</v>
      </c>
      <c r="M211" s="1555">
        <v>0</v>
      </c>
      <c r="N211" s="1555">
        <v>0</v>
      </c>
      <c r="O211" s="1555">
        <v>0</v>
      </c>
      <c r="P211" s="1555">
        <v>0</v>
      </c>
      <c r="Q211" s="1555">
        <v>0</v>
      </c>
    </row>
    <row r="212" spans="1:17">
      <c r="A212" s="1556" t="s">
        <v>666</v>
      </c>
      <c r="B212" s="1555">
        <v>0</v>
      </c>
      <c r="C212" s="1555">
        <v>0</v>
      </c>
      <c r="D212" s="1555">
        <v>0</v>
      </c>
      <c r="E212" s="1555">
        <v>0</v>
      </c>
      <c r="F212" s="1555">
        <v>0</v>
      </c>
      <c r="G212" s="1555">
        <v>0</v>
      </c>
      <c r="H212" s="1555">
        <v>0</v>
      </c>
      <c r="I212" s="1555">
        <v>0</v>
      </c>
      <c r="J212" s="1555">
        <v>0</v>
      </c>
      <c r="K212" s="1555">
        <v>0</v>
      </c>
      <c r="L212" s="1555">
        <v>0</v>
      </c>
      <c r="M212" s="1555">
        <v>0</v>
      </c>
      <c r="N212" s="1555">
        <v>0</v>
      </c>
      <c r="O212" s="1555">
        <v>0</v>
      </c>
      <c r="P212" s="1555">
        <v>0</v>
      </c>
      <c r="Q212" s="1555">
        <v>0</v>
      </c>
    </row>
    <row r="213" spans="1:17">
      <c r="A213" s="1556" t="s">
        <v>668</v>
      </c>
      <c r="B213" s="1555">
        <v>0</v>
      </c>
      <c r="C213" s="1555">
        <v>0</v>
      </c>
      <c r="D213" s="1555">
        <v>0</v>
      </c>
      <c r="E213" s="1555">
        <v>0</v>
      </c>
      <c r="F213" s="1555">
        <v>0</v>
      </c>
      <c r="G213" s="1555">
        <v>0</v>
      </c>
      <c r="H213" s="1555">
        <v>0</v>
      </c>
      <c r="I213" s="1555">
        <v>0</v>
      </c>
      <c r="J213" s="1555">
        <v>0</v>
      </c>
      <c r="K213" s="1555">
        <v>0</v>
      </c>
      <c r="L213" s="1555">
        <v>0</v>
      </c>
      <c r="M213" s="1555">
        <v>0</v>
      </c>
      <c r="N213" s="1555">
        <v>0</v>
      </c>
      <c r="O213" s="1555">
        <v>0</v>
      </c>
      <c r="P213" s="1555">
        <v>0</v>
      </c>
      <c r="Q213" s="1555">
        <v>0</v>
      </c>
    </row>
    <row r="214" spans="1:17">
      <c r="A214" s="1554" t="s">
        <v>6940</v>
      </c>
      <c r="B214" s="1555">
        <v>0</v>
      </c>
      <c r="C214" s="1555">
        <v>0</v>
      </c>
      <c r="D214" s="1555">
        <v>0</v>
      </c>
      <c r="E214" s="1555">
        <v>0</v>
      </c>
      <c r="F214" s="1555">
        <v>0</v>
      </c>
      <c r="G214" s="1555">
        <v>0</v>
      </c>
      <c r="H214" s="1555">
        <v>0</v>
      </c>
      <c r="I214" s="1555">
        <v>0</v>
      </c>
      <c r="J214" s="1555">
        <v>0</v>
      </c>
      <c r="K214" s="1555">
        <v>0</v>
      </c>
      <c r="L214" s="1555">
        <v>0</v>
      </c>
      <c r="M214" s="1555">
        <v>0</v>
      </c>
      <c r="N214" s="1555">
        <v>0</v>
      </c>
      <c r="O214" s="1555">
        <v>0</v>
      </c>
      <c r="P214" s="1555">
        <v>0</v>
      </c>
      <c r="Q214" s="1555">
        <v>0</v>
      </c>
    </row>
    <row r="215" spans="1:17">
      <c r="A215" s="1556" t="s">
        <v>731</v>
      </c>
      <c r="B215" s="1555">
        <v>0</v>
      </c>
      <c r="C215" s="1555">
        <v>0</v>
      </c>
      <c r="D215" s="1555">
        <v>0</v>
      </c>
      <c r="E215" s="1555">
        <v>0</v>
      </c>
      <c r="F215" s="1555">
        <v>0</v>
      </c>
      <c r="G215" s="1555">
        <v>0</v>
      </c>
      <c r="H215" s="1555">
        <v>0</v>
      </c>
      <c r="I215" s="1555">
        <v>0</v>
      </c>
      <c r="J215" s="1555">
        <v>0</v>
      </c>
      <c r="K215" s="1555">
        <v>0</v>
      </c>
      <c r="L215" s="1555">
        <v>0</v>
      </c>
      <c r="M215" s="1555">
        <v>0</v>
      </c>
      <c r="N215" s="1555">
        <v>0</v>
      </c>
      <c r="O215" s="1555">
        <v>0</v>
      </c>
      <c r="P215" s="1555">
        <v>0</v>
      </c>
      <c r="Q215" s="1555">
        <v>0</v>
      </c>
    </row>
    <row r="216" spans="1:17">
      <c r="A216" s="1556" t="s">
        <v>656</v>
      </c>
      <c r="B216" s="1555">
        <v>0</v>
      </c>
      <c r="C216" s="1555">
        <v>0</v>
      </c>
      <c r="D216" s="1555">
        <v>0</v>
      </c>
      <c r="E216" s="1555">
        <v>0</v>
      </c>
      <c r="F216" s="1555">
        <v>0</v>
      </c>
      <c r="G216" s="1555">
        <v>0</v>
      </c>
      <c r="H216" s="1555">
        <v>0</v>
      </c>
      <c r="I216" s="1555">
        <v>0</v>
      </c>
      <c r="J216" s="1555">
        <v>0</v>
      </c>
      <c r="K216" s="1555">
        <v>0</v>
      </c>
      <c r="L216" s="1555">
        <v>0</v>
      </c>
      <c r="M216" s="1555">
        <v>0</v>
      </c>
      <c r="N216" s="1555">
        <v>0</v>
      </c>
      <c r="O216" s="1555">
        <v>0</v>
      </c>
      <c r="P216" s="1555">
        <v>0</v>
      </c>
      <c r="Q216" s="1555">
        <v>0</v>
      </c>
    </row>
    <row r="217" spans="1:17">
      <c r="A217" s="1556" t="s">
        <v>658</v>
      </c>
      <c r="B217" s="1555">
        <v>0</v>
      </c>
      <c r="C217" s="1555">
        <v>0</v>
      </c>
      <c r="D217" s="1555">
        <v>0</v>
      </c>
      <c r="E217" s="1555">
        <v>0</v>
      </c>
      <c r="F217" s="1555">
        <v>0</v>
      </c>
      <c r="G217" s="1555">
        <v>0</v>
      </c>
      <c r="H217" s="1555">
        <v>0</v>
      </c>
      <c r="I217" s="1555">
        <v>0</v>
      </c>
      <c r="J217" s="1555">
        <v>0</v>
      </c>
      <c r="K217" s="1555">
        <v>0</v>
      </c>
      <c r="L217" s="1555">
        <v>0</v>
      </c>
      <c r="M217" s="1555">
        <v>0</v>
      </c>
      <c r="N217" s="1555">
        <v>0</v>
      </c>
      <c r="O217" s="1555">
        <v>0</v>
      </c>
      <c r="P217" s="1555">
        <v>0</v>
      </c>
      <c r="Q217" s="1555">
        <v>0</v>
      </c>
    </row>
    <row r="218" spans="1:17">
      <c r="A218" s="1556" t="s">
        <v>660</v>
      </c>
      <c r="B218" s="1555">
        <v>0</v>
      </c>
      <c r="C218" s="1555">
        <v>0</v>
      </c>
      <c r="D218" s="1555">
        <v>0</v>
      </c>
      <c r="E218" s="1555">
        <v>0</v>
      </c>
      <c r="F218" s="1555">
        <v>0</v>
      </c>
      <c r="G218" s="1555">
        <v>0</v>
      </c>
      <c r="H218" s="1555">
        <v>0</v>
      </c>
      <c r="I218" s="1555">
        <v>0</v>
      </c>
      <c r="J218" s="1555">
        <v>0</v>
      </c>
      <c r="K218" s="1555">
        <v>0</v>
      </c>
      <c r="L218" s="1555">
        <v>0</v>
      </c>
      <c r="M218" s="1555">
        <v>0</v>
      </c>
      <c r="N218" s="1555">
        <v>0</v>
      </c>
      <c r="O218" s="1555">
        <v>0</v>
      </c>
      <c r="P218" s="1555">
        <v>0</v>
      </c>
      <c r="Q218" s="1555">
        <v>0</v>
      </c>
    </row>
    <row r="219" spans="1:17">
      <c r="A219" s="1556" t="s">
        <v>662</v>
      </c>
      <c r="B219" s="1555">
        <v>0</v>
      </c>
      <c r="C219" s="1555">
        <v>0</v>
      </c>
      <c r="D219" s="1555">
        <v>0</v>
      </c>
      <c r="E219" s="1555">
        <v>0</v>
      </c>
      <c r="F219" s="1555">
        <v>0</v>
      </c>
      <c r="G219" s="1555">
        <v>0</v>
      </c>
      <c r="H219" s="1555">
        <v>0</v>
      </c>
      <c r="I219" s="1555">
        <v>0</v>
      </c>
      <c r="J219" s="1555">
        <v>0</v>
      </c>
      <c r="K219" s="1555">
        <v>0</v>
      </c>
      <c r="L219" s="1555">
        <v>0</v>
      </c>
      <c r="M219" s="1555">
        <v>0</v>
      </c>
      <c r="N219" s="1555">
        <v>0</v>
      </c>
      <c r="O219" s="1555">
        <v>0</v>
      </c>
      <c r="P219" s="1555">
        <v>0</v>
      </c>
      <c r="Q219" s="1555">
        <v>0</v>
      </c>
    </row>
    <row r="220" spans="1:17">
      <c r="A220" s="1556" t="s">
        <v>664</v>
      </c>
      <c r="B220" s="1555">
        <v>0</v>
      </c>
      <c r="C220" s="1555">
        <v>0</v>
      </c>
      <c r="D220" s="1555">
        <v>0</v>
      </c>
      <c r="E220" s="1555">
        <v>0</v>
      </c>
      <c r="F220" s="1555">
        <v>0</v>
      </c>
      <c r="G220" s="1555">
        <v>0</v>
      </c>
      <c r="H220" s="1555">
        <v>0</v>
      </c>
      <c r="I220" s="1555">
        <v>0</v>
      </c>
      <c r="J220" s="1555">
        <v>0</v>
      </c>
      <c r="K220" s="1555">
        <v>0</v>
      </c>
      <c r="L220" s="1555">
        <v>0</v>
      </c>
      <c r="M220" s="1555">
        <v>0</v>
      </c>
      <c r="N220" s="1555">
        <v>0</v>
      </c>
      <c r="O220" s="1555">
        <v>0</v>
      </c>
      <c r="P220" s="1555">
        <v>0</v>
      </c>
      <c r="Q220" s="1555">
        <v>0</v>
      </c>
    </row>
    <row r="221" spans="1:17">
      <c r="A221" s="1556" t="s">
        <v>666</v>
      </c>
      <c r="B221" s="1555">
        <v>0</v>
      </c>
      <c r="C221" s="1555">
        <v>0</v>
      </c>
      <c r="D221" s="1555">
        <v>0</v>
      </c>
      <c r="E221" s="1555">
        <v>0</v>
      </c>
      <c r="F221" s="1555">
        <v>0</v>
      </c>
      <c r="G221" s="1555">
        <v>0</v>
      </c>
      <c r="H221" s="1555">
        <v>0</v>
      </c>
      <c r="I221" s="1555">
        <v>0</v>
      </c>
      <c r="J221" s="1555">
        <v>0</v>
      </c>
      <c r="K221" s="1555">
        <v>0</v>
      </c>
      <c r="L221" s="1555">
        <v>0</v>
      </c>
      <c r="M221" s="1555">
        <v>0</v>
      </c>
      <c r="N221" s="1555">
        <v>0</v>
      </c>
      <c r="O221" s="1555">
        <v>0</v>
      </c>
      <c r="P221" s="1555">
        <v>0</v>
      </c>
      <c r="Q221" s="1555">
        <v>0</v>
      </c>
    </row>
    <row r="222" spans="1:17">
      <c r="A222" s="1556" t="s">
        <v>668</v>
      </c>
      <c r="B222" s="1555">
        <v>0</v>
      </c>
      <c r="C222" s="1555">
        <v>0</v>
      </c>
      <c r="D222" s="1555">
        <v>0</v>
      </c>
      <c r="E222" s="1555">
        <v>0</v>
      </c>
      <c r="F222" s="1555">
        <v>0</v>
      </c>
      <c r="G222" s="1555">
        <v>0</v>
      </c>
      <c r="H222" s="1555">
        <v>0</v>
      </c>
      <c r="I222" s="1555">
        <v>0</v>
      </c>
      <c r="J222" s="1555">
        <v>0</v>
      </c>
      <c r="K222" s="1555">
        <v>0</v>
      </c>
      <c r="L222" s="1555">
        <v>0</v>
      </c>
      <c r="M222" s="1555">
        <v>0</v>
      </c>
      <c r="N222" s="1555">
        <v>0</v>
      </c>
      <c r="O222" s="1555">
        <v>0</v>
      </c>
      <c r="P222" s="1555">
        <v>0</v>
      </c>
      <c r="Q222" s="1555">
        <v>0</v>
      </c>
    </row>
    <row r="223" spans="1:17">
      <c r="A223" s="1554" t="s">
        <v>6937</v>
      </c>
      <c r="B223" s="1555">
        <v>0</v>
      </c>
      <c r="C223" s="1555">
        <v>0</v>
      </c>
      <c r="D223" s="1555">
        <v>0</v>
      </c>
      <c r="E223" s="1555">
        <v>0</v>
      </c>
      <c r="F223" s="1555">
        <v>0</v>
      </c>
      <c r="G223" s="1555">
        <v>0</v>
      </c>
      <c r="H223" s="1555">
        <v>0</v>
      </c>
      <c r="I223" s="1555">
        <v>0</v>
      </c>
      <c r="J223" s="1555">
        <v>0</v>
      </c>
      <c r="K223" s="1555">
        <v>0</v>
      </c>
      <c r="L223" s="1555">
        <v>0</v>
      </c>
      <c r="M223" s="1555">
        <v>0</v>
      </c>
      <c r="N223" s="1555">
        <v>0</v>
      </c>
      <c r="O223" s="1555">
        <v>0</v>
      </c>
      <c r="P223" s="1555">
        <v>0</v>
      </c>
      <c r="Q223" s="1555">
        <v>0</v>
      </c>
    </row>
    <row r="224" spans="1:17">
      <c r="A224" s="1556" t="s">
        <v>731</v>
      </c>
      <c r="B224" s="1555">
        <v>0</v>
      </c>
      <c r="C224" s="1555">
        <v>0</v>
      </c>
      <c r="D224" s="1555">
        <v>0</v>
      </c>
      <c r="E224" s="1555">
        <v>0</v>
      </c>
      <c r="F224" s="1555">
        <v>0</v>
      </c>
      <c r="G224" s="1555">
        <v>0</v>
      </c>
      <c r="H224" s="1555">
        <v>0</v>
      </c>
      <c r="I224" s="1555">
        <v>0</v>
      </c>
      <c r="J224" s="1555">
        <v>0</v>
      </c>
      <c r="K224" s="1555">
        <v>0</v>
      </c>
      <c r="L224" s="1555">
        <v>0</v>
      </c>
      <c r="M224" s="1555">
        <v>0</v>
      </c>
      <c r="N224" s="1555">
        <v>0</v>
      </c>
      <c r="O224" s="1555">
        <v>0</v>
      </c>
      <c r="P224" s="1555">
        <v>0</v>
      </c>
      <c r="Q224" s="1555">
        <v>0</v>
      </c>
    </row>
    <row r="225" spans="1:17">
      <c r="A225" s="1556" t="s">
        <v>656</v>
      </c>
      <c r="B225" s="1555">
        <v>0</v>
      </c>
      <c r="C225" s="1555">
        <v>0</v>
      </c>
      <c r="D225" s="1555">
        <v>0</v>
      </c>
      <c r="E225" s="1555">
        <v>0</v>
      </c>
      <c r="F225" s="1555">
        <v>0</v>
      </c>
      <c r="G225" s="1555">
        <v>0</v>
      </c>
      <c r="H225" s="1555">
        <v>0</v>
      </c>
      <c r="I225" s="1555">
        <v>0</v>
      </c>
      <c r="J225" s="1555">
        <v>0</v>
      </c>
      <c r="K225" s="1555">
        <v>0</v>
      </c>
      <c r="L225" s="1555">
        <v>0</v>
      </c>
      <c r="M225" s="1555">
        <v>0</v>
      </c>
      <c r="N225" s="1555">
        <v>0</v>
      </c>
      <c r="O225" s="1555">
        <v>0</v>
      </c>
      <c r="P225" s="1555">
        <v>0</v>
      </c>
      <c r="Q225" s="1555">
        <v>0</v>
      </c>
    </row>
    <row r="226" spans="1:17">
      <c r="A226" s="1556" t="s">
        <v>658</v>
      </c>
      <c r="B226" s="1555">
        <v>0</v>
      </c>
      <c r="C226" s="1555">
        <v>0</v>
      </c>
      <c r="D226" s="1555">
        <v>0</v>
      </c>
      <c r="E226" s="1555">
        <v>0</v>
      </c>
      <c r="F226" s="1555">
        <v>0</v>
      </c>
      <c r="G226" s="1555">
        <v>0</v>
      </c>
      <c r="H226" s="1555">
        <v>0</v>
      </c>
      <c r="I226" s="1555">
        <v>0</v>
      </c>
      <c r="J226" s="1555">
        <v>0</v>
      </c>
      <c r="K226" s="1555">
        <v>0</v>
      </c>
      <c r="L226" s="1555">
        <v>0</v>
      </c>
      <c r="M226" s="1555">
        <v>0</v>
      </c>
      <c r="N226" s="1555">
        <v>0</v>
      </c>
      <c r="O226" s="1555">
        <v>0</v>
      </c>
      <c r="P226" s="1555">
        <v>0</v>
      </c>
      <c r="Q226" s="1555">
        <v>0</v>
      </c>
    </row>
    <row r="227" spans="1:17">
      <c r="A227" s="1556" t="s">
        <v>660</v>
      </c>
      <c r="B227" s="1555">
        <v>0</v>
      </c>
      <c r="C227" s="1555">
        <v>0</v>
      </c>
      <c r="D227" s="1555">
        <v>0</v>
      </c>
      <c r="E227" s="1555">
        <v>0</v>
      </c>
      <c r="F227" s="1555">
        <v>0</v>
      </c>
      <c r="G227" s="1555">
        <v>0</v>
      </c>
      <c r="H227" s="1555">
        <v>0</v>
      </c>
      <c r="I227" s="1555">
        <v>0</v>
      </c>
      <c r="J227" s="1555">
        <v>0</v>
      </c>
      <c r="K227" s="1555">
        <v>0</v>
      </c>
      <c r="L227" s="1555">
        <v>0</v>
      </c>
      <c r="M227" s="1555">
        <v>0</v>
      </c>
      <c r="N227" s="1555">
        <v>0</v>
      </c>
      <c r="O227" s="1555">
        <v>0</v>
      </c>
      <c r="P227" s="1555">
        <v>0</v>
      </c>
      <c r="Q227" s="1555">
        <v>0</v>
      </c>
    </row>
    <row r="228" spans="1:17">
      <c r="A228" s="1556" t="s">
        <v>662</v>
      </c>
      <c r="B228" s="1555">
        <v>0</v>
      </c>
      <c r="C228" s="1555">
        <v>0</v>
      </c>
      <c r="D228" s="1555">
        <v>0</v>
      </c>
      <c r="E228" s="1555">
        <v>0</v>
      </c>
      <c r="F228" s="1555">
        <v>0</v>
      </c>
      <c r="G228" s="1555">
        <v>0</v>
      </c>
      <c r="H228" s="1555">
        <v>0</v>
      </c>
      <c r="I228" s="1555">
        <v>0</v>
      </c>
      <c r="J228" s="1555">
        <v>0</v>
      </c>
      <c r="K228" s="1555">
        <v>0</v>
      </c>
      <c r="L228" s="1555">
        <v>0</v>
      </c>
      <c r="M228" s="1555">
        <v>0</v>
      </c>
      <c r="N228" s="1555">
        <v>0</v>
      </c>
      <c r="O228" s="1555">
        <v>0</v>
      </c>
      <c r="P228" s="1555">
        <v>0</v>
      </c>
      <c r="Q228" s="1555">
        <v>0</v>
      </c>
    </row>
    <row r="229" spans="1:17">
      <c r="A229" s="1556" t="s">
        <v>664</v>
      </c>
      <c r="B229" s="1555">
        <v>0</v>
      </c>
      <c r="C229" s="1555">
        <v>0</v>
      </c>
      <c r="D229" s="1555">
        <v>0</v>
      </c>
      <c r="E229" s="1555">
        <v>0</v>
      </c>
      <c r="F229" s="1555">
        <v>0</v>
      </c>
      <c r="G229" s="1555">
        <v>0</v>
      </c>
      <c r="H229" s="1555">
        <v>0</v>
      </c>
      <c r="I229" s="1555">
        <v>0</v>
      </c>
      <c r="J229" s="1555">
        <v>0</v>
      </c>
      <c r="K229" s="1555">
        <v>0</v>
      </c>
      <c r="L229" s="1555">
        <v>0</v>
      </c>
      <c r="M229" s="1555">
        <v>0</v>
      </c>
      <c r="N229" s="1555">
        <v>0</v>
      </c>
      <c r="O229" s="1555">
        <v>0</v>
      </c>
      <c r="P229" s="1555">
        <v>0</v>
      </c>
      <c r="Q229" s="1555">
        <v>0</v>
      </c>
    </row>
    <row r="230" spans="1:17">
      <c r="A230" s="1556" t="s">
        <v>666</v>
      </c>
      <c r="B230" s="1555">
        <v>0</v>
      </c>
      <c r="C230" s="1555">
        <v>0</v>
      </c>
      <c r="D230" s="1555">
        <v>0</v>
      </c>
      <c r="E230" s="1555">
        <v>0</v>
      </c>
      <c r="F230" s="1555">
        <v>0</v>
      </c>
      <c r="G230" s="1555">
        <v>0</v>
      </c>
      <c r="H230" s="1555">
        <v>0</v>
      </c>
      <c r="I230" s="1555">
        <v>0</v>
      </c>
      <c r="J230" s="1555">
        <v>0</v>
      </c>
      <c r="K230" s="1555">
        <v>0</v>
      </c>
      <c r="L230" s="1555">
        <v>0</v>
      </c>
      <c r="M230" s="1555">
        <v>0</v>
      </c>
      <c r="N230" s="1555">
        <v>0</v>
      </c>
      <c r="O230" s="1555">
        <v>0</v>
      </c>
      <c r="P230" s="1555">
        <v>0</v>
      </c>
      <c r="Q230" s="1555">
        <v>0</v>
      </c>
    </row>
    <row r="231" spans="1:17">
      <c r="A231" s="1556" t="s">
        <v>668</v>
      </c>
      <c r="B231" s="1555">
        <v>0</v>
      </c>
      <c r="C231" s="1555">
        <v>0</v>
      </c>
      <c r="D231" s="1555">
        <v>0</v>
      </c>
      <c r="E231" s="1555">
        <v>0</v>
      </c>
      <c r="F231" s="1555">
        <v>0</v>
      </c>
      <c r="G231" s="1555">
        <v>0</v>
      </c>
      <c r="H231" s="1555">
        <v>0</v>
      </c>
      <c r="I231" s="1555">
        <v>0</v>
      </c>
      <c r="J231" s="1555">
        <v>0</v>
      </c>
      <c r="K231" s="1555">
        <v>0</v>
      </c>
      <c r="L231" s="1555">
        <v>0</v>
      </c>
      <c r="M231" s="1555">
        <v>0</v>
      </c>
      <c r="N231" s="1555">
        <v>0</v>
      </c>
      <c r="O231" s="1555">
        <v>0</v>
      </c>
      <c r="P231" s="1555">
        <v>0</v>
      </c>
      <c r="Q231" s="1555">
        <v>0</v>
      </c>
    </row>
    <row r="232" spans="1:17">
      <c r="A232" s="1554" t="s">
        <v>6941</v>
      </c>
      <c r="B232" s="1555">
        <v>0</v>
      </c>
      <c r="C232" s="1555">
        <v>0</v>
      </c>
      <c r="D232" s="1555">
        <v>0</v>
      </c>
      <c r="E232" s="1555">
        <v>0</v>
      </c>
      <c r="F232" s="1555">
        <v>0</v>
      </c>
      <c r="G232" s="1555">
        <v>0</v>
      </c>
      <c r="H232" s="1555">
        <v>0</v>
      </c>
      <c r="I232" s="1555">
        <v>0</v>
      </c>
      <c r="J232" s="1555">
        <v>0</v>
      </c>
      <c r="K232" s="1555">
        <v>0</v>
      </c>
      <c r="L232" s="1555">
        <v>0</v>
      </c>
      <c r="M232" s="1555">
        <v>0</v>
      </c>
      <c r="N232" s="1555">
        <v>0</v>
      </c>
      <c r="O232" s="1555">
        <v>0</v>
      </c>
      <c r="P232" s="1555">
        <v>0</v>
      </c>
      <c r="Q232" s="1555">
        <v>0</v>
      </c>
    </row>
    <row r="233" spans="1:17">
      <c r="A233" s="1556" t="s">
        <v>731</v>
      </c>
      <c r="B233" s="1555">
        <v>0</v>
      </c>
      <c r="C233" s="1555">
        <v>0</v>
      </c>
      <c r="D233" s="1555">
        <v>0</v>
      </c>
      <c r="E233" s="1555">
        <v>0</v>
      </c>
      <c r="F233" s="1555">
        <v>0</v>
      </c>
      <c r="G233" s="1555">
        <v>0</v>
      </c>
      <c r="H233" s="1555">
        <v>0</v>
      </c>
      <c r="I233" s="1555">
        <v>0</v>
      </c>
      <c r="J233" s="1555">
        <v>0</v>
      </c>
      <c r="K233" s="1555">
        <v>0</v>
      </c>
      <c r="L233" s="1555">
        <v>0</v>
      </c>
      <c r="M233" s="1555">
        <v>0</v>
      </c>
      <c r="N233" s="1555">
        <v>0</v>
      </c>
      <c r="O233" s="1555">
        <v>0</v>
      </c>
      <c r="P233" s="1555">
        <v>0</v>
      </c>
      <c r="Q233" s="1555">
        <v>0</v>
      </c>
    </row>
    <row r="234" spans="1:17">
      <c r="A234" s="1556" t="s">
        <v>656</v>
      </c>
      <c r="B234" s="1555">
        <v>0</v>
      </c>
      <c r="C234" s="1555">
        <v>0</v>
      </c>
      <c r="D234" s="1555">
        <v>0</v>
      </c>
      <c r="E234" s="1555">
        <v>0</v>
      </c>
      <c r="F234" s="1555">
        <v>0</v>
      </c>
      <c r="G234" s="1555">
        <v>0</v>
      </c>
      <c r="H234" s="1555">
        <v>0</v>
      </c>
      <c r="I234" s="1555">
        <v>0</v>
      </c>
      <c r="J234" s="1555">
        <v>0</v>
      </c>
      <c r="K234" s="1555">
        <v>0</v>
      </c>
      <c r="L234" s="1555">
        <v>0</v>
      </c>
      <c r="M234" s="1555">
        <v>0</v>
      </c>
      <c r="N234" s="1555">
        <v>0</v>
      </c>
      <c r="O234" s="1555">
        <v>0</v>
      </c>
      <c r="P234" s="1555">
        <v>0</v>
      </c>
      <c r="Q234" s="1555">
        <v>0</v>
      </c>
    </row>
    <row r="235" spans="1:17">
      <c r="A235" s="1556" t="s">
        <v>658</v>
      </c>
      <c r="B235" s="1555">
        <v>0</v>
      </c>
      <c r="C235" s="1555">
        <v>0</v>
      </c>
      <c r="D235" s="1555">
        <v>0</v>
      </c>
      <c r="E235" s="1555">
        <v>0</v>
      </c>
      <c r="F235" s="1555">
        <v>0</v>
      </c>
      <c r="G235" s="1555">
        <v>0</v>
      </c>
      <c r="H235" s="1555">
        <v>0</v>
      </c>
      <c r="I235" s="1555">
        <v>0</v>
      </c>
      <c r="J235" s="1555">
        <v>0</v>
      </c>
      <c r="K235" s="1555">
        <v>0</v>
      </c>
      <c r="L235" s="1555">
        <v>0</v>
      </c>
      <c r="M235" s="1555">
        <v>0</v>
      </c>
      <c r="N235" s="1555">
        <v>0</v>
      </c>
      <c r="O235" s="1555">
        <v>0</v>
      </c>
      <c r="P235" s="1555">
        <v>0</v>
      </c>
      <c r="Q235" s="1555">
        <v>0</v>
      </c>
    </row>
    <row r="236" spans="1:17">
      <c r="A236" s="1556" t="s">
        <v>660</v>
      </c>
      <c r="B236" s="1555">
        <v>0</v>
      </c>
      <c r="C236" s="1555">
        <v>0</v>
      </c>
      <c r="D236" s="1555">
        <v>0</v>
      </c>
      <c r="E236" s="1555">
        <v>0</v>
      </c>
      <c r="F236" s="1555">
        <v>0</v>
      </c>
      <c r="G236" s="1555">
        <v>0</v>
      </c>
      <c r="H236" s="1555">
        <v>0</v>
      </c>
      <c r="I236" s="1555">
        <v>0</v>
      </c>
      <c r="J236" s="1555">
        <v>0</v>
      </c>
      <c r="K236" s="1555">
        <v>0</v>
      </c>
      <c r="L236" s="1555">
        <v>0</v>
      </c>
      <c r="M236" s="1555">
        <v>0</v>
      </c>
      <c r="N236" s="1555">
        <v>0</v>
      </c>
      <c r="O236" s="1555">
        <v>0</v>
      </c>
      <c r="P236" s="1555">
        <v>0</v>
      </c>
      <c r="Q236" s="1555">
        <v>0</v>
      </c>
    </row>
    <row r="237" spans="1:17">
      <c r="A237" s="1556" t="s">
        <v>662</v>
      </c>
      <c r="B237" s="1555">
        <v>0</v>
      </c>
      <c r="C237" s="1555">
        <v>0</v>
      </c>
      <c r="D237" s="1555">
        <v>0</v>
      </c>
      <c r="E237" s="1555">
        <v>0</v>
      </c>
      <c r="F237" s="1555">
        <v>0</v>
      </c>
      <c r="G237" s="1555">
        <v>0</v>
      </c>
      <c r="H237" s="1555">
        <v>0</v>
      </c>
      <c r="I237" s="1555">
        <v>0</v>
      </c>
      <c r="J237" s="1555">
        <v>0</v>
      </c>
      <c r="K237" s="1555">
        <v>0</v>
      </c>
      <c r="L237" s="1555">
        <v>0</v>
      </c>
      <c r="M237" s="1555">
        <v>0</v>
      </c>
      <c r="N237" s="1555">
        <v>0</v>
      </c>
      <c r="O237" s="1555">
        <v>0</v>
      </c>
      <c r="P237" s="1555">
        <v>0</v>
      </c>
      <c r="Q237" s="1555">
        <v>0</v>
      </c>
    </row>
    <row r="238" spans="1:17">
      <c r="A238" s="1556" t="s">
        <v>664</v>
      </c>
      <c r="B238" s="1555">
        <v>0</v>
      </c>
      <c r="C238" s="1555">
        <v>0</v>
      </c>
      <c r="D238" s="1555">
        <v>0</v>
      </c>
      <c r="E238" s="1555">
        <v>0</v>
      </c>
      <c r="F238" s="1555">
        <v>0</v>
      </c>
      <c r="G238" s="1555">
        <v>0</v>
      </c>
      <c r="H238" s="1555">
        <v>0</v>
      </c>
      <c r="I238" s="1555">
        <v>0</v>
      </c>
      <c r="J238" s="1555">
        <v>0</v>
      </c>
      <c r="K238" s="1555">
        <v>0</v>
      </c>
      <c r="L238" s="1555">
        <v>0</v>
      </c>
      <c r="M238" s="1555">
        <v>0</v>
      </c>
      <c r="N238" s="1555">
        <v>0</v>
      </c>
      <c r="O238" s="1555">
        <v>0</v>
      </c>
      <c r="P238" s="1555">
        <v>0</v>
      </c>
      <c r="Q238" s="1555">
        <v>0</v>
      </c>
    </row>
    <row r="239" spans="1:17">
      <c r="A239" s="1556" t="s">
        <v>666</v>
      </c>
      <c r="B239" s="1555">
        <v>0</v>
      </c>
      <c r="C239" s="1555">
        <v>0</v>
      </c>
      <c r="D239" s="1555">
        <v>0</v>
      </c>
      <c r="E239" s="1555">
        <v>0</v>
      </c>
      <c r="F239" s="1555">
        <v>0</v>
      </c>
      <c r="G239" s="1555">
        <v>0</v>
      </c>
      <c r="H239" s="1555">
        <v>0</v>
      </c>
      <c r="I239" s="1555">
        <v>0</v>
      </c>
      <c r="J239" s="1555">
        <v>0</v>
      </c>
      <c r="K239" s="1555">
        <v>0</v>
      </c>
      <c r="L239" s="1555">
        <v>0</v>
      </c>
      <c r="M239" s="1555">
        <v>0</v>
      </c>
      <c r="N239" s="1555">
        <v>0</v>
      </c>
      <c r="O239" s="1555">
        <v>0</v>
      </c>
      <c r="P239" s="1555">
        <v>0</v>
      </c>
      <c r="Q239" s="1555">
        <v>0</v>
      </c>
    </row>
    <row r="240" spans="1:17">
      <c r="A240" s="1556" t="s">
        <v>668</v>
      </c>
      <c r="B240" s="1555">
        <v>0</v>
      </c>
      <c r="C240" s="1555">
        <v>0</v>
      </c>
      <c r="D240" s="1555">
        <v>0</v>
      </c>
      <c r="E240" s="1555">
        <v>0</v>
      </c>
      <c r="F240" s="1555">
        <v>0</v>
      </c>
      <c r="G240" s="1555">
        <v>0</v>
      </c>
      <c r="H240" s="1555">
        <v>0</v>
      </c>
      <c r="I240" s="1555">
        <v>0</v>
      </c>
      <c r="J240" s="1555">
        <v>0</v>
      </c>
      <c r="K240" s="1555">
        <v>0</v>
      </c>
      <c r="L240" s="1555">
        <v>0</v>
      </c>
      <c r="M240" s="1555">
        <v>0</v>
      </c>
      <c r="N240" s="1555">
        <v>0</v>
      </c>
      <c r="O240" s="1555">
        <v>0</v>
      </c>
      <c r="P240" s="1555">
        <v>0</v>
      </c>
      <c r="Q240" s="1555">
        <v>0</v>
      </c>
    </row>
    <row r="241" spans="1:17">
      <c r="A241" s="1554" t="s">
        <v>6936</v>
      </c>
      <c r="B241" s="1555">
        <v>0</v>
      </c>
      <c r="C241" s="1555">
        <v>0</v>
      </c>
      <c r="D241" s="1555">
        <v>0</v>
      </c>
      <c r="E241" s="1555">
        <v>0</v>
      </c>
      <c r="F241" s="1555">
        <v>0</v>
      </c>
      <c r="G241" s="1555">
        <v>0</v>
      </c>
      <c r="H241" s="1555">
        <v>0</v>
      </c>
      <c r="I241" s="1555">
        <v>0</v>
      </c>
      <c r="J241" s="1555">
        <v>0</v>
      </c>
      <c r="K241" s="1555">
        <v>0</v>
      </c>
      <c r="L241" s="1555">
        <v>0</v>
      </c>
      <c r="M241" s="1555">
        <v>0</v>
      </c>
      <c r="N241" s="1555">
        <v>0</v>
      </c>
      <c r="O241" s="1555">
        <v>0</v>
      </c>
      <c r="P241" s="1555">
        <v>0</v>
      </c>
      <c r="Q241" s="1555">
        <v>0</v>
      </c>
    </row>
    <row r="242" spans="1:17">
      <c r="A242" s="1556" t="s">
        <v>731</v>
      </c>
      <c r="B242" s="1555">
        <v>0</v>
      </c>
      <c r="C242" s="1555">
        <v>0</v>
      </c>
      <c r="D242" s="1555">
        <v>0</v>
      </c>
      <c r="E242" s="1555">
        <v>0</v>
      </c>
      <c r="F242" s="1555">
        <v>0</v>
      </c>
      <c r="G242" s="1555">
        <v>0</v>
      </c>
      <c r="H242" s="1555">
        <v>0</v>
      </c>
      <c r="I242" s="1555">
        <v>0</v>
      </c>
      <c r="J242" s="1555">
        <v>0</v>
      </c>
      <c r="K242" s="1555">
        <v>0</v>
      </c>
      <c r="L242" s="1555">
        <v>0</v>
      </c>
      <c r="M242" s="1555">
        <v>0</v>
      </c>
      <c r="N242" s="1555">
        <v>0</v>
      </c>
      <c r="O242" s="1555">
        <v>0</v>
      </c>
      <c r="P242" s="1555">
        <v>0</v>
      </c>
      <c r="Q242" s="1555">
        <v>0</v>
      </c>
    </row>
    <row r="243" spans="1:17">
      <c r="A243" s="1556" t="s">
        <v>656</v>
      </c>
      <c r="B243" s="1555">
        <v>0</v>
      </c>
      <c r="C243" s="1555">
        <v>0</v>
      </c>
      <c r="D243" s="1555">
        <v>0</v>
      </c>
      <c r="E243" s="1555">
        <v>0</v>
      </c>
      <c r="F243" s="1555">
        <v>0</v>
      </c>
      <c r="G243" s="1555">
        <v>0</v>
      </c>
      <c r="H243" s="1555">
        <v>0</v>
      </c>
      <c r="I243" s="1555">
        <v>0</v>
      </c>
      <c r="J243" s="1555">
        <v>0</v>
      </c>
      <c r="K243" s="1555">
        <v>0</v>
      </c>
      <c r="L243" s="1555">
        <v>0</v>
      </c>
      <c r="M243" s="1555">
        <v>0</v>
      </c>
      <c r="N243" s="1555">
        <v>0</v>
      </c>
      <c r="O243" s="1555">
        <v>0</v>
      </c>
      <c r="P243" s="1555">
        <v>0</v>
      </c>
      <c r="Q243" s="1555">
        <v>0</v>
      </c>
    </row>
    <row r="244" spans="1:17">
      <c r="A244" s="1556" t="s">
        <v>658</v>
      </c>
      <c r="B244" s="1555">
        <v>0</v>
      </c>
      <c r="C244" s="1555">
        <v>0</v>
      </c>
      <c r="D244" s="1555">
        <v>0</v>
      </c>
      <c r="E244" s="1555">
        <v>0</v>
      </c>
      <c r="F244" s="1555">
        <v>0</v>
      </c>
      <c r="G244" s="1555">
        <v>0</v>
      </c>
      <c r="H244" s="1555">
        <v>0</v>
      </c>
      <c r="I244" s="1555">
        <v>0</v>
      </c>
      <c r="J244" s="1555">
        <v>0</v>
      </c>
      <c r="K244" s="1555">
        <v>0</v>
      </c>
      <c r="L244" s="1555">
        <v>0</v>
      </c>
      <c r="M244" s="1555">
        <v>0</v>
      </c>
      <c r="N244" s="1555">
        <v>0</v>
      </c>
      <c r="O244" s="1555">
        <v>0</v>
      </c>
      <c r="P244" s="1555">
        <v>0</v>
      </c>
      <c r="Q244" s="1555">
        <v>0</v>
      </c>
    </row>
    <row r="245" spans="1:17">
      <c r="A245" s="1556" t="s">
        <v>660</v>
      </c>
      <c r="B245" s="1555">
        <v>0</v>
      </c>
      <c r="C245" s="1555">
        <v>0</v>
      </c>
      <c r="D245" s="1555">
        <v>0</v>
      </c>
      <c r="E245" s="1555">
        <v>0</v>
      </c>
      <c r="F245" s="1555">
        <v>0</v>
      </c>
      <c r="G245" s="1555">
        <v>0</v>
      </c>
      <c r="H245" s="1555">
        <v>0</v>
      </c>
      <c r="I245" s="1555">
        <v>0</v>
      </c>
      <c r="J245" s="1555">
        <v>0</v>
      </c>
      <c r="K245" s="1555">
        <v>0</v>
      </c>
      <c r="L245" s="1555">
        <v>0</v>
      </c>
      <c r="M245" s="1555">
        <v>0</v>
      </c>
      <c r="N245" s="1555">
        <v>0</v>
      </c>
      <c r="O245" s="1555">
        <v>0</v>
      </c>
      <c r="P245" s="1555">
        <v>0</v>
      </c>
      <c r="Q245" s="1555">
        <v>0</v>
      </c>
    </row>
    <row r="246" spans="1:17">
      <c r="A246" s="1556" t="s">
        <v>662</v>
      </c>
      <c r="B246" s="1555">
        <v>0</v>
      </c>
      <c r="C246" s="1555">
        <v>0</v>
      </c>
      <c r="D246" s="1555">
        <v>0</v>
      </c>
      <c r="E246" s="1555">
        <v>0</v>
      </c>
      <c r="F246" s="1555">
        <v>0</v>
      </c>
      <c r="G246" s="1555">
        <v>0</v>
      </c>
      <c r="H246" s="1555">
        <v>0</v>
      </c>
      <c r="I246" s="1555">
        <v>0</v>
      </c>
      <c r="J246" s="1555">
        <v>0</v>
      </c>
      <c r="K246" s="1555">
        <v>0</v>
      </c>
      <c r="L246" s="1555">
        <v>0</v>
      </c>
      <c r="M246" s="1555">
        <v>0</v>
      </c>
      <c r="N246" s="1555">
        <v>0</v>
      </c>
      <c r="O246" s="1555">
        <v>0</v>
      </c>
      <c r="P246" s="1555">
        <v>0</v>
      </c>
      <c r="Q246" s="1555">
        <v>0</v>
      </c>
    </row>
    <row r="247" spans="1:17">
      <c r="A247" s="1556" t="s">
        <v>664</v>
      </c>
      <c r="B247" s="1555">
        <v>0</v>
      </c>
      <c r="C247" s="1555">
        <v>0</v>
      </c>
      <c r="D247" s="1555">
        <v>0</v>
      </c>
      <c r="E247" s="1555">
        <v>0</v>
      </c>
      <c r="F247" s="1555">
        <v>0</v>
      </c>
      <c r="G247" s="1555">
        <v>0</v>
      </c>
      <c r="H247" s="1555">
        <v>0</v>
      </c>
      <c r="I247" s="1555">
        <v>0</v>
      </c>
      <c r="J247" s="1555">
        <v>0</v>
      </c>
      <c r="K247" s="1555">
        <v>0</v>
      </c>
      <c r="L247" s="1555">
        <v>0</v>
      </c>
      <c r="M247" s="1555">
        <v>0</v>
      </c>
      <c r="N247" s="1555">
        <v>0</v>
      </c>
      <c r="O247" s="1555">
        <v>0</v>
      </c>
      <c r="P247" s="1555">
        <v>0</v>
      </c>
      <c r="Q247" s="1555">
        <v>0</v>
      </c>
    </row>
    <row r="248" spans="1:17">
      <c r="A248" s="1556" t="s">
        <v>666</v>
      </c>
      <c r="B248" s="1555">
        <v>0</v>
      </c>
      <c r="C248" s="1555">
        <v>0</v>
      </c>
      <c r="D248" s="1555">
        <v>0</v>
      </c>
      <c r="E248" s="1555">
        <v>0</v>
      </c>
      <c r="F248" s="1555">
        <v>0</v>
      </c>
      <c r="G248" s="1555">
        <v>0</v>
      </c>
      <c r="H248" s="1555">
        <v>0</v>
      </c>
      <c r="I248" s="1555">
        <v>0</v>
      </c>
      <c r="J248" s="1555">
        <v>0</v>
      </c>
      <c r="K248" s="1555">
        <v>0</v>
      </c>
      <c r="L248" s="1555">
        <v>0</v>
      </c>
      <c r="M248" s="1555">
        <v>0</v>
      </c>
      <c r="N248" s="1555">
        <v>0</v>
      </c>
      <c r="O248" s="1555">
        <v>0</v>
      </c>
      <c r="P248" s="1555">
        <v>0</v>
      </c>
      <c r="Q248" s="1555">
        <v>0</v>
      </c>
    </row>
    <row r="249" spans="1:17">
      <c r="A249" s="1556" t="s">
        <v>668</v>
      </c>
      <c r="B249" s="1555">
        <v>0</v>
      </c>
      <c r="C249" s="1555">
        <v>0</v>
      </c>
      <c r="D249" s="1555">
        <v>0</v>
      </c>
      <c r="E249" s="1555">
        <v>0</v>
      </c>
      <c r="F249" s="1555">
        <v>0</v>
      </c>
      <c r="G249" s="1555">
        <v>0</v>
      </c>
      <c r="H249" s="1555">
        <v>0</v>
      </c>
      <c r="I249" s="1555">
        <v>0</v>
      </c>
      <c r="J249" s="1555">
        <v>0</v>
      </c>
      <c r="K249" s="1555">
        <v>0</v>
      </c>
      <c r="L249" s="1555">
        <v>0</v>
      </c>
      <c r="M249" s="1555">
        <v>0</v>
      </c>
      <c r="N249" s="1555">
        <v>0</v>
      </c>
      <c r="O249" s="1555">
        <v>0</v>
      </c>
      <c r="P249" s="1555">
        <v>0</v>
      </c>
      <c r="Q249" s="1555">
        <v>0</v>
      </c>
    </row>
    <row r="250" spans="1:17">
      <c r="A250" s="1554" t="s">
        <v>6935</v>
      </c>
      <c r="B250" s="1555">
        <v>0</v>
      </c>
      <c r="C250" s="1555">
        <v>0</v>
      </c>
      <c r="D250" s="1555">
        <v>0</v>
      </c>
      <c r="E250" s="1555">
        <v>0</v>
      </c>
      <c r="F250" s="1555">
        <v>0</v>
      </c>
      <c r="G250" s="1555">
        <v>0</v>
      </c>
      <c r="H250" s="1555">
        <v>0</v>
      </c>
      <c r="I250" s="1555">
        <v>0</v>
      </c>
      <c r="J250" s="1555">
        <v>0</v>
      </c>
      <c r="K250" s="1555">
        <v>0</v>
      </c>
      <c r="L250" s="1555">
        <v>0</v>
      </c>
      <c r="M250" s="1555">
        <v>0</v>
      </c>
      <c r="N250" s="1555">
        <v>0</v>
      </c>
      <c r="O250" s="1555">
        <v>0</v>
      </c>
      <c r="P250" s="1555">
        <v>0</v>
      </c>
      <c r="Q250" s="1555">
        <v>0</v>
      </c>
    </row>
    <row r="251" spans="1:17">
      <c r="A251" s="1556" t="s">
        <v>731</v>
      </c>
      <c r="B251" s="1555">
        <v>0</v>
      </c>
      <c r="C251" s="1555">
        <v>0</v>
      </c>
      <c r="D251" s="1555">
        <v>0</v>
      </c>
      <c r="E251" s="1555">
        <v>0</v>
      </c>
      <c r="F251" s="1555">
        <v>0</v>
      </c>
      <c r="G251" s="1555">
        <v>0</v>
      </c>
      <c r="H251" s="1555">
        <v>0</v>
      </c>
      <c r="I251" s="1555">
        <v>0</v>
      </c>
      <c r="J251" s="1555">
        <v>0</v>
      </c>
      <c r="K251" s="1555">
        <v>0</v>
      </c>
      <c r="L251" s="1555">
        <v>0</v>
      </c>
      <c r="M251" s="1555">
        <v>0</v>
      </c>
      <c r="N251" s="1555">
        <v>0</v>
      </c>
      <c r="O251" s="1555">
        <v>0</v>
      </c>
      <c r="P251" s="1555">
        <v>0</v>
      </c>
      <c r="Q251" s="1555">
        <v>0</v>
      </c>
    </row>
    <row r="252" spans="1:17">
      <c r="A252" s="1556" t="s">
        <v>656</v>
      </c>
      <c r="B252" s="1555">
        <v>0</v>
      </c>
      <c r="C252" s="1555">
        <v>0</v>
      </c>
      <c r="D252" s="1555">
        <v>0</v>
      </c>
      <c r="E252" s="1555">
        <v>0</v>
      </c>
      <c r="F252" s="1555">
        <v>0</v>
      </c>
      <c r="G252" s="1555">
        <v>0</v>
      </c>
      <c r="H252" s="1555">
        <v>0</v>
      </c>
      <c r="I252" s="1555">
        <v>0</v>
      </c>
      <c r="J252" s="1555">
        <v>0</v>
      </c>
      <c r="K252" s="1555">
        <v>0</v>
      </c>
      <c r="L252" s="1555">
        <v>0</v>
      </c>
      <c r="M252" s="1555">
        <v>0</v>
      </c>
      <c r="N252" s="1555">
        <v>0</v>
      </c>
      <c r="O252" s="1555">
        <v>0</v>
      </c>
      <c r="P252" s="1555">
        <v>0</v>
      </c>
      <c r="Q252" s="1555">
        <v>0</v>
      </c>
    </row>
    <row r="253" spans="1:17">
      <c r="A253" s="1556" t="s">
        <v>658</v>
      </c>
      <c r="B253" s="1555">
        <v>0</v>
      </c>
      <c r="C253" s="1555">
        <v>0</v>
      </c>
      <c r="D253" s="1555">
        <v>0</v>
      </c>
      <c r="E253" s="1555">
        <v>0</v>
      </c>
      <c r="F253" s="1555">
        <v>0</v>
      </c>
      <c r="G253" s="1555">
        <v>0</v>
      </c>
      <c r="H253" s="1555">
        <v>0</v>
      </c>
      <c r="I253" s="1555">
        <v>0</v>
      </c>
      <c r="J253" s="1555">
        <v>0</v>
      </c>
      <c r="K253" s="1555">
        <v>0</v>
      </c>
      <c r="L253" s="1555">
        <v>0</v>
      </c>
      <c r="M253" s="1555">
        <v>0</v>
      </c>
      <c r="N253" s="1555">
        <v>0</v>
      </c>
      <c r="O253" s="1555">
        <v>0</v>
      </c>
      <c r="P253" s="1555">
        <v>0</v>
      </c>
      <c r="Q253" s="1555">
        <v>0</v>
      </c>
    </row>
    <row r="254" spans="1:17">
      <c r="A254" s="1556" t="s">
        <v>660</v>
      </c>
      <c r="B254" s="1555">
        <v>0</v>
      </c>
      <c r="C254" s="1555">
        <v>0</v>
      </c>
      <c r="D254" s="1555">
        <v>0</v>
      </c>
      <c r="E254" s="1555">
        <v>0</v>
      </c>
      <c r="F254" s="1555">
        <v>0</v>
      </c>
      <c r="G254" s="1555">
        <v>0</v>
      </c>
      <c r="H254" s="1555">
        <v>0</v>
      </c>
      <c r="I254" s="1555">
        <v>0</v>
      </c>
      <c r="J254" s="1555">
        <v>0</v>
      </c>
      <c r="K254" s="1555">
        <v>0</v>
      </c>
      <c r="L254" s="1555">
        <v>0</v>
      </c>
      <c r="M254" s="1555">
        <v>0</v>
      </c>
      <c r="N254" s="1555">
        <v>0</v>
      </c>
      <c r="O254" s="1555">
        <v>0</v>
      </c>
      <c r="P254" s="1555">
        <v>0</v>
      </c>
      <c r="Q254" s="1555">
        <v>0</v>
      </c>
    </row>
    <row r="255" spans="1:17">
      <c r="A255" s="1556" t="s">
        <v>662</v>
      </c>
      <c r="B255" s="1555">
        <v>0</v>
      </c>
      <c r="C255" s="1555">
        <v>0</v>
      </c>
      <c r="D255" s="1555">
        <v>0</v>
      </c>
      <c r="E255" s="1555">
        <v>0</v>
      </c>
      <c r="F255" s="1555">
        <v>0</v>
      </c>
      <c r="G255" s="1555">
        <v>0</v>
      </c>
      <c r="H255" s="1555">
        <v>0</v>
      </c>
      <c r="I255" s="1555">
        <v>0</v>
      </c>
      <c r="J255" s="1555">
        <v>0</v>
      </c>
      <c r="K255" s="1555">
        <v>0</v>
      </c>
      <c r="L255" s="1555">
        <v>0</v>
      </c>
      <c r="M255" s="1555">
        <v>0</v>
      </c>
      <c r="N255" s="1555">
        <v>0</v>
      </c>
      <c r="O255" s="1555">
        <v>0</v>
      </c>
      <c r="P255" s="1555">
        <v>0</v>
      </c>
      <c r="Q255" s="1555">
        <v>0</v>
      </c>
    </row>
    <row r="256" spans="1:17">
      <c r="A256" s="1556" t="s">
        <v>664</v>
      </c>
      <c r="B256" s="1555">
        <v>0</v>
      </c>
      <c r="C256" s="1555">
        <v>0</v>
      </c>
      <c r="D256" s="1555">
        <v>0</v>
      </c>
      <c r="E256" s="1555">
        <v>0</v>
      </c>
      <c r="F256" s="1555">
        <v>0</v>
      </c>
      <c r="G256" s="1555">
        <v>0</v>
      </c>
      <c r="H256" s="1555">
        <v>0</v>
      </c>
      <c r="I256" s="1555">
        <v>0</v>
      </c>
      <c r="J256" s="1555">
        <v>0</v>
      </c>
      <c r="K256" s="1555">
        <v>0</v>
      </c>
      <c r="L256" s="1555">
        <v>0</v>
      </c>
      <c r="M256" s="1555">
        <v>0</v>
      </c>
      <c r="N256" s="1555">
        <v>0</v>
      </c>
      <c r="O256" s="1555">
        <v>0</v>
      </c>
      <c r="P256" s="1555">
        <v>0</v>
      </c>
      <c r="Q256" s="1555">
        <v>0</v>
      </c>
    </row>
    <row r="257" spans="1:17">
      <c r="A257" s="1556" t="s">
        <v>666</v>
      </c>
      <c r="B257" s="1555">
        <v>0</v>
      </c>
      <c r="C257" s="1555">
        <v>0</v>
      </c>
      <c r="D257" s="1555">
        <v>0</v>
      </c>
      <c r="E257" s="1555">
        <v>0</v>
      </c>
      <c r="F257" s="1555">
        <v>0</v>
      </c>
      <c r="G257" s="1555">
        <v>0</v>
      </c>
      <c r="H257" s="1555">
        <v>0</v>
      </c>
      <c r="I257" s="1555">
        <v>0</v>
      </c>
      <c r="J257" s="1555">
        <v>0</v>
      </c>
      <c r="K257" s="1555">
        <v>0</v>
      </c>
      <c r="L257" s="1555">
        <v>0</v>
      </c>
      <c r="M257" s="1555">
        <v>0</v>
      </c>
      <c r="N257" s="1555">
        <v>0</v>
      </c>
      <c r="O257" s="1555">
        <v>0</v>
      </c>
      <c r="P257" s="1555">
        <v>0</v>
      </c>
      <c r="Q257" s="1555">
        <v>0</v>
      </c>
    </row>
    <row r="258" spans="1:17">
      <c r="A258" s="1556" t="s">
        <v>668</v>
      </c>
      <c r="B258" s="1555">
        <v>0</v>
      </c>
      <c r="C258" s="1555">
        <v>0</v>
      </c>
      <c r="D258" s="1555">
        <v>0</v>
      </c>
      <c r="E258" s="1555">
        <v>0</v>
      </c>
      <c r="F258" s="1555">
        <v>0</v>
      </c>
      <c r="G258" s="1555">
        <v>0</v>
      </c>
      <c r="H258" s="1555">
        <v>0</v>
      </c>
      <c r="I258" s="1555">
        <v>0</v>
      </c>
      <c r="J258" s="1555">
        <v>0</v>
      </c>
      <c r="K258" s="1555">
        <v>0</v>
      </c>
      <c r="L258" s="1555">
        <v>0</v>
      </c>
      <c r="M258" s="1555">
        <v>0</v>
      </c>
      <c r="N258" s="1555">
        <v>0</v>
      </c>
      <c r="O258" s="1555">
        <v>0</v>
      </c>
      <c r="P258" s="1555">
        <v>0</v>
      </c>
      <c r="Q258" s="1555">
        <v>0</v>
      </c>
    </row>
    <row r="259" spans="1:17">
      <c r="A259" s="1554" t="s">
        <v>92</v>
      </c>
      <c r="B259" s="1555">
        <v>0</v>
      </c>
      <c r="C259" s="1555">
        <v>0</v>
      </c>
      <c r="D259" s="1555">
        <v>0</v>
      </c>
      <c r="E259" s="1555">
        <v>0</v>
      </c>
      <c r="F259" s="1555">
        <v>0</v>
      </c>
      <c r="G259" s="1555">
        <v>0</v>
      </c>
      <c r="H259" s="1555">
        <v>0</v>
      </c>
      <c r="I259" s="1555">
        <v>0</v>
      </c>
      <c r="J259" s="1555">
        <v>0</v>
      </c>
      <c r="K259" s="1555">
        <v>0</v>
      </c>
      <c r="L259" s="1555">
        <v>0</v>
      </c>
      <c r="M259" s="1555">
        <v>0</v>
      </c>
      <c r="N259" s="1555">
        <v>0</v>
      </c>
      <c r="O259" s="1555">
        <v>0</v>
      </c>
      <c r="P259" s="1555">
        <v>0</v>
      </c>
      <c r="Q259" s="1555">
        <v>0</v>
      </c>
    </row>
    <row r="260" spans="1:17">
      <c r="A260" s="1556" t="s">
        <v>731</v>
      </c>
      <c r="B260" s="1555">
        <v>0</v>
      </c>
      <c r="C260" s="1555">
        <v>0</v>
      </c>
      <c r="D260" s="1555">
        <v>0</v>
      </c>
      <c r="E260" s="1555">
        <v>0</v>
      </c>
      <c r="F260" s="1555">
        <v>0</v>
      </c>
      <c r="G260" s="1555">
        <v>0</v>
      </c>
      <c r="H260" s="1555">
        <v>0</v>
      </c>
      <c r="I260" s="1555">
        <v>0</v>
      </c>
      <c r="J260" s="1555">
        <v>0</v>
      </c>
      <c r="K260" s="1555">
        <v>0</v>
      </c>
      <c r="L260" s="1555">
        <v>0</v>
      </c>
      <c r="M260" s="1555">
        <v>0</v>
      </c>
      <c r="N260" s="1555">
        <v>0</v>
      </c>
      <c r="O260" s="1555">
        <v>0</v>
      </c>
      <c r="P260" s="1555">
        <v>0</v>
      </c>
      <c r="Q260" s="1555">
        <v>0</v>
      </c>
    </row>
    <row r="261" spans="1:17">
      <c r="A261" s="1556" t="s">
        <v>656</v>
      </c>
      <c r="B261" s="1555">
        <v>0</v>
      </c>
      <c r="C261" s="1555">
        <v>0</v>
      </c>
      <c r="D261" s="1555">
        <v>0</v>
      </c>
      <c r="E261" s="1555">
        <v>0</v>
      </c>
      <c r="F261" s="1555">
        <v>0</v>
      </c>
      <c r="G261" s="1555">
        <v>0</v>
      </c>
      <c r="H261" s="1555">
        <v>0</v>
      </c>
      <c r="I261" s="1555">
        <v>0</v>
      </c>
      <c r="J261" s="1555">
        <v>0</v>
      </c>
      <c r="K261" s="1555">
        <v>0</v>
      </c>
      <c r="L261" s="1555">
        <v>0</v>
      </c>
      <c r="M261" s="1555">
        <v>0</v>
      </c>
      <c r="N261" s="1555">
        <v>0</v>
      </c>
      <c r="O261" s="1555">
        <v>0</v>
      </c>
      <c r="P261" s="1555">
        <v>0</v>
      </c>
      <c r="Q261" s="1555">
        <v>0</v>
      </c>
    </row>
    <row r="262" spans="1:17">
      <c r="A262" s="1556" t="s">
        <v>658</v>
      </c>
      <c r="B262" s="1555">
        <v>0</v>
      </c>
      <c r="C262" s="1555">
        <v>0</v>
      </c>
      <c r="D262" s="1555">
        <v>0</v>
      </c>
      <c r="E262" s="1555">
        <v>0</v>
      </c>
      <c r="F262" s="1555">
        <v>0</v>
      </c>
      <c r="G262" s="1555">
        <v>0</v>
      </c>
      <c r="H262" s="1555">
        <v>0</v>
      </c>
      <c r="I262" s="1555">
        <v>0</v>
      </c>
      <c r="J262" s="1555">
        <v>0</v>
      </c>
      <c r="K262" s="1555">
        <v>0</v>
      </c>
      <c r="L262" s="1555">
        <v>0</v>
      </c>
      <c r="M262" s="1555">
        <v>0</v>
      </c>
      <c r="N262" s="1555">
        <v>0</v>
      </c>
      <c r="O262" s="1555">
        <v>0</v>
      </c>
      <c r="P262" s="1555">
        <v>0</v>
      </c>
      <c r="Q262" s="1555">
        <v>0</v>
      </c>
    </row>
    <row r="263" spans="1:17">
      <c r="A263" s="1556" t="s">
        <v>660</v>
      </c>
      <c r="B263" s="1555">
        <v>0</v>
      </c>
      <c r="C263" s="1555">
        <v>0</v>
      </c>
      <c r="D263" s="1555">
        <v>0</v>
      </c>
      <c r="E263" s="1555">
        <v>0</v>
      </c>
      <c r="F263" s="1555">
        <v>0</v>
      </c>
      <c r="G263" s="1555">
        <v>0</v>
      </c>
      <c r="H263" s="1555">
        <v>0</v>
      </c>
      <c r="I263" s="1555">
        <v>0</v>
      </c>
      <c r="J263" s="1555">
        <v>0</v>
      </c>
      <c r="K263" s="1555">
        <v>0</v>
      </c>
      <c r="L263" s="1555">
        <v>0</v>
      </c>
      <c r="M263" s="1555">
        <v>0</v>
      </c>
      <c r="N263" s="1555">
        <v>0</v>
      </c>
      <c r="O263" s="1555">
        <v>0</v>
      </c>
      <c r="P263" s="1555">
        <v>0</v>
      </c>
      <c r="Q263" s="1555">
        <v>0</v>
      </c>
    </row>
    <row r="264" spans="1:17">
      <c r="A264" s="1556" t="s">
        <v>662</v>
      </c>
      <c r="B264" s="1555">
        <v>0</v>
      </c>
      <c r="C264" s="1555">
        <v>0</v>
      </c>
      <c r="D264" s="1555">
        <v>0</v>
      </c>
      <c r="E264" s="1555">
        <v>0</v>
      </c>
      <c r="F264" s="1555">
        <v>0</v>
      </c>
      <c r="G264" s="1555">
        <v>0</v>
      </c>
      <c r="H264" s="1555">
        <v>0</v>
      </c>
      <c r="I264" s="1555">
        <v>0</v>
      </c>
      <c r="J264" s="1555">
        <v>0</v>
      </c>
      <c r="K264" s="1555">
        <v>0</v>
      </c>
      <c r="L264" s="1555">
        <v>0</v>
      </c>
      <c r="M264" s="1555">
        <v>0</v>
      </c>
      <c r="N264" s="1555">
        <v>0</v>
      </c>
      <c r="O264" s="1555">
        <v>0</v>
      </c>
      <c r="P264" s="1555">
        <v>0</v>
      </c>
      <c r="Q264" s="1555">
        <v>0</v>
      </c>
    </row>
    <row r="265" spans="1:17">
      <c r="A265" s="1556" t="s">
        <v>664</v>
      </c>
      <c r="B265" s="1555">
        <v>0</v>
      </c>
      <c r="C265" s="1555">
        <v>0</v>
      </c>
      <c r="D265" s="1555">
        <v>0</v>
      </c>
      <c r="E265" s="1555">
        <v>0</v>
      </c>
      <c r="F265" s="1555">
        <v>0</v>
      </c>
      <c r="G265" s="1555">
        <v>0</v>
      </c>
      <c r="H265" s="1555">
        <v>0</v>
      </c>
      <c r="I265" s="1555">
        <v>0</v>
      </c>
      <c r="J265" s="1555">
        <v>0</v>
      </c>
      <c r="K265" s="1555">
        <v>0</v>
      </c>
      <c r="L265" s="1555">
        <v>0</v>
      </c>
      <c r="M265" s="1555">
        <v>0</v>
      </c>
      <c r="N265" s="1555">
        <v>0</v>
      </c>
      <c r="O265" s="1555">
        <v>0</v>
      </c>
      <c r="P265" s="1555">
        <v>0</v>
      </c>
      <c r="Q265" s="1555">
        <v>0</v>
      </c>
    </row>
    <row r="266" spans="1:17">
      <c r="A266" s="1556" t="s">
        <v>666</v>
      </c>
      <c r="B266" s="1555">
        <v>0</v>
      </c>
      <c r="C266" s="1555">
        <v>0</v>
      </c>
      <c r="D266" s="1555">
        <v>0</v>
      </c>
      <c r="E266" s="1555">
        <v>0</v>
      </c>
      <c r="F266" s="1555">
        <v>0</v>
      </c>
      <c r="G266" s="1555">
        <v>0</v>
      </c>
      <c r="H266" s="1555">
        <v>0</v>
      </c>
      <c r="I266" s="1555">
        <v>0</v>
      </c>
      <c r="J266" s="1555">
        <v>0</v>
      </c>
      <c r="K266" s="1555">
        <v>0</v>
      </c>
      <c r="L266" s="1555">
        <v>0</v>
      </c>
      <c r="M266" s="1555">
        <v>0</v>
      </c>
      <c r="N266" s="1555">
        <v>0</v>
      </c>
      <c r="O266" s="1555">
        <v>0</v>
      </c>
      <c r="P266" s="1555">
        <v>0</v>
      </c>
      <c r="Q266" s="1555">
        <v>0</v>
      </c>
    </row>
    <row r="267" spans="1:17">
      <c r="A267" s="1556" t="s">
        <v>668</v>
      </c>
      <c r="B267" s="1555">
        <v>0</v>
      </c>
      <c r="C267" s="1555">
        <v>0</v>
      </c>
      <c r="D267" s="1555">
        <v>0</v>
      </c>
      <c r="E267" s="1555">
        <v>0</v>
      </c>
      <c r="F267" s="1555">
        <v>0</v>
      </c>
      <c r="G267" s="1555">
        <v>0</v>
      </c>
      <c r="H267" s="1555">
        <v>0</v>
      </c>
      <c r="I267" s="1555">
        <v>0</v>
      </c>
      <c r="J267" s="1555">
        <v>0</v>
      </c>
      <c r="K267" s="1555">
        <v>0</v>
      </c>
      <c r="L267" s="1555">
        <v>0</v>
      </c>
      <c r="M267" s="1555">
        <v>0</v>
      </c>
      <c r="N267" s="1555">
        <v>0</v>
      </c>
      <c r="O267" s="1555">
        <v>0</v>
      </c>
      <c r="P267" s="1555">
        <v>0</v>
      </c>
      <c r="Q267" s="1555">
        <v>0</v>
      </c>
    </row>
    <row r="268" spans="1:17">
      <c r="A268" s="1554" t="s">
        <v>6934</v>
      </c>
      <c r="B268" s="1555">
        <v>0</v>
      </c>
      <c r="C268" s="1555">
        <v>0</v>
      </c>
      <c r="D268" s="1555">
        <v>0</v>
      </c>
      <c r="E268" s="1555">
        <v>0</v>
      </c>
      <c r="F268" s="1555">
        <v>0</v>
      </c>
      <c r="G268" s="1555">
        <v>0</v>
      </c>
      <c r="H268" s="1555">
        <v>0</v>
      </c>
      <c r="I268" s="1555">
        <v>0</v>
      </c>
      <c r="J268" s="1555">
        <v>0</v>
      </c>
      <c r="K268" s="1555">
        <v>0</v>
      </c>
      <c r="L268" s="1555">
        <v>0</v>
      </c>
      <c r="M268" s="1555">
        <v>0</v>
      </c>
      <c r="N268" s="1555">
        <v>0</v>
      </c>
      <c r="O268" s="1555">
        <v>0</v>
      </c>
      <c r="P268" s="1555">
        <v>0</v>
      </c>
      <c r="Q268" s="1555">
        <v>0</v>
      </c>
    </row>
    <row r="269" spans="1:17">
      <c r="A269" s="1556" t="s">
        <v>731</v>
      </c>
      <c r="B269" s="1555">
        <v>0</v>
      </c>
      <c r="C269" s="1555">
        <v>0</v>
      </c>
      <c r="D269" s="1555">
        <v>0</v>
      </c>
      <c r="E269" s="1555">
        <v>0</v>
      </c>
      <c r="F269" s="1555">
        <v>0</v>
      </c>
      <c r="G269" s="1555">
        <v>0</v>
      </c>
      <c r="H269" s="1555">
        <v>0</v>
      </c>
      <c r="I269" s="1555">
        <v>0</v>
      </c>
      <c r="J269" s="1555">
        <v>0</v>
      </c>
      <c r="K269" s="1555">
        <v>0</v>
      </c>
      <c r="L269" s="1555">
        <v>0</v>
      </c>
      <c r="M269" s="1555">
        <v>0</v>
      </c>
      <c r="N269" s="1555">
        <v>0</v>
      </c>
      <c r="O269" s="1555">
        <v>0</v>
      </c>
      <c r="P269" s="1555">
        <v>0</v>
      </c>
      <c r="Q269" s="1555">
        <v>0</v>
      </c>
    </row>
    <row r="270" spans="1:17">
      <c r="A270" s="1556" t="s">
        <v>656</v>
      </c>
      <c r="B270" s="1555">
        <v>0</v>
      </c>
      <c r="C270" s="1555">
        <v>0</v>
      </c>
      <c r="D270" s="1555">
        <v>0</v>
      </c>
      <c r="E270" s="1555">
        <v>0</v>
      </c>
      <c r="F270" s="1555">
        <v>0</v>
      </c>
      <c r="G270" s="1555">
        <v>0</v>
      </c>
      <c r="H270" s="1555">
        <v>0</v>
      </c>
      <c r="I270" s="1555">
        <v>0</v>
      </c>
      <c r="J270" s="1555">
        <v>0</v>
      </c>
      <c r="K270" s="1555">
        <v>0</v>
      </c>
      <c r="L270" s="1555">
        <v>0</v>
      </c>
      <c r="M270" s="1555">
        <v>0</v>
      </c>
      <c r="N270" s="1555">
        <v>0</v>
      </c>
      <c r="O270" s="1555">
        <v>0</v>
      </c>
      <c r="P270" s="1555">
        <v>0</v>
      </c>
      <c r="Q270" s="1555">
        <v>0</v>
      </c>
    </row>
    <row r="271" spans="1:17">
      <c r="A271" s="1556" t="s">
        <v>658</v>
      </c>
      <c r="B271" s="1555">
        <v>0</v>
      </c>
      <c r="C271" s="1555">
        <v>0</v>
      </c>
      <c r="D271" s="1555">
        <v>0</v>
      </c>
      <c r="E271" s="1555">
        <v>0</v>
      </c>
      <c r="F271" s="1555">
        <v>0</v>
      </c>
      <c r="G271" s="1555">
        <v>0</v>
      </c>
      <c r="H271" s="1555">
        <v>0</v>
      </c>
      <c r="I271" s="1555">
        <v>0</v>
      </c>
      <c r="J271" s="1555">
        <v>0</v>
      </c>
      <c r="K271" s="1555">
        <v>0</v>
      </c>
      <c r="L271" s="1555">
        <v>0</v>
      </c>
      <c r="M271" s="1555">
        <v>0</v>
      </c>
      <c r="N271" s="1555">
        <v>0</v>
      </c>
      <c r="O271" s="1555">
        <v>0</v>
      </c>
      <c r="P271" s="1555">
        <v>0</v>
      </c>
      <c r="Q271" s="1555">
        <v>0</v>
      </c>
    </row>
    <row r="272" spans="1:17">
      <c r="A272" s="1556" t="s">
        <v>660</v>
      </c>
      <c r="B272" s="1555">
        <v>0</v>
      </c>
      <c r="C272" s="1555">
        <v>0</v>
      </c>
      <c r="D272" s="1555">
        <v>0</v>
      </c>
      <c r="E272" s="1555">
        <v>0</v>
      </c>
      <c r="F272" s="1555">
        <v>0</v>
      </c>
      <c r="G272" s="1555">
        <v>0</v>
      </c>
      <c r="H272" s="1555">
        <v>0</v>
      </c>
      <c r="I272" s="1555">
        <v>0</v>
      </c>
      <c r="J272" s="1555">
        <v>0</v>
      </c>
      <c r="K272" s="1555">
        <v>0</v>
      </c>
      <c r="L272" s="1555">
        <v>0</v>
      </c>
      <c r="M272" s="1555">
        <v>0</v>
      </c>
      <c r="N272" s="1555">
        <v>0</v>
      </c>
      <c r="O272" s="1555">
        <v>0</v>
      </c>
      <c r="P272" s="1555">
        <v>0</v>
      </c>
      <c r="Q272" s="1555">
        <v>0</v>
      </c>
    </row>
    <row r="273" spans="1:17">
      <c r="A273" s="1556" t="s">
        <v>662</v>
      </c>
      <c r="B273" s="1555">
        <v>0</v>
      </c>
      <c r="C273" s="1555">
        <v>0</v>
      </c>
      <c r="D273" s="1555">
        <v>0</v>
      </c>
      <c r="E273" s="1555">
        <v>0</v>
      </c>
      <c r="F273" s="1555">
        <v>0</v>
      </c>
      <c r="G273" s="1555">
        <v>0</v>
      </c>
      <c r="H273" s="1555">
        <v>0</v>
      </c>
      <c r="I273" s="1555">
        <v>0</v>
      </c>
      <c r="J273" s="1555">
        <v>0</v>
      </c>
      <c r="K273" s="1555">
        <v>0</v>
      </c>
      <c r="L273" s="1555">
        <v>0</v>
      </c>
      <c r="M273" s="1555">
        <v>0</v>
      </c>
      <c r="N273" s="1555">
        <v>0</v>
      </c>
      <c r="O273" s="1555">
        <v>0</v>
      </c>
      <c r="P273" s="1555">
        <v>0</v>
      </c>
      <c r="Q273" s="1555">
        <v>0</v>
      </c>
    </row>
    <row r="274" spans="1:17">
      <c r="A274" s="1556" t="s">
        <v>664</v>
      </c>
      <c r="B274" s="1555">
        <v>0</v>
      </c>
      <c r="C274" s="1555">
        <v>0</v>
      </c>
      <c r="D274" s="1555">
        <v>0</v>
      </c>
      <c r="E274" s="1555">
        <v>0</v>
      </c>
      <c r="F274" s="1555">
        <v>0</v>
      </c>
      <c r="G274" s="1555">
        <v>0</v>
      </c>
      <c r="H274" s="1555">
        <v>0</v>
      </c>
      <c r="I274" s="1555">
        <v>0</v>
      </c>
      <c r="J274" s="1555">
        <v>0</v>
      </c>
      <c r="K274" s="1555">
        <v>0</v>
      </c>
      <c r="L274" s="1555">
        <v>0</v>
      </c>
      <c r="M274" s="1555">
        <v>0</v>
      </c>
      <c r="N274" s="1555">
        <v>0</v>
      </c>
      <c r="O274" s="1555">
        <v>0</v>
      </c>
      <c r="P274" s="1555">
        <v>0</v>
      </c>
      <c r="Q274" s="1555">
        <v>0</v>
      </c>
    </row>
    <row r="275" spans="1:17">
      <c r="A275" s="1556" t="s">
        <v>666</v>
      </c>
      <c r="B275" s="1555">
        <v>0</v>
      </c>
      <c r="C275" s="1555">
        <v>0</v>
      </c>
      <c r="D275" s="1555">
        <v>0</v>
      </c>
      <c r="E275" s="1555">
        <v>0</v>
      </c>
      <c r="F275" s="1555">
        <v>0</v>
      </c>
      <c r="G275" s="1555">
        <v>0</v>
      </c>
      <c r="H275" s="1555">
        <v>0</v>
      </c>
      <c r="I275" s="1555">
        <v>0</v>
      </c>
      <c r="J275" s="1555">
        <v>0</v>
      </c>
      <c r="K275" s="1555">
        <v>0</v>
      </c>
      <c r="L275" s="1555">
        <v>0</v>
      </c>
      <c r="M275" s="1555">
        <v>0</v>
      </c>
      <c r="N275" s="1555">
        <v>0</v>
      </c>
      <c r="O275" s="1555">
        <v>0</v>
      </c>
      <c r="P275" s="1555">
        <v>0</v>
      </c>
      <c r="Q275" s="1555">
        <v>0</v>
      </c>
    </row>
    <row r="276" spans="1:17">
      <c r="A276" s="1556" t="s">
        <v>668</v>
      </c>
      <c r="B276" s="1555">
        <v>0</v>
      </c>
      <c r="C276" s="1555">
        <v>0</v>
      </c>
      <c r="D276" s="1555">
        <v>0</v>
      </c>
      <c r="E276" s="1555">
        <v>0</v>
      </c>
      <c r="F276" s="1555">
        <v>0</v>
      </c>
      <c r="G276" s="1555">
        <v>0</v>
      </c>
      <c r="H276" s="1555">
        <v>0</v>
      </c>
      <c r="I276" s="1555">
        <v>0</v>
      </c>
      <c r="J276" s="1555">
        <v>0</v>
      </c>
      <c r="K276" s="1555">
        <v>0</v>
      </c>
      <c r="L276" s="1555">
        <v>0</v>
      </c>
      <c r="M276" s="1555">
        <v>0</v>
      </c>
      <c r="N276" s="1555">
        <v>0</v>
      </c>
      <c r="O276" s="1555">
        <v>0</v>
      </c>
      <c r="P276" s="1555">
        <v>0</v>
      </c>
      <c r="Q276" s="1555">
        <v>0</v>
      </c>
    </row>
    <row r="277" spans="1:17">
      <c r="A277" s="1437" t="s">
        <v>238</v>
      </c>
      <c r="B277" s="1555">
        <v>0</v>
      </c>
      <c r="C277" s="1555">
        <v>0</v>
      </c>
      <c r="D277" s="1555">
        <v>0</v>
      </c>
      <c r="E277" s="1555">
        <v>0</v>
      </c>
      <c r="F277" s="1555">
        <v>0</v>
      </c>
      <c r="G277" s="1555">
        <v>0</v>
      </c>
      <c r="H277" s="1555">
        <v>0</v>
      </c>
      <c r="I277" s="1555">
        <v>0</v>
      </c>
      <c r="J277" s="1555">
        <v>0</v>
      </c>
      <c r="K277" s="1555">
        <v>0</v>
      </c>
      <c r="L277" s="1555">
        <v>0</v>
      </c>
      <c r="M277" s="1555">
        <v>0</v>
      </c>
      <c r="N277" s="1555">
        <v>0</v>
      </c>
      <c r="O277" s="1555">
        <v>0</v>
      </c>
      <c r="P277" s="1555">
        <v>0</v>
      </c>
      <c r="Q277" s="1555">
        <v>0</v>
      </c>
    </row>
    <row r="278" spans="1:17">
      <c r="A278" s="1553" t="s">
        <v>797</v>
      </c>
      <c r="B278" s="1555">
        <v>0</v>
      </c>
      <c r="C278" s="1555">
        <v>0</v>
      </c>
      <c r="D278" s="1555">
        <v>0</v>
      </c>
      <c r="E278" s="1555">
        <v>0</v>
      </c>
      <c r="F278" s="1555">
        <v>0</v>
      </c>
      <c r="G278" s="1555">
        <v>0</v>
      </c>
      <c r="H278" s="1555">
        <v>0</v>
      </c>
      <c r="I278" s="1555">
        <v>0</v>
      </c>
      <c r="J278" s="1555">
        <v>0</v>
      </c>
      <c r="K278" s="1555">
        <v>0</v>
      </c>
      <c r="L278" s="1555">
        <v>0</v>
      </c>
      <c r="M278" s="1555">
        <v>0</v>
      </c>
      <c r="N278" s="1555">
        <v>0</v>
      </c>
      <c r="O278" s="1555">
        <v>0</v>
      </c>
      <c r="P278" s="1555">
        <v>0</v>
      </c>
      <c r="Q278" s="1555">
        <v>0</v>
      </c>
    </row>
    <row r="279" spans="1:17">
      <c r="A279" s="1554" t="s">
        <v>238</v>
      </c>
      <c r="B279" s="1555">
        <v>0</v>
      </c>
      <c r="C279" s="1555">
        <v>0</v>
      </c>
      <c r="D279" s="1555">
        <v>0</v>
      </c>
      <c r="E279" s="1555">
        <v>0</v>
      </c>
      <c r="F279" s="1555">
        <v>0</v>
      </c>
      <c r="G279" s="1555">
        <v>0</v>
      </c>
      <c r="H279" s="1555">
        <v>0</v>
      </c>
      <c r="I279" s="1555">
        <v>0</v>
      </c>
      <c r="J279" s="1555">
        <v>0</v>
      </c>
      <c r="K279" s="1555">
        <v>0</v>
      </c>
      <c r="L279" s="1555">
        <v>0</v>
      </c>
      <c r="M279" s="1555">
        <v>0</v>
      </c>
      <c r="N279" s="1555">
        <v>0</v>
      </c>
      <c r="O279" s="1555">
        <v>0</v>
      </c>
      <c r="P279" s="1555">
        <v>0</v>
      </c>
      <c r="Q279" s="1555">
        <v>0</v>
      </c>
    </row>
    <row r="280" spans="1:17">
      <c r="A280" s="1556" t="s">
        <v>791</v>
      </c>
      <c r="B280" s="1555">
        <v>0</v>
      </c>
      <c r="C280" s="1555">
        <v>0</v>
      </c>
      <c r="D280" s="1555">
        <v>0</v>
      </c>
      <c r="E280" s="1555">
        <v>0</v>
      </c>
      <c r="F280" s="1555">
        <v>0</v>
      </c>
      <c r="G280" s="1555">
        <v>0</v>
      </c>
      <c r="H280" s="1555">
        <v>0</v>
      </c>
      <c r="I280" s="1555">
        <v>0</v>
      </c>
      <c r="J280" s="1555">
        <v>0</v>
      </c>
      <c r="K280" s="1555">
        <v>0</v>
      </c>
      <c r="L280" s="1555">
        <v>0</v>
      </c>
      <c r="M280" s="1555">
        <v>0</v>
      </c>
      <c r="N280" s="1555">
        <v>0</v>
      </c>
      <c r="O280" s="1555">
        <v>0</v>
      </c>
      <c r="P280" s="1555">
        <v>0</v>
      </c>
      <c r="Q280" s="1555">
        <v>0</v>
      </c>
    </row>
    <row r="281" spans="1:17">
      <c r="A281" s="1556" t="s">
        <v>793</v>
      </c>
      <c r="B281" s="1555">
        <v>0</v>
      </c>
      <c r="C281" s="1555">
        <v>0</v>
      </c>
      <c r="D281" s="1555">
        <v>0</v>
      </c>
      <c r="E281" s="1555">
        <v>0</v>
      </c>
      <c r="F281" s="1555">
        <v>0</v>
      </c>
      <c r="G281" s="1555">
        <v>0</v>
      </c>
      <c r="H281" s="1555">
        <v>0</v>
      </c>
      <c r="I281" s="1555">
        <v>0</v>
      </c>
      <c r="J281" s="1555">
        <v>0</v>
      </c>
      <c r="K281" s="1555">
        <v>0</v>
      </c>
      <c r="L281" s="1555">
        <v>0</v>
      </c>
      <c r="M281" s="1555">
        <v>0</v>
      </c>
      <c r="N281" s="1555">
        <v>0</v>
      </c>
      <c r="O281" s="1555">
        <v>0</v>
      </c>
      <c r="P281" s="1555">
        <v>0</v>
      </c>
      <c r="Q281" s="1555">
        <v>0</v>
      </c>
    </row>
    <row r="282" spans="1:17">
      <c r="A282" s="1556" t="s">
        <v>725</v>
      </c>
      <c r="B282" s="1555">
        <v>0</v>
      </c>
      <c r="C282" s="1555">
        <v>0</v>
      </c>
      <c r="D282" s="1555">
        <v>0</v>
      </c>
      <c r="E282" s="1555">
        <v>0</v>
      </c>
      <c r="F282" s="1555">
        <v>0</v>
      </c>
      <c r="G282" s="1555">
        <v>0</v>
      </c>
      <c r="H282" s="1555">
        <v>0</v>
      </c>
      <c r="I282" s="1555">
        <v>0</v>
      </c>
      <c r="J282" s="1555">
        <v>0</v>
      </c>
      <c r="K282" s="1555">
        <v>0</v>
      </c>
      <c r="L282" s="1555">
        <v>0</v>
      </c>
      <c r="M282" s="1555">
        <v>0</v>
      </c>
      <c r="N282" s="1555">
        <v>0</v>
      </c>
      <c r="O282" s="1555">
        <v>0</v>
      </c>
      <c r="P282" s="1555">
        <v>0</v>
      </c>
      <c r="Q282" s="1555">
        <v>0</v>
      </c>
    </row>
    <row r="283" spans="1:17">
      <c r="A283" s="1556" t="s">
        <v>656</v>
      </c>
      <c r="B283" s="1555">
        <v>0</v>
      </c>
      <c r="C283" s="1555">
        <v>0</v>
      </c>
      <c r="D283" s="1555">
        <v>0</v>
      </c>
      <c r="E283" s="1555">
        <v>0</v>
      </c>
      <c r="F283" s="1555">
        <v>0</v>
      </c>
      <c r="G283" s="1555">
        <v>0</v>
      </c>
      <c r="H283" s="1555">
        <v>0</v>
      </c>
      <c r="I283" s="1555">
        <v>0</v>
      </c>
      <c r="J283" s="1555">
        <v>0</v>
      </c>
      <c r="K283" s="1555">
        <v>0</v>
      </c>
      <c r="L283" s="1555">
        <v>0</v>
      </c>
      <c r="M283" s="1555">
        <v>0</v>
      </c>
      <c r="N283" s="1555">
        <v>0</v>
      </c>
      <c r="O283" s="1555">
        <v>0</v>
      </c>
      <c r="P283" s="1555">
        <v>0</v>
      </c>
      <c r="Q283" s="1555">
        <v>0</v>
      </c>
    </row>
    <row r="284" spans="1:17">
      <c r="A284" s="1556" t="s">
        <v>658</v>
      </c>
      <c r="B284" s="1555">
        <v>0</v>
      </c>
      <c r="C284" s="1555">
        <v>0</v>
      </c>
      <c r="D284" s="1555">
        <v>0</v>
      </c>
      <c r="E284" s="1555">
        <v>0</v>
      </c>
      <c r="F284" s="1555">
        <v>0</v>
      </c>
      <c r="G284" s="1555">
        <v>0</v>
      </c>
      <c r="H284" s="1555">
        <v>0</v>
      </c>
      <c r="I284" s="1555">
        <v>0</v>
      </c>
      <c r="J284" s="1555">
        <v>0</v>
      </c>
      <c r="K284" s="1555">
        <v>0</v>
      </c>
      <c r="L284" s="1555">
        <v>0</v>
      </c>
      <c r="M284" s="1555">
        <v>0</v>
      </c>
      <c r="N284" s="1555">
        <v>0</v>
      </c>
      <c r="O284" s="1555">
        <v>0</v>
      </c>
      <c r="P284" s="1555">
        <v>0</v>
      </c>
      <c r="Q284" s="1555">
        <v>0</v>
      </c>
    </row>
    <row r="285" spans="1:17">
      <c r="A285" s="1556" t="s">
        <v>660</v>
      </c>
      <c r="B285" s="1555">
        <v>0</v>
      </c>
      <c r="C285" s="1555">
        <v>0</v>
      </c>
      <c r="D285" s="1555">
        <v>0</v>
      </c>
      <c r="E285" s="1555">
        <v>0</v>
      </c>
      <c r="F285" s="1555">
        <v>0</v>
      </c>
      <c r="G285" s="1555">
        <v>0</v>
      </c>
      <c r="H285" s="1555">
        <v>0</v>
      </c>
      <c r="I285" s="1555">
        <v>0</v>
      </c>
      <c r="J285" s="1555">
        <v>0</v>
      </c>
      <c r="K285" s="1555">
        <v>0</v>
      </c>
      <c r="L285" s="1555">
        <v>0</v>
      </c>
      <c r="M285" s="1555">
        <v>0</v>
      </c>
      <c r="N285" s="1555">
        <v>0</v>
      </c>
      <c r="O285" s="1555">
        <v>0</v>
      </c>
      <c r="P285" s="1555">
        <v>0</v>
      </c>
      <c r="Q285" s="1555">
        <v>0</v>
      </c>
    </row>
    <row r="286" spans="1:17">
      <c r="A286" s="1556" t="s">
        <v>662</v>
      </c>
      <c r="B286" s="1555">
        <v>0</v>
      </c>
      <c r="C286" s="1555">
        <v>0</v>
      </c>
      <c r="D286" s="1555">
        <v>0</v>
      </c>
      <c r="E286" s="1555">
        <v>0</v>
      </c>
      <c r="F286" s="1555">
        <v>0</v>
      </c>
      <c r="G286" s="1555">
        <v>0</v>
      </c>
      <c r="H286" s="1555">
        <v>0</v>
      </c>
      <c r="I286" s="1555">
        <v>0</v>
      </c>
      <c r="J286" s="1555">
        <v>0</v>
      </c>
      <c r="K286" s="1555">
        <v>0</v>
      </c>
      <c r="L286" s="1555">
        <v>0</v>
      </c>
      <c r="M286" s="1555">
        <v>0</v>
      </c>
      <c r="N286" s="1555">
        <v>0</v>
      </c>
      <c r="O286" s="1555">
        <v>0</v>
      </c>
      <c r="P286" s="1555">
        <v>0</v>
      </c>
      <c r="Q286" s="1555">
        <v>0</v>
      </c>
    </row>
    <row r="287" spans="1:17">
      <c r="A287" s="1556" t="s">
        <v>664</v>
      </c>
      <c r="B287" s="1555">
        <v>0</v>
      </c>
      <c r="C287" s="1555">
        <v>0</v>
      </c>
      <c r="D287" s="1555">
        <v>0</v>
      </c>
      <c r="E287" s="1555">
        <v>0</v>
      </c>
      <c r="F287" s="1555">
        <v>0</v>
      </c>
      <c r="G287" s="1555">
        <v>0</v>
      </c>
      <c r="H287" s="1555">
        <v>0</v>
      </c>
      <c r="I287" s="1555">
        <v>0</v>
      </c>
      <c r="J287" s="1555">
        <v>0</v>
      </c>
      <c r="K287" s="1555">
        <v>0</v>
      </c>
      <c r="L287" s="1555">
        <v>0</v>
      </c>
      <c r="M287" s="1555">
        <v>0</v>
      </c>
      <c r="N287" s="1555">
        <v>0</v>
      </c>
      <c r="O287" s="1555">
        <v>0</v>
      </c>
      <c r="P287" s="1555">
        <v>0</v>
      </c>
      <c r="Q287" s="1555">
        <v>0</v>
      </c>
    </row>
    <row r="288" spans="1:17">
      <c r="A288" s="1556" t="s">
        <v>666</v>
      </c>
      <c r="B288" s="1555">
        <v>0</v>
      </c>
      <c r="C288" s="1555">
        <v>0</v>
      </c>
      <c r="D288" s="1555">
        <v>0</v>
      </c>
      <c r="E288" s="1555">
        <v>0</v>
      </c>
      <c r="F288" s="1555">
        <v>0</v>
      </c>
      <c r="G288" s="1555">
        <v>0</v>
      </c>
      <c r="H288" s="1555">
        <v>0</v>
      </c>
      <c r="I288" s="1555">
        <v>0</v>
      </c>
      <c r="J288" s="1555">
        <v>0</v>
      </c>
      <c r="K288" s="1555">
        <v>0</v>
      </c>
      <c r="L288" s="1555">
        <v>0</v>
      </c>
      <c r="M288" s="1555">
        <v>0</v>
      </c>
      <c r="N288" s="1555">
        <v>0</v>
      </c>
      <c r="O288" s="1555">
        <v>0</v>
      </c>
      <c r="P288" s="1555">
        <v>0</v>
      </c>
      <c r="Q288" s="1555">
        <v>0</v>
      </c>
    </row>
    <row r="289" spans="1:17">
      <c r="A289" s="1556" t="s">
        <v>668</v>
      </c>
      <c r="B289" s="1555">
        <v>0</v>
      </c>
      <c r="C289" s="1555">
        <v>0</v>
      </c>
      <c r="D289" s="1555">
        <v>0</v>
      </c>
      <c r="E289" s="1555">
        <v>0</v>
      </c>
      <c r="F289" s="1555">
        <v>0</v>
      </c>
      <c r="G289" s="1555">
        <v>0</v>
      </c>
      <c r="H289" s="1555">
        <v>0</v>
      </c>
      <c r="I289" s="1555">
        <v>0</v>
      </c>
      <c r="J289" s="1555">
        <v>0</v>
      </c>
      <c r="K289" s="1555">
        <v>0</v>
      </c>
      <c r="L289" s="1555">
        <v>0</v>
      </c>
      <c r="M289" s="1555">
        <v>0</v>
      </c>
      <c r="N289" s="1555">
        <v>0</v>
      </c>
      <c r="O289" s="1555">
        <v>0</v>
      </c>
      <c r="P289" s="1555">
        <v>0</v>
      </c>
      <c r="Q289" s="1555">
        <v>0</v>
      </c>
    </row>
    <row r="290" spans="1:17">
      <c r="A290" s="1553" t="s">
        <v>798</v>
      </c>
      <c r="B290" s="1555">
        <v>0</v>
      </c>
      <c r="C290" s="1555">
        <v>0</v>
      </c>
      <c r="D290" s="1555">
        <v>0</v>
      </c>
      <c r="E290" s="1555">
        <v>0</v>
      </c>
      <c r="F290" s="1555">
        <v>0</v>
      </c>
      <c r="G290" s="1555">
        <v>0</v>
      </c>
      <c r="H290" s="1555">
        <v>0</v>
      </c>
      <c r="I290" s="1555">
        <v>0</v>
      </c>
      <c r="J290" s="1555">
        <v>0</v>
      </c>
      <c r="K290" s="1555">
        <v>0</v>
      </c>
      <c r="L290" s="1555">
        <v>0</v>
      </c>
      <c r="M290" s="1555">
        <v>0</v>
      </c>
      <c r="N290" s="1555">
        <v>0</v>
      </c>
      <c r="O290" s="1555">
        <v>0</v>
      </c>
      <c r="P290" s="1555">
        <v>0</v>
      </c>
      <c r="Q290" s="1555">
        <v>0</v>
      </c>
    </row>
    <row r="291" spans="1:17">
      <c r="A291" s="1554" t="s">
        <v>238</v>
      </c>
      <c r="B291" s="1555">
        <v>0</v>
      </c>
      <c r="C291" s="1555">
        <v>0</v>
      </c>
      <c r="D291" s="1555">
        <v>0</v>
      </c>
      <c r="E291" s="1555">
        <v>0</v>
      </c>
      <c r="F291" s="1555">
        <v>0</v>
      </c>
      <c r="G291" s="1555">
        <v>0</v>
      </c>
      <c r="H291" s="1555">
        <v>0</v>
      </c>
      <c r="I291" s="1555">
        <v>0</v>
      </c>
      <c r="J291" s="1555">
        <v>0</v>
      </c>
      <c r="K291" s="1555">
        <v>0</v>
      </c>
      <c r="L291" s="1555">
        <v>0</v>
      </c>
      <c r="M291" s="1555">
        <v>0</v>
      </c>
      <c r="N291" s="1555">
        <v>0</v>
      </c>
      <c r="O291" s="1555">
        <v>0</v>
      </c>
      <c r="P291" s="1555">
        <v>0</v>
      </c>
      <c r="Q291" s="1555">
        <v>0</v>
      </c>
    </row>
    <row r="292" spans="1:17">
      <c r="A292" s="1556" t="s">
        <v>731</v>
      </c>
      <c r="B292" s="1555">
        <v>0</v>
      </c>
      <c r="C292" s="1555">
        <v>0</v>
      </c>
      <c r="D292" s="1555">
        <v>0</v>
      </c>
      <c r="E292" s="1555">
        <v>0</v>
      </c>
      <c r="F292" s="1555">
        <v>0</v>
      </c>
      <c r="G292" s="1555">
        <v>0</v>
      </c>
      <c r="H292" s="1555">
        <v>0</v>
      </c>
      <c r="I292" s="1555">
        <v>0</v>
      </c>
      <c r="J292" s="1555">
        <v>0</v>
      </c>
      <c r="K292" s="1555">
        <v>0</v>
      </c>
      <c r="L292" s="1555">
        <v>0</v>
      </c>
      <c r="M292" s="1555">
        <v>0</v>
      </c>
      <c r="N292" s="1555">
        <v>0</v>
      </c>
      <c r="O292" s="1555">
        <v>0</v>
      </c>
      <c r="P292" s="1555">
        <v>0</v>
      </c>
      <c r="Q292" s="1555">
        <v>0</v>
      </c>
    </row>
    <row r="293" spans="1:17">
      <c r="A293" s="1556" t="s">
        <v>656</v>
      </c>
      <c r="B293" s="1555">
        <v>0</v>
      </c>
      <c r="C293" s="1555">
        <v>0</v>
      </c>
      <c r="D293" s="1555">
        <v>0</v>
      </c>
      <c r="E293" s="1555">
        <v>0</v>
      </c>
      <c r="F293" s="1555">
        <v>0</v>
      </c>
      <c r="G293" s="1555">
        <v>0</v>
      </c>
      <c r="H293" s="1555">
        <v>0</v>
      </c>
      <c r="I293" s="1555">
        <v>0</v>
      </c>
      <c r="J293" s="1555">
        <v>0</v>
      </c>
      <c r="K293" s="1555">
        <v>0</v>
      </c>
      <c r="L293" s="1555">
        <v>0</v>
      </c>
      <c r="M293" s="1555">
        <v>0</v>
      </c>
      <c r="N293" s="1555">
        <v>0</v>
      </c>
      <c r="O293" s="1555">
        <v>0</v>
      </c>
      <c r="P293" s="1555">
        <v>0</v>
      </c>
      <c r="Q293" s="1555">
        <v>0</v>
      </c>
    </row>
    <row r="294" spans="1:17">
      <c r="A294" s="1556" t="s">
        <v>658</v>
      </c>
      <c r="B294" s="1555">
        <v>0</v>
      </c>
      <c r="C294" s="1555">
        <v>0</v>
      </c>
      <c r="D294" s="1555">
        <v>0</v>
      </c>
      <c r="E294" s="1555">
        <v>0</v>
      </c>
      <c r="F294" s="1555">
        <v>0</v>
      </c>
      <c r="G294" s="1555">
        <v>0</v>
      </c>
      <c r="H294" s="1555">
        <v>0</v>
      </c>
      <c r="I294" s="1555">
        <v>0</v>
      </c>
      <c r="J294" s="1555">
        <v>0</v>
      </c>
      <c r="K294" s="1555">
        <v>0</v>
      </c>
      <c r="L294" s="1555">
        <v>0</v>
      </c>
      <c r="M294" s="1555">
        <v>0</v>
      </c>
      <c r="N294" s="1555">
        <v>0</v>
      </c>
      <c r="O294" s="1555">
        <v>0</v>
      </c>
      <c r="P294" s="1555">
        <v>0</v>
      </c>
      <c r="Q294" s="1555">
        <v>0</v>
      </c>
    </row>
    <row r="295" spans="1:17">
      <c r="A295" s="1556" t="s">
        <v>660</v>
      </c>
      <c r="B295" s="1555">
        <v>0</v>
      </c>
      <c r="C295" s="1555">
        <v>0</v>
      </c>
      <c r="D295" s="1555">
        <v>0</v>
      </c>
      <c r="E295" s="1555">
        <v>0</v>
      </c>
      <c r="F295" s="1555">
        <v>0</v>
      </c>
      <c r="G295" s="1555">
        <v>0</v>
      </c>
      <c r="H295" s="1555">
        <v>0</v>
      </c>
      <c r="I295" s="1555">
        <v>0</v>
      </c>
      <c r="J295" s="1555">
        <v>0</v>
      </c>
      <c r="K295" s="1555">
        <v>0</v>
      </c>
      <c r="L295" s="1555">
        <v>0</v>
      </c>
      <c r="M295" s="1555">
        <v>0</v>
      </c>
      <c r="N295" s="1555">
        <v>0</v>
      </c>
      <c r="O295" s="1555">
        <v>0</v>
      </c>
      <c r="P295" s="1555">
        <v>0</v>
      </c>
      <c r="Q295" s="1555">
        <v>0</v>
      </c>
    </row>
    <row r="296" spans="1:17">
      <c r="A296" s="1556" t="s">
        <v>662</v>
      </c>
      <c r="B296" s="1555">
        <v>0</v>
      </c>
      <c r="C296" s="1555">
        <v>0</v>
      </c>
      <c r="D296" s="1555">
        <v>0</v>
      </c>
      <c r="E296" s="1555">
        <v>0</v>
      </c>
      <c r="F296" s="1555">
        <v>0</v>
      </c>
      <c r="G296" s="1555">
        <v>0</v>
      </c>
      <c r="H296" s="1555">
        <v>0</v>
      </c>
      <c r="I296" s="1555">
        <v>0</v>
      </c>
      <c r="J296" s="1555">
        <v>0</v>
      </c>
      <c r="K296" s="1555">
        <v>0</v>
      </c>
      <c r="L296" s="1555">
        <v>0</v>
      </c>
      <c r="M296" s="1555">
        <v>0</v>
      </c>
      <c r="N296" s="1555">
        <v>0</v>
      </c>
      <c r="O296" s="1555">
        <v>0</v>
      </c>
      <c r="P296" s="1555">
        <v>0</v>
      </c>
      <c r="Q296" s="1555">
        <v>0</v>
      </c>
    </row>
    <row r="297" spans="1:17">
      <c r="A297" s="1556" t="s">
        <v>664</v>
      </c>
      <c r="B297" s="1555">
        <v>0</v>
      </c>
      <c r="C297" s="1555">
        <v>0</v>
      </c>
      <c r="D297" s="1555">
        <v>0</v>
      </c>
      <c r="E297" s="1555">
        <v>0</v>
      </c>
      <c r="F297" s="1555">
        <v>0</v>
      </c>
      <c r="G297" s="1555">
        <v>0</v>
      </c>
      <c r="H297" s="1555">
        <v>0</v>
      </c>
      <c r="I297" s="1555">
        <v>0</v>
      </c>
      <c r="J297" s="1555">
        <v>0</v>
      </c>
      <c r="K297" s="1555">
        <v>0</v>
      </c>
      <c r="L297" s="1555">
        <v>0</v>
      </c>
      <c r="M297" s="1555">
        <v>0</v>
      </c>
      <c r="N297" s="1555">
        <v>0</v>
      </c>
      <c r="O297" s="1555">
        <v>0</v>
      </c>
      <c r="P297" s="1555">
        <v>0</v>
      </c>
      <c r="Q297" s="1555">
        <v>0</v>
      </c>
    </row>
    <row r="298" spans="1:17">
      <c r="A298" s="1556" t="s">
        <v>666</v>
      </c>
      <c r="B298" s="1555">
        <v>0</v>
      </c>
      <c r="C298" s="1555">
        <v>0</v>
      </c>
      <c r="D298" s="1555">
        <v>0</v>
      </c>
      <c r="E298" s="1555">
        <v>0</v>
      </c>
      <c r="F298" s="1555">
        <v>0</v>
      </c>
      <c r="G298" s="1555">
        <v>0</v>
      </c>
      <c r="H298" s="1555">
        <v>0</v>
      </c>
      <c r="I298" s="1555">
        <v>0</v>
      </c>
      <c r="J298" s="1555">
        <v>0</v>
      </c>
      <c r="K298" s="1555">
        <v>0</v>
      </c>
      <c r="L298" s="1555">
        <v>0</v>
      </c>
      <c r="M298" s="1555">
        <v>0</v>
      </c>
      <c r="N298" s="1555">
        <v>0</v>
      </c>
      <c r="O298" s="1555">
        <v>0</v>
      </c>
      <c r="P298" s="1555">
        <v>0</v>
      </c>
      <c r="Q298" s="1555">
        <v>0</v>
      </c>
    </row>
    <row r="299" spans="1:17">
      <c r="A299" s="1556" t="s">
        <v>668</v>
      </c>
      <c r="B299" s="1555">
        <v>0</v>
      </c>
      <c r="C299" s="1555">
        <v>0</v>
      </c>
      <c r="D299" s="1555">
        <v>0</v>
      </c>
      <c r="E299" s="1555">
        <v>0</v>
      </c>
      <c r="F299" s="1555">
        <v>0</v>
      </c>
      <c r="G299" s="1555">
        <v>0</v>
      </c>
      <c r="H299" s="1555">
        <v>0</v>
      </c>
      <c r="I299" s="1555">
        <v>0</v>
      </c>
      <c r="J299" s="1555">
        <v>0</v>
      </c>
      <c r="K299" s="1555">
        <v>0</v>
      </c>
      <c r="L299" s="1555">
        <v>0</v>
      </c>
      <c r="M299" s="1555">
        <v>0</v>
      </c>
      <c r="N299" s="1555">
        <v>0</v>
      </c>
      <c r="O299" s="1555">
        <v>0</v>
      </c>
      <c r="P299" s="1555">
        <v>0</v>
      </c>
      <c r="Q299" s="1555">
        <v>0</v>
      </c>
    </row>
    <row r="300" spans="1:17">
      <c r="A300" s="1437" t="s">
        <v>780</v>
      </c>
      <c r="B300" s="1555">
        <v>0</v>
      </c>
      <c r="C300" s="1555">
        <v>0</v>
      </c>
      <c r="D300" s="1555">
        <v>0</v>
      </c>
      <c r="E300" s="1555">
        <v>0</v>
      </c>
      <c r="F300" s="1555">
        <v>0</v>
      </c>
      <c r="G300" s="1555">
        <v>0</v>
      </c>
      <c r="H300" s="1555">
        <v>0</v>
      </c>
      <c r="I300" s="1555">
        <v>0</v>
      </c>
      <c r="J300" s="1555">
        <v>0</v>
      </c>
      <c r="K300" s="1555">
        <v>0</v>
      </c>
      <c r="L300" s="1555">
        <v>0</v>
      </c>
      <c r="M300" s="1555">
        <v>0</v>
      </c>
      <c r="N300" s="1555">
        <v>0</v>
      </c>
      <c r="O300" s="1555">
        <v>0</v>
      </c>
      <c r="P300" s="1555">
        <v>0</v>
      </c>
      <c r="Q300" s="1555">
        <v>0</v>
      </c>
    </row>
    <row r="301" spans="1:17">
      <c r="A301" s="1553" t="s">
        <v>789</v>
      </c>
      <c r="B301" s="1555">
        <v>0</v>
      </c>
      <c r="C301" s="1555">
        <v>0</v>
      </c>
      <c r="D301" s="1555">
        <v>0</v>
      </c>
      <c r="E301" s="1555">
        <v>0</v>
      </c>
      <c r="F301" s="1555">
        <v>0</v>
      </c>
      <c r="G301" s="1555">
        <v>0</v>
      </c>
      <c r="H301" s="1555">
        <v>0</v>
      </c>
      <c r="I301" s="1555">
        <v>0</v>
      </c>
      <c r="J301" s="1555">
        <v>0</v>
      </c>
      <c r="K301" s="1555">
        <v>0</v>
      </c>
      <c r="L301" s="1555">
        <v>0</v>
      </c>
      <c r="M301" s="1555">
        <v>0</v>
      </c>
      <c r="N301" s="1555">
        <v>0</v>
      </c>
      <c r="O301" s="1555">
        <v>0</v>
      </c>
      <c r="P301" s="1555">
        <v>0</v>
      </c>
      <c r="Q301" s="1555">
        <v>0</v>
      </c>
    </row>
    <row r="302" spans="1:17">
      <c r="A302" s="1554" t="s">
        <v>6938</v>
      </c>
      <c r="B302" s="1555">
        <v>0</v>
      </c>
      <c r="C302" s="1555">
        <v>0</v>
      </c>
      <c r="D302" s="1555">
        <v>0</v>
      </c>
      <c r="E302" s="1555">
        <v>0</v>
      </c>
      <c r="F302" s="1555">
        <v>0</v>
      </c>
      <c r="G302" s="1555">
        <v>0</v>
      </c>
      <c r="H302" s="1555">
        <v>0</v>
      </c>
      <c r="I302" s="1555">
        <v>0</v>
      </c>
      <c r="J302" s="1555">
        <v>0</v>
      </c>
      <c r="K302" s="1555">
        <v>0</v>
      </c>
      <c r="L302" s="1555">
        <v>0</v>
      </c>
      <c r="M302" s="1555">
        <v>0</v>
      </c>
      <c r="N302" s="1555">
        <v>0</v>
      </c>
      <c r="O302" s="1555">
        <v>0</v>
      </c>
      <c r="P302" s="1555">
        <v>0</v>
      </c>
      <c r="Q302" s="1555">
        <v>0</v>
      </c>
    </row>
    <row r="303" spans="1:17">
      <c r="A303" s="1556" t="s">
        <v>791</v>
      </c>
      <c r="B303" s="1555">
        <v>0</v>
      </c>
      <c r="C303" s="1555">
        <v>0</v>
      </c>
      <c r="D303" s="1555">
        <v>0</v>
      </c>
      <c r="E303" s="1555">
        <v>0</v>
      </c>
      <c r="F303" s="1555">
        <v>0</v>
      </c>
      <c r="G303" s="1555">
        <v>0</v>
      </c>
      <c r="H303" s="1555">
        <v>0</v>
      </c>
      <c r="I303" s="1555">
        <v>0</v>
      </c>
      <c r="J303" s="1555">
        <v>0</v>
      </c>
      <c r="K303" s="1555">
        <v>0</v>
      </c>
      <c r="L303" s="1555">
        <v>0</v>
      </c>
      <c r="M303" s="1555">
        <v>0</v>
      </c>
      <c r="N303" s="1555">
        <v>0</v>
      </c>
      <c r="O303" s="1555">
        <v>0</v>
      </c>
      <c r="P303" s="1555">
        <v>0</v>
      </c>
      <c r="Q303" s="1555">
        <v>0</v>
      </c>
    </row>
    <row r="304" spans="1:17">
      <c r="A304" s="1556" t="s">
        <v>793</v>
      </c>
      <c r="B304" s="1555">
        <v>0</v>
      </c>
      <c r="C304" s="1555">
        <v>0</v>
      </c>
      <c r="D304" s="1555">
        <v>0</v>
      </c>
      <c r="E304" s="1555">
        <v>0</v>
      </c>
      <c r="F304" s="1555">
        <v>0</v>
      </c>
      <c r="G304" s="1555">
        <v>0</v>
      </c>
      <c r="H304" s="1555">
        <v>0</v>
      </c>
      <c r="I304" s="1555">
        <v>0</v>
      </c>
      <c r="J304" s="1555">
        <v>0</v>
      </c>
      <c r="K304" s="1555">
        <v>0</v>
      </c>
      <c r="L304" s="1555">
        <v>0</v>
      </c>
      <c r="M304" s="1555">
        <v>0</v>
      </c>
      <c r="N304" s="1555">
        <v>0</v>
      </c>
      <c r="O304" s="1555">
        <v>0</v>
      </c>
      <c r="P304" s="1555">
        <v>0</v>
      </c>
      <c r="Q304" s="1555">
        <v>0</v>
      </c>
    </row>
    <row r="305" spans="1:17">
      <c r="A305" s="1556" t="s">
        <v>725</v>
      </c>
      <c r="B305" s="1555">
        <v>0</v>
      </c>
      <c r="C305" s="1555">
        <v>0</v>
      </c>
      <c r="D305" s="1555">
        <v>0</v>
      </c>
      <c r="E305" s="1555">
        <v>0</v>
      </c>
      <c r="F305" s="1555">
        <v>0</v>
      </c>
      <c r="G305" s="1555">
        <v>0</v>
      </c>
      <c r="H305" s="1555">
        <v>0</v>
      </c>
      <c r="I305" s="1555">
        <v>0</v>
      </c>
      <c r="J305" s="1555">
        <v>0</v>
      </c>
      <c r="K305" s="1555">
        <v>0</v>
      </c>
      <c r="L305" s="1555">
        <v>0</v>
      </c>
      <c r="M305" s="1555">
        <v>0</v>
      </c>
      <c r="N305" s="1555">
        <v>0</v>
      </c>
      <c r="O305" s="1555">
        <v>0</v>
      </c>
      <c r="P305" s="1555">
        <v>0</v>
      </c>
      <c r="Q305" s="1555">
        <v>0</v>
      </c>
    </row>
    <row r="306" spans="1:17">
      <c r="A306" s="1556" t="s">
        <v>656</v>
      </c>
      <c r="B306" s="1555">
        <v>0</v>
      </c>
      <c r="C306" s="1555">
        <v>0</v>
      </c>
      <c r="D306" s="1555">
        <v>0</v>
      </c>
      <c r="E306" s="1555">
        <v>0</v>
      </c>
      <c r="F306" s="1555">
        <v>0</v>
      </c>
      <c r="G306" s="1555">
        <v>0</v>
      </c>
      <c r="H306" s="1555">
        <v>0</v>
      </c>
      <c r="I306" s="1555">
        <v>0</v>
      </c>
      <c r="J306" s="1555">
        <v>0</v>
      </c>
      <c r="K306" s="1555">
        <v>0</v>
      </c>
      <c r="L306" s="1555">
        <v>0</v>
      </c>
      <c r="M306" s="1555">
        <v>0</v>
      </c>
      <c r="N306" s="1555">
        <v>0</v>
      </c>
      <c r="O306" s="1555">
        <v>0</v>
      </c>
      <c r="P306" s="1555">
        <v>0</v>
      </c>
      <c r="Q306" s="1555">
        <v>0</v>
      </c>
    </row>
    <row r="307" spans="1:17">
      <c r="A307" s="1556" t="s">
        <v>658</v>
      </c>
      <c r="B307" s="1555">
        <v>0</v>
      </c>
      <c r="C307" s="1555">
        <v>0</v>
      </c>
      <c r="D307" s="1555">
        <v>0</v>
      </c>
      <c r="E307" s="1555">
        <v>0</v>
      </c>
      <c r="F307" s="1555">
        <v>0</v>
      </c>
      <c r="G307" s="1555">
        <v>0</v>
      </c>
      <c r="H307" s="1555">
        <v>0</v>
      </c>
      <c r="I307" s="1555">
        <v>0</v>
      </c>
      <c r="J307" s="1555">
        <v>0</v>
      </c>
      <c r="K307" s="1555">
        <v>0</v>
      </c>
      <c r="L307" s="1555">
        <v>0</v>
      </c>
      <c r="M307" s="1555">
        <v>0</v>
      </c>
      <c r="N307" s="1555">
        <v>0</v>
      </c>
      <c r="O307" s="1555">
        <v>0</v>
      </c>
      <c r="P307" s="1555">
        <v>0</v>
      </c>
      <c r="Q307" s="1555">
        <v>0</v>
      </c>
    </row>
    <row r="308" spans="1:17">
      <c r="A308" s="1556" t="s">
        <v>660</v>
      </c>
      <c r="B308" s="1555">
        <v>0</v>
      </c>
      <c r="C308" s="1555">
        <v>0</v>
      </c>
      <c r="D308" s="1555">
        <v>0</v>
      </c>
      <c r="E308" s="1555">
        <v>0</v>
      </c>
      <c r="F308" s="1555">
        <v>0</v>
      </c>
      <c r="G308" s="1555">
        <v>0</v>
      </c>
      <c r="H308" s="1555">
        <v>0</v>
      </c>
      <c r="I308" s="1555">
        <v>0</v>
      </c>
      <c r="J308" s="1555">
        <v>0</v>
      </c>
      <c r="K308" s="1555">
        <v>0</v>
      </c>
      <c r="L308" s="1555">
        <v>0</v>
      </c>
      <c r="M308" s="1555">
        <v>0</v>
      </c>
      <c r="N308" s="1555">
        <v>0</v>
      </c>
      <c r="O308" s="1555">
        <v>0</v>
      </c>
      <c r="P308" s="1555">
        <v>0</v>
      </c>
      <c r="Q308" s="1555">
        <v>0</v>
      </c>
    </row>
    <row r="309" spans="1:17">
      <c r="A309" s="1556" t="s">
        <v>662</v>
      </c>
      <c r="B309" s="1555">
        <v>0</v>
      </c>
      <c r="C309" s="1555">
        <v>0</v>
      </c>
      <c r="D309" s="1555">
        <v>0</v>
      </c>
      <c r="E309" s="1555">
        <v>0</v>
      </c>
      <c r="F309" s="1555">
        <v>0</v>
      </c>
      <c r="G309" s="1555">
        <v>0</v>
      </c>
      <c r="H309" s="1555">
        <v>0</v>
      </c>
      <c r="I309" s="1555">
        <v>0</v>
      </c>
      <c r="J309" s="1555">
        <v>0</v>
      </c>
      <c r="K309" s="1555">
        <v>0</v>
      </c>
      <c r="L309" s="1555">
        <v>0</v>
      </c>
      <c r="M309" s="1555">
        <v>0</v>
      </c>
      <c r="N309" s="1555">
        <v>0</v>
      </c>
      <c r="O309" s="1555">
        <v>0</v>
      </c>
      <c r="P309" s="1555">
        <v>0</v>
      </c>
      <c r="Q309" s="1555">
        <v>0</v>
      </c>
    </row>
    <row r="310" spans="1:17">
      <c r="A310" s="1556" t="s">
        <v>664</v>
      </c>
      <c r="B310" s="1555">
        <v>0</v>
      </c>
      <c r="C310" s="1555">
        <v>0</v>
      </c>
      <c r="D310" s="1555">
        <v>0</v>
      </c>
      <c r="E310" s="1555">
        <v>0</v>
      </c>
      <c r="F310" s="1555">
        <v>0</v>
      </c>
      <c r="G310" s="1555">
        <v>0</v>
      </c>
      <c r="H310" s="1555">
        <v>0</v>
      </c>
      <c r="I310" s="1555">
        <v>0</v>
      </c>
      <c r="J310" s="1555">
        <v>0</v>
      </c>
      <c r="K310" s="1555">
        <v>0</v>
      </c>
      <c r="L310" s="1555">
        <v>0</v>
      </c>
      <c r="M310" s="1555">
        <v>0</v>
      </c>
      <c r="N310" s="1555">
        <v>0</v>
      </c>
      <c r="O310" s="1555">
        <v>0</v>
      </c>
      <c r="P310" s="1555">
        <v>0</v>
      </c>
      <c r="Q310" s="1555">
        <v>0</v>
      </c>
    </row>
    <row r="311" spans="1:17">
      <c r="A311" s="1556" t="s">
        <v>666</v>
      </c>
      <c r="B311" s="1555">
        <v>0</v>
      </c>
      <c r="C311" s="1555">
        <v>0</v>
      </c>
      <c r="D311" s="1555">
        <v>0</v>
      </c>
      <c r="E311" s="1555">
        <v>0</v>
      </c>
      <c r="F311" s="1555">
        <v>0</v>
      </c>
      <c r="G311" s="1555">
        <v>0</v>
      </c>
      <c r="H311" s="1555">
        <v>0</v>
      </c>
      <c r="I311" s="1555">
        <v>0</v>
      </c>
      <c r="J311" s="1555">
        <v>0</v>
      </c>
      <c r="K311" s="1555">
        <v>0</v>
      </c>
      <c r="L311" s="1555">
        <v>0</v>
      </c>
      <c r="M311" s="1555">
        <v>0</v>
      </c>
      <c r="N311" s="1555">
        <v>0</v>
      </c>
      <c r="O311" s="1555">
        <v>0</v>
      </c>
      <c r="P311" s="1555">
        <v>0</v>
      </c>
      <c r="Q311" s="1555">
        <v>0</v>
      </c>
    </row>
    <row r="312" spans="1:17">
      <c r="A312" s="1556" t="s">
        <v>668</v>
      </c>
      <c r="B312" s="1555">
        <v>0</v>
      </c>
      <c r="C312" s="1555">
        <v>0</v>
      </c>
      <c r="D312" s="1555">
        <v>0</v>
      </c>
      <c r="E312" s="1555">
        <v>0</v>
      </c>
      <c r="F312" s="1555">
        <v>0</v>
      </c>
      <c r="G312" s="1555">
        <v>0</v>
      </c>
      <c r="H312" s="1555">
        <v>0</v>
      </c>
      <c r="I312" s="1555">
        <v>0</v>
      </c>
      <c r="J312" s="1555">
        <v>0</v>
      </c>
      <c r="K312" s="1555">
        <v>0</v>
      </c>
      <c r="L312" s="1555">
        <v>0</v>
      </c>
      <c r="M312" s="1555">
        <v>0</v>
      </c>
      <c r="N312" s="1555">
        <v>0</v>
      </c>
      <c r="O312" s="1555">
        <v>0</v>
      </c>
      <c r="P312" s="1555">
        <v>0</v>
      </c>
      <c r="Q312" s="1555">
        <v>0</v>
      </c>
    </row>
    <row r="313" spans="1:17">
      <c r="A313" s="1554" t="s">
        <v>6939</v>
      </c>
      <c r="B313" s="1555">
        <v>0</v>
      </c>
      <c r="C313" s="1555">
        <v>0</v>
      </c>
      <c r="D313" s="1555">
        <v>0</v>
      </c>
      <c r="E313" s="1555">
        <v>0</v>
      </c>
      <c r="F313" s="1555">
        <v>0</v>
      </c>
      <c r="G313" s="1555">
        <v>0</v>
      </c>
      <c r="H313" s="1555">
        <v>0</v>
      </c>
      <c r="I313" s="1555">
        <v>0</v>
      </c>
      <c r="J313" s="1555">
        <v>0</v>
      </c>
      <c r="K313" s="1555">
        <v>0</v>
      </c>
      <c r="L313" s="1555">
        <v>0</v>
      </c>
      <c r="M313" s="1555">
        <v>0</v>
      </c>
      <c r="N313" s="1555">
        <v>0</v>
      </c>
      <c r="O313" s="1555">
        <v>0</v>
      </c>
      <c r="P313" s="1555">
        <v>0</v>
      </c>
      <c r="Q313" s="1555">
        <v>0</v>
      </c>
    </row>
    <row r="314" spans="1:17">
      <c r="A314" s="1556" t="s">
        <v>791</v>
      </c>
      <c r="B314" s="1555">
        <v>0</v>
      </c>
      <c r="C314" s="1555">
        <v>0</v>
      </c>
      <c r="D314" s="1555">
        <v>0</v>
      </c>
      <c r="E314" s="1555">
        <v>0</v>
      </c>
      <c r="F314" s="1555">
        <v>0</v>
      </c>
      <c r="G314" s="1555">
        <v>0</v>
      </c>
      <c r="H314" s="1555">
        <v>0</v>
      </c>
      <c r="I314" s="1555">
        <v>0</v>
      </c>
      <c r="J314" s="1555">
        <v>0</v>
      </c>
      <c r="K314" s="1555">
        <v>0</v>
      </c>
      <c r="L314" s="1555">
        <v>0</v>
      </c>
      <c r="M314" s="1555">
        <v>0</v>
      </c>
      <c r="N314" s="1555">
        <v>0</v>
      </c>
      <c r="O314" s="1555">
        <v>0</v>
      </c>
      <c r="P314" s="1555">
        <v>0</v>
      </c>
      <c r="Q314" s="1555">
        <v>0</v>
      </c>
    </row>
    <row r="315" spans="1:17">
      <c r="A315" s="1556" t="s">
        <v>725</v>
      </c>
      <c r="B315" s="1555">
        <v>0</v>
      </c>
      <c r="C315" s="1555">
        <v>0</v>
      </c>
      <c r="D315" s="1555">
        <v>0</v>
      </c>
      <c r="E315" s="1555">
        <v>0</v>
      </c>
      <c r="F315" s="1555">
        <v>0</v>
      </c>
      <c r="G315" s="1555">
        <v>0</v>
      </c>
      <c r="H315" s="1555">
        <v>0</v>
      </c>
      <c r="I315" s="1555">
        <v>0</v>
      </c>
      <c r="J315" s="1555">
        <v>0</v>
      </c>
      <c r="K315" s="1555">
        <v>0</v>
      </c>
      <c r="L315" s="1555">
        <v>0</v>
      </c>
      <c r="M315" s="1555">
        <v>0</v>
      </c>
      <c r="N315" s="1555">
        <v>0</v>
      </c>
      <c r="O315" s="1555">
        <v>0</v>
      </c>
      <c r="P315" s="1555">
        <v>0</v>
      </c>
      <c r="Q315" s="1555">
        <v>0</v>
      </c>
    </row>
    <row r="316" spans="1:17">
      <c r="A316" s="1556" t="s">
        <v>656</v>
      </c>
      <c r="B316" s="1555">
        <v>0</v>
      </c>
      <c r="C316" s="1555">
        <v>0</v>
      </c>
      <c r="D316" s="1555">
        <v>0</v>
      </c>
      <c r="E316" s="1555">
        <v>0</v>
      </c>
      <c r="F316" s="1555">
        <v>0</v>
      </c>
      <c r="G316" s="1555">
        <v>0</v>
      </c>
      <c r="H316" s="1555">
        <v>0</v>
      </c>
      <c r="I316" s="1555">
        <v>0</v>
      </c>
      <c r="J316" s="1555">
        <v>0</v>
      </c>
      <c r="K316" s="1555">
        <v>0</v>
      </c>
      <c r="L316" s="1555">
        <v>0</v>
      </c>
      <c r="M316" s="1555">
        <v>0</v>
      </c>
      <c r="N316" s="1555">
        <v>0</v>
      </c>
      <c r="O316" s="1555">
        <v>0</v>
      </c>
      <c r="P316" s="1555">
        <v>0</v>
      </c>
      <c r="Q316" s="1555">
        <v>0</v>
      </c>
    </row>
    <row r="317" spans="1:17">
      <c r="A317" s="1556" t="s">
        <v>658</v>
      </c>
      <c r="B317" s="1555">
        <v>0</v>
      </c>
      <c r="C317" s="1555">
        <v>0</v>
      </c>
      <c r="D317" s="1555">
        <v>0</v>
      </c>
      <c r="E317" s="1555">
        <v>0</v>
      </c>
      <c r="F317" s="1555">
        <v>0</v>
      </c>
      <c r="G317" s="1555">
        <v>0</v>
      </c>
      <c r="H317" s="1555">
        <v>0</v>
      </c>
      <c r="I317" s="1555">
        <v>0</v>
      </c>
      <c r="J317" s="1555">
        <v>0</v>
      </c>
      <c r="K317" s="1555">
        <v>0</v>
      </c>
      <c r="L317" s="1555">
        <v>0</v>
      </c>
      <c r="M317" s="1555">
        <v>0</v>
      </c>
      <c r="N317" s="1555">
        <v>0</v>
      </c>
      <c r="O317" s="1555">
        <v>0</v>
      </c>
      <c r="P317" s="1555">
        <v>0</v>
      </c>
      <c r="Q317" s="1555">
        <v>0</v>
      </c>
    </row>
    <row r="318" spans="1:17">
      <c r="A318" s="1556" t="s">
        <v>660</v>
      </c>
      <c r="B318" s="1555">
        <v>0</v>
      </c>
      <c r="C318" s="1555">
        <v>0</v>
      </c>
      <c r="D318" s="1555">
        <v>0</v>
      </c>
      <c r="E318" s="1555">
        <v>0</v>
      </c>
      <c r="F318" s="1555">
        <v>0</v>
      </c>
      <c r="G318" s="1555">
        <v>0</v>
      </c>
      <c r="H318" s="1555">
        <v>0</v>
      </c>
      <c r="I318" s="1555">
        <v>0</v>
      </c>
      <c r="J318" s="1555">
        <v>0</v>
      </c>
      <c r="K318" s="1555">
        <v>0</v>
      </c>
      <c r="L318" s="1555">
        <v>0</v>
      </c>
      <c r="M318" s="1555">
        <v>0</v>
      </c>
      <c r="N318" s="1555">
        <v>0</v>
      </c>
      <c r="O318" s="1555">
        <v>0</v>
      </c>
      <c r="P318" s="1555">
        <v>0</v>
      </c>
      <c r="Q318" s="1555">
        <v>0</v>
      </c>
    </row>
    <row r="319" spans="1:17">
      <c r="A319" s="1556" t="s">
        <v>662</v>
      </c>
      <c r="B319" s="1555">
        <v>0</v>
      </c>
      <c r="C319" s="1555">
        <v>0</v>
      </c>
      <c r="D319" s="1555">
        <v>0</v>
      </c>
      <c r="E319" s="1555">
        <v>0</v>
      </c>
      <c r="F319" s="1555">
        <v>0</v>
      </c>
      <c r="G319" s="1555">
        <v>0</v>
      </c>
      <c r="H319" s="1555">
        <v>0</v>
      </c>
      <c r="I319" s="1555">
        <v>0</v>
      </c>
      <c r="J319" s="1555">
        <v>0</v>
      </c>
      <c r="K319" s="1555">
        <v>0</v>
      </c>
      <c r="L319" s="1555">
        <v>0</v>
      </c>
      <c r="M319" s="1555">
        <v>0</v>
      </c>
      <c r="N319" s="1555">
        <v>0</v>
      </c>
      <c r="O319" s="1555">
        <v>0</v>
      </c>
      <c r="P319" s="1555">
        <v>0</v>
      </c>
      <c r="Q319" s="1555">
        <v>0</v>
      </c>
    </row>
    <row r="320" spans="1:17">
      <c r="A320" s="1556" t="s">
        <v>664</v>
      </c>
      <c r="B320" s="1555">
        <v>0</v>
      </c>
      <c r="C320" s="1555">
        <v>0</v>
      </c>
      <c r="D320" s="1555">
        <v>0</v>
      </c>
      <c r="E320" s="1555">
        <v>0</v>
      </c>
      <c r="F320" s="1555">
        <v>0</v>
      </c>
      <c r="G320" s="1555">
        <v>0</v>
      </c>
      <c r="H320" s="1555">
        <v>0</v>
      </c>
      <c r="I320" s="1555">
        <v>0</v>
      </c>
      <c r="J320" s="1555">
        <v>0</v>
      </c>
      <c r="K320" s="1555">
        <v>0</v>
      </c>
      <c r="L320" s="1555">
        <v>0</v>
      </c>
      <c r="M320" s="1555">
        <v>0</v>
      </c>
      <c r="N320" s="1555">
        <v>0</v>
      </c>
      <c r="O320" s="1555">
        <v>0</v>
      </c>
      <c r="P320" s="1555">
        <v>0</v>
      </c>
      <c r="Q320" s="1555">
        <v>0</v>
      </c>
    </row>
    <row r="321" spans="1:17">
      <c r="A321" s="1556" t="s">
        <v>666</v>
      </c>
      <c r="B321" s="1555">
        <v>0</v>
      </c>
      <c r="C321" s="1555">
        <v>0</v>
      </c>
      <c r="D321" s="1555">
        <v>0</v>
      </c>
      <c r="E321" s="1555">
        <v>0</v>
      </c>
      <c r="F321" s="1555">
        <v>0</v>
      </c>
      <c r="G321" s="1555">
        <v>0</v>
      </c>
      <c r="H321" s="1555">
        <v>0</v>
      </c>
      <c r="I321" s="1555">
        <v>0</v>
      </c>
      <c r="J321" s="1555">
        <v>0</v>
      </c>
      <c r="K321" s="1555">
        <v>0</v>
      </c>
      <c r="L321" s="1555">
        <v>0</v>
      </c>
      <c r="M321" s="1555">
        <v>0</v>
      </c>
      <c r="N321" s="1555">
        <v>0</v>
      </c>
      <c r="O321" s="1555">
        <v>0</v>
      </c>
      <c r="P321" s="1555">
        <v>0</v>
      </c>
      <c r="Q321" s="1555">
        <v>0</v>
      </c>
    </row>
    <row r="322" spans="1:17">
      <c r="A322" s="1556" t="s">
        <v>668</v>
      </c>
      <c r="B322" s="1555">
        <v>0</v>
      </c>
      <c r="C322" s="1555">
        <v>0</v>
      </c>
      <c r="D322" s="1555">
        <v>0</v>
      </c>
      <c r="E322" s="1555">
        <v>0</v>
      </c>
      <c r="F322" s="1555">
        <v>0</v>
      </c>
      <c r="G322" s="1555">
        <v>0</v>
      </c>
      <c r="H322" s="1555">
        <v>0</v>
      </c>
      <c r="I322" s="1555">
        <v>0</v>
      </c>
      <c r="J322" s="1555">
        <v>0</v>
      </c>
      <c r="K322" s="1555">
        <v>0</v>
      </c>
      <c r="L322" s="1555">
        <v>0</v>
      </c>
      <c r="M322" s="1555">
        <v>0</v>
      </c>
      <c r="N322" s="1555">
        <v>0</v>
      </c>
      <c r="O322" s="1555">
        <v>0</v>
      </c>
      <c r="P322" s="1555">
        <v>0</v>
      </c>
      <c r="Q322" s="1555">
        <v>0</v>
      </c>
    </row>
    <row r="323" spans="1:17">
      <c r="A323" s="1554" t="s">
        <v>6933</v>
      </c>
      <c r="B323" s="1555">
        <v>0</v>
      </c>
      <c r="C323" s="1555">
        <v>0</v>
      </c>
      <c r="D323" s="1555">
        <v>0</v>
      </c>
      <c r="E323" s="1555">
        <v>0</v>
      </c>
      <c r="F323" s="1555">
        <v>0</v>
      </c>
      <c r="G323" s="1555">
        <v>0</v>
      </c>
      <c r="H323" s="1555">
        <v>0</v>
      </c>
      <c r="I323" s="1555">
        <v>0</v>
      </c>
      <c r="J323" s="1555">
        <v>0</v>
      </c>
      <c r="K323" s="1555">
        <v>0</v>
      </c>
      <c r="L323" s="1555">
        <v>0</v>
      </c>
      <c r="M323" s="1555">
        <v>0</v>
      </c>
      <c r="N323" s="1555">
        <v>0</v>
      </c>
      <c r="O323" s="1555">
        <v>0</v>
      </c>
      <c r="P323" s="1555">
        <v>0</v>
      </c>
      <c r="Q323" s="1555">
        <v>0</v>
      </c>
    </row>
    <row r="324" spans="1:17">
      <c r="A324" s="1556" t="s">
        <v>791</v>
      </c>
      <c r="B324" s="1555">
        <v>0</v>
      </c>
      <c r="C324" s="1555">
        <v>0</v>
      </c>
      <c r="D324" s="1555">
        <v>0</v>
      </c>
      <c r="E324" s="1555">
        <v>0</v>
      </c>
      <c r="F324" s="1555">
        <v>0</v>
      </c>
      <c r="G324" s="1555">
        <v>0</v>
      </c>
      <c r="H324" s="1555">
        <v>0</v>
      </c>
      <c r="I324" s="1555">
        <v>0</v>
      </c>
      <c r="J324" s="1555">
        <v>0</v>
      </c>
      <c r="K324" s="1555">
        <v>0</v>
      </c>
      <c r="L324" s="1555">
        <v>0</v>
      </c>
      <c r="M324" s="1555">
        <v>0</v>
      </c>
      <c r="N324" s="1555">
        <v>0</v>
      </c>
      <c r="O324" s="1555">
        <v>0</v>
      </c>
      <c r="P324" s="1555">
        <v>0</v>
      </c>
      <c r="Q324" s="1555">
        <v>0</v>
      </c>
    </row>
    <row r="325" spans="1:17">
      <c r="A325" s="1556" t="s">
        <v>725</v>
      </c>
      <c r="B325" s="1555">
        <v>0</v>
      </c>
      <c r="C325" s="1555">
        <v>0</v>
      </c>
      <c r="D325" s="1555">
        <v>0</v>
      </c>
      <c r="E325" s="1555">
        <v>0</v>
      </c>
      <c r="F325" s="1555">
        <v>0</v>
      </c>
      <c r="G325" s="1555">
        <v>0</v>
      </c>
      <c r="H325" s="1555">
        <v>0</v>
      </c>
      <c r="I325" s="1555">
        <v>0</v>
      </c>
      <c r="J325" s="1555">
        <v>0</v>
      </c>
      <c r="K325" s="1555">
        <v>0</v>
      </c>
      <c r="L325" s="1555">
        <v>0</v>
      </c>
      <c r="M325" s="1555">
        <v>0</v>
      </c>
      <c r="N325" s="1555">
        <v>0</v>
      </c>
      <c r="O325" s="1555">
        <v>0</v>
      </c>
      <c r="P325" s="1555">
        <v>0</v>
      </c>
      <c r="Q325" s="1555">
        <v>0</v>
      </c>
    </row>
    <row r="326" spans="1:17">
      <c r="A326" s="1556" t="s">
        <v>656</v>
      </c>
      <c r="B326" s="1555">
        <v>0</v>
      </c>
      <c r="C326" s="1555">
        <v>0</v>
      </c>
      <c r="D326" s="1555">
        <v>0</v>
      </c>
      <c r="E326" s="1555">
        <v>0</v>
      </c>
      <c r="F326" s="1555">
        <v>0</v>
      </c>
      <c r="G326" s="1555">
        <v>0</v>
      </c>
      <c r="H326" s="1555">
        <v>0</v>
      </c>
      <c r="I326" s="1555">
        <v>0</v>
      </c>
      <c r="J326" s="1555">
        <v>0</v>
      </c>
      <c r="K326" s="1555">
        <v>0</v>
      </c>
      <c r="L326" s="1555">
        <v>0</v>
      </c>
      <c r="M326" s="1555">
        <v>0</v>
      </c>
      <c r="N326" s="1555">
        <v>0</v>
      </c>
      <c r="O326" s="1555">
        <v>0</v>
      </c>
      <c r="P326" s="1555">
        <v>0</v>
      </c>
      <c r="Q326" s="1555">
        <v>0</v>
      </c>
    </row>
    <row r="327" spans="1:17">
      <c r="A327" s="1556" t="s">
        <v>658</v>
      </c>
      <c r="B327" s="1555">
        <v>0</v>
      </c>
      <c r="C327" s="1555">
        <v>0</v>
      </c>
      <c r="D327" s="1555">
        <v>0</v>
      </c>
      <c r="E327" s="1555">
        <v>0</v>
      </c>
      <c r="F327" s="1555">
        <v>0</v>
      </c>
      <c r="G327" s="1555">
        <v>0</v>
      </c>
      <c r="H327" s="1555">
        <v>0</v>
      </c>
      <c r="I327" s="1555">
        <v>0</v>
      </c>
      <c r="J327" s="1555">
        <v>0</v>
      </c>
      <c r="K327" s="1555">
        <v>0</v>
      </c>
      <c r="L327" s="1555">
        <v>0</v>
      </c>
      <c r="M327" s="1555">
        <v>0</v>
      </c>
      <c r="N327" s="1555">
        <v>0</v>
      </c>
      <c r="O327" s="1555">
        <v>0</v>
      </c>
      <c r="P327" s="1555">
        <v>0</v>
      </c>
      <c r="Q327" s="1555">
        <v>0</v>
      </c>
    </row>
    <row r="328" spans="1:17">
      <c r="A328" s="1556" t="s">
        <v>660</v>
      </c>
      <c r="B328" s="1555">
        <v>0</v>
      </c>
      <c r="C328" s="1555">
        <v>0</v>
      </c>
      <c r="D328" s="1555">
        <v>0</v>
      </c>
      <c r="E328" s="1555">
        <v>0</v>
      </c>
      <c r="F328" s="1555">
        <v>0</v>
      </c>
      <c r="G328" s="1555">
        <v>0</v>
      </c>
      <c r="H328" s="1555">
        <v>0</v>
      </c>
      <c r="I328" s="1555">
        <v>0</v>
      </c>
      <c r="J328" s="1555">
        <v>0</v>
      </c>
      <c r="K328" s="1555">
        <v>0</v>
      </c>
      <c r="L328" s="1555">
        <v>0</v>
      </c>
      <c r="M328" s="1555">
        <v>0</v>
      </c>
      <c r="N328" s="1555">
        <v>0</v>
      </c>
      <c r="O328" s="1555">
        <v>0</v>
      </c>
      <c r="P328" s="1555">
        <v>0</v>
      </c>
      <c r="Q328" s="1555">
        <v>0</v>
      </c>
    </row>
    <row r="329" spans="1:17">
      <c r="A329" s="1556" t="s">
        <v>662</v>
      </c>
      <c r="B329" s="1555">
        <v>0</v>
      </c>
      <c r="C329" s="1555">
        <v>0</v>
      </c>
      <c r="D329" s="1555">
        <v>0</v>
      </c>
      <c r="E329" s="1555">
        <v>0</v>
      </c>
      <c r="F329" s="1555">
        <v>0</v>
      </c>
      <c r="G329" s="1555">
        <v>0</v>
      </c>
      <c r="H329" s="1555">
        <v>0</v>
      </c>
      <c r="I329" s="1555">
        <v>0</v>
      </c>
      <c r="J329" s="1555">
        <v>0</v>
      </c>
      <c r="K329" s="1555">
        <v>0</v>
      </c>
      <c r="L329" s="1555">
        <v>0</v>
      </c>
      <c r="M329" s="1555">
        <v>0</v>
      </c>
      <c r="N329" s="1555">
        <v>0</v>
      </c>
      <c r="O329" s="1555">
        <v>0</v>
      </c>
      <c r="P329" s="1555">
        <v>0</v>
      </c>
      <c r="Q329" s="1555">
        <v>0</v>
      </c>
    </row>
    <row r="330" spans="1:17">
      <c r="A330" s="1556" t="s">
        <v>664</v>
      </c>
      <c r="B330" s="1555">
        <v>0</v>
      </c>
      <c r="C330" s="1555">
        <v>0</v>
      </c>
      <c r="D330" s="1555">
        <v>0</v>
      </c>
      <c r="E330" s="1555">
        <v>0</v>
      </c>
      <c r="F330" s="1555">
        <v>0</v>
      </c>
      <c r="G330" s="1555">
        <v>0</v>
      </c>
      <c r="H330" s="1555">
        <v>0</v>
      </c>
      <c r="I330" s="1555">
        <v>0</v>
      </c>
      <c r="J330" s="1555">
        <v>0</v>
      </c>
      <c r="K330" s="1555">
        <v>0</v>
      </c>
      <c r="L330" s="1555">
        <v>0</v>
      </c>
      <c r="M330" s="1555">
        <v>0</v>
      </c>
      <c r="N330" s="1555">
        <v>0</v>
      </c>
      <c r="O330" s="1555">
        <v>0</v>
      </c>
      <c r="P330" s="1555">
        <v>0</v>
      </c>
      <c r="Q330" s="1555">
        <v>0</v>
      </c>
    </row>
    <row r="331" spans="1:17">
      <c r="A331" s="1556" t="s">
        <v>666</v>
      </c>
      <c r="B331" s="1555">
        <v>0</v>
      </c>
      <c r="C331" s="1555">
        <v>0</v>
      </c>
      <c r="D331" s="1555">
        <v>0</v>
      </c>
      <c r="E331" s="1555">
        <v>0</v>
      </c>
      <c r="F331" s="1555">
        <v>0</v>
      </c>
      <c r="G331" s="1555">
        <v>0</v>
      </c>
      <c r="H331" s="1555">
        <v>0</v>
      </c>
      <c r="I331" s="1555">
        <v>0</v>
      </c>
      <c r="J331" s="1555">
        <v>0</v>
      </c>
      <c r="K331" s="1555">
        <v>0</v>
      </c>
      <c r="L331" s="1555">
        <v>0</v>
      </c>
      <c r="M331" s="1555">
        <v>0</v>
      </c>
      <c r="N331" s="1555">
        <v>0</v>
      </c>
      <c r="O331" s="1555">
        <v>0</v>
      </c>
      <c r="P331" s="1555">
        <v>0</v>
      </c>
      <c r="Q331" s="1555">
        <v>0</v>
      </c>
    </row>
    <row r="332" spans="1:17">
      <c r="A332" s="1556" t="s">
        <v>668</v>
      </c>
      <c r="B332" s="1555">
        <v>0</v>
      </c>
      <c r="C332" s="1555">
        <v>0</v>
      </c>
      <c r="D332" s="1555">
        <v>0</v>
      </c>
      <c r="E332" s="1555">
        <v>0</v>
      </c>
      <c r="F332" s="1555">
        <v>0</v>
      </c>
      <c r="G332" s="1555">
        <v>0</v>
      </c>
      <c r="H332" s="1555">
        <v>0</v>
      </c>
      <c r="I332" s="1555">
        <v>0</v>
      </c>
      <c r="J332" s="1555">
        <v>0</v>
      </c>
      <c r="K332" s="1555">
        <v>0</v>
      </c>
      <c r="L332" s="1555">
        <v>0</v>
      </c>
      <c r="M332" s="1555">
        <v>0</v>
      </c>
      <c r="N332" s="1555">
        <v>0</v>
      </c>
      <c r="O332" s="1555">
        <v>0</v>
      </c>
      <c r="P332" s="1555">
        <v>0</v>
      </c>
      <c r="Q332" s="1555">
        <v>0</v>
      </c>
    </row>
    <row r="333" spans="1:17">
      <c r="A333" s="1554" t="s">
        <v>6937</v>
      </c>
      <c r="B333" s="1555">
        <v>0</v>
      </c>
      <c r="C333" s="1555">
        <v>0</v>
      </c>
      <c r="D333" s="1555">
        <v>0</v>
      </c>
      <c r="E333" s="1555">
        <v>0</v>
      </c>
      <c r="F333" s="1555">
        <v>0</v>
      </c>
      <c r="G333" s="1555">
        <v>0</v>
      </c>
      <c r="H333" s="1555">
        <v>0</v>
      </c>
      <c r="I333" s="1555">
        <v>0</v>
      </c>
      <c r="J333" s="1555">
        <v>0</v>
      </c>
      <c r="K333" s="1555">
        <v>0</v>
      </c>
      <c r="L333" s="1555">
        <v>0</v>
      </c>
      <c r="M333" s="1555">
        <v>0</v>
      </c>
      <c r="N333" s="1555">
        <v>0</v>
      </c>
      <c r="O333" s="1555">
        <v>0</v>
      </c>
      <c r="P333" s="1555">
        <v>0</v>
      </c>
      <c r="Q333" s="1555">
        <v>0</v>
      </c>
    </row>
    <row r="334" spans="1:17">
      <c r="A334" s="1556" t="s">
        <v>791</v>
      </c>
      <c r="B334" s="1555">
        <v>0</v>
      </c>
      <c r="C334" s="1555">
        <v>0</v>
      </c>
      <c r="D334" s="1555">
        <v>0</v>
      </c>
      <c r="E334" s="1555">
        <v>0</v>
      </c>
      <c r="F334" s="1555">
        <v>0</v>
      </c>
      <c r="G334" s="1555">
        <v>0</v>
      </c>
      <c r="H334" s="1555">
        <v>0</v>
      </c>
      <c r="I334" s="1555">
        <v>0</v>
      </c>
      <c r="J334" s="1555">
        <v>0</v>
      </c>
      <c r="K334" s="1555">
        <v>0</v>
      </c>
      <c r="L334" s="1555">
        <v>0</v>
      </c>
      <c r="M334" s="1555">
        <v>0</v>
      </c>
      <c r="N334" s="1555">
        <v>0</v>
      </c>
      <c r="O334" s="1555">
        <v>0</v>
      </c>
      <c r="P334" s="1555">
        <v>0</v>
      </c>
      <c r="Q334" s="1555">
        <v>0</v>
      </c>
    </row>
    <row r="335" spans="1:17">
      <c r="A335" s="1556" t="s">
        <v>793</v>
      </c>
      <c r="B335" s="1555">
        <v>0</v>
      </c>
      <c r="C335" s="1555">
        <v>0</v>
      </c>
      <c r="D335" s="1555">
        <v>0</v>
      </c>
      <c r="E335" s="1555">
        <v>0</v>
      </c>
      <c r="F335" s="1555">
        <v>0</v>
      </c>
      <c r="G335" s="1555">
        <v>0</v>
      </c>
      <c r="H335" s="1555">
        <v>0</v>
      </c>
      <c r="I335" s="1555">
        <v>0</v>
      </c>
      <c r="J335" s="1555">
        <v>0</v>
      </c>
      <c r="K335" s="1555">
        <v>0</v>
      </c>
      <c r="L335" s="1555">
        <v>0</v>
      </c>
      <c r="M335" s="1555">
        <v>0</v>
      </c>
      <c r="N335" s="1555">
        <v>0</v>
      </c>
      <c r="O335" s="1555">
        <v>0</v>
      </c>
      <c r="P335" s="1555">
        <v>0</v>
      </c>
      <c r="Q335" s="1555">
        <v>0</v>
      </c>
    </row>
    <row r="336" spans="1:17">
      <c r="A336" s="1556" t="s">
        <v>725</v>
      </c>
      <c r="B336" s="1555">
        <v>0</v>
      </c>
      <c r="C336" s="1555">
        <v>0</v>
      </c>
      <c r="D336" s="1555">
        <v>0</v>
      </c>
      <c r="E336" s="1555">
        <v>0</v>
      </c>
      <c r="F336" s="1555">
        <v>0</v>
      </c>
      <c r="G336" s="1555">
        <v>0</v>
      </c>
      <c r="H336" s="1555">
        <v>0</v>
      </c>
      <c r="I336" s="1555">
        <v>0</v>
      </c>
      <c r="J336" s="1555">
        <v>0</v>
      </c>
      <c r="K336" s="1555">
        <v>0</v>
      </c>
      <c r="L336" s="1555">
        <v>0</v>
      </c>
      <c r="M336" s="1555">
        <v>0</v>
      </c>
      <c r="N336" s="1555">
        <v>0</v>
      </c>
      <c r="O336" s="1555">
        <v>0</v>
      </c>
      <c r="P336" s="1555">
        <v>0</v>
      </c>
      <c r="Q336" s="1555">
        <v>0</v>
      </c>
    </row>
    <row r="337" spans="1:17">
      <c r="A337" s="1556" t="s">
        <v>656</v>
      </c>
      <c r="B337" s="1555">
        <v>0</v>
      </c>
      <c r="C337" s="1555">
        <v>0</v>
      </c>
      <c r="D337" s="1555">
        <v>0</v>
      </c>
      <c r="E337" s="1555">
        <v>0</v>
      </c>
      <c r="F337" s="1555">
        <v>0</v>
      </c>
      <c r="G337" s="1555">
        <v>0</v>
      </c>
      <c r="H337" s="1555">
        <v>0</v>
      </c>
      <c r="I337" s="1555">
        <v>0</v>
      </c>
      <c r="J337" s="1555">
        <v>0</v>
      </c>
      <c r="K337" s="1555">
        <v>0</v>
      </c>
      <c r="L337" s="1555">
        <v>0</v>
      </c>
      <c r="M337" s="1555">
        <v>0</v>
      </c>
      <c r="N337" s="1555">
        <v>0</v>
      </c>
      <c r="O337" s="1555">
        <v>0</v>
      </c>
      <c r="P337" s="1555">
        <v>0</v>
      </c>
      <c r="Q337" s="1555">
        <v>0</v>
      </c>
    </row>
    <row r="338" spans="1:17">
      <c r="A338" s="1556" t="s">
        <v>658</v>
      </c>
      <c r="B338" s="1555">
        <v>0</v>
      </c>
      <c r="C338" s="1555">
        <v>0</v>
      </c>
      <c r="D338" s="1555">
        <v>0</v>
      </c>
      <c r="E338" s="1555">
        <v>0</v>
      </c>
      <c r="F338" s="1555">
        <v>0</v>
      </c>
      <c r="G338" s="1555">
        <v>0</v>
      </c>
      <c r="H338" s="1555">
        <v>0</v>
      </c>
      <c r="I338" s="1555">
        <v>0</v>
      </c>
      <c r="J338" s="1555">
        <v>0</v>
      </c>
      <c r="K338" s="1555">
        <v>0</v>
      </c>
      <c r="L338" s="1555">
        <v>0</v>
      </c>
      <c r="M338" s="1555">
        <v>0</v>
      </c>
      <c r="N338" s="1555">
        <v>0</v>
      </c>
      <c r="O338" s="1555">
        <v>0</v>
      </c>
      <c r="P338" s="1555">
        <v>0</v>
      </c>
      <c r="Q338" s="1555">
        <v>0</v>
      </c>
    </row>
    <row r="339" spans="1:17">
      <c r="A339" s="1556" t="s">
        <v>660</v>
      </c>
      <c r="B339" s="1555">
        <v>0</v>
      </c>
      <c r="C339" s="1555">
        <v>0</v>
      </c>
      <c r="D339" s="1555">
        <v>0</v>
      </c>
      <c r="E339" s="1555">
        <v>0</v>
      </c>
      <c r="F339" s="1555">
        <v>0</v>
      </c>
      <c r="G339" s="1555">
        <v>0</v>
      </c>
      <c r="H339" s="1555">
        <v>0</v>
      </c>
      <c r="I339" s="1555">
        <v>0</v>
      </c>
      <c r="J339" s="1555">
        <v>0</v>
      </c>
      <c r="K339" s="1555">
        <v>0</v>
      </c>
      <c r="L339" s="1555">
        <v>0</v>
      </c>
      <c r="M339" s="1555">
        <v>0</v>
      </c>
      <c r="N339" s="1555">
        <v>0</v>
      </c>
      <c r="O339" s="1555">
        <v>0</v>
      </c>
      <c r="P339" s="1555">
        <v>0</v>
      </c>
      <c r="Q339" s="1555">
        <v>0</v>
      </c>
    </row>
    <row r="340" spans="1:17">
      <c r="A340" s="1556" t="s">
        <v>662</v>
      </c>
      <c r="B340" s="1555">
        <v>0</v>
      </c>
      <c r="C340" s="1555">
        <v>0</v>
      </c>
      <c r="D340" s="1555">
        <v>0</v>
      </c>
      <c r="E340" s="1555">
        <v>0</v>
      </c>
      <c r="F340" s="1555">
        <v>0</v>
      </c>
      <c r="G340" s="1555">
        <v>0</v>
      </c>
      <c r="H340" s="1555">
        <v>0</v>
      </c>
      <c r="I340" s="1555">
        <v>0</v>
      </c>
      <c r="J340" s="1555">
        <v>0</v>
      </c>
      <c r="K340" s="1555">
        <v>0</v>
      </c>
      <c r="L340" s="1555">
        <v>0</v>
      </c>
      <c r="M340" s="1555">
        <v>0</v>
      </c>
      <c r="N340" s="1555">
        <v>0</v>
      </c>
      <c r="O340" s="1555">
        <v>0</v>
      </c>
      <c r="P340" s="1555">
        <v>0</v>
      </c>
      <c r="Q340" s="1555">
        <v>0</v>
      </c>
    </row>
    <row r="341" spans="1:17">
      <c r="A341" s="1556" t="s">
        <v>664</v>
      </c>
      <c r="B341" s="1555">
        <v>0</v>
      </c>
      <c r="C341" s="1555">
        <v>0</v>
      </c>
      <c r="D341" s="1555">
        <v>0</v>
      </c>
      <c r="E341" s="1555">
        <v>0</v>
      </c>
      <c r="F341" s="1555">
        <v>0</v>
      </c>
      <c r="G341" s="1555">
        <v>0</v>
      </c>
      <c r="H341" s="1555">
        <v>0</v>
      </c>
      <c r="I341" s="1555">
        <v>0</v>
      </c>
      <c r="J341" s="1555">
        <v>0</v>
      </c>
      <c r="K341" s="1555">
        <v>0</v>
      </c>
      <c r="L341" s="1555">
        <v>0</v>
      </c>
      <c r="M341" s="1555">
        <v>0</v>
      </c>
      <c r="N341" s="1555">
        <v>0</v>
      </c>
      <c r="O341" s="1555">
        <v>0</v>
      </c>
      <c r="P341" s="1555">
        <v>0</v>
      </c>
      <c r="Q341" s="1555">
        <v>0</v>
      </c>
    </row>
    <row r="342" spans="1:17">
      <c r="A342" s="1556" t="s">
        <v>666</v>
      </c>
      <c r="B342" s="1555">
        <v>0</v>
      </c>
      <c r="C342" s="1555">
        <v>0</v>
      </c>
      <c r="D342" s="1555">
        <v>0</v>
      </c>
      <c r="E342" s="1555">
        <v>0</v>
      </c>
      <c r="F342" s="1555">
        <v>0</v>
      </c>
      <c r="G342" s="1555">
        <v>0</v>
      </c>
      <c r="H342" s="1555">
        <v>0</v>
      </c>
      <c r="I342" s="1555">
        <v>0</v>
      </c>
      <c r="J342" s="1555">
        <v>0</v>
      </c>
      <c r="K342" s="1555">
        <v>0</v>
      </c>
      <c r="L342" s="1555">
        <v>0</v>
      </c>
      <c r="M342" s="1555">
        <v>0</v>
      </c>
      <c r="N342" s="1555">
        <v>0</v>
      </c>
      <c r="O342" s="1555">
        <v>0</v>
      </c>
      <c r="P342" s="1555">
        <v>0</v>
      </c>
      <c r="Q342" s="1555">
        <v>0</v>
      </c>
    </row>
    <row r="343" spans="1:17">
      <c r="A343" s="1556" t="s">
        <v>668</v>
      </c>
      <c r="B343" s="1555">
        <v>0</v>
      </c>
      <c r="C343" s="1555">
        <v>0</v>
      </c>
      <c r="D343" s="1555">
        <v>0</v>
      </c>
      <c r="E343" s="1555">
        <v>0</v>
      </c>
      <c r="F343" s="1555">
        <v>0</v>
      </c>
      <c r="G343" s="1555">
        <v>0</v>
      </c>
      <c r="H343" s="1555">
        <v>0</v>
      </c>
      <c r="I343" s="1555">
        <v>0</v>
      </c>
      <c r="J343" s="1555">
        <v>0</v>
      </c>
      <c r="K343" s="1555">
        <v>0</v>
      </c>
      <c r="L343" s="1555">
        <v>0</v>
      </c>
      <c r="M343" s="1555">
        <v>0</v>
      </c>
      <c r="N343" s="1555">
        <v>0</v>
      </c>
      <c r="O343" s="1555">
        <v>0</v>
      </c>
      <c r="P343" s="1555">
        <v>0</v>
      </c>
      <c r="Q343" s="1555">
        <v>0</v>
      </c>
    </row>
    <row r="344" spans="1:17">
      <c r="A344" s="1554" t="s">
        <v>6936</v>
      </c>
      <c r="B344" s="1555">
        <v>0</v>
      </c>
      <c r="C344" s="1555">
        <v>0</v>
      </c>
      <c r="D344" s="1555">
        <v>0</v>
      </c>
      <c r="E344" s="1555">
        <v>0</v>
      </c>
      <c r="F344" s="1555">
        <v>0</v>
      </c>
      <c r="G344" s="1555">
        <v>0</v>
      </c>
      <c r="H344" s="1555">
        <v>0</v>
      </c>
      <c r="I344" s="1555">
        <v>0</v>
      </c>
      <c r="J344" s="1555">
        <v>0</v>
      </c>
      <c r="K344" s="1555">
        <v>0</v>
      </c>
      <c r="L344" s="1555">
        <v>0</v>
      </c>
      <c r="M344" s="1555">
        <v>0</v>
      </c>
      <c r="N344" s="1555">
        <v>0</v>
      </c>
      <c r="O344" s="1555">
        <v>0</v>
      </c>
      <c r="P344" s="1555">
        <v>0</v>
      </c>
      <c r="Q344" s="1555">
        <v>0</v>
      </c>
    </row>
    <row r="345" spans="1:17">
      <c r="A345" s="1556" t="s">
        <v>791</v>
      </c>
      <c r="B345" s="1555">
        <v>0</v>
      </c>
      <c r="C345" s="1555">
        <v>0</v>
      </c>
      <c r="D345" s="1555">
        <v>0</v>
      </c>
      <c r="E345" s="1555">
        <v>0</v>
      </c>
      <c r="F345" s="1555">
        <v>0</v>
      </c>
      <c r="G345" s="1555">
        <v>0</v>
      </c>
      <c r="H345" s="1555">
        <v>0</v>
      </c>
      <c r="I345" s="1555">
        <v>0</v>
      </c>
      <c r="J345" s="1555">
        <v>0</v>
      </c>
      <c r="K345" s="1555">
        <v>0</v>
      </c>
      <c r="L345" s="1555">
        <v>0</v>
      </c>
      <c r="M345" s="1555">
        <v>0</v>
      </c>
      <c r="N345" s="1555">
        <v>0</v>
      </c>
      <c r="O345" s="1555">
        <v>0</v>
      </c>
      <c r="P345" s="1555">
        <v>0</v>
      </c>
      <c r="Q345" s="1555">
        <v>0</v>
      </c>
    </row>
    <row r="346" spans="1:17">
      <c r="A346" s="1556" t="s">
        <v>793</v>
      </c>
      <c r="B346" s="1555">
        <v>0</v>
      </c>
      <c r="C346" s="1555">
        <v>0</v>
      </c>
      <c r="D346" s="1555">
        <v>0</v>
      </c>
      <c r="E346" s="1555">
        <v>0</v>
      </c>
      <c r="F346" s="1555">
        <v>0</v>
      </c>
      <c r="G346" s="1555">
        <v>0</v>
      </c>
      <c r="H346" s="1555">
        <v>0</v>
      </c>
      <c r="I346" s="1555">
        <v>0</v>
      </c>
      <c r="J346" s="1555">
        <v>0</v>
      </c>
      <c r="K346" s="1555">
        <v>0</v>
      </c>
      <c r="L346" s="1555">
        <v>0</v>
      </c>
      <c r="M346" s="1555">
        <v>0</v>
      </c>
      <c r="N346" s="1555">
        <v>0</v>
      </c>
      <c r="O346" s="1555">
        <v>0</v>
      </c>
      <c r="P346" s="1555">
        <v>0</v>
      </c>
      <c r="Q346" s="1555">
        <v>0</v>
      </c>
    </row>
    <row r="347" spans="1:17">
      <c r="A347" s="1556" t="s">
        <v>725</v>
      </c>
      <c r="B347" s="1555">
        <v>0</v>
      </c>
      <c r="C347" s="1555">
        <v>0</v>
      </c>
      <c r="D347" s="1555">
        <v>0</v>
      </c>
      <c r="E347" s="1555">
        <v>0</v>
      </c>
      <c r="F347" s="1555">
        <v>0</v>
      </c>
      <c r="G347" s="1555">
        <v>0</v>
      </c>
      <c r="H347" s="1555">
        <v>0</v>
      </c>
      <c r="I347" s="1555">
        <v>0</v>
      </c>
      <c r="J347" s="1555">
        <v>0</v>
      </c>
      <c r="K347" s="1555">
        <v>0</v>
      </c>
      <c r="L347" s="1555">
        <v>0</v>
      </c>
      <c r="M347" s="1555">
        <v>0</v>
      </c>
      <c r="N347" s="1555">
        <v>0</v>
      </c>
      <c r="O347" s="1555">
        <v>0</v>
      </c>
      <c r="P347" s="1555">
        <v>0</v>
      </c>
      <c r="Q347" s="1555">
        <v>0</v>
      </c>
    </row>
    <row r="348" spans="1:17">
      <c r="A348" s="1556" t="s">
        <v>656</v>
      </c>
      <c r="B348" s="1555">
        <v>0</v>
      </c>
      <c r="C348" s="1555">
        <v>0</v>
      </c>
      <c r="D348" s="1555">
        <v>0</v>
      </c>
      <c r="E348" s="1555">
        <v>0</v>
      </c>
      <c r="F348" s="1555">
        <v>0</v>
      </c>
      <c r="G348" s="1555">
        <v>0</v>
      </c>
      <c r="H348" s="1555">
        <v>0</v>
      </c>
      <c r="I348" s="1555">
        <v>0</v>
      </c>
      <c r="J348" s="1555">
        <v>0</v>
      </c>
      <c r="K348" s="1555">
        <v>0</v>
      </c>
      <c r="L348" s="1555">
        <v>0</v>
      </c>
      <c r="M348" s="1555">
        <v>0</v>
      </c>
      <c r="N348" s="1555">
        <v>0</v>
      </c>
      <c r="O348" s="1555">
        <v>0</v>
      </c>
      <c r="P348" s="1555">
        <v>0</v>
      </c>
      <c r="Q348" s="1555">
        <v>0</v>
      </c>
    </row>
    <row r="349" spans="1:17">
      <c r="A349" s="1556" t="s">
        <v>658</v>
      </c>
      <c r="B349" s="1555">
        <v>0</v>
      </c>
      <c r="C349" s="1555">
        <v>0</v>
      </c>
      <c r="D349" s="1555">
        <v>0</v>
      </c>
      <c r="E349" s="1555">
        <v>0</v>
      </c>
      <c r="F349" s="1555">
        <v>0</v>
      </c>
      <c r="G349" s="1555">
        <v>0</v>
      </c>
      <c r="H349" s="1555">
        <v>0</v>
      </c>
      <c r="I349" s="1555">
        <v>0</v>
      </c>
      <c r="J349" s="1555">
        <v>0</v>
      </c>
      <c r="K349" s="1555">
        <v>0</v>
      </c>
      <c r="L349" s="1555">
        <v>0</v>
      </c>
      <c r="M349" s="1555">
        <v>0</v>
      </c>
      <c r="N349" s="1555">
        <v>0</v>
      </c>
      <c r="O349" s="1555">
        <v>0</v>
      </c>
      <c r="P349" s="1555">
        <v>0</v>
      </c>
      <c r="Q349" s="1555">
        <v>0</v>
      </c>
    </row>
    <row r="350" spans="1:17">
      <c r="A350" s="1556" t="s">
        <v>660</v>
      </c>
      <c r="B350" s="1555">
        <v>0</v>
      </c>
      <c r="C350" s="1555">
        <v>0</v>
      </c>
      <c r="D350" s="1555">
        <v>0</v>
      </c>
      <c r="E350" s="1555">
        <v>0</v>
      </c>
      <c r="F350" s="1555">
        <v>0</v>
      </c>
      <c r="G350" s="1555">
        <v>0</v>
      </c>
      <c r="H350" s="1555">
        <v>0</v>
      </c>
      <c r="I350" s="1555">
        <v>0</v>
      </c>
      <c r="J350" s="1555">
        <v>0</v>
      </c>
      <c r="K350" s="1555">
        <v>0</v>
      </c>
      <c r="L350" s="1555">
        <v>0</v>
      </c>
      <c r="M350" s="1555">
        <v>0</v>
      </c>
      <c r="N350" s="1555">
        <v>0</v>
      </c>
      <c r="O350" s="1555">
        <v>0</v>
      </c>
      <c r="P350" s="1555">
        <v>0</v>
      </c>
      <c r="Q350" s="1555">
        <v>0</v>
      </c>
    </row>
    <row r="351" spans="1:17">
      <c r="A351" s="1556" t="s">
        <v>662</v>
      </c>
      <c r="B351" s="1555">
        <v>0</v>
      </c>
      <c r="C351" s="1555">
        <v>0</v>
      </c>
      <c r="D351" s="1555">
        <v>0</v>
      </c>
      <c r="E351" s="1555">
        <v>0</v>
      </c>
      <c r="F351" s="1555">
        <v>0</v>
      </c>
      <c r="G351" s="1555">
        <v>0</v>
      </c>
      <c r="H351" s="1555">
        <v>0</v>
      </c>
      <c r="I351" s="1555">
        <v>0</v>
      </c>
      <c r="J351" s="1555">
        <v>0</v>
      </c>
      <c r="K351" s="1555">
        <v>0</v>
      </c>
      <c r="L351" s="1555">
        <v>0</v>
      </c>
      <c r="M351" s="1555">
        <v>0</v>
      </c>
      <c r="N351" s="1555">
        <v>0</v>
      </c>
      <c r="O351" s="1555">
        <v>0</v>
      </c>
      <c r="P351" s="1555">
        <v>0</v>
      </c>
      <c r="Q351" s="1555">
        <v>0</v>
      </c>
    </row>
    <row r="352" spans="1:17">
      <c r="A352" s="1556" t="s">
        <v>664</v>
      </c>
      <c r="B352" s="1555">
        <v>0</v>
      </c>
      <c r="C352" s="1555">
        <v>0</v>
      </c>
      <c r="D352" s="1555">
        <v>0</v>
      </c>
      <c r="E352" s="1555">
        <v>0</v>
      </c>
      <c r="F352" s="1555">
        <v>0</v>
      </c>
      <c r="G352" s="1555">
        <v>0</v>
      </c>
      <c r="H352" s="1555">
        <v>0</v>
      </c>
      <c r="I352" s="1555">
        <v>0</v>
      </c>
      <c r="J352" s="1555">
        <v>0</v>
      </c>
      <c r="K352" s="1555">
        <v>0</v>
      </c>
      <c r="L352" s="1555">
        <v>0</v>
      </c>
      <c r="M352" s="1555">
        <v>0</v>
      </c>
      <c r="N352" s="1555">
        <v>0</v>
      </c>
      <c r="O352" s="1555">
        <v>0</v>
      </c>
      <c r="P352" s="1555">
        <v>0</v>
      </c>
      <c r="Q352" s="1555">
        <v>0</v>
      </c>
    </row>
    <row r="353" spans="1:17">
      <c r="A353" s="1556" t="s">
        <v>666</v>
      </c>
      <c r="B353" s="1555">
        <v>0</v>
      </c>
      <c r="C353" s="1555">
        <v>0</v>
      </c>
      <c r="D353" s="1555">
        <v>0</v>
      </c>
      <c r="E353" s="1555">
        <v>0</v>
      </c>
      <c r="F353" s="1555">
        <v>0</v>
      </c>
      <c r="G353" s="1555">
        <v>0</v>
      </c>
      <c r="H353" s="1555">
        <v>0</v>
      </c>
      <c r="I353" s="1555">
        <v>0</v>
      </c>
      <c r="J353" s="1555">
        <v>0</v>
      </c>
      <c r="K353" s="1555">
        <v>0</v>
      </c>
      <c r="L353" s="1555">
        <v>0</v>
      </c>
      <c r="M353" s="1555">
        <v>0</v>
      </c>
      <c r="N353" s="1555">
        <v>0</v>
      </c>
      <c r="O353" s="1555">
        <v>0</v>
      </c>
      <c r="P353" s="1555">
        <v>0</v>
      </c>
      <c r="Q353" s="1555">
        <v>0</v>
      </c>
    </row>
    <row r="354" spans="1:17">
      <c r="A354" s="1556" t="s">
        <v>668</v>
      </c>
      <c r="B354" s="1555">
        <v>0</v>
      </c>
      <c r="C354" s="1555">
        <v>0</v>
      </c>
      <c r="D354" s="1555">
        <v>0</v>
      </c>
      <c r="E354" s="1555">
        <v>0</v>
      </c>
      <c r="F354" s="1555">
        <v>0</v>
      </c>
      <c r="G354" s="1555">
        <v>0</v>
      </c>
      <c r="H354" s="1555">
        <v>0</v>
      </c>
      <c r="I354" s="1555">
        <v>0</v>
      </c>
      <c r="J354" s="1555">
        <v>0</v>
      </c>
      <c r="K354" s="1555">
        <v>0</v>
      </c>
      <c r="L354" s="1555">
        <v>0</v>
      </c>
      <c r="M354" s="1555">
        <v>0</v>
      </c>
      <c r="N354" s="1555">
        <v>0</v>
      </c>
      <c r="O354" s="1555">
        <v>0</v>
      </c>
      <c r="P354" s="1555">
        <v>0</v>
      </c>
      <c r="Q354" s="1555">
        <v>0</v>
      </c>
    </row>
    <row r="355" spans="1:17">
      <c r="A355" s="1554" t="s">
        <v>6935</v>
      </c>
      <c r="B355" s="1555">
        <v>0</v>
      </c>
      <c r="C355" s="1555">
        <v>0</v>
      </c>
      <c r="D355" s="1555">
        <v>0</v>
      </c>
      <c r="E355" s="1555">
        <v>0</v>
      </c>
      <c r="F355" s="1555">
        <v>0</v>
      </c>
      <c r="G355" s="1555">
        <v>0</v>
      </c>
      <c r="H355" s="1555">
        <v>0</v>
      </c>
      <c r="I355" s="1555">
        <v>0</v>
      </c>
      <c r="J355" s="1555">
        <v>0</v>
      </c>
      <c r="K355" s="1555">
        <v>0</v>
      </c>
      <c r="L355" s="1555">
        <v>0</v>
      </c>
      <c r="M355" s="1555">
        <v>0</v>
      </c>
      <c r="N355" s="1555">
        <v>0</v>
      </c>
      <c r="O355" s="1555">
        <v>0</v>
      </c>
      <c r="P355" s="1555">
        <v>0</v>
      </c>
      <c r="Q355" s="1555">
        <v>0</v>
      </c>
    </row>
    <row r="356" spans="1:17">
      <c r="A356" s="1556" t="s">
        <v>791</v>
      </c>
      <c r="B356" s="1555">
        <v>0</v>
      </c>
      <c r="C356" s="1555">
        <v>0</v>
      </c>
      <c r="D356" s="1555">
        <v>0</v>
      </c>
      <c r="E356" s="1555">
        <v>0</v>
      </c>
      <c r="F356" s="1555">
        <v>0</v>
      </c>
      <c r="G356" s="1555">
        <v>0</v>
      </c>
      <c r="H356" s="1555">
        <v>0</v>
      </c>
      <c r="I356" s="1555">
        <v>0</v>
      </c>
      <c r="J356" s="1555">
        <v>0</v>
      </c>
      <c r="K356" s="1555">
        <v>0</v>
      </c>
      <c r="L356" s="1555">
        <v>0</v>
      </c>
      <c r="M356" s="1555">
        <v>0</v>
      </c>
      <c r="N356" s="1555">
        <v>0</v>
      </c>
      <c r="O356" s="1555">
        <v>0</v>
      </c>
      <c r="P356" s="1555">
        <v>0</v>
      </c>
      <c r="Q356" s="1555">
        <v>0</v>
      </c>
    </row>
    <row r="357" spans="1:17">
      <c r="A357" s="1556" t="s">
        <v>793</v>
      </c>
      <c r="B357" s="1555">
        <v>0</v>
      </c>
      <c r="C357" s="1555">
        <v>0</v>
      </c>
      <c r="D357" s="1555">
        <v>0</v>
      </c>
      <c r="E357" s="1555">
        <v>0</v>
      </c>
      <c r="F357" s="1555">
        <v>0</v>
      </c>
      <c r="G357" s="1555">
        <v>0</v>
      </c>
      <c r="H357" s="1555">
        <v>0</v>
      </c>
      <c r="I357" s="1555">
        <v>0</v>
      </c>
      <c r="J357" s="1555">
        <v>0</v>
      </c>
      <c r="K357" s="1555">
        <v>0</v>
      </c>
      <c r="L357" s="1555">
        <v>0</v>
      </c>
      <c r="M357" s="1555">
        <v>0</v>
      </c>
      <c r="N357" s="1555">
        <v>0</v>
      </c>
      <c r="O357" s="1555">
        <v>0</v>
      </c>
      <c r="P357" s="1555">
        <v>0</v>
      </c>
      <c r="Q357" s="1555">
        <v>0</v>
      </c>
    </row>
    <row r="358" spans="1:17">
      <c r="A358" s="1556" t="s">
        <v>725</v>
      </c>
      <c r="B358" s="1555">
        <v>0</v>
      </c>
      <c r="C358" s="1555">
        <v>0</v>
      </c>
      <c r="D358" s="1555">
        <v>0</v>
      </c>
      <c r="E358" s="1555">
        <v>0</v>
      </c>
      <c r="F358" s="1555">
        <v>0</v>
      </c>
      <c r="G358" s="1555">
        <v>0</v>
      </c>
      <c r="H358" s="1555">
        <v>0</v>
      </c>
      <c r="I358" s="1555">
        <v>0</v>
      </c>
      <c r="J358" s="1555">
        <v>0</v>
      </c>
      <c r="K358" s="1555">
        <v>0</v>
      </c>
      <c r="L358" s="1555">
        <v>0</v>
      </c>
      <c r="M358" s="1555">
        <v>0</v>
      </c>
      <c r="N358" s="1555">
        <v>0</v>
      </c>
      <c r="O358" s="1555">
        <v>0</v>
      </c>
      <c r="P358" s="1555">
        <v>0</v>
      </c>
      <c r="Q358" s="1555">
        <v>0</v>
      </c>
    </row>
    <row r="359" spans="1:17">
      <c r="A359" s="1556" t="s">
        <v>656</v>
      </c>
      <c r="B359" s="1555">
        <v>0</v>
      </c>
      <c r="C359" s="1555">
        <v>0</v>
      </c>
      <c r="D359" s="1555">
        <v>0</v>
      </c>
      <c r="E359" s="1555">
        <v>0</v>
      </c>
      <c r="F359" s="1555">
        <v>0</v>
      </c>
      <c r="G359" s="1555">
        <v>0</v>
      </c>
      <c r="H359" s="1555">
        <v>0</v>
      </c>
      <c r="I359" s="1555">
        <v>0</v>
      </c>
      <c r="J359" s="1555">
        <v>0</v>
      </c>
      <c r="K359" s="1555">
        <v>0</v>
      </c>
      <c r="L359" s="1555">
        <v>0</v>
      </c>
      <c r="M359" s="1555">
        <v>0</v>
      </c>
      <c r="N359" s="1555">
        <v>0</v>
      </c>
      <c r="O359" s="1555">
        <v>0</v>
      </c>
      <c r="P359" s="1555">
        <v>0</v>
      </c>
      <c r="Q359" s="1555">
        <v>0</v>
      </c>
    </row>
    <row r="360" spans="1:17">
      <c r="A360" s="1556" t="s">
        <v>658</v>
      </c>
      <c r="B360" s="1555">
        <v>0</v>
      </c>
      <c r="C360" s="1555">
        <v>0</v>
      </c>
      <c r="D360" s="1555">
        <v>0</v>
      </c>
      <c r="E360" s="1555">
        <v>0</v>
      </c>
      <c r="F360" s="1555">
        <v>0</v>
      </c>
      <c r="G360" s="1555">
        <v>0</v>
      </c>
      <c r="H360" s="1555">
        <v>0</v>
      </c>
      <c r="I360" s="1555">
        <v>0</v>
      </c>
      <c r="J360" s="1555">
        <v>0</v>
      </c>
      <c r="K360" s="1555">
        <v>0</v>
      </c>
      <c r="L360" s="1555">
        <v>0</v>
      </c>
      <c r="M360" s="1555">
        <v>0</v>
      </c>
      <c r="N360" s="1555">
        <v>0</v>
      </c>
      <c r="O360" s="1555">
        <v>0</v>
      </c>
      <c r="P360" s="1555">
        <v>0</v>
      </c>
      <c r="Q360" s="1555">
        <v>0</v>
      </c>
    </row>
    <row r="361" spans="1:17">
      <c r="A361" s="1556" t="s">
        <v>660</v>
      </c>
      <c r="B361" s="1555">
        <v>0</v>
      </c>
      <c r="C361" s="1555">
        <v>0</v>
      </c>
      <c r="D361" s="1555">
        <v>0</v>
      </c>
      <c r="E361" s="1555">
        <v>0</v>
      </c>
      <c r="F361" s="1555">
        <v>0</v>
      </c>
      <c r="G361" s="1555">
        <v>0</v>
      </c>
      <c r="H361" s="1555">
        <v>0</v>
      </c>
      <c r="I361" s="1555">
        <v>0</v>
      </c>
      <c r="J361" s="1555">
        <v>0</v>
      </c>
      <c r="K361" s="1555">
        <v>0</v>
      </c>
      <c r="L361" s="1555">
        <v>0</v>
      </c>
      <c r="M361" s="1555">
        <v>0</v>
      </c>
      <c r="N361" s="1555">
        <v>0</v>
      </c>
      <c r="O361" s="1555">
        <v>0</v>
      </c>
      <c r="P361" s="1555">
        <v>0</v>
      </c>
      <c r="Q361" s="1555">
        <v>0</v>
      </c>
    </row>
    <row r="362" spans="1:17">
      <c r="A362" s="1556" t="s">
        <v>662</v>
      </c>
      <c r="B362" s="1555">
        <v>0</v>
      </c>
      <c r="C362" s="1555">
        <v>0</v>
      </c>
      <c r="D362" s="1555">
        <v>0</v>
      </c>
      <c r="E362" s="1555">
        <v>0</v>
      </c>
      <c r="F362" s="1555">
        <v>0</v>
      </c>
      <c r="G362" s="1555">
        <v>0</v>
      </c>
      <c r="H362" s="1555">
        <v>0</v>
      </c>
      <c r="I362" s="1555">
        <v>0</v>
      </c>
      <c r="J362" s="1555">
        <v>0</v>
      </c>
      <c r="K362" s="1555">
        <v>0</v>
      </c>
      <c r="L362" s="1555">
        <v>0</v>
      </c>
      <c r="M362" s="1555">
        <v>0</v>
      </c>
      <c r="N362" s="1555">
        <v>0</v>
      </c>
      <c r="O362" s="1555">
        <v>0</v>
      </c>
      <c r="P362" s="1555">
        <v>0</v>
      </c>
      <c r="Q362" s="1555">
        <v>0</v>
      </c>
    </row>
    <row r="363" spans="1:17">
      <c r="A363" s="1556" t="s">
        <v>664</v>
      </c>
      <c r="B363" s="1555">
        <v>0</v>
      </c>
      <c r="C363" s="1555">
        <v>0</v>
      </c>
      <c r="D363" s="1555">
        <v>0</v>
      </c>
      <c r="E363" s="1555">
        <v>0</v>
      </c>
      <c r="F363" s="1555">
        <v>0</v>
      </c>
      <c r="G363" s="1555">
        <v>0</v>
      </c>
      <c r="H363" s="1555">
        <v>0</v>
      </c>
      <c r="I363" s="1555">
        <v>0</v>
      </c>
      <c r="J363" s="1555">
        <v>0</v>
      </c>
      <c r="K363" s="1555">
        <v>0</v>
      </c>
      <c r="L363" s="1555">
        <v>0</v>
      </c>
      <c r="M363" s="1555">
        <v>0</v>
      </c>
      <c r="N363" s="1555">
        <v>0</v>
      </c>
      <c r="O363" s="1555">
        <v>0</v>
      </c>
      <c r="P363" s="1555">
        <v>0</v>
      </c>
      <c r="Q363" s="1555">
        <v>0</v>
      </c>
    </row>
    <row r="364" spans="1:17">
      <c r="A364" s="1556" t="s">
        <v>666</v>
      </c>
      <c r="B364" s="1555">
        <v>0</v>
      </c>
      <c r="C364" s="1555">
        <v>0</v>
      </c>
      <c r="D364" s="1555">
        <v>0</v>
      </c>
      <c r="E364" s="1555">
        <v>0</v>
      </c>
      <c r="F364" s="1555">
        <v>0</v>
      </c>
      <c r="G364" s="1555">
        <v>0</v>
      </c>
      <c r="H364" s="1555">
        <v>0</v>
      </c>
      <c r="I364" s="1555">
        <v>0</v>
      </c>
      <c r="J364" s="1555">
        <v>0</v>
      </c>
      <c r="K364" s="1555">
        <v>0</v>
      </c>
      <c r="L364" s="1555">
        <v>0</v>
      </c>
      <c r="M364" s="1555">
        <v>0</v>
      </c>
      <c r="N364" s="1555">
        <v>0</v>
      </c>
      <c r="O364" s="1555">
        <v>0</v>
      </c>
      <c r="P364" s="1555">
        <v>0</v>
      </c>
      <c r="Q364" s="1555">
        <v>0</v>
      </c>
    </row>
    <row r="365" spans="1:17">
      <c r="A365" s="1556" t="s">
        <v>668</v>
      </c>
      <c r="B365" s="1555">
        <v>0</v>
      </c>
      <c r="C365" s="1555">
        <v>0</v>
      </c>
      <c r="D365" s="1555">
        <v>0</v>
      </c>
      <c r="E365" s="1555">
        <v>0</v>
      </c>
      <c r="F365" s="1555">
        <v>0</v>
      </c>
      <c r="G365" s="1555">
        <v>0</v>
      </c>
      <c r="H365" s="1555">
        <v>0</v>
      </c>
      <c r="I365" s="1555">
        <v>0</v>
      </c>
      <c r="J365" s="1555">
        <v>0</v>
      </c>
      <c r="K365" s="1555">
        <v>0</v>
      </c>
      <c r="L365" s="1555">
        <v>0</v>
      </c>
      <c r="M365" s="1555">
        <v>0</v>
      </c>
      <c r="N365" s="1555">
        <v>0</v>
      </c>
      <c r="O365" s="1555">
        <v>0</v>
      </c>
      <c r="P365" s="1555">
        <v>0</v>
      </c>
      <c r="Q365" s="1555">
        <v>0</v>
      </c>
    </row>
    <row r="366" spans="1:17">
      <c r="A366" s="1554" t="s">
        <v>92</v>
      </c>
      <c r="B366" s="1555">
        <v>0</v>
      </c>
      <c r="C366" s="1555">
        <v>0</v>
      </c>
      <c r="D366" s="1555">
        <v>0</v>
      </c>
      <c r="E366" s="1555">
        <v>0</v>
      </c>
      <c r="F366" s="1555">
        <v>0</v>
      </c>
      <c r="G366" s="1555">
        <v>0</v>
      </c>
      <c r="H366" s="1555">
        <v>0</v>
      </c>
      <c r="I366" s="1555">
        <v>0</v>
      </c>
      <c r="J366" s="1555">
        <v>0</v>
      </c>
      <c r="K366" s="1555">
        <v>0</v>
      </c>
      <c r="L366" s="1555">
        <v>0</v>
      </c>
      <c r="M366" s="1555">
        <v>0</v>
      </c>
      <c r="N366" s="1555">
        <v>0</v>
      </c>
      <c r="O366" s="1555">
        <v>0</v>
      </c>
      <c r="P366" s="1555">
        <v>0</v>
      </c>
      <c r="Q366" s="1555">
        <v>0</v>
      </c>
    </row>
    <row r="367" spans="1:17">
      <c r="A367" s="1556" t="s">
        <v>791</v>
      </c>
      <c r="B367" s="1555">
        <v>0</v>
      </c>
      <c r="C367" s="1555">
        <v>0</v>
      </c>
      <c r="D367" s="1555">
        <v>0</v>
      </c>
      <c r="E367" s="1555">
        <v>0</v>
      </c>
      <c r="F367" s="1555">
        <v>0</v>
      </c>
      <c r="G367" s="1555">
        <v>0</v>
      </c>
      <c r="H367" s="1555">
        <v>0</v>
      </c>
      <c r="I367" s="1555">
        <v>0</v>
      </c>
      <c r="J367" s="1555">
        <v>0</v>
      </c>
      <c r="K367" s="1555">
        <v>0</v>
      </c>
      <c r="L367" s="1555">
        <v>0</v>
      </c>
      <c r="M367" s="1555">
        <v>0</v>
      </c>
      <c r="N367" s="1555">
        <v>0</v>
      </c>
      <c r="O367" s="1555">
        <v>0</v>
      </c>
      <c r="P367" s="1555">
        <v>0</v>
      </c>
      <c r="Q367" s="1555">
        <v>0</v>
      </c>
    </row>
    <row r="368" spans="1:17">
      <c r="A368" s="1556" t="s">
        <v>793</v>
      </c>
      <c r="B368" s="1555">
        <v>0</v>
      </c>
      <c r="C368" s="1555">
        <v>0</v>
      </c>
      <c r="D368" s="1555">
        <v>0</v>
      </c>
      <c r="E368" s="1555">
        <v>0</v>
      </c>
      <c r="F368" s="1555">
        <v>0</v>
      </c>
      <c r="G368" s="1555">
        <v>0</v>
      </c>
      <c r="H368" s="1555">
        <v>0</v>
      </c>
      <c r="I368" s="1555">
        <v>0</v>
      </c>
      <c r="J368" s="1555">
        <v>0</v>
      </c>
      <c r="K368" s="1555">
        <v>0</v>
      </c>
      <c r="L368" s="1555">
        <v>0</v>
      </c>
      <c r="M368" s="1555">
        <v>0</v>
      </c>
      <c r="N368" s="1555">
        <v>0</v>
      </c>
      <c r="O368" s="1555">
        <v>0</v>
      </c>
      <c r="P368" s="1555">
        <v>0</v>
      </c>
      <c r="Q368" s="1555">
        <v>0</v>
      </c>
    </row>
    <row r="369" spans="1:17">
      <c r="A369" s="1556" t="s">
        <v>725</v>
      </c>
      <c r="B369" s="1555">
        <v>0</v>
      </c>
      <c r="C369" s="1555">
        <v>0</v>
      </c>
      <c r="D369" s="1555">
        <v>0</v>
      </c>
      <c r="E369" s="1555">
        <v>0</v>
      </c>
      <c r="F369" s="1555">
        <v>0</v>
      </c>
      <c r="G369" s="1555">
        <v>0</v>
      </c>
      <c r="H369" s="1555">
        <v>0</v>
      </c>
      <c r="I369" s="1555">
        <v>0</v>
      </c>
      <c r="J369" s="1555">
        <v>0</v>
      </c>
      <c r="K369" s="1555">
        <v>0</v>
      </c>
      <c r="L369" s="1555">
        <v>0</v>
      </c>
      <c r="M369" s="1555">
        <v>0</v>
      </c>
      <c r="N369" s="1555">
        <v>0</v>
      </c>
      <c r="O369" s="1555">
        <v>0</v>
      </c>
      <c r="P369" s="1555">
        <v>0</v>
      </c>
      <c r="Q369" s="1555">
        <v>0</v>
      </c>
    </row>
    <row r="370" spans="1:17">
      <c r="A370" s="1556" t="s">
        <v>656</v>
      </c>
      <c r="B370" s="1555">
        <v>0</v>
      </c>
      <c r="C370" s="1555">
        <v>0</v>
      </c>
      <c r="D370" s="1555">
        <v>0</v>
      </c>
      <c r="E370" s="1555">
        <v>0</v>
      </c>
      <c r="F370" s="1555">
        <v>0</v>
      </c>
      <c r="G370" s="1555">
        <v>0</v>
      </c>
      <c r="H370" s="1555">
        <v>0</v>
      </c>
      <c r="I370" s="1555">
        <v>0</v>
      </c>
      <c r="J370" s="1555">
        <v>0</v>
      </c>
      <c r="K370" s="1555">
        <v>0</v>
      </c>
      <c r="L370" s="1555">
        <v>0</v>
      </c>
      <c r="M370" s="1555">
        <v>0</v>
      </c>
      <c r="N370" s="1555">
        <v>0</v>
      </c>
      <c r="O370" s="1555">
        <v>0</v>
      </c>
      <c r="P370" s="1555">
        <v>0</v>
      </c>
      <c r="Q370" s="1555">
        <v>0</v>
      </c>
    </row>
    <row r="371" spans="1:17">
      <c r="A371" s="1556" t="s">
        <v>658</v>
      </c>
      <c r="B371" s="1555">
        <v>0</v>
      </c>
      <c r="C371" s="1555">
        <v>0</v>
      </c>
      <c r="D371" s="1555">
        <v>0</v>
      </c>
      <c r="E371" s="1555">
        <v>0</v>
      </c>
      <c r="F371" s="1555">
        <v>0</v>
      </c>
      <c r="G371" s="1555">
        <v>0</v>
      </c>
      <c r="H371" s="1555">
        <v>0</v>
      </c>
      <c r="I371" s="1555">
        <v>0</v>
      </c>
      <c r="J371" s="1555">
        <v>0</v>
      </c>
      <c r="K371" s="1555">
        <v>0</v>
      </c>
      <c r="L371" s="1555">
        <v>0</v>
      </c>
      <c r="M371" s="1555">
        <v>0</v>
      </c>
      <c r="N371" s="1555">
        <v>0</v>
      </c>
      <c r="O371" s="1555">
        <v>0</v>
      </c>
      <c r="P371" s="1555">
        <v>0</v>
      </c>
      <c r="Q371" s="1555">
        <v>0</v>
      </c>
    </row>
    <row r="372" spans="1:17">
      <c r="A372" s="1556" t="s">
        <v>660</v>
      </c>
      <c r="B372" s="1555">
        <v>0</v>
      </c>
      <c r="C372" s="1555">
        <v>0</v>
      </c>
      <c r="D372" s="1555">
        <v>0</v>
      </c>
      <c r="E372" s="1555">
        <v>0</v>
      </c>
      <c r="F372" s="1555">
        <v>0</v>
      </c>
      <c r="G372" s="1555">
        <v>0</v>
      </c>
      <c r="H372" s="1555">
        <v>0</v>
      </c>
      <c r="I372" s="1555">
        <v>0</v>
      </c>
      <c r="J372" s="1555">
        <v>0</v>
      </c>
      <c r="K372" s="1555">
        <v>0</v>
      </c>
      <c r="L372" s="1555">
        <v>0</v>
      </c>
      <c r="M372" s="1555">
        <v>0</v>
      </c>
      <c r="N372" s="1555">
        <v>0</v>
      </c>
      <c r="O372" s="1555">
        <v>0</v>
      </c>
      <c r="P372" s="1555">
        <v>0</v>
      </c>
      <c r="Q372" s="1555">
        <v>0</v>
      </c>
    </row>
    <row r="373" spans="1:17">
      <c r="A373" s="1556" t="s">
        <v>662</v>
      </c>
      <c r="B373" s="1555">
        <v>0</v>
      </c>
      <c r="C373" s="1555">
        <v>0</v>
      </c>
      <c r="D373" s="1555">
        <v>0</v>
      </c>
      <c r="E373" s="1555">
        <v>0</v>
      </c>
      <c r="F373" s="1555">
        <v>0</v>
      </c>
      <c r="G373" s="1555">
        <v>0</v>
      </c>
      <c r="H373" s="1555">
        <v>0</v>
      </c>
      <c r="I373" s="1555">
        <v>0</v>
      </c>
      <c r="J373" s="1555">
        <v>0</v>
      </c>
      <c r="K373" s="1555">
        <v>0</v>
      </c>
      <c r="L373" s="1555">
        <v>0</v>
      </c>
      <c r="M373" s="1555">
        <v>0</v>
      </c>
      <c r="N373" s="1555">
        <v>0</v>
      </c>
      <c r="O373" s="1555">
        <v>0</v>
      </c>
      <c r="P373" s="1555">
        <v>0</v>
      </c>
      <c r="Q373" s="1555">
        <v>0</v>
      </c>
    </row>
    <row r="374" spans="1:17">
      <c r="A374" s="1556" t="s">
        <v>664</v>
      </c>
      <c r="B374" s="1555">
        <v>0</v>
      </c>
      <c r="C374" s="1555">
        <v>0</v>
      </c>
      <c r="D374" s="1555">
        <v>0</v>
      </c>
      <c r="E374" s="1555">
        <v>0</v>
      </c>
      <c r="F374" s="1555">
        <v>0</v>
      </c>
      <c r="G374" s="1555">
        <v>0</v>
      </c>
      <c r="H374" s="1555">
        <v>0</v>
      </c>
      <c r="I374" s="1555">
        <v>0</v>
      </c>
      <c r="J374" s="1555">
        <v>0</v>
      </c>
      <c r="K374" s="1555">
        <v>0</v>
      </c>
      <c r="L374" s="1555">
        <v>0</v>
      </c>
      <c r="M374" s="1555">
        <v>0</v>
      </c>
      <c r="N374" s="1555">
        <v>0</v>
      </c>
      <c r="O374" s="1555">
        <v>0</v>
      </c>
      <c r="P374" s="1555">
        <v>0</v>
      </c>
      <c r="Q374" s="1555">
        <v>0</v>
      </c>
    </row>
    <row r="375" spans="1:17">
      <c r="A375" s="1556" t="s">
        <v>666</v>
      </c>
      <c r="B375" s="1555">
        <v>0</v>
      </c>
      <c r="C375" s="1555">
        <v>0</v>
      </c>
      <c r="D375" s="1555">
        <v>0</v>
      </c>
      <c r="E375" s="1555">
        <v>0</v>
      </c>
      <c r="F375" s="1555">
        <v>0</v>
      </c>
      <c r="G375" s="1555">
        <v>0</v>
      </c>
      <c r="H375" s="1555">
        <v>0</v>
      </c>
      <c r="I375" s="1555">
        <v>0</v>
      </c>
      <c r="J375" s="1555">
        <v>0</v>
      </c>
      <c r="K375" s="1555">
        <v>0</v>
      </c>
      <c r="L375" s="1555">
        <v>0</v>
      </c>
      <c r="M375" s="1555">
        <v>0</v>
      </c>
      <c r="N375" s="1555">
        <v>0</v>
      </c>
      <c r="O375" s="1555">
        <v>0</v>
      </c>
      <c r="P375" s="1555">
        <v>0</v>
      </c>
      <c r="Q375" s="1555">
        <v>0</v>
      </c>
    </row>
    <row r="376" spans="1:17">
      <c r="A376" s="1556" t="s">
        <v>668</v>
      </c>
      <c r="B376" s="1555">
        <v>0</v>
      </c>
      <c r="C376" s="1555">
        <v>0</v>
      </c>
      <c r="D376" s="1555">
        <v>0</v>
      </c>
      <c r="E376" s="1555">
        <v>0</v>
      </c>
      <c r="F376" s="1555">
        <v>0</v>
      </c>
      <c r="G376" s="1555">
        <v>0</v>
      </c>
      <c r="H376" s="1555">
        <v>0</v>
      </c>
      <c r="I376" s="1555">
        <v>0</v>
      </c>
      <c r="J376" s="1555">
        <v>0</v>
      </c>
      <c r="K376" s="1555">
        <v>0</v>
      </c>
      <c r="L376" s="1555">
        <v>0</v>
      </c>
      <c r="M376" s="1555">
        <v>0</v>
      </c>
      <c r="N376" s="1555">
        <v>0</v>
      </c>
      <c r="O376" s="1555">
        <v>0</v>
      </c>
      <c r="P376" s="1555">
        <v>0</v>
      </c>
      <c r="Q376" s="1555">
        <v>0</v>
      </c>
    </row>
    <row r="377" spans="1:17">
      <c r="A377" s="1554" t="s">
        <v>6934</v>
      </c>
      <c r="B377" s="1555">
        <v>0</v>
      </c>
      <c r="C377" s="1555">
        <v>0</v>
      </c>
      <c r="D377" s="1555">
        <v>0</v>
      </c>
      <c r="E377" s="1555">
        <v>0</v>
      </c>
      <c r="F377" s="1555">
        <v>0</v>
      </c>
      <c r="G377" s="1555">
        <v>0</v>
      </c>
      <c r="H377" s="1555">
        <v>0</v>
      </c>
      <c r="I377" s="1555">
        <v>0</v>
      </c>
      <c r="J377" s="1555">
        <v>0</v>
      </c>
      <c r="K377" s="1555">
        <v>0</v>
      </c>
      <c r="L377" s="1555">
        <v>0</v>
      </c>
      <c r="M377" s="1555">
        <v>0</v>
      </c>
      <c r="N377" s="1555">
        <v>0</v>
      </c>
      <c r="O377" s="1555">
        <v>0</v>
      </c>
      <c r="P377" s="1555">
        <v>0</v>
      </c>
      <c r="Q377" s="1555">
        <v>0</v>
      </c>
    </row>
    <row r="378" spans="1:17">
      <c r="A378" s="1556" t="s">
        <v>791</v>
      </c>
      <c r="B378" s="1555">
        <v>0</v>
      </c>
      <c r="C378" s="1555">
        <v>0</v>
      </c>
      <c r="D378" s="1555">
        <v>0</v>
      </c>
      <c r="E378" s="1555">
        <v>0</v>
      </c>
      <c r="F378" s="1555">
        <v>0</v>
      </c>
      <c r="G378" s="1555">
        <v>0</v>
      </c>
      <c r="H378" s="1555">
        <v>0</v>
      </c>
      <c r="I378" s="1555">
        <v>0</v>
      </c>
      <c r="J378" s="1555">
        <v>0</v>
      </c>
      <c r="K378" s="1555">
        <v>0</v>
      </c>
      <c r="L378" s="1555">
        <v>0</v>
      </c>
      <c r="M378" s="1555">
        <v>0</v>
      </c>
      <c r="N378" s="1555">
        <v>0</v>
      </c>
      <c r="O378" s="1555">
        <v>0</v>
      </c>
      <c r="P378" s="1555">
        <v>0</v>
      </c>
      <c r="Q378" s="1555">
        <v>0</v>
      </c>
    </row>
    <row r="379" spans="1:17">
      <c r="A379" s="1556" t="s">
        <v>793</v>
      </c>
      <c r="B379" s="1555">
        <v>0</v>
      </c>
      <c r="C379" s="1555">
        <v>0</v>
      </c>
      <c r="D379" s="1555">
        <v>0</v>
      </c>
      <c r="E379" s="1555">
        <v>0</v>
      </c>
      <c r="F379" s="1555">
        <v>0</v>
      </c>
      <c r="G379" s="1555">
        <v>0</v>
      </c>
      <c r="H379" s="1555">
        <v>0</v>
      </c>
      <c r="I379" s="1555">
        <v>0</v>
      </c>
      <c r="J379" s="1555">
        <v>0</v>
      </c>
      <c r="K379" s="1555">
        <v>0</v>
      </c>
      <c r="L379" s="1555">
        <v>0</v>
      </c>
      <c r="M379" s="1555">
        <v>0</v>
      </c>
      <c r="N379" s="1555">
        <v>0</v>
      </c>
      <c r="O379" s="1555">
        <v>0</v>
      </c>
      <c r="P379" s="1555">
        <v>0</v>
      </c>
      <c r="Q379" s="1555">
        <v>0</v>
      </c>
    </row>
    <row r="380" spans="1:17">
      <c r="A380" s="1556" t="s">
        <v>725</v>
      </c>
      <c r="B380" s="1555">
        <v>0</v>
      </c>
      <c r="C380" s="1555">
        <v>0</v>
      </c>
      <c r="D380" s="1555">
        <v>0</v>
      </c>
      <c r="E380" s="1555">
        <v>0</v>
      </c>
      <c r="F380" s="1555">
        <v>0</v>
      </c>
      <c r="G380" s="1555">
        <v>0</v>
      </c>
      <c r="H380" s="1555">
        <v>0</v>
      </c>
      <c r="I380" s="1555">
        <v>0</v>
      </c>
      <c r="J380" s="1555">
        <v>0</v>
      </c>
      <c r="K380" s="1555">
        <v>0</v>
      </c>
      <c r="L380" s="1555">
        <v>0</v>
      </c>
      <c r="M380" s="1555">
        <v>0</v>
      </c>
      <c r="N380" s="1555">
        <v>0</v>
      </c>
      <c r="O380" s="1555">
        <v>0</v>
      </c>
      <c r="P380" s="1555">
        <v>0</v>
      </c>
      <c r="Q380" s="1555">
        <v>0</v>
      </c>
    </row>
    <row r="381" spans="1:17">
      <c r="A381" s="1556" t="s">
        <v>656</v>
      </c>
      <c r="B381" s="1555">
        <v>0</v>
      </c>
      <c r="C381" s="1555">
        <v>0</v>
      </c>
      <c r="D381" s="1555">
        <v>0</v>
      </c>
      <c r="E381" s="1555">
        <v>0</v>
      </c>
      <c r="F381" s="1555">
        <v>0</v>
      </c>
      <c r="G381" s="1555">
        <v>0</v>
      </c>
      <c r="H381" s="1555">
        <v>0</v>
      </c>
      <c r="I381" s="1555">
        <v>0</v>
      </c>
      <c r="J381" s="1555">
        <v>0</v>
      </c>
      <c r="K381" s="1555">
        <v>0</v>
      </c>
      <c r="L381" s="1555">
        <v>0</v>
      </c>
      <c r="M381" s="1555">
        <v>0</v>
      </c>
      <c r="N381" s="1555">
        <v>0</v>
      </c>
      <c r="O381" s="1555">
        <v>0</v>
      </c>
      <c r="P381" s="1555">
        <v>0</v>
      </c>
      <c r="Q381" s="1555">
        <v>0</v>
      </c>
    </row>
    <row r="382" spans="1:17">
      <c r="A382" s="1556" t="s">
        <v>658</v>
      </c>
      <c r="B382" s="1555">
        <v>0</v>
      </c>
      <c r="C382" s="1555">
        <v>0</v>
      </c>
      <c r="D382" s="1555">
        <v>0</v>
      </c>
      <c r="E382" s="1555">
        <v>0</v>
      </c>
      <c r="F382" s="1555">
        <v>0</v>
      </c>
      <c r="G382" s="1555">
        <v>0</v>
      </c>
      <c r="H382" s="1555">
        <v>0</v>
      </c>
      <c r="I382" s="1555">
        <v>0</v>
      </c>
      <c r="J382" s="1555">
        <v>0</v>
      </c>
      <c r="K382" s="1555">
        <v>0</v>
      </c>
      <c r="L382" s="1555">
        <v>0</v>
      </c>
      <c r="M382" s="1555">
        <v>0</v>
      </c>
      <c r="N382" s="1555">
        <v>0</v>
      </c>
      <c r="O382" s="1555">
        <v>0</v>
      </c>
      <c r="P382" s="1555">
        <v>0</v>
      </c>
      <c r="Q382" s="1555">
        <v>0</v>
      </c>
    </row>
    <row r="383" spans="1:17">
      <c r="A383" s="1556" t="s">
        <v>660</v>
      </c>
      <c r="B383" s="1555">
        <v>0</v>
      </c>
      <c r="C383" s="1555">
        <v>0</v>
      </c>
      <c r="D383" s="1555">
        <v>0</v>
      </c>
      <c r="E383" s="1555">
        <v>0</v>
      </c>
      <c r="F383" s="1555">
        <v>0</v>
      </c>
      <c r="G383" s="1555">
        <v>0</v>
      </c>
      <c r="H383" s="1555">
        <v>0</v>
      </c>
      <c r="I383" s="1555">
        <v>0</v>
      </c>
      <c r="J383" s="1555">
        <v>0</v>
      </c>
      <c r="K383" s="1555">
        <v>0</v>
      </c>
      <c r="L383" s="1555">
        <v>0</v>
      </c>
      <c r="M383" s="1555">
        <v>0</v>
      </c>
      <c r="N383" s="1555">
        <v>0</v>
      </c>
      <c r="O383" s="1555">
        <v>0</v>
      </c>
      <c r="P383" s="1555">
        <v>0</v>
      </c>
      <c r="Q383" s="1555">
        <v>0</v>
      </c>
    </row>
    <row r="384" spans="1:17">
      <c r="A384" s="1556" t="s">
        <v>662</v>
      </c>
      <c r="B384" s="1555">
        <v>0</v>
      </c>
      <c r="C384" s="1555">
        <v>0</v>
      </c>
      <c r="D384" s="1555">
        <v>0</v>
      </c>
      <c r="E384" s="1555">
        <v>0</v>
      </c>
      <c r="F384" s="1555">
        <v>0</v>
      </c>
      <c r="G384" s="1555">
        <v>0</v>
      </c>
      <c r="H384" s="1555">
        <v>0</v>
      </c>
      <c r="I384" s="1555">
        <v>0</v>
      </c>
      <c r="J384" s="1555">
        <v>0</v>
      </c>
      <c r="K384" s="1555">
        <v>0</v>
      </c>
      <c r="L384" s="1555">
        <v>0</v>
      </c>
      <c r="M384" s="1555">
        <v>0</v>
      </c>
      <c r="N384" s="1555">
        <v>0</v>
      </c>
      <c r="O384" s="1555">
        <v>0</v>
      </c>
      <c r="P384" s="1555">
        <v>0</v>
      </c>
      <c r="Q384" s="1555">
        <v>0</v>
      </c>
    </row>
    <row r="385" spans="1:17">
      <c r="A385" s="1556" t="s">
        <v>664</v>
      </c>
      <c r="B385" s="1555">
        <v>0</v>
      </c>
      <c r="C385" s="1555">
        <v>0</v>
      </c>
      <c r="D385" s="1555">
        <v>0</v>
      </c>
      <c r="E385" s="1555">
        <v>0</v>
      </c>
      <c r="F385" s="1555">
        <v>0</v>
      </c>
      <c r="G385" s="1555">
        <v>0</v>
      </c>
      <c r="H385" s="1555">
        <v>0</v>
      </c>
      <c r="I385" s="1555">
        <v>0</v>
      </c>
      <c r="J385" s="1555">
        <v>0</v>
      </c>
      <c r="K385" s="1555">
        <v>0</v>
      </c>
      <c r="L385" s="1555">
        <v>0</v>
      </c>
      <c r="M385" s="1555">
        <v>0</v>
      </c>
      <c r="N385" s="1555">
        <v>0</v>
      </c>
      <c r="O385" s="1555">
        <v>0</v>
      </c>
      <c r="P385" s="1555">
        <v>0</v>
      </c>
      <c r="Q385" s="1555">
        <v>0</v>
      </c>
    </row>
    <row r="386" spans="1:17">
      <c r="A386" s="1556" t="s">
        <v>666</v>
      </c>
      <c r="B386" s="1555">
        <v>0</v>
      </c>
      <c r="C386" s="1555">
        <v>0</v>
      </c>
      <c r="D386" s="1555">
        <v>0</v>
      </c>
      <c r="E386" s="1555">
        <v>0</v>
      </c>
      <c r="F386" s="1555">
        <v>0</v>
      </c>
      <c r="G386" s="1555">
        <v>0</v>
      </c>
      <c r="H386" s="1555">
        <v>0</v>
      </c>
      <c r="I386" s="1555">
        <v>0</v>
      </c>
      <c r="J386" s="1555">
        <v>0</v>
      </c>
      <c r="K386" s="1555">
        <v>0</v>
      </c>
      <c r="L386" s="1555">
        <v>0</v>
      </c>
      <c r="M386" s="1555">
        <v>0</v>
      </c>
      <c r="N386" s="1555">
        <v>0</v>
      </c>
      <c r="O386" s="1555">
        <v>0</v>
      </c>
      <c r="P386" s="1555">
        <v>0</v>
      </c>
      <c r="Q386" s="1555">
        <v>0</v>
      </c>
    </row>
    <row r="387" spans="1:17">
      <c r="A387" s="1556" t="s">
        <v>668</v>
      </c>
      <c r="B387" s="1555">
        <v>0</v>
      </c>
      <c r="C387" s="1555">
        <v>0</v>
      </c>
      <c r="D387" s="1555">
        <v>0</v>
      </c>
      <c r="E387" s="1555">
        <v>0</v>
      </c>
      <c r="F387" s="1555">
        <v>0</v>
      </c>
      <c r="G387" s="1555">
        <v>0</v>
      </c>
      <c r="H387" s="1555">
        <v>0</v>
      </c>
      <c r="I387" s="1555">
        <v>0</v>
      </c>
      <c r="J387" s="1555">
        <v>0</v>
      </c>
      <c r="K387" s="1555">
        <v>0</v>
      </c>
      <c r="L387" s="1555">
        <v>0</v>
      </c>
      <c r="M387" s="1555">
        <v>0</v>
      </c>
      <c r="N387" s="1555">
        <v>0</v>
      </c>
      <c r="O387" s="1555">
        <v>0</v>
      </c>
      <c r="P387" s="1555">
        <v>0</v>
      </c>
      <c r="Q387" s="1555">
        <v>0</v>
      </c>
    </row>
    <row r="388" spans="1:17">
      <c r="A388" s="1553" t="s">
        <v>796</v>
      </c>
      <c r="B388" s="1555">
        <v>0</v>
      </c>
      <c r="C388" s="1555">
        <v>0</v>
      </c>
      <c r="D388" s="1555">
        <v>0</v>
      </c>
      <c r="E388" s="1555">
        <v>0</v>
      </c>
      <c r="F388" s="1555">
        <v>0</v>
      </c>
      <c r="G388" s="1555">
        <v>0</v>
      </c>
      <c r="H388" s="1555">
        <v>0</v>
      </c>
      <c r="I388" s="1555">
        <v>0</v>
      </c>
      <c r="J388" s="1555">
        <v>0</v>
      </c>
      <c r="K388" s="1555">
        <v>0</v>
      </c>
      <c r="L388" s="1555">
        <v>0</v>
      </c>
      <c r="M388" s="1555">
        <v>0</v>
      </c>
      <c r="N388" s="1555">
        <v>0</v>
      </c>
      <c r="O388" s="1555">
        <v>0</v>
      </c>
      <c r="P388" s="1555">
        <v>0</v>
      </c>
      <c r="Q388" s="1555">
        <v>0</v>
      </c>
    </row>
    <row r="389" spans="1:17">
      <c r="A389" s="1554" t="s">
        <v>6940</v>
      </c>
      <c r="B389" s="1555">
        <v>0</v>
      </c>
      <c r="C389" s="1555">
        <v>0</v>
      </c>
      <c r="D389" s="1555">
        <v>0</v>
      </c>
      <c r="E389" s="1555">
        <v>0</v>
      </c>
      <c r="F389" s="1555">
        <v>0</v>
      </c>
      <c r="G389" s="1555">
        <v>0</v>
      </c>
      <c r="H389" s="1555">
        <v>0</v>
      </c>
      <c r="I389" s="1555">
        <v>0</v>
      </c>
      <c r="J389" s="1555">
        <v>0</v>
      </c>
      <c r="K389" s="1555">
        <v>0</v>
      </c>
      <c r="L389" s="1555">
        <v>0</v>
      </c>
      <c r="M389" s="1555">
        <v>0</v>
      </c>
      <c r="N389" s="1555">
        <v>0</v>
      </c>
      <c r="O389" s="1555">
        <v>0</v>
      </c>
      <c r="P389" s="1555">
        <v>0</v>
      </c>
      <c r="Q389" s="1555">
        <v>0</v>
      </c>
    </row>
    <row r="390" spans="1:17">
      <c r="A390" s="1556" t="s">
        <v>791</v>
      </c>
      <c r="B390" s="1555">
        <v>0</v>
      </c>
      <c r="C390" s="1555">
        <v>0</v>
      </c>
      <c r="D390" s="1555">
        <v>0</v>
      </c>
      <c r="E390" s="1555">
        <v>0</v>
      </c>
      <c r="F390" s="1555">
        <v>0</v>
      </c>
      <c r="G390" s="1555">
        <v>0</v>
      </c>
      <c r="H390" s="1555">
        <v>0</v>
      </c>
      <c r="I390" s="1555">
        <v>0</v>
      </c>
      <c r="J390" s="1555">
        <v>0</v>
      </c>
      <c r="K390" s="1555">
        <v>0</v>
      </c>
      <c r="L390" s="1555">
        <v>0</v>
      </c>
      <c r="M390" s="1555">
        <v>0</v>
      </c>
      <c r="N390" s="1555">
        <v>0</v>
      </c>
      <c r="O390" s="1555">
        <v>0</v>
      </c>
      <c r="P390" s="1555">
        <v>0</v>
      </c>
      <c r="Q390" s="1555">
        <v>0</v>
      </c>
    </row>
    <row r="391" spans="1:17">
      <c r="A391" s="1556" t="s">
        <v>793</v>
      </c>
      <c r="B391" s="1555">
        <v>0</v>
      </c>
      <c r="C391" s="1555">
        <v>0</v>
      </c>
      <c r="D391" s="1555">
        <v>0</v>
      </c>
      <c r="E391" s="1555">
        <v>0</v>
      </c>
      <c r="F391" s="1555">
        <v>0</v>
      </c>
      <c r="G391" s="1555">
        <v>0</v>
      </c>
      <c r="H391" s="1555">
        <v>0</v>
      </c>
      <c r="I391" s="1555">
        <v>0</v>
      </c>
      <c r="J391" s="1555">
        <v>0</v>
      </c>
      <c r="K391" s="1555">
        <v>0</v>
      </c>
      <c r="L391" s="1555">
        <v>0</v>
      </c>
      <c r="M391" s="1555">
        <v>0</v>
      </c>
      <c r="N391" s="1555">
        <v>0</v>
      </c>
      <c r="O391" s="1555">
        <v>0</v>
      </c>
      <c r="P391" s="1555">
        <v>0</v>
      </c>
      <c r="Q391" s="1555">
        <v>0</v>
      </c>
    </row>
    <row r="392" spans="1:17">
      <c r="A392" s="1556" t="s">
        <v>725</v>
      </c>
      <c r="B392" s="1555">
        <v>0</v>
      </c>
      <c r="C392" s="1555">
        <v>0</v>
      </c>
      <c r="D392" s="1555">
        <v>0</v>
      </c>
      <c r="E392" s="1555">
        <v>0</v>
      </c>
      <c r="F392" s="1555">
        <v>0</v>
      </c>
      <c r="G392" s="1555">
        <v>0</v>
      </c>
      <c r="H392" s="1555">
        <v>0</v>
      </c>
      <c r="I392" s="1555">
        <v>0</v>
      </c>
      <c r="J392" s="1555">
        <v>0</v>
      </c>
      <c r="K392" s="1555">
        <v>0</v>
      </c>
      <c r="L392" s="1555">
        <v>0</v>
      </c>
      <c r="M392" s="1555">
        <v>0</v>
      </c>
      <c r="N392" s="1555">
        <v>0</v>
      </c>
      <c r="O392" s="1555">
        <v>0</v>
      </c>
      <c r="P392" s="1555">
        <v>0</v>
      </c>
      <c r="Q392" s="1555">
        <v>0</v>
      </c>
    </row>
    <row r="393" spans="1:17">
      <c r="A393" s="1556" t="s">
        <v>656</v>
      </c>
      <c r="B393" s="1555">
        <v>0</v>
      </c>
      <c r="C393" s="1555">
        <v>0</v>
      </c>
      <c r="D393" s="1555">
        <v>0</v>
      </c>
      <c r="E393" s="1555">
        <v>0</v>
      </c>
      <c r="F393" s="1555">
        <v>0</v>
      </c>
      <c r="G393" s="1555">
        <v>0</v>
      </c>
      <c r="H393" s="1555">
        <v>0</v>
      </c>
      <c r="I393" s="1555">
        <v>0</v>
      </c>
      <c r="J393" s="1555">
        <v>0</v>
      </c>
      <c r="K393" s="1555">
        <v>0</v>
      </c>
      <c r="L393" s="1555">
        <v>0</v>
      </c>
      <c r="M393" s="1555">
        <v>0</v>
      </c>
      <c r="N393" s="1555">
        <v>0</v>
      </c>
      <c r="O393" s="1555">
        <v>0</v>
      </c>
      <c r="P393" s="1555">
        <v>0</v>
      </c>
      <c r="Q393" s="1555">
        <v>0</v>
      </c>
    </row>
    <row r="394" spans="1:17">
      <c r="A394" s="1556" t="s">
        <v>658</v>
      </c>
      <c r="B394" s="1555">
        <v>0</v>
      </c>
      <c r="C394" s="1555">
        <v>0</v>
      </c>
      <c r="D394" s="1555">
        <v>0</v>
      </c>
      <c r="E394" s="1555">
        <v>0</v>
      </c>
      <c r="F394" s="1555">
        <v>0</v>
      </c>
      <c r="G394" s="1555">
        <v>0</v>
      </c>
      <c r="H394" s="1555">
        <v>0</v>
      </c>
      <c r="I394" s="1555">
        <v>0</v>
      </c>
      <c r="J394" s="1555">
        <v>0</v>
      </c>
      <c r="K394" s="1555">
        <v>0</v>
      </c>
      <c r="L394" s="1555">
        <v>0</v>
      </c>
      <c r="M394" s="1555">
        <v>0</v>
      </c>
      <c r="N394" s="1555">
        <v>0</v>
      </c>
      <c r="O394" s="1555">
        <v>0</v>
      </c>
      <c r="P394" s="1555">
        <v>0</v>
      </c>
      <c r="Q394" s="1555">
        <v>0</v>
      </c>
    </row>
    <row r="395" spans="1:17">
      <c r="A395" s="1556" t="s">
        <v>660</v>
      </c>
      <c r="B395" s="1555">
        <v>0</v>
      </c>
      <c r="C395" s="1555">
        <v>0</v>
      </c>
      <c r="D395" s="1555">
        <v>0</v>
      </c>
      <c r="E395" s="1555">
        <v>0</v>
      </c>
      <c r="F395" s="1555">
        <v>0</v>
      </c>
      <c r="G395" s="1555">
        <v>0</v>
      </c>
      <c r="H395" s="1555">
        <v>0</v>
      </c>
      <c r="I395" s="1555">
        <v>0</v>
      </c>
      <c r="J395" s="1555">
        <v>0</v>
      </c>
      <c r="K395" s="1555">
        <v>0</v>
      </c>
      <c r="L395" s="1555">
        <v>0</v>
      </c>
      <c r="M395" s="1555">
        <v>0</v>
      </c>
      <c r="N395" s="1555">
        <v>0</v>
      </c>
      <c r="O395" s="1555">
        <v>0</v>
      </c>
      <c r="P395" s="1555">
        <v>0</v>
      </c>
      <c r="Q395" s="1555">
        <v>0</v>
      </c>
    </row>
    <row r="396" spans="1:17">
      <c r="A396" s="1556" t="s">
        <v>662</v>
      </c>
      <c r="B396" s="1555">
        <v>0</v>
      </c>
      <c r="C396" s="1555">
        <v>0</v>
      </c>
      <c r="D396" s="1555">
        <v>0</v>
      </c>
      <c r="E396" s="1555">
        <v>0</v>
      </c>
      <c r="F396" s="1555">
        <v>0</v>
      </c>
      <c r="G396" s="1555">
        <v>0</v>
      </c>
      <c r="H396" s="1555">
        <v>0</v>
      </c>
      <c r="I396" s="1555">
        <v>0</v>
      </c>
      <c r="J396" s="1555">
        <v>0</v>
      </c>
      <c r="K396" s="1555">
        <v>0</v>
      </c>
      <c r="L396" s="1555">
        <v>0</v>
      </c>
      <c r="M396" s="1555">
        <v>0</v>
      </c>
      <c r="N396" s="1555">
        <v>0</v>
      </c>
      <c r="O396" s="1555">
        <v>0</v>
      </c>
      <c r="P396" s="1555">
        <v>0</v>
      </c>
      <c r="Q396" s="1555">
        <v>0</v>
      </c>
    </row>
    <row r="397" spans="1:17">
      <c r="A397" s="1556" t="s">
        <v>664</v>
      </c>
      <c r="B397" s="1555">
        <v>0</v>
      </c>
      <c r="C397" s="1555">
        <v>0</v>
      </c>
      <c r="D397" s="1555">
        <v>0</v>
      </c>
      <c r="E397" s="1555">
        <v>0</v>
      </c>
      <c r="F397" s="1555">
        <v>0</v>
      </c>
      <c r="G397" s="1555">
        <v>0</v>
      </c>
      <c r="H397" s="1555">
        <v>0</v>
      </c>
      <c r="I397" s="1555">
        <v>0</v>
      </c>
      <c r="J397" s="1555">
        <v>0</v>
      </c>
      <c r="K397" s="1555">
        <v>0</v>
      </c>
      <c r="L397" s="1555">
        <v>0</v>
      </c>
      <c r="M397" s="1555">
        <v>0</v>
      </c>
      <c r="N397" s="1555">
        <v>0</v>
      </c>
      <c r="O397" s="1555">
        <v>0</v>
      </c>
      <c r="P397" s="1555">
        <v>0</v>
      </c>
      <c r="Q397" s="1555">
        <v>0</v>
      </c>
    </row>
    <row r="398" spans="1:17">
      <c r="A398" s="1556" t="s">
        <v>666</v>
      </c>
      <c r="B398" s="1555">
        <v>0</v>
      </c>
      <c r="C398" s="1555">
        <v>0</v>
      </c>
      <c r="D398" s="1555">
        <v>0</v>
      </c>
      <c r="E398" s="1555">
        <v>0</v>
      </c>
      <c r="F398" s="1555">
        <v>0</v>
      </c>
      <c r="G398" s="1555">
        <v>0</v>
      </c>
      <c r="H398" s="1555">
        <v>0</v>
      </c>
      <c r="I398" s="1555">
        <v>0</v>
      </c>
      <c r="J398" s="1555">
        <v>0</v>
      </c>
      <c r="K398" s="1555">
        <v>0</v>
      </c>
      <c r="L398" s="1555">
        <v>0</v>
      </c>
      <c r="M398" s="1555">
        <v>0</v>
      </c>
      <c r="N398" s="1555">
        <v>0</v>
      </c>
      <c r="O398" s="1555">
        <v>0</v>
      </c>
      <c r="P398" s="1555">
        <v>0</v>
      </c>
      <c r="Q398" s="1555">
        <v>0</v>
      </c>
    </row>
    <row r="399" spans="1:17">
      <c r="A399" s="1556" t="s">
        <v>668</v>
      </c>
      <c r="B399" s="1555">
        <v>0</v>
      </c>
      <c r="C399" s="1555">
        <v>0</v>
      </c>
      <c r="D399" s="1555">
        <v>0</v>
      </c>
      <c r="E399" s="1555">
        <v>0</v>
      </c>
      <c r="F399" s="1555">
        <v>0</v>
      </c>
      <c r="G399" s="1555">
        <v>0</v>
      </c>
      <c r="H399" s="1555">
        <v>0</v>
      </c>
      <c r="I399" s="1555">
        <v>0</v>
      </c>
      <c r="J399" s="1555">
        <v>0</v>
      </c>
      <c r="K399" s="1555">
        <v>0</v>
      </c>
      <c r="L399" s="1555">
        <v>0</v>
      </c>
      <c r="M399" s="1555">
        <v>0</v>
      </c>
      <c r="N399" s="1555">
        <v>0</v>
      </c>
      <c r="O399" s="1555">
        <v>0</v>
      </c>
      <c r="P399" s="1555">
        <v>0</v>
      </c>
      <c r="Q399" s="1555">
        <v>0</v>
      </c>
    </row>
    <row r="400" spans="1:17">
      <c r="A400" s="1553" t="s">
        <v>794</v>
      </c>
      <c r="B400" s="1555">
        <v>0</v>
      </c>
      <c r="C400" s="1555">
        <v>0</v>
      </c>
      <c r="D400" s="1555">
        <v>0</v>
      </c>
      <c r="E400" s="1555">
        <v>0</v>
      </c>
      <c r="F400" s="1555">
        <v>0</v>
      </c>
      <c r="G400" s="1555">
        <v>0</v>
      </c>
      <c r="H400" s="1555">
        <v>0</v>
      </c>
      <c r="I400" s="1555">
        <v>0</v>
      </c>
      <c r="J400" s="1555">
        <v>0</v>
      </c>
      <c r="K400" s="1555">
        <v>0</v>
      </c>
      <c r="L400" s="1555">
        <v>0</v>
      </c>
      <c r="M400" s="1555">
        <v>0</v>
      </c>
      <c r="N400" s="1555">
        <v>0</v>
      </c>
      <c r="O400" s="1555">
        <v>0</v>
      </c>
      <c r="P400" s="1555">
        <v>0</v>
      </c>
      <c r="Q400" s="1555">
        <v>0</v>
      </c>
    </row>
    <row r="401" spans="1:17">
      <c r="A401" s="1554" t="s">
        <v>6935</v>
      </c>
      <c r="B401" s="1555">
        <v>0</v>
      </c>
      <c r="C401" s="1555">
        <v>0</v>
      </c>
      <c r="D401" s="1555">
        <v>0</v>
      </c>
      <c r="E401" s="1555">
        <v>0</v>
      </c>
      <c r="F401" s="1555">
        <v>0</v>
      </c>
      <c r="G401" s="1555">
        <v>0</v>
      </c>
      <c r="H401" s="1555">
        <v>0</v>
      </c>
      <c r="I401" s="1555">
        <v>0</v>
      </c>
      <c r="J401" s="1555">
        <v>0</v>
      </c>
      <c r="K401" s="1555">
        <v>0</v>
      </c>
      <c r="L401" s="1555">
        <v>0</v>
      </c>
      <c r="M401" s="1555">
        <v>0</v>
      </c>
      <c r="N401" s="1555">
        <v>0</v>
      </c>
      <c r="O401" s="1555">
        <v>0</v>
      </c>
      <c r="P401" s="1555">
        <v>0</v>
      </c>
      <c r="Q401" s="1555">
        <v>0</v>
      </c>
    </row>
    <row r="402" spans="1:17">
      <c r="A402" s="1556" t="s">
        <v>781</v>
      </c>
      <c r="B402" s="1555">
        <v>0</v>
      </c>
      <c r="C402" s="1555">
        <v>0</v>
      </c>
      <c r="D402" s="1555">
        <v>0</v>
      </c>
      <c r="E402" s="1555">
        <v>0</v>
      </c>
      <c r="F402" s="1555">
        <v>0</v>
      </c>
      <c r="G402" s="1555">
        <v>0</v>
      </c>
      <c r="H402" s="1555">
        <v>0</v>
      </c>
      <c r="I402" s="1555">
        <v>0</v>
      </c>
      <c r="J402" s="1555">
        <v>0</v>
      </c>
      <c r="K402" s="1555">
        <v>0</v>
      </c>
      <c r="L402" s="1555">
        <v>0</v>
      </c>
      <c r="M402" s="1555">
        <v>0</v>
      </c>
      <c r="N402" s="1555">
        <v>0</v>
      </c>
      <c r="O402" s="1555">
        <v>0</v>
      </c>
      <c r="P402" s="1555">
        <v>0</v>
      </c>
      <c r="Q402" s="1555">
        <v>0</v>
      </c>
    </row>
    <row r="403" spans="1:17">
      <c r="A403" s="1553" t="s">
        <v>795</v>
      </c>
      <c r="B403" s="1555">
        <v>0</v>
      </c>
      <c r="C403" s="1555">
        <v>0</v>
      </c>
      <c r="D403" s="1555">
        <v>0</v>
      </c>
      <c r="E403" s="1555">
        <v>0</v>
      </c>
      <c r="F403" s="1555">
        <v>0</v>
      </c>
      <c r="G403" s="1555">
        <v>0</v>
      </c>
      <c r="H403" s="1555">
        <v>0</v>
      </c>
      <c r="I403" s="1555">
        <v>0</v>
      </c>
      <c r="J403" s="1555">
        <v>0</v>
      </c>
      <c r="K403" s="1555">
        <v>0</v>
      </c>
      <c r="L403" s="1555">
        <v>0</v>
      </c>
      <c r="M403" s="1555">
        <v>0</v>
      </c>
      <c r="N403" s="1555">
        <v>0</v>
      </c>
      <c r="O403" s="1555">
        <v>0</v>
      </c>
      <c r="P403" s="1555">
        <v>0</v>
      </c>
      <c r="Q403" s="1555">
        <v>0</v>
      </c>
    </row>
    <row r="404" spans="1:17">
      <c r="A404" s="1554" t="s">
        <v>6935</v>
      </c>
      <c r="B404" s="1555">
        <v>0</v>
      </c>
      <c r="C404" s="1555">
        <v>0</v>
      </c>
      <c r="D404" s="1555">
        <v>0</v>
      </c>
      <c r="E404" s="1555">
        <v>0</v>
      </c>
      <c r="F404" s="1555">
        <v>0</v>
      </c>
      <c r="G404" s="1555">
        <v>0</v>
      </c>
      <c r="H404" s="1555">
        <v>0</v>
      </c>
      <c r="I404" s="1555">
        <v>0</v>
      </c>
      <c r="J404" s="1555">
        <v>0</v>
      </c>
      <c r="K404" s="1555">
        <v>0</v>
      </c>
      <c r="L404" s="1555">
        <v>0</v>
      </c>
      <c r="M404" s="1555">
        <v>0</v>
      </c>
      <c r="N404" s="1555">
        <v>0</v>
      </c>
      <c r="O404" s="1555">
        <v>0</v>
      </c>
      <c r="P404" s="1555">
        <v>0</v>
      </c>
      <c r="Q404" s="1555">
        <v>0</v>
      </c>
    </row>
    <row r="405" spans="1:17">
      <c r="A405" s="1556" t="s">
        <v>792</v>
      </c>
      <c r="B405" s="1555">
        <v>0</v>
      </c>
      <c r="C405" s="1555">
        <v>0</v>
      </c>
      <c r="D405" s="1555">
        <v>0</v>
      </c>
      <c r="E405" s="1555">
        <v>0</v>
      </c>
      <c r="F405" s="1555">
        <v>0</v>
      </c>
      <c r="G405" s="1555">
        <v>0</v>
      </c>
      <c r="H405" s="1555">
        <v>0</v>
      </c>
      <c r="I405" s="1555">
        <v>0</v>
      </c>
      <c r="J405" s="1555">
        <v>0</v>
      </c>
      <c r="K405" s="1555">
        <v>0</v>
      </c>
      <c r="L405" s="1555">
        <v>0</v>
      </c>
      <c r="M405" s="1555">
        <v>0</v>
      </c>
      <c r="N405" s="1555">
        <v>0</v>
      </c>
      <c r="O405" s="1555">
        <v>0</v>
      </c>
      <c r="P405" s="1555">
        <v>0</v>
      </c>
      <c r="Q405" s="1555">
        <v>0</v>
      </c>
    </row>
    <row r="406" spans="1:17">
      <c r="A406" s="1556" t="s">
        <v>656</v>
      </c>
      <c r="B406" s="1555">
        <v>0</v>
      </c>
      <c r="C406" s="1555">
        <v>0</v>
      </c>
      <c r="D406" s="1555">
        <v>0</v>
      </c>
      <c r="E406" s="1555">
        <v>0</v>
      </c>
      <c r="F406" s="1555">
        <v>0</v>
      </c>
      <c r="G406" s="1555">
        <v>0</v>
      </c>
      <c r="H406" s="1555">
        <v>0</v>
      </c>
      <c r="I406" s="1555">
        <v>0</v>
      </c>
      <c r="J406" s="1555">
        <v>0</v>
      </c>
      <c r="K406" s="1555">
        <v>0</v>
      </c>
      <c r="L406" s="1555">
        <v>0</v>
      </c>
      <c r="M406" s="1555">
        <v>0</v>
      </c>
      <c r="N406" s="1555">
        <v>0</v>
      </c>
      <c r="O406" s="1555">
        <v>0</v>
      </c>
      <c r="P406" s="1555">
        <v>0</v>
      </c>
      <c r="Q406" s="1555">
        <v>0</v>
      </c>
    </row>
    <row r="407" spans="1:17">
      <c r="A407" s="1556" t="s">
        <v>658</v>
      </c>
      <c r="B407" s="1555">
        <v>0</v>
      </c>
      <c r="C407" s="1555">
        <v>0</v>
      </c>
      <c r="D407" s="1555">
        <v>0</v>
      </c>
      <c r="E407" s="1555">
        <v>0</v>
      </c>
      <c r="F407" s="1555">
        <v>0</v>
      </c>
      <c r="G407" s="1555">
        <v>0</v>
      </c>
      <c r="H407" s="1555">
        <v>0</v>
      </c>
      <c r="I407" s="1555">
        <v>0</v>
      </c>
      <c r="J407" s="1555">
        <v>0</v>
      </c>
      <c r="K407" s="1555">
        <v>0</v>
      </c>
      <c r="L407" s="1555">
        <v>0</v>
      </c>
      <c r="M407" s="1555">
        <v>0</v>
      </c>
      <c r="N407" s="1555">
        <v>0</v>
      </c>
      <c r="O407" s="1555">
        <v>0</v>
      </c>
      <c r="P407" s="1555">
        <v>0</v>
      </c>
      <c r="Q407" s="1555">
        <v>0</v>
      </c>
    </row>
    <row r="408" spans="1:17">
      <c r="A408" s="1556" t="s">
        <v>660</v>
      </c>
      <c r="B408" s="1555">
        <v>0</v>
      </c>
      <c r="C408" s="1555">
        <v>0</v>
      </c>
      <c r="D408" s="1555">
        <v>0</v>
      </c>
      <c r="E408" s="1555">
        <v>0</v>
      </c>
      <c r="F408" s="1555">
        <v>0</v>
      </c>
      <c r="G408" s="1555">
        <v>0</v>
      </c>
      <c r="H408" s="1555">
        <v>0</v>
      </c>
      <c r="I408" s="1555">
        <v>0</v>
      </c>
      <c r="J408" s="1555">
        <v>0</v>
      </c>
      <c r="K408" s="1555">
        <v>0</v>
      </c>
      <c r="L408" s="1555">
        <v>0</v>
      </c>
      <c r="M408" s="1555">
        <v>0</v>
      </c>
      <c r="N408" s="1555">
        <v>0</v>
      </c>
      <c r="O408" s="1555">
        <v>0</v>
      </c>
      <c r="P408" s="1555">
        <v>0</v>
      </c>
      <c r="Q408" s="1555">
        <v>0</v>
      </c>
    </row>
    <row r="409" spans="1:17">
      <c r="A409" s="1556" t="s">
        <v>662</v>
      </c>
      <c r="B409" s="1555">
        <v>0</v>
      </c>
      <c r="C409" s="1555">
        <v>0</v>
      </c>
      <c r="D409" s="1555">
        <v>0</v>
      </c>
      <c r="E409" s="1555">
        <v>0</v>
      </c>
      <c r="F409" s="1555">
        <v>0</v>
      </c>
      <c r="G409" s="1555">
        <v>0</v>
      </c>
      <c r="H409" s="1555">
        <v>0</v>
      </c>
      <c r="I409" s="1555">
        <v>0</v>
      </c>
      <c r="J409" s="1555">
        <v>0</v>
      </c>
      <c r="K409" s="1555">
        <v>0</v>
      </c>
      <c r="L409" s="1555">
        <v>0</v>
      </c>
      <c r="M409" s="1555">
        <v>0</v>
      </c>
      <c r="N409" s="1555">
        <v>0</v>
      </c>
      <c r="O409" s="1555">
        <v>0</v>
      </c>
      <c r="P409" s="1555">
        <v>0</v>
      </c>
      <c r="Q409" s="1555">
        <v>0</v>
      </c>
    </row>
    <row r="410" spans="1:17">
      <c r="A410" s="1556" t="s">
        <v>664</v>
      </c>
      <c r="B410" s="1555">
        <v>0</v>
      </c>
      <c r="C410" s="1555">
        <v>0</v>
      </c>
      <c r="D410" s="1555">
        <v>0</v>
      </c>
      <c r="E410" s="1555">
        <v>0</v>
      </c>
      <c r="F410" s="1555">
        <v>0</v>
      </c>
      <c r="G410" s="1555">
        <v>0</v>
      </c>
      <c r="H410" s="1555">
        <v>0</v>
      </c>
      <c r="I410" s="1555">
        <v>0</v>
      </c>
      <c r="J410" s="1555">
        <v>0</v>
      </c>
      <c r="K410" s="1555">
        <v>0</v>
      </c>
      <c r="L410" s="1555">
        <v>0</v>
      </c>
      <c r="M410" s="1555">
        <v>0</v>
      </c>
      <c r="N410" s="1555">
        <v>0</v>
      </c>
      <c r="O410" s="1555">
        <v>0</v>
      </c>
      <c r="P410" s="1555">
        <v>0</v>
      </c>
      <c r="Q410" s="1555">
        <v>0</v>
      </c>
    </row>
    <row r="411" spans="1:17">
      <c r="A411" s="1556" t="s">
        <v>666</v>
      </c>
      <c r="B411" s="1555">
        <v>0</v>
      </c>
      <c r="C411" s="1555">
        <v>0</v>
      </c>
      <c r="D411" s="1555">
        <v>0</v>
      </c>
      <c r="E411" s="1555">
        <v>0</v>
      </c>
      <c r="F411" s="1555">
        <v>0</v>
      </c>
      <c r="G411" s="1555">
        <v>0</v>
      </c>
      <c r="H411" s="1555">
        <v>0</v>
      </c>
      <c r="I411" s="1555">
        <v>0</v>
      </c>
      <c r="J411" s="1555">
        <v>0</v>
      </c>
      <c r="K411" s="1555">
        <v>0</v>
      </c>
      <c r="L411" s="1555">
        <v>0</v>
      </c>
      <c r="M411" s="1555">
        <v>0</v>
      </c>
      <c r="N411" s="1555">
        <v>0</v>
      </c>
      <c r="O411" s="1555">
        <v>0</v>
      </c>
      <c r="P411" s="1555">
        <v>0</v>
      </c>
      <c r="Q411" s="1555">
        <v>0</v>
      </c>
    </row>
    <row r="412" spans="1:17">
      <c r="A412" s="1556" t="s">
        <v>668</v>
      </c>
      <c r="B412" s="1555">
        <v>0</v>
      </c>
      <c r="C412" s="1555">
        <v>0</v>
      </c>
      <c r="D412" s="1555">
        <v>0</v>
      </c>
      <c r="E412" s="1555">
        <v>0</v>
      </c>
      <c r="F412" s="1555">
        <v>0</v>
      </c>
      <c r="G412" s="1555">
        <v>0</v>
      </c>
      <c r="H412" s="1555">
        <v>0</v>
      </c>
      <c r="I412" s="1555">
        <v>0</v>
      </c>
      <c r="J412" s="1555">
        <v>0</v>
      </c>
      <c r="K412" s="1555">
        <v>0</v>
      </c>
      <c r="L412" s="1555">
        <v>0</v>
      </c>
      <c r="M412" s="1555">
        <v>0</v>
      </c>
      <c r="N412" s="1555">
        <v>0</v>
      </c>
      <c r="O412" s="1555">
        <v>0</v>
      </c>
      <c r="P412" s="1555">
        <v>0</v>
      </c>
      <c r="Q412" s="1555">
        <v>0</v>
      </c>
    </row>
    <row r="413" spans="1:17">
      <c r="A413" s="1437" t="s">
        <v>804</v>
      </c>
      <c r="B413" s="1555">
        <v>0</v>
      </c>
      <c r="C413" s="1555">
        <v>0</v>
      </c>
      <c r="D413" s="1555">
        <v>0</v>
      </c>
      <c r="E413" s="1555">
        <v>0</v>
      </c>
      <c r="F413" s="1555">
        <v>0</v>
      </c>
      <c r="G413" s="1555">
        <v>0</v>
      </c>
      <c r="H413" s="1555">
        <v>0</v>
      </c>
      <c r="I413" s="1555">
        <v>0</v>
      </c>
      <c r="J413" s="1555">
        <v>0</v>
      </c>
      <c r="K413" s="1555">
        <v>0</v>
      </c>
      <c r="L413" s="1555">
        <v>0</v>
      </c>
      <c r="M413" s="1555">
        <v>0</v>
      </c>
      <c r="N413" s="1555">
        <v>0</v>
      </c>
      <c r="O413" s="1555">
        <v>0</v>
      </c>
      <c r="P413" s="1555">
        <v>0</v>
      </c>
      <c r="Q413" s="1555">
        <v>0</v>
      </c>
    </row>
    <row r="414" spans="1:17">
      <c r="A414" s="1553" t="s">
        <v>805</v>
      </c>
      <c r="B414" s="1555">
        <v>0</v>
      </c>
      <c r="C414" s="1555">
        <v>0</v>
      </c>
      <c r="D414" s="1555">
        <v>0</v>
      </c>
      <c r="E414" s="1555">
        <v>0</v>
      </c>
      <c r="F414" s="1555">
        <v>0</v>
      </c>
      <c r="G414" s="1555">
        <v>0</v>
      </c>
      <c r="H414" s="1555">
        <v>0</v>
      </c>
      <c r="I414" s="1555">
        <v>0</v>
      </c>
      <c r="J414" s="1555">
        <v>0</v>
      </c>
      <c r="K414" s="1555">
        <v>0</v>
      </c>
      <c r="L414" s="1555">
        <v>0</v>
      </c>
      <c r="M414" s="1555">
        <v>0</v>
      </c>
      <c r="N414" s="1555">
        <v>0</v>
      </c>
      <c r="O414" s="1555">
        <v>0</v>
      </c>
      <c r="P414" s="1555">
        <v>0</v>
      </c>
      <c r="Q414" s="1555">
        <v>0</v>
      </c>
    </row>
    <row r="415" spans="1:17">
      <c r="A415" s="1554">
        <v>0</v>
      </c>
      <c r="B415" s="1555">
        <v>0</v>
      </c>
      <c r="C415" s="1555">
        <v>0</v>
      </c>
      <c r="D415" s="1555">
        <v>0</v>
      </c>
      <c r="E415" s="1555">
        <v>0</v>
      </c>
      <c r="F415" s="1555">
        <v>0</v>
      </c>
      <c r="G415" s="1555">
        <v>0</v>
      </c>
      <c r="H415" s="1555">
        <v>0</v>
      </c>
      <c r="I415" s="1555">
        <v>0</v>
      </c>
      <c r="J415" s="1555">
        <v>0</v>
      </c>
      <c r="K415" s="1555">
        <v>0</v>
      </c>
      <c r="L415" s="1555">
        <v>0</v>
      </c>
      <c r="M415" s="1555">
        <v>0</v>
      </c>
      <c r="N415" s="1555">
        <v>0</v>
      </c>
      <c r="O415" s="1555">
        <v>0</v>
      </c>
      <c r="P415" s="1555">
        <v>0</v>
      </c>
      <c r="Q415" s="1555">
        <v>0</v>
      </c>
    </row>
    <row r="416" spans="1:17">
      <c r="A416" s="1556" t="s">
        <v>783</v>
      </c>
      <c r="B416" s="1555">
        <v>0</v>
      </c>
      <c r="C416" s="1555">
        <v>0</v>
      </c>
      <c r="D416" s="1555">
        <v>0</v>
      </c>
      <c r="E416" s="1555">
        <v>0</v>
      </c>
      <c r="F416" s="1555">
        <v>0</v>
      </c>
      <c r="G416" s="1555">
        <v>0</v>
      </c>
      <c r="H416" s="1555">
        <v>0</v>
      </c>
      <c r="I416" s="1555">
        <v>0</v>
      </c>
      <c r="J416" s="1555">
        <v>0</v>
      </c>
      <c r="K416" s="1555">
        <v>0</v>
      </c>
      <c r="L416" s="1555">
        <v>0</v>
      </c>
      <c r="M416" s="1555">
        <v>0</v>
      </c>
      <c r="N416" s="1555">
        <v>0</v>
      </c>
      <c r="O416" s="1555">
        <v>0</v>
      </c>
      <c r="P416" s="1555">
        <v>0</v>
      </c>
      <c r="Q416" s="1555">
        <v>0</v>
      </c>
    </row>
    <row r="417" spans="1:17">
      <c r="A417" s="1556" t="s">
        <v>723</v>
      </c>
      <c r="B417" s="1555">
        <v>0</v>
      </c>
      <c r="C417" s="1555">
        <v>0</v>
      </c>
      <c r="D417" s="1555">
        <v>0</v>
      </c>
      <c r="E417" s="1555">
        <v>0</v>
      </c>
      <c r="F417" s="1555">
        <v>0</v>
      </c>
      <c r="G417" s="1555">
        <v>0</v>
      </c>
      <c r="H417" s="1555">
        <v>0</v>
      </c>
      <c r="I417" s="1555">
        <v>0</v>
      </c>
      <c r="J417" s="1555">
        <v>0</v>
      </c>
      <c r="K417" s="1555">
        <v>0</v>
      </c>
      <c r="L417" s="1555">
        <v>0</v>
      </c>
      <c r="M417" s="1555">
        <v>0</v>
      </c>
      <c r="N417" s="1555">
        <v>0</v>
      </c>
      <c r="O417" s="1555">
        <v>0</v>
      </c>
      <c r="P417" s="1555">
        <v>0</v>
      </c>
      <c r="Q417" s="1555">
        <v>0</v>
      </c>
    </row>
    <row r="418" spans="1:17">
      <c r="A418" s="1556" t="s">
        <v>725</v>
      </c>
      <c r="B418" s="1555">
        <v>0</v>
      </c>
      <c r="C418" s="1555">
        <v>0</v>
      </c>
      <c r="D418" s="1555">
        <v>0</v>
      </c>
      <c r="E418" s="1555">
        <v>0</v>
      </c>
      <c r="F418" s="1555">
        <v>0</v>
      </c>
      <c r="G418" s="1555">
        <v>0</v>
      </c>
      <c r="H418" s="1555">
        <v>0</v>
      </c>
      <c r="I418" s="1555">
        <v>0</v>
      </c>
      <c r="J418" s="1555">
        <v>0</v>
      </c>
      <c r="K418" s="1555">
        <v>0</v>
      </c>
      <c r="L418" s="1555">
        <v>0</v>
      </c>
      <c r="M418" s="1555">
        <v>0</v>
      </c>
      <c r="N418" s="1555">
        <v>0</v>
      </c>
      <c r="O418" s="1555">
        <v>0</v>
      </c>
      <c r="P418" s="1555">
        <v>0</v>
      </c>
      <c r="Q418" s="1555">
        <v>0</v>
      </c>
    </row>
    <row r="419" spans="1:17">
      <c r="A419" s="1556" t="s">
        <v>806</v>
      </c>
      <c r="B419" s="1555">
        <v>0</v>
      </c>
      <c r="C419" s="1555">
        <v>0</v>
      </c>
      <c r="D419" s="1555">
        <v>0</v>
      </c>
      <c r="E419" s="1555">
        <v>0</v>
      </c>
      <c r="F419" s="1555">
        <v>0</v>
      </c>
      <c r="G419" s="1555">
        <v>0</v>
      </c>
      <c r="H419" s="1555">
        <v>0</v>
      </c>
      <c r="I419" s="1555">
        <v>0</v>
      </c>
      <c r="J419" s="1555">
        <v>0</v>
      </c>
      <c r="K419" s="1555">
        <v>0</v>
      </c>
      <c r="L419" s="1555">
        <v>0</v>
      </c>
      <c r="M419" s="1555">
        <v>0</v>
      </c>
      <c r="N419" s="1555">
        <v>0</v>
      </c>
      <c r="O419" s="1555">
        <v>0</v>
      </c>
      <c r="P419" s="1555">
        <v>0</v>
      </c>
      <c r="Q419" s="1555">
        <v>0</v>
      </c>
    </row>
    <row r="420" spans="1:17">
      <c r="A420" s="1556" t="s">
        <v>799</v>
      </c>
      <c r="B420" s="1555">
        <v>0</v>
      </c>
      <c r="C420" s="1555">
        <v>0</v>
      </c>
      <c r="D420" s="1555">
        <v>0</v>
      </c>
      <c r="E420" s="1555">
        <v>0</v>
      </c>
      <c r="F420" s="1555">
        <v>0</v>
      </c>
      <c r="G420" s="1555">
        <v>0</v>
      </c>
      <c r="H420" s="1555">
        <v>0</v>
      </c>
      <c r="I420" s="1555">
        <v>0</v>
      </c>
      <c r="J420" s="1555">
        <v>0</v>
      </c>
      <c r="K420" s="1555">
        <v>0</v>
      </c>
      <c r="L420" s="1555">
        <v>0</v>
      </c>
      <c r="M420" s="1555">
        <v>0</v>
      </c>
      <c r="N420" s="1555">
        <v>0</v>
      </c>
      <c r="O420" s="1555">
        <v>0</v>
      </c>
      <c r="P420" s="1555">
        <v>0</v>
      </c>
      <c r="Q420" s="1555">
        <v>0</v>
      </c>
    </row>
    <row r="421" spans="1:17">
      <c r="A421" s="1556" t="s">
        <v>782</v>
      </c>
      <c r="B421" s="1555">
        <v>0</v>
      </c>
      <c r="C421" s="1555">
        <v>0</v>
      </c>
      <c r="D421" s="1555">
        <v>0</v>
      </c>
      <c r="E421" s="1555">
        <v>0</v>
      </c>
      <c r="F421" s="1555">
        <v>0</v>
      </c>
      <c r="G421" s="1555">
        <v>0</v>
      </c>
      <c r="H421" s="1555">
        <v>0</v>
      </c>
      <c r="I421" s="1555">
        <v>0</v>
      </c>
      <c r="J421" s="1555">
        <v>0</v>
      </c>
      <c r="K421" s="1555">
        <v>0</v>
      </c>
      <c r="L421" s="1555">
        <v>0</v>
      </c>
      <c r="M421" s="1555">
        <v>0</v>
      </c>
      <c r="N421" s="1555">
        <v>0</v>
      </c>
      <c r="O421" s="1555">
        <v>0</v>
      </c>
      <c r="P421" s="1555">
        <v>0</v>
      </c>
      <c r="Q421" s="1555">
        <v>0</v>
      </c>
    </row>
    <row r="422" spans="1:17">
      <c r="A422" s="1556" t="s">
        <v>721</v>
      </c>
      <c r="B422" s="1555">
        <v>0</v>
      </c>
      <c r="C422" s="1555">
        <v>0</v>
      </c>
      <c r="D422" s="1555">
        <v>0</v>
      </c>
      <c r="E422" s="1555">
        <v>0</v>
      </c>
      <c r="F422" s="1555">
        <v>0</v>
      </c>
      <c r="G422" s="1555">
        <v>0</v>
      </c>
      <c r="H422" s="1555">
        <v>0</v>
      </c>
      <c r="I422" s="1555">
        <v>0</v>
      </c>
      <c r="J422" s="1555">
        <v>0</v>
      </c>
      <c r="K422" s="1555">
        <v>0</v>
      </c>
      <c r="L422" s="1555">
        <v>0</v>
      </c>
      <c r="M422" s="1555">
        <v>0</v>
      </c>
      <c r="N422" s="1555">
        <v>0</v>
      </c>
      <c r="O422" s="1555">
        <v>0</v>
      </c>
      <c r="P422" s="1555">
        <v>0</v>
      </c>
      <c r="Q422" s="1555">
        <v>0</v>
      </c>
    </row>
    <row r="423" spans="1:17">
      <c r="A423" s="1556" t="s">
        <v>714</v>
      </c>
      <c r="B423" s="1555">
        <v>0</v>
      </c>
      <c r="C423" s="1555">
        <v>0</v>
      </c>
      <c r="D423" s="1555">
        <v>0</v>
      </c>
      <c r="E423" s="1555">
        <v>0</v>
      </c>
      <c r="F423" s="1555">
        <v>0</v>
      </c>
      <c r="G423" s="1555">
        <v>0</v>
      </c>
      <c r="H423" s="1555">
        <v>0</v>
      </c>
      <c r="I423" s="1555">
        <v>0</v>
      </c>
      <c r="J423" s="1555">
        <v>0</v>
      </c>
      <c r="K423" s="1555">
        <v>0</v>
      </c>
      <c r="L423" s="1555">
        <v>0</v>
      </c>
      <c r="M423" s="1555">
        <v>0</v>
      </c>
      <c r="N423" s="1555">
        <v>0</v>
      </c>
      <c r="O423" s="1555">
        <v>0</v>
      </c>
      <c r="P423" s="1555">
        <v>0</v>
      </c>
      <c r="Q423" s="1555">
        <v>0</v>
      </c>
    </row>
    <row r="424" spans="1:17">
      <c r="A424" s="1556" t="s">
        <v>656</v>
      </c>
      <c r="B424" s="1555">
        <v>0</v>
      </c>
      <c r="C424" s="1555">
        <v>0</v>
      </c>
      <c r="D424" s="1555">
        <v>0</v>
      </c>
      <c r="E424" s="1555">
        <v>0</v>
      </c>
      <c r="F424" s="1555">
        <v>0</v>
      </c>
      <c r="G424" s="1555">
        <v>0</v>
      </c>
      <c r="H424" s="1555">
        <v>0</v>
      </c>
      <c r="I424" s="1555">
        <v>0</v>
      </c>
      <c r="J424" s="1555">
        <v>0</v>
      </c>
      <c r="K424" s="1555">
        <v>0</v>
      </c>
      <c r="L424" s="1555">
        <v>0</v>
      </c>
      <c r="M424" s="1555">
        <v>0</v>
      </c>
      <c r="N424" s="1555">
        <v>0</v>
      </c>
      <c r="O424" s="1555">
        <v>0</v>
      </c>
      <c r="P424" s="1555">
        <v>0</v>
      </c>
      <c r="Q424" s="1555">
        <v>0</v>
      </c>
    </row>
    <row r="425" spans="1:17">
      <c r="A425" s="1556" t="s">
        <v>658</v>
      </c>
      <c r="B425" s="1555">
        <v>0</v>
      </c>
      <c r="C425" s="1555">
        <v>0</v>
      </c>
      <c r="D425" s="1555">
        <v>0</v>
      </c>
      <c r="E425" s="1555">
        <v>0</v>
      </c>
      <c r="F425" s="1555">
        <v>0</v>
      </c>
      <c r="G425" s="1555">
        <v>0</v>
      </c>
      <c r="H425" s="1555">
        <v>0</v>
      </c>
      <c r="I425" s="1555">
        <v>0</v>
      </c>
      <c r="J425" s="1555">
        <v>0</v>
      </c>
      <c r="K425" s="1555">
        <v>0</v>
      </c>
      <c r="L425" s="1555">
        <v>0</v>
      </c>
      <c r="M425" s="1555">
        <v>0</v>
      </c>
      <c r="N425" s="1555">
        <v>0</v>
      </c>
      <c r="O425" s="1555">
        <v>0</v>
      </c>
      <c r="P425" s="1555">
        <v>0</v>
      </c>
      <c r="Q425" s="1555">
        <v>0</v>
      </c>
    </row>
    <row r="426" spans="1:17">
      <c r="A426" s="1556" t="s">
        <v>660</v>
      </c>
      <c r="B426" s="1555">
        <v>0</v>
      </c>
      <c r="C426" s="1555">
        <v>0</v>
      </c>
      <c r="D426" s="1555">
        <v>0</v>
      </c>
      <c r="E426" s="1555">
        <v>0</v>
      </c>
      <c r="F426" s="1555">
        <v>0</v>
      </c>
      <c r="G426" s="1555">
        <v>0</v>
      </c>
      <c r="H426" s="1555">
        <v>0</v>
      </c>
      <c r="I426" s="1555">
        <v>0</v>
      </c>
      <c r="J426" s="1555">
        <v>0</v>
      </c>
      <c r="K426" s="1555">
        <v>0</v>
      </c>
      <c r="L426" s="1555">
        <v>0</v>
      </c>
      <c r="M426" s="1555">
        <v>0</v>
      </c>
      <c r="N426" s="1555">
        <v>0</v>
      </c>
      <c r="O426" s="1555">
        <v>0</v>
      </c>
      <c r="P426" s="1555">
        <v>0</v>
      </c>
      <c r="Q426" s="1555">
        <v>0</v>
      </c>
    </row>
    <row r="427" spans="1:17">
      <c r="A427" s="1556" t="s">
        <v>662</v>
      </c>
      <c r="B427" s="1555">
        <v>0</v>
      </c>
      <c r="C427" s="1555">
        <v>0</v>
      </c>
      <c r="D427" s="1555">
        <v>0</v>
      </c>
      <c r="E427" s="1555">
        <v>0</v>
      </c>
      <c r="F427" s="1555">
        <v>0</v>
      </c>
      <c r="G427" s="1555">
        <v>0</v>
      </c>
      <c r="H427" s="1555">
        <v>0</v>
      </c>
      <c r="I427" s="1555">
        <v>0</v>
      </c>
      <c r="J427" s="1555">
        <v>0</v>
      </c>
      <c r="K427" s="1555">
        <v>0</v>
      </c>
      <c r="L427" s="1555">
        <v>0</v>
      </c>
      <c r="M427" s="1555">
        <v>0</v>
      </c>
      <c r="N427" s="1555">
        <v>0</v>
      </c>
      <c r="O427" s="1555">
        <v>0</v>
      </c>
      <c r="P427" s="1555">
        <v>0</v>
      </c>
      <c r="Q427" s="1555">
        <v>0</v>
      </c>
    </row>
    <row r="428" spans="1:17">
      <c r="A428" s="1556" t="s">
        <v>664</v>
      </c>
      <c r="B428" s="1555">
        <v>0</v>
      </c>
      <c r="C428" s="1555">
        <v>0</v>
      </c>
      <c r="D428" s="1555">
        <v>0</v>
      </c>
      <c r="E428" s="1555">
        <v>0</v>
      </c>
      <c r="F428" s="1555">
        <v>0</v>
      </c>
      <c r="G428" s="1555">
        <v>0</v>
      </c>
      <c r="H428" s="1555">
        <v>0</v>
      </c>
      <c r="I428" s="1555">
        <v>0</v>
      </c>
      <c r="J428" s="1555">
        <v>0</v>
      </c>
      <c r="K428" s="1555">
        <v>0</v>
      </c>
      <c r="L428" s="1555">
        <v>0</v>
      </c>
      <c r="M428" s="1555">
        <v>0</v>
      </c>
      <c r="N428" s="1555">
        <v>0</v>
      </c>
      <c r="O428" s="1555">
        <v>0</v>
      </c>
      <c r="P428" s="1555">
        <v>0</v>
      </c>
      <c r="Q428" s="1555">
        <v>0</v>
      </c>
    </row>
    <row r="429" spans="1:17">
      <c r="A429" s="1556" t="s">
        <v>666</v>
      </c>
      <c r="B429" s="1555">
        <v>0</v>
      </c>
      <c r="C429" s="1555">
        <v>0</v>
      </c>
      <c r="D429" s="1555">
        <v>0</v>
      </c>
      <c r="E429" s="1555">
        <v>0</v>
      </c>
      <c r="F429" s="1555">
        <v>0</v>
      </c>
      <c r="G429" s="1555">
        <v>0</v>
      </c>
      <c r="H429" s="1555">
        <v>0</v>
      </c>
      <c r="I429" s="1555">
        <v>0</v>
      </c>
      <c r="J429" s="1555">
        <v>0</v>
      </c>
      <c r="K429" s="1555">
        <v>0</v>
      </c>
      <c r="L429" s="1555">
        <v>0</v>
      </c>
      <c r="M429" s="1555">
        <v>0</v>
      </c>
      <c r="N429" s="1555">
        <v>0</v>
      </c>
      <c r="O429" s="1555">
        <v>0</v>
      </c>
      <c r="P429" s="1555">
        <v>0</v>
      </c>
      <c r="Q429" s="1555">
        <v>0</v>
      </c>
    </row>
    <row r="430" spans="1:17">
      <c r="A430" s="1556" t="s">
        <v>668</v>
      </c>
      <c r="B430" s="1555">
        <v>0</v>
      </c>
      <c r="C430" s="1555">
        <v>0</v>
      </c>
      <c r="D430" s="1555">
        <v>0</v>
      </c>
      <c r="E430" s="1555">
        <v>0</v>
      </c>
      <c r="F430" s="1555">
        <v>0</v>
      </c>
      <c r="G430" s="1555">
        <v>0</v>
      </c>
      <c r="H430" s="1555">
        <v>0</v>
      </c>
      <c r="I430" s="1555">
        <v>0</v>
      </c>
      <c r="J430" s="1555">
        <v>0</v>
      </c>
      <c r="K430" s="1555">
        <v>0</v>
      </c>
      <c r="L430" s="1555">
        <v>0</v>
      </c>
      <c r="M430" s="1555">
        <v>0</v>
      </c>
      <c r="N430" s="1555">
        <v>0</v>
      </c>
      <c r="O430" s="1555">
        <v>0</v>
      </c>
      <c r="P430" s="1555">
        <v>0</v>
      </c>
      <c r="Q430" s="1555">
        <v>0</v>
      </c>
    </row>
    <row r="431" spans="1:17">
      <c r="A431" s="1553" t="s">
        <v>807</v>
      </c>
      <c r="B431" s="1555">
        <v>0</v>
      </c>
      <c r="C431" s="1555">
        <v>0</v>
      </c>
      <c r="D431" s="1555">
        <v>0</v>
      </c>
      <c r="E431" s="1555">
        <v>0</v>
      </c>
      <c r="F431" s="1555">
        <v>0</v>
      </c>
      <c r="G431" s="1555">
        <v>0</v>
      </c>
      <c r="H431" s="1555">
        <v>0</v>
      </c>
      <c r="I431" s="1555">
        <v>0</v>
      </c>
      <c r="J431" s="1555">
        <v>0</v>
      </c>
      <c r="K431" s="1555">
        <v>0</v>
      </c>
      <c r="L431" s="1555">
        <v>0</v>
      </c>
      <c r="M431" s="1555">
        <v>0</v>
      </c>
      <c r="N431" s="1555">
        <v>0</v>
      </c>
      <c r="O431" s="1555">
        <v>0</v>
      </c>
      <c r="P431" s="1555">
        <v>0</v>
      </c>
      <c r="Q431" s="1555">
        <v>0</v>
      </c>
    </row>
    <row r="432" spans="1:17">
      <c r="A432" s="1554">
        <v>0</v>
      </c>
      <c r="B432" s="1555">
        <v>0</v>
      </c>
      <c r="C432" s="1555">
        <v>0</v>
      </c>
      <c r="D432" s="1555">
        <v>0</v>
      </c>
      <c r="E432" s="1555">
        <v>0</v>
      </c>
      <c r="F432" s="1555">
        <v>0</v>
      </c>
      <c r="G432" s="1555">
        <v>0</v>
      </c>
      <c r="H432" s="1555">
        <v>0</v>
      </c>
      <c r="I432" s="1555">
        <v>0</v>
      </c>
      <c r="J432" s="1555">
        <v>0</v>
      </c>
      <c r="K432" s="1555">
        <v>0</v>
      </c>
      <c r="L432" s="1555">
        <v>0</v>
      </c>
      <c r="M432" s="1555">
        <v>0</v>
      </c>
      <c r="N432" s="1555">
        <v>0</v>
      </c>
      <c r="O432" s="1555">
        <v>0</v>
      </c>
      <c r="P432" s="1555">
        <v>0</v>
      </c>
      <c r="Q432" s="1555">
        <v>0</v>
      </c>
    </row>
    <row r="433" spans="1:17">
      <c r="A433" s="1556" t="s">
        <v>777</v>
      </c>
      <c r="B433" s="1555">
        <v>0</v>
      </c>
      <c r="C433" s="1555">
        <v>0</v>
      </c>
      <c r="D433" s="1555">
        <v>0</v>
      </c>
      <c r="E433" s="1555">
        <v>0</v>
      </c>
      <c r="F433" s="1555">
        <v>0</v>
      </c>
      <c r="G433" s="1555">
        <v>0</v>
      </c>
      <c r="H433" s="1555">
        <v>0</v>
      </c>
      <c r="I433" s="1555">
        <v>0</v>
      </c>
      <c r="J433" s="1555">
        <v>0</v>
      </c>
      <c r="K433" s="1555">
        <v>0</v>
      </c>
      <c r="L433" s="1555">
        <v>0</v>
      </c>
      <c r="M433" s="1555">
        <v>0</v>
      </c>
      <c r="N433" s="1555">
        <v>0</v>
      </c>
      <c r="O433" s="1555">
        <v>0</v>
      </c>
      <c r="P433" s="1555">
        <v>0</v>
      </c>
      <c r="Q433" s="1555">
        <v>0</v>
      </c>
    </row>
    <row r="434" spans="1:17">
      <c r="A434" s="1556" t="s">
        <v>784</v>
      </c>
      <c r="B434" s="1555">
        <v>0</v>
      </c>
      <c r="C434" s="1555">
        <v>0</v>
      </c>
      <c r="D434" s="1555">
        <v>0</v>
      </c>
      <c r="E434" s="1555">
        <v>0</v>
      </c>
      <c r="F434" s="1555">
        <v>0</v>
      </c>
      <c r="G434" s="1555">
        <v>0</v>
      </c>
      <c r="H434" s="1555">
        <v>0</v>
      </c>
      <c r="I434" s="1555">
        <v>0</v>
      </c>
      <c r="J434" s="1555">
        <v>0</v>
      </c>
      <c r="K434" s="1555">
        <v>0</v>
      </c>
      <c r="L434" s="1555">
        <v>0</v>
      </c>
      <c r="M434" s="1555">
        <v>0</v>
      </c>
      <c r="N434" s="1555">
        <v>0</v>
      </c>
      <c r="O434" s="1555">
        <v>0</v>
      </c>
      <c r="P434" s="1555">
        <v>0</v>
      </c>
      <c r="Q434" s="1555">
        <v>0</v>
      </c>
    </row>
    <row r="435" spans="1:17">
      <c r="A435" s="1556" t="s">
        <v>779</v>
      </c>
      <c r="B435" s="1555">
        <v>0</v>
      </c>
      <c r="C435" s="1555">
        <v>0</v>
      </c>
      <c r="D435" s="1555">
        <v>0</v>
      </c>
      <c r="E435" s="1555">
        <v>0</v>
      </c>
      <c r="F435" s="1555">
        <v>0</v>
      </c>
      <c r="G435" s="1555">
        <v>0</v>
      </c>
      <c r="H435" s="1555">
        <v>0</v>
      </c>
      <c r="I435" s="1555">
        <v>0</v>
      </c>
      <c r="J435" s="1555">
        <v>0</v>
      </c>
      <c r="K435" s="1555">
        <v>0</v>
      </c>
      <c r="L435" s="1555">
        <v>0</v>
      </c>
      <c r="M435" s="1555">
        <v>0</v>
      </c>
      <c r="N435" s="1555">
        <v>0</v>
      </c>
      <c r="O435" s="1555">
        <v>0</v>
      </c>
      <c r="P435" s="1555">
        <v>0</v>
      </c>
      <c r="Q435" s="1555">
        <v>0</v>
      </c>
    </row>
    <row r="436" spans="1:17">
      <c r="A436" s="1556" t="s">
        <v>656</v>
      </c>
      <c r="B436" s="1555">
        <v>0</v>
      </c>
      <c r="C436" s="1555">
        <v>0</v>
      </c>
      <c r="D436" s="1555">
        <v>0</v>
      </c>
      <c r="E436" s="1555">
        <v>0</v>
      </c>
      <c r="F436" s="1555">
        <v>0</v>
      </c>
      <c r="G436" s="1555">
        <v>0</v>
      </c>
      <c r="H436" s="1555">
        <v>0</v>
      </c>
      <c r="I436" s="1555">
        <v>0</v>
      </c>
      <c r="J436" s="1555">
        <v>0</v>
      </c>
      <c r="K436" s="1555">
        <v>0</v>
      </c>
      <c r="L436" s="1555">
        <v>0</v>
      </c>
      <c r="M436" s="1555">
        <v>0</v>
      </c>
      <c r="N436" s="1555">
        <v>0</v>
      </c>
      <c r="O436" s="1555">
        <v>0</v>
      </c>
      <c r="P436" s="1555">
        <v>0</v>
      </c>
      <c r="Q436" s="1555">
        <v>0</v>
      </c>
    </row>
    <row r="437" spans="1:17">
      <c r="A437" s="1556" t="s">
        <v>658</v>
      </c>
      <c r="B437" s="1555">
        <v>0</v>
      </c>
      <c r="C437" s="1555">
        <v>0</v>
      </c>
      <c r="D437" s="1555">
        <v>0</v>
      </c>
      <c r="E437" s="1555">
        <v>0</v>
      </c>
      <c r="F437" s="1555">
        <v>0</v>
      </c>
      <c r="G437" s="1555">
        <v>0</v>
      </c>
      <c r="H437" s="1555">
        <v>0</v>
      </c>
      <c r="I437" s="1555">
        <v>0</v>
      </c>
      <c r="J437" s="1555">
        <v>0</v>
      </c>
      <c r="K437" s="1555">
        <v>0</v>
      </c>
      <c r="L437" s="1555">
        <v>0</v>
      </c>
      <c r="M437" s="1555">
        <v>0</v>
      </c>
      <c r="N437" s="1555">
        <v>0</v>
      </c>
      <c r="O437" s="1555">
        <v>0</v>
      </c>
      <c r="P437" s="1555">
        <v>0</v>
      </c>
      <c r="Q437" s="1555">
        <v>0</v>
      </c>
    </row>
    <row r="438" spans="1:17">
      <c r="A438" s="1556" t="s">
        <v>660</v>
      </c>
      <c r="B438" s="1555">
        <v>0</v>
      </c>
      <c r="C438" s="1555">
        <v>0</v>
      </c>
      <c r="D438" s="1555">
        <v>0</v>
      </c>
      <c r="E438" s="1555">
        <v>0</v>
      </c>
      <c r="F438" s="1555">
        <v>0</v>
      </c>
      <c r="G438" s="1555">
        <v>0</v>
      </c>
      <c r="H438" s="1555">
        <v>0</v>
      </c>
      <c r="I438" s="1555">
        <v>0</v>
      </c>
      <c r="J438" s="1555">
        <v>0</v>
      </c>
      <c r="K438" s="1555">
        <v>0</v>
      </c>
      <c r="L438" s="1555">
        <v>0</v>
      </c>
      <c r="M438" s="1555">
        <v>0</v>
      </c>
      <c r="N438" s="1555">
        <v>0</v>
      </c>
      <c r="O438" s="1555">
        <v>0</v>
      </c>
      <c r="P438" s="1555">
        <v>0</v>
      </c>
      <c r="Q438" s="1555">
        <v>0</v>
      </c>
    </row>
    <row r="439" spans="1:17">
      <c r="A439" s="1556" t="s">
        <v>662</v>
      </c>
      <c r="B439" s="1555">
        <v>0</v>
      </c>
      <c r="C439" s="1555">
        <v>0</v>
      </c>
      <c r="D439" s="1555">
        <v>0</v>
      </c>
      <c r="E439" s="1555">
        <v>0</v>
      </c>
      <c r="F439" s="1555">
        <v>0</v>
      </c>
      <c r="G439" s="1555">
        <v>0</v>
      </c>
      <c r="H439" s="1555">
        <v>0</v>
      </c>
      <c r="I439" s="1555">
        <v>0</v>
      </c>
      <c r="J439" s="1555">
        <v>0</v>
      </c>
      <c r="K439" s="1555">
        <v>0</v>
      </c>
      <c r="L439" s="1555">
        <v>0</v>
      </c>
      <c r="M439" s="1555">
        <v>0</v>
      </c>
      <c r="N439" s="1555">
        <v>0</v>
      </c>
      <c r="O439" s="1555">
        <v>0</v>
      </c>
      <c r="P439" s="1555">
        <v>0</v>
      </c>
      <c r="Q439" s="1555">
        <v>0</v>
      </c>
    </row>
    <row r="440" spans="1:17">
      <c r="A440" s="1556" t="s">
        <v>664</v>
      </c>
      <c r="B440" s="1555">
        <v>0</v>
      </c>
      <c r="C440" s="1555">
        <v>0</v>
      </c>
      <c r="D440" s="1555">
        <v>0</v>
      </c>
      <c r="E440" s="1555">
        <v>0</v>
      </c>
      <c r="F440" s="1555">
        <v>0</v>
      </c>
      <c r="G440" s="1555">
        <v>0</v>
      </c>
      <c r="H440" s="1555">
        <v>0</v>
      </c>
      <c r="I440" s="1555">
        <v>0</v>
      </c>
      <c r="J440" s="1555">
        <v>0</v>
      </c>
      <c r="K440" s="1555">
        <v>0</v>
      </c>
      <c r="L440" s="1555">
        <v>0</v>
      </c>
      <c r="M440" s="1555">
        <v>0</v>
      </c>
      <c r="N440" s="1555">
        <v>0</v>
      </c>
      <c r="O440" s="1555">
        <v>0</v>
      </c>
      <c r="P440" s="1555">
        <v>0</v>
      </c>
      <c r="Q440" s="1555">
        <v>0</v>
      </c>
    </row>
    <row r="441" spans="1:17">
      <c r="A441" s="1556" t="s">
        <v>666</v>
      </c>
      <c r="B441" s="1555">
        <v>0</v>
      </c>
      <c r="C441" s="1555">
        <v>0</v>
      </c>
      <c r="D441" s="1555">
        <v>0</v>
      </c>
      <c r="E441" s="1555">
        <v>0</v>
      </c>
      <c r="F441" s="1555">
        <v>0</v>
      </c>
      <c r="G441" s="1555">
        <v>0</v>
      </c>
      <c r="H441" s="1555">
        <v>0</v>
      </c>
      <c r="I441" s="1555">
        <v>0</v>
      </c>
      <c r="J441" s="1555">
        <v>0</v>
      </c>
      <c r="K441" s="1555">
        <v>0</v>
      </c>
      <c r="L441" s="1555">
        <v>0</v>
      </c>
      <c r="M441" s="1555">
        <v>0</v>
      </c>
      <c r="N441" s="1555">
        <v>0</v>
      </c>
      <c r="O441" s="1555">
        <v>0</v>
      </c>
      <c r="P441" s="1555">
        <v>0</v>
      </c>
      <c r="Q441" s="1555">
        <v>0</v>
      </c>
    </row>
    <row r="442" spans="1:17">
      <c r="A442" s="1556" t="s">
        <v>668</v>
      </c>
      <c r="B442" s="1555">
        <v>0</v>
      </c>
      <c r="C442" s="1555">
        <v>0</v>
      </c>
      <c r="D442" s="1555">
        <v>0</v>
      </c>
      <c r="E442" s="1555">
        <v>0</v>
      </c>
      <c r="F442" s="1555">
        <v>0</v>
      </c>
      <c r="G442" s="1555">
        <v>0</v>
      </c>
      <c r="H442" s="1555">
        <v>0</v>
      </c>
      <c r="I442" s="1555">
        <v>0</v>
      </c>
      <c r="J442" s="1555">
        <v>0</v>
      </c>
      <c r="K442" s="1555">
        <v>0</v>
      </c>
      <c r="L442" s="1555">
        <v>0</v>
      </c>
      <c r="M442" s="1555">
        <v>0</v>
      </c>
      <c r="N442" s="1555">
        <v>0</v>
      </c>
      <c r="O442" s="1555">
        <v>0</v>
      </c>
      <c r="P442" s="1555">
        <v>0</v>
      </c>
      <c r="Q442" s="1555">
        <v>0</v>
      </c>
    </row>
    <row r="443" spans="1:17">
      <c r="A443" s="1437" t="s">
        <v>4639</v>
      </c>
      <c r="B443" s="1555">
        <v>0</v>
      </c>
      <c r="C443" s="1555">
        <v>0</v>
      </c>
      <c r="D443" s="1555">
        <v>0</v>
      </c>
      <c r="E443" s="1555">
        <v>0</v>
      </c>
      <c r="F443" s="1555">
        <v>0</v>
      </c>
      <c r="G443" s="1555">
        <v>0</v>
      </c>
      <c r="H443" s="1555">
        <v>0</v>
      </c>
      <c r="I443" s="1555">
        <v>0</v>
      </c>
      <c r="J443" s="1555">
        <v>0</v>
      </c>
      <c r="K443" s="1555">
        <v>0</v>
      </c>
      <c r="L443" s="1555">
        <v>0</v>
      </c>
      <c r="M443" s="1555">
        <v>0</v>
      </c>
      <c r="N443" s="1555">
        <v>0</v>
      </c>
      <c r="O443" s="1555">
        <v>0</v>
      </c>
      <c r="P443" s="1555">
        <v>0</v>
      </c>
      <c r="Q443" s="1555">
        <v>0</v>
      </c>
    </row>
  </sheetData>
  <sheetProtection algorithmName="SHA-512" hashValue="hRVr0sI5CiD7Zu2VU4JPD0Nu9pWlYnIHYLIrw3X15/UcxumJNnMMwhqh5gIutVXgRvmLGE4xbJyK/n/rcFGKuw==" saltValue="DR1MyCeueY6cx8w/5AgAF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01770-D161-4E6A-8E30-F7E7FBEF0AFA}">
  <sheetPr>
    <tabColor theme="4" tint="-0.249977111117893"/>
  </sheetPr>
  <dimension ref="A1:X673"/>
  <sheetViews>
    <sheetView showGridLines="0" zoomScale="106" zoomScaleNormal="106" workbookViewId="0">
      <selection activeCell="D6" sqref="D6"/>
    </sheetView>
  </sheetViews>
  <sheetFormatPr defaultRowHeight="14.5"/>
  <cols>
    <col min="1" max="1" width="18.453125" customWidth="1"/>
    <col min="2" max="2" width="19.26953125" style="1602" customWidth="1"/>
    <col min="3" max="3" width="6.81640625" style="1602" customWidth="1"/>
    <col min="4" max="4" width="60.26953125" customWidth="1"/>
    <col min="5" max="5" width="46.26953125" customWidth="1"/>
    <col min="6" max="6" width="22.6328125" customWidth="1"/>
    <col min="7" max="7" width="41.90625" style="1602" customWidth="1"/>
    <col min="8" max="8" width="27.26953125" bestFit="1" customWidth="1"/>
    <col min="9" max="9" width="45.08984375" style="1602" bestFit="1" customWidth="1"/>
    <col min="10" max="10" width="46.08984375" style="1437" bestFit="1" customWidth="1"/>
    <col min="11" max="11" width="19.26953125" bestFit="1" customWidth="1"/>
    <col min="12" max="12" width="9" style="1602"/>
    <col min="13" max="13" width="27.7265625" bestFit="1" customWidth="1"/>
    <col min="14" max="14" width="22.36328125" bestFit="1" customWidth="1"/>
    <col min="15" max="15" width="9" style="1602"/>
    <col min="16" max="16" width="32.7265625" bestFit="1" customWidth="1"/>
    <col min="18" max="18" width="39.6328125" bestFit="1" customWidth="1"/>
    <col min="19" max="19" width="35.08984375" bestFit="1" customWidth="1"/>
    <col min="24" max="24" width="107.08984375" bestFit="1" customWidth="1"/>
  </cols>
  <sheetData>
    <row r="1" spans="1:15" ht="53.65" customHeight="1" thickBot="1">
      <c r="A1" s="2003" t="s">
        <v>7652</v>
      </c>
      <c r="B1" s="2003"/>
      <c r="C1" s="2003"/>
      <c r="D1" s="2003"/>
      <c r="E1" s="2003"/>
      <c r="F1" s="2003"/>
      <c r="G1" s="2003"/>
      <c r="H1" s="2003"/>
    </row>
    <row r="2" spans="1:15" ht="83.25" customHeight="1" thickBot="1">
      <c r="B2" s="2001" t="s">
        <v>7649</v>
      </c>
      <c r="C2" s="2001"/>
      <c r="D2" s="2001"/>
      <c r="E2" s="2001"/>
    </row>
    <row r="3" spans="1:15" ht="41.25" customHeight="1">
      <c r="B3" s="1998" t="s">
        <v>7586</v>
      </c>
      <c r="C3" s="1999"/>
      <c r="D3" s="2000"/>
      <c r="E3" s="1603"/>
      <c r="F3" s="1603"/>
      <c r="G3" s="1604"/>
    </row>
    <row r="4" spans="1:15" ht="26">
      <c r="B4" s="1613"/>
      <c r="C4" s="1614"/>
      <c r="D4" s="1614"/>
      <c r="E4" s="1607"/>
      <c r="F4" s="1607"/>
      <c r="G4" s="1609"/>
    </row>
    <row r="5" spans="1:15">
      <c r="B5" s="1605"/>
      <c r="C5" s="1608"/>
      <c r="D5" s="1624" t="s">
        <v>7518</v>
      </c>
      <c r="E5" s="1625" t="s">
        <v>7519</v>
      </c>
      <c r="F5" s="1617" t="s">
        <v>460</v>
      </c>
      <c r="G5" s="1606"/>
      <c r="I5"/>
      <c r="J5"/>
      <c r="L5"/>
      <c r="O5"/>
    </row>
    <row r="6" spans="1:15" s="1616" customFormat="1" ht="35.25" customHeight="1">
      <c r="B6" s="1620" t="s">
        <v>7520</v>
      </c>
      <c r="C6" s="1618"/>
      <c r="D6" s="1627" t="s">
        <v>111</v>
      </c>
      <c r="E6" s="1630" t="s">
        <v>1596</v>
      </c>
      <c r="F6" s="1626" cm="1">
        <f t="array" ref="F6">IFERROR(INDEX(Table37[Cost Input],MATCH($D$6&amp;$E$6,Table37[Product]&amp;Table37[Product Specification],0)),"")</f>
        <v>4.0999999999999996</v>
      </c>
      <c r="G6" s="1615"/>
    </row>
    <row r="7" spans="1:15">
      <c r="B7" s="1605"/>
      <c r="C7" s="1608"/>
      <c r="D7" s="701"/>
      <c r="E7" s="701"/>
      <c r="F7" s="1703"/>
      <c r="G7" s="1606"/>
      <c r="I7"/>
      <c r="J7"/>
      <c r="L7"/>
      <c r="O7"/>
    </row>
    <row r="8" spans="1:15">
      <c r="B8" s="1605"/>
      <c r="C8" s="1608"/>
      <c r="D8" s="701"/>
      <c r="E8" s="701"/>
      <c r="F8" s="1703"/>
      <c r="G8" s="1606"/>
      <c r="I8"/>
      <c r="J8"/>
      <c r="L8"/>
      <c r="O8"/>
    </row>
    <row r="9" spans="1:15">
      <c r="B9" s="1605"/>
      <c r="C9" s="1608"/>
      <c r="D9" s="701"/>
      <c r="E9" s="701"/>
      <c r="F9" s="1703"/>
      <c r="G9" s="1606"/>
      <c r="I9"/>
      <c r="J9"/>
      <c r="L9"/>
      <c r="O9"/>
    </row>
    <row r="10" spans="1:15">
      <c r="B10" s="1605"/>
      <c r="C10" s="1608"/>
      <c r="D10" s="701"/>
      <c r="E10" s="701"/>
      <c r="F10" s="1703"/>
      <c r="G10" s="1606"/>
      <c r="I10"/>
      <c r="J10"/>
      <c r="L10"/>
      <c r="O10"/>
    </row>
    <row r="11" spans="1:15">
      <c r="B11" s="1621" t="s">
        <v>7521</v>
      </c>
      <c r="C11" s="1608"/>
      <c r="D11" s="1622" t="s">
        <v>6970</v>
      </c>
      <c r="E11" s="1623" t="s">
        <v>1233</v>
      </c>
      <c r="F11" s="1623" t="s">
        <v>6971</v>
      </c>
      <c r="G11" s="1609"/>
    </row>
    <row r="12" spans="1:15" ht="17">
      <c r="B12" s="1605"/>
      <c r="C12" s="1608"/>
      <c r="D12" s="1628" t="str" cm="1">
        <f t="array" ref="D12">IFERROR(INDEX($G$35:$G$672,MATCH($D$6&amp;$E$6,Table37[Product]&amp;Table37[Product Specification],0)),"")</f>
        <v>HIV- Pharmaceuticals</v>
      </c>
      <c r="E12" s="1629" t="str" cm="1">
        <f t="array" ref="E12">IFERROR(INDEX($I$35:$I$672,MATCH($D$6&amp;$E$6,Table37[Product]&amp;Table37[Product Specification],0)),"")</f>
        <v>ARV And Opioid Susbtitutes medicines</v>
      </c>
      <c r="F12" s="1629" cm="1">
        <f t="array" ref="F12">IFERROR(INDEX($H$35:$H$672,MATCH($D$6&amp;$E$6,Table37[Product]&amp;Table37[Product Specification],0)),"")</f>
        <v>1</v>
      </c>
      <c r="G12" s="1609"/>
    </row>
    <row r="13" spans="1:15" ht="17">
      <c r="B13" s="1605"/>
      <c r="C13" s="1608"/>
      <c r="D13" s="1628" cm="1">
        <f t="array" ref="D13">IFERROR(INDEX($J$35:$J$672,MATCH($D$6&amp;$E$6,Table37[Product]&amp;Table37[Product Specification],0)),"")</f>
        <v>0</v>
      </c>
      <c r="E13" s="1629" cm="1">
        <f t="array" ref="E13">IFERROR(INDEX($L$35:$L$672,MATCH($D$6&amp;$E$6,Table37[Product]&amp;Table37[Product Specification],0)),"")</f>
        <v>0</v>
      </c>
      <c r="F13" s="1629" cm="1">
        <f t="array" ref="F13">IFERROR(INDEX($K$35:$K$672,MATCH($D$6&amp;$E$6,Table37[Product]&amp;Table37[Product Specification],0)),"")</f>
        <v>0</v>
      </c>
      <c r="G13" s="1609"/>
    </row>
    <row r="14" spans="1:15" ht="17">
      <c r="B14" s="1605"/>
      <c r="C14" s="1608"/>
      <c r="D14" s="1628" cm="1">
        <f t="array" ref="D14">IFERROR(INDEX($M$35:$M$672,MATCH($D$6&amp;$E$6,Table37[Product]&amp;Table37[Product Specification],0)),"")</f>
        <v>0</v>
      </c>
      <c r="E14" s="1629" cm="1">
        <f t="array" ref="E14">IFERROR(INDEX($O$35:$O$672,MATCH($D$6&amp;$E$6,Table37[Product]&amp;Table37[Product Specification],0)),"")</f>
        <v>0</v>
      </c>
      <c r="F14" s="1629" cm="1">
        <f t="array" ref="F14">IFERROR(INDEX($N$35:$N$672,MATCH($D$6&amp;$E$6,Table37[Product]&amp;Table37[Product Specification],0)),"")</f>
        <v>0</v>
      </c>
      <c r="G14" s="1609"/>
    </row>
    <row r="15" spans="1:15">
      <c r="B15" s="1605"/>
      <c r="C15" s="1608"/>
      <c r="D15" s="1607"/>
      <c r="E15" s="1607"/>
      <c r="F15" s="1607"/>
      <c r="G15" s="1609"/>
    </row>
    <row r="16" spans="1:15">
      <c r="B16" s="1605"/>
      <c r="C16" s="1608"/>
      <c r="D16" s="1607"/>
      <c r="E16" s="1607"/>
      <c r="F16" s="1607"/>
      <c r="G16" s="1609"/>
    </row>
    <row r="17" spans="2:7" ht="15" thickBot="1">
      <c r="B17" s="1610"/>
      <c r="C17" s="1619"/>
      <c r="D17" s="1611"/>
      <c r="E17" s="1611"/>
      <c r="F17" s="1611"/>
      <c r="G17" s="1612"/>
    </row>
    <row r="18" spans="2:7">
      <c r="B18" s="1608"/>
      <c r="C18" s="1608"/>
      <c r="D18" s="1607"/>
      <c r="E18" s="1607"/>
      <c r="F18" s="1607"/>
      <c r="G18" s="1608"/>
    </row>
    <row r="19" spans="2:7">
      <c r="B19" s="1608"/>
      <c r="C19" s="1608"/>
      <c r="D19" s="1607"/>
      <c r="E19" s="1607"/>
      <c r="F19" s="1607"/>
      <c r="G19" s="1608"/>
    </row>
    <row r="20" spans="2:7" ht="120" customHeight="1">
      <c r="B20" s="2002" t="s">
        <v>7587</v>
      </c>
      <c r="C20" s="2002"/>
      <c r="D20" s="2002"/>
      <c r="E20" s="2002"/>
      <c r="F20" s="2002"/>
      <c r="G20" s="2002"/>
    </row>
    <row r="21" spans="2:7">
      <c r="B21" s="1608"/>
      <c r="C21" s="1608"/>
      <c r="D21" s="1607"/>
      <c r="E21" s="1607"/>
      <c r="F21" s="1607"/>
      <c r="G21" s="1608"/>
    </row>
    <row r="22" spans="2:7">
      <c r="B22" s="1608"/>
      <c r="C22" s="1608"/>
      <c r="D22" s="1607"/>
      <c r="E22" s="1607"/>
      <c r="F22" s="1607"/>
      <c r="G22" s="1608"/>
    </row>
    <row r="23" spans="2:7">
      <c r="B23" s="1608"/>
      <c r="C23" s="1608"/>
      <c r="D23" s="1607"/>
      <c r="E23" s="1607"/>
      <c r="F23" s="1607"/>
      <c r="G23" s="1608"/>
    </row>
    <row r="24" spans="2:7">
      <c r="B24" s="1608"/>
      <c r="C24" s="1608"/>
      <c r="D24" s="1607"/>
      <c r="E24" s="1607"/>
      <c r="F24" s="1607"/>
      <c r="G24" s="1608"/>
    </row>
    <row r="25" spans="2:7">
      <c r="B25" s="1608"/>
      <c r="C25" s="1608"/>
      <c r="D25" s="1607"/>
      <c r="E25" s="1607"/>
      <c r="F25" s="1607"/>
      <c r="G25" s="1608"/>
    </row>
    <row r="26" spans="2:7">
      <c r="B26" s="1608"/>
      <c r="C26" s="1608"/>
      <c r="D26" s="1607"/>
      <c r="E26" s="1607"/>
      <c r="F26" s="1607"/>
      <c r="G26" s="1608"/>
    </row>
    <row r="27" spans="2:7">
      <c r="B27" s="1608"/>
      <c r="C27" s="1608"/>
      <c r="D27" s="1607"/>
      <c r="E27" s="1607"/>
      <c r="F27" s="1607"/>
      <c r="G27" s="1608"/>
    </row>
    <row r="28" spans="2:7">
      <c r="B28" s="1608"/>
      <c r="C28" s="1608"/>
      <c r="D28" s="1607"/>
      <c r="E28" s="1607"/>
      <c r="F28" s="1607"/>
      <c r="G28" s="1608"/>
    </row>
    <row r="29" spans="2:7">
      <c r="B29" s="1608"/>
      <c r="C29" s="1608"/>
      <c r="D29" s="1607"/>
      <c r="E29" s="1607"/>
      <c r="F29" s="1607"/>
      <c r="G29" s="1608"/>
    </row>
    <row r="33" spans="2:24" ht="15" hidden="1" thickBot="1"/>
    <row r="34" spans="2:24" ht="15" hidden="1" thickBot="1">
      <c r="B34" s="1573" t="s">
        <v>6892</v>
      </c>
      <c r="C34" s="1574" t="s">
        <v>6968</v>
      </c>
      <c r="D34" s="1574" t="s">
        <v>105</v>
      </c>
      <c r="E34" s="1574" t="s">
        <v>6969</v>
      </c>
      <c r="F34" s="1575" t="s">
        <v>460</v>
      </c>
      <c r="G34" s="1576" t="s">
        <v>6970</v>
      </c>
      <c r="H34" s="1577" t="s">
        <v>6971</v>
      </c>
      <c r="I34" s="1578" t="s">
        <v>1233</v>
      </c>
      <c r="J34" s="1579" t="s">
        <v>6970</v>
      </c>
      <c r="K34" s="1580" t="s">
        <v>6971</v>
      </c>
      <c r="L34" s="1579" t="s">
        <v>1233</v>
      </c>
      <c r="M34" s="1581" t="s">
        <v>6970</v>
      </c>
      <c r="N34" s="1582" t="s">
        <v>6971</v>
      </c>
      <c r="O34" s="1583" t="s">
        <v>1233</v>
      </c>
      <c r="Q34" s="1584" t="s">
        <v>6972</v>
      </c>
      <c r="R34" s="1584" t="s">
        <v>6973</v>
      </c>
      <c r="W34" t="s">
        <v>6974</v>
      </c>
      <c r="X34" t="s">
        <v>6975</v>
      </c>
    </row>
    <row r="35" spans="2:24" hidden="1">
      <c r="B35" s="1585">
        <v>1</v>
      </c>
      <c r="C35" s="1586" t="s">
        <v>6976</v>
      </c>
      <c r="D35" s="1586" t="s">
        <v>107</v>
      </c>
      <c r="E35" s="1586" t="s">
        <v>1589</v>
      </c>
      <c r="F35" s="1587">
        <v>4.0999999999999996</v>
      </c>
      <c r="G35" s="1588" t="s">
        <v>7640</v>
      </c>
      <c r="H35" s="1589">
        <v>1</v>
      </c>
      <c r="I35" s="1590" t="s">
        <v>7644</v>
      </c>
      <c r="J35" s="1591"/>
      <c r="K35" s="1592"/>
      <c r="L35" s="1591"/>
      <c r="M35" s="1695"/>
      <c r="N35" s="1696"/>
      <c r="O35" s="1695"/>
      <c r="Q35" t="str" cm="1">
        <f t="array" ref="Q35">_xlfn._xlws.SORT(_xlfn.UNIQUE(_xlfn._xlws.FILTER(Table37[Product],ISNUMBER(SEARCH(D6,Table37[Product])))))</f>
        <v>Abacavir/Lamivudine/Zidovudine</v>
      </c>
      <c r="R35" t="str" cm="1">
        <f t="array" ref="R35:R36">_xlfn._xlws.FILTER(Table37[Product Specification],Table37[Product]=D6,"")</f>
        <v>300/150/300mg tablet 60</v>
      </c>
      <c r="W35" t="s">
        <v>6978</v>
      </c>
    </row>
    <row r="36" spans="2:24" hidden="1">
      <c r="B36" s="1585">
        <v>2</v>
      </c>
      <c r="C36" s="1586" t="s">
        <v>6976</v>
      </c>
      <c r="D36" s="1586" t="s">
        <v>107</v>
      </c>
      <c r="E36" s="1586" t="s">
        <v>1590</v>
      </c>
      <c r="F36" s="1587">
        <v>4.0999999999999996</v>
      </c>
      <c r="G36" s="1593" t="s">
        <v>7640</v>
      </c>
      <c r="H36" s="1594">
        <v>1</v>
      </c>
      <c r="I36" s="1595" t="s">
        <v>7644</v>
      </c>
      <c r="J36" s="1596"/>
      <c r="K36" s="1597"/>
      <c r="L36" s="1596"/>
      <c r="M36" s="1697"/>
      <c r="N36" s="1698"/>
      <c r="O36" s="1697"/>
      <c r="R36" t="str">
        <v>60/30/60mg tablet 60</v>
      </c>
      <c r="W36" t="s">
        <v>6979</v>
      </c>
    </row>
    <row r="37" spans="2:24" hidden="1">
      <c r="B37" s="1585">
        <v>3</v>
      </c>
      <c r="C37" s="1586" t="s">
        <v>6976</v>
      </c>
      <c r="D37" s="1586" t="s">
        <v>107</v>
      </c>
      <c r="E37" s="1586" t="s">
        <v>1591</v>
      </c>
      <c r="F37" s="1587">
        <v>4.0999999999999996</v>
      </c>
      <c r="G37" s="1593" t="s">
        <v>7640</v>
      </c>
      <c r="H37" s="1594">
        <v>1</v>
      </c>
      <c r="I37" s="1595" t="s">
        <v>7644</v>
      </c>
      <c r="J37" s="1596"/>
      <c r="K37" s="1597"/>
      <c r="L37" s="1596"/>
      <c r="M37" s="1697"/>
      <c r="N37" s="1698"/>
      <c r="O37" s="1697"/>
      <c r="W37" t="s">
        <v>6980</v>
      </c>
    </row>
    <row r="38" spans="2:24" hidden="1">
      <c r="B38" s="1585">
        <v>4</v>
      </c>
      <c r="C38" s="1586" t="s">
        <v>6976</v>
      </c>
      <c r="D38" s="1586" t="s">
        <v>110</v>
      </c>
      <c r="E38" s="1586" t="s">
        <v>1592</v>
      </c>
      <c r="F38" s="1587">
        <v>4.0999999999999996</v>
      </c>
      <c r="G38" s="1593" t="s">
        <v>7640</v>
      </c>
      <c r="H38" s="1594">
        <v>1</v>
      </c>
      <c r="I38" s="1595" t="s">
        <v>7644</v>
      </c>
      <c r="J38" s="1596"/>
      <c r="K38" s="1597"/>
      <c r="L38" s="1596"/>
      <c r="M38" s="1697"/>
      <c r="N38" s="1698"/>
      <c r="O38" s="1697"/>
      <c r="W38" t="s">
        <v>6981</v>
      </c>
    </row>
    <row r="39" spans="2:24" hidden="1">
      <c r="B39" s="1585">
        <v>5</v>
      </c>
      <c r="C39" s="1586" t="s">
        <v>6976</v>
      </c>
      <c r="D39" s="1586" t="s">
        <v>110</v>
      </c>
      <c r="E39" s="1586" t="s">
        <v>1593</v>
      </c>
      <c r="F39" s="1587">
        <v>4.0999999999999996</v>
      </c>
      <c r="G39" s="1593" t="s">
        <v>7640</v>
      </c>
      <c r="H39" s="1594">
        <v>1</v>
      </c>
      <c r="I39" s="1595" t="s">
        <v>7644</v>
      </c>
      <c r="J39" s="1596"/>
      <c r="K39" s="1597"/>
      <c r="L39" s="1596"/>
      <c r="M39" s="1697"/>
      <c r="N39" s="1698"/>
      <c r="O39" s="1697"/>
      <c r="W39" t="s">
        <v>6982</v>
      </c>
    </row>
    <row r="40" spans="2:24" hidden="1">
      <c r="B40" s="1585">
        <v>6</v>
      </c>
      <c r="C40" s="1586" t="s">
        <v>6976</v>
      </c>
      <c r="D40" s="1586" t="s">
        <v>110</v>
      </c>
      <c r="E40" s="1586" t="s">
        <v>1594</v>
      </c>
      <c r="F40" s="1587">
        <v>4.0999999999999996</v>
      </c>
      <c r="G40" s="1593" t="s">
        <v>7640</v>
      </c>
      <c r="H40" s="1594">
        <v>1</v>
      </c>
      <c r="I40" s="1595" t="s">
        <v>7644</v>
      </c>
      <c r="J40" s="1596"/>
      <c r="K40" s="1597"/>
      <c r="L40" s="1596"/>
      <c r="M40" s="1697"/>
      <c r="N40" s="1698"/>
      <c r="O40" s="1697"/>
      <c r="W40" t="s">
        <v>6983</v>
      </c>
    </row>
    <row r="41" spans="2:24" hidden="1">
      <c r="B41" s="1585">
        <v>7</v>
      </c>
      <c r="C41" s="1586" t="s">
        <v>6976</v>
      </c>
      <c r="D41" s="1586" t="s">
        <v>110</v>
      </c>
      <c r="E41" s="1586" t="s">
        <v>1595</v>
      </c>
      <c r="F41" s="1587">
        <v>4.0999999999999996</v>
      </c>
      <c r="G41" s="1593" t="s">
        <v>7640</v>
      </c>
      <c r="H41" s="1594">
        <v>1</v>
      </c>
      <c r="I41" s="1595" t="s">
        <v>7644</v>
      </c>
      <c r="J41" s="1596"/>
      <c r="K41" s="1597"/>
      <c r="L41" s="1596"/>
      <c r="M41" s="1697"/>
      <c r="N41" s="1698"/>
      <c r="O41" s="1697"/>
      <c r="W41" t="s">
        <v>6984</v>
      </c>
    </row>
    <row r="42" spans="2:24" hidden="1">
      <c r="B42" s="1585">
        <v>8</v>
      </c>
      <c r="C42" s="1586" t="s">
        <v>6976</v>
      </c>
      <c r="D42" s="1586" t="s">
        <v>111</v>
      </c>
      <c r="E42" s="1586" t="s">
        <v>1596</v>
      </c>
      <c r="F42" s="1587">
        <v>4.0999999999999996</v>
      </c>
      <c r="G42" s="1593" t="s">
        <v>7640</v>
      </c>
      <c r="H42" s="1594">
        <v>1</v>
      </c>
      <c r="I42" s="1595" t="s">
        <v>7644</v>
      </c>
      <c r="J42" s="1596"/>
      <c r="K42" s="1597"/>
      <c r="L42" s="1596"/>
      <c r="M42" s="1598"/>
      <c r="N42" s="1599"/>
      <c r="O42" s="1598"/>
      <c r="W42" t="s">
        <v>6985</v>
      </c>
    </row>
    <row r="43" spans="2:24" hidden="1">
      <c r="B43" s="1585">
        <v>9</v>
      </c>
      <c r="C43" s="1586" t="s">
        <v>6976</v>
      </c>
      <c r="D43" s="1586" t="s">
        <v>111</v>
      </c>
      <c r="E43" s="1586" t="s">
        <v>1597</v>
      </c>
      <c r="F43" s="1587">
        <v>4.0999999999999996</v>
      </c>
      <c r="G43" s="1593" t="s">
        <v>7640</v>
      </c>
      <c r="H43" s="1594">
        <v>1</v>
      </c>
      <c r="I43" s="1595" t="s">
        <v>7644</v>
      </c>
      <c r="J43" s="1596"/>
      <c r="K43" s="1597"/>
      <c r="L43" s="1596"/>
      <c r="M43" s="1598"/>
      <c r="N43" s="1599"/>
      <c r="O43" s="1598"/>
      <c r="W43" t="s">
        <v>6986</v>
      </c>
    </row>
    <row r="44" spans="2:24" hidden="1">
      <c r="B44" s="1585">
        <v>10</v>
      </c>
      <c r="C44" s="1586" t="s">
        <v>6976</v>
      </c>
      <c r="D44" s="1586" t="s">
        <v>112</v>
      </c>
      <c r="E44" s="1586" t="s">
        <v>1598</v>
      </c>
      <c r="F44" s="1587">
        <v>4.0999999999999996</v>
      </c>
      <c r="G44" s="1593" t="s">
        <v>7640</v>
      </c>
      <c r="H44" s="1594">
        <v>1</v>
      </c>
      <c r="I44" s="1595" t="s">
        <v>7644</v>
      </c>
      <c r="J44" s="1596"/>
      <c r="K44" s="1597"/>
      <c r="L44" s="1596"/>
      <c r="M44" s="1598"/>
      <c r="N44" s="1599"/>
      <c r="O44" s="1598"/>
      <c r="W44" t="s">
        <v>6987</v>
      </c>
    </row>
    <row r="45" spans="2:24" hidden="1">
      <c r="B45" s="1585">
        <v>11</v>
      </c>
      <c r="C45" s="1586" t="s">
        <v>6976</v>
      </c>
      <c r="D45" s="1586" t="s">
        <v>112</v>
      </c>
      <c r="E45" s="1586" t="s">
        <v>1599</v>
      </c>
      <c r="F45" s="1587">
        <v>4.0999999999999996</v>
      </c>
      <c r="G45" s="1593" t="s">
        <v>7640</v>
      </c>
      <c r="H45" s="1594">
        <v>1</v>
      </c>
      <c r="I45" s="1595" t="s">
        <v>7644</v>
      </c>
      <c r="J45" s="1596"/>
      <c r="K45" s="1597"/>
      <c r="L45" s="1596"/>
      <c r="M45" s="1598"/>
      <c r="N45" s="1599"/>
      <c r="O45" s="1598"/>
      <c r="W45" t="s">
        <v>6988</v>
      </c>
    </row>
    <row r="46" spans="2:24" hidden="1">
      <c r="B46" s="1585">
        <v>12</v>
      </c>
      <c r="C46" s="1586" t="s">
        <v>6976</v>
      </c>
      <c r="D46" s="1586" t="s">
        <v>112</v>
      </c>
      <c r="E46" s="1586" t="s">
        <v>1600</v>
      </c>
      <c r="F46" s="1587">
        <v>4.0999999999999996</v>
      </c>
      <c r="G46" s="1593" t="s">
        <v>7640</v>
      </c>
      <c r="H46" s="1594">
        <v>1</v>
      </c>
      <c r="I46" s="1595" t="s">
        <v>7644</v>
      </c>
      <c r="J46" s="1596"/>
      <c r="K46" s="1597"/>
      <c r="L46" s="1596"/>
      <c r="M46" s="1598"/>
      <c r="N46" s="1599"/>
      <c r="O46" s="1598"/>
      <c r="W46" t="s">
        <v>6989</v>
      </c>
    </row>
    <row r="47" spans="2:24" hidden="1">
      <c r="B47" s="1585">
        <v>13</v>
      </c>
      <c r="C47" s="1586" t="s">
        <v>6976</v>
      </c>
      <c r="D47" s="1586" t="s">
        <v>112</v>
      </c>
      <c r="E47" s="1586" t="s">
        <v>1601</v>
      </c>
      <c r="F47" s="1587">
        <v>4.0999999999999996</v>
      </c>
      <c r="G47" s="1593" t="s">
        <v>7640</v>
      </c>
      <c r="H47" s="1594">
        <v>1</v>
      </c>
      <c r="I47" s="1595" t="s">
        <v>7644</v>
      </c>
      <c r="J47" s="1596"/>
      <c r="K47" s="1597"/>
      <c r="L47" s="1596"/>
      <c r="M47" s="1598"/>
      <c r="N47" s="1599"/>
      <c r="O47" s="1598"/>
      <c r="W47" t="s">
        <v>6990</v>
      </c>
    </row>
    <row r="48" spans="2:24" hidden="1">
      <c r="B48" s="1585">
        <v>14</v>
      </c>
      <c r="C48" s="1586" t="s">
        <v>6976</v>
      </c>
      <c r="D48" s="1586" t="s">
        <v>112</v>
      </c>
      <c r="E48" s="1586" t="s">
        <v>1602</v>
      </c>
      <c r="F48" s="1587">
        <v>4.0999999999999996</v>
      </c>
      <c r="G48" s="1593" t="s">
        <v>7640</v>
      </c>
      <c r="H48" s="1594">
        <v>1</v>
      </c>
      <c r="I48" s="1595" t="s">
        <v>7644</v>
      </c>
      <c r="J48" s="1596"/>
      <c r="K48" s="1597"/>
      <c r="L48" s="1596"/>
      <c r="M48" s="1598"/>
      <c r="N48" s="1599"/>
      <c r="O48" s="1598"/>
      <c r="W48" t="s">
        <v>6991</v>
      </c>
    </row>
    <row r="49" spans="2:23" hidden="1">
      <c r="B49" s="1585">
        <v>15</v>
      </c>
      <c r="C49" s="1586" t="s">
        <v>6976</v>
      </c>
      <c r="D49" s="1586" t="s">
        <v>113</v>
      </c>
      <c r="E49" s="1586" t="s">
        <v>1603</v>
      </c>
      <c r="F49" s="1587">
        <v>4.0999999999999996</v>
      </c>
      <c r="G49" s="1593" t="s">
        <v>7640</v>
      </c>
      <c r="H49" s="1594">
        <v>1</v>
      </c>
      <c r="I49" s="1595" t="s">
        <v>7644</v>
      </c>
      <c r="J49" s="1596"/>
      <c r="K49" s="1597"/>
      <c r="L49" s="1596"/>
      <c r="M49" s="1598"/>
      <c r="N49" s="1599"/>
      <c r="O49" s="1598"/>
      <c r="W49" t="s">
        <v>6992</v>
      </c>
    </row>
    <row r="50" spans="2:23" hidden="1">
      <c r="B50" s="1585">
        <v>16</v>
      </c>
      <c r="C50" s="1586" t="s">
        <v>6976</v>
      </c>
      <c r="D50" s="1586" t="s">
        <v>106</v>
      </c>
      <c r="E50" s="1586" t="s">
        <v>1604</v>
      </c>
      <c r="F50" s="1587">
        <v>4.0999999999999996</v>
      </c>
      <c r="G50" s="1593" t="s">
        <v>7640</v>
      </c>
      <c r="H50" s="1594">
        <v>1</v>
      </c>
      <c r="I50" s="1595" t="s">
        <v>7644</v>
      </c>
      <c r="J50" s="1596"/>
      <c r="K50" s="1597"/>
      <c r="L50" s="1596"/>
      <c r="M50" s="1598"/>
      <c r="N50" s="1599"/>
      <c r="O50" s="1598"/>
      <c r="W50" t="s">
        <v>6993</v>
      </c>
    </row>
    <row r="51" spans="2:23" hidden="1">
      <c r="B51" s="1585">
        <v>17</v>
      </c>
      <c r="C51" s="1586" t="s">
        <v>6976</v>
      </c>
      <c r="D51" s="1586" t="s">
        <v>114</v>
      </c>
      <c r="E51" s="1586" t="s">
        <v>1605</v>
      </c>
      <c r="F51" s="1587">
        <v>4.0999999999999996</v>
      </c>
      <c r="G51" s="1593" t="s">
        <v>7640</v>
      </c>
      <c r="H51" s="1594">
        <v>1</v>
      </c>
      <c r="I51" s="1595" t="s">
        <v>7644</v>
      </c>
      <c r="J51" s="1596"/>
      <c r="K51" s="1597"/>
      <c r="L51" s="1596"/>
      <c r="M51" s="1598"/>
      <c r="N51" s="1599"/>
      <c r="O51" s="1598"/>
      <c r="W51" t="s">
        <v>6994</v>
      </c>
    </row>
    <row r="52" spans="2:23" hidden="1">
      <c r="B52" s="1585">
        <v>18</v>
      </c>
      <c r="C52" s="1586" t="s">
        <v>6976</v>
      </c>
      <c r="D52" s="1586" t="s">
        <v>114</v>
      </c>
      <c r="E52" s="1586" t="s">
        <v>1606</v>
      </c>
      <c r="F52" s="1587">
        <v>4.0999999999999996</v>
      </c>
      <c r="G52" s="1593" t="s">
        <v>7640</v>
      </c>
      <c r="H52" s="1594">
        <v>1</v>
      </c>
      <c r="I52" s="1595" t="s">
        <v>7644</v>
      </c>
      <c r="J52" s="1596"/>
      <c r="K52" s="1597"/>
      <c r="L52" s="1596"/>
      <c r="M52" s="1598"/>
      <c r="N52" s="1599"/>
      <c r="O52" s="1598"/>
      <c r="W52" t="s">
        <v>6995</v>
      </c>
    </row>
    <row r="53" spans="2:23" hidden="1">
      <c r="B53" s="1585">
        <v>19</v>
      </c>
      <c r="C53" s="1586" t="s">
        <v>6976</v>
      </c>
      <c r="D53" s="1586" t="s">
        <v>114</v>
      </c>
      <c r="E53" s="1586" t="s">
        <v>1607</v>
      </c>
      <c r="F53" s="1587">
        <v>4.0999999999999996</v>
      </c>
      <c r="G53" s="1593" t="s">
        <v>7640</v>
      </c>
      <c r="H53" s="1594">
        <v>1</v>
      </c>
      <c r="I53" s="1595" t="s">
        <v>7644</v>
      </c>
      <c r="J53" s="1596"/>
      <c r="K53" s="1597"/>
      <c r="L53" s="1596"/>
      <c r="M53" s="1598"/>
      <c r="N53" s="1599"/>
      <c r="O53" s="1598"/>
      <c r="W53" t="s">
        <v>6996</v>
      </c>
    </row>
    <row r="54" spans="2:23" hidden="1">
      <c r="B54" s="1585">
        <v>20</v>
      </c>
      <c r="C54" s="1586" t="s">
        <v>6976</v>
      </c>
      <c r="D54" s="1586" t="s">
        <v>114</v>
      </c>
      <c r="E54" s="1586" t="s">
        <v>1608</v>
      </c>
      <c r="F54" s="1587">
        <v>4.0999999999999996</v>
      </c>
      <c r="G54" s="1593" t="s">
        <v>7640</v>
      </c>
      <c r="H54" s="1594">
        <v>1</v>
      </c>
      <c r="I54" s="1595" t="s">
        <v>7644</v>
      </c>
      <c r="J54" s="1596"/>
      <c r="K54" s="1597"/>
      <c r="L54" s="1596"/>
      <c r="M54" s="1598"/>
      <c r="N54" s="1599"/>
      <c r="O54" s="1598"/>
      <c r="W54" t="s">
        <v>6997</v>
      </c>
    </row>
    <row r="55" spans="2:23" hidden="1">
      <c r="B55" s="1585">
        <v>21</v>
      </c>
      <c r="C55" s="1586" t="s">
        <v>6976</v>
      </c>
      <c r="D55" s="1586" t="s">
        <v>114</v>
      </c>
      <c r="E55" s="1586" t="s">
        <v>1609</v>
      </c>
      <c r="F55" s="1587">
        <v>4.0999999999999996</v>
      </c>
      <c r="G55" s="1593" t="s">
        <v>7640</v>
      </c>
      <c r="H55" s="1594">
        <v>1</v>
      </c>
      <c r="I55" s="1595" t="s">
        <v>7644</v>
      </c>
      <c r="J55" s="1596"/>
      <c r="K55" s="1597"/>
      <c r="L55" s="1596"/>
      <c r="M55" s="1598"/>
      <c r="N55" s="1599"/>
      <c r="O55" s="1598"/>
      <c r="W55" t="s">
        <v>6998</v>
      </c>
    </row>
    <row r="56" spans="2:23" hidden="1">
      <c r="B56" s="1585">
        <v>22</v>
      </c>
      <c r="C56" s="1586" t="s">
        <v>6976</v>
      </c>
      <c r="D56" s="1586" t="s">
        <v>1610</v>
      </c>
      <c r="E56" s="1586" t="s">
        <v>1611</v>
      </c>
      <c r="F56" s="1587">
        <v>4.0999999999999996</v>
      </c>
      <c r="G56" s="1593" t="s">
        <v>7640</v>
      </c>
      <c r="H56" s="1594">
        <v>1</v>
      </c>
      <c r="I56" s="1595" t="s">
        <v>7644</v>
      </c>
      <c r="J56" s="1596"/>
      <c r="K56" s="1597"/>
      <c r="L56" s="1596"/>
      <c r="M56" s="1598"/>
      <c r="N56" s="1599"/>
      <c r="O56" s="1598"/>
      <c r="W56" t="s">
        <v>6999</v>
      </c>
    </row>
    <row r="57" spans="2:23" hidden="1">
      <c r="B57" s="1585">
        <v>23</v>
      </c>
      <c r="C57" s="1586" t="s">
        <v>6976</v>
      </c>
      <c r="D57" s="1586" t="s">
        <v>1610</v>
      </c>
      <c r="E57" s="1586" t="s">
        <v>1612</v>
      </c>
      <c r="F57" s="1587">
        <v>4.0999999999999996</v>
      </c>
      <c r="G57" s="1593" t="s">
        <v>7640</v>
      </c>
      <c r="H57" s="1594">
        <v>1</v>
      </c>
      <c r="I57" s="1595" t="s">
        <v>7644</v>
      </c>
      <c r="J57" s="1596"/>
      <c r="K57" s="1597"/>
      <c r="L57" s="1596"/>
      <c r="M57" s="1598"/>
      <c r="N57" s="1599"/>
      <c r="O57" s="1598"/>
      <c r="W57" t="s">
        <v>7000</v>
      </c>
    </row>
    <row r="58" spans="2:23" hidden="1">
      <c r="B58" s="1585">
        <v>24</v>
      </c>
      <c r="C58" s="1586" t="s">
        <v>6976</v>
      </c>
      <c r="D58" s="1586" t="s">
        <v>115</v>
      </c>
      <c r="E58" s="1586" t="s">
        <v>1613</v>
      </c>
      <c r="F58" s="1587">
        <v>4.0999999999999996</v>
      </c>
      <c r="G58" s="1593" t="s">
        <v>7640</v>
      </c>
      <c r="H58" s="1594">
        <v>1</v>
      </c>
      <c r="I58" s="1595" t="s">
        <v>7644</v>
      </c>
      <c r="J58" s="1596"/>
      <c r="K58" s="1597"/>
      <c r="L58" s="1596"/>
      <c r="M58" s="1598"/>
      <c r="N58" s="1599"/>
      <c r="O58" s="1598"/>
      <c r="W58" t="s">
        <v>7001</v>
      </c>
    </row>
    <row r="59" spans="2:23" hidden="1">
      <c r="B59" s="1585">
        <v>25</v>
      </c>
      <c r="C59" s="1586" t="s">
        <v>6976</v>
      </c>
      <c r="D59" s="1586" t="s">
        <v>1614</v>
      </c>
      <c r="E59" s="1586" t="s">
        <v>1615</v>
      </c>
      <c r="F59" s="1587">
        <v>4.0999999999999996</v>
      </c>
      <c r="G59" s="1593" t="s">
        <v>7640</v>
      </c>
      <c r="H59" s="1594">
        <v>1</v>
      </c>
      <c r="I59" s="1595" t="s">
        <v>7644</v>
      </c>
      <c r="J59" s="1596"/>
      <c r="K59" s="1597"/>
      <c r="L59" s="1596"/>
      <c r="M59" s="1598"/>
      <c r="N59" s="1599"/>
      <c r="O59" s="1598"/>
      <c r="W59" t="s">
        <v>7002</v>
      </c>
    </row>
    <row r="60" spans="2:23" hidden="1">
      <c r="B60" s="1585">
        <v>26</v>
      </c>
      <c r="C60" s="1586" t="s">
        <v>6976</v>
      </c>
      <c r="D60" s="1586" t="s">
        <v>1614</v>
      </c>
      <c r="E60" s="1586" t="s">
        <v>1616</v>
      </c>
      <c r="F60" s="1587">
        <v>4.0999999999999996</v>
      </c>
      <c r="G60" s="1593" t="s">
        <v>7640</v>
      </c>
      <c r="H60" s="1594">
        <v>1</v>
      </c>
      <c r="I60" s="1595" t="s">
        <v>7644</v>
      </c>
      <c r="J60" s="1596"/>
      <c r="K60" s="1597"/>
      <c r="L60" s="1596"/>
      <c r="M60" s="1598"/>
      <c r="N60" s="1599"/>
      <c r="O60" s="1598"/>
      <c r="W60" t="s">
        <v>7003</v>
      </c>
    </row>
    <row r="61" spans="2:23" hidden="1">
      <c r="B61" s="1585">
        <v>27</v>
      </c>
      <c r="C61" s="1586" t="s">
        <v>6976</v>
      </c>
      <c r="D61" s="1586" t="s">
        <v>1614</v>
      </c>
      <c r="E61" s="1586" t="s">
        <v>1617</v>
      </c>
      <c r="F61" s="1587">
        <v>4.0999999999999996</v>
      </c>
      <c r="G61" s="1593" t="s">
        <v>7640</v>
      </c>
      <c r="H61" s="1594">
        <v>1</v>
      </c>
      <c r="I61" s="1595" t="s">
        <v>7644</v>
      </c>
      <c r="J61" s="1596"/>
      <c r="K61" s="1597"/>
      <c r="L61" s="1596"/>
      <c r="M61" s="1598"/>
      <c r="N61" s="1599"/>
      <c r="O61" s="1598"/>
      <c r="W61" t="s">
        <v>7004</v>
      </c>
    </row>
    <row r="62" spans="2:23" hidden="1">
      <c r="B62" s="1585">
        <v>28</v>
      </c>
      <c r="C62" s="1586" t="s">
        <v>6976</v>
      </c>
      <c r="D62" s="1586" t="s">
        <v>1614</v>
      </c>
      <c r="E62" s="1586" t="s">
        <v>1618</v>
      </c>
      <c r="F62" s="1587">
        <v>4.0999999999999996</v>
      </c>
      <c r="G62" s="1593" t="s">
        <v>7640</v>
      </c>
      <c r="H62" s="1594">
        <v>1</v>
      </c>
      <c r="I62" s="1595" t="s">
        <v>7644</v>
      </c>
      <c r="J62" s="1596"/>
      <c r="K62" s="1597"/>
      <c r="L62" s="1596"/>
      <c r="M62" s="1598"/>
      <c r="N62" s="1599"/>
      <c r="O62" s="1598"/>
      <c r="W62" t="s">
        <v>7005</v>
      </c>
    </row>
    <row r="63" spans="2:23" hidden="1">
      <c r="B63" s="1585">
        <v>29</v>
      </c>
      <c r="C63" s="1586" t="s">
        <v>6976</v>
      </c>
      <c r="D63" s="1586" t="s">
        <v>116</v>
      </c>
      <c r="E63" s="1586" t="s">
        <v>1619</v>
      </c>
      <c r="F63" s="1587">
        <v>4.0999999999999996</v>
      </c>
      <c r="G63" s="1593" t="s">
        <v>7640</v>
      </c>
      <c r="H63" s="1594">
        <v>1</v>
      </c>
      <c r="I63" s="1595" t="s">
        <v>7644</v>
      </c>
      <c r="J63" s="1596"/>
      <c r="K63" s="1597"/>
      <c r="L63" s="1596"/>
      <c r="M63" s="1598"/>
      <c r="N63" s="1599"/>
      <c r="O63" s="1598"/>
      <c r="W63" t="s">
        <v>7006</v>
      </c>
    </row>
    <row r="64" spans="2:23" hidden="1">
      <c r="B64" s="1585">
        <v>30</v>
      </c>
      <c r="C64" s="1586" t="s">
        <v>6976</v>
      </c>
      <c r="D64" s="1586" t="s">
        <v>116</v>
      </c>
      <c r="E64" s="1586" t="s">
        <v>1620</v>
      </c>
      <c r="F64" s="1587">
        <v>4.0999999999999996</v>
      </c>
      <c r="G64" s="1593" t="s">
        <v>7640</v>
      </c>
      <c r="H64" s="1594">
        <v>1</v>
      </c>
      <c r="I64" s="1595" t="s">
        <v>7644</v>
      </c>
      <c r="J64" s="1596"/>
      <c r="K64" s="1597"/>
      <c r="L64" s="1596"/>
      <c r="M64" s="1598"/>
      <c r="N64" s="1599"/>
      <c r="O64" s="1598"/>
      <c r="W64" t="s">
        <v>7007</v>
      </c>
    </row>
    <row r="65" spans="2:23" hidden="1">
      <c r="B65" s="1585">
        <v>31</v>
      </c>
      <c r="C65" s="1586" t="s">
        <v>6976</v>
      </c>
      <c r="D65" s="1586" t="s">
        <v>116</v>
      </c>
      <c r="E65" s="1586" t="s">
        <v>1621</v>
      </c>
      <c r="F65" s="1587">
        <v>4.0999999999999996</v>
      </c>
      <c r="G65" s="1593" t="s">
        <v>7640</v>
      </c>
      <c r="H65" s="1594">
        <v>1</v>
      </c>
      <c r="I65" s="1595" t="s">
        <v>7644</v>
      </c>
      <c r="J65" s="1596"/>
      <c r="K65" s="1597"/>
      <c r="L65" s="1596"/>
      <c r="M65" s="1598"/>
      <c r="N65" s="1599"/>
      <c r="O65" s="1598"/>
      <c r="W65" t="s">
        <v>7008</v>
      </c>
    </row>
    <row r="66" spans="2:23" hidden="1">
      <c r="B66" s="1585">
        <v>32</v>
      </c>
      <c r="C66" s="1586" t="s">
        <v>6976</v>
      </c>
      <c r="D66" s="1586" t="s">
        <v>116</v>
      </c>
      <c r="E66" s="1586" t="s">
        <v>1622</v>
      </c>
      <c r="F66" s="1587">
        <v>4.0999999999999996</v>
      </c>
      <c r="G66" s="1593" t="s">
        <v>7640</v>
      </c>
      <c r="H66" s="1594">
        <v>1</v>
      </c>
      <c r="I66" s="1595" t="s">
        <v>7644</v>
      </c>
      <c r="J66" s="1596"/>
      <c r="K66" s="1597"/>
      <c r="L66" s="1596"/>
      <c r="M66" s="1598"/>
      <c r="N66" s="1599"/>
      <c r="O66" s="1598"/>
      <c r="W66" t="s">
        <v>7009</v>
      </c>
    </row>
    <row r="67" spans="2:23" hidden="1">
      <c r="B67" s="1585">
        <v>33</v>
      </c>
      <c r="C67" s="1586" t="s">
        <v>6976</v>
      </c>
      <c r="D67" s="1586" t="s">
        <v>116</v>
      </c>
      <c r="E67" s="1586" t="s">
        <v>1623</v>
      </c>
      <c r="F67" s="1587">
        <v>4.0999999999999996</v>
      </c>
      <c r="G67" s="1593" t="s">
        <v>7640</v>
      </c>
      <c r="H67" s="1594">
        <v>1</v>
      </c>
      <c r="I67" s="1595" t="s">
        <v>7644</v>
      </c>
      <c r="J67" s="1596"/>
      <c r="K67" s="1597"/>
      <c r="L67" s="1596"/>
      <c r="M67" s="1598"/>
      <c r="N67" s="1599"/>
      <c r="O67" s="1598"/>
      <c r="W67" t="s">
        <v>7010</v>
      </c>
    </row>
    <row r="68" spans="2:23" hidden="1">
      <c r="B68" s="1585">
        <v>34</v>
      </c>
      <c r="C68" s="1586" t="s">
        <v>6976</v>
      </c>
      <c r="D68" s="1586" t="s">
        <v>116</v>
      </c>
      <c r="E68" s="1586" t="s">
        <v>1624</v>
      </c>
      <c r="F68" s="1587">
        <v>4.0999999999999996</v>
      </c>
      <c r="G68" s="1593" t="s">
        <v>7640</v>
      </c>
      <c r="H68" s="1594">
        <v>1</v>
      </c>
      <c r="I68" s="1595" t="s">
        <v>7644</v>
      </c>
      <c r="J68" s="1596"/>
      <c r="K68" s="1597"/>
      <c r="L68" s="1596"/>
      <c r="M68" s="1598"/>
      <c r="N68" s="1599"/>
      <c r="O68" s="1598"/>
      <c r="W68" t="s">
        <v>7011</v>
      </c>
    </row>
    <row r="69" spans="2:23" hidden="1">
      <c r="B69" s="1585">
        <v>35</v>
      </c>
      <c r="C69" s="1586" t="s">
        <v>6976</v>
      </c>
      <c r="D69" s="1586" t="s">
        <v>116</v>
      </c>
      <c r="E69" s="1586" t="s">
        <v>1625</v>
      </c>
      <c r="F69" s="1587">
        <v>4.0999999999999996</v>
      </c>
      <c r="G69" s="1593" t="s">
        <v>7640</v>
      </c>
      <c r="H69" s="1594">
        <v>1</v>
      </c>
      <c r="I69" s="1595" t="s">
        <v>7644</v>
      </c>
      <c r="J69" s="1596"/>
      <c r="K69" s="1597"/>
      <c r="L69" s="1596"/>
      <c r="M69" s="1598"/>
      <c r="N69" s="1599"/>
      <c r="O69" s="1598"/>
      <c r="W69" t="s">
        <v>7012</v>
      </c>
    </row>
    <row r="70" spans="2:23" hidden="1">
      <c r="B70" s="1585">
        <v>36</v>
      </c>
      <c r="C70" s="1586" t="s">
        <v>6976</v>
      </c>
      <c r="D70" s="1586" t="s">
        <v>116</v>
      </c>
      <c r="E70" s="1586" t="s">
        <v>1626</v>
      </c>
      <c r="F70" s="1587">
        <v>4.0999999999999996</v>
      </c>
      <c r="G70" s="1593" t="s">
        <v>7640</v>
      </c>
      <c r="H70" s="1594">
        <v>1</v>
      </c>
      <c r="I70" s="1595" t="s">
        <v>7644</v>
      </c>
      <c r="J70" s="1596"/>
      <c r="K70" s="1597"/>
      <c r="L70" s="1596"/>
      <c r="M70" s="1598"/>
      <c r="N70" s="1599"/>
      <c r="O70" s="1598"/>
      <c r="W70" t="s">
        <v>7013</v>
      </c>
    </row>
    <row r="71" spans="2:23" hidden="1">
      <c r="B71" s="1585">
        <v>37</v>
      </c>
      <c r="C71" s="1586" t="s">
        <v>6976</v>
      </c>
      <c r="D71" s="1586" t="s">
        <v>116</v>
      </c>
      <c r="E71" s="1586" t="s">
        <v>1627</v>
      </c>
      <c r="F71" s="1587">
        <v>4.0999999999999996</v>
      </c>
      <c r="G71" s="1593" t="s">
        <v>7640</v>
      </c>
      <c r="H71" s="1594">
        <v>1</v>
      </c>
      <c r="I71" s="1595" t="s">
        <v>7644</v>
      </c>
      <c r="J71" s="1596"/>
      <c r="K71" s="1597"/>
      <c r="L71" s="1596"/>
      <c r="M71" s="1598"/>
      <c r="N71" s="1599"/>
      <c r="O71" s="1598"/>
      <c r="W71" t="s">
        <v>7014</v>
      </c>
    </row>
    <row r="72" spans="2:23" hidden="1">
      <c r="B72" s="1585">
        <v>38</v>
      </c>
      <c r="C72" s="1586" t="s">
        <v>6976</v>
      </c>
      <c r="D72" s="1586" t="s">
        <v>116</v>
      </c>
      <c r="E72" s="1586" t="s">
        <v>1613</v>
      </c>
      <c r="F72" s="1587">
        <v>4.0999999999999996</v>
      </c>
      <c r="G72" s="1593" t="s">
        <v>7640</v>
      </c>
      <c r="H72" s="1594">
        <v>1</v>
      </c>
      <c r="I72" s="1595" t="s">
        <v>7644</v>
      </c>
      <c r="J72" s="1596"/>
      <c r="K72" s="1597"/>
      <c r="L72" s="1596"/>
      <c r="M72" s="1598"/>
      <c r="N72" s="1599"/>
      <c r="O72" s="1598"/>
      <c r="W72" t="s">
        <v>7015</v>
      </c>
    </row>
    <row r="73" spans="2:23" hidden="1">
      <c r="B73" s="1585">
        <v>39</v>
      </c>
      <c r="C73" s="1586" t="s">
        <v>6976</v>
      </c>
      <c r="D73" s="1586" t="s">
        <v>116</v>
      </c>
      <c r="E73" s="1586" t="s">
        <v>1628</v>
      </c>
      <c r="F73" s="1587">
        <v>4.0999999999999996</v>
      </c>
      <c r="G73" s="1593" t="s">
        <v>7640</v>
      </c>
      <c r="H73" s="1594">
        <v>1</v>
      </c>
      <c r="I73" s="1595" t="s">
        <v>7644</v>
      </c>
      <c r="J73" s="1596"/>
      <c r="K73" s="1597"/>
      <c r="L73" s="1596"/>
      <c r="M73" s="1598"/>
      <c r="N73" s="1599"/>
      <c r="O73" s="1598"/>
      <c r="W73" t="s">
        <v>7016</v>
      </c>
    </row>
    <row r="74" spans="2:23" hidden="1">
      <c r="B74" s="1585">
        <v>40</v>
      </c>
      <c r="C74" s="1586" t="s">
        <v>6976</v>
      </c>
      <c r="D74" s="1586" t="s">
        <v>118</v>
      </c>
      <c r="E74" s="1586" t="s">
        <v>1629</v>
      </c>
      <c r="F74" s="1587">
        <v>4.0999999999999996</v>
      </c>
      <c r="G74" s="1593" t="s">
        <v>7640</v>
      </c>
      <c r="H74" s="1594">
        <v>1</v>
      </c>
      <c r="I74" s="1595" t="s">
        <v>7644</v>
      </c>
      <c r="J74" s="1596"/>
      <c r="K74" s="1597"/>
      <c r="L74" s="1596"/>
      <c r="M74" s="1598"/>
      <c r="N74" s="1599"/>
      <c r="O74" s="1598"/>
      <c r="W74" t="s">
        <v>7017</v>
      </c>
    </row>
    <row r="75" spans="2:23" hidden="1">
      <c r="B75" s="1585">
        <v>41</v>
      </c>
      <c r="C75" s="1586" t="s">
        <v>6976</v>
      </c>
      <c r="D75" s="1586" t="s">
        <v>118</v>
      </c>
      <c r="E75" s="1586" t="s">
        <v>1630</v>
      </c>
      <c r="F75" s="1587">
        <v>4.0999999999999996</v>
      </c>
      <c r="G75" s="1593" t="s">
        <v>7640</v>
      </c>
      <c r="H75" s="1594">
        <v>1</v>
      </c>
      <c r="I75" s="1595" t="s">
        <v>7644</v>
      </c>
      <c r="J75" s="1596"/>
      <c r="K75" s="1597"/>
      <c r="L75" s="1596"/>
      <c r="M75" s="1598"/>
      <c r="N75" s="1599"/>
      <c r="O75" s="1598"/>
      <c r="W75" t="s">
        <v>7018</v>
      </c>
    </row>
    <row r="76" spans="2:23" hidden="1">
      <c r="B76" s="1585">
        <v>42</v>
      </c>
      <c r="C76" s="1586" t="s">
        <v>6976</v>
      </c>
      <c r="D76" s="1586" t="s">
        <v>118</v>
      </c>
      <c r="E76" s="1586" t="s">
        <v>1631</v>
      </c>
      <c r="F76" s="1587">
        <v>4.0999999999999996</v>
      </c>
      <c r="G76" s="1593" t="s">
        <v>7640</v>
      </c>
      <c r="H76" s="1594">
        <v>1</v>
      </c>
      <c r="I76" s="1595" t="s">
        <v>7644</v>
      </c>
      <c r="J76" s="1596"/>
      <c r="K76" s="1597"/>
      <c r="L76" s="1596"/>
      <c r="M76" s="1598"/>
      <c r="N76" s="1599"/>
      <c r="O76" s="1598"/>
      <c r="W76" t="s">
        <v>7019</v>
      </c>
    </row>
    <row r="77" spans="2:23" hidden="1">
      <c r="B77" s="1585">
        <v>43</v>
      </c>
      <c r="C77" s="1586" t="s">
        <v>6976</v>
      </c>
      <c r="D77" s="1586" t="s">
        <v>118</v>
      </c>
      <c r="E77" s="1586" t="s">
        <v>1632</v>
      </c>
      <c r="F77" s="1587">
        <v>4.0999999999999996</v>
      </c>
      <c r="G77" s="1593" t="s">
        <v>7640</v>
      </c>
      <c r="H77" s="1594">
        <v>1</v>
      </c>
      <c r="I77" s="1595" t="s">
        <v>7644</v>
      </c>
      <c r="J77" s="1596"/>
      <c r="K77" s="1597"/>
      <c r="L77" s="1596"/>
      <c r="M77" s="1598"/>
      <c r="N77" s="1599"/>
      <c r="O77" s="1598"/>
      <c r="W77" t="s">
        <v>7020</v>
      </c>
    </row>
    <row r="78" spans="2:23" hidden="1">
      <c r="B78" s="1585">
        <v>44</v>
      </c>
      <c r="C78" s="1586" t="s">
        <v>6976</v>
      </c>
      <c r="D78" s="1586" t="s">
        <v>119</v>
      </c>
      <c r="E78" s="1586" t="s">
        <v>1633</v>
      </c>
      <c r="F78" s="1587">
        <v>4.0999999999999996</v>
      </c>
      <c r="G78" s="1593" t="s">
        <v>7640</v>
      </c>
      <c r="H78" s="1594">
        <v>1</v>
      </c>
      <c r="I78" s="1595" t="s">
        <v>7644</v>
      </c>
      <c r="J78" s="1596"/>
      <c r="K78" s="1597"/>
      <c r="L78" s="1596"/>
      <c r="M78" s="1598"/>
      <c r="N78" s="1599"/>
      <c r="O78" s="1598"/>
      <c r="W78" t="s">
        <v>7021</v>
      </c>
    </row>
    <row r="79" spans="2:23" hidden="1">
      <c r="B79" s="1585">
        <v>45</v>
      </c>
      <c r="C79" s="1586" t="s">
        <v>6976</v>
      </c>
      <c r="D79" s="1586" t="s">
        <v>119</v>
      </c>
      <c r="E79" s="1586" t="s">
        <v>1634</v>
      </c>
      <c r="F79" s="1587">
        <v>4.0999999999999996</v>
      </c>
      <c r="G79" s="1593" t="s">
        <v>7640</v>
      </c>
      <c r="H79" s="1594">
        <v>1</v>
      </c>
      <c r="I79" s="1595" t="s">
        <v>7644</v>
      </c>
      <c r="J79" s="1596"/>
      <c r="K79" s="1597"/>
      <c r="L79" s="1596"/>
      <c r="M79" s="1598"/>
      <c r="N79" s="1599"/>
      <c r="O79" s="1598"/>
      <c r="W79" t="s">
        <v>7022</v>
      </c>
    </row>
    <row r="80" spans="2:23" hidden="1">
      <c r="B80" s="1585">
        <v>46</v>
      </c>
      <c r="C80" s="1586" t="s">
        <v>6976</v>
      </c>
      <c r="D80" s="1586" t="s">
        <v>119</v>
      </c>
      <c r="E80" s="1586" t="s">
        <v>1635</v>
      </c>
      <c r="F80" s="1587">
        <v>4.0999999999999996</v>
      </c>
      <c r="G80" s="1593" t="s">
        <v>7640</v>
      </c>
      <c r="H80" s="1594">
        <v>1</v>
      </c>
      <c r="I80" s="1595" t="s">
        <v>7644</v>
      </c>
      <c r="J80" s="1596"/>
      <c r="K80" s="1597"/>
      <c r="L80" s="1596"/>
      <c r="M80" s="1598"/>
      <c r="N80" s="1599"/>
      <c r="O80" s="1598"/>
      <c r="W80" t="s">
        <v>7023</v>
      </c>
    </row>
    <row r="81" spans="2:23" hidden="1">
      <c r="B81" s="1585">
        <v>47</v>
      </c>
      <c r="C81" s="1586" t="s">
        <v>6976</v>
      </c>
      <c r="D81" s="1586" t="s">
        <v>119</v>
      </c>
      <c r="E81" s="1586" t="s">
        <v>1636</v>
      </c>
      <c r="F81" s="1587">
        <v>4.0999999999999996</v>
      </c>
      <c r="G81" s="1593" t="s">
        <v>7640</v>
      </c>
      <c r="H81" s="1594">
        <v>1</v>
      </c>
      <c r="I81" s="1595" t="s">
        <v>7644</v>
      </c>
      <c r="J81" s="1596"/>
      <c r="K81" s="1597"/>
      <c r="L81" s="1596"/>
      <c r="M81" s="1598"/>
      <c r="N81" s="1599"/>
      <c r="O81" s="1598"/>
      <c r="W81" t="s">
        <v>7024</v>
      </c>
    </row>
    <row r="82" spans="2:23" hidden="1">
      <c r="B82" s="1585">
        <v>48</v>
      </c>
      <c r="C82" s="1586" t="s">
        <v>6976</v>
      </c>
      <c r="D82" s="1586" t="s">
        <v>119</v>
      </c>
      <c r="E82" s="1586" t="s">
        <v>1637</v>
      </c>
      <c r="F82" s="1587">
        <v>4.0999999999999996</v>
      </c>
      <c r="G82" s="1593" t="s">
        <v>7640</v>
      </c>
      <c r="H82" s="1594">
        <v>1</v>
      </c>
      <c r="I82" s="1595" t="s">
        <v>7644</v>
      </c>
      <c r="J82" s="1596"/>
      <c r="K82" s="1597"/>
      <c r="L82" s="1596"/>
      <c r="M82" s="1598"/>
      <c r="N82" s="1599"/>
      <c r="O82" s="1598"/>
      <c r="W82" t="s">
        <v>7025</v>
      </c>
    </row>
    <row r="83" spans="2:23" hidden="1">
      <c r="B83" s="1585">
        <v>49</v>
      </c>
      <c r="C83" s="1586" t="s">
        <v>6976</v>
      </c>
      <c r="D83" s="1586" t="s">
        <v>119</v>
      </c>
      <c r="E83" s="1586" t="s">
        <v>1638</v>
      </c>
      <c r="F83" s="1587">
        <v>4.0999999999999996</v>
      </c>
      <c r="G83" s="1593" t="s">
        <v>7640</v>
      </c>
      <c r="H83" s="1594">
        <v>1</v>
      </c>
      <c r="I83" s="1595" t="s">
        <v>7644</v>
      </c>
      <c r="J83" s="1596"/>
      <c r="K83" s="1597"/>
      <c r="L83" s="1596"/>
      <c r="M83" s="1598"/>
      <c r="N83" s="1599"/>
      <c r="O83" s="1598"/>
      <c r="W83" t="s">
        <v>7026</v>
      </c>
    </row>
    <row r="84" spans="2:23" hidden="1">
      <c r="B84" s="1585">
        <v>50</v>
      </c>
      <c r="C84" s="1586" t="s">
        <v>6976</v>
      </c>
      <c r="D84" s="1586" t="s">
        <v>119</v>
      </c>
      <c r="E84" s="1586" t="s">
        <v>1639</v>
      </c>
      <c r="F84" s="1587">
        <v>4.0999999999999996</v>
      </c>
      <c r="G84" s="1593" t="s">
        <v>7640</v>
      </c>
      <c r="H84" s="1594">
        <v>1</v>
      </c>
      <c r="I84" s="1595" t="s">
        <v>7644</v>
      </c>
      <c r="J84" s="1596"/>
      <c r="K84" s="1597"/>
      <c r="L84" s="1596"/>
      <c r="M84" s="1598"/>
      <c r="N84" s="1599"/>
      <c r="O84" s="1598"/>
      <c r="W84" t="s">
        <v>7027</v>
      </c>
    </row>
    <row r="85" spans="2:23" hidden="1">
      <c r="B85" s="1585">
        <v>51</v>
      </c>
      <c r="C85" s="1586" t="s">
        <v>6976</v>
      </c>
      <c r="D85" s="1586" t="s">
        <v>119</v>
      </c>
      <c r="E85" s="1586" t="s">
        <v>1640</v>
      </c>
      <c r="F85" s="1587">
        <v>4.0999999999999996</v>
      </c>
      <c r="G85" s="1593" t="s">
        <v>7640</v>
      </c>
      <c r="H85" s="1594">
        <v>1</v>
      </c>
      <c r="I85" s="1595" t="s">
        <v>7644</v>
      </c>
      <c r="J85" s="1596"/>
      <c r="K85" s="1597"/>
      <c r="L85" s="1596"/>
      <c r="M85" s="1598"/>
      <c r="N85" s="1599"/>
      <c r="O85" s="1598"/>
      <c r="W85" t="s">
        <v>7028</v>
      </c>
    </row>
    <row r="86" spans="2:23" hidden="1">
      <c r="B86" s="1585">
        <v>52</v>
      </c>
      <c r="C86" s="1586" t="s">
        <v>6976</v>
      </c>
      <c r="D86" s="1586" t="s">
        <v>119</v>
      </c>
      <c r="E86" s="1586" t="s">
        <v>1641</v>
      </c>
      <c r="F86" s="1587">
        <v>4.0999999999999996</v>
      </c>
      <c r="G86" s="1593" t="s">
        <v>7640</v>
      </c>
      <c r="H86" s="1594">
        <v>1</v>
      </c>
      <c r="I86" s="1595" t="s">
        <v>7644</v>
      </c>
      <c r="J86" s="1596"/>
      <c r="K86" s="1597"/>
      <c r="L86" s="1596"/>
      <c r="M86" s="1598"/>
      <c r="N86" s="1599"/>
      <c r="O86" s="1598"/>
      <c r="W86" t="s">
        <v>7029</v>
      </c>
    </row>
    <row r="87" spans="2:23" hidden="1">
      <c r="B87" s="1585">
        <v>53</v>
      </c>
      <c r="C87" s="1586" t="s">
        <v>6976</v>
      </c>
      <c r="D87" s="1586" t="s">
        <v>119</v>
      </c>
      <c r="E87" s="1586" t="s">
        <v>1642</v>
      </c>
      <c r="F87" s="1587">
        <v>4.0999999999999996</v>
      </c>
      <c r="G87" s="1593" t="s">
        <v>7640</v>
      </c>
      <c r="H87" s="1594">
        <v>1</v>
      </c>
      <c r="I87" s="1595" t="s">
        <v>7644</v>
      </c>
      <c r="J87" s="1596"/>
      <c r="K87" s="1597"/>
      <c r="L87" s="1596"/>
      <c r="M87" s="1598"/>
      <c r="N87" s="1599"/>
      <c r="O87" s="1598"/>
      <c r="W87" t="s">
        <v>7030</v>
      </c>
    </row>
    <row r="88" spans="2:23" hidden="1">
      <c r="B88" s="1585">
        <v>54</v>
      </c>
      <c r="C88" s="1586" t="s">
        <v>6976</v>
      </c>
      <c r="D88" s="1586" t="s">
        <v>119</v>
      </c>
      <c r="E88" s="1586" t="s">
        <v>1643</v>
      </c>
      <c r="F88" s="1587">
        <v>4.0999999999999996</v>
      </c>
      <c r="G88" s="1593" t="s">
        <v>7640</v>
      </c>
      <c r="H88" s="1594">
        <v>1</v>
      </c>
      <c r="I88" s="1595" t="s">
        <v>7644</v>
      </c>
      <c r="J88" s="1596"/>
      <c r="K88" s="1597"/>
      <c r="L88" s="1596"/>
      <c r="M88" s="1598"/>
      <c r="N88" s="1599"/>
      <c r="O88" s="1598"/>
      <c r="W88" t="s">
        <v>7031</v>
      </c>
    </row>
    <row r="89" spans="2:23" hidden="1">
      <c r="B89" s="1585">
        <v>55</v>
      </c>
      <c r="C89" s="1586" t="s">
        <v>6976</v>
      </c>
      <c r="D89" s="1586" t="s">
        <v>120</v>
      </c>
      <c r="E89" s="1586" t="s">
        <v>136</v>
      </c>
      <c r="F89" s="1587">
        <v>4.0999999999999996</v>
      </c>
      <c r="G89" s="1593" t="s">
        <v>7640</v>
      </c>
      <c r="H89" s="1594">
        <v>1</v>
      </c>
      <c r="I89" s="1595" t="s">
        <v>7644</v>
      </c>
      <c r="J89" s="1596"/>
      <c r="K89" s="1597"/>
      <c r="L89" s="1596"/>
      <c r="M89" s="1598"/>
      <c r="N89" s="1599"/>
      <c r="O89" s="1598"/>
      <c r="W89" t="s">
        <v>7032</v>
      </c>
    </row>
    <row r="90" spans="2:23" hidden="1">
      <c r="B90" s="1585">
        <v>56</v>
      </c>
      <c r="C90" s="1586" t="s">
        <v>6976</v>
      </c>
      <c r="D90" s="1586" t="s">
        <v>120</v>
      </c>
      <c r="E90" s="1586" t="s">
        <v>137</v>
      </c>
      <c r="F90" s="1587">
        <v>4.0999999999999996</v>
      </c>
      <c r="G90" s="1593" t="s">
        <v>7640</v>
      </c>
      <c r="H90" s="1594">
        <v>1</v>
      </c>
      <c r="I90" s="1595" t="s">
        <v>7644</v>
      </c>
      <c r="J90" s="1596"/>
      <c r="K90" s="1597"/>
      <c r="L90" s="1596"/>
      <c r="M90" s="1598"/>
      <c r="N90" s="1599"/>
      <c r="O90" s="1598"/>
      <c r="W90" t="s">
        <v>7033</v>
      </c>
    </row>
    <row r="91" spans="2:23" hidden="1">
      <c r="B91" s="1585">
        <v>57</v>
      </c>
      <c r="C91" s="1586" t="s">
        <v>6976</v>
      </c>
      <c r="D91" s="1586" t="s">
        <v>121</v>
      </c>
      <c r="E91" s="1586" t="s">
        <v>1644</v>
      </c>
      <c r="F91" s="1587">
        <v>4.0999999999999996</v>
      </c>
      <c r="G91" s="1593" t="s">
        <v>7640</v>
      </c>
      <c r="H91" s="1594">
        <v>1</v>
      </c>
      <c r="I91" s="1595" t="s">
        <v>7644</v>
      </c>
      <c r="J91" s="1596"/>
      <c r="K91" s="1597"/>
      <c r="L91" s="1596"/>
      <c r="M91" s="1598"/>
      <c r="N91" s="1599"/>
      <c r="O91" s="1598"/>
      <c r="W91" t="s">
        <v>7034</v>
      </c>
    </row>
    <row r="92" spans="2:23" hidden="1">
      <c r="B92" s="1585">
        <v>58</v>
      </c>
      <c r="C92" s="1586" t="s">
        <v>6976</v>
      </c>
      <c r="D92" s="1586" t="s">
        <v>108</v>
      </c>
      <c r="E92" s="1586" t="s">
        <v>1645</v>
      </c>
      <c r="F92" s="1587">
        <v>4.0999999999999996</v>
      </c>
      <c r="G92" s="1593" t="s">
        <v>7640</v>
      </c>
      <c r="H92" s="1594">
        <v>1</v>
      </c>
      <c r="I92" s="1595" t="s">
        <v>7644</v>
      </c>
      <c r="J92" s="1596"/>
      <c r="K92" s="1597"/>
      <c r="L92" s="1596"/>
      <c r="M92" s="1598"/>
      <c r="N92" s="1599"/>
      <c r="O92" s="1598"/>
      <c r="W92" t="s">
        <v>7035</v>
      </c>
    </row>
    <row r="93" spans="2:23" hidden="1">
      <c r="B93" s="1585">
        <v>59</v>
      </c>
      <c r="C93" s="1586" t="s">
        <v>6976</v>
      </c>
      <c r="D93" s="1586" t="s">
        <v>122</v>
      </c>
      <c r="E93" s="1586" t="s">
        <v>1646</v>
      </c>
      <c r="F93" s="1587">
        <v>4.0999999999999996</v>
      </c>
      <c r="G93" s="1593" t="s">
        <v>7640</v>
      </c>
      <c r="H93" s="1594">
        <v>1</v>
      </c>
      <c r="I93" s="1595" t="s">
        <v>7644</v>
      </c>
      <c r="J93" s="1596"/>
      <c r="K93" s="1597"/>
      <c r="L93" s="1596"/>
      <c r="M93" s="1598"/>
      <c r="N93" s="1599"/>
      <c r="O93" s="1598"/>
      <c r="W93" t="s">
        <v>7036</v>
      </c>
    </row>
    <row r="94" spans="2:23" hidden="1">
      <c r="B94" s="1585">
        <v>60</v>
      </c>
      <c r="C94" s="1586" t="s">
        <v>6976</v>
      </c>
      <c r="D94" s="1586" t="s">
        <v>122</v>
      </c>
      <c r="E94" s="1586" t="s">
        <v>1647</v>
      </c>
      <c r="F94" s="1587">
        <v>4.0999999999999996</v>
      </c>
      <c r="G94" s="1593" t="s">
        <v>7640</v>
      </c>
      <c r="H94" s="1594">
        <v>1</v>
      </c>
      <c r="I94" s="1595" t="s">
        <v>7644</v>
      </c>
      <c r="J94" s="1596"/>
      <c r="K94" s="1597"/>
      <c r="L94" s="1596"/>
      <c r="M94" s="1598"/>
      <c r="N94" s="1599"/>
      <c r="O94" s="1598"/>
      <c r="W94" t="s">
        <v>7037</v>
      </c>
    </row>
    <row r="95" spans="2:23" hidden="1">
      <c r="B95" s="1585">
        <v>61</v>
      </c>
      <c r="C95" s="1586" t="s">
        <v>6976</v>
      </c>
      <c r="D95" s="1586" t="s">
        <v>122</v>
      </c>
      <c r="E95" s="1586" t="s">
        <v>1648</v>
      </c>
      <c r="F95" s="1587">
        <v>4.0999999999999996</v>
      </c>
      <c r="G95" s="1593" t="s">
        <v>7640</v>
      </c>
      <c r="H95" s="1594">
        <v>1</v>
      </c>
      <c r="I95" s="1595" t="s">
        <v>7644</v>
      </c>
      <c r="J95" s="1596"/>
      <c r="K95" s="1597"/>
      <c r="L95" s="1596"/>
      <c r="M95" s="1598"/>
      <c r="N95" s="1599"/>
      <c r="O95" s="1598"/>
      <c r="W95" t="s">
        <v>7038</v>
      </c>
    </row>
    <row r="96" spans="2:23" hidden="1">
      <c r="B96" s="1585">
        <v>62</v>
      </c>
      <c r="C96" s="1586" t="s">
        <v>6976</v>
      </c>
      <c r="D96" s="1586" t="s">
        <v>123</v>
      </c>
      <c r="E96" s="1586" t="s">
        <v>138</v>
      </c>
      <c r="F96" s="1587">
        <v>4.0999999999999996</v>
      </c>
      <c r="G96" s="1593" t="s">
        <v>7640</v>
      </c>
      <c r="H96" s="1594">
        <v>1</v>
      </c>
      <c r="I96" s="1595" t="s">
        <v>7644</v>
      </c>
      <c r="J96" s="1596"/>
      <c r="K96" s="1597"/>
      <c r="L96" s="1596"/>
      <c r="M96" s="1598"/>
      <c r="N96" s="1599"/>
      <c r="O96" s="1598"/>
      <c r="W96" t="s">
        <v>7039</v>
      </c>
    </row>
    <row r="97" spans="2:23" hidden="1">
      <c r="B97" s="1585">
        <v>63</v>
      </c>
      <c r="C97" s="1586" t="s">
        <v>6976</v>
      </c>
      <c r="D97" s="1586" t="s">
        <v>123</v>
      </c>
      <c r="E97" s="1586" t="s">
        <v>139</v>
      </c>
      <c r="F97" s="1587">
        <v>4.0999999999999996</v>
      </c>
      <c r="G97" s="1593" t="s">
        <v>7640</v>
      </c>
      <c r="H97" s="1594">
        <v>1</v>
      </c>
      <c r="I97" s="1595" t="s">
        <v>7644</v>
      </c>
      <c r="J97" s="1596"/>
      <c r="K97" s="1597"/>
      <c r="L97" s="1596"/>
      <c r="M97" s="1598"/>
      <c r="N97" s="1599"/>
      <c r="O97" s="1598"/>
      <c r="W97" t="s">
        <v>7040</v>
      </c>
    </row>
    <row r="98" spans="2:23" hidden="1">
      <c r="B98" s="1585">
        <v>64</v>
      </c>
      <c r="C98" s="1586" t="s">
        <v>6976</v>
      </c>
      <c r="D98" s="1586" t="s">
        <v>124</v>
      </c>
      <c r="E98" s="1586" t="s">
        <v>1649</v>
      </c>
      <c r="F98" s="1587">
        <v>4.0999999999999996</v>
      </c>
      <c r="G98" s="1593" t="s">
        <v>7640</v>
      </c>
      <c r="H98" s="1594">
        <v>1</v>
      </c>
      <c r="I98" s="1595" t="s">
        <v>7644</v>
      </c>
      <c r="J98" s="1596"/>
      <c r="K98" s="1597"/>
      <c r="L98" s="1596"/>
      <c r="M98" s="1598"/>
      <c r="N98" s="1599"/>
      <c r="O98" s="1598"/>
      <c r="W98" t="s">
        <v>7041</v>
      </c>
    </row>
    <row r="99" spans="2:23" hidden="1">
      <c r="B99" s="1585">
        <v>65</v>
      </c>
      <c r="C99" s="1586" t="s">
        <v>6976</v>
      </c>
      <c r="D99" s="1586" t="s">
        <v>124</v>
      </c>
      <c r="E99" s="1586" t="s">
        <v>1650</v>
      </c>
      <c r="F99" s="1587">
        <v>4.0999999999999996</v>
      </c>
      <c r="G99" s="1593" t="s">
        <v>7640</v>
      </c>
      <c r="H99" s="1594">
        <v>1</v>
      </c>
      <c r="I99" s="1595" t="s">
        <v>7644</v>
      </c>
      <c r="J99" s="1596"/>
      <c r="K99" s="1597"/>
      <c r="L99" s="1596"/>
      <c r="M99" s="1598"/>
      <c r="N99" s="1599"/>
      <c r="O99" s="1598"/>
      <c r="W99" t="s">
        <v>7042</v>
      </c>
    </row>
    <row r="100" spans="2:23" hidden="1">
      <c r="B100" s="1585">
        <v>66</v>
      </c>
      <c r="C100" s="1586" t="s">
        <v>6976</v>
      </c>
      <c r="D100" s="1586" t="s">
        <v>124</v>
      </c>
      <c r="E100" s="1586" t="s">
        <v>1651</v>
      </c>
      <c r="F100" s="1587">
        <v>4.0999999999999996</v>
      </c>
      <c r="G100" s="1593" t="s">
        <v>7640</v>
      </c>
      <c r="H100" s="1594">
        <v>1</v>
      </c>
      <c r="I100" s="1595" t="s">
        <v>7644</v>
      </c>
      <c r="J100" s="1596"/>
      <c r="K100" s="1597"/>
      <c r="L100" s="1596"/>
      <c r="M100" s="1598"/>
      <c r="N100" s="1599"/>
      <c r="O100" s="1598"/>
      <c r="W100" t="s">
        <v>7043</v>
      </c>
    </row>
    <row r="101" spans="2:23" hidden="1">
      <c r="B101" s="1585">
        <v>67</v>
      </c>
      <c r="C101" s="1586" t="s">
        <v>6976</v>
      </c>
      <c r="D101" s="1586" t="s">
        <v>125</v>
      </c>
      <c r="E101" s="1586" t="s">
        <v>1652</v>
      </c>
      <c r="F101" s="1587">
        <v>4.0999999999999996</v>
      </c>
      <c r="G101" s="1593" t="s">
        <v>7640</v>
      </c>
      <c r="H101" s="1594">
        <v>1</v>
      </c>
      <c r="I101" s="1595" t="s">
        <v>7644</v>
      </c>
      <c r="J101" s="1596"/>
      <c r="K101" s="1597"/>
      <c r="L101" s="1596"/>
      <c r="M101" s="1598"/>
      <c r="N101" s="1599"/>
      <c r="O101" s="1598"/>
      <c r="W101" t="s">
        <v>7044</v>
      </c>
    </row>
    <row r="102" spans="2:23" hidden="1">
      <c r="B102" s="1585">
        <v>68</v>
      </c>
      <c r="C102" s="1586" t="s">
        <v>6976</v>
      </c>
      <c r="D102" s="1586" t="s">
        <v>125</v>
      </c>
      <c r="E102" s="1586" t="s">
        <v>1653</v>
      </c>
      <c r="F102" s="1587">
        <v>4.0999999999999996</v>
      </c>
      <c r="G102" s="1593" t="s">
        <v>7640</v>
      </c>
      <c r="H102" s="1594">
        <v>1</v>
      </c>
      <c r="I102" s="1595" t="s">
        <v>7644</v>
      </c>
      <c r="J102" s="1596"/>
      <c r="K102" s="1597"/>
      <c r="L102" s="1596"/>
      <c r="M102" s="1598"/>
      <c r="N102" s="1599"/>
      <c r="O102" s="1598"/>
      <c r="W102" t="s">
        <v>7045</v>
      </c>
    </row>
    <row r="103" spans="2:23" hidden="1">
      <c r="B103" s="1585">
        <v>69</v>
      </c>
      <c r="C103" s="1586" t="s">
        <v>6976</v>
      </c>
      <c r="D103" s="1586" t="s">
        <v>109</v>
      </c>
      <c r="E103" s="1586" t="s">
        <v>1654</v>
      </c>
      <c r="F103" s="1587">
        <v>4.0999999999999996</v>
      </c>
      <c r="G103" s="1593" t="s">
        <v>7640</v>
      </c>
      <c r="H103" s="1594">
        <v>1</v>
      </c>
      <c r="I103" s="1595" t="s">
        <v>7644</v>
      </c>
      <c r="J103" s="1596"/>
      <c r="K103" s="1597"/>
      <c r="L103" s="1596"/>
      <c r="M103" s="1598"/>
      <c r="N103" s="1599"/>
      <c r="O103" s="1598"/>
      <c r="W103" t="s">
        <v>7046</v>
      </c>
    </row>
    <row r="104" spans="2:23" hidden="1">
      <c r="B104" s="1585">
        <v>70</v>
      </c>
      <c r="C104" s="1586" t="s">
        <v>6976</v>
      </c>
      <c r="D104" s="1586" t="s">
        <v>126</v>
      </c>
      <c r="E104" s="1586" t="s">
        <v>1655</v>
      </c>
      <c r="F104" s="1587">
        <v>4.0999999999999996</v>
      </c>
      <c r="G104" s="1593" t="s">
        <v>7640</v>
      </c>
      <c r="H104" s="1594">
        <v>1</v>
      </c>
      <c r="I104" s="1595" t="s">
        <v>7644</v>
      </c>
      <c r="J104" s="1596"/>
      <c r="K104" s="1597"/>
      <c r="L104" s="1596"/>
      <c r="M104" s="1598"/>
      <c r="N104" s="1599"/>
      <c r="O104" s="1598"/>
      <c r="W104" t="s">
        <v>7047</v>
      </c>
    </row>
    <row r="105" spans="2:23" hidden="1">
      <c r="B105" s="1585">
        <v>71</v>
      </c>
      <c r="C105" s="1586" t="s">
        <v>6976</v>
      </c>
      <c r="D105" s="1586" t="s">
        <v>126</v>
      </c>
      <c r="E105" s="1586" t="s">
        <v>1656</v>
      </c>
      <c r="F105" s="1587">
        <v>4.0999999999999996</v>
      </c>
      <c r="G105" s="1593" t="s">
        <v>7640</v>
      </c>
      <c r="H105" s="1594">
        <v>1</v>
      </c>
      <c r="I105" s="1595" t="s">
        <v>7644</v>
      </c>
      <c r="J105" s="1596"/>
      <c r="K105" s="1597"/>
      <c r="L105" s="1596"/>
      <c r="M105" s="1598"/>
      <c r="N105" s="1599"/>
      <c r="O105" s="1598"/>
      <c r="W105" t="s">
        <v>7048</v>
      </c>
    </row>
    <row r="106" spans="2:23" hidden="1">
      <c r="B106" s="1585">
        <v>72</v>
      </c>
      <c r="C106" s="1586" t="s">
        <v>6976</v>
      </c>
      <c r="D106" s="1586" t="s">
        <v>117</v>
      </c>
      <c r="E106" s="1586" t="s">
        <v>1657</v>
      </c>
      <c r="F106" s="1587">
        <v>4.0999999999999996</v>
      </c>
      <c r="G106" s="1593" t="s">
        <v>7640</v>
      </c>
      <c r="H106" s="1594">
        <v>1</v>
      </c>
      <c r="I106" s="1595" t="s">
        <v>7644</v>
      </c>
      <c r="J106" s="1596"/>
      <c r="K106" s="1597"/>
      <c r="L106" s="1596"/>
      <c r="M106" s="1598"/>
      <c r="N106" s="1599"/>
      <c r="O106" s="1598"/>
      <c r="W106" t="s">
        <v>7049</v>
      </c>
    </row>
    <row r="107" spans="2:23" hidden="1">
      <c r="B107" s="1585">
        <v>73</v>
      </c>
      <c r="C107" s="1586" t="s">
        <v>6976</v>
      </c>
      <c r="D107" s="1586" t="s">
        <v>127</v>
      </c>
      <c r="E107" s="1586" t="s">
        <v>1658</v>
      </c>
      <c r="F107" s="1587">
        <v>4.0999999999999996</v>
      </c>
      <c r="G107" s="1593" t="s">
        <v>7640</v>
      </c>
      <c r="H107" s="1594">
        <v>1</v>
      </c>
      <c r="I107" s="1595" t="s">
        <v>7644</v>
      </c>
      <c r="J107" s="1596"/>
      <c r="K107" s="1597"/>
      <c r="L107" s="1596"/>
      <c r="M107" s="1598"/>
      <c r="N107" s="1599"/>
      <c r="O107" s="1598"/>
      <c r="W107" t="s">
        <v>7050</v>
      </c>
    </row>
    <row r="108" spans="2:23" hidden="1">
      <c r="B108" s="1585">
        <v>74</v>
      </c>
      <c r="C108" s="1586" t="s">
        <v>6976</v>
      </c>
      <c r="D108" s="1586" t="s">
        <v>127</v>
      </c>
      <c r="E108" s="1586" t="s">
        <v>1659</v>
      </c>
      <c r="F108" s="1587">
        <v>4.0999999999999996</v>
      </c>
      <c r="G108" s="1593" t="s">
        <v>7640</v>
      </c>
      <c r="H108" s="1594">
        <v>1</v>
      </c>
      <c r="I108" s="1595" t="s">
        <v>7644</v>
      </c>
      <c r="J108" s="1596"/>
      <c r="K108" s="1597"/>
      <c r="L108" s="1596"/>
      <c r="M108" s="1598"/>
      <c r="N108" s="1599"/>
      <c r="O108" s="1598"/>
      <c r="W108" t="s">
        <v>7051</v>
      </c>
    </row>
    <row r="109" spans="2:23" hidden="1">
      <c r="B109" s="1585">
        <v>75</v>
      </c>
      <c r="C109" s="1586" t="s">
        <v>6976</v>
      </c>
      <c r="D109" s="1586" t="s">
        <v>127</v>
      </c>
      <c r="E109" s="1586" t="s">
        <v>1660</v>
      </c>
      <c r="F109" s="1587">
        <v>4.0999999999999996</v>
      </c>
      <c r="G109" s="1593" t="s">
        <v>7640</v>
      </c>
      <c r="H109" s="1594">
        <v>1</v>
      </c>
      <c r="I109" s="1595" t="s">
        <v>7644</v>
      </c>
      <c r="J109" s="1596"/>
      <c r="K109" s="1597"/>
      <c r="L109" s="1596"/>
      <c r="M109" s="1598"/>
      <c r="N109" s="1599"/>
      <c r="O109" s="1598"/>
      <c r="W109" t="s">
        <v>7052</v>
      </c>
    </row>
    <row r="110" spans="2:23" hidden="1">
      <c r="B110" s="1585">
        <v>76</v>
      </c>
      <c r="C110" s="1586" t="s">
        <v>6976</v>
      </c>
      <c r="D110" s="1586" t="s">
        <v>127</v>
      </c>
      <c r="E110" s="1586" t="s">
        <v>1661</v>
      </c>
      <c r="F110" s="1587">
        <v>4.0999999999999996</v>
      </c>
      <c r="G110" s="1593" t="s">
        <v>7640</v>
      </c>
      <c r="H110" s="1594">
        <v>1</v>
      </c>
      <c r="I110" s="1595" t="s">
        <v>7644</v>
      </c>
      <c r="J110" s="1596"/>
      <c r="K110" s="1597"/>
      <c r="L110" s="1596"/>
      <c r="M110" s="1598"/>
      <c r="N110" s="1599"/>
      <c r="O110" s="1598"/>
      <c r="W110" t="s">
        <v>7053</v>
      </c>
    </row>
    <row r="111" spans="2:23" hidden="1">
      <c r="B111" s="1585">
        <v>77</v>
      </c>
      <c r="C111" s="1586" t="s">
        <v>6976</v>
      </c>
      <c r="D111" s="1586" t="s">
        <v>127</v>
      </c>
      <c r="E111" s="1586" t="s">
        <v>1662</v>
      </c>
      <c r="F111" s="1587">
        <v>4.0999999999999996</v>
      </c>
      <c r="G111" s="1593" t="s">
        <v>7640</v>
      </c>
      <c r="H111" s="1594">
        <v>1</v>
      </c>
      <c r="I111" s="1595" t="s">
        <v>7644</v>
      </c>
      <c r="J111" s="1596"/>
      <c r="K111" s="1597"/>
      <c r="L111" s="1596"/>
      <c r="M111" s="1598"/>
      <c r="N111" s="1599"/>
      <c r="O111" s="1598"/>
      <c r="W111" t="s">
        <v>7054</v>
      </c>
    </row>
    <row r="112" spans="2:23" hidden="1">
      <c r="B112" s="1585">
        <v>78</v>
      </c>
      <c r="C112" s="1586" t="s">
        <v>6976</v>
      </c>
      <c r="D112" s="1586" t="s">
        <v>127</v>
      </c>
      <c r="E112" s="1586" t="s">
        <v>1663</v>
      </c>
      <c r="F112" s="1587">
        <v>4.0999999999999996</v>
      </c>
      <c r="G112" s="1593" t="s">
        <v>7640</v>
      </c>
      <c r="H112" s="1594">
        <v>1</v>
      </c>
      <c r="I112" s="1595" t="s">
        <v>7644</v>
      </c>
      <c r="J112" s="1596"/>
      <c r="K112" s="1597"/>
      <c r="L112" s="1596"/>
      <c r="M112" s="1598"/>
      <c r="N112" s="1599"/>
      <c r="O112" s="1598"/>
      <c r="W112" t="s">
        <v>7055</v>
      </c>
    </row>
    <row r="113" spans="2:23" hidden="1">
      <c r="B113" s="1585">
        <v>79</v>
      </c>
      <c r="C113" s="1586" t="s">
        <v>6976</v>
      </c>
      <c r="D113" s="1586" t="s">
        <v>127</v>
      </c>
      <c r="E113" s="1586" t="s">
        <v>1664</v>
      </c>
      <c r="F113" s="1587">
        <v>4.0999999999999996</v>
      </c>
      <c r="G113" s="1593" t="s">
        <v>7640</v>
      </c>
      <c r="H113" s="1594">
        <v>1</v>
      </c>
      <c r="I113" s="1595" t="s">
        <v>7644</v>
      </c>
      <c r="J113" s="1596"/>
      <c r="K113" s="1597"/>
      <c r="L113" s="1596"/>
      <c r="M113" s="1598"/>
      <c r="N113" s="1599"/>
      <c r="O113" s="1598"/>
      <c r="W113" t="s">
        <v>7056</v>
      </c>
    </row>
    <row r="114" spans="2:23" hidden="1">
      <c r="B114" s="1585">
        <v>80</v>
      </c>
      <c r="C114" s="1586" t="s">
        <v>6976</v>
      </c>
      <c r="D114" s="1586" t="s">
        <v>128</v>
      </c>
      <c r="E114" s="1586" t="s">
        <v>1665</v>
      </c>
      <c r="F114" s="1587">
        <v>4.0999999999999996</v>
      </c>
      <c r="G114" s="1593" t="s">
        <v>7640</v>
      </c>
      <c r="H114" s="1594">
        <v>1</v>
      </c>
      <c r="I114" s="1595" t="s">
        <v>7644</v>
      </c>
      <c r="J114" s="1596"/>
      <c r="K114" s="1597"/>
      <c r="L114" s="1596"/>
      <c r="M114" s="1598"/>
      <c r="N114" s="1599"/>
      <c r="O114" s="1598"/>
      <c r="W114" t="s">
        <v>7057</v>
      </c>
    </row>
    <row r="115" spans="2:23" hidden="1">
      <c r="B115" s="1585">
        <v>81</v>
      </c>
      <c r="C115" s="1586" t="s">
        <v>6976</v>
      </c>
      <c r="D115" s="1586" t="s">
        <v>1666</v>
      </c>
      <c r="E115" s="1586" t="s">
        <v>1666</v>
      </c>
      <c r="F115" s="1587">
        <v>4.0999999999999996</v>
      </c>
      <c r="G115" s="1593" t="s">
        <v>7640</v>
      </c>
      <c r="H115" s="1594">
        <v>1</v>
      </c>
      <c r="I115" s="1595" t="s">
        <v>7644</v>
      </c>
      <c r="J115" s="1596"/>
      <c r="K115" s="1597"/>
      <c r="L115" s="1596"/>
      <c r="M115" s="1598"/>
      <c r="N115" s="1599"/>
      <c r="O115" s="1598"/>
      <c r="W115" t="s">
        <v>7058</v>
      </c>
    </row>
    <row r="116" spans="2:23" hidden="1">
      <c r="B116" s="1585">
        <v>82</v>
      </c>
      <c r="C116" s="1586" t="s">
        <v>6976</v>
      </c>
      <c r="D116" s="1586" t="s">
        <v>7645</v>
      </c>
      <c r="E116" s="1586" t="s">
        <v>1140</v>
      </c>
      <c r="F116" s="1587">
        <v>4.0999999999999996</v>
      </c>
      <c r="G116" s="1593" t="s">
        <v>7640</v>
      </c>
      <c r="H116" s="1594">
        <v>1</v>
      </c>
      <c r="I116" s="1595" t="s">
        <v>7644</v>
      </c>
      <c r="J116" s="1596"/>
      <c r="K116" s="1597"/>
      <c r="L116" s="1596"/>
      <c r="M116" s="1598"/>
      <c r="N116" s="1599"/>
      <c r="O116" s="1598"/>
      <c r="W116" t="s">
        <v>7646</v>
      </c>
    </row>
    <row r="117" spans="2:23" hidden="1">
      <c r="B117" s="1585">
        <v>83</v>
      </c>
      <c r="C117" s="1586" t="s">
        <v>6976</v>
      </c>
      <c r="D117" s="1586" t="s">
        <v>129</v>
      </c>
      <c r="E117" s="1586" t="s">
        <v>1667</v>
      </c>
      <c r="F117" s="1587">
        <v>4.0999999999999996</v>
      </c>
      <c r="G117" s="1593" t="s">
        <v>7640</v>
      </c>
      <c r="H117" s="1594">
        <v>1</v>
      </c>
      <c r="I117" s="1595" t="s">
        <v>7644</v>
      </c>
      <c r="J117" s="1596"/>
      <c r="K117" s="1597"/>
      <c r="L117" s="1596"/>
      <c r="M117" s="1598"/>
      <c r="N117" s="1599"/>
      <c r="O117" s="1598"/>
      <c r="W117" t="s">
        <v>7059</v>
      </c>
    </row>
    <row r="118" spans="2:23" hidden="1">
      <c r="B118" s="1585">
        <v>84</v>
      </c>
      <c r="C118" s="1586" t="s">
        <v>6976</v>
      </c>
      <c r="D118" s="1586" t="s">
        <v>129</v>
      </c>
      <c r="E118" s="1586" t="s">
        <v>1668</v>
      </c>
      <c r="F118" s="1587">
        <v>4.0999999999999996</v>
      </c>
      <c r="G118" s="1593" t="s">
        <v>7640</v>
      </c>
      <c r="H118" s="1594">
        <v>1</v>
      </c>
      <c r="I118" s="1595" t="s">
        <v>7644</v>
      </c>
      <c r="J118" s="1596"/>
      <c r="K118" s="1597"/>
      <c r="L118" s="1596"/>
      <c r="M118" s="1598"/>
      <c r="N118" s="1599"/>
      <c r="O118" s="1598"/>
      <c r="W118" t="s">
        <v>7060</v>
      </c>
    </row>
    <row r="119" spans="2:23" hidden="1">
      <c r="B119" s="1585">
        <v>85</v>
      </c>
      <c r="C119" s="1586" t="s">
        <v>6976</v>
      </c>
      <c r="D119" s="1586" t="s">
        <v>129</v>
      </c>
      <c r="E119" s="1586" t="s">
        <v>1606</v>
      </c>
      <c r="F119" s="1587">
        <v>4.0999999999999996</v>
      </c>
      <c r="G119" s="1593" t="s">
        <v>7640</v>
      </c>
      <c r="H119" s="1594">
        <v>1</v>
      </c>
      <c r="I119" s="1595" t="s">
        <v>7644</v>
      </c>
      <c r="J119" s="1596"/>
      <c r="K119" s="1597"/>
      <c r="L119" s="1596"/>
      <c r="M119" s="1598"/>
      <c r="N119" s="1599"/>
      <c r="O119" s="1598"/>
      <c r="W119" t="s">
        <v>7061</v>
      </c>
    </row>
    <row r="120" spans="2:23" hidden="1">
      <c r="B120" s="1585">
        <v>86</v>
      </c>
      <c r="C120" s="1586" t="s">
        <v>6976</v>
      </c>
      <c r="D120" s="1586" t="s">
        <v>130</v>
      </c>
      <c r="E120" s="1586" t="s">
        <v>1669</v>
      </c>
      <c r="F120" s="1587">
        <v>4.0999999999999996</v>
      </c>
      <c r="G120" s="1593" t="s">
        <v>7640</v>
      </c>
      <c r="H120" s="1594">
        <v>1</v>
      </c>
      <c r="I120" s="1595" t="s">
        <v>7644</v>
      </c>
      <c r="J120" s="1596"/>
      <c r="K120" s="1597"/>
      <c r="L120" s="1596"/>
      <c r="M120" s="1598"/>
      <c r="N120" s="1599"/>
      <c r="O120" s="1598"/>
      <c r="W120" t="s">
        <v>7062</v>
      </c>
    </row>
    <row r="121" spans="2:23" hidden="1">
      <c r="B121" s="1585">
        <v>87</v>
      </c>
      <c r="C121" s="1586" t="s">
        <v>6976</v>
      </c>
      <c r="D121" s="1586" t="s">
        <v>130</v>
      </c>
      <c r="E121" s="1586" t="s">
        <v>1670</v>
      </c>
      <c r="F121" s="1587">
        <v>4.0999999999999996</v>
      </c>
      <c r="G121" s="1593" t="s">
        <v>7640</v>
      </c>
      <c r="H121" s="1594">
        <v>1</v>
      </c>
      <c r="I121" s="1595" t="s">
        <v>7644</v>
      </c>
      <c r="J121" s="1596"/>
      <c r="K121" s="1597"/>
      <c r="L121" s="1596"/>
      <c r="M121" s="1598"/>
      <c r="N121" s="1599"/>
      <c r="O121" s="1598"/>
      <c r="W121" t="s">
        <v>7063</v>
      </c>
    </row>
    <row r="122" spans="2:23" hidden="1">
      <c r="B122" s="1585">
        <v>88</v>
      </c>
      <c r="C122" s="1586" t="s">
        <v>6976</v>
      </c>
      <c r="D122" s="1586" t="s">
        <v>130</v>
      </c>
      <c r="E122" s="1586" t="s">
        <v>1671</v>
      </c>
      <c r="F122" s="1587">
        <v>4.0999999999999996</v>
      </c>
      <c r="G122" s="1593" t="s">
        <v>7640</v>
      </c>
      <c r="H122" s="1594">
        <v>1</v>
      </c>
      <c r="I122" s="1595" t="s">
        <v>7644</v>
      </c>
      <c r="J122" s="1596"/>
      <c r="K122" s="1597"/>
      <c r="L122" s="1596"/>
      <c r="M122" s="1598"/>
      <c r="N122" s="1599"/>
      <c r="O122" s="1598"/>
      <c r="W122" t="s">
        <v>7064</v>
      </c>
    </row>
    <row r="123" spans="2:23" hidden="1">
      <c r="B123" s="1585">
        <v>89</v>
      </c>
      <c r="C123" s="1586" t="s">
        <v>6976</v>
      </c>
      <c r="D123" s="1586" t="s">
        <v>130</v>
      </c>
      <c r="E123" s="1586" t="s">
        <v>1672</v>
      </c>
      <c r="F123" s="1587">
        <v>4.0999999999999996</v>
      </c>
      <c r="G123" s="1593" t="s">
        <v>7640</v>
      </c>
      <c r="H123" s="1594">
        <v>1</v>
      </c>
      <c r="I123" s="1595" t="s">
        <v>7644</v>
      </c>
      <c r="J123" s="1596"/>
      <c r="K123" s="1597"/>
      <c r="L123" s="1596"/>
      <c r="M123" s="1598"/>
      <c r="N123" s="1599"/>
      <c r="O123" s="1598"/>
      <c r="W123" t="s">
        <v>7065</v>
      </c>
    </row>
    <row r="124" spans="2:23" hidden="1">
      <c r="B124" s="1585">
        <v>90</v>
      </c>
      <c r="C124" s="1586" t="s">
        <v>6976</v>
      </c>
      <c r="D124" s="1586" t="s">
        <v>130</v>
      </c>
      <c r="E124" s="1586" t="s">
        <v>1673</v>
      </c>
      <c r="F124" s="1587">
        <v>4.0999999999999996</v>
      </c>
      <c r="G124" s="1593" t="s">
        <v>7640</v>
      </c>
      <c r="H124" s="1594">
        <v>1</v>
      </c>
      <c r="I124" s="1595" t="s">
        <v>7644</v>
      </c>
      <c r="J124" s="1596"/>
      <c r="K124" s="1597"/>
      <c r="L124" s="1596"/>
      <c r="M124" s="1598"/>
      <c r="N124" s="1599"/>
      <c r="O124" s="1598"/>
      <c r="W124" t="s">
        <v>7066</v>
      </c>
    </row>
    <row r="125" spans="2:23" hidden="1">
      <c r="B125" s="1585">
        <v>91</v>
      </c>
      <c r="C125" s="1586" t="s">
        <v>6976</v>
      </c>
      <c r="D125" s="1586" t="s">
        <v>130</v>
      </c>
      <c r="E125" s="1586" t="s">
        <v>1674</v>
      </c>
      <c r="F125" s="1587">
        <v>4.0999999999999996</v>
      </c>
      <c r="G125" s="1593" t="s">
        <v>7640</v>
      </c>
      <c r="H125" s="1594">
        <v>1</v>
      </c>
      <c r="I125" s="1595" t="s">
        <v>7644</v>
      </c>
      <c r="J125" s="1596"/>
      <c r="K125" s="1597"/>
      <c r="L125" s="1596"/>
      <c r="M125" s="1598"/>
      <c r="N125" s="1599"/>
      <c r="O125" s="1598"/>
      <c r="W125" t="s">
        <v>7067</v>
      </c>
    </row>
    <row r="126" spans="2:23" hidden="1">
      <c r="B126" s="1585">
        <v>92</v>
      </c>
      <c r="C126" s="1586" t="s">
        <v>6976</v>
      </c>
      <c r="D126" s="1586" t="s">
        <v>130</v>
      </c>
      <c r="E126" s="1586" t="s">
        <v>1675</v>
      </c>
      <c r="F126" s="1587">
        <v>4.0999999999999996</v>
      </c>
      <c r="G126" s="1593" t="s">
        <v>7640</v>
      </c>
      <c r="H126" s="1594">
        <v>1</v>
      </c>
      <c r="I126" s="1595" t="s">
        <v>7644</v>
      </c>
      <c r="J126" s="1596"/>
      <c r="K126" s="1597"/>
      <c r="L126" s="1596"/>
      <c r="M126" s="1598"/>
      <c r="N126" s="1599"/>
      <c r="O126" s="1598"/>
      <c r="W126" t="s">
        <v>7068</v>
      </c>
    </row>
    <row r="127" spans="2:23" hidden="1">
      <c r="B127" s="1585">
        <v>93</v>
      </c>
      <c r="C127" s="1586" t="s">
        <v>6976</v>
      </c>
      <c r="D127" s="1586" t="s">
        <v>131</v>
      </c>
      <c r="E127" s="1586" t="s">
        <v>1676</v>
      </c>
      <c r="F127" s="1587">
        <v>4.0999999999999996</v>
      </c>
      <c r="G127" s="1593" t="s">
        <v>7640</v>
      </c>
      <c r="H127" s="1594">
        <v>1</v>
      </c>
      <c r="I127" s="1595" t="s">
        <v>7644</v>
      </c>
      <c r="J127" s="1596"/>
      <c r="K127" s="1597"/>
      <c r="L127" s="1596"/>
      <c r="M127" s="1598"/>
      <c r="N127" s="1599"/>
      <c r="O127" s="1598"/>
      <c r="W127" t="s">
        <v>7069</v>
      </c>
    </row>
    <row r="128" spans="2:23" hidden="1">
      <c r="B128" s="1585">
        <v>94</v>
      </c>
      <c r="C128" s="1586" t="s">
        <v>6976</v>
      </c>
      <c r="D128" s="1586" t="s">
        <v>131</v>
      </c>
      <c r="E128" s="1586" t="s">
        <v>1677</v>
      </c>
      <c r="F128" s="1587">
        <v>4.0999999999999996</v>
      </c>
      <c r="G128" s="1593" t="s">
        <v>7640</v>
      </c>
      <c r="H128" s="1594">
        <v>1</v>
      </c>
      <c r="I128" s="1595" t="s">
        <v>7644</v>
      </c>
      <c r="J128" s="1596"/>
      <c r="K128" s="1597"/>
      <c r="L128" s="1596"/>
      <c r="M128" s="1598"/>
      <c r="N128" s="1599"/>
      <c r="O128" s="1598"/>
      <c r="W128" t="s">
        <v>7070</v>
      </c>
    </row>
    <row r="129" spans="2:23" hidden="1">
      <c r="B129" s="1585">
        <v>95</v>
      </c>
      <c r="C129" s="1586" t="s">
        <v>6976</v>
      </c>
      <c r="D129" s="1586" t="s">
        <v>132</v>
      </c>
      <c r="E129" s="1586" t="s">
        <v>1678</v>
      </c>
      <c r="F129" s="1587">
        <v>4.0999999999999996</v>
      </c>
      <c r="G129" s="1593" t="s">
        <v>7640</v>
      </c>
      <c r="H129" s="1594">
        <v>1</v>
      </c>
      <c r="I129" s="1595" t="s">
        <v>7644</v>
      </c>
      <c r="J129" s="1596"/>
      <c r="K129" s="1597"/>
      <c r="L129" s="1596"/>
      <c r="M129" s="1598"/>
      <c r="N129" s="1599"/>
      <c r="O129" s="1598"/>
      <c r="W129" t="s">
        <v>7071</v>
      </c>
    </row>
    <row r="130" spans="2:23" hidden="1">
      <c r="B130" s="1585">
        <v>96</v>
      </c>
      <c r="C130" s="1586" t="s">
        <v>6976</v>
      </c>
      <c r="D130" s="1586" t="s">
        <v>132</v>
      </c>
      <c r="E130" s="1586" t="s">
        <v>1679</v>
      </c>
      <c r="F130" s="1587">
        <v>4.0999999999999996</v>
      </c>
      <c r="G130" s="1593" t="s">
        <v>7640</v>
      </c>
      <c r="H130" s="1594">
        <v>1</v>
      </c>
      <c r="I130" s="1595" t="s">
        <v>7644</v>
      </c>
      <c r="J130" s="1596"/>
      <c r="K130" s="1597"/>
      <c r="L130" s="1596"/>
      <c r="M130" s="1598"/>
      <c r="N130" s="1599"/>
      <c r="O130" s="1598"/>
      <c r="W130" t="s">
        <v>7072</v>
      </c>
    </row>
    <row r="131" spans="2:23" hidden="1">
      <c r="B131" s="1585">
        <v>97</v>
      </c>
      <c r="C131" s="1586" t="s">
        <v>6976</v>
      </c>
      <c r="D131" s="1586" t="s">
        <v>132</v>
      </c>
      <c r="E131" s="1586" t="s">
        <v>1590</v>
      </c>
      <c r="F131" s="1587">
        <v>4.0999999999999996</v>
      </c>
      <c r="G131" s="1593" t="s">
        <v>7640</v>
      </c>
      <c r="H131" s="1594">
        <v>1</v>
      </c>
      <c r="I131" s="1595" t="s">
        <v>7644</v>
      </c>
      <c r="J131" s="1596"/>
      <c r="K131" s="1597"/>
      <c r="L131" s="1596"/>
      <c r="M131" s="1598"/>
      <c r="N131" s="1599"/>
      <c r="O131" s="1598"/>
      <c r="W131" t="s">
        <v>7073</v>
      </c>
    </row>
    <row r="132" spans="2:23" hidden="1">
      <c r="B132" s="1585">
        <v>98</v>
      </c>
      <c r="C132" s="1586" t="s">
        <v>6976</v>
      </c>
      <c r="D132" s="1586" t="s">
        <v>132</v>
      </c>
      <c r="E132" s="1586" t="s">
        <v>1680</v>
      </c>
      <c r="F132" s="1587">
        <v>4.0999999999999996</v>
      </c>
      <c r="G132" s="1593" t="s">
        <v>7640</v>
      </c>
      <c r="H132" s="1594">
        <v>1</v>
      </c>
      <c r="I132" s="1595" t="s">
        <v>7644</v>
      </c>
      <c r="J132" s="1596"/>
      <c r="K132" s="1597"/>
      <c r="L132" s="1596"/>
      <c r="M132" s="1598"/>
      <c r="N132" s="1599"/>
      <c r="O132" s="1598"/>
      <c r="W132" t="s">
        <v>7074</v>
      </c>
    </row>
    <row r="133" spans="2:23" hidden="1">
      <c r="B133" s="1585">
        <v>99</v>
      </c>
      <c r="C133" s="1586" t="s">
        <v>6976</v>
      </c>
      <c r="D133" s="1586" t="s">
        <v>132</v>
      </c>
      <c r="E133" s="1586" t="s">
        <v>1681</v>
      </c>
      <c r="F133" s="1587">
        <v>4.0999999999999996</v>
      </c>
      <c r="G133" s="1593" t="s">
        <v>7640</v>
      </c>
      <c r="H133" s="1594">
        <v>1</v>
      </c>
      <c r="I133" s="1595" t="s">
        <v>7644</v>
      </c>
      <c r="J133" s="1596"/>
      <c r="K133" s="1597"/>
      <c r="L133" s="1596"/>
      <c r="M133" s="1598"/>
      <c r="N133" s="1599"/>
      <c r="O133" s="1598"/>
      <c r="W133" t="s">
        <v>7075</v>
      </c>
    </row>
    <row r="134" spans="2:23" hidden="1">
      <c r="B134" s="1585">
        <v>100</v>
      </c>
      <c r="C134" s="1586" t="s">
        <v>6976</v>
      </c>
      <c r="D134" s="1586" t="s">
        <v>133</v>
      </c>
      <c r="E134" s="1586" t="s">
        <v>140</v>
      </c>
      <c r="F134" s="1587">
        <v>4.4000000000000004</v>
      </c>
      <c r="G134" s="1593" t="s">
        <v>7640</v>
      </c>
      <c r="H134" s="1594">
        <v>1</v>
      </c>
      <c r="I134" s="1595" t="s">
        <v>7644</v>
      </c>
      <c r="J134" s="1596"/>
      <c r="K134" s="1597"/>
      <c r="L134" s="1596"/>
      <c r="M134" s="1598"/>
      <c r="N134" s="1599"/>
      <c r="O134" s="1598"/>
      <c r="W134" t="s">
        <v>7076</v>
      </c>
    </row>
    <row r="135" spans="2:23" hidden="1">
      <c r="B135" s="1585">
        <v>101</v>
      </c>
      <c r="C135" s="1586" t="s">
        <v>6976</v>
      </c>
      <c r="D135" s="1586" t="s">
        <v>133</v>
      </c>
      <c r="E135" s="1586" t="s">
        <v>141</v>
      </c>
      <c r="F135" s="1587">
        <v>4.4000000000000004</v>
      </c>
      <c r="G135" s="1593" t="s">
        <v>7640</v>
      </c>
      <c r="H135" s="1594">
        <v>1</v>
      </c>
      <c r="I135" s="1595" t="s">
        <v>7644</v>
      </c>
      <c r="J135" s="1596"/>
      <c r="K135" s="1597"/>
      <c r="L135" s="1596"/>
      <c r="M135" s="1598"/>
      <c r="N135" s="1599"/>
      <c r="O135" s="1598"/>
      <c r="W135" t="s">
        <v>7077</v>
      </c>
    </row>
    <row r="136" spans="2:23" hidden="1">
      <c r="B136" s="1585">
        <v>102</v>
      </c>
      <c r="C136" s="1586" t="s">
        <v>6976</v>
      </c>
      <c r="D136" s="1586" t="s">
        <v>134</v>
      </c>
      <c r="E136" s="1586" t="s">
        <v>142</v>
      </c>
      <c r="F136" s="1587">
        <v>4.4000000000000004</v>
      </c>
      <c r="G136" s="1593" t="s">
        <v>7640</v>
      </c>
      <c r="H136" s="1594">
        <v>1</v>
      </c>
      <c r="I136" s="1595" t="s">
        <v>7644</v>
      </c>
      <c r="J136" s="1596"/>
      <c r="K136" s="1597"/>
      <c r="L136" s="1596"/>
      <c r="M136" s="1598"/>
      <c r="N136" s="1599"/>
      <c r="O136" s="1598"/>
      <c r="W136" t="s">
        <v>7078</v>
      </c>
    </row>
    <row r="137" spans="2:23" hidden="1">
      <c r="B137" s="1585">
        <v>103</v>
      </c>
      <c r="C137" s="1586" t="s">
        <v>6976</v>
      </c>
      <c r="D137" s="1586" t="s">
        <v>134</v>
      </c>
      <c r="E137" s="1586" t="s">
        <v>143</v>
      </c>
      <c r="F137" s="1587">
        <v>4.4000000000000004</v>
      </c>
      <c r="G137" s="1593" t="s">
        <v>7640</v>
      </c>
      <c r="H137" s="1594">
        <v>1</v>
      </c>
      <c r="I137" s="1595" t="s">
        <v>7644</v>
      </c>
      <c r="J137" s="1596"/>
      <c r="K137" s="1597"/>
      <c r="L137" s="1596"/>
      <c r="M137" s="1598"/>
      <c r="N137" s="1599"/>
      <c r="O137" s="1598"/>
      <c r="W137" t="s">
        <v>7079</v>
      </c>
    </row>
    <row r="138" spans="2:23" hidden="1">
      <c r="B138" s="1585">
        <v>104</v>
      </c>
      <c r="C138" s="1586" t="s">
        <v>6976</v>
      </c>
      <c r="D138" s="1586" t="s">
        <v>134</v>
      </c>
      <c r="E138" s="1586" t="s">
        <v>144</v>
      </c>
      <c r="F138" s="1587">
        <v>4.4000000000000004</v>
      </c>
      <c r="G138" s="1593" t="s">
        <v>7640</v>
      </c>
      <c r="H138" s="1594">
        <v>1</v>
      </c>
      <c r="I138" s="1595" t="s">
        <v>7644</v>
      </c>
      <c r="J138" s="1596"/>
      <c r="K138" s="1597"/>
      <c r="L138" s="1596"/>
      <c r="M138" s="1598"/>
      <c r="N138" s="1599"/>
      <c r="O138" s="1598"/>
      <c r="W138" t="s">
        <v>7080</v>
      </c>
    </row>
    <row r="139" spans="2:23" hidden="1">
      <c r="B139" s="1585">
        <v>105</v>
      </c>
      <c r="C139" s="1586" t="s">
        <v>6976</v>
      </c>
      <c r="D139" s="1586" t="s">
        <v>134</v>
      </c>
      <c r="E139" s="1586" t="s">
        <v>1682</v>
      </c>
      <c r="F139" s="1587">
        <v>4.4000000000000004</v>
      </c>
      <c r="G139" s="1593" t="s">
        <v>7640</v>
      </c>
      <c r="H139" s="1594">
        <v>1</v>
      </c>
      <c r="I139" s="1595" t="s">
        <v>7644</v>
      </c>
      <c r="J139" s="1596"/>
      <c r="K139" s="1597"/>
      <c r="L139" s="1596"/>
      <c r="M139" s="1598"/>
      <c r="N139" s="1599"/>
      <c r="O139" s="1598"/>
      <c r="W139" t="s">
        <v>7081</v>
      </c>
    </row>
    <row r="140" spans="2:23" hidden="1">
      <c r="B140" s="1585">
        <v>106</v>
      </c>
      <c r="C140" s="1586" t="s">
        <v>6976</v>
      </c>
      <c r="D140" s="1586" t="s">
        <v>134</v>
      </c>
      <c r="E140" s="1586" t="s">
        <v>1683</v>
      </c>
      <c r="F140" s="1587">
        <v>4.4000000000000004</v>
      </c>
      <c r="G140" s="1593" t="s">
        <v>7640</v>
      </c>
      <c r="H140" s="1594">
        <v>1</v>
      </c>
      <c r="I140" s="1595" t="s">
        <v>7644</v>
      </c>
      <c r="J140" s="1596"/>
      <c r="K140" s="1597"/>
      <c r="L140" s="1596"/>
      <c r="M140" s="1598"/>
      <c r="N140" s="1599"/>
      <c r="O140" s="1598"/>
      <c r="W140" t="s">
        <v>7082</v>
      </c>
    </row>
    <row r="141" spans="2:23" hidden="1">
      <c r="B141" s="1585">
        <v>107</v>
      </c>
      <c r="C141" s="1586" t="s">
        <v>6976</v>
      </c>
      <c r="D141" s="1586" t="s">
        <v>1684</v>
      </c>
      <c r="E141" s="1586" t="s">
        <v>1140</v>
      </c>
      <c r="F141" s="1587">
        <v>4.4000000000000004</v>
      </c>
      <c r="G141" s="1593" t="s">
        <v>7640</v>
      </c>
      <c r="H141" s="1594">
        <v>1</v>
      </c>
      <c r="I141" s="1595" t="s">
        <v>7644</v>
      </c>
      <c r="J141" s="1596"/>
      <c r="K141" s="1597"/>
      <c r="L141" s="1596"/>
      <c r="M141" s="1598"/>
      <c r="N141" s="1599"/>
      <c r="O141" s="1598"/>
      <c r="W141" t="s">
        <v>7083</v>
      </c>
    </row>
    <row r="142" spans="2:23" hidden="1">
      <c r="B142" s="1585">
        <v>108</v>
      </c>
      <c r="C142" s="1586" t="s">
        <v>6976</v>
      </c>
      <c r="D142" s="1586" t="s">
        <v>1321</v>
      </c>
      <c r="E142" s="1586" t="s">
        <v>1322</v>
      </c>
      <c r="F142" s="1587">
        <v>4.5</v>
      </c>
      <c r="G142" s="1593" t="s">
        <v>7640</v>
      </c>
      <c r="H142" s="1594">
        <v>2</v>
      </c>
      <c r="I142" s="1595" t="s">
        <v>1317</v>
      </c>
      <c r="J142" s="1596" t="s">
        <v>7084</v>
      </c>
      <c r="K142" s="1597">
        <v>4</v>
      </c>
      <c r="L142" s="1596" t="s">
        <v>1317</v>
      </c>
      <c r="M142" s="1598"/>
      <c r="N142" s="1599"/>
      <c r="O142" s="1598"/>
      <c r="W142" t="s">
        <v>7085</v>
      </c>
    </row>
    <row r="143" spans="2:23" hidden="1">
      <c r="B143" s="1585">
        <v>109</v>
      </c>
      <c r="C143" s="1586" t="s">
        <v>6976</v>
      </c>
      <c r="D143" s="1586" t="s">
        <v>1329</v>
      </c>
      <c r="E143" s="1586" t="s">
        <v>1330</v>
      </c>
      <c r="F143" s="1587">
        <v>4.5</v>
      </c>
      <c r="G143" s="1593" t="s">
        <v>7640</v>
      </c>
      <c r="H143" s="1594">
        <v>2</v>
      </c>
      <c r="I143" s="1595" t="s">
        <v>1317</v>
      </c>
      <c r="J143" s="1596" t="s">
        <v>7084</v>
      </c>
      <c r="K143" s="1597">
        <v>4</v>
      </c>
      <c r="L143" s="1596" t="s">
        <v>1317</v>
      </c>
      <c r="M143" s="1598"/>
      <c r="N143" s="1599"/>
      <c r="O143" s="1598"/>
      <c r="W143" t="s">
        <v>7086</v>
      </c>
    </row>
    <row r="144" spans="2:23" hidden="1">
      <c r="B144" s="1585">
        <v>110</v>
      </c>
      <c r="C144" s="1586" t="s">
        <v>6976</v>
      </c>
      <c r="D144" s="1586" t="s">
        <v>1329</v>
      </c>
      <c r="E144" s="1586" t="s">
        <v>1331</v>
      </c>
      <c r="F144" s="1587">
        <v>4.5</v>
      </c>
      <c r="G144" s="1593" t="s">
        <v>7640</v>
      </c>
      <c r="H144" s="1594">
        <v>2</v>
      </c>
      <c r="I144" s="1595" t="s">
        <v>1317</v>
      </c>
      <c r="J144" s="1596" t="s">
        <v>7084</v>
      </c>
      <c r="K144" s="1597">
        <v>4</v>
      </c>
      <c r="L144" s="1596" t="s">
        <v>1317</v>
      </c>
      <c r="M144" s="1598"/>
      <c r="N144" s="1599"/>
      <c r="O144" s="1598"/>
      <c r="W144" t="s">
        <v>7087</v>
      </c>
    </row>
    <row r="145" spans="2:23" hidden="1">
      <c r="B145" s="1585">
        <v>111</v>
      </c>
      <c r="C145" s="1586" t="s">
        <v>6976</v>
      </c>
      <c r="D145" s="1586" t="s">
        <v>1329</v>
      </c>
      <c r="E145" s="1586" t="s">
        <v>1332</v>
      </c>
      <c r="F145" s="1587">
        <v>4.5</v>
      </c>
      <c r="G145" s="1593" t="s">
        <v>7640</v>
      </c>
      <c r="H145" s="1594">
        <v>2</v>
      </c>
      <c r="I145" s="1595" t="s">
        <v>1317</v>
      </c>
      <c r="J145" s="1596" t="s">
        <v>7084</v>
      </c>
      <c r="K145" s="1597">
        <v>4</v>
      </c>
      <c r="L145" s="1596" t="s">
        <v>1317</v>
      </c>
      <c r="M145" s="1598"/>
      <c r="N145" s="1599"/>
      <c r="O145" s="1598"/>
      <c r="W145" t="s">
        <v>7088</v>
      </c>
    </row>
    <row r="146" spans="2:23" hidden="1">
      <c r="B146" s="1585">
        <v>112</v>
      </c>
      <c r="C146" s="1586" t="s">
        <v>6976</v>
      </c>
      <c r="D146" s="1586" t="s">
        <v>1329</v>
      </c>
      <c r="E146" s="1586" t="s">
        <v>1333</v>
      </c>
      <c r="F146" s="1587">
        <v>4.5</v>
      </c>
      <c r="G146" s="1593" t="s">
        <v>7640</v>
      </c>
      <c r="H146" s="1594">
        <v>2</v>
      </c>
      <c r="I146" s="1595" t="s">
        <v>1317</v>
      </c>
      <c r="J146" s="1596" t="s">
        <v>7084</v>
      </c>
      <c r="K146" s="1597">
        <v>4</v>
      </c>
      <c r="L146" s="1596" t="s">
        <v>1317</v>
      </c>
      <c r="M146" s="1598"/>
      <c r="N146" s="1599"/>
      <c r="O146" s="1598"/>
      <c r="W146" t="s">
        <v>7089</v>
      </c>
    </row>
    <row r="147" spans="2:23" hidden="1">
      <c r="B147" s="1585">
        <v>113</v>
      </c>
      <c r="C147" s="1586" t="s">
        <v>6976</v>
      </c>
      <c r="D147" s="1586" t="s">
        <v>1329</v>
      </c>
      <c r="E147" s="1586" t="s">
        <v>1334</v>
      </c>
      <c r="F147" s="1587">
        <v>4.5</v>
      </c>
      <c r="G147" s="1593" t="s">
        <v>7640</v>
      </c>
      <c r="H147" s="1594">
        <v>2</v>
      </c>
      <c r="I147" s="1595" t="s">
        <v>1317</v>
      </c>
      <c r="J147" s="1596" t="s">
        <v>7084</v>
      </c>
      <c r="K147" s="1597">
        <v>4</v>
      </c>
      <c r="L147" s="1596" t="s">
        <v>1317</v>
      </c>
      <c r="M147" s="1598"/>
      <c r="N147" s="1599"/>
      <c r="O147" s="1598"/>
      <c r="W147" t="s">
        <v>7090</v>
      </c>
    </row>
    <row r="148" spans="2:23" hidden="1">
      <c r="B148" s="1585">
        <v>114</v>
      </c>
      <c r="C148" s="1586" t="s">
        <v>6976</v>
      </c>
      <c r="D148" s="1586" t="s">
        <v>1329</v>
      </c>
      <c r="E148" s="1586" t="s">
        <v>1335</v>
      </c>
      <c r="F148" s="1587">
        <v>4.5</v>
      </c>
      <c r="G148" s="1593" t="s">
        <v>7640</v>
      </c>
      <c r="H148" s="1594">
        <v>2</v>
      </c>
      <c r="I148" s="1595" t="s">
        <v>1317</v>
      </c>
      <c r="J148" s="1596" t="s">
        <v>7084</v>
      </c>
      <c r="K148" s="1597">
        <v>4</v>
      </c>
      <c r="L148" s="1596" t="s">
        <v>1317</v>
      </c>
      <c r="M148" s="1598"/>
      <c r="N148" s="1599"/>
      <c r="O148" s="1598"/>
      <c r="W148" t="s">
        <v>7091</v>
      </c>
    </row>
    <row r="149" spans="2:23" hidden="1">
      <c r="B149" s="1585">
        <v>115</v>
      </c>
      <c r="C149" s="1586" t="s">
        <v>6976</v>
      </c>
      <c r="D149" s="1586" t="s">
        <v>1358</v>
      </c>
      <c r="E149" s="1586" t="s">
        <v>1359</v>
      </c>
      <c r="F149" s="1587">
        <v>4.5</v>
      </c>
      <c r="G149" s="1593" t="s">
        <v>7640</v>
      </c>
      <c r="H149" s="1594">
        <v>2</v>
      </c>
      <c r="I149" s="1595" t="s">
        <v>1317</v>
      </c>
      <c r="J149" s="1596" t="s">
        <v>7084</v>
      </c>
      <c r="K149" s="1597">
        <v>4</v>
      </c>
      <c r="L149" s="1596" t="s">
        <v>1317</v>
      </c>
      <c r="M149" s="1598"/>
      <c r="N149" s="1599"/>
      <c r="O149" s="1598"/>
      <c r="W149" t="s">
        <v>7092</v>
      </c>
    </row>
    <row r="150" spans="2:23" hidden="1">
      <c r="B150" s="1585">
        <v>116</v>
      </c>
      <c r="C150" s="1586" t="s">
        <v>6976</v>
      </c>
      <c r="D150" s="1586" t="s">
        <v>1358</v>
      </c>
      <c r="E150" s="1586" t="s">
        <v>1360</v>
      </c>
      <c r="F150" s="1587">
        <v>4.5</v>
      </c>
      <c r="G150" s="1593" t="s">
        <v>7640</v>
      </c>
      <c r="H150" s="1594">
        <v>2</v>
      </c>
      <c r="I150" s="1595" t="s">
        <v>1317</v>
      </c>
      <c r="J150" s="1596" t="s">
        <v>7084</v>
      </c>
      <c r="K150" s="1597">
        <v>4</v>
      </c>
      <c r="L150" s="1596" t="s">
        <v>1317</v>
      </c>
      <c r="M150" s="1598"/>
      <c r="N150" s="1599"/>
      <c r="O150" s="1598"/>
      <c r="W150" t="s">
        <v>7093</v>
      </c>
    </row>
    <row r="151" spans="2:23" hidden="1">
      <c r="B151" s="1585">
        <v>117</v>
      </c>
      <c r="C151" s="1586" t="s">
        <v>6976</v>
      </c>
      <c r="D151" s="1586" t="s">
        <v>1358</v>
      </c>
      <c r="E151" s="1586" t="s">
        <v>1361</v>
      </c>
      <c r="F151" s="1587">
        <v>4.5</v>
      </c>
      <c r="G151" s="1593" t="s">
        <v>7640</v>
      </c>
      <c r="H151" s="1594">
        <v>2</v>
      </c>
      <c r="I151" s="1595" t="s">
        <v>1317</v>
      </c>
      <c r="J151" s="1596" t="s">
        <v>7084</v>
      </c>
      <c r="K151" s="1597">
        <v>4</v>
      </c>
      <c r="L151" s="1596" t="s">
        <v>1317</v>
      </c>
      <c r="M151" s="1598"/>
      <c r="N151" s="1599"/>
      <c r="O151" s="1598"/>
      <c r="W151" t="s">
        <v>7094</v>
      </c>
    </row>
    <row r="152" spans="2:23" hidden="1">
      <c r="B152" s="1585">
        <v>118</v>
      </c>
      <c r="C152" s="1586" t="s">
        <v>6976</v>
      </c>
      <c r="D152" s="1586" t="s">
        <v>1358</v>
      </c>
      <c r="E152" s="1586" t="s">
        <v>1362</v>
      </c>
      <c r="F152" s="1587">
        <v>4.5</v>
      </c>
      <c r="G152" s="1593" t="s">
        <v>7640</v>
      </c>
      <c r="H152" s="1594">
        <v>2</v>
      </c>
      <c r="I152" s="1595" t="s">
        <v>1317</v>
      </c>
      <c r="J152" s="1596" t="s">
        <v>7084</v>
      </c>
      <c r="K152" s="1597">
        <v>4</v>
      </c>
      <c r="L152" s="1596" t="s">
        <v>1317</v>
      </c>
      <c r="M152" s="1598"/>
      <c r="N152" s="1599"/>
      <c r="O152" s="1598"/>
      <c r="W152" t="s">
        <v>7095</v>
      </c>
    </row>
    <row r="153" spans="2:23" hidden="1">
      <c r="B153" s="1585">
        <v>119</v>
      </c>
      <c r="C153" s="1586" t="s">
        <v>6976</v>
      </c>
      <c r="D153" s="1586" t="s">
        <v>1363</v>
      </c>
      <c r="E153" s="1586" t="s">
        <v>1364</v>
      </c>
      <c r="F153" s="1587">
        <v>4.5</v>
      </c>
      <c r="G153" s="1593" t="s">
        <v>7640</v>
      </c>
      <c r="H153" s="1594">
        <v>2</v>
      </c>
      <c r="I153" s="1595" t="s">
        <v>1317</v>
      </c>
      <c r="J153" s="1596" t="s">
        <v>7084</v>
      </c>
      <c r="K153" s="1597">
        <v>4</v>
      </c>
      <c r="L153" s="1596" t="s">
        <v>1317</v>
      </c>
      <c r="M153" s="1598"/>
      <c r="N153" s="1599"/>
      <c r="O153" s="1598"/>
      <c r="W153" t="s">
        <v>7096</v>
      </c>
    </row>
    <row r="154" spans="2:23" hidden="1">
      <c r="B154" s="1585">
        <v>120</v>
      </c>
      <c r="C154" s="1586" t="s">
        <v>6976</v>
      </c>
      <c r="D154" s="1586" t="s">
        <v>1365</v>
      </c>
      <c r="E154" s="1586" t="s">
        <v>1366</v>
      </c>
      <c r="F154" s="1587">
        <v>4.5</v>
      </c>
      <c r="G154" s="1593" t="s">
        <v>7640</v>
      </c>
      <c r="H154" s="1594">
        <v>2</v>
      </c>
      <c r="I154" s="1595" t="s">
        <v>1317</v>
      </c>
      <c r="J154" s="1596" t="s">
        <v>7084</v>
      </c>
      <c r="K154" s="1597">
        <v>4</v>
      </c>
      <c r="L154" s="1596" t="s">
        <v>1317</v>
      </c>
      <c r="M154" s="1598"/>
      <c r="N154" s="1599"/>
      <c r="O154" s="1598"/>
      <c r="W154" t="s">
        <v>7097</v>
      </c>
    </row>
    <row r="155" spans="2:23" hidden="1">
      <c r="B155" s="1585">
        <v>121</v>
      </c>
      <c r="C155" s="1586" t="s">
        <v>6976</v>
      </c>
      <c r="D155" s="1586" t="s">
        <v>181</v>
      </c>
      <c r="E155" s="1586" t="s">
        <v>1140</v>
      </c>
      <c r="F155" s="1587">
        <v>4.5</v>
      </c>
      <c r="G155" s="1593" t="s">
        <v>7640</v>
      </c>
      <c r="H155" s="1594">
        <v>2</v>
      </c>
      <c r="I155" s="1595" t="s">
        <v>1317</v>
      </c>
      <c r="J155" s="1596" t="s">
        <v>7084</v>
      </c>
      <c r="K155" s="1597">
        <v>4</v>
      </c>
      <c r="L155" s="1596" t="s">
        <v>1317</v>
      </c>
      <c r="M155" s="1598"/>
      <c r="N155" s="1599"/>
      <c r="O155" s="1598"/>
      <c r="W155" t="s">
        <v>7098</v>
      </c>
    </row>
    <row r="156" spans="2:23" hidden="1">
      <c r="B156" s="1585">
        <v>122</v>
      </c>
      <c r="C156" s="1586" t="s">
        <v>6976</v>
      </c>
      <c r="D156" s="1586" t="s">
        <v>1373</v>
      </c>
      <c r="E156" s="1586" t="s">
        <v>1446</v>
      </c>
      <c r="F156" s="1587">
        <v>4.5</v>
      </c>
      <c r="G156" s="1593" t="s">
        <v>7640</v>
      </c>
      <c r="H156" s="1594">
        <v>2</v>
      </c>
      <c r="I156" s="1595" t="s">
        <v>1317</v>
      </c>
      <c r="J156" s="1596" t="s">
        <v>7084</v>
      </c>
      <c r="K156" s="1597">
        <v>4</v>
      </c>
      <c r="L156" s="1596" t="s">
        <v>1317</v>
      </c>
      <c r="M156" s="1598"/>
      <c r="N156" s="1599"/>
      <c r="O156" s="1598"/>
      <c r="W156" t="s">
        <v>7099</v>
      </c>
    </row>
    <row r="157" spans="2:23" hidden="1">
      <c r="B157" s="1585">
        <v>123</v>
      </c>
      <c r="C157" s="1586" t="s">
        <v>6976</v>
      </c>
      <c r="D157" s="1586" t="s">
        <v>1373</v>
      </c>
      <c r="E157" s="1586" t="s">
        <v>1745</v>
      </c>
      <c r="F157" s="1587">
        <v>4.5</v>
      </c>
      <c r="G157" s="1593" t="s">
        <v>7640</v>
      </c>
      <c r="H157" s="1594">
        <v>2</v>
      </c>
      <c r="I157" s="1595" t="s">
        <v>1317</v>
      </c>
      <c r="J157" s="1596" t="s">
        <v>7084</v>
      </c>
      <c r="K157" s="1597">
        <v>4</v>
      </c>
      <c r="L157" s="1596" t="s">
        <v>1317</v>
      </c>
      <c r="M157" s="1598"/>
      <c r="N157" s="1599"/>
      <c r="O157" s="1598"/>
      <c r="W157" t="s">
        <v>7100</v>
      </c>
    </row>
    <row r="158" spans="2:23" hidden="1">
      <c r="B158" s="1585">
        <v>124</v>
      </c>
      <c r="C158" s="1586" t="s">
        <v>6976</v>
      </c>
      <c r="D158" s="1586" t="s">
        <v>1396</v>
      </c>
      <c r="E158" s="1586" t="s">
        <v>1397</v>
      </c>
      <c r="F158" s="1587">
        <v>4.5</v>
      </c>
      <c r="G158" s="1593" t="s">
        <v>7640</v>
      </c>
      <c r="H158" s="1594">
        <v>2</v>
      </c>
      <c r="I158" s="1595" t="s">
        <v>1317</v>
      </c>
      <c r="J158" s="1596" t="s">
        <v>7084</v>
      </c>
      <c r="K158" s="1597">
        <v>4</v>
      </c>
      <c r="L158" s="1596" t="s">
        <v>1317</v>
      </c>
      <c r="M158" s="1598"/>
      <c r="N158" s="1599"/>
      <c r="O158" s="1598"/>
      <c r="W158" t="s">
        <v>7101</v>
      </c>
    </row>
    <row r="159" spans="2:23" hidden="1">
      <c r="B159" s="1585">
        <v>125</v>
      </c>
      <c r="C159" s="1586" t="s">
        <v>6976</v>
      </c>
      <c r="D159" s="1586" t="s">
        <v>1318</v>
      </c>
      <c r="E159" s="1586" t="s">
        <v>1403</v>
      </c>
      <c r="F159" s="1587">
        <v>4.7</v>
      </c>
      <c r="G159" s="1593" t="s">
        <v>7640</v>
      </c>
      <c r="H159" s="1594">
        <v>2</v>
      </c>
      <c r="I159" s="1595" t="s">
        <v>1317</v>
      </c>
      <c r="J159" s="1596" t="s">
        <v>7084</v>
      </c>
      <c r="K159" s="1597">
        <v>4</v>
      </c>
      <c r="L159" s="1596" t="s">
        <v>1317</v>
      </c>
      <c r="M159" s="1598"/>
      <c r="N159" s="1599"/>
      <c r="O159" s="1598"/>
      <c r="W159" t="s">
        <v>7102</v>
      </c>
    </row>
    <row r="160" spans="2:23" hidden="1">
      <c r="B160" s="1585">
        <v>126</v>
      </c>
      <c r="C160" s="1586" t="s">
        <v>6976</v>
      </c>
      <c r="D160" s="1586" t="s">
        <v>1849</v>
      </c>
      <c r="E160" s="1586" t="s">
        <v>1746</v>
      </c>
      <c r="F160" s="1587">
        <v>4.7</v>
      </c>
      <c r="G160" s="1593" t="s">
        <v>7640</v>
      </c>
      <c r="H160" s="1594">
        <v>2</v>
      </c>
      <c r="I160" s="1595" t="s">
        <v>1317</v>
      </c>
      <c r="J160" s="1596" t="s">
        <v>7084</v>
      </c>
      <c r="K160" s="1597">
        <v>4</v>
      </c>
      <c r="L160" s="1596" t="s">
        <v>1317</v>
      </c>
      <c r="M160" s="1598"/>
      <c r="N160" s="1599"/>
      <c r="O160" s="1598"/>
      <c r="W160" t="s">
        <v>7103</v>
      </c>
    </row>
    <row r="161" spans="2:23" hidden="1">
      <c r="B161" s="1585">
        <v>127</v>
      </c>
      <c r="C161" s="1586" t="s">
        <v>6976</v>
      </c>
      <c r="D161" s="1586" t="s">
        <v>1320</v>
      </c>
      <c r="E161" s="1586" t="s">
        <v>1404</v>
      </c>
      <c r="F161" s="1587">
        <v>4.7</v>
      </c>
      <c r="G161" s="1593" t="s">
        <v>7640</v>
      </c>
      <c r="H161" s="1594">
        <v>2</v>
      </c>
      <c r="I161" s="1595" t="s">
        <v>1317</v>
      </c>
      <c r="J161" s="1596" t="s">
        <v>7084</v>
      </c>
      <c r="K161" s="1597">
        <v>4</v>
      </c>
      <c r="L161" s="1596" t="s">
        <v>1317</v>
      </c>
      <c r="M161" s="1598"/>
      <c r="N161" s="1599"/>
      <c r="O161" s="1598"/>
      <c r="W161" t="s">
        <v>7104</v>
      </c>
    </row>
    <row r="162" spans="2:23" hidden="1">
      <c r="B162" s="1585">
        <v>128</v>
      </c>
      <c r="C162" s="1586" t="s">
        <v>6976</v>
      </c>
      <c r="D162" s="1586" t="s">
        <v>1320</v>
      </c>
      <c r="E162" s="1586" t="s">
        <v>1405</v>
      </c>
      <c r="F162" s="1587">
        <v>4.7</v>
      </c>
      <c r="G162" s="1593" t="s">
        <v>7640</v>
      </c>
      <c r="H162" s="1594">
        <v>2</v>
      </c>
      <c r="I162" s="1595" t="s">
        <v>1317</v>
      </c>
      <c r="J162" s="1596" t="s">
        <v>7084</v>
      </c>
      <c r="K162" s="1597">
        <v>4</v>
      </c>
      <c r="L162" s="1596" t="s">
        <v>1317</v>
      </c>
      <c r="M162" s="1598"/>
      <c r="N162" s="1599"/>
      <c r="O162" s="1598"/>
      <c r="W162" t="s">
        <v>7105</v>
      </c>
    </row>
    <row r="163" spans="2:23" hidden="1">
      <c r="B163" s="1585">
        <v>129</v>
      </c>
      <c r="C163" s="1586" t="s">
        <v>6976</v>
      </c>
      <c r="D163" s="1586" t="s">
        <v>1320</v>
      </c>
      <c r="E163" s="1586" t="s">
        <v>1406</v>
      </c>
      <c r="F163" s="1587">
        <v>4.7</v>
      </c>
      <c r="G163" s="1593" t="s">
        <v>7640</v>
      </c>
      <c r="H163" s="1594">
        <v>2</v>
      </c>
      <c r="I163" s="1595" t="s">
        <v>1317</v>
      </c>
      <c r="J163" s="1596" t="s">
        <v>7084</v>
      </c>
      <c r="K163" s="1597">
        <v>4</v>
      </c>
      <c r="L163" s="1596" t="s">
        <v>1317</v>
      </c>
      <c r="M163" s="1598"/>
      <c r="N163" s="1599"/>
      <c r="O163" s="1598"/>
      <c r="W163" t="s">
        <v>7106</v>
      </c>
    </row>
    <row r="164" spans="2:23" hidden="1">
      <c r="B164" s="1585">
        <v>130</v>
      </c>
      <c r="C164" s="1586" t="s">
        <v>6976</v>
      </c>
      <c r="D164" s="1586" t="s">
        <v>1407</v>
      </c>
      <c r="E164" s="1586" t="s">
        <v>1408</v>
      </c>
      <c r="F164" s="1587">
        <v>4.7</v>
      </c>
      <c r="G164" s="1593" t="s">
        <v>7640</v>
      </c>
      <c r="H164" s="1594">
        <v>2</v>
      </c>
      <c r="I164" s="1595" t="s">
        <v>1317</v>
      </c>
      <c r="J164" s="1596" t="s">
        <v>7084</v>
      </c>
      <c r="K164" s="1597">
        <v>4</v>
      </c>
      <c r="L164" s="1596" t="s">
        <v>1317</v>
      </c>
      <c r="M164" s="1598"/>
      <c r="N164" s="1599"/>
      <c r="O164" s="1598"/>
      <c r="W164" t="s">
        <v>7107</v>
      </c>
    </row>
    <row r="165" spans="2:23" hidden="1">
      <c r="B165" s="1585">
        <v>131</v>
      </c>
      <c r="C165" s="1586" t="s">
        <v>6976</v>
      </c>
      <c r="D165" s="1586" t="s">
        <v>1323</v>
      </c>
      <c r="E165" s="1586" t="s">
        <v>1409</v>
      </c>
      <c r="F165" s="1587">
        <v>4.7</v>
      </c>
      <c r="G165" s="1593" t="s">
        <v>7640</v>
      </c>
      <c r="H165" s="1594">
        <v>2</v>
      </c>
      <c r="I165" s="1595" t="s">
        <v>1317</v>
      </c>
      <c r="J165" s="1596" t="s">
        <v>7084</v>
      </c>
      <c r="K165" s="1597">
        <v>4</v>
      </c>
      <c r="L165" s="1596" t="s">
        <v>1317</v>
      </c>
      <c r="M165" s="1598"/>
      <c r="N165" s="1599"/>
      <c r="O165" s="1598"/>
      <c r="W165" t="s">
        <v>7108</v>
      </c>
    </row>
    <row r="166" spans="2:23" hidden="1">
      <c r="B166" s="1585">
        <v>132</v>
      </c>
      <c r="C166" s="1586" t="s">
        <v>6976</v>
      </c>
      <c r="D166" s="1586" t="s">
        <v>1323</v>
      </c>
      <c r="E166" s="1586" t="s">
        <v>1410</v>
      </c>
      <c r="F166" s="1587">
        <v>4.7</v>
      </c>
      <c r="G166" s="1593" t="s">
        <v>7640</v>
      </c>
      <c r="H166" s="1594">
        <v>2</v>
      </c>
      <c r="I166" s="1595" t="s">
        <v>1317</v>
      </c>
      <c r="J166" s="1596" t="s">
        <v>7084</v>
      </c>
      <c r="K166" s="1597">
        <v>4</v>
      </c>
      <c r="L166" s="1596" t="s">
        <v>1317</v>
      </c>
      <c r="M166" s="1598"/>
      <c r="N166" s="1599"/>
      <c r="O166" s="1598"/>
      <c r="W166" t="s">
        <v>7109</v>
      </c>
    </row>
    <row r="167" spans="2:23" hidden="1">
      <c r="B167" s="1585">
        <v>133</v>
      </c>
      <c r="C167" s="1586" t="s">
        <v>6976</v>
      </c>
      <c r="D167" s="1586" t="s">
        <v>1323</v>
      </c>
      <c r="E167" s="1586" t="s">
        <v>1411</v>
      </c>
      <c r="F167" s="1587">
        <v>4.7</v>
      </c>
      <c r="G167" s="1593" t="s">
        <v>7640</v>
      </c>
      <c r="H167" s="1594">
        <v>2</v>
      </c>
      <c r="I167" s="1595" t="s">
        <v>1317</v>
      </c>
      <c r="J167" s="1596" t="s">
        <v>7084</v>
      </c>
      <c r="K167" s="1597">
        <v>4</v>
      </c>
      <c r="L167" s="1596" t="s">
        <v>1317</v>
      </c>
      <c r="M167" s="1598"/>
      <c r="N167" s="1599"/>
      <c r="O167" s="1598"/>
      <c r="W167" t="s">
        <v>7110</v>
      </c>
    </row>
    <row r="168" spans="2:23" hidden="1">
      <c r="B168" s="1585">
        <v>134</v>
      </c>
      <c r="C168" s="1586" t="s">
        <v>6976</v>
      </c>
      <c r="D168" s="1586" t="s">
        <v>1412</v>
      </c>
      <c r="E168" s="1586" t="s">
        <v>1413</v>
      </c>
      <c r="F168" s="1587">
        <v>4.7</v>
      </c>
      <c r="G168" s="1593" t="s">
        <v>7640</v>
      </c>
      <c r="H168" s="1594">
        <v>2</v>
      </c>
      <c r="I168" s="1595" t="s">
        <v>1317</v>
      </c>
      <c r="J168" s="1596" t="s">
        <v>7084</v>
      </c>
      <c r="K168" s="1597">
        <v>4</v>
      </c>
      <c r="L168" s="1596" t="s">
        <v>1317</v>
      </c>
      <c r="M168" s="1598"/>
      <c r="N168" s="1599"/>
      <c r="O168" s="1598"/>
      <c r="W168" t="s">
        <v>7111</v>
      </c>
    </row>
    <row r="169" spans="2:23" hidden="1">
      <c r="B169" s="1585">
        <v>135</v>
      </c>
      <c r="C169" s="1586" t="s">
        <v>6976</v>
      </c>
      <c r="D169" s="1586" t="s">
        <v>1324</v>
      </c>
      <c r="E169" s="1586" t="s">
        <v>1325</v>
      </c>
      <c r="F169" s="1587">
        <v>4.7</v>
      </c>
      <c r="G169" s="1593" t="s">
        <v>7640</v>
      </c>
      <c r="H169" s="1594">
        <v>2</v>
      </c>
      <c r="I169" s="1595" t="s">
        <v>1317</v>
      </c>
      <c r="J169" s="1596" t="s">
        <v>7084</v>
      </c>
      <c r="K169" s="1597">
        <v>4</v>
      </c>
      <c r="L169" s="1596" t="s">
        <v>1317</v>
      </c>
      <c r="M169" s="1598"/>
      <c r="N169" s="1599"/>
      <c r="O169" s="1598"/>
      <c r="W169" t="s">
        <v>7112</v>
      </c>
    </row>
    <row r="170" spans="2:23" hidden="1">
      <c r="B170" s="1585">
        <v>136</v>
      </c>
      <c r="C170" s="1586" t="s">
        <v>6976</v>
      </c>
      <c r="D170" s="1586" t="s">
        <v>1414</v>
      </c>
      <c r="E170" s="1586" t="s">
        <v>1415</v>
      </c>
      <c r="F170" s="1587">
        <v>4.7</v>
      </c>
      <c r="G170" s="1593" t="s">
        <v>7640</v>
      </c>
      <c r="H170" s="1594">
        <v>2</v>
      </c>
      <c r="I170" s="1595" t="s">
        <v>1317</v>
      </c>
      <c r="J170" s="1596" t="s">
        <v>7084</v>
      </c>
      <c r="K170" s="1597">
        <v>4</v>
      </c>
      <c r="L170" s="1596" t="s">
        <v>1317</v>
      </c>
      <c r="M170" s="1598"/>
      <c r="N170" s="1599"/>
      <c r="O170" s="1598"/>
      <c r="W170" t="s">
        <v>7113</v>
      </c>
    </row>
    <row r="171" spans="2:23" hidden="1">
      <c r="B171" s="1585">
        <v>137</v>
      </c>
      <c r="C171" s="1586" t="s">
        <v>6976</v>
      </c>
      <c r="D171" s="1586" t="s">
        <v>1416</v>
      </c>
      <c r="E171" s="1586" t="s">
        <v>1417</v>
      </c>
      <c r="F171" s="1587">
        <v>4.7</v>
      </c>
      <c r="G171" s="1593" t="s">
        <v>7640</v>
      </c>
      <c r="H171" s="1594">
        <v>2</v>
      </c>
      <c r="I171" s="1595" t="s">
        <v>1317</v>
      </c>
      <c r="J171" s="1596" t="s">
        <v>7084</v>
      </c>
      <c r="K171" s="1597">
        <v>4</v>
      </c>
      <c r="L171" s="1596" t="s">
        <v>1317</v>
      </c>
      <c r="M171" s="1598"/>
      <c r="N171" s="1599"/>
      <c r="O171" s="1598"/>
      <c r="W171" t="s">
        <v>7114</v>
      </c>
    </row>
    <row r="172" spans="2:23" hidden="1">
      <c r="B172" s="1585">
        <v>138</v>
      </c>
      <c r="C172" s="1586" t="s">
        <v>6976</v>
      </c>
      <c r="D172" s="1586" t="s">
        <v>1326</v>
      </c>
      <c r="E172" s="1586" t="s">
        <v>1418</v>
      </c>
      <c r="F172" s="1587">
        <v>4.7</v>
      </c>
      <c r="G172" s="1593" t="s">
        <v>7640</v>
      </c>
      <c r="H172" s="1594">
        <v>2</v>
      </c>
      <c r="I172" s="1595" t="s">
        <v>1317</v>
      </c>
      <c r="J172" s="1596" t="s">
        <v>7084</v>
      </c>
      <c r="K172" s="1597">
        <v>4</v>
      </c>
      <c r="L172" s="1596" t="s">
        <v>1317</v>
      </c>
      <c r="M172" s="1598"/>
      <c r="N172" s="1599"/>
      <c r="O172" s="1598"/>
      <c r="W172" t="s">
        <v>7115</v>
      </c>
    </row>
    <row r="173" spans="2:23" hidden="1">
      <c r="B173" s="1585">
        <v>139</v>
      </c>
      <c r="C173" s="1586" t="s">
        <v>6976</v>
      </c>
      <c r="D173" s="1586" t="s">
        <v>1419</v>
      </c>
      <c r="E173" s="1586" t="s">
        <v>1420</v>
      </c>
      <c r="F173" s="1587">
        <v>4.7</v>
      </c>
      <c r="G173" s="1593" t="s">
        <v>7640</v>
      </c>
      <c r="H173" s="1594">
        <v>2</v>
      </c>
      <c r="I173" s="1595" t="s">
        <v>1317</v>
      </c>
      <c r="J173" s="1596" t="s">
        <v>7084</v>
      </c>
      <c r="K173" s="1597">
        <v>4</v>
      </c>
      <c r="L173" s="1596" t="s">
        <v>1317</v>
      </c>
      <c r="M173" s="1598"/>
      <c r="N173" s="1599"/>
      <c r="O173" s="1598"/>
      <c r="W173" t="s">
        <v>7116</v>
      </c>
    </row>
    <row r="174" spans="2:23" hidden="1">
      <c r="B174" s="1585">
        <v>140</v>
      </c>
      <c r="C174" s="1586" t="s">
        <v>6976</v>
      </c>
      <c r="D174" s="1586" t="s">
        <v>1327</v>
      </c>
      <c r="E174" s="1586" t="s">
        <v>1271</v>
      </c>
      <c r="F174" s="1587">
        <v>4.7</v>
      </c>
      <c r="G174" s="1593" t="s">
        <v>7640</v>
      </c>
      <c r="H174" s="1594">
        <v>2</v>
      </c>
      <c r="I174" s="1595" t="s">
        <v>1317</v>
      </c>
      <c r="J174" s="1596" t="s">
        <v>7084</v>
      </c>
      <c r="K174" s="1597">
        <v>4</v>
      </c>
      <c r="L174" s="1596" t="s">
        <v>1317</v>
      </c>
      <c r="M174" s="1598"/>
      <c r="N174" s="1599"/>
      <c r="O174" s="1598"/>
      <c r="W174" t="s">
        <v>7117</v>
      </c>
    </row>
    <row r="175" spans="2:23" hidden="1">
      <c r="B175" s="1585">
        <v>141</v>
      </c>
      <c r="C175" s="1586" t="s">
        <v>6976</v>
      </c>
      <c r="D175" s="1586" t="s">
        <v>1327</v>
      </c>
      <c r="E175" s="1586" t="s">
        <v>1421</v>
      </c>
      <c r="F175" s="1587">
        <v>4.7</v>
      </c>
      <c r="G175" s="1593" t="s">
        <v>7640</v>
      </c>
      <c r="H175" s="1594">
        <v>2</v>
      </c>
      <c r="I175" s="1595" t="s">
        <v>1317</v>
      </c>
      <c r="J175" s="1596" t="s">
        <v>7084</v>
      </c>
      <c r="K175" s="1597">
        <v>4</v>
      </c>
      <c r="L175" s="1596" t="s">
        <v>1317</v>
      </c>
      <c r="M175" s="1598"/>
      <c r="N175" s="1599"/>
      <c r="O175" s="1598"/>
      <c r="W175" t="s">
        <v>7118</v>
      </c>
    </row>
    <row r="176" spans="2:23" hidden="1">
      <c r="B176" s="1585">
        <v>142</v>
      </c>
      <c r="C176" s="1586" t="s">
        <v>6976</v>
      </c>
      <c r="D176" s="1586" t="s">
        <v>1328</v>
      </c>
      <c r="E176" s="1586" t="s">
        <v>1422</v>
      </c>
      <c r="F176" s="1587">
        <v>4.7</v>
      </c>
      <c r="G176" s="1593" t="s">
        <v>7640</v>
      </c>
      <c r="H176" s="1594">
        <v>2</v>
      </c>
      <c r="I176" s="1595" t="s">
        <v>1317</v>
      </c>
      <c r="J176" s="1596" t="s">
        <v>7084</v>
      </c>
      <c r="K176" s="1597">
        <v>4</v>
      </c>
      <c r="L176" s="1596" t="s">
        <v>1317</v>
      </c>
      <c r="M176" s="1598"/>
      <c r="N176" s="1599"/>
      <c r="O176" s="1598"/>
      <c r="W176" t="s">
        <v>7119</v>
      </c>
    </row>
    <row r="177" spans="2:23" hidden="1">
      <c r="B177" s="1585">
        <v>143</v>
      </c>
      <c r="C177" s="1586" t="s">
        <v>6976</v>
      </c>
      <c r="D177" s="1586" t="s">
        <v>1328</v>
      </c>
      <c r="E177" s="1586" t="s">
        <v>1423</v>
      </c>
      <c r="F177" s="1587">
        <v>4.7</v>
      </c>
      <c r="G177" s="1593" t="s">
        <v>7640</v>
      </c>
      <c r="H177" s="1594">
        <v>2</v>
      </c>
      <c r="I177" s="1595" t="s">
        <v>1317</v>
      </c>
      <c r="J177" s="1596" t="s">
        <v>7084</v>
      </c>
      <c r="K177" s="1597">
        <v>4</v>
      </c>
      <c r="L177" s="1596" t="s">
        <v>1317</v>
      </c>
      <c r="M177" s="1598"/>
      <c r="N177" s="1599"/>
      <c r="O177" s="1598"/>
      <c r="W177" t="s">
        <v>7120</v>
      </c>
    </row>
    <row r="178" spans="2:23" hidden="1">
      <c r="B178" s="1585">
        <v>144</v>
      </c>
      <c r="C178" s="1586" t="s">
        <v>6976</v>
      </c>
      <c r="D178" s="1586" t="s">
        <v>1336</v>
      </c>
      <c r="E178" s="1586" t="s">
        <v>1424</v>
      </c>
      <c r="F178" s="1587">
        <v>4.7</v>
      </c>
      <c r="G178" s="1593" t="s">
        <v>7640</v>
      </c>
      <c r="H178" s="1594">
        <v>2</v>
      </c>
      <c r="I178" s="1595" t="s">
        <v>1317</v>
      </c>
      <c r="J178" s="1596" t="s">
        <v>7084</v>
      </c>
      <c r="K178" s="1597">
        <v>4</v>
      </c>
      <c r="L178" s="1596" t="s">
        <v>1317</v>
      </c>
      <c r="M178" s="1598"/>
      <c r="N178" s="1599"/>
      <c r="O178" s="1598"/>
      <c r="W178" t="s">
        <v>7121</v>
      </c>
    </row>
    <row r="179" spans="2:23" hidden="1">
      <c r="B179" s="1585">
        <v>145</v>
      </c>
      <c r="C179" s="1586" t="s">
        <v>6976</v>
      </c>
      <c r="D179" s="1586" t="s">
        <v>1337</v>
      </c>
      <c r="E179" s="1586" t="s">
        <v>1425</v>
      </c>
      <c r="F179" s="1587">
        <v>4.7</v>
      </c>
      <c r="G179" s="1593" t="s">
        <v>7640</v>
      </c>
      <c r="H179" s="1594">
        <v>2</v>
      </c>
      <c r="I179" s="1595" t="s">
        <v>1317</v>
      </c>
      <c r="J179" s="1596" t="s">
        <v>7084</v>
      </c>
      <c r="K179" s="1597">
        <v>4</v>
      </c>
      <c r="L179" s="1596" t="s">
        <v>1317</v>
      </c>
      <c r="M179" s="1598"/>
      <c r="N179" s="1599"/>
      <c r="O179" s="1598"/>
      <c r="W179" t="s">
        <v>7122</v>
      </c>
    </row>
    <row r="180" spans="2:23" hidden="1">
      <c r="B180" s="1585">
        <v>146</v>
      </c>
      <c r="C180" s="1586" t="s">
        <v>6976</v>
      </c>
      <c r="D180" s="1586" t="s">
        <v>1337</v>
      </c>
      <c r="E180" s="1586" t="s">
        <v>1426</v>
      </c>
      <c r="F180" s="1587">
        <v>4.7</v>
      </c>
      <c r="G180" s="1593" t="s">
        <v>7640</v>
      </c>
      <c r="H180" s="1594">
        <v>2</v>
      </c>
      <c r="I180" s="1595" t="s">
        <v>1317</v>
      </c>
      <c r="J180" s="1596" t="s">
        <v>7084</v>
      </c>
      <c r="K180" s="1597">
        <v>4</v>
      </c>
      <c r="L180" s="1596" t="s">
        <v>1317</v>
      </c>
      <c r="M180" s="1598"/>
      <c r="N180" s="1599"/>
      <c r="O180" s="1598"/>
      <c r="W180" t="s">
        <v>7123</v>
      </c>
    </row>
    <row r="181" spans="2:23" hidden="1">
      <c r="B181" s="1585">
        <v>147</v>
      </c>
      <c r="C181" s="1586" t="s">
        <v>6976</v>
      </c>
      <c r="D181" s="1586" t="s">
        <v>1338</v>
      </c>
      <c r="E181" s="1586" t="s">
        <v>1427</v>
      </c>
      <c r="F181" s="1587">
        <v>4.7</v>
      </c>
      <c r="G181" s="1593" t="s">
        <v>7640</v>
      </c>
      <c r="H181" s="1594">
        <v>2</v>
      </c>
      <c r="I181" s="1595" t="s">
        <v>1317</v>
      </c>
      <c r="J181" s="1596" t="s">
        <v>7084</v>
      </c>
      <c r="K181" s="1597">
        <v>4</v>
      </c>
      <c r="L181" s="1596" t="s">
        <v>1317</v>
      </c>
      <c r="M181" s="1598"/>
      <c r="N181" s="1599"/>
      <c r="O181" s="1598"/>
      <c r="W181" t="s">
        <v>7124</v>
      </c>
    </row>
    <row r="182" spans="2:23" hidden="1">
      <c r="B182" s="1585">
        <v>148</v>
      </c>
      <c r="C182" s="1586" t="s">
        <v>6976</v>
      </c>
      <c r="D182" s="1586" t="s">
        <v>1850</v>
      </c>
      <c r="E182" s="1586" t="s">
        <v>1340</v>
      </c>
      <c r="F182" s="1587">
        <v>4.7</v>
      </c>
      <c r="G182" s="1593" t="s">
        <v>7640</v>
      </c>
      <c r="H182" s="1594">
        <v>2</v>
      </c>
      <c r="I182" s="1595" t="s">
        <v>1317</v>
      </c>
      <c r="J182" s="1596" t="s">
        <v>7084</v>
      </c>
      <c r="K182" s="1597">
        <v>4</v>
      </c>
      <c r="L182" s="1596" t="s">
        <v>1317</v>
      </c>
      <c r="M182" s="1598"/>
      <c r="N182" s="1599"/>
      <c r="O182" s="1598"/>
      <c r="W182" t="s">
        <v>7125</v>
      </c>
    </row>
    <row r="183" spans="2:23" hidden="1">
      <c r="B183" s="1585">
        <v>149</v>
      </c>
      <c r="C183" s="1586" t="s">
        <v>6976</v>
      </c>
      <c r="D183" s="1586" t="s">
        <v>1850</v>
      </c>
      <c r="E183" s="1586" t="s">
        <v>1341</v>
      </c>
      <c r="F183" s="1587">
        <v>4.7</v>
      </c>
      <c r="G183" s="1593" t="s">
        <v>7640</v>
      </c>
      <c r="H183" s="1594">
        <v>2</v>
      </c>
      <c r="I183" s="1595" t="s">
        <v>1317</v>
      </c>
      <c r="J183" s="1596" t="s">
        <v>7084</v>
      </c>
      <c r="K183" s="1597">
        <v>4</v>
      </c>
      <c r="L183" s="1596" t="s">
        <v>1317</v>
      </c>
      <c r="M183" s="1598"/>
      <c r="N183" s="1599"/>
      <c r="O183" s="1598"/>
      <c r="W183" t="s">
        <v>7126</v>
      </c>
    </row>
    <row r="184" spans="2:23" hidden="1">
      <c r="B184" s="1585">
        <v>150</v>
      </c>
      <c r="C184" s="1586" t="s">
        <v>6976</v>
      </c>
      <c r="D184" s="1586" t="s">
        <v>1851</v>
      </c>
      <c r="E184" s="1586" t="s">
        <v>1343</v>
      </c>
      <c r="F184" s="1587">
        <v>4.7</v>
      </c>
      <c r="G184" s="1593" t="s">
        <v>7640</v>
      </c>
      <c r="H184" s="1594">
        <v>2</v>
      </c>
      <c r="I184" s="1595" t="s">
        <v>1317</v>
      </c>
      <c r="J184" s="1596" t="s">
        <v>7084</v>
      </c>
      <c r="K184" s="1597">
        <v>4</v>
      </c>
      <c r="L184" s="1596" t="s">
        <v>1317</v>
      </c>
      <c r="M184" s="1598"/>
      <c r="N184" s="1599"/>
      <c r="O184" s="1598"/>
      <c r="W184" t="s">
        <v>7127</v>
      </c>
    </row>
    <row r="185" spans="2:23" hidden="1">
      <c r="B185" s="1585">
        <v>151</v>
      </c>
      <c r="C185" s="1586" t="s">
        <v>6976</v>
      </c>
      <c r="D185" s="1586" t="s">
        <v>1851</v>
      </c>
      <c r="E185" s="1586" t="s">
        <v>1344</v>
      </c>
      <c r="F185" s="1587">
        <v>4.7</v>
      </c>
      <c r="G185" s="1593" t="s">
        <v>7640</v>
      </c>
      <c r="H185" s="1594">
        <v>2</v>
      </c>
      <c r="I185" s="1595" t="s">
        <v>1317</v>
      </c>
      <c r="J185" s="1596" t="s">
        <v>7084</v>
      </c>
      <c r="K185" s="1597">
        <v>4</v>
      </c>
      <c r="L185" s="1596" t="s">
        <v>1317</v>
      </c>
      <c r="M185" s="1598"/>
      <c r="N185" s="1599"/>
      <c r="O185" s="1598"/>
      <c r="W185" t="s">
        <v>7128</v>
      </c>
    </row>
    <row r="186" spans="2:23" hidden="1">
      <c r="B186" s="1585">
        <v>152</v>
      </c>
      <c r="C186" s="1586" t="s">
        <v>6976</v>
      </c>
      <c r="D186" s="1586" t="s">
        <v>1852</v>
      </c>
      <c r="E186" s="1586" t="s">
        <v>1346</v>
      </c>
      <c r="F186" s="1587">
        <v>4.7</v>
      </c>
      <c r="G186" s="1593" t="s">
        <v>7640</v>
      </c>
      <c r="H186" s="1594">
        <v>2</v>
      </c>
      <c r="I186" s="1595" t="s">
        <v>1317</v>
      </c>
      <c r="J186" s="1596" t="s">
        <v>7084</v>
      </c>
      <c r="K186" s="1597">
        <v>4</v>
      </c>
      <c r="L186" s="1596" t="s">
        <v>1317</v>
      </c>
      <c r="M186" s="1598"/>
      <c r="N186" s="1599"/>
      <c r="O186" s="1598"/>
      <c r="W186" t="s">
        <v>7129</v>
      </c>
    </row>
    <row r="187" spans="2:23" hidden="1">
      <c r="B187" s="1585">
        <v>153</v>
      </c>
      <c r="C187" s="1586" t="s">
        <v>6976</v>
      </c>
      <c r="D187" s="1586" t="s">
        <v>1347</v>
      </c>
      <c r="E187" s="1586" t="s">
        <v>1348</v>
      </c>
      <c r="F187" s="1587">
        <v>4.7</v>
      </c>
      <c r="G187" s="1593" t="s">
        <v>7640</v>
      </c>
      <c r="H187" s="1594">
        <v>2</v>
      </c>
      <c r="I187" s="1595" t="s">
        <v>1317</v>
      </c>
      <c r="J187" s="1596" t="s">
        <v>7084</v>
      </c>
      <c r="K187" s="1597">
        <v>4</v>
      </c>
      <c r="L187" s="1596" t="s">
        <v>1317</v>
      </c>
      <c r="M187" s="1598"/>
      <c r="N187" s="1599"/>
      <c r="O187" s="1598"/>
      <c r="W187" t="s">
        <v>7130</v>
      </c>
    </row>
    <row r="188" spans="2:23" hidden="1">
      <c r="B188" s="1585">
        <v>154</v>
      </c>
      <c r="C188" s="1586" t="s">
        <v>6976</v>
      </c>
      <c r="D188" s="1586" t="s">
        <v>1347</v>
      </c>
      <c r="E188" s="1586" t="s">
        <v>1349</v>
      </c>
      <c r="F188" s="1587">
        <v>4.7</v>
      </c>
      <c r="G188" s="1593" t="s">
        <v>7640</v>
      </c>
      <c r="H188" s="1594">
        <v>2</v>
      </c>
      <c r="I188" s="1595" t="s">
        <v>1317</v>
      </c>
      <c r="J188" s="1596" t="s">
        <v>7084</v>
      </c>
      <c r="K188" s="1597">
        <v>4</v>
      </c>
      <c r="L188" s="1596" t="s">
        <v>1317</v>
      </c>
      <c r="M188" s="1598"/>
      <c r="N188" s="1599"/>
      <c r="O188" s="1598"/>
      <c r="W188" t="s">
        <v>7131</v>
      </c>
    </row>
    <row r="189" spans="2:23" hidden="1">
      <c r="B189" s="1585">
        <v>155</v>
      </c>
      <c r="C189" s="1586" t="s">
        <v>6976</v>
      </c>
      <c r="D189" s="1586" t="s">
        <v>1347</v>
      </c>
      <c r="E189" s="1586" t="s">
        <v>1350</v>
      </c>
      <c r="F189" s="1587">
        <v>4.7</v>
      </c>
      <c r="G189" s="1593" t="s">
        <v>7640</v>
      </c>
      <c r="H189" s="1594">
        <v>2</v>
      </c>
      <c r="I189" s="1595" t="s">
        <v>1317</v>
      </c>
      <c r="J189" s="1596" t="s">
        <v>7084</v>
      </c>
      <c r="K189" s="1597">
        <v>4</v>
      </c>
      <c r="L189" s="1596" t="s">
        <v>1317</v>
      </c>
      <c r="M189" s="1598"/>
      <c r="N189" s="1599"/>
      <c r="O189" s="1598"/>
      <c r="W189" t="s">
        <v>7132</v>
      </c>
    </row>
    <row r="190" spans="2:23" hidden="1">
      <c r="B190" s="1585">
        <v>156</v>
      </c>
      <c r="C190" s="1586" t="s">
        <v>6976</v>
      </c>
      <c r="D190" s="1586" t="s">
        <v>1347</v>
      </c>
      <c r="E190" s="1586" t="s">
        <v>1351</v>
      </c>
      <c r="F190" s="1587">
        <v>4.7</v>
      </c>
      <c r="G190" s="1593" t="s">
        <v>7640</v>
      </c>
      <c r="H190" s="1594">
        <v>2</v>
      </c>
      <c r="I190" s="1595" t="s">
        <v>1317</v>
      </c>
      <c r="J190" s="1596" t="s">
        <v>7084</v>
      </c>
      <c r="K190" s="1597">
        <v>4</v>
      </c>
      <c r="L190" s="1596" t="s">
        <v>1317</v>
      </c>
      <c r="M190" s="1598"/>
      <c r="N190" s="1599"/>
      <c r="O190" s="1598"/>
      <c r="W190" t="s">
        <v>7133</v>
      </c>
    </row>
    <row r="191" spans="2:23" hidden="1">
      <c r="B191" s="1585">
        <v>157</v>
      </c>
      <c r="C191" s="1586" t="s">
        <v>6976</v>
      </c>
      <c r="D191" s="1586" t="s">
        <v>1352</v>
      </c>
      <c r="E191" s="1586" t="s">
        <v>1353</v>
      </c>
      <c r="F191" s="1587">
        <v>4.7</v>
      </c>
      <c r="G191" s="1593" t="s">
        <v>7640</v>
      </c>
      <c r="H191" s="1594">
        <v>2</v>
      </c>
      <c r="I191" s="1595" t="s">
        <v>1317</v>
      </c>
      <c r="J191" s="1596" t="s">
        <v>7084</v>
      </c>
      <c r="K191" s="1597">
        <v>4</v>
      </c>
      <c r="L191" s="1596" t="s">
        <v>1317</v>
      </c>
      <c r="M191" s="1598"/>
      <c r="N191" s="1599"/>
      <c r="O191" s="1598"/>
      <c r="W191" t="s">
        <v>7134</v>
      </c>
    </row>
    <row r="192" spans="2:23" hidden="1">
      <c r="B192" s="1585">
        <v>158</v>
      </c>
      <c r="C192" s="1586" t="s">
        <v>6976</v>
      </c>
      <c r="D192" s="1586" t="s">
        <v>1853</v>
      </c>
      <c r="E192" s="1586" t="s">
        <v>1355</v>
      </c>
      <c r="F192" s="1587">
        <v>4.7</v>
      </c>
      <c r="G192" s="1593" t="s">
        <v>7640</v>
      </c>
      <c r="H192" s="1594">
        <v>2</v>
      </c>
      <c r="I192" s="1595" t="s">
        <v>1317</v>
      </c>
      <c r="J192" s="1596" t="s">
        <v>7084</v>
      </c>
      <c r="K192" s="1597">
        <v>4</v>
      </c>
      <c r="L192" s="1596" t="s">
        <v>1317</v>
      </c>
      <c r="M192" s="1598"/>
      <c r="N192" s="1599"/>
      <c r="O192" s="1598"/>
      <c r="W192" t="s">
        <v>7135</v>
      </c>
    </row>
    <row r="193" spans="2:23" hidden="1">
      <c r="B193" s="1585">
        <v>159</v>
      </c>
      <c r="C193" s="1586" t="s">
        <v>6976</v>
      </c>
      <c r="D193" s="1586" t="s">
        <v>1853</v>
      </c>
      <c r="E193" s="1586" t="s">
        <v>1356</v>
      </c>
      <c r="F193" s="1587">
        <v>4.7</v>
      </c>
      <c r="G193" s="1593" t="s">
        <v>7640</v>
      </c>
      <c r="H193" s="1594">
        <v>2</v>
      </c>
      <c r="I193" s="1595" t="s">
        <v>1317</v>
      </c>
      <c r="J193" s="1596" t="s">
        <v>7084</v>
      </c>
      <c r="K193" s="1597">
        <v>4</v>
      </c>
      <c r="L193" s="1596" t="s">
        <v>1317</v>
      </c>
      <c r="M193" s="1598"/>
      <c r="N193" s="1599"/>
      <c r="O193" s="1598"/>
      <c r="W193" t="s">
        <v>7136</v>
      </c>
    </row>
    <row r="194" spans="2:23" hidden="1">
      <c r="B194" s="1585">
        <v>160</v>
      </c>
      <c r="C194" s="1586" t="s">
        <v>6976</v>
      </c>
      <c r="D194" s="1586" t="s">
        <v>1853</v>
      </c>
      <c r="E194" s="1586" t="s">
        <v>1357</v>
      </c>
      <c r="F194" s="1587">
        <v>4.7</v>
      </c>
      <c r="G194" s="1593" t="s">
        <v>7640</v>
      </c>
      <c r="H194" s="1594">
        <v>2</v>
      </c>
      <c r="I194" s="1595" t="s">
        <v>1317</v>
      </c>
      <c r="J194" s="1596" t="s">
        <v>7084</v>
      </c>
      <c r="K194" s="1597">
        <v>4</v>
      </c>
      <c r="L194" s="1596" t="s">
        <v>1317</v>
      </c>
      <c r="M194" s="1598"/>
      <c r="N194" s="1599"/>
      <c r="O194" s="1598"/>
      <c r="W194" t="s">
        <v>7137</v>
      </c>
    </row>
    <row r="195" spans="2:23" hidden="1">
      <c r="B195" s="1585">
        <v>161</v>
      </c>
      <c r="C195" s="1586" t="s">
        <v>6976</v>
      </c>
      <c r="D195" s="1586" t="s">
        <v>1367</v>
      </c>
      <c r="E195" s="1586" t="s">
        <v>1368</v>
      </c>
      <c r="F195" s="1587">
        <v>4.7</v>
      </c>
      <c r="G195" s="1593" t="s">
        <v>7640</v>
      </c>
      <c r="H195" s="1594">
        <v>2</v>
      </c>
      <c r="I195" s="1595" t="s">
        <v>1317</v>
      </c>
      <c r="J195" s="1596" t="s">
        <v>7084</v>
      </c>
      <c r="K195" s="1597">
        <v>4</v>
      </c>
      <c r="L195" s="1596" t="s">
        <v>1317</v>
      </c>
      <c r="M195" s="1598"/>
      <c r="N195" s="1599"/>
      <c r="O195" s="1598"/>
      <c r="W195" t="s">
        <v>7138</v>
      </c>
    </row>
    <row r="196" spans="2:23" hidden="1">
      <c r="B196" s="1585">
        <v>162</v>
      </c>
      <c r="C196" s="1586" t="s">
        <v>6976</v>
      </c>
      <c r="D196" s="1586" t="s">
        <v>1428</v>
      </c>
      <c r="E196" s="1586" t="s">
        <v>1429</v>
      </c>
      <c r="F196" s="1587">
        <v>4.7</v>
      </c>
      <c r="G196" s="1593" t="s">
        <v>7640</v>
      </c>
      <c r="H196" s="1594">
        <v>2</v>
      </c>
      <c r="I196" s="1595" t="s">
        <v>1317</v>
      </c>
      <c r="J196" s="1596" t="s">
        <v>7084</v>
      </c>
      <c r="K196" s="1597">
        <v>4</v>
      </c>
      <c r="L196" s="1596" t="s">
        <v>1317</v>
      </c>
      <c r="M196" s="1598"/>
      <c r="N196" s="1599"/>
      <c r="O196" s="1598"/>
      <c r="W196" t="s">
        <v>7139</v>
      </c>
    </row>
    <row r="197" spans="2:23" hidden="1">
      <c r="B197" s="1585">
        <v>163</v>
      </c>
      <c r="C197" s="1586" t="s">
        <v>6976</v>
      </c>
      <c r="D197" s="1586" t="s">
        <v>1369</v>
      </c>
      <c r="E197" s="1586" t="s">
        <v>1430</v>
      </c>
      <c r="F197" s="1587">
        <v>4.7</v>
      </c>
      <c r="G197" s="1593" t="s">
        <v>7640</v>
      </c>
      <c r="H197" s="1594">
        <v>2</v>
      </c>
      <c r="I197" s="1595" t="s">
        <v>1317</v>
      </c>
      <c r="J197" s="1596" t="s">
        <v>7084</v>
      </c>
      <c r="K197" s="1597">
        <v>4</v>
      </c>
      <c r="L197" s="1596" t="s">
        <v>1317</v>
      </c>
      <c r="M197" s="1598"/>
      <c r="N197" s="1599"/>
      <c r="O197" s="1598"/>
      <c r="W197" t="s">
        <v>7140</v>
      </c>
    </row>
    <row r="198" spans="2:23" hidden="1">
      <c r="B198" s="1585">
        <v>164</v>
      </c>
      <c r="C198" s="1586" t="s">
        <v>6976</v>
      </c>
      <c r="D198" s="1586" t="s">
        <v>1369</v>
      </c>
      <c r="E198" s="1586" t="s">
        <v>1431</v>
      </c>
      <c r="F198" s="1587">
        <v>4.7</v>
      </c>
      <c r="G198" s="1593" t="s">
        <v>7640</v>
      </c>
      <c r="H198" s="1594">
        <v>2</v>
      </c>
      <c r="I198" s="1595" t="s">
        <v>1317</v>
      </c>
      <c r="J198" s="1596" t="s">
        <v>7084</v>
      </c>
      <c r="K198" s="1597">
        <v>4</v>
      </c>
      <c r="L198" s="1596" t="s">
        <v>1317</v>
      </c>
      <c r="M198" s="1598"/>
      <c r="N198" s="1599"/>
      <c r="O198" s="1598"/>
      <c r="W198" t="s">
        <v>7141</v>
      </c>
    </row>
    <row r="199" spans="2:23" hidden="1">
      <c r="B199" s="1585">
        <v>165</v>
      </c>
      <c r="C199" s="1586" t="s">
        <v>6976</v>
      </c>
      <c r="D199" s="1586" t="s">
        <v>1432</v>
      </c>
      <c r="E199" s="1586" t="s">
        <v>1433</v>
      </c>
      <c r="F199" s="1587">
        <v>4.7</v>
      </c>
      <c r="G199" s="1593" t="s">
        <v>7640</v>
      </c>
      <c r="H199" s="1594">
        <v>2</v>
      </c>
      <c r="I199" s="1595" t="s">
        <v>1317</v>
      </c>
      <c r="J199" s="1596" t="s">
        <v>7084</v>
      </c>
      <c r="K199" s="1597">
        <v>4</v>
      </c>
      <c r="L199" s="1596" t="s">
        <v>1317</v>
      </c>
      <c r="M199" s="1598"/>
      <c r="N199" s="1599"/>
      <c r="O199" s="1598"/>
      <c r="W199" t="s">
        <v>7142</v>
      </c>
    </row>
    <row r="200" spans="2:23" hidden="1">
      <c r="B200" s="1585">
        <v>166</v>
      </c>
      <c r="C200" s="1586" t="s">
        <v>6976</v>
      </c>
      <c r="D200" s="1586" t="s">
        <v>1370</v>
      </c>
      <c r="E200" s="1586" t="s">
        <v>1434</v>
      </c>
      <c r="F200" s="1587">
        <v>4.7</v>
      </c>
      <c r="G200" s="1593" t="s">
        <v>7640</v>
      </c>
      <c r="H200" s="1594">
        <v>2</v>
      </c>
      <c r="I200" s="1595" t="s">
        <v>1317</v>
      </c>
      <c r="J200" s="1596" t="s">
        <v>7084</v>
      </c>
      <c r="K200" s="1597">
        <v>4</v>
      </c>
      <c r="L200" s="1596" t="s">
        <v>1317</v>
      </c>
      <c r="M200" s="1598"/>
      <c r="N200" s="1599"/>
      <c r="O200" s="1598"/>
      <c r="W200" t="s">
        <v>7143</v>
      </c>
    </row>
    <row r="201" spans="2:23" hidden="1">
      <c r="B201" s="1585">
        <v>167</v>
      </c>
      <c r="C201" s="1586" t="s">
        <v>6976</v>
      </c>
      <c r="D201" s="1586" t="s">
        <v>1435</v>
      </c>
      <c r="E201" s="1586" t="s">
        <v>1436</v>
      </c>
      <c r="F201" s="1587">
        <v>4.7</v>
      </c>
      <c r="G201" s="1593" t="s">
        <v>7640</v>
      </c>
      <c r="H201" s="1594">
        <v>2</v>
      </c>
      <c r="I201" s="1595" t="s">
        <v>1317</v>
      </c>
      <c r="J201" s="1596" t="s">
        <v>7084</v>
      </c>
      <c r="K201" s="1597">
        <v>4</v>
      </c>
      <c r="L201" s="1596" t="s">
        <v>1317</v>
      </c>
      <c r="M201" s="1598"/>
      <c r="N201" s="1599"/>
      <c r="O201" s="1598"/>
      <c r="W201" t="s">
        <v>7144</v>
      </c>
    </row>
    <row r="202" spans="2:23" hidden="1">
      <c r="B202" s="1585">
        <v>168</v>
      </c>
      <c r="C202" s="1586" t="s">
        <v>6976</v>
      </c>
      <c r="D202" s="1586" t="s">
        <v>1435</v>
      </c>
      <c r="E202" s="1586" t="s">
        <v>1437</v>
      </c>
      <c r="F202" s="1587">
        <v>4.7</v>
      </c>
      <c r="G202" s="1593" t="s">
        <v>7640</v>
      </c>
      <c r="H202" s="1594">
        <v>2</v>
      </c>
      <c r="I202" s="1595" t="s">
        <v>1317</v>
      </c>
      <c r="J202" s="1596" t="s">
        <v>7084</v>
      </c>
      <c r="K202" s="1597">
        <v>4</v>
      </c>
      <c r="L202" s="1596" t="s">
        <v>1317</v>
      </c>
      <c r="M202" s="1598"/>
      <c r="N202" s="1599"/>
      <c r="O202" s="1598"/>
      <c r="W202" t="s">
        <v>7145</v>
      </c>
    </row>
    <row r="203" spans="2:23" hidden="1">
      <c r="B203" s="1585">
        <v>169</v>
      </c>
      <c r="C203" s="1586" t="s">
        <v>6976</v>
      </c>
      <c r="D203" s="1586" t="s">
        <v>1435</v>
      </c>
      <c r="E203" s="1586" t="s">
        <v>1438</v>
      </c>
      <c r="F203" s="1587">
        <v>4.7</v>
      </c>
      <c r="G203" s="1593" t="s">
        <v>7640</v>
      </c>
      <c r="H203" s="1594">
        <v>2</v>
      </c>
      <c r="I203" s="1595" t="s">
        <v>1317</v>
      </c>
      <c r="J203" s="1596" t="s">
        <v>7084</v>
      </c>
      <c r="K203" s="1597">
        <v>4</v>
      </c>
      <c r="L203" s="1596" t="s">
        <v>1317</v>
      </c>
      <c r="M203" s="1598"/>
      <c r="N203" s="1599"/>
      <c r="O203" s="1598"/>
      <c r="W203" t="s">
        <v>7146</v>
      </c>
    </row>
    <row r="204" spans="2:23" hidden="1">
      <c r="B204" s="1585">
        <v>170</v>
      </c>
      <c r="C204" s="1586" t="s">
        <v>6976</v>
      </c>
      <c r="D204" s="1586" t="s">
        <v>1371</v>
      </c>
      <c r="E204" s="1586" t="s">
        <v>1439</v>
      </c>
      <c r="F204" s="1587">
        <v>4.7</v>
      </c>
      <c r="G204" s="1593" t="s">
        <v>7640</v>
      </c>
      <c r="H204" s="1594">
        <v>2</v>
      </c>
      <c r="I204" s="1595" t="s">
        <v>1317</v>
      </c>
      <c r="J204" s="1596" t="s">
        <v>7084</v>
      </c>
      <c r="K204" s="1597">
        <v>4</v>
      </c>
      <c r="L204" s="1596" t="s">
        <v>1317</v>
      </c>
      <c r="M204" s="1598"/>
      <c r="N204" s="1599"/>
      <c r="O204" s="1598"/>
      <c r="W204" t="s">
        <v>7147</v>
      </c>
    </row>
    <row r="205" spans="2:23" hidden="1">
      <c r="B205" s="1585">
        <v>171</v>
      </c>
      <c r="C205" s="1586" t="s">
        <v>6976</v>
      </c>
      <c r="D205" s="1586" t="s">
        <v>1371</v>
      </c>
      <c r="E205" s="1586" t="s">
        <v>1440</v>
      </c>
      <c r="F205" s="1587">
        <v>4.7</v>
      </c>
      <c r="G205" s="1593" t="s">
        <v>7640</v>
      </c>
      <c r="H205" s="1594">
        <v>2</v>
      </c>
      <c r="I205" s="1595" t="s">
        <v>1317</v>
      </c>
      <c r="J205" s="1596" t="s">
        <v>7084</v>
      </c>
      <c r="K205" s="1597">
        <v>4</v>
      </c>
      <c r="L205" s="1596" t="s">
        <v>1317</v>
      </c>
      <c r="M205" s="1598"/>
      <c r="N205" s="1599"/>
      <c r="O205" s="1598"/>
      <c r="W205" t="s">
        <v>7148</v>
      </c>
    </row>
    <row r="206" spans="2:23" hidden="1">
      <c r="B206" s="1585">
        <v>172</v>
      </c>
      <c r="C206" s="1586" t="s">
        <v>6976</v>
      </c>
      <c r="D206" s="1586" t="s">
        <v>1441</v>
      </c>
      <c r="E206" s="1586" t="s">
        <v>1442</v>
      </c>
      <c r="F206" s="1587">
        <v>4.7</v>
      </c>
      <c r="G206" s="1593" t="s">
        <v>7640</v>
      </c>
      <c r="H206" s="1594">
        <v>2</v>
      </c>
      <c r="I206" s="1595" t="s">
        <v>1317</v>
      </c>
      <c r="J206" s="1596" t="s">
        <v>7084</v>
      </c>
      <c r="K206" s="1597">
        <v>4</v>
      </c>
      <c r="L206" s="1596" t="s">
        <v>1317</v>
      </c>
      <c r="M206" s="1598"/>
      <c r="N206" s="1599"/>
      <c r="O206" s="1598"/>
      <c r="W206" t="s">
        <v>7149</v>
      </c>
    </row>
    <row r="207" spans="2:23" hidden="1">
      <c r="B207" s="1585">
        <f>B206+1</f>
        <v>173</v>
      </c>
      <c r="C207" s="1586" t="s">
        <v>6976</v>
      </c>
      <c r="D207" s="1586" t="s">
        <v>1372</v>
      </c>
      <c r="E207" s="1586" t="s">
        <v>1443</v>
      </c>
      <c r="F207" s="1587">
        <v>4.7</v>
      </c>
      <c r="G207" s="1593" t="s">
        <v>7640</v>
      </c>
      <c r="H207" s="1594">
        <v>2</v>
      </c>
      <c r="I207" s="1595" t="s">
        <v>1317</v>
      </c>
      <c r="J207" s="1596" t="s">
        <v>7084</v>
      </c>
      <c r="K207" s="1597">
        <v>4</v>
      </c>
      <c r="L207" s="1596" t="s">
        <v>1317</v>
      </c>
      <c r="M207" s="1598"/>
      <c r="N207" s="1599"/>
      <c r="O207" s="1598"/>
      <c r="W207" t="s">
        <v>7098</v>
      </c>
    </row>
    <row r="208" spans="2:23" hidden="1">
      <c r="B208" s="1585">
        <f t="shared" ref="B208:B271" si="0">B207+1</f>
        <v>174</v>
      </c>
      <c r="C208" s="1586" t="s">
        <v>6976</v>
      </c>
      <c r="D208" s="1586" t="s">
        <v>1444</v>
      </c>
      <c r="E208" s="1586" t="s">
        <v>1445</v>
      </c>
      <c r="F208" s="1587">
        <v>4.7</v>
      </c>
      <c r="G208" s="1593" t="s">
        <v>7640</v>
      </c>
      <c r="H208" s="1594">
        <v>2</v>
      </c>
      <c r="I208" s="1595" t="s">
        <v>1317</v>
      </c>
      <c r="J208" s="1596" t="s">
        <v>7084</v>
      </c>
      <c r="K208" s="1597">
        <v>4</v>
      </c>
      <c r="L208" s="1596" t="s">
        <v>1317</v>
      </c>
      <c r="M208" s="1598"/>
      <c r="N208" s="1599"/>
      <c r="O208" s="1598"/>
      <c r="W208" t="s">
        <v>7150</v>
      </c>
    </row>
    <row r="209" spans="2:23" hidden="1">
      <c r="B209" s="1585">
        <f t="shared" si="0"/>
        <v>175</v>
      </c>
      <c r="C209" s="1586" t="s">
        <v>6976</v>
      </c>
      <c r="D209" s="1586" t="s">
        <v>1444</v>
      </c>
      <c r="E209" s="1586" t="s">
        <v>1406</v>
      </c>
      <c r="F209" s="1587">
        <v>4.7</v>
      </c>
      <c r="G209" s="1593" t="s">
        <v>7640</v>
      </c>
      <c r="H209" s="1594">
        <v>2</v>
      </c>
      <c r="I209" s="1595" t="s">
        <v>1317</v>
      </c>
      <c r="J209" s="1596" t="s">
        <v>7084</v>
      </c>
      <c r="K209" s="1597">
        <v>4</v>
      </c>
      <c r="L209" s="1596" t="s">
        <v>1317</v>
      </c>
      <c r="M209" s="1598"/>
      <c r="N209" s="1599"/>
      <c r="O209" s="1598"/>
      <c r="W209" t="s">
        <v>7151</v>
      </c>
    </row>
    <row r="210" spans="2:23" hidden="1">
      <c r="B210" s="1585">
        <f t="shared" si="0"/>
        <v>176</v>
      </c>
      <c r="C210" s="1586" t="s">
        <v>6976</v>
      </c>
      <c r="D210" s="1586" t="s">
        <v>1447</v>
      </c>
      <c r="E210" s="1586" t="s">
        <v>1357</v>
      </c>
      <c r="F210" s="1587">
        <v>4.7</v>
      </c>
      <c r="G210" s="1593" t="s">
        <v>7640</v>
      </c>
      <c r="H210" s="1594">
        <v>2</v>
      </c>
      <c r="I210" s="1595" t="s">
        <v>1317</v>
      </c>
      <c r="J210" s="1596" t="s">
        <v>7084</v>
      </c>
      <c r="K210" s="1597">
        <v>4</v>
      </c>
      <c r="L210" s="1596" t="s">
        <v>1317</v>
      </c>
      <c r="M210" s="1598"/>
      <c r="N210" s="1599"/>
      <c r="O210" s="1598"/>
      <c r="W210" t="s">
        <v>7152</v>
      </c>
    </row>
    <row r="211" spans="2:23" hidden="1">
      <c r="B211" s="1585">
        <f t="shared" si="0"/>
        <v>177</v>
      </c>
      <c r="C211" s="1586" t="s">
        <v>6976</v>
      </c>
      <c r="D211" s="1586" t="s">
        <v>1374</v>
      </c>
      <c r="E211" s="1586" t="s">
        <v>1375</v>
      </c>
      <c r="F211" s="1587">
        <v>4.7</v>
      </c>
      <c r="G211" s="1593" t="s">
        <v>7640</v>
      </c>
      <c r="H211" s="1594">
        <v>2</v>
      </c>
      <c r="I211" s="1595" t="s">
        <v>1317</v>
      </c>
      <c r="J211" s="1596" t="s">
        <v>7084</v>
      </c>
      <c r="K211" s="1597">
        <v>4</v>
      </c>
      <c r="L211" s="1596" t="s">
        <v>1317</v>
      </c>
      <c r="M211" s="1598"/>
      <c r="N211" s="1599"/>
      <c r="O211" s="1598"/>
      <c r="W211" t="s">
        <v>7153</v>
      </c>
    </row>
    <row r="212" spans="2:23" hidden="1">
      <c r="B212" s="1585">
        <f t="shared" si="0"/>
        <v>178</v>
      </c>
      <c r="C212" s="1586" t="s">
        <v>6976</v>
      </c>
      <c r="D212" s="1586" t="s">
        <v>1376</v>
      </c>
      <c r="E212" s="1586" t="s">
        <v>1377</v>
      </c>
      <c r="F212" s="1587">
        <v>4.7</v>
      </c>
      <c r="G212" s="1593" t="s">
        <v>7640</v>
      </c>
      <c r="H212" s="1594">
        <v>2</v>
      </c>
      <c r="I212" s="1595" t="s">
        <v>1317</v>
      </c>
      <c r="J212" s="1596" t="s">
        <v>7084</v>
      </c>
      <c r="K212" s="1597">
        <v>4</v>
      </c>
      <c r="L212" s="1596" t="s">
        <v>1317</v>
      </c>
      <c r="M212" s="1598"/>
      <c r="N212" s="1599"/>
      <c r="O212" s="1598"/>
      <c r="W212" t="s">
        <v>7154</v>
      </c>
    </row>
    <row r="213" spans="2:23" hidden="1">
      <c r="B213" s="1585">
        <f t="shared" si="0"/>
        <v>179</v>
      </c>
      <c r="C213" s="1586" t="s">
        <v>6976</v>
      </c>
      <c r="D213" s="1586" t="s">
        <v>1376</v>
      </c>
      <c r="E213" s="1586" t="s">
        <v>1378</v>
      </c>
      <c r="F213" s="1587">
        <v>4.7</v>
      </c>
      <c r="G213" s="1593" t="s">
        <v>7640</v>
      </c>
      <c r="H213" s="1594">
        <v>2</v>
      </c>
      <c r="I213" s="1595" t="s">
        <v>1317</v>
      </c>
      <c r="J213" s="1596" t="s">
        <v>7084</v>
      </c>
      <c r="K213" s="1597">
        <v>4</v>
      </c>
      <c r="L213" s="1596" t="s">
        <v>1317</v>
      </c>
      <c r="M213" s="1598"/>
      <c r="N213" s="1599"/>
      <c r="O213" s="1598"/>
      <c r="W213" t="s">
        <v>7155</v>
      </c>
    </row>
    <row r="214" spans="2:23" hidden="1">
      <c r="B214" s="1585">
        <f t="shared" si="0"/>
        <v>180</v>
      </c>
      <c r="C214" s="1586" t="s">
        <v>6976</v>
      </c>
      <c r="D214" s="1586" t="s">
        <v>1379</v>
      </c>
      <c r="E214" s="1586" t="s">
        <v>1380</v>
      </c>
      <c r="F214" s="1587">
        <v>4.7</v>
      </c>
      <c r="G214" s="1593" t="s">
        <v>7640</v>
      </c>
      <c r="H214" s="1594">
        <v>2</v>
      </c>
      <c r="I214" s="1595" t="s">
        <v>1317</v>
      </c>
      <c r="J214" s="1596" t="s">
        <v>7084</v>
      </c>
      <c r="K214" s="1597">
        <v>4</v>
      </c>
      <c r="L214" s="1596" t="s">
        <v>1317</v>
      </c>
      <c r="M214" s="1598"/>
      <c r="N214" s="1599"/>
      <c r="O214" s="1598"/>
      <c r="W214" t="s">
        <v>7156</v>
      </c>
    </row>
    <row r="215" spans="2:23" hidden="1">
      <c r="B215" s="1585">
        <f t="shared" si="0"/>
        <v>181</v>
      </c>
      <c r="C215" s="1586" t="s">
        <v>6976</v>
      </c>
      <c r="D215" s="1586" t="s">
        <v>1379</v>
      </c>
      <c r="E215" s="1586" t="s">
        <v>1381</v>
      </c>
      <c r="F215" s="1587">
        <v>4.7</v>
      </c>
      <c r="G215" s="1593" t="s">
        <v>7640</v>
      </c>
      <c r="H215" s="1594">
        <v>2</v>
      </c>
      <c r="I215" s="1595" t="s">
        <v>1317</v>
      </c>
      <c r="J215" s="1596" t="s">
        <v>7084</v>
      </c>
      <c r="K215" s="1597">
        <v>4</v>
      </c>
      <c r="L215" s="1596" t="s">
        <v>1317</v>
      </c>
      <c r="M215" s="1598"/>
      <c r="N215" s="1599"/>
      <c r="O215" s="1598"/>
      <c r="W215" t="s">
        <v>7157</v>
      </c>
    </row>
    <row r="216" spans="2:23" hidden="1">
      <c r="B216" s="1585">
        <f t="shared" si="0"/>
        <v>182</v>
      </c>
      <c r="C216" s="1586" t="s">
        <v>6976</v>
      </c>
      <c r="D216" s="1586" t="s">
        <v>1448</v>
      </c>
      <c r="E216" s="1586" t="s">
        <v>1382</v>
      </c>
      <c r="F216" s="1587">
        <v>4.7</v>
      </c>
      <c r="G216" s="1593" t="s">
        <v>7640</v>
      </c>
      <c r="H216" s="1594">
        <v>2</v>
      </c>
      <c r="I216" s="1595" t="s">
        <v>1317</v>
      </c>
      <c r="J216" s="1596" t="s">
        <v>7084</v>
      </c>
      <c r="K216" s="1597">
        <v>4</v>
      </c>
      <c r="L216" s="1596" t="s">
        <v>1317</v>
      </c>
      <c r="M216" s="1598"/>
      <c r="N216" s="1599"/>
      <c r="O216" s="1598"/>
      <c r="W216" t="s">
        <v>7158</v>
      </c>
    </row>
    <row r="217" spans="2:23" hidden="1">
      <c r="B217" s="1585">
        <f t="shared" si="0"/>
        <v>183</v>
      </c>
      <c r="C217" s="1586" t="s">
        <v>6976</v>
      </c>
      <c r="D217" s="1586" t="s">
        <v>1449</v>
      </c>
      <c r="E217" s="1586" t="s">
        <v>1383</v>
      </c>
      <c r="F217" s="1587">
        <v>4.7</v>
      </c>
      <c r="G217" s="1593" t="s">
        <v>7640</v>
      </c>
      <c r="H217" s="1594">
        <v>2</v>
      </c>
      <c r="I217" s="1595" t="s">
        <v>1317</v>
      </c>
      <c r="J217" s="1596" t="s">
        <v>7084</v>
      </c>
      <c r="K217" s="1597">
        <v>4</v>
      </c>
      <c r="L217" s="1596" t="s">
        <v>1317</v>
      </c>
      <c r="M217" s="1598"/>
      <c r="N217" s="1599"/>
      <c r="O217" s="1598"/>
      <c r="W217" t="s">
        <v>7159</v>
      </c>
    </row>
    <row r="218" spans="2:23" hidden="1">
      <c r="B218" s="1585">
        <f t="shared" si="0"/>
        <v>184</v>
      </c>
      <c r="C218" s="1586" t="s">
        <v>6976</v>
      </c>
      <c r="D218" s="1586" t="s">
        <v>1384</v>
      </c>
      <c r="E218" s="1586" t="s">
        <v>1385</v>
      </c>
      <c r="F218" s="1587">
        <v>4.7</v>
      </c>
      <c r="G218" s="1593" t="s">
        <v>7640</v>
      </c>
      <c r="H218" s="1594">
        <v>2</v>
      </c>
      <c r="I218" s="1595" t="s">
        <v>1317</v>
      </c>
      <c r="J218" s="1596" t="s">
        <v>7084</v>
      </c>
      <c r="K218" s="1597">
        <v>4</v>
      </c>
      <c r="L218" s="1596" t="s">
        <v>1317</v>
      </c>
      <c r="M218" s="1598"/>
      <c r="N218" s="1599"/>
      <c r="O218" s="1598"/>
      <c r="W218" t="s">
        <v>7160</v>
      </c>
    </row>
    <row r="219" spans="2:23" hidden="1">
      <c r="B219" s="1585">
        <f t="shared" si="0"/>
        <v>185</v>
      </c>
      <c r="C219" s="1586" t="s">
        <v>6976</v>
      </c>
      <c r="D219" s="1586" t="s">
        <v>1450</v>
      </c>
      <c r="E219" s="1586" t="s">
        <v>1386</v>
      </c>
      <c r="F219" s="1587">
        <v>4.7</v>
      </c>
      <c r="G219" s="1593" t="s">
        <v>7640</v>
      </c>
      <c r="H219" s="1594">
        <v>2</v>
      </c>
      <c r="I219" s="1595" t="s">
        <v>1317</v>
      </c>
      <c r="J219" s="1596" t="s">
        <v>7084</v>
      </c>
      <c r="K219" s="1597">
        <v>4</v>
      </c>
      <c r="L219" s="1596" t="s">
        <v>1317</v>
      </c>
      <c r="M219" s="1598"/>
      <c r="N219" s="1599"/>
      <c r="O219" s="1598"/>
      <c r="W219" t="s">
        <v>7161</v>
      </c>
    </row>
    <row r="220" spans="2:23" hidden="1">
      <c r="B220" s="1585">
        <f t="shared" si="0"/>
        <v>186</v>
      </c>
      <c r="C220" s="1586" t="s">
        <v>6976</v>
      </c>
      <c r="D220" s="1586" t="s">
        <v>1586</v>
      </c>
      <c r="E220" s="1586" t="s">
        <v>1387</v>
      </c>
      <c r="F220" s="1587">
        <v>4.7</v>
      </c>
      <c r="G220" s="1593" t="s">
        <v>7640</v>
      </c>
      <c r="H220" s="1594">
        <v>2</v>
      </c>
      <c r="I220" s="1595" t="s">
        <v>1317</v>
      </c>
      <c r="J220" s="1596" t="s">
        <v>7084</v>
      </c>
      <c r="K220" s="1597">
        <v>4</v>
      </c>
      <c r="L220" s="1596" t="s">
        <v>1317</v>
      </c>
      <c r="M220" s="1598"/>
      <c r="N220" s="1599"/>
      <c r="O220" s="1598"/>
      <c r="W220" t="s">
        <v>7162</v>
      </c>
    </row>
    <row r="221" spans="2:23" hidden="1">
      <c r="B221" s="1585">
        <f t="shared" si="0"/>
        <v>187</v>
      </c>
      <c r="C221" s="1586" t="s">
        <v>6976</v>
      </c>
      <c r="D221" s="1586" t="s">
        <v>1854</v>
      </c>
      <c r="E221" s="1586" t="s">
        <v>1389</v>
      </c>
      <c r="F221" s="1587">
        <v>4.7</v>
      </c>
      <c r="G221" s="1593" t="s">
        <v>7640</v>
      </c>
      <c r="H221" s="1594">
        <v>2</v>
      </c>
      <c r="I221" s="1595" t="s">
        <v>1317</v>
      </c>
      <c r="J221" s="1596" t="s">
        <v>7084</v>
      </c>
      <c r="K221" s="1597">
        <v>4</v>
      </c>
      <c r="L221" s="1596" t="s">
        <v>1317</v>
      </c>
      <c r="M221" s="1598"/>
      <c r="N221" s="1599"/>
      <c r="O221" s="1598"/>
      <c r="W221" t="s">
        <v>7163</v>
      </c>
    </row>
    <row r="222" spans="2:23" hidden="1">
      <c r="B222" s="1585">
        <f t="shared" si="0"/>
        <v>188</v>
      </c>
      <c r="C222" s="1586" t="s">
        <v>6976</v>
      </c>
      <c r="D222" s="1586" t="s">
        <v>1390</v>
      </c>
      <c r="E222" s="1586" t="s">
        <v>1391</v>
      </c>
      <c r="F222" s="1587">
        <v>4.7</v>
      </c>
      <c r="G222" s="1593" t="s">
        <v>7640</v>
      </c>
      <c r="H222" s="1594">
        <v>2</v>
      </c>
      <c r="I222" s="1595" t="s">
        <v>1317</v>
      </c>
      <c r="J222" s="1596" t="s">
        <v>7084</v>
      </c>
      <c r="K222" s="1597">
        <v>4</v>
      </c>
      <c r="L222" s="1596" t="s">
        <v>1317</v>
      </c>
      <c r="M222" s="1598"/>
      <c r="N222" s="1599"/>
      <c r="O222" s="1598"/>
      <c r="W222" t="s">
        <v>7164</v>
      </c>
    </row>
    <row r="223" spans="2:23" hidden="1">
      <c r="B223" s="1585">
        <f t="shared" si="0"/>
        <v>189</v>
      </c>
      <c r="C223" s="1586" t="s">
        <v>6976</v>
      </c>
      <c r="D223" s="1586" t="s">
        <v>1451</v>
      </c>
      <c r="E223" s="1586" t="s">
        <v>1392</v>
      </c>
      <c r="F223" s="1587">
        <v>4.7</v>
      </c>
      <c r="G223" s="1593" t="s">
        <v>7640</v>
      </c>
      <c r="H223" s="1594">
        <v>2</v>
      </c>
      <c r="I223" s="1595" t="s">
        <v>1317</v>
      </c>
      <c r="J223" s="1596" t="s">
        <v>7084</v>
      </c>
      <c r="K223" s="1597">
        <v>4</v>
      </c>
      <c r="L223" s="1596" t="s">
        <v>1317</v>
      </c>
      <c r="M223" s="1598"/>
      <c r="N223" s="1599"/>
      <c r="O223" s="1598"/>
      <c r="W223" t="s">
        <v>7165</v>
      </c>
    </row>
    <row r="224" spans="2:23" hidden="1">
      <c r="B224" s="1585">
        <f t="shared" si="0"/>
        <v>190</v>
      </c>
      <c r="C224" s="1586" t="s">
        <v>6976</v>
      </c>
      <c r="D224" s="1586" t="s">
        <v>837</v>
      </c>
      <c r="E224" s="1586" t="s">
        <v>1140</v>
      </c>
      <c r="F224" s="1587">
        <v>4.7</v>
      </c>
      <c r="G224" s="1593" t="s">
        <v>7640</v>
      </c>
      <c r="H224" s="1594">
        <v>2</v>
      </c>
      <c r="I224" s="1595" t="s">
        <v>1317</v>
      </c>
      <c r="J224" s="1596" t="s">
        <v>7084</v>
      </c>
      <c r="K224" s="1597">
        <v>4</v>
      </c>
      <c r="L224" s="1596" t="s">
        <v>1317</v>
      </c>
      <c r="M224" s="1598"/>
      <c r="N224" s="1599"/>
      <c r="O224" s="1598"/>
      <c r="W224" t="s">
        <v>7166</v>
      </c>
    </row>
    <row r="225" spans="2:23" hidden="1">
      <c r="B225" s="1585">
        <f t="shared" si="0"/>
        <v>191</v>
      </c>
      <c r="C225" s="1586" t="s">
        <v>6976</v>
      </c>
      <c r="D225" s="1586" t="s">
        <v>1393</v>
      </c>
      <c r="E225" s="1586" t="s">
        <v>1394</v>
      </c>
      <c r="F225" s="1587">
        <v>4.7</v>
      </c>
      <c r="G225" s="1593" t="s">
        <v>7640</v>
      </c>
      <c r="H225" s="1594">
        <v>2</v>
      </c>
      <c r="I225" s="1595" t="s">
        <v>1317</v>
      </c>
      <c r="J225" s="1596" t="s">
        <v>7084</v>
      </c>
      <c r="K225" s="1597">
        <v>4</v>
      </c>
      <c r="L225" s="1596" t="s">
        <v>1317</v>
      </c>
      <c r="M225" s="1598"/>
      <c r="N225" s="1599"/>
      <c r="O225" s="1598"/>
      <c r="W225" t="s">
        <v>7167</v>
      </c>
    </row>
    <row r="226" spans="2:23" hidden="1">
      <c r="B226" s="1585">
        <f t="shared" si="0"/>
        <v>192</v>
      </c>
      <c r="C226" s="1586" t="s">
        <v>6976</v>
      </c>
      <c r="D226" s="1586" t="s">
        <v>1393</v>
      </c>
      <c r="E226" s="1586" t="s">
        <v>1395</v>
      </c>
      <c r="F226" s="1587">
        <v>4.7</v>
      </c>
      <c r="G226" s="1593" t="s">
        <v>7640</v>
      </c>
      <c r="H226" s="1594">
        <v>2</v>
      </c>
      <c r="I226" s="1595" t="s">
        <v>1317</v>
      </c>
      <c r="J226" s="1596" t="s">
        <v>7084</v>
      </c>
      <c r="K226" s="1597">
        <v>4</v>
      </c>
      <c r="L226" s="1596" t="s">
        <v>1317</v>
      </c>
      <c r="M226" s="1598"/>
      <c r="N226" s="1599"/>
      <c r="O226" s="1598"/>
      <c r="W226" t="s">
        <v>7168</v>
      </c>
    </row>
    <row r="227" spans="2:23" hidden="1">
      <c r="B227" s="1585">
        <f t="shared" si="0"/>
        <v>193</v>
      </c>
      <c r="C227" s="1586" t="s">
        <v>6976</v>
      </c>
      <c r="D227" s="1586" t="s">
        <v>1398</v>
      </c>
      <c r="E227" s="1586" t="s">
        <v>1399</v>
      </c>
      <c r="F227" s="1587">
        <v>4.7</v>
      </c>
      <c r="G227" s="1593" t="s">
        <v>7640</v>
      </c>
      <c r="H227" s="1594">
        <v>2</v>
      </c>
      <c r="I227" s="1595" t="s">
        <v>1317</v>
      </c>
      <c r="J227" s="1596" t="s">
        <v>7084</v>
      </c>
      <c r="K227" s="1597">
        <v>4</v>
      </c>
      <c r="L227" s="1596" t="s">
        <v>1317</v>
      </c>
      <c r="M227" s="1598"/>
      <c r="N227" s="1599"/>
      <c r="O227" s="1598"/>
      <c r="W227" t="s">
        <v>7169</v>
      </c>
    </row>
    <row r="228" spans="2:23" hidden="1">
      <c r="B228" s="1585">
        <f t="shared" si="0"/>
        <v>194</v>
      </c>
      <c r="C228" s="1586" t="s">
        <v>6976</v>
      </c>
      <c r="D228" s="1586" t="s">
        <v>1400</v>
      </c>
      <c r="E228" s="1586" t="s">
        <v>1401</v>
      </c>
      <c r="F228" s="1587">
        <v>4.7</v>
      </c>
      <c r="G228" s="1593" t="s">
        <v>7640</v>
      </c>
      <c r="H228" s="1594">
        <v>2</v>
      </c>
      <c r="I228" s="1595" t="s">
        <v>1317</v>
      </c>
      <c r="J228" s="1596" t="s">
        <v>7084</v>
      </c>
      <c r="K228" s="1597">
        <v>4</v>
      </c>
      <c r="L228" s="1596" t="s">
        <v>1317</v>
      </c>
      <c r="M228" s="1598"/>
      <c r="N228" s="1599"/>
      <c r="O228" s="1598"/>
      <c r="W228" t="s">
        <v>7170</v>
      </c>
    </row>
    <row r="229" spans="2:23" hidden="1">
      <c r="B229" s="1585">
        <f t="shared" si="0"/>
        <v>195</v>
      </c>
      <c r="C229" s="1586" t="s">
        <v>6976</v>
      </c>
      <c r="D229" s="1586" t="s">
        <v>442</v>
      </c>
      <c r="E229" s="1586" t="s">
        <v>1402</v>
      </c>
      <c r="F229" s="1587">
        <v>4.7</v>
      </c>
      <c r="G229" s="1593" t="s">
        <v>7640</v>
      </c>
      <c r="H229" s="1594">
        <v>2</v>
      </c>
      <c r="I229" s="1595" t="s">
        <v>1317</v>
      </c>
      <c r="J229" s="1596" t="s">
        <v>7084</v>
      </c>
      <c r="K229" s="1597">
        <v>4</v>
      </c>
      <c r="L229" s="1596" t="s">
        <v>1317</v>
      </c>
      <c r="M229" s="1598"/>
      <c r="N229" s="1599"/>
      <c r="O229" s="1598"/>
      <c r="W229" t="s">
        <v>7171</v>
      </c>
    </row>
    <row r="230" spans="2:23" hidden="1">
      <c r="B230" s="1585">
        <f t="shared" si="0"/>
        <v>196</v>
      </c>
      <c r="C230" s="1586" t="s">
        <v>6976</v>
      </c>
      <c r="D230" s="1586" t="s">
        <v>442</v>
      </c>
      <c r="E230" s="1586" t="s">
        <v>456</v>
      </c>
      <c r="F230" s="1587">
        <v>4.7</v>
      </c>
      <c r="G230" s="1593" t="s">
        <v>7640</v>
      </c>
      <c r="H230" s="1594">
        <v>2</v>
      </c>
      <c r="I230" s="1595" t="s">
        <v>1317</v>
      </c>
      <c r="J230" s="1596" t="s">
        <v>7084</v>
      </c>
      <c r="K230" s="1597">
        <v>4</v>
      </c>
      <c r="L230" s="1596" t="s">
        <v>1317</v>
      </c>
      <c r="M230" s="1598"/>
      <c r="N230" s="1599"/>
      <c r="O230" s="1598"/>
      <c r="W230" t="s">
        <v>7172</v>
      </c>
    </row>
    <row r="231" spans="2:23" hidden="1">
      <c r="B231" s="1585">
        <f t="shared" si="0"/>
        <v>197</v>
      </c>
      <c r="C231" s="1586" t="s">
        <v>6976</v>
      </c>
      <c r="D231" s="1586" t="s">
        <v>442</v>
      </c>
      <c r="E231" s="1586" t="s">
        <v>457</v>
      </c>
      <c r="F231" s="1587">
        <v>4.7</v>
      </c>
      <c r="G231" s="1593" t="s">
        <v>7640</v>
      </c>
      <c r="H231" s="1594">
        <v>2</v>
      </c>
      <c r="I231" s="1595" t="s">
        <v>1317</v>
      </c>
      <c r="J231" s="1596" t="s">
        <v>7084</v>
      </c>
      <c r="K231" s="1597">
        <v>4</v>
      </c>
      <c r="L231" s="1596" t="s">
        <v>1317</v>
      </c>
      <c r="M231" s="1598"/>
      <c r="N231" s="1599"/>
      <c r="O231" s="1598"/>
      <c r="W231" t="s">
        <v>7173</v>
      </c>
    </row>
    <row r="232" spans="2:23" hidden="1">
      <c r="B232" s="1585">
        <f t="shared" si="0"/>
        <v>198</v>
      </c>
      <c r="C232" s="1586" t="s">
        <v>6976</v>
      </c>
      <c r="D232" s="1586" t="s">
        <v>442</v>
      </c>
      <c r="E232" s="1586" t="s">
        <v>458</v>
      </c>
      <c r="F232" s="1587">
        <v>4.7</v>
      </c>
      <c r="G232" s="1593" t="s">
        <v>7640</v>
      </c>
      <c r="H232" s="1594">
        <v>2</v>
      </c>
      <c r="I232" s="1595" t="s">
        <v>1317</v>
      </c>
      <c r="J232" s="1596" t="s">
        <v>7084</v>
      </c>
      <c r="K232" s="1597">
        <v>4</v>
      </c>
      <c r="L232" s="1596" t="s">
        <v>1317</v>
      </c>
      <c r="M232" s="1598"/>
      <c r="N232" s="1599"/>
      <c r="O232" s="1598"/>
      <c r="W232" t="s">
        <v>7174</v>
      </c>
    </row>
    <row r="233" spans="2:23" hidden="1">
      <c r="B233" s="1585">
        <f t="shared" si="0"/>
        <v>199</v>
      </c>
      <c r="C233" s="1586" t="s">
        <v>6976</v>
      </c>
      <c r="D233" s="1586" t="s">
        <v>442</v>
      </c>
      <c r="E233" s="1586" t="s">
        <v>455</v>
      </c>
      <c r="F233" s="1587">
        <v>4.7</v>
      </c>
      <c r="G233" s="1593" t="s">
        <v>7640</v>
      </c>
      <c r="H233" s="1594">
        <v>2</v>
      </c>
      <c r="I233" s="1595" t="s">
        <v>1317</v>
      </c>
      <c r="J233" s="1596" t="s">
        <v>7084</v>
      </c>
      <c r="K233" s="1597">
        <v>4</v>
      </c>
      <c r="L233" s="1596" t="s">
        <v>1317</v>
      </c>
      <c r="M233" s="1598"/>
      <c r="N233" s="1599"/>
      <c r="O233" s="1598"/>
      <c r="W233" t="s">
        <v>7175</v>
      </c>
    </row>
    <row r="234" spans="2:23" hidden="1">
      <c r="B234" s="1585">
        <f t="shared" si="0"/>
        <v>200</v>
      </c>
      <c r="C234" s="1586" t="s">
        <v>6976</v>
      </c>
      <c r="D234" s="1586" t="s">
        <v>181</v>
      </c>
      <c r="E234" s="1586" t="s">
        <v>1140</v>
      </c>
      <c r="F234" s="1587">
        <v>4.7</v>
      </c>
      <c r="G234" s="1593" t="s">
        <v>7640</v>
      </c>
      <c r="H234" s="1594">
        <v>2</v>
      </c>
      <c r="I234" s="1595" t="s">
        <v>1317</v>
      </c>
      <c r="J234" s="1596" t="s">
        <v>7084</v>
      </c>
      <c r="K234" s="1597">
        <v>4</v>
      </c>
      <c r="L234" s="1596" t="s">
        <v>1317</v>
      </c>
      <c r="M234" s="1598"/>
      <c r="N234" s="1599"/>
      <c r="O234" s="1598"/>
      <c r="W234" t="s">
        <v>7176</v>
      </c>
    </row>
    <row r="235" spans="2:23" hidden="1">
      <c r="B235" s="1585">
        <f t="shared" si="0"/>
        <v>201</v>
      </c>
      <c r="C235" s="1586" t="s">
        <v>6976</v>
      </c>
      <c r="D235" s="1586" t="s">
        <v>1312</v>
      </c>
      <c r="E235" s="1586" t="s">
        <v>1311</v>
      </c>
      <c r="F235" s="1587">
        <v>4.2</v>
      </c>
      <c r="G235" s="1593" t="s">
        <v>7084</v>
      </c>
      <c r="H235" s="1594">
        <v>1</v>
      </c>
      <c r="I235" s="1595" t="s">
        <v>1541</v>
      </c>
      <c r="J235" s="1596" t="s">
        <v>7640</v>
      </c>
      <c r="K235" s="1597">
        <v>2</v>
      </c>
      <c r="L235" s="1596" t="s">
        <v>6977</v>
      </c>
      <c r="M235" s="1598" t="s">
        <v>7084</v>
      </c>
      <c r="N235" s="1599">
        <v>3</v>
      </c>
      <c r="O235" s="1598" t="s">
        <v>7177</v>
      </c>
      <c r="W235" t="s">
        <v>7098</v>
      </c>
    </row>
    <row r="236" spans="2:23" hidden="1">
      <c r="B236" s="1585">
        <f t="shared" si="0"/>
        <v>202</v>
      </c>
      <c r="C236" s="1586" t="s">
        <v>6976</v>
      </c>
      <c r="D236" s="1586" t="s">
        <v>297</v>
      </c>
      <c r="E236" s="1586" t="s">
        <v>1260</v>
      </c>
      <c r="F236" s="1587">
        <v>4.2</v>
      </c>
      <c r="G236" s="1593" t="s">
        <v>7084</v>
      </c>
      <c r="H236" s="1594">
        <v>1</v>
      </c>
      <c r="I236" s="1595" t="s">
        <v>1541</v>
      </c>
      <c r="J236" s="1596" t="s">
        <v>7640</v>
      </c>
      <c r="K236" s="1597">
        <v>2</v>
      </c>
      <c r="L236" s="1596" t="s">
        <v>6977</v>
      </c>
      <c r="M236" s="1598" t="s">
        <v>7084</v>
      </c>
      <c r="N236" s="1599">
        <v>3</v>
      </c>
      <c r="O236" s="1598" t="s">
        <v>7177</v>
      </c>
      <c r="W236" t="s">
        <v>7178</v>
      </c>
    </row>
    <row r="237" spans="2:23" hidden="1">
      <c r="B237" s="1585">
        <f t="shared" si="0"/>
        <v>203</v>
      </c>
      <c r="C237" s="1586" t="s">
        <v>6976</v>
      </c>
      <c r="D237" s="1586" t="s">
        <v>297</v>
      </c>
      <c r="E237" s="1586" t="s">
        <v>1261</v>
      </c>
      <c r="F237" s="1587">
        <v>4.2</v>
      </c>
      <c r="G237" s="1593" t="s">
        <v>7084</v>
      </c>
      <c r="H237" s="1594">
        <v>1</v>
      </c>
      <c r="I237" s="1595" t="s">
        <v>1541</v>
      </c>
      <c r="J237" s="1596" t="s">
        <v>7640</v>
      </c>
      <c r="K237" s="1597">
        <v>2</v>
      </c>
      <c r="L237" s="1596" t="s">
        <v>6977</v>
      </c>
      <c r="M237" s="1598" t="s">
        <v>7084</v>
      </c>
      <c r="N237" s="1599">
        <v>3</v>
      </c>
      <c r="O237" s="1598" t="s">
        <v>7177</v>
      </c>
      <c r="W237" t="s">
        <v>7179</v>
      </c>
    </row>
    <row r="238" spans="2:23" hidden="1">
      <c r="B238" s="1585">
        <f t="shared" si="0"/>
        <v>204</v>
      </c>
      <c r="C238" s="1586" t="s">
        <v>6976</v>
      </c>
      <c r="D238" s="1586" t="s">
        <v>297</v>
      </c>
      <c r="E238" s="1586" t="s">
        <v>1306</v>
      </c>
      <c r="F238" s="1587">
        <v>4.2</v>
      </c>
      <c r="G238" s="1593" t="s">
        <v>7084</v>
      </c>
      <c r="H238" s="1594">
        <v>1</v>
      </c>
      <c r="I238" s="1595" t="s">
        <v>1541</v>
      </c>
      <c r="J238" s="1596" t="s">
        <v>7640</v>
      </c>
      <c r="K238" s="1597">
        <v>2</v>
      </c>
      <c r="L238" s="1596" t="s">
        <v>6977</v>
      </c>
      <c r="M238" s="1598" t="s">
        <v>7084</v>
      </c>
      <c r="N238" s="1599">
        <v>3</v>
      </c>
      <c r="O238" s="1598" t="s">
        <v>7177</v>
      </c>
      <c r="W238" t="s">
        <v>7180</v>
      </c>
    </row>
    <row r="239" spans="2:23" hidden="1">
      <c r="B239" s="1585">
        <f t="shared" si="0"/>
        <v>205</v>
      </c>
      <c r="C239" s="1586" t="s">
        <v>6976</v>
      </c>
      <c r="D239" s="1586" t="s">
        <v>297</v>
      </c>
      <c r="E239" s="1586" t="s">
        <v>1307</v>
      </c>
      <c r="F239" s="1587">
        <v>4.2</v>
      </c>
      <c r="G239" s="1593" t="s">
        <v>7084</v>
      </c>
      <c r="H239" s="1594">
        <v>1</v>
      </c>
      <c r="I239" s="1595" t="s">
        <v>1541</v>
      </c>
      <c r="J239" s="1596" t="s">
        <v>7640</v>
      </c>
      <c r="K239" s="1597">
        <v>2</v>
      </c>
      <c r="L239" s="1596" t="s">
        <v>6977</v>
      </c>
      <c r="M239" s="1598" t="s">
        <v>7084</v>
      </c>
      <c r="N239" s="1599">
        <v>3</v>
      </c>
      <c r="O239" s="1598" t="s">
        <v>7177</v>
      </c>
      <c r="W239" t="s">
        <v>7181</v>
      </c>
    </row>
    <row r="240" spans="2:23" hidden="1">
      <c r="B240" s="1585">
        <f t="shared" si="0"/>
        <v>206</v>
      </c>
      <c r="C240" s="1586" t="s">
        <v>6976</v>
      </c>
      <c r="D240" s="1586" t="s">
        <v>297</v>
      </c>
      <c r="E240" s="1586" t="s">
        <v>1308</v>
      </c>
      <c r="F240" s="1587">
        <v>4.2</v>
      </c>
      <c r="G240" s="1593" t="s">
        <v>7084</v>
      </c>
      <c r="H240" s="1594">
        <v>1</v>
      </c>
      <c r="I240" s="1595" t="s">
        <v>1541</v>
      </c>
      <c r="J240" s="1596" t="s">
        <v>7640</v>
      </c>
      <c r="K240" s="1597">
        <v>2</v>
      </c>
      <c r="L240" s="1596" t="s">
        <v>6977</v>
      </c>
      <c r="M240" s="1598" t="s">
        <v>7084</v>
      </c>
      <c r="N240" s="1599">
        <v>3</v>
      </c>
      <c r="O240" s="1598" t="s">
        <v>7177</v>
      </c>
      <c r="W240" t="s">
        <v>7182</v>
      </c>
    </row>
    <row r="241" spans="2:23" hidden="1">
      <c r="B241" s="1585">
        <f t="shared" si="0"/>
        <v>207</v>
      </c>
      <c r="C241" s="1586" t="s">
        <v>6976</v>
      </c>
      <c r="D241" s="1586" t="s">
        <v>1281</v>
      </c>
      <c r="E241" s="1586" t="s">
        <v>1284</v>
      </c>
      <c r="F241" s="1587">
        <v>4.2</v>
      </c>
      <c r="G241" s="1593" t="s">
        <v>7084</v>
      </c>
      <c r="H241" s="1594">
        <v>1</v>
      </c>
      <c r="I241" s="1595" t="s">
        <v>1541</v>
      </c>
      <c r="J241" s="1596" t="s">
        <v>7640</v>
      </c>
      <c r="K241" s="1597">
        <v>2</v>
      </c>
      <c r="L241" s="1596" t="s">
        <v>6977</v>
      </c>
      <c r="M241" s="1598" t="s">
        <v>7084</v>
      </c>
      <c r="N241" s="1599">
        <v>3</v>
      </c>
      <c r="O241" s="1598" t="s">
        <v>7177</v>
      </c>
      <c r="W241" t="s">
        <v>7183</v>
      </c>
    </row>
    <row r="242" spans="2:23" hidden="1">
      <c r="B242" s="1585">
        <f t="shared" si="0"/>
        <v>208</v>
      </c>
      <c r="C242" s="1586" t="s">
        <v>6976</v>
      </c>
      <c r="D242" s="1586" t="s">
        <v>425</v>
      </c>
      <c r="E242" s="1586" t="s">
        <v>1264</v>
      </c>
      <c r="F242" s="1587">
        <v>4.2</v>
      </c>
      <c r="G242" s="1593" t="s">
        <v>7084</v>
      </c>
      <c r="H242" s="1594">
        <v>1</v>
      </c>
      <c r="I242" s="1595" t="s">
        <v>1541</v>
      </c>
      <c r="J242" s="1596"/>
      <c r="K242" s="1597"/>
      <c r="L242" s="1596"/>
      <c r="M242" s="1697"/>
      <c r="N242" s="1698"/>
      <c r="O242" s="1697"/>
      <c r="W242" t="s">
        <v>7184</v>
      </c>
    </row>
    <row r="243" spans="2:23" hidden="1">
      <c r="B243" s="1585">
        <f t="shared" si="0"/>
        <v>209</v>
      </c>
      <c r="C243" s="1586" t="s">
        <v>6976</v>
      </c>
      <c r="D243" s="1586" t="s">
        <v>425</v>
      </c>
      <c r="E243" s="1586" t="s">
        <v>1265</v>
      </c>
      <c r="F243" s="1587">
        <v>4.2</v>
      </c>
      <c r="G243" s="1593" t="s">
        <v>7084</v>
      </c>
      <c r="H243" s="1594">
        <v>1</v>
      </c>
      <c r="I243" s="1595" t="s">
        <v>1541</v>
      </c>
      <c r="J243" s="1596"/>
      <c r="K243" s="1597"/>
      <c r="L243" s="1596"/>
      <c r="M243" s="1598"/>
      <c r="N243" s="1599"/>
      <c r="O243" s="1598"/>
      <c r="W243" t="s">
        <v>7185</v>
      </c>
    </row>
    <row r="244" spans="2:23" hidden="1">
      <c r="B244" s="1585">
        <f t="shared" si="0"/>
        <v>210</v>
      </c>
      <c r="C244" s="1586" t="s">
        <v>6976</v>
      </c>
      <c r="D244" s="1586" t="s">
        <v>426</v>
      </c>
      <c r="E244" s="1586" t="s">
        <v>1266</v>
      </c>
      <c r="F244" s="1587">
        <v>4.2</v>
      </c>
      <c r="G244" s="1593" t="s">
        <v>7084</v>
      </c>
      <c r="H244" s="1594">
        <v>1</v>
      </c>
      <c r="I244" s="1595" t="s">
        <v>1541</v>
      </c>
      <c r="J244" s="1596"/>
      <c r="K244" s="1597"/>
      <c r="L244" s="1596"/>
      <c r="M244" s="1598"/>
      <c r="N244" s="1599"/>
      <c r="O244" s="1598"/>
      <c r="W244" t="s">
        <v>7186</v>
      </c>
    </row>
    <row r="245" spans="2:23" hidden="1">
      <c r="B245" s="1585">
        <f t="shared" si="0"/>
        <v>211</v>
      </c>
      <c r="C245" s="1586" t="s">
        <v>6976</v>
      </c>
      <c r="D245" s="1586" t="s">
        <v>426</v>
      </c>
      <c r="E245" s="1586" t="s">
        <v>1267</v>
      </c>
      <c r="F245" s="1587">
        <v>4.2</v>
      </c>
      <c r="G245" s="1593" t="s">
        <v>7084</v>
      </c>
      <c r="H245" s="1594">
        <v>1</v>
      </c>
      <c r="I245" s="1595" t="s">
        <v>1541</v>
      </c>
      <c r="J245" s="1596"/>
      <c r="K245" s="1597"/>
      <c r="L245" s="1596"/>
      <c r="M245" s="1598"/>
      <c r="N245" s="1599"/>
      <c r="O245" s="1598"/>
      <c r="W245" t="s">
        <v>7187</v>
      </c>
    </row>
    <row r="246" spans="2:23" hidden="1">
      <c r="B246" s="1585">
        <f t="shared" si="0"/>
        <v>212</v>
      </c>
      <c r="C246" s="1586" t="s">
        <v>6976</v>
      </c>
      <c r="D246" s="1586" t="s">
        <v>295</v>
      </c>
      <c r="E246" s="1586" t="s">
        <v>445</v>
      </c>
      <c r="F246" s="1587">
        <v>4.2</v>
      </c>
      <c r="G246" s="1593" t="s">
        <v>7084</v>
      </c>
      <c r="H246" s="1594">
        <v>1</v>
      </c>
      <c r="I246" s="1595" t="s">
        <v>1541</v>
      </c>
      <c r="J246" s="1596"/>
      <c r="K246" s="1597"/>
      <c r="L246" s="1596"/>
      <c r="M246" s="1598"/>
      <c r="N246" s="1599"/>
      <c r="O246" s="1598"/>
      <c r="W246" t="s">
        <v>7188</v>
      </c>
    </row>
    <row r="247" spans="2:23" hidden="1">
      <c r="B247" s="1585">
        <f t="shared" si="0"/>
        <v>213</v>
      </c>
      <c r="C247" s="1586" t="s">
        <v>6976</v>
      </c>
      <c r="D247" s="1586" t="s">
        <v>295</v>
      </c>
      <c r="E247" s="1586" t="s">
        <v>446</v>
      </c>
      <c r="F247" s="1587">
        <v>4.2</v>
      </c>
      <c r="G247" s="1593" t="s">
        <v>7084</v>
      </c>
      <c r="H247" s="1594">
        <v>1</v>
      </c>
      <c r="I247" s="1595" t="s">
        <v>1541</v>
      </c>
      <c r="J247" s="1596"/>
      <c r="K247" s="1597"/>
      <c r="L247" s="1596"/>
      <c r="M247" s="1598"/>
      <c r="N247" s="1599"/>
      <c r="O247" s="1598"/>
      <c r="W247" t="s">
        <v>7189</v>
      </c>
    </row>
    <row r="248" spans="2:23" hidden="1">
      <c r="B248" s="1585">
        <f t="shared" si="0"/>
        <v>214</v>
      </c>
      <c r="C248" s="1586" t="s">
        <v>6976</v>
      </c>
      <c r="D248" s="1586" t="s">
        <v>296</v>
      </c>
      <c r="E248" s="1586" t="s">
        <v>1786</v>
      </c>
      <c r="F248" s="1587">
        <v>4.2</v>
      </c>
      <c r="G248" s="1593" t="s">
        <v>7084</v>
      </c>
      <c r="H248" s="1594">
        <v>1</v>
      </c>
      <c r="I248" s="1595" t="s">
        <v>1541</v>
      </c>
      <c r="J248" s="1596"/>
      <c r="K248" s="1597"/>
      <c r="L248" s="1596"/>
      <c r="M248" s="1598"/>
      <c r="N248" s="1599"/>
      <c r="O248" s="1598"/>
      <c r="W248" t="s">
        <v>7190</v>
      </c>
    </row>
    <row r="249" spans="2:23" hidden="1">
      <c r="B249" s="1585">
        <f t="shared" si="0"/>
        <v>215</v>
      </c>
      <c r="C249" s="1586" t="s">
        <v>6976</v>
      </c>
      <c r="D249" s="1586" t="s">
        <v>296</v>
      </c>
      <c r="E249" s="1586" t="s">
        <v>1787</v>
      </c>
      <c r="F249" s="1587">
        <v>4.2</v>
      </c>
      <c r="G249" s="1593" t="s">
        <v>7084</v>
      </c>
      <c r="H249" s="1594">
        <v>1</v>
      </c>
      <c r="I249" s="1595" t="s">
        <v>1541</v>
      </c>
      <c r="J249" s="1596"/>
      <c r="K249" s="1597"/>
      <c r="L249" s="1596"/>
      <c r="M249" s="1598"/>
      <c r="N249" s="1599"/>
      <c r="O249" s="1598"/>
      <c r="W249" t="s">
        <v>7191</v>
      </c>
    </row>
    <row r="250" spans="2:23" hidden="1">
      <c r="B250" s="1585">
        <f t="shared" si="0"/>
        <v>216</v>
      </c>
      <c r="C250" s="1586" t="s">
        <v>6976</v>
      </c>
      <c r="D250" s="1586" t="s">
        <v>296</v>
      </c>
      <c r="E250" s="1586" t="s">
        <v>1259</v>
      </c>
      <c r="F250" s="1587">
        <v>4.2</v>
      </c>
      <c r="G250" s="1593" t="s">
        <v>7084</v>
      </c>
      <c r="H250" s="1594">
        <v>1</v>
      </c>
      <c r="I250" s="1595" t="s">
        <v>1541</v>
      </c>
      <c r="J250" s="1596"/>
      <c r="K250" s="1597"/>
      <c r="L250" s="1596"/>
      <c r="M250" s="1598"/>
      <c r="N250" s="1599"/>
      <c r="O250" s="1598"/>
      <c r="W250" t="s">
        <v>7192</v>
      </c>
    </row>
    <row r="251" spans="2:23" hidden="1">
      <c r="B251" s="1585">
        <f t="shared" si="0"/>
        <v>217</v>
      </c>
      <c r="C251" s="1586" t="s">
        <v>6976</v>
      </c>
      <c r="D251" s="1586" t="s">
        <v>296</v>
      </c>
      <c r="E251" s="1586" t="s">
        <v>1268</v>
      </c>
      <c r="F251" s="1587">
        <v>4.2</v>
      </c>
      <c r="G251" s="1593" t="s">
        <v>7084</v>
      </c>
      <c r="H251" s="1594">
        <v>1</v>
      </c>
      <c r="I251" s="1595" t="s">
        <v>1541</v>
      </c>
      <c r="J251" s="1596"/>
      <c r="K251" s="1597"/>
      <c r="L251" s="1596"/>
      <c r="M251" s="1598"/>
      <c r="N251" s="1599"/>
      <c r="O251" s="1598"/>
      <c r="W251" t="s">
        <v>7193</v>
      </c>
    </row>
    <row r="252" spans="2:23" hidden="1">
      <c r="B252" s="1585">
        <f t="shared" si="0"/>
        <v>218</v>
      </c>
      <c r="C252" s="1586" t="s">
        <v>6976</v>
      </c>
      <c r="D252" s="1586" t="s">
        <v>437</v>
      </c>
      <c r="E252" s="1586" t="s">
        <v>1271</v>
      </c>
      <c r="F252" s="1587">
        <v>4.2</v>
      </c>
      <c r="G252" s="1593" t="s">
        <v>7084</v>
      </c>
      <c r="H252" s="1594">
        <v>1</v>
      </c>
      <c r="I252" s="1595" t="s">
        <v>1541</v>
      </c>
      <c r="J252" s="1596"/>
      <c r="K252" s="1597"/>
      <c r="L252" s="1596"/>
      <c r="M252" s="1598" t="s">
        <v>7084</v>
      </c>
      <c r="N252" s="1599">
        <v>3</v>
      </c>
      <c r="O252" s="1598" t="s">
        <v>7177</v>
      </c>
      <c r="W252" t="s">
        <v>7194</v>
      </c>
    </row>
    <row r="253" spans="2:23" hidden="1">
      <c r="B253" s="1585">
        <f t="shared" si="0"/>
        <v>219</v>
      </c>
      <c r="C253" s="1586" t="s">
        <v>6976</v>
      </c>
      <c r="D253" s="1586" t="s">
        <v>438</v>
      </c>
      <c r="E253" s="1586" t="s">
        <v>1272</v>
      </c>
      <c r="F253" s="1587">
        <v>4.2</v>
      </c>
      <c r="G253" s="1593" t="s">
        <v>7084</v>
      </c>
      <c r="H253" s="1594">
        <v>1</v>
      </c>
      <c r="I253" s="1595" t="s">
        <v>1541</v>
      </c>
      <c r="J253" s="1596"/>
      <c r="K253" s="1597"/>
      <c r="L253" s="1596"/>
      <c r="M253" s="1598"/>
      <c r="N253" s="1599"/>
      <c r="O253" s="1598"/>
      <c r="W253" t="s">
        <v>7195</v>
      </c>
    </row>
    <row r="254" spans="2:23" hidden="1">
      <c r="B254" s="1585">
        <f t="shared" si="0"/>
        <v>220</v>
      </c>
      <c r="C254" s="1586" t="s">
        <v>6976</v>
      </c>
      <c r="D254" s="1586" t="s">
        <v>438</v>
      </c>
      <c r="E254" s="1586" t="s">
        <v>451</v>
      </c>
      <c r="F254" s="1587">
        <v>4.2</v>
      </c>
      <c r="G254" s="1593" t="s">
        <v>7084</v>
      </c>
      <c r="H254" s="1594">
        <v>1</v>
      </c>
      <c r="I254" s="1595" t="s">
        <v>1541</v>
      </c>
      <c r="J254" s="1596"/>
      <c r="K254" s="1597"/>
      <c r="L254" s="1596"/>
      <c r="M254" s="1598"/>
      <c r="N254" s="1599"/>
      <c r="O254" s="1598"/>
      <c r="W254" t="s">
        <v>7196</v>
      </c>
    </row>
    <row r="255" spans="2:23" hidden="1">
      <c r="B255" s="1585">
        <f t="shared" si="0"/>
        <v>221</v>
      </c>
      <c r="C255" s="1586" t="s">
        <v>6976</v>
      </c>
      <c r="D255" s="1586" t="s">
        <v>438</v>
      </c>
      <c r="E255" s="1586" t="s">
        <v>452</v>
      </c>
      <c r="F255" s="1587">
        <v>4.2</v>
      </c>
      <c r="G255" s="1593" t="s">
        <v>7084</v>
      </c>
      <c r="H255" s="1594">
        <v>1</v>
      </c>
      <c r="I255" s="1595" t="s">
        <v>1541</v>
      </c>
      <c r="J255" s="1596"/>
      <c r="K255" s="1597"/>
      <c r="L255" s="1596"/>
      <c r="M255" s="1598"/>
      <c r="N255" s="1599"/>
      <c r="O255" s="1598"/>
      <c r="W255" t="s">
        <v>7197</v>
      </c>
    </row>
    <row r="256" spans="2:23" hidden="1">
      <c r="B256" s="1585">
        <f t="shared" si="0"/>
        <v>222</v>
      </c>
      <c r="C256" s="1586" t="s">
        <v>6976</v>
      </c>
      <c r="D256" s="1586" t="s">
        <v>438</v>
      </c>
      <c r="E256" s="1586" t="s">
        <v>1273</v>
      </c>
      <c r="F256" s="1587">
        <v>4.2</v>
      </c>
      <c r="G256" s="1593" t="s">
        <v>7084</v>
      </c>
      <c r="H256" s="1594">
        <v>1</v>
      </c>
      <c r="I256" s="1595" t="s">
        <v>1541</v>
      </c>
      <c r="J256" s="1596"/>
      <c r="K256" s="1597"/>
      <c r="L256" s="1596"/>
      <c r="M256" s="1598"/>
      <c r="N256" s="1599"/>
      <c r="O256" s="1598"/>
      <c r="W256" t="s">
        <v>7198</v>
      </c>
    </row>
    <row r="257" spans="2:23" hidden="1">
      <c r="B257" s="1585">
        <f t="shared" si="0"/>
        <v>223</v>
      </c>
      <c r="C257" s="1586" t="s">
        <v>6976</v>
      </c>
      <c r="D257" s="1586" t="s">
        <v>438</v>
      </c>
      <c r="E257" s="1586" t="s">
        <v>1274</v>
      </c>
      <c r="F257" s="1587">
        <v>4.2</v>
      </c>
      <c r="G257" s="1593" t="s">
        <v>7084</v>
      </c>
      <c r="H257" s="1594">
        <v>1</v>
      </c>
      <c r="I257" s="1595" t="s">
        <v>1541</v>
      </c>
      <c r="J257" s="1596"/>
      <c r="K257" s="1597"/>
      <c r="L257" s="1596"/>
      <c r="M257" s="1598"/>
      <c r="N257" s="1599"/>
      <c r="O257" s="1598"/>
      <c r="W257" t="s">
        <v>7199</v>
      </c>
    </row>
    <row r="258" spans="2:23" hidden="1">
      <c r="B258" s="1585">
        <f t="shared" si="0"/>
        <v>224</v>
      </c>
      <c r="C258" s="1586" t="s">
        <v>6976</v>
      </c>
      <c r="D258" s="1586" t="s">
        <v>438</v>
      </c>
      <c r="E258" s="1586" t="s">
        <v>1275</v>
      </c>
      <c r="F258" s="1587">
        <v>4.2</v>
      </c>
      <c r="G258" s="1593" t="s">
        <v>7084</v>
      </c>
      <c r="H258" s="1594">
        <v>1</v>
      </c>
      <c r="I258" s="1595" t="s">
        <v>1541</v>
      </c>
      <c r="J258" s="1596"/>
      <c r="K258" s="1597"/>
      <c r="L258" s="1596"/>
      <c r="M258" s="1598"/>
      <c r="N258" s="1599"/>
      <c r="O258" s="1598"/>
      <c r="W258" t="s">
        <v>7200</v>
      </c>
    </row>
    <row r="259" spans="2:23" hidden="1">
      <c r="B259" s="1585">
        <f t="shared" si="0"/>
        <v>225</v>
      </c>
      <c r="C259" s="1586" t="s">
        <v>6976</v>
      </c>
      <c r="D259" s="1586" t="s">
        <v>294</v>
      </c>
      <c r="E259" s="1586" t="s">
        <v>1276</v>
      </c>
      <c r="F259" s="1587">
        <v>4.2</v>
      </c>
      <c r="G259" s="1593" t="s">
        <v>7084</v>
      </c>
      <c r="H259" s="1594">
        <v>1</v>
      </c>
      <c r="I259" s="1595" t="s">
        <v>1541</v>
      </c>
      <c r="J259" s="1596"/>
      <c r="K259" s="1597"/>
      <c r="L259" s="1596"/>
      <c r="M259" s="1598"/>
      <c r="N259" s="1599"/>
      <c r="O259" s="1598"/>
      <c r="W259" t="s">
        <v>7201</v>
      </c>
    </row>
    <row r="260" spans="2:23" hidden="1">
      <c r="B260" s="1585">
        <f t="shared" si="0"/>
        <v>226</v>
      </c>
      <c r="C260" s="1586" t="s">
        <v>6976</v>
      </c>
      <c r="D260" s="1586" t="s">
        <v>440</v>
      </c>
      <c r="E260" s="1586" t="s">
        <v>1583</v>
      </c>
      <c r="F260" s="1587">
        <v>4.2</v>
      </c>
      <c r="G260" s="1593" t="s">
        <v>7084</v>
      </c>
      <c r="H260" s="1594">
        <v>1</v>
      </c>
      <c r="I260" s="1595" t="s">
        <v>1541</v>
      </c>
      <c r="J260" s="1596"/>
      <c r="K260" s="1597"/>
      <c r="L260" s="1596"/>
      <c r="M260" s="1598"/>
      <c r="N260" s="1599"/>
      <c r="O260" s="1598"/>
      <c r="W260" t="s">
        <v>7202</v>
      </c>
    </row>
    <row r="261" spans="2:23" hidden="1">
      <c r="B261" s="1585">
        <f t="shared" si="0"/>
        <v>227</v>
      </c>
      <c r="C261" s="1586" t="s">
        <v>6976</v>
      </c>
      <c r="D261" s="1586" t="s">
        <v>424</v>
      </c>
      <c r="E261" s="1586" t="s">
        <v>1260</v>
      </c>
      <c r="F261" s="1587">
        <v>4.2</v>
      </c>
      <c r="G261" s="1593" t="s">
        <v>7084</v>
      </c>
      <c r="H261" s="1594">
        <v>1</v>
      </c>
      <c r="I261" s="1595" t="s">
        <v>1541</v>
      </c>
      <c r="J261" s="1596"/>
      <c r="K261" s="1597"/>
      <c r="L261" s="1596"/>
      <c r="M261" s="1598"/>
      <c r="N261" s="1599"/>
      <c r="O261" s="1598"/>
      <c r="W261" t="s">
        <v>7203</v>
      </c>
    </row>
    <row r="262" spans="2:23" hidden="1">
      <c r="B262" s="1585">
        <f t="shared" si="0"/>
        <v>228</v>
      </c>
      <c r="C262" s="1586" t="s">
        <v>6976</v>
      </c>
      <c r="D262" s="1586" t="s">
        <v>424</v>
      </c>
      <c r="E262" s="1586" t="s">
        <v>1261</v>
      </c>
      <c r="F262" s="1587">
        <v>4.2</v>
      </c>
      <c r="G262" s="1593" t="s">
        <v>7084</v>
      </c>
      <c r="H262" s="1594">
        <v>1</v>
      </c>
      <c r="I262" s="1595" t="s">
        <v>1541</v>
      </c>
      <c r="J262" s="1596"/>
      <c r="K262" s="1597"/>
      <c r="L262" s="1596"/>
      <c r="M262" s="1598"/>
      <c r="N262" s="1599"/>
      <c r="O262" s="1598"/>
      <c r="W262" t="s">
        <v>7204</v>
      </c>
    </row>
    <row r="263" spans="2:23" hidden="1">
      <c r="B263" s="1585">
        <f t="shared" si="0"/>
        <v>229</v>
      </c>
      <c r="C263" s="1586" t="s">
        <v>6976</v>
      </c>
      <c r="D263" s="1586" t="s">
        <v>424</v>
      </c>
      <c r="E263" s="1586" t="s">
        <v>1262</v>
      </c>
      <c r="F263" s="1587">
        <v>4.2</v>
      </c>
      <c r="G263" s="1593" t="s">
        <v>7084</v>
      </c>
      <c r="H263" s="1594">
        <v>1</v>
      </c>
      <c r="I263" s="1595" t="s">
        <v>1541</v>
      </c>
      <c r="J263" s="1596"/>
      <c r="K263" s="1597"/>
      <c r="L263" s="1596"/>
      <c r="M263" s="1598"/>
      <c r="N263" s="1599"/>
      <c r="O263" s="1598"/>
      <c r="W263" t="s">
        <v>7205</v>
      </c>
    </row>
    <row r="264" spans="2:23" hidden="1">
      <c r="B264" s="1585">
        <f t="shared" si="0"/>
        <v>230</v>
      </c>
      <c r="C264" s="1586" t="s">
        <v>6976</v>
      </c>
      <c r="D264" s="1586" t="s">
        <v>424</v>
      </c>
      <c r="E264" s="1586" t="s">
        <v>1263</v>
      </c>
      <c r="F264" s="1587">
        <v>4.2</v>
      </c>
      <c r="G264" s="1593" t="s">
        <v>7084</v>
      </c>
      <c r="H264" s="1594">
        <v>1</v>
      </c>
      <c r="I264" s="1595" t="s">
        <v>1541</v>
      </c>
      <c r="J264" s="1596"/>
      <c r="K264" s="1597"/>
      <c r="L264" s="1596"/>
      <c r="M264" s="1598"/>
      <c r="N264" s="1599"/>
      <c r="O264" s="1598"/>
      <c r="W264" t="s">
        <v>7206</v>
      </c>
    </row>
    <row r="265" spans="2:23" hidden="1">
      <c r="B265" s="1585">
        <f t="shared" si="0"/>
        <v>231</v>
      </c>
      <c r="C265" s="1586" t="s">
        <v>6976</v>
      </c>
      <c r="D265" s="1586" t="s">
        <v>304</v>
      </c>
      <c r="E265" s="1586" t="s">
        <v>1269</v>
      </c>
      <c r="F265" s="1587">
        <v>4.2</v>
      </c>
      <c r="G265" s="1593" t="s">
        <v>7084</v>
      </c>
      <c r="H265" s="1594">
        <v>1</v>
      </c>
      <c r="I265" s="1595" t="s">
        <v>1541</v>
      </c>
      <c r="J265" s="1596"/>
      <c r="K265" s="1597"/>
      <c r="L265" s="1596"/>
      <c r="M265" s="1598"/>
      <c r="N265" s="1599"/>
      <c r="O265" s="1598"/>
      <c r="W265" t="s">
        <v>7207</v>
      </c>
    </row>
    <row r="266" spans="2:23" hidden="1">
      <c r="B266" s="1585">
        <f t="shared" si="0"/>
        <v>232</v>
      </c>
      <c r="C266" s="1586" t="s">
        <v>6976</v>
      </c>
      <c r="D266" s="1586" t="s">
        <v>304</v>
      </c>
      <c r="E266" s="1586" t="s">
        <v>1262</v>
      </c>
      <c r="F266" s="1587">
        <v>4.2</v>
      </c>
      <c r="G266" s="1593" t="s">
        <v>7084</v>
      </c>
      <c r="H266" s="1594">
        <v>1</v>
      </c>
      <c r="I266" s="1595" t="s">
        <v>1541</v>
      </c>
      <c r="J266" s="1596"/>
      <c r="K266" s="1597"/>
      <c r="L266" s="1596"/>
      <c r="M266" s="1598"/>
      <c r="N266" s="1599"/>
      <c r="O266" s="1598"/>
      <c r="W266" t="s">
        <v>7208</v>
      </c>
    </row>
    <row r="267" spans="2:23" hidden="1">
      <c r="B267" s="1585">
        <f t="shared" si="0"/>
        <v>233</v>
      </c>
      <c r="C267" s="1586" t="s">
        <v>6976</v>
      </c>
      <c r="D267" s="1586" t="s">
        <v>304</v>
      </c>
      <c r="E267" s="1586" t="s">
        <v>1263</v>
      </c>
      <c r="F267" s="1587">
        <v>4.2</v>
      </c>
      <c r="G267" s="1593" t="s">
        <v>7084</v>
      </c>
      <c r="H267" s="1594">
        <v>1</v>
      </c>
      <c r="I267" s="1595" t="s">
        <v>1541</v>
      </c>
      <c r="J267" s="1596"/>
      <c r="K267" s="1597"/>
      <c r="L267" s="1596"/>
      <c r="M267" s="1598"/>
      <c r="N267" s="1599"/>
      <c r="O267" s="1598"/>
      <c r="W267" t="s">
        <v>7209</v>
      </c>
    </row>
    <row r="268" spans="2:23" hidden="1">
      <c r="B268" s="1585">
        <f t="shared" si="0"/>
        <v>234</v>
      </c>
      <c r="C268" s="1586" t="s">
        <v>6976</v>
      </c>
      <c r="D268" s="1586" t="s">
        <v>304</v>
      </c>
      <c r="E268" s="1586" t="s">
        <v>1270</v>
      </c>
      <c r="F268" s="1587">
        <v>4.2</v>
      </c>
      <c r="G268" s="1593" t="s">
        <v>7084</v>
      </c>
      <c r="H268" s="1594">
        <v>1</v>
      </c>
      <c r="I268" s="1595" t="s">
        <v>1541</v>
      </c>
      <c r="J268" s="1596"/>
      <c r="K268" s="1597"/>
      <c r="L268" s="1596"/>
      <c r="M268" s="1598"/>
      <c r="N268" s="1599"/>
      <c r="O268" s="1598"/>
      <c r="W268" t="s">
        <v>7210</v>
      </c>
    </row>
    <row r="269" spans="2:23" hidden="1">
      <c r="B269" s="1585">
        <f t="shared" si="0"/>
        <v>235</v>
      </c>
      <c r="C269" s="1586" t="s">
        <v>6976</v>
      </c>
      <c r="D269" s="1586" t="s">
        <v>1258</v>
      </c>
      <c r="E269" s="1586" t="s">
        <v>1140</v>
      </c>
      <c r="F269" s="1587">
        <v>4.2</v>
      </c>
      <c r="G269" s="1593" t="s">
        <v>7084</v>
      </c>
      <c r="H269" s="1594">
        <v>1</v>
      </c>
      <c r="I269" s="1595" t="s">
        <v>1541</v>
      </c>
      <c r="J269" s="1596"/>
      <c r="K269" s="1597"/>
      <c r="L269" s="1596"/>
      <c r="M269" s="1598"/>
      <c r="N269" s="1599"/>
      <c r="O269" s="1598"/>
      <c r="W269" t="s">
        <v>7211</v>
      </c>
    </row>
    <row r="270" spans="2:23" hidden="1">
      <c r="B270" s="1585">
        <f t="shared" si="0"/>
        <v>236</v>
      </c>
      <c r="C270" s="1586" t="s">
        <v>6976</v>
      </c>
      <c r="D270" s="1586" t="s">
        <v>297</v>
      </c>
      <c r="E270" s="1586" t="s">
        <v>1260</v>
      </c>
      <c r="F270" s="1587">
        <v>4.2</v>
      </c>
      <c r="G270" s="1593" t="s">
        <v>7084</v>
      </c>
      <c r="H270" s="1594">
        <v>2</v>
      </c>
      <c r="I270" s="1595" t="s">
        <v>7213</v>
      </c>
      <c r="J270" s="1596"/>
      <c r="K270" s="1597"/>
      <c r="L270" s="1596"/>
      <c r="M270" s="1598"/>
      <c r="N270" s="1599"/>
      <c r="O270" s="1598"/>
      <c r="W270" t="s">
        <v>7212</v>
      </c>
    </row>
    <row r="271" spans="2:23" hidden="1">
      <c r="B271" s="1585">
        <f t="shared" si="0"/>
        <v>237</v>
      </c>
      <c r="C271" s="1586" t="s">
        <v>6976</v>
      </c>
      <c r="D271" s="1586" t="s">
        <v>297</v>
      </c>
      <c r="E271" s="1586" t="s">
        <v>1261</v>
      </c>
      <c r="F271" s="1587">
        <v>4.2</v>
      </c>
      <c r="G271" s="1593" t="s">
        <v>7084</v>
      </c>
      <c r="H271" s="1594">
        <v>2</v>
      </c>
      <c r="I271" s="1595" t="s">
        <v>7213</v>
      </c>
      <c r="J271" s="1596"/>
      <c r="K271" s="1597"/>
      <c r="L271" s="1596"/>
      <c r="M271" s="1598"/>
      <c r="N271" s="1599"/>
      <c r="O271" s="1598"/>
      <c r="W271" t="s">
        <v>7179</v>
      </c>
    </row>
    <row r="272" spans="2:23" hidden="1">
      <c r="B272" s="1585">
        <f t="shared" ref="B272:B335" si="1">B271+1</f>
        <v>238</v>
      </c>
      <c r="C272" s="1586" t="s">
        <v>6976</v>
      </c>
      <c r="D272" s="1586" t="s">
        <v>297</v>
      </c>
      <c r="E272" s="1586" t="s">
        <v>1306</v>
      </c>
      <c r="F272" s="1587">
        <v>4.2</v>
      </c>
      <c r="G272" s="1593" t="s">
        <v>7084</v>
      </c>
      <c r="H272" s="1594">
        <v>2</v>
      </c>
      <c r="I272" s="1595" t="s">
        <v>7213</v>
      </c>
      <c r="J272" s="1596"/>
      <c r="K272" s="1597"/>
      <c r="L272" s="1596"/>
      <c r="M272" s="1598"/>
      <c r="N272" s="1599"/>
      <c r="O272" s="1598"/>
      <c r="W272" t="s">
        <v>7180</v>
      </c>
    </row>
    <row r="273" spans="2:23" hidden="1">
      <c r="B273" s="1585">
        <f t="shared" si="1"/>
        <v>239</v>
      </c>
      <c r="C273" s="1586" t="s">
        <v>6976</v>
      </c>
      <c r="D273" s="1586" t="s">
        <v>297</v>
      </c>
      <c r="E273" s="1586" t="s">
        <v>1307</v>
      </c>
      <c r="F273" s="1587">
        <v>4.2</v>
      </c>
      <c r="G273" s="1593" t="s">
        <v>7084</v>
      </c>
      <c r="H273" s="1594">
        <v>2</v>
      </c>
      <c r="I273" s="1595" t="s">
        <v>7213</v>
      </c>
      <c r="J273" s="1596"/>
      <c r="K273" s="1597"/>
      <c r="L273" s="1596"/>
      <c r="M273" s="1598"/>
      <c r="N273" s="1599"/>
      <c r="O273" s="1598"/>
      <c r="W273" t="s">
        <v>7181</v>
      </c>
    </row>
    <row r="274" spans="2:23" hidden="1">
      <c r="B274" s="1585">
        <f t="shared" si="1"/>
        <v>240</v>
      </c>
      <c r="C274" s="1586" t="s">
        <v>6976</v>
      </c>
      <c r="D274" s="1586" t="s">
        <v>297</v>
      </c>
      <c r="E274" s="1586" t="s">
        <v>1308</v>
      </c>
      <c r="F274" s="1587">
        <v>4.2</v>
      </c>
      <c r="G274" s="1593" t="s">
        <v>7084</v>
      </c>
      <c r="H274" s="1594">
        <v>2</v>
      </c>
      <c r="I274" s="1595" t="s">
        <v>7213</v>
      </c>
      <c r="J274" s="1596"/>
      <c r="K274" s="1597"/>
      <c r="L274" s="1596"/>
      <c r="M274" s="1598"/>
      <c r="N274" s="1599"/>
      <c r="O274" s="1598"/>
      <c r="W274" t="s">
        <v>7182</v>
      </c>
    </row>
    <row r="275" spans="2:23" hidden="1">
      <c r="B275" s="1585">
        <f t="shared" si="1"/>
        <v>241</v>
      </c>
      <c r="C275" s="1586" t="s">
        <v>6976</v>
      </c>
      <c r="D275" s="1586" t="s">
        <v>424</v>
      </c>
      <c r="E275" s="1586" t="s">
        <v>1260</v>
      </c>
      <c r="F275" s="1587">
        <v>4.2</v>
      </c>
      <c r="G275" s="1593" t="s">
        <v>7084</v>
      </c>
      <c r="H275" s="1594">
        <v>2</v>
      </c>
      <c r="I275" s="1595" t="s">
        <v>7213</v>
      </c>
      <c r="J275" s="1596"/>
      <c r="K275" s="1597"/>
      <c r="L275" s="1596"/>
      <c r="M275" s="1598"/>
      <c r="N275" s="1599"/>
      <c r="O275" s="1598"/>
      <c r="W275" t="s">
        <v>7183</v>
      </c>
    </row>
    <row r="276" spans="2:23" hidden="1">
      <c r="B276" s="1585">
        <f t="shared" si="1"/>
        <v>242</v>
      </c>
      <c r="C276" s="1586" t="s">
        <v>6976</v>
      </c>
      <c r="D276" s="1586" t="s">
        <v>424</v>
      </c>
      <c r="E276" s="1586" t="s">
        <v>1261</v>
      </c>
      <c r="F276" s="1587">
        <v>4.2</v>
      </c>
      <c r="G276" s="1593" t="s">
        <v>7084</v>
      </c>
      <c r="H276" s="1594">
        <v>2</v>
      </c>
      <c r="I276" s="1595" t="s">
        <v>7213</v>
      </c>
      <c r="J276" s="1596"/>
      <c r="K276" s="1597"/>
      <c r="L276" s="1596"/>
      <c r="M276" s="1598"/>
      <c r="N276" s="1599"/>
      <c r="O276" s="1598"/>
      <c r="W276" t="s">
        <v>7204</v>
      </c>
    </row>
    <row r="277" spans="2:23" hidden="1">
      <c r="B277" s="1585">
        <f t="shared" si="1"/>
        <v>243</v>
      </c>
      <c r="C277" s="1586" t="s">
        <v>6976</v>
      </c>
      <c r="D277" s="1586" t="s">
        <v>424</v>
      </c>
      <c r="E277" s="1586" t="s">
        <v>1262</v>
      </c>
      <c r="F277" s="1587">
        <v>4.2</v>
      </c>
      <c r="G277" s="1593" t="s">
        <v>7084</v>
      </c>
      <c r="H277" s="1594">
        <v>2</v>
      </c>
      <c r="I277" s="1595" t="s">
        <v>7213</v>
      </c>
      <c r="J277" s="1596"/>
      <c r="K277" s="1597"/>
      <c r="L277" s="1596"/>
      <c r="M277" s="1598"/>
      <c r="N277" s="1599"/>
      <c r="O277" s="1598"/>
      <c r="W277" t="s">
        <v>7205</v>
      </c>
    </row>
    <row r="278" spans="2:23" hidden="1">
      <c r="B278" s="1585">
        <f t="shared" si="1"/>
        <v>244</v>
      </c>
      <c r="C278" s="1586" t="s">
        <v>6976</v>
      </c>
      <c r="D278" s="1586" t="s">
        <v>424</v>
      </c>
      <c r="E278" s="1586" t="s">
        <v>1263</v>
      </c>
      <c r="F278" s="1587">
        <v>4.2</v>
      </c>
      <c r="G278" s="1593" t="s">
        <v>7084</v>
      </c>
      <c r="H278" s="1594">
        <v>2</v>
      </c>
      <c r="I278" s="1595" t="s">
        <v>7213</v>
      </c>
      <c r="J278" s="1596"/>
      <c r="K278" s="1597"/>
      <c r="L278" s="1596"/>
      <c r="M278" s="1598"/>
      <c r="N278" s="1599"/>
      <c r="O278" s="1598"/>
      <c r="W278" t="s">
        <v>7206</v>
      </c>
    </row>
    <row r="279" spans="2:23" hidden="1">
      <c r="B279" s="1585">
        <f t="shared" si="1"/>
        <v>245</v>
      </c>
      <c r="C279" s="1586" t="s">
        <v>6976</v>
      </c>
      <c r="D279" s="1586" t="s">
        <v>304</v>
      </c>
      <c r="E279" s="1586" t="s">
        <v>1269</v>
      </c>
      <c r="F279" s="1587">
        <v>4.2</v>
      </c>
      <c r="G279" s="1593" t="s">
        <v>7084</v>
      </c>
      <c r="H279" s="1594">
        <v>2</v>
      </c>
      <c r="I279" s="1595" t="s">
        <v>7213</v>
      </c>
      <c r="J279" s="1596"/>
      <c r="K279" s="1597"/>
      <c r="L279" s="1596"/>
      <c r="M279" s="1598"/>
      <c r="N279" s="1599"/>
      <c r="O279" s="1598"/>
      <c r="W279" t="s">
        <v>7207</v>
      </c>
    </row>
    <row r="280" spans="2:23" hidden="1">
      <c r="B280" s="1585">
        <f t="shared" si="1"/>
        <v>246</v>
      </c>
      <c r="C280" s="1586" t="s">
        <v>6976</v>
      </c>
      <c r="D280" s="1586" t="s">
        <v>304</v>
      </c>
      <c r="E280" s="1586" t="s">
        <v>1262</v>
      </c>
      <c r="F280" s="1587">
        <v>4.2</v>
      </c>
      <c r="G280" s="1593" t="s">
        <v>7084</v>
      </c>
      <c r="H280" s="1594">
        <v>2</v>
      </c>
      <c r="I280" s="1595" t="s">
        <v>7213</v>
      </c>
      <c r="J280" s="1596"/>
      <c r="K280" s="1597"/>
      <c r="L280" s="1596"/>
      <c r="M280" s="1598"/>
      <c r="N280" s="1599"/>
      <c r="O280" s="1598"/>
      <c r="W280" t="s">
        <v>7208</v>
      </c>
    </row>
    <row r="281" spans="2:23" hidden="1">
      <c r="B281" s="1585">
        <f t="shared" si="1"/>
        <v>247</v>
      </c>
      <c r="C281" s="1586" t="s">
        <v>6976</v>
      </c>
      <c r="D281" s="1586" t="s">
        <v>304</v>
      </c>
      <c r="E281" s="1586" t="s">
        <v>1263</v>
      </c>
      <c r="F281" s="1587">
        <v>4.2</v>
      </c>
      <c r="G281" s="1593" t="s">
        <v>7084</v>
      </c>
      <c r="H281" s="1594">
        <v>2</v>
      </c>
      <c r="I281" s="1595" t="s">
        <v>7213</v>
      </c>
      <c r="J281" s="1596"/>
      <c r="K281" s="1597"/>
      <c r="L281" s="1596"/>
      <c r="M281" s="1598"/>
      <c r="N281" s="1599"/>
      <c r="O281" s="1598"/>
      <c r="W281" t="s">
        <v>7209</v>
      </c>
    </row>
    <row r="282" spans="2:23" hidden="1">
      <c r="B282" s="1585">
        <f t="shared" si="1"/>
        <v>248</v>
      </c>
      <c r="C282" s="1586" t="s">
        <v>6976</v>
      </c>
      <c r="D282" s="1586" t="s">
        <v>304</v>
      </c>
      <c r="E282" s="1586" t="s">
        <v>1270</v>
      </c>
      <c r="F282" s="1587">
        <v>4.2</v>
      </c>
      <c r="G282" s="1593" t="s">
        <v>7084</v>
      </c>
      <c r="H282" s="1594">
        <v>2</v>
      </c>
      <c r="I282" s="1595" t="s">
        <v>7213</v>
      </c>
      <c r="J282" s="1596"/>
      <c r="K282" s="1597"/>
      <c r="L282" s="1596"/>
      <c r="M282" s="1598"/>
      <c r="N282" s="1599"/>
      <c r="O282" s="1598"/>
      <c r="W282" t="s">
        <v>7210</v>
      </c>
    </row>
    <row r="283" spans="2:23" hidden="1">
      <c r="B283" s="1585">
        <f t="shared" si="1"/>
        <v>249</v>
      </c>
      <c r="C283" s="1586" t="s">
        <v>6976</v>
      </c>
      <c r="D283" s="1586" t="s">
        <v>1584</v>
      </c>
      <c r="E283" s="1586" t="s">
        <v>1140</v>
      </c>
      <c r="F283" s="1587">
        <v>4.2</v>
      </c>
      <c r="G283" s="1593" t="s">
        <v>7084</v>
      </c>
      <c r="H283" s="1594">
        <v>2</v>
      </c>
      <c r="I283" s="1595" t="s">
        <v>7213</v>
      </c>
      <c r="J283" s="1596"/>
      <c r="K283" s="1597"/>
      <c r="L283" s="1596"/>
      <c r="M283" s="1598"/>
      <c r="N283" s="1599"/>
      <c r="O283" s="1598"/>
      <c r="W283" t="s">
        <v>7211</v>
      </c>
    </row>
    <row r="284" spans="2:23" hidden="1">
      <c r="B284" s="1585">
        <f t="shared" si="1"/>
        <v>250</v>
      </c>
      <c r="C284" s="1586" t="s">
        <v>6976</v>
      </c>
      <c r="D284" s="1586" t="s">
        <v>301</v>
      </c>
      <c r="E284" s="1586" t="s">
        <v>302</v>
      </c>
      <c r="F284" s="1587">
        <v>4.2</v>
      </c>
      <c r="G284" s="1593" t="s">
        <v>7084</v>
      </c>
      <c r="H284" s="1594">
        <v>2</v>
      </c>
      <c r="I284" s="1595" t="s">
        <v>7213</v>
      </c>
      <c r="J284" s="1596"/>
      <c r="K284" s="1597"/>
      <c r="L284" s="1596"/>
      <c r="M284" s="1598"/>
      <c r="N284" s="1599"/>
      <c r="O284" s="1598"/>
      <c r="W284" t="s">
        <v>7214</v>
      </c>
    </row>
    <row r="285" spans="2:23" hidden="1">
      <c r="B285" s="1585">
        <f t="shared" si="1"/>
        <v>251</v>
      </c>
      <c r="C285" s="1586" t="s">
        <v>6976</v>
      </c>
      <c r="D285" s="1586" t="s">
        <v>301</v>
      </c>
      <c r="E285" s="1586" t="s">
        <v>419</v>
      </c>
      <c r="F285" s="1587">
        <v>4.2</v>
      </c>
      <c r="G285" s="1593" t="s">
        <v>7084</v>
      </c>
      <c r="H285" s="1594">
        <v>2</v>
      </c>
      <c r="I285" s="1595" t="s">
        <v>7213</v>
      </c>
      <c r="J285" s="1596"/>
      <c r="K285" s="1597"/>
      <c r="L285" s="1596"/>
      <c r="M285" s="1598"/>
      <c r="N285" s="1599"/>
      <c r="O285" s="1598"/>
      <c r="W285" t="s">
        <v>7215</v>
      </c>
    </row>
    <row r="286" spans="2:23" hidden="1">
      <c r="B286" s="1585">
        <f t="shared" si="1"/>
        <v>252</v>
      </c>
      <c r="C286" s="1586" t="s">
        <v>6976</v>
      </c>
      <c r="D286" s="1586" t="s">
        <v>418</v>
      </c>
      <c r="E286" s="1586" t="s">
        <v>428</v>
      </c>
      <c r="F286" s="1587">
        <v>4.2</v>
      </c>
      <c r="G286" s="1593" t="s">
        <v>7084</v>
      </c>
      <c r="H286" s="1594">
        <v>2</v>
      </c>
      <c r="I286" s="1595" t="s">
        <v>7213</v>
      </c>
      <c r="J286" s="1596"/>
      <c r="K286" s="1597"/>
      <c r="L286" s="1596"/>
      <c r="M286" s="1598"/>
      <c r="N286" s="1599"/>
      <c r="O286" s="1598"/>
      <c r="W286" t="s">
        <v>7216</v>
      </c>
    </row>
    <row r="287" spans="2:23" hidden="1">
      <c r="B287" s="1585">
        <f t="shared" si="1"/>
        <v>253</v>
      </c>
      <c r="C287" s="1586" t="s">
        <v>6976</v>
      </c>
      <c r="D287" s="1586" t="s">
        <v>418</v>
      </c>
      <c r="E287" s="1586" t="s">
        <v>1285</v>
      </c>
      <c r="F287" s="1587">
        <v>4.2</v>
      </c>
      <c r="G287" s="1593" t="s">
        <v>7084</v>
      </c>
      <c r="H287" s="1594">
        <v>2</v>
      </c>
      <c r="I287" s="1595" t="s">
        <v>7213</v>
      </c>
      <c r="J287" s="1596"/>
      <c r="K287" s="1597"/>
      <c r="L287" s="1596"/>
      <c r="M287" s="1598"/>
      <c r="N287" s="1599"/>
      <c r="O287" s="1598"/>
      <c r="W287" t="s">
        <v>7217</v>
      </c>
    </row>
    <row r="288" spans="2:23" hidden="1">
      <c r="B288" s="1585">
        <f t="shared" si="1"/>
        <v>254</v>
      </c>
      <c r="C288" s="1586" t="s">
        <v>6976</v>
      </c>
      <c r="D288" s="1586" t="s">
        <v>418</v>
      </c>
      <c r="E288" s="1586" t="s">
        <v>432</v>
      </c>
      <c r="F288" s="1587">
        <v>4.2</v>
      </c>
      <c r="G288" s="1593" t="s">
        <v>7084</v>
      </c>
      <c r="H288" s="1594">
        <v>2</v>
      </c>
      <c r="I288" s="1595" t="s">
        <v>7213</v>
      </c>
      <c r="J288" s="1596"/>
      <c r="K288" s="1597"/>
      <c r="L288" s="1596"/>
      <c r="M288" s="1598"/>
      <c r="N288" s="1599"/>
      <c r="O288" s="1598"/>
      <c r="W288" t="s">
        <v>7218</v>
      </c>
    </row>
    <row r="289" spans="2:23" hidden="1">
      <c r="B289" s="1585">
        <f t="shared" si="1"/>
        <v>255</v>
      </c>
      <c r="C289" s="1586" t="s">
        <v>6976</v>
      </c>
      <c r="D289" s="1586" t="s">
        <v>418</v>
      </c>
      <c r="E289" s="1586" t="s">
        <v>1286</v>
      </c>
      <c r="F289" s="1587">
        <v>4.2</v>
      </c>
      <c r="G289" s="1593" t="s">
        <v>7084</v>
      </c>
      <c r="H289" s="1594">
        <v>2</v>
      </c>
      <c r="I289" s="1595" t="s">
        <v>7213</v>
      </c>
      <c r="J289" s="1596"/>
      <c r="K289" s="1597"/>
      <c r="L289" s="1596"/>
      <c r="M289" s="1598"/>
      <c r="N289" s="1599"/>
      <c r="O289" s="1598"/>
      <c r="W289" t="s">
        <v>7219</v>
      </c>
    </row>
    <row r="290" spans="2:23" hidden="1">
      <c r="B290" s="1585">
        <f t="shared" si="1"/>
        <v>256</v>
      </c>
      <c r="C290" s="1586" t="s">
        <v>6976</v>
      </c>
      <c r="D290" s="1586" t="s">
        <v>418</v>
      </c>
      <c r="E290" s="1586" t="s">
        <v>1287</v>
      </c>
      <c r="F290" s="1587">
        <v>4.2</v>
      </c>
      <c r="G290" s="1593" t="s">
        <v>7084</v>
      </c>
      <c r="H290" s="1594">
        <v>2</v>
      </c>
      <c r="I290" s="1595" t="s">
        <v>7213</v>
      </c>
      <c r="J290" s="1596"/>
      <c r="K290" s="1597"/>
      <c r="L290" s="1596"/>
      <c r="M290" s="1598"/>
      <c r="N290" s="1599"/>
      <c r="O290" s="1598"/>
      <c r="W290" t="s">
        <v>7220</v>
      </c>
    </row>
    <row r="291" spans="2:23" hidden="1">
      <c r="B291" s="1585">
        <f t="shared" si="1"/>
        <v>257</v>
      </c>
      <c r="C291" s="1586" t="s">
        <v>6976</v>
      </c>
      <c r="D291" s="1586" t="s">
        <v>300</v>
      </c>
      <c r="E291" s="1586" t="s">
        <v>1288</v>
      </c>
      <c r="F291" s="1587">
        <v>4.2</v>
      </c>
      <c r="G291" s="1593" t="s">
        <v>7084</v>
      </c>
      <c r="H291" s="1594">
        <v>2</v>
      </c>
      <c r="I291" s="1595" t="s">
        <v>7213</v>
      </c>
      <c r="J291" s="1596"/>
      <c r="K291" s="1597"/>
      <c r="L291" s="1596"/>
      <c r="M291" s="1598"/>
      <c r="N291" s="1599"/>
      <c r="O291" s="1598"/>
      <c r="W291" t="s">
        <v>7221</v>
      </c>
    </row>
    <row r="292" spans="2:23" hidden="1">
      <c r="B292" s="1585">
        <f t="shared" si="1"/>
        <v>258</v>
      </c>
      <c r="C292" s="1586" t="s">
        <v>6976</v>
      </c>
      <c r="D292" s="1586" t="s">
        <v>300</v>
      </c>
      <c r="E292" s="1586" t="s">
        <v>1289</v>
      </c>
      <c r="F292" s="1587">
        <v>4.2</v>
      </c>
      <c r="G292" s="1593" t="s">
        <v>7084</v>
      </c>
      <c r="H292" s="1594">
        <v>2</v>
      </c>
      <c r="I292" s="1595" t="s">
        <v>7213</v>
      </c>
      <c r="J292" s="1596"/>
      <c r="K292" s="1597"/>
      <c r="L292" s="1596"/>
      <c r="M292" s="1598"/>
      <c r="N292" s="1599"/>
      <c r="O292" s="1598"/>
      <c r="W292" t="s">
        <v>7222</v>
      </c>
    </row>
    <row r="293" spans="2:23" hidden="1">
      <c r="B293" s="1585">
        <f t="shared" si="1"/>
        <v>259</v>
      </c>
      <c r="C293" s="1586" t="s">
        <v>6976</v>
      </c>
      <c r="D293" s="1586" t="s">
        <v>420</v>
      </c>
      <c r="E293" s="1586" t="s">
        <v>1290</v>
      </c>
      <c r="F293" s="1587">
        <v>4.2</v>
      </c>
      <c r="G293" s="1593" t="s">
        <v>7084</v>
      </c>
      <c r="H293" s="1594">
        <v>2</v>
      </c>
      <c r="I293" s="1595" t="s">
        <v>7213</v>
      </c>
      <c r="J293" s="1596"/>
      <c r="K293" s="1597"/>
      <c r="L293" s="1596"/>
      <c r="M293" s="1598"/>
      <c r="N293" s="1599"/>
      <c r="O293" s="1598"/>
      <c r="W293" t="s">
        <v>7223</v>
      </c>
    </row>
    <row r="294" spans="2:23" hidden="1">
      <c r="B294" s="1585">
        <f t="shared" si="1"/>
        <v>260</v>
      </c>
      <c r="C294" s="1586" t="s">
        <v>6976</v>
      </c>
      <c r="D294" s="1586" t="s">
        <v>420</v>
      </c>
      <c r="E294" s="1586" t="s">
        <v>1291</v>
      </c>
      <c r="F294" s="1587">
        <v>4.2</v>
      </c>
      <c r="G294" s="1593" t="s">
        <v>7084</v>
      </c>
      <c r="H294" s="1594">
        <v>2</v>
      </c>
      <c r="I294" s="1595" t="s">
        <v>7213</v>
      </c>
      <c r="J294" s="1596"/>
      <c r="K294" s="1597"/>
      <c r="L294" s="1596"/>
      <c r="M294" s="1598"/>
      <c r="N294" s="1599"/>
      <c r="O294" s="1598"/>
      <c r="W294" t="s">
        <v>7224</v>
      </c>
    </row>
    <row r="295" spans="2:23" hidden="1">
      <c r="B295" s="1585">
        <f t="shared" si="1"/>
        <v>261</v>
      </c>
      <c r="C295" s="1586" t="s">
        <v>6976</v>
      </c>
      <c r="D295" s="1586" t="s">
        <v>421</v>
      </c>
      <c r="E295" s="1586" t="s">
        <v>411</v>
      </c>
      <c r="F295" s="1587">
        <v>4.2</v>
      </c>
      <c r="G295" s="1593" t="s">
        <v>7084</v>
      </c>
      <c r="H295" s="1594">
        <v>2</v>
      </c>
      <c r="I295" s="1595" t="s">
        <v>7213</v>
      </c>
      <c r="J295" s="1596"/>
      <c r="K295" s="1597"/>
      <c r="L295" s="1596"/>
      <c r="M295" s="1598"/>
      <c r="N295" s="1599"/>
      <c r="O295" s="1598"/>
      <c r="W295" t="s">
        <v>7225</v>
      </c>
    </row>
    <row r="296" spans="2:23" hidden="1">
      <c r="B296" s="1585">
        <f t="shared" si="1"/>
        <v>262</v>
      </c>
      <c r="C296" s="1586" t="s">
        <v>6976</v>
      </c>
      <c r="D296" s="1586" t="s">
        <v>421</v>
      </c>
      <c r="E296" s="1586" t="s">
        <v>1292</v>
      </c>
      <c r="F296" s="1587">
        <v>4.2</v>
      </c>
      <c r="G296" s="1593" t="s">
        <v>7084</v>
      </c>
      <c r="H296" s="1594">
        <v>2</v>
      </c>
      <c r="I296" s="1595" t="s">
        <v>7213</v>
      </c>
      <c r="J296" s="1596"/>
      <c r="K296" s="1597"/>
      <c r="L296" s="1596"/>
      <c r="M296" s="1598"/>
      <c r="N296" s="1599"/>
      <c r="O296" s="1598"/>
      <c r="W296" t="s">
        <v>7226</v>
      </c>
    </row>
    <row r="297" spans="2:23" hidden="1">
      <c r="B297" s="1585">
        <f t="shared" si="1"/>
        <v>263</v>
      </c>
      <c r="C297" s="1586" t="s">
        <v>6976</v>
      </c>
      <c r="D297" s="1586" t="s">
        <v>422</v>
      </c>
      <c r="E297" s="1586" t="s">
        <v>1293</v>
      </c>
      <c r="F297" s="1587">
        <v>4.2</v>
      </c>
      <c r="G297" s="1593" t="s">
        <v>7084</v>
      </c>
      <c r="H297" s="1594">
        <v>2</v>
      </c>
      <c r="I297" s="1595" t="s">
        <v>7213</v>
      </c>
      <c r="J297" s="1596"/>
      <c r="K297" s="1597"/>
      <c r="L297" s="1596"/>
      <c r="M297" s="1598"/>
      <c r="N297" s="1599"/>
      <c r="O297" s="1598"/>
      <c r="W297" t="s">
        <v>7227</v>
      </c>
    </row>
    <row r="298" spans="2:23" hidden="1">
      <c r="B298" s="1585">
        <f t="shared" si="1"/>
        <v>264</v>
      </c>
      <c r="C298" s="1586" t="s">
        <v>6976</v>
      </c>
      <c r="D298" s="1586" t="s">
        <v>423</v>
      </c>
      <c r="E298" s="1586" t="s">
        <v>1294</v>
      </c>
      <c r="F298" s="1587">
        <v>4.2</v>
      </c>
      <c r="G298" s="1593" t="s">
        <v>7084</v>
      </c>
      <c r="H298" s="1594">
        <v>2</v>
      </c>
      <c r="I298" s="1595" t="s">
        <v>7213</v>
      </c>
      <c r="J298" s="1596"/>
      <c r="K298" s="1597"/>
      <c r="L298" s="1596"/>
      <c r="M298" s="1598"/>
      <c r="N298" s="1599"/>
      <c r="O298" s="1598"/>
      <c r="W298" t="s">
        <v>7228</v>
      </c>
    </row>
    <row r="299" spans="2:23" hidden="1">
      <c r="B299" s="1585">
        <f t="shared" si="1"/>
        <v>265</v>
      </c>
      <c r="C299" s="1586" t="s">
        <v>6976</v>
      </c>
      <c r="D299" s="1586" t="s">
        <v>427</v>
      </c>
      <c r="E299" s="1586" t="s">
        <v>1295</v>
      </c>
      <c r="F299" s="1587">
        <v>4.2</v>
      </c>
      <c r="G299" s="1593" t="s">
        <v>7084</v>
      </c>
      <c r="H299" s="1594">
        <v>2</v>
      </c>
      <c r="I299" s="1595" t="s">
        <v>7213</v>
      </c>
      <c r="J299" s="1596"/>
      <c r="K299" s="1597"/>
      <c r="L299" s="1596"/>
      <c r="M299" s="1598"/>
      <c r="N299" s="1599"/>
      <c r="O299" s="1598"/>
      <c r="W299" t="s">
        <v>7229</v>
      </c>
    </row>
    <row r="300" spans="2:23" hidden="1">
      <c r="B300" s="1585">
        <f t="shared" si="1"/>
        <v>266</v>
      </c>
      <c r="C300" s="1586" t="s">
        <v>6976</v>
      </c>
      <c r="D300" s="1586" t="s">
        <v>427</v>
      </c>
      <c r="E300" s="1586" t="s">
        <v>1296</v>
      </c>
      <c r="F300" s="1587">
        <v>4.2</v>
      </c>
      <c r="G300" s="1593" t="s">
        <v>7084</v>
      </c>
      <c r="H300" s="1594">
        <v>2</v>
      </c>
      <c r="I300" s="1595" t="s">
        <v>7213</v>
      </c>
      <c r="J300" s="1596"/>
      <c r="K300" s="1597"/>
      <c r="L300" s="1596"/>
      <c r="M300" s="1598"/>
      <c r="N300" s="1599"/>
      <c r="O300" s="1598"/>
      <c r="W300" t="s">
        <v>7230</v>
      </c>
    </row>
    <row r="301" spans="2:23" hidden="1">
      <c r="B301" s="1585">
        <f t="shared" si="1"/>
        <v>267</v>
      </c>
      <c r="C301" s="1586" t="s">
        <v>6976</v>
      </c>
      <c r="D301" s="1586" t="s">
        <v>429</v>
      </c>
      <c r="E301" s="1586" t="s">
        <v>443</v>
      </c>
      <c r="F301" s="1587">
        <v>4.2</v>
      </c>
      <c r="G301" s="1593" t="s">
        <v>7084</v>
      </c>
      <c r="H301" s="1594">
        <v>2</v>
      </c>
      <c r="I301" s="1595" t="s">
        <v>7213</v>
      </c>
      <c r="J301" s="1596"/>
      <c r="K301" s="1597"/>
      <c r="L301" s="1596"/>
      <c r="M301" s="1598"/>
      <c r="N301" s="1599"/>
      <c r="O301" s="1598"/>
      <c r="W301" t="s">
        <v>7231</v>
      </c>
    </row>
    <row r="302" spans="2:23" hidden="1">
      <c r="B302" s="1585">
        <f t="shared" si="1"/>
        <v>268</v>
      </c>
      <c r="C302" s="1586" t="s">
        <v>6976</v>
      </c>
      <c r="D302" s="1586" t="s">
        <v>429</v>
      </c>
      <c r="E302" s="1586" t="s">
        <v>444</v>
      </c>
      <c r="F302" s="1587">
        <v>4.2</v>
      </c>
      <c r="G302" s="1593" t="s">
        <v>7084</v>
      </c>
      <c r="H302" s="1594">
        <v>2</v>
      </c>
      <c r="I302" s="1595" t="s">
        <v>7213</v>
      </c>
      <c r="J302" s="1596"/>
      <c r="K302" s="1597"/>
      <c r="L302" s="1596"/>
      <c r="M302" s="1598"/>
      <c r="N302" s="1599"/>
      <c r="O302" s="1598"/>
      <c r="W302" t="s">
        <v>7232</v>
      </c>
    </row>
    <row r="303" spans="2:23" hidden="1">
      <c r="B303" s="1585">
        <f t="shared" si="1"/>
        <v>269</v>
      </c>
      <c r="C303" s="1586" t="s">
        <v>6976</v>
      </c>
      <c r="D303" s="1586" t="s">
        <v>430</v>
      </c>
      <c r="E303" s="1586" t="s">
        <v>453</v>
      </c>
      <c r="F303" s="1587">
        <v>4.2</v>
      </c>
      <c r="G303" s="1593" t="s">
        <v>7084</v>
      </c>
      <c r="H303" s="1594">
        <v>2</v>
      </c>
      <c r="I303" s="1595" t="s">
        <v>7213</v>
      </c>
      <c r="J303" s="1596"/>
      <c r="K303" s="1597"/>
      <c r="L303" s="1596"/>
      <c r="M303" s="1598"/>
      <c r="N303" s="1599"/>
      <c r="O303" s="1598"/>
      <c r="W303" t="s">
        <v>7233</v>
      </c>
    </row>
    <row r="304" spans="2:23" hidden="1">
      <c r="B304" s="1585">
        <f t="shared" si="1"/>
        <v>270</v>
      </c>
      <c r="C304" s="1586" t="s">
        <v>6976</v>
      </c>
      <c r="D304" s="1586" t="s">
        <v>430</v>
      </c>
      <c r="E304" s="1586" t="s">
        <v>1297</v>
      </c>
      <c r="F304" s="1587">
        <v>4.2</v>
      </c>
      <c r="G304" s="1593" t="s">
        <v>7084</v>
      </c>
      <c r="H304" s="1594">
        <v>2</v>
      </c>
      <c r="I304" s="1595" t="s">
        <v>7213</v>
      </c>
      <c r="J304" s="1596"/>
      <c r="K304" s="1597"/>
      <c r="L304" s="1596"/>
      <c r="M304" s="1598"/>
      <c r="N304" s="1599"/>
      <c r="O304" s="1598"/>
      <c r="W304" t="s">
        <v>7234</v>
      </c>
    </row>
    <row r="305" spans="2:23" hidden="1">
      <c r="B305" s="1585">
        <f t="shared" si="1"/>
        <v>271</v>
      </c>
      <c r="C305" s="1586" t="s">
        <v>6976</v>
      </c>
      <c r="D305" s="1586" t="s">
        <v>430</v>
      </c>
      <c r="E305" s="1586" t="s">
        <v>1298</v>
      </c>
      <c r="F305" s="1587">
        <v>4.2</v>
      </c>
      <c r="G305" s="1593" t="s">
        <v>7084</v>
      </c>
      <c r="H305" s="1594">
        <v>2</v>
      </c>
      <c r="I305" s="1595" t="s">
        <v>7213</v>
      </c>
      <c r="J305" s="1596"/>
      <c r="K305" s="1597"/>
      <c r="L305" s="1596"/>
      <c r="M305" s="1598"/>
      <c r="N305" s="1599"/>
      <c r="O305" s="1598"/>
      <c r="W305" t="s">
        <v>7235</v>
      </c>
    </row>
    <row r="306" spans="2:23" hidden="1">
      <c r="B306" s="1585">
        <f t="shared" si="1"/>
        <v>272</v>
      </c>
      <c r="C306" s="1586" t="s">
        <v>6976</v>
      </c>
      <c r="D306" s="1586" t="s">
        <v>430</v>
      </c>
      <c r="E306" s="1586" t="s">
        <v>1299</v>
      </c>
      <c r="F306" s="1587">
        <v>4.2</v>
      </c>
      <c r="G306" s="1593" t="s">
        <v>7084</v>
      </c>
      <c r="H306" s="1594">
        <v>2</v>
      </c>
      <c r="I306" s="1595" t="s">
        <v>7213</v>
      </c>
      <c r="J306" s="1596"/>
      <c r="K306" s="1597"/>
      <c r="L306" s="1596"/>
      <c r="M306" s="1598"/>
      <c r="N306" s="1599"/>
      <c r="O306" s="1598"/>
      <c r="W306" t="s">
        <v>7236</v>
      </c>
    </row>
    <row r="307" spans="2:23" hidden="1">
      <c r="B307" s="1585">
        <f t="shared" si="1"/>
        <v>273</v>
      </c>
      <c r="C307" s="1586" t="s">
        <v>6976</v>
      </c>
      <c r="D307" s="1586" t="s">
        <v>431</v>
      </c>
      <c r="E307" s="1586" t="s">
        <v>1282</v>
      </c>
      <c r="F307" s="1587">
        <v>4.2</v>
      </c>
      <c r="G307" s="1593" t="s">
        <v>7084</v>
      </c>
      <c r="H307" s="1594">
        <v>2</v>
      </c>
      <c r="I307" s="1595" t="s">
        <v>7213</v>
      </c>
      <c r="J307" s="1596"/>
      <c r="K307" s="1597"/>
      <c r="L307" s="1596"/>
      <c r="M307" s="1598"/>
      <c r="N307" s="1599"/>
      <c r="O307" s="1598"/>
      <c r="W307" t="s">
        <v>7237</v>
      </c>
    </row>
    <row r="308" spans="2:23" hidden="1">
      <c r="B308" s="1585">
        <f t="shared" si="1"/>
        <v>274</v>
      </c>
      <c r="C308" s="1586" t="s">
        <v>6976</v>
      </c>
      <c r="D308" s="1586" t="s">
        <v>431</v>
      </c>
      <c r="E308" s="1586" t="s">
        <v>1296</v>
      </c>
      <c r="F308" s="1587">
        <v>4.2</v>
      </c>
      <c r="G308" s="1593" t="s">
        <v>7084</v>
      </c>
      <c r="H308" s="1594">
        <v>2</v>
      </c>
      <c r="I308" s="1595" t="s">
        <v>7213</v>
      </c>
      <c r="J308" s="1596"/>
      <c r="K308" s="1597"/>
      <c r="L308" s="1596"/>
      <c r="M308" s="1598"/>
      <c r="N308" s="1599"/>
      <c r="O308" s="1598"/>
      <c r="W308" t="s">
        <v>7238</v>
      </c>
    </row>
    <row r="309" spans="2:23" hidden="1">
      <c r="B309" s="1585">
        <f t="shared" si="1"/>
        <v>275</v>
      </c>
      <c r="C309" s="1586" t="s">
        <v>6976</v>
      </c>
      <c r="D309" s="1586" t="s">
        <v>431</v>
      </c>
      <c r="E309" s="1586" t="s">
        <v>1300</v>
      </c>
      <c r="F309" s="1587">
        <v>4.2</v>
      </c>
      <c r="G309" s="1593" t="s">
        <v>7084</v>
      </c>
      <c r="H309" s="1594">
        <v>2</v>
      </c>
      <c r="I309" s="1595" t="s">
        <v>7213</v>
      </c>
      <c r="J309" s="1596"/>
      <c r="K309" s="1597"/>
      <c r="L309" s="1596"/>
      <c r="M309" s="1598"/>
      <c r="N309" s="1599"/>
      <c r="O309" s="1598"/>
      <c r="W309" t="s">
        <v>7239</v>
      </c>
    </row>
    <row r="310" spans="2:23" hidden="1">
      <c r="B310" s="1585">
        <f t="shared" si="1"/>
        <v>276</v>
      </c>
      <c r="C310" s="1586" t="s">
        <v>6976</v>
      </c>
      <c r="D310" s="1586" t="s">
        <v>431</v>
      </c>
      <c r="E310" s="1586" t="s">
        <v>1301</v>
      </c>
      <c r="F310" s="1587">
        <v>4.2</v>
      </c>
      <c r="G310" s="1593" t="s">
        <v>7084</v>
      </c>
      <c r="H310" s="1594">
        <v>2</v>
      </c>
      <c r="I310" s="1595" t="s">
        <v>7213</v>
      </c>
      <c r="J310" s="1596"/>
      <c r="K310" s="1597"/>
      <c r="L310" s="1596"/>
      <c r="M310" s="1598"/>
      <c r="N310" s="1599"/>
      <c r="O310" s="1598"/>
      <c r="W310" t="s">
        <v>7240</v>
      </c>
    </row>
    <row r="311" spans="2:23" hidden="1">
      <c r="B311" s="1585">
        <f t="shared" si="1"/>
        <v>277</v>
      </c>
      <c r="C311" s="1586" t="s">
        <v>6976</v>
      </c>
      <c r="D311" s="1586" t="s">
        <v>303</v>
      </c>
      <c r="E311" s="1586" t="s">
        <v>1302</v>
      </c>
      <c r="F311" s="1587">
        <v>4.2</v>
      </c>
      <c r="G311" s="1593" t="s">
        <v>7084</v>
      </c>
      <c r="H311" s="1594">
        <v>2</v>
      </c>
      <c r="I311" s="1595" t="s">
        <v>7213</v>
      </c>
      <c r="J311" s="1596"/>
      <c r="K311" s="1597"/>
      <c r="L311" s="1596"/>
      <c r="M311" s="1598"/>
      <c r="N311" s="1599"/>
      <c r="O311" s="1598"/>
      <c r="W311" t="s">
        <v>7241</v>
      </c>
    </row>
    <row r="312" spans="2:23" hidden="1">
      <c r="B312" s="1585">
        <f t="shared" si="1"/>
        <v>278</v>
      </c>
      <c r="C312" s="1586" t="s">
        <v>6976</v>
      </c>
      <c r="D312" s="1586" t="s">
        <v>303</v>
      </c>
      <c r="E312" s="1586" t="s">
        <v>1303</v>
      </c>
      <c r="F312" s="1587">
        <v>4.2</v>
      </c>
      <c r="G312" s="1593" t="s">
        <v>7084</v>
      </c>
      <c r="H312" s="1594">
        <v>2</v>
      </c>
      <c r="I312" s="1595" t="s">
        <v>7213</v>
      </c>
      <c r="J312" s="1596"/>
      <c r="K312" s="1597"/>
      <c r="L312" s="1596"/>
      <c r="M312" s="1598"/>
      <c r="N312" s="1599"/>
      <c r="O312" s="1598"/>
      <c r="W312" t="s">
        <v>7242</v>
      </c>
    </row>
    <row r="313" spans="2:23" hidden="1">
      <c r="B313" s="1585">
        <f t="shared" si="1"/>
        <v>279</v>
      </c>
      <c r="C313" s="1586" t="s">
        <v>6976</v>
      </c>
      <c r="D313" s="1586" t="s">
        <v>433</v>
      </c>
      <c r="E313" s="1586" t="s">
        <v>447</v>
      </c>
      <c r="F313" s="1587">
        <v>4.2</v>
      </c>
      <c r="G313" s="1593" t="s">
        <v>7084</v>
      </c>
      <c r="H313" s="1594">
        <v>2</v>
      </c>
      <c r="I313" s="1595" t="s">
        <v>7213</v>
      </c>
      <c r="J313" s="1596"/>
      <c r="K313" s="1597"/>
      <c r="L313" s="1596"/>
      <c r="M313" s="1598"/>
      <c r="N313" s="1599"/>
      <c r="O313" s="1598"/>
      <c r="W313" t="s">
        <v>7243</v>
      </c>
    </row>
    <row r="314" spans="2:23" hidden="1">
      <c r="B314" s="1585">
        <f t="shared" si="1"/>
        <v>280</v>
      </c>
      <c r="C314" s="1586" t="s">
        <v>6976</v>
      </c>
      <c r="D314" s="1586" t="s">
        <v>434</v>
      </c>
      <c r="E314" s="1586" t="s">
        <v>1282</v>
      </c>
      <c r="F314" s="1587">
        <v>4.2</v>
      </c>
      <c r="G314" s="1593" t="s">
        <v>7084</v>
      </c>
      <c r="H314" s="1594">
        <v>2</v>
      </c>
      <c r="I314" s="1595" t="s">
        <v>7213</v>
      </c>
      <c r="J314" s="1596"/>
      <c r="K314" s="1597"/>
      <c r="L314" s="1596"/>
      <c r="M314" s="1598"/>
      <c r="N314" s="1599"/>
      <c r="O314" s="1598"/>
      <c r="W314" t="s">
        <v>7244</v>
      </c>
    </row>
    <row r="315" spans="2:23" hidden="1">
      <c r="B315" s="1585">
        <f t="shared" si="1"/>
        <v>281</v>
      </c>
      <c r="C315" s="1586" t="s">
        <v>6976</v>
      </c>
      <c r="D315" s="1586" t="s">
        <v>434</v>
      </c>
      <c r="E315" s="1586" t="s">
        <v>1262</v>
      </c>
      <c r="F315" s="1587">
        <v>4.2</v>
      </c>
      <c r="G315" s="1593" t="s">
        <v>7084</v>
      </c>
      <c r="H315" s="1594">
        <v>2</v>
      </c>
      <c r="I315" s="1595" t="s">
        <v>7213</v>
      </c>
      <c r="J315" s="1596"/>
      <c r="K315" s="1597"/>
      <c r="L315" s="1596"/>
      <c r="M315" s="1598"/>
      <c r="N315" s="1599"/>
      <c r="O315" s="1598"/>
      <c r="W315" t="s">
        <v>7245</v>
      </c>
    </row>
    <row r="316" spans="2:23" hidden="1">
      <c r="B316" s="1585">
        <f t="shared" si="1"/>
        <v>282</v>
      </c>
      <c r="C316" s="1586" t="s">
        <v>6976</v>
      </c>
      <c r="D316" s="1586" t="s">
        <v>435</v>
      </c>
      <c r="E316" s="1586" t="s">
        <v>448</v>
      </c>
      <c r="F316" s="1587">
        <v>4.2</v>
      </c>
      <c r="G316" s="1593" t="s">
        <v>7084</v>
      </c>
      <c r="H316" s="1594">
        <v>2</v>
      </c>
      <c r="I316" s="1595" t="s">
        <v>7213</v>
      </c>
      <c r="J316" s="1596"/>
      <c r="K316" s="1597"/>
      <c r="L316" s="1596"/>
      <c r="M316" s="1598"/>
      <c r="N316" s="1599"/>
      <c r="O316" s="1598"/>
      <c r="W316" t="s">
        <v>7246</v>
      </c>
    </row>
    <row r="317" spans="2:23" hidden="1">
      <c r="B317" s="1585">
        <f t="shared" si="1"/>
        <v>283</v>
      </c>
      <c r="C317" s="1586" t="s">
        <v>6976</v>
      </c>
      <c r="D317" s="1586" t="s">
        <v>435</v>
      </c>
      <c r="E317" s="1586" t="s">
        <v>449</v>
      </c>
      <c r="F317" s="1587">
        <v>4.2</v>
      </c>
      <c r="G317" s="1593" t="s">
        <v>7084</v>
      </c>
      <c r="H317" s="1594">
        <v>2</v>
      </c>
      <c r="I317" s="1595" t="s">
        <v>7213</v>
      </c>
      <c r="J317" s="1596"/>
      <c r="K317" s="1597"/>
      <c r="L317" s="1596"/>
      <c r="M317" s="1598"/>
      <c r="N317" s="1599"/>
      <c r="O317" s="1598"/>
      <c r="W317" t="s">
        <v>7247</v>
      </c>
    </row>
    <row r="318" spans="2:23" hidden="1">
      <c r="B318" s="1585">
        <f t="shared" si="1"/>
        <v>284</v>
      </c>
      <c r="C318" s="1586" t="s">
        <v>6976</v>
      </c>
      <c r="D318" s="1586" t="s">
        <v>435</v>
      </c>
      <c r="E318" s="1586" t="s">
        <v>450</v>
      </c>
      <c r="F318" s="1587">
        <v>4.2</v>
      </c>
      <c r="G318" s="1593" t="s">
        <v>7084</v>
      </c>
      <c r="H318" s="1594">
        <v>2</v>
      </c>
      <c r="I318" s="1595" t="s">
        <v>7213</v>
      </c>
      <c r="J318" s="1596"/>
      <c r="K318" s="1597"/>
      <c r="L318" s="1596"/>
      <c r="M318" s="1598"/>
      <c r="N318" s="1599"/>
      <c r="O318" s="1598"/>
      <c r="W318" t="s">
        <v>7248</v>
      </c>
    </row>
    <row r="319" spans="2:23" hidden="1">
      <c r="B319" s="1585">
        <f t="shared" si="1"/>
        <v>285</v>
      </c>
      <c r="C319" s="1586" t="s">
        <v>6976</v>
      </c>
      <c r="D319" s="1586" t="s">
        <v>435</v>
      </c>
      <c r="E319" s="1586" t="s">
        <v>1304</v>
      </c>
      <c r="F319" s="1587">
        <v>4.2</v>
      </c>
      <c r="G319" s="1593" t="s">
        <v>7084</v>
      </c>
      <c r="H319" s="1594">
        <v>2</v>
      </c>
      <c r="I319" s="1595" t="s">
        <v>7213</v>
      </c>
      <c r="J319" s="1596"/>
      <c r="K319" s="1597"/>
      <c r="L319" s="1596"/>
      <c r="M319" s="1598"/>
      <c r="N319" s="1599"/>
      <c r="O319" s="1598"/>
      <c r="W319" t="s">
        <v>7249</v>
      </c>
    </row>
    <row r="320" spans="2:23" hidden="1">
      <c r="B320" s="1585">
        <f t="shared" si="1"/>
        <v>286</v>
      </c>
      <c r="C320" s="1586" t="s">
        <v>6976</v>
      </c>
      <c r="D320" s="1586" t="s">
        <v>1280</v>
      </c>
      <c r="E320" s="1586" t="s">
        <v>1283</v>
      </c>
      <c r="F320" s="1587">
        <v>4.2</v>
      </c>
      <c r="G320" s="1593" t="s">
        <v>7084</v>
      </c>
      <c r="H320" s="1594">
        <v>2</v>
      </c>
      <c r="I320" s="1595" t="s">
        <v>7213</v>
      </c>
      <c r="J320" s="1596"/>
      <c r="K320" s="1597"/>
      <c r="L320" s="1596"/>
      <c r="M320" s="1598"/>
      <c r="N320" s="1599"/>
      <c r="O320" s="1598"/>
      <c r="W320" t="s">
        <v>7250</v>
      </c>
    </row>
    <row r="321" spans="2:23" hidden="1">
      <c r="B321" s="1585">
        <f t="shared" si="1"/>
        <v>287</v>
      </c>
      <c r="C321" s="1586" t="s">
        <v>6976</v>
      </c>
      <c r="D321" s="1586" t="s">
        <v>436</v>
      </c>
      <c r="E321" s="1586" t="s">
        <v>1305</v>
      </c>
      <c r="F321" s="1587">
        <v>4.2</v>
      </c>
      <c r="G321" s="1593" t="s">
        <v>7084</v>
      </c>
      <c r="H321" s="1594">
        <v>2</v>
      </c>
      <c r="I321" s="1595" t="s">
        <v>7213</v>
      </c>
      <c r="J321" s="1596"/>
      <c r="K321" s="1597"/>
      <c r="L321" s="1596"/>
      <c r="M321" s="1598"/>
      <c r="N321" s="1599"/>
      <c r="O321" s="1598"/>
      <c r="W321" t="s">
        <v>7251</v>
      </c>
    </row>
    <row r="322" spans="2:23" hidden="1">
      <c r="B322" s="1585">
        <f t="shared" si="1"/>
        <v>288</v>
      </c>
      <c r="C322" s="1586" t="s">
        <v>6976</v>
      </c>
      <c r="D322" s="1586" t="s">
        <v>439</v>
      </c>
      <c r="E322" s="1586" t="s">
        <v>441</v>
      </c>
      <c r="F322" s="1587">
        <v>4.2</v>
      </c>
      <c r="G322" s="1593" t="s">
        <v>7084</v>
      </c>
      <c r="H322" s="1594">
        <v>2</v>
      </c>
      <c r="I322" s="1595" t="s">
        <v>7213</v>
      </c>
      <c r="J322" s="1596"/>
      <c r="K322" s="1597"/>
      <c r="L322" s="1596"/>
      <c r="M322" s="1598"/>
      <c r="N322" s="1599"/>
      <c r="O322" s="1598"/>
      <c r="W322" t="s">
        <v>7252</v>
      </c>
    </row>
    <row r="323" spans="2:23" hidden="1">
      <c r="B323" s="1585">
        <f t="shared" si="1"/>
        <v>289</v>
      </c>
      <c r="C323" s="1586" t="s">
        <v>6976</v>
      </c>
      <c r="D323" s="1586" t="s">
        <v>1585</v>
      </c>
      <c r="E323" s="1586" t="s">
        <v>454</v>
      </c>
      <c r="F323" s="1587">
        <v>4.2</v>
      </c>
      <c r="G323" s="1593" t="s">
        <v>7084</v>
      </c>
      <c r="H323" s="1594">
        <v>2</v>
      </c>
      <c r="I323" s="1595" t="s">
        <v>7213</v>
      </c>
      <c r="J323" s="1596"/>
      <c r="K323" s="1597"/>
      <c r="L323" s="1596"/>
      <c r="M323" s="1598"/>
      <c r="N323" s="1599"/>
      <c r="O323" s="1598"/>
      <c r="W323" t="s">
        <v>7253</v>
      </c>
    </row>
    <row r="324" spans="2:23" hidden="1">
      <c r="B324" s="1585">
        <f t="shared" si="1"/>
        <v>290</v>
      </c>
      <c r="C324" s="1586" t="s">
        <v>6976</v>
      </c>
      <c r="D324" s="1586" t="s">
        <v>400</v>
      </c>
      <c r="E324" s="1586" t="s">
        <v>1101</v>
      </c>
      <c r="F324" s="1587">
        <v>4.3</v>
      </c>
      <c r="G324" s="1593" t="s">
        <v>7641</v>
      </c>
      <c r="H324" s="1594">
        <v>1</v>
      </c>
      <c r="I324" s="1595" t="s">
        <v>7255</v>
      </c>
      <c r="J324" s="1596"/>
      <c r="K324" s="1597"/>
      <c r="L324" s="1596"/>
      <c r="M324" s="1598"/>
      <c r="N324" s="1599"/>
      <c r="O324" s="1598"/>
      <c r="W324" t="s">
        <v>7254</v>
      </c>
    </row>
    <row r="325" spans="2:23" hidden="1">
      <c r="B325" s="1585">
        <f t="shared" si="1"/>
        <v>291</v>
      </c>
      <c r="C325" s="1586" t="s">
        <v>6976</v>
      </c>
      <c r="D325" s="1586" t="s">
        <v>400</v>
      </c>
      <c r="E325" s="1586" t="s">
        <v>1102</v>
      </c>
      <c r="F325" s="1587">
        <v>4.3</v>
      </c>
      <c r="G325" s="1593" t="s">
        <v>7641</v>
      </c>
      <c r="H325" s="1594">
        <v>1</v>
      </c>
      <c r="I325" s="1595" t="s">
        <v>7255</v>
      </c>
      <c r="J325" s="1596"/>
      <c r="K325" s="1597"/>
      <c r="L325" s="1596"/>
      <c r="M325" s="1598"/>
      <c r="N325" s="1599"/>
      <c r="O325" s="1598"/>
      <c r="W325" t="s">
        <v>7256</v>
      </c>
    </row>
    <row r="326" spans="2:23" hidden="1">
      <c r="B326" s="1585">
        <f t="shared" si="1"/>
        <v>292</v>
      </c>
      <c r="C326" s="1586" t="s">
        <v>6976</v>
      </c>
      <c r="D326" s="1586" t="s">
        <v>400</v>
      </c>
      <c r="E326" s="1586" t="s">
        <v>1103</v>
      </c>
      <c r="F326" s="1587">
        <v>4.3</v>
      </c>
      <c r="G326" s="1593" t="s">
        <v>7641</v>
      </c>
      <c r="H326" s="1594">
        <v>1</v>
      </c>
      <c r="I326" s="1595" t="s">
        <v>7255</v>
      </c>
      <c r="J326" s="1596"/>
      <c r="K326" s="1597"/>
      <c r="L326" s="1596"/>
      <c r="M326" s="1598"/>
      <c r="N326" s="1599"/>
      <c r="O326" s="1598"/>
      <c r="W326" t="s">
        <v>7257</v>
      </c>
    </row>
    <row r="327" spans="2:23" hidden="1">
      <c r="B327" s="1585">
        <f t="shared" si="1"/>
        <v>293</v>
      </c>
      <c r="C327" s="1586" t="s">
        <v>6976</v>
      </c>
      <c r="D327" s="1586" t="s">
        <v>400</v>
      </c>
      <c r="E327" s="1586" t="s">
        <v>1104</v>
      </c>
      <c r="F327" s="1587">
        <v>4.3</v>
      </c>
      <c r="G327" s="1593" t="s">
        <v>7641</v>
      </c>
      <c r="H327" s="1594">
        <v>1</v>
      </c>
      <c r="I327" s="1595" t="s">
        <v>7255</v>
      </c>
      <c r="J327" s="1596"/>
      <c r="K327" s="1597"/>
      <c r="L327" s="1596"/>
      <c r="M327" s="1598"/>
      <c r="N327" s="1599"/>
      <c r="O327" s="1598"/>
      <c r="W327" t="s">
        <v>7258</v>
      </c>
    </row>
    <row r="328" spans="2:23" hidden="1">
      <c r="B328" s="1585">
        <f t="shared" si="1"/>
        <v>294</v>
      </c>
      <c r="C328" s="1586" t="s">
        <v>6976</v>
      </c>
      <c r="D328" s="1586" t="s">
        <v>400</v>
      </c>
      <c r="E328" s="1586" t="s">
        <v>1105</v>
      </c>
      <c r="F328" s="1587">
        <v>4.3</v>
      </c>
      <c r="G328" s="1593" t="s">
        <v>7641</v>
      </c>
      <c r="H328" s="1594">
        <v>1</v>
      </c>
      <c r="I328" s="1595" t="s">
        <v>7255</v>
      </c>
      <c r="J328" s="1596"/>
      <c r="K328" s="1597"/>
      <c r="L328" s="1596"/>
      <c r="M328" s="1598"/>
      <c r="N328" s="1599"/>
      <c r="O328" s="1598"/>
      <c r="W328" t="s">
        <v>7259</v>
      </c>
    </row>
    <row r="329" spans="2:23" hidden="1">
      <c r="B329" s="1585">
        <f t="shared" si="1"/>
        <v>295</v>
      </c>
      <c r="C329" s="1586" t="s">
        <v>6976</v>
      </c>
      <c r="D329" s="1586" t="s">
        <v>1098</v>
      </c>
      <c r="E329" s="1586" t="s">
        <v>1099</v>
      </c>
      <c r="F329" s="1587">
        <v>4.3</v>
      </c>
      <c r="G329" s="1593" t="s">
        <v>7641</v>
      </c>
      <c r="H329" s="1594">
        <v>1</v>
      </c>
      <c r="I329" s="1595" t="s">
        <v>7255</v>
      </c>
      <c r="J329" s="1596"/>
      <c r="K329" s="1597"/>
      <c r="L329" s="1596"/>
      <c r="M329" s="1598"/>
      <c r="N329" s="1599"/>
      <c r="O329" s="1598"/>
      <c r="W329" t="s">
        <v>7260</v>
      </c>
    </row>
    <row r="330" spans="2:23" hidden="1">
      <c r="B330" s="1585">
        <f t="shared" si="1"/>
        <v>296</v>
      </c>
      <c r="C330" s="1586" t="s">
        <v>6976</v>
      </c>
      <c r="D330" s="1586" t="s">
        <v>386</v>
      </c>
      <c r="E330" s="1586" t="s">
        <v>1106</v>
      </c>
      <c r="F330" s="1587">
        <v>4.3</v>
      </c>
      <c r="G330" s="1593" t="s">
        <v>7641</v>
      </c>
      <c r="H330" s="1594">
        <v>1</v>
      </c>
      <c r="I330" s="1595" t="s">
        <v>7255</v>
      </c>
      <c r="J330" s="1596"/>
      <c r="K330" s="1597"/>
      <c r="L330" s="1596"/>
      <c r="M330" s="1598"/>
      <c r="N330" s="1599"/>
      <c r="O330" s="1598"/>
      <c r="W330" t="s">
        <v>7261</v>
      </c>
    </row>
    <row r="331" spans="2:23" hidden="1">
      <c r="B331" s="1585">
        <f t="shared" si="1"/>
        <v>297</v>
      </c>
      <c r="C331" s="1586" t="s">
        <v>6976</v>
      </c>
      <c r="D331" s="1586" t="s">
        <v>386</v>
      </c>
      <c r="E331" s="1586" t="s">
        <v>1107</v>
      </c>
      <c r="F331" s="1587">
        <v>4.3</v>
      </c>
      <c r="G331" s="1593" t="s">
        <v>7641</v>
      </c>
      <c r="H331" s="1594">
        <v>1</v>
      </c>
      <c r="I331" s="1595" t="s">
        <v>7255</v>
      </c>
      <c r="J331" s="1596"/>
      <c r="K331" s="1597"/>
      <c r="L331" s="1596"/>
      <c r="M331" s="1598"/>
      <c r="N331" s="1599"/>
      <c r="O331" s="1598"/>
      <c r="W331" t="s">
        <v>7262</v>
      </c>
    </row>
    <row r="332" spans="2:23" hidden="1">
      <c r="B332" s="1585">
        <f t="shared" si="1"/>
        <v>298</v>
      </c>
      <c r="C332" s="1586" t="s">
        <v>6976</v>
      </c>
      <c r="D332" s="1586" t="s">
        <v>386</v>
      </c>
      <c r="E332" s="1586" t="s">
        <v>1108</v>
      </c>
      <c r="F332" s="1587">
        <v>4.3</v>
      </c>
      <c r="G332" s="1593" t="s">
        <v>7641</v>
      </c>
      <c r="H332" s="1594">
        <v>1</v>
      </c>
      <c r="I332" s="1595" t="s">
        <v>7255</v>
      </c>
      <c r="J332" s="1596"/>
      <c r="K332" s="1597"/>
      <c r="L332" s="1596"/>
      <c r="M332" s="1598"/>
      <c r="N332" s="1599"/>
      <c r="O332" s="1598"/>
      <c r="W332" t="s">
        <v>7263</v>
      </c>
    </row>
    <row r="333" spans="2:23" hidden="1">
      <c r="B333" s="1585">
        <f t="shared" si="1"/>
        <v>299</v>
      </c>
      <c r="C333" s="1586" t="s">
        <v>6976</v>
      </c>
      <c r="D333" s="1586" t="s">
        <v>386</v>
      </c>
      <c r="E333" s="1586" t="s">
        <v>1109</v>
      </c>
      <c r="F333" s="1587">
        <v>4.3</v>
      </c>
      <c r="G333" s="1593" t="s">
        <v>7641</v>
      </c>
      <c r="H333" s="1594">
        <v>1</v>
      </c>
      <c r="I333" s="1595" t="s">
        <v>7255</v>
      </c>
      <c r="J333" s="1596"/>
      <c r="K333" s="1597"/>
      <c r="L333" s="1596"/>
      <c r="M333" s="1598"/>
      <c r="N333" s="1599"/>
      <c r="O333" s="1598"/>
      <c r="W333" t="s">
        <v>7264</v>
      </c>
    </row>
    <row r="334" spans="2:23" hidden="1">
      <c r="B334" s="1585">
        <f t="shared" si="1"/>
        <v>300</v>
      </c>
      <c r="C334" s="1586" t="s">
        <v>6976</v>
      </c>
      <c r="D334" s="1586" t="s">
        <v>386</v>
      </c>
      <c r="E334" s="1586" t="s">
        <v>1110</v>
      </c>
      <c r="F334" s="1587">
        <v>4.3</v>
      </c>
      <c r="G334" s="1593" t="s">
        <v>7641</v>
      </c>
      <c r="H334" s="1594">
        <v>1</v>
      </c>
      <c r="I334" s="1595" t="s">
        <v>7255</v>
      </c>
      <c r="J334" s="1596"/>
      <c r="K334" s="1597"/>
      <c r="L334" s="1596"/>
      <c r="M334" s="1598"/>
      <c r="N334" s="1599"/>
      <c r="O334" s="1598"/>
      <c r="W334" t="s">
        <v>7265</v>
      </c>
    </row>
    <row r="335" spans="2:23" hidden="1">
      <c r="B335" s="1585">
        <f t="shared" si="1"/>
        <v>301</v>
      </c>
      <c r="C335" s="1586" t="s">
        <v>6976</v>
      </c>
      <c r="D335" s="1586" t="s">
        <v>386</v>
      </c>
      <c r="E335" s="1586" t="s">
        <v>1111</v>
      </c>
      <c r="F335" s="1587">
        <v>4.3</v>
      </c>
      <c r="G335" s="1593" t="s">
        <v>7641</v>
      </c>
      <c r="H335" s="1594">
        <v>1</v>
      </c>
      <c r="I335" s="1595" t="s">
        <v>7255</v>
      </c>
      <c r="J335" s="1596"/>
      <c r="K335" s="1597"/>
      <c r="L335" s="1596"/>
      <c r="M335" s="1598"/>
      <c r="N335" s="1599"/>
      <c r="O335" s="1598"/>
      <c r="W335" t="s">
        <v>7266</v>
      </c>
    </row>
    <row r="336" spans="2:23" hidden="1">
      <c r="B336" s="1585">
        <f t="shared" ref="B336:B399" si="2">B335+1</f>
        <v>302</v>
      </c>
      <c r="C336" s="1586" t="s">
        <v>6976</v>
      </c>
      <c r="D336" s="1586" t="s">
        <v>386</v>
      </c>
      <c r="E336" s="1586" t="s">
        <v>1112</v>
      </c>
      <c r="F336" s="1587">
        <v>4.3</v>
      </c>
      <c r="G336" s="1593" t="s">
        <v>7641</v>
      </c>
      <c r="H336" s="1594">
        <v>1</v>
      </c>
      <c r="I336" s="1595" t="s">
        <v>7255</v>
      </c>
      <c r="J336" s="1596"/>
      <c r="K336" s="1597"/>
      <c r="L336" s="1596"/>
      <c r="M336" s="1598"/>
      <c r="N336" s="1599"/>
      <c r="O336" s="1598"/>
      <c r="W336" t="s">
        <v>7267</v>
      </c>
    </row>
    <row r="337" spans="2:23" hidden="1">
      <c r="B337" s="1585">
        <f t="shared" si="2"/>
        <v>303</v>
      </c>
      <c r="C337" s="1586" t="s">
        <v>6976</v>
      </c>
      <c r="D337" s="1586" t="s">
        <v>386</v>
      </c>
      <c r="E337" s="1586" t="s">
        <v>1113</v>
      </c>
      <c r="F337" s="1587">
        <v>4.3</v>
      </c>
      <c r="G337" s="1593" t="s">
        <v>7641</v>
      </c>
      <c r="H337" s="1594">
        <v>1</v>
      </c>
      <c r="I337" s="1595" t="s">
        <v>7255</v>
      </c>
      <c r="J337" s="1596"/>
      <c r="K337" s="1597"/>
      <c r="L337" s="1596"/>
      <c r="M337" s="1598"/>
      <c r="N337" s="1599"/>
      <c r="O337" s="1598"/>
      <c r="W337" t="s">
        <v>7268</v>
      </c>
    </row>
    <row r="338" spans="2:23" hidden="1">
      <c r="B338" s="1585">
        <f t="shared" si="2"/>
        <v>304</v>
      </c>
      <c r="C338" s="1586" t="s">
        <v>6976</v>
      </c>
      <c r="D338" s="1586" t="s">
        <v>386</v>
      </c>
      <c r="E338" s="1586" t="s">
        <v>1114</v>
      </c>
      <c r="F338" s="1587">
        <v>4.3</v>
      </c>
      <c r="G338" s="1593" t="s">
        <v>7641</v>
      </c>
      <c r="H338" s="1594">
        <v>1</v>
      </c>
      <c r="I338" s="1595" t="s">
        <v>7255</v>
      </c>
      <c r="J338" s="1596"/>
      <c r="K338" s="1597"/>
      <c r="L338" s="1596"/>
      <c r="M338" s="1598"/>
      <c r="N338" s="1599"/>
      <c r="O338" s="1598"/>
      <c r="W338" t="s">
        <v>7269</v>
      </c>
    </row>
    <row r="339" spans="2:23" hidden="1">
      <c r="B339" s="1585">
        <f t="shared" si="2"/>
        <v>305</v>
      </c>
      <c r="C339" s="1586" t="s">
        <v>6976</v>
      </c>
      <c r="D339" s="1586" t="s">
        <v>386</v>
      </c>
      <c r="E339" s="1586" t="s">
        <v>1115</v>
      </c>
      <c r="F339" s="1587">
        <v>4.3</v>
      </c>
      <c r="G339" s="1593" t="s">
        <v>7641</v>
      </c>
      <c r="H339" s="1594">
        <v>1</v>
      </c>
      <c r="I339" s="1595" t="s">
        <v>7255</v>
      </c>
      <c r="J339" s="1596"/>
      <c r="K339" s="1597"/>
      <c r="L339" s="1596"/>
      <c r="M339" s="1598"/>
      <c r="N339" s="1599"/>
      <c r="O339" s="1598"/>
      <c r="W339" t="s">
        <v>7270</v>
      </c>
    </row>
    <row r="340" spans="2:23" hidden="1">
      <c r="B340" s="1585">
        <f t="shared" si="2"/>
        <v>306</v>
      </c>
      <c r="C340" s="1586" t="s">
        <v>6976</v>
      </c>
      <c r="D340" s="1586" t="s">
        <v>394</v>
      </c>
      <c r="E340" s="1586" t="s">
        <v>1116</v>
      </c>
      <c r="F340" s="1587">
        <v>4.3</v>
      </c>
      <c r="G340" s="1593" t="s">
        <v>7641</v>
      </c>
      <c r="H340" s="1594">
        <v>1</v>
      </c>
      <c r="I340" s="1595" t="s">
        <v>7255</v>
      </c>
      <c r="J340" s="1596"/>
      <c r="K340" s="1597"/>
      <c r="L340" s="1596"/>
      <c r="M340" s="1598"/>
      <c r="N340" s="1599"/>
      <c r="O340" s="1598"/>
      <c r="W340" t="s">
        <v>7271</v>
      </c>
    </row>
    <row r="341" spans="2:23" hidden="1">
      <c r="B341" s="1585">
        <f t="shared" si="2"/>
        <v>307</v>
      </c>
      <c r="C341" s="1586" t="s">
        <v>6976</v>
      </c>
      <c r="D341" s="1586" t="s">
        <v>394</v>
      </c>
      <c r="E341" s="1586" t="s">
        <v>1117</v>
      </c>
      <c r="F341" s="1587">
        <v>4.3</v>
      </c>
      <c r="G341" s="1593" t="s">
        <v>7641</v>
      </c>
      <c r="H341" s="1594">
        <v>1</v>
      </c>
      <c r="I341" s="1595" t="s">
        <v>7255</v>
      </c>
      <c r="J341" s="1596"/>
      <c r="K341" s="1597"/>
      <c r="L341" s="1596"/>
      <c r="M341" s="1598"/>
      <c r="N341" s="1599"/>
      <c r="O341" s="1598"/>
      <c r="W341" t="s">
        <v>7272</v>
      </c>
    </row>
    <row r="342" spans="2:23" hidden="1">
      <c r="B342" s="1585">
        <f t="shared" si="2"/>
        <v>308</v>
      </c>
      <c r="C342" s="1586" t="s">
        <v>6976</v>
      </c>
      <c r="D342" s="1586" t="s">
        <v>394</v>
      </c>
      <c r="E342" s="1586" t="s">
        <v>1118</v>
      </c>
      <c r="F342" s="1587">
        <v>4.3</v>
      </c>
      <c r="G342" s="1593" t="s">
        <v>7641</v>
      </c>
      <c r="H342" s="1594">
        <v>1</v>
      </c>
      <c r="I342" s="1595" t="s">
        <v>7255</v>
      </c>
      <c r="J342" s="1596"/>
      <c r="K342" s="1597"/>
      <c r="L342" s="1596"/>
      <c r="M342" s="1598"/>
      <c r="N342" s="1599"/>
      <c r="O342" s="1598"/>
      <c r="W342" t="s">
        <v>7273</v>
      </c>
    </row>
    <row r="343" spans="2:23" hidden="1">
      <c r="B343" s="1585">
        <f t="shared" si="2"/>
        <v>309</v>
      </c>
      <c r="C343" s="1586" t="s">
        <v>6976</v>
      </c>
      <c r="D343" s="1586" t="s">
        <v>394</v>
      </c>
      <c r="E343" s="1586" t="s">
        <v>1119</v>
      </c>
      <c r="F343" s="1587">
        <v>4.3</v>
      </c>
      <c r="G343" s="1593" t="s">
        <v>7641</v>
      </c>
      <c r="H343" s="1594">
        <v>1</v>
      </c>
      <c r="I343" s="1595" t="s">
        <v>7255</v>
      </c>
      <c r="J343" s="1596"/>
      <c r="K343" s="1597"/>
      <c r="L343" s="1596"/>
      <c r="M343" s="1598"/>
      <c r="N343" s="1599"/>
      <c r="O343" s="1598"/>
      <c r="W343" t="s">
        <v>7274</v>
      </c>
    </row>
    <row r="344" spans="2:23" hidden="1">
      <c r="B344" s="1585">
        <f t="shared" si="2"/>
        <v>310</v>
      </c>
      <c r="C344" s="1586" t="s">
        <v>6976</v>
      </c>
      <c r="D344" s="1586" t="s">
        <v>392</v>
      </c>
      <c r="E344" s="1586" t="s">
        <v>1120</v>
      </c>
      <c r="F344" s="1587">
        <v>4.3</v>
      </c>
      <c r="G344" s="1593" t="s">
        <v>7641</v>
      </c>
      <c r="H344" s="1594">
        <v>1</v>
      </c>
      <c r="I344" s="1595" t="s">
        <v>7255</v>
      </c>
      <c r="J344" s="1596"/>
      <c r="K344" s="1597"/>
      <c r="L344" s="1596"/>
      <c r="M344" s="1598"/>
      <c r="N344" s="1599"/>
      <c r="O344" s="1598"/>
      <c r="W344" t="s">
        <v>7275</v>
      </c>
    </row>
    <row r="345" spans="2:23" hidden="1">
      <c r="B345" s="1585">
        <f t="shared" si="2"/>
        <v>311</v>
      </c>
      <c r="C345" s="1586" t="s">
        <v>6976</v>
      </c>
      <c r="D345" s="1586" t="s">
        <v>392</v>
      </c>
      <c r="E345" s="1586" t="s">
        <v>1121</v>
      </c>
      <c r="F345" s="1587">
        <v>4.3</v>
      </c>
      <c r="G345" s="1593" t="s">
        <v>7641</v>
      </c>
      <c r="H345" s="1594">
        <v>1</v>
      </c>
      <c r="I345" s="1595" t="s">
        <v>7255</v>
      </c>
      <c r="J345" s="1596"/>
      <c r="K345" s="1597"/>
      <c r="L345" s="1596"/>
      <c r="M345" s="1598"/>
      <c r="N345" s="1599"/>
      <c r="O345" s="1598"/>
      <c r="W345" t="s">
        <v>7276</v>
      </c>
    </row>
    <row r="346" spans="2:23" hidden="1">
      <c r="B346" s="1585">
        <f t="shared" si="2"/>
        <v>312</v>
      </c>
      <c r="C346" s="1586" t="s">
        <v>6976</v>
      </c>
      <c r="D346" s="1586" t="s">
        <v>392</v>
      </c>
      <c r="E346" s="1586" t="s">
        <v>1122</v>
      </c>
      <c r="F346" s="1587">
        <v>4.3</v>
      </c>
      <c r="G346" s="1593" t="s">
        <v>7641</v>
      </c>
      <c r="H346" s="1594">
        <v>1</v>
      </c>
      <c r="I346" s="1595" t="s">
        <v>7255</v>
      </c>
      <c r="J346" s="1596"/>
      <c r="K346" s="1597"/>
      <c r="L346" s="1596"/>
      <c r="M346" s="1598"/>
      <c r="N346" s="1599"/>
      <c r="O346" s="1598"/>
      <c r="W346" t="s">
        <v>7277</v>
      </c>
    </row>
    <row r="347" spans="2:23" hidden="1">
      <c r="B347" s="1585">
        <f t="shared" si="2"/>
        <v>313</v>
      </c>
      <c r="C347" s="1586" t="s">
        <v>6976</v>
      </c>
      <c r="D347" s="1586" t="s">
        <v>392</v>
      </c>
      <c r="E347" s="1586" t="s">
        <v>1123</v>
      </c>
      <c r="F347" s="1587">
        <v>4.3</v>
      </c>
      <c r="G347" s="1593" t="s">
        <v>7641</v>
      </c>
      <c r="H347" s="1594">
        <v>1</v>
      </c>
      <c r="I347" s="1595" t="s">
        <v>7255</v>
      </c>
      <c r="J347" s="1596"/>
      <c r="K347" s="1597"/>
      <c r="L347" s="1596"/>
      <c r="M347" s="1598"/>
      <c r="N347" s="1599"/>
      <c r="O347" s="1598"/>
      <c r="W347" t="s">
        <v>7278</v>
      </c>
    </row>
    <row r="348" spans="2:23" hidden="1">
      <c r="B348" s="1585">
        <f t="shared" si="2"/>
        <v>314</v>
      </c>
      <c r="C348" s="1586" t="s">
        <v>6976</v>
      </c>
      <c r="D348" s="1586" t="s">
        <v>401</v>
      </c>
      <c r="E348" s="1586" t="s">
        <v>1124</v>
      </c>
      <c r="F348" s="1587">
        <v>4.3</v>
      </c>
      <c r="G348" s="1593" t="s">
        <v>7641</v>
      </c>
      <c r="H348" s="1594">
        <v>1</v>
      </c>
      <c r="I348" s="1595" t="s">
        <v>7255</v>
      </c>
      <c r="J348" s="1596"/>
      <c r="K348" s="1597"/>
      <c r="L348" s="1596"/>
      <c r="M348" s="1598"/>
      <c r="N348" s="1599"/>
      <c r="O348" s="1598"/>
      <c r="W348" t="s">
        <v>7279</v>
      </c>
    </row>
    <row r="349" spans="2:23" hidden="1">
      <c r="B349" s="1585">
        <f t="shared" si="2"/>
        <v>315</v>
      </c>
      <c r="C349" s="1586" t="s">
        <v>6976</v>
      </c>
      <c r="D349" s="1586" t="s">
        <v>401</v>
      </c>
      <c r="E349" s="1586" t="s">
        <v>1125</v>
      </c>
      <c r="F349" s="1587">
        <v>4.3</v>
      </c>
      <c r="G349" s="1593" t="s">
        <v>7641</v>
      </c>
      <c r="H349" s="1594">
        <v>1</v>
      </c>
      <c r="I349" s="1595" t="s">
        <v>7255</v>
      </c>
      <c r="J349" s="1596"/>
      <c r="K349" s="1597"/>
      <c r="L349" s="1596"/>
      <c r="M349" s="1598"/>
      <c r="N349" s="1599"/>
      <c r="O349" s="1598"/>
      <c r="W349" t="s">
        <v>7280</v>
      </c>
    </row>
    <row r="350" spans="2:23" hidden="1">
      <c r="B350" s="1585">
        <f t="shared" si="2"/>
        <v>316</v>
      </c>
      <c r="C350" s="1586" t="s">
        <v>6976</v>
      </c>
      <c r="D350" s="1586" t="s">
        <v>401</v>
      </c>
      <c r="E350" s="1586" t="s">
        <v>1126</v>
      </c>
      <c r="F350" s="1587">
        <v>4.3</v>
      </c>
      <c r="G350" s="1593" t="s">
        <v>7641</v>
      </c>
      <c r="H350" s="1594">
        <v>1</v>
      </c>
      <c r="I350" s="1595" t="s">
        <v>7255</v>
      </c>
      <c r="J350" s="1596"/>
      <c r="K350" s="1597"/>
      <c r="L350" s="1596"/>
      <c r="M350" s="1598"/>
      <c r="N350" s="1599"/>
      <c r="O350" s="1598"/>
      <c r="W350" t="s">
        <v>7281</v>
      </c>
    </row>
    <row r="351" spans="2:23" hidden="1">
      <c r="B351" s="1585">
        <f t="shared" si="2"/>
        <v>317</v>
      </c>
      <c r="C351" s="1586" t="s">
        <v>6976</v>
      </c>
      <c r="D351" s="1586" t="s">
        <v>401</v>
      </c>
      <c r="E351" s="1586" t="s">
        <v>1127</v>
      </c>
      <c r="F351" s="1587">
        <v>4.3</v>
      </c>
      <c r="G351" s="1593" t="s">
        <v>7641</v>
      </c>
      <c r="H351" s="1594">
        <v>1</v>
      </c>
      <c r="I351" s="1595" t="s">
        <v>7255</v>
      </c>
      <c r="J351" s="1596"/>
      <c r="K351" s="1597"/>
      <c r="L351" s="1596"/>
      <c r="M351" s="1598"/>
      <c r="N351" s="1599"/>
      <c r="O351" s="1598"/>
      <c r="W351" t="s">
        <v>7282</v>
      </c>
    </row>
    <row r="352" spans="2:23" hidden="1">
      <c r="B352" s="1585">
        <f t="shared" si="2"/>
        <v>318</v>
      </c>
      <c r="C352" s="1586" t="s">
        <v>6976</v>
      </c>
      <c r="D352" s="1586" t="s">
        <v>402</v>
      </c>
      <c r="E352" s="1586" t="s">
        <v>1128</v>
      </c>
      <c r="F352" s="1587">
        <v>4.3</v>
      </c>
      <c r="G352" s="1593" t="s">
        <v>7641</v>
      </c>
      <c r="H352" s="1594">
        <v>1</v>
      </c>
      <c r="I352" s="1595" t="s">
        <v>7255</v>
      </c>
      <c r="J352" s="1596"/>
      <c r="K352" s="1597"/>
      <c r="L352" s="1596"/>
      <c r="M352" s="1598"/>
      <c r="N352" s="1599"/>
      <c r="O352" s="1598"/>
      <c r="W352" t="s">
        <v>7283</v>
      </c>
    </row>
    <row r="353" spans="2:23" hidden="1">
      <c r="B353" s="1585">
        <f t="shared" si="2"/>
        <v>319</v>
      </c>
      <c r="C353" s="1586" t="s">
        <v>6976</v>
      </c>
      <c r="D353" s="1586" t="s">
        <v>402</v>
      </c>
      <c r="E353" s="1586" t="s">
        <v>1129</v>
      </c>
      <c r="F353" s="1587">
        <v>4.3</v>
      </c>
      <c r="G353" s="1593" t="s">
        <v>7641</v>
      </c>
      <c r="H353" s="1594">
        <v>1</v>
      </c>
      <c r="I353" s="1595" t="s">
        <v>7255</v>
      </c>
      <c r="J353" s="1596"/>
      <c r="K353" s="1597"/>
      <c r="L353" s="1596"/>
      <c r="M353" s="1598"/>
      <c r="N353" s="1599"/>
      <c r="O353" s="1598"/>
      <c r="W353" t="s">
        <v>7284</v>
      </c>
    </row>
    <row r="354" spans="2:23" hidden="1">
      <c r="B354" s="1585">
        <f t="shared" si="2"/>
        <v>320</v>
      </c>
      <c r="C354" s="1586" t="s">
        <v>6976</v>
      </c>
      <c r="D354" s="1586" t="s">
        <v>403</v>
      </c>
      <c r="E354" s="1586" t="s">
        <v>1130</v>
      </c>
      <c r="F354" s="1587">
        <v>4.3</v>
      </c>
      <c r="G354" s="1593" t="s">
        <v>7641</v>
      </c>
      <c r="H354" s="1594">
        <v>1</v>
      </c>
      <c r="I354" s="1595" t="s">
        <v>7255</v>
      </c>
      <c r="J354" s="1596"/>
      <c r="K354" s="1597"/>
      <c r="L354" s="1596"/>
      <c r="M354" s="1598"/>
      <c r="N354" s="1599"/>
      <c r="O354" s="1598"/>
      <c r="W354" t="s">
        <v>7285</v>
      </c>
    </row>
    <row r="355" spans="2:23" hidden="1">
      <c r="B355" s="1585">
        <f t="shared" si="2"/>
        <v>321</v>
      </c>
      <c r="C355" s="1586" t="s">
        <v>6976</v>
      </c>
      <c r="D355" s="1586" t="s">
        <v>403</v>
      </c>
      <c r="E355" s="1586" t="s">
        <v>1131</v>
      </c>
      <c r="F355" s="1587">
        <v>4.3</v>
      </c>
      <c r="G355" s="1593" t="s">
        <v>7641</v>
      </c>
      <c r="H355" s="1594">
        <v>1</v>
      </c>
      <c r="I355" s="1595" t="s">
        <v>7255</v>
      </c>
      <c r="J355" s="1596"/>
      <c r="K355" s="1597"/>
      <c r="L355" s="1596"/>
      <c r="M355" s="1598"/>
      <c r="N355" s="1599"/>
      <c r="O355" s="1598"/>
      <c r="W355" t="s">
        <v>7286</v>
      </c>
    </row>
    <row r="356" spans="2:23" hidden="1">
      <c r="B356" s="1585">
        <f t="shared" si="2"/>
        <v>322</v>
      </c>
      <c r="C356" s="1586" t="s">
        <v>6976</v>
      </c>
      <c r="D356" s="1586" t="s">
        <v>404</v>
      </c>
      <c r="E356" s="1586" t="s">
        <v>1132</v>
      </c>
      <c r="F356" s="1587">
        <v>4.3</v>
      </c>
      <c r="G356" s="1593" t="s">
        <v>7641</v>
      </c>
      <c r="H356" s="1594">
        <v>1</v>
      </c>
      <c r="I356" s="1595" t="s">
        <v>7255</v>
      </c>
      <c r="J356" s="1596"/>
      <c r="K356" s="1597"/>
      <c r="L356" s="1596"/>
      <c r="M356" s="1598"/>
      <c r="N356" s="1599"/>
      <c r="O356" s="1598"/>
      <c r="W356" t="s">
        <v>7287</v>
      </c>
    </row>
    <row r="357" spans="2:23" hidden="1">
      <c r="B357" s="1585">
        <f t="shared" si="2"/>
        <v>323</v>
      </c>
      <c r="C357" s="1586" t="s">
        <v>6976</v>
      </c>
      <c r="D357" s="1586" t="s">
        <v>404</v>
      </c>
      <c r="E357" s="1586" t="s">
        <v>1133</v>
      </c>
      <c r="F357" s="1587">
        <v>4.3</v>
      </c>
      <c r="G357" s="1593" t="s">
        <v>7641</v>
      </c>
      <c r="H357" s="1594">
        <v>1</v>
      </c>
      <c r="I357" s="1595" t="s">
        <v>7255</v>
      </c>
      <c r="J357" s="1596"/>
      <c r="K357" s="1597"/>
      <c r="L357" s="1596"/>
      <c r="M357" s="1598"/>
      <c r="N357" s="1599"/>
      <c r="O357" s="1598"/>
      <c r="W357" t="s">
        <v>7288</v>
      </c>
    </row>
    <row r="358" spans="2:23" hidden="1">
      <c r="B358" s="1585">
        <f t="shared" si="2"/>
        <v>324</v>
      </c>
      <c r="C358" s="1586" t="s">
        <v>6976</v>
      </c>
      <c r="D358" s="1586" t="s">
        <v>404</v>
      </c>
      <c r="E358" s="1586" t="s">
        <v>1134</v>
      </c>
      <c r="F358" s="1587">
        <v>4.3</v>
      </c>
      <c r="G358" s="1593" t="s">
        <v>7641</v>
      </c>
      <c r="H358" s="1594">
        <v>1</v>
      </c>
      <c r="I358" s="1595" t="s">
        <v>7255</v>
      </c>
      <c r="J358" s="1596"/>
      <c r="K358" s="1597"/>
      <c r="L358" s="1596"/>
      <c r="M358" s="1598"/>
      <c r="N358" s="1599"/>
      <c r="O358" s="1598"/>
      <c r="W358" t="s">
        <v>7289</v>
      </c>
    </row>
    <row r="359" spans="2:23" hidden="1">
      <c r="B359" s="1585">
        <f t="shared" si="2"/>
        <v>325</v>
      </c>
      <c r="C359" s="1586" t="s">
        <v>6976</v>
      </c>
      <c r="D359" s="1586" t="s">
        <v>404</v>
      </c>
      <c r="E359" s="1586" t="s">
        <v>1135</v>
      </c>
      <c r="F359" s="1587">
        <v>4.3</v>
      </c>
      <c r="G359" s="1593" t="s">
        <v>7641</v>
      </c>
      <c r="H359" s="1594">
        <v>1</v>
      </c>
      <c r="I359" s="1595" t="s">
        <v>7255</v>
      </c>
      <c r="J359" s="1596"/>
      <c r="K359" s="1597"/>
      <c r="L359" s="1596"/>
      <c r="M359" s="1598"/>
      <c r="N359" s="1599"/>
      <c r="O359" s="1598"/>
      <c r="W359" t="s">
        <v>7290</v>
      </c>
    </row>
    <row r="360" spans="2:23" hidden="1">
      <c r="B360" s="1585">
        <f t="shared" si="2"/>
        <v>326</v>
      </c>
      <c r="C360" s="1586" t="s">
        <v>6976</v>
      </c>
      <c r="D360" s="1586" t="s">
        <v>404</v>
      </c>
      <c r="E360" s="1586" t="s">
        <v>1136</v>
      </c>
      <c r="F360" s="1587">
        <v>4.3</v>
      </c>
      <c r="G360" s="1593" t="s">
        <v>7641</v>
      </c>
      <c r="H360" s="1594">
        <v>1</v>
      </c>
      <c r="I360" s="1595" t="s">
        <v>7255</v>
      </c>
      <c r="J360" s="1596"/>
      <c r="K360" s="1597"/>
      <c r="L360" s="1596"/>
      <c r="M360" s="1598"/>
      <c r="N360" s="1599"/>
      <c r="O360" s="1598"/>
      <c r="W360" t="s">
        <v>7291</v>
      </c>
    </row>
    <row r="361" spans="2:23" hidden="1">
      <c r="B361" s="1585">
        <f t="shared" si="2"/>
        <v>327</v>
      </c>
      <c r="C361" s="1586" t="s">
        <v>6976</v>
      </c>
      <c r="D361" s="1586" t="s">
        <v>404</v>
      </c>
      <c r="E361" s="1586" t="s">
        <v>1137</v>
      </c>
      <c r="F361" s="1587">
        <v>4.3</v>
      </c>
      <c r="G361" s="1593" t="s">
        <v>7641</v>
      </c>
      <c r="H361" s="1594">
        <v>1</v>
      </c>
      <c r="I361" s="1595" t="s">
        <v>7255</v>
      </c>
      <c r="J361" s="1596"/>
      <c r="K361" s="1597"/>
      <c r="L361" s="1596"/>
      <c r="M361" s="1598"/>
      <c r="N361" s="1599"/>
      <c r="O361" s="1598"/>
      <c r="W361" t="s">
        <v>7292</v>
      </c>
    </row>
    <row r="362" spans="2:23" hidden="1">
      <c r="B362" s="1585">
        <f t="shared" si="2"/>
        <v>328</v>
      </c>
      <c r="C362" s="1586" t="s">
        <v>6976</v>
      </c>
      <c r="D362" s="1586" t="s">
        <v>404</v>
      </c>
      <c r="E362" s="1586" t="s">
        <v>1138</v>
      </c>
      <c r="F362" s="1587">
        <v>4.3</v>
      </c>
      <c r="G362" s="1593" t="s">
        <v>7641</v>
      </c>
      <c r="H362" s="1594">
        <v>1</v>
      </c>
      <c r="I362" s="1595" t="s">
        <v>7255</v>
      </c>
      <c r="J362" s="1596"/>
      <c r="K362" s="1597"/>
      <c r="L362" s="1596"/>
      <c r="M362" s="1598"/>
      <c r="N362" s="1599"/>
      <c r="O362" s="1598"/>
      <c r="W362" t="s">
        <v>7293</v>
      </c>
    </row>
    <row r="363" spans="2:23" hidden="1">
      <c r="B363" s="1585">
        <f t="shared" si="2"/>
        <v>329</v>
      </c>
      <c r="C363" s="1586" t="s">
        <v>6976</v>
      </c>
      <c r="D363" s="1586" t="s">
        <v>405</v>
      </c>
      <c r="E363" s="1586" t="s">
        <v>1139</v>
      </c>
      <c r="F363" s="1587">
        <v>4.3</v>
      </c>
      <c r="G363" s="1593" t="s">
        <v>7641</v>
      </c>
      <c r="H363" s="1594">
        <v>1</v>
      </c>
      <c r="I363" s="1595" t="s">
        <v>7255</v>
      </c>
      <c r="J363" s="1596"/>
      <c r="K363" s="1597"/>
      <c r="L363" s="1596"/>
      <c r="M363" s="1598"/>
      <c r="N363" s="1599"/>
      <c r="O363" s="1598"/>
      <c r="W363" t="s">
        <v>7294</v>
      </c>
    </row>
    <row r="364" spans="2:23" hidden="1">
      <c r="B364" s="1585">
        <f t="shared" si="2"/>
        <v>330</v>
      </c>
      <c r="C364" s="1586" t="s">
        <v>6976</v>
      </c>
      <c r="D364" s="1586" t="s">
        <v>1100</v>
      </c>
      <c r="E364" s="1586" t="s">
        <v>1140</v>
      </c>
      <c r="F364" s="1587">
        <v>4.3</v>
      </c>
      <c r="G364" s="1593" t="s">
        <v>7641</v>
      </c>
      <c r="H364" s="1594">
        <v>1</v>
      </c>
      <c r="I364" s="1595" t="s">
        <v>7255</v>
      </c>
      <c r="J364" s="1596"/>
      <c r="K364" s="1597"/>
      <c r="L364" s="1596"/>
      <c r="M364" s="1598"/>
      <c r="N364" s="1599"/>
      <c r="O364" s="1598"/>
      <c r="W364" t="s">
        <v>7295</v>
      </c>
    </row>
    <row r="365" spans="2:23" hidden="1">
      <c r="B365" s="1585">
        <f t="shared" si="2"/>
        <v>331</v>
      </c>
      <c r="C365" s="1586" t="s">
        <v>6976</v>
      </c>
      <c r="D365" s="1586" t="s">
        <v>406</v>
      </c>
      <c r="E365" s="1586" t="s">
        <v>1141</v>
      </c>
      <c r="F365" s="1587">
        <v>4.3</v>
      </c>
      <c r="G365" s="1593" t="s">
        <v>7641</v>
      </c>
      <c r="H365" s="1594">
        <v>1</v>
      </c>
      <c r="I365" s="1595" t="s">
        <v>7255</v>
      </c>
      <c r="J365" s="1596"/>
      <c r="K365" s="1597"/>
      <c r="L365" s="1596"/>
      <c r="M365" s="1598"/>
      <c r="N365" s="1599"/>
      <c r="O365" s="1598"/>
      <c r="W365" t="s">
        <v>7296</v>
      </c>
    </row>
    <row r="366" spans="2:23" hidden="1">
      <c r="B366" s="1585">
        <f t="shared" si="2"/>
        <v>332</v>
      </c>
      <c r="C366" s="1586" t="s">
        <v>6976</v>
      </c>
      <c r="D366" s="1586" t="s">
        <v>406</v>
      </c>
      <c r="E366" s="1586" t="s">
        <v>1142</v>
      </c>
      <c r="F366" s="1587">
        <v>4.3</v>
      </c>
      <c r="G366" s="1593" t="s">
        <v>7641</v>
      </c>
      <c r="H366" s="1594">
        <v>1</v>
      </c>
      <c r="I366" s="1595" t="s">
        <v>7255</v>
      </c>
      <c r="J366" s="1596"/>
      <c r="K366" s="1597"/>
      <c r="L366" s="1596"/>
      <c r="M366" s="1598"/>
      <c r="N366" s="1599"/>
      <c r="O366" s="1598"/>
      <c r="W366" t="s">
        <v>7297</v>
      </c>
    </row>
    <row r="367" spans="2:23" hidden="1">
      <c r="B367" s="1585">
        <f t="shared" si="2"/>
        <v>333</v>
      </c>
      <c r="C367" s="1586" t="s">
        <v>6976</v>
      </c>
      <c r="D367" s="1586" t="s">
        <v>406</v>
      </c>
      <c r="E367" s="1586" t="s">
        <v>1143</v>
      </c>
      <c r="F367" s="1587">
        <v>4.3</v>
      </c>
      <c r="G367" s="1593" t="s">
        <v>7641</v>
      </c>
      <c r="H367" s="1594">
        <v>1</v>
      </c>
      <c r="I367" s="1595" t="s">
        <v>7255</v>
      </c>
      <c r="J367" s="1596"/>
      <c r="K367" s="1597"/>
      <c r="L367" s="1596"/>
      <c r="M367" s="1598"/>
      <c r="N367" s="1599"/>
      <c r="O367" s="1598"/>
      <c r="W367" t="s">
        <v>7298</v>
      </c>
    </row>
    <row r="368" spans="2:23" hidden="1">
      <c r="B368" s="1585">
        <f t="shared" si="2"/>
        <v>334</v>
      </c>
      <c r="C368" s="1586" t="s">
        <v>6976</v>
      </c>
      <c r="D368" s="1586" t="s">
        <v>406</v>
      </c>
      <c r="E368" s="1586" t="s">
        <v>1144</v>
      </c>
      <c r="F368" s="1587">
        <v>4.3</v>
      </c>
      <c r="G368" s="1593" t="s">
        <v>7641</v>
      </c>
      <c r="H368" s="1594">
        <v>1</v>
      </c>
      <c r="I368" s="1595" t="s">
        <v>7255</v>
      </c>
      <c r="J368" s="1596"/>
      <c r="K368" s="1597"/>
      <c r="L368" s="1596"/>
      <c r="M368" s="1598"/>
      <c r="N368" s="1599"/>
      <c r="O368" s="1598"/>
      <c r="W368" t="s">
        <v>7299</v>
      </c>
    </row>
    <row r="369" spans="2:23" hidden="1">
      <c r="B369" s="1585">
        <f t="shared" si="2"/>
        <v>335</v>
      </c>
      <c r="C369" s="1586" t="s">
        <v>6976</v>
      </c>
      <c r="D369" s="1586" t="s">
        <v>406</v>
      </c>
      <c r="E369" s="1586" t="s">
        <v>1145</v>
      </c>
      <c r="F369" s="1587">
        <v>4.3</v>
      </c>
      <c r="G369" s="1593" t="s">
        <v>7641</v>
      </c>
      <c r="H369" s="1594">
        <v>1</v>
      </c>
      <c r="I369" s="1595" t="s">
        <v>7255</v>
      </c>
      <c r="J369" s="1596"/>
      <c r="K369" s="1597"/>
      <c r="L369" s="1596"/>
      <c r="M369" s="1598"/>
      <c r="N369" s="1599"/>
      <c r="O369" s="1598"/>
      <c r="W369" t="s">
        <v>7300</v>
      </c>
    </row>
    <row r="370" spans="2:23" hidden="1">
      <c r="B370" s="1585">
        <f t="shared" si="2"/>
        <v>336</v>
      </c>
      <c r="C370" s="1586" t="s">
        <v>6976</v>
      </c>
      <c r="D370" s="1586" t="s">
        <v>388</v>
      </c>
      <c r="E370" s="1586" t="s">
        <v>1146</v>
      </c>
      <c r="F370" s="1587">
        <v>4.3</v>
      </c>
      <c r="G370" s="1593" t="s">
        <v>7641</v>
      </c>
      <c r="H370" s="1594">
        <v>1</v>
      </c>
      <c r="I370" s="1595" t="s">
        <v>7255</v>
      </c>
      <c r="J370" s="1596"/>
      <c r="K370" s="1597"/>
      <c r="L370" s="1596"/>
      <c r="M370" s="1598"/>
      <c r="N370" s="1599"/>
      <c r="O370" s="1598"/>
      <c r="W370" t="s">
        <v>7301</v>
      </c>
    </row>
    <row r="371" spans="2:23" hidden="1">
      <c r="B371" s="1585">
        <f t="shared" si="2"/>
        <v>337</v>
      </c>
      <c r="C371" s="1586" t="s">
        <v>6976</v>
      </c>
      <c r="D371" s="1586" t="s">
        <v>388</v>
      </c>
      <c r="E371" s="1586" t="s">
        <v>409</v>
      </c>
      <c r="F371" s="1587">
        <v>4.3</v>
      </c>
      <c r="G371" s="1593" t="s">
        <v>7641</v>
      </c>
      <c r="H371" s="1594">
        <v>1</v>
      </c>
      <c r="I371" s="1595" t="s">
        <v>7255</v>
      </c>
      <c r="J371" s="1596"/>
      <c r="K371" s="1597"/>
      <c r="L371" s="1596"/>
      <c r="M371" s="1598"/>
      <c r="N371" s="1599"/>
      <c r="O371" s="1598"/>
      <c r="W371" t="s">
        <v>7302</v>
      </c>
    </row>
    <row r="372" spans="2:23" hidden="1">
      <c r="B372" s="1585">
        <f t="shared" si="2"/>
        <v>338</v>
      </c>
      <c r="C372" s="1586" t="s">
        <v>6976</v>
      </c>
      <c r="D372" s="1586" t="s">
        <v>388</v>
      </c>
      <c r="E372" s="1586" t="s">
        <v>410</v>
      </c>
      <c r="F372" s="1587">
        <v>4.3</v>
      </c>
      <c r="G372" s="1593" t="s">
        <v>7641</v>
      </c>
      <c r="H372" s="1594">
        <v>1</v>
      </c>
      <c r="I372" s="1595" t="s">
        <v>7255</v>
      </c>
      <c r="J372" s="1596"/>
      <c r="K372" s="1597"/>
      <c r="L372" s="1596"/>
      <c r="M372" s="1598"/>
      <c r="N372" s="1599"/>
      <c r="O372" s="1598"/>
      <c r="W372" t="s">
        <v>7303</v>
      </c>
    </row>
    <row r="373" spans="2:23" hidden="1">
      <c r="B373" s="1585">
        <f t="shared" si="2"/>
        <v>339</v>
      </c>
      <c r="C373" s="1586" t="s">
        <v>6976</v>
      </c>
      <c r="D373" s="1586" t="s">
        <v>388</v>
      </c>
      <c r="E373" s="1586" t="s">
        <v>1147</v>
      </c>
      <c r="F373" s="1587">
        <v>4.3</v>
      </c>
      <c r="G373" s="1593" t="s">
        <v>7641</v>
      </c>
      <c r="H373" s="1594">
        <v>1</v>
      </c>
      <c r="I373" s="1595" t="s">
        <v>7255</v>
      </c>
      <c r="J373" s="1596"/>
      <c r="K373" s="1597"/>
      <c r="L373" s="1596"/>
      <c r="M373" s="1598"/>
      <c r="N373" s="1599"/>
      <c r="O373" s="1598"/>
      <c r="W373" t="s">
        <v>7304</v>
      </c>
    </row>
    <row r="374" spans="2:23" hidden="1">
      <c r="B374" s="1585">
        <f t="shared" si="2"/>
        <v>340</v>
      </c>
      <c r="C374" s="1586" t="s">
        <v>6976</v>
      </c>
      <c r="D374" s="1586" t="s">
        <v>388</v>
      </c>
      <c r="E374" s="1586" t="s">
        <v>1148</v>
      </c>
      <c r="F374" s="1587">
        <v>4.3</v>
      </c>
      <c r="G374" s="1593" t="s">
        <v>7641</v>
      </c>
      <c r="H374" s="1594">
        <v>1</v>
      </c>
      <c r="I374" s="1595" t="s">
        <v>7255</v>
      </c>
      <c r="J374" s="1596"/>
      <c r="K374" s="1597"/>
      <c r="L374" s="1596"/>
      <c r="M374" s="1598"/>
      <c r="N374" s="1599"/>
      <c r="O374" s="1598"/>
      <c r="W374" t="s">
        <v>7305</v>
      </c>
    </row>
    <row r="375" spans="2:23" hidden="1">
      <c r="B375" s="1585">
        <f t="shared" si="2"/>
        <v>341</v>
      </c>
      <c r="C375" s="1586" t="s">
        <v>6976</v>
      </c>
      <c r="D375" s="1586" t="s">
        <v>407</v>
      </c>
      <c r="E375" s="1586" t="s">
        <v>411</v>
      </c>
      <c r="F375" s="1587">
        <v>4.3</v>
      </c>
      <c r="G375" s="1593" t="s">
        <v>7641</v>
      </c>
      <c r="H375" s="1594">
        <v>1</v>
      </c>
      <c r="I375" s="1595" t="s">
        <v>7255</v>
      </c>
      <c r="J375" s="1596"/>
      <c r="K375" s="1597"/>
      <c r="L375" s="1596"/>
      <c r="M375" s="1598"/>
      <c r="N375" s="1599"/>
      <c r="O375" s="1598"/>
      <c r="W375" t="s">
        <v>7306</v>
      </c>
    </row>
    <row r="376" spans="2:23" hidden="1">
      <c r="B376" s="1585">
        <f t="shared" si="2"/>
        <v>342</v>
      </c>
      <c r="C376" s="1586" t="s">
        <v>6976</v>
      </c>
      <c r="D376" s="1586" t="s">
        <v>408</v>
      </c>
      <c r="E376" s="1586" t="s">
        <v>412</v>
      </c>
      <c r="F376" s="1587">
        <v>4.3</v>
      </c>
      <c r="G376" s="1593" t="s">
        <v>7641</v>
      </c>
      <c r="H376" s="1594">
        <v>1</v>
      </c>
      <c r="I376" s="1595" t="s">
        <v>7255</v>
      </c>
      <c r="J376" s="1596"/>
      <c r="K376" s="1597"/>
      <c r="L376" s="1596"/>
      <c r="M376" s="1598"/>
      <c r="N376" s="1599"/>
      <c r="O376" s="1598"/>
      <c r="W376" t="s">
        <v>7307</v>
      </c>
    </row>
    <row r="377" spans="2:23" hidden="1">
      <c r="B377" s="1585">
        <f t="shared" si="2"/>
        <v>343</v>
      </c>
      <c r="C377" s="1586" t="s">
        <v>6976</v>
      </c>
      <c r="D377" s="1586" t="s">
        <v>408</v>
      </c>
      <c r="E377" s="1586" t="s">
        <v>413</v>
      </c>
      <c r="F377" s="1587">
        <v>4.3</v>
      </c>
      <c r="G377" s="1593" t="s">
        <v>7641</v>
      </c>
      <c r="H377" s="1594">
        <v>1</v>
      </c>
      <c r="I377" s="1595" t="s">
        <v>7255</v>
      </c>
      <c r="J377" s="1596"/>
      <c r="K377" s="1597"/>
      <c r="L377" s="1596"/>
      <c r="M377" s="1598"/>
      <c r="N377" s="1599"/>
      <c r="O377" s="1598"/>
      <c r="W377" t="s">
        <v>7308</v>
      </c>
    </row>
    <row r="378" spans="2:23" hidden="1">
      <c r="B378" s="1585">
        <f t="shared" si="2"/>
        <v>344</v>
      </c>
      <c r="C378" s="1586" t="s">
        <v>6976</v>
      </c>
      <c r="D378" s="1586" t="s">
        <v>408</v>
      </c>
      <c r="E378" s="1586" t="s">
        <v>1149</v>
      </c>
      <c r="F378" s="1587">
        <v>4.3</v>
      </c>
      <c r="G378" s="1593" t="s">
        <v>7641</v>
      </c>
      <c r="H378" s="1594">
        <v>1</v>
      </c>
      <c r="I378" s="1595" t="s">
        <v>7255</v>
      </c>
      <c r="J378" s="1596"/>
      <c r="K378" s="1597"/>
      <c r="L378" s="1596"/>
      <c r="M378" s="1598"/>
      <c r="N378" s="1599"/>
      <c r="O378" s="1598"/>
      <c r="W378" t="s">
        <v>7309</v>
      </c>
    </row>
    <row r="379" spans="2:23" hidden="1">
      <c r="B379" s="1585">
        <f t="shared" si="2"/>
        <v>345</v>
      </c>
      <c r="C379" s="1586" t="s">
        <v>6976</v>
      </c>
      <c r="D379" s="1586" t="s">
        <v>408</v>
      </c>
      <c r="E379" s="1586" t="s">
        <v>1150</v>
      </c>
      <c r="F379" s="1587">
        <v>4.3</v>
      </c>
      <c r="G379" s="1593" t="s">
        <v>7641</v>
      </c>
      <c r="H379" s="1594">
        <v>1</v>
      </c>
      <c r="I379" s="1595" t="s">
        <v>7255</v>
      </c>
      <c r="J379" s="1596"/>
      <c r="K379" s="1597"/>
      <c r="L379" s="1596"/>
      <c r="M379" s="1598"/>
      <c r="N379" s="1599"/>
      <c r="O379" s="1598"/>
      <c r="W379" t="s">
        <v>7310</v>
      </c>
    </row>
    <row r="380" spans="2:23" hidden="1">
      <c r="B380" s="1585">
        <f t="shared" si="2"/>
        <v>346</v>
      </c>
      <c r="C380" s="1586" t="s">
        <v>6976</v>
      </c>
      <c r="D380" s="1586" t="s">
        <v>390</v>
      </c>
      <c r="E380" s="1586" t="s">
        <v>1158</v>
      </c>
      <c r="F380" s="1587">
        <v>4.3</v>
      </c>
      <c r="G380" s="1593" t="s">
        <v>7641</v>
      </c>
      <c r="H380" s="1594">
        <v>2</v>
      </c>
      <c r="I380" s="1595" t="s">
        <v>7312</v>
      </c>
      <c r="J380" s="1596"/>
      <c r="K380" s="1597"/>
      <c r="L380" s="1596"/>
      <c r="M380" s="1598"/>
      <c r="N380" s="1599"/>
      <c r="O380" s="1598"/>
      <c r="W380" t="s">
        <v>7311</v>
      </c>
    </row>
    <row r="381" spans="2:23" hidden="1">
      <c r="B381" s="1585">
        <f t="shared" si="2"/>
        <v>347</v>
      </c>
      <c r="C381" s="1586" t="s">
        <v>6976</v>
      </c>
      <c r="D381" s="1586" t="s">
        <v>390</v>
      </c>
      <c r="E381" s="1586" t="s">
        <v>1159</v>
      </c>
      <c r="F381" s="1587">
        <v>4.3</v>
      </c>
      <c r="G381" s="1593" t="s">
        <v>7641</v>
      </c>
      <c r="H381" s="1594">
        <v>2</v>
      </c>
      <c r="I381" s="1595" t="s">
        <v>7312</v>
      </c>
      <c r="J381" s="1596"/>
      <c r="K381" s="1597"/>
      <c r="L381" s="1596"/>
      <c r="M381" s="1598"/>
      <c r="N381" s="1599"/>
      <c r="O381" s="1598"/>
      <c r="W381" t="s">
        <v>7313</v>
      </c>
    </row>
    <row r="382" spans="2:23" hidden="1">
      <c r="B382" s="1585">
        <f t="shared" si="2"/>
        <v>348</v>
      </c>
      <c r="C382" s="1586" t="s">
        <v>6976</v>
      </c>
      <c r="D382" s="1586" t="s">
        <v>390</v>
      </c>
      <c r="E382" s="1586" t="s">
        <v>1160</v>
      </c>
      <c r="F382" s="1587">
        <v>4.3</v>
      </c>
      <c r="G382" s="1593" t="s">
        <v>7641</v>
      </c>
      <c r="H382" s="1594">
        <v>2</v>
      </c>
      <c r="I382" s="1595" t="s">
        <v>7312</v>
      </c>
      <c r="J382" s="1596"/>
      <c r="K382" s="1597"/>
      <c r="L382" s="1596"/>
      <c r="M382" s="1598"/>
      <c r="N382" s="1599"/>
      <c r="O382" s="1598"/>
      <c r="W382" t="s">
        <v>7314</v>
      </c>
    </row>
    <row r="383" spans="2:23" hidden="1">
      <c r="B383" s="1585">
        <f t="shared" si="2"/>
        <v>349</v>
      </c>
      <c r="C383" s="1586" t="s">
        <v>6976</v>
      </c>
      <c r="D383" s="1586" t="s">
        <v>390</v>
      </c>
      <c r="E383" s="1586" t="s">
        <v>1161</v>
      </c>
      <c r="F383" s="1587">
        <v>4.3</v>
      </c>
      <c r="G383" s="1593" t="s">
        <v>7641</v>
      </c>
      <c r="H383" s="1594">
        <v>2</v>
      </c>
      <c r="I383" s="1595" t="s">
        <v>7312</v>
      </c>
      <c r="J383" s="1596"/>
      <c r="K383" s="1597"/>
      <c r="L383" s="1596"/>
      <c r="M383" s="1598"/>
      <c r="N383" s="1599"/>
      <c r="O383" s="1598"/>
      <c r="W383" t="s">
        <v>7315</v>
      </c>
    </row>
    <row r="384" spans="2:23" hidden="1">
      <c r="B384" s="1585">
        <f t="shared" si="2"/>
        <v>350</v>
      </c>
      <c r="C384" s="1586" t="s">
        <v>822</v>
      </c>
      <c r="D384" s="1586" t="s">
        <v>208</v>
      </c>
      <c r="E384" s="1586" t="s">
        <v>1691</v>
      </c>
      <c r="F384" s="1587">
        <v>5.2</v>
      </c>
      <c r="G384" s="1593" t="s">
        <v>7317</v>
      </c>
      <c r="H384" s="1594">
        <v>1</v>
      </c>
      <c r="I384" s="1595" t="s">
        <v>7318</v>
      </c>
      <c r="J384" s="1596"/>
      <c r="K384" s="1597"/>
      <c r="L384" s="1596"/>
      <c r="M384" s="1598"/>
      <c r="N384" s="1599"/>
      <c r="O384" s="1598"/>
      <c r="W384" t="s">
        <v>7316</v>
      </c>
    </row>
    <row r="385" spans="2:23" hidden="1">
      <c r="B385" s="1585">
        <f t="shared" si="2"/>
        <v>351</v>
      </c>
      <c r="C385" s="1586" t="s">
        <v>822</v>
      </c>
      <c r="D385" s="1586" t="s">
        <v>208</v>
      </c>
      <c r="E385" s="1586" t="s">
        <v>1692</v>
      </c>
      <c r="F385" s="1587">
        <v>5.2</v>
      </c>
      <c r="G385" s="1593" t="s">
        <v>7317</v>
      </c>
      <c r="H385" s="1594">
        <v>1</v>
      </c>
      <c r="I385" s="1595" t="s">
        <v>7318</v>
      </c>
      <c r="J385" s="1596"/>
      <c r="K385" s="1597"/>
      <c r="L385" s="1596"/>
      <c r="M385" s="1598"/>
      <c r="N385" s="1599"/>
      <c r="O385" s="1598"/>
      <c r="W385" t="s">
        <v>7319</v>
      </c>
    </row>
    <row r="386" spans="2:23" hidden="1">
      <c r="B386" s="1585">
        <f t="shared" si="2"/>
        <v>352</v>
      </c>
      <c r="C386" s="1586" t="s">
        <v>822</v>
      </c>
      <c r="D386" s="1586" t="s">
        <v>208</v>
      </c>
      <c r="E386" s="1586" t="s">
        <v>1693</v>
      </c>
      <c r="F386" s="1587">
        <v>5.2</v>
      </c>
      <c r="G386" s="1593" t="s">
        <v>7317</v>
      </c>
      <c r="H386" s="1594">
        <v>1</v>
      </c>
      <c r="I386" s="1595" t="s">
        <v>7318</v>
      </c>
      <c r="J386" s="1596"/>
      <c r="K386" s="1597"/>
      <c r="L386" s="1596"/>
      <c r="M386" s="1598"/>
      <c r="N386" s="1599"/>
      <c r="O386" s="1598"/>
      <c r="W386" t="s">
        <v>7320</v>
      </c>
    </row>
    <row r="387" spans="2:23" hidden="1">
      <c r="B387" s="1585">
        <f t="shared" si="2"/>
        <v>353</v>
      </c>
      <c r="C387" s="1586" t="s">
        <v>822</v>
      </c>
      <c r="D387" s="1586" t="s">
        <v>208</v>
      </c>
      <c r="E387" s="1586" t="s">
        <v>1694</v>
      </c>
      <c r="F387" s="1587">
        <v>5.2</v>
      </c>
      <c r="G387" s="1593" t="s">
        <v>7317</v>
      </c>
      <c r="H387" s="1594">
        <v>1</v>
      </c>
      <c r="I387" s="1595" t="s">
        <v>7318</v>
      </c>
      <c r="J387" s="1596"/>
      <c r="K387" s="1597"/>
      <c r="L387" s="1596"/>
      <c r="M387" s="1598"/>
      <c r="N387" s="1599"/>
      <c r="O387" s="1598"/>
      <c r="W387" t="s">
        <v>7321</v>
      </c>
    </row>
    <row r="388" spans="2:23" hidden="1">
      <c r="B388" s="1585">
        <f t="shared" si="2"/>
        <v>354</v>
      </c>
      <c r="C388" s="1586" t="s">
        <v>822</v>
      </c>
      <c r="D388" s="1586" t="s">
        <v>208</v>
      </c>
      <c r="E388" s="1586" t="s">
        <v>1695</v>
      </c>
      <c r="F388" s="1587">
        <v>5.2</v>
      </c>
      <c r="G388" s="1593" t="s">
        <v>7317</v>
      </c>
      <c r="H388" s="1594">
        <v>1</v>
      </c>
      <c r="I388" s="1595" t="s">
        <v>7318</v>
      </c>
      <c r="J388" s="1596"/>
      <c r="K388" s="1597"/>
      <c r="L388" s="1596"/>
      <c r="M388" s="1598"/>
      <c r="N388" s="1599"/>
      <c r="O388" s="1598"/>
      <c r="W388" t="s">
        <v>7322</v>
      </c>
    </row>
    <row r="389" spans="2:23" hidden="1">
      <c r="B389" s="1585">
        <f t="shared" si="2"/>
        <v>355</v>
      </c>
      <c r="C389" s="1586" t="s">
        <v>822</v>
      </c>
      <c r="D389" s="1586" t="s">
        <v>208</v>
      </c>
      <c r="E389" s="1586" t="s">
        <v>1696</v>
      </c>
      <c r="F389" s="1587">
        <v>5.2</v>
      </c>
      <c r="G389" s="1593" t="s">
        <v>7317</v>
      </c>
      <c r="H389" s="1594">
        <v>1</v>
      </c>
      <c r="I389" s="1595" t="s">
        <v>7318</v>
      </c>
      <c r="J389" s="1596"/>
      <c r="K389" s="1597"/>
      <c r="L389" s="1596"/>
      <c r="M389" s="1598"/>
      <c r="N389" s="1599"/>
      <c r="O389" s="1598"/>
      <c r="W389" t="s">
        <v>7323</v>
      </c>
    </row>
    <row r="390" spans="2:23" hidden="1">
      <c r="B390" s="1585">
        <f t="shared" si="2"/>
        <v>356</v>
      </c>
      <c r="C390" s="1586" t="s">
        <v>822</v>
      </c>
      <c r="D390" s="1586" t="s">
        <v>208</v>
      </c>
      <c r="E390" s="1586" t="s">
        <v>1697</v>
      </c>
      <c r="F390" s="1587">
        <v>5.2</v>
      </c>
      <c r="G390" s="1593" t="s">
        <v>7317</v>
      </c>
      <c r="H390" s="1594">
        <v>1</v>
      </c>
      <c r="I390" s="1595" t="s">
        <v>7318</v>
      </c>
      <c r="J390" s="1596"/>
      <c r="K390" s="1597"/>
      <c r="L390" s="1596"/>
      <c r="M390" s="1598"/>
      <c r="N390" s="1599"/>
      <c r="O390" s="1598"/>
      <c r="W390" t="s">
        <v>7324</v>
      </c>
    </row>
    <row r="391" spans="2:23" hidden="1">
      <c r="B391" s="1585">
        <f t="shared" si="2"/>
        <v>357</v>
      </c>
      <c r="C391" s="1586" t="s">
        <v>822</v>
      </c>
      <c r="D391" s="1586" t="s">
        <v>208</v>
      </c>
      <c r="E391" s="1586" t="s">
        <v>1698</v>
      </c>
      <c r="F391" s="1587">
        <v>5.2</v>
      </c>
      <c r="G391" s="1593" t="s">
        <v>7317</v>
      </c>
      <c r="H391" s="1594">
        <v>1</v>
      </c>
      <c r="I391" s="1595" t="s">
        <v>7318</v>
      </c>
      <c r="J391" s="1596"/>
      <c r="K391" s="1597"/>
      <c r="L391" s="1596"/>
      <c r="M391" s="1598"/>
      <c r="N391" s="1599"/>
      <c r="O391" s="1598"/>
      <c r="W391" t="s">
        <v>7325</v>
      </c>
    </row>
    <row r="392" spans="2:23" hidden="1">
      <c r="B392" s="1585">
        <f t="shared" si="2"/>
        <v>358</v>
      </c>
      <c r="C392" s="1586" t="s">
        <v>822</v>
      </c>
      <c r="D392" s="1586" t="s">
        <v>208</v>
      </c>
      <c r="E392" s="1586" t="s">
        <v>1699</v>
      </c>
      <c r="F392" s="1587">
        <v>5.2</v>
      </c>
      <c r="G392" s="1593" t="s">
        <v>7317</v>
      </c>
      <c r="H392" s="1594">
        <v>1</v>
      </c>
      <c r="I392" s="1595" t="s">
        <v>7318</v>
      </c>
      <c r="J392" s="1596"/>
      <c r="K392" s="1597"/>
      <c r="L392" s="1596"/>
      <c r="M392" s="1598"/>
      <c r="N392" s="1599"/>
      <c r="O392" s="1598"/>
      <c r="W392" t="s">
        <v>7326</v>
      </c>
    </row>
    <row r="393" spans="2:23" hidden="1">
      <c r="B393" s="1585">
        <f t="shared" si="2"/>
        <v>359</v>
      </c>
      <c r="C393" s="1586" t="s">
        <v>822</v>
      </c>
      <c r="D393" s="1586" t="s">
        <v>208</v>
      </c>
      <c r="E393" s="1586" t="s">
        <v>1700</v>
      </c>
      <c r="F393" s="1587">
        <v>5.2</v>
      </c>
      <c r="G393" s="1593" t="s">
        <v>7317</v>
      </c>
      <c r="H393" s="1594">
        <v>1</v>
      </c>
      <c r="I393" s="1595" t="s">
        <v>7318</v>
      </c>
      <c r="J393" s="1596"/>
      <c r="K393" s="1597"/>
      <c r="L393" s="1596"/>
      <c r="M393" s="1598"/>
      <c r="N393" s="1599"/>
      <c r="O393" s="1598"/>
      <c r="W393" t="s">
        <v>7327</v>
      </c>
    </row>
    <row r="394" spans="2:23" hidden="1">
      <c r="B394" s="1585">
        <f t="shared" si="2"/>
        <v>360</v>
      </c>
      <c r="C394" s="1586" t="s">
        <v>822</v>
      </c>
      <c r="D394" s="1586" t="s">
        <v>208</v>
      </c>
      <c r="E394" s="1586" t="s">
        <v>1701</v>
      </c>
      <c r="F394" s="1587">
        <v>5.2</v>
      </c>
      <c r="G394" s="1593" t="s">
        <v>7317</v>
      </c>
      <c r="H394" s="1594">
        <v>1</v>
      </c>
      <c r="I394" s="1595" t="s">
        <v>7318</v>
      </c>
      <c r="J394" s="1596"/>
      <c r="K394" s="1597"/>
      <c r="L394" s="1596"/>
      <c r="M394" s="1598"/>
      <c r="N394" s="1599"/>
      <c r="O394" s="1598"/>
      <c r="W394" t="s">
        <v>7328</v>
      </c>
    </row>
    <row r="395" spans="2:23" hidden="1">
      <c r="B395" s="1585">
        <f t="shared" si="2"/>
        <v>361</v>
      </c>
      <c r="C395" s="1586" t="s">
        <v>822</v>
      </c>
      <c r="D395" s="1586" t="s">
        <v>208</v>
      </c>
      <c r="E395" s="1586" t="s">
        <v>1702</v>
      </c>
      <c r="F395" s="1587">
        <v>5.2</v>
      </c>
      <c r="G395" s="1593" t="s">
        <v>7317</v>
      </c>
      <c r="H395" s="1594">
        <v>1</v>
      </c>
      <c r="I395" s="1595" t="s">
        <v>7318</v>
      </c>
      <c r="J395" s="1596"/>
      <c r="K395" s="1597"/>
      <c r="L395" s="1596"/>
      <c r="M395" s="1598"/>
      <c r="N395" s="1599"/>
      <c r="O395" s="1598"/>
      <c r="W395" t="s">
        <v>7329</v>
      </c>
    </row>
    <row r="396" spans="2:23" hidden="1">
      <c r="B396" s="1585">
        <f t="shared" si="2"/>
        <v>362</v>
      </c>
      <c r="C396" s="1586" t="s">
        <v>822</v>
      </c>
      <c r="D396" s="1586" t="s">
        <v>208</v>
      </c>
      <c r="E396" s="1586" t="s">
        <v>1703</v>
      </c>
      <c r="F396" s="1587">
        <v>5.2</v>
      </c>
      <c r="G396" s="1593" t="s">
        <v>7317</v>
      </c>
      <c r="H396" s="1594">
        <v>1</v>
      </c>
      <c r="I396" s="1595" t="s">
        <v>7318</v>
      </c>
      <c r="J396" s="1596"/>
      <c r="K396" s="1597"/>
      <c r="L396" s="1596"/>
      <c r="M396" s="1598"/>
      <c r="N396" s="1599"/>
      <c r="O396" s="1598"/>
      <c r="W396" t="s">
        <v>7330</v>
      </c>
    </row>
    <row r="397" spans="2:23" hidden="1">
      <c r="B397" s="1585">
        <f t="shared" si="2"/>
        <v>363</v>
      </c>
      <c r="C397" s="1586" t="s">
        <v>822</v>
      </c>
      <c r="D397" s="1586" t="s">
        <v>208</v>
      </c>
      <c r="E397" s="1586" t="s">
        <v>1704</v>
      </c>
      <c r="F397" s="1587">
        <v>5.2</v>
      </c>
      <c r="G397" s="1593" t="s">
        <v>7317</v>
      </c>
      <c r="H397" s="1594">
        <v>1</v>
      </c>
      <c r="I397" s="1595" t="s">
        <v>7318</v>
      </c>
      <c r="J397" s="1596"/>
      <c r="K397" s="1597"/>
      <c r="L397" s="1596"/>
      <c r="M397" s="1598"/>
      <c r="N397" s="1599"/>
      <c r="O397" s="1598"/>
      <c r="W397" t="s">
        <v>7331</v>
      </c>
    </row>
    <row r="398" spans="2:23" hidden="1">
      <c r="B398" s="1585">
        <f t="shared" si="2"/>
        <v>364</v>
      </c>
      <c r="C398" s="1586" t="s">
        <v>822</v>
      </c>
      <c r="D398" s="1586" t="s">
        <v>208</v>
      </c>
      <c r="E398" s="1586" t="s">
        <v>1705</v>
      </c>
      <c r="F398" s="1587">
        <v>5.2</v>
      </c>
      <c r="G398" s="1593" t="s">
        <v>7317</v>
      </c>
      <c r="H398" s="1594">
        <v>1</v>
      </c>
      <c r="I398" s="1595" t="s">
        <v>7318</v>
      </c>
      <c r="J398" s="1596"/>
      <c r="K398" s="1597"/>
      <c r="L398" s="1596"/>
      <c r="M398" s="1598"/>
      <c r="N398" s="1599"/>
      <c r="O398" s="1598"/>
      <c r="W398" t="s">
        <v>7332</v>
      </c>
    </row>
    <row r="399" spans="2:23" hidden="1">
      <c r="B399" s="1585">
        <f t="shared" si="2"/>
        <v>365</v>
      </c>
      <c r="C399" s="1586" t="s">
        <v>822</v>
      </c>
      <c r="D399" s="1586" t="s">
        <v>208</v>
      </c>
      <c r="E399" s="1586" t="s">
        <v>1706</v>
      </c>
      <c r="F399" s="1587">
        <v>5.2</v>
      </c>
      <c r="G399" s="1593" t="s">
        <v>7317</v>
      </c>
      <c r="H399" s="1594">
        <v>1</v>
      </c>
      <c r="I399" s="1595" t="s">
        <v>7318</v>
      </c>
      <c r="J399" s="1596"/>
      <c r="K399" s="1597"/>
      <c r="L399" s="1596"/>
      <c r="M399" s="1598"/>
      <c r="N399" s="1599"/>
      <c r="O399" s="1598"/>
      <c r="W399" t="s">
        <v>7333</v>
      </c>
    </row>
    <row r="400" spans="2:23" hidden="1">
      <c r="B400" s="1585">
        <f t="shared" ref="B400:B463" si="3">B399+1</f>
        <v>366</v>
      </c>
      <c r="C400" s="1586" t="s">
        <v>822</v>
      </c>
      <c r="D400" s="1586" t="s">
        <v>208</v>
      </c>
      <c r="E400" s="1586" t="s">
        <v>1140</v>
      </c>
      <c r="F400" s="1587">
        <v>5.2</v>
      </c>
      <c r="G400" s="1593" t="s">
        <v>7317</v>
      </c>
      <c r="H400" s="1594">
        <v>1</v>
      </c>
      <c r="I400" s="1595" t="s">
        <v>7318</v>
      </c>
      <c r="J400" s="1596"/>
      <c r="K400" s="1597"/>
      <c r="L400" s="1596"/>
      <c r="M400" s="1598"/>
      <c r="N400" s="1599"/>
      <c r="O400" s="1598"/>
      <c r="W400" t="s">
        <v>7334</v>
      </c>
    </row>
    <row r="401" spans="2:23" hidden="1">
      <c r="B401" s="1585">
        <f t="shared" si="3"/>
        <v>367</v>
      </c>
      <c r="C401" s="1586" t="s">
        <v>822</v>
      </c>
      <c r="D401" s="1586" t="s">
        <v>204</v>
      </c>
      <c r="E401" s="1586" t="s">
        <v>1707</v>
      </c>
      <c r="F401" s="1587">
        <v>5.3</v>
      </c>
      <c r="G401" s="1593" t="s">
        <v>7317</v>
      </c>
      <c r="H401" s="1594">
        <v>1</v>
      </c>
      <c r="I401" s="1595" t="s">
        <v>7318</v>
      </c>
      <c r="J401" s="1596"/>
      <c r="K401" s="1597"/>
      <c r="L401" s="1596"/>
      <c r="M401" s="1598"/>
      <c r="N401" s="1599"/>
      <c r="O401" s="1598"/>
      <c r="W401" t="s">
        <v>7335</v>
      </c>
    </row>
    <row r="402" spans="2:23" hidden="1">
      <c r="B402" s="1585">
        <f t="shared" si="3"/>
        <v>368</v>
      </c>
      <c r="C402" s="1586" t="s">
        <v>822</v>
      </c>
      <c r="D402" s="1586" t="s">
        <v>204</v>
      </c>
      <c r="E402" s="1586" t="s">
        <v>1708</v>
      </c>
      <c r="F402" s="1587">
        <v>5.3</v>
      </c>
      <c r="G402" s="1593" t="s">
        <v>7317</v>
      </c>
      <c r="H402" s="1594">
        <v>1</v>
      </c>
      <c r="I402" s="1595" t="s">
        <v>7318</v>
      </c>
      <c r="J402" s="1596"/>
      <c r="K402" s="1597"/>
      <c r="L402" s="1596"/>
      <c r="M402" s="1598"/>
      <c r="N402" s="1599"/>
      <c r="O402" s="1598"/>
      <c r="W402" t="s">
        <v>7336</v>
      </c>
    </row>
    <row r="403" spans="2:23" hidden="1">
      <c r="B403" s="1585">
        <f t="shared" si="3"/>
        <v>369</v>
      </c>
      <c r="C403" s="1586" t="s">
        <v>822</v>
      </c>
      <c r="D403" s="1586" t="s">
        <v>204</v>
      </c>
      <c r="E403" s="1586" t="s">
        <v>1709</v>
      </c>
      <c r="F403" s="1587">
        <v>5.3</v>
      </c>
      <c r="G403" s="1593" t="s">
        <v>7317</v>
      </c>
      <c r="H403" s="1594">
        <v>1</v>
      </c>
      <c r="I403" s="1595" t="s">
        <v>7318</v>
      </c>
      <c r="J403" s="1596"/>
      <c r="K403" s="1597"/>
      <c r="L403" s="1596"/>
      <c r="M403" s="1598"/>
      <c r="N403" s="1599"/>
      <c r="O403" s="1598"/>
      <c r="W403" t="s">
        <v>7337</v>
      </c>
    </row>
    <row r="404" spans="2:23" hidden="1">
      <c r="B404" s="1585">
        <f t="shared" si="3"/>
        <v>370</v>
      </c>
      <c r="C404" s="1586" t="s">
        <v>822</v>
      </c>
      <c r="D404" s="1586" t="s">
        <v>204</v>
      </c>
      <c r="E404" s="1586" t="s">
        <v>1710</v>
      </c>
      <c r="F404" s="1587">
        <v>5.3</v>
      </c>
      <c r="G404" s="1593" t="s">
        <v>7317</v>
      </c>
      <c r="H404" s="1594">
        <v>1</v>
      </c>
      <c r="I404" s="1595" t="s">
        <v>7318</v>
      </c>
      <c r="J404" s="1596"/>
      <c r="K404" s="1597"/>
      <c r="L404" s="1596"/>
      <c r="M404" s="1598"/>
      <c r="N404" s="1599"/>
      <c r="O404" s="1598"/>
      <c r="W404" t="s">
        <v>7338</v>
      </c>
    </row>
    <row r="405" spans="2:23" hidden="1">
      <c r="B405" s="1585">
        <f t="shared" si="3"/>
        <v>371</v>
      </c>
      <c r="C405" s="1586" t="s">
        <v>822</v>
      </c>
      <c r="D405" s="1586" t="s">
        <v>204</v>
      </c>
      <c r="E405" s="1586" t="s">
        <v>1140</v>
      </c>
      <c r="F405" s="1587">
        <v>5.3</v>
      </c>
      <c r="G405" s="1593" t="s">
        <v>7317</v>
      </c>
      <c r="H405" s="1594">
        <v>1</v>
      </c>
      <c r="I405" s="1595" t="s">
        <v>7318</v>
      </c>
      <c r="J405" s="1596"/>
      <c r="K405" s="1597"/>
      <c r="L405" s="1596"/>
      <c r="M405" s="1598"/>
      <c r="N405" s="1599"/>
      <c r="O405" s="1598"/>
      <c r="W405" t="s">
        <v>7339</v>
      </c>
    </row>
    <row r="406" spans="2:23" hidden="1">
      <c r="B406" s="1585">
        <f t="shared" si="3"/>
        <v>372</v>
      </c>
      <c r="C406" s="1586" t="s">
        <v>7341</v>
      </c>
      <c r="D406" s="1586" t="s">
        <v>207</v>
      </c>
      <c r="E406" s="1586" t="s">
        <v>1686</v>
      </c>
      <c r="F406" s="1587">
        <v>5.8</v>
      </c>
      <c r="G406" s="1593" t="s">
        <v>7317</v>
      </c>
      <c r="H406" s="1594">
        <v>1</v>
      </c>
      <c r="I406" s="1595" t="s">
        <v>7318</v>
      </c>
      <c r="J406" s="1596"/>
      <c r="K406" s="1597"/>
      <c r="L406" s="1596"/>
      <c r="M406" s="1598"/>
      <c r="N406" s="1599"/>
      <c r="O406" s="1598"/>
      <c r="W406" t="s">
        <v>7340</v>
      </c>
    </row>
    <row r="407" spans="2:23" hidden="1">
      <c r="B407" s="1585">
        <f t="shared" si="3"/>
        <v>373</v>
      </c>
      <c r="C407" s="1586" t="s">
        <v>7341</v>
      </c>
      <c r="D407" s="1586" t="s">
        <v>207</v>
      </c>
      <c r="E407" s="1586" t="s">
        <v>1687</v>
      </c>
      <c r="F407" s="1587">
        <v>5.8</v>
      </c>
      <c r="G407" s="1593" t="s">
        <v>7317</v>
      </c>
      <c r="H407" s="1594">
        <v>1</v>
      </c>
      <c r="I407" s="1595" t="s">
        <v>7318</v>
      </c>
      <c r="J407" s="1596"/>
      <c r="K407" s="1597"/>
      <c r="L407" s="1596"/>
      <c r="M407" s="1598"/>
      <c r="N407" s="1599"/>
      <c r="O407" s="1598"/>
      <c r="W407" t="s">
        <v>7342</v>
      </c>
    </row>
    <row r="408" spans="2:23" hidden="1">
      <c r="B408" s="1585">
        <f t="shared" si="3"/>
        <v>374</v>
      </c>
      <c r="C408" s="1586" t="s">
        <v>7341</v>
      </c>
      <c r="D408" s="1586" t="s">
        <v>207</v>
      </c>
      <c r="E408" s="1586" t="s">
        <v>1688</v>
      </c>
      <c r="F408" s="1587">
        <v>5.8</v>
      </c>
      <c r="G408" s="1593" t="s">
        <v>7317</v>
      </c>
      <c r="H408" s="1594">
        <v>1</v>
      </c>
      <c r="I408" s="1595" t="s">
        <v>7318</v>
      </c>
      <c r="J408" s="1596"/>
      <c r="K408" s="1597"/>
      <c r="L408" s="1596"/>
      <c r="M408" s="1598"/>
      <c r="N408" s="1599"/>
      <c r="O408" s="1598"/>
      <c r="W408" t="s">
        <v>7343</v>
      </c>
    </row>
    <row r="409" spans="2:23" hidden="1">
      <c r="B409" s="1585">
        <f t="shared" si="3"/>
        <v>375</v>
      </c>
      <c r="C409" s="1586" t="s">
        <v>7341</v>
      </c>
      <c r="D409" s="1586" t="s">
        <v>207</v>
      </c>
      <c r="E409" s="1586" t="s">
        <v>1689</v>
      </c>
      <c r="F409" s="1587">
        <v>5.8</v>
      </c>
      <c r="G409" s="1593" t="s">
        <v>7317</v>
      </c>
      <c r="H409" s="1594">
        <v>1</v>
      </c>
      <c r="I409" s="1595" t="s">
        <v>7318</v>
      </c>
      <c r="J409" s="1596"/>
      <c r="K409" s="1597"/>
      <c r="L409" s="1596"/>
      <c r="M409" s="1598"/>
      <c r="N409" s="1599"/>
      <c r="O409" s="1598"/>
      <c r="W409" t="s">
        <v>7344</v>
      </c>
    </row>
    <row r="410" spans="2:23" hidden="1">
      <c r="B410" s="1585">
        <f t="shared" si="3"/>
        <v>376</v>
      </c>
      <c r="C410" s="1586" t="s">
        <v>7341</v>
      </c>
      <c r="D410" s="1586" t="s">
        <v>207</v>
      </c>
      <c r="E410" s="1586" t="s">
        <v>1690</v>
      </c>
      <c r="F410" s="1587">
        <v>5.8</v>
      </c>
      <c r="G410" s="1593" t="s">
        <v>7317</v>
      </c>
      <c r="H410" s="1594">
        <v>1</v>
      </c>
      <c r="I410" s="1595" t="s">
        <v>7318</v>
      </c>
      <c r="J410" s="1596"/>
      <c r="K410" s="1597"/>
      <c r="L410" s="1596"/>
      <c r="M410" s="1598"/>
      <c r="N410" s="1599"/>
      <c r="O410" s="1598"/>
      <c r="W410" t="s">
        <v>7345</v>
      </c>
    </row>
    <row r="411" spans="2:23" hidden="1">
      <c r="B411" s="1585">
        <f t="shared" si="3"/>
        <v>377</v>
      </c>
      <c r="C411" s="1586" t="s">
        <v>580</v>
      </c>
      <c r="D411" s="1586" t="s">
        <v>205</v>
      </c>
      <c r="E411" s="1586" t="s">
        <v>825</v>
      </c>
      <c r="F411" s="1587">
        <v>5.4</v>
      </c>
      <c r="G411" s="1593" t="s">
        <v>7317</v>
      </c>
      <c r="H411" s="1594">
        <v>2</v>
      </c>
      <c r="I411" s="1595" t="s">
        <v>7347</v>
      </c>
      <c r="J411" s="1596" t="s">
        <v>7642</v>
      </c>
      <c r="K411" s="1597">
        <v>4</v>
      </c>
      <c r="L411" s="1596" t="s">
        <v>1755</v>
      </c>
      <c r="M411" s="1598"/>
      <c r="N411" s="1599"/>
      <c r="O411" s="1598"/>
      <c r="W411" t="s">
        <v>7346</v>
      </c>
    </row>
    <row r="412" spans="2:23" hidden="1">
      <c r="B412" s="1585">
        <f t="shared" si="3"/>
        <v>378</v>
      </c>
      <c r="C412" s="1586" t="s">
        <v>580</v>
      </c>
      <c r="D412" s="1586" t="s">
        <v>205</v>
      </c>
      <c r="E412" s="1586" t="s">
        <v>1506</v>
      </c>
      <c r="F412" s="1587">
        <v>5.4</v>
      </c>
      <c r="G412" s="1593" t="s">
        <v>7317</v>
      </c>
      <c r="H412" s="1594">
        <v>2</v>
      </c>
      <c r="I412" s="1595" t="s">
        <v>7347</v>
      </c>
      <c r="J412" s="1596" t="s">
        <v>7642</v>
      </c>
      <c r="K412" s="1597">
        <v>4</v>
      </c>
      <c r="L412" s="1596" t="s">
        <v>1755</v>
      </c>
      <c r="M412" s="1598"/>
      <c r="N412" s="1599"/>
      <c r="O412" s="1598"/>
      <c r="W412" t="s">
        <v>7348</v>
      </c>
    </row>
    <row r="413" spans="2:23" hidden="1">
      <c r="B413" s="1585">
        <f t="shared" si="3"/>
        <v>379</v>
      </c>
      <c r="C413" s="1586" t="s">
        <v>580</v>
      </c>
      <c r="D413" s="1586" t="s">
        <v>205</v>
      </c>
      <c r="E413" s="1586" t="s">
        <v>1507</v>
      </c>
      <c r="F413" s="1587">
        <v>5.4</v>
      </c>
      <c r="G413" s="1593" t="s">
        <v>7317</v>
      </c>
      <c r="H413" s="1594">
        <v>2</v>
      </c>
      <c r="I413" s="1595" t="s">
        <v>7347</v>
      </c>
      <c r="J413" s="1596" t="s">
        <v>7642</v>
      </c>
      <c r="K413" s="1597">
        <v>4</v>
      </c>
      <c r="L413" s="1596" t="s">
        <v>1755</v>
      </c>
      <c r="M413" s="1598"/>
      <c r="N413" s="1599"/>
      <c r="O413" s="1598"/>
      <c r="W413" t="s">
        <v>7349</v>
      </c>
    </row>
    <row r="414" spans="2:23" hidden="1">
      <c r="B414" s="1585">
        <f t="shared" si="3"/>
        <v>380</v>
      </c>
      <c r="C414" s="1586" t="s">
        <v>580</v>
      </c>
      <c r="D414" s="1586" t="s">
        <v>205</v>
      </c>
      <c r="E414" s="1586" t="s">
        <v>826</v>
      </c>
      <c r="F414" s="1587">
        <v>5.4</v>
      </c>
      <c r="G414" s="1593" t="s">
        <v>7317</v>
      </c>
      <c r="H414" s="1594">
        <v>2</v>
      </c>
      <c r="I414" s="1595" t="s">
        <v>7347</v>
      </c>
      <c r="J414" s="1596" t="s">
        <v>7642</v>
      </c>
      <c r="K414" s="1597">
        <v>4</v>
      </c>
      <c r="L414" s="1596" t="s">
        <v>1755</v>
      </c>
      <c r="M414" s="1598"/>
      <c r="N414" s="1599"/>
      <c r="O414" s="1598"/>
      <c r="W414" t="s">
        <v>7350</v>
      </c>
    </row>
    <row r="415" spans="2:23" hidden="1">
      <c r="B415" s="1585">
        <f t="shared" si="3"/>
        <v>381</v>
      </c>
      <c r="C415" s="1586" t="s">
        <v>580</v>
      </c>
      <c r="D415" s="1586" t="s">
        <v>205</v>
      </c>
      <c r="E415" s="1586" t="s">
        <v>1508</v>
      </c>
      <c r="F415" s="1587">
        <v>5.4</v>
      </c>
      <c r="G415" s="1593" t="s">
        <v>7317</v>
      </c>
      <c r="H415" s="1594">
        <v>2</v>
      </c>
      <c r="I415" s="1595" t="s">
        <v>7347</v>
      </c>
      <c r="J415" s="1596" t="s">
        <v>7642</v>
      </c>
      <c r="K415" s="1597">
        <v>4</v>
      </c>
      <c r="L415" s="1596" t="s">
        <v>1755</v>
      </c>
      <c r="M415" s="1598"/>
      <c r="N415" s="1599"/>
      <c r="O415" s="1598"/>
      <c r="W415" t="s">
        <v>7351</v>
      </c>
    </row>
    <row r="416" spans="2:23" hidden="1">
      <c r="B416" s="1585">
        <f t="shared" si="3"/>
        <v>382</v>
      </c>
      <c r="C416" s="1586" t="s">
        <v>580</v>
      </c>
      <c r="D416" s="1586" t="s">
        <v>205</v>
      </c>
      <c r="E416" s="1586" t="s">
        <v>1509</v>
      </c>
      <c r="F416" s="1587">
        <v>5.4</v>
      </c>
      <c r="G416" s="1593" t="s">
        <v>7317</v>
      </c>
      <c r="H416" s="1594">
        <v>2</v>
      </c>
      <c r="I416" s="1595" t="s">
        <v>7347</v>
      </c>
      <c r="J416" s="1596" t="s">
        <v>7642</v>
      </c>
      <c r="K416" s="1597">
        <v>4</v>
      </c>
      <c r="L416" s="1596" t="s">
        <v>1755</v>
      </c>
      <c r="M416" s="1598"/>
      <c r="N416" s="1599"/>
      <c r="O416" s="1598"/>
      <c r="W416" t="s">
        <v>7352</v>
      </c>
    </row>
    <row r="417" spans="2:23" hidden="1">
      <c r="B417" s="1585">
        <f t="shared" si="3"/>
        <v>383</v>
      </c>
      <c r="C417" s="1586" t="s">
        <v>580</v>
      </c>
      <c r="D417" s="1586" t="s">
        <v>205</v>
      </c>
      <c r="E417" s="1586" t="s">
        <v>1510</v>
      </c>
      <c r="F417" s="1587">
        <v>5.4</v>
      </c>
      <c r="G417" s="1593" t="s">
        <v>7317</v>
      </c>
      <c r="H417" s="1594">
        <v>2</v>
      </c>
      <c r="I417" s="1595" t="s">
        <v>7347</v>
      </c>
      <c r="J417" s="1596" t="s">
        <v>7642</v>
      </c>
      <c r="K417" s="1597">
        <v>4</v>
      </c>
      <c r="L417" s="1596" t="s">
        <v>1755</v>
      </c>
      <c r="M417" s="1598"/>
      <c r="N417" s="1599"/>
      <c r="O417" s="1598"/>
      <c r="W417" t="s">
        <v>7353</v>
      </c>
    </row>
    <row r="418" spans="2:23" hidden="1">
      <c r="B418" s="1585">
        <f t="shared" si="3"/>
        <v>384</v>
      </c>
      <c r="C418" s="1586" t="s">
        <v>580</v>
      </c>
      <c r="D418" s="1586" t="s">
        <v>205</v>
      </c>
      <c r="E418" s="1586" t="s">
        <v>1511</v>
      </c>
      <c r="F418" s="1587">
        <v>5.4</v>
      </c>
      <c r="G418" s="1593" t="s">
        <v>7317</v>
      </c>
      <c r="H418" s="1594">
        <v>2</v>
      </c>
      <c r="I418" s="1595" t="s">
        <v>7347</v>
      </c>
      <c r="J418" s="1596" t="s">
        <v>7642</v>
      </c>
      <c r="K418" s="1597">
        <v>4</v>
      </c>
      <c r="L418" s="1596" t="s">
        <v>1755</v>
      </c>
      <c r="M418" s="1598"/>
      <c r="N418" s="1599"/>
      <c r="O418" s="1598"/>
      <c r="W418" t="s">
        <v>7354</v>
      </c>
    </row>
    <row r="419" spans="2:23" hidden="1">
      <c r="B419" s="1585">
        <f t="shared" si="3"/>
        <v>385</v>
      </c>
      <c r="C419" s="1586" t="s">
        <v>580</v>
      </c>
      <c r="D419" s="1586" t="s">
        <v>205</v>
      </c>
      <c r="E419" s="1586" t="s">
        <v>1512</v>
      </c>
      <c r="F419" s="1587">
        <v>5.4</v>
      </c>
      <c r="G419" s="1593" t="s">
        <v>7317</v>
      </c>
      <c r="H419" s="1594">
        <v>2</v>
      </c>
      <c r="I419" s="1595" t="s">
        <v>7347</v>
      </c>
      <c r="J419" s="1596" t="s">
        <v>7642</v>
      </c>
      <c r="K419" s="1597">
        <v>4</v>
      </c>
      <c r="L419" s="1596" t="s">
        <v>1755</v>
      </c>
      <c r="M419" s="1598"/>
      <c r="N419" s="1599"/>
      <c r="O419" s="1598"/>
      <c r="W419" t="s">
        <v>7355</v>
      </c>
    </row>
    <row r="420" spans="2:23" hidden="1">
      <c r="B420" s="1585">
        <f t="shared" si="3"/>
        <v>386</v>
      </c>
      <c r="C420" s="1586" t="s">
        <v>580</v>
      </c>
      <c r="D420" s="1586" t="s">
        <v>205</v>
      </c>
      <c r="E420" s="1586" t="s">
        <v>1513</v>
      </c>
      <c r="F420" s="1587">
        <v>5.4</v>
      </c>
      <c r="G420" s="1593" t="s">
        <v>7317</v>
      </c>
      <c r="H420" s="1594">
        <v>2</v>
      </c>
      <c r="I420" s="1595" t="s">
        <v>7347</v>
      </c>
      <c r="J420" s="1596" t="s">
        <v>7642</v>
      </c>
      <c r="K420" s="1597">
        <v>4</v>
      </c>
      <c r="L420" s="1596" t="s">
        <v>1755</v>
      </c>
      <c r="M420" s="1598"/>
      <c r="N420" s="1599"/>
      <c r="O420" s="1598"/>
      <c r="W420" t="s">
        <v>7356</v>
      </c>
    </row>
    <row r="421" spans="2:23" hidden="1">
      <c r="B421" s="1585">
        <f t="shared" si="3"/>
        <v>387</v>
      </c>
      <c r="C421" s="1586" t="s">
        <v>580</v>
      </c>
      <c r="D421" s="1586" t="s">
        <v>205</v>
      </c>
      <c r="E421" s="1586" t="s">
        <v>1514</v>
      </c>
      <c r="F421" s="1587">
        <v>5.4</v>
      </c>
      <c r="G421" s="1593" t="s">
        <v>7317</v>
      </c>
      <c r="H421" s="1594">
        <v>2</v>
      </c>
      <c r="I421" s="1595" t="s">
        <v>7347</v>
      </c>
      <c r="J421" s="1596" t="s">
        <v>7642</v>
      </c>
      <c r="K421" s="1597">
        <v>4</v>
      </c>
      <c r="L421" s="1596" t="s">
        <v>1755</v>
      </c>
      <c r="M421" s="1598"/>
      <c r="N421" s="1599"/>
      <c r="O421" s="1598"/>
      <c r="W421" t="s">
        <v>7357</v>
      </c>
    </row>
    <row r="422" spans="2:23" hidden="1">
      <c r="B422" s="1585">
        <f t="shared" si="3"/>
        <v>388</v>
      </c>
      <c r="C422" s="1586" t="s">
        <v>580</v>
      </c>
      <c r="D422" s="1586" t="s">
        <v>205</v>
      </c>
      <c r="E422" s="1586" t="s">
        <v>1515</v>
      </c>
      <c r="F422" s="1587">
        <v>5.4</v>
      </c>
      <c r="G422" s="1593" t="s">
        <v>7317</v>
      </c>
      <c r="H422" s="1594">
        <v>2</v>
      </c>
      <c r="I422" s="1595" t="s">
        <v>7347</v>
      </c>
      <c r="J422" s="1596" t="s">
        <v>7642</v>
      </c>
      <c r="K422" s="1597">
        <v>4</v>
      </c>
      <c r="L422" s="1596" t="s">
        <v>1755</v>
      </c>
      <c r="M422" s="1598"/>
      <c r="N422" s="1599"/>
      <c r="O422" s="1598"/>
      <c r="W422" t="s">
        <v>7358</v>
      </c>
    </row>
    <row r="423" spans="2:23" hidden="1">
      <c r="B423" s="1585">
        <f t="shared" si="3"/>
        <v>389</v>
      </c>
      <c r="C423" s="1586" t="s">
        <v>580</v>
      </c>
      <c r="D423" s="1586" t="s">
        <v>205</v>
      </c>
      <c r="E423" s="1586" t="s">
        <v>827</v>
      </c>
      <c r="F423" s="1587">
        <v>5.4</v>
      </c>
      <c r="G423" s="1593" t="s">
        <v>7317</v>
      </c>
      <c r="H423" s="1594">
        <v>2</v>
      </c>
      <c r="I423" s="1595" t="s">
        <v>7347</v>
      </c>
      <c r="J423" s="1596" t="s">
        <v>7642</v>
      </c>
      <c r="K423" s="1597">
        <v>4</v>
      </c>
      <c r="L423" s="1596" t="s">
        <v>1755</v>
      </c>
      <c r="M423" s="1598"/>
      <c r="N423" s="1599"/>
      <c r="O423" s="1598"/>
      <c r="W423" t="s">
        <v>7359</v>
      </c>
    </row>
    <row r="424" spans="2:23" hidden="1">
      <c r="B424" s="1585">
        <f t="shared" si="3"/>
        <v>390</v>
      </c>
      <c r="C424" s="1586" t="s">
        <v>580</v>
      </c>
      <c r="D424" s="1586" t="s">
        <v>205</v>
      </c>
      <c r="E424" s="1586" t="s">
        <v>1516</v>
      </c>
      <c r="F424" s="1587">
        <v>5.4</v>
      </c>
      <c r="G424" s="1593" t="s">
        <v>7317</v>
      </c>
      <c r="H424" s="1594">
        <v>2</v>
      </c>
      <c r="I424" s="1595" t="s">
        <v>7347</v>
      </c>
      <c r="J424" s="1596" t="s">
        <v>7642</v>
      </c>
      <c r="K424" s="1597">
        <v>4</v>
      </c>
      <c r="L424" s="1596" t="s">
        <v>1755</v>
      </c>
      <c r="M424" s="1598"/>
      <c r="N424" s="1599"/>
      <c r="O424" s="1598"/>
      <c r="W424" t="s">
        <v>7360</v>
      </c>
    </row>
    <row r="425" spans="2:23" hidden="1">
      <c r="B425" s="1585">
        <f t="shared" si="3"/>
        <v>391</v>
      </c>
      <c r="C425" s="1586" t="s">
        <v>580</v>
      </c>
      <c r="D425" s="1586" t="s">
        <v>205</v>
      </c>
      <c r="E425" s="1586" t="s">
        <v>1517</v>
      </c>
      <c r="F425" s="1587">
        <v>5.4</v>
      </c>
      <c r="G425" s="1593" t="s">
        <v>7317</v>
      </c>
      <c r="H425" s="1594">
        <v>2</v>
      </c>
      <c r="I425" s="1595" t="s">
        <v>7347</v>
      </c>
      <c r="J425" s="1596" t="s">
        <v>7642</v>
      </c>
      <c r="K425" s="1597">
        <v>4</v>
      </c>
      <c r="L425" s="1596" t="s">
        <v>1755</v>
      </c>
      <c r="M425" s="1598"/>
      <c r="N425" s="1599"/>
      <c r="O425" s="1598"/>
      <c r="W425" t="s">
        <v>7361</v>
      </c>
    </row>
    <row r="426" spans="2:23" hidden="1">
      <c r="B426" s="1585">
        <f t="shared" si="3"/>
        <v>392</v>
      </c>
      <c r="C426" s="1586" t="s">
        <v>580</v>
      </c>
      <c r="D426" s="1586" t="s">
        <v>205</v>
      </c>
      <c r="E426" s="1586" t="s">
        <v>1518</v>
      </c>
      <c r="F426" s="1587">
        <v>5.4</v>
      </c>
      <c r="G426" s="1593" t="s">
        <v>7317</v>
      </c>
      <c r="H426" s="1594">
        <v>2</v>
      </c>
      <c r="I426" s="1595" t="s">
        <v>7347</v>
      </c>
      <c r="J426" s="1596" t="s">
        <v>7642</v>
      </c>
      <c r="K426" s="1597">
        <v>4</v>
      </c>
      <c r="L426" s="1596" t="s">
        <v>1755</v>
      </c>
      <c r="M426" s="1598"/>
      <c r="N426" s="1599"/>
      <c r="O426" s="1598"/>
      <c r="W426" t="s">
        <v>7362</v>
      </c>
    </row>
    <row r="427" spans="2:23" hidden="1">
      <c r="B427" s="1585">
        <f t="shared" si="3"/>
        <v>393</v>
      </c>
      <c r="C427" s="1586" t="s">
        <v>580</v>
      </c>
      <c r="D427" s="1586" t="s">
        <v>205</v>
      </c>
      <c r="E427" s="1586" t="s">
        <v>828</v>
      </c>
      <c r="F427" s="1587">
        <v>5.4</v>
      </c>
      <c r="G427" s="1593" t="s">
        <v>7317</v>
      </c>
      <c r="H427" s="1594">
        <v>2</v>
      </c>
      <c r="I427" s="1595" t="s">
        <v>7347</v>
      </c>
      <c r="J427" s="1596" t="s">
        <v>7642</v>
      </c>
      <c r="K427" s="1597">
        <v>4</v>
      </c>
      <c r="L427" s="1596" t="s">
        <v>1755</v>
      </c>
      <c r="M427" s="1598"/>
      <c r="N427" s="1599"/>
      <c r="O427" s="1598"/>
      <c r="W427" t="s">
        <v>7363</v>
      </c>
    </row>
    <row r="428" spans="2:23" hidden="1">
      <c r="B428" s="1585">
        <f t="shared" si="3"/>
        <v>394</v>
      </c>
      <c r="C428" s="1586" t="s">
        <v>580</v>
      </c>
      <c r="D428" s="1586" t="s">
        <v>205</v>
      </c>
      <c r="E428" s="1586" t="s">
        <v>829</v>
      </c>
      <c r="F428" s="1587">
        <v>5.4</v>
      </c>
      <c r="G428" s="1593" t="s">
        <v>7317</v>
      </c>
      <c r="H428" s="1594">
        <v>2</v>
      </c>
      <c r="I428" s="1595" t="s">
        <v>7347</v>
      </c>
      <c r="J428" s="1596" t="s">
        <v>7642</v>
      </c>
      <c r="K428" s="1597">
        <v>4</v>
      </c>
      <c r="L428" s="1596" t="s">
        <v>1755</v>
      </c>
      <c r="M428" s="1598"/>
      <c r="N428" s="1599"/>
      <c r="O428" s="1598"/>
      <c r="W428" t="s">
        <v>7364</v>
      </c>
    </row>
    <row r="429" spans="2:23" hidden="1">
      <c r="B429" s="1585">
        <f t="shared" si="3"/>
        <v>395</v>
      </c>
      <c r="C429" s="1586" t="s">
        <v>580</v>
      </c>
      <c r="D429" s="1586" t="s">
        <v>205</v>
      </c>
      <c r="E429" s="1586" t="s">
        <v>1504</v>
      </c>
      <c r="F429" s="1587">
        <v>5.4</v>
      </c>
      <c r="G429" s="1593" t="s">
        <v>7317</v>
      </c>
      <c r="H429" s="1594">
        <v>2</v>
      </c>
      <c r="I429" s="1595" t="s">
        <v>7347</v>
      </c>
      <c r="J429" s="1596" t="s">
        <v>7642</v>
      </c>
      <c r="K429" s="1597">
        <v>4</v>
      </c>
      <c r="L429" s="1596" t="s">
        <v>1755</v>
      </c>
      <c r="M429" s="1598"/>
      <c r="N429" s="1599"/>
      <c r="O429" s="1598"/>
      <c r="W429" t="s">
        <v>7365</v>
      </c>
    </row>
    <row r="430" spans="2:23" hidden="1">
      <c r="B430" s="1585">
        <f t="shared" si="3"/>
        <v>396</v>
      </c>
      <c r="C430" s="1586" t="s">
        <v>580</v>
      </c>
      <c r="D430" s="1586" t="s">
        <v>205</v>
      </c>
      <c r="E430" s="1586" t="s">
        <v>1519</v>
      </c>
      <c r="F430" s="1587">
        <v>5.4</v>
      </c>
      <c r="G430" s="1593" t="s">
        <v>7317</v>
      </c>
      <c r="H430" s="1594">
        <v>2</v>
      </c>
      <c r="I430" s="1595" t="s">
        <v>7347</v>
      </c>
      <c r="J430" s="1596" t="s">
        <v>7642</v>
      </c>
      <c r="K430" s="1597">
        <v>4</v>
      </c>
      <c r="L430" s="1596" t="s">
        <v>1755</v>
      </c>
      <c r="M430" s="1598"/>
      <c r="N430" s="1599"/>
      <c r="O430" s="1598"/>
      <c r="W430" t="s">
        <v>7366</v>
      </c>
    </row>
    <row r="431" spans="2:23" hidden="1">
      <c r="B431" s="1585">
        <f t="shared" si="3"/>
        <v>397</v>
      </c>
      <c r="C431" s="1586" t="s">
        <v>580</v>
      </c>
      <c r="D431" s="1586" t="s">
        <v>205</v>
      </c>
      <c r="E431" s="1586" t="s">
        <v>1520</v>
      </c>
      <c r="F431" s="1587">
        <v>5.4</v>
      </c>
      <c r="G431" s="1593" t="s">
        <v>7317</v>
      </c>
      <c r="H431" s="1594">
        <v>2</v>
      </c>
      <c r="I431" s="1595" t="s">
        <v>7347</v>
      </c>
      <c r="J431" s="1596" t="s">
        <v>7642</v>
      </c>
      <c r="K431" s="1597">
        <v>4</v>
      </c>
      <c r="L431" s="1596" t="s">
        <v>1755</v>
      </c>
      <c r="M431" s="1598"/>
      <c r="N431" s="1599"/>
      <c r="O431" s="1598"/>
      <c r="W431" t="s">
        <v>7367</v>
      </c>
    </row>
    <row r="432" spans="2:23" hidden="1">
      <c r="B432" s="1585">
        <f t="shared" si="3"/>
        <v>398</v>
      </c>
      <c r="C432" s="1586" t="s">
        <v>580</v>
      </c>
      <c r="D432" s="1586" t="s">
        <v>205</v>
      </c>
      <c r="E432" s="1586" t="s">
        <v>1505</v>
      </c>
      <c r="F432" s="1587">
        <v>5.4</v>
      </c>
      <c r="G432" s="1593" t="s">
        <v>7317</v>
      </c>
      <c r="H432" s="1594">
        <v>2</v>
      </c>
      <c r="I432" s="1595" t="s">
        <v>7347</v>
      </c>
      <c r="J432" s="1596" t="s">
        <v>7642</v>
      </c>
      <c r="K432" s="1597">
        <v>4</v>
      </c>
      <c r="L432" s="1596" t="s">
        <v>1755</v>
      </c>
      <c r="M432" s="1598"/>
      <c r="N432" s="1599"/>
      <c r="O432" s="1598"/>
      <c r="W432" t="s">
        <v>7368</v>
      </c>
    </row>
    <row r="433" spans="2:23" hidden="1">
      <c r="B433" s="1585">
        <f t="shared" si="3"/>
        <v>399</v>
      </c>
      <c r="C433" s="1586" t="s">
        <v>580</v>
      </c>
      <c r="D433" s="1586" t="s">
        <v>205</v>
      </c>
      <c r="E433" s="1586" t="s">
        <v>1521</v>
      </c>
      <c r="F433" s="1587">
        <v>5.4</v>
      </c>
      <c r="G433" s="1593" t="s">
        <v>7317</v>
      </c>
      <c r="H433" s="1594">
        <v>2</v>
      </c>
      <c r="I433" s="1595" t="s">
        <v>7347</v>
      </c>
      <c r="J433" s="1596" t="s">
        <v>7642</v>
      </c>
      <c r="K433" s="1597">
        <v>4</v>
      </c>
      <c r="L433" s="1596" t="s">
        <v>1755</v>
      </c>
      <c r="M433" s="1598"/>
      <c r="N433" s="1599"/>
      <c r="O433" s="1598"/>
      <c r="W433" t="s">
        <v>7369</v>
      </c>
    </row>
    <row r="434" spans="2:23" hidden="1">
      <c r="B434" s="1585">
        <f t="shared" si="3"/>
        <v>400</v>
      </c>
      <c r="C434" s="1586" t="s">
        <v>580</v>
      </c>
      <c r="D434" s="1586" t="s">
        <v>205</v>
      </c>
      <c r="E434" s="1586" t="s">
        <v>1522</v>
      </c>
      <c r="F434" s="1587">
        <v>5.4</v>
      </c>
      <c r="G434" s="1593" t="s">
        <v>7317</v>
      </c>
      <c r="H434" s="1594">
        <v>2</v>
      </c>
      <c r="I434" s="1595" t="s">
        <v>7347</v>
      </c>
      <c r="J434" s="1596" t="s">
        <v>7642</v>
      </c>
      <c r="K434" s="1597">
        <v>4</v>
      </c>
      <c r="L434" s="1596" t="s">
        <v>1755</v>
      </c>
      <c r="M434" s="1598"/>
      <c r="N434" s="1599"/>
      <c r="O434" s="1598"/>
      <c r="W434" t="s">
        <v>7370</v>
      </c>
    </row>
    <row r="435" spans="2:23" hidden="1">
      <c r="B435" s="1585">
        <f t="shared" si="3"/>
        <v>401</v>
      </c>
      <c r="C435" s="1586" t="s">
        <v>580</v>
      </c>
      <c r="D435" s="1586" t="s">
        <v>205</v>
      </c>
      <c r="E435" s="1586" t="s">
        <v>1523</v>
      </c>
      <c r="F435" s="1587">
        <v>5.4</v>
      </c>
      <c r="G435" s="1593" t="s">
        <v>7317</v>
      </c>
      <c r="H435" s="1594">
        <v>2</v>
      </c>
      <c r="I435" s="1595" t="s">
        <v>7347</v>
      </c>
      <c r="J435" s="1596" t="s">
        <v>7642</v>
      </c>
      <c r="K435" s="1597">
        <v>4</v>
      </c>
      <c r="L435" s="1596" t="s">
        <v>1755</v>
      </c>
      <c r="M435" s="1598"/>
      <c r="N435" s="1599"/>
      <c r="O435" s="1598"/>
      <c r="W435" t="s">
        <v>7371</v>
      </c>
    </row>
    <row r="436" spans="2:23" hidden="1">
      <c r="B436" s="1585">
        <f t="shared" si="3"/>
        <v>402</v>
      </c>
      <c r="C436" s="1586" t="s">
        <v>580</v>
      </c>
      <c r="D436" s="1586" t="s">
        <v>205</v>
      </c>
      <c r="E436" s="1586" t="s">
        <v>1524</v>
      </c>
      <c r="F436" s="1587">
        <v>5.4</v>
      </c>
      <c r="G436" s="1593" t="s">
        <v>7317</v>
      </c>
      <c r="H436" s="1594">
        <v>2</v>
      </c>
      <c r="I436" s="1595" t="s">
        <v>7347</v>
      </c>
      <c r="J436" s="1596" t="s">
        <v>7642</v>
      </c>
      <c r="K436" s="1597">
        <v>4</v>
      </c>
      <c r="L436" s="1596" t="s">
        <v>1755</v>
      </c>
      <c r="M436" s="1598"/>
      <c r="N436" s="1599"/>
      <c r="O436" s="1598"/>
      <c r="W436" t="s">
        <v>7372</v>
      </c>
    </row>
    <row r="437" spans="2:23" hidden="1">
      <c r="B437" s="1585">
        <f t="shared" si="3"/>
        <v>403</v>
      </c>
      <c r="C437" s="1586" t="s">
        <v>580</v>
      </c>
      <c r="D437" s="1586" t="s">
        <v>205</v>
      </c>
      <c r="E437" s="1586" t="s">
        <v>1525</v>
      </c>
      <c r="F437" s="1587">
        <v>5.4</v>
      </c>
      <c r="G437" s="1593" t="s">
        <v>7317</v>
      </c>
      <c r="H437" s="1594">
        <v>2</v>
      </c>
      <c r="I437" s="1595" t="s">
        <v>7347</v>
      </c>
      <c r="J437" s="1596" t="s">
        <v>7642</v>
      </c>
      <c r="K437" s="1597">
        <v>4</v>
      </c>
      <c r="L437" s="1596" t="s">
        <v>1755</v>
      </c>
      <c r="M437" s="1598"/>
      <c r="N437" s="1599"/>
      <c r="O437" s="1598"/>
      <c r="W437" t="s">
        <v>7373</v>
      </c>
    </row>
    <row r="438" spans="2:23" hidden="1">
      <c r="B438" s="1585">
        <f t="shared" si="3"/>
        <v>404</v>
      </c>
      <c r="C438" s="1586" t="s">
        <v>580</v>
      </c>
      <c r="D438" s="1586" t="s">
        <v>205</v>
      </c>
      <c r="E438" s="1586" t="s">
        <v>1526</v>
      </c>
      <c r="F438" s="1587">
        <v>5.4</v>
      </c>
      <c r="G438" s="1593" t="s">
        <v>7317</v>
      </c>
      <c r="H438" s="1594">
        <v>2</v>
      </c>
      <c r="I438" s="1595" t="s">
        <v>7347</v>
      </c>
      <c r="J438" s="1596" t="s">
        <v>7642</v>
      </c>
      <c r="K438" s="1597">
        <v>4</v>
      </c>
      <c r="L438" s="1596" t="s">
        <v>1755</v>
      </c>
      <c r="M438" s="1598"/>
      <c r="N438" s="1599"/>
      <c r="O438" s="1598"/>
      <c r="W438" t="s">
        <v>7374</v>
      </c>
    </row>
    <row r="439" spans="2:23" hidden="1">
      <c r="B439" s="1585">
        <f t="shared" si="3"/>
        <v>405</v>
      </c>
      <c r="C439" s="1586" t="s">
        <v>580</v>
      </c>
      <c r="D439" s="1586" t="s">
        <v>205</v>
      </c>
      <c r="E439" s="1586" t="s">
        <v>831</v>
      </c>
      <c r="F439" s="1587">
        <v>5.4</v>
      </c>
      <c r="G439" s="1593" t="s">
        <v>7317</v>
      </c>
      <c r="H439" s="1594">
        <v>2</v>
      </c>
      <c r="I439" s="1595" t="s">
        <v>7347</v>
      </c>
      <c r="J439" s="1596" t="s">
        <v>7642</v>
      </c>
      <c r="K439" s="1597">
        <v>4</v>
      </c>
      <c r="L439" s="1596" t="s">
        <v>1755</v>
      </c>
      <c r="M439" s="1598"/>
      <c r="N439" s="1599"/>
      <c r="O439" s="1598"/>
      <c r="W439" t="s">
        <v>7375</v>
      </c>
    </row>
    <row r="440" spans="2:23" hidden="1">
      <c r="B440" s="1585">
        <f t="shared" si="3"/>
        <v>406</v>
      </c>
      <c r="C440" s="1586" t="s">
        <v>580</v>
      </c>
      <c r="D440" s="1586" t="s">
        <v>205</v>
      </c>
      <c r="E440" s="1586" t="s">
        <v>830</v>
      </c>
      <c r="F440" s="1587">
        <v>5.4</v>
      </c>
      <c r="G440" s="1593" t="s">
        <v>7317</v>
      </c>
      <c r="H440" s="1594">
        <v>2</v>
      </c>
      <c r="I440" s="1595" t="s">
        <v>7347</v>
      </c>
      <c r="J440" s="1596" t="s">
        <v>7642</v>
      </c>
      <c r="K440" s="1597">
        <v>4</v>
      </c>
      <c r="L440" s="1596" t="s">
        <v>1755</v>
      </c>
      <c r="M440" s="1598"/>
      <c r="N440" s="1599"/>
      <c r="O440" s="1598"/>
      <c r="W440" t="s">
        <v>7376</v>
      </c>
    </row>
    <row r="441" spans="2:23" hidden="1">
      <c r="B441" s="1585">
        <f t="shared" si="3"/>
        <v>407</v>
      </c>
      <c r="C441" s="1586" t="s">
        <v>580</v>
      </c>
      <c r="D441" s="1586" t="s">
        <v>205</v>
      </c>
      <c r="E441" s="1586" t="s">
        <v>1527</v>
      </c>
      <c r="F441" s="1587">
        <v>5.4</v>
      </c>
      <c r="G441" s="1593" t="s">
        <v>7317</v>
      </c>
      <c r="H441" s="1594">
        <v>2</v>
      </c>
      <c r="I441" s="1595" t="s">
        <v>7347</v>
      </c>
      <c r="J441" s="1596" t="s">
        <v>7642</v>
      </c>
      <c r="K441" s="1597">
        <v>4</v>
      </c>
      <c r="L441" s="1596" t="s">
        <v>1755</v>
      </c>
      <c r="M441" s="1598"/>
      <c r="N441" s="1599"/>
      <c r="O441" s="1598"/>
      <c r="W441" t="s">
        <v>7377</v>
      </c>
    </row>
    <row r="442" spans="2:23" hidden="1">
      <c r="B442" s="1585">
        <f t="shared" si="3"/>
        <v>408</v>
      </c>
      <c r="C442" s="1586" t="s">
        <v>580</v>
      </c>
      <c r="D442" s="1586" t="s">
        <v>205</v>
      </c>
      <c r="E442" s="1586" t="s">
        <v>1140</v>
      </c>
      <c r="F442" s="1587">
        <v>5.4</v>
      </c>
      <c r="G442" s="1593" t="s">
        <v>7317</v>
      </c>
      <c r="H442" s="1594">
        <v>2</v>
      </c>
      <c r="I442" s="1595" t="s">
        <v>7347</v>
      </c>
      <c r="J442" s="1596" t="s">
        <v>7642</v>
      </c>
      <c r="K442" s="1597">
        <v>4</v>
      </c>
      <c r="L442" s="1596" t="s">
        <v>1755</v>
      </c>
      <c r="M442" s="1598"/>
      <c r="N442" s="1599"/>
      <c r="O442" s="1598"/>
      <c r="W442" t="s">
        <v>7378</v>
      </c>
    </row>
    <row r="443" spans="2:23" hidden="1">
      <c r="B443" s="1585">
        <f t="shared" si="3"/>
        <v>409</v>
      </c>
      <c r="C443" s="1586" t="s">
        <v>580</v>
      </c>
      <c r="D443" s="1586" t="s">
        <v>210</v>
      </c>
      <c r="E443" s="1586" t="s">
        <v>1716</v>
      </c>
      <c r="F443" s="1587">
        <v>5.4</v>
      </c>
      <c r="G443" s="1593" t="s">
        <v>7317</v>
      </c>
      <c r="H443" s="1594">
        <v>2</v>
      </c>
      <c r="I443" s="1595" t="s">
        <v>567</v>
      </c>
      <c r="J443" s="1596"/>
      <c r="K443" s="1597"/>
      <c r="L443" s="1596"/>
      <c r="M443" s="1598"/>
      <c r="N443" s="1599"/>
      <c r="O443" s="1598"/>
      <c r="W443" t="s">
        <v>7379</v>
      </c>
    </row>
    <row r="444" spans="2:23" hidden="1">
      <c r="B444" s="1585">
        <f t="shared" si="3"/>
        <v>410</v>
      </c>
      <c r="C444" s="1586" t="s">
        <v>580</v>
      </c>
      <c r="D444" s="1586" t="s">
        <v>210</v>
      </c>
      <c r="E444" s="1586" t="s">
        <v>1715</v>
      </c>
      <c r="F444" s="1587">
        <v>5.4</v>
      </c>
      <c r="G444" s="1593" t="s">
        <v>7317</v>
      </c>
      <c r="H444" s="1594">
        <v>2</v>
      </c>
      <c r="I444" s="1595" t="s">
        <v>567</v>
      </c>
      <c r="J444" s="1596"/>
      <c r="K444" s="1597"/>
      <c r="L444" s="1596"/>
      <c r="M444" s="1598"/>
      <c r="N444" s="1599"/>
      <c r="O444" s="1598"/>
      <c r="W444" t="s">
        <v>7380</v>
      </c>
    </row>
    <row r="445" spans="2:23" hidden="1">
      <c r="B445" s="1585">
        <f t="shared" si="3"/>
        <v>411</v>
      </c>
      <c r="C445" s="1586" t="s">
        <v>580</v>
      </c>
      <c r="D445" s="1586" t="s">
        <v>211</v>
      </c>
      <c r="E445" s="1586" t="s">
        <v>823</v>
      </c>
      <c r="F445" s="1587">
        <v>5.4</v>
      </c>
      <c r="G445" s="1593" t="s">
        <v>7317</v>
      </c>
      <c r="H445" s="1594">
        <v>2</v>
      </c>
      <c r="I445" s="1595" t="s">
        <v>567</v>
      </c>
      <c r="J445" s="1596"/>
      <c r="K445" s="1597"/>
      <c r="L445" s="1596"/>
      <c r="M445" s="1598"/>
      <c r="N445" s="1599"/>
      <c r="O445" s="1598"/>
      <c r="W445" t="s">
        <v>7381</v>
      </c>
    </row>
    <row r="446" spans="2:23" hidden="1">
      <c r="B446" s="1585">
        <f t="shared" si="3"/>
        <v>412</v>
      </c>
      <c r="C446" s="1586" t="s">
        <v>580</v>
      </c>
      <c r="D446" s="1586" t="s">
        <v>211</v>
      </c>
      <c r="E446" s="1586" t="s">
        <v>1714</v>
      </c>
      <c r="F446" s="1587">
        <v>5.4</v>
      </c>
      <c r="G446" s="1593" t="s">
        <v>7317</v>
      </c>
      <c r="H446" s="1594">
        <v>2</v>
      </c>
      <c r="I446" s="1595" t="s">
        <v>567</v>
      </c>
      <c r="J446" s="1596"/>
      <c r="K446" s="1597"/>
      <c r="L446" s="1596"/>
      <c r="M446" s="1598"/>
      <c r="N446" s="1599"/>
      <c r="O446" s="1598"/>
      <c r="W446" t="s">
        <v>7382</v>
      </c>
    </row>
    <row r="447" spans="2:23" hidden="1">
      <c r="B447" s="1585">
        <f t="shared" si="3"/>
        <v>413</v>
      </c>
      <c r="C447" s="1586" t="s">
        <v>580</v>
      </c>
      <c r="D447" s="1586" t="s">
        <v>212</v>
      </c>
      <c r="E447" s="1586" t="s">
        <v>824</v>
      </c>
      <c r="F447" s="1587">
        <v>5.4</v>
      </c>
      <c r="G447" s="1593" t="s">
        <v>7317</v>
      </c>
      <c r="H447" s="1594">
        <v>2</v>
      </c>
      <c r="I447" s="1595" t="s">
        <v>567</v>
      </c>
      <c r="J447" s="1596"/>
      <c r="K447" s="1597"/>
      <c r="L447" s="1596"/>
      <c r="M447" s="1598"/>
      <c r="N447" s="1599"/>
      <c r="O447" s="1598"/>
      <c r="W447" t="s">
        <v>7383</v>
      </c>
    </row>
    <row r="448" spans="2:23" hidden="1">
      <c r="B448" s="1585">
        <f t="shared" si="3"/>
        <v>414</v>
      </c>
      <c r="C448" s="1586" t="s">
        <v>580</v>
      </c>
      <c r="D448" s="1586" t="s">
        <v>212</v>
      </c>
      <c r="E448" s="1586" t="s">
        <v>1713</v>
      </c>
      <c r="F448" s="1587">
        <v>5.4</v>
      </c>
      <c r="G448" s="1593" t="s">
        <v>7317</v>
      </c>
      <c r="H448" s="1594">
        <v>2</v>
      </c>
      <c r="I448" s="1595" t="s">
        <v>567</v>
      </c>
      <c r="J448" s="1596"/>
      <c r="K448" s="1597"/>
      <c r="L448" s="1596"/>
      <c r="M448" s="1598"/>
      <c r="N448" s="1599"/>
      <c r="O448" s="1598"/>
      <c r="W448" t="s">
        <v>7384</v>
      </c>
    </row>
    <row r="449" spans="2:23" hidden="1">
      <c r="B449" s="1585">
        <f t="shared" si="3"/>
        <v>415</v>
      </c>
      <c r="C449" s="1586" t="s">
        <v>580</v>
      </c>
      <c r="D449" s="1586" t="s">
        <v>209</v>
      </c>
      <c r="E449" s="1586" t="s">
        <v>832</v>
      </c>
      <c r="F449" s="1587">
        <v>5.4</v>
      </c>
      <c r="G449" s="1593" t="s">
        <v>7317</v>
      </c>
      <c r="H449" s="1594">
        <v>2</v>
      </c>
      <c r="I449" s="1595" t="s">
        <v>567</v>
      </c>
      <c r="J449" s="1596"/>
      <c r="K449" s="1597"/>
      <c r="L449" s="1596"/>
      <c r="M449" s="1598"/>
      <c r="N449" s="1599"/>
      <c r="O449" s="1598"/>
      <c r="W449" t="s">
        <v>7385</v>
      </c>
    </row>
    <row r="450" spans="2:23" hidden="1">
      <c r="B450" s="1585">
        <f t="shared" si="3"/>
        <v>416</v>
      </c>
      <c r="C450" s="1586" t="s">
        <v>580</v>
      </c>
      <c r="D450" s="1586" t="s">
        <v>1750</v>
      </c>
      <c r="E450" s="1586" t="s">
        <v>1503</v>
      </c>
      <c r="F450" s="1587">
        <v>5.4</v>
      </c>
      <c r="G450" s="1593" t="s">
        <v>7317</v>
      </c>
      <c r="H450" s="1594">
        <v>2</v>
      </c>
      <c r="I450" s="1595" t="s">
        <v>1863</v>
      </c>
      <c r="J450" s="1596" t="s">
        <v>7642</v>
      </c>
      <c r="K450" s="1597">
        <v>2</v>
      </c>
      <c r="L450" s="1596" t="s">
        <v>1748</v>
      </c>
      <c r="M450" s="1598"/>
      <c r="N450" s="1599"/>
      <c r="O450" s="1598"/>
      <c r="W450" t="s">
        <v>7386</v>
      </c>
    </row>
    <row r="451" spans="2:23" hidden="1">
      <c r="B451" s="1585">
        <f t="shared" si="3"/>
        <v>417</v>
      </c>
      <c r="C451" s="1586" t="s">
        <v>580</v>
      </c>
      <c r="D451" s="1586" t="s">
        <v>573</v>
      </c>
      <c r="E451" s="1586" t="s">
        <v>1713</v>
      </c>
      <c r="F451" s="1587">
        <v>5.4</v>
      </c>
      <c r="G451" s="1593" t="s">
        <v>7317</v>
      </c>
      <c r="H451" s="1594">
        <v>2</v>
      </c>
      <c r="I451" s="1595" t="s">
        <v>1863</v>
      </c>
      <c r="J451" s="1596" t="s">
        <v>7642</v>
      </c>
      <c r="K451" s="1597">
        <v>2</v>
      </c>
      <c r="L451" s="1596" t="s">
        <v>1748</v>
      </c>
      <c r="M451" s="1598"/>
      <c r="N451" s="1599"/>
      <c r="O451" s="1598"/>
      <c r="W451" t="s">
        <v>7387</v>
      </c>
    </row>
    <row r="452" spans="2:23" hidden="1">
      <c r="B452" s="1585">
        <f t="shared" si="3"/>
        <v>418</v>
      </c>
      <c r="C452" s="1586" t="s">
        <v>580</v>
      </c>
      <c r="D452" s="1586" t="s">
        <v>573</v>
      </c>
      <c r="E452" s="1586" t="s">
        <v>1751</v>
      </c>
      <c r="F452" s="1587">
        <v>5.4</v>
      </c>
      <c r="G452" s="1593" t="s">
        <v>7317</v>
      </c>
      <c r="H452" s="1594">
        <v>2</v>
      </c>
      <c r="I452" s="1595" t="s">
        <v>1863</v>
      </c>
      <c r="J452" s="1596" t="s">
        <v>7642</v>
      </c>
      <c r="K452" s="1597">
        <v>2</v>
      </c>
      <c r="L452" s="1596" t="s">
        <v>1748</v>
      </c>
      <c r="M452" s="1598"/>
      <c r="N452" s="1599"/>
      <c r="O452" s="1598"/>
      <c r="W452" t="s">
        <v>7388</v>
      </c>
    </row>
    <row r="453" spans="2:23" hidden="1">
      <c r="B453" s="1585">
        <f t="shared" si="3"/>
        <v>419</v>
      </c>
      <c r="C453" s="1586" t="s">
        <v>580</v>
      </c>
      <c r="D453" s="1586" t="s">
        <v>573</v>
      </c>
      <c r="E453" s="1586" t="s">
        <v>1752</v>
      </c>
      <c r="F453" s="1587">
        <v>5.4</v>
      </c>
      <c r="G453" s="1593" t="s">
        <v>7317</v>
      </c>
      <c r="H453" s="1594">
        <v>2</v>
      </c>
      <c r="I453" s="1595" t="s">
        <v>1863</v>
      </c>
      <c r="J453" s="1596" t="s">
        <v>7642</v>
      </c>
      <c r="K453" s="1597">
        <v>2</v>
      </c>
      <c r="L453" s="1596" t="s">
        <v>1748</v>
      </c>
      <c r="M453" s="1598"/>
      <c r="N453" s="1599"/>
      <c r="O453" s="1598"/>
      <c r="W453" t="s">
        <v>7389</v>
      </c>
    </row>
    <row r="454" spans="2:23" hidden="1">
      <c r="B454" s="1585">
        <f t="shared" si="3"/>
        <v>420</v>
      </c>
      <c r="C454" s="1586" t="s">
        <v>580</v>
      </c>
      <c r="D454" s="1586" t="s">
        <v>573</v>
      </c>
      <c r="E454" s="1586" t="s">
        <v>1753</v>
      </c>
      <c r="F454" s="1587">
        <v>5.4</v>
      </c>
      <c r="G454" s="1593" t="s">
        <v>7317</v>
      </c>
      <c r="H454" s="1594">
        <v>2</v>
      </c>
      <c r="I454" s="1595" t="s">
        <v>1863</v>
      </c>
      <c r="J454" s="1596" t="s">
        <v>7642</v>
      </c>
      <c r="K454" s="1597">
        <v>2</v>
      </c>
      <c r="L454" s="1596" t="s">
        <v>1748</v>
      </c>
      <c r="M454" s="1598"/>
      <c r="N454" s="1599"/>
      <c r="O454" s="1598"/>
      <c r="W454" t="s">
        <v>7390</v>
      </c>
    </row>
    <row r="455" spans="2:23" hidden="1">
      <c r="B455" s="1585">
        <f t="shared" si="3"/>
        <v>421</v>
      </c>
      <c r="C455" s="1586" t="s">
        <v>7392</v>
      </c>
      <c r="D455" s="1586" t="s">
        <v>213</v>
      </c>
      <c r="E455" s="1586" t="s">
        <v>1718</v>
      </c>
      <c r="F455" s="1587">
        <v>5.6</v>
      </c>
      <c r="G455" s="1593" t="s">
        <v>7317</v>
      </c>
      <c r="H455" s="1594">
        <v>3</v>
      </c>
      <c r="I455" s="1595" t="s">
        <v>7393</v>
      </c>
      <c r="J455" s="1596"/>
      <c r="K455" s="1597"/>
      <c r="L455" s="1596"/>
      <c r="M455" s="1598"/>
      <c r="N455" s="1599"/>
      <c r="O455" s="1598"/>
      <c r="W455" t="s">
        <v>7391</v>
      </c>
    </row>
    <row r="456" spans="2:23" hidden="1">
      <c r="B456" s="1585">
        <f t="shared" si="3"/>
        <v>422</v>
      </c>
      <c r="C456" s="1586" t="s">
        <v>7392</v>
      </c>
      <c r="D456" s="1586" t="s">
        <v>213</v>
      </c>
      <c r="E456" s="1586" t="s">
        <v>1719</v>
      </c>
      <c r="F456" s="1587">
        <v>5.6</v>
      </c>
      <c r="G456" s="1593" t="s">
        <v>7317</v>
      </c>
      <c r="H456" s="1594">
        <v>3</v>
      </c>
      <c r="I456" s="1595" t="s">
        <v>7393</v>
      </c>
      <c r="J456" s="1596"/>
      <c r="K456" s="1597"/>
      <c r="L456" s="1596"/>
      <c r="M456" s="1598"/>
      <c r="N456" s="1599"/>
      <c r="O456" s="1598"/>
      <c r="W456" t="s">
        <v>7394</v>
      </c>
    </row>
    <row r="457" spans="2:23" hidden="1">
      <c r="B457" s="1585">
        <f t="shared" si="3"/>
        <v>423</v>
      </c>
      <c r="C457" s="1586" t="s">
        <v>7392</v>
      </c>
      <c r="D457" s="1586" t="s">
        <v>213</v>
      </c>
      <c r="E457" s="1586" t="s">
        <v>1720</v>
      </c>
      <c r="F457" s="1587">
        <v>5.6</v>
      </c>
      <c r="G457" s="1593" t="s">
        <v>7317</v>
      </c>
      <c r="H457" s="1594">
        <v>3</v>
      </c>
      <c r="I457" s="1595" t="s">
        <v>7393</v>
      </c>
      <c r="J457" s="1596"/>
      <c r="K457" s="1597"/>
      <c r="L457" s="1596"/>
      <c r="M457" s="1598"/>
      <c r="N457" s="1599"/>
      <c r="O457" s="1598"/>
      <c r="W457" t="s">
        <v>7395</v>
      </c>
    </row>
    <row r="458" spans="2:23" hidden="1">
      <c r="B458" s="1585">
        <f t="shared" si="3"/>
        <v>424</v>
      </c>
      <c r="C458" s="1586" t="s">
        <v>7392</v>
      </c>
      <c r="D458" s="1586" t="s">
        <v>213</v>
      </c>
      <c r="E458" s="1586" t="s">
        <v>1721</v>
      </c>
      <c r="F458" s="1587">
        <v>5.6</v>
      </c>
      <c r="G458" s="1593" t="s">
        <v>7317</v>
      </c>
      <c r="H458" s="1594">
        <v>3</v>
      </c>
      <c r="I458" s="1595" t="s">
        <v>7393</v>
      </c>
      <c r="J458" s="1596"/>
      <c r="K458" s="1597"/>
      <c r="L458" s="1596"/>
      <c r="M458" s="1598"/>
      <c r="N458" s="1599"/>
      <c r="O458" s="1598"/>
      <c r="W458" t="s">
        <v>7396</v>
      </c>
    </row>
    <row r="459" spans="2:23" hidden="1">
      <c r="B459" s="1585">
        <f t="shared" si="3"/>
        <v>425</v>
      </c>
      <c r="C459" s="1586" t="s">
        <v>7392</v>
      </c>
      <c r="D459" s="1586" t="s">
        <v>213</v>
      </c>
      <c r="E459" s="1586" t="s">
        <v>1722</v>
      </c>
      <c r="F459" s="1587">
        <v>5.6</v>
      </c>
      <c r="G459" s="1593" t="s">
        <v>7317</v>
      </c>
      <c r="H459" s="1594">
        <v>3</v>
      </c>
      <c r="I459" s="1595" t="s">
        <v>7393</v>
      </c>
      <c r="J459" s="1596"/>
      <c r="K459" s="1597"/>
      <c r="L459" s="1596"/>
      <c r="M459" s="1598"/>
      <c r="N459" s="1599"/>
      <c r="O459" s="1598"/>
      <c r="W459" t="s">
        <v>7397</v>
      </c>
    </row>
    <row r="460" spans="2:23" hidden="1">
      <c r="B460" s="1585">
        <f t="shared" si="3"/>
        <v>426</v>
      </c>
      <c r="C460" s="1586" t="s">
        <v>7392</v>
      </c>
      <c r="D460" s="1586" t="s">
        <v>213</v>
      </c>
      <c r="E460" s="1586" t="s">
        <v>1723</v>
      </c>
      <c r="F460" s="1587">
        <v>5.6</v>
      </c>
      <c r="G460" s="1593" t="s">
        <v>7317</v>
      </c>
      <c r="H460" s="1594">
        <v>3</v>
      </c>
      <c r="I460" s="1595" t="s">
        <v>7393</v>
      </c>
      <c r="J460" s="1596"/>
      <c r="K460" s="1597"/>
      <c r="L460" s="1596"/>
      <c r="M460" s="1598"/>
      <c r="N460" s="1599"/>
      <c r="O460" s="1598"/>
      <c r="W460" t="s">
        <v>7398</v>
      </c>
    </row>
    <row r="461" spans="2:23" hidden="1">
      <c r="B461" s="1585">
        <f t="shared" si="3"/>
        <v>427</v>
      </c>
      <c r="C461" s="1586" t="s">
        <v>7392</v>
      </c>
      <c r="D461" s="1586" t="s">
        <v>213</v>
      </c>
      <c r="E461" s="1586" t="s">
        <v>1140</v>
      </c>
      <c r="F461" s="1587">
        <v>5.6</v>
      </c>
      <c r="G461" s="1593" t="s">
        <v>7317</v>
      </c>
      <c r="H461" s="1594">
        <v>3</v>
      </c>
      <c r="I461" s="1595" t="s">
        <v>7393</v>
      </c>
      <c r="J461" s="1596"/>
      <c r="K461" s="1597"/>
      <c r="L461" s="1596"/>
      <c r="M461" s="1598"/>
      <c r="N461" s="1599"/>
      <c r="O461" s="1598"/>
      <c r="W461" t="s">
        <v>7399</v>
      </c>
    </row>
    <row r="462" spans="2:23" hidden="1">
      <c r="B462" s="1585">
        <f t="shared" si="3"/>
        <v>428</v>
      </c>
      <c r="C462" s="1586" t="s">
        <v>7392</v>
      </c>
      <c r="D462" s="1586" t="s">
        <v>213</v>
      </c>
      <c r="E462" s="1586" t="s">
        <v>1724</v>
      </c>
      <c r="F462" s="1587">
        <v>5.6</v>
      </c>
      <c r="G462" s="1593" t="s">
        <v>7317</v>
      </c>
      <c r="H462" s="1594">
        <v>3</v>
      </c>
      <c r="I462" s="1595" t="s">
        <v>7393</v>
      </c>
      <c r="J462" s="1596"/>
      <c r="K462" s="1597"/>
      <c r="L462" s="1596"/>
      <c r="M462" s="1598"/>
      <c r="N462" s="1599"/>
      <c r="O462" s="1598"/>
      <c r="W462" t="s">
        <v>7400</v>
      </c>
    </row>
    <row r="463" spans="2:23" hidden="1">
      <c r="B463" s="1585">
        <f t="shared" si="3"/>
        <v>429</v>
      </c>
      <c r="C463" s="1586" t="s">
        <v>7392</v>
      </c>
      <c r="D463" s="1586" t="s">
        <v>206</v>
      </c>
      <c r="E463" s="1586" t="s">
        <v>1725</v>
      </c>
      <c r="F463" s="1587">
        <v>5.6</v>
      </c>
      <c r="G463" s="1593" t="s">
        <v>7317</v>
      </c>
      <c r="H463" s="1594">
        <v>3</v>
      </c>
      <c r="I463" s="1595" t="s">
        <v>7393</v>
      </c>
      <c r="J463" s="1596"/>
      <c r="K463" s="1597"/>
      <c r="L463" s="1596"/>
      <c r="M463" s="1598"/>
      <c r="N463" s="1599"/>
      <c r="O463" s="1598"/>
      <c r="W463" t="s">
        <v>7401</v>
      </c>
    </row>
    <row r="464" spans="2:23" hidden="1">
      <c r="B464" s="1585">
        <f t="shared" ref="B464:B480" si="4">B463+1</f>
        <v>430</v>
      </c>
      <c r="C464" s="1586" t="s">
        <v>7392</v>
      </c>
      <c r="D464" s="1586" t="s">
        <v>206</v>
      </c>
      <c r="E464" s="1586" t="s">
        <v>1726</v>
      </c>
      <c r="F464" s="1587">
        <v>5.6</v>
      </c>
      <c r="G464" s="1593" t="s">
        <v>7317</v>
      </c>
      <c r="H464" s="1594">
        <v>3</v>
      </c>
      <c r="I464" s="1595" t="s">
        <v>7393</v>
      </c>
      <c r="J464" s="1596"/>
      <c r="K464" s="1597"/>
      <c r="L464" s="1596"/>
      <c r="M464" s="1598"/>
      <c r="N464" s="1599"/>
      <c r="O464" s="1598"/>
      <c r="W464" t="s">
        <v>7402</v>
      </c>
    </row>
    <row r="465" spans="2:23" hidden="1">
      <c r="B465" s="1585">
        <f t="shared" si="4"/>
        <v>431</v>
      </c>
      <c r="C465" s="1586" t="s">
        <v>7392</v>
      </c>
      <c r="D465" s="1586" t="s">
        <v>206</v>
      </c>
      <c r="E465" s="1586" t="s">
        <v>1727</v>
      </c>
      <c r="F465" s="1587">
        <v>5.6</v>
      </c>
      <c r="G465" s="1593" t="s">
        <v>7317</v>
      </c>
      <c r="H465" s="1594">
        <v>3</v>
      </c>
      <c r="I465" s="1595" t="s">
        <v>7393</v>
      </c>
      <c r="J465" s="1596"/>
      <c r="K465" s="1597"/>
      <c r="L465" s="1596"/>
      <c r="M465" s="1598"/>
      <c r="N465" s="1599"/>
      <c r="O465" s="1598"/>
      <c r="W465" t="s">
        <v>7403</v>
      </c>
    </row>
    <row r="466" spans="2:23" hidden="1">
      <c r="B466" s="1585">
        <f t="shared" si="4"/>
        <v>432</v>
      </c>
      <c r="C466" s="1586" t="s">
        <v>7392</v>
      </c>
      <c r="D466" s="1586" t="s">
        <v>206</v>
      </c>
      <c r="E466" s="1586" t="s">
        <v>1728</v>
      </c>
      <c r="F466" s="1587">
        <v>5.6</v>
      </c>
      <c r="G466" s="1593" t="s">
        <v>7317</v>
      </c>
      <c r="H466" s="1594">
        <v>3</v>
      </c>
      <c r="I466" s="1595" t="s">
        <v>7393</v>
      </c>
      <c r="J466" s="1596"/>
      <c r="K466" s="1597"/>
      <c r="L466" s="1596"/>
      <c r="M466" s="1598"/>
      <c r="N466" s="1599"/>
      <c r="O466" s="1598"/>
      <c r="W466" t="s">
        <v>7404</v>
      </c>
    </row>
    <row r="467" spans="2:23" hidden="1">
      <c r="B467" s="1585">
        <f t="shared" si="4"/>
        <v>433</v>
      </c>
      <c r="C467" s="1586" t="s">
        <v>7392</v>
      </c>
      <c r="D467" s="1586" t="s">
        <v>206</v>
      </c>
      <c r="E467" s="1586" t="s">
        <v>1729</v>
      </c>
      <c r="F467" s="1587">
        <v>5.6</v>
      </c>
      <c r="G467" s="1593" t="s">
        <v>7317</v>
      </c>
      <c r="H467" s="1594">
        <v>3</v>
      </c>
      <c r="I467" s="1595" t="s">
        <v>7393</v>
      </c>
      <c r="J467" s="1596"/>
      <c r="K467" s="1597"/>
      <c r="L467" s="1596"/>
      <c r="M467" s="1598"/>
      <c r="N467" s="1599"/>
      <c r="O467" s="1598"/>
      <c r="W467" t="s">
        <v>7405</v>
      </c>
    </row>
    <row r="468" spans="2:23" hidden="1">
      <c r="B468" s="1585">
        <f t="shared" si="4"/>
        <v>434</v>
      </c>
      <c r="C468" s="1586" t="s">
        <v>7392</v>
      </c>
      <c r="D468" s="1586" t="s">
        <v>206</v>
      </c>
      <c r="E468" s="1586" t="s">
        <v>1730</v>
      </c>
      <c r="F468" s="1587">
        <v>5.6</v>
      </c>
      <c r="G468" s="1593" t="s">
        <v>7317</v>
      </c>
      <c r="H468" s="1594">
        <v>3</v>
      </c>
      <c r="I468" s="1595" t="s">
        <v>7393</v>
      </c>
      <c r="J468" s="1596"/>
      <c r="K468" s="1597"/>
      <c r="L468" s="1596"/>
      <c r="M468" s="1598"/>
      <c r="N468" s="1599"/>
      <c r="O468" s="1598"/>
      <c r="W468" t="s">
        <v>7406</v>
      </c>
    </row>
    <row r="469" spans="2:23" hidden="1">
      <c r="B469" s="1585">
        <f t="shared" si="4"/>
        <v>435</v>
      </c>
      <c r="C469" s="1586" t="s">
        <v>7392</v>
      </c>
      <c r="D469" s="1586" t="s">
        <v>206</v>
      </c>
      <c r="E469" s="1586" t="s">
        <v>1731</v>
      </c>
      <c r="F469" s="1587">
        <v>5.6</v>
      </c>
      <c r="G469" s="1593" t="s">
        <v>7317</v>
      </c>
      <c r="H469" s="1594">
        <v>3</v>
      </c>
      <c r="I469" s="1595" t="s">
        <v>7393</v>
      </c>
      <c r="J469" s="1596"/>
      <c r="K469" s="1597"/>
      <c r="L469" s="1596"/>
      <c r="M469" s="1598"/>
      <c r="N469" s="1599"/>
      <c r="O469" s="1598"/>
      <c r="W469" t="s">
        <v>7407</v>
      </c>
    </row>
    <row r="470" spans="2:23" hidden="1">
      <c r="B470" s="1585">
        <f t="shared" si="4"/>
        <v>436</v>
      </c>
      <c r="C470" s="1586" t="s">
        <v>7392</v>
      </c>
      <c r="D470" s="1586" t="s">
        <v>206</v>
      </c>
      <c r="E470" s="1586" t="s">
        <v>1140</v>
      </c>
      <c r="F470" s="1587">
        <v>5.6</v>
      </c>
      <c r="G470" s="1593" t="s">
        <v>7317</v>
      </c>
      <c r="H470" s="1594">
        <v>3</v>
      </c>
      <c r="I470" s="1595" t="s">
        <v>7393</v>
      </c>
      <c r="J470" s="1596"/>
      <c r="K470" s="1597"/>
      <c r="L470" s="1596"/>
      <c r="M470" s="1598"/>
      <c r="N470" s="1599"/>
      <c r="O470" s="1598"/>
      <c r="W470" t="s">
        <v>7408</v>
      </c>
    </row>
    <row r="471" spans="2:23" hidden="1">
      <c r="B471" s="1585">
        <f t="shared" si="4"/>
        <v>437</v>
      </c>
      <c r="C471" s="1586" t="s">
        <v>7392</v>
      </c>
      <c r="D471" s="1586" t="s">
        <v>206</v>
      </c>
      <c r="E471" s="1586" t="s">
        <v>1732</v>
      </c>
      <c r="F471" s="1587">
        <v>5.6</v>
      </c>
      <c r="G471" s="1593" t="s">
        <v>7317</v>
      </c>
      <c r="H471" s="1594">
        <v>3</v>
      </c>
      <c r="I471" s="1595" t="s">
        <v>7393</v>
      </c>
      <c r="J471" s="1596"/>
      <c r="K471" s="1597"/>
      <c r="L471" s="1596"/>
      <c r="M471" s="1598"/>
      <c r="N471" s="1599"/>
      <c r="O471" s="1598"/>
      <c r="W471" t="s">
        <v>7409</v>
      </c>
    </row>
    <row r="472" spans="2:23" hidden="1">
      <c r="B472" s="1585">
        <f t="shared" si="4"/>
        <v>438</v>
      </c>
      <c r="C472" s="1586" t="s">
        <v>7392</v>
      </c>
      <c r="D472" s="1586" t="s">
        <v>206</v>
      </c>
      <c r="E472" s="1586" t="s">
        <v>1733</v>
      </c>
      <c r="F472" s="1587">
        <v>5.6</v>
      </c>
      <c r="G472" s="1593" t="s">
        <v>7317</v>
      </c>
      <c r="H472" s="1594">
        <v>3</v>
      </c>
      <c r="I472" s="1595" t="s">
        <v>7393</v>
      </c>
      <c r="J472" s="1596"/>
      <c r="K472" s="1597"/>
      <c r="L472" s="1596"/>
      <c r="M472" s="1598"/>
      <c r="N472" s="1599"/>
      <c r="O472" s="1598"/>
      <c r="W472" t="s">
        <v>7410</v>
      </c>
    </row>
    <row r="473" spans="2:23" hidden="1">
      <c r="B473" s="1585">
        <f t="shared" si="4"/>
        <v>439</v>
      </c>
      <c r="C473" s="1586" t="s">
        <v>7392</v>
      </c>
      <c r="D473" s="1586" t="s">
        <v>206</v>
      </c>
      <c r="E473" s="1586" t="s">
        <v>1734</v>
      </c>
      <c r="F473" s="1587">
        <v>5.6</v>
      </c>
      <c r="G473" s="1593" t="s">
        <v>7317</v>
      </c>
      <c r="H473" s="1594">
        <v>3</v>
      </c>
      <c r="I473" s="1595" t="s">
        <v>7393</v>
      </c>
      <c r="J473" s="1596"/>
      <c r="K473" s="1597"/>
      <c r="L473" s="1596"/>
      <c r="M473" s="1598"/>
      <c r="N473" s="1599"/>
      <c r="O473" s="1598"/>
      <c r="W473" t="s">
        <v>7411</v>
      </c>
    </row>
    <row r="474" spans="2:23" hidden="1">
      <c r="B474" s="1585">
        <f t="shared" si="4"/>
        <v>440</v>
      </c>
      <c r="C474" s="1586" t="s">
        <v>7413</v>
      </c>
      <c r="D474" s="1586" t="s">
        <v>1452</v>
      </c>
      <c r="E474" s="1586" t="s">
        <v>1454</v>
      </c>
      <c r="F474" s="1587">
        <v>5.6</v>
      </c>
      <c r="G474" s="1593" t="s">
        <v>7642</v>
      </c>
      <c r="H474" s="1594">
        <v>1</v>
      </c>
      <c r="I474" s="1595" t="s">
        <v>1588</v>
      </c>
      <c r="J474" s="1596"/>
      <c r="K474" s="1597"/>
      <c r="L474" s="1596"/>
      <c r="M474" s="1598"/>
      <c r="N474" s="1599"/>
      <c r="O474" s="1598"/>
      <c r="W474" t="s">
        <v>7412</v>
      </c>
    </row>
    <row r="475" spans="2:23" hidden="1">
      <c r="B475" s="1585">
        <f t="shared" si="4"/>
        <v>441</v>
      </c>
      <c r="C475" s="1586" t="s">
        <v>7413</v>
      </c>
      <c r="D475" s="1586" t="s">
        <v>1452</v>
      </c>
      <c r="E475" s="1586" t="s">
        <v>1455</v>
      </c>
      <c r="F475" s="1587">
        <v>5.6</v>
      </c>
      <c r="G475" s="1593" t="s">
        <v>7642</v>
      </c>
      <c r="H475" s="1594">
        <v>1</v>
      </c>
      <c r="I475" s="1595" t="s">
        <v>1588</v>
      </c>
      <c r="J475" s="1596"/>
      <c r="K475" s="1597"/>
      <c r="L475" s="1596"/>
      <c r="M475" s="1598"/>
      <c r="N475" s="1599"/>
      <c r="O475" s="1598"/>
      <c r="W475" t="s">
        <v>7414</v>
      </c>
    </row>
    <row r="476" spans="2:23" hidden="1">
      <c r="B476" s="1585">
        <f t="shared" si="4"/>
        <v>442</v>
      </c>
      <c r="C476" s="1586" t="s">
        <v>7413</v>
      </c>
      <c r="D476" s="1586" t="s">
        <v>1453</v>
      </c>
      <c r="E476" s="1586" t="s">
        <v>1140</v>
      </c>
      <c r="F476" s="1587">
        <v>5.6</v>
      </c>
      <c r="G476" s="1593" t="s">
        <v>7642</v>
      </c>
      <c r="H476" s="1594">
        <v>1</v>
      </c>
      <c r="I476" s="1595" t="s">
        <v>1588</v>
      </c>
      <c r="J476" s="1596"/>
      <c r="K476" s="1597"/>
      <c r="L476" s="1596"/>
      <c r="M476" s="1598"/>
      <c r="N476" s="1599"/>
      <c r="O476" s="1598"/>
      <c r="W476" t="s">
        <v>7415</v>
      </c>
    </row>
    <row r="477" spans="2:23" hidden="1">
      <c r="B477" s="1585">
        <f t="shared" si="4"/>
        <v>443</v>
      </c>
      <c r="C477" s="1586" t="s">
        <v>7413</v>
      </c>
      <c r="D477" s="1586" t="s">
        <v>1165</v>
      </c>
      <c r="E477" s="1586" t="s">
        <v>1168</v>
      </c>
      <c r="F477" s="1587">
        <v>6.3</v>
      </c>
      <c r="G477" s="1593" t="s">
        <v>7642</v>
      </c>
      <c r="H477" s="1594">
        <v>1</v>
      </c>
      <c r="I477" s="1595" t="s">
        <v>1588</v>
      </c>
      <c r="J477" s="1596" t="s">
        <v>7643</v>
      </c>
      <c r="K477" s="1597">
        <v>1</v>
      </c>
      <c r="L477" s="1596" t="s">
        <v>1551</v>
      </c>
      <c r="M477" s="1598"/>
      <c r="N477" s="1599"/>
      <c r="O477" s="1598"/>
      <c r="W477" t="s">
        <v>7416</v>
      </c>
    </row>
    <row r="478" spans="2:23" hidden="1">
      <c r="B478" s="1585">
        <f t="shared" si="4"/>
        <v>444</v>
      </c>
      <c r="C478" s="1586" t="s">
        <v>7413</v>
      </c>
      <c r="D478" s="1586" t="s">
        <v>1165</v>
      </c>
      <c r="E478" s="1586" t="s">
        <v>1169</v>
      </c>
      <c r="F478" s="1587">
        <v>6.3</v>
      </c>
      <c r="G478" s="1593" t="s">
        <v>7642</v>
      </c>
      <c r="H478" s="1594">
        <v>1</v>
      </c>
      <c r="I478" s="1595" t="s">
        <v>1588</v>
      </c>
      <c r="J478" s="1596" t="s">
        <v>7643</v>
      </c>
      <c r="K478" s="1597">
        <v>1</v>
      </c>
      <c r="L478" s="1596" t="s">
        <v>1551</v>
      </c>
      <c r="M478" s="1598"/>
      <c r="N478" s="1599"/>
      <c r="O478" s="1598"/>
      <c r="W478" t="s">
        <v>7417</v>
      </c>
    </row>
    <row r="479" spans="2:23" hidden="1">
      <c r="B479" s="1585">
        <f t="shared" si="4"/>
        <v>445</v>
      </c>
      <c r="C479" s="1586" t="s">
        <v>7413</v>
      </c>
      <c r="D479" s="1586" t="s">
        <v>1166</v>
      </c>
      <c r="E479" s="1586" t="s">
        <v>1140</v>
      </c>
      <c r="F479" s="1587">
        <v>6.3</v>
      </c>
      <c r="G479" s="1593" t="s">
        <v>7642</v>
      </c>
      <c r="H479" s="1594">
        <v>1</v>
      </c>
      <c r="I479" s="1595" t="s">
        <v>1588</v>
      </c>
      <c r="J479" s="1596" t="s">
        <v>7643</v>
      </c>
      <c r="K479" s="1597">
        <v>1</v>
      </c>
      <c r="L479" s="1596" t="s">
        <v>1551</v>
      </c>
      <c r="M479" s="1598"/>
      <c r="N479" s="1599"/>
      <c r="O479" s="1598"/>
      <c r="W479" t="s">
        <v>7418</v>
      </c>
    </row>
    <row r="480" spans="2:23" hidden="1">
      <c r="B480" s="1585">
        <f t="shared" si="4"/>
        <v>446</v>
      </c>
      <c r="C480" s="1586" t="s">
        <v>7413</v>
      </c>
      <c r="D480" s="1586" t="s">
        <v>1167</v>
      </c>
      <c r="E480" s="1586" t="s">
        <v>1140</v>
      </c>
      <c r="F480" s="1587">
        <v>6.3</v>
      </c>
      <c r="G480" s="1593" t="s">
        <v>7642</v>
      </c>
      <c r="H480" s="1594">
        <v>1</v>
      </c>
      <c r="I480" s="1595" t="s">
        <v>1588</v>
      </c>
      <c r="J480" s="1596" t="s">
        <v>7643</v>
      </c>
      <c r="K480" s="1597">
        <v>1</v>
      </c>
      <c r="L480" s="1596" t="s">
        <v>1551</v>
      </c>
      <c r="M480" s="1598"/>
      <c r="N480" s="1599"/>
      <c r="O480" s="1598"/>
      <c r="W480" t="s">
        <v>7419</v>
      </c>
    </row>
    <row r="481" spans="2:23" hidden="1">
      <c r="B481" s="1585">
        <f>B480+1</f>
        <v>447</v>
      </c>
      <c r="C481" s="1586" t="s">
        <v>7421</v>
      </c>
      <c r="D481" s="1586" t="s">
        <v>1750</v>
      </c>
      <c r="E481" s="1586" t="s">
        <v>1140</v>
      </c>
      <c r="F481" s="1587">
        <v>5.4</v>
      </c>
      <c r="G481" s="1593" t="s">
        <v>7642</v>
      </c>
      <c r="H481" s="1594">
        <v>2</v>
      </c>
      <c r="I481" s="1595" t="s">
        <v>1748</v>
      </c>
      <c r="J481" s="1596" t="s">
        <v>7317</v>
      </c>
      <c r="K481" s="1597">
        <v>2</v>
      </c>
      <c r="L481" s="1596" t="s">
        <v>1863</v>
      </c>
      <c r="M481" s="1598"/>
      <c r="N481" s="1599"/>
      <c r="O481" s="1598"/>
      <c r="W481" t="s">
        <v>7420</v>
      </c>
    </row>
    <row r="482" spans="2:23" hidden="1">
      <c r="B482" s="1585">
        <f t="shared" ref="B482:B545" si="5">B481+1</f>
        <v>448</v>
      </c>
      <c r="C482" s="1586" t="s">
        <v>7421</v>
      </c>
      <c r="D482" s="1586" t="s">
        <v>1490</v>
      </c>
      <c r="E482" s="1586" t="s">
        <v>1140</v>
      </c>
      <c r="F482" s="1587">
        <v>5.4</v>
      </c>
      <c r="G482" s="1593" t="s">
        <v>7642</v>
      </c>
      <c r="H482" s="1594">
        <v>2</v>
      </c>
      <c r="I482" s="1595" t="s">
        <v>1748</v>
      </c>
      <c r="J482" s="1596"/>
      <c r="K482" s="1597"/>
      <c r="L482" s="1596"/>
      <c r="M482" s="1598"/>
      <c r="N482" s="1599"/>
      <c r="O482" s="1598"/>
      <c r="W482" t="s">
        <v>7387</v>
      </c>
    </row>
    <row r="483" spans="2:23" hidden="1">
      <c r="B483" s="1585">
        <f t="shared" si="5"/>
        <v>449</v>
      </c>
      <c r="C483" s="1586" t="s">
        <v>7421</v>
      </c>
      <c r="D483" s="1586" t="s">
        <v>330</v>
      </c>
      <c r="E483" s="1586" t="s">
        <v>1491</v>
      </c>
      <c r="F483" s="1587">
        <v>5.4</v>
      </c>
      <c r="G483" s="1593" t="s">
        <v>7642</v>
      </c>
      <c r="H483" s="1594">
        <v>2</v>
      </c>
      <c r="I483" s="1595" t="s">
        <v>1748</v>
      </c>
      <c r="J483" s="1596"/>
      <c r="K483" s="1597"/>
      <c r="L483" s="1596"/>
      <c r="M483" s="1598"/>
      <c r="N483" s="1599"/>
      <c r="O483" s="1598"/>
      <c r="W483" t="s">
        <v>7422</v>
      </c>
    </row>
    <row r="484" spans="2:23" hidden="1">
      <c r="B484" s="1585">
        <f t="shared" si="5"/>
        <v>450</v>
      </c>
      <c r="C484" s="1586" t="s">
        <v>7421</v>
      </c>
      <c r="D484" s="1586" t="s">
        <v>1456</v>
      </c>
      <c r="E484" s="1586" t="s">
        <v>1457</v>
      </c>
      <c r="F484" s="1587">
        <v>6.4</v>
      </c>
      <c r="G484" s="1593" t="s">
        <v>7642</v>
      </c>
      <c r="H484" s="1594">
        <v>2</v>
      </c>
      <c r="I484" s="1595" t="s">
        <v>1749</v>
      </c>
      <c r="J484" s="1596" t="s">
        <v>1793</v>
      </c>
      <c r="K484" s="1597">
        <v>1</v>
      </c>
      <c r="L484" s="1596" t="s">
        <v>7425</v>
      </c>
      <c r="M484" s="1598"/>
      <c r="N484" s="1599"/>
      <c r="O484" s="1598"/>
      <c r="W484" t="s">
        <v>7388</v>
      </c>
    </row>
    <row r="485" spans="2:23" hidden="1">
      <c r="B485" s="1585">
        <f t="shared" si="5"/>
        <v>451</v>
      </c>
      <c r="C485" s="1586" t="s">
        <v>7421</v>
      </c>
      <c r="D485" s="1586" t="s">
        <v>1456</v>
      </c>
      <c r="E485" s="1586" t="s">
        <v>1458</v>
      </c>
      <c r="F485" s="1587">
        <v>6.4</v>
      </c>
      <c r="G485" s="1593" t="s">
        <v>7642</v>
      </c>
      <c r="H485" s="1594">
        <v>2</v>
      </c>
      <c r="I485" s="1595" t="s">
        <v>1749</v>
      </c>
      <c r="J485" s="1596" t="s">
        <v>1793</v>
      </c>
      <c r="K485" s="1597">
        <v>1</v>
      </c>
      <c r="L485" s="1596" t="s">
        <v>7425</v>
      </c>
      <c r="M485" s="1598"/>
      <c r="N485" s="1599"/>
      <c r="O485" s="1598"/>
      <c r="W485" t="s">
        <v>7389</v>
      </c>
    </row>
    <row r="486" spans="2:23" hidden="1">
      <c r="B486" s="1585">
        <f t="shared" si="5"/>
        <v>452</v>
      </c>
      <c r="C486" s="1586" t="s">
        <v>7421</v>
      </c>
      <c r="D486" s="1586" t="s">
        <v>1456</v>
      </c>
      <c r="E486" s="1586" t="s">
        <v>1459</v>
      </c>
      <c r="F486" s="1587">
        <v>6.4</v>
      </c>
      <c r="G486" s="1593" t="s">
        <v>7642</v>
      </c>
      <c r="H486" s="1594">
        <v>2</v>
      </c>
      <c r="I486" s="1595" t="s">
        <v>1749</v>
      </c>
      <c r="J486" s="1596" t="s">
        <v>1793</v>
      </c>
      <c r="K486" s="1597">
        <v>1</v>
      </c>
      <c r="L486" s="1596" t="s">
        <v>7425</v>
      </c>
      <c r="M486" s="1598"/>
      <c r="N486" s="1599"/>
      <c r="O486" s="1598"/>
      <c r="W486" t="s">
        <v>7390</v>
      </c>
    </row>
    <row r="487" spans="2:23" hidden="1">
      <c r="B487" s="1585">
        <f t="shared" si="5"/>
        <v>453</v>
      </c>
      <c r="C487" s="1586" t="s">
        <v>7421</v>
      </c>
      <c r="D487" s="1586" t="s">
        <v>1456</v>
      </c>
      <c r="E487" s="1586" t="s">
        <v>1460</v>
      </c>
      <c r="F487" s="1587">
        <v>6.4</v>
      </c>
      <c r="G487" s="1593" t="s">
        <v>7642</v>
      </c>
      <c r="H487" s="1594">
        <v>2</v>
      </c>
      <c r="I487" s="1595" t="s">
        <v>1749</v>
      </c>
      <c r="J487" s="1596" t="s">
        <v>1793</v>
      </c>
      <c r="K487" s="1597">
        <v>1</v>
      </c>
      <c r="L487" s="1596" t="s">
        <v>7425</v>
      </c>
      <c r="M487" s="1598"/>
      <c r="N487" s="1599"/>
      <c r="O487" s="1598"/>
      <c r="W487" t="s">
        <v>7391</v>
      </c>
    </row>
    <row r="488" spans="2:23" hidden="1">
      <c r="B488" s="1585">
        <f t="shared" si="5"/>
        <v>454</v>
      </c>
      <c r="C488" s="1586" t="s">
        <v>7421</v>
      </c>
      <c r="D488" s="1586" t="s">
        <v>1456</v>
      </c>
      <c r="E488" s="1586" t="s">
        <v>1460</v>
      </c>
      <c r="F488" s="1587">
        <v>6.4</v>
      </c>
      <c r="G488" s="1593" t="s">
        <v>7642</v>
      </c>
      <c r="H488" s="1594">
        <v>2</v>
      </c>
      <c r="I488" s="1595" t="s">
        <v>1749</v>
      </c>
      <c r="J488" s="1596" t="s">
        <v>1793</v>
      </c>
      <c r="K488" s="1597">
        <v>1</v>
      </c>
      <c r="L488" s="1596" t="s">
        <v>7425</v>
      </c>
      <c r="M488" s="1598"/>
      <c r="N488" s="1599"/>
      <c r="O488" s="1598"/>
      <c r="W488" t="s">
        <v>7423</v>
      </c>
    </row>
    <row r="489" spans="2:23" hidden="1">
      <c r="B489" s="1585">
        <f t="shared" si="5"/>
        <v>455</v>
      </c>
      <c r="C489" s="1586" t="s">
        <v>7421</v>
      </c>
      <c r="D489" s="1586" t="s">
        <v>1456</v>
      </c>
      <c r="E489" s="1586" t="s">
        <v>1461</v>
      </c>
      <c r="F489" s="1587">
        <v>6.4</v>
      </c>
      <c r="G489" s="1593" t="s">
        <v>7642</v>
      </c>
      <c r="H489" s="1594">
        <v>2</v>
      </c>
      <c r="I489" s="1595" t="s">
        <v>1749</v>
      </c>
      <c r="J489" s="1596" t="s">
        <v>1793</v>
      </c>
      <c r="K489" s="1597">
        <v>1</v>
      </c>
      <c r="L489" s="1596" t="s">
        <v>7425</v>
      </c>
      <c r="M489" s="1598"/>
      <c r="N489" s="1599"/>
      <c r="O489" s="1598"/>
      <c r="W489" t="s">
        <v>7424</v>
      </c>
    </row>
    <row r="490" spans="2:23" hidden="1">
      <c r="B490" s="1585">
        <f t="shared" si="5"/>
        <v>456</v>
      </c>
      <c r="C490" s="1586" t="s">
        <v>7421</v>
      </c>
      <c r="D490" s="1586" t="s">
        <v>1456</v>
      </c>
      <c r="E490" s="1586" t="s">
        <v>1461</v>
      </c>
      <c r="F490" s="1587">
        <v>6.4</v>
      </c>
      <c r="G490" s="1593" t="s">
        <v>7642</v>
      </c>
      <c r="H490" s="1594">
        <v>2</v>
      </c>
      <c r="I490" s="1595" t="s">
        <v>1749</v>
      </c>
      <c r="J490" s="1596" t="s">
        <v>1793</v>
      </c>
      <c r="K490" s="1597">
        <v>1</v>
      </c>
      <c r="L490" s="1596" t="s">
        <v>7425</v>
      </c>
      <c r="M490" s="1598"/>
      <c r="N490" s="1599"/>
      <c r="O490" s="1598"/>
      <c r="W490" t="s">
        <v>7426</v>
      </c>
    </row>
    <row r="491" spans="2:23" hidden="1">
      <c r="B491" s="1585">
        <f t="shared" si="5"/>
        <v>457</v>
      </c>
      <c r="C491" s="1586" t="s">
        <v>7421</v>
      </c>
      <c r="D491" s="1586" t="s">
        <v>1462</v>
      </c>
      <c r="E491" s="1586" t="s">
        <v>1140</v>
      </c>
      <c r="F491" s="1587">
        <v>6.4</v>
      </c>
      <c r="G491" s="1593" t="s">
        <v>7642</v>
      </c>
      <c r="H491" s="1594">
        <v>2</v>
      </c>
      <c r="I491" s="1595" t="s">
        <v>1749</v>
      </c>
      <c r="J491" s="1596" t="s">
        <v>1793</v>
      </c>
      <c r="K491" s="1597">
        <v>1</v>
      </c>
      <c r="L491" s="1596" t="s">
        <v>7425</v>
      </c>
      <c r="M491" s="1598"/>
      <c r="N491" s="1599"/>
      <c r="O491" s="1598"/>
      <c r="W491" t="s">
        <v>7427</v>
      </c>
    </row>
    <row r="492" spans="2:23" hidden="1">
      <c r="B492" s="1585">
        <f t="shared" si="5"/>
        <v>458</v>
      </c>
      <c r="C492" s="1586" t="s">
        <v>7421</v>
      </c>
      <c r="D492" s="1586" t="s">
        <v>1463</v>
      </c>
      <c r="E492" s="1586" t="s">
        <v>1140</v>
      </c>
      <c r="F492" s="1587">
        <v>6.4</v>
      </c>
      <c r="G492" s="1593" t="s">
        <v>7642</v>
      </c>
      <c r="H492" s="1594">
        <v>2</v>
      </c>
      <c r="I492" s="1595" t="s">
        <v>1749</v>
      </c>
      <c r="J492" s="1596" t="s">
        <v>1793</v>
      </c>
      <c r="K492" s="1597">
        <v>1</v>
      </c>
      <c r="L492" s="1596" t="s">
        <v>7425</v>
      </c>
      <c r="M492" s="1598"/>
      <c r="N492" s="1599"/>
      <c r="O492" s="1598"/>
      <c r="W492" t="s">
        <v>7428</v>
      </c>
    </row>
    <row r="493" spans="2:23" hidden="1">
      <c r="B493" s="1585">
        <f t="shared" si="5"/>
        <v>459</v>
      </c>
      <c r="C493" s="1586" t="s">
        <v>7433</v>
      </c>
      <c r="D493" s="1586" t="s">
        <v>1164</v>
      </c>
      <c r="E493" s="1586" t="s">
        <v>1140</v>
      </c>
      <c r="F493" s="1587">
        <v>5.6</v>
      </c>
      <c r="G493" s="1593" t="s">
        <v>7643</v>
      </c>
      <c r="H493" s="1594">
        <v>1</v>
      </c>
      <c r="I493" s="1595" t="s">
        <v>1551</v>
      </c>
      <c r="J493" s="1596"/>
      <c r="K493" s="1597"/>
      <c r="L493" s="1596"/>
      <c r="M493" s="1598"/>
      <c r="N493" s="1599"/>
      <c r="O493" s="1598"/>
      <c r="W493" t="s">
        <v>7429</v>
      </c>
    </row>
    <row r="494" spans="2:23" hidden="1">
      <c r="B494" s="1585">
        <f t="shared" si="5"/>
        <v>460</v>
      </c>
      <c r="C494" s="1586" t="s">
        <v>7436</v>
      </c>
      <c r="D494" s="1586" t="s">
        <v>1170</v>
      </c>
      <c r="E494" s="1586" t="s">
        <v>1171</v>
      </c>
      <c r="F494" s="1587">
        <v>5.4</v>
      </c>
      <c r="G494" s="1593" t="s">
        <v>7643</v>
      </c>
      <c r="H494" s="1594">
        <v>2</v>
      </c>
      <c r="I494" s="1595" t="s">
        <v>1170</v>
      </c>
      <c r="J494" s="1596"/>
      <c r="K494" s="1597"/>
      <c r="L494" s="1596"/>
      <c r="M494" s="1598"/>
      <c r="N494" s="1599"/>
      <c r="O494" s="1598"/>
      <c r="W494" t="s">
        <v>7429</v>
      </c>
    </row>
    <row r="495" spans="2:23" hidden="1">
      <c r="B495" s="1585">
        <f t="shared" si="5"/>
        <v>461</v>
      </c>
      <c r="C495" s="1586" t="s">
        <v>7436</v>
      </c>
      <c r="D495" s="1586" t="s">
        <v>1170</v>
      </c>
      <c r="E495" s="1586" t="s">
        <v>1172</v>
      </c>
      <c r="F495" s="1587">
        <v>5.4</v>
      </c>
      <c r="G495" s="1593" t="s">
        <v>7643</v>
      </c>
      <c r="H495" s="1594">
        <v>2</v>
      </c>
      <c r="I495" s="1595" t="s">
        <v>1170</v>
      </c>
      <c r="J495" s="1596"/>
      <c r="K495" s="1597"/>
      <c r="L495" s="1596"/>
      <c r="M495" s="1598"/>
      <c r="N495" s="1599"/>
      <c r="O495" s="1598"/>
      <c r="W495" t="s">
        <v>7430</v>
      </c>
    </row>
    <row r="496" spans="2:23" hidden="1">
      <c r="B496" s="1585">
        <f t="shared" si="5"/>
        <v>462</v>
      </c>
      <c r="C496" s="1586" t="s">
        <v>7436</v>
      </c>
      <c r="D496" s="1586" t="s">
        <v>1170</v>
      </c>
      <c r="E496" s="1586" t="s">
        <v>1173</v>
      </c>
      <c r="F496" s="1587">
        <v>5.4</v>
      </c>
      <c r="G496" s="1593" t="s">
        <v>7643</v>
      </c>
      <c r="H496" s="1594">
        <v>2</v>
      </c>
      <c r="I496" s="1595" t="s">
        <v>1170</v>
      </c>
      <c r="J496" s="1596"/>
      <c r="K496" s="1597"/>
      <c r="L496" s="1596"/>
      <c r="M496" s="1598"/>
      <c r="N496" s="1599"/>
      <c r="O496" s="1598"/>
      <c r="W496" t="s">
        <v>7430</v>
      </c>
    </row>
    <row r="497" spans="2:23" hidden="1">
      <c r="B497" s="1585">
        <f t="shared" si="5"/>
        <v>463</v>
      </c>
      <c r="C497" s="1586" t="s">
        <v>7436</v>
      </c>
      <c r="D497" s="1586" t="s">
        <v>1170</v>
      </c>
      <c r="E497" s="1586" t="s">
        <v>417</v>
      </c>
      <c r="F497" s="1587">
        <v>5.4</v>
      </c>
      <c r="G497" s="1593" t="s">
        <v>7643</v>
      </c>
      <c r="H497" s="1594">
        <v>2</v>
      </c>
      <c r="I497" s="1595" t="s">
        <v>1170</v>
      </c>
      <c r="J497" s="1596"/>
      <c r="K497" s="1597"/>
      <c r="L497" s="1596"/>
      <c r="M497" s="1598"/>
      <c r="N497" s="1599"/>
      <c r="O497" s="1598"/>
      <c r="W497" t="s">
        <v>7431</v>
      </c>
    </row>
    <row r="498" spans="2:23" hidden="1">
      <c r="B498" s="1585">
        <f t="shared" si="5"/>
        <v>464</v>
      </c>
      <c r="C498" s="1586" t="s">
        <v>7436</v>
      </c>
      <c r="D498" s="1586" t="s">
        <v>1170</v>
      </c>
      <c r="E498" s="1586" t="s">
        <v>1174</v>
      </c>
      <c r="F498" s="1587">
        <v>5.4</v>
      </c>
      <c r="G498" s="1593" t="s">
        <v>7643</v>
      </c>
      <c r="H498" s="1594">
        <v>2</v>
      </c>
      <c r="I498" s="1595" t="s">
        <v>1170</v>
      </c>
      <c r="J498" s="1596"/>
      <c r="K498" s="1597"/>
      <c r="L498" s="1596"/>
      <c r="M498" s="1598"/>
      <c r="N498" s="1599"/>
      <c r="O498" s="1598"/>
      <c r="W498" t="s">
        <v>7432</v>
      </c>
    </row>
    <row r="499" spans="2:23" hidden="1">
      <c r="B499" s="1585">
        <f t="shared" si="5"/>
        <v>465</v>
      </c>
      <c r="C499" s="1586" t="s">
        <v>7436</v>
      </c>
      <c r="D499" s="1586" t="s">
        <v>1170</v>
      </c>
      <c r="E499" s="1586" t="s">
        <v>416</v>
      </c>
      <c r="F499" s="1587">
        <v>5.4</v>
      </c>
      <c r="G499" s="1593" t="s">
        <v>7643</v>
      </c>
      <c r="H499" s="1594">
        <v>2</v>
      </c>
      <c r="I499" s="1595" t="s">
        <v>1170</v>
      </c>
      <c r="J499" s="1596"/>
      <c r="K499" s="1597"/>
      <c r="L499" s="1596"/>
      <c r="M499" s="1598"/>
      <c r="N499" s="1599"/>
      <c r="O499" s="1598"/>
      <c r="W499" t="s">
        <v>7434</v>
      </c>
    </row>
    <row r="500" spans="2:23" hidden="1">
      <c r="B500" s="1585">
        <f t="shared" si="5"/>
        <v>466</v>
      </c>
      <c r="C500" s="1586" t="s">
        <v>7436</v>
      </c>
      <c r="D500" s="1586" t="s">
        <v>1170</v>
      </c>
      <c r="E500" s="1586" t="s">
        <v>1175</v>
      </c>
      <c r="F500" s="1587">
        <v>5.4</v>
      </c>
      <c r="G500" s="1593" t="s">
        <v>7643</v>
      </c>
      <c r="H500" s="1594">
        <v>2</v>
      </c>
      <c r="I500" s="1595" t="s">
        <v>1170</v>
      </c>
      <c r="J500" s="1596"/>
      <c r="K500" s="1597"/>
      <c r="L500" s="1596"/>
      <c r="M500" s="1598"/>
      <c r="N500" s="1599"/>
      <c r="O500" s="1598"/>
      <c r="W500" t="s">
        <v>7417</v>
      </c>
    </row>
    <row r="501" spans="2:23" hidden="1">
      <c r="B501" s="1585">
        <f t="shared" si="5"/>
        <v>467</v>
      </c>
      <c r="C501" s="1586" t="s">
        <v>7436</v>
      </c>
      <c r="D501" s="1586" t="s">
        <v>1170</v>
      </c>
      <c r="E501" s="1586" t="s">
        <v>414</v>
      </c>
      <c r="F501" s="1587">
        <v>5.4</v>
      </c>
      <c r="G501" s="1593" t="s">
        <v>7643</v>
      </c>
      <c r="H501" s="1594">
        <v>2</v>
      </c>
      <c r="I501" s="1595" t="s">
        <v>1170</v>
      </c>
      <c r="J501" s="1596"/>
      <c r="K501" s="1597"/>
      <c r="L501" s="1596"/>
      <c r="M501" s="1598"/>
      <c r="N501" s="1599"/>
      <c r="O501" s="1598"/>
      <c r="W501" t="s">
        <v>7435</v>
      </c>
    </row>
    <row r="502" spans="2:23" hidden="1">
      <c r="B502" s="1585">
        <f t="shared" si="5"/>
        <v>468</v>
      </c>
      <c r="C502" s="1586" t="s">
        <v>7445</v>
      </c>
      <c r="D502" s="1586" t="s">
        <v>56</v>
      </c>
      <c r="E502" s="1586" t="s">
        <v>838</v>
      </c>
      <c r="F502" s="1587">
        <v>5.0999999999999996</v>
      </c>
      <c r="G502" s="1593" t="s">
        <v>7643</v>
      </c>
      <c r="H502" s="1594">
        <v>3</v>
      </c>
      <c r="I502" s="1595" t="s">
        <v>7446</v>
      </c>
      <c r="J502" s="1596" t="s">
        <v>7643</v>
      </c>
      <c r="K502" s="1597">
        <v>3</v>
      </c>
      <c r="L502" s="1596" t="s">
        <v>7447</v>
      </c>
      <c r="M502" s="1598"/>
      <c r="N502" s="1599"/>
      <c r="O502" s="1598"/>
      <c r="W502" t="s">
        <v>7420</v>
      </c>
    </row>
    <row r="503" spans="2:23" hidden="1">
      <c r="B503" s="1585">
        <f t="shared" si="5"/>
        <v>469</v>
      </c>
      <c r="C503" s="1586" t="s">
        <v>7445</v>
      </c>
      <c r="D503" s="1586" t="s">
        <v>56</v>
      </c>
      <c r="E503" s="1586" t="s">
        <v>839</v>
      </c>
      <c r="F503" s="1587">
        <v>5.0999999999999996</v>
      </c>
      <c r="G503" s="1593" t="s">
        <v>7643</v>
      </c>
      <c r="H503" s="1594">
        <v>3</v>
      </c>
      <c r="I503" s="1595" t="s">
        <v>7446</v>
      </c>
      <c r="J503" s="1596" t="s">
        <v>7643</v>
      </c>
      <c r="K503" s="1597">
        <v>3</v>
      </c>
      <c r="L503" s="1596" t="s">
        <v>7447</v>
      </c>
      <c r="M503" s="1598"/>
      <c r="N503" s="1599"/>
      <c r="O503" s="1598"/>
      <c r="W503" t="s">
        <v>7437</v>
      </c>
    </row>
    <row r="504" spans="2:23" hidden="1">
      <c r="B504" s="1585">
        <f t="shared" si="5"/>
        <v>470</v>
      </c>
      <c r="C504" s="1586" t="s">
        <v>7445</v>
      </c>
      <c r="D504" s="1586" t="s">
        <v>56</v>
      </c>
      <c r="E504" s="1586" t="s">
        <v>840</v>
      </c>
      <c r="F504" s="1587">
        <v>5.0999999999999996</v>
      </c>
      <c r="G504" s="1593" t="s">
        <v>7643</v>
      </c>
      <c r="H504" s="1594">
        <v>3</v>
      </c>
      <c r="I504" s="1595" t="s">
        <v>7446</v>
      </c>
      <c r="J504" s="1596" t="s">
        <v>7643</v>
      </c>
      <c r="K504" s="1597">
        <v>3</v>
      </c>
      <c r="L504" s="1596" t="s">
        <v>7447</v>
      </c>
      <c r="M504" s="1598"/>
      <c r="N504" s="1599"/>
      <c r="O504" s="1598"/>
      <c r="W504" t="s">
        <v>7438</v>
      </c>
    </row>
    <row r="505" spans="2:23" hidden="1">
      <c r="B505" s="1585">
        <f t="shared" si="5"/>
        <v>471</v>
      </c>
      <c r="C505" s="1586" t="s">
        <v>7445</v>
      </c>
      <c r="D505" s="1586" t="s">
        <v>56</v>
      </c>
      <c r="E505" s="1586" t="s">
        <v>841</v>
      </c>
      <c r="F505" s="1587">
        <v>5.0999999999999996</v>
      </c>
      <c r="G505" s="1593" t="s">
        <v>7643</v>
      </c>
      <c r="H505" s="1594">
        <v>3</v>
      </c>
      <c r="I505" s="1595" t="s">
        <v>7446</v>
      </c>
      <c r="J505" s="1596" t="s">
        <v>7643</v>
      </c>
      <c r="K505" s="1597">
        <v>3</v>
      </c>
      <c r="L505" s="1596" t="s">
        <v>7447</v>
      </c>
      <c r="M505" s="1598"/>
      <c r="N505" s="1599"/>
      <c r="O505" s="1598"/>
      <c r="W505" t="s">
        <v>7439</v>
      </c>
    </row>
    <row r="506" spans="2:23" hidden="1">
      <c r="B506" s="1585">
        <f t="shared" si="5"/>
        <v>472</v>
      </c>
      <c r="C506" s="1586" t="s">
        <v>7445</v>
      </c>
      <c r="D506" s="1586" t="s">
        <v>56</v>
      </c>
      <c r="E506" s="1586" t="s">
        <v>1179</v>
      </c>
      <c r="F506" s="1587">
        <v>5.0999999999999996</v>
      </c>
      <c r="G506" s="1593" t="s">
        <v>7643</v>
      </c>
      <c r="H506" s="1594">
        <v>3</v>
      </c>
      <c r="I506" s="1595" t="s">
        <v>7446</v>
      </c>
      <c r="J506" s="1596" t="s">
        <v>7643</v>
      </c>
      <c r="K506" s="1597">
        <v>3</v>
      </c>
      <c r="L506" s="1596" t="s">
        <v>7447</v>
      </c>
      <c r="M506" s="1598"/>
      <c r="N506" s="1599"/>
      <c r="O506" s="1598"/>
      <c r="W506" t="s">
        <v>7440</v>
      </c>
    </row>
    <row r="507" spans="2:23" hidden="1">
      <c r="B507" s="1585">
        <f t="shared" si="5"/>
        <v>473</v>
      </c>
      <c r="C507" s="1586" t="s">
        <v>7445</v>
      </c>
      <c r="D507" s="1586" t="s">
        <v>56</v>
      </c>
      <c r="E507" s="1586" t="s">
        <v>842</v>
      </c>
      <c r="F507" s="1587">
        <v>5.0999999999999996</v>
      </c>
      <c r="G507" s="1593" t="s">
        <v>7643</v>
      </c>
      <c r="H507" s="1594">
        <v>3</v>
      </c>
      <c r="I507" s="1595" t="s">
        <v>7446</v>
      </c>
      <c r="J507" s="1596" t="s">
        <v>7643</v>
      </c>
      <c r="K507" s="1597">
        <v>3</v>
      </c>
      <c r="L507" s="1596" t="s">
        <v>7447</v>
      </c>
      <c r="M507" s="1598"/>
      <c r="N507" s="1599"/>
      <c r="O507" s="1598"/>
      <c r="W507" t="s">
        <v>7441</v>
      </c>
    </row>
    <row r="508" spans="2:23" hidden="1">
      <c r="B508" s="1585">
        <f t="shared" si="5"/>
        <v>474</v>
      </c>
      <c r="C508" s="1586" t="s">
        <v>7445</v>
      </c>
      <c r="D508" s="1586" t="s">
        <v>56</v>
      </c>
      <c r="E508" s="1586" t="s">
        <v>1180</v>
      </c>
      <c r="F508" s="1587">
        <v>5.0999999999999996</v>
      </c>
      <c r="G508" s="1593" t="s">
        <v>7643</v>
      </c>
      <c r="H508" s="1594">
        <v>3</v>
      </c>
      <c r="I508" s="1595" t="s">
        <v>7446</v>
      </c>
      <c r="J508" s="1596" t="s">
        <v>7643</v>
      </c>
      <c r="K508" s="1597">
        <v>3</v>
      </c>
      <c r="L508" s="1596" t="s">
        <v>7447</v>
      </c>
      <c r="M508" s="1598"/>
      <c r="N508" s="1599"/>
      <c r="O508" s="1598"/>
      <c r="W508" t="s">
        <v>7442</v>
      </c>
    </row>
    <row r="509" spans="2:23" hidden="1">
      <c r="B509" s="1585">
        <f t="shared" si="5"/>
        <v>475</v>
      </c>
      <c r="C509" s="1586" t="s">
        <v>7445</v>
      </c>
      <c r="D509" s="1586" t="s">
        <v>56</v>
      </c>
      <c r="E509" s="1586" t="s">
        <v>843</v>
      </c>
      <c r="F509" s="1587">
        <v>5.0999999999999996</v>
      </c>
      <c r="G509" s="1593" t="s">
        <v>7643</v>
      </c>
      <c r="H509" s="1594">
        <v>3</v>
      </c>
      <c r="I509" s="1595" t="s">
        <v>7446</v>
      </c>
      <c r="J509" s="1596" t="s">
        <v>7643</v>
      </c>
      <c r="K509" s="1597">
        <v>3</v>
      </c>
      <c r="L509" s="1596" t="s">
        <v>7447</v>
      </c>
      <c r="M509" s="1598"/>
      <c r="N509" s="1599"/>
      <c r="O509" s="1598"/>
      <c r="W509" t="s">
        <v>7443</v>
      </c>
    </row>
    <row r="510" spans="2:23" hidden="1">
      <c r="B510" s="1585">
        <f t="shared" si="5"/>
        <v>476</v>
      </c>
      <c r="C510" s="1586" t="s">
        <v>7445</v>
      </c>
      <c r="D510" s="1586" t="s">
        <v>56</v>
      </c>
      <c r="E510" s="1586" t="s">
        <v>1181</v>
      </c>
      <c r="F510" s="1587">
        <v>5.0999999999999996</v>
      </c>
      <c r="G510" s="1593" t="s">
        <v>7643</v>
      </c>
      <c r="H510" s="1594">
        <v>3</v>
      </c>
      <c r="I510" s="1595" t="s">
        <v>7446</v>
      </c>
      <c r="J510" s="1596" t="s">
        <v>7643</v>
      </c>
      <c r="K510" s="1597">
        <v>3</v>
      </c>
      <c r="L510" s="1596" t="s">
        <v>7447</v>
      </c>
      <c r="M510" s="1598"/>
      <c r="N510" s="1599"/>
      <c r="O510" s="1598"/>
      <c r="W510" t="s">
        <v>7444</v>
      </c>
    </row>
    <row r="511" spans="2:23" hidden="1">
      <c r="B511" s="1585">
        <f t="shared" si="5"/>
        <v>477</v>
      </c>
      <c r="C511" s="1586" t="s">
        <v>7445</v>
      </c>
      <c r="D511" s="1586" t="s">
        <v>56</v>
      </c>
      <c r="E511" s="1586" t="s">
        <v>844</v>
      </c>
      <c r="F511" s="1587">
        <v>5.0999999999999996</v>
      </c>
      <c r="G511" s="1593" t="s">
        <v>7643</v>
      </c>
      <c r="H511" s="1594">
        <v>3</v>
      </c>
      <c r="I511" s="1595" t="s">
        <v>7446</v>
      </c>
      <c r="J511" s="1596" t="s">
        <v>7643</v>
      </c>
      <c r="K511" s="1597">
        <v>3</v>
      </c>
      <c r="L511" s="1596" t="s">
        <v>7447</v>
      </c>
      <c r="M511" s="1598"/>
      <c r="N511" s="1599"/>
      <c r="O511" s="1598"/>
      <c r="W511" t="s">
        <v>838</v>
      </c>
    </row>
    <row r="512" spans="2:23" hidden="1">
      <c r="B512" s="1585">
        <f t="shared" si="5"/>
        <v>478</v>
      </c>
      <c r="C512" s="1586" t="s">
        <v>7445</v>
      </c>
      <c r="D512" s="1586" t="s">
        <v>56</v>
      </c>
      <c r="E512" s="1586" t="s">
        <v>1182</v>
      </c>
      <c r="F512" s="1587">
        <v>5.0999999999999996</v>
      </c>
      <c r="G512" s="1593" t="s">
        <v>7643</v>
      </c>
      <c r="H512" s="1594">
        <v>3</v>
      </c>
      <c r="I512" s="1595" t="s">
        <v>7446</v>
      </c>
      <c r="J512" s="1596" t="s">
        <v>7643</v>
      </c>
      <c r="K512" s="1597">
        <v>3</v>
      </c>
      <c r="L512" s="1596" t="s">
        <v>7447</v>
      </c>
      <c r="M512" s="1598"/>
      <c r="N512" s="1599"/>
      <c r="O512" s="1598"/>
      <c r="W512" t="s">
        <v>839</v>
      </c>
    </row>
    <row r="513" spans="2:23" hidden="1">
      <c r="B513" s="1585">
        <f t="shared" si="5"/>
        <v>479</v>
      </c>
      <c r="C513" s="1586" t="s">
        <v>7445</v>
      </c>
      <c r="D513" s="1586" t="s">
        <v>56</v>
      </c>
      <c r="E513" s="1586" t="s">
        <v>845</v>
      </c>
      <c r="F513" s="1587">
        <v>5.0999999999999996</v>
      </c>
      <c r="G513" s="1593" t="s">
        <v>7643</v>
      </c>
      <c r="H513" s="1594">
        <v>3</v>
      </c>
      <c r="I513" s="1595" t="s">
        <v>7446</v>
      </c>
      <c r="J513" s="1596" t="s">
        <v>7643</v>
      </c>
      <c r="K513" s="1597">
        <v>3</v>
      </c>
      <c r="L513" s="1596" t="s">
        <v>7447</v>
      </c>
      <c r="M513" s="1598"/>
      <c r="N513" s="1599"/>
      <c r="O513" s="1598"/>
      <c r="W513" t="s">
        <v>840</v>
      </c>
    </row>
    <row r="514" spans="2:23" hidden="1">
      <c r="B514" s="1585">
        <f t="shared" si="5"/>
        <v>480</v>
      </c>
      <c r="C514" s="1586" t="s">
        <v>7445</v>
      </c>
      <c r="D514" s="1586" t="s">
        <v>56</v>
      </c>
      <c r="E514" s="1586" t="s">
        <v>1183</v>
      </c>
      <c r="F514" s="1587">
        <v>5.0999999999999996</v>
      </c>
      <c r="G514" s="1593" t="s">
        <v>7643</v>
      </c>
      <c r="H514" s="1594">
        <v>3</v>
      </c>
      <c r="I514" s="1595" t="s">
        <v>7446</v>
      </c>
      <c r="J514" s="1596" t="s">
        <v>7643</v>
      </c>
      <c r="K514" s="1597">
        <v>3</v>
      </c>
      <c r="L514" s="1596" t="s">
        <v>7447</v>
      </c>
      <c r="M514" s="1598"/>
      <c r="N514" s="1599"/>
      <c r="O514" s="1598"/>
      <c r="W514" t="s">
        <v>841</v>
      </c>
    </row>
    <row r="515" spans="2:23" hidden="1">
      <c r="B515" s="1585">
        <f t="shared" si="5"/>
        <v>481</v>
      </c>
      <c r="C515" s="1586" t="s">
        <v>7445</v>
      </c>
      <c r="D515" s="1586" t="s">
        <v>56</v>
      </c>
      <c r="E515" s="1586" t="s">
        <v>846</v>
      </c>
      <c r="F515" s="1587">
        <v>5.0999999999999996</v>
      </c>
      <c r="G515" s="1593" t="s">
        <v>7643</v>
      </c>
      <c r="H515" s="1594">
        <v>3</v>
      </c>
      <c r="I515" s="1595" t="s">
        <v>7446</v>
      </c>
      <c r="J515" s="1596" t="s">
        <v>7643</v>
      </c>
      <c r="K515" s="1597">
        <v>3</v>
      </c>
      <c r="L515" s="1596" t="s">
        <v>7447</v>
      </c>
      <c r="M515" s="1598"/>
      <c r="N515" s="1599"/>
      <c r="O515" s="1598"/>
      <c r="W515" t="s">
        <v>1179</v>
      </c>
    </row>
    <row r="516" spans="2:23" hidden="1">
      <c r="B516" s="1585">
        <f t="shared" si="5"/>
        <v>482</v>
      </c>
      <c r="C516" s="1586" t="s">
        <v>7445</v>
      </c>
      <c r="D516" s="1586" t="s">
        <v>56</v>
      </c>
      <c r="E516" s="1586" t="s">
        <v>1184</v>
      </c>
      <c r="F516" s="1587">
        <v>5.0999999999999996</v>
      </c>
      <c r="G516" s="1593" t="s">
        <v>7643</v>
      </c>
      <c r="H516" s="1594">
        <v>3</v>
      </c>
      <c r="I516" s="1595" t="s">
        <v>7446</v>
      </c>
      <c r="J516" s="1596" t="s">
        <v>7643</v>
      </c>
      <c r="K516" s="1597">
        <v>3</v>
      </c>
      <c r="L516" s="1596" t="s">
        <v>7447</v>
      </c>
      <c r="M516" s="1598"/>
      <c r="N516" s="1599"/>
      <c r="O516" s="1598"/>
      <c r="W516" t="s">
        <v>842</v>
      </c>
    </row>
    <row r="517" spans="2:23" hidden="1">
      <c r="B517" s="1585">
        <f t="shared" si="5"/>
        <v>483</v>
      </c>
      <c r="C517" s="1586" t="s">
        <v>7445</v>
      </c>
      <c r="D517" s="1586" t="s">
        <v>56</v>
      </c>
      <c r="E517" s="1586" t="s">
        <v>847</v>
      </c>
      <c r="F517" s="1587">
        <v>5.0999999999999996</v>
      </c>
      <c r="G517" s="1593" t="s">
        <v>7643</v>
      </c>
      <c r="H517" s="1594">
        <v>3</v>
      </c>
      <c r="I517" s="1595" t="s">
        <v>7446</v>
      </c>
      <c r="J517" s="1596" t="s">
        <v>7643</v>
      </c>
      <c r="K517" s="1597">
        <v>3</v>
      </c>
      <c r="L517" s="1596" t="s">
        <v>7447</v>
      </c>
      <c r="M517" s="1598"/>
      <c r="N517" s="1599"/>
      <c r="O517" s="1598"/>
      <c r="W517" t="s">
        <v>1180</v>
      </c>
    </row>
    <row r="518" spans="2:23" hidden="1">
      <c r="B518" s="1585">
        <f t="shared" si="5"/>
        <v>484</v>
      </c>
      <c r="C518" s="1586" t="s">
        <v>7445</v>
      </c>
      <c r="D518" s="1586" t="s">
        <v>56</v>
      </c>
      <c r="E518" s="1586" t="s">
        <v>1185</v>
      </c>
      <c r="F518" s="1587">
        <v>5.0999999999999996</v>
      </c>
      <c r="G518" s="1593" t="s">
        <v>7643</v>
      </c>
      <c r="H518" s="1594">
        <v>3</v>
      </c>
      <c r="I518" s="1595" t="s">
        <v>7446</v>
      </c>
      <c r="J518" s="1596" t="s">
        <v>7643</v>
      </c>
      <c r="K518" s="1597">
        <v>3</v>
      </c>
      <c r="L518" s="1596" t="s">
        <v>7447</v>
      </c>
      <c r="M518" s="1598"/>
      <c r="N518" s="1599"/>
      <c r="O518" s="1598"/>
      <c r="W518" t="s">
        <v>843</v>
      </c>
    </row>
    <row r="519" spans="2:23" hidden="1">
      <c r="B519" s="1585">
        <f t="shared" si="5"/>
        <v>485</v>
      </c>
      <c r="C519" s="1586" t="s">
        <v>7445</v>
      </c>
      <c r="D519" s="1586" t="s">
        <v>56</v>
      </c>
      <c r="E519" s="1586" t="s">
        <v>848</v>
      </c>
      <c r="F519" s="1587">
        <v>5.0999999999999996</v>
      </c>
      <c r="G519" s="1593" t="s">
        <v>7643</v>
      </c>
      <c r="H519" s="1594">
        <v>3</v>
      </c>
      <c r="I519" s="1595" t="s">
        <v>7446</v>
      </c>
      <c r="J519" s="1596" t="s">
        <v>7643</v>
      </c>
      <c r="K519" s="1597">
        <v>3</v>
      </c>
      <c r="L519" s="1596" t="s">
        <v>7447</v>
      </c>
      <c r="M519" s="1598"/>
      <c r="N519" s="1599"/>
      <c r="O519" s="1598"/>
      <c r="W519" t="s">
        <v>1181</v>
      </c>
    </row>
    <row r="520" spans="2:23" hidden="1">
      <c r="B520" s="1585">
        <f t="shared" si="5"/>
        <v>486</v>
      </c>
      <c r="C520" s="1586" t="s">
        <v>7445</v>
      </c>
      <c r="D520" s="1586" t="s">
        <v>56</v>
      </c>
      <c r="E520" s="1586" t="s">
        <v>1186</v>
      </c>
      <c r="F520" s="1587">
        <v>5.0999999999999996</v>
      </c>
      <c r="G520" s="1593" t="s">
        <v>7643</v>
      </c>
      <c r="H520" s="1594">
        <v>3</v>
      </c>
      <c r="I520" s="1595" t="s">
        <v>7446</v>
      </c>
      <c r="J520" s="1596" t="s">
        <v>7643</v>
      </c>
      <c r="K520" s="1597">
        <v>3</v>
      </c>
      <c r="L520" s="1596" t="s">
        <v>7447</v>
      </c>
      <c r="M520" s="1598"/>
      <c r="N520" s="1599"/>
      <c r="O520" s="1598"/>
      <c r="W520" t="s">
        <v>844</v>
      </c>
    </row>
    <row r="521" spans="2:23" hidden="1">
      <c r="B521" s="1585">
        <f t="shared" si="5"/>
        <v>487</v>
      </c>
      <c r="C521" s="1586" t="s">
        <v>7445</v>
      </c>
      <c r="D521" s="1586" t="s">
        <v>56</v>
      </c>
      <c r="E521" s="1586" t="s">
        <v>849</v>
      </c>
      <c r="F521" s="1587">
        <v>5.0999999999999996</v>
      </c>
      <c r="G521" s="1593" t="s">
        <v>7643</v>
      </c>
      <c r="H521" s="1594">
        <v>3</v>
      </c>
      <c r="I521" s="1595" t="s">
        <v>7446</v>
      </c>
      <c r="J521" s="1596" t="s">
        <v>7643</v>
      </c>
      <c r="K521" s="1597">
        <v>3</v>
      </c>
      <c r="L521" s="1596" t="s">
        <v>7447</v>
      </c>
      <c r="M521" s="1598"/>
      <c r="N521" s="1599"/>
      <c r="O521" s="1598"/>
      <c r="W521" t="s">
        <v>1182</v>
      </c>
    </row>
    <row r="522" spans="2:23" hidden="1">
      <c r="B522" s="1585">
        <f t="shared" si="5"/>
        <v>488</v>
      </c>
      <c r="C522" s="1586" t="s">
        <v>7445</v>
      </c>
      <c r="D522" s="1586" t="s">
        <v>56</v>
      </c>
      <c r="E522" s="1586" t="s">
        <v>1187</v>
      </c>
      <c r="F522" s="1587">
        <v>5.0999999999999996</v>
      </c>
      <c r="G522" s="1593" t="s">
        <v>7643</v>
      </c>
      <c r="H522" s="1594">
        <v>3</v>
      </c>
      <c r="I522" s="1595" t="s">
        <v>7446</v>
      </c>
      <c r="J522" s="1596" t="s">
        <v>7643</v>
      </c>
      <c r="K522" s="1597">
        <v>3</v>
      </c>
      <c r="L522" s="1596" t="s">
        <v>7447</v>
      </c>
      <c r="M522" s="1598"/>
      <c r="N522" s="1599"/>
      <c r="O522" s="1598"/>
      <c r="W522" t="s">
        <v>845</v>
      </c>
    </row>
    <row r="523" spans="2:23" hidden="1">
      <c r="B523" s="1585">
        <f t="shared" si="5"/>
        <v>489</v>
      </c>
      <c r="C523" s="1586" t="s">
        <v>7445</v>
      </c>
      <c r="D523" s="1586" t="s">
        <v>56</v>
      </c>
      <c r="E523" s="1586" t="s">
        <v>850</v>
      </c>
      <c r="F523" s="1587">
        <v>5.0999999999999996</v>
      </c>
      <c r="G523" s="1593" t="s">
        <v>7643</v>
      </c>
      <c r="H523" s="1594">
        <v>3</v>
      </c>
      <c r="I523" s="1595" t="s">
        <v>7446</v>
      </c>
      <c r="J523" s="1596" t="s">
        <v>7643</v>
      </c>
      <c r="K523" s="1597">
        <v>3</v>
      </c>
      <c r="L523" s="1596" t="s">
        <v>7447</v>
      </c>
      <c r="M523" s="1598"/>
      <c r="N523" s="1599"/>
      <c r="O523" s="1598"/>
      <c r="W523" t="s">
        <v>1183</v>
      </c>
    </row>
    <row r="524" spans="2:23" hidden="1">
      <c r="B524" s="1585">
        <f t="shared" si="5"/>
        <v>490</v>
      </c>
      <c r="C524" s="1586" t="s">
        <v>7445</v>
      </c>
      <c r="D524" s="1586" t="s">
        <v>56</v>
      </c>
      <c r="E524" s="1586" t="s">
        <v>1188</v>
      </c>
      <c r="F524" s="1587">
        <v>5.0999999999999996</v>
      </c>
      <c r="G524" s="1593" t="s">
        <v>7643</v>
      </c>
      <c r="H524" s="1594">
        <v>3</v>
      </c>
      <c r="I524" s="1595" t="s">
        <v>7446</v>
      </c>
      <c r="J524" s="1596" t="s">
        <v>7643</v>
      </c>
      <c r="K524" s="1597">
        <v>3</v>
      </c>
      <c r="L524" s="1596" t="s">
        <v>7447</v>
      </c>
      <c r="M524" s="1598"/>
      <c r="N524" s="1599"/>
      <c r="O524" s="1598"/>
      <c r="W524" t="s">
        <v>846</v>
      </c>
    </row>
    <row r="525" spans="2:23" hidden="1">
      <c r="B525" s="1585">
        <f t="shared" si="5"/>
        <v>491</v>
      </c>
      <c r="C525" s="1586" t="s">
        <v>7445</v>
      </c>
      <c r="D525" s="1586" t="s">
        <v>56</v>
      </c>
      <c r="E525" s="1586" t="s">
        <v>851</v>
      </c>
      <c r="F525" s="1587">
        <v>5.0999999999999996</v>
      </c>
      <c r="G525" s="1593" t="s">
        <v>7643</v>
      </c>
      <c r="H525" s="1594">
        <v>3</v>
      </c>
      <c r="I525" s="1595" t="s">
        <v>7446</v>
      </c>
      <c r="J525" s="1596" t="s">
        <v>7643</v>
      </c>
      <c r="K525" s="1597">
        <v>3</v>
      </c>
      <c r="L525" s="1596" t="s">
        <v>7447</v>
      </c>
      <c r="M525" s="1598"/>
      <c r="N525" s="1599"/>
      <c r="O525" s="1598"/>
      <c r="W525" t="s">
        <v>1184</v>
      </c>
    </row>
    <row r="526" spans="2:23" hidden="1">
      <c r="B526" s="1585">
        <f t="shared" si="5"/>
        <v>492</v>
      </c>
      <c r="C526" s="1586" t="s">
        <v>7445</v>
      </c>
      <c r="D526" s="1586" t="s">
        <v>56</v>
      </c>
      <c r="E526" s="1586" t="s">
        <v>1189</v>
      </c>
      <c r="F526" s="1587">
        <v>5.0999999999999996</v>
      </c>
      <c r="G526" s="1593" t="s">
        <v>7643</v>
      </c>
      <c r="H526" s="1594">
        <v>3</v>
      </c>
      <c r="I526" s="1595" t="s">
        <v>7446</v>
      </c>
      <c r="J526" s="1596" t="s">
        <v>7643</v>
      </c>
      <c r="K526" s="1597">
        <v>3</v>
      </c>
      <c r="L526" s="1596" t="s">
        <v>7447</v>
      </c>
      <c r="M526" s="1598"/>
      <c r="N526" s="1599"/>
      <c r="O526" s="1598"/>
      <c r="W526" t="s">
        <v>847</v>
      </c>
    </row>
    <row r="527" spans="2:23" hidden="1">
      <c r="B527" s="1585">
        <f t="shared" si="5"/>
        <v>493</v>
      </c>
      <c r="C527" s="1586" t="s">
        <v>7445</v>
      </c>
      <c r="D527" s="1586" t="s">
        <v>56</v>
      </c>
      <c r="E527" s="1586" t="s">
        <v>852</v>
      </c>
      <c r="F527" s="1587">
        <v>5.0999999999999996</v>
      </c>
      <c r="G527" s="1593" t="s">
        <v>7643</v>
      </c>
      <c r="H527" s="1594">
        <v>3</v>
      </c>
      <c r="I527" s="1595" t="s">
        <v>7446</v>
      </c>
      <c r="J527" s="1596" t="s">
        <v>7643</v>
      </c>
      <c r="K527" s="1597">
        <v>3</v>
      </c>
      <c r="L527" s="1596" t="s">
        <v>7447</v>
      </c>
      <c r="M527" s="1598"/>
      <c r="N527" s="1599"/>
      <c r="O527" s="1598"/>
      <c r="W527" t="s">
        <v>1185</v>
      </c>
    </row>
    <row r="528" spans="2:23" hidden="1">
      <c r="B528" s="1585">
        <f t="shared" si="5"/>
        <v>494</v>
      </c>
      <c r="C528" s="1586" t="s">
        <v>7445</v>
      </c>
      <c r="D528" s="1586" t="s">
        <v>56</v>
      </c>
      <c r="E528" s="1586" t="s">
        <v>1140</v>
      </c>
      <c r="F528" s="1587">
        <v>5.0999999999999996</v>
      </c>
      <c r="G528" s="1593" t="s">
        <v>7643</v>
      </c>
      <c r="H528" s="1594">
        <v>3</v>
      </c>
      <c r="I528" s="1595" t="s">
        <v>7446</v>
      </c>
      <c r="J528" s="1596" t="s">
        <v>7643</v>
      </c>
      <c r="K528" s="1597">
        <v>3</v>
      </c>
      <c r="L528" s="1596" t="s">
        <v>7447</v>
      </c>
      <c r="M528" s="1598"/>
      <c r="N528" s="1599"/>
      <c r="O528" s="1598"/>
      <c r="W528" t="s">
        <v>848</v>
      </c>
    </row>
    <row r="529" spans="2:23" hidden="1">
      <c r="B529" s="1585">
        <f t="shared" si="5"/>
        <v>495</v>
      </c>
      <c r="C529" s="1586" t="s">
        <v>7449</v>
      </c>
      <c r="D529" s="1586" t="s">
        <v>1190</v>
      </c>
      <c r="E529" s="1586" t="s">
        <v>1140</v>
      </c>
      <c r="F529" s="1587">
        <v>5.5</v>
      </c>
      <c r="G529" s="1593" t="s">
        <v>7643</v>
      </c>
      <c r="H529" s="1594">
        <v>3</v>
      </c>
      <c r="I529" s="1595" t="s">
        <v>1190</v>
      </c>
      <c r="J529" s="1596"/>
      <c r="K529" s="1597"/>
      <c r="L529" s="1596"/>
      <c r="M529" s="1598"/>
      <c r="N529" s="1599"/>
      <c r="O529" s="1598"/>
      <c r="W529" t="s">
        <v>1186</v>
      </c>
    </row>
    <row r="530" spans="2:23" hidden="1">
      <c r="B530" s="1585">
        <f t="shared" si="5"/>
        <v>496</v>
      </c>
      <c r="C530" s="1586" t="s">
        <v>7449</v>
      </c>
      <c r="D530" s="1586" t="s">
        <v>415</v>
      </c>
      <c r="E530" s="1586" t="s">
        <v>1193</v>
      </c>
      <c r="F530" s="1587">
        <v>5.5</v>
      </c>
      <c r="G530" s="1593" t="s">
        <v>7643</v>
      </c>
      <c r="H530" s="1594">
        <v>3</v>
      </c>
      <c r="I530" s="1595" t="s">
        <v>415</v>
      </c>
      <c r="J530" s="1596"/>
      <c r="K530" s="1597"/>
      <c r="L530" s="1596"/>
      <c r="M530" s="1598"/>
      <c r="N530" s="1599"/>
      <c r="O530" s="1598"/>
      <c r="W530" t="s">
        <v>849</v>
      </c>
    </row>
    <row r="531" spans="2:23" hidden="1">
      <c r="B531" s="1585">
        <f t="shared" si="5"/>
        <v>497</v>
      </c>
      <c r="C531" s="1586" t="s">
        <v>7449</v>
      </c>
      <c r="D531" s="1586" t="s">
        <v>415</v>
      </c>
      <c r="E531" s="1586" t="s">
        <v>1194</v>
      </c>
      <c r="F531" s="1587">
        <v>5.5</v>
      </c>
      <c r="G531" s="1593" t="s">
        <v>7643</v>
      </c>
      <c r="H531" s="1594">
        <v>3</v>
      </c>
      <c r="I531" s="1595" t="s">
        <v>415</v>
      </c>
      <c r="J531" s="1596"/>
      <c r="K531" s="1597"/>
      <c r="L531" s="1596"/>
      <c r="M531" s="1598"/>
      <c r="N531" s="1599"/>
      <c r="O531" s="1598"/>
      <c r="W531" t="s">
        <v>1187</v>
      </c>
    </row>
    <row r="532" spans="2:23" hidden="1">
      <c r="B532" s="1585">
        <f t="shared" si="5"/>
        <v>498</v>
      </c>
      <c r="C532" s="1586" t="s">
        <v>7449</v>
      </c>
      <c r="D532" s="1586" t="s">
        <v>415</v>
      </c>
      <c r="E532" s="1586" t="s">
        <v>1195</v>
      </c>
      <c r="F532" s="1587">
        <v>5.5</v>
      </c>
      <c r="G532" s="1593" t="s">
        <v>7643</v>
      </c>
      <c r="H532" s="1594">
        <v>3</v>
      </c>
      <c r="I532" s="1595" t="s">
        <v>415</v>
      </c>
      <c r="J532" s="1596"/>
      <c r="K532" s="1597"/>
      <c r="L532" s="1596"/>
      <c r="M532" s="1598"/>
      <c r="N532" s="1599"/>
      <c r="O532" s="1598"/>
      <c r="W532" t="s">
        <v>850</v>
      </c>
    </row>
    <row r="533" spans="2:23" hidden="1">
      <c r="B533" s="1585">
        <f t="shared" si="5"/>
        <v>499</v>
      </c>
      <c r="C533" s="1586" t="s">
        <v>7449</v>
      </c>
      <c r="D533" s="1586" t="s">
        <v>415</v>
      </c>
      <c r="E533" s="1586" t="s">
        <v>1196</v>
      </c>
      <c r="F533" s="1587">
        <v>5.5</v>
      </c>
      <c r="G533" s="1593" t="s">
        <v>7643</v>
      </c>
      <c r="H533" s="1594">
        <v>3</v>
      </c>
      <c r="I533" s="1595" t="s">
        <v>415</v>
      </c>
      <c r="J533" s="1596"/>
      <c r="K533" s="1597"/>
      <c r="L533" s="1596"/>
      <c r="M533" s="1598"/>
      <c r="N533" s="1599"/>
      <c r="O533" s="1598"/>
      <c r="W533" t="s">
        <v>1188</v>
      </c>
    </row>
    <row r="534" spans="2:23" hidden="1">
      <c r="B534" s="1585">
        <f t="shared" si="5"/>
        <v>500</v>
      </c>
      <c r="C534" s="1586" t="s">
        <v>7449</v>
      </c>
      <c r="D534" s="1586" t="s">
        <v>415</v>
      </c>
      <c r="E534" s="1586" t="s">
        <v>1197</v>
      </c>
      <c r="F534" s="1587">
        <v>5.5</v>
      </c>
      <c r="G534" s="1593" t="s">
        <v>7643</v>
      </c>
      <c r="H534" s="1594">
        <v>3</v>
      </c>
      <c r="I534" s="1595" t="s">
        <v>415</v>
      </c>
      <c r="J534" s="1596"/>
      <c r="K534" s="1597"/>
      <c r="L534" s="1596"/>
      <c r="M534" s="1598"/>
      <c r="N534" s="1599"/>
      <c r="O534" s="1598"/>
      <c r="W534" t="s">
        <v>851</v>
      </c>
    </row>
    <row r="535" spans="2:23" hidden="1">
      <c r="B535" s="1585">
        <f t="shared" si="5"/>
        <v>501</v>
      </c>
      <c r="C535" s="1586" t="s">
        <v>7449</v>
      </c>
      <c r="D535" s="1586" t="s">
        <v>415</v>
      </c>
      <c r="E535" s="1586" t="s">
        <v>1198</v>
      </c>
      <c r="F535" s="1587">
        <v>5.5</v>
      </c>
      <c r="G535" s="1593" t="s">
        <v>7643</v>
      </c>
      <c r="H535" s="1594">
        <v>3</v>
      </c>
      <c r="I535" s="1595" t="s">
        <v>415</v>
      </c>
      <c r="J535" s="1596"/>
      <c r="K535" s="1597"/>
      <c r="L535" s="1596"/>
      <c r="M535" s="1598"/>
      <c r="N535" s="1599"/>
      <c r="O535" s="1598"/>
      <c r="W535" t="s">
        <v>1189</v>
      </c>
    </row>
    <row r="536" spans="2:23" hidden="1">
      <c r="B536" s="1585">
        <f t="shared" si="5"/>
        <v>502</v>
      </c>
      <c r="C536" s="1586" t="s">
        <v>7449</v>
      </c>
      <c r="D536" s="1586" t="s">
        <v>415</v>
      </c>
      <c r="E536" s="1586" t="s">
        <v>1199</v>
      </c>
      <c r="F536" s="1587">
        <v>5.5</v>
      </c>
      <c r="G536" s="1593" t="s">
        <v>7643</v>
      </c>
      <c r="H536" s="1594">
        <v>3</v>
      </c>
      <c r="I536" s="1595" t="s">
        <v>415</v>
      </c>
      <c r="J536" s="1596"/>
      <c r="K536" s="1597"/>
      <c r="L536" s="1596"/>
      <c r="M536" s="1598"/>
      <c r="N536" s="1599"/>
      <c r="O536" s="1598"/>
      <c r="W536" t="s">
        <v>852</v>
      </c>
    </row>
    <row r="537" spans="2:23" hidden="1">
      <c r="B537" s="1585">
        <f t="shared" si="5"/>
        <v>503</v>
      </c>
      <c r="C537" s="1586" t="s">
        <v>7449</v>
      </c>
      <c r="D537" s="1586" t="s">
        <v>415</v>
      </c>
      <c r="E537" s="1586" t="s">
        <v>1200</v>
      </c>
      <c r="F537" s="1587">
        <v>5.5</v>
      </c>
      <c r="G537" s="1593" t="s">
        <v>7643</v>
      </c>
      <c r="H537" s="1594">
        <v>3</v>
      </c>
      <c r="I537" s="1595" t="s">
        <v>415</v>
      </c>
      <c r="J537" s="1596"/>
      <c r="K537" s="1597"/>
      <c r="L537" s="1596"/>
      <c r="M537" s="1598"/>
      <c r="N537" s="1599"/>
      <c r="O537" s="1598"/>
      <c r="W537" t="s">
        <v>7448</v>
      </c>
    </row>
    <row r="538" spans="2:23" hidden="1">
      <c r="B538" s="1585">
        <f t="shared" si="5"/>
        <v>504</v>
      </c>
      <c r="C538" s="1586" t="s">
        <v>7449</v>
      </c>
      <c r="D538" s="1586" t="s">
        <v>415</v>
      </c>
      <c r="E538" s="1586" t="s">
        <v>1201</v>
      </c>
      <c r="F538" s="1587">
        <v>5.5</v>
      </c>
      <c r="G538" s="1593" t="s">
        <v>7643</v>
      </c>
      <c r="H538" s="1594">
        <v>3</v>
      </c>
      <c r="I538" s="1595" t="s">
        <v>415</v>
      </c>
      <c r="J538" s="1596"/>
      <c r="K538" s="1597"/>
      <c r="L538" s="1596"/>
      <c r="M538" s="1598"/>
      <c r="N538" s="1599"/>
      <c r="O538" s="1598"/>
      <c r="W538" t="s">
        <v>7450</v>
      </c>
    </row>
    <row r="539" spans="2:23" hidden="1">
      <c r="B539" s="1585">
        <f t="shared" si="5"/>
        <v>505</v>
      </c>
      <c r="C539" s="1586" t="s">
        <v>7449</v>
      </c>
      <c r="D539" s="1586" t="s">
        <v>415</v>
      </c>
      <c r="E539" s="1586" t="s">
        <v>1202</v>
      </c>
      <c r="F539" s="1587">
        <v>5.5</v>
      </c>
      <c r="G539" s="1593" t="s">
        <v>7643</v>
      </c>
      <c r="H539" s="1594">
        <v>3</v>
      </c>
      <c r="I539" s="1595" t="s">
        <v>415</v>
      </c>
      <c r="J539" s="1596"/>
      <c r="K539" s="1597"/>
      <c r="L539" s="1596"/>
      <c r="M539" s="1598"/>
      <c r="N539" s="1599"/>
      <c r="O539" s="1598"/>
      <c r="W539" t="s">
        <v>7451</v>
      </c>
    </row>
    <row r="540" spans="2:23" hidden="1">
      <c r="B540" s="1585">
        <f t="shared" si="5"/>
        <v>506</v>
      </c>
      <c r="C540" s="1586" t="s">
        <v>7449</v>
      </c>
      <c r="D540" s="1586" t="s">
        <v>415</v>
      </c>
      <c r="E540" s="1586" t="s">
        <v>1203</v>
      </c>
      <c r="F540" s="1587">
        <v>5.5</v>
      </c>
      <c r="G540" s="1593" t="s">
        <v>7643</v>
      </c>
      <c r="H540" s="1594">
        <v>3</v>
      </c>
      <c r="I540" s="1595" t="s">
        <v>415</v>
      </c>
      <c r="J540" s="1596"/>
      <c r="K540" s="1597"/>
      <c r="L540" s="1596"/>
      <c r="M540" s="1598"/>
      <c r="N540" s="1599"/>
      <c r="O540" s="1598"/>
      <c r="W540" t="s">
        <v>7452</v>
      </c>
    </row>
    <row r="541" spans="2:23" hidden="1">
      <c r="B541" s="1585">
        <f t="shared" si="5"/>
        <v>507</v>
      </c>
      <c r="C541" s="1586" t="s">
        <v>7449</v>
      </c>
      <c r="D541" s="1586" t="s">
        <v>415</v>
      </c>
      <c r="E541" s="1586" t="s">
        <v>1204</v>
      </c>
      <c r="F541" s="1587">
        <v>5.5</v>
      </c>
      <c r="G541" s="1593" t="s">
        <v>7643</v>
      </c>
      <c r="H541" s="1594">
        <v>3</v>
      </c>
      <c r="I541" s="1595" t="s">
        <v>415</v>
      </c>
      <c r="J541" s="1596"/>
      <c r="K541" s="1597"/>
      <c r="L541" s="1596"/>
      <c r="M541" s="1598"/>
      <c r="N541" s="1599"/>
      <c r="O541" s="1598"/>
      <c r="W541" t="s">
        <v>7453</v>
      </c>
    </row>
    <row r="542" spans="2:23" hidden="1">
      <c r="B542" s="1585">
        <f t="shared" si="5"/>
        <v>508</v>
      </c>
      <c r="C542" s="1586" t="s">
        <v>7449</v>
      </c>
      <c r="D542" s="1586" t="s">
        <v>415</v>
      </c>
      <c r="E542" s="1586" t="s">
        <v>1205</v>
      </c>
      <c r="F542" s="1587">
        <v>5.5</v>
      </c>
      <c r="G542" s="1593" t="s">
        <v>7643</v>
      </c>
      <c r="H542" s="1594">
        <v>3</v>
      </c>
      <c r="I542" s="1595" t="s">
        <v>415</v>
      </c>
      <c r="J542" s="1596"/>
      <c r="K542" s="1597"/>
      <c r="L542" s="1596"/>
      <c r="M542" s="1598"/>
      <c r="N542" s="1599"/>
      <c r="O542" s="1598"/>
      <c r="W542" t="s">
        <v>7454</v>
      </c>
    </row>
    <row r="543" spans="2:23" hidden="1">
      <c r="B543" s="1585">
        <f t="shared" si="5"/>
        <v>509</v>
      </c>
      <c r="C543" s="1586" t="s">
        <v>7449</v>
      </c>
      <c r="D543" s="1586" t="s">
        <v>415</v>
      </c>
      <c r="E543" s="1586" t="s">
        <v>1206</v>
      </c>
      <c r="F543" s="1587">
        <v>5.5</v>
      </c>
      <c r="G543" s="1593" t="s">
        <v>7643</v>
      </c>
      <c r="H543" s="1594">
        <v>3</v>
      </c>
      <c r="I543" s="1595" t="s">
        <v>415</v>
      </c>
      <c r="J543" s="1596"/>
      <c r="K543" s="1597"/>
      <c r="L543" s="1596"/>
      <c r="M543" s="1598"/>
      <c r="N543" s="1599"/>
      <c r="O543" s="1598"/>
      <c r="W543" t="s">
        <v>7455</v>
      </c>
    </row>
    <row r="544" spans="2:23" hidden="1">
      <c r="B544" s="1585">
        <f t="shared" si="5"/>
        <v>510</v>
      </c>
      <c r="C544" s="1586" t="s">
        <v>7449</v>
      </c>
      <c r="D544" s="1586" t="s">
        <v>415</v>
      </c>
      <c r="E544" s="1586" t="s">
        <v>1207</v>
      </c>
      <c r="F544" s="1587">
        <v>5.5</v>
      </c>
      <c r="G544" s="1593" t="s">
        <v>7643</v>
      </c>
      <c r="H544" s="1594">
        <v>3</v>
      </c>
      <c r="I544" s="1595" t="s">
        <v>415</v>
      </c>
      <c r="J544" s="1596"/>
      <c r="K544" s="1597"/>
      <c r="L544" s="1596"/>
      <c r="M544" s="1598"/>
      <c r="N544" s="1599"/>
      <c r="O544" s="1598"/>
      <c r="W544" t="s">
        <v>7456</v>
      </c>
    </row>
    <row r="545" spans="2:23" hidden="1">
      <c r="B545" s="1585">
        <f t="shared" si="5"/>
        <v>511</v>
      </c>
      <c r="C545" s="1586" t="s">
        <v>7449</v>
      </c>
      <c r="D545" s="1586" t="s">
        <v>415</v>
      </c>
      <c r="E545" s="1586" t="s">
        <v>1208</v>
      </c>
      <c r="F545" s="1587">
        <v>5.5</v>
      </c>
      <c r="G545" s="1593" t="s">
        <v>7643</v>
      </c>
      <c r="H545" s="1594">
        <v>3</v>
      </c>
      <c r="I545" s="1595" t="s">
        <v>415</v>
      </c>
      <c r="J545" s="1596"/>
      <c r="K545" s="1597"/>
      <c r="L545" s="1596"/>
      <c r="M545" s="1598"/>
      <c r="N545" s="1599"/>
      <c r="O545" s="1598"/>
      <c r="W545" t="s">
        <v>7457</v>
      </c>
    </row>
    <row r="546" spans="2:23" hidden="1">
      <c r="B546" s="1585">
        <f t="shared" ref="B546:B609" si="6">B545+1</f>
        <v>512</v>
      </c>
      <c r="C546" s="1586" t="s">
        <v>7449</v>
      </c>
      <c r="D546" s="1586" t="s">
        <v>415</v>
      </c>
      <c r="E546" s="1586" t="s">
        <v>1140</v>
      </c>
      <c r="F546" s="1587">
        <v>5.5</v>
      </c>
      <c r="G546" s="1593" t="s">
        <v>7643</v>
      </c>
      <c r="H546" s="1594">
        <v>3</v>
      </c>
      <c r="I546" s="1595" t="s">
        <v>415</v>
      </c>
      <c r="J546" s="1596"/>
      <c r="K546" s="1597"/>
      <c r="L546" s="1596"/>
      <c r="M546" s="1598"/>
      <c r="N546" s="1599"/>
      <c r="O546" s="1598"/>
      <c r="W546" t="s">
        <v>7458</v>
      </c>
    </row>
    <row r="547" spans="2:23" hidden="1">
      <c r="B547" s="1585">
        <f t="shared" si="6"/>
        <v>513</v>
      </c>
      <c r="C547" s="1586" t="s">
        <v>7449</v>
      </c>
      <c r="D547" s="1586" t="s">
        <v>1191</v>
      </c>
      <c r="E547" s="1586" t="s">
        <v>1140</v>
      </c>
      <c r="F547" s="1587">
        <v>6.6</v>
      </c>
      <c r="G547" s="1593" t="s">
        <v>7643</v>
      </c>
      <c r="H547" s="1594">
        <v>3</v>
      </c>
      <c r="I547" s="1595" t="s">
        <v>1191</v>
      </c>
      <c r="J547" s="1596"/>
      <c r="K547" s="1597"/>
      <c r="L547" s="1596"/>
      <c r="M547" s="1598"/>
      <c r="N547" s="1599"/>
      <c r="O547" s="1598"/>
      <c r="W547" t="s">
        <v>7459</v>
      </c>
    </row>
    <row r="548" spans="2:23" hidden="1">
      <c r="B548" s="1585">
        <f t="shared" si="6"/>
        <v>514</v>
      </c>
      <c r="C548" s="1586" t="s">
        <v>7449</v>
      </c>
      <c r="D548" s="1586" t="s">
        <v>1192</v>
      </c>
      <c r="E548" s="1586" t="s">
        <v>1140</v>
      </c>
      <c r="F548" s="1587">
        <v>6.6</v>
      </c>
      <c r="G548" s="1593" t="s">
        <v>7643</v>
      </c>
      <c r="H548" s="1594">
        <v>3</v>
      </c>
      <c r="I548" s="1595" t="s">
        <v>1192</v>
      </c>
      <c r="J548" s="1596"/>
      <c r="K548" s="1597"/>
      <c r="L548" s="1596"/>
      <c r="M548" s="1598"/>
      <c r="N548" s="1599"/>
      <c r="O548" s="1598"/>
      <c r="W548" t="s">
        <v>7460</v>
      </c>
    </row>
    <row r="549" spans="2:23" hidden="1">
      <c r="B549" s="1585">
        <f t="shared" si="6"/>
        <v>515</v>
      </c>
      <c r="C549" s="1586" t="s">
        <v>7470</v>
      </c>
      <c r="D549" s="1586" t="s">
        <v>215</v>
      </c>
      <c r="E549" s="1586" t="s">
        <v>201</v>
      </c>
      <c r="F549" s="1587">
        <v>6.6</v>
      </c>
      <c r="G549" s="1593" t="s">
        <v>7471</v>
      </c>
      <c r="H549" s="1594">
        <v>1</v>
      </c>
      <c r="I549" s="1595" t="s">
        <v>7472</v>
      </c>
      <c r="J549" s="1596" t="s">
        <v>7642</v>
      </c>
      <c r="K549" s="1597">
        <v>4</v>
      </c>
      <c r="L549" s="1596" t="s">
        <v>7473</v>
      </c>
      <c r="M549" s="1598" t="s">
        <v>7474</v>
      </c>
      <c r="N549" s="1599">
        <v>4</v>
      </c>
      <c r="O549" s="1598" t="s">
        <v>7475</v>
      </c>
      <c r="W549" t="s">
        <v>7461</v>
      </c>
    </row>
    <row r="550" spans="2:23" hidden="1">
      <c r="B550" s="1585">
        <f t="shared" si="6"/>
        <v>516</v>
      </c>
      <c r="C550" s="1586" t="s">
        <v>7470</v>
      </c>
      <c r="D550" s="1586" t="s">
        <v>215</v>
      </c>
      <c r="E550" s="1586" t="s">
        <v>200</v>
      </c>
      <c r="F550" s="1587">
        <v>6.6</v>
      </c>
      <c r="G550" s="1593" t="s">
        <v>7471</v>
      </c>
      <c r="H550" s="1594">
        <v>1</v>
      </c>
      <c r="I550" s="1595" t="s">
        <v>7472</v>
      </c>
      <c r="J550" s="1596" t="s">
        <v>7642</v>
      </c>
      <c r="K550" s="1597">
        <v>4</v>
      </c>
      <c r="L550" s="1596" t="s">
        <v>7473</v>
      </c>
      <c r="M550" s="1598" t="s">
        <v>7474</v>
      </c>
      <c r="N550" s="1599">
        <v>4</v>
      </c>
      <c r="O550" s="1598" t="s">
        <v>7475</v>
      </c>
      <c r="W550" t="s">
        <v>7462</v>
      </c>
    </row>
    <row r="551" spans="2:23" hidden="1">
      <c r="B551" s="1585">
        <f t="shared" si="6"/>
        <v>517</v>
      </c>
      <c r="C551" s="1586" t="s">
        <v>7470</v>
      </c>
      <c r="D551" s="1586" t="s">
        <v>215</v>
      </c>
      <c r="E551" s="1586" t="s">
        <v>218</v>
      </c>
      <c r="F551" s="1587">
        <v>6.5</v>
      </c>
      <c r="G551" s="1593" t="s">
        <v>7471</v>
      </c>
      <c r="H551" s="1594">
        <v>1</v>
      </c>
      <c r="I551" s="1595" t="s">
        <v>7472</v>
      </c>
      <c r="J551" s="1596" t="s">
        <v>7642</v>
      </c>
      <c r="K551" s="1597">
        <v>4</v>
      </c>
      <c r="L551" s="1596" t="s">
        <v>7473</v>
      </c>
      <c r="M551" s="1598" t="s">
        <v>7474</v>
      </c>
      <c r="N551" s="1599">
        <v>4</v>
      </c>
      <c r="O551" s="1598" t="s">
        <v>7475</v>
      </c>
      <c r="W551" t="s">
        <v>7463</v>
      </c>
    </row>
    <row r="552" spans="2:23" hidden="1">
      <c r="B552" s="1585">
        <f t="shared" si="6"/>
        <v>518</v>
      </c>
      <c r="C552" s="1586" t="s">
        <v>7470</v>
      </c>
      <c r="D552" s="1586" t="s">
        <v>216</v>
      </c>
      <c r="E552" s="1586" t="s">
        <v>201</v>
      </c>
      <c r="F552" s="1587">
        <v>6.6</v>
      </c>
      <c r="G552" s="1593" t="s">
        <v>7471</v>
      </c>
      <c r="H552" s="1594">
        <v>1</v>
      </c>
      <c r="I552" s="1595" t="s">
        <v>7472</v>
      </c>
      <c r="J552" s="1596" t="s">
        <v>7642</v>
      </c>
      <c r="K552" s="1597">
        <v>4</v>
      </c>
      <c r="L552" s="1596" t="s">
        <v>7473</v>
      </c>
      <c r="M552" s="1598" t="s">
        <v>7474</v>
      </c>
      <c r="N552" s="1599">
        <v>4</v>
      </c>
      <c r="O552" s="1598" t="s">
        <v>7475</v>
      </c>
      <c r="W552" t="s">
        <v>7464</v>
      </c>
    </row>
    <row r="553" spans="2:23" hidden="1">
      <c r="B553" s="1585">
        <f t="shared" si="6"/>
        <v>519</v>
      </c>
      <c r="C553" s="1586" t="s">
        <v>7470</v>
      </c>
      <c r="D553" s="1586" t="s">
        <v>216</v>
      </c>
      <c r="E553" s="1586" t="s">
        <v>200</v>
      </c>
      <c r="F553" s="1587">
        <v>6.6</v>
      </c>
      <c r="G553" s="1593" t="s">
        <v>7471</v>
      </c>
      <c r="H553" s="1594">
        <v>1</v>
      </c>
      <c r="I553" s="1595" t="s">
        <v>7472</v>
      </c>
      <c r="J553" s="1596" t="s">
        <v>7642</v>
      </c>
      <c r="K553" s="1597">
        <v>4</v>
      </c>
      <c r="L553" s="1596" t="s">
        <v>7473</v>
      </c>
      <c r="M553" s="1598" t="s">
        <v>7474</v>
      </c>
      <c r="N553" s="1599">
        <v>4</v>
      </c>
      <c r="O553" s="1598" t="s">
        <v>7475</v>
      </c>
      <c r="W553" t="s">
        <v>7465</v>
      </c>
    </row>
    <row r="554" spans="2:23" hidden="1">
      <c r="B554" s="1585">
        <f t="shared" si="6"/>
        <v>520</v>
      </c>
      <c r="C554" s="1586" t="s">
        <v>7470</v>
      </c>
      <c r="D554" s="1586" t="s">
        <v>216</v>
      </c>
      <c r="E554" s="1586" t="s">
        <v>218</v>
      </c>
      <c r="F554" s="1587">
        <v>6.5</v>
      </c>
      <c r="G554" s="1593" t="s">
        <v>7471</v>
      </c>
      <c r="H554" s="1594">
        <v>1</v>
      </c>
      <c r="I554" s="1595" t="s">
        <v>7472</v>
      </c>
      <c r="J554" s="1596" t="s">
        <v>7642</v>
      </c>
      <c r="K554" s="1597">
        <v>4</v>
      </c>
      <c r="L554" s="1596" t="s">
        <v>7473</v>
      </c>
      <c r="M554" s="1598" t="s">
        <v>7474</v>
      </c>
      <c r="N554" s="1599">
        <v>4</v>
      </c>
      <c r="O554" s="1598" t="s">
        <v>7475</v>
      </c>
      <c r="W554" t="s">
        <v>7466</v>
      </c>
    </row>
    <row r="555" spans="2:23" hidden="1">
      <c r="B555" s="1585">
        <f t="shared" si="6"/>
        <v>521</v>
      </c>
      <c r="C555" s="1586" t="s">
        <v>7470</v>
      </c>
      <c r="D555" s="1586" t="s">
        <v>217</v>
      </c>
      <c r="E555" s="1586" t="s">
        <v>201</v>
      </c>
      <c r="F555" s="1587">
        <v>6.6</v>
      </c>
      <c r="G555" s="1593" t="s">
        <v>7471</v>
      </c>
      <c r="H555" s="1594">
        <v>1</v>
      </c>
      <c r="I555" s="1595" t="s">
        <v>7472</v>
      </c>
      <c r="J555" s="1596" t="s">
        <v>7642</v>
      </c>
      <c r="K555" s="1597">
        <v>4</v>
      </c>
      <c r="L555" s="1596" t="s">
        <v>7473</v>
      </c>
      <c r="M555" s="1598" t="s">
        <v>7474</v>
      </c>
      <c r="N555" s="1599">
        <v>4</v>
      </c>
      <c r="O555" s="1598" t="s">
        <v>7475</v>
      </c>
      <c r="W555" t="s">
        <v>7467</v>
      </c>
    </row>
    <row r="556" spans="2:23" hidden="1">
      <c r="B556" s="1585">
        <f t="shared" si="6"/>
        <v>522</v>
      </c>
      <c r="C556" s="1586" t="s">
        <v>7470</v>
      </c>
      <c r="D556" s="1586" t="s">
        <v>217</v>
      </c>
      <c r="E556" s="1586" t="s">
        <v>200</v>
      </c>
      <c r="F556" s="1587">
        <v>6.6</v>
      </c>
      <c r="G556" s="1593" t="s">
        <v>7471</v>
      </c>
      <c r="H556" s="1594">
        <v>1</v>
      </c>
      <c r="I556" s="1595" t="s">
        <v>7472</v>
      </c>
      <c r="J556" s="1596" t="s">
        <v>7642</v>
      </c>
      <c r="K556" s="1597">
        <v>4</v>
      </c>
      <c r="L556" s="1596" t="s">
        <v>7473</v>
      </c>
      <c r="M556" s="1598" t="s">
        <v>7474</v>
      </c>
      <c r="N556" s="1599">
        <v>4</v>
      </c>
      <c r="O556" s="1598" t="s">
        <v>7475</v>
      </c>
      <c r="W556" t="s">
        <v>7468</v>
      </c>
    </row>
    <row r="557" spans="2:23" hidden="1">
      <c r="B557" s="1585">
        <f t="shared" si="6"/>
        <v>523</v>
      </c>
      <c r="C557" s="1586" t="s">
        <v>7470</v>
      </c>
      <c r="D557" s="1586" t="s">
        <v>217</v>
      </c>
      <c r="E557" s="1586" t="s">
        <v>218</v>
      </c>
      <c r="F557" s="1587">
        <v>6.5</v>
      </c>
      <c r="G557" s="1593" t="s">
        <v>7471</v>
      </c>
      <c r="H557" s="1594">
        <v>1</v>
      </c>
      <c r="I557" s="1595" t="s">
        <v>7472</v>
      </c>
      <c r="J557" s="1596" t="s">
        <v>7642</v>
      </c>
      <c r="K557" s="1597">
        <v>4</v>
      </c>
      <c r="L557" s="1596" t="s">
        <v>7473</v>
      </c>
      <c r="M557" s="1598" t="s">
        <v>7474</v>
      </c>
      <c r="N557" s="1599">
        <v>4</v>
      </c>
      <c r="O557" s="1598" t="s">
        <v>7475</v>
      </c>
      <c r="W557" t="s">
        <v>7469</v>
      </c>
    </row>
    <row r="558" spans="2:23" hidden="1">
      <c r="B558" s="1585">
        <f t="shared" si="6"/>
        <v>524</v>
      </c>
      <c r="C558" s="1586" t="s">
        <v>7470</v>
      </c>
      <c r="D558" s="1586" t="s">
        <v>219</v>
      </c>
      <c r="E558" s="1586" t="s">
        <v>218</v>
      </c>
      <c r="F558" s="1587">
        <v>6.5</v>
      </c>
      <c r="G558" s="1593" t="s">
        <v>7471</v>
      </c>
      <c r="H558" s="1594">
        <v>1</v>
      </c>
      <c r="I558" s="1595" t="s">
        <v>7472</v>
      </c>
      <c r="J558" s="1596" t="s">
        <v>7642</v>
      </c>
      <c r="K558" s="1597">
        <v>4</v>
      </c>
      <c r="L558" s="1596" t="s">
        <v>7473</v>
      </c>
      <c r="M558" s="1598" t="s">
        <v>7474</v>
      </c>
      <c r="N558" s="1599">
        <v>4</v>
      </c>
      <c r="O558" s="1598" t="s">
        <v>7475</v>
      </c>
      <c r="W558" t="s">
        <v>7476</v>
      </c>
    </row>
    <row r="559" spans="2:23" hidden="1">
      <c r="B559" s="1585">
        <f t="shared" si="6"/>
        <v>525</v>
      </c>
      <c r="C559" s="1586" t="s">
        <v>7470</v>
      </c>
      <c r="D559" s="1586" t="s">
        <v>220</v>
      </c>
      <c r="E559" s="1586" t="s">
        <v>201</v>
      </c>
      <c r="F559" s="1587">
        <v>6.6</v>
      </c>
      <c r="G559" s="1593" t="s">
        <v>7471</v>
      </c>
      <c r="H559" s="1594">
        <v>1</v>
      </c>
      <c r="I559" s="1595" t="s">
        <v>7472</v>
      </c>
      <c r="J559" s="1596" t="s">
        <v>7642</v>
      </c>
      <c r="K559" s="1597">
        <v>4</v>
      </c>
      <c r="L559" s="1596" t="s">
        <v>7473</v>
      </c>
      <c r="M559" s="1598" t="s">
        <v>7474</v>
      </c>
      <c r="N559" s="1599">
        <v>4</v>
      </c>
      <c r="O559" s="1598" t="s">
        <v>7475</v>
      </c>
      <c r="W559" t="s">
        <v>7477</v>
      </c>
    </row>
    <row r="560" spans="2:23" hidden="1">
      <c r="B560" s="1585">
        <f t="shared" si="6"/>
        <v>526</v>
      </c>
      <c r="C560" s="1586" t="s">
        <v>7470</v>
      </c>
      <c r="D560" s="1586" t="s">
        <v>220</v>
      </c>
      <c r="E560" s="1586" t="s">
        <v>200</v>
      </c>
      <c r="F560" s="1587">
        <v>6.6</v>
      </c>
      <c r="G560" s="1593" t="s">
        <v>7471</v>
      </c>
      <c r="H560" s="1594">
        <v>1</v>
      </c>
      <c r="I560" s="1595" t="s">
        <v>7472</v>
      </c>
      <c r="J560" s="1596" t="s">
        <v>7642</v>
      </c>
      <c r="K560" s="1597">
        <v>4</v>
      </c>
      <c r="L560" s="1596" t="s">
        <v>7473</v>
      </c>
      <c r="M560" s="1598" t="s">
        <v>7474</v>
      </c>
      <c r="N560" s="1599">
        <v>4</v>
      </c>
      <c r="O560" s="1598" t="s">
        <v>7475</v>
      </c>
      <c r="W560" t="s">
        <v>7478</v>
      </c>
    </row>
    <row r="561" spans="2:23" hidden="1">
      <c r="B561" s="1585">
        <f t="shared" si="6"/>
        <v>527</v>
      </c>
      <c r="C561" s="1586" t="s">
        <v>7470</v>
      </c>
      <c r="D561" s="1586" t="s">
        <v>220</v>
      </c>
      <c r="E561" s="1586" t="s">
        <v>218</v>
      </c>
      <c r="F561" s="1587">
        <v>6.5</v>
      </c>
      <c r="G561" s="1593" t="s">
        <v>7471</v>
      </c>
      <c r="H561" s="1594">
        <v>1</v>
      </c>
      <c r="I561" s="1595" t="s">
        <v>7472</v>
      </c>
      <c r="J561" s="1596" t="s">
        <v>7642</v>
      </c>
      <c r="K561" s="1597">
        <v>4</v>
      </c>
      <c r="L561" s="1596" t="s">
        <v>7473</v>
      </c>
      <c r="M561" s="1598" t="s">
        <v>7474</v>
      </c>
      <c r="N561" s="1599">
        <v>4</v>
      </c>
      <c r="O561" s="1598" t="s">
        <v>7475</v>
      </c>
      <c r="W561" t="s">
        <v>7479</v>
      </c>
    </row>
    <row r="562" spans="2:23" hidden="1">
      <c r="B562" s="1585">
        <f t="shared" si="6"/>
        <v>528</v>
      </c>
      <c r="C562" s="1586" t="s">
        <v>7470</v>
      </c>
      <c r="D562" s="1586" t="s">
        <v>1245</v>
      </c>
      <c r="E562" s="1586" t="s">
        <v>201</v>
      </c>
      <c r="F562" s="1587">
        <v>6.6</v>
      </c>
      <c r="G562" s="1593" t="s">
        <v>7471</v>
      </c>
      <c r="H562" s="1594">
        <v>1</v>
      </c>
      <c r="I562" s="1595" t="s">
        <v>7472</v>
      </c>
      <c r="J562" s="1596" t="s">
        <v>7642</v>
      </c>
      <c r="K562" s="1597">
        <v>4</v>
      </c>
      <c r="L562" s="1596" t="s">
        <v>7473</v>
      </c>
      <c r="M562" s="1598" t="s">
        <v>7474</v>
      </c>
      <c r="N562" s="1599">
        <v>4</v>
      </c>
      <c r="O562" s="1598" t="s">
        <v>7475</v>
      </c>
      <c r="W562" t="s">
        <v>7480</v>
      </c>
    </row>
    <row r="563" spans="2:23" hidden="1">
      <c r="B563" s="1585">
        <f t="shared" si="6"/>
        <v>529</v>
      </c>
      <c r="C563" s="1586" t="s">
        <v>7470</v>
      </c>
      <c r="D563" s="1586" t="s">
        <v>1245</v>
      </c>
      <c r="E563" s="1586" t="s">
        <v>200</v>
      </c>
      <c r="F563" s="1587">
        <v>6.6</v>
      </c>
      <c r="G563" s="1593" t="s">
        <v>7471</v>
      </c>
      <c r="H563" s="1594">
        <v>1</v>
      </c>
      <c r="I563" s="1595" t="s">
        <v>7472</v>
      </c>
      <c r="J563" s="1596" t="s">
        <v>7642</v>
      </c>
      <c r="K563" s="1597">
        <v>4</v>
      </c>
      <c r="L563" s="1596" t="s">
        <v>7473</v>
      </c>
      <c r="M563" s="1598" t="s">
        <v>7474</v>
      </c>
      <c r="N563" s="1599">
        <v>4</v>
      </c>
      <c r="O563" s="1598" t="s">
        <v>7475</v>
      </c>
      <c r="W563" t="s">
        <v>7481</v>
      </c>
    </row>
    <row r="564" spans="2:23" hidden="1">
      <c r="B564" s="1585">
        <f t="shared" si="6"/>
        <v>530</v>
      </c>
      <c r="C564" s="1586" t="s">
        <v>7470</v>
      </c>
      <c r="D564" s="1586" t="s">
        <v>221</v>
      </c>
      <c r="E564" s="1586" t="s">
        <v>218</v>
      </c>
      <c r="F564" s="1587">
        <v>6.5</v>
      </c>
      <c r="G564" s="1593" t="s">
        <v>7471</v>
      </c>
      <c r="H564" s="1594">
        <v>1</v>
      </c>
      <c r="I564" s="1595" t="s">
        <v>7472</v>
      </c>
      <c r="J564" s="1596" t="s">
        <v>7642</v>
      </c>
      <c r="K564" s="1597">
        <v>4</v>
      </c>
      <c r="L564" s="1596" t="s">
        <v>7473</v>
      </c>
      <c r="M564" s="1697"/>
      <c r="N564" s="1698"/>
      <c r="O564" s="1697"/>
      <c r="W564" t="s">
        <v>7482</v>
      </c>
    </row>
    <row r="565" spans="2:23" hidden="1">
      <c r="B565" s="1585">
        <f t="shared" si="6"/>
        <v>531</v>
      </c>
      <c r="C565" s="1586" t="s">
        <v>7470</v>
      </c>
      <c r="D565" s="1586" t="s">
        <v>221</v>
      </c>
      <c r="E565" s="1586" t="s">
        <v>201</v>
      </c>
      <c r="F565" s="1587">
        <v>6.1</v>
      </c>
      <c r="G565" s="1593" t="s">
        <v>7471</v>
      </c>
      <c r="H565" s="1594">
        <v>1</v>
      </c>
      <c r="I565" s="1595" t="s">
        <v>7472</v>
      </c>
      <c r="J565" s="1596" t="s">
        <v>7642</v>
      </c>
      <c r="K565" s="1597">
        <v>4</v>
      </c>
      <c r="L565" s="1596" t="s">
        <v>7473</v>
      </c>
      <c r="M565" s="1697"/>
      <c r="N565" s="1698"/>
      <c r="O565" s="1697"/>
      <c r="W565" t="s">
        <v>7483</v>
      </c>
    </row>
    <row r="566" spans="2:23" hidden="1">
      <c r="B566" s="1585">
        <f t="shared" si="6"/>
        <v>532</v>
      </c>
      <c r="C566" s="1586" t="s">
        <v>7470</v>
      </c>
      <c r="D566" s="1586" t="s">
        <v>221</v>
      </c>
      <c r="E566" s="1586" t="s">
        <v>200</v>
      </c>
      <c r="F566" s="1587">
        <v>6.1</v>
      </c>
      <c r="G566" s="1593" t="s">
        <v>7471</v>
      </c>
      <c r="H566" s="1594">
        <v>1</v>
      </c>
      <c r="I566" s="1595" t="s">
        <v>7472</v>
      </c>
      <c r="J566" s="1596" t="s">
        <v>7642</v>
      </c>
      <c r="K566" s="1597">
        <v>4</v>
      </c>
      <c r="L566" s="1596" t="s">
        <v>7473</v>
      </c>
      <c r="M566" s="1697"/>
      <c r="N566" s="1698"/>
      <c r="O566" s="1697"/>
      <c r="W566" t="s">
        <v>7484</v>
      </c>
    </row>
    <row r="567" spans="2:23" hidden="1">
      <c r="B567" s="1585">
        <f t="shared" si="6"/>
        <v>533</v>
      </c>
      <c r="C567" s="1586" t="s">
        <v>7470</v>
      </c>
      <c r="D567" s="1586" t="s">
        <v>202</v>
      </c>
      <c r="E567" s="1586" t="s">
        <v>201</v>
      </c>
      <c r="F567" s="1587">
        <v>6.6</v>
      </c>
      <c r="G567" s="1593" t="s">
        <v>7471</v>
      </c>
      <c r="H567" s="1594">
        <v>1</v>
      </c>
      <c r="I567" s="1595" t="s">
        <v>7472</v>
      </c>
      <c r="J567" s="1596" t="s">
        <v>7642</v>
      </c>
      <c r="K567" s="1597">
        <v>4</v>
      </c>
      <c r="L567" s="1596" t="s">
        <v>7473</v>
      </c>
      <c r="M567" s="1598" t="s">
        <v>7474</v>
      </c>
      <c r="N567" s="1599">
        <v>4</v>
      </c>
      <c r="O567" s="1598" t="s">
        <v>7475</v>
      </c>
      <c r="W567" t="s">
        <v>7485</v>
      </c>
    </row>
    <row r="568" spans="2:23" hidden="1">
      <c r="B568" s="1585">
        <f t="shared" si="6"/>
        <v>534</v>
      </c>
      <c r="C568" s="1586" t="s">
        <v>7470</v>
      </c>
      <c r="D568" s="1586" t="s">
        <v>202</v>
      </c>
      <c r="E568" s="1586" t="s">
        <v>200</v>
      </c>
      <c r="F568" s="1587">
        <v>6.6</v>
      </c>
      <c r="G568" s="1593" t="s">
        <v>7471</v>
      </c>
      <c r="H568" s="1594">
        <v>1</v>
      </c>
      <c r="I568" s="1595" t="s">
        <v>7472</v>
      </c>
      <c r="J568" s="1596" t="s">
        <v>7642</v>
      </c>
      <c r="K568" s="1597">
        <v>4</v>
      </c>
      <c r="L568" s="1596" t="s">
        <v>7473</v>
      </c>
      <c r="M568" s="1598" t="s">
        <v>7474</v>
      </c>
      <c r="N568" s="1599">
        <v>4</v>
      </c>
      <c r="O568" s="1598" t="s">
        <v>7475</v>
      </c>
      <c r="W568" t="s">
        <v>7486</v>
      </c>
    </row>
    <row r="569" spans="2:23" hidden="1">
      <c r="B569" s="1585">
        <f t="shared" si="6"/>
        <v>535</v>
      </c>
      <c r="C569" s="1586" t="s">
        <v>7470</v>
      </c>
      <c r="D569" s="1586" t="s">
        <v>202</v>
      </c>
      <c r="E569" s="1586" t="s">
        <v>218</v>
      </c>
      <c r="F569" s="1587">
        <v>6.5</v>
      </c>
      <c r="G569" s="1593" t="s">
        <v>7471</v>
      </c>
      <c r="H569" s="1594">
        <v>1</v>
      </c>
      <c r="I569" s="1595" t="s">
        <v>7472</v>
      </c>
      <c r="J569" s="1596" t="s">
        <v>7642</v>
      </c>
      <c r="K569" s="1597">
        <v>4</v>
      </c>
      <c r="L569" s="1596" t="s">
        <v>7473</v>
      </c>
      <c r="M569" s="1598" t="s">
        <v>7474</v>
      </c>
      <c r="N569" s="1599">
        <v>4</v>
      </c>
      <c r="O569" s="1598" t="s">
        <v>7475</v>
      </c>
      <c r="W569" t="s">
        <v>7487</v>
      </c>
    </row>
    <row r="570" spans="2:23" hidden="1">
      <c r="B570" s="1585">
        <f t="shared" si="6"/>
        <v>536</v>
      </c>
      <c r="C570" s="1586" t="s">
        <v>7470</v>
      </c>
      <c r="D570" s="1586" t="s">
        <v>222</v>
      </c>
      <c r="E570" s="1586" t="s">
        <v>218</v>
      </c>
      <c r="F570" s="1587">
        <v>6.5</v>
      </c>
      <c r="G570" s="1593" t="s">
        <v>7471</v>
      </c>
      <c r="H570" s="1594">
        <v>1</v>
      </c>
      <c r="I570" s="1595" t="s">
        <v>7472</v>
      </c>
      <c r="J570" s="1596" t="s">
        <v>7642</v>
      </c>
      <c r="K570" s="1597">
        <v>4</v>
      </c>
      <c r="L570" s="1596" t="s">
        <v>7473</v>
      </c>
      <c r="M570" s="1598" t="s">
        <v>7474</v>
      </c>
      <c r="N570" s="1599">
        <v>4</v>
      </c>
      <c r="O570" s="1598" t="s">
        <v>7475</v>
      </c>
      <c r="W570" t="s">
        <v>7488</v>
      </c>
    </row>
    <row r="571" spans="2:23" hidden="1">
      <c r="B571" s="1585">
        <f t="shared" si="6"/>
        <v>537</v>
      </c>
      <c r="C571" s="1586" t="s">
        <v>7470</v>
      </c>
      <c r="D571" s="1586" t="s">
        <v>1230</v>
      </c>
      <c r="E571" s="1586" t="s">
        <v>201</v>
      </c>
      <c r="F571" s="1587">
        <v>6.6</v>
      </c>
      <c r="G571" s="1593" t="s">
        <v>7471</v>
      </c>
      <c r="H571" s="1594">
        <v>1</v>
      </c>
      <c r="I571" s="1595" t="s">
        <v>7472</v>
      </c>
      <c r="J571" s="1596" t="s">
        <v>7642</v>
      </c>
      <c r="K571" s="1597">
        <v>4</v>
      </c>
      <c r="L571" s="1596" t="s">
        <v>7473</v>
      </c>
      <c r="M571" s="1598" t="s">
        <v>7474</v>
      </c>
      <c r="N571" s="1599">
        <v>4</v>
      </c>
      <c r="O571" s="1598" t="s">
        <v>7475</v>
      </c>
      <c r="W571" t="s">
        <v>7489</v>
      </c>
    </row>
    <row r="572" spans="2:23" hidden="1">
      <c r="B572" s="1585">
        <f t="shared" si="6"/>
        <v>538</v>
      </c>
      <c r="C572" s="1586" t="s">
        <v>7470</v>
      </c>
      <c r="D572" s="1586" t="s">
        <v>1230</v>
      </c>
      <c r="E572" s="1586" t="s">
        <v>200</v>
      </c>
      <c r="F572" s="1587">
        <v>6.6</v>
      </c>
      <c r="G572" s="1593" t="s">
        <v>7471</v>
      </c>
      <c r="H572" s="1594">
        <v>1</v>
      </c>
      <c r="I572" s="1595" t="s">
        <v>7472</v>
      </c>
      <c r="J572" s="1596" t="s">
        <v>7642</v>
      </c>
      <c r="K572" s="1597">
        <v>4</v>
      </c>
      <c r="L572" s="1596" t="s">
        <v>7473</v>
      </c>
      <c r="M572" s="1598" t="s">
        <v>7474</v>
      </c>
      <c r="N572" s="1599">
        <v>4</v>
      </c>
      <c r="O572" s="1598" t="s">
        <v>7475</v>
      </c>
      <c r="W572" t="s">
        <v>7490</v>
      </c>
    </row>
    <row r="573" spans="2:23" hidden="1">
      <c r="B573" s="1585">
        <f t="shared" si="6"/>
        <v>539</v>
      </c>
      <c r="C573" s="1586" t="s">
        <v>7470</v>
      </c>
      <c r="D573" s="1586" t="s">
        <v>1230</v>
      </c>
      <c r="E573" s="1586" t="s">
        <v>201</v>
      </c>
      <c r="F573" s="1587">
        <v>6.6</v>
      </c>
      <c r="G573" s="1593" t="s">
        <v>7471</v>
      </c>
      <c r="H573" s="1594">
        <v>1</v>
      </c>
      <c r="I573" s="1595" t="s">
        <v>7472</v>
      </c>
      <c r="J573" s="1596" t="s">
        <v>7642</v>
      </c>
      <c r="K573" s="1597">
        <v>4</v>
      </c>
      <c r="L573" s="1596" t="s">
        <v>7473</v>
      </c>
      <c r="M573" s="1598" t="s">
        <v>7474</v>
      </c>
      <c r="N573" s="1599">
        <v>4</v>
      </c>
      <c r="O573" s="1598" t="s">
        <v>7475</v>
      </c>
      <c r="W573" t="s">
        <v>7491</v>
      </c>
    </row>
    <row r="574" spans="2:23" hidden="1">
      <c r="B574" s="1585">
        <f t="shared" si="6"/>
        <v>540</v>
      </c>
      <c r="C574" s="1586" t="s">
        <v>7470</v>
      </c>
      <c r="D574" s="1586" t="s">
        <v>1230</v>
      </c>
      <c r="E574" s="1586" t="s">
        <v>200</v>
      </c>
      <c r="F574" s="1587">
        <v>6.6</v>
      </c>
      <c r="G574" s="1593" t="s">
        <v>7471</v>
      </c>
      <c r="H574" s="1594">
        <v>1</v>
      </c>
      <c r="I574" s="1595" t="s">
        <v>7472</v>
      </c>
      <c r="J574" s="1596" t="s">
        <v>7642</v>
      </c>
      <c r="K574" s="1597">
        <v>4</v>
      </c>
      <c r="L574" s="1596" t="s">
        <v>7473</v>
      </c>
      <c r="M574" s="1598" t="s">
        <v>7474</v>
      </c>
      <c r="N574" s="1599">
        <v>4</v>
      </c>
      <c r="O574" s="1598" t="s">
        <v>7475</v>
      </c>
      <c r="W574" t="s">
        <v>7492</v>
      </c>
    </row>
    <row r="575" spans="2:23" hidden="1">
      <c r="B575" s="1585">
        <f t="shared" si="6"/>
        <v>541</v>
      </c>
      <c r="C575" s="1586" t="s">
        <v>7470</v>
      </c>
      <c r="D575" s="1586" t="s">
        <v>223</v>
      </c>
      <c r="E575" s="1586" t="s">
        <v>201</v>
      </c>
      <c r="F575" s="1587">
        <v>6.6</v>
      </c>
      <c r="G575" s="1593" t="s">
        <v>7471</v>
      </c>
      <c r="H575" s="1594">
        <v>1</v>
      </c>
      <c r="I575" s="1595" t="s">
        <v>7472</v>
      </c>
      <c r="J575" s="1596" t="s">
        <v>7642</v>
      </c>
      <c r="K575" s="1597">
        <v>4</v>
      </c>
      <c r="L575" s="1596" t="s">
        <v>7473</v>
      </c>
      <c r="M575" s="1598" t="s">
        <v>7474</v>
      </c>
      <c r="N575" s="1599">
        <v>4</v>
      </c>
      <c r="O575" s="1598" t="s">
        <v>7475</v>
      </c>
      <c r="W575" t="s">
        <v>7493</v>
      </c>
    </row>
    <row r="576" spans="2:23" hidden="1">
      <c r="B576" s="1585">
        <f t="shared" si="6"/>
        <v>542</v>
      </c>
      <c r="C576" s="1586" t="s">
        <v>7470</v>
      </c>
      <c r="D576" s="1586" t="s">
        <v>223</v>
      </c>
      <c r="E576" s="1586" t="s">
        <v>200</v>
      </c>
      <c r="F576" s="1587">
        <v>6.6</v>
      </c>
      <c r="G576" s="1593" t="s">
        <v>7471</v>
      </c>
      <c r="H576" s="1594">
        <v>1</v>
      </c>
      <c r="I576" s="1595" t="s">
        <v>7472</v>
      </c>
      <c r="J576" s="1596" t="s">
        <v>7642</v>
      </c>
      <c r="K576" s="1597">
        <v>4</v>
      </c>
      <c r="L576" s="1596" t="s">
        <v>7473</v>
      </c>
      <c r="M576" s="1598" t="s">
        <v>7474</v>
      </c>
      <c r="N576" s="1599">
        <v>4</v>
      </c>
      <c r="O576" s="1598" t="s">
        <v>7475</v>
      </c>
      <c r="W576" t="s">
        <v>7494</v>
      </c>
    </row>
    <row r="577" spans="2:23" hidden="1">
      <c r="B577" s="1585">
        <f t="shared" si="6"/>
        <v>543</v>
      </c>
      <c r="C577" s="1586" t="s">
        <v>7470</v>
      </c>
      <c r="D577" s="1586" t="s">
        <v>223</v>
      </c>
      <c r="E577" s="1586" t="s">
        <v>218</v>
      </c>
      <c r="F577" s="1587">
        <v>6.5</v>
      </c>
      <c r="G577" s="1593" t="s">
        <v>7471</v>
      </c>
      <c r="H577" s="1594">
        <v>1</v>
      </c>
      <c r="I577" s="1595" t="s">
        <v>7472</v>
      </c>
      <c r="J577" s="1596" t="s">
        <v>7642</v>
      </c>
      <c r="K577" s="1597">
        <v>4</v>
      </c>
      <c r="L577" s="1596" t="s">
        <v>7473</v>
      </c>
      <c r="M577" s="1598" t="s">
        <v>7474</v>
      </c>
      <c r="N577" s="1599">
        <v>4</v>
      </c>
      <c r="O577" s="1598" t="s">
        <v>7475</v>
      </c>
      <c r="W577" t="s">
        <v>7495</v>
      </c>
    </row>
    <row r="578" spans="2:23" hidden="1">
      <c r="B578" s="1585">
        <f t="shared" si="6"/>
        <v>544</v>
      </c>
      <c r="C578" s="1586" t="s">
        <v>7470</v>
      </c>
      <c r="D578" s="1586" t="s">
        <v>224</v>
      </c>
      <c r="E578" s="1586" t="s">
        <v>201</v>
      </c>
      <c r="F578" s="1587">
        <v>6.6</v>
      </c>
      <c r="G578" s="1593" t="s">
        <v>7471</v>
      </c>
      <c r="H578" s="1594">
        <v>1</v>
      </c>
      <c r="I578" s="1595" t="s">
        <v>7472</v>
      </c>
      <c r="J578" s="1596" t="s">
        <v>7642</v>
      </c>
      <c r="K578" s="1597">
        <v>4</v>
      </c>
      <c r="L578" s="1596" t="s">
        <v>7473</v>
      </c>
      <c r="M578" s="1598" t="s">
        <v>7474</v>
      </c>
      <c r="N578" s="1599">
        <v>4</v>
      </c>
      <c r="O578" s="1598" t="s">
        <v>7475</v>
      </c>
      <c r="W578" t="s">
        <v>7496</v>
      </c>
    </row>
    <row r="579" spans="2:23" hidden="1">
      <c r="B579" s="1585">
        <f t="shared" si="6"/>
        <v>545</v>
      </c>
      <c r="C579" s="1586" t="s">
        <v>7470</v>
      </c>
      <c r="D579" s="1586" t="s">
        <v>224</v>
      </c>
      <c r="E579" s="1586" t="s">
        <v>200</v>
      </c>
      <c r="F579" s="1587">
        <v>6.6</v>
      </c>
      <c r="G579" s="1593" t="s">
        <v>7471</v>
      </c>
      <c r="H579" s="1594">
        <v>1</v>
      </c>
      <c r="I579" s="1595" t="s">
        <v>7472</v>
      </c>
      <c r="J579" s="1596" t="s">
        <v>7642</v>
      </c>
      <c r="K579" s="1597">
        <v>4</v>
      </c>
      <c r="L579" s="1596" t="s">
        <v>7473</v>
      </c>
      <c r="M579" s="1598" t="s">
        <v>7474</v>
      </c>
      <c r="N579" s="1599">
        <v>4</v>
      </c>
      <c r="O579" s="1598" t="s">
        <v>7475</v>
      </c>
      <c r="W579" t="s">
        <v>7497</v>
      </c>
    </row>
    <row r="580" spans="2:23" hidden="1">
      <c r="B580" s="1585">
        <f t="shared" si="6"/>
        <v>546</v>
      </c>
      <c r="C580" s="1586" t="s">
        <v>7470</v>
      </c>
      <c r="D580" s="1586" t="s">
        <v>224</v>
      </c>
      <c r="E580" s="1586" t="s">
        <v>218</v>
      </c>
      <c r="F580" s="1587">
        <v>6.5</v>
      </c>
      <c r="G580" s="1593" t="s">
        <v>7471</v>
      </c>
      <c r="H580" s="1594">
        <v>1</v>
      </c>
      <c r="I580" s="1595" t="s">
        <v>7472</v>
      </c>
      <c r="J580" s="1596" t="s">
        <v>7642</v>
      </c>
      <c r="K580" s="1597">
        <v>4</v>
      </c>
      <c r="L580" s="1596" t="s">
        <v>7473</v>
      </c>
      <c r="M580" s="1598" t="s">
        <v>7474</v>
      </c>
      <c r="N580" s="1599">
        <v>4</v>
      </c>
      <c r="O580" s="1598" t="s">
        <v>7475</v>
      </c>
      <c r="W580" t="s">
        <v>7498</v>
      </c>
    </row>
    <row r="581" spans="2:23" hidden="1">
      <c r="B581" s="1585">
        <f t="shared" si="6"/>
        <v>547</v>
      </c>
      <c r="C581" s="1586" t="s">
        <v>7470</v>
      </c>
      <c r="D581" s="1586" t="s">
        <v>225</v>
      </c>
      <c r="E581" s="1586" t="s">
        <v>201</v>
      </c>
      <c r="F581" s="1587">
        <v>6.6</v>
      </c>
      <c r="G581" s="1593" t="s">
        <v>7471</v>
      </c>
      <c r="H581" s="1594">
        <v>1</v>
      </c>
      <c r="I581" s="1595" t="s">
        <v>7472</v>
      </c>
      <c r="J581" s="1596" t="s">
        <v>7642</v>
      </c>
      <c r="K581" s="1597">
        <v>4</v>
      </c>
      <c r="L581" s="1596" t="s">
        <v>7473</v>
      </c>
      <c r="M581" s="1598" t="s">
        <v>7474</v>
      </c>
      <c r="N581" s="1599">
        <v>4</v>
      </c>
      <c r="O581" s="1598" t="s">
        <v>7475</v>
      </c>
      <c r="W581" t="s">
        <v>7499</v>
      </c>
    </row>
    <row r="582" spans="2:23" hidden="1">
      <c r="B582" s="1585">
        <f t="shared" si="6"/>
        <v>548</v>
      </c>
      <c r="C582" s="1586" t="s">
        <v>7470</v>
      </c>
      <c r="D582" s="1586" t="s">
        <v>225</v>
      </c>
      <c r="E582" s="1586" t="s">
        <v>200</v>
      </c>
      <c r="F582" s="1587">
        <v>6.6</v>
      </c>
      <c r="G582" s="1593" t="s">
        <v>7471</v>
      </c>
      <c r="H582" s="1594">
        <v>1</v>
      </c>
      <c r="I582" s="1595" t="s">
        <v>7472</v>
      </c>
      <c r="J582" s="1596" t="s">
        <v>7642</v>
      </c>
      <c r="K582" s="1597">
        <v>4</v>
      </c>
      <c r="L582" s="1596" t="s">
        <v>7473</v>
      </c>
      <c r="M582" s="1598" t="s">
        <v>7474</v>
      </c>
      <c r="N582" s="1599">
        <v>4</v>
      </c>
      <c r="O582" s="1598" t="s">
        <v>7475</v>
      </c>
      <c r="W582" t="s">
        <v>7498</v>
      </c>
    </row>
    <row r="583" spans="2:23" hidden="1">
      <c r="B583" s="1585">
        <f t="shared" si="6"/>
        <v>549</v>
      </c>
      <c r="C583" s="1586" t="s">
        <v>7470</v>
      </c>
      <c r="D583" s="1586" t="s">
        <v>225</v>
      </c>
      <c r="E583" s="1586" t="s">
        <v>218</v>
      </c>
      <c r="F583" s="1587">
        <v>6.5</v>
      </c>
      <c r="G583" s="1593" t="s">
        <v>7471</v>
      </c>
      <c r="H583" s="1594">
        <v>1</v>
      </c>
      <c r="I583" s="1595" t="s">
        <v>7472</v>
      </c>
      <c r="J583" s="1596" t="s">
        <v>7642</v>
      </c>
      <c r="K583" s="1597">
        <v>4</v>
      </c>
      <c r="L583" s="1596" t="s">
        <v>7473</v>
      </c>
      <c r="M583" s="1598" t="s">
        <v>7474</v>
      </c>
      <c r="N583" s="1599">
        <v>4</v>
      </c>
      <c r="O583" s="1598" t="s">
        <v>7475</v>
      </c>
      <c r="W583" t="s">
        <v>7499</v>
      </c>
    </row>
    <row r="584" spans="2:23" hidden="1">
      <c r="B584" s="1585">
        <f t="shared" si="6"/>
        <v>550</v>
      </c>
      <c r="C584" s="1586" t="s">
        <v>7470</v>
      </c>
      <c r="D584" s="1586" t="s">
        <v>199</v>
      </c>
      <c r="E584" s="1586" t="s">
        <v>218</v>
      </c>
      <c r="F584" s="1587">
        <v>6.5</v>
      </c>
      <c r="G584" s="1593" t="s">
        <v>7471</v>
      </c>
      <c r="H584" s="1594">
        <v>1</v>
      </c>
      <c r="I584" s="1595" t="s">
        <v>7472</v>
      </c>
      <c r="J584" s="1596" t="s">
        <v>7642</v>
      </c>
      <c r="K584" s="1597">
        <v>4</v>
      </c>
      <c r="L584" s="1596" t="s">
        <v>7473</v>
      </c>
      <c r="M584" s="1697"/>
      <c r="N584" s="1698"/>
      <c r="O584" s="1697"/>
      <c r="W584" t="s">
        <v>7500</v>
      </c>
    </row>
    <row r="585" spans="2:23" hidden="1">
      <c r="B585" s="1585">
        <f t="shared" si="6"/>
        <v>551</v>
      </c>
      <c r="C585" s="1586" t="s">
        <v>7470</v>
      </c>
      <c r="D585" s="1586" t="s">
        <v>199</v>
      </c>
      <c r="E585" s="1586" t="s">
        <v>201</v>
      </c>
      <c r="F585" s="1587">
        <v>6.2</v>
      </c>
      <c r="G585" s="1593" t="s">
        <v>7471</v>
      </c>
      <c r="H585" s="1594">
        <v>1</v>
      </c>
      <c r="I585" s="1595" t="s">
        <v>7472</v>
      </c>
      <c r="J585" s="1596" t="s">
        <v>7642</v>
      </c>
      <c r="K585" s="1597">
        <v>4</v>
      </c>
      <c r="L585" s="1596" t="s">
        <v>7473</v>
      </c>
      <c r="M585" s="1697"/>
      <c r="N585" s="1698"/>
      <c r="O585" s="1697"/>
      <c r="W585" t="s">
        <v>7501</v>
      </c>
    </row>
    <row r="586" spans="2:23" hidden="1">
      <c r="B586" s="1585">
        <f t="shared" si="6"/>
        <v>552</v>
      </c>
      <c r="C586" s="1586" t="s">
        <v>7470</v>
      </c>
      <c r="D586" s="1586" t="s">
        <v>199</v>
      </c>
      <c r="E586" s="1586" t="s">
        <v>200</v>
      </c>
      <c r="F586" s="1587">
        <v>6.2</v>
      </c>
      <c r="G586" s="1593" t="s">
        <v>7471</v>
      </c>
      <c r="H586" s="1594">
        <v>1</v>
      </c>
      <c r="I586" s="1595" t="s">
        <v>7472</v>
      </c>
      <c r="J586" s="1596" t="s">
        <v>7642</v>
      </c>
      <c r="K586" s="1597">
        <v>4</v>
      </c>
      <c r="L586" s="1596" t="s">
        <v>7473</v>
      </c>
      <c r="M586" s="1697"/>
      <c r="N586" s="1698"/>
      <c r="O586" s="1697"/>
      <c r="W586" t="s">
        <v>7502</v>
      </c>
    </row>
    <row r="587" spans="2:23" hidden="1">
      <c r="B587" s="1585">
        <f t="shared" si="6"/>
        <v>553</v>
      </c>
      <c r="C587" s="1586" t="s">
        <v>7470</v>
      </c>
      <c r="D587" s="1586" t="s">
        <v>1210</v>
      </c>
      <c r="E587" s="1586" t="s">
        <v>1140</v>
      </c>
      <c r="F587" s="1587">
        <v>6.6</v>
      </c>
      <c r="G587" s="1593" t="s">
        <v>7471</v>
      </c>
      <c r="H587" s="1594">
        <v>1</v>
      </c>
      <c r="I587" s="1595" t="s">
        <v>7472</v>
      </c>
      <c r="J587" s="1596" t="s">
        <v>7642</v>
      </c>
      <c r="K587" s="1597">
        <v>4</v>
      </c>
      <c r="L587" s="1596" t="s">
        <v>7473</v>
      </c>
      <c r="M587" s="1598" t="s">
        <v>7474</v>
      </c>
      <c r="N587" s="1599">
        <v>4</v>
      </c>
      <c r="O587" s="1598" t="s">
        <v>7475</v>
      </c>
      <c r="W587" t="s">
        <v>7503</v>
      </c>
    </row>
    <row r="588" spans="2:23" hidden="1">
      <c r="B588" s="1585">
        <f t="shared" si="6"/>
        <v>554</v>
      </c>
      <c r="C588" s="1586" t="s">
        <v>7470</v>
      </c>
      <c r="D588" s="1586" t="s">
        <v>1211</v>
      </c>
      <c r="E588" s="1586" t="s">
        <v>1140</v>
      </c>
      <c r="F588" s="1587">
        <v>6.6</v>
      </c>
      <c r="G588" s="1593" t="s">
        <v>7471</v>
      </c>
      <c r="H588" s="1594">
        <v>1</v>
      </c>
      <c r="I588" s="1595" t="s">
        <v>7472</v>
      </c>
      <c r="J588" s="1596" t="s">
        <v>7642</v>
      </c>
      <c r="K588" s="1597">
        <v>4</v>
      </c>
      <c r="L588" s="1596" t="s">
        <v>7473</v>
      </c>
      <c r="M588" s="1598" t="s">
        <v>7474</v>
      </c>
      <c r="N588" s="1599">
        <v>4</v>
      </c>
      <c r="O588" s="1598" t="s">
        <v>7475</v>
      </c>
      <c r="W588" t="s">
        <v>7504</v>
      </c>
    </row>
    <row r="589" spans="2:23" hidden="1">
      <c r="B589" s="1585">
        <f t="shared" si="6"/>
        <v>555</v>
      </c>
      <c r="C589" s="1586" t="s">
        <v>7470</v>
      </c>
      <c r="D589" s="1586" t="s">
        <v>324</v>
      </c>
      <c r="E589" s="1586" t="s">
        <v>1140</v>
      </c>
      <c r="F589" s="1587">
        <v>6.5</v>
      </c>
      <c r="G589" s="1593" t="s">
        <v>7471</v>
      </c>
      <c r="H589" s="1594">
        <v>1</v>
      </c>
      <c r="I589" s="1595" t="s">
        <v>7472</v>
      </c>
      <c r="J589" s="1596" t="s">
        <v>7642</v>
      </c>
      <c r="K589" s="1597">
        <v>4</v>
      </c>
      <c r="L589" s="1596" t="s">
        <v>7473</v>
      </c>
      <c r="M589" s="1697"/>
      <c r="N589" s="1698"/>
      <c r="O589" s="1697"/>
      <c r="W589" t="s">
        <v>7505</v>
      </c>
    </row>
    <row r="590" spans="2:23" hidden="1">
      <c r="B590" s="1585">
        <f t="shared" si="6"/>
        <v>556</v>
      </c>
      <c r="C590" s="1586" t="s">
        <v>7470</v>
      </c>
      <c r="D590" s="1586" t="s">
        <v>1226</v>
      </c>
      <c r="E590" s="1586" t="s">
        <v>1140</v>
      </c>
      <c r="F590" s="1587">
        <v>6.6</v>
      </c>
      <c r="G590" s="1593" t="s">
        <v>7471</v>
      </c>
      <c r="H590" s="1594">
        <v>1</v>
      </c>
      <c r="I590" s="1595" t="s">
        <v>7472</v>
      </c>
      <c r="J590" s="1596" t="s">
        <v>7642</v>
      </c>
      <c r="K590" s="1597">
        <v>4</v>
      </c>
      <c r="L590" s="1596" t="s">
        <v>7473</v>
      </c>
      <c r="M590" s="1598" t="s">
        <v>7474</v>
      </c>
      <c r="N590" s="1599">
        <v>4</v>
      </c>
      <c r="O590" s="1598" t="s">
        <v>7475</v>
      </c>
      <c r="W590" t="s">
        <v>7506</v>
      </c>
    </row>
    <row r="591" spans="2:23" hidden="1">
      <c r="B591" s="1585">
        <f t="shared" si="6"/>
        <v>557</v>
      </c>
      <c r="C591" s="1586" t="s">
        <v>7470</v>
      </c>
      <c r="D591" s="1586" t="s">
        <v>328</v>
      </c>
      <c r="E591" s="1586" t="s">
        <v>1140</v>
      </c>
      <c r="F591" s="1587">
        <v>6.6</v>
      </c>
      <c r="G591" s="1593" t="s">
        <v>7471</v>
      </c>
      <c r="H591" s="1594">
        <v>1</v>
      </c>
      <c r="I591" s="1595" t="s">
        <v>7472</v>
      </c>
      <c r="J591" s="1596" t="s">
        <v>7642</v>
      </c>
      <c r="K591" s="1597">
        <v>4</v>
      </c>
      <c r="L591" s="1596" t="s">
        <v>7473</v>
      </c>
      <c r="M591" s="1598" t="s">
        <v>7474</v>
      </c>
      <c r="N591" s="1599">
        <v>4</v>
      </c>
      <c r="O591" s="1598" t="s">
        <v>7475</v>
      </c>
      <c r="W591" t="s">
        <v>7507</v>
      </c>
    </row>
    <row r="592" spans="2:23" hidden="1">
      <c r="B592" s="1585">
        <f t="shared" si="6"/>
        <v>558</v>
      </c>
      <c r="C592" s="1600" t="s">
        <v>7470</v>
      </c>
      <c r="D592" s="1600" t="s">
        <v>327</v>
      </c>
      <c r="E592" s="1600" t="s">
        <v>1140</v>
      </c>
      <c r="F592" s="1601">
        <v>6.6</v>
      </c>
      <c r="G592" s="1593" t="s">
        <v>7471</v>
      </c>
      <c r="H592" s="1594">
        <v>1</v>
      </c>
      <c r="I592" s="1595" t="s">
        <v>7472</v>
      </c>
      <c r="J592" s="1596" t="s">
        <v>7642</v>
      </c>
      <c r="K592" s="1597">
        <v>4</v>
      </c>
      <c r="L592" s="1596" t="s">
        <v>7473</v>
      </c>
      <c r="M592" s="1598" t="s">
        <v>7474</v>
      </c>
      <c r="N592" s="1599">
        <v>4</v>
      </c>
      <c r="O592" s="1598" t="s">
        <v>7475</v>
      </c>
      <c r="W592" t="s">
        <v>7508</v>
      </c>
    </row>
    <row r="593" spans="2:23" hidden="1">
      <c r="B593" s="1585">
        <f t="shared" si="6"/>
        <v>559</v>
      </c>
      <c r="C593" s="1699" t="s">
        <v>537</v>
      </c>
      <c r="D593" s="1699" t="s">
        <v>1868</v>
      </c>
      <c r="E593" s="1700" t="s">
        <v>1140</v>
      </c>
      <c r="F593" s="1701">
        <v>5.7</v>
      </c>
      <c r="G593" s="1593" t="s">
        <v>7317</v>
      </c>
      <c r="H593" s="1594">
        <v>4</v>
      </c>
      <c r="I593" s="1595" t="s">
        <v>1865</v>
      </c>
      <c r="J593" s="1596"/>
      <c r="K593" s="1597"/>
      <c r="L593" s="1596"/>
      <c r="M593" s="1598"/>
      <c r="N593" s="1599"/>
      <c r="O593" s="1598"/>
      <c r="W593" t="s">
        <v>7509</v>
      </c>
    </row>
    <row r="594" spans="2:23" hidden="1">
      <c r="B594" s="1585">
        <f t="shared" si="6"/>
        <v>560</v>
      </c>
      <c r="C594" s="1700" t="s">
        <v>537</v>
      </c>
      <c r="D594" s="1700" t="s">
        <v>944</v>
      </c>
      <c r="E594" s="1700" t="s">
        <v>1140</v>
      </c>
      <c r="F594" s="1702">
        <v>5.7</v>
      </c>
      <c r="G594" s="1593" t="s">
        <v>7642</v>
      </c>
      <c r="H594" s="1594">
        <v>4</v>
      </c>
      <c r="I594" s="1595" t="s">
        <v>1756</v>
      </c>
      <c r="J594" s="1596"/>
      <c r="K594" s="1597"/>
      <c r="L594" s="1596"/>
      <c r="M594" s="1598"/>
      <c r="N594" s="1599"/>
      <c r="O594" s="1598"/>
      <c r="W594" t="s">
        <v>7510</v>
      </c>
    </row>
    <row r="595" spans="2:23" hidden="1">
      <c r="B595" s="1585">
        <f t="shared" si="6"/>
        <v>561</v>
      </c>
      <c r="C595" s="1699" t="s">
        <v>2354</v>
      </c>
      <c r="D595" s="1699" t="s">
        <v>1243</v>
      </c>
      <c r="E595" s="1699" t="s">
        <v>7588</v>
      </c>
      <c r="F595" s="1701">
        <v>5.6</v>
      </c>
      <c r="G595" s="1593" t="s">
        <v>7317</v>
      </c>
      <c r="H595" s="1594">
        <v>4</v>
      </c>
      <c r="I595" s="1595" t="s">
        <v>1867</v>
      </c>
      <c r="J595" s="1596" t="s">
        <v>7642</v>
      </c>
      <c r="K595" s="1597">
        <v>4</v>
      </c>
      <c r="L595" s="1596" t="s">
        <v>1760</v>
      </c>
      <c r="M595" s="1598" t="s">
        <v>7474</v>
      </c>
      <c r="N595" s="1599">
        <v>4</v>
      </c>
      <c r="O595" s="1598" t="s">
        <v>1561</v>
      </c>
      <c r="W595" t="s">
        <v>7511</v>
      </c>
    </row>
    <row r="596" spans="2:23" hidden="1">
      <c r="B596" s="1585">
        <f t="shared" si="6"/>
        <v>562</v>
      </c>
      <c r="C596" s="1699" t="s">
        <v>2354</v>
      </c>
      <c r="D596" s="1699" t="s">
        <v>1222</v>
      </c>
      <c r="E596" s="1699" t="s">
        <v>7588</v>
      </c>
      <c r="F596" s="1701">
        <v>5.6</v>
      </c>
      <c r="G596" s="1593" t="s">
        <v>7317</v>
      </c>
      <c r="H596" s="1594">
        <v>4</v>
      </c>
      <c r="I596" s="1595" t="s">
        <v>1867</v>
      </c>
      <c r="J596" s="1596" t="s">
        <v>7642</v>
      </c>
      <c r="K596" s="1597">
        <v>4</v>
      </c>
      <c r="L596" s="1596" t="s">
        <v>1760</v>
      </c>
      <c r="M596" s="1598" t="s">
        <v>7474</v>
      </c>
      <c r="N596" s="1599">
        <v>4</v>
      </c>
      <c r="O596" s="1598" t="s">
        <v>1561</v>
      </c>
      <c r="W596" t="s">
        <v>7512</v>
      </c>
    </row>
    <row r="597" spans="2:23" hidden="1">
      <c r="B597" s="1585">
        <f t="shared" si="6"/>
        <v>563</v>
      </c>
      <c r="C597" s="1699" t="s">
        <v>2354</v>
      </c>
      <c r="D597" s="1699" t="s">
        <v>1223</v>
      </c>
      <c r="E597" s="1699" t="s">
        <v>7588</v>
      </c>
      <c r="F597" s="1701">
        <v>5.6</v>
      </c>
      <c r="G597" s="1593" t="s">
        <v>7317</v>
      </c>
      <c r="H597" s="1594">
        <v>4</v>
      </c>
      <c r="I597" s="1595" t="s">
        <v>1867</v>
      </c>
      <c r="J597" s="1596" t="s">
        <v>7642</v>
      </c>
      <c r="K597" s="1597">
        <v>4</v>
      </c>
      <c r="L597" s="1596" t="s">
        <v>1760</v>
      </c>
      <c r="M597" s="1598" t="s">
        <v>7474</v>
      </c>
      <c r="N597" s="1599">
        <v>4</v>
      </c>
      <c r="O597" s="1598" t="s">
        <v>1561</v>
      </c>
      <c r="W597" t="s">
        <v>7513</v>
      </c>
    </row>
    <row r="598" spans="2:23" hidden="1">
      <c r="B598" s="1585">
        <f t="shared" si="6"/>
        <v>564</v>
      </c>
      <c r="C598" s="1699" t="s">
        <v>2354</v>
      </c>
      <c r="D598" s="1699" t="s">
        <v>1224</v>
      </c>
      <c r="E598" s="1699" t="s">
        <v>7588</v>
      </c>
      <c r="F598" s="1701">
        <v>5.6</v>
      </c>
      <c r="G598" s="1593" t="s">
        <v>7317</v>
      </c>
      <c r="H598" s="1594">
        <v>4</v>
      </c>
      <c r="I598" s="1595" t="s">
        <v>1867</v>
      </c>
      <c r="J598" s="1596" t="s">
        <v>7642</v>
      </c>
      <c r="K598" s="1597">
        <v>4</v>
      </c>
      <c r="L598" s="1596" t="s">
        <v>1760</v>
      </c>
      <c r="M598" s="1598" t="s">
        <v>7474</v>
      </c>
      <c r="N598" s="1599">
        <v>4</v>
      </c>
      <c r="O598" s="1598" t="s">
        <v>1561</v>
      </c>
      <c r="W598" t="s">
        <v>7514</v>
      </c>
    </row>
    <row r="599" spans="2:23" hidden="1">
      <c r="B599" s="1585">
        <f t="shared" si="6"/>
        <v>565</v>
      </c>
      <c r="C599" s="1699" t="s">
        <v>2354</v>
      </c>
      <c r="D599" s="1699" t="s">
        <v>1225</v>
      </c>
      <c r="E599" s="1699" t="s">
        <v>7588</v>
      </c>
      <c r="F599" s="1701">
        <v>5.6</v>
      </c>
      <c r="G599" s="1593" t="s">
        <v>7317</v>
      </c>
      <c r="H599" s="1594">
        <v>4</v>
      </c>
      <c r="I599" s="1595" t="s">
        <v>1867</v>
      </c>
      <c r="J599" s="1596" t="s">
        <v>7642</v>
      </c>
      <c r="K599" s="1597">
        <v>4</v>
      </c>
      <c r="L599" s="1596" t="s">
        <v>1760</v>
      </c>
      <c r="M599" s="1598" t="s">
        <v>7474</v>
      </c>
      <c r="N599" s="1599">
        <v>4</v>
      </c>
      <c r="O599" s="1598" t="s">
        <v>1561</v>
      </c>
      <c r="W599" t="s">
        <v>7515</v>
      </c>
    </row>
    <row r="600" spans="2:23" hidden="1">
      <c r="B600" s="1585">
        <f t="shared" si="6"/>
        <v>566</v>
      </c>
      <c r="C600" s="1699" t="s">
        <v>2354</v>
      </c>
      <c r="D600" s="1699" t="s">
        <v>1227</v>
      </c>
      <c r="E600" s="1699" t="s">
        <v>7588</v>
      </c>
      <c r="F600" s="1701">
        <v>5.6</v>
      </c>
      <c r="G600" s="1593" t="s">
        <v>7317</v>
      </c>
      <c r="H600" s="1594">
        <v>4</v>
      </c>
      <c r="I600" s="1595" t="s">
        <v>1867</v>
      </c>
      <c r="J600" s="1596" t="s">
        <v>7642</v>
      </c>
      <c r="K600" s="1597">
        <v>4</v>
      </c>
      <c r="L600" s="1596" t="s">
        <v>1760</v>
      </c>
      <c r="M600" s="1598" t="s">
        <v>7474</v>
      </c>
      <c r="N600" s="1599">
        <v>4</v>
      </c>
      <c r="O600" s="1598" t="s">
        <v>1561</v>
      </c>
      <c r="W600" t="s">
        <v>7516</v>
      </c>
    </row>
    <row r="601" spans="2:23" hidden="1">
      <c r="B601" s="1585">
        <f t="shared" si="6"/>
        <v>567</v>
      </c>
      <c r="C601" s="1699" t="s">
        <v>2354</v>
      </c>
      <c r="D601" s="1700" t="s">
        <v>1229</v>
      </c>
      <c r="E601" s="1700" t="s">
        <v>7588</v>
      </c>
      <c r="F601" s="1701">
        <v>5.6</v>
      </c>
      <c r="G601" s="1593" t="s">
        <v>7317</v>
      </c>
      <c r="H601" s="1594">
        <v>4</v>
      </c>
      <c r="I601" s="1595" t="s">
        <v>2361</v>
      </c>
      <c r="J601" s="1596" t="s">
        <v>7642</v>
      </c>
      <c r="K601" s="1597">
        <v>4</v>
      </c>
      <c r="L601" s="1596" t="s">
        <v>2360</v>
      </c>
      <c r="M601" s="1598" t="s">
        <v>7474</v>
      </c>
      <c r="N601" s="1599">
        <v>4</v>
      </c>
      <c r="O601" s="1598" t="s">
        <v>2352</v>
      </c>
      <c r="W601" t="s">
        <v>7517</v>
      </c>
    </row>
    <row r="602" spans="2:23" hidden="1">
      <c r="B602" s="1585">
        <f t="shared" si="6"/>
        <v>568</v>
      </c>
      <c r="C602" s="1699" t="s">
        <v>2354</v>
      </c>
      <c r="D602" s="1699" t="s">
        <v>7589</v>
      </c>
      <c r="E602" s="1699" t="s">
        <v>7588</v>
      </c>
      <c r="F602" s="1701">
        <v>5.6</v>
      </c>
      <c r="G602" s="1593" t="s">
        <v>7642</v>
      </c>
      <c r="H602" s="1594">
        <v>3</v>
      </c>
      <c r="I602" s="1595" t="s">
        <v>1754</v>
      </c>
      <c r="J602" s="1596"/>
      <c r="K602" s="1597"/>
      <c r="L602" s="1596"/>
      <c r="M602" s="1598"/>
      <c r="N602" s="1599"/>
      <c r="O602" s="1598"/>
    </row>
    <row r="603" spans="2:23" hidden="1">
      <c r="B603" s="1585">
        <f t="shared" si="6"/>
        <v>569</v>
      </c>
      <c r="C603" s="1699" t="s">
        <v>2354</v>
      </c>
      <c r="D603" s="1699" t="s">
        <v>1464</v>
      </c>
      <c r="E603" s="1699" t="s">
        <v>7588</v>
      </c>
      <c r="F603" s="1701">
        <v>5.6</v>
      </c>
      <c r="G603" s="1593" t="s">
        <v>7642</v>
      </c>
      <c r="H603" s="1594">
        <v>3</v>
      </c>
      <c r="I603" s="1595" t="s">
        <v>1754</v>
      </c>
      <c r="J603" s="1596"/>
      <c r="K603" s="1597"/>
      <c r="L603" s="1596"/>
      <c r="M603" s="1598"/>
      <c r="N603" s="1599"/>
      <c r="O603" s="1598"/>
    </row>
    <row r="604" spans="2:23" hidden="1">
      <c r="B604" s="1585">
        <f t="shared" si="6"/>
        <v>570</v>
      </c>
      <c r="C604" s="1699" t="s">
        <v>2354</v>
      </c>
      <c r="D604" s="1699" t="s">
        <v>331</v>
      </c>
      <c r="E604" s="1699" t="s">
        <v>7590</v>
      </c>
      <c r="F604" s="1701">
        <v>5.6</v>
      </c>
      <c r="G604" s="1593" t="s">
        <v>7642</v>
      </c>
      <c r="H604" s="1594">
        <v>3</v>
      </c>
      <c r="I604" s="1595" t="s">
        <v>1754</v>
      </c>
      <c r="J604" s="1596"/>
      <c r="K604" s="1597"/>
      <c r="L604" s="1596"/>
      <c r="M604" s="1598"/>
      <c r="N604" s="1599"/>
      <c r="O604" s="1598"/>
    </row>
    <row r="605" spans="2:23" hidden="1">
      <c r="B605" s="1585">
        <f t="shared" si="6"/>
        <v>571</v>
      </c>
      <c r="C605" s="1699" t="s">
        <v>2354</v>
      </c>
      <c r="D605" s="1699" t="s">
        <v>331</v>
      </c>
      <c r="E605" s="1699" t="s">
        <v>7591</v>
      </c>
      <c r="F605" s="1701">
        <v>5.6</v>
      </c>
      <c r="G605" s="1593" t="s">
        <v>7642</v>
      </c>
      <c r="H605" s="1594">
        <v>3</v>
      </c>
      <c r="I605" s="1595" t="s">
        <v>1754</v>
      </c>
      <c r="J605" s="1596"/>
      <c r="K605" s="1597"/>
      <c r="L605" s="1596"/>
      <c r="M605" s="1598"/>
      <c r="N605" s="1599"/>
      <c r="O605" s="1598"/>
    </row>
    <row r="606" spans="2:23" hidden="1">
      <c r="B606" s="1585">
        <f t="shared" si="6"/>
        <v>572</v>
      </c>
      <c r="C606" s="1699" t="s">
        <v>2354</v>
      </c>
      <c r="D606" s="1699" t="s">
        <v>331</v>
      </c>
      <c r="E606" s="1699" t="s">
        <v>7592</v>
      </c>
      <c r="F606" s="1701">
        <v>5.6</v>
      </c>
      <c r="G606" s="1593" t="s">
        <v>7642</v>
      </c>
      <c r="H606" s="1594">
        <v>3</v>
      </c>
      <c r="I606" s="1595" t="s">
        <v>1754</v>
      </c>
      <c r="J606" s="1596"/>
      <c r="K606" s="1597"/>
      <c r="L606" s="1596"/>
      <c r="M606" s="1598"/>
      <c r="N606" s="1599"/>
      <c r="O606" s="1598"/>
    </row>
    <row r="607" spans="2:23" hidden="1">
      <c r="B607" s="1585">
        <f t="shared" si="6"/>
        <v>573</v>
      </c>
      <c r="C607" s="1699" t="s">
        <v>2354</v>
      </c>
      <c r="D607" s="1699" t="s">
        <v>331</v>
      </c>
      <c r="E607" s="1699" t="s">
        <v>7593</v>
      </c>
      <c r="F607" s="1701">
        <v>5.6</v>
      </c>
      <c r="G607" s="1593" t="s">
        <v>7642</v>
      </c>
      <c r="H607" s="1594">
        <v>3</v>
      </c>
      <c r="I607" s="1595" t="s">
        <v>1754</v>
      </c>
      <c r="J607" s="1596"/>
      <c r="K607" s="1597"/>
      <c r="L607" s="1596"/>
      <c r="M607" s="1598"/>
      <c r="N607" s="1599"/>
      <c r="O607" s="1598"/>
    </row>
    <row r="608" spans="2:23" hidden="1">
      <c r="B608" s="1585">
        <f t="shared" si="6"/>
        <v>574</v>
      </c>
      <c r="C608" s="1699" t="s">
        <v>2354</v>
      </c>
      <c r="D608" s="1699" t="s">
        <v>331</v>
      </c>
      <c r="E608" s="1699" t="s">
        <v>7594</v>
      </c>
      <c r="F608" s="1701">
        <v>5.6</v>
      </c>
      <c r="G608" s="1593" t="s">
        <v>7642</v>
      </c>
      <c r="H608" s="1594">
        <v>3</v>
      </c>
      <c r="I608" s="1595" t="s">
        <v>1754</v>
      </c>
      <c r="J608" s="1596"/>
      <c r="K608" s="1597"/>
      <c r="L608" s="1596"/>
      <c r="M608" s="1598"/>
      <c r="N608" s="1599"/>
      <c r="O608" s="1598"/>
    </row>
    <row r="609" spans="2:15" hidden="1">
      <c r="B609" s="1585">
        <f t="shared" si="6"/>
        <v>575</v>
      </c>
      <c r="C609" s="1699" t="s">
        <v>2354</v>
      </c>
      <c r="D609" s="1699" t="s">
        <v>7595</v>
      </c>
      <c r="E609" s="1699" t="s">
        <v>7588</v>
      </c>
      <c r="F609" s="1701">
        <v>5.6</v>
      </c>
      <c r="G609" s="1593" t="s">
        <v>7642</v>
      </c>
      <c r="H609" s="1594">
        <v>3</v>
      </c>
      <c r="I609" s="1595" t="s">
        <v>1754</v>
      </c>
      <c r="J609" s="1596"/>
      <c r="K609" s="1597"/>
      <c r="L609" s="1596"/>
      <c r="M609" s="1598"/>
      <c r="N609" s="1599"/>
      <c r="O609" s="1598"/>
    </row>
    <row r="610" spans="2:15" hidden="1">
      <c r="B610" s="1585">
        <f t="shared" ref="B610:B672" si="7">B609+1</f>
        <v>576</v>
      </c>
      <c r="C610" s="1699" t="s">
        <v>2354</v>
      </c>
      <c r="D610" s="1699" t="s">
        <v>1465</v>
      </c>
      <c r="E610" s="1699" t="s">
        <v>7588</v>
      </c>
      <c r="F610" s="1701">
        <v>5.6</v>
      </c>
      <c r="G610" s="1593" t="s">
        <v>7642</v>
      </c>
      <c r="H610" s="1594">
        <v>3</v>
      </c>
      <c r="I610" s="1595" t="s">
        <v>1754</v>
      </c>
      <c r="J610" s="1596"/>
      <c r="K610" s="1597"/>
      <c r="L610" s="1596"/>
      <c r="M610" s="1598"/>
      <c r="N610" s="1599"/>
      <c r="O610" s="1598"/>
    </row>
    <row r="611" spans="2:15" hidden="1">
      <c r="B611" s="1585">
        <f t="shared" si="7"/>
        <v>577</v>
      </c>
      <c r="C611" s="1699" t="s">
        <v>2354</v>
      </c>
      <c r="D611" s="1699" t="s">
        <v>1474</v>
      </c>
      <c r="E611" s="1699" t="s">
        <v>7588</v>
      </c>
      <c r="F611" s="1701">
        <v>5.6</v>
      </c>
      <c r="G611" s="1593" t="s">
        <v>7642</v>
      </c>
      <c r="H611" s="1594">
        <v>3</v>
      </c>
      <c r="I611" s="1595" t="s">
        <v>1754</v>
      </c>
      <c r="J611" s="1596"/>
      <c r="K611" s="1597"/>
      <c r="L611" s="1596"/>
      <c r="M611" s="1598"/>
      <c r="N611" s="1599"/>
      <c r="O611" s="1598"/>
    </row>
    <row r="612" spans="2:15" hidden="1">
      <c r="B612" s="1585">
        <f t="shared" si="7"/>
        <v>578</v>
      </c>
      <c r="C612" s="1699" t="s">
        <v>2354</v>
      </c>
      <c r="D612" s="1699" t="s">
        <v>1475</v>
      </c>
      <c r="E612" s="1699" t="s">
        <v>7588</v>
      </c>
      <c r="F612" s="1701">
        <v>5.6</v>
      </c>
      <c r="G612" s="1593" t="s">
        <v>7642</v>
      </c>
      <c r="H612" s="1594">
        <v>3</v>
      </c>
      <c r="I612" s="1595" t="s">
        <v>1754</v>
      </c>
      <c r="J612" s="1596"/>
      <c r="K612" s="1597"/>
      <c r="L612" s="1596"/>
      <c r="M612" s="1598"/>
      <c r="N612" s="1599"/>
      <c r="O612" s="1598"/>
    </row>
    <row r="613" spans="2:15" hidden="1">
      <c r="B613" s="1585">
        <f t="shared" si="7"/>
        <v>579</v>
      </c>
      <c r="C613" s="1699" t="s">
        <v>2354</v>
      </c>
      <c r="D613" s="1699" t="s">
        <v>1476</v>
      </c>
      <c r="E613" s="1699" t="s">
        <v>1477</v>
      </c>
      <c r="F613" s="1701">
        <v>5.6</v>
      </c>
      <c r="G613" s="1593" t="s">
        <v>7642</v>
      </c>
      <c r="H613" s="1594">
        <v>3</v>
      </c>
      <c r="I613" s="1595" t="s">
        <v>1754</v>
      </c>
      <c r="J613" s="1596"/>
      <c r="K613" s="1597"/>
      <c r="L613" s="1596"/>
      <c r="M613" s="1598"/>
      <c r="N613" s="1599"/>
      <c r="O613" s="1598"/>
    </row>
    <row r="614" spans="2:15" hidden="1">
      <c r="B614" s="1585">
        <f t="shared" si="7"/>
        <v>580</v>
      </c>
      <c r="C614" s="1699" t="s">
        <v>2354</v>
      </c>
      <c r="D614" s="1699" t="s">
        <v>1476</v>
      </c>
      <c r="E614" s="1699" t="s">
        <v>1478</v>
      </c>
      <c r="F614" s="1701">
        <v>5.6</v>
      </c>
      <c r="G614" s="1593" t="s">
        <v>7642</v>
      </c>
      <c r="H614" s="1594">
        <v>3</v>
      </c>
      <c r="I614" s="1595" t="s">
        <v>1754</v>
      </c>
      <c r="J614" s="1596"/>
      <c r="K614" s="1597"/>
      <c r="L614" s="1596"/>
      <c r="M614" s="1598"/>
      <c r="N614" s="1599"/>
      <c r="O614" s="1598"/>
    </row>
    <row r="615" spans="2:15" hidden="1">
      <c r="B615" s="1585">
        <f t="shared" si="7"/>
        <v>581</v>
      </c>
      <c r="C615" s="1699" t="s">
        <v>2354</v>
      </c>
      <c r="D615" s="1699" t="s">
        <v>1476</v>
      </c>
      <c r="E615" s="1699" t="s">
        <v>1479</v>
      </c>
      <c r="F615" s="1701">
        <v>5.6</v>
      </c>
      <c r="G615" s="1593" t="s">
        <v>7642</v>
      </c>
      <c r="H615" s="1594">
        <v>3</v>
      </c>
      <c r="I615" s="1595" t="s">
        <v>1754</v>
      </c>
      <c r="J615" s="1596"/>
      <c r="K615" s="1597"/>
      <c r="L615" s="1596"/>
      <c r="M615" s="1598"/>
      <c r="N615" s="1599"/>
      <c r="O615" s="1598"/>
    </row>
    <row r="616" spans="2:15" hidden="1">
      <c r="B616" s="1585">
        <f t="shared" si="7"/>
        <v>582</v>
      </c>
      <c r="C616" s="1699" t="s">
        <v>2354</v>
      </c>
      <c r="D616" s="1699" t="s">
        <v>1476</v>
      </c>
      <c r="E616" s="1699" t="s">
        <v>1480</v>
      </c>
      <c r="F616" s="1701">
        <v>5.6</v>
      </c>
      <c r="G616" s="1593" t="s">
        <v>7642</v>
      </c>
      <c r="H616" s="1594">
        <v>3</v>
      </c>
      <c r="I616" s="1595" t="s">
        <v>1754</v>
      </c>
      <c r="J616" s="1596"/>
      <c r="K616" s="1597"/>
      <c r="L616" s="1596"/>
      <c r="M616" s="1598"/>
      <c r="N616" s="1599"/>
      <c r="O616" s="1598"/>
    </row>
    <row r="617" spans="2:15" hidden="1">
      <c r="B617" s="1585">
        <f t="shared" si="7"/>
        <v>583</v>
      </c>
      <c r="C617" s="1699" t="s">
        <v>2354</v>
      </c>
      <c r="D617" s="1699" t="s">
        <v>1476</v>
      </c>
      <c r="E617" s="1699" t="s">
        <v>1481</v>
      </c>
      <c r="F617" s="1701">
        <v>5.6</v>
      </c>
      <c r="G617" s="1593" t="s">
        <v>7642</v>
      </c>
      <c r="H617" s="1594">
        <v>3</v>
      </c>
      <c r="I617" s="1595" t="s">
        <v>1754</v>
      </c>
      <c r="J617" s="1596"/>
      <c r="K617" s="1597"/>
      <c r="L617" s="1596"/>
      <c r="M617" s="1598"/>
      <c r="N617" s="1599"/>
      <c r="O617" s="1598"/>
    </row>
    <row r="618" spans="2:15" hidden="1">
      <c r="B618" s="1585">
        <f t="shared" si="7"/>
        <v>584</v>
      </c>
      <c r="C618" s="1699" t="s">
        <v>2354</v>
      </c>
      <c r="D618" s="1699" t="s">
        <v>1476</v>
      </c>
      <c r="E618" s="1699" t="s">
        <v>1482</v>
      </c>
      <c r="F618" s="1701">
        <v>5.6</v>
      </c>
      <c r="G618" s="1593" t="s">
        <v>7642</v>
      </c>
      <c r="H618" s="1594">
        <v>3</v>
      </c>
      <c r="I618" s="1595" t="s">
        <v>1754</v>
      </c>
      <c r="J618" s="1596"/>
      <c r="K618" s="1597"/>
      <c r="L618" s="1596"/>
      <c r="M618" s="1598"/>
      <c r="N618" s="1599"/>
      <c r="O618" s="1598"/>
    </row>
    <row r="619" spans="2:15" hidden="1">
      <c r="B619" s="1585">
        <f t="shared" si="7"/>
        <v>585</v>
      </c>
      <c r="C619" s="1699" t="s">
        <v>2354</v>
      </c>
      <c r="D619" s="1699" t="s">
        <v>1476</v>
      </c>
      <c r="E619" s="1699" t="s">
        <v>7588</v>
      </c>
      <c r="F619" s="1701">
        <v>5.6</v>
      </c>
      <c r="G619" s="1593" t="s">
        <v>7642</v>
      </c>
      <c r="H619" s="1594">
        <v>3</v>
      </c>
      <c r="I619" s="1595" t="s">
        <v>1754</v>
      </c>
      <c r="J619" s="1596"/>
      <c r="K619" s="1597"/>
      <c r="L619" s="1596"/>
      <c r="M619" s="1598"/>
      <c r="N619" s="1599"/>
      <c r="O619" s="1598"/>
    </row>
    <row r="620" spans="2:15" hidden="1">
      <c r="B620" s="1585">
        <f t="shared" si="7"/>
        <v>586</v>
      </c>
      <c r="C620" s="1699" t="s">
        <v>2354</v>
      </c>
      <c r="D620" s="1700" t="s">
        <v>1492</v>
      </c>
      <c r="E620" s="1700" t="s">
        <v>7588</v>
      </c>
      <c r="F620" s="1701">
        <v>5.6</v>
      </c>
      <c r="G620" s="1593" t="s">
        <v>7642</v>
      </c>
      <c r="H620" s="1594">
        <v>4</v>
      </c>
      <c r="I620" s="1595" t="s">
        <v>1760</v>
      </c>
      <c r="J620" s="1596"/>
      <c r="K620" s="1597"/>
      <c r="L620" s="1596"/>
      <c r="M620" s="1598"/>
      <c r="N620" s="1599"/>
      <c r="O620" s="1598"/>
    </row>
    <row r="621" spans="2:15" hidden="1">
      <c r="B621" s="1585">
        <f t="shared" si="7"/>
        <v>587</v>
      </c>
      <c r="C621" s="1699" t="s">
        <v>2354</v>
      </c>
      <c r="D621" s="1699" t="s">
        <v>1876</v>
      </c>
      <c r="E621" s="1699" t="s">
        <v>1877</v>
      </c>
      <c r="F621" s="1701">
        <v>5.6</v>
      </c>
      <c r="G621" s="1593" t="s">
        <v>7317</v>
      </c>
      <c r="H621" s="1594">
        <v>4</v>
      </c>
      <c r="I621" s="1595" t="s">
        <v>1867</v>
      </c>
      <c r="J621" s="1596"/>
      <c r="K621" s="1597"/>
      <c r="L621" s="1596"/>
      <c r="M621" s="1598"/>
      <c r="N621" s="1599"/>
      <c r="O621" s="1598"/>
    </row>
    <row r="622" spans="2:15" hidden="1">
      <c r="B622" s="1585">
        <f t="shared" si="7"/>
        <v>588</v>
      </c>
      <c r="C622" s="1699" t="s">
        <v>2354</v>
      </c>
      <c r="D622" s="1699" t="s">
        <v>1876</v>
      </c>
      <c r="E622" s="1699" t="s">
        <v>1878</v>
      </c>
      <c r="F622" s="1701">
        <v>5.6</v>
      </c>
      <c r="G622" s="1593" t="s">
        <v>7317</v>
      </c>
      <c r="H622" s="1594">
        <v>4</v>
      </c>
      <c r="I622" s="1595" t="s">
        <v>1867</v>
      </c>
      <c r="J622" s="1596"/>
      <c r="K622" s="1597"/>
      <c r="L622" s="1596"/>
      <c r="M622" s="1598"/>
      <c r="N622" s="1599"/>
      <c r="O622" s="1598"/>
    </row>
    <row r="623" spans="2:15" hidden="1">
      <c r="B623" s="1585">
        <f t="shared" si="7"/>
        <v>589</v>
      </c>
      <c r="C623" s="1699" t="s">
        <v>2354</v>
      </c>
      <c r="D623" s="1699" t="s">
        <v>1876</v>
      </c>
      <c r="E623" s="1699" t="s">
        <v>1879</v>
      </c>
      <c r="F623" s="1701">
        <v>5.6</v>
      </c>
      <c r="G623" s="1593" t="s">
        <v>7317</v>
      </c>
      <c r="H623" s="1594">
        <v>4</v>
      </c>
      <c r="I623" s="1595" t="s">
        <v>1867</v>
      </c>
      <c r="J623" s="1596"/>
      <c r="K623" s="1597"/>
      <c r="L623" s="1596"/>
      <c r="M623" s="1598"/>
      <c r="N623" s="1599"/>
      <c r="O623" s="1598"/>
    </row>
    <row r="624" spans="2:15" hidden="1">
      <c r="B624" s="1585">
        <f t="shared" si="7"/>
        <v>590</v>
      </c>
      <c r="C624" s="1699" t="s">
        <v>2354</v>
      </c>
      <c r="D624" s="1699" t="s">
        <v>1876</v>
      </c>
      <c r="E624" s="1699" t="s">
        <v>1880</v>
      </c>
      <c r="F624" s="1701">
        <v>5.6</v>
      </c>
      <c r="G624" s="1593" t="s">
        <v>7317</v>
      </c>
      <c r="H624" s="1594">
        <v>4</v>
      </c>
      <c r="I624" s="1595" t="s">
        <v>1867</v>
      </c>
      <c r="J624" s="1596"/>
      <c r="K624" s="1597"/>
      <c r="L624" s="1596"/>
      <c r="M624" s="1598"/>
      <c r="N624" s="1599"/>
      <c r="O624" s="1598"/>
    </row>
    <row r="625" spans="2:15" hidden="1">
      <c r="B625" s="1585">
        <f t="shared" si="7"/>
        <v>591</v>
      </c>
      <c r="C625" s="1699" t="s">
        <v>2354</v>
      </c>
      <c r="D625" s="1699" t="s">
        <v>1881</v>
      </c>
      <c r="E625" s="1699" t="s">
        <v>1882</v>
      </c>
      <c r="F625" s="1701">
        <v>5.6</v>
      </c>
      <c r="G625" s="1593" t="s">
        <v>7317</v>
      </c>
      <c r="H625" s="1594">
        <v>4</v>
      </c>
      <c r="I625" s="1595" t="s">
        <v>1867</v>
      </c>
      <c r="J625" s="1596"/>
      <c r="K625" s="1597"/>
      <c r="L625" s="1596"/>
      <c r="M625" s="1598"/>
      <c r="N625" s="1599"/>
      <c r="O625" s="1598"/>
    </row>
    <row r="626" spans="2:15" hidden="1">
      <c r="B626" s="1585">
        <f t="shared" si="7"/>
        <v>592</v>
      </c>
      <c r="C626" s="1699" t="s">
        <v>2354</v>
      </c>
      <c r="D626" s="1699" t="s">
        <v>1883</v>
      </c>
      <c r="E626" s="1699" t="s">
        <v>1884</v>
      </c>
      <c r="F626" s="1701">
        <v>5.6</v>
      </c>
      <c r="G626" s="1593" t="s">
        <v>7317</v>
      </c>
      <c r="H626" s="1594">
        <v>4</v>
      </c>
      <c r="I626" s="1595" t="s">
        <v>1867</v>
      </c>
      <c r="J626" s="1596"/>
      <c r="K626" s="1597"/>
      <c r="L626" s="1596"/>
      <c r="M626" s="1598"/>
      <c r="N626" s="1599"/>
      <c r="O626" s="1598"/>
    </row>
    <row r="627" spans="2:15" hidden="1">
      <c r="B627" s="1585">
        <f t="shared" si="7"/>
        <v>593</v>
      </c>
      <c r="C627" s="1699" t="s">
        <v>2354</v>
      </c>
      <c r="D627" s="1699" t="s">
        <v>1883</v>
      </c>
      <c r="E627" s="1699" t="s">
        <v>1885</v>
      </c>
      <c r="F627" s="1701">
        <v>5.6</v>
      </c>
      <c r="G627" s="1593" t="s">
        <v>7317</v>
      </c>
      <c r="H627" s="1594">
        <v>4</v>
      </c>
      <c r="I627" s="1595" t="s">
        <v>1867</v>
      </c>
      <c r="J627" s="1596"/>
      <c r="K627" s="1597"/>
      <c r="L627" s="1596"/>
      <c r="M627" s="1598"/>
      <c r="N627" s="1599"/>
      <c r="O627" s="1598"/>
    </row>
    <row r="628" spans="2:15" hidden="1">
      <c r="B628" s="1585">
        <f t="shared" si="7"/>
        <v>594</v>
      </c>
      <c r="C628" s="1699" t="s">
        <v>2354</v>
      </c>
      <c r="D628" s="1699" t="s">
        <v>1886</v>
      </c>
      <c r="E628" s="1699" t="s">
        <v>1887</v>
      </c>
      <c r="F628" s="1701">
        <v>5.6</v>
      </c>
      <c r="G628" s="1593" t="s">
        <v>7317</v>
      </c>
      <c r="H628" s="1594">
        <v>4</v>
      </c>
      <c r="I628" s="1595" t="s">
        <v>1867</v>
      </c>
      <c r="J628" s="1596"/>
      <c r="K628" s="1597"/>
      <c r="L628" s="1596"/>
      <c r="M628" s="1598"/>
      <c r="N628" s="1599"/>
      <c r="O628" s="1598"/>
    </row>
    <row r="629" spans="2:15" hidden="1">
      <c r="B629" s="1585">
        <f t="shared" si="7"/>
        <v>595</v>
      </c>
      <c r="C629" s="1699" t="s">
        <v>2354</v>
      </c>
      <c r="D629" s="1699" t="s">
        <v>1888</v>
      </c>
      <c r="E629" s="1699" t="s">
        <v>1889</v>
      </c>
      <c r="F629" s="1701">
        <v>5.6</v>
      </c>
      <c r="G629" s="1593" t="s">
        <v>7317</v>
      </c>
      <c r="H629" s="1594">
        <v>4</v>
      </c>
      <c r="I629" s="1595" t="s">
        <v>1867</v>
      </c>
      <c r="J629" s="1596"/>
      <c r="K629" s="1597"/>
      <c r="L629" s="1596"/>
      <c r="M629" s="1598"/>
      <c r="N629" s="1599"/>
      <c r="O629" s="1598"/>
    </row>
    <row r="630" spans="2:15" hidden="1">
      <c r="B630" s="1585">
        <f t="shared" si="7"/>
        <v>596</v>
      </c>
      <c r="C630" s="1699" t="s">
        <v>2354</v>
      </c>
      <c r="D630" s="1699" t="s">
        <v>1890</v>
      </c>
      <c r="E630" s="1699" t="s">
        <v>1891</v>
      </c>
      <c r="F630" s="1701">
        <v>5.6</v>
      </c>
      <c r="G630" s="1593" t="s">
        <v>7317</v>
      </c>
      <c r="H630" s="1594">
        <v>4</v>
      </c>
      <c r="I630" s="1595" t="s">
        <v>1867</v>
      </c>
      <c r="J630" s="1596"/>
      <c r="K630" s="1597"/>
      <c r="L630" s="1596"/>
      <c r="M630" s="1598"/>
      <c r="N630" s="1599"/>
      <c r="O630" s="1598"/>
    </row>
    <row r="631" spans="2:15" hidden="1">
      <c r="B631" s="1585">
        <f t="shared" si="7"/>
        <v>597</v>
      </c>
      <c r="C631" s="1699" t="s">
        <v>2354</v>
      </c>
      <c r="D631" s="1699" t="s">
        <v>1892</v>
      </c>
      <c r="E631" s="1699" t="s">
        <v>7588</v>
      </c>
      <c r="F631" s="1701">
        <v>5.6</v>
      </c>
      <c r="G631" s="1593" t="s">
        <v>7317</v>
      </c>
      <c r="H631" s="1594">
        <v>4</v>
      </c>
      <c r="I631" s="1595" t="s">
        <v>1867</v>
      </c>
      <c r="J631" s="1596"/>
      <c r="K631" s="1597"/>
      <c r="L631" s="1596"/>
      <c r="M631" s="1598"/>
      <c r="N631" s="1599"/>
      <c r="O631" s="1598"/>
    </row>
    <row r="632" spans="2:15" hidden="1">
      <c r="B632" s="1585">
        <f t="shared" si="7"/>
        <v>598</v>
      </c>
      <c r="C632" s="1699" t="s">
        <v>2354</v>
      </c>
      <c r="D632" s="1699" t="s">
        <v>1893</v>
      </c>
      <c r="E632" s="1699" t="s">
        <v>7588</v>
      </c>
      <c r="F632" s="1701">
        <v>5.6</v>
      </c>
      <c r="G632" s="1593" t="s">
        <v>7317</v>
      </c>
      <c r="H632" s="1594">
        <v>4</v>
      </c>
      <c r="I632" s="1595" t="s">
        <v>1867</v>
      </c>
      <c r="J632" s="1596"/>
      <c r="K632" s="1597"/>
      <c r="L632" s="1596"/>
      <c r="M632" s="1598"/>
      <c r="N632" s="1599"/>
      <c r="O632" s="1598"/>
    </row>
    <row r="633" spans="2:15" hidden="1">
      <c r="B633" s="1585">
        <f t="shared" si="7"/>
        <v>599</v>
      </c>
      <c r="C633" s="1699" t="s">
        <v>2354</v>
      </c>
      <c r="D633" s="1700" t="s">
        <v>1894</v>
      </c>
      <c r="E633" s="1700" t="s">
        <v>7588</v>
      </c>
      <c r="F633" s="1701">
        <v>5.6</v>
      </c>
      <c r="G633" s="1593" t="s">
        <v>7317</v>
      </c>
      <c r="H633" s="1594">
        <v>4</v>
      </c>
      <c r="I633" s="1595" t="s">
        <v>1867</v>
      </c>
      <c r="J633" s="1596"/>
      <c r="K633" s="1597"/>
      <c r="L633" s="1596"/>
      <c r="M633" s="1598"/>
      <c r="N633" s="1599"/>
      <c r="O633" s="1598"/>
    </row>
    <row r="634" spans="2:15" hidden="1">
      <c r="B634" s="1585">
        <f t="shared" si="7"/>
        <v>600</v>
      </c>
      <c r="C634" s="1699" t="s">
        <v>537</v>
      </c>
      <c r="D634" s="1699" t="s">
        <v>1220</v>
      </c>
      <c r="E634" s="1699" t="s">
        <v>7588</v>
      </c>
      <c r="F634" s="1701">
        <v>5.8</v>
      </c>
      <c r="G634" s="1593" t="s">
        <v>7317</v>
      </c>
      <c r="H634" s="1594">
        <v>4</v>
      </c>
      <c r="I634" s="1595" t="s">
        <v>2361</v>
      </c>
      <c r="J634" s="1596" t="s">
        <v>7642</v>
      </c>
      <c r="K634" s="1597">
        <v>4</v>
      </c>
      <c r="L634" s="1596" t="s">
        <v>1756</v>
      </c>
      <c r="M634" s="1598" t="s">
        <v>7474</v>
      </c>
      <c r="N634" s="1599">
        <v>4</v>
      </c>
      <c r="O634" s="1598" t="s">
        <v>1560</v>
      </c>
    </row>
    <row r="635" spans="2:15" hidden="1">
      <c r="B635" s="1585">
        <f t="shared" si="7"/>
        <v>601</v>
      </c>
      <c r="C635" s="1699" t="s">
        <v>537</v>
      </c>
      <c r="D635" s="1699" t="s">
        <v>55</v>
      </c>
      <c r="E635" s="1699" t="s">
        <v>7588</v>
      </c>
      <c r="F635" s="1701">
        <v>5.8</v>
      </c>
      <c r="G635" s="1593" t="s">
        <v>7317</v>
      </c>
      <c r="H635" s="1594">
        <v>4</v>
      </c>
      <c r="I635" s="1595" t="s">
        <v>1865</v>
      </c>
      <c r="J635" s="1596"/>
      <c r="K635" s="1597"/>
      <c r="L635" s="1596"/>
      <c r="M635" s="1598"/>
      <c r="N635" s="1599"/>
      <c r="O635" s="1598"/>
    </row>
    <row r="636" spans="2:15" hidden="1">
      <c r="B636" s="1585">
        <f t="shared" si="7"/>
        <v>602</v>
      </c>
      <c r="C636" s="1699" t="s">
        <v>537</v>
      </c>
      <c r="D636" s="1699" t="s">
        <v>1488</v>
      </c>
      <c r="E636" s="1699" t="s">
        <v>7588</v>
      </c>
      <c r="F636" s="1701">
        <v>5.8</v>
      </c>
      <c r="G636" s="1593" t="s">
        <v>7317</v>
      </c>
      <c r="H636" s="1594">
        <v>4</v>
      </c>
      <c r="I636" s="1595" t="s">
        <v>1865</v>
      </c>
      <c r="J636" s="1596" t="s">
        <v>7642</v>
      </c>
      <c r="K636" s="1597">
        <v>4</v>
      </c>
      <c r="L636" s="1596" t="s">
        <v>1756</v>
      </c>
      <c r="M636" s="1598" t="s">
        <v>7474</v>
      </c>
      <c r="N636" s="1599">
        <v>4</v>
      </c>
      <c r="O636" s="1598" t="s">
        <v>1560</v>
      </c>
    </row>
    <row r="637" spans="2:15" hidden="1">
      <c r="B637" s="1585">
        <f t="shared" si="7"/>
        <v>603</v>
      </c>
      <c r="C637" s="1699" t="s">
        <v>537</v>
      </c>
      <c r="D637" s="1699" t="s">
        <v>1214</v>
      </c>
      <c r="E637" s="1699" t="s">
        <v>7588</v>
      </c>
      <c r="F637" s="1701">
        <v>5.8</v>
      </c>
      <c r="G637" s="1593" t="s">
        <v>7317</v>
      </c>
      <c r="H637" s="1594">
        <v>4</v>
      </c>
      <c r="I637" s="1595" t="s">
        <v>1865</v>
      </c>
      <c r="J637" s="1596" t="s">
        <v>7642</v>
      </c>
      <c r="K637" s="1597">
        <v>4</v>
      </c>
      <c r="L637" s="1596" t="s">
        <v>1756</v>
      </c>
      <c r="M637" s="1598" t="s">
        <v>7474</v>
      </c>
      <c r="N637" s="1599">
        <v>4</v>
      </c>
      <c r="O637" s="1598" t="s">
        <v>1560</v>
      </c>
    </row>
    <row r="638" spans="2:15" hidden="1">
      <c r="B638" s="1585">
        <f t="shared" si="7"/>
        <v>604</v>
      </c>
      <c r="C638" s="1699" t="s">
        <v>537</v>
      </c>
      <c r="D638" s="1699" t="s">
        <v>1215</v>
      </c>
      <c r="E638" s="1699" t="s">
        <v>7596</v>
      </c>
      <c r="F638" s="1701">
        <v>5.8</v>
      </c>
      <c r="G638" s="1593" t="s">
        <v>7317</v>
      </c>
      <c r="H638" s="1594">
        <v>4</v>
      </c>
      <c r="I638" s="1595" t="s">
        <v>1865</v>
      </c>
      <c r="J638" s="1596" t="s">
        <v>7642</v>
      </c>
      <c r="K638" s="1597">
        <v>4</v>
      </c>
      <c r="L638" s="1596" t="s">
        <v>1756</v>
      </c>
      <c r="M638" s="1598" t="s">
        <v>7474</v>
      </c>
      <c r="N638" s="1599">
        <v>4</v>
      </c>
      <c r="O638" s="1598" t="s">
        <v>1560</v>
      </c>
    </row>
    <row r="639" spans="2:15" hidden="1">
      <c r="B639" s="1585">
        <f t="shared" si="7"/>
        <v>605</v>
      </c>
      <c r="C639" s="1699" t="s">
        <v>537</v>
      </c>
      <c r="D639" s="1699" t="s">
        <v>1216</v>
      </c>
      <c r="E639" s="1699" t="s">
        <v>7588</v>
      </c>
      <c r="F639" s="1701">
        <v>5.8</v>
      </c>
      <c r="G639" s="1593" t="s">
        <v>7317</v>
      </c>
      <c r="H639" s="1594">
        <v>4</v>
      </c>
      <c r="I639" s="1595" t="s">
        <v>1865</v>
      </c>
      <c r="J639" s="1596" t="s">
        <v>7642</v>
      </c>
      <c r="K639" s="1597">
        <v>4</v>
      </c>
      <c r="L639" s="1596" t="s">
        <v>1756</v>
      </c>
      <c r="M639" s="1598" t="s">
        <v>7474</v>
      </c>
      <c r="N639" s="1599">
        <v>4</v>
      </c>
      <c r="O639" s="1598" t="s">
        <v>1560</v>
      </c>
    </row>
    <row r="640" spans="2:15" hidden="1">
      <c r="B640" s="1585">
        <f t="shared" si="7"/>
        <v>606</v>
      </c>
      <c r="C640" s="1699" t="s">
        <v>537</v>
      </c>
      <c r="D640" s="1699" t="s">
        <v>1217</v>
      </c>
      <c r="E640" s="1699" t="s">
        <v>7588</v>
      </c>
      <c r="F640" s="1701">
        <v>5.8</v>
      </c>
      <c r="G640" s="1593" t="s">
        <v>7317</v>
      </c>
      <c r="H640" s="1594">
        <v>4</v>
      </c>
      <c r="I640" s="1595" t="s">
        <v>1865</v>
      </c>
      <c r="J640" s="1596" t="s">
        <v>7642</v>
      </c>
      <c r="K640" s="1597">
        <v>4</v>
      </c>
      <c r="L640" s="1596" t="s">
        <v>1756</v>
      </c>
      <c r="M640" s="1598" t="s">
        <v>7474</v>
      </c>
      <c r="N640" s="1599">
        <v>4</v>
      </c>
      <c r="O640" s="1598" t="s">
        <v>1560</v>
      </c>
    </row>
    <row r="641" spans="2:15" hidden="1">
      <c r="B641" s="1585">
        <f t="shared" si="7"/>
        <v>607</v>
      </c>
      <c r="C641" s="1699" t="s">
        <v>537</v>
      </c>
      <c r="D641" s="1699" t="s">
        <v>1218</v>
      </c>
      <c r="E641" s="1699" t="s">
        <v>7588</v>
      </c>
      <c r="F641" s="1701">
        <v>5.8</v>
      </c>
      <c r="G641" s="1593" t="s">
        <v>7317</v>
      </c>
      <c r="H641" s="1594">
        <v>4</v>
      </c>
      <c r="I641" s="1595" t="s">
        <v>1865</v>
      </c>
      <c r="J641" s="1596" t="s">
        <v>7642</v>
      </c>
      <c r="K641" s="1597">
        <v>4</v>
      </c>
      <c r="L641" s="1596" t="s">
        <v>1756</v>
      </c>
      <c r="M641" s="1598" t="s">
        <v>7474</v>
      </c>
      <c r="N641" s="1599">
        <v>4</v>
      </c>
      <c r="O641" s="1598" t="s">
        <v>1560</v>
      </c>
    </row>
    <row r="642" spans="2:15" hidden="1">
      <c r="B642" s="1585">
        <f t="shared" si="7"/>
        <v>608</v>
      </c>
      <c r="C642" s="1699" t="s">
        <v>537</v>
      </c>
      <c r="D642" s="1699" t="s">
        <v>1219</v>
      </c>
      <c r="E642" s="1699" t="s">
        <v>7588</v>
      </c>
      <c r="F642" s="1701">
        <v>5.8</v>
      </c>
      <c r="G642" s="1593" t="s">
        <v>7317</v>
      </c>
      <c r="H642" s="1594">
        <v>4</v>
      </c>
      <c r="I642" s="1595" t="s">
        <v>1865</v>
      </c>
      <c r="J642" s="1596" t="s">
        <v>7642</v>
      </c>
      <c r="K642" s="1597">
        <v>4</v>
      </c>
      <c r="L642" s="1596" t="s">
        <v>1756</v>
      </c>
      <c r="M642" s="1598" t="s">
        <v>7474</v>
      </c>
      <c r="N642" s="1599">
        <v>4</v>
      </c>
      <c r="O642" s="1598" t="s">
        <v>1560</v>
      </c>
    </row>
    <row r="643" spans="2:15" hidden="1">
      <c r="B643" s="1585">
        <f t="shared" si="7"/>
        <v>609</v>
      </c>
      <c r="C643" s="1699" t="s">
        <v>537</v>
      </c>
      <c r="D643" s="1699" t="s">
        <v>1228</v>
      </c>
      <c r="E643" s="1699" t="s">
        <v>7588</v>
      </c>
      <c r="F643" s="1701">
        <v>5.8</v>
      </c>
      <c r="G643" s="1593" t="s">
        <v>7643</v>
      </c>
      <c r="H643" s="1594">
        <v>4</v>
      </c>
      <c r="I643" s="1595" t="s">
        <v>1560</v>
      </c>
      <c r="J643" s="1596"/>
      <c r="K643" s="1597"/>
      <c r="L643" s="1596"/>
      <c r="M643" s="1598"/>
      <c r="N643" s="1599"/>
      <c r="O643" s="1598"/>
    </row>
    <row r="644" spans="2:15" hidden="1">
      <c r="B644" s="1585">
        <f t="shared" si="7"/>
        <v>610</v>
      </c>
      <c r="C644" s="1699" t="s">
        <v>537</v>
      </c>
      <c r="D644" s="1699" t="s">
        <v>1486</v>
      </c>
      <c r="E644" s="1699" t="s">
        <v>7588</v>
      </c>
      <c r="F644" s="1701">
        <v>5.8</v>
      </c>
      <c r="G644" s="1593" t="s">
        <v>7642</v>
      </c>
      <c r="H644" s="1594">
        <v>4</v>
      </c>
      <c r="I644" s="1595" t="s">
        <v>1756</v>
      </c>
      <c r="J644" s="1596"/>
      <c r="K644" s="1597"/>
      <c r="L644" s="1596"/>
      <c r="M644" s="1598"/>
      <c r="N644" s="1599"/>
      <c r="O644" s="1598"/>
    </row>
    <row r="645" spans="2:15" hidden="1">
      <c r="B645" s="1585">
        <f t="shared" si="7"/>
        <v>611</v>
      </c>
      <c r="C645" s="1699" t="s">
        <v>537</v>
      </c>
      <c r="D645" s="1699" t="s">
        <v>1487</v>
      </c>
      <c r="E645" s="1699" t="s">
        <v>7588</v>
      </c>
      <c r="F645" s="1701">
        <v>5.8</v>
      </c>
      <c r="G645" s="1593" t="s">
        <v>7642</v>
      </c>
      <c r="H645" s="1594">
        <v>4</v>
      </c>
      <c r="I645" s="1595" t="s">
        <v>1756</v>
      </c>
      <c r="J645" s="1596"/>
      <c r="K645" s="1597"/>
      <c r="L645" s="1596"/>
      <c r="M645" s="1598"/>
      <c r="N645" s="1599"/>
      <c r="O645" s="1598"/>
    </row>
    <row r="646" spans="2:15" hidden="1">
      <c r="B646" s="1585">
        <f t="shared" si="7"/>
        <v>612</v>
      </c>
      <c r="C646" s="1699" t="s">
        <v>537</v>
      </c>
      <c r="D646" s="1700" t="s">
        <v>1489</v>
      </c>
      <c r="E646" s="1700" t="s">
        <v>7588</v>
      </c>
      <c r="F646" s="1702">
        <v>5.8</v>
      </c>
      <c r="G646" s="1593" t="s">
        <v>7642</v>
      </c>
      <c r="H646" s="1594">
        <v>4</v>
      </c>
      <c r="I646" s="1595" t="s">
        <v>1756</v>
      </c>
      <c r="J646" s="1596"/>
      <c r="K646" s="1597"/>
      <c r="L646" s="1596"/>
      <c r="M646" s="1598"/>
      <c r="N646" s="1599"/>
      <c r="O646" s="1598"/>
    </row>
    <row r="647" spans="2:15" hidden="1">
      <c r="B647" s="1585">
        <f t="shared" si="7"/>
        <v>613</v>
      </c>
      <c r="C647" s="1699" t="s">
        <v>537</v>
      </c>
      <c r="D647" s="1699" t="s">
        <v>1873</v>
      </c>
      <c r="E647" s="1699" t="s">
        <v>7588</v>
      </c>
      <c r="F647" s="1701">
        <v>5.8</v>
      </c>
      <c r="G647" s="1593" t="s">
        <v>7317</v>
      </c>
      <c r="H647" s="1594">
        <v>4</v>
      </c>
      <c r="I647" s="1595" t="s">
        <v>1865</v>
      </c>
      <c r="J647" s="1596"/>
      <c r="K647" s="1597"/>
      <c r="L647" s="1596"/>
      <c r="M647" s="1598"/>
      <c r="N647" s="1599"/>
      <c r="O647" s="1598"/>
    </row>
    <row r="648" spans="2:15" hidden="1">
      <c r="B648" s="1585">
        <f t="shared" si="7"/>
        <v>614</v>
      </c>
      <c r="C648" s="1699" t="s">
        <v>537</v>
      </c>
      <c r="D648" s="1699" t="s">
        <v>1874</v>
      </c>
      <c r="E648" s="1699" t="s">
        <v>7588</v>
      </c>
      <c r="F648" s="1701">
        <v>5.8</v>
      </c>
      <c r="G648" s="1593" t="s">
        <v>7317</v>
      </c>
      <c r="H648" s="1594">
        <v>4</v>
      </c>
      <c r="I648" s="1595" t="s">
        <v>1865</v>
      </c>
      <c r="J648" s="1596"/>
      <c r="K648" s="1597"/>
      <c r="L648" s="1596"/>
      <c r="M648" s="1598"/>
      <c r="N648" s="1599"/>
      <c r="O648" s="1598"/>
    </row>
    <row r="649" spans="2:15" hidden="1">
      <c r="B649" s="1585">
        <f t="shared" si="7"/>
        <v>615</v>
      </c>
      <c r="C649" s="1699" t="s">
        <v>537</v>
      </c>
      <c r="D649" s="1700" t="s">
        <v>1875</v>
      </c>
      <c r="E649" s="1700" t="s">
        <v>7588</v>
      </c>
      <c r="F649" s="1702">
        <v>5.8</v>
      </c>
      <c r="G649" s="1593" t="s">
        <v>7317</v>
      </c>
      <c r="H649" s="1594">
        <v>4</v>
      </c>
      <c r="I649" s="1595" t="s">
        <v>1865</v>
      </c>
      <c r="J649" s="1596"/>
      <c r="K649" s="1597"/>
      <c r="L649" s="1596"/>
      <c r="M649" s="1598"/>
      <c r="N649" s="1599"/>
      <c r="O649" s="1598"/>
    </row>
    <row r="650" spans="2:15" hidden="1">
      <c r="B650" s="1585">
        <f t="shared" si="7"/>
        <v>616</v>
      </c>
      <c r="C650" s="1699" t="s">
        <v>7470</v>
      </c>
      <c r="D650" s="1699" t="s">
        <v>322</v>
      </c>
      <c r="E650" s="1699" t="s">
        <v>1483</v>
      </c>
      <c r="F650" s="1701">
        <v>6.4</v>
      </c>
      <c r="G650" s="1593" t="s">
        <v>7642</v>
      </c>
      <c r="H650" s="1594">
        <v>3</v>
      </c>
      <c r="I650" s="1595" t="s">
        <v>1754</v>
      </c>
      <c r="J650" s="1596"/>
      <c r="K650" s="1597"/>
      <c r="L650" s="1596"/>
      <c r="M650" s="1598"/>
      <c r="N650" s="1599"/>
      <c r="O650" s="1598"/>
    </row>
    <row r="651" spans="2:15" hidden="1">
      <c r="B651" s="1585">
        <f t="shared" si="7"/>
        <v>617</v>
      </c>
      <c r="C651" s="1699" t="s">
        <v>7470</v>
      </c>
      <c r="D651" s="1699" t="s">
        <v>322</v>
      </c>
      <c r="E651" s="1699" t="s">
        <v>1484</v>
      </c>
      <c r="F651" s="1701">
        <v>6.4</v>
      </c>
      <c r="G651" s="1593" t="s">
        <v>7642</v>
      </c>
      <c r="H651" s="1594">
        <v>3</v>
      </c>
      <c r="I651" s="1595" t="s">
        <v>1754</v>
      </c>
      <c r="J651" s="1596"/>
      <c r="K651" s="1597"/>
      <c r="L651" s="1596"/>
      <c r="M651" s="1598"/>
      <c r="N651" s="1599"/>
      <c r="O651" s="1598"/>
    </row>
    <row r="652" spans="2:15" hidden="1">
      <c r="B652" s="1585">
        <f t="shared" si="7"/>
        <v>618</v>
      </c>
      <c r="C652" s="1699" t="s">
        <v>7470</v>
      </c>
      <c r="D652" s="1699" t="s">
        <v>322</v>
      </c>
      <c r="E652" s="1699" t="s">
        <v>1485</v>
      </c>
      <c r="F652" s="1701">
        <v>6.4</v>
      </c>
      <c r="G652" s="1593" t="s">
        <v>7642</v>
      </c>
      <c r="H652" s="1594">
        <v>3</v>
      </c>
      <c r="I652" s="1595" t="s">
        <v>1754</v>
      </c>
      <c r="J652" s="1596"/>
      <c r="K652" s="1597"/>
      <c r="L652" s="1596"/>
      <c r="M652" s="1598"/>
      <c r="N652" s="1599"/>
      <c r="O652" s="1598"/>
    </row>
    <row r="653" spans="2:15" hidden="1">
      <c r="B653" s="1585">
        <f t="shared" si="7"/>
        <v>619</v>
      </c>
      <c r="C653" s="1699" t="s">
        <v>7470</v>
      </c>
      <c r="D653" s="1699" t="s">
        <v>322</v>
      </c>
      <c r="E653" s="1699" t="s">
        <v>7588</v>
      </c>
      <c r="F653" s="1701">
        <v>6.4</v>
      </c>
      <c r="G653" s="1593" t="s">
        <v>7642</v>
      </c>
      <c r="H653" s="1594">
        <v>3</v>
      </c>
      <c r="I653" s="1595" t="s">
        <v>1754</v>
      </c>
      <c r="J653" s="1596"/>
      <c r="K653" s="1597"/>
      <c r="L653" s="1596"/>
      <c r="M653" s="1598"/>
      <c r="N653" s="1599"/>
      <c r="O653" s="1598"/>
    </row>
    <row r="654" spans="2:15" hidden="1">
      <c r="B654" s="1585">
        <f t="shared" si="7"/>
        <v>620</v>
      </c>
      <c r="C654" s="1699" t="s">
        <v>7470</v>
      </c>
      <c r="D654" s="1700" t="s">
        <v>323</v>
      </c>
      <c r="E654" s="1700" t="s">
        <v>7588</v>
      </c>
      <c r="F654" s="1702">
        <v>6.4</v>
      </c>
      <c r="G654" s="1593" t="s">
        <v>7642</v>
      </c>
      <c r="H654" s="1594">
        <v>3</v>
      </c>
      <c r="I654" s="1595" t="s">
        <v>1754</v>
      </c>
      <c r="J654" s="1596"/>
      <c r="K654" s="1597"/>
      <c r="L654" s="1596"/>
      <c r="M654" s="1598"/>
      <c r="N654" s="1599"/>
      <c r="O654" s="1598"/>
    </row>
    <row r="655" spans="2:15" hidden="1">
      <c r="B655" s="1585">
        <f t="shared" si="7"/>
        <v>621</v>
      </c>
      <c r="C655" s="1699" t="s">
        <v>7470</v>
      </c>
      <c r="D655" s="1699" t="s">
        <v>226</v>
      </c>
      <c r="E655" s="1699" t="s">
        <v>326</v>
      </c>
      <c r="F655" s="1701">
        <v>6.5</v>
      </c>
      <c r="G655" s="1593" t="s">
        <v>7471</v>
      </c>
      <c r="H655" s="1594">
        <v>1</v>
      </c>
      <c r="I655" s="1595" t="s">
        <v>1856</v>
      </c>
      <c r="J655" s="1596" t="s">
        <v>7642</v>
      </c>
      <c r="K655" s="1597">
        <v>2</v>
      </c>
      <c r="L655" s="1596" t="s">
        <v>1749</v>
      </c>
      <c r="M655" s="1598"/>
      <c r="N655" s="1599"/>
      <c r="O655" s="1598"/>
    </row>
    <row r="656" spans="2:15" hidden="1">
      <c r="B656" s="1585">
        <f t="shared" si="7"/>
        <v>622</v>
      </c>
      <c r="C656" s="1699" t="s">
        <v>7470</v>
      </c>
      <c r="D656" s="1699" t="s">
        <v>226</v>
      </c>
      <c r="E656" s="1699" t="s">
        <v>218</v>
      </c>
      <c r="F656" s="1701">
        <v>6.5</v>
      </c>
      <c r="G656" s="1593" t="s">
        <v>7471</v>
      </c>
      <c r="H656" s="1594">
        <v>1</v>
      </c>
      <c r="I656" s="1595" t="s">
        <v>1856</v>
      </c>
      <c r="J656" s="1596" t="s">
        <v>7642</v>
      </c>
      <c r="K656" s="1597">
        <v>2</v>
      </c>
      <c r="L656" s="1596" t="s">
        <v>1749</v>
      </c>
      <c r="M656" s="1598"/>
      <c r="N656" s="1599"/>
      <c r="O656" s="1598"/>
    </row>
    <row r="657" spans="2:15" hidden="1">
      <c r="B657" s="1585">
        <f t="shared" si="7"/>
        <v>623</v>
      </c>
      <c r="C657" s="1699" t="s">
        <v>7470</v>
      </c>
      <c r="D657" s="1699" t="s">
        <v>329</v>
      </c>
      <c r="E657" s="1699" t="s">
        <v>7597</v>
      </c>
      <c r="F657" s="1701">
        <v>6.5</v>
      </c>
      <c r="G657" s="1593" t="s">
        <v>7471</v>
      </c>
      <c r="H657" s="1594">
        <v>1</v>
      </c>
      <c r="I657" s="1595" t="s">
        <v>1855</v>
      </c>
      <c r="J657" s="1596"/>
      <c r="K657" s="1597"/>
      <c r="L657" s="1596"/>
      <c r="M657" s="1598"/>
      <c r="N657" s="1599"/>
      <c r="O657" s="1598"/>
    </row>
    <row r="658" spans="2:15" hidden="1">
      <c r="B658" s="1585">
        <f t="shared" si="7"/>
        <v>624</v>
      </c>
      <c r="C658" s="1699" t="s">
        <v>7470</v>
      </c>
      <c r="D658" s="1699" t="s">
        <v>317</v>
      </c>
      <c r="E658" s="1699" t="s">
        <v>7596</v>
      </c>
      <c r="F658" s="1701">
        <v>6.5</v>
      </c>
      <c r="G658" s="1593" t="s">
        <v>7642</v>
      </c>
      <c r="H658" s="1594">
        <v>1</v>
      </c>
      <c r="I658" s="1595" t="s">
        <v>1588</v>
      </c>
      <c r="J658" s="1596" t="s">
        <v>7474</v>
      </c>
      <c r="K658" s="1597">
        <v>1</v>
      </c>
      <c r="L658" s="1596" t="s">
        <v>1551</v>
      </c>
      <c r="M658" s="1598"/>
      <c r="N658" s="1599"/>
      <c r="O658" s="1598"/>
    </row>
    <row r="659" spans="2:15" hidden="1">
      <c r="B659" s="1585">
        <f t="shared" si="7"/>
        <v>625</v>
      </c>
      <c r="C659" s="1699" t="s">
        <v>7470</v>
      </c>
      <c r="D659" s="1700" t="s">
        <v>325</v>
      </c>
      <c r="E659" s="1700" t="s">
        <v>7588</v>
      </c>
      <c r="F659" s="1702">
        <v>6.5</v>
      </c>
      <c r="G659" s="1593" t="s">
        <v>7642</v>
      </c>
      <c r="H659" s="1594">
        <v>3</v>
      </c>
      <c r="I659" s="1595" t="s">
        <v>1754</v>
      </c>
      <c r="J659" s="1596"/>
      <c r="K659" s="1597"/>
      <c r="L659" s="1596"/>
      <c r="M659" s="1598"/>
      <c r="N659" s="1599"/>
      <c r="O659" s="1598"/>
    </row>
    <row r="660" spans="2:15" hidden="1">
      <c r="B660" s="1585">
        <f t="shared" si="7"/>
        <v>626</v>
      </c>
      <c r="C660" s="1699" t="s">
        <v>7470</v>
      </c>
      <c r="D660" s="1699" t="s">
        <v>1212</v>
      </c>
      <c r="E660" s="1699" t="s">
        <v>7596</v>
      </c>
      <c r="F660" s="1701">
        <v>6.6</v>
      </c>
      <c r="G660" s="1593" t="s">
        <v>7317</v>
      </c>
      <c r="H660" s="1594">
        <v>4</v>
      </c>
      <c r="I660" s="1595" t="s">
        <v>2361</v>
      </c>
      <c r="J660" s="1596" t="s">
        <v>7642</v>
      </c>
      <c r="K660" s="1597">
        <v>4</v>
      </c>
      <c r="L660" s="1596" t="s">
        <v>2360</v>
      </c>
      <c r="M660" s="1598" t="s">
        <v>7474</v>
      </c>
      <c r="N660" s="1599">
        <v>4</v>
      </c>
      <c r="O660" s="1598" t="s">
        <v>2352</v>
      </c>
    </row>
    <row r="661" spans="2:15" hidden="1">
      <c r="B661" s="1585">
        <f t="shared" si="7"/>
        <v>627</v>
      </c>
      <c r="C661" s="1699" t="s">
        <v>7470</v>
      </c>
      <c r="D661" s="1700" t="s">
        <v>1213</v>
      </c>
      <c r="E661" s="1700" t="s">
        <v>7596</v>
      </c>
      <c r="F661" s="1702">
        <v>6.6</v>
      </c>
      <c r="G661" s="1593" t="s">
        <v>7317</v>
      </c>
      <c r="H661" s="1594">
        <v>4</v>
      </c>
      <c r="I661" s="1595" t="s">
        <v>2361</v>
      </c>
      <c r="J661" s="1596" t="s">
        <v>7642</v>
      </c>
      <c r="K661" s="1597">
        <v>4</v>
      </c>
      <c r="L661" s="1596" t="s">
        <v>2360</v>
      </c>
      <c r="M661" s="1598" t="s">
        <v>7474</v>
      </c>
      <c r="N661" s="1599">
        <v>4</v>
      </c>
      <c r="O661" s="1598" t="s">
        <v>2352</v>
      </c>
    </row>
    <row r="662" spans="2:15" hidden="1">
      <c r="B662" s="1585">
        <f t="shared" si="7"/>
        <v>628</v>
      </c>
      <c r="C662" s="1699" t="s">
        <v>7470</v>
      </c>
      <c r="D662" s="1699" t="s">
        <v>1466</v>
      </c>
      <c r="E662" s="1699" t="s">
        <v>7588</v>
      </c>
      <c r="F662" s="1701">
        <v>6.6</v>
      </c>
      <c r="G662" s="1593" t="s">
        <v>7642</v>
      </c>
      <c r="H662" s="1594">
        <v>3</v>
      </c>
      <c r="I662" s="1595" t="s">
        <v>1754</v>
      </c>
      <c r="J662" s="1596"/>
      <c r="K662" s="1597"/>
      <c r="L662" s="1596"/>
      <c r="M662" s="1598"/>
      <c r="N662" s="1599"/>
      <c r="O662" s="1598"/>
    </row>
    <row r="663" spans="2:15" hidden="1">
      <c r="B663" s="1585">
        <f t="shared" si="7"/>
        <v>629</v>
      </c>
      <c r="C663" s="1699" t="s">
        <v>7470</v>
      </c>
      <c r="D663" s="1699" t="s">
        <v>1467</v>
      </c>
      <c r="E663" s="1699" t="s">
        <v>7588</v>
      </c>
      <c r="F663" s="1701">
        <v>6.6</v>
      </c>
      <c r="G663" s="1593" t="s">
        <v>7642</v>
      </c>
      <c r="H663" s="1594">
        <v>3</v>
      </c>
      <c r="I663" s="1595" t="s">
        <v>1754</v>
      </c>
      <c r="J663" s="1596"/>
      <c r="K663" s="1597"/>
      <c r="L663" s="1596"/>
      <c r="M663" s="1598"/>
      <c r="N663" s="1599"/>
      <c r="O663" s="1598"/>
    </row>
    <row r="664" spans="2:15" hidden="1">
      <c r="B664" s="1585">
        <f t="shared" si="7"/>
        <v>630</v>
      </c>
      <c r="C664" s="1699" t="s">
        <v>7598</v>
      </c>
      <c r="D664" s="1699" t="s">
        <v>1493</v>
      </c>
      <c r="E664" s="1699" t="s">
        <v>201</v>
      </c>
      <c r="F664" s="1701">
        <v>6.6</v>
      </c>
      <c r="G664" s="1593" t="s">
        <v>7642</v>
      </c>
      <c r="H664" s="1594">
        <v>4</v>
      </c>
      <c r="I664" s="1595" t="s">
        <v>1758</v>
      </c>
      <c r="J664" s="1596"/>
      <c r="K664" s="1597"/>
      <c r="L664" s="1596"/>
      <c r="M664" s="1598"/>
      <c r="N664" s="1599"/>
      <c r="O664" s="1598"/>
    </row>
    <row r="665" spans="2:15" hidden="1">
      <c r="B665" s="1585">
        <f t="shared" si="7"/>
        <v>631</v>
      </c>
      <c r="C665" s="1699" t="s">
        <v>7598</v>
      </c>
      <c r="D665" s="1699" t="s">
        <v>1494</v>
      </c>
      <c r="E665" s="1699" t="s">
        <v>1495</v>
      </c>
      <c r="F665" s="1701">
        <v>6.6</v>
      </c>
      <c r="G665" s="1593" t="s">
        <v>7642</v>
      </c>
      <c r="H665" s="1594">
        <v>4</v>
      </c>
      <c r="I665" s="1595" t="s">
        <v>1758</v>
      </c>
      <c r="J665" s="1596"/>
      <c r="K665" s="1597"/>
      <c r="L665" s="1596"/>
      <c r="M665" s="1598"/>
      <c r="N665" s="1599"/>
      <c r="O665" s="1598"/>
    </row>
    <row r="666" spans="2:15" hidden="1">
      <c r="B666" s="1585">
        <f t="shared" si="7"/>
        <v>632</v>
      </c>
      <c r="C666" s="1699" t="s">
        <v>7598</v>
      </c>
      <c r="D666" s="1699" t="s">
        <v>1494</v>
      </c>
      <c r="E666" s="1699" t="s">
        <v>1496</v>
      </c>
      <c r="F666" s="1701">
        <v>6.6</v>
      </c>
      <c r="G666" s="1593" t="s">
        <v>7642</v>
      </c>
      <c r="H666" s="1594">
        <v>4</v>
      </c>
      <c r="I666" s="1595" t="s">
        <v>1758</v>
      </c>
      <c r="J666" s="1596"/>
      <c r="K666" s="1597"/>
      <c r="L666" s="1596"/>
      <c r="M666" s="1598"/>
      <c r="N666" s="1599"/>
      <c r="O666" s="1598"/>
    </row>
    <row r="667" spans="2:15" hidden="1">
      <c r="B667" s="1585">
        <f t="shared" si="7"/>
        <v>633</v>
      </c>
      <c r="C667" s="1699" t="s">
        <v>7598</v>
      </c>
      <c r="D667" s="1699" t="s">
        <v>1494</v>
      </c>
      <c r="E667" s="1699" t="s">
        <v>1497</v>
      </c>
      <c r="F667" s="1701">
        <v>6.6</v>
      </c>
      <c r="G667" s="1593" t="s">
        <v>7642</v>
      </c>
      <c r="H667" s="1594">
        <v>4</v>
      </c>
      <c r="I667" s="1595" t="s">
        <v>1758</v>
      </c>
      <c r="J667" s="1596"/>
      <c r="K667" s="1597"/>
      <c r="L667" s="1596"/>
      <c r="M667" s="1598"/>
      <c r="N667" s="1599"/>
      <c r="O667" s="1598"/>
    </row>
    <row r="668" spans="2:15" hidden="1">
      <c r="B668" s="1585">
        <f t="shared" si="7"/>
        <v>634</v>
      </c>
      <c r="C668" s="1699" t="s">
        <v>7598</v>
      </c>
      <c r="D668" s="1699" t="s">
        <v>1494</v>
      </c>
      <c r="E668" s="1699" t="s">
        <v>1498</v>
      </c>
      <c r="F668" s="1701">
        <v>6.6</v>
      </c>
      <c r="G668" s="1593" t="s">
        <v>7642</v>
      </c>
      <c r="H668" s="1594">
        <v>4</v>
      </c>
      <c r="I668" s="1595" t="s">
        <v>1758</v>
      </c>
      <c r="J668" s="1596"/>
      <c r="K668" s="1597"/>
      <c r="L668" s="1596"/>
      <c r="M668" s="1598"/>
      <c r="N668" s="1599"/>
      <c r="O668" s="1598"/>
    </row>
    <row r="669" spans="2:15" hidden="1">
      <c r="B669" s="1585">
        <f t="shared" si="7"/>
        <v>635</v>
      </c>
      <c r="C669" s="1699" t="s">
        <v>7598</v>
      </c>
      <c r="D669" s="1699" t="s">
        <v>1494</v>
      </c>
      <c r="E669" s="1699" t="s">
        <v>1499</v>
      </c>
      <c r="F669" s="1701">
        <v>6.6</v>
      </c>
      <c r="G669" s="1593" t="s">
        <v>7642</v>
      </c>
      <c r="H669" s="1594">
        <v>4</v>
      </c>
      <c r="I669" s="1595" t="s">
        <v>1758</v>
      </c>
      <c r="J669" s="1596"/>
      <c r="K669" s="1597"/>
      <c r="L669" s="1596"/>
      <c r="M669" s="1598"/>
      <c r="N669" s="1599"/>
      <c r="O669" s="1598"/>
    </row>
    <row r="670" spans="2:15" hidden="1">
      <c r="B670" s="1585">
        <f t="shared" si="7"/>
        <v>636</v>
      </c>
      <c r="C670" s="1699" t="s">
        <v>7598</v>
      </c>
      <c r="D670" s="1699" t="s">
        <v>1494</v>
      </c>
      <c r="E670" s="1699" t="s">
        <v>1500</v>
      </c>
      <c r="F670" s="1701">
        <v>6.6</v>
      </c>
      <c r="G670" s="1593" t="s">
        <v>7642</v>
      </c>
      <c r="H670" s="1594">
        <v>4</v>
      </c>
      <c r="I670" s="1595" t="s">
        <v>1758</v>
      </c>
      <c r="J670" s="1596"/>
      <c r="K670" s="1597"/>
      <c r="L670" s="1596"/>
      <c r="M670" s="1598"/>
      <c r="N670" s="1599"/>
      <c r="O670" s="1598"/>
    </row>
    <row r="671" spans="2:15" hidden="1">
      <c r="B671" s="1585">
        <f t="shared" si="7"/>
        <v>637</v>
      </c>
      <c r="C671" s="1699" t="s">
        <v>7598</v>
      </c>
      <c r="D671" s="1699" t="s">
        <v>1494</v>
      </c>
      <c r="E671" s="1699" t="s">
        <v>1501</v>
      </c>
      <c r="F671" s="1701">
        <v>6.6</v>
      </c>
      <c r="G671" s="1593" t="s">
        <v>7642</v>
      </c>
      <c r="H671" s="1594">
        <v>4</v>
      </c>
      <c r="I671" s="1595" t="s">
        <v>1758</v>
      </c>
      <c r="J671" s="1596"/>
      <c r="K671" s="1597"/>
      <c r="L671" s="1596"/>
      <c r="M671" s="1598"/>
      <c r="N671" s="1599"/>
      <c r="O671" s="1598"/>
    </row>
    <row r="672" spans="2:15" hidden="1">
      <c r="B672" s="1585">
        <f t="shared" si="7"/>
        <v>638</v>
      </c>
      <c r="C672" s="1699" t="s">
        <v>7598</v>
      </c>
      <c r="D672" s="1700" t="s">
        <v>1502</v>
      </c>
      <c r="E672" s="1700" t="s">
        <v>7596</v>
      </c>
      <c r="F672" s="1702">
        <v>6.6</v>
      </c>
      <c r="G672" s="1593" t="s">
        <v>7642</v>
      </c>
      <c r="H672" s="1594">
        <v>4</v>
      </c>
      <c r="I672" s="1595" t="s">
        <v>1758</v>
      </c>
      <c r="J672" s="1596"/>
      <c r="K672" s="1597"/>
      <c r="L672" s="1596"/>
      <c r="M672" s="1598"/>
      <c r="N672" s="1599"/>
      <c r="O672" s="1598"/>
    </row>
    <row r="673" hidden="1"/>
  </sheetData>
  <sheetProtection algorithmName="SHA-512" hashValue="9YTMFa+Qke8Ke/tpoJ5XoQh8OxlLKbJx2FoCTP2cEcQ2q/jpJePuNH3kSz54k/nrsH/DGzzaQpU8dcs9lawPZQ==" saltValue="nNodE0fWgckx7BYqkfH6rQ==" spinCount="100000" sheet="1" formatColumns="0" selectLockedCells="1"/>
  <mergeCells count="4">
    <mergeCell ref="B3:D3"/>
    <mergeCell ref="B2:E2"/>
    <mergeCell ref="B20:G20"/>
    <mergeCell ref="A1:H1"/>
  </mergeCells>
  <conditionalFormatting sqref="D13:F14">
    <cfRule type="cellIs" dxfId="522" priority="1" operator="equal">
      <formula>0</formula>
    </cfRule>
  </conditionalFormatting>
  <dataValidations xWindow="754" yWindow="559" count="2">
    <dataValidation type="list" allowBlank="1" showInputMessage="1" promptTitle="To Start The Search" prompt="Enter Few Characters. _x000a_Once search is complete the drop down will populate. Please be patient._x000a_" sqref="D6" xr:uid="{1EB9A97B-FD99-472A-A35B-9A0DC7AEBCAB}">
      <formula1>_xlfn.ANCHORARRAY($Q$35)</formula1>
    </dataValidation>
    <dataValidation type="list" allowBlank="1" showInputMessage="1" promptTitle="To Search Product" prompt="Pick from Dropdown" sqref="E6" xr:uid="{E0FD47F1-78CE-4E04-96FA-7AEBA86E1D45}">
      <formula1>_xlfn.ANCHORARRAY($R$35)</formula1>
    </dataValidation>
  </dataValidations>
  <pageMargins left="0.7" right="0.7" top="0.75" bottom="0.75" header="0.3" footer="0.3"/>
  <pageSetup orientation="portrait" horizontalDpi="0" verticalDpi="0" r:id="rId1"/>
  <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6C176-7C95-4549-8ACF-E5257426A3A5}">
  <sheetPr>
    <tabColor theme="0" tint="-0.499984740745262"/>
  </sheetPr>
  <dimension ref="A3:Q75"/>
  <sheetViews>
    <sheetView workbookViewId="0">
      <selection activeCell="B10" sqref="B10"/>
    </sheetView>
  </sheetViews>
  <sheetFormatPr defaultRowHeight="14.5"/>
  <cols>
    <col min="1" max="1" width="35" bestFit="1" customWidth="1"/>
    <col min="2" max="2" width="38.453125" customWidth="1"/>
    <col min="3" max="3" width="61.90625" bestFit="1" customWidth="1"/>
    <col min="4" max="4" width="47.36328125" bestFit="1" customWidth="1"/>
    <col min="5" max="6" width="19" bestFit="1" customWidth="1"/>
    <col min="7" max="13" width="18.1796875" bestFit="1" customWidth="1"/>
    <col min="14" max="16" width="19.08984375" bestFit="1" customWidth="1"/>
    <col min="17" max="17" width="27.08984375" bestFit="1" customWidth="1"/>
    <col min="18" max="20" width="27" bestFit="1" customWidth="1"/>
  </cols>
  <sheetData>
    <row r="3" spans="1:17">
      <c r="A3" s="838" t="s">
        <v>615</v>
      </c>
      <c r="B3" s="838" t="s">
        <v>616</v>
      </c>
      <c r="C3" s="838" t="s">
        <v>7615</v>
      </c>
      <c r="D3" s="838" t="s">
        <v>460</v>
      </c>
      <c r="E3" t="s">
        <v>7616</v>
      </c>
      <c r="F3" t="s">
        <v>7617</v>
      </c>
      <c r="G3" t="s">
        <v>7618</v>
      </c>
      <c r="H3" t="s">
        <v>7619</v>
      </c>
      <c r="I3" t="s">
        <v>7620</v>
      </c>
      <c r="J3" t="s">
        <v>7621</v>
      </c>
      <c r="K3" t="s">
        <v>7622</v>
      </c>
      <c r="L3" t="s">
        <v>7623</v>
      </c>
      <c r="M3" t="s">
        <v>7624</v>
      </c>
      <c r="N3" t="s">
        <v>7625</v>
      </c>
      <c r="O3" t="s">
        <v>7626</v>
      </c>
      <c r="P3" t="s">
        <v>7627</v>
      </c>
      <c r="Q3" t="s">
        <v>6916</v>
      </c>
    </row>
    <row r="4" spans="1:17">
      <c r="A4" t="s">
        <v>800</v>
      </c>
      <c r="B4" t="s">
        <v>802</v>
      </c>
      <c r="C4" t="s">
        <v>6953</v>
      </c>
      <c r="D4" t="s">
        <v>731</v>
      </c>
      <c r="E4" s="1691">
        <v>0</v>
      </c>
      <c r="F4" s="1691">
        <v>0</v>
      </c>
      <c r="G4" s="1691">
        <v>0</v>
      </c>
      <c r="H4" s="1691">
        <v>0</v>
      </c>
      <c r="I4" s="1691">
        <v>0</v>
      </c>
      <c r="J4" s="1691">
        <v>0</v>
      </c>
      <c r="K4" s="1691">
        <v>0</v>
      </c>
      <c r="L4" s="1691">
        <v>0</v>
      </c>
      <c r="M4" s="1691">
        <v>0</v>
      </c>
      <c r="N4" s="1691">
        <v>0</v>
      </c>
      <c r="O4" s="1691">
        <v>0</v>
      </c>
      <c r="P4" s="1691">
        <v>0</v>
      </c>
      <c r="Q4" s="1691">
        <v>0</v>
      </c>
    </row>
    <row r="5" spans="1:17">
      <c r="C5" t="s">
        <v>655</v>
      </c>
      <c r="D5" t="s">
        <v>656</v>
      </c>
      <c r="E5" s="1691">
        <v>0</v>
      </c>
      <c r="F5" s="1691">
        <v>0</v>
      </c>
      <c r="G5" s="1691">
        <v>0</v>
      </c>
      <c r="H5" s="1691">
        <v>0</v>
      </c>
      <c r="I5" s="1691">
        <v>0</v>
      </c>
      <c r="J5" s="1691">
        <v>0</v>
      </c>
      <c r="K5" s="1691">
        <v>0</v>
      </c>
      <c r="L5" s="1691">
        <v>0</v>
      </c>
      <c r="M5" s="1691">
        <v>0</v>
      </c>
      <c r="N5" s="1691">
        <v>0</v>
      </c>
      <c r="O5" s="1691">
        <v>0</v>
      </c>
      <c r="P5" s="1691">
        <v>0</v>
      </c>
      <c r="Q5" s="1691">
        <v>0</v>
      </c>
    </row>
    <row r="6" spans="1:17">
      <c r="D6" t="s">
        <v>658</v>
      </c>
      <c r="E6" s="1691">
        <v>0</v>
      </c>
      <c r="F6" s="1691">
        <v>0</v>
      </c>
      <c r="G6" s="1691">
        <v>0</v>
      </c>
      <c r="H6" s="1691">
        <v>0</v>
      </c>
      <c r="I6" s="1691">
        <v>0</v>
      </c>
      <c r="J6" s="1691">
        <v>0</v>
      </c>
      <c r="K6" s="1691">
        <v>0</v>
      </c>
      <c r="L6" s="1691">
        <v>0</v>
      </c>
      <c r="M6" s="1691">
        <v>0</v>
      </c>
      <c r="N6" s="1691">
        <v>0</v>
      </c>
      <c r="O6" s="1691">
        <v>0</v>
      </c>
      <c r="P6" s="1691">
        <v>0</v>
      </c>
      <c r="Q6" s="1691">
        <v>0</v>
      </c>
    </row>
    <row r="7" spans="1:17">
      <c r="D7" t="s">
        <v>660</v>
      </c>
      <c r="E7" s="1691">
        <v>0</v>
      </c>
      <c r="F7" s="1691">
        <v>0</v>
      </c>
      <c r="G7" s="1691">
        <v>0</v>
      </c>
      <c r="H7" s="1691">
        <v>0</v>
      </c>
      <c r="I7" s="1691">
        <v>0</v>
      </c>
      <c r="J7" s="1691">
        <v>0</v>
      </c>
      <c r="K7" s="1691">
        <v>0</v>
      </c>
      <c r="L7" s="1691">
        <v>0</v>
      </c>
      <c r="M7" s="1691">
        <v>0</v>
      </c>
      <c r="N7" s="1691">
        <v>0</v>
      </c>
      <c r="O7" s="1691">
        <v>0</v>
      </c>
      <c r="P7" s="1691">
        <v>0</v>
      </c>
      <c r="Q7" s="1691">
        <v>0</v>
      </c>
    </row>
    <row r="8" spans="1:17">
      <c r="D8" t="s">
        <v>662</v>
      </c>
      <c r="E8" s="1691">
        <v>0</v>
      </c>
      <c r="F8" s="1691">
        <v>0</v>
      </c>
      <c r="G8" s="1691">
        <v>0</v>
      </c>
      <c r="H8" s="1691">
        <v>0</v>
      </c>
      <c r="I8" s="1691">
        <v>0</v>
      </c>
      <c r="J8" s="1691">
        <v>0</v>
      </c>
      <c r="K8" s="1691">
        <v>0</v>
      </c>
      <c r="L8" s="1691">
        <v>0</v>
      </c>
      <c r="M8" s="1691">
        <v>0</v>
      </c>
      <c r="N8" s="1691">
        <v>0</v>
      </c>
      <c r="O8" s="1691">
        <v>0</v>
      </c>
      <c r="P8" s="1691">
        <v>0</v>
      </c>
      <c r="Q8" s="1691">
        <v>0</v>
      </c>
    </row>
    <row r="9" spans="1:17">
      <c r="D9" t="s">
        <v>664</v>
      </c>
      <c r="E9" s="1691">
        <v>0</v>
      </c>
      <c r="F9" s="1691">
        <v>0</v>
      </c>
      <c r="G9" s="1691">
        <v>0</v>
      </c>
      <c r="H9" s="1691">
        <v>0</v>
      </c>
      <c r="I9" s="1691">
        <v>0</v>
      </c>
      <c r="J9" s="1691">
        <v>0</v>
      </c>
      <c r="K9" s="1691">
        <v>0</v>
      </c>
      <c r="L9" s="1691">
        <v>0</v>
      </c>
      <c r="M9" s="1691">
        <v>0</v>
      </c>
      <c r="N9" s="1691">
        <v>0</v>
      </c>
      <c r="O9" s="1691">
        <v>0</v>
      </c>
      <c r="P9" s="1691">
        <v>0</v>
      </c>
      <c r="Q9" s="1691">
        <v>0</v>
      </c>
    </row>
    <row r="10" spans="1:17">
      <c r="D10" t="s">
        <v>666</v>
      </c>
      <c r="E10" s="1691">
        <v>0</v>
      </c>
      <c r="F10" s="1691">
        <v>0</v>
      </c>
      <c r="G10" s="1691">
        <v>0</v>
      </c>
      <c r="H10" s="1691">
        <v>0</v>
      </c>
      <c r="I10" s="1691">
        <v>0</v>
      </c>
      <c r="J10" s="1691">
        <v>0</v>
      </c>
      <c r="K10" s="1691">
        <v>0</v>
      </c>
      <c r="L10" s="1691">
        <v>0</v>
      </c>
      <c r="M10" s="1691">
        <v>0</v>
      </c>
      <c r="N10" s="1691">
        <v>0</v>
      </c>
      <c r="O10" s="1691">
        <v>0</v>
      </c>
      <c r="P10" s="1691">
        <v>0</v>
      </c>
      <c r="Q10" s="1691">
        <v>0</v>
      </c>
    </row>
    <row r="11" spans="1:17">
      <c r="D11" t="s">
        <v>668</v>
      </c>
      <c r="E11" s="1691">
        <v>0</v>
      </c>
      <c r="F11" s="1691">
        <v>0</v>
      </c>
      <c r="G11" s="1691">
        <v>0</v>
      </c>
      <c r="H11" s="1691">
        <v>0</v>
      </c>
      <c r="I11" s="1691">
        <v>0</v>
      </c>
      <c r="J11" s="1691">
        <v>0</v>
      </c>
      <c r="K11" s="1691">
        <v>0</v>
      </c>
      <c r="L11" s="1691">
        <v>0</v>
      </c>
      <c r="M11" s="1691">
        <v>0</v>
      </c>
      <c r="N11" s="1691">
        <v>0</v>
      </c>
      <c r="O11" s="1691">
        <v>0</v>
      </c>
      <c r="P11" s="1691">
        <v>0</v>
      </c>
      <c r="Q11" s="1691">
        <v>0</v>
      </c>
    </row>
    <row r="12" spans="1:17">
      <c r="B12" t="s">
        <v>801</v>
      </c>
      <c r="C12" t="s">
        <v>6953</v>
      </c>
      <c r="D12" t="s">
        <v>731</v>
      </c>
      <c r="E12" s="1691">
        <v>0</v>
      </c>
      <c r="F12" s="1691">
        <v>0</v>
      </c>
      <c r="G12" s="1691">
        <v>0</v>
      </c>
      <c r="H12" s="1691">
        <v>0</v>
      </c>
      <c r="I12" s="1691">
        <v>0</v>
      </c>
      <c r="J12" s="1691">
        <v>0</v>
      </c>
      <c r="K12" s="1691">
        <v>0</v>
      </c>
      <c r="L12" s="1691">
        <v>0</v>
      </c>
      <c r="M12" s="1691">
        <v>0</v>
      </c>
      <c r="N12" s="1691">
        <v>0</v>
      </c>
      <c r="O12" s="1691">
        <v>0</v>
      </c>
      <c r="P12" s="1691">
        <v>0</v>
      </c>
      <c r="Q12" s="1691">
        <v>0</v>
      </c>
    </row>
    <row r="13" spans="1:17">
      <c r="C13" t="s">
        <v>655</v>
      </c>
      <c r="D13" t="s">
        <v>656</v>
      </c>
      <c r="E13" s="1691">
        <v>0</v>
      </c>
      <c r="F13" s="1691">
        <v>0</v>
      </c>
      <c r="G13" s="1691">
        <v>0</v>
      </c>
      <c r="H13" s="1691">
        <v>0</v>
      </c>
      <c r="I13" s="1691">
        <v>0</v>
      </c>
      <c r="J13" s="1691">
        <v>0</v>
      </c>
      <c r="K13" s="1691">
        <v>0</v>
      </c>
      <c r="L13" s="1691">
        <v>0</v>
      </c>
      <c r="M13" s="1691">
        <v>0</v>
      </c>
      <c r="N13" s="1691">
        <v>0</v>
      </c>
      <c r="O13" s="1691">
        <v>0</v>
      </c>
      <c r="P13" s="1691">
        <v>0</v>
      </c>
      <c r="Q13" s="1691">
        <v>0</v>
      </c>
    </row>
    <row r="14" spans="1:17">
      <c r="D14" t="s">
        <v>658</v>
      </c>
      <c r="E14" s="1691">
        <v>0</v>
      </c>
      <c r="F14" s="1691">
        <v>0</v>
      </c>
      <c r="G14" s="1691">
        <v>0</v>
      </c>
      <c r="H14" s="1691">
        <v>0</v>
      </c>
      <c r="I14" s="1691">
        <v>0</v>
      </c>
      <c r="J14" s="1691">
        <v>0</v>
      </c>
      <c r="K14" s="1691">
        <v>0</v>
      </c>
      <c r="L14" s="1691">
        <v>0</v>
      </c>
      <c r="M14" s="1691">
        <v>0</v>
      </c>
      <c r="N14" s="1691">
        <v>0</v>
      </c>
      <c r="O14" s="1691">
        <v>0</v>
      </c>
      <c r="P14" s="1691">
        <v>0</v>
      </c>
      <c r="Q14" s="1691">
        <v>0</v>
      </c>
    </row>
    <row r="15" spans="1:17">
      <c r="D15" t="s">
        <v>660</v>
      </c>
      <c r="E15" s="1691">
        <v>0</v>
      </c>
      <c r="F15" s="1691">
        <v>0</v>
      </c>
      <c r="G15" s="1691">
        <v>0</v>
      </c>
      <c r="H15" s="1691">
        <v>0</v>
      </c>
      <c r="I15" s="1691">
        <v>0</v>
      </c>
      <c r="J15" s="1691">
        <v>0</v>
      </c>
      <c r="K15" s="1691">
        <v>0</v>
      </c>
      <c r="L15" s="1691">
        <v>0</v>
      </c>
      <c r="M15" s="1691">
        <v>0</v>
      </c>
      <c r="N15" s="1691">
        <v>0</v>
      </c>
      <c r="O15" s="1691">
        <v>0</v>
      </c>
      <c r="P15" s="1691">
        <v>0</v>
      </c>
      <c r="Q15" s="1691">
        <v>0</v>
      </c>
    </row>
    <row r="16" spans="1:17">
      <c r="D16" t="s">
        <v>662</v>
      </c>
      <c r="E16" s="1691">
        <v>0</v>
      </c>
      <c r="F16" s="1691">
        <v>0</v>
      </c>
      <c r="G16" s="1691">
        <v>0</v>
      </c>
      <c r="H16" s="1691">
        <v>0</v>
      </c>
      <c r="I16" s="1691">
        <v>0</v>
      </c>
      <c r="J16" s="1691">
        <v>0</v>
      </c>
      <c r="K16" s="1691">
        <v>0</v>
      </c>
      <c r="L16" s="1691">
        <v>0</v>
      </c>
      <c r="M16" s="1691">
        <v>0</v>
      </c>
      <c r="N16" s="1691">
        <v>0</v>
      </c>
      <c r="O16" s="1691">
        <v>0</v>
      </c>
      <c r="P16" s="1691">
        <v>0</v>
      </c>
      <c r="Q16" s="1691">
        <v>0</v>
      </c>
    </row>
    <row r="17" spans="1:17">
      <c r="D17" t="s">
        <v>664</v>
      </c>
      <c r="E17" s="1691">
        <v>0</v>
      </c>
      <c r="F17" s="1691">
        <v>0</v>
      </c>
      <c r="G17" s="1691">
        <v>0</v>
      </c>
      <c r="H17" s="1691">
        <v>0</v>
      </c>
      <c r="I17" s="1691">
        <v>0</v>
      </c>
      <c r="J17" s="1691">
        <v>0</v>
      </c>
      <c r="K17" s="1691">
        <v>0</v>
      </c>
      <c r="L17" s="1691">
        <v>0</v>
      </c>
      <c r="M17" s="1691">
        <v>0</v>
      </c>
      <c r="N17" s="1691">
        <v>0</v>
      </c>
      <c r="O17" s="1691">
        <v>0</v>
      </c>
      <c r="P17" s="1691">
        <v>0</v>
      </c>
      <c r="Q17" s="1691">
        <v>0</v>
      </c>
    </row>
    <row r="18" spans="1:17">
      <c r="D18" t="s">
        <v>666</v>
      </c>
      <c r="E18" s="1691">
        <v>0</v>
      </c>
      <c r="F18" s="1691">
        <v>0</v>
      </c>
      <c r="G18" s="1691">
        <v>0</v>
      </c>
      <c r="H18" s="1691">
        <v>0</v>
      </c>
      <c r="I18" s="1691">
        <v>0</v>
      </c>
      <c r="J18" s="1691">
        <v>0</v>
      </c>
      <c r="K18" s="1691">
        <v>0</v>
      </c>
      <c r="L18" s="1691">
        <v>0</v>
      </c>
      <c r="M18" s="1691">
        <v>0</v>
      </c>
      <c r="N18" s="1691">
        <v>0</v>
      </c>
      <c r="O18" s="1691">
        <v>0</v>
      </c>
      <c r="P18" s="1691">
        <v>0</v>
      </c>
      <c r="Q18" s="1691">
        <v>0</v>
      </c>
    </row>
    <row r="19" spans="1:17">
      <c r="D19" t="s">
        <v>668</v>
      </c>
      <c r="E19" s="1691">
        <v>0</v>
      </c>
      <c r="F19" s="1691">
        <v>0</v>
      </c>
      <c r="G19" s="1691">
        <v>0</v>
      </c>
      <c r="H19" s="1691">
        <v>0</v>
      </c>
      <c r="I19" s="1691">
        <v>0</v>
      </c>
      <c r="J19" s="1691">
        <v>0</v>
      </c>
      <c r="K19" s="1691">
        <v>0</v>
      </c>
      <c r="L19" s="1691">
        <v>0</v>
      </c>
      <c r="M19" s="1691">
        <v>0</v>
      </c>
      <c r="N19" s="1691">
        <v>0</v>
      </c>
      <c r="O19" s="1691">
        <v>0</v>
      </c>
      <c r="P19" s="1691">
        <v>0</v>
      </c>
      <c r="Q19" s="1691">
        <v>0</v>
      </c>
    </row>
    <row r="20" spans="1:17">
      <c r="B20" t="s">
        <v>803</v>
      </c>
      <c r="C20" t="s">
        <v>6953</v>
      </c>
      <c r="D20" t="s">
        <v>731</v>
      </c>
      <c r="E20" s="1691">
        <v>0</v>
      </c>
      <c r="F20" s="1691">
        <v>0</v>
      </c>
      <c r="G20" s="1691">
        <v>0</v>
      </c>
      <c r="H20" s="1691">
        <v>0</v>
      </c>
      <c r="I20" s="1691">
        <v>0</v>
      </c>
      <c r="J20" s="1691">
        <v>0</v>
      </c>
      <c r="K20" s="1691">
        <v>0</v>
      </c>
      <c r="L20" s="1691">
        <v>0</v>
      </c>
      <c r="M20" s="1691">
        <v>0</v>
      </c>
      <c r="N20" s="1691">
        <v>0</v>
      </c>
      <c r="O20" s="1691">
        <v>0</v>
      </c>
      <c r="P20" s="1691">
        <v>0</v>
      </c>
      <c r="Q20" s="1691">
        <v>0</v>
      </c>
    </row>
    <row r="21" spans="1:17">
      <c r="C21" t="s">
        <v>655</v>
      </c>
      <c r="D21" t="s">
        <v>656</v>
      </c>
      <c r="E21" s="1691">
        <v>0</v>
      </c>
      <c r="F21" s="1691">
        <v>0</v>
      </c>
      <c r="G21" s="1691">
        <v>0</v>
      </c>
      <c r="H21" s="1691">
        <v>0</v>
      </c>
      <c r="I21" s="1691">
        <v>0</v>
      </c>
      <c r="J21" s="1691">
        <v>0</v>
      </c>
      <c r="K21" s="1691">
        <v>0</v>
      </c>
      <c r="L21" s="1691">
        <v>0</v>
      </c>
      <c r="M21" s="1691">
        <v>0</v>
      </c>
      <c r="N21" s="1691">
        <v>0</v>
      </c>
      <c r="O21" s="1691">
        <v>0</v>
      </c>
      <c r="P21" s="1691">
        <v>0</v>
      </c>
      <c r="Q21" s="1691">
        <v>0</v>
      </c>
    </row>
    <row r="22" spans="1:17">
      <c r="D22" t="s">
        <v>658</v>
      </c>
      <c r="E22" s="1691">
        <v>0</v>
      </c>
      <c r="F22" s="1691">
        <v>0</v>
      </c>
      <c r="G22" s="1691">
        <v>0</v>
      </c>
      <c r="H22" s="1691">
        <v>0</v>
      </c>
      <c r="I22" s="1691">
        <v>0</v>
      </c>
      <c r="J22" s="1691">
        <v>0</v>
      </c>
      <c r="K22" s="1691">
        <v>0</v>
      </c>
      <c r="L22" s="1691">
        <v>0</v>
      </c>
      <c r="M22" s="1691">
        <v>0</v>
      </c>
      <c r="N22" s="1691">
        <v>0</v>
      </c>
      <c r="O22" s="1691">
        <v>0</v>
      </c>
      <c r="P22" s="1691">
        <v>0</v>
      </c>
      <c r="Q22" s="1691">
        <v>0</v>
      </c>
    </row>
    <row r="23" spans="1:17">
      <c r="D23" t="s">
        <v>660</v>
      </c>
      <c r="E23" s="1691">
        <v>0</v>
      </c>
      <c r="F23" s="1691">
        <v>0</v>
      </c>
      <c r="G23" s="1691">
        <v>0</v>
      </c>
      <c r="H23" s="1691">
        <v>0</v>
      </c>
      <c r="I23" s="1691">
        <v>0</v>
      </c>
      <c r="J23" s="1691">
        <v>0</v>
      </c>
      <c r="K23" s="1691">
        <v>0</v>
      </c>
      <c r="L23" s="1691">
        <v>0</v>
      </c>
      <c r="M23" s="1691">
        <v>0</v>
      </c>
      <c r="N23" s="1691">
        <v>0</v>
      </c>
      <c r="O23" s="1691">
        <v>0</v>
      </c>
      <c r="P23" s="1691">
        <v>0</v>
      </c>
      <c r="Q23" s="1691">
        <v>0</v>
      </c>
    </row>
    <row r="24" spans="1:17">
      <c r="D24" t="s">
        <v>662</v>
      </c>
      <c r="E24" s="1691">
        <v>0</v>
      </c>
      <c r="F24" s="1691">
        <v>0</v>
      </c>
      <c r="G24" s="1691">
        <v>0</v>
      </c>
      <c r="H24" s="1691">
        <v>0</v>
      </c>
      <c r="I24" s="1691">
        <v>0</v>
      </c>
      <c r="J24" s="1691">
        <v>0</v>
      </c>
      <c r="K24" s="1691">
        <v>0</v>
      </c>
      <c r="L24" s="1691">
        <v>0</v>
      </c>
      <c r="M24" s="1691">
        <v>0</v>
      </c>
      <c r="N24" s="1691">
        <v>0</v>
      </c>
      <c r="O24" s="1691">
        <v>0</v>
      </c>
      <c r="P24" s="1691">
        <v>0</v>
      </c>
      <c r="Q24" s="1691">
        <v>0</v>
      </c>
    </row>
    <row r="25" spans="1:17">
      <c r="D25" t="s">
        <v>664</v>
      </c>
      <c r="E25" s="1691">
        <v>0</v>
      </c>
      <c r="F25" s="1691">
        <v>0</v>
      </c>
      <c r="G25" s="1691">
        <v>0</v>
      </c>
      <c r="H25" s="1691">
        <v>0</v>
      </c>
      <c r="I25" s="1691">
        <v>0</v>
      </c>
      <c r="J25" s="1691">
        <v>0</v>
      </c>
      <c r="K25" s="1691">
        <v>0</v>
      </c>
      <c r="L25" s="1691">
        <v>0</v>
      </c>
      <c r="M25" s="1691">
        <v>0</v>
      </c>
      <c r="N25" s="1691">
        <v>0</v>
      </c>
      <c r="O25" s="1691">
        <v>0</v>
      </c>
      <c r="P25" s="1691">
        <v>0</v>
      </c>
      <c r="Q25" s="1691">
        <v>0</v>
      </c>
    </row>
    <row r="26" spans="1:17">
      <c r="D26" t="s">
        <v>666</v>
      </c>
      <c r="E26" s="1691">
        <v>0</v>
      </c>
      <c r="F26" s="1691">
        <v>0</v>
      </c>
      <c r="G26" s="1691">
        <v>0</v>
      </c>
      <c r="H26" s="1691">
        <v>0</v>
      </c>
      <c r="I26" s="1691">
        <v>0</v>
      </c>
      <c r="J26" s="1691">
        <v>0</v>
      </c>
      <c r="K26" s="1691">
        <v>0</v>
      </c>
      <c r="L26" s="1691">
        <v>0</v>
      </c>
      <c r="M26" s="1691">
        <v>0</v>
      </c>
      <c r="N26" s="1691">
        <v>0</v>
      </c>
      <c r="O26" s="1691">
        <v>0</v>
      </c>
      <c r="P26" s="1691">
        <v>0</v>
      </c>
      <c r="Q26" s="1691">
        <v>0</v>
      </c>
    </row>
    <row r="27" spans="1:17">
      <c r="D27" t="s">
        <v>668</v>
      </c>
      <c r="E27" s="1691">
        <v>0</v>
      </c>
      <c r="F27" s="1691">
        <v>0</v>
      </c>
      <c r="G27" s="1691">
        <v>0</v>
      </c>
      <c r="H27" s="1691">
        <v>0</v>
      </c>
      <c r="I27" s="1691">
        <v>0</v>
      </c>
      <c r="J27" s="1691">
        <v>0</v>
      </c>
      <c r="K27" s="1691">
        <v>0</v>
      </c>
      <c r="L27" s="1691">
        <v>0</v>
      </c>
      <c r="M27" s="1691">
        <v>0</v>
      </c>
      <c r="N27" s="1691">
        <v>0</v>
      </c>
      <c r="O27" s="1691">
        <v>0</v>
      </c>
      <c r="P27" s="1691">
        <v>0</v>
      </c>
      <c r="Q27" s="1691">
        <v>0</v>
      </c>
    </row>
    <row r="28" spans="1:17">
      <c r="A28" t="s">
        <v>238</v>
      </c>
      <c r="B28" t="s">
        <v>797</v>
      </c>
      <c r="C28" t="s">
        <v>790</v>
      </c>
      <c r="D28" t="s">
        <v>791</v>
      </c>
      <c r="E28" s="1691">
        <v>0</v>
      </c>
      <c r="F28" s="1691">
        <v>0</v>
      </c>
      <c r="G28" s="1691">
        <v>0</v>
      </c>
      <c r="H28" s="1691">
        <v>0</v>
      </c>
      <c r="I28" s="1691">
        <v>0</v>
      </c>
      <c r="J28" s="1691">
        <v>0</v>
      </c>
      <c r="K28" s="1691">
        <v>0</v>
      </c>
      <c r="L28" s="1691">
        <v>0</v>
      </c>
      <c r="M28" s="1691">
        <v>0</v>
      </c>
      <c r="N28" s="1691">
        <v>0</v>
      </c>
      <c r="O28" s="1691">
        <v>0</v>
      </c>
      <c r="P28" s="1691">
        <v>0</v>
      </c>
      <c r="Q28" s="1691">
        <v>0</v>
      </c>
    </row>
    <row r="29" spans="1:17">
      <c r="D29" t="s">
        <v>793</v>
      </c>
      <c r="E29" s="1691">
        <v>0</v>
      </c>
      <c r="F29" s="1691">
        <v>0</v>
      </c>
      <c r="G29" s="1691">
        <v>0</v>
      </c>
      <c r="H29" s="1691">
        <v>0</v>
      </c>
      <c r="I29" s="1691">
        <v>0</v>
      </c>
      <c r="J29" s="1691">
        <v>0</v>
      </c>
      <c r="K29" s="1691">
        <v>0</v>
      </c>
      <c r="L29" s="1691">
        <v>0</v>
      </c>
      <c r="M29" s="1691">
        <v>0</v>
      </c>
      <c r="N29" s="1691">
        <v>0</v>
      </c>
      <c r="O29" s="1691">
        <v>0</v>
      </c>
      <c r="P29" s="1691">
        <v>0</v>
      </c>
      <c r="Q29" s="1691">
        <v>0</v>
      </c>
    </row>
    <row r="30" spans="1:17">
      <c r="D30" t="s">
        <v>725</v>
      </c>
      <c r="E30" s="1691">
        <v>0</v>
      </c>
      <c r="F30" s="1691">
        <v>0</v>
      </c>
      <c r="G30" s="1691">
        <v>0</v>
      </c>
      <c r="H30" s="1691">
        <v>0</v>
      </c>
      <c r="I30" s="1691">
        <v>0</v>
      </c>
      <c r="J30" s="1691">
        <v>0</v>
      </c>
      <c r="K30" s="1691">
        <v>0</v>
      </c>
      <c r="L30" s="1691">
        <v>0</v>
      </c>
      <c r="M30" s="1691">
        <v>0</v>
      </c>
      <c r="N30" s="1691">
        <v>0</v>
      </c>
      <c r="O30" s="1691">
        <v>0</v>
      </c>
      <c r="P30" s="1691">
        <v>0</v>
      </c>
      <c r="Q30" s="1691">
        <v>0</v>
      </c>
    </row>
    <row r="31" spans="1:17">
      <c r="C31" t="s">
        <v>655</v>
      </c>
      <c r="D31" t="s">
        <v>656</v>
      </c>
      <c r="E31" s="1691">
        <v>0</v>
      </c>
      <c r="F31" s="1691">
        <v>0</v>
      </c>
      <c r="G31" s="1691">
        <v>0</v>
      </c>
      <c r="H31" s="1691">
        <v>0</v>
      </c>
      <c r="I31" s="1691">
        <v>0</v>
      </c>
      <c r="J31" s="1691">
        <v>0</v>
      </c>
      <c r="K31" s="1691">
        <v>0</v>
      </c>
      <c r="L31" s="1691">
        <v>0</v>
      </c>
      <c r="M31" s="1691">
        <v>0</v>
      </c>
      <c r="N31" s="1691">
        <v>0</v>
      </c>
      <c r="O31" s="1691">
        <v>0</v>
      </c>
      <c r="P31" s="1691">
        <v>0</v>
      </c>
      <c r="Q31" s="1691">
        <v>0</v>
      </c>
    </row>
    <row r="32" spans="1:17">
      <c r="D32" t="s">
        <v>658</v>
      </c>
      <c r="E32" s="1691">
        <v>0</v>
      </c>
      <c r="F32" s="1691">
        <v>0</v>
      </c>
      <c r="G32" s="1691">
        <v>0</v>
      </c>
      <c r="H32" s="1691">
        <v>0</v>
      </c>
      <c r="I32" s="1691">
        <v>0</v>
      </c>
      <c r="J32" s="1691">
        <v>0</v>
      </c>
      <c r="K32" s="1691">
        <v>0</v>
      </c>
      <c r="L32" s="1691">
        <v>0</v>
      </c>
      <c r="M32" s="1691">
        <v>0</v>
      </c>
      <c r="N32" s="1691">
        <v>0</v>
      </c>
      <c r="O32" s="1691">
        <v>0</v>
      </c>
      <c r="P32" s="1691">
        <v>0</v>
      </c>
      <c r="Q32" s="1691">
        <v>0</v>
      </c>
    </row>
    <row r="33" spans="1:17">
      <c r="D33" t="s">
        <v>660</v>
      </c>
      <c r="E33" s="1691">
        <v>0</v>
      </c>
      <c r="F33" s="1691">
        <v>0</v>
      </c>
      <c r="G33" s="1691">
        <v>0</v>
      </c>
      <c r="H33" s="1691">
        <v>0</v>
      </c>
      <c r="I33" s="1691">
        <v>0</v>
      </c>
      <c r="J33" s="1691">
        <v>0</v>
      </c>
      <c r="K33" s="1691">
        <v>0</v>
      </c>
      <c r="L33" s="1691">
        <v>0</v>
      </c>
      <c r="M33" s="1691">
        <v>0</v>
      </c>
      <c r="N33" s="1691">
        <v>0</v>
      </c>
      <c r="O33" s="1691">
        <v>0</v>
      </c>
      <c r="P33" s="1691">
        <v>0</v>
      </c>
      <c r="Q33" s="1691">
        <v>0</v>
      </c>
    </row>
    <row r="34" spans="1:17">
      <c r="D34" t="s">
        <v>662</v>
      </c>
      <c r="E34" s="1691">
        <v>0</v>
      </c>
      <c r="F34" s="1691">
        <v>0</v>
      </c>
      <c r="G34" s="1691">
        <v>0</v>
      </c>
      <c r="H34" s="1691">
        <v>0</v>
      </c>
      <c r="I34" s="1691">
        <v>0</v>
      </c>
      <c r="J34" s="1691">
        <v>0</v>
      </c>
      <c r="K34" s="1691">
        <v>0</v>
      </c>
      <c r="L34" s="1691">
        <v>0</v>
      </c>
      <c r="M34" s="1691">
        <v>0</v>
      </c>
      <c r="N34" s="1691">
        <v>0</v>
      </c>
      <c r="O34" s="1691">
        <v>0</v>
      </c>
      <c r="P34" s="1691">
        <v>0</v>
      </c>
      <c r="Q34" s="1691">
        <v>0</v>
      </c>
    </row>
    <row r="35" spans="1:17">
      <c r="D35" t="s">
        <v>664</v>
      </c>
      <c r="E35" s="1691">
        <v>0</v>
      </c>
      <c r="F35" s="1691">
        <v>0</v>
      </c>
      <c r="G35" s="1691">
        <v>0</v>
      </c>
      <c r="H35" s="1691">
        <v>0</v>
      </c>
      <c r="I35" s="1691">
        <v>0</v>
      </c>
      <c r="J35" s="1691">
        <v>0</v>
      </c>
      <c r="K35" s="1691">
        <v>0</v>
      </c>
      <c r="L35" s="1691">
        <v>0</v>
      </c>
      <c r="M35" s="1691">
        <v>0</v>
      </c>
      <c r="N35" s="1691">
        <v>0</v>
      </c>
      <c r="O35" s="1691">
        <v>0</v>
      </c>
      <c r="P35" s="1691">
        <v>0</v>
      </c>
      <c r="Q35" s="1691">
        <v>0</v>
      </c>
    </row>
    <row r="36" spans="1:17">
      <c r="D36" t="s">
        <v>666</v>
      </c>
      <c r="E36" s="1691">
        <v>0</v>
      </c>
      <c r="F36" s="1691">
        <v>0</v>
      </c>
      <c r="G36" s="1691">
        <v>0</v>
      </c>
      <c r="H36" s="1691">
        <v>0</v>
      </c>
      <c r="I36" s="1691">
        <v>0</v>
      </c>
      <c r="J36" s="1691">
        <v>0</v>
      </c>
      <c r="K36" s="1691">
        <v>0</v>
      </c>
      <c r="L36" s="1691">
        <v>0</v>
      </c>
      <c r="M36" s="1691">
        <v>0</v>
      </c>
      <c r="N36" s="1691">
        <v>0</v>
      </c>
      <c r="O36" s="1691">
        <v>0</v>
      </c>
      <c r="P36" s="1691">
        <v>0</v>
      </c>
      <c r="Q36" s="1691">
        <v>0</v>
      </c>
    </row>
    <row r="37" spans="1:17">
      <c r="D37" t="s">
        <v>668</v>
      </c>
      <c r="E37" s="1691">
        <v>0</v>
      </c>
      <c r="F37" s="1691">
        <v>0</v>
      </c>
      <c r="G37" s="1691">
        <v>0</v>
      </c>
      <c r="H37" s="1691">
        <v>0</v>
      </c>
      <c r="I37" s="1691">
        <v>0</v>
      </c>
      <c r="J37" s="1691">
        <v>0</v>
      </c>
      <c r="K37" s="1691">
        <v>0</v>
      </c>
      <c r="L37" s="1691">
        <v>0</v>
      </c>
      <c r="M37" s="1691">
        <v>0</v>
      </c>
      <c r="N37" s="1691">
        <v>0</v>
      </c>
      <c r="O37" s="1691">
        <v>0</v>
      </c>
      <c r="P37" s="1691">
        <v>0</v>
      </c>
      <c r="Q37" s="1691">
        <v>0</v>
      </c>
    </row>
    <row r="38" spans="1:17">
      <c r="B38" t="s">
        <v>798</v>
      </c>
      <c r="C38" t="s">
        <v>6953</v>
      </c>
      <c r="D38" t="s">
        <v>731</v>
      </c>
      <c r="E38" s="1691">
        <v>0</v>
      </c>
      <c r="F38" s="1691">
        <v>0</v>
      </c>
      <c r="G38" s="1691">
        <v>0</v>
      </c>
      <c r="H38" s="1691">
        <v>0</v>
      </c>
      <c r="I38" s="1691">
        <v>0</v>
      </c>
      <c r="J38" s="1691">
        <v>0</v>
      </c>
      <c r="K38" s="1691">
        <v>0</v>
      </c>
      <c r="L38" s="1691">
        <v>0</v>
      </c>
      <c r="M38" s="1691">
        <v>0</v>
      </c>
      <c r="N38" s="1691">
        <v>0</v>
      </c>
      <c r="O38" s="1691">
        <v>0</v>
      </c>
      <c r="P38" s="1691">
        <v>0</v>
      </c>
      <c r="Q38" s="1691">
        <v>0</v>
      </c>
    </row>
    <row r="39" spans="1:17">
      <c r="C39" t="s">
        <v>655</v>
      </c>
      <c r="D39" t="s">
        <v>656</v>
      </c>
      <c r="E39" s="1691">
        <v>0</v>
      </c>
      <c r="F39" s="1691">
        <v>0</v>
      </c>
      <c r="G39" s="1691">
        <v>0</v>
      </c>
      <c r="H39" s="1691">
        <v>0</v>
      </c>
      <c r="I39" s="1691">
        <v>0</v>
      </c>
      <c r="J39" s="1691">
        <v>0</v>
      </c>
      <c r="K39" s="1691">
        <v>0</v>
      </c>
      <c r="L39" s="1691">
        <v>0</v>
      </c>
      <c r="M39" s="1691">
        <v>0</v>
      </c>
      <c r="N39" s="1691">
        <v>0</v>
      </c>
      <c r="O39" s="1691">
        <v>0</v>
      </c>
      <c r="P39" s="1691">
        <v>0</v>
      </c>
      <c r="Q39" s="1691">
        <v>0</v>
      </c>
    </row>
    <row r="40" spans="1:17">
      <c r="D40" t="s">
        <v>658</v>
      </c>
      <c r="E40" s="1691">
        <v>0</v>
      </c>
      <c r="F40" s="1691">
        <v>0</v>
      </c>
      <c r="G40" s="1691">
        <v>0</v>
      </c>
      <c r="H40" s="1691">
        <v>0</v>
      </c>
      <c r="I40" s="1691">
        <v>0</v>
      </c>
      <c r="J40" s="1691">
        <v>0</v>
      </c>
      <c r="K40" s="1691">
        <v>0</v>
      </c>
      <c r="L40" s="1691">
        <v>0</v>
      </c>
      <c r="M40" s="1691">
        <v>0</v>
      </c>
      <c r="N40" s="1691">
        <v>0</v>
      </c>
      <c r="O40" s="1691">
        <v>0</v>
      </c>
      <c r="P40" s="1691">
        <v>0</v>
      </c>
      <c r="Q40" s="1691">
        <v>0</v>
      </c>
    </row>
    <row r="41" spans="1:17">
      <c r="D41" t="s">
        <v>660</v>
      </c>
      <c r="E41" s="1691">
        <v>0</v>
      </c>
      <c r="F41" s="1691">
        <v>0</v>
      </c>
      <c r="G41" s="1691">
        <v>0</v>
      </c>
      <c r="H41" s="1691">
        <v>0</v>
      </c>
      <c r="I41" s="1691">
        <v>0</v>
      </c>
      <c r="J41" s="1691">
        <v>0</v>
      </c>
      <c r="K41" s="1691">
        <v>0</v>
      </c>
      <c r="L41" s="1691">
        <v>0</v>
      </c>
      <c r="M41" s="1691">
        <v>0</v>
      </c>
      <c r="N41" s="1691">
        <v>0</v>
      </c>
      <c r="O41" s="1691">
        <v>0</v>
      </c>
      <c r="P41" s="1691">
        <v>0</v>
      </c>
      <c r="Q41" s="1691">
        <v>0</v>
      </c>
    </row>
    <row r="42" spans="1:17">
      <c r="D42" t="s">
        <v>662</v>
      </c>
      <c r="E42" s="1691">
        <v>0</v>
      </c>
      <c r="F42" s="1691">
        <v>0</v>
      </c>
      <c r="G42" s="1691">
        <v>0</v>
      </c>
      <c r="H42" s="1691">
        <v>0</v>
      </c>
      <c r="I42" s="1691">
        <v>0</v>
      </c>
      <c r="J42" s="1691">
        <v>0</v>
      </c>
      <c r="K42" s="1691">
        <v>0</v>
      </c>
      <c r="L42" s="1691">
        <v>0</v>
      </c>
      <c r="M42" s="1691">
        <v>0</v>
      </c>
      <c r="N42" s="1691">
        <v>0</v>
      </c>
      <c r="O42" s="1691">
        <v>0</v>
      </c>
      <c r="P42" s="1691">
        <v>0</v>
      </c>
      <c r="Q42" s="1691">
        <v>0</v>
      </c>
    </row>
    <row r="43" spans="1:17">
      <c r="D43" t="s">
        <v>664</v>
      </c>
      <c r="E43" s="1691">
        <v>0</v>
      </c>
      <c r="F43" s="1691">
        <v>0</v>
      </c>
      <c r="G43" s="1691">
        <v>0</v>
      </c>
      <c r="H43" s="1691">
        <v>0</v>
      </c>
      <c r="I43" s="1691">
        <v>0</v>
      </c>
      <c r="J43" s="1691">
        <v>0</v>
      </c>
      <c r="K43" s="1691">
        <v>0</v>
      </c>
      <c r="L43" s="1691">
        <v>0</v>
      </c>
      <c r="M43" s="1691">
        <v>0</v>
      </c>
      <c r="N43" s="1691">
        <v>0</v>
      </c>
      <c r="O43" s="1691">
        <v>0</v>
      </c>
      <c r="P43" s="1691">
        <v>0</v>
      </c>
      <c r="Q43" s="1691">
        <v>0</v>
      </c>
    </row>
    <row r="44" spans="1:17">
      <c r="D44" t="s">
        <v>666</v>
      </c>
      <c r="E44" s="1691">
        <v>0</v>
      </c>
      <c r="F44" s="1691">
        <v>0</v>
      </c>
      <c r="G44" s="1691">
        <v>0</v>
      </c>
      <c r="H44" s="1691">
        <v>0</v>
      </c>
      <c r="I44" s="1691">
        <v>0</v>
      </c>
      <c r="J44" s="1691">
        <v>0</v>
      </c>
      <c r="K44" s="1691">
        <v>0</v>
      </c>
      <c r="L44" s="1691">
        <v>0</v>
      </c>
      <c r="M44" s="1691">
        <v>0</v>
      </c>
      <c r="N44" s="1691">
        <v>0</v>
      </c>
      <c r="O44" s="1691">
        <v>0</v>
      </c>
      <c r="P44" s="1691">
        <v>0</v>
      </c>
      <c r="Q44" s="1691">
        <v>0</v>
      </c>
    </row>
    <row r="45" spans="1:17">
      <c r="D45" t="s">
        <v>668</v>
      </c>
      <c r="E45" s="1691">
        <v>0</v>
      </c>
      <c r="F45" s="1691">
        <v>0</v>
      </c>
      <c r="G45" s="1691">
        <v>0</v>
      </c>
      <c r="H45" s="1691">
        <v>0</v>
      </c>
      <c r="I45" s="1691">
        <v>0</v>
      </c>
      <c r="J45" s="1691">
        <v>0</v>
      </c>
      <c r="K45" s="1691">
        <v>0</v>
      </c>
      <c r="L45" s="1691">
        <v>0</v>
      </c>
      <c r="M45" s="1691">
        <v>0</v>
      </c>
      <c r="N45" s="1691">
        <v>0</v>
      </c>
      <c r="O45" s="1691">
        <v>0</v>
      </c>
      <c r="P45" s="1691">
        <v>0</v>
      </c>
      <c r="Q45" s="1691">
        <v>0</v>
      </c>
    </row>
    <row r="46" spans="1:17">
      <c r="A46" t="s">
        <v>780</v>
      </c>
      <c r="B46" t="s">
        <v>789</v>
      </c>
      <c r="C46" t="s">
        <v>790</v>
      </c>
      <c r="D46" t="s">
        <v>791</v>
      </c>
      <c r="E46" s="1691">
        <v>0</v>
      </c>
      <c r="F46" s="1691">
        <v>0</v>
      </c>
      <c r="G46" s="1691">
        <v>0</v>
      </c>
      <c r="H46" s="1691">
        <v>0</v>
      </c>
      <c r="I46" s="1691">
        <v>0</v>
      </c>
      <c r="J46" s="1691">
        <v>0</v>
      </c>
      <c r="K46" s="1691">
        <v>0</v>
      </c>
      <c r="L46" s="1691">
        <v>0</v>
      </c>
      <c r="M46" s="1691">
        <v>0</v>
      </c>
      <c r="N46" s="1691">
        <v>0</v>
      </c>
      <c r="O46" s="1691">
        <v>0</v>
      </c>
      <c r="P46" s="1691">
        <v>0</v>
      </c>
      <c r="Q46" s="1691">
        <v>0</v>
      </c>
    </row>
    <row r="47" spans="1:17">
      <c r="D47" t="s">
        <v>793</v>
      </c>
      <c r="E47" s="1691">
        <v>0</v>
      </c>
      <c r="F47" s="1691">
        <v>0</v>
      </c>
      <c r="G47" s="1691">
        <v>0</v>
      </c>
      <c r="H47" s="1691">
        <v>0</v>
      </c>
      <c r="I47" s="1691">
        <v>0</v>
      </c>
      <c r="J47" s="1691">
        <v>0</v>
      </c>
      <c r="K47" s="1691">
        <v>0</v>
      </c>
      <c r="L47" s="1691">
        <v>0</v>
      </c>
      <c r="M47" s="1691">
        <v>0</v>
      </c>
      <c r="N47" s="1691">
        <v>0</v>
      </c>
      <c r="O47" s="1691">
        <v>0</v>
      </c>
      <c r="P47" s="1691">
        <v>0</v>
      </c>
      <c r="Q47" s="1691">
        <v>0</v>
      </c>
    </row>
    <row r="48" spans="1:17">
      <c r="D48" t="s">
        <v>725</v>
      </c>
      <c r="E48" s="1691">
        <v>0</v>
      </c>
      <c r="F48" s="1691">
        <v>0</v>
      </c>
      <c r="G48" s="1691">
        <v>0</v>
      </c>
      <c r="H48" s="1691">
        <v>0</v>
      </c>
      <c r="I48" s="1691">
        <v>0</v>
      </c>
      <c r="J48" s="1691">
        <v>0</v>
      </c>
      <c r="K48" s="1691">
        <v>0</v>
      </c>
      <c r="L48" s="1691">
        <v>0</v>
      </c>
      <c r="M48" s="1691">
        <v>0</v>
      </c>
      <c r="N48" s="1691">
        <v>0</v>
      </c>
      <c r="O48" s="1691">
        <v>0</v>
      </c>
      <c r="P48" s="1691">
        <v>0</v>
      </c>
      <c r="Q48" s="1691">
        <v>0</v>
      </c>
    </row>
    <row r="49" spans="2:17">
      <c r="C49" t="s">
        <v>655</v>
      </c>
      <c r="D49" t="s">
        <v>656</v>
      </c>
      <c r="E49" s="1691">
        <v>0</v>
      </c>
      <c r="F49" s="1691">
        <v>0</v>
      </c>
      <c r="G49" s="1691">
        <v>0</v>
      </c>
      <c r="H49" s="1691">
        <v>0</v>
      </c>
      <c r="I49" s="1691">
        <v>0</v>
      </c>
      <c r="J49" s="1691">
        <v>0</v>
      </c>
      <c r="K49" s="1691">
        <v>0</v>
      </c>
      <c r="L49" s="1691">
        <v>0</v>
      </c>
      <c r="M49" s="1691">
        <v>0</v>
      </c>
      <c r="N49" s="1691">
        <v>0</v>
      </c>
      <c r="O49" s="1691">
        <v>0</v>
      </c>
      <c r="P49" s="1691">
        <v>0</v>
      </c>
      <c r="Q49" s="1691">
        <v>0</v>
      </c>
    </row>
    <row r="50" spans="2:17">
      <c r="D50" t="s">
        <v>658</v>
      </c>
      <c r="E50" s="1691">
        <v>0</v>
      </c>
      <c r="F50" s="1691">
        <v>0</v>
      </c>
      <c r="G50" s="1691">
        <v>0</v>
      </c>
      <c r="H50" s="1691">
        <v>0</v>
      </c>
      <c r="I50" s="1691">
        <v>0</v>
      </c>
      <c r="J50" s="1691">
        <v>0</v>
      </c>
      <c r="K50" s="1691">
        <v>0</v>
      </c>
      <c r="L50" s="1691">
        <v>0</v>
      </c>
      <c r="M50" s="1691">
        <v>0</v>
      </c>
      <c r="N50" s="1691">
        <v>0</v>
      </c>
      <c r="O50" s="1691">
        <v>0</v>
      </c>
      <c r="P50" s="1691">
        <v>0</v>
      </c>
      <c r="Q50" s="1691">
        <v>0</v>
      </c>
    </row>
    <row r="51" spans="2:17">
      <c r="D51" t="s">
        <v>660</v>
      </c>
      <c r="E51" s="1691">
        <v>0</v>
      </c>
      <c r="F51" s="1691">
        <v>0</v>
      </c>
      <c r="G51" s="1691">
        <v>0</v>
      </c>
      <c r="H51" s="1691">
        <v>0</v>
      </c>
      <c r="I51" s="1691">
        <v>0</v>
      </c>
      <c r="J51" s="1691">
        <v>0</v>
      </c>
      <c r="K51" s="1691">
        <v>0</v>
      </c>
      <c r="L51" s="1691">
        <v>0</v>
      </c>
      <c r="M51" s="1691">
        <v>0</v>
      </c>
      <c r="N51" s="1691">
        <v>0</v>
      </c>
      <c r="O51" s="1691">
        <v>0</v>
      </c>
      <c r="P51" s="1691">
        <v>0</v>
      </c>
      <c r="Q51" s="1691">
        <v>0</v>
      </c>
    </row>
    <row r="52" spans="2:17">
      <c r="D52" t="s">
        <v>662</v>
      </c>
      <c r="E52" s="1691">
        <v>0</v>
      </c>
      <c r="F52" s="1691">
        <v>0</v>
      </c>
      <c r="G52" s="1691">
        <v>0</v>
      </c>
      <c r="H52" s="1691">
        <v>0</v>
      </c>
      <c r="I52" s="1691">
        <v>0</v>
      </c>
      <c r="J52" s="1691">
        <v>0</v>
      </c>
      <c r="K52" s="1691">
        <v>0</v>
      </c>
      <c r="L52" s="1691">
        <v>0</v>
      </c>
      <c r="M52" s="1691">
        <v>0</v>
      </c>
      <c r="N52" s="1691">
        <v>0</v>
      </c>
      <c r="O52" s="1691">
        <v>0</v>
      </c>
      <c r="P52" s="1691">
        <v>0</v>
      </c>
      <c r="Q52" s="1691">
        <v>0</v>
      </c>
    </row>
    <row r="53" spans="2:17">
      <c r="D53" t="s">
        <v>664</v>
      </c>
      <c r="E53" s="1691">
        <v>0</v>
      </c>
      <c r="F53" s="1691">
        <v>0</v>
      </c>
      <c r="G53" s="1691">
        <v>0</v>
      </c>
      <c r="H53" s="1691">
        <v>0</v>
      </c>
      <c r="I53" s="1691">
        <v>0</v>
      </c>
      <c r="J53" s="1691">
        <v>0</v>
      </c>
      <c r="K53" s="1691">
        <v>0</v>
      </c>
      <c r="L53" s="1691">
        <v>0</v>
      </c>
      <c r="M53" s="1691">
        <v>0</v>
      </c>
      <c r="N53" s="1691">
        <v>0</v>
      </c>
      <c r="O53" s="1691">
        <v>0</v>
      </c>
      <c r="P53" s="1691">
        <v>0</v>
      </c>
      <c r="Q53" s="1691">
        <v>0</v>
      </c>
    </row>
    <row r="54" spans="2:17">
      <c r="D54" t="s">
        <v>666</v>
      </c>
      <c r="E54" s="1691">
        <v>0</v>
      </c>
      <c r="F54" s="1691">
        <v>0</v>
      </c>
      <c r="G54" s="1691">
        <v>0</v>
      </c>
      <c r="H54" s="1691">
        <v>0</v>
      </c>
      <c r="I54" s="1691">
        <v>0</v>
      </c>
      <c r="J54" s="1691">
        <v>0</v>
      </c>
      <c r="K54" s="1691">
        <v>0</v>
      </c>
      <c r="L54" s="1691">
        <v>0</v>
      </c>
      <c r="M54" s="1691">
        <v>0</v>
      </c>
      <c r="N54" s="1691">
        <v>0</v>
      </c>
      <c r="O54" s="1691">
        <v>0</v>
      </c>
      <c r="P54" s="1691">
        <v>0</v>
      </c>
      <c r="Q54" s="1691">
        <v>0</v>
      </c>
    </row>
    <row r="55" spans="2:17">
      <c r="D55" t="s">
        <v>668</v>
      </c>
      <c r="E55" s="1691">
        <v>0</v>
      </c>
      <c r="F55" s="1691">
        <v>0</v>
      </c>
      <c r="G55" s="1691">
        <v>0</v>
      </c>
      <c r="H55" s="1691">
        <v>0</v>
      </c>
      <c r="I55" s="1691">
        <v>0</v>
      </c>
      <c r="J55" s="1691">
        <v>0</v>
      </c>
      <c r="K55" s="1691">
        <v>0</v>
      </c>
      <c r="L55" s="1691">
        <v>0</v>
      </c>
      <c r="M55" s="1691">
        <v>0</v>
      </c>
      <c r="N55" s="1691">
        <v>0</v>
      </c>
      <c r="O55" s="1691">
        <v>0</v>
      </c>
      <c r="P55" s="1691">
        <v>0</v>
      </c>
      <c r="Q55" s="1691">
        <v>0</v>
      </c>
    </row>
    <row r="56" spans="2:17">
      <c r="B56" t="s">
        <v>796</v>
      </c>
      <c r="C56" t="s">
        <v>790</v>
      </c>
      <c r="D56" t="s">
        <v>791</v>
      </c>
      <c r="E56" s="1691">
        <v>0</v>
      </c>
      <c r="F56" s="1691">
        <v>0</v>
      </c>
      <c r="G56" s="1691">
        <v>0</v>
      </c>
      <c r="H56" s="1691">
        <v>0</v>
      </c>
      <c r="I56" s="1691">
        <v>0</v>
      </c>
      <c r="J56" s="1691">
        <v>0</v>
      </c>
      <c r="K56" s="1691">
        <v>0</v>
      </c>
      <c r="L56" s="1691">
        <v>0</v>
      </c>
      <c r="M56" s="1691">
        <v>0</v>
      </c>
      <c r="N56" s="1691">
        <v>0</v>
      </c>
      <c r="O56" s="1691">
        <v>0</v>
      </c>
      <c r="P56" s="1691">
        <v>0</v>
      </c>
      <c r="Q56" s="1691">
        <v>0</v>
      </c>
    </row>
    <row r="57" spans="2:17">
      <c r="D57" t="s">
        <v>793</v>
      </c>
      <c r="E57" s="1691">
        <v>0</v>
      </c>
      <c r="F57" s="1691">
        <v>0</v>
      </c>
      <c r="G57" s="1691">
        <v>0</v>
      </c>
      <c r="H57" s="1691">
        <v>0</v>
      </c>
      <c r="I57" s="1691">
        <v>0</v>
      </c>
      <c r="J57" s="1691">
        <v>0</v>
      </c>
      <c r="K57" s="1691">
        <v>0</v>
      </c>
      <c r="L57" s="1691">
        <v>0</v>
      </c>
      <c r="M57" s="1691">
        <v>0</v>
      </c>
      <c r="N57" s="1691">
        <v>0</v>
      </c>
      <c r="O57" s="1691">
        <v>0</v>
      </c>
      <c r="P57" s="1691">
        <v>0</v>
      </c>
      <c r="Q57" s="1691">
        <v>0</v>
      </c>
    </row>
    <row r="58" spans="2:17">
      <c r="D58" t="s">
        <v>725</v>
      </c>
      <c r="E58" s="1691">
        <v>0</v>
      </c>
      <c r="F58" s="1691">
        <v>0</v>
      </c>
      <c r="G58" s="1691">
        <v>0</v>
      </c>
      <c r="H58" s="1691">
        <v>0</v>
      </c>
      <c r="I58" s="1691">
        <v>0</v>
      </c>
      <c r="J58" s="1691">
        <v>0</v>
      </c>
      <c r="K58" s="1691">
        <v>0</v>
      </c>
      <c r="L58" s="1691">
        <v>0</v>
      </c>
      <c r="M58" s="1691">
        <v>0</v>
      </c>
      <c r="N58" s="1691">
        <v>0</v>
      </c>
      <c r="O58" s="1691">
        <v>0</v>
      </c>
      <c r="P58" s="1691">
        <v>0</v>
      </c>
      <c r="Q58" s="1691">
        <v>0</v>
      </c>
    </row>
    <row r="59" spans="2:17">
      <c r="C59" t="s">
        <v>655</v>
      </c>
      <c r="D59" t="s">
        <v>656</v>
      </c>
      <c r="E59" s="1691">
        <v>0</v>
      </c>
      <c r="F59" s="1691">
        <v>0</v>
      </c>
      <c r="G59" s="1691">
        <v>0</v>
      </c>
      <c r="H59" s="1691">
        <v>0</v>
      </c>
      <c r="I59" s="1691">
        <v>0</v>
      </c>
      <c r="J59" s="1691">
        <v>0</v>
      </c>
      <c r="K59" s="1691">
        <v>0</v>
      </c>
      <c r="L59" s="1691">
        <v>0</v>
      </c>
      <c r="M59" s="1691">
        <v>0</v>
      </c>
      <c r="N59" s="1691">
        <v>0</v>
      </c>
      <c r="O59" s="1691">
        <v>0</v>
      </c>
      <c r="P59" s="1691">
        <v>0</v>
      </c>
      <c r="Q59" s="1691">
        <v>0</v>
      </c>
    </row>
    <row r="60" spans="2:17">
      <c r="D60" t="s">
        <v>658</v>
      </c>
      <c r="E60" s="1691">
        <v>0</v>
      </c>
      <c r="F60" s="1691">
        <v>0</v>
      </c>
      <c r="G60" s="1691">
        <v>0</v>
      </c>
      <c r="H60" s="1691">
        <v>0</v>
      </c>
      <c r="I60" s="1691">
        <v>0</v>
      </c>
      <c r="J60" s="1691">
        <v>0</v>
      </c>
      <c r="K60" s="1691">
        <v>0</v>
      </c>
      <c r="L60" s="1691">
        <v>0</v>
      </c>
      <c r="M60" s="1691">
        <v>0</v>
      </c>
      <c r="N60" s="1691">
        <v>0</v>
      </c>
      <c r="O60" s="1691">
        <v>0</v>
      </c>
      <c r="P60" s="1691">
        <v>0</v>
      </c>
      <c r="Q60" s="1691">
        <v>0</v>
      </c>
    </row>
    <row r="61" spans="2:17">
      <c r="D61" t="s">
        <v>660</v>
      </c>
      <c r="E61" s="1691">
        <v>0</v>
      </c>
      <c r="F61" s="1691">
        <v>0</v>
      </c>
      <c r="G61" s="1691">
        <v>0</v>
      </c>
      <c r="H61" s="1691">
        <v>0</v>
      </c>
      <c r="I61" s="1691">
        <v>0</v>
      </c>
      <c r="J61" s="1691">
        <v>0</v>
      </c>
      <c r="K61" s="1691">
        <v>0</v>
      </c>
      <c r="L61" s="1691">
        <v>0</v>
      </c>
      <c r="M61" s="1691">
        <v>0</v>
      </c>
      <c r="N61" s="1691">
        <v>0</v>
      </c>
      <c r="O61" s="1691">
        <v>0</v>
      </c>
      <c r="P61" s="1691">
        <v>0</v>
      </c>
      <c r="Q61" s="1691">
        <v>0</v>
      </c>
    </row>
    <row r="62" spans="2:17">
      <c r="D62" t="s">
        <v>662</v>
      </c>
      <c r="E62" s="1691">
        <v>0</v>
      </c>
      <c r="F62" s="1691">
        <v>0</v>
      </c>
      <c r="G62" s="1691">
        <v>0</v>
      </c>
      <c r="H62" s="1691">
        <v>0</v>
      </c>
      <c r="I62" s="1691">
        <v>0</v>
      </c>
      <c r="J62" s="1691">
        <v>0</v>
      </c>
      <c r="K62" s="1691">
        <v>0</v>
      </c>
      <c r="L62" s="1691">
        <v>0</v>
      </c>
      <c r="M62" s="1691">
        <v>0</v>
      </c>
      <c r="N62" s="1691">
        <v>0</v>
      </c>
      <c r="O62" s="1691">
        <v>0</v>
      </c>
      <c r="P62" s="1691">
        <v>0</v>
      </c>
      <c r="Q62" s="1691">
        <v>0</v>
      </c>
    </row>
    <row r="63" spans="2:17">
      <c r="D63" t="s">
        <v>664</v>
      </c>
      <c r="E63" s="1691">
        <v>0</v>
      </c>
      <c r="F63" s="1691">
        <v>0</v>
      </c>
      <c r="G63" s="1691">
        <v>0</v>
      </c>
      <c r="H63" s="1691">
        <v>0</v>
      </c>
      <c r="I63" s="1691">
        <v>0</v>
      </c>
      <c r="J63" s="1691">
        <v>0</v>
      </c>
      <c r="K63" s="1691">
        <v>0</v>
      </c>
      <c r="L63" s="1691">
        <v>0</v>
      </c>
      <c r="M63" s="1691">
        <v>0</v>
      </c>
      <c r="N63" s="1691">
        <v>0</v>
      </c>
      <c r="O63" s="1691">
        <v>0</v>
      </c>
      <c r="P63" s="1691">
        <v>0</v>
      </c>
      <c r="Q63" s="1691">
        <v>0</v>
      </c>
    </row>
    <row r="64" spans="2:17">
      <c r="D64" t="s">
        <v>666</v>
      </c>
      <c r="E64" s="1691">
        <v>0</v>
      </c>
      <c r="F64" s="1691">
        <v>0</v>
      </c>
      <c r="G64" s="1691">
        <v>0</v>
      </c>
      <c r="H64" s="1691">
        <v>0</v>
      </c>
      <c r="I64" s="1691">
        <v>0</v>
      </c>
      <c r="J64" s="1691">
        <v>0</v>
      </c>
      <c r="K64" s="1691">
        <v>0</v>
      </c>
      <c r="L64" s="1691">
        <v>0</v>
      </c>
      <c r="M64" s="1691">
        <v>0</v>
      </c>
      <c r="N64" s="1691">
        <v>0</v>
      </c>
      <c r="O64" s="1691">
        <v>0</v>
      </c>
      <c r="P64" s="1691">
        <v>0</v>
      </c>
      <c r="Q64" s="1691">
        <v>0</v>
      </c>
    </row>
    <row r="65" spans="1:17">
      <c r="D65" t="s">
        <v>668</v>
      </c>
      <c r="E65" s="1691">
        <v>0</v>
      </c>
      <c r="F65" s="1691">
        <v>0</v>
      </c>
      <c r="G65" s="1691">
        <v>0</v>
      </c>
      <c r="H65" s="1691">
        <v>0</v>
      </c>
      <c r="I65" s="1691">
        <v>0</v>
      </c>
      <c r="J65" s="1691">
        <v>0</v>
      </c>
      <c r="K65" s="1691">
        <v>0</v>
      </c>
      <c r="L65" s="1691">
        <v>0</v>
      </c>
      <c r="M65" s="1691">
        <v>0</v>
      </c>
      <c r="N65" s="1691">
        <v>0</v>
      </c>
      <c r="O65" s="1691">
        <v>0</v>
      </c>
      <c r="P65" s="1691">
        <v>0</v>
      </c>
      <c r="Q65" s="1691">
        <v>0</v>
      </c>
    </row>
    <row r="66" spans="1:17">
      <c r="B66" t="s">
        <v>794</v>
      </c>
      <c r="C66" t="s">
        <v>6873</v>
      </c>
      <c r="D66" t="s">
        <v>781</v>
      </c>
      <c r="E66" s="1691">
        <v>0</v>
      </c>
      <c r="F66" s="1691">
        <v>0</v>
      </c>
      <c r="G66" s="1691">
        <v>0</v>
      </c>
      <c r="H66" s="1691">
        <v>0</v>
      </c>
      <c r="I66" s="1691">
        <v>0</v>
      </c>
      <c r="J66" s="1691">
        <v>0</v>
      </c>
      <c r="K66" s="1691">
        <v>0</v>
      </c>
      <c r="L66" s="1691">
        <v>0</v>
      </c>
      <c r="M66" s="1691">
        <v>0</v>
      </c>
      <c r="N66" s="1691">
        <v>0</v>
      </c>
      <c r="O66" s="1691">
        <v>0</v>
      </c>
      <c r="P66" s="1691">
        <v>0</v>
      </c>
      <c r="Q66" s="1691">
        <v>0</v>
      </c>
    </row>
    <row r="67" spans="1:17">
      <c r="B67" t="s">
        <v>795</v>
      </c>
      <c r="C67" t="s">
        <v>6875</v>
      </c>
      <c r="D67" t="s">
        <v>792</v>
      </c>
      <c r="E67" s="1691">
        <v>0</v>
      </c>
      <c r="F67" s="1691">
        <v>0</v>
      </c>
      <c r="G67" s="1691">
        <v>0</v>
      </c>
      <c r="H67" s="1691">
        <v>0</v>
      </c>
      <c r="I67" s="1691">
        <v>0</v>
      </c>
      <c r="J67" s="1691">
        <v>0</v>
      </c>
      <c r="K67" s="1691">
        <v>0</v>
      </c>
      <c r="L67" s="1691">
        <v>0</v>
      </c>
      <c r="M67" s="1691">
        <v>0</v>
      </c>
      <c r="N67" s="1691">
        <v>0</v>
      </c>
      <c r="O67" s="1691">
        <v>0</v>
      </c>
      <c r="P67" s="1691">
        <v>0</v>
      </c>
      <c r="Q67" s="1691">
        <v>0</v>
      </c>
    </row>
    <row r="68" spans="1:17">
      <c r="C68" t="s">
        <v>655</v>
      </c>
      <c r="D68" t="s">
        <v>656</v>
      </c>
      <c r="E68" s="1691">
        <v>0</v>
      </c>
      <c r="F68" s="1691">
        <v>0</v>
      </c>
      <c r="G68" s="1691">
        <v>0</v>
      </c>
      <c r="H68" s="1691">
        <v>0</v>
      </c>
      <c r="I68" s="1691">
        <v>0</v>
      </c>
      <c r="J68" s="1691">
        <v>0</v>
      </c>
      <c r="K68" s="1691">
        <v>0</v>
      </c>
      <c r="L68" s="1691">
        <v>0</v>
      </c>
      <c r="M68" s="1691">
        <v>0</v>
      </c>
      <c r="N68" s="1691">
        <v>0</v>
      </c>
      <c r="O68" s="1691">
        <v>0</v>
      </c>
      <c r="P68" s="1691">
        <v>0</v>
      </c>
      <c r="Q68" s="1691">
        <v>0</v>
      </c>
    </row>
    <row r="69" spans="1:17">
      <c r="D69" t="s">
        <v>658</v>
      </c>
      <c r="E69" s="1691">
        <v>0</v>
      </c>
      <c r="F69" s="1691">
        <v>0</v>
      </c>
      <c r="G69" s="1691">
        <v>0</v>
      </c>
      <c r="H69" s="1691">
        <v>0</v>
      </c>
      <c r="I69" s="1691">
        <v>0</v>
      </c>
      <c r="J69" s="1691">
        <v>0</v>
      </c>
      <c r="K69" s="1691">
        <v>0</v>
      </c>
      <c r="L69" s="1691">
        <v>0</v>
      </c>
      <c r="M69" s="1691">
        <v>0</v>
      </c>
      <c r="N69" s="1691">
        <v>0</v>
      </c>
      <c r="O69" s="1691">
        <v>0</v>
      </c>
      <c r="P69" s="1691">
        <v>0</v>
      </c>
      <c r="Q69" s="1691">
        <v>0</v>
      </c>
    </row>
    <row r="70" spans="1:17">
      <c r="D70" t="s">
        <v>660</v>
      </c>
      <c r="E70" s="1691">
        <v>0</v>
      </c>
      <c r="F70" s="1691">
        <v>0</v>
      </c>
      <c r="G70" s="1691">
        <v>0</v>
      </c>
      <c r="H70" s="1691">
        <v>0</v>
      </c>
      <c r="I70" s="1691">
        <v>0</v>
      </c>
      <c r="J70" s="1691">
        <v>0</v>
      </c>
      <c r="K70" s="1691">
        <v>0</v>
      </c>
      <c r="L70" s="1691">
        <v>0</v>
      </c>
      <c r="M70" s="1691">
        <v>0</v>
      </c>
      <c r="N70" s="1691">
        <v>0</v>
      </c>
      <c r="O70" s="1691">
        <v>0</v>
      </c>
      <c r="P70" s="1691">
        <v>0</v>
      </c>
      <c r="Q70" s="1691">
        <v>0</v>
      </c>
    </row>
    <row r="71" spans="1:17">
      <c r="D71" t="s">
        <v>662</v>
      </c>
      <c r="E71" s="1691">
        <v>0</v>
      </c>
      <c r="F71" s="1691">
        <v>0</v>
      </c>
      <c r="G71" s="1691">
        <v>0</v>
      </c>
      <c r="H71" s="1691">
        <v>0</v>
      </c>
      <c r="I71" s="1691">
        <v>0</v>
      </c>
      <c r="J71" s="1691">
        <v>0</v>
      </c>
      <c r="K71" s="1691">
        <v>0</v>
      </c>
      <c r="L71" s="1691">
        <v>0</v>
      </c>
      <c r="M71" s="1691">
        <v>0</v>
      </c>
      <c r="N71" s="1691">
        <v>0</v>
      </c>
      <c r="O71" s="1691">
        <v>0</v>
      </c>
      <c r="P71" s="1691">
        <v>0</v>
      </c>
      <c r="Q71" s="1691">
        <v>0</v>
      </c>
    </row>
    <row r="72" spans="1:17">
      <c r="D72" t="s">
        <v>664</v>
      </c>
      <c r="E72" s="1691">
        <v>0</v>
      </c>
      <c r="F72" s="1691">
        <v>0</v>
      </c>
      <c r="G72" s="1691">
        <v>0</v>
      </c>
      <c r="H72" s="1691">
        <v>0</v>
      </c>
      <c r="I72" s="1691">
        <v>0</v>
      </c>
      <c r="J72" s="1691">
        <v>0</v>
      </c>
      <c r="K72" s="1691">
        <v>0</v>
      </c>
      <c r="L72" s="1691">
        <v>0</v>
      </c>
      <c r="M72" s="1691">
        <v>0</v>
      </c>
      <c r="N72" s="1691">
        <v>0</v>
      </c>
      <c r="O72" s="1691">
        <v>0</v>
      </c>
      <c r="P72" s="1691">
        <v>0</v>
      </c>
      <c r="Q72" s="1691">
        <v>0</v>
      </c>
    </row>
    <row r="73" spans="1:17">
      <c r="D73" t="s">
        <v>666</v>
      </c>
      <c r="E73" s="1691">
        <v>0</v>
      </c>
      <c r="F73" s="1691">
        <v>0</v>
      </c>
      <c r="G73" s="1691">
        <v>0</v>
      </c>
      <c r="H73" s="1691">
        <v>0</v>
      </c>
      <c r="I73" s="1691">
        <v>0</v>
      </c>
      <c r="J73" s="1691">
        <v>0</v>
      </c>
      <c r="K73" s="1691">
        <v>0</v>
      </c>
      <c r="L73" s="1691">
        <v>0</v>
      </c>
      <c r="M73" s="1691">
        <v>0</v>
      </c>
      <c r="N73" s="1691">
        <v>0</v>
      </c>
      <c r="O73" s="1691">
        <v>0</v>
      </c>
      <c r="P73" s="1691">
        <v>0</v>
      </c>
      <c r="Q73" s="1691">
        <v>0</v>
      </c>
    </row>
    <row r="74" spans="1:17">
      <c r="D74" t="s">
        <v>668</v>
      </c>
      <c r="E74" s="1691">
        <v>0</v>
      </c>
      <c r="F74" s="1691">
        <v>0</v>
      </c>
      <c r="G74" s="1691">
        <v>0</v>
      </c>
      <c r="H74" s="1691">
        <v>0</v>
      </c>
      <c r="I74" s="1691">
        <v>0</v>
      </c>
      <c r="J74" s="1691">
        <v>0</v>
      </c>
      <c r="K74" s="1691">
        <v>0</v>
      </c>
      <c r="L74" s="1691">
        <v>0</v>
      </c>
      <c r="M74" s="1691">
        <v>0</v>
      </c>
      <c r="N74" s="1691">
        <v>0</v>
      </c>
      <c r="O74" s="1691">
        <v>0</v>
      </c>
      <c r="P74" s="1691">
        <v>0</v>
      </c>
      <c r="Q74" s="1691">
        <v>0</v>
      </c>
    </row>
    <row r="75" spans="1:17">
      <c r="A75" t="s">
        <v>4639</v>
      </c>
      <c r="E75" s="1691">
        <v>0</v>
      </c>
      <c r="F75" s="1691">
        <v>0</v>
      </c>
      <c r="G75" s="1691">
        <v>0</v>
      </c>
      <c r="H75" s="1691">
        <v>0</v>
      </c>
      <c r="I75" s="1691">
        <v>0</v>
      </c>
      <c r="J75" s="1691">
        <v>0</v>
      </c>
      <c r="K75" s="1691">
        <v>0</v>
      </c>
      <c r="L75" s="1691">
        <v>0</v>
      </c>
      <c r="M75" s="1691">
        <v>0</v>
      </c>
      <c r="N75" s="1691">
        <v>0</v>
      </c>
      <c r="O75" s="1691">
        <v>0</v>
      </c>
      <c r="P75" s="1691">
        <v>0</v>
      </c>
      <c r="Q75" s="1691">
        <v>0</v>
      </c>
    </row>
  </sheetData>
  <sheetProtection algorithmName="SHA-512" hashValue="Dp9Y9EafZ97aPof2+Vtkrq42ZviOtGimsCy46sl9OLcbM5iumhf2dagMxsBg0G4UzmJirgwQG3xQX7L6jB1GHg==" saltValue="MF+sF9S7Y7rrrwgM+0IArw=="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3792-E8D6-490D-9D2B-94386226570B}">
  <sheetPr>
    <tabColor theme="0" tint="-0.499984740745262"/>
  </sheetPr>
  <dimension ref="A1:O16"/>
  <sheetViews>
    <sheetView topLeftCell="A4" zoomScale="95" zoomScaleNormal="95" workbookViewId="0">
      <selection activeCell="A23" sqref="A23:A24"/>
    </sheetView>
  </sheetViews>
  <sheetFormatPr defaultRowHeight="14.5"/>
  <cols>
    <col min="1" max="1" width="37.6328125" bestFit="1" customWidth="1"/>
    <col min="2" max="2" width="72.7265625" customWidth="1"/>
    <col min="3" max="3" width="17.08984375" bestFit="1" customWidth="1"/>
    <col min="4" max="4" width="21.81640625" customWidth="1"/>
    <col min="5" max="15" width="15.81640625" customWidth="1"/>
  </cols>
  <sheetData>
    <row r="1" spans="1:15">
      <c r="A1" s="838" t="s">
        <v>814</v>
      </c>
      <c r="B1" t="s">
        <v>818</v>
      </c>
    </row>
    <row r="3" spans="1:15">
      <c r="A3" s="838" t="s">
        <v>6916</v>
      </c>
      <c r="C3" s="838" t="s">
        <v>6932</v>
      </c>
    </row>
    <row r="4" spans="1:15" s="1693" customFormat="1" ht="48.75" customHeight="1">
      <c r="A4" s="1692" t="s">
        <v>615</v>
      </c>
      <c r="B4" s="1692" t="s">
        <v>616</v>
      </c>
      <c r="C4" s="1693">
        <v>0</v>
      </c>
      <c r="D4" s="1694" t="s">
        <v>6938</v>
      </c>
      <c r="E4" s="1694" t="s">
        <v>6939</v>
      </c>
      <c r="F4" s="1694" t="s">
        <v>6933</v>
      </c>
      <c r="G4" s="1694" t="s">
        <v>6940</v>
      </c>
      <c r="H4" s="1694" t="s">
        <v>6937</v>
      </c>
      <c r="I4" s="1694" t="s">
        <v>6941</v>
      </c>
      <c r="J4" s="1694" t="s">
        <v>6936</v>
      </c>
      <c r="K4" s="1694" t="s">
        <v>6935</v>
      </c>
      <c r="L4" s="1694" t="s">
        <v>238</v>
      </c>
      <c r="M4" s="1694" t="s">
        <v>92</v>
      </c>
      <c r="N4" s="1694" t="s">
        <v>6934</v>
      </c>
      <c r="O4" s="1694" t="s">
        <v>4639</v>
      </c>
    </row>
    <row r="5" spans="1:15">
      <c r="A5" t="s">
        <v>800</v>
      </c>
      <c r="B5" t="s">
        <v>802</v>
      </c>
      <c r="C5" s="1691"/>
      <c r="D5" s="1691">
        <v>0</v>
      </c>
      <c r="E5" s="1691">
        <v>0</v>
      </c>
      <c r="F5" s="1691">
        <v>0</v>
      </c>
      <c r="G5" s="1691">
        <v>0</v>
      </c>
      <c r="H5" s="1691">
        <v>0</v>
      </c>
      <c r="I5" s="1691">
        <v>0</v>
      </c>
      <c r="J5" s="1691">
        <v>0</v>
      </c>
      <c r="K5" s="1691">
        <v>0</v>
      </c>
      <c r="L5" s="1691"/>
      <c r="M5" s="1691">
        <v>0</v>
      </c>
      <c r="N5" s="1691">
        <v>0</v>
      </c>
      <c r="O5" s="1691">
        <v>0</v>
      </c>
    </row>
    <row r="6" spans="1:15">
      <c r="B6" t="s">
        <v>801</v>
      </c>
      <c r="C6" s="1691"/>
      <c r="D6" s="1691">
        <v>0</v>
      </c>
      <c r="E6" s="1691">
        <v>0</v>
      </c>
      <c r="F6" s="1691">
        <v>0</v>
      </c>
      <c r="G6" s="1691">
        <v>0</v>
      </c>
      <c r="H6" s="1691">
        <v>0</v>
      </c>
      <c r="I6" s="1691">
        <v>0</v>
      </c>
      <c r="J6" s="1691">
        <v>0</v>
      </c>
      <c r="K6" s="1691">
        <v>0</v>
      </c>
      <c r="L6" s="1691"/>
      <c r="M6" s="1691">
        <v>0</v>
      </c>
      <c r="N6" s="1691">
        <v>0</v>
      </c>
      <c r="O6" s="1691">
        <v>0</v>
      </c>
    </row>
    <row r="7" spans="1:15">
      <c r="B7" t="s">
        <v>803</v>
      </c>
      <c r="C7" s="1691"/>
      <c r="D7" s="1691">
        <v>0</v>
      </c>
      <c r="E7" s="1691">
        <v>0</v>
      </c>
      <c r="F7" s="1691">
        <v>0</v>
      </c>
      <c r="G7" s="1691">
        <v>0</v>
      </c>
      <c r="H7" s="1691">
        <v>0</v>
      </c>
      <c r="I7" s="1691">
        <v>0</v>
      </c>
      <c r="J7" s="1691">
        <v>0</v>
      </c>
      <c r="K7" s="1691">
        <v>0</v>
      </c>
      <c r="L7" s="1691"/>
      <c r="M7" s="1691">
        <v>0</v>
      </c>
      <c r="N7" s="1691">
        <v>0</v>
      </c>
      <c r="O7" s="1691">
        <v>0</v>
      </c>
    </row>
    <row r="8" spans="1:15">
      <c r="A8" t="s">
        <v>238</v>
      </c>
      <c r="B8" t="s">
        <v>797</v>
      </c>
      <c r="C8" s="1691"/>
      <c r="D8" s="1691"/>
      <c r="E8" s="1691"/>
      <c r="F8" s="1691"/>
      <c r="G8" s="1691"/>
      <c r="H8" s="1691"/>
      <c r="I8" s="1691"/>
      <c r="J8" s="1691"/>
      <c r="K8" s="1691"/>
      <c r="L8" s="1691">
        <v>0</v>
      </c>
      <c r="M8" s="1691"/>
      <c r="N8" s="1691"/>
      <c r="O8" s="1691">
        <v>0</v>
      </c>
    </row>
    <row r="9" spans="1:15">
      <c r="B9" t="s">
        <v>798</v>
      </c>
      <c r="C9" s="1691"/>
      <c r="D9" s="1691"/>
      <c r="E9" s="1691"/>
      <c r="F9" s="1691"/>
      <c r="G9" s="1691"/>
      <c r="H9" s="1691"/>
      <c r="I9" s="1691"/>
      <c r="J9" s="1691"/>
      <c r="K9" s="1691"/>
      <c r="L9" s="1691">
        <v>0</v>
      </c>
      <c r="M9" s="1691"/>
      <c r="N9" s="1691"/>
      <c r="O9" s="1691">
        <v>0</v>
      </c>
    </row>
    <row r="10" spans="1:15">
      <c r="A10" t="s">
        <v>780</v>
      </c>
      <c r="B10" t="s">
        <v>789</v>
      </c>
      <c r="C10" s="1691"/>
      <c r="D10" s="1691">
        <v>0</v>
      </c>
      <c r="E10" s="1691">
        <v>0</v>
      </c>
      <c r="F10" s="1691">
        <v>0</v>
      </c>
      <c r="G10" s="1691"/>
      <c r="H10" s="1691">
        <v>0</v>
      </c>
      <c r="I10" s="1691"/>
      <c r="J10" s="1691">
        <v>0</v>
      </c>
      <c r="K10" s="1691">
        <v>0</v>
      </c>
      <c r="L10" s="1691"/>
      <c r="M10" s="1691">
        <v>0</v>
      </c>
      <c r="N10" s="1691">
        <v>0</v>
      </c>
      <c r="O10" s="1691">
        <v>0</v>
      </c>
    </row>
    <row r="11" spans="1:15">
      <c r="B11" t="s">
        <v>796</v>
      </c>
      <c r="C11" s="1691"/>
      <c r="D11" s="1691"/>
      <c r="E11" s="1691"/>
      <c r="F11" s="1691"/>
      <c r="G11" s="1691">
        <v>0</v>
      </c>
      <c r="H11" s="1691"/>
      <c r="I11" s="1691"/>
      <c r="J11" s="1691"/>
      <c r="K11" s="1691"/>
      <c r="L11" s="1691"/>
      <c r="M11" s="1691"/>
      <c r="N11" s="1691"/>
      <c r="O11" s="1691">
        <v>0</v>
      </c>
    </row>
    <row r="12" spans="1:15">
      <c r="B12" t="s">
        <v>794</v>
      </c>
      <c r="C12" s="1691"/>
      <c r="D12" s="1691"/>
      <c r="E12" s="1691"/>
      <c r="F12" s="1691"/>
      <c r="G12" s="1691"/>
      <c r="H12" s="1691"/>
      <c r="I12" s="1691"/>
      <c r="J12" s="1691"/>
      <c r="K12" s="1691">
        <v>0</v>
      </c>
      <c r="L12" s="1691"/>
      <c r="M12" s="1691"/>
      <c r="N12" s="1691"/>
      <c r="O12" s="1691">
        <v>0</v>
      </c>
    </row>
    <row r="13" spans="1:15">
      <c r="B13" t="s">
        <v>795</v>
      </c>
      <c r="C13" s="1691"/>
      <c r="D13" s="1691"/>
      <c r="E13" s="1691"/>
      <c r="F13" s="1691"/>
      <c r="G13" s="1691"/>
      <c r="H13" s="1691"/>
      <c r="I13" s="1691"/>
      <c r="J13" s="1691"/>
      <c r="K13" s="1691">
        <v>0</v>
      </c>
      <c r="L13" s="1691"/>
      <c r="M13" s="1691"/>
      <c r="N13" s="1691"/>
      <c r="O13" s="1691">
        <v>0</v>
      </c>
    </row>
    <row r="14" spans="1:15">
      <c r="A14" t="s">
        <v>804</v>
      </c>
      <c r="B14" t="s">
        <v>805</v>
      </c>
      <c r="C14" s="1691">
        <v>0</v>
      </c>
      <c r="D14" s="1691"/>
      <c r="E14" s="1691"/>
      <c r="F14" s="1691"/>
      <c r="G14" s="1691"/>
      <c r="H14" s="1691"/>
      <c r="I14" s="1691"/>
      <c r="J14" s="1691"/>
      <c r="K14" s="1691"/>
      <c r="L14" s="1691"/>
      <c r="M14" s="1691"/>
      <c r="N14" s="1691"/>
      <c r="O14" s="1691">
        <v>0</v>
      </c>
    </row>
    <row r="15" spans="1:15">
      <c r="B15" t="s">
        <v>807</v>
      </c>
      <c r="C15" s="1691">
        <v>0</v>
      </c>
      <c r="D15" s="1691"/>
      <c r="E15" s="1691"/>
      <c r="F15" s="1691"/>
      <c r="G15" s="1691"/>
      <c r="H15" s="1691"/>
      <c r="I15" s="1691"/>
      <c r="J15" s="1691"/>
      <c r="K15" s="1691"/>
      <c r="L15" s="1691"/>
      <c r="M15" s="1691"/>
      <c r="N15" s="1691"/>
      <c r="O15" s="1691">
        <v>0</v>
      </c>
    </row>
    <row r="16" spans="1:15">
      <c r="A16" t="s">
        <v>4639</v>
      </c>
      <c r="C16" s="1691">
        <v>0</v>
      </c>
      <c r="D16" s="1691">
        <v>0</v>
      </c>
      <c r="E16" s="1691">
        <v>0</v>
      </c>
      <c r="F16" s="1691">
        <v>0</v>
      </c>
      <c r="G16" s="1691">
        <v>0</v>
      </c>
      <c r="H16" s="1691">
        <v>0</v>
      </c>
      <c r="I16" s="1691">
        <v>0</v>
      </c>
      <c r="J16" s="1691">
        <v>0</v>
      </c>
      <c r="K16" s="1691">
        <v>0</v>
      </c>
      <c r="L16" s="1691">
        <v>0</v>
      </c>
      <c r="M16" s="1691">
        <v>0</v>
      </c>
      <c r="N16" s="1691">
        <v>0</v>
      </c>
      <c r="O16" s="1691">
        <v>0</v>
      </c>
    </row>
  </sheetData>
  <sheetProtection algorithmName="SHA-512" hashValue="E3UaRDr10FttKlVX//aCFuFA5vUyMzA7SDIGY3Gx+tz+vrh/42rsvB9P4r970qSwdWX9hnfTAMfpfKQ1XvNkUQ==" saltValue="Ys0rVgeHMPsk0PFBhSHyUA=="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56515-C5EF-4820-821F-5E0FECD6528A}">
  <sheetPr>
    <tabColor rgb="FFC00000"/>
  </sheetPr>
  <dimension ref="A1:C43"/>
  <sheetViews>
    <sheetView workbookViewId="0">
      <selection activeCell="A6" sqref="A6"/>
    </sheetView>
  </sheetViews>
  <sheetFormatPr defaultRowHeight="14.5"/>
  <cols>
    <col min="1" max="1" width="78.453125" bestFit="1" customWidth="1"/>
    <col min="2" max="3" width="19" bestFit="1" customWidth="1"/>
  </cols>
  <sheetData>
    <row r="1" spans="1:3">
      <c r="A1" s="838" t="s">
        <v>460</v>
      </c>
      <c r="B1" t="s">
        <v>6931</v>
      </c>
    </row>
    <row r="3" spans="1:3">
      <c r="A3" s="838" t="s">
        <v>6912</v>
      </c>
      <c r="B3" t="s">
        <v>7616</v>
      </c>
      <c r="C3" t="s">
        <v>7617</v>
      </c>
    </row>
    <row r="4" spans="1:3">
      <c r="A4" s="1437" t="s">
        <v>726</v>
      </c>
      <c r="B4" s="1691">
        <v>0</v>
      </c>
      <c r="C4" s="1691">
        <v>0</v>
      </c>
    </row>
    <row r="5" spans="1:3">
      <c r="A5" s="1553" t="s">
        <v>727</v>
      </c>
      <c r="B5" s="1691">
        <v>0</v>
      </c>
      <c r="C5" s="1691">
        <v>0</v>
      </c>
    </row>
    <row r="6" spans="1:3">
      <c r="A6" s="1553" t="s">
        <v>734</v>
      </c>
      <c r="B6" s="1691">
        <v>0</v>
      </c>
      <c r="C6" s="1691">
        <v>0</v>
      </c>
    </row>
    <row r="7" spans="1:3">
      <c r="A7" s="1553" t="s">
        <v>737</v>
      </c>
      <c r="B7" s="1691">
        <v>0</v>
      </c>
      <c r="C7" s="1691">
        <v>0</v>
      </c>
    </row>
    <row r="8" spans="1:3">
      <c r="A8" s="1437" t="s">
        <v>800</v>
      </c>
      <c r="B8" s="1691">
        <v>0</v>
      </c>
      <c r="C8" s="1691">
        <v>0</v>
      </c>
    </row>
    <row r="9" spans="1:3">
      <c r="A9" s="1553" t="s">
        <v>802</v>
      </c>
      <c r="B9" s="1691">
        <v>0</v>
      </c>
      <c r="C9" s="1691">
        <v>0</v>
      </c>
    </row>
    <row r="10" spans="1:3">
      <c r="A10" s="1553" t="s">
        <v>801</v>
      </c>
      <c r="B10" s="1691">
        <v>0</v>
      </c>
      <c r="C10" s="1691">
        <v>0</v>
      </c>
    </row>
    <row r="11" spans="1:3">
      <c r="A11" s="1553" t="s">
        <v>803</v>
      </c>
      <c r="B11" s="1691">
        <v>0</v>
      </c>
      <c r="C11" s="1691">
        <v>0</v>
      </c>
    </row>
    <row r="12" spans="1:3">
      <c r="A12" s="1437" t="s">
        <v>785</v>
      </c>
      <c r="B12" s="1691">
        <v>0</v>
      </c>
      <c r="C12" s="1691">
        <v>0</v>
      </c>
    </row>
    <row r="13" spans="1:3">
      <c r="A13" s="1553" t="s">
        <v>786</v>
      </c>
      <c r="B13" s="1691">
        <v>0</v>
      </c>
      <c r="C13" s="1691">
        <v>0</v>
      </c>
    </row>
    <row r="14" spans="1:3">
      <c r="A14" s="1553" t="s">
        <v>787</v>
      </c>
      <c r="B14" s="1691">
        <v>0</v>
      </c>
      <c r="C14" s="1691">
        <v>0</v>
      </c>
    </row>
    <row r="15" spans="1:3">
      <c r="A15" s="1437" t="s">
        <v>238</v>
      </c>
      <c r="B15" s="1691">
        <v>0</v>
      </c>
      <c r="C15" s="1691">
        <v>0</v>
      </c>
    </row>
    <row r="16" spans="1:3">
      <c r="A16" s="1553" t="s">
        <v>797</v>
      </c>
      <c r="B16" s="1691">
        <v>0</v>
      </c>
      <c r="C16" s="1691">
        <v>0</v>
      </c>
    </row>
    <row r="17" spans="1:3">
      <c r="A17" s="1553" t="s">
        <v>798</v>
      </c>
      <c r="B17" s="1691">
        <v>0</v>
      </c>
      <c r="C17" s="1691">
        <v>0</v>
      </c>
    </row>
    <row r="18" spans="1:3">
      <c r="A18" s="1437" t="s">
        <v>780</v>
      </c>
      <c r="B18" s="1691">
        <v>0</v>
      </c>
      <c r="C18" s="1691">
        <v>0</v>
      </c>
    </row>
    <row r="19" spans="1:3">
      <c r="A19" s="1553" t="s">
        <v>789</v>
      </c>
      <c r="B19" s="1691">
        <v>0</v>
      </c>
      <c r="C19" s="1691">
        <v>0</v>
      </c>
    </row>
    <row r="20" spans="1:3">
      <c r="A20" s="1553" t="s">
        <v>796</v>
      </c>
      <c r="B20" s="1691">
        <v>0</v>
      </c>
      <c r="C20" s="1691">
        <v>0</v>
      </c>
    </row>
    <row r="21" spans="1:3">
      <c r="A21" s="1553" t="s">
        <v>794</v>
      </c>
      <c r="B21" s="1691">
        <v>0</v>
      </c>
      <c r="C21" s="1691">
        <v>0</v>
      </c>
    </row>
    <row r="22" spans="1:3">
      <c r="A22" s="1553" t="s">
        <v>795</v>
      </c>
      <c r="B22" s="1691">
        <v>0</v>
      </c>
      <c r="C22" s="1691">
        <v>0</v>
      </c>
    </row>
    <row r="23" spans="1:3">
      <c r="A23" s="1437" t="s">
        <v>740</v>
      </c>
      <c r="B23" s="1691">
        <v>0</v>
      </c>
      <c r="C23" s="1691">
        <v>0</v>
      </c>
    </row>
    <row r="24" spans="1:3">
      <c r="A24" s="1553" t="s">
        <v>749</v>
      </c>
      <c r="B24" s="1691">
        <v>0</v>
      </c>
      <c r="C24" s="1691">
        <v>0</v>
      </c>
    </row>
    <row r="25" spans="1:3">
      <c r="A25" s="1553" t="s">
        <v>741</v>
      </c>
      <c r="B25" s="1691">
        <v>0</v>
      </c>
      <c r="C25" s="1691">
        <v>0</v>
      </c>
    </row>
    <row r="26" spans="1:3">
      <c r="A26" s="1553" t="s">
        <v>765</v>
      </c>
      <c r="B26" s="1691">
        <v>0</v>
      </c>
      <c r="C26" s="1691">
        <v>0</v>
      </c>
    </row>
    <row r="27" spans="1:3">
      <c r="A27" s="1553" t="s">
        <v>757</v>
      </c>
      <c r="B27" s="1691">
        <v>0</v>
      </c>
      <c r="C27" s="1691">
        <v>0</v>
      </c>
    </row>
    <row r="28" spans="1:3">
      <c r="A28" s="1437" t="s">
        <v>773</v>
      </c>
      <c r="B28" s="1691">
        <v>0</v>
      </c>
      <c r="C28" s="1691">
        <v>0</v>
      </c>
    </row>
    <row r="29" spans="1:3">
      <c r="A29" s="1553" t="s">
        <v>774</v>
      </c>
      <c r="B29" s="1691">
        <v>0</v>
      </c>
      <c r="C29" s="1691">
        <v>0</v>
      </c>
    </row>
    <row r="30" spans="1:3">
      <c r="A30" s="1553" t="s">
        <v>780</v>
      </c>
      <c r="B30" s="1691">
        <v>0</v>
      </c>
      <c r="C30" s="1691">
        <v>0</v>
      </c>
    </row>
    <row r="31" spans="1:3">
      <c r="A31" s="1553" t="s">
        <v>775</v>
      </c>
      <c r="B31" s="1691">
        <v>0</v>
      </c>
      <c r="C31" s="1691">
        <v>0</v>
      </c>
    </row>
    <row r="32" spans="1:3">
      <c r="A32" s="1437" t="s">
        <v>804</v>
      </c>
      <c r="B32" s="1691">
        <v>0</v>
      </c>
      <c r="C32" s="1691">
        <v>0</v>
      </c>
    </row>
    <row r="33" spans="1:3">
      <c r="A33" s="1553" t="s">
        <v>805</v>
      </c>
      <c r="B33" s="1691">
        <v>0</v>
      </c>
      <c r="C33" s="1691">
        <v>0</v>
      </c>
    </row>
    <row r="34" spans="1:3">
      <c r="A34" s="1553" t="s">
        <v>807</v>
      </c>
      <c r="B34" s="1691">
        <v>0</v>
      </c>
      <c r="C34" s="1691">
        <v>0</v>
      </c>
    </row>
    <row r="35" spans="1:3">
      <c r="A35" s="1437" t="s">
        <v>651</v>
      </c>
      <c r="B35" s="1691">
        <v>0</v>
      </c>
      <c r="C35" s="1691">
        <v>0</v>
      </c>
    </row>
    <row r="36" spans="1:3">
      <c r="A36" s="1553" t="s">
        <v>711</v>
      </c>
      <c r="B36" s="1691">
        <v>0</v>
      </c>
      <c r="C36" s="1691">
        <v>0</v>
      </c>
    </row>
    <row r="37" spans="1:3">
      <c r="A37" s="1553" t="s">
        <v>679</v>
      </c>
      <c r="B37" s="1691">
        <v>0</v>
      </c>
      <c r="C37" s="1691">
        <v>0</v>
      </c>
    </row>
    <row r="38" spans="1:3">
      <c r="A38" s="1553" t="s">
        <v>703</v>
      </c>
      <c r="B38" s="1691">
        <v>0</v>
      </c>
      <c r="C38" s="1691">
        <v>0</v>
      </c>
    </row>
    <row r="39" spans="1:3">
      <c r="A39" s="1553" t="s">
        <v>687</v>
      </c>
      <c r="B39" s="1691">
        <v>0</v>
      </c>
      <c r="C39" s="1691">
        <v>0</v>
      </c>
    </row>
    <row r="40" spans="1:3">
      <c r="A40" s="1553" t="s">
        <v>695</v>
      </c>
      <c r="B40" s="1691">
        <v>0</v>
      </c>
      <c r="C40" s="1691">
        <v>0</v>
      </c>
    </row>
    <row r="41" spans="1:3">
      <c r="A41" s="1553" t="s">
        <v>670</v>
      </c>
      <c r="B41" s="1691">
        <v>0</v>
      </c>
      <c r="C41" s="1691">
        <v>0</v>
      </c>
    </row>
    <row r="42" spans="1:3">
      <c r="A42" s="1553" t="s">
        <v>652</v>
      </c>
      <c r="B42" s="1691">
        <v>0</v>
      </c>
      <c r="C42" s="1691">
        <v>0</v>
      </c>
    </row>
    <row r="43" spans="1:3">
      <c r="A43" s="1437" t="s">
        <v>4639</v>
      </c>
      <c r="B43" s="1691">
        <v>0</v>
      </c>
      <c r="C43" s="1691">
        <v>0</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FF0000"/>
  </sheetPr>
  <dimension ref="A1:G11"/>
  <sheetViews>
    <sheetView showGridLines="0" workbookViewId="0">
      <selection activeCell="I26" sqref="I26"/>
    </sheetView>
  </sheetViews>
  <sheetFormatPr defaultColWidth="8.81640625" defaultRowHeight="14.5"/>
  <cols>
    <col min="1" max="1" width="51.36328125" bestFit="1" customWidth="1"/>
    <col min="2" max="2" width="51.36328125" customWidth="1"/>
    <col min="3" max="3" width="31.36328125" bestFit="1" customWidth="1"/>
    <col min="4" max="4" width="65" bestFit="1" customWidth="1"/>
    <col min="5" max="6" width="62.36328125" bestFit="1" customWidth="1"/>
  </cols>
  <sheetData>
    <row r="1" spans="1:7">
      <c r="A1" t="s">
        <v>863</v>
      </c>
      <c r="B1" t="s">
        <v>864</v>
      </c>
      <c r="C1" t="s">
        <v>865</v>
      </c>
      <c r="D1" t="s">
        <v>866</v>
      </c>
      <c r="E1" t="s">
        <v>867</v>
      </c>
    </row>
    <row r="2" spans="1:7">
      <c r="A2" t="s">
        <v>608</v>
      </c>
      <c r="B2" t="s">
        <v>613</v>
      </c>
      <c r="C2" t="s">
        <v>599</v>
      </c>
      <c r="D2" t="s">
        <v>609</v>
      </c>
      <c r="E2" t="s">
        <v>808</v>
      </c>
    </row>
    <row r="3" spans="1:7">
      <c r="A3" t="s">
        <v>868</v>
      </c>
      <c r="B3" t="s">
        <v>869</v>
      </c>
      <c r="C3" t="s">
        <v>600</v>
      </c>
      <c r="D3" t="s">
        <v>808</v>
      </c>
      <c r="E3" t="s">
        <v>809</v>
      </c>
    </row>
    <row r="4" spans="1:7">
      <c r="A4" t="s">
        <v>870</v>
      </c>
      <c r="B4" t="s">
        <v>871</v>
      </c>
      <c r="C4" t="s">
        <v>601</v>
      </c>
      <c r="D4" t="s">
        <v>809</v>
      </c>
      <c r="E4" t="s">
        <v>872</v>
      </c>
    </row>
    <row r="5" spans="1:7">
      <c r="A5" t="s">
        <v>876</v>
      </c>
      <c r="B5" t="s">
        <v>874</v>
      </c>
      <c r="C5" t="s">
        <v>602</v>
      </c>
      <c r="D5" t="s">
        <v>875</v>
      </c>
      <c r="E5" t="s">
        <v>811</v>
      </c>
    </row>
    <row r="6" spans="1:7">
      <c r="A6" t="s">
        <v>873</v>
      </c>
      <c r="B6" t="s">
        <v>877</v>
      </c>
      <c r="C6" t="s">
        <v>603</v>
      </c>
      <c r="D6" t="s">
        <v>811</v>
      </c>
      <c r="E6" t="s">
        <v>810</v>
      </c>
    </row>
    <row r="7" spans="1:7">
      <c r="C7" t="s">
        <v>61</v>
      </c>
      <c r="D7" t="s">
        <v>810</v>
      </c>
      <c r="E7" t="s">
        <v>813</v>
      </c>
    </row>
    <row r="8" spans="1:7">
      <c r="C8" t="s">
        <v>279</v>
      </c>
      <c r="D8" t="s">
        <v>813</v>
      </c>
      <c r="E8" t="s">
        <v>812</v>
      </c>
      <c r="F8" s="4"/>
      <c r="G8" s="4"/>
    </row>
    <row r="9" spans="1:7">
      <c r="D9" t="s">
        <v>878</v>
      </c>
      <c r="E9" t="s">
        <v>614</v>
      </c>
    </row>
    <row r="10" spans="1:7">
      <c r="D10" t="s">
        <v>879</v>
      </c>
      <c r="E10" t="s">
        <v>880</v>
      </c>
    </row>
    <row r="11" spans="1:7">
      <c r="D11" t="s">
        <v>881</v>
      </c>
    </row>
  </sheetData>
  <sheetProtection password="9C4D" sheet="1" objects="1" scenarios="1" formatColumns="0" formatRows="0" autoFilter="0"/>
  <sortState xmlns:xlrd2="http://schemas.microsoft.com/office/spreadsheetml/2017/richdata2" ref="D2:D11">
    <sortCondition ref="D2"/>
  </sortState>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tabColor rgb="FFFF0000"/>
  </sheetPr>
  <dimension ref="A2:S166"/>
  <sheetViews>
    <sheetView showGridLines="0" topLeftCell="A2" workbookViewId="0">
      <selection activeCell="A2" sqref="A2"/>
    </sheetView>
  </sheetViews>
  <sheetFormatPr defaultColWidth="8.81640625" defaultRowHeight="14.5"/>
  <cols>
    <col min="1" max="1" width="29.36328125" customWidth="1"/>
    <col min="2" max="3" width="10.36328125" bestFit="1" customWidth="1"/>
    <col min="4" max="4" width="12.36328125" bestFit="1" customWidth="1"/>
    <col min="5" max="5" width="12.36328125" customWidth="1"/>
    <col min="6" max="6" width="22.36328125" bestFit="1" customWidth="1"/>
    <col min="7" max="7" width="36.36328125" bestFit="1" customWidth="1"/>
    <col min="8" max="8" width="26.36328125" bestFit="1" customWidth="1"/>
    <col min="10" max="10" width="12.36328125" bestFit="1" customWidth="1"/>
    <col min="12" max="12" width="47.36328125" bestFit="1" customWidth="1"/>
    <col min="13" max="13" width="17.36328125" bestFit="1" customWidth="1"/>
    <col min="14" max="14" width="27.36328125" bestFit="1" customWidth="1"/>
    <col min="16" max="16" width="52.36328125" bestFit="1" customWidth="1"/>
    <col min="17" max="17" width="20.36328125" customWidth="1"/>
    <col min="18" max="18" width="12.36328125" bestFit="1" customWidth="1"/>
  </cols>
  <sheetData>
    <row r="2" spans="1:19" ht="15.5">
      <c r="A2" s="1" t="s">
        <v>0</v>
      </c>
      <c r="B2" s="3" t="s">
        <v>14</v>
      </c>
      <c r="C2" s="3" t="s">
        <v>17</v>
      </c>
      <c r="D2" s="3" t="s">
        <v>2</v>
      </c>
      <c r="E2" s="3" t="s">
        <v>882</v>
      </c>
      <c r="F2" s="3" t="s">
        <v>24</v>
      </c>
      <c r="G2" s="3110" t="s">
        <v>883</v>
      </c>
      <c r="H2" s="3110"/>
      <c r="I2" s="3110"/>
      <c r="J2" s="3" t="s">
        <v>884</v>
      </c>
      <c r="K2" s="3110" t="s">
        <v>885</v>
      </c>
      <c r="L2" s="3110"/>
      <c r="M2" s="5" t="s">
        <v>886</v>
      </c>
      <c r="N2" s="5" t="s">
        <v>887</v>
      </c>
      <c r="O2" s="5" t="s">
        <v>888</v>
      </c>
      <c r="P2" s="5" t="s">
        <v>889</v>
      </c>
      <c r="Q2" s="5" t="s">
        <v>890</v>
      </c>
      <c r="R2" s="5" t="s">
        <v>891</v>
      </c>
      <c r="S2" s="5" t="s">
        <v>892</v>
      </c>
    </row>
    <row r="3" spans="1:19" ht="15.5">
      <c r="A3" s="2" t="s">
        <v>893</v>
      </c>
      <c r="B3" t="s">
        <v>15</v>
      </c>
      <c r="C3" t="s">
        <v>18</v>
      </c>
      <c r="D3" t="s">
        <v>818</v>
      </c>
      <c r="E3">
        <v>0</v>
      </c>
      <c r="F3" t="s">
        <v>894</v>
      </c>
      <c r="G3" t="s">
        <v>39</v>
      </c>
      <c r="H3" t="s">
        <v>895</v>
      </c>
      <c r="I3">
        <v>4.0999999999999996</v>
      </c>
      <c r="J3" t="s">
        <v>896</v>
      </c>
      <c r="K3" t="s">
        <v>896</v>
      </c>
      <c r="L3" t="s">
        <v>897</v>
      </c>
      <c r="M3" t="s">
        <v>898</v>
      </c>
      <c r="N3" t="s">
        <v>275</v>
      </c>
      <c r="O3" t="s">
        <v>91</v>
      </c>
      <c r="P3" t="s">
        <v>820</v>
      </c>
      <c r="Q3" t="s">
        <v>858</v>
      </c>
      <c r="R3" t="s">
        <v>860</v>
      </c>
      <c r="S3" t="s">
        <v>861</v>
      </c>
    </row>
    <row r="4" spans="1:19" ht="15.5">
      <c r="A4" s="2" t="s">
        <v>899</v>
      </c>
      <c r="B4" t="s">
        <v>900</v>
      </c>
      <c r="C4" t="s">
        <v>53</v>
      </c>
      <c r="D4" t="s">
        <v>816</v>
      </c>
      <c r="E4">
        <v>1</v>
      </c>
      <c r="F4" t="s">
        <v>1254</v>
      </c>
      <c r="G4" t="s">
        <v>41</v>
      </c>
      <c r="H4" t="s">
        <v>901</v>
      </c>
      <c r="I4">
        <v>4.2</v>
      </c>
      <c r="J4" t="s">
        <v>834</v>
      </c>
      <c r="L4" t="s">
        <v>902</v>
      </c>
      <c r="M4" t="s">
        <v>903</v>
      </c>
      <c r="N4" t="s">
        <v>276</v>
      </c>
      <c r="O4" t="s">
        <v>94</v>
      </c>
      <c r="P4" t="s">
        <v>821</v>
      </c>
      <c r="Q4" t="s">
        <v>859</v>
      </c>
      <c r="R4" t="s">
        <v>861</v>
      </c>
      <c r="S4" t="s">
        <v>858</v>
      </c>
    </row>
    <row r="5" spans="1:19" ht="15.5">
      <c r="A5" s="2" t="s">
        <v>904</v>
      </c>
      <c r="B5" t="s">
        <v>905</v>
      </c>
      <c r="D5" t="s">
        <v>817</v>
      </c>
      <c r="E5">
        <v>2</v>
      </c>
      <c r="F5" t="s">
        <v>1255</v>
      </c>
      <c r="G5" t="s">
        <v>35</v>
      </c>
      <c r="H5" t="s">
        <v>19</v>
      </c>
      <c r="I5">
        <v>4.3</v>
      </c>
      <c r="J5" t="s">
        <v>833</v>
      </c>
      <c r="L5" t="s">
        <v>906</v>
      </c>
      <c r="M5" t="s">
        <v>907</v>
      </c>
      <c r="N5" t="s">
        <v>226</v>
      </c>
      <c r="S5" t="s">
        <v>862</v>
      </c>
    </row>
    <row r="6" spans="1:19" ht="15.5">
      <c r="A6" s="2" t="s">
        <v>908</v>
      </c>
      <c r="B6" t="s">
        <v>909</v>
      </c>
      <c r="D6" t="s">
        <v>19</v>
      </c>
      <c r="E6">
        <v>3</v>
      </c>
      <c r="F6" t="s">
        <v>1256</v>
      </c>
      <c r="G6" t="s">
        <v>148</v>
      </c>
      <c r="H6" t="s">
        <v>895</v>
      </c>
      <c r="I6">
        <v>4.4000000000000004</v>
      </c>
      <c r="J6" t="s">
        <v>910</v>
      </c>
      <c r="K6" t="s">
        <v>834</v>
      </c>
      <c r="L6" t="s">
        <v>911</v>
      </c>
      <c r="N6" t="s">
        <v>278</v>
      </c>
    </row>
    <row r="7" spans="1:19" ht="15.5">
      <c r="A7" s="2" t="s">
        <v>912</v>
      </c>
      <c r="E7">
        <v>4</v>
      </c>
      <c r="G7" t="s">
        <v>179</v>
      </c>
      <c r="H7" t="s">
        <v>895</v>
      </c>
      <c r="I7">
        <v>4.5</v>
      </c>
      <c r="J7" t="s">
        <v>835</v>
      </c>
      <c r="L7" t="s">
        <v>913</v>
      </c>
      <c r="N7" t="s">
        <v>280</v>
      </c>
    </row>
    <row r="8" spans="1:19" ht="15.5">
      <c r="A8" s="2" t="s">
        <v>914</v>
      </c>
      <c r="E8">
        <v>5</v>
      </c>
      <c r="F8" s="3" t="s">
        <v>31</v>
      </c>
      <c r="G8" t="s">
        <v>181</v>
      </c>
      <c r="H8" t="s">
        <v>915</v>
      </c>
      <c r="I8">
        <v>4.7</v>
      </c>
      <c r="J8" t="s">
        <v>836</v>
      </c>
      <c r="L8" t="s">
        <v>916</v>
      </c>
      <c r="N8" t="s">
        <v>281</v>
      </c>
    </row>
    <row r="9" spans="1:19" ht="15.5">
      <c r="A9" s="2" t="s">
        <v>917</v>
      </c>
      <c r="E9">
        <v>6</v>
      </c>
      <c r="F9" t="s">
        <v>918</v>
      </c>
      <c r="G9" t="s">
        <v>56</v>
      </c>
      <c r="H9" t="s">
        <v>19</v>
      </c>
      <c r="I9">
        <v>5.0999999999999996</v>
      </c>
      <c r="J9" t="s">
        <v>919</v>
      </c>
      <c r="K9" t="s">
        <v>833</v>
      </c>
      <c r="L9" t="s">
        <v>920</v>
      </c>
      <c r="N9" t="s">
        <v>282</v>
      </c>
    </row>
    <row r="10" spans="1:19" ht="15.5">
      <c r="A10" s="2" t="s">
        <v>921</v>
      </c>
      <c r="E10">
        <v>7</v>
      </c>
      <c r="F10" t="s">
        <v>36</v>
      </c>
      <c r="G10" t="s">
        <v>48</v>
      </c>
      <c r="H10" t="s">
        <v>895</v>
      </c>
      <c r="I10">
        <v>5.2</v>
      </c>
      <c r="J10" t="s">
        <v>52</v>
      </c>
      <c r="K10" t="s">
        <v>910</v>
      </c>
      <c r="L10" t="s">
        <v>922</v>
      </c>
      <c r="N10" t="s">
        <v>283</v>
      </c>
    </row>
    <row r="11" spans="1:19" ht="15.5">
      <c r="A11" s="2" t="s">
        <v>923</v>
      </c>
      <c r="E11">
        <v>8</v>
      </c>
      <c r="G11" t="s">
        <v>50</v>
      </c>
      <c r="H11" t="s">
        <v>895</v>
      </c>
      <c r="I11">
        <v>5.4</v>
      </c>
      <c r="L11" t="s">
        <v>924</v>
      </c>
      <c r="N11" t="s">
        <v>284</v>
      </c>
    </row>
    <row r="12" spans="1:19" ht="15.5">
      <c r="A12" s="2" t="s">
        <v>925</v>
      </c>
      <c r="E12">
        <v>9</v>
      </c>
      <c r="G12" t="s">
        <v>51</v>
      </c>
      <c r="H12" t="s">
        <v>19</v>
      </c>
      <c r="I12">
        <v>5.4</v>
      </c>
      <c r="K12" t="s">
        <v>835</v>
      </c>
      <c r="L12" t="s">
        <v>926</v>
      </c>
      <c r="N12" t="s">
        <v>285</v>
      </c>
    </row>
    <row r="13" spans="1:19" ht="15.5">
      <c r="A13" s="2" t="s">
        <v>927</v>
      </c>
      <c r="E13">
        <v>10</v>
      </c>
      <c r="G13" t="s">
        <v>57</v>
      </c>
      <c r="H13" t="s">
        <v>19</v>
      </c>
      <c r="I13">
        <v>5.5</v>
      </c>
      <c r="K13" t="s">
        <v>836</v>
      </c>
      <c r="L13" t="s">
        <v>928</v>
      </c>
      <c r="N13" t="s">
        <v>286</v>
      </c>
    </row>
    <row r="14" spans="1:19" ht="15.5">
      <c r="A14" s="2" t="s">
        <v>929</v>
      </c>
      <c r="E14">
        <v>11</v>
      </c>
      <c r="G14" t="s">
        <v>930</v>
      </c>
      <c r="H14" t="s">
        <v>895</v>
      </c>
      <c r="I14">
        <v>5.6</v>
      </c>
      <c r="K14" t="s">
        <v>919</v>
      </c>
      <c r="L14" t="s">
        <v>931</v>
      </c>
      <c r="N14" t="s">
        <v>287</v>
      </c>
    </row>
    <row r="15" spans="1:19" ht="15.5">
      <c r="A15" s="2" t="s">
        <v>932</v>
      </c>
      <c r="E15">
        <v>12</v>
      </c>
      <c r="G15" t="s">
        <v>933</v>
      </c>
      <c r="H15" t="s">
        <v>895</v>
      </c>
      <c r="I15">
        <v>5.6</v>
      </c>
      <c r="L15" t="s">
        <v>934</v>
      </c>
      <c r="N15" t="s">
        <v>288</v>
      </c>
    </row>
    <row r="16" spans="1:19" ht="15.5">
      <c r="A16" s="2" t="s">
        <v>935</v>
      </c>
      <c r="E16">
        <v>13</v>
      </c>
      <c r="G16" t="s">
        <v>936</v>
      </c>
      <c r="H16" t="s">
        <v>901</v>
      </c>
      <c r="I16">
        <v>5.6</v>
      </c>
      <c r="L16" t="s">
        <v>937</v>
      </c>
    </row>
    <row r="17" spans="1:12" ht="15.5">
      <c r="A17" s="2" t="s">
        <v>938</v>
      </c>
      <c r="E17">
        <v>14</v>
      </c>
      <c r="G17" t="s">
        <v>939</v>
      </c>
      <c r="H17" t="s">
        <v>901</v>
      </c>
      <c r="I17">
        <v>5.6</v>
      </c>
      <c r="L17" t="s">
        <v>940</v>
      </c>
    </row>
    <row r="18" spans="1:12" ht="15.5">
      <c r="A18" s="2" t="s">
        <v>941</v>
      </c>
      <c r="E18">
        <v>15</v>
      </c>
      <c r="G18" t="s">
        <v>59</v>
      </c>
      <c r="H18" t="s">
        <v>915</v>
      </c>
      <c r="I18">
        <v>5.6</v>
      </c>
      <c r="L18" t="s">
        <v>942</v>
      </c>
    </row>
    <row r="19" spans="1:12" ht="15.5">
      <c r="A19" s="2" t="s">
        <v>943</v>
      </c>
      <c r="E19">
        <v>16</v>
      </c>
      <c r="G19" t="s">
        <v>944</v>
      </c>
      <c r="H19" t="s">
        <v>915</v>
      </c>
      <c r="I19">
        <v>5.7</v>
      </c>
      <c r="L19" t="s">
        <v>945</v>
      </c>
    </row>
    <row r="20" spans="1:12" ht="15.5">
      <c r="A20" s="2" t="s">
        <v>946</v>
      </c>
      <c r="E20">
        <v>17</v>
      </c>
      <c r="G20" t="s">
        <v>60</v>
      </c>
      <c r="H20" t="s">
        <v>915</v>
      </c>
      <c r="I20">
        <v>5.8</v>
      </c>
      <c r="K20" t="s">
        <v>52</v>
      </c>
    </row>
    <row r="21" spans="1:12" ht="15.5">
      <c r="A21" s="2" t="s">
        <v>947</v>
      </c>
      <c r="E21">
        <v>18</v>
      </c>
      <c r="G21" t="s">
        <v>948</v>
      </c>
      <c r="H21" t="s">
        <v>895</v>
      </c>
      <c r="I21">
        <v>6.1</v>
      </c>
    </row>
    <row r="22" spans="1:12" ht="15.5">
      <c r="A22" s="2" t="s">
        <v>949</v>
      </c>
      <c r="E22">
        <v>19</v>
      </c>
      <c r="G22" t="s">
        <v>950</v>
      </c>
      <c r="H22" t="s">
        <v>895</v>
      </c>
      <c r="I22">
        <v>6.2</v>
      </c>
    </row>
    <row r="23" spans="1:12" ht="15.5">
      <c r="A23" s="2" t="s">
        <v>951</v>
      </c>
      <c r="E23">
        <v>20</v>
      </c>
      <c r="G23" t="s">
        <v>952</v>
      </c>
      <c r="H23" t="s">
        <v>953</v>
      </c>
      <c r="I23">
        <v>6.3</v>
      </c>
    </row>
    <row r="24" spans="1:12" ht="15.5">
      <c r="A24" s="2" t="s">
        <v>954</v>
      </c>
      <c r="E24">
        <v>21</v>
      </c>
      <c r="G24" t="s">
        <v>955</v>
      </c>
      <c r="H24" t="s">
        <v>901</v>
      </c>
      <c r="I24">
        <v>6.4</v>
      </c>
    </row>
    <row r="25" spans="1:12" ht="15.5">
      <c r="A25" s="2" t="s">
        <v>956</v>
      </c>
      <c r="E25">
        <v>22</v>
      </c>
      <c r="G25" t="s">
        <v>957</v>
      </c>
      <c r="H25" t="s">
        <v>901</v>
      </c>
      <c r="I25">
        <v>6.4</v>
      </c>
    </row>
    <row r="26" spans="1:12" ht="15.5">
      <c r="A26" s="2" t="s">
        <v>958</v>
      </c>
      <c r="E26">
        <v>23</v>
      </c>
      <c r="G26" t="s">
        <v>62</v>
      </c>
      <c r="H26" t="s">
        <v>915</v>
      </c>
      <c r="I26">
        <v>6.6</v>
      </c>
    </row>
    <row r="27" spans="1:12" ht="15.5">
      <c r="A27" s="2" t="s">
        <v>959</v>
      </c>
      <c r="E27">
        <v>24</v>
      </c>
    </row>
    <row r="28" spans="1:12" ht="15.5">
      <c r="A28" s="2" t="s">
        <v>960</v>
      </c>
      <c r="E28">
        <v>25</v>
      </c>
    </row>
    <row r="29" spans="1:12" ht="15.5">
      <c r="A29" s="2" t="s">
        <v>961</v>
      </c>
      <c r="E29">
        <v>26</v>
      </c>
    </row>
    <row r="30" spans="1:12" ht="15.5">
      <c r="A30" s="2" t="s">
        <v>962</v>
      </c>
      <c r="E30">
        <v>27</v>
      </c>
    </row>
    <row r="31" spans="1:12" ht="15.5">
      <c r="A31" s="2" t="s">
        <v>963</v>
      </c>
      <c r="E31">
        <v>28</v>
      </c>
    </row>
    <row r="32" spans="1:12" ht="15.5">
      <c r="A32" s="2" t="s">
        <v>964</v>
      </c>
      <c r="E32">
        <v>29</v>
      </c>
    </row>
    <row r="33" spans="1:5" ht="15.5">
      <c r="A33" s="2" t="s">
        <v>965</v>
      </c>
      <c r="E33">
        <v>30</v>
      </c>
    </row>
    <row r="34" spans="1:5" ht="15.5">
      <c r="A34" s="2" t="s">
        <v>966</v>
      </c>
      <c r="E34">
        <v>31</v>
      </c>
    </row>
    <row r="35" spans="1:5" ht="15.5">
      <c r="A35" s="2" t="s">
        <v>967</v>
      </c>
      <c r="E35">
        <v>32</v>
      </c>
    </row>
    <row r="36" spans="1:5" ht="15.5">
      <c r="A36" s="2" t="s">
        <v>968</v>
      </c>
      <c r="E36">
        <v>33</v>
      </c>
    </row>
    <row r="37" spans="1:5" ht="15.5">
      <c r="A37" s="2" t="s">
        <v>969</v>
      </c>
      <c r="E37">
        <v>34</v>
      </c>
    </row>
    <row r="38" spans="1:5" ht="15.5">
      <c r="A38" s="2" t="s">
        <v>970</v>
      </c>
      <c r="E38">
        <v>35</v>
      </c>
    </row>
    <row r="39" spans="1:5" ht="15.5">
      <c r="A39" s="2" t="s">
        <v>971</v>
      </c>
      <c r="E39">
        <v>36</v>
      </c>
    </row>
    <row r="40" spans="1:5" ht="15.5">
      <c r="A40" s="2" t="s">
        <v>972</v>
      </c>
      <c r="E40">
        <v>37</v>
      </c>
    </row>
    <row r="41" spans="1:5" ht="15.5">
      <c r="A41" s="2" t="s">
        <v>973</v>
      </c>
      <c r="E41">
        <v>38</v>
      </c>
    </row>
    <row r="42" spans="1:5" ht="15.5">
      <c r="A42" s="2" t="s">
        <v>974</v>
      </c>
      <c r="E42">
        <v>39</v>
      </c>
    </row>
    <row r="43" spans="1:5" ht="15.5">
      <c r="A43" s="2" t="s">
        <v>975</v>
      </c>
      <c r="E43">
        <v>40</v>
      </c>
    </row>
    <row r="44" spans="1:5" ht="15.5">
      <c r="A44" s="2" t="s">
        <v>976</v>
      </c>
      <c r="E44">
        <v>41</v>
      </c>
    </row>
    <row r="45" spans="1:5" ht="15.5">
      <c r="A45" s="2" t="s">
        <v>977</v>
      </c>
      <c r="E45">
        <v>42</v>
      </c>
    </row>
    <row r="46" spans="1:5" ht="15.5">
      <c r="A46" s="2" t="s">
        <v>978</v>
      </c>
      <c r="E46">
        <v>43</v>
      </c>
    </row>
    <row r="47" spans="1:5" ht="15.5">
      <c r="A47" s="2" t="s">
        <v>979</v>
      </c>
      <c r="E47">
        <v>44</v>
      </c>
    </row>
    <row r="48" spans="1:5" ht="15.5">
      <c r="A48" s="2" t="s">
        <v>980</v>
      </c>
      <c r="E48">
        <v>45</v>
      </c>
    </row>
    <row r="49" spans="1:5" ht="15.5">
      <c r="A49" s="2" t="s">
        <v>981</v>
      </c>
      <c r="E49">
        <v>46</v>
      </c>
    </row>
    <row r="50" spans="1:5" ht="15.5">
      <c r="A50" s="2" t="s">
        <v>982</v>
      </c>
      <c r="E50">
        <v>47</v>
      </c>
    </row>
    <row r="51" spans="1:5" ht="15.5">
      <c r="A51" s="2" t="s">
        <v>983</v>
      </c>
      <c r="E51">
        <v>48</v>
      </c>
    </row>
    <row r="52" spans="1:5" ht="15.5">
      <c r="A52" s="2" t="s">
        <v>984</v>
      </c>
      <c r="E52">
        <v>49</v>
      </c>
    </row>
    <row r="53" spans="1:5" ht="15.5">
      <c r="A53" s="2" t="s">
        <v>985</v>
      </c>
      <c r="E53">
        <v>50</v>
      </c>
    </row>
    <row r="54" spans="1:5" ht="15.5">
      <c r="A54" s="2" t="s">
        <v>986</v>
      </c>
      <c r="E54">
        <v>51</v>
      </c>
    </row>
    <row r="55" spans="1:5" ht="15.5">
      <c r="A55" s="2" t="s">
        <v>987</v>
      </c>
      <c r="E55">
        <v>52</v>
      </c>
    </row>
    <row r="56" spans="1:5" ht="15.5">
      <c r="A56" s="2" t="s">
        <v>988</v>
      </c>
      <c r="E56">
        <v>53</v>
      </c>
    </row>
    <row r="57" spans="1:5" ht="15.5">
      <c r="A57" s="2" t="s">
        <v>989</v>
      </c>
      <c r="E57">
        <v>54</v>
      </c>
    </row>
    <row r="58" spans="1:5" ht="15.5">
      <c r="A58" s="2" t="s">
        <v>990</v>
      </c>
      <c r="E58">
        <v>55</v>
      </c>
    </row>
    <row r="59" spans="1:5" ht="15.5">
      <c r="A59" s="2" t="s">
        <v>991</v>
      </c>
      <c r="E59">
        <v>56</v>
      </c>
    </row>
    <row r="60" spans="1:5" ht="15.5">
      <c r="A60" s="2" t="s">
        <v>992</v>
      </c>
      <c r="E60">
        <v>57</v>
      </c>
    </row>
    <row r="61" spans="1:5" ht="15.5">
      <c r="A61" s="2" t="s">
        <v>993</v>
      </c>
      <c r="E61">
        <v>58</v>
      </c>
    </row>
    <row r="62" spans="1:5" ht="15.5">
      <c r="A62" s="2" t="s">
        <v>994</v>
      </c>
      <c r="E62">
        <v>59</v>
      </c>
    </row>
    <row r="63" spans="1:5" ht="15.5">
      <c r="A63" s="2" t="s">
        <v>995</v>
      </c>
      <c r="E63">
        <v>60</v>
      </c>
    </row>
    <row r="64" spans="1:5" ht="15.5">
      <c r="A64" s="2" t="s">
        <v>996</v>
      </c>
      <c r="E64">
        <v>61</v>
      </c>
    </row>
    <row r="65" spans="1:5" ht="15.5">
      <c r="A65" s="2" t="s">
        <v>997</v>
      </c>
      <c r="E65">
        <v>62</v>
      </c>
    </row>
    <row r="66" spans="1:5" ht="15.5">
      <c r="A66" s="2" t="s">
        <v>998</v>
      </c>
      <c r="E66">
        <v>63</v>
      </c>
    </row>
    <row r="67" spans="1:5" ht="15.5">
      <c r="A67" s="2" t="s">
        <v>999</v>
      </c>
      <c r="E67">
        <v>64</v>
      </c>
    </row>
    <row r="68" spans="1:5" ht="15.5">
      <c r="A68" s="2" t="s">
        <v>1000</v>
      </c>
      <c r="E68">
        <v>65</v>
      </c>
    </row>
    <row r="69" spans="1:5" ht="15.5">
      <c r="A69" s="2" t="s">
        <v>1001</v>
      </c>
      <c r="E69">
        <v>66</v>
      </c>
    </row>
    <row r="70" spans="1:5" ht="15.5">
      <c r="A70" s="2" t="s">
        <v>1002</v>
      </c>
      <c r="E70">
        <v>67</v>
      </c>
    </row>
    <row r="71" spans="1:5" ht="15.5">
      <c r="A71" s="2" t="s">
        <v>1003</v>
      </c>
      <c r="E71">
        <v>68</v>
      </c>
    </row>
    <row r="72" spans="1:5" ht="15.5">
      <c r="A72" s="2" t="s">
        <v>1004</v>
      </c>
      <c r="E72">
        <v>69</v>
      </c>
    </row>
    <row r="73" spans="1:5" ht="15.5">
      <c r="A73" s="2" t="s">
        <v>1005</v>
      </c>
      <c r="E73">
        <v>70</v>
      </c>
    </row>
    <row r="74" spans="1:5" ht="15.5">
      <c r="A74" s="2" t="s">
        <v>1006</v>
      </c>
      <c r="E74">
        <v>71</v>
      </c>
    </row>
    <row r="75" spans="1:5" ht="15.5">
      <c r="A75" s="2" t="s">
        <v>1007</v>
      </c>
      <c r="E75">
        <v>72</v>
      </c>
    </row>
    <row r="76" spans="1:5" ht="15.5">
      <c r="A76" s="2" t="s">
        <v>1008</v>
      </c>
      <c r="E76">
        <v>73</v>
      </c>
    </row>
    <row r="77" spans="1:5" ht="15.5">
      <c r="A77" s="2" t="s">
        <v>1009</v>
      </c>
      <c r="E77">
        <v>74</v>
      </c>
    </row>
    <row r="78" spans="1:5" ht="15.5">
      <c r="A78" s="2" t="s">
        <v>1010</v>
      </c>
      <c r="E78">
        <v>75</v>
      </c>
    </row>
    <row r="79" spans="1:5" ht="15.5">
      <c r="A79" s="2" t="s">
        <v>1011</v>
      </c>
      <c r="E79">
        <v>76</v>
      </c>
    </row>
    <row r="80" spans="1:5" ht="15.5">
      <c r="A80" s="2" t="s">
        <v>1012</v>
      </c>
      <c r="E80">
        <v>77</v>
      </c>
    </row>
    <row r="81" spans="1:5" ht="15.5">
      <c r="A81" s="2" t="s">
        <v>1013</v>
      </c>
      <c r="E81">
        <v>78</v>
      </c>
    </row>
    <row r="82" spans="1:5" ht="15.5">
      <c r="A82" s="2" t="s">
        <v>1014</v>
      </c>
      <c r="E82">
        <v>79</v>
      </c>
    </row>
    <row r="83" spans="1:5" ht="15.5">
      <c r="A83" s="2" t="s">
        <v>1015</v>
      </c>
      <c r="E83">
        <v>80</v>
      </c>
    </row>
    <row r="84" spans="1:5" ht="15.5">
      <c r="A84" s="2" t="s">
        <v>1016</v>
      </c>
      <c r="E84">
        <v>81</v>
      </c>
    </row>
    <row r="85" spans="1:5" ht="15.5">
      <c r="A85" s="2" t="s">
        <v>13</v>
      </c>
      <c r="E85">
        <v>82</v>
      </c>
    </row>
    <row r="86" spans="1:5" ht="15.5">
      <c r="A86" s="2" t="s">
        <v>1017</v>
      </c>
      <c r="E86">
        <v>83</v>
      </c>
    </row>
    <row r="87" spans="1:5" ht="15.5">
      <c r="A87" s="2" t="s">
        <v>1018</v>
      </c>
      <c r="E87">
        <v>84</v>
      </c>
    </row>
    <row r="88" spans="1:5" ht="15.5">
      <c r="A88" s="2" t="s">
        <v>1019</v>
      </c>
      <c r="E88">
        <v>85</v>
      </c>
    </row>
    <row r="89" spans="1:5" ht="15.5">
      <c r="A89" s="2" t="s">
        <v>1020</v>
      </c>
      <c r="E89">
        <v>86</v>
      </c>
    </row>
    <row r="90" spans="1:5" ht="15.5">
      <c r="A90" s="2" t="s">
        <v>1021</v>
      </c>
      <c r="E90">
        <v>87</v>
      </c>
    </row>
    <row r="91" spans="1:5" ht="15.5">
      <c r="A91" s="2" t="s">
        <v>1022</v>
      </c>
      <c r="E91">
        <v>88</v>
      </c>
    </row>
    <row r="92" spans="1:5" ht="15.5">
      <c r="A92" s="2" t="s">
        <v>1023</v>
      </c>
      <c r="E92">
        <v>89</v>
      </c>
    </row>
    <row r="93" spans="1:5" ht="15.5">
      <c r="A93" s="2" t="s">
        <v>1024</v>
      </c>
      <c r="E93">
        <v>90</v>
      </c>
    </row>
    <row r="94" spans="1:5" ht="15.5">
      <c r="A94" s="2" t="s">
        <v>1025</v>
      </c>
      <c r="E94">
        <v>91</v>
      </c>
    </row>
    <row r="95" spans="1:5" ht="15.5">
      <c r="A95" s="2" t="s">
        <v>1026</v>
      </c>
      <c r="E95">
        <v>92</v>
      </c>
    </row>
    <row r="96" spans="1:5" ht="15.5">
      <c r="A96" s="2" t="s">
        <v>1027</v>
      </c>
      <c r="E96">
        <v>93</v>
      </c>
    </row>
    <row r="97" spans="1:5" ht="15.5">
      <c r="A97" s="2" t="s">
        <v>1028</v>
      </c>
      <c r="E97">
        <v>94</v>
      </c>
    </row>
    <row r="98" spans="1:5" ht="15.5">
      <c r="A98" s="2" t="s">
        <v>1029</v>
      </c>
      <c r="E98">
        <v>95</v>
      </c>
    </row>
    <row r="99" spans="1:5" ht="15.5">
      <c r="A99" s="2" t="s">
        <v>1030</v>
      </c>
      <c r="E99">
        <v>96</v>
      </c>
    </row>
    <row r="100" spans="1:5" ht="15.5">
      <c r="A100" s="2" t="s">
        <v>1031</v>
      </c>
      <c r="E100">
        <v>97</v>
      </c>
    </row>
    <row r="101" spans="1:5" ht="15.5">
      <c r="A101" s="2" t="s">
        <v>1032</v>
      </c>
      <c r="E101">
        <v>98</v>
      </c>
    </row>
    <row r="102" spans="1:5" ht="15.5">
      <c r="A102" s="2" t="s">
        <v>1033</v>
      </c>
      <c r="E102">
        <v>99</v>
      </c>
    </row>
    <row r="103" spans="1:5" ht="15.5">
      <c r="A103" s="2" t="s">
        <v>1034</v>
      </c>
      <c r="E103">
        <v>100</v>
      </c>
    </row>
    <row r="104" spans="1:5" ht="15.5">
      <c r="A104" s="2" t="s">
        <v>1035</v>
      </c>
      <c r="E104">
        <v>101</v>
      </c>
    </row>
    <row r="105" spans="1:5" ht="15.5">
      <c r="A105" s="2" t="s">
        <v>1036</v>
      </c>
      <c r="E105">
        <v>102</v>
      </c>
    </row>
    <row r="106" spans="1:5" ht="15.5">
      <c r="A106" s="2" t="s">
        <v>1037</v>
      </c>
      <c r="E106">
        <v>103</v>
      </c>
    </row>
    <row r="107" spans="1:5" ht="15.5">
      <c r="A107" s="2" t="s">
        <v>1038</v>
      </c>
      <c r="E107">
        <v>104</v>
      </c>
    </row>
    <row r="108" spans="1:5" ht="15.5">
      <c r="A108" s="2" t="s">
        <v>1039</v>
      </c>
      <c r="E108">
        <v>105</v>
      </c>
    </row>
    <row r="109" spans="1:5" ht="15.5">
      <c r="A109" s="2" t="s">
        <v>1040</v>
      </c>
      <c r="E109">
        <v>106</v>
      </c>
    </row>
    <row r="110" spans="1:5" ht="15.5">
      <c r="A110" s="2" t="s">
        <v>1041</v>
      </c>
      <c r="E110">
        <v>107</v>
      </c>
    </row>
    <row r="111" spans="1:5" ht="15.5">
      <c r="A111" s="2" t="s">
        <v>1042</v>
      </c>
      <c r="E111">
        <v>108</v>
      </c>
    </row>
    <row r="112" spans="1:5" ht="15.5">
      <c r="A112" s="2" t="s">
        <v>1043</v>
      </c>
      <c r="E112">
        <v>109</v>
      </c>
    </row>
    <row r="113" spans="1:5" ht="15.5">
      <c r="A113" s="2" t="s">
        <v>1044</v>
      </c>
      <c r="E113">
        <v>110</v>
      </c>
    </row>
    <row r="114" spans="1:5" ht="15.5">
      <c r="A114" s="2" t="s">
        <v>1045</v>
      </c>
      <c r="E114" s="11" t="s">
        <v>277</v>
      </c>
    </row>
    <row r="115" spans="1:5" ht="15.5">
      <c r="A115" s="2" t="s">
        <v>1046</v>
      </c>
    </row>
    <row r="116" spans="1:5" ht="15.5">
      <c r="A116" s="2" t="s">
        <v>1047</v>
      </c>
    </row>
    <row r="117" spans="1:5" ht="15.5">
      <c r="A117" s="2" t="s">
        <v>1048</v>
      </c>
    </row>
    <row r="118" spans="1:5" ht="15.5">
      <c r="A118" s="2" t="s">
        <v>1049</v>
      </c>
    </row>
    <row r="119" spans="1:5" ht="15.5">
      <c r="A119" s="2" t="s">
        <v>1050</v>
      </c>
    </row>
    <row r="120" spans="1:5" ht="15.5">
      <c r="A120" s="2" t="s">
        <v>1051</v>
      </c>
    </row>
    <row r="121" spans="1:5" ht="15.5">
      <c r="A121" s="2" t="s">
        <v>1052</v>
      </c>
    </row>
    <row r="122" spans="1:5" ht="15.5">
      <c r="A122" s="2" t="s">
        <v>1053</v>
      </c>
    </row>
    <row r="123" spans="1:5" ht="15.5">
      <c r="A123" s="2" t="s">
        <v>1054</v>
      </c>
    </row>
    <row r="124" spans="1:5" ht="15.5">
      <c r="A124" s="2" t="s">
        <v>1055</v>
      </c>
    </row>
    <row r="125" spans="1:5" ht="15.5">
      <c r="A125" s="2" t="s">
        <v>1056</v>
      </c>
    </row>
    <row r="126" spans="1:5" ht="15.5">
      <c r="A126" s="2" t="s">
        <v>1057</v>
      </c>
    </row>
    <row r="127" spans="1:5" ht="15.5">
      <c r="A127" s="2" t="s">
        <v>1058</v>
      </c>
    </row>
    <row r="128" spans="1:5" ht="15.5">
      <c r="A128" s="2" t="s">
        <v>1059</v>
      </c>
    </row>
    <row r="129" spans="1:1" ht="15.5">
      <c r="A129" s="2" t="s">
        <v>1060</v>
      </c>
    </row>
    <row r="130" spans="1:1" ht="15.5">
      <c r="A130" s="2" t="s">
        <v>1061</v>
      </c>
    </row>
    <row r="131" spans="1:1" ht="15.5">
      <c r="A131" s="2" t="s">
        <v>1062</v>
      </c>
    </row>
    <row r="132" spans="1:1" ht="15.5">
      <c r="A132" s="2" t="s">
        <v>1063</v>
      </c>
    </row>
    <row r="133" spans="1:1" ht="15.5">
      <c r="A133" s="2" t="s">
        <v>1064</v>
      </c>
    </row>
    <row r="134" spans="1:1" ht="15.5">
      <c r="A134" s="2" t="s">
        <v>1065</v>
      </c>
    </row>
    <row r="135" spans="1:1" ht="15.5">
      <c r="A135" s="2" t="s">
        <v>1066</v>
      </c>
    </row>
    <row r="136" spans="1:1" ht="15.5">
      <c r="A136" s="2" t="s">
        <v>1067</v>
      </c>
    </row>
    <row r="137" spans="1:1" ht="15.5">
      <c r="A137" s="2" t="s">
        <v>1068</v>
      </c>
    </row>
    <row r="138" spans="1:1" ht="15.5">
      <c r="A138" s="2" t="s">
        <v>1069</v>
      </c>
    </row>
    <row r="139" spans="1:1" ht="15.5">
      <c r="A139" s="2" t="s">
        <v>1070</v>
      </c>
    </row>
    <row r="140" spans="1:1" ht="15.5">
      <c r="A140" s="2" t="s">
        <v>1071</v>
      </c>
    </row>
    <row r="141" spans="1:1" ht="15.5">
      <c r="A141" s="2" t="s">
        <v>1072</v>
      </c>
    </row>
    <row r="142" spans="1:1" ht="15.5">
      <c r="A142" s="2" t="s">
        <v>1073</v>
      </c>
    </row>
    <row r="143" spans="1:1" ht="15.5">
      <c r="A143" s="2" t="s">
        <v>1074</v>
      </c>
    </row>
    <row r="144" spans="1:1" ht="15.5">
      <c r="A144" s="2" t="s">
        <v>1075</v>
      </c>
    </row>
    <row r="145" spans="1:1" ht="15.5">
      <c r="A145" s="2" t="s">
        <v>1076</v>
      </c>
    </row>
    <row r="146" spans="1:1" ht="15.5">
      <c r="A146" s="2" t="s">
        <v>1077</v>
      </c>
    </row>
    <row r="147" spans="1:1" ht="15.5">
      <c r="A147" s="2" t="s">
        <v>1078</v>
      </c>
    </row>
    <row r="148" spans="1:1" ht="15.5">
      <c r="A148" s="2" t="s">
        <v>1079</v>
      </c>
    </row>
    <row r="149" spans="1:1" ht="15.5">
      <c r="A149" s="2" t="s">
        <v>1080</v>
      </c>
    </row>
    <row r="150" spans="1:1" ht="15.5">
      <c r="A150" s="2" t="s">
        <v>1081</v>
      </c>
    </row>
    <row r="151" spans="1:1" ht="15.5">
      <c r="A151" s="2" t="s">
        <v>1082</v>
      </c>
    </row>
    <row r="152" spans="1:1" ht="15.5">
      <c r="A152" s="2" t="s">
        <v>1083</v>
      </c>
    </row>
    <row r="153" spans="1:1" ht="15.5">
      <c r="A153" s="2" t="s">
        <v>1084</v>
      </c>
    </row>
    <row r="154" spans="1:1" ht="15.5">
      <c r="A154" s="2" t="s">
        <v>1085</v>
      </c>
    </row>
    <row r="155" spans="1:1" ht="15.5">
      <c r="A155" s="2" t="s">
        <v>1086</v>
      </c>
    </row>
    <row r="156" spans="1:1" ht="15.5">
      <c r="A156" s="2" t="s">
        <v>1087</v>
      </c>
    </row>
    <row r="157" spans="1:1" ht="15.5">
      <c r="A157" s="2" t="s">
        <v>1088</v>
      </c>
    </row>
    <row r="158" spans="1:1" ht="15.5">
      <c r="A158" s="2" t="s">
        <v>1089</v>
      </c>
    </row>
    <row r="159" spans="1:1" ht="15.5">
      <c r="A159" s="2" t="s">
        <v>1090</v>
      </c>
    </row>
    <row r="160" spans="1:1" ht="15.5">
      <c r="A160" s="2" t="s">
        <v>1091</v>
      </c>
    </row>
    <row r="161" spans="1:1" ht="15.5">
      <c r="A161" s="2" t="s">
        <v>1092</v>
      </c>
    </row>
    <row r="162" spans="1:1" ht="15.5">
      <c r="A162" s="2" t="s">
        <v>1093</v>
      </c>
    </row>
    <row r="163" spans="1:1" ht="15.5">
      <c r="A163" s="2" t="s">
        <v>1094</v>
      </c>
    </row>
    <row r="164" spans="1:1" ht="15.5">
      <c r="A164" s="2" t="s">
        <v>1095</v>
      </c>
    </row>
    <row r="165" spans="1:1" ht="15.5">
      <c r="A165" s="2" t="s">
        <v>1096</v>
      </c>
    </row>
    <row r="166" spans="1:1" ht="15.5">
      <c r="A166" s="2" t="s">
        <v>1097</v>
      </c>
    </row>
  </sheetData>
  <sheetProtection password="9C4D" sheet="1" objects="1" scenarios="1" formatColumns="0" formatRows="0" autoFilter="0"/>
  <sortState xmlns:xlrd2="http://schemas.microsoft.com/office/spreadsheetml/2017/richdata2" ref="N3:N12">
    <sortCondition ref="N3"/>
  </sortState>
  <mergeCells count="2">
    <mergeCell ref="G2:I2"/>
    <mergeCell ref="K2:L2"/>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
  <dimension ref="A1:AN1958"/>
  <sheetViews>
    <sheetView zoomScaleNormal="100" workbookViewId="0">
      <pane ySplit="1" topLeftCell="A1539" activePane="bottomLeft" state="frozen"/>
      <selection activeCell="I26" sqref="I26"/>
      <selection pane="bottomLeft" activeCell="C1650" sqref="C1650"/>
    </sheetView>
  </sheetViews>
  <sheetFormatPr defaultColWidth="8.81640625" defaultRowHeight="14.5"/>
  <cols>
    <col min="1" max="1" width="54.36328125" customWidth="1"/>
    <col min="2" max="2" width="17.08984375" customWidth="1"/>
    <col min="3" max="3" width="13.36328125" bestFit="1" customWidth="1"/>
    <col min="4" max="4" width="27.08984375" customWidth="1"/>
    <col min="5" max="5" width="11.08984375" bestFit="1" customWidth="1"/>
    <col min="6" max="6" width="22.36328125" bestFit="1" customWidth="1"/>
    <col min="9" max="9" width="36" bestFit="1" customWidth="1"/>
    <col min="10" max="10" width="12.81640625" bestFit="1" customWidth="1"/>
    <col min="13" max="13" width="21.08984375" customWidth="1"/>
    <col min="14" max="14" width="36" bestFit="1" customWidth="1"/>
    <col min="15" max="15" width="8.81640625" bestFit="1" customWidth="1"/>
    <col min="16" max="16" width="22.36328125" bestFit="1" customWidth="1"/>
    <col min="20" max="20" width="19.36328125" customWidth="1"/>
    <col min="29" max="29" width="19.36328125" customWidth="1"/>
    <col min="30" max="31" width="10.08984375" customWidth="1"/>
    <col min="32" max="32" width="25.81640625" customWidth="1"/>
    <col min="36" max="36" width="29.36328125" customWidth="1"/>
    <col min="40" max="40" width="29.6328125" customWidth="1"/>
  </cols>
  <sheetData>
    <row r="1" spans="1:40" s="3" customFormat="1">
      <c r="A1" s="3" t="s">
        <v>4824</v>
      </c>
      <c r="B1" s="3" t="s">
        <v>4636</v>
      </c>
      <c r="C1" s="3" t="s">
        <v>814</v>
      </c>
      <c r="D1" s="3" t="s">
        <v>4635</v>
      </c>
      <c r="E1" s="3" t="s">
        <v>619</v>
      </c>
      <c r="F1" s="3" t="s">
        <v>4637</v>
      </c>
      <c r="I1" s="3" t="s">
        <v>4634</v>
      </c>
      <c r="J1" s="3" t="s">
        <v>814</v>
      </c>
      <c r="M1" s="3" t="s">
        <v>4824</v>
      </c>
      <c r="N1" t="s">
        <v>4636</v>
      </c>
      <c r="O1" t="s">
        <v>619</v>
      </c>
      <c r="P1" t="s">
        <v>4637</v>
      </c>
      <c r="T1" s="3" t="s">
        <v>4636</v>
      </c>
      <c r="U1" s="3" t="s">
        <v>814</v>
      </c>
      <c r="V1" s="3" t="s">
        <v>619</v>
      </c>
      <c r="W1" s="3" t="s">
        <v>4635</v>
      </c>
      <c r="AC1" s="838" t="s">
        <v>4636</v>
      </c>
      <c r="AD1" s="838" t="s">
        <v>814</v>
      </c>
      <c r="AE1" s="838" t="s">
        <v>619</v>
      </c>
      <c r="AF1" s="838" t="s">
        <v>4635</v>
      </c>
      <c r="AG1"/>
      <c r="AH1"/>
      <c r="AI1"/>
      <c r="AJ1" s="844" t="s">
        <v>4824</v>
      </c>
      <c r="AK1" s="844" t="s">
        <v>4636</v>
      </c>
      <c r="AL1" s="844" t="s">
        <v>814</v>
      </c>
      <c r="AM1" s="844" t="s">
        <v>619</v>
      </c>
      <c r="AN1" s="844" t="s">
        <v>4635</v>
      </c>
    </row>
    <row r="2" spans="1:40">
      <c r="A2" t="s">
        <v>4828</v>
      </c>
      <c r="B2" t="s">
        <v>893</v>
      </c>
      <c r="C2" t="s">
        <v>818</v>
      </c>
      <c r="D2" t="s">
        <v>4615</v>
      </c>
      <c r="E2" t="s">
        <v>18</v>
      </c>
      <c r="F2" t="s">
        <v>4627</v>
      </c>
      <c r="I2" t="s">
        <v>893</v>
      </c>
      <c r="J2" t="s">
        <v>818</v>
      </c>
      <c r="M2" t="s">
        <v>4640</v>
      </c>
      <c r="N2" t="s">
        <v>893</v>
      </c>
      <c r="O2" t="s">
        <v>53</v>
      </c>
      <c r="P2" t="s">
        <v>4633</v>
      </c>
      <c r="T2" t="s">
        <v>893</v>
      </c>
      <c r="U2" t="s">
        <v>818</v>
      </c>
      <c r="V2" t="s">
        <v>857</v>
      </c>
      <c r="W2" t="s">
        <v>857</v>
      </c>
      <c r="AC2" t="s">
        <v>893</v>
      </c>
      <c r="AD2" t="s">
        <v>818</v>
      </c>
      <c r="AE2" t="s">
        <v>857</v>
      </c>
      <c r="AF2" t="s">
        <v>857</v>
      </c>
      <c r="AJ2" s="844" t="s">
        <v>4830</v>
      </c>
      <c r="AK2" s="844" t="s">
        <v>893</v>
      </c>
      <c r="AL2" s="844" t="s">
        <v>818</v>
      </c>
      <c r="AM2" s="844" t="s">
        <v>18</v>
      </c>
      <c r="AN2" s="844" t="s">
        <v>4615</v>
      </c>
    </row>
    <row r="3" spans="1:40">
      <c r="A3" t="s">
        <v>4829</v>
      </c>
      <c r="B3" t="s">
        <v>893</v>
      </c>
      <c r="C3" t="s">
        <v>818</v>
      </c>
      <c r="D3" t="s">
        <v>2366</v>
      </c>
      <c r="E3" t="s">
        <v>18</v>
      </c>
      <c r="F3" t="s">
        <v>4620</v>
      </c>
      <c r="I3" t="s">
        <v>2923</v>
      </c>
      <c r="J3" t="s">
        <v>816</v>
      </c>
      <c r="M3" t="s">
        <v>4640</v>
      </c>
      <c r="N3" t="s">
        <v>893</v>
      </c>
      <c r="O3" t="s">
        <v>53</v>
      </c>
      <c r="P3" t="s">
        <v>4632</v>
      </c>
      <c r="T3" t="s">
        <v>893</v>
      </c>
      <c r="U3" t="s">
        <v>818</v>
      </c>
      <c r="V3" t="s">
        <v>857</v>
      </c>
      <c r="W3" t="s">
        <v>857</v>
      </c>
      <c r="AC3" t="s">
        <v>893</v>
      </c>
      <c r="AD3" t="s">
        <v>818</v>
      </c>
      <c r="AE3" t="s">
        <v>18</v>
      </c>
      <c r="AF3" t="s">
        <v>857</v>
      </c>
      <c r="AJ3" s="844" t="s">
        <v>4830</v>
      </c>
      <c r="AK3" s="844" t="s">
        <v>893</v>
      </c>
      <c r="AL3" s="844" t="s">
        <v>818</v>
      </c>
      <c r="AM3" s="844" t="s">
        <v>18</v>
      </c>
      <c r="AN3" s="844" t="s">
        <v>2366</v>
      </c>
    </row>
    <row r="4" spans="1:40">
      <c r="A4" t="s">
        <v>6239</v>
      </c>
      <c r="B4" t="s">
        <v>893</v>
      </c>
      <c r="C4" t="s">
        <v>818</v>
      </c>
      <c r="E4" t="s">
        <v>18</v>
      </c>
      <c r="F4" t="s">
        <v>4626</v>
      </c>
      <c r="I4" t="s">
        <v>899</v>
      </c>
      <c r="J4" t="s">
        <v>19</v>
      </c>
      <c r="M4" t="s">
        <v>4640</v>
      </c>
      <c r="N4" t="s">
        <v>893</v>
      </c>
      <c r="O4" t="s">
        <v>53</v>
      </c>
      <c r="P4" t="s">
        <v>4625</v>
      </c>
      <c r="T4" t="s">
        <v>893</v>
      </c>
      <c r="U4" t="s">
        <v>818</v>
      </c>
      <c r="V4" t="s">
        <v>18</v>
      </c>
      <c r="W4" t="s">
        <v>857</v>
      </c>
      <c r="AC4" t="s">
        <v>893</v>
      </c>
      <c r="AD4" t="s">
        <v>818</v>
      </c>
      <c r="AE4" t="s">
        <v>18</v>
      </c>
      <c r="AF4" t="s">
        <v>4615</v>
      </c>
      <c r="AJ4" s="844" t="s">
        <v>4833</v>
      </c>
      <c r="AK4" s="844" t="s">
        <v>893</v>
      </c>
      <c r="AL4" s="844" t="s">
        <v>19</v>
      </c>
      <c r="AM4" s="844" t="s">
        <v>18</v>
      </c>
      <c r="AN4" s="844" t="s">
        <v>2366</v>
      </c>
    </row>
    <row r="5" spans="1:40">
      <c r="A5" t="s">
        <v>4827</v>
      </c>
      <c r="B5" t="s">
        <v>893</v>
      </c>
      <c r="C5" t="s">
        <v>818</v>
      </c>
      <c r="F5" t="s">
        <v>4156</v>
      </c>
      <c r="I5" t="s">
        <v>904</v>
      </c>
      <c r="J5" t="s">
        <v>6861</v>
      </c>
      <c r="M5" t="s">
        <v>4640</v>
      </c>
      <c r="N5" t="s">
        <v>893</v>
      </c>
      <c r="O5" t="s">
        <v>53</v>
      </c>
      <c r="P5" t="s">
        <v>4624</v>
      </c>
      <c r="T5" t="s">
        <v>893</v>
      </c>
      <c r="U5" t="s">
        <v>818</v>
      </c>
      <c r="V5" t="s">
        <v>18</v>
      </c>
      <c r="W5" t="s">
        <v>4615</v>
      </c>
      <c r="AC5" t="s">
        <v>893</v>
      </c>
      <c r="AD5" t="s">
        <v>818</v>
      </c>
      <c r="AE5" t="s">
        <v>18</v>
      </c>
      <c r="AF5" t="s">
        <v>2366</v>
      </c>
      <c r="AJ5" s="844" t="s">
        <v>6649</v>
      </c>
      <c r="AK5" s="844" t="s">
        <v>893</v>
      </c>
      <c r="AL5" s="844" t="s">
        <v>2384</v>
      </c>
      <c r="AM5" s="844"/>
      <c r="AN5" s="844" t="s">
        <v>2366</v>
      </c>
    </row>
    <row r="6" spans="1:40">
      <c r="A6" t="s">
        <v>4827</v>
      </c>
      <c r="B6" t="s">
        <v>893</v>
      </c>
      <c r="C6" t="s">
        <v>818</v>
      </c>
      <c r="F6" t="s">
        <v>3852</v>
      </c>
      <c r="I6" t="s">
        <v>2892</v>
      </c>
      <c r="M6" t="s">
        <v>4640</v>
      </c>
      <c r="N6" t="s">
        <v>893</v>
      </c>
      <c r="O6" t="s">
        <v>53</v>
      </c>
      <c r="P6" t="s">
        <v>4623</v>
      </c>
      <c r="T6" t="s">
        <v>893</v>
      </c>
      <c r="U6" t="s">
        <v>818</v>
      </c>
      <c r="V6" t="s">
        <v>18</v>
      </c>
      <c r="W6" t="s">
        <v>2366</v>
      </c>
      <c r="AC6" t="s">
        <v>893</v>
      </c>
      <c r="AD6" t="s">
        <v>19</v>
      </c>
      <c r="AE6" t="s">
        <v>857</v>
      </c>
      <c r="AF6" t="s">
        <v>857</v>
      </c>
      <c r="AJ6" s="844" t="s">
        <v>4838</v>
      </c>
      <c r="AK6" s="844" t="s">
        <v>893</v>
      </c>
      <c r="AL6" s="844" t="s">
        <v>2416</v>
      </c>
      <c r="AM6" s="844" t="s">
        <v>18</v>
      </c>
      <c r="AN6" s="844" t="s">
        <v>4615</v>
      </c>
    </row>
    <row r="7" spans="1:40">
      <c r="A7" t="s">
        <v>4832</v>
      </c>
      <c r="B7" t="s">
        <v>893</v>
      </c>
      <c r="C7" t="s">
        <v>19</v>
      </c>
      <c r="D7" t="s">
        <v>2366</v>
      </c>
      <c r="E7" t="s">
        <v>18</v>
      </c>
      <c r="F7" t="s">
        <v>4619</v>
      </c>
      <c r="I7" t="s">
        <v>908</v>
      </c>
      <c r="M7" t="s">
        <v>4640</v>
      </c>
      <c r="N7" t="s">
        <v>893</v>
      </c>
      <c r="O7" t="s">
        <v>53</v>
      </c>
      <c r="P7" t="s">
        <v>4622</v>
      </c>
      <c r="T7" t="s">
        <v>893</v>
      </c>
      <c r="U7" t="s">
        <v>19</v>
      </c>
      <c r="V7" t="s">
        <v>857</v>
      </c>
      <c r="W7" t="s">
        <v>857</v>
      </c>
      <c r="AC7" t="s">
        <v>893</v>
      </c>
      <c r="AD7" t="s">
        <v>19</v>
      </c>
      <c r="AE7" t="s">
        <v>53</v>
      </c>
      <c r="AF7" t="s">
        <v>857</v>
      </c>
      <c r="AJ7" s="844" t="s">
        <v>4838</v>
      </c>
      <c r="AK7" s="844" t="s">
        <v>893</v>
      </c>
      <c r="AL7" s="844" t="s">
        <v>2416</v>
      </c>
      <c r="AM7" s="844" t="s">
        <v>18</v>
      </c>
      <c r="AN7" s="844" t="s">
        <v>2366</v>
      </c>
    </row>
    <row r="8" spans="1:40">
      <c r="A8" t="s">
        <v>6240</v>
      </c>
      <c r="B8" t="s">
        <v>893</v>
      </c>
      <c r="C8" t="s">
        <v>19</v>
      </c>
      <c r="E8" t="s">
        <v>53</v>
      </c>
      <c r="F8" t="s">
        <v>4624</v>
      </c>
      <c r="I8" t="s">
        <v>912</v>
      </c>
      <c r="M8" t="s">
        <v>4640</v>
      </c>
      <c r="N8" t="s">
        <v>893</v>
      </c>
      <c r="O8" t="s">
        <v>53</v>
      </c>
      <c r="P8" t="s">
        <v>4621</v>
      </c>
      <c r="T8" t="s">
        <v>893</v>
      </c>
      <c r="U8" t="s">
        <v>19</v>
      </c>
      <c r="V8" t="s">
        <v>857</v>
      </c>
      <c r="W8" t="s">
        <v>857</v>
      </c>
      <c r="AC8" t="s">
        <v>893</v>
      </c>
      <c r="AD8" t="s">
        <v>19</v>
      </c>
      <c r="AE8" t="s">
        <v>18</v>
      </c>
      <c r="AF8" t="s">
        <v>857</v>
      </c>
      <c r="AJ8" s="844" t="s">
        <v>4842</v>
      </c>
      <c r="AK8" s="844" t="s">
        <v>893</v>
      </c>
      <c r="AL8" s="844" t="s">
        <v>816</v>
      </c>
      <c r="AM8" s="844" t="s">
        <v>18</v>
      </c>
      <c r="AN8" s="844" t="s">
        <v>4615</v>
      </c>
    </row>
    <row r="9" spans="1:40">
      <c r="A9" t="s">
        <v>6240</v>
      </c>
      <c r="B9" t="s">
        <v>893</v>
      </c>
      <c r="C9" t="s">
        <v>19</v>
      </c>
      <c r="E9" t="s">
        <v>53</v>
      </c>
      <c r="F9" t="s">
        <v>4623</v>
      </c>
      <c r="I9" t="s">
        <v>914</v>
      </c>
      <c r="M9" t="s">
        <v>4641</v>
      </c>
      <c r="N9" t="s">
        <v>893</v>
      </c>
      <c r="O9" t="s">
        <v>18</v>
      </c>
      <c r="P9" t="s">
        <v>4631</v>
      </c>
      <c r="T9" t="s">
        <v>893</v>
      </c>
      <c r="U9" t="s">
        <v>19</v>
      </c>
      <c r="V9" t="s">
        <v>53</v>
      </c>
      <c r="W9" t="s">
        <v>857</v>
      </c>
      <c r="AC9" t="s">
        <v>893</v>
      </c>
      <c r="AD9" t="s">
        <v>19</v>
      </c>
      <c r="AE9" t="s">
        <v>18</v>
      </c>
      <c r="AF9" t="s">
        <v>2366</v>
      </c>
      <c r="AJ9" s="844" t="s">
        <v>4842</v>
      </c>
      <c r="AK9" s="844" t="s">
        <v>893</v>
      </c>
      <c r="AL9" s="844" t="s">
        <v>816</v>
      </c>
      <c r="AM9" s="844" t="s">
        <v>18</v>
      </c>
      <c r="AN9" s="844" t="s">
        <v>2366</v>
      </c>
    </row>
    <row r="10" spans="1:40">
      <c r="A10" t="s">
        <v>6240</v>
      </c>
      <c r="B10" t="s">
        <v>893</v>
      </c>
      <c r="C10" t="s">
        <v>19</v>
      </c>
      <c r="E10" t="s">
        <v>53</v>
      </c>
      <c r="F10" t="s">
        <v>4622</v>
      </c>
      <c r="I10" t="s">
        <v>2878</v>
      </c>
      <c r="M10" t="s">
        <v>4641</v>
      </c>
      <c r="N10" t="s">
        <v>893</v>
      </c>
      <c r="O10" t="s">
        <v>18</v>
      </c>
      <c r="P10" t="s">
        <v>4630</v>
      </c>
      <c r="T10" t="s">
        <v>893</v>
      </c>
      <c r="U10" t="s">
        <v>19</v>
      </c>
      <c r="V10" t="s">
        <v>53</v>
      </c>
      <c r="W10" t="s">
        <v>857</v>
      </c>
      <c r="AC10" t="s">
        <v>893</v>
      </c>
      <c r="AD10" t="s">
        <v>2384</v>
      </c>
      <c r="AE10" t="s">
        <v>857</v>
      </c>
      <c r="AF10" t="s">
        <v>857</v>
      </c>
      <c r="AJ10" s="844" t="s">
        <v>4847</v>
      </c>
      <c r="AK10" s="844" t="s">
        <v>2923</v>
      </c>
      <c r="AL10" s="844" t="s">
        <v>818</v>
      </c>
      <c r="AM10" s="844" t="s">
        <v>18</v>
      </c>
      <c r="AN10" s="844" t="s">
        <v>2937</v>
      </c>
    </row>
    <row r="11" spans="1:40">
      <c r="A11" t="s">
        <v>6240</v>
      </c>
      <c r="B11" t="s">
        <v>893</v>
      </c>
      <c r="C11" t="s">
        <v>19</v>
      </c>
      <c r="E11" t="s">
        <v>53</v>
      </c>
      <c r="F11" t="s">
        <v>4621</v>
      </c>
      <c r="I11" t="s">
        <v>917</v>
      </c>
      <c r="M11" t="s">
        <v>4641</v>
      </c>
      <c r="N11" t="s">
        <v>893</v>
      </c>
      <c r="O11" t="s">
        <v>18</v>
      </c>
      <c r="P11" t="s">
        <v>4629</v>
      </c>
      <c r="T11" t="s">
        <v>893</v>
      </c>
      <c r="U11" t="s">
        <v>19</v>
      </c>
      <c r="V11" t="s">
        <v>53</v>
      </c>
      <c r="W11" t="s">
        <v>857</v>
      </c>
      <c r="AC11" t="s">
        <v>893</v>
      </c>
      <c r="AD11" t="s">
        <v>2384</v>
      </c>
      <c r="AE11" t="s">
        <v>857</v>
      </c>
      <c r="AF11" t="s">
        <v>2366</v>
      </c>
      <c r="AJ11" s="844" t="s">
        <v>4847</v>
      </c>
      <c r="AK11" s="844" t="s">
        <v>2923</v>
      </c>
      <c r="AL11" s="844" t="s">
        <v>818</v>
      </c>
      <c r="AM11" s="844" t="s">
        <v>18</v>
      </c>
      <c r="AN11" s="844" t="s">
        <v>2900</v>
      </c>
    </row>
    <row r="12" spans="1:40">
      <c r="A12" t="s">
        <v>6241</v>
      </c>
      <c r="B12" t="s">
        <v>893</v>
      </c>
      <c r="C12" t="s">
        <v>19</v>
      </c>
      <c r="E12" t="s">
        <v>18</v>
      </c>
      <c r="F12" t="s">
        <v>4629</v>
      </c>
      <c r="I12" t="s">
        <v>921</v>
      </c>
      <c r="M12" t="s">
        <v>4641</v>
      </c>
      <c r="N12" t="s">
        <v>893</v>
      </c>
      <c r="O12" t="s">
        <v>18</v>
      </c>
      <c r="P12" t="s">
        <v>4628</v>
      </c>
      <c r="T12" t="s">
        <v>893</v>
      </c>
      <c r="U12" t="s">
        <v>19</v>
      </c>
      <c r="V12" t="s">
        <v>53</v>
      </c>
      <c r="W12" t="s">
        <v>857</v>
      </c>
      <c r="AC12" t="s">
        <v>893</v>
      </c>
      <c r="AD12" t="s">
        <v>2416</v>
      </c>
      <c r="AE12" t="s">
        <v>18</v>
      </c>
      <c r="AF12" t="s">
        <v>857</v>
      </c>
      <c r="AJ12" s="844" t="s">
        <v>4847</v>
      </c>
      <c r="AK12" s="844" t="s">
        <v>2923</v>
      </c>
      <c r="AL12" s="844" t="s">
        <v>818</v>
      </c>
      <c r="AM12" s="844" t="s">
        <v>18</v>
      </c>
      <c r="AN12" s="844" t="s">
        <v>2934</v>
      </c>
    </row>
    <row r="13" spans="1:40">
      <c r="A13" t="s">
        <v>6241</v>
      </c>
      <c r="B13" t="s">
        <v>893</v>
      </c>
      <c r="C13" t="s">
        <v>19</v>
      </c>
      <c r="E13" t="s">
        <v>18</v>
      </c>
      <c r="F13" t="s">
        <v>4628</v>
      </c>
      <c r="I13" t="s">
        <v>923</v>
      </c>
      <c r="M13" t="s">
        <v>4641</v>
      </c>
      <c r="N13" t="s">
        <v>893</v>
      </c>
      <c r="O13" t="s">
        <v>18</v>
      </c>
      <c r="P13" t="s">
        <v>4627</v>
      </c>
      <c r="T13" t="s">
        <v>893</v>
      </c>
      <c r="U13" t="s">
        <v>19</v>
      </c>
      <c r="V13" t="s">
        <v>18</v>
      </c>
      <c r="W13" t="s">
        <v>857</v>
      </c>
      <c r="AC13" t="s">
        <v>893</v>
      </c>
      <c r="AD13" t="s">
        <v>2416</v>
      </c>
      <c r="AE13" t="s">
        <v>18</v>
      </c>
      <c r="AF13" t="s">
        <v>4615</v>
      </c>
      <c r="AJ13" s="844" t="s">
        <v>4847</v>
      </c>
      <c r="AK13" s="844" t="s">
        <v>2923</v>
      </c>
      <c r="AL13" s="844" t="s">
        <v>818</v>
      </c>
      <c r="AM13" s="844" t="s">
        <v>18</v>
      </c>
      <c r="AN13" s="844" t="s">
        <v>2366</v>
      </c>
    </row>
    <row r="14" spans="1:40">
      <c r="A14" t="s">
        <v>4831</v>
      </c>
      <c r="B14" t="s">
        <v>893</v>
      </c>
      <c r="C14" t="s">
        <v>19</v>
      </c>
      <c r="F14" t="s">
        <v>4073</v>
      </c>
      <c r="I14" t="s">
        <v>925</v>
      </c>
      <c r="M14" t="s">
        <v>4641</v>
      </c>
      <c r="N14" t="s">
        <v>893</v>
      </c>
      <c r="O14" t="s">
        <v>18</v>
      </c>
      <c r="P14" t="s">
        <v>4626</v>
      </c>
      <c r="T14" t="s">
        <v>893</v>
      </c>
      <c r="U14" t="s">
        <v>19</v>
      </c>
      <c r="V14" t="s">
        <v>18</v>
      </c>
      <c r="W14" t="s">
        <v>857</v>
      </c>
      <c r="AC14" t="s">
        <v>893</v>
      </c>
      <c r="AD14" t="s">
        <v>2416</v>
      </c>
      <c r="AE14" t="s">
        <v>18</v>
      </c>
      <c r="AF14" t="s">
        <v>2366</v>
      </c>
      <c r="AJ14" s="844" t="s">
        <v>4849</v>
      </c>
      <c r="AK14" s="844" t="s">
        <v>2923</v>
      </c>
      <c r="AL14" s="844" t="s">
        <v>19</v>
      </c>
      <c r="AM14" s="844" t="s">
        <v>18</v>
      </c>
      <c r="AN14" s="844" t="s">
        <v>2929</v>
      </c>
    </row>
    <row r="15" spans="1:40">
      <c r="A15" t="s">
        <v>4831</v>
      </c>
      <c r="B15" t="s">
        <v>893</v>
      </c>
      <c r="C15" t="s">
        <v>19</v>
      </c>
      <c r="F15" t="s">
        <v>3853</v>
      </c>
      <c r="I15" t="s">
        <v>927</v>
      </c>
      <c r="M15" t="s">
        <v>4641</v>
      </c>
      <c r="N15" t="s">
        <v>893</v>
      </c>
      <c r="O15" t="s">
        <v>18</v>
      </c>
      <c r="P15" t="s">
        <v>4620</v>
      </c>
      <c r="T15" t="s">
        <v>893</v>
      </c>
      <c r="U15" t="s">
        <v>19</v>
      </c>
      <c r="V15" t="s">
        <v>18</v>
      </c>
      <c r="W15" t="s">
        <v>2366</v>
      </c>
      <c r="AC15" t="s">
        <v>893</v>
      </c>
      <c r="AD15" t="s">
        <v>816</v>
      </c>
      <c r="AE15" t="s">
        <v>857</v>
      </c>
      <c r="AF15" t="s">
        <v>857</v>
      </c>
      <c r="AJ15" s="844" t="s">
        <v>4849</v>
      </c>
      <c r="AK15" s="844" t="s">
        <v>2923</v>
      </c>
      <c r="AL15" s="844" t="s">
        <v>19</v>
      </c>
      <c r="AM15" s="844" t="s">
        <v>18</v>
      </c>
      <c r="AN15" s="844" t="s">
        <v>2931</v>
      </c>
    </row>
    <row r="16" spans="1:40">
      <c r="A16" t="s">
        <v>4835</v>
      </c>
      <c r="B16" t="s">
        <v>893</v>
      </c>
      <c r="C16" t="s">
        <v>2384</v>
      </c>
      <c r="D16" t="s">
        <v>2366</v>
      </c>
      <c r="F16" t="s">
        <v>4235</v>
      </c>
      <c r="I16" t="s">
        <v>929</v>
      </c>
      <c r="M16" t="s">
        <v>4641</v>
      </c>
      <c r="N16" t="s">
        <v>893</v>
      </c>
      <c r="O16" t="s">
        <v>18</v>
      </c>
      <c r="P16" t="s">
        <v>4619</v>
      </c>
      <c r="T16" t="s">
        <v>893</v>
      </c>
      <c r="U16" t="s">
        <v>2384</v>
      </c>
      <c r="V16" t="s">
        <v>857</v>
      </c>
      <c r="W16" t="s">
        <v>857</v>
      </c>
      <c r="AC16" t="s">
        <v>893</v>
      </c>
      <c r="AD16" t="s">
        <v>816</v>
      </c>
      <c r="AE16" t="s">
        <v>53</v>
      </c>
      <c r="AF16" t="s">
        <v>857</v>
      </c>
      <c r="AJ16" s="844" t="s">
        <v>4851</v>
      </c>
      <c r="AK16" s="844" t="s">
        <v>2923</v>
      </c>
      <c r="AL16" s="844" t="s">
        <v>2384</v>
      </c>
      <c r="AM16" s="844" t="s">
        <v>18</v>
      </c>
      <c r="AN16" s="844" t="s">
        <v>2925</v>
      </c>
    </row>
    <row r="17" spans="1:40">
      <c r="A17" t="s">
        <v>4834</v>
      </c>
      <c r="B17" t="s">
        <v>893</v>
      </c>
      <c r="C17" t="s">
        <v>2384</v>
      </c>
      <c r="F17" t="s">
        <v>3850</v>
      </c>
      <c r="I17" t="s">
        <v>932</v>
      </c>
      <c r="M17" t="s">
        <v>4641</v>
      </c>
      <c r="N17" t="s">
        <v>893</v>
      </c>
      <c r="O17" t="s">
        <v>18</v>
      </c>
      <c r="P17" t="s">
        <v>4618</v>
      </c>
      <c r="T17" t="s">
        <v>893</v>
      </c>
      <c r="U17" t="s">
        <v>2384</v>
      </c>
      <c r="V17" t="s">
        <v>857</v>
      </c>
      <c r="W17" t="s">
        <v>2366</v>
      </c>
      <c r="AC17" t="s">
        <v>893</v>
      </c>
      <c r="AD17" t="s">
        <v>816</v>
      </c>
      <c r="AE17" t="s">
        <v>18</v>
      </c>
      <c r="AF17" t="s">
        <v>857</v>
      </c>
      <c r="AJ17" s="844" t="s">
        <v>4853</v>
      </c>
      <c r="AK17" s="844" t="s">
        <v>2923</v>
      </c>
      <c r="AL17" s="844" t="s">
        <v>816</v>
      </c>
      <c r="AM17" s="844" t="s">
        <v>53</v>
      </c>
      <c r="AN17" s="844" t="s">
        <v>2957</v>
      </c>
    </row>
    <row r="18" spans="1:40">
      <c r="A18" t="s">
        <v>4836</v>
      </c>
      <c r="B18" t="s">
        <v>893</v>
      </c>
      <c r="C18" t="s">
        <v>2416</v>
      </c>
      <c r="D18" t="s">
        <v>4615</v>
      </c>
      <c r="E18" t="s">
        <v>18</v>
      </c>
      <c r="F18" t="s">
        <v>4618</v>
      </c>
      <c r="I18" t="s">
        <v>935</v>
      </c>
      <c r="M18" t="s">
        <v>4641</v>
      </c>
      <c r="N18" t="s">
        <v>893</v>
      </c>
      <c r="O18" t="s">
        <v>18</v>
      </c>
      <c r="P18" t="s">
        <v>4617</v>
      </c>
      <c r="T18" t="s">
        <v>893</v>
      </c>
      <c r="U18" t="s">
        <v>2416</v>
      </c>
      <c r="V18" t="s">
        <v>18</v>
      </c>
      <c r="W18" t="s">
        <v>857</v>
      </c>
      <c r="AC18" t="s">
        <v>893</v>
      </c>
      <c r="AD18" t="s">
        <v>816</v>
      </c>
      <c r="AE18" t="s">
        <v>18</v>
      </c>
      <c r="AF18" t="s">
        <v>4615</v>
      </c>
      <c r="AJ18" s="844" t="s">
        <v>4854</v>
      </c>
      <c r="AK18" s="844" t="s">
        <v>2923</v>
      </c>
      <c r="AL18" s="844" t="s">
        <v>816</v>
      </c>
      <c r="AM18" s="844" t="s">
        <v>18</v>
      </c>
      <c r="AN18" s="844" t="s">
        <v>2927</v>
      </c>
    </row>
    <row r="19" spans="1:40">
      <c r="A19" t="s">
        <v>4837</v>
      </c>
      <c r="B19" t="s">
        <v>893</v>
      </c>
      <c r="C19" t="s">
        <v>2416</v>
      </c>
      <c r="D19" t="s">
        <v>2366</v>
      </c>
      <c r="E19" t="s">
        <v>18</v>
      </c>
      <c r="F19" t="s">
        <v>4617</v>
      </c>
      <c r="I19" t="s">
        <v>938</v>
      </c>
      <c r="M19" t="s">
        <v>4641</v>
      </c>
      <c r="N19" t="s">
        <v>893</v>
      </c>
      <c r="O19" t="s">
        <v>18</v>
      </c>
      <c r="P19" t="s">
        <v>4616</v>
      </c>
      <c r="T19" t="s">
        <v>893</v>
      </c>
      <c r="U19" t="s">
        <v>2416</v>
      </c>
      <c r="V19" t="s">
        <v>18</v>
      </c>
      <c r="W19" t="s">
        <v>4615</v>
      </c>
      <c r="AC19" t="s">
        <v>893</v>
      </c>
      <c r="AD19" t="s">
        <v>816</v>
      </c>
      <c r="AE19" t="s">
        <v>18</v>
      </c>
      <c r="AF19" t="s">
        <v>2366</v>
      </c>
      <c r="AJ19" s="844" t="s">
        <v>4854</v>
      </c>
      <c r="AK19" s="844" t="s">
        <v>2923</v>
      </c>
      <c r="AL19" s="844" t="s">
        <v>816</v>
      </c>
      <c r="AM19" s="844" t="s">
        <v>18</v>
      </c>
      <c r="AN19" s="844" t="s">
        <v>2922</v>
      </c>
    </row>
    <row r="20" spans="1:40">
      <c r="A20" t="s">
        <v>6242</v>
      </c>
      <c r="B20" t="s">
        <v>893</v>
      </c>
      <c r="C20" t="s">
        <v>2416</v>
      </c>
      <c r="E20" t="s">
        <v>18</v>
      </c>
      <c r="F20" t="s">
        <v>4631</v>
      </c>
      <c r="I20" t="s">
        <v>941</v>
      </c>
      <c r="M20" t="s">
        <v>4641</v>
      </c>
      <c r="N20" t="s">
        <v>893</v>
      </c>
      <c r="O20" t="s">
        <v>18</v>
      </c>
      <c r="P20" t="s">
        <v>4614</v>
      </c>
      <c r="T20" t="s">
        <v>893</v>
      </c>
      <c r="U20" t="s">
        <v>2416</v>
      </c>
      <c r="V20" t="s">
        <v>18</v>
      </c>
      <c r="W20" t="s">
        <v>2366</v>
      </c>
      <c r="AC20" t="s">
        <v>2923</v>
      </c>
      <c r="AD20" t="s">
        <v>818</v>
      </c>
      <c r="AE20" t="s">
        <v>18</v>
      </c>
      <c r="AF20" t="s">
        <v>2937</v>
      </c>
      <c r="AJ20" s="844" t="s">
        <v>4857</v>
      </c>
      <c r="AK20" s="844" t="s">
        <v>899</v>
      </c>
      <c r="AL20" s="844" t="s">
        <v>2384</v>
      </c>
      <c r="AM20" s="844" t="s">
        <v>18</v>
      </c>
      <c r="AN20" s="844" t="s">
        <v>3990</v>
      </c>
    </row>
    <row r="21" spans="1:40">
      <c r="A21" t="s">
        <v>4840</v>
      </c>
      <c r="B21" t="s">
        <v>893</v>
      </c>
      <c r="C21" t="s">
        <v>816</v>
      </c>
      <c r="D21" t="s">
        <v>4615</v>
      </c>
      <c r="E21" t="s">
        <v>18</v>
      </c>
      <c r="F21" t="s">
        <v>4616</v>
      </c>
      <c r="I21" t="s">
        <v>943</v>
      </c>
      <c r="M21" t="s">
        <v>4642</v>
      </c>
      <c r="N21" t="s">
        <v>2923</v>
      </c>
      <c r="O21" t="s">
        <v>53</v>
      </c>
      <c r="P21" t="s">
        <v>2958</v>
      </c>
      <c r="T21" t="s">
        <v>893</v>
      </c>
      <c r="U21" t="s">
        <v>816</v>
      </c>
      <c r="V21" t="s">
        <v>857</v>
      </c>
      <c r="W21" t="s">
        <v>857</v>
      </c>
      <c r="AC21" t="s">
        <v>2923</v>
      </c>
      <c r="AD21" t="s">
        <v>818</v>
      </c>
      <c r="AE21" t="s">
        <v>18</v>
      </c>
      <c r="AF21" t="s">
        <v>2900</v>
      </c>
      <c r="AJ21" s="844" t="s">
        <v>6650</v>
      </c>
      <c r="AK21" s="844" t="s">
        <v>899</v>
      </c>
      <c r="AL21" s="844" t="s">
        <v>2384</v>
      </c>
      <c r="AM21" s="844"/>
      <c r="AN21" s="844" t="s">
        <v>3990</v>
      </c>
    </row>
    <row r="22" spans="1:40">
      <c r="A22" t="s">
        <v>4841</v>
      </c>
      <c r="B22" t="s">
        <v>893</v>
      </c>
      <c r="C22" t="s">
        <v>816</v>
      </c>
      <c r="D22" t="s">
        <v>2366</v>
      </c>
      <c r="E22" t="s">
        <v>18</v>
      </c>
      <c r="F22" t="s">
        <v>4614</v>
      </c>
      <c r="I22" t="s">
        <v>946</v>
      </c>
      <c r="M22" t="s">
        <v>4643</v>
      </c>
      <c r="N22" t="s">
        <v>2923</v>
      </c>
      <c r="O22" t="s">
        <v>18</v>
      </c>
      <c r="P22" t="s">
        <v>3354</v>
      </c>
      <c r="T22" t="s">
        <v>893</v>
      </c>
      <c r="U22" t="s">
        <v>816</v>
      </c>
      <c r="V22" t="s">
        <v>857</v>
      </c>
      <c r="W22" t="s">
        <v>857</v>
      </c>
      <c r="AC22" t="s">
        <v>2923</v>
      </c>
      <c r="AD22" t="s">
        <v>818</v>
      </c>
      <c r="AE22" t="s">
        <v>18</v>
      </c>
      <c r="AF22" t="s">
        <v>2934</v>
      </c>
      <c r="AJ22" s="844" t="s">
        <v>4858</v>
      </c>
      <c r="AK22" s="844" t="s">
        <v>904</v>
      </c>
      <c r="AL22" s="844" t="s">
        <v>818</v>
      </c>
      <c r="AM22" s="844" t="s">
        <v>18</v>
      </c>
      <c r="AN22" s="844" t="s">
        <v>4018</v>
      </c>
    </row>
    <row r="23" spans="1:40">
      <c r="A23" t="s">
        <v>6243</v>
      </c>
      <c r="B23" t="s">
        <v>893</v>
      </c>
      <c r="C23" t="s">
        <v>816</v>
      </c>
      <c r="E23" t="s">
        <v>53</v>
      </c>
      <c r="F23" t="s">
        <v>4633</v>
      </c>
      <c r="I23" t="s">
        <v>947</v>
      </c>
      <c r="M23" t="s">
        <v>4643</v>
      </c>
      <c r="N23" t="s">
        <v>2923</v>
      </c>
      <c r="O23" t="s">
        <v>18</v>
      </c>
      <c r="P23" t="s">
        <v>3335</v>
      </c>
      <c r="T23" t="s">
        <v>893</v>
      </c>
      <c r="U23" t="s">
        <v>816</v>
      </c>
      <c r="V23" t="s">
        <v>53</v>
      </c>
      <c r="W23" t="s">
        <v>857</v>
      </c>
      <c r="AC23" t="s">
        <v>2923</v>
      </c>
      <c r="AD23" t="s">
        <v>818</v>
      </c>
      <c r="AE23" t="s">
        <v>18</v>
      </c>
      <c r="AF23" t="s">
        <v>2366</v>
      </c>
      <c r="AJ23" s="844" t="s">
        <v>6651</v>
      </c>
      <c r="AK23" s="844" t="s">
        <v>904</v>
      </c>
      <c r="AL23" s="844" t="s">
        <v>818</v>
      </c>
      <c r="AM23" s="844"/>
      <c r="AN23" s="844" t="s">
        <v>4018</v>
      </c>
    </row>
    <row r="24" spans="1:40">
      <c r="A24" t="s">
        <v>6243</v>
      </c>
      <c r="B24" t="s">
        <v>893</v>
      </c>
      <c r="C24" t="s">
        <v>816</v>
      </c>
      <c r="E24" t="s">
        <v>53</v>
      </c>
      <c r="F24" t="s">
        <v>4632</v>
      </c>
      <c r="I24" t="s">
        <v>4090</v>
      </c>
      <c r="M24" t="s">
        <v>4643</v>
      </c>
      <c r="N24" t="s">
        <v>2923</v>
      </c>
      <c r="O24" t="s">
        <v>18</v>
      </c>
      <c r="P24" t="s">
        <v>2940</v>
      </c>
      <c r="T24" t="s">
        <v>893</v>
      </c>
      <c r="U24" t="s">
        <v>816</v>
      </c>
      <c r="V24" t="s">
        <v>53</v>
      </c>
      <c r="W24" t="s">
        <v>857</v>
      </c>
      <c r="AC24" t="s">
        <v>2923</v>
      </c>
      <c r="AD24" t="s">
        <v>19</v>
      </c>
      <c r="AE24" t="s">
        <v>18</v>
      </c>
      <c r="AF24" t="s">
        <v>857</v>
      </c>
      <c r="AJ24" s="844" t="s">
        <v>4864</v>
      </c>
      <c r="AK24" s="844" t="s">
        <v>2892</v>
      </c>
      <c r="AL24" s="844" t="s">
        <v>818</v>
      </c>
      <c r="AM24" s="844" t="s">
        <v>18</v>
      </c>
      <c r="AN24" s="844" t="s">
        <v>2905</v>
      </c>
    </row>
    <row r="25" spans="1:40">
      <c r="A25" t="s">
        <v>6243</v>
      </c>
      <c r="B25" t="s">
        <v>893</v>
      </c>
      <c r="C25" t="s">
        <v>816</v>
      </c>
      <c r="E25" t="s">
        <v>53</v>
      </c>
      <c r="F25" t="s">
        <v>4625</v>
      </c>
      <c r="I25" t="s">
        <v>949</v>
      </c>
      <c r="M25" t="s">
        <v>4643</v>
      </c>
      <c r="N25" t="s">
        <v>2923</v>
      </c>
      <c r="O25" t="s">
        <v>18</v>
      </c>
      <c r="P25" t="s">
        <v>2939</v>
      </c>
      <c r="T25" t="s">
        <v>893</v>
      </c>
      <c r="U25" t="s">
        <v>816</v>
      </c>
      <c r="V25" t="s">
        <v>53</v>
      </c>
      <c r="W25" t="s">
        <v>857</v>
      </c>
      <c r="AC25" t="s">
        <v>2923</v>
      </c>
      <c r="AD25" t="s">
        <v>19</v>
      </c>
      <c r="AE25" t="s">
        <v>18</v>
      </c>
      <c r="AF25" t="s">
        <v>2929</v>
      </c>
      <c r="AJ25" s="844" t="s">
        <v>4864</v>
      </c>
      <c r="AK25" s="844" t="s">
        <v>2892</v>
      </c>
      <c r="AL25" s="844" t="s">
        <v>818</v>
      </c>
      <c r="AM25" s="844" t="s">
        <v>18</v>
      </c>
      <c r="AN25" s="844" t="s">
        <v>2903</v>
      </c>
    </row>
    <row r="26" spans="1:40">
      <c r="A26" t="s">
        <v>6244</v>
      </c>
      <c r="B26" t="s">
        <v>893</v>
      </c>
      <c r="C26" t="s">
        <v>816</v>
      </c>
      <c r="E26" t="s">
        <v>18</v>
      </c>
      <c r="F26" t="s">
        <v>4630</v>
      </c>
      <c r="I26" t="s">
        <v>951</v>
      </c>
      <c r="M26" t="s">
        <v>4643</v>
      </c>
      <c r="N26" t="s">
        <v>2923</v>
      </c>
      <c r="O26" t="s">
        <v>18</v>
      </c>
      <c r="P26" t="s">
        <v>2938</v>
      </c>
      <c r="T26" t="s">
        <v>893</v>
      </c>
      <c r="U26" t="s">
        <v>816</v>
      </c>
      <c r="V26" t="s">
        <v>18</v>
      </c>
      <c r="W26" t="s">
        <v>857</v>
      </c>
      <c r="AC26" t="s">
        <v>2923</v>
      </c>
      <c r="AD26" t="s">
        <v>19</v>
      </c>
      <c r="AE26" t="s">
        <v>18</v>
      </c>
      <c r="AF26" t="s">
        <v>2931</v>
      </c>
      <c r="AJ26" s="844" t="s">
        <v>4864</v>
      </c>
      <c r="AK26" s="844" t="s">
        <v>2892</v>
      </c>
      <c r="AL26" s="844" t="s">
        <v>818</v>
      </c>
      <c r="AM26" s="844" t="s">
        <v>18</v>
      </c>
      <c r="AN26" s="844" t="s">
        <v>2900</v>
      </c>
    </row>
    <row r="27" spans="1:40">
      <c r="A27" t="s">
        <v>4839</v>
      </c>
      <c r="B27" t="s">
        <v>893</v>
      </c>
      <c r="C27" t="s">
        <v>816</v>
      </c>
      <c r="F27" t="s">
        <v>4236</v>
      </c>
      <c r="I27" t="s">
        <v>2888</v>
      </c>
      <c r="M27" t="s">
        <v>4643</v>
      </c>
      <c r="N27" t="s">
        <v>2923</v>
      </c>
      <c r="O27" t="s">
        <v>18</v>
      </c>
      <c r="P27" t="s">
        <v>2936</v>
      </c>
      <c r="T27" t="s">
        <v>893</v>
      </c>
      <c r="U27" t="s">
        <v>816</v>
      </c>
      <c r="V27" t="s">
        <v>18</v>
      </c>
      <c r="W27" t="s">
        <v>4615</v>
      </c>
      <c r="AC27" t="s">
        <v>2923</v>
      </c>
      <c r="AD27" t="s">
        <v>2384</v>
      </c>
      <c r="AE27" t="s">
        <v>18</v>
      </c>
      <c r="AF27" t="s">
        <v>2925</v>
      </c>
      <c r="AJ27" s="844" t="s">
        <v>4864</v>
      </c>
      <c r="AK27" s="844" t="s">
        <v>2892</v>
      </c>
      <c r="AL27" s="844" t="s">
        <v>818</v>
      </c>
      <c r="AM27" s="844" t="s">
        <v>18</v>
      </c>
      <c r="AN27" s="844" t="s">
        <v>2863</v>
      </c>
    </row>
    <row r="28" spans="1:40">
      <c r="A28" t="s">
        <v>4839</v>
      </c>
      <c r="B28" t="s">
        <v>893</v>
      </c>
      <c r="C28" t="s">
        <v>816</v>
      </c>
      <c r="F28" t="s">
        <v>3772</v>
      </c>
      <c r="I28" t="s">
        <v>956</v>
      </c>
      <c r="M28" t="s">
        <v>4643</v>
      </c>
      <c r="N28" t="s">
        <v>2923</v>
      </c>
      <c r="O28" t="s">
        <v>18</v>
      </c>
      <c r="P28" t="s">
        <v>2935</v>
      </c>
      <c r="T28" t="s">
        <v>893</v>
      </c>
      <c r="U28" t="s">
        <v>816</v>
      </c>
      <c r="V28" t="s">
        <v>18</v>
      </c>
      <c r="W28" t="s">
        <v>2366</v>
      </c>
      <c r="AC28" t="s">
        <v>2923</v>
      </c>
      <c r="AD28" t="s">
        <v>816</v>
      </c>
      <c r="AE28" t="s">
        <v>53</v>
      </c>
      <c r="AF28" t="s">
        <v>2957</v>
      </c>
      <c r="AJ28" s="844" t="s">
        <v>4864</v>
      </c>
      <c r="AK28" s="844" t="s">
        <v>2892</v>
      </c>
      <c r="AL28" s="844" t="s">
        <v>818</v>
      </c>
      <c r="AM28" s="844" t="s">
        <v>18</v>
      </c>
      <c r="AN28" s="844" t="s">
        <v>2366</v>
      </c>
    </row>
    <row r="29" spans="1:40">
      <c r="A29" t="s">
        <v>4843</v>
      </c>
      <c r="B29" t="s">
        <v>2923</v>
      </c>
      <c r="C29" t="s">
        <v>818</v>
      </c>
      <c r="D29" t="s">
        <v>2937</v>
      </c>
      <c r="E29" t="s">
        <v>18</v>
      </c>
      <c r="F29" t="s">
        <v>2938</v>
      </c>
      <c r="I29" t="s">
        <v>2884</v>
      </c>
      <c r="M29" t="s">
        <v>4643</v>
      </c>
      <c r="N29" t="s">
        <v>2923</v>
      </c>
      <c r="O29" t="s">
        <v>18</v>
      </c>
      <c r="P29" t="s">
        <v>2933</v>
      </c>
      <c r="T29" t="s">
        <v>2923</v>
      </c>
      <c r="U29" t="s">
        <v>818</v>
      </c>
      <c r="V29" t="s">
        <v>18</v>
      </c>
      <c r="W29" t="s">
        <v>2937</v>
      </c>
      <c r="AC29" t="s">
        <v>2923</v>
      </c>
      <c r="AD29" t="s">
        <v>816</v>
      </c>
      <c r="AE29" t="s">
        <v>18</v>
      </c>
      <c r="AF29" t="s">
        <v>2927</v>
      </c>
      <c r="AJ29" s="844" t="s">
        <v>4867</v>
      </c>
      <c r="AK29" s="844" t="s">
        <v>2892</v>
      </c>
      <c r="AL29" s="844" t="s">
        <v>19</v>
      </c>
      <c r="AM29" s="844" t="s">
        <v>18</v>
      </c>
      <c r="AN29" s="844" t="s">
        <v>2896</v>
      </c>
    </row>
    <row r="30" spans="1:40">
      <c r="A30" t="s">
        <v>4844</v>
      </c>
      <c r="B30" t="s">
        <v>2923</v>
      </c>
      <c r="C30" t="s">
        <v>818</v>
      </c>
      <c r="D30" t="s">
        <v>2900</v>
      </c>
      <c r="E30" t="s">
        <v>18</v>
      </c>
      <c r="F30" t="s">
        <v>2936</v>
      </c>
      <c r="I30" t="s">
        <v>958</v>
      </c>
      <c r="M30" t="s">
        <v>4643</v>
      </c>
      <c r="N30" t="s">
        <v>2923</v>
      </c>
      <c r="O30" t="s">
        <v>18</v>
      </c>
      <c r="P30" t="s">
        <v>2932</v>
      </c>
      <c r="T30" t="s">
        <v>2923</v>
      </c>
      <c r="U30" t="s">
        <v>818</v>
      </c>
      <c r="V30" t="s">
        <v>18</v>
      </c>
      <c r="W30" t="s">
        <v>2900</v>
      </c>
      <c r="AC30" t="s">
        <v>2923</v>
      </c>
      <c r="AD30" t="s">
        <v>816</v>
      </c>
      <c r="AE30" t="s">
        <v>18</v>
      </c>
      <c r="AF30" t="s">
        <v>2922</v>
      </c>
      <c r="AJ30" s="844" t="s">
        <v>4867</v>
      </c>
      <c r="AK30" s="844" t="s">
        <v>2892</v>
      </c>
      <c r="AL30" s="844" t="s">
        <v>19</v>
      </c>
      <c r="AM30" s="844" t="s">
        <v>18</v>
      </c>
      <c r="AN30" s="844" t="s">
        <v>2581</v>
      </c>
    </row>
    <row r="31" spans="1:40">
      <c r="A31" t="s">
        <v>4845</v>
      </c>
      <c r="B31" t="s">
        <v>2923</v>
      </c>
      <c r="C31" t="s">
        <v>818</v>
      </c>
      <c r="D31" t="s">
        <v>2934</v>
      </c>
      <c r="E31" t="s">
        <v>18</v>
      </c>
      <c r="F31" t="s">
        <v>3335</v>
      </c>
      <c r="I31" t="s">
        <v>959</v>
      </c>
      <c r="M31" t="s">
        <v>4643</v>
      </c>
      <c r="N31" t="s">
        <v>2923</v>
      </c>
      <c r="O31" t="s">
        <v>18</v>
      </c>
      <c r="P31" t="s">
        <v>2930</v>
      </c>
      <c r="T31" t="s">
        <v>2923</v>
      </c>
      <c r="U31" t="s">
        <v>818</v>
      </c>
      <c r="V31" t="s">
        <v>18</v>
      </c>
      <c r="W31" t="s">
        <v>2934</v>
      </c>
      <c r="AC31" t="s">
        <v>899</v>
      </c>
      <c r="AD31" t="s">
        <v>818</v>
      </c>
      <c r="AE31" t="s">
        <v>18</v>
      </c>
      <c r="AF31" t="s">
        <v>857</v>
      </c>
      <c r="AJ31" s="844" t="s">
        <v>4869</v>
      </c>
      <c r="AK31" s="844" t="s">
        <v>2892</v>
      </c>
      <c r="AL31" s="844" t="s">
        <v>816</v>
      </c>
      <c r="AM31" s="844" t="s">
        <v>18</v>
      </c>
      <c r="AN31" s="844" t="s">
        <v>2894</v>
      </c>
    </row>
    <row r="32" spans="1:40">
      <c r="A32" t="s">
        <v>4845</v>
      </c>
      <c r="B32" t="s">
        <v>2923</v>
      </c>
      <c r="C32" t="s">
        <v>818</v>
      </c>
      <c r="D32" t="s">
        <v>2934</v>
      </c>
      <c r="E32" t="s">
        <v>18</v>
      </c>
      <c r="F32" t="s">
        <v>2935</v>
      </c>
      <c r="I32" t="s">
        <v>960</v>
      </c>
      <c r="M32" t="s">
        <v>4643</v>
      </c>
      <c r="N32" t="s">
        <v>2923</v>
      </c>
      <c r="O32" t="s">
        <v>18</v>
      </c>
      <c r="P32" t="s">
        <v>2928</v>
      </c>
      <c r="T32" t="s">
        <v>2923</v>
      </c>
      <c r="U32" t="s">
        <v>818</v>
      </c>
      <c r="V32" t="s">
        <v>18</v>
      </c>
      <c r="W32" t="s">
        <v>2934</v>
      </c>
      <c r="AC32" t="s">
        <v>899</v>
      </c>
      <c r="AD32" t="s">
        <v>2384</v>
      </c>
      <c r="AE32" t="s">
        <v>857</v>
      </c>
      <c r="AF32" t="s">
        <v>3990</v>
      </c>
      <c r="AJ32" s="844" t="s">
        <v>4869</v>
      </c>
      <c r="AK32" s="844" t="s">
        <v>2892</v>
      </c>
      <c r="AL32" s="844" t="s">
        <v>816</v>
      </c>
      <c r="AM32" s="844" t="s">
        <v>18</v>
      </c>
      <c r="AN32" s="844" t="s">
        <v>2891</v>
      </c>
    </row>
    <row r="33" spans="1:40">
      <c r="A33" t="s">
        <v>4846</v>
      </c>
      <c r="B33" t="s">
        <v>2923</v>
      </c>
      <c r="C33" t="s">
        <v>818</v>
      </c>
      <c r="D33" t="s">
        <v>2366</v>
      </c>
      <c r="E33" t="s">
        <v>18</v>
      </c>
      <c r="F33" t="s">
        <v>2933</v>
      </c>
      <c r="I33" t="s">
        <v>961</v>
      </c>
      <c r="M33" t="s">
        <v>4643</v>
      </c>
      <c r="N33" t="s">
        <v>2923</v>
      </c>
      <c r="O33" t="s">
        <v>18</v>
      </c>
      <c r="P33" t="s">
        <v>2924</v>
      </c>
      <c r="T33" t="s">
        <v>2923</v>
      </c>
      <c r="U33" t="s">
        <v>818</v>
      </c>
      <c r="V33" t="s">
        <v>18</v>
      </c>
      <c r="W33" t="s">
        <v>2366</v>
      </c>
      <c r="AC33" t="s">
        <v>899</v>
      </c>
      <c r="AD33" t="s">
        <v>2384</v>
      </c>
      <c r="AE33" t="s">
        <v>18</v>
      </c>
      <c r="AF33" t="s">
        <v>3990</v>
      </c>
      <c r="AJ33" s="844" t="s">
        <v>4872</v>
      </c>
      <c r="AK33" s="844" t="s">
        <v>908</v>
      </c>
      <c r="AL33" s="844" t="s">
        <v>818</v>
      </c>
      <c r="AM33" s="844" t="s">
        <v>18</v>
      </c>
      <c r="AN33" s="844" t="s">
        <v>2366</v>
      </c>
    </row>
    <row r="34" spans="1:40">
      <c r="A34" t="s">
        <v>6493</v>
      </c>
      <c r="B34" t="s">
        <v>2923</v>
      </c>
      <c r="C34" t="s">
        <v>19</v>
      </c>
      <c r="D34" t="s">
        <v>2929</v>
      </c>
      <c r="E34" t="s">
        <v>18</v>
      </c>
      <c r="F34" t="s">
        <v>2930</v>
      </c>
      <c r="I34" t="s">
        <v>962</v>
      </c>
      <c r="M34" t="s">
        <v>4644</v>
      </c>
      <c r="N34" t="s">
        <v>899</v>
      </c>
      <c r="O34" t="s">
        <v>18</v>
      </c>
      <c r="P34" t="s">
        <v>4603</v>
      </c>
      <c r="T34" t="s">
        <v>2923</v>
      </c>
      <c r="U34" t="s">
        <v>19</v>
      </c>
      <c r="V34" t="s">
        <v>18</v>
      </c>
      <c r="W34" t="s">
        <v>857</v>
      </c>
      <c r="AC34" t="s">
        <v>899</v>
      </c>
      <c r="AD34" t="s">
        <v>816</v>
      </c>
      <c r="AE34" t="s">
        <v>18</v>
      </c>
      <c r="AF34" t="s">
        <v>857</v>
      </c>
      <c r="AJ34" s="844" t="s">
        <v>4874</v>
      </c>
      <c r="AK34" s="844" t="s">
        <v>908</v>
      </c>
      <c r="AL34" s="844" t="s">
        <v>19</v>
      </c>
      <c r="AM34" s="844" t="s">
        <v>18</v>
      </c>
      <c r="AN34" s="844" t="s">
        <v>4604</v>
      </c>
    </row>
    <row r="35" spans="1:40">
      <c r="A35" t="s">
        <v>4848</v>
      </c>
      <c r="B35" t="s">
        <v>2923</v>
      </c>
      <c r="C35" t="s">
        <v>19</v>
      </c>
      <c r="D35" t="s">
        <v>2931</v>
      </c>
      <c r="E35" t="s">
        <v>18</v>
      </c>
      <c r="F35" t="s">
        <v>2932</v>
      </c>
      <c r="I35" t="s">
        <v>963</v>
      </c>
      <c r="M35" t="s">
        <v>4644</v>
      </c>
      <c r="N35" t="s">
        <v>899</v>
      </c>
      <c r="O35" t="s">
        <v>18</v>
      </c>
      <c r="P35" t="s">
        <v>4602</v>
      </c>
      <c r="T35" t="s">
        <v>2923</v>
      </c>
      <c r="U35" t="s">
        <v>19</v>
      </c>
      <c r="V35" t="s">
        <v>18</v>
      </c>
      <c r="W35" t="s">
        <v>857</v>
      </c>
      <c r="AC35" t="s">
        <v>904</v>
      </c>
      <c r="AD35" t="s">
        <v>818</v>
      </c>
      <c r="AE35" t="s">
        <v>857</v>
      </c>
      <c r="AF35" t="s">
        <v>4018</v>
      </c>
      <c r="AJ35" s="844" t="s">
        <v>4874</v>
      </c>
      <c r="AK35" s="844" t="s">
        <v>908</v>
      </c>
      <c r="AL35" s="844" t="s">
        <v>19</v>
      </c>
      <c r="AM35" s="844" t="s">
        <v>18</v>
      </c>
      <c r="AN35" s="844" t="s">
        <v>2732</v>
      </c>
    </row>
    <row r="36" spans="1:40">
      <c r="A36" t="s">
        <v>6245</v>
      </c>
      <c r="B36" t="s">
        <v>2923</v>
      </c>
      <c r="C36" t="s">
        <v>19</v>
      </c>
      <c r="E36" t="s">
        <v>18</v>
      </c>
      <c r="F36" t="s">
        <v>3354</v>
      </c>
      <c r="I36" t="s">
        <v>964</v>
      </c>
      <c r="M36" t="s">
        <v>4644</v>
      </c>
      <c r="N36" t="s">
        <v>899</v>
      </c>
      <c r="O36" t="s">
        <v>18</v>
      </c>
      <c r="P36" t="s">
        <v>4601</v>
      </c>
      <c r="T36" t="s">
        <v>2923</v>
      </c>
      <c r="U36" t="s">
        <v>19</v>
      </c>
      <c r="V36" t="s">
        <v>18</v>
      </c>
      <c r="W36" t="s">
        <v>2929</v>
      </c>
      <c r="AC36" t="s">
        <v>904</v>
      </c>
      <c r="AD36" t="s">
        <v>818</v>
      </c>
      <c r="AE36" t="s">
        <v>18</v>
      </c>
      <c r="AF36" t="s">
        <v>857</v>
      </c>
      <c r="AJ36" s="844" t="s">
        <v>6652</v>
      </c>
      <c r="AK36" s="844" t="s">
        <v>908</v>
      </c>
      <c r="AL36" s="844" t="s">
        <v>19</v>
      </c>
      <c r="AM36" s="844"/>
      <c r="AN36" s="844" t="s">
        <v>2732</v>
      </c>
    </row>
    <row r="37" spans="1:40">
      <c r="A37" t="s">
        <v>6245</v>
      </c>
      <c r="B37" t="s">
        <v>2923</v>
      </c>
      <c r="C37" t="s">
        <v>19</v>
      </c>
      <c r="E37" t="s">
        <v>18</v>
      </c>
      <c r="F37" t="s">
        <v>2940</v>
      </c>
      <c r="I37" t="s">
        <v>965</v>
      </c>
      <c r="M37" t="s">
        <v>4645</v>
      </c>
      <c r="N37" t="s">
        <v>904</v>
      </c>
      <c r="O37" t="s">
        <v>18</v>
      </c>
      <c r="P37" t="s">
        <v>4288</v>
      </c>
      <c r="T37" t="s">
        <v>2923</v>
      </c>
      <c r="U37" t="s">
        <v>19</v>
      </c>
      <c r="V37" t="s">
        <v>18</v>
      </c>
      <c r="W37" t="s">
        <v>2931</v>
      </c>
      <c r="AC37" t="s">
        <v>904</v>
      </c>
      <c r="AD37" t="s">
        <v>818</v>
      </c>
      <c r="AE37" t="s">
        <v>18</v>
      </c>
      <c r="AF37" t="s">
        <v>4018</v>
      </c>
      <c r="AJ37" s="844" t="s">
        <v>6653</v>
      </c>
      <c r="AK37" s="844" t="s">
        <v>908</v>
      </c>
      <c r="AL37" s="844" t="s">
        <v>2384</v>
      </c>
      <c r="AM37" s="844"/>
      <c r="AN37" s="844" t="s">
        <v>2366</v>
      </c>
    </row>
    <row r="38" spans="1:40">
      <c r="A38" t="s">
        <v>4850</v>
      </c>
      <c r="B38" t="s">
        <v>2923</v>
      </c>
      <c r="C38" t="s">
        <v>2384</v>
      </c>
      <c r="D38" t="s">
        <v>2925</v>
      </c>
      <c r="E38" t="s">
        <v>18</v>
      </c>
      <c r="F38" t="s">
        <v>2939</v>
      </c>
      <c r="I38" t="s">
        <v>966</v>
      </c>
      <c r="M38" t="s">
        <v>4645</v>
      </c>
      <c r="N38" t="s">
        <v>904</v>
      </c>
      <c r="O38" t="s">
        <v>18</v>
      </c>
      <c r="P38" t="s">
        <v>4287</v>
      </c>
      <c r="T38" t="s">
        <v>2923</v>
      </c>
      <c r="U38" t="s">
        <v>2384</v>
      </c>
      <c r="V38" t="s">
        <v>18</v>
      </c>
      <c r="W38" t="s">
        <v>2925</v>
      </c>
      <c r="AC38" t="s">
        <v>2892</v>
      </c>
      <c r="AD38" t="s">
        <v>818</v>
      </c>
      <c r="AE38" t="s">
        <v>18</v>
      </c>
      <c r="AF38" t="s">
        <v>857</v>
      </c>
      <c r="AJ38" s="844" t="s">
        <v>6654</v>
      </c>
      <c r="AK38" s="844" t="s">
        <v>908</v>
      </c>
      <c r="AL38" s="844" t="s">
        <v>2416</v>
      </c>
      <c r="AM38" s="844"/>
      <c r="AN38" s="844" t="s">
        <v>2366</v>
      </c>
    </row>
    <row r="39" spans="1:40">
      <c r="A39" t="s">
        <v>4852</v>
      </c>
      <c r="B39" t="s">
        <v>2923</v>
      </c>
      <c r="C39" t="s">
        <v>816</v>
      </c>
      <c r="D39" t="s">
        <v>2927</v>
      </c>
      <c r="E39" t="s">
        <v>18</v>
      </c>
      <c r="F39" t="s">
        <v>2928</v>
      </c>
      <c r="I39" t="s">
        <v>967</v>
      </c>
      <c r="M39" t="s">
        <v>4646</v>
      </c>
      <c r="N39" t="s">
        <v>2892</v>
      </c>
      <c r="O39" t="s">
        <v>18</v>
      </c>
      <c r="P39" t="s">
        <v>3355</v>
      </c>
      <c r="T39" t="s">
        <v>2923</v>
      </c>
      <c r="U39" t="s">
        <v>816</v>
      </c>
      <c r="V39" t="s">
        <v>18</v>
      </c>
      <c r="W39" t="s">
        <v>2927</v>
      </c>
      <c r="AC39" t="s">
        <v>2892</v>
      </c>
      <c r="AD39" t="s">
        <v>818</v>
      </c>
      <c r="AE39" t="s">
        <v>18</v>
      </c>
      <c r="AF39" t="s">
        <v>2905</v>
      </c>
      <c r="AJ39" s="844" t="s">
        <v>4879</v>
      </c>
      <c r="AK39" s="844" t="s">
        <v>908</v>
      </c>
      <c r="AL39" s="844" t="s">
        <v>816</v>
      </c>
      <c r="AM39" s="844" t="s">
        <v>18</v>
      </c>
      <c r="AN39" s="844" t="s">
        <v>4604</v>
      </c>
    </row>
    <row r="40" spans="1:40">
      <c r="A40" t="s">
        <v>6494</v>
      </c>
      <c r="B40" t="s">
        <v>2923</v>
      </c>
      <c r="C40" t="s">
        <v>816</v>
      </c>
      <c r="D40" t="s">
        <v>2957</v>
      </c>
      <c r="E40" t="s">
        <v>53</v>
      </c>
      <c r="F40" t="s">
        <v>2958</v>
      </c>
      <c r="I40" t="s">
        <v>968</v>
      </c>
      <c r="M40" t="s">
        <v>4646</v>
      </c>
      <c r="N40" t="s">
        <v>2892</v>
      </c>
      <c r="O40" t="s">
        <v>18</v>
      </c>
      <c r="P40" t="s">
        <v>3334</v>
      </c>
      <c r="T40" t="s">
        <v>2923</v>
      </c>
      <c r="U40" t="s">
        <v>816</v>
      </c>
      <c r="V40" t="s">
        <v>53</v>
      </c>
      <c r="W40" t="s">
        <v>2957</v>
      </c>
      <c r="AC40" t="s">
        <v>2892</v>
      </c>
      <c r="AD40" t="s">
        <v>818</v>
      </c>
      <c r="AE40" t="s">
        <v>18</v>
      </c>
      <c r="AF40" t="s">
        <v>2903</v>
      </c>
      <c r="AJ40" s="844" t="s">
        <v>4880</v>
      </c>
      <c r="AK40" s="844" t="s">
        <v>914</v>
      </c>
      <c r="AL40" s="844" t="s">
        <v>818</v>
      </c>
      <c r="AM40" s="844" t="s">
        <v>53</v>
      </c>
      <c r="AN40" s="844" t="s">
        <v>3970</v>
      </c>
    </row>
    <row r="41" spans="1:40">
      <c r="A41" t="s">
        <v>4855</v>
      </c>
      <c r="B41" t="s">
        <v>2923</v>
      </c>
      <c r="C41" t="s">
        <v>816</v>
      </c>
      <c r="D41" t="s">
        <v>2922</v>
      </c>
      <c r="E41" t="s">
        <v>18</v>
      </c>
      <c r="F41" t="s">
        <v>2924</v>
      </c>
      <c r="I41" t="s">
        <v>969</v>
      </c>
      <c r="M41" t="s">
        <v>4646</v>
      </c>
      <c r="N41" t="s">
        <v>2892</v>
      </c>
      <c r="O41" t="s">
        <v>18</v>
      </c>
      <c r="P41" t="s">
        <v>2975</v>
      </c>
      <c r="T41" t="s">
        <v>2923</v>
      </c>
      <c r="U41" t="s">
        <v>816</v>
      </c>
      <c r="V41" t="s">
        <v>18</v>
      </c>
      <c r="W41" t="s">
        <v>2922</v>
      </c>
      <c r="AC41" t="s">
        <v>2892</v>
      </c>
      <c r="AD41" t="s">
        <v>818</v>
      </c>
      <c r="AE41" t="s">
        <v>18</v>
      </c>
      <c r="AF41" t="s">
        <v>2900</v>
      </c>
      <c r="AJ41" s="844" t="s">
        <v>4884</v>
      </c>
      <c r="AK41" s="844" t="s">
        <v>914</v>
      </c>
      <c r="AL41" s="844" t="s">
        <v>818</v>
      </c>
      <c r="AM41" s="844" t="s">
        <v>18</v>
      </c>
      <c r="AN41" s="844" t="s">
        <v>3970</v>
      </c>
    </row>
    <row r="42" spans="1:40">
      <c r="A42" t="s">
        <v>6246</v>
      </c>
      <c r="B42" t="s">
        <v>899</v>
      </c>
      <c r="C42" t="s">
        <v>818</v>
      </c>
      <c r="E42" t="s">
        <v>18</v>
      </c>
      <c r="F42" t="s">
        <v>4603</v>
      </c>
      <c r="I42" t="s">
        <v>970</v>
      </c>
      <c r="M42" t="s">
        <v>4646</v>
      </c>
      <c r="N42" t="s">
        <v>2892</v>
      </c>
      <c r="O42" t="s">
        <v>18</v>
      </c>
      <c r="P42" t="s">
        <v>2910</v>
      </c>
      <c r="T42" t="s">
        <v>899</v>
      </c>
      <c r="U42" t="s">
        <v>818</v>
      </c>
      <c r="V42" t="s">
        <v>18</v>
      </c>
      <c r="W42" t="s">
        <v>857</v>
      </c>
      <c r="AC42" t="s">
        <v>2892</v>
      </c>
      <c r="AD42" t="s">
        <v>818</v>
      </c>
      <c r="AE42" t="s">
        <v>18</v>
      </c>
      <c r="AF42" t="s">
        <v>2863</v>
      </c>
      <c r="AJ42" s="844" t="s">
        <v>4884</v>
      </c>
      <c r="AK42" s="844" t="s">
        <v>914</v>
      </c>
      <c r="AL42" s="844" t="s">
        <v>818</v>
      </c>
      <c r="AM42" s="844" t="s">
        <v>18</v>
      </c>
      <c r="AN42" s="844" t="s">
        <v>4589</v>
      </c>
    </row>
    <row r="43" spans="1:40">
      <c r="A43" t="s">
        <v>4856</v>
      </c>
      <c r="B43" t="s">
        <v>899</v>
      </c>
      <c r="C43" t="s">
        <v>2384</v>
      </c>
      <c r="D43" t="s">
        <v>3990</v>
      </c>
      <c r="E43" t="s">
        <v>18</v>
      </c>
      <c r="F43" t="s">
        <v>4601</v>
      </c>
      <c r="I43" t="s">
        <v>2920</v>
      </c>
      <c r="M43" t="s">
        <v>4646</v>
      </c>
      <c r="N43" t="s">
        <v>2892</v>
      </c>
      <c r="O43" t="s">
        <v>18</v>
      </c>
      <c r="P43" t="s">
        <v>2909</v>
      </c>
      <c r="T43" t="s">
        <v>899</v>
      </c>
      <c r="U43" t="s">
        <v>2384</v>
      </c>
      <c r="V43" t="s">
        <v>857</v>
      </c>
      <c r="W43" t="s">
        <v>3990</v>
      </c>
      <c r="AC43" t="s">
        <v>2892</v>
      </c>
      <c r="AD43" t="s">
        <v>818</v>
      </c>
      <c r="AE43" t="s">
        <v>18</v>
      </c>
      <c r="AF43" t="s">
        <v>2366</v>
      </c>
      <c r="AJ43" s="844" t="s">
        <v>6655</v>
      </c>
      <c r="AK43" s="844" t="s">
        <v>914</v>
      </c>
      <c r="AL43" s="844" t="s">
        <v>818</v>
      </c>
      <c r="AM43" s="844"/>
      <c r="AN43" s="844" t="s">
        <v>3970</v>
      </c>
    </row>
    <row r="44" spans="1:40">
      <c r="A44" t="s">
        <v>6247</v>
      </c>
      <c r="B44" t="s">
        <v>899</v>
      </c>
      <c r="C44" t="s">
        <v>2384</v>
      </c>
      <c r="D44" t="s">
        <v>3990</v>
      </c>
      <c r="F44" t="s">
        <v>3995</v>
      </c>
      <c r="I44" t="s">
        <v>971</v>
      </c>
      <c r="M44" t="s">
        <v>4646</v>
      </c>
      <c r="N44" t="s">
        <v>2892</v>
      </c>
      <c r="O44" t="s">
        <v>18</v>
      </c>
      <c r="P44" t="s">
        <v>2908</v>
      </c>
      <c r="T44" t="s">
        <v>899</v>
      </c>
      <c r="U44" t="s">
        <v>2384</v>
      </c>
      <c r="V44" t="s">
        <v>857</v>
      </c>
      <c r="W44" t="s">
        <v>3990</v>
      </c>
      <c r="AC44" t="s">
        <v>2892</v>
      </c>
      <c r="AD44" t="s">
        <v>19</v>
      </c>
      <c r="AE44" t="s">
        <v>18</v>
      </c>
      <c r="AF44" t="s">
        <v>2896</v>
      </c>
      <c r="AJ44" s="844" t="s">
        <v>4886</v>
      </c>
      <c r="AK44" s="844" t="s">
        <v>914</v>
      </c>
      <c r="AL44" s="844" t="s">
        <v>2384</v>
      </c>
      <c r="AM44" s="844" t="s">
        <v>18</v>
      </c>
      <c r="AN44" s="844" t="s">
        <v>3970</v>
      </c>
    </row>
    <row r="45" spans="1:40">
      <c r="A45" t="s">
        <v>6247</v>
      </c>
      <c r="B45" t="s">
        <v>899</v>
      </c>
      <c r="C45" t="s">
        <v>2384</v>
      </c>
      <c r="D45" t="s">
        <v>3990</v>
      </c>
      <c r="F45" t="s">
        <v>3991</v>
      </c>
      <c r="I45" t="s">
        <v>972</v>
      </c>
      <c r="M45" t="s">
        <v>4646</v>
      </c>
      <c r="N45" t="s">
        <v>2892</v>
      </c>
      <c r="O45" t="s">
        <v>18</v>
      </c>
      <c r="P45" t="s">
        <v>2907</v>
      </c>
      <c r="T45" t="s">
        <v>899</v>
      </c>
      <c r="U45" t="s">
        <v>2384</v>
      </c>
      <c r="V45" t="s">
        <v>18</v>
      </c>
      <c r="W45" t="s">
        <v>3990</v>
      </c>
      <c r="AC45" t="s">
        <v>2892</v>
      </c>
      <c r="AD45" t="s">
        <v>19</v>
      </c>
      <c r="AE45" t="s">
        <v>18</v>
      </c>
      <c r="AF45" t="s">
        <v>2581</v>
      </c>
      <c r="AJ45" s="844" t="s">
        <v>6656</v>
      </c>
      <c r="AK45" s="844" t="s">
        <v>914</v>
      </c>
      <c r="AL45" s="844" t="s">
        <v>2384</v>
      </c>
      <c r="AM45" s="844"/>
      <c r="AN45" s="844" t="s">
        <v>3970</v>
      </c>
    </row>
    <row r="46" spans="1:40">
      <c r="A46" t="s">
        <v>6248</v>
      </c>
      <c r="B46" t="s">
        <v>899</v>
      </c>
      <c r="C46" t="s">
        <v>816</v>
      </c>
      <c r="E46" t="s">
        <v>18</v>
      </c>
      <c r="F46" t="s">
        <v>4602</v>
      </c>
      <c r="I46" t="s">
        <v>973</v>
      </c>
      <c r="M46" t="s">
        <v>4646</v>
      </c>
      <c r="N46" t="s">
        <v>2892</v>
      </c>
      <c r="O46" t="s">
        <v>18</v>
      </c>
      <c r="P46" t="s">
        <v>2906</v>
      </c>
      <c r="T46" t="s">
        <v>899</v>
      </c>
      <c r="U46" t="s">
        <v>816</v>
      </c>
      <c r="V46" t="s">
        <v>18</v>
      </c>
      <c r="W46" t="s">
        <v>857</v>
      </c>
      <c r="AC46" t="s">
        <v>2892</v>
      </c>
      <c r="AD46" t="s">
        <v>816</v>
      </c>
      <c r="AE46" t="s">
        <v>18</v>
      </c>
      <c r="AF46" t="s">
        <v>2894</v>
      </c>
      <c r="AJ46" s="844" t="s">
        <v>4889</v>
      </c>
      <c r="AK46" s="844" t="s">
        <v>914</v>
      </c>
      <c r="AL46" s="844" t="s">
        <v>816</v>
      </c>
      <c r="AM46" s="844" t="s">
        <v>18</v>
      </c>
      <c r="AN46" s="844" t="s">
        <v>3970</v>
      </c>
    </row>
    <row r="47" spans="1:40">
      <c r="A47" t="s">
        <v>6495</v>
      </c>
      <c r="B47" t="s">
        <v>904</v>
      </c>
      <c r="C47" t="s">
        <v>818</v>
      </c>
      <c r="D47" t="s">
        <v>4018</v>
      </c>
      <c r="E47" t="s">
        <v>18</v>
      </c>
      <c r="F47" t="s">
        <v>4287</v>
      </c>
      <c r="I47" t="s">
        <v>974</v>
      </c>
      <c r="M47" t="s">
        <v>4646</v>
      </c>
      <c r="N47" t="s">
        <v>2892</v>
      </c>
      <c r="O47" t="s">
        <v>18</v>
      </c>
      <c r="P47" t="s">
        <v>2904</v>
      </c>
      <c r="T47" t="s">
        <v>904</v>
      </c>
      <c r="U47" t="s">
        <v>818</v>
      </c>
      <c r="V47" t="s">
        <v>18</v>
      </c>
      <c r="W47" t="s">
        <v>857</v>
      </c>
      <c r="AC47" t="s">
        <v>2892</v>
      </c>
      <c r="AD47" t="s">
        <v>816</v>
      </c>
      <c r="AE47" t="s">
        <v>18</v>
      </c>
      <c r="AF47" t="s">
        <v>2891</v>
      </c>
      <c r="AJ47" s="844" t="s">
        <v>6657</v>
      </c>
      <c r="AK47" s="844" t="s">
        <v>914</v>
      </c>
      <c r="AL47" s="844" t="s">
        <v>816</v>
      </c>
      <c r="AM47" s="844"/>
      <c r="AN47" s="844" t="s">
        <v>3970</v>
      </c>
    </row>
    <row r="48" spans="1:40">
      <c r="A48" t="s">
        <v>6581</v>
      </c>
      <c r="B48" t="s">
        <v>904</v>
      </c>
      <c r="C48" t="s">
        <v>818</v>
      </c>
      <c r="D48" t="s">
        <v>4018</v>
      </c>
      <c r="F48" t="s">
        <v>4019</v>
      </c>
      <c r="I48" t="s">
        <v>975</v>
      </c>
      <c r="M48" t="s">
        <v>4646</v>
      </c>
      <c r="N48" t="s">
        <v>2892</v>
      </c>
      <c r="O48" t="s">
        <v>18</v>
      </c>
      <c r="P48" t="s">
        <v>2902</v>
      </c>
      <c r="T48" t="s">
        <v>904</v>
      </c>
      <c r="U48" t="s">
        <v>818</v>
      </c>
      <c r="V48" t="s">
        <v>857</v>
      </c>
      <c r="W48" t="s">
        <v>4018</v>
      </c>
      <c r="AC48" t="s">
        <v>908</v>
      </c>
      <c r="AD48" t="s">
        <v>818</v>
      </c>
      <c r="AE48" t="s">
        <v>857</v>
      </c>
      <c r="AF48" t="s">
        <v>857</v>
      </c>
      <c r="AJ48" s="844" t="s">
        <v>4891</v>
      </c>
      <c r="AK48" s="844" t="s">
        <v>2878</v>
      </c>
      <c r="AL48" s="844" t="s">
        <v>818</v>
      </c>
      <c r="AM48" s="844" t="s">
        <v>18</v>
      </c>
      <c r="AN48" s="844" t="s">
        <v>2877</v>
      </c>
    </row>
    <row r="49" spans="1:40">
      <c r="A49" t="s">
        <v>6249</v>
      </c>
      <c r="B49" t="s">
        <v>904</v>
      </c>
      <c r="C49" t="s">
        <v>818</v>
      </c>
      <c r="E49" t="s">
        <v>18</v>
      </c>
      <c r="F49" t="s">
        <v>4288</v>
      </c>
      <c r="I49" t="s">
        <v>976</v>
      </c>
      <c r="M49" t="s">
        <v>4646</v>
      </c>
      <c r="N49" t="s">
        <v>2892</v>
      </c>
      <c r="O49" t="s">
        <v>18</v>
      </c>
      <c r="P49" t="s">
        <v>2901</v>
      </c>
      <c r="T49" t="s">
        <v>904</v>
      </c>
      <c r="U49" t="s">
        <v>818</v>
      </c>
      <c r="V49" t="s">
        <v>18</v>
      </c>
      <c r="W49" t="s">
        <v>4018</v>
      </c>
      <c r="AC49" t="s">
        <v>908</v>
      </c>
      <c r="AD49" t="s">
        <v>818</v>
      </c>
      <c r="AE49" t="s">
        <v>18</v>
      </c>
      <c r="AF49" t="s">
        <v>2366</v>
      </c>
      <c r="AJ49" s="844" t="s">
        <v>4893</v>
      </c>
      <c r="AK49" s="844" t="s">
        <v>917</v>
      </c>
      <c r="AL49" s="844" t="s">
        <v>818</v>
      </c>
      <c r="AM49" s="844" t="s">
        <v>53</v>
      </c>
      <c r="AN49" s="844" t="s">
        <v>4065</v>
      </c>
    </row>
    <row r="50" spans="1:40">
      <c r="A50" t="s">
        <v>4859</v>
      </c>
      <c r="B50" t="s">
        <v>2892</v>
      </c>
      <c r="C50" t="s">
        <v>818</v>
      </c>
      <c r="D50" t="s">
        <v>2905</v>
      </c>
      <c r="E50" t="s">
        <v>18</v>
      </c>
      <c r="F50" t="s">
        <v>3355</v>
      </c>
      <c r="I50" t="s">
        <v>2670</v>
      </c>
      <c r="M50" t="s">
        <v>4646</v>
      </c>
      <c r="N50" t="s">
        <v>2892</v>
      </c>
      <c r="O50" t="s">
        <v>18</v>
      </c>
      <c r="P50" t="s">
        <v>2899</v>
      </c>
      <c r="T50" t="s">
        <v>2892</v>
      </c>
      <c r="U50" t="s">
        <v>818</v>
      </c>
      <c r="V50" t="s">
        <v>18</v>
      </c>
      <c r="W50" t="s">
        <v>857</v>
      </c>
      <c r="AC50" t="s">
        <v>908</v>
      </c>
      <c r="AD50" t="s">
        <v>19</v>
      </c>
      <c r="AE50" t="s">
        <v>857</v>
      </c>
      <c r="AF50" t="s">
        <v>2732</v>
      </c>
      <c r="AJ50" s="844" t="s">
        <v>4896</v>
      </c>
      <c r="AK50" s="844" t="s">
        <v>917</v>
      </c>
      <c r="AL50" s="844" t="s">
        <v>818</v>
      </c>
      <c r="AM50" s="844" t="s">
        <v>18</v>
      </c>
      <c r="AN50" s="844" t="s">
        <v>4065</v>
      </c>
    </row>
    <row r="51" spans="1:40">
      <c r="A51" t="s">
        <v>4859</v>
      </c>
      <c r="B51" t="s">
        <v>2892</v>
      </c>
      <c r="C51" t="s">
        <v>818</v>
      </c>
      <c r="D51" t="s">
        <v>2905</v>
      </c>
      <c r="E51" t="s">
        <v>18</v>
      </c>
      <c r="F51" t="s">
        <v>2906</v>
      </c>
      <c r="I51" t="s">
        <v>977</v>
      </c>
      <c r="M51" t="s">
        <v>4646</v>
      </c>
      <c r="N51" t="s">
        <v>2892</v>
      </c>
      <c r="O51" t="s">
        <v>18</v>
      </c>
      <c r="P51" t="s">
        <v>2898</v>
      </c>
      <c r="T51" t="s">
        <v>2892</v>
      </c>
      <c r="U51" t="s">
        <v>818</v>
      </c>
      <c r="V51" t="s">
        <v>18</v>
      </c>
      <c r="W51" t="s">
        <v>857</v>
      </c>
      <c r="AC51" t="s">
        <v>908</v>
      </c>
      <c r="AD51" t="s">
        <v>19</v>
      </c>
      <c r="AE51" t="s">
        <v>18</v>
      </c>
      <c r="AF51" t="s">
        <v>857</v>
      </c>
      <c r="AJ51" s="844" t="s">
        <v>6658</v>
      </c>
      <c r="AK51" s="844" t="s">
        <v>917</v>
      </c>
      <c r="AL51" s="844" t="s">
        <v>818</v>
      </c>
      <c r="AM51" s="844"/>
      <c r="AN51" s="844" t="s">
        <v>4065</v>
      </c>
    </row>
    <row r="52" spans="1:40">
      <c r="A52" t="s">
        <v>4860</v>
      </c>
      <c r="B52" t="s">
        <v>2892</v>
      </c>
      <c r="C52" t="s">
        <v>818</v>
      </c>
      <c r="D52" t="s">
        <v>2903</v>
      </c>
      <c r="E52" t="s">
        <v>18</v>
      </c>
      <c r="F52" t="s">
        <v>2904</v>
      </c>
      <c r="I52" t="s">
        <v>978</v>
      </c>
      <c r="M52" t="s">
        <v>4646</v>
      </c>
      <c r="N52" t="s">
        <v>2892</v>
      </c>
      <c r="O52" t="s">
        <v>18</v>
      </c>
      <c r="P52" t="s">
        <v>2897</v>
      </c>
      <c r="T52" t="s">
        <v>2892</v>
      </c>
      <c r="U52" t="s">
        <v>818</v>
      </c>
      <c r="V52" t="s">
        <v>18</v>
      </c>
      <c r="W52" t="s">
        <v>857</v>
      </c>
      <c r="AC52" t="s">
        <v>908</v>
      </c>
      <c r="AD52" t="s">
        <v>19</v>
      </c>
      <c r="AE52" t="s">
        <v>18</v>
      </c>
      <c r="AF52" t="s">
        <v>4604</v>
      </c>
      <c r="AJ52" s="844" t="s">
        <v>4899</v>
      </c>
      <c r="AK52" s="844" t="s">
        <v>917</v>
      </c>
      <c r="AL52" s="844" t="s">
        <v>816</v>
      </c>
      <c r="AM52" s="844" t="s">
        <v>53</v>
      </c>
      <c r="AN52" s="844" t="s">
        <v>4580</v>
      </c>
    </row>
    <row r="53" spans="1:40">
      <c r="A53" t="s">
        <v>4861</v>
      </c>
      <c r="B53" t="s">
        <v>2892</v>
      </c>
      <c r="C53" t="s">
        <v>818</v>
      </c>
      <c r="D53" t="s">
        <v>2900</v>
      </c>
      <c r="E53" t="s">
        <v>18</v>
      </c>
      <c r="F53" t="s">
        <v>2902</v>
      </c>
      <c r="I53" t="s">
        <v>979</v>
      </c>
      <c r="M53" t="s">
        <v>4646</v>
      </c>
      <c r="N53" t="s">
        <v>2892</v>
      </c>
      <c r="O53" t="s">
        <v>18</v>
      </c>
      <c r="P53" t="s">
        <v>2895</v>
      </c>
      <c r="T53" t="s">
        <v>2892</v>
      </c>
      <c r="U53" t="s">
        <v>818</v>
      </c>
      <c r="V53" t="s">
        <v>18</v>
      </c>
      <c r="W53" t="s">
        <v>857</v>
      </c>
      <c r="AC53" t="s">
        <v>908</v>
      </c>
      <c r="AD53" t="s">
        <v>19</v>
      </c>
      <c r="AE53" t="s">
        <v>18</v>
      </c>
      <c r="AF53" t="s">
        <v>2732</v>
      </c>
      <c r="AJ53" s="844" t="s">
        <v>4899</v>
      </c>
      <c r="AK53" s="844" t="s">
        <v>917</v>
      </c>
      <c r="AL53" s="844" t="s">
        <v>816</v>
      </c>
      <c r="AM53" s="844" t="s">
        <v>53</v>
      </c>
      <c r="AN53" s="844" t="s">
        <v>4065</v>
      </c>
    </row>
    <row r="54" spans="1:40">
      <c r="A54" t="s">
        <v>4861</v>
      </c>
      <c r="B54" t="s">
        <v>2892</v>
      </c>
      <c r="C54" t="s">
        <v>818</v>
      </c>
      <c r="D54" t="s">
        <v>2900</v>
      </c>
      <c r="E54" t="s">
        <v>18</v>
      </c>
      <c r="F54" t="s">
        <v>2901</v>
      </c>
      <c r="I54" t="s">
        <v>980</v>
      </c>
      <c r="M54" t="s">
        <v>4646</v>
      </c>
      <c r="N54" t="s">
        <v>2892</v>
      </c>
      <c r="O54" t="s">
        <v>18</v>
      </c>
      <c r="P54" t="s">
        <v>2893</v>
      </c>
      <c r="T54" t="s">
        <v>2892</v>
      </c>
      <c r="U54" t="s">
        <v>818</v>
      </c>
      <c r="V54" t="s">
        <v>18</v>
      </c>
      <c r="W54" t="s">
        <v>2905</v>
      </c>
      <c r="AC54" t="s">
        <v>908</v>
      </c>
      <c r="AD54" t="s">
        <v>2384</v>
      </c>
      <c r="AE54" t="s">
        <v>857</v>
      </c>
      <c r="AF54" t="s">
        <v>857</v>
      </c>
      <c r="AJ54" s="844" t="s">
        <v>4903</v>
      </c>
      <c r="AK54" s="844" t="s">
        <v>917</v>
      </c>
      <c r="AL54" s="844" t="s">
        <v>816</v>
      </c>
      <c r="AM54" s="844" t="s">
        <v>18</v>
      </c>
      <c r="AN54" s="844" t="s">
        <v>4065</v>
      </c>
    </row>
    <row r="55" spans="1:40">
      <c r="A55" t="s">
        <v>4862</v>
      </c>
      <c r="B55" t="s">
        <v>2892</v>
      </c>
      <c r="C55" t="s">
        <v>818</v>
      </c>
      <c r="D55" t="s">
        <v>2863</v>
      </c>
      <c r="E55" t="s">
        <v>18</v>
      </c>
      <c r="F55" t="s">
        <v>3334</v>
      </c>
      <c r="I55" t="s">
        <v>981</v>
      </c>
      <c r="M55" t="s">
        <v>4647</v>
      </c>
      <c r="N55" t="s">
        <v>908</v>
      </c>
      <c r="O55" t="s">
        <v>18</v>
      </c>
      <c r="P55" t="s">
        <v>4613</v>
      </c>
      <c r="T55" t="s">
        <v>2892</v>
      </c>
      <c r="U55" t="s">
        <v>818</v>
      </c>
      <c r="V55" t="s">
        <v>18</v>
      </c>
      <c r="W55" t="s">
        <v>2905</v>
      </c>
      <c r="AC55" t="s">
        <v>908</v>
      </c>
      <c r="AD55" t="s">
        <v>2384</v>
      </c>
      <c r="AE55" t="s">
        <v>857</v>
      </c>
      <c r="AF55" t="s">
        <v>2366</v>
      </c>
      <c r="AJ55" s="844" t="s">
        <v>6659</v>
      </c>
      <c r="AK55" s="844" t="s">
        <v>917</v>
      </c>
      <c r="AL55" s="844" t="s">
        <v>816</v>
      </c>
      <c r="AM55" s="844"/>
      <c r="AN55" s="844" t="s">
        <v>4065</v>
      </c>
    </row>
    <row r="56" spans="1:40">
      <c r="A56" t="s">
        <v>4862</v>
      </c>
      <c r="B56" t="s">
        <v>2892</v>
      </c>
      <c r="C56" t="s">
        <v>818</v>
      </c>
      <c r="D56" t="s">
        <v>2863</v>
      </c>
      <c r="E56" t="s">
        <v>18</v>
      </c>
      <c r="F56" t="s">
        <v>2899</v>
      </c>
      <c r="I56" t="s">
        <v>982</v>
      </c>
      <c r="M56" t="s">
        <v>4647</v>
      </c>
      <c r="N56" t="s">
        <v>908</v>
      </c>
      <c r="O56" t="s">
        <v>18</v>
      </c>
      <c r="P56" t="s">
        <v>4612</v>
      </c>
      <c r="T56" t="s">
        <v>2892</v>
      </c>
      <c r="U56" t="s">
        <v>818</v>
      </c>
      <c r="V56" t="s">
        <v>18</v>
      </c>
      <c r="W56" t="s">
        <v>2903</v>
      </c>
      <c r="AC56" t="s">
        <v>908</v>
      </c>
      <c r="AD56" t="s">
        <v>2416</v>
      </c>
      <c r="AE56" t="s">
        <v>857</v>
      </c>
      <c r="AF56" t="s">
        <v>857</v>
      </c>
      <c r="AJ56" s="844" t="s">
        <v>4907</v>
      </c>
      <c r="AK56" s="844" t="s">
        <v>921</v>
      </c>
      <c r="AL56" s="844" t="s">
        <v>818</v>
      </c>
      <c r="AM56" s="844" t="s">
        <v>18</v>
      </c>
      <c r="AN56" s="844" t="s">
        <v>4231</v>
      </c>
    </row>
    <row r="57" spans="1:40">
      <c r="A57" t="s">
        <v>4863</v>
      </c>
      <c r="B57" t="s">
        <v>2892</v>
      </c>
      <c r="C57" t="s">
        <v>818</v>
      </c>
      <c r="D57" t="s">
        <v>2366</v>
      </c>
      <c r="E57" t="s">
        <v>18</v>
      </c>
      <c r="F57" t="s">
        <v>2898</v>
      </c>
      <c r="I57" t="s">
        <v>983</v>
      </c>
      <c r="M57" t="s">
        <v>4647</v>
      </c>
      <c r="N57" t="s">
        <v>908</v>
      </c>
      <c r="O57" t="s">
        <v>18</v>
      </c>
      <c r="P57" t="s">
        <v>4611</v>
      </c>
      <c r="T57" t="s">
        <v>2892</v>
      </c>
      <c r="U57" t="s">
        <v>818</v>
      </c>
      <c r="V57" t="s">
        <v>18</v>
      </c>
      <c r="W57" t="s">
        <v>2900</v>
      </c>
      <c r="AC57" t="s">
        <v>908</v>
      </c>
      <c r="AD57" t="s">
        <v>2416</v>
      </c>
      <c r="AE57" t="s">
        <v>857</v>
      </c>
      <c r="AF57" t="s">
        <v>2366</v>
      </c>
      <c r="AJ57" s="844" t="s">
        <v>4907</v>
      </c>
      <c r="AK57" s="844" t="s">
        <v>921</v>
      </c>
      <c r="AL57" s="844" t="s">
        <v>818</v>
      </c>
      <c r="AM57" s="844" t="s">
        <v>18</v>
      </c>
      <c r="AN57" s="844" t="s">
        <v>4519</v>
      </c>
    </row>
    <row r="58" spans="1:40">
      <c r="A58" t="s">
        <v>6250</v>
      </c>
      <c r="B58" t="s">
        <v>2892</v>
      </c>
      <c r="C58" t="s">
        <v>818</v>
      </c>
      <c r="E58" t="s">
        <v>18</v>
      </c>
      <c r="F58" t="s">
        <v>2910</v>
      </c>
      <c r="I58" t="s">
        <v>984</v>
      </c>
      <c r="M58" t="s">
        <v>4647</v>
      </c>
      <c r="N58" t="s">
        <v>908</v>
      </c>
      <c r="O58" t="s">
        <v>18</v>
      </c>
      <c r="P58" t="s">
        <v>4610</v>
      </c>
      <c r="T58" t="s">
        <v>2892</v>
      </c>
      <c r="U58" t="s">
        <v>818</v>
      </c>
      <c r="V58" t="s">
        <v>18</v>
      </c>
      <c r="W58" t="s">
        <v>2900</v>
      </c>
      <c r="AC58" t="s">
        <v>908</v>
      </c>
      <c r="AD58" t="s">
        <v>816</v>
      </c>
      <c r="AE58" t="s">
        <v>18</v>
      </c>
      <c r="AF58" t="s">
        <v>857</v>
      </c>
      <c r="AJ58" s="844" t="s">
        <v>4907</v>
      </c>
      <c r="AK58" s="844" t="s">
        <v>921</v>
      </c>
      <c r="AL58" s="844" t="s">
        <v>818</v>
      </c>
      <c r="AM58" s="844" t="s">
        <v>18</v>
      </c>
      <c r="AN58" s="844" t="s">
        <v>2559</v>
      </c>
    </row>
    <row r="59" spans="1:40">
      <c r="A59" t="s">
        <v>6250</v>
      </c>
      <c r="B59" t="s">
        <v>2892</v>
      </c>
      <c r="C59" t="s">
        <v>818</v>
      </c>
      <c r="E59" t="s">
        <v>18</v>
      </c>
      <c r="F59" t="s">
        <v>2909</v>
      </c>
      <c r="I59" t="s">
        <v>985</v>
      </c>
      <c r="M59" t="s">
        <v>4647</v>
      </c>
      <c r="N59" t="s">
        <v>908</v>
      </c>
      <c r="O59" t="s">
        <v>18</v>
      </c>
      <c r="P59" t="s">
        <v>4609</v>
      </c>
      <c r="T59" t="s">
        <v>2892</v>
      </c>
      <c r="U59" t="s">
        <v>818</v>
      </c>
      <c r="V59" t="s">
        <v>18</v>
      </c>
      <c r="W59" t="s">
        <v>2863</v>
      </c>
      <c r="AC59" t="s">
        <v>908</v>
      </c>
      <c r="AD59" t="s">
        <v>816</v>
      </c>
      <c r="AE59" t="s">
        <v>18</v>
      </c>
      <c r="AF59" t="s">
        <v>4604</v>
      </c>
      <c r="AJ59" s="844" t="s">
        <v>6660</v>
      </c>
      <c r="AK59" s="844" t="s">
        <v>921</v>
      </c>
      <c r="AL59" s="844" t="s">
        <v>818</v>
      </c>
      <c r="AM59" s="844"/>
      <c r="AN59" s="844" t="s">
        <v>4231</v>
      </c>
    </row>
    <row r="60" spans="1:40">
      <c r="A60" t="s">
        <v>6250</v>
      </c>
      <c r="B60" t="s">
        <v>2892</v>
      </c>
      <c r="C60" t="s">
        <v>818</v>
      </c>
      <c r="E60" t="s">
        <v>18</v>
      </c>
      <c r="F60" t="s">
        <v>2908</v>
      </c>
      <c r="I60" t="s">
        <v>986</v>
      </c>
      <c r="M60" t="s">
        <v>4647</v>
      </c>
      <c r="N60" t="s">
        <v>908</v>
      </c>
      <c r="O60" t="s">
        <v>18</v>
      </c>
      <c r="P60" t="s">
        <v>4608</v>
      </c>
      <c r="T60" t="s">
        <v>2892</v>
      </c>
      <c r="U60" t="s">
        <v>818</v>
      </c>
      <c r="V60" t="s">
        <v>18</v>
      </c>
      <c r="W60" t="s">
        <v>2863</v>
      </c>
      <c r="AC60" t="s">
        <v>912</v>
      </c>
      <c r="AD60" t="s">
        <v>818</v>
      </c>
      <c r="AE60" t="s">
        <v>18</v>
      </c>
      <c r="AF60" t="s">
        <v>857</v>
      </c>
      <c r="AJ60" s="844" t="s">
        <v>4911</v>
      </c>
      <c r="AK60" s="844" t="s">
        <v>921</v>
      </c>
      <c r="AL60" s="844" t="s">
        <v>19</v>
      </c>
      <c r="AM60" s="844" t="s">
        <v>18</v>
      </c>
      <c r="AN60" s="844" t="s">
        <v>4513</v>
      </c>
    </row>
    <row r="61" spans="1:40">
      <c r="A61" t="s">
        <v>6250</v>
      </c>
      <c r="B61" t="s">
        <v>2892</v>
      </c>
      <c r="C61" t="s">
        <v>818</v>
      </c>
      <c r="E61" t="s">
        <v>18</v>
      </c>
      <c r="F61" t="s">
        <v>2907</v>
      </c>
      <c r="I61" t="s">
        <v>987</v>
      </c>
      <c r="M61" t="s">
        <v>4647</v>
      </c>
      <c r="N61" t="s">
        <v>908</v>
      </c>
      <c r="O61" t="s">
        <v>18</v>
      </c>
      <c r="P61" t="s">
        <v>4607</v>
      </c>
      <c r="T61" t="s">
        <v>2892</v>
      </c>
      <c r="U61" t="s">
        <v>818</v>
      </c>
      <c r="V61" t="s">
        <v>18</v>
      </c>
      <c r="W61" t="s">
        <v>2366</v>
      </c>
      <c r="AC61" t="s">
        <v>914</v>
      </c>
      <c r="AD61" t="s">
        <v>818</v>
      </c>
      <c r="AE61" t="s">
        <v>857</v>
      </c>
      <c r="AF61" t="s">
        <v>3970</v>
      </c>
      <c r="AJ61" s="844" t="s">
        <v>4911</v>
      </c>
      <c r="AK61" s="844" t="s">
        <v>921</v>
      </c>
      <c r="AL61" s="844" t="s">
        <v>19</v>
      </c>
      <c r="AM61" s="844" t="s">
        <v>18</v>
      </c>
      <c r="AN61" s="844" t="s">
        <v>4231</v>
      </c>
    </row>
    <row r="62" spans="1:40">
      <c r="A62" t="s">
        <v>4865</v>
      </c>
      <c r="B62" t="s">
        <v>2892</v>
      </c>
      <c r="C62" t="s">
        <v>19</v>
      </c>
      <c r="D62" t="s">
        <v>2896</v>
      </c>
      <c r="E62" t="s">
        <v>18</v>
      </c>
      <c r="F62" t="s">
        <v>2897</v>
      </c>
      <c r="I62" t="s">
        <v>988</v>
      </c>
      <c r="M62" t="s">
        <v>4647</v>
      </c>
      <c r="N62" t="s">
        <v>908</v>
      </c>
      <c r="O62" t="s">
        <v>18</v>
      </c>
      <c r="P62" t="s">
        <v>4606</v>
      </c>
      <c r="T62" t="s">
        <v>2892</v>
      </c>
      <c r="U62" t="s">
        <v>19</v>
      </c>
      <c r="V62" t="s">
        <v>18</v>
      </c>
      <c r="W62" t="s">
        <v>2896</v>
      </c>
      <c r="AC62" t="s">
        <v>914</v>
      </c>
      <c r="AD62" t="s">
        <v>818</v>
      </c>
      <c r="AE62" t="s">
        <v>53</v>
      </c>
      <c r="AF62" t="s">
        <v>857</v>
      </c>
      <c r="AJ62" s="844" t="s">
        <v>6661</v>
      </c>
      <c r="AK62" s="844" t="s">
        <v>921</v>
      </c>
      <c r="AL62" s="844" t="s">
        <v>19</v>
      </c>
      <c r="AM62" s="844"/>
      <c r="AN62" s="844" t="s">
        <v>4231</v>
      </c>
    </row>
    <row r="63" spans="1:40">
      <c r="A63" t="s">
        <v>4866</v>
      </c>
      <c r="B63" t="s">
        <v>2892</v>
      </c>
      <c r="C63" t="s">
        <v>19</v>
      </c>
      <c r="D63" t="s">
        <v>2581</v>
      </c>
      <c r="E63" t="s">
        <v>18</v>
      </c>
      <c r="F63" t="s">
        <v>2975</v>
      </c>
      <c r="I63" t="s">
        <v>989</v>
      </c>
      <c r="M63" t="s">
        <v>4647</v>
      </c>
      <c r="N63" t="s">
        <v>908</v>
      </c>
      <c r="O63" t="s">
        <v>18</v>
      </c>
      <c r="P63" t="s">
        <v>4605</v>
      </c>
      <c r="T63" t="s">
        <v>2892</v>
      </c>
      <c r="U63" t="s">
        <v>19</v>
      </c>
      <c r="V63" t="s">
        <v>18</v>
      </c>
      <c r="W63" t="s">
        <v>2581</v>
      </c>
      <c r="AC63" t="s">
        <v>914</v>
      </c>
      <c r="AD63" t="s">
        <v>818</v>
      </c>
      <c r="AE63" t="s">
        <v>53</v>
      </c>
      <c r="AF63" t="s">
        <v>3970</v>
      </c>
      <c r="AJ63" s="844" t="s">
        <v>4915</v>
      </c>
      <c r="AK63" s="844" t="s">
        <v>921</v>
      </c>
      <c r="AL63" s="844" t="s">
        <v>816</v>
      </c>
      <c r="AM63" s="844" t="s">
        <v>18</v>
      </c>
      <c r="AN63" s="844" t="s">
        <v>4513</v>
      </c>
    </row>
    <row r="64" spans="1:40">
      <c r="A64" t="s">
        <v>6496</v>
      </c>
      <c r="B64" t="s">
        <v>2892</v>
      </c>
      <c r="C64" t="s">
        <v>816</v>
      </c>
      <c r="D64" t="s">
        <v>2894</v>
      </c>
      <c r="E64" t="s">
        <v>18</v>
      </c>
      <c r="F64" t="s">
        <v>2895</v>
      </c>
      <c r="I64" t="s">
        <v>990</v>
      </c>
      <c r="M64" t="s">
        <v>4648</v>
      </c>
      <c r="N64" t="s">
        <v>912</v>
      </c>
      <c r="O64" t="s">
        <v>18</v>
      </c>
      <c r="P64" t="s">
        <v>4600</v>
      </c>
      <c r="T64" t="s">
        <v>2892</v>
      </c>
      <c r="U64" t="s">
        <v>816</v>
      </c>
      <c r="V64" t="s">
        <v>18</v>
      </c>
      <c r="W64" t="s">
        <v>2894</v>
      </c>
      <c r="AC64" t="s">
        <v>914</v>
      </c>
      <c r="AD64" t="s">
        <v>818</v>
      </c>
      <c r="AE64" t="s">
        <v>18</v>
      </c>
      <c r="AF64" t="s">
        <v>857</v>
      </c>
      <c r="AJ64" s="844" t="s">
        <v>4915</v>
      </c>
      <c r="AK64" s="844" t="s">
        <v>921</v>
      </c>
      <c r="AL64" s="844" t="s">
        <v>816</v>
      </c>
      <c r="AM64" s="844" t="s">
        <v>18</v>
      </c>
      <c r="AN64" s="844" t="s">
        <v>4231</v>
      </c>
    </row>
    <row r="65" spans="1:40">
      <c r="A65" t="s">
        <v>4868</v>
      </c>
      <c r="B65" t="s">
        <v>2892</v>
      </c>
      <c r="C65" t="s">
        <v>816</v>
      </c>
      <c r="D65" t="s">
        <v>2891</v>
      </c>
      <c r="E65" t="s">
        <v>18</v>
      </c>
      <c r="F65" t="s">
        <v>2893</v>
      </c>
      <c r="I65" t="s">
        <v>991</v>
      </c>
      <c r="M65" t="s">
        <v>4648</v>
      </c>
      <c r="N65" t="s">
        <v>912</v>
      </c>
      <c r="O65" t="s">
        <v>18</v>
      </c>
      <c r="P65" t="s">
        <v>4599</v>
      </c>
      <c r="T65" t="s">
        <v>2892</v>
      </c>
      <c r="U65" t="s">
        <v>816</v>
      </c>
      <c r="V65" t="s">
        <v>18</v>
      </c>
      <c r="W65" t="s">
        <v>2891</v>
      </c>
      <c r="AC65" t="s">
        <v>914</v>
      </c>
      <c r="AD65" t="s">
        <v>818</v>
      </c>
      <c r="AE65" t="s">
        <v>18</v>
      </c>
      <c r="AF65" t="s">
        <v>3970</v>
      </c>
      <c r="AJ65" s="844" t="s">
        <v>6662</v>
      </c>
      <c r="AK65" s="844" t="s">
        <v>921</v>
      </c>
      <c r="AL65" s="844" t="s">
        <v>816</v>
      </c>
      <c r="AM65" s="844"/>
      <c r="AN65" s="844" t="s">
        <v>4231</v>
      </c>
    </row>
    <row r="66" spans="1:40">
      <c r="A66" t="s">
        <v>4871</v>
      </c>
      <c r="B66" t="s">
        <v>908</v>
      </c>
      <c r="C66" t="s">
        <v>818</v>
      </c>
      <c r="D66" t="s">
        <v>2366</v>
      </c>
      <c r="E66" t="s">
        <v>18</v>
      </c>
      <c r="F66" t="s">
        <v>4611</v>
      </c>
      <c r="I66" t="s">
        <v>992</v>
      </c>
      <c r="M66" t="s">
        <v>4648</v>
      </c>
      <c r="N66" t="s">
        <v>912</v>
      </c>
      <c r="O66" t="s">
        <v>18</v>
      </c>
      <c r="P66" t="s">
        <v>4598</v>
      </c>
      <c r="T66" t="s">
        <v>908</v>
      </c>
      <c r="U66" t="s">
        <v>818</v>
      </c>
      <c r="V66" t="s">
        <v>857</v>
      </c>
      <c r="W66" t="s">
        <v>857</v>
      </c>
      <c r="AC66" t="s">
        <v>914</v>
      </c>
      <c r="AD66" t="s">
        <v>818</v>
      </c>
      <c r="AE66" t="s">
        <v>18</v>
      </c>
      <c r="AF66" t="s">
        <v>4589</v>
      </c>
      <c r="AJ66" s="844" t="s">
        <v>4919</v>
      </c>
      <c r="AK66" s="844" t="s">
        <v>923</v>
      </c>
      <c r="AL66" s="844" t="s">
        <v>818</v>
      </c>
      <c r="AM66" s="844" t="s">
        <v>18</v>
      </c>
      <c r="AN66" s="844" t="s">
        <v>3747</v>
      </c>
    </row>
    <row r="67" spans="1:40">
      <c r="A67" t="s">
        <v>4871</v>
      </c>
      <c r="B67" t="s">
        <v>908</v>
      </c>
      <c r="C67" t="s">
        <v>818</v>
      </c>
      <c r="D67" t="s">
        <v>2366</v>
      </c>
      <c r="E67" t="s">
        <v>18</v>
      </c>
      <c r="F67" t="s">
        <v>4608</v>
      </c>
      <c r="I67" t="s">
        <v>993</v>
      </c>
      <c r="M67" t="s">
        <v>4649</v>
      </c>
      <c r="N67" t="s">
        <v>914</v>
      </c>
      <c r="O67" t="s">
        <v>53</v>
      </c>
      <c r="P67" t="s">
        <v>4596</v>
      </c>
      <c r="T67" t="s">
        <v>908</v>
      </c>
      <c r="U67" t="s">
        <v>818</v>
      </c>
      <c r="V67" t="s">
        <v>18</v>
      </c>
      <c r="W67" t="s">
        <v>2366</v>
      </c>
      <c r="AC67" t="s">
        <v>914</v>
      </c>
      <c r="AD67" t="s">
        <v>2384</v>
      </c>
      <c r="AE67" t="s">
        <v>857</v>
      </c>
      <c r="AF67" t="s">
        <v>3970</v>
      </c>
      <c r="AJ67" s="844" t="s">
        <v>4919</v>
      </c>
      <c r="AK67" s="844" t="s">
        <v>923</v>
      </c>
      <c r="AL67" s="844" t="s">
        <v>818</v>
      </c>
      <c r="AM67" s="844" t="s">
        <v>18</v>
      </c>
      <c r="AN67" s="844" t="s">
        <v>2366</v>
      </c>
    </row>
    <row r="68" spans="1:40">
      <c r="A68" t="s">
        <v>4870</v>
      </c>
      <c r="B68" t="s">
        <v>908</v>
      </c>
      <c r="C68" t="s">
        <v>818</v>
      </c>
      <c r="F68" t="s">
        <v>4123</v>
      </c>
      <c r="I68" t="s">
        <v>994</v>
      </c>
      <c r="M68" t="s">
        <v>4649</v>
      </c>
      <c r="N68" t="s">
        <v>914</v>
      </c>
      <c r="O68" t="s">
        <v>53</v>
      </c>
      <c r="P68" t="s">
        <v>4595</v>
      </c>
      <c r="T68" t="s">
        <v>908</v>
      </c>
      <c r="U68" t="s">
        <v>818</v>
      </c>
      <c r="V68" t="s">
        <v>18</v>
      </c>
      <c r="W68" t="s">
        <v>2366</v>
      </c>
      <c r="AC68" t="s">
        <v>914</v>
      </c>
      <c r="AD68" t="s">
        <v>2384</v>
      </c>
      <c r="AE68" t="s">
        <v>18</v>
      </c>
      <c r="AF68" t="s">
        <v>3970</v>
      </c>
      <c r="AJ68" s="844" t="s">
        <v>6663</v>
      </c>
      <c r="AK68" s="844" t="s">
        <v>923</v>
      </c>
      <c r="AL68" s="844" t="s">
        <v>818</v>
      </c>
      <c r="AM68" s="844"/>
      <c r="AN68" s="844" t="s">
        <v>3747</v>
      </c>
    </row>
    <row r="69" spans="1:40">
      <c r="A69" t="s">
        <v>4873</v>
      </c>
      <c r="B69" t="s">
        <v>908</v>
      </c>
      <c r="C69" t="s">
        <v>19</v>
      </c>
      <c r="D69" t="s">
        <v>4604</v>
      </c>
      <c r="E69" t="s">
        <v>18</v>
      </c>
      <c r="F69" t="s">
        <v>4607</v>
      </c>
      <c r="I69" t="s">
        <v>995</v>
      </c>
      <c r="M69" t="s">
        <v>4649</v>
      </c>
      <c r="N69" t="s">
        <v>914</v>
      </c>
      <c r="O69" t="s">
        <v>53</v>
      </c>
      <c r="P69" t="s">
        <v>4593</v>
      </c>
      <c r="T69" t="s">
        <v>908</v>
      </c>
      <c r="U69" t="s">
        <v>19</v>
      </c>
      <c r="V69" t="s">
        <v>18</v>
      </c>
      <c r="W69" t="s">
        <v>857</v>
      </c>
      <c r="AC69" t="s">
        <v>914</v>
      </c>
      <c r="AD69" t="s">
        <v>2416</v>
      </c>
      <c r="AE69" t="s">
        <v>53</v>
      </c>
      <c r="AF69" t="s">
        <v>857</v>
      </c>
      <c r="AJ69" s="844" t="s">
        <v>4922</v>
      </c>
      <c r="AK69" s="844" t="s">
        <v>923</v>
      </c>
      <c r="AL69" s="844" t="s">
        <v>2384</v>
      </c>
      <c r="AM69" s="844" t="s">
        <v>18</v>
      </c>
      <c r="AN69" s="844" t="s">
        <v>3747</v>
      </c>
    </row>
    <row r="70" spans="1:40">
      <c r="A70" t="s">
        <v>4875</v>
      </c>
      <c r="B70" t="s">
        <v>908</v>
      </c>
      <c r="C70" t="s">
        <v>19</v>
      </c>
      <c r="D70" t="s">
        <v>2732</v>
      </c>
      <c r="E70" t="s">
        <v>18</v>
      </c>
      <c r="F70" t="s">
        <v>4606</v>
      </c>
      <c r="I70" t="s">
        <v>996</v>
      </c>
      <c r="M70" t="s">
        <v>4649</v>
      </c>
      <c r="N70" t="s">
        <v>914</v>
      </c>
      <c r="O70" t="s">
        <v>53</v>
      </c>
      <c r="P70" t="s">
        <v>4592</v>
      </c>
      <c r="T70" t="s">
        <v>908</v>
      </c>
      <c r="U70" t="s">
        <v>19</v>
      </c>
      <c r="V70" t="s">
        <v>18</v>
      </c>
      <c r="W70" t="s">
        <v>857</v>
      </c>
      <c r="AC70" t="s">
        <v>914</v>
      </c>
      <c r="AD70" t="s">
        <v>816</v>
      </c>
      <c r="AE70" t="s">
        <v>857</v>
      </c>
      <c r="AF70" t="s">
        <v>857</v>
      </c>
      <c r="AJ70" s="844" t="s">
        <v>6664</v>
      </c>
      <c r="AK70" s="844" t="s">
        <v>923</v>
      </c>
      <c r="AL70" s="844" t="s">
        <v>2384</v>
      </c>
      <c r="AM70" s="844"/>
      <c r="AN70" s="844" t="s">
        <v>3747</v>
      </c>
    </row>
    <row r="71" spans="1:40">
      <c r="A71" t="s">
        <v>6252</v>
      </c>
      <c r="B71" t="s">
        <v>908</v>
      </c>
      <c r="C71" t="s">
        <v>19</v>
      </c>
      <c r="D71" t="s">
        <v>2732</v>
      </c>
      <c r="F71" t="s">
        <v>4146</v>
      </c>
      <c r="I71" t="s">
        <v>997</v>
      </c>
      <c r="M71" t="s">
        <v>4650</v>
      </c>
      <c r="N71" t="s">
        <v>914</v>
      </c>
      <c r="O71" t="s">
        <v>18</v>
      </c>
      <c r="P71" t="s">
        <v>4597</v>
      </c>
      <c r="T71" t="s">
        <v>908</v>
      </c>
      <c r="U71" t="s">
        <v>19</v>
      </c>
      <c r="V71" t="s">
        <v>18</v>
      </c>
      <c r="W71" t="s">
        <v>4604</v>
      </c>
      <c r="AC71" t="s">
        <v>914</v>
      </c>
      <c r="AD71" t="s">
        <v>816</v>
      </c>
      <c r="AE71" t="s">
        <v>857</v>
      </c>
      <c r="AF71" t="s">
        <v>3970</v>
      </c>
      <c r="AJ71" s="844" t="s">
        <v>4926</v>
      </c>
      <c r="AK71" s="844" t="s">
        <v>923</v>
      </c>
      <c r="AL71" s="844" t="s">
        <v>816</v>
      </c>
      <c r="AM71" s="844" t="s">
        <v>18</v>
      </c>
      <c r="AN71" s="844" t="s">
        <v>3747</v>
      </c>
    </row>
    <row r="72" spans="1:40">
      <c r="A72" t="s">
        <v>6251</v>
      </c>
      <c r="B72" t="s">
        <v>908</v>
      </c>
      <c r="C72" t="s">
        <v>19</v>
      </c>
      <c r="E72" t="s">
        <v>18</v>
      </c>
      <c r="F72" t="s">
        <v>4613</v>
      </c>
      <c r="I72" t="s">
        <v>998</v>
      </c>
      <c r="M72" t="s">
        <v>4650</v>
      </c>
      <c r="N72" t="s">
        <v>914</v>
      </c>
      <c r="O72" t="s">
        <v>18</v>
      </c>
      <c r="P72" t="s">
        <v>4594</v>
      </c>
      <c r="T72" t="s">
        <v>908</v>
      </c>
      <c r="U72" t="s">
        <v>19</v>
      </c>
      <c r="V72" t="s">
        <v>857</v>
      </c>
      <c r="W72" t="s">
        <v>2732</v>
      </c>
      <c r="AC72" t="s">
        <v>914</v>
      </c>
      <c r="AD72" t="s">
        <v>816</v>
      </c>
      <c r="AE72" t="s">
        <v>53</v>
      </c>
      <c r="AF72" t="s">
        <v>857</v>
      </c>
      <c r="AJ72" s="844" t="s">
        <v>4926</v>
      </c>
      <c r="AK72" s="844" t="s">
        <v>923</v>
      </c>
      <c r="AL72" s="844" t="s">
        <v>816</v>
      </c>
      <c r="AM72" s="844" t="s">
        <v>18</v>
      </c>
      <c r="AN72" s="844" t="s">
        <v>2366</v>
      </c>
    </row>
    <row r="73" spans="1:40">
      <c r="A73" t="s">
        <v>6251</v>
      </c>
      <c r="B73" t="s">
        <v>908</v>
      </c>
      <c r="C73" t="s">
        <v>19</v>
      </c>
      <c r="E73" t="s">
        <v>18</v>
      </c>
      <c r="F73" t="s">
        <v>4610</v>
      </c>
      <c r="I73" t="s">
        <v>999</v>
      </c>
      <c r="M73" t="s">
        <v>4650</v>
      </c>
      <c r="N73" t="s">
        <v>914</v>
      </c>
      <c r="O73" t="s">
        <v>18</v>
      </c>
      <c r="P73" t="s">
        <v>4591</v>
      </c>
      <c r="T73" t="s">
        <v>908</v>
      </c>
      <c r="U73" t="s">
        <v>19</v>
      </c>
      <c r="V73" t="s">
        <v>18</v>
      </c>
      <c r="W73" t="s">
        <v>2732</v>
      </c>
      <c r="AC73" t="s">
        <v>914</v>
      </c>
      <c r="AD73" t="s">
        <v>816</v>
      </c>
      <c r="AE73" t="s">
        <v>18</v>
      </c>
      <c r="AF73" t="s">
        <v>857</v>
      </c>
      <c r="AJ73" s="844" t="s">
        <v>6665</v>
      </c>
      <c r="AK73" s="844" t="s">
        <v>923</v>
      </c>
      <c r="AL73" s="844" t="s">
        <v>816</v>
      </c>
      <c r="AM73" s="844"/>
      <c r="AN73" s="844" t="s">
        <v>3747</v>
      </c>
    </row>
    <row r="74" spans="1:40">
      <c r="A74" t="s">
        <v>6253</v>
      </c>
      <c r="B74" t="s">
        <v>908</v>
      </c>
      <c r="C74" t="s">
        <v>2384</v>
      </c>
      <c r="D74" t="s">
        <v>2366</v>
      </c>
      <c r="F74" t="s">
        <v>4108</v>
      </c>
      <c r="I74" t="s">
        <v>1000</v>
      </c>
      <c r="M74" t="s">
        <v>4650</v>
      </c>
      <c r="N74" t="s">
        <v>914</v>
      </c>
      <c r="O74" t="s">
        <v>18</v>
      </c>
      <c r="P74" t="s">
        <v>4590</v>
      </c>
      <c r="T74" t="s">
        <v>908</v>
      </c>
      <c r="U74" t="s">
        <v>2384</v>
      </c>
      <c r="V74" t="s">
        <v>857</v>
      </c>
      <c r="W74" t="s">
        <v>857</v>
      </c>
      <c r="AC74" t="s">
        <v>914</v>
      </c>
      <c r="AD74" t="s">
        <v>816</v>
      </c>
      <c r="AE74" t="s">
        <v>18</v>
      </c>
      <c r="AF74" t="s">
        <v>3970</v>
      </c>
      <c r="AJ74" s="844" t="s">
        <v>4928</v>
      </c>
      <c r="AK74" s="844" t="s">
        <v>925</v>
      </c>
      <c r="AL74" s="844" t="s">
        <v>818</v>
      </c>
      <c r="AM74" s="844" t="s">
        <v>18</v>
      </c>
      <c r="AN74" s="844" t="s">
        <v>2366</v>
      </c>
    </row>
    <row r="75" spans="1:40">
      <c r="A75" t="s">
        <v>4876</v>
      </c>
      <c r="B75" t="s">
        <v>908</v>
      </c>
      <c r="C75" t="s">
        <v>2384</v>
      </c>
      <c r="F75" t="s">
        <v>4116</v>
      </c>
      <c r="I75" t="s">
        <v>1001</v>
      </c>
      <c r="M75" t="s">
        <v>4650</v>
      </c>
      <c r="N75" t="s">
        <v>914</v>
      </c>
      <c r="O75" t="s">
        <v>18</v>
      </c>
      <c r="P75" t="s">
        <v>4588</v>
      </c>
      <c r="T75" t="s">
        <v>908</v>
      </c>
      <c r="U75" t="s">
        <v>2384</v>
      </c>
      <c r="V75" t="s">
        <v>857</v>
      </c>
      <c r="W75" t="s">
        <v>2366</v>
      </c>
      <c r="AC75" t="s">
        <v>2878</v>
      </c>
      <c r="AD75" t="s">
        <v>818</v>
      </c>
      <c r="AE75" t="s">
        <v>18</v>
      </c>
      <c r="AF75" t="s">
        <v>2877</v>
      </c>
      <c r="AJ75" s="844" t="s">
        <v>4930</v>
      </c>
      <c r="AK75" s="844" t="s">
        <v>925</v>
      </c>
      <c r="AL75" s="844" t="s">
        <v>2384</v>
      </c>
      <c r="AM75" s="844" t="s">
        <v>18</v>
      </c>
      <c r="AN75" s="844" t="s">
        <v>2366</v>
      </c>
    </row>
    <row r="76" spans="1:40">
      <c r="A76" t="s">
        <v>6254</v>
      </c>
      <c r="B76" t="s">
        <v>908</v>
      </c>
      <c r="C76" t="s">
        <v>2416</v>
      </c>
      <c r="D76" t="s">
        <v>2366</v>
      </c>
      <c r="F76" t="s">
        <v>4027</v>
      </c>
      <c r="I76" t="s">
        <v>1002</v>
      </c>
      <c r="M76" t="s">
        <v>4650</v>
      </c>
      <c r="N76" t="s">
        <v>914</v>
      </c>
      <c r="O76" t="s">
        <v>18</v>
      </c>
      <c r="P76" t="s">
        <v>4587</v>
      </c>
      <c r="T76" t="s">
        <v>908</v>
      </c>
      <c r="U76" t="s">
        <v>2416</v>
      </c>
      <c r="V76" t="s">
        <v>857</v>
      </c>
      <c r="W76" t="s">
        <v>857</v>
      </c>
      <c r="AC76" t="s">
        <v>917</v>
      </c>
      <c r="AD76" t="s">
        <v>818</v>
      </c>
      <c r="AE76" t="s">
        <v>857</v>
      </c>
      <c r="AF76" t="s">
        <v>857</v>
      </c>
      <c r="AJ76" s="844" t="s">
        <v>6666</v>
      </c>
      <c r="AK76" s="844" t="s">
        <v>925</v>
      </c>
      <c r="AL76" s="844" t="s">
        <v>2384</v>
      </c>
      <c r="AM76" s="844"/>
      <c r="AN76" s="844" t="s">
        <v>2366</v>
      </c>
    </row>
    <row r="77" spans="1:40">
      <c r="A77" t="s">
        <v>4877</v>
      </c>
      <c r="B77" t="s">
        <v>908</v>
      </c>
      <c r="C77" t="s">
        <v>2416</v>
      </c>
      <c r="F77" t="s">
        <v>4095</v>
      </c>
      <c r="I77" t="s">
        <v>1005</v>
      </c>
      <c r="M77" t="s">
        <v>4651</v>
      </c>
      <c r="N77" t="s">
        <v>2878</v>
      </c>
      <c r="O77" t="s">
        <v>18</v>
      </c>
      <c r="P77" t="s">
        <v>2879</v>
      </c>
      <c r="T77" t="s">
        <v>908</v>
      </c>
      <c r="U77" t="s">
        <v>2416</v>
      </c>
      <c r="V77" t="s">
        <v>857</v>
      </c>
      <c r="W77" t="s">
        <v>2366</v>
      </c>
      <c r="AC77" t="s">
        <v>917</v>
      </c>
      <c r="AD77" t="s">
        <v>818</v>
      </c>
      <c r="AE77" t="s">
        <v>857</v>
      </c>
      <c r="AF77" t="s">
        <v>4065</v>
      </c>
      <c r="AJ77" s="844" t="s">
        <v>4931</v>
      </c>
      <c r="AK77" s="844" t="s">
        <v>927</v>
      </c>
      <c r="AL77" s="844" t="s">
        <v>818</v>
      </c>
      <c r="AM77" s="844" t="s">
        <v>53</v>
      </c>
      <c r="AN77" s="844" t="s">
        <v>2636</v>
      </c>
    </row>
    <row r="78" spans="1:40">
      <c r="A78" t="s">
        <v>4878</v>
      </c>
      <c r="B78" t="s">
        <v>908</v>
      </c>
      <c r="C78" t="s">
        <v>816</v>
      </c>
      <c r="D78" t="s">
        <v>4604</v>
      </c>
      <c r="E78" t="s">
        <v>18</v>
      </c>
      <c r="F78" t="s">
        <v>4609</v>
      </c>
      <c r="I78" t="s">
        <v>1006</v>
      </c>
      <c r="M78" t="s">
        <v>4652</v>
      </c>
      <c r="N78" t="s">
        <v>917</v>
      </c>
      <c r="O78" t="s">
        <v>53</v>
      </c>
      <c r="P78" t="s">
        <v>4585</v>
      </c>
      <c r="T78" t="s">
        <v>908</v>
      </c>
      <c r="U78" t="s">
        <v>816</v>
      </c>
      <c r="V78" t="s">
        <v>18</v>
      </c>
      <c r="W78" t="s">
        <v>857</v>
      </c>
      <c r="AC78" t="s">
        <v>917</v>
      </c>
      <c r="AD78" t="s">
        <v>818</v>
      </c>
      <c r="AE78" t="s">
        <v>53</v>
      </c>
      <c r="AF78" t="s">
        <v>4065</v>
      </c>
      <c r="AJ78" s="844" t="s">
        <v>4931</v>
      </c>
      <c r="AK78" s="844" t="s">
        <v>927</v>
      </c>
      <c r="AL78" s="844" t="s">
        <v>818</v>
      </c>
      <c r="AM78" s="844" t="s">
        <v>53</v>
      </c>
      <c r="AN78" s="844" t="s">
        <v>3736</v>
      </c>
    </row>
    <row r="79" spans="1:40">
      <c r="A79" t="s">
        <v>4878</v>
      </c>
      <c r="B79" t="s">
        <v>908</v>
      </c>
      <c r="C79" t="s">
        <v>816</v>
      </c>
      <c r="D79" t="s">
        <v>4604</v>
      </c>
      <c r="E79" t="s">
        <v>18</v>
      </c>
      <c r="F79" t="s">
        <v>4605</v>
      </c>
      <c r="I79" t="s">
        <v>1007</v>
      </c>
      <c r="M79" t="s">
        <v>4652</v>
      </c>
      <c r="N79" t="s">
        <v>917</v>
      </c>
      <c r="O79" t="s">
        <v>53</v>
      </c>
      <c r="P79" t="s">
        <v>4584</v>
      </c>
      <c r="T79" t="s">
        <v>908</v>
      </c>
      <c r="U79" t="s">
        <v>816</v>
      </c>
      <c r="V79" t="s">
        <v>18</v>
      </c>
      <c r="W79" t="s">
        <v>4604</v>
      </c>
      <c r="AC79" t="s">
        <v>917</v>
      </c>
      <c r="AD79" t="s">
        <v>818</v>
      </c>
      <c r="AE79" t="s">
        <v>18</v>
      </c>
      <c r="AF79" t="s">
        <v>857</v>
      </c>
      <c r="AJ79" s="844" t="s">
        <v>6667</v>
      </c>
      <c r="AK79" s="844" t="s">
        <v>927</v>
      </c>
      <c r="AL79" s="844" t="s">
        <v>818</v>
      </c>
      <c r="AM79" s="844"/>
      <c r="AN79" s="844" t="s">
        <v>3736</v>
      </c>
    </row>
    <row r="80" spans="1:40">
      <c r="A80" t="s">
        <v>6255</v>
      </c>
      <c r="B80" t="s">
        <v>908</v>
      </c>
      <c r="C80" t="s">
        <v>816</v>
      </c>
      <c r="E80" t="s">
        <v>18</v>
      </c>
      <c r="F80" t="s">
        <v>4612</v>
      </c>
      <c r="I80" t="s">
        <v>1008</v>
      </c>
      <c r="M80" t="s">
        <v>4652</v>
      </c>
      <c r="N80" t="s">
        <v>917</v>
      </c>
      <c r="O80" t="s">
        <v>53</v>
      </c>
      <c r="P80" t="s">
        <v>4583</v>
      </c>
      <c r="T80" t="s">
        <v>908</v>
      </c>
      <c r="U80" t="s">
        <v>816</v>
      </c>
      <c r="V80" t="s">
        <v>18</v>
      </c>
      <c r="W80" t="s">
        <v>4604</v>
      </c>
      <c r="AC80" t="s">
        <v>917</v>
      </c>
      <c r="AD80" t="s">
        <v>818</v>
      </c>
      <c r="AE80" t="s">
        <v>18</v>
      </c>
      <c r="AF80" t="s">
        <v>4065</v>
      </c>
      <c r="AJ80" s="844" t="s">
        <v>4935</v>
      </c>
      <c r="AK80" s="844" t="s">
        <v>927</v>
      </c>
      <c r="AL80" s="844" t="s">
        <v>19</v>
      </c>
      <c r="AM80" s="844" t="s">
        <v>53</v>
      </c>
      <c r="AN80" s="844" t="s">
        <v>2768</v>
      </c>
    </row>
    <row r="81" spans="1:40">
      <c r="A81" t="s">
        <v>6256</v>
      </c>
      <c r="B81" t="s">
        <v>912</v>
      </c>
      <c r="C81" t="s">
        <v>818</v>
      </c>
      <c r="E81" t="s">
        <v>18</v>
      </c>
      <c r="F81" t="s">
        <v>4600</v>
      </c>
      <c r="I81" t="s">
        <v>1009</v>
      </c>
      <c r="M81" t="s">
        <v>4652</v>
      </c>
      <c r="N81" t="s">
        <v>917</v>
      </c>
      <c r="O81" t="s">
        <v>53</v>
      </c>
      <c r="P81" t="s">
        <v>4582</v>
      </c>
      <c r="T81" t="s">
        <v>912</v>
      </c>
      <c r="U81" t="s">
        <v>818</v>
      </c>
      <c r="V81" t="s">
        <v>18</v>
      </c>
      <c r="W81" t="s">
        <v>857</v>
      </c>
      <c r="AC81" t="s">
        <v>917</v>
      </c>
      <c r="AD81" t="s">
        <v>19</v>
      </c>
      <c r="AE81" t="s">
        <v>53</v>
      </c>
      <c r="AF81" t="s">
        <v>857</v>
      </c>
      <c r="AJ81" s="844" t="s">
        <v>4935</v>
      </c>
      <c r="AK81" s="844" t="s">
        <v>927</v>
      </c>
      <c r="AL81" s="844" t="s">
        <v>19</v>
      </c>
      <c r="AM81" s="844" t="s">
        <v>53</v>
      </c>
      <c r="AN81" s="844" t="s">
        <v>4177</v>
      </c>
    </row>
    <row r="82" spans="1:40">
      <c r="A82" t="s">
        <v>6256</v>
      </c>
      <c r="B82" t="s">
        <v>912</v>
      </c>
      <c r="C82" t="s">
        <v>818</v>
      </c>
      <c r="E82" t="s">
        <v>18</v>
      </c>
      <c r="F82" t="s">
        <v>4599</v>
      </c>
      <c r="I82" t="s">
        <v>1010</v>
      </c>
      <c r="M82" t="s">
        <v>4652</v>
      </c>
      <c r="N82" t="s">
        <v>917</v>
      </c>
      <c r="O82" t="s">
        <v>53</v>
      </c>
      <c r="P82" t="s">
        <v>4581</v>
      </c>
      <c r="T82" t="s">
        <v>912</v>
      </c>
      <c r="U82" t="s">
        <v>818</v>
      </c>
      <c r="V82" t="s">
        <v>18</v>
      </c>
      <c r="W82" t="s">
        <v>857</v>
      </c>
      <c r="AC82" t="s">
        <v>917</v>
      </c>
      <c r="AD82" t="s">
        <v>2384</v>
      </c>
      <c r="AE82" t="s">
        <v>857</v>
      </c>
      <c r="AF82" t="s">
        <v>857</v>
      </c>
      <c r="AJ82" s="844" t="s">
        <v>4936</v>
      </c>
      <c r="AK82" s="844" t="s">
        <v>927</v>
      </c>
      <c r="AL82" s="844" t="s">
        <v>19</v>
      </c>
      <c r="AM82" s="844" t="s">
        <v>18</v>
      </c>
      <c r="AN82" s="844" t="s">
        <v>4553</v>
      </c>
    </row>
    <row r="83" spans="1:40">
      <c r="A83" t="s">
        <v>6256</v>
      </c>
      <c r="B83" t="s">
        <v>912</v>
      </c>
      <c r="C83" t="s">
        <v>818</v>
      </c>
      <c r="E83" t="s">
        <v>18</v>
      </c>
      <c r="F83" t="s">
        <v>4598</v>
      </c>
      <c r="I83" t="s">
        <v>1011</v>
      </c>
      <c r="M83" t="s">
        <v>4653</v>
      </c>
      <c r="N83" t="s">
        <v>917</v>
      </c>
      <c r="O83" t="s">
        <v>18</v>
      </c>
      <c r="P83" t="s">
        <v>4586</v>
      </c>
      <c r="T83" t="s">
        <v>912</v>
      </c>
      <c r="U83" t="s">
        <v>818</v>
      </c>
      <c r="V83" t="s">
        <v>18</v>
      </c>
      <c r="W83" t="s">
        <v>857</v>
      </c>
      <c r="AC83" t="s">
        <v>917</v>
      </c>
      <c r="AD83" t="s">
        <v>816</v>
      </c>
      <c r="AE83" t="s">
        <v>857</v>
      </c>
      <c r="AF83" t="s">
        <v>857</v>
      </c>
      <c r="AJ83" s="844" t="s">
        <v>6668</v>
      </c>
      <c r="AK83" s="844" t="s">
        <v>927</v>
      </c>
      <c r="AL83" s="844" t="s">
        <v>19</v>
      </c>
      <c r="AM83" s="844"/>
      <c r="AN83" s="844" t="s">
        <v>4177</v>
      </c>
    </row>
    <row r="84" spans="1:40">
      <c r="A84" t="s">
        <v>4881</v>
      </c>
      <c r="B84" t="s">
        <v>914</v>
      </c>
      <c r="C84" t="s">
        <v>818</v>
      </c>
      <c r="D84" t="s">
        <v>3970</v>
      </c>
      <c r="E84" t="s">
        <v>53</v>
      </c>
      <c r="F84" t="s">
        <v>4596</v>
      </c>
      <c r="I84" t="s">
        <v>1012</v>
      </c>
      <c r="M84" t="s">
        <v>4653</v>
      </c>
      <c r="N84" t="s">
        <v>917</v>
      </c>
      <c r="O84" t="s">
        <v>18</v>
      </c>
      <c r="P84" t="s">
        <v>4579</v>
      </c>
      <c r="T84" t="s">
        <v>914</v>
      </c>
      <c r="U84" t="s">
        <v>818</v>
      </c>
      <c r="V84" t="s">
        <v>53</v>
      </c>
      <c r="W84" t="s">
        <v>857</v>
      </c>
      <c r="AC84" t="s">
        <v>917</v>
      </c>
      <c r="AD84" t="s">
        <v>816</v>
      </c>
      <c r="AE84" t="s">
        <v>857</v>
      </c>
      <c r="AF84" t="s">
        <v>4065</v>
      </c>
      <c r="AJ84" s="844" t="s">
        <v>4938</v>
      </c>
      <c r="AK84" s="844" t="s">
        <v>927</v>
      </c>
      <c r="AL84" s="844" t="s">
        <v>2416</v>
      </c>
      <c r="AM84" s="844" t="s">
        <v>53</v>
      </c>
      <c r="AN84" s="844" t="s">
        <v>4042</v>
      </c>
    </row>
    <row r="85" spans="1:40">
      <c r="A85" t="s">
        <v>4882</v>
      </c>
      <c r="B85" t="s">
        <v>914</v>
      </c>
      <c r="C85" t="s">
        <v>818</v>
      </c>
      <c r="D85" t="s">
        <v>3970</v>
      </c>
      <c r="E85" t="s">
        <v>18</v>
      </c>
      <c r="F85" t="s">
        <v>4588</v>
      </c>
      <c r="I85" t="s">
        <v>1013</v>
      </c>
      <c r="M85" t="s">
        <v>4653</v>
      </c>
      <c r="N85" t="s">
        <v>917</v>
      </c>
      <c r="O85" t="s">
        <v>18</v>
      </c>
      <c r="P85" t="s">
        <v>4578</v>
      </c>
      <c r="T85" t="s">
        <v>914</v>
      </c>
      <c r="U85" t="s">
        <v>818</v>
      </c>
      <c r="V85" t="s">
        <v>18</v>
      </c>
      <c r="W85" t="s">
        <v>857</v>
      </c>
      <c r="AC85" t="s">
        <v>917</v>
      </c>
      <c r="AD85" t="s">
        <v>816</v>
      </c>
      <c r="AE85" t="s">
        <v>53</v>
      </c>
      <c r="AF85" t="s">
        <v>857</v>
      </c>
      <c r="AJ85" s="844" t="s">
        <v>4938</v>
      </c>
      <c r="AK85" s="844" t="s">
        <v>927</v>
      </c>
      <c r="AL85" s="844" t="s">
        <v>2416</v>
      </c>
      <c r="AM85" s="844" t="s">
        <v>53</v>
      </c>
      <c r="AN85" s="844" t="s">
        <v>4543</v>
      </c>
    </row>
    <row r="86" spans="1:40">
      <c r="A86" t="s">
        <v>6259</v>
      </c>
      <c r="B86" t="s">
        <v>914</v>
      </c>
      <c r="C86" t="s">
        <v>818</v>
      </c>
      <c r="D86" t="s">
        <v>3970</v>
      </c>
      <c r="F86" t="s">
        <v>3976</v>
      </c>
      <c r="I86" t="s">
        <v>1014</v>
      </c>
      <c r="M86" t="s">
        <v>4654</v>
      </c>
      <c r="N86" t="s">
        <v>921</v>
      </c>
      <c r="O86" t="s">
        <v>18</v>
      </c>
      <c r="P86" t="s">
        <v>4577</v>
      </c>
      <c r="T86" t="s">
        <v>914</v>
      </c>
      <c r="U86" t="s">
        <v>818</v>
      </c>
      <c r="V86" t="s">
        <v>857</v>
      </c>
      <c r="W86" t="s">
        <v>3970</v>
      </c>
      <c r="AC86" t="s">
        <v>917</v>
      </c>
      <c r="AD86" t="s">
        <v>816</v>
      </c>
      <c r="AE86" t="s">
        <v>53</v>
      </c>
      <c r="AF86" t="s">
        <v>4580</v>
      </c>
      <c r="AJ86" s="844" t="s">
        <v>6669</v>
      </c>
      <c r="AK86" s="844" t="s">
        <v>927</v>
      </c>
      <c r="AL86" s="844" t="s">
        <v>2416</v>
      </c>
      <c r="AM86" s="844"/>
      <c r="AN86" s="844" t="s">
        <v>4042</v>
      </c>
    </row>
    <row r="87" spans="1:40">
      <c r="A87" t="s">
        <v>4883</v>
      </c>
      <c r="B87" t="s">
        <v>914</v>
      </c>
      <c r="C87" t="s">
        <v>818</v>
      </c>
      <c r="D87" t="s">
        <v>4589</v>
      </c>
      <c r="E87" t="s">
        <v>18</v>
      </c>
      <c r="F87" t="s">
        <v>4590</v>
      </c>
      <c r="I87" t="s">
        <v>1015</v>
      </c>
      <c r="M87" t="s">
        <v>4654</v>
      </c>
      <c r="N87" t="s">
        <v>921</v>
      </c>
      <c r="O87" t="s">
        <v>18</v>
      </c>
      <c r="P87" t="s">
        <v>4576</v>
      </c>
      <c r="T87" t="s">
        <v>914</v>
      </c>
      <c r="U87" t="s">
        <v>818</v>
      </c>
      <c r="V87" t="s">
        <v>53</v>
      </c>
      <c r="W87" t="s">
        <v>3970</v>
      </c>
      <c r="AC87" t="s">
        <v>917</v>
      </c>
      <c r="AD87" t="s">
        <v>816</v>
      </c>
      <c r="AE87" t="s">
        <v>53</v>
      </c>
      <c r="AF87" t="s">
        <v>4065</v>
      </c>
      <c r="AJ87" s="844" t="s">
        <v>4940</v>
      </c>
      <c r="AK87" s="844" t="s">
        <v>927</v>
      </c>
      <c r="AL87" s="844" t="s">
        <v>816</v>
      </c>
      <c r="AM87" s="844" t="s">
        <v>53</v>
      </c>
      <c r="AN87" s="844" t="s">
        <v>2957</v>
      </c>
    </row>
    <row r="88" spans="1:40">
      <c r="A88" t="s">
        <v>6257</v>
      </c>
      <c r="B88" t="s">
        <v>914</v>
      </c>
      <c r="C88" t="s">
        <v>818</v>
      </c>
      <c r="E88" t="s">
        <v>53</v>
      </c>
      <c r="F88" t="s">
        <v>4595</v>
      </c>
      <c r="I88" t="s">
        <v>1016</v>
      </c>
      <c r="M88" t="s">
        <v>4654</v>
      </c>
      <c r="N88" t="s">
        <v>921</v>
      </c>
      <c r="O88" t="s">
        <v>18</v>
      </c>
      <c r="P88" t="s">
        <v>4531</v>
      </c>
      <c r="T88" t="s">
        <v>914</v>
      </c>
      <c r="U88" t="s">
        <v>818</v>
      </c>
      <c r="V88" t="s">
        <v>18</v>
      </c>
      <c r="W88" t="s">
        <v>3970</v>
      </c>
      <c r="AC88" t="s">
        <v>917</v>
      </c>
      <c r="AD88" t="s">
        <v>816</v>
      </c>
      <c r="AE88" t="s">
        <v>18</v>
      </c>
      <c r="AF88" t="s">
        <v>4065</v>
      </c>
      <c r="AJ88" s="844" t="s">
        <v>6670</v>
      </c>
      <c r="AK88" s="844" t="s">
        <v>927</v>
      </c>
      <c r="AL88" s="844" t="s">
        <v>816</v>
      </c>
      <c r="AM88" s="844"/>
      <c r="AN88" s="844" t="s">
        <v>2957</v>
      </c>
    </row>
    <row r="89" spans="1:40">
      <c r="A89" t="s">
        <v>6258</v>
      </c>
      <c r="B89" t="s">
        <v>914</v>
      </c>
      <c r="C89" t="s">
        <v>818</v>
      </c>
      <c r="E89" t="s">
        <v>18</v>
      </c>
      <c r="F89" t="s">
        <v>4597</v>
      </c>
      <c r="I89" t="s">
        <v>13</v>
      </c>
      <c r="M89" t="s">
        <v>4654</v>
      </c>
      <c r="N89" t="s">
        <v>921</v>
      </c>
      <c r="O89" t="s">
        <v>18</v>
      </c>
      <c r="P89" t="s">
        <v>4530</v>
      </c>
      <c r="T89" t="s">
        <v>914</v>
      </c>
      <c r="U89" t="s">
        <v>818</v>
      </c>
      <c r="V89" t="s">
        <v>18</v>
      </c>
      <c r="W89" t="s">
        <v>4589</v>
      </c>
      <c r="AC89" t="s">
        <v>921</v>
      </c>
      <c r="AD89" t="s">
        <v>818</v>
      </c>
      <c r="AE89" t="s">
        <v>857</v>
      </c>
      <c r="AF89" t="s">
        <v>857</v>
      </c>
      <c r="AJ89" s="844" t="s">
        <v>4942</v>
      </c>
      <c r="AK89" s="844" t="s">
        <v>929</v>
      </c>
      <c r="AL89" s="844" t="s">
        <v>818</v>
      </c>
      <c r="AM89" s="844" t="s">
        <v>18</v>
      </c>
      <c r="AN89" s="844" t="s">
        <v>4014</v>
      </c>
    </row>
    <row r="90" spans="1:40">
      <c r="A90" t="s">
        <v>4885</v>
      </c>
      <c r="B90" t="s">
        <v>914</v>
      </c>
      <c r="C90" t="s">
        <v>2384</v>
      </c>
      <c r="D90" t="s">
        <v>3970</v>
      </c>
      <c r="E90" t="s">
        <v>18</v>
      </c>
      <c r="F90" t="s">
        <v>4591</v>
      </c>
      <c r="I90" t="s">
        <v>1051</v>
      </c>
      <c r="M90" t="s">
        <v>4654</v>
      </c>
      <c r="N90" t="s">
        <v>921</v>
      </c>
      <c r="O90" t="s">
        <v>18</v>
      </c>
      <c r="P90" t="s">
        <v>4529</v>
      </c>
      <c r="T90" t="s">
        <v>914</v>
      </c>
      <c r="U90" t="s">
        <v>2384</v>
      </c>
      <c r="V90" t="s">
        <v>857</v>
      </c>
      <c r="W90" t="s">
        <v>3970</v>
      </c>
      <c r="AC90" t="s">
        <v>921</v>
      </c>
      <c r="AD90" t="s">
        <v>818</v>
      </c>
      <c r="AE90" t="s">
        <v>857</v>
      </c>
      <c r="AF90" t="s">
        <v>4231</v>
      </c>
      <c r="AJ90" s="844" t="s">
        <v>6671</v>
      </c>
      <c r="AK90" s="844" t="s">
        <v>929</v>
      </c>
      <c r="AL90" s="844" t="s">
        <v>818</v>
      </c>
      <c r="AM90" s="844"/>
      <c r="AN90" s="844" t="s">
        <v>4014</v>
      </c>
    </row>
    <row r="91" spans="1:40">
      <c r="A91" t="s">
        <v>6260</v>
      </c>
      <c r="B91" t="s">
        <v>914</v>
      </c>
      <c r="C91" t="s">
        <v>2384</v>
      </c>
      <c r="D91" t="s">
        <v>3970</v>
      </c>
      <c r="F91" t="s">
        <v>3971</v>
      </c>
      <c r="I91" t="s">
        <v>1052</v>
      </c>
      <c r="M91" t="s">
        <v>4654</v>
      </c>
      <c r="N91" t="s">
        <v>921</v>
      </c>
      <c r="O91" t="s">
        <v>18</v>
      </c>
      <c r="P91" t="s">
        <v>4528</v>
      </c>
      <c r="T91" t="s">
        <v>914</v>
      </c>
      <c r="U91" t="s">
        <v>2384</v>
      </c>
      <c r="V91" t="s">
        <v>18</v>
      </c>
      <c r="W91" t="s">
        <v>3970</v>
      </c>
      <c r="AC91" t="s">
        <v>921</v>
      </c>
      <c r="AD91" t="s">
        <v>818</v>
      </c>
      <c r="AE91" t="s">
        <v>18</v>
      </c>
      <c r="AF91" t="s">
        <v>857</v>
      </c>
      <c r="AJ91" s="844" t="s">
        <v>4944</v>
      </c>
      <c r="AK91" s="844" t="s">
        <v>929</v>
      </c>
      <c r="AL91" s="844" t="s">
        <v>19</v>
      </c>
      <c r="AM91" s="844" t="s">
        <v>18</v>
      </c>
      <c r="AN91" s="844" t="s">
        <v>4014</v>
      </c>
    </row>
    <row r="92" spans="1:40">
      <c r="A92" t="s">
        <v>6261</v>
      </c>
      <c r="B92" t="s">
        <v>914</v>
      </c>
      <c r="C92" t="s">
        <v>2416</v>
      </c>
      <c r="E92" t="s">
        <v>53</v>
      </c>
      <c r="F92" t="s">
        <v>4592</v>
      </c>
      <c r="I92" t="s">
        <v>1053</v>
      </c>
      <c r="M92" t="s">
        <v>4654</v>
      </c>
      <c r="N92" t="s">
        <v>921</v>
      </c>
      <c r="O92" t="s">
        <v>18</v>
      </c>
      <c r="P92" t="s">
        <v>4527</v>
      </c>
      <c r="T92" t="s">
        <v>914</v>
      </c>
      <c r="U92" t="s">
        <v>2416</v>
      </c>
      <c r="V92" t="s">
        <v>53</v>
      </c>
      <c r="W92" t="s">
        <v>857</v>
      </c>
      <c r="AC92" t="s">
        <v>921</v>
      </c>
      <c r="AD92" t="s">
        <v>818</v>
      </c>
      <c r="AE92" t="s">
        <v>18</v>
      </c>
      <c r="AF92" t="s">
        <v>4231</v>
      </c>
      <c r="AJ92" s="844" t="s">
        <v>6672</v>
      </c>
      <c r="AK92" s="844" t="s">
        <v>929</v>
      </c>
      <c r="AL92" s="844" t="s">
        <v>19</v>
      </c>
      <c r="AM92" s="844"/>
      <c r="AN92" s="844" t="s">
        <v>4014</v>
      </c>
    </row>
    <row r="93" spans="1:40">
      <c r="A93" t="s">
        <v>4888</v>
      </c>
      <c r="B93" t="s">
        <v>914</v>
      </c>
      <c r="C93" t="s">
        <v>816</v>
      </c>
      <c r="D93" t="s">
        <v>3970</v>
      </c>
      <c r="E93" t="s">
        <v>18</v>
      </c>
      <c r="F93" t="s">
        <v>4587</v>
      </c>
      <c r="I93" t="s">
        <v>1054</v>
      </c>
      <c r="M93" t="s">
        <v>4654</v>
      </c>
      <c r="N93" t="s">
        <v>921</v>
      </c>
      <c r="O93" t="s">
        <v>18</v>
      </c>
      <c r="P93" t="s">
        <v>4526</v>
      </c>
      <c r="T93" t="s">
        <v>914</v>
      </c>
      <c r="U93" t="s">
        <v>816</v>
      </c>
      <c r="V93" t="s">
        <v>857</v>
      </c>
      <c r="W93" t="s">
        <v>857</v>
      </c>
      <c r="AC93" t="s">
        <v>921</v>
      </c>
      <c r="AD93" t="s">
        <v>818</v>
      </c>
      <c r="AE93" t="s">
        <v>18</v>
      </c>
      <c r="AF93" t="s">
        <v>4519</v>
      </c>
      <c r="AJ93" s="844" t="s">
        <v>4947</v>
      </c>
      <c r="AK93" s="844" t="s">
        <v>929</v>
      </c>
      <c r="AL93" s="844" t="s">
        <v>816</v>
      </c>
      <c r="AM93" s="844" t="s">
        <v>18</v>
      </c>
      <c r="AN93" s="844" t="s">
        <v>4014</v>
      </c>
    </row>
    <row r="94" spans="1:40">
      <c r="A94" t="s">
        <v>6264</v>
      </c>
      <c r="B94" t="s">
        <v>914</v>
      </c>
      <c r="C94" t="s">
        <v>816</v>
      </c>
      <c r="D94" t="s">
        <v>3970</v>
      </c>
      <c r="F94" t="s">
        <v>3986</v>
      </c>
      <c r="I94" t="s">
        <v>1055</v>
      </c>
      <c r="M94" t="s">
        <v>4654</v>
      </c>
      <c r="N94" t="s">
        <v>921</v>
      </c>
      <c r="O94" t="s">
        <v>18</v>
      </c>
      <c r="P94" t="s">
        <v>4525</v>
      </c>
      <c r="T94" t="s">
        <v>914</v>
      </c>
      <c r="U94" t="s">
        <v>816</v>
      </c>
      <c r="V94" t="s">
        <v>53</v>
      </c>
      <c r="W94" t="s">
        <v>857</v>
      </c>
      <c r="AC94" t="s">
        <v>921</v>
      </c>
      <c r="AD94" t="s">
        <v>818</v>
      </c>
      <c r="AE94" t="s">
        <v>18</v>
      </c>
      <c r="AF94" t="s">
        <v>2559</v>
      </c>
      <c r="AJ94" s="844" t="s">
        <v>6673</v>
      </c>
      <c r="AK94" s="844" t="s">
        <v>929</v>
      </c>
      <c r="AL94" s="844" t="s">
        <v>816</v>
      </c>
      <c r="AM94" s="844"/>
      <c r="AN94" s="844" t="s">
        <v>4014</v>
      </c>
    </row>
    <row r="95" spans="1:40">
      <c r="A95" t="s">
        <v>6262</v>
      </c>
      <c r="B95" t="s">
        <v>914</v>
      </c>
      <c r="C95" t="s">
        <v>816</v>
      </c>
      <c r="E95" t="s">
        <v>53</v>
      </c>
      <c r="F95" t="s">
        <v>4593</v>
      </c>
      <c r="I95" t="s">
        <v>1056</v>
      </c>
      <c r="M95" t="s">
        <v>4654</v>
      </c>
      <c r="N95" t="s">
        <v>921</v>
      </c>
      <c r="O95" t="s">
        <v>18</v>
      </c>
      <c r="P95" t="s">
        <v>4524</v>
      </c>
      <c r="T95" t="s">
        <v>914</v>
      </c>
      <c r="U95" t="s">
        <v>816</v>
      </c>
      <c r="V95" t="s">
        <v>18</v>
      </c>
      <c r="W95" t="s">
        <v>857</v>
      </c>
      <c r="AC95" t="s">
        <v>921</v>
      </c>
      <c r="AD95" t="s">
        <v>19</v>
      </c>
      <c r="AE95" t="s">
        <v>857</v>
      </c>
      <c r="AF95" t="s">
        <v>857</v>
      </c>
      <c r="AJ95" s="844" t="s">
        <v>4949</v>
      </c>
      <c r="AK95" s="844" t="s">
        <v>932</v>
      </c>
      <c r="AL95" s="844" t="s">
        <v>818</v>
      </c>
      <c r="AM95" s="844" t="s">
        <v>18</v>
      </c>
      <c r="AN95" s="844" t="s">
        <v>2900</v>
      </c>
    </row>
    <row r="96" spans="1:40">
      <c r="A96" t="s">
        <v>6263</v>
      </c>
      <c r="B96" t="s">
        <v>914</v>
      </c>
      <c r="C96" t="s">
        <v>816</v>
      </c>
      <c r="E96" t="s">
        <v>18</v>
      </c>
      <c r="F96" t="s">
        <v>4594</v>
      </c>
      <c r="I96" t="s">
        <v>3281</v>
      </c>
      <c r="M96" t="s">
        <v>4654</v>
      </c>
      <c r="N96" t="s">
        <v>921</v>
      </c>
      <c r="O96" t="s">
        <v>18</v>
      </c>
      <c r="P96" t="s">
        <v>4523</v>
      </c>
      <c r="T96" t="s">
        <v>914</v>
      </c>
      <c r="U96" t="s">
        <v>816</v>
      </c>
      <c r="V96" t="s">
        <v>857</v>
      </c>
      <c r="W96" t="s">
        <v>3970</v>
      </c>
      <c r="AC96" t="s">
        <v>921</v>
      </c>
      <c r="AD96" t="s">
        <v>19</v>
      </c>
      <c r="AE96" t="s">
        <v>857</v>
      </c>
      <c r="AF96" t="s">
        <v>4231</v>
      </c>
      <c r="AJ96" s="844" t="s">
        <v>6674</v>
      </c>
      <c r="AK96" s="844" t="s">
        <v>932</v>
      </c>
      <c r="AL96" s="844" t="s">
        <v>818</v>
      </c>
      <c r="AM96" s="844"/>
      <c r="AN96" s="844" t="s">
        <v>2900</v>
      </c>
    </row>
    <row r="97" spans="1:40">
      <c r="A97" t="s">
        <v>4887</v>
      </c>
      <c r="B97" t="s">
        <v>914</v>
      </c>
      <c r="C97" t="s">
        <v>816</v>
      </c>
      <c r="F97" t="s">
        <v>3895</v>
      </c>
      <c r="I97" t="s">
        <v>2856</v>
      </c>
      <c r="M97" t="s">
        <v>4654</v>
      </c>
      <c r="N97" t="s">
        <v>921</v>
      </c>
      <c r="O97" t="s">
        <v>18</v>
      </c>
      <c r="P97" t="s">
        <v>4522</v>
      </c>
      <c r="T97" t="s">
        <v>914</v>
      </c>
      <c r="U97" t="s">
        <v>816</v>
      </c>
      <c r="V97" t="s">
        <v>18</v>
      </c>
      <c r="W97" t="s">
        <v>3970</v>
      </c>
      <c r="AC97" t="s">
        <v>921</v>
      </c>
      <c r="AD97" t="s">
        <v>19</v>
      </c>
      <c r="AE97" t="s">
        <v>18</v>
      </c>
      <c r="AF97" t="s">
        <v>857</v>
      </c>
      <c r="AJ97" s="844" t="s">
        <v>4951</v>
      </c>
      <c r="AK97" s="844" t="s">
        <v>932</v>
      </c>
      <c r="AL97" s="844" t="s">
        <v>19</v>
      </c>
      <c r="AM97" s="844" t="s">
        <v>18</v>
      </c>
      <c r="AN97" s="844" t="s">
        <v>2366</v>
      </c>
    </row>
    <row r="98" spans="1:40">
      <c r="A98" t="s">
        <v>4890</v>
      </c>
      <c r="B98" t="s">
        <v>2878</v>
      </c>
      <c r="C98" t="s">
        <v>818</v>
      </c>
      <c r="D98" t="s">
        <v>2877</v>
      </c>
      <c r="E98" t="s">
        <v>18</v>
      </c>
      <c r="F98" t="s">
        <v>2879</v>
      </c>
      <c r="I98" t="s">
        <v>1057</v>
      </c>
      <c r="M98" t="s">
        <v>4654</v>
      </c>
      <c r="N98" t="s">
        <v>921</v>
      </c>
      <c r="O98" t="s">
        <v>18</v>
      </c>
      <c r="P98" t="s">
        <v>4521</v>
      </c>
      <c r="T98" t="s">
        <v>2878</v>
      </c>
      <c r="U98" t="s">
        <v>818</v>
      </c>
      <c r="V98" t="s">
        <v>18</v>
      </c>
      <c r="W98" t="s">
        <v>2877</v>
      </c>
      <c r="AC98" t="s">
        <v>921</v>
      </c>
      <c r="AD98" t="s">
        <v>19</v>
      </c>
      <c r="AE98" t="s">
        <v>18</v>
      </c>
      <c r="AF98" t="s">
        <v>4513</v>
      </c>
      <c r="AJ98" s="844" t="s">
        <v>6675</v>
      </c>
      <c r="AK98" s="844" t="s">
        <v>932</v>
      </c>
      <c r="AL98" s="844" t="s">
        <v>19</v>
      </c>
      <c r="AM98" s="844"/>
      <c r="AN98" s="844" t="s">
        <v>2366</v>
      </c>
    </row>
    <row r="99" spans="1:40">
      <c r="A99" t="s">
        <v>4894</v>
      </c>
      <c r="B99" t="s">
        <v>917</v>
      </c>
      <c r="C99" t="s">
        <v>818</v>
      </c>
      <c r="D99" t="s">
        <v>4065</v>
      </c>
      <c r="E99" t="s">
        <v>53</v>
      </c>
      <c r="F99" t="s">
        <v>4582</v>
      </c>
      <c r="I99" t="s">
        <v>1058</v>
      </c>
      <c r="M99" t="s">
        <v>4654</v>
      </c>
      <c r="N99" t="s">
        <v>921</v>
      </c>
      <c r="O99" t="s">
        <v>18</v>
      </c>
      <c r="P99" t="s">
        <v>4520</v>
      </c>
      <c r="T99" t="s">
        <v>917</v>
      </c>
      <c r="U99" t="s">
        <v>818</v>
      </c>
      <c r="V99" t="s">
        <v>857</v>
      </c>
      <c r="W99" t="s">
        <v>857</v>
      </c>
      <c r="AC99" t="s">
        <v>921</v>
      </c>
      <c r="AD99" t="s">
        <v>19</v>
      </c>
      <c r="AE99" t="s">
        <v>18</v>
      </c>
      <c r="AF99" t="s">
        <v>4231</v>
      </c>
      <c r="AJ99" s="844" t="s">
        <v>4953</v>
      </c>
      <c r="AK99" s="844" t="s">
        <v>932</v>
      </c>
      <c r="AL99" s="844" t="s">
        <v>816</v>
      </c>
      <c r="AM99" s="844" t="s">
        <v>18</v>
      </c>
      <c r="AN99" s="844" t="s">
        <v>4484</v>
      </c>
    </row>
    <row r="100" spans="1:40">
      <c r="A100" t="s">
        <v>4895</v>
      </c>
      <c r="B100" t="s">
        <v>917</v>
      </c>
      <c r="C100" t="s">
        <v>818</v>
      </c>
      <c r="D100" t="s">
        <v>4065</v>
      </c>
      <c r="E100" t="s">
        <v>18</v>
      </c>
      <c r="F100" t="s">
        <v>4579</v>
      </c>
      <c r="I100" t="s">
        <v>1059</v>
      </c>
      <c r="M100" t="s">
        <v>4654</v>
      </c>
      <c r="N100" t="s">
        <v>921</v>
      </c>
      <c r="O100" t="s">
        <v>18</v>
      </c>
      <c r="P100" t="s">
        <v>4518</v>
      </c>
      <c r="T100" t="s">
        <v>917</v>
      </c>
      <c r="U100" t="s">
        <v>818</v>
      </c>
      <c r="V100" t="s">
        <v>18</v>
      </c>
      <c r="W100" t="s">
        <v>857</v>
      </c>
      <c r="AC100" t="s">
        <v>921</v>
      </c>
      <c r="AD100" t="s">
        <v>816</v>
      </c>
      <c r="AE100" t="s">
        <v>857</v>
      </c>
      <c r="AF100" t="s">
        <v>857</v>
      </c>
      <c r="AJ100" s="844" t="s">
        <v>4953</v>
      </c>
      <c r="AK100" s="844" t="s">
        <v>932</v>
      </c>
      <c r="AL100" s="844" t="s">
        <v>816</v>
      </c>
      <c r="AM100" s="844" t="s">
        <v>18</v>
      </c>
      <c r="AN100" s="844" t="s">
        <v>2366</v>
      </c>
    </row>
    <row r="101" spans="1:40">
      <c r="A101" t="s">
        <v>6266</v>
      </c>
      <c r="B101" t="s">
        <v>917</v>
      </c>
      <c r="C101" t="s">
        <v>818</v>
      </c>
      <c r="D101" t="s">
        <v>4065</v>
      </c>
      <c r="F101" t="s">
        <v>4067</v>
      </c>
      <c r="I101" t="s">
        <v>1060</v>
      </c>
      <c r="M101" t="s">
        <v>4654</v>
      </c>
      <c r="N101" t="s">
        <v>921</v>
      </c>
      <c r="O101" t="s">
        <v>18</v>
      </c>
      <c r="P101" t="s">
        <v>4517</v>
      </c>
      <c r="T101" t="s">
        <v>917</v>
      </c>
      <c r="U101" t="s">
        <v>818</v>
      </c>
      <c r="V101" t="s">
        <v>857</v>
      </c>
      <c r="W101" t="s">
        <v>4065</v>
      </c>
      <c r="AC101" t="s">
        <v>921</v>
      </c>
      <c r="AD101" t="s">
        <v>816</v>
      </c>
      <c r="AE101" t="s">
        <v>857</v>
      </c>
      <c r="AF101" t="s">
        <v>4231</v>
      </c>
      <c r="AJ101" s="844" t="s">
        <v>6676</v>
      </c>
      <c r="AK101" s="844" t="s">
        <v>932</v>
      </c>
      <c r="AL101" s="844" t="s">
        <v>816</v>
      </c>
      <c r="AM101" s="844"/>
      <c r="AN101" s="844" t="s">
        <v>2366</v>
      </c>
    </row>
    <row r="102" spans="1:40">
      <c r="A102" t="s">
        <v>6265</v>
      </c>
      <c r="B102" t="s">
        <v>917</v>
      </c>
      <c r="C102" t="s">
        <v>818</v>
      </c>
      <c r="E102" t="s">
        <v>18</v>
      </c>
      <c r="F102" t="s">
        <v>4586</v>
      </c>
      <c r="I102" t="s">
        <v>1061</v>
      </c>
      <c r="M102" t="s">
        <v>4654</v>
      </c>
      <c r="N102" t="s">
        <v>921</v>
      </c>
      <c r="O102" t="s">
        <v>18</v>
      </c>
      <c r="P102" t="s">
        <v>4516</v>
      </c>
      <c r="T102" t="s">
        <v>917</v>
      </c>
      <c r="U102" t="s">
        <v>818</v>
      </c>
      <c r="V102" t="s">
        <v>53</v>
      </c>
      <c r="W102" t="s">
        <v>4065</v>
      </c>
      <c r="AC102" t="s">
        <v>921</v>
      </c>
      <c r="AD102" t="s">
        <v>816</v>
      </c>
      <c r="AE102" t="s">
        <v>18</v>
      </c>
      <c r="AF102" t="s">
        <v>857</v>
      </c>
      <c r="AJ102" s="844" t="s">
        <v>4954</v>
      </c>
      <c r="AK102" s="844" t="s">
        <v>935</v>
      </c>
      <c r="AL102" s="844" t="s">
        <v>818</v>
      </c>
      <c r="AM102" s="844" t="s">
        <v>53</v>
      </c>
      <c r="AN102" s="844" t="s">
        <v>2366</v>
      </c>
    </row>
    <row r="103" spans="1:40">
      <c r="A103" t="s">
        <v>4892</v>
      </c>
      <c r="B103" t="s">
        <v>917</v>
      </c>
      <c r="C103" t="s">
        <v>818</v>
      </c>
      <c r="F103" t="s">
        <v>3922</v>
      </c>
      <c r="I103" t="s">
        <v>1062</v>
      </c>
      <c r="M103" t="s">
        <v>4654</v>
      </c>
      <c r="N103" t="s">
        <v>921</v>
      </c>
      <c r="O103" t="s">
        <v>18</v>
      </c>
      <c r="P103" t="s">
        <v>4515</v>
      </c>
      <c r="T103" t="s">
        <v>917</v>
      </c>
      <c r="U103" t="s">
        <v>818</v>
      </c>
      <c r="V103" t="s">
        <v>18</v>
      </c>
      <c r="W103" t="s">
        <v>4065</v>
      </c>
      <c r="AC103" t="s">
        <v>921</v>
      </c>
      <c r="AD103" t="s">
        <v>816</v>
      </c>
      <c r="AE103" t="s">
        <v>18</v>
      </c>
      <c r="AF103" t="s">
        <v>4513</v>
      </c>
      <c r="AJ103" s="844" t="s">
        <v>4957</v>
      </c>
      <c r="AK103" s="844" t="s">
        <v>935</v>
      </c>
      <c r="AL103" s="844" t="s">
        <v>816</v>
      </c>
      <c r="AM103" s="844" t="s">
        <v>18</v>
      </c>
      <c r="AN103" s="844" t="s">
        <v>2366</v>
      </c>
    </row>
    <row r="104" spans="1:40">
      <c r="A104" t="s">
        <v>6267</v>
      </c>
      <c r="B104" t="s">
        <v>917</v>
      </c>
      <c r="C104" t="s">
        <v>19</v>
      </c>
      <c r="E104" t="s">
        <v>53</v>
      </c>
      <c r="F104" t="s">
        <v>4583</v>
      </c>
      <c r="I104" t="s">
        <v>1063</v>
      </c>
      <c r="M104" t="s">
        <v>4654</v>
      </c>
      <c r="N104" t="s">
        <v>921</v>
      </c>
      <c r="O104" t="s">
        <v>18</v>
      </c>
      <c r="P104" t="s">
        <v>4514</v>
      </c>
      <c r="T104" t="s">
        <v>917</v>
      </c>
      <c r="U104" t="s">
        <v>19</v>
      </c>
      <c r="V104" t="s">
        <v>53</v>
      </c>
      <c r="W104" t="s">
        <v>857</v>
      </c>
      <c r="AC104" t="s">
        <v>921</v>
      </c>
      <c r="AD104" t="s">
        <v>816</v>
      </c>
      <c r="AE104" t="s">
        <v>18</v>
      </c>
      <c r="AF104" t="s">
        <v>4231</v>
      </c>
      <c r="AJ104" s="844" t="s">
        <v>4959</v>
      </c>
      <c r="AK104" s="844" t="s">
        <v>938</v>
      </c>
      <c r="AL104" s="844" t="s">
        <v>19</v>
      </c>
      <c r="AM104" s="844" t="s">
        <v>18</v>
      </c>
      <c r="AN104" s="844" t="s">
        <v>4121</v>
      </c>
    </row>
    <row r="105" spans="1:40">
      <c r="A105" t="s">
        <v>4897</v>
      </c>
      <c r="B105" t="s">
        <v>917</v>
      </c>
      <c r="C105" t="s">
        <v>2384</v>
      </c>
      <c r="F105" t="s">
        <v>3777</v>
      </c>
      <c r="I105" t="s">
        <v>1064</v>
      </c>
      <c r="M105" t="s">
        <v>4654</v>
      </c>
      <c r="N105" t="s">
        <v>921</v>
      </c>
      <c r="O105" t="s">
        <v>18</v>
      </c>
      <c r="P105" t="s">
        <v>4512</v>
      </c>
      <c r="T105" t="s">
        <v>917</v>
      </c>
      <c r="U105" t="s">
        <v>2384</v>
      </c>
      <c r="V105" t="s">
        <v>857</v>
      </c>
      <c r="W105" t="s">
        <v>857</v>
      </c>
      <c r="AC105" t="s">
        <v>923</v>
      </c>
      <c r="AD105" t="s">
        <v>818</v>
      </c>
      <c r="AE105" t="s">
        <v>857</v>
      </c>
      <c r="AF105" t="s">
        <v>857</v>
      </c>
      <c r="AJ105" s="844" t="s">
        <v>6677</v>
      </c>
      <c r="AK105" s="844" t="s">
        <v>938</v>
      </c>
      <c r="AL105" s="844" t="s">
        <v>19</v>
      </c>
      <c r="AM105" s="844"/>
      <c r="AN105" s="844" t="s">
        <v>4121</v>
      </c>
    </row>
    <row r="106" spans="1:40">
      <c r="A106" t="s">
        <v>4900</v>
      </c>
      <c r="B106" t="s">
        <v>917</v>
      </c>
      <c r="C106" t="s">
        <v>816</v>
      </c>
      <c r="D106" t="s">
        <v>4580</v>
      </c>
      <c r="E106" t="s">
        <v>53</v>
      </c>
      <c r="F106" t="s">
        <v>4581</v>
      </c>
      <c r="I106" t="s">
        <v>1065</v>
      </c>
      <c r="M106" t="s">
        <v>4655</v>
      </c>
      <c r="N106" t="s">
        <v>923</v>
      </c>
      <c r="O106" t="s">
        <v>53</v>
      </c>
      <c r="P106" t="s">
        <v>4503</v>
      </c>
      <c r="T106" t="s">
        <v>917</v>
      </c>
      <c r="U106" t="s">
        <v>816</v>
      </c>
      <c r="V106" t="s">
        <v>857</v>
      </c>
      <c r="W106" t="s">
        <v>857</v>
      </c>
      <c r="AC106" t="s">
        <v>923</v>
      </c>
      <c r="AD106" t="s">
        <v>818</v>
      </c>
      <c r="AE106" t="s">
        <v>857</v>
      </c>
      <c r="AF106" t="s">
        <v>3747</v>
      </c>
      <c r="AJ106" s="844" t="s">
        <v>4962</v>
      </c>
      <c r="AK106" s="844" t="s">
        <v>938</v>
      </c>
      <c r="AL106" s="844" t="s">
        <v>2384</v>
      </c>
      <c r="AM106" s="844" t="s">
        <v>18</v>
      </c>
      <c r="AN106" s="844" t="s">
        <v>4007</v>
      </c>
    </row>
    <row r="107" spans="1:40">
      <c r="A107" t="s">
        <v>4901</v>
      </c>
      <c r="B107" t="s">
        <v>917</v>
      </c>
      <c r="C107" t="s">
        <v>816</v>
      </c>
      <c r="D107" t="s">
        <v>4065</v>
      </c>
      <c r="E107" t="s">
        <v>53</v>
      </c>
      <c r="F107" t="s">
        <v>4584</v>
      </c>
      <c r="I107" t="s">
        <v>1066</v>
      </c>
      <c r="M107" t="s">
        <v>4656</v>
      </c>
      <c r="N107" t="s">
        <v>923</v>
      </c>
      <c r="O107" t="s">
        <v>18</v>
      </c>
      <c r="P107" t="s">
        <v>4505</v>
      </c>
      <c r="T107" t="s">
        <v>917</v>
      </c>
      <c r="U107" t="s">
        <v>816</v>
      </c>
      <c r="V107" t="s">
        <v>53</v>
      </c>
      <c r="W107" t="s">
        <v>857</v>
      </c>
      <c r="AC107" t="s">
        <v>923</v>
      </c>
      <c r="AD107" t="s">
        <v>818</v>
      </c>
      <c r="AE107" t="s">
        <v>53</v>
      </c>
      <c r="AF107" t="s">
        <v>857</v>
      </c>
      <c r="AJ107" s="844" t="s">
        <v>4962</v>
      </c>
      <c r="AK107" s="844" t="s">
        <v>938</v>
      </c>
      <c r="AL107" s="844" t="s">
        <v>2384</v>
      </c>
      <c r="AM107" s="844" t="s">
        <v>18</v>
      </c>
      <c r="AN107" s="844" t="s">
        <v>4121</v>
      </c>
    </row>
    <row r="108" spans="1:40">
      <c r="A108" t="s">
        <v>4902</v>
      </c>
      <c r="B108" t="s">
        <v>917</v>
      </c>
      <c r="C108" t="s">
        <v>816</v>
      </c>
      <c r="D108" t="s">
        <v>4065</v>
      </c>
      <c r="E108" t="s">
        <v>18</v>
      </c>
      <c r="F108" t="s">
        <v>4578</v>
      </c>
      <c r="I108" t="s">
        <v>1067</v>
      </c>
      <c r="M108" t="s">
        <v>4656</v>
      </c>
      <c r="N108" t="s">
        <v>923</v>
      </c>
      <c r="O108" t="s">
        <v>18</v>
      </c>
      <c r="P108" t="s">
        <v>4504</v>
      </c>
      <c r="T108" t="s">
        <v>917</v>
      </c>
      <c r="U108" t="s">
        <v>816</v>
      </c>
      <c r="V108" t="s">
        <v>53</v>
      </c>
      <c r="W108" t="s">
        <v>4580</v>
      </c>
      <c r="AC108" t="s">
        <v>923</v>
      </c>
      <c r="AD108" t="s">
        <v>818</v>
      </c>
      <c r="AE108" t="s">
        <v>18</v>
      </c>
      <c r="AF108" t="s">
        <v>857</v>
      </c>
      <c r="AJ108" s="844" t="s">
        <v>6678</v>
      </c>
      <c r="AK108" s="844" t="s">
        <v>938</v>
      </c>
      <c r="AL108" s="844" t="s">
        <v>2384</v>
      </c>
      <c r="AM108" s="844"/>
      <c r="AN108" s="844" t="s">
        <v>4007</v>
      </c>
    </row>
    <row r="109" spans="1:40">
      <c r="A109" t="s">
        <v>6269</v>
      </c>
      <c r="B109" t="s">
        <v>917</v>
      </c>
      <c r="C109" t="s">
        <v>816</v>
      </c>
      <c r="D109" t="s">
        <v>4065</v>
      </c>
      <c r="F109" t="s">
        <v>4066</v>
      </c>
      <c r="I109" t="s">
        <v>1068</v>
      </c>
      <c r="M109" t="s">
        <v>4656</v>
      </c>
      <c r="N109" t="s">
        <v>923</v>
      </c>
      <c r="O109" t="s">
        <v>18</v>
      </c>
      <c r="P109" t="s">
        <v>4502</v>
      </c>
      <c r="T109" t="s">
        <v>917</v>
      </c>
      <c r="U109" t="s">
        <v>816</v>
      </c>
      <c r="V109" t="s">
        <v>857</v>
      </c>
      <c r="W109" t="s">
        <v>4065</v>
      </c>
      <c r="AC109" t="s">
        <v>923</v>
      </c>
      <c r="AD109" t="s">
        <v>818</v>
      </c>
      <c r="AE109" t="s">
        <v>18</v>
      </c>
      <c r="AF109" t="s">
        <v>3747</v>
      </c>
      <c r="AJ109" s="844" t="s">
        <v>4964</v>
      </c>
      <c r="AK109" s="844" t="s">
        <v>943</v>
      </c>
      <c r="AL109" s="844" t="s">
        <v>818</v>
      </c>
      <c r="AM109" s="844" t="s">
        <v>18</v>
      </c>
      <c r="AN109" s="844" t="s">
        <v>4454</v>
      </c>
    </row>
    <row r="110" spans="1:40">
      <c r="A110" t="s">
        <v>6268</v>
      </c>
      <c r="B110" t="s">
        <v>917</v>
      </c>
      <c r="C110" t="s">
        <v>816</v>
      </c>
      <c r="E110" t="s">
        <v>53</v>
      </c>
      <c r="F110" t="s">
        <v>4585</v>
      </c>
      <c r="I110" t="s">
        <v>1069</v>
      </c>
      <c r="M110" t="s">
        <v>4656</v>
      </c>
      <c r="N110" t="s">
        <v>923</v>
      </c>
      <c r="O110" t="s">
        <v>18</v>
      </c>
      <c r="P110" t="s">
        <v>4501</v>
      </c>
      <c r="T110" t="s">
        <v>917</v>
      </c>
      <c r="U110" t="s">
        <v>816</v>
      </c>
      <c r="V110" t="s">
        <v>53</v>
      </c>
      <c r="W110" t="s">
        <v>4065</v>
      </c>
      <c r="AC110" t="s">
        <v>923</v>
      </c>
      <c r="AD110" t="s">
        <v>818</v>
      </c>
      <c r="AE110" t="s">
        <v>18</v>
      </c>
      <c r="AF110" t="s">
        <v>2366</v>
      </c>
      <c r="AJ110" s="844" t="s">
        <v>4965</v>
      </c>
      <c r="AK110" s="844" t="s">
        <v>943</v>
      </c>
      <c r="AL110" s="844" t="s">
        <v>816</v>
      </c>
      <c r="AM110" s="844" t="s">
        <v>53</v>
      </c>
      <c r="AN110" s="844" t="s">
        <v>4454</v>
      </c>
    </row>
    <row r="111" spans="1:40">
      <c r="A111" t="s">
        <v>4898</v>
      </c>
      <c r="B111" t="s">
        <v>917</v>
      </c>
      <c r="C111" t="s">
        <v>816</v>
      </c>
      <c r="F111" t="s">
        <v>3935</v>
      </c>
      <c r="I111" t="s">
        <v>1070</v>
      </c>
      <c r="M111" t="s">
        <v>4656</v>
      </c>
      <c r="N111" t="s">
        <v>923</v>
      </c>
      <c r="O111" t="s">
        <v>18</v>
      </c>
      <c r="P111" t="s">
        <v>4500</v>
      </c>
      <c r="T111" t="s">
        <v>917</v>
      </c>
      <c r="U111" t="s">
        <v>816</v>
      </c>
      <c r="V111" t="s">
        <v>18</v>
      </c>
      <c r="W111" t="s">
        <v>4065</v>
      </c>
      <c r="AC111" t="s">
        <v>923</v>
      </c>
      <c r="AD111" t="s">
        <v>2384</v>
      </c>
      <c r="AE111" t="s">
        <v>857</v>
      </c>
      <c r="AF111" t="s">
        <v>857</v>
      </c>
      <c r="AJ111" s="844" t="s">
        <v>4967</v>
      </c>
      <c r="AK111" s="844" t="s">
        <v>946</v>
      </c>
      <c r="AL111" s="844" t="s">
        <v>818</v>
      </c>
      <c r="AM111" s="844" t="s">
        <v>53</v>
      </c>
      <c r="AN111" s="844" t="s">
        <v>4446</v>
      </c>
    </row>
    <row r="112" spans="1:40">
      <c r="A112" t="s">
        <v>4905</v>
      </c>
      <c r="B112" t="s">
        <v>921</v>
      </c>
      <c r="C112" t="s">
        <v>818</v>
      </c>
      <c r="D112" t="s">
        <v>4231</v>
      </c>
      <c r="E112" t="s">
        <v>18</v>
      </c>
      <c r="F112" t="s">
        <v>4518</v>
      </c>
      <c r="I112" t="s">
        <v>1071</v>
      </c>
      <c r="M112" t="s">
        <v>4656</v>
      </c>
      <c r="N112" t="s">
        <v>923</v>
      </c>
      <c r="O112" t="s">
        <v>18</v>
      </c>
      <c r="P112" t="s">
        <v>4499</v>
      </c>
      <c r="T112" t="s">
        <v>921</v>
      </c>
      <c r="U112" t="s">
        <v>818</v>
      </c>
      <c r="V112" t="s">
        <v>857</v>
      </c>
      <c r="W112" t="s">
        <v>857</v>
      </c>
      <c r="AC112" t="s">
        <v>923</v>
      </c>
      <c r="AD112" t="s">
        <v>2384</v>
      </c>
      <c r="AE112" t="s">
        <v>857</v>
      </c>
      <c r="AF112" t="s">
        <v>3747</v>
      </c>
      <c r="AJ112" s="844" t="s">
        <v>4967</v>
      </c>
      <c r="AK112" s="844" t="s">
        <v>946</v>
      </c>
      <c r="AL112" s="844" t="s">
        <v>818</v>
      </c>
      <c r="AM112" s="844" t="s">
        <v>53</v>
      </c>
      <c r="AN112" s="844" t="s">
        <v>4147</v>
      </c>
    </row>
    <row r="113" spans="1:40">
      <c r="A113" t="s">
        <v>6582</v>
      </c>
      <c r="B113" t="s">
        <v>921</v>
      </c>
      <c r="C113" t="s">
        <v>818</v>
      </c>
      <c r="D113" t="s">
        <v>4231</v>
      </c>
      <c r="F113" t="s">
        <v>4234</v>
      </c>
      <c r="I113" t="s">
        <v>1072</v>
      </c>
      <c r="M113" t="s">
        <v>4656</v>
      </c>
      <c r="N113" t="s">
        <v>923</v>
      </c>
      <c r="O113" t="s">
        <v>18</v>
      </c>
      <c r="P113" t="s">
        <v>4498</v>
      </c>
      <c r="T113" t="s">
        <v>921</v>
      </c>
      <c r="U113" t="s">
        <v>818</v>
      </c>
      <c r="V113" t="s">
        <v>18</v>
      </c>
      <c r="W113" t="s">
        <v>857</v>
      </c>
      <c r="AC113" t="s">
        <v>923</v>
      </c>
      <c r="AD113" t="s">
        <v>2384</v>
      </c>
      <c r="AE113" t="s">
        <v>18</v>
      </c>
      <c r="AF113" t="s">
        <v>3747</v>
      </c>
      <c r="AJ113" s="844" t="s">
        <v>6679</v>
      </c>
      <c r="AK113" s="844" t="s">
        <v>946</v>
      </c>
      <c r="AL113" s="844" t="s">
        <v>818</v>
      </c>
      <c r="AM113" s="844"/>
      <c r="AN113" s="844" t="s">
        <v>4147</v>
      </c>
    </row>
    <row r="114" spans="1:40">
      <c r="A114" t="s">
        <v>4906</v>
      </c>
      <c r="B114" t="s">
        <v>921</v>
      </c>
      <c r="C114" t="s">
        <v>818</v>
      </c>
      <c r="D114" t="s">
        <v>4519</v>
      </c>
      <c r="E114" t="s">
        <v>18</v>
      </c>
      <c r="F114" t="s">
        <v>4576</v>
      </c>
      <c r="I114" t="s">
        <v>1073</v>
      </c>
      <c r="M114" t="s">
        <v>4657</v>
      </c>
      <c r="N114" t="s">
        <v>925</v>
      </c>
      <c r="O114" t="s">
        <v>18</v>
      </c>
      <c r="P114" t="s">
        <v>4558</v>
      </c>
      <c r="T114" t="s">
        <v>921</v>
      </c>
      <c r="U114" t="s">
        <v>818</v>
      </c>
      <c r="V114" t="s">
        <v>18</v>
      </c>
      <c r="W114" t="s">
        <v>857</v>
      </c>
      <c r="AC114" t="s">
        <v>923</v>
      </c>
      <c r="AD114" t="s">
        <v>816</v>
      </c>
      <c r="AE114" t="s">
        <v>857</v>
      </c>
      <c r="AF114" t="s">
        <v>857</v>
      </c>
      <c r="AJ114" s="844" t="s">
        <v>4969</v>
      </c>
      <c r="AK114" s="844" t="s">
        <v>946</v>
      </c>
      <c r="AL114" s="844" t="s">
        <v>19</v>
      </c>
      <c r="AM114" s="844" t="s">
        <v>53</v>
      </c>
      <c r="AN114" s="844" t="s">
        <v>2636</v>
      </c>
    </row>
    <row r="115" spans="1:40">
      <c r="A115" t="s">
        <v>4906</v>
      </c>
      <c r="B115" t="s">
        <v>921</v>
      </c>
      <c r="C115" t="s">
        <v>818</v>
      </c>
      <c r="D115" t="s">
        <v>4519</v>
      </c>
      <c r="E115" t="s">
        <v>18</v>
      </c>
      <c r="F115" t="s">
        <v>4520</v>
      </c>
      <c r="I115" t="s">
        <v>2881</v>
      </c>
      <c r="M115" t="s">
        <v>4657</v>
      </c>
      <c r="N115" t="s">
        <v>925</v>
      </c>
      <c r="O115" t="s">
        <v>18</v>
      </c>
      <c r="P115" t="s">
        <v>4497</v>
      </c>
      <c r="T115" t="s">
        <v>921</v>
      </c>
      <c r="U115" t="s">
        <v>818</v>
      </c>
      <c r="V115" t="s">
        <v>18</v>
      </c>
      <c r="W115" t="s">
        <v>857</v>
      </c>
      <c r="AC115" t="s">
        <v>923</v>
      </c>
      <c r="AD115" t="s">
        <v>816</v>
      </c>
      <c r="AE115" t="s">
        <v>857</v>
      </c>
      <c r="AF115" t="s">
        <v>3747</v>
      </c>
      <c r="AJ115" s="844" t="s">
        <v>4969</v>
      </c>
      <c r="AK115" s="844" t="s">
        <v>946</v>
      </c>
      <c r="AL115" s="844" t="s">
        <v>19</v>
      </c>
      <c r="AM115" s="844" t="s">
        <v>53</v>
      </c>
      <c r="AN115" s="844" t="s">
        <v>4125</v>
      </c>
    </row>
    <row r="116" spans="1:40">
      <c r="A116" t="s">
        <v>6497</v>
      </c>
      <c r="B116" t="s">
        <v>921</v>
      </c>
      <c r="C116" t="s">
        <v>818</v>
      </c>
      <c r="D116" t="s">
        <v>2559</v>
      </c>
      <c r="E116" t="s">
        <v>18</v>
      </c>
      <c r="F116" t="s">
        <v>4577</v>
      </c>
      <c r="I116" t="s">
        <v>1074</v>
      </c>
      <c r="M116" t="s">
        <v>4657</v>
      </c>
      <c r="N116" t="s">
        <v>925</v>
      </c>
      <c r="O116" t="s">
        <v>18</v>
      </c>
      <c r="P116" t="s">
        <v>4496</v>
      </c>
      <c r="T116" t="s">
        <v>921</v>
      </c>
      <c r="U116" t="s">
        <v>818</v>
      </c>
      <c r="V116" t="s">
        <v>857</v>
      </c>
      <c r="W116" t="s">
        <v>4231</v>
      </c>
      <c r="AC116" t="s">
        <v>923</v>
      </c>
      <c r="AD116" t="s">
        <v>816</v>
      </c>
      <c r="AE116" t="s">
        <v>18</v>
      </c>
      <c r="AF116" t="s">
        <v>857</v>
      </c>
      <c r="AJ116" s="844" t="s">
        <v>6680</v>
      </c>
      <c r="AK116" s="844" t="s">
        <v>946</v>
      </c>
      <c r="AL116" s="844" t="s">
        <v>19</v>
      </c>
      <c r="AM116" s="844"/>
      <c r="AN116" s="844" t="s">
        <v>4125</v>
      </c>
    </row>
    <row r="117" spans="1:40">
      <c r="A117" t="s">
        <v>6497</v>
      </c>
      <c r="B117" t="s">
        <v>921</v>
      </c>
      <c r="C117" t="s">
        <v>818</v>
      </c>
      <c r="D117" t="s">
        <v>2559</v>
      </c>
      <c r="E117" t="s">
        <v>18</v>
      </c>
      <c r="F117" t="s">
        <v>4517</v>
      </c>
      <c r="I117" t="s">
        <v>2868</v>
      </c>
      <c r="M117" t="s">
        <v>4658</v>
      </c>
      <c r="N117" t="s">
        <v>927</v>
      </c>
      <c r="O117" t="s">
        <v>53</v>
      </c>
      <c r="P117" t="s">
        <v>4552</v>
      </c>
      <c r="T117" t="s">
        <v>921</v>
      </c>
      <c r="U117" t="s">
        <v>818</v>
      </c>
      <c r="V117" t="s">
        <v>18</v>
      </c>
      <c r="W117" t="s">
        <v>4231</v>
      </c>
      <c r="AC117" t="s">
        <v>923</v>
      </c>
      <c r="AD117" t="s">
        <v>816</v>
      </c>
      <c r="AE117" t="s">
        <v>18</v>
      </c>
      <c r="AF117" t="s">
        <v>3747</v>
      </c>
      <c r="AJ117" s="844" t="s">
        <v>4970</v>
      </c>
      <c r="AK117" s="844" t="s">
        <v>946</v>
      </c>
      <c r="AL117" s="844" t="s">
        <v>2384</v>
      </c>
      <c r="AM117" s="844" t="s">
        <v>53</v>
      </c>
      <c r="AN117" s="844" t="s">
        <v>4446</v>
      </c>
    </row>
    <row r="118" spans="1:40">
      <c r="A118" t="s">
        <v>6270</v>
      </c>
      <c r="B118" t="s">
        <v>921</v>
      </c>
      <c r="C118" t="s">
        <v>818</v>
      </c>
      <c r="E118" t="s">
        <v>18</v>
      </c>
      <c r="F118" t="s">
        <v>4531</v>
      </c>
      <c r="I118" t="s">
        <v>2872</v>
      </c>
      <c r="M118" t="s">
        <v>4658</v>
      </c>
      <c r="N118" t="s">
        <v>927</v>
      </c>
      <c r="O118" t="s">
        <v>53</v>
      </c>
      <c r="P118" t="s">
        <v>4551</v>
      </c>
      <c r="T118" t="s">
        <v>921</v>
      </c>
      <c r="U118" t="s">
        <v>818</v>
      </c>
      <c r="V118" t="s">
        <v>18</v>
      </c>
      <c r="W118" t="s">
        <v>4519</v>
      </c>
      <c r="AC118" t="s">
        <v>923</v>
      </c>
      <c r="AD118" t="s">
        <v>816</v>
      </c>
      <c r="AE118" t="s">
        <v>18</v>
      </c>
      <c r="AF118" t="s">
        <v>2366</v>
      </c>
      <c r="AJ118" s="844" t="s">
        <v>4971</v>
      </c>
      <c r="AK118" s="844" t="s">
        <v>946</v>
      </c>
      <c r="AL118" s="844" t="s">
        <v>2416</v>
      </c>
      <c r="AM118" s="844" t="s">
        <v>53</v>
      </c>
      <c r="AN118" s="844" t="s">
        <v>4125</v>
      </c>
    </row>
    <row r="119" spans="1:40">
      <c r="A119" t="s">
        <v>6270</v>
      </c>
      <c r="B119" t="s">
        <v>921</v>
      </c>
      <c r="C119" t="s">
        <v>818</v>
      </c>
      <c r="E119" t="s">
        <v>18</v>
      </c>
      <c r="F119" t="s">
        <v>4530</v>
      </c>
      <c r="I119" t="s">
        <v>2970</v>
      </c>
      <c r="M119" t="s">
        <v>4658</v>
      </c>
      <c r="N119" t="s">
        <v>927</v>
      </c>
      <c r="O119" t="s">
        <v>53</v>
      </c>
      <c r="P119" t="s">
        <v>4550</v>
      </c>
      <c r="T119" t="s">
        <v>921</v>
      </c>
      <c r="U119" t="s">
        <v>818</v>
      </c>
      <c r="V119" t="s">
        <v>18</v>
      </c>
      <c r="W119" t="s">
        <v>4519</v>
      </c>
      <c r="AC119" t="s">
        <v>925</v>
      </c>
      <c r="AD119" t="s">
        <v>818</v>
      </c>
      <c r="AE119" t="s">
        <v>18</v>
      </c>
      <c r="AF119" t="s">
        <v>857</v>
      </c>
      <c r="AJ119" s="844" t="s">
        <v>4972</v>
      </c>
      <c r="AK119" s="844" t="s">
        <v>946</v>
      </c>
      <c r="AL119" s="844" t="s">
        <v>816</v>
      </c>
      <c r="AM119" s="844" t="s">
        <v>53</v>
      </c>
      <c r="AN119" s="844" t="s">
        <v>4125</v>
      </c>
    </row>
    <row r="120" spans="1:40">
      <c r="A120" t="s">
        <v>6270</v>
      </c>
      <c r="B120" t="s">
        <v>921</v>
      </c>
      <c r="C120" t="s">
        <v>818</v>
      </c>
      <c r="E120" t="s">
        <v>18</v>
      </c>
      <c r="F120" t="s">
        <v>4523</v>
      </c>
      <c r="I120" t="s">
        <v>1075</v>
      </c>
      <c r="M120" t="s">
        <v>4658</v>
      </c>
      <c r="N120" t="s">
        <v>927</v>
      </c>
      <c r="O120" t="s">
        <v>53</v>
      </c>
      <c r="P120" t="s">
        <v>4549</v>
      </c>
      <c r="T120" t="s">
        <v>921</v>
      </c>
      <c r="U120" t="s">
        <v>818</v>
      </c>
      <c r="V120" t="s">
        <v>18</v>
      </c>
      <c r="W120" t="s">
        <v>2559</v>
      </c>
      <c r="AC120" t="s">
        <v>925</v>
      </c>
      <c r="AD120" t="s">
        <v>818</v>
      </c>
      <c r="AE120" t="s">
        <v>18</v>
      </c>
      <c r="AF120" t="s">
        <v>2366</v>
      </c>
      <c r="AJ120" s="844" t="s">
        <v>4972</v>
      </c>
      <c r="AK120" s="844" t="s">
        <v>946</v>
      </c>
      <c r="AL120" s="844" t="s">
        <v>816</v>
      </c>
      <c r="AM120" s="844" t="s">
        <v>53</v>
      </c>
      <c r="AN120" s="844" t="s">
        <v>4147</v>
      </c>
    </row>
    <row r="121" spans="1:40">
      <c r="A121" t="s">
        <v>4904</v>
      </c>
      <c r="B121" t="s">
        <v>921</v>
      </c>
      <c r="C121" t="s">
        <v>818</v>
      </c>
      <c r="F121" t="s">
        <v>3844</v>
      </c>
      <c r="I121" t="s">
        <v>1076</v>
      </c>
      <c r="M121" t="s">
        <v>4658</v>
      </c>
      <c r="N121" t="s">
        <v>927</v>
      </c>
      <c r="O121" t="s">
        <v>53</v>
      </c>
      <c r="P121" t="s">
        <v>4548</v>
      </c>
      <c r="T121" t="s">
        <v>921</v>
      </c>
      <c r="U121" t="s">
        <v>818</v>
      </c>
      <c r="V121" t="s">
        <v>18</v>
      </c>
      <c r="W121" t="s">
        <v>2559</v>
      </c>
      <c r="AC121" t="s">
        <v>925</v>
      </c>
      <c r="AD121" t="s">
        <v>2384</v>
      </c>
      <c r="AE121" t="s">
        <v>857</v>
      </c>
      <c r="AF121" t="s">
        <v>2366</v>
      </c>
      <c r="AJ121" s="844" t="s">
        <v>6681</v>
      </c>
      <c r="AK121" s="844" t="s">
        <v>946</v>
      </c>
      <c r="AL121" s="844" t="s">
        <v>816</v>
      </c>
      <c r="AM121" s="844"/>
      <c r="AN121" s="844" t="s">
        <v>4125</v>
      </c>
    </row>
    <row r="122" spans="1:40">
      <c r="A122" t="s">
        <v>4909</v>
      </c>
      <c r="B122" t="s">
        <v>921</v>
      </c>
      <c r="C122" t="s">
        <v>19</v>
      </c>
      <c r="D122" t="s">
        <v>4513</v>
      </c>
      <c r="E122" t="s">
        <v>18</v>
      </c>
      <c r="F122" t="s">
        <v>4516</v>
      </c>
      <c r="I122" t="s">
        <v>1077</v>
      </c>
      <c r="M122" t="s">
        <v>4658</v>
      </c>
      <c r="N122" t="s">
        <v>927</v>
      </c>
      <c r="O122" t="s">
        <v>53</v>
      </c>
      <c r="P122" t="s">
        <v>4547</v>
      </c>
      <c r="T122" t="s">
        <v>921</v>
      </c>
      <c r="U122" t="s">
        <v>19</v>
      </c>
      <c r="V122" t="s">
        <v>857</v>
      </c>
      <c r="W122" t="s">
        <v>857</v>
      </c>
      <c r="AC122" t="s">
        <v>925</v>
      </c>
      <c r="AD122" t="s">
        <v>2384</v>
      </c>
      <c r="AE122" t="s">
        <v>18</v>
      </c>
      <c r="AF122" t="s">
        <v>2366</v>
      </c>
      <c r="AJ122" s="844" t="s">
        <v>6682</v>
      </c>
      <c r="AK122" s="844" t="s">
        <v>947</v>
      </c>
      <c r="AL122" s="844" t="s">
        <v>4826</v>
      </c>
      <c r="AM122" s="844"/>
      <c r="AN122" s="844" t="s">
        <v>2366</v>
      </c>
    </row>
    <row r="123" spans="1:40">
      <c r="A123" t="s">
        <v>4910</v>
      </c>
      <c r="B123" t="s">
        <v>921</v>
      </c>
      <c r="C123" t="s">
        <v>19</v>
      </c>
      <c r="D123" t="s">
        <v>4231</v>
      </c>
      <c r="E123" t="s">
        <v>18</v>
      </c>
      <c r="F123" t="s">
        <v>4515</v>
      </c>
      <c r="I123" t="s">
        <v>1080</v>
      </c>
      <c r="M123" t="s">
        <v>4658</v>
      </c>
      <c r="N123" t="s">
        <v>927</v>
      </c>
      <c r="O123" t="s">
        <v>53</v>
      </c>
      <c r="P123" t="s">
        <v>4546</v>
      </c>
      <c r="T123" t="s">
        <v>921</v>
      </c>
      <c r="U123" t="s">
        <v>19</v>
      </c>
      <c r="V123" t="s">
        <v>18</v>
      </c>
      <c r="W123" t="s">
        <v>857</v>
      </c>
      <c r="AC123" t="s">
        <v>927</v>
      </c>
      <c r="AD123" t="s">
        <v>818</v>
      </c>
      <c r="AE123" t="s">
        <v>857</v>
      </c>
      <c r="AF123" t="s">
        <v>3736</v>
      </c>
      <c r="AJ123" s="844" t="s">
        <v>4974</v>
      </c>
      <c r="AK123" s="844" t="s">
        <v>947</v>
      </c>
      <c r="AL123" s="844" t="s">
        <v>818</v>
      </c>
      <c r="AM123" s="844" t="s">
        <v>18</v>
      </c>
      <c r="AN123" s="844" t="s">
        <v>4559</v>
      </c>
    </row>
    <row r="124" spans="1:40">
      <c r="A124" t="s">
        <v>6583</v>
      </c>
      <c r="B124" t="s">
        <v>921</v>
      </c>
      <c r="C124" t="s">
        <v>19</v>
      </c>
      <c r="D124" t="s">
        <v>4231</v>
      </c>
      <c r="F124" t="s">
        <v>4233</v>
      </c>
      <c r="I124" t="s">
        <v>1081</v>
      </c>
      <c r="M124" t="s">
        <v>4658</v>
      </c>
      <c r="N124" t="s">
        <v>927</v>
      </c>
      <c r="O124" t="s">
        <v>53</v>
      </c>
      <c r="P124" t="s">
        <v>4545</v>
      </c>
      <c r="T124" t="s">
        <v>921</v>
      </c>
      <c r="U124" t="s">
        <v>19</v>
      </c>
      <c r="V124" t="s">
        <v>18</v>
      </c>
      <c r="W124" t="s">
        <v>857</v>
      </c>
      <c r="AC124" t="s">
        <v>927</v>
      </c>
      <c r="AD124" t="s">
        <v>818</v>
      </c>
      <c r="AE124" t="s">
        <v>53</v>
      </c>
      <c r="AF124" t="s">
        <v>857</v>
      </c>
      <c r="AJ124" s="844" t="s">
        <v>4974</v>
      </c>
      <c r="AK124" s="844" t="s">
        <v>947</v>
      </c>
      <c r="AL124" s="844" t="s">
        <v>818</v>
      </c>
      <c r="AM124" s="844" t="s">
        <v>18</v>
      </c>
      <c r="AN124" s="844" t="s">
        <v>4469</v>
      </c>
    </row>
    <row r="125" spans="1:40">
      <c r="A125" t="s">
        <v>6271</v>
      </c>
      <c r="B125" t="s">
        <v>921</v>
      </c>
      <c r="C125" t="s">
        <v>19</v>
      </c>
      <c r="E125" t="s">
        <v>18</v>
      </c>
      <c r="F125" t="s">
        <v>4525</v>
      </c>
      <c r="I125" t="s">
        <v>7525</v>
      </c>
      <c r="M125" t="s">
        <v>4658</v>
      </c>
      <c r="N125" t="s">
        <v>927</v>
      </c>
      <c r="O125" t="s">
        <v>53</v>
      </c>
      <c r="P125" t="s">
        <v>4544</v>
      </c>
      <c r="T125" t="s">
        <v>921</v>
      </c>
      <c r="U125" t="s">
        <v>19</v>
      </c>
      <c r="V125" t="s">
        <v>18</v>
      </c>
      <c r="W125" t="s">
        <v>4513</v>
      </c>
      <c r="AC125" t="s">
        <v>927</v>
      </c>
      <c r="AD125" t="s">
        <v>818</v>
      </c>
      <c r="AE125" t="s">
        <v>53</v>
      </c>
      <c r="AF125" t="s">
        <v>2636</v>
      </c>
      <c r="AJ125" s="844" t="s">
        <v>4974</v>
      </c>
      <c r="AK125" s="844" t="s">
        <v>947</v>
      </c>
      <c r="AL125" s="844" t="s">
        <v>818</v>
      </c>
      <c r="AM125" s="844" t="s">
        <v>18</v>
      </c>
      <c r="AN125" s="844" t="s">
        <v>4467</v>
      </c>
    </row>
    <row r="126" spans="1:40">
      <c r="A126" t="s">
        <v>6271</v>
      </c>
      <c r="B126" t="s">
        <v>921</v>
      </c>
      <c r="C126" t="s">
        <v>19</v>
      </c>
      <c r="E126" t="s">
        <v>18</v>
      </c>
      <c r="F126" t="s">
        <v>4524</v>
      </c>
      <c r="I126" t="s">
        <v>1083</v>
      </c>
      <c r="M126" t="s">
        <v>4658</v>
      </c>
      <c r="N126" t="s">
        <v>927</v>
      </c>
      <c r="O126" t="s">
        <v>53</v>
      </c>
      <c r="P126" t="s">
        <v>4542</v>
      </c>
      <c r="T126" t="s">
        <v>921</v>
      </c>
      <c r="U126" t="s">
        <v>19</v>
      </c>
      <c r="V126" t="s">
        <v>857</v>
      </c>
      <c r="W126" t="s">
        <v>4231</v>
      </c>
      <c r="AC126" t="s">
        <v>927</v>
      </c>
      <c r="AD126" t="s">
        <v>818</v>
      </c>
      <c r="AE126" t="s">
        <v>53</v>
      </c>
      <c r="AF126" t="s">
        <v>3736</v>
      </c>
      <c r="AJ126" s="844" t="s">
        <v>6683</v>
      </c>
      <c r="AK126" s="844" t="s">
        <v>947</v>
      </c>
      <c r="AL126" s="844" t="s">
        <v>818</v>
      </c>
      <c r="AM126" s="844"/>
      <c r="AN126" s="844" t="s">
        <v>2366</v>
      </c>
    </row>
    <row r="127" spans="1:40">
      <c r="A127" t="s">
        <v>4908</v>
      </c>
      <c r="B127" t="s">
        <v>921</v>
      </c>
      <c r="C127" t="s">
        <v>19</v>
      </c>
      <c r="F127" t="s">
        <v>3845</v>
      </c>
      <c r="I127" t="s">
        <v>1084</v>
      </c>
      <c r="M127" t="s">
        <v>4659</v>
      </c>
      <c r="N127" t="s">
        <v>927</v>
      </c>
      <c r="O127" t="s">
        <v>18</v>
      </c>
      <c r="P127" t="s">
        <v>4557</v>
      </c>
      <c r="T127" t="s">
        <v>921</v>
      </c>
      <c r="U127" t="s">
        <v>19</v>
      </c>
      <c r="V127" t="s">
        <v>18</v>
      </c>
      <c r="W127" t="s">
        <v>4231</v>
      </c>
      <c r="AC127" t="s">
        <v>927</v>
      </c>
      <c r="AD127" t="s">
        <v>818</v>
      </c>
      <c r="AE127" t="s">
        <v>18</v>
      </c>
      <c r="AF127" t="s">
        <v>857</v>
      </c>
      <c r="AJ127" s="844" t="s">
        <v>4979</v>
      </c>
      <c r="AK127" s="844" t="s">
        <v>947</v>
      </c>
      <c r="AL127" s="844" t="s">
        <v>19</v>
      </c>
      <c r="AM127" s="844" t="s">
        <v>18</v>
      </c>
      <c r="AN127" s="844" t="s">
        <v>4465</v>
      </c>
    </row>
    <row r="128" spans="1:40">
      <c r="A128" t="s">
        <v>4913</v>
      </c>
      <c r="B128" t="s">
        <v>921</v>
      </c>
      <c r="C128" t="s">
        <v>816</v>
      </c>
      <c r="D128" t="s">
        <v>4513</v>
      </c>
      <c r="E128" t="s">
        <v>18</v>
      </c>
      <c r="F128" t="s">
        <v>4514</v>
      </c>
      <c r="I128" t="s">
        <v>1085</v>
      </c>
      <c r="M128" t="s">
        <v>4659</v>
      </c>
      <c r="N128" t="s">
        <v>927</v>
      </c>
      <c r="O128" t="s">
        <v>18</v>
      </c>
      <c r="P128" t="s">
        <v>4556</v>
      </c>
      <c r="T128" t="s">
        <v>921</v>
      </c>
      <c r="U128" t="s">
        <v>816</v>
      </c>
      <c r="V128" t="s">
        <v>857</v>
      </c>
      <c r="W128" t="s">
        <v>857</v>
      </c>
      <c r="AC128" t="s">
        <v>927</v>
      </c>
      <c r="AD128" t="s">
        <v>19</v>
      </c>
      <c r="AE128" t="s">
        <v>857</v>
      </c>
      <c r="AF128" t="s">
        <v>857</v>
      </c>
      <c r="AJ128" s="844" t="s">
        <v>4979</v>
      </c>
      <c r="AK128" s="844" t="s">
        <v>947</v>
      </c>
      <c r="AL128" s="844" t="s">
        <v>19</v>
      </c>
      <c r="AM128" s="844" t="s">
        <v>18</v>
      </c>
      <c r="AN128" s="844" t="s">
        <v>4559</v>
      </c>
    </row>
    <row r="129" spans="1:40">
      <c r="A129" t="s">
        <v>4914</v>
      </c>
      <c r="B129" t="s">
        <v>921</v>
      </c>
      <c r="C129" t="s">
        <v>816</v>
      </c>
      <c r="D129" t="s">
        <v>4231</v>
      </c>
      <c r="E129" t="s">
        <v>18</v>
      </c>
      <c r="F129" t="s">
        <v>4512</v>
      </c>
      <c r="I129" t="s">
        <v>1086</v>
      </c>
      <c r="M129" t="s">
        <v>4659</v>
      </c>
      <c r="N129" t="s">
        <v>927</v>
      </c>
      <c r="O129" t="s">
        <v>18</v>
      </c>
      <c r="P129" t="s">
        <v>4555</v>
      </c>
      <c r="T129" t="s">
        <v>921</v>
      </c>
      <c r="U129" t="s">
        <v>816</v>
      </c>
      <c r="V129" t="s">
        <v>18</v>
      </c>
      <c r="W129" t="s">
        <v>857</v>
      </c>
      <c r="AC129" t="s">
        <v>927</v>
      </c>
      <c r="AD129" t="s">
        <v>19</v>
      </c>
      <c r="AE129" t="s">
        <v>857</v>
      </c>
      <c r="AF129" t="s">
        <v>4177</v>
      </c>
      <c r="AJ129" s="844" t="s">
        <v>4979</v>
      </c>
      <c r="AK129" s="844" t="s">
        <v>947</v>
      </c>
      <c r="AL129" s="844" t="s">
        <v>19</v>
      </c>
      <c r="AM129" s="844" t="s">
        <v>18</v>
      </c>
      <c r="AN129" s="844" t="s">
        <v>4467</v>
      </c>
    </row>
    <row r="130" spans="1:40">
      <c r="A130" t="s">
        <v>6584</v>
      </c>
      <c r="B130" t="s">
        <v>921</v>
      </c>
      <c r="C130" t="s">
        <v>816</v>
      </c>
      <c r="D130" t="s">
        <v>4231</v>
      </c>
      <c r="F130" t="s">
        <v>4232</v>
      </c>
      <c r="I130" t="s">
        <v>1087</v>
      </c>
      <c r="M130" t="s">
        <v>4659</v>
      </c>
      <c r="N130" t="s">
        <v>927</v>
      </c>
      <c r="O130" t="s">
        <v>18</v>
      </c>
      <c r="P130" t="s">
        <v>4554</v>
      </c>
      <c r="T130" t="s">
        <v>921</v>
      </c>
      <c r="U130" t="s">
        <v>816</v>
      </c>
      <c r="V130" t="s">
        <v>18</v>
      </c>
      <c r="W130" t="s">
        <v>857</v>
      </c>
      <c r="AC130" t="s">
        <v>927</v>
      </c>
      <c r="AD130" t="s">
        <v>19</v>
      </c>
      <c r="AE130" t="s">
        <v>53</v>
      </c>
      <c r="AF130" t="s">
        <v>2768</v>
      </c>
      <c r="AJ130" s="844" t="s">
        <v>4979</v>
      </c>
      <c r="AK130" s="844" t="s">
        <v>947</v>
      </c>
      <c r="AL130" s="844" t="s">
        <v>19</v>
      </c>
      <c r="AM130" s="844" t="s">
        <v>18</v>
      </c>
      <c r="AN130" s="844" t="s">
        <v>2366</v>
      </c>
    </row>
    <row r="131" spans="1:40">
      <c r="A131" t="s">
        <v>6272</v>
      </c>
      <c r="B131" t="s">
        <v>921</v>
      </c>
      <c r="C131" t="s">
        <v>816</v>
      </c>
      <c r="E131" t="s">
        <v>18</v>
      </c>
      <c r="F131" t="s">
        <v>4529</v>
      </c>
      <c r="I131" t="s">
        <v>1088</v>
      </c>
      <c r="M131" t="s">
        <v>4660</v>
      </c>
      <c r="N131" t="s">
        <v>929</v>
      </c>
      <c r="O131" t="s">
        <v>18</v>
      </c>
      <c r="P131" t="s">
        <v>4464</v>
      </c>
      <c r="T131" t="s">
        <v>921</v>
      </c>
      <c r="U131" t="s">
        <v>816</v>
      </c>
      <c r="V131" t="s">
        <v>18</v>
      </c>
      <c r="W131" t="s">
        <v>857</v>
      </c>
      <c r="AC131" t="s">
        <v>927</v>
      </c>
      <c r="AD131" t="s">
        <v>19</v>
      </c>
      <c r="AE131" t="s">
        <v>53</v>
      </c>
      <c r="AF131" t="s">
        <v>4177</v>
      </c>
      <c r="AJ131" s="844" t="s">
        <v>4983</v>
      </c>
      <c r="AK131" s="844" t="s">
        <v>947</v>
      </c>
      <c r="AL131" s="844" t="s">
        <v>2384</v>
      </c>
      <c r="AM131" s="844" t="s">
        <v>18</v>
      </c>
      <c r="AN131" s="844" t="s">
        <v>4561</v>
      </c>
    </row>
    <row r="132" spans="1:40">
      <c r="A132" t="s">
        <v>6272</v>
      </c>
      <c r="B132" t="s">
        <v>921</v>
      </c>
      <c r="C132" t="s">
        <v>816</v>
      </c>
      <c r="E132" t="s">
        <v>18</v>
      </c>
      <c r="F132" t="s">
        <v>4528</v>
      </c>
      <c r="I132" t="s">
        <v>1089</v>
      </c>
      <c r="M132" t="s">
        <v>4660</v>
      </c>
      <c r="N132" t="s">
        <v>929</v>
      </c>
      <c r="O132" t="s">
        <v>18</v>
      </c>
      <c r="P132" t="s">
        <v>4463</v>
      </c>
      <c r="T132" t="s">
        <v>921</v>
      </c>
      <c r="U132" t="s">
        <v>816</v>
      </c>
      <c r="V132" t="s">
        <v>18</v>
      </c>
      <c r="W132" t="s">
        <v>857</v>
      </c>
      <c r="AC132" t="s">
        <v>927</v>
      </c>
      <c r="AD132" t="s">
        <v>19</v>
      </c>
      <c r="AE132" t="s">
        <v>18</v>
      </c>
      <c r="AF132" t="s">
        <v>857</v>
      </c>
      <c r="AJ132" s="844" t="s">
        <v>4983</v>
      </c>
      <c r="AK132" s="844" t="s">
        <v>947</v>
      </c>
      <c r="AL132" s="844" t="s">
        <v>2384</v>
      </c>
      <c r="AM132" s="844" t="s">
        <v>18</v>
      </c>
      <c r="AN132" s="844" t="s">
        <v>2366</v>
      </c>
    </row>
    <row r="133" spans="1:40">
      <c r="A133" t="s">
        <v>6272</v>
      </c>
      <c r="B133" t="s">
        <v>921</v>
      </c>
      <c r="C133" t="s">
        <v>816</v>
      </c>
      <c r="E133" t="s">
        <v>18</v>
      </c>
      <c r="F133" t="s">
        <v>4527</v>
      </c>
      <c r="I133" t="s">
        <v>1090</v>
      </c>
      <c r="M133" t="s">
        <v>4660</v>
      </c>
      <c r="N133" t="s">
        <v>929</v>
      </c>
      <c r="O133" t="s">
        <v>18</v>
      </c>
      <c r="P133" t="s">
        <v>4462</v>
      </c>
      <c r="T133" t="s">
        <v>921</v>
      </c>
      <c r="U133" t="s">
        <v>816</v>
      </c>
      <c r="V133" t="s">
        <v>18</v>
      </c>
      <c r="W133" t="s">
        <v>857</v>
      </c>
      <c r="AC133" t="s">
        <v>927</v>
      </c>
      <c r="AD133" t="s">
        <v>19</v>
      </c>
      <c r="AE133" t="s">
        <v>18</v>
      </c>
      <c r="AF133" t="s">
        <v>4553</v>
      </c>
      <c r="AJ133" s="844" t="s">
        <v>6684</v>
      </c>
      <c r="AK133" s="844" t="s">
        <v>947</v>
      </c>
      <c r="AL133" s="844" t="s">
        <v>2384</v>
      </c>
      <c r="AM133" s="844"/>
      <c r="AN133" s="844" t="s">
        <v>4559</v>
      </c>
    </row>
    <row r="134" spans="1:40">
      <c r="A134" t="s">
        <v>6272</v>
      </c>
      <c r="B134" t="s">
        <v>921</v>
      </c>
      <c r="C134" t="s">
        <v>816</v>
      </c>
      <c r="E134" t="s">
        <v>18</v>
      </c>
      <c r="F134" t="s">
        <v>4526</v>
      </c>
      <c r="I134" t="s">
        <v>1091</v>
      </c>
      <c r="M134" t="s">
        <v>4660</v>
      </c>
      <c r="N134" t="s">
        <v>929</v>
      </c>
      <c r="O134" t="s">
        <v>18</v>
      </c>
      <c r="P134" t="s">
        <v>4461</v>
      </c>
      <c r="T134" t="s">
        <v>921</v>
      </c>
      <c r="U134" t="s">
        <v>816</v>
      </c>
      <c r="V134" t="s">
        <v>18</v>
      </c>
      <c r="W134" t="s">
        <v>857</v>
      </c>
      <c r="AC134" t="s">
        <v>927</v>
      </c>
      <c r="AD134" t="s">
        <v>2416</v>
      </c>
      <c r="AE134" t="s">
        <v>857</v>
      </c>
      <c r="AF134" t="s">
        <v>857</v>
      </c>
      <c r="AJ134" s="844" t="s">
        <v>6684</v>
      </c>
      <c r="AK134" s="844" t="s">
        <v>947</v>
      </c>
      <c r="AL134" s="844" t="s">
        <v>2384</v>
      </c>
      <c r="AM134" s="844"/>
      <c r="AN134" s="844" t="s">
        <v>4561</v>
      </c>
    </row>
    <row r="135" spans="1:40">
      <c r="A135" t="s">
        <v>6272</v>
      </c>
      <c r="B135" t="s">
        <v>921</v>
      </c>
      <c r="C135" t="s">
        <v>816</v>
      </c>
      <c r="E135" t="s">
        <v>18</v>
      </c>
      <c r="F135" t="s">
        <v>4522</v>
      </c>
      <c r="I135" t="s">
        <v>1092</v>
      </c>
      <c r="M135" t="s">
        <v>4660</v>
      </c>
      <c r="N135" t="s">
        <v>929</v>
      </c>
      <c r="O135" t="s">
        <v>18</v>
      </c>
      <c r="P135" t="s">
        <v>4460</v>
      </c>
      <c r="T135" t="s">
        <v>921</v>
      </c>
      <c r="U135" t="s">
        <v>816</v>
      </c>
      <c r="V135" t="s">
        <v>18</v>
      </c>
      <c r="W135" t="s">
        <v>4513</v>
      </c>
      <c r="AC135" t="s">
        <v>927</v>
      </c>
      <c r="AD135" t="s">
        <v>2416</v>
      </c>
      <c r="AE135" t="s">
        <v>857</v>
      </c>
      <c r="AF135" t="s">
        <v>4042</v>
      </c>
      <c r="AJ135" s="844" t="s">
        <v>4986</v>
      </c>
      <c r="AK135" s="844" t="s">
        <v>947</v>
      </c>
      <c r="AL135" s="844" t="s">
        <v>816</v>
      </c>
      <c r="AM135" s="844" t="s">
        <v>18</v>
      </c>
      <c r="AN135" s="844" t="s">
        <v>4559</v>
      </c>
    </row>
    <row r="136" spans="1:40">
      <c r="A136" t="s">
        <v>6272</v>
      </c>
      <c r="B136" t="s">
        <v>921</v>
      </c>
      <c r="C136" t="s">
        <v>816</v>
      </c>
      <c r="E136" t="s">
        <v>18</v>
      </c>
      <c r="F136" t="s">
        <v>4521</v>
      </c>
      <c r="I136" t="s">
        <v>3754</v>
      </c>
      <c r="M136" t="s">
        <v>4660</v>
      </c>
      <c r="N136" t="s">
        <v>929</v>
      </c>
      <c r="O136" t="s">
        <v>18</v>
      </c>
      <c r="P136" t="s">
        <v>4459</v>
      </c>
      <c r="T136" t="s">
        <v>921</v>
      </c>
      <c r="U136" t="s">
        <v>816</v>
      </c>
      <c r="V136" t="s">
        <v>857</v>
      </c>
      <c r="W136" t="s">
        <v>4231</v>
      </c>
      <c r="AC136" t="s">
        <v>927</v>
      </c>
      <c r="AD136" t="s">
        <v>2416</v>
      </c>
      <c r="AE136" t="s">
        <v>53</v>
      </c>
      <c r="AF136" t="s">
        <v>4042</v>
      </c>
      <c r="AJ136" s="844" t="s">
        <v>4986</v>
      </c>
      <c r="AK136" s="844" t="s">
        <v>947</v>
      </c>
      <c r="AL136" s="844" t="s">
        <v>816</v>
      </c>
      <c r="AM136" s="844" t="s">
        <v>18</v>
      </c>
      <c r="AN136" s="844" t="s">
        <v>4472</v>
      </c>
    </row>
    <row r="137" spans="1:40">
      <c r="A137" t="s">
        <v>4912</v>
      </c>
      <c r="B137" t="s">
        <v>921</v>
      </c>
      <c r="C137" t="s">
        <v>816</v>
      </c>
      <c r="F137" t="s">
        <v>3848</v>
      </c>
      <c r="I137" t="s">
        <v>1093</v>
      </c>
      <c r="M137" t="s">
        <v>4660</v>
      </c>
      <c r="N137" t="s">
        <v>929</v>
      </c>
      <c r="O137" t="s">
        <v>18</v>
      </c>
      <c r="P137" t="s">
        <v>4458</v>
      </c>
      <c r="T137" t="s">
        <v>921</v>
      </c>
      <c r="U137" t="s">
        <v>816</v>
      </c>
      <c r="V137" t="s">
        <v>18</v>
      </c>
      <c r="W137" t="s">
        <v>4231</v>
      </c>
      <c r="AC137" t="s">
        <v>927</v>
      </c>
      <c r="AD137" t="s">
        <v>2416</v>
      </c>
      <c r="AE137" t="s">
        <v>53</v>
      </c>
      <c r="AF137" t="s">
        <v>4543</v>
      </c>
      <c r="AJ137" s="844" t="s">
        <v>5002</v>
      </c>
      <c r="AK137" s="844" t="s">
        <v>4090</v>
      </c>
      <c r="AL137" s="844" t="s">
        <v>818</v>
      </c>
      <c r="AM137" s="844" t="s">
        <v>18</v>
      </c>
      <c r="AN137" s="844" t="s">
        <v>4319</v>
      </c>
    </row>
    <row r="138" spans="1:40">
      <c r="A138" t="s">
        <v>4917</v>
      </c>
      <c r="B138" t="s">
        <v>923</v>
      </c>
      <c r="C138" t="s">
        <v>818</v>
      </c>
      <c r="D138" t="s">
        <v>3747</v>
      </c>
      <c r="E138" t="s">
        <v>18</v>
      </c>
      <c r="F138" t="s">
        <v>4501</v>
      </c>
      <c r="I138" t="s">
        <v>2912</v>
      </c>
      <c r="M138" t="s">
        <v>4660</v>
      </c>
      <c r="N138" t="s">
        <v>929</v>
      </c>
      <c r="O138" t="s">
        <v>18</v>
      </c>
      <c r="P138" t="s">
        <v>4457</v>
      </c>
      <c r="T138" t="s">
        <v>923</v>
      </c>
      <c r="U138" t="s">
        <v>818</v>
      </c>
      <c r="V138" t="s">
        <v>857</v>
      </c>
      <c r="W138" t="s">
        <v>857</v>
      </c>
      <c r="AC138" t="s">
        <v>927</v>
      </c>
      <c r="AD138" t="s">
        <v>816</v>
      </c>
      <c r="AE138" t="s">
        <v>857</v>
      </c>
      <c r="AF138" t="s">
        <v>2957</v>
      </c>
      <c r="AJ138" s="844" t="s">
        <v>5002</v>
      </c>
      <c r="AK138" s="844" t="s">
        <v>4090</v>
      </c>
      <c r="AL138" s="844" t="s">
        <v>818</v>
      </c>
      <c r="AM138" s="844" t="s">
        <v>18</v>
      </c>
      <c r="AN138" s="844" t="s">
        <v>4089</v>
      </c>
    </row>
    <row r="139" spans="1:40">
      <c r="A139" t="s">
        <v>6585</v>
      </c>
      <c r="B139" t="s">
        <v>923</v>
      </c>
      <c r="C139" t="s">
        <v>818</v>
      </c>
      <c r="D139" t="s">
        <v>3747</v>
      </c>
      <c r="F139" t="s">
        <v>3798</v>
      </c>
      <c r="I139" t="s">
        <v>2864</v>
      </c>
      <c r="M139" t="s">
        <v>4813</v>
      </c>
      <c r="N139" t="s">
        <v>932</v>
      </c>
      <c r="O139" t="s">
        <v>18</v>
      </c>
      <c r="P139" t="s">
        <v>4495</v>
      </c>
      <c r="T139" t="s">
        <v>923</v>
      </c>
      <c r="U139" t="s">
        <v>818</v>
      </c>
      <c r="V139" t="s">
        <v>857</v>
      </c>
      <c r="W139" t="s">
        <v>857</v>
      </c>
      <c r="AC139" t="s">
        <v>927</v>
      </c>
      <c r="AD139" t="s">
        <v>816</v>
      </c>
      <c r="AE139" t="s">
        <v>53</v>
      </c>
      <c r="AF139" t="s">
        <v>857</v>
      </c>
      <c r="AJ139" s="844" t="s">
        <v>5004</v>
      </c>
      <c r="AK139" s="844" t="s">
        <v>4090</v>
      </c>
      <c r="AL139" s="844" t="s">
        <v>19</v>
      </c>
      <c r="AM139" s="844" t="s">
        <v>53</v>
      </c>
      <c r="AN139" s="844" t="s">
        <v>4089</v>
      </c>
    </row>
    <row r="140" spans="1:40">
      <c r="A140" t="s">
        <v>4918</v>
      </c>
      <c r="B140" t="s">
        <v>923</v>
      </c>
      <c r="C140" t="s">
        <v>818</v>
      </c>
      <c r="D140" t="s">
        <v>2366</v>
      </c>
      <c r="E140" t="s">
        <v>18</v>
      </c>
      <c r="F140" t="s">
        <v>4500</v>
      </c>
      <c r="I140" t="s">
        <v>2875</v>
      </c>
      <c r="M140" t="s">
        <v>4813</v>
      </c>
      <c r="N140" t="s">
        <v>932</v>
      </c>
      <c r="O140" t="s">
        <v>18</v>
      </c>
      <c r="P140" t="s">
        <v>4494</v>
      </c>
      <c r="T140" t="s">
        <v>923</v>
      </c>
      <c r="U140" t="s">
        <v>818</v>
      </c>
      <c r="V140" t="s">
        <v>53</v>
      </c>
      <c r="W140" t="s">
        <v>857</v>
      </c>
      <c r="AC140" t="s">
        <v>927</v>
      </c>
      <c r="AD140" t="s">
        <v>816</v>
      </c>
      <c r="AE140" t="s">
        <v>53</v>
      </c>
      <c r="AF140" t="s">
        <v>2957</v>
      </c>
      <c r="AJ140" s="844" t="s">
        <v>5006</v>
      </c>
      <c r="AK140" s="844" t="s">
        <v>4090</v>
      </c>
      <c r="AL140" s="844" t="s">
        <v>2384</v>
      </c>
      <c r="AM140" s="844" t="s">
        <v>53</v>
      </c>
      <c r="AN140" s="844" t="s">
        <v>4089</v>
      </c>
    </row>
    <row r="141" spans="1:40">
      <c r="A141" t="s">
        <v>6273</v>
      </c>
      <c r="B141" t="s">
        <v>923</v>
      </c>
      <c r="C141" t="s">
        <v>818</v>
      </c>
      <c r="E141" t="s">
        <v>53</v>
      </c>
      <c r="F141" t="s">
        <v>4503</v>
      </c>
      <c r="I141" t="s">
        <v>1094</v>
      </c>
      <c r="M141" t="s">
        <v>4813</v>
      </c>
      <c r="N141" t="s">
        <v>932</v>
      </c>
      <c r="O141" t="s">
        <v>18</v>
      </c>
      <c r="P141" t="s">
        <v>4493</v>
      </c>
      <c r="T141" t="s">
        <v>923</v>
      </c>
      <c r="U141" t="s">
        <v>818</v>
      </c>
      <c r="V141" t="s">
        <v>18</v>
      </c>
      <c r="W141" t="s">
        <v>857</v>
      </c>
      <c r="AC141" t="s">
        <v>927</v>
      </c>
      <c r="AD141" t="s">
        <v>816</v>
      </c>
      <c r="AE141" t="s">
        <v>18</v>
      </c>
      <c r="AF141" t="s">
        <v>857</v>
      </c>
      <c r="AJ141" s="844" t="s">
        <v>6685</v>
      </c>
      <c r="AK141" s="844" t="s">
        <v>4090</v>
      </c>
      <c r="AL141" s="844" t="s">
        <v>2384</v>
      </c>
      <c r="AM141" s="844"/>
      <c r="AN141" s="844" t="s">
        <v>4089</v>
      </c>
    </row>
    <row r="142" spans="1:40">
      <c r="A142" t="s">
        <v>6274</v>
      </c>
      <c r="B142" t="s">
        <v>923</v>
      </c>
      <c r="C142" t="s">
        <v>818</v>
      </c>
      <c r="E142" t="s">
        <v>18</v>
      </c>
      <c r="F142" t="s">
        <v>4505</v>
      </c>
      <c r="I142" t="s">
        <v>1095</v>
      </c>
      <c r="M142" t="s">
        <v>4813</v>
      </c>
      <c r="N142" t="s">
        <v>932</v>
      </c>
      <c r="O142" t="s">
        <v>18</v>
      </c>
      <c r="P142" t="s">
        <v>4492</v>
      </c>
      <c r="T142" t="s">
        <v>923</v>
      </c>
      <c r="U142" t="s">
        <v>818</v>
      </c>
      <c r="V142" t="s">
        <v>857</v>
      </c>
      <c r="W142" t="s">
        <v>3747</v>
      </c>
      <c r="AC142" t="s">
        <v>929</v>
      </c>
      <c r="AD142" t="s">
        <v>818</v>
      </c>
      <c r="AE142" t="s">
        <v>857</v>
      </c>
      <c r="AF142" t="s">
        <v>4014</v>
      </c>
      <c r="AJ142" s="844" t="s">
        <v>5008</v>
      </c>
      <c r="AK142" s="844" t="s">
        <v>949</v>
      </c>
      <c r="AL142" s="844" t="s">
        <v>818</v>
      </c>
      <c r="AM142" s="844" t="s">
        <v>18</v>
      </c>
      <c r="AN142" s="844" t="s">
        <v>3420</v>
      </c>
    </row>
    <row r="143" spans="1:40">
      <c r="A143" t="s">
        <v>4916</v>
      </c>
      <c r="B143" t="s">
        <v>923</v>
      </c>
      <c r="C143" t="s">
        <v>818</v>
      </c>
      <c r="F143" t="s">
        <v>3909</v>
      </c>
      <c r="I143" t="s">
        <v>1096</v>
      </c>
      <c r="M143" t="s">
        <v>4813</v>
      </c>
      <c r="N143" t="s">
        <v>932</v>
      </c>
      <c r="O143" t="s">
        <v>18</v>
      </c>
      <c r="P143" t="s">
        <v>4491</v>
      </c>
      <c r="T143" t="s">
        <v>923</v>
      </c>
      <c r="U143" t="s">
        <v>818</v>
      </c>
      <c r="V143" t="s">
        <v>18</v>
      </c>
      <c r="W143" t="s">
        <v>3747</v>
      </c>
      <c r="AC143" t="s">
        <v>929</v>
      </c>
      <c r="AD143" t="s">
        <v>818</v>
      </c>
      <c r="AE143" t="s">
        <v>18</v>
      </c>
      <c r="AF143" t="s">
        <v>857</v>
      </c>
      <c r="AJ143" s="844" t="s">
        <v>6686</v>
      </c>
      <c r="AK143" s="844" t="s">
        <v>949</v>
      </c>
      <c r="AL143" s="844" t="s">
        <v>818</v>
      </c>
      <c r="AM143" s="844"/>
      <c r="AN143" s="844" t="s">
        <v>2804</v>
      </c>
    </row>
    <row r="144" spans="1:40">
      <c r="A144" t="s">
        <v>4916</v>
      </c>
      <c r="B144" t="s">
        <v>923</v>
      </c>
      <c r="C144" t="s">
        <v>818</v>
      </c>
      <c r="F144" t="s">
        <v>3897</v>
      </c>
      <c r="I144" t="s">
        <v>1097</v>
      </c>
      <c r="M144" t="s">
        <v>4813</v>
      </c>
      <c r="N144" t="s">
        <v>932</v>
      </c>
      <c r="O144" t="s">
        <v>18</v>
      </c>
      <c r="P144" t="s">
        <v>4490</v>
      </c>
      <c r="T144" t="s">
        <v>923</v>
      </c>
      <c r="U144" t="s">
        <v>818</v>
      </c>
      <c r="V144" t="s">
        <v>18</v>
      </c>
      <c r="W144" t="s">
        <v>2366</v>
      </c>
      <c r="AC144" t="s">
        <v>929</v>
      </c>
      <c r="AD144" t="s">
        <v>818</v>
      </c>
      <c r="AE144" t="s">
        <v>18</v>
      </c>
      <c r="AF144" t="s">
        <v>4014</v>
      </c>
      <c r="AJ144" s="844" t="s">
        <v>5010</v>
      </c>
      <c r="AK144" s="844" t="s">
        <v>949</v>
      </c>
      <c r="AL144" s="844" t="s">
        <v>19</v>
      </c>
      <c r="AM144" s="844" t="s">
        <v>18</v>
      </c>
      <c r="AN144" s="844" t="s">
        <v>2867</v>
      </c>
    </row>
    <row r="145" spans="1:40">
      <c r="A145" t="s">
        <v>4921</v>
      </c>
      <c r="B145" t="s">
        <v>923</v>
      </c>
      <c r="C145" t="s">
        <v>2384</v>
      </c>
      <c r="D145" t="s">
        <v>3747</v>
      </c>
      <c r="E145" t="s">
        <v>18</v>
      </c>
      <c r="F145" t="s">
        <v>4502</v>
      </c>
      <c r="I145" t="s">
        <v>4638</v>
      </c>
      <c r="M145" t="s">
        <v>4813</v>
      </c>
      <c r="N145" t="s">
        <v>932</v>
      </c>
      <c r="O145" t="s">
        <v>18</v>
      </c>
      <c r="P145" t="s">
        <v>4489</v>
      </c>
      <c r="T145" t="s">
        <v>923</v>
      </c>
      <c r="U145" t="s">
        <v>2384</v>
      </c>
      <c r="V145" t="s">
        <v>857</v>
      </c>
      <c r="W145" t="s">
        <v>857</v>
      </c>
      <c r="AC145" t="s">
        <v>929</v>
      </c>
      <c r="AD145" t="s">
        <v>19</v>
      </c>
      <c r="AE145" t="s">
        <v>857</v>
      </c>
      <c r="AF145" t="s">
        <v>4014</v>
      </c>
      <c r="AJ145" s="844" t="s">
        <v>6687</v>
      </c>
      <c r="AK145" s="844" t="s">
        <v>949</v>
      </c>
      <c r="AL145" s="844" t="s">
        <v>2384</v>
      </c>
      <c r="AM145" s="844"/>
      <c r="AN145" s="844" t="s">
        <v>3422</v>
      </c>
    </row>
    <row r="146" spans="1:40">
      <c r="A146" t="s">
        <v>6586</v>
      </c>
      <c r="B146" t="s">
        <v>923</v>
      </c>
      <c r="C146" t="s">
        <v>2384</v>
      </c>
      <c r="D146" t="s">
        <v>3747</v>
      </c>
      <c r="F146" t="s">
        <v>3969</v>
      </c>
      <c r="M146" t="s">
        <v>4813</v>
      </c>
      <c r="N146" t="s">
        <v>932</v>
      </c>
      <c r="O146" t="s">
        <v>18</v>
      </c>
      <c r="P146" t="s">
        <v>4488</v>
      </c>
      <c r="T146" t="s">
        <v>923</v>
      </c>
      <c r="U146" t="s">
        <v>2384</v>
      </c>
      <c r="V146" t="s">
        <v>857</v>
      </c>
      <c r="W146" t="s">
        <v>3747</v>
      </c>
      <c r="AC146" t="s">
        <v>929</v>
      </c>
      <c r="AD146" t="s">
        <v>19</v>
      </c>
      <c r="AE146" t="s">
        <v>18</v>
      </c>
      <c r="AF146" t="s">
        <v>857</v>
      </c>
      <c r="AJ146" s="844" t="s">
        <v>5013</v>
      </c>
      <c r="AK146" s="844" t="s">
        <v>949</v>
      </c>
      <c r="AL146" s="844" t="s">
        <v>2416</v>
      </c>
      <c r="AM146" s="844" t="s">
        <v>18</v>
      </c>
      <c r="AN146" s="844" t="s">
        <v>3417</v>
      </c>
    </row>
    <row r="147" spans="1:40">
      <c r="A147" t="s">
        <v>4920</v>
      </c>
      <c r="B147" t="s">
        <v>923</v>
      </c>
      <c r="C147" t="s">
        <v>2384</v>
      </c>
      <c r="F147" t="s">
        <v>3921</v>
      </c>
      <c r="M147" t="s">
        <v>4813</v>
      </c>
      <c r="N147" t="s">
        <v>932</v>
      </c>
      <c r="O147" t="s">
        <v>18</v>
      </c>
      <c r="P147" t="s">
        <v>4487</v>
      </c>
      <c r="T147" t="s">
        <v>923</v>
      </c>
      <c r="U147" t="s">
        <v>2384</v>
      </c>
      <c r="V147" t="s">
        <v>18</v>
      </c>
      <c r="W147" t="s">
        <v>3747</v>
      </c>
      <c r="AC147" t="s">
        <v>929</v>
      </c>
      <c r="AD147" t="s">
        <v>19</v>
      </c>
      <c r="AE147" t="s">
        <v>18</v>
      </c>
      <c r="AF147" t="s">
        <v>4014</v>
      </c>
      <c r="AJ147" s="844" t="s">
        <v>5016</v>
      </c>
      <c r="AK147" s="844" t="s">
        <v>949</v>
      </c>
      <c r="AL147" s="844" t="s">
        <v>816</v>
      </c>
      <c r="AM147" s="844" t="s">
        <v>18</v>
      </c>
      <c r="AN147" s="844" t="s">
        <v>3415</v>
      </c>
    </row>
    <row r="148" spans="1:40">
      <c r="A148" t="s">
        <v>4924</v>
      </c>
      <c r="B148" t="s">
        <v>923</v>
      </c>
      <c r="C148" t="s">
        <v>816</v>
      </c>
      <c r="D148" t="s">
        <v>3747</v>
      </c>
      <c r="E148" t="s">
        <v>18</v>
      </c>
      <c r="F148" t="s">
        <v>4498</v>
      </c>
      <c r="M148" t="s">
        <v>4813</v>
      </c>
      <c r="N148" t="s">
        <v>932</v>
      </c>
      <c r="O148" t="s">
        <v>18</v>
      </c>
      <c r="P148" t="s">
        <v>4486</v>
      </c>
      <c r="T148" t="s">
        <v>923</v>
      </c>
      <c r="U148" t="s">
        <v>816</v>
      </c>
      <c r="V148" t="s">
        <v>857</v>
      </c>
      <c r="W148" t="s">
        <v>857</v>
      </c>
      <c r="AC148" t="s">
        <v>929</v>
      </c>
      <c r="AD148" t="s">
        <v>2384</v>
      </c>
      <c r="AE148" t="s">
        <v>857</v>
      </c>
      <c r="AF148" t="s">
        <v>857</v>
      </c>
      <c r="AJ148" s="844" t="s">
        <v>5019</v>
      </c>
      <c r="AK148" s="844" t="s">
        <v>951</v>
      </c>
      <c r="AL148" s="844" t="s">
        <v>818</v>
      </c>
      <c r="AM148" s="844" t="s">
        <v>53</v>
      </c>
      <c r="AN148" s="844" t="s">
        <v>4140</v>
      </c>
    </row>
    <row r="149" spans="1:40">
      <c r="A149" t="s">
        <v>6587</v>
      </c>
      <c r="B149" t="s">
        <v>923</v>
      </c>
      <c r="C149" t="s">
        <v>816</v>
      </c>
      <c r="D149" t="s">
        <v>3747</v>
      </c>
      <c r="F149" t="s">
        <v>3748</v>
      </c>
      <c r="M149" t="s">
        <v>4813</v>
      </c>
      <c r="N149" t="s">
        <v>932</v>
      </c>
      <c r="O149" t="s">
        <v>18</v>
      </c>
      <c r="P149" t="s">
        <v>4485</v>
      </c>
      <c r="T149" t="s">
        <v>923</v>
      </c>
      <c r="U149" t="s">
        <v>816</v>
      </c>
      <c r="V149" t="s">
        <v>857</v>
      </c>
      <c r="W149" t="s">
        <v>857</v>
      </c>
      <c r="AC149" t="s">
        <v>929</v>
      </c>
      <c r="AD149" t="s">
        <v>816</v>
      </c>
      <c r="AE149" t="s">
        <v>857</v>
      </c>
      <c r="AF149" t="s">
        <v>4014</v>
      </c>
      <c r="AJ149" s="844" t="s">
        <v>5019</v>
      </c>
      <c r="AK149" s="844" t="s">
        <v>951</v>
      </c>
      <c r="AL149" s="844" t="s">
        <v>818</v>
      </c>
      <c r="AM149" s="844" t="s">
        <v>53</v>
      </c>
      <c r="AN149" s="844" t="s">
        <v>4096</v>
      </c>
    </row>
    <row r="150" spans="1:40">
      <c r="A150" t="s">
        <v>4925</v>
      </c>
      <c r="B150" t="s">
        <v>923</v>
      </c>
      <c r="C150" t="s">
        <v>816</v>
      </c>
      <c r="D150" t="s">
        <v>2366</v>
      </c>
      <c r="E150" t="s">
        <v>18</v>
      </c>
      <c r="F150" t="s">
        <v>4499</v>
      </c>
      <c r="M150" t="s">
        <v>4813</v>
      </c>
      <c r="N150" t="s">
        <v>932</v>
      </c>
      <c r="O150" t="s">
        <v>18</v>
      </c>
      <c r="P150" t="s">
        <v>4483</v>
      </c>
      <c r="T150" t="s">
        <v>923</v>
      </c>
      <c r="U150" t="s">
        <v>816</v>
      </c>
      <c r="V150" t="s">
        <v>18</v>
      </c>
      <c r="W150" t="s">
        <v>857</v>
      </c>
      <c r="AC150" t="s">
        <v>929</v>
      </c>
      <c r="AD150" t="s">
        <v>816</v>
      </c>
      <c r="AE150" t="s">
        <v>18</v>
      </c>
      <c r="AF150" t="s">
        <v>857</v>
      </c>
      <c r="AJ150" s="844" t="s">
        <v>5022</v>
      </c>
      <c r="AK150" s="844" t="s">
        <v>951</v>
      </c>
      <c r="AL150" s="844" t="s">
        <v>19</v>
      </c>
      <c r="AM150" s="844" t="s">
        <v>53</v>
      </c>
      <c r="AN150" s="844" t="s">
        <v>4096</v>
      </c>
    </row>
    <row r="151" spans="1:40">
      <c r="A151" t="s">
        <v>6275</v>
      </c>
      <c r="B151" t="s">
        <v>923</v>
      </c>
      <c r="C151" t="s">
        <v>816</v>
      </c>
      <c r="E151" t="s">
        <v>18</v>
      </c>
      <c r="F151" t="s">
        <v>4504</v>
      </c>
      <c r="M151" t="s">
        <v>4813</v>
      </c>
      <c r="N151" t="s">
        <v>932</v>
      </c>
      <c r="O151" t="s">
        <v>18</v>
      </c>
      <c r="P151" t="s">
        <v>4482</v>
      </c>
      <c r="T151" t="s">
        <v>923</v>
      </c>
      <c r="U151" t="s">
        <v>816</v>
      </c>
      <c r="V151" t="s">
        <v>857</v>
      </c>
      <c r="W151" t="s">
        <v>3747</v>
      </c>
      <c r="AC151" t="s">
        <v>929</v>
      </c>
      <c r="AD151" t="s">
        <v>816</v>
      </c>
      <c r="AE151" t="s">
        <v>18</v>
      </c>
      <c r="AF151" t="s">
        <v>4014</v>
      </c>
      <c r="AJ151" s="844" t="s">
        <v>5022</v>
      </c>
      <c r="AK151" s="844" t="s">
        <v>951</v>
      </c>
      <c r="AL151" s="844" t="s">
        <v>19</v>
      </c>
      <c r="AM151" s="844" t="s">
        <v>53</v>
      </c>
      <c r="AN151" s="844" t="s">
        <v>2636</v>
      </c>
    </row>
    <row r="152" spans="1:40">
      <c r="A152" t="s">
        <v>4923</v>
      </c>
      <c r="B152" t="s">
        <v>923</v>
      </c>
      <c r="C152" t="s">
        <v>816</v>
      </c>
      <c r="F152" t="s">
        <v>3943</v>
      </c>
      <c r="M152" t="s">
        <v>4813</v>
      </c>
      <c r="N152" t="s">
        <v>932</v>
      </c>
      <c r="O152" t="s">
        <v>18</v>
      </c>
      <c r="P152" t="s">
        <v>4481</v>
      </c>
      <c r="T152" t="s">
        <v>923</v>
      </c>
      <c r="U152" t="s">
        <v>816</v>
      </c>
      <c r="V152" t="s">
        <v>18</v>
      </c>
      <c r="W152" t="s">
        <v>3747</v>
      </c>
      <c r="AC152" t="s">
        <v>932</v>
      </c>
      <c r="AD152" t="s">
        <v>818</v>
      </c>
      <c r="AE152" t="s">
        <v>857</v>
      </c>
      <c r="AF152" t="s">
        <v>2900</v>
      </c>
      <c r="AJ152" s="844" t="s">
        <v>6688</v>
      </c>
      <c r="AK152" s="844" t="s">
        <v>951</v>
      </c>
      <c r="AL152" s="844" t="s">
        <v>19</v>
      </c>
      <c r="AM152" s="844"/>
      <c r="AN152" s="844" t="s">
        <v>4096</v>
      </c>
    </row>
    <row r="153" spans="1:40">
      <c r="A153" t="s">
        <v>4923</v>
      </c>
      <c r="B153" t="s">
        <v>923</v>
      </c>
      <c r="C153" t="s">
        <v>816</v>
      </c>
      <c r="F153" t="s">
        <v>3875</v>
      </c>
      <c r="M153" t="s">
        <v>4813</v>
      </c>
      <c r="N153" t="s">
        <v>932</v>
      </c>
      <c r="O153" t="s">
        <v>18</v>
      </c>
      <c r="P153" t="s">
        <v>4480</v>
      </c>
      <c r="T153" t="s">
        <v>923</v>
      </c>
      <c r="U153" t="s">
        <v>816</v>
      </c>
      <c r="V153" t="s">
        <v>18</v>
      </c>
      <c r="W153" t="s">
        <v>2366</v>
      </c>
      <c r="AC153" t="s">
        <v>932</v>
      </c>
      <c r="AD153" t="s">
        <v>818</v>
      </c>
      <c r="AE153" t="s">
        <v>18</v>
      </c>
      <c r="AF153" t="s">
        <v>857</v>
      </c>
      <c r="AJ153" s="844" t="s">
        <v>6689</v>
      </c>
      <c r="AK153" s="844" t="s">
        <v>951</v>
      </c>
      <c r="AL153" s="844" t="s">
        <v>2384</v>
      </c>
      <c r="AM153" s="844"/>
      <c r="AN153" s="844" t="s">
        <v>4140</v>
      </c>
    </row>
    <row r="154" spans="1:40">
      <c r="A154" t="s">
        <v>4927</v>
      </c>
      <c r="B154" t="s">
        <v>925</v>
      </c>
      <c r="C154" t="s">
        <v>818</v>
      </c>
      <c r="D154" t="s">
        <v>2366</v>
      </c>
      <c r="E154" t="s">
        <v>18</v>
      </c>
      <c r="F154" t="s">
        <v>4558</v>
      </c>
      <c r="M154" t="s">
        <v>4780</v>
      </c>
      <c r="N154" t="s">
        <v>935</v>
      </c>
      <c r="O154" t="s">
        <v>53</v>
      </c>
      <c r="P154" t="s">
        <v>4507</v>
      </c>
      <c r="T154" t="s">
        <v>925</v>
      </c>
      <c r="U154" t="s">
        <v>818</v>
      </c>
      <c r="V154" t="s">
        <v>18</v>
      </c>
      <c r="W154" t="s">
        <v>857</v>
      </c>
      <c r="AC154" t="s">
        <v>932</v>
      </c>
      <c r="AD154" t="s">
        <v>818</v>
      </c>
      <c r="AE154" t="s">
        <v>18</v>
      </c>
      <c r="AF154" t="s">
        <v>2900</v>
      </c>
      <c r="AJ154" s="844" t="s">
        <v>5026</v>
      </c>
      <c r="AK154" s="844" t="s">
        <v>951</v>
      </c>
      <c r="AL154" s="844" t="s">
        <v>816</v>
      </c>
      <c r="AM154" s="844" t="s">
        <v>53</v>
      </c>
      <c r="AN154" s="844" t="s">
        <v>4096</v>
      </c>
    </row>
    <row r="155" spans="1:40">
      <c r="A155" t="s">
        <v>6276</v>
      </c>
      <c r="B155" t="s">
        <v>925</v>
      </c>
      <c r="C155" t="s">
        <v>818</v>
      </c>
      <c r="E155" t="s">
        <v>18</v>
      </c>
      <c r="F155" t="s">
        <v>4497</v>
      </c>
      <c r="M155" t="s">
        <v>4781</v>
      </c>
      <c r="N155" t="s">
        <v>935</v>
      </c>
      <c r="O155" t="s">
        <v>18</v>
      </c>
      <c r="P155" t="s">
        <v>4509</v>
      </c>
      <c r="T155" t="s">
        <v>925</v>
      </c>
      <c r="U155" t="s">
        <v>818</v>
      </c>
      <c r="V155" t="s">
        <v>18</v>
      </c>
      <c r="W155" t="s">
        <v>2366</v>
      </c>
      <c r="AC155" t="s">
        <v>932</v>
      </c>
      <c r="AD155" t="s">
        <v>19</v>
      </c>
      <c r="AE155" t="s">
        <v>857</v>
      </c>
      <c r="AF155" t="s">
        <v>2366</v>
      </c>
      <c r="AJ155" s="844" t="s">
        <v>5029</v>
      </c>
      <c r="AK155" s="844" t="s">
        <v>2888</v>
      </c>
      <c r="AL155" s="844" t="s">
        <v>2384</v>
      </c>
      <c r="AM155" s="844" t="s">
        <v>18</v>
      </c>
      <c r="AN155" s="844" t="s">
        <v>2887</v>
      </c>
    </row>
    <row r="156" spans="1:40">
      <c r="A156" t="s">
        <v>4929</v>
      </c>
      <c r="B156" t="s">
        <v>925</v>
      </c>
      <c r="C156" t="s">
        <v>2384</v>
      </c>
      <c r="D156" t="s">
        <v>2366</v>
      </c>
      <c r="E156" t="s">
        <v>18</v>
      </c>
      <c r="F156" t="s">
        <v>4496</v>
      </c>
      <c r="M156" t="s">
        <v>4781</v>
      </c>
      <c r="N156" t="s">
        <v>935</v>
      </c>
      <c r="O156" t="s">
        <v>18</v>
      </c>
      <c r="P156" t="s">
        <v>4508</v>
      </c>
      <c r="T156" t="s">
        <v>925</v>
      </c>
      <c r="U156" t="s">
        <v>2384</v>
      </c>
      <c r="V156" t="s">
        <v>857</v>
      </c>
      <c r="W156" t="s">
        <v>2366</v>
      </c>
      <c r="AC156" t="s">
        <v>932</v>
      </c>
      <c r="AD156" t="s">
        <v>19</v>
      </c>
      <c r="AE156" t="s">
        <v>18</v>
      </c>
      <c r="AF156" t="s">
        <v>857</v>
      </c>
      <c r="AJ156" s="844" t="s">
        <v>5031</v>
      </c>
      <c r="AK156" s="844" t="s">
        <v>956</v>
      </c>
      <c r="AL156" s="844" t="s">
        <v>19</v>
      </c>
      <c r="AM156" s="844" t="s">
        <v>53</v>
      </c>
      <c r="AN156" s="844" t="s">
        <v>3117</v>
      </c>
    </row>
    <row r="157" spans="1:40">
      <c r="A157" t="s">
        <v>6277</v>
      </c>
      <c r="B157" t="s">
        <v>925</v>
      </c>
      <c r="C157" t="s">
        <v>2384</v>
      </c>
      <c r="D157" t="s">
        <v>2366</v>
      </c>
      <c r="F157" t="s">
        <v>4030</v>
      </c>
      <c r="M157" t="s">
        <v>4781</v>
      </c>
      <c r="N157" t="s">
        <v>935</v>
      </c>
      <c r="O157" t="s">
        <v>18</v>
      </c>
      <c r="P157" t="s">
        <v>4506</v>
      </c>
      <c r="T157" t="s">
        <v>925</v>
      </c>
      <c r="U157" t="s">
        <v>2384</v>
      </c>
      <c r="V157" t="s">
        <v>18</v>
      </c>
      <c r="W157" t="s">
        <v>2366</v>
      </c>
      <c r="AC157" t="s">
        <v>932</v>
      </c>
      <c r="AD157" t="s">
        <v>19</v>
      </c>
      <c r="AE157" t="s">
        <v>18</v>
      </c>
      <c r="AF157" t="s">
        <v>2366</v>
      </c>
      <c r="AJ157" s="844" t="s">
        <v>5031</v>
      </c>
      <c r="AK157" s="844" t="s">
        <v>956</v>
      </c>
      <c r="AL157" s="844" t="s">
        <v>19</v>
      </c>
      <c r="AM157" s="844" t="s">
        <v>53</v>
      </c>
      <c r="AN157" s="844" t="s">
        <v>4070</v>
      </c>
    </row>
    <row r="158" spans="1:40">
      <c r="A158" t="s">
        <v>6498</v>
      </c>
      <c r="B158" t="s">
        <v>927</v>
      </c>
      <c r="C158" t="s">
        <v>818</v>
      </c>
      <c r="D158" t="s">
        <v>2636</v>
      </c>
      <c r="E158" t="s">
        <v>53</v>
      </c>
      <c r="F158" t="s">
        <v>4549</v>
      </c>
      <c r="M158" t="s">
        <v>4661</v>
      </c>
      <c r="N158" t="s">
        <v>938</v>
      </c>
      <c r="O158" t="s">
        <v>18</v>
      </c>
      <c r="P158" t="s">
        <v>4479</v>
      </c>
      <c r="T158" t="s">
        <v>927</v>
      </c>
      <c r="U158" t="s">
        <v>818</v>
      </c>
      <c r="V158" t="s">
        <v>53</v>
      </c>
      <c r="W158" t="s">
        <v>857</v>
      </c>
      <c r="AC158" t="s">
        <v>932</v>
      </c>
      <c r="AD158" t="s">
        <v>816</v>
      </c>
      <c r="AE158" t="s">
        <v>857</v>
      </c>
      <c r="AF158" t="s">
        <v>2366</v>
      </c>
      <c r="AJ158" s="844" t="s">
        <v>6690</v>
      </c>
      <c r="AK158" s="844" t="s">
        <v>956</v>
      </c>
      <c r="AL158" s="844" t="s">
        <v>19</v>
      </c>
      <c r="AM158" s="844"/>
      <c r="AN158" s="844" t="s">
        <v>4070</v>
      </c>
    </row>
    <row r="159" spans="1:40">
      <c r="A159" t="s">
        <v>6499</v>
      </c>
      <c r="B159" t="s">
        <v>927</v>
      </c>
      <c r="C159" t="s">
        <v>818</v>
      </c>
      <c r="D159" t="s">
        <v>3736</v>
      </c>
      <c r="E159" t="s">
        <v>53</v>
      </c>
      <c r="F159" t="s">
        <v>4548</v>
      </c>
      <c r="M159" t="s">
        <v>4661</v>
      </c>
      <c r="N159" t="s">
        <v>938</v>
      </c>
      <c r="O159" t="s">
        <v>18</v>
      </c>
      <c r="P159" t="s">
        <v>4444</v>
      </c>
      <c r="T159" t="s">
        <v>927</v>
      </c>
      <c r="U159" t="s">
        <v>818</v>
      </c>
      <c r="V159" t="s">
        <v>53</v>
      </c>
      <c r="W159" t="s">
        <v>857</v>
      </c>
      <c r="AC159" t="s">
        <v>932</v>
      </c>
      <c r="AD159" t="s">
        <v>816</v>
      </c>
      <c r="AE159" t="s">
        <v>18</v>
      </c>
      <c r="AF159" t="s">
        <v>857</v>
      </c>
      <c r="AJ159" s="844" t="s">
        <v>5035</v>
      </c>
      <c r="AK159" s="844" t="s">
        <v>956</v>
      </c>
      <c r="AL159" s="844" t="s">
        <v>2384</v>
      </c>
      <c r="AM159" s="844" t="s">
        <v>53</v>
      </c>
      <c r="AN159" s="844" t="s">
        <v>3117</v>
      </c>
    </row>
    <row r="160" spans="1:40">
      <c r="A160" t="s">
        <v>6588</v>
      </c>
      <c r="B160" t="s">
        <v>927</v>
      </c>
      <c r="C160" t="s">
        <v>818</v>
      </c>
      <c r="D160" t="s">
        <v>3736</v>
      </c>
      <c r="F160" t="s">
        <v>3737</v>
      </c>
      <c r="M160" t="s">
        <v>4661</v>
      </c>
      <c r="N160" t="s">
        <v>938</v>
      </c>
      <c r="O160" t="s">
        <v>18</v>
      </c>
      <c r="P160" t="s">
        <v>4443</v>
      </c>
      <c r="T160" t="s">
        <v>927</v>
      </c>
      <c r="U160" t="s">
        <v>818</v>
      </c>
      <c r="V160" t="s">
        <v>18</v>
      </c>
      <c r="W160" t="s">
        <v>857</v>
      </c>
      <c r="AC160" t="s">
        <v>932</v>
      </c>
      <c r="AD160" t="s">
        <v>816</v>
      </c>
      <c r="AE160" t="s">
        <v>18</v>
      </c>
      <c r="AF160" t="s">
        <v>4484</v>
      </c>
      <c r="AJ160" s="844" t="s">
        <v>6691</v>
      </c>
      <c r="AK160" s="844" t="s">
        <v>956</v>
      </c>
      <c r="AL160" s="844" t="s">
        <v>2384</v>
      </c>
      <c r="AM160" s="844"/>
      <c r="AN160" s="844" t="s">
        <v>4076</v>
      </c>
    </row>
    <row r="161" spans="1:40">
      <c r="A161" t="s">
        <v>6278</v>
      </c>
      <c r="B161" t="s">
        <v>927</v>
      </c>
      <c r="C161" t="s">
        <v>818</v>
      </c>
      <c r="E161" t="s">
        <v>53</v>
      </c>
      <c r="F161" t="s">
        <v>4552</v>
      </c>
      <c r="M161" t="s">
        <v>4661</v>
      </c>
      <c r="N161" t="s">
        <v>938</v>
      </c>
      <c r="O161" t="s">
        <v>18</v>
      </c>
      <c r="P161" t="s">
        <v>4442</v>
      </c>
      <c r="T161" t="s">
        <v>927</v>
      </c>
      <c r="U161" t="s">
        <v>818</v>
      </c>
      <c r="V161" t="s">
        <v>53</v>
      </c>
      <c r="W161" t="s">
        <v>2636</v>
      </c>
      <c r="AC161" t="s">
        <v>932</v>
      </c>
      <c r="AD161" t="s">
        <v>816</v>
      </c>
      <c r="AE161" t="s">
        <v>18</v>
      </c>
      <c r="AF161" t="s">
        <v>2366</v>
      </c>
      <c r="AJ161" s="844" t="s">
        <v>5037</v>
      </c>
      <c r="AK161" s="844" t="s">
        <v>956</v>
      </c>
      <c r="AL161" s="844" t="s">
        <v>816</v>
      </c>
      <c r="AM161" s="844" t="s">
        <v>53</v>
      </c>
      <c r="AN161" s="844" t="s">
        <v>4430</v>
      </c>
    </row>
    <row r="162" spans="1:40">
      <c r="A162" t="s">
        <v>6278</v>
      </c>
      <c r="B162" t="s">
        <v>927</v>
      </c>
      <c r="C162" t="s">
        <v>818</v>
      </c>
      <c r="E162" t="s">
        <v>53</v>
      </c>
      <c r="F162" t="s">
        <v>4547</v>
      </c>
      <c r="M162" t="s">
        <v>4661</v>
      </c>
      <c r="N162" t="s">
        <v>938</v>
      </c>
      <c r="O162" t="s">
        <v>18</v>
      </c>
      <c r="P162" t="s">
        <v>4441</v>
      </c>
      <c r="T162" t="s">
        <v>927</v>
      </c>
      <c r="U162" t="s">
        <v>818</v>
      </c>
      <c r="V162" t="s">
        <v>857</v>
      </c>
      <c r="W162" t="s">
        <v>3736</v>
      </c>
      <c r="AC162" t="s">
        <v>935</v>
      </c>
      <c r="AD162" t="s">
        <v>818</v>
      </c>
      <c r="AE162" t="s">
        <v>53</v>
      </c>
      <c r="AF162" t="s">
        <v>2366</v>
      </c>
      <c r="AJ162" s="844" t="s">
        <v>5039</v>
      </c>
      <c r="AK162" s="844" t="s">
        <v>2884</v>
      </c>
      <c r="AL162" s="844" t="s">
        <v>818</v>
      </c>
      <c r="AM162" s="844" t="s">
        <v>18</v>
      </c>
      <c r="AN162" s="844" t="s">
        <v>2883</v>
      </c>
    </row>
    <row r="163" spans="1:40">
      <c r="A163" t="s">
        <v>6279</v>
      </c>
      <c r="B163" t="s">
        <v>927</v>
      </c>
      <c r="C163" t="s">
        <v>818</v>
      </c>
      <c r="E163" t="s">
        <v>18</v>
      </c>
      <c r="F163" t="s">
        <v>4555</v>
      </c>
      <c r="M163" t="s">
        <v>4662</v>
      </c>
      <c r="N163" t="s">
        <v>941</v>
      </c>
      <c r="O163" t="s">
        <v>53</v>
      </c>
      <c r="P163" t="s">
        <v>4476</v>
      </c>
      <c r="T163" t="s">
        <v>927</v>
      </c>
      <c r="U163" t="s">
        <v>818</v>
      </c>
      <c r="V163" t="s">
        <v>53</v>
      </c>
      <c r="W163" t="s">
        <v>3736</v>
      </c>
      <c r="AC163" t="s">
        <v>935</v>
      </c>
      <c r="AD163" t="s">
        <v>818</v>
      </c>
      <c r="AE163" t="s">
        <v>18</v>
      </c>
      <c r="AF163" t="s">
        <v>857</v>
      </c>
      <c r="AJ163" s="844" t="s">
        <v>5041</v>
      </c>
      <c r="AK163" s="844" t="s">
        <v>958</v>
      </c>
      <c r="AL163" s="844" t="s">
        <v>818</v>
      </c>
      <c r="AM163" s="844" t="s">
        <v>53</v>
      </c>
      <c r="AN163" s="844" t="s">
        <v>2649</v>
      </c>
    </row>
    <row r="164" spans="1:40">
      <c r="A164" t="s">
        <v>4933</v>
      </c>
      <c r="B164" t="s">
        <v>927</v>
      </c>
      <c r="C164" t="s">
        <v>19</v>
      </c>
      <c r="D164" t="s">
        <v>4553</v>
      </c>
      <c r="E164" t="s">
        <v>18</v>
      </c>
      <c r="F164" t="s">
        <v>4554</v>
      </c>
      <c r="M164" t="s">
        <v>4662</v>
      </c>
      <c r="N164" t="s">
        <v>941</v>
      </c>
      <c r="O164" t="s">
        <v>53</v>
      </c>
      <c r="P164" t="s">
        <v>4475</v>
      </c>
      <c r="T164" t="s">
        <v>927</v>
      </c>
      <c r="U164" t="s">
        <v>19</v>
      </c>
      <c r="V164" t="s">
        <v>857</v>
      </c>
      <c r="W164" t="s">
        <v>857</v>
      </c>
      <c r="AC164" t="s">
        <v>935</v>
      </c>
      <c r="AD164" t="s">
        <v>816</v>
      </c>
      <c r="AE164" t="s">
        <v>18</v>
      </c>
      <c r="AF164" t="s">
        <v>857</v>
      </c>
      <c r="AJ164" s="844" t="s">
        <v>5041</v>
      </c>
      <c r="AK164" s="844" t="s">
        <v>958</v>
      </c>
      <c r="AL164" s="844" t="s">
        <v>818</v>
      </c>
      <c r="AM164" s="844" t="s">
        <v>53</v>
      </c>
      <c r="AN164" s="844" t="s">
        <v>2647</v>
      </c>
    </row>
    <row r="165" spans="1:40">
      <c r="A165" t="s">
        <v>4934</v>
      </c>
      <c r="B165" t="s">
        <v>927</v>
      </c>
      <c r="C165" t="s">
        <v>19</v>
      </c>
      <c r="D165" t="s">
        <v>2768</v>
      </c>
      <c r="E165" t="s">
        <v>53</v>
      </c>
      <c r="F165" t="s">
        <v>4550</v>
      </c>
      <c r="M165" t="s">
        <v>4663</v>
      </c>
      <c r="N165" t="s">
        <v>941</v>
      </c>
      <c r="O165" t="s">
        <v>18</v>
      </c>
      <c r="P165" t="s">
        <v>4478</v>
      </c>
      <c r="T165" t="s">
        <v>927</v>
      </c>
      <c r="U165" t="s">
        <v>19</v>
      </c>
      <c r="V165" t="s">
        <v>18</v>
      </c>
      <c r="W165" t="s">
        <v>857</v>
      </c>
      <c r="AC165" t="s">
        <v>935</v>
      </c>
      <c r="AD165" t="s">
        <v>816</v>
      </c>
      <c r="AE165" t="s">
        <v>18</v>
      </c>
      <c r="AF165" t="s">
        <v>2366</v>
      </c>
      <c r="AJ165" s="844" t="s">
        <v>5044</v>
      </c>
      <c r="AK165" s="844" t="s">
        <v>958</v>
      </c>
      <c r="AL165" s="844" t="s">
        <v>19</v>
      </c>
      <c r="AM165" s="844" t="s">
        <v>53</v>
      </c>
      <c r="AN165" s="844" t="s">
        <v>2649</v>
      </c>
    </row>
    <row r="166" spans="1:40">
      <c r="A166" t="s">
        <v>6500</v>
      </c>
      <c r="B166" t="s">
        <v>927</v>
      </c>
      <c r="C166" t="s">
        <v>19</v>
      </c>
      <c r="D166" t="s">
        <v>4177</v>
      </c>
      <c r="E166" t="s">
        <v>53</v>
      </c>
      <c r="F166" t="s">
        <v>4546</v>
      </c>
      <c r="M166" t="s">
        <v>4663</v>
      </c>
      <c r="N166" t="s">
        <v>941</v>
      </c>
      <c r="O166" t="s">
        <v>18</v>
      </c>
      <c r="P166" t="s">
        <v>4477</v>
      </c>
      <c r="T166" t="s">
        <v>927</v>
      </c>
      <c r="U166" t="s">
        <v>19</v>
      </c>
      <c r="V166" t="s">
        <v>18</v>
      </c>
      <c r="W166" t="s">
        <v>4553</v>
      </c>
      <c r="AC166" t="s">
        <v>938</v>
      </c>
      <c r="AD166" t="s">
        <v>818</v>
      </c>
      <c r="AE166" t="s">
        <v>18</v>
      </c>
      <c r="AF166" t="s">
        <v>857</v>
      </c>
      <c r="AJ166" s="844" t="s">
        <v>5044</v>
      </c>
      <c r="AK166" s="844" t="s">
        <v>958</v>
      </c>
      <c r="AL166" s="844" t="s">
        <v>19</v>
      </c>
      <c r="AM166" s="844" t="s">
        <v>53</v>
      </c>
      <c r="AN166" s="844" t="s">
        <v>2366</v>
      </c>
    </row>
    <row r="167" spans="1:40">
      <c r="A167" t="s">
        <v>6589</v>
      </c>
      <c r="B167" t="s">
        <v>927</v>
      </c>
      <c r="C167" t="s">
        <v>19</v>
      </c>
      <c r="D167" t="s">
        <v>4177</v>
      </c>
      <c r="F167" t="s">
        <v>4178</v>
      </c>
      <c r="M167" t="s">
        <v>4664</v>
      </c>
      <c r="N167" t="s">
        <v>943</v>
      </c>
      <c r="O167" t="s">
        <v>53</v>
      </c>
      <c r="P167" t="s">
        <v>4511</v>
      </c>
      <c r="T167" t="s">
        <v>927</v>
      </c>
      <c r="U167" t="s">
        <v>19</v>
      </c>
      <c r="V167" t="s">
        <v>53</v>
      </c>
      <c r="W167" t="s">
        <v>2768</v>
      </c>
      <c r="AC167" t="s">
        <v>938</v>
      </c>
      <c r="AD167" t="s">
        <v>19</v>
      </c>
      <c r="AE167" t="s">
        <v>857</v>
      </c>
      <c r="AF167" t="s">
        <v>4121</v>
      </c>
      <c r="AJ167" s="844" t="s">
        <v>6692</v>
      </c>
      <c r="AK167" s="844" t="s">
        <v>958</v>
      </c>
      <c r="AL167" s="844" t="s">
        <v>19</v>
      </c>
      <c r="AM167" s="844"/>
      <c r="AN167" s="844" t="s">
        <v>2366</v>
      </c>
    </row>
    <row r="168" spans="1:40">
      <c r="A168" t="s">
        <v>6280</v>
      </c>
      <c r="B168" t="s">
        <v>927</v>
      </c>
      <c r="C168" t="s">
        <v>19</v>
      </c>
      <c r="E168" t="s">
        <v>18</v>
      </c>
      <c r="F168" t="s">
        <v>4557</v>
      </c>
      <c r="M168" t="s">
        <v>4664</v>
      </c>
      <c r="N168" t="s">
        <v>943</v>
      </c>
      <c r="O168" t="s">
        <v>53</v>
      </c>
      <c r="P168" t="s">
        <v>4510</v>
      </c>
      <c r="T168" t="s">
        <v>927</v>
      </c>
      <c r="U168" t="s">
        <v>19</v>
      </c>
      <c r="V168" t="s">
        <v>857</v>
      </c>
      <c r="W168" t="s">
        <v>4177</v>
      </c>
      <c r="AC168" t="s">
        <v>938</v>
      </c>
      <c r="AD168" t="s">
        <v>19</v>
      </c>
      <c r="AE168" t="s">
        <v>18</v>
      </c>
      <c r="AF168" t="s">
        <v>4121</v>
      </c>
      <c r="AJ168" s="844" t="s">
        <v>6693</v>
      </c>
      <c r="AK168" s="844" t="s">
        <v>958</v>
      </c>
      <c r="AL168" s="844" t="s">
        <v>2384</v>
      </c>
      <c r="AM168" s="844"/>
      <c r="AN168" s="844" t="s">
        <v>2647</v>
      </c>
    </row>
    <row r="169" spans="1:40">
      <c r="A169" t="s">
        <v>4932</v>
      </c>
      <c r="B169" t="s">
        <v>927</v>
      </c>
      <c r="C169" t="s">
        <v>19</v>
      </c>
      <c r="F169" t="s">
        <v>3859</v>
      </c>
      <c r="M169" t="s">
        <v>4664</v>
      </c>
      <c r="N169" t="s">
        <v>943</v>
      </c>
      <c r="O169" t="s">
        <v>53</v>
      </c>
      <c r="P169" t="s">
        <v>4455</v>
      </c>
      <c r="T169" t="s">
        <v>927</v>
      </c>
      <c r="U169" t="s">
        <v>19</v>
      </c>
      <c r="V169" t="s">
        <v>53</v>
      </c>
      <c r="W169" t="s">
        <v>4177</v>
      </c>
      <c r="AC169" t="s">
        <v>938</v>
      </c>
      <c r="AD169" t="s">
        <v>2384</v>
      </c>
      <c r="AE169" t="s">
        <v>857</v>
      </c>
      <c r="AF169" t="s">
        <v>4007</v>
      </c>
      <c r="AJ169" s="844" t="s">
        <v>6693</v>
      </c>
      <c r="AK169" s="844" t="s">
        <v>958</v>
      </c>
      <c r="AL169" s="844" t="s">
        <v>2384</v>
      </c>
      <c r="AM169" s="844"/>
      <c r="AN169" s="844" t="s">
        <v>3486</v>
      </c>
    </row>
    <row r="170" spans="1:40">
      <c r="A170" t="s">
        <v>6501</v>
      </c>
      <c r="B170" t="s">
        <v>927</v>
      </c>
      <c r="C170" t="s">
        <v>2416</v>
      </c>
      <c r="D170" t="s">
        <v>4042</v>
      </c>
      <c r="E170" t="s">
        <v>53</v>
      </c>
      <c r="F170" t="s">
        <v>4545</v>
      </c>
      <c r="M170" t="s">
        <v>4665</v>
      </c>
      <c r="N170" t="s">
        <v>943</v>
      </c>
      <c r="O170" t="s">
        <v>18</v>
      </c>
      <c r="P170" t="s">
        <v>4456</v>
      </c>
      <c r="T170" t="s">
        <v>927</v>
      </c>
      <c r="U170" t="s">
        <v>2416</v>
      </c>
      <c r="V170" t="s">
        <v>857</v>
      </c>
      <c r="W170" t="s">
        <v>857</v>
      </c>
      <c r="AC170" t="s">
        <v>938</v>
      </c>
      <c r="AD170" t="s">
        <v>2384</v>
      </c>
      <c r="AE170" t="s">
        <v>18</v>
      </c>
      <c r="AF170" t="s">
        <v>4007</v>
      </c>
      <c r="AJ170" s="844" t="s">
        <v>5048</v>
      </c>
      <c r="AK170" s="844" t="s">
        <v>958</v>
      </c>
      <c r="AL170" s="844" t="s">
        <v>816</v>
      </c>
      <c r="AM170" s="844" t="s">
        <v>53</v>
      </c>
      <c r="AN170" s="844" t="s">
        <v>2649</v>
      </c>
    </row>
    <row r="171" spans="1:40">
      <c r="A171" t="s">
        <v>6501</v>
      </c>
      <c r="B171" t="s">
        <v>927</v>
      </c>
      <c r="C171" t="s">
        <v>2416</v>
      </c>
      <c r="D171" t="s">
        <v>4042</v>
      </c>
      <c r="E171" t="s">
        <v>53</v>
      </c>
      <c r="F171" t="s">
        <v>4545</v>
      </c>
      <c r="M171" t="s">
        <v>4782</v>
      </c>
      <c r="N171" t="s">
        <v>946</v>
      </c>
      <c r="O171" t="s">
        <v>53</v>
      </c>
      <c r="P171" t="s">
        <v>4537</v>
      </c>
      <c r="T171" t="s">
        <v>927</v>
      </c>
      <c r="U171" t="s">
        <v>2416</v>
      </c>
      <c r="V171" t="s">
        <v>857</v>
      </c>
      <c r="W171" t="s">
        <v>4042</v>
      </c>
      <c r="AC171" t="s">
        <v>938</v>
      </c>
      <c r="AD171" t="s">
        <v>2384</v>
      </c>
      <c r="AE171" t="s">
        <v>18</v>
      </c>
      <c r="AF171" t="s">
        <v>4121</v>
      </c>
      <c r="AJ171" s="844" t="s">
        <v>5048</v>
      </c>
      <c r="AK171" s="844" t="s">
        <v>958</v>
      </c>
      <c r="AL171" s="844" t="s">
        <v>816</v>
      </c>
      <c r="AM171" s="844" t="s">
        <v>53</v>
      </c>
      <c r="AN171" s="844" t="s">
        <v>2647</v>
      </c>
    </row>
    <row r="172" spans="1:40">
      <c r="A172" t="s">
        <v>6590</v>
      </c>
      <c r="B172" t="s">
        <v>927</v>
      </c>
      <c r="C172" t="s">
        <v>2416</v>
      </c>
      <c r="D172" t="s">
        <v>4042</v>
      </c>
      <c r="F172" t="s">
        <v>4041</v>
      </c>
      <c r="M172" t="s">
        <v>4782</v>
      </c>
      <c r="N172" t="s">
        <v>946</v>
      </c>
      <c r="O172" t="s">
        <v>53</v>
      </c>
      <c r="P172" t="s">
        <v>4536</v>
      </c>
      <c r="T172" t="s">
        <v>927</v>
      </c>
      <c r="U172" t="s">
        <v>2416</v>
      </c>
      <c r="V172" t="s">
        <v>53</v>
      </c>
      <c r="W172" t="s">
        <v>4042</v>
      </c>
      <c r="AC172" t="s">
        <v>938</v>
      </c>
      <c r="AD172" t="s">
        <v>816</v>
      </c>
      <c r="AE172" t="s">
        <v>18</v>
      </c>
      <c r="AF172" t="s">
        <v>857</v>
      </c>
      <c r="AJ172" s="844" t="s">
        <v>6694</v>
      </c>
      <c r="AK172" s="844" t="s">
        <v>961</v>
      </c>
      <c r="AL172" s="844" t="s">
        <v>4826</v>
      </c>
      <c r="AM172" s="844"/>
      <c r="AN172" s="844" t="s">
        <v>4057</v>
      </c>
    </row>
    <row r="173" spans="1:40">
      <c r="A173" t="s">
        <v>4939</v>
      </c>
      <c r="B173" t="s">
        <v>927</v>
      </c>
      <c r="C173" t="s">
        <v>2416</v>
      </c>
      <c r="D173" t="s">
        <v>4543</v>
      </c>
      <c r="E173" t="s">
        <v>53</v>
      </c>
      <c r="F173" t="s">
        <v>4544</v>
      </c>
      <c r="M173" t="s">
        <v>4782</v>
      </c>
      <c r="N173" t="s">
        <v>946</v>
      </c>
      <c r="O173" t="s">
        <v>53</v>
      </c>
      <c r="P173" t="s">
        <v>4535</v>
      </c>
      <c r="T173" t="s">
        <v>927</v>
      </c>
      <c r="U173" t="s">
        <v>2416</v>
      </c>
      <c r="V173" t="s">
        <v>53</v>
      </c>
      <c r="W173" t="s">
        <v>4042</v>
      </c>
      <c r="AC173" t="s">
        <v>941</v>
      </c>
      <c r="AD173" t="s">
        <v>19</v>
      </c>
      <c r="AE173" t="s">
        <v>53</v>
      </c>
      <c r="AF173" t="s">
        <v>857</v>
      </c>
      <c r="AJ173" s="844" t="s">
        <v>5051</v>
      </c>
      <c r="AK173" s="844" t="s">
        <v>961</v>
      </c>
      <c r="AL173" s="844" t="s">
        <v>818</v>
      </c>
      <c r="AM173" s="844" t="s">
        <v>53</v>
      </c>
      <c r="AN173" s="844" t="s">
        <v>3596</v>
      </c>
    </row>
    <row r="174" spans="1:40">
      <c r="A174" t="s">
        <v>4937</v>
      </c>
      <c r="B174" t="s">
        <v>927</v>
      </c>
      <c r="C174" t="s">
        <v>2416</v>
      </c>
      <c r="F174" t="s">
        <v>4041</v>
      </c>
      <c r="M174" t="s">
        <v>4782</v>
      </c>
      <c r="N174" t="s">
        <v>946</v>
      </c>
      <c r="O174" t="s">
        <v>53</v>
      </c>
      <c r="P174" t="s">
        <v>4534</v>
      </c>
      <c r="T174" t="s">
        <v>927</v>
      </c>
      <c r="U174" t="s">
        <v>2416</v>
      </c>
      <c r="V174" t="s">
        <v>53</v>
      </c>
      <c r="W174" t="s">
        <v>4543</v>
      </c>
      <c r="AC174" t="s">
        <v>941</v>
      </c>
      <c r="AD174" t="s">
        <v>816</v>
      </c>
      <c r="AE174" t="s">
        <v>18</v>
      </c>
      <c r="AF174" t="s">
        <v>857</v>
      </c>
      <c r="AJ174" s="844" t="s">
        <v>5054</v>
      </c>
      <c r="AK174" s="844" t="s">
        <v>961</v>
      </c>
      <c r="AL174" s="844" t="s">
        <v>818</v>
      </c>
      <c r="AM174" s="844" t="s">
        <v>18</v>
      </c>
      <c r="AN174" s="844" t="s">
        <v>4057</v>
      </c>
    </row>
    <row r="175" spans="1:40">
      <c r="A175" t="s">
        <v>6502</v>
      </c>
      <c r="B175" t="s">
        <v>927</v>
      </c>
      <c r="C175" t="s">
        <v>816</v>
      </c>
      <c r="D175" t="s">
        <v>2957</v>
      </c>
      <c r="E175" t="s">
        <v>53</v>
      </c>
      <c r="F175" t="s">
        <v>4542</v>
      </c>
      <c r="M175" t="s">
        <v>4782</v>
      </c>
      <c r="N175" t="s">
        <v>946</v>
      </c>
      <c r="O175" t="s">
        <v>53</v>
      </c>
      <c r="P175" t="s">
        <v>4533</v>
      </c>
      <c r="T175" t="s">
        <v>927</v>
      </c>
      <c r="U175" t="s">
        <v>816</v>
      </c>
      <c r="V175" t="s">
        <v>53</v>
      </c>
      <c r="W175" t="s">
        <v>857</v>
      </c>
      <c r="AC175" t="s">
        <v>943</v>
      </c>
      <c r="AD175" t="s">
        <v>818</v>
      </c>
      <c r="AE175" t="s">
        <v>18</v>
      </c>
      <c r="AF175" t="s">
        <v>4454</v>
      </c>
      <c r="AJ175" s="844" t="s">
        <v>5054</v>
      </c>
      <c r="AK175" s="844" t="s">
        <v>961</v>
      </c>
      <c r="AL175" s="844" t="s">
        <v>818</v>
      </c>
      <c r="AM175" s="844" t="s">
        <v>18</v>
      </c>
      <c r="AN175" s="844" t="s">
        <v>4333</v>
      </c>
    </row>
    <row r="176" spans="1:40">
      <c r="A176" t="s">
        <v>6591</v>
      </c>
      <c r="B176" t="s">
        <v>927</v>
      </c>
      <c r="C176" t="s">
        <v>816</v>
      </c>
      <c r="D176" t="s">
        <v>2957</v>
      </c>
      <c r="F176" t="s">
        <v>4182</v>
      </c>
      <c r="M176" t="s">
        <v>4782</v>
      </c>
      <c r="N176" t="s">
        <v>946</v>
      </c>
      <c r="O176" t="s">
        <v>53</v>
      </c>
      <c r="P176" t="s">
        <v>4532</v>
      </c>
      <c r="T176" t="s">
        <v>927</v>
      </c>
      <c r="U176" t="s">
        <v>816</v>
      </c>
      <c r="V176" t="s">
        <v>18</v>
      </c>
      <c r="W176" t="s">
        <v>857</v>
      </c>
      <c r="AC176" t="s">
        <v>943</v>
      </c>
      <c r="AD176" t="s">
        <v>816</v>
      </c>
      <c r="AE176" t="s">
        <v>53</v>
      </c>
      <c r="AF176" t="s">
        <v>857</v>
      </c>
      <c r="AJ176" s="844" t="s">
        <v>5057</v>
      </c>
      <c r="AK176" s="844" t="s">
        <v>961</v>
      </c>
      <c r="AL176" s="844" t="s">
        <v>816</v>
      </c>
      <c r="AM176" s="844" t="s">
        <v>18</v>
      </c>
      <c r="AN176" s="844" t="s">
        <v>4057</v>
      </c>
    </row>
    <row r="177" spans="1:40">
      <c r="A177" t="s">
        <v>6281</v>
      </c>
      <c r="B177" t="s">
        <v>927</v>
      </c>
      <c r="C177" t="s">
        <v>816</v>
      </c>
      <c r="E177" t="s">
        <v>53</v>
      </c>
      <c r="F177" t="s">
        <v>4551</v>
      </c>
      <c r="M177" t="s">
        <v>4782</v>
      </c>
      <c r="N177" t="s">
        <v>946</v>
      </c>
      <c r="O177" t="s">
        <v>53</v>
      </c>
      <c r="P177" t="s">
        <v>4452</v>
      </c>
      <c r="T177" t="s">
        <v>927</v>
      </c>
      <c r="U177" t="s">
        <v>816</v>
      </c>
      <c r="V177" t="s">
        <v>857</v>
      </c>
      <c r="W177" t="s">
        <v>2957</v>
      </c>
      <c r="AC177" t="s">
        <v>943</v>
      </c>
      <c r="AD177" t="s">
        <v>816</v>
      </c>
      <c r="AE177" t="s">
        <v>53</v>
      </c>
      <c r="AF177" t="s">
        <v>4454</v>
      </c>
      <c r="AJ177" s="844" t="s">
        <v>5057</v>
      </c>
      <c r="AK177" s="844" t="s">
        <v>961</v>
      </c>
      <c r="AL177" s="844" t="s">
        <v>816</v>
      </c>
      <c r="AM177" s="844" t="s">
        <v>18</v>
      </c>
      <c r="AN177" s="844" t="s">
        <v>2863</v>
      </c>
    </row>
    <row r="178" spans="1:40">
      <c r="A178" t="s">
        <v>6282</v>
      </c>
      <c r="B178" t="s">
        <v>927</v>
      </c>
      <c r="C178" t="s">
        <v>816</v>
      </c>
      <c r="E178" t="s">
        <v>18</v>
      </c>
      <c r="F178" t="s">
        <v>4556</v>
      </c>
      <c r="M178" t="s">
        <v>4782</v>
      </c>
      <c r="N178" t="s">
        <v>946</v>
      </c>
      <c r="O178" t="s">
        <v>53</v>
      </c>
      <c r="P178" t="s">
        <v>4451</v>
      </c>
      <c r="T178" t="s">
        <v>927</v>
      </c>
      <c r="U178" t="s">
        <v>816</v>
      </c>
      <c r="V178" t="s">
        <v>53</v>
      </c>
      <c r="W178" t="s">
        <v>2957</v>
      </c>
      <c r="AC178" t="s">
        <v>946</v>
      </c>
      <c r="AD178" t="s">
        <v>818</v>
      </c>
      <c r="AE178" t="s">
        <v>857</v>
      </c>
      <c r="AF178" t="s">
        <v>4147</v>
      </c>
      <c r="AJ178" s="844" t="s">
        <v>5058</v>
      </c>
      <c r="AK178" s="844" t="s">
        <v>962</v>
      </c>
      <c r="AL178" s="844" t="s">
        <v>818</v>
      </c>
      <c r="AM178" s="844" t="s">
        <v>53</v>
      </c>
      <c r="AN178" s="844" t="s">
        <v>4034</v>
      </c>
    </row>
    <row r="179" spans="1:40">
      <c r="A179" t="s">
        <v>4941</v>
      </c>
      <c r="B179" t="s">
        <v>929</v>
      </c>
      <c r="C179" t="s">
        <v>818</v>
      </c>
      <c r="D179" t="s">
        <v>4014</v>
      </c>
      <c r="E179" t="s">
        <v>18</v>
      </c>
      <c r="F179" t="s">
        <v>4459</v>
      </c>
      <c r="M179" t="s">
        <v>4782</v>
      </c>
      <c r="N179" t="s">
        <v>946</v>
      </c>
      <c r="O179" t="s">
        <v>53</v>
      </c>
      <c r="P179" t="s">
        <v>4450</v>
      </c>
      <c r="T179" t="s">
        <v>929</v>
      </c>
      <c r="U179" t="s">
        <v>818</v>
      </c>
      <c r="V179" t="s">
        <v>18</v>
      </c>
      <c r="W179" t="s">
        <v>857</v>
      </c>
      <c r="AC179" t="s">
        <v>946</v>
      </c>
      <c r="AD179" t="s">
        <v>818</v>
      </c>
      <c r="AE179" t="s">
        <v>53</v>
      </c>
      <c r="AF179" t="s">
        <v>857</v>
      </c>
      <c r="AJ179" s="844" t="s">
        <v>6695</v>
      </c>
      <c r="AK179" s="844" t="s">
        <v>962</v>
      </c>
      <c r="AL179" s="844" t="s">
        <v>818</v>
      </c>
      <c r="AM179" s="844"/>
      <c r="AN179" s="844" t="s">
        <v>4034</v>
      </c>
    </row>
    <row r="180" spans="1:40">
      <c r="A180" t="s">
        <v>6284</v>
      </c>
      <c r="B180" t="s">
        <v>929</v>
      </c>
      <c r="C180" t="s">
        <v>818</v>
      </c>
      <c r="D180" t="s">
        <v>4014</v>
      </c>
      <c r="F180" t="s">
        <v>4017</v>
      </c>
      <c r="M180" t="s">
        <v>4782</v>
      </c>
      <c r="N180" t="s">
        <v>946</v>
      </c>
      <c r="O180" t="s">
        <v>53</v>
      </c>
      <c r="P180" t="s">
        <v>4449</v>
      </c>
      <c r="T180" t="s">
        <v>929</v>
      </c>
      <c r="U180" t="s">
        <v>818</v>
      </c>
      <c r="V180" t="s">
        <v>857</v>
      </c>
      <c r="W180" t="s">
        <v>4014</v>
      </c>
      <c r="AC180" t="s">
        <v>946</v>
      </c>
      <c r="AD180" t="s">
        <v>818</v>
      </c>
      <c r="AE180" t="s">
        <v>53</v>
      </c>
      <c r="AF180" t="s">
        <v>4446</v>
      </c>
      <c r="AJ180" s="844" t="s">
        <v>5062</v>
      </c>
      <c r="AK180" s="844" t="s">
        <v>962</v>
      </c>
      <c r="AL180" s="844" t="s">
        <v>19</v>
      </c>
      <c r="AM180" s="844" t="s">
        <v>53</v>
      </c>
      <c r="AN180" s="844" t="s">
        <v>4324</v>
      </c>
    </row>
    <row r="181" spans="1:40">
      <c r="A181" t="s">
        <v>6283</v>
      </c>
      <c r="B181" t="s">
        <v>929</v>
      </c>
      <c r="C181" t="s">
        <v>818</v>
      </c>
      <c r="E181" t="s">
        <v>18</v>
      </c>
      <c r="F181" t="s">
        <v>4462</v>
      </c>
      <c r="M181" t="s">
        <v>4782</v>
      </c>
      <c r="N181" t="s">
        <v>946</v>
      </c>
      <c r="O181" t="s">
        <v>53</v>
      </c>
      <c r="P181" t="s">
        <v>4448</v>
      </c>
      <c r="T181" t="s">
        <v>929</v>
      </c>
      <c r="U181" t="s">
        <v>818</v>
      </c>
      <c r="V181" t="s">
        <v>18</v>
      </c>
      <c r="W181" t="s">
        <v>4014</v>
      </c>
      <c r="AC181" t="s">
        <v>946</v>
      </c>
      <c r="AD181" t="s">
        <v>818</v>
      </c>
      <c r="AE181" t="s">
        <v>53</v>
      </c>
      <c r="AF181" t="s">
        <v>4147</v>
      </c>
      <c r="AJ181" s="844" t="s">
        <v>5062</v>
      </c>
      <c r="AK181" s="844" t="s">
        <v>962</v>
      </c>
      <c r="AL181" s="844" t="s">
        <v>19</v>
      </c>
      <c r="AM181" s="844" t="s">
        <v>53</v>
      </c>
      <c r="AN181" s="844" t="s">
        <v>4034</v>
      </c>
    </row>
    <row r="182" spans="1:40">
      <c r="A182" t="s">
        <v>4943</v>
      </c>
      <c r="B182" t="s">
        <v>929</v>
      </c>
      <c r="C182" t="s">
        <v>19</v>
      </c>
      <c r="D182" t="s">
        <v>4014</v>
      </c>
      <c r="E182" t="s">
        <v>18</v>
      </c>
      <c r="F182" t="s">
        <v>4458</v>
      </c>
      <c r="M182" t="s">
        <v>4782</v>
      </c>
      <c r="N182" t="s">
        <v>946</v>
      </c>
      <c r="O182" t="s">
        <v>53</v>
      </c>
      <c r="P182" t="s">
        <v>4447</v>
      </c>
      <c r="T182" t="s">
        <v>929</v>
      </c>
      <c r="U182" t="s">
        <v>19</v>
      </c>
      <c r="V182" t="s">
        <v>18</v>
      </c>
      <c r="W182" t="s">
        <v>857</v>
      </c>
      <c r="AC182" t="s">
        <v>946</v>
      </c>
      <c r="AD182" t="s">
        <v>818</v>
      </c>
      <c r="AE182" t="s">
        <v>18</v>
      </c>
      <c r="AF182" t="s">
        <v>857</v>
      </c>
      <c r="AJ182" s="844" t="s">
        <v>6696</v>
      </c>
      <c r="AK182" s="844" t="s">
        <v>962</v>
      </c>
      <c r="AL182" s="844" t="s">
        <v>19</v>
      </c>
      <c r="AM182" s="844"/>
      <c r="AN182" s="844" t="s">
        <v>4034</v>
      </c>
    </row>
    <row r="183" spans="1:40">
      <c r="A183" t="s">
        <v>6286</v>
      </c>
      <c r="B183" t="s">
        <v>929</v>
      </c>
      <c r="C183" t="s">
        <v>19</v>
      </c>
      <c r="D183" t="s">
        <v>4014</v>
      </c>
      <c r="F183" t="s">
        <v>4016</v>
      </c>
      <c r="M183" t="s">
        <v>4782</v>
      </c>
      <c r="N183" t="s">
        <v>946</v>
      </c>
      <c r="O183" t="s">
        <v>53</v>
      </c>
      <c r="P183" t="s">
        <v>4445</v>
      </c>
      <c r="T183" t="s">
        <v>929</v>
      </c>
      <c r="U183" t="s">
        <v>19</v>
      </c>
      <c r="V183" t="s">
        <v>18</v>
      </c>
      <c r="W183" t="s">
        <v>857</v>
      </c>
      <c r="AC183" t="s">
        <v>946</v>
      </c>
      <c r="AD183" t="s">
        <v>19</v>
      </c>
      <c r="AE183" t="s">
        <v>857</v>
      </c>
      <c r="AF183" t="s">
        <v>857</v>
      </c>
      <c r="AJ183" s="844" t="s">
        <v>5065</v>
      </c>
      <c r="AK183" s="844" t="s">
        <v>962</v>
      </c>
      <c r="AL183" s="844" t="s">
        <v>816</v>
      </c>
      <c r="AM183" s="844" t="s">
        <v>53</v>
      </c>
      <c r="AN183" s="844" t="s">
        <v>4324</v>
      </c>
    </row>
    <row r="184" spans="1:40">
      <c r="A184" t="s">
        <v>6285</v>
      </c>
      <c r="B184" t="s">
        <v>929</v>
      </c>
      <c r="C184" t="s">
        <v>19</v>
      </c>
      <c r="E184" t="s">
        <v>18</v>
      </c>
      <c r="F184" t="s">
        <v>4464</v>
      </c>
      <c r="M184" t="s">
        <v>4783</v>
      </c>
      <c r="N184" t="s">
        <v>946</v>
      </c>
      <c r="O184" t="s">
        <v>18</v>
      </c>
      <c r="P184" t="s">
        <v>4541</v>
      </c>
      <c r="T184" t="s">
        <v>929</v>
      </c>
      <c r="U184" t="s">
        <v>19</v>
      </c>
      <c r="V184" t="s">
        <v>857</v>
      </c>
      <c r="W184" t="s">
        <v>4014</v>
      </c>
      <c r="AC184" t="s">
        <v>946</v>
      </c>
      <c r="AD184" t="s">
        <v>19</v>
      </c>
      <c r="AE184" t="s">
        <v>857</v>
      </c>
      <c r="AF184" t="s">
        <v>4125</v>
      </c>
      <c r="AJ184" s="844" t="s">
        <v>5065</v>
      </c>
      <c r="AK184" s="844" t="s">
        <v>962</v>
      </c>
      <c r="AL184" s="844" t="s">
        <v>816</v>
      </c>
      <c r="AM184" s="844" t="s">
        <v>53</v>
      </c>
      <c r="AN184" s="844" t="s">
        <v>4045</v>
      </c>
    </row>
    <row r="185" spans="1:40">
      <c r="A185" t="s">
        <v>6285</v>
      </c>
      <c r="B185" t="s">
        <v>929</v>
      </c>
      <c r="C185" t="s">
        <v>19</v>
      </c>
      <c r="E185" t="s">
        <v>18</v>
      </c>
      <c r="F185" t="s">
        <v>4460</v>
      </c>
      <c r="M185" t="s">
        <v>4783</v>
      </c>
      <c r="N185" t="s">
        <v>946</v>
      </c>
      <c r="O185" t="s">
        <v>18</v>
      </c>
      <c r="P185" t="s">
        <v>4540</v>
      </c>
      <c r="T185" t="s">
        <v>929</v>
      </c>
      <c r="U185" t="s">
        <v>19</v>
      </c>
      <c r="V185" t="s">
        <v>18</v>
      </c>
      <c r="W185" t="s">
        <v>4014</v>
      </c>
      <c r="AC185" t="s">
        <v>946</v>
      </c>
      <c r="AD185" t="s">
        <v>19</v>
      </c>
      <c r="AE185" t="s">
        <v>53</v>
      </c>
      <c r="AF185" t="s">
        <v>857</v>
      </c>
      <c r="AJ185" s="844" t="s">
        <v>6697</v>
      </c>
      <c r="AK185" s="844" t="s">
        <v>962</v>
      </c>
      <c r="AL185" s="844" t="s">
        <v>816</v>
      </c>
      <c r="AM185" s="844"/>
      <c r="AN185" s="844" t="s">
        <v>4045</v>
      </c>
    </row>
    <row r="186" spans="1:40">
      <c r="A186" t="s">
        <v>4945</v>
      </c>
      <c r="B186" t="s">
        <v>929</v>
      </c>
      <c r="C186" t="s">
        <v>2384</v>
      </c>
      <c r="F186" t="s">
        <v>4052</v>
      </c>
      <c r="M186" t="s">
        <v>4783</v>
      </c>
      <c r="N186" t="s">
        <v>946</v>
      </c>
      <c r="O186" t="s">
        <v>18</v>
      </c>
      <c r="P186" t="s">
        <v>4539</v>
      </c>
      <c r="T186" t="s">
        <v>929</v>
      </c>
      <c r="U186" t="s">
        <v>2384</v>
      </c>
      <c r="V186" t="s">
        <v>857</v>
      </c>
      <c r="W186" t="s">
        <v>857</v>
      </c>
      <c r="AC186" t="s">
        <v>946</v>
      </c>
      <c r="AD186" t="s">
        <v>19</v>
      </c>
      <c r="AE186" t="s">
        <v>53</v>
      </c>
      <c r="AF186" t="s">
        <v>2636</v>
      </c>
      <c r="AJ186" s="844" t="s">
        <v>5082</v>
      </c>
      <c r="AK186" s="844" t="s">
        <v>963</v>
      </c>
      <c r="AL186" s="844" t="s">
        <v>818</v>
      </c>
      <c r="AM186" s="844" t="s">
        <v>53</v>
      </c>
      <c r="AN186" s="844" t="s">
        <v>4076</v>
      </c>
    </row>
    <row r="187" spans="1:40">
      <c r="A187" t="s">
        <v>4946</v>
      </c>
      <c r="B187" t="s">
        <v>929</v>
      </c>
      <c r="C187" t="s">
        <v>816</v>
      </c>
      <c r="D187" t="s">
        <v>4014</v>
      </c>
      <c r="E187" t="s">
        <v>18</v>
      </c>
      <c r="F187" t="s">
        <v>4457</v>
      </c>
      <c r="M187" t="s">
        <v>4783</v>
      </c>
      <c r="N187" t="s">
        <v>946</v>
      </c>
      <c r="O187" t="s">
        <v>18</v>
      </c>
      <c r="P187" t="s">
        <v>4538</v>
      </c>
      <c r="T187" t="s">
        <v>929</v>
      </c>
      <c r="U187" t="s">
        <v>816</v>
      </c>
      <c r="V187" t="s">
        <v>18</v>
      </c>
      <c r="W187" t="s">
        <v>857</v>
      </c>
      <c r="AC187" t="s">
        <v>946</v>
      </c>
      <c r="AD187" t="s">
        <v>19</v>
      </c>
      <c r="AE187" t="s">
        <v>53</v>
      </c>
      <c r="AF187" t="s">
        <v>4125</v>
      </c>
      <c r="AJ187" s="844" t="s">
        <v>5082</v>
      </c>
      <c r="AK187" s="844" t="s">
        <v>963</v>
      </c>
      <c r="AL187" s="844" t="s">
        <v>818</v>
      </c>
      <c r="AM187" s="844" t="s">
        <v>53</v>
      </c>
      <c r="AN187" s="844" t="s">
        <v>4344</v>
      </c>
    </row>
    <row r="188" spans="1:40">
      <c r="A188" t="s">
        <v>6288</v>
      </c>
      <c r="B188" t="s">
        <v>929</v>
      </c>
      <c r="C188" t="s">
        <v>816</v>
      </c>
      <c r="D188" t="s">
        <v>4014</v>
      </c>
      <c r="F188" t="s">
        <v>4015</v>
      </c>
      <c r="M188" t="s">
        <v>4783</v>
      </c>
      <c r="N188" t="s">
        <v>946</v>
      </c>
      <c r="O188" t="s">
        <v>18</v>
      </c>
      <c r="P188" t="s">
        <v>4453</v>
      </c>
      <c r="T188" t="s">
        <v>929</v>
      </c>
      <c r="U188" t="s">
        <v>816</v>
      </c>
      <c r="V188" t="s">
        <v>18</v>
      </c>
      <c r="W188" t="s">
        <v>857</v>
      </c>
      <c r="AC188" t="s">
        <v>946</v>
      </c>
      <c r="AD188" t="s">
        <v>19</v>
      </c>
      <c r="AE188" t="s">
        <v>18</v>
      </c>
      <c r="AF188" t="s">
        <v>857</v>
      </c>
      <c r="AJ188" s="844" t="s">
        <v>6698</v>
      </c>
      <c r="AK188" s="844" t="s">
        <v>963</v>
      </c>
      <c r="AL188" s="844" t="s">
        <v>19</v>
      </c>
      <c r="AM188" s="844"/>
      <c r="AN188" s="844" t="s">
        <v>4142</v>
      </c>
    </row>
    <row r="189" spans="1:40">
      <c r="A189" t="s">
        <v>6287</v>
      </c>
      <c r="B189" t="s">
        <v>929</v>
      </c>
      <c r="C189" t="s">
        <v>816</v>
      </c>
      <c r="E189" t="s">
        <v>18</v>
      </c>
      <c r="F189" t="s">
        <v>4463</v>
      </c>
      <c r="M189" t="s">
        <v>4666</v>
      </c>
      <c r="N189" t="s">
        <v>947</v>
      </c>
      <c r="O189" t="s">
        <v>18</v>
      </c>
      <c r="P189" t="s">
        <v>4575</v>
      </c>
      <c r="T189" t="s">
        <v>929</v>
      </c>
      <c r="U189" t="s">
        <v>816</v>
      </c>
      <c r="V189" t="s">
        <v>857</v>
      </c>
      <c r="W189" t="s">
        <v>4014</v>
      </c>
      <c r="AC189" t="s">
        <v>946</v>
      </c>
      <c r="AD189" t="s">
        <v>2384</v>
      </c>
      <c r="AE189" t="s">
        <v>53</v>
      </c>
      <c r="AF189" t="s">
        <v>4446</v>
      </c>
      <c r="AJ189" s="844" t="s">
        <v>5085</v>
      </c>
      <c r="AK189" s="844" t="s">
        <v>963</v>
      </c>
      <c r="AL189" s="844" t="s">
        <v>2384</v>
      </c>
      <c r="AM189" s="844" t="s">
        <v>53</v>
      </c>
      <c r="AN189" s="844" t="s">
        <v>4076</v>
      </c>
    </row>
    <row r="190" spans="1:40">
      <c r="A190" t="s">
        <v>6287</v>
      </c>
      <c r="B190" t="s">
        <v>929</v>
      </c>
      <c r="C190" t="s">
        <v>816</v>
      </c>
      <c r="E190" t="s">
        <v>18</v>
      </c>
      <c r="F190" t="s">
        <v>4461</v>
      </c>
      <c r="M190" t="s">
        <v>4666</v>
      </c>
      <c r="N190" t="s">
        <v>947</v>
      </c>
      <c r="O190" t="s">
        <v>18</v>
      </c>
      <c r="P190" t="s">
        <v>4574</v>
      </c>
      <c r="T190" t="s">
        <v>929</v>
      </c>
      <c r="U190" t="s">
        <v>816</v>
      </c>
      <c r="V190" t="s">
        <v>18</v>
      </c>
      <c r="W190" t="s">
        <v>4014</v>
      </c>
      <c r="AC190" t="s">
        <v>946</v>
      </c>
      <c r="AD190" t="s">
        <v>2416</v>
      </c>
      <c r="AE190" t="s">
        <v>53</v>
      </c>
      <c r="AF190" t="s">
        <v>4125</v>
      </c>
      <c r="AJ190" s="844" t="s">
        <v>6699</v>
      </c>
      <c r="AK190" s="844" t="s">
        <v>963</v>
      </c>
      <c r="AL190" s="844" t="s">
        <v>2384</v>
      </c>
      <c r="AM190" s="844"/>
      <c r="AN190" s="844" t="s">
        <v>4076</v>
      </c>
    </row>
    <row r="191" spans="1:40">
      <c r="A191" t="s">
        <v>4948</v>
      </c>
      <c r="B191" t="s">
        <v>932</v>
      </c>
      <c r="C191" t="s">
        <v>818</v>
      </c>
      <c r="D191" t="s">
        <v>2900</v>
      </c>
      <c r="E191" t="s">
        <v>18</v>
      </c>
      <c r="F191" t="s">
        <v>4487</v>
      </c>
      <c r="M191" t="s">
        <v>4666</v>
      </c>
      <c r="N191" t="s">
        <v>947</v>
      </c>
      <c r="O191" t="s">
        <v>18</v>
      </c>
      <c r="P191" t="s">
        <v>4573</v>
      </c>
      <c r="T191" t="s">
        <v>932</v>
      </c>
      <c r="U191" t="s">
        <v>818</v>
      </c>
      <c r="V191" t="s">
        <v>18</v>
      </c>
      <c r="W191" t="s">
        <v>857</v>
      </c>
      <c r="AC191" t="s">
        <v>946</v>
      </c>
      <c r="AD191" t="s">
        <v>816</v>
      </c>
      <c r="AE191" t="s">
        <v>857</v>
      </c>
      <c r="AF191" t="s">
        <v>4125</v>
      </c>
      <c r="AJ191" s="844" t="s">
        <v>5087</v>
      </c>
      <c r="AK191" s="844" t="s">
        <v>963</v>
      </c>
      <c r="AL191" s="844" t="s">
        <v>816</v>
      </c>
      <c r="AM191" s="844" t="s">
        <v>53</v>
      </c>
      <c r="AN191" s="844" t="s">
        <v>4341</v>
      </c>
    </row>
    <row r="192" spans="1:40">
      <c r="A192" t="s">
        <v>4948</v>
      </c>
      <c r="B192" t="s">
        <v>932</v>
      </c>
      <c r="C192" t="s">
        <v>818</v>
      </c>
      <c r="D192" t="s">
        <v>2900</v>
      </c>
      <c r="E192" t="s">
        <v>18</v>
      </c>
      <c r="F192" t="s">
        <v>4483</v>
      </c>
      <c r="M192" t="s">
        <v>4666</v>
      </c>
      <c r="N192" t="s">
        <v>947</v>
      </c>
      <c r="O192" t="s">
        <v>18</v>
      </c>
      <c r="P192" t="s">
        <v>4572</v>
      </c>
      <c r="T192" t="s">
        <v>932</v>
      </c>
      <c r="U192" t="s">
        <v>818</v>
      </c>
      <c r="V192" t="s">
        <v>18</v>
      </c>
      <c r="W192" t="s">
        <v>857</v>
      </c>
      <c r="AC192" t="s">
        <v>946</v>
      </c>
      <c r="AD192" t="s">
        <v>816</v>
      </c>
      <c r="AE192" t="s">
        <v>53</v>
      </c>
      <c r="AF192" t="s">
        <v>857</v>
      </c>
      <c r="AJ192" s="844" t="s">
        <v>5070</v>
      </c>
      <c r="AK192" s="844" t="s">
        <v>964</v>
      </c>
      <c r="AL192" s="844" t="s">
        <v>818</v>
      </c>
      <c r="AM192" s="844" t="s">
        <v>18</v>
      </c>
      <c r="AN192" s="844" t="s">
        <v>2422</v>
      </c>
    </row>
    <row r="193" spans="1:40">
      <c r="A193" t="s">
        <v>6593</v>
      </c>
      <c r="B193" t="s">
        <v>932</v>
      </c>
      <c r="C193" t="s">
        <v>818</v>
      </c>
      <c r="D193" t="s">
        <v>2900</v>
      </c>
      <c r="F193" t="s">
        <v>4175</v>
      </c>
      <c r="M193" t="s">
        <v>4666</v>
      </c>
      <c r="N193" t="s">
        <v>947</v>
      </c>
      <c r="O193" t="s">
        <v>18</v>
      </c>
      <c r="P193" t="s">
        <v>4571</v>
      </c>
      <c r="T193" t="s">
        <v>932</v>
      </c>
      <c r="U193" t="s">
        <v>818</v>
      </c>
      <c r="V193" t="s">
        <v>18</v>
      </c>
      <c r="W193" t="s">
        <v>857</v>
      </c>
      <c r="AC193" t="s">
        <v>946</v>
      </c>
      <c r="AD193" t="s">
        <v>816</v>
      </c>
      <c r="AE193" t="s">
        <v>53</v>
      </c>
      <c r="AF193" t="s">
        <v>4125</v>
      </c>
      <c r="AJ193" s="844" t="s">
        <v>5070</v>
      </c>
      <c r="AK193" s="844" t="s">
        <v>964</v>
      </c>
      <c r="AL193" s="844" t="s">
        <v>818</v>
      </c>
      <c r="AM193" s="844" t="s">
        <v>18</v>
      </c>
      <c r="AN193" s="844" t="s">
        <v>4356</v>
      </c>
    </row>
    <row r="194" spans="1:40">
      <c r="A194" t="s">
        <v>6592</v>
      </c>
      <c r="B194" t="s">
        <v>932</v>
      </c>
      <c r="C194" t="s">
        <v>818</v>
      </c>
      <c r="E194" t="s">
        <v>18</v>
      </c>
      <c r="F194" t="s">
        <v>4495</v>
      </c>
      <c r="M194" t="s">
        <v>4666</v>
      </c>
      <c r="N194" t="s">
        <v>947</v>
      </c>
      <c r="O194" t="s">
        <v>18</v>
      </c>
      <c r="P194" t="s">
        <v>4570</v>
      </c>
      <c r="T194" t="s">
        <v>932</v>
      </c>
      <c r="U194" t="s">
        <v>818</v>
      </c>
      <c r="V194" t="s">
        <v>857</v>
      </c>
      <c r="W194" t="s">
        <v>2900</v>
      </c>
      <c r="AC194" t="s">
        <v>946</v>
      </c>
      <c r="AD194" t="s">
        <v>816</v>
      </c>
      <c r="AE194" t="s">
        <v>53</v>
      </c>
      <c r="AF194" t="s">
        <v>4147</v>
      </c>
      <c r="AJ194" s="844" t="s">
        <v>5070</v>
      </c>
      <c r="AK194" s="844" t="s">
        <v>964</v>
      </c>
      <c r="AL194" s="844" t="s">
        <v>818</v>
      </c>
      <c r="AM194" s="844" t="s">
        <v>18</v>
      </c>
      <c r="AN194" s="844" t="s">
        <v>4363</v>
      </c>
    </row>
    <row r="195" spans="1:40">
      <c r="A195" t="s">
        <v>6592</v>
      </c>
      <c r="B195" t="s">
        <v>932</v>
      </c>
      <c r="C195" t="s">
        <v>818</v>
      </c>
      <c r="E195" t="s">
        <v>18</v>
      </c>
      <c r="F195" t="s">
        <v>4492</v>
      </c>
      <c r="M195" t="s">
        <v>4666</v>
      </c>
      <c r="N195" t="s">
        <v>947</v>
      </c>
      <c r="O195" t="s">
        <v>18</v>
      </c>
      <c r="P195" t="s">
        <v>4569</v>
      </c>
      <c r="T195" t="s">
        <v>932</v>
      </c>
      <c r="U195" t="s">
        <v>818</v>
      </c>
      <c r="V195" t="s">
        <v>18</v>
      </c>
      <c r="W195" t="s">
        <v>2900</v>
      </c>
      <c r="AC195" t="s">
        <v>946</v>
      </c>
      <c r="AD195" t="s">
        <v>816</v>
      </c>
      <c r="AE195" t="s">
        <v>18</v>
      </c>
      <c r="AF195" t="s">
        <v>857</v>
      </c>
      <c r="AJ195" s="844" t="s">
        <v>5074</v>
      </c>
      <c r="AK195" s="844" t="s">
        <v>964</v>
      </c>
      <c r="AL195" s="844" t="s">
        <v>19</v>
      </c>
      <c r="AM195" s="844" t="s">
        <v>18</v>
      </c>
      <c r="AN195" s="844" t="s">
        <v>2422</v>
      </c>
    </row>
    <row r="196" spans="1:40">
      <c r="A196" t="s">
        <v>6592</v>
      </c>
      <c r="B196" t="s">
        <v>932</v>
      </c>
      <c r="C196" t="s">
        <v>818</v>
      </c>
      <c r="E196" t="s">
        <v>18</v>
      </c>
      <c r="F196" t="s">
        <v>4489</v>
      </c>
      <c r="M196" t="s">
        <v>4666</v>
      </c>
      <c r="N196" t="s">
        <v>947</v>
      </c>
      <c r="O196" t="s">
        <v>18</v>
      </c>
      <c r="P196" t="s">
        <v>4568</v>
      </c>
      <c r="T196" t="s">
        <v>932</v>
      </c>
      <c r="U196" t="s">
        <v>818</v>
      </c>
      <c r="V196" t="s">
        <v>18</v>
      </c>
      <c r="W196" t="s">
        <v>2900</v>
      </c>
      <c r="AC196" t="s">
        <v>947</v>
      </c>
      <c r="AD196" t="s">
        <v>818</v>
      </c>
      <c r="AE196" t="s">
        <v>857</v>
      </c>
      <c r="AF196" t="s">
        <v>2366</v>
      </c>
      <c r="AJ196" s="844" t="s">
        <v>5074</v>
      </c>
      <c r="AK196" s="844" t="s">
        <v>964</v>
      </c>
      <c r="AL196" s="844" t="s">
        <v>19</v>
      </c>
      <c r="AM196" s="844" t="s">
        <v>18</v>
      </c>
      <c r="AN196" s="844" t="s">
        <v>2581</v>
      </c>
    </row>
    <row r="197" spans="1:40">
      <c r="A197" t="s">
        <v>4950</v>
      </c>
      <c r="B197" t="s">
        <v>932</v>
      </c>
      <c r="C197" t="s">
        <v>19</v>
      </c>
      <c r="D197" t="s">
        <v>2366</v>
      </c>
      <c r="E197" t="s">
        <v>18</v>
      </c>
      <c r="F197" t="s">
        <v>4488</v>
      </c>
      <c r="M197" t="s">
        <v>4666</v>
      </c>
      <c r="N197" t="s">
        <v>947</v>
      </c>
      <c r="O197" t="s">
        <v>18</v>
      </c>
      <c r="P197" t="s">
        <v>4567</v>
      </c>
      <c r="T197" t="s">
        <v>932</v>
      </c>
      <c r="U197" t="s">
        <v>19</v>
      </c>
      <c r="V197" t="s">
        <v>18</v>
      </c>
      <c r="W197" t="s">
        <v>857</v>
      </c>
      <c r="AC197" t="s">
        <v>947</v>
      </c>
      <c r="AD197" t="s">
        <v>818</v>
      </c>
      <c r="AE197" t="s">
        <v>18</v>
      </c>
      <c r="AF197" t="s">
        <v>857</v>
      </c>
      <c r="AJ197" s="844" t="s">
        <v>5074</v>
      </c>
      <c r="AK197" s="844" t="s">
        <v>964</v>
      </c>
      <c r="AL197" s="844" t="s">
        <v>19</v>
      </c>
      <c r="AM197" s="844" t="s">
        <v>18</v>
      </c>
      <c r="AN197" s="844" t="s">
        <v>4356</v>
      </c>
    </row>
    <row r="198" spans="1:40">
      <c r="A198" t="s">
        <v>4950</v>
      </c>
      <c r="B198" t="s">
        <v>932</v>
      </c>
      <c r="C198" t="s">
        <v>19</v>
      </c>
      <c r="D198" t="s">
        <v>2366</v>
      </c>
      <c r="E198" t="s">
        <v>18</v>
      </c>
      <c r="F198" t="s">
        <v>4482</v>
      </c>
      <c r="M198" t="s">
        <v>4666</v>
      </c>
      <c r="N198" t="s">
        <v>947</v>
      </c>
      <c r="O198" t="s">
        <v>18</v>
      </c>
      <c r="P198" t="s">
        <v>4566</v>
      </c>
      <c r="T198" t="s">
        <v>932</v>
      </c>
      <c r="U198" t="s">
        <v>19</v>
      </c>
      <c r="V198" t="s">
        <v>18</v>
      </c>
      <c r="W198" t="s">
        <v>857</v>
      </c>
      <c r="AC198" t="s">
        <v>947</v>
      </c>
      <c r="AD198" t="s">
        <v>818</v>
      </c>
      <c r="AE198" t="s">
        <v>18</v>
      </c>
      <c r="AF198" t="s">
        <v>4559</v>
      </c>
      <c r="AJ198" s="844" t="s">
        <v>6700</v>
      </c>
      <c r="AK198" s="844" t="s">
        <v>964</v>
      </c>
      <c r="AL198" s="844" t="s">
        <v>19</v>
      </c>
      <c r="AM198" s="844"/>
      <c r="AN198" s="844" t="s">
        <v>2422</v>
      </c>
    </row>
    <row r="199" spans="1:40">
      <c r="A199" t="s">
        <v>6595</v>
      </c>
      <c r="B199" t="s">
        <v>932</v>
      </c>
      <c r="C199" t="s">
        <v>19</v>
      </c>
      <c r="D199" t="s">
        <v>2366</v>
      </c>
      <c r="F199" t="s">
        <v>4173</v>
      </c>
      <c r="M199" t="s">
        <v>4666</v>
      </c>
      <c r="N199" t="s">
        <v>947</v>
      </c>
      <c r="O199" t="s">
        <v>18</v>
      </c>
      <c r="P199" t="s">
        <v>4565</v>
      </c>
      <c r="T199" t="s">
        <v>932</v>
      </c>
      <c r="U199" t="s">
        <v>19</v>
      </c>
      <c r="V199" t="s">
        <v>857</v>
      </c>
      <c r="W199" t="s">
        <v>2366</v>
      </c>
      <c r="AC199" t="s">
        <v>947</v>
      </c>
      <c r="AD199" t="s">
        <v>818</v>
      </c>
      <c r="AE199" t="s">
        <v>18</v>
      </c>
      <c r="AF199" t="s">
        <v>4469</v>
      </c>
      <c r="AJ199" s="844" t="s">
        <v>6701</v>
      </c>
      <c r="AK199" s="844" t="s">
        <v>964</v>
      </c>
      <c r="AL199" s="844" t="s">
        <v>2384</v>
      </c>
      <c r="AM199" s="844"/>
      <c r="AN199" s="844" t="s">
        <v>2422</v>
      </c>
    </row>
    <row r="200" spans="1:40">
      <c r="A200" t="s">
        <v>6594</v>
      </c>
      <c r="B200" t="s">
        <v>932</v>
      </c>
      <c r="C200" t="s">
        <v>19</v>
      </c>
      <c r="E200" t="s">
        <v>18</v>
      </c>
      <c r="F200" t="s">
        <v>4494</v>
      </c>
      <c r="M200" t="s">
        <v>4666</v>
      </c>
      <c r="N200" t="s">
        <v>947</v>
      </c>
      <c r="O200" t="s">
        <v>18</v>
      </c>
      <c r="P200" t="s">
        <v>4564</v>
      </c>
      <c r="T200" t="s">
        <v>932</v>
      </c>
      <c r="U200" t="s">
        <v>19</v>
      </c>
      <c r="V200" t="s">
        <v>18</v>
      </c>
      <c r="W200" t="s">
        <v>2366</v>
      </c>
      <c r="AC200" t="s">
        <v>947</v>
      </c>
      <c r="AD200" t="s">
        <v>818</v>
      </c>
      <c r="AE200" t="s">
        <v>18</v>
      </c>
      <c r="AF200" t="s">
        <v>4467</v>
      </c>
      <c r="AJ200" s="844" t="s">
        <v>6701</v>
      </c>
      <c r="AK200" s="844" t="s">
        <v>964</v>
      </c>
      <c r="AL200" s="844" t="s">
        <v>2384</v>
      </c>
      <c r="AM200" s="844"/>
      <c r="AN200" s="844" t="s">
        <v>4363</v>
      </c>
    </row>
    <row r="201" spans="1:40">
      <c r="A201" t="s">
        <v>6594</v>
      </c>
      <c r="B201" t="s">
        <v>932</v>
      </c>
      <c r="C201" t="s">
        <v>19</v>
      </c>
      <c r="E201" t="s">
        <v>18</v>
      </c>
      <c r="F201" t="s">
        <v>4491</v>
      </c>
      <c r="M201" t="s">
        <v>4666</v>
      </c>
      <c r="N201" t="s">
        <v>947</v>
      </c>
      <c r="O201" t="s">
        <v>18</v>
      </c>
      <c r="P201" t="s">
        <v>4563</v>
      </c>
      <c r="T201" t="s">
        <v>932</v>
      </c>
      <c r="U201" t="s">
        <v>19</v>
      </c>
      <c r="V201" t="s">
        <v>18</v>
      </c>
      <c r="W201" t="s">
        <v>2366</v>
      </c>
      <c r="AC201" t="s">
        <v>947</v>
      </c>
      <c r="AD201" t="s">
        <v>19</v>
      </c>
      <c r="AE201" t="s">
        <v>857</v>
      </c>
      <c r="AF201" t="s">
        <v>857</v>
      </c>
      <c r="AJ201" s="844" t="s">
        <v>5077</v>
      </c>
      <c r="AK201" s="844" t="s">
        <v>964</v>
      </c>
      <c r="AL201" s="844" t="s">
        <v>2416</v>
      </c>
      <c r="AM201" s="844" t="s">
        <v>18</v>
      </c>
      <c r="AN201" s="844" t="s">
        <v>2422</v>
      </c>
    </row>
    <row r="202" spans="1:40">
      <c r="A202" t="s">
        <v>6503</v>
      </c>
      <c r="B202" t="s">
        <v>932</v>
      </c>
      <c r="C202" t="s">
        <v>816</v>
      </c>
      <c r="D202" t="s">
        <v>4484</v>
      </c>
      <c r="E202" t="s">
        <v>18</v>
      </c>
      <c r="F202" t="s">
        <v>4485</v>
      </c>
      <c r="M202" t="s">
        <v>4666</v>
      </c>
      <c r="N202" t="s">
        <v>947</v>
      </c>
      <c r="O202" t="s">
        <v>18</v>
      </c>
      <c r="P202" t="s">
        <v>4474</v>
      </c>
      <c r="T202" t="s">
        <v>932</v>
      </c>
      <c r="U202" t="s">
        <v>816</v>
      </c>
      <c r="V202" t="s">
        <v>18</v>
      </c>
      <c r="W202" t="s">
        <v>857</v>
      </c>
      <c r="AC202" t="s">
        <v>947</v>
      </c>
      <c r="AD202" t="s">
        <v>19</v>
      </c>
      <c r="AE202" t="s">
        <v>18</v>
      </c>
      <c r="AF202" t="s">
        <v>857</v>
      </c>
      <c r="AJ202" s="844" t="s">
        <v>5080</v>
      </c>
      <c r="AK202" s="844" t="s">
        <v>964</v>
      </c>
      <c r="AL202" s="844" t="s">
        <v>816</v>
      </c>
      <c r="AM202" s="844" t="s">
        <v>18</v>
      </c>
      <c r="AN202" s="844" t="s">
        <v>2425</v>
      </c>
    </row>
    <row r="203" spans="1:40">
      <c r="A203" t="s">
        <v>4952</v>
      </c>
      <c r="B203" t="s">
        <v>932</v>
      </c>
      <c r="C203" t="s">
        <v>816</v>
      </c>
      <c r="D203" t="s">
        <v>2366</v>
      </c>
      <c r="E203" t="s">
        <v>18</v>
      </c>
      <c r="F203" t="s">
        <v>4480</v>
      </c>
      <c r="M203" t="s">
        <v>4666</v>
      </c>
      <c r="N203" t="s">
        <v>947</v>
      </c>
      <c r="O203" t="s">
        <v>18</v>
      </c>
      <c r="P203" t="s">
        <v>4473</v>
      </c>
      <c r="T203" t="s">
        <v>932</v>
      </c>
      <c r="U203" t="s">
        <v>816</v>
      </c>
      <c r="V203" t="s">
        <v>18</v>
      </c>
      <c r="W203" t="s">
        <v>857</v>
      </c>
      <c r="AC203" t="s">
        <v>947</v>
      </c>
      <c r="AD203" t="s">
        <v>19</v>
      </c>
      <c r="AE203" t="s">
        <v>18</v>
      </c>
      <c r="AF203" t="s">
        <v>4465</v>
      </c>
      <c r="AJ203" s="844" t="s">
        <v>5080</v>
      </c>
      <c r="AK203" s="844" t="s">
        <v>964</v>
      </c>
      <c r="AL203" s="844" t="s">
        <v>816</v>
      </c>
      <c r="AM203" s="844" t="s">
        <v>18</v>
      </c>
      <c r="AN203" s="844" t="s">
        <v>2422</v>
      </c>
    </row>
    <row r="204" spans="1:40">
      <c r="A204" t="s">
        <v>6597</v>
      </c>
      <c r="B204" t="s">
        <v>932</v>
      </c>
      <c r="C204" t="s">
        <v>816</v>
      </c>
      <c r="D204" t="s">
        <v>2366</v>
      </c>
      <c r="F204" t="s">
        <v>4174</v>
      </c>
      <c r="M204" t="s">
        <v>4666</v>
      </c>
      <c r="N204" t="s">
        <v>947</v>
      </c>
      <c r="O204" t="s">
        <v>18</v>
      </c>
      <c r="P204" t="s">
        <v>4471</v>
      </c>
      <c r="T204" t="s">
        <v>932</v>
      </c>
      <c r="U204" t="s">
        <v>816</v>
      </c>
      <c r="V204" t="s">
        <v>18</v>
      </c>
      <c r="W204" t="s">
        <v>857</v>
      </c>
      <c r="AC204" t="s">
        <v>947</v>
      </c>
      <c r="AD204" t="s">
        <v>19</v>
      </c>
      <c r="AE204" t="s">
        <v>18</v>
      </c>
      <c r="AF204" t="s">
        <v>4559</v>
      </c>
      <c r="AJ204" s="844" t="s">
        <v>5091</v>
      </c>
      <c r="AK204" s="844" t="s">
        <v>965</v>
      </c>
      <c r="AL204" s="844" t="s">
        <v>818</v>
      </c>
      <c r="AM204" s="844" t="s">
        <v>18</v>
      </c>
      <c r="AN204" s="844" t="s">
        <v>2900</v>
      </c>
    </row>
    <row r="205" spans="1:40">
      <c r="A205" t="s">
        <v>6596</v>
      </c>
      <c r="B205" t="s">
        <v>932</v>
      </c>
      <c r="C205" t="s">
        <v>816</v>
      </c>
      <c r="E205" t="s">
        <v>18</v>
      </c>
      <c r="F205" t="s">
        <v>4493</v>
      </c>
      <c r="M205" t="s">
        <v>4666</v>
      </c>
      <c r="N205" t="s">
        <v>947</v>
      </c>
      <c r="O205" t="s">
        <v>18</v>
      </c>
      <c r="P205" t="s">
        <v>4470</v>
      </c>
      <c r="T205" t="s">
        <v>932</v>
      </c>
      <c r="U205" t="s">
        <v>816</v>
      </c>
      <c r="V205" t="s">
        <v>18</v>
      </c>
      <c r="W205" t="s">
        <v>857</v>
      </c>
      <c r="AC205" t="s">
        <v>947</v>
      </c>
      <c r="AD205" t="s">
        <v>19</v>
      </c>
      <c r="AE205" t="s">
        <v>18</v>
      </c>
      <c r="AF205" t="s">
        <v>4467</v>
      </c>
      <c r="AJ205" s="844" t="s">
        <v>6702</v>
      </c>
      <c r="AK205" s="844" t="s">
        <v>965</v>
      </c>
      <c r="AL205" s="844" t="s">
        <v>818</v>
      </c>
      <c r="AM205" s="844"/>
      <c r="AN205" s="844" t="s">
        <v>2900</v>
      </c>
    </row>
    <row r="206" spans="1:40">
      <c r="A206" t="s">
        <v>6596</v>
      </c>
      <c r="B206" t="s">
        <v>932</v>
      </c>
      <c r="C206" t="s">
        <v>816</v>
      </c>
      <c r="E206" t="s">
        <v>18</v>
      </c>
      <c r="F206" t="s">
        <v>4490</v>
      </c>
      <c r="M206" t="s">
        <v>4666</v>
      </c>
      <c r="N206" t="s">
        <v>947</v>
      </c>
      <c r="O206" t="s">
        <v>18</v>
      </c>
      <c r="P206" t="s">
        <v>4468</v>
      </c>
      <c r="T206" t="s">
        <v>932</v>
      </c>
      <c r="U206" t="s">
        <v>816</v>
      </c>
      <c r="V206" t="s">
        <v>18</v>
      </c>
      <c r="W206" t="s">
        <v>4484</v>
      </c>
      <c r="AC206" t="s">
        <v>947</v>
      </c>
      <c r="AD206" t="s">
        <v>19</v>
      </c>
      <c r="AE206" t="s">
        <v>18</v>
      </c>
      <c r="AF206" t="s">
        <v>2366</v>
      </c>
      <c r="AJ206" s="844" t="s">
        <v>4989</v>
      </c>
      <c r="AK206" s="844" t="s">
        <v>966</v>
      </c>
      <c r="AL206" s="844" t="s">
        <v>818</v>
      </c>
      <c r="AM206" s="844" t="s">
        <v>53</v>
      </c>
      <c r="AN206" s="844" t="s">
        <v>4387</v>
      </c>
    </row>
    <row r="207" spans="1:40">
      <c r="A207" t="s">
        <v>6596</v>
      </c>
      <c r="B207" t="s">
        <v>932</v>
      </c>
      <c r="C207" t="s">
        <v>816</v>
      </c>
      <c r="E207" t="s">
        <v>18</v>
      </c>
      <c r="F207" t="s">
        <v>4486</v>
      </c>
      <c r="M207" t="s">
        <v>4666</v>
      </c>
      <c r="N207" t="s">
        <v>947</v>
      </c>
      <c r="O207" t="s">
        <v>18</v>
      </c>
      <c r="P207" t="s">
        <v>4466</v>
      </c>
      <c r="T207" t="s">
        <v>932</v>
      </c>
      <c r="U207" t="s">
        <v>816</v>
      </c>
      <c r="V207" t="s">
        <v>857</v>
      </c>
      <c r="W207" t="s">
        <v>2366</v>
      </c>
      <c r="AC207" t="s">
        <v>947</v>
      </c>
      <c r="AD207" t="s">
        <v>2384</v>
      </c>
      <c r="AE207" t="s">
        <v>857</v>
      </c>
      <c r="AF207" t="s">
        <v>857</v>
      </c>
      <c r="AJ207" s="844" t="s">
        <v>4989</v>
      </c>
      <c r="AK207" s="844" t="s">
        <v>966</v>
      </c>
      <c r="AL207" s="844" t="s">
        <v>818</v>
      </c>
      <c r="AM207" s="844" t="s">
        <v>53</v>
      </c>
      <c r="AN207" s="844" t="s">
        <v>4396</v>
      </c>
    </row>
    <row r="208" spans="1:40">
      <c r="A208" t="s">
        <v>6596</v>
      </c>
      <c r="B208" t="s">
        <v>932</v>
      </c>
      <c r="C208" t="s">
        <v>816</v>
      </c>
      <c r="E208" t="s">
        <v>18</v>
      </c>
      <c r="F208" t="s">
        <v>4481</v>
      </c>
      <c r="M208" t="s">
        <v>4784</v>
      </c>
      <c r="N208" t="s">
        <v>4090</v>
      </c>
      <c r="O208" t="s">
        <v>53</v>
      </c>
      <c r="P208" t="s">
        <v>4322</v>
      </c>
      <c r="T208" t="s">
        <v>932</v>
      </c>
      <c r="U208" t="s">
        <v>816</v>
      </c>
      <c r="V208" t="s">
        <v>18</v>
      </c>
      <c r="W208" t="s">
        <v>2366</v>
      </c>
      <c r="AC208" t="s">
        <v>947</v>
      </c>
      <c r="AD208" t="s">
        <v>2384</v>
      </c>
      <c r="AE208" t="s">
        <v>857</v>
      </c>
      <c r="AF208" t="s">
        <v>4559</v>
      </c>
      <c r="AJ208" s="844" t="s">
        <v>6703</v>
      </c>
      <c r="AK208" s="844" t="s">
        <v>966</v>
      </c>
      <c r="AL208" s="844" t="s">
        <v>818</v>
      </c>
      <c r="AM208" s="844"/>
      <c r="AN208" s="844" t="s">
        <v>4023</v>
      </c>
    </row>
    <row r="209" spans="1:40">
      <c r="A209" t="s">
        <v>4955</v>
      </c>
      <c r="B209" t="s">
        <v>935</v>
      </c>
      <c r="C209" t="s">
        <v>818</v>
      </c>
      <c r="D209" t="s">
        <v>2366</v>
      </c>
      <c r="E209" t="s">
        <v>53</v>
      </c>
      <c r="F209" t="s">
        <v>4507</v>
      </c>
      <c r="M209" t="s">
        <v>4784</v>
      </c>
      <c r="N209" t="s">
        <v>4090</v>
      </c>
      <c r="O209" t="s">
        <v>53</v>
      </c>
      <c r="P209" t="s">
        <v>4318</v>
      </c>
      <c r="T209" t="s">
        <v>935</v>
      </c>
      <c r="U209" t="s">
        <v>818</v>
      </c>
      <c r="V209" t="s">
        <v>18</v>
      </c>
      <c r="W209" t="s">
        <v>857</v>
      </c>
      <c r="AC209" t="s">
        <v>947</v>
      </c>
      <c r="AD209" t="s">
        <v>2384</v>
      </c>
      <c r="AE209" t="s">
        <v>857</v>
      </c>
      <c r="AF209" t="s">
        <v>4561</v>
      </c>
      <c r="AJ209" s="844" t="s">
        <v>4992</v>
      </c>
      <c r="AK209" s="844" t="s">
        <v>966</v>
      </c>
      <c r="AL209" s="844" t="s">
        <v>19</v>
      </c>
      <c r="AM209" s="844" t="s">
        <v>53</v>
      </c>
      <c r="AN209" s="844" t="s">
        <v>4275</v>
      </c>
    </row>
    <row r="210" spans="1:40">
      <c r="A210" t="s">
        <v>6289</v>
      </c>
      <c r="B210" t="s">
        <v>935</v>
      </c>
      <c r="C210" t="s">
        <v>818</v>
      </c>
      <c r="E210" t="s">
        <v>18</v>
      </c>
      <c r="F210" t="s">
        <v>4509</v>
      </c>
      <c r="M210" t="s">
        <v>4784</v>
      </c>
      <c r="N210" t="s">
        <v>4090</v>
      </c>
      <c r="O210" t="s">
        <v>53</v>
      </c>
      <c r="P210" t="s">
        <v>4317</v>
      </c>
      <c r="T210" t="s">
        <v>935</v>
      </c>
      <c r="U210" t="s">
        <v>818</v>
      </c>
      <c r="V210" t="s">
        <v>53</v>
      </c>
      <c r="W210" t="s">
        <v>2366</v>
      </c>
      <c r="AC210" t="s">
        <v>947</v>
      </c>
      <c r="AD210" t="s">
        <v>2384</v>
      </c>
      <c r="AE210" t="s">
        <v>18</v>
      </c>
      <c r="AF210" t="s">
        <v>4561</v>
      </c>
      <c r="AJ210" s="844" t="s">
        <v>4992</v>
      </c>
      <c r="AK210" s="844" t="s">
        <v>966</v>
      </c>
      <c r="AL210" s="844" t="s">
        <v>19</v>
      </c>
      <c r="AM210" s="844" t="s">
        <v>53</v>
      </c>
      <c r="AN210" s="844" t="s">
        <v>4023</v>
      </c>
    </row>
    <row r="211" spans="1:40">
      <c r="A211" t="s">
        <v>4956</v>
      </c>
      <c r="B211" t="s">
        <v>935</v>
      </c>
      <c r="C211" t="s">
        <v>816</v>
      </c>
      <c r="D211" t="s">
        <v>2366</v>
      </c>
      <c r="E211" t="s">
        <v>18</v>
      </c>
      <c r="F211" t="s">
        <v>4506</v>
      </c>
      <c r="M211" t="s">
        <v>4784</v>
      </c>
      <c r="N211" t="s">
        <v>4090</v>
      </c>
      <c r="O211" t="s">
        <v>53</v>
      </c>
      <c r="P211" t="s">
        <v>4316</v>
      </c>
      <c r="T211" t="s">
        <v>935</v>
      </c>
      <c r="U211" t="s">
        <v>816</v>
      </c>
      <c r="V211" t="s">
        <v>18</v>
      </c>
      <c r="W211" t="s">
        <v>857</v>
      </c>
      <c r="AC211" t="s">
        <v>947</v>
      </c>
      <c r="AD211" t="s">
        <v>2384</v>
      </c>
      <c r="AE211" t="s">
        <v>18</v>
      </c>
      <c r="AF211" t="s">
        <v>2366</v>
      </c>
      <c r="AJ211" s="844" t="s">
        <v>4992</v>
      </c>
      <c r="AK211" s="844" t="s">
        <v>966</v>
      </c>
      <c r="AL211" s="844" t="s">
        <v>19</v>
      </c>
      <c r="AM211" s="844" t="s">
        <v>53</v>
      </c>
      <c r="AN211" s="844" t="s">
        <v>4398</v>
      </c>
    </row>
    <row r="212" spans="1:40">
      <c r="A212" t="s">
        <v>6290</v>
      </c>
      <c r="B212" t="s">
        <v>935</v>
      </c>
      <c r="C212" t="s">
        <v>816</v>
      </c>
      <c r="E212" t="s">
        <v>18</v>
      </c>
      <c r="F212" t="s">
        <v>4508</v>
      </c>
      <c r="M212" t="s">
        <v>4785</v>
      </c>
      <c r="N212" t="s">
        <v>4090</v>
      </c>
      <c r="O212" t="s">
        <v>18</v>
      </c>
      <c r="P212" t="s">
        <v>4321</v>
      </c>
      <c r="T212" t="s">
        <v>935</v>
      </c>
      <c r="U212" t="s">
        <v>816</v>
      </c>
      <c r="V212" t="s">
        <v>18</v>
      </c>
      <c r="W212" t="s">
        <v>2366</v>
      </c>
      <c r="AC212" t="s">
        <v>947</v>
      </c>
      <c r="AD212" t="s">
        <v>816</v>
      </c>
      <c r="AE212" t="s">
        <v>18</v>
      </c>
      <c r="AF212" t="s">
        <v>857</v>
      </c>
      <c r="AJ212" s="844" t="s">
        <v>4992</v>
      </c>
      <c r="AK212" s="844" t="s">
        <v>966</v>
      </c>
      <c r="AL212" s="844" t="s">
        <v>19</v>
      </c>
      <c r="AM212" s="844" t="s">
        <v>53</v>
      </c>
      <c r="AN212" s="844" t="s">
        <v>2559</v>
      </c>
    </row>
    <row r="213" spans="1:40">
      <c r="A213" t="s">
        <v>6291</v>
      </c>
      <c r="B213" t="s">
        <v>938</v>
      </c>
      <c r="C213" t="s">
        <v>818</v>
      </c>
      <c r="E213" t="s">
        <v>18</v>
      </c>
      <c r="F213" t="s">
        <v>4444</v>
      </c>
      <c r="M213" t="s">
        <v>4785</v>
      </c>
      <c r="N213" t="s">
        <v>4090</v>
      </c>
      <c r="O213" t="s">
        <v>18</v>
      </c>
      <c r="P213" t="s">
        <v>4320</v>
      </c>
      <c r="T213" t="s">
        <v>938</v>
      </c>
      <c r="U213" t="s">
        <v>818</v>
      </c>
      <c r="V213" t="s">
        <v>18</v>
      </c>
      <c r="W213" t="s">
        <v>857</v>
      </c>
      <c r="AC213" t="s">
        <v>947</v>
      </c>
      <c r="AD213" t="s">
        <v>816</v>
      </c>
      <c r="AE213" t="s">
        <v>18</v>
      </c>
      <c r="AF213" t="s">
        <v>4559</v>
      </c>
      <c r="AJ213" s="844" t="s">
        <v>6704</v>
      </c>
      <c r="AK213" s="844" t="s">
        <v>966</v>
      </c>
      <c r="AL213" s="844" t="s">
        <v>19</v>
      </c>
      <c r="AM213" s="844"/>
      <c r="AN213" s="844" t="s">
        <v>4023</v>
      </c>
    </row>
    <row r="214" spans="1:40">
      <c r="A214" t="s">
        <v>4958</v>
      </c>
      <c r="B214" t="s">
        <v>938</v>
      </c>
      <c r="C214" t="s">
        <v>19</v>
      </c>
      <c r="D214" t="s">
        <v>4121</v>
      </c>
      <c r="E214" t="s">
        <v>18</v>
      </c>
      <c r="F214" t="s">
        <v>4441</v>
      </c>
      <c r="M214" t="s">
        <v>4667</v>
      </c>
      <c r="N214" t="s">
        <v>949</v>
      </c>
      <c r="O214" t="s">
        <v>18</v>
      </c>
      <c r="P214" t="s">
        <v>4425</v>
      </c>
      <c r="T214" t="s">
        <v>938</v>
      </c>
      <c r="U214" t="s">
        <v>19</v>
      </c>
      <c r="V214" t="s">
        <v>857</v>
      </c>
      <c r="W214" t="s">
        <v>4121</v>
      </c>
      <c r="AC214" t="s">
        <v>947</v>
      </c>
      <c r="AD214" t="s">
        <v>816</v>
      </c>
      <c r="AE214" t="s">
        <v>18</v>
      </c>
      <c r="AF214" t="s">
        <v>4472</v>
      </c>
      <c r="AJ214" s="844" t="s">
        <v>4998</v>
      </c>
      <c r="AK214" s="844" t="s">
        <v>966</v>
      </c>
      <c r="AL214" s="844" t="s">
        <v>816</v>
      </c>
      <c r="AM214" s="844" t="s">
        <v>53</v>
      </c>
      <c r="AN214" s="844" t="s">
        <v>4387</v>
      </c>
    </row>
    <row r="215" spans="1:40">
      <c r="A215" t="s">
        <v>6292</v>
      </c>
      <c r="B215" t="s">
        <v>938</v>
      </c>
      <c r="C215" t="s">
        <v>19</v>
      </c>
      <c r="D215" t="s">
        <v>4121</v>
      </c>
      <c r="F215" t="s">
        <v>4122</v>
      </c>
      <c r="M215" t="s">
        <v>4667</v>
      </c>
      <c r="N215" t="s">
        <v>949</v>
      </c>
      <c r="O215" t="s">
        <v>18</v>
      </c>
      <c r="P215" t="s">
        <v>4424</v>
      </c>
      <c r="T215" t="s">
        <v>938</v>
      </c>
      <c r="U215" t="s">
        <v>19</v>
      </c>
      <c r="V215" t="s">
        <v>18</v>
      </c>
      <c r="W215" t="s">
        <v>4121</v>
      </c>
      <c r="AC215" t="s">
        <v>947</v>
      </c>
      <c r="AD215" t="s">
        <v>4638</v>
      </c>
      <c r="AE215" t="s">
        <v>857</v>
      </c>
      <c r="AF215" t="s">
        <v>2366</v>
      </c>
      <c r="AJ215" s="844" t="s">
        <v>4998</v>
      </c>
      <c r="AK215" s="844" t="s">
        <v>966</v>
      </c>
      <c r="AL215" s="844" t="s">
        <v>816</v>
      </c>
      <c r="AM215" s="844" t="s">
        <v>53</v>
      </c>
      <c r="AN215" s="844" t="s">
        <v>4389</v>
      </c>
    </row>
    <row r="216" spans="1:40">
      <c r="A216" t="s">
        <v>4960</v>
      </c>
      <c r="B216" t="s">
        <v>938</v>
      </c>
      <c r="C216" t="s">
        <v>2384</v>
      </c>
      <c r="D216" t="s">
        <v>4007</v>
      </c>
      <c r="E216" t="s">
        <v>18</v>
      </c>
      <c r="F216" t="s">
        <v>4443</v>
      </c>
      <c r="M216" t="s">
        <v>4667</v>
      </c>
      <c r="N216" t="s">
        <v>949</v>
      </c>
      <c r="O216" t="s">
        <v>18</v>
      </c>
      <c r="P216" t="s">
        <v>3435</v>
      </c>
      <c r="T216" t="s">
        <v>938</v>
      </c>
      <c r="U216" t="s">
        <v>2384</v>
      </c>
      <c r="V216" t="s">
        <v>857</v>
      </c>
      <c r="W216" t="s">
        <v>4007</v>
      </c>
      <c r="AC216" t="s">
        <v>4090</v>
      </c>
      <c r="AD216" t="s">
        <v>818</v>
      </c>
      <c r="AE216" t="s">
        <v>18</v>
      </c>
      <c r="AF216" t="s">
        <v>4319</v>
      </c>
      <c r="AJ216" s="844" t="s">
        <v>4998</v>
      </c>
      <c r="AK216" s="844" t="s">
        <v>966</v>
      </c>
      <c r="AL216" s="844" t="s">
        <v>816</v>
      </c>
      <c r="AM216" s="844" t="s">
        <v>53</v>
      </c>
      <c r="AN216" s="844" t="s">
        <v>4023</v>
      </c>
    </row>
    <row r="217" spans="1:40">
      <c r="A217" t="s">
        <v>6293</v>
      </c>
      <c r="B217" t="s">
        <v>938</v>
      </c>
      <c r="C217" t="s">
        <v>2384</v>
      </c>
      <c r="D217" t="s">
        <v>4007</v>
      </c>
      <c r="F217" t="s">
        <v>4008</v>
      </c>
      <c r="M217" t="s">
        <v>4667</v>
      </c>
      <c r="N217" t="s">
        <v>949</v>
      </c>
      <c r="O217" t="s">
        <v>18</v>
      </c>
      <c r="P217" t="s">
        <v>3434</v>
      </c>
      <c r="T217" t="s">
        <v>938</v>
      </c>
      <c r="U217" t="s">
        <v>2384</v>
      </c>
      <c r="V217" t="s">
        <v>18</v>
      </c>
      <c r="W217" t="s">
        <v>4007</v>
      </c>
      <c r="AC217" t="s">
        <v>4090</v>
      </c>
      <c r="AD217" t="s">
        <v>818</v>
      </c>
      <c r="AE217" t="s">
        <v>18</v>
      </c>
      <c r="AF217" t="s">
        <v>4089</v>
      </c>
      <c r="AJ217" s="844" t="s">
        <v>6705</v>
      </c>
      <c r="AK217" s="844" t="s">
        <v>966</v>
      </c>
      <c r="AL217" s="844" t="s">
        <v>816</v>
      </c>
      <c r="AM217" s="844"/>
      <c r="AN217" s="844" t="s">
        <v>4023</v>
      </c>
    </row>
    <row r="218" spans="1:40">
      <c r="A218" t="s">
        <v>4961</v>
      </c>
      <c r="B218" t="s">
        <v>938</v>
      </c>
      <c r="C218" t="s">
        <v>2384</v>
      </c>
      <c r="D218" t="s">
        <v>4121</v>
      </c>
      <c r="E218" t="s">
        <v>18</v>
      </c>
      <c r="F218" t="s">
        <v>4442</v>
      </c>
      <c r="M218" t="s">
        <v>4667</v>
      </c>
      <c r="N218" t="s">
        <v>949</v>
      </c>
      <c r="O218" t="s">
        <v>18</v>
      </c>
      <c r="P218" t="s">
        <v>3433</v>
      </c>
      <c r="T218" t="s">
        <v>938</v>
      </c>
      <c r="U218" t="s">
        <v>2384</v>
      </c>
      <c r="V218" t="s">
        <v>18</v>
      </c>
      <c r="W218" t="s">
        <v>4121</v>
      </c>
      <c r="AC218" t="s">
        <v>4090</v>
      </c>
      <c r="AD218" t="s">
        <v>19</v>
      </c>
      <c r="AE218" t="s">
        <v>53</v>
      </c>
      <c r="AF218" t="s">
        <v>4089</v>
      </c>
      <c r="AJ218" s="844" t="s">
        <v>5094</v>
      </c>
      <c r="AK218" s="844" t="s">
        <v>968</v>
      </c>
      <c r="AL218" s="844" t="s">
        <v>818</v>
      </c>
      <c r="AM218" s="844" t="s">
        <v>18</v>
      </c>
      <c r="AN218" s="844" t="s">
        <v>2366</v>
      </c>
    </row>
    <row r="219" spans="1:40">
      <c r="A219" t="s">
        <v>6294</v>
      </c>
      <c r="B219" t="s">
        <v>938</v>
      </c>
      <c r="C219" t="s">
        <v>816</v>
      </c>
      <c r="E219" t="s">
        <v>18</v>
      </c>
      <c r="F219" t="s">
        <v>4479</v>
      </c>
      <c r="M219" t="s">
        <v>4667</v>
      </c>
      <c r="N219" t="s">
        <v>949</v>
      </c>
      <c r="O219" t="s">
        <v>18</v>
      </c>
      <c r="P219" t="s">
        <v>3432</v>
      </c>
      <c r="T219" t="s">
        <v>938</v>
      </c>
      <c r="U219" t="s">
        <v>816</v>
      </c>
      <c r="V219" t="s">
        <v>18</v>
      </c>
      <c r="W219" t="s">
        <v>857</v>
      </c>
      <c r="AC219" t="s">
        <v>4090</v>
      </c>
      <c r="AD219" t="s">
        <v>2384</v>
      </c>
      <c r="AE219" t="s">
        <v>857</v>
      </c>
      <c r="AF219" t="s">
        <v>4089</v>
      </c>
      <c r="AJ219" s="844" t="s">
        <v>6706</v>
      </c>
      <c r="AK219" s="844" t="s">
        <v>968</v>
      </c>
      <c r="AL219" s="844" t="s">
        <v>818</v>
      </c>
      <c r="AM219" s="844"/>
      <c r="AN219" s="844" t="s">
        <v>2366</v>
      </c>
    </row>
    <row r="220" spans="1:40">
      <c r="A220" t="s">
        <v>6295</v>
      </c>
      <c r="B220" t="s">
        <v>941</v>
      </c>
      <c r="C220" t="s">
        <v>19</v>
      </c>
      <c r="E220" t="s">
        <v>53</v>
      </c>
      <c r="F220" t="s">
        <v>4476</v>
      </c>
      <c r="M220" t="s">
        <v>4667</v>
      </c>
      <c r="N220" t="s">
        <v>949</v>
      </c>
      <c r="O220" t="s">
        <v>18</v>
      </c>
      <c r="P220" t="s">
        <v>3431</v>
      </c>
      <c r="T220" t="s">
        <v>941</v>
      </c>
      <c r="U220" t="s">
        <v>19</v>
      </c>
      <c r="V220" t="s">
        <v>53</v>
      </c>
      <c r="W220" t="s">
        <v>857</v>
      </c>
      <c r="AC220" t="s">
        <v>4090</v>
      </c>
      <c r="AD220" t="s">
        <v>2384</v>
      </c>
      <c r="AE220" t="s">
        <v>53</v>
      </c>
      <c r="AF220" t="s">
        <v>4089</v>
      </c>
      <c r="AJ220" s="844" t="s">
        <v>5096</v>
      </c>
      <c r="AK220" s="844" t="s">
        <v>969</v>
      </c>
      <c r="AL220" s="844" t="s">
        <v>818</v>
      </c>
      <c r="AM220" s="844" t="s">
        <v>18</v>
      </c>
      <c r="AN220" s="844" t="s">
        <v>2366</v>
      </c>
    </row>
    <row r="221" spans="1:40">
      <c r="A221" t="s">
        <v>6295</v>
      </c>
      <c r="B221" t="s">
        <v>941</v>
      </c>
      <c r="C221" t="s">
        <v>19</v>
      </c>
      <c r="E221" t="s">
        <v>53</v>
      </c>
      <c r="F221" t="s">
        <v>4475</v>
      </c>
      <c r="M221" t="s">
        <v>4667</v>
      </c>
      <c r="N221" t="s">
        <v>949</v>
      </c>
      <c r="O221" t="s">
        <v>18</v>
      </c>
      <c r="P221" t="s">
        <v>3430</v>
      </c>
      <c r="T221" t="s">
        <v>941</v>
      </c>
      <c r="U221" t="s">
        <v>19</v>
      </c>
      <c r="V221" t="s">
        <v>53</v>
      </c>
      <c r="W221" t="s">
        <v>857</v>
      </c>
      <c r="AC221" t="s">
        <v>949</v>
      </c>
      <c r="AD221" t="s">
        <v>818</v>
      </c>
      <c r="AE221" t="s">
        <v>857</v>
      </c>
      <c r="AF221" t="s">
        <v>2804</v>
      </c>
      <c r="AJ221" s="844" t="s">
        <v>5099</v>
      </c>
      <c r="AK221" s="844" t="s">
        <v>969</v>
      </c>
      <c r="AL221" s="844" t="s">
        <v>19</v>
      </c>
      <c r="AM221" s="844" t="s">
        <v>18</v>
      </c>
      <c r="AN221" s="844" t="s">
        <v>2366</v>
      </c>
    </row>
    <row r="222" spans="1:40">
      <c r="A222" t="s">
        <v>6296</v>
      </c>
      <c r="B222" t="s">
        <v>941</v>
      </c>
      <c r="C222" t="s">
        <v>816</v>
      </c>
      <c r="E222" t="s">
        <v>18</v>
      </c>
      <c r="F222" t="s">
        <v>4478</v>
      </c>
      <c r="M222" t="s">
        <v>4667</v>
      </c>
      <c r="N222" t="s">
        <v>949</v>
      </c>
      <c r="O222" t="s">
        <v>18</v>
      </c>
      <c r="P222" t="s">
        <v>3429</v>
      </c>
      <c r="T222" t="s">
        <v>941</v>
      </c>
      <c r="U222" t="s">
        <v>816</v>
      </c>
      <c r="V222" t="s">
        <v>18</v>
      </c>
      <c r="W222" t="s">
        <v>857</v>
      </c>
      <c r="AC222" t="s">
        <v>949</v>
      </c>
      <c r="AD222" t="s">
        <v>818</v>
      </c>
      <c r="AE222" t="s">
        <v>18</v>
      </c>
      <c r="AF222" t="s">
        <v>857</v>
      </c>
      <c r="AJ222" s="844" t="s">
        <v>6707</v>
      </c>
      <c r="AK222" s="844" t="s">
        <v>969</v>
      </c>
      <c r="AL222" s="844" t="s">
        <v>19</v>
      </c>
      <c r="AM222" s="844"/>
      <c r="AN222" s="844" t="s">
        <v>2366</v>
      </c>
    </row>
    <row r="223" spans="1:40">
      <c r="A223" t="s">
        <v>6296</v>
      </c>
      <c r="B223" t="s">
        <v>941</v>
      </c>
      <c r="C223" t="s">
        <v>816</v>
      </c>
      <c r="E223" t="s">
        <v>18</v>
      </c>
      <c r="F223" t="s">
        <v>4477</v>
      </c>
      <c r="M223" t="s">
        <v>4667</v>
      </c>
      <c r="N223" t="s">
        <v>949</v>
      </c>
      <c r="O223" t="s">
        <v>18</v>
      </c>
      <c r="P223" t="s">
        <v>3428</v>
      </c>
      <c r="T223" t="s">
        <v>941</v>
      </c>
      <c r="U223" t="s">
        <v>816</v>
      </c>
      <c r="V223" t="s">
        <v>18</v>
      </c>
      <c r="W223" t="s">
        <v>857</v>
      </c>
      <c r="AC223" t="s">
        <v>949</v>
      </c>
      <c r="AD223" t="s">
        <v>818</v>
      </c>
      <c r="AE223" t="s">
        <v>18</v>
      </c>
      <c r="AF223" t="s">
        <v>3420</v>
      </c>
      <c r="AJ223" s="844" t="s">
        <v>5102</v>
      </c>
      <c r="AK223" s="844" t="s">
        <v>969</v>
      </c>
      <c r="AL223" s="844" t="s">
        <v>2384</v>
      </c>
      <c r="AM223" s="844" t="s">
        <v>18</v>
      </c>
      <c r="AN223" s="844" t="s">
        <v>2366</v>
      </c>
    </row>
    <row r="224" spans="1:40">
      <c r="A224" t="s">
        <v>4963</v>
      </c>
      <c r="B224" t="s">
        <v>943</v>
      </c>
      <c r="C224" t="s">
        <v>818</v>
      </c>
      <c r="D224" t="s">
        <v>4454</v>
      </c>
      <c r="E224" t="s">
        <v>18</v>
      </c>
      <c r="F224" t="s">
        <v>4456</v>
      </c>
      <c r="M224" t="s">
        <v>4667</v>
      </c>
      <c r="N224" t="s">
        <v>949</v>
      </c>
      <c r="O224" t="s">
        <v>18</v>
      </c>
      <c r="P224" t="s">
        <v>3427</v>
      </c>
      <c r="T224" t="s">
        <v>943</v>
      </c>
      <c r="U224" t="s">
        <v>818</v>
      </c>
      <c r="V224" t="s">
        <v>18</v>
      </c>
      <c r="W224" t="s">
        <v>4454</v>
      </c>
      <c r="AC224" t="s">
        <v>949</v>
      </c>
      <c r="AD224" t="s">
        <v>19</v>
      </c>
      <c r="AE224" t="s">
        <v>18</v>
      </c>
      <c r="AF224" t="s">
        <v>857</v>
      </c>
      <c r="AJ224" s="844" t="s">
        <v>6708</v>
      </c>
      <c r="AK224" s="844" t="s">
        <v>969</v>
      </c>
      <c r="AL224" s="844" t="s">
        <v>2384</v>
      </c>
      <c r="AM224" s="844"/>
      <c r="AN224" s="844" t="s">
        <v>2366</v>
      </c>
    </row>
    <row r="225" spans="1:40">
      <c r="A225" t="s">
        <v>4966</v>
      </c>
      <c r="B225" t="s">
        <v>943</v>
      </c>
      <c r="C225" t="s">
        <v>816</v>
      </c>
      <c r="D225" t="s">
        <v>4454</v>
      </c>
      <c r="E225" t="s">
        <v>53</v>
      </c>
      <c r="F225" t="s">
        <v>4510</v>
      </c>
      <c r="M225" t="s">
        <v>4667</v>
      </c>
      <c r="N225" t="s">
        <v>949</v>
      </c>
      <c r="O225" t="s">
        <v>18</v>
      </c>
      <c r="P225" t="s">
        <v>3426</v>
      </c>
      <c r="T225" t="s">
        <v>943</v>
      </c>
      <c r="U225" t="s">
        <v>816</v>
      </c>
      <c r="V225" t="s">
        <v>53</v>
      </c>
      <c r="W225" t="s">
        <v>857</v>
      </c>
      <c r="AC225" t="s">
        <v>949</v>
      </c>
      <c r="AD225" t="s">
        <v>19</v>
      </c>
      <c r="AE225" t="s">
        <v>18</v>
      </c>
      <c r="AF225" t="s">
        <v>2867</v>
      </c>
      <c r="AJ225" s="844" t="s">
        <v>5103</v>
      </c>
      <c r="AK225" s="844" t="s">
        <v>969</v>
      </c>
      <c r="AL225" s="844" t="s">
        <v>816</v>
      </c>
      <c r="AM225" s="844" t="s">
        <v>53</v>
      </c>
      <c r="AN225" s="844" t="s">
        <v>2366</v>
      </c>
    </row>
    <row r="226" spans="1:40">
      <c r="A226" t="s">
        <v>4966</v>
      </c>
      <c r="B226" t="s">
        <v>943</v>
      </c>
      <c r="C226" t="s">
        <v>816</v>
      </c>
      <c r="D226" t="s">
        <v>4454</v>
      </c>
      <c r="E226" t="s">
        <v>53</v>
      </c>
      <c r="F226" t="s">
        <v>4455</v>
      </c>
      <c r="M226" t="s">
        <v>4667</v>
      </c>
      <c r="N226" t="s">
        <v>949</v>
      </c>
      <c r="O226" t="s">
        <v>18</v>
      </c>
      <c r="P226" t="s">
        <v>3425</v>
      </c>
      <c r="T226" t="s">
        <v>943</v>
      </c>
      <c r="U226" t="s">
        <v>816</v>
      </c>
      <c r="V226" t="s">
        <v>53</v>
      </c>
      <c r="W226" t="s">
        <v>4454</v>
      </c>
      <c r="AC226" t="s">
        <v>949</v>
      </c>
      <c r="AD226" t="s">
        <v>2384</v>
      </c>
      <c r="AE226" t="s">
        <v>857</v>
      </c>
      <c r="AF226" t="s">
        <v>857</v>
      </c>
      <c r="AJ226" s="844" t="s">
        <v>5106</v>
      </c>
      <c r="AK226" s="844" t="s">
        <v>970</v>
      </c>
      <c r="AL226" s="844" t="s">
        <v>818</v>
      </c>
      <c r="AM226" s="844" t="s">
        <v>18</v>
      </c>
      <c r="AN226" s="844" t="s">
        <v>4291</v>
      </c>
    </row>
    <row r="227" spans="1:40">
      <c r="A227" t="s">
        <v>6297</v>
      </c>
      <c r="B227" t="s">
        <v>943</v>
      </c>
      <c r="C227" t="s">
        <v>816</v>
      </c>
      <c r="E227" t="s">
        <v>53</v>
      </c>
      <c r="F227" t="s">
        <v>4511</v>
      </c>
      <c r="M227" t="s">
        <v>4667</v>
      </c>
      <c r="N227" t="s">
        <v>949</v>
      </c>
      <c r="O227" t="s">
        <v>18</v>
      </c>
      <c r="P227" t="s">
        <v>3424</v>
      </c>
      <c r="T227" t="s">
        <v>943</v>
      </c>
      <c r="U227" t="s">
        <v>816</v>
      </c>
      <c r="V227" t="s">
        <v>53</v>
      </c>
      <c r="W227" t="s">
        <v>4454</v>
      </c>
      <c r="AC227" t="s">
        <v>949</v>
      </c>
      <c r="AD227" t="s">
        <v>2384</v>
      </c>
      <c r="AE227" t="s">
        <v>857</v>
      </c>
      <c r="AF227" t="s">
        <v>3422</v>
      </c>
      <c r="AJ227" s="844" t="s">
        <v>5106</v>
      </c>
      <c r="AK227" s="844" t="s">
        <v>970</v>
      </c>
      <c r="AL227" s="844" t="s">
        <v>818</v>
      </c>
      <c r="AM227" s="844" t="s">
        <v>18</v>
      </c>
      <c r="AN227" s="844" t="s">
        <v>4012</v>
      </c>
    </row>
    <row r="228" spans="1:40">
      <c r="A228" t="s">
        <v>6504</v>
      </c>
      <c r="B228" t="s">
        <v>946</v>
      </c>
      <c r="C228" t="s">
        <v>818</v>
      </c>
      <c r="D228" t="s">
        <v>4446</v>
      </c>
      <c r="E228" t="s">
        <v>53</v>
      </c>
      <c r="F228" t="s">
        <v>4447</v>
      </c>
      <c r="M228" t="s">
        <v>4667</v>
      </c>
      <c r="N228" t="s">
        <v>949</v>
      </c>
      <c r="O228" t="s">
        <v>18</v>
      </c>
      <c r="P228" t="s">
        <v>3421</v>
      </c>
      <c r="T228" t="s">
        <v>946</v>
      </c>
      <c r="U228" t="s">
        <v>818</v>
      </c>
      <c r="V228" t="s">
        <v>53</v>
      </c>
      <c r="W228" t="s">
        <v>857</v>
      </c>
      <c r="AC228" t="s">
        <v>949</v>
      </c>
      <c r="AD228" t="s">
        <v>2416</v>
      </c>
      <c r="AE228" t="s">
        <v>18</v>
      </c>
      <c r="AF228" t="s">
        <v>857</v>
      </c>
      <c r="AJ228" s="844" t="s">
        <v>6709</v>
      </c>
      <c r="AK228" s="844" t="s">
        <v>970</v>
      </c>
      <c r="AL228" s="844" t="s">
        <v>818</v>
      </c>
      <c r="AM228" s="844"/>
      <c r="AN228" s="844" t="s">
        <v>4012</v>
      </c>
    </row>
    <row r="229" spans="1:40">
      <c r="A229" t="s">
        <v>6505</v>
      </c>
      <c r="B229" t="s">
        <v>946</v>
      </c>
      <c r="C229" t="s">
        <v>818</v>
      </c>
      <c r="D229" t="s">
        <v>4147</v>
      </c>
      <c r="E229" t="s">
        <v>53</v>
      </c>
      <c r="F229" t="s">
        <v>4535</v>
      </c>
      <c r="M229" t="s">
        <v>4667</v>
      </c>
      <c r="N229" t="s">
        <v>949</v>
      </c>
      <c r="O229" t="s">
        <v>18</v>
      </c>
      <c r="P229" t="s">
        <v>3419</v>
      </c>
      <c r="T229" t="s">
        <v>946</v>
      </c>
      <c r="U229" t="s">
        <v>818</v>
      </c>
      <c r="V229" t="s">
        <v>18</v>
      </c>
      <c r="W229" t="s">
        <v>857</v>
      </c>
      <c r="AC229" t="s">
        <v>949</v>
      </c>
      <c r="AD229" t="s">
        <v>2416</v>
      </c>
      <c r="AE229" t="s">
        <v>18</v>
      </c>
      <c r="AF229" t="s">
        <v>3417</v>
      </c>
      <c r="AJ229" s="844" t="s">
        <v>5108</v>
      </c>
      <c r="AK229" s="844" t="s">
        <v>970</v>
      </c>
      <c r="AL229" s="844" t="s">
        <v>816</v>
      </c>
      <c r="AM229" s="844" t="s">
        <v>18</v>
      </c>
      <c r="AN229" s="844" t="s">
        <v>4224</v>
      </c>
    </row>
    <row r="230" spans="1:40">
      <c r="A230" t="s">
        <v>6598</v>
      </c>
      <c r="B230" t="s">
        <v>946</v>
      </c>
      <c r="C230" t="s">
        <v>818</v>
      </c>
      <c r="D230" t="s">
        <v>4147</v>
      </c>
      <c r="F230" t="s">
        <v>4148</v>
      </c>
      <c r="M230" t="s">
        <v>4667</v>
      </c>
      <c r="N230" t="s">
        <v>949</v>
      </c>
      <c r="O230" t="s">
        <v>18</v>
      </c>
      <c r="P230" t="s">
        <v>3418</v>
      </c>
      <c r="T230" t="s">
        <v>946</v>
      </c>
      <c r="U230" t="s">
        <v>818</v>
      </c>
      <c r="V230" t="s">
        <v>18</v>
      </c>
      <c r="W230" t="s">
        <v>857</v>
      </c>
      <c r="AC230" t="s">
        <v>949</v>
      </c>
      <c r="AD230" t="s">
        <v>816</v>
      </c>
      <c r="AE230" t="s">
        <v>857</v>
      </c>
      <c r="AF230" t="s">
        <v>857</v>
      </c>
      <c r="AJ230" s="844" t="s">
        <v>6710</v>
      </c>
      <c r="AK230" s="844" t="s">
        <v>970</v>
      </c>
      <c r="AL230" s="844" t="s">
        <v>816</v>
      </c>
      <c r="AM230" s="844"/>
      <c r="AN230" s="844" t="s">
        <v>4224</v>
      </c>
    </row>
    <row r="231" spans="1:40">
      <c r="A231" t="s">
        <v>6298</v>
      </c>
      <c r="B231" t="s">
        <v>946</v>
      </c>
      <c r="C231" t="s">
        <v>818</v>
      </c>
      <c r="E231" t="s">
        <v>53</v>
      </c>
      <c r="F231" t="s">
        <v>4452</v>
      </c>
      <c r="M231" t="s">
        <v>4667</v>
      </c>
      <c r="N231" t="s">
        <v>949</v>
      </c>
      <c r="O231" t="s">
        <v>18</v>
      </c>
      <c r="P231" t="s">
        <v>3416</v>
      </c>
      <c r="T231" t="s">
        <v>946</v>
      </c>
      <c r="U231" t="s">
        <v>818</v>
      </c>
      <c r="V231" t="s">
        <v>53</v>
      </c>
      <c r="W231" t="s">
        <v>4446</v>
      </c>
      <c r="AC231" t="s">
        <v>949</v>
      </c>
      <c r="AD231" t="s">
        <v>816</v>
      </c>
      <c r="AE231" t="s">
        <v>18</v>
      </c>
      <c r="AF231" t="s">
        <v>857</v>
      </c>
      <c r="AJ231" s="844" t="s">
        <v>5110</v>
      </c>
      <c r="AK231" s="844" t="s">
        <v>2920</v>
      </c>
      <c r="AL231" s="844" t="s">
        <v>818</v>
      </c>
      <c r="AM231" s="844" t="s">
        <v>18</v>
      </c>
      <c r="AN231" s="844" t="s">
        <v>2919</v>
      </c>
    </row>
    <row r="232" spans="1:40">
      <c r="A232" t="s">
        <v>6299</v>
      </c>
      <c r="B232" t="s">
        <v>946</v>
      </c>
      <c r="C232" t="s">
        <v>818</v>
      </c>
      <c r="E232" t="s">
        <v>18</v>
      </c>
      <c r="F232" t="s">
        <v>4540</v>
      </c>
      <c r="M232" t="s">
        <v>4668</v>
      </c>
      <c r="N232" t="s">
        <v>951</v>
      </c>
      <c r="O232" t="s">
        <v>53</v>
      </c>
      <c r="P232" t="s">
        <v>4385</v>
      </c>
      <c r="T232" t="s">
        <v>946</v>
      </c>
      <c r="U232" t="s">
        <v>818</v>
      </c>
      <c r="V232" t="s">
        <v>857</v>
      </c>
      <c r="W232" t="s">
        <v>4147</v>
      </c>
      <c r="AC232" t="s">
        <v>949</v>
      </c>
      <c r="AD232" t="s">
        <v>816</v>
      </c>
      <c r="AE232" t="s">
        <v>18</v>
      </c>
      <c r="AF232" t="s">
        <v>3415</v>
      </c>
      <c r="AJ232" s="844" t="s">
        <v>5112</v>
      </c>
      <c r="AK232" s="844" t="s">
        <v>2920</v>
      </c>
      <c r="AL232" s="844" t="s">
        <v>816</v>
      </c>
      <c r="AM232" s="844" t="s">
        <v>18</v>
      </c>
      <c r="AN232" s="844" t="s">
        <v>2925</v>
      </c>
    </row>
    <row r="233" spans="1:40">
      <c r="A233" t="s">
        <v>6299</v>
      </c>
      <c r="B233" t="s">
        <v>946</v>
      </c>
      <c r="C233" t="s">
        <v>818</v>
      </c>
      <c r="E233" t="s">
        <v>18</v>
      </c>
      <c r="F233" t="s">
        <v>4539</v>
      </c>
      <c r="M233" t="s">
        <v>4668</v>
      </c>
      <c r="N233" t="s">
        <v>951</v>
      </c>
      <c r="O233" t="s">
        <v>53</v>
      </c>
      <c r="P233" t="s">
        <v>4384</v>
      </c>
      <c r="T233" t="s">
        <v>946</v>
      </c>
      <c r="U233" t="s">
        <v>818</v>
      </c>
      <c r="V233" t="s">
        <v>53</v>
      </c>
      <c r="W233" t="s">
        <v>4147</v>
      </c>
      <c r="AC233" t="s">
        <v>951</v>
      </c>
      <c r="AD233" t="s">
        <v>818</v>
      </c>
      <c r="AE233" t="s">
        <v>857</v>
      </c>
      <c r="AF233" t="s">
        <v>857</v>
      </c>
      <c r="AJ233" s="844" t="s">
        <v>5115</v>
      </c>
      <c r="AK233" s="844" t="s">
        <v>971</v>
      </c>
      <c r="AL233" s="844" t="s">
        <v>818</v>
      </c>
      <c r="AM233" s="844" t="s">
        <v>18</v>
      </c>
      <c r="AN233" s="844" t="s">
        <v>4275</v>
      </c>
    </row>
    <row r="234" spans="1:40">
      <c r="A234" t="s">
        <v>6506</v>
      </c>
      <c r="B234" t="s">
        <v>946</v>
      </c>
      <c r="C234" t="s">
        <v>19</v>
      </c>
      <c r="D234" t="s">
        <v>2636</v>
      </c>
      <c r="E234" t="s">
        <v>53</v>
      </c>
      <c r="F234" t="s">
        <v>4445</v>
      </c>
      <c r="M234" t="s">
        <v>4668</v>
      </c>
      <c r="N234" t="s">
        <v>951</v>
      </c>
      <c r="O234" t="s">
        <v>53</v>
      </c>
      <c r="P234" t="s">
        <v>4379</v>
      </c>
      <c r="T234" t="s">
        <v>946</v>
      </c>
      <c r="U234" t="s">
        <v>19</v>
      </c>
      <c r="V234" t="s">
        <v>857</v>
      </c>
      <c r="W234" t="s">
        <v>857</v>
      </c>
      <c r="AC234" t="s">
        <v>951</v>
      </c>
      <c r="AD234" t="s">
        <v>818</v>
      </c>
      <c r="AE234" t="s">
        <v>53</v>
      </c>
      <c r="AF234" t="s">
        <v>857</v>
      </c>
      <c r="AJ234" s="844" t="s">
        <v>5115</v>
      </c>
      <c r="AK234" s="844" t="s">
        <v>971</v>
      </c>
      <c r="AL234" s="844" t="s">
        <v>818</v>
      </c>
      <c r="AM234" s="844" t="s">
        <v>18</v>
      </c>
      <c r="AN234" s="844" t="s">
        <v>4273</v>
      </c>
    </row>
    <row r="235" spans="1:40">
      <c r="A235" t="s">
        <v>6507</v>
      </c>
      <c r="B235" t="s">
        <v>946</v>
      </c>
      <c r="C235" t="s">
        <v>19</v>
      </c>
      <c r="D235" t="s">
        <v>4125</v>
      </c>
      <c r="E235" t="s">
        <v>53</v>
      </c>
      <c r="F235" t="s">
        <v>4534</v>
      </c>
      <c r="M235" t="s">
        <v>4668</v>
      </c>
      <c r="N235" t="s">
        <v>951</v>
      </c>
      <c r="O235" t="s">
        <v>53</v>
      </c>
      <c r="P235" t="s">
        <v>4378</v>
      </c>
      <c r="T235" t="s">
        <v>946</v>
      </c>
      <c r="U235" t="s">
        <v>19</v>
      </c>
      <c r="V235" t="s">
        <v>53</v>
      </c>
      <c r="W235" t="s">
        <v>857</v>
      </c>
      <c r="AC235" t="s">
        <v>951</v>
      </c>
      <c r="AD235" t="s">
        <v>818</v>
      </c>
      <c r="AE235" t="s">
        <v>53</v>
      </c>
      <c r="AF235" t="s">
        <v>4140</v>
      </c>
      <c r="AJ235" s="844" t="s">
        <v>5115</v>
      </c>
      <c r="AK235" s="844" t="s">
        <v>971</v>
      </c>
      <c r="AL235" s="844" t="s">
        <v>818</v>
      </c>
      <c r="AM235" s="844" t="s">
        <v>18</v>
      </c>
      <c r="AN235" s="844" t="s">
        <v>4009</v>
      </c>
    </row>
    <row r="236" spans="1:40">
      <c r="A236" t="s">
        <v>6599</v>
      </c>
      <c r="B236" t="s">
        <v>946</v>
      </c>
      <c r="C236" t="s">
        <v>19</v>
      </c>
      <c r="D236" t="s">
        <v>4125</v>
      </c>
      <c r="F236" t="s">
        <v>4126</v>
      </c>
      <c r="M236" t="s">
        <v>4668</v>
      </c>
      <c r="N236" t="s">
        <v>951</v>
      </c>
      <c r="O236" t="s">
        <v>53</v>
      </c>
      <c r="P236" t="s">
        <v>4377</v>
      </c>
      <c r="T236" t="s">
        <v>946</v>
      </c>
      <c r="U236" t="s">
        <v>19</v>
      </c>
      <c r="V236" t="s">
        <v>53</v>
      </c>
      <c r="W236" t="s">
        <v>857</v>
      </c>
      <c r="AC236" t="s">
        <v>951</v>
      </c>
      <c r="AD236" t="s">
        <v>818</v>
      </c>
      <c r="AE236" t="s">
        <v>53</v>
      </c>
      <c r="AF236" t="s">
        <v>4096</v>
      </c>
      <c r="AJ236" s="844" t="s">
        <v>6711</v>
      </c>
      <c r="AK236" s="844" t="s">
        <v>971</v>
      </c>
      <c r="AL236" s="844" t="s">
        <v>818</v>
      </c>
      <c r="AM236" s="844"/>
      <c r="AN236" s="844" t="s">
        <v>4009</v>
      </c>
    </row>
    <row r="237" spans="1:40">
      <c r="A237" t="s">
        <v>6300</v>
      </c>
      <c r="B237" t="s">
        <v>946</v>
      </c>
      <c r="C237" t="s">
        <v>19</v>
      </c>
      <c r="E237" t="s">
        <v>53</v>
      </c>
      <c r="F237" t="s">
        <v>4537</v>
      </c>
      <c r="M237" t="s">
        <v>4668</v>
      </c>
      <c r="N237" t="s">
        <v>951</v>
      </c>
      <c r="O237" t="s">
        <v>53</v>
      </c>
      <c r="P237" t="s">
        <v>4376</v>
      </c>
      <c r="T237" t="s">
        <v>946</v>
      </c>
      <c r="U237" t="s">
        <v>19</v>
      </c>
      <c r="V237" t="s">
        <v>53</v>
      </c>
      <c r="W237" t="s">
        <v>857</v>
      </c>
      <c r="AC237" t="s">
        <v>951</v>
      </c>
      <c r="AD237" t="s">
        <v>818</v>
      </c>
      <c r="AE237" t="s">
        <v>18</v>
      </c>
      <c r="AF237" t="s">
        <v>857</v>
      </c>
      <c r="AJ237" s="844" t="s">
        <v>5117</v>
      </c>
      <c r="AK237" s="844" t="s">
        <v>971</v>
      </c>
      <c r="AL237" s="844" t="s">
        <v>19</v>
      </c>
      <c r="AM237" s="844" t="s">
        <v>18</v>
      </c>
      <c r="AN237" s="844" t="s">
        <v>4273</v>
      </c>
    </row>
    <row r="238" spans="1:40">
      <c r="A238" t="s">
        <v>6300</v>
      </c>
      <c r="B238" t="s">
        <v>946</v>
      </c>
      <c r="C238" t="s">
        <v>19</v>
      </c>
      <c r="E238" t="s">
        <v>53</v>
      </c>
      <c r="F238" t="s">
        <v>4451</v>
      </c>
      <c r="M238" t="s">
        <v>4668</v>
      </c>
      <c r="N238" t="s">
        <v>951</v>
      </c>
      <c r="O238" t="s">
        <v>53</v>
      </c>
      <c r="P238" t="s">
        <v>4375</v>
      </c>
      <c r="T238" t="s">
        <v>946</v>
      </c>
      <c r="U238" t="s">
        <v>19</v>
      </c>
      <c r="V238" t="s">
        <v>18</v>
      </c>
      <c r="W238" t="s">
        <v>857</v>
      </c>
      <c r="AC238" t="s">
        <v>951</v>
      </c>
      <c r="AD238" t="s">
        <v>19</v>
      </c>
      <c r="AE238" t="s">
        <v>857</v>
      </c>
      <c r="AF238" t="s">
        <v>857</v>
      </c>
      <c r="AJ238" s="844" t="s">
        <v>5117</v>
      </c>
      <c r="AK238" s="844" t="s">
        <v>971</v>
      </c>
      <c r="AL238" s="844" t="s">
        <v>19</v>
      </c>
      <c r="AM238" s="844" t="s">
        <v>18</v>
      </c>
      <c r="AN238" s="844" t="s">
        <v>4282</v>
      </c>
    </row>
    <row r="239" spans="1:40">
      <c r="A239" t="s">
        <v>6300</v>
      </c>
      <c r="B239" t="s">
        <v>946</v>
      </c>
      <c r="C239" t="s">
        <v>19</v>
      </c>
      <c r="E239" t="s">
        <v>53</v>
      </c>
      <c r="F239" t="s">
        <v>4450</v>
      </c>
      <c r="M239" t="s">
        <v>4668</v>
      </c>
      <c r="N239" t="s">
        <v>951</v>
      </c>
      <c r="O239" t="s">
        <v>53</v>
      </c>
      <c r="P239" t="s">
        <v>4374</v>
      </c>
      <c r="T239" t="s">
        <v>946</v>
      </c>
      <c r="U239" t="s">
        <v>19</v>
      </c>
      <c r="V239" t="s">
        <v>53</v>
      </c>
      <c r="W239" t="s">
        <v>2636</v>
      </c>
      <c r="AC239" t="s">
        <v>951</v>
      </c>
      <c r="AD239" t="s">
        <v>19</v>
      </c>
      <c r="AE239" t="s">
        <v>857</v>
      </c>
      <c r="AF239" t="s">
        <v>4096</v>
      </c>
      <c r="AJ239" s="844" t="s">
        <v>5120</v>
      </c>
      <c r="AK239" s="844" t="s">
        <v>971</v>
      </c>
      <c r="AL239" s="844" t="s">
        <v>816</v>
      </c>
      <c r="AM239" s="844" t="s">
        <v>18</v>
      </c>
      <c r="AN239" s="844" t="s">
        <v>4275</v>
      </c>
    </row>
    <row r="240" spans="1:40">
      <c r="A240" t="s">
        <v>6301</v>
      </c>
      <c r="B240" t="s">
        <v>946</v>
      </c>
      <c r="C240" t="s">
        <v>19</v>
      </c>
      <c r="E240" t="s">
        <v>18</v>
      </c>
      <c r="F240" t="s">
        <v>4541</v>
      </c>
      <c r="M240" t="s">
        <v>4668</v>
      </c>
      <c r="N240" t="s">
        <v>951</v>
      </c>
      <c r="O240" t="s">
        <v>53</v>
      </c>
      <c r="P240" t="s">
        <v>4373</v>
      </c>
      <c r="T240" t="s">
        <v>946</v>
      </c>
      <c r="U240" t="s">
        <v>19</v>
      </c>
      <c r="V240" t="s">
        <v>857</v>
      </c>
      <c r="W240" t="s">
        <v>4125</v>
      </c>
      <c r="AC240" t="s">
        <v>951</v>
      </c>
      <c r="AD240" t="s">
        <v>19</v>
      </c>
      <c r="AE240" t="s">
        <v>53</v>
      </c>
      <c r="AF240" t="s">
        <v>857</v>
      </c>
      <c r="AJ240" s="844" t="s">
        <v>5120</v>
      </c>
      <c r="AK240" s="844" t="s">
        <v>971</v>
      </c>
      <c r="AL240" s="844" t="s">
        <v>816</v>
      </c>
      <c r="AM240" s="844" t="s">
        <v>18</v>
      </c>
      <c r="AN240" s="844" t="s">
        <v>4009</v>
      </c>
    </row>
    <row r="241" spans="1:40">
      <c r="A241" t="s">
        <v>4968</v>
      </c>
      <c r="B241" t="s">
        <v>946</v>
      </c>
      <c r="C241" t="s">
        <v>19</v>
      </c>
      <c r="F241" t="s">
        <v>3795</v>
      </c>
      <c r="M241" t="s">
        <v>4668</v>
      </c>
      <c r="N241" t="s">
        <v>951</v>
      </c>
      <c r="O241" t="s">
        <v>53</v>
      </c>
      <c r="P241" t="s">
        <v>4372</v>
      </c>
      <c r="T241" t="s">
        <v>946</v>
      </c>
      <c r="U241" t="s">
        <v>19</v>
      </c>
      <c r="V241" t="s">
        <v>53</v>
      </c>
      <c r="W241" t="s">
        <v>4125</v>
      </c>
      <c r="AC241" t="s">
        <v>951</v>
      </c>
      <c r="AD241" t="s">
        <v>19</v>
      </c>
      <c r="AE241" t="s">
        <v>53</v>
      </c>
      <c r="AF241" t="s">
        <v>4096</v>
      </c>
      <c r="AJ241" s="844" t="s">
        <v>5122</v>
      </c>
      <c r="AK241" s="844" t="s">
        <v>972</v>
      </c>
      <c r="AL241" s="844" t="s">
        <v>818</v>
      </c>
      <c r="AM241" s="844" t="s">
        <v>18</v>
      </c>
      <c r="AN241" s="844" t="s">
        <v>4267</v>
      </c>
    </row>
    <row r="242" spans="1:40">
      <c r="A242" t="s">
        <v>6508</v>
      </c>
      <c r="B242" t="s">
        <v>946</v>
      </c>
      <c r="C242" t="s">
        <v>2384</v>
      </c>
      <c r="D242" t="s">
        <v>4446</v>
      </c>
      <c r="E242" t="s">
        <v>53</v>
      </c>
      <c r="F242" t="s">
        <v>4536</v>
      </c>
      <c r="M242" t="s">
        <v>4668</v>
      </c>
      <c r="N242" t="s">
        <v>951</v>
      </c>
      <c r="O242" t="s">
        <v>53</v>
      </c>
      <c r="P242" t="s">
        <v>4371</v>
      </c>
      <c r="T242" t="s">
        <v>946</v>
      </c>
      <c r="U242" t="s">
        <v>2384</v>
      </c>
      <c r="V242" t="s">
        <v>53</v>
      </c>
      <c r="W242" t="s">
        <v>4446</v>
      </c>
      <c r="AC242" t="s">
        <v>951</v>
      </c>
      <c r="AD242" t="s">
        <v>19</v>
      </c>
      <c r="AE242" t="s">
        <v>53</v>
      </c>
      <c r="AF242" t="s">
        <v>2636</v>
      </c>
      <c r="AJ242" s="844" t="s">
        <v>5124</v>
      </c>
      <c r="AK242" s="844" t="s">
        <v>972</v>
      </c>
      <c r="AL242" s="844" t="s">
        <v>2384</v>
      </c>
      <c r="AM242" s="844" t="s">
        <v>18</v>
      </c>
      <c r="AN242" s="844" t="s">
        <v>2366</v>
      </c>
    </row>
    <row r="243" spans="1:40">
      <c r="A243" t="s">
        <v>6509</v>
      </c>
      <c r="B243" t="s">
        <v>946</v>
      </c>
      <c r="C243" t="s">
        <v>2416</v>
      </c>
      <c r="D243" t="s">
        <v>4125</v>
      </c>
      <c r="E243" t="s">
        <v>53</v>
      </c>
      <c r="F243" t="s">
        <v>4533</v>
      </c>
      <c r="M243" t="s">
        <v>4669</v>
      </c>
      <c r="N243" t="s">
        <v>951</v>
      </c>
      <c r="O243" t="s">
        <v>18</v>
      </c>
      <c r="P243" t="s">
        <v>4383</v>
      </c>
      <c r="T243" t="s">
        <v>946</v>
      </c>
      <c r="U243" t="s">
        <v>2416</v>
      </c>
      <c r="V243" t="s">
        <v>53</v>
      </c>
      <c r="W243" t="s">
        <v>4125</v>
      </c>
      <c r="AC243" t="s">
        <v>951</v>
      </c>
      <c r="AD243" t="s">
        <v>19</v>
      </c>
      <c r="AE243" t="s">
        <v>18</v>
      </c>
      <c r="AF243" t="s">
        <v>857</v>
      </c>
      <c r="AJ243" s="844" t="s">
        <v>6712</v>
      </c>
      <c r="AK243" s="844" t="s">
        <v>972</v>
      </c>
      <c r="AL243" s="844" t="s">
        <v>2384</v>
      </c>
      <c r="AM243" s="844"/>
      <c r="AN243" s="844" t="s">
        <v>2366</v>
      </c>
    </row>
    <row r="244" spans="1:40">
      <c r="A244" t="s">
        <v>6510</v>
      </c>
      <c r="B244" t="s">
        <v>946</v>
      </c>
      <c r="C244" t="s">
        <v>816</v>
      </c>
      <c r="D244" t="s">
        <v>4125</v>
      </c>
      <c r="E244" t="s">
        <v>53</v>
      </c>
      <c r="F244" t="s">
        <v>4532</v>
      </c>
      <c r="M244" t="s">
        <v>4669</v>
      </c>
      <c r="N244" t="s">
        <v>951</v>
      </c>
      <c r="O244" t="s">
        <v>18</v>
      </c>
      <c r="P244" t="s">
        <v>4382</v>
      </c>
      <c r="T244" t="s">
        <v>946</v>
      </c>
      <c r="U244" t="s">
        <v>816</v>
      </c>
      <c r="V244" t="s">
        <v>53</v>
      </c>
      <c r="W244" t="s">
        <v>857</v>
      </c>
      <c r="AC244" t="s">
        <v>951</v>
      </c>
      <c r="AD244" t="s">
        <v>2384</v>
      </c>
      <c r="AE244" t="s">
        <v>857</v>
      </c>
      <c r="AF244" t="s">
        <v>857</v>
      </c>
      <c r="AJ244" s="844" t="s">
        <v>5126</v>
      </c>
      <c r="AK244" s="844" t="s">
        <v>972</v>
      </c>
      <c r="AL244" s="844" t="s">
        <v>816</v>
      </c>
      <c r="AM244" s="844" t="s">
        <v>18</v>
      </c>
      <c r="AN244" s="844" t="s">
        <v>4267</v>
      </c>
    </row>
    <row r="245" spans="1:40">
      <c r="A245" t="s">
        <v>6600</v>
      </c>
      <c r="B245" t="s">
        <v>946</v>
      </c>
      <c r="C245" t="s">
        <v>816</v>
      </c>
      <c r="D245" t="s">
        <v>4125</v>
      </c>
      <c r="F245" t="s">
        <v>4136</v>
      </c>
      <c r="M245" t="s">
        <v>4669</v>
      </c>
      <c r="N245" t="s">
        <v>951</v>
      </c>
      <c r="O245" t="s">
        <v>18</v>
      </c>
      <c r="P245" t="s">
        <v>4381</v>
      </c>
      <c r="T245" t="s">
        <v>946</v>
      </c>
      <c r="U245" t="s">
        <v>816</v>
      </c>
      <c r="V245" t="s">
        <v>18</v>
      </c>
      <c r="W245" t="s">
        <v>857</v>
      </c>
      <c r="AC245" t="s">
        <v>951</v>
      </c>
      <c r="AD245" t="s">
        <v>2384</v>
      </c>
      <c r="AE245" t="s">
        <v>857</v>
      </c>
      <c r="AF245" t="s">
        <v>4140</v>
      </c>
      <c r="AJ245" s="844" t="s">
        <v>5128</v>
      </c>
      <c r="AK245" s="844" t="s">
        <v>973</v>
      </c>
      <c r="AL245" s="844" t="s">
        <v>818</v>
      </c>
      <c r="AM245" s="844" t="s">
        <v>18</v>
      </c>
      <c r="AN245" s="844" t="s">
        <v>2751</v>
      </c>
    </row>
    <row r="246" spans="1:40">
      <c r="A246" t="s">
        <v>6511</v>
      </c>
      <c r="B246" t="s">
        <v>946</v>
      </c>
      <c r="C246" t="s">
        <v>816</v>
      </c>
      <c r="D246" t="s">
        <v>4147</v>
      </c>
      <c r="E246" t="s">
        <v>53</v>
      </c>
      <c r="F246" t="s">
        <v>4448</v>
      </c>
      <c r="M246" t="s">
        <v>4669</v>
      </c>
      <c r="N246" t="s">
        <v>951</v>
      </c>
      <c r="O246" t="s">
        <v>18</v>
      </c>
      <c r="P246" t="s">
        <v>4380</v>
      </c>
      <c r="T246" t="s">
        <v>946</v>
      </c>
      <c r="U246" t="s">
        <v>816</v>
      </c>
      <c r="V246" t="s">
        <v>18</v>
      </c>
      <c r="W246" t="s">
        <v>857</v>
      </c>
      <c r="AC246" t="s">
        <v>951</v>
      </c>
      <c r="AD246" t="s">
        <v>816</v>
      </c>
      <c r="AE246" t="s">
        <v>857</v>
      </c>
      <c r="AF246" t="s">
        <v>857</v>
      </c>
      <c r="AJ246" s="844" t="s">
        <v>5128</v>
      </c>
      <c r="AK246" s="844" t="s">
        <v>973</v>
      </c>
      <c r="AL246" s="844" t="s">
        <v>818</v>
      </c>
      <c r="AM246" s="844" t="s">
        <v>18</v>
      </c>
      <c r="AN246" s="844" t="s">
        <v>2636</v>
      </c>
    </row>
    <row r="247" spans="1:40">
      <c r="A247" t="s">
        <v>6302</v>
      </c>
      <c r="B247" t="s">
        <v>946</v>
      </c>
      <c r="C247" t="s">
        <v>816</v>
      </c>
      <c r="E247" t="s">
        <v>53</v>
      </c>
      <c r="F247" t="s">
        <v>4449</v>
      </c>
      <c r="M247" t="s">
        <v>4670</v>
      </c>
      <c r="N247" t="s">
        <v>2888</v>
      </c>
      <c r="O247" t="s">
        <v>18</v>
      </c>
      <c r="P247" t="s">
        <v>2890</v>
      </c>
      <c r="T247" t="s">
        <v>946</v>
      </c>
      <c r="U247" t="s">
        <v>816</v>
      </c>
      <c r="V247" t="s">
        <v>857</v>
      </c>
      <c r="W247" t="s">
        <v>4125</v>
      </c>
      <c r="AC247" t="s">
        <v>951</v>
      </c>
      <c r="AD247" t="s">
        <v>816</v>
      </c>
      <c r="AE247" t="s">
        <v>53</v>
      </c>
      <c r="AF247" t="s">
        <v>4096</v>
      </c>
      <c r="AJ247" s="844" t="s">
        <v>6713</v>
      </c>
      <c r="AK247" s="844" t="s">
        <v>973</v>
      </c>
      <c r="AL247" s="844" t="s">
        <v>818</v>
      </c>
      <c r="AM247" s="844"/>
      <c r="AN247" s="844" t="s">
        <v>2751</v>
      </c>
    </row>
    <row r="248" spans="1:40">
      <c r="A248" t="s">
        <v>6303</v>
      </c>
      <c r="B248" t="s">
        <v>946</v>
      </c>
      <c r="C248" t="s">
        <v>816</v>
      </c>
      <c r="E248" t="s">
        <v>18</v>
      </c>
      <c r="F248" t="s">
        <v>4538</v>
      </c>
      <c r="M248" t="s">
        <v>4670</v>
      </c>
      <c r="N248" t="s">
        <v>2888</v>
      </c>
      <c r="O248" t="s">
        <v>18</v>
      </c>
      <c r="P248" t="s">
        <v>2889</v>
      </c>
      <c r="T248" t="s">
        <v>946</v>
      </c>
      <c r="U248" t="s">
        <v>816</v>
      </c>
      <c r="V248" t="s">
        <v>53</v>
      </c>
      <c r="W248" t="s">
        <v>4125</v>
      </c>
      <c r="AC248" t="s">
        <v>951</v>
      </c>
      <c r="AD248" t="s">
        <v>816</v>
      </c>
      <c r="AE248" t="s">
        <v>18</v>
      </c>
      <c r="AF248" t="s">
        <v>857</v>
      </c>
      <c r="AJ248" s="844" t="s">
        <v>5130</v>
      </c>
      <c r="AK248" s="844" t="s">
        <v>973</v>
      </c>
      <c r="AL248" s="844" t="s">
        <v>19</v>
      </c>
      <c r="AM248" s="844" t="s">
        <v>18</v>
      </c>
      <c r="AN248" s="844" t="s">
        <v>2751</v>
      </c>
    </row>
    <row r="249" spans="1:40">
      <c r="A249" t="s">
        <v>6303</v>
      </c>
      <c r="B249" t="s">
        <v>946</v>
      </c>
      <c r="C249" t="s">
        <v>816</v>
      </c>
      <c r="E249" t="s">
        <v>18</v>
      </c>
      <c r="F249" t="s">
        <v>4453</v>
      </c>
      <c r="M249" t="s">
        <v>4786</v>
      </c>
      <c r="N249" t="s">
        <v>956</v>
      </c>
      <c r="O249" t="s">
        <v>53</v>
      </c>
      <c r="P249" t="s">
        <v>4433</v>
      </c>
      <c r="T249" t="s">
        <v>946</v>
      </c>
      <c r="U249" t="s">
        <v>816</v>
      </c>
      <c r="V249" t="s">
        <v>53</v>
      </c>
      <c r="W249" t="s">
        <v>4147</v>
      </c>
      <c r="AC249" t="s">
        <v>2888</v>
      </c>
      <c r="AD249" t="s">
        <v>818</v>
      </c>
      <c r="AE249" t="s">
        <v>18</v>
      </c>
      <c r="AF249" t="s">
        <v>857</v>
      </c>
      <c r="AJ249" s="844" t="s">
        <v>5132</v>
      </c>
      <c r="AK249" s="844" t="s">
        <v>973</v>
      </c>
      <c r="AL249" s="844" t="s">
        <v>816</v>
      </c>
      <c r="AM249" s="844" t="s">
        <v>18</v>
      </c>
      <c r="AN249" s="844" t="s">
        <v>2751</v>
      </c>
    </row>
    <row r="250" spans="1:40">
      <c r="A250" t="s">
        <v>6601</v>
      </c>
      <c r="B250" t="s">
        <v>947</v>
      </c>
      <c r="C250" t="s">
        <v>4826</v>
      </c>
      <c r="D250" t="s">
        <v>2366</v>
      </c>
      <c r="F250" t="s">
        <v>4114</v>
      </c>
      <c r="M250" t="s">
        <v>4786</v>
      </c>
      <c r="N250" t="s">
        <v>956</v>
      </c>
      <c r="O250" t="s">
        <v>53</v>
      </c>
      <c r="P250" t="s">
        <v>4432</v>
      </c>
      <c r="T250" t="s">
        <v>947</v>
      </c>
      <c r="U250" t="s">
        <v>818</v>
      </c>
      <c r="V250" t="s">
        <v>18</v>
      </c>
      <c r="W250" t="s">
        <v>857</v>
      </c>
      <c r="AC250" t="s">
        <v>2888</v>
      </c>
      <c r="AD250" t="s">
        <v>2384</v>
      </c>
      <c r="AE250" t="s">
        <v>18</v>
      </c>
      <c r="AF250" t="s">
        <v>2887</v>
      </c>
      <c r="AJ250" s="844" t="s">
        <v>6714</v>
      </c>
      <c r="AK250" s="844" t="s">
        <v>973</v>
      </c>
      <c r="AL250" s="844" t="s">
        <v>816</v>
      </c>
      <c r="AM250" s="844"/>
      <c r="AN250" s="844" t="s">
        <v>2751</v>
      </c>
    </row>
    <row r="251" spans="1:40">
      <c r="A251" t="s">
        <v>6601</v>
      </c>
      <c r="B251" t="s">
        <v>947</v>
      </c>
      <c r="C251" t="s">
        <v>4826</v>
      </c>
      <c r="D251" t="s">
        <v>2366</v>
      </c>
      <c r="F251" t="s">
        <v>4107</v>
      </c>
      <c r="M251" t="s">
        <v>4786</v>
      </c>
      <c r="N251" t="s">
        <v>956</v>
      </c>
      <c r="O251" t="s">
        <v>53</v>
      </c>
      <c r="P251" t="s">
        <v>4431</v>
      </c>
      <c r="T251" t="s">
        <v>947</v>
      </c>
      <c r="U251" t="s">
        <v>818</v>
      </c>
      <c r="V251" t="s">
        <v>18</v>
      </c>
      <c r="W251" t="s">
        <v>857</v>
      </c>
      <c r="AC251" t="s">
        <v>956</v>
      </c>
      <c r="AD251" t="s">
        <v>818</v>
      </c>
      <c r="AE251" t="s">
        <v>18</v>
      </c>
      <c r="AF251" t="s">
        <v>857</v>
      </c>
      <c r="AJ251" s="844" t="s">
        <v>5135</v>
      </c>
      <c r="AK251" s="844" t="s">
        <v>975</v>
      </c>
      <c r="AL251" s="844" t="s">
        <v>818</v>
      </c>
      <c r="AM251" s="844" t="s">
        <v>18</v>
      </c>
      <c r="AN251" s="844" t="s">
        <v>4000</v>
      </c>
    </row>
    <row r="252" spans="1:40">
      <c r="A252" t="s">
        <v>4973</v>
      </c>
      <c r="B252" t="s">
        <v>947</v>
      </c>
      <c r="C252" t="s">
        <v>818</v>
      </c>
      <c r="D252" t="s">
        <v>4559</v>
      </c>
      <c r="E252" t="s">
        <v>18</v>
      </c>
      <c r="F252" t="s">
        <v>4568</v>
      </c>
      <c r="M252" t="s">
        <v>4786</v>
      </c>
      <c r="N252" t="s">
        <v>956</v>
      </c>
      <c r="O252" t="s">
        <v>53</v>
      </c>
      <c r="P252" t="s">
        <v>4428</v>
      </c>
      <c r="T252" t="s">
        <v>947</v>
      </c>
      <c r="U252" t="s">
        <v>818</v>
      </c>
      <c r="V252" t="s">
        <v>18</v>
      </c>
      <c r="W252" t="s">
        <v>4559</v>
      </c>
      <c r="AC252" t="s">
        <v>956</v>
      </c>
      <c r="AD252" t="s">
        <v>19</v>
      </c>
      <c r="AE252" t="s">
        <v>857</v>
      </c>
      <c r="AF252" t="s">
        <v>857</v>
      </c>
      <c r="AJ252" s="844" t="s">
        <v>6715</v>
      </c>
      <c r="AK252" s="844" t="s">
        <v>975</v>
      </c>
      <c r="AL252" s="844" t="s">
        <v>818</v>
      </c>
      <c r="AM252" s="844"/>
      <c r="AN252" s="844" t="s">
        <v>4000</v>
      </c>
    </row>
    <row r="253" spans="1:40">
      <c r="A253" t="s">
        <v>6512</v>
      </c>
      <c r="B253" t="s">
        <v>947</v>
      </c>
      <c r="C253" t="s">
        <v>818</v>
      </c>
      <c r="D253" t="s">
        <v>4469</v>
      </c>
      <c r="E253" t="s">
        <v>18</v>
      </c>
      <c r="F253" t="s">
        <v>4470</v>
      </c>
      <c r="M253" t="s">
        <v>4786</v>
      </c>
      <c r="N253" t="s">
        <v>956</v>
      </c>
      <c r="O253" t="s">
        <v>53</v>
      </c>
      <c r="P253" t="s">
        <v>4427</v>
      </c>
      <c r="T253" t="s">
        <v>947</v>
      </c>
      <c r="U253" t="s">
        <v>818</v>
      </c>
      <c r="V253" t="s">
        <v>18</v>
      </c>
      <c r="W253" t="s">
        <v>4469</v>
      </c>
      <c r="AC253" t="s">
        <v>956</v>
      </c>
      <c r="AD253" t="s">
        <v>19</v>
      </c>
      <c r="AE253" t="s">
        <v>857</v>
      </c>
      <c r="AF253" t="s">
        <v>4070</v>
      </c>
      <c r="AJ253" s="844" t="s">
        <v>5138</v>
      </c>
      <c r="AK253" s="844" t="s">
        <v>975</v>
      </c>
      <c r="AL253" s="844" t="s">
        <v>19</v>
      </c>
      <c r="AM253" s="844" t="s">
        <v>18</v>
      </c>
      <c r="AN253" s="844" t="s">
        <v>4000</v>
      </c>
    </row>
    <row r="254" spans="1:40">
      <c r="A254" t="s">
        <v>6513</v>
      </c>
      <c r="B254" t="s">
        <v>947</v>
      </c>
      <c r="C254" t="s">
        <v>818</v>
      </c>
      <c r="D254" t="s">
        <v>4467</v>
      </c>
      <c r="E254" t="s">
        <v>18</v>
      </c>
      <c r="F254" t="s">
        <v>4471</v>
      </c>
      <c r="M254" t="s">
        <v>4786</v>
      </c>
      <c r="N254" t="s">
        <v>956</v>
      </c>
      <c r="O254" t="s">
        <v>53</v>
      </c>
      <c r="P254" t="s">
        <v>4426</v>
      </c>
      <c r="T254" t="s">
        <v>947</v>
      </c>
      <c r="U254" t="s">
        <v>818</v>
      </c>
      <c r="V254" t="s">
        <v>18</v>
      </c>
      <c r="W254" t="s">
        <v>4467</v>
      </c>
      <c r="AC254" t="s">
        <v>956</v>
      </c>
      <c r="AD254" t="s">
        <v>19</v>
      </c>
      <c r="AE254" t="s">
        <v>53</v>
      </c>
      <c r="AF254" t="s">
        <v>857</v>
      </c>
      <c r="AJ254" s="844" t="s">
        <v>6716</v>
      </c>
      <c r="AK254" s="844" t="s">
        <v>975</v>
      </c>
      <c r="AL254" s="844" t="s">
        <v>19</v>
      </c>
      <c r="AM254" s="844"/>
      <c r="AN254" s="844" t="s">
        <v>4000</v>
      </c>
    </row>
    <row r="255" spans="1:40">
      <c r="A255" t="s">
        <v>6513</v>
      </c>
      <c r="B255" t="s">
        <v>947</v>
      </c>
      <c r="C255" t="s">
        <v>818</v>
      </c>
      <c r="D255" t="s">
        <v>4467</v>
      </c>
      <c r="E255" t="s">
        <v>18</v>
      </c>
      <c r="F255" t="s">
        <v>4468</v>
      </c>
      <c r="M255" t="s">
        <v>4787</v>
      </c>
      <c r="N255" t="s">
        <v>956</v>
      </c>
      <c r="O255" t="s">
        <v>18</v>
      </c>
      <c r="P255" t="s">
        <v>4440</v>
      </c>
      <c r="T255" t="s">
        <v>947</v>
      </c>
      <c r="U255" t="s">
        <v>818</v>
      </c>
      <c r="V255" t="s">
        <v>18</v>
      </c>
      <c r="W255" t="s">
        <v>4467</v>
      </c>
      <c r="AC255" t="s">
        <v>956</v>
      </c>
      <c r="AD255" t="s">
        <v>19</v>
      </c>
      <c r="AE255" t="s">
        <v>53</v>
      </c>
      <c r="AF255" t="s">
        <v>3117</v>
      </c>
      <c r="AJ255" s="844" t="s">
        <v>5141</v>
      </c>
      <c r="AK255" s="844" t="s">
        <v>975</v>
      </c>
      <c r="AL255" s="844" t="s">
        <v>816</v>
      </c>
      <c r="AM255" s="844" t="s">
        <v>18</v>
      </c>
      <c r="AN255" s="844" t="s">
        <v>4000</v>
      </c>
    </row>
    <row r="256" spans="1:40">
      <c r="A256" t="s">
        <v>6305</v>
      </c>
      <c r="B256" t="s">
        <v>947</v>
      </c>
      <c r="C256" t="s">
        <v>818</v>
      </c>
      <c r="D256" t="s">
        <v>2366</v>
      </c>
      <c r="F256" t="s">
        <v>4118</v>
      </c>
      <c r="M256" t="s">
        <v>4787</v>
      </c>
      <c r="N256" t="s">
        <v>956</v>
      </c>
      <c r="O256" t="s">
        <v>18</v>
      </c>
      <c r="P256" t="s">
        <v>4439</v>
      </c>
      <c r="T256" t="s">
        <v>947</v>
      </c>
      <c r="U256" t="s">
        <v>818</v>
      </c>
      <c r="V256" t="s">
        <v>857</v>
      </c>
      <c r="W256" t="s">
        <v>2366</v>
      </c>
      <c r="AC256" t="s">
        <v>956</v>
      </c>
      <c r="AD256" t="s">
        <v>19</v>
      </c>
      <c r="AE256" t="s">
        <v>53</v>
      </c>
      <c r="AF256" t="s">
        <v>4070</v>
      </c>
      <c r="AJ256" s="844" t="s">
        <v>6717</v>
      </c>
      <c r="AK256" s="844" t="s">
        <v>975</v>
      </c>
      <c r="AL256" s="844" t="s">
        <v>816</v>
      </c>
      <c r="AM256" s="844"/>
      <c r="AN256" s="844" t="s">
        <v>4000</v>
      </c>
    </row>
    <row r="257" spans="1:40">
      <c r="A257" t="s">
        <v>6304</v>
      </c>
      <c r="B257" t="s">
        <v>947</v>
      </c>
      <c r="C257" t="s">
        <v>818</v>
      </c>
      <c r="E257" t="s">
        <v>18</v>
      </c>
      <c r="F257" t="s">
        <v>4575</v>
      </c>
      <c r="M257" t="s">
        <v>4787</v>
      </c>
      <c r="N257" t="s">
        <v>956</v>
      </c>
      <c r="O257" t="s">
        <v>18</v>
      </c>
      <c r="P257" t="s">
        <v>4438</v>
      </c>
      <c r="T257" t="s">
        <v>947</v>
      </c>
      <c r="U257" t="s">
        <v>19</v>
      </c>
      <c r="V257" t="s">
        <v>857</v>
      </c>
      <c r="W257" t="s">
        <v>857</v>
      </c>
      <c r="AC257" t="s">
        <v>956</v>
      </c>
      <c r="AD257" t="s">
        <v>19</v>
      </c>
      <c r="AE257" t="s">
        <v>18</v>
      </c>
      <c r="AF257" t="s">
        <v>857</v>
      </c>
      <c r="AJ257" s="844" t="s">
        <v>5144</v>
      </c>
      <c r="AK257" s="844" t="s">
        <v>2670</v>
      </c>
      <c r="AL257" s="844" t="s">
        <v>818</v>
      </c>
      <c r="AM257" s="844" t="s">
        <v>18</v>
      </c>
      <c r="AN257" s="844" t="s">
        <v>2674</v>
      </c>
    </row>
    <row r="258" spans="1:40">
      <c r="A258" t="s">
        <v>6304</v>
      </c>
      <c r="B258" t="s">
        <v>947</v>
      </c>
      <c r="C258" t="s">
        <v>818</v>
      </c>
      <c r="E258" t="s">
        <v>18</v>
      </c>
      <c r="F258" t="s">
        <v>4474</v>
      </c>
      <c r="M258" t="s">
        <v>4787</v>
      </c>
      <c r="N258" t="s">
        <v>956</v>
      </c>
      <c r="O258" t="s">
        <v>18</v>
      </c>
      <c r="P258" t="s">
        <v>4437</v>
      </c>
      <c r="T258" t="s">
        <v>947</v>
      </c>
      <c r="U258" t="s">
        <v>19</v>
      </c>
      <c r="V258" t="s">
        <v>857</v>
      </c>
      <c r="W258" t="s">
        <v>857</v>
      </c>
      <c r="AC258" t="s">
        <v>956</v>
      </c>
      <c r="AD258" t="s">
        <v>2384</v>
      </c>
      <c r="AE258" t="s">
        <v>857</v>
      </c>
      <c r="AF258" t="s">
        <v>857</v>
      </c>
      <c r="AJ258" s="844" t="s">
        <v>5144</v>
      </c>
      <c r="AK258" s="844" t="s">
        <v>2670</v>
      </c>
      <c r="AL258" s="844" t="s">
        <v>818</v>
      </c>
      <c r="AM258" s="844" t="s">
        <v>18</v>
      </c>
      <c r="AN258" s="844" t="s">
        <v>2669</v>
      </c>
    </row>
    <row r="259" spans="1:40">
      <c r="A259" t="s">
        <v>4976</v>
      </c>
      <c r="B259" t="s">
        <v>947</v>
      </c>
      <c r="C259" t="s">
        <v>19</v>
      </c>
      <c r="D259" t="s">
        <v>4465</v>
      </c>
      <c r="E259" t="s">
        <v>18</v>
      </c>
      <c r="F259" t="s">
        <v>4567</v>
      </c>
      <c r="M259" t="s">
        <v>4787</v>
      </c>
      <c r="N259" t="s">
        <v>956</v>
      </c>
      <c r="O259" t="s">
        <v>18</v>
      </c>
      <c r="P259" t="s">
        <v>4436</v>
      </c>
      <c r="T259" t="s">
        <v>947</v>
      </c>
      <c r="U259" t="s">
        <v>19</v>
      </c>
      <c r="V259" t="s">
        <v>18</v>
      </c>
      <c r="W259" t="s">
        <v>857</v>
      </c>
      <c r="AC259" t="s">
        <v>956</v>
      </c>
      <c r="AD259" t="s">
        <v>2384</v>
      </c>
      <c r="AE259" t="s">
        <v>857</v>
      </c>
      <c r="AF259" t="s">
        <v>4076</v>
      </c>
      <c r="AJ259" s="844" t="s">
        <v>5147</v>
      </c>
      <c r="AK259" s="844" t="s">
        <v>2670</v>
      </c>
      <c r="AL259" s="844" t="s">
        <v>19</v>
      </c>
      <c r="AM259" s="844" t="s">
        <v>18</v>
      </c>
      <c r="AN259" s="844" t="s">
        <v>2669</v>
      </c>
    </row>
    <row r="260" spans="1:40">
      <c r="A260" t="s">
        <v>4976</v>
      </c>
      <c r="B260" t="s">
        <v>947</v>
      </c>
      <c r="C260" t="s">
        <v>19</v>
      </c>
      <c r="D260" t="s">
        <v>4465</v>
      </c>
      <c r="E260" t="s">
        <v>18</v>
      </c>
      <c r="F260" t="s">
        <v>4466</v>
      </c>
      <c r="M260" t="s">
        <v>4787</v>
      </c>
      <c r="N260" t="s">
        <v>956</v>
      </c>
      <c r="O260" t="s">
        <v>18</v>
      </c>
      <c r="P260" t="s">
        <v>4435</v>
      </c>
      <c r="T260" t="s">
        <v>947</v>
      </c>
      <c r="U260" t="s">
        <v>19</v>
      </c>
      <c r="V260" t="s">
        <v>18</v>
      </c>
      <c r="W260" t="s">
        <v>857</v>
      </c>
      <c r="AC260" t="s">
        <v>956</v>
      </c>
      <c r="AD260" t="s">
        <v>2384</v>
      </c>
      <c r="AE260" t="s">
        <v>53</v>
      </c>
      <c r="AF260" t="s">
        <v>3117</v>
      </c>
      <c r="AJ260" s="844" t="s">
        <v>6718</v>
      </c>
      <c r="AK260" s="844" t="s">
        <v>2670</v>
      </c>
      <c r="AL260" s="844" t="s">
        <v>19</v>
      </c>
      <c r="AM260" s="844"/>
      <c r="AN260" s="844" t="s">
        <v>2669</v>
      </c>
    </row>
    <row r="261" spans="1:40">
      <c r="A261" t="s">
        <v>4977</v>
      </c>
      <c r="B261" t="s">
        <v>947</v>
      </c>
      <c r="C261" t="s">
        <v>19</v>
      </c>
      <c r="D261" t="s">
        <v>4559</v>
      </c>
      <c r="E261" t="s">
        <v>18</v>
      </c>
      <c r="F261" t="s">
        <v>4566</v>
      </c>
      <c r="M261" t="s">
        <v>4787</v>
      </c>
      <c r="N261" t="s">
        <v>956</v>
      </c>
      <c r="O261" t="s">
        <v>18</v>
      </c>
      <c r="P261" t="s">
        <v>4434</v>
      </c>
      <c r="T261" t="s">
        <v>947</v>
      </c>
      <c r="U261" t="s">
        <v>19</v>
      </c>
      <c r="V261" t="s">
        <v>18</v>
      </c>
      <c r="W261" t="s">
        <v>857</v>
      </c>
      <c r="AC261" t="s">
        <v>956</v>
      </c>
      <c r="AD261" t="s">
        <v>816</v>
      </c>
      <c r="AE261" t="s">
        <v>53</v>
      </c>
      <c r="AF261" t="s">
        <v>4430</v>
      </c>
      <c r="AJ261" s="844" t="s">
        <v>6719</v>
      </c>
      <c r="AK261" s="844" t="s">
        <v>2670</v>
      </c>
      <c r="AL261" s="844" t="s">
        <v>2384</v>
      </c>
      <c r="AM261" s="844"/>
      <c r="AN261" s="844" t="s">
        <v>2674</v>
      </c>
    </row>
    <row r="262" spans="1:40">
      <c r="A262" t="s">
        <v>6514</v>
      </c>
      <c r="B262" t="s">
        <v>947</v>
      </c>
      <c r="C262" t="s">
        <v>19</v>
      </c>
      <c r="D262" t="s">
        <v>4467</v>
      </c>
      <c r="E262" t="s">
        <v>18</v>
      </c>
      <c r="F262" t="s">
        <v>4565</v>
      </c>
      <c r="M262" t="s">
        <v>4788</v>
      </c>
      <c r="N262" t="s">
        <v>2884</v>
      </c>
      <c r="O262" t="s">
        <v>18</v>
      </c>
      <c r="P262" t="s">
        <v>2886</v>
      </c>
      <c r="T262" t="s">
        <v>947</v>
      </c>
      <c r="U262" t="s">
        <v>19</v>
      </c>
      <c r="V262" t="s">
        <v>18</v>
      </c>
      <c r="W262" t="s">
        <v>4465</v>
      </c>
      <c r="AC262" t="s">
        <v>956</v>
      </c>
      <c r="AD262" t="s">
        <v>816</v>
      </c>
      <c r="AE262" t="s">
        <v>18</v>
      </c>
      <c r="AF262" t="s">
        <v>857</v>
      </c>
      <c r="AJ262" s="844" t="s">
        <v>6719</v>
      </c>
      <c r="AK262" s="844" t="s">
        <v>2670</v>
      </c>
      <c r="AL262" s="844" t="s">
        <v>2384</v>
      </c>
      <c r="AM262" s="844"/>
      <c r="AN262" s="844" t="s">
        <v>2669</v>
      </c>
    </row>
    <row r="263" spans="1:40">
      <c r="A263" t="s">
        <v>4978</v>
      </c>
      <c r="B263" t="s">
        <v>947</v>
      </c>
      <c r="C263" t="s">
        <v>19</v>
      </c>
      <c r="D263" t="s">
        <v>2366</v>
      </c>
      <c r="E263" t="s">
        <v>18</v>
      </c>
      <c r="F263" t="s">
        <v>4564</v>
      </c>
      <c r="M263" t="s">
        <v>4788</v>
      </c>
      <c r="N263" t="s">
        <v>2884</v>
      </c>
      <c r="O263" t="s">
        <v>18</v>
      </c>
      <c r="P263" t="s">
        <v>2885</v>
      </c>
      <c r="T263" t="s">
        <v>947</v>
      </c>
      <c r="U263" t="s">
        <v>19</v>
      </c>
      <c r="V263" t="s">
        <v>18</v>
      </c>
      <c r="W263" t="s">
        <v>4465</v>
      </c>
      <c r="AC263" t="s">
        <v>2884</v>
      </c>
      <c r="AD263" t="s">
        <v>818</v>
      </c>
      <c r="AE263" t="s">
        <v>18</v>
      </c>
      <c r="AF263" t="s">
        <v>857</v>
      </c>
      <c r="AJ263" s="844" t="s">
        <v>5150</v>
      </c>
      <c r="AK263" s="844" t="s">
        <v>2670</v>
      </c>
      <c r="AL263" s="844" t="s">
        <v>816</v>
      </c>
      <c r="AM263" s="844" t="s">
        <v>18</v>
      </c>
      <c r="AN263" s="844" t="s">
        <v>2669</v>
      </c>
    </row>
    <row r="264" spans="1:40">
      <c r="A264" t="s">
        <v>6306</v>
      </c>
      <c r="B264" t="s">
        <v>947</v>
      </c>
      <c r="C264" t="s">
        <v>19</v>
      </c>
      <c r="E264" t="s">
        <v>18</v>
      </c>
      <c r="F264" t="s">
        <v>4574</v>
      </c>
      <c r="M264" t="s">
        <v>4671</v>
      </c>
      <c r="N264" t="s">
        <v>958</v>
      </c>
      <c r="O264" t="s">
        <v>53</v>
      </c>
      <c r="P264" t="s">
        <v>2659</v>
      </c>
      <c r="T264" t="s">
        <v>947</v>
      </c>
      <c r="U264" t="s">
        <v>19</v>
      </c>
      <c r="V264" t="s">
        <v>18</v>
      </c>
      <c r="W264" t="s">
        <v>4559</v>
      </c>
      <c r="AC264" t="s">
        <v>2884</v>
      </c>
      <c r="AD264" t="s">
        <v>818</v>
      </c>
      <c r="AE264" t="s">
        <v>18</v>
      </c>
      <c r="AF264" t="s">
        <v>2883</v>
      </c>
      <c r="AJ264" s="844" t="s">
        <v>6720</v>
      </c>
      <c r="AK264" s="844" t="s">
        <v>977</v>
      </c>
      <c r="AL264" s="844" t="s">
        <v>4826</v>
      </c>
      <c r="AM264" s="844"/>
      <c r="AN264" s="844" t="s">
        <v>3945</v>
      </c>
    </row>
    <row r="265" spans="1:40">
      <c r="A265" t="s">
        <v>6306</v>
      </c>
      <c r="B265" t="s">
        <v>947</v>
      </c>
      <c r="C265" t="s">
        <v>19</v>
      </c>
      <c r="E265" t="s">
        <v>18</v>
      </c>
      <c r="F265" t="s">
        <v>4573</v>
      </c>
      <c r="M265" t="s">
        <v>4671</v>
      </c>
      <c r="N265" t="s">
        <v>958</v>
      </c>
      <c r="O265" t="s">
        <v>53</v>
      </c>
      <c r="P265" t="s">
        <v>2658</v>
      </c>
      <c r="T265" t="s">
        <v>947</v>
      </c>
      <c r="U265" t="s">
        <v>19</v>
      </c>
      <c r="V265" t="s">
        <v>18</v>
      </c>
      <c r="W265" t="s">
        <v>4467</v>
      </c>
      <c r="AC265" t="s">
        <v>958</v>
      </c>
      <c r="AD265" t="s">
        <v>818</v>
      </c>
      <c r="AE265" t="s">
        <v>857</v>
      </c>
      <c r="AF265" t="s">
        <v>857</v>
      </c>
      <c r="AJ265" s="844" t="s">
        <v>5153</v>
      </c>
      <c r="AK265" s="844" t="s">
        <v>977</v>
      </c>
      <c r="AL265" s="844" t="s">
        <v>818</v>
      </c>
      <c r="AM265" s="844" t="s">
        <v>18</v>
      </c>
      <c r="AN265" s="844" t="s">
        <v>4068</v>
      </c>
    </row>
    <row r="266" spans="1:40">
      <c r="A266" t="s">
        <v>6306</v>
      </c>
      <c r="B266" t="s">
        <v>947</v>
      </c>
      <c r="C266" t="s">
        <v>19</v>
      </c>
      <c r="E266" t="s">
        <v>18</v>
      </c>
      <c r="F266" t="s">
        <v>4571</v>
      </c>
      <c r="M266" t="s">
        <v>4671</v>
      </c>
      <c r="N266" t="s">
        <v>958</v>
      </c>
      <c r="O266" t="s">
        <v>53</v>
      </c>
      <c r="P266" t="s">
        <v>2657</v>
      </c>
      <c r="T266" t="s">
        <v>947</v>
      </c>
      <c r="U266" t="s">
        <v>19</v>
      </c>
      <c r="V266" t="s">
        <v>18</v>
      </c>
      <c r="W266" t="s">
        <v>2366</v>
      </c>
      <c r="AC266" t="s">
        <v>958</v>
      </c>
      <c r="AD266" t="s">
        <v>818</v>
      </c>
      <c r="AE266" t="s">
        <v>53</v>
      </c>
      <c r="AF266" t="s">
        <v>857</v>
      </c>
      <c r="AJ266" s="844" t="s">
        <v>5156</v>
      </c>
      <c r="AK266" s="844" t="s">
        <v>977</v>
      </c>
      <c r="AL266" s="844" t="s">
        <v>19</v>
      </c>
      <c r="AM266" s="844" t="s">
        <v>18</v>
      </c>
      <c r="AN266" s="844" t="s">
        <v>4098</v>
      </c>
    </row>
    <row r="267" spans="1:40">
      <c r="A267" t="s">
        <v>4975</v>
      </c>
      <c r="B267" t="s">
        <v>947</v>
      </c>
      <c r="C267" t="s">
        <v>19</v>
      </c>
      <c r="F267" t="s">
        <v>3913</v>
      </c>
      <c r="M267" t="s">
        <v>4671</v>
      </c>
      <c r="N267" t="s">
        <v>958</v>
      </c>
      <c r="O267" t="s">
        <v>53</v>
      </c>
      <c r="P267" t="s">
        <v>2656</v>
      </c>
      <c r="T267" t="s">
        <v>947</v>
      </c>
      <c r="U267" t="s">
        <v>2384</v>
      </c>
      <c r="V267" t="s">
        <v>857</v>
      </c>
      <c r="W267" t="s">
        <v>857</v>
      </c>
      <c r="AC267" t="s">
        <v>958</v>
      </c>
      <c r="AD267" t="s">
        <v>818</v>
      </c>
      <c r="AE267" t="s">
        <v>53</v>
      </c>
      <c r="AF267" t="s">
        <v>2649</v>
      </c>
      <c r="AJ267" s="844" t="s">
        <v>5156</v>
      </c>
      <c r="AK267" s="844" t="s">
        <v>977</v>
      </c>
      <c r="AL267" s="844" t="s">
        <v>19</v>
      </c>
      <c r="AM267" s="844" t="s">
        <v>18</v>
      </c>
      <c r="AN267" s="844" t="s">
        <v>3945</v>
      </c>
    </row>
    <row r="268" spans="1:40">
      <c r="A268" t="s">
        <v>4975</v>
      </c>
      <c r="B268" t="s">
        <v>947</v>
      </c>
      <c r="C268" t="s">
        <v>19</v>
      </c>
      <c r="F268" t="s">
        <v>3825</v>
      </c>
      <c r="M268" t="s">
        <v>4671</v>
      </c>
      <c r="N268" t="s">
        <v>958</v>
      </c>
      <c r="O268" t="s">
        <v>53</v>
      </c>
      <c r="P268" t="s">
        <v>2655</v>
      </c>
      <c r="T268" t="s">
        <v>947</v>
      </c>
      <c r="U268" t="s">
        <v>2384</v>
      </c>
      <c r="V268" t="s">
        <v>857</v>
      </c>
      <c r="W268" t="s">
        <v>4559</v>
      </c>
      <c r="AC268" t="s">
        <v>958</v>
      </c>
      <c r="AD268" t="s">
        <v>818</v>
      </c>
      <c r="AE268" t="s">
        <v>53</v>
      </c>
      <c r="AF268" t="s">
        <v>2647</v>
      </c>
      <c r="AJ268" s="844" t="s">
        <v>6721</v>
      </c>
      <c r="AK268" s="844" t="s">
        <v>977</v>
      </c>
      <c r="AL268" s="844" t="s">
        <v>19</v>
      </c>
      <c r="AM268" s="844"/>
      <c r="AN268" s="844" t="s">
        <v>4098</v>
      </c>
    </row>
    <row r="269" spans="1:40">
      <c r="A269" t="s">
        <v>6307</v>
      </c>
      <c r="B269" t="s">
        <v>947</v>
      </c>
      <c r="C269" t="s">
        <v>2384</v>
      </c>
      <c r="D269" t="s">
        <v>4559</v>
      </c>
      <c r="F269" t="s">
        <v>4560</v>
      </c>
      <c r="M269" t="s">
        <v>4671</v>
      </c>
      <c r="N269" t="s">
        <v>958</v>
      </c>
      <c r="O269" t="s">
        <v>53</v>
      </c>
      <c r="P269" t="s">
        <v>2654</v>
      </c>
      <c r="T269" t="s">
        <v>947</v>
      </c>
      <c r="U269" t="s">
        <v>2384</v>
      </c>
      <c r="V269" t="s">
        <v>857</v>
      </c>
      <c r="W269" t="s">
        <v>4561</v>
      </c>
      <c r="AC269" t="s">
        <v>958</v>
      </c>
      <c r="AD269" t="s">
        <v>818</v>
      </c>
      <c r="AE269" t="s">
        <v>18</v>
      </c>
      <c r="AF269" t="s">
        <v>857</v>
      </c>
      <c r="AJ269" s="844" t="s">
        <v>6722</v>
      </c>
      <c r="AK269" s="844" t="s">
        <v>977</v>
      </c>
      <c r="AL269" s="844" t="s">
        <v>2384</v>
      </c>
      <c r="AM269" s="844"/>
      <c r="AN269" s="844" t="s">
        <v>4068</v>
      </c>
    </row>
    <row r="270" spans="1:40">
      <c r="A270" t="s">
        <v>4981</v>
      </c>
      <c r="B270" t="s">
        <v>947</v>
      </c>
      <c r="C270" t="s">
        <v>2384</v>
      </c>
      <c r="D270" t="s">
        <v>4561</v>
      </c>
      <c r="E270" t="s">
        <v>18</v>
      </c>
      <c r="F270" t="s">
        <v>4570</v>
      </c>
      <c r="M270" t="s">
        <v>4671</v>
      </c>
      <c r="N270" t="s">
        <v>958</v>
      </c>
      <c r="O270" t="s">
        <v>53</v>
      </c>
      <c r="P270" t="s">
        <v>2653</v>
      </c>
      <c r="T270" t="s">
        <v>947</v>
      </c>
      <c r="U270" t="s">
        <v>2384</v>
      </c>
      <c r="V270" t="s">
        <v>18</v>
      </c>
      <c r="W270" t="s">
        <v>4561</v>
      </c>
      <c r="AC270" t="s">
        <v>958</v>
      </c>
      <c r="AD270" t="s">
        <v>19</v>
      </c>
      <c r="AE270" t="s">
        <v>857</v>
      </c>
      <c r="AF270" t="s">
        <v>857</v>
      </c>
      <c r="AJ270" s="844" t="s">
        <v>5158</v>
      </c>
      <c r="AK270" s="844" t="s">
        <v>977</v>
      </c>
      <c r="AL270" s="844" t="s">
        <v>2416</v>
      </c>
      <c r="AM270" s="844" t="s">
        <v>18</v>
      </c>
      <c r="AN270" s="844" t="s">
        <v>4098</v>
      </c>
    </row>
    <row r="271" spans="1:40">
      <c r="A271" t="s">
        <v>6308</v>
      </c>
      <c r="B271" t="s">
        <v>947</v>
      </c>
      <c r="C271" t="s">
        <v>2384</v>
      </c>
      <c r="D271" t="s">
        <v>4561</v>
      </c>
      <c r="F271" t="s">
        <v>4562</v>
      </c>
      <c r="M271" t="s">
        <v>4671</v>
      </c>
      <c r="N271" t="s">
        <v>958</v>
      </c>
      <c r="O271" t="s">
        <v>53</v>
      </c>
      <c r="P271" t="s">
        <v>2652</v>
      </c>
      <c r="T271" t="s">
        <v>947</v>
      </c>
      <c r="U271" t="s">
        <v>2384</v>
      </c>
      <c r="V271" t="s">
        <v>18</v>
      </c>
      <c r="W271" t="s">
        <v>2366</v>
      </c>
      <c r="AC271" t="s">
        <v>958</v>
      </c>
      <c r="AD271" t="s">
        <v>19</v>
      </c>
      <c r="AE271" t="s">
        <v>857</v>
      </c>
      <c r="AF271" t="s">
        <v>2366</v>
      </c>
      <c r="AJ271" s="844" t="s">
        <v>6723</v>
      </c>
      <c r="AK271" s="844" t="s">
        <v>977</v>
      </c>
      <c r="AL271" s="844" t="s">
        <v>2416</v>
      </c>
      <c r="AM271" s="844"/>
      <c r="AN271" s="844" t="s">
        <v>4098</v>
      </c>
    </row>
    <row r="272" spans="1:40">
      <c r="A272" t="s">
        <v>4982</v>
      </c>
      <c r="B272" t="s">
        <v>947</v>
      </c>
      <c r="C272" t="s">
        <v>2384</v>
      </c>
      <c r="D272" t="s">
        <v>2366</v>
      </c>
      <c r="E272" t="s">
        <v>18</v>
      </c>
      <c r="F272" t="s">
        <v>4569</v>
      </c>
      <c r="M272" t="s">
        <v>4671</v>
      </c>
      <c r="N272" t="s">
        <v>958</v>
      </c>
      <c r="O272" t="s">
        <v>53</v>
      </c>
      <c r="P272" t="s">
        <v>2651</v>
      </c>
      <c r="T272" t="s">
        <v>947</v>
      </c>
      <c r="U272" t="s">
        <v>816</v>
      </c>
      <c r="V272" t="s">
        <v>18</v>
      </c>
      <c r="W272" t="s">
        <v>857</v>
      </c>
      <c r="AC272" t="s">
        <v>958</v>
      </c>
      <c r="AD272" t="s">
        <v>19</v>
      </c>
      <c r="AE272" t="s">
        <v>53</v>
      </c>
      <c r="AF272" t="s">
        <v>857</v>
      </c>
      <c r="AJ272" s="844" t="s">
        <v>5161</v>
      </c>
      <c r="AK272" s="844" t="s">
        <v>977</v>
      </c>
      <c r="AL272" s="844" t="s">
        <v>816</v>
      </c>
      <c r="AM272" s="844" t="s">
        <v>18</v>
      </c>
      <c r="AN272" s="844" t="s">
        <v>4098</v>
      </c>
    </row>
    <row r="273" spans="1:40">
      <c r="A273" t="s">
        <v>4980</v>
      </c>
      <c r="B273" t="s">
        <v>947</v>
      </c>
      <c r="C273" t="s">
        <v>2384</v>
      </c>
      <c r="F273" t="s">
        <v>3824</v>
      </c>
      <c r="M273" t="s">
        <v>4671</v>
      </c>
      <c r="N273" t="s">
        <v>958</v>
      </c>
      <c r="O273" t="s">
        <v>53</v>
      </c>
      <c r="P273" t="s">
        <v>2650</v>
      </c>
      <c r="T273" t="s">
        <v>947</v>
      </c>
      <c r="U273" t="s">
        <v>816</v>
      </c>
      <c r="V273" t="s">
        <v>18</v>
      </c>
      <c r="W273" t="s">
        <v>4559</v>
      </c>
      <c r="AC273" t="s">
        <v>958</v>
      </c>
      <c r="AD273" t="s">
        <v>19</v>
      </c>
      <c r="AE273" t="s">
        <v>53</v>
      </c>
      <c r="AF273" t="s">
        <v>2649</v>
      </c>
      <c r="AJ273" s="844" t="s">
        <v>5163</v>
      </c>
      <c r="AK273" s="844" t="s">
        <v>978</v>
      </c>
      <c r="AL273" s="844" t="s">
        <v>816</v>
      </c>
      <c r="AM273" s="844" t="s">
        <v>18</v>
      </c>
      <c r="AN273" s="844" t="s">
        <v>4237</v>
      </c>
    </row>
    <row r="274" spans="1:40">
      <c r="A274" t="s">
        <v>4984</v>
      </c>
      <c r="B274" t="s">
        <v>947</v>
      </c>
      <c r="C274" t="s">
        <v>816</v>
      </c>
      <c r="D274" t="s">
        <v>4559</v>
      </c>
      <c r="E274" t="s">
        <v>18</v>
      </c>
      <c r="F274" t="s">
        <v>4563</v>
      </c>
      <c r="M274" t="s">
        <v>4671</v>
      </c>
      <c r="N274" t="s">
        <v>958</v>
      </c>
      <c r="O274" t="s">
        <v>53</v>
      </c>
      <c r="P274" t="s">
        <v>2648</v>
      </c>
      <c r="T274" t="s">
        <v>947</v>
      </c>
      <c r="U274" t="s">
        <v>816</v>
      </c>
      <c r="V274" t="s">
        <v>18</v>
      </c>
      <c r="W274" t="s">
        <v>4472</v>
      </c>
      <c r="AC274" t="s">
        <v>958</v>
      </c>
      <c r="AD274" t="s">
        <v>19</v>
      </c>
      <c r="AE274" t="s">
        <v>53</v>
      </c>
      <c r="AF274" t="s">
        <v>2366</v>
      </c>
      <c r="AJ274" s="844" t="s">
        <v>6724</v>
      </c>
      <c r="AK274" s="844" t="s">
        <v>979</v>
      </c>
      <c r="AL274" s="844" t="s">
        <v>4826</v>
      </c>
      <c r="AM274" s="844"/>
      <c r="AN274" s="844" t="s">
        <v>3729</v>
      </c>
    </row>
    <row r="275" spans="1:40">
      <c r="A275" t="s">
        <v>4985</v>
      </c>
      <c r="B275" t="s">
        <v>947</v>
      </c>
      <c r="C275" t="s">
        <v>816</v>
      </c>
      <c r="D275" t="s">
        <v>4472</v>
      </c>
      <c r="E275" t="s">
        <v>18</v>
      </c>
      <c r="F275" t="s">
        <v>4473</v>
      </c>
      <c r="M275" t="s">
        <v>4672</v>
      </c>
      <c r="N275" t="s">
        <v>958</v>
      </c>
      <c r="O275" t="s">
        <v>18</v>
      </c>
      <c r="P275" t="s">
        <v>2662</v>
      </c>
      <c r="T275" t="s">
        <v>947</v>
      </c>
      <c r="U275" t="s">
        <v>4638</v>
      </c>
      <c r="V275" t="s">
        <v>857</v>
      </c>
      <c r="W275" t="s">
        <v>2366</v>
      </c>
      <c r="AC275" t="s">
        <v>958</v>
      </c>
      <c r="AD275" t="s">
        <v>19</v>
      </c>
      <c r="AE275" t="s">
        <v>18</v>
      </c>
      <c r="AF275" t="s">
        <v>857</v>
      </c>
      <c r="AJ275" s="844" t="s">
        <v>5164</v>
      </c>
      <c r="AK275" s="844" t="s">
        <v>979</v>
      </c>
      <c r="AL275" s="844" t="s">
        <v>816</v>
      </c>
      <c r="AM275" s="844" t="s">
        <v>53</v>
      </c>
      <c r="AN275" s="844" t="s">
        <v>3729</v>
      </c>
    </row>
    <row r="276" spans="1:40">
      <c r="A276" t="s">
        <v>6309</v>
      </c>
      <c r="B276" t="s">
        <v>947</v>
      </c>
      <c r="C276" t="s">
        <v>816</v>
      </c>
      <c r="E276" t="s">
        <v>18</v>
      </c>
      <c r="F276" t="s">
        <v>4572</v>
      </c>
      <c r="M276" t="s">
        <v>4672</v>
      </c>
      <c r="N276" t="s">
        <v>958</v>
      </c>
      <c r="O276" t="s">
        <v>18</v>
      </c>
      <c r="P276" t="s">
        <v>2661</v>
      </c>
      <c r="T276" t="s">
        <v>947</v>
      </c>
      <c r="U276" t="s">
        <v>4638</v>
      </c>
      <c r="V276" t="s">
        <v>857</v>
      </c>
      <c r="W276" t="s">
        <v>2366</v>
      </c>
      <c r="AC276" t="s">
        <v>958</v>
      </c>
      <c r="AD276" t="s">
        <v>2384</v>
      </c>
      <c r="AE276" t="s">
        <v>857</v>
      </c>
      <c r="AF276" t="s">
        <v>857</v>
      </c>
      <c r="AJ276" s="844" t="s">
        <v>5164</v>
      </c>
      <c r="AK276" s="844" t="s">
        <v>979</v>
      </c>
      <c r="AL276" s="844" t="s">
        <v>816</v>
      </c>
      <c r="AM276" s="844" t="s">
        <v>53</v>
      </c>
      <c r="AN276" s="844" t="s">
        <v>3727</v>
      </c>
    </row>
    <row r="277" spans="1:40">
      <c r="A277" t="s">
        <v>5000</v>
      </c>
      <c r="B277" t="s">
        <v>4090</v>
      </c>
      <c r="C277" t="s">
        <v>818</v>
      </c>
      <c r="D277" t="s">
        <v>4319</v>
      </c>
      <c r="E277" t="s">
        <v>18</v>
      </c>
      <c r="F277" t="s">
        <v>4320</v>
      </c>
      <c r="M277" t="s">
        <v>4672</v>
      </c>
      <c r="N277" t="s">
        <v>958</v>
      </c>
      <c r="O277" t="s">
        <v>18</v>
      </c>
      <c r="P277" t="s">
        <v>2660</v>
      </c>
      <c r="T277" t="s">
        <v>4090</v>
      </c>
      <c r="U277" t="s">
        <v>818</v>
      </c>
      <c r="V277" t="s">
        <v>18</v>
      </c>
      <c r="W277" t="s">
        <v>4319</v>
      </c>
      <c r="AC277" t="s">
        <v>958</v>
      </c>
      <c r="AD277" t="s">
        <v>2384</v>
      </c>
      <c r="AE277" t="s">
        <v>857</v>
      </c>
      <c r="AF277" t="s">
        <v>2647</v>
      </c>
      <c r="AJ277" s="844" t="s">
        <v>6725</v>
      </c>
      <c r="AK277" s="844" t="s">
        <v>979</v>
      </c>
      <c r="AL277" s="844" t="s">
        <v>816</v>
      </c>
      <c r="AM277" s="844"/>
      <c r="AN277" s="844" t="s">
        <v>3729</v>
      </c>
    </row>
    <row r="278" spans="1:40">
      <c r="A278" t="s">
        <v>5001</v>
      </c>
      <c r="B278" t="s">
        <v>4090</v>
      </c>
      <c r="C278" t="s">
        <v>818</v>
      </c>
      <c r="D278" t="s">
        <v>4089</v>
      </c>
      <c r="E278" t="s">
        <v>18</v>
      </c>
      <c r="F278" t="s">
        <v>4321</v>
      </c>
      <c r="M278" t="s">
        <v>4673</v>
      </c>
      <c r="N278" t="s">
        <v>959</v>
      </c>
      <c r="O278" t="s">
        <v>18</v>
      </c>
      <c r="P278" t="s">
        <v>4423</v>
      </c>
      <c r="T278" t="s">
        <v>4090</v>
      </c>
      <c r="U278" t="s">
        <v>818</v>
      </c>
      <c r="V278" t="s">
        <v>18</v>
      </c>
      <c r="W278" t="s">
        <v>4089</v>
      </c>
      <c r="AC278" t="s">
        <v>958</v>
      </c>
      <c r="AD278" t="s">
        <v>2384</v>
      </c>
      <c r="AE278" t="s">
        <v>857</v>
      </c>
      <c r="AF278" t="s">
        <v>3486</v>
      </c>
      <c r="AJ278" s="844" t="s">
        <v>5168</v>
      </c>
      <c r="AK278" s="844" t="s">
        <v>980</v>
      </c>
      <c r="AL278" s="844" t="s">
        <v>818</v>
      </c>
      <c r="AM278" s="844" t="s">
        <v>53</v>
      </c>
      <c r="AN278" s="844" t="s">
        <v>3656</v>
      </c>
    </row>
    <row r="279" spans="1:40">
      <c r="A279" t="s">
        <v>5003</v>
      </c>
      <c r="B279" t="s">
        <v>4090</v>
      </c>
      <c r="C279" t="s">
        <v>19</v>
      </c>
      <c r="D279" t="s">
        <v>4089</v>
      </c>
      <c r="E279" t="s">
        <v>53</v>
      </c>
      <c r="F279" t="s">
        <v>4322</v>
      </c>
      <c r="M279" t="s">
        <v>4674</v>
      </c>
      <c r="N279" t="s">
        <v>960</v>
      </c>
      <c r="O279" t="s">
        <v>53</v>
      </c>
      <c r="P279" t="s">
        <v>4410</v>
      </c>
      <c r="T279" t="s">
        <v>4090</v>
      </c>
      <c r="U279" t="s">
        <v>19</v>
      </c>
      <c r="V279" t="s">
        <v>53</v>
      </c>
      <c r="W279" t="s">
        <v>4089</v>
      </c>
      <c r="AC279" t="s">
        <v>958</v>
      </c>
      <c r="AD279" t="s">
        <v>2416</v>
      </c>
      <c r="AE279" t="s">
        <v>857</v>
      </c>
      <c r="AF279" t="s">
        <v>857</v>
      </c>
      <c r="AJ279" s="844" t="s">
        <v>5168</v>
      </c>
      <c r="AK279" s="844" t="s">
        <v>980</v>
      </c>
      <c r="AL279" s="844" t="s">
        <v>818</v>
      </c>
      <c r="AM279" s="844" t="s">
        <v>53</v>
      </c>
      <c r="AN279" s="844" t="s">
        <v>3654</v>
      </c>
    </row>
    <row r="280" spans="1:40">
      <c r="A280" t="s">
        <v>5003</v>
      </c>
      <c r="B280" t="s">
        <v>4090</v>
      </c>
      <c r="C280" t="s">
        <v>19</v>
      </c>
      <c r="D280" t="s">
        <v>4089</v>
      </c>
      <c r="E280" t="s">
        <v>53</v>
      </c>
      <c r="F280" t="s">
        <v>4317</v>
      </c>
      <c r="M280" t="s">
        <v>4675</v>
      </c>
      <c r="N280" t="s">
        <v>960</v>
      </c>
      <c r="O280" t="s">
        <v>18</v>
      </c>
      <c r="P280" t="s">
        <v>4422</v>
      </c>
      <c r="T280" t="s">
        <v>4090</v>
      </c>
      <c r="U280" t="s">
        <v>19</v>
      </c>
      <c r="V280" t="s">
        <v>53</v>
      </c>
      <c r="W280" t="s">
        <v>4089</v>
      </c>
      <c r="AC280" t="s">
        <v>958</v>
      </c>
      <c r="AD280" t="s">
        <v>816</v>
      </c>
      <c r="AE280" t="s">
        <v>53</v>
      </c>
      <c r="AF280" t="s">
        <v>2649</v>
      </c>
      <c r="AJ280" s="844" t="s">
        <v>5171</v>
      </c>
      <c r="AK280" s="844" t="s">
        <v>980</v>
      </c>
      <c r="AL280" s="844" t="s">
        <v>818</v>
      </c>
      <c r="AM280" s="844" t="s">
        <v>18</v>
      </c>
      <c r="AN280" s="844" t="s">
        <v>3656</v>
      </c>
    </row>
    <row r="281" spans="1:40">
      <c r="A281" t="s">
        <v>5005</v>
      </c>
      <c r="B281" t="s">
        <v>4090</v>
      </c>
      <c r="C281" t="s">
        <v>2384</v>
      </c>
      <c r="D281" t="s">
        <v>4089</v>
      </c>
      <c r="E281" t="s">
        <v>53</v>
      </c>
      <c r="F281" t="s">
        <v>4318</v>
      </c>
      <c r="M281" t="s">
        <v>4675</v>
      </c>
      <c r="N281" t="s">
        <v>960</v>
      </c>
      <c r="O281" t="s">
        <v>18</v>
      </c>
      <c r="P281" t="s">
        <v>4421</v>
      </c>
      <c r="T281" t="s">
        <v>4090</v>
      </c>
      <c r="U281" t="s">
        <v>2384</v>
      </c>
      <c r="V281" t="s">
        <v>857</v>
      </c>
      <c r="W281" t="s">
        <v>4089</v>
      </c>
      <c r="AC281" t="s">
        <v>958</v>
      </c>
      <c r="AD281" t="s">
        <v>816</v>
      </c>
      <c r="AE281" t="s">
        <v>53</v>
      </c>
      <c r="AF281" t="s">
        <v>2647</v>
      </c>
      <c r="AJ281" s="844" t="s">
        <v>5171</v>
      </c>
      <c r="AK281" s="844" t="s">
        <v>980</v>
      </c>
      <c r="AL281" s="844" t="s">
        <v>818</v>
      </c>
      <c r="AM281" s="844" t="s">
        <v>18</v>
      </c>
      <c r="AN281" s="844" t="s">
        <v>3654</v>
      </c>
    </row>
    <row r="282" spans="1:40">
      <c r="A282" t="s">
        <v>5005</v>
      </c>
      <c r="B282" t="s">
        <v>4090</v>
      </c>
      <c r="C282" t="s">
        <v>2384</v>
      </c>
      <c r="D282" t="s">
        <v>4089</v>
      </c>
      <c r="E282" t="s">
        <v>53</v>
      </c>
      <c r="F282" t="s">
        <v>4316</v>
      </c>
      <c r="M282" t="s">
        <v>4675</v>
      </c>
      <c r="N282" t="s">
        <v>960</v>
      </c>
      <c r="O282" t="s">
        <v>18</v>
      </c>
      <c r="P282" t="s">
        <v>4420</v>
      </c>
      <c r="T282" t="s">
        <v>4090</v>
      </c>
      <c r="U282" t="s">
        <v>2384</v>
      </c>
      <c r="V282" t="s">
        <v>53</v>
      </c>
      <c r="W282" t="s">
        <v>4089</v>
      </c>
      <c r="AC282" t="s">
        <v>958</v>
      </c>
      <c r="AD282" t="s">
        <v>816</v>
      </c>
      <c r="AE282" t="s">
        <v>18</v>
      </c>
      <c r="AF282" t="s">
        <v>857</v>
      </c>
      <c r="AJ282" s="844" t="s">
        <v>5174</v>
      </c>
      <c r="AK282" s="844" t="s">
        <v>980</v>
      </c>
      <c r="AL282" s="844" t="s">
        <v>19</v>
      </c>
      <c r="AM282" s="844" t="s">
        <v>18</v>
      </c>
      <c r="AN282" s="844" t="s">
        <v>2768</v>
      </c>
    </row>
    <row r="283" spans="1:40">
      <c r="A283" t="s">
        <v>6310</v>
      </c>
      <c r="B283" t="s">
        <v>4090</v>
      </c>
      <c r="C283" t="s">
        <v>2384</v>
      </c>
      <c r="D283" t="s">
        <v>4089</v>
      </c>
      <c r="F283" t="s">
        <v>4091</v>
      </c>
      <c r="M283" t="s">
        <v>4675</v>
      </c>
      <c r="N283" t="s">
        <v>960</v>
      </c>
      <c r="O283" t="s">
        <v>18</v>
      </c>
      <c r="P283" t="s">
        <v>4419</v>
      </c>
      <c r="T283" t="s">
        <v>4090</v>
      </c>
      <c r="U283" t="s">
        <v>2384</v>
      </c>
      <c r="V283" t="s">
        <v>53</v>
      </c>
      <c r="W283" t="s">
        <v>4089</v>
      </c>
      <c r="AC283" t="s">
        <v>959</v>
      </c>
      <c r="AD283" t="s">
        <v>818</v>
      </c>
      <c r="AE283" t="s">
        <v>18</v>
      </c>
      <c r="AF283" t="s">
        <v>857</v>
      </c>
      <c r="AJ283" s="844" t="s">
        <v>5174</v>
      </c>
      <c r="AK283" s="844" t="s">
        <v>980</v>
      </c>
      <c r="AL283" s="844" t="s">
        <v>19</v>
      </c>
      <c r="AM283" s="844" t="s">
        <v>18</v>
      </c>
      <c r="AN283" s="844" t="s">
        <v>3648</v>
      </c>
    </row>
    <row r="284" spans="1:40">
      <c r="A284" t="s">
        <v>6312</v>
      </c>
      <c r="B284" t="s">
        <v>949</v>
      </c>
      <c r="C284" t="s">
        <v>818</v>
      </c>
      <c r="D284" t="s">
        <v>2804</v>
      </c>
      <c r="F284" t="s">
        <v>4217</v>
      </c>
      <c r="M284" t="s">
        <v>4675</v>
      </c>
      <c r="N284" t="s">
        <v>960</v>
      </c>
      <c r="O284" t="s">
        <v>18</v>
      </c>
      <c r="P284" t="s">
        <v>4418</v>
      </c>
      <c r="T284" t="s">
        <v>949</v>
      </c>
      <c r="U284" t="s">
        <v>818</v>
      </c>
      <c r="V284" t="s">
        <v>18</v>
      </c>
      <c r="W284" t="s">
        <v>857</v>
      </c>
      <c r="AC284" t="s">
        <v>960</v>
      </c>
      <c r="AD284" t="s">
        <v>818</v>
      </c>
      <c r="AE284" t="s">
        <v>18</v>
      </c>
      <c r="AF284" t="s">
        <v>857</v>
      </c>
      <c r="AJ284" s="844" t="s">
        <v>6726</v>
      </c>
      <c r="AK284" s="844" t="s">
        <v>980</v>
      </c>
      <c r="AL284" s="844" t="s">
        <v>19</v>
      </c>
      <c r="AM284" s="844"/>
      <c r="AN284" s="844" t="s">
        <v>3648</v>
      </c>
    </row>
    <row r="285" spans="1:40">
      <c r="A285" t="s">
        <v>5007</v>
      </c>
      <c r="B285" t="s">
        <v>949</v>
      </c>
      <c r="C285" t="s">
        <v>818</v>
      </c>
      <c r="D285" t="s">
        <v>3420</v>
      </c>
      <c r="E285" t="s">
        <v>18</v>
      </c>
      <c r="F285" t="s">
        <v>3421</v>
      </c>
      <c r="M285" t="s">
        <v>4675</v>
      </c>
      <c r="N285" t="s">
        <v>960</v>
      </c>
      <c r="O285" t="s">
        <v>18</v>
      </c>
      <c r="P285" t="s">
        <v>4417</v>
      </c>
      <c r="T285" t="s">
        <v>949</v>
      </c>
      <c r="U285" t="s">
        <v>818</v>
      </c>
      <c r="V285" t="s">
        <v>18</v>
      </c>
      <c r="W285" t="s">
        <v>857</v>
      </c>
      <c r="AC285" t="s">
        <v>960</v>
      </c>
      <c r="AD285" t="s">
        <v>19</v>
      </c>
      <c r="AE285" t="s">
        <v>18</v>
      </c>
      <c r="AF285" t="s">
        <v>857</v>
      </c>
      <c r="AJ285" s="844" t="s">
        <v>5177</v>
      </c>
      <c r="AK285" s="844" t="s">
        <v>980</v>
      </c>
      <c r="AL285" s="844" t="s">
        <v>2384</v>
      </c>
      <c r="AM285" s="844" t="s">
        <v>18</v>
      </c>
      <c r="AN285" s="844" t="s">
        <v>3656</v>
      </c>
    </row>
    <row r="286" spans="1:40">
      <c r="A286" t="s">
        <v>6311</v>
      </c>
      <c r="B286" t="s">
        <v>949</v>
      </c>
      <c r="C286" t="s">
        <v>818</v>
      </c>
      <c r="E286" t="s">
        <v>18</v>
      </c>
      <c r="F286" t="s">
        <v>3435</v>
      </c>
      <c r="M286" t="s">
        <v>4675</v>
      </c>
      <c r="N286" t="s">
        <v>960</v>
      </c>
      <c r="O286" t="s">
        <v>18</v>
      </c>
      <c r="P286" t="s">
        <v>4416</v>
      </c>
      <c r="T286" t="s">
        <v>949</v>
      </c>
      <c r="U286" t="s">
        <v>818</v>
      </c>
      <c r="V286" t="s">
        <v>18</v>
      </c>
      <c r="W286" t="s">
        <v>857</v>
      </c>
      <c r="AC286" t="s">
        <v>960</v>
      </c>
      <c r="AD286" t="s">
        <v>816</v>
      </c>
      <c r="AE286" t="s">
        <v>53</v>
      </c>
      <c r="AF286" t="s">
        <v>857</v>
      </c>
      <c r="AJ286" s="844" t="s">
        <v>5177</v>
      </c>
      <c r="AK286" s="844" t="s">
        <v>980</v>
      </c>
      <c r="AL286" s="844" t="s">
        <v>2384</v>
      </c>
      <c r="AM286" s="844" t="s">
        <v>18</v>
      </c>
      <c r="AN286" s="844" t="s">
        <v>3654</v>
      </c>
    </row>
    <row r="287" spans="1:40">
      <c r="A287" t="s">
        <v>6311</v>
      </c>
      <c r="B287" t="s">
        <v>949</v>
      </c>
      <c r="C287" t="s">
        <v>818</v>
      </c>
      <c r="E287" t="s">
        <v>18</v>
      </c>
      <c r="F287" t="s">
        <v>3434</v>
      </c>
      <c r="M287" t="s">
        <v>4675</v>
      </c>
      <c r="N287" t="s">
        <v>960</v>
      </c>
      <c r="O287" t="s">
        <v>18</v>
      </c>
      <c r="P287" t="s">
        <v>4415</v>
      </c>
      <c r="T287" t="s">
        <v>949</v>
      </c>
      <c r="U287" t="s">
        <v>818</v>
      </c>
      <c r="V287" t="s">
        <v>18</v>
      </c>
      <c r="W287" t="s">
        <v>857</v>
      </c>
      <c r="AC287" t="s">
        <v>960</v>
      </c>
      <c r="AD287" t="s">
        <v>816</v>
      </c>
      <c r="AE287" t="s">
        <v>18</v>
      </c>
      <c r="AF287" t="s">
        <v>857</v>
      </c>
      <c r="AJ287" s="844" t="s">
        <v>6727</v>
      </c>
      <c r="AK287" s="844" t="s">
        <v>980</v>
      </c>
      <c r="AL287" s="844" t="s">
        <v>2384</v>
      </c>
      <c r="AM287" s="844"/>
      <c r="AN287" s="844" t="s">
        <v>3656</v>
      </c>
    </row>
    <row r="288" spans="1:40">
      <c r="A288" t="s">
        <v>6311</v>
      </c>
      <c r="B288" t="s">
        <v>949</v>
      </c>
      <c r="C288" t="s">
        <v>818</v>
      </c>
      <c r="E288" t="s">
        <v>18</v>
      </c>
      <c r="F288" t="s">
        <v>3430</v>
      </c>
      <c r="M288" t="s">
        <v>4675</v>
      </c>
      <c r="N288" t="s">
        <v>960</v>
      </c>
      <c r="O288" t="s">
        <v>18</v>
      </c>
      <c r="P288" t="s">
        <v>4414</v>
      </c>
      <c r="T288" t="s">
        <v>949</v>
      </c>
      <c r="U288" t="s">
        <v>818</v>
      </c>
      <c r="V288" t="s">
        <v>18</v>
      </c>
      <c r="W288" t="s">
        <v>857</v>
      </c>
      <c r="AC288" t="s">
        <v>961</v>
      </c>
      <c r="AD288" t="s">
        <v>818</v>
      </c>
      <c r="AE288" t="s">
        <v>53</v>
      </c>
      <c r="AF288" t="s">
        <v>3596</v>
      </c>
      <c r="AJ288" s="844" t="s">
        <v>5180</v>
      </c>
      <c r="AK288" s="844" t="s">
        <v>980</v>
      </c>
      <c r="AL288" s="844" t="s">
        <v>816</v>
      </c>
      <c r="AM288" s="844" t="s">
        <v>18</v>
      </c>
      <c r="AN288" s="844" t="s">
        <v>3650</v>
      </c>
    </row>
    <row r="289" spans="1:40">
      <c r="A289" t="s">
        <v>6311</v>
      </c>
      <c r="B289" t="s">
        <v>949</v>
      </c>
      <c r="C289" t="s">
        <v>818</v>
      </c>
      <c r="E289" t="s">
        <v>18</v>
      </c>
      <c r="F289" t="s">
        <v>3428</v>
      </c>
      <c r="M289" t="s">
        <v>4675</v>
      </c>
      <c r="N289" t="s">
        <v>960</v>
      </c>
      <c r="O289" t="s">
        <v>18</v>
      </c>
      <c r="P289" t="s">
        <v>4413</v>
      </c>
      <c r="T289" t="s">
        <v>949</v>
      </c>
      <c r="U289" t="s">
        <v>818</v>
      </c>
      <c r="V289" t="s">
        <v>857</v>
      </c>
      <c r="W289" t="s">
        <v>2804</v>
      </c>
      <c r="AC289" t="s">
        <v>961</v>
      </c>
      <c r="AD289" t="s">
        <v>818</v>
      </c>
      <c r="AE289" t="s">
        <v>18</v>
      </c>
      <c r="AF289" t="s">
        <v>857</v>
      </c>
      <c r="AJ289" s="844" t="s">
        <v>5180</v>
      </c>
      <c r="AK289" s="844" t="s">
        <v>980</v>
      </c>
      <c r="AL289" s="844" t="s">
        <v>816</v>
      </c>
      <c r="AM289" s="844" t="s">
        <v>18</v>
      </c>
      <c r="AN289" s="844" t="s">
        <v>3648</v>
      </c>
    </row>
    <row r="290" spans="1:40">
      <c r="A290" t="s">
        <v>6311</v>
      </c>
      <c r="B290" t="s">
        <v>949</v>
      </c>
      <c r="C290" t="s">
        <v>818</v>
      </c>
      <c r="E290" t="s">
        <v>18</v>
      </c>
      <c r="F290" t="s">
        <v>3424</v>
      </c>
      <c r="M290" t="s">
        <v>4675</v>
      </c>
      <c r="N290" t="s">
        <v>960</v>
      </c>
      <c r="O290" t="s">
        <v>18</v>
      </c>
      <c r="P290" t="s">
        <v>4412</v>
      </c>
      <c r="T290" t="s">
        <v>949</v>
      </c>
      <c r="U290" t="s">
        <v>818</v>
      </c>
      <c r="V290" t="s">
        <v>18</v>
      </c>
      <c r="W290" t="s">
        <v>3420</v>
      </c>
      <c r="AC290" t="s">
        <v>961</v>
      </c>
      <c r="AD290" t="s">
        <v>818</v>
      </c>
      <c r="AE290" t="s">
        <v>18</v>
      </c>
      <c r="AF290" t="s">
        <v>4057</v>
      </c>
      <c r="AJ290" s="844" t="s">
        <v>5182</v>
      </c>
      <c r="AK290" s="844" t="s">
        <v>981</v>
      </c>
      <c r="AL290" s="844" t="s">
        <v>818</v>
      </c>
      <c r="AM290" s="844" t="s">
        <v>18</v>
      </c>
      <c r="AN290" s="844" t="s">
        <v>3712</v>
      </c>
    </row>
    <row r="291" spans="1:40">
      <c r="A291" t="s">
        <v>5009</v>
      </c>
      <c r="B291" t="s">
        <v>949</v>
      </c>
      <c r="C291" t="s">
        <v>19</v>
      </c>
      <c r="D291" t="s">
        <v>2867</v>
      </c>
      <c r="E291" t="s">
        <v>18</v>
      </c>
      <c r="F291" t="s">
        <v>3419</v>
      </c>
      <c r="M291" t="s">
        <v>4675</v>
      </c>
      <c r="N291" t="s">
        <v>960</v>
      </c>
      <c r="O291" t="s">
        <v>18</v>
      </c>
      <c r="P291" t="s">
        <v>4411</v>
      </c>
      <c r="T291" t="s">
        <v>949</v>
      </c>
      <c r="U291" t="s">
        <v>19</v>
      </c>
      <c r="V291" t="s">
        <v>18</v>
      </c>
      <c r="W291" t="s">
        <v>857</v>
      </c>
      <c r="AC291" t="s">
        <v>961</v>
      </c>
      <c r="AD291" t="s">
        <v>818</v>
      </c>
      <c r="AE291" t="s">
        <v>18</v>
      </c>
      <c r="AF291" t="s">
        <v>4333</v>
      </c>
      <c r="AJ291" s="844" t="s">
        <v>6728</v>
      </c>
      <c r="AK291" s="844" t="s">
        <v>981</v>
      </c>
      <c r="AL291" s="844" t="s">
        <v>818</v>
      </c>
      <c r="AM291" s="844"/>
      <c r="AN291" s="844" t="s">
        <v>3712</v>
      </c>
    </row>
    <row r="292" spans="1:40">
      <c r="A292" t="s">
        <v>6313</v>
      </c>
      <c r="B292" t="s">
        <v>949</v>
      </c>
      <c r="C292" t="s">
        <v>19</v>
      </c>
      <c r="E292" t="s">
        <v>18</v>
      </c>
      <c r="F292" t="s">
        <v>4424</v>
      </c>
      <c r="M292" t="s">
        <v>4675</v>
      </c>
      <c r="N292" t="s">
        <v>960</v>
      </c>
      <c r="O292" t="s">
        <v>18</v>
      </c>
      <c r="P292" t="s">
        <v>4409</v>
      </c>
      <c r="T292" t="s">
        <v>949</v>
      </c>
      <c r="U292" t="s">
        <v>19</v>
      </c>
      <c r="V292" t="s">
        <v>18</v>
      </c>
      <c r="W292" t="s">
        <v>857</v>
      </c>
      <c r="AC292" t="s">
        <v>961</v>
      </c>
      <c r="AD292" t="s">
        <v>19</v>
      </c>
      <c r="AE292" t="s">
        <v>53</v>
      </c>
      <c r="AF292" t="s">
        <v>857</v>
      </c>
      <c r="AJ292" s="844" t="s">
        <v>5184</v>
      </c>
      <c r="AK292" s="844" t="s">
        <v>981</v>
      </c>
      <c r="AL292" s="844" t="s">
        <v>816</v>
      </c>
      <c r="AM292" s="844" t="s">
        <v>18</v>
      </c>
      <c r="AN292" s="844" t="s">
        <v>3712</v>
      </c>
    </row>
    <row r="293" spans="1:40">
      <c r="A293" t="s">
        <v>6313</v>
      </c>
      <c r="B293" t="s">
        <v>949</v>
      </c>
      <c r="C293" t="s">
        <v>19</v>
      </c>
      <c r="E293" t="s">
        <v>18</v>
      </c>
      <c r="F293" t="s">
        <v>3433</v>
      </c>
      <c r="M293" t="s">
        <v>4675</v>
      </c>
      <c r="N293" t="s">
        <v>960</v>
      </c>
      <c r="O293" t="s">
        <v>18</v>
      </c>
      <c r="P293" t="s">
        <v>4408</v>
      </c>
      <c r="T293" t="s">
        <v>949</v>
      </c>
      <c r="U293" t="s">
        <v>19</v>
      </c>
      <c r="V293" t="s">
        <v>18</v>
      </c>
      <c r="W293" t="s">
        <v>857</v>
      </c>
      <c r="AC293" t="s">
        <v>961</v>
      </c>
      <c r="AD293" t="s">
        <v>816</v>
      </c>
      <c r="AE293" t="s">
        <v>18</v>
      </c>
      <c r="AF293" t="s">
        <v>4057</v>
      </c>
      <c r="AJ293" s="844" t="s">
        <v>6729</v>
      </c>
      <c r="AK293" s="844" t="s">
        <v>981</v>
      </c>
      <c r="AL293" s="844" t="s">
        <v>816</v>
      </c>
      <c r="AM293" s="844"/>
      <c r="AN293" s="844" t="s">
        <v>3712</v>
      </c>
    </row>
    <row r="294" spans="1:40">
      <c r="A294" t="s">
        <v>6313</v>
      </c>
      <c r="B294" t="s">
        <v>949</v>
      </c>
      <c r="C294" t="s">
        <v>19</v>
      </c>
      <c r="E294" t="s">
        <v>18</v>
      </c>
      <c r="F294" t="s">
        <v>3431</v>
      </c>
      <c r="M294" t="s">
        <v>4676</v>
      </c>
      <c r="N294" t="s">
        <v>961</v>
      </c>
      <c r="O294" t="s">
        <v>53</v>
      </c>
      <c r="P294" t="s">
        <v>4337</v>
      </c>
      <c r="T294" t="s">
        <v>949</v>
      </c>
      <c r="U294" t="s">
        <v>19</v>
      </c>
      <c r="V294" t="s">
        <v>18</v>
      </c>
      <c r="W294" t="s">
        <v>857</v>
      </c>
      <c r="AC294" t="s">
        <v>961</v>
      </c>
      <c r="AD294" t="s">
        <v>816</v>
      </c>
      <c r="AE294" t="s">
        <v>18</v>
      </c>
      <c r="AF294" t="s">
        <v>2863</v>
      </c>
      <c r="AJ294" s="844" t="s">
        <v>5189</v>
      </c>
      <c r="AK294" s="844" t="s">
        <v>982</v>
      </c>
      <c r="AL294" s="844" t="s">
        <v>818</v>
      </c>
      <c r="AM294" s="844" t="s">
        <v>18</v>
      </c>
      <c r="AN294" s="844" t="s">
        <v>3703</v>
      </c>
    </row>
    <row r="295" spans="1:40">
      <c r="A295" t="s">
        <v>6313</v>
      </c>
      <c r="B295" t="s">
        <v>949</v>
      </c>
      <c r="C295" t="s">
        <v>19</v>
      </c>
      <c r="E295" t="s">
        <v>18</v>
      </c>
      <c r="F295" t="s">
        <v>3429</v>
      </c>
      <c r="M295" t="s">
        <v>4676</v>
      </c>
      <c r="N295" t="s">
        <v>961</v>
      </c>
      <c r="O295" t="s">
        <v>53</v>
      </c>
      <c r="P295" t="s">
        <v>4336</v>
      </c>
      <c r="T295" t="s">
        <v>949</v>
      </c>
      <c r="U295" t="s">
        <v>19</v>
      </c>
      <c r="V295" t="s">
        <v>18</v>
      </c>
      <c r="W295" t="s">
        <v>857</v>
      </c>
      <c r="AC295" t="s">
        <v>961</v>
      </c>
      <c r="AD295" t="s">
        <v>4638</v>
      </c>
      <c r="AE295" t="s">
        <v>857</v>
      </c>
      <c r="AF295" t="s">
        <v>4057</v>
      </c>
      <c r="AJ295" s="844" t="s">
        <v>5189</v>
      </c>
      <c r="AK295" s="844" t="s">
        <v>982</v>
      </c>
      <c r="AL295" s="844" t="s">
        <v>818</v>
      </c>
      <c r="AM295" s="844" t="s">
        <v>18</v>
      </c>
      <c r="AN295" s="844" t="s">
        <v>3701</v>
      </c>
    </row>
    <row r="296" spans="1:40">
      <c r="A296" t="s">
        <v>6313</v>
      </c>
      <c r="B296" t="s">
        <v>949</v>
      </c>
      <c r="C296" t="s">
        <v>19</v>
      </c>
      <c r="E296" t="s">
        <v>18</v>
      </c>
      <c r="F296" t="s">
        <v>3425</v>
      </c>
      <c r="M296" t="s">
        <v>4676</v>
      </c>
      <c r="N296" t="s">
        <v>961</v>
      </c>
      <c r="O296" t="s">
        <v>53</v>
      </c>
      <c r="P296" t="s">
        <v>4335</v>
      </c>
      <c r="T296" t="s">
        <v>949</v>
      </c>
      <c r="U296" t="s">
        <v>19</v>
      </c>
      <c r="V296" t="s">
        <v>18</v>
      </c>
      <c r="W296" t="s">
        <v>2867</v>
      </c>
      <c r="AC296" t="s">
        <v>962</v>
      </c>
      <c r="AD296" t="s">
        <v>818</v>
      </c>
      <c r="AE296" t="s">
        <v>857</v>
      </c>
      <c r="AF296" t="s">
        <v>4034</v>
      </c>
      <c r="AJ296" s="844" t="s">
        <v>5189</v>
      </c>
      <c r="AK296" s="844" t="s">
        <v>982</v>
      </c>
      <c r="AL296" s="844" t="s">
        <v>818</v>
      </c>
      <c r="AM296" s="844" t="s">
        <v>18</v>
      </c>
      <c r="AN296" s="844" t="s">
        <v>3691</v>
      </c>
    </row>
    <row r="297" spans="1:40">
      <c r="A297" t="s">
        <v>6314</v>
      </c>
      <c r="B297" t="s">
        <v>949</v>
      </c>
      <c r="C297" t="s">
        <v>2384</v>
      </c>
      <c r="D297" t="s">
        <v>3422</v>
      </c>
      <c r="F297" t="s">
        <v>3423</v>
      </c>
      <c r="M297" t="s">
        <v>4677</v>
      </c>
      <c r="N297" t="s">
        <v>961</v>
      </c>
      <c r="O297" t="s">
        <v>18</v>
      </c>
      <c r="P297" t="s">
        <v>4340</v>
      </c>
      <c r="T297" t="s">
        <v>949</v>
      </c>
      <c r="U297" t="s">
        <v>2384</v>
      </c>
      <c r="V297" t="s">
        <v>857</v>
      </c>
      <c r="W297" t="s">
        <v>857</v>
      </c>
      <c r="AC297" t="s">
        <v>962</v>
      </c>
      <c r="AD297" t="s">
        <v>818</v>
      </c>
      <c r="AE297" t="s">
        <v>53</v>
      </c>
      <c r="AF297" t="s">
        <v>4034</v>
      </c>
      <c r="AJ297" s="844" t="s">
        <v>5189</v>
      </c>
      <c r="AK297" s="844" t="s">
        <v>982</v>
      </c>
      <c r="AL297" s="844" t="s">
        <v>818</v>
      </c>
      <c r="AM297" s="844" t="s">
        <v>18</v>
      </c>
      <c r="AN297" s="844" t="s">
        <v>3698</v>
      </c>
    </row>
    <row r="298" spans="1:40">
      <c r="A298" t="s">
        <v>5011</v>
      </c>
      <c r="B298" t="s">
        <v>949</v>
      </c>
      <c r="C298" t="s">
        <v>2384</v>
      </c>
      <c r="F298" t="s">
        <v>3804</v>
      </c>
      <c r="M298" t="s">
        <v>4677</v>
      </c>
      <c r="N298" t="s">
        <v>961</v>
      </c>
      <c r="O298" t="s">
        <v>18</v>
      </c>
      <c r="P298" t="s">
        <v>4339</v>
      </c>
      <c r="T298" t="s">
        <v>949</v>
      </c>
      <c r="U298" t="s">
        <v>2384</v>
      </c>
      <c r="V298" t="s">
        <v>857</v>
      </c>
      <c r="W298" t="s">
        <v>3422</v>
      </c>
      <c r="AC298" t="s">
        <v>962</v>
      </c>
      <c r="AD298" t="s">
        <v>818</v>
      </c>
      <c r="AE298" t="s">
        <v>18</v>
      </c>
      <c r="AF298" t="s">
        <v>857</v>
      </c>
      <c r="AJ298" s="844" t="s">
        <v>6730</v>
      </c>
      <c r="AK298" s="844" t="s">
        <v>982</v>
      </c>
      <c r="AL298" s="844" t="s">
        <v>818</v>
      </c>
      <c r="AM298" s="844"/>
      <c r="AN298" s="844" t="s">
        <v>3696</v>
      </c>
    </row>
    <row r="299" spans="1:40">
      <c r="A299" t="s">
        <v>5012</v>
      </c>
      <c r="B299" t="s">
        <v>949</v>
      </c>
      <c r="C299" t="s">
        <v>2416</v>
      </c>
      <c r="D299" t="s">
        <v>3417</v>
      </c>
      <c r="E299" t="s">
        <v>18</v>
      </c>
      <c r="F299" t="s">
        <v>3418</v>
      </c>
      <c r="M299" t="s">
        <v>4677</v>
      </c>
      <c r="N299" t="s">
        <v>961</v>
      </c>
      <c r="O299" t="s">
        <v>18</v>
      </c>
      <c r="P299" t="s">
        <v>4338</v>
      </c>
      <c r="T299" t="s">
        <v>949</v>
      </c>
      <c r="U299" t="s">
        <v>2416</v>
      </c>
      <c r="V299" t="s">
        <v>18</v>
      </c>
      <c r="W299" t="s">
        <v>857</v>
      </c>
      <c r="AC299" t="s">
        <v>962</v>
      </c>
      <c r="AD299" t="s">
        <v>19</v>
      </c>
      <c r="AE299" t="s">
        <v>857</v>
      </c>
      <c r="AF299" t="s">
        <v>857</v>
      </c>
      <c r="AJ299" s="844" t="s">
        <v>5193</v>
      </c>
      <c r="AK299" s="844" t="s">
        <v>982</v>
      </c>
      <c r="AL299" s="844" t="s">
        <v>19</v>
      </c>
      <c r="AM299" s="844" t="s">
        <v>18</v>
      </c>
      <c r="AN299" s="844" t="s">
        <v>3694</v>
      </c>
    </row>
    <row r="300" spans="1:40">
      <c r="A300" t="s">
        <v>6315</v>
      </c>
      <c r="B300" t="s">
        <v>949</v>
      </c>
      <c r="C300" t="s">
        <v>2416</v>
      </c>
      <c r="E300" t="s">
        <v>18</v>
      </c>
      <c r="F300" t="s">
        <v>3427</v>
      </c>
      <c r="M300" t="s">
        <v>4677</v>
      </c>
      <c r="N300" t="s">
        <v>961</v>
      </c>
      <c r="O300" t="s">
        <v>18</v>
      </c>
      <c r="P300" t="s">
        <v>4334</v>
      </c>
      <c r="T300" t="s">
        <v>949</v>
      </c>
      <c r="U300" t="s">
        <v>2416</v>
      </c>
      <c r="V300" t="s">
        <v>18</v>
      </c>
      <c r="W300" t="s">
        <v>3417</v>
      </c>
      <c r="AC300" t="s">
        <v>962</v>
      </c>
      <c r="AD300" t="s">
        <v>19</v>
      </c>
      <c r="AE300" t="s">
        <v>857</v>
      </c>
      <c r="AF300" t="s">
        <v>4034</v>
      </c>
      <c r="AJ300" s="844" t="s">
        <v>5193</v>
      </c>
      <c r="AK300" s="844" t="s">
        <v>982</v>
      </c>
      <c r="AL300" s="844" t="s">
        <v>19</v>
      </c>
      <c r="AM300" s="844" t="s">
        <v>18</v>
      </c>
      <c r="AN300" s="844" t="s">
        <v>3691</v>
      </c>
    </row>
    <row r="301" spans="1:40">
      <c r="A301" t="s">
        <v>5015</v>
      </c>
      <c r="B301" t="s">
        <v>949</v>
      </c>
      <c r="C301" t="s">
        <v>816</v>
      </c>
      <c r="D301" t="s">
        <v>3415</v>
      </c>
      <c r="E301" t="s">
        <v>18</v>
      </c>
      <c r="F301" t="s">
        <v>4425</v>
      </c>
      <c r="M301" t="s">
        <v>4677</v>
      </c>
      <c r="N301" t="s">
        <v>961</v>
      </c>
      <c r="O301" t="s">
        <v>18</v>
      </c>
      <c r="P301" t="s">
        <v>4332</v>
      </c>
      <c r="T301" t="s">
        <v>949</v>
      </c>
      <c r="U301" t="s">
        <v>816</v>
      </c>
      <c r="V301" t="s">
        <v>857</v>
      </c>
      <c r="W301" t="s">
        <v>857</v>
      </c>
      <c r="AC301" t="s">
        <v>962</v>
      </c>
      <c r="AD301" t="s">
        <v>19</v>
      </c>
      <c r="AE301" t="s">
        <v>53</v>
      </c>
      <c r="AF301" t="s">
        <v>4324</v>
      </c>
      <c r="AJ301" s="844" t="s">
        <v>6731</v>
      </c>
      <c r="AK301" s="844" t="s">
        <v>982</v>
      </c>
      <c r="AL301" s="844" t="s">
        <v>19</v>
      </c>
      <c r="AM301" s="844"/>
      <c r="AN301" s="844" t="s">
        <v>3694</v>
      </c>
    </row>
    <row r="302" spans="1:40">
      <c r="A302" t="s">
        <v>5015</v>
      </c>
      <c r="B302" t="s">
        <v>949</v>
      </c>
      <c r="C302" t="s">
        <v>816</v>
      </c>
      <c r="D302" t="s">
        <v>3415</v>
      </c>
      <c r="E302" t="s">
        <v>18</v>
      </c>
      <c r="F302" t="s">
        <v>3416</v>
      </c>
      <c r="M302" t="s">
        <v>4678</v>
      </c>
      <c r="N302" t="s">
        <v>962</v>
      </c>
      <c r="O302" t="s">
        <v>53</v>
      </c>
      <c r="P302" t="s">
        <v>4329</v>
      </c>
      <c r="T302" t="s">
        <v>949</v>
      </c>
      <c r="U302" t="s">
        <v>816</v>
      </c>
      <c r="V302" t="s">
        <v>18</v>
      </c>
      <c r="W302" t="s">
        <v>857</v>
      </c>
      <c r="AC302" t="s">
        <v>962</v>
      </c>
      <c r="AD302" t="s">
        <v>19</v>
      </c>
      <c r="AE302" t="s">
        <v>53</v>
      </c>
      <c r="AF302" t="s">
        <v>4034</v>
      </c>
      <c r="AJ302" s="844" t="s">
        <v>6732</v>
      </c>
      <c r="AK302" s="844" t="s">
        <v>982</v>
      </c>
      <c r="AL302" s="844" t="s">
        <v>2384</v>
      </c>
      <c r="AM302" s="844"/>
      <c r="AN302" s="844" t="s">
        <v>3691</v>
      </c>
    </row>
    <row r="303" spans="1:40">
      <c r="A303" t="s">
        <v>6316</v>
      </c>
      <c r="B303" t="s">
        <v>949</v>
      </c>
      <c r="C303" t="s">
        <v>816</v>
      </c>
      <c r="E303" t="s">
        <v>18</v>
      </c>
      <c r="F303" t="s">
        <v>3432</v>
      </c>
      <c r="M303" t="s">
        <v>4678</v>
      </c>
      <c r="N303" t="s">
        <v>962</v>
      </c>
      <c r="O303" t="s">
        <v>53</v>
      </c>
      <c r="P303" t="s">
        <v>4328</v>
      </c>
      <c r="T303" t="s">
        <v>949</v>
      </c>
      <c r="U303" t="s">
        <v>816</v>
      </c>
      <c r="V303" t="s">
        <v>18</v>
      </c>
      <c r="W303" t="s">
        <v>857</v>
      </c>
      <c r="AC303" t="s">
        <v>962</v>
      </c>
      <c r="AD303" t="s">
        <v>19</v>
      </c>
      <c r="AE303" t="s">
        <v>18</v>
      </c>
      <c r="AF303" t="s">
        <v>857</v>
      </c>
      <c r="AJ303" s="844" t="s">
        <v>6732</v>
      </c>
      <c r="AK303" s="844" t="s">
        <v>982</v>
      </c>
      <c r="AL303" s="844" t="s">
        <v>2384</v>
      </c>
      <c r="AM303" s="844"/>
      <c r="AN303" s="844" t="s">
        <v>3696</v>
      </c>
    </row>
    <row r="304" spans="1:40">
      <c r="A304" t="s">
        <v>6316</v>
      </c>
      <c r="B304" t="s">
        <v>949</v>
      </c>
      <c r="C304" t="s">
        <v>816</v>
      </c>
      <c r="E304" t="s">
        <v>18</v>
      </c>
      <c r="F304" t="s">
        <v>3426</v>
      </c>
      <c r="M304" t="s">
        <v>4678</v>
      </c>
      <c r="N304" t="s">
        <v>962</v>
      </c>
      <c r="O304" t="s">
        <v>53</v>
      </c>
      <c r="P304" t="s">
        <v>4327</v>
      </c>
      <c r="T304" t="s">
        <v>949</v>
      </c>
      <c r="U304" t="s">
        <v>816</v>
      </c>
      <c r="V304" t="s">
        <v>18</v>
      </c>
      <c r="W304" t="s">
        <v>3415</v>
      </c>
      <c r="AC304" t="s">
        <v>962</v>
      </c>
      <c r="AD304" t="s">
        <v>816</v>
      </c>
      <c r="AE304" t="s">
        <v>857</v>
      </c>
      <c r="AF304" t="s">
        <v>4045</v>
      </c>
      <c r="AJ304" s="844" t="s">
        <v>5197</v>
      </c>
      <c r="AK304" s="844" t="s">
        <v>982</v>
      </c>
      <c r="AL304" s="844" t="s">
        <v>816</v>
      </c>
      <c r="AM304" s="844" t="s">
        <v>18</v>
      </c>
      <c r="AN304" s="844" t="s">
        <v>3691</v>
      </c>
    </row>
    <row r="305" spans="1:40">
      <c r="A305" t="s">
        <v>5014</v>
      </c>
      <c r="B305" t="s">
        <v>949</v>
      </c>
      <c r="C305" t="s">
        <v>816</v>
      </c>
      <c r="F305" t="s">
        <v>4216</v>
      </c>
      <c r="M305" t="s">
        <v>4678</v>
      </c>
      <c r="N305" t="s">
        <v>962</v>
      </c>
      <c r="O305" t="s">
        <v>53</v>
      </c>
      <c r="P305" t="s">
        <v>4326</v>
      </c>
      <c r="T305" t="s">
        <v>949</v>
      </c>
      <c r="U305" t="s">
        <v>816</v>
      </c>
      <c r="V305" t="s">
        <v>18</v>
      </c>
      <c r="W305" t="s">
        <v>3415</v>
      </c>
      <c r="AC305" t="s">
        <v>962</v>
      </c>
      <c r="AD305" t="s">
        <v>816</v>
      </c>
      <c r="AE305" t="s">
        <v>53</v>
      </c>
      <c r="AF305" t="s">
        <v>4324</v>
      </c>
      <c r="AJ305" s="844" t="s">
        <v>5201</v>
      </c>
      <c r="AK305" s="844" t="s">
        <v>983</v>
      </c>
      <c r="AL305" s="844" t="s">
        <v>818</v>
      </c>
      <c r="AM305" s="844" t="s">
        <v>18</v>
      </c>
      <c r="AN305" s="844" t="s">
        <v>2900</v>
      </c>
    </row>
    <row r="306" spans="1:40">
      <c r="A306" t="s">
        <v>5018</v>
      </c>
      <c r="B306" t="s">
        <v>951</v>
      </c>
      <c r="C306" t="s">
        <v>818</v>
      </c>
      <c r="D306" t="s">
        <v>4140</v>
      </c>
      <c r="E306" t="s">
        <v>53</v>
      </c>
      <c r="F306" t="s">
        <v>4385</v>
      </c>
      <c r="M306" t="s">
        <v>4678</v>
      </c>
      <c r="N306" t="s">
        <v>962</v>
      </c>
      <c r="O306" t="s">
        <v>53</v>
      </c>
      <c r="P306" t="s">
        <v>4325</v>
      </c>
      <c r="T306" t="s">
        <v>951</v>
      </c>
      <c r="U306" t="s">
        <v>818</v>
      </c>
      <c r="V306" t="s">
        <v>857</v>
      </c>
      <c r="W306" t="s">
        <v>857</v>
      </c>
      <c r="AC306" t="s">
        <v>962</v>
      </c>
      <c r="AD306" t="s">
        <v>816</v>
      </c>
      <c r="AE306" t="s">
        <v>53</v>
      </c>
      <c r="AF306" t="s">
        <v>4045</v>
      </c>
      <c r="AJ306" s="844" t="s">
        <v>5201</v>
      </c>
      <c r="AK306" s="844" t="s">
        <v>983</v>
      </c>
      <c r="AL306" s="844" t="s">
        <v>818</v>
      </c>
      <c r="AM306" s="844" t="s">
        <v>18</v>
      </c>
      <c r="AN306" s="844" t="s">
        <v>3616</v>
      </c>
    </row>
    <row r="307" spans="1:40">
      <c r="A307" t="s">
        <v>5018</v>
      </c>
      <c r="B307" t="s">
        <v>951</v>
      </c>
      <c r="C307" t="s">
        <v>818</v>
      </c>
      <c r="D307" t="s">
        <v>4140</v>
      </c>
      <c r="E307" t="s">
        <v>53</v>
      </c>
      <c r="F307" t="s">
        <v>4374</v>
      </c>
      <c r="M307" t="s">
        <v>4678</v>
      </c>
      <c r="N307" t="s">
        <v>962</v>
      </c>
      <c r="O307" t="s">
        <v>53</v>
      </c>
      <c r="P307" t="s">
        <v>4323</v>
      </c>
      <c r="T307" t="s">
        <v>951</v>
      </c>
      <c r="U307" t="s">
        <v>818</v>
      </c>
      <c r="V307" t="s">
        <v>53</v>
      </c>
      <c r="W307" t="s">
        <v>857</v>
      </c>
      <c r="AC307" t="s">
        <v>963</v>
      </c>
      <c r="AD307" t="s">
        <v>818</v>
      </c>
      <c r="AE307" t="s">
        <v>857</v>
      </c>
      <c r="AF307" t="s">
        <v>857</v>
      </c>
      <c r="AJ307" s="844" t="s">
        <v>6733</v>
      </c>
      <c r="AK307" s="844" t="s">
        <v>983</v>
      </c>
      <c r="AL307" s="844" t="s">
        <v>818</v>
      </c>
      <c r="AM307" s="844"/>
      <c r="AN307" s="844" t="s">
        <v>3621</v>
      </c>
    </row>
    <row r="308" spans="1:40">
      <c r="A308" t="s">
        <v>5020</v>
      </c>
      <c r="B308" t="s">
        <v>951</v>
      </c>
      <c r="C308" t="s">
        <v>818</v>
      </c>
      <c r="D308" t="s">
        <v>4096</v>
      </c>
      <c r="E308" t="s">
        <v>53</v>
      </c>
      <c r="F308" t="s">
        <v>4384</v>
      </c>
      <c r="M308" t="s">
        <v>4679</v>
      </c>
      <c r="N308" t="s">
        <v>962</v>
      </c>
      <c r="O308" t="s">
        <v>18</v>
      </c>
      <c r="P308" t="s">
        <v>4331</v>
      </c>
      <c r="T308" t="s">
        <v>951</v>
      </c>
      <c r="U308" t="s">
        <v>818</v>
      </c>
      <c r="V308" t="s">
        <v>18</v>
      </c>
      <c r="W308" t="s">
        <v>857</v>
      </c>
      <c r="AC308" t="s">
        <v>963</v>
      </c>
      <c r="AD308" t="s">
        <v>818</v>
      </c>
      <c r="AE308" t="s">
        <v>53</v>
      </c>
      <c r="AF308" t="s">
        <v>4076</v>
      </c>
      <c r="AJ308" s="844" t="s">
        <v>5204</v>
      </c>
      <c r="AK308" s="844" t="s">
        <v>983</v>
      </c>
      <c r="AL308" s="844" t="s">
        <v>19</v>
      </c>
      <c r="AM308" s="844" t="s">
        <v>18</v>
      </c>
      <c r="AN308" s="844" t="s">
        <v>3616</v>
      </c>
    </row>
    <row r="309" spans="1:40">
      <c r="A309" t="s">
        <v>5020</v>
      </c>
      <c r="B309" t="s">
        <v>951</v>
      </c>
      <c r="C309" t="s">
        <v>818</v>
      </c>
      <c r="D309" t="s">
        <v>4096</v>
      </c>
      <c r="E309" t="s">
        <v>53</v>
      </c>
      <c r="F309" t="s">
        <v>4373</v>
      </c>
      <c r="M309" t="s">
        <v>4679</v>
      </c>
      <c r="N309" t="s">
        <v>962</v>
      </c>
      <c r="O309" t="s">
        <v>18</v>
      </c>
      <c r="P309" t="s">
        <v>4330</v>
      </c>
      <c r="T309" t="s">
        <v>951</v>
      </c>
      <c r="U309" t="s">
        <v>818</v>
      </c>
      <c r="V309" t="s">
        <v>18</v>
      </c>
      <c r="W309" t="s">
        <v>857</v>
      </c>
      <c r="AC309" t="s">
        <v>963</v>
      </c>
      <c r="AD309" t="s">
        <v>818</v>
      </c>
      <c r="AE309" t="s">
        <v>53</v>
      </c>
      <c r="AF309" t="s">
        <v>4344</v>
      </c>
      <c r="AJ309" s="844" t="s">
        <v>6734</v>
      </c>
      <c r="AK309" s="844" t="s">
        <v>983</v>
      </c>
      <c r="AL309" s="844" t="s">
        <v>19</v>
      </c>
      <c r="AM309" s="844"/>
      <c r="AN309" s="844" t="s">
        <v>3616</v>
      </c>
    </row>
    <row r="310" spans="1:40">
      <c r="A310" t="s">
        <v>6317</v>
      </c>
      <c r="B310" t="s">
        <v>951</v>
      </c>
      <c r="C310" t="s">
        <v>818</v>
      </c>
      <c r="E310" t="s">
        <v>53</v>
      </c>
      <c r="F310" t="s">
        <v>4379</v>
      </c>
      <c r="M310" t="s">
        <v>4680</v>
      </c>
      <c r="N310" t="s">
        <v>963</v>
      </c>
      <c r="O310" t="s">
        <v>53</v>
      </c>
      <c r="P310" t="s">
        <v>4352</v>
      </c>
      <c r="T310" t="s">
        <v>951</v>
      </c>
      <c r="U310" t="s">
        <v>818</v>
      </c>
      <c r="V310" t="s">
        <v>53</v>
      </c>
      <c r="W310" t="s">
        <v>4140</v>
      </c>
      <c r="AC310" t="s">
        <v>963</v>
      </c>
      <c r="AD310" t="s">
        <v>818</v>
      </c>
      <c r="AE310" t="s">
        <v>18</v>
      </c>
      <c r="AF310" t="s">
        <v>857</v>
      </c>
      <c r="AJ310" s="844" t="s">
        <v>5206</v>
      </c>
      <c r="AK310" s="844" t="s">
        <v>983</v>
      </c>
      <c r="AL310" s="844" t="s">
        <v>816</v>
      </c>
      <c r="AM310" s="844" t="s">
        <v>18</v>
      </c>
      <c r="AN310" s="844" t="s">
        <v>3616</v>
      </c>
    </row>
    <row r="311" spans="1:40">
      <c r="A311" t="s">
        <v>6318</v>
      </c>
      <c r="B311" t="s">
        <v>951</v>
      </c>
      <c r="C311" t="s">
        <v>818</v>
      </c>
      <c r="E311" t="s">
        <v>18</v>
      </c>
      <c r="F311" t="s">
        <v>4383</v>
      </c>
      <c r="M311" t="s">
        <v>4680</v>
      </c>
      <c r="N311" t="s">
        <v>963</v>
      </c>
      <c r="O311" t="s">
        <v>53</v>
      </c>
      <c r="P311" t="s">
        <v>4351</v>
      </c>
      <c r="T311" t="s">
        <v>951</v>
      </c>
      <c r="U311" t="s">
        <v>818</v>
      </c>
      <c r="V311" t="s">
        <v>53</v>
      </c>
      <c r="W311" t="s">
        <v>4140</v>
      </c>
      <c r="AC311" t="s">
        <v>963</v>
      </c>
      <c r="AD311" t="s">
        <v>19</v>
      </c>
      <c r="AE311" t="s">
        <v>857</v>
      </c>
      <c r="AF311" t="s">
        <v>857</v>
      </c>
      <c r="AJ311" s="844" t="s">
        <v>6735</v>
      </c>
      <c r="AK311" s="844" t="s">
        <v>983</v>
      </c>
      <c r="AL311" s="844" t="s">
        <v>816</v>
      </c>
      <c r="AM311" s="844"/>
      <c r="AN311" s="844" t="s">
        <v>3616</v>
      </c>
    </row>
    <row r="312" spans="1:40">
      <c r="A312" t="s">
        <v>6318</v>
      </c>
      <c r="B312" t="s">
        <v>951</v>
      </c>
      <c r="C312" t="s">
        <v>818</v>
      </c>
      <c r="E312" t="s">
        <v>18</v>
      </c>
      <c r="F312" t="s">
        <v>4380</v>
      </c>
      <c r="M312" t="s">
        <v>4680</v>
      </c>
      <c r="N312" t="s">
        <v>963</v>
      </c>
      <c r="O312" t="s">
        <v>53</v>
      </c>
      <c r="P312" t="s">
        <v>4350</v>
      </c>
      <c r="T312" t="s">
        <v>951</v>
      </c>
      <c r="U312" t="s">
        <v>818</v>
      </c>
      <c r="V312" t="s">
        <v>53</v>
      </c>
      <c r="W312" t="s">
        <v>4096</v>
      </c>
      <c r="AC312" t="s">
        <v>963</v>
      </c>
      <c r="AD312" t="s">
        <v>19</v>
      </c>
      <c r="AE312" t="s">
        <v>857</v>
      </c>
      <c r="AF312" t="s">
        <v>4142</v>
      </c>
      <c r="AJ312" s="844" t="s">
        <v>5223</v>
      </c>
      <c r="AK312" s="844" t="s">
        <v>984</v>
      </c>
      <c r="AL312" s="844" t="s">
        <v>818</v>
      </c>
      <c r="AM312" s="844" t="s">
        <v>18</v>
      </c>
      <c r="AN312" s="844" t="s">
        <v>3675</v>
      </c>
    </row>
    <row r="313" spans="1:40">
      <c r="A313" t="s">
        <v>5017</v>
      </c>
      <c r="B313" t="s">
        <v>951</v>
      </c>
      <c r="C313" t="s">
        <v>818</v>
      </c>
      <c r="F313" t="s">
        <v>4229</v>
      </c>
      <c r="M313" t="s">
        <v>4680</v>
      </c>
      <c r="N313" t="s">
        <v>963</v>
      </c>
      <c r="O313" t="s">
        <v>53</v>
      </c>
      <c r="P313" t="s">
        <v>4349</v>
      </c>
      <c r="T313" t="s">
        <v>951</v>
      </c>
      <c r="U313" t="s">
        <v>818</v>
      </c>
      <c r="V313" t="s">
        <v>53</v>
      </c>
      <c r="W313" t="s">
        <v>4096</v>
      </c>
      <c r="AC313" t="s">
        <v>963</v>
      </c>
      <c r="AD313" t="s">
        <v>19</v>
      </c>
      <c r="AE313" t="s">
        <v>53</v>
      </c>
      <c r="AF313" t="s">
        <v>857</v>
      </c>
      <c r="AJ313" s="844" t="s">
        <v>5223</v>
      </c>
      <c r="AK313" s="844" t="s">
        <v>984</v>
      </c>
      <c r="AL313" s="844" t="s">
        <v>818</v>
      </c>
      <c r="AM313" s="844" t="s">
        <v>18</v>
      </c>
      <c r="AN313" s="844" t="s">
        <v>2581</v>
      </c>
    </row>
    <row r="314" spans="1:40">
      <c r="A314" t="s">
        <v>5023</v>
      </c>
      <c r="B314" t="s">
        <v>951</v>
      </c>
      <c r="C314" t="s">
        <v>19</v>
      </c>
      <c r="D314" t="s">
        <v>4096</v>
      </c>
      <c r="E314" t="s">
        <v>53</v>
      </c>
      <c r="F314" t="s">
        <v>4377</v>
      </c>
      <c r="M314" t="s">
        <v>4680</v>
      </c>
      <c r="N314" t="s">
        <v>963</v>
      </c>
      <c r="O314" t="s">
        <v>53</v>
      </c>
      <c r="P314" t="s">
        <v>4348</v>
      </c>
      <c r="T314" t="s">
        <v>951</v>
      </c>
      <c r="U314" t="s">
        <v>19</v>
      </c>
      <c r="V314" t="s">
        <v>857</v>
      </c>
      <c r="W314" t="s">
        <v>857</v>
      </c>
      <c r="AC314" t="s">
        <v>963</v>
      </c>
      <c r="AD314" t="s">
        <v>2384</v>
      </c>
      <c r="AE314" t="s">
        <v>857</v>
      </c>
      <c r="AF314" t="s">
        <v>857</v>
      </c>
      <c r="AJ314" s="844" t="s">
        <v>5223</v>
      </c>
      <c r="AK314" s="844" t="s">
        <v>984</v>
      </c>
      <c r="AL314" s="844" t="s">
        <v>818</v>
      </c>
      <c r="AM314" s="844" t="s">
        <v>18</v>
      </c>
      <c r="AN314" s="844" t="s">
        <v>3677</v>
      </c>
    </row>
    <row r="315" spans="1:40">
      <c r="A315" t="s">
        <v>5023</v>
      </c>
      <c r="B315" t="s">
        <v>951</v>
      </c>
      <c r="C315" t="s">
        <v>19</v>
      </c>
      <c r="D315" t="s">
        <v>4096</v>
      </c>
      <c r="E315" t="s">
        <v>53</v>
      </c>
      <c r="F315" t="s">
        <v>4372</v>
      </c>
      <c r="M315" t="s">
        <v>4680</v>
      </c>
      <c r="N315" t="s">
        <v>963</v>
      </c>
      <c r="O315" t="s">
        <v>53</v>
      </c>
      <c r="P315" t="s">
        <v>4347</v>
      </c>
      <c r="T315" t="s">
        <v>951</v>
      </c>
      <c r="U315" t="s">
        <v>19</v>
      </c>
      <c r="V315" t="s">
        <v>53</v>
      </c>
      <c r="W315" t="s">
        <v>857</v>
      </c>
      <c r="AC315" t="s">
        <v>963</v>
      </c>
      <c r="AD315" t="s">
        <v>2384</v>
      </c>
      <c r="AE315" t="s">
        <v>857</v>
      </c>
      <c r="AF315" t="s">
        <v>4076</v>
      </c>
      <c r="AJ315" s="844" t="s">
        <v>5223</v>
      </c>
      <c r="AK315" s="844" t="s">
        <v>984</v>
      </c>
      <c r="AL315" s="844" t="s">
        <v>818</v>
      </c>
      <c r="AM315" s="844" t="s">
        <v>18</v>
      </c>
      <c r="AN315" s="844" t="s">
        <v>3668</v>
      </c>
    </row>
    <row r="316" spans="1:40">
      <c r="A316" t="s">
        <v>6321</v>
      </c>
      <c r="B316" t="s">
        <v>951</v>
      </c>
      <c r="C316" t="s">
        <v>19</v>
      </c>
      <c r="D316" t="s">
        <v>4096</v>
      </c>
      <c r="F316" t="s">
        <v>4097</v>
      </c>
      <c r="M316" t="s">
        <v>4680</v>
      </c>
      <c r="N316" t="s">
        <v>963</v>
      </c>
      <c r="O316" t="s">
        <v>53</v>
      </c>
      <c r="P316" t="s">
        <v>4346</v>
      </c>
      <c r="T316" t="s">
        <v>951</v>
      </c>
      <c r="U316" t="s">
        <v>19</v>
      </c>
      <c r="V316" t="s">
        <v>18</v>
      </c>
      <c r="W316" t="s">
        <v>857</v>
      </c>
      <c r="AC316" t="s">
        <v>963</v>
      </c>
      <c r="AD316" t="s">
        <v>2384</v>
      </c>
      <c r="AE316" t="s">
        <v>53</v>
      </c>
      <c r="AF316" t="s">
        <v>4076</v>
      </c>
      <c r="AJ316" s="844" t="s">
        <v>6736</v>
      </c>
      <c r="AK316" s="844" t="s">
        <v>984</v>
      </c>
      <c r="AL316" s="844" t="s">
        <v>818</v>
      </c>
      <c r="AM316" s="844"/>
      <c r="AN316" s="844" t="s">
        <v>3668</v>
      </c>
    </row>
    <row r="317" spans="1:40">
      <c r="A317" t="s">
        <v>6515</v>
      </c>
      <c r="B317" t="s">
        <v>951</v>
      </c>
      <c r="C317" t="s">
        <v>19</v>
      </c>
      <c r="D317" t="s">
        <v>2636</v>
      </c>
      <c r="E317" t="s">
        <v>53</v>
      </c>
      <c r="F317" t="s">
        <v>4376</v>
      </c>
      <c r="M317" t="s">
        <v>4680</v>
      </c>
      <c r="N317" t="s">
        <v>963</v>
      </c>
      <c r="O317" t="s">
        <v>53</v>
      </c>
      <c r="P317" t="s">
        <v>4345</v>
      </c>
      <c r="T317" t="s">
        <v>951</v>
      </c>
      <c r="U317" t="s">
        <v>19</v>
      </c>
      <c r="V317" t="s">
        <v>857</v>
      </c>
      <c r="W317" t="s">
        <v>4096</v>
      </c>
      <c r="AC317" t="s">
        <v>963</v>
      </c>
      <c r="AD317" t="s">
        <v>816</v>
      </c>
      <c r="AE317" t="s">
        <v>857</v>
      </c>
      <c r="AF317" t="s">
        <v>857</v>
      </c>
      <c r="AJ317" s="844" t="s">
        <v>5226</v>
      </c>
      <c r="AK317" s="844" t="s">
        <v>984</v>
      </c>
      <c r="AL317" s="844" t="s">
        <v>19</v>
      </c>
      <c r="AM317" s="844" t="s">
        <v>18</v>
      </c>
      <c r="AN317" s="844" t="s">
        <v>2768</v>
      </c>
    </row>
    <row r="318" spans="1:40">
      <c r="A318" t="s">
        <v>6319</v>
      </c>
      <c r="B318" t="s">
        <v>951</v>
      </c>
      <c r="C318" t="s">
        <v>19</v>
      </c>
      <c r="E318" t="s">
        <v>53</v>
      </c>
      <c r="F318" t="s">
        <v>4378</v>
      </c>
      <c r="M318" t="s">
        <v>4680</v>
      </c>
      <c r="N318" t="s">
        <v>963</v>
      </c>
      <c r="O318" t="s">
        <v>53</v>
      </c>
      <c r="P318" t="s">
        <v>4342</v>
      </c>
      <c r="T318" t="s">
        <v>951</v>
      </c>
      <c r="U318" t="s">
        <v>19</v>
      </c>
      <c r="V318" t="s">
        <v>53</v>
      </c>
      <c r="W318" t="s">
        <v>4096</v>
      </c>
      <c r="AC318" t="s">
        <v>963</v>
      </c>
      <c r="AD318" t="s">
        <v>816</v>
      </c>
      <c r="AE318" t="s">
        <v>53</v>
      </c>
      <c r="AF318" t="s">
        <v>4341</v>
      </c>
      <c r="AJ318" s="844" t="s">
        <v>6737</v>
      </c>
      <c r="AK318" s="844" t="s">
        <v>984</v>
      </c>
      <c r="AL318" s="844" t="s">
        <v>19</v>
      </c>
      <c r="AM318" s="844"/>
      <c r="AN318" s="844" t="s">
        <v>2768</v>
      </c>
    </row>
    <row r="319" spans="1:40">
      <c r="A319" t="s">
        <v>6320</v>
      </c>
      <c r="B319" t="s">
        <v>951</v>
      </c>
      <c r="C319" t="s">
        <v>19</v>
      </c>
      <c r="E319" t="s">
        <v>18</v>
      </c>
      <c r="F319" t="s">
        <v>4382</v>
      </c>
      <c r="M319" t="s">
        <v>4681</v>
      </c>
      <c r="N319" t="s">
        <v>963</v>
      </c>
      <c r="O319" t="s">
        <v>18</v>
      </c>
      <c r="P319" t="s">
        <v>4353</v>
      </c>
      <c r="T319" t="s">
        <v>951</v>
      </c>
      <c r="U319" t="s">
        <v>19</v>
      </c>
      <c r="V319" t="s">
        <v>53</v>
      </c>
      <c r="W319" t="s">
        <v>4096</v>
      </c>
      <c r="AC319" t="s">
        <v>964</v>
      </c>
      <c r="AD319" t="s">
        <v>818</v>
      </c>
      <c r="AE319" t="s">
        <v>18</v>
      </c>
      <c r="AF319" t="s">
        <v>857</v>
      </c>
      <c r="AJ319" s="844" t="s">
        <v>5228</v>
      </c>
      <c r="AK319" s="844" t="s">
        <v>984</v>
      </c>
      <c r="AL319" s="844" t="s">
        <v>2384</v>
      </c>
      <c r="AM319" s="844" t="s">
        <v>18</v>
      </c>
      <c r="AN319" s="844" t="s">
        <v>2636</v>
      </c>
    </row>
    <row r="320" spans="1:40">
      <c r="A320" t="s">
        <v>5021</v>
      </c>
      <c r="B320" t="s">
        <v>951</v>
      </c>
      <c r="C320" t="s">
        <v>19</v>
      </c>
      <c r="F320" t="s">
        <v>3790</v>
      </c>
      <c r="M320" t="s">
        <v>4814</v>
      </c>
      <c r="N320" t="s">
        <v>964</v>
      </c>
      <c r="O320" t="s">
        <v>18</v>
      </c>
      <c r="P320" t="s">
        <v>4370</v>
      </c>
      <c r="T320" t="s">
        <v>951</v>
      </c>
      <c r="U320" t="s">
        <v>19</v>
      </c>
      <c r="V320" t="s">
        <v>53</v>
      </c>
      <c r="W320" t="s">
        <v>2636</v>
      </c>
      <c r="AC320" t="s">
        <v>964</v>
      </c>
      <c r="AD320" t="s">
        <v>818</v>
      </c>
      <c r="AE320" t="s">
        <v>18</v>
      </c>
      <c r="AF320" t="s">
        <v>2422</v>
      </c>
      <c r="AJ320" s="844" t="s">
        <v>5231</v>
      </c>
      <c r="AK320" s="844" t="s">
        <v>984</v>
      </c>
      <c r="AL320" s="844" t="s">
        <v>816</v>
      </c>
      <c r="AM320" s="844" t="s">
        <v>18</v>
      </c>
      <c r="AN320" s="844" t="s">
        <v>2636</v>
      </c>
    </row>
    <row r="321" spans="1:40">
      <c r="A321" t="s">
        <v>6322</v>
      </c>
      <c r="B321" t="s">
        <v>951</v>
      </c>
      <c r="C321" t="s">
        <v>2384</v>
      </c>
      <c r="D321" t="s">
        <v>4140</v>
      </c>
      <c r="F321" t="s">
        <v>4141</v>
      </c>
      <c r="M321" t="s">
        <v>4814</v>
      </c>
      <c r="N321" t="s">
        <v>964</v>
      </c>
      <c r="O321" t="s">
        <v>18</v>
      </c>
      <c r="P321" t="s">
        <v>4369</v>
      </c>
      <c r="T321" t="s">
        <v>951</v>
      </c>
      <c r="U321" t="s">
        <v>2384</v>
      </c>
      <c r="V321" t="s">
        <v>857</v>
      </c>
      <c r="W321" t="s">
        <v>857</v>
      </c>
      <c r="AC321" t="s">
        <v>964</v>
      </c>
      <c r="AD321" t="s">
        <v>818</v>
      </c>
      <c r="AE321" t="s">
        <v>18</v>
      </c>
      <c r="AF321" t="s">
        <v>4356</v>
      </c>
      <c r="AJ321" s="844" t="s">
        <v>5231</v>
      </c>
      <c r="AK321" s="844" t="s">
        <v>984</v>
      </c>
      <c r="AL321" s="844" t="s">
        <v>816</v>
      </c>
      <c r="AM321" s="844" t="s">
        <v>18</v>
      </c>
      <c r="AN321" s="844" t="s">
        <v>2581</v>
      </c>
    </row>
    <row r="322" spans="1:40">
      <c r="A322" t="s">
        <v>5024</v>
      </c>
      <c r="B322" t="s">
        <v>951</v>
      </c>
      <c r="C322" t="s">
        <v>2384</v>
      </c>
      <c r="F322" t="s">
        <v>3791</v>
      </c>
      <c r="M322" t="s">
        <v>4814</v>
      </c>
      <c r="N322" t="s">
        <v>964</v>
      </c>
      <c r="O322" t="s">
        <v>18</v>
      </c>
      <c r="P322" t="s">
        <v>4368</v>
      </c>
      <c r="T322" t="s">
        <v>951</v>
      </c>
      <c r="U322" t="s">
        <v>2384</v>
      </c>
      <c r="V322" t="s">
        <v>857</v>
      </c>
      <c r="W322" t="s">
        <v>4140</v>
      </c>
      <c r="AC322" t="s">
        <v>964</v>
      </c>
      <c r="AD322" t="s">
        <v>818</v>
      </c>
      <c r="AE322" t="s">
        <v>18</v>
      </c>
      <c r="AF322" t="s">
        <v>4363</v>
      </c>
      <c r="AJ322" s="844" t="s">
        <v>5231</v>
      </c>
      <c r="AK322" s="844" t="s">
        <v>984</v>
      </c>
      <c r="AL322" s="844" t="s">
        <v>816</v>
      </c>
      <c r="AM322" s="844" t="s">
        <v>18</v>
      </c>
      <c r="AN322" s="844" t="s">
        <v>3668</v>
      </c>
    </row>
    <row r="323" spans="1:40">
      <c r="A323" t="s">
        <v>5027</v>
      </c>
      <c r="B323" t="s">
        <v>951</v>
      </c>
      <c r="C323" t="s">
        <v>816</v>
      </c>
      <c r="D323" t="s">
        <v>4096</v>
      </c>
      <c r="E323" t="s">
        <v>53</v>
      </c>
      <c r="F323" t="s">
        <v>4375</v>
      </c>
      <c r="M323" t="s">
        <v>4814</v>
      </c>
      <c r="N323" t="s">
        <v>964</v>
      </c>
      <c r="O323" t="s">
        <v>18</v>
      </c>
      <c r="P323" t="s">
        <v>4367</v>
      </c>
      <c r="T323" t="s">
        <v>951</v>
      </c>
      <c r="U323" t="s">
        <v>816</v>
      </c>
      <c r="V323" t="s">
        <v>857</v>
      </c>
      <c r="W323" t="s">
        <v>857</v>
      </c>
      <c r="AC323" t="s">
        <v>964</v>
      </c>
      <c r="AD323" t="s">
        <v>19</v>
      </c>
      <c r="AE323" t="s">
        <v>857</v>
      </c>
      <c r="AF323" t="s">
        <v>2422</v>
      </c>
      <c r="AJ323" s="844" t="s">
        <v>6738</v>
      </c>
      <c r="AK323" s="844" t="s">
        <v>984</v>
      </c>
      <c r="AL323" s="844" t="s">
        <v>816</v>
      </c>
      <c r="AM323" s="844"/>
      <c r="AN323" s="844" t="s">
        <v>2636</v>
      </c>
    </row>
    <row r="324" spans="1:40">
      <c r="A324" t="s">
        <v>5027</v>
      </c>
      <c r="B324" t="s">
        <v>951</v>
      </c>
      <c r="C324" t="s">
        <v>816</v>
      </c>
      <c r="D324" t="s">
        <v>4096</v>
      </c>
      <c r="E324" t="s">
        <v>53</v>
      </c>
      <c r="F324" t="s">
        <v>4371</v>
      </c>
      <c r="M324" t="s">
        <v>4814</v>
      </c>
      <c r="N324" t="s">
        <v>964</v>
      </c>
      <c r="O324" t="s">
        <v>18</v>
      </c>
      <c r="P324" t="s">
        <v>4366</v>
      </c>
      <c r="T324" t="s">
        <v>951</v>
      </c>
      <c r="U324" t="s">
        <v>816</v>
      </c>
      <c r="V324" t="s">
        <v>18</v>
      </c>
      <c r="W324" t="s">
        <v>857</v>
      </c>
      <c r="AC324" t="s">
        <v>964</v>
      </c>
      <c r="AD324" t="s">
        <v>19</v>
      </c>
      <c r="AE324" t="s">
        <v>18</v>
      </c>
      <c r="AF324" t="s">
        <v>857</v>
      </c>
      <c r="AJ324" s="844" t="s">
        <v>5207</v>
      </c>
      <c r="AK324" s="844" t="s">
        <v>985</v>
      </c>
      <c r="AL324" s="844" t="s">
        <v>818</v>
      </c>
      <c r="AM324" s="844" t="s">
        <v>53</v>
      </c>
      <c r="AN324" s="844" t="s">
        <v>3634</v>
      </c>
    </row>
    <row r="325" spans="1:40">
      <c r="A325" t="s">
        <v>6323</v>
      </c>
      <c r="B325" t="s">
        <v>951</v>
      </c>
      <c r="C325" t="s">
        <v>816</v>
      </c>
      <c r="E325" t="s">
        <v>18</v>
      </c>
      <c r="F325" t="s">
        <v>4381</v>
      </c>
      <c r="M325" t="s">
        <v>4814</v>
      </c>
      <c r="N325" t="s">
        <v>964</v>
      </c>
      <c r="O325" t="s">
        <v>18</v>
      </c>
      <c r="P325" t="s">
        <v>4364</v>
      </c>
      <c r="T325" t="s">
        <v>951</v>
      </c>
      <c r="U325" t="s">
        <v>816</v>
      </c>
      <c r="V325" t="s">
        <v>53</v>
      </c>
      <c r="W325" t="s">
        <v>4096</v>
      </c>
      <c r="AC325" t="s">
        <v>964</v>
      </c>
      <c r="AD325" t="s">
        <v>19</v>
      </c>
      <c r="AE325" t="s">
        <v>18</v>
      </c>
      <c r="AF325" t="s">
        <v>2422</v>
      </c>
      <c r="AJ325" s="844" t="s">
        <v>5210</v>
      </c>
      <c r="AK325" s="844" t="s">
        <v>985</v>
      </c>
      <c r="AL325" s="844" t="s">
        <v>818</v>
      </c>
      <c r="AM325" s="844" t="s">
        <v>18</v>
      </c>
      <c r="AN325" s="844" t="s">
        <v>3634</v>
      </c>
    </row>
    <row r="326" spans="1:40">
      <c r="A326" t="s">
        <v>5025</v>
      </c>
      <c r="B326" t="s">
        <v>951</v>
      </c>
      <c r="C326" t="s">
        <v>816</v>
      </c>
      <c r="F326" t="s">
        <v>4228</v>
      </c>
      <c r="M326" t="s">
        <v>4814</v>
      </c>
      <c r="N326" t="s">
        <v>964</v>
      </c>
      <c r="O326" t="s">
        <v>18</v>
      </c>
      <c r="P326" t="s">
        <v>4362</v>
      </c>
      <c r="T326" t="s">
        <v>951</v>
      </c>
      <c r="U326" t="s">
        <v>816</v>
      </c>
      <c r="V326" t="s">
        <v>53</v>
      </c>
      <c r="W326" t="s">
        <v>4096</v>
      </c>
      <c r="AC326" t="s">
        <v>964</v>
      </c>
      <c r="AD326" t="s">
        <v>19</v>
      </c>
      <c r="AE326" t="s">
        <v>18</v>
      </c>
      <c r="AF326" t="s">
        <v>2581</v>
      </c>
      <c r="AJ326" s="844" t="s">
        <v>5212</v>
      </c>
      <c r="AK326" s="844" t="s">
        <v>985</v>
      </c>
      <c r="AL326" s="844" t="s">
        <v>19</v>
      </c>
      <c r="AM326" s="844" t="s">
        <v>53</v>
      </c>
      <c r="AN326" s="844" t="s">
        <v>2366</v>
      </c>
    </row>
    <row r="327" spans="1:40">
      <c r="A327" t="s">
        <v>6324</v>
      </c>
      <c r="B327" t="s">
        <v>2888</v>
      </c>
      <c r="C327" t="s">
        <v>818</v>
      </c>
      <c r="E327" t="s">
        <v>18</v>
      </c>
      <c r="F327" t="s">
        <v>2890</v>
      </c>
      <c r="M327" t="s">
        <v>4814</v>
      </c>
      <c r="N327" t="s">
        <v>964</v>
      </c>
      <c r="O327" t="s">
        <v>18</v>
      </c>
      <c r="P327" t="s">
        <v>4361</v>
      </c>
      <c r="T327" t="s">
        <v>2888</v>
      </c>
      <c r="U327" t="s">
        <v>818</v>
      </c>
      <c r="V327" t="s">
        <v>18</v>
      </c>
      <c r="W327" t="s">
        <v>857</v>
      </c>
      <c r="AC327" t="s">
        <v>964</v>
      </c>
      <c r="AD327" t="s">
        <v>19</v>
      </c>
      <c r="AE327" t="s">
        <v>18</v>
      </c>
      <c r="AF327" t="s">
        <v>4356</v>
      </c>
      <c r="AJ327" s="844" t="s">
        <v>6739</v>
      </c>
      <c r="AK327" s="844" t="s">
        <v>985</v>
      </c>
      <c r="AL327" s="844" t="s">
        <v>19</v>
      </c>
      <c r="AM327" s="844"/>
      <c r="AN327" s="844" t="s">
        <v>2366</v>
      </c>
    </row>
    <row r="328" spans="1:40">
      <c r="A328" t="s">
        <v>5028</v>
      </c>
      <c r="B328" t="s">
        <v>2888</v>
      </c>
      <c r="C328" t="s">
        <v>2384</v>
      </c>
      <c r="D328" t="s">
        <v>2887</v>
      </c>
      <c r="E328" t="s">
        <v>18</v>
      </c>
      <c r="F328" t="s">
        <v>2889</v>
      </c>
      <c r="M328" t="s">
        <v>4814</v>
      </c>
      <c r="N328" t="s">
        <v>964</v>
      </c>
      <c r="O328" t="s">
        <v>18</v>
      </c>
      <c r="P328" t="s">
        <v>4360</v>
      </c>
      <c r="T328" t="s">
        <v>2888</v>
      </c>
      <c r="U328" t="s">
        <v>2384</v>
      </c>
      <c r="V328" t="s">
        <v>18</v>
      </c>
      <c r="W328" t="s">
        <v>2887</v>
      </c>
      <c r="AC328" t="s">
        <v>964</v>
      </c>
      <c r="AD328" t="s">
        <v>2384</v>
      </c>
      <c r="AE328" t="s">
        <v>857</v>
      </c>
      <c r="AF328" t="s">
        <v>857</v>
      </c>
      <c r="AJ328" s="844" t="s">
        <v>5215</v>
      </c>
      <c r="AK328" s="844" t="s">
        <v>985</v>
      </c>
      <c r="AL328" s="844" t="s">
        <v>2384</v>
      </c>
      <c r="AM328" s="844" t="s">
        <v>53</v>
      </c>
      <c r="AN328" s="844" t="s">
        <v>3630</v>
      </c>
    </row>
    <row r="329" spans="1:40">
      <c r="A329" t="s">
        <v>6325</v>
      </c>
      <c r="B329" t="s">
        <v>956</v>
      </c>
      <c r="C329" t="s">
        <v>818</v>
      </c>
      <c r="E329" t="s">
        <v>18</v>
      </c>
      <c r="F329" t="s">
        <v>4440</v>
      </c>
      <c r="M329" t="s">
        <v>4814</v>
      </c>
      <c r="N329" t="s">
        <v>964</v>
      </c>
      <c r="O329" t="s">
        <v>18</v>
      </c>
      <c r="P329" t="s">
        <v>4359</v>
      </c>
      <c r="T329" t="s">
        <v>956</v>
      </c>
      <c r="U329" t="s">
        <v>818</v>
      </c>
      <c r="V329" t="s">
        <v>18</v>
      </c>
      <c r="W329" t="s">
        <v>857</v>
      </c>
      <c r="AC329" t="s">
        <v>964</v>
      </c>
      <c r="AD329" t="s">
        <v>2384</v>
      </c>
      <c r="AE329" t="s">
        <v>857</v>
      </c>
      <c r="AF329" t="s">
        <v>2422</v>
      </c>
      <c r="AJ329" s="844" t="s">
        <v>6740</v>
      </c>
      <c r="AK329" s="844" t="s">
        <v>985</v>
      </c>
      <c r="AL329" s="844" t="s">
        <v>2384</v>
      </c>
      <c r="AM329" s="844"/>
      <c r="AN329" s="844" t="s">
        <v>3630</v>
      </c>
    </row>
    <row r="330" spans="1:40">
      <c r="A330" t="s">
        <v>6325</v>
      </c>
      <c r="B330" t="s">
        <v>956</v>
      </c>
      <c r="C330" t="s">
        <v>818</v>
      </c>
      <c r="E330" t="s">
        <v>18</v>
      </c>
      <c r="F330" t="s">
        <v>4439</v>
      </c>
      <c r="M330" t="s">
        <v>4814</v>
      </c>
      <c r="N330" t="s">
        <v>964</v>
      </c>
      <c r="O330" t="s">
        <v>18</v>
      </c>
      <c r="P330" t="s">
        <v>4358</v>
      </c>
      <c r="T330" t="s">
        <v>956</v>
      </c>
      <c r="U330" t="s">
        <v>818</v>
      </c>
      <c r="V330" t="s">
        <v>18</v>
      </c>
      <c r="W330" t="s">
        <v>857</v>
      </c>
      <c r="AC330" t="s">
        <v>964</v>
      </c>
      <c r="AD330" t="s">
        <v>2384</v>
      </c>
      <c r="AE330" t="s">
        <v>857</v>
      </c>
      <c r="AF330" t="s">
        <v>4363</v>
      </c>
      <c r="AJ330" s="844" t="s">
        <v>5217</v>
      </c>
      <c r="AK330" s="844" t="s">
        <v>985</v>
      </c>
      <c r="AL330" s="844" t="s">
        <v>816</v>
      </c>
      <c r="AM330" s="844" t="s">
        <v>53</v>
      </c>
      <c r="AN330" s="844" t="s">
        <v>3630</v>
      </c>
    </row>
    <row r="331" spans="1:40">
      <c r="A331" t="s">
        <v>6325</v>
      </c>
      <c r="B331" t="s">
        <v>956</v>
      </c>
      <c r="C331" t="s">
        <v>818</v>
      </c>
      <c r="E331" t="s">
        <v>18</v>
      </c>
      <c r="F331" t="s">
        <v>4436</v>
      </c>
      <c r="M331" t="s">
        <v>4814</v>
      </c>
      <c r="N331" t="s">
        <v>964</v>
      </c>
      <c r="O331" t="s">
        <v>18</v>
      </c>
      <c r="P331" t="s">
        <v>4357</v>
      </c>
      <c r="T331" t="s">
        <v>956</v>
      </c>
      <c r="U331" t="s">
        <v>818</v>
      </c>
      <c r="V331" t="s">
        <v>18</v>
      </c>
      <c r="W331" t="s">
        <v>857</v>
      </c>
      <c r="AC331" t="s">
        <v>964</v>
      </c>
      <c r="AD331" t="s">
        <v>2416</v>
      </c>
      <c r="AE331" t="s">
        <v>18</v>
      </c>
      <c r="AF331" t="s">
        <v>2422</v>
      </c>
      <c r="AJ331" s="844" t="s">
        <v>5217</v>
      </c>
      <c r="AK331" s="844" t="s">
        <v>985</v>
      </c>
      <c r="AL331" s="844" t="s">
        <v>816</v>
      </c>
      <c r="AM331" s="844" t="s">
        <v>53</v>
      </c>
      <c r="AN331" s="844" t="s">
        <v>2366</v>
      </c>
    </row>
    <row r="332" spans="1:40">
      <c r="A332" t="s">
        <v>6325</v>
      </c>
      <c r="B332" t="s">
        <v>956</v>
      </c>
      <c r="C332" t="s">
        <v>818</v>
      </c>
      <c r="E332" t="s">
        <v>18</v>
      </c>
      <c r="F332" t="s">
        <v>4434</v>
      </c>
      <c r="M332" t="s">
        <v>4814</v>
      </c>
      <c r="N332" t="s">
        <v>964</v>
      </c>
      <c r="O332" t="s">
        <v>18</v>
      </c>
      <c r="P332" t="s">
        <v>4355</v>
      </c>
      <c r="T332" t="s">
        <v>956</v>
      </c>
      <c r="U332" t="s">
        <v>818</v>
      </c>
      <c r="V332" t="s">
        <v>18</v>
      </c>
      <c r="W332" t="s">
        <v>857</v>
      </c>
      <c r="AC332" t="s">
        <v>964</v>
      </c>
      <c r="AD332" t="s">
        <v>816</v>
      </c>
      <c r="AE332" t="s">
        <v>18</v>
      </c>
      <c r="AF332" t="s">
        <v>857</v>
      </c>
      <c r="AJ332" s="844" t="s">
        <v>5233</v>
      </c>
      <c r="AK332" s="844" t="s">
        <v>986</v>
      </c>
      <c r="AL332" s="844" t="s">
        <v>818</v>
      </c>
      <c r="AM332" s="844" t="s">
        <v>18</v>
      </c>
      <c r="AN332" s="844" t="s">
        <v>3606</v>
      </c>
    </row>
    <row r="333" spans="1:40">
      <c r="A333" t="s">
        <v>5032</v>
      </c>
      <c r="B333" t="s">
        <v>956</v>
      </c>
      <c r="C333" t="s">
        <v>19</v>
      </c>
      <c r="D333" t="s">
        <v>3117</v>
      </c>
      <c r="E333" t="s">
        <v>53</v>
      </c>
      <c r="F333" t="s">
        <v>4432</v>
      </c>
      <c r="M333" t="s">
        <v>4814</v>
      </c>
      <c r="N333" t="s">
        <v>964</v>
      </c>
      <c r="O333" t="s">
        <v>18</v>
      </c>
      <c r="P333" t="s">
        <v>4354</v>
      </c>
      <c r="T333" t="s">
        <v>956</v>
      </c>
      <c r="U333" t="s">
        <v>19</v>
      </c>
      <c r="V333" t="s">
        <v>857</v>
      </c>
      <c r="W333" t="s">
        <v>857</v>
      </c>
      <c r="AC333" t="s">
        <v>964</v>
      </c>
      <c r="AD333" t="s">
        <v>816</v>
      </c>
      <c r="AE333" t="s">
        <v>18</v>
      </c>
      <c r="AF333" t="s">
        <v>2425</v>
      </c>
      <c r="AJ333" s="844" t="s">
        <v>6741</v>
      </c>
      <c r="AK333" s="844" t="s">
        <v>986</v>
      </c>
      <c r="AL333" s="844" t="s">
        <v>818</v>
      </c>
      <c r="AM333" s="844"/>
      <c r="AN333" s="844" t="s">
        <v>3606</v>
      </c>
    </row>
    <row r="334" spans="1:40">
      <c r="A334" t="s">
        <v>5032</v>
      </c>
      <c r="B334" t="s">
        <v>956</v>
      </c>
      <c r="C334" t="s">
        <v>19</v>
      </c>
      <c r="D334" t="s">
        <v>3117</v>
      </c>
      <c r="E334" t="s">
        <v>53</v>
      </c>
      <c r="F334" t="s">
        <v>4427</v>
      </c>
      <c r="M334" t="s">
        <v>4814</v>
      </c>
      <c r="N334" t="s">
        <v>964</v>
      </c>
      <c r="O334" t="s">
        <v>18</v>
      </c>
      <c r="P334" t="s">
        <v>2434</v>
      </c>
      <c r="T334" t="s">
        <v>956</v>
      </c>
      <c r="U334" t="s">
        <v>19</v>
      </c>
      <c r="V334" t="s">
        <v>857</v>
      </c>
      <c r="W334" t="s">
        <v>857</v>
      </c>
      <c r="AC334" t="s">
        <v>964</v>
      </c>
      <c r="AD334" t="s">
        <v>816</v>
      </c>
      <c r="AE334" t="s">
        <v>18</v>
      </c>
      <c r="AF334" t="s">
        <v>2422</v>
      </c>
      <c r="AJ334" s="844" t="s">
        <v>5235</v>
      </c>
      <c r="AK334" s="844" t="s">
        <v>986</v>
      </c>
      <c r="AL334" s="844" t="s">
        <v>19</v>
      </c>
      <c r="AM334" s="844" t="s">
        <v>18</v>
      </c>
      <c r="AN334" s="844" t="s">
        <v>3606</v>
      </c>
    </row>
    <row r="335" spans="1:40">
      <c r="A335" t="s">
        <v>5033</v>
      </c>
      <c r="B335" t="s">
        <v>956</v>
      </c>
      <c r="C335" t="s">
        <v>19</v>
      </c>
      <c r="D335" t="s">
        <v>4070</v>
      </c>
      <c r="E335" t="s">
        <v>53</v>
      </c>
      <c r="F335" t="s">
        <v>4426</v>
      </c>
      <c r="M335" t="s">
        <v>4814</v>
      </c>
      <c r="N335" t="s">
        <v>964</v>
      </c>
      <c r="O335" t="s">
        <v>18</v>
      </c>
      <c r="P335" t="s">
        <v>2433</v>
      </c>
      <c r="T335" t="s">
        <v>956</v>
      </c>
      <c r="U335" t="s">
        <v>19</v>
      </c>
      <c r="V335" t="s">
        <v>53</v>
      </c>
      <c r="W335" t="s">
        <v>857</v>
      </c>
      <c r="AC335" t="s">
        <v>965</v>
      </c>
      <c r="AD335" t="s">
        <v>818</v>
      </c>
      <c r="AE335" t="s">
        <v>857</v>
      </c>
      <c r="AF335" t="s">
        <v>857</v>
      </c>
      <c r="AJ335" s="844" t="s">
        <v>6742</v>
      </c>
      <c r="AK335" s="844" t="s">
        <v>986</v>
      </c>
      <c r="AL335" s="844" t="s">
        <v>19</v>
      </c>
      <c r="AM335" s="844"/>
      <c r="AN335" s="844" t="s">
        <v>3606</v>
      </c>
    </row>
    <row r="336" spans="1:40">
      <c r="A336" t="s">
        <v>6602</v>
      </c>
      <c r="B336" t="s">
        <v>956</v>
      </c>
      <c r="C336" t="s">
        <v>19</v>
      </c>
      <c r="D336" t="s">
        <v>4070</v>
      </c>
      <c r="F336" t="s">
        <v>4071</v>
      </c>
      <c r="M336" t="s">
        <v>4814</v>
      </c>
      <c r="N336" t="s">
        <v>964</v>
      </c>
      <c r="O336" t="s">
        <v>18</v>
      </c>
      <c r="P336" t="s">
        <v>2432</v>
      </c>
      <c r="T336" t="s">
        <v>956</v>
      </c>
      <c r="U336" t="s">
        <v>19</v>
      </c>
      <c r="V336" t="s">
        <v>18</v>
      </c>
      <c r="W336" t="s">
        <v>857</v>
      </c>
      <c r="AC336" t="s">
        <v>965</v>
      </c>
      <c r="AD336" t="s">
        <v>818</v>
      </c>
      <c r="AE336" t="s">
        <v>857</v>
      </c>
      <c r="AF336" t="s">
        <v>2900</v>
      </c>
      <c r="AJ336" s="844" t="s">
        <v>5238</v>
      </c>
      <c r="AK336" s="844" t="s">
        <v>986</v>
      </c>
      <c r="AL336" s="844" t="s">
        <v>816</v>
      </c>
      <c r="AM336" s="844" t="s">
        <v>18</v>
      </c>
      <c r="AN336" s="844" t="s">
        <v>3606</v>
      </c>
    </row>
    <row r="337" spans="1:40">
      <c r="A337" t="s">
        <v>6326</v>
      </c>
      <c r="B337" t="s">
        <v>956</v>
      </c>
      <c r="C337" t="s">
        <v>19</v>
      </c>
      <c r="E337" t="s">
        <v>53</v>
      </c>
      <c r="F337" t="s">
        <v>4433</v>
      </c>
      <c r="M337" t="s">
        <v>4814</v>
      </c>
      <c r="N337" t="s">
        <v>964</v>
      </c>
      <c r="O337" t="s">
        <v>18</v>
      </c>
      <c r="P337" t="s">
        <v>2431</v>
      </c>
      <c r="T337" t="s">
        <v>956</v>
      </c>
      <c r="U337" t="s">
        <v>19</v>
      </c>
      <c r="V337" t="s">
        <v>53</v>
      </c>
      <c r="W337" t="s">
        <v>3117</v>
      </c>
      <c r="AC337" t="s">
        <v>965</v>
      </c>
      <c r="AD337" t="s">
        <v>818</v>
      </c>
      <c r="AE337" t="s">
        <v>18</v>
      </c>
      <c r="AF337" t="s">
        <v>857</v>
      </c>
      <c r="AJ337" s="844" t="s">
        <v>6743</v>
      </c>
      <c r="AK337" s="844" t="s">
        <v>986</v>
      </c>
      <c r="AL337" s="844" t="s">
        <v>816</v>
      </c>
      <c r="AM337" s="844"/>
      <c r="AN337" s="844" t="s">
        <v>3606</v>
      </c>
    </row>
    <row r="338" spans="1:40">
      <c r="A338" t="s">
        <v>6327</v>
      </c>
      <c r="B338" t="s">
        <v>956</v>
      </c>
      <c r="C338" t="s">
        <v>19</v>
      </c>
      <c r="E338" t="s">
        <v>18</v>
      </c>
      <c r="F338" t="s">
        <v>4437</v>
      </c>
      <c r="M338" t="s">
        <v>4814</v>
      </c>
      <c r="N338" t="s">
        <v>964</v>
      </c>
      <c r="O338" t="s">
        <v>18</v>
      </c>
      <c r="P338" t="s">
        <v>2430</v>
      </c>
      <c r="T338" t="s">
        <v>956</v>
      </c>
      <c r="U338" t="s">
        <v>19</v>
      </c>
      <c r="V338" t="s">
        <v>53</v>
      </c>
      <c r="W338" t="s">
        <v>3117</v>
      </c>
      <c r="AC338" t="s">
        <v>965</v>
      </c>
      <c r="AD338" t="s">
        <v>818</v>
      </c>
      <c r="AE338" t="s">
        <v>18</v>
      </c>
      <c r="AF338" t="s">
        <v>2900</v>
      </c>
      <c r="AJ338" s="844" t="s">
        <v>5240</v>
      </c>
      <c r="AK338" s="844" t="s">
        <v>987</v>
      </c>
      <c r="AL338" s="844" t="s">
        <v>818</v>
      </c>
      <c r="AM338" s="844" t="s">
        <v>18</v>
      </c>
      <c r="AN338" s="844" t="s">
        <v>2366</v>
      </c>
    </row>
    <row r="339" spans="1:40">
      <c r="A339" t="s">
        <v>5030</v>
      </c>
      <c r="B339" t="s">
        <v>956</v>
      </c>
      <c r="C339" t="s">
        <v>19</v>
      </c>
      <c r="F339" t="s">
        <v>3917</v>
      </c>
      <c r="M339" t="s">
        <v>4814</v>
      </c>
      <c r="N339" t="s">
        <v>964</v>
      </c>
      <c r="O339" t="s">
        <v>18</v>
      </c>
      <c r="P339" t="s">
        <v>2429</v>
      </c>
      <c r="T339" t="s">
        <v>956</v>
      </c>
      <c r="U339" t="s">
        <v>19</v>
      </c>
      <c r="V339" t="s">
        <v>857</v>
      </c>
      <c r="W339" t="s">
        <v>4070</v>
      </c>
      <c r="AC339" t="s">
        <v>966</v>
      </c>
      <c r="AD339" t="s">
        <v>818</v>
      </c>
      <c r="AE339" t="s">
        <v>857</v>
      </c>
      <c r="AF339" t="s">
        <v>857</v>
      </c>
      <c r="AJ339" s="844" t="s">
        <v>5242</v>
      </c>
      <c r="AK339" s="844" t="s">
        <v>987</v>
      </c>
      <c r="AL339" s="844" t="s">
        <v>19</v>
      </c>
      <c r="AM339" s="844" t="s">
        <v>18</v>
      </c>
      <c r="AN339" s="844" t="s">
        <v>2581</v>
      </c>
    </row>
    <row r="340" spans="1:40">
      <c r="A340" t="s">
        <v>5030</v>
      </c>
      <c r="B340" t="s">
        <v>956</v>
      </c>
      <c r="C340" t="s">
        <v>19</v>
      </c>
      <c r="F340" t="s">
        <v>3801</v>
      </c>
      <c r="M340" t="s">
        <v>4814</v>
      </c>
      <c r="N340" t="s">
        <v>964</v>
      </c>
      <c r="O340" t="s">
        <v>18</v>
      </c>
      <c r="P340" t="s">
        <v>2428</v>
      </c>
      <c r="T340" t="s">
        <v>956</v>
      </c>
      <c r="U340" t="s">
        <v>19</v>
      </c>
      <c r="V340" t="s">
        <v>53</v>
      </c>
      <c r="W340" t="s">
        <v>4070</v>
      </c>
      <c r="AC340" t="s">
        <v>966</v>
      </c>
      <c r="AD340" t="s">
        <v>818</v>
      </c>
      <c r="AE340" t="s">
        <v>857</v>
      </c>
      <c r="AF340" t="s">
        <v>4023</v>
      </c>
      <c r="AJ340" s="844" t="s">
        <v>6744</v>
      </c>
      <c r="AK340" s="844" t="s">
        <v>987</v>
      </c>
      <c r="AL340" s="844" t="s">
        <v>19</v>
      </c>
      <c r="AM340" s="844"/>
      <c r="AN340" s="844" t="s">
        <v>2581</v>
      </c>
    </row>
    <row r="341" spans="1:40">
      <c r="A341" t="s">
        <v>6603</v>
      </c>
      <c r="B341" t="s">
        <v>956</v>
      </c>
      <c r="C341" t="s">
        <v>2384</v>
      </c>
      <c r="D341" t="s">
        <v>4076</v>
      </c>
      <c r="F341" t="s">
        <v>4429</v>
      </c>
      <c r="M341" t="s">
        <v>4814</v>
      </c>
      <c r="N341" t="s">
        <v>964</v>
      </c>
      <c r="O341" t="s">
        <v>18</v>
      </c>
      <c r="P341" t="s">
        <v>2427</v>
      </c>
      <c r="T341" t="s">
        <v>956</v>
      </c>
      <c r="U341" t="s">
        <v>2384</v>
      </c>
      <c r="V341" t="s">
        <v>857</v>
      </c>
      <c r="W341" t="s">
        <v>857</v>
      </c>
      <c r="AC341" t="s">
        <v>966</v>
      </c>
      <c r="AD341" t="s">
        <v>818</v>
      </c>
      <c r="AE341" t="s">
        <v>53</v>
      </c>
      <c r="AF341" t="s">
        <v>857</v>
      </c>
      <c r="AJ341" s="844" t="s">
        <v>5245</v>
      </c>
      <c r="AK341" s="844" t="s">
        <v>987</v>
      </c>
      <c r="AL341" s="844" t="s">
        <v>2384</v>
      </c>
      <c r="AM341" s="844" t="s">
        <v>18</v>
      </c>
      <c r="AN341" s="844" t="s">
        <v>2581</v>
      </c>
    </row>
    <row r="342" spans="1:40">
      <c r="A342" t="s">
        <v>6603</v>
      </c>
      <c r="B342" t="s">
        <v>956</v>
      </c>
      <c r="C342" t="s">
        <v>2384</v>
      </c>
      <c r="D342" t="s">
        <v>4076</v>
      </c>
      <c r="F342" t="s">
        <v>4230</v>
      </c>
      <c r="M342" t="s">
        <v>4814</v>
      </c>
      <c r="N342" t="s">
        <v>964</v>
      </c>
      <c r="O342" t="s">
        <v>18</v>
      </c>
      <c r="P342" t="s">
        <v>2426</v>
      </c>
      <c r="T342" t="s">
        <v>956</v>
      </c>
      <c r="U342" t="s">
        <v>2384</v>
      </c>
      <c r="V342" t="s">
        <v>857</v>
      </c>
      <c r="W342" t="s">
        <v>4076</v>
      </c>
      <c r="AC342" t="s">
        <v>966</v>
      </c>
      <c r="AD342" t="s">
        <v>818</v>
      </c>
      <c r="AE342" t="s">
        <v>53</v>
      </c>
      <c r="AF342" t="s">
        <v>4387</v>
      </c>
      <c r="AJ342" s="844" t="s">
        <v>6745</v>
      </c>
      <c r="AK342" s="844" t="s">
        <v>987</v>
      </c>
      <c r="AL342" s="844" t="s">
        <v>2384</v>
      </c>
      <c r="AM342" s="844"/>
      <c r="AN342" s="844" t="s">
        <v>2581</v>
      </c>
    </row>
    <row r="343" spans="1:40">
      <c r="A343" t="s">
        <v>5036</v>
      </c>
      <c r="B343" t="s">
        <v>956</v>
      </c>
      <c r="C343" t="s">
        <v>2384</v>
      </c>
      <c r="D343" t="s">
        <v>3117</v>
      </c>
      <c r="E343" t="s">
        <v>53</v>
      </c>
      <c r="F343" t="s">
        <v>4428</v>
      </c>
      <c r="M343" t="s">
        <v>4814</v>
      </c>
      <c r="N343" t="s">
        <v>964</v>
      </c>
      <c r="O343" t="s">
        <v>18</v>
      </c>
      <c r="P343" t="s">
        <v>2424</v>
      </c>
      <c r="T343" t="s">
        <v>956</v>
      </c>
      <c r="U343" t="s">
        <v>2384</v>
      </c>
      <c r="V343" t="s">
        <v>857</v>
      </c>
      <c r="W343" t="s">
        <v>4076</v>
      </c>
      <c r="AC343" t="s">
        <v>966</v>
      </c>
      <c r="AD343" t="s">
        <v>818</v>
      </c>
      <c r="AE343" t="s">
        <v>53</v>
      </c>
      <c r="AF343" t="s">
        <v>4396</v>
      </c>
      <c r="AJ343" s="844" t="s">
        <v>5247</v>
      </c>
      <c r="AK343" s="844" t="s">
        <v>987</v>
      </c>
      <c r="AL343" s="844" t="s">
        <v>816</v>
      </c>
      <c r="AM343" s="844" t="s">
        <v>18</v>
      </c>
      <c r="AN343" s="844" t="s">
        <v>2366</v>
      </c>
    </row>
    <row r="344" spans="1:40">
      <c r="A344" t="s">
        <v>5034</v>
      </c>
      <c r="B344" t="s">
        <v>956</v>
      </c>
      <c r="C344" t="s">
        <v>2384</v>
      </c>
      <c r="F344" t="s">
        <v>3796</v>
      </c>
      <c r="M344" t="s">
        <v>4814</v>
      </c>
      <c r="N344" t="s">
        <v>964</v>
      </c>
      <c r="O344" t="s">
        <v>18</v>
      </c>
      <c r="P344" t="s">
        <v>2423</v>
      </c>
      <c r="T344" t="s">
        <v>956</v>
      </c>
      <c r="U344" t="s">
        <v>2384</v>
      </c>
      <c r="V344" t="s">
        <v>53</v>
      </c>
      <c r="W344" t="s">
        <v>3117</v>
      </c>
      <c r="AC344" t="s">
        <v>966</v>
      </c>
      <c r="AD344" t="s">
        <v>818</v>
      </c>
      <c r="AE344" t="s">
        <v>18</v>
      </c>
      <c r="AF344" t="s">
        <v>857</v>
      </c>
      <c r="AJ344" s="844" t="s">
        <v>5249</v>
      </c>
      <c r="AK344" s="844" t="s">
        <v>988</v>
      </c>
      <c r="AL344" s="844" t="s">
        <v>818</v>
      </c>
      <c r="AM344" s="844" t="s">
        <v>18</v>
      </c>
      <c r="AN344" s="844" t="s">
        <v>3596</v>
      </c>
    </row>
    <row r="345" spans="1:40">
      <c r="A345" t="s">
        <v>5038</v>
      </c>
      <c r="B345" t="s">
        <v>956</v>
      </c>
      <c r="C345" t="s">
        <v>816</v>
      </c>
      <c r="D345" t="s">
        <v>4430</v>
      </c>
      <c r="E345" t="s">
        <v>53</v>
      </c>
      <c r="F345" t="s">
        <v>4431</v>
      </c>
      <c r="M345" t="s">
        <v>4789</v>
      </c>
      <c r="N345" t="s">
        <v>965</v>
      </c>
      <c r="O345" t="s">
        <v>18</v>
      </c>
      <c r="P345" t="s">
        <v>4315</v>
      </c>
      <c r="T345" t="s">
        <v>956</v>
      </c>
      <c r="U345" t="s">
        <v>816</v>
      </c>
      <c r="V345" t="s">
        <v>18</v>
      </c>
      <c r="W345" t="s">
        <v>857</v>
      </c>
      <c r="AC345" t="s">
        <v>966</v>
      </c>
      <c r="AD345" t="s">
        <v>19</v>
      </c>
      <c r="AE345" t="s">
        <v>857</v>
      </c>
      <c r="AF345" t="s">
        <v>857</v>
      </c>
      <c r="AJ345" s="844" t="s">
        <v>6746</v>
      </c>
      <c r="AK345" s="844" t="s">
        <v>988</v>
      </c>
      <c r="AL345" s="844" t="s">
        <v>818</v>
      </c>
      <c r="AM345" s="844"/>
      <c r="AN345" s="844" t="s">
        <v>3596</v>
      </c>
    </row>
    <row r="346" spans="1:40">
      <c r="A346" t="s">
        <v>6328</v>
      </c>
      <c r="B346" t="s">
        <v>956</v>
      </c>
      <c r="C346" t="s">
        <v>816</v>
      </c>
      <c r="E346" t="s">
        <v>18</v>
      </c>
      <c r="F346" t="s">
        <v>4438</v>
      </c>
      <c r="M346" t="s">
        <v>4789</v>
      </c>
      <c r="N346" t="s">
        <v>965</v>
      </c>
      <c r="O346" t="s">
        <v>18</v>
      </c>
      <c r="P346" t="s">
        <v>4314</v>
      </c>
      <c r="T346" t="s">
        <v>956</v>
      </c>
      <c r="U346" t="s">
        <v>816</v>
      </c>
      <c r="V346" t="s">
        <v>18</v>
      </c>
      <c r="W346" t="s">
        <v>857</v>
      </c>
      <c r="AC346" t="s">
        <v>966</v>
      </c>
      <c r="AD346" t="s">
        <v>19</v>
      </c>
      <c r="AE346" t="s">
        <v>857</v>
      </c>
      <c r="AF346" t="s">
        <v>4023</v>
      </c>
      <c r="AJ346" s="844" t="s">
        <v>5252</v>
      </c>
      <c r="AK346" s="844" t="s">
        <v>988</v>
      </c>
      <c r="AL346" s="844" t="s">
        <v>19</v>
      </c>
      <c r="AM346" s="844" t="s">
        <v>18</v>
      </c>
      <c r="AN346" s="844" t="s">
        <v>3596</v>
      </c>
    </row>
    <row r="347" spans="1:40">
      <c r="A347" t="s">
        <v>6328</v>
      </c>
      <c r="B347" t="s">
        <v>956</v>
      </c>
      <c r="C347" t="s">
        <v>816</v>
      </c>
      <c r="E347" t="s">
        <v>18</v>
      </c>
      <c r="F347" t="s">
        <v>4435</v>
      </c>
      <c r="M347" t="s">
        <v>4789</v>
      </c>
      <c r="N347" t="s">
        <v>965</v>
      </c>
      <c r="O347" t="s">
        <v>18</v>
      </c>
      <c r="P347" t="s">
        <v>4313</v>
      </c>
      <c r="T347" t="s">
        <v>956</v>
      </c>
      <c r="U347" t="s">
        <v>816</v>
      </c>
      <c r="V347" t="s">
        <v>53</v>
      </c>
      <c r="W347" t="s">
        <v>4430</v>
      </c>
      <c r="AC347" t="s">
        <v>966</v>
      </c>
      <c r="AD347" t="s">
        <v>19</v>
      </c>
      <c r="AE347" t="s">
        <v>53</v>
      </c>
      <c r="AF347" t="s">
        <v>857</v>
      </c>
      <c r="AJ347" s="844" t="s">
        <v>6747</v>
      </c>
      <c r="AK347" s="844" t="s">
        <v>988</v>
      </c>
      <c r="AL347" s="844" t="s">
        <v>19</v>
      </c>
      <c r="AM347" s="844"/>
      <c r="AN347" s="844" t="s">
        <v>3596</v>
      </c>
    </row>
    <row r="348" spans="1:40">
      <c r="A348" t="s">
        <v>6516</v>
      </c>
      <c r="B348" t="s">
        <v>2884</v>
      </c>
      <c r="C348" t="s">
        <v>818</v>
      </c>
      <c r="D348" t="s">
        <v>2883</v>
      </c>
      <c r="E348" t="s">
        <v>18</v>
      </c>
      <c r="F348" t="s">
        <v>2885</v>
      </c>
      <c r="M348" t="s">
        <v>4822</v>
      </c>
      <c r="N348" t="s">
        <v>966</v>
      </c>
      <c r="O348" t="s">
        <v>53</v>
      </c>
      <c r="P348" t="s">
        <v>4403</v>
      </c>
      <c r="T348" t="s">
        <v>2884</v>
      </c>
      <c r="U348" t="s">
        <v>818</v>
      </c>
      <c r="V348" t="s">
        <v>18</v>
      </c>
      <c r="W348" t="s">
        <v>857</v>
      </c>
      <c r="AC348" t="s">
        <v>966</v>
      </c>
      <c r="AD348" t="s">
        <v>19</v>
      </c>
      <c r="AE348" t="s">
        <v>53</v>
      </c>
      <c r="AF348" t="s">
        <v>4275</v>
      </c>
      <c r="AJ348" s="844" t="s">
        <v>5254</v>
      </c>
      <c r="AK348" s="844" t="s">
        <v>988</v>
      </c>
      <c r="AL348" s="844" t="s">
        <v>2384</v>
      </c>
      <c r="AM348" s="844" t="s">
        <v>18</v>
      </c>
      <c r="AN348" s="844" t="s">
        <v>3596</v>
      </c>
    </row>
    <row r="349" spans="1:40">
      <c r="A349" t="s">
        <v>6329</v>
      </c>
      <c r="B349" t="s">
        <v>2884</v>
      </c>
      <c r="C349" t="s">
        <v>818</v>
      </c>
      <c r="E349" t="s">
        <v>18</v>
      </c>
      <c r="F349" t="s">
        <v>2886</v>
      </c>
      <c r="M349" t="s">
        <v>4822</v>
      </c>
      <c r="N349" t="s">
        <v>966</v>
      </c>
      <c r="O349" t="s">
        <v>53</v>
      </c>
      <c r="P349" t="s">
        <v>4402</v>
      </c>
      <c r="T349" t="s">
        <v>2884</v>
      </c>
      <c r="U349" t="s">
        <v>818</v>
      </c>
      <c r="V349" t="s">
        <v>18</v>
      </c>
      <c r="W349" t="s">
        <v>2883</v>
      </c>
      <c r="AC349" t="s">
        <v>966</v>
      </c>
      <c r="AD349" t="s">
        <v>19</v>
      </c>
      <c r="AE349" t="s">
        <v>53</v>
      </c>
      <c r="AF349" t="s">
        <v>4023</v>
      </c>
      <c r="AJ349" s="844" t="s">
        <v>5257</v>
      </c>
      <c r="AK349" s="844" t="s">
        <v>988</v>
      </c>
      <c r="AL349" s="844" t="s">
        <v>816</v>
      </c>
      <c r="AM349" s="844" t="s">
        <v>18</v>
      </c>
      <c r="AN349" s="844" t="s">
        <v>3596</v>
      </c>
    </row>
    <row r="350" spans="1:40">
      <c r="A350" t="s">
        <v>6517</v>
      </c>
      <c r="B350" t="s">
        <v>958</v>
      </c>
      <c r="C350" t="s">
        <v>818</v>
      </c>
      <c r="D350" t="s">
        <v>2649</v>
      </c>
      <c r="E350" t="s">
        <v>53</v>
      </c>
      <c r="F350" t="s">
        <v>2658</v>
      </c>
      <c r="M350" t="s">
        <v>4822</v>
      </c>
      <c r="N350" t="s">
        <v>966</v>
      </c>
      <c r="O350" t="s">
        <v>53</v>
      </c>
      <c r="P350" t="s">
        <v>4401</v>
      </c>
      <c r="T350" t="s">
        <v>958</v>
      </c>
      <c r="U350" t="s">
        <v>818</v>
      </c>
      <c r="V350" t="s">
        <v>857</v>
      </c>
      <c r="W350" t="s">
        <v>857</v>
      </c>
      <c r="AC350" t="s">
        <v>966</v>
      </c>
      <c r="AD350" t="s">
        <v>19</v>
      </c>
      <c r="AE350" t="s">
        <v>53</v>
      </c>
      <c r="AF350" t="s">
        <v>4398</v>
      </c>
      <c r="AJ350" s="844" t="s">
        <v>5257</v>
      </c>
      <c r="AK350" s="844" t="s">
        <v>988</v>
      </c>
      <c r="AL350" s="844" t="s">
        <v>816</v>
      </c>
      <c r="AM350" s="844" t="s">
        <v>18</v>
      </c>
      <c r="AN350" s="844" t="s">
        <v>3594</v>
      </c>
    </row>
    <row r="351" spans="1:40">
      <c r="A351" t="s">
        <v>6517</v>
      </c>
      <c r="B351" t="s">
        <v>958</v>
      </c>
      <c r="C351" t="s">
        <v>818</v>
      </c>
      <c r="D351" t="s">
        <v>2649</v>
      </c>
      <c r="E351" t="s">
        <v>53</v>
      </c>
      <c r="F351" t="s">
        <v>2654</v>
      </c>
      <c r="M351" t="s">
        <v>4822</v>
      </c>
      <c r="N351" t="s">
        <v>966</v>
      </c>
      <c r="O351" t="s">
        <v>53</v>
      </c>
      <c r="P351" t="s">
        <v>4400</v>
      </c>
      <c r="T351" t="s">
        <v>958</v>
      </c>
      <c r="U351" t="s">
        <v>818</v>
      </c>
      <c r="V351" t="s">
        <v>53</v>
      </c>
      <c r="W351" t="s">
        <v>857</v>
      </c>
      <c r="AC351" t="s">
        <v>966</v>
      </c>
      <c r="AD351" t="s">
        <v>19</v>
      </c>
      <c r="AE351" t="s">
        <v>53</v>
      </c>
      <c r="AF351" t="s">
        <v>2559</v>
      </c>
      <c r="AJ351" s="844" t="s">
        <v>6748</v>
      </c>
      <c r="AK351" s="844" t="s">
        <v>988</v>
      </c>
      <c r="AL351" s="844" t="s">
        <v>816</v>
      </c>
      <c r="AM351" s="844"/>
      <c r="AN351" s="844" t="s">
        <v>3594</v>
      </c>
    </row>
    <row r="352" spans="1:40">
      <c r="A352" t="s">
        <v>5042</v>
      </c>
      <c r="B352" t="s">
        <v>958</v>
      </c>
      <c r="C352" t="s">
        <v>818</v>
      </c>
      <c r="D352" t="s">
        <v>2647</v>
      </c>
      <c r="E352" t="s">
        <v>53</v>
      </c>
      <c r="F352" t="s">
        <v>2653</v>
      </c>
      <c r="M352" t="s">
        <v>4822</v>
      </c>
      <c r="N352" t="s">
        <v>966</v>
      </c>
      <c r="O352" t="s">
        <v>53</v>
      </c>
      <c r="P352" t="s">
        <v>4399</v>
      </c>
      <c r="T352" t="s">
        <v>958</v>
      </c>
      <c r="U352" t="s">
        <v>818</v>
      </c>
      <c r="V352" t="s">
        <v>53</v>
      </c>
      <c r="W352" t="s">
        <v>857</v>
      </c>
      <c r="AC352" t="s">
        <v>966</v>
      </c>
      <c r="AD352" t="s">
        <v>816</v>
      </c>
      <c r="AE352" t="s">
        <v>857</v>
      </c>
      <c r="AF352" t="s">
        <v>857</v>
      </c>
      <c r="AJ352" s="844" t="s">
        <v>5266</v>
      </c>
      <c r="AK352" s="844" t="s">
        <v>989</v>
      </c>
      <c r="AL352" s="844" t="s">
        <v>818</v>
      </c>
      <c r="AM352" s="844" t="s">
        <v>18</v>
      </c>
      <c r="AN352" s="844" t="s">
        <v>3501</v>
      </c>
    </row>
    <row r="353" spans="1:40">
      <c r="A353" t="s">
        <v>6330</v>
      </c>
      <c r="B353" t="s">
        <v>958</v>
      </c>
      <c r="C353" t="s">
        <v>818</v>
      </c>
      <c r="E353" t="s">
        <v>53</v>
      </c>
      <c r="F353" t="s">
        <v>2659</v>
      </c>
      <c r="M353" t="s">
        <v>4822</v>
      </c>
      <c r="N353" t="s">
        <v>966</v>
      </c>
      <c r="O353" t="s">
        <v>53</v>
      </c>
      <c r="P353" t="s">
        <v>4397</v>
      </c>
      <c r="T353" t="s">
        <v>958</v>
      </c>
      <c r="U353" t="s">
        <v>818</v>
      </c>
      <c r="V353" t="s">
        <v>18</v>
      </c>
      <c r="W353" t="s">
        <v>857</v>
      </c>
      <c r="AC353" t="s">
        <v>966</v>
      </c>
      <c r="AD353" t="s">
        <v>816</v>
      </c>
      <c r="AE353" t="s">
        <v>857</v>
      </c>
      <c r="AF353" t="s">
        <v>4023</v>
      </c>
      <c r="AJ353" s="844" t="s">
        <v>5266</v>
      </c>
      <c r="AK353" s="844" t="s">
        <v>989</v>
      </c>
      <c r="AL353" s="844" t="s">
        <v>818</v>
      </c>
      <c r="AM353" s="844" t="s">
        <v>18</v>
      </c>
      <c r="AN353" s="844" t="s">
        <v>3557</v>
      </c>
    </row>
    <row r="354" spans="1:40">
      <c r="A354" t="s">
        <v>6330</v>
      </c>
      <c r="B354" t="s">
        <v>958</v>
      </c>
      <c r="C354" t="s">
        <v>818</v>
      </c>
      <c r="E354" t="s">
        <v>53</v>
      </c>
      <c r="F354" t="s">
        <v>2657</v>
      </c>
      <c r="M354" t="s">
        <v>4822</v>
      </c>
      <c r="N354" t="s">
        <v>966</v>
      </c>
      <c r="O354" t="s">
        <v>53</v>
      </c>
      <c r="P354" t="s">
        <v>4395</v>
      </c>
      <c r="T354" t="s">
        <v>958</v>
      </c>
      <c r="U354" t="s">
        <v>818</v>
      </c>
      <c r="V354" t="s">
        <v>53</v>
      </c>
      <c r="W354" t="s">
        <v>2649</v>
      </c>
      <c r="AC354" t="s">
        <v>966</v>
      </c>
      <c r="AD354" t="s">
        <v>816</v>
      </c>
      <c r="AE354" t="s">
        <v>53</v>
      </c>
      <c r="AF354" t="s">
        <v>857</v>
      </c>
      <c r="AJ354" s="844" t="s">
        <v>5266</v>
      </c>
      <c r="AK354" s="844" t="s">
        <v>989</v>
      </c>
      <c r="AL354" s="844" t="s">
        <v>818</v>
      </c>
      <c r="AM354" s="844" t="s">
        <v>18</v>
      </c>
      <c r="AN354" s="844" t="s">
        <v>3577</v>
      </c>
    </row>
    <row r="355" spans="1:40">
      <c r="A355" t="s">
        <v>6331</v>
      </c>
      <c r="B355" t="s">
        <v>958</v>
      </c>
      <c r="C355" t="s">
        <v>818</v>
      </c>
      <c r="E355" t="s">
        <v>18</v>
      </c>
      <c r="F355" t="s">
        <v>2661</v>
      </c>
      <c r="M355" t="s">
        <v>4822</v>
      </c>
      <c r="N355" t="s">
        <v>966</v>
      </c>
      <c r="O355" t="s">
        <v>53</v>
      </c>
      <c r="P355" t="s">
        <v>4394</v>
      </c>
      <c r="T355" t="s">
        <v>958</v>
      </c>
      <c r="U355" t="s">
        <v>818</v>
      </c>
      <c r="V355" t="s">
        <v>53</v>
      </c>
      <c r="W355" t="s">
        <v>2649</v>
      </c>
      <c r="AC355" t="s">
        <v>966</v>
      </c>
      <c r="AD355" t="s">
        <v>816</v>
      </c>
      <c r="AE355" t="s">
        <v>53</v>
      </c>
      <c r="AF355" t="s">
        <v>4387</v>
      </c>
      <c r="AJ355" s="844" t="s">
        <v>5266</v>
      </c>
      <c r="AK355" s="844" t="s">
        <v>989</v>
      </c>
      <c r="AL355" s="844" t="s">
        <v>818</v>
      </c>
      <c r="AM355" s="844" t="s">
        <v>18</v>
      </c>
      <c r="AN355" s="844" t="s">
        <v>2877</v>
      </c>
    </row>
    <row r="356" spans="1:40">
      <c r="A356" t="s">
        <v>5040</v>
      </c>
      <c r="B356" t="s">
        <v>958</v>
      </c>
      <c r="C356" t="s">
        <v>818</v>
      </c>
      <c r="F356" t="s">
        <v>4199</v>
      </c>
      <c r="M356" t="s">
        <v>4822</v>
      </c>
      <c r="N356" t="s">
        <v>966</v>
      </c>
      <c r="O356" t="s">
        <v>53</v>
      </c>
      <c r="P356" t="s">
        <v>4392</v>
      </c>
      <c r="T356" t="s">
        <v>958</v>
      </c>
      <c r="U356" t="s">
        <v>818</v>
      </c>
      <c r="V356" t="s">
        <v>53</v>
      </c>
      <c r="W356" t="s">
        <v>2647</v>
      </c>
      <c r="AC356" t="s">
        <v>966</v>
      </c>
      <c r="AD356" t="s">
        <v>816</v>
      </c>
      <c r="AE356" t="s">
        <v>53</v>
      </c>
      <c r="AF356" t="s">
        <v>4389</v>
      </c>
      <c r="AJ356" s="844" t="s">
        <v>5266</v>
      </c>
      <c r="AK356" s="844" t="s">
        <v>989</v>
      </c>
      <c r="AL356" s="844" t="s">
        <v>818</v>
      </c>
      <c r="AM356" s="844" t="s">
        <v>18</v>
      </c>
      <c r="AN356" s="844" t="s">
        <v>3565</v>
      </c>
    </row>
    <row r="357" spans="1:40">
      <c r="A357" t="s">
        <v>6518</v>
      </c>
      <c r="B357" t="s">
        <v>958</v>
      </c>
      <c r="C357" t="s">
        <v>19</v>
      </c>
      <c r="D357" t="s">
        <v>2649</v>
      </c>
      <c r="E357" t="s">
        <v>53</v>
      </c>
      <c r="F357" t="s">
        <v>2651</v>
      </c>
      <c r="M357" t="s">
        <v>4822</v>
      </c>
      <c r="N357" t="s">
        <v>966</v>
      </c>
      <c r="O357" t="s">
        <v>53</v>
      </c>
      <c r="P357" t="s">
        <v>4391</v>
      </c>
      <c r="T357" t="s">
        <v>958</v>
      </c>
      <c r="U357" t="s">
        <v>19</v>
      </c>
      <c r="V357" t="s">
        <v>857</v>
      </c>
      <c r="W357" t="s">
        <v>857</v>
      </c>
      <c r="AC357" t="s">
        <v>966</v>
      </c>
      <c r="AD357" t="s">
        <v>816</v>
      </c>
      <c r="AE357" t="s">
        <v>53</v>
      </c>
      <c r="AF357" t="s">
        <v>4023</v>
      </c>
      <c r="AJ357" s="844" t="s">
        <v>5266</v>
      </c>
      <c r="AK357" s="844" t="s">
        <v>989</v>
      </c>
      <c r="AL357" s="844" t="s">
        <v>818</v>
      </c>
      <c r="AM357" s="844" t="s">
        <v>18</v>
      </c>
      <c r="AN357" s="844" t="s">
        <v>3508</v>
      </c>
    </row>
    <row r="358" spans="1:40">
      <c r="A358" t="s">
        <v>5045</v>
      </c>
      <c r="B358" t="s">
        <v>958</v>
      </c>
      <c r="C358" t="s">
        <v>19</v>
      </c>
      <c r="D358" t="s">
        <v>2366</v>
      </c>
      <c r="E358" t="s">
        <v>53</v>
      </c>
      <c r="F358" t="s">
        <v>2652</v>
      </c>
      <c r="M358" t="s">
        <v>4822</v>
      </c>
      <c r="N358" t="s">
        <v>966</v>
      </c>
      <c r="O358" t="s">
        <v>53</v>
      </c>
      <c r="P358" t="s">
        <v>4390</v>
      </c>
      <c r="T358" t="s">
        <v>958</v>
      </c>
      <c r="U358" t="s">
        <v>19</v>
      </c>
      <c r="V358" t="s">
        <v>53</v>
      </c>
      <c r="W358" t="s">
        <v>857</v>
      </c>
      <c r="AC358" t="s">
        <v>966</v>
      </c>
      <c r="AD358" t="s">
        <v>816</v>
      </c>
      <c r="AE358" t="s">
        <v>18</v>
      </c>
      <c r="AF358" t="s">
        <v>857</v>
      </c>
      <c r="AJ358" s="844" t="s">
        <v>5266</v>
      </c>
      <c r="AK358" s="844" t="s">
        <v>989</v>
      </c>
      <c r="AL358" s="844" t="s">
        <v>818</v>
      </c>
      <c r="AM358" s="844" t="s">
        <v>18</v>
      </c>
      <c r="AN358" s="844" t="s">
        <v>3506</v>
      </c>
    </row>
    <row r="359" spans="1:40">
      <c r="A359" t="s">
        <v>6334</v>
      </c>
      <c r="B359" t="s">
        <v>958</v>
      </c>
      <c r="C359" t="s">
        <v>19</v>
      </c>
      <c r="D359" t="s">
        <v>2366</v>
      </c>
      <c r="F359" t="s">
        <v>4062</v>
      </c>
      <c r="M359" t="s">
        <v>4822</v>
      </c>
      <c r="N359" t="s">
        <v>966</v>
      </c>
      <c r="O359" t="s">
        <v>53</v>
      </c>
      <c r="P359" t="s">
        <v>4388</v>
      </c>
      <c r="T359" t="s">
        <v>958</v>
      </c>
      <c r="U359" t="s">
        <v>19</v>
      </c>
      <c r="V359" t="s">
        <v>18</v>
      </c>
      <c r="W359" t="s">
        <v>857</v>
      </c>
      <c r="AC359" t="s">
        <v>967</v>
      </c>
      <c r="AD359" t="s">
        <v>818</v>
      </c>
      <c r="AE359" t="s">
        <v>18</v>
      </c>
      <c r="AF359" t="s">
        <v>857</v>
      </c>
      <c r="AJ359" s="844" t="s">
        <v>5266</v>
      </c>
      <c r="AK359" s="844" t="s">
        <v>989</v>
      </c>
      <c r="AL359" s="844" t="s">
        <v>818</v>
      </c>
      <c r="AM359" s="844" t="s">
        <v>18</v>
      </c>
      <c r="AN359" s="844" t="s">
        <v>3563</v>
      </c>
    </row>
    <row r="360" spans="1:40">
      <c r="A360" t="s">
        <v>6332</v>
      </c>
      <c r="B360" t="s">
        <v>958</v>
      </c>
      <c r="C360" t="s">
        <v>19</v>
      </c>
      <c r="E360" t="s">
        <v>53</v>
      </c>
      <c r="F360" t="s">
        <v>2655</v>
      </c>
      <c r="M360" t="s">
        <v>4822</v>
      </c>
      <c r="N360" t="s">
        <v>966</v>
      </c>
      <c r="O360" t="s">
        <v>53</v>
      </c>
      <c r="P360" t="s">
        <v>4386</v>
      </c>
      <c r="T360" t="s">
        <v>958</v>
      </c>
      <c r="U360" t="s">
        <v>19</v>
      </c>
      <c r="V360" t="s">
        <v>53</v>
      </c>
      <c r="W360" t="s">
        <v>2649</v>
      </c>
      <c r="AC360" t="s">
        <v>968</v>
      </c>
      <c r="AD360" t="s">
        <v>818</v>
      </c>
      <c r="AE360" t="s">
        <v>857</v>
      </c>
      <c r="AF360" t="s">
        <v>857</v>
      </c>
      <c r="AJ360" s="844" t="s">
        <v>6749</v>
      </c>
      <c r="AK360" s="844" t="s">
        <v>989</v>
      </c>
      <c r="AL360" s="844" t="s">
        <v>818</v>
      </c>
      <c r="AM360" s="844"/>
      <c r="AN360" s="844" t="s">
        <v>3508</v>
      </c>
    </row>
    <row r="361" spans="1:40">
      <c r="A361" t="s">
        <v>6333</v>
      </c>
      <c r="B361" t="s">
        <v>958</v>
      </c>
      <c r="C361" t="s">
        <v>19</v>
      </c>
      <c r="E361" t="s">
        <v>18</v>
      </c>
      <c r="F361" t="s">
        <v>2660</v>
      </c>
      <c r="M361" t="s">
        <v>4823</v>
      </c>
      <c r="N361" t="s">
        <v>966</v>
      </c>
      <c r="O361" t="s">
        <v>18</v>
      </c>
      <c r="P361" t="s">
        <v>4407</v>
      </c>
      <c r="T361" t="s">
        <v>958</v>
      </c>
      <c r="U361" t="s">
        <v>19</v>
      </c>
      <c r="V361" t="s">
        <v>857</v>
      </c>
      <c r="W361" t="s">
        <v>2366</v>
      </c>
      <c r="AC361" t="s">
        <v>968</v>
      </c>
      <c r="AD361" t="s">
        <v>818</v>
      </c>
      <c r="AE361" t="s">
        <v>857</v>
      </c>
      <c r="AF361" t="s">
        <v>2366</v>
      </c>
      <c r="AJ361" s="844" t="s">
        <v>5269</v>
      </c>
      <c r="AK361" s="844" t="s">
        <v>989</v>
      </c>
      <c r="AL361" s="844" t="s">
        <v>19</v>
      </c>
      <c r="AM361" s="844" t="s">
        <v>18</v>
      </c>
      <c r="AN361" s="844" t="s">
        <v>3552</v>
      </c>
    </row>
    <row r="362" spans="1:40">
      <c r="A362" t="s">
        <v>5043</v>
      </c>
      <c r="B362" t="s">
        <v>958</v>
      </c>
      <c r="C362" t="s">
        <v>19</v>
      </c>
      <c r="F362" t="s">
        <v>3858</v>
      </c>
      <c r="M362" t="s">
        <v>4823</v>
      </c>
      <c r="N362" t="s">
        <v>966</v>
      </c>
      <c r="O362" t="s">
        <v>18</v>
      </c>
      <c r="P362" t="s">
        <v>4406</v>
      </c>
      <c r="T362" t="s">
        <v>958</v>
      </c>
      <c r="U362" t="s">
        <v>19</v>
      </c>
      <c r="V362" t="s">
        <v>53</v>
      </c>
      <c r="W362" t="s">
        <v>2366</v>
      </c>
      <c r="AC362" t="s">
        <v>968</v>
      </c>
      <c r="AD362" t="s">
        <v>818</v>
      </c>
      <c r="AE362" t="s">
        <v>18</v>
      </c>
      <c r="AF362" t="s">
        <v>857</v>
      </c>
      <c r="AJ362" s="844" t="s">
        <v>5269</v>
      </c>
      <c r="AK362" s="844" t="s">
        <v>989</v>
      </c>
      <c r="AL362" s="844" t="s">
        <v>19</v>
      </c>
      <c r="AM362" s="844" t="s">
        <v>18</v>
      </c>
      <c r="AN362" s="844" t="s">
        <v>3501</v>
      </c>
    </row>
    <row r="363" spans="1:40">
      <c r="A363" t="s">
        <v>6335</v>
      </c>
      <c r="B363" t="s">
        <v>958</v>
      </c>
      <c r="C363" t="s">
        <v>2384</v>
      </c>
      <c r="D363" t="s">
        <v>2647</v>
      </c>
      <c r="F363" t="s">
        <v>3958</v>
      </c>
      <c r="M363" t="s">
        <v>4823</v>
      </c>
      <c r="N363" t="s">
        <v>966</v>
      </c>
      <c r="O363" t="s">
        <v>18</v>
      </c>
      <c r="P363" t="s">
        <v>4405</v>
      </c>
      <c r="T363" t="s">
        <v>958</v>
      </c>
      <c r="U363" t="s">
        <v>2384</v>
      </c>
      <c r="V363" t="s">
        <v>857</v>
      </c>
      <c r="W363" t="s">
        <v>857</v>
      </c>
      <c r="AC363" t="s">
        <v>968</v>
      </c>
      <c r="AD363" t="s">
        <v>818</v>
      </c>
      <c r="AE363" t="s">
        <v>18</v>
      </c>
      <c r="AF363" t="s">
        <v>2366</v>
      </c>
      <c r="AJ363" s="844" t="s">
        <v>6750</v>
      </c>
      <c r="AK363" s="844" t="s">
        <v>989</v>
      </c>
      <c r="AL363" s="844" t="s">
        <v>19</v>
      </c>
      <c r="AM363" s="844"/>
      <c r="AN363" s="844" t="s">
        <v>3501</v>
      </c>
    </row>
    <row r="364" spans="1:40">
      <c r="A364" t="s">
        <v>6336</v>
      </c>
      <c r="B364" t="s">
        <v>958</v>
      </c>
      <c r="C364" t="s">
        <v>2384</v>
      </c>
      <c r="D364" t="s">
        <v>3486</v>
      </c>
      <c r="F364" t="s">
        <v>4200</v>
      </c>
      <c r="M364" t="s">
        <v>4823</v>
      </c>
      <c r="N364" t="s">
        <v>966</v>
      </c>
      <c r="O364" t="s">
        <v>18</v>
      </c>
      <c r="P364" t="s">
        <v>4404</v>
      </c>
      <c r="T364" t="s">
        <v>958</v>
      </c>
      <c r="U364" t="s">
        <v>2384</v>
      </c>
      <c r="V364" t="s">
        <v>857</v>
      </c>
      <c r="W364" t="s">
        <v>857</v>
      </c>
      <c r="AC364" t="s">
        <v>968</v>
      </c>
      <c r="AD364" t="s">
        <v>816</v>
      </c>
      <c r="AE364" t="s">
        <v>18</v>
      </c>
      <c r="AF364" t="s">
        <v>857</v>
      </c>
      <c r="AJ364" s="844" t="s">
        <v>6751</v>
      </c>
      <c r="AK364" s="844" t="s">
        <v>989</v>
      </c>
      <c r="AL364" s="844" t="s">
        <v>2384</v>
      </c>
      <c r="AM364" s="844"/>
      <c r="AN364" s="844" t="s">
        <v>3516</v>
      </c>
    </row>
    <row r="365" spans="1:40">
      <c r="A365" t="s">
        <v>5046</v>
      </c>
      <c r="B365" t="s">
        <v>958</v>
      </c>
      <c r="C365" t="s">
        <v>2384</v>
      </c>
      <c r="F365" t="s">
        <v>4200</v>
      </c>
      <c r="M365" t="s">
        <v>4682</v>
      </c>
      <c r="N365" t="s">
        <v>967</v>
      </c>
      <c r="O365" t="s">
        <v>18</v>
      </c>
      <c r="P365" t="s">
        <v>3593</v>
      </c>
      <c r="T365" t="s">
        <v>958</v>
      </c>
      <c r="U365" t="s">
        <v>2384</v>
      </c>
      <c r="V365" t="s">
        <v>857</v>
      </c>
      <c r="W365" t="s">
        <v>2647</v>
      </c>
      <c r="AC365" t="s">
        <v>969</v>
      </c>
      <c r="AD365" t="s">
        <v>818</v>
      </c>
      <c r="AE365" t="s">
        <v>18</v>
      </c>
      <c r="AF365" t="s">
        <v>857</v>
      </c>
      <c r="AJ365" s="844" t="s">
        <v>5272</v>
      </c>
      <c r="AK365" s="844" t="s">
        <v>989</v>
      </c>
      <c r="AL365" s="844" t="s">
        <v>816</v>
      </c>
      <c r="AM365" s="844" t="s">
        <v>18</v>
      </c>
      <c r="AN365" s="844" t="s">
        <v>3501</v>
      </c>
    </row>
    <row r="366" spans="1:40">
      <c r="A366" t="s">
        <v>5046</v>
      </c>
      <c r="B366" t="s">
        <v>958</v>
      </c>
      <c r="C366" t="s">
        <v>2384</v>
      </c>
      <c r="F366" t="s">
        <v>4197</v>
      </c>
      <c r="M366" t="s">
        <v>4683</v>
      </c>
      <c r="N366" t="s">
        <v>968</v>
      </c>
      <c r="O366" t="s">
        <v>18</v>
      </c>
      <c r="P366" t="s">
        <v>4312</v>
      </c>
      <c r="T366" t="s">
        <v>958</v>
      </c>
      <c r="U366" t="s">
        <v>2384</v>
      </c>
      <c r="V366" t="s">
        <v>857</v>
      </c>
      <c r="W366" t="s">
        <v>3486</v>
      </c>
      <c r="AC366" t="s">
        <v>969</v>
      </c>
      <c r="AD366" t="s">
        <v>818</v>
      </c>
      <c r="AE366" t="s">
        <v>18</v>
      </c>
      <c r="AF366" t="s">
        <v>2366</v>
      </c>
      <c r="AJ366" s="844" t="s">
        <v>5272</v>
      </c>
      <c r="AK366" s="844" t="s">
        <v>989</v>
      </c>
      <c r="AL366" s="844" t="s">
        <v>816</v>
      </c>
      <c r="AM366" s="844" t="s">
        <v>18</v>
      </c>
      <c r="AN366" s="844" t="s">
        <v>3495</v>
      </c>
    </row>
    <row r="367" spans="1:40">
      <c r="A367" t="s">
        <v>5047</v>
      </c>
      <c r="B367" t="s">
        <v>958</v>
      </c>
      <c r="C367" t="s">
        <v>2416</v>
      </c>
      <c r="F367" t="s">
        <v>4198</v>
      </c>
      <c r="M367" t="s">
        <v>4683</v>
      </c>
      <c r="N367" t="s">
        <v>968</v>
      </c>
      <c r="O367" t="s">
        <v>18</v>
      </c>
      <c r="P367" t="s">
        <v>4311</v>
      </c>
      <c r="T367" t="s">
        <v>958</v>
      </c>
      <c r="U367" t="s">
        <v>2416</v>
      </c>
      <c r="V367" t="s">
        <v>857</v>
      </c>
      <c r="W367" t="s">
        <v>857</v>
      </c>
      <c r="AC367" t="s">
        <v>969</v>
      </c>
      <c r="AD367" t="s">
        <v>19</v>
      </c>
      <c r="AE367" t="s">
        <v>857</v>
      </c>
      <c r="AF367" t="s">
        <v>857</v>
      </c>
      <c r="AJ367" s="844" t="s">
        <v>5272</v>
      </c>
      <c r="AK367" s="844" t="s">
        <v>989</v>
      </c>
      <c r="AL367" s="844" t="s">
        <v>816</v>
      </c>
      <c r="AM367" s="844" t="s">
        <v>18</v>
      </c>
      <c r="AN367" s="844" t="s">
        <v>3550</v>
      </c>
    </row>
    <row r="368" spans="1:40">
      <c r="A368" t="s">
        <v>6519</v>
      </c>
      <c r="B368" t="s">
        <v>958</v>
      </c>
      <c r="C368" t="s">
        <v>816</v>
      </c>
      <c r="D368" t="s">
        <v>2649</v>
      </c>
      <c r="E368" t="s">
        <v>53</v>
      </c>
      <c r="F368" t="s">
        <v>2656</v>
      </c>
      <c r="M368" t="s">
        <v>4683</v>
      </c>
      <c r="N368" t="s">
        <v>968</v>
      </c>
      <c r="O368" t="s">
        <v>18</v>
      </c>
      <c r="P368" t="s">
        <v>4310</v>
      </c>
      <c r="T368" t="s">
        <v>958</v>
      </c>
      <c r="U368" t="s">
        <v>816</v>
      </c>
      <c r="V368" t="s">
        <v>18</v>
      </c>
      <c r="W368" t="s">
        <v>857</v>
      </c>
      <c r="AC368" t="s">
        <v>969</v>
      </c>
      <c r="AD368" t="s">
        <v>19</v>
      </c>
      <c r="AE368" t="s">
        <v>857</v>
      </c>
      <c r="AF368" t="s">
        <v>2366</v>
      </c>
      <c r="AJ368" s="844" t="s">
        <v>6752</v>
      </c>
      <c r="AK368" s="844" t="s">
        <v>989</v>
      </c>
      <c r="AL368" s="844" t="s">
        <v>816</v>
      </c>
      <c r="AM368" s="844"/>
      <c r="AN368" s="844" t="s">
        <v>3503</v>
      </c>
    </row>
    <row r="369" spans="1:40">
      <c r="A369" t="s">
        <v>6519</v>
      </c>
      <c r="B369" t="s">
        <v>958</v>
      </c>
      <c r="C369" t="s">
        <v>816</v>
      </c>
      <c r="D369" t="s">
        <v>2649</v>
      </c>
      <c r="E369" t="s">
        <v>53</v>
      </c>
      <c r="F369" t="s">
        <v>2650</v>
      </c>
      <c r="M369" t="s">
        <v>4683</v>
      </c>
      <c r="N369" t="s">
        <v>968</v>
      </c>
      <c r="O369" t="s">
        <v>18</v>
      </c>
      <c r="P369" t="s">
        <v>4309</v>
      </c>
      <c r="T369" t="s">
        <v>958</v>
      </c>
      <c r="U369" t="s">
        <v>816</v>
      </c>
      <c r="V369" t="s">
        <v>53</v>
      </c>
      <c r="W369" t="s">
        <v>2649</v>
      </c>
      <c r="AC369" t="s">
        <v>969</v>
      </c>
      <c r="AD369" t="s">
        <v>19</v>
      </c>
      <c r="AE369" t="s">
        <v>18</v>
      </c>
      <c r="AF369" t="s">
        <v>857</v>
      </c>
      <c r="AJ369" s="844" t="s">
        <v>6752</v>
      </c>
      <c r="AK369" s="844" t="s">
        <v>989</v>
      </c>
      <c r="AL369" s="844" t="s">
        <v>816</v>
      </c>
      <c r="AM369" s="844"/>
      <c r="AN369" s="844" t="s">
        <v>3501</v>
      </c>
    </row>
    <row r="370" spans="1:40">
      <c r="A370" t="s">
        <v>5049</v>
      </c>
      <c r="B370" t="s">
        <v>958</v>
      </c>
      <c r="C370" t="s">
        <v>816</v>
      </c>
      <c r="D370" t="s">
        <v>2647</v>
      </c>
      <c r="E370" t="s">
        <v>53</v>
      </c>
      <c r="F370" t="s">
        <v>2648</v>
      </c>
      <c r="M370" t="s">
        <v>4684</v>
      </c>
      <c r="N370" t="s">
        <v>969</v>
      </c>
      <c r="O370" t="s">
        <v>53</v>
      </c>
      <c r="P370" t="s">
        <v>4308</v>
      </c>
      <c r="T370" t="s">
        <v>958</v>
      </c>
      <c r="U370" t="s">
        <v>816</v>
      </c>
      <c r="V370" t="s">
        <v>53</v>
      </c>
      <c r="W370" t="s">
        <v>2649</v>
      </c>
      <c r="AC370" t="s">
        <v>969</v>
      </c>
      <c r="AD370" t="s">
        <v>19</v>
      </c>
      <c r="AE370" t="s">
        <v>18</v>
      </c>
      <c r="AF370" t="s">
        <v>2366</v>
      </c>
      <c r="AJ370" s="844" t="s">
        <v>6752</v>
      </c>
      <c r="AK370" s="844" t="s">
        <v>989</v>
      </c>
      <c r="AL370" s="844" t="s">
        <v>816</v>
      </c>
      <c r="AM370" s="844"/>
      <c r="AN370" s="844" t="s">
        <v>3499</v>
      </c>
    </row>
    <row r="371" spans="1:40">
      <c r="A371" t="s">
        <v>6337</v>
      </c>
      <c r="B371" t="s">
        <v>958</v>
      </c>
      <c r="C371" t="s">
        <v>816</v>
      </c>
      <c r="E371" t="s">
        <v>18</v>
      </c>
      <c r="F371" t="s">
        <v>2662</v>
      </c>
      <c r="M371" t="s">
        <v>4685</v>
      </c>
      <c r="N371" t="s">
        <v>969</v>
      </c>
      <c r="O371" t="s">
        <v>18</v>
      </c>
      <c r="P371" t="s">
        <v>4307</v>
      </c>
      <c r="T371" t="s">
        <v>958</v>
      </c>
      <c r="U371" t="s">
        <v>816</v>
      </c>
      <c r="V371" t="s">
        <v>53</v>
      </c>
      <c r="W371" t="s">
        <v>2647</v>
      </c>
      <c r="AC371" t="s">
        <v>969</v>
      </c>
      <c r="AD371" t="s">
        <v>2384</v>
      </c>
      <c r="AE371" t="s">
        <v>857</v>
      </c>
      <c r="AF371" t="s">
        <v>857</v>
      </c>
      <c r="AJ371" s="844" t="s">
        <v>6752</v>
      </c>
      <c r="AK371" s="844" t="s">
        <v>989</v>
      </c>
      <c r="AL371" s="844" t="s">
        <v>816</v>
      </c>
      <c r="AM371" s="844"/>
      <c r="AN371" s="844" t="s">
        <v>3497</v>
      </c>
    </row>
    <row r="372" spans="1:40">
      <c r="A372" t="s">
        <v>6338</v>
      </c>
      <c r="B372" t="s">
        <v>959</v>
      </c>
      <c r="C372" t="s">
        <v>818</v>
      </c>
      <c r="E372" t="s">
        <v>18</v>
      </c>
      <c r="F372" t="s">
        <v>4423</v>
      </c>
      <c r="M372" t="s">
        <v>4685</v>
      </c>
      <c r="N372" t="s">
        <v>969</v>
      </c>
      <c r="O372" t="s">
        <v>18</v>
      </c>
      <c r="P372" t="s">
        <v>4306</v>
      </c>
      <c r="T372" t="s">
        <v>959</v>
      </c>
      <c r="U372" t="s">
        <v>818</v>
      </c>
      <c r="V372" t="s">
        <v>18</v>
      </c>
      <c r="W372" t="s">
        <v>857</v>
      </c>
      <c r="AC372" t="s">
        <v>969</v>
      </c>
      <c r="AD372" t="s">
        <v>2384</v>
      </c>
      <c r="AE372" t="s">
        <v>857</v>
      </c>
      <c r="AF372" t="s">
        <v>2366</v>
      </c>
      <c r="AJ372" s="844" t="s">
        <v>5279</v>
      </c>
      <c r="AK372" s="844" t="s">
        <v>990</v>
      </c>
      <c r="AL372" s="844" t="s">
        <v>818</v>
      </c>
      <c r="AM372" s="844" t="s">
        <v>18</v>
      </c>
      <c r="AN372" s="844" t="s">
        <v>3521</v>
      </c>
    </row>
    <row r="373" spans="1:40">
      <c r="A373" t="s">
        <v>6339</v>
      </c>
      <c r="B373" t="s">
        <v>960</v>
      </c>
      <c r="C373" t="s">
        <v>818</v>
      </c>
      <c r="E373" t="s">
        <v>18</v>
      </c>
      <c r="F373" t="s">
        <v>4419</v>
      </c>
      <c r="M373" t="s">
        <v>4685</v>
      </c>
      <c r="N373" t="s">
        <v>969</v>
      </c>
      <c r="O373" t="s">
        <v>18</v>
      </c>
      <c r="P373" t="s">
        <v>4305</v>
      </c>
      <c r="T373" t="s">
        <v>960</v>
      </c>
      <c r="U373" t="s">
        <v>818</v>
      </c>
      <c r="V373" t="s">
        <v>18</v>
      </c>
      <c r="W373" t="s">
        <v>857</v>
      </c>
      <c r="AC373" t="s">
        <v>969</v>
      </c>
      <c r="AD373" t="s">
        <v>2384</v>
      </c>
      <c r="AE373" t="s">
        <v>18</v>
      </c>
      <c r="AF373" t="s">
        <v>2366</v>
      </c>
      <c r="AJ373" s="844" t="s">
        <v>5279</v>
      </c>
      <c r="AK373" s="844" t="s">
        <v>990</v>
      </c>
      <c r="AL373" s="844" t="s">
        <v>818</v>
      </c>
      <c r="AM373" s="844" t="s">
        <v>18</v>
      </c>
      <c r="AN373" s="844" t="s">
        <v>3513</v>
      </c>
    </row>
    <row r="374" spans="1:40">
      <c r="A374" t="s">
        <v>6339</v>
      </c>
      <c r="B374" t="s">
        <v>960</v>
      </c>
      <c r="C374" t="s">
        <v>818</v>
      </c>
      <c r="E374" t="s">
        <v>18</v>
      </c>
      <c r="F374" t="s">
        <v>4417</v>
      </c>
      <c r="M374" t="s">
        <v>4685</v>
      </c>
      <c r="N374" t="s">
        <v>969</v>
      </c>
      <c r="O374" t="s">
        <v>18</v>
      </c>
      <c r="P374" t="s">
        <v>4304</v>
      </c>
      <c r="T374" t="s">
        <v>960</v>
      </c>
      <c r="U374" t="s">
        <v>818</v>
      </c>
      <c r="V374" t="s">
        <v>18</v>
      </c>
      <c r="W374" t="s">
        <v>857</v>
      </c>
      <c r="AC374" t="s">
        <v>969</v>
      </c>
      <c r="AD374" t="s">
        <v>816</v>
      </c>
      <c r="AE374" t="s">
        <v>53</v>
      </c>
      <c r="AF374" t="s">
        <v>2366</v>
      </c>
      <c r="AJ374" s="844" t="s">
        <v>5279</v>
      </c>
      <c r="AK374" s="844" t="s">
        <v>990</v>
      </c>
      <c r="AL374" s="844" t="s">
        <v>818</v>
      </c>
      <c r="AM374" s="844" t="s">
        <v>18</v>
      </c>
      <c r="AN374" s="844" t="s">
        <v>3510</v>
      </c>
    </row>
    <row r="375" spans="1:40">
      <c r="A375" t="s">
        <v>6339</v>
      </c>
      <c r="B375" t="s">
        <v>960</v>
      </c>
      <c r="C375" t="s">
        <v>818</v>
      </c>
      <c r="E375" t="s">
        <v>18</v>
      </c>
      <c r="F375" t="s">
        <v>4416</v>
      </c>
      <c r="M375" t="s">
        <v>4685</v>
      </c>
      <c r="N375" t="s">
        <v>969</v>
      </c>
      <c r="O375" t="s">
        <v>18</v>
      </c>
      <c r="P375" t="s">
        <v>4303</v>
      </c>
      <c r="T375" t="s">
        <v>960</v>
      </c>
      <c r="U375" t="s">
        <v>818</v>
      </c>
      <c r="V375" t="s">
        <v>18</v>
      </c>
      <c r="W375" t="s">
        <v>857</v>
      </c>
      <c r="AC375" t="s">
        <v>969</v>
      </c>
      <c r="AD375" t="s">
        <v>816</v>
      </c>
      <c r="AE375" t="s">
        <v>18</v>
      </c>
      <c r="AF375" t="s">
        <v>857</v>
      </c>
      <c r="AJ375" s="844" t="s">
        <v>5279</v>
      </c>
      <c r="AK375" s="844" t="s">
        <v>990</v>
      </c>
      <c r="AL375" s="844" t="s">
        <v>818</v>
      </c>
      <c r="AM375" s="844" t="s">
        <v>18</v>
      </c>
      <c r="AN375" s="844" t="s">
        <v>3531</v>
      </c>
    </row>
    <row r="376" spans="1:40">
      <c r="A376" t="s">
        <v>6339</v>
      </c>
      <c r="B376" t="s">
        <v>960</v>
      </c>
      <c r="C376" t="s">
        <v>818</v>
      </c>
      <c r="E376" t="s">
        <v>18</v>
      </c>
      <c r="F376" t="s">
        <v>4412</v>
      </c>
      <c r="M376" t="s">
        <v>4685</v>
      </c>
      <c r="N376" t="s">
        <v>969</v>
      </c>
      <c r="O376" t="s">
        <v>18</v>
      </c>
      <c r="P376" t="s">
        <v>4302</v>
      </c>
      <c r="T376" t="s">
        <v>960</v>
      </c>
      <c r="U376" t="s">
        <v>818</v>
      </c>
      <c r="V376" t="s">
        <v>18</v>
      </c>
      <c r="W376" t="s">
        <v>857</v>
      </c>
      <c r="AC376" t="s">
        <v>970</v>
      </c>
      <c r="AD376" t="s">
        <v>818</v>
      </c>
      <c r="AE376" t="s">
        <v>857</v>
      </c>
      <c r="AF376" t="s">
        <v>4012</v>
      </c>
      <c r="AJ376" s="844" t="s">
        <v>5279</v>
      </c>
      <c r="AK376" s="844" t="s">
        <v>990</v>
      </c>
      <c r="AL376" s="844" t="s">
        <v>818</v>
      </c>
      <c r="AM376" s="844" t="s">
        <v>18</v>
      </c>
      <c r="AN376" s="844" t="s">
        <v>3529</v>
      </c>
    </row>
    <row r="377" spans="1:40">
      <c r="A377" t="s">
        <v>6340</v>
      </c>
      <c r="B377" t="s">
        <v>960</v>
      </c>
      <c r="C377" t="s">
        <v>19</v>
      </c>
      <c r="E377" t="s">
        <v>18</v>
      </c>
      <c r="F377" t="s">
        <v>4422</v>
      </c>
      <c r="M377" t="s">
        <v>4685</v>
      </c>
      <c r="N377" t="s">
        <v>969</v>
      </c>
      <c r="O377" t="s">
        <v>18</v>
      </c>
      <c r="P377" t="s">
        <v>4301</v>
      </c>
      <c r="T377" t="s">
        <v>960</v>
      </c>
      <c r="U377" t="s">
        <v>19</v>
      </c>
      <c r="V377" t="s">
        <v>18</v>
      </c>
      <c r="W377" t="s">
        <v>857</v>
      </c>
      <c r="AC377" t="s">
        <v>970</v>
      </c>
      <c r="AD377" t="s">
        <v>818</v>
      </c>
      <c r="AE377" t="s">
        <v>18</v>
      </c>
      <c r="AF377" t="s">
        <v>857</v>
      </c>
      <c r="AJ377" s="844" t="s">
        <v>6753</v>
      </c>
      <c r="AK377" s="844" t="s">
        <v>990</v>
      </c>
      <c r="AL377" s="844" t="s">
        <v>818</v>
      </c>
      <c r="AM377" s="844"/>
      <c r="AN377" s="844" t="s">
        <v>3534</v>
      </c>
    </row>
    <row r="378" spans="1:40">
      <c r="A378" t="s">
        <v>6340</v>
      </c>
      <c r="B378" t="s">
        <v>960</v>
      </c>
      <c r="C378" t="s">
        <v>19</v>
      </c>
      <c r="E378" t="s">
        <v>18</v>
      </c>
      <c r="F378" t="s">
        <v>4420</v>
      </c>
      <c r="M378" t="s">
        <v>4790</v>
      </c>
      <c r="N378" t="s">
        <v>970</v>
      </c>
      <c r="O378" t="s">
        <v>18</v>
      </c>
      <c r="P378" t="s">
        <v>4300</v>
      </c>
      <c r="T378" t="s">
        <v>960</v>
      </c>
      <c r="U378" t="s">
        <v>19</v>
      </c>
      <c r="V378" t="s">
        <v>18</v>
      </c>
      <c r="W378" t="s">
        <v>857</v>
      </c>
      <c r="AC378" t="s">
        <v>970</v>
      </c>
      <c r="AD378" t="s">
        <v>818</v>
      </c>
      <c r="AE378" t="s">
        <v>18</v>
      </c>
      <c r="AF378" t="s">
        <v>4291</v>
      </c>
      <c r="AJ378" s="844" t="s">
        <v>5283</v>
      </c>
      <c r="AK378" s="844" t="s">
        <v>990</v>
      </c>
      <c r="AL378" s="844" t="s">
        <v>19</v>
      </c>
      <c r="AM378" s="844" t="s">
        <v>18</v>
      </c>
      <c r="AN378" s="844" t="s">
        <v>3521</v>
      </c>
    </row>
    <row r="379" spans="1:40">
      <c r="A379" t="s">
        <v>6340</v>
      </c>
      <c r="B379" t="s">
        <v>960</v>
      </c>
      <c r="C379" t="s">
        <v>19</v>
      </c>
      <c r="E379" t="s">
        <v>18</v>
      </c>
      <c r="F379" t="s">
        <v>4415</v>
      </c>
      <c r="M379" t="s">
        <v>4790</v>
      </c>
      <c r="N379" t="s">
        <v>970</v>
      </c>
      <c r="O379" t="s">
        <v>18</v>
      </c>
      <c r="P379" t="s">
        <v>4299</v>
      </c>
      <c r="T379" t="s">
        <v>960</v>
      </c>
      <c r="U379" t="s">
        <v>19</v>
      </c>
      <c r="V379" t="s">
        <v>18</v>
      </c>
      <c r="W379" t="s">
        <v>857</v>
      </c>
      <c r="AC379" t="s">
        <v>970</v>
      </c>
      <c r="AD379" t="s">
        <v>818</v>
      </c>
      <c r="AE379" t="s">
        <v>18</v>
      </c>
      <c r="AF379" t="s">
        <v>4012</v>
      </c>
      <c r="AJ379" s="844" t="s">
        <v>5283</v>
      </c>
      <c r="AK379" s="844" t="s">
        <v>990</v>
      </c>
      <c r="AL379" s="844" t="s">
        <v>19</v>
      </c>
      <c r="AM379" s="844" t="s">
        <v>18</v>
      </c>
      <c r="AN379" s="844" t="s">
        <v>3526</v>
      </c>
    </row>
    <row r="380" spans="1:40">
      <c r="A380" t="s">
        <v>6340</v>
      </c>
      <c r="B380" t="s">
        <v>960</v>
      </c>
      <c r="C380" t="s">
        <v>19</v>
      </c>
      <c r="E380" t="s">
        <v>18</v>
      </c>
      <c r="F380" t="s">
        <v>4413</v>
      </c>
      <c r="M380" t="s">
        <v>4790</v>
      </c>
      <c r="N380" t="s">
        <v>970</v>
      </c>
      <c r="O380" t="s">
        <v>18</v>
      </c>
      <c r="P380" t="s">
        <v>4298</v>
      </c>
      <c r="T380" t="s">
        <v>960</v>
      </c>
      <c r="U380" t="s">
        <v>19</v>
      </c>
      <c r="V380" t="s">
        <v>18</v>
      </c>
      <c r="W380" t="s">
        <v>857</v>
      </c>
      <c r="AC380" t="s">
        <v>970</v>
      </c>
      <c r="AD380" t="s">
        <v>19</v>
      </c>
      <c r="AE380" t="s">
        <v>18</v>
      </c>
      <c r="AF380" t="s">
        <v>857</v>
      </c>
      <c r="AJ380" s="844" t="s">
        <v>6754</v>
      </c>
      <c r="AK380" s="844" t="s">
        <v>990</v>
      </c>
      <c r="AL380" s="844" t="s">
        <v>19</v>
      </c>
      <c r="AM380" s="844"/>
      <c r="AN380" s="844" t="s">
        <v>3521</v>
      </c>
    </row>
    <row r="381" spans="1:40">
      <c r="A381" t="s">
        <v>6340</v>
      </c>
      <c r="B381" t="s">
        <v>960</v>
      </c>
      <c r="C381" t="s">
        <v>19</v>
      </c>
      <c r="E381" t="s">
        <v>18</v>
      </c>
      <c r="F381" t="s">
        <v>4409</v>
      </c>
      <c r="M381" t="s">
        <v>4790</v>
      </c>
      <c r="N381" t="s">
        <v>970</v>
      </c>
      <c r="O381" t="s">
        <v>18</v>
      </c>
      <c r="P381" t="s">
        <v>4297</v>
      </c>
      <c r="T381" t="s">
        <v>960</v>
      </c>
      <c r="U381" t="s">
        <v>19</v>
      </c>
      <c r="V381" t="s">
        <v>18</v>
      </c>
      <c r="W381" t="s">
        <v>857</v>
      </c>
      <c r="AC381" t="s">
        <v>970</v>
      </c>
      <c r="AD381" t="s">
        <v>816</v>
      </c>
      <c r="AE381" t="s">
        <v>857</v>
      </c>
      <c r="AF381" t="s">
        <v>4224</v>
      </c>
      <c r="AJ381" s="844" t="s">
        <v>6755</v>
      </c>
      <c r="AK381" s="844" t="s">
        <v>990</v>
      </c>
      <c r="AL381" s="844" t="s">
        <v>2384</v>
      </c>
      <c r="AM381" s="844"/>
      <c r="AN381" s="844" t="s">
        <v>3510</v>
      </c>
    </row>
    <row r="382" spans="1:40">
      <c r="A382" t="s">
        <v>6341</v>
      </c>
      <c r="B382" t="s">
        <v>960</v>
      </c>
      <c r="C382" t="s">
        <v>816</v>
      </c>
      <c r="E382" t="s">
        <v>53</v>
      </c>
      <c r="F382" t="s">
        <v>4410</v>
      </c>
      <c r="M382" t="s">
        <v>4790</v>
      </c>
      <c r="N382" t="s">
        <v>970</v>
      </c>
      <c r="O382" t="s">
        <v>18</v>
      </c>
      <c r="P382" t="s">
        <v>4296</v>
      </c>
      <c r="T382" t="s">
        <v>960</v>
      </c>
      <c r="U382" t="s">
        <v>816</v>
      </c>
      <c r="V382" t="s">
        <v>53</v>
      </c>
      <c r="W382" t="s">
        <v>857</v>
      </c>
      <c r="AC382" t="s">
        <v>970</v>
      </c>
      <c r="AD382" t="s">
        <v>816</v>
      </c>
      <c r="AE382" t="s">
        <v>18</v>
      </c>
      <c r="AF382" t="s">
        <v>857</v>
      </c>
      <c r="AJ382" s="844" t="s">
        <v>5285</v>
      </c>
      <c r="AK382" s="844" t="s">
        <v>990</v>
      </c>
      <c r="AL382" s="844" t="s">
        <v>2416</v>
      </c>
      <c r="AM382" s="844" t="s">
        <v>18</v>
      </c>
      <c r="AN382" s="844" t="s">
        <v>3521</v>
      </c>
    </row>
    <row r="383" spans="1:40">
      <c r="A383" t="s">
        <v>6342</v>
      </c>
      <c r="B383" t="s">
        <v>960</v>
      </c>
      <c r="C383" t="s">
        <v>816</v>
      </c>
      <c r="E383" t="s">
        <v>18</v>
      </c>
      <c r="F383" t="s">
        <v>4421</v>
      </c>
      <c r="M383" t="s">
        <v>4790</v>
      </c>
      <c r="N383" t="s">
        <v>970</v>
      </c>
      <c r="O383" t="s">
        <v>18</v>
      </c>
      <c r="P383" t="s">
        <v>4295</v>
      </c>
      <c r="T383" t="s">
        <v>960</v>
      </c>
      <c r="U383" t="s">
        <v>816</v>
      </c>
      <c r="V383" t="s">
        <v>18</v>
      </c>
      <c r="W383" t="s">
        <v>857</v>
      </c>
      <c r="AC383" t="s">
        <v>970</v>
      </c>
      <c r="AD383" t="s">
        <v>816</v>
      </c>
      <c r="AE383" t="s">
        <v>18</v>
      </c>
      <c r="AF383" t="s">
        <v>4224</v>
      </c>
      <c r="AJ383" s="844" t="s">
        <v>5290</v>
      </c>
      <c r="AK383" s="844" t="s">
        <v>990</v>
      </c>
      <c r="AL383" s="844" t="s">
        <v>816</v>
      </c>
      <c r="AM383" s="844" t="s">
        <v>18</v>
      </c>
      <c r="AN383" s="844" t="s">
        <v>3523</v>
      </c>
    </row>
    <row r="384" spans="1:40">
      <c r="A384" t="s">
        <v>6342</v>
      </c>
      <c r="B384" t="s">
        <v>960</v>
      </c>
      <c r="C384" t="s">
        <v>816</v>
      </c>
      <c r="E384" t="s">
        <v>18</v>
      </c>
      <c r="F384" t="s">
        <v>4418</v>
      </c>
      <c r="M384" t="s">
        <v>4790</v>
      </c>
      <c r="N384" t="s">
        <v>970</v>
      </c>
      <c r="O384" t="s">
        <v>18</v>
      </c>
      <c r="P384" t="s">
        <v>4294</v>
      </c>
      <c r="T384" t="s">
        <v>960</v>
      </c>
      <c r="U384" t="s">
        <v>816</v>
      </c>
      <c r="V384" t="s">
        <v>18</v>
      </c>
      <c r="W384" t="s">
        <v>857</v>
      </c>
      <c r="AC384" t="s">
        <v>2920</v>
      </c>
      <c r="AD384" t="s">
        <v>818</v>
      </c>
      <c r="AE384" t="s">
        <v>18</v>
      </c>
      <c r="AF384" t="s">
        <v>2919</v>
      </c>
      <c r="AJ384" s="844" t="s">
        <v>5290</v>
      </c>
      <c r="AK384" s="844" t="s">
        <v>990</v>
      </c>
      <c r="AL384" s="844" t="s">
        <v>816</v>
      </c>
      <c r="AM384" s="844" t="s">
        <v>18</v>
      </c>
      <c r="AN384" s="844" t="s">
        <v>3521</v>
      </c>
    </row>
    <row r="385" spans="1:40">
      <c r="A385" t="s">
        <v>6342</v>
      </c>
      <c r="B385" t="s">
        <v>960</v>
      </c>
      <c r="C385" t="s">
        <v>816</v>
      </c>
      <c r="E385" t="s">
        <v>18</v>
      </c>
      <c r="F385" t="s">
        <v>4414</v>
      </c>
      <c r="M385" t="s">
        <v>4790</v>
      </c>
      <c r="N385" t="s">
        <v>970</v>
      </c>
      <c r="O385" t="s">
        <v>18</v>
      </c>
      <c r="P385" t="s">
        <v>4293</v>
      </c>
      <c r="T385" t="s">
        <v>960</v>
      </c>
      <c r="U385" t="s">
        <v>816</v>
      </c>
      <c r="V385" t="s">
        <v>18</v>
      </c>
      <c r="W385" t="s">
        <v>857</v>
      </c>
      <c r="AC385" t="s">
        <v>2920</v>
      </c>
      <c r="AD385" t="s">
        <v>816</v>
      </c>
      <c r="AE385" t="s">
        <v>18</v>
      </c>
      <c r="AF385" t="s">
        <v>2925</v>
      </c>
      <c r="AJ385" s="844" t="s">
        <v>5290</v>
      </c>
      <c r="AK385" s="844" t="s">
        <v>990</v>
      </c>
      <c r="AL385" s="844" t="s">
        <v>816</v>
      </c>
      <c r="AM385" s="844" t="s">
        <v>18</v>
      </c>
      <c r="AN385" s="844" t="s">
        <v>3518</v>
      </c>
    </row>
    <row r="386" spans="1:40">
      <c r="A386" t="s">
        <v>6342</v>
      </c>
      <c r="B386" t="s">
        <v>960</v>
      </c>
      <c r="C386" t="s">
        <v>816</v>
      </c>
      <c r="E386" t="s">
        <v>18</v>
      </c>
      <c r="F386" t="s">
        <v>4411</v>
      </c>
      <c r="M386" t="s">
        <v>4790</v>
      </c>
      <c r="N386" t="s">
        <v>970</v>
      </c>
      <c r="O386" t="s">
        <v>18</v>
      </c>
      <c r="P386" t="s">
        <v>4292</v>
      </c>
      <c r="T386" t="s">
        <v>960</v>
      </c>
      <c r="U386" t="s">
        <v>816</v>
      </c>
      <c r="V386" t="s">
        <v>18</v>
      </c>
      <c r="W386" t="s">
        <v>857</v>
      </c>
      <c r="AC386" t="s">
        <v>971</v>
      </c>
      <c r="AD386" t="s">
        <v>818</v>
      </c>
      <c r="AE386" t="s">
        <v>857</v>
      </c>
      <c r="AF386" t="s">
        <v>4009</v>
      </c>
      <c r="AJ386" s="844" t="s">
        <v>6756</v>
      </c>
      <c r="AK386" s="844" t="s">
        <v>990</v>
      </c>
      <c r="AL386" s="844" t="s">
        <v>816</v>
      </c>
      <c r="AM386" s="844"/>
      <c r="AN386" s="844" t="s">
        <v>3510</v>
      </c>
    </row>
    <row r="387" spans="1:40">
      <c r="A387" t="s">
        <v>6342</v>
      </c>
      <c r="B387" t="s">
        <v>960</v>
      </c>
      <c r="C387" t="s">
        <v>816</v>
      </c>
      <c r="E387" t="s">
        <v>18</v>
      </c>
      <c r="F387" t="s">
        <v>4408</v>
      </c>
      <c r="M387" t="s">
        <v>4790</v>
      </c>
      <c r="N387" t="s">
        <v>970</v>
      </c>
      <c r="O387" t="s">
        <v>18</v>
      </c>
      <c r="P387" t="s">
        <v>4290</v>
      </c>
      <c r="T387" t="s">
        <v>960</v>
      </c>
      <c r="U387" t="s">
        <v>816</v>
      </c>
      <c r="V387" t="s">
        <v>18</v>
      </c>
      <c r="W387" t="s">
        <v>857</v>
      </c>
      <c r="AC387" t="s">
        <v>971</v>
      </c>
      <c r="AD387" t="s">
        <v>818</v>
      </c>
      <c r="AE387" t="s">
        <v>18</v>
      </c>
      <c r="AF387" t="s">
        <v>857</v>
      </c>
      <c r="AJ387" s="844" t="s">
        <v>5292</v>
      </c>
      <c r="AK387" s="844" t="s">
        <v>991</v>
      </c>
      <c r="AL387" s="844" t="s">
        <v>818</v>
      </c>
      <c r="AM387" s="844" t="s">
        <v>18</v>
      </c>
      <c r="AN387" s="844" t="s">
        <v>2366</v>
      </c>
    </row>
    <row r="388" spans="1:40">
      <c r="A388" t="s">
        <v>6604</v>
      </c>
      <c r="B388" t="s">
        <v>961</v>
      </c>
      <c r="C388" t="s">
        <v>4826</v>
      </c>
      <c r="D388" t="s">
        <v>4057</v>
      </c>
      <c r="F388" t="s">
        <v>4058</v>
      </c>
      <c r="M388" t="s">
        <v>4790</v>
      </c>
      <c r="N388" t="s">
        <v>970</v>
      </c>
      <c r="O388" t="s">
        <v>18</v>
      </c>
      <c r="P388" t="s">
        <v>4289</v>
      </c>
      <c r="T388" t="s">
        <v>961</v>
      </c>
      <c r="U388" t="s">
        <v>818</v>
      </c>
      <c r="V388" t="s">
        <v>18</v>
      </c>
      <c r="W388" t="s">
        <v>857</v>
      </c>
      <c r="AC388" t="s">
        <v>971</v>
      </c>
      <c r="AD388" t="s">
        <v>818</v>
      </c>
      <c r="AE388" t="s">
        <v>18</v>
      </c>
      <c r="AF388" t="s">
        <v>4275</v>
      </c>
      <c r="AJ388" s="844" t="s">
        <v>6757</v>
      </c>
      <c r="AK388" s="844" t="s">
        <v>991</v>
      </c>
      <c r="AL388" s="844" t="s">
        <v>818</v>
      </c>
      <c r="AM388" s="844"/>
      <c r="AN388" s="844" t="s">
        <v>2366</v>
      </c>
    </row>
    <row r="389" spans="1:40">
      <c r="A389" t="s">
        <v>5050</v>
      </c>
      <c r="B389" t="s">
        <v>961</v>
      </c>
      <c r="C389" t="s">
        <v>818</v>
      </c>
      <c r="D389" t="s">
        <v>3596</v>
      </c>
      <c r="E389" t="s">
        <v>53</v>
      </c>
      <c r="F389" t="s">
        <v>4335</v>
      </c>
      <c r="M389" t="s">
        <v>4791</v>
      </c>
      <c r="N389" t="s">
        <v>2920</v>
      </c>
      <c r="O389" t="s">
        <v>18</v>
      </c>
      <c r="P389" t="s">
        <v>2926</v>
      </c>
      <c r="T389" t="s">
        <v>961</v>
      </c>
      <c r="U389" t="s">
        <v>818</v>
      </c>
      <c r="V389" t="s">
        <v>53</v>
      </c>
      <c r="W389" t="s">
        <v>3596</v>
      </c>
      <c r="AC389" t="s">
        <v>971</v>
      </c>
      <c r="AD389" t="s">
        <v>818</v>
      </c>
      <c r="AE389" t="s">
        <v>18</v>
      </c>
      <c r="AF389" t="s">
        <v>4273</v>
      </c>
      <c r="AJ389" s="844" t="s">
        <v>5294</v>
      </c>
      <c r="AK389" s="844" t="s">
        <v>991</v>
      </c>
      <c r="AL389" s="844" t="s">
        <v>19</v>
      </c>
      <c r="AM389" s="844" t="s">
        <v>18</v>
      </c>
      <c r="AN389" s="844" t="s">
        <v>2366</v>
      </c>
    </row>
    <row r="390" spans="1:40">
      <c r="A390" t="s">
        <v>5052</v>
      </c>
      <c r="B390" t="s">
        <v>961</v>
      </c>
      <c r="C390" t="s">
        <v>818</v>
      </c>
      <c r="D390" t="s">
        <v>4057</v>
      </c>
      <c r="E390" t="s">
        <v>18</v>
      </c>
      <c r="F390" t="s">
        <v>4332</v>
      </c>
      <c r="M390" t="s">
        <v>4791</v>
      </c>
      <c r="N390" t="s">
        <v>2920</v>
      </c>
      <c r="O390" t="s">
        <v>18</v>
      </c>
      <c r="P390" t="s">
        <v>2921</v>
      </c>
      <c r="T390" t="s">
        <v>961</v>
      </c>
      <c r="U390" t="s">
        <v>818</v>
      </c>
      <c r="V390" t="s">
        <v>18</v>
      </c>
      <c r="W390" t="s">
        <v>4057</v>
      </c>
      <c r="AC390" t="s">
        <v>971</v>
      </c>
      <c r="AD390" t="s">
        <v>818</v>
      </c>
      <c r="AE390" t="s">
        <v>18</v>
      </c>
      <c r="AF390" t="s">
        <v>4009</v>
      </c>
      <c r="AJ390" s="844" t="s">
        <v>5297</v>
      </c>
      <c r="AK390" s="844" t="s">
        <v>992</v>
      </c>
      <c r="AL390" s="844" t="s">
        <v>816</v>
      </c>
      <c r="AM390" s="844" t="s">
        <v>18</v>
      </c>
      <c r="AN390" s="844" t="s">
        <v>3486</v>
      </c>
    </row>
    <row r="391" spans="1:40">
      <c r="A391" t="s">
        <v>5053</v>
      </c>
      <c r="B391" t="s">
        <v>961</v>
      </c>
      <c r="C391" t="s">
        <v>818</v>
      </c>
      <c r="D391" t="s">
        <v>4333</v>
      </c>
      <c r="E391" t="s">
        <v>18</v>
      </c>
      <c r="F391" t="s">
        <v>4334</v>
      </c>
      <c r="M391" t="s">
        <v>4686</v>
      </c>
      <c r="N391" t="s">
        <v>971</v>
      </c>
      <c r="O391" t="s">
        <v>18</v>
      </c>
      <c r="P391" t="s">
        <v>4286</v>
      </c>
      <c r="T391" t="s">
        <v>961</v>
      </c>
      <c r="U391" t="s">
        <v>818</v>
      </c>
      <c r="V391" t="s">
        <v>18</v>
      </c>
      <c r="W391" t="s">
        <v>4333</v>
      </c>
      <c r="AC391" t="s">
        <v>971</v>
      </c>
      <c r="AD391" t="s">
        <v>19</v>
      </c>
      <c r="AE391" t="s">
        <v>18</v>
      </c>
      <c r="AF391" t="s">
        <v>4273</v>
      </c>
      <c r="AJ391" s="844" t="s">
        <v>5297</v>
      </c>
      <c r="AK391" s="844" t="s">
        <v>992</v>
      </c>
      <c r="AL391" s="844" t="s">
        <v>816</v>
      </c>
      <c r="AM391" s="844" t="s">
        <v>18</v>
      </c>
      <c r="AN391" s="844" t="s">
        <v>2366</v>
      </c>
    </row>
    <row r="392" spans="1:40">
      <c r="A392" t="s">
        <v>6343</v>
      </c>
      <c r="B392" t="s">
        <v>961</v>
      </c>
      <c r="C392" t="s">
        <v>818</v>
      </c>
      <c r="E392" t="s">
        <v>18</v>
      </c>
      <c r="F392" t="s">
        <v>4338</v>
      </c>
      <c r="M392" t="s">
        <v>4686</v>
      </c>
      <c r="N392" t="s">
        <v>971</v>
      </c>
      <c r="O392" t="s">
        <v>18</v>
      </c>
      <c r="P392" t="s">
        <v>4285</v>
      </c>
      <c r="T392" t="s">
        <v>961</v>
      </c>
      <c r="U392" t="s">
        <v>19</v>
      </c>
      <c r="V392" t="s">
        <v>53</v>
      </c>
      <c r="W392" t="s">
        <v>857</v>
      </c>
      <c r="AC392" t="s">
        <v>971</v>
      </c>
      <c r="AD392" t="s">
        <v>19</v>
      </c>
      <c r="AE392" t="s">
        <v>18</v>
      </c>
      <c r="AF392" t="s">
        <v>4282</v>
      </c>
      <c r="AJ392" s="844" t="s">
        <v>5300</v>
      </c>
      <c r="AK392" s="844" t="s">
        <v>993</v>
      </c>
      <c r="AL392" s="844" t="s">
        <v>818</v>
      </c>
      <c r="AM392" s="844" t="s">
        <v>18</v>
      </c>
      <c r="AN392" s="844" t="s">
        <v>3481</v>
      </c>
    </row>
    <row r="393" spans="1:40">
      <c r="A393" t="s">
        <v>6344</v>
      </c>
      <c r="B393" t="s">
        <v>961</v>
      </c>
      <c r="C393" t="s">
        <v>19</v>
      </c>
      <c r="E393" t="s">
        <v>53</v>
      </c>
      <c r="F393" t="s">
        <v>4337</v>
      </c>
      <c r="M393" t="s">
        <v>4686</v>
      </c>
      <c r="N393" t="s">
        <v>971</v>
      </c>
      <c r="O393" t="s">
        <v>18</v>
      </c>
      <c r="P393" t="s">
        <v>4284</v>
      </c>
      <c r="T393" t="s">
        <v>961</v>
      </c>
      <c r="U393" t="s">
        <v>19</v>
      </c>
      <c r="V393" t="s">
        <v>53</v>
      </c>
      <c r="W393" t="s">
        <v>857</v>
      </c>
      <c r="AC393" t="s">
        <v>971</v>
      </c>
      <c r="AD393" t="s">
        <v>816</v>
      </c>
      <c r="AE393" t="s">
        <v>18</v>
      </c>
      <c r="AF393" t="s">
        <v>857</v>
      </c>
      <c r="AJ393" s="844" t="s">
        <v>6758</v>
      </c>
      <c r="AK393" s="844" t="s">
        <v>993</v>
      </c>
      <c r="AL393" s="844" t="s">
        <v>818</v>
      </c>
      <c r="AM393" s="844"/>
      <c r="AN393" s="844" t="s">
        <v>3481</v>
      </c>
    </row>
    <row r="394" spans="1:40">
      <c r="A394" t="s">
        <v>6344</v>
      </c>
      <c r="B394" t="s">
        <v>961</v>
      </c>
      <c r="C394" t="s">
        <v>19</v>
      </c>
      <c r="E394" t="s">
        <v>53</v>
      </c>
      <c r="F394" t="s">
        <v>4336</v>
      </c>
      <c r="M394" t="s">
        <v>4686</v>
      </c>
      <c r="N394" t="s">
        <v>971</v>
      </c>
      <c r="O394" t="s">
        <v>18</v>
      </c>
      <c r="P394" t="s">
        <v>4283</v>
      </c>
      <c r="T394" t="s">
        <v>961</v>
      </c>
      <c r="U394" t="s">
        <v>816</v>
      </c>
      <c r="V394" t="s">
        <v>18</v>
      </c>
      <c r="W394" t="s">
        <v>4057</v>
      </c>
      <c r="AC394" t="s">
        <v>971</v>
      </c>
      <c r="AD394" t="s">
        <v>816</v>
      </c>
      <c r="AE394" t="s">
        <v>18</v>
      </c>
      <c r="AF394" t="s">
        <v>4275</v>
      </c>
      <c r="AJ394" s="844" t="s">
        <v>5303</v>
      </c>
      <c r="AK394" s="844" t="s">
        <v>995</v>
      </c>
      <c r="AL394" s="844" t="s">
        <v>818</v>
      </c>
      <c r="AM394" s="844" t="s">
        <v>18</v>
      </c>
      <c r="AN394" s="844" t="s">
        <v>3471</v>
      </c>
    </row>
    <row r="395" spans="1:40">
      <c r="A395" t="s">
        <v>5055</v>
      </c>
      <c r="B395" t="s">
        <v>961</v>
      </c>
      <c r="C395" t="s">
        <v>816</v>
      </c>
      <c r="D395" t="s">
        <v>4057</v>
      </c>
      <c r="E395" t="s">
        <v>18</v>
      </c>
      <c r="F395" t="s">
        <v>4340</v>
      </c>
      <c r="M395" t="s">
        <v>4686</v>
      </c>
      <c r="N395" t="s">
        <v>971</v>
      </c>
      <c r="O395" t="s">
        <v>18</v>
      </c>
      <c r="P395" t="s">
        <v>4281</v>
      </c>
      <c r="T395" t="s">
        <v>961</v>
      </c>
      <c r="U395" t="s">
        <v>816</v>
      </c>
      <c r="V395" t="s">
        <v>18</v>
      </c>
      <c r="W395" t="s">
        <v>2863</v>
      </c>
      <c r="AC395" t="s">
        <v>971</v>
      </c>
      <c r="AD395" t="s">
        <v>816</v>
      </c>
      <c r="AE395" t="s">
        <v>18</v>
      </c>
      <c r="AF395" t="s">
        <v>4009</v>
      </c>
      <c r="AJ395" s="844" t="s">
        <v>6759</v>
      </c>
      <c r="AK395" s="844" t="s">
        <v>995</v>
      </c>
      <c r="AL395" s="844" t="s">
        <v>818</v>
      </c>
      <c r="AM395" s="844"/>
      <c r="AN395" s="844" t="s">
        <v>3471</v>
      </c>
    </row>
    <row r="396" spans="1:40">
      <c r="A396" t="s">
        <v>5056</v>
      </c>
      <c r="B396" t="s">
        <v>961</v>
      </c>
      <c r="C396" t="s">
        <v>816</v>
      </c>
      <c r="D396" t="s">
        <v>2863</v>
      </c>
      <c r="E396" t="s">
        <v>18</v>
      </c>
      <c r="F396" t="s">
        <v>4339</v>
      </c>
      <c r="M396" t="s">
        <v>4686</v>
      </c>
      <c r="N396" t="s">
        <v>971</v>
      </c>
      <c r="O396" t="s">
        <v>18</v>
      </c>
      <c r="P396" t="s">
        <v>4280</v>
      </c>
      <c r="T396" t="s">
        <v>961</v>
      </c>
      <c r="U396" t="s">
        <v>4638</v>
      </c>
      <c r="V396" t="s">
        <v>857</v>
      </c>
      <c r="W396" t="s">
        <v>4057</v>
      </c>
      <c r="AC396" t="s">
        <v>972</v>
      </c>
      <c r="AD396" t="s">
        <v>818</v>
      </c>
      <c r="AE396" t="s">
        <v>18</v>
      </c>
      <c r="AF396" t="s">
        <v>4267</v>
      </c>
      <c r="AJ396" s="844" t="s">
        <v>5306</v>
      </c>
      <c r="AK396" s="844" t="s">
        <v>995</v>
      </c>
      <c r="AL396" s="844" t="s">
        <v>816</v>
      </c>
      <c r="AM396" s="844" t="s">
        <v>18</v>
      </c>
      <c r="AN396" s="844" t="s">
        <v>3468</v>
      </c>
    </row>
    <row r="397" spans="1:40">
      <c r="A397" t="s">
        <v>5059</v>
      </c>
      <c r="B397" t="s">
        <v>962</v>
      </c>
      <c r="C397" t="s">
        <v>818</v>
      </c>
      <c r="D397" t="s">
        <v>4034</v>
      </c>
      <c r="E397" t="s">
        <v>53</v>
      </c>
      <c r="F397" t="s">
        <v>4328</v>
      </c>
      <c r="M397" t="s">
        <v>4686</v>
      </c>
      <c r="N397" t="s">
        <v>971</v>
      </c>
      <c r="O397" t="s">
        <v>18</v>
      </c>
      <c r="P397" t="s">
        <v>4279</v>
      </c>
      <c r="T397" t="s">
        <v>962</v>
      </c>
      <c r="U397" t="s">
        <v>818</v>
      </c>
      <c r="V397" t="s">
        <v>18</v>
      </c>
      <c r="W397" t="s">
        <v>857</v>
      </c>
      <c r="AC397" t="s">
        <v>972</v>
      </c>
      <c r="AD397" t="s">
        <v>2384</v>
      </c>
      <c r="AE397" t="s">
        <v>857</v>
      </c>
      <c r="AF397" t="s">
        <v>2366</v>
      </c>
      <c r="AJ397" s="844" t="s">
        <v>5306</v>
      </c>
      <c r="AK397" s="844" t="s">
        <v>995</v>
      </c>
      <c r="AL397" s="844" t="s">
        <v>816</v>
      </c>
      <c r="AM397" s="844" t="s">
        <v>18</v>
      </c>
      <c r="AN397" s="844" t="s">
        <v>2598</v>
      </c>
    </row>
    <row r="398" spans="1:40">
      <c r="A398" t="s">
        <v>5059</v>
      </c>
      <c r="B398" t="s">
        <v>962</v>
      </c>
      <c r="C398" t="s">
        <v>818</v>
      </c>
      <c r="D398" t="s">
        <v>4034</v>
      </c>
      <c r="E398" t="s">
        <v>53</v>
      </c>
      <c r="F398" t="s">
        <v>4327</v>
      </c>
      <c r="M398" t="s">
        <v>4686</v>
      </c>
      <c r="N398" t="s">
        <v>971</v>
      </c>
      <c r="O398" t="s">
        <v>18</v>
      </c>
      <c r="P398" t="s">
        <v>4278</v>
      </c>
      <c r="T398" t="s">
        <v>962</v>
      </c>
      <c r="U398" t="s">
        <v>818</v>
      </c>
      <c r="V398" t="s">
        <v>857</v>
      </c>
      <c r="W398" t="s">
        <v>4034</v>
      </c>
      <c r="AC398" t="s">
        <v>972</v>
      </c>
      <c r="AD398" t="s">
        <v>2384</v>
      </c>
      <c r="AE398" t="s">
        <v>18</v>
      </c>
      <c r="AF398" t="s">
        <v>2366</v>
      </c>
      <c r="AJ398" s="844" t="s">
        <v>6760</v>
      </c>
      <c r="AK398" s="844" t="s">
        <v>995</v>
      </c>
      <c r="AL398" s="844" t="s">
        <v>816</v>
      </c>
      <c r="AM398" s="844"/>
      <c r="AN398" s="844" t="s">
        <v>3468</v>
      </c>
    </row>
    <row r="399" spans="1:40">
      <c r="A399" t="s">
        <v>6605</v>
      </c>
      <c r="B399" t="s">
        <v>962</v>
      </c>
      <c r="C399" t="s">
        <v>818</v>
      </c>
      <c r="D399" t="s">
        <v>4034</v>
      </c>
      <c r="F399" t="s">
        <v>4050</v>
      </c>
      <c r="M399" t="s">
        <v>4686</v>
      </c>
      <c r="N399" t="s">
        <v>971</v>
      </c>
      <c r="O399" t="s">
        <v>18</v>
      </c>
      <c r="P399" t="s">
        <v>4277</v>
      </c>
      <c r="T399" t="s">
        <v>962</v>
      </c>
      <c r="U399" t="s">
        <v>818</v>
      </c>
      <c r="V399" t="s">
        <v>53</v>
      </c>
      <c r="W399" t="s">
        <v>4034</v>
      </c>
      <c r="AC399" t="s">
        <v>972</v>
      </c>
      <c r="AD399" t="s">
        <v>816</v>
      </c>
      <c r="AE399" t="s">
        <v>18</v>
      </c>
      <c r="AF399" t="s">
        <v>857</v>
      </c>
      <c r="AJ399" s="844" t="s">
        <v>5310</v>
      </c>
      <c r="AK399" s="844" t="s">
        <v>996</v>
      </c>
      <c r="AL399" s="844" t="s">
        <v>818</v>
      </c>
      <c r="AM399" s="844" t="s">
        <v>18</v>
      </c>
      <c r="AN399" s="844" t="s">
        <v>3454</v>
      </c>
    </row>
    <row r="400" spans="1:40">
      <c r="A400" t="s">
        <v>6345</v>
      </c>
      <c r="B400" t="s">
        <v>962</v>
      </c>
      <c r="C400" t="s">
        <v>818</v>
      </c>
      <c r="E400" t="s">
        <v>18</v>
      </c>
      <c r="F400" t="s">
        <v>4330</v>
      </c>
      <c r="M400" t="s">
        <v>4686</v>
      </c>
      <c r="N400" t="s">
        <v>971</v>
      </c>
      <c r="O400" t="s">
        <v>18</v>
      </c>
      <c r="P400" t="s">
        <v>4276</v>
      </c>
      <c r="T400" t="s">
        <v>962</v>
      </c>
      <c r="U400" t="s">
        <v>818</v>
      </c>
      <c r="V400" t="s">
        <v>53</v>
      </c>
      <c r="W400" t="s">
        <v>4034</v>
      </c>
      <c r="AC400" t="s">
        <v>972</v>
      </c>
      <c r="AD400" t="s">
        <v>816</v>
      </c>
      <c r="AE400" t="s">
        <v>18</v>
      </c>
      <c r="AF400" t="s">
        <v>4267</v>
      </c>
      <c r="AJ400" s="844" t="s">
        <v>5310</v>
      </c>
      <c r="AK400" s="844" t="s">
        <v>996</v>
      </c>
      <c r="AL400" s="844" t="s">
        <v>818</v>
      </c>
      <c r="AM400" s="844" t="s">
        <v>18</v>
      </c>
      <c r="AN400" s="844" t="s">
        <v>3447</v>
      </c>
    </row>
    <row r="401" spans="1:40">
      <c r="A401" t="s">
        <v>5061</v>
      </c>
      <c r="B401" t="s">
        <v>962</v>
      </c>
      <c r="C401" t="s">
        <v>19</v>
      </c>
      <c r="D401" t="s">
        <v>4324</v>
      </c>
      <c r="E401" t="s">
        <v>53</v>
      </c>
      <c r="F401" t="s">
        <v>4329</v>
      </c>
      <c r="M401" t="s">
        <v>4686</v>
      </c>
      <c r="N401" t="s">
        <v>971</v>
      </c>
      <c r="O401" t="s">
        <v>18</v>
      </c>
      <c r="P401" t="s">
        <v>4274</v>
      </c>
      <c r="T401" t="s">
        <v>962</v>
      </c>
      <c r="U401" t="s">
        <v>19</v>
      </c>
      <c r="V401" t="s">
        <v>857</v>
      </c>
      <c r="W401" t="s">
        <v>857</v>
      </c>
      <c r="AC401" t="s">
        <v>973</v>
      </c>
      <c r="AD401" t="s">
        <v>818</v>
      </c>
      <c r="AE401" t="s">
        <v>857</v>
      </c>
      <c r="AF401" t="s">
        <v>2751</v>
      </c>
      <c r="AJ401" s="844" t="s">
        <v>5313</v>
      </c>
      <c r="AK401" s="844" t="s">
        <v>996</v>
      </c>
      <c r="AL401" s="844" t="s">
        <v>19</v>
      </c>
      <c r="AM401" s="844" t="s">
        <v>18</v>
      </c>
      <c r="AN401" s="844" t="s">
        <v>3449</v>
      </c>
    </row>
    <row r="402" spans="1:40">
      <c r="A402" t="s">
        <v>5063</v>
      </c>
      <c r="B402" t="s">
        <v>962</v>
      </c>
      <c r="C402" t="s">
        <v>19</v>
      </c>
      <c r="D402" t="s">
        <v>4034</v>
      </c>
      <c r="E402" t="s">
        <v>53</v>
      </c>
      <c r="F402" t="s">
        <v>4326</v>
      </c>
      <c r="M402" t="s">
        <v>4686</v>
      </c>
      <c r="N402" t="s">
        <v>971</v>
      </c>
      <c r="O402" t="s">
        <v>18</v>
      </c>
      <c r="P402" t="s">
        <v>4272</v>
      </c>
      <c r="T402" t="s">
        <v>962</v>
      </c>
      <c r="U402" t="s">
        <v>19</v>
      </c>
      <c r="V402" t="s">
        <v>18</v>
      </c>
      <c r="W402" t="s">
        <v>857</v>
      </c>
      <c r="AC402" t="s">
        <v>973</v>
      </c>
      <c r="AD402" t="s">
        <v>818</v>
      </c>
      <c r="AE402" t="s">
        <v>18</v>
      </c>
      <c r="AF402" t="s">
        <v>857</v>
      </c>
      <c r="AJ402" s="844" t="s">
        <v>5313</v>
      </c>
      <c r="AK402" s="844" t="s">
        <v>996</v>
      </c>
      <c r="AL402" s="844" t="s">
        <v>19</v>
      </c>
      <c r="AM402" s="844" t="s">
        <v>18</v>
      </c>
      <c r="AN402" s="844" t="s">
        <v>3447</v>
      </c>
    </row>
    <row r="403" spans="1:40">
      <c r="A403" t="s">
        <v>6606</v>
      </c>
      <c r="B403" t="s">
        <v>962</v>
      </c>
      <c r="C403" t="s">
        <v>19</v>
      </c>
      <c r="D403" t="s">
        <v>4034</v>
      </c>
      <c r="F403" t="s">
        <v>4035</v>
      </c>
      <c r="M403" t="s">
        <v>4686</v>
      </c>
      <c r="N403" t="s">
        <v>971</v>
      </c>
      <c r="O403" t="s">
        <v>18</v>
      </c>
      <c r="P403" t="s">
        <v>4271</v>
      </c>
      <c r="T403" t="s">
        <v>962</v>
      </c>
      <c r="U403" t="s">
        <v>19</v>
      </c>
      <c r="V403" t="s">
        <v>53</v>
      </c>
      <c r="W403" t="s">
        <v>4324</v>
      </c>
      <c r="AC403" t="s">
        <v>973</v>
      </c>
      <c r="AD403" t="s">
        <v>818</v>
      </c>
      <c r="AE403" t="s">
        <v>18</v>
      </c>
      <c r="AF403" t="s">
        <v>2751</v>
      </c>
      <c r="AJ403" s="844" t="s">
        <v>6761</v>
      </c>
      <c r="AK403" s="844" t="s">
        <v>996</v>
      </c>
      <c r="AL403" s="844" t="s">
        <v>19</v>
      </c>
      <c r="AM403" s="844"/>
      <c r="AN403" s="844" t="s">
        <v>3449</v>
      </c>
    </row>
    <row r="404" spans="1:40">
      <c r="A404" t="s">
        <v>6346</v>
      </c>
      <c r="B404" t="s">
        <v>962</v>
      </c>
      <c r="C404" t="s">
        <v>19</v>
      </c>
      <c r="E404" t="s">
        <v>18</v>
      </c>
      <c r="F404" t="s">
        <v>4331</v>
      </c>
      <c r="M404" t="s">
        <v>4687</v>
      </c>
      <c r="N404" t="s">
        <v>972</v>
      </c>
      <c r="O404" t="s">
        <v>18</v>
      </c>
      <c r="P404" t="s">
        <v>4270</v>
      </c>
      <c r="T404" t="s">
        <v>962</v>
      </c>
      <c r="U404" t="s">
        <v>19</v>
      </c>
      <c r="V404" t="s">
        <v>857</v>
      </c>
      <c r="W404" t="s">
        <v>4034</v>
      </c>
      <c r="AC404" t="s">
        <v>973</v>
      </c>
      <c r="AD404" t="s">
        <v>818</v>
      </c>
      <c r="AE404" t="s">
        <v>18</v>
      </c>
      <c r="AF404" t="s">
        <v>2636</v>
      </c>
      <c r="AJ404" s="844" t="s">
        <v>6762</v>
      </c>
      <c r="AK404" s="844" t="s">
        <v>996</v>
      </c>
      <c r="AL404" s="844" t="s">
        <v>2384</v>
      </c>
      <c r="AM404" s="844"/>
      <c r="AN404" s="844" t="s">
        <v>3449</v>
      </c>
    </row>
    <row r="405" spans="1:40">
      <c r="A405" t="s">
        <v>5060</v>
      </c>
      <c r="B405" t="s">
        <v>962</v>
      </c>
      <c r="C405" t="s">
        <v>19</v>
      </c>
      <c r="F405" t="s">
        <v>3884</v>
      </c>
      <c r="M405" t="s">
        <v>4687</v>
      </c>
      <c r="N405" t="s">
        <v>972</v>
      </c>
      <c r="O405" t="s">
        <v>18</v>
      </c>
      <c r="P405" t="s">
        <v>4269</v>
      </c>
      <c r="T405" t="s">
        <v>962</v>
      </c>
      <c r="U405" t="s">
        <v>19</v>
      </c>
      <c r="V405" t="s">
        <v>53</v>
      </c>
      <c r="W405" t="s">
        <v>4034</v>
      </c>
      <c r="AC405" t="s">
        <v>973</v>
      </c>
      <c r="AD405" t="s">
        <v>19</v>
      </c>
      <c r="AE405" t="s">
        <v>18</v>
      </c>
      <c r="AF405" t="s">
        <v>2751</v>
      </c>
      <c r="AJ405" s="844" t="s">
        <v>5317</v>
      </c>
      <c r="AK405" s="844" t="s">
        <v>996</v>
      </c>
      <c r="AL405" s="844" t="s">
        <v>816</v>
      </c>
      <c r="AM405" s="844" t="s">
        <v>18</v>
      </c>
      <c r="AN405" s="844" t="s">
        <v>3449</v>
      </c>
    </row>
    <row r="406" spans="1:40">
      <c r="A406" t="s">
        <v>5064</v>
      </c>
      <c r="B406" t="s">
        <v>962</v>
      </c>
      <c r="C406" t="s">
        <v>816</v>
      </c>
      <c r="D406" t="s">
        <v>4324</v>
      </c>
      <c r="E406" t="s">
        <v>53</v>
      </c>
      <c r="F406" t="s">
        <v>4325</v>
      </c>
      <c r="M406" t="s">
        <v>4687</v>
      </c>
      <c r="N406" t="s">
        <v>972</v>
      </c>
      <c r="O406" t="s">
        <v>18</v>
      </c>
      <c r="P406" t="s">
        <v>4268</v>
      </c>
      <c r="T406" t="s">
        <v>962</v>
      </c>
      <c r="U406" t="s">
        <v>816</v>
      </c>
      <c r="V406" t="s">
        <v>53</v>
      </c>
      <c r="W406" t="s">
        <v>4324</v>
      </c>
      <c r="AC406" t="s">
        <v>973</v>
      </c>
      <c r="AD406" t="s">
        <v>816</v>
      </c>
      <c r="AE406" t="s">
        <v>857</v>
      </c>
      <c r="AF406" t="s">
        <v>2751</v>
      </c>
      <c r="AJ406" s="844" t="s">
        <v>5317</v>
      </c>
      <c r="AK406" s="844" t="s">
        <v>996</v>
      </c>
      <c r="AL406" s="844" t="s">
        <v>816</v>
      </c>
      <c r="AM406" s="844" t="s">
        <v>18</v>
      </c>
      <c r="AN406" s="844" t="s">
        <v>3447</v>
      </c>
    </row>
    <row r="407" spans="1:40">
      <c r="A407" t="s">
        <v>5066</v>
      </c>
      <c r="B407" t="s">
        <v>962</v>
      </c>
      <c r="C407" t="s">
        <v>816</v>
      </c>
      <c r="D407" t="s">
        <v>4045</v>
      </c>
      <c r="E407" t="s">
        <v>53</v>
      </c>
      <c r="F407" t="s">
        <v>4323</v>
      </c>
      <c r="M407" t="s">
        <v>4687</v>
      </c>
      <c r="N407" t="s">
        <v>972</v>
      </c>
      <c r="O407" t="s">
        <v>18</v>
      </c>
      <c r="P407" t="s">
        <v>4266</v>
      </c>
      <c r="T407" t="s">
        <v>962</v>
      </c>
      <c r="U407" t="s">
        <v>816</v>
      </c>
      <c r="V407" t="s">
        <v>857</v>
      </c>
      <c r="W407" t="s">
        <v>4045</v>
      </c>
      <c r="AC407" t="s">
        <v>973</v>
      </c>
      <c r="AD407" t="s">
        <v>816</v>
      </c>
      <c r="AE407" t="s">
        <v>18</v>
      </c>
      <c r="AF407" t="s">
        <v>857</v>
      </c>
      <c r="AJ407" s="844" t="s">
        <v>5319</v>
      </c>
      <c r="AK407" s="844" t="s">
        <v>997</v>
      </c>
      <c r="AL407" s="844" t="s">
        <v>19</v>
      </c>
      <c r="AM407" s="844" t="s">
        <v>18</v>
      </c>
      <c r="AN407" s="844" t="s">
        <v>2512</v>
      </c>
    </row>
    <row r="408" spans="1:40">
      <c r="A408" t="s">
        <v>6347</v>
      </c>
      <c r="B408" t="s">
        <v>962</v>
      </c>
      <c r="C408" t="s">
        <v>816</v>
      </c>
      <c r="D408" t="s">
        <v>4045</v>
      </c>
      <c r="F408" t="s">
        <v>4046</v>
      </c>
      <c r="M408" t="s">
        <v>4792</v>
      </c>
      <c r="N408" t="s">
        <v>973</v>
      </c>
      <c r="O408" t="s">
        <v>18</v>
      </c>
      <c r="P408" t="s">
        <v>2764</v>
      </c>
      <c r="T408" t="s">
        <v>962</v>
      </c>
      <c r="U408" t="s">
        <v>816</v>
      </c>
      <c r="V408" t="s">
        <v>53</v>
      </c>
      <c r="W408" t="s">
        <v>4045</v>
      </c>
      <c r="AC408" t="s">
        <v>973</v>
      </c>
      <c r="AD408" t="s">
        <v>816</v>
      </c>
      <c r="AE408" t="s">
        <v>18</v>
      </c>
      <c r="AF408" t="s">
        <v>2751</v>
      </c>
      <c r="AJ408" s="844" t="s">
        <v>6763</v>
      </c>
      <c r="AK408" s="844" t="s">
        <v>997</v>
      </c>
      <c r="AL408" s="844" t="s">
        <v>19</v>
      </c>
      <c r="AM408" s="844"/>
      <c r="AN408" s="844" t="s">
        <v>2512</v>
      </c>
    </row>
    <row r="409" spans="1:40">
      <c r="A409" t="s">
        <v>6520</v>
      </c>
      <c r="B409" t="s">
        <v>963</v>
      </c>
      <c r="C409" t="s">
        <v>818</v>
      </c>
      <c r="D409" t="s">
        <v>4076</v>
      </c>
      <c r="E409" t="s">
        <v>53</v>
      </c>
      <c r="F409" t="s">
        <v>4349</v>
      </c>
      <c r="M409" t="s">
        <v>4792</v>
      </c>
      <c r="N409" t="s">
        <v>973</v>
      </c>
      <c r="O409" t="s">
        <v>18</v>
      </c>
      <c r="P409" t="s">
        <v>2763</v>
      </c>
      <c r="T409" t="s">
        <v>963</v>
      </c>
      <c r="U409" t="s">
        <v>818</v>
      </c>
      <c r="V409" t="s">
        <v>857</v>
      </c>
      <c r="W409" t="s">
        <v>857</v>
      </c>
      <c r="AC409" t="s">
        <v>974</v>
      </c>
      <c r="AD409" t="s">
        <v>818</v>
      </c>
      <c r="AE409" t="s">
        <v>18</v>
      </c>
      <c r="AF409" t="s">
        <v>857</v>
      </c>
      <c r="AJ409" s="844" t="s">
        <v>5321</v>
      </c>
      <c r="AK409" s="844" t="s">
        <v>997</v>
      </c>
      <c r="AL409" s="844" t="s">
        <v>2384</v>
      </c>
      <c r="AM409" s="844" t="s">
        <v>18</v>
      </c>
      <c r="AN409" s="844" t="s">
        <v>2512</v>
      </c>
    </row>
    <row r="410" spans="1:40">
      <c r="A410" t="s">
        <v>6520</v>
      </c>
      <c r="B410" t="s">
        <v>963</v>
      </c>
      <c r="C410" t="s">
        <v>818</v>
      </c>
      <c r="D410" t="s">
        <v>4076</v>
      </c>
      <c r="E410" t="s">
        <v>53</v>
      </c>
      <c r="F410" t="s">
        <v>4346</v>
      </c>
      <c r="M410" t="s">
        <v>4792</v>
      </c>
      <c r="N410" t="s">
        <v>973</v>
      </c>
      <c r="O410" t="s">
        <v>18</v>
      </c>
      <c r="P410" t="s">
        <v>2762</v>
      </c>
      <c r="T410" t="s">
        <v>963</v>
      </c>
      <c r="U410" t="s">
        <v>818</v>
      </c>
      <c r="V410" t="s">
        <v>18</v>
      </c>
      <c r="W410" t="s">
        <v>857</v>
      </c>
      <c r="AC410" t="s">
        <v>974</v>
      </c>
      <c r="AD410" t="s">
        <v>19</v>
      </c>
      <c r="AE410" t="s">
        <v>18</v>
      </c>
      <c r="AF410" t="s">
        <v>857</v>
      </c>
      <c r="AJ410" s="844" t="s">
        <v>6764</v>
      </c>
      <c r="AK410" s="844" t="s">
        <v>997</v>
      </c>
      <c r="AL410" s="844" t="s">
        <v>2384</v>
      </c>
      <c r="AM410" s="844"/>
      <c r="AN410" s="844" t="s">
        <v>2512</v>
      </c>
    </row>
    <row r="411" spans="1:40">
      <c r="A411" t="s">
        <v>6521</v>
      </c>
      <c r="B411" t="s">
        <v>963</v>
      </c>
      <c r="C411" t="s">
        <v>818</v>
      </c>
      <c r="D411" t="s">
        <v>4344</v>
      </c>
      <c r="E411" t="s">
        <v>53</v>
      </c>
      <c r="F411" t="s">
        <v>4348</v>
      </c>
      <c r="M411" t="s">
        <v>4792</v>
      </c>
      <c r="N411" t="s">
        <v>973</v>
      </c>
      <c r="O411" t="s">
        <v>18</v>
      </c>
      <c r="P411" t="s">
        <v>2761</v>
      </c>
      <c r="T411" t="s">
        <v>963</v>
      </c>
      <c r="U411" t="s">
        <v>818</v>
      </c>
      <c r="V411" t="s">
        <v>53</v>
      </c>
      <c r="W411" t="s">
        <v>4076</v>
      </c>
      <c r="AC411" t="s">
        <v>975</v>
      </c>
      <c r="AD411" t="s">
        <v>818</v>
      </c>
      <c r="AE411" t="s">
        <v>857</v>
      </c>
      <c r="AF411" t="s">
        <v>857</v>
      </c>
      <c r="AJ411" s="844" t="s">
        <v>5323</v>
      </c>
      <c r="AK411" s="844" t="s">
        <v>997</v>
      </c>
      <c r="AL411" s="844" t="s">
        <v>816</v>
      </c>
      <c r="AM411" s="844" t="s">
        <v>18</v>
      </c>
      <c r="AN411" s="844" t="s">
        <v>2512</v>
      </c>
    </row>
    <row r="412" spans="1:40">
      <c r="A412" t="s">
        <v>6521</v>
      </c>
      <c r="B412" t="s">
        <v>963</v>
      </c>
      <c r="C412" t="s">
        <v>818</v>
      </c>
      <c r="D412" t="s">
        <v>4344</v>
      </c>
      <c r="E412" t="s">
        <v>53</v>
      </c>
      <c r="F412" t="s">
        <v>4345</v>
      </c>
      <c r="M412" t="s">
        <v>4792</v>
      </c>
      <c r="N412" t="s">
        <v>973</v>
      </c>
      <c r="O412" t="s">
        <v>18</v>
      </c>
      <c r="P412" t="s">
        <v>2760</v>
      </c>
      <c r="T412" t="s">
        <v>963</v>
      </c>
      <c r="U412" t="s">
        <v>818</v>
      </c>
      <c r="V412" t="s">
        <v>53</v>
      </c>
      <c r="W412" t="s">
        <v>4076</v>
      </c>
      <c r="AC412" t="s">
        <v>975</v>
      </c>
      <c r="AD412" t="s">
        <v>818</v>
      </c>
      <c r="AE412" t="s">
        <v>857</v>
      </c>
      <c r="AF412" t="s">
        <v>4000</v>
      </c>
      <c r="AJ412" s="844" t="s">
        <v>6765</v>
      </c>
      <c r="AK412" s="844" t="s">
        <v>997</v>
      </c>
      <c r="AL412" s="844" t="s">
        <v>816</v>
      </c>
      <c r="AM412" s="844"/>
      <c r="AN412" s="844" t="s">
        <v>2512</v>
      </c>
    </row>
    <row r="413" spans="1:40">
      <c r="A413" t="s">
        <v>6348</v>
      </c>
      <c r="B413" t="s">
        <v>963</v>
      </c>
      <c r="C413" t="s">
        <v>818</v>
      </c>
      <c r="E413" t="s">
        <v>18</v>
      </c>
      <c r="F413" t="s">
        <v>4353</v>
      </c>
      <c r="M413" t="s">
        <v>4792</v>
      </c>
      <c r="N413" t="s">
        <v>973</v>
      </c>
      <c r="O413" t="s">
        <v>18</v>
      </c>
      <c r="P413" t="s">
        <v>2759</v>
      </c>
      <c r="T413" t="s">
        <v>963</v>
      </c>
      <c r="U413" t="s">
        <v>818</v>
      </c>
      <c r="V413" t="s">
        <v>53</v>
      </c>
      <c r="W413" t="s">
        <v>4344</v>
      </c>
      <c r="AC413" t="s">
        <v>975</v>
      </c>
      <c r="AD413" t="s">
        <v>818</v>
      </c>
      <c r="AE413" t="s">
        <v>18</v>
      </c>
      <c r="AF413" t="s">
        <v>857</v>
      </c>
      <c r="AJ413" s="844" t="s">
        <v>5325</v>
      </c>
      <c r="AK413" s="844" t="s">
        <v>998</v>
      </c>
      <c r="AL413" s="844" t="s">
        <v>818</v>
      </c>
      <c r="AM413" s="844" t="s">
        <v>53</v>
      </c>
      <c r="AN413" s="844" t="s">
        <v>2949</v>
      </c>
    </row>
    <row r="414" spans="1:40">
      <c r="A414" t="s">
        <v>5081</v>
      </c>
      <c r="B414" t="s">
        <v>963</v>
      </c>
      <c r="C414" t="s">
        <v>818</v>
      </c>
      <c r="F414" t="s">
        <v>4145</v>
      </c>
      <c r="M414" t="s">
        <v>4792</v>
      </c>
      <c r="N414" t="s">
        <v>973</v>
      </c>
      <c r="O414" t="s">
        <v>18</v>
      </c>
      <c r="P414" t="s">
        <v>2758</v>
      </c>
      <c r="T414" t="s">
        <v>963</v>
      </c>
      <c r="U414" t="s">
        <v>818</v>
      </c>
      <c r="V414" t="s">
        <v>53</v>
      </c>
      <c r="W414" t="s">
        <v>4344</v>
      </c>
      <c r="AC414" t="s">
        <v>975</v>
      </c>
      <c r="AD414" t="s">
        <v>818</v>
      </c>
      <c r="AE414" t="s">
        <v>18</v>
      </c>
      <c r="AF414" t="s">
        <v>4000</v>
      </c>
      <c r="AJ414" s="844" t="s">
        <v>6766</v>
      </c>
      <c r="AK414" s="844" t="s">
        <v>998</v>
      </c>
      <c r="AL414" s="844" t="s">
        <v>818</v>
      </c>
      <c r="AM414" s="844"/>
      <c r="AN414" s="844" t="s">
        <v>2949</v>
      </c>
    </row>
    <row r="415" spans="1:40">
      <c r="A415" t="s">
        <v>6607</v>
      </c>
      <c r="B415" t="s">
        <v>963</v>
      </c>
      <c r="C415" t="s">
        <v>19</v>
      </c>
      <c r="D415" t="s">
        <v>4142</v>
      </c>
      <c r="F415" t="s">
        <v>4343</v>
      </c>
      <c r="M415" t="s">
        <v>4792</v>
      </c>
      <c r="N415" t="s">
        <v>973</v>
      </c>
      <c r="O415" t="s">
        <v>18</v>
      </c>
      <c r="P415" t="s">
        <v>2757</v>
      </c>
      <c r="T415" t="s">
        <v>963</v>
      </c>
      <c r="U415" t="s">
        <v>19</v>
      </c>
      <c r="V415" t="s">
        <v>857</v>
      </c>
      <c r="W415" t="s">
        <v>857</v>
      </c>
      <c r="AC415" t="s">
        <v>975</v>
      </c>
      <c r="AD415" t="s">
        <v>19</v>
      </c>
      <c r="AE415" t="s">
        <v>857</v>
      </c>
      <c r="AF415" t="s">
        <v>857</v>
      </c>
      <c r="AJ415" s="844" t="s">
        <v>5327</v>
      </c>
      <c r="AK415" s="844" t="s">
        <v>998</v>
      </c>
      <c r="AL415" s="844" t="s">
        <v>816</v>
      </c>
      <c r="AM415" s="844" t="s">
        <v>53</v>
      </c>
      <c r="AN415" s="844" t="s">
        <v>2949</v>
      </c>
    </row>
    <row r="416" spans="1:40">
      <c r="A416" t="s">
        <v>6607</v>
      </c>
      <c r="B416" t="s">
        <v>963</v>
      </c>
      <c r="C416" t="s">
        <v>19</v>
      </c>
      <c r="D416" t="s">
        <v>4142</v>
      </c>
      <c r="F416" t="s">
        <v>4143</v>
      </c>
      <c r="M416" t="s">
        <v>4792</v>
      </c>
      <c r="N416" t="s">
        <v>973</v>
      </c>
      <c r="O416" t="s">
        <v>18</v>
      </c>
      <c r="P416" t="s">
        <v>2756</v>
      </c>
      <c r="T416" t="s">
        <v>963</v>
      </c>
      <c r="U416" t="s">
        <v>19</v>
      </c>
      <c r="V416" t="s">
        <v>857</v>
      </c>
      <c r="W416" t="s">
        <v>857</v>
      </c>
      <c r="AC416" t="s">
        <v>975</v>
      </c>
      <c r="AD416" t="s">
        <v>19</v>
      </c>
      <c r="AE416" t="s">
        <v>857</v>
      </c>
      <c r="AF416" t="s">
        <v>4000</v>
      </c>
      <c r="AJ416" s="844" t="s">
        <v>6767</v>
      </c>
      <c r="AK416" s="844" t="s">
        <v>998</v>
      </c>
      <c r="AL416" s="844" t="s">
        <v>816</v>
      </c>
      <c r="AM416" s="844"/>
      <c r="AN416" s="844" t="s">
        <v>2949</v>
      </c>
    </row>
    <row r="417" spans="1:40">
      <c r="A417" t="s">
        <v>6349</v>
      </c>
      <c r="B417" t="s">
        <v>963</v>
      </c>
      <c r="C417" t="s">
        <v>19</v>
      </c>
      <c r="E417" t="s">
        <v>53</v>
      </c>
      <c r="F417" t="s">
        <v>4351</v>
      </c>
      <c r="M417" t="s">
        <v>4792</v>
      </c>
      <c r="N417" t="s">
        <v>973</v>
      </c>
      <c r="O417" t="s">
        <v>18</v>
      </c>
      <c r="P417" t="s">
        <v>2755</v>
      </c>
      <c r="T417" t="s">
        <v>963</v>
      </c>
      <c r="U417" t="s">
        <v>19</v>
      </c>
      <c r="V417" t="s">
        <v>53</v>
      </c>
      <c r="W417" t="s">
        <v>857</v>
      </c>
      <c r="AC417" t="s">
        <v>975</v>
      </c>
      <c r="AD417" t="s">
        <v>19</v>
      </c>
      <c r="AE417" t="s">
        <v>18</v>
      </c>
      <c r="AF417" t="s">
        <v>857</v>
      </c>
      <c r="AJ417" s="844" t="s">
        <v>5329</v>
      </c>
      <c r="AK417" s="844" t="s">
        <v>999</v>
      </c>
      <c r="AL417" s="844" t="s">
        <v>818</v>
      </c>
      <c r="AM417" s="844" t="s">
        <v>18</v>
      </c>
      <c r="AN417" s="844" t="s">
        <v>2366</v>
      </c>
    </row>
    <row r="418" spans="1:40">
      <c r="A418" t="s">
        <v>6349</v>
      </c>
      <c r="B418" t="s">
        <v>963</v>
      </c>
      <c r="C418" t="s">
        <v>19</v>
      </c>
      <c r="E418" t="s">
        <v>53</v>
      </c>
      <c r="F418" t="s">
        <v>4350</v>
      </c>
      <c r="M418" t="s">
        <v>4792</v>
      </c>
      <c r="N418" t="s">
        <v>973</v>
      </c>
      <c r="O418" t="s">
        <v>18</v>
      </c>
      <c r="P418" t="s">
        <v>2754</v>
      </c>
      <c r="T418" t="s">
        <v>963</v>
      </c>
      <c r="U418" t="s">
        <v>19</v>
      </c>
      <c r="V418" t="s">
        <v>53</v>
      </c>
      <c r="W418" t="s">
        <v>857</v>
      </c>
      <c r="AC418" t="s">
        <v>975</v>
      </c>
      <c r="AD418" t="s">
        <v>19</v>
      </c>
      <c r="AE418" t="s">
        <v>18</v>
      </c>
      <c r="AF418" t="s">
        <v>4000</v>
      </c>
      <c r="AJ418" s="844" t="s">
        <v>5331</v>
      </c>
      <c r="AK418" s="844" t="s">
        <v>999</v>
      </c>
      <c r="AL418" s="844" t="s">
        <v>19</v>
      </c>
      <c r="AM418" s="844" t="s">
        <v>18</v>
      </c>
      <c r="AN418" s="844" t="s">
        <v>2366</v>
      </c>
    </row>
    <row r="419" spans="1:40">
      <c r="A419" t="s">
        <v>5083</v>
      </c>
      <c r="B419" t="s">
        <v>963</v>
      </c>
      <c r="C419" t="s">
        <v>19</v>
      </c>
      <c r="F419" t="s">
        <v>3924</v>
      </c>
      <c r="M419" t="s">
        <v>4792</v>
      </c>
      <c r="N419" t="s">
        <v>973</v>
      </c>
      <c r="O419" t="s">
        <v>18</v>
      </c>
      <c r="P419" t="s">
        <v>2753</v>
      </c>
      <c r="T419" t="s">
        <v>963</v>
      </c>
      <c r="U419" t="s">
        <v>19</v>
      </c>
      <c r="V419" t="s">
        <v>857</v>
      </c>
      <c r="W419" t="s">
        <v>4142</v>
      </c>
      <c r="AC419" t="s">
        <v>975</v>
      </c>
      <c r="AD419" t="s">
        <v>816</v>
      </c>
      <c r="AE419" t="s">
        <v>857</v>
      </c>
      <c r="AF419" t="s">
        <v>857</v>
      </c>
      <c r="AJ419" s="844" t="s">
        <v>5334</v>
      </c>
      <c r="AK419" s="844" t="s">
        <v>999</v>
      </c>
      <c r="AL419" s="844" t="s">
        <v>2384</v>
      </c>
      <c r="AM419" s="844" t="s">
        <v>18</v>
      </c>
      <c r="AN419" s="844" t="s">
        <v>2366</v>
      </c>
    </row>
    <row r="420" spans="1:40">
      <c r="A420" t="s">
        <v>5083</v>
      </c>
      <c r="B420" t="s">
        <v>963</v>
      </c>
      <c r="C420" t="s">
        <v>19</v>
      </c>
      <c r="F420" t="s">
        <v>3828</v>
      </c>
      <c r="M420" t="s">
        <v>4792</v>
      </c>
      <c r="N420" t="s">
        <v>973</v>
      </c>
      <c r="O420" t="s">
        <v>18</v>
      </c>
      <c r="P420" t="s">
        <v>2752</v>
      </c>
      <c r="T420" t="s">
        <v>963</v>
      </c>
      <c r="U420" t="s">
        <v>19</v>
      </c>
      <c r="V420" t="s">
        <v>857</v>
      </c>
      <c r="W420" t="s">
        <v>4142</v>
      </c>
      <c r="AC420" t="s">
        <v>975</v>
      </c>
      <c r="AD420" t="s">
        <v>816</v>
      </c>
      <c r="AE420" t="s">
        <v>857</v>
      </c>
      <c r="AF420" t="s">
        <v>4000</v>
      </c>
      <c r="AJ420" s="844" t="s">
        <v>6768</v>
      </c>
      <c r="AK420" s="844" t="s">
        <v>999</v>
      </c>
      <c r="AL420" s="844" t="s">
        <v>2384</v>
      </c>
      <c r="AM420" s="844"/>
      <c r="AN420" s="844" t="s">
        <v>2366</v>
      </c>
    </row>
    <row r="421" spans="1:40">
      <c r="A421" t="s">
        <v>6522</v>
      </c>
      <c r="B421" t="s">
        <v>963</v>
      </c>
      <c r="C421" t="s">
        <v>2384</v>
      </c>
      <c r="D421" t="s">
        <v>4076</v>
      </c>
      <c r="E421" t="s">
        <v>53</v>
      </c>
      <c r="F421" t="s">
        <v>4347</v>
      </c>
      <c r="M421" t="s">
        <v>4793</v>
      </c>
      <c r="N421" t="s">
        <v>974</v>
      </c>
      <c r="O421" t="s">
        <v>18</v>
      </c>
      <c r="P421" t="s">
        <v>3629</v>
      </c>
      <c r="T421" t="s">
        <v>963</v>
      </c>
      <c r="U421" t="s">
        <v>2384</v>
      </c>
      <c r="V421" t="s">
        <v>857</v>
      </c>
      <c r="W421" t="s">
        <v>857</v>
      </c>
      <c r="AC421" t="s">
        <v>975</v>
      </c>
      <c r="AD421" t="s">
        <v>816</v>
      </c>
      <c r="AE421" t="s">
        <v>18</v>
      </c>
      <c r="AF421" t="s">
        <v>857</v>
      </c>
      <c r="AJ421" s="844" t="s">
        <v>5338</v>
      </c>
      <c r="AK421" s="844" t="s">
        <v>999</v>
      </c>
      <c r="AL421" s="844" t="s">
        <v>816</v>
      </c>
      <c r="AM421" s="844" t="s">
        <v>18</v>
      </c>
      <c r="AN421" s="844" t="s">
        <v>2598</v>
      </c>
    </row>
    <row r="422" spans="1:40">
      <c r="A422" t="s">
        <v>6608</v>
      </c>
      <c r="B422" t="s">
        <v>963</v>
      </c>
      <c r="C422" t="s">
        <v>2384</v>
      </c>
      <c r="D422" t="s">
        <v>4076</v>
      </c>
      <c r="F422" t="s">
        <v>4077</v>
      </c>
      <c r="M422" t="s">
        <v>4793</v>
      </c>
      <c r="N422" t="s">
        <v>974</v>
      </c>
      <c r="O422" t="s">
        <v>18</v>
      </c>
      <c r="P422" t="s">
        <v>3628</v>
      </c>
      <c r="T422" t="s">
        <v>963</v>
      </c>
      <c r="U422" t="s">
        <v>2384</v>
      </c>
      <c r="V422" t="s">
        <v>857</v>
      </c>
      <c r="W422" t="s">
        <v>857</v>
      </c>
      <c r="AC422" t="s">
        <v>975</v>
      </c>
      <c r="AD422" t="s">
        <v>816</v>
      </c>
      <c r="AE422" t="s">
        <v>18</v>
      </c>
      <c r="AF422" t="s">
        <v>4000</v>
      </c>
      <c r="AJ422" s="844" t="s">
        <v>5338</v>
      </c>
      <c r="AK422" s="844" t="s">
        <v>999</v>
      </c>
      <c r="AL422" s="844" t="s">
        <v>816</v>
      </c>
      <c r="AM422" s="844" t="s">
        <v>18</v>
      </c>
      <c r="AN422" s="844" t="s">
        <v>2366</v>
      </c>
    </row>
    <row r="423" spans="1:40">
      <c r="A423" t="s">
        <v>5084</v>
      </c>
      <c r="B423" t="s">
        <v>963</v>
      </c>
      <c r="C423" t="s">
        <v>2384</v>
      </c>
      <c r="F423" t="s">
        <v>3751</v>
      </c>
      <c r="M423" t="s">
        <v>4688</v>
      </c>
      <c r="N423" t="s">
        <v>975</v>
      </c>
      <c r="O423" t="s">
        <v>18</v>
      </c>
      <c r="P423" t="s">
        <v>4265</v>
      </c>
      <c r="T423" t="s">
        <v>963</v>
      </c>
      <c r="U423" t="s">
        <v>2384</v>
      </c>
      <c r="V423" t="s">
        <v>857</v>
      </c>
      <c r="W423" t="s">
        <v>4076</v>
      </c>
      <c r="AC423" t="s">
        <v>976</v>
      </c>
      <c r="AD423" t="s">
        <v>818</v>
      </c>
      <c r="AE423" t="s">
        <v>18</v>
      </c>
      <c r="AF423" t="s">
        <v>857</v>
      </c>
      <c r="AJ423" s="844" t="s">
        <v>5340</v>
      </c>
      <c r="AK423" s="844" t="s">
        <v>1000</v>
      </c>
      <c r="AL423" s="844" t="s">
        <v>818</v>
      </c>
      <c r="AM423" s="844" t="s">
        <v>18</v>
      </c>
      <c r="AN423" s="844" t="s">
        <v>3397</v>
      </c>
    </row>
    <row r="424" spans="1:40">
      <c r="A424" t="s">
        <v>5084</v>
      </c>
      <c r="B424" t="s">
        <v>963</v>
      </c>
      <c r="C424" t="s">
        <v>2384</v>
      </c>
      <c r="F424" t="s">
        <v>3750</v>
      </c>
      <c r="M424" t="s">
        <v>4688</v>
      </c>
      <c r="N424" t="s">
        <v>975</v>
      </c>
      <c r="O424" t="s">
        <v>18</v>
      </c>
      <c r="P424" t="s">
        <v>4264</v>
      </c>
      <c r="T424" t="s">
        <v>963</v>
      </c>
      <c r="U424" t="s">
        <v>2384</v>
      </c>
      <c r="V424" t="s">
        <v>53</v>
      </c>
      <c r="W424" t="s">
        <v>4076</v>
      </c>
      <c r="AC424" t="s">
        <v>2670</v>
      </c>
      <c r="AD424" t="s">
        <v>818</v>
      </c>
      <c r="AE424" t="s">
        <v>18</v>
      </c>
      <c r="AF424" t="s">
        <v>857</v>
      </c>
      <c r="AJ424" s="844" t="s">
        <v>6769</v>
      </c>
      <c r="AK424" s="844" t="s">
        <v>1000</v>
      </c>
      <c r="AL424" s="844" t="s">
        <v>818</v>
      </c>
      <c r="AM424" s="844"/>
      <c r="AN424" s="844" t="s">
        <v>3397</v>
      </c>
    </row>
    <row r="425" spans="1:40">
      <c r="A425" t="s">
        <v>5088</v>
      </c>
      <c r="B425" t="s">
        <v>963</v>
      </c>
      <c r="C425" t="s">
        <v>816</v>
      </c>
      <c r="D425" t="s">
        <v>4341</v>
      </c>
      <c r="E425" t="s">
        <v>53</v>
      </c>
      <c r="F425" t="s">
        <v>4352</v>
      </c>
      <c r="M425" t="s">
        <v>4688</v>
      </c>
      <c r="N425" t="s">
        <v>975</v>
      </c>
      <c r="O425" t="s">
        <v>18</v>
      </c>
      <c r="P425" t="s">
        <v>4263</v>
      </c>
      <c r="T425" t="s">
        <v>963</v>
      </c>
      <c r="U425" t="s">
        <v>816</v>
      </c>
      <c r="V425" t="s">
        <v>857</v>
      </c>
      <c r="W425" t="s">
        <v>857</v>
      </c>
      <c r="AC425" t="s">
        <v>2670</v>
      </c>
      <c r="AD425" t="s">
        <v>818</v>
      </c>
      <c r="AE425" t="s">
        <v>18</v>
      </c>
      <c r="AF425" t="s">
        <v>2674</v>
      </c>
      <c r="AJ425" s="844" t="s">
        <v>5342</v>
      </c>
      <c r="AK425" s="844" t="s">
        <v>1000</v>
      </c>
      <c r="AL425" s="844" t="s">
        <v>19</v>
      </c>
      <c r="AM425" s="844" t="s">
        <v>18</v>
      </c>
      <c r="AN425" s="844" t="s">
        <v>3397</v>
      </c>
    </row>
    <row r="426" spans="1:40">
      <c r="A426" t="s">
        <v>5088</v>
      </c>
      <c r="B426" t="s">
        <v>963</v>
      </c>
      <c r="C426" t="s">
        <v>816</v>
      </c>
      <c r="D426" t="s">
        <v>4341</v>
      </c>
      <c r="E426" t="s">
        <v>53</v>
      </c>
      <c r="F426" t="s">
        <v>4342</v>
      </c>
      <c r="M426" t="s">
        <v>4688</v>
      </c>
      <c r="N426" t="s">
        <v>975</v>
      </c>
      <c r="O426" t="s">
        <v>18</v>
      </c>
      <c r="P426" t="s">
        <v>4262</v>
      </c>
      <c r="T426" t="s">
        <v>963</v>
      </c>
      <c r="U426" t="s">
        <v>816</v>
      </c>
      <c r="V426" t="s">
        <v>857</v>
      </c>
      <c r="W426" t="s">
        <v>857</v>
      </c>
      <c r="AC426" t="s">
        <v>2670</v>
      </c>
      <c r="AD426" t="s">
        <v>818</v>
      </c>
      <c r="AE426" t="s">
        <v>18</v>
      </c>
      <c r="AF426" t="s">
        <v>2669</v>
      </c>
      <c r="AJ426" s="844" t="s">
        <v>5345</v>
      </c>
      <c r="AK426" s="844" t="s">
        <v>1000</v>
      </c>
      <c r="AL426" s="844" t="s">
        <v>2416</v>
      </c>
      <c r="AM426" s="844" t="s">
        <v>18</v>
      </c>
      <c r="AN426" s="844" t="s">
        <v>3397</v>
      </c>
    </row>
    <row r="427" spans="1:40">
      <c r="A427" t="s">
        <v>5086</v>
      </c>
      <c r="B427" t="s">
        <v>963</v>
      </c>
      <c r="C427" t="s">
        <v>816</v>
      </c>
      <c r="F427" t="s">
        <v>4144</v>
      </c>
      <c r="M427" t="s">
        <v>4688</v>
      </c>
      <c r="N427" t="s">
        <v>975</v>
      </c>
      <c r="O427" t="s">
        <v>18</v>
      </c>
      <c r="P427" t="s">
        <v>4261</v>
      </c>
      <c r="T427" t="s">
        <v>963</v>
      </c>
      <c r="U427" t="s">
        <v>816</v>
      </c>
      <c r="V427" t="s">
        <v>53</v>
      </c>
      <c r="W427" t="s">
        <v>4341</v>
      </c>
      <c r="AC427" t="s">
        <v>2670</v>
      </c>
      <c r="AD427" t="s">
        <v>19</v>
      </c>
      <c r="AE427" t="s">
        <v>857</v>
      </c>
      <c r="AF427" t="s">
        <v>857</v>
      </c>
      <c r="AJ427" s="844" t="s">
        <v>5347</v>
      </c>
      <c r="AK427" s="844" t="s">
        <v>1000</v>
      </c>
      <c r="AL427" s="844" t="s">
        <v>816</v>
      </c>
      <c r="AM427" s="844" t="s">
        <v>18</v>
      </c>
      <c r="AN427" s="844" t="s">
        <v>3397</v>
      </c>
    </row>
    <row r="428" spans="1:40">
      <c r="A428" t="s">
        <v>5086</v>
      </c>
      <c r="B428" t="s">
        <v>963</v>
      </c>
      <c r="C428" t="s">
        <v>816</v>
      </c>
      <c r="F428" t="s">
        <v>3942</v>
      </c>
      <c r="M428" t="s">
        <v>4688</v>
      </c>
      <c r="N428" t="s">
        <v>975</v>
      </c>
      <c r="O428" t="s">
        <v>18</v>
      </c>
      <c r="P428" t="s">
        <v>4260</v>
      </c>
      <c r="T428" t="s">
        <v>963</v>
      </c>
      <c r="U428" t="s">
        <v>816</v>
      </c>
      <c r="V428" t="s">
        <v>53</v>
      </c>
      <c r="W428" t="s">
        <v>4341</v>
      </c>
      <c r="AC428" t="s">
        <v>2670</v>
      </c>
      <c r="AD428" t="s">
        <v>19</v>
      </c>
      <c r="AE428" t="s">
        <v>857</v>
      </c>
      <c r="AF428" t="s">
        <v>2669</v>
      </c>
      <c r="AJ428" s="844" t="s">
        <v>6770</v>
      </c>
      <c r="AK428" s="844" t="s">
        <v>1000</v>
      </c>
      <c r="AL428" s="844" t="s">
        <v>816</v>
      </c>
      <c r="AM428" s="844"/>
      <c r="AN428" s="844" t="s">
        <v>3397</v>
      </c>
    </row>
    <row r="429" spans="1:40">
      <c r="A429" t="s">
        <v>5067</v>
      </c>
      <c r="B429" t="s">
        <v>964</v>
      </c>
      <c r="C429" t="s">
        <v>818</v>
      </c>
      <c r="D429" t="s">
        <v>2422</v>
      </c>
      <c r="E429" t="s">
        <v>18</v>
      </c>
      <c r="F429" t="s">
        <v>4362</v>
      </c>
      <c r="M429" t="s">
        <v>4688</v>
      </c>
      <c r="N429" t="s">
        <v>975</v>
      </c>
      <c r="O429" t="s">
        <v>18</v>
      </c>
      <c r="P429" t="s">
        <v>4259</v>
      </c>
      <c r="T429" t="s">
        <v>964</v>
      </c>
      <c r="U429" t="s">
        <v>818</v>
      </c>
      <c r="V429" t="s">
        <v>18</v>
      </c>
      <c r="W429" t="s">
        <v>857</v>
      </c>
      <c r="AC429" t="s">
        <v>2670</v>
      </c>
      <c r="AD429" t="s">
        <v>19</v>
      </c>
      <c r="AE429" t="s">
        <v>18</v>
      </c>
      <c r="AF429" t="s">
        <v>857</v>
      </c>
      <c r="AJ429" s="844" t="s">
        <v>5351</v>
      </c>
      <c r="AK429" s="844" t="s">
        <v>1001</v>
      </c>
      <c r="AL429" s="844" t="s">
        <v>818</v>
      </c>
      <c r="AM429" s="844" t="s">
        <v>18</v>
      </c>
      <c r="AN429" s="844" t="s">
        <v>3358</v>
      </c>
    </row>
    <row r="430" spans="1:40">
      <c r="A430" t="s">
        <v>5068</v>
      </c>
      <c r="B430" t="s">
        <v>964</v>
      </c>
      <c r="C430" t="s">
        <v>818</v>
      </c>
      <c r="D430" t="s">
        <v>4356</v>
      </c>
      <c r="E430" t="s">
        <v>18</v>
      </c>
      <c r="F430" t="s">
        <v>4361</v>
      </c>
      <c r="M430" t="s">
        <v>4688</v>
      </c>
      <c r="N430" t="s">
        <v>975</v>
      </c>
      <c r="O430" t="s">
        <v>18</v>
      </c>
      <c r="P430" t="s">
        <v>4258</v>
      </c>
      <c r="T430" t="s">
        <v>964</v>
      </c>
      <c r="U430" t="s">
        <v>818</v>
      </c>
      <c r="V430" t="s">
        <v>18</v>
      </c>
      <c r="W430" t="s">
        <v>857</v>
      </c>
      <c r="AC430" t="s">
        <v>2670</v>
      </c>
      <c r="AD430" t="s">
        <v>19</v>
      </c>
      <c r="AE430" t="s">
        <v>18</v>
      </c>
      <c r="AF430" t="s">
        <v>2669</v>
      </c>
      <c r="AJ430" s="844" t="s">
        <v>5351</v>
      </c>
      <c r="AK430" s="844" t="s">
        <v>1001</v>
      </c>
      <c r="AL430" s="844" t="s">
        <v>818</v>
      </c>
      <c r="AM430" s="844" t="s">
        <v>18</v>
      </c>
      <c r="AN430" s="844" t="s">
        <v>3356</v>
      </c>
    </row>
    <row r="431" spans="1:40">
      <c r="A431" t="s">
        <v>5069</v>
      </c>
      <c r="B431" t="s">
        <v>964</v>
      </c>
      <c r="C431" t="s">
        <v>818</v>
      </c>
      <c r="D431" t="s">
        <v>4363</v>
      </c>
      <c r="E431" t="s">
        <v>18</v>
      </c>
      <c r="F431" t="s">
        <v>4364</v>
      </c>
      <c r="M431" t="s">
        <v>4688</v>
      </c>
      <c r="N431" t="s">
        <v>975</v>
      </c>
      <c r="O431" t="s">
        <v>18</v>
      </c>
      <c r="P431" t="s">
        <v>4257</v>
      </c>
      <c r="T431" t="s">
        <v>964</v>
      </c>
      <c r="U431" t="s">
        <v>818</v>
      </c>
      <c r="V431" t="s">
        <v>18</v>
      </c>
      <c r="W431" t="s">
        <v>857</v>
      </c>
      <c r="AC431" t="s">
        <v>2670</v>
      </c>
      <c r="AD431" t="s">
        <v>2384</v>
      </c>
      <c r="AE431" t="s">
        <v>857</v>
      </c>
      <c r="AF431" t="s">
        <v>857</v>
      </c>
      <c r="AJ431" s="844" t="s">
        <v>5354</v>
      </c>
      <c r="AK431" s="844" t="s">
        <v>1001</v>
      </c>
      <c r="AL431" s="844" t="s">
        <v>2384</v>
      </c>
      <c r="AM431" s="844" t="s">
        <v>18</v>
      </c>
      <c r="AN431" s="844" t="s">
        <v>3358</v>
      </c>
    </row>
    <row r="432" spans="1:40">
      <c r="A432" t="s">
        <v>6609</v>
      </c>
      <c r="B432" t="s">
        <v>964</v>
      </c>
      <c r="C432" t="s">
        <v>818</v>
      </c>
      <c r="E432" t="s">
        <v>18</v>
      </c>
      <c r="F432" t="s">
        <v>4367</v>
      </c>
      <c r="M432" t="s">
        <v>4688</v>
      </c>
      <c r="N432" t="s">
        <v>975</v>
      </c>
      <c r="O432" t="s">
        <v>18</v>
      </c>
      <c r="P432" t="s">
        <v>4256</v>
      </c>
      <c r="T432" t="s">
        <v>964</v>
      </c>
      <c r="U432" t="s">
        <v>818</v>
      </c>
      <c r="V432" t="s">
        <v>18</v>
      </c>
      <c r="W432" t="s">
        <v>857</v>
      </c>
      <c r="AC432" t="s">
        <v>2670</v>
      </c>
      <c r="AD432" t="s">
        <v>2384</v>
      </c>
      <c r="AE432" t="s">
        <v>857</v>
      </c>
      <c r="AF432" t="s">
        <v>2674</v>
      </c>
      <c r="AJ432" s="844" t="s">
        <v>5354</v>
      </c>
      <c r="AK432" s="844" t="s">
        <v>1001</v>
      </c>
      <c r="AL432" s="844" t="s">
        <v>2384</v>
      </c>
      <c r="AM432" s="844" t="s">
        <v>18</v>
      </c>
      <c r="AN432" s="844" t="s">
        <v>3356</v>
      </c>
    </row>
    <row r="433" spans="1:40">
      <c r="A433" t="s">
        <v>6609</v>
      </c>
      <c r="B433" t="s">
        <v>964</v>
      </c>
      <c r="C433" t="s">
        <v>818</v>
      </c>
      <c r="E433" t="s">
        <v>18</v>
      </c>
      <c r="F433" t="s">
        <v>4366</v>
      </c>
      <c r="M433" t="s">
        <v>4689</v>
      </c>
      <c r="N433" t="s">
        <v>976</v>
      </c>
      <c r="O433" t="s">
        <v>18</v>
      </c>
      <c r="P433" t="s">
        <v>4255</v>
      </c>
      <c r="T433" t="s">
        <v>964</v>
      </c>
      <c r="U433" t="s">
        <v>818</v>
      </c>
      <c r="V433" t="s">
        <v>18</v>
      </c>
      <c r="W433" t="s">
        <v>857</v>
      </c>
      <c r="AC433" t="s">
        <v>2670</v>
      </c>
      <c r="AD433" t="s">
        <v>2384</v>
      </c>
      <c r="AE433" t="s">
        <v>857</v>
      </c>
      <c r="AF433" t="s">
        <v>2669</v>
      </c>
      <c r="AJ433" s="844" t="s">
        <v>6771</v>
      </c>
      <c r="AK433" s="844" t="s">
        <v>1001</v>
      </c>
      <c r="AL433" s="844" t="s">
        <v>2384</v>
      </c>
      <c r="AM433" s="844"/>
      <c r="AN433" s="844" t="s">
        <v>3356</v>
      </c>
    </row>
    <row r="434" spans="1:40">
      <c r="A434" t="s">
        <v>6609</v>
      </c>
      <c r="B434" t="s">
        <v>964</v>
      </c>
      <c r="C434" t="s">
        <v>818</v>
      </c>
      <c r="E434" t="s">
        <v>18</v>
      </c>
      <c r="F434" t="s">
        <v>2433</v>
      </c>
      <c r="M434" t="s">
        <v>4690</v>
      </c>
      <c r="N434" t="s">
        <v>2670</v>
      </c>
      <c r="O434" t="s">
        <v>18</v>
      </c>
      <c r="P434" t="s">
        <v>2685</v>
      </c>
      <c r="T434" t="s">
        <v>964</v>
      </c>
      <c r="U434" t="s">
        <v>818</v>
      </c>
      <c r="V434" t="s">
        <v>18</v>
      </c>
      <c r="W434" t="s">
        <v>2422</v>
      </c>
      <c r="AC434" t="s">
        <v>2670</v>
      </c>
      <c r="AD434" t="s">
        <v>2416</v>
      </c>
      <c r="AE434" t="s">
        <v>18</v>
      </c>
      <c r="AF434" t="s">
        <v>857</v>
      </c>
      <c r="AJ434" s="844" t="s">
        <v>5356</v>
      </c>
      <c r="AK434" s="844" t="s">
        <v>1001</v>
      </c>
      <c r="AL434" s="844" t="s">
        <v>816</v>
      </c>
      <c r="AM434" s="844" t="s">
        <v>18</v>
      </c>
      <c r="AN434" s="844" t="s">
        <v>3358</v>
      </c>
    </row>
    <row r="435" spans="1:40">
      <c r="A435" t="s">
        <v>6609</v>
      </c>
      <c r="B435" t="s">
        <v>964</v>
      </c>
      <c r="C435" t="s">
        <v>818</v>
      </c>
      <c r="E435" t="s">
        <v>18</v>
      </c>
      <c r="F435" t="s">
        <v>2430</v>
      </c>
      <c r="M435" t="s">
        <v>4690</v>
      </c>
      <c r="N435" t="s">
        <v>2670</v>
      </c>
      <c r="O435" t="s">
        <v>18</v>
      </c>
      <c r="P435" t="s">
        <v>2684</v>
      </c>
      <c r="T435" t="s">
        <v>964</v>
      </c>
      <c r="U435" t="s">
        <v>818</v>
      </c>
      <c r="V435" t="s">
        <v>18</v>
      </c>
      <c r="W435" t="s">
        <v>4356</v>
      </c>
      <c r="AC435" t="s">
        <v>2670</v>
      </c>
      <c r="AD435" t="s">
        <v>816</v>
      </c>
      <c r="AE435" t="s">
        <v>18</v>
      </c>
      <c r="AF435" t="s">
        <v>857</v>
      </c>
      <c r="AJ435" s="844" t="s">
        <v>5361</v>
      </c>
      <c r="AK435" s="844" t="s">
        <v>1002</v>
      </c>
      <c r="AL435" s="844" t="s">
        <v>818</v>
      </c>
      <c r="AM435" s="844" t="s">
        <v>18</v>
      </c>
      <c r="AN435" s="844" t="s">
        <v>3384</v>
      </c>
    </row>
    <row r="436" spans="1:40">
      <c r="A436" t="s">
        <v>6609</v>
      </c>
      <c r="B436" t="s">
        <v>964</v>
      </c>
      <c r="C436" t="s">
        <v>818</v>
      </c>
      <c r="E436" t="s">
        <v>18</v>
      </c>
      <c r="F436" t="s">
        <v>2429</v>
      </c>
      <c r="M436" t="s">
        <v>4690</v>
      </c>
      <c r="N436" t="s">
        <v>2670</v>
      </c>
      <c r="O436" t="s">
        <v>18</v>
      </c>
      <c r="P436" t="s">
        <v>2683</v>
      </c>
      <c r="T436" t="s">
        <v>964</v>
      </c>
      <c r="U436" t="s">
        <v>818</v>
      </c>
      <c r="V436" t="s">
        <v>18</v>
      </c>
      <c r="W436" t="s">
        <v>4363</v>
      </c>
      <c r="AC436" t="s">
        <v>2670</v>
      </c>
      <c r="AD436" t="s">
        <v>816</v>
      </c>
      <c r="AE436" t="s">
        <v>18</v>
      </c>
      <c r="AF436" t="s">
        <v>2669</v>
      </c>
      <c r="AJ436" s="844" t="s">
        <v>5361</v>
      </c>
      <c r="AK436" s="844" t="s">
        <v>1002</v>
      </c>
      <c r="AL436" s="844" t="s">
        <v>818</v>
      </c>
      <c r="AM436" s="844" t="s">
        <v>18</v>
      </c>
      <c r="AN436" s="844" t="s">
        <v>2581</v>
      </c>
    </row>
    <row r="437" spans="1:40">
      <c r="A437" t="s">
        <v>5071</v>
      </c>
      <c r="B437" t="s">
        <v>964</v>
      </c>
      <c r="C437" t="s">
        <v>19</v>
      </c>
      <c r="D437" t="s">
        <v>2422</v>
      </c>
      <c r="E437" t="s">
        <v>18</v>
      </c>
      <c r="F437" t="s">
        <v>4360</v>
      </c>
      <c r="M437" t="s">
        <v>4690</v>
      </c>
      <c r="N437" t="s">
        <v>2670</v>
      </c>
      <c r="O437" t="s">
        <v>18</v>
      </c>
      <c r="P437" t="s">
        <v>2682</v>
      </c>
      <c r="T437" t="s">
        <v>964</v>
      </c>
      <c r="U437" t="s">
        <v>19</v>
      </c>
      <c r="V437" t="s">
        <v>18</v>
      </c>
      <c r="W437" t="s">
        <v>857</v>
      </c>
      <c r="AC437" t="s">
        <v>977</v>
      </c>
      <c r="AD437" t="s">
        <v>818</v>
      </c>
      <c r="AE437" t="s">
        <v>857</v>
      </c>
      <c r="AF437" t="s">
        <v>857</v>
      </c>
      <c r="AJ437" s="844" t="s">
        <v>5362</v>
      </c>
      <c r="AK437" s="844" t="s">
        <v>1002</v>
      </c>
      <c r="AL437" s="844" t="s">
        <v>19</v>
      </c>
      <c r="AM437" s="844" t="s">
        <v>857</v>
      </c>
      <c r="AN437" s="844" t="s">
        <v>2636</v>
      </c>
    </row>
    <row r="438" spans="1:40">
      <c r="A438" t="s">
        <v>5071</v>
      </c>
      <c r="B438" t="s">
        <v>964</v>
      </c>
      <c r="C438" t="s">
        <v>19</v>
      </c>
      <c r="D438" t="s">
        <v>2422</v>
      </c>
      <c r="E438" t="s">
        <v>18</v>
      </c>
      <c r="F438" t="s">
        <v>2424</v>
      </c>
      <c r="M438" t="s">
        <v>4690</v>
      </c>
      <c r="N438" t="s">
        <v>2670</v>
      </c>
      <c r="O438" t="s">
        <v>18</v>
      </c>
      <c r="P438" t="s">
        <v>2681</v>
      </c>
      <c r="T438" t="s">
        <v>964</v>
      </c>
      <c r="U438" t="s">
        <v>19</v>
      </c>
      <c r="V438" t="s">
        <v>18</v>
      </c>
      <c r="W438" t="s">
        <v>857</v>
      </c>
      <c r="AC438" t="s">
        <v>977</v>
      </c>
      <c r="AD438" t="s">
        <v>818</v>
      </c>
      <c r="AE438" t="s">
        <v>18</v>
      </c>
      <c r="AF438" t="s">
        <v>857</v>
      </c>
      <c r="AJ438" s="844" t="s">
        <v>5367</v>
      </c>
      <c r="AK438" s="844" t="s">
        <v>1002</v>
      </c>
      <c r="AL438" s="844" t="s">
        <v>19</v>
      </c>
      <c r="AM438" s="844" t="s">
        <v>18</v>
      </c>
      <c r="AN438" s="844" t="s">
        <v>3384</v>
      </c>
    </row>
    <row r="439" spans="1:40">
      <c r="A439" t="s">
        <v>6611</v>
      </c>
      <c r="B439" t="s">
        <v>964</v>
      </c>
      <c r="C439" t="s">
        <v>19</v>
      </c>
      <c r="D439" t="s">
        <v>2422</v>
      </c>
      <c r="F439" t="s">
        <v>4031</v>
      </c>
      <c r="M439" t="s">
        <v>4690</v>
      </c>
      <c r="N439" t="s">
        <v>2670</v>
      </c>
      <c r="O439" t="s">
        <v>18</v>
      </c>
      <c r="P439" t="s">
        <v>2680</v>
      </c>
      <c r="T439" t="s">
        <v>964</v>
      </c>
      <c r="U439" t="s">
        <v>19</v>
      </c>
      <c r="V439" t="s">
        <v>18</v>
      </c>
      <c r="W439" t="s">
        <v>857</v>
      </c>
      <c r="AC439" t="s">
        <v>977</v>
      </c>
      <c r="AD439" t="s">
        <v>818</v>
      </c>
      <c r="AE439" t="s">
        <v>18</v>
      </c>
      <c r="AF439" t="s">
        <v>4068</v>
      </c>
      <c r="AJ439" s="844" t="s">
        <v>5367</v>
      </c>
      <c r="AK439" s="844" t="s">
        <v>1002</v>
      </c>
      <c r="AL439" s="844" t="s">
        <v>19</v>
      </c>
      <c r="AM439" s="844" t="s">
        <v>18</v>
      </c>
      <c r="AN439" s="844" t="s">
        <v>2636</v>
      </c>
    </row>
    <row r="440" spans="1:40">
      <c r="A440" t="s">
        <v>5072</v>
      </c>
      <c r="B440" t="s">
        <v>964</v>
      </c>
      <c r="C440" t="s">
        <v>19</v>
      </c>
      <c r="D440" t="s">
        <v>2581</v>
      </c>
      <c r="E440" t="s">
        <v>18</v>
      </c>
      <c r="F440" t="s">
        <v>4359</v>
      </c>
      <c r="M440" t="s">
        <v>4690</v>
      </c>
      <c r="N440" t="s">
        <v>2670</v>
      </c>
      <c r="O440" t="s">
        <v>18</v>
      </c>
      <c r="P440" t="s">
        <v>2679</v>
      </c>
      <c r="T440" t="s">
        <v>964</v>
      </c>
      <c r="U440" t="s">
        <v>19</v>
      </c>
      <c r="V440" t="s">
        <v>18</v>
      </c>
      <c r="W440" t="s">
        <v>857</v>
      </c>
      <c r="AC440" t="s">
        <v>977</v>
      </c>
      <c r="AD440" t="s">
        <v>19</v>
      </c>
      <c r="AE440" t="s">
        <v>857</v>
      </c>
      <c r="AF440" t="s">
        <v>4098</v>
      </c>
      <c r="AJ440" s="844" t="s">
        <v>5368</v>
      </c>
      <c r="AK440" s="844" t="s">
        <v>1002</v>
      </c>
      <c r="AL440" s="844" t="s">
        <v>2384</v>
      </c>
      <c r="AM440" s="844" t="s">
        <v>857</v>
      </c>
      <c r="AN440" s="844" t="s">
        <v>2581</v>
      </c>
    </row>
    <row r="441" spans="1:40">
      <c r="A441" t="s">
        <v>5073</v>
      </c>
      <c r="B441" t="s">
        <v>964</v>
      </c>
      <c r="C441" t="s">
        <v>19</v>
      </c>
      <c r="D441" t="s">
        <v>4356</v>
      </c>
      <c r="E441" t="s">
        <v>18</v>
      </c>
      <c r="F441" t="s">
        <v>4357</v>
      </c>
      <c r="M441" t="s">
        <v>4690</v>
      </c>
      <c r="N441" t="s">
        <v>2670</v>
      </c>
      <c r="O441" t="s">
        <v>18</v>
      </c>
      <c r="P441" t="s">
        <v>2678</v>
      </c>
      <c r="T441" t="s">
        <v>964</v>
      </c>
      <c r="U441" t="s">
        <v>19</v>
      </c>
      <c r="V441" t="s">
        <v>18</v>
      </c>
      <c r="W441" t="s">
        <v>857</v>
      </c>
      <c r="AC441" t="s">
        <v>977</v>
      </c>
      <c r="AD441" t="s">
        <v>19</v>
      </c>
      <c r="AE441" t="s">
        <v>18</v>
      </c>
      <c r="AF441" t="s">
        <v>857</v>
      </c>
      <c r="AJ441" s="844" t="s">
        <v>5372</v>
      </c>
      <c r="AK441" s="844" t="s">
        <v>1002</v>
      </c>
      <c r="AL441" s="844" t="s">
        <v>2384</v>
      </c>
      <c r="AM441" s="844" t="s">
        <v>18</v>
      </c>
      <c r="AN441" s="844" t="s">
        <v>3384</v>
      </c>
    </row>
    <row r="442" spans="1:40">
      <c r="A442" t="s">
        <v>6610</v>
      </c>
      <c r="B442" t="s">
        <v>964</v>
      </c>
      <c r="C442" t="s">
        <v>19</v>
      </c>
      <c r="E442" t="s">
        <v>18</v>
      </c>
      <c r="F442" t="s">
        <v>4369</v>
      </c>
      <c r="M442" t="s">
        <v>4690</v>
      </c>
      <c r="N442" t="s">
        <v>2670</v>
      </c>
      <c r="O442" t="s">
        <v>18</v>
      </c>
      <c r="P442" t="s">
        <v>2675</v>
      </c>
      <c r="T442" t="s">
        <v>964</v>
      </c>
      <c r="U442" t="s">
        <v>19</v>
      </c>
      <c r="V442" t="s">
        <v>857</v>
      </c>
      <c r="W442" t="s">
        <v>2422</v>
      </c>
      <c r="AC442" t="s">
        <v>977</v>
      </c>
      <c r="AD442" t="s">
        <v>19</v>
      </c>
      <c r="AE442" t="s">
        <v>18</v>
      </c>
      <c r="AF442" t="s">
        <v>4098</v>
      </c>
      <c r="AJ442" s="844" t="s">
        <v>5375</v>
      </c>
      <c r="AK442" s="844" t="s">
        <v>1002</v>
      </c>
      <c r="AL442" s="844" t="s">
        <v>816</v>
      </c>
      <c r="AM442" s="844" t="s">
        <v>18</v>
      </c>
      <c r="AN442" s="844" t="s">
        <v>3384</v>
      </c>
    </row>
    <row r="443" spans="1:40">
      <c r="A443" t="s">
        <v>6610</v>
      </c>
      <c r="B443" t="s">
        <v>964</v>
      </c>
      <c r="C443" t="s">
        <v>19</v>
      </c>
      <c r="E443" t="s">
        <v>18</v>
      </c>
      <c r="F443" t="s">
        <v>4368</v>
      </c>
      <c r="M443" t="s">
        <v>4690</v>
      </c>
      <c r="N443" t="s">
        <v>2670</v>
      </c>
      <c r="O443" t="s">
        <v>18</v>
      </c>
      <c r="P443" t="s">
        <v>2673</v>
      </c>
      <c r="T443" t="s">
        <v>964</v>
      </c>
      <c r="U443" t="s">
        <v>19</v>
      </c>
      <c r="V443" t="s">
        <v>18</v>
      </c>
      <c r="W443" t="s">
        <v>2422</v>
      </c>
      <c r="AC443" t="s">
        <v>977</v>
      </c>
      <c r="AD443" t="s">
        <v>19</v>
      </c>
      <c r="AE443" t="s">
        <v>18</v>
      </c>
      <c r="AF443" t="s">
        <v>3945</v>
      </c>
      <c r="AJ443" s="844" t="s">
        <v>5376</v>
      </c>
      <c r="AK443" s="844" t="s">
        <v>1005</v>
      </c>
      <c r="AL443" s="844" t="s">
        <v>818</v>
      </c>
      <c r="AM443" s="844" t="s">
        <v>857</v>
      </c>
      <c r="AN443" s="844" t="s">
        <v>3297</v>
      </c>
    </row>
    <row r="444" spans="1:40">
      <c r="A444" t="s">
        <v>6610</v>
      </c>
      <c r="B444" t="s">
        <v>964</v>
      </c>
      <c r="C444" t="s">
        <v>19</v>
      </c>
      <c r="E444" t="s">
        <v>18</v>
      </c>
      <c r="F444" t="s">
        <v>4358</v>
      </c>
      <c r="M444" t="s">
        <v>4690</v>
      </c>
      <c r="N444" t="s">
        <v>2670</v>
      </c>
      <c r="O444" t="s">
        <v>18</v>
      </c>
      <c r="P444" t="s">
        <v>2672</v>
      </c>
      <c r="T444" t="s">
        <v>964</v>
      </c>
      <c r="U444" t="s">
        <v>19</v>
      </c>
      <c r="V444" t="s">
        <v>18</v>
      </c>
      <c r="W444" t="s">
        <v>2422</v>
      </c>
      <c r="AC444" t="s">
        <v>977</v>
      </c>
      <c r="AD444" t="s">
        <v>2384</v>
      </c>
      <c r="AE444" t="s">
        <v>857</v>
      </c>
      <c r="AF444" t="s">
        <v>4068</v>
      </c>
      <c r="AJ444" s="844" t="s">
        <v>5380</v>
      </c>
      <c r="AK444" s="844" t="s">
        <v>1005</v>
      </c>
      <c r="AL444" s="844" t="s">
        <v>818</v>
      </c>
      <c r="AM444" s="844" t="s">
        <v>18</v>
      </c>
      <c r="AN444" s="844" t="s">
        <v>2581</v>
      </c>
    </row>
    <row r="445" spans="1:40">
      <c r="A445" t="s">
        <v>6610</v>
      </c>
      <c r="B445" t="s">
        <v>964</v>
      </c>
      <c r="C445" t="s">
        <v>19</v>
      </c>
      <c r="E445" t="s">
        <v>18</v>
      </c>
      <c r="F445" t="s">
        <v>2432</v>
      </c>
      <c r="M445" t="s">
        <v>4690</v>
      </c>
      <c r="N445" t="s">
        <v>2670</v>
      </c>
      <c r="O445" t="s">
        <v>18</v>
      </c>
      <c r="P445" t="s">
        <v>2671</v>
      </c>
      <c r="T445" t="s">
        <v>964</v>
      </c>
      <c r="U445" t="s">
        <v>19</v>
      </c>
      <c r="V445" t="s">
        <v>18</v>
      </c>
      <c r="W445" t="s">
        <v>2581</v>
      </c>
      <c r="AC445" t="s">
        <v>977</v>
      </c>
      <c r="AD445" t="s">
        <v>2416</v>
      </c>
      <c r="AE445" t="s">
        <v>857</v>
      </c>
      <c r="AF445" t="s">
        <v>4098</v>
      </c>
      <c r="AJ445" s="844" t="s">
        <v>5380</v>
      </c>
      <c r="AK445" s="844" t="s">
        <v>1005</v>
      </c>
      <c r="AL445" s="844" t="s">
        <v>818</v>
      </c>
      <c r="AM445" s="844" t="s">
        <v>18</v>
      </c>
      <c r="AN445" s="844" t="s">
        <v>3297</v>
      </c>
    </row>
    <row r="446" spans="1:40">
      <c r="A446" t="s">
        <v>6610</v>
      </c>
      <c r="B446" t="s">
        <v>964</v>
      </c>
      <c r="C446" t="s">
        <v>19</v>
      </c>
      <c r="E446" t="s">
        <v>18</v>
      </c>
      <c r="F446" t="s">
        <v>2428</v>
      </c>
      <c r="M446" t="s">
        <v>4691</v>
      </c>
      <c r="N446" t="s">
        <v>977</v>
      </c>
      <c r="O446" t="s">
        <v>18</v>
      </c>
      <c r="P446" t="s">
        <v>4254</v>
      </c>
      <c r="T446" t="s">
        <v>964</v>
      </c>
      <c r="U446" t="s">
        <v>19</v>
      </c>
      <c r="V446" t="s">
        <v>18</v>
      </c>
      <c r="W446" t="s">
        <v>4356</v>
      </c>
      <c r="AC446" t="s">
        <v>977</v>
      </c>
      <c r="AD446" t="s">
        <v>2416</v>
      </c>
      <c r="AE446" t="s">
        <v>18</v>
      </c>
      <c r="AF446" t="s">
        <v>4098</v>
      </c>
      <c r="AJ446" s="844" t="s">
        <v>5381</v>
      </c>
      <c r="AK446" s="844" t="s">
        <v>1005</v>
      </c>
      <c r="AL446" s="844" t="s">
        <v>19</v>
      </c>
      <c r="AM446" s="844" t="s">
        <v>857</v>
      </c>
      <c r="AN446" s="844" t="s">
        <v>2581</v>
      </c>
    </row>
    <row r="447" spans="1:40">
      <c r="A447" t="s">
        <v>6612</v>
      </c>
      <c r="B447" t="s">
        <v>964</v>
      </c>
      <c r="C447" t="s">
        <v>2384</v>
      </c>
      <c r="D447" t="s">
        <v>2422</v>
      </c>
      <c r="F447" t="s">
        <v>4227</v>
      </c>
      <c r="M447" t="s">
        <v>4691</v>
      </c>
      <c r="N447" t="s">
        <v>977</v>
      </c>
      <c r="O447" t="s">
        <v>18</v>
      </c>
      <c r="P447" t="s">
        <v>4253</v>
      </c>
      <c r="T447" t="s">
        <v>964</v>
      </c>
      <c r="U447" t="s">
        <v>2384</v>
      </c>
      <c r="V447" t="s">
        <v>857</v>
      </c>
      <c r="W447" t="s">
        <v>857</v>
      </c>
      <c r="AC447" t="s">
        <v>977</v>
      </c>
      <c r="AD447" t="s">
        <v>816</v>
      </c>
      <c r="AE447" t="s">
        <v>857</v>
      </c>
      <c r="AF447" t="s">
        <v>857</v>
      </c>
      <c r="AJ447" s="844" t="s">
        <v>5388</v>
      </c>
      <c r="AK447" s="844" t="s">
        <v>1005</v>
      </c>
      <c r="AL447" s="844" t="s">
        <v>19</v>
      </c>
      <c r="AM447" s="844" t="s">
        <v>18</v>
      </c>
      <c r="AN447" s="844" t="s">
        <v>3295</v>
      </c>
    </row>
    <row r="448" spans="1:40">
      <c r="A448" t="s">
        <v>6613</v>
      </c>
      <c r="B448" t="s">
        <v>964</v>
      </c>
      <c r="C448" t="s">
        <v>2384</v>
      </c>
      <c r="D448" t="s">
        <v>4363</v>
      </c>
      <c r="F448" t="s">
        <v>4365</v>
      </c>
      <c r="M448" t="s">
        <v>4691</v>
      </c>
      <c r="N448" t="s">
        <v>977</v>
      </c>
      <c r="O448" t="s">
        <v>18</v>
      </c>
      <c r="P448" t="s">
        <v>4252</v>
      </c>
      <c r="T448" t="s">
        <v>964</v>
      </c>
      <c r="U448" t="s">
        <v>2384</v>
      </c>
      <c r="V448" t="s">
        <v>857</v>
      </c>
      <c r="W448" t="s">
        <v>857</v>
      </c>
      <c r="AC448" t="s">
        <v>977</v>
      </c>
      <c r="AD448" t="s">
        <v>816</v>
      </c>
      <c r="AE448" t="s">
        <v>18</v>
      </c>
      <c r="AF448" t="s">
        <v>857</v>
      </c>
      <c r="AJ448" s="844" t="s">
        <v>5388</v>
      </c>
      <c r="AK448" s="844" t="s">
        <v>1005</v>
      </c>
      <c r="AL448" s="844" t="s">
        <v>19</v>
      </c>
      <c r="AM448" s="844" t="s">
        <v>18</v>
      </c>
      <c r="AN448" s="844" t="s">
        <v>3300</v>
      </c>
    </row>
    <row r="449" spans="1:40">
      <c r="A449" t="s">
        <v>5075</v>
      </c>
      <c r="B449" t="s">
        <v>964</v>
      </c>
      <c r="C449" t="s">
        <v>2384</v>
      </c>
      <c r="F449" t="s">
        <v>3847</v>
      </c>
      <c r="M449" t="s">
        <v>4691</v>
      </c>
      <c r="N449" t="s">
        <v>977</v>
      </c>
      <c r="O449" t="s">
        <v>18</v>
      </c>
      <c r="P449" t="s">
        <v>4251</v>
      </c>
      <c r="T449" t="s">
        <v>964</v>
      </c>
      <c r="U449" t="s">
        <v>2384</v>
      </c>
      <c r="V449" t="s">
        <v>857</v>
      </c>
      <c r="W449" t="s">
        <v>2422</v>
      </c>
      <c r="AC449" t="s">
        <v>977</v>
      </c>
      <c r="AD449" t="s">
        <v>816</v>
      </c>
      <c r="AE449" t="s">
        <v>18</v>
      </c>
      <c r="AF449" t="s">
        <v>4098</v>
      </c>
      <c r="AJ449" s="844" t="s">
        <v>5388</v>
      </c>
      <c r="AK449" s="844" t="s">
        <v>1005</v>
      </c>
      <c r="AL449" s="844" t="s">
        <v>19</v>
      </c>
      <c r="AM449" s="844" t="s">
        <v>18</v>
      </c>
      <c r="AN449" s="844" t="s">
        <v>2581</v>
      </c>
    </row>
    <row r="450" spans="1:40">
      <c r="A450" t="s">
        <v>5075</v>
      </c>
      <c r="B450" t="s">
        <v>964</v>
      </c>
      <c r="C450" t="s">
        <v>2384</v>
      </c>
      <c r="F450" t="s">
        <v>3846</v>
      </c>
      <c r="M450" t="s">
        <v>4691</v>
      </c>
      <c r="N450" t="s">
        <v>977</v>
      </c>
      <c r="O450" t="s">
        <v>18</v>
      </c>
      <c r="P450" t="s">
        <v>4250</v>
      </c>
      <c r="T450" t="s">
        <v>964</v>
      </c>
      <c r="U450" t="s">
        <v>2384</v>
      </c>
      <c r="V450" t="s">
        <v>857</v>
      </c>
      <c r="W450" t="s">
        <v>4363</v>
      </c>
      <c r="AC450" t="s">
        <v>977</v>
      </c>
      <c r="AD450" t="s">
        <v>4638</v>
      </c>
      <c r="AE450" t="s">
        <v>857</v>
      </c>
      <c r="AF450" t="s">
        <v>3945</v>
      </c>
      <c r="AJ450" s="844" t="s">
        <v>5388</v>
      </c>
      <c r="AK450" s="844" t="s">
        <v>1005</v>
      </c>
      <c r="AL450" s="844" t="s">
        <v>19</v>
      </c>
      <c r="AM450" s="844" t="s">
        <v>18</v>
      </c>
      <c r="AN450" s="844" t="s">
        <v>3311</v>
      </c>
    </row>
    <row r="451" spans="1:40">
      <c r="A451" t="s">
        <v>5076</v>
      </c>
      <c r="B451" t="s">
        <v>964</v>
      </c>
      <c r="C451" t="s">
        <v>2416</v>
      </c>
      <c r="D451" t="s">
        <v>2422</v>
      </c>
      <c r="E451" t="s">
        <v>18</v>
      </c>
      <c r="F451" t="s">
        <v>2423</v>
      </c>
      <c r="M451" t="s">
        <v>4691</v>
      </c>
      <c r="N451" t="s">
        <v>977</v>
      </c>
      <c r="O451" t="s">
        <v>18</v>
      </c>
      <c r="P451" t="s">
        <v>4249</v>
      </c>
      <c r="T451" t="s">
        <v>964</v>
      </c>
      <c r="U451" t="s">
        <v>2416</v>
      </c>
      <c r="V451" t="s">
        <v>18</v>
      </c>
      <c r="W451" t="s">
        <v>2422</v>
      </c>
      <c r="AC451" t="s">
        <v>978</v>
      </c>
      <c r="AD451" t="s">
        <v>816</v>
      </c>
      <c r="AE451" t="s">
        <v>18</v>
      </c>
      <c r="AF451" t="s">
        <v>4237</v>
      </c>
      <c r="AJ451" s="844" t="s">
        <v>5389</v>
      </c>
      <c r="AK451" s="844" t="s">
        <v>1005</v>
      </c>
      <c r="AL451" s="844" t="s">
        <v>816</v>
      </c>
      <c r="AM451" s="844" t="s">
        <v>857</v>
      </c>
      <c r="AN451" s="844" t="s">
        <v>3292</v>
      </c>
    </row>
    <row r="452" spans="1:40">
      <c r="A452" t="s">
        <v>5078</v>
      </c>
      <c r="B452" t="s">
        <v>964</v>
      </c>
      <c r="C452" t="s">
        <v>816</v>
      </c>
      <c r="D452" t="s">
        <v>2425</v>
      </c>
      <c r="E452" t="s">
        <v>18</v>
      </c>
      <c r="F452" t="s">
        <v>4355</v>
      </c>
      <c r="M452" t="s">
        <v>4691</v>
      </c>
      <c r="N452" t="s">
        <v>977</v>
      </c>
      <c r="O452" t="s">
        <v>18</v>
      </c>
      <c r="P452" t="s">
        <v>4248</v>
      </c>
      <c r="T452" t="s">
        <v>964</v>
      </c>
      <c r="U452" t="s">
        <v>816</v>
      </c>
      <c r="V452" t="s">
        <v>18</v>
      </c>
      <c r="W452" t="s">
        <v>857</v>
      </c>
      <c r="AC452" t="s">
        <v>979</v>
      </c>
      <c r="AD452" t="s">
        <v>818</v>
      </c>
      <c r="AE452" t="s">
        <v>53</v>
      </c>
      <c r="AF452" t="s">
        <v>857</v>
      </c>
      <c r="AJ452" s="844" t="s">
        <v>5395</v>
      </c>
      <c r="AK452" s="844" t="s">
        <v>1005</v>
      </c>
      <c r="AL452" s="844" t="s">
        <v>816</v>
      </c>
      <c r="AM452" s="844" t="s">
        <v>18</v>
      </c>
      <c r="AN452" s="844" t="s">
        <v>3292</v>
      </c>
    </row>
    <row r="453" spans="1:40">
      <c r="A453" t="s">
        <v>5078</v>
      </c>
      <c r="B453" t="s">
        <v>964</v>
      </c>
      <c r="C453" t="s">
        <v>816</v>
      </c>
      <c r="D453" t="s">
        <v>2425</v>
      </c>
      <c r="E453" t="s">
        <v>18</v>
      </c>
      <c r="F453" t="s">
        <v>2426</v>
      </c>
      <c r="M453" t="s">
        <v>4691</v>
      </c>
      <c r="N453" t="s">
        <v>977</v>
      </c>
      <c r="O453" t="s">
        <v>18</v>
      </c>
      <c r="P453" t="s">
        <v>4247</v>
      </c>
      <c r="T453" t="s">
        <v>964</v>
      </c>
      <c r="U453" t="s">
        <v>816</v>
      </c>
      <c r="V453" t="s">
        <v>18</v>
      </c>
      <c r="W453" t="s">
        <v>857</v>
      </c>
      <c r="AC453" t="s">
        <v>979</v>
      </c>
      <c r="AD453" t="s">
        <v>818</v>
      </c>
      <c r="AE453" t="s">
        <v>18</v>
      </c>
      <c r="AF453" t="s">
        <v>857</v>
      </c>
      <c r="AJ453" s="844" t="s">
        <v>5395</v>
      </c>
      <c r="AK453" s="844" t="s">
        <v>1005</v>
      </c>
      <c r="AL453" s="844" t="s">
        <v>816</v>
      </c>
      <c r="AM453" s="844" t="s">
        <v>18</v>
      </c>
      <c r="AN453" s="844" t="s">
        <v>3300</v>
      </c>
    </row>
    <row r="454" spans="1:40">
      <c r="A454" t="s">
        <v>5079</v>
      </c>
      <c r="B454" t="s">
        <v>964</v>
      </c>
      <c r="C454" t="s">
        <v>816</v>
      </c>
      <c r="D454" t="s">
        <v>2422</v>
      </c>
      <c r="E454" t="s">
        <v>18</v>
      </c>
      <c r="F454" t="s">
        <v>4354</v>
      </c>
      <c r="M454" t="s">
        <v>4691</v>
      </c>
      <c r="N454" t="s">
        <v>977</v>
      </c>
      <c r="O454" t="s">
        <v>18</v>
      </c>
      <c r="P454" t="s">
        <v>4246</v>
      </c>
      <c r="T454" t="s">
        <v>964</v>
      </c>
      <c r="U454" t="s">
        <v>816</v>
      </c>
      <c r="V454" t="s">
        <v>18</v>
      </c>
      <c r="W454" t="s">
        <v>857</v>
      </c>
      <c r="AC454" t="s">
        <v>979</v>
      </c>
      <c r="AD454" t="s">
        <v>19</v>
      </c>
      <c r="AE454" t="s">
        <v>53</v>
      </c>
      <c r="AF454" t="s">
        <v>857</v>
      </c>
      <c r="AJ454" s="844" t="s">
        <v>5398</v>
      </c>
      <c r="AK454" s="844" t="s">
        <v>1006</v>
      </c>
      <c r="AL454" s="844" t="s">
        <v>818</v>
      </c>
      <c r="AM454" s="844" t="s">
        <v>18</v>
      </c>
      <c r="AN454" s="844" t="s">
        <v>3268</v>
      </c>
    </row>
    <row r="455" spans="1:40">
      <c r="A455" t="s">
        <v>5079</v>
      </c>
      <c r="B455" t="s">
        <v>964</v>
      </c>
      <c r="C455" t="s">
        <v>816</v>
      </c>
      <c r="D455" t="s">
        <v>2422</v>
      </c>
      <c r="E455" t="s">
        <v>18</v>
      </c>
      <c r="F455" t="s">
        <v>2427</v>
      </c>
      <c r="M455" t="s">
        <v>4691</v>
      </c>
      <c r="N455" t="s">
        <v>977</v>
      </c>
      <c r="O455" t="s">
        <v>18</v>
      </c>
      <c r="P455" t="s">
        <v>4245</v>
      </c>
      <c r="T455" t="s">
        <v>964</v>
      </c>
      <c r="U455" t="s">
        <v>816</v>
      </c>
      <c r="V455" t="s">
        <v>18</v>
      </c>
      <c r="W455" t="s">
        <v>2425</v>
      </c>
      <c r="AC455" t="s">
        <v>979</v>
      </c>
      <c r="AD455" t="s">
        <v>19</v>
      </c>
      <c r="AE455" t="s">
        <v>18</v>
      </c>
      <c r="AF455" t="s">
        <v>857</v>
      </c>
      <c r="AJ455" s="844" t="s">
        <v>5399</v>
      </c>
      <c r="AK455" s="844" t="s">
        <v>1006</v>
      </c>
      <c r="AL455" s="844" t="s">
        <v>19</v>
      </c>
      <c r="AM455" s="844" t="s">
        <v>857</v>
      </c>
      <c r="AN455" s="844" t="s">
        <v>3182</v>
      </c>
    </row>
    <row r="456" spans="1:40">
      <c r="A456" t="s">
        <v>6614</v>
      </c>
      <c r="B456" t="s">
        <v>964</v>
      </c>
      <c r="C456" t="s">
        <v>816</v>
      </c>
      <c r="E456" t="s">
        <v>18</v>
      </c>
      <c r="F456" t="s">
        <v>4370</v>
      </c>
      <c r="M456" t="s">
        <v>4691</v>
      </c>
      <c r="N456" t="s">
        <v>977</v>
      </c>
      <c r="O456" t="s">
        <v>18</v>
      </c>
      <c r="P456" t="s">
        <v>4244</v>
      </c>
      <c r="T456" t="s">
        <v>964</v>
      </c>
      <c r="U456" t="s">
        <v>816</v>
      </c>
      <c r="V456" t="s">
        <v>18</v>
      </c>
      <c r="W456" t="s">
        <v>2425</v>
      </c>
      <c r="AC456" t="s">
        <v>979</v>
      </c>
      <c r="AD456" t="s">
        <v>816</v>
      </c>
      <c r="AE456" t="s">
        <v>857</v>
      </c>
      <c r="AF456" t="s">
        <v>3729</v>
      </c>
      <c r="AJ456" s="844" t="s">
        <v>5403</v>
      </c>
      <c r="AK456" s="844" t="s">
        <v>1006</v>
      </c>
      <c r="AL456" s="844" t="s">
        <v>19</v>
      </c>
      <c r="AM456" s="844" t="s">
        <v>18</v>
      </c>
      <c r="AN456" s="844" t="s">
        <v>3184</v>
      </c>
    </row>
    <row r="457" spans="1:40">
      <c r="A457" t="s">
        <v>6614</v>
      </c>
      <c r="B457" t="s">
        <v>964</v>
      </c>
      <c r="C457" t="s">
        <v>816</v>
      </c>
      <c r="E457" t="s">
        <v>18</v>
      </c>
      <c r="F457" t="s">
        <v>2434</v>
      </c>
      <c r="M457" t="s">
        <v>4691</v>
      </c>
      <c r="N457" t="s">
        <v>977</v>
      </c>
      <c r="O457" t="s">
        <v>18</v>
      </c>
      <c r="P457" t="s">
        <v>4243</v>
      </c>
      <c r="T457" t="s">
        <v>964</v>
      </c>
      <c r="U457" t="s">
        <v>816</v>
      </c>
      <c r="V457" t="s">
        <v>18</v>
      </c>
      <c r="W457" t="s">
        <v>2422</v>
      </c>
      <c r="AC457" t="s">
        <v>979</v>
      </c>
      <c r="AD457" t="s">
        <v>816</v>
      </c>
      <c r="AE457" t="s">
        <v>53</v>
      </c>
      <c r="AF457" t="s">
        <v>3729</v>
      </c>
      <c r="AJ457" s="844" t="s">
        <v>5403</v>
      </c>
      <c r="AK457" s="844" t="s">
        <v>1006</v>
      </c>
      <c r="AL457" s="844" t="s">
        <v>19</v>
      </c>
      <c r="AM457" s="844" t="s">
        <v>18</v>
      </c>
      <c r="AN457" s="844" t="s">
        <v>3182</v>
      </c>
    </row>
    <row r="458" spans="1:40">
      <c r="A458" t="s">
        <v>6614</v>
      </c>
      <c r="B458" t="s">
        <v>964</v>
      </c>
      <c r="C458" t="s">
        <v>816</v>
      </c>
      <c r="E458" t="s">
        <v>18</v>
      </c>
      <c r="F458" t="s">
        <v>2431</v>
      </c>
      <c r="M458" t="s">
        <v>4691</v>
      </c>
      <c r="N458" t="s">
        <v>977</v>
      </c>
      <c r="O458" t="s">
        <v>18</v>
      </c>
      <c r="P458" t="s">
        <v>4242</v>
      </c>
      <c r="T458" t="s">
        <v>964</v>
      </c>
      <c r="U458" t="s">
        <v>816</v>
      </c>
      <c r="V458" t="s">
        <v>18</v>
      </c>
      <c r="W458" t="s">
        <v>2422</v>
      </c>
      <c r="AC458" t="s">
        <v>979</v>
      </c>
      <c r="AD458" t="s">
        <v>816</v>
      </c>
      <c r="AE458" t="s">
        <v>53</v>
      </c>
      <c r="AF458" t="s">
        <v>3727</v>
      </c>
      <c r="AJ458" s="844" t="s">
        <v>5406</v>
      </c>
      <c r="AK458" s="844" t="s">
        <v>1006</v>
      </c>
      <c r="AL458" s="844" t="s">
        <v>2384</v>
      </c>
      <c r="AM458" s="844" t="s">
        <v>857</v>
      </c>
      <c r="AN458" s="844" t="s">
        <v>3187</v>
      </c>
    </row>
    <row r="459" spans="1:40">
      <c r="A459" t="s">
        <v>5090</v>
      </c>
      <c r="B459" t="s">
        <v>965</v>
      </c>
      <c r="C459" t="s">
        <v>818</v>
      </c>
      <c r="D459" t="s">
        <v>2900</v>
      </c>
      <c r="E459" t="s">
        <v>18</v>
      </c>
      <c r="F459" t="s">
        <v>4313</v>
      </c>
      <c r="M459" t="s">
        <v>4691</v>
      </c>
      <c r="N459" t="s">
        <v>977</v>
      </c>
      <c r="O459" t="s">
        <v>18</v>
      </c>
      <c r="P459" t="s">
        <v>4241</v>
      </c>
      <c r="T459" t="s">
        <v>965</v>
      </c>
      <c r="U459" t="s">
        <v>818</v>
      </c>
      <c r="V459" t="s">
        <v>857</v>
      </c>
      <c r="W459" t="s">
        <v>857</v>
      </c>
      <c r="AC459" t="s">
        <v>979</v>
      </c>
      <c r="AD459" t="s">
        <v>4638</v>
      </c>
      <c r="AE459" t="s">
        <v>857</v>
      </c>
      <c r="AF459" t="s">
        <v>3729</v>
      </c>
      <c r="AJ459" s="844" t="s">
        <v>5411</v>
      </c>
      <c r="AK459" s="844" t="s">
        <v>1006</v>
      </c>
      <c r="AL459" s="844" t="s">
        <v>2384</v>
      </c>
      <c r="AM459" s="844" t="s">
        <v>18</v>
      </c>
      <c r="AN459" s="844" t="s">
        <v>3187</v>
      </c>
    </row>
    <row r="460" spans="1:40">
      <c r="A460" t="s">
        <v>6351</v>
      </c>
      <c r="B460" t="s">
        <v>965</v>
      </c>
      <c r="C460" t="s">
        <v>818</v>
      </c>
      <c r="D460" t="s">
        <v>2900</v>
      </c>
      <c r="F460" t="s">
        <v>4063</v>
      </c>
      <c r="M460" t="s">
        <v>4691</v>
      </c>
      <c r="N460" t="s">
        <v>977</v>
      </c>
      <c r="O460" t="s">
        <v>18</v>
      </c>
      <c r="P460" t="s">
        <v>4240</v>
      </c>
      <c r="T460" t="s">
        <v>965</v>
      </c>
      <c r="U460" t="s">
        <v>818</v>
      </c>
      <c r="V460" t="s">
        <v>18</v>
      </c>
      <c r="W460" t="s">
        <v>857</v>
      </c>
      <c r="AC460" t="s">
        <v>980</v>
      </c>
      <c r="AD460" t="s">
        <v>818</v>
      </c>
      <c r="AE460" t="s">
        <v>53</v>
      </c>
      <c r="AF460" t="s">
        <v>3656</v>
      </c>
      <c r="AJ460" s="844" t="s">
        <v>5411</v>
      </c>
      <c r="AK460" s="844" t="s">
        <v>1006</v>
      </c>
      <c r="AL460" s="844" t="s">
        <v>2384</v>
      </c>
      <c r="AM460" s="844" t="s">
        <v>18</v>
      </c>
      <c r="AN460" s="844" t="s">
        <v>3184</v>
      </c>
    </row>
    <row r="461" spans="1:40">
      <c r="A461" t="s">
        <v>6350</v>
      </c>
      <c r="B461" t="s">
        <v>965</v>
      </c>
      <c r="C461" t="s">
        <v>818</v>
      </c>
      <c r="E461" t="s">
        <v>18</v>
      </c>
      <c r="F461" t="s">
        <v>4315</v>
      </c>
      <c r="M461" t="s">
        <v>4691</v>
      </c>
      <c r="N461" t="s">
        <v>977</v>
      </c>
      <c r="O461" t="s">
        <v>18</v>
      </c>
      <c r="P461" t="s">
        <v>4239</v>
      </c>
      <c r="T461" t="s">
        <v>965</v>
      </c>
      <c r="U461" t="s">
        <v>818</v>
      </c>
      <c r="V461" t="s">
        <v>18</v>
      </c>
      <c r="W461" t="s">
        <v>857</v>
      </c>
      <c r="AC461" t="s">
        <v>980</v>
      </c>
      <c r="AD461" t="s">
        <v>818</v>
      </c>
      <c r="AE461" t="s">
        <v>53</v>
      </c>
      <c r="AF461" t="s">
        <v>3654</v>
      </c>
      <c r="AJ461" s="844" t="s">
        <v>5414</v>
      </c>
      <c r="AK461" s="844" t="s">
        <v>1006</v>
      </c>
      <c r="AL461" s="844" t="s">
        <v>816</v>
      </c>
      <c r="AM461" s="844" t="s">
        <v>18</v>
      </c>
      <c r="AN461" s="844" t="s">
        <v>3184</v>
      </c>
    </row>
    <row r="462" spans="1:40">
      <c r="A462" t="s">
        <v>6350</v>
      </c>
      <c r="B462" t="s">
        <v>965</v>
      </c>
      <c r="C462" t="s">
        <v>818</v>
      </c>
      <c r="E462" t="s">
        <v>18</v>
      </c>
      <c r="F462" t="s">
        <v>4314</v>
      </c>
      <c r="M462" t="s">
        <v>4692</v>
      </c>
      <c r="N462" t="s">
        <v>978</v>
      </c>
      <c r="O462" t="s">
        <v>18</v>
      </c>
      <c r="P462" t="s">
        <v>4238</v>
      </c>
      <c r="T462" t="s">
        <v>965</v>
      </c>
      <c r="U462" t="s">
        <v>818</v>
      </c>
      <c r="V462" t="s">
        <v>857</v>
      </c>
      <c r="W462" t="s">
        <v>2900</v>
      </c>
      <c r="AC462" t="s">
        <v>980</v>
      </c>
      <c r="AD462" t="s">
        <v>818</v>
      </c>
      <c r="AE462" t="s">
        <v>18</v>
      </c>
      <c r="AF462" t="s">
        <v>857</v>
      </c>
      <c r="AJ462" s="844" t="s">
        <v>5415</v>
      </c>
      <c r="AK462" s="844" t="s">
        <v>1007</v>
      </c>
      <c r="AL462" s="844" t="s">
        <v>818</v>
      </c>
      <c r="AM462" s="844" t="s">
        <v>857</v>
      </c>
      <c r="AN462" s="844" t="s">
        <v>3178</v>
      </c>
    </row>
    <row r="463" spans="1:40">
      <c r="A463" t="s">
        <v>5089</v>
      </c>
      <c r="B463" t="s">
        <v>965</v>
      </c>
      <c r="C463" t="s">
        <v>818</v>
      </c>
      <c r="F463" t="s">
        <v>4064</v>
      </c>
      <c r="M463" t="s">
        <v>4693</v>
      </c>
      <c r="N463" t="s">
        <v>979</v>
      </c>
      <c r="O463" t="s">
        <v>53</v>
      </c>
      <c r="P463" t="s">
        <v>3733</v>
      </c>
      <c r="T463" t="s">
        <v>965</v>
      </c>
      <c r="U463" t="s">
        <v>818</v>
      </c>
      <c r="V463" t="s">
        <v>18</v>
      </c>
      <c r="W463" t="s">
        <v>2900</v>
      </c>
      <c r="AC463" t="s">
        <v>980</v>
      </c>
      <c r="AD463" t="s">
        <v>818</v>
      </c>
      <c r="AE463" t="s">
        <v>18</v>
      </c>
      <c r="AF463" t="s">
        <v>3656</v>
      </c>
      <c r="AJ463" s="844" t="s">
        <v>5419</v>
      </c>
      <c r="AK463" s="844" t="s">
        <v>1007</v>
      </c>
      <c r="AL463" s="844" t="s">
        <v>818</v>
      </c>
      <c r="AM463" s="844" t="s">
        <v>18</v>
      </c>
      <c r="AN463" s="844" t="s">
        <v>3178</v>
      </c>
    </row>
    <row r="464" spans="1:40">
      <c r="A464" t="s">
        <v>4988</v>
      </c>
      <c r="B464" t="s">
        <v>966</v>
      </c>
      <c r="C464" t="s">
        <v>818</v>
      </c>
      <c r="D464" t="s">
        <v>4387</v>
      </c>
      <c r="E464" t="s">
        <v>53</v>
      </c>
      <c r="F464" t="s">
        <v>4395</v>
      </c>
      <c r="M464" t="s">
        <v>4693</v>
      </c>
      <c r="N464" t="s">
        <v>979</v>
      </c>
      <c r="O464" t="s">
        <v>53</v>
      </c>
      <c r="P464" t="s">
        <v>3732</v>
      </c>
      <c r="T464" t="s">
        <v>966</v>
      </c>
      <c r="U464" t="s">
        <v>818</v>
      </c>
      <c r="V464" t="s">
        <v>857</v>
      </c>
      <c r="W464" t="s">
        <v>857</v>
      </c>
      <c r="AC464" t="s">
        <v>980</v>
      </c>
      <c r="AD464" t="s">
        <v>818</v>
      </c>
      <c r="AE464" t="s">
        <v>18</v>
      </c>
      <c r="AF464" t="s">
        <v>3654</v>
      </c>
      <c r="AJ464" s="844" t="s">
        <v>5422</v>
      </c>
      <c r="AK464" s="844" t="s">
        <v>1009</v>
      </c>
      <c r="AL464" s="844" t="s">
        <v>818</v>
      </c>
      <c r="AM464" s="844" t="s">
        <v>53</v>
      </c>
      <c r="AN464" s="844" t="s">
        <v>3277</v>
      </c>
    </row>
    <row r="465" spans="1:40">
      <c r="A465" t="s">
        <v>4988</v>
      </c>
      <c r="B465" t="s">
        <v>966</v>
      </c>
      <c r="C465" t="s">
        <v>818</v>
      </c>
      <c r="D465" t="s">
        <v>4387</v>
      </c>
      <c r="E465" t="s">
        <v>53</v>
      </c>
      <c r="F465" t="s">
        <v>4394</v>
      </c>
      <c r="M465" t="s">
        <v>4693</v>
      </c>
      <c r="N465" t="s">
        <v>979</v>
      </c>
      <c r="O465" t="s">
        <v>53</v>
      </c>
      <c r="P465" t="s">
        <v>3731</v>
      </c>
      <c r="T465" t="s">
        <v>966</v>
      </c>
      <c r="U465" t="s">
        <v>818</v>
      </c>
      <c r="V465" t="s">
        <v>53</v>
      </c>
      <c r="W465" t="s">
        <v>857</v>
      </c>
      <c r="AC465" t="s">
        <v>980</v>
      </c>
      <c r="AD465" t="s">
        <v>19</v>
      </c>
      <c r="AE465" t="s">
        <v>857</v>
      </c>
      <c r="AF465" t="s">
        <v>3648</v>
      </c>
      <c r="AJ465" s="844" t="s">
        <v>5422</v>
      </c>
      <c r="AK465" s="844" t="s">
        <v>1009</v>
      </c>
      <c r="AL465" s="844" t="s">
        <v>818</v>
      </c>
      <c r="AM465" s="844" t="s">
        <v>53</v>
      </c>
      <c r="AN465" s="844" t="s">
        <v>2636</v>
      </c>
    </row>
    <row r="466" spans="1:40">
      <c r="A466" t="s">
        <v>6617</v>
      </c>
      <c r="B466" t="s">
        <v>966</v>
      </c>
      <c r="C466" t="s">
        <v>818</v>
      </c>
      <c r="D466" t="s">
        <v>4023</v>
      </c>
      <c r="F466" t="s">
        <v>4393</v>
      </c>
      <c r="M466" t="s">
        <v>4693</v>
      </c>
      <c r="N466" t="s">
        <v>979</v>
      </c>
      <c r="O466" t="s">
        <v>53</v>
      </c>
      <c r="P466" t="s">
        <v>3730</v>
      </c>
      <c r="T466" t="s">
        <v>966</v>
      </c>
      <c r="U466" t="s">
        <v>818</v>
      </c>
      <c r="V466" t="s">
        <v>18</v>
      </c>
      <c r="W466" t="s">
        <v>857</v>
      </c>
      <c r="AC466" t="s">
        <v>980</v>
      </c>
      <c r="AD466" t="s">
        <v>19</v>
      </c>
      <c r="AE466" t="s">
        <v>18</v>
      </c>
      <c r="AF466" t="s">
        <v>857</v>
      </c>
      <c r="AJ466" s="844" t="s">
        <v>5422</v>
      </c>
      <c r="AK466" s="844" t="s">
        <v>1009</v>
      </c>
      <c r="AL466" s="844" t="s">
        <v>818</v>
      </c>
      <c r="AM466" s="844" t="s">
        <v>53</v>
      </c>
      <c r="AN466" s="844" t="s">
        <v>2366</v>
      </c>
    </row>
    <row r="467" spans="1:40">
      <c r="A467" t="s">
        <v>6617</v>
      </c>
      <c r="B467" t="s">
        <v>966</v>
      </c>
      <c r="C467" t="s">
        <v>818</v>
      </c>
      <c r="D467" t="s">
        <v>4023</v>
      </c>
      <c r="F467" t="s">
        <v>4170</v>
      </c>
      <c r="M467" t="s">
        <v>4693</v>
      </c>
      <c r="N467" t="s">
        <v>979</v>
      </c>
      <c r="O467" t="s">
        <v>53</v>
      </c>
      <c r="P467" t="s">
        <v>3728</v>
      </c>
      <c r="T467" t="s">
        <v>966</v>
      </c>
      <c r="U467" t="s">
        <v>818</v>
      </c>
      <c r="V467" t="s">
        <v>18</v>
      </c>
      <c r="W467" t="s">
        <v>857</v>
      </c>
      <c r="AC467" t="s">
        <v>980</v>
      </c>
      <c r="AD467" t="s">
        <v>19</v>
      </c>
      <c r="AE467" t="s">
        <v>18</v>
      </c>
      <c r="AF467" t="s">
        <v>2768</v>
      </c>
      <c r="AJ467" s="844" t="s">
        <v>5427</v>
      </c>
      <c r="AK467" s="844" t="s">
        <v>1009</v>
      </c>
      <c r="AL467" s="844" t="s">
        <v>818</v>
      </c>
      <c r="AM467" s="844" t="s">
        <v>18</v>
      </c>
      <c r="AN467" s="844" t="s">
        <v>3277</v>
      </c>
    </row>
    <row r="468" spans="1:40">
      <c r="A468" t="s">
        <v>6523</v>
      </c>
      <c r="B468" t="s">
        <v>966</v>
      </c>
      <c r="C468" t="s">
        <v>818</v>
      </c>
      <c r="D468" t="s">
        <v>4396</v>
      </c>
      <c r="E468" t="s">
        <v>53</v>
      </c>
      <c r="F468" t="s">
        <v>4397</v>
      </c>
      <c r="M468" t="s">
        <v>4694</v>
      </c>
      <c r="N468" t="s">
        <v>979</v>
      </c>
      <c r="O468" t="s">
        <v>18</v>
      </c>
      <c r="P468" t="s">
        <v>3735</v>
      </c>
      <c r="T468" t="s">
        <v>966</v>
      </c>
      <c r="U468" t="s">
        <v>818</v>
      </c>
      <c r="V468" t="s">
        <v>18</v>
      </c>
      <c r="W468" t="s">
        <v>857</v>
      </c>
      <c r="AC468" t="s">
        <v>980</v>
      </c>
      <c r="AD468" t="s">
        <v>19</v>
      </c>
      <c r="AE468" t="s">
        <v>18</v>
      </c>
      <c r="AF468" t="s">
        <v>3648</v>
      </c>
      <c r="AJ468" s="844" t="s">
        <v>5428</v>
      </c>
      <c r="AK468" s="844" t="s">
        <v>1009</v>
      </c>
      <c r="AL468" s="844" t="s">
        <v>19</v>
      </c>
      <c r="AM468" s="844" t="s">
        <v>857</v>
      </c>
      <c r="AN468" s="844" t="s">
        <v>2581</v>
      </c>
    </row>
    <row r="469" spans="1:40">
      <c r="A469" t="s">
        <v>6615</v>
      </c>
      <c r="B469" t="s">
        <v>966</v>
      </c>
      <c r="C469" t="s">
        <v>818</v>
      </c>
      <c r="E469" t="s">
        <v>53</v>
      </c>
      <c r="F469" t="s">
        <v>4403</v>
      </c>
      <c r="M469" t="s">
        <v>4694</v>
      </c>
      <c r="N469" t="s">
        <v>979</v>
      </c>
      <c r="O469" t="s">
        <v>18</v>
      </c>
      <c r="P469" t="s">
        <v>3734</v>
      </c>
      <c r="T469" t="s">
        <v>966</v>
      </c>
      <c r="U469" t="s">
        <v>818</v>
      </c>
      <c r="V469" t="s">
        <v>53</v>
      </c>
      <c r="W469" t="s">
        <v>4387</v>
      </c>
      <c r="AC469" t="s">
        <v>980</v>
      </c>
      <c r="AD469" t="s">
        <v>2384</v>
      </c>
      <c r="AE469" t="s">
        <v>857</v>
      </c>
      <c r="AF469" t="s">
        <v>3656</v>
      </c>
      <c r="AJ469" s="844" t="s">
        <v>5430</v>
      </c>
      <c r="AK469" s="844" t="s">
        <v>1009</v>
      </c>
      <c r="AL469" s="844" t="s">
        <v>19</v>
      </c>
      <c r="AM469" s="844" t="s">
        <v>53</v>
      </c>
      <c r="AN469" s="844" t="s">
        <v>2581</v>
      </c>
    </row>
    <row r="470" spans="1:40">
      <c r="A470" t="s">
        <v>6616</v>
      </c>
      <c r="B470" t="s">
        <v>966</v>
      </c>
      <c r="C470" t="s">
        <v>818</v>
      </c>
      <c r="E470" t="s">
        <v>18</v>
      </c>
      <c r="F470" t="s">
        <v>4407</v>
      </c>
      <c r="M470" t="s">
        <v>4695</v>
      </c>
      <c r="N470" t="s">
        <v>980</v>
      </c>
      <c r="O470" t="s">
        <v>53</v>
      </c>
      <c r="P470" t="s">
        <v>3661</v>
      </c>
      <c r="T470" t="s">
        <v>966</v>
      </c>
      <c r="U470" t="s">
        <v>818</v>
      </c>
      <c r="V470" t="s">
        <v>53</v>
      </c>
      <c r="W470" t="s">
        <v>4387</v>
      </c>
      <c r="AC470" t="s">
        <v>980</v>
      </c>
      <c r="AD470" t="s">
        <v>2384</v>
      </c>
      <c r="AE470" t="s">
        <v>18</v>
      </c>
      <c r="AF470" t="s">
        <v>3656</v>
      </c>
      <c r="AJ470" s="844" t="s">
        <v>5433</v>
      </c>
      <c r="AK470" s="844" t="s">
        <v>1009</v>
      </c>
      <c r="AL470" s="844" t="s">
        <v>19</v>
      </c>
      <c r="AM470" s="844" t="s">
        <v>18</v>
      </c>
      <c r="AN470" s="844" t="s">
        <v>3348</v>
      </c>
    </row>
    <row r="471" spans="1:40">
      <c r="A471" t="s">
        <v>6616</v>
      </c>
      <c r="B471" t="s">
        <v>966</v>
      </c>
      <c r="C471" t="s">
        <v>818</v>
      </c>
      <c r="E471" t="s">
        <v>18</v>
      </c>
      <c r="F471" t="s">
        <v>4406</v>
      </c>
      <c r="M471" t="s">
        <v>4695</v>
      </c>
      <c r="N471" t="s">
        <v>980</v>
      </c>
      <c r="O471" t="s">
        <v>53</v>
      </c>
      <c r="P471" t="s">
        <v>3660</v>
      </c>
      <c r="T471" t="s">
        <v>966</v>
      </c>
      <c r="U471" t="s">
        <v>818</v>
      </c>
      <c r="V471" t="s">
        <v>857</v>
      </c>
      <c r="W471" t="s">
        <v>4023</v>
      </c>
      <c r="AC471" t="s">
        <v>980</v>
      </c>
      <c r="AD471" t="s">
        <v>2384</v>
      </c>
      <c r="AE471" t="s">
        <v>18</v>
      </c>
      <c r="AF471" t="s">
        <v>3654</v>
      </c>
      <c r="AJ471" s="844" t="s">
        <v>5434</v>
      </c>
      <c r="AK471" s="844" t="s">
        <v>1009</v>
      </c>
      <c r="AL471" s="844" t="s">
        <v>2384</v>
      </c>
      <c r="AM471" s="844" t="s">
        <v>857</v>
      </c>
      <c r="AN471" s="844" t="s">
        <v>2636</v>
      </c>
    </row>
    <row r="472" spans="1:40">
      <c r="A472" t="s">
        <v>6616</v>
      </c>
      <c r="B472" t="s">
        <v>966</v>
      </c>
      <c r="C472" t="s">
        <v>818</v>
      </c>
      <c r="E472" t="s">
        <v>18</v>
      </c>
      <c r="F472" t="s">
        <v>4405</v>
      </c>
      <c r="M472" t="s">
        <v>4696</v>
      </c>
      <c r="N472" t="s">
        <v>980</v>
      </c>
      <c r="O472" t="s">
        <v>18</v>
      </c>
      <c r="P472" t="s">
        <v>3665</v>
      </c>
      <c r="T472" t="s">
        <v>966</v>
      </c>
      <c r="U472" t="s">
        <v>818</v>
      </c>
      <c r="V472" t="s">
        <v>857</v>
      </c>
      <c r="W472" t="s">
        <v>4023</v>
      </c>
      <c r="AC472" t="s">
        <v>980</v>
      </c>
      <c r="AD472" t="s">
        <v>816</v>
      </c>
      <c r="AE472" t="s">
        <v>18</v>
      </c>
      <c r="AF472" t="s">
        <v>857</v>
      </c>
      <c r="AJ472" s="844" t="s">
        <v>5439</v>
      </c>
      <c r="AK472" s="844" t="s">
        <v>1009</v>
      </c>
      <c r="AL472" s="844" t="s">
        <v>816</v>
      </c>
      <c r="AM472" s="844" t="s">
        <v>53</v>
      </c>
      <c r="AN472" s="844" t="s">
        <v>2768</v>
      </c>
    </row>
    <row r="473" spans="1:40">
      <c r="A473" t="s">
        <v>4987</v>
      </c>
      <c r="B473" t="s">
        <v>966</v>
      </c>
      <c r="C473" t="s">
        <v>818</v>
      </c>
      <c r="F473" t="s">
        <v>3760</v>
      </c>
      <c r="M473" t="s">
        <v>4696</v>
      </c>
      <c r="N473" t="s">
        <v>980</v>
      </c>
      <c r="O473" t="s">
        <v>18</v>
      </c>
      <c r="P473" t="s">
        <v>3664</v>
      </c>
      <c r="T473" t="s">
        <v>966</v>
      </c>
      <c r="U473" t="s">
        <v>818</v>
      </c>
      <c r="V473" t="s">
        <v>53</v>
      </c>
      <c r="W473" t="s">
        <v>4396</v>
      </c>
      <c r="AC473" t="s">
        <v>980</v>
      </c>
      <c r="AD473" t="s">
        <v>816</v>
      </c>
      <c r="AE473" t="s">
        <v>18</v>
      </c>
      <c r="AF473" t="s">
        <v>3650</v>
      </c>
      <c r="AJ473" s="844" t="s">
        <v>5439</v>
      </c>
      <c r="AK473" s="844" t="s">
        <v>1009</v>
      </c>
      <c r="AL473" s="844" t="s">
        <v>816</v>
      </c>
      <c r="AM473" s="844" t="s">
        <v>53</v>
      </c>
      <c r="AN473" s="844" t="s">
        <v>3346</v>
      </c>
    </row>
    <row r="474" spans="1:40">
      <c r="A474" t="s">
        <v>4991</v>
      </c>
      <c r="B474" t="s">
        <v>966</v>
      </c>
      <c r="C474" t="s">
        <v>19</v>
      </c>
      <c r="D474" t="s">
        <v>4275</v>
      </c>
      <c r="E474" t="s">
        <v>53</v>
      </c>
      <c r="F474" t="s">
        <v>4400</v>
      </c>
      <c r="M474" t="s">
        <v>4696</v>
      </c>
      <c r="N474" t="s">
        <v>980</v>
      </c>
      <c r="O474" t="s">
        <v>18</v>
      </c>
      <c r="P474" t="s">
        <v>3663</v>
      </c>
      <c r="T474" t="s">
        <v>966</v>
      </c>
      <c r="U474" t="s">
        <v>19</v>
      </c>
      <c r="V474" t="s">
        <v>857</v>
      </c>
      <c r="W474" t="s">
        <v>857</v>
      </c>
      <c r="AC474" t="s">
        <v>980</v>
      </c>
      <c r="AD474" t="s">
        <v>816</v>
      </c>
      <c r="AE474" t="s">
        <v>18</v>
      </c>
      <c r="AF474" t="s">
        <v>3648</v>
      </c>
      <c r="AJ474" s="844" t="s">
        <v>5441</v>
      </c>
      <c r="AK474" s="844" t="s">
        <v>1010</v>
      </c>
      <c r="AL474" s="844" t="s">
        <v>818</v>
      </c>
      <c r="AM474" s="844" t="s">
        <v>857</v>
      </c>
      <c r="AN474" s="844" t="s">
        <v>3202</v>
      </c>
    </row>
    <row r="475" spans="1:40">
      <c r="A475" t="s">
        <v>4993</v>
      </c>
      <c r="B475" t="s">
        <v>966</v>
      </c>
      <c r="C475" t="s">
        <v>19</v>
      </c>
      <c r="D475" t="s">
        <v>4023</v>
      </c>
      <c r="E475" t="s">
        <v>53</v>
      </c>
      <c r="F475" t="s">
        <v>4392</v>
      </c>
      <c r="M475" t="s">
        <v>4696</v>
      </c>
      <c r="N475" t="s">
        <v>980</v>
      </c>
      <c r="O475" t="s">
        <v>18</v>
      </c>
      <c r="P475" t="s">
        <v>3662</v>
      </c>
      <c r="T475" t="s">
        <v>966</v>
      </c>
      <c r="U475" t="s">
        <v>19</v>
      </c>
      <c r="V475" t="s">
        <v>53</v>
      </c>
      <c r="W475" t="s">
        <v>857</v>
      </c>
      <c r="AC475" t="s">
        <v>981</v>
      </c>
      <c r="AD475" t="s">
        <v>818</v>
      </c>
      <c r="AE475" t="s">
        <v>857</v>
      </c>
      <c r="AF475" t="s">
        <v>3712</v>
      </c>
      <c r="AJ475" s="844" t="s">
        <v>5442</v>
      </c>
      <c r="AK475" s="844" t="s">
        <v>1010</v>
      </c>
      <c r="AL475" s="844" t="s">
        <v>818</v>
      </c>
      <c r="AM475" s="844" t="s">
        <v>18</v>
      </c>
      <c r="AN475" s="844" t="s">
        <v>3202</v>
      </c>
    </row>
    <row r="476" spans="1:40">
      <c r="A476" t="s">
        <v>6619</v>
      </c>
      <c r="B476" t="s">
        <v>966</v>
      </c>
      <c r="C476" t="s">
        <v>19</v>
      </c>
      <c r="D476" t="s">
        <v>4023</v>
      </c>
      <c r="F476" t="s">
        <v>4024</v>
      </c>
      <c r="M476" t="s">
        <v>4696</v>
      </c>
      <c r="N476" t="s">
        <v>980</v>
      </c>
      <c r="O476" t="s">
        <v>18</v>
      </c>
      <c r="P476" t="s">
        <v>3659</v>
      </c>
      <c r="T476" t="s">
        <v>966</v>
      </c>
      <c r="U476" t="s">
        <v>19</v>
      </c>
      <c r="V476" t="s">
        <v>53</v>
      </c>
      <c r="W476" t="s">
        <v>4275</v>
      </c>
      <c r="AC476" t="s">
        <v>981</v>
      </c>
      <c r="AD476" t="s">
        <v>818</v>
      </c>
      <c r="AE476" t="s">
        <v>53</v>
      </c>
      <c r="AF476" t="s">
        <v>857</v>
      </c>
      <c r="AJ476" s="844" t="s">
        <v>5443</v>
      </c>
      <c r="AK476" s="844" t="s">
        <v>1010</v>
      </c>
      <c r="AL476" s="844" t="s">
        <v>19</v>
      </c>
      <c r="AM476" s="844" t="s">
        <v>857</v>
      </c>
      <c r="AN476" s="844" t="s">
        <v>3202</v>
      </c>
    </row>
    <row r="477" spans="1:40">
      <c r="A477" t="s">
        <v>4994</v>
      </c>
      <c r="B477" t="s">
        <v>966</v>
      </c>
      <c r="C477" t="s">
        <v>19</v>
      </c>
      <c r="D477" t="s">
        <v>4398</v>
      </c>
      <c r="E477" t="s">
        <v>53</v>
      </c>
      <c r="F477" t="s">
        <v>4399</v>
      </c>
      <c r="M477" t="s">
        <v>4696</v>
      </c>
      <c r="N477" t="s">
        <v>980</v>
      </c>
      <c r="O477" t="s">
        <v>18</v>
      </c>
      <c r="P477" t="s">
        <v>3658</v>
      </c>
      <c r="T477" t="s">
        <v>966</v>
      </c>
      <c r="U477" t="s">
        <v>19</v>
      </c>
      <c r="V477" t="s">
        <v>857</v>
      </c>
      <c r="W477" t="s">
        <v>4023</v>
      </c>
      <c r="AC477" t="s">
        <v>981</v>
      </c>
      <c r="AD477" t="s">
        <v>818</v>
      </c>
      <c r="AE477" t="s">
        <v>18</v>
      </c>
      <c r="AF477" t="s">
        <v>857</v>
      </c>
      <c r="AJ477" s="844" t="s">
        <v>5445</v>
      </c>
      <c r="AK477" s="844" t="s">
        <v>1010</v>
      </c>
      <c r="AL477" s="844" t="s">
        <v>19</v>
      </c>
      <c r="AM477" s="844" t="s">
        <v>18</v>
      </c>
      <c r="AN477" s="844" t="s">
        <v>3202</v>
      </c>
    </row>
    <row r="478" spans="1:40">
      <c r="A478" t="s">
        <v>6524</v>
      </c>
      <c r="B478" t="s">
        <v>966</v>
      </c>
      <c r="C478" t="s">
        <v>19</v>
      </c>
      <c r="D478" t="s">
        <v>2559</v>
      </c>
      <c r="E478" t="s">
        <v>53</v>
      </c>
      <c r="F478" t="s">
        <v>4391</v>
      </c>
      <c r="M478" t="s">
        <v>4696</v>
      </c>
      <c r="N478" t="s">
        <v>980</v>
      </c>
      <c r="O478" t="s">
        <v>18</v>
      </c>
      <c r="P478" t="s">
        <v>3657</v>
      </c>
      <c r="T478" t="s">
        <v>966</v>
      </c>
      <c r="U478" t="s">
        <v>19</v>
      </c>
      <c r="V478" t="s">
        <v>53</v>
      </c>
      <c r="W478" t="s">
        <v>4023</v>
      </c>
      <c r="AC478" t="s">
        <v>981</v>
      </c>
      <c r="AD478" t="s">
        <v>818</v>
      </c>
      <c r="AE478" t="s">
        <v>18</v>
      </c>
      <c r="AF478" t="s">
        <v>3712</v>
      </c>
      <c r="AJ478" s="844" t="s">
        <v>5445</v>
      </c>
      <c r="AK478" s="844" t="s">
        <v>1010</v>
      </c>
      <c r="AL478" s="844" t="s">
        <v>19</v>
      </c>
      <c r="AM478" s="844" t="s">
        <v>18</v>
      </c>
      <c r="AN478" s="844" t="s">
        <v>2366</v>
      </c>
    </row>
    <row r="479" spans="1:40">
      <c r="A479" t="s">
        <v>6618</v>
      </c>
      <c r="B479" t="s">
        <v>966</v>
      </c>
      <c r="C479" t="s">
        <v>19</v>
      </c>
      <c r="E479" t="s">
        <v>53</v>
      </c>
      <c r="F479" t="s">
        <v>4402</v>
      </c>
      <c r="M479" t="s">
        <v>4696</v>
      </c>
      <c r="N479" t="s">
        <v>980</v>
      </c>
      <c r="O479" t="s">
        <v>18</v>
      </c>
      <c r="P479" t="s">
        <v>3655</v>
      </c>
      <c r="T479" t="s">
        <v>966</v>
      </c>
      <c r="U479" t="s">
        <v>19</v>
      </c>
      <c r="V479" t="s">
        <v>53</v>
      </c>
      <c r="W479" t="s">
        <v>4398</v>
      </c>
      <c r="AC479" t="s">
        <v>981</v>
      </c>
      <c r="AD479" t="s">
        <v>19</v>
      </c>
      <c r="AE479" t="s">
        <v>18</v>
      </c>
      <c r="AF479" t="s">
        <v>857</v>
      </c>
      <c r="AJ479" s="844" t="s">
        <v>5446</v>
      </c>
      <c r="AK479" s="844" t="s">
        <v>1010</v>
      </c>
      <c r="AL479" s="844" t="s">
        <v>2384</v>
      </c>
      <c r="AM479" s="844" t="s">
        <v>857</v>
      </c>
      <c r="AN479" s="844" t="s">
        <v>3202</v>
      </c>
    </row>
    <row r="480" spans="1:40">
      <c r="A480" t="s">
        <v>4990</v>
      </c>
      <c r="B480" t="s">
        <v>966</v>
      </c>
      <c r="C480" t="s">
        <v>19</v>
      </c>
      <c r="F480" t="s">
        <v>3752</v>
      </c>
      <c r="M480" t="s">
        <v>4696</v>
      </c>
      <c r="N480" t="s">
        <v>980</v>
      </c>
      <c r="O480" t="s">
        <v>18</v>
      </c>
      <c r="P480" t="s">
        <v>3653</v>
      </c>
      <c r="T480" t="s">
        <v>966</v>
      </c>
      <c r="U480" t="s">
        <v>19</v>
      </c>
      <c r="V480" t="s">
        <v>53</v>
      </c>
      <c r="W480" t="s">
        <v>2559</v>
      </c>
      <c r="AC480" t="s">
        <v>981</v>
      </c>
      <c r="AD480" t="s">
        <v>816</v>
      </c>
      <c r="AE480" t="s">
        <v>857</v>
      </c>
      <c r="AF480" t="s">
        <v>3712</v>
      </c>
      <c r="AJ480" s="844" t="s">
        <v>5447</v>
      </c>
      <c r="AK480" s="844" t="s">
        <v>1010</v>
      </c>
      <c r="AL480" s="844" t="s">
        <v>2384</v>
      </c>
      <c r="AM480" s="844" t="s">
        <v>18</v>
      </c>
      <c r="AN480" s="844" t="s">
        <v>3202</v>
      </c>
    </row>
    <row r="481" spans="1:40">
      <c r="A481" t="s">
        <v>4996</v>
      </c>
      <c r="B481" t="s">
        <v>966</v>
      </c>
      <c r="C481" t="s">
        <v>816</v>
      </c>
      <c r="D481" t="s">
        <v>4387</v>
      </c>
      <c r="E481" t="s">
        <v>53</v>
      </c>
      <c r="F481" t="s">
        <v>4388</v>
      </c>
      <c r="M481" t="s">
        <v>4696</v>
      </c>
      <c r="N481" t="s">
        <v>980</v>
      </c>
      <c r="O481" t="s">
        <v>18</v>
      </c>
      <c r="P481" t="s">
        <v>3652</v>
      </c>
      <c r="T481" t="s">
        <v>966</v>
      </c>
      <c r="U481" t="s">
        <v>816</v>
      </c>
      <c r="V481" t="s">
        <v>857</v>
      </c>
      <c r="W481" t="s">
        <v>857</v>
      </c>
      <c r="AC481" t="s">
        <v>981</v>
      </c>
      <c r="AD481" t="s">
        <v>816</v>
      </c>
      <c r="AE481" t="s">
        <v>53</v>
      </c>
      <c r="AF481" t="s">
        <v>857</v>
      </c>
      <c r="AJ481" s="844" t="s">
        <v>5449</v>
      </c>
      <c r="AK481" s="844" t="s">
        <v>1010</v>
      </c>
      <c r="AL481" s="844" t="s">
        <v>816</v>
      </c>
      <c r="AM481" s="844" t="s">
        <v>857</v>
      </c>
      <c r="AN481" s="844" t="s">
        <v>3202</v>
      </c>
    </row>
    <row r="482" spans="1:40">
      <c r="A482" t="s">
        <v>4997</v>
      </c>
      <c r="B482" t="s">
        <v>966</v>
      </c>
      <c r="C482" t="s">
        <v>816</v>
      </c>
      <c r="D482" t="s">
        <v>4389</v>
      </c>
      <c r="E482" t="s">
        <v>53</v>
      </c>
      <c r="F482" t="s">
        <v>4390</v>
      </c>
      <c r="M482" t="s">
        <v>4696</v>
      </c>
      <c r="N482" t="s">
        <v>980</v>
      </c>
      <c r="O482" t="s">
        <v>18</v>
      </c>
      <c r="P482" t="s">
        <v>3651</v>
      </c>
      <c r="T482" t="s">
        <v>966</v>
      </c>
      <c r="U482" t="s">
        <v>816</v>
      </c>
      <c r="V482" t="s">
        <v>53</v>
      </c>
      <c r="W482" t="s">
        <v>857</v>
      </c>
      <c r="AC482" t="s">
        <v>981</v>
      </c>
      <c r="AD482" t="s">
        <v>816</v>
      </c>
      <c r="AE482" t="s">
        <v>18</v>
      </c>
      <c r="AF482" t="s">
        <v>857</v>
      </c>
      <c r="AJ482" s="844" t="s">
        <v>5451</v>
      </c>
      <c r="AK482" s="844" t="s">
        <v>1010</v>
      </c>
      <c r="AL482" s="844" t="s">
        <v>816</v>
      </c>
      <c r="AM482" s="844" t="s">
        <v>18</v>
      </c>
      <c r="AN482" s="844" t="s">
        <v>3202</v>
      </c>
    </row>
    <row r="483" spans="1:40">
      <c r="A483" t="s">
        <v>4999</v>
      </c>
      <c r="B483" t="s">
        <v>966</v>
      </c>
      <c r="C483" t="s">
        <v>816</v>
      </c>
      <c r="D483" t="s">
        <v>4023</v>
      </c>
      <c r="E483" t="s">
        <v>53</v>
      </c>
      <c r="F483" t="s">
        <v>4386</v>
      </c>
      <c r="M483" t="s">
        <v>4696</v>
      </c>
      <c r="N483" t="s">
        <v>980</v>
      </c>
      <c r="O483" t="s">
        <v>18</v>
      </c>
      <c r="P483" t="s">
        <v>3649</v>
      </c>
      <c r="T483" t="s">
        <v>966</v>
      </c>
      <c r="U483" t="s">
        <v>816</v>
      </c>
      <c r="V483" t="s">
        <v>18</v>
      </c>
      <c r="W483" t="s">
        <v>857</v>
      </c>
      <c r="AC483" t="s">
        <v>981</v>
      </c>
      <c r="AD483" t="s">
        <v>816</v>
      </c>
      <c r="AE483" t="s">
        <v>18</v>
      </c>
      <c r="AF483" t="s">
        <v>3712</v>
      </c>
      <c r="AJ483" s="844" t="s">
        <v>5451</v>
      </c>
      <c r="AK483" s="844" t="s">
        <v>1010</v>
      </c>
      <c r="AL483" s="844" t="s">
        <v>816</v>
      </c>
      <c r="AM483" s="844" t="s">
        <v>18</v>
      </c>
      <c r="AN483" s="844" t="s">
        <v>2366</v>
      </c>
    </row>
    <row r="484" spans="1:40">
      <c r="A484" t="s">
        <v>6622</v>
      </c>
      <c r="B484" t="s">
        <v>966</v>
      </c>
      <c r="C484" t="s">
        <v>816</v>
      </c>
      <c r="D484" t="s">
        <v>4023</v>
      </c>
      <c r="F484" t="s">
        <v>4028</v>
      </c>
      <c r="M484" t="s">
        <v>4697</v>
      </c>
      <c r="N484" t="s">
        <v>981</v>
      </c>
      <c r="O484" t="s">
        <v>53</v>
      </c>
      <c r="P484" t="s">
        <v>3723</v>
      </c>
      <c r="T484" t="s">
        <v>966</v>
      </c>
      <c r="U484" t="s">
        <v>816</v>
      </c>
      <c r="V484" t="s">
        <v>53</v>
      </c>
      <c r="W484" t="s">
        <v>4387</v>
      </c>
      <c r="AC484" t="s">
        <v>982</v>
      </c>
      <c r="AD484" t="s">
        <v>818</v>
      </c>
      <c r="AE484" t="s">
        <v>857</v>
      </c>
      <c r="AF484" t="s">
        <v>3696</v>
      </c>
      <c r="AJ484" s="844" t="s">
        <v>5452</v>
      </c>
      <c r="AK484" s="844" t="s">
        <v>1011</v>
      </c>
      <c r="AL484" s="844" t="s">
        <v>818</v>
      </c>
      <c r="AM484" s="844" t="s">
        <v>857</v>
      </c>
      <c r="AN484" s="844" t="s">
        <v>3194</v>
      </c>
    </row>
    <row r="485" spans="1:40">
      <c r="A485" t="s">
        <v>6620</v>
      </c>
      <c r="B485" t="s">
        <v>966</v>
      </c>
      <c r="C485" t="s">
        <v>816</v>
      </c>
      <c r="E485" t="s">
        <v>53</v>
      </c>
      <c r="F485" t="s">
        <v>4401</v>
      </c>
      <c r="M485" t="s">
        <v>4697</v>
      </c>
      <c r="N485" t="s">
        <v>981</v>
      </c>
      <c r="O485" t="s">
        <v>53</v>
      </c>
      <c r="P485" t="s">
        <v>3718</v>
      </c>
      <c r="T485" t="s">
        <v>966</v>
      </c>
      <c r="U485" t="s">
        <v>816</v>
      </c>
      <c r="V485" t="s">
        <v>53</v>
      </c>
      <c r="W485" t="s">
        <v>4389</v>
      </c>
      <c r="AC485" t="s">
        <v>982</v>
      </c>
      <c r="AD485" t="s">
        <v>818</v>
      </c>
      <c r="AE485" t="s">
        <v>18</v>
      </c>
      <c r="AF485" t="s">
        <v>857</v>
      </c>
      <c r="AJ485" s="844" t="s">
        <v>5454</v>
      </c>
      <c r="AK485" s="844" t="s">
        <v>1011</v>
      </c>
      <c r="AL485" s="844" t="s">
        <v>818</v>
      </c>
      <c r="AM485" s="844" t="s">
        <v>53</v>
      </c>
      <c r="AN485" s="844" t="s">
        <v>3196</v>
      </c>
    </row>
    <row r="486" spans="1:40">
      <c r="A486" t="s">
        <v>6621</v>
      </c>
      <c r="B486" t="s">
        <v>966</v>
      </c>
      <c r="C486" t="s">
        <v>816</v>
      </c>
      <c r="E486" t="s">
        <v>18</v>
      </c>
      <c r="F486" t="s">
        <v>4404</v>
      </c>
      <c r="M486" t="s">
        <v>4697</v>
      </c>
      <c r="N486" t="s">
        <v>981</v>
      </c>
      <c r="O486" t="s">
        <v>53</v>
      </c>
      <c r="P486" t="s">
        <v>3717</v>
      </c>
      <c r="T486" t="s">
        <v>966</v>
      </c>
      <c r="U486" t="s">
        <v>816</v>
      </c>
      <c r="V486" t="s">
        <v>857</v>
      </c>
      <c r="W486" t="s">
        <v>4023</v>
      </c>
      <c r="AC486" t="s">
        <v>982</v>
      </c>
      <c r="AD486" t="s">
        <v>818</v>
      </c>
      <c r="AE486" t="s">
        <v>18</v>
      </c>
      <c r="AF486" t="s">
        <v>3703</v>
      </c>
      <c r="AJ486" s="844" t="s">
        <v>5454</v>
      </c>
      <c r="AK486" s="844" t="s">
        <v>1011</v>
      </c>
      <c r="AL486" s="844" t="s">
        <v>818</v>
      </c>
      <c r="AM486" s="844" t="s">
        <v>53</v>
      </c>
      <c r="AN486" s="844" t="s">
        <v>3194</v>
      </c>
    </row>
    <row r="487" spans="1:40">
      <c r="A487" t="s">
        <v>4995</v>
      </c>
      <c r="B487" t="s">
        <v>966</v>
      </c>
      <c r="C487" t="s">
        <v>816</v>
      </c>
      <c r="F487" t="s">
        <v>3820</v>
      </c>
      <c r="M487" t="s">
        <v>4697</v>
      </c>
      <c r="N487" t="s">
        <v>981</v>
      </c>
      <c r="O487" t="s">
        <v>53</v>
      </c>
      <c r="P487" t="s">
        <v>3715</v>
      </c>
      <c r="T487" t="s">
        <v>966</v>
      </c>
      <c r="U487" t="s">
        <v>816</v>
      </c>
      <c r="V487" t="s">
        <v>53</v>
      </c>
      <c r="W487" t="s">
        <v>4023</v>
      </c>
      <c r="AC487" t="s">
        <v>982</v>
      </c>
      <c r="AD487" t="s">
        <v>818</v>
      </c>
      <c r="AE487" t="s">
        <v>18</v>
      </c>
      <c r="AF487" t="s">
        <v>3701</v>
      </c>
      <c r="AJ487" s="844" t="s">
        <v>5457</v>
      </c>
      <c r="AK487" s="844" t="s">
        <v>1011</v>
      </c>
      <c r="AL487" s="844" t="s">
        <v>818</v>
      </c>
      <c r="AM487" s="844" t="s">
        <v>18</v>
      </c>
      <c r="AN487" s="844" t="s">
        <v>3196</v>
      </c>
    </row>
    <row r="488" spans="1:40">
      <c r="A488" t="s">
        <v>6352</v>
      </c>
      <c r="B488" t="s">
        <v>967</v>
      </c>
      <c r="C488" t="s">
        <v>818</v>
      </c>
      <c r="E488" t="s">
        <v>18</v>
      </c>
      <c r="F488" t="s">
        <v>3593</v>
      </c>
      <c r="M488" t="s">
        <v>4697</v>
      </c>
      <c r="N488" t="s">
        <v>981</v>
      </c>
      <c r="O488" t="s">
        <v>53</v>
      </c>
      <c r="P488" t="s">
        <v>3714</v>
      </c>
      <c r="T488" t="s">
        <v>967</v>
      </c>
      <c r="U488" t="s">
        <v>818</v>
      </c>
      <c r="V488" t="s">
        <v>18</v>
      </c>
      <c r="W488" t="s">
        <v>857</v>
      </c>
      <c r="AC488" t="s">
        <v>982</v>
      </c>
      <c r="AD488" t="s">
        <v>818</v>
      </c>
      <c r="AE488" t="s">
        <v>18</v>
      </c>
      <c r="AF488" t="s">
        <v>3691</v>
      </c>
      <c r="AJ488" s="844" t="s">
        <v>5457</v>
      </c>
      <c r="AK488" s="844" t="s">
        <v>1011</v>
      </c>
      <c r="AL488" s="844" t="s">
        <v>818</v>
      </c>
      <c r="AM488" s="844" t="s">
        <v>18</v>
      </c>
      <c r="AN488" s="844" t="s">
        <v>3194</v>
      </c>
    </row>
    <row r="489" spans="1:40">
      <c r="A489" t="s">
        <v>5093</v>
      </c>
      <c r="B489" t="s">
        <v>968</v>
      </c>
      <c r="C489" t="s">
        <v>818</v>
      </c>
      <c r="D489" t="s">
        <v>2366</v>
      </c>
      <c r="E489" t="s">
        <v>18</v>
      </c>
      <c r="F489" t="s">
        <v>4312</v>
      </c>
      <c r="M489" t="s">
        <v>4698</v>
      </c>
      <c r="N489" t="s">
        <v>981</v>
      </c>
      <c r="O489" t="s">
        <v>18</v>
      </c>
      <c r="P489" t="s">
        <v>3726</v>
      </c>
      <c r="T489" t="s">
        <v>968</v>
      </c>
      <c r="U489" t="s">
        <v>818</v>
      </c>
      <c r="V489" t="s">
        <v>857</v>
      </c>
      <c r="W489" t="s">
        <v>857</v>
      </c>
      <c r="AC489" t="s">
        <v>982</v>
      </c>
      <c r="AD489" t="s">
        <v>818</v>
      </c>
      <c r="AE489" t="s">
        <v>18</v>
      </c>
      <c r="AF489" t="s">
        <v>3698</v>
      </c>
      <c r="AJ489" s="844" t="s">
        <v>5459</v>
      </c>
      <c r="AK489" s="844" t="s">
        <v>1013</v>
      </c>
      <c r="AL489" s="844" t="s">
        <v>818</v>
      </c>
      <c r="AM489" s="844" t="s">
        <v>857</v>
      </c>
      <c r="AN489" s="844" t="s">
        <v>2959</v>
      </c>
    </row>
    <row r="490" spans="1:40">
      <c r="A490" t="s">
        <v>5093</v>
      </c>
      <c r="B490" t="s">
        <v>968</v>
      </c>
      <c r="C490" t="s">
        <v>818</v>
      </c>
      <c r="D490" t="s">
        <v>2366</v>
      </c>
      <c r="E490" t="s">
        <v>18</v>
      </c>
      <c r="F490" t="s">
        <v>4309</v>
      </c>
      <c r="M490" t="s">
        <v>4698</v>
      </c>
      <c r="N490" t="s">
        <v>981</v>
      </c>
      <c r="O490" t="s">
        <v>18</v>
      </c>
      <c r="P490" t="s">
        <v>3725</v>
      </c>
      <c r="T490" t="s">
        <v>968</v>
      </c>
      <c r="U490" t="s">
        <v>818</v>
      </c>
      <c r="V490" t="s">
        <v>18</v>
      </c>
      <c r="W490" t="s">
        <v>857</v>
      </c>
      <c r="AC490" t="s">
        <v>982</v>
      </c>
      <c r="AD490" t="s">
        <v>19</v>
      </c>
      <c r="AE490" t="s">
        <v>857</v>
      </c>
      <c r="AF490" t="s">
        <v>857</v>
      </c>
      <c r="AJ490" s="844" t="s">
        <v>5464</v>
      </c>
      <c r="AK490" s="844" t="s">
        <v>1013</v>
      </c>
      <c r="AL490" s="844" t="s">
        <v>818</v>
      </c>
      <c r="AM490" s="844" t="s">
        <v>53</v>
      </c>
      <c r="AN490" s="844" t="s">
        <v>2959</v>
      </c>
    </row>
    <row r="491" spans="1:40">
      <c r="A491" t="s">
        <v>6354</v>
      </c>
      <c r="B491" t="s">
        <v>968</v>
      </c>
      <c r="C491" t="s">
        <v>818</v>
      </c>
      <c r="D491" t="s">
        <v>2366</v>
      </c>
      <c r="F491" t="s">
        <v>4226</v>
      </c>
      <c r="M491" t="s">
        <v>4698</v>
      </c>
      <c r="N491" t="s">
        <v>981</v>
      </c>
      <c r="O491" t="s">
        <v>18</v>
      </c>
      <c r="P491" t="s">
        <v>3724</v>
      </c>
      <c r="T491" t="s">
        <v>968</v>
      </c>
      <c r="U491" t="s">
        <v>818</v>
      </c>
      <c r="V491" t="s">
        <v>857</v>
      </c>
      <c r="W491" t="s">
        <v>2366</v>
      </c>
      <c r="AC491" t="s">
        <v>982</v>
      </c>
      <c r="AD491" t="s">
        <v>19</v>
      </c>
      <c r="AE491" t="s">
        <v>857</v>
      </c>
      <c r="AF491" t="s">
        <v>3694</v>
      </c>
      <c r="AJ491" s="844" t="s">
        <v>5466</v>
      </c>
      <c r="AK491" s="844" t="s">
        <v>1013</v>
      </c>
      <c r="AL491" s="844" t="s">
        <v>818</v>
      </c>
      <c r="AM491" s="844" t="s">
        <v>18</v>
      </c>
      <c r="AN491" s="844" t="s">
        <v>3321</v>
      </c>
    </row>
    <row r="492" spans="1:40">
      <c r="A492" t="s">
        <v>6353</v>
      </c>
      <c r="B492" t="s">
        <v>968</v>
      </c>
      <c r="C492" t="s">
        <v>818</v>
      </c>
      <c r="E492" t="s">
        <v>18</v>
      </c>
      <c r="F492" t="s">
        <v>4311</v>
      </c>
      <c r="M492" t="s">
        <v>4698</v>
      </c>
      <c r="N492" t="s">
        <v>981</v>
      </c>
      <c r="O492" t="s">
        <v>18</v>
      </c>
      <c r="P492" t="s">
        <v>3722</v>
      </c>
      <c r="T492" t="s">
        <v>968</v>
      </c>
      <c r="U492" t="s">
        <v>818</v>
      </c>
      <c r="V492" t="s">
        <v>18</v>
      </c>
      <c r="W492" t="s">
        <v>2366</v>
      </c>
      <c r="AC492" t="s">
        <v>982</v>
      </c>
      <c r="AD492" t="s">
        <v>19</v>
      </c>
      <c r="AE492" t="s">
        <v>18</v>
      </c>
      <c r="AF492" t="s">
        <v>857</v>
      </c>
      <c r="AJ492" s="844" t="s">
        <v>5469</v>
      </c>
      <c r="AK492" s="844" t="s">
        <v>1013</v>
      </c>
      <c r="AL492" s="844" t="s">
        <v>2384</v>
      </c>
      <c r="AM492" s="844" t="s">
        <v>53</v>
      </c>
      <c r="AN492" s="844" t="s">
        <v>3321</v>
      </c>
    </row>
    <row r="493" spans="1:40">
      <c r="A493" t="s">
        <v>5092</v>
      </c>
      <c r="B493" t="s">
        <v>968</v>
      </c>
      <c r="C493" t="s">
        <v>818</v>
      </c>
      <c r="F493" t="s">
        <v>3908</v>
      </c>
      <c r="M493" t="s">
        <v>4698</v>
      </c>
      <c r="N493" t="s">
        <v>981</v>
      </c>
      <c r="O493" t="s">
        <v>18</v>
      </c>
      <c r="P493" t="s">
        <v>3721</v>
      </c>
      <c r="T493" t="s">
        <v>968</v>
      </c>
      <c r="U493" t="s">
        <v>818</v>
      </c>
      <c r="V493" t="s">
        <v>18</v>
      </c>
      <c r="W493" t="s">
        <v>2366</v>
      </c>
      <c r="AC493" t="s">
        <v>982</v>
      </c>
      <c r="AD493" t="s">
        <v>19</v>
      </c>
      <c r="AE493" t="s">
        <v>18</v>
      </c>
      <c r="AF493" t="s">
        <v>3694</v>
      </c>
      <c r="AJ493" s="844" t="s">
        <v>5471</v>
      </c>
      <c r="AK493" s="844" t="s">
        <v>1013</v>
      </c>
      <c r="AL493" s="844" t="s">
        <v>816</v>
      </c>
      <c r="AM493" s="844" t="s">
        <v>857</v>
      </c>
      <c r="AN493" s="844" t="s">
        <v>2959</v>
      </c>
    </row>
    <row r="494" spans="1:40">
      <c r="A494" t="s">
        <v>6355</v>
      </c>
      <c r="B494" t="s">
        <v>968</v>
      </c>
      <c r="C494" t="s">
        <v>816</v>
      </c>
      <c r="E494" t="s">
        <v>18</v>
      </c>
      <c r="F494" t="s">
        <v>4310</v>
      </c>
      <c r="M494" t="s">
        <v>4698</v>
      </c>
      <c r="N494" t="s">
        <v>981</v>
      </c>
      <c r="O494" t="s">
        <v>18</v>
      </c>
      <c r="P494" t="s">
        <v>3720</v>
      </c>
      <c r="T494" t="s">
        <v>968</v>
      </c>
      <c r="U494" t="s">
        <v>816</v>
      </c>
      <c r="V494" t="s">
        <v>18</v>
      </c>
      <c r="W494" t="s">
        <v>857</v>
      </c>
      <c r="AC494" t="s">
        <v>982</v>
      </c>
      <c r="AD494" t="s">
        <v>19</v>
      </c>
      <c r="AE494" t="s">
        <v>18</v>
      </c>
      <c r="AF494" t="s">
        <v>3691</v>
      </c>
      <c r="AJ494" s="844" t="s">
        <v>5477</v>
      </c>
      <c r="AK494" s="844" t="s">
        <v>1013</v>
      </c>
      <c r="AL494" s="844" t="s">
        <v>816</v>
      </c>
      <c r="AM494" s="844" t="s">
        <v>53</v>
      </c>
      <c r="AN494" s="844" t="s">
        <v>2959</v>
      </c>
    </row>
    <row r="495" spans="1:40">
      <c r="A495" t="s">
        <v>5095</v>
      </c>
      <c r="B495" t="s">
        <v>969</v>
      </c>
      <c r="C495" t="s">
        <v>818</v>
      </c>
      <c r="D495" t="s">
        <v>2366</v>
      </c>
      <c r="E495" t="s">
        <v>18</v>
      </c>
      <c r="F495" t="s">
        <v>4303</v>
      </c>
      <c r="M495" t="s">
        <v>4698</v>
      </c>
      <c r="N495" t="s">
        <v>981</v>
      </c>
      <c r="O495" t="s">
        <v>18</v>
      </c>
      <c r="P495" t="s">
        <v>3719</v>
      </c>
      <c r="T495" t="s">
        <v>969</v>
      </c>
      <c r="U495" t="s">
        <v>818</v>
      </c>
      <c r="V495" t="s">
        <v>18</v>
      </c>
      <c r="W495" t="s">
        <v>857</v>
      </c>
      <c r="AC495" t="s">
        <v>982</v>
      </c>
      <c r="AD495" t="s">
        <v>2384</v>
      </c>
      <c r="AE495" t="s">
        <v>857</v>
      </c>
      <c r="AF495" t="s">
        <v>857</v>
      </c>
      <c r="AJ495" s="844" t="s">
        <v>5477</v>
      </c>
      <c r="AK495" s="844" t="s">
        <v>1013</v>
      </c>
      <c r="AL495" s="844" t="s">
        <v>816</v>
      </c>
      <c r="AM495" s="844" t="s">
        <v>53</v>
      </c>
      <c r="AN495" s="844" t="s">
        <v>3321</v>
      </c>
    </row>
    <row r="496" spans="1:40">
      <c r="A496" t="s">
        <v>6356</v>
      </c>
      <c r="B496" t="s">
        <v>969</v>
      </c>
      <c r="C496" t="s">
        <v>818</v>
      </c>
      <c r="E496" t="s">
        <v>18</v>
      </c>
      <c r="F496" t="s">
        <v>4307</v>
      </c>
      <c r="M496" t="s">
        <v>4698</v>
      </c>
      <c r="N496" t="s">
        <v>981</v>
      </c>
      <c r="O496" t="s">
        <v>18</v>
      </c>
      <c r="P496" t="s">
        <v>3716</v>
      </c>
      <c r="T496" t="s">
        <v>969</v>
      </c>
      <c r="U496" t="s">
        <v>818</v>
      </c>
      <c r="V496" t="s">
        <v>18</v>
      </c>
      <c r="W496" t="s">
        <v>857</v>
      </c>
      <c r="AC496" t="s">
        <v>982</v>
      </c>
      <c r="AD496" t="s">
        <v>2384</v>
      </c>
      <c r="AE496" t="s">
        <v>857</v>
      </c>
      <c r="AF496" t="s">
        <v>3691</v>
      </c>
      <c r="AJ496" s="844" t="s">
        <v>5479</v>
      </c>
      <c r="AK496" s="844" t="s">
        <v>1014</v>
      </c>
      <c r="AL496" s="844" t="s">
        <v>818</v>
      </c>
      <c r="AM496" s="844" t="s">
        <v>857</v>
      </c>
      <c r="AN496" s="844" t="s">
        <v>3243</v>
      </c>
    </row>
    <row r="497" spans="1:40">
      <c r="A497" t="s">
        <v>6356</v>
      </c>
      <c r="B497" t="s">
        <v>969</v>
      </c>
      <c r="C497" t="s">
        <v>818</v>
      </c>
      <c r="E497" t="s">
        <v>18</v>
      </c>
      <c r="F497" t="s">
        <v>4304</v>
      </c>
      <c r="M497" t="s">
        <v>4698</v>
      </c>
      <c r="N497" t="s">
        <v>981</v>
      </c>
      <c r="O497" t="s">
        <v>18</v>
      </c>
      <c r="P497" t="s">
        <v>3713</v>
      </c>
      <c r="T497" t="s">
        <v>969</v>
      </c>
      <c r="U497" t="s">
        <v>818</v>
      </c>
      <c r="V497" t="s">
        <v>18</v>
      </c>
      <c r="W497" t="s">
        <v>2366</v>
      </c>
      <c r="AC497" t="s">
        <v>982</v>
      </c>
      <c r="AD497" t="s">
        <v>2384</v>
      </c>
      <c r="AE497" t="s">
        <v>857</v>
      </c>
      <c r="AF497" t="s">
        <v>3696</v>
      </c>
      <c r="AJ497" s="844" t="s">
        <v>5483</v>
      </c>
      <c r="AK497" s="844" t="s">
        <v>1014</v>
      </c>
      <c r="AL497" s="844" t="s">
        <v>818</v>
      </c>
      <c r="AM497" s="844" t="s">
        <v>18</v>
      </c>
      <c r="AN497" s="844" t="s">
        <v>3243</v>
      </c>
    </row>
    <row r="498" spans="1:40">
      <c r="A498" t="s">
        <v>5098</v>
      </c>
      <c r="B498" t="s">
        <v>969</v>
      </c>
      <c r="C498" t="s">
        <v>19</v>
      </c>
      <c r="D498" t="s">
        <v>2366</v>
      </c>
      <c r="E498" t="s">
        <v>18</v>
      </c>
      <c r="F498" t="s">
        <v>4301</v>
      </c>
      <c r="M498" t="s">
        <v>4699</v>
      </c>
      <c r="N498" t="s">
        <v>982</v>
      </c>
      <c r="O498" t="s">
        <v>18</v>
      </c>
      <c r="P498" t="s">
        <v>3711</v>
      </c>
      <c r="T498" t="s">
        <v>969</v>
      </c>
      <c r="U498" t="s">
        <v>19</v>
      </c>
      <c r="V498" t="s">
        <v>857</v>
      </c>
      <c r="W498" t="s">
        <v>857</v>
      </c>
      <c r="AC498" t="s">
        <v>982</v>
      </c>
      <c r="AD498" t="s">
        <v>2416</v>
      </c>
      <c r="AE498" t="s">
        <v>857</v>
      </c>
      <c r="AF498" t="s">
        <v>857</v>
      </c>
      <c r="AJ498" s="844" t="s">
        <v>5486</v>
      </c>
      <c r="AK498" s="844" t="s">
        <v>1014</v>
      </c>
      <c r="AL498" s="844" t="s">
        <v>816</v>
      </c>
      <c r="AM498" s="844" t="s">
        <v>857</v>
      </c>
      <c r="AN498" s="844" t="s">
        <v>3243</v>
      </c>
    </row>
    <row r="499" spans="1:40">
      <c r="A499" t="s">
        <v>6358</v>
      </c>
      <c r="B499" t="s">
        <v>969</v>
      </c>
      <c r="C499" t="s">
        <v>19</v>
      </c>
      <c r="D499" t="s">
        <v>2366</v>
      </c>
      <c r="F499" t="s">
        <v>4105</v>
      </c>
      <c r="M499" t="s">
        <v>4699</v>
      </c>
      <c r="N499" t="s">
        <v>982</v>
      </c>
      <c r="O499" t="s">
        <v>18</v>
      </c>
      <c r="P499" t="s">
        <v>3710</v>
      </c>
      <c r="T499" t="s">
        <v>969</v>
      </c>
      <c r="U499" t="s">
        <v>19</v>
      </c>
      <c r="V499" t="s">
        <v>18</v>
      </c>
      <c r="W499" t="s">
        <v>857</v>
      </c>
      <c r="AC499" t="s">
        <v>982</v>
      </c>
      <c r="AD499" t="s">
        <v>816</v>
      </c>
      <c r="AE499" t="s">
        <v>18</v>
      </c>
      <c r="AF499" t="s">
        <v>857</v>
      </c>
      <c r="AJ499" s="844" t="s">
        <v>5491</v>
      </c>
      <c r="AK499" s="844" t="s">
        <v>1014</v>
      </c>
      <c r="AL499" s="844" t="s">
        <v>816</v>
      </c>
      <c r="AM499" s="844" t="s">
        <v>18</v>
      </c>
      <c r="AN499" s="844" t="s">
        <v>3243</v>
      </c>
    </row>
    <row r="500" spans="1:40">
      <c r="A500" t="s">
        <v>6357</v>
      </c>
      <c r="B500" t="s">
        <v>969</v>
      </c>
      <c r="C500" t="s">
        <v>19</v>
      </c>
      <c r="E500" t="s">
        <v>18</v>
      </c>
      <c r="F500" t="s">
        <v>4306</v>
      </c>
      <c r="M500" t="s">
        <v>4699</v>
      </c>
      <c r="N500" t="s">
        <v>982</v>
      </c>
      <c r="O500" t="s">
        <v>18</v>
      </c>
      <c r="P500" t="s">
        <v>3709</v>
      </c>
      <c r="T500" t="s">
        <v>969</v>
      </c>
      <c r="U500" t="s">
        <v>19</v>
      </c>
      <c r="V500" t="s">
        <v>857</v>
      </c>
      <c r="W500" t="s">
        <v>2366</v>
      </c>
      <c r="AC500" t="s">
        <v>982</v>
      </c>
      <c r="AD500" t="s">
        <v>816</v>
      </c>
      <c r="AE500" t="s">
        <v>18</v>
      </c>
      <c r="AF500" t="s">
        <v>3691</v>
      </c>
      <c r="AJ500" s="844" t="s">
        <v>5492</v>
      </c>
      <c r="AK500" s="844" t="s">
        <v>1015</v>
      </c>
      <c r="AL500" s="844" t="s">
        <v>818</v>
      </c>
      <c r="AM500" s="844" t="s">
        <v>857</v>
      </c>
      <c r="AN500" s="844" t="s">
        <v>3253</v>
      </c>
    </row>
    <row r="501" spans="1:40">
      <c r="A501" t="s">
        <v>5097</v>
      </c>
      <c r="B501" t="s">
        <v>969</v>
      </c>
      <c r="C501" t="s">
        <v>19</v>
      </c>
      <c r="F501" t="s">
        <v>4105</v>
      </c>
      <c r="M501" t="s">
        <v>4699</v>
      </c>
      <c r="N501" t="s">
        <v>982</v>
      </c>
      <c r="O501" t="s">
        <v>18</v>
      </c>
      <c r="P501" t="s">
        <v>3708</v>
      </c>
      <c r="T501" t="s">
        <v>969</v>
      </c>
      <c r="U501" t="s">
        <v>19</v>
      </c>
      <c r="V501" t="s">
        <v>18</v>
      </c>
      <c r="W501" t="s">
        <v>2366</v>
      </c>
      <c r="AC501" t="s">
        <v>983</v>
      </c>
      <c r="AD501" t="s">
        <v>818</v>
      </c>
      <c r="AE501" t="s">
        <v>857</v>
      </c>
      <c r="AF501" t="s">
        <v>857</v>
      </c>
      <c r="AJ501" s="844" t="s">
        <v>5494</v>
      </c>
      <c r="AK501" s="844" t="s">
        <v>1015</v>
      </c>
      <c r="AL501" s="844" t="s">
        <v>818</v>
      </c>
      <c r="AM501" s="844" t="s">
        <v>53</v>
      </c>
      <c r="AN501" s="844" t="s">
        <v>3253</v>
      </c>
    </row>
    <row r="502" spans="1:40">
      <c r="A502" t="s">
        <v>5101</v>
      </c>
      <c r="B502" t="s">
        <v>969</v>
      </c>
      <c r="C502" t="s">
        <v>2384</v>
      </c>
      <c r="D502" t="s">
        <v>2366</v>
      </c>
      <c r="E502" t="s">
        <v>18</v>
      </c>
      <c r="F502" t="s">
        <v>4302</v>
      </c>
      <c r="M502" t="s">
        <v>4699</v>
      </c>
      <c r="N502" t="s">
        <v>982</v>
      </c>
      <c r="O502" t="s">
        <v>18</v>
      </c>
      <c r="P502" t="s">
        <v>3707</v>
      </c>
      <c r="T502" t="s">
        <v>969</v>
      </c>
      <c r="U502" t="s">
        <v>2384</v>
      </c>
      <c r="V502" t="s">
        <v>857</v>
      </c>
      <c r="W502" t="s">
        <v>857</v>
      </c>
      <c r="AC502" t="s">
        <v>983</v>
      </c>
      <c r="AD502" t="s">
        <v>818</v>
      </c>
      <c r="AE502" t="s">
        <v>857</v>
      </c>
      <c r="AF502" t="s">
        <v>3621</v>
      </c>
      <c r="AJ502" s="844" t="s">
        <v>5494</v>
      </c>
      <c r="AK502" s="844" t="s">
        <v>1015</v>
      </c>
      <c r="AL502" s="844" t="s">
        <v>818</v>
      </c>
      <c r="AM502" s="844" t="s">
        <v>53</v>
      </c>
      <c r="AN502" s="844" t="s">
        <v>2366</v>
      </c>
    </row>
    <row r="503" spans="1:40">
      <c r="A503" t="s">
        <v>6359</v>
      </c>
      <c r="B503" t="s">
        <v>969</v>
      </c>
      <c r="C503" t="s">
        <v>2384</v>
      </c>
      <c r="D503" t="s">
        <v>2366</v>
      </c>
      <c r="F503" t="s">
        <v>4103</v>
      </c>
      <c r="M503" t="s">
        <v>4699</v>
      </c>
      <c r="N503" t="s">
        <v>982</v>
      </c>
      <c r="O503" t="s">
        <v>18</v>
      </c>
      <c r="P503" t="s">
        <v>3706</v>
      </c>
      <c r="T503" t="s">
        <v>969</v>
      </c>
      <c r="U503" t="s">
        <v>2384</v>
      </c>
      <c r="V503" t="s">
        <v>857</v>
      </c>
      <c r="W503" t="s">
        <v>2366</v>
      </c>
      <c r="AC503" t="s">
        <v>983</v>
      </c>
      <c r="AD503" t="s">
        <v>818</v>
      </c>
      <c r="AE503" t="s">
        <v>18</v>
      </c>
      <c r="AF503" t="s">
        <v>857</v>
      </c>
      <c r="AJ503" s="844" t="s">
        <v>5499</v>
      </c>
      <c r="AK503" s="844" t="s">
        <v>1016</v>
      </c>
      <c r="AL503" s="844" t="s">
        <v>818</v>
      </c>
      <c r="AM503" s="844" t="s">
        <v>857</v>
      </c>
      <c r="AN503" s="844" t="s">
        <v>3236</v>
      </c>
    </row>
    <row r="504" spans="1:40">
      <c r="A504" t="s">
        <v>5100</v>
      </c>
      <c r="B504" t="s">
        <v>969</v>
      </c>
      <c r="C504" t="s">
        <v>2384</v>
      </c>
      <c r="F504" t="s">
        <v>4103</v>
      </c>
      <c r="M504" t="s">
        <v>4699</v>
      </c>
      <c r="N504" t="s">
        <v>982</v>
      </c>
      <c r="O504" t="s">
        <v>18</v>
      </c>
      <c r="P504" t="s">
        <v>3704</v>
      </c>
      <c r="T504" t="s">
        <v>969</v>
      </c>
      <c r="U504" t="s">
        <v>2384</v>
      </c>
      <c r="V504" t="s">
        <v>18</v>
      </c>
      <c r="W504" t="s">
        <v>2366</v>
      </c>
      <c r="AC504" t="s">
        <v>983</v>
      </c>
      <c r="AD504" t="s">
        <v>818</v>
      </c>
      <c r="AE504" t="s">
        <v>18</v>
      </c>
      <c r="AF504" t="s">
        <v>2900</v>
      </c>
      <c r="AJ504" s="844" t="s">
        <v>5503</v>
      </c>
      <c r="AK504" s="844" t="s">
        <v>1016</v>
      </c>
      <c r="AL504" s="844" t="s">
        <v>818</v>
      </c>
      <c r="AM504" s="844" t="s">
        <v>18</v>
      </c>
      <c r="AN504" s="844" t="s">
        <v>3236</v>
      </c>
    </row>
    <row r="505" spans="1:40">
      <c r="A505" t="s">
        <v>5104</v>
      </c>
      <c r="B505" t="s">
        <v>969</v>
      </c>
      <c r="C505" t="s">
        <v>816</v>
      </c>
      <c r="D505" t="s">
        <v>2366</v>
      </c>
      <c r="E505" t="s">
        <v>53</v>
      </c>
      <c r="F505" t="s">
        <v>4308</v>
      </c>
      <c r="M505" t="s">
        <v>4699</v>
      </c>
      <c r="N505" t="s">
        <v>982</v>
      </c>
      <c r="O505" t="s">
        <v>18</v>
      </c>
      <c r="P505" t="s">
        <v>3702</v>
      </c>
      <c r="T505" t="s">
        <v>969</v>
      </c>
      <c r="U505" t="s">
        <v>816</v>
      </c>
      <c r="V505" t="s">
        <v>18</v>
      </c>
      <c r="W505" t="s">
        <v>857</v>
      </c>
      <c r="AC505" t="s">
        <v>983</v>
      </c>
      <c r="AD505" t="s">
        <v>818</v>
      </c>
      <c r="AE505" t="s">
        <v>18</v>
      </c>
      <c r="AF505" t="s">
        <v>3616</v>
      </c>
      <c r="AJ505" s="844" t="s">
        <v>5505</v>
      </c>
      <c r="AK505" s="844" t="s">
        <v>1016</v>
      </c>
      <c r="AL505" s="844" t="s">
        <v>2416</v>
      </c>
      <c r="AM505" s="844" t="s">
        <v>53</v>
      </c>
      <c r="AN505" s="844" t="s">
        <v>3236</v>
      </c>
    </row>
    <row r="506" spans="1:40">
      <c r="A506" t="s">
        <v>6360</v>
      </c>
      <c r="B506" t="s">
        <v>969</v>
      </c>
      <c r="C506" t="s">
        <v>816</v>
      </c>
      <c r="E506" t="s">
        <v>18</v>
      </c>
      <c r="F506" t="s">
        <v>4305</v>
      </c>
      <c r="M506" t="s">
        <v>4699</v>
      </c>
      <c r="N506" t="s">
        <v>982</v>
      </c>
      <c r="O506" t="s">
        <v>18</v>
      </c>
      <c r="P506" t="s">
        <v>3700</v>
      </c>
      <c r="T506" t="s">
        <v>969</v>
      </c>
      <c r="U506" t="s">
        <v>816</v>
      </c>
      <c r="V506" t="s">
        <v>53</v>
      </c>
      <c r="W506" t="s">
        <v>2366</v>
      </c>
      <c r="AC506" t="s">
        <v>983</v>
      </c>
      <c r="AD506" t="s">
        <v>19</v>
      </c>
      <c r="AE506" t="s">
        <v>857</v>
      </c>
      <c r="AF506" t="s">
        <v>857</v>
      </c>
      <c r="AJ506" s="844" t="s">
        <v>5507</v>
      </c>
      <c r="AK506" s="844" t="s">
        <v>1016</v>
      </c>
      <c r="AL506" s="844" t="s">
        <v>816</v>
      </c>
      <c r="AM506" s="844" t="s">
        <v>857</v>
      </c>
      <c r="AN506" s="844" t="s">
        <v>3236</v>
      </c>
    </row>
    <row r="507" spans="1:40">
      <c r="A507" t="s">
        <v>5105</v>
      </c>
      <c r="B507" t="s">
        <v>970</v>
      </c>
      <c r="C507" t="s">
        <v>818</v>
      </c>
      <c r="D507" t="s">
        <v>4291</v>
      </c>
      <c r="E507" t="s">
        <v>18</v>
      </c>
      <c r="F507" t="s">
        <v>4292</v>
      </c>
      <c r="M507" t="s">
        <v>4699</v>
      </c>
      <c r="N507" t="s">
        <v>982</v>
      </c>
      <c r="O507" t="s">
        <v>18</v>
      </c>
      <c r="P507" t="s">
        <v>3699</v>
      </c>
      <c r="T507" t="s">
        <v>970</v>
      </c>
      <c r="U507" t="s">
        <v>818</v>
      </c>
      <c r="V507" t="s">
        <v>18</v>
      </c>
      <c r="W507" t="s">
        <v>857</v>
      </c>
      <c r="AC507" t="s">
        <v>983</v>
      </c>
      <c r="AD507" t="s">
        <v>19</v>
      </c>
      <c r="AE507" t="s">
        <v>857</v>
      </c>
      <c r="AF507" t="s">
        <v>3616</v>
      </c>
      <c r="AJ507" s="844" t="s">
        <v>5511</v>
      </c>
      <c r="AK507" s="844" t="s">
        <v>1016</v>
      </c>
      <c r="AL507" s="844" t="s">
        <v>816</v>
      </c>
      <c r="AM507" s="844" t="s">
        <v>18</v>
      </c>
      <c r="AN507" s="844" t="s">
        <v>3236</v>
      </c>
    </row>
    <row r="508" spans="1:40">
      <c r="A508" t="s">
        <v>6525</v>
      </c>
      <c r="B508" t="s">
        <v>970</v>
      </c>
      <c r="C508" t="s">
        <v>818</v>
      </c>
      <c r="D508" t="s">
        <v>4012</v>
      </c>
      <c r="E508" t="s">
        <v>18</v>
      </c>
      <c r="F508" t="s">
        <v>4290</v>
      </c>
      <c r="M508" t="s">
        <v>4699</v>
      </c>
      <c r="N508" t="s">
        <v>982</v>
      </c>
      <c r="O508" t="s">
        <v>18</v>
      </c>
      <c r="P508" t="s">
        <v>3695</v>
      </c>
      <c r="T508" t="s">
        <v>970</v>
      </c>
      <c r="U508" t="s">
        <v>818</v>
      </c>
      <c r="V508" t="s">
        <v>18</v>
      </c>
      <c r="W508" t="s">
        <v>857</v>
      </c>
      <c r="AC508" t="s">
        <v>983</v>
      </c>
      <c r="AD508" t="s">
        <v>19</v>
      </c>
      <c r="AE508" t="s">
        <v>18</v>
      </c>
      <c r="AF508" t="s">
        <v>857</v>
      </c>
      <c r="AJ508" s="844" t="s">
        <v>5515</v>
      </c>
      <c r="AK508" s="844" t="s">
        <v>13</v>
      </c>
      <c r="AL508" s="844" t="s">
        <v>818</v>
      </c>
      <c r="AM508" s="844" t="s">
        <v>18</v>
      </c>
      <c r="AN508" s="844" t="s">
        <v>3218</v>
      </c>
    </row>
    <row r="509" spans="1:40">
      <c r="A509" t="s">
        <v>6623</v>
      </c>
      <c r="B509" t="s">
        <v>970</v>
      </c>
      <c r="C509" t="s">
        <v>818</v>
      </c>
      <c r="D509" t="s">
        <v>4012</v>
      </c>
      <c r="F509" t="s">
        <v>4013</v>
      </c>
      <c r="M509" t="s">
        <v>4699</v>
      </c>
      <c r="N509" t="s">
        <v>982</v>
      </c>
      <c r="O509" t="s">
        <v>18</v>
      </c>
      <c r="P509" t="s">
        <v>3693</v>
      </c>
      <c r="T509" t="s">
        <v>970</v>
      </c>
      <c r="U509" t="s">
        <v>818</v>
      </c>
      <c r="V509" t="s">
        <v>18</v>
      </c>
      <c r="W509" t="s">
        <v>4291</v>
      </c>
      <c r="AC509" t="s">
        <v>983</v>
      </c>
      <c r="AD509" t="s">
        <v>19</v>
      </c>
      <c r="AE509" t="s">
        <v>18</v>
      </c>
      <c r="AF509" t="s">
        <v>3616</v>
      </c>
      <c r="AJ509" s="844" t="s">
        <v>5515</v>
      </c>
      <c r="AK509" s="844" t="s">
        <v>13</v>
      </c>
      <c r="AL509" s="844" t="s">
        <v>818</v>
      </c>
      <c r="AM509" s="844" t="s">
        <v>18</v>
      </c>
      <c r="AN509" s="844" t="s">
        <v>3212</v>
      </c>
    </row>
    <row r="510" spans="1:40">
      <c r="A510" t="s">
        <v>6361</v>
      </c>
      <c r="B510" t="s">
        <v>970</v>
      </c>
      <c r="C510" t="s">
        <v>818</v>
      </c>
      <c r="E510" t="s">
        <v>18</v>
      </c>
      <c r="F510" t="s">
        <v>4300</v>
      </c>
      <c r="M510" t="s">
        <v>4699</v>
      </c>
      <c r="N510" t="s">
        <v>982</v>
      </c>
      <c r="O510" t="s">
        <v>18</v>
      </c>
      <c r="P510" t="s">
        <v>3692</v>
      </c>
      <c r="T510" t="s">
        <v>970</v>
      </c>
      <c r="U510" t="s">
        <v>818</v>
      </c>
      <c r="V510" t="s">
        <v>857</v>
      </c>
      <c r="W510" t="s">
        <v>4012</v>
      </c>
      <c r="AC510" t="s">
        <v>983</v>
      </c>
      <c r="AD510" t="s">
        <v>816</v>
      </c>
      <c r="AE510" t="s">
        <v>857</v>
      </c>
      <c r="AF510" t="s">
        <v>3616</v>
      </c>
      <c r="AJ510" s="844" t="s">
        <v>5516</v>
      </c>
      <c r="AK510" s="844" t="s">
        <v>13</v>
      </c>
      <c r="AL510" s="844" t="s">
        <v>19</v>
      </c>
      <c r="AM510" s="844" t="s">
        <v>857</v>
      </c>
      <c r="AN510" s="844" t="s">
        <v>3212</v>
      </c>
    </row>
    <row r="511" spans="1:40">
      <c r="A511" t="s">
        <v>6361</v>
      </c>
      <c r="B511" t="s">
        <v>970</v>
      </c>
      <c r="C511" t="s">
        <v>818</v>
      </c>
      <c r="E511" t="s">
        <v>18</v>
      </c>
      <c r="F511" t="s">
        <v>4298</v>
      </c>
      <c r="M511" t="s">
        <v>4699</v>
      </c>
      <c r="N511" t="s">
        <v>982</v>
      </c>
      <c r="O511" t="s">
        <v>18</v>
      </c>
      <c r="P511" t="s">
        <v>3690</v>
      </c>
      <c r="T511" t="s">
        <v>970</v>
      </c>
      <c r="U511" t="s">
        <v>818</v>
      </c>
      <c r="V511" t="s">
        <v>18</v>
      </c>
      <c r="W511" t="s">
        <v>4012</v>
      </c>
      <c r="AC511" t="s">
        <v>983</v>
      </c>
      <c r="AD511" t="s">
        <v>816</v>
      </c>
      <c r="AE511" t="s">
        <v>18</v>
      </c>
      <c r="AF511" t="s">
        <v>857</v>
      </c>
      <c r="AJ511" s="844" t="s">
        <v>5521</v>
      </c>
      <c r="AK511" s="844" t="s">
        <v>13</v>
      </c>
      <c r="AL511" s="844" t="s">
        <v>19</v>
      </c>
      <c r="AM511" s="844" t="s">
        <v>18</v>
      </c>
      <c r="AN511" s="844" t="s">
        <v>3212</v>
      </c>
    </row>
    <row r="512" spans="1:40">
      <c r="A512" t="s">
        <v>6362</v>
      </c>
      <c r="B512" t="s">
        <v>970</v>
      </c>
      <c r="C512" t="s">
        <v>19</v>
      </c>
      <c r="E512" t="s">
        <v>18</v>
      </c>
      <c r="F512" t="s">
        <v>4294</v>
      </c>
      <c r="M512" t="s">
        <v>4699</v>
      </c>
      <c r="N512" t="s">
        <v>982</v>
      </c>
      <c r="O512" t="s">
        <v>18</v>
      </c>
      <c r="P512" t="s">
        <v>3689</v>
      </c>
      <c r="T512" t="s">
        <v>970</v>
      </c>
      <c r="U512" t="s">
        <v>19</v>
      </c>
      <c r="V512" t="s">
        <v>18</v>
      </c>
      <c r="W512" t="s">
        <v>857</v>
      </c>
      <c r="AC512" t="s">
        <v>983</v>
      </c>
      <c r="AD512" t="s">
        <v>816</v>
      </c>
      <c r="AE512" t="s">
        <v>18</v>
      </c>
      <c r="AF512" t="s">
        <v>3616</v>
      </c>
      <c r="AJ512" s="844" t="s">
        <v>5521</v>
      </c>
      <c r="AK512" s="844" t="s">
        <v>13</v>
      </c>
      <c r="AL512" s="844" t="s">
        <v>19</v>
      </c>
      <c r="AM512" s="844" t="s">
        <v>18</v>
      </c>
      <c r="AN512" s="844" t="s">
        <v>3214</v>
      </c>
    </row>
    <row r="513" spans="1:40">
      <c r="A513" t="s">
        <v>6362</v>
      </c>
      <c r="B513" t="s">
        <v>970</v>
      </c>
      <c r="C513" t="s">
        <v>19</v>
      </c>
      <c r="E513" t="s">
        <v>18</v>
      </c>
      <c r="F513" t="s">
        <v>4293</v>
      </c>
      <c r="M513" t="s">
        <v>4699</v>
      </c>
      <c r="N513" t="s">
        <v>982</v>
      </c>
      <c r="O513" t="s">
        <v>18</v>
      </c>
      <c r="P513" t="s">
        <v>3688</v>
      </c>
      <c r="T513" t="s">
        <v>970</v>
      </c>
      <c r="U513" t="s">
        <v>19</v>
      </c>
      <c r="V513" t="s">
        <v>18</v>
      </c>
      <c r="W513" t="s">
        <v>857</v>
      </c>
      <c r="AC513" t="s">
        <v>984</v>
      </c>
      <c r="AD513" t="s">
        <v>818</v>
      </c>
      <c r="AE513" t="s">
        <v>857</v>
      </c>
      <c r="AF513" t="s">
        <v>3668</v>
      </c>
      <c r="AJ513" s="844" t="s">
        <v>5523</v>
      </c>
      <c r="AK513" s="844" t="s">
        <v>13</v>
      </c>
      <c r="AL513" s="844" t="s">
        <v>2384</v>
      </c>
      <c r="AM513" s="844" t="s">
        <v>857</v>
      </c>
      <c r="AN513" s="844" t="s">
        <v>3222</v>
      </c>
    </row>
    <row r="514" spans="1:40">
      <c r="A514" t="s">
        <v>5107</v>
      </c>
      <c r="B514" t="s">
        <v>970</v>
      </c>
      <c r="C514" t="s">
        <v>816</v>
      </c>
      <c r="D514" t="s">
        <v>4224</v>
      </c>
      <c r="E514" t="s">
        <v>18</v>
      </c>
      <c r="F514" t="s">
        <v>4289</v>
      </c>
      <c r="M514" t="s">
        <v>4699</v>
      </c>
      <c r="N514" t="s">
        <v>982</v>
      </c>
      <c r="O514" t="s">
        <v>18</v>
      </c>
      <c r="P514" t="s">
        <v>3687</v>
      </c>
      <c r="T514" t="s">
        <v>970</v>
      </c>
      <c r="U514" t="s">
        <v>816</v>
      </c>
      <c r="V514" t="s">
        <v>18</v>
      </c>
      <c r="W514" t="s">
        <v>857</v>
      </c>
      <c r="AC514" t="s">
        <v>984</v>
      </c>
      <c r="AD514" t="s">
        <v>818</v>
      </c>
      <c r="AE514" t="s">
        <v>18</v>
      </c>
      <c r="AF514" t="s">
        <v>857</v>
      </c>
      <c r="AJ514" s="844" t="s">
        <v>5523</v>
      </c>
      <c r="AK514" s="844" t="s">
        <v>13</v>
      </c>
      <c r="AL514" s="844" t="s">
        <v>2384</v>
      </c>
      <c r="AM514" s="844" t="s">
        <v>857</v>
      </c>
      <c r="AN514" s="844" t="s">
        <v>3218</v>
      </c>
    </row>
    <row r="515" spans="1:40">
      <c r="A515" t="s">
        <v>6364</v>
      </c>
      <c r="B515" t="s">
        <v>970</v>
      </c>
      <c r="C515" t="s">
        <v>816</v>
      </c>
      <c r="D515" t="s">
        <v>4224</v>
      </c>
      <c r="F515" t="s">
        <v>4225</v>
      </c>
      <c r="M515" t="s">
        <v>4699</v>
      </c>
      <c r="N515" t="s">
        <v>982</v>
      </c>
      <c r="O515" t="s">
        <v>18</v>
      </c>
      <c r="P515" t="s">
        <v>3686</v>
      </c>
      <c r="T515" t="s">
        <v>970</v>
      </c>
      <c r="U515" t="s">
        <v>816</v>
      </c>
      <c r="V515" t="s">
        <v>18</v>
      </c>
      <c r="W515" t="s">
        <v>857</v>
      </c>
      <c r="AC515" t="s">
        <v>984</v>
      </c>
      <c r="AD515" t="s">
        <v>818</v>
      </c>
      <c r="AE515" t="s">
        <v>18</v>
      </c>
      <c r="AF515" t="s">
        <v>3675</v>
      </c>
      <c r="AJ515" s="844" t="s">
        <v>5523</v>
      </c>
      <c r="AK515" s="844" t="s">
        <v>13</v>
      </c>
      <c r="AL515" s="844" t="s">
        <v>2384</v>
      </c>
      <c r="AM515" s="844" t="s">
        <v>857</v>
      </c>
      <c r="AN515" s="844" t="s">
        <v>3212</v>
      </c>
    </row>
    <row r="516" spans="1:40">
      <c r="A516" t="s">
        <v>6363</v>
      </c>
      <c r="B516" t="s">
        <v>970</v>
      </c>
      <c r="C516" t="s">
        <v>816</v>
      </c>
      <c r="E516" t="s">
        <v>18</v>
      </c>
      <c r="F516" t="s">
        <v>4299</v>
      </c>
      <c r="M516" t="s">
        <v>4699</v>
      </c>
      <c r="N516" t="s">
        <v>982</v>
      </c>
      <c r="O516" t="s">
        <v>18</v>
      </c>
      <c r="P516" t="s">
        <v>3685</v>
      </c>
      <c r="T516" t="s">
        <v>970</v>
      </c>
      <c r="U516" t="s">
        <v>816</v>
      </c>
      <c r="V516" t="s">
        <v>18</v>
      </c>
      <c r="W516" t="s">
        <v>857</v>
      </c>
      <c r="AC516" t="s">
        <v>984</v>
      </c>
      <c r="AD516" t="s">
        <v>818</v>
      </c>
      <c r="AE516" t="s">
        <v>18</v>
      </c>
      <c r="AF516" t="s">
        <v>2581</v>
      </c>
      <c r="AJ516" s="844" t="s">
        <v>5525</v>
      </c>
      <c r="AK516" s="844" t="s">
        <v>13</v>
      </c>
      <c r="AL516" s="844" t="s">
        <v>2384</v>
      </c>
      <c r="AM516" s="844" t="s">
        <v>18</v>
      </c>
      <c r="AN516" s="844" t="s">
        <v>3218</v>
      </c>
    </row>
    <row r="517" spans="1:40">
      <c r="A517" t="s">
        <v>6363</v>
      </c>
      <c r="B517" t="s">
        <v>970</v>
      </c>
      <c r="C517" t="s">
        <v>816</v>
      </c>
      <c r="E517" t="s">
        <v>18</v>
      </c>
      <c r="F517" t="s">
        <v>4297</v>
      </c>
      <c r="M517" t="s">
        <v>4700</v>
      </c>
      <c r="N517" t="s">
        <v>983</v>
      </c>
      <c r="O517" t="s">
        <v>18</v>
      </c>
      <c r="P517" t="s">
        <v>3627</v>
      </c>
      <c r="T517" t="s">
        <v>970</v>
      </c>
      <c r="U517" t="s">
        <v>816</v>
      </c>
      <c r="V517" t="s">
        <v>18</v>
      </c>
      <c r="W517" t="s">
        <v>857</v>
      </c>
      <c r="AC517" t="s">
        <v>984</v>
      </c>
      <c r="AD517" t="s">
        <v>818</v>
      </c>
      <c r="AE517" t="s">
        <v>18</v>
      </c>
      <c r="AF517" t="s">
        <v>3677</v>
      </c>
      <c r="AJ517" s="844" t="s">
        <v>5527</v>
      </c>
      <c r="AK517" s="844" t="s">
        <v>13</v>
      </c>
      <c r="AL517" s="844" t="s">
        <v>2416</v>
      </c>
      <c r="AM517" s="844" t="s">
        <v>18</v>
      </c>
      <c r="AN517" s="844" t="s">
        <v>3212</v>
      </c>
    </row>
    <row r="518" spans="1:40">
      <c r="A518" t="s">
        <v>6363</v>
      </c>
      <c r="B518" t="s">
        <v>970</v>
      </c>
      <c r="C518" t="s">
        <v>816</v>
      </c>
      <c r="E518" t="s">
        <v>18</v>
      </c>
      <c r="F518" t="s">
        <v>4296</v>
      </c>
      <c r="M518" t="s">
        <v>4700</v>
      </c>
      <c r="N518" t="s">
        <v>983</v>
      </c>
      <c r="O518" t="s">
        <v>18</v>
      </c>
      <c r="P518" t="s">
        <v>3626</v>
      </c>
      <c r="T518" t="s">
        <v>970</v>
      </c>
      <c r="U518" t="s">
        <v>816</v>
      </c>
      <c r="V518" t="s">
        <v>857</v>
      </c>
      <c r="W518" t="s">
        <v>4224</v>
      </c>
      <c r="AC518" t="s">
        <v>984</v>
      </c>
      <c r="AD518" t="s">
        <v>818</v>
      </c>
      <c r="AE518" t="s">
        <v>18</v>
      </c>
      <c r="AF518" t="s">
        <v>3668</v>
      </c>
      <c r="AJ518" s="844" t="s">
        <v>5530</v>
      </c>
      <c r="AK518" s="844" t="s">
        <v>13</v>
      </c>
      <c r="AL518" s="844" t="s">
        <v>816</v>
      </c>
      <c r="AM518" s="844" t="s">
        <v>18</v>
      </c>
      <c r="AN518" s="844" t="s">
        <v>3212</v>
      </c>
    </row>
    <row r="519" spans="1:40">
      <c r="A519" t="s">
        <v>6363</v>
      </c>
      <c r="B519" t="s">
        <v>970</v>
      </c>
      <c r="C519" t="s">
        <v>816</v>
      </c>
      <c r="E519" t="s">
        <v>18</v>
      </c>
      <c r="F519" t="s">
        <v>4295</v>
      </c>
      <c r="M519" t="s">
        <v>4700</v>
      </c>
      <c r="N519" t="s">
        <v>983</v>
      </c>
      <c r="O519" t="s">
        <v>18</v>
      </c>
      <c r="P519" t="s">
        <v>3625</v>
      </c>
      <c r="T519" t="s">
        <v>970</v>
      </c>
      <c r="U519" t="s">
        <v>816</v>
      </c>
      <c r="V519" t="s">
        <v>18</v>
      </c>
      <c r="W519" t="s">
        <v>4224</v>
      </c>
      <c r="AC519" t="s">
        <v>984</v>
      </c>
      <c r="AD519" t="s">
        <v>19</v>
      </c>
      <c r="AE519" t="s">
        <v>857</v>
      </c>
      <c r="AF519" t="s">
        <v>857</v>
      </c>
      <c r="AJ519" s="844" t="s">
        <v>5534</v>
      </c>
      <c r="AK519" s="844" t="s">
        <v>1051</v>
      </c>
      <c r="AL519" s="844" t="s">
        <v>818</v>
      </c>
      <c r="AM519" s="844" t="s">
        <v>18</v>
      </c>
      <c r="AN519" s="844" t="s">
        <v>2559</v>
      </c>
    </row>
    <row r="520" spans="1:40">
      <c r="A520" t="s">
        <v>5109</v>
      </c>
      <c r="B520" t="s">
        <v>2920</v>
      </c>
      <c r="C520" t="s">
        <v>818</v>
      </c>
      <c r="D520" t="s">
        <v>2919</v>
      </c>
      <c r="E520" t="s">
        <v>18</v>
      </c>
      <c r="F520" t="s">
        <v>2921</v>
      </c>
      <c r="M520" t="s">
        <v>4700</v>
      </c>
      <c r="N520" t="s">
        <v>983</v>
      </c>
      <c r="O520" t="s">
        <v>18</v>
      </c>
      <c r="P520" t="s">
        <v>3624</v>
      </c>
      <c r="T520" t="s">
        <v>2920</v>
      </c>
      <c r="U520" t="s">
        <v>818</v>
      </c>
      <c r="V520" t="s">
        <v>18</v>
      </c>
      <c r="W520" t="s">
        <v>2919</v>
      </c>
      <c r="AC520" t="s">
        <v>984</v>
      </c>
      <c r="AD520" t="s">
        <v>19</v>
      </c>
      <c r="AE520" t="s">
        <v>857</v>
      </c>
      <c r="AF520" t="s">
        <v>2768</v>
      </c>
      <c r="AJ520" s="844" t="s">
        <v>5534</v>
      </c>
      <c r="AK520" s="844" t="s">
        <v>1051</v>
      </c>
      <c r="AL520" s="844" t="s">
        <v>818</v>
      </c>
      <c r="AM520" s="844" t="s">
        <v>18</v>
      </c>
      <c r="AN520" s="844" t="s">
        <v>2867</v>
      </c>
    </row>
    <row r="521" spans="1:40">
      <c r="A521" t="s">
        <v>5111</v>
      </c>
      <c r="B521" t="s">
        <v>2920</v>
      </c>
      <c r="C521" t="s">
        <v>816</v>
      </c>
      <c r="D521" t="s">
        <v>2925</v>
      </c>
      <c r="E521" t="s">
        <v>18</v>
      </c>
      <c r="F521" t="s">
        <v>2926</v>
      </c>
      <c r="M521" t="s">
        <v>4700</v>
      </c>
      <c r="N521" t="s">
        <v>983</v>
      </c>
      <c r="O521" t="s">
        <v>18</v>
      </c>
      <c r="P521" t="s">
        <v>3623</v>
      </c>
      <c r="T521" t="s">
        <v>2920</v>
      </c>
      <c r="U521" t="s">
        <v>816</v>
      </c>
      <c r="V521" t="s">
        <v>18</v>
      </c>
      <c r="W521" t="s">
        <v>2925</v>
      </c>
      <c r="AC521" t="s">
        <v>984</v>
      </c>
      <c r="AD521" t="s">
        <v>19</v>
      </c>
      <c r="AE521" t="s">
        <v>18</v>
      </c>
      <c r="AF521" t="s">
        <v>857</v>
      </c>
      <c r="AJ521" s="844" t="s">
        <v>5538</v>
      </c>
      <c r="AK521" s="844" t="s">
        <v>1051</v>
      </c>
      <c r="AL521" s="844" t="s">
        <v>19</v>
      </c>
      <c r="AM521" s="844" t="s">
        <v>18</v>
      </c>
      <c r="AN521" s="844" t="s">
        <v>2559</v>
      </c>
    </row>
    <row r="522" spans="1:40">
      <c r="A522" t="s">
        <v>5113</v>
      </c>
      <c r="B522" t="s">
        <v>971</v>
      </c>
      <c r="C522" t="s">
        <v>818</v>
      </c>
      <c r="D522" t="s">
        <v>4275</v>
      </c>
      <c r="E522" t="s">
        <v>18</v>
      </c>
      <c r="F522" t="s">
        <v>4276</v>
      </c>
      <c r="M522" t="s">
        <v>4700</v>
      </c>
      <c r="N522" t="s">
        <v>983</v>
      </c>
      <c r="O522" t="s">
        <v>18</v>
      </c>
      <c r="P522" t="s">
        <v>3620</v>
      </c>
      <c r="T522" t="s">
        <v>971</v>
      </c>
      <c r="U522" t="s">
        <v>818</v>
      </c>
      <c r="V522" t="s">
        <v>18</v>
      </c>
      <c r="W522" t="s">
        <v>857</v>
      </c>
      <c r="AC522" t="s">
        <v>984</v>
      </c>
      <c r="AD522" t="s">
        <v>19</v>
      </c>
      <c r="AE522" t="s">
        <v>18</v>
      </c>
      <c r="AF522" t="s">
        <v>2768</v>
      </c>
      <c r="AJ522" s="844" t="s">
        <v>5538</v>
      </c>
      <c r="AK522" s="844" t="s">
        <v>1051</v>
      </c>
      <c r="AL522" s="844" t="s">
        <v>19</v>
      </c>
      <c r="AM522" s="844" t="s">
        <v>18</v>
      </c>
      <c r="AN522" s="844" t="s">
        <v>2867</v>
      </c>
    </row>
    <row r="523" spans="1:40">
      <c r="A523" t="s">
        <v>6526</v>
      </c>
      <c r="B523" t="s">
        <v>971</v>
      </c>
      <c r="C523" t="s">
        <v>818</v>
      </c>
      <c r="D523" t="s">
        <v>4273</v>
      </c>
      <c r="E523" t="s">
        <v>18</v>
      </c>
      <c r="F523" t="s">
        <v>4279</v>
      </c>
      <c r="M523" t="s">
        <v>4700</v>
      </c>
      <c r="N523" t="s">
        <v>983</v>
      </c>
      <c r="O523" t="s">
        <v>18</v>
      </c>
      <c r="P523" t="s">
        <v>3619</v>
      </c>
      <c r="T523" t="s">
        <v>971</v>
      </c>
      <c r="U523" t="s">
        <v>818</v>
      </c>
      <c r="V523" t="s">
        <v>18</v>
      </c>
      <c r="W523" t="s">
        <v>857</v>
      </c>
      <c r="AC523" t="s">
        <v>984</v>
      </c>
      <c r="AD523" t="s">
        <v>2384</v>
      </c>
      <c r="AE523" t="s">
        <v>857</v>
      </c>
      <c r="AF523" t="s">
        <v>857</v>
      </c>
      <c r="AJ523" s="844" t="s">
        <v>5539</v>
      </c>
      <c r="AK523" s="844" t="s">
        <v>1051</v>
      </c>
      <c r="AL523" s="844" t="s">
        <v>2384</v>
      </c>
      <c r="AM523" s="844" t="s">
        <v>857</v>
      </c>
      <c r="AN523" s="844" t="s">
        <v>2867</v>
      </c>
    </row>
    <row r="524" spans="1:40">
      <c r="A524" t="s">
        <v>6526</v>
      </c>
      <c r="B524" t="s">
        <v>971</v>
      </c>
      <c r="C524" t="s">
        <v>818</v>
      </c>
      <c r="D524" t="s">
        <v>4273</v>
      </c>
      <c r="E524" t="s">
        <v>18</v>
      </c>
      <c r="F524" t="s">
        <v>4274</v>
      </c>
      <c r="M524" t="s">
        <v>4700</v>
      </c>
      <c r="N524" t="s">
        <v>983</v>
      </c>
      <c r="O524" t="s">
        <v>18</v>
      </c>
      <c r="P524" t="s">
        <v>3618</v>
      </c>
      <c r="T524" t="s">
        <v>971</v>
      </c>
      <c r="U524" t="s">
        <v>818</v>
      </c>
      <c r="V524" t="s">
        <v>18</v>
      </c>
      <c r="W524" t="s">
        <v>857</v>
      </c>
      <c r="AC524" t="s">
        <v>984</v>
      </c>
      <c r="AD524" t="s">
        <v>2384</v>
      </c>
      <c r="AE524" t="s">
        <v>18</v>
      </c>
      <c r="AF524" t="s">
        <v>2636</v>
      </c>
      <c r="AJ524" s="844" t="s">
        <v>5545</v>
      </c>
      <c r="AK524" s="844" t="s">
        <v>1051</v>
      </c>
      <c r="AL524" s="844" t="s">
        <v>816</v>
      </c>
      <c r="AM524" s="844" t="s">
        <v>18</v>
      </c>
      <c r="AN524" s="844" t="s">
        <v>2559</v>
      </c>
    </row>
    <row r="525" spans="1:40">
      <c r="A525" t="s">
        <v>5114</v>
      </c>
      <c r="B525" t="s">
        <v>971</v>
      </c>
      <c r="C525" t="s">
        <v>818</v>
      </c>
      <c r="D525" t="s">
        <v>4009</v>
      </c>
      <c r="E525" t="s">
        <v>18</v>
      </c>
      <c r="F525" t="s">
        <v>4280</v>
      </c>
      <c r="M525" t="s">
        <v>4700</v>
      </c>
      <c r="N525" t="s">
        <v>983</v>
      </c>
      <c r="O525" t="s">
        <v>18</v>
      </c>
      <c r="P525" t="s">
        <v>3617</v>
      </c>
      <c r="T525" t="s">
        <v>971</v>
      </c>
      <c r="U525" t="s">
        <v>818</v>
      </c>
      <c r="V525" t="s">
        <v>18</v>
      </c>
      <c r="W525" t="s">
        <v>4275</v>
      </c>
      <c r="AC525" t="s">
        <v>984</v>
      </c>
      <c r="AD525" t="s">
        <v>2416</v>
      </c>
      <c r="AE525" t="s">
        <v>18</v>
      </c>
      <c r="AF525" t="s">
        <v>857</v>
      </c>
      <c r="AJ525" s="844" t="s">
        <v>5545</v>
      </c>
      <c r="AK525" s="844" t="s">
        <v>1051</v>
      </c>
      <c r="AL525" s="844" t="s">
        <v>816</v>
      </c>
      <c r="AM525" s="844" t="s">
        <v>18</v>
      </c>
      <c r="AN525" s="844" t="s">
        <v>2867</v>
      </c>
    </row>
    <row r="526" spans="1:40">
      <c r="A526" t="s">
        <v>5114</v>
      </c>
      <c r="B526" t="s">
        <v>971</v>
      </c>
      <c r="C526" t="s">
        <v>818</v>
      </c>
      <c r="D526" t="s">
        <v>4009</v>
      </c>
      <c r="E526" t="s">
        <v>18</v>
      </c>
      <c r="F526" t="s">
        <v>4271</v>
      </c>
      <c r="M526" t="s">
        <v>4701</v>
      </c>
      <c r="N526" t="s">
        <v>984</v>
      </c>
      <c r="O526" t="s">
        <v>53</v>
      </c>
      <c r="P526" t="s">
        <v>3682</v>
      </c>
      <c r="T526" t="s">
        <v>971</v>
      </c>
      <c r="U526" t="s">
        <v>818</v>
      </c>
      <c r="V526" t="s">
        <v>18</v>
      </c>
      <c r="W526" t="s">
        <v>4273</v>
      </c>
      <c r="AC526" t="s">
        <v>984</v>
      </c>
      <c r="AD526" t="s">
        <v>816</v>
      </c>
      <c r="AE526" t="s">
        <v>857</v>
      </c>
      <c r="AF526" t="s">
        <v>2636</v>
      </c>
      <c r="AJ526" s="844" t="s">
        <v>5548</v>
      </c>
      <c r="AK526" s="844" t="s">
        <v>1052</v>
      </c>
      <c r="AL526" s="844" t="s">
        <v>818</v>
      </c>
      <c r="AM526" s="844" t="s">
        <v>18</v>
      </c>
      <c r="AN526" s="844" t="s">
        <v>3089</v>
      </c>
    </row>
    <row r="527" spans="1:40">
      <c r="A527" t="s">
        <v>6366</v>
      </c>
      <c r="B527" t="s">
        <v>971</v>
      </c>
      <c r="C527" t="s">
        <v>818</v>
      </c>
      <c r="D527" t="s">
        <v>4009</v>
      </c>
      <c r="F527" t="s">
        <v>4010</v>
      </c>
      <c r="M527" t="s">
        <v>4702</v>
      </c>
      <c r="N527" t="s">
        <v>984</v>
      </c>
      <c r="O527" t="s">
        <v>18</v>
      </c>
      <c r="P527" t="s">
        <v>3684</v>
      </c>
      <c r="T527" t="s">
        <v>971</v>
      </c>
      <c r="U527" t="s">
        <v>818</v>
      </c>
      <c r="V527" t="s">
        <v>18</v>
      </c>
      <c r="W527" t="s">
        <v>4273</v>
      </c>
      <c r="AC527" t="s">
        <v>984</v>
      </c>
      <c r="AD527" t="s">
        <v>816</v>
      </c>
      <c r="AE527" t="s">
        <v>53</v>
      </c>
      <c r="AF527" t="s">
        <v>857</v>
      </c>
      <c r="AJ527" s="844" t="s">
        <v>5548</v>
      </c>
      <c r="AK527" s="844" t="s">
        <v>1052</v>
      </c>
      <c r="AL527" s="844" t="s">
        <v>818</v>
      </c>
      <c r="AM527" s="844" t="s">
        <v>18</v>
      </c>
      <c r="AN527" s="844" t="s">
        <v>3093</v>
      </c>
    </row>
    <row r="528" spans="1:40">
      <c r="A528" t="s">
        <v>6365</v>
      </c>
      <c r="B528" t="s">
        <v>971</v>
      </c>
      <c r="C528" t="s">
        <v>818</v>
      </c>
      <c r="E528" t="s">
        <v>18</v>
      </c>
      <c r="F528" t="s">
        <v>4286</v>
      </c>
      <c r="M528" t="s">
        <v>4702</v>
      </c>
      <c r="N528" t="s">
        <v>984</v>
      </c>
      <c r="O528" t="s">
        <v>18</v>
      </c>
      <c r="P528" t="s">
        <v>3683</v>
      </c>
      <c r="T528" t="s">
        <v>971</v>
      </c>
      <c r="U528" t="s">
        <v>818</v>
      </c>
      <c r="V528" t="s">
        <v>857</v>
      </c>
      <c r="W528" t="s">
        <v>4009</v>
      </c>
      <c r="AC528" t="s">
        <v>984</v>
      </c>
      <c r="AD528" t="s">
        <v>816</v>
      </c>
      <c r="AE528" t="s">
        <v>18</v>
      </c>
      <c r="AF528" t="s">
        <v>2636</v>
      </c>
      <c r="AJ528" s="844" t="s">
        <v>5549</v>
      </c>
      <c r="AK528" s="844" t="s">
        <v>1052</v>
      </c>
      <c r="AL528" s="844" t="s">
        <v>19</v>
      </c>
      <c r="AM528" s="844" t="s">
        <v>857</v>
      </c>
      <c r="AN528" s="844" t="s">
        <v>3089</v>
      </c>
    </row>
    <row r="529" spans="1:40">
      <c r="A529" t="s">
        <v>6365</v>
      </c>
      <c r="B529" t="s">
        <v>971</v>
      </c>
      <c r="C529" t="s">
        <v>818</v>
      </c>
      <c r="E529" t="s">
        <v>18</v>
      </c>
      <c r="F529" t="s">
        <v>4285</v>
      </c>
      <c r="M529" t="s">
        <v>4702</v>
      </c>
      <c r="N529" t="s">
        <v>984</v>
      </c>
      <c r="O529" t="s">
        <v>18</v>
      </c>
      <c r="P529" t="s">
        <v>3681</v>
      </c>
      <c r="T529" t="s">
        <v>971</v>
      </c>
      <c r="U529" t="s">
        <v>818</v>
      </c>
      <c r="V529" t="s">
        <v>18</v>
      </c>
      <c r="W529" t="s">
        <v>4009</v>
      </c>
      <c r="AC529" t="s">
        <v>984</v>
      </c>
      <c r="AD529" t="s">
        <v>816</v>
      </c>
      <c r="AE529" t="s">
        <v>18</v>
      </c>
      <c r="AF529" t="s">
        <v>2581</v>
      </c>
      <c r="AJ529" s="844" t="s">
        <v>5554</v>
      </c>
      <c r="AK529" s="844" t="s">
        <v>1052</v>
      </c>
      <c r="AL529" s="844" t="s">
        <v>19</v>
      </c>
      <c r="AM529" s="844" t="s">
        <v>18</v>
      </c>
      <c r="AN529" s="844" t="s">
        <v>3089</v>
      </c>
    </row>
    <row r="530" spans="1:40">
      <c r="A530" t="s">
        <v>6365</v>
      </c>
      <c r="B530" t="s">
        <v>971</v>
      </c>
      <c r="C530" t="s">
        <v>818</v>
      </c>
      <c r="E530" t="s">
        <v>18</v>
      </c>
      <c r="F530" t="s">
        <v>4272</v>
      </c>
      <c r="M530" t="s">
        <v>4702</v>
      </c>
      <c r="N530" t="s">
        <v>984</v>
      </c>
      <c r="O530" t="s">
        <v>18</v>
      </c>
      <c r="P530" t="s">
        <v>3680</v>
      </c>
      <c r="T530" t="s">
        <v>971</v>
      </c>
      <c r="U530" t="s">
        <v>818</v>
      </c>
      <c r="V530" t="s">
        <v>18</v>
      </c>
      <c r="W530" t="s">
        <v>4009</v>
      </c>
      <c r="AC530" t="s">
        <v>984</v>
      </c>
      <c r="AD530" t="s">
        <v>816</v>
      </c>
      <c r="AE530" t="s">
        <v>18</v>
      </c>
      <c r="AF530" t="s">
        <v>3668</v>
      </c>
      <c r="AJ530" s="844" t="s">
        <v>5555</v>
      </c>
      <c r="AK530" s="844" t="s">
        <v>1052</v>
      </c>
      <c r="AL530" s="844" t="s">
        <v>2384</v>
      </c>
      <c r="AM530" s="844" t="s">
        <v>857</v>
      </c>
      <c r="AN530" s="844" t="s">
        <v>3089</v>
      </c>
    </row>
    <row r="531" spans="1:40">
      <c r="A531" t="s">
        <v>6527</v>
      </c>
      <c r="B531" t="s">
        <v>971</v>
      </c>
      <c r="C531" t="s">
        <v>19</v>
      </c>
      <c r="D531" t="s">
        <v>4273</v>
      </c>
      <c r="E531" t="s">
        <v>18</v>
      </c>
      <c r="F531" t="s">
        <v>4281</v>
      </c>
      <c r="M531" t="s">
        <v>4702</v>
      </c>
      <c r="N531" t="s">
        <v>984</v>
      </c>
      <c r="O531" t="s">
        <v>18</v>
      </c>
      <c r="P531" t="s">
        <v>3679</v>
      </c>
      <c r="T531" t="s">
        <v>971</v>
      </c>
      <c r="U531" t="s">
        <v>19</v>
      </c>
      <c r="V531" t="s">
        <v>18</v>
      </c>
      <c r="W531" t="s">
        <v>4273</v>
      </c>
      <c r="AC531" t="s">
        <v>985</v>
      </c>
      <c r="AD531" t="s">
        <v>818</v>
      </c>
      <c r="AE531" t="s">
        <v>53</v>
      </c>
      <c r="AF531" t="s">
        <v>3634</v>
      </c>
      <c r="AJ531" s="844" t="s">
        <v>5555</v>
      </c>
      <c r="AK531" s="844" t="s">
        <v>1052</v>
      </c>
      <c r="AL531" s="844" t="s">
        <v>2384</v>
      </c>
      <c r="AM531" s="844" t="s">
        <v>857</v>
      </c>
      <c r="AN531" s="844" t="s">
        <v>3093</v>
      </c>
    </row>
    <row r="532" spans="1:40">
      <c r="A532" t="s">
        <v>5116</v>
      </c>
      <c r="B532" t="s">
        <v>971</v>
      </c>
      <c r="C532" t="s">
        <v>19</v>
      </c>
      <c r="D532" t="s">
        <v>4282</v>
      </c>
      <c r="E532" t="s">
        <v>18</v>
      </c>
      <c r="F532" t="s">
        <v>4283</v>
      </c>
      <c r="M532" t="s">
        <v>4702</v>
      </c>
      <c r="N532" t="s">
        <v>984</v>
      </c>
      <c r="O532" t="s">
        <v>18</v>
      </c>
      <c r="P532" t="s">
        <v>3678</v>
      </c>
      <c r="T532" t="s">
        <v>971</v>
      </c>
      <c r="U532" t="s">
        <v>19</v>
      </c>
      <c r="V532" t="s">
        <v>18</v>
      </c>
      <c r="W532" t="s">
        <v>4282</v>
      </c>
      <c r="AC532" t="s">
        <v>985</v>
      </c>
      <c r="AD532" t="s">
        <v>818</v>
      </c>
      <c r="AE532" t="s">
        <v>18</v>
      </c>
      <c r="AF532" t="s">
        <v>857</v>
      </c>
      <c r="AJ532" s="844" t="s">
        <v>5559</v>
      </c>
      <c r="AK532" s="844" t="s">
        <v>1052</v>
      </c>
      <c r="AL532" s="844" t="s">
        <v>2384</v>
      </c>
      <c r="AM532" s="844" t="s">
        <v>18</v>
      </c>
      <c r="AN532" s="844" t="s">
        <v>3093</v>
      </c>
    </row>
    <row r="533" spans="1:40">
      <c r="A533" t="s">
        <v>5118</v>
      </c>
      <c r="B533" t="s">
        <v>971</v>
      </c>
      <c r="C533" t="s">
        <v>816</v>
      </c>
      <c r="D533" t="s">
        <v>4275</v>
      </c>
      <c r="E533" t="s">
        <v>18</v>
      </c>
      <c r="F533" t="s">
        <v>4277</v>
      </c>
      <c r="M533" t="s">
        <v>4702</v>
      </c>
      <c r="N533" t="s">
        <v>984</v>
      </c>
      <c r="O533" t="s">
        <v>18</v>
      </c>
      <c r="P533" t="s">
        <v>3676</v>
      </c>
      <c r="T533" t="s">
        <v>971</v>
      </c>
      <c r="U533" t="s">
        <v>816</v>
      </c>
      <c r="V533" t="s">
        <v>18</v>
      </c>
      <c r="W533" t="s">
        <v>857</v>
      </c>
      <c r="AC533" t="s">
        <v>985</v>
      </c>
      <c r="AD533" t="s">
        <v>818</v>
      </c>
      <c r="AE533" t="s">
        <v>18</v>
      </c>
      <c r="AF533" t="s">
        <v>3634</v>
      </c>
      <c r="AJ533" s="844" t="s">
        <v>5563</v>
      </c>
      <c r="AK533" s="844" t="s">
        <v>1052</v>
      </c>
      <c r="AL533" s="844" t="s">
        <v>816</v>
      </c>
      <c r="AM533" s="844" t="s">
        <v>18</v>
      </c>
      <c r="AN533" s="844" t="s">
        <v>3089</v>
      </c>
    </row>
    <row r="534" spans="1:40">
      <c r="A534" t="s">
        <v>5119</v>
      </c>
      <c r="B534" t="s">
        <v>971</v>
      </c>
      <c r="C534" t="s">
        <v>816</v>
      </c>
      <c r="D534" t="s">
        <v>4009</v>
      </c>
      <c r="E534" t="s">
        <v>18</v>
      </c>
      <c r="F534" t="s">
        <v>4278</v>
      </c>
      <c r="M534" t="s">
        <v>4702</v>
      </c>
      <c r="N534" t="s">
        <v>984</v>
      </c>
      <c r="O534" t="s">
        <v>18</v>
      </c>
      <c r="P534" t="s">
        <v>3674</v>
      </c>
      <c r="T534" t="s">
        <v>971</v>
      </c>
      <c r="U534" t="s">
        <v>816</v>
      </c>
      <c r="V534" t="s">
        <v>18</v>
      </c>
      <c r="W534" t="s">
        <v>4275</v>
      </c>
      <c r="AC534" t="s">
        <v>985</v>
      </c>
      <c r="AD534" t="s">
        <v>19</v>
      </c>
      <c r="AE534" t="s">
        <v>857</v>
      </c>
      <c r="AF534" t="s">
        <v>857</v>
      </c>
      <c r="AJ534" s="844" t="s">
        <v>5564</v>
      </c>
      <c r="AK534" s="844" t="s">
        <v>1053</v>
      </c>
      <c r="AL534" s="844" t="s">
        <v>818</v>
      </c>
      <c r="AM534" s="844" t="s">
        <v>857</v>
      </c>
      <c r="AN534" s="844" t="s">
        <v>2559</v>
      </c>
    </row>
    <row r="535" spans="1:40">
      <c r="A535" t="s">
        <v>6367</v>
      </c>
      <c r="B535" t="s">
        <v>971</v>
      </c>
      <c r="C535" t="s">
        <v>816</v>
      </c>
      <c r="E535" t="s">
        <v>18</v>
      </c>
      <c r="F535" t="s">
        <v>4284</v>
      </c>
      <c r="M535" t="s">
        <v>4702</v>
      </c>
      <c r="N535" t="s">
        <v>984</v>
      </c>
      <c r="O535" t="s">
        <v>18</v>
      </c>
      <c r="P535" t="s">
        <v>3673</v>
      </c>
      <c r="T535" t="s">
        <v>971</v>
      </c>
      <c r="U535" t="s">
        <v>816</v>
      </c>
      <c r="V535" t="s">
        <v>18</v>
      </c>
      <c r="W535" t="s">
        <v>4009</v>
      </c>
      <c r="AC535" t="s">
        <v>985</v>
      </c>
      <c r="AD535" t="s">
        <v>19</v>
      </c>
      <c r="AE535" t="s">
        <v>857</v>
      </c>
      <c r="AF535" t="s">
        <v>2366</v>
      </c>
      <c r="AJ535" s="844" t="s">
        <v>5570</v>
      </c>
      <c r="AK535" s="844" t="s">
        <v>1053</v>
      </c>
      <c r="AL535" s="844" t="s">
        <v>818</v>
      </c>
      <c r="AM535" s="844" t="s">
        <v>18</v>
      </c>
      <c r="AN535" s="844" t="s">
        <v>2559</v>
      </c>
    </row>
    <row r="536" spans="1:40">
      <c r="A536" t="s">
        <v>5121</v>
      </c>
      <c r="B536" t="s">
        <v>972</v>
      </c>
      <c r="C536" t="s">
        <v>818</v>
      </c>
      <c r="D536" t="s">
        <v>4267</v>
      </c>
      <c r="E536" t="s">
        <v>18</v>
      </c>
      <c r="F536" t="s">
        <v>4268</v>
      </c>
      <c r="M536" t="s">
        <v>4702</v>
      </c>
      <c r="N536" t="s">
        <v>984</v>
      </c>
      <c r="O536" t="s">
        <v>18</v>
      </c>
      <c r="P536" t="s">
        <v>3672</v>
      </c>
      <c r="T536" t="s">
        <v>972</v>
      </c>
      <c r="U536" t="s">
        <v>818</v>
      </c>
      <c r="V536" t="s">
        <v>18</v>
      </c>
      <c r="W536" t="s">
        <v>4267</v>
      </c>
      <c r="AC536" t="s">
        <v>985</v>
      </c>
      <c r="AD536" t="s">
        <v>19</v>
      </c>
      <c r="AE536" t="s">
        <v>53</v>
      </c>
      <c r="AF536" t="s">
        <v>857</v>
      </c>
      <c r="AJ536" s="844" t="s">
        <v>5570</v>
      </c>
      <c r="AK536" s="844" t="s">
        <v>1053</v>
      </c>
      <c r="AL536" s="844" t="s">
        <v>818</v>
      </c>
      <c r="AM536" s="844" t="s">
        <v>18</v>
      </c>
      <c r="AN536" s="844" t="s">
        <v>3168</v>
      </c>
    </row>
    <row r="537" spans="1:40">
      <c r="A537" t="s">
        <v>5123</v>
      </c>
      <c r="B537" t="s">
        <v>972</v>
      </c>
      <c r="C537" t="s">
        <v>2384</v>
      </c>
      <c r="D537" t="s">
        <v>2366</v>
      </c>
      <c r="E537" t="s">
        <v>18</v>
      </c>
      <c r="F537" t="s">
        <v>4266</v>
      </c>
      <c r="M537" t="s">
        <v>4702</v>
      </c>
      <c r="N537" t="s">
        <v>984</v>
      </c>
      <c r="O537" t="s">
        <v>18</v>
      </c>
      <c r="P537" t="s">
        <v>3671</v>
      </c>
      <c r="T537" t="s">
        <v>972</v>
      </c>
      <c r="U537" t="s">
        <v>2384</v>
      </c>
      <c r="V537" t="s">
        <v>857</v>
      </c>
      <c r="W537" t="s">
        <v>2366</v>
      </c>
      <c r="AC537" t="s">
        <v>985</v>
      </c>
      <c r="AD537" t="s">
        <v>19</v>
      </c>
      <c r="AE537" t="s">
        <v>53</v>
      </c>
      <c r="AF537" t="s">
        <v>2366</v>
      </c>
      <c r="AJ537" s="844" t="s">
        <v>5571</v>
      </c>
      <c r="AK537" s="844" t="s">
        <v>1053</v>
      </c>
      <c r="AL537" s="844" t="s">
        <v>19</v>
      </c>
      <c r="AM537" s="844" t="s">
        <v>857</v>
      </c>
      <c r="AN537" s="844" t="s">
        <v>2559</v>
      </c>
    </row>
    <row r="538" spans="1:40">
      <c r="A538" t="s">
        <v>6368</v>
      </c>
      <c r="B538" t="s">
        <v>972</v>
      </c>
      <c r="C538" t="s">
        <v>2384</v>
      </c>
      <c r="D538" t="s">
        <v>2366</v>
      </c>
      <c r="F538" t="s">
        <v>3960</v>
      </c>
      <c r="M538" t="s">
        <v>4702</v>
      </c>
      <c r="N538" t="s">
        <v>984</v>
      </c>
      <c r="O538" t="s">
        <v>18</v>
      </c>
      <c r="P538" t="s">
        <v>3670</v>
      </c>
      <c r="T538" t="s">
        <v>972</v>
      </c>
      <c r="U538" t="s">
        <v>2384</v>
      </c>
      <c r="V538" t="s">
        <v>18</v>
      </c>
      <c r="W538" t="s">
        <v>2366</v>
      </c>
      <c r="AC538" t="s">
        <v>985</v>
      </c>
      <c r="AD538" t="s">
        <v>19</v>
      </c>
      <c r="AE538" t="s">
        <v>18</v>
      </c>
      <c r="AF538" t="s">
        <v>857</v>
      </c>
      <c r="AJ538" s="844" t="s">
        <v>5578</v>
      </c>
      <c r="AK538" s="844" t="s">
        <v>1053</v>
      </c>
      <c r="AL538" s="844" t="s">
        <v>19</v>
      </c>
      <c r="AM538" s="844" t="s">
        <v>18</v>
      </c>
      <c r="AN538" s="844" t="s">
        <v>2581</v>
      </c>
    </row>
    <row r="539" spans="1:40">
      <c r="A539" t="s">
        <v>5125</v>
      </c>
      <c r="B539" t="s">
        <v>972</v>
      </c>
      <c r="C539" t="s">
        <v>816</v>
      </c>
      <c r="D539" t="s">
        <v>4267</v>
      </c>
      <c r="E539" t="s">
        <v>18</v>
      </c>
      <c r="F539" t="s">
        <v>4269</v>
      </c>
      <c r="M539" t="s">
        <v>4702</v>
      </c>
      <c r="N539" t="s">
        <v>984</v>
      </c>
      <c r="O539" t="s">
        <v>18</v>
      </c>
      <c r="P539" t="s">
        <v>3669</v>
      </c>
      <c r="T539" t="s">
        <v>972</v>
      </c>
      <c r="U539" t="s">
        <v>816</v>
      </c>
      <c r="V539" t="s">
        <v>18</v>
      </c>
      <c r="W539" t="s">
        <v>857</v>
      </c>
      <c r="AC539" t="s">
        <v>985</v>
      </c>
      <c r="AD539" t="s">
        <v>2384</v>
      </c>
      <c r="AE539" t="s">
        <v>857</v>
      </c>
      <c r="AF539" t="s">
        <v>857</v>
      </c>
      <c r="AJ539" s="844" t="s">
        <v>5578</v>
      </c>
      <c r="AK539" s="844" t="s">
        <v>1053</v>
      </c>
      <c r="AL539" s="844" t="s">
        <v>19</v>
      </c>
      <c r="AM539" s="844" t="s">
        <v>18</v>
      </c>
      <c r="AN539" s="844" t="s">
        <v>2559</v>
      </c>
    </row>
    <row r="540" spans="1:40">
      <c r="A540" t="s">
        <v>6369</v>
      </c>
      <c r="B540" t="s">
        <v>972</v>
      </c>
      <c r="C540" t="s">
        <v>816</v>
      </c>
      <c r="E540" t="s">
        <v>18</v>
      </c>
      <c r="F540" t="s">
        <v>4270</v>
      </c>
      <c r="M540" t="s">
        <v>4702</v>
      </c>
      <c r="N540" t="s">
        <v>984</v>
      </c>
      <c r="O540" t="s">
        <v>18</v>
      </c>
      <c r="P540" t="s">
        <v>3667</v>
      </c>
      <c r="T540" t="s">
        <v>972</v>
      </c>
      <c r="U540" t="s">
        <v>816</v>
      </c>
      <c r="V540" t="s">
        <v>18</v>
      </c>
      <c r="W540" t="s">
        <v>4267</v>
      </c>
      <c r="AC540" t="s">
        <v>985</v>
      </c>
      <c r="AD540" t="s">
        <v>2384</v>
      </c>
      <c r="AE540" t="s">
        <v>857</v>
      </c>
      <c r="AF540" t="s">
        <v>3630</v>
      </c>
      <c r="AJ540" s="844" t="s">
        <v>5578</v>
      </c>
      <c r="AK540" s="844" t="s">
        <v>1053</v>
      </c>
      <c r="AL540" s="844" t="s">
        <v>19</v>
      </c>
      <c r="AM540" s="844" t="s">
        <v>18</v>
      </c>
      <c r="AN540" s="844" t="s">
        <v>3168</v>
      </c>
    </row>
    <row r="541" spans="1:40">
      <c r="A541" t="s">
        <v>5127</v>
      </c>
      <c r="B541" t="s">
        <v>973</v>
      </c>
      <c r="C541" t="s">
        <v>818</v>
      </c>
      <c r="D541" t="s">
        <v>2751</v>
      </c>
      <c r="E541" t="s">
        <v>18</v>
      </c>
      <c r="F541" t="s">
        <v>2756</v>
      </c>
      <c r="M541" t="s">
        <v>4702</v>
      </c>
      <c r="N541" t="s">
        <v>984</v>
      </c>
      <c r="O541" t="s">
        <v>18</v>
      </c>
      <c r="P541" t="s">
        <v>3666</v>
      </c>
      <c r="T541" t="s">
        <v>973</v>
      </c>
      <c r="U541" t="s">
        <v>818</v>
      </c>
      <c r="V541" t="s">
        <v>18</v>
      </c>
      <c r="W541" t="s">
        <v>857</v>
      </c>
      <c r="AC541" t="s">
        <v>985</v>
      </c>
      <c r="AD541" t="s">
        <v>2384</v>
      </c>
      <c r="AE541" t="s">
        <v>53</v>
      </c>
      <c r="AF541" t="s">
        <v>3630</v>
      </c>
      <c r="AJ541" s="844" t="s">
        <v>5580</v>
      </c>
      <c r="AK541" s="844" t="s">
        <v>1053</v>
      </c>
      <c r="AL541" s="844" t="s">
        <v>816</v>
      </c>
      <c r="AM541" s="844" t="s">
        <v>857</v>
      </c>
      <c r="AN541" s="844" t="s">
        <v>2559</v>
      </c>
    </row>
    <row r="542" spans="1:40">
      <c r="A542" t="s">
        <v>6371</v>
      </c>
      <c r="B542" t="s">
        <v>973</v>
      </c>
      <c r="C542" t="s">
        <v>818</v>
      </c>
      <c r="D542" t="s">
        <v>2751</v>
      </c>
      <c r="F542" t="s">
        <v>4060</v>
      </c>
      <c r="M542" t="s">
        <v>4818</v>
      </c>
      <c r="N542" t="s">
        <v>985</v>
      </c>
      <c r="O542" t="s">
        <v>53</v>
      </c>
      <c r="P542" t="s">
        <v>3639</v>
      </c>
      <c r="T542" t="s">
        <v>973</v>
      </c>
      <c r="U542" t="s">
        <v>818</v>
      </c>
      <c r="V542" t="s">
        <v>18</v>
      </c>
      <c r="W542" t="s">
        <v>857</v>
      </c>
      <c r="AC542" t="s">
        <v>985</v>
      </c>
      <c r="AD542" t="s">
        <v>2416</v>
      </c>
      <c r="AE542" t="s">
        <v>53</v>
      </c>
      <c r="AF542" t="s">
        <v>857</v>
      </c>
      <c r="AJ542" s="844" t="s">
        <v>5586</v>
      </c>
      <c r="AK542" s="844" t="s">
        <v>1053</v>
      </c>
      <c r="AL542" s="844" t="s">
        <v>816</v>
      </c>
      <c r="AM542" s="844" t="s">
        <v>18</v>
      </c>
      <c r="AN542" s="844" t="s">
        <v>2559</v>
      </c>
    </row>
    <row r="543" spans="1:40">
      <c r="A543" t="s">
        <v>6528</v>
      </c>
      <c r="B543" t="s">
        <v>973</v>
      </c>
      <c r="C543" t="s">
        <v>818</v>
      </c>
      <c r="D543" t="s">
        <v>2636</v>
      </c>
      <c r="E543" t="s">
        <v>18</v>
      </c>
      <c r="F543" t="s">
        <v>2755</v>
      </c>
      <c r="M543" t="s">
        <v>4818</v>
      </c>
      <c r="N543" t="s">
        <v>985</v>
      </c>
      <c r="O543" t="s">
        <v>53</v>
      </c>
      <c r="P543" t="s">
        <v>3638</v>
      </c>
      <c r="T543" t="s">
        <v>973</v>
      </c>
      <c r="U543" t="s">
        <v>818</v>
      </c>
      <c r="V543" t="s">
        <v>18</v>
      </c>
      <c r="W543" t="s">
        <v>857</v>
      </c>
      <c r="AC543" t="s">
        <v>985</v>
      </c>
      <c r="AD543" t="s">
        <v>816</v>
      </c>
      <c r="AE543" t="s">
        <v>53</v>
      </c>
      <c r="AF543" t="s">
        <v>857</v>
      </c>
      <c r="AJ543" s="844" t="s">
        <v>5586</v>
      </c>
      <c r="AK543" s="844" t="s">
        <v>1053</v>
      </c>
      <c r="AL543" s="844" t="s">
        <v>816</v>
      </c>
      <c r="AM543" s="844" t="s">
        <v>18</v>
      </c>
      <c r="AN543" s="844" t="s">
        <v>3168</v>
      </c>
    </row>
    <row r="544" spans="1:40">
      <c r="A544" t="s">
        <v>6370</v>
      </c>
      <c r="B544" t="s">
        <v>973</v>
      </c>
      <c r="C544" t="s">
        <v>818</v>
      </c>
      <c r="E544" t="s">
        <v>18</v>
      </c>
      <c r="F544" t="s">
        <v>2764</v>
      </c>
      <c r="M544" t="s">
        <v>4818</v>
      </c>
      <c r="N544" t="s">
        <v>985</v>
      </c>
      <c r="O544" t="s">
        <v>53</v>
      </c>
      <c r="P544" t="s">
        <v>3637</v>
      </c>
      <c r="T544" t="s">
        <v>973</v>
      </c>
      <c r="U544" t="s">
        <v>818</v>
      </c>
      <c r="V544" t="s">
        <v>18</v>
      </c>
      <c r="W544" t="s">
        <v>857</v>
      </c>
      <c r="AC544" t="s">
        <v>985</v>
      </c>
      <c r="AD544" t="s">
        <v>816</v>
      </c>
      <c r="AE544" t="s">
        <v>53</v>
      </c>
      <c r="AF544" t="s">
        <v>3630</v>
      </c>
      <c r="AJ544" s="844" t="s">
        <v>5587</v>
      </c>
      <c r="AK544" s="844" t="s">
        <v>1054</v>
      </c>
      <c r="AL544" s="844" t="s">
        <v>818</v>
      </c>
      <c r="AM544" s="844" t="s">
        <v>857</v>
      </c>
      <c r="AN544" s="844" t="s">
        <v>3097</v>
      </c>
    </row>
    <row r="545" spans="1:40">
      <c r="A545" t="s">
        <v>6370</v>
      </c>
      <c r="B545" t="s">
        <v>973</v>
      </c>
      <c r="C545" t="s">
        <v>818</v>
      </c>
      <c r="E545" t="s">
        <v>18</v>
      </c>
      <c r="F545" t="s">
        <v>2762</v>
      </c>
      <c r="M545" t="s">
        <v>4818</v>
      </c>
      <c r="N545" t="s">
        <v>985</v>
      </c>
      <c r="O545" t="s">
        <v>53</v>
      </c>
      <c r="P545" t="s">
        <v>3636</v>
      </c>
      <c r="T545" t="s">
        <v>973</v>
      </c>
      <c r="U545" t="s">
        <v>818</v>
      </c>
      <c r="V545" t="s">
        <v>18</v>
      </c>
      <c r="W545" t="s">
        <v>857</v>
      </c>
      <c r="AC545" t="s">
        <v>985</v>
      </c>
      <c r="AD545" t="s">
        <v>816</v>
      </c>
      <c r="AE545" t="s">
        <v>53</v>
      </c>
      <c r="AF545" t="s">
        <v>2366</v>
      </c>
      <c r="AJ545" s="844" t="s">
        <v>5589</v>
      </c>
      <c r="AK545" s="844" t="s">
        <v>1054</v>
      </c>
      <c r="AL545" s="844" t="s">
        <v>818</v>
      </c>
      <c r="AM545" s="844" t="s">
        <v>18</v>
      </c>
      <c r="AN545" s="844" t="s">
        <v>3099</v>
      </c>
    </row>
    <row r="546" spans="1:40">
      <c r="A546" t="s">
        <v>6370</v>
      </c>
      <c r="B546" t="s">
        <v>973</v>
      </c>
      <c r="C546" t="s">
        <v>818</v>
      </c>
      <c r="E546" t="s">
        <v>18</v>
      </c>
      <c r="F546" t="s">
        <v>2760</v>
      </c>
      <c r="M546" t="s">
        <v>4818</v>
      </c>
      <c r="N546" t="s">
        <v>985</v>
      </c>
      <c r="O546" t="s">
        <v>53</v>
      </c>
      <c r="P546" t="s">
        <v>3635</v>
      </c>
      <c r="T546" t="s">
        <v>973</v>
      </c>
      <c r="U546" t="s">
        <v>818</v>
      </c>
      <c r="V546" t="s">
        <v>857</v>
      </c>
      <c r="W546" t="s">
        <v>2751</v>
      </c>
      <c r="AC546" t="s">
        <v>985</v>
      </c>
      <c r="AD546" t="s">
        <v>816</v>
      </c>
      <c r="AE546" t="s">
        <v>18</v>
      </c>
      <c r="AF546" t="s">
        <v>857</v>
      </c>
      <c r="AJ546" s="844" t="s">
        <v>5589</v>
      </c>
      <c r="AK546" s="844" t="s">
        <v>1054</v>
      </c>
      <c r="AL546" s="844" t="s">
        <v>818</v>
      </c>
      <c r="AM546" s="844" t="s">
        <v>18</v>
      </c>
      <c r="AN546" s="844" t="s">
        <v>3097</v>
      </c>
    </row>
    <row r="547" spans="1:40">
      <c r="A547" t="s">
        <v>6370</v>
      </c>
      <c r="B547" t="s">
        <v>973</v>
      </c>
      <c r="C547" t="s">
        <v>818</v>
      </c>
      <c r="E547" t="s">
        <v>18</v>
      </c>
      <c r="F547" t="s">
        <v>2759</v>
      </c>
      <c r="M547" t="s">
        <v>4818</v>
      </c>
      <c r="N547" t="s">
        <v>985</v>
      </c>
      <c r="O547" t="s">
        <v>53</v>
      </c>
      <c r="P547" t="s">
        <v>3633</v>
      </c>
      <c r="T547" t="s">
        <v>973</v>
      </c>
      <c r="U547" t="s">
        <v>818</v>
      </c>
      <c r="V547" t="s">
        <v>18</v>
      </c>
      <c r="W547" t="s">
        <v>2751</v>
      </c>
      <c r="AC547" t="s">
        <v>986</v>
      </c>
      <c r="AD547" t="s">
        <v>818</v>
      </c>
      <c r="AE547" t="s">
        <v>857</v>
      </c>
      <c r="AF547" t="s">
        <v>3606</v>
      </c>
      <c r="AJ547" s="844" t="s">
        <v>5592</v>
      </c>
      <c r="AK547" s="844" t="s">
        <v>1054</v>
      </c>
      <c r="AL547" s="844" t="s">
        <v>19</v>
      </c>
      <c r="AM547" s="844" t="s">
        <v>857</v>
      </c>
      <c r="AN547" s="844" t="s">
        <v>3101</v>
      </c>
    </row>
    <row r="548" spans="1:40">
      <c r="A548" t="s">
        <v>6370</v>
      </c>
      <c r="B548" t="s">
        <v>973</v>
      </c>
      <c r="C548" t="s">
        <v>818</v>
      </c>
      <c r="E548" t="s">
        <v>18</v>
      </c>
      <c r="F548" t="s">
        <v>2754</v>
      </c>
      <c r="M548" t="s">
        <v>4818</v>
      </c>
      <c r="N548" t="s">
        <v>985</v>
      </c>
      <c r="O548" t="s">
        <v>53</v>
      </c>
      <c r="P548" t="s">
        <v>3632</v>
      </c>
      <c r="T548" t="s">
        <v>973</v>
      </c>
      <c r="U548" t="s">
        <v>818</v>
      </c>
      <c r="V548" t="s">
        <v>18</v>
      </c>
      <c r="W548" t="s">
        <v>2636</v>
      </c>
      <c r="AC548" t="s">
        <v>986</v>
      </c>
      <c r="AD548" t="s">
        <v>818</v>
      </c>
      <c r="AE548" t="s">
        <v>18</v>
      </c>
      <c r="AF548" t="s">
        <v>3606</v>
      </c>
      <c r="AJ548" s="844" t="s">
        <v>5594</v>
      </c>
      <c r="AK548" s="844" t="s">
        <v>1054</v>
      </c>
      <c r="AL548" s="844" t="s">
        <v>19</v>
      </c>
      <c r="AM548" s="844" t="s">
        <v>18</v>
      </c>
      <c r="AN548" s="844" t="s">
        <v>3101</v>
      </c>
    </row>
    <row r="549" spans="1:40">
      <c r="A549" t="s">
        <v>5129</v>
      </c>
      <c r="B549" t="s">
        <v>973</v>
      </c>
      <c r="C549" t="s">
        <v>19</v>
      </c>
      <c r="D549" t="s">
        <v>2751</v>
      </c>
      <c r="E549" t="s">
        <v>18</v>
      </c>
      <c r="F549" t="s">
        <v>2753</v>
      </c>
      <c r="M549" t="s">
        <v>4818</v>
      </c>
      <c r="N549" t="s">
        <v>985</v>
      </c>
      <c r="O549" t="s">
        <v>53</v>
      </c>
      <c r="P549" t="s">
        <v>3631</v>
      </c>
      <c r="T549" t="s">
        <v>973</v>
      </c>
      <c r="U549" t="s">
        <v>19</v>
      </c>
      <c r="V549" t="s">
        <v>18</v>
      </c>
      <c r="W549" t="s">
        <v>2751</v>
      </c>
      <c r="AC549" t="s">
        <v>986</v>
      </c>
      <c r="AD549" t="s">
        <v>19</v>
      </c>
      <c r="AE549" t="s">
        <v>857</v>
      </c>
      <c r="AF549" t="s">
        <v>3606</v>
      </c>
      <c r="AJ549" s="844" t="s">
        <v>5595</v>
      </c>
      <c r="AK549" s="844" t="s">
        <v>1054</v>
      </c>
      <c r="AL549" s="844" t="s">
        <v>816</v>
      </c>
      <c r="AM549" s="844" t="s">
        <v>857</v>
      </c>
      <c r="AN549" s="844" t="s">
        <v>3099</v>
      </c>
    </row>
    <row r="550" spans="1:40">
      <c r="A550" t="s">
        <v>5131</v>
      </c>
      <c r="B550" t="s">
        <v>973</v>
      </c>
      <c r="C550" t="s">
        <v>816</v>
      </c>
      <c r="D550" t="s">
        <v>2751</v>
      </c>
      <c r="E550" t="s">
        <v>18</v>
      </c>
      <c r="F550" t="s">
        <v>2757</v>
      </c>
      <c r="M550" t="s">
        <v>4819</v>
      </c>
      <c r="N550" t="s">
        <v>985</v>
      </c>
      <c r="O550" t="s">
        <v>18</v>
      </c>
      <c r="P550" t="s">
        <v>3647</v>
      </c>
      <c r="T550" t="s">
        <v>973</v>
      </c>
      <c r="U550" t="s">
        <v>816</v>
      </c>
      <c r="V550" t="s">
        <v>18</v>
      </c>
      <c r="W550" t="s">
        <v>857</v>
      </c>
      <c r="AC550" t="s">
        <v>986</v>
      </c>
      <c r="AD550" t="s">
        <v>19</v>
      </c>
      <c r="AE550" t="s">
        <v>18</v>
      </c>
      <c r="AF550" t="s">
        <v>857</v>
      </c>
      <c r="AJ550" s="844" t="s">
        <v>5597</v>
      </c>
      <c r="AK550" s="844" t="s">
        <v>1054</v>
      </c>
      <c r="AL550" s="844" t="s">
        <v>816</v>
      </c>
      <c r="AM550" s="844" t="s">
        <v>18</v>
      </c>
      <c r="AN550" s="844" t="s">
        <v>3099</v>
      </c>
    </row>
    <row r="551" spans="1:40">
      <c r="A551" t="s">
        <v>5131</v>
      </c>
      <c r="B551" t="s">
        <v>973</v>
      </c>
      <c r="C551" t="s">
        <v>816</v>
      </c>
      <c r="D551" t="s">
        <v>2751</v>
      </c>
      <c r="E551" t="s">
        <v>18</v>
      </c>
      <c r="F551" t="s">
        <v>2752</v>
      </c>
      <c r="M551" t="s">
        <v>4819</v>
      </c>
      <c r="N551" t="s">
        <v>985</v>
      </c>
      <c r="O551" t="s">
        <v>18</v>
      </c>
      <c r="P551" t="s">
        <v>3646</v>
      </c>
      <c r="T551" t="s">
        <v>973</v>
      </c>
      <c r="U551" t="s">
        <v>816</v>
      </c>
      <c r="V551" t="s">
        <v>18</v>
      </c>
      <c r="W551" t="s">
        <v>857</v>
      </c>
      <c r="AC551" t="s">
        <v>986</v>
      </c>
      <c r="AD551" t="s">
        <v>19</v>
      </c>
      <c r="AE551" t="s">
        <v>18</v>
      </c>
      <c r="AF551" t="s">
        <v>3606</v>
      </c>
      <c r="AJ551" s="844" t="s">
        <v>5597</v>
      </c>
      <c r="AK551" s="844" t="s">
        <v>1054</v>
      </c>
      <c r="AL551" s="844" t="s">
        <v>816</v>
      </c>
      <c r="AM551" s="844" t="s">
        <v>18</v>
      </c>
      <c r="AN551" s="844" t="s">
        <v>3097</v>
      </c>
    </row>
    <row r="552" spans="1:40">
      <c r="A552" t="s">
        <v>6373</v>
      </c>
      <c r="B552" t="s">
        <v>973</v>
      </c>
      <c r="C552" t="s">
        <v>816</v>
      </c>
      <c r="D552" t="s">
        <v>2751</v>
      </c>
      <c r="F552" t="s">
        <v>4059</v>
      </c>
      <c r="M552" t="s">
        <v>4819</v>
      </c>
      <c r="N552" t="s">
        <v>985</v>
      </c>
      <c r="O552" t="s">
        <v>18</v>
      </c>
      <c r="P552" t="s">
        <v>3645</v>
      </c>
      <c r="T552" t="s">
        <v>973</v>
      </c>
      <c r="U552" t="s">
        <v>816</v>
      </c>
      <c r="V552" t="s">
        <v>18</v>
      </c>
      <c r="W552" t="s">
        <v>857</v>
      </c>
      <c r="AC552" t="s">
        <v>986</v>
      </c>
      <c r="AD552" t="s">
        <v>2384</v>
      </c>
      <c r="AE552" t="s">
        <v>857</v>
      </c>
      <c r="AF552" t="s">
        <v>857</v>
      </c>
      <c r="AJ552" s="844" t="s">
        <v>5599</v>
      </c>
      <c r="AK552" s="844" t="s">
        <v>1055</v>
      </c>
      <c r="AL552" s="844" t="s">
        <v>818</v>
      </c>
      <c r="AM552" s="844" t="s">
        <v>857</v>
      </c>
      <c r="AN552" s="844" t="s">
        <v>3112</v>
      </c>
    </row>
    <row r="553" spans="1:40">
      <c r="A553" t="s">
        <v>6372</v>
      </c>
      <c r="B553" t="s">
        <v>973</v>
      </c>
      <c r="C553" t="s">
        <v>816</v>
      </c>
      <c r="E553" t="s">
        <v>18</v>
      </c>
      <c r="F553" t="s">
        <v>2763</v>
      </c>
      <c r="M553" t="s">
        <v>4819</v>
      </c>
      <c r="N553" t="s">
        <v>985</v>
      </c>
      <c r="O553" t="s">
        <v>18</v>
      </c>
      <c r="P553" t="s">
        <v>3644</v>
      </c>
      <c r="T553" t="s">
        <v>973</v>
      </c>
      <c r="U553" t="s">
        <v>816</v>
      </c>
      <c r="V553" t="s">
        <v>857</v>
      </c>
      <c r="W553" t="s">
        <v>2751</v>
      </c>
      <c r="AC553" t="s">
        <v>986</v>
      </c>
      <c r="AD553" t="s">
        <v>2416</v>
      </c>
      <c r="AE553" t="s">
        <v>18</v>
      </c>
      <c r="AF553" t="s">
        <v>857</v>
      </c>
      <c r="AJ553" s="844" t="s">
        <v>5602</v>
      </c>
      <c r="AK553" s="844" t="s">
        <v>1055</v>
      </c>
      <c r="AL553" s="844" t="s">
        <v>818</v>
      </c>
      <c r="AM553" s="844" t="s">
        <v>53</v>
      </c>
      <c r="AN553" s="844" t="s">
        <v>3112</v>
      </c>
    </row>
    <row r="554" spans="1:40">
      <c r="A554" t="s">
        <v>6372</v>
      </c>
      <c r="B554" t="s">
        <v>973</v>
      </c>
      <c r="C554" t="s">
        <v>816</v>
      </c>
      <c r="E554" t="s">
        <v>18</v>
      </c>
      <c r="F554" t="s">
        <v>2761</v>
      </c>
      <c r="M554" t="s">
        <v>4819</v>
      </c>
      <c r="N554" t="s">
        <v>985</v>
      </c>
      <c r="O554" t="s">
        <v>18</v>
      </c>
      <c r="P554" t="s">
        <v>3643</v>
      </c>
      <c r="T554" t="s">
        <v>973</v>
      </c>
      <c r="U554" t="s">
        <v>816</v>
      </c>
      <c r="V554" t="s">
        <v>18</v>
      </c>
      <c r="W554" t="s">
        <v>2751</v>
      </c>
      <c r="AC554" t="s">
        <v>986</v>
      </c>
      <c r="AD554" t="s">
        <v>816</v>
      </c>
      <c r="AE554" t="s">
        <v>857</v>
      </c>
      <c r="AF554" t="s">
        <v>3606</v>
      </c>
      <c r="AJ554" s="844" t="s">
        <v>5603</v>
      </c>
      <c r="AK554" s="844" t="s">
        <v>1055</v>
      </c>
      <c r="AL554" s="844" t="s">
        <v>19</v>
      </c>
      <c r="AM554" s="844" t="s">
        <v>857</v>
      </c>
      <c r="AN554" s="844" t="s">
        <v>2768</v>
      </c>
    </row>
    <row r="555" spans="1:40">
      <c r="A555" t="s">
        <v>6372</v>
      </c>
      <c r="B555" t="s">
        <v>973</v>
      </c>
      <c r="C555" t="s">
        <v>816</v>
      </c>
      <c r="E555" t="s">
        <v>18</v>
      </c>
      <c r="F555" t="s">
        <v>2758</v>
      </c>
      <c r="M555" t="s">
        <v>4819</v>
      </c>
      <c r="N555" t="s">
        <v>985</v>
      </c>
      <c r="O555" t="s">
        <v>18</v>
      </c>
      <c r="P555" t="s">
        <v>3642</v>
      </c>
      <c r="T555" t="s">
        <v>973</v>
      </c>
      <c r="U555" t="s">
        <v>816</v>
      </c>
      <c r="V555" t="s">
        <v>18</v>
      </c>
      <c r="W555" t="s">
        <v>2751</v>
      </c>
      <c r="AC555" t="s">
        <v>986</v>
      </c>
      <c r="AD555" t="s">
        <v>816</v>
      </c>
      <c r="AE555" t="s">
        <v>18</v>
      </c>
      <c r="AF555" t="s">
        <v>857</v>
      </c>
      <c r="AJ555" s="844" t="s">
        <v>5608</v>
      </c>
      <c r="AK555" s="844" t="s">
        <v>1055</v>
      </c>
      <c r="AL555" s="844" t="s">
        <v>19</v>
      </c>
      <c r="AM555" s="844" t="s">
        <v>53</v>
      </c>
      <c r="AN555" s="844" t="s">
        <v>2768</v>
      </c>
    </row>
    <row r="556" spans="1:40">
      <c r="A556" t="s">
        <v>6374</v>
      </c>
      <c r="B556" t="s">
        <v>974</v>
      </c>
      <c r="C556" t="s">
        <v>818</v>
      </c>
      <c r="E556" t="s">
        <v>18</v>
      </c>
      <c r="F556" t="s">
        <v>3629</v>
      </c>
      <c r="M556" t="s">
        <v>4819</v>
      </c>
      <c r="N556" t="s">
        <v>985</v>
      </c>
      <c r="O556" t="s">
        <v>18</v>
      </c>
      <c r="P556" t="s">
        <v>3641</v>
      </c>
      <c r="T556" t="s">
        <v>974</v>
      </c>
      <c r="U556" t="s">
        <v>818</v>
      </c>
      <c r="V556" t="s">
        <v>18</v>
      </c>
      <c r="W556" t="s">
        <v>857</v>
      </c>
      <c r="AC556" t="s">
        <v>986</v>
      </c>
      <c r="AD556" t="s">
        <v>816</v>
      </c>
      <c r="AE556" t="s">
        <v>18</v>
      </c>
      <c r="AF556" t="s">
        <v>3606</v>
      </c>
      <c r="AJ556" s="844" t="s">
        <v>5610</v>
      </c>
      <c r="AK556" s="844" t="s">
        <v>1055</v>
      </c>
      <c r="AL556" s="844" t="s">
        <v>19</v>
      </c>
      <c r="AM556" s="844" t="s">
        <v>18</v>
      </c>
      <c r="AN556" s="844" t="s">
        <v>2366</v>
      </c>
    </row>
    <row r="557" spans="1:40">
      <c r="A557" t="s">
        <v>6375</v>
      </c>
      <c r="B557" t="s">
        <v>974</v>
      </c>
      <c r="C557" t="s">
        <v>19</v>
      </c>
      <c r="E557" t="s">
        <v>18</v>
      </c>
      <c r="F557" t="s">
        <v>3628</v>
      </c>
      <c r="M557" t="s">
        <v>4819</v>
      </c>
      <c r="N557" t="s">
        <v>985</v>
      </c>
      <c r="O557" t="s">
        <v>18</v>
      </c>
      <c r="P557" t="s">
        <v>3640</v>
      </c>
      <c r="T557" t="s">
        <v>974</v>
      </c>
      <c r="U557" t="s">
        <v>19</v>
      </c>
      <c r="V557" t="s">
        <v>18</v>
      </c>
      <c r="W557" t="s">
        <v>857</v>
      </c>
      <c r="AC557" t="s">
        <v>987</v>
      </c>
      <c r="AD557" t="s">
        <v>818</v>
      </c>
      <c r="AE557" t="s">
        <v>18</v>
      </c>
      <c r="AF557" t="s">
        <v>857</v>
      </c>
      <c r="AJ557" s="844" t="s">
        <v>5611</v>
      </c>
      <c r="AK557" s="844" t="s">
        <v>1055</v>
      </c>
      <c r="AL557" s="844" t="s">
        <v>2384</v>
      </c>
      <c r="AM557" s="844" t="s">
        <v>857</v>
      </c>
      <c r="AN557" s="844" t="s">
        <v>3981</v>
      </c>
    </row>
    <row r="558" spans="1:40">
      <c r="A558" t="s">
        <v>5134</v>
      </c>
      <c r="B558" t="s">
        <v>975</v>
      </c>
      <c r="C558" t="s">
        <v>818</v>
      </c>
      <c r="D558" t="s">
        <v>4000</v>
      </c>
      <c r="E558" t="s">
        <v>18</v>
      </c>
      <c r="F558" t="s">
        <v>4258</v>
      </c>
      <c r="M558" t="s">
        <v>4703</v>
      </c>
      <c r="N558" t="s">
        <v>986</v>
      </c>
      <c r="O558" t="s">
        <v>18</v>
      </c>
      <c r="P558" t="s">
        <v>3615</v>
      </c>
      <c r="T558" t="s">
        <v>975</v>
      </c>
      <c r="U558" t="s">
        <v>818</v>
      </c>
      <c r="V558" t="s">
        <v>857</v>
      </c>
      <c r="W558" t="s">
        <v>857</v>
      </c>
      <c r="AC558" t="s">
        <v>987</v>
      </c>
      <c r="AD558" t="s">
        <v>818</v>
      </c>
      <c r="AE558" t="s">
        <v>18</v>
      </c>
      <c r="AF558" t="s">
        <v>2366</v>
      </c>
      <c r="AJ558" s="844" t="s">
        <v>5615</v>
      </c>
      <c r="AK558" s="844" t="s">
        <v>1055</v>
      </c>
      <c r="AL558" s="844" t="s">
        <v>816</v>
      </c>
      <c r="AM558" s="844" t="s">
        <v>53</v>
      </c>
      <c r="AN558" s="844" t="s">
        <v>3981</v>
      </c>
    </row>
    <row r="559" spans="1:40">
      <c r="A559" t="s">
        <v>6377</v>
      </c>
      <c r="B559" t="s">
        <v>975</v>
      </c>
      <c r="C559" t="s">
        <v>818</v>
      </c>
      <c r="D559" t="s">
        <v>4000</v>
      </c>
      <c r="F559" t="s">
        <v>4080</v>
      </c>
      <c r="M559" t="s">
        <v>4703</v>
      </c>
      <c r="N559" t="s">
        <v>986</v>
      </c>
      <c r="O559" t="s">
        <v>18</v>
      </c>
      <c r="P559" t="s">
        <v>3614</v>
      </c>
      <c r="T559" t="s">
        <v>975</v>
      </c>
      <c r="U559" t="s">
        <v>818</v>
      </c>
      <c r="V559" t="s">
        <v>18</v>
      </c>
      <c r="W559" t="s">
        <v>857</v>
      </c>
      <c r="AC559" t="s">
        <v>987</v>
      </c>
      <c r="AD559" t="s">
        <v>19</v>
      </c>
      <c r="AE559" t="s">
        <v>857</v>
      </c>
      <c r="AF559" t="s">
        <v>2581</v>
      </c>
      <c r="AJ559" s="844" t="s">
        <v>5615</v>
      </c>
      <c r="AK559" s="844" t="s">
        <v>1055</v>
      </c>
      <c r="AL559" s="844" t="s">
        <v>816</v>
      </c>
      <c r="AM559" s="844" t="s">
        <v>53</v>
      </c>
      <c r="AN559" s="844" t="s">
        <v>2559</v>
      </c>
    </row>
    <row r="560" spans="1:40">
      <c r="A560" t="s">
        <v>6376</v>
      </c>
      <c r="B560" t="s">
        <v>975</v>
      </c>
      <c r="C560" t="s">
        <v>818</v>
      </c>
      <c r="E560" t="s">
        <v>18</v>
      </c>
      <c r="F560" t="s">
        <v>4264</v>
      </c>
      <c r="M560" t="s">
        <v>4703</v>
      </c>
      <c r="N560" t="s">
        <v>986</v>
      </c>
      <c r="O560" t="s">
        <v>18</v>
      </c>
      <c r="P560" t="s">
        <v>3613</v>
      </c>
      <c r="T560" t="s">
        <v>975</v>
      </c>
      <c r="U560" t="s">
        <v>818</v>
      </c>
      <c r="V560" t="s">
        <v>18</v>
      </c>
      <c r="W560" t="s">
        <v>857</v>
      </c>
      <c r="AC560" t="s">
        <v>987</v>
      </c>
      <c r="AD560" t="s">
        <v>19</v>
      </c>
      <c r="AE560" t="s">
        <v>18</v>
      </c>
      <c r="AF560" t="s">
        <v>857</v>
      </c>
      <c r="AJ560" s="844" t="s">
        <v>5615</v>
      </c>
      <c r="AK560" s="844" t="s">
        <v>1055</v>
      </c>
      <c r="AL560" s="844" t="s">
        <v>816</v>
      </c>
      <c r="AM560" s="844" t="s">
        <v>53</v>
      </c>
      <c r="AN560" s="844" t="s">
        <v>3117</v>
      </c>
    </row>
    <row r="561" spans="1:40">
      <c r="A561" t="s">
        <v>6376</v>
      </c>
      <c r="B561" t="s">
        <v>975</v>
      </c>
      <c r="C561" t="s">
        <v>818</v>
      </c>
      <c r="E561" t="s">
        <v>18</v>
      </c>
      <c r="F561" t="s">
        <v>4263</v>
      </c>
      <c r="M561" t="s">
        <v>4703</v>
      </c>
      <c r="N561" t="s">
        <v>986</v>
      </c>
      <c r="O561" t="s">
        <v>18</v>
      </c>
      <c r="P561" t="s">
        <v>3612</v>
      </c>
      <c r="T561" t="s">
        <v>975</v>
      </c>
      <c r="U561" t="s">
        <v>818</v>
      </c>
      <c r="V561" t="s">
        <v>18</v>
      </c>
      <c r="W561" t="s">
        <v>857</v>
      </c>
      <c r="AC561" t="s">
        <v>987</v>
      </c>
      <c r="AD561" t="s">
        <v>19</v>
      </c>
      <c r="AE561" t="s">
        <v>18</v>
      </c>
      <c r="AF561" t="s">
        <v>2581</v>
      </c>
      <c r="AJ561" s="844" t="s">
        <v>5615</v>
      </c>
      <c r="AK561" s="844" t="s">
        <v>1055</v>
      </c>
      <c r="AL561" s="844" t="s">
        <v>816</v>
      </c>
      <c r="AM561" s="844" t="s">
        <v>53</v>
      </c>
      <c r="AN561" s="844" t="s">
        <v>2366</v>
      </c>
    </row>
    <row r="562" spans="1:40">
      <c r="A562" t="s">
        <v>6376</v>
      </c>
      <c r="B562" t="s">
        <v>975</v>
      </c>
      <c r="C562" t="s">
        <v>818</v>
      </c>
      <c r="E562" t="s">
        <v>18</v>
      </c>
      <c r="F562" t="s">
        <v>4260</v>
      </c>
      <c r="M562" t="s">
        <v>4703</v>
      </c>
      <c r="N562" t="s">
        <v>986</v>
      </c>
      <c r="O562" t="s">
        <v>18</v>
      </c>
      <c r="P562" t="s">
        <v>3610</v>
      </c>
      <c r="T562" t="s">
        <v>975</v>
      </c>
      <c r="U562" t="s">
        <v>818</v>
      </c>
      <c r="V562" t="s">
        <v>857</v>
      </c>
      <c r="W562" t="s">
        <v>4000</v>
      </c>
      <c r="AC562" t="s">
        <v>987</v>
      </c>
      <c r="AD562" t="s">
        <v>2384</v>
      </c>
      <c r="AE562" t="s">
        <v>857</v>
      </c>
      <c r="AF562" t="s">
        <v>857</v>
      </c>
      <c r="AJ562" s="844" t="s">
        <v>5620</v>
      </c>
      <c r="AK562" s="844" t="s">
        <v>1056</v>
      </c>
      <c r="AL562" s="844" t="s">
        <v>818</v>
      </c>
      <c r="AM562" s="844" t="s">
        <v>857</v>
      </c>
      <c r="AN562" s="844" t="s">
        <v>3136</v>
      </c>
    </row>
    <row r="563" spans="1:40">
      <c r="A563" t="s">
        <v>5133</v>
      </c>
      <c r="B563" t="s">
        <v>975</v>
      </c>
      <c r="C563" t="s">
        <v>818</v>
      </c>
      <c r="F563" t="s">
        <v>3784</v>
      </c>
      <c r="M563" t="s">
        <v>4703</v>
      </c>
      <c r="N563" t="s">
        <v>986</v>
      </c>
      <c r="O563" t="s">
        <v>18</v>
      </c>
      <c r="P563" t="s">
        <v>3609</v>
      </c>
      <c r="T563" t="s">
        <v>975</v>
      </c>
      <c r="U563" t="s">
        <v>818</v>
      </c>
      <c r="V563" t="s">
        <v>18</v>
      </c>
      <c r="W563" t="s">
        <v>4000</v>
      </c>
      <c r="AC563" t="s">
        <v>987</v>
      </c>
      <c r="AD563" t="s">
        <v>2384</v>
      </c>
      <c r="AE563" t="s">
        <v>857</v>
      </c>
      <c r="AF563" t="s">
        <v>2581</v>
      </c>
      <c r="AJ563" s="844" t="s">
        <v>5627</v>
      </c>
      <c r="AK563" s="844" t="s">
        <v>1056</v>
      </c>
      <c r="AL563" s="844" t="s">
        <v>818</v>
      </c>
      <c r="AM563" s="844" t="s">
        <v>18</v>
      </c>
      <c r="AN563" s="844" t="s">
        <v>3123</v>
      </c>
    </row>
    <row r="564" spans="1:40">
      <c r="A564" t="s">
        <v>5137</v>
      </c>
      <c r="B564" t="s">
        <v>975</v>
      </c>
      <c r="C564" t="s">
        <v>19</v>
      </c>
      <c r="D564" t="s">
        <v>4000</v>
      </c>
      <c r="E564" t="s">
        <v>18</v>
      </c>
      <c r="F564" t="s">
        <v>4257</v>
      </c>
      <c r="M564" t="s">
        <v>4703</v>
      </c>
      <c r="N564" t="s">
        <v>986</v>
      </c>
      <c r="O564" t="s">
        <v>18</v>
      </c>
      <c r="P564" t="s">
        <v>3608</v>
      </c>
      <c r="T564" t="s">
        <v>975</v>
      </c>
      <c r="U564" t="s">
        <v>19</v>
      </c>
      <c r="V564" t="s">
        <v>857</v>
      </c>
      <c r="W564" t="s">
        <v>857</v>
      </c>
      <c r="AC564" t="s">
        <v>987</v>
      </c>
      <c r="AD564" t="s">
        <v>2384</v>
      </c>
      <c r="AE564" t="s">
        <v>18</v>
      </c>
      <c r="AF564" t="s">
        <v>2581</v>
      </c>
      <c r="AJ564" s="844" t="s">
        <v>5627</v>
      </c>
      <c r="AK564" s="844" t="s">
        <v>1056</v>
      </c>
      <c r="AL564" s="844" t="s">
        <v>818</v>
      </c>
      <c r="AM564" s="844" t="s">
        <v>18</v>
      </c>
      <c r="AN564" s="844" t="s">
        <v>3138</v>
      </c>
    </row>
    <row r="565" spans="1:40">
      <c r="A565" t="s">
        <v>6379</v>
      </c>
      <c r="B565" t="s">
        <v>975</v>
      </c>
      <c r="C565" t="s">
        <v>19</v>
      </c>
      <c r="D565" t="s">
        <v>4000</v>
      </c>
      <c r="F565" t="s">
        <v>4001</v>
      </c>
      <c r="M565" t="s">
        <v>4703</v>
      </c>
      <c r="N565" t="s">
        <v>986</v>
      </c>
      <c r="O565" t="s">
        <v>18</v>
      </c>
      <c r="P565" t="s">
        <v>3607</v>
      </c>
      <c r="T565" t="s">
        <v>975</v>
      </c>
      <c r="U565" t="s">
        <v>19</v>
      </c>
      <c r="V565" t="s">
        <v>18</v>
      </c>
      <c r="W565" t="s">
        <v>857</v>
      </c>
      <c r="AC565" t="s">
        <v>987</v>
      </c>
      <c r="AD565" t="s">
        <v>816</v>
      </c>
      <c r="AE565" t="s">
        <v>18</v>
      </c>
      <c r="AF565" t="s">
        <v>857</v>
      </c>
      <c r="AJ565" s="844" t="s">
        <v>5627</v>
      </c>
      <c r="AK565" s="844" t="s">
        <v>1056</v>
      </c>
      <c r="AL565" s="844" t="s">
        <v>818</v>
      </c>
      <c r="AM565" s="844" t="s">
        <v>18</v>
      </c>
      <c r="AN565" s="844" t="s">
        <v>3136</v>
      </c>
    </row>
    <row r="566" spans="1:40">
      <c r="A566" t="s">
        <v>6378</v>
      </c>
      <c r="B566" t="s">
        <v>975</v>
      </c>
      <c r="C566" t="s">
        <v>19</v>
      </c>
      <c r="E566" t="s">
        <v>18</v>
      </c>
      <c r="F566" t="s">
        <v>4265</v>
      </c>
      <c r="M566" t="s">
        <v>4704</v>
      </c>
      <c r="N566" t="s">
        <v>987</v>
      </c>
      <c r="O566" t="s">
        <v>18</v>
      </c>
      <c r="P566" t="s">
        <v>3592</v>
      </c>
      <c r="T566" t="s">
        <v>975</v>
      </c>
      <c r="U566" t="s">
        <v>19</v>
      </c>
      <c r="V566" t="s">
        <v>18</v>
      </c>
      <c r="W566" t="s">
        <v>857</v>
      </c>
      <c r="AC566" t="s">
        <v>987</v>
      </c>
      <c r="AD566" t="s">
        <v>816</v>
      </c>
      <c r="AE566" t="s">
        <v>18</v>
      </c>
      <c r="AF566" t="s">
        <v>2366</v>
      </c>
      <c r="AJ566" s="844" t="s">
        <v>5627</v>
      </c>
      <c r="AK566" s="844" t="s">
        <v>1056</v>
      </c>
      <c r="AL566" s="844" t="s">
        <v>818</v>
      </c>
      <c r="AM566" s="844" t="s">
        <v>18</v>
      </c>
      <c r="AN566" s="844" t="s">
        <v>3134</v>
      </c>
    </row>
    <row r="567" spans="1:40">
      <c r="A567" t="s">
        <v>6378</v>
      </c>
      <c r="B567" t="s">
        <v>975</v>
      </c>
      <c r="C567" t="s">
        <v>19</v>
      </c>
      <c r="E567" t="s">
        <v>18</v>
      </c>
      <c r="F567" t="s">
        <v>4261</v>
      </c>
      <c r="M567" t="s">
        <v>4704</v>
      </c>
      <c r="N567" t="s">
        <v>987</v>
      </c>
      <c r="O567" t="s">
        <v>18</v>
      </c>
      <c r="P567" t="s">
        <v>3591</v>
      </c>
      <c r="T567" t="s">
        <v>975</v>
      </c>
      <c r="U567" t="s">
        <v>19</v>
      </c>
      <c r="V567" t="s">
        <v>18</v>
      </c>
      <c r="W567" t="s">
        <v>857</v>
      </c>
      <c r="AC567" t="s">
        <v>988</v>
      </c>
      <c r="AD567" t="s">
        <v>818</v>
      </c>
      <c r="AE567" t="s">
        <v>857</v>
      </c>
      <c r="AF567" t="s">
        <v>3596</v>
      </c>
      <c r="AJ567" s="844" t="s">
        <v>5627</v>
      </c>
      <c r="AK567" s="844" t="s">
        <v>1056</v>
      </c>
      <c r="AL567" s="844" t="s">
        <v>818</v>
      </c>
      <c r="AM567" s="844" t="s">
        <v>18</v>
      </c>
      <c r="AN567" s="844" t="s">
        <v>3127</v>
      </c>
    </row>
    <row r="568" spans="1:40">
      <c r="A568" t="s">
        <v>6378</v>
      </c>
      <c r="B568" t="s">
        <v>975</v>
      </c>
      <c r="C568" t="s">
        <v>19</v>
      </c>
      <c r="E568" t="s">
        <v>18</v>
      </c>
      <c r="F568" t="s">
        <v>4259</v>
      </c>
      <c r="M568" t="s">
        <v>4704</v>
      </c>
      <c r="N568" t="s">
        <v>987</v>
      </c>
      <c r="O568" t="s">
        <v>18</v>
      </c>
      <c r="P568" t="s">
        <v>3590</v>
      </c>
      <c r="T568" t="s">
        <v>975</v>
      </c>
      <c r="U568" t="s">
        <v>19</v>
      </c>
      <c r="V568" t="s">
        <v>857</v>
      </c>
      <c r="W568" t="s">
        <v>4000</v>
      </c>
      <c r="AC568" t="s">
        <v>988</v>
      </c>
      <c r="AD568" t="s">
        <v>818</v>
      </c>
      <c r="AE568" t="s">
        <v>18</v>
      </c>
      <c r="AF568" t="s">
        <v>857</v>
      </c>
      <c r="AJ568" s="844" t="s">
        <v>5628</v>
      </c>
      <c r="AK568" s="844" t="s">
        <v>1056</v>
      </c>
      <c r="AL568" s="844" t="s">
        <v>19</v>
      </c>
      <c r="AM568" s="844" t="s">
        <v>857</v>
      </c>
      <c r="AN568" s="844" t="s">
        <v>3129</v>
      </c>
    </row>
    <row r="569" spans="1:40">
      <c r="A569" t="s">
        <v>5136</v>
      </c>
      <c r="B569" t="s">
        <v>975</v>
      </c>
      <c r="C569" t="s">
        <v>19</v>
      </c>
      <c r="F569" t="s">
        <v>3783</v>
      </c>
      <c r="M569" t="s">
        <v>4704</v>
      </c>
      <c r="N569" t="s">
        <v>987</v>
      </c>
      <c r="O569" t="s">
        <v>18</v>
      </c>
      <c r="P569" t="s">
        <v>3589</v>
      </c>
      <c r="T569" t="s">
        <v>975</v>
      </c>
      <c r="U569" t="s">
        <v>19</v>
      </c>
      <c r="V569" t="s">
        <v>18</v>
      </c>
      <c r="W569" t="s">
        <v>4000</v>
      </c>
      <c r="AC569" t="s">
        <v>988</v>
      </c>
      <c r="AD569" t="s">
        <v>818</v>
      </c>
      <c r="AE569" t="s">
        <v>18</v>
      </c>
      <c r="AF569" t="s">
        <v>3596</v>
      </c>
      <c r="AJ569" s="844" t="s">
        <v>5635</v>
      </c>
      <c r="AK569" s="844" t="s">
        <v>1056</v>
      </c>
      <c r="AL569" s="844" t="s">
        <v>19</v>
      </c>
      <c r="AM569" s="844" t="s">
        <v>18</v>
      </c>
      <c r="AN569" s="844" t="s">
        <v>2768</v>
      </c>
    </row>
    <row r="570" spans="1:40">
      <c r="A570" t="s">
        <v>5140</v>
      </c>
      <c r="B570" t="s">
        <v>975</v>
      </c>
      <c r="C570" t="s">
        <v>816</v>
      </c>
      <c r="D570" t="s">
        <v>4000</v>
      </c>
      <c r="E570" t="s">
        <v>18</v>
      </c>
      <c r="F570" t="s">
        <v>4256</v>
      </c>
      <c r="M570" t="s">
        <v>4704</v>
      </c>
      <c r="N570" t="s">
        <v>987</v>
      </c>
      <c r="O570" t="s">
        <v>18</v>
      </c>
      <c r="P570" t="s">
        <v>3588</v>
      </c>
      <c r="T570" t="s">
        <v>975</v>
      </c>
      <c r="U570" t="s">
        <v>816</v>
      </c>
      <c r="V570" t="s">
        <v>857</v>
      </c>
      <c r="W570" t="s">
        <v>857</v>
      </c>
      <c r="AC570" t="s">
        <v>988</v>
      </c>
      <c r="AD570" t="s">
        <v>19</v>
      </c>
      <c r="AE570" t="s">
        <v>857</v>
      </c>
      <c r="AF570" t="s">
        <v>857</v>
      </c>
      <c r="AJ570" s="844" t="s">
        <v>5635</v>
      </c>
      <c r="AK570" s="844" t="s">
        <v>1056</v>
      </c>
      <c r="AL570" s="844" t="s">
        <v>19</v>
      </c>
      <c r="AM570" s="844" t="s">
        <v>18</v>
      </c>
      <c r="AN570" s="844" t="s">
        <v>3129</v>
      </c>
    </row>
    <row r="571" spans="1:40">
      <c r="A571" t="s">
        <v>6381</v>
      </c>
      <c r="B571" t="s">
        <v>975</v>
      </c>
      <c r="C571" t="s">
        <v>816</v>
      </c>
      <c r="D571" t="s">
        <v>4000</v>
      </c>
      <c r="F571" t="s">
        <v>4011</v>
      </c>
      <c r="M571" t="s">
        <v>4704</v>
      </c>
      <c r="N571" t="s">
        <v>987</v>
      </c>
      <c r="O571" t="s">
        <v>18</v>
      </c>
      <c r="P571" t="s">
        <v>3587</v>
      </c>
      <c r="T571" t="s">
        <v>975</v>
      </c>
      <c r="U571" t="s">
        <v>816</v>
      </c>
      <c r="V571" t="s">
        <v>857</v>
      </c>
      <c r="W571" t="s">
        <v>857</v>
      </c>
      <c r="AC571" t="s">
        <v>988</v>
      </c>
      <c r="AD571" t="s">
        <v>19</v>
      </c>
      <c r="AE571" t="s">
        <v>857</v>
      </c>
      <c r="AF571" t="s">
        <v>3596</v>
      </c>
      <c r="AJ571" s="844" t="s">
        <v>5635</v>
      </c>
      <c r="AK571" s="844" t="s">
        <v>1056</v>
      </c>
      <c r="AL571" s="844" t="s">
        <v>19</v>
      </c>
      <c r="AM571" s="844" t="s">
        <v>18</v>
      </c>
      <c r="AN571" s="844" t="s">
        <v>3127</v>
      </c>
    </row>
    <row r="572" spans="1:40">
      <c r="A572" t="s">
        <v>6380</v>
      </c>
      <c r="B572" t="s">
        <v>975</v>
      </c>
      <c r="C572" t="s">
        <v>816</v>
      </c>
      <c r="E572" t="s">
        <v>18</v>
      </c>
      <c r="F572" t="s">
        <v>4262</v>
      </c>
      <c r="M572" t="s">
        <v>4704</v>
      </c>
      <c r="N572" t="s">
        <v>987</v>
      </c>
      <c r="O572" t="s">
        <v>18</v>
      </c>
      <c r="P572" t="s">
        <v>3586</v>
      </c>
      <c r="T572" t="s">
        <v>975</v>
      </c>
      <c r="U572" t="s">
        <v>816</v>
      </c>
      <c r="V572" t="s">
        <v>18</v>
      </c>
      <c r="W572" t="s">
        <v>857</v>
      </c>
      <c r="AC572" t="s">
        <v>988</v>
      </c>
      <c r="AD572" t="s">
        <v>19</v>
      </c>
      <c r="AE572" t="s">
        <v>18</v>
      </c>
      <c r="AF572" t="s">
        <v>857</v>
      </c>
      <c r="AJ572" s="844" t="s">
        <v>5636</v>
      </c>
      <c r="AK572" s="844" t="s">
        <v>1056</v>
      </c>
      <c r="AL572" s="844" t="s">
        <v>2384</v>
      </c>
      <c r="AM572" s="844" t="s">
        <v>857</v>
      </c>
      <c r="AN572" s="844" t="s">
        <v>3138</v>
      </c>
    </row>
    <row r="573" spans="1:40">
      <c r="A573" t="s">
        <v>5139</v>
      </c>
      <c r="B573" t="s">
        <v>975</v>
      </c>
      <c r="C573" t="s">
        <v>816</v>
      </c>
      <c r="F573" t="s">
        <v>4079</v>
      </c>
      <c r="M573" t="s">
        <v>4704</v>
      </c>
      <c r="N573" t="s">
        <v>987</v>
      </c>
      <c r="O573" t="s">
        <v>18</v>
      </c>
      <c r="P573" t="s">
        <v>3585</v>
      </c>
      <c r="T573" t="s">
        <v>975</v>
      </c>
      <c r="U573" t="s">
        <v>816</v>
      </c>
      <c r="V573" t="s">
        <v>857</v>
      </c>
      <c r="W573" t="s">
        <v>4000</v>
      </c>
      <c r="AC573" t="s">
        <v>988</v>
      </c>
      <c r="AD573" t="s">
        <v>19</v>
      </c>
      <c r="AE573" t="s">
        <v>18</v>
      </c>
      <c r="AF573" t="s">
        <v>3596</v>
      </c>
      <c r="AJ573" s="844" t="s">
        <v>5636</v>
      </c>
      <c r="AK573" s="844" t="s">
        <v>1056</v>
      </c>
      <c r="AL573" s="844" t="s">
        <v>2384</v>
      </c>
      <c r="AM573" s="844" t="s">
        <v>857</v>
      </c>
      <c r="AN573" s="844" t="s">
        <v>3136</v>
      </c>
    </row>
    <row r="574" spans="1:40">
      <c r="A574" t="s">
        <v>5139</v>
      </c>
      <c r="B574" t="s">
        <v>975</v>
      </c>
      <c r="C574" t="s">
        <v>816</v>
      </c>
      <c r="F574" t="s">
        <v>3805</v>
      </c>
      <c r="M574" t="s">
        <v>4704</v>
      </c>
      <c r="N574" t="s">
        <v>987</v>
      </c>
      <c r="O574" t="s">
        <v>18</v>
      </c>
      <c r="P574" t="s">
        <v>3584</v>
      </c>
      <c r="T574" t="s">
        <v>975</v>
      </c>
      <c r="U574" t="s">
        <v>816</v>
      </c>
      <c r="V574" t="s">
        <v>18</v>
      </c>
      <c r="W574" t="s">
        <v>4000</v>
      </c>
      <c r="AC574" t="s">
        <v>988</v>
      </c>
      <c r="AD574" t="s">
        <v>2384</v>
      </c>
      <c r="AE574" t="s">
        <v>18</v>
      </c>
      <c r="AF574" t="s">
        <v>3596</v>
      </c>
      <c r="AJ574" s="844" t="s">
        <v>5640</v>
      </c>
      <c r="AK574" s="844" t="s">
        <v>1056</v>
      </c>
      <c r="AL574" s="844" t="s">
        <v>2384</v>
      </c>
      <c r="AM574" s="844" t="s">
        <v>18</v>
      </c>
      <c r="AN574" s="844" t="s">
        <v>3136</v>
      </c>
    </row>
    <row r="575" spans="1:40">
      <c r="A575" t="s">
        <v>6382</v>
      </c>
      <c r="B575" t="s">
        <v>976</v>
      </c>
      <c r="C575" t="s">
        <v>818</v>
      </c>
      <c r="E575" t="s">
        <v>18</v>
      </c>
      <c r="F575" t="s">
        <v>4255</v>
      </c>
      <c r="M575" t="s">
        <v>4704</v>
      </c>
      <c r="N575" t="s">
        <v>987</v>
      </c>
      <c r="O575" t="s">
        <v>18</v>
      </c>
      <c r="P575" t="s">
        <v>3583</v>
      </c>
      <c r="T575" t="s">
        <v>976</v>
      </c>
      <c r="U575" t="s">
        <v>818</v>
      </c>
      <c r="V575" t="s">
        <v>18</v>
      </c>
      <c r="W575" t="s">
        <v>857</v>
      </c>
      <c r="AC575" t="s">
        <v>988</v>
      </c>
      <c r="AD575" t="s">
        <v>816</v>
      </c>
      <c r="AE575" t="s">
        <v>857</v>
      </c>
      <c r="AF575" t="s">
        <v>3594</v>
      </c>
      <c r="AJ575" s="844" t="s">
        <v>5643</v>
      </c>
      <c r="AK575" s="844" t="s">
        <v>1056</v>
      </c>
      <c r="AL575" s="844" t="s">
        <v>2416</v>
      </c>
      <c r="AM575" s="844" t="s">
        <v>18</v>
      </c>
      <c r="AN575" s="844" t="s">
        <v>3125</v>
      </c>
    </row>
    <row r="576" spans="1:40">
      <c r="A576" t="s">
        <v>5142</v>
      </c>
      <c r="B576" t="s">
        <v>2670</v>
      </c>
      <c r="C576" t="s">
        <v>818</v>
      </c>
      <c r="D576" t="s">
        <v>2674</v>
      </c>
      <c r="E576" t="s">
        <v>18</v>
      </c>
      <c r="F576" t="s">
        <v>2675</v>
      </c>
      <c r="M576" t="s">
        <v>4704</v>
      </c>
      <c r="N576" t="s">
        <v>987</v>
      </c>
      <c r="O576" t="s">
        <v>18</v>
      </c>
      <c r="P576" t="s">
        <v>3582</v>
      </c>
      <c r="T576" t="s">
        <v>2670</v>
      </c>
      <c r="U576" t="s">
        <v>818</v>
      </c>
      <c r="V576" t="s">
        <v>18</v>
      </c>
      <c r="W576" t="s">
        <v>857</v>
      </c>
      <c r="AC576" t="s">
        <v>988</v>
      </c>
      <c r="AD576" t="s">
        <v>816</v>
      </c>
      <c r="AE576" t="s">
        <v>18</v>
      </c>
      <c r="AF576" t="s">
        <v>857</v>
      </c>
      <c r="AJ576" s="844" t="s">
        <v>5644</v>
      </c>
      <c r="AK576" s="844" t="s">
        <v>1056</v>
      </c>
      <c r="AL576" s="844" t="s">
        <v>816</v>
      </c>
      <c r="AM576" s="844" t="s">
        <v>857</v>
      </c>
      <c r="AN576" s="844" t="s">
        <v>3125</v>
      </c>
    </row>
    <row r="577" spans="1:40">
      <c r="A577" t="s">
        <v>5143</v>
      </c>
      <c r="B577" t="s">
        <v>2670</v>
      </c>
      <c r="C577" t="s">
        <v>818</v>
      </c>
      <c r="D577" t="s">
        <v>2669</v>
      </c>
      <c r="E577" t="s">
        <v>18</v>
      </c>
      <c r="F577" t="s">
        <v>2681</v>
      </c>
      <c r="M577" t="s">
        <v>4705</v>
      </c>
      <c r="N577" t="s">
        <v>988</v>
      </c>
      <c r="O577" t="s">
        <v>18</v>
      </c>
      <c r="P577" t="s">
        <v>3605</v>
      </c>
      <c r="T577" t="s">
        <v>2670</v>
      </c>
      <c r="U577" t="s">
        <v>818</v>
      </c>
      <c r="V577" t="s">
        <v>18</v>
      </c>
      <c r="W577" t="s">
        <v>857</v>
      </c>
      <c r="AC577" t="s">
        <v>988</v>
      </c>
      <c r="AD577" t="s">
        <v>816</v>
      </c>
      <c r="AE577" t="s">
        <v>18</v>
      </c>
      <c r="AF577" t="s">
        <v>3596</v>
      </c>
      <c r="AJ577" s="844" t="s">
        <v>5651</v>
      </c>
      <c r="AK577" s="844" t="s">
        <v>1056</v>
      </c>
      <c r="AL577" s="844" t="s">
        <v>816</v>
      </c>
      <c r="AM577" s="844" t="s">
        <v>18</v>
      </c>
      <c r="AN577" s="844" t="s">
        <v>3123</v>
      </c>
    </row>
    <row r="578" spans="1:40">
      <c r="A578" t="s">
        <v>5143</v>
      </c>
      <c r="B578" t="s">
        <v>2670</v>
      </c>
      <c r="C578" t="s">
        <v>818</v>
      </c>
      <c r="D578" t="s">
        <v>2669</v>
      </c>
      <c r="E578" t="s">
        <v>18</v>
      </c>
      <c r="F578" t="s">
        <v>2673</v>
      </c>
      <c r="M578" t="s">
        <v>4705</v>
      </c>
      <c r="N578" t="s">
        <v>988</v>
      </c>
      <c r="O578" t="s">
        <v>18</v>
      </c>
      <c r="P578" t="s">
        <v>3604</v>
      </c>
      <c r="T578" t="s">
        <v>2670</v>
      </c>
      <c r="U578" t="s">
        <v>818</v>
      </c>
      <c r="V578" t="s">
        <v>18</v>
      </c>
      <c r="W578" t="s">
        <v>2674</v>
      </c>
      <c r="AC578" t="s">
        <v>988</v>
      </c>
      <c r="AD578" t="s">
        <v>816</v>
      </c>
      <c r="AE578" t="s">
        <v>18</v>
      </c>
      <c r="AF578" t="s">
        <v>3594</v>
      </c>
      <c r="AJ578" s="844" t="s">
        <v>5651</v>
      </c>
      <c r="AK578" s="844" t="s">
        <v>1056</v>
      </c>
      <c r="AL578" s="844" t="s">
        <v>816</v>
      </c>
      <c r="AM578" s="844" t="s">
        <v>18</v>
      </c>
      <c r="AN578" s="844" t="s">
        <v>3121</v>
      </c>
    </row>
    <row r="579" spans="1:40">
      <c r="A579" t="s">
        <v>6383</v>
      </c>
      <c r="B579" t="s">
        <v>2670</v>
      </c>
      <c r="C579" t="s">
        <v>818</v>
      </c>
      <c r="E579" t="s">
        <v>18</v>
      </c>
      <c r="F579" t="s">
        <v>2685</v>
      </c>
      <c r="M579" t="s">
        <v>4705</v>
      </c>
      <c r="N579" t="s">
        <v>988</v>
      </c>
      <c r="O579" t="s">
        <v>18</v>
      </c>
      <c r="P579" t="s">
        <v>3603</v>
      </c>
      <c r="T579" t="s">
        <v>2670</v>
      </c>
      <c r="U579" t="s">
        <v>818</v>
      </c>
      <c r="V579" t="s">
        <v>18</v>
      </c>
      <c r="W579" t="s">
        <v>2669</v>
      </c>
      <c r="AC579" t="s">
        <v>989</v>
      </c>
      <c r="AD579" t="s">
        <v>818</v>
      </c>
      <c r="AE579" t="s">
        <v>857</v>
      </c>
      <c r="AF579" t="s">
        <v>3508</v>
      </c>
      <c r="AJ579" s="844" t="s">
        <v>5651</v>
      </c>
      <c r="AK579" s="844" t="s">
        <v>1056</v>
      </c>
      <c r="AL579" s="844" t="s">
        <v>816</v>
      </c>
      <c r="AM579" s="844" t="s">
        <v>18</v>
      </c>
      <c r="AN579" s="844" t="s">
        <v>3119</v>
      </c>
    </row>
    <row r="580" spans="1:40">
      <c r="A580" t="s">
        <v>6383</v>
      </c>
      <c r="B580" t="s">
        <v>2670</v>
      </c>
      <c r="C580" t="s">
        <v>818</v>
      </c>
      <c r="E580" t="s">
        <v>18</v>
      </c>
      <c r="F580" t="s">
        <v>2682</v>
      </c>
      <c r="M580" t="s">
        <v>4705</v>
      </c>
      <c r="N580" t="s">
        <v>988</v>
      </c>
      <c r="O580" t="s">
        <v>18</v>
      </c>
      <c r="P580" t="s">
        <v>3602</v>
      </c>
      <c r="T580" t="s">
        <v>2670</v>
      </c>
      <c r="U580" t="s">
        <v>818</v>
      </c>
      <c r="V580" t="s">
        <v>18</v>
      </c>
      <c r="W580" t="s">
        <v>2669</v>
      </c>
      <c r="AC580" t="s">
        <v>989</v>
      </c>
      <c r="AD580" t="s">
        <v>818</v>
      </c>
      <c r="AE580" t="s">
        <v>18</v>
      </c>
      <c r="AF580" t="s">
        <v>857</v>
      </c>
      <c r="AJ580" s="844" t="s">
        <v>5654</v>
      </c>
      <c r="AK580" s="844" t="s">
        <v>3281</v>
      </c>
      <c r="AL580" s="844" t="s">
        <v>818</v>
      </c>
      <c r="AM580" s="844" t="s">
        <v>53</v>
      </c>
      <c r="AN580" s="844" t="s">
        <v>3280</v>
      </c>
    </row>
    <row r="581" spans="1:40">
      <c r="A581" t="s">
        <v>5146</v>
      </c>
      <c r="B581" t="s">
        <v>2670</v>
      </c>
      <c r="C581" t="s">
        <v>19</v>
      </c>
      <c r="D581" t="s">
        <v>2669</v>
      </c>
      <c r="E581" t="s">
        <v>18</v>
      </c>
      <c r="F581" t="s">
        <v>2680</v>
      </c>
      <c r="M581" t="s">
        <v>4705</v>
      </c>
      <c r="N581" t="s">
        <v>988</v>
      </c>
      <c r="O581" t="s">
        <v>18</v>
      </c>
      <c r="P581" t="s">
        <v>3601</v>
      </c>
      <c r="T581" t="s">
        <v>2670</v>
      </c>
      <c r="U581" t="s">
        <v>19</v>
      </c>
      <c r="V581" t="s">
        <v>857</v>
      </c>
      <c r="W581" t="s">
        <v>857</v>
      </c>
      <c r="AC581" t="s">
        <v>989</v>
      </c>
      <c r="AD581" t="s">
        <v>818</v>
      </c>
      <c r="AE581" t="s">
        <v>18</v>
      </c>
      <c r="AF581" t="s">
        <v>3501</v>
      </c>
      <c r="AJ581" s="844" t="s">
        <v>5657</v>
      </c>
      <c r="AK581" s="844" t="s">
        <v>3281</v>
      </c>
      <c r="AL581" s="844" t="s">
        <v>816</v>
      </c>
      <c r="AM581" s="844" t="s">
        <v>53</v>
      </c>
      <c r="AN581" s="844" t="s">
        <v>3280</v>
      </c>
    </row>
    <row r="582" spans="1:40">
      <c r="A582" t="s">
        <v>5146</v>
      </c>
      <c r="B582" t="s">
        <v>2670</v>
      </c>
      <c r="C582" t="s">
        <v>19</v>
      </c>
      <c r="D582" t="s">
        <v>2669</v>
      </c>
      <c r="E582" t="s">
        <v>18</v>
      </c>
      <c r="F582" t="s">
        <v>2672</v>
      </c>
      <c r="M582" t="s">
        <v>4705</v>
      </c>
      <c r="N582" t="s">
        <v>988</v>
      </c>
      <c r="O582" t="s">
        <v>18</v>
      </c>
      <c r="P582" t="s">
        <v>3600</v>
      </c>
      <c r="T582" t="s">
        <v>2670</v>
      </c>
      <c r="U582" t="s">
        <v>19</v>
      </c>
      <c r="V582" t="s">
        <v>18</v>
      </c>
      <c r="W582" t="s">
        <v>857</v>
      </c>
      <c r="AC582" t="s">
        <v>989</v>
      </c>
      <c r="AD582" t="s">
        <v>818</v>
      </c>
      <c r="AE582" t="s">
        <v>18</v>
      </c>
      <c r="AF582" t="s">
        <v>3557</v>
      </c>
      <c r="AJ582" s="844" t="s">
        <v>5660</v>
      </c>
      <c r="AK582" s="844" t="s">
        <v>2856</v>
      </c>
      <c r="AL582" s="844" t="s">
        <v>19</v>
      </c>
      <c r="AM582" s="844" t="s">
        <v>857</v>
      </c>
      <c r="AN582" s="844" t="s">
        <v>2366</v>
      </c>
    </row>
    <row r="583" spans="1:40">
      <c r="A583" t="s">
        <v>6385</v>
      </c>
      <c r="B583" t="s">
        <v>2670</v>
      </c>
      <c r="C583" t="s">
        <v>19</v>
      </c>
      <c r="D583" t="s">
        <v>2669</v>
      </c>
      <c r="F583" t="s">
        <v>4185</v>
      </c>
      <c r="M583" t="s">
        <v>4705</v>
      </c>
      <c r="N583" t="s">
        <v>988</v>
      </c>
      <c r="O583" t="s">
        <v>18</v>
      </c>
      <c r="P583" t="s">
        <v>3599</v>
      </c>
      <c r="T583" t="s">
        <v>2670</v>
      </c>
      <c r="U583" t="s">
        <v>19</v>
      </c>
      <c r="V583" t="s">
        <v>857</v>
      </c>
      <c r="W583" t="s">
        <v>2669</v>
      </c>
      <c r="AC583" t="s">
        <v>989</v>
      </c>
      <c r="AD583" t="s">
        <v>818</v>
      </c>
      <c r="AE583" t="s">
        <v>18</v>
      </c>
      <c r="AF583" t="s">
        <v>3577</v>
      </c>
      <c r="AJ583" s="844" t="s">
        <v>5664</v>
      </c>
      <c r="AK583" s="844" t="s">
        <v>2856</v>
      </c>
      <c r="AL583" s="844" t="s">
        <v>19</v>
      </c>
      <c r="AM583" s="844" t="s">
        <v>18</v>
      </c>
      <c r="AN583" s="844" t="s">
        <v>2366</v>
      </c>
    </row>
    <row r="584" spans="1:40">
      <c r="A584" t="s">
        <v>6384</v>
      </c>
      <c r="B584" t="s">
        <v>2670</v>
      </c>
      <c r="C584" t="s">
        <v>19</v>
      </c>
      <c r="E584" t="s">
        <v>18</v>
      </c>
      <c r="F584" t="s">
        <v>2684</v>
      </c>
      <c r="M584" t="s">
        <v>4705</v>
      </c>
      <c r="N584" t="s">
        <v>988</v>
      </c>
      <c r="O584" t="s">
        <v>18</v>
      </c>
      <c r="P584" t="s">
        <v>3598</v>
      </c>
      <c r="T584" t="s">
        <v>2670</v>
      </c>
      <c r="U584" t="s">
        <v>19</v>
      </c>
      <c r="V584" t="s">
        <v>18</v>
      </c>
      <c r="W584" t="s">
        <v>2669</v>
      </c>
      <c r="AC584" t="s">
        <v>989</v>
      </c>
      <c r="AD584" t="s">
        <v>818</v>
      </c>
      <c r="AE584" t="s">
        <v>18</v>
      </c>
      <c r="AF584" t="s">
        <v>2877</v>
      </c>
      <c r="AJ584" s="844" t="s">
        <v>5665</v>
      </c>
      <c r="AK584" s="844" t="s">
        <v>2856</v>
      </c>
      <c r="AL584" s="844" t="s">
        <v>2384</v>
      </c>
      <c r="AM584" s="844" t="s">
        <v>857</v>
      </c>
      <c r="AN584" s="844" t="s">
        <v>2366</v>
      </c>
    </row>
    <row r="585" spans="1:40">
      <c r="A585" t="s">
        <v>5145</v>
      </c>
      <c r="B585" t="s">
        <v>2670</v>
      </c>
      <c r="C585" t="s">
        <v>19</v>
      </c>
      <c r="F585" t="s">
        <v>3780</v>
      </c>
      <c r="M585" t="s">
        <v>4705</v>
      </c>
      <c r="N585" t="s">
        <v>988</v>
      </c>
      <c r="O585" t="s">
        <v>18</v>
      </c>
      <c r="P585" t="s">
        <v>3597</v>
      </c>
      <c r="T585" t="s">
        <v>2670</v>
      </c>
      <c r="U585" t="s">
        <v>19</v>
      </c>
      <c r="V585" t="s">
        <v>18</v>
      </c>
      <c r="W585" t="s">
        <v>2669</v>
      </c>
      <c r="AC585" t="s">
        <v>989</v>
      </c>
      <c r="AD585" t="s">
        <v>818</v>
      </c>
      <c r="AE585" t="s">
        <v>18</v>
      </c>
      <c r="AF585" t="s">
        <v>3565</v>
      </c>
      <c r="AJ585" s="844" t="s">
        <v>5668</v>
      </c>
      <c r="AK585" s="844" t="s">
        <v>2856</v>
      </c>
      <c r="AL585" s="844" t="s">
        <v>2384</v>
      </c>
      <c r="AM585" s="844" t="s">
        <v>18</v>
      </c>
      <c r="AN585" s="844" t="s">
        <v>2366</v>
      </c>
    </row>
    <row r="586" spans="1:40">
      <c r="A586" t="s">
        <v>6386</v>
      </c>
      <c r="B586" t="s">
        <v>2670</v>
      </c>
      <c r="C586" t="s">
        <v>2384</v>
      </c>
      <c r="D586" t="s">
        <v>2674</v>
      </c>
      <c r="F586" t="s">
        <v>4124</v>
      </c>
      <c r="M586" t="s">
        <v>4705</v>
      </c>
      <c r="N586" t="s">
        <v>988</v>
      </c>
      <c r="O586" t="s">
        <v>18</v>
      </c>
      <c r="P586" t="s">
        <v>3595</v>
      </c>
      <c r="T586" t="s">
        <v>2670</v>
      </c>
      <c r="U586" t="s">
        <v>2384</v>
      </c>
      <c r="V586" t="s">
        <v>857</v>
      </c>
      <c r="W586" t="s">
        <v>857</v>
      </c>
      <c r="AC586" t="s">
        <v>989</v>
      </c>
      <c r="AD586" t="s">
        <v>818</v>
      </c>
      <c r="AE586" t="s">
        <v>18</v>
      </c>
      <c r="AF586" t="s">
        <v>3508</v>
      </c>
      <c r="AJ586" s="844" t="s">
        <v>5670</v>
      </c>
      <c r="AK586" s="844" t="s">
        <v>1057</v>
      </c>
      <c r="AL586" s="844" t="s">
        <v>818</v>
      </c>
      <c r="AM586" s="844" t="s">
        <v>857</v>
      </c>
      <c r="AN586" s="844" t="s">
        <v>3059</v>
      </c>
    </row>
    <row r="587" spans="1:40">
      <c r="A587" t="s">
        <v>6386</v>
      </c>
      <c r="B587" t="s">
        <v>2670</v>
      </c>
      <c r="C587" t="s">
        <v>2384</v>
      </c>
      <c r="D587" t="s">
        <v>2674</v>
      </c>
      <c r="F587" t="s">
        <v>2677</v>
      </c>
      <c r="M587" t="s">
        <v>4706</v>
      </c>
      <c r="N587" t="s">
        <v>989</v>
      </c>
      <c r="O587" t="s">
        <v>18</v>
      </c>
      <c r="P587" t="s">
        <v>3581</v>
      </c>
      <c r="T587" t="s">
        <v>2670</v>
      </c>
      <c r="U587" t="s">
        <v>2384</v>
      </c>
      <c r="V587" t="s">
        <v>857</v>
      </c>
      <c r="W587" t="s">
        <v>2674</v>
      </c>
      <c r="AC587" t="s">
        <v>989</v>
      </c>
      <c r="AD587" t="s">
        <v>818</v>
      </c>
      <c r="AE587" t="s">
        <v>18</v>
      </c>
      <c r="AF587" t="s">
        <v>3506</v>
      </c>
      <c r="AJ587" s="844" t="s">
        <v>5676</v>
      </c>
      <c r="AK587" s="844" t="s">
        <v>1057</v>
      </c>
      <c r="AL587" s="844" t="s">
        <v>818</v>
      </c>
      <c r="AM587" s="844" t="s">
        <v>18</v>
      </c>
      <c r="AN587" s="844" t="s">
        <v>3055</v>
      </c>
    </row>
    <row r="588" spans="1:40">
      <c r="A588" t="s">
        <v>6387</v>
      </c>
      <c r="B588" t="s">
        <v>2670</v>
      </c>
      <c r="C588" t="s">
        <v>2384</v>
      </c>
      <c r="D588" t="s">
        <v>2669</v>
      </c>
      <c r="F588" t="s">
        <v>2676</v>
      </c>
      <c r="M588" t="s">
        <v>4706</v>
      </c>
      <c r="N588" t="s">
        <v>989</v>
      </c>
      <c r="O588" t="s">
        <v>18</v>
      </c>
      <c r="P588" t="s">
        <v>3580</v>
      </c>
      <c r="T588" t="s">
        <v>2670</v>
      </c>
      <c r="U588" t="s">
        <v>2384</v>
      </c>
      <c r="V588" t="s">
        <v>857</v>
      </c>
      <c r="W588" t="s">
        <v>2674</v>
      </c>
      <c r="AC588" t="s">
        <v>989</v>
      </c>
      <c r="AD588" t="s">
        <v>818</v>
      </c>
      <c r="AE588" t="s">
        <v>18</v>
      </c>
      <c r="AF588" t="s">
        <v>3563</v>
      </c>
      <c r="AJ588" s="844" t="s">
        <v>5676</v>
      </c>
      <c r="AK588" s="844" t="s">
        <v>1057</v>
      </c>
      <c r="AL588" s="844" t="s">
        <v>818</v>
      </c>
      <c r="AM588" s="844" t="s">
        <v>18</v>
      </c>
      <c r="AN588" s="844" t="s">
        <v>3059</v>
      </c>
    </row>
    <row r="589" spans="1:40">
      <c r="A589" t="s">
        <v>5148</v>
      </c>
      <c r="B589" t="s">
        <v>2670</v>
      </c>
      <c r="C589" t="s">
        <v>2384</v>
      </c>
      <c r="F589" t="s">
        <v>3899</v>
      </c>
      <c r="M589" t="s">
        <v>4706</v>
      </c>
      <c r="N589" t="s">
        <v>989</v>
      </c>
      <c r="O589" t="s">
        <v>18</v>
      </c>
      <c r="P589" t="s">
        <v>3579</v>
      </c>
      <c r="T589" t="s">
        <v>2670</v>
      </c>
      <c r="U589" t="s">
        <v>2384</v>
      </c>
      <c r="V589" t="s">
        <v>857</v>
      </c>
      <c r="W589" t="s">
        <v>2669</v>
      </c>
      <c r="AC589" t="s">
        <v>989</v>
      </c>
      <c r="AD589" t="s">
        <v>19</v>
      </c>
      <c r="AE589" t="s">
        <v>857</v>
      </c>
      <c r="AF589" t="s">
        <v>3501</v>
      </c>
      <c r="AJ589" s="844" t="s">
        <v>5677</v>
      </c>
      <c r="AK589" s="844" t="s">
        <v>1057</v>
      </c>
      <c r="AL589" s="844" t="s">
        <v>19</v>
      </c>
      <c r="AM589" s="844" t="s">
        <v>857</v>
      </c>
      <c r="AN589" s="844" t="s">
        <v>3055</v>
      </c>
    </row>
    <row r="590" spans="1:40">
      <c r="A590" t="s">
        <v>6388</v>
      </c>
      <c r="B590" t="s">
        <v>2670</v>
      </c>
      <c r="C590" t="s">
        <v>2416</v>
      </c>
      <c r="E590" t="s">
        <v>18</v>
      </c>
      <c r="F590" t="s">
        <v>2678</v>
      </c>
      <c r="M590" t="s">
        <v>4706</v>
      </c>
      <c r="N590" t="s">
        <v>989</v>
      </c>
      <c r="O590" t="s">
        <v>18</v>
      </c>
      <c r="P590" t="s">
        <v>3578</v>
      </c>
      <c r="T590" t="s">
        <v>2670</v>
      </c>
      <c r="U590" t="s">
        <v>2416</v>
      </c>
      <c r="V590" t="s">
        <v>18</v>
      </c>
      <c r="W590" t="s">
        <v>857</v>
      </c>
      <c r="AC590" t="s">
        <v>989</v>
      </c>
      <c r="AD590" t="s">
        <v>19</v>
      </c>
      <c r="AE590" t="s">
        <v>18</v>
      </c>
      <c r="AF590" t="s">
        <v>857</v>
      </c>
      <c r="AJ590" s="844" t="s">
        <v>5683</v>
      </c>
      <c r="AK590" s="844" t="s">
        <v>1057</v>
      </c>
      <c r="AL590" s="844" t="s">
        <v>19</v>
      </c>
      <c r="AM590" s="844" t="s">
        <v>18</v>
      </c>
      <c r="AN590" s="844" t="s">
        <v>3055</v>
      </c>
    </row>
    <row r="591" spans="1:40">
      <c r="A591" t="s">
        <v>5149</v>
      </c>
      <c r="B591" t="s">
        <v>2670</v>
      </c>
      <c r="C591" t="s">
        <v>816</v>
      </c>
      <c r="D591" t="s">
        <v>2669</v>
      </c>
      <c r="E591" t="s">
        <v>18</v>
      </c>
      <c r="F591" t="s">
        <v>2671</v>
      </c>
      <c r="M591" t="s">
        <v>4706</v>
      </c>
      <c r="N591" t="s">
        <v>989</v>
      </c>
      <c r="O591" t="s">
        <v>18</v>
      </c>
      <c r="P591" t="s">
        <v>3576</v>
      </c>
      <c r="T591" t="s">
        <v>2670</v>
      </c>
      <c r="U591" t="s">
        <v>816</v>
      </c>
      <c r="V591" t="s">
        <v>18</v>
      </c>
      <c r="W591" t="s">
        <v>857</v>
      </c>
      <c r="AC591" t="s">
        <v>989</v>
      </c>
      <c r="AD591" t="s">
        <v>19</v>
      </c>
      <c r="AE591" t="s">
        <v>18</v>
      </c>
      <c r="AF591" t="s">
        <v>3552</v>
      </c>
      <c r="AJ591" s="844" t="s">
        <v>5683</v>
      </c>
      <c r="AK591" s="844" t="s">
        <v>1057</v>
      </c>
      <c r="AL591" s="844" t="s">
        <v>19</v>
      </c>
      <c r="AM591" s="844" t="s">
        <v>18</v>
      </c>
      <c r="AN591" s="844" t="s">
        <v>3049</v>
      </c>
    </row>
    <row r="592" spans="1:40">
      <c r="A592" t="s">
        <v>6389</v>
      </c>
      <c r="B592" t="s">
        <v>2670</v>
      </c>
      <c r="C592" t="s">
        <v>816</v>
      </c>
      <c r="E592" t="s">
        <v>18</v>
      </c>
      <c r="F592" t="s">
        <v>2683</v>
      </c>
      <c r="M592" t="s">
        <v>4706</v>
      </c>
      <c r="N592" t="s">
        <v>989</v>
      </c>
      <c r="O592" t="s">
        <v>18</v>
      </c>
      <c r="P592" t="s">
        <v>3575</v>
      </c>
      <c r="T592" t="s">
        <v>2670</v>
      </c>
      <c r="U592" t="s">
        <v>816</v>
      </c>
      <c r="V592" t="s">
        <v>18</v>
      </c>
      <c r="W592" t="s">
        <v>857</v>
      </c>
      <c r="AC592" t="s">
        <v>989</v>
      </c>
      <c r="AD592" t="s">
        <v>19</v>
      </c>
      <c r="AE592" t="s">
        <v>18</v>
      </c>
      <c r="AF592" t="s">
        <v>3501</v>
      </c>
      <c r="AJ592" s="844" t="s">
        <v>5685</v>
      </c>
      <c r="AK592" s="844" t="s">
        <v>1057</v>
      </c>
      <c r="AL592" s="844" t="s">
        <v>2416</v>
      </c>
      <c r="AM592" s="844" t="s">
        <v>18</v>
      </c>
      <c r="AN592" s="844" t="s">
        <v>3055</v>
      </c>
    </row>
    <row r="593" spans="1:40">
      <c r="A593" t="s">
        <v>6389</v>
      </c>
      <c r="B593" t="s">
        <v>2670</v>
      </c>
      <c r="C593" t="s">
        <v>816</v>
      </c>
      <c r="E593" t="s">
        <v>18</v>
      </c>
      <c r="F593" t="s">
        <v>2679</v>
      </c>
      <c r="M593" t="s">
        <v>4706</v>
      </c>
      <c r="N593" t="s">
        <v>989</v>
      </c>
      <c r="O593" t="s">
        <v>18</v>
      </c>
      <c r="P593" t="s">
        <v>3574</v>
      </c>
      <c r="T593" t="s">
        <v>2670</v>
      </c>
      <c r="U593" t="s">
        <v>816</v>
      </c>
      <c r="V593" t="s">
        <v>18</v>
      </c>
      <c r="W593" t="s">
        <v>2669</v>
      </c>
      <c r="AC593" t="s">
        <v>989</v>
      </c>
      <c r="AD593" t="s">
        <v>2384</v>
      </c>
      <c r="AE593" t="s">
        <v>857</v>
      </c>
      <c r="AF593" t="s">
        <v>3516</v>
      </c>
      <c r="AJ593" s="844" t="s">
        <v>5686</v>
      </c>
      <c r="AK593" s="844" t="s">
        <v>1057</v>
      </c>
      <c r="AL593" s="844" t="s">
        <v>816</v>
      </c>
      <c r="AM593" s="844" t="s">
        <v>857</v>
      </c>
      <c r="AN593" s="844" t="s">
        <v>3053</v>
      </c>
    </row>
    <row r="594" spans="1:40">
      <c r="A594" t="s">
        <v>6624</v>
      </c>
      <c r="B594" t="s">
        <v>977</v>
      </c>
      <c r="C594" t="s">
        <v>4826</v>
      </c>
      <c r="D594" t="s">
        <v>3945</v>
      </c>
      <c r="F594" t="s">
        <v>3946</v>
      </c>
      <c r="M594" t="s">
        <v>4706</v>
      </c>
      <c r="N594" t="s">
        <v>989</v>
      </c>
      <c r="O594" t="s">
        <v>18</v>
      </c>
      <c r="P594" t="s">
        <v>3573</v>
      </c>
      <c r="T594" t="s">
        <v>977</v>
      </c>
      <c r="U594" t="s">
        <v>818</v>
      </c>
      <c r="V594" t="s">
        <v>857</v>
      </c>
      <c r="W594" t="s">
        <v>857</v>
      </c>
      <c r="AC594" t="s">
        <v>989</v>
      </c>
      <c r="AD594" t="s">
        <v>2384</v>
      </c>
      <c r="AE594" t="s">
        <v>18</v>
      </c>
      <c r="AF594" t="s">
        <v>857</v>
      </c>
      <c r="AJ594" s="844" t="s">
        <v>5692</v>
      </c>
      <c r="AK594" s="844" t="s">
        <v>1057</v>
      </c>
      <c r="AL594" s="844" t="s">
        <v>816</v>
      </c>
      <c r="AM594" s="844" t="s">
        <v>18</v>
      </c>
      <c r="AN594" s="844" t="s">
        <v>3053</v>
      </c>
    </row>
    <row r="595" spans="1:40">
      <c r="A595" t="s">
        <v>5152</v>
      </c>
      <c r="B595" t="s">
        <v>977</v>
      </c>
      <c r="C595" t="s">
        <v>818</v>
      </c>
      <c r="D595" t="s">
        <v>4068</v>
      </c>
      <c r="E595" t="s">
        <v>18</v>
      </c>
      <c r="F595" t="s">
        <v>4252</v>
      </c>
      <c r="M595" t="s">
        <v>4706</v>
      </c>
      <c r="N595" t="s">
        <v>989</v>
      </c>
      <c r="O595" t="s">
        <v>18</v>
      </c>
      <c r="P595" t="s">
        <v>3572</v>
      </c>
      <c r="T595" t="s">
        <v>977</v>
      </c>
      <c r="U595" t="s">
        <v>818</v>
      </c>
      <c r="V595" t="s">
        <v>18</v>
      </c>
      <c r="W595" t="s">
        <v>857</v>
      </c>
      <c r="AC595" t="s">
        <v>989</v>
      </c>
      <c r="AD595" t="s">
        <v>816</v>
      </c>
      <c r="AE595" t="s">
        <v>857</v>
      </c>
      <c r="AF595" t="s">
        <v>3503</v>
      </c>
      <c r="AJ595" s="844" t="s">
        <v>5692</v>
      </c>
      <c r="AK595" s="844" t="s">
        <v>1057</v>
      </c>
      <c r="AL595" s="844" t="s">
        <v>816</v>
      </c>
      <c r="AM595" s="844" t="s">
        <v>18</v>
      </c>
      <c r="AN595" s="844" t="s">
        <v>3051</v>
      </c>
    </row>
    <row r="596" spans="1:40">
      <c r="A596" t="s">
        <v>5152</v>
      </c>
      <c r="B596" t="s">
        <v>977</v>
      </c>
      <c r="C596" t="s">
        <v>818</v>
      </c>
      <c r="D596" t="s">
        <v>4068</v>
      </c>
      <c r="E596" t="s">
        <v>18</v>
      </c>
      <c r="F596" t="s">
        <v>4243</v>
      </c>
      <c r="M596" t="s">
        <v>4706</v>
      </c>
      <c r="N596" t="s">
        <v>989</v>
      </c>
      <c r="O596" t="s">
        <v>18</v>
      </c>
      <c r="P596" t="s">
        <v>3571</v>
      </c>
      <c r="T596" t="s">
        <v>977</v>
      </c>
      <c r="U596" t="s">
        <v>818</v>
      </c>
      <c r="V596" t="s">
        <v>18</v>
      </c>
      <c r="W596" t="s">
        <v>857</v>
      </c>
      <c r="AC596" t="s">
        <v>989</v>
      </c>
      <c r="AD596" t="s">
        <v>816</v>
      </c>
      <c r="AE596" t="s">
        <v>857</v>
      </c>
      <c r="AF596" t="s">
        <v>3501</v>
      </c>
      <c r="AJ596" s="844" t="s">
        <v>5692</v>
      </c>
      <c r="AK596" s="844" t="s">
        <v>1057</v>
      </c>
      <c r="AL596" s="844" t="s">
        <v>816</v>
      </c>
      <c r="AM596" s="844" t="s">
        <v>18</v>
      </c>
      <c r="AN596" s="844" t="s">
        <v>3049</v>
      </c>
    </row>
    <row r="597" spans="1:40">
      <c r="A597" t="s">
        <v>6390</v>
      </c>
      <c r="B597" t="s">
        <v>977</v>
      </c>
      <c r="C597" t="s">
        <v>818</v>
      </c>
      <c r="E597" t="s">
        <v>18</v>
      </c>
      <c r="F597" t="s">
        <v>4251</v>
      </c>
      <c r="M597" t="s">
        <v>4706</v>
      </c>
      <c r="N597" t="s">
        <v>989</v>
      </c>
      <c r="O597" t="s">
        <v>18</v>
      </c>
      <c r="P597" t="s">
        <v>3570</v>
      </c>
      <c r="T597" t="s">
        <v>977</v>
      </c>
      <c r="U597" t="s">
        <v>818</v>
      </c>
      <c r="V597" t="s">
        <v>18</v>
      </c>
      <c r="W597" t="s">
        <v>857</v>
      </c>
      <c r="AC597" t="s">
        <v>989</v>
      </c>
      <c r="AD597" t="s">
        <v>816</v>
      </c>
      <c r="AE597" t="s">
        <v>857</v>
      </c>
      <c r="AF597" t="s">
        <v>3499</v>
      </c>
      <c r="AJ597" s="844" t="s">
        <v>5694</v>
      </c>
      <c r="AK597" s="844" t="s">
        <v>1058</v>
      </c>
      <c r="AL597" s="844" t="s">
        <v>818</v>
      </c>
      <c r="AM597" s="844" t="s">
        <v>18</v>
      </c>
      <c r="AN597" s="844" t="s">
        <v>2366</v>
      </c>
    </row>
    <row r="598" spans="1:40">
      <c r="A598" t="s">
        <v>6390</v>
      </c>
      <c r="B598" t="s">
        <v>977</v>
      </c>
      <c r="C598" t="s">
        <v>818</v>
      </c>
      <c r="E598" t="s">
        <v>18</v>
      </c>
      <c r="F598" t="s">
        <v>4248</v>
      </c>
      <c r="M598" t="s">
        <v>4706</v>
      </c>
      <c r="N598" t="s">
        <v>989</v>
      </c>
      <c r="O598" t="s">
        <v>18</v>
      </c>
      <c r="P598" t="s">
        <v>3569</v>
      </c>
      <c r="T598" t="s">
        <v>977</v>
      </c>
      <c r="U598" t="s">
        <v>818</v>
      </c>
      <c r="V598" t="s">
        <v>18</v>
      </c>
      <c r="W598" t="s">
        <v>857</v>
      </c>
      <c r="AC598" t="s">
        <v>989</v>
      </c>
      <c r="AD598" t="s">
        <v>816</v>
      </c>
      <c r="AE598" t="s">
        <v>857</v>
      </c>
      <c r="AF598" t="s">
        <v>3497</v>
      </c>
      <c r="AJ598" s="844" t="s">
        <v>5696</v>
      </c>
      <c r="AK598" s="844" t="s">
        <v>1058</v>
      </c>
      <c r="AL598" s="844" t="s">
        <v>816</v>
      </c>
      <c r="AM598" s="844" t="s">
        <v>18</v>
      </c>
      <c r="AN598" s="844" t="s">
        <v>2366</v>
      </c>
    </row>
    <row r="599" spans="1:40">
      <c r="A599" t="s">
        <v>6390</v>
      </c>
      <c r="B599" t="s">
        <v>977</v>
      </c>
      <c r="C599" t="s">
        <v>818</v>
      </c>
      <c r="E599" t="s">
        <v>18</v>
      </c>
      <c r="F599" t="s">
        <v>4247</v>
      </c>
      <c r="M599" t="s">
        <v>4706</v>
      </c>
      <c r="N599" t="s">
        <v>989</v>
      </c>
      <c r="O599" t="s">
        <v>18</v>
      </c>
      <c r="P599" t="s">
        <v>3568</v>
      </c>
      <c r="T599" t="s">
        <v>977</v>
      </c>
      <c r="U599" t="s">
        <v>818</v>
      </c>
      <c r="V599" t="s">
        <v>18</v>
      </c>
      <c r="W599" t="s">
        <v>4068</v>
      </c>
      <c r="AC599" t="s">
        <v>989</v>
      </c>
      <c r="AD599" t="s">
        <v>816</v>
      </c>
      <c r="AE599" t="s">
        <v>18</v>
      </c>
      <c r="AF599" t="s">
        <v>857</v>
      </c>
      <c r="AJ599" s="844" t="s">
        <v>5698</v>
      </c>
      <c r="AK599" s="844" t="s">
        <v>1059</v>
      </c>
      <c r="AL599" s="844" t="s">
        <v>818</v>
      </c>
      <c r="AM599" s="844" t="s">
        <v>18</v>
      </c>
      <c r="AN599" s="844" t="s">
        <v>3045</v>
      </c>
    </row>
    <row r="600" spans="1:40">
      <c r="A600" t="s">
        <v>6390</v>
      </c>
      <c r="B600" t="s">
        <v>977</v>
      </c>
      <c r="C600" t="s">
        <v>818</v>
      </c>
      <c r="E600" t="s">
        <v>18</v>
      </c>
      <c r="F600" t="s">
        <v>4246</v>
      </c>
      <c r="M600" t="s">
        <v>4706</v>
      </c>
      <c r="N600" t="s">
        <v>989</v>
      </c>
      <c r="O600" t="s">
        <v>18</v>
      </c>
      <c r="P600" t="s">
        <v>3567</v>
      </c>
      <c r="T600" t="s">
        <v>977</v>
      </c>
      <c r="U600" t="s">
        <v>818</v>
      </c>
      <c r="V600" t="s">
        <v>18</v>
      </c>
      <c r="W600" t="s">
        <v>4068</v>
      </c>
      <c r="AC600" t="s">
        <v>989</v>
      </c>
      <c r="AD600" t="s">
        <v>816</v>
      </c>
      <c r="AE600" t="s">
        <v>18</v>
      </c>
      <c r="AF600" t="s">
        <v>3501</v>
      </c>
      <c r="AJ600" s="844" t="s">
        <v>5699</v>
      </c>
      <c r="AK600" s="844" t="s">
        <v>1059</v>
      </c>
      <c r="AL600" s="844" t="s">
        <v>2384</v>
      </c>
      <c r="AM600" s="844" t="s">
        <v>857</v>
      </c>
      <c r="AN600" s="844" t="s">
        <v>2366</v>
      </c>
    </row>
    <row r="601" spans="1:40">
      <c r="A601" t="s">
        <v>5151</v>
      </c>
      <c r="B601" t="s">
        <v>977</v>
      </c>
      <c r="C601" t="s">
        <v>818</v>
      </c>
      <c r="F601" t="s">
        <v>4223</v>
      </c>
      <c r="M601" t="s">
        <v>4706</v>
      </c>
      <c r="N601" t="s">
        <v>989</v>
      </c>
      <c r="O601" t="s">
        <v>18</v>
      </c>
      <c r="P601" t="s">
        <v>3566</v>
      </c>
      <c r="T601" t="s">
        <v>977</v>
      </c>
      <c r="U601" t="s">
        <v>19</v>
      </c>
      <c r="V601" t="s">
        <v>18</v>
      </c>
      <c r="W601" t="s">
        <v>857</v>
      </c>
      <c r="AC601" t="s">
        <v>989</v>
      </c>
      <c r="AD601" t="s">
        <v>816</v>
      </c>
      <c r="AE601" t="s">
        <v>18</v>
      </c>
      <c r="AF601" t="s">
        <v>3495</v>
      </c>
      <c r="AJ601" s="844" t="s">
        <v>5702</v>
      </c>
      <c r="AK601" s="844" t="s">
        <v>1059</v>
      </c>
      <c r="AL601" s="844" t="s">
        <v>2384</v>
      </c>
      <c r="AM601" s="844" t="s">
        <v>18</v>
      </c>
      <c r="AN601" s="844" t="s">
        <v>2366</v>
      </c>
    </row>
    <row r="602" spans="1:40">
      <c r="A602" t="s">
        <v>5154</v>
      </c>
      <c r="B602" t="s">
        <v>977</v>
      </c>
      <c r="C602" t="s">
        <v>19</v>
      </c>
      <c r="D602" t="s">
        <v>4098</v>
      </c>
      <c r="E602" t="s">
        <v>18</v>
      </c>
      <c r="F602" t="s">
        <v>4245</v>
      </c>
      <c r="M602" t="s">
        <v>4706</v>
      </c>
      <c r="N602" t="s">
        <v>989</v>
      </c>
      <c r="O602" t="s">
        <v>18</v>
      </c>
      <c r="P602" t="s">
        <v>3564</v>
      </c>
      <c r="T602" t="s">
        <v>977</v>
      </c>
      <c r="U602" t="s">
        <v>19</v>
      </c>
      <c r="V602" t="s">
        <v>18</v>
      </c>
      <c r="W602" t="s">
        <v>857</v>
      </c>
      <c r="AC602" t="s">
        <v>989</v>
      </c>
      <c r="AD602" t="s">
        <v>816</v>
      </c>
      <c r="AE602" t="s">
        <v>18</v>
      </c>
      <c r="AF602" t="s">
        <v>3550</v>
      </c>
      <c r="AJ602" s="844" t="s">
        <v>5707</v>
      </c>
      <c r="AK602" s="844" t="s">
        <v>1060</v>
      </c>
      <c r="AL602" s="844" t="s">
        <v>818</v>
      </c>
      <c r="AM602" s="844" t="s">
        <v>18</v>
      </c>
      <c r="AN602" s="844" t="s">
        <v>2998</v>
      </c>
    </row>
    <row r="603" spans="1:40">
      <c r="A603" t="s">
        <v>5154</v>
      </c>
      <c r="B603" t="s">
        <v>977</v>
      </c>
      <c r="C603" t="s">
        <v>19</v>
      </c>
      <c r="D603" t="s">
        <v>4098</v>
      </c>
      <c r="E603" t="s">
        <v>18</v>
      </c>
      <c r="F603" t="s">
        <v>4242</v>
      </c>
      <c r="M603" t="s">
        <v>4706</v>
      </c>
      <c r="N603" t="s">
        <v>989</v>
      </c>
      <c r="O603" t="s">
        <v>18</v>
      </c>
      <c r="P603" t="s">
        <v>3562</v>
      </c>
      <c r="T603" t="s">
        <v>977</v>
      </c>
      <c r="U603" t="s">
        <v>19</v>
      </c>
      <c r="V603" t="s">
        <v>857</v>
      </c>
      <c r="W603" t="s">
        <v>4098</v>
      </c>
      <c r="AC603" t="s">
        <v>990</v>
      </c>
      <c r="AD603" t="s">
        <v>818</v>
      </c>
      <c r="AE603" t="s">
        <v>857</v>
      </c>
      <c r="AF603" t="s">
        <v>857</v>
      </c>
      <c r="AJ603" s="844" t="s">
        <v>5708</v>
      </c>
      <c r="AK603" s="844" t="s">
        <v>1060</v>
      </c>
      <c r="AL603" s="844" t="s">
        <v>19</v>
      </c>
      <c r="AM603" s="844" t="s">
        <v>857</v>
      </c>
      <c r="AN603" s="844" t="s">
        <v>2995</v>
      </c>
    </row>
    <row r="604" spans="1:40">
      <c r="A604" t="s">
        <v>6392</v>
      </c>
      <c r="B604" t="s">
        <v>977</v>
      </c>
      <c r="C604" t="s">
        <v>19</v>
      </c>
      <c r="D604" t="s">
        <v>4098</v>
      </c>
      <c r="F604" t="s">
        <v>4222</v>
      </c>
      <c r="M604" t="s">
        <v>4706</v>
      </c>
      <c r="N604" t="s">
        <v>989</v>
      </c>
      <c r="O604" t="s">
        <v>18</v>
      </c>
      <c r="P604" t="s">
        <v>3561</v>
      </c>
      <c r="T604" t="s">
        <v>977</v>
      </c>
      <c r="U604" t="s">
        <v>19</v>
      </c>
      <c r="V604" t="s">
        <v>18</v>
      </c>
      <c r="W604" t="s">
        <v>4098</v>
      </c>
      <c r="AC604" t="s">
        <v>990</v>
      </c>
      <c r="AD604" t="s">
        <v>818</v>
      </c>
      <c r="AE604" t="s">
        <v>857</v>
      </c>
      <c r="AF604" t="s">
        <v>3534</v>
      </c>
      <c r="AJ604" s="844" t="s">
        <v>5714</v>
      </c>
      <c r="AK604" s="844" t="s">
        <v>1060</v>
      </c>
      <c r="AL604" s="844" t="s">
        <v>19</v>
      </c>
      <c r="AM604" s="844" t="s">
        <v>18</v>
      </c>
      <c r="AN604" s="844" t="s">
        <v>2581</v>
      </c>
    </row>
    <row r="605" spans="1:40">
      <c r="A605" t="s">
        <v>5155</v>
      </c>
      <c r="B605" t="s">
        <v>977</v>
      </c>
      <c r="C605" t="s">
        <v>19</v>
      </c>
      <c r="D605" t="s">
        <v>3945</v>
      </c>
      <c r="E605" t="s">
        <v>18</v>
      </c>
      <c r="F605" t="s">
        <v>4241</v>
      </c>
      <c r="M605" t="s">
        <v>4706</v>
      </c>
      <c r="N605" t="s">
        <v>989</v>
      </c>
      <c r="O605" t="s">
        <v>18</v>
      </c>
      <c r="P605" t="s">
        <v>3560</v>
      </c>
      <c r="T605" t="s">
        <v>977</v>
      </c>
      <c r="U605" t="s">
        <v>19</v>
      </c>
      <c r="V605" t="s">
        <v>18</v>
      </c>
      <c r="W605" t="s">
        <v>4098</v>
      </c>
      <c r="AC605" t="s">
        <v>990</v>
      </c>
      <c r="AD605" t="s">
        <v>818</v>
      </c>
      <c r="AE605" t="s">
        <v>18</v>
      </c>
      <c r="AF605" t="s">
        <v>857</v>
      </c>
      <c r="AJ605" s="844" t="s">
        <v>5714</v>
      </c>
      <c r="AK605" s="844" t="s">
        <v>1060</v>
      </c>
      <c r="AL605" s="844" t="s">
        <v>19</v>
      </c>
      <c r="AM605" s="844" t="s">
        <v>18</v>
      </c>
      <c r="AN605" s="844" t="s">
        <v>2995</v>
      </c>
    </row>
    <row r="606" spans="1:40">
      <c r="A606" t="s">
        <v>6391</v>
      </c>
      <c r="B606" t="s">
        <v>977</v>
      </c>
      <c r="C606" t="s">
        <v>19</v>
      </c>
      <c r="E606" t="s">
        <v>18</v>
      </c>
      <c r="F606" t="s">
        <v>4253</v>
      </c>
      <c r="M606" t="s">
        <v>4706</v>
      </c>
      <c r="N606" t="s">
        <v>989</v>
      </c>
      <c r="O606" t="s">
        <v>18</v>
      </c>
      <c r="P606" t="s">
        <v>3559</v>
      </c>
      <c r="T606" t="s">
        <v>977</v>
      </c>
      <c r="U606" t="s">
        <v>19</v>
      </c>
      <c r="V606" t="s">
        <v>18</v>
      </c>
      <c r="W606" t="s">
        <v>3945</v>
      </c>
      <c r="AC606" t="s">
        <v>990</v>
      </c>
      <c r="AD606" t="s">
        <v>818</v>
      </c>
      <c r="AE606" t="s">
        <v>18</v>
      </c>
      <c r="AF606" t="s">
        <v>3521</v>
      </c>
      <c r="AJ606" s="844" t="s">
        <v>5715</v>
      </c>
      <c r="AK606" s="844" t="s">
        <v>1060</v>
      </c>
      <c r="AL606" s="844" t="s">
        <v>2384</v>
      </c>
      <c r="AM606" s="844" t="s">
        <v>857</v>
      </c>
      <c r="AN606" s="844" t="s">
        <v>2998</v>
      </c>
    </row>
    <row r="607" spans="1:40">
      <c r="A607" t="s">
        <v>6391</v>
      </c>
      <c r="B607" t="s">
        <v>977</v>
      </c>
      <c r="C607" t="s">
        <v>19</v>
      </c>
      <c r="E607" t="s">
        <v>18</v>
      </c>
      <c r="F607" t="s">
        <v>4250</v>
      </c>
      <c r="M607" t="s">
        <v>4706</v>
      </c>
      <c r="N607" t="s">
        <v>989</v>
      </c>
      <c r="O607" t="s">
        <v>18</v>
      </c>
      <c r="P607" t="s">
        <v>3558</v>
      </c>
      <c r="T607" t="s">
        <v>977</v>
      </c>
      <c r="U607" t="s">
        <v>2384</v>
      </c>
      <c r="V607" t="s">
        <v>857</v>
      </c>
      <c r="W607" t="s">
        <v>4068</v>
      </c>
      <c r="AC607" t="s">
        <v>990</v>
      </c>
      <c r="AD607" t="s">
        <v>818</v>
      </c>
      <c r="AE607" t="s">
        <v>18</v>
      </c>
      <c r="AF607" t="s">
        <v>3513</v>
      </c>
      <c r="AJ607" s="844" t="s">
        <v>5715</v>
      </c>
      <c r="AK607" s="844" t="s">
        <v>1060</v>
      </c>
      <c r="AL607" s="844" t="s">
        <v>2384</v>
      </c>
      <c r="AM607" s="844" t="s">
        <v>857</v>
      </c>
      <c r="AN607" s="844" t="s">
        <v>2993</v>
      </c>
    </row>
    <row r="608" spans="1:40">
      <c r="A608" t="s">
        <v>6393</v>
      </c>
      <c r="B608" t="s">
        <v>977</v>
      </c>
      <c r="C608" t="s">
        <v>2384</v>
      </c>
      <c r="D608" t="s">
        <v>4068</v>
      </c>
      <c r="F608" t="s">
        <v>4069</v>
      </c>
      <c r="M608" t="s">
        <v>4706</v>
      </c>
      <c r="N608" t="s">
        <v>989</v>
      </c>
      <c r="O608" t="s">
        <v>18</v>
      </c>
      <c r="P608" t="s">
        <v>3556</v>
      </c>
      <c r="T608" t="s">
        <v>977</v>
      </c>
      <c r="U608" t="s">
        <v>2416</v>
      </c>
      <c r="V608" t="s">
        <v>857</v>
      </c>
      <c r="W608" t="s">
        <v>4098</v>
      </c>
      <c r="AC608" t="s">
        <v>990</v>
      </c>
      <c r="AD608" t="s">
        <v>818</v>
      </c>
      <c r="AE608" t="s">
        <v>18</v>
      </c>
      <c r="AF608" t="s">
        <v>3510</v>
      </c>
      <c r="AJ608" s="844" t="s">
        <v>5720</v>
      </c>
      <c r="AK608" s="844" t="s">
        <v>1060</v>
      </c>
      <c r="AL608" s="844" t="s">
        <v>816</v>
      </c>
      <c r="AM608" s="844" t="s">
        <v>18</v>
      </c>
      <c r="AN608" s="844" t="s">
        <v>2993</v>
      </c>
    </row>
    <row r="609" spans="1:40">
      <c r="A609" t="s">
        <v>5157</v>
      </c>
      <c r="B609" t="s">
        <v>977</v>
      </c>
      <c r="C609" t="s">
        <v>2416</v>
      </c>
      <c r="D609" t="s">
        <v>4098</v>
      </c>
      <c r="E609" t="s">
        <v>18</v>
      </c>
      <c r="F609" t="s">
        <v>4244</v>
      </c>
      <c r="M609" t="s">
        <v>4706</v>
      </c>
      <c r="N609" t="s">
        <v>989</v>
      </c>
      <c r="O609" t="s">
        <v>18</v>
      </c>
      <c r="P609" t="s">
        <v>3555</v>
      </c>
      <c r="T609" t="s">
        <v>977</v>
      </c>
      <c r="U609" t="s">
        <v>2416</v>
      </c>
      <c r="V609" t="s">
        <v>18</v>
      </c>
      <c r="W609" t="s">
        <v>4098</v>
      </c>
      <c r="AC609" t="s">
        <v>990</v>
      </c>
      <c r="AD609" t="s">
        <v>818</v>
      </c>
      <c r="AE609" t="s">
        <v>18</v>
      </c>
      <c r="AF609" t="s">
        <v>3531</v>
      </c>
      <c r="AJ609" s="844" t="s">
        <v>5722</v>
      </c>
      <c r="AK609" s="844" t="s">
        <v>1061</v>
      </c>
      <c r="AL609" s="844" t="s">
        <v>818</v>
      </c>
      <c r="AM609" s="844" t="s">
        <v>857</v>
      </c>
      <c r="AN609" s="844" t="s">
        <v>2981</v>
      </c>
    </row>
    <row r="610" spans="1:40">
      <c r="A610" t="s">
        <v>5157</v>
      </c>
      <c r="B610" t="s">
        <v>977</v>
      </c>
      <c r="C610" t="s">
        <v>2416</v>
      </c>
      <c r="D610" t="s">
        <v>4098</v>
      </c>
      <c r="E610" t="s">
        <v>18</v>
      </c>
      <c r="F610" t="s">
        <v>4240</v>
      </c>
      <c r="M610" t="s">
        <v>4706</v>
      </c>
      <c r="N610" t="s">
        <v>989</v>
      </c>
      <c r="O610" t="s">
        <v>18</v>
      </c>
      <c r="P610" t="s">
        <v>3554</v>
      </c>
      <c r="T610" t="s">
        <v>977</v>
      </c>
      <c r="U610" t="s">
        <v>2416</v>
      </c>
      <c r="V610" t="s">
        <v>18</v>
      </c>
      <c r="W610" t="s">
        <v>4098</v>
      </c>
      <c r="AC610" t="s">
        <v>990</v>
      </c>
      <c r="AD610" t="s">
        <v>818</v>
      </c>
      <c r="AE610" t="s">
        <v>18</v>
      </c>
      <c r="AF610" t="s">
        <v>3529</v>
      </c>
      <c r="AJ610" s="844" t="s">
        <v>5725</v>
      </c>
      <c r="AK610" s="844" t="s">
        <v>1061</v>
      </c>
      <c r="AL610" s="844" t="s">
        <v>818</v>
      </c>
      <c r="AM610" s="844" t="s">
        <v>53</v>
      </c>
      <c r="AN610" s="844" t="s">
        <v>2981</v>
      </c>
    </row>
    <row r="611" spans="1:40">
      <c r="A611" t="s">
        <v>6394</v>
      </c>
      <c r="B611" t="s">
        <v>977</v>
      </c>
      <c r="C611" t="s">
        <v>2416</v>
      </c>
      <c r="D611" t="s">
        <v>4098</v>
      </c>
      <c r="F611" t="s">
        <v>4099</v>
      </c>
      <c r="M611" t="s">
        <v>4706</v>
      </c>
      <c r="N611" t="s">
        <v>989</v>
      </c>
      <c r="O611" t="s">
        <v>18</v>
      </c>
      <c r="P611" t="s">
        <v>3553</v>
      </c>
      <c r="T611" t="s">
        <v>977</v>
      </c>
      <c r="U611" t="s">
        <v>816</v>
      </c>
      <c r="V611" t="s">
        <v>857</v>
      </c>
      <c r="W611" t="s">
        <v>857</v>
      </c>
      <c r="AC611" t="s">
        <v>990</v>
      </c>
      <c r="AD611" t="s">
        <v>19</v>
      </c>
      <c r="AE611" t="s">
        <v>857</v>
      </c>
      <c r="AF611" t="s">
        <v>857</v>
      </c>
      <c r="AJ611" s="844" t="s">
        <v>5726</v>
      </c>
      <c r="AK611" s="844" t="s">
        <v>1061</v>
      </c>
      <c r="AL611" s="844" t="s">
        <v>818</v>
      </c>
      <c r="AM611" s="844" t="s">
        <v>18</v>
      </c>
      <c r="AN611" s="844" t="s">
        <v>2981</v>
      </c>
    </row>
    <row r="612" spans="1:40">
      <c r="A612" t="s">
        <v>5160</v>
      </c>
      <c r="B612" t="s">
        <v>977</v>
      </c>
      <c r="C612" t="s">
        <v>816</v>
      </c>
      <c r="D612" t="s">
        <v>4098</v>
      </c>
      <c r="E612" t="s">
        <v>18</v>
      </c>
      <c r="F612" t="s">
        <v>4239</v>
      </c>
      <c r="M612" t="s">
        <v>4706</v>
      </c>
      <c r="N612" t="s">
        <v>989</v>
      </c>
      <c r="O612" t="s">
        <v>18</v>
      </c>
      <c r="P612" t="s">
        <v>3551</v>
      </c>
      <c r="T612" t="s">
        <v>977</v>
      </c>
      <c r="U612" t="s">
        <v>816</v>
      </c>
      <c r="V612" t="s">
        <v>857</v>
      </c>
      <c r="W612" t="s">
        <v>857</v>
      </c>
      <c r="AC612" t="s">
        <v>990</v>
      </c>
      <c r="AD612" t="s">
        <v>19</v>
      </c>
      <c r="AE612" t="s">
        <v>857</v>
      </c>
      <c r="AF612" t="s">
        <v>3521</v>
      </c>
      <c r="AJ612" s="844" t="s">
        <v>5728</v>
      </c>
      <c r="AK612" s="844" t="s">
        <v>1061</v>
      </c>
      <c r="AL612" s="844" t="s">
        <v>19</v>
      </c>
      <c r="AM612" s="844" t="s">
        <v>18</v>
      </c>
      <c r="AN612" s="844" t="s">
        <v>2863</v>
      </c>
    </row>
    <row r="613" spans="1:40">
      <c r="A613" t="s">
        <v>6395</v>
      </c>
      <c r="B613" t="s">
        <v>977</v>
      </c>
      <c r="C613" t="s">
        <v>816</v>
      </c>
      <c r="E613" t="s">
        <v>18</v>
      </c>
      <c r="F613" t="s">
        <v>4254</v>
      </c>
      <c r="M613" t="s">
        <v>4706</v>
      </c>
      <c r="N613" t="s">
        <v>989</v>
      </c>
      <c r="O613" t="s">
        <v>18</v>
      </c>
      <c r="P613" t="s">
        <v>3515</v>
      </c>
      <c r="T613" t="s">
        <v>977</v>
      </c>
      <c r="U613" t="s">
        <v>816</v>
      </c>
      <c r="V613" t="s">
        <v>18</v>
      </c>
      <c r="W613" t="s">
        <v>857</v>
      </c>
      <c r="AC613" t="s">
        <v>990</v>
      </c>
      <c r="AD613" t="s">
        <v>19</v>
      </c>
      <c r="AE613" t="s">
        <v>18</v>
      </c>
      <c r="AF613" t="s">
        <v>857</v>
      </c>
      <c r="AJ613" s="844" t="s">
        <v>5729</v>
      </c>
      <c r="AK613" s="844" t="s">
        <v>1061</v>
      </c>
      <c r="AL613" s="844" t="s">
        <v>2416</v>
      </c>
      <c r="AM613" s="844" t="s">
        <v>18</v>
      </c>
      <c r="AN613" s="844" t="s">
        <v>2981</v>
      </c>
    </row>
    <row r="614" spans="1:40">
      <c r="A614" t="s">
        <v>6395</v>
      </c>
      <c r="B614" t="s">
        <v>977</v>
      </c>
      <c r="C614" t="s">
        <v>816</v>
      </c>
      <c r="E614" t="s">
        <v>18</v>
      </c>
      <c r="F614" t="s">
        <v>4249</v>
      </c>
      <c r="M614" t="s">
        <v>4706</v>
      </c>
      <c r="N614" t="s">
        <v>989</v>
      </c>
      <c r="O614" t="s">
        <v>18</v>
      </c>
      <c r="P614" t="s">
        <v>3512</v>
      </c>
      <c r="T614" t="s">
        <v>977</v>
      </c>
      <c r="U614" t="s">
        <v>816</v>
      </c>
      <c r="V614" t="s">
        <v>18</v>
      </c>
      <c r="W614" t="s">
        <v>857</v>
      </c>
      <c r="AC614" t="s">
        <v>990</v>
      </c>
      <c r="AD614" t="s">
        <v>19</v>
      </c>
      <c r="AE614" t="s">
        <v>18</v>
      </c>
      <c r="AF614" t="s">
        <v>3521</v>
      </c>
      <c r="AJ614" s="844" t="s">
        <v>5730</v>
      </c>
      <c r="AK614" s="844" t="s">
        <v>1061</v>
      </c>
      <c r="AL614" s="844" t="s">
        <v>816</v>
      </c>
      <c r="AM614" s="844" t="s">
        <v>857</v>
      </c>
      <c r="AN614" s="844" t="s">
        <v>2978</v>
      </c>
    </row>
    <row r="615" spans="1:40">
      <c r="A615" t="s">
        <v>5159</v>
      </c>
      <c r="B615" t="s">
        <v>977</v>
      </c>
      <c r="C615" t="s">
        <v>816</v>
      </c>
      <c r="F615" t="s">
        <v>4221</v>
      </c>
      <c r="M615" t="s">
        <v>4706</v>
      </c>
      <c r="N615" t="s">
        <v>989</v>
      </c>
      <c r="O615" t="s">
        <v>18</v>
      </c>
      <c r="P615" t="s">
        <v>3509</v>
      </c>
      <c r="T615" t="s">
        <v>977</v>
      </c>
      <c r="U615" t="s">
        <v>816</v>
      </c>
      <c r="V615" t="s">
        <v>18</v>
      </c>
      <c r="W615" t="s">
        <v>4098</v>
      </c>
      <c r="AC615" t="s">
        <v>990</v>
      </c>
      <c r="AD615" t="s">
        <v>19</v>
      </c>
      <c r="AE615" t="s">
        <v>18</v>
      </c>
      <c r="AF615" t="s">
        <v>3526</v>
      </c>
      <c r="AJ615" s="844" t="s">
        <v>5732</v>
      </c>
      <c r="AK615" s="844" t="s">
        <v>1061</v>
      </c>
      <c r="AL615" s="844" t="s">
        <v>816</v>
      </c>
      <c r="AM615" s="844" t="s">
        <v>18</v>
      </c>
      <c r="AN615" s="844" t="s">
        <v>2978</v>
      </c>
    </row>
    <row r="616" spans="1:40">
      <c r="A616" t="s">
        <v>5159</v>
      </c>
      <c r="B616" t="s">
        <v>977</v>
      </c>
      <c r="C616" t="s">
        <v>816</v>
      </c>
      <c r="F616" t="s">
        <v>3934</v>
      </c>
      <c r="M616" t="s">
        <v>4706</v>
      </c>
      <c r="N616" t="s">
        <v>989</v>
      </c>
      <c r="O616" t="s">
        <v>18</v>
      </c>
      <c r="P616" t="s">
        <v>3507</v>
      </c>
      <c r="T616" t="s">
        <v>977</v>
      </c>
      <c r="U616" t="s">
        <v>4638</v>
      </c>
      <c r="V616" t="s">
        <v>857</v>
      </c>
      <c r="W616" t="s">
        <v>3945</v>
      </c>
      <c r="AC616" t="s">
        <v>990</v>
      </c>
      <c r="AD616" t="s">
        <v>2384</v>
      </c>
      <c r="AE616" t="s">
        <v>857</v>
      </c>
      <c r="AF616" t="s">
        <v>3510</v>
      </c>
      <c r="AJ616" s="844" t="s">
        <v>5733</v>
      </c>
      <c r="AK616" s="844" t="s">
        <v>1062</v>
      </c>
      <c r="AL616" s="844" t="s">
        <v>818</v>
      </c>
      <c r="AM616" s="844" t="s">
        <v>857</v>
      </c>
      <c r="AN616" s="844" t="s">
        <v>3035</v>
      </c>
    </row>
    <row r="617" spans="1:40">
      <c r="A617" t="s">
        <v>5162</v>
      </c>
      <c r="B617" t="s">
        <v>978</v>
      </c>
      <c r="C617" t="s">
        <v>816</v>
      </c>
      <c r="D617" t="s">
        <v>4237</v>
      </c>
      <c r="E617" t="s">
        <v>18</v>
      </c>
      <c r="F617" t="s">
        <v>4238</v>
      </c>
      <c r="M617" t="s">
        <v>4706</v>
      </c>
      <c r="N617" t="s">
        <v>989</v>
      </c>
      <c r="O617" t="s">
        <v>18</v>
      </c>
      <c r="P617" t="s">
        <v>3505</v>
      </c>
      <c r="T617" t="s">
        <v>978</v>
      </c>
      <c r="U617" t="s">
        <v>816</v>
      </c>
      <c r="V617" t="s">
        <v>18</v>
      </c>
      <c r="W617" t="s">
        <v>4237</v>
      </c>
      <c r="AC617" t="s">
        <v>990</v>
      </c>
      <c r="AD617" t="s">
        <v>2416</v>
      </c>
      <c r="AE617" t="s">
        <v>18</v>
      </c>
      <c r="AF617" t="s">
        <v>3521</v>
      </c>
      <c r="AJ617" s="844" t="s">
        <v>5738</v>
      </c>
      <c r="AK617" s="844" t="s">
        <v>1062</v>
      </c>
      <c r="AL617" s="844" t="s">
        <v>818</v>
      </c>
      <c r="AM617" s="844" t="s">
        <v>18</v>
      </c>
      <c r="AN617" s="844" t="s">
        <v>3035</v>
      </c>
    </row>
    <row r="618" spans="1:40">
      <c r="A618" t="s">
        <v>6625</v>
      </c>
      <c r="B618" t="s">
        <v>979</v>
      </c>
      <c r="C618" t="s">
        <v>4826</v>
      </c>
      <c r="D618" t="s">
        <v>3729</v>
      </c>
      <c r="F618" t="s">
        <v>3985</v>
      </c>
      <c r="M618" t="s">
        <v>4706</v>
      </c>
      <c r="N618" t="s">
        <v>989</v>
      </c>
      <c r="O618" t="s">
        <v>18</v>
      </c>
      <c r="P618" t="s">
        <v>3502</v>
      </c>
      <c r="T618" t="s">
        <v>979</v>
      </c>
      <c r="U618" t="s">
        <v>818</v>
      </c>
      <c r="V618" t="s">
        <v>53</v>
      </c>
      <c r="W618" t="s">
        <v>857</v>
      </c>
      <c r="AC618" t="s">
        <v>990</v>
      </c>
      <c r="AD618" t="s">
        <v>816</v>
      </c>
      <c r="AE618" t="s">
        <v>857</v>
      </c>
      <c r="AF618" t="s">
        <v>857</v>
      </c>
      <c r="AJ618" s="844" t="s">
        <v>5738</v>
      </c>
      <c r="AK618" s="844" t="s">
        <v>1062</v>
      </c>
      <c r="AL618" s="844" t="s">
        <v>818</v>
      </c>
      <c r="AM618" s="844" t="s">
        <v>18</v>
      </c>
      <c r="AN618" s="844" t="s">
        <v>3033</v>
      </c>
    </row>
    <row r="619" spans="1:40">
      <c r="A619" t="s">
        <v>6396</v>
      </c>
      <c r="B619" t="s">
        <v>979</v>
      </c>
      <c r="C619" t="s">
        <v>818</v>
      </c>
      <c r="E619" t="s">
        <v>53</v>
      </c>
      <c r="F619" t="s">
        <v>3731</v>
      </c>
      <c r="M619" t="s">
        <v>4706</v>
      </c>
      <c r="N619" t="s">
        <v>989</v>
      </c>
      <c r="O619" t="s">
        <v>18</v>
      </c>
      <c r="P619" t="s">
        <v>3496</v>
      </c>
      <c r="T619" t="s">
        <v>979</v>
      </c>
      <c r="U619" t="s">
        <v>818</v>
      </c>
      <c r="V619" t="s">
        <v>18</v>
      </c>
      <c r="W619" t="s">
        <v>857</v>
      </c>
      <c r="AC619" t="s">
        <v>990</v>
      </c>
      <c r="AD619" t="s">
        <v>816</v>
      </c>
      <c r="AE619" t="s">
        <v>857</v>
      </c>
      <c r="AF619" t="s">
        <v>3510</v>
      </c>
      <c r="AJ619" s="844" t="s">
        <v>5738</v>
      </c>
      <c r="AK619" s="844" t="s">
        <v>1062</v>
      </c>
      <c r="AL619" s="844" t="s">
        <v>818</v>
      </c>
      <c r="AM619" s="844" t="s">
        <v>18</v>
      </c>
      <c r="AN619" s="844" t="s">
        <v>3031</v>
      </c>
    </row>
    <row r="620" spans="1:40">
      <c r="A620" t="s">
        <v>6397</v>
      </c>
      <c r="B620" t="s">
        <v>979</v>
      </c>
      <c r="C620" t="s">
        <v>818</v>
      </c>
      <c r="E620" t="s">
        <v>18</v>
      </c>
      <c r="F620" t="s">
        <v>3735</v>
      </c>
      <c r="M620" t="s">
        <v>4707</v>
      </c>
      <c r="N620" t="s">
        <v>990</v>
      </c>
      <c r="O620" t="s">
        <v>18</v>
      </c>
      <c r="P620" t="s">
        <v>3549</v>
      </c>
      <c r="T620" t="s">
        <v>979</v>
      </c>
      <c r="U620" t="s">
        <v>19</v>
      </c>
      <c r="V620" t="s">
        <v>53</v>
      </c>
      <c r="W620" t="s">
        <v>857</v>
      </c>
      <c r="AC620" t="s">
        <v>990</v>
      </c>
      <c r="AD620" t="s">
        <v>816</v>
      </c>
      <c r="AE620" t="s">
        <v>18</v>
      </c>
      <c r="AF620" t="s">
        <v>857</v>
      </c>
      <c r="AJ620" s="844" t="s">
        <v>5739</v>
      </c>
      <c r="AK620" s="844" t="s">
        <v>1062</v>
      </c>
      <c r="AL620" s="844" t="s">
        <v>816</v>
      </c>
      <c r="AM620" s="844" t="s">
        <v>857</v>
      </c>
      <c r="AN620" s="844" t="s">
        <v>3029</v>
      </c>
    </row>
    <row r="621" spans="1:40">
      <c r="A621" t="s">
        <v>6398</v>
      </c>
      <c r="B621" t="s">
        <v>979</v>
      </c>
      <c r="C621" t="s">
        <v>19</v>
      </c>
      <c r="E621" t="s">
        <v>53</v>
      </c>
      <c r="F621" t="s">
        <v>3733</v>
      </c>
      <c r="M621" t="s">
        <v>4707</v>
      </c>
      <c r="N621" t="s">
        <v>990</v>
      </c>
      <c r="O621" t="s">
        <v>18</v>
      </c>
      <c r="P621" t="s">
        <v>3548</v>
      </c>
      <c r="T621" t="s">
        <v>979</v>
      </c>
      <c r="U621" t="s">
        <v>19</v>
      </c>
      <c r="V621" t="s">
        <v>53</v>
      </c>
      <c r="W621" t="s">
        <v>857</v>
      </c>
      <c r="AC621" t="s">
        <v>990</v>
      </c>
      <c r="AD621" t="s">
        <v>816</v>
      </c>
      <c r="AE621" t="s">
        <v>18</v>
      </c>
      <c r="AF621" t="s">
        <v>3523</v>
      </c>
      <c r="AJ621" s="844" t="s">
        <v>5742</v>
      </c>
      <c r="AK621" s="844" t="s">
        <v>1062</v>
      </c>
      <c r="AL621" s="844" t="s">
        <v>816</v>
      </c>
      <c r="AM621" s="844" t="s">
        <v>53</v>
      </c>
      <c r="AN621" s="844" t="s">
        <v>3033</v>
      </c>
    </row>
    <row r="622" spans="1:40">
      <c r="A622" t="s">
        <v>6398</v>
      </c>
      <c r="B622" t="s">
        <v>979</v>
      </c>
      <c r="C622" t="s">
        <v>19</v>
      </c>
      <c r="E622" t="s">
        <v>53</v>
      </c>
      <c r="F622" t="s">
        <v>3732</v>
      </c>
      <c r="M622" t="s">
        <v>4707</v>
      </c>
      <c r="N622" t="s">
        <v>990</v>
      </c>
      <c r="O622" t="s">
        <v>18</v>
      </c>
      <c r="P622" t="s">
        <v>3547</v>
      </c>
      <c r="T622" t="s">
        <v>979</v>
      </c>
      <c r="U622" t="s">
        <v>19</v>
      </c>
      <c r="V622" t="s">
        <v>18</v>
      </c>
      <c r="W622" t="s">
        <v>857</v>
      </c>
      <c r="AC622" t="s">
        <v>990</v>
      </c>
      <c r="AD622" t="s">
        <v>816</v>
      </c>
      <c r="AE622" t="s">
        <v>18</v>
      </c>
      <c r="AF622" t="s">
        <v>3521</v>
      </c>
      <c r="AJ622" s="844" t="s">
        <v>5745</v>
      </c>
      <c r="AK622" s="844" t="s">
        <v>1062</v>
      </c>
      <c r="AL622" s="844" t="s">
        <v>816</v>
      </c>
      <c r="AM622" s="844" t="s">
        <v>18</v>
      </c>
      <c r="AN622" s="844" t="s">
        <v>3029</v>
      </c>
    </row>
    <row r="623" spans="1:40">
      <c r="A623" t="s">
        <v>6399</v>
      </c>
      <c r="B623" t="s">
        <v>979</v>
      </c>
      <c r="C623" t="s">
        <v>19</v>
      </c>
      <c r="E623" t="s">
        <v>18</v>
      </c>
      <c r="F623" t="s">
        <v>3734</v>
      </c>
      <c r="M623" t="s">
        <v>4707</v>
      </c>
      <c r="N623" t="s">
        <v>990</v>
      </c>
      <c r="O623" t="s">
        <v>18</v>
      </c>
      <c r="P623" t="s">
        <v>3546</v>
      </c>
      <c r="T623" t="s">
        <v>979</v>
      </c>
      <c r="U623" t="s">
        <v>816</v>
      </c>
      <c r="V623" t="s">
        <v>857</v>
      </c>
      <c r="W623" t="s">
        <v>3729</v>
      </c>
      <c r="AC623" t="s">
        <v>990</v>
      </c>
      <c r="AD623" t="s">
        <v>816</v>
      </c>
      <c r="AE623" t="s">
        <v>18</v>
      </c>
      <c r="AF623" t="s">
        <v>3518</v>
      </c>
      <c r="AJ623" s="844" t="s">
        <v>5746</v>
      </c>
      <c r="AK623" s="844" t="s">
        <v>1063</v>
      </c>
      <c r="AL623" s="844" t="s">
        <v>818</v>
      </c>
      <c r="AM623" s="844" t="s">
        <v>857</v>
      </c>
      <c r="AN623" s="844" t="s">
        <v>2559</v>
      </c>
    </row>
    <row r="624" spans="1:40">
      <c r="A624" t="s">
        <v>6529</v>
      </c>
      <c r="B624" t="s">
        <v>979</v>
      </c>
      <c r="C624" t="s">
        <v>816</v>
      </c>
      <c r="D624" t="s">
        <v>3729</v>
      </c>
      <c r="E624" t="s">
        <v>53</v>
      </c>
      <c r="F624" t="s">
        <v>3730</v>
      </c>
      <c r="M624" t="s">
        <v>4707</v>
      </c>
      <c r="N624" t="s">
        <v>990</v>
      </c>
      <c r="O624" t="s">
        <v>18</v>
      </c>
      <c r="P624" t="s">
        <v>3545</v>
      </c>
      <c r="T624" t="s">
        <v>979</v>
      </c>
      <c r="U624" t="s">
        <v>816</v>
      </c>
      <c r="V624" t="s">
        <v>53</v>
      </c>
      <c r="W624" t="s">
        <v>3729</v>
      </c>
      <c r="AC624" t="s">
        <v>991</v>
      </c>
      <c r="AD624" t="s">
        <v>818</v>
      </c>
      <c r="AE624" t="s">
        <v>857</v>
      </c>
      <c r="AF624" t="s">
        <v>2366</v>
      </c>
      <c r="AJ624" s="844" t="s">
        <v>5752</v>
      </c>
      <c r="AK624" s="844" t="s">
        <v>1063</v>
      </c>
      <c r="AL624" s="844" t="s">
        <v>818</v>
      </c>
      <c r="AM624" s="844" t="s">
        <v>18</v>
      </c>
      <c r="AN624" s="844" t="s">
        <v>3017</v>
      </c>
    </row>
    <row r="625" spans="1:40">
      <c r="A625" t="s">
        <v>6626</v>
      </c>
      <c r="B625" t="s">
        <v>979</v>
      </c>
      <c r="C625" t="s">
        <v>816</v>
      </c>
      <c r="D625" t="s">
        <v>3729</v>
      </c>
      <c r="F625" t="s">
        <v>3994</v>
      </c>
      <c r="M625" t="s">
        <v>4707</v>
      </c>
      <c r="N625" t="s">
        <v>990</v>
      </c>
      <c r="O625" t="s">
        <v>18</v>
      </c>
      <c r="P625" t="s">
        <v>3544</v>
      </c>
      <c r="T625" t="s">
        <v>979</v>
      </c>
      <c r="U625" t="s">
        <v>816</v>
      </c>
      <c r="V625" t="s">
        <v>53</v>
      </c>
      <c r="W625" t="s">
        <v>3727</v>
      </c>
      <c r="AC625" t="s">
        <v>991</v>
      </c>
      <c r="AD625" t="s">
        <v>818</v>
      </c>
      <c r="AE625" t="s">
        <v>18</v>
      </c>
      <c r="AF625" t="s">
        <v>857</v>
      </c>
      <c r="AJ625" s="844" t="s">
        <v>5752</v>
      </c>
      <c r="AK625" s="844" t="s">
        <v>1063</v>
      </c>
      <c r="AL625" s="844" t="s">
        <v>818</v>
      </c>
      <c r="AM625" s="844" t="s">
        <v>18</v>
      </c>
      <c r="AN625" s="844" t="s">
        <v>2559</v>
      </c>
    </row>
    <row r="626" spans="1:40">
      <c r="A626" t="s">
        <v>5165</v>
      </c>
      <c r="B626" t="s">
        <v>979</v>
      </c>
      <c r="C626" t="s">
        <v>816</v>
      </c>
      <c r="D626" t="s">
        <v>3727</v>
      </c>
      <c r="E626" t="s">
        <v>53</v>
      </c>
      <c r="F626" t="s">
        <v>3728</v>
      </c>
      <c r="M626" t="s">
        <v>4707</v>
      </c>
      <c r="N626" t="s">
        <v>990</v>
      </c>
      <c r="O626" t="s">
        <v>18</v>
      </c>
      <c r="P626" t="s">
        <v>3543</v>
      </c>
      <c r="T626" t="s">
        <v>979</v>
      </c>
      <c r="U626" t="s">
        <v>4638</v>
      </c>
      <c r="V626" t="s">
        <v>857</v>
      </c>
      <c r="W626" t="s">
        <v>3729</v>
      </c>
      <c r="AC626" t="s">
        <v>991</v>
      </c>
      <c r="AD626" t="s">
        <v>818</v>
      </c>
      <c r="AE626" t="s">
        <v>18</v>
      </c>
      <c r="AF626" t="s">
        <v>2366</v>
      </c>
      <c r="AJ626" s="844" t="s">
        <v>5753</v>
      </c>
      <c r="AK626" s="844" t="s">
        <v>1063</v>
      </c>
      <c r="AL626" s="844" t="s">
        <v>19</v>
      </c>
      <c r="AM626" s="844" t="s">
        <v>857</v>
      </c>
      <c r="AN626" s="844" t="s">
        <v>3014</v>
      </c>
    </row>
    <row r="627" spans="1:40">
      <c r="A627" t="s">
        <v>5166</v>
      </c>
      <c r="B627" t="s">
        <v>980</v>
      </c>
      <c r="C627" t="s">
        <v>818</v>
      </c>
      <c r="D627" t="s">
        <v>3656</v>
      </c>
      <c r="E627" t="s">
        <v>53</v>
      </c>
      <c r="F627" t="s">
        <v>3660</v>
      </c>
      <c r="M627" t="s">
        <v>4707</v>
      </c>
      <c r="N627" t="s">
        <v>990</v>
      </c>
      <c r="O627" t="s">
        <v>18</v>
      </c>
      <c r="P627" t="s">
        <v>3542</v>
      </c>
      <c r="T627" t="s">
        <v>980</v>
      </c>
      <c r="U627" t="s">
        <v>818</v>
      </c>
      <c r="V627" t="s">
        <v>18</v>
      </c>
      <c r="W627" t="s">
        <v>857</v>
      </c>
      <c r="AC627" t="s">
        <v>991</v>
      </c>
      <c r="AD627" t="s">
        <v>19</v>
      </c>
      <c r="AE627" t="s">
        <v>18</v>
      </c>
      <c r="AF627" t="s">
        <v>857</v>
      </c>
      <c r="AJ627" s="844" t="s">
        <v>5758</v>
      </c>
      <c r="AK627" s="844" t="s">
        <v>1063</v>
      </c>
      <c r="AL627" s="844" t="s">
        <v>19</v>
      </c>
      <c r="AM627" s="844" t="s">
        <v>18</v>
      </c>
      <c r="AN627" s="844" t="s">
        <v>3014</v>
      </c>
    </row>
    <row r="628" spans="1:40">
      <c r="A628" t="s">
        <v>5167</v>
      </c>
      <c r="B628" t="s">
        <v>980</v>
      </c>
      <c r="C628" t="s">
        <v>818</v>
      </c>
      <c r="D628" t="s">
        <v>3656</v>
      </c>
      <c r="E628" t="s">
        <v>18</v>
      </c>
      <c r="F628" t="s">
        <v>3657</v>
      </c>
      <c r="M628" t="s">
        <v>4707</v>
      </c>
      <c r="N628" t="s">
        <v>990</v>
      </c>
      <c r="O628" t="s">
        <v>18</v>
      </c>
      <c r="P628" t="s">
        <v>3541</v>
      </c>
      <c r="T628" t="s">
        <v>980</v>
      </c>
      <c r="U628" t="s">
        <v>818</v>
      </c>
      <c r="V628" t="s">
        <v>53</v>
      </c>
      <c r="W628" t="s">
        <v>3656</v>
      </c>
      <c r="AC628" t="s">
        <v>991</v>
      </c>
      <c r="AD628" t="s">
        <v>19</v>
      </c>
      <c r="AE628" t="s">
        <v>18</v>
      </c>
      <c r="AF628" t="s">
        <v>2366</v>
      </c>
      <c r="AJ628" s="844" t="s">
        <v>5759</v>
      </c>
      <c r="AK628" s="844" t="s">
        <v>1063</v>
      </c>
      <c r="AL628" s="844" t="s">
        <v>816</v>
      </c>
      <c r="AM628" s="844" t="s">
        <v>857</v>
      </c>
      <c r="AN628" s="844" t="s">
        <v>4160</v>
      </c>
    </row>
    <row r="629" spans="1:40">
      <c r="A629" t="s">
        <v>5169</v>
      </c>
      <c r="B629" t="s">
        <v>980</v>
      </c>
      <c r="C629" t="s">
        <v>818</v>
      </c>
      <c r="D629" t="s">
        <v>3654</v>
      </c>
      <c r="E629" t="s">
        <v>53</v>
      </c>
      <c r="F629" t="s">
        <v>3661</v>
      </c>
      <c r="M629" t="s">
        <v>4707</v>
      </c>
      <c r="N629" t="s">
        <v>990</v>
      </c>
      <c r="O629" t="s">
        <v>18</v>
      </c>
      <c r="P629" t="s">
        <v>3540</v>
      </c>
      <c r="T629" t="s">
        <v>980</v>
      </c>
      <c r="U629" t="s">
        <v>818</v>
      </c>
      <c r="V629" t="s">
        <v>18</v>
      </c>
      <c r="W629" t="s">
        <v>3656</v>
      </c>
      <c r="AC629" t="s">
        <v>991</v>
      </c>
      <c r="AD629" t="s">
        <v>816</v>
      </c>
      <c r="AE629" t="s">
        <v>18</v>
      </c>
      <c r="AF629" t="s">
        <v>857</v>
      </c>
      <c r="AJ629" s="844" t="s">
        <v>5765</v>
      </c>
      <c r="AK629" s="844" t="s">
        <v>1063</v>
      </c>
      <c r="AL629" s="844" t="s">
        <v>816</v>
      </c>
      <c r="AM629" s="844" t="s">
        <v>18</v>
      </c>
      <c r="AN629" s="844" t="s">
        <v>3012</v>
      </c>
    </row>
    <row r="630" spans="1:40">
      <c r="A630" t="s">
        <v>5170</v>
      </c>
      <c r="B630" t="s">
        <v>980</v>
      </c>
      <c r="C630" t="s">
        <v>818</v>
      </c>
      <c r="D630" t="s">
        <v>3654</v>
      </c>
      <c r="E630" t="s">
        <v>18</v>
      </c>
      <c r="F630" t="s">
        <v>3655</v>
      </c>
      <c r="M630" t="s">
        <v>4707</v>
      </c>
      <c r="N630" t="s">
        <v>990</v>
      </c>
      <c r="O630" t="s">
        <v>18</v>
      </c>
      <c r="P630" t="s">
        <v>3539</v>
      </c>
      <c r="T630" t="s">
        <v>980</v>
      </c>
      <c r="U630" t="s">
        <v>818</v>
      </c>
      <c r="V630" t="s">
        <v>53</v>
      </c>
      <c r="W630" t="s">
        <v>3654</v>
      </c>
      <c r="AC630" t="s">
        <v>992</v>
      </c>
      <c r="AD630" t="s">
        <v>816</v>
      </c>
      <c r="AE630" t="s">
        <v>18</v>
      </c>
      <c r="AF630" t="s">
        <v>857</v>
      </c>
      <c r="AJ630" s="844" t="s">
        <v>5768</v>
      </c>
      <c r="AK630" s="844" t="s">
        <v>1064</v>
      </c>
      <c r="AL630" s="844" t="s">
        <v>816</v>
      </c>
      <c r="AM630" s="844" t="s">
        <v>857</v>
      </c>
      <c r="AN630" s="844" t="s">
        <v>2848</v>
      </c>
    </row>
    <row r="631" spans="1:40">
      <c r="A631" t="s">
        <v>6400</v>
      </c>
      <c r="B631" t="s">
        <v>980</v>
      </c>
      <c r="C631" t="s">
        <v>818</v>
      </c>
      <c r="E631" t="s">
        <v>18</v>
      </c>
      <c r="F631" t="s">
        <v>3665</v>
      </c>
      <c r="M631" t="s">
        <v>4707</v>
      </c>
      <c r="N631" t="s">
        <v>990</v>
      </c>
      <c r="O631" t="s">
        <v>18</v>
      </c>
      <c r="P631" t="s">
        <v>3538</v>
      </c>
      <c r="T631" t="s">
        <v>980</v>
      </c>
      <c r="U631" t="s">
        <v>818</v>
      </c>
      <c r="V631" t="s">
        <v>18</v>
      </c>
      <c r="W631" t="s">
        <v>3654</v>
      </c>
      <c r="AC631" t="s">
        <v>992</v>
      </c>
      <c r="AD631" t="s">
        <v>816</v>
      </c>
      <c r="AE631" t="s">
        <v>18</v>
      </c>
      <c r="AF631" t="s">
        <v>3486</v>
      </c>
      <c r="AJ631" s="844" t="s">
        <v>5771</v>
      </c>
      <c r="AK631" s="844" t="s">
        <v>1064</v>
      </c>
      <c r="AL631" s="844" t="s">
        <v>816</v>
      </c>
      <c r="AM631" s="844" t="s">
        <v>53</v>
      </c>
      <c r="AN631" s="844" t="s">
        <v>2850</v>
      </c>
    </row>
    <row r="632" spans="1:40">
      <c r="A632" t="s">
        <v>5172</v>
      </c>
      <c r="B632" t="s">
        <v>980</v>
      </c>
      <c r="C632" t="s">
        <v>19</v>
      </c>
      <c r="D632" t="s">
        <v>2768</v>
      </c>
      <c r="E632" t="s">
        <v>18</v>
      </c>
      <c r="F632" t="s">
        <v>3653</v>
      </c>
      <c r="M632" t="s">
        <v>4707</v>
      </c>
      <c r="N632" t="s">
        <v>990</v>
      </c>
      <c r="O632" t="s">
        <v>18</v>
      </c>
      <c r="P632" t="s">
        <v>3537</v>
      </c>
      <c r="T632" t="s">
        <v>980</v>
      </c>
      <c r="U632" t="s">
        <v>19</v>
      </c>
      <c r="V632" t="s">
        <v>18</v>
      </c>
      <c r="W632" t="s">
        <v>857</v>
      </c>
      <c r="AC632" t="s">
        <v>992</v>
      </c>
      <c r="AD632" t="s">
        <v>816</v>
      </c>
      <c r="AE632" t="s">
        <v>18</v>
      </c>
      <c r="AF632" t="s">
        <v>2366</v>
      </c>
      <c r="AJ632" s="844" t="s">
        <v>5771</v>
      </c>
      <c r="AK632" s="844" t="s">
        <v>1064</v>
      </c>
      <c r="AL632" s="844" t="s">
        <v>816</v>
      </c>
      <c r="AM632" s="844" t="s">
        <v>53</v>
      </c>
      <c r="AN632" s="844" t="s">
        <v>2848</v>
      </c>
    </row>
    <row r="633" spans="1:40">
      <c r="A633" t="s">
        <v>5173</v>
      </c>
      <c r="B633" t="s">
        <v>980</v>
      </c>
      <c r="C633" t="s">
        <v>19</v>
      </c>
      <c r="D633" t="s">
        <v>3648</v>
      </c>
      <c r="E633" t="s">
        <v>18</v>
      </c>
      <c r="F633" t="s">
        <v>3652</v>
      </c>
      <c r="M633" t="s">
        <v>4707</v>
      </c>
      <c r="N633" t="s">
        <v>990</v>
      </c>
      <c r="O633" t="s">
        <v>18</v>
      </c>
      <c r="P633" t="s">
        <v>3536</v>
      </c>
      <c r="T633" t="s">
        <v>980</v>
      </c>
      <c r="U633" t="s">
        <v>19</v>
      </c>
      <c r="V633" t="s">
        <v>18</v>
      </c>
      <c r="W633" t="s">
        <v>857</v>
      </c>
      <c r="AC633" t="s">
        <v>993</v>
      </c>
      <c r="AD633" t="s">
        <v>818</v>
      </c>
      <c r="AE633" t="s">
        <v>857</v>
      </c>
      <c r="AF633" t="s">
        <v>857</v>
      </c>
      <c r="AJ633" s="844" t="s">
        <v>5778</v>
      </c>
      <c r="AK633" s="844" t="s">
        <v>1065</v>
      </c>
      <c r="AL633" s="844" t="s">
        <v>818</v>
      </c>
      <c r="AM633" s="844" t="s">
        <v>18</v>
      </c>
      <c r="AN633" s="844" t="s">
        <v>2841</v>
      </c>
    </row>
    <row r="634" spans="1:40">
      <c r="A634" t="s">
        <v>6402</v>
      </c>
      <c r="B634" t="s">
        <v>980</v>
      </c>
      <c r="C634" t="s">
        <v>19</v>
      </c>
      <c r="D634" t="s">
        <v>3648</v>
      </c>
      <c r="F634" t="s">
        <v>3988</v>
      </c>
      <c r="M634" t="s">
        <v>4707</v>
      </c>
      <c r="N634" t="s">
        <v>990</v>
      </c>
      <c r="O634" t="s">
        <v>18</v>
      </c>
      <c r="P634" t="s">
        <v>3533</v>
      </c>
      <c r="T634" t="s">
        <v>980</v>
      </c>
      <c r="U634" t="s">
        <v>19</v>
      </c>
      <c r="V634" t="s">
        <v>18</v>
      </c>
      <c r="W634" t="s">
        <v>2768</v>
      </c>
      <c r="AC634" t="s">
        <v>993</v>
      </c>
      <c r="AD634" t="s">
        <v>818</v>
      </c>
      <c r="AE634" t="s">
        <v>857</v>
      </c>
      <c r="AF634" t="s">
        <v>3481</v>
      </c>
      <c r="AJ634" s="844" t="s">
        <v>5782</v>
      </c>
      <c r="AK634" s="844" t="s">
        <v>1066</v>
      </c>
      <c r="AL634" s="844" t="s">
        <v>818</v>
      </c>
      <c r="AM634" s="844" t="s">
        <v>18</v>
      </c>
      <c r="AN634" s="844" t="s">
        <v>2824</v>
      </c>
    </row>
    <row r="635" spans="1:40">
      <c r="A635" t="s">
        <v>6401</v>
      </c>
      <c r="B635" t="s">
        <v>980</v>
      </c>
      <c r="C635" t="s">
        <v>19</v>
      </c>
      <c r="E635" t="s">
        <v>18</v>
      </c>
      <c r="F635" t="s">
        <v>3664</v>
      </c>
      <c r="M635" t="s">
        <v>4707</v>
      </c>
      <c r="N635" t="s">
        <v>990</v>
      </c>
      <c r="O635" t="s">
        <v>18</v>
      </c>
      <c r="P635" t="s">
        <v>3532</v>
      </c>
      <c r="T635" t="s">
        <v>980</v>
      </c>
      <c r="U635" t="s">
        <v>19</v>
      </c>
      <c r="V635" t="s">
        <v>857</v>
      </c>
      <c r="W635" t="s">
        <v>3648</v>
      </c>
      <c r="AC635" t="s">
        <v>993</v>
      </c>
      <c r="AD635" t="s">
        <v>818</v>
      </c>
      <c r="AE635" t="s">
        <v>18</v>
      </c>
      <c r="AF635" t="s">
        <v>857</v>
      </c>
      <c r="AJ635" s="844" t="s">
        <v>5783</v>
      </c>
      <c r="AK635" s="844" t="s">
        <v>1066</v>
      </c>
      <c r="AL635" s="844" t="s">
        <v>19</v>
      </c>
      <c r="AM635" s="844" t="s">
        <v>857</v>
      </c>
      <c r="AN635" s="844" t="s">
        <v>2824</v>
      </c>
    </row>
    <row r="636" spans="1:40">
      <c r="A636" t="s">
        <v>6401</v>
      </c>
      <c r="B636" t="s">
        <v>980</v>
      </c>
      <c r="C636" t="s">
        <v>19</v>
      </c>
      <c r="E636" t="s">
        <v>18</v>
      </c>
      <c r="F636" t="s">
        <v>3662</v>
      </c>
      <c r="M636" t="s">
        <v>4707</v>
      </c>
      <c r="N636" t="s">
        <v>990</v>
      </c>
      <c r="O636" t="s">
        <v>18</v>
      </c>
      <c r="P636" t="s">
        <v>3530</v>
      </c>
      <c r="T636" t="s">
        <v>980</v>
      </c>
      <c r="U636" t="s">
        <v>19</v>
      </c>
      <c r="V636" t="s">
        <v>18</v>
      </c>
      <c r="W636" t="s">
        <v>3648</v>
      </c>
      <c r="AC636" t="s">
        <v>993</v>
      </c>
      <c r="AD636" t="s">
        <v>818</v>
      </c>
      <c r="AE636" t="s">
        <v>18</v>
      </c>
      <c r="AF636" t="s">
        <v>3481</v>
      </c>
      <c r="AJ636" s="844" t="s">
        <v>5788</v>
      </c>
      <c r="AK636" s="844" t="s">
        <v>1066</v>
      </c>
      <c r="AL636" s="844" t="s">
        <v>19</v>
      </c>
      <c r="AM636" s="844" t="s">
        <v>18</v>
      </c>
      <c r="AN636" s="844" t="s">
        <v>2824</v>
      </c>
    </row>
    <row r="637" spans="1:40">
      <c r="A637" t="s">
        <v>5175</v>
      </c>
      <c r="B637" t="s">
        <v>980</v>
      </c>
      <c r="C637" t="s">
        <v>2384</v>
      </c>
      <c r="D637" t="s">
        <v>3656</v>
      </c>
      <c r="E637" t="s">
        <v>18</v>
      </c>
      <c r="F637" t="s">
        <v>3659</v>
      </c>
      <c r="M637" t="s">
        <v>4707</v>
      </c>
      <c r="N637" t="s">
        <v>990</v>
      </c>
      <c r="O637" t="s">
        <v>18</v>
      </c>
      <c r="P637" t="s">
        <v>3528</v>
      </c>
      <c r="T637" t="s">
        <v>980</v>
      </c>
      <c r="U637" t="s">
        <v>2384</v>
      </c>
      <c r="V637" t="s">
        <v>857</v>
      </c>
      <c r="W637" t="s">
        <v>3656</v>
      </c>
      <c r="AC637" t="s">
        <v>994</v>
      </c>
      <c r="AD637" t="s">
        <v>818</v>
      </c>
      <c r="AE637" t="s">
        <v>18</v>
      </c>
      <c r="AF637" t="s">
        <v>857</v>
      </c>
      <c r="AJ637" s="844" t="s">
        <v>5792</v>
      </c>
      <c r="AK637" s="844" t="s">
        <v>1066</v>
      </c>
      <c r="AL637" s="844" t="s">
        <v>2384</v>
      </c>
      <c r="AM637" s="844" t="s">
        <v>18</v>
      </c>
      <c r="AN637" s="844" t="s">
        <v>2826</v>
      </c>
    </row>
    <row r="638" spans="1:40">
      <c r="A638" t="s">
        <v>6403</v>
      </c>
      <c r="B638" t="s">
        <v>980</v>
      </c>
      <c r="C638" t="s">
        <v>2384</v>
      </c>
      <c r="D638" t="s">
        <v>3656</v>
      </c>
      <c r="F638" t="s">
        <v>4152</v>
      </c>
      <c r="M638" t="s">
        <v>4707</v>
      </c>
      <c r="N638" t="s">
        <v>990</v>
      </c>
      <c r="O638" t="s">
        <v>18</v>
      </c>
      <c r="P638" t="s">
        <v>3527</v>
      </c>
      <c r="T638" t="s">
        <v>980</v>
      </c>
      <c r="U638" t="s">
        <v>2384</v>
      </c>
      <c r="V638" t="s">
        <v>18</v>
      </c>
      <c r="W638" t="s">
        <v>3656</v>
      </c>
      <c r="AC638" t="s">
        <v>994</v>
      </c>
      <c r="AD638" t="s">
        <v>816</v>
      </c>
      <c r="AE638" t="s">
        <v>18</v>
      </c>
      <c r="AF638" t="s">
        <v>857</v>
      </c>
      <c r="AJ638" s="844" t="s">
        <v>5797</v>
      </c>
      <c r="AK638" s="844" t="s">
        <v>1066</v>
      </c>
      <c r="AL638" s="844" t="s">
        <v>816</v>
      </c>
      <c r="AM638" s="844" t="s">
        <v>18</v>
      </c>
      <c r="AN638" s="844" t="s">
        <v>2824</v>
      </c>
    </row>
    <row r="639" spans="1:40">
      <c r="A639" t="s">
        <v>5176</v>
      </c>
      <c r="B639" t="s">
        <v>980</v>
      </c>
      <c r="C639" t="s">
        <v>2384</v>
      </c>
      <c r="D639" t="s">
        <v>3654</v>
      </c>
      <c r="E639" t="s">
        <v>18</v>
      </c>
      <c r="F639" t="s">
        <v>3658</v>
      </c>
      <c r="M639" t="s">
        <v>4707</v>
      </c>
      <c r="N639" t="s">
        <v>990</v>
      </c>
      <c r="O639" t="s">
        <v>18</v>
      </c>
      <c r="P639" t="s">
        <v>3525</v>
      </c>
      <c r="T639" t="s">
        <v>980</v>
      </c>
      <c r="U639" t="s">
        <v>2384</v>
      </c>
      <c r="V639" t="s">
        <v>18</v>
      </c>
      <c r="W639" t="s">
        <v>3654</v>
      </c>
      <c r="AC639" t="s">
        <v>995</v>
      </c>
      <c r="AD639" t="s">
        <v>818</v>
      </c>
      <c r="AE639" t="s">
        <v>857</v>
      </c>
      <c r="AF639" t="s">
        <v>857</v>
      </c>
      <c r="AJ639" s="844" t="s">
        <v>5800</v>
      </c>
      <c r="AK639" s="844" t="s">
        <v>1067</v>
      </c>
      <c r="AL639" s="844" t="s">
        <v>818</v>
      </c>
      <c r="AM639" s="844" t="s">
        <v>18</v>
      </c>
      <c r="AN639" s="844" t="s">
        <v>2366</v>
      </c>
    </row>
    <row r="640" spans="1:40">
      <c r="A640" t="s">
        <v>5178</v>
      </c>
      <c r="B640" t="s">
        <v>980</v>
      </c>
      <c r="C640" t="s">
        <v>816</v>
      </c>
      <c r="D640" t="s">
        <v>3650</v>
      </c>
      <c r="E640" t="s">
        <v>18</v>
      </c>
      <c r="F640" t="s">
        <v>3651</v>
      </c>
      <c r="M640" t="s">
        <v>4707</v>
      </c>
      <c r="N640" t="s">
        <v>990</v>
      </c>
      <c r="O640" t="s">
        <v>18</v>
      </c>
      <c r="P640" t="s">
        <v>3524</v>
      </c>
      <c r="T640" t="s">
        <v>980</v>
      </c>
      <c r="U640" t="s">
        <v>816</v>
      </c>
      <c r="V640" t="s">
        <v>18</v>
      </c>
      <c r="W640" t="s">
        <v>857</v>
      </c>
      <c r="AC640" t="s">
        <v>995</v>
      </c>
      <c r="AD640" t="s">
        <v>818</v>
      </c>
      <c r="AE640" t="s">
        <v>857</v>
      </c>
      <c r="AF640" t="s">
        <v>3471</v>
      </c>
      <c r="AJ640" s="844" t="s">
        <v>5803</v>
      </c>
      <c r="AK640" s="844" t="s">
        <v>1067</v>
      </c>
      <c r="AL640" s="844" t="s">
        <v>19</v>
      </c>
      <c r="AM640" s="844" t="s">
        <v>18</v>
      </c>
      <c r="AN640" s="844" t="s">
        <v>2366</v>
      </c>
    </row>
    <row r="641" spans="1:40">
      <c r="A641" t="s">
        <v>5179</v>
      </c>
      <c r="B641" t="s">
        <v>980</v>
      </c>
      <c r="C641" t="s">
        <v>816</v>
      </c>
      <c r="D641" t="s">
        <v>3648</v>
      </c>
      <c r="E641" t="s">
        <v>18</v>
      </c>
      <c r="F641" t="s">
        <v>3649</v>
      </c>
      <c r="M641" t="s">
        <v>4707</v>
      </c>
      <c r="N641" t="s">
        <v>990</v>
      </c>
      <c r="O641" t="s">
        <v>18</v>
      </c>
      <c r="P641" t="s">
        <v>3522</v>
      </c>
      <c r="T641" t="s">
        <v>980</v>
      </c>
      <c r="U641" t="s">
        <v>816</v>
      </c>
      <c r="V641" t="s">
        <v>18</v>
      </c>
      <c r="W641" t="s">
        <v>3650</v>
      </c>
      <c r="AC641" t="s">
        <v>995</v>
      </c>
      <c r="AD641" t="s">
        <v>818</v>
      </c>
      <c r="AE641" t="s">
        <v>18</v>
      </c>
      <c r="AF641" t="s">
        <v>857</v>
      </c>
      <c r="AJ641" s="844" t="s">
        <v>5804</v>
      </c>
      <c r="AK641" s="844" t="s">
        <v>1067</v>
      </c>
      <c r="AL641" s="844" t="s">
        <v>2384</v>
      </c>
      <c r="AM641" s="844" t="s">
        <v>857</v>
      </c>
      <c r="AN641" s="844" t="s">
        <v>2366</v>
      </c>
    </row>
    <row r="642" spans="1:40">
      <c r="A642" t="s">
        <v>6404</v>
      </c>
      <c r="B642" t="s">
        <v>980</v>
      </c>
      <c r="C642" t="s">
        <v>816</v>
      </c>
      <c r="E642" t="s">
        <v>18</v>
      </c>
      <c r="F642" t="s">
        <v>3663</v>
      </c>
      <c r="M642" t="s">
        <v>4707</v>
      </c>
      <c r="N642" t="s">
        <v>990</v>
      </c>
      <c r="O642" t="s">
        <v>18</v>
      </c>
      <c r="P642" t="s">
        <v>3519</v>
      </c>
      <c r="T642" t="s">
        <v>980</v>
      </c>
      <c r="U642" t="s">
        <v>816</v>
      </c>
      <c r="V642" t="s">
        <v>18</v>
      </c>
      <c r="W642" t="s">
        <v>3648</v>
      </c>
      <c r="AC642" t="s">
        <v>995</v>
      </c>
      <c r="AD642" t="s">
        <v>818</v>
      </c>
      <c r="AE642" t="s">
        <v>18</v>
      </c>
      <c r="AF642" t="s">
        <v>3471</v>
      </c>
      <c r="AJ642" s="844" t="s">
        <v>5807</v>
      </c>
      <c r="AK642" s="844" t="s">
        <v>1067</v>
      </c>
      <c r="AL642" s="844" t="s">
        <v>816</v>
      </c>
      <c r="AM642" s="844" t="s">
        <v>18</v>
      </c>
      <c r="AN642" s="844" t="s">
        <v>2366</v>
      </c>
    </row>
    <row r="643" spans="1:40">
      <c r="A643" t="s">
        <v>5181</v>
      </c>
      <c r="B643" t="s">
        <v>981</v>
      </c>
      <c r="C643" t="s">
        <v>818</v>
      </c>
      <c r="D643" t="s">
        <v>3712</v>
      </c>
      <c r="E643" t="s">
        <v>18</v>
      </c>
      <c r="F643" t="s">
        <v>3716</v>
      </c>
      <c r="M643" t="s">
        <v>4707</v>
      </c>
      <c r="N643" t="s">
        <v>990</v>
      </c>
      <c r="O643" t="s">
        <v>18</v>
      </c>
      <c r="P643" t="s">
        <v>3514</v>
      </c>
      <c r="T643" t="s">
        <v>981</v>
      </c>
      <c r="U643" t="s">
        <v>818</v>
      </c>
      <c r="V643" t="s">
        <v>53</v>
      </c>
      <c r="W643" t="s">
        <v>857</v>
      </c>
      <c r="AC643" t="s">
        <v>995</v>
      </c>
      <c r="AD643" t="s">
        <v>816</v>
      </c>
      <c r="AE643" t="s">
        <v>857</v>
      </c>
      <c r="AF643" t="s">
        <v>3468</v>
      </c>
      <c r="AJ643" s="844" t="s">
        <v>5808</v>
      </c>
      <c r="AK643" s="844" t="s">
        <v>1068</v>
      </c>
      <c r="AL643" s="844" t="s">
        <v>818</v>
      </c>
      <c r="AM643" s="844" t="s">
        <v>857</v>
      </c>
      <c r="AN643" s="844" t="s">
        <v>3742</v>
      </c>
    </row>
    <row r="644" spans="1:40">
      <c r="A644" t="s">
        <v>6407</v>
      </c>
      <c r="B644" t="s">
        <v>981</v>
      </c>
      <c r="C644" t="s">
        <v>818</v>
      </c>
      <c r="D644" t="s">
        <v>3712</v>
      </c>
      <c r="F644" t="s">
        <v>3984</v>
      </c>
      <c r="M644" t="s">
        <v>4707</v>
      </c>
      <c r="N644" t="s">
        <v>990</v>
      </c>
      <c r="O644" t="s">
        <v>18</v>
      </c>
      <c r="P644" t="s">
        <v>3511</v>
      </c>
      <c r="T644" t="s">
        <v>981</v>
      </c>
      <c r="U644" t="s">
        <v>818</v>
      </c>
      <c r="V644" t="s">
        <v>53</v>
      </c>
      <c r="W644" t="s">
        <v>857</v>
      </c>
      <c r="AC644" t="s">
        <v>995</v>
      </c>
      <c r="AD644" t="s">
        <v>816</v>
      </c>
      <c r="AE644" t="s">
        <v>18</v>
      </c>
      <c r="AF644" t="s">
        <v>857</v>
      </c>
      <c r="AJ644" s="844" t="s">
        <v>5811</v>
      </c>
      <c r="AK644" s="844" t="s">
        <v>1068</v>
      </c>
      <c r="AL644" s="844" t="s">
        <v>818</v>
      </c>
      <c r="AM644" s="844" t="s">
        <v>53</v>
      </c>
      <c r="AN644" s="844" t="s">
        <v>2793</v>
      </c>
    </row>
    <row r="645" spans="1:40">
      <c r="A645" t="s">
        <v>6405</v>
      </c>
      <c r="B645" t="s">
        <v>981</v>
      </c>
      <c r="C645" t="s">
        <v>818</v>
      </c>
      <c r="E645" t="s">
        <v>53</v>
      </c>
      <c r="F645" t="s">
        <v>3717</v>
      </c>
      <c r="M645" t="s">
        <v>4815</v>
      </c>
      <c r="N645" t="s">
        <v>991</v>
      </c>
      <c r="O645" t="s">
        <v>18</v>
      </c>
      <c r="P645" t="s">
        <v>3494</v>
      </c>
      <c r="T645" t="s">
        <v>981</v>
      </c>
      <c r="U645" t="s">
        <v>818</v>
      </c>
      <c r="V645" t="s">
        <v>18</v>
      </c>
      <c r="W645" t="s">
        <v>857</v>
      </c>
      <c r="AC645" t="s">
        <v>995</v>
      </c>
      <c r="AD645" t="s">
        <v>816</v>
      </c>
      <c r="AE645" t="s">
        <v>18</v>
      </c>
      <c r="AF645" t="s">
        <v>3468</v>
      </c>
      <c r="AJ645" s="844" t="s">
        <v>5811</v>
      </c>
      <c r="AK645" s="844" t="s">
        <v>1068</v>
      </c>
      <c r="AL645" s="844" t="s">
        <v>818</v>
      </c>
      <c r="AM645" s="844" t="s">
        <v>53</v>
      </c>
      <c r="AN645" s="844" t="s">
        <v>2791</v>
      </c>
    </row>
    <row r="646" spans="1:40">
      <c r="A646" t="s">
        <v>6405</v>
      </c>
      <c r="B646" t="s">
        <v>981</v>
      </c>
      <c r="C646" t="s">
        <v>818</v>
      </c>
      <c r="E646" t="s">
        <v>53</v>
      </c>
      <c r="F646" t="s">
        <v>3715</v>
      </c>
      <c r="M646" t="s">
        <v>4815</v>
      </c>
      <c r="N646" t="s">
        <v>991</v>
      </c>
      <c r="O646" t="s">
        <v>18</v>
      </c>
      <c r="P646" t="s">
        <v>3493</v>
      </c>
      <c r="T646" t="s">
        <v>981</v>
      </c>
      <c r="U646" t="s">
        <v>818</v>
      </c>
      <c r="V646" t="s">
        <v>18</v>
      </c>
      <c r="W646" t="s">
        <v>857</v>
      </c>
      <c r="AC646" t="s">
        <v>995</v>
      </c>
      <c r="AD646" t="s">
        <v>816</v>
      </c>
      <c r="AE646" t="s">
        <v>18</v>
      </c>
      <c r="AF646" t="s">
        <v>2598</v>
      </c>
      <c r="AJ646" s="844" t="s">
        <v>5811</v>
      </c>
      <c r="AK646" s="844" t="s">
        <v>1068</v>
      </c>
      <c r="AL646" s="844" t="s">
        <v>818</v>
      </c>
      <c r="AM646" s="844" t="s">
        <v>53</v>
      </c>
      <c r="AN646" s="844" t="s">
        <v>2749</v>
      </c>
    </row>
    <row r="647" spans="1:40">
      <c r="A647" t="s">
        <v>6406</v>
      </c>
      <c r="B647" t="s">
        <v>981</v>
      </c>
      <c r="C647" t="s">
        <v>818</v>
      </c>
      <c r="E647" t="s">
        <v>18</v>
      </c>
      <c r="F647" t="s">
        <v>3726</v>
      </c>
      <c r="M647" t="s">
        <v>4815</v>
      </c>
      <c r="N647" t="s">
        <v>991</v>
      </c>
      <c r="O647" t="s">
        <v>18</v>
      </c>
      <c r="P647" t="s">
        <v>3492</v>
      </c>
      <c r="T647" t="s">
        <v>981</v>
      </c>
      <c r="U647" t="s">
        <v>818</v>
      </c>
      <c r="V647" t="s">
        <v>857</v>
      </c>
      <c r="W647" t="s">
        <v>3712</v>
      </c>
      <c r="AC647" t="s">
        <v>996</v>
      </c>
      <c r="AD647" t="s">
        <v>818</v>
      </c>
      <c r="AE647" t="s">
        <v>857</v>
      </c>
      <c r="AF647" t="s">
        <v>857</v>
      </c>
      <c r="AJ647" s="844" t="s">
        <v>5813</v>
      </c>
      <c r="AK647" s="844" t="s">
        <v>1068</v>
      </c>
      <c r="AL647" s="844" t="s">
        <v>19</v>
      </c>
      <c r="AM647" s="844" t="s">
        <v>857</v>
      </c>
      <c r="AN647" s="844" t="s">
        <v>2743</v>
      </c>
    </row>
    <row r="648" spans="1:40">
      <c r="A648" t="s">
        <v>6406</v>
      </c>
      <c r="B648" t="s">
        <v>981</v>
      </c>
      <c r="C648" t="s">
        <v>818</v>
      </c>
      <c r="E648" t="s">
        <v>18</v>
      </c>
      <c r="F648" t="s">
        <v>3720</v>
      </c>
      <c r="M648" t="s">
        <v>4815</v>
      </c>
      <c r="N648" t="s">
        <v>991</v>
      </c>
      <c r="O648" t="s">
        <v>18</v>
      </c>
      <c r="P648" t="s">
        <v>3491</v>
      </c>
      <c r="T648" t="s">
        <v>981</v>
      </c>
      <c r="U648" t="s">
        <v>818</v>
      </c>
      <c r="V648" t="s">
        <v>18</v>
      </c>
      <c r="W648" t="s">
        <v>3712</v>
      </c>
      <c r="AC648" t="s">
        <v>996</v>
      </c>
      <c r="AD648" t="s">
        <v>818</v>
      </c>
      <c r="AE648" t="s">
        <v>18</v>
      </c>
      <c r="AF648" t="s">
        <v>857</v>
      </c>
      <c r="AJ648" s="844" t="s">
        <v>5816</v>
      </c>
      <c r="AK648" s="844" t="s">
        <v>1068</v>
      </c>
      <c r="AL648" s="844" t="s">
        <v>19</v>
      </c>
      <c r="AM648" s="844" t="s">
        <v>53</v>
      </c>
      <c r="AN648" s="844" t="s">
        <v>2747</v>
      </c>
    </row>
    <row r="649" spans="1:40">
      <c r="A649" t="s">
        <v>6408</v>
      </c>
      <c r="B649" t="s">
        <v>981</v>
      </c>
      <c r="C649" t="s">
        <v>19</v>
      </c>
      <c r="E649" t="s">
        <v>18</v>
      </c>
      <c r="F649" t="s">
        <v>3725</v>
      </c>
      <c r="M649" t="s">
        <v>4815</v>
      </c>
      <c r="N649" t="s">
        <v>991</v>
      </c>
      <c r="O649" t="s">
        <v>18</v>
      </c>
      <c r="P649" t="s">
        <v>3490</v>
      </c>
      <c r="T649" t="s">
        <v>981</v>
      </c>
      <c r="U649" t="s">
        <v>19</v>
      </c>
      <c r="V649" t="s">
        <v>18</v>
      </c>
      <c r="W649" t="s">
        <v>857</v>
      </c>
      <c r="AC649" t="s">
        <v>996</v>
      </c>
      <c r="AD649" t="s">
        <v>818</v>
      </c>
      <c r="AE649" t="s">
        <v>18</v>
      </c>
      <c r="AF649" t="s">
        <v>3454</v>
      </c>
      <c r="AJ649" s="844" t="s">
        <v>5816</v>
      </c>
      <c r="AK649" s="844" t="s">
        <v>1068</v>
      </c>
      <c r="AL649" s="844" t="s">
        <v>19</v>
      </c>
      <c r="AM649" s="844" t="s">
        <v>53</v>
      </c>
      <c r="AN649" s="844" t="s">
        <v>2743</v>
      </c>
    </row>
    <row r="650" spans="1:40">
      <c r="A650" t="s">
        <v>6408</v>
      </c>
      <c r="B650" t="s">
        <v>981</v>
      </c>
      <c r="C650" t="s">
        <v>19</v>
      </c>
      <c r="E650" t="s">
        <v>18</v>
      </c>
      <c r="F650" t="s">
        <v>3722</v>
      </c>
      <c r="M650" t="s">
        <v>4815</v>
      </c>
      <c r="N650" t="s">
        <v>991</v>
      </c>
      <c r="O650" t="s">
        <v>18</v>
      </c>
      <c r="P650" t="s">
        <v>3489</v>
      </c>
      <c r="T650" t="s">
        <v>981</v>
      </c>
      <c r="U650" t="s">
        <v>19</v>
      </c>
      <c r="V650" t="s">
        <v>18</v>
      </c>
      <c r="W650" t="s">
        <v>857</v>
      </c>
      <c r="AC650" t="s">
        <v>996</v>
      </c>
      <c r="AD650" t="s">
        <v>818</v>
      </c>
      <c r="AE650" t="s">
        <v>18</v>
      </c>
      <c r="AF650" t="s">
        <v>3447</v>
      </c>
      <c r="AJ650" s="844" t="s">
        <v>5820</v>
      </c>
      <c r="AK650" s="844" t="s">
        <v>1068</v>
      </c>
      <c r="AL650" s="844" t="s">
        <v>2384</v>
      </c>
      <c r="AM650" s="844" t="s">
        <v>857</v>
      </c>
      <c r="AN650" s="844" t="s">
        <v>2743</v>
      </c>
    </row>
    <row r="651" spans="1:40">
      <c r="A651" t="s">
        <v>6408</v>
      </c>
      <c r="B651" t="s">
        <v>981</v>
      </c>
      <c r="C651" t="s">
        <v>19</v>
      </c>
      <c r="E651" t="s">
        <v>18</v>
      </c>
      <c r="F651" t="s">
        <v>3719</v>
      </c>
      <c r="M651" t="s">
        <v>4708</v>
      </c>
      <c r="N651" t="s">
        <v>992</v>
      </c>
      <c r="O651" t="s">
        <v>18</v>
      </c>
      <c r="P651" t="s">
        <v>3488</v>
      </c>
      <c r="T651" t="s">
        <v>981</v>
      </c>
      <c r="U651" t="s">
        <v>19</v>
      </c>
      <c r="V651" t="s">
        <v>18</v>
      </c>
      <c r="W651" t="s">
        <v>857</v>
      </c>
      <c r="AC651" t="s">
        <v>996</v>
      </c>
      <c r="AD651" t="s">
        <v>19</v>
      </c>
      <c r="AE651" t="s">
        <v>857</v>
      </c>
      <c r="AF651" t="s">
        <v>3449</v>
      </c>
      <c r="AJ651" s="844" t="s">
        <v>5822</v>
      </c>
      <c r="AK651" s="844" t="s">
        <v>1068</v>
      </c>
      <c r="AL651" s="844" t="s">
        <v>2384</v>
      </c>
      <c r="AM651" s="844" t="s">
        <v>53</v>
      </c>
      <c r="AN651" s="844" t="s">
        <v>2743</v>
      </c>
    </row>
    <row r="652" spans="1:40">
      <c r="A652" t="s">
        <v>5183</v>
      </c>
      <c r="B652" t="s">
        <v>981</v>
      </c>
      <c r="C652" t="s">
        <v>816</v>
      </c>
      <c r="D652" t="s">
        <v>3712</v>
      </c>
      <c r="E652" t="s">
        <v>18</v>
      </c>
      <c r="F652" t="s">
        <v>3713</v>
      </c>
      <c r="M652" t="s">
        <v>4708</v>
      </c>
      <c r="N652" t="s">
        <v>992</v>
      </c>
      <c r="O652" t="s">
        <v>18</v>
      </c>
      <c r="P652" t="s">
        <v>3487</v>
      </c>
      <c r="T652" t="s">
        <v>981</v>
      </c>
      <c r="U652" t="s">
        <v>816</v>
      </c>
      <c r="V652" t="s">
        <v>53</v>
      </c>
      <c r="W652" t="s">
        <v>857</v>
      </c>
      <c r="AC652" t="s">
        <v>996</v>
      </c>
      <c r="AD652" t="s">
        <v>19</v>
      </c>
      <c r="AE652" t="s">
        <v>18</v>
      </c>
      <c r="AF652" t="s">
        <v>857</v>
      </c>
      <c r="AJ652" s="844" t="s">
        <v>5825</v>
      </c>
      <c r="AK652" s="844" t="s">
        <v>1068</v>
      </c>
      <c r="AL652" s="844" t="s">
        <v>2416</v>
      </c>
      <c r="AM652" s="844" t="s">
        <v>53</v>
      </c>
      <c r="AN652" s="844" t="s">
        <v>2743</v>
      </c>
    </row>
    <row r="653" spans="1:40">
      <c r="A653" t="s">
        <v>6411</v>
      </c>
      <c r="B653" t="s">
        <v>981</v>
      </c>
      <c r="C653" t="s">
        <v>816</v>
      </c>
      <c r="D653" t="s">
        <v>3712</v>
      </c>
      <c r="F653" t="s">
        <v>3983</v>
      </c>
      <c r="M653" t="s">
        <v>4708</v>
      </c>
      <c r="N653" t="s">
        <v>992</v>
      </c>
      <c r="O653" t="s">
        <v>18</v>
      </c>
      <c r="P653" t="s">
        <v>3485</v>
      </c>
      <c r="T653" t="s">
        <v>981</v>
      </c>
      <c r="U653" t="s">
        <v>816</v>
      </c>
      <c r="V653" t="s">
        <v>53</v>
      </c>
      <c r="W653" t="s">
        <v>857</v>
      </c>
      <c r="AC653" t="s">
        <v>996</v>
      </c>
      <c r="AD653" t="s">
        <v>19</v>
      </c>
      <c r="AE653" t="s">
        <v>18</v>
      </c>
      <c r="AF653" t="s">
        <v>3449</v>
      </c>
      <c r="AJ653" s="844" t="s">
        <v>5828</v>
      </c>
      <c r="AK653" s="844" t="s">
        <v>1068</v>
      </c>
      <c r="AL653" s="844" t="s">
        <v>816</v>
      </c>
      <c r="AM653" s="844" t="s">
        <v>53</v>
      </c>
      <c r="AN653" s="844" t="s">
        <v>2743</v>
      </c>
    </row>
    <row r="654" spans="1:40">
      <c r="A654" t="s">
        <v>6409</v>
      </c>
      <c r="B654" t="s">
        <v>981</v>
      </c>
      <c r="C654" t="s">
        <v>816</v>
      </c>
      <c r="E654" t="s">
        <v>53</v>
      </c>
      <c r="F654" t="s">
        <v>3723</v>
      </c>
      <c r="M654" t="s">
        <v>4709</v>
      </c>
      <c r="N654" t="s">
        <v>993</v>
      </c>
      <c r="O654" t="s">
        <v>18</v>
      </c>
      <c r="P654" t="s">
        <v>3484</v>
      </c>
      <c r="T654" t="s">
        <v>981</v>
      </c>
      <c r="U654" t="s">
        <v>816</v>
      </c>
      <c r="V654" t="s">
        <v>53</v>
      </c>
      <c r="W654" t="s">
        <v>857</v>
      </c>
      <c r="AC654" t="s">
        <v>996</v>
      </c>
      <c r="AD654" t="s">
        <v>19</v>
      </c>
      <c r="AE654" t="s">
        <v>18</v>
      </c>
      <c r="AF654" t="s">
        <v>3447</v>
      </c>
      <c r="AJ654" s="844" t="s">
        <v>5828</v>
      </c>
      <c r="AK654" s="844" t="s">
        <v>1068</v>
      </c>
      <c r="AL654" s="844" t="s">
        <v>816</v>
      </c>
      <c r="AM654" s="844" t="s">
        <v>53</v>
      </c>
      <c r="AN654" s="844" t="s">
        <v>2636</v>
      </c>
    </row>
    <row r="655" spans="1:40">
      <c r="A655" t="s">
        <v>6409</v>
      </c>
      <c r="B655" t="s">
        <v>981</v>
      </c>
      <c r="C655" t="s">
        <v>816</v>
      </c>
      <c r="E655" t="s">
        <v>53</v>
      </c>
      <c r="F655" t="s">
        <v>3718</v>
      </c>
      <c r="M655" t="s">
        <v>4709</v>
      </c>
      <c r="N655" t="s">
        <v>993</v>
      </c>
      <c r="O655" t="s">
        <v>18</v>
      </c>
      <c r="P655" t="s">
        <v>3483</v>
      </c>
      <c r="T655" t="s">
        <v>981</v>
      </c>
      <c r="U655" t="s">
        <v>816</v>
      </c>
      <c r="V655" t="s">
        <v>18</v>
      </c>
      <c r="W655" t="s">
        <v>857</v>
      </c>
      <c r="AC655" t="s">
        <v>996</v>
      </c>
      <c r="AD655" t="s">
        <v>2384</v>
      </c>
      <c r="AE655" t="s">
        <v>857</v>
      </c>
      <c r="AF655" t="s">
        <v>3449</v>
      </c>
      <c r="AJ655" s="844" t="s">
        <v>5831</v>
      </c>
      <c r="AK655" s="844" t="s">
        <v>1069</v>
      </c>
      <c r="AL655" s="844" t="s">
        <v>818</v>
      </c>
      <c r="AM655" s="844" t="s">
        <v>857</v>
      </c>
      <c r="AN655" s="844" t="s">
        <v>2727</v>
      </c>
    </row>
    <row r="656" spans="1:40">
      <c r="A656" t="s">
        <v>6409</v>
      </c>
      <c r="B656" t="s">
        <v>981</v>
      </c>
      <c r="C656" t="s">
        <v>816</v>
      </c>
      <c r="E656" t="s">
        <v>53</v>
      </c>
      <c r="F656" t="s">
        <v>3714</v>
      </c>
      <c r="M656" t="s">
        <v>4709</v>
      </c>
      <c r="N656" t="s">
        <v>993</v>
      </c>
      <c r="O656" t="s">
        <v>18</v>
      </c>
      <c r="P656" t="s">
        <v>3482</v>
      </c>
      <c r="T656" t="s">
        <v>981</v>
      </c>
      <c r="U656" t="s">
        <v>816</v>
      </c>
      <c r="V656" t="s">
        <v>18</v>
      </c>
      <c r="W656" t="s">
        <v>857</v>
      </c>
      <c r="AC656" t="s">
        <v>996</v>
      </c>
      <c r="AD656" t="s">
        <v>816</v>
      </c>
      <c r="AE656" t="s">
        <v>857</v>
      </c>
      <c r="AF656" t="s">
        <v>857</v>
      </c>
      <c r="AJ656" s="844" t="s">
        <v>5834</v>
      </c>
      <c r="AK656" s="844" t="s">
        <v>1069</v>
      </c>
      <c r="AL656" s="844" t="s">
        <v>818</v>
      </c>
      <c r="AM656" s="844" t="s">
        <v>53</v>
      </c>
      <c r="AN656" s="844" t="s">
        <v>2727</v>
      </c>
    </row>
    <row r="657" spans="1:40">
      <c r="A657" t="s">
        <v>6410</v>
      </c>
      <c r="B657" t="s">
        <v>981</v>
      </c>
      <c r="C657" t="s">
        <v>816</v>
      </c>
      <c r="E657" t="s">
        <v>18</v>
      </c>
      <c r="F657" t="s">
        <v>3724</v>
      </c>
      <c r="M657" t="s">
        <v>4710</v>
      </c>
      <c r="N657" t="s">
        <v>994</v>
      </c>
      <c r="O657" t="s">
        <v>18</v>
      </c>
      <c r="P657" t="s">
        <v>3480</v>
      </c>
      <c r="T657" t="s">
        <v>981</v>
      </c>
      <c r="U657" t="s">
        <v>816</v>
      </c>
      <c r="V657" t="s">
        <v>857</v>
      </c>
      <c r="W657" t="s">
        <v>3712</v>
      </c>
      <c r="AC657" t="s">
        <v>996</v>
      </c>
      <c r="AD657" t="s">
        <v>816</v>
      </c>
      <c r="AE657" t="s">
        <v>18</v>
      </c>
      <c r="AF657" t="s">
        <v>857</v>
      </c>
      <c r="AJ657" s="844" t="s">
        <v>5838</v>
      </c>
      <c r="AK657" s="844" t="s">
        <v>1070</v>
      </c>
      <c r="AL657" s="844" t="s">
        <v>818</v>
      </c>
      <c r="AM657" s="844" t="s">
        <v>857</v>
      </c>
      <c r="AN657" s="844" t="s">
        <v>2770</v>
      </c>
    </row>
    <row r="658" spans="1:40">
      <c r="A658" t="s">
        <v>6410</v>
      </c>
      <c r="B658" t="s">
        <v>981</v>
      </c>
      <c r="C658" t="s">
        <v>816</v>
      </c>
      <c r="E658" t="s">
        <v>18</v>
      </c>
      <c r="F658" t="s">
        <v>3721</v>
      </c>
      <c r="M658" t="s">
        <v>4710</v>
      </c>
      <c r="N658" t="s">
        <v>994</v>
      </c>
      <c r="O658" t="s">
        <v>18</v>
      </c>
      <c r="P658" t="s">
        <v>3479</v>
      </c>
      <c r="T658" t="s">
        <v>981</v>
      </c>
      <c r="U658" t="s">
        <v>816</v>
      </c>
      <c r="V658" t="s">
        <v>18</v>
      </c>
      <c r="W658" t="s">
        <v>3712</v>
      </c>
      <c r="AC658" t="s">
        <v>996</v>
      </c>
      <c r="AD658" t="s">
        <v>816</v>
      </c>
      <c r="AE658" t="s">
        <v>18</v>
      </c>
      <c r="AF658" t="s">
        <v>3449</v>
      </c>
      <c r="AJ658" s="844" t="s">
        <v>5842</v>
      </c>
      <c r="AK658" s="844" t="s">
        <v>1070</v>
      </c>
      <c r="AL658" s="844" t="s">
        <v>818</v>
      </c>
      <c r="AM658" s="844" t="s">
        <v>18</v>
      </c>
      <c r="AN658" s="844" t="s">
        <v>2770</v>
      </c>
    </row>
    <row r="659" spans="1:40">
      <c r="A659" t="s">
        <v>5185</v>
      </c>
      <c r="B659" t="s">
        <v>982</v>
      </c>
      <c r="C659" t="s">
        <v>818</v>
      </c>
      <c r="D659" t="s">
        <v>3703</v>
      </c>
      <c r="E659" t="s">
        <v>18</v>
      </c>
      <c r="F659" t="s">
        <v>3704</v>
      </c>
      <c r="M659" t="s">
        <v>4710</v>
      </c>
      <c r="N659" t="s">
        <v>994</v>
      </c>
      <c r="O659" t="s">
        <v>18</v>
      </c>
      <c r="P659" t="s">
        <v>3478</v>
      </c>
      <c r="T659" t="s">
        <v>982</v>
      </c>
      <c r="U659" t="s">
        <v>818</v>
      </c>
      <c r="V659" t="s">
        <v>18</v>
      </c>
      <c r="W659" t="s">
        <v>857</v>
      </c>
      <c r="AC659" t="s">
        <v>996</v>
      </c>
      <c r="AD659" t="s">
        <v>816</v>
      </c>
      <c r="AE659" t="s">
        <v>18</v>
      </c>
      <c r="AF659" t="s">
        <v>3447</v>
      </c>
      <c r="AJ659" s="844" t="s">
        <v>5843</v>
      </c>
      <c r="AK659" s="844" t="s">
        <v>1070</v>
      </c>
      <c r="AL659" s="844" t="s">
        <v>19</v>
      </c>
      <c r="AM659" s="844" t="s">
        <v>857</v>
      </c>
      <c r="AN659" s="844" t="s">
        <v>2768</v>
      </c>
    </row>
    <row r="660" spans="1:40">
      <c r="A660" t="s">
        <v>5186</v>
      </c>
      <c r="B660" t="s">
        <v>982</v>
      </c>
      <c r="C660" t="s">
        <v>818</v>
      </c>
      <c r="D660" t="s">
        <v>3701</v>
      </c>
      <c r="E660" t="s">
        <v>18</v>
      </c>
      <c r="F660" t="s">
        <v>3702</v>
      </c>
      <c r="M660" t="s">
        <v>4710</v>
      </c>
      <c r="N660" t="s">
        <v>994</v>
      </c>
      <c r="O660" t="s">
        <v>18</v>
      </c>
      <c r="P660" t="s">
        <v>3477</v>
      </c>
      <c r="T660" t="s">
        <v>982</v>
      </c>
      <c r="U660" t="s">
        <v>818</v>
      </c>
      <c r="V660" t="s">
        <v>18</v>
      </c>
      <c r="W660" t="s">
        <v>857</v>
      </c>
      <c r="AC660" t="s">
        <v>997</v>
      </c>
      <c r="AD660" t="s">
        <v>19</v>
      </c>
      <c r="AE660" t="s">
        <v>857</v>
      </c>
      <c r="AF660" t="s">
        <v>2512</v>
      </c>
      <c r="AJ660" s="844" t="s">
        <v>5848</v>
      </c>
      <c r="AK660" s="844" t="s">
        <v>1070</v>
      </c>
      <c r="AL660" s="844" t="s">
        <v>19</v>
      </c>
      <c r="AM660" s="844" t="s">
        <v>18</v>
      </c>
      <c r="AN660" s="844" t="s">
        <v>2768</v>
      </c>
    </row>
    <row r="661" spans="1:40">
      <c r="A661" t="s">
        <v>5187</v>
      </c>
      <c r="B661" t="s">
        <v>982</v>
      </c>
      <c r="C661" t="s">
        <v>818</v>
      </c>
      <c r="D661" t="s">
        <v>3691</v>
      </c>
      <c r="E661" t="s">
        <v>18</v>
      </c>
      <c r="F661" t="s">
        <v>3700</v>
      </c>
      <c r="M661" t="s">
        <v>4711</v>
      </c>
      <c r="N661" t="s">
        <v>995</v>
      </c>
      <c r="O661" t="s">
        <v>18</v>
      </c>
      <c r="P661" t="s">
        <v>3476</v>
      </c>
      <c r="T661" t="s">
        <v>982</v>
      </c>
      <c r="U661" t="s">
        <v>818</v>
      </c>
      <c r="V661" t="s">
        <v>18</v>
      </c>
      <c r="W661" t="s">
        <v>857</v>
      </c>
      <c r="AC661" t="s">
        <v>997</v>
      </c>
      <c r="AD661" t="s">
        <v>19</v>
      </c>
      <c r="AE661" t="s">
        <v>18</v>
      </c>
      <c r="AF661" t="s">
        <v>857</v>
      </c>
      <c r="AJ661" s="844" t="s">
        <v>5848</v>
      </c>
      <c r="AK661" s="844" t="s">
        <v>1070</v>
      </c>
      <c r="AL661" s="844" t="s">
        <v>19</v>
      </c>
      <c r="AM661" s="844" t="s">
        <v>18</v>
      </c>
      <c r="AN661" s="844" t="s">
        <v>2765</v>
      </c>
    </row>
    <row r="662" spans="1:40">
      <c r="A662" t="s">
        <v>5188</v>
      </c>
      <c r="B662" t="s">
        <v>982</v>
      </c>
      <c r="C662" t="s">
        <v>818</v>
      </c>
      <c r="D662" t="s">
        <v>3698</v>
      </c>
      <c r="E662" t="s">
        <v>18</v>
      </c>
      <c r="F662" t="s">
        <v>3699</v>
      </c>
      <c r="M662" t="s">
        <v>4711</v>
      </c>
      <c r="N662" t="s">
        <v>995</v>
      </c>
      <c r="O662" t="s">
        <v>18</v>
      </c>
      <c r="P662" t="s">
        <v>3475</v>
      </c>
      <c r="T662" t="s">
        <v>982</v>
      </c>
      <c r="U662" t="s">
        <v>818</v>
      </c>
      <c r="V662" t="s">
        <v>18</v>
      </c>
      <c r="W662" t="s">
        <v>857</v>
      </c>
      <c r="AC662" t="s">
        <v>997</v>
      </c>
      <c r="AD662" t="s">
        <v>19</v>
      </c>
      <c r="AE662" t="s">
        <v>18</v>
      </c>
      <c r="AF662" t="s">
        <v>2512</v>
      </c>
      <c r="AJ662" s="844" t="s">
        <v>5851</v>
      </c>
      <c r="AK662" s="844" t="s">
        <v>1070</v>
      </c>
      <c r="AL662" s="844" t="s">
        <v>2384</v>
      </c>
      <c r="AM662" s="844" t="s">
        <v>18</v>
      </c>
      <c r="AN662" s="844" t="s">
        <v>2765</v>
      </c>
    </row>
    <row r="663" spans="1:40">
      <c r="A663" t="s">
        <v>6413</v>
      </c>
      <c r="B663" t="s">
        <v>982</v>
      </c>
      <c r="C663" t="s">
        <v>818</v>
      </c>
      <c r="D663" t="s">
        <v>3696</v>
      </c>
      <c r="F663" t="s">
        <v>3697</v>
      </c>
      <c r="M663" t="s">
        <v>4711</v>
      </c>
      <c r="N663" t="s">
        <v>995</v>
      </c>
      <c r="O663" t="s">
        <v>18</v>
      </c>
      <c r="P663" t="s">
        <v>3474</v>
      </c>
      <c r="T663" t="s">
        <v>982</v>
      </c>
      <c r="U663" t="s">
        <v>818</v>
      </c>
      <c r="V663" t="s">
        <v>18</v>
      </c>
      <c r="W663" t="s">
        <v>857</v>
      </c>
      <c r="AC663" t="s">
        <v>997</v>
      </c>
      <c r="AD663" t="s">
        <v>2384</v>
      </c>
      <c r="AE663" t="s">
        <v>857</v>
      </c>
      <c r="AF663" t="s">
        <v>2512</v>
      </c>
      <c r="AJ663" s="844" t="s">
        <v>5854</v>
      </c>
      <c r="AK663" s="844" t="s">
        <v>1070</v>
      </c>
      <c r="AL663" s="844" t="s">
        <v>816</v>
      </c>
      <c r="AM663" s="844" t="s">
        <v>18</v>
      </c>
      <c r="AN663" s="844" t="s">
        <v>2765</v>
      </c>
    </row>
    <row r="664" spans="1:40">
      <c r="A664" t="s">
        <v>6412</v>
      </c>
      <c r="B664" t="s">
        <v>982</v>
      </c>
      <c r="C664" t="s">
        <v>818</v>
      </c>
      <c r="E664" t="s">
        <v>18</v>
      </c>
      <c r="F664" t="s">
        <v>3711</v>
      </c>
      <c r="M664" t="s">
        <v>4711</v>
      </c>
      <c r="N664" t="s">
        <v>995</v>
      </c>
      <c r="O664" t="s">
        <v>18</v>
      </c>
      <c r="P664" t="s">
        <v>3473</v>
      </c>
      <c r="T664" t="s">
        <v>982</v>
      </c>
      <c r="U664" t="s">
        <v>818</v>
      </c>
      <c r="V664" t="s">
        <v>18</v>
      </c>
      <c r="W664" t="s">
        <v>857</v>
      </c>
      <c r="AC664" t="s">
        <v>997</v>
      </c>
      <c r="AD664" t="s">
        <v>2384</v>
      </c>
      <c r="AE664" t="s">
        <v>18</v>
      </c>
      <c r="AF664" t="s">
        <v>2512</v>
      </c>
      <c r="AJ664" s="844" t="s">
        <v>5856</v>
      </c>
      <c r="AK664" s="844" t="s">
        <v>1071</v>
      </c>
      <c r="AL664" s="844" t="s">
        <v>19</v>
      </c>
      <c r="AM664" s="844" t="s">
        <v>857</v>
      </c>
      <c r="AN664" s="844" t="s">
        <v>2778</v>
      </c>
    </row>
    <row r="665" spans="1:40">
      <c r="A665" t="s">
        <v>6412</v>
      </c>
      <c r="B665" t="s">
        <v>982</v>
      </c>
      <c r="C665" t="s">
        <v>818</v>
      </c>
      <c r="E665" t="s">
        <v>18</v>
      </c>
      <c r="F665" t="s">
        <v>3689</v>
      </c>
      <c r="M665" t="s">
        <v>4711</v>
      </c>
      <c r="N665" t="s">
        <v>995</v>
      </c>
      <c r="O665" t="s">
        <v>18</v>
      </c>
      <c r="P665" t="s">
        <v>3472</v>
      </c>
      <c r="T665" t="s">
        <v>982</v>
      </c>
      <c r="U665" t="s">
        <v>818</v>
      </c>
      <c r="V665" t="s">
        <v>18</v>
      </c>
      <c r="W665" t="s">
        <v>3703</v>
      </c>
      <c r="AC665" t="s">
        <v>997</v>
      </c>
      <c r="AD665" t="s">
        <v>816</v>
      </c>
      <c r="AE665" t="s">
        <v>857</v>
      </c>
      <c r="AF665" t="s">
        <v>2512</v>
      </c>
      <c r="AJ665" s="844" t="s">
        <v>5860</v>
      </c>
      <c r="AK665" s="844" t="s">
        <v>1071</v>
      </c>
      <c r="AL665" s="844" t="s">
        <v>19</v>
      </c>
      <c r="AM665" s="844" t="s">
        <v>18</v>
      </c>
      <c r="AN665" s="844" t="s">
        <v>2778</v>
      </c>
    </row>
    <row r="666" spans="1:40">
      <c r="A666" t="s">
        <v>6412</v>
      </c>
      <c r="B666" t="s">
        <v>982</v>
      </c>
      <c r="C666" t="s">
        <v>818</v>
      </c>
      <c r="E666" t="s">
        <v>18</v>
      </c>
      <c r="F666" t="s">
        <v>3688</v>
      </c>
      <c r="M666" t="s">
        <v>4711</v>
      </c>
      <c r="N666" t="s">
        <v>995</v>
      </c>
      <c r="O666" t="s">
        <v>18</v>
      </c>
      <c r="P666" t="s">
        <v>3470</v>
      </c>
      <c r="T666" t="s">
        <v>982</v>
      </c>
      <c r="U666" t="s">
        <v>818</v>
      </c>
      <c r="V666" t="s">
        <v>18</v>
      </c>
      <c r="W666" t="s">
        <v>3701</v>
      </c>
      <c r="AC666" t="s">
        <v>997</v>
      </c>
      <c r="AD666" t="s">
        <v>816</v>
      </c>
      <c r="AE666" t="s">
        <v>18</v>
      </c>
      <c r="AF666" t="s">
        <v>857</v>
      </c>
      <c r="AJ666" s="844" t="s">
        <v>5861</v>
      </c>
      <c r="AK666" s="844" t="s">
        <v>1071</v>
      </c>
      <c r="AL666" s="844" t="s">
        <v>2384</v>
      </c>
      <c r="AM666" s="844" t="s">
        <v>857</v>
      </c>
      <c r="AN666" s="844" t="s">
        <v>2778</v>
      </c>
    </row>
    <row r="667" spans="1:40">
      <c r="A667" t="s">
        <v>6412</v>
      </c>
      <c r="B667" t="s">
        <v>982</v>
      </c>
      <c r="C667" t="s">
        <v>818</v>
      </c>
      <c r="E667" t="s">
        <v>18</v>
      </c>
      <c r="F667" t="s">
        <v>3687</v>
      </c>
      <c r="M667" t="s">
        <v>4711</v>
      </c>
      <c r="N667" t="s">
        <v>995</v>
      </c>
      <c r="O667" t="s">
        <v>18</v>
      </c>
      <c r="P667" t="s">
        <v>3469</v>
      </c>
      <c r="T667" t="s">
        <v>982</v>
      </c>
      <c r="U667" t="s">
        <v>818</v>
      </c>
      <c r="V667" t="s">
        <v>18</v>
      </c>
      <c r="W667" t="s">
        <v>3691</v>
      </c>
      <c r="AC667" t="s">
        <v>997</v>
      </c>
      <c r="AD667" t="s">
        <v>816</v>
      </c>
      <c r="AE667" t="s">
        <v>18</v>
      </c>
      <c r="AF667" t="s">
        <v>2512</v>
      </c>
      <c r="AJ667" s="844" t="s">
        <v>5864</v>
      </c>
      <c r="AK667" s="844" t="s">
        <v>1071</v>
      </c>
      <c r="AL667" s="844" t="s">
        <v>2384</v>
      </c>
      <c r="AM667" s="844" t="s">
        <v>18</v>
      </c>
      <c r="AN667" s="844" t="s">
        <v>2778</v>
      </c>
    </row>
    <row r="668" spans="1:40">
      <c r="A668" t="s">
        <v>6412</v>
      </c>
      <c r="B668" t="s">
        <v>982</v>
      </c>
      <c r="C668" t="s">
        <v>818</v>
      </c>
      <c r="E668" t="s">
        <v>18</v>
      </c>
      <c r="F668" t="s">
        <v>3686</v>
      </c>
      <c r="M668" t="s">
        <v>4712</v>
      </c>
      <c r="N668" t="s">
        <v>996</v>
      </c>
      <c r="O668" t="s">
        <v>18</v>
      </c>
      <c r="P668" t="s">
        <v>3467</v>
      </c>
      <c r="T668" t="s">
        <v>982</v>
      </c>
      <c r="U668" t="s">
        <v>818</v>
      </c>
      <c r="V668" t="s">
        <v>18</v>
      </c>
      <c r="W668" t="s">
        <v>3698</v>
      </c>
      <c r="AC668" t="s">
        <v>998</v>
      </c>
      <c r="AD668" t="s">
        <v>818</v>
      </c>
      <c r="AE668" t="s">
        <v>857</v>
      </c>
      <c r="AF668" t="s">
        <v>2949</v>
      </c>
      <c r="AJ668" s="844" t="s">
        <v>5867</v>
      </c>
      <c r="AK668" s="844" t="s">
        <v>1071</v>
      </c>
      <c r="AL668" s="844" t="s">
        <v>816</v>
      </c>
      <c r="AM668" s="844" t="s">
        <v>18</v>
      </c>
      <c r="AN668" s="844" t="s">
        <v>2778</v>
      </c>
    </row>
    <row r="669" spans="1:40">
      <c r="A669" t="s">
        <v>6412</v>
      </c>
      <c r="B669" t="s">
        <v>982</v>
      </c>
      <c r="C669" t="s">
        <v>818</v>
      </c>
      <c r="E669" t="s">
        <v>18</v>
      </c>
      <c r="F669" t="s">
        <v>3685</v>
      </c>
      <c r="M669" t="s">
        <v>4712</v>
      </c>
      <c r="N669" t="s">
        <v>996</v>
      </c>
      <c r="O669" t="s">
        <v>18</v>
      </c>
      <c r="P669" t="s">
        <v>3466</v>
      </c>
      <c r="T669" t="s">
        <v>982</v>
      </c>
      <c r="U669" t="s">
        <v>818</v>
      </c>
      <c r="V669" t="s">
        <v>857</v>
      </c>
      <c r="W669" t="s">
        <v>3696</v>
      </c>
      <c r="AC669" t="s">
        <v>998</v>
      </c>
      <c r="AD669" t="s">
        <v>818</v>
      </c>
      <c r="AE669" t="s">
        <v>53</v>
      </c>
      <c r="AF669" t="s">
        <v>857</v>
      </c>
      <c r="AJ669" s="844" t="s">
        <v>5868</v>
      </c>
      <c r="AK669" s="844" t="s">
        <v>1072</v>
      </c>
      <c r="AL669" s="844" t="s">
        <v>818</v>
      </c>
      <c r="AM669" s="844" t="s">
        <v>857</v>
      </c>
      <c r="AN669" s="844" t="s">
        <v>2512</v>
      </c>
    </row>
    <row r="670" spans="1:40">
      <c r="A670" t="s">
        <v>5191</v>
      </c>
      <c r="B670" t="s">
        <v>982</v>
      </c>
      <c r="C670" t="s">
        <v>19</v>
      </c>
      <c r="D670" t="s">
        <v>3694</v>
      </c>
      <c r="E670" t="s">
        <v>18</v>
      </c>
      <c r="F670" t="s">
        <v>3695</v>
      </c>
      <c r="M670" t="s">
        <v>4712</v>
      </c>
      <c r="N670" t="s">
        <v>996</v>
      </c>
      <c r="O670" t="s">
        <v>18</v>
      </c>
      <c r="P670" t="s">
        <v>3465</v>
      </c>
      <c r="T670" t="s">
        <v>982</v>
      </c>
      <c r="U670" t="s">
        <v>19</v>
      </c>
      <c r="V670" t="s">
        <v>857</v>
      </c>
      <c r="W670" t="s">
        <v>857</v>
      </c>
      <c r="AC670" t="s">
        <v>998</v>
      </c>
      <c r="AD670" t="s">
        <v>818</v>
      </c>
      <c r="AE670" t="s">
        <v>53</v>
      </c>
      <c r="AF670" t="s">
        <v>2949</v>
      </c>
      <c r="AJ670" s="844" t="s">
        <v>5873</v>
      </c>
      <c r="AK670" s="844" t="s">
        <v>1072</v>
      </c>
      <c r="AL670" s="844" t="s">
        <v>818</v>
      </c>
      <c r="AM670" s="844" t="s">
        <v>18</v>
      </c>
      <c r="AN670" s="844" t="s">
        <v>2512</v>
      </c>
    </row>
    <row r="671" spans="1:40">
      <c r="A671" t="s">
        <v>6627</v>
      </c>
      <c r="B671" t="s">
        <v>982</v>
      </c>
      <c r="C671" t="s">
        <v>19</v>
      </c>
      <c r="D671" t="s">
        <v>3694</v>
      </c>
      <c r="F671" t="s">
        <v>4138</v>
      </c>
      <c r="M671" t="s">
        <v>4712</v>
      </c>
      <c r="N671" t="s">
        <v>996</v>
      </c>
      <c r="O671" t="s">
        <v>18</v>
      </c>
      <c r="P671" t="s">
        <v>3464</v>
      </c>
      <c r="T671" t="s">
        <v>982</v>
      </c>
      <c r="U671" t="s">
        <v>19</v>
      </c>
      <c r="V671" t="s">
        <v>857</v>
      </c>
      <c r="W671" t="s">
        <v>857</v>
      </c>
      <c r="AC671" t="s">
        <v>998</v>
      </c>
      <c r="AD671" t="s">
        <v>816</v>
      </c>
      <c r="AE671" t="s">
        <v>857</v>
      </c>
      <c r="AF671" t="s">
        <v>2949</v>
      </c>
      <c r="AJ671" s="844" t="s">
        <v>5874</v>
      </c>
      <c r="AK671" s="844" t="s">
        <v>1072</v>
      </c>
      <c r="AL671" s="844" t="s">
        <v>19</v>
      </c>
      <c r="AM671" s="844" t="s">
        <v>857</v>
      </c>
      <c r="AN671" s="844" t="s">
        <v>2512</v>
      </c>
    </row>
    <row r="672" spans="1:40">
      <c r="A672" t="s">
        <v>5192</v>
      </c>
      <c r="B672" t="s">
        <v>982</v>
      </c>
      <c r="C672" t="s">
        <v>19</v>
      </c>
      <c r="D672" t="s">
        <v>3691</v>
      </c>
      <c r="E672" t="s">
        <v>18</v>
      </c>
      <c r="F672" t="s">
        <v>3693</v>
      </c>
      <c r="M672" t="s">
        <v>4712</v>
      </c>
      <c r="N672" t="s">
        <v>996</v>
      </c>
      <c r="O672" t="s">
        <v>18</v>
      </c>
      <c r="P672" t="s">
        <v>3463</v>
      </c>
      <c r="T672" t="s">
        <v>982</v>
      </c>
      <c r="U672" t="s">
        <v>19</v>
      </c>
      <c r="V672" t="s">
        <v>18</v>
      </c>
      <c r="W672" t="s">
        <v>857</v>
      </c>
      <c r="AC672" t="s">
        <v>998</v>
      </c>
      <c r="AD672" t="s">
        <v>816</v>
      </c>
      <c r="AE672" t="s">
        <v>53</v>
      </c>
      <c r="AF672" t="s">
        <v>857</v>
      </c>
      <c r="AJ672" s="844" t="s">
        <v>5879</v>
      </c>
      <c r="AK672" s="844" t="s">
        <v>1072</v>
      </c>
      <c r="AL672" s="844" t="s">
        <v>19</v>
      </c>
      <c r="AM672" s="844" t="s">
        <v>18</v>
      </c>
      <c r="AN672" s="844" t="s">
        <v>2512</v>
      </c>
    </row>
    <row r="673" spans="1:40">
      <c r="A673" t="s">
        <v>6414</v>
      </c>
      <c r="B673" t="s">
        <v>982</v>
      </c>
      <c r="C673" t="s">
        <v>19</v>
      </c>
      <c r="E673" t="s">
        <v>18</v>
      </c>
      <c r="F673" t="s">
        <v>3709</v>
      </c>
      <c r="M673" t="s">
        <v>4712</v>
      </c>
      <c r="N673" t="s">
        <v>996</v>
      </c>
      <c r="O673" t="s">
        <v>18</v>
      </c>
      <c r="P673" t="s">
        <v>3462</v>
      </c>
      <c r="T673" t="s">
        <v>982</v>
      </c>
      <c r="U673" t="s">
        <v>19</v>
      </c>
      <c r="V673" t="s">
        <v>18</v>
      </c>
      <c r="W673" t="s">
        <v>857</v>
      </c>
      <c r="AC673" t="s">
        <v>998</v>
      </c>
      <c r="AD673" t="s">
        <v>816</v>
      </c>
      <c r="AE673" t="s">
        <v>53</v>
      </c>
      <c r="AF673" t="s">
        <v>2949</v>
      </c>
      <c r="AJ673" s="844" t="s">
        <v>5881</v>
      </c>
      <c r="AK673" s="844" t="s">
        <v>1072</v>
      </c>
      <c r="AL673" s="844" t="s">
        <v>816</v>
      </c>
      <c r="AM673" s="844" t="s">
        <v>857</v>
      </c>
      <c r="AN673" s="844" t="s">
        <v>4202</v>
      </c>
    </row>
    <row r="674" spans="1:40">
      <c r="A674" t="s">
        <v>6414</v>
      </c>
      <c r="B674" t="s">
        <v>982</v>
      </c>
      <c r="C674" t="s">
        <v>19</v>
      </c>
      <c r="E674" t="s">
        <v>18</v>
      </c>
      <c r="F674" t="s">
        <v>3708</v>
      </c>
      <c r="M674" t="s">
        <v>4712</v>
      </c>
      <c r="N674" t="s">
        <v>996</v>
      </c>
      <c r="O674" t="s">
        <v>18</v>
      </c>
      <c r="P674" t="s">
        <v>3461</v>
      </c>
      <c r="T674" t="s">
        <v>982</v>
      </c>
      <c r="U674" t="s">
        <v>19</v>
      </c>
      <c r="V674" t="s">
        <v>18</v>
      </c>
      <c r="W674" t="s">
        <v>857</v>
      </c>
      <c r="AC674" t="s">
        <v>998</v>
      </c>
      <c r="AD674" t="s">
        <v>816</v>
      </c>
      <c r="AE674" t="s">
        <v>18</v>
      </c>
      <c r="AF674" t="s">
        <v>857</v>
      </c>
      <c r="AJ674" s="844" t="s">
        <v>5884</v>
      </c>
      <c r="AK674" s="844" t="s">
        <v>1072</v>
      </c>
      <c r="AL674" s="844" t="s">
        <v>816</v>
      </c>
      <c r="AM674" s="844" t="s">
        <v>18</v>
      </c>
      <c r="AN674" s="844" t="s">
        <v>2732</v>
      </c>
    </row>
    <row r="675" spans="1:40">
      <c r="A675" t="s">
        <v>6414</v>
      </c>
      <c r="B675" t="s">
        <v>982</v>
      </c>
      <c r="C675" t="s">
        <v>19</v>
      </c>
      <c r="E675" t="s">
        <v>18</v>
      </c>
      <c r="F675" t="s">
        <v>3707</v>
      </c>
      <c r="M675" t="s">
        <v>4712</v>
      </c>
      <c r="N675" t="s">
        <v>996</v>
      </c>
      <c r="O675" t="s">
        <v>18</v>
      </c>
      <c r="P675" t="s">
        <v>3460</v>
      </c>
      <c r="T675" t="s">
        <v>982</v>
      </c>
      <c r="U675" t="s">
        <v>19</v>
      </c>
      <c r="V675" t="s">
        <v>18</v>
      </c>
      <c r="W675" t="s">
        <v>857</v>
      </c>
      <c r="AC675" t="s">
        <v>999</v>
      </c>
      <c r="AD675" t="s">
        <v>818</v>
      </c>
      <c r="AE675" t="s">
        <v>18</v>
      </c>
      <c r="AF675" t="s">
        <v>857</v>
      </c>
      <c r="AJ675" s="844" t="s">
        <v>5893</v>
      </c>
      <c r="AK675" s="844" t="s">
        <v>1073</v>
      </c>
      <c r="AL675" s="844" t="s">
        <v>818</v>
      </c>
      <c r="AM675" s="844" t="s">
        <v>18</v>
      </c>
      <c r="AN675" s="844" t="s">
        <v>2447</v>
      </c>
    </row>
    <row r="676" spans="1:40">
      <c r="A676" t="s">
        <v>6414</v>
      </c>
      <c r="B676" t="s">
        <v>982</v>
      </c>
      <c r="C676" t="s">
        <v>19</v>
      </c>
      <c r="E676" t="s">
        <v>18</v>
      </c>
      <c r="F676" t="s">
        <v>3706</v>
      </c>
      <c r="M676" t="s">
        <v>4712</v>
      </c>
      <c r="N676" t="s">
        <v>996</v>
      </c>
      <c r="O676" t="s">
        <v>18</v>
      </c>
      <c r="P676" t="s">
        <v>3459</v>
      </c>
      <c r="T676" t="s">
        <v>982</v>
      </c>
      <c r="U676" t="s">
        <v>19</v>
      </c>
      <c r="V676" t="s">
        <v>857</v>
      </c>
      <c r="W676" t="s">
        <v>3694</v>
      </c>
      <c r="AC676" t="s">
        <v>999</v>
      </c>
      <c r="AD676" t="s">
        <v>818</v>
      </c>
      <c r="AE676" t="s">
        <v>18</v>
      </c>
      <c r="AF676" t="s">
        <v>2366</v>
      </c>
      <c r="AJ676" s="844" t="s">
        <v>5893</v>
      </c>
      <c r="AK676" s="844" t="s">
        <v>1073</v>
      </c>
      <c r="AL676" s="844" t="s">
        <v>818</v>
      </c>
      <c r="AM676" s="844" t="s">
        <v>18</v>
      </c>
      <c r="AN676" s="844" t="s">
        <v>2816</v>
      </c>
    </row>
    <row r="677" spans="1:40">
      <c r="A677" t="s">
        <v>5190</v>
      </c>
      <c r="B677" t="s">
        <v>982</v>
      </c>
      <c r="C677" t="s">
        <v>19</v>
      </c>
      <c r="F677" t="s">
        <v>3911</v>
      </c>
      <c r="M677" t="s">
        <v>4712</v>
      </c>
      <c r="N677" t="s">
        <v>996</v>
      </c>
      <c r="O677" t="s">
        <v>18</v>
      </c>
      <c r="P677" t="s">
        <v>3458</v>
      </c>
      <c r="T677" t="s">
        <v>982</v>
      </c>
      <c r="U677" t="s">
        <v>19</v>
      </c>
      <c r="V677" t="s">
        <v>18</v>
      </c>
      <c r="W677" t="s">
        <v>3694</v>
      </c>
      <c r="AC677" t="s">
        <v>999</v>
      </c>
      <c r="AD677" t="s">
        <v>19</v>
      </c>
      <c r="AE677" t="s">
        <v>18</v>
      </c>
      <c r="AF677" t="s">
        <v>857</v>
      </c>
      <c r="AJ677" s="844" t="s">
        <v>5893</v>
      </c>
      <c r="AK677" s="844" t="s">
        <v>1073</v>
      </c>
      <c r="AL677" s="844" t="s">
        <v>818</v>
      </c>
      <c r="AM677" s="844" t="s">
        <v>18</v>
      </c>
      <c r="AN677" s="844" t="s">
        <v>2449</v>
      </c>
    </row>
    <row r="678" spans="1:40">
      <c r="A678" t="s">
        <v>5190</v>
      </c>
      <c r="B678" t="s">
        <v>982</v>
      </c>
      <c r="C678" t="s">
        <v>19</v>
      </c>
      <c r="F678" t="s">
        <v>3819</v>
      </c>
      <c r="M678" t="s">
        <v>4712</v>
      </c>
      <c r="N678" t="s">
        <v>996</v>
      </c>
      <c r="O678" t="s">
        <v>18</v>
      </c>
      <c r="P678" t="s">
        <v>3457</v>
      </c>
      <c r="T678" t="s">
        <v>982</v>
      </c>
      <c r="U678" t="s">
        <v>19</v>
      </c>
      <c r="V678" t="s">
        <v>18</v>
      </c>
      <c r="W678" t="s">
        <v>3691</v>
      </c>
      <c r="AC678" t="s">
        <v>999</v>
      </c>
      <c r="AD678" t="s">
        <v>19</v>
      </c>
      <c r="AE678" t="s">
        <v>18</v>
      </c>
      <c r="AF678" t="s">
        <v>2366</v>
      </c>
      <c r="AJ678" s="844" t="s">
        <v>5893</v>
      </c>
      <c r="AK678" s="844" t="s">
        <v>1073</v>
      </c>
      <c r="AL678" s="844" t="s">
        <v>818</v>
      </c>
      <c r="AM678" s="844" t="s">
        <v>18</v>
      </c>
      <c r="AN678" s="844" t="s">
        <v>2445</v>
      </c>
    </row>
    <row r="679" spans="1:40">
      <c r="A679" t="s">
        <v>6415</v>
      </c>
      <c r="B679" t="s">
        <v>982</v>
      </c>
      <c r="C679" t="s">
        <v>2384</v>
      </c>
      <c r="D679" t="s">
        <v>3691</v>
      </c>
      <c r="F679" t="s">
        <v>3705</v>
      </c>
      <c r="M679" t="s">
        <v>4712</v>
      </c>
      <c r="N679" t="s">
        <v>996</v>
      </c>
      <c r="O679" t="s">
        <v>18</v>
      </c>
      <c r="P679" t="s">
        <v>3456</v>
      </c>
      <c r="T679" t="s">
        <v>982</v>
      </c>
      <c r="U679" t="s">
        <v>2384</v>
      </c>
      <c r="V679" t="s">
        <v>857</v>
      </c>
      <c r="W679" t="s">
        <v>857</v>
      </c>
      <c r="AC679" t="s">
        <v>999</v>
      </c>
      <c r="AD679" t="s">
        <v>2384</v>
      </c>
      <c r="AE679" t="s">
        <v>857</v>
      </c>
      <c r="AF679" t="s">
        <v>857</v>
      </c>
      <c r="AJ679" s="844" t="s">
        <v>5893</v>
      </c>
      <c r="AK679" s="844" t="s">
        <v>1073</v>
      </c>
      <c r="AL679" s="844" t="s">
        <v>818</v>
      </c>
      <c r="AM679" s="844" t="s">
        <v>18</v>
      </c>
      <c r="AN679" s="844" t="s">
        <v>2443</v>
      </c>
    </row>
    <row r="680" spans="1:40">
      <c r="A680" t="s">
        <v>6416</v>
      </c>
      <c r="B680" t="s">
        <v>982</v>
      </c>
      <c r="C680" t="s">
        <v>2384</v>
      </c>
      <c r="D680" t="s">
        <v>3696</v>
      </c>
      <c r="F680" t="s">
        <v>4133</v>
      </c>
      <c r="M680" t="s">
        <v>4712</v>
      </c>
      <c r="N680" t="s">
        <v>996</v>
      </c>
      <c r="O680" t="s">
        <v>18</v>
      </c>
      <c r="P680" t="s">
        <v>3455</v>
      </c>
      <c r="T680" t="s">
        <v>982</v>
      </c>
      <c r="U680" t="s">
        <v>2384</v>
      </c>
      <c r="V680" t="s">
        <v>857</v>
      </c>
      <c r="W680" t="s">
        <v>857</v>
      </c>
      <c r="AC680" t="s">
        <v>999</v>
      </c>
      <c r="AD680" t="s">
        <v>2384</v>
      </c>
      <c r="AE680" t="s">
        <v>857</v>
      </c>
      <c r="AF680" t="s">
        <v>2366</v>
      </c>
      <c r="AJ680" s="844" t="s">
        <v>5893</v>
      </c>
      <c r="AK680" s="844" t="s">
        <v>1073</v>
      </c>
      <c r="AL680" s="844" t="s">
        <v>818</v>
      </c>
      <c r="AM680" s="844" t="s">
        <v>18</v>
      </c>
      <c r="AN680" s="844" t="s">
        <v>2441</v>
      </c>
    </row>
    <row r="681" spans="1:40">
      <c r="A681" t="s">
        <v>5194</v>
      </c>
      <c r="B681" t="s">
        <v>982</v>
      </c>
      <c r="C681" t="s">
        <v>2384</v>
      </c>
      <c r="F681" t="s">
        <v>3822</v>
      </c>
      <c r="M681" t="s">
        <v>4712</v>
      </c>
      <c r="N681" t="s">
        <v>996</v>
      </c>
      <c r="O681" t="s">
        <v>18</v>
      </c>
      <c r="P681" t="s">
        <v>3453</v>
      </c>
      <c r="T681" t="s">
        <v>982</v>
      </c>
      <c r="U681" t="s">
        <v>2384</v>
      </c>
      <c r="V681" t="s">
        <v>857</v>
      </c>
      <c r="W681" t="s">
        <v>3691</v>
      </c>
      <c r="AC681" t="s">
        <v>999</v>
      </c>
      <c r="AD681" t="s">
        <v>2384</v>
      </c>
      <c r="AE681" t="s">
        <v>18</v>
      </c>
      <c r="AF681" t="s">
        <v>2366</v>
      </c>
      <c r="AJ681" s="844" t="s">
        <v>5895</v>
      </c>
      <c r="AK681" s="844" t="s">
        <v>1073</v>
      </c>
      <c r="AL681" s="844" t="s">
        <v>2384</v>
      </c>
      <c r="AM681" s="844" t="s">
        <v>857</v>
      </c>
      <c r="AN681" s="844" t="s">
        <v>2457</v>
      </c>
    </row>
    <row r="682" spans="1:40">
      <c r="A682" t="s">
        <v>5194</v>
      </c>
      <c r="B682" t="s">
        <v>982</v>
      </c>
      <c r="C682" t="s">
        <v>2384</v>
      </c>
      <c r="F682" t="s">
        <v>3821</v>
      </c>
      <c r="M682" t="s">
        <v>4712</v>
      </c>
      <c r="N682" t="s">
        <v>996</v>
      </c>
      <c r="O682" t="s">
        <v>18</v>
      </c>
      <c r="P682" t="s">
        <v>3452</v>
      </c>
      <c r="T682" t="s">
        <v>982</v>
      </c>
      <c r="U682" t="s">
        <v>2384</v>
      </c>
      <c r="V682" t="s">
        <v>857</v>
      </c>
      <c r="W682" t="s">
        <v>3696</v>
      </c>
      <c r="AC682" t="s">
        <v>999</v>
      </c>
      <c r="AD682" t="s">
        <v>816</v>
      </c>
      <c r="AE682" t="s">
        <v>857</v>
      </c>
      <c r="AF682" t="s">
        <v>857</v>
      </c>
      <c r="AJ682" s="844" t="s">
        <v>5906</v>
      </c>
      <c r="AK682" s="844" t="s">
        <v>1073</v>
      </c>
      <c r="AL682" s="844" t="s">
        <v>2384</v>
      </c>
      <c r="AM682" s="844" t="s">
        <v>18</v>
      </c>
      <c r="AN682" s="844" t="s">
        <v>2457</v>
      </c>
    </row>
    <row r="683" spans="1:40">
      <c r="A683" t="s">
        <v>5195</v>
      </c>
      <c r="B683" t="s">
        <v>982</v>
      </c>
      <c r="C683" t="s">
        <v>2416</v>
      </c>
      <c r="F683" t="s">
        <v>4134</v>
      </c>
      <c r="M683" t="s">
        <v>4712</v>
      </c>
      <c r="N683" t="s">
        <v>996</v>
      </c>
      <c r="O683" t="s">
        <v>18</v>
      </c>
      <c r="P683" t="s">
        <v>3451</v>
      </c>
      <c r="T683" t="s">
        <v>982</v>
      </c>
      <c r="U683" t="s">
        <v>2416</v>
      </c>
      <c r="V683" t="s">
        <v>857</v>
      </c>
      <c r="W683" t="s">
        <v>857</v>
      </c>
      <c r="AC683" t="s">
        <v>999</v>
      </c>
      <c r="AD683" t="s">
        <v>816</v>
      </c>
      <c r="AE683" t="s">
        <v>18</v>
      </c>
      <c r="AF683" t="s">
        <v>857</v>
      </c>
      <c r="AJ683" s="844" t="s">
        <v>5906</v>
      </c>
      <c r="AK683" s="844" t="s">
        <v>1073</v>
      </c>
      <c r="AL683" s="844" t="s">
        <v>2384</v>
      </c>
      <c r="AM683" s="844" t="s">
        <v>18</v>
      </c>
      <c r="AN683" s="844" t="s">
        <v>2455</v>
      </c>
    </row>
    <row r="684" spans="1:40">
      <c r="A684" t="s">
        <v>5196</v>
      </c>
      <c r="B684" t="s">
        <v>982</v>
      </c>
      <c r="C684" t="s">
        <v>816</v>
      </c>
      <c r="D684" t="s">
        <v>3691</v>
      </c>
      <c r="E684" t="s">
        <v>18</v>
      </c>
      <c r="F684" t="s">
        <v>3692</v>
      </c>
      <c r="M684" t="s">
        <v>4712</v>
      </c>
      <c r="N684" t="s">
        <v>996</v>
      </c>
      <c r="O684" t="s">
        <v>18</v>
      </c>
      <c r="P684" t="s">
        <v>3450</v>
      </c>
      <c r="T684" t="s">
        <v>982</v>
      </c>
      <c r="U684" t="s">
        <v>816</v>
      </c>
      <c r="V684" t="s">
        <v>18</v>
      </c>
      <c r="W684" t="s">
        <v>857</v>
      </c>
      <c r="AC684" t="s">
        <v>999</v>
      </c>
      <c r="AD684" t="s">
        <v>816</v>
      </c>
      <c r="AE684" t="s">
        <v>18</v>
      </c>
      <c r="AF684" t="s">
        <v>2598</v>
      </c>
      <c r="AJ684" s="844" t="s">
        <v>5906</v>
      </c>
      <c r="AK684" s="844" t="s">
        <v>1073</v>
      </c>
      <c r="AL684" s="844" t="s">
        <v>2384</v>
      </c>
      <c r="AM684" s="844" t="s">
        <v>18</v>
      </c>
      <c r="AN684" s="844" t="s">
        <v>2453</v>
      </c>
    </row>
    <row r="685" spans="1:40">
      <c r="A685" t="s">
        <v>6417</v>
      </c>
      <c r="B685" t="s">
        <v>982</v>
      </c>
      <c r="C685" t="s">
        <v>816</v>
      </c>
      <c r="E685" t="s">
        <v>18</v>
      </c>
      <c r="F685" t="s">
        <v>3710</v>
      </c>
      <c r="M685" t="s">
        <v>4712</v>
      </c>
      <c r="N685" t="s">
        <v>996</v>
      </c>
      <c r="O685" t="s">
        <v>18</v>
      </c>
      <c r="P685" t="s">
        <v>3448</v>
      </c>
      <c r="T685" t="s">
        <v>982</v>
      </c>
      <c r="U685" t="s">
        <v>816</v>
      </c>
      <c r="V685" t="s">
        <v>18</v>
      </c>
      <c r="W685" t="s">
        <v>857</v>
      </c>
      <c r="AC685" t="s">
        <v>999</v>
      </c>
      <c r="AD685" t="s">
        <v>816</v>
      </c>
      <c r="AE685" t="s">
        <v>18</v>
      </c>
      <c r="AF685" t="s">
        <v>2366</v>
      </c>
      <c r="AJ685" s="844" t="s">
        <v>5906</v>
      </c>
      <c r="AK685" s="844" t="s">
        <v>1073</v>
      </c>
      <c r="AL685" s="844" t="s">
        <v>2384</v>
      </c>
      <c r="AM685" s="844" t="s">
        <v>18</v>
      </c>
      <c r="AN685" s="844" t="s">
        <v>2451</v>
      </c>
    </row>
    <row r="686" spans="1:40">
      <c r="A686" t="s">
        <v>6417</v>
      </c>
      <c r="B686" t="s">
        <v>982</v>
      </c>
      <c r="C686" t="s">
        <v>816</v>
      </c>
      <c r="E686" t="s">
        <v>18</v>
      </c>
      <c r="F686" t="s">
        <v>3690</v>
      </c>
      <c r="M686" t="s">
        <v>4816</v>
      </c>
      <c r="N686" t="s">
        <v>997</v>
      </c>
      <c r="O686" t="s">
        <v>18</v>
      </c>
      <c r="P686" t="s">
        <v>2992</v>
      </c>
      <c r="T686" t="s">
        <v>982</v>
      </c>
      <c r="U686" t="s">
        <v>816</v>
      </c>
      <c r="V686" t="s">
        <v>18</v>
      </c>
      <c r="W686" t="s">
        <v>3691</v>
      </c>
      <c r="AC686" t="s">
        <v>1000</v>
      </c>
      <c r="AD686" t="s">
        <v>818</v>
      </c>
      <c r="AE686" t="s">
        <v>857</v>
      </c>
      <c r="AF686" t="s">
        <v>3397</v>
      </c>
      <c r="AJ686" s="844" t="s">
        <v>5906</v>
      </c>
      <c r="AK686" s="844" t="s">
        <v>1073</v>
      </c>
      <c r="AL686" s="844" t="s">
        <v>2384</v>
      </c>
      <c r="AM686" s="844" t="s">
        <v>18</v>
      </c>
      <c r="AN686" s="844" t="s">
        <v>2447</v>
      </c>
    </row>
    <row r="687" spans="1:40">
      <c r="A687" t="s">
        <v>5199</v>
      </c>
      <c r="B687" t="s">
        <v>983</v>
      </c>
      <c r="C687" t="s">
        <v>818</v>
      </c>
      <c r="D687" t="s">
        <v>2900</v>
      </c>
      <c r="E687" t="s">
        <v>18</v>
      </c>
      <c r="F687" t="s">
        <v>3623</v>
      </c>
      <c r="M687" t="s">
        <v>4816</v>
      </c>
      <c r="N687" t="s">
        <v>997</v>
      </c>
      <c r="O687" t="s">
        <v>18</v>
      </c>
      <c r="P687" t="s">
        <v>2991</v>
      </c>
      <c r="T687" t="s">
        <v>983</v>
      </c>
      <c r="U687" t="s">
        <v>818</v>
      </c>
      <c r="V687" t="s">
        <v>857</v>
      </c>
      <c r="W687" t="s">
        <v>857</v>
      </c>
      <c r="AC687" t="s">
        <v>1000</v>
      </c>
      <c r="AD687" t="s">
        <v>818</v>
      </c>
      <c r="AE687" t="s">
        <v>18</v>
      </c>
      <c r="AF687" t="s">
        <v>857</v>
      </c>
      <c r="AJ687" s="844" t="s">
        <v>5906</v>
      </c>
      <c r="AK687" s="844" t="s">
        <v>1073</v>
      </c>
      <c r="AL687" s="844" t="s">
        <v>2384</v>
      </c>
      <c r="AM687" s="844" t="s">
        <v>18</v>
      </c>
      <c r="AN687" s="844" t="s">
        <v>2449</v>
      </c>
    </row>
    <row r="688" spans="1:40">
      <c r="A688" t="s">
        <v>5199</v>
      </c>
      <c r="B688" t="s">
        <v>983</v>
      </c>
      <c r="C688" t="s">
        <v>818</v>
      </c>
      <c r="D688" t="s">
        <v>2900</v>
      </c>
      <c r="E688" t="s">
        <v>18</v>
      </c>
      <c r="F688" t="s">
        <v>3618</v>
      </c>
      <c r="M688" t="s">
        <v>4816</v>
      </c>
      <c r="N688" t="s">
        <v>997</v>
      </c>
      <c r="O688" t="s">
        <v>18</v>
      </c>
      <c r="P688" t="s">
        <v>2990</v>
      </c>
      <c r="T688" t="s">
        <v>983</v>
      </c>
      <c r="U688" t="s">
        <v>818</v>
      </c>
      <c r="V688" t="s">
        <v>857</v>
      </c>
      <c r="W688" t="s">
        <v>857</v>
      </c>
      <c r="AC688" t="s">
        <v>1000</v>
      </c>
      <c r="AD688" t="s">
        <v>818</v>
      </c>
      <c r="AE688" t="s">
        <v>18</v>
      </c>
      <c r="AF688" t="s">
        <v>3397</v>
      </c>
      <c r="AJ688" s="844" t="s">
        <v>5906</v>
      </c>
      <c r="AK688" s="844" t="s">
        <v>1073</v>
      </c>
      <c r="AL688" s="844" t="s">
        <v>2384</v>
      </c>
      <c r="AM688" s="844" t="s">
        <v>18</v>
      </c>
      <c r="AN688" s="844" t="s">
        <v>2445</v>
      </c>
    </row>
    <row r="689" spans="1:40">
      <c r="A689" t="s">
        <v>6628</v>
      </c>
      <c r="B689" t="s">
        <v>983</v>
      </c>
      <c r="C689" t="s">
        <v>818</v>
      </c>
      <c r="D689" t="s">
        <v>3621</v>
      </c>
      <c r="F689" t="s">
        <v>4220</v>
      </c>
      <c r="M689" t="s">
        <v>4816</v>
      </c>
      <c r="N689" t="s">
        <v>997</v>
      </c>
      <c r="O689" t="s">
        <v>18</v>
      </c>
      <c r="P689" t="s">
        <v>2989</v>
      </c>
      <c r="T689" t="s">
        <v>983</v>
      </c>
      <c r="U689" t="s">
        <v>818</v>
      </c>
      <c r="V689" t="s">
        <v>857</v>
      </c>
      <c r="W689" t="s">
        <v>857</v>
      </c>
      <c r="AC689" t="s">
        <v>1000</v>
      </c>
      <c r="AD689" t="s">
        <v>19</v>
      </c>
      <c r="AE689" t="s">
        <v>18</v>
      </c>
      <c r="AF689" t="s">
        <v>857</v>
      </c>
      <c r="AJ689" s="844" t="s">
        <v>5906</v>
      </c>
      <c r="AK689" s="844" t="s">
        <v>1073</v>
      </c>
      <c r="AL689" s="844" t="s">
        <v>2384</v>
      </c>
      <c r="AM689" s="844" t="s">
        <v>18</v>
      </c>
      <c r="AN689" s="844" t="s">
        <v>2443</v>
      </c>
    </row>
    <row r="690" spans="1:40">
      <c r="A690" t="s">
        <v>6628</v>
      </c>
      <c r="B690" t="s">
        <v>983</v>
      </c>
      <c r="C690" t="s">
        <v>818</v>
      </c>
      <c r="D690" t="s">
        <v>3621</v>
      </c>
      <c r="F690" t="s">
        <v>3622</v>
      </c>
      <c r="M690" t="s">
        <v>4816</v>
      </c>
      <c r="N690" t="s">
        <v>997</v>
      </c>
      <c r="O690" t="s">
        <v>18</v>
      </c>
      <c r="P690" t="s">
        <v>2988</v>
      </c>
      <c r="T690" t="s">
        <v>983</v>
      </c>
      <c r="U690" t="s">
        <v>818</v>
      </c>
      <c r="V690" t="s">
        <v>18</v>
      </c>
      <c r="W690" t="s">
        <v>857</v>
      </c>
      <c r="AC690" t="s">
        <v>1000</v>
      </c>
      <c r="AD690" t="s">
        <v>19</v>
      </c>
      <c r="AE690" t="s">
        <v>18</v>
      </c>
      <c r="AF690" t="s">
        <v>3397</v>
      </c>
      <c r="AJ690" s="844" t="s">
        <v>5906</v>
      </c>
      <c r="AK690" s="844" t="s">
        <v>1073</v>
      </c>
      <c r="AL690" s="844" t="s">
        <v>2384</v>
      </c>
      <c r="AM690" s="844" t="s">
        <v>18</v>
      </c>
      <c r="AN690" s="844" t="s">
        <v>2441</v>
      </c>
    </row>
    <row r="691" spans="1:40">
      <c r="A691" t="s">
        <v>5200</v>
      </c>
      <c r="B691" t="s">
        <v>983</v>
      </c>
      <c r="C691" t="s">
        <v>818</v>
      </c>
      <c r="D691" t="s">
        <v>3616</v>
      </c>
      <c r="E691" t="s">
        <v>18</v>
      </c>
      <c r="F691" t="s">
        <v>3617</v>
      </c>
      <c r="M691" t="s">
        <v>4713</v>
      </c>
      <c r="N691" t="s">
        <v>998</v>
      </c>
      <c r="O691" t="s">
        <v>53</v>
      </c>
      <c r="P691" t="s">
        <v>3414</v>
      </c>
      <c r="T691" t="s">
        <v>983</v>
      </c>
      <c r="U691" t="s">
        <v>818</v>
      </c>
      <c r="V691" t="s">
        <v>18</v>
      </c>
      <c r="W691" t="s">
        <v>2900</v>
      </c>
      <c r="AC691" t="s">
        <v>1000</v>
      </c>
      <c r="AD691" t="s">
        <v>2384</v>
      </c>
      <c r="AE691" t="s">
        <v>857</v>
      </c>
      <c r="AF691" t="s">
        <v>857</v>
      </c>
      <c r="AJ691" s="844" t="s">
        <v>5918</v>
      </c>
      <c r="AK691" s="844" t="s">
        <v>1074</v>
      </c>
      <c r="AL691" s="844" t="s">
        <v>818</v>
      </c>
      <c r="AM691" s="844" t="s">
        <v>857</v>
      </c>
      <c r="AN691" s="844" t="s">
        <v>2366</v>
      </c>
    </row>
    <row r="692" spans="1:40">
      <c r="A692" t="s">
        <v>6418</v>
      </c>
      <c r="B692" t="s">
        <v>983</v>
      </c>
      <c r="C692" t="s">
        <v>818</v>
      </c>
      <c r="E692" t="s">
        <v>18</v>
      </c>
      <c r="F692" t="s">
        <v>3627</v>
      </c>
      <c r="M692" t="s">
        <v>4713</v>
      </c>
      <c r="N692" t="s">
        <v>998</v>
      </c>
      <c r="O692" t="s">
        <v>53</v>
      </c>
      <c r="P692" t="s">
        <v>3413</v>
      </c>
      <c r="T692" t="s">
        <v>983</v>
      </c>
      <c r="U692" t="s">
        <v>818</v>
      </c>
      <c r="V692" t="s">
        <v>18</v>
      </c>
      <c r="W692" t="s">
        <v>2900</v>
      </c>
      <c r="AC692" t="s">
        <v>1000</v>
      </c>
      <c r="AD692" t="s">
        <v>2416</v>
      </c>
      <c r="AE692" t="s">
        <v>18</v>
      </c>
      <c r="AF692" t="s">
        <v>3397</v>
      </c>
      <c r="AJ692" s="844" t="s">
        <v>5922</v>
      </c>
      <c r="AK692" s="844" t="s">
        <v>1074</v>
      </c>
      <c r="AL692" s="844" t="s">
        <v>818</v>
      </c>
      <c r="AM692" s="844" t="s">
        <v>18</v>
      </c>
      <c r="AN692" s="844" t="s">
        <v>2366</v>
      </c>
    </row>
    <row r="693" spans="1:40">
      <c r="A693" t="s">
        <v>5198</v>
      </c>
      <c r="B693" t="s">
        <v>983</v>
      </c>
      <c r="C693" t="s">
        <v>818</v>
      </c>
      <c r="F693" t="s">
        <v>4220</v>
      </c>
      <c r="M693" t="s">
        <v>4713</v>
      </c>
      <c r="N693" t="s">
        <v>998</v>
      </c>
      <c r="O693" t="s">
        <v>53</v>
      </c>
      <c r="P693" t="s">
        <v>2953</v>
      </c>
      <c r="T693" t="s">
        <v>983</v>
      </c>
      <c r="U693" t="s">
        <v>818</v>
      </c>
      <c r="V693" t="s">
        <v>857</v>
      </c>
      <c r="W693" t="s">
        <v>3621</v>
      </c>
      <c r="AC693" t="s">
        <v>1000</v>
      </c>
      <c r="AD693" t="s">
        <v>816</v>
      </c>
      <c r="AE693" t="s">
        <v>857</v>
      </c>
      <c r="AF693" t="s">
        <v>3397</v>
      </c>
      <c r="AJ693" s="844" t="s">
        <v>5923</v>
      </c>
      <c r="AK693" s="844" t="s">
        <v>1074</v>
      </c>
      <c r="AL693" s="844" t="s">
        <v>19</v>
      </c>
      <c r="AM693" s="844" t="s">
        <v>857</v>
      </c>
      <c r="AN693" s="844" t="s">
        <v>2581</v>
      </c>
    </row>
    <row r="694" spans="1:40">
      <c r="A694" t="s">
        <v>5198</v>
      </c>
      <c r="B694" t="s">
        <v>983</v>
      </c>
      <c r="C694" t="s">
        <v>818</v>
      </c>
      <c r="F694" t="s">
        <v>3906</v>
      </c>
      <c r="M694" t="s">
        <v>4713</v>
      </c>
      <c r="N694" t="s">
        <v>998</v>
      </c>
      <c r="O694" t="s">
        <v>53</v>
      </c>
      <c r="P694" t="s">
        <v>2952</v>
      </c>
      <c r="T694" t="s">
        <v>983</v>
      </c>
      <c r="U694" t="s">
        <v>818</v>
      </c>
      <c r="V694" t="s">
        <v>857</v>
      </c>
      <c r="W694" t="s">
        <v>3621</v>
      </c>
      <c r="AC694" t="s">
        <v>1000</v>
      </c>
      <c r="AD694" t="s">
        <v>816</v>
      </c>
      <c r="AE694" t="s">
        <v>18</v>
      </c>
      <c r="AF694" t="s">
        <v>857</v>
      </c>
      <c r="AJ694" s="844" t="s">
        <v>5928</v>
      </c>
      <c r="AK694" s="844" t="s">
        <v>1074</v>
      </c>
      <c r="AL694" s="844" t="s">
        <v>19</v>
      </c>
      <c r="AM694" s="844" t="s">
        <v>18</v>
      </c>
      <c r="AN694" s="844" t="s">
        <v>2581</v>
      </c>
    </row>
    <row r="695" spans="1:40">
      <c r="A695" t="s">
        <v>5198</v>
      </c>
      <c r="B695" t="s">
        <v>983</v>
      </c>
      <c r="C695" t="s">
        <v>818</v>
      </c>
      <c r="F695" t="s">
        <v>3902</v>
      </c>
      <c r="M695" t="s">
        <v>4713</v>
      </c>
      <c r="N695" t="s">
        <v>998</v>
      </c>
      <c r="O695" t="s">
        <v>53</v>
      </c>
      <c r="P695" t="s">
        <v>2951</v>
      </c>
      <c r="T695" t="s">
        <v>983</v>
      </c>
      <c r="U695" t="s">
        <v>818</v>
      </c>
      <c r="V695" t="s">
        <v>18</v>
      </c>
      <c r="W695" t="s">
        <v>3616</v>
      </c>
      <c r="AC695" t="s">
        <v>1000</v>
      </c>
      <c r="AD695" t="s">
        <v>816</v>
      </c>
      <c r="AE695" t="s">
        <v>18</v>
      </c>
      <c r="AF695" t="s">
        <v>3397</v>
      </c>
      <c r="AJ695" s="844" t="s">
        <v>5930</v>
      </c>
      <c r="AK695" s="844" t="s">
        <v>1074</v>
      </c>
      <c r="AL695" s="844" t="s">
        <v>2416</v>
      </c>
      <c r="AM695" s="844" t="s">
        <v>18</v>
      </c>
      <c r="AN695" s="844" t="s">
        <v>2366</v>
      </c>
    </row>
    <row r="696" spans="1:40">
      <c r="A696" t="s">
        <v>5203</v>
      </c>
      <c r="B696" t="s">
        <v>983</v>
      </c>
      <c r="C696" t="s">
        <v>19</v>
      </c>
      <c r="D696" t="s">
        <v>3616</v>
      </c>
      <c r="E696" t="s">
        <v>18</v>
      </c>
      <c r="F696" t="s">
        <v>3620</v>
      </c>
      <c r="M696" t="s">
        <v>4713</v>
      </c>
      <c r="N696" t="s">
        <v>998</v>
      </c>
      <c r="O696" t="s">
        <v>53</v>
      </c>
      <c r="P696" t="s">
        <v>2950</v>
      </c>
      <c r="T696" t="s">
        <v>983</v>
      </c>
      <c r="U696" t="s">
        <v>19</v>
      </c>
      <c r="V696" t="s">
        <v>857</v>
      </c>
      <c r="W696" t="s">
        <v>857</v>
      </c>
      <c r="AC696" t="s">
        <v>1001</v>
      </c>
      <c r="AD696" t="s">
        <v>818</v>
      </c>
      <c r="AE696" t="s">
        <v>857</v>
      </c>
      <c r="AF696" t="s">
        <v>857</v>
      </c>
      <c r="AJ696" s="844" t="s">
        <v>5931</v>
      </c>
      <c r="AK696" s="844" t="s">
        <v>1074</v>
      </c>
      <c r="AL696" s="844" t="s">
        <v>816</v>
      </c>
      <c r="AM696" s="844" t="s">
        <v>857</v>
      </c>
      <c r="AN696" s="844" t="s">
        <v>2366</v>
      </c>
    </row>
    <row r="697" spans="1:40">
      <c r="A697" t="s">
        <v>6420</v>
      </c>
      <c r="B697" t="s">
        <v>983</v>
      </c>
      <c r="C697" t="s">
        <v>19</v>
      </c>
      <c r="D697" t="s">
        <v>3616</v>
      </c>
      <c r="F697" t="s">
        <v>4004</v>
      </c>
      <c r="M697" t="s">
        <v>4714</v>
      </c>
      <c r="N697" t="s">
        <v>998</v>
      </c>
      <c r="O697" t="s">
        <v>18</v>
      </c>
      <c r="P697" t="s">
        <v>2954</v>
      </c>
      <c r="T697" t="s">
        <v>983</v>
      </c>
      <c r="U697" t="s">
        <v>19</v>
      </c>
      <c r="V697" t="s">
        <v>18</v>
      </c>
      <c r="W697" t="s">
        <v>857</v>
      </c>
      <c r="AC697" t="s">
        <v>1001</v>
      </c>
      <c r="AD697" t="s">
        <v>818</v>
      </c>
      <c r="AE697" t="s">
        <v>18</v>
      </c>
      <c r="AF697" t="s">
        <v>857</v>
      </c>
      <c r="AJ697" s="844" t="s">
        <v>5936</v>
      </c>
      <c r="AK697" s="844" t="s">
        <v>1074</v>
      </c>
      <c r="AL697" s="844" t="s">
        <v>816</v>
      </c>
      <c r="AM697" s="844" t="s">
        <v>18</v>
      </c>
      <c r="AN697" s="844" t="s">
        <v>2366</v>
      </c>
    </row>
    <row r="698" spans="1:40">
      <c r="A698" t="s">
        <v>6419</v>
      </c>
      <c r="B698" t="s">
        <v>983</v>
      </c>
      <c r="C698" t="s">
        <v>19</v>
      </c>
      <c r="E698" t="s">
        <v>18</v>
      </c>
      <c r="F698" t="s">
        <v>3626</v>
      </c>
      <c r="M698" t="s">
        <v>4715</v>
      </c>
      <c r="N698" t="s">
        <v>999</v>
      </c>
      <c r="O698" t="s">
        <v>18</v>
      </c>
      <c r="P698" t="s">
        <v>3446</v>
      </c>
      <c r="T698" t="s">
        <v>983</v>
      </c>
      <c r="U698" t="s">
        <v>19</v>
      </c>
      <c r="V698" t="s">
        <v>857</v>
      </c>
      <c r="W698" t="s">
        <v>3616</v>
      </c>
      <c r="AC698" t="s">
        <v>1001</v>
      </c>
      <c r="AD698" t="s">
        <v>818</v>
      </c>
      <c r="AE698" t="s">
        <v>18</v>
      </c>
      <c r="AF698" t="s">
        <v>3358</v>
      </c>
      <c r="AJ698" s="844" t="s">
        <v>5911</v>
      </c>
      <c r="AK698" s="844" t="s">
        <v>2868</v>
      </c>
      <c r="AL698" s="844" t="s">
        <v>818</v>
      </c>
      <c r="AM698" s="844" t="s">
        <v>18</v>
      </c>
      <c r="AN698" s="844" t="s">
        <v>2870</v>
      </c>
    </row>
    <row r="699" spans="1:40">
      <c r="A699" t="s">
        <v>5202</v>
      </c>
      <c r="B699" t="s">
        <v>983</v>
      </c>
      <c r="C699" t="s">
        <v>19</v>
      </c>
      <c r="F699" t="s">
        <v>4004</v>
      </c>
      <c r="M699" t="s">
        <v>4715</v>
      </c>
      <c r="N699" t="s">
        <v>999</v>
      </c>
      <c r="O699" t="s">
        <v>18</v>
      </c>
      <c r="P699" t="s">
        <v>3445</v>
      </c>
      <c r="T699" t="s">
        <v>983</v>
      </c>
      <c r="U699" t="s">
        <v>19</v>
      </c>
      <c r="V699" t="s">
        <v>18</v>
      </c>
      <c r="W699" t="s">
        <v>3616</v>
      </c>
      <c r="AC699" t="s">
        <v>1001</v>
      </c>
      <c r="AD699" t="s">
        <v>818</v>
      </c>
      <c r="AE699" t="s">
        <v>18</v>
      </c>
      <c r="AF699" t="s">
        <v>3356</v>
      </c>
      <c r="AJ699" s="844" t="s">
        <v>5911</v>
      </c>
      <c r="AK699" s="844" t="s">
        <v>2868</v>
      </c>
      <c r="AL699" s="844" t="s">
        <v>818</v>
      </c>
      <c r="AM699" s="844" t="s">
        <v>18</v>
      </c>
      <c r="AN699" s="844" t="s">
        <v>2900</v>
      </c>
    </row>
    <row r="700" spans="1:40">
      <c r="A700" t="s">
        <v>5205</v>
      </c>
      <c r="B700" t="s">
        <v>983</v>
      </c>
      <c r="C700" t="s">
        <v>816</v>
      </c>
      <c r="D700" t="s">
        <v>3616</v>
      </c>
      <c r="E700" t="s">
        <v>18</v>
      </c>
      <c r="F700" t="s">
        <v>3619</v>
      </c>
      <c r="M700" t="s">
        <v>4715</v>
      </c>
      <c r="N700" t="s">
        <v>999</v>
      </c>
      <c r="O700" t="s">
        <v>18</v>
      </c>
      <c r="P700" t="s">
        <v>3444</v>
      </c>
      <c r="T700" t="s">
        <v>983</v>
      </c>
      <c r="U700" t="s">
        <v>816</v>
      </c>
      <c r="V700" t="s">
        <v>18</v>
      </c>
      <c r="W700" t="s">
        <v>857</v>
      </c>
      <c r="AC700" t="s">
        <v>1001</v>
      </c>
      <c r="AD700" t="s">
        <v>2384</v>
      </c>
      <c r="AE700" t="s">
        <v>857</v>
      </c>
      <c r="AF700" t="s">
        <v>3356</v>
      </c>
      <c r="AJ700" s="844" t="s">
        <v>5912</v>
      </c>
      <c r="AK700" s="844" t="s">
        <v>2868</v>
      </c>
      <c r="AL700" s="844" t="s">
        <v>19</v>
      </c>
      <c r="AM700" s="844" t="s">
        <v>857</v>
      </c>
      <c r="AN700" s="844" t="s">
        <v>2867</v>
      </c>
    </row>
    <row r="701" spans="1:40">
      <c r="A701" t="s">
        <v>6422</v>
      </c>
      <c r="B701" t="s">
        <v>983</v>
      </c>
      <c r="C701" t="s">
        <v>816</v>
      </c>
      <c r="D701" t="s">
        <v>3616</v>
      </c>
      <c r="F701" t="s">
        <v>4003</v>
      </c>
      <c r="M701" t="s">
        <v>4715</v>
      </c>
      <c r="N701" t="s">
        <v>999</v>
      </c>
      <c r="O701" t="s">
        <v>18</v>
      </c>
      <c r="P701" t="s">
        <v>3443</v>
      </c>
      <c r="T701" t="s">
        <v>983</v>
      </c>
      <c r="U701" t="s">
        <v>816</v>
      </c>
      <c r="V701" t="s">
        <v>18</v>
      </c>
      <c r="W701" t="s">
        <v>857</v>
      </c>
      <c r="AC701" t="s">
        <v>1001</v>
      </c>
      <c r="AD701" t="s">
        <v>2384</v>
      </c>
      <c r="AE701" t="s">
        <v>18</v>
      </c>
      <c r="AF701" t="s">
        <v>3358</v>
      </c>
      <c r="AJ701" s="844" t="s">
        <v>5915</v>
      </c>
      <c r="AK701" s="844" t="s">
        <v>2868</v>
      </c>
      <c r="AL701" s="844" t="s">
        <v>19</v>
      </c>
      <c r="AM701" s="844" t="s">
        <v>18</v>
      </c>
      <c r="AN701" s="844" t="s">
        <v>2867</v>
      </c>
    </row>
    <row r="702" spans="1:40">
      <c r="A702" t="s">
        <v>6421</v>
      </c>
      <c r="B702" t="s">
        <v>983</v>
      </c>
      <c r="C702" t="s">
        <v>816</v>
      </c>
      <c r="E702" t="s">
        <v>18</v>
      </c>
      <c r="F702" t="s">
        <v>3625</v>
      </c>
      <c r="M702" t="s">
        <v>4715</v>
      </c>
      <c r="N702" t="s">
        <v>999</v>
      </c>
      <c r="O702" t="s">
        <v>18</v>
      </c>
      <c r="P702" t="s">
        <v>3442</v>
      </c>
      <c r="T702" t="s">
        <v>983</v>
      </c>
      <c r="U702" t="s">
        <v>816</v>
      </c>
      <c r="V702" t="s">
        <v>857</v>
      </c>
      <c r="W702" t="s">
        <v>3616</v>
      </c>
      <c r="AC702" t="s">
        <v>1001</v>
      </c>
      <c r="AD702" t="s">
        <v>2384</v>
      </c>
      <c r="AE702" t="s">
        <v>18</v>
      </c>
      <c r="AF702" t="s">
        <v>3356</v>
      </c>
      <c r="AJ702" s="844" t="s">
        <v>5917</v>
      </c>
      <c r="AK702" s="844" t="s">
        <v>2868</v>
      </c>
      <c r="AL702" s="844" t="s">
        <v>816</v>
      </c>
      <c r="AM702" s="844" t="s">
        <v>18</v>
      </c>
      <c r="AN702" s="844" t="s">
        <v>2867</v>
      </c>
    </row>
    <row r="703" spans="1:40">
      <c r="A703" t="s">
        <v>6421</v>
      </c>
      <c r="B703" t="s">
        <v>983</v>
      </c>
      <c r="C703" t="s">
        <v>816</v>
      </c>
      <c r="E703" t="s">
        <v>18</v>
      </c>
      <c r="F703" t="s">
        <v>3624</v>
      </c>
      <c r="M703" t="s">
        <v>4715</v>
      </c>
      <c r="N703" t="s">
        <v>999</v>
      </c>
      <c r="O703" t="s">
        <v>18</v>
      </c>
      <c r="P703" t="s">
        <v>3441</v>
      </c>
      <c r="T703" t="s">
        <v>983</v>
      </c>
      <c r="U703" t="s">
        <v>816</v>
      </c>
      <c r="V703" t="s">
        <v>18</v>
      </c>
      <c r="W703" t="s">
        <v>3616</v>
      </c>
      <c r="AC703" t="s">
        <v>1001</v>
      </c>
      <c r="AD703" t="s">
        <v>816</v>
      </c>
      <c r="AE703" t="s">
        <v>18</v>
      </c>
      <c r="AF703" t="s">
        <v>857</v>
      </c>
      <c r="AJ703" s="844" t="s">
        <v>5940</v>
      </c>
      <c r="AK703" s="844" t="s">
        <v>2872</v>
      </c>
      <c r="AL703" s="844" t="s">
        <v>818</v>
      </c>
      <c r="AM703" s="844" t="s">
        <v>18</v>
      </c>
      <c r="AN703" s="844" t="s">
        <v>2559</v>
      </c>
    </row>
    <row r="704" spans="1:40">
      <c r="A704" t="s">
        <v>5220</v>
      </c>
      <c r="B704" t="s">
        <v>984</v>
      </c>
      <c r="C704" t="s">
        <v>818</v>
      </c>
      <c r="D704" t="s">
        <v>3675</v>
      </c>
      <c r="E704" t="s">
        <v>18</v>
      </c>
      <c r="F704" t="s">
        <v>3676</v>
      </c>
      <c r="M704" t="s">
        <v>4715</v>
      </c>
      <c r="N704" t="s">
        <v>999</v>
      </c>
      <c r="O704" t="s">
        <v>18</v>
      </c>
      <c r="P704" t="s">
        <v>3440</v>
      </c>
      <c r="T704" t="s">
        <v>984</v>
      </c>
      <c r="U704" t="s">
        <v>818</v>
      </c>
      <c r="V704" t="s">
        <v>18</v>
      </c>
      <c r="W704" t="s">
        <v>857</v>
      </c>
      <c r="AC704" t="s">
        <v>1001</v>
      </c>
      <c r="AD704" t="s">
        <v>816</v>
      </c>
      <c r="AE704" t="s">
        <v>18</v>
      </c>
      <c r="AF704" t="s">
        <v>3358</v>
      </c>
      <c r="AJ704" s="844" t="s">
        <v>5940</v>
      </c>
      <c r="AK704" s="844" t="s">
        <v>2872</v>
      </c>
      <c r="AL704" s="844" t="s">
        <v>818</v>
      </c>
      <c r="AM704" s="844" t="s">
        <v>18</v>
      </c>
      <c r="AN704" s="844" t="s">
        <v>2366</v>
      </c>
    </row>
    <row r="705" spans="1:40">
      <c r="A705" t="s">
        <v>5221</v>
      </c>
      <c r="B705" t="s">
        <v>984</v>
      </c>
      <c r="C705" t="s">
        <v>818</v>
      </c>
      <c r="D705" t="s">
        <v>2581</v>
      </c>
      <c r="E705" t="s">
        <v>18</v>
      </c>
      <c r="F705" t="s">
        <v>3673</v>
      </c>
      <c r="M705" t="s">
        <v>4715</v>
      </c>
      <c r="N705" t="s">
        <v>999</v>
      </c>
      <c r="O705" t="s">
        <v>18</v>
      </c>
      <c r="P705" t="s">
        <v>3439</v>
      </c>
      <c r="T705" t="s">
        <v>984</v>
      </c>
      <c r="U705" t="s">
        <v>818</v>
      </c>
      <c r="V705" t="s">
        <v>18</v>
      </c>
      <c r="W705" t="s">
        <v>857</v>
      </c>
      <c r="AC705" t="s">
        <v>1002</v>
      </c>
      <c r="AD705" t="s">
        <v>818</v>
      </c>
      <c r="AE705" t="s">
        <v>857</v>
      </c>
      <c r="AF705" t="s">
        <v>857</v>
      </c>
      <c r="AJ705" s="844" t="s">
        <v>5942</v>
      </c>
      <c r="AK705" s="844" t="s">
        <v>2872</v>
      </c>
      <c r="AL705" s="844" t="s">
        <v>816</v>
      </c>
      <c r="AM705" s="844" t="s">
        <v>18</v>
      </c>
      <c r="AN705" s="844" t="s">
        <v>2366</v>
      </c>
    </row>
    <row r="706" spans="1:40">
      <c r="A706" t="s">
        <v>6530</v>
      </c>
      <c r="B706" t="s">
        <v>984</v>
      </c>
      <c r="C706" t="s">
        <v>818</v>
      </c>
      <c r="D706" t="s">
        <v>3677</v>
      </c>
      <c r="E706" t="s">
        <v>18</v>
      </c>
      <c r="F706" t="s">
        <v>3678</v>
      </c>
      <c r="M706" t="s">
        <v>4715</v>
      </c>
      <c r="N706" t="s">
        <v>999</v>
      </c>
      <c r="O706" t="s">
        <v>18</v>
      </c>
      <c r="P706" t="s">
        <v>3438</v>
      </c>
      <c r="T706" t="s">
        <v>984</v>
      </c>
      <c r="U706" t="s">
        <v>818</v>
      </c>
      <c r="V706" t="s">
        <v>18</v>
      </c>
      <c r="W706" t="s">
        <v>3675</v>
      </c>
      <c r="AC706" t="s">
        <v>1002</v>
      </c>
      <c r="AD706" t="s">
        <v>818</v>
      </c>
      <c r="AE706" t="s">
        <v>18</v>
      </c>
      <c r="AF706" t="s">
        <v>857</v>
      </c>
      <c r="AJ706" s="844" t="s">
        <v>5944</v>
      </c>
      <c r="AK706" s="844" t="s">
        <v>1075</v>
      </c>
      <c r="AL706" s="844" t="s">
        <v>818</v>
      </c>
      <c r="AM706" s="844" t="s">
        <v>857</v>
      </c>
      <c r="AN706" s="844" t="s">
        <v>3375</v>
      </c>
    </row>
    <row r="707" spans="1:40">
      <c r="A707" t="s">
        <v>5222</v>
      </c>
      <c r="B707" t="s">
        <v>984</v>
      </c>
      <c r="C707" t="s">
        <v>818</v>
      </c>
      <c r="D707" t="s">
        <v>3668</v>
      </c>
      <c r="E707" t="s">
        <v>18</v>
      </c>
      <c r="F707" t="s">
        <v>3674</v>
      </c>
      <c r="M707" t="s">
        <v>4715</v>
      </c>
      <c r="N707" t="s">
        <v>999</v>
      </c>
      <c r="O707" t="s">
        <v>18</v>
      </c>
      <c r="P707" t="s">
        <v>3437</v>
      </c>
      <c r="T707" t="s">
        <v>984</v>
      </c>
      <c r="U707" t="s">
        <v>818</v>
      </c>
      <c r="V707" t="s">
        <v>18</v>
      </c>
      <c r="W707" t="s">
        <v>2581</v>
      </c>
      <c r="AC707" t="s">
        <v>1002</v>
      </c>
      <c r="AD707" t="s">
        <v>818</v>
      </c>
      <c r="AE707" t="s">
        <v>18</v>
      </c>
      <c r="AF707" t="s">
        <v>3384</v>
      </c>
      <c r="AJ707" s="844" t="s">
        <v>5950</v>
      </c>
      <c r="AK707" s="844" t="s">
        <v>1075</v>
      </c>
      <c r="AL707" s="844" t="s">
        <v>818</v>
      </c>
      <c r="AM707" s="844" t="s">
        <v>18</v>
      </c>
      <c r="AN707" s="844" t="s">
        <v>2719</v>
      </c>
    </row>
    <row r="708" spans="1:40">
      <c r="A708" t="s">
        <v>6424</v>
      </c>
      <c r="B708" t="s">
        <v>984</v>
      </c>
      <c r="C708" t="s">
        <v>818</v>
      </c>
      <c r="D708" t="s">
        <v>3668</v>
      </c>
      <c r="F708" t="s">
        <v>3975</v>
      </c>
      <c r="M708" t="s">
        <v>4715</v>
      </c>
      <c r="N708" t="s">
        <v>999</v>
      </c>
      <c r="O708" t="s">
        <v>18</v>
      </c>
      <c r="P708" t="s">
        <v>3436</v>
      </c>
      <c r="T708" t="s">
        <v>984</v>
      </c>
      <c r="U708" t="s">
        <v>818</v>
      </c>
      <c r="V708" t="s">
        <v>18</v>
      </c>
      <c r="W708" t="s">
        <v>3677</v>
      </c>
      <c r="AC708" t="s">
        <v>1002</v>
      </c>
      <c r="AD708" t="s">
        <v>818</v>
      </c>
      <c r="AE708" t="s">
        <v>18</v>
      </c>
      <c r="AF708" t="s">
        <v>2581</v>
      </c>
      <c r="AJ708" s="844" t="s">
        <v>5950</v>
      </c>
      <c r="AK708" s="844" t="s">
        <v>1075</v>
      </c>
      <c r="AL708" s="844" t="s">
        <v>818</v>
      </c>
      <c r="AM708" s="844" t="s">
        <v>18</v>
      </c>
      <c r="AN708" s="844" t="s">
        <v>3375</v>
      </c>
    </row>
    <row r="709" spans="1:40">
      <c r="A709" t="s">
        <v>6423</v>
      </c>
      <c r="B709" t="s">
        <v>984</v>
      </c>
      <c r="C709" t="s">
        <v>818</v>
      </c>
      <c r="E709" t="s">
        <v>18</v>
      </c>
      <c r="F709" t="s">
        <v>3684</v>
      </c>
      <c r="M709" t="s">
        <v>4817</v>
      </c>
      <c r="N709" t="s">
        <v>1000</v>
      </c>
      <c r="O709" t="s">
        <v>18</v>
      </c>
      <c r="P709" t="s">
        <v>3412</v>
      </c>
      <c r="T709" t="s">
        <v>984</v>
      </c>
      <c r="U709" t="s">
        <v>818</v>
      </c>
      <c r="V709" t="s">
        <v>857</v>
      </c>
      <c r="W709" t="s">
        <v>3668</v>
      </c>
      <c r="AC709" t="s">
        <v>1002</v>
      </c>
      <c r="AD709" t="s">
        <v>19</v>
      </c>
      <c r="AE709" t="s">
        <v>857</v>
      </c>
      <c r="AF709" t="s">
        <v>2636</v>
      </c>
      <c r="AJ709" s="844" t="s">
        <v>5951</v>
      </c>
      <c r="AK709" s="844" t="s">
        <v>1075</v>
      </c>
      <c r="AL709" s="844" t="s">
        <v>19</v>
      </c>
      <c r="AM709" s="844" t="s">
        <v>857</v>
      </c>
      <c r="AN709" s="844" t="s">
        <v>2719</v>
      </c>
    </row>
    <row r="710" spans="1:40">
      <c r="A710" t="s">
        <v>6423</v>
      </c>
      <c r="B710" t="s">
        <v>984</v>
      </c>
      <c r="C710" t="s">
        <v>818</v>
      </c>
      <c r="E710" t="s">
        <v>18</v>
      </c>
      <c r="F710" t="s">
        <v>3681</v>
      </c>
      <c r="M710" t="s">
        <v>4817</v>
      </c>
      <c r="N710" t="s">
        <v>1000</v>
      </c>
      <c r="O710" t="s">
        <v>18</v>
      </c>
      <c r="P710" t="s">
        <v>3411</v>
      </c>
      <c r="T710" t="s">
        <v>984</v>
      </c>
      <c r="U710" t="s">
        <v>818</v>
      </c>
      <c r="V710" t="s">
        <v>18</v>
      </c>
      <c r="W710" t="s">
        <v>3668</v>
      </c>
      <c r="AC710" t="s">
        <v>1002</v>
      </c>
      <c r="AD710" t="s">
        <v>19</v>
      </c>
      <c r="AE710" t="s">
        <v>18</v>
      </c>
      <c r="AF710" t="s">
        <v>857</v>
      </c>
      <c r="AJ710" s="844" t="s">
        <v>5956</v>
      </c>
      <c r="AK710" s="844" t="s">
        <v>1075</v>
      </c>
      <c r="AL710" s="844" t="s">
        <v>19</v>
      </c>
      <c r="AM710" s="844" t="s">
        <v>18</v>
      </c>
      <c r="AN710" s="844" t="s">
        <v>2719</v>
      </c>
    </row>
    <row r="711" spans="1:40">
      <c r="A711" t="s">
        <v>5225</v>
      </c>
      <c r="B711" t="s">
        <v>984</v>
      </c>
      <c r="C711" t="s">
        <v>19</v>
      </c>
      <c r="D711" t="s">
        <v>2768</v>
      </c>
      <c r="E711" t="s">
        <v>18</v>
      </c>
      <c r="F711" t="s">
        <v>3672</v>
      </c>
      <c r="M711" t="s">
        <v>4817</v>
      </c>
      <c r="N711" t="s">
        <v>1000</v>
      </c>
      <c r="O711" t="s">
        <v>18</v>
      </c>
      <c r="P711" t="s">
        <v>3410</v>
      </c>
      <c r="T711" t="s">
        <v>984</v>
      </c>
      <c r="U711" t="s">
        <v>19</v>
      </c>
      <c r="V711" t="s">
        <v>857</v>
      </c>
      <c r="W711" t="s">
        <v>857</v>
      </c>
      <c r="AC711" t="s">
        <v>1002</v>
      </c>
      <c r="AD711" t="s">
        <v>19</v>
      </c>
      <c r="AE711" t="s">
        <v>18</v>
      </c>
      <c r="AF711" t="s">
        <v>3384</v>
      </c>
      <c r="AJ711" s="844" t="s">
        <v>5959</v>
      </c>
      <c r="AK711" s="844" t="s">
        <v>1075</v>
      </c>
      <c r="AL711" s="844" t="s">
        <v>2416</v>
      </c>
      <c r="AM711" s="844" t="s">
        <v>18</v>
      </c>
      <c r="AN711" s="844" t="s">
        <v>2719</v>
      </c>
    </row>
    <row r="712" spans="1:40">
      <c r="A712" t="s">
        <v>6629</v>
      </c>
      <c r="B712" t="s">
        <v>984</v>
      </c>
      <c r="C712" t="s">
        <v>19</v>
      </c>
      <c r="D712" t="s">
        <v>2768</v>
      </c>
      <c r="F712" t="s">
        <v>3973</v>
      </c>
      <c r="M712" t="s">
        <v>4817</v>
      </c>
      <c r="N712" t="s">
        <v>1000</v>
      </c>
      <c r="O712" t="s">
        <v>18</v>
      </c>
      <c r="P712" t="s">
        <v>3409</v>
      </c>
      <c r="T712" t="s">
        <v>984</v>
      </c>
      <c r="U712" t="s">
        <v>19</v>
      </c>
      <c r="V712" t="s">
        <v>18</v>
      </c>
      <c r="W712" t="s">
        <v>857</v>
      </c>
      <c r="AC712" t="s">
        <v>1002</v>
      </c>
      <c r="AD712" t="s">
        <v>19</v>
      </c>
      <c r="AE712" t="s">
        <v>18</v>
      </c>
      <c r="AF712" t="s">
        <v>2636</v>
      </c>
      <c r="AJ712" s="844" t="s">
        <v>5960</v>
      </c>
      <c r="AK712" s="844" t="s">
        <v>1075</v>
      </c>
      <c r="AL712" s="844" t="s">
        <v>816</v>
      </c>
      <c r="AM712" s="844" t="s">
        <v>857</v>
      </c>
      <c r="AN712" s="844" t="s">
        <v>2719</v>
      </c>
    </row>
    <row r="713" spans="1:40">
      <c r="A713" t="s">
        <v>6425</v>
      </c>
      <c r="B713" t="s">
        <v>984</v>
      </c>
      <c r="C713" t="s">
        <v>19</v>
      </c>
      <c r="E713" t="s">
        <v>18</v>
      </c>
      <c r="F713" t="s">
        <v>3683</v>
      </c>
      <c r="M713" t="s">
        <v>4817</v>
      </c>
      <c r="N713" t="s">
        <v>1000</v>
      </c>
      <c r="O713" t="s">
        <v>18</v>
      </c>
      <c r="P713" t="s">
        <v>3408</v>
      </c>
      <c r="T713" t="s">
        <v>984</v>
      </c>
      <c r="U713" t="s">
        <v>19</v>
      </c>
      <c r="V713" t="s">
        <v>18</v>
      </c>
      <c r="W713" t="s">
        <v>857</v>
      </c>
      <c r="AC713" t="s">
        <v>1002</v>
      </c>
      <c r="AD713" t="s">
        <v>2384</v>
      </c>
      <c r="AE713" t="s">
        <v>857</v>
      </c>
      <c r="AF713" t="s">
        <v>857</v>
      </c>
      <c r="AJ713" s="844" t="s">
        <v>5964</v>
      </c>
      <c r="AK713" s="844" t="s">
        <v>1075</v>
      </c>
      <c r="AL713" s="844" t="s">
        <v>816</v>
      </c>
      <c r="AM713" s="844" t="s">
        <v>18</v>
      </c>
      <c r="AN713" s="844" t="s">
        <v>2719</v>
      </c>
    </row>
    <row r="714" spans="1:40">
      <c r="A714" t="s">
        <v>6425</v>
      </c>
      <c r="B714" t="s">
        <v>984</v>
      </c>
      <c r="C714" t="s">
        <v>19</v>
      </c>
      <c r="E714" t="s">
        <v>18</v>
      </c>
      <c r="F714" t="s">
        <v>3680</v>
      </c>
      <c r="M714" t="s">
        <v>4817</v>
      </c>
      <c r="N714" t="s">
        <v>1000</v>
      </c>
      <c r="O714" t="s">
        <v>18</v>
      </c>
      <c r="P714" t="s">
        <v>3407</v>
      </c>
      <c r="T714" t="s">
        <v>984</v>
      </c>
      <c r="U714" t="s">
        <v>19</v>
      </c>
      <c r="V714" t="s">
        <v>18</v>
      </c>
      <c r="W714" t="s">
        <v>857</v>
      </c>
      <c r="AC714" t="s">
        <v>1002</v>
      </c>
      <c r="AD714" t="s">
        <v>2384</v>
      </c>
      <c r="AE714" t="s">
        <v>857</v>
      </c>
      <c r="AF714" t="s">
        <v>2581</v>
      </c>
      <c r="AJ714" s="844" t="s">
        <v>5968</v>
      </c>
      <c r="AK714" s="844" t="s">
        <v>1076</v>
      </c>
      <c r="AL714" s="844" t="s">
        <v>818</v>
      </c>
      <c r="AM714" s="844" t="s">
        <v>18</v>
      </c>
      <c r="AN714" s="844" t="s">
        <v>2366</v>
      </c>
    </row>
    <row r="715" spans="1:40">
      <c r="A715" t="s">
        <v>6425</v>
      </c>
      <c r="B715" t="s">
        <v>984</v>
      </c>
      <c r="C715" t="s">
        <v>19</v>
      </c>
      <c r="E715" t="s">
        <v>18</v>
      </c>
      <c r="F715" t="s">
        <v>3671</v>
      </c>
      <c r="M715" t="s">
        <v>4817</v>
      </c>
      <c r="N715" t="s">
        <v>1000</v>
      </c>
      <c r="O715" t="s">
        <v>18</v>
      </c>
      <c r="P715" t="s">
        <v>3406</v>
      </c>
      <c r="T715" t="s">
        <v>984</v>
      </c>
      <c r="U715" t="s">
        <v>19</v>
      </c>
      <c r="V715" t="s">
        <v>857</v>
      </c>
      <c r="W715" t="s">
        <v>2768</v>
      </c>
      <c r="AC715" t="s">
        <v>1002</v>
      </c>
      <c r="AD715" t="s">
        <v>2384</v>
      </c>
      <c r="AE715" t="s">
        <v>18</v>
      </c>
      <c r="AF715" t="s">
        <v>3384</v>
      </c>
      <c r="AJ715" s="844" t="s">
        <v>5973</v>
      </c>
      <c r="AK715" s="844" t="s">
        <v>1076</v>
      </c>
      <c r="AL715" s="844" t="s">
        <v>19</v>
      </c>
      <c r="AM715" s="844" t="s">
        <v>18</v>
      </c>
      <c r="AN715" s="844" t="s">
        <v>2804</v>
      </c>
    </row>
    <row r="716" spans="1:40">
      <c r="A716" t="s">
        <v>5224</v>
      </c>
      <c r="B716" t="s">
        <v>984</v>
      </c>
      <c r="C716" t="s">
        <v>19</v>
      </c>
      <c r="F716" t="s">
        <v>3774</v>
      </c>
      <c r="M716" t="s">
        <v>4817</v>
      </c>
      <c r="N716" t="s">
        <v>1000</v>
      </c>
      <c r="O716" t="s">
        <v>18</v>
      </c>
      <c r="P716" t="s">
        <v>3405</v>
      </c>
      <c r="T716" t="s">
        <v>984</v>
      </c>
      <c r="U716" t="s">
        <v>19</v>
      </c>
      <c r="V716" t="s">
        <v>18</v>
      </c>
      <c r="W716" t="s">
        <v>2768</v>
      </c>
      <c r="AC716" t="s">
        <v>1002</v>
      </c>
      <c r="AD716" t="s">
        <v>816</v>
      </c>
      <c r="AE716" t="s">
        <v>18</v>
      </c>
      <c r="AF716" t="s">
        <v>857</v>
      </c>
      <c r="AJ716" s="844" t="s">
        <v>5973</v>
      </c>
      <c r="AK716" s="844" t="s">
        <v>1076</v>
      </c>
      <c r="AL716" s="844" t="s">
        <v>19</v>
      </c>
      <c r="AM716" s="844" t="s">
        <v>18</v>
      </c>
      <c r="AN716" s="844" t="s">
        <v>2366</v>
      </c>
    </row>
    <row r="717" spans="1:40">
      <c r="A717" t="s">
        <v>6531</v>
      </c>
      <c r="B717" t="s">
        <v>984</v>
      </c>
      <c r="C717" t="s">
        <v>2384</v>
      </c>
      <c r="D717" t="s">
        <v>2636</v>
      </c>
      <c r="E717" t="s">
        <v>18</v>
      </c>
      <c r="F717" t="s">
        <v>3679</v>
      </c>
      <c r="M717" t="s">
        <v>4817</v>
      </c>
      <c r="N717" t="s">
        <v>1000</v>
      </c>
      <c r="O717" t="s">
        <v>18</v>
      </c>
      <c r="P717" t="s">
        <v>3404</v>
      </c>
      <c r="T717" t="s">
        <v>984</v>
      </c>
      <c r="U717" t="s">
        <v>2384</v>
      </c>
      <c r="V717" t="s">
        <v>857</v>
      </c>
      <c r="W717" t="s">
        <v>857</v>
      </c>
      <c r="AC717" t="s">
        <v>1002</v>
      </c>
      <c r="AD717" t="s">
        <v>816</v>
      </c>
      <c r="AE717" t="s">
        <v>18</v>
      </c>
      <c r="AF717" t="s">
        <v>3384</v>
      </c>
      <c r="AJ717" s="844" t="s">
        <v>5974</v>
      </c>
      <c r="AK717" s="844" t="s">
        <v>1076</v>
      </c>
      <c r="AL717" s="844" t="s">
        <v>2384</v>
      </c>
      <c r="AM717" s="844" t="s">
        <v>857</v>
      </c>
      <c r="AN717" s="844" t="s">
        <v>2804</v>
      </c>
    </row>
    <row r="718" spans="1:40">
      <c r="A718" t="s">
        <v>5227</v>
      </c>
      <c r="B718" t="s">
        <v>984</v>
      </c>
      <c r="C718" t="s">
        <v>2384</v>
      </c>
      <c r="F718" t="s">
        <v>3776</v>
      </c>
      <c r="M718" t="s">
        <v>4817</v>
      </c>
      <c r="N718" t="s">
        <v>1000</v>
      </c>
      <c r="O718" t="s">
        <v>18</v>
      </c>
      <c r="P718" t="s">
        <v>3403</v>
      </c>
      <c r="T718" t="s">
        <v>984</v>
      </c>
      <c r="U718" t="s">
        <v>2384</v>
      </c>
      <c r="V718" t="s">
        <v>18</v>
      </c>
      <c r="W718" t="s">
        <v>2636</v>
      </c>
      <c r="AC718" t="s">
        <v>1005</v>
      </c>
      <c r="AD718" t="s">
        <v>818</v>
      </c>
      <c r="AE718" t="s">
        <v>857</v>
      </c>
      <c r="AF718" t="s">
        <v>857</v>
      </c>
      <c r="AJ718" s="844" t="s">
        <v>5977</v>
      </c>
      <c r="AK718" s="844" t="s">
        <v>1076</v>
      </c>
      <c r="AL718" s="844" t="s">
        <v>2416</v>
      </c>
      <c r="AM718" s="844" t="s">
        <v>18</v>
      </c>
      <c r="AN718" s="844" t="s">
        <v>2804</v>
      </c>
    </row>
    <row r="719" spans="1:40">
      <c r="A719" t="s">
        <v>6426</v>
      </c>
      <c r="B719" t="s">
        <v>984</v>
      </c>
      <c r="C719" t="s">
        <v>2416</v>
      </c>
      <c r="E719" t="s">
        <v>18</v>
      </c>
      <c r="F719" t="s">
        <v>3670</v>
      </c>
      <c r="M719" t="s">
        <v>4817</v>
      </c>
      <c r="N719" t="s">
        <v>1000</v>
      </c>
      <c r="O719" t="s">
        <v>18</v>
      </c>
      <c r="P719" t="s">
        <v>3402</v>
      </c>
      <c r="T719" t="s">
        <v>984</v>
      </c>
      <c r="U719" t="s">
        <v>2416</v>
      </c>
      <c r="V719" t="s">
        <v>18</v>
      </c>
      <c r="W719" t="s">
        <v>857</v>
      </c>
      <c r="AC719" t="s">
        <v>1005</v>
      </c>
      <c r="AD719" t="s">
        <v>818</v>
      </c>
      <c r="AE719" t="s">
        <v>857</v>
      </c>
      <c r="AF719" t="s">
        <v>3297</v>
      </c>
      <c r="AJ719" s="844" t="s">
        <v>5981</v>
      </c>
      <c r="AK719" s="844" t="s">
        <v>1076</v>
      </c>
      <c r="AL719" s="844" t="s">
        <v>816</v>
      </c>
      <c r="AM719" s="844" t="s">
        <v>18</v>
      </c>
      <c r="AN719" s="844" t="s">
        <v>2366</v>
      </c>
    </row>
    <row r="720" spans="1:40">
      <c r="A720" t="s">
        <v>6532</v>
      </c>
      <c r="B720" t="s">
        <v>984</v>
      </c>
      <c r="C720" t="s">
        <v>816</v>
      </c>
      <c r="D720" t="s">
        <v>2636</v>
      </c>
      <c r="E720" t="s">
        <v>18</v>
      </c>
      <c r="F720" t="s">
        <v>3667</v>
      </c>
      <c r="M720" t="s">
        <v>4817</v>
      </c>
      <c r="N720" t="s">
        <v>1000</v>
      </c>
      <c r="O720" t="s">
        <v>18</v>
      </c>
      <c r="P720" t="s">
        <v>3401</v>
      </c>
      <c r="T720" t="s">
        <v>984</v>
      </c>
      <c r="U720" t="s">
        <v>816</v>
      </c>
      <c r="V720" t="s">
        <v>53</v>
      </c>
      <c r="W720" t="s">
        <v>857</v>
      </c>
      <c r="AC720" t="s">
        <v>1005</v>
      </c>
      <c r="AD720" t="s">
        <v>818</v>
      </c>
      <c r="AE720" t="s">
        <v>18</v>
      </c>
      <c r="AF720" t="s">
        <v>857</v>
      </c>
      <c r="AJ720" s="844" t="s">
        <v>5983</v>
      </c>
      <c r="AK720" s="844" t="s">
        <v>1077</v>
      </c>
      <c r="AL720" s="844" t="s">
        <v>19</v>
      </c>
      <c r="AM720" s="844" t="s">
        <v>857</v>
      </c>
      <c r="AN720" s="844" t="s">
        <v>2686</v>
      </c>
    </row>
    <row r="721" spans="1:40">
      <c r="A721" t="s">
        <v>6630</v>
      </c>
      <c r="B721" t="s">
        <v>984</v>
      </c>
      <c r="C721" t="s">
        <v>816</v>
      </c>
      <c r="D721" t="s">
        <v>2636</v>
      </c>
      <c r="F721" t="s">
        <v>4106</v>
      </c>
      <c r="M721" t="s">
        <v>4817</v>
      </c>
      <c r="N721" t="s">
        <v>1000</v>
      </c>
      <c r="O721" t="s">
        <v>18</v>
      </c>
      <c r="P721" t="s">
        <v>3400</v>
      </c>
      <c r="T721" t="s">
        <v>984</v>
      </c>
      <c r="U721" t="s">
        <v>816</v>
      </c>
      <c r="V721" t="s">
        <v>857</v>
      </c>
      <c r="W721" t="s">
        <v>2636</v>
      </c>
      <c r="AC721" t="s">
        <v>1005</v>
      </c>
      <c r="AD721" t="s">
        <v>818</v>
      </c>
      <c r="AE721" t="s">
        <v>18</v>
      </c>
      <c r="AF721" t="s">
        <v>2581</v>
      </c>
      <c r="AJ721" s="844" t="s">
        <v>5987</v>
      </c>
      <c r="AK721" s="844" t="s">
        <v>1077</v>
      </c>
      <c r="AL721" s="844" t="s">
        <v>19</v>
      </c>
      <c r="AM721" s="844" t="s">
        <v>18</v>
      </c>
      <c r="AN721" s="844" t="s">
        <v>2686</v>
      </c>
    </row>
    <row r="722" spans="1:40">
      <c r="A722" t="s">
        <v>5229</v>
      </c>
      <c r="B722" t="s">
        <v>984</v>
      </c>
      <c r="C722" t="s">
        <v>816</v>
      </c>
      <c r="D722" t="s">
        <v>2581</v>
      </c>
      <c r="E722" t="s">
        <v>18</v>
      </c>
      <c r="F722" t="s">
        <v>3666</v>
      </c>
      <c r="M722" t="s">
        <v>4817</v>
      </c>
      <c r="N722" t="s">
        <v>1000</v>
      </c>
      <c r="O722" t="s">
        <v>18</v>
      </c>
      <c r="P722" t="s">
        <v>3399</v>
      </c>
      <c r="T722" t="s">
        <v>984</v>
      </c>
      <c r="U722" t="s">
        <v>816</v>
      </c>
      <c r="V722" t="s">
        <v>18</v>
      </c>
      <c r="W722" t="s">
        <v>2636</v>
      </c>
      <c r="AC722" t="s">
        <v>1005</v>
      </c>
      <c r="AD722" t="s">
        <v>818</v>
      </c>
      <c r="AE722" t="s">
        <v>18</v>
      </c>
      <c r="AF722" t="s">
        <v>3297</v>
      </c>
      <c r="AJ722" s="844" t="s">
        <v>5988</v>
      </c>
      <c r="AK722" s="844" t="s">
        <v>1077</v>
      </c>
      <c r="AL722" s="844" t="s">
        <v>2384</v>
      </c>
      <c r="AM722" s="844" t="s">
        <v>857</v>
      </c>
      <c r="AN722" s="844" t="s">
        <v>2686</v>
      </c>
    </row>
    <row r="723" spans="1:40">
      <c r="A723" t="s">
        <v>5230</v>
      </c>
      <c r="B723" t="s">
        <v>984</v>
      </c>
      <c r="C723" t="s">
        <v>816</v>
      </c>
      <c r="D723" t="s">
        <v>3668</v>
      </c>
      <c r="E723" t="s">
        <v>18</v>
      </c>
      <c r="F723" t="s">
        <v>3669</v>
      </c>
      <c r="M723" t="s">
        <v>4817</v>
      </c>
      <c r="N723" t="s">
        <v>1000</v>
      </c>
      <c r="O723" t="s">
        <v>18</v>
      </c>
      <c r="P723" t="s">
        <v>3398</v>
      </c>
      <c r="T723" t="s">
        <v>984</v>
      </c>
      <c r="U723" t="s">
        <v>816</v>
      </c>
      <c r="V723" t="s">
        <v>18</v>
      </c>
      <c r="W723" t="s">
        <v>2581</v>
      </c>
      <c r="AC723" t="s">
        <v>1005</v>
      </c>
      <c r="AD723" t="s">
        <v>19</v>
      </c>
      <c r="AE723" t="s">
        <v>857</v>
      </c>
      <c r="AF723" t="s">
        <v>857</v>
      </c>
      <c r="AJ723" s="844" t="s">
        <v>5991</v>
      </c>
      <c r="AK723" s="844" t="s">
        <v>1077</v>
      </c>
      <c r="AL723" s="844" t="s">
        <v>2384</v>
      </c>
      <c r="AM723" s="844" t="s">
        <v>18</v>
      </c>
      <c r="AN723" s="844" t="s">
        <v>2686</v>
      </c>
    </row>
    <row r="724" spans="1:40">
      <c r="A724" t="s">
        <v>6427</v>
      </c>
      <c r="B724" t="s">
        <v>984</v>
      </c>
      <c r="C724" t="s">
        <v>816</v>
      </c>
      <c r="E724" t="s">
        <v>53</v>
      </c>
      <c r="F724" t="s">
        <v>3682</v>
      </c>
      <c r="M724" t="s">
        <v>4716</v>
      </c>
      <c r="N724" t="s">
        <v>1001</v>
      </c>
      <c r="O724" t="s">
        <v>18</v>
      </c>
      <c r="P724" t="s">
        <v>3371</v>
      </c>
      <c r="T724" t="s">
        <v>984</v>
      </c>
      <c r="U724" t="s">
        <v>816</v>
      </c>
      <c r="V724" t="s">
        <v>18</v>
      </c>
      <c r="W724" t="s">
        <v>3668</v>
      </c>
      <c r="AC724" t="s">
        <v>1005</v>
      </c>
      <c r="AD724" t="s">
        <v>19</v>
      </c>
      <c r="AE724" t="s">
        <v>857</v>
      </c>
      <c r="AF724" t="s">
        <v>2581</v>
      </c>
      <c r="AJ724" s="844" t="s">
        <v>5994</v>
      </c>
      <c r="AK724" s="844" t="s">
        <v>1080</v>
      </c>
      <c r="AL724" s="844" t="s">
        <v>818</v>
      </c>
      <c r="AM724" s="844" t="s">
        <v>18</v>
      </c>
      <c r="AN724" s="844" t="s">
        <v>2366</v>
      </c>
    </row>
    <row r="725" spans="1:40">
      <c r="A725" t="s">
        <v>5208</v>
      </c>
      <c r="B725" t="s">
        <v>985</v>
      </c>
      <c r="C725" t="s">
        <v>818</v>
      </c>
      <c r="D725" t="s">
        <v>3634</v>
      </c>
      <c r="E725" t="s">
        <v>53</v>
      </c>
      <c r="F725" t="s">
        <v>3635</v>
      </c>
      <c r="M725" t="s">
        <v>4716</v>
      </c>
      <c r="N725" t="s">
        <v>1001</v>
      </c>
      <c r="O725" t="s">
        <v>18</v>
      </c>
      <c r="P725" t="s">
        <v>3370</v>
      </c>
      <c r="T725" t="s">
        <v>985</v>
      </c>
      <c r="U725" t="s">
        <v>818</v>
      </c>
      <c r="V725" t="s">
        <v>18</v>
      </c>
      <c r="W725" t="s">
        <v>857</v>
      </c>
      <c r="AC725" t="s">
        <v>1005</v>
      </c>
      <c r="AD725" t="s">
        <v>19</v>
      </c>
      <c r="AE725" t="s">
        <v>18</v>
      </c>
      <c r="AF725" t="s">
        <v>857</v>
      </c>
      <c r="AJ725" s="844" t="s">
        <v>5996</v>
      </c>
      <c r="AK725" s="844" t="s">
        <v>1080</v>
      </c>
      <c r="AL725" s="844" t="s">
        <v>816</v>
      </c>
      <c r="AM725" s="844" t="s">
        <v>18</v>
      </c>
      <c r="AN725" s="844" t="s">
        <v>2366</v>
      </c>
    </row>
    <row r="726" spans="1:40">
      <c r="A726" t="s">
        <v>5209</v>
      </c>
      <c r="B726" t="s">
        <v>985</v>
      </c>
      <c r="C726" t="s">
        <v>818</v>
      </c>
      <c r="D726" t="s">
        <v>3634</v>
      </c>
      <c r="E726" t="s">
        <v>18</v>
      </c>
      <c r="F726" t="s">
        <v>3640</v>
      </c>
      <c r="M726" t="s">
        <v>4716</v>
      </c>
      <c r="N726" t="s">
        <v>1001</v>
      </c>
      <c r="O726" t="s">
        <v>18</v>
      </c>
      <c r="P726" t="s">
        <v>3369</v>
      </c>
      <c r="T726" t="s">
        <v>985</v>
      </c>
      <c r="U726" t="s">
        <v>818</v>
      </c>
      <c r="V726" t="s">
        <v>18</v>
      </c>
      <c r="W726" t="s">
        <v>857</v>
      </c>
      <c r="AC726" t="s">
        <v>1005</v>
      </c>
      <c r="AD726" t="s">
        <v>19</v>
      </c>
      <c r="AE726" t="s">
        <v>18</v>
      </c>
      <c r="AF726" t="s">
        <v>3295</v>
      </c>
      <c r="AJ726" s="844" t="s">
        <v>5997</v>
      </c>
      <c r="AK726" s="844" t="s">
        <v>1081</v>
      </c>
      <c r="AL726" s="844" t="s">
        <v>818</v>
      </c>
      <c r="AM726" s="844" t="s">
        <v>857</v>
      </c>
      <c r="AN726" s="844" t="s">
        <v>2366</v>
      </c>
    </row>
    <row r="727" spans="1:40">
      <c r="A727" t="s">
        <v>6428</v>
      </c>
      <c r="B727" t="s">
        <v>985</v>
      </c>
      <c r="C727" t="s">
        <v>818</v>
      </c>
      <c r="E727" t="s">
        <v>18</v>
      </c>
      <c r="F727" t="s">
        <v>3645</v>
      </c>
      <c r="M727" t="s">
        <v>4716</v>
      </c>
      <c r="N727" t="s">
        <v>1001</v>
      </c>
      <c r="O727" t="s">
        <v>18</v>
      </c>
      <c r="P727" t="s">
        <v>3368</v>
      </c>
      <c r="T727" t="s">
        <v>985</v>
      </c>
      <c r="U727" t="s">
        <v>818</v>
      </c>
      <c r="V727" t="s">
        <v>53</v>
      </c>
      <c r="W727" t="s">
        <v>3634</v>
      </c>
      <c r="AC727" t="s">
        <v>1005</v>
      </c>
      <c r="AD727" t="s">
        <v>19</v>
      </c>
      <c r="AE727" t="s">
        <v>18</v>
      </c>
      <c r="AF727" t="s">
        <v>3300</v>
      </c>
      <c r="AJ727" s="844" t="s">
        <v>6001</v>
      </c>
      <c r="AK727" s="844" t="s">
        <v>1081</v>
      </c>
      <c r="AL727" s="844" t="s">
        <v>818</v>
      </c>
      <c r="AM727" s="844" t="s">
        <v>18</v>
      </c>
      <c r="AN727" s="844" t="s">
        <v>2366</v>
      </c>
    </row>
    <row r="728" spans="1:40">
      <c r="A728" t="s">
        <v>6428</v>
      </c>
      <c r="B728" t="s">
        <v>985</v>
      </c>
      <c r="C728" t="s">
        <v>818</v>
      </c>
      <c r="E728" t="s">
        <v>18</v>
      </c>
      <c r="F728" t="s">
        <v>3643</v>
      </c>
      <c r="M728" t="s">
        <v>4716</v>
      </c>
      <c r="N728" t="s">
        <v>1001</v>
      </c>
      <c r="O728" t="s">
        <v>18</v>
      </c>
      <c r="P728" t="s">
        <v>3367</v>
      </c>
      <c r="T728" t="s">
        <v>985</v>
      </c>
      <c r="U728" t="s">
        <v>818</v>
      </c>
      <c r="V728" t="s">
        <v>18</v>
      </c>
      <c r="W728" t="s">
        <v>3634</v>
      </c>
      <c r="AC728" t="s">
        <v>1005</v>
      </c>
      <c r="AD728" t="s">
        <v>19</v>
      </c>
      <c r="AE728" t="s">
        <v>18</v>
      </c>
      <c r="AF728" t="s">
        <v>2581</v>
      </c>
      <c r="AJ728" s="844" t="s">
        <v>6004</v>
      </c>
      <c r="AK728" s="844" t="s">
        <v>1081</v>
      </c>
      <c r="AL728" s="844" t="s">
        <v>19</v>
      </c>
      <c r="AM728" s="844" t="s">
        <v>18</v>
      </c>
      <c r="AN728" s="844" t="s">
        <v>2366</v>
      </c>
    </row>
    <row r="729" spans="1:40">
      <c r="A729" t="s">
        <v>5213</v>
      </c>
      <c r="B729" t="s">
        <v>985</v>
      </c>
      <c r="C729" t="s">
        <v>19</v>
      </c>
      <c r="D729" t="s">
        <v>2366</v>
      </c>
      <c r="E729" t="s">
        <v>53</v>
      </c>
      <c r="F729" t="s">
        <v>3632</v>
      </c>
      <c r="M729" t="s">
        <v>4716</v>
      </c>
      <c r="N729" t="s">
        <v>1001</v>
      </c>
      <c r="O729" t="s">
        <v>18</v>
      </c>
      <c r="P729" t="s">
        <v>3366</v>
      </c>
      <c r="T729" t="s">
        <v>985</v>
      </c>
      <c r="U729" t="s">
        <v>19</v>
      </c>
      <c r="V729" t="s">
        <v>857</v>
      </c>
      <c r="W729" t="s">
        <v>857</v>
      </c>
      <c r="AC729" t="s">
        <v>1005</v>
      </c>
      <c r="AD729" t="s">
        <v>19</v>
      </c>
      <c r="AE729" t="s">
        <v>18</v>
      </c>
      <c r="AF729" t="s">
        <v>3311</v>
      </c>
      <c r="AJ729" s="844" t="s">
        <v>6006</v>
      </c>
      <c r="AK729" s="844" t="s">
        <v>1081</v>
      </c>
      <c r="AL729" s="844" t="s">
        <v>816</v>
      </c>
      <c r="AM729" s="844" t="s">
        <v>857</v>
      </c>
      <c r="AN729" s="844" t="s">
        <v>2596</v>
      </c>
    </row>
    <row r="730" spans="1:40">
      <c r="A730" t="s">
        <v>6431</v>
      </c>
      <c r="B730" t="s">
        <v>985</v>
      </c>
      <c r="C730" t="s">
        <v>19</v>
      </c>
      <c r="D730" t="s">
        <v>2366</v>
      </c>
      <c r="F730" t="s">
        <v>3956</v>
      </c>
      <c r="M730" t="s">
        <v>4716</v>
      </c>
      <c r="N730" t="s">
        <v>1001</v>
      </c>
      <c r="O730" t="s">
        <v>18</v>
      </c>
      <c r="P730" t="s">
        <v>3365</v>
      </c>
      <c r="T730" t="s">
        <v>985</v>
      </c>
      <c r="U730" t="s">
        <v>19</v>
      </c>
      <c r="V730" t="s">
        <v>857</v>
      </c>
      <c r="W730" t="s">
        <v>857</v>
      </c>
      <c r="AC730" t="s">
        <v>1005</v>
      </c>
      <c r="AD730" t="s">
        <v>816</v>
      </c>
      <c r="AE730" t="s">
        <v>857</v>
      </c>
      <c r="AF730" t="s">
        <v>857</v>
      </c>
      <c r="AJ730" s="844" t="s">
        <v>6013</v>
      </c>
      <c r="AK730" s="844" t="s">
        <v>1081</v>
      </c>
      <c r="AL730" s="844" t="s">
        <v>816</v>
      </c>
      <c r="AM730" s="844" t="s">
        <v>18</v>
      </c>
      <c r="AN730" s="844" t="s">
        <v>2598</v>
      </c>
    </row>
    <row r="731" spans="1:40">
      <c r="A731" t="s">
        <v>6429</v>
      </c>
      <c r="B731" t="s">
        <v>985</v>
      </c>
      <c r="C731" t="s">
        <v>19</v>
      </c>
      <c r="E731" t="s">
        <v>53</v>
      </c>
      <c r="F731" t="s">
        <v>3633</v>
      </c>
      <c r="M731" t="s">
        <v>4716</v>
      </c>
      <c r="N731" t="s">
        <v>1001</v>
      </c>
      <c r="O731" t="s">
        <v>18</v>
      </c>
      <c r="P731" t="s">
        <v>3364</v>
      </c>
      <c r="T731" t="s">
        <v>985</v>
      </c>
      <c r="U731" t="s">
        <v>19</v>
      </c>
      <c r="V731" t="s">
        <v>53</v>
      </c>
      <c r="W731" t="s">
        <v>857</v>
      </c>
      <c r="AC731" t="s">
        <v>1005</v>
      </c>
      <c r="AD731" t="s">
        <v>816</v>
      </c>
      <c r="AE731" t="s">
        <v>857</v>
      </c>
      <c r="AF731" t="s">
        <v>3292</v>
      </c>
      <c r="AJ731" s="844" t="s">
        <v>6013</v>
      </c>
      <c r="AK731" s="844" t="s">
        <v>1081</v>
      </c>
      <c r="AL731" s="844" t="s">
        <v>816</v>
      </c>
      <c r="AM731" s="844" t="s">
        <v>18</v>
      </c>
      <c r="AN731" s="844" t="s">
        <v>2596</v>
      </c>
    </row>
    <row r="732" spans="1:40">
      <c r="A732" t="s">
        <v>6430</v>
      </c>
      <c r="B732" t="s">
        <v>985</v>
      </c>
      <c r="C732" t="s">
        <v>19</v>
      </c>
      <c r="E732" t="s">
        <v>18</v>
      </c>
      <c r="F732" t="s">
        <v>3644</v>
      </c>
      <c r="M732" t="s">
        <v>4716</v>
      </c>
      <c r="N732" t="s">
        <v>1001</v>
      </c>
      <c r="O732" t="s">
        <v>18</v>
      </c>
      <c r="P732" t="s">
        <v>3363</v>
      </c>
      <c r="T732" t="s">
        <v>985</v>
      </c>
      <c r="U732" t="s">
        <v>19</v>
      </c>
      <c r="V732" t="s">
        <v>18</v>
      </c>
      <c r="W732" t="s">
        <v>857</v>
      </c>
      <c r="AC732" t="s">
        <v>1005</v>
      </c>
      <c r="AD732" t="s">
        <v>816</v>
      </c>
      <c r="AE732" t="s">
        <v>18</v>
      </c>
      <c r="AF732" t="s">
        <v>857</v>
      </c>
      <c r="AJ732" s="844" t="s">
        <v>6013</v>
      </c>
      <c r="AK732" s="844" t="s">
        <v>1081</v>
      </c>
      <c r="AL732" s="844" t="s">
        <v>816</v>
      </c>
      <c r="AM732" s="844" t="s">
        <v>18</v>
      </c>
      <c r="AN732" s="844" t="s">
        <v>2366</v>
      </c>
    </row>
    <row r="733" spans="1:40">
      <c r="A733" t="s">
        <v>6430</v>
      </c>
      <c r="B733" t="s">
        <v>985</v>
      </c>
      <c r="C733" t="s">
        <v>19</v>
      </c>
      <c r="E733" t="s">
        <v>18</v>
      </c>
      <c r="F733" t="s">
        <v>3642</v>
      </c>
      <c r="M733" t="s">
        <v>4716</v>
      </c>
      <c r="N733" t="s">
        <v>1001</v>
      </c>
      <c r="O733" t="s">
        <v>18</v>
      </c>
      <c r="P733" t="s">
        <v>3362</v>
      </c>
      <c r="T733" t="s">
        <v>985</v>
      </c>
      <c r="U733" t="s">
        <v>19</v>
      </c>
      <c r="V733" t="s">
        <v>18</v>
      </c>
      <c r="W733" t="s">
        <v>857</v>
      </c>
      <c r="AC733" t="s">
        <v>1005</v>
      </c>
      <c r="AD733" t="s">
        <v>816</v>
      </c>
      <c r="AE733" t="s">
        <v>18</v>
      </c>
      <c r="AF733" t="s">
        <v>3292</v>
      </c>
      <c r="AJ733" s="844" t="s">
        <v>7532</v>
      </c>
      <c r="AK733" s="844" t="s">
        <v>7525</v>
      </c>
      <c r="AL733" s="844" t="s">
        <v>818</v>
      </c>
      <c r="AM733" s="844" t="s">
        <v>18</v>
      </c>
      <c r="AN733" s="844" t="s">
        <v>2554</v>
      </c>
    </row>
    <row r="734" spans="1:40">
      <c r="A734" t="s">
        <v>6430</v>
      </c>
      <c r="B734" t="s">
        <v>985</v>
      </c>
      <c r="C734" t="s">
        <v>19</v>
      </c>
      <c r="E734" t="s">
        <v>18</v>
      </c>
      <c r="F734" t="s">
        <v>3641</v>
      </c>
      <c r="M734" t="s">
        <v>4716</v>
      </c>
      <c r="N734" t="s">
        <v>1001</v>
      </c>
      <c r="O734" t="s">
        <v>18</v>
      </c>
      <c r="P734" t="s">
        <v>3361</v>
      </c>
      <c r="T734" t="s">
        <v>985</v>
      </c>
      <c r="U734" t="s">
        <v>19</v>
      </c>
      <c r="V734" t="s">
        <v>18</v>
      </c>
      <c r="W734" t="s">
        <v>857</v>
      </c>
      <c r="AC734" t="s">
        <v>1005</v>
      </c>
      <c r="AD734" t="s">
        <v>816</v>
      </c>
      <c r="AE734" t="s">
        <v>18</v>
      </c>
      <c r="AF734" t="s">
        <v>3300</v>
      </c>
      <c r="AJ734" s="844" t="s">
        <v>7532</v>
      </c>
      <c r="AK734" s="844" t="s">
        <v>7525</v>
      </c>
      <c r="AL734" s="844" t="s">
        <v>818</v>
      </c>
      <c r="AM734" s="844" t="s">
        <v>18</v>
      </c>
      <c r="AN734" s="844" t="s">
        <v>2581</v>
      </c>
    </row>
    <row r="735" spans="1:40">
      <c r="A735" t="s">
        <v>5211</v>
      </c>
      <c r="B735" t="s">
        <v>985</v>
      </c>
      <c r="C735" t="s">
        <v>19</v>
      </c>
      <c r="F735" t="s">
        <v>3855</v>
      </c>
      <c r="M735" t="s">
        <v>4716</v>
      </c>
      <c r="N735" t="s">
        <v>1001</v>
      </c>
      <c r="O735" t="s">
        <v>18</v>
      </c>
      <c r="P735" t="s">
        <v>3360</v>
      </c>
      <c r="T735" t="s">
        <v>985</v>
      </c>
      <c r="U735" t="s">
        <v>19</v>
      </c>
      <c r="V735" t="s">
        <v>857</v>
      </c>
      <c r="W735" t="s">
        <v>2366</v>
      </c>
      <c r="AC735" t="s">
        <v>1006</v>
      </c>
      <c r="AD735" t="s">
        <v>818</v>
      </c>
      <c r="AE735" t="s">
        <v>18</v>
      </c>
      <c r="AF735" t="s">
        <v>857</v>
      </c>
      <c r="AJ735" s="844" t="s">
        <v>7533</v>
      </c>
      <c r="AK735" s="844" t="s">
        <v>7525</v>
      </c>
      <c r="AL735" s="844" t="s">
        <v>19</v>
      </c>
      <c r="AM735" s="844" t="s">
        <v>18</v>
      </c>
      <c r="AN735" s="844" t="s">
        <v>2554</v>
      </c>
    </row>
    <row r="736" spans="1:40">
      <c r="A736" t="s">
        <v>5211</v>
      </c>
      <c r="B736" t="s">
        <v>985</v>
      </c>
      <c r="C736" t="s">
        <v>19</v>
      </c>
      <c r="F736" t="s">
        <v>3815</v>
      </c>
      <c r="M736" t="s">
        <v>4716</v>
      </c>
      <c r="N736" t="s">
        <v>1001</v>
      </c>
      <c r="O736" t="s">
        <v>18</v>
      </c>
      <c r="P736" t="s">
        <v>3359</v>
      </c>
      <c r="T736" t="s">
        <v>985</v>
      </c>
      <c r="U736" t="s">
        <v>19</v>
      </c>
      <c r="V736" t="s">
        <v>53</v>
      </c>
      <c r="W736" t="s">
        <v>2366</v>
      </c>
      <c r="AC736" t="s">
        <v>1006</v>
      </c>
      <c r="AD736" t="s">
        <v>818</v>
      </c>
      <c r="AE736" t="s">
        <v>18</v>
      </c>
      <c r="AF736" t="s">
        <v>3268</v>
      </c>
      <c r="AJ736" s="844" t="s">
        <v>7534</v>
      </c>
      <c r="AK736" s="844" t="s">
        <v>7525</v>
      </c>
      <c r="AL736" s="844" t="s">
        <v>2384</v>
      </c>
      <c r="AM736" s="844" t="s">
        <v>857</v>
      </c>
      <c r="AN736" s="844" t="s">
        <v>2561</v>
      </c>
    </row>
    <row r="737" spans="1:40">
      <c r="A737" t="s">
        <v>5216</v>
      </c>
      <c r="B737" t="s">
        <v>985</v>
      </c>
      <c r="C737" t="s">
        <v>2384</v>
      </c>
      <c r="D737" t="s">
        <v>3630</v>
      </c>
      <c r="E737" t="s">
        <v>53</v>
      </c>
      <c r="F737" t="s">
        <v>3636</v>
      </c>
      <c r="M737" t="s">
        <v>4716</v>
      </c>
      <c r="N737" t="s">
        <v>1001</v>
      </c>
      <c r="O737" t="s">
        <v>18</v>
      </c>
      <c r="P737" t="s">
        <v>3357</v>
      </c>
      <c r="T737" t="s">
        <v>985</v>
      </c>
      <c r="U737" t="s">
        <v>2384</v>
      </c>
      <c r="V737" t="s">
        <v>857</v>
      </c>
      <c r="W737" t="s">
        <v>857</v>
      </c>
      <c r="AC737" t="s">
        <v>1006</v>
      </c>
      <c r="AD737" t="s">
        <v>19</v>
      </c>
      <c r="AE737" t="s">
        <v>857</v>
      </c>
      <c r="AF737" t="s">
        <v>857</v>
      </c>
      <c r="AJ737" s="844" t="s">
        <v>7534</v>
      </c>
      <c r="AK737" s="844" t="s">
        <v>7525</v>
      </c>
      <c r="AL737" s="844" t="s">
        <v>2384</v>
      </c>
      <c r="AM737" s="844" t="s">
        <v>857</v>
      </c>
      <c r="AN737" s="844" t="s">
        <v>2554</v>
      </c>
    </row>
    <row r="738" spans="1:40">
      <c r="A738" t="s">
        <v>6432</v>
      </c>
      <c r="B738" t="s">
        <v>985</v>
      </c>
      <c r="C738" t="s">
        <v>2384</v>
      </c>
      <c r="D738" t="s">
        <v>3630</v>
      </c>
      <c r="F738" t="s">
        <v>4088</v>
      </c>
      <c r="M738" t="s">
        <v>4717</v>
      </c>
      <c r="N738" t="s">
        <v>1002</v>
      </c>
      <c r="O738" t="s">
        <v>18</v>
      </c>
      <c r="P738" t="s">
        <v>3396</v>
      </c>
      <c r="T738" t="s">
        <v>985</v>
      </c>
      <c r="U738" t="s">
        <v>2384</v>
      </c>
      <c r="V738" t="s">
        <v>857</v>
      </c>
      <c r="W738" t="s">
        <v>857</v>
      </c>
      <c r="AC738" t="s">
        <v>1006</v>
      </c>
      <c r="AD738" t="s">
        <v>19</v>
      </c>
      <c r="AE738" t="s">
        <v>857</v>
      </c>
      <c r="AF738" t="s">
        <v>3182</v>
      </c>
      <c r="AJ738" s="844" t="s">
        <v>7535</v>
      </c>
      <c r="AK738" s="844" t="s">
        <v>7525</v>
      </c>
      <c r="AL738" s="844" t="s">
        <v>2384</v>
      </c>
      <c r="AM738" s="844" t="s">
        <v>18</v>
      </c>
      <c r="AN738" s="844" t="s">
        <v>2559</v>
      </c>
    </row>
    <row r="739" spans="1:40">
      <c r="A739" t="s">
        <v>5214</v>
      </c>
      <c r="B739" t="s">
        <v>985</v>
      </c>
      <c r="C739" t="s">
        <v>2384</v>
      </c>
      <c r="F739" t="s">
        <v>3816</v>
      </c>
      <c r="M739" t="s">
        <v>4717</v>
      </c>
      <c r="N739" t="s">
        <v>1002</v>
      </c>
      <c r="O739" t="s">
        <v>18</v>
      </c>
      <c r="P739" t="s">
        <v>3395</v>
      </c>
      <c r="T739" t="s">
        <v>985</v>
      </c>
      <c r="U739" t="s">
        <v>2384</v>
      </c>
      <c r="V739" t="s">
        <v>857</v>
      </c>
      <c r="W739" t="s">
        <v>3630</v>
      </c>
      <c r="AC739" t="s">
        <v>1006</v>
      </c>
      <c r="AD739" t="s">
        <v>19</v>
      </c>
      <c r="AE739" t="s">
        <v>18</v>
      </c>
      <c r="AF739" t="s">
        <v>857</v>
      </c>
      <c r="AJ739" s="844" t="s">
        <v>7536</v>
      </c>
      <c r="AK739" s="844" t="s">
        <v>7525</v>
      </c>
      <c r="AL739" s="844" t="s">
        <v>2416</v>
      </c>
      <c r="AM739" s="844" t="s">
        <v>857</v>
      </c>
      <c r="AN739" s="844" t="s">
        <v>2554</v>
      </c>
    </row>
    <row r="740" spans="1:40">
      <c r="A740" t="s">
        <v>5214</v>
      </c>
      <c r="B740" t="s">
        <v>985</v>
      </c>
      <c r="C740" t="s">
        <v>2384</v>
      </c>
      <c r="F740" t="s">
        <v>3766</v>
      </c>
      <c r="M740" t="s">
        <v>4717</v>
      </c>
      <c r="N740" t="s">
        <v>1002</v>
      </c>
      <c r="O740" t="s">
        <v>18</v>
      </c>
      <c r="P740" t="s">
        <v>3394</v>
      </c>
      <c r="T740" t="s">
        <v>985</v>
      </c>
      <c r="U740" t="s">
        <v>2384</v>
      </c>
      <c r="V740" t="s">
        <v>53</v>
      </c>
      <c r="W740" t="s">
        <v>3630</v>
      </c>
      <c r="AC740" t="s">
        <v>1006</v>
      </c>
      <c r="AD740" t="s">
        <v>19</v>
      </c>
      <c r="AE740" t="s">
        <v>18</v>
      </c>
      <c r="AF740" t="s">
        <v>3184</v>
      </c>
      <c r="AJ740" s="844" t="s">
        <v>7537</v>
      </c>
      <c r="AK740" s="844" t="s">
        <v>7525</v>
      </c>
      <c r="AL740" s="844" t="s">
        <v>2416</v>
      </c>
      <c r="AM740" s="844" t="s">
        <v>18</v>
      </c>
      <c r="AN740" s="844" t="s">
        <v>2554</v>
      </c>
    </row>
    <row r="741" spans="1:40">
      <c r="A741" t="s">
        <v>6433</v>
      </c>
      <c r="B741" t="s">
        <v>985</v>
      </c>
      <c r="C741" t="s">
        <v>2416</v>
      </c>
      <c r="E741" t="s">
        <v>53</v>
      </c>
      <c r="F741" t="s">
        <v>3639</v>
      </c>
      <c r="M741" t="s">
        <v>4717</v>
      </c>
      <c r="N741" t="s">
        <v>1002</v>
      </c>
      <c r="O741" t="s">
        <v>18</v>
      </c>
      <c r="P741" t="s">
        <v>3393</v>
      </c>
      <c r="T741" t="s">
        <v>985</v>
      </c>
      <c r="U741" t="s">
        <v>2416</v>
      </c>
      <c r="V741" t="s">
        <v>53</v>
      </c>
      <c r="W741" t="s">
        <v>857</v>
      </c>
      <c r="AC741" t="s">
        <v>1006</v>
      </c>
      <c r="AD741" t="s">
        <v>19</v>
      </c>
      <c r="AE741" t="s">
        <v>18</v>
      </c>
      <c r="AF741" t="s">
        <v>3182</v>
      </c>
      <c r="AJ741" s="844" t="s">
        <v>7538</v>
      </c>
      <c r="AK741" s="844" t="s">
        <v>7525</v>
      </c>
      <c r="AL741" s="844" t="s">
        <v>816</v>
      </c>
      <c r="AM741" s="844" t="s">
        <v>18</v>
      </c>
      <c r="AN741" s="844" t="s">
        <v>2554</v>
      </c>
    </row>
    <row r="742" spans="1:40">
      <c r="A742" t="s">
        <v>5218</v>
      </c>
      <c r="B742" t="s">
        <v>985</v>
      </c>
      <c r="C742" t="s">
        <v>816</v>
      </c>
      <c r="D742" t="s">
        <v>3630</v>
      </c>
      <c r="E742" t="s">
        <v>53</v>
      </c>
      <c r="F742" t="s">
        <v>3631</v>
      </c>
      <c r="M742" t="s">
        <v>4717</v>
      </c>
      <c r="N742" t="s">
        <v>1002</v>
      </c>
      <c r="O742" t="s">
        <v>18</v>
      </c>
      <c r="P742" t="s">
        <v>3392</v>
      </c>
      <c r="T742" t="s">
        <v>985</v>
      </c>
      <c r="U742" t="s">
        <v>816</v>
      </c>
      <c r="V742" t="s">
        <v>53</v>
      </c>
      <c r="W742" t="s">
        <v>857</v>
      </c>
      <c r="AC742" t="s">
        <v>1006</v>
      </c>
      <c r="AD742" t="s">
        <v>2384</v>
      </c>
      <c r="AE742" t="s">
        <v>857</v>
      </c>
      <c r="AF742" t="s">
        <v>857</v>
      </c>
      <c r="AJ742" s="844" t="s">
        <v>6016</v>
      </c>
      <c r="AK742" s="844" t="s">
        <v>1083</v>
      </c>
      <c r="AL742" s="844" t="s">
        <v>818</v>
      </c>
      <c r="AM742" s="844" t="s">
        <v>18</v>
      </c>
      <c r="AN742" s="844" t="s">
        <v>2607</v>
      </c>
    </row>
    <row r="743" spans="1:40">
      <c r="A743" t="s">
        <v>5219</v>
      </c>
      <c r="B743" t="s">
        <v>985</v>
      </c>
      <c r="C743" t="s">
        <v>816</v>
      </c>
      <c r="D743" t="s">
        <v>2366</v>
      </c>
      <c r="E743" t="s">
        <v>53</v>
      </c>
      <c r="F743" t="s">
        <v>3637</v>
      </c>
      <c r="M743" t="s">
        <v>4717</v>
      </c>
      <c r="N743" t="s">
        <v>1002</v>
      </c>
      <c r="O743" t="s">
        <v>18</v>
      </c>
      <c r="P743" t="s">
        <v>3391</v>
      </c>
      <c r="T743" t="s">
        <v>985</v>
      </c>
      <c r="U743" t="s">
        <v>816</v>
      </c>
      <c r="V743" t="s">
        <v>18</v>
      </c>
      <c r="W743" t="s">
        <v>857</v>
      </c>
      <c r="AC743" t="s">
        <v>1006</v>
      </c>
      <c r="AD743" t="s">
        <v>2384</v>
      </c>
      <c r="AE743" t="s">
        <v>857</v>
      </c>
      <c r="AF743" t="s">
        <v>3187</v>
      </c>
      <c r="AJ743" s="844" t="s">
        <v>6019</v>
      </c>
      <c r="AK743" s="844" t="s">
        <v>1083</v>
      </c>
      <c r="AL743" s="844" t="s">
        <v>19</v>
      </c>
      <c r="AM743" s="844" t="s">
        <v>18</v>
      </c>
      <c r="AN743" s="844" t="s">
        <v>2607</v>
      </c>
    </row>
    <row r="744" spans="1:40">
      <c r="A744" t="s">
        <v>6434</v>
      </c>
      <c r="B744" t="s">
        <v>985</v>
      </c>
      <c r="C744" t="s">
        <v>816</v>
      </c>
      <c r="E744" t="s">
        <v>53</v>
      </c>
      <c r="F744" t="s">
        <v>3638</v>
      </c>
      <c r="M744" t="s">
        <v>4717</v>
      </c>
      <c r="N744" t="s">
        <v>1002</v>
      </c>
      <c r="O744" t="s">
        <v>18</v>
      </c>
      <c r="P744" t="s">
        <v>3390</v>
      </c>
      <c r="T744" t="s">
        <v>985</v>
      </c>
      <c r="U744" t="s">
        <v>816</v>
      </c>
      <c r="V744" t="s">
        <v>18</v>
      </c>
      <c r="W744" t="s">
        <v>857</v>
      </c>
      <c r="AC744" t="s">
        <v>1006</v>
      </c>
      <c r="AD744" t="s">
        <v>2384</v>
      </c>
      <c r="AE744" t="s">
        <v>18</v>
      </c>
      <c r="AF744" t="s">
        <v>3187</v>
      </c>
      <c r="AJ744" s="844" t="s">
        <v>6020</v>
      </c>
      <c r="AK744" s="844" t="s">
        <v>1083</v>
      </c>
      <c r="AL744" s="844" t="s">
        <v>2384</v>
      </c>
      <c r="AM744" s="844" t="s">
        <v>857</v>
      </c>
      <c r="AN744" s="844" t="s">
        <v>2607</v>
      </c>
    </row>
    <row r="745" spans="1:40">
      <c r="A745" t="s">
        <v>6435</v>
      </c>
      <c r="B745" t="s">
        <v>985</v>
      </c>
      <c r="C745" t="s">
        <v>816</v>
      </c>
      <c r="E745" t="s">
        <v>18</v>
      </c>
      <c r="F745" t="s">
        <v>3647</v>
      </c>
      <c r="M745" t="s">
        <v>4717</v>
      </c>
      <c r="N745" t="s">
        <v>1002</v>
      </c>
      <c r="O745" t="s">
        <v>18</v>
      </c>
      <c r="P745" t="s">
        <v>3389</v>
      </c>
      <c r="T745" t="s">
        <v>985</v>
      </c>
      <c r="U745" t="s">
        <v>816</v>
      </c>
      <c r="V745" t="s">
        <v>53</v>
      </c>
      <c r="W745" t="s">
        <v>3630</v>
      </c>
      <c r="AC745" t="s">
        <v>1006</v>
      </c>
      <c r="AD745" t="s">
        <v>2384</v>
      </c>
      <c r="AE745" t="s">
        <v>18</v>
      </c>
      <c r="AF745" t="s">
        <v>3184</v>
      </c>
      <c r="AJ745" s="844" t="s">
        <v>6025</v>
      </c>
      <c r="AK745" s="844" t="s">
        <v>1083</v>
      </c>
      <c r="AL745" s="844" t="s">
        <v>2384</v>
      </c>
      <c r="AM745" s="844" t="s">
        <v>18</v>
      </c>
      <c r="AN745" s="844" t="s">
        <v>2607</v>
      </c>
    </row>
    <row r="746" spans="1:40">
      <c r="A746" t="s">
        <v>6435</v>
      </c>
      <c r="B746" t="s">
        <v>985</v>
      </c>
      <c r="C746" t="s">
        <v>816</v>
      </c>
      <c r="E746" t="s">
        <v>18</v>
      </c>
      <c r="F746" t="s">
        <v>3646</v>
      </c>
      <c r="M746" t="s">
        <v>4717</v>
      </c>
      <c r="N746" t="s">
        <v>1002</v>
      </c>
      <c r="O746" t="s">
        <v>18</v>
      </c>
      <c r="P746" t="s">
        <v>3388</v>
      </c>
      <c r="T746" t="s">
        <v>985</v>
      </c>
      <c r="U746" t="s">
        <v>816</v>
      </c>
      <c r="V746" t="s">
        <v>53</v>
      </c>
      <c r="W746" t="s">
        <v>2366</v>
      </c>
      <c r="AC746" t="s">
        <v>1006</v>
      </c>
      <c r="AD746" t="s">
        <v>2416</v>
      </c>
      <c r="AE746" t="s">
        <v>18</v>
      </c>
      <c r="AF746" t="s">
        <v>857</v>
      </c>
      <c r="AJ746" s="844" t="s">
        <v>6025</v>
      </c>
      <c r="AK746" s="844" t="s">
        <v>1083</v>
      </c>
      <c r="AL746" s="844" t="s">
        <v>2384</v>
      </c>
      <c r="AM746" s="844" t="s">
        <v>18</v>
      </c>
      <c r="AN746" s="844" t="s">
        <v>2613</v>
      </c>
    </row>
    <row r="747" spans="1:40">
      <c r="A747" t="s">
        <v>5232</v>
      </c>
      <c r="B747" t="s">
        <v>986</v>
      </c>
      <c r="C747" t="s">
        <v>818</v>
      </c>
      <c r="D747" t="s">
        <v>3606</v>
      </c>
      <c r="E747" t="s">
        <v>18</v>
      </c>
      <c r="F747" t="s">
        <v>3608</v>
      </c>
      <c r="M747" t="s">
        <v>4717</v>
      </c>
      <c r="N747" t="s">
        <v>1002</v>
      </c>
      <c r="O747" t="s">
        <v>18</v>
      </c>
      <c r="P747" t="s">
        <v>3387</v>
      </c>
      <c r="T747" t="s">
        <v>986</v>
      </c>
      <c r="U747" t="s">
        <v>818</v>
      </c>
      <c r="V747" t="s">
        <v>857</v>
      </c>
      <c r="W747" t="s">
        <v>3606</v>
      </c>
      <c r="AC747" t="s">
        <v>1006</v>
      </c>
      <c r="AD747" t="s">
        <v>816</v>
      </c>
      <c r="AE747" t="s">
        <v>18</v>
      </c>
      <c r="AF747" t="s">
        <v>3184</v>
      </c>
      <c r="AJ747" s="844" t="s">
        <v>6028</v>
      </c>
      <c r="AK747" s="844" t="s">
        <v>1084</v>
      </c>
      <c r="AL747" s="844" t="s">
        <v>818</v>
      </c>
      <c r="AM747" s="844" t="s">
        <v>857</v>
      </c>
      <c r="AN747" s="844" t="s">
        <v>2586</v>
      </c>
    </row>
    <row r="748" spans="1:40">
      <c r="A748" t="s">
        <v>6436</v>
      </c>
      <c r="B748" t="s">
        <v>986</v>
      </c>
      <c r="C748" t="s">
        <v>818</v>
      </c>
      <c r="D748" t="s">
        <v>3606</v>
      </c>
      <c r="F748" t="s">
        <v>3955</v>
      </c>
      <c r="M748" t="s">
        <v>4717</v>
      </c>
      <c r="N748" t="s">
        <v>1002</v>
      </c>
      <c r="O748" t="s">
        <v>18</v>
      </c>
      <c r="P748" t="s">
        <v>3386</v>
      </c>
      <c r="T748" t="s">
        <v>986</v>
      </c>
      <c r="U748" t="s">
        <v>818</v>
      </c>
      <c r="V748" t="s">
        <v>857</v>
      </c>
      <c r="W748" t="s">
        <v>3606</v>
      </c>
      <c r="AC748" t="s">
        <v>1007</v>
      </c>
      <c r="AD748" t="s">
        <v>818</v>
      </c>
      <c r="AE748" t="s">
        <v>857</v>
      </c>
      <c r="AF748" t="s">
        <v>857</v>
      </c>
      <c r="AJ748" s="844" t="s">
        <v>6033</v>
      </c>
      <c r="AK748" s="844" t="s">
        <v>1084</v>
      </c>
      <c r="AL748" s="844" t="s">
        <v>818</v>
      </c>
      <c r="AM748" s="844" t="s">
        <v>18</v>
      </c>
      <c r="AN748" s="844" t="s">
        <v>2586</v>
      </c>
    </row>
    <row r="749" spans="1:40">
      <c r="A749" t="s">
        <v>6436</v>
      </c>
      <c r="B749" t="s">
        <v>986</v>
      </c>
      <c r="C749" t="s">
        <v>818</v>
      </c>
      <c r="D749" t="s">
        <v>3606</v>
      </c>
      <c r="F749" t="s">
        <v>3611</v>
      </c>
      <c r="M749" t="s">
        <v>4717</v>
      </c>
      <c r="N749" t="s">
        <v>1002</v>
      </c>
      <c r="O749" t="s">
        <v>18</v>
      </c>
      <c r="P749" t="s">
        <v>3385</v>
      </c>
      <c r="T749" t="s">
        <v>986</v>
      </c>
      <c r="U749" t="s">
        <v>818</v>
      </c>
      <c r="V749" t="s">
        <v>18</v>
      </c>
      <c r="W749" t="s">
        <v>3606</v>
      </c>
      <c r="AC749" t="s">
        <v>1007</v>
      </c>
      <c r="AD749" t="s">
        <v>818</v>
      </c>
      <c r="AE749" t="s">
        <v>857</v>
      </c>
      <c r="AF749" t="s">
        <v>3178</v>
      </c>
      <c r="AJ749" s="844" t="s">
        <v>6034</v>
      </c>
      <c r="AK749" s="844" t="s">
        <v>1084</v>
      </c>
      <c r="AL749" s="844" t="s">
        <v>19</v>
      </c>
      <c r="AM749" s="844" t="s">
        <v>857</v>
      </c>
      <c r="AN749" s="844" t="s">
        <v>2586</v>
      </c>
    </row>
    <row r="750" spans="1:40">
      <c r="A750" t="s">
        <v>5234</v>
      </c>
      <c r="B750" t="s">
        <v>986</v>
      </c>
      <c r="C750" t="s">
        <v>19</v>
      </c>
      <c r="D750" t="s">
        <v>3606</v>
      </c>
      <c r="E750" t="s">
        <v>18</v>
      </c>
      <c r="F750" t="s">
        <v>3610</v>
      </c>
      <c r="M750" t="s">
        <v>4718</v>
      </c>
      <c r="N750" t="s">
        <v>1005</v>
      </c>
      <c r="O750" t="s">
        <v>18</v>
      </c>
      <c r="P750" t="s">
        <v>3320</v>
      </c>
      <c r="T750" t="s">
        <v>986</v>
      </c>
      <c r="U750" t="s">
        <v>19</v>
      </c>
      <c r="V750" t="s">
        <v>18</v>
      </c>
      <c r="W750" t="s">
        <v>857</v>
      </c>
      <c r="AC750" t="s">
        <v>1007</v>
      </c>
      <c r="AD750" t="s">
        <v>818</v>
      </c>
      <c r="AE750" t="s">
        <v>18</v>
      </c>
      <c r="AF750" t="s">
        <v>3178</v>
      </c>
      <c r="AJ750" s="844" t="s">
        <v>6039</v>
      </c>
      <c r="AK750" s="844" t="s">
        <v>1084</v>
      </c>
      <c r="AL750" s="844" t="s">
        <v>19</v>
      </c>
      <c r="AM750" s="844" t="s">
        <v>18</v>
      </c>
      <c r="AN750" s="844" t="s">
        <v>2586</v>
      </c>
    </row>
    <row r="751" spans="1:40">
      <c r="A751" t="s">
        <v>6438</v>
      </c>
      <c r="B751" t="s">
        <v>986</v>
      </c>
      <c r="C751" t="s">
        <v>19</v>
      </c>
      <c r="D751" t="s">
        <v>3606</v>
      </c>
      <c r="F751" t="s">
        <v>3949</v>
      </c>
      <c r="M751" t="s">
        <v>4718</v>
      </c>
      <c r="N751" t="s">
        <v>1005</v>
      </c>
      <c r="O751" t="s">
        <v>18</v>
      </c>
      <c r="P751" t="s">
        <v>3319</v>
      </c>
      <c r="T751" t="s">
        <v>986</v>
      </c>
      <c r="U751" t="s">
        <v>19</v>
      </c>
      <c r="V751" t="s">
        <v>18</v>
      </c>
      <c r="W751" t="s">
        <v>857</v>
      </c>
      <c r="AC751" t="s">
        <v>1008</v>
      </c>
      <c r="AD751" t="s">
        <v>818</v>
      </c>
      <c r="AE751" t="s">
        <v>18</v>
      </c>
      <c r="AF751" t="s">
        <v>857</v>
      </c>
      <c r="AJ751" s="844" t="s">
        <v>6043</v>
      </c>
      <c r="AK751" s="844" t="s">
        <v>1084</v>
      </c>
      <c r="AL751" s="844" t="s">
        <v>816</v>
      </c>
      <c r="AM751" s="844" t="s">
        <v>18</v>
      </c>
      <c r="AN751" s="844" t="s">
        <v>2586</v>
      </c>
    </row>
    <row r="752" spans="1:40">
      <c r="A752" t="s">
        <v>6437</v>
      </c>
      <c r="B752" t="s">
        <v>986</v>
      </c>
      <c r="C752" t="s">
        <v>19</v>
      </c>
      <c r="E752" t="s">
        <v>18</v>
      </c>
      <c r="F752" t="s">
        <v>3615</v>
      </c>
      <c r="M752" t="s">
        <v>4718</v>
      </c>
      <c r="N752" t="s">
        <v>1005</v>
      </c>
      <c r="O752" t="s">
        <v>18</v>
      </c>
      <c r="P752" t="s">
        <v>3318</v>
      </c>
      <c r="T752" t="s">
        <v>986</v>
      </c>
      <c r="U752" t="s">
        <v>19</v>
      </c>
      <c r="V752" t="s">
        <v>857</v>
      </c>
      <c r="W752" t="s">
        <v>3606</v>
      </c>
      <c r="AC752" t="s">
        <v>1009</v>
      </c>
      <c r="AD752" t="s">
        <v>818</v>
      </c>
      <c r="AE752" t="s">
        <v>53</v>
      </c>
      <c r="AF752" t="s">
        <v>857</v>
      </c>
      <c r="AJ752" s="844" t="s">
        <v>6046</v>
      </c>
      <c r="AK752" s="844" t="s">
        <v>1085</v>
      </c>
      <c r="AL752" s="844" t="s">
        <v>818</v>
      </c>
      <c r="AM752" s="844" t="s">
        <v>53</v>
      </c>
      <c r="AN752" s="844" t="s">
        <v>2581</v>
      </c>
    </row>
    <row r="753" spans="1:40">
      <c r="A753" t="s">
        <v>6437</v>
      </c>
      <c r="B753" t="s">
        <v>986</v>
      </c>
      <c r="C753" t="s">
        <v>19</v>
      </c>
      <c r="E753" t="s">
        <v>18</v>
      </c>
      <c r="F753" t="s">
        <v>3613</v>
      </c>
      <c r="M753" t="s">
        <v>4718</v>
      </c>
      <c r="N753" t="s">
        <v>1005</v>
      </c>
      <c r="O753" t="s">
        <v>18</v>
      </c>
      <c r="P753" t="s">
        <v>3317</v>
      </c>
      <c r="T753" t="s">
        <v>986</v>
      </c>
      <c r="U753" t="s">
        <v>19</v>
      </c>
      <c r="V753" t="s">
        <v>18</v>
      </c>
      <c r="W753" t="s">
        <v>3606</v>
      </c>
      <c r="AC753" t="s">
        <v>1009</v>
      </c>
      <c r="AD753" t="s">
        <v>818</v>
      </c>
      <c r="AE753" t="s">
        <v>53</v>
      </c>
      <c r="AF753" t="s">
        <v>3277</v>
      </c>
      <c r="AJ753" s="844" t="s">
        <v>6046</v>
      </c>
      <c r="AK753" s="844" t="s">
        <v>1085</v>
      </c>
      <c r="AL753" s="844" t="s">
        <v>818</v>
      </c>
      <c r="AM753" s="844" t="s">
        <v>53</v>
      </c>
      <c r="AN753" s="844" t="s">
        <v>2629</v>
      </c>
    </row>
    <row r="754" spans="1:40">
      <c r="A754" t="s">
        <v>5236</v>
      </c>
      <c r="B754" t="s">
        <v>986</v>
      </c>
      <c r="C754" t="s">
        <v>2384</v>
      </c>
      <c r="F754" t="s">
        <v>3904</v>
      </c>
      <c r="M754" t="s">
        <v>4718</v>
      </c>
      <c r="N754" t="s">
        <v>1005</v>
      </c>
      <c r="O754" t="s">
        <v>18</v>
      </c>
      <c r="P754" t="s">
        <v>3316</v>
      </c>
      <c r="T754" t="s">
        <v>986</v>
      </c>
      <c r="U754" t="s">
        <v>2384</v>
      </c>
      <c r="V754" t="s">
        <v>857</v>
      </c>
      <c r="W754" t="s">
        <v>857</v>
      </c>
      <c r="AC754" t="s">
        <v>1009</v>
      </c>
      <c r="AD754" t="s">
        <v>818</v>
      </c>
      <c r="AE754" t="s">
        <v>53</v>
      </c>
      <c r="AF754" t="s">
        <v>2636</v>
      </c>
      <c r="AJ754" s="844" t="s">
        <v>6048</v>
      </c>
      <c r="AK754" s="844" t="s">
        <v>1085</v>
      </c>
      <c r="AL754" s="844" t="s">
        <v>19</v>
      </c>
      <c r="AM754" s="844" t="s">
        <v>857</v>
      </c>
      <c r="AN754" s="844" t="s">
        <v>2629</v>
      </c>
    </row>
    <row r="755" spans="1:40">
      <c r="A755" t="s">
        <v>6439</v>
      </c>
      <c r="B755" t="s">
        <v>986</v>
      </c>
      <c r="C755" t="s">
        <v>2416</v>
      </c>
      <c r="E755" t="s">
        <v>18</v>
      </c>
      <c r="F755" t="s">
        <v>3612</v>
      </c>
      <c r="M755" t="s">
        <v>4718</v>
      </c>
      <c r="N755" t="s">
        <v>1005</v>
      </c>
      <c r="O755" t="s">
        <v>18</v>
      </c>
      <c r="P755" t="s">
        <v>3315</v>
      </c>
      <c r="T755" t="s">
        <v>986</v>
      </c>
      <c r="U755" t="s">
        <v>2416</v>
      </c>
      <c r="V755" t="s">
        <v>18</v>
      </c>
      <c r="W755" t="s">
        <v>857</v>
      </c>
      <c r="AC755" t="s">
        <v>1009</v>
      </c>
      <c r="AD755" t="s">
        <v>818</v>
      </c>
      <c r="AE755" t="s">
        <v>53</v>
      </c>
      <c r="AF755" t="s">
        <v>2366</v>
      </c>
      <c r="AJ755" s="844" t="s">
        <v>6052</v>
      </c>
      <c r="AK755" s="844" t="s">
        <v>1085</v>
      </c>
      <c r="AL755" s="844" t="s">
        <v>19</v>
      </c>
      <c r="AM755" s="844" t="s">
        <v>53</v>
      </c>
      <c r="AN755" s="844" t="s">
        <v>2636</v>
      </c>
    </row>
    <row r="756" spans="1:40">
      <c r="A756" t="s">
        <v>5237</v>
      </c>
      <c r="B756" t="s">
        <v>986</v>
      </c>
      <c r="C756" t="s">
        <v>816</v>
      </c>
      <c r="D756" t="s">
        <v>3606</v>
      </c>
      <c r="E756" t="s">
        <v>18</v>
      </c>
      <c r="F756" t="s">
        <v>3609</v>
      </c>
      <c r="M756" t="s">
        <v>4718</v>
      </c>
      <c r="N756" t="s">
        <v>1005</v>
      </c>
      <c r="O756" t="s">
        <v>18</v>
      </c>
      <c r="P756" t="s">
        <v>3314</v>
      </c>
      <c r="T756" t="s">
        <v>986</v>
      </c>
      <c r="U756" t="s">
        <v>816</v>
      </c>
      <c r="V756" t="s">
        <v>18</v>
      </c>
      <c r="W756" t="s">
        <v>857</v>
      </c>
      <c r="AC756" t="s">
        <v>1009</v>
      </c>
      <c r="AD756" t="s">
        <v>818</v>
      </c>
      <c r="AE756" t="s">
        <v>18</v>
      </c>
      <c r="AF756" t="s">
        <v>3277</v>
      </c>
      <c r="AJ756" s="844" t="s">
        <v>6052</v>
      </c>
      <c r="AK756" s="844" t="s">
        <v>1085</v>
      </c>
      <c r="AL756" s="844" t="s">
        <v>19</v>
      </c>
      <c r="AM756" s="844" t="s">
        <v>53</v>
      </c>
      <c r="AN756" s="844" t="s">
        <v>2629</v>
      </c>
    </row>
    <row r="757" spans="1:40">
      <c r="A757" t="s">
        <v>5237</v>
      </c>
      <c r="B757" t="s">
        <v>986</v>
      </c>
      <c r="C757" t="s">
        <v>816</v>
      </c>
      <c r="D757" t="s">
        <v>3606</v>
      </c>
      <c r="E757" t="s">
        <v>18</v>
      </c>
      <c r="F757" t="s">
        <v>3607</v>
      </c>
      <c r="M757" t="s">
        <v>4718</v>
      </c>
      <c r="N757" t="s">
        <v>1005</v>
      </c>
      <c r="O757" t="s">
        <v>18</v>
      </c>
      <c r="P757" t="s">
        <v>3313</v>
      </c>
      <c r="T757" t="s">
        <v>986</v>
      </c>
      <c r="U757" t="s">
        <v>816</v>
      </c>
      <c r="V757" t="s">
        <v>857</v>
      </c>
      <c r="W757" t="s">
        <v>3606</v>
      </c>
      <c r="AC757" t="s">
        <v>1009</v>
      </c>
      <c r="AD757" t="s">
        <v>19</v>
      </c>
      <c r="AE757" t="s">
        <v>857</v>
      </c>
      <c r="AF757" t="s">
        <v>2581</v>
      </c>
      <c r="AJ757" s="844" t="s">
        <v>6052</v>
      </c>
      <c r="AK757" s="844" t="s">
        <v>1085</v>
      </c>
      <c r="AL757" s="844" t="s">
        <v>19</v>
      </c>
      <c r="AM757" s="844" t="s">
        <v>53</v>
      </c>
      <c r="AN757" s="844" t="s">
        <v>2631</v>
      </c>
    </row>
    <row r="758" spans="1:40">
      <c r="A758" t="s">
        <v>6441</v>
      </c>
      <c r="B758" t="s">
        <v>986</v>
      </c>
      <c r="C758" t="s">
        <v>816</v>
      </c>
      <c r="D758" t="s">
        <v>3606</v>
      </c>
      <c r="F758" t="s">
        <v>3950</v>
      </c>
      <c r="M758" t="s">
        <v>4718</v>
      </c>
      <c r="N758" t="s">
        <v>1005</v>
      </c>
      <c r="O758" t="s">
        <v>18</v>
      </c>
      <c r="P758" t="s">
        <v>3312</v>
      </c>
      <c r="T758" t="s">
        <v>986</v>
      </c>
      <c r="U758" t="s">
        <v>816</v>
      </c>
      <c r="V758" t="s">
        <v>18</v>
      </c>
      <c r="W758" t="s">
        <v>3606</v>
      </c>
      <c r="AC758" t="s">
        <v>1009</v>
      </c>
      <c r="AD758" t="s">
        <v>19</v>
      </c>
      <c r="AE758" t="s">
        <v>53</v>
      </c>
      <c r="AF758" t="s">
        <v>2581</v>
      </c>
      <c r="AJ758" s="844" t="s">
        <v>6055</v>
      </c>
      <c r="AK758" s="844" t="s">
        <v>1085</v>
      </c>
      <c r="AL758" s="844" t="s">
        <v>2384</v>
      </c>
      <c r="AM758" s="844" t="s">
        <v>857</v>
      </c>
      <c r="AN758" s="844" t="s">
        <v>2629</v>
      </c>
    </row>
    <row r="759" spans="1:40">
      <c r="A759" t="s">
        <v>6440</v>
      </c>
      <c r="B759" t="s">
        <v>986</v>
      </c>
      <c r="C759" t="s">
        <v>816</v>
      </c>
      <c r="E759" t="s">
        <v>18</v>
      </c>
      <c r="F759" t="s">
        <v>3614</v>
      </c>
      <c r="M759" t="s">
        <v>4718</v>
      </c>
      <c r="N759" t="s">
        <v>1005</v>
      </c>
      <c r="O759" t="s">
        <v>18</v>
      </c>
      <c r="P759" t="s">
        <v>3310</v>
      </c>
      <c r="T759" t="s">
        <v>986</v>
      </c>
      <c r="U759" t="s">
        <v>816</v>
      </c>
      <c r="V759" t="s">
        <v>18</v>
      </c>
      <c r="W759" t="s">
        <v>3606</v>
      </c>
      <c r="AC759" t="s">
        <v>1009</v>
      </c>
      <c r="AD759" t="s">
        <v>19</v>
      </c>
      <c r="AE759" t="s">
        <v>18</v>
      </c>
      <c r="AF759" t="s">
        <v>857</v>
      </c>
      <c r="AJ759" s="844" t="s">
        <v>6058</v>
      </c>
      <c r="AK759" s="844" t="s">
        <v>1085</v>
      </c>
      <c r="AL759" s="844" t="s">
        <v>816</v>
      </c>
      <c r="AM759" s="844" t="s">
        <v>53</v>
      </c>
      <c r="AN759" s="844" t="s">
        <v>2629</v>
      </c>
    </row>
    <row r="760" spans="1:40">
      <c r="A760" t="s">
        <v>5239</v>
      </c>
      <c r="B760" t="s">
        <v>987</v>
      </c>
      <c r="C760" t="s">
        <v>818</v>
      </c>
      <c r="D760" t="s">
        <v>2366</v>
      </c>
      <c r="E760" t="s">
        <v>18</v>
      </c>
      <c r="F760" t="s">
        <v>3590</v>
      </c>
      <c r="M760" t="s">
        <v>4718</v>
      </c>
      <c r="N760" t="s">
        <v>1005</v>
      </c>
      <c r="O760" t="s">
        <v>18</v>
      </c>
      <c r="P760" t="s">
        <v>3309</v>
      </c>
      <c r="T760" t="s">
        <v>987</v>
      </c>
      <c r="U760" t="s">
        <v>818</v>
      </c>
      <c r="V760" t="s">
        <v>18</v>
      </c>
      <c r="W760" t="s">
        <v>857</v>
      </c>
      <c r="AC760" t="s">
        <v>1009</v>
      </c>
      <c r="AD760" t="s">
        <v>19</v>
      </c>
      <c r="AE760" t="s">
        <v>18</v>
      </c>
      <c r="AF760" t="s">
        <v>3348</v>
      </c>
      <c r="AJ760" s="844" t="s">
        <v>6058</v>
      </c>
      <c r="AK760" s="844" t="s">
        <v>1085</v>
      </c>
      <c r="AL760" s="844" t="s">
        <v>816</v>
      </c>
      <c r="AM760" s="844" t="s">
        <v>53</v>
      </c>
      <c r="AN760" s="844" t="s">
        <v>2631</v>
      </c>
    </row>
    <row r="761" spans="1:40">
      <c r="A761" t="s">
        <v>6442</v>
      </c>
      <c r="B761" t="s">
        <v>987</v>
      </c>
      <c r="C761" t="s">
        <v>818</v>
      </c>
      <c r="E761" t="s">
        <v>18</v>
      </c>
      <c r="F761" t="s">
        <v>3592</v>
      </c>
      <c r="M761" t="s">
        <v>4718</v>
      </c>
      <c r="N761" t="s">
        <v>1005</v>
      </c>
      <c r="O761" t="s">
        <v>18</v>
      </c>
      <c r="P761" t="s">
        <v>3308</v>
      </c>
      <c r="T761" t="s">
        <v>987</v>
      </c>
      <c r="U761" t="s">
        <v>818</v>
      </c>
      <c r="V761" t="s">
        <v>18</v>
      </c>
      <c r="W761" t="s">
        <v>857</v>
      </c>
      <c r="AC761" t="s">
        <v>1009</v>
      </c>
      <c r="AD761" t="s">
        <v>2384</v>
      </c>
      <c r="AE761" t="s">
        <v>857</v>
      </c>
      <c r="AF761" t="s">
        <v>857</v>
      </c>
      <c r="AJ761" s="844" t="s">
        <v>6060</v>
      </c>
      <c r="AK761" s="844" t="s">
        <v>1086</v>
      </c>
      <c r="AL761" s="844" t="s">
        <v>818</v>
      </c>
      <c r="AM761" s="844" t="s">
        <v>857</v>
      </c>
      <c r="AN761" s="844" t="s">
        <v>2570</v>
      </c>
    </row>
    <row r="762" spans="1:40">
      <c r="A762" t="s">
        <v>6442</v>
      </c>
      <c r="B762" t="s">
        <v>987</v>
      </c>
      <c r="C762" t="s">
        <v>818</v>
      </c>
      <c r="E762" t="s">
        <v>18</v>
      </c>
      <c r="F762" t="s">
        <v>3591</v>
      </c>
      <c r="M762" t="s">
        <v>4718</v>
      </c>
      <c r="N762" t="s">
        <v>1005</v>
      </c>
      <c r="O762" t="s">
        <v>18</v>
      </c>
      <c r="P762" t="s">
        <v>3307</v>
      </c>
      <c r="T762" t="s">
        <v>987</v>
      </c>
      <c r="U762" t="s">
        <v>818</v>
      </c>
      <c r="V762" t="s">
        <v>18</v>
      </c>
      <c r="W762" t="s">
        <v>857</v>
      </c>
      <c r="AC762" t="s">
        <v>1009</v>
      </c>
      <c r="AD762" t="s">
        <v>2384</v>
      </c>
      <c r="AE762" t="s">
        <v>857</v>
      </c>
      <c r="AF762" t="s">
        <v>2636</v>
      </c>
      <c r="AJ762" s="844" t="s">
        <v>6061</v>
      </c>
      <c r="AK762" s="844" t="s">
        <v>1086</v>
      </c>
      <c r="AL762" s="844" t="s">
        <v>818</v>
      </c>
      <c r="AM762" s="844" t="s">
        <v>18</v>
      </c>
      <c r="AN762" s="844" t="s">
        <v>2570</v>
      </c>
    </row>
    <row r="763" spans="1:40">
      <c r="A763" t="s">
        <v>6442</v>
      </c>
      <c r="B763" t="s">
        <v>987</v>
      </c>
      <c r="C763" t="s">
        <v>818</v>
      </c>
      <c r="E763" t="s">
        <v>18</v>
      </c>
      <c r="F763" t="s">
        <v>3587</v>
      </c>
      <c r="M763" t="s">
        <v>4718</v>
      </c>
      <c r="N763" t="s">
        <v>1005</v>
      </c>
      <c r="O763" t="s">
        <v>18</v>
      </c>
      <c r="P763" t="s">
        <v>3306</v>
      </c>
      <c r="T763" t="s">
        <v>987</v>
      </c>
      <c r="U763" t="s">
        <v>818</v>
      </c>
      <c r="V763" t="s">
        <v>18</v>
      </c>
      <c r="W763" t="s">
        <v>857</v>
      </c>
      <c r="AC763" t="s">
        <v>1009</v>
      </c>
      <c r="AD763" t="s">
        <v>816</v>
      </c>
      <c r="AE763" t="s">
        <v>53</v>
      </c>
      <c r="AF763" t="s">
        <v>2768</v>
      </c>
      <c r="AJ763" s="844" t="s">
        <v>6063</v>
      </c>
      <c r="AK763" s="844" t="s">
        <v>1086</v>
      </c>
      <c r="AL763" s="844" t="s">
        <v>816</v>
      </c>
      <c r="AM763" s="844" t="s">
        <v>18</v>
      </c>
      <c r="AN763" s="844" t="s">
        <v>2574</v>
      </c>
    </row>
    <row r="764" spans="1:40">
      <c r="A764" t="s">
        <v>6442</v>
      </c>
      <c r="B764" t="s">
        <v>987</v>
      </c>
      <c r="C764" t="s">
        <v>818</v>
      </c>
      <c r="E764" t="s">
        <v>18</v>
      </c>
      <c r="F764" t="s">
        <v>3586</v>
      </c>
      <c r="M764" t="s">
        <v>4718</v>
      </c>
      <c r="N764" t="s">
        <v>1005</v>
      </c>
      <c r="O764" t="s">
        <v>18</v>
      </c>
      <c r="P764" t="s">
        <v>3305</v>
      </c>
      <c r="T764" t="s">
        <v>987</v>
      </c>
      <c r="U764" t="s">
        <v>818</v>
      </c>
      <c r="V764" t="s">
        <v>18</v>
      </c>
      <c r="W764" t="s">
        <v>2366</v>
      </c>
      <c r="AC764" t="s">
        <v>1009</v>
      </c>
      <c r="AD764" t="s">
        <v>816</v>
      </c>
      <c r="AE764" t="s">
        <v>53</v>
      </c>
      <c r="AF764" t="s">
        <v>3346</v>
      </c>
      <c r="AJ764" s="844" t="s">
        <v>6063</v>
      </c>
      <c r="AK764" s="844" t="s">
        <v>1086</v>
      </c>
      <c r="AL764" s="844" t="s">
        <v>816</v>
      </c>
      <c r="AM764" s="844" t="s">
        <v>18</v>
      </c>
      <c r="AN764" s="844" t="s">
        <v>2572</v>
      </c>
    </row>
    <row r="765" spans="1:40">
      <c r="A765" t="s">
        <v>5241</v>
      </c>
      <c r="B765" t="s">
        <v>987</v>
      </c>
      <c r="C765" t="s">
        <v>19</v>
      </c>
      <c r="D765" t="s">
        <v>2581</v>
      </c>
      <c r="E765" t="s">
        <v>18</v>
      </c>
      <c r="F765" t="s">
        <v>3585</v>
      </c>
      <c r="M765" t="s">
        <v>4718</v>
      </c>
      <c r="N765" t="s">
        <v>1005</v>
      </c>
      <c r="O765" t="s">
        <v>18</v>
      </c>
      <c r="P765" t="s">
        <v>3304</v>
      </c>
      <c r="T765" t="s">
        <v>987</v>
      </c>
      <c r="U765" t="s">
        <v>19</v>
      </c>
      <c r="V765" t="s">
        <v>18</v>
      </c>
      <c r="W765" t="s">
        <v>857</v>
      </c>
      <c r="AC765" t="s">
        <v>1009</v>
      </c>
      <c r="AD765" t="s">
        <v>816</v>
      </c>
      <c r="AE765" t="s">
        <v>18</v>
      </c>
      <c r="AF765" t="s">
        <v>857</v>
      </c>
      <c r="AJ765" s="844" t="s">
        <v>6065</v>
      </c>
      <c r="AK765" s="844" t="s">
        <v>1088</v>
      </c>
      <c r="AL765" s="844" t="s">
        <v>816</v>
      </c>
      <c r="AM765" s="844" t="s">
        <v>857</v>
      </c>
      <c r="AN765" s="844" t="s">
        <v>2366</v>
      </c>
    </row>
    <row r="766" spans="1:40">
      <c r="A766" t="s">
        <v>5241</v>
      </c>
      <c r="B766" t="s">
        <v>987</v>
      </c>
      <c r="C766" t="s">
        <v>19</v>
      </c>
      <c r="D766" t="s">
        <v>2581</v>
      </c>
      <c r="E766" t="s">
        <v>18</v>
      </c>
      <c r="F766" t="s">
        <v>3582</v>
      </c>
      <c r="M766" t="s">
        <v>4718</v>
      </c>
      <c r="N766" t="s">
        <v>1005</v>
      </c>
      <c r="O766" t="s">
        <v>18</v>
      </c>
      <c r="P766" t="s">
        <v>3303</v>
      </c>
      <c r="T766" t="s">
        <v>987</v>
      </c>
      <c r="U766" t="s">
        <v>19</v>
      </c>
      <c r="V766" t="s">
        <v>857</v>
      </c>
      <c r="W766" t="s">
        <v>2581</v>
      </c>
      <c r="AC766" t="s">
        <v>1010</v>
      </c>
      <c r="AD766" t="s">
        <v>818</v>
      </c>
      <c r="AE766" t="s">
        <v>857</v>
      </c>
      <c r="AF766" t="s">
        <v>3202</v>
      </c>
      <c r="AJ766" s="844" t="s">
        <v>6069</v>
      </c>
      <c r="AK766" s="844" t="s">
        <v>1088</v>
      </c>
      <c r="AL766" s="844" t="s">
        <v>816</v>
      </c>
      <c r="AM766" s="844" t="s">
        <v>18</v>
      </c>
      <c r="AN766" s="844" t="s">
        <v>2366</v>
      </c>
    </row>
    <row r="767" spans="1:40">
      <c r="A767" t="s">
        <v>6444</v>
      </c>
      <c r="B767" t="s">
        <v>987</v>
      </c>
      <c r="C767" t="s">
        <v>19</v>
      </c>
      <c r="D767" t="s">
        <v>2581</v>
      </c>
      <c r="F767" t="s">
        <v>3938</v>
      </c>
      <c r="M767" t="s">
        <v>4718</v>
      </c>
      <c r="N767" t="s">
        <v>1005</v>
      </c>
      <c r="O767" t="s">
        <v>18</v>
      </c>
      <c r="P767" t="s">
        <v>3302</v>
      </c>
      <c r="T767" t="s">
        <v>987</v>
      </c>
      <c r="U767" t="s">
        <v>19</v>
      </c>
      <c r="V767" t="s">
        <v>18</v>
      </c>
      <c r="W767" t="s">
        <v>2581</v>
      </c>
      <c r="AC767" t="s">
        <v>1010</v>
      </c>
      <c r="AD767" t="s">
        <v>818</v>
      </c>
      <c r="AE767" t="s">
        <v>18</v>
      </c>
      <c r="AF767" t="s">
        <v>3202</v>
      </c>
      <c r="AJ767" s="844" t="s">
        <v>6072</v>
      </c>
      <c r="AK767" s="844" t="s">
        <v>1089</v>
      </c>
      <c r="AL767" s="844" t="s">
        <v>818</v>
      </c>
      <c r="AM767" s="844" t="s">
        <v>18</v>
      </c>
      <c r="AN767" s="844" t="s">
        <v>2532</v>
      </c>
    </row>
    <row r="768" spans="1:40">
      <c r="A768" t="s">
        <v>6443</v>
      </c>
      <c r="B768" t="s">
        <v>987</v>
      </c>
      <c r="C768" t="s">
        <v>19</v>
      </c>
      <c r="E768" t="s">
        <v>18</v>
      </c>
      <c r="F768" t="s">
        <v>3589</v>
      </c>
      <c r="M768" t="s">
        <v>4718</v>
      </c>
      <c r="N768" t="s">
        <v>1005</v>
      </c>
      <c r="O768" t="s">
        <v>18</v>
      </c>
      <c r="P768" t="s">
        <v>3301</v>
      </c>
      <c r="T768" t="s">
        <v>987</v>
      </c>
      <c r="U768" t="s">
        <v>19</v>
      </c>
      <c r="V768" t="s">
        <v>18</v>
      </c>
      <c r="W768" t="s">
        <v>2581</v>
      </c>
      <c r="AC768" t="s">
        <v>1010</v>
      </c>
      <c r="AD768" t="s">
        <v>19</v>
      </c>
      <c r="AE768" t="s">
        <v>857</v>
      </c>
      <c r="AF768" t="s">
        <v>3202</v>
      </c>
      <c r="AJ768" s="844" t="s">
        <v>6073</v>
      </c>
      <c r="AK768" s="844" t="s">
        <v>1089</v>
      </c>
      <c r="AL768" s="844" t="s">
        <v>19</v>
      </c>
      <c r="AM768" s="844" t="s">
        <v>857</v>
      </c>
      <c r="AN768" s="844" t="s">
        <v>2540</v>
      </c>
    </row>
    <row r="769" spans="1:40">
      <c r="A769" t="s">
        <v>5244</v>
      </c>
      <c r="B769" t="s">
        <v>987</v>
      </c>
      <c r="C769" t="s">
        <v>2384</v>
      </c>
      <c r="D769" t="s">
        <v>2581</v>
      </c>
      <c r="E769" t="s">
        <v>18</v>
      </c>
      <c r="F769" t="s">
        <v>3583</v>
      </c>
      <c r="M769" t="s">
        <v>4718</v>
      </c>
      <c r="N769" t="s">
        <v>1005</v>
      </c>
      <c r="O769" t="s">
        <v>18</v>
      </c>
      <c r="P769" t="s">
        <v>3299</v>
      </c>
      <c r="T769" t="s">
        <v>987</v>
      </c>
      <c r="U769" t="s">
        <v>2384</v>
      </c>
      <c r="V769" t="s">
        <v>857</v>
      </c>
      <c r="W769" t="s">
        <v>857</v>
      </c>
      <c r="AC769" t="s">
        <v>1010</v>
      </c>
      <c r="AD769" t="s">
        <v>19</v>
      </c>
      <c r="AE769" t="s">
        <v>18</v>
      </c>
      <c r="AF769" t="s">
        <v>3202</v>
      </c>
      <c r="AJ769" s="844" t="s">
        <v>6079</v>
      </c>
      <c r="AK769" s="844" t="s">
        <v>1089</v>
      </c>
      <c r="AL769" s="844" t="s">
        <v>19</v>
      </c>
      <c r="AM769" s="844" t="s">
        <v>18</v>
      </c>
      <c r="AN769" s="844" t="s">
        <v>2532</v>
      </c>
    </row>
    <row r="770" spans="1:40">
      <c r="A770" t="s">
        <v>6445</v>
      </c>
      <c r="B770" t="s">
        <v>987</v>
      </c>
      <c r="C770" t="s">
        <v>2384</v>
      </c>
      <c r="D770" t="s">
        <v>2581</v>
      </c>
      <c r="F770" t="s">
        <v>4087</v>
      </c>
      <c r="M770" t="s">
        <v>4718</v>
      </c>
      <c r="N770" t="s">
        <v>1005</v>
      </c>
      <c r="O770" t="s">
        <v>18</v>
      </c>
      <c r="P770" t="s">
        <v>3298</v>
      </c>
      <c r="T770" t="s">
        <v>987</v>
      </c>
      <c r="U770" t="s">
        <v>2384</v>
      </c>
      <c r="V770" t="s">
        <v>857</v>
      </c>
      <c r="W770" t="s">
        <v>2581</v>
      </c>
      <c r="AC770" t="s">
        <v>1010</v>
      </c>
      <c r="AD770" t="s">
        <v>19</v>
      </c>
      <c r="AE770" t="s">
        <v>18</v>
      </c>
      <c r="AF770" t="s">
        <v>2366</v>
      </c>
      <c r="AJ770" s="844" t="s">
        <v>6079</v>
      </c>
      <c r="AK770" s="844" t="s">
        <v>1089</v>
      </c>
      <c r="AL770" s="844" t="s">
        <v>19</v>
      </c>
      <c r="AM770" s="844" t="s">
        <v>18</v>
      </c>
      <c r="AN770" s="844" t="s">
        <v>2540</v>
      </c>
    </row>
    <row r="771" spans="1:40">
      <c r="A771" t="s">
        <v>5243</v>
      </c>
      <c r="B771" t="s">
        <v>987</v>
      </c>
      <c r="C771" t="s">
        <v>2384</v>
      </c>
      <c r="F771" t="s">
        <v>3868</v>
      </c>
      <c r="M771" t="s">
        <v>4718</v>
      </c>
      <c r="N771" t="s">
        <v>1005</v>
      </c>
      <c r="O771" t="s">
        <v>18</v>
      </c>
      <c r="P771" t="s">
        <v>3296</v>
      </c>
      <c r="T771" t="s">
        <v>987</v>
      </c>
      <c r="U771" t="s">
        <v>2384</v>
      </c>
      <c r="V771" t="s">
        <v>18</v>
      </c>
      <c r="W771" t="s">
        <v>2581</v>
      </c>
      <c r="AC771" t="s">
        <v>1010</v>
      </c>
      <c r="AD771" t="s">
        <v>2384</v>
      </c>
      <c r="AE771" t="s">
        <v>857</v>
      </c>
      <c r="AF771" t="s">
        <v>3202</v>
      </c>
      <c r="AJ771" s="844" t="s">
        <v>6080</v>
      </c>
      <c r="AK771" s="844" t="s">
        <v>1089</v>
      </c>
      <c r="AL771" s="844" t="s">
        <v>2384</v>
      </c>
      <c r="AM771" s="844" t="s">
        <v>857</v>
      </c>
      <c r="AN771" s="844" t="s">
        <v>2540</v>
      </c>
    </row>
    <row r="772" spans="1:40">
      <c r="A772" t="s">
        <v>5246</v>
      </c>
      <c r="B772" t="s">
        <v>987</v>
      </c>
      <c r="C772" t="s">
        <v>816</v>
      </c>
      <c r="D772" t="s">
        <v>2366</v>
      </c>
      <c r="E772" t="s">
        <v>18</v>
      </c>
      <c r="F772" t="s">
        <v>3584</v>
      </c>
      <c r="M772" t="s">
        <v>4718</v>
      </c>
      <c r="N772" t="s">
        <v>1005</v>
      </c>
      <c r="O772" t="s">
        <v>18</v>
      </c>
      <c r="P772" t="s">
        <v>3294</v>
      </c>
      <c r="T772" t="s">
        <v>987</v>
      </c>
      <c r="U772" t="s">
        <v>816</v>
      </c>
      <c r="V772" t="s">
        <v>18</v>
      </c>
      <c r="W772" t="s">
        <v>857</v>
      </c>
      <c r="AC772" t="s">
        <v>1010</v>
      </c>
      <c r="AD772" t="s">
        <v>2384</v>
      </c>
      <c r="AE772" t="s">
        <v>18</v>
      </c>
      <c r="AF772" t="s">
        <v>3202</v>
      </c>
      <c r="AJ772" s="844" t="s">
        <v>6084</v>
      </c>
      <c r="AK772" s="844" t="s">
        <v>1089</v>
      </c>
      <c r="AL772" s="844" t="s">
        <v>2384</v>
      </c>
      <c r="AM772" s="844" t="s">
        <v>18</v>
      </c>
      <c r="AN772" s="844" t="s">
        <v>2540</v>
      </c>
    </row>
    <row r="773" spans="1:40">
      <c r="A773" t="s">
        <v>6446</v>
      </c>
      <c r="B773" t="s">
        <v>987</v>
      </c>
      <c r="C773" t="s">
        <v>816</v>
      </c>
      <c r="E773" t="s">
        <v>18</v>
      </c>
      <c r="F773" t="s">
        <v>3588</v>
      </c>
      <c r="M773" t="s">
        <v>4718</v>
      </c>
      <c r="N773" t="s">
        <v>1005</v>
      </c>
      <c r="O773" t="s">
        <v>18</v>
      </c>
      <c r="P773" t="s">
        <v>3293</v>
      </c>
      <c r="T773" t="s">
        <v>987</v>
      </c>
      <c r="U773" t="s">
        <v>816</v>
      </c>
      <c r="V773" t="s">
        <v>18</v>
      </c>
      <c r="W773" t="s">
        <v>2366</v>
      </c>
      <c r="AC773" t="s">
        <v>1010</v>
      </c>
      <c r="AD773" t="s">
        <v>2416</v>
      </c>
      <c r="AE773" t="s">
        <v>857</v>
      </c>
      <c r="AF773" t="s">
        <v>857</v>
      </c>
      <c r="AJ773" s="844" t="s">
        <v>6089</v>
      </c>
      <c r="AK773" s="844" t="s">
        <v>1089</v>
      </c>
      <c r="AL773" s="844" t="s">
        <v>2416</v>
      </c>
      <c r="AM773" s="844" t="s">
        <v>18</v>
      </c>
      <c r="AN773" s="844" t="s">
        <v>2532</v>
      </c>
    </row>
    <row r="774" spans="1:40">
      <c r="A774" t="s">
        <v>5248</v>
      </c>
      <c r="B774" t="s">
        <v>988</v>
      </c>
      <c r="C774" t="s">
        <v>818</v>
      </c>
      <c r="D774" t="s">
        <v>3596</v>
      </c>
      <c r="E774" t="s">
        <v>18</v>
      </c>
      <c r="F774" t="s">
        <v>3599</v>
      </c>
      <c r="M774" t="s">
        <v>4719</v>
      </c>
      <c r="N774" t="s">
        <v>1006</v>
      </c>
      <c r="O774" t="s">
        <v>18</v>
      </c>
      <c r="P774" t="s">
        <v>3272</v>
      </c>
      <c r="T774" t="s">
        <v>988</v>
      </c>
      <c r="U774" t="s">
        <v>818</v>
      </c>
      <c r="V774" t="s">
        <v>18</v>
      </c>
      <c r="W774" t="s">
        <v>857</v>
      </c>
      <c r="AC774" t="s">
        <v>1010</v>
      </c>
      <c r="AD774" t="s">
        <v>816</v>
      </c>
      <c r="AE774" t="s">
        <v>857</v>
      </c>
      <c r="AF774" t="s">
        <v>3202</v>
      </c>
      <c r="AJ774" s="844" t="s">
        <v>6089</v>
      </c>
      <c r="AK774" s="844" t="s">
        <v>1089</v>
      </c>
      <c r="AL774" s="844" t="s">
        <v>2416</v>
      </c>
      <c r="AM774" s="844" t="s">
        <v>18</v>
      </c>
      <c r="AN774" s="844" t="s">
        <v>2540</v>
      </c>
    </row>
    <row r="775" spans="1:40">
      <c r="A775" t="s">
        <v>6448</v>
      </c>
      <c r="B775" t="s">
        <v>988</v>
      </c>
      <c r="C775" t="s">
        <v>818</v>
      </c>
      <c r="D775" t="s">
        <v>3596</v>
      </c>
      <c r="F775" t="s">
        <v>3927</v>
      </c>
      <c r="M775" t="s">
        <v>4719</v>
      </c>
      <c r="N775" t="s">
        <v>1006</v>
      </c>
      <c r="O775" t="s">
        <v>18</v>
      </c>
      <c r="P775" t="s">
        <v>3271</v>
      </c>
      <c r="T775" t="s">
        <v>988</v>
      </c>
      <c r="U775" t="s">
        <v>818</v>
      </c>
      <c r="V775" t="s">
        <v>18</v>
      </c>
      <c r="W775" t="s">
        <v>857</v>
      </c>
      <c r="AC775" t="s">
        <v>1010</v>
      </c>
      <c r="AD775" t="s">
        <v>816</v>
      </c>
      <c r="AE775" t="s">
        <v>18</v>
      </c>
      <c r="AF775" t="s">
        <v>3202</v>
      </c>
      <c r="AJ775" s="844" t="s">
        <v>6093</v>
      </c>
      <c r="AK775" s="844" t="s">
        <v>1089</v>
      </c>
      <c r="AL775" s="844" t="s">
        <v>816</v>
      </c>
      <c r="AM775" s="844" t="s">
        <v>18</v>
      </c>
      <c r="AN775" s="844" t="s">
        <v>2532</v>
      </c>
    </row>
    <row r="776" spans="1:40">
      <c r="A776" t="s">
        <v>6447</v>
      </c>
      <c r="B776" t="s">
        <v>988</v>
      </c>
      <c r="C776" t="s">
        <v>818</v>
      </c>
      <c r="E776" t="s">
        <v>18</v>
      </c>
      <c r="F776" t="s">
        <v>3605</v>
      </c>
      <c r="M776" t="s">
        <v>4719</v>
      </c>
      <c r="N776" t="s">
        <v>1006</v>
      </c>
      <c r="O776" t="s">
        <v>18</v>
      </c>
      <c r="P776" t="s">
        <v>3270</v>
      </c>
      <c r="T776" t="s">
        <v>988</v>
      </c>
      <c r="U776" t="s">
        <v>818</v>
      </c>
      <c r="V776" t="s">
        <v>857</v>
      </c>
      <c r="W776" t="s">
        <v>3596</v>
      </c>
      <c r="AC776" t="s">
        <v>1010</v>
      </c>
      <c r="AD776" t="s">
        <v>816</v>
      </c>
      <c r="AE776" t="s">
        <v>18</v>
      </c>
      <c r="AF776" t="s">
        <v>2366</v>
      </c>
      <c r="AJ776" s="844" t="s">
        <v>6098</v>
      </c>
      <c r="AK776" s="844" t="s">
        <v>1090</v>
      </c>
      <c r="AL776" s="844" t="s">
        <v>818</v>
      </c>
      <c r="AM776" s="844" t="s">
        <v>18</v>
      </c>
      <c r="AN776" s="844" t="s">
        <v>2516</v>
      </c>
    </row>
    <row r="777" spans="1:40">
      <c r="A777" t="s">
        <v>6447</v>
      </c>
      <c r="B777" t="s">
        <v>988</v>
      </c>
      <c r="C777" t="s">
        <v>818</v>
      </c>
      <c r="E777" t="s">
        <v>18</v>
      </c>
      <c r="F777" t="s">
        <v>3602</v>
      </c>
      <c r="M777" t="s">
        <v>4719</v>
      </c>
      <c r="N777" t="s">
        <v>1006</v>
      </c>
      <c r="O777" t="s">
        <v>18</v>
      </c>
      <c r="P777" t="s">
        <v>3269</v>
      </c>
      <c r="T777" t="s">
        <v>988</v>
      </c>
      <c r="U777" t="s">
        <v>818</v>
      </c>
      <c r="V777" t="s">
        <v>18</v>
      </c>
      <c r="W777" t="s">
        <v>3596</v>
      </c>
      <c r="AC777" t="s">
        <v>1011</v>
      </c>
      <c r="AD777" t="s">
        <v>818</v>
      </c>
      <c r="AE777" t="s">
        <v>857</v>
      </c>
      <c r="AF777" t="s">
        <v>3194</v>
      </c>
      <c r="AJ777" s="844" t="s">
        <v>6098</v>
      </c>
      <c r="AK777" s="844" t="s">
        <v>1090</v>
      </c>
      <c r="AL777" s="844" t="s">
        <v>818</v>
      </c>
      <c r="AM777" s="844" t="s">
        <v>18</v>
      </c>
      <c r="AN777" s="844" t="s">
        <v>2518</v>
      </c>
    </row>
    <row r="778" spans="1:40">
      <c r="A778" t="s">
        <v>5251</v>
      </c>
      <c r="B778" t="s">
        <v>988</v>
      </c>
      <c r="C778" t="s">
        <v>19</v>
      </c>
      <c r="D778" t="s">
        <v>3596</v>
      </c>
      <c r="E778" t="s">
        <v>18</v>
      </c>
      <c r="F778" t="s">
        <v>3601</v>
      </c>
      <c r="M778" t="s">
        <v>4719</v>
      </c>
      <c r="N778" t="s">
        <v>1006</v>
      </c>
      <c r="O778" t="s">
        <v>18</v>
      </c>
      <c r="P778" t="s">
        <v>3193</v>
      </c>
      <c r="T778" t="s">
        <v>988</v>
      </c>
      <c r="U778" t="s">
        <v>19</v>
      </c>
      <c r="V778" t="s">
        <v>857</v>
      </c>
      <c r="W778" t="s">
        <v>857</v>
      </c>
      <c r="AC778" t="s">
        <v>1011</v>
      </c>
      <c r="AD778" t="s">
        <v>818</v>
      </c>
      <c r="AE778" t="s">
        <v>53</v>
      </c>
      <c r="AF778" t="s">
        <v>857</v>
      </c>
      <c r="AJ778" s="844" t="s">
        <v>6098</v>
      </c>
      <c r="AK778" s="844" t="s">
        <v>1090</v>
      </c>
      <c r="AL778" s="844" t="s">
        <v>818</v>
      </c>
      <c r="AM778" s="844" t="s">
        <v>18</v>
      </c>
      <c r="AN778" s="844" t="s">
        <v>2514</v>
      </c>
    </row>
    <row r="779" spans="1:40">
      <c r="A779" t="s">
        <v>5251</v>
      </c>
      <c r="B779" t="s">
        <v>988</v>
      </c>
      <c r="C779" t="s">
        <v>19</v>
      </c>
      <c r="D779" t="s">
        <v>3596</v>
      </c>
      <c r="E779" t="s">
        <v>18</v>
      </c>
      <c r="F779" t="s">
        <v>3598</v>
      </c>
      <c r="M779" t="s">
        <v>4719</v>
      </c>
      <c r="N779" t="s">
        <v>1006</v>
      </c>
      <c r="O779" t="s">
        <v>18</v>
      </c>
      <c r="P779" t="s">
        <v>3192</v>
      </c>
      <c r="T779" t="s">
        <v>988</v>
      </c>
      <c r="U779" t="s">
        <v>19</v>
      </c>
      <c r="V779" t="s">
        <v>18</v>
      </c>
      <c r="W779" t="s">
        <v>857</v>
      </c>
      <c r="AC779" t="s">
        <v>1011</v>
      </c>
      <c r="AD779" t="s">
        <v>818</v>
      </c>
      <c r="AE779" t="s">
        <v>53</v>
      </c>
      <c r="AF779" t="s">
        <v>3196</v>
      </c>
      <c r="AJ779" s="844" t="s">
        <v>6098</v>
      </c>
      <c r="AK779" s="844" t="s">
        <v>1090</v>
      </c>
      <c r="AL779" s="844" t="s">
        <v>818</v>
      </c>
      <c r="AM779" s="844" t="s">
        <v>18</v>
      </c>
      <c r="AN779" s="844" t="s">
        <v>2512</v>
      </c>
    </row>
    <row r="780" spans="1:40">
      <c r="A780" t="s">
        <v>6450</v>
      </c>
      <c r="B780" t="s">
        <v>988</v>
      </c>
      <c r="C780" t="s">
        <v>19</v>
      </c>
      <c r="D780" t="s">
        <v>3596</v>
      </c>
      <c r="F780" t="s">
        <v>3907</v>
      </c>
      <c r="M780" t="s">
        <v>4719</v>
      </c>
      <c r="N780" t="s">
        <v>1006</v>
      </c>
      <c r="O780" t="s">
        <v>18</v>
      </c>
      <c r="P780" t="s">
        <v>3191</v>
      </c>
      <c r="T780" t="s">
        <v>988</v>
      </c>
      <c r="U780" t="s">
        <v>19</v>
      </c>
      <c r="V780" t="s">
        <v>857</v>
      </c>
      <c r="W780" t="s">
        <v>3596</v>
      </c>
      <c r="AC780" t="s">
        <v>1011</v>
      </c>
      <c r="AD780" t="s">
        <v>818</v>
      </c>
      <c r="AE780" t="s">
        <v>53</v>
      </c>
      <c r="AF780" t="s">
        <v>3194</v>
      </c>
      <c r="AJ780" s="844" t="s">
        <v>6099</v>
      </c>
      <c r="AK780" s="844" t="s">
        <v>1090</v>
      </c>
      <c r="AL780" s="844" t="s">
        <v>2384</v>
      </c>
      <c r="AM780" s="844" t="s">
        <v>857</v>
      </c>
      <c r="AN780" s="844" t="s">
        <v>2516</v>
      </c>
    </row>
    <row r="781" spans="1:40">
      <c r="A781" t="s">
        <v>6449</v>
      </c>
      <c r="B781" t="s">
        <v>988</v>
      </c>
      <c r="C781" t="s">
        <v>19</v>
      </c>
      <c r="E781" t="s">
        <v>18</v>
      </c>
      <c r="F781" t="s">
        <v>3603</v>
      </c>
      <c r="M781" t="s">
        <v>4719</v>
      </c>
      <c r="N781" t="s">
        <v>1006</v>
      </c>
      <c r="O781" t="s">
        <v>18</v>
      </c>
      <c r="P781" t="s">
        <v>3190</v>
      </c>
      <c r="T781" t="s">
        <v>988</v>
      </c>
      <c r="U781" t="s">
        <v>19</v>
      </c>
      <c r="V781" t="s">
        <v>18</v>
      </c>
      <c r="W781" t="s">
        <v>3596</v>
      </c>
      <c r="AC781" t="s">
        <v>1011</v>
      </c>
      <c r="AD781" t="s">
        <v>818</v>
      </c>
      <c r="AE781" t="s">
        <v>18</v>
      </c>
      <c r="AF781" t="s">
        <v>3196</v>
      </c>
      <c r="AJ781" s="844" t="s">
        <v>6104</v>
      </c>
      <c r="AK781" s="844" t="s">
        <v>1090</v>
      </c>
      <c r="AL781" s="844" t="s">
        <v>2384</v>
      </c>
      <c r="AM781" s="844" t="s">
        <v>18</v>
      </c>
      <c r="AN781" s="844" t="s">
        <v>2516</v>
      </c>
    </row>
    <row r="782" spans="1:40">
      <c r="A782" t="s">
        <v>5250</v>
      </c>
      <c r="B782" t="s">
        <v>988</v>
      </c>
      <c r="C782" t="s">
        <v>19</v>
      </c>
      <c r="F782" t="s">
        <v>3866</v>
      </c>
      <c r="M782" t="s">
        <v>4719</v>
      </c>
      <c r="N782" t="s">
        <v>1006</v>
      </c>
      <c r="O782" t="s">
        <v>18</v>
      </c>
      <c r="P782" t="s">
        <v>3189</v>
      </c>
      <c r="T782" t="s">
        <v>988</v>
      </c>
      <c r="U782" t="s">
        <v>19</v>
      </c>
      <c r="V782" t="s">
        <v>18</v>
      </c>
      <c r="W782" t="s">
        <v>3596</v>
      </c>
      <c r="AC782" t="s">
        <v>1011</v>
      </c>
      <c r="AD782" t="s">
        <v>818</v>
      </c>
      <c r="AE782" t="s">
        <v>18</v>
      </c>
      <c r="AF782" t="s">
        <v>3194</v>
      </c>
      <c r="AJ782" s="844" t="s">
        <v>6104</v>
      </c>
      <c r="AK782" s="844" t="s">
        <v>1090</v>
      </c>
      <c r="AL782" s="844" t="s">
        <v>2384</v>
      </c>
      <c r="AM782" s="844" t="s">
        <v>18</v>
      </c>
      <c r="AN782" s="844" t="s">
        <v>2518</v>
      </c>
    </row>
    <row r="783" spans="1:40">
      <c r="A783" t="s">
        <v>5253</v>
      </c>
      <c r="B783" t="s">
        <v>988</v>
      </c>
      <c r="C783" t="s">
        <v>2384</v>
      </c>
      <c r="D783" t="s">
        <v>3596</v>
      </c>
      <c r="E783" t="s">
        <v>18</v>
      </c>
      <c r="F783" t="s">
        <v>3600</v>
      </c>
      <c r="M783" t="s">
        <v>4719</v>
      </c>
      <c r="N783" t="s">
        <v>1006</v>
      </c>
      <c r="O783" t="s">
        <v>18</v>
      </c>
      <c r="P783" t="s">
        <v>3188</v>
      </c>
      <c r="T783" t="s">
        <v>988</v>
      </c>
      <c r="U783" t="s">
        <v>2384</v>
      </c>
      <c r="V783" t="s">
        <v>18</v>
      </c>
      <c r="W783" t="s">
        <v>3596</v>
      </c>
      <c r="AC783" t="s">
        <v>1012</v>
      </c>
      <c r="AD783" t="s">
        <v>818</v>
      </c>
      <c r="AE783" t="s">
        <v>18</v>
      </c>
      <c r="AF783" t="s">
        <v>857</v>
      </c>
      <c r="AJ783" s="844" t="s">
        <v>6104</v>
      </c>
      <c r="AK783" s="844" t="s">
        <v>1090</v>
      </c>
      <c r="AL783" s="844" t="s">
        <v>2384</v>
      </c>
      <c r="AM783" s="844" t="s">
        <v>18</v>
      </c>
      <c r="AN783" s="844" t="s">
        <v>2514</v>
      </c>
    </row>
    <row r="784" spans="1:40">
      <c r="A784" t="s">
        <v>5255</v>
      </c>
      <c r="B784" t="s">
        <v>988</v>
      </c>
      <c r="C784" t="s">
        <v>816</v>
      </c>
      <c r="D784" t="s">
        <v>3596</v>
      </c>
      <c r="E784" t="s">
        <v>18</v>
      </c>
      <c r="F784" t="s">
        <v>3597</v>
      </c>
      <c r="M784" t="s">
        <v>4719</v>
      </c>
      <c r="N784" t="s">
        <v>1006</v>
      </c>
      <c r="O784" t="s">
        <v>18</v>
      </c>
      <c r="P784" t="s">
        <v>3186</v>
      </c>
      <c r="T784" t="s">
        <v>988</v>
      </c>
      <c r="U784" t="s">
        <v>816</v>
      </c>
      <c r="V784" t="s">
        <v>18</v>
      </c>
      <c r="W784" t="s">
        <v>857</v>
      </c>
      <c r="AC784" t="s">
        <v>1013</v>
      </c>
      <c r="AD784" t="s">
        <v>818</v>
      </c>
      <c r="AE784" t="s">
        <v>857</v>
      </c>
      <c r="AF784" t="s">
        <v>2959</v>
      </c>
      <c r="AJ784" s="844" t="s">
        <v>6108</v>
      </c>
      <c r="AK784" s="844" t="s">
        <v>1090</v>
      </c>
      <c r="AL784" s="844" t="s">
        <v>816</v>
      </c>
      <c r="AM784" s="844" t="s">
        <v>18</v>
      </c>
      <c r="AN784" s="844" t="s">
        <v>2514</v>
      </c>
    </row>
    <row r="785" spans="1:40">
      <c r="A785" t="s">
        <v>5256</v>
      </c>
      <c r="B785" t="s">
        <v>988</v>
      </c>
      <c r="C785" t="s">
        <v>816</v>
      </c>
      <c r="D785" t="s">
        <v>3594</v>
      </c>
      <c r="E785" t="s">
        <v>18</v>
      </c>
      <c r="F785" t="s">
        <v>3595</v>
      </c>
      <c r="M785" t="s">
        <v>4719</v>
      </c>
      <c r="N785" t="s">
        <v>1006</v>
      </c>
      <c r="O785" t="s">
        <v>18</v>
      </c>
      <c r="P785" t="s">
        <v>3185</v>
      </c>
      <c r="T785" t="s">
        <v>988</v>
      </c>
      <c r="U785" t="s">
        <v>816</v>
      </c>
      <c r="V785" t="s">
        <v>18</v>
      </c>
      <c r="W785" t="s">
        <v>3596</v>
      </c>
      <c r="AC785" t="s">
        <v>1013</v>
      </c>
      <c r="AD785" t="s">
        <v>818</v>
      </c>
      <c r="AE785" t="s">
        <v>53</v>
      </c>
      <c r="AF785" t="s">
        <v>857</v>
      </c>
      <c r="AJ785" s="844" t="s">
        <v>6110</v>
      </c>
      <c r="AK785" s="844" t="s">
        <v>1092</v>
      </c>
      <c r="AL785" s="844" t="s">
        <v>818</v>
      </c>
      <c r="AM785" s="844" t="s">
        <v>857</v>
      </c>
      <c r="AN785" s="844" t="s">
        <v>2502</v>
      </c>
    </row>
    <row r="786" spans="1:40">
      <c r="A786" t="s">
        <v>6452</v>
      </c>
      <c r="B786" t="s">
        <v>988</v>
      </c>
      <c r="C786" t="s">
        <v>816</v>
      </c>
      <c r="D786" t="s">
        <v>3594</v>
      </c>
      <c r="F786" t="s">
        <v>3918</v>
      </c>
      <c r="M786" t="s">
        <v>4719</v>
      </c>
      <c r="N786" t="s">
        <v>1006</v>
      </c>
      <c r="O786" t="s">
        <v>18</v>
      </c>
      <c r="P786" t="s">
        <v>3183</v>
      </c>
      <c r="T786" t="s">
        <v>988</v>
      </c>
      <c r="U786" t="s">
        <v>816</v>
      </c>
      <c r="V786" t="s">
        <v>857</v>
      </c>
      <c r="W786" t="s">
        <v>3594</v>
      </c>
      <c r="AC786" t="s">
        <v>1013</v>
      </c>
      <c r="AD786" t="s">
        <v>818</v>
      </c>
      <c r="AE786" t="s">
        <v>53</v>
      </c>
      <c r="AF786" t="s">
        <v>2959</v>
      </c>
      <c r="AJ786" s="844" t="s">
        <v>6115</v>
      </c>
      <c r="AK786" s="844" t="s">
        <v>1092</v>
      </c>
      <c r="AL786" s="844" t="s">
        <v>818</v>
      </c>
      <c r="AM786" s="844" t="s">
        <v>18</v>
      </c>
      <c r="AN786" s="844" t="s">
        <v>2502</v>
      </c>
    </row>
    <row r="787" spans="1:40">
      <c r="A787" t="s">
        <v>6451</v>
      </c>
      <c r="B787" t="s">
        <v>988</v>
      </c>
      <c r="C787" t="s">
        <v>816</v>
      </c>
      <c r="E787" t="s">
        <v>18</v>
      </c>
      <c r="F787" t="s">
        <v>3604</v>
      </c>
      <c r="M787" t="s">
        <v>4720</v>
      </c>
      <c r="N787" t="s">
        <v>1007</v>
      </c>
      <c r="O787" t="s">
        <v>18</v>
      </c>
      <c r="P787" t="s">
        <v>3179</v>
      </c>
      <c r="T787" t="s">
        <v>988</v>
      </c>
      <c r="U787" t="s">
        <v>816</v>
      </c>
      <c r="V787" t="s">
        <v>18</v>
      </c>
      <c r="W787" t="s">
        <v>3594</v>
      </c>
      <c r="AC787" t="s">
        <v>1013</v>
      </c>
      <c r="AD787" t="s">
        <v>818</v>
      </c>
      <c r="AE787" t="s">
        <v>18</v>
      </c>
      <c r="AF787" t="s">
        <v>857</v>
      </c>
      <c r="AJ787" s="844" t="s">
        <v>6115</v>
      </c>
      <c r="AK787" s="844" t="s">
        <v>1092</v>
      </c>
      <c r="AL787" s="844" t="s">
        <v>818</v>
      </c>
      <c r="AM787" s="844" t="s">
        <v>18</v>
      </c>
      <c r="AN787" s="844" t="s">
        <v>2366</v>
      </c>
    </row>
    <row r="788" spans="1:40">
      <c r="A788" t="s">
        <v>5258</v>
      </c>
      <c r="B788" t="s">
        <v>989</v>
      </c>
      <c r="C788" t="s">
        <v>818</v>
      </c>
      <c r="D788" t="s">
        <v>3501</v>
      </c>
      <c r="E788" t="s">
        <v>18</v>
      </c>
      <c r="F788" t="s">
        <v>3580</v>
      </c>
      <c r="M788" t="s">
        <v>4721</v>
      </c>
      <c r="N788" t="s">
        <v>1008</v>
      </c>
      <c r="O788" t="s">
        <v>18</v>
      </c>
      <c r="P788" t="s">
        <v>3291</v>
      </c>
      <c r="T788" t="s">
        <v>989</v>
      </c>
      <c r="U788" t="s">
        <v>818</v>
      </c>
      <c r="V788" t="s">
        <v>18</v>
      </c>
      <c r="W788" t="s">
        <v>857</v>
      </c>
      <c r="AC788" t="s">
        <v>1013</v>
      </c>
      <c r="AD788" t="s">
        <v>818</v>
      </c>
      <c r="AE788" t="s">
        <v>18</v>
      </c>
      <c r="AF788" t="s">
        <v>3321</v>
      </c>
      <c r="AJ788" s="844" t="s">
        <v>6118</v>
      </c>
      <c r="AK788" s="844" t="s">
        <v>1092</v>
      </c>
      <c r="AL788" s="844" t="s">
        <v>19</v>
      </c>
      <c r="AM788" s="844" t="s">
        <v>18</v>
      </c>
      <c r="AN788" s="844" t="s">
        <v>2499</v>
      </c>
    </row>
    <row r="789" spans="1:40">
      <c r="A789" t="s">
        <v>5258</v>
      </c>
      <c r="B789" t="s">
        <v>989</v>
      </c>
      <c r="C789" t="s">
        <v>818</v>
      </c>
      <c r="D789" t="s">
        <v>3501</v>
      </c>
      <c r="E789" t="s">
        <v>18</v>
      </c>
      <c r="F789" t="s">
        <v>3574</v>
      </c>
      <c r="M789" t="s">
        <v>4722</v>
      </c>
      <c r="N789" t="s">
        <v>1009</v>
      </c>
      <c r="O789" t="s">
        <v>53</v>
      </c>
      <c r="P789" t="s">
        <v>3353</v>
      </c>
      <c r="T789" t="s">
        <v>989</v>
      </c>
      <c r="U789" t="s">
        <v>818</v>
      </c>
      <c r="V789" t="s">
        <v>18</v>
      </c>
      <c r="W789" t="s">
        <v>857</v>
      </c>
      <c r="AC789" t="s">
        <v>1013</v>
      </c>
      <c r="AD789" t="s">
        <v>2384</v>
      </c>
      <c r="AE789" t="s">
        <v>857</v>
      </c>
      <c r="AF789" t="s">
        <v>857</v>
      </c>
      <c r="AJ789" s="844" t="s">
        <v>6119</v>
      </c>
      <c r="AK789" s="844" t="s">
        <v>1092</v>
      </c>
      <c r="AL789" s="844" t="s">
        <v>816</v>
      </c>
      <c r="AM789" s="844" t="s">
        <v>857</v>
      </c>
      <c r="AN789" s="844" t="s">
        <v>2495</v>
      </c>
    </row>
    <row r="790" spans="1:40">
      <c r="A790" t="s">
        <v>5258</v>
      </c>
      <c r="B790" t="s">
        <v>989</v>
      </c>
      <c r="C790" t="s">
        <v>818</v>
      </c>
      <c r="D790" t="s">
        <v>3501</v>
      </c>
      <c r="E790" t="s">
        <v>18</v>
      </c>
      <c r="F790" t="s">
        <v>3512</v>
      </c>
      <c r="M790" t="s">
        <v>4722</v>
      </c>
      <c r="N790" t="s">
        <v>1009</v>
      </c>
      <c r="O790" t="s">
        <v>53</v>
      </c>
      <c r="P790" t="s">
        <v>3347</v>
      </c>
      <c r="T790" t="s">
        <v>989</v>
      </c>
      <c r="U790" t="s">
        <v>818</v>
      </c>
      <c r="V790" t="s">
        <v>18</v>
      </c>
      <c r="W790" t="s">
        <v>857</v>
      </c>
      <c r="AC790" t="s">
        <v>1013</v>
      </c>
      <c r="AD790" t="s">
        <v>2384</v>
      </c>
      <c r="AE790" t="s">
        <v>53</v>
      </c>
      <c r="AF790" t="s">
        <v>3321</v>
      </c>
      <c r="AJ790" s="844" t="s">
        <v>6125</v>
      </c>
      <c r="AK790" s="844" t="s">
        <v>1092</v>
      </c>
      <c r="AL790" s="844" t="s">
        <v>816</v>
      </c>
      <c r="AM790" s="844" t="s">
        <v>18</v>
      </c>
      <c r="AN790" s="844" t="s">
        <v>2497</v>
      </c>
    </row>
    <row r="791" spans="1:40">
      <c r="A791" t="s">
        <v>5259</v>
      </c>
      <c r="B791" t="s">
        <v>989</v>
      </c>
      <c r="C791" t="s">
        <v>818</v>
      </c>
      <c r="D791" t="s">
        <v>3557</v>
      </c>
      <c r="E791" t="s">
        <v>18</v>
      </c>
      <c r="F791" t="s">
        <v>3558</v>
      </c>
      <c r="M791" t="s">
        <v>4722</v>
      </c>
      <c r="N791" t="s">
        <v>1009</v>
      </c>
      <c r="O791" t="s">
        <v>53</v>
      </c>
      <c r="P791" t="s">
        <v>3345</v>
      </c>
      <c r="T791" t="s">
        <v>989</v>
      </c>
      <c r="U791" t="s">
        <v>818</v>
      </c>
      <c r="V791" t="s">
        <v>18</v>
      </c>
      <c r="W791" t="s">
        <v>857</v>
      </c>
      <c r="AC791" t="s">
        <v>1013</v>
      </c>
      <c r="AD791" t="s">
        <v>2384</v>
      </c>
      <c r="AE791" t="s">
        <v>18</v>
      </c>
      <c r="AF791" t="s">
        <v>857</v>
      </c>
      <c r="AJ791" s="844" t="s">
        <v>6125</v>
      </c>
      <c r="AK791" s="844" t="s">
        <v>1092</v>
      </c>
      <c r="AL791" s="844" t="s">
        <v>816</v>
      </c>
      <c r="AM791" s="844" t="s">
        <v>18</v>
      </c>
      <c r="AN791" s="844" t="s">
        <v>2495</v>
      </c>
    </row>
    <row r="792" spans="1:40">
      <c r="A792" t="s">
        <v>5260</v>
      </c>
      <c r="B792" t="s">
        <v>989</v>
      </c>
      <c r="C792" t="s">
        <v>818</v>
      </c>
      <c r="D792" t="s">
        <v>3577</v>
      </c>
      <c r="E792" t="s">
        <v>18</v>
      </c>
      <c r="F792" t="s">
        <v>3578</v>
      </c>
      <c r="M792" t="s">
        <v>4722</v>
      </c>
      <c r="N792" t="s">
        <v>1009</v>
      </c>
      <c r="O792" t="s">
        <v>53</v>
      </c>
      <c r="P792" t="s">
        <v>3344</v>
      </c>
      <c r="T792" t="s">
        <v>989</v>
      </c>
      <c r="U792" t="s">
        <v>818</v>
      </c>
      <c r="V792" t="s">
        <v>18</v>
      </c>
      <c r="W792" t="s">
        <v>857</v>
      </c>
      <c r="AC792" t="s">
        <v>1013</v>
      </c>
      <c r="AD792" t="s">
        <v>816</v>
      </c>
      <c r="AE792" t="s">
        <v>857</v>
      </c>
      <c r="AF792" t="s">
        <v>857</v>
      </c>
      <c r="AJ792" s="844" t="s">
        <v>6127</v>
      </c>
      <c r="AK792" s="844" t="s">
        <v>1093</v>
      </c>
      <c r="AL792" s="844" t="s">
        <v>818</v>
      </c>
      <c r="AM792" s="844" t="s">
        <v>857</v>
      </c>
      <c r="AN792" s="844" t="s">
        <v>2485</v>
      </c>
    </row>
    <row r="793" spans="1:40">
      <c r="A793" t="s">
        <v>5261</v>
      </c>
      <c r="B793" t="s">
        <v>989</v>
      </c>
      <c r="C793" t="s">
        <v>818</v>
      </c>
      <c r="D793" t="s">
        <v>2877</v>
      </c>
      <c r="E793" t="s">
        <v>18</v>
      </c>
      <c r="F793" t="s">
        <v>3515</v>
      </c>
      <c r="M793" t="s">
        <v>4722</v>
      </c>
      <c r="N793" t="s">
        <v>1009</v>
      </c>
      <c r="O793" t="s">
        <v>53</v>
      </c>
      <c r="P793" t="s">
        <v>3343</v>
      </c>
      <c r="T793" t="s">
        <v>989</v>
      </c>
      <c r="U793" t="s">
        <v>818</v>
      </c>
      <c r="V793" t="s">
        <v>18</v>
      </c>
      <c r="W793" t="s">
        <v>857</v>
      </c>
      <c r="AC793" t="s">
        <v>1013</v>
      </c>
      <c r="AD793" t="s">
        <v>816</v>
      </c>
      <c r="AE793" t="s">
        <v>857</v>
      </c>
      <c r="AF793" t="s">
        <v>2959</v>
      </c>
      <c r="AJ793" s="844" t="s">
        <v>6130</v>
      </c>
      <c r="AK793" s="844" t="s">
        <v>1093</v>
      </c>
      <c r="AL793" s="844" t="s">
        <v>818</v>
      </c>
      <c r="AM793" s="844" t="s">
        <v>18</v>
      </c>
      <c r="AN793" s="844" t="s">
        <v>2487</v>
      </c>
    </row>
    <row r="794" spans="1:40">
      <c r="A794" t="s">
        <v>5262</v>
      </c>
      <c r="B794" t="s">
        <v>989</v>
      </c>
      <c r="C794" t="s">
        <v>818</v>
      </c>
      <c r="D794" t="s">
        <v>3565</v>
      </c>
      <c r="E794" t="s">
        <v>18</v>
      </c>
      <c r="F794" t="s">
        <v>3566</v>
      </c>
      <c r="M794" t="s">
        <v>4722</v>
      </c>
      <c r="N794" t="s">
        <v>1009</v>
      </c>
      <c r="O794" t="s">
        <v>53</v>
      </c>
      <c r="P794" t="s">
        <v>3342</v>
      </c>
      <c r="T794" t="s">
        <v>989</v>
      </c>
      <c r="U794" t="s">
        <v>818</v>
      </c>
      <c r="V794" t="s">
        <v>18</v>
      </c>
      <c r="W794" t="s">
        <v>857</v>
      </c>
      <c r="AC794" t="s">
        <v>1013</v>
      </c>
      <c r="AD794" t="s">
        <v>816</v>
      </c>
      <c r="AE794" t="s">
        <v>53</v>
      </c>
      <c r="AF794" t="s">
        <v>857</v>
      </c>
      <c r="AJ794" s="844" t="s">
        <v>6130</v>
      </c>
      <c r="AK794" s="844" t="s">
        <v>1093</v>
      </c>
      <c r="AL794" s="844" t="s">
        <v>818</v>
      </c>
      <c r="AM794" s="844" t="s">
        <v>18</v>
      </c>
      <c r="AN794" s="844" t="s">
        <v>2485</v>
      </c>
    </row>
    <row r="795" spans="1:40">
      <c r="A795" t="s">
        <v>5263</v>
      </c>
      <c r="B795" t="s">
        <v>989</v>
      </c>
      <c r="C795" t="s">
        <v>818</v>
      </c>
      <c r="D795" t="s">
        <v>3508</v>
      </c>
      <c r="E795" t="s">
        <v>18</v>
      </c>
      <c r="F795" t="s">
        <v>3509</v>
      </c>
      <c r="M795" t="s">
        <v>4722</v>
      </c>
      <c r="N795" t="s">
        <v>1009</v>
      </c>
      <c r="O795" t="s">
        <v>53</v>
      </c>
      <c r="P795" t="s">
        <v>3278</v>
      </c>
      <c r="T795" t="s">
        <v>989</v>
      </c>
      <c r="U795" t="s">
        <v>818</v>
      </c>
      <c r="V795" t="s">
        <v>18</v>
      </c>
      <c r="W795" t="s">
        <v>3501</v>
      </c>
      <c r="AC795" t="s">
        <v>1013</v>
      </c>
      <c r="AD795" t="s">
        <v>816</v>
      </c>
      <c r="AE795" t="s">
        <v>53</v>
      </c>
      <c r="AF795" t="s">
        <v>2959</v>
      </c>
      <c r="AJ795" s="844" t="s">
        <v>6137</v>
      </c>
      <c r="AK795" s="844" t="s">
        <v>1093</v>
      </c>
      <c r="AL795" s="844" t="s">
        <v>19</v>
      </c>
      <c r="AM795" s="844" t="s">
        <v>18</v>
      </c>
      <c r="AN795" s="844" t="s">
        <v>2478</v>
      </c>
    </row>
    <row r="796" spans="1:40">
      <c r="A796" t="s">
        <v>6631</v>
      </c>
      <c r="B796" t="s">
        <v>989</v>
      </c>
      <c r="C796" t="s">
        <v>818</v>
      </c>
      <c r="D796" t="s">
        <v>3508</v>
      </c>
      <c r="F796" t="s">
        <v>4169</v>
      </c>
      <c r="M796" t="s">
        <v>4722</v>
      </c>
      <c r="N796" t="s">
        <v>1009</v>
      </c>
      <c r="O796" t="s">
        <v>53</v>
      </c>
      <c r="P796" t="s">
        <v>3276</v>
      </c>
      <c r="T796" t="s">
        <v>989</v>
      </c>
      <c r="U796" t="s">
        <v>818</v>
      </c>
      <c r="V796" t="s">
        <v>18</v>
      </c>
      <c r="W796" t="s">
        <v>3501</v>
      </c>
      <c r="AC796" t="s">
        <v>1013</v>
      </c>
      <c r="AD796" t="s">
        <v>816</v>
      </c>
      <c r="AE796" t="s">
        <v>53</v>
      </c>
      <c r="AF796" t="s">
        <v>3321</v>
      </c>
      <c r="AJ796" s="844" t="s">
        <v>6139</v>
      </c>
      <c r="AK796" s="844" t="s">
        <v>1093</v>
      </c>
      <c r="AL796" s="844" t="s">
        <v>2416</v>
      </c>
      <c r="AM796" s="844" t="s">
        <v>18</v>
      </c>
      <c r="AN796" s="844" t="s">
        <v>2480</v>
      </c>
    </row>
    <row r="797" spans="1:40">
      <c r="A797" t="s">
        <v>5264</v>
      </c>
      <c r="B797" t="s">
        <v>989</v>
      </c>
      <c r="C797" t="s">
        <v>818</v>
      </c>
      <c r="D797" t="s">
        <v>3506</v>
      </c>
      <c r="E797" t="s">
        <v>18</v>
      </c>
      <c r="F797" t="s">
        <v>3507</v>
      </c>
      <c r="M797" t="s">
        <v>4722</v>
      </c>
      <c r="N797" t="s">
        <v>1009</v>
      </c>
      <c r="O797" t="s">
        <v>53</v>
      </c>
      <c r="P797" t="s">
        <v>3275</v>
      </c>
      <c r="T797" t="s">
        <v>989</v>
      </c>
      <c r="U797" t="s">
        <v>818</v>
      </c>
      <c r="V797" t="s">
        <v>18</v>
      </c>
      <c r="W797" t="s">
        <v>3501</v>
      </c>
      <c r="AC797" t="s">
        <v>1013</v>
      </c>
      <c r="AD797" t="s">
        <v>816</v>
      </c>
      <c r="AE797" t="s">
        <v>18</v>
      </c>
      <c r="AF797" t="s">
        <v>857</v>
      </c>
      <c r="AJ797" s="844" t="s">
        <v>6140</v>
      </c>
      <c r="AK797" s="844" t="s">
        <v>1093</v>
      </c>
      <c r="AL797" s="844" t="s">
        <v>816</v>
      </c>
      <c r="AM797" s="844" t="s">
        <v>857</v>
      </c>
      <c r="AN797" s="844" t="s">
        <v>2482</v>
      </c>
    </row>
    <row r="798" spans="1:40">
      <c r="A798" t="s">
        <v>5265</v>
      </c>
      <c r="B798" t="s">
        <v>989</v>
      </c>
      <c r="C798" t="s">
        <v>818</v>
      </c>
      <c r="D798" t="s">
        <v>3563</v>
      </c>
      <c r="E798" t="s">
        <v>18</v>
      </c>
      <c r="F798" t="s">
        <v>3564</v>
      </c>
      <c r="M798" t="s">
        <v>4722</v>
      </c>
      <c r="N798" t="s">
        <v>1009</v>
      </c>
      <c r="O798" t="s">
        <v>53</v>
      </c>
      <c r="P798" t="s">
        <v>3274</v>
      </c>
      <c r="T798" t="s">
        <v>989</v>
      </c>
      <c r="U798" t="s">
        <v>818</v>
      </c>
      <c r="V798" t="s">
        <v>18</v>
      </c>
      <c r="W798" t="s">
        <v>3557</v>
      </c>
      <c r="AC798" t="s">
        <v>1014</v>
      </c>
      <c r="AD798" t="s">
        <v>818</v>
      </c>
      <c r="AE798" t="s">
        <v>857</v>
      </c>
      <c r="AF798" t="s">
        <v>3243</v>
      </c>
      <c r="AJ798" s="844" t="s">
        <v>6144</v>
      </c>
      <c r="AK798" s="844" t="s">
        <v>1093</v>
      </c>
      <c r="AL798" s="844" t="s">
        <v>816</v>
      </c>
      <c r="AM798" s="844" t="s">
        <v>18</v>
      </c>
      <c r="AN798" s="844" t="s">
        <v>2476</v>
      </c>
    </row>
    <row r="799" spans="1:40">
      <c r="A799" t="s">
        <v>6453</v>
      </c>
      <c r="B799" t="s">
        <v>989</v>
      </c>
      <c r="C799" t="s">
        <v>818</v>
      </c>
      <c r="E799" t="s">
        <v>18</v>
      </c>
      <c r="F799" t="s">
        <v>3575</v>
      </c>
      <c r="M799" t="s">
        <v>4722</v>
      </c>
      <c r="N799" t="s">
        <v>1009</v>
      </c>
      <c r="O799" t="s">
        <v>53</v>
      </c>
      <c r="P799" t="s">
        <v>3273</v>
      </c>
      <c r="T799" t="s">
        <v>989</v>
      </c>
      <c r="U799" t="s">
        <v>818</v>
      </c>
      <c r="V799" t="s">
        <v>18</v>
      </c>
      <c r="W799" t="s">
        <v>3577</v>
      </c>
      <c r="AC799" t="s">
        <v>1014</v>
      </c>
      <c r="AD799" t="s">
        <v>818</v>
      </c>
      <c r="AE799" t="s">
        <v>18</v>
      </c>
      <c r="AF799" t="s">
        <v>857</v>
      </c>
      <c r="AJ799" s="844" t="s">
        <v>6144</v>
      </c>
      <c r="AK799" s="844" t="s">
        <v>1093</v>
      </c>
      <c r="AL799" s="844" t="s">
        <v>816</v>
      </c>
      <c r="AM799" s="844" t="s">
        <v>18</v>
      </c>
      <c r="AN799" s="844" t="s">
        <v>2482</v>
      </c>
    </row>
    <row r="800" spans="1:40">
      <c r="A800" t="s">
        <v>6453</v>
      </c>
      <c r="B800" t="s">
        <v>989</v>
      </c>
      <c r="C800" t="s">
        <v>818</v>
      </c>
      <c r="E800" t="s">
        <v>18</v>
      </c>
      <c r="F800" t="s">
        <v>3570</v>
      </c>
      <c r="M800" t="s">
        <v>4723</v>
      </c>
      <c r="N800" t="s">
        <v>1009</v>
      </c>
      <c r="O800" t="s">
        <v>18</v>
      </c>
      <c r="P800" t="s">
        <v>3352</v>
      </c>
      <c r="T800" t="s">
        <v>989</v>
      </c>
      <c r="U800" t="s">
        <v>818</v>
      </c>
      <c r="V800" t="s">
        <v>18</v>
      </c>
      <c r="W800" t="s">
        <v>2877</v>
      </c>
      <c r="AC800" t="s">
        <v>1014</v>
      </c>
      <c r="AD800" t="s">
        <v>818</v>
      </c>
      <c r="AE800" t="s">
        <v>18</v>
      </c>
      <c r="AF800" t="s">
        <v>3243</v>
      </c>
      <c r="AJ800" s="844" t="s">
        <v>6149</v>
      </c>
      <c r="AK800" s="844" t="s">
        <v>2912</v>
      </c>
      <c r="AL800" s="844" t="s">
        <v>818</v>
      </c>
      <c r="AM800" s="844" t="s">
        <v>53</v>
      </c>
      <c r="AN800" s="844" t="s">
        <v>2916</v>
      </c>
    </row>
    <row r="801" spans="1:40">
      <c r="A801" t="s">
        <v>6453</v>
      </c>
      <c r="B801" t="s">
        <v>989</v>
      </c>
      <c r="C801" t="s">
        <v>818</v>
      </c>
      <c r="E801" t="s">
        <v>18</v>
      </c>
      <c r="F801" t="s">
        <v>3569</v>
      </c>
      <c r="M801" t="s">
        <v>4723</v>
      </c>
      <c r="N801" t="s">
        <v>1009</v>
      </c>
      <c r="O801" t="s">
        <v>18</v>
      </c>
      <c r="P801" t="s">
        <v>3351</v>
      </c>
      <c r="T801" t="s">
        <v>989</v>
      </c>
      <c r="U801" t="s">
        <v>818</v>
      </c>
      <c r="V801" t="s">
        <v>18</v>
      </c>
      <c r="W801" t="s">
        <v>3565</v>
      </c>
      <c r="AC801" t="s">
        <v>1014</v>
      </c>
      <c r="AD801" t="s">
        <v>2384</v>
      </c>
      <c r="AE801" t="s">
        <v>857</v>
      </c>
      <c r="AF801" t="s">
        <v>857</v>
      </c>
      <c r="AJ801" s="844" t="s">
        <v>6149</v>
      </c>
      <c r="AK801" s="844" t="s">
        <v>2912</v>
      </c>
      <c r="AL801" s="844" t="s">
        <v>818</v>
      </c>
      <c r="AM801" s="844" t="s">
        <v>53</v>
      </c>
      <c r="AN801" s="844" t="s">
        <v>2914</v>
      </c>
    </row>
    <row r="802" spans="1:40">
      <c r="A802" t="s">
        <v>6453</v>
      </c>
      <c r="B802" t="s">
        <v>989</v>
      </c>
      <c r="C802" t="s">
        <v>818</v>
      </c>
      <c r="E802" t="s">
        <v>18</v>
      </c>
      <c r="F802" t="s">
        <v>3568</v>
      </c>
      <c r="M802" t="s">
        <v>4723</v>
      </c>
      <c r="N802" t="s">
        <v>1009</v>
      </c>
      <c r="O802" t="s">
        <v>18</v>
      </c>
      <c r="P802" t="s">
        <v>3350</v>
      </c>
      <c r="T802" t="s">
        <v>989</v>
      </c>
      <c r="U802" t="s">
        <v>818</v>
      </c>
      <c r="V802" t="s">
        <v>857</v>
      </c>
      <c r="W802" t="s">
        <v>3508</v>
      </c>
      <c r="AC802" t="s">
        <v>1014</v>
      </c>
      <c r="AD802" t="s">
        <v>2416</v>
      </c>
      <c r="AE802" t="s">
        <v>18</v>
      </c>
      <c r="AF802" t="s">
        <v>857</v>
      </c>
      <c r="AJ802" s="844" t="s">
        <v>6149</v>
      </c>
      <c r="AK802" s="844" t="s">
        <v>2912</v>
      </c>
      <c r="AL802" s="844" t="s">
        <v>818</v>
      </c>
      <c r="AM802" s="844" t="s">
        <v>53</v>
      </c>
      <c r="AN802" s="844" t="s">
        <v>2911</v>
      </c>
    </row>
    <row r="803" spans="1:40">
      <c r="A803" t="s">
        <v>6453</v>
      </c>
      <c r="B803" t="s">
        <v>989</v>
      </c>
      <c r="C803" t="s">
        <v>818</v>
      </c>
      <c r="E803" t="s">
        <v>18</v>
      </c>
      <c r="F803" t="s">
        <v>3567</v>
      </c>
      <c r="M803" t="s">
        <v>4723</v>
      </c>
      <c r="N803" t="s">
        <v>1009</v>
      </c>
      <c r="O803" t="s">
        <v>18</v>
      </c>
      <c r="P803" t="s">
        <v>3349</v>
      </c>
      <c r="T803" t="s">
        <v>989</v>
      </c>
      <c r="U803" t="s">
        <v>818</v>
      </c>
      <c r="V803" t="s">
        <v>18</v>
      </c>
      <c r="W803" t="s">
        <v>3508</v>
      </c>
      <c r="AC803" t="s">
        <v>1014</v>
      </c>
      <c r="AD803" t="s">
        <v>816</v>
      </c>
      <c r="AE803" t="s">
        <v>857</v>
      </c>
      <c r="AF803" t="s">
        <v>857</v>
      </c>
      <c r="AJ803" s="844" t="s">
        <v>6152</v>
      </c>
      <c r="AK803" s="844" t="s">
        <v>2912</v>
      </c>
      <c r="AL803" s="844" t="s">
        <v>2384</v>
      </c>
      <c r="AM803" s="844" t="s">
        <v>53</v>
      </c>
      <c r="AN803" s="844" t="s">
        <v>2793</v>
      </c>
    </row>
    <row r="804" spans="1:40">
      <c r="A804" t="s">
        <v>6453</v>
      </c>
      <c r="B804" t="s">
        <v>989</v>
      </c>
      <c r="C804" t="s">
        <v>818</v>
      </c>
      <c r="E804" t="s">
        <v>18</v>
      </c>
      <c r="F804" t="s">
        <v>3559</v>
      </c>
      <c r="M804" t="s">
        <v>4723</v>
      </c>
      <c r="N804" t="s">
        <v>1009</v>
      </c>
      <c r="O804" t="s">
        <v>18</v>
      </c>
      <c r="P804" t="s">
        <v>3279</v>
      </c>
      <c r="T804" t="s">
        <v>989</v>
      </c>
      <c r="U804" t="s">
        <v>818</v>
      </c>
      <c r="V804" t="s">
        <v>18</v>
      </c>
      <c r="W804" t="s">
        <v>3506</v>
      </c>
      <c r="AC804" t="s">
        <v>1014</v>
      </c>
      <c r="AD804" t="s">
        <v>816</v>
      </c>
      <c r="AE804" t="s">
        <v>857</v>
      </c>
      <c r="AF804" t="s">
        <v>3243</v>
      </c>
      <c r="AJ804" s="844" t="s">
        <v>6154</v>
      </c>
      <c r="AK804" s="844" t="s">
        <v>2864</v>
      </c>
      <c r="AL804" s="844" t="s">
        <v>2384</v>
      </c>
      <c r="AM804" s="844" t="s">
        <v>18</v>
      </c>
      <c r="AN804" s="844" t="s">
        <v>2863</v>
      </c>
    </row>
    <row r="805" spans="1:40">
      <c r="A805" t="s">
        <v>6453</v>
      </c>
      <c r="B805" t="s">
        <v>989</v>
      </c>
      <c r="C805" t="s">
        <v>818</v>
      </c>
      <c r="E805" t="s">
        <v>18</v>
      </c>
      <c r="F805" t="s">
        <v>3555</v>
      </c>
      <c r="M805" t="s">
        <v>4724</v>
      </c>
      <c r="N805" t="s">
        <v>1010</v>
      </c>
      <c r="O805" t="s">
        <v>18</v>
      </c>
      <c r="P805" t="s">
        <v>3211</v>
      </c>
      <c r="T805" t="s">
        <v>989</v>
      </c>
      <c r="U805" t="s">
        <v>818</v>
      </c>
      <c r="V805" t="s">
        <v>18</v>
      </c>
      <c r="W805" t="s">
        <v>3563</v>
      </c>
      <c r="AC805" t="s">
        <v>1014</v>
      </c>
      <c r="AD805" t="s">
        <v>816</v>
      </c>
      <c r="AE805" t="s">
        <v>18</v>
      </c>
      <c r="AF805" t="s">
        <v>857</v>
      </c>
      <c r="AJ805" s="844" t="s">
        <v>6156</v>
      </c>
      <c r="AK805" s="844" t="s">
        <v>2864</v>
      </c>
      <c r="AL805" s="844" t="s">
        <v>816</v>
      </c>
      <c r="AM805" s="844" t="s">
        <v>18</v>
      </c>
      <c r="AN805" s="844" t="s">
        <v>2863</v>
      </c>
    </row>
    <row r="806" spans="1:40">
      <c r="A806" t="s">
        <v>5267</v>
      </c>
      <c r="B806" t="s">
        <v>989</v>
      </c>
      <c r="C806" t="s">
        <v>19</v>
      </c>
      <c r="D806" t="s">
        <v>3552</v>
      </c>
      <c r="E806" t="s">
        <v>18</v>
      </c>
      <c r="F806" t="s">
        <v>3556</v>
      </c>
      <c r="M806" t="s">
        <v>4724</v>
      </c>
      <c r="N806" t="s">
        <v>1010</v>
      </c>
      <c r="O806" t="s">
        <v>18</v>
      </c>
      <c r="P806" t="s">
        <v>3210</v>
      </c>
      <c r="T806" t="s">
        <v>989</v>
      </c>
      <c r="U806" t="s">
        <v>19</v>
      </c>
      <c r="V806" t="s">
        <v>18</v>
      </c>
      <c r="W806" t="s">
        <v>857</v>
      </c>
      <c r="AC806" t="s">
        <v>1014</v>
      </c>
      <c r="AD806" t="s">
        <v>816</v>
      </c>
      <c r="AE806" t="s">
        <v>18</v>
      </c>
      <c r="AF806" t="s">
        <v>3243</v>
      </c>
      <c r="AJ806" s="844" t="s">
        <v>6160</v>
      </c>
      <c r="AK806" s="844" t="s">
        <v>2875</v>
      </c>
      <c r="AL806" s="844" t="s">
        <v>818</v>
      </c>
      <c r="AM806" s="844" t="s">
        <v>53</v>
      </c>
      <c r="AN806" s="844" t="s">
        <v>2965</v>
      </c>
    </row>
    <row r="807" spans="1:40">
      <c r="A807" t="s">
        <v>5267</v>
      </c>
      <c r="B807" t="s">
        <v>989</v>
      </c>
      <c r="C807" t="s">
        <v>19</v>
      </c>
      <c r="D807" t="s">
        <v>3552</v>
      </c>
      <c r="E807" t="s">
        <v>18</v>
      </c>
      <c r="F807" t="s">
        <v>3553</v>
      </c>
      <c r="M807" t="s">
        <v>4724</v>
      </c>
      <c r="N807" t="s">
        <v>1010</v>
      </c>
      <c r="O807" t="s">
        <v>18</v>
      </c>
      <c r="P807" t="s">
        <v>3209</v>
      </c>
      <c r="T807" t="s">
        <v>989</v>
      </c>
      <c r="U807" t="s">
        <v>19</v>
      </c>
      <c r="V807" t="s">
        <v>18</v>
      </c>
      <c r="W807" t="s">
        <v>3552</v>
      </c>
      <c r="AC807" t="s">
        <v>1015</v>
      </c>
      <c r="AD807" t="s">
        <v>818</v>
      </c>
      <c r="AE807" t="s">
        <v>857</v>
      </c>
      <c r="AF807" t="s">
        <v>3253</v>
      </c>
      <c r="AJ807" s="844" t="s">
        <v>6160</v>
      </c>
      <c r="AK807" s="844" t="s">
        <v>2875</v>
      </c>
      <c r="AL807" s="844" t="s">
        <v>818</v>
      </c>
      <c r="AM807" s="844" t="s">
        <v>53</v>
      </c>
      <c r="AN807" s="844" t="s">
        <v>2972</v>
      </c>
    </row>
    <row r="808" spans="1:40">
      <c r="A808" t="s">
        <v>5268</v>
      </c>
      <c r="B808" t="s">
        <v>989</v>
      </c>
      <c r="C808" t="s">
        <v>19</v>
      </c>
      <c r="D808" t="s">
        <v>3501</v>
      </c>
      <c r="E808" t="s">
        <v>18</v>
      </c>
      <c r="F808" t="s">
        <v>3554</v>
      </c>
      <c r="M808" t="s">
        <v>4724</v>
      </c>
      <c r="N808" t="s">
        <v>1010</v>
      </c>
      <c r="O808" t="s">
        <v>18</v>
      </c>
      <c r="P808" t="s">
        <v>3208</v>
      </c>
      <c r="T808" t="s">
        <v>989</v>
      </c>
      <c r="U808" t="s">
        <v>19</v>
      </c>
      <c r="V808" t="s">
        <v>18</v>
      </c>
      <c r="W808" t="s">
        <v>3552</v>
      </c>
      <c r="AC808" t="s">
        <v>1015</v>
      </c>
      <c r="AD808" t="s">
        <v>818</v>
      </c>
      <c r="AE808" t="s">
        <v>53</v>
      </c>
      <c r="AF808" t="s">
        <v>857</v>
      </c>
      <c r="AJ808" s="844" t="s">
        <v>6160</v>
      </c>
      <c r="AK808" s="844" t="s">
        <v>2875</v>
      </c>
      <c r="AL808" s="844" t="s">
        <v>818</v>
      </c>
      <c r="AM808" s="844" t="s">
        <v>53</v>
      </c>
      <c r="AN808" s="844" t="s">
        <v>2963</v>
      </c>
    </row>
    <row r="809" spans="1:40">
      <c r="A809" t="s">
        <v>5268</v>
      </c>
      <c r="B809" t="s">
        <v>989</v>
      </c>
      <c r="C809" t="s">
        <v>19</v>
      </c>
      <c r="D809" t="s">
        <v>3501</v>
      </c>
      <c r="E809" t="s">
        <v>18</v>
      </c>
      <c r="F809" t="s">
        <v>3505</v>
      </c>
      <c r="M809" t="s">
        <v>4724</v>
      </c>
      <c r="N809" t="s">
        <v>1010</v>
      </c>
      <c r="O809" t="s">
        <v>18</v>
      </c>
      <c r="P809" t="s">
        <v>3207</v>
      </c>
      <c r="T809" t="s">
        <v>989</v>
      </c>
      <c r="U809" t="s">
        <v>19</v>
      </c>
      <c r="V809" t="s">
        <v>857</v>
      </c>
      <c r="W809" t="s">
        <v>3501</v>
      </c>
      <c r="AC809" t="s">
        <v>1015</v>
      </c>
      <c r="AD809" t="s">
        <v>818</v>
      </c>
      <c r="AE809" t="s">
        <v>53</v>
      </c>
      <c r="AF809" t="s">
        <v>3253</v>
      </c>
      <c r="AJ809" s="844" t="s">
        <v>6167</v>
      </c>
      <c r="AK809" s="844" t="s">
        <v>2875</v>
      </c>
      <c r="AL809" s="844" t="s">
        <v>818</v>
      </c>
      <c r="AM809" s="844" t="s">
        <v>18</v>
      </c>
      <c r="AN809" s="844" t="s">
        <v>3289</v>
      </c>
    </row>
    <row r="810" spans="1:40">
      <c r="A810" t="s">
        <v>6632</v>
      </c>
      <c r="B810" t="s">
        <v>989</v>
      </c>
      <c r="C810" t="s">
        <v>19</v>
      </c>
      <c r="D810" t="s">
        <v>3501</v>
      </c>
      <c r="F810" t="s">
        <v>4168</v>
      </c>
      <c r="M810" t="s">
        <v>4724</v>
      </c>
      <c r="N810" t="s">
        <v>1010</v>
      </c>
      <c r="O810" t="s">
        <v>18</v>
      </c>
      <c r="P810" t="s">
        <v>3206</v>
      </c>
      <c r="T810" t="s">
        <v>989</v>
      </c>
      <c r="U810" t="s">
        <v>19</v>
      </c>
      <c r="V810" t="s">
        <v>18</v>
      </c>
      <c r="W810" t="s">
        <v>3501</v>
      </c>
      <c r="AC810" t="s">
        <v>1015</v>
      </c>
      <c r="AD810" t="s">
        <v>818</v>
      </c>
      <c r="AE810" t="s">
        <v>53</v>
      </c>
      <c r="AF810" t="s">
        <v>2366</v>
      </c>
      <c r="AJ810" s="844" t="s">
        <v>6167</v>
      </c>
      <c r="AK810" s="844" t="s">
        <v>2875</v>
      </c>
      <c r="AL810" s="844" t="s">
        <v>818</v>
      </c>
      <c r="AM810" s="844" t="s">
        <v>18</v>
      </c>
      <c r="AN810" s="844" t="s">
        <v>2870</v>
      </c>
    </row>
    <row r="811" spans="1:40">
      <c r="A811" t="s">
        <v>6454</v>
      </c>
      <c r="B811" t="s">
        <v>989</v>
      </c>
      <c r="C811" t="s">
        <v>19</v>
      </c>
      <c r="E811" t="s">
        <v>18</v>
      </c>
      <c r="F811" t="s">
        <v>3573</v>
      </c>
      <c r="M811" t="s">
        <v>4724</v>
      </c>
      <c r="N811" t="s">
        <v>1010</v>
      </c>
      <c r="O811" t="s">
        <v>18</v>
      </c>
      <c r="P811" t="s">
        <v>3205</v>
      </c>
      <c r="T811" t="s">
        <v>989</v>
      </c>
      <c r="U811" t="s">
        <v>19</v>
      </c>
      <c r="V811" t="s">
        <v>18</v>
      </c>
      <c r="W811" t="s">
        <v>3501</v>
      </c>
      <c r="AC811" t="s">
        <v>1015</v>
      </c>
      <c r="AD811" t="s">
        <v>816</v>
      </c>
      <c r="AE811" t="s">
        <v>53</v>
      </c>
      <c r="AF811" t="s">
        <v>857</v>
      </c>
      <c r="AJ811" s="844" t="s">
        <v>6167</v>
      </c>
      <c r="AK811" s="844" t="s">
        <v>2875</v>
      </c>
      <c r="AL811" s="844" t="s">
        <v>818</v>
      </c>
      <c r="AM811" s="844" t="s">
        <v>18</v>
      </c>
      <c r="AN811" s="844" t="s">
        <v>2961</v>
      </c>
    </row>
    <row r="812" spans="1:40">
      <c r="A812" t="s">
        <v>6456</v>
      </c>
      <c r="B812" t="s">
        <v>989</v>
      </c>
      <c r="C812" t="s">
        <v>2384</v>
      </c>
      <c r="D812" t="s">
        <v>3516</v>
      </c>
      <c r="F812" t="s">
        <v>3517</v>
      </c>
      <c r="M812" t="s">
        <v>4724</v>
      </c>
      <c r="N812" t="s">
        <v>1010</v>
      </c>
      <c r="O812" t="s">
        <v>18</v>
      </c>
      <c r="P812" t="s">
        <v>3204</v>
      </c>
      <c r="T812" t="s">
        <v>989</v>
      </c>
      <c r="U812" t="s">
        <v>2384</v>
      </c>
      <c r="V812" t="s">
        <v>18</v>
      </c>
      <c r="W812" t="s">
        <v>857</v>
      </c>
      <c r="AC812" t="s">
        <v>1016</v>
      </c>
      <c r="AD812" t="s">
        <v>818</v>
      </c>
      <c r="AE812" t="s">
        <v>857</v>
      </c>
      <c r="AF812" t="s">
        <v>3236</v>
      </c>
      <c r="AJ812" s="844" t="s">
        <v>6167</v>
      </c>
      <c r="AK812" s="844" t="s">
        <v>2875</v>
      </c>
      <c r="AL812" s="844" t="s">
        <v>818</v>
      </c>
      <c r="AM812" s="844" t="s">
        <v>18</v>
      </c>
      <c r="AN812" s="844" t="s">
        <v>2518</v>
      </c>
    </row>
    <row r="813" spans="1:40">
      <c r="A813" t="s">
        <v>6455</v>
      </c>
      <c r="B813" t="s">
        <v>989</v>
      </c>
      <c r="C813" t="s">
        <v>2384</v>
      </c>
      <c r="E813" t="s">
        <v>18</v>
      </c>
      <c r="F813" t="s">
        <v>3576</v>
      </c>
      <c r="M813" t="s">
        <v>4724</v>
      </c>
      <c r="N813" t="s">
        <v>1010</v>
      </c>
      <c r="O813" t="s">
        <v>18</v>
      </c>
      <c r="P813" t="s">
        <v>3203</v>
      </c>
      <c r="T813" t="s">
        <v>989</v>
      </c>
      <c r="U813" t="s">
        <v>2384</v>
      </c>
      <c r="V813" t="s">
        <v>857</v>
      </c>
      <c r="W813" t="s">
        <v>3516</v>
      </c>
      <c r="AC813" t="s">
        <v>1016</v>
      </c>
      <c r="AD813" t="s">
        <v>818</v>
      </c>
      <c r="AE813" t="s">
        <v>18</v>
      </c>
      <c r="AF813" t="s">
        <v>857</v>
      </c>
      <c r="AJ813" s="844" t="s">
        <v>6167</v>
      </c>
      <c r="AK813" s="844" t="s">
        <v>2875</v>
      </c>
      <c r="AL813" s="844" t="s">
        <v>818</v>
      </c>
      <c r="AM813" s="844" t="s">
        <v>18</v>
      </c>
      <c r="AN813" s="844" t="s">
        <v>3266</v>
      </c>
    </row>
    <row r="814" spans="1:40">
      <c r="A814" t="s">
        <v>6458</v>
      </c>
      <c r="B814" t="s">
        <v>989</v>
      </c>
      <c r="C814" t="s">
        <v>816</v>
      </c>
      <c r="D814" t="s">
        <v>3503</v>
      </c>
      <c r="F814" t="s">
        <v>3504</v>
      </c>
      <c r="M814" t="s">
        <v>4725</v>
      </c>
      <c r="N814" t="s">
        <v>1011</v>
      </c>
      <c r="O814" t="s">
        <v>53</v>
      </c>
      <c r="P814" t="s">
        <v>3200</v>
      </c>
      <c r="T814" t="s">
        <v>989</v>
      </c>
      <c r="U814" t="s">
        <v>816</v>
      </c>
      <c r="V814" t="s">
        <v>18</v>
      </c>
      <c r="W814" t="s">
        <v>857</v>
      </c>
      <c r="AC814" t="s">
        <v>1016</v>
      </c>
      <c r="AD814" t="s">
        <v>818</v>
      </c>
      <c r="AE814" t="s">
        <v>18</v>
      </c>
      <c r="AF814" t="s">
        <v>3236</v>
      </c>
      <c r="AJ814" s="844" t="s">
        <v>6167</v>
      </c>
      <c r="AK814" s="844" t="s">
        <v>2875</v>
      </c>
      <c r="AL814" s="844" t="s">
        <v>818</v>
      </c>
      <c r="AM814" s="844" t="s">
        <v>18</v>
      </c>
      <c r="AN814" s="844" t="s">
        <v>2559</v>
      </c>
    </row>
    <row r="815" spans="1:40">
      <c r="A815" t="s">
        <v>5270</v>
      </c>
      <c r="B815" t="s">
        <v>989</v>
      </c>
      <c r="C815" t="s">
        <v>816</v>
      </c>
      <c r="D815" t="s">
        <v>3501</v>
      </c>
      <c r="E815" t="s">
        <v>18</v>
      </c>
      <c r="F815" t="s">
        <v>3502</v>
      </c>
      <c r="M815" t="s">
        <v>4725</v>
      </c>
      <c r="N815" t="s">
        <v>1011</v>
      </c>
      <c r="O815" t="s">
        <v>53</v>
      </c>
      <c r="P815" t="s">
        <v>3199</v>
      </c>
      <c r="T815" t="s">
        <v>989</v>
      </c>
      <c r="U815" t="s">
        <v>816</v>
      </c>
      <c r="V815" t="s">
        <v>18</v>
      </c>
      <c r="W815" t="s">
        <v>857</v>
      </c>
      <c r="AC815" t="s">
        <v>1016</v>
      </c>
      <c r="AD815" t="s">
        <v>2384</v>
      </c>
      <c r="AE815" t="s">
        <v>857</v>
      </c>
      <c r="AF815" t="s">
        <v>857</v>
      </c>
      <c r="AJ815" s="844" t="s">
        <v>6168</v>
      </c>
      <c r="AK815" s="844" t="s">
        <v>2875</v>
      </c>
      <c r="AL815" s="844" t="s">
        <v>2384</v>
      </c>
      <c r="AM815" s="844" t="s">
        <v>18</v>
      </c>
      <c r="AN815" s="844" t="s">
        <v>2518</v>
      </c>
    </row>
    <row r="816" spans="1:40">
      <c r="A816" t="s">
        <v>6633</v>
      </c>
      <c r="B816" t="s">
        <v>989</v>
      </c>
      <c r="C816" t="s">
        <v>816</v>
      </c>
      <c r="D816" t="s">
        <v>3501</v>
      </c>
      <c r="F816" t="s">
        <v>4167</v>
      </c>
      <c r="M816" t="s">
        <v>4725</v>
      </c>
      <c r="N816" t="s">
        <v>1011</v>
      </c>
      <c r="O816" t="s">
        <v>53</v>
      </c>
      <c r="P816" t="s">
        <v>3198</v>
      </c>
      <c r="T816" t="s">
        <v>989</v>
      </c>
      <c r="U816" t="s">
        <v>816</v>
      </c>
      <c r="V816" t="s">
        <v>18</v>
      </c>
      <c r="W816" t="s">
        <v>857</v>
      </c>
      <c r="AC816" t="s">
        <v>1016</v>
      </c>
      <c r="AD816" t="s">
        <v>2416</v>
      </c>
      <c r="AE816" t="s">
        <v>53</v>
      </c>
      <c r="AF816" t="s">
        <v>3236</v>
      </c>
      <c r="AJ816" s="844" t="s">
        <v>6170</v>
      </c>
      <c r="AK816" s="844" t="s">
        <v>2875</v>
      </c>
      <c r="AL816" s="844" t="s">
        <v>816</v>
      </c>
      <c r="AM816" s="844" t="s">
        <v>18</v>
      </c>
      <c r="AN816" s="844" t="s">
        <v>2959</v>
      </c>
    </row>
    <row r="817" spans="1:40">
      <c r="A817" t="s">
        <v>6459</v>
      </c>
      <c r="B817" t="s">
        <v>989</v>
      </c>
      <c r="C817" t="s">
        <v>816</v>
      </c>
      <c r="D817" t="s">
        <v>3499</v>
      </c>
      <c r="F817" t="s">
        <v>3500</v>
      </c>
      <c r="M817" t="s">
        <v>4726</v>
      </c>
      <c r="N817" t="s">
        <v>1011</v>
      </c>
      <c r="O817" t="s">
        <v>18</v>
      </c>
      <c r="P817" t="s">
        <v>3197</v>
      </c>
      <c r="T817" t="s">
        <v>989</v>
      </c>
      <c r="U817" t="s">
        <v>816</v>
      </c>
      <c r="V817" t="s">
        <v>18</v>
      </c>
      <c r="W817" t="s">
        <v>857</v>
      </c>
      <c r="AC817" t="s">
        <v>1016</v>
      </c>
      <c r="AD817" t="s">
        <v>816</v>
      </c>
      <c r="AE817" t="s">
        <v>857</v>
      </c>
      <c r="AF817" t="s">
        <v>3236</v>
      </c>
      <c r="AJ817" s="844" t="s">
        <v>6173</v>
      </c>
      <c r="AK817" s="844" t="s">
        <v>1094</v>
      </c>
      <c r="AL817" s="844" t="s">
        <v>818</v>
      </c>
      <c r="AM817" s="844" t="s">
        <v>18</v>
      </c>
      <c r="AN817" s="844" t="s">
        <v>2464</v>
      </c>
    </row>
    <row r="818" spans="1:40">
      <c r="A818" t="s">
        <v>6460</v>
      </c>
      <c r="B818" t="s">
        <v>989</v>
      </c>
      <c r="C818" t="s">
        <v>816</v>
      </c>
      <c r="D818" t="s">
        <v>3497</v>
      </c>
      <c r="F818" t="s">
        <v>3498</v>
      </c>
      <c r="M818" t="s">
        <v>4726</v>
      </c>
      <c r="N818" t="s">
        <v>1011</v>
      </c>
      <c r="O818" t="s">
        <v>18</v>
      </c>
      <c r="P818" t="s">
        <v>3195</v>
      </c>
      <c r="T818" t="s">
        <v>989</v>
      </c>
      <c r="U818" t="s">
        <v>816</v>
      </c>
      <c r="V818" t="s">
        <v>18</v>
      </c>
      <c r="W818" t="s">
        <v>857</v>
      </c>
      <c r="AC818" t="s">
        <v>1016</v>
      </c>
      <c r="AD818" t="s">
        <v>816</v>
      </c>
      <c r="AE818" t="s">
        <v>18</v>
      </c>
      <c r="AF818" t="s">
        <v>857</v>
      </c>
      <c r="AJ818" s="844" t="s">
        <v>6176</v>
      </c>
      <c r="AK818" s="844" t="s">
        <v>1094</v>
      </c>
      <c r="AL818" s="844" t="s">
        <v>19</v>
      </c>
      <c r="AM818" s="844" t="s">
        <v>18</v>
      </c>
      <c r="AN818" s="844" t="s">
        <v>2466</v>
      </c>
    </row>
    <row r="819" spans="1:40">
      <c r="A819" t="s">
        <v>5271</v>
      </c>
      <c r="B819" t="s">
        <v>989</v>
      </c>
      <c r="C819" t="s">
        <v>816</v>
      </c>
      <c r="D819" t="s">
        <v>3495</v>
      </c>
      <c r="E819" t="s">
        <v>18</v>
      </c>
      <c r="F819" t="s">
        <v>3496</v>
      </c>
      <c r="M819" t="s">
        <v>4727</v>
      </c>
      <c r="N819" t="s">
        <v>1012</v>
      </c>
      <c r="O819" t="s">
        <v>18</v>
      </c>
      <c r="P819" t="s">
        <v>3287</v>
      </c>
      <c r="T819" t="s">
        <v>989</v>
      </c>
      <c r="U819" t="s">
        <v>816</v>
      </c>
      <c r="V819" t="s">
        <v>18</v>
      </c>
      <c r="W819" t="s">
        <v>857</v>
      </c>
      <c r="AC819" t="s">
        <v>1016</v>
      </c>
      <c r="AD819" t="s">
        <v>816</v>
      </c>
      <c r="AE819" t="s">
        <v>18</v>
      </c>
      <c r="AF819" t="s">
        <v>3236</v>
      </c>
      <c r="AJ819" s="844" t="s">
        <v>6179</v>
      </c>
      <c r="AK819" s="844" t="s">
        <v>1094</v>
      </c>
      <c r="AL819" s="844" t="s">
        <v>816</v>
      </c>
      <c r="AM819" s="844" t="s">
        <v>18</v>
      </c>
      <c r="AN819" s="844" t="s">
        <v>2468</v>
      </c>
    </row>
    <row r="820" spans="1:40">
      <c r="A820" t="s">
        <v>5273</v>
      </c>
      <c r="B820" t="s">
        <v>989</v>
      </c>
      <c r="C820" t="s">
        <v>816</v>
      </c>
      <c r="D820" t="s">
        <v>3550</v>
      </c>
      <c r="E820" t="s">
        <v>18</v>
      </c>
      <c r="F820" t="s">
        <v>3551</v>
      </c>
      <c r="M820" t="s">
        <v>4728</v>
      </c>
      <c r="N820" t="s">
        <v>1013</v>
      </c>
      <c r="O820" t="s">
        <v>53</v>
      </c>
      <c r="P820" t="s">
        <v>3328</v>
      </c>
      <c r="T820" t="s">
        <v>989</v>
      </c>
      <c r="U820" t="s">
        <v>816</v>
      </c>
      <c r="V820" t="s">
        <v>18</v>
      </c>
      <c r="W820" t="s">
        <v>857</v>
      </c>
      <c r="AC820" t="s">
        <v>13</v>
      </c>
      <c r="AD820" t="s">
        <v>818</v>
      </c>
      <c r="AE820" t="s">
        <v>857</v>
      </c>
      <c r="AF820" t="s">
        <v>857</v>
      </c>
      <c r="AJ820" s="844" t="s">
        <v>6183</v>
      </c>
      <c r="AK820" s="844" t="s">
        <v>1095</v>
      </c>
      <c r="AL820" s="844" t="s">
        <v>818</v>
      </c>
      <c r="AM820" s="844" t="s">
        <v>18</v>
      </c>
      <c r="AN820" s="844" t="s">
        <v>2366</v>
      </c>
    </row>
    <row r="821" spans="1:40">
      <c r="A821" t="s">
        <v>6457</v>
      </c>
      <c r="B821" t="s">
        <v>989</v>
      </c>
      <c r="C821" t="s">
        <v>816</v>
      </c>
      <c r="E821" t="s">
        <v>18</v>
      </c>
      <c r="F821" t="s">
        <v>3581</v>
      </c>
      <c r="M821" t="s">
        <v>4728</v>
      </c>
      <c r="N821" t="s">
        <v>1013</v>
      </c>
      <c r="O821" t="s">
        <v>53</v>
      </c>
      <c r="P821" t="s">
        <v>3327</v>
      </c>
      <c r="T821" t="s">
        <v>989</v>
      </c>
      <c r="U821" t="s">
        <v>816</v>
      </c>
      <c r="V821" t="s">
        <v>857</v>
      </c>
      <c r="W821" t="s">
        <v>3503</v>
      </c>
      <c r="AC821" t="s">
        <v>13</v>
      </c>
      <c r="AD821" t="s">
        <v>818</v>
      </c>
      <c r="AE821" t="s">
        <v>18</v>
      </c>
      <c r="AF821" t="s">
        <v>857</v>
      </c>
      <c r="AJ821" s="844" t="s">
        <v>6188</v>
      </c>
      <c r="AK821" s="844" t="s">
        <v>1095</v>
      </c>
      <c r="AL821" s="844" t="s">
        <v>19</v>
      </c>
      <c r="AM821" s="844" t="s">
        <v>18</v>
      </c>
      <c r="AN821" s="844" t="s">
        <v>2381</v>
      </c>
    </row>
    <row r="822" spans="1:40">
      <c r="A822" t="s">
        <v>6457</v>
      </c>
      <c r="B822" t="s">
        <v>989</v>
      </c>
      <c r="C822" t="s">
        <v>816</v>
      </c>
      <c r="E822" t="s">
        <v>18</v>
      </c>
      <c r="F822" t="s">
        <v>3579</v>
      </c>
      <c r="M822" t="s">
        <v>4728</v>
      </c>
      <c r="N822" t="s">
        <v>1013</v>
      </c>
      <c r="O822" t="s">
        <v>53</v>
      </c>
      <c r="P822" t="s">
        <v>3326</v>
      </c>
      <c r="T822" t="s">
        <v>989</v>
      </c>
      <c r="U822" t="s">
        <v>816</v>
      </c>
      <c r="V822" t="s">
        <v>857</v>
      </c>
      <c r="W822" t="s">
        <v>3501</v>
      </c>
      <c r="AC822" t="s">
        <v>13</v>
      </c>
      <c r="AD822" t="s">
        <v>818</v>
      </c>
      <c r="AE822" t="s">
        <v>18</v>
      </c>
      <c r="AF822" t="s">
        <v>3218</v>
      </c>
      <c r="AJ822" s="844" t="s">
        <v>6188</v>
      </c>
      <c r="AK822" s="844" t="s">
        <v>1095</v>
      </c>
      <c r="AL822" s="844" t="s">
        <v>19</v>
      </c>
      <c r="AM822" s="844" t="s">
        <v>18</v>
      </c>
      <c r="AN822" s="844" t="s">
        <v>2379</v>
      </c>
    </row>
    <row r="823" spans="1:40">
      <c r="A823" t="s">
        <v>6457</v>
      </c>
      <c r="B823" t="s">
        <v>989</v>
      </c>
      <c r="C823" t="s">
        <v>816</v>
      </c>
      <c r="E823" t="s">
        <v>18</v>
      </c>
      <c r="F823" t="s">
        <v>3572</v>
      </c>
      <c r="M823" t="s">
        <v>4728</v>
      </c>
      <c r="N823" t="s">
        <v>1013</v>
      </c>
      <c r="O823" t="s">
        <v>53</v>
      </c>
      <c r="P823" t="s">
        <v>3325</v>
      </c>
      <c r="T823" t="s">
        <v>989</v>
      </c>
      <c r="U823" t="s">
        <v>816</v>
      </c>
      <c r="V823" t="s">
        <v>18</v>
      </c>
      <c r="W823" t="s">
        <v>3501</v>
      </c>
      <c r="AC823" t="s">
        <v>13</v>
      </c>
      <c r="AD823" t="s">
        <v>818</v>
      </c>
      <c r="AE823" t="s">
        <v>18</v>
      </c>
      <c r="AF823" t="s">
        <v>3212</v>
      </c>
      <c r="AJ823" s="844" t="s">
        <v>6188</v>
      </c>
      <c r="AK823" s="844" t="s">
        <v>1095</v>
      </c>
      <c r="AL823" s="844" t="s">
        <v>19</v>
      </c>
      <c r="AM823" s="844" t="s">
        <v>18</v>
      </c>
      <c r="AN823" s="844" t="s">
        <v>2366</v>
      </c>
    </row>
    <row r="824" spans="1:40">
      <c r="A824" t="s">
        <v>6457</v>
      </c>
      <c r="B824" t="s">
        <v>989</v>
      </c>
      <c r="C824" t="s">
        <v>816</v>
      </c>
      <c r="E824" t="s">
        <v>18</v>
      </c>
      <c r="F824" t="s">
        <v>3571</v>
      </c>
      <c r="M824" t="s">
        <v>4728</v>
      </c>
      <c r="N824" t="s">
        <v>1013</v>
      </c>
      <c r="O824" t="s">
        <v>53</v>
      </c>
      <c r="P824" t="s">
        <v>3323</v>
      </c>
      <c r="T824" t="s">
        <v>989</v>
      </c>
      <c r="U824" t="s">
        <v>816</v>
      </c>
      <c r="V824" t="s">
        <v>857</v>
      </c>
      <c r="W824" t="s">
        <v>3499</v>
      </c>
      <c r="AC824" t="s">
        <v>13</v>
      </c>
      <c r="AD824" t="s">
        <v>19</v>
      </c>
      <c r="AE824" t="s">
        <v>857</v>
      </c>
      <c r="AF824" t="s">
        <v>857</v>
      </c>
      <c r="AJ824" s="844" t="s">
        <v>6189</v>
      </c>
      <c r="AK824" s="844" t="s">
        <v>1095</v>
      </c>
      <c r="AL824" s="844" t="s">
        <v>2384</v>
      </c>
      <c r="AM824" s="844" t="s">
        <v>857</v>
      </c>
      <c r="AN824" s="844" t="s">
        <v>2381</v>
      </c>
    </row>
    <row r="825" spans="1:40">
      <c r="A825" t="s">
        <v>6457</v>
      </c>
      <c r="B825" t="s">
        <v>989</v>
      </c>
      <c r="C825" t="s">
        <v>816</v>
      </c>
      <c r="E825" t="s">
        <v>18</v>
      </c>
      <c r="F825" t="s">
        <v>3562</v>
      </c>
      <c r="M825" t="s">
        <v>4728</v>
      </c>
      <c r="N825" t="s">
        <v>1013</v>
      </c>
      <c r="O825" t="s">
        <v>53</v>
      </c>
      <c r="P825" t="s">
        <v>3322</v>
      </c>
      <c r="T825" t="s">
        <v>989</v>
      </c>
      <c r="U825" t="s">
        <v>816</v>
      </c>
      <c r="V825" t="s">
        <v>857</v>
      </c>
      <c r="W825" t="s">
        <v>3497</v>
      </c>
      <c r="AC825" t="s">
        <v>13</v>
      </c>
      <c r="AD825" t="s">
        <v>19</v>
      </c>
      <c r="AE825" t="s">
        <v>857</v>
      </c>
      <c r="AF825" t="s">
        <v>3212</v>
      </c>
      <c r="AJ825" s="844" t="s">
        <v>6194</v>
      </c>
      <c r="AK825" s="844" t="s">
        <v>1095</v>
      </c>
      <c r="AL825" s="844" t="s">
        <v>2384</v>
      </c>
      <c r="AM825" s="844" t="s">
        <v>18</v>
      </c>
      <c r="AN825" s="844" t="s">
        <v>2381</v>
      </c>
    </row>
    <row r="826" spans="1:40">
      <c r="A826" t="s">
        <v>6457</v>
      </c>
      <c r="B826" t="s">
        <v>989</v>
      </c>
      <c r="C826" t="s">
        <v>816</v>
      </c>
      <c r="E826" t="s">
        <v>18</v>
      </c>
      <c r="F826" t="s">
        <v>3561</v>
      </c>
      <c r="M826" t="s">
        <v>4728</v>
      </c>
      <c r="N826" t="s">
        <v>1013</v>
      </c>
      <c r="O826" t="s">
        <v>53</v>
      </c>
      <c r="P826" t="s">
        <v>3241</v>
      </c>
      <c r="T826" t="s">
        <v>989</v>
      </c>
      <c r="U826" t="s">
        <v>816</v>
      </c>
      <c r="V826" t="s">
        <v>18</v>
      </c>
      <c r="W826" t="s">
        <v>3495</v>
      </c>
      <c r="AC826" t="s">
        <v>13</v>
      </c>
      <c r="AD826" t="s">
        <v>19</v>
      </c>
      <c r="AE826" t="s">
        <v>18</v>
      </c>
      <c r="AF826" t="s">
        <v>857</v>
      </c>
      <c r="AJ826" s="844" t="s">
        <v>6194</v>
      </c>
      <c r="AK826" s="844" t="s">
        <v>1095</v>
      </c>
      <c r="AL826" s="844" t="s">
        <v>2384</v>
      </c>
      <c r="AM826" s="844" t="s">
        <v>18</v>
      </c>
      <c r="AN826" s="844" t="s">
        <v>2379</v>
      </c>
    </row>
    <row r="827" spans="1:40">
      <c r="A827" t="s">
        <v>6457</v>
      </c>
      <c r="B827" t="s">
        <v>989</v>
      </c>
      <c r="C827" t="s">
        <v>816</v>
      </c>
      <c r="E827" t="s">
        <v>18</v>
      </c>
      <c r="F827" t="s">
        <v>3560</v>
      </c>
      <c r="M827" t="s">
        <v>4728</v>
      </c>
      <c r="N827" t="s">
        <v>1013</v>
      </c>
      <c r="O827" t="s">
        <v>53</v>
      </c>
      <c r="P827" t="s">
        <v>3240</v>
      </c>
      <c r="T827" t="s">
        <v>989</v>
      </c>
      <c r="U827" t="s">
        <v>816</v>
      </c>
      <c r="V827" t="s">
        <v>18</v>
      </c>
      <c r="W827" t="s">
        <v>3550</v>
      </c>
      <c r="AC827" t="s">
        <v>13</v>
      </c>
      <c r="AD827" t="s">
        <v>19</v>
      </c>
      <c r="AE827" t="s">
        <v>18</v>
      </c>
      <c r="AF827" t="s">
        <v>3212</v>
      </c>
      <c r="AJ827" s="844" t="s">
        <v>6198</v>
      </c>
      <c r="AK827" s="844" t="s">
        <v>1095</v>
      </c>
      <c r="AL827" s="844" t="s">
        <v>816</v>
      </c>
      <c r="AM827" s="844" t="s">
        <v>18</v>
      </c>
      <c r="AN827" s="844" t="s">
        <v>2366</v>
      </c>
    </row>
    <row r="828" spans="1:40">
      <c r="A828" t="s">
        <v>5275</v>
      </c>
      <c r="B828" t="s">
        <v>990</v>
      </c>
      <c r="C828" t="s">
        <v>818</v>
      </c>
      <c r="D828" t="s">
        <v>3521</v>
      </c>
      <c r="E828" t="s">
        <v>18</v>
      </c>
      <c r="F828" t="s">
        <v>3533</v>
      </c>
      <c r="M828" t="s">
        <v>4729</v>
      </c>
      <c r="N828" t="s">
        <v>1013</v>
      </c>
      <c r="O828" t="s">
        <v>18</v>
      </c>
      <c r="P828" t="s">
        <v>3331</v>
      </c>
      <c r="T828" t="s">
        <v>990</v>
      </c>
      <c r="U828" t="s">
        <v>818</v>
      </c>
      <c r="V828" t="s">
        <v>857</v>
      </c>
      <c r="W828" t="s">
        <v>857</v>
      </c>
      <c r="AC828" t="s">
        <v>13</v>
      </c>
      <c r="AD828" t="s">
        <v>19</v>
      </c>
      <c r="AE828" t="s">
        <v>18</v>
      </c>
      <c r="AF828" t="s">
        <v>3214</v>
      </c>
      <c r="AJ828" s="844" t="s">
        <v>6200</v>
      </c>
      <c r="AK828" s="844" t="s">
        <v>1096</v>
      </c>
      <c r="AL828" s="844" t="s">
        <v>19</v>
      </c>
      <c r="AM828" s="844" t="s">
        <v>857</v>
      </c>
      <c r="AN828" s="844" t="s">
        <v>2941</v>
      </c>
    </row>
    <row r="829" spans="1:40">
      <c r="A829" t="s">
        <v>6462</v>
      </c>
      <c r="B829" t="s">
        <v>990</v>
      </c>
      <c r="C829" t="s">
        <v>818</v>
      </c>
      <c r="D829" t="s">
        <v>3534</v>
      </c>
      <c r="F829" t="s">
        <v>3535</v>
      </c>
      <c r="M829" t="s">
        <v>4729</v>
      </c>
      <c r="N829" t="s">
        <v>1013</v>
      </c>
      <c r="O829" t="s">
        <v>18</v>
      </c>
      <c r="P829" t="s">
        <v>3330</v>
      </c>
      <c r="T829" t="s">
        <v>990</v>
      </c>
      <c r="U829" t="s">
        <v>818</v>
      </c>
      <c r="V829" t="s">
        <v>18</v>
      </c>
      <c r="W829" t="s">
        <v>857</v>
      </c>
      <c r="AC829" t="s">
        <v>13</v>
      </c>
      <c r="AD829" t="s">
        <v>2384</v>
      </c>
      <c r="AE829" t="s">
        <v>857</v>
      </c>
      <c r="AF829" t="s">
        <v>3222</v>
      </c>
      <c r="AJ829" s="844" t="s">
        <v>6205</v>
      </c>
      <c r="AK829" s="844" t="s">
        <v>1096</v>
      </c>
      <c r="AL829" s="844" t="s">
        <v>19</v>
      </c>
      <c r="AM829" s="844" t="s">
        <v>18</v>
      </c>
      <c r="AN829" s="844" t="s">
        <v>2941</v>
      </c>
    </row>
    <row r="830" spans="1:40">
      <c r="A830" t="s">
        <v>5276</v>
      </c>
      <c r="B830" t="s">
        <v>990</v>
      </c>
      <c r="C830" t="s">
        <v>818</v>
      </c>
      <c r="D830" t="s">
        <v>3513</v>
      </c>
      <c r="E830" t="s">
        <v>18</v>
      </c>
      <c r="F830" t="s">
        <v>3514</v>
      </c>
      <c r="M830" t="s">
        <v>4729</v>
      </c>
      <c r="N830" t="s">
        <v>1013</v>
      </c>
      <c r="O830" t="s">
        <v>18</v>
      </c>
      <c r="P830" t="s">
        <v>3329</v>
      </c>
      <c r="T830" t="s">
        <v>990</v>
      </c>
      <c r="U830" t="s">
        <v>818</v>
      </c>
      <c r="V830" t="s">
        <v>18</v>
      </c>
      <c r="W830" t="s">
        <v>857</v>
      </c>
      <c r="AC830" t="s">
        <v>13</v>
      </c>
      <c r="AD830" t="s">
        <v>2384</v>
      </c>
      <c r="AE830" t="s">
        <v>857</v>
      </c>
      <c r="AF830" t="s">
        <v>3218</v>
      </c>
      <c r="AJ830" s="844" t="s">
        <v>6206</v>
      </c>
      <c r="AK830" s="844" t="s">
        <v>1096</v>
      </c>
      <c r="AL830" s="844" t="s">
        <v>2384</v>
      </c>
      <c r="AM830" s="844" t="s">
        <v>857</v>
      </c>
      <c r="AN830" s="844" t="s">
        <v>2941</v>
      </c>
    </row>
    <row r="831" spans="1:40">
      <c r="A831" t="s">
        <v>5277</v>
      </c>
      <c r="B831" t="s">
        <v>990</v>
      </c>
      <c r="C831" t="s">
        <v>818</v>
      </c>
      <c r="D831" t="s">
        <v>3510</v>
      </c>
      <c r="E831" t="s">
        <v>18</v>
      </c>
      <c r="F831" t="s">
        <v>3511</v>
      </c>
      <c r="M831" t="s">
        <v>4729</v>
      </c>
      <c r="N831" t="s">
        <v>1013</v>
      </c>
      <c r="O831" t="s">
        <v>18</v>
      </c>
      <c r="P831" t="s">
        <v>3324</v>
      </c>
      <c r="T831" t="s">
        <v>990</v>
      </c>
      <c r="U831" t="s">
        <v>818</v>
      </c>
      <c r="V831" t="s">
        <v>18</v>
      </c>
      <c r="W831" t="s">
        <v>857</v>
      </c>
      <c r="AC831" t="s">
        <v>13</v>
      </c>
      <c r="AD831" t="s">
        <v>2384</v>
      </c>
      <c r="AE831" t="s">
        <v>857</v>
      </c>
      <c r="AF831" t="s">
        <v>3212</v>
      </c>
      <c r="AJ831" s="844" t="s">
        <v>6209</v>
      </c>
      <c r="AK831" s="844" t="s">
        <v>1096</v>
      </c>
      <c r="AL831" s="844" t="s">
        <v>2384</v>
      </c>
      <c r="AM831" s="844" t="s">
        <v>18</v>
      </c>
      <c r="AN831" s="844" t="s">
        <v>2941</v>
      </c>
    </row>
    <row r="832" spans="1:40">
      <c r="A832" t="s">
        <v>5278</v>
      </c>
      <c r="B832" t="s">
        <v>990</v>
      </c>
      <c r="C832" t="s">
        <v>818</v>
      </c>
      <c r="D832" t="s">
        <v>3531</v>
      </c>
      <c r="E832" t="s">
        <v>18</v>
      </c>
      <c r="F832" t="s">
        <v>3532</v>
      </c>
      <c r="M832" t="s">
        <v>4730</v>
      </c>
      <c r="N832" t="s">
        <v>1014</v>
      </c>
      <c r="O832" t="s">
        <v>18</v>
      </c>
      <c r="P832" t="s">
        <v>3252</v>
      </c>
      <c r="T832" t="s">
        <v>990</v>
      </c>
      <c r="U832" t="s">
        <v>818</v>
      </c>
      <c r="V832" t="s">
        <v>18</v>
      </c>
      <c r="W832" t="s">
        <v>857</v>
      </c>
      <c r="AC832" t="s">
        <v>13</v>
      </c>
      <c r="AD832" t="s">
        <v>2384</v>
      </c>
      <c r="AE832" t="s">
        <v>18</v>
      </c>
      <c r="AF832" t="s">
        <v>3218</v>
      </c>
      <c r="AJ832" s="844" t="s">
        <v>6211</v>
      </c>
      <c r="AK832" s="844" t="s">
        <v>1097</v>
      </c>
      <c r="AL832" s="844" t="s">
        <v>818</v>
      </c>
      <c r="AM832" s="844" t="s">
        <v>857</v>
      </c>
      <c r="AN832" s="844" t="s">
        <v>2363</v>
      </c>
    </row>
    <row r="833" spans="1:40">
      <c r="A833" t="s">
        <v>5280</v>
      </c>
      <c r="B833" t="s">
        <v>990</v>
      </c>
      <c r="C833" t="s">
        <v>818</v>
      </c>
      <c r="D833" t="s">
        <v>3529</v>
      </c>
      <c r="E833" t="s">
        <v>18</v>
      </c>
      <c r="F833" t="s">
        <v>3530</v>
      </c>
      <c r="M833" t="s">
        <v>4730</v>
      </c>
      <c r="N833" t="s">
        <v>1014</v>
      </c>
      <c r="O833" t="s">
        <v>18</v>
      </c>
      <c r="P833" t="s">
        <v>3251</v>
      </c>
      <c r="T833" t="s">
        <v>990</v>
      </c>
      <c r="U833" t="s">
        <v>818</v>
      </c>
      <c r="V833" t="s">
        <v>18</v>
      </c>
      <c r="W833" t="s">
        <v>857</v>
      </c>
      <c r="AC833" t="s">
        <v>13</v>
      </c>
      <c r="AD833" t="s">
        <v>2416</v>
      </c>
      <c r="AE833" t="s">
        <v>18</v>
      </c>
      <c r="AF833" t="s">
        <v>3212</v>
      </c>
      <c r="AJ833" s="844" t="s">
        <v>6216</v>
      </c>
      <c r="AK833" s="844" t="s">
        <v>1097</v>
      </c>
      <c r="AL833" s="844" t="s">
        <v>818</v>
      </c>
      <c r="AM833" s="844" t="s">
        <v>18</v>
      </c>
      <c r="AN833" s="844" t="s">
        <v>2366</v>
      </c>
    </row>
    <row r="834" spans="1:40">
      <c r="A834" t="s">
        <v>6461</v>
      </c>
      <c r="B834" t="s">
        <v>990</v>
      </c>
      <c r="C834" t="s">
        <v>818</v>
      </c>
      <c r="E834" t="s">
        <v>18</v>
      </c>
      <c r="F834" t="s">
        <v>3547</v>
      </c>
      <c r="M834" t="s">
        <v>4730</v>
      </c>
      <c r="N834" t="s">
        <v>1014</v>
      </c>
      <c r="O834" t="s">
        <v>18</v>
      </c>
      <c r="P834" t="s">
        <v>3250</v>
      </c>
      <c r="T834" t="s">
        <v>990</v>
      </c>
      <c r="U834" t="s">
        <v>818</v>
      </c>
      <c r="V834" t="s">
        <v>18</v>
      </c>
      <c r="W834" t="s">
        <v>857</v>
      </c>
      <c r="AC834" t="s">
        <v>13</v>
      </c>
      <c r="AD834" t="s">
        <v>816</v>
      </c>
      <c r="AE834" t="s">
        <v>18</v>
      </c>
      <c r="AF834" t="s">
        <v>857</v>
      </c>
      <c r="AJ834" s="844" t="s">
        <v>6217</v>
      </c>
      <c r="AK834" s="844" t="s">
        <v>1097</v>
      </c>
      <c r="AL834" s="844" t="s">
        <v>19</v>
      </c>
      <c r="AM834" s="844" t="s">
        <v>857</v>
      </c>
      <c r="AN834" s="844" t="s">
        <v>2363</v>
      </c>
    </row>
    <row r="835" spans="1:40">
      <c r="A835" t="s">
        <v>6461</v>
      </c>
      <c r="B835" t="s">
        <v>990</v>
      </c>
      <c r="C835" t="s">
        <v>818</v>
      </c>
      <c r="E835" t="s">
        <v>18</v>
      </c>
      <c r="F835" t="s">
        <v>3546</v>
      </c>
      <c r="M835" t="s">
        <v>4730</v>
      </c>
      <c r="N835" t="s">
        <v>1014</v>
      </c>
      <c r="O835" t="s">
        <v>18</v>
      </c>
      <c r="P835" t="s">
        <v>3249</v>
      </c>
      <c r="T835" t="s">
        <v>990</v>
      </c>
      <c r="U835" t="s">
        <v>818</v>
      </c>
      <c r="V835" t="s">
        <v>18</v>
      </c>
      <c r="W835" t="s">
        <v>3521</v>
      </c>
      <c r="AC835" t="s">
        <v>13</v>
      </c>
      <c r="AD835" t="s">
        <v>816</v>
      </c>
      <c r="AE835" t="s">
        <v>18</v>
      </c>
      <c r="AF835" t="s">
        <v>3212</v>
      </c>
      <c r="AJ835" s="844" t="s">
        <v>6223</v>
      </c>
      <c r="AK835" s="844" t="s">
        <v>1097</v>
      </c>
      <c r="AL835" s="844" t="s">
        <v>19</v>
      </c>
      <c r="AM835" s="844" t="s">
        <v>18</v>
      </c>
      <c r="AN835" s="844" t="s">
        <v>2363</v>
      </c>
    </row>
    <row r="836" spans="1:40">
      <c r="A836" t="s">
        <v>6461</v>
      </c>
      <c r="B836" t="s">
        <v>990</v>
      </c>
      <c r="C836" t="s">
        <v>818</v>
      </c>
      <c r="E836" t="s">
        <v>18</v>
      </c>
      <c r="F836" t="s">
        <v>3543</v>
      </c>
      <c r="M836" t="s">
        <v>4730</v>
      </c>
      <c r="N836" t="s">
        <v>1014</v>
      </c>
      <c r="O836" t="s">
        <v>18</v>
      </c>
      <c r="P836" t="s">
        <v>3248</v>
      </c>
      <c r="T836" t="s">
        <v>990</v>
      </c>
      <c r="U836" t="s">
        <v>818</v>
      </c>
      <c r="V836" t="s">
        <v>857</v>
      </c>
      <c r="W836" t="s">
        <v>3534</v>
      </c>
      <c r="AC836" t="s">
        <v>1051</v>
      </c>
      <c r="AD836" t="s">
        <v>818</v>
      </c>
      <c r="AE836" t="s">
        <v>18</v>
      </c>
      <c r="AF836" t="s">
        <v>857</v>
      </c>
      <c r="AJ836" s="844" t="s">
        <v>6223</v>
      </c>
      <c r="AK836" s="844" t="s">
        <v>1097</v>
      </c>
      <c r="AL836" s="844" t="s">
        <v>19</v>
      </c>
      <c r="AM836" s="844" t="s">
        <v>18</v>
      </c>
      <c r="AN836" s="844" t="s">
        <v>2366</v>
      </c>
    </row>
    <row r="837" spans="1:40">
      <c r="A837" t="s">
        <v>6461</v>
      </c>
      <c r="B837" t="s">
        <v>990</v>
      </c>
      <c r="C837" t="s">
        <v>818</v>
      </c>
      <c r="E837" t="s">
        <v>18</v>
      </c>
      <c r="F837" t="s">
        <v>3542</v>
      </c>
      <c r="M837" t="s">
        <v>4730</v>
      </c>
      <c r="N837" t="s">
        <v>1014</v>
      </c>
      <c r="O837" t="s">
        <v>18</v>
      </c>
      <c r="P837" t="s">
        <v>3247</v>
      </c>
      <c r="T837" t="s">
        <v>990</v>
      </c>
      <c r="U837" t="s">
        <v>818</v>
      </c>
      <c r="V837" t="s">
        <v>18</v>
      </c>
      <c r="W837" t="s">
        <v>3513</v>
      </c>
      <c r="AC837" t="s">
        <v>1051</v>
      </c>
      <c r="AD837" t="s">
        <v>818</v>
      </c>
      <c r="AE837" t="s">
        <v>18</v>
      </c>
      <c r="AF837" t="s">
        <v>2559</v>
      </c>
      <c r="AJ837" s="844" t="s">
        <v>6224</v>
      </c>
      <c r="AK837" s="844" t="s">
        <v>1097</v>
      </c>
      <c r="AL837" s="844" t="s">
        <v>2384</v>
      </c>
      <c r="AM837" s="844" t="s">
        <v>857</v>
      </c>
      <c r="AN837" s="844" t="s">
        <v>2363</v>
      </c>
    </row>
    <row r="838" spans="1:40">
      <c r="A838" t="s">
        <v>6461</v>
      </c>
      <c r="B838" t="s">
        <v>990</v>
      </c>
      <c r="C838" t="s">
        <v>818</v>
      </c>
      <c r="E838" t="s">
        <v>18</v>
      </c>
      <c r="F838" t="s">
        <v>3541</v>
      </c>
      <c r="M838" t="s">
        <v>4730</v>
      </c>
      <c r="N838" t="s">
        <v>1014</v>
      </c>
      <c r="O838" t="s">
        <v>18</v>
      </c>
      <c r="P838" t="s">
        <v>3246</v>
      </c>
      <c r="T838" t="s">
        <v>990</v>
      </c>
      <c r="U838" t="s">
        <v>818</v>
      </c>
      <c r="V838" t="s">
        <v>18</v>
      </c>
      <c r="W838" t="s">
        <v>3510</v>
      </c>
      <c r="AC838" t="s">
        <v>1051</v>
      </c>
      <c r="AD838" t="s">
        <v>818</v>
      </c>
      <c r="AE838" t="s">
        <v>18</v>
      </c>
      <c r="AF838" t="s">
        <v>2867</v>
      </c>
      <c r="AJ838" s="844" t="s">
        <v>6228</v>
      </c>
      <c r="AK838" s="844" t="s">
        <v>1097</v>
      </c>
      <c r="AL838" s="844" t="s">
        <v>2416</v>
      </c>
      <c r="AM838" s="844" t="s">
        <v>18</v>
      </c>
      <c r="AN838" s="844" t="s">
        <v>2366</v>
      </c>
    </row>
    <row r="839" spans="1:40">
      <c r="A839" t="s">
        <v>6461</v>
      </c>
      <c r="B839" t="s">
        <v>990</v>
      </c>
      <c r="C839" t="s">
        <v>818</v>
      </c>
      <c r="E839" t="s">
        <v>18</v>
      </c>
      <c r="F839" t="s">
        <v>3536</v>
      </c>
      <c r="M839" t="s">
        <v>4730</v>
      </c>
      <c r="N839" t="s">
        <v>1014</v>
      </c>
      <c r="O839" t="s">
        <v>18</v>
      </c>
      <c r="P839" t="s">
        <v>3245</v>
      </c>
      <c r="T839" t="s">
        <v>990</v>
      </c>
      <c r="U839" t="s">
        <v>818</v>
      </c>
      <c r="V839" t="s">
        <v>18</v>
      </c>
      <c r="W839" t="s">
        <v>3531</v>
      </c>
      <c r="AC839" t="s">
        <v>1051</v>
      </c>
      <c r="AD839" t="s">
        <v>19</v>
      </c>
      <c r="AE839" t="s">
        <v>18</v>
      </c>
      <c r="AF839" t="s">
        <v>857</v>
      </c>
      <c r="AJ839" s="844" t="s">
        <v>6233</v>
      </c>
      <c r="AK839" s="844" t="s">
        <v>1097</v>
      </c>
      <c r="AL839" s="844" t="s">
        <v>816</v>
      </c>
      <c r="AM839" s="844" t="s">
        <v>18</v>
      </c>
      <c r="AN839" s="844" t="s">
        <v>2363</v>
      </c>
    </row>
    <row r="840" spans="1:40">
      <c r="A840" t="s">
        <v>5274</v>
      </c>
      <c r="B840" t="s">
        <v>990</v>
      </c>
      <c r="C840" t="s">
        <v>818</v>
      </c>
      <c r="F840" t="s">
        <v>3851</v>
      </c>
      <c r="M840" t="s">
        <v>4730</v>
      </c>
      <c r="N840" t="s">
        <v>1014</v>
      </c>
      <c r="O840" t="s">
        <v>18</v>
      </c>
      <c r="P840" t="s">
        <v>3244</v>
      </c>
      <c r="T840" t="s">
        <v>990</v>
      </c>
      <c r="U840" t="s">
        <v>818</v>
      </c>
      <c r="V840" t="s">
        <v>18</v>
      </c>
      <c r="W840" t="s">
        <v>3529</v>
      </c>
      <c r="AC840" t="s">
        <v>1051</v>
      </c>
      <c r="AD840" t="s">
        <v>19</v>
      </c>
      <c r="AE840" t="s">
        <v>18</v>
      </c>
      <c r="AF840" t="s">
        <v>2559</v>
      </c>
      <c r="AJ840" s="844" t="s">
        <v>6233</v>
      </c>
      <c r="AK840" s="844" t="s">
        <v>1097</v>
      </c>
      <c r="AL840" s="844" t="s">
        <v>816</v>
      </c>
      <c r="AM840" s="844" t="s">
        <v>18</v>
      </c>
      <c r="AN840" s="844" t="s">
        <v>2366</v>
      </c>
    </row>
    <row r="841" spans="1:40">
      <c r="A841" t="s">
        <v>5282</v>
      </c>
      <c r="B841" t="s">
        <v>990</v>
      </c>
      <c r="C841" t="s">
        <v>19</v>
      </c>
      <c r="D841" t="s">
        <v>3521</v>
      </c>
      <c r="E841" t="s">
        <v>18</v>
      </c>
      <c r="F841" t="s">
        <v>3528</v>
      </c>
      <c r="M841" t="s">
        <v>4730</v>
      </c>
      <c r="N841" t="s">
        <v>1014</v>
      </c>
      <c r="O841" t="s">
        <v>18</v>
      </c>
      <c r="P841" t="s">
        <v>3239</v>
      </c>
      <c r="T841" t="s">
        <v>990</v>
      </c>
      <c r="U841" t="s">
        <v>19</v>
      </c>
      <c r="V841" t="s">
        <v>857</v>
      </c>
      <c r="W841" t="s">
        <v>857</v>
      </c>
      <c r="AC841" t="s">
        <v>1051</v>
      </c>
      <c r="AD841" t="s">
        <v>19</v>
      </c>
      <c r="AE841" t="s">
        <v>18</v>
      </c>
      <c r="AF841" t="s">
        <v>2867</v>
      </c>
      <c r="AJ841" s="844" t="s">
        <v>6794</v>
      </c>
      <c r="AK841" s="844"/>
      <c r="AL841" s="844" t="s">
        <v>818</v>
      </c>
      <c r="AM841" s="844" t="s">
        <v>857</v>
      </c>
      <c r="AN841" s="844" t="s">
        <v>2870</v>
      </c>
    </row>
    <row r="842" spans="1:40">
      <c r="A842" t="s">
        <v>6634</v>
      </c>
      <c r="B842" t="s">
        <v>990</v>
      </c>
      <c r="C842" t="s">
        <v>19</v>
      </c>
      <c r="D842" t="s">
        <v>3521</v>
      </c>
      <c r="F842" t="s">
        <v>3898</v>
      </c>
      <c r="M842" t="s">
        <v>4731</v>
      </c>
      <c r="N842" t="s">
        <v>1015</v>
      </c>
      <c r="O842" t="s">
        <v>53</v>
      </c>
      <c r="P842" t="s">
        <v>3256</v>
      </c>
      <c r="T842" t="s">
        <v>990</v>
      </c>
      <c r="U842" t="s">
        <v>19</v>
      </c>
      <c r="V842" t="s">
        <v>18</v>
      </c>
      <c r="W842" t="s">
        <v>857</v>
      </c>
      <c r="AC842" t="s">
        <v>1051</v>
      </c>
      <c r="AD842" t="s">
        <v>2384</v>
      </c>
      <c r="AE842" t="s">
        <v>857</v>
      </c>
      <c r="AF842" t="s">
        <v>857</v>
      </c>
      <c r="AJ842" s="844" t="s">
        <v>6794</v>
      </c>
      <c r="AK842" s="844"/>
      <c r="AL842" s="844" t="s">
        <v>818</v>
      </c>
      <c r="AM842" s="844" t="s">
        <v>857</v>
      </c>
      <c r="AN842" s="844" t="s">
        <v>2905</v>
      </c>
    </row>
    <row r="843" spans="1:40">
      <c r="A843" t="s">
        <v>6234</v>
      </c>
      <c r="B843" t="s">
        <v>990</v>
      </c>
      <c r="C843" t="s">
        <v>19</v>
      </c>
      <c r="D843" t="s">
        <v>3526</v>
      </c>
      <c r="E843" t="s">
        <v>18</v>
      </c>
      <c r="F843" t="s">
        <v>3527</v>
      </c>
      <c r="M843" t="s">
        <v>4731</v>
      </c>
      <c r="N843" t="s">
        <v>1015</v>
      </c>
      <c r="O843" t="s">
        <v>53</v>
      </c>
      <c r="P843" t="s">
        <v>3255</v>
      </c>
      <c r="T843" t="s">
        <v>990</v>
      </c>
      <c r="U843" t="s">
        <v>19</v>
      </c>
      <c r="V843" t="s">
        <v>18</v>
      </c>
      <c r="W843" t="s">
        <v>857</v>
      </c>
      <c r="AC843" t="s">
        <v>1051</v>
      </c>
      <c r="AD843" t="s">
        <v>2384</v>
      </c>
      <c r="AE843" t="s">
        <v>857</v>
      </c>
      <c r="AF843" t="s">
        <v>2867</v>
      </c>
      <c r="AJ843" s="844" t="s">
        <v>6794</v>
      </c>
      <c r="AK843" s="844"/>
      <c r="AL843" s="844" t="s">
        <v>818</v>
      </c>
      <c r="AM843" s="844" t="s">
        <v>857</v>
      </c>
      <c r="AN843" s="844" t="s">
        <v>2900</v>
      </c>
    </row>
    <row r="844" spans="1:40">
      <c r="A844" t="s">
        <v>6463</v>
      </c>
      <c r="B844" t="s">
        <v>990</v>
      </c>
      <c r="C844" t="s">
        <v>19</v>
      </c>
      <c r="E844" t="s">
        <v>18</v>
      </c>
      <c r="F844" t="s">
        <v>3548</v>
      </c>
      <c r="M844" t="s">
        <v>4731</v>
      </c>
      <c r="N844" t="s">
        <v>1015</v>
      </c>
      <c r="O844" t="s">
        <v>53</v>
      </c>
      <c r="P844" t="s">
        <v>3254</v>
      </c>
      <c r="T844" t="s">
        <v>990</v>
      </c>
      <c r="U844" t="s">
        <v>19</v>
      </c>
      <c r="V844" t="s">
        <v>18</v>
      </c>
      <c r="W844" t="s">
        <v>857</v>
      </c>
      <c r="AC844" t="s">
        <v>1051</v>
      </c>
      <c r="AD844" t="s">
        <v>816</v>
      </c>
      <c r="AE844" t="s">
        <v>18</v>
      </c>
      <c r="AF844" t="s">
        <v>857</v>
      </c>
      <c r="AJ844" s="844" t="s">
        <v>6794</v>
      </c>
      <c r="AK844" s="844"/>
      <c r="AL844" s="844" t="s">
        <v>818</v>
      </c>
      <c r="AM844" s="844" t="s">
        <v>857</v>
      </c>
      <c r="AN844" s="844" t="s">
        <v>2518</v>
      </c>
    </row>
    <row r="845" spans="1:40">
      <c r="A845" t="s">
        <v>6463</v>
      </c>
      <c r="B845" t="s">
        <v>990</v>
      </c>
      <c r="C845" t="s">
        <v>19</v>
      </c>
      <c r="E845" t="s">
        <v>18</v>
      </c>
      <c r="F845" t="s">
        <v>3544</v>
      </c>
      <c r="M845" t="s">
        <v>4731</v>
      </c>
      <c r="N845" t="s">
        <v>1015</v>
      </c>
      <c r="O845" t="s">
        <v>53</v>
      </c>
      <c r="P845" t="s">
        <v>3242</v>
      </c>
      <c r="T845" t="s">
        <v>990</v>
      </c>
      <c r="U845" t="s">
        <v>19</v>
      </c>
      <c r="V845" t="s">
        <v>18</v>
      </c>
      <c r="W845" t="s">
        <v>857</v>
      </c>
      <c r="AC845" t="s">
        <v>1051</v>
      </c>
      <c r="AD845" t="s">
        <v>816</v>
      </c>
      <c r="AE845" t="s">
        <v>18</v>
      </c>
      <c r="AF845" t="s">
        <v>2559</v>
      </c>
      <c r="AJ845" s="844" t="s">
        <v>6795</v>
      </c>
      <c r="AK845" s="844"/>
      <c r="AL845" s="844" t="s">
        <v>19</v>
      </c>
      <c r="AM845" s="844" t="s">
        <v>857</v>
      </c>
      <c r="AN845" s="844" t="s">
        <v>4037</v>
      </c>
    </row>
    <row r="846" spans="1:40">
      <c r="A846" t="s">
        <v>6463</v>
      </c>
      <c r="B846" t="s">
        <v>990</v>
      </c>
      <c r="C846" t="s">
        <v>19</v>
      </c>
      <c r="E846" t="s">
        <v>18</v>
      </c>
      <c r="F846" t="s">
        <v>3538</v>
      </c>
      <c r="M846" t="s">
        <v>4732</v>
      </c>
      <c r="N846" t="s">
        <v>1016</v>
      </c>
      <c r="O846" t="s">
        <v>53</v>
      </c>
      <c r="P846" t="s">
        <v>3337</v>
      </c>
      <c r="T846" t="s">
        <v>990</v>
      </c>
      <c r="U846" t="s">
        <v>19</v>
      </c>
      <c r="V846" t="s">
        <v>857</v>
      </c>
      <c r="W846" t="s">
        <v>3521</v>
      </c>
      <c r="AC846" t="s">
        <v>1051</v>
      </c>
      <c r="AD846" t="s">
        <v>816</v>
      </c>
      <c r="AE846" t="s">
        <v>18</v>
      </c>
      <c r="AF846" t="s">
        <v>2867</v>
      </c>
      <c r="AJ846" s="844" t="s">
        <v>6795</v>
      </c>
      <c r="AK846" s="844"/>
      <c r="AL846" s="844" t="s">
        <v>19</v>
      </c>
      <c r="AM846" s="844" t="s">
        <v>857</v>
      </c>
      <c r="AN846" s="844" t="s">
        <v>2929</v>
      </c>
    </row>
    <row r="847" spans="1:40">
      <c r="A847" t="s">
        <v>6463</v>
      </c>
      <c r="B847" t="s">
        <v>990</v>
      </c>
      <c r="C847" t="s">
        <v>19</v>
      </c>
      <c r="E847" t="s">
        <v>18</v>
      </c>
      <c r="F847" t="s">
        <v>3537</v>
      </c>
      <c r="M847" t="s">
        <v>4733</v>
      </c>
      <c r="N847" t="s">
        <v>1016</v>
      </c>
      <c r="O847" t="s">
        <v>18</v>
      </c>
      <c r="P847" t="s">
        <v>3341</v>
      </c>
      <c r="T847" t="s">
        <v>990</v>
      </c>
      <c r="U847" t="s">
        <v>19</v>
      </c>
      <c r="V847" t="s">
        <v>18</v>
      </c>
      <c r="W847" t="s">
        <v>3521</v>
      </c>
      <c r="AC847" t="s">
        <v>1052</v>
      </c>
      <c r="AD847" t="s">
        <v>818</v>
      </c>
      <c r="AE847" t="s">
        <v>18</v>
      </c>
      <c r="AF847" t="s">
        <v>3089</v>
      </c>
      <c r="AJ847" s="844" t="s">
        <v>6795</v>
      </c>
      <c r="AK847" s="844"/>
      <c r="AL847" s="844" t="s">
        <v>19</v>
      </c>
      <c r="AM847" s="844" t="s">
        <v>857</v>
      </c>
      <c r="AN847" s="844" t="s">
        <v>2931</v>
      </c>
    </row>
    <row r="848" spans="1:40">
      <c r="A848" t="s">
        <v>5281</v>
      </c>
      <c r="B848" t="s">
        <v>990</v>
      </c>
      <c r="C848" t="s">
        <v>19</v>
      </c>
      <c r="F848" t="s">
        <v>3843</v>
      </c>
      <c r="M848" t="s">
        <v>4733</v>
      </c>
      <c r="N848" t="s">
        <v>1016</v>
      </c>
      <c r="O848" t="s">
        <v>18</v>
      </c>
      <c r="P848" t="s">
        <v>3340</v>
      </c>
      <c r="T848" t="s">
        <v>990</v>
      </c>
      <c r="U848" t="s">
        <v>19</v>
      </c>
      <c r="V848" t="s">
        <v>18</v>
      </c>
      <c r="W848" t="s">
        <v>3526</v>
      </c>
      <c r="AC848" t="s">
        <v>1052</v>
      </c>
      <c r="AD848" t="s">
        <v>818</v>
      </c>
      <c r="AE848" t="s">
        <v>18</v>
      </c>
      <c r="AF848" t="s">
        <v>3093</v>
      </c>
      <c r="AJ848" s="844" t="s">
        <v>6795</v>
      </c>
      <c r="AK848" s="844"/>
      <c r="AL848" s="844" t="s">
        <v>19</v>
      </c>
      <c r="AM848" s="844" t="s">
        <v>857</v>
      </c>
      <c r="AN848" s="844" t="s">
        <v>2867</v>
      </c>
    </row>
    <row r="849" spans="1:40">
      <c r="A849" t="s">
        <v>6464</v>
      </c>
      <c r="B849" t="s">
        <v>990</v>
      </c>
      <c r="C849" t="s">
        <v>2384</v>
      </c>
      <c r="D849" t="s">
        <v>3510</v>
      </c>
      <c r="F849" t="s">
        <v>4219</v>
      </c>
      <c r="M849" t="s">
        <v>4733</v>
      </c>
      <c r="N849" t="s">
        <v>1016</v>
      </c>
      <c r="O849" t="s">
        <v>18</v>
      </c>
      <c r="P849" t="s">
        <v>3339</v>
      </c>
      <c r="T849" t="s">
        <v>990</v>
      </c>
      <c r="U849" t="s">
        <v>2384</v>
      </c>
      <c r="V849" t="s">
        <v>857</v>
      </c>
      <c r="W849" t="s">
        <v>3510</v>
      </c>
      <c r="AC849" t="s">
        <v>1052</v>
      </c>
      <c r="AD849" t="s">
        <v>19</v>
      </c>
      <c r="AE849" t="s">
        <v>857</v>
      </c>
      <c r="AF849" t="s">
        <v>857</v>
      </c>
      <c r="AJ849" s="844" t="s">
        <v>6796</v>
      </c>
      <c r="AK849" s="844"/>
      <c r="AL849" s="844" t="s">
        <v>2384</v>
      </c>
      <c r="AM849" s="844" t="s">
        <v>857</v>
      </c>
      <c r="AN849" s="844" t="s">
        <v>2863</v>
      </c>
    </row>
    <row r="850" spans="1:40">
      <c r="A850" t="s">
        <v>5284</v>
      </c>
      <c r="B850" t="s">
        <v>990</v>
      </c>
      <c r="C850" t="s">
        <v>2416</v>
      </c>
      <c r="D850" t="s">
        <v>3521</v>
      </c>
      <c r="E850" t="s">
        <v>18</v>
      </c>
      <c r="F850" t="s">
        <v>3525</v>
      </c>
      <c r="M850" t="s">
        <v>4733</v>
      </c>
      <c r="N850" t="s">
        <v>1016</v>
      </c>
      <c r="O850" t="s">
        <v>18</v>
      </c>
      <c r="P850" t="s">
        <v>3338</v>
      </c>
      <c r="T850" t="s">
        <v>990</v>
      </c>
      <c r="U850" t="s">
        <v>2416</v>
      </c>
      <c r="V850" t="s">
        <v>18</v>
      </c>
      <c r="W850" t="s">
        <v>3521</v>
      </c>
      <c r="AC850" t="s">
        <v>1052</v>
      </c>
      <c r="AD850" t="s">
        <v>19</v>
      </c>
      <c r="AE850" t="s">
        <v>857</v>
      </c>
      <c r="AF850" t="s">
        <v>3089</v>
      </c>
      <c r="AJ850" s="844" t="s">
        <v>6796</v>
      </c>
      <c r="AK850" s="844"/>
      <c r="AL850" s="844" t="s">
        <v>2384</v>
      </c>
      <c r="AM850" s="844" t="s">
        <v>857</v>
      </c>
      <c r="AN850" s="844" t="s">
        <v>2887</v>
      </c>
    </row>
    <row r="851" spans="1:40">
      <c r="A851" t="s">
        <v>5287</v>
      </c>
      <c r="B851" t="s">
        <v>990</v>
      </c>
      <c r="C851" t="s">
        <v>816</v>
      </c>
      <c r="D851" t="s">
        <v>3523</v>
      </c>
      <c r="E851" t="s">
        <v>18</v>
      </c>
      <c r="F851" t="s">
        <v>3524</v>
      </c>
      <c r="M851" t="s">
        <v>4733</v>
      </c>
      <c r="N851" t="s">
        <v>1016</v>
      </c>
      <c r="O851" t="s">
        <v>18</v>
      </c>
      <c r="P851" t="s">
        <v>3336</v>
      </c>
      <c r="T851" t="s">
        <v>990</v>
      </c>
      <c r="U851" t="s">
        <v>816</v>
      </c>
      <c r="V851" t="s">
        <v>857</v>
      </c>
      <c r="W851" t="s">
        <v>857</v>
      </c>
      <c r="AC851" t="s">
        <v>1052</v>
      </c>
      <c r="AD851" t="s">
        <v>19</v>
      </c>
      <c r="AE851" t="s">
        <v>18</v>
      </c>
      <c r="AF851" t="s">
        <v>857</v>
      </c>
      <c r="AJ851" s="844" t="s">
        <v>6797</v>
      </c>
      <c r="AK851" s="844"/>
      <c r="AL851" s="844" t="s">
        <v>816</v>
      </c>
      <c r="AM851" s="844" t="s">
        <v>857</v>
      </c>
      <c r="AN851" s="844" t="s">
        <v>2959</v>
      </c>
    </row>
    <row r="852" spans="1:40">
      <c r="A852" t="s">
        <v>5288</v>
      </c>
      <c r="B852" t="s">
        <v>990</v>
      </c>
      <c r="C852" t="s">
        <v>816</v>
      </c>
      <c r="D852" t="s">
        <v>3521</v>
      </c>
      <c r="E852" t="s">
        <v>18</v>
      </c>
      <c r="F852" t="s">
        <v>3522</v>
      </c>
      <c r="M852" t="s">
        <v>4733</v>
      </c>
      <c r="N852" t="s">
        <v>1016</v>
      </c>
      <c r="O852" t="s">
        <v>18</v>
      </c>
      <c r="P852" t="s">
        <v>3238</v>
      </c>
      <c r="T852" t="s">
        <v>990</v>
      </c>
      <c r="U852" t="s">
        <v>816</v>
      </c>
      <c r="V852" t="s">
        <v>18</v>
      </c>
      <c r="W852" t="s">
        <v>857</v>
      </c>
      <c r="AC852" t="s">
        <v>1052</v>
      </c>
      <c r="AD852" t="s">
        <v>19</v>
      </c>
      <c r="AE852" t="s">
        <v>18</v>
      </c>
      <c r="AF852" t="s">
        <v>3089</v>
      </c>
      <c r="AJ852" s="844" t="s">
        <v>6797</v>
      </c>
      <c r="AK852" s="844"/>
      <c r="AL852" s="844" t="s">
        <v>816</v>
      </c>
      <c r="AM852" s="844" t="s">
        <v>857</v>
      </c>
      <c r="AN852" s="844" t="s">
        <v>2927</v>
      </c>
    </row>
    <row r="853" spans="1:40">
      <c r="A853" t="s">
        <v>5289</v>
      </c>
      <c r="B853" t="s">
        <v>990</v>
      </c>
      <c r="C853" t="s">
        <v>816</v>
      </c>
      <c r="D853" t="s">
        <v>3518</v>
      </c>
      <c r="E853" t="s">
        <v>18</v>
      </c>
      <c r="F853" t="s">
        <v>3519</v>
      </c>
      <c r="M853" t="s">
        <v>4733</v>
      </c>
      <c r="N853" t="s">
        <v>1016</v>
      </c>
      <c r="O853" t="s">
        <v>18</v>
      </c>
      <c r="P853" t="s">
        <v>3237</v>
      </c>
      <c r="T853" t="s">
        <v>990</v>
      </c>
      <c r="U853" t="s">
        <v>816</v>
      </c>
      <c r="V853" t="s">
        <v>18</v>
      </c>
      <c r="W853" t="s">
        <v>857</v>
      </c>
      <c r="AC853" t="s">
        <v>1052</v>
      </c>
      <c r="AD853" t="s">
        <v>2384</v>
      </c>
      <c r="AE853" t="s">
        <v>857</v>
      </c>
      <c r="AF853" t="s">
        <v>3089</v>
      </c>
      <c r="AJ853" s="844" t="s">
        <v>6797</v>
      </c>
      <c r="AK853" s="844"/>
      <c r="AL853" s="844" t="s">
        <v>816</v>
      </c>
      <c r="AM853" s="844" t="s">
        <v>857</v>
      </c>
      <c r="AN853" s="844" t="s">
        <v>2925</v>
      </c>
    </row>
    <row r="854" spans="1:40">
      <c r="A854" t="s">
        <v>6466</v>
      </c>
      <c r="B854" t="s">
        <v>990</v>
      </c>
      <c r="C854" t="s">
        <v>816</v>
      </c>
      <c r="D854" t="s">
        <v>3510</v>
      </c>
      <c r="F854" t="s">
        <v>3520</v>
      </c>
      <c r="M854" t="s">
        <v>4734</v>
      </c>
      <c r="N854" t="s">
        <v>13</v>
      </c>
      <c r="O854" t="s">
        <v>18</v>
      </c>
      <c r="P854" t="s">
        <v>3235</v>
      </c>
      <c r="T854" t="s">
        <v>990</v>
      </c>
      <c r="U854" t="s">
        <v>816</v>
      </c>
      <c r="V854" t="s">
        <v>18</v>
      </c>
      <c r="W854" t="s">
        <v>857</v>
      </c>
      <c r="AC854" t="s">
        <v>1052</v>
      </c>
      <c r="AD854" t="s">
        <v>2384</v>
      </c>
      <c r="AE854" t="s">
        <v>857</v>
      </c>
      <c r="AF854" t="s">
        <v>3093</v>
      </c>
      <c r="AJ854" s="844" t="s">
        <v>6797</v>
      </c>
      <c r="AK854" s="844"/>
      <c r="AL854" s="844" t="s">
        <v>816</v>
      </c>
      <c r="AM854" s="844" t="s">
        <v>857</v>
      </c>
      <c r="AN854" s="844" t="s">
        <v>2957</v>
      </c>
    </row>
    <row r="855" spans="1:40">
      <c r="A855" t="s">
        <v>6465</v>
      </c>
      <c r="B855" t="s">
        <v>990</v>
      </c>
      <c r="C855" t="s">
        <v>816</v>
      </c>
      <c r="E855" t="s">
        <v>18</v>
      </c>
      <c r="F855" t="s">
        <v>3549</v>
      </c>
      <c r="M855" t="s">
        <v>4734</v>
      </c>
      <c r="N855" t="s">
        <v>13</v>
      </c>
      <c r="O855" t="s">
        <v>18</v>
      </c>
      <c r="P855" t="s">
        <v>3234</v>
      </c>
      <c r="T855" t="s">
        <v>990</v>
      </c>
      <c r="U855" t="s">
        <v>816</v>
      </c>
      <c r="V855" t="s">
        <v>18</v>
      </c>
      <c r="W855" t="s">
        <v>857</v>
      </c>
      <c r="AC855" t="s">
        <v>1052</v>
      </c>
      <c r="AD855" t="s">
        <v>2384</v>
      </c>
      <c r="AE855" t="s">
        <v>18</v>
      </c>
      <c r="AF855" t="s">
        <v>3093</v>
      </c>
      <c r="AJ855" s="844" t="s">
        <v>6797</v>
      </c>
      <c r="AK855" s="844"/>
      <c r="AL855" s="844" t="s">
        <v>816</v>
      </c>
      <c r="AM855" s="844" t="s">
        <v>857</v>
      </c>
      <c r="AN855" s="844" t="s">
        <v>2366</v>
      </c>
    </row>
    <row r="856" spans="1:40">
      <c r="A856" t="s">
        <v>6465</v>
      </c>
      <c r="B856" t="s">
        <v>990</v>
      </c>
      <c r="C856" t="s">
        <v>816</v>
      </c>
      <c r="E856" t="s">
        <v>18</v>
      </c>
      <c r="F856" t="s">
        <v>3545</v>
      </c>
      <c r="M856" t="s">
        <v>4734</v>
      </c>
      <c r="N856" t="s">
        <v>13</v>
      </c>
      <c r="O856" t="s">
        <v>18</v>
      </c>
      <c r="P856" t="s">
        <v>3233</v>
      </c>
      <c r="T856" t="s">
        <v>990</v>
      </c>
      <c r="U856" t="s">
        <v>816</v>
      </c>
      <c r="V856" t="s">
        <v>18</v>
      </c>
      <c r="W856" t="s">
        <v>3523</v>
      </c>
      <c r="AC856" t="s">
        <v>1052</v>
      </c>
      <c r="AD856" t="s">
        <v>816</v>
      </c>
      <c r="AE856" t="s">
        <v>857</v>
      </c>
      <c r="AF856" t="s">
        <v>857</v>
      </c>
      <c r="AJ856" s="844" t="s">
        <v>6797</v>
      </c>
      <c r="AK856" s="844"/>
      <c r="AL856" s="844" t="s">
        <v>816</v>
      </c>
      <c r="AM856" s="844" t="s">
        <v>857</v>
      </c>
      <c r="AN856" s="844" t="s">
        <v>2867</v>
      </c>
    </row>
    <row r="857" spans="1:40">
      <c r="A857" t="s">
        <v>6465</v>
      </c>
      <c r="B857" t="s">
        <v>990</v>
      </c>
      <c r="C857" t="s">
        <v>816</v>
      </c>
      <c r="E857" t="s">
        <v>18</v>
      </c>
      <c r="F857" t="s">
        <v>3540</v>
      </c>
      <c r="M857" t="s">
        <v>4734</v>
      </c>
      <c r="N857" t="s">
        <v>13</v>
      </c>
      <c r="O857" t="s">
        <v>18</v>
      </c>
      <c r="P857" t="s">
        <v>3232</v>
      </c>
      <c r="T857" t="s">
        <v>990</v>
      </c>
      <c r="U857" t="s">
        <v>816</v>
      </c>
      <c r="V857" t="s">
        <v>18</v>
      </c>
      <c r="W857" t="s">
        <v>3521</v>
      </c>
      <c r="AC857" t="s">
        <v>1052</v>
      </c>
      <c r="AD857" t="s">
        <v>816</v>
      </c>
      <c r="AE857" t="s">
        <v>18</v>
      </c>
      <c r="AF857" t="s">
        <v>857</v>
      </c>
      <c r="AJ857" s="844" t="s">
        <v>6797</v>
      </c>
      <c r="AK857" s="844"/>
      <c r="AL857" s="844" t="s">
        <v>816</v>
      </c>
      <c r="AM857" s="844" t="s">
        <v>857</v>
      </c>
      <c r="AN857" s="844" t="s">
        <v>2922</v>
      </c>
    </row>
    <row r="858" spans="1:40">
      <c r="A858" t="s">
        <v>6465</v>
      </c>
      <c r="B858" t="s">
        <v>990</v>
      </c>
      <c r="C858" t="s">
        <v>816</v>
      </c>
      <c r="E858" t="s">
        <v>18</v>
      </c>
      <c r="F858" t="s">
        <v>3539</v>
      </c>
      <c r="M858" t="s">
        <v>4734</v>
      </c>
      <c r="N858" t="s">
        <v>13</v>
      </c>
      <c r="O858" t="s">
        <v>18</v>
      </c>
      <c r="P858" t="s">
        <v>3231</v>
      </c>
      <c r="T858" t="s">
        <v>990</v>
      </c>
      <c r="U858" t="s">
        <v>816</v>
      </c>
      <c r="V858" t="s">
        <v>18</v>
      </c>
      <c r="W858" t="s">
        <v>3518</v>
      </c>
      <c r="AC858" t="s">
        <v>1052</v>
      </c>
      <c r="AD858" t="s">
        <v>816</v>
      </c>
      <c r="AE858" t="s">
        <v>18</v>
      </c>
      <c r="AF858" t="s">
        <v>3089</v>
      </c>
      <c r="AJ858" s="844" t="s">
        <v>6798</v>
      </c>
      <c r="AK858" s="844"/>
      <c r="AL858" s="844"/>
      <c r="AM858" s="844" t="s">
        <v>857</v>
      </c>
      <c r="AN858" s="844" t="s">
        <v>2903</v>
      </c>
    </row>
    <row r="859" spans="1:40">
      <c r="A859" t="s">
        <v>5286</v>
      </c>
      <c r="B859" t="s">
        <v>990</v>
      </c>
      <c r="C859" t="s">
        <v>816</v>
      </c>
      <c r="F859" t="s">
        <v>3849</v>
      </c>
      <c r="M859" t="s">
        <v>4734</v>
      </c>
      <c r="N859" t="s">
        <v>13</v>
      </c>
      <c r="O859" t="s">
        <v>18</v>
      </c>
      <c r="P859" t="s">
        <v>3230</v>
      </c>
      <c r="T859" t="s">
        <v>990</v>
      </c>
      <c r="U859" t="s">
        <v>816</v>
      </c>
      <c r="V859" t="s">
        <v>857</v>
      </c>
      <c r="W859" t="s">
        <v>3510</v>
      </c>
      <c r="AC859" t="s">
        <v>1053</v>
      </c>
      <c r="AD859" t="s">
        <v>818</v>
      </c>
      <c r="AE859" t="s">
        <v>857</v>
      </c>
      <c r="AF859" t="s">
        <v>857</v>
      </c>
      <c r="AJ859" s="844" t="s">
        <v>6798</v>
      </c>
      <c r="AK859" s="844"/>
      <c r="AL859" s="844"/>
      <c r="AM859" s="844" t="s">
        <v>857</v>
      </c>
      <c r="AN859" s="844" t="s">
        <v>3965</v>
      </c>
    </row>
    <row r="860" spans="1:40">
      <c r="A860" t="s">
        <v>5291</v>
      </c>
      <c r="B860" t="s">
        <v>991</v>
      </c>
      <c r="C860" t="s">
        <v>818</v>
      </c>
      <c r="D860" t="s">
        <v>2366</v>
      </c>
      <c r="E860" t="s">
        <v>18</v>
      </c>
      <c r="F860" t="s">
        <v>3490</v>
      </c>
      <c r="M860" t="s">
        <v>4734</v>
      </c>
      <c r="N860" t="s">
        <v>13</v>
      </c>
      <c r="O860" t="s">
        <v>18</v>
      </c>
      <c r="P860" t="s">
        <v>3229</v>
      </c>
      <c r="T860" t="s">
        <v>991</v>
      </c>
      <c r="U860" t="s">
        <v>818</v>
      </c>
      <c r="V860" t="s">
        <v>18</v>
      </c>
      <c r="W860" t="s">
        <v>857</v>
      </c>
      <c r="AC860" t="s">
        <v>1053</v>
      </c>
      <c r="AD860" t="s">
        <v>818</v>
      </c>
      <c r="AE860" t="s">
        <v>857</v>
      </c>
      <c r="AF860" t="s">
        <v>2559</v>
      </c>
      <c r="AJ860" s="844" t="s">
        <v>6798</v>
      </c>
      <c r="AK860" s="844"/>
      <c r="AL860" s="844"/>
      <c r="AM860" s="844" t="s">
        <v>857</v>
      </c>
      <c r="AN860" s="844" t="s">
        <v>2891</v>
      </c>
    </row>
    <row r="861" spans="1:40">
      <c r="A861" t="s">
        <v>6636</v>
      </c>
      <c r="B861" t="s">
        <v>991</v>
      </c>
      <c r="C861" t="s">
        <v>818</v>
      </c>
      <c r="D861" t="s">
        <v>2366</v>
      </c>
      <c r="F861" t="s">
        <v>3888</v>
      </c>
      <c r="M861" t="s">
        <v>4734</v>
      </c>
      <c r="N861" t="s">
        <v>13</v>
      </c>
      <c r="O861" t="s">
        <v>18</v>
      </c>
      <c r="P861" t="s">
        <v>3228</v>
      </c>
      <c r="T861" t="s">
        <v>991</v>
      </c>
      <c r="U861" t="s">
        <v>818</v>
      </c>
      <c r="V861" t="s">
        <v>18</v>
      </c>
      <c r="W861" t="s">
        <v>857</v>
      </c>
      <c r="AC861" t="s">
        <v>1053</v>
      </c>
      <c r="AD861" t="s">
        <v>818</v>
      </c>
      <c r="AE861" t="s">
        <v>18</v>
      </c>
      <c r="AF861" t="s">
        <v>857</v>
      </c>
    </row>
    <row r="862" spans="1:40">
      <c r="A862" t="s">
        <v>6635</v>
      </c>
      <c r="B862" t="s">
        <v>991</v>
      </c>
      <c r="C862" t="s">
        <v>818</v>
      </c>
      <c r="E862" t="s">
        <v>18</v>
      </c>
      <c r="F862" t="s">
        <v>3494</v>
      </c>
      <c r="M862" t="s">
        <v>4734</v>
      </c>
      <c r="N862" t="s">
        <v>13</v>
      </c>
      <c r="O862" t="s">
        <v>18</v>
      </c>
      <c r="P862" t="s">
        <v>3227</v>
      </c>
      <c r="T862" t="s">
        <v>991</v>
      </c>
      <c r="U862" t="s">
        <v>818</v>
      </c>
      <c r="V862" t="s">
        <v>857</v>
      </c>
      <c r="W862" t="s">
        <v>2366</v>
      </c>
      <c r="AC862" t="s">
        <v>1053</v>
      </c>
      <c r="AD862" t="s">
        <v>818</v>
      </c>
      <c r="AE862" t="s">
        <v>18</v>
      </c>
      <c r="AF862" t="s">
        <v>2559</v>
      </c>
    </row>
    <row r="863" spans="1:40">
      <c r="A863" t="s">
        <v>6635</v>
      </c>
      <c r="B863" t="s">
        <v>991</v>
      </c>
      <c r="C863" t="s">
        <v>818</v>
      </c>
      <c r="E863" t="s">
        <v>18</v>
      </c>
      <c r="F863" t="s">
        <v>3491</v>
      </c>
      <c r="M863" t="s">
        <v>4734</v>
      </c>
      <c r="N863" t="s">
        <v>13</v>
      </c>
      <c r="O863" t="s">
        <v>18</v>
      </c>
      <c r="P863" t="s">
        <v>3226</v>
      </c>
      <c r="T863" t="s">
        <v>991</v>
      </c>
      <c r="U863" t="s">
        <v>818</v>
      </c>
      <c r="V863" t="s">
        <v>18</v>
      </c>
      <c r="W863" t="s">
        <v>2366</v>
      </c>
      <c r="AC863" t="s">
        <v>1053</v>
      </c>
      <c r="AD863" t="s">
        <v>818</v>
      </c>
      <c r="AE863" t="s">
        <v>18</v>
      </c>
      <c r="AF863" t="s">
        <v>3168</v>
      </c>
    </row>
    <row r="864" spans="1:40">
      <c r="A864" t="s">
        <v>5293</v>
      </c>
      <c r="B864" t="s">
        <v>991</v>
      </c>
      <c r="C864" t="s">
        <v>19</v>
      </c>
      <c r="D864" t="s">
        <v>2366</v>
      </c>
      <c r="E864" t="s">
        <v>18</v>
      </c>
      <c r="F864" t="s">
        <v>3489</v>
      </c>
      <c r="M864" t="s">
        <v>4734</v>
      </c>
      <c r="N864" t="s">
        <v>13</v>
      </c>
      <c r="O864" t="s">
        <v>18</v>
      </c>
      <c r="P864" t="s">
        <v>3225</v>
      </c>
      <c r="T864" t="s">
        <v>991</v>
      </c>
      <c r="U864" t="s">
        <v>19</v>
      </c>
      <c r="V864" t="s">
        <v>18</v>
      </c>
      <c r="W864" t="s">
        <v>857</v>
      </c>
      <c r="AC864" t="s">
        <v>1053</v>
      </c>
      <c r="AD864" t="s">
        <v>19</v>
      </c>
      <c r="AE864" t="s">
        <v>857</v>
      </c>
      <c r="AF864" t="s">
        <v>857</v>
      </c>
    </row>
    <row r="865" spans="1:32">
      <c r="A865" t="s">
        <v>6637</v>
      </c>
      <c r="B865" t="s">
        <v>991</v>
      </c>
      <c r="C865" t="s">
        <v>19</v>
      </c>
      <c r="E865" t="s">
        <v>18</v>
      </c>
      <c r="F865" t="s">
        <v>3493</v>
      </c>
      <c r="M865" t="s">
        <v>4734</v>
      </c>
      <c r="N865" t="s">
        <v>13</v>
      </c>
      <c r="O865" t="s">
        <v>18</v>
      </c>
      <c r="P865" t="s">
        <v>3224</v>
      </c>
      <c r="T865" t="s">
        <v>991</v>
      </c>
      <c r="U865" t="s">
        <v>19</v>
      </c>
      <c r="V865" t="s">
        <v>18</v>
      </c>
      <c r="W865" t="s">
        <v>2366</v>
      </c>
      <c r="AC865" t="s">
        <v>1053</v>
      </c>
      <c r="AD865" t="s">
        <v>19</v>
      </c>
      <c r="AE865" t="s">
        <v>857</v>
      </c>
      <c r="AF865" t="s">
        <v>2559</v>
      </c>
    </row>
    <row r="866" spans="1:32">
      <c r="A866" t="s">
        <v>6638</v>
      </c>
      <c r="B866" t="s">
        <v>991</v>
      </c>
      <c r="C866" t="s">
        <v>816</v>
      </c>
      <c r="E866" t="s">
        <v>18</v>
      </c>
      <c r="F866" t="s">
        <v>3492</v>
      </c>
      <c r="M866" t="s">
        <v>4734</v>
      </c>
      <c r="N866" t="s">
        <v>13</v>
      </c>
      <c r="O866" t="s">
        <v>18</v>
      </c>
      <c r="P866" t="s">
        <v>3221</v>
      </c>
      <c r="T866" t="s">
        <v>991</v>
      </c>
      <c r="U866" t="s">
        <v>816</v>
      </c>
      <c r="V866" t="s">
        <v>18</v>
      </c>
      <c r="W866" t="s">
        <v>857</v>
      </c>
      <c r="AC866" t="s">
        <v>1053</v>
      </c>
      <c r="AD866" t="s">
        <v>19</v>
      </c>
      <c r="AE866" t="s">
        <v>18</v>
      </c>
      <c r="AF866" t="s">
        <v>857</v>
      </c>
    </row>
    <row r="867" spans="1:32">
      <c r="A867" t="s">
        <v>5295</v>
      </c>
      <c r="B867" t="s">
        <v>992</v>
      </c>
      <c r="C867" t="s">
        <v>816</v>
      </c>
      <c r="D867" t="s">
        <v>3486</v>
      </c>
      <c r="E867" t="s">
        <v>18</v>
      </c>
      <c r="F867" t="s">
        <v>3487</v>
      </c>
      <c r="M867" t="s">
        <v>4734</v>
      </c>
      <c r="N867" t="s">
        <v>13</v>
      </c>
      <c r="O867" t="s">
        <v>18</v>
      </c>
      <c r="P867" t="s">
        <v>3219</v>
      </c>
      <c r="T867" t="s">
        <v>992</v>
      </c>
      <c r="U867" t="s">
        <v>816</v>
      </c>
      <c r="V867" t="s">
        <v>18</v>
      </c>
      <c r="W867" t="s">
        <v>857</v>
      </c>
      <c r="AC867" t="s">
        <v>1053</v>
      </c>
      <c r="AD867" t="s">
        <v>19</v>
      </c>
      <c r="AE867" t="s">
        <v>18</v>
      </c>
      <c r="AF867" t="s">
        <v>2581</v>
      </c>
    </row>
    <row r="868" spans="1:32">
      <c r="A868" t="s">
        <v>5296</v>
      </c>
      <c r="B868" t="s">
        <v>992</v>
      </c>
      <c r="C868" t="s">
        <v>816</v>
      </c>
      <c r="D868" t="s">
        <v>2366</v>
      </c>
      <c r="E868" t="s">
        <v>18</v>
      </c>
      <c r="F868" t="s">
        <v>3485</v>
      </c>
      <c r="M868" t="s">
        <v>4734</v>
      </c>
      <c r="N868" t="s">
        <v>13</v>
      </c>
      <c r="O868" t="s">
        <v>18</v>
      </c>
      <c r="P868" t="s">
        <v>3217</v>
      </c>
      <c r="T868" t="s">
        <v>992</v>
      </c>
      <c r="U868" t="s">
        <v>816</v>
      </c>
      <c r="V868" t="s">
        <v>18</v>
      </c>
      <c r="W868" t="s">
        <v>3486</v>
      </c>
      <c r="AC868" t="s">
        <v>1053</v>
      </c>
      <c r="AD868" t="s">
        <v>19</v>
      </c>
      <c r="AE868" t="s">
        <v>18</v>
      </c>
      <c r="AF868" t="s">
        <v>2559</v>
      </c>
    </row>
    <row r="869" spans="1:32">
      <c r="A869" t="s">
        <v>6467</v>
      </c>
      <c r="B869" t="s">
        <v>992</v>
      </c>
      <c r="C869" t="s">
        <v>816</v>
      </c>
      <c r="E869" t="s">
        <v>18</v>
      </c>
      <c r="F869" t="s">
        <v>3488</v>
      </c>
      <c r="M869" t="s">
        <v>4734</v>
      </c>
      <c r="N869" t="s">
        <v>13</v>
      </c>
      <c r="O869" t="s">
        <v>18</v>
      </c>
      <c r="P869" t="s">
        <v>3216</v>
      </c>
      <c r="T869" t="s">
        <v>992</v>
      </c>
      <c r="U869" t="s">
        <v>816</v>
      </c>
      <c r="V869" t="s">
        <v>18</v>
      </c>
      <c r="W869" t="s">
        <v>2366</v>
      </c>
      <c r="AC869" t="s">
        <v>1053</v>
      </c>
      <c r="AD869" t="s">
        <v>19</v>
      </c>
      <c r="AE869" t="s">
        <v>18</v>
      </c>
      <c r="AF869" t="s">
        <v>3168</v>
      </c>
    </row>
    <row r="870" spans="1:32">
      <c r="A870" t="s">
        <v>5299</v>
      </c>
      <c r="B870" t="s">
        <v>993</v>
      </c>
      <c r="C870" t="s">
        <v>818</v>
      </c>
      <c r="D870" t="s">
        <v>3481</v>
      </c>
      <c r="E870" t="s">
        <v>18</v>
      </c>
      <c r="F870" t="s">
        <v>3483</v>
      </c>
      <c r="M870" t="s">
        <v>4734</v>
      </c>
      <c r="N870" t="s">
        <v>13</v>
      </c>
      <c r="O870" t="s">
        <v>18</v>
      </c>
      <c r="P870" t="s">
        <v>3215</v>
      </c>
      <c r="T870" t="s">
        <v>993</v>
      </c>
      <c r="U870" t="s">
        <v>818</v>
      </c>
      <c r="V870" t="s">
        <v>857</v>
      </c>
      <c r="W870" t="s">
        <v>857</v>
      </c>
      <c r="AC870" t="s">
        <v>1053</v>
      </c>
      <c r="AD870" t="s">
        <v>2384</v>
      </c>
      <c r="AE870" t="s">
        <v>857</v>
      </c>
      <c r="AF870" t="s">
        <v>857</v>
      </c>
    </row>
    <row r="871" spans="1:32">
      <c r="A871" t="s">
        <v>5299</v>
      </c>
      <c r="B871" t="s">
        <v>993</v>
      </c>
      <c r="C871" t="s">
        <v>818</v>
      </c>
      <c r="D871" t="s">
        <v>3481</v>
      </c>
      <c r="E871" t="s">
        <v>18</v>
      </c>
      <c r="F871" t="s">
        <v>3482</v>
      </c>
      <c r="M871" t="s">
        <v>4734</v>
      </c>
      <c r="N871" t="s">
        <v>13</v>
      </c>
      <c r="O871" t="s">
        <v>18</v>
      </c>
      <c r="P871" t="s">
        <v>3213</v>
      </c>
      <c r="T871" t="s">
        <v>993</v>
      </c>
      <c r="U871" t="s">
        <v>818</v>
      </c>
      <c r="V871" t="s">
        <v>18</v>
      </c>
      <c r="W871" t="s">
        <v>857</v>
      </c>
      <c r="AC871" t="s">
        <v>1053</v>
      </c>
      <c r="AD871" t="s">
        <v>816</v>
      </c>
      <c r="AE871" t="s">
        <v>857</v>
      </c>
      <c r="AF871" t="s">
        <v>857</v>
      </c>
    </row>
    <row r="872" spans="1:32">
      <c r="A872" t="s">
        <v>6469</v>
      </c>
      <c r="B872" t="s">
        <v>993</v>
      </c>
      <c r="C872" t="s">
        <v>818</v>
      </c>
      <c r="D872" t="s">
        <v>3481</v>
      </c>
      <c r="F872" t="s">
        <v>3878</v>
      </c>
      <c r="M872" t="s">
        <v>4735</v>
      </c>
      <c r="N872" t="s">
        <v>1051</v>
      </c>
      <c r="O872" t="s">
        <v>18</v>
      </c>
      <c r="P872" t="s">
        <v>3265</v>
      </c>
      <c r="T872" t="s">
        <v>993</v>
      </c>
      <c r="U872" t="s">
        <v>818</v>
      </c>
      <c r="V872" t="s">
        <v>857</v>
      </c>
      <c r="W872" t="s">
        <v>3481</v>
      </c>
      <c r="AC872" t="s">
        <v>1053</v>
      </c>
      <c r="AD872" t="s">
        <v>816</v>
      </c>
      <c r="AE872" t="s">
        <v>857</v>
      </c>
      <c r="AF872" t="s">
        <v>2559</v>
      </c>
    </row>
    <row r="873" spans="1:32">
      <c r="A873" t="s">
        <v>6468</v>
      </c>
      <c r="B873" t="s">
        <v>993</v>
      </c>
      <c r="C873" t="s">
        <v>818</v>
      </c>
      <c r="E873" t="s">
        <v>18</v>
      </c>
      <c r="F873" t="s">
        <v>3484</v>
      </c>
      <c r="M873" t="s">
        <v>4735</v>
      </c>
      <c r="N873" t="s">
        <v>1051</v>
      </c>
      <c r="O873" t="s">
        <v>18</v>
      </c>
      <c r="P873" t="s">
        <v>3264</v>
      </c>
      <c r="T873" t="s">
        <v>993</v>
      </c>
      <c r="U873" t="s">
        <v>818</v>
      </c>
      <c r="V873" t="s">
        <v>18</v>
      </c>
      <c r="W873" t="s">
        <v>3481</v>
      </c>
      <c r="AC873" t="s">
        <v>1053</v>
      </c>
      <c r="AD873" t="s">
        <v>816</v>
      </c>
      <c r="AE873" t="s">
        <v>18</v>
      </c>
      <c r="AF873" t="s">
        <v>857</v>
      </c>
    </row>
    <row r="874" spans="1:32">
      <c r="A874" t="s">
        <v>5298</v>
      </c>
      <c r="B874" t="s">
        <v>993</v>
      </c>
      <c r="C874" t="s">
        <v>818</v>
      </c>
      <c r="F874" t="s">
        <v>3903</v>
      </c>
      <c r="M874" t="s">
        <v>4735</v>
      </c>
      <c r="N874" t="s">
        <v>1051</v>
      </c>
      <c r="O874" t="s">
        <v>18</v>
      </c>
      <c r="P874" t="s">
        <v>3263</v>
      </c>
      <c r="T874" t="s">
        <v>993</v>
      </c>
      <c r="U874" t="s">
        <v>818</v>
      </c>
      <c r="V874" t="s">
        <v>18</v>
      </c>
      <c r="W874" t="s">
        <v>3481</v>
      </c>
      <c r="AC874" t="s">
        <v>1053</v>
      </c>
      <c r="AD874" t="s">
        <v>816</v>
      </c>
      <c r="AE874" t="s">
        <v>18</v>
      </c>
      <c r="AF874" t="s">
        <v>2559</v>
      </c>
    </row>
    <row r="875" spans="1:32">
      <c r="A875" t="s">
        <v>6470</v>
      </c>
      <c r="B875" t="s">
        <v>994</v>
      </c>
      <c r="C875" t="s">
        <v>818</v>
      </c>
      <c r="E875" t="s">
        <v>18</v>
      </c>
      <c r="F875" t="s">
        <v>3479</v>
      </c>
      <c r="M875" t="s">
        <v>4735</v>
      </c>
      <c r="N875" t="s">
        <v>1051</v>
      </c>
      <c r="O875" t="s">
        <v>18</v>
      </c>
      <c r="P875" t="s">
        <v>3262</v>
      </c>
      <c r="T875" t="s">
        <v>994</v>
      </c>
      <c r="U875" t="s">
        <v>818</v>
      </c>
      <c r="V875" t="s">
        <v>18</v>
      </c>
      <c r="W875" t="s">
        <v>857</v>
      </c>
      <c r="AC875" t="s">
        <v>1053</v>
      </c>
      <c r="AD875" t="s">
        <v>816</v>
      </c>
      <c r="AE875" t="s">
        <v>18</v>
      </c>
      <c r="AF875" t="s">
        <v>3168</v>
      </c>
    </row>
    <row r="876" spans="1:32">
      <c r="A876" t="s">
        <v>6470</v>
      </c>
      <c r="B876" t="s">
        <v>994</v>
      </c>
      <c r="C876" t="s">
        <v>818</v>
      </c>
      <c r="E876" t="s">
        <v>18</v>
      </c>
      <c r="F876" t="s">
        <v>3477</v>
      </c>
      <c r="M876" t="s">
        <v>4735</v>
      </c>
      <c r="N876" t="s">
        <v>1051</v>
      </c>
      <c r="O876" t="s">
        <v>18</v>
      </c>
      <c r="P876" t="s">
        <v>3261</v>
      </c>
      <c r="T876" t="s">
        <v>994</v>
      </c>
      <c r="U876" t="s">
        <v>818</v>
      </c>
      <c r="V876" t="s">
        <v>18</v>
      </c>
      <c r="W876" t="s">
        <v>857</v>
      </c>
      <c r="AC876" t="s">
        <v>1054</v>
      </c>
      <c r="AD876" t="s">
        <v>818</v>
      </c>
      <c r="AE876" t="s">
        <v>857</v>
      </c>
      <c r="AF876" t="s">
        <v>3097</v>
      </c>
    </row>
    <row r="877" spans="1:32">
      <c r="A877" t="s">
        <v>6471</v>
      </c>
      <c r="B877" t="s">
        <v>994</v>
      </c>
      <c r="C877" t="s">
        <v>816</v>
      </c>
      <c r="E877" t="s">
        <v>18</v>
      </c>
      <c r="F877" t="s">
        <v>3480</v>
      </c>
      <c r="M877" t="s">
        <v>4735</v>
      </c>
      <c r="N877" t="s">
        <v>1051</v>
      </c>
      <c r="O877" t="s">
        <v>18</v>
      </c>
      <c r="P877" t="s">
        <v>3260</v>
      </c>
      <c r="T877" t="s">
        <v>994</v>
      </c>
      <c r="U877" t="s">
        <v>816</v>
      </c>
      <c r="V877" t="s">
        <v>18</v>
      </c>
      <c r="W877" t="s">
        <v>857</v>
      </c>
      <c r="AC877" t="s">
        <v>1054</v>
      </c>
      <c r="AD877" t="s">
        <v>818</v>
      </c>
      <c r="AE877" t="s">
        <v>18</v>
      </c>
      <c r="AF877" t="s">
        <v>857</v>
      </c>
    </row>
    <row r="878" spans="1:32">
      <c r="A878" t="s">
        <v>6471</v>
      </c>
      <c r="B878" t="s">
        <v>994</v>
      </c>
      <c r="C878" t="s">
        <v>816</v>
      </c>
      <c r="E878" t="s">
        <v>18</v>
      </c>
      <c r="F878" t="s">
        <v>3478</v>
      </c>
      <c r="M878" t="s">
        <v>4735</v>
      </c>
      <c r="N878" t="s">
        <v>1051</v>
      </c>
      <c r="O878" t="s">
        <v>18</v>
      </c>
      <c r="P878" t="s">
        <v>3259</v>
      </c>
      <c r="T878" t="s">
        <v>994</v>
      </c>
      <c r="U878" t="s">
        <v>816</v>
      </c>
      <c r="V878" t="s">
        <v>18</v>
      </c>
      <c r="W878" t="s">
        <v>857</v>
      </c>
      <c r="AC878" t="s">
        <v>1054</v>
      </c>
      <c r="AD878" t="s">
        <v>818</v>
      </c>
      <c r="AE878" t="s">
        <v>18</v>
      </c>
      <c r="AF878" t="s">
        <v>3099</v>
      </c>
    </row>
    <row r="879" spans="1:32">
      <c r="A879" t="s">
        <v>5302</v>
      </c>
      <c r="B879" t="s">
        <v>995</v>
      </c>
      <c r="C879" t="s">
        <v>818</v>
      </c>
      <c r="D879" t="s">
        <v>3471</v>
      </c>
      <c r="E879" t="s">
        <v>18</v>
      </c>
      <c r="F879" t="s">
        <v>3472</v>
      </c>
      <c r="M879" t="s">
        <v>4735</v>
      </c>
      <c r="N879" t="s">
        <v>1051</v>
      </c>
      <c r="O879" t="s">
        <v>18</v>
      </c>
      <c r="P879" t="s">
        <v>3258</v>
      </c>
      <c r="T879" t="s">
        <v>995</v>
      </c>
      <c r="U879" t="s">
        <v>818</v>
      </c>
      <c r="V879" t="s">
        <v>857</v>
      </c>
      <c r="W879" t="s">
        <v>857</v>
      </c>
      <c r="AC879" t="s">
        <v>1054</v>
      </c>
      <c r="AD879" t="s">
        <v>818</v>
      </c>
      <c r="AE879" t="s">
        <v>18</v>
      </c>
      <c r="AF879" t="s">
        <v>3097</v>
      </c>
    </row>
    <row r="880" spans="1:32">
      <c r="A880" t="s">
        <v>6473</v>
      </c>
      <c r="B880" t="s">
        <v>995</v>
      </c>
      <c r="C880" t="s">
        <v>818</v>
      </c>
      <c r="D880" t="s">
        <v>3471</v>
      </c>
      <c r="F880" t="s">
        <v>4218</v>
      </c>
      <c r="M880" t="s">
        <v>4735</v>
      </c>
      <c r="N880" t="s">
        <v>1051</v>
      </c>
      <c r="O880" t="s">
        <v>18</v>
      </c>
      <c r="P880" t="s">
        <v>3257</v>
      </c>
      <c r="T880" t="s">
        <v>995</v>
      </c>
      <c r="U880" t="s">
        <v>818</v>
      </c>
      <c r="V880" t="s">
        <v>18</v>
      </c>
      <c r="W880" t="s">
        <v>857</v>
      </c>
      <c r="AC880" t="s">
        <v>1054</v>
      </c>
      <c r="AD880" t="s">
        <v>19</v>
      </c>
      <c r="AE880" t="s">
        <v>857</v>
      </c>
      <c r="AF880" t="s">
        <v>3101</v>
      </c>
    </row>
    <row r="881" spans="1:32">
      <c r="A881" t="s">
        <v>6472</v>
      </c>
      <c r="B881" t="s">
        <v>995</v>
      </c>
      <c r="C881" t="s">
        <v>818</v>
      </c>
      <c r="E881" t="s">
        <v>18</v>
      </c>
      <c r="F881" t="s">
        <v>3476</v>
      </c>
      <c r="M881" t="s">
        <v>4736</v>
      </c>
      <c r="N881" t="s">
        <v>1052</v>
      </c>
      <c r="O881" t="s">
        <v>18</v>
      </c>
      <c r="P881" t="s">
        <v>3177</v>
      </c>
      <c r="T881" t="s">
        <v>995</v>
      </c>
      <c r="U881" t="s">
        <v>818</v>
      </c>
      <c r="V881" t="s">
        <v>18</v>
      </c>
      <c r="W881" t="s">
        <v>857</v>
      </c>
      <c r="AC881" t="s">
        <v>1054</v>
      </c>
      <c r="AD881" t="s">
        <v>19</v>
      </c>
      <c r="AE881" t="s">
        <v>18</v>
      </c>
      <c r="AF881" t="s">
        <v>857</v>
      </c>
    </row>
    <row r="882" spans="1:32">
      <c r="A882" t="s">
        <v>6472</v>
      </c>
      <c r="B882" t="s">
        <v>995</v>
      </c>
      <c r="C882" t="s">
        <v>818</v>
      </c>
      <c r="E882" t="s">
        <v>18</v>
      </c>
      <c r="F882" t="s">
        <v>3474</v>
      </c>
      <c r="M882" t="s">
        <v>4736</v>
      </c>
      <c r="N882" t="s">
        <v>1052</v>
      </c>
      <c r="O882" t="s">
        <v>18</v>
      </c>
      <c r="P882" t="s">
        <v>3175</v>
      </c>
      <c r="T882" t="s">
        <v>995</v>
      </c>
      <c r="U882" t="s">
        <v>818</v>
      </c>
      <c r="V882" t="s">
        <v>857</v>
      </c>
      <c r="W882" t="s">
        <v>3471</v>
      </c>
      <c r="AC882" t="s">
        <v>1054</v>
      </c>
      <c r="AD882" t="s">
        <v>19</v>
      </c>
      <c r="AE882" t="s">
        <v>18</v>
      </c>
      <c r="AF882" t="s">
        <v>3101</v>
      </c>
    </row>
    <row r="883" spans="1:32">
      <c r="A883" t="s">
        <v>5301</v>
      </c>
      <c r="B883" t="s">
        <v>995</v>
      </c>
      <c r="C883" t="s">
        <v>818</v>
      </c>
      <c r="F883" t="s">
        <v>3813</v>
      </c>
      <c r="M883" t="s">
        <v>4736</v>
      </c>
      <c r="N883" t="s">
        <v>1052</v>
      </c>
      <c r="O883" t="s">
        <v>18</v>
      </c>
      <c r="P883" t="s">
        <v>3174</v>
      </c>
      <c r="T883" t="s">
        <v>995</v>
      </c>
      <c r="U883" t="s">
        <v>818</v>
      </c>
      <c r="V883" t="s">
        <v>18</v>
      </c>
      <c r="W883" t="s">
        <v>3471</v>
      </c>
      <c r="AC883" t="s">
        <v>1054</v>
      </c>
      <c r="AD883" t="s">
        <v>816</v>
      </c>
      <c r="AE883" t="s">
        <v>857</v>
      </c>
      <c r="AF883" t="s">
        <v>3099</v>
      </c>
    </row>
    <row r="884" spans="1:32">
      <c r="A884" t="s">
        <v>5304</v>
      </c>
      <c r="B884" t="s">
        <v>995</v>
      </c>
      <c r="C884" t="s">
        <v>816</v>
      </c>
      <c r="D884" t="s">
        <v>3468</v>
      </c>
      <c r="E884" t="s">
        <v>18</v>
      </c>
      <c r="F884" t="s">
        <v>3473</v>
      </c>
      <c r="M884" t="s">
        <v>4736</v>
      </c>
      <c r="N884" t="s">
        <v>1052</v>
      </c>
      <c r="O884" t="s">
        <v>18</v>
      </c>
      <c r="P884" t="s">
        <v>3096</v>
      </c>
      <c r="T884" t="s">
        <v>995</v>
      </c>
      <c r="U884" t="s">
        <v>816</v>
      </c>
      <c r="V884" t="s">
        <v>18</v>
      </c>
      <c r="W884" t="s">
        <v>857</v>
      </c>
      <c r="AC884" t="s">
        <v>1054</v>
      </c>
      <c r="AD884" t="s">
        <v>816</v>
      </c>
      <c r="AE884" t="s">
        <v>18</v>
      </c>
      <c r="AF884" t="s">
        <v>857</v>
      </c>
    </row>
    <row r="885" spans="1:32">
      <c r="A885" t="s">
        <v>5304</v>
      </c>
      <c r="B885" t="s">
        <v>995</v>
      </c>
      <c r="C885" t="s">
        <v>816</v>
      </c>
      <c r="D885" t="s">
        <v>3468</v>
      </c>
      <c r="E885" t="s">
        <v>18</v>
      </c>
      <c r="F885" t="s">
        <v>3469</v>
      </c>
      <c r="M885" t="s">
        <v>4736</v>
      </c>
      <c r="N885" t="s">
        <v>1052</v>
      </c>
      <c r="O885" t="s">
        <v>18</v>
      </c>
      <c r="P885" t="s">
        <v>3095</v>
      </c>
      <c r="T885" t="s">
        <v>995</v>
      </c>
      <c r="U885" t="s">
        <v>816</v>
      </c>
      <c r="V885" t="s">
        <v>857</v>
      </c>
      <c r="W885" t="s">
        <v>3468</v>
      </c>
      <c r="AC885" t="s">
        <v>1054</v>
      </c>
      <c r="AD885" t="s">
        <v>816</v>
      </c>
      <c r="AE885" t="s">
        <v>18</v>
      </c>
      <c r="AF885" t="s">
        <v>3099</v>
      </c>
    </row>
    <row r="886" spans="1:32">
      <c r="A886" t="s">
        <v>6475</v>
      </c>
      <c r="B886" t="s">
        <v>995</v>
      </c>
      <c r="C886" t="s">
        <v>816</v>
      </c>
      <c r="D886" t="s">
        <v>3468</v>
      </c>
      <c r="F886" t="s">
        <v>3989</v>
      </c>
      <c r="M886" t="s">
        <v>4736</v>
      </c>
      <c r="N886" t="s">
        <v>1052</v>
      </c>
      <c r="O886" t="s">
        <v>18</v>
      </c>
      <c r="P886" t="s">
        <v>3094</v>
      </c>
      <c r="T886" t="s">
        <v>995</v>
      </c>
      <c r="U886" t="s">
        <v>816</v>
      </c>
      <c r="V886" t="s">
        <v>18</v>
      </c>
      <c r="W886" t="s">
        <v>3468</v>
      </c>
      <c r="AC886" t="s">
        <v>1054</v>
      </c>
      <c r="AD886" t="s">
        <v>816</v>
      </c>
      <c r="AE886" t="s">
        <v>18</v>
      </c>
      <c r="AF886" t="s">
        <v>3097</v>
      </c>
    </row>
    <row r="887" spans="1:32">
      <c r="A887" t="s">
        <v>5305</v>
      </c>
      <c r="B887" t="s">
        <v>995</v>
      </c>
      <c r="C887" t="s">
        <v>816</v>
      </c>
      <c r="D887" t="s">
        <v>2598</v>
      </c>
      <c r="E887" t="s">
        <v>18</v>
      </c>
      <c r="F887" t="s">
        <v>3470</v>
      </c>
      <c r="M887" t="s">
        <v>4736</v>
      </c>
      <c r="N887" t="s">
        <v>1052</v>
      </c>
      <c r="O887" t="s">
        <v>18</v>
      </c>
      <c r="P887" t="s">
        <v>3092</v>
      </c>
      <c r="T887" t="s">
        <v>995</v>
      </c>
      <c r="U887" t="s">
        <v>816</v>
      </c>
      <c r="V887" t="s">
        <v>18</v>
      </c>
      <c r="W887" t="s">
        <v>3468</v>
      </c>
      <c r="AC887" t="s">
        <v>1055</v>
      </c>
      <c r="AD887" t="s">
        <v>818</v>
      </c>
      <c r="AE887" t="s">
        <v>857</v>
      </c>
      <c r="AF887" t="s">
        <v>857</v>
      </c>
    </row>
    <row r="888" spans="1:32">
      <c r="A888" t="s">
        <v>6474</v>
      </c>
      <c r="B888" t="s">
        <v>995</v>
      </c>
      <c r="C888" t="s">
        <v>816</v>
      </c>
      <c r="E888" t="s">
        <v>18</v>
      </c>
      <c r="F888" t="s">
        <v>3475</v>
      </c>
      <c r="M888" t="s">
        <v>4736</v>
      </c>
      <c r="N888" t="s">
        <v>1052</v>
      </c>
      <c r="O888" t="s">
        <v>18</v>
      </c>
      <c r="P888" t="s">
        <v>3091</v>
      </c>
      <c r="T888" t="s">
        <v>995</v>
      </c>
      <c r="U888" t="s">
        <v>816</v>
      </c>
      <c r="V888" t="s">
        <v>18</v>
      </c>
      <c r="W888" t="s">
        <v>2598</v>
      </c>
      <c r="AC888" t="s">
        <v>1055</v>
      </c>
      <c r="AD888" t="s">
        <v>818</v>
      </c>
      <c r="AE888" t="s">
        <v>857</v>
      </c>
      <c r="AF888" t="s">
        <v>3112</v>
      </c>
    </row>
    <row r="889" spans="1:32">
      <c r="A889" t="s">
        <v>5308</v>
      </c>
      <c r="B889" t="s">
        <v>996</v>
      </c>
      <c r="C889" t="s">
        <v>818</v>
      </c>
      <c r="D889" t="s">
        <v>3454</v>
      </c>
      <c r="E889" t="s">
        <v>18</v>
      </c>
      <c r="F889" t="s">
        <v>3455</v>
      </c>
      <c r="M889" t="s">
        <v>4736</v>
      </c>
      <c r="N889" t="s">
        <v>1052</v>
      </c>
      <c r="O889" t="s">
        <v>18</v>
      </c>
      <c r="P889" t="s">
        <v>3090</v>
      </c>
      <c r="T889" t="s">
        <v>996</v>
      </c>
      <c r="U889" t="s">
        <v>818</v>
      </c>
      <c r="V889" t="s">
        <v>857</v>
      </c>
      <c r="W889" t="s">
        <v>857</v>
      </c>
      <c r="AC889" t="s">
        <v>1055</v>
      </c>
      <c r="AD889" t="s">
        <v>818</v>
      </c>
      <c r="AE889" t="s">
        <v>53</v>
      </c>
      <c r="AF889" t="s">
        <v>3112</v>
      </c>
    </row>
    <row r="890" spans="1:32">
      <c r="A890" t="s">
        <v>5309</v>
      </c>
      <c r="B890" t="s">
        <v>996</v>
      </c>
      <c r="C890" t="s">
        <v>818</v>
      </c>
      <c r="D890" t="s">
        <v>3447</v>
      </c>
      <c r="E890" t="s">
        <v>18</v>
      </c>
      <c r="F890" t="s">
        <v>3453</v>
      </c>
      <c r="M890" t="s">
        <v>4737</v>
      </c>
      <c r="N890" t="s">
        <v>1053</v>
      </c>
      <c r="O890" t="s">
        <v>18</v>
      </c>
      <c r="P890" t="s">
        <v>3173</v>
      </c>
      <c r="T890" t="s">
        <v>996</v>
      </c>
      <c r="U890" t="s">
        <v>818</v>
      </c>
      <c r="V890" t="s">
        <v>18</v>
      </c>
      <c r="W890" t="s">
        <v>857</v>
      </c>
      <c r="AC890" t="s">
        <v>1055</v>
      </c>
      <c r="AD890" t="s">
        <v>818</v>
      </c>
      <c r="AE890" t="s">
        <v>18</v>
      </c>
      <c r="AF890" t="s">
        <v>857</v>
      </c>
    </row>
    <row r="891" spans="1:32">
      <c r="A891" t="s">
        <v>6476</v>
      </c>
      <c r="B891" t="s">
        <v>996</v>
      </c>
      <c r="C891" t="s">
        <v>818</v>
      </c>
      <c r="E891" t="s">
        <v>18</v>
      </c>
      <c r="F891" t="s">
        <v>3465</v>
      </c>
      <c r="M891" t="s">
        <v>4737</v>
      </c>
      <c r="N891" t="s">
        <v>1053</v>
      </c>
      <c r="O891" t="s">
        <v>18</v>
      </c>
      <c r="P891" t="s">
        <v>3172</v>
      </c>
      <c r="T891" t="s">
        <v>996</v>
      </c>
      <c r="U891" t="s">
        <v>818</v>
      </c>
      <c r="V891" t="s">
        <v>18</v>
      </c>
      <c r="W891" t="s">
        <v>857</v>
      </c>
      <c r="AC891" t="s">
        <v>1055</v>
      </c>
      <c r="AD891" t="s">
        <v>19</v>
      </c>
      <c r="AE891" t="s">
        <v>857</v>
      </c>
      <c r="AF891" t="s">
        <v>857</v>
      </c>
    </row>
    <row r="892" spans="1:32">
      <c r="A892" t="s">
        <v>6476</v>
      </c>
      <c r="B892" t="s">
        <v>996</v>
      </c>
      <c r="C892" t="s">
        <v>818</v>
      </c>
      <c r="E892" t="s">
        <v>18</v>
      </c>
      <c r="F892" t="s">
        <v>3464</v>
      </c>
      <c r="M892" t="s">
        <v>4737</v>
      </c>
      <c r="N892" t="s">
        <v>1053</v>
      </c>
      <c r="O892" t="s">
        <v>18</v>
      </c>
      <c r="P892" t="s">
        <v>3171</v>
      </c>
      <c r="T892" t="s">
        <v>996</v>
      </c>
      <c r="U892" t="s">
        <v>818</v>
      </c>
      <c r="V892" t="s">
        <v>18</v>
      </c>
      <c r="W892" t="s">
        <v>857</v>
      </c>
      <c r="AC892" t="s">
        <v>1055</v>
      </c>
      <c r="AD892" t="s">
        <v>19</v>
      </c>
      <c r="AE892" t="s">
        <v>857</v>
      </c>
      <c r="AF892" t="s">
        <v>2768</v>
      </c>
    </row>
    <row r="893" spans="1:32">
      <c r="A893" t="s">
        <v>6476</v>
      </c>
      <c r="B893" t="s">
        <v>996</v>
      </c>
      <c r="C893" t="s">
        <v>818</v>
      </c>
      <c r="E893" t="s">
        <v>18</v>
      </c>
      <c r="F893" t="s">
        <v>3463</v>
      </c>
      <c r="M893" t="s">
        <v>4737</v>
      </c>
      <c r="N893" t="s">
        <v>1053</v>
      </c>
      <c r="O893" t="s">
        <v>18</v>
      </c>
      <c r="P893" t="s">
        <v>3170</v>
      </c>
      <c r="T893" t="s">
        <v>996</v>
      </c>
      <c r="U893" t="s">
        <v>818</v>
      </c>
      <c r="V893" t="s">
        <v>18</v>
      </c>
      <c r="W893" t="s">
        <v>857</v>
      </c>
      <c r="AC893" t="s">
        <v>1055</v>
      </c>
      <c r="AD893" t="s">
        <v>19</v>
      </c>
      <c r="AE893" t="s">
        <v>53</v>
      </c>
      <c r="AF893" t="s">
        <v>2768</v>
      </c>
    </row>
    <row r="894" spans="1:32">
      <c r="A894" t="s">
        <v>6476</v>
      </c>
      <c r="B894" t="s">
        <v>996</v>
      </c>
      <c r="C894" t="s">
        <v>818</v>
      </c>
      <c r="E894" t="s">
        <v>18</v>
      </c>
      <c r="F894" t="s">
        <v>3457</v>
      </c>
      <c r="M894" t="s">
        <v>4737</v>
      </c>
      <c r="N894" t="s">
        <v>1053</v>
      </c>
      <c r="O894" t="s">
        <v>18</v>
      </c>
      <c r="P894" t="s">
        <v>3169</v>
      </c>
      <c r="T894" t="s">
        <v>996</v>
      </c>
      <c r="U894" t="s">
        <v>818</v>
      </c>
      <c r="V894" t="s">
        <v>18</v>
      </c>
      <c r="W894" t="s">
        <v>857</v>
      </c>
      <c r="AC894" t="s">
        <v>1055</v>
      </c>
      <c r="AD894" t="s">
        <v>19</v>
      </c>
      <c r="AE894" t="s">
        <v>18</v>
      </c>
      <c r="AF894" t="s">
        <v>857</v>
      </c>
    </row>
    <row r="895" spans="1:32">
      <c r="A895" t="s">
        <v>6476</v>
      </c>
      <c r="B895" t="s">
        <v>996</v>
      </c>
      <c r="C895" t="s">
        <v>818</v>
      </c>
      <c r="E895" t="s">
        <v>18</v>
      </c>
      <c r="F895" t="s">
        <v>3456</v>
      </c>
      <c r="M895" t="s">
        <v>4737</v>
      </c>
      <c r="N895" t="s">
        <v>1053</v>
      </c>
      <c r="O895" t="s">
        <v>18</v>
      </c>
      <c r="P895" t="s">
        <v>3088</v>
      </c>
      <c r="T895" t="s">
        <v>996</v>
      </c>
      <c r="U895" t="s">
        <v>818</v>
      </c>
      <c r="V895" t="s">
        <v>18</v>
      </c>
      <c r="W895" t="s">
        <v>3454</v>
      </c>
      <c r="AC895" t="s">
        <v>1055</v>
      </c>
      <c r="AD895" t="s">
        <v>19</v>
      </c>
      <c r="AE895" t="s">
        <v>18</v>
      </c>
      <c r="AF895" t="s">
        <v>2366</v>
      </c>
    </row>
    <row r="896" spans="1:32">
      <c r="A896" t="s">
        <v>5307</v>
      </c>
      <c r="B896" t="s">
        <v>996</v>
      </c>
      <c r="C896" t="s">
        <v>818</v>
      </c>
      <c r="F896" t="s">
        <v>4151</v>
      </c>
      <c r="M896" t="s">
        <v>4737</v>
      </c>
      <c r="N896" t="s">
        <v>1053</v>
      </c>
      <c r="O896" t="s">
        <v>18</v>
      </c>
      <c r="P896" t="s">
        <v>3087</v>
      </c>
      <c r="T896" t="s">
        <v>996</v>
      </c>
      <c r="U896" t="s">
        <v>818</v>
      </c>
      <c r="V896" t="s">
        <v>18</v>
      </c>
      <c r="W896" t="s">
        <v>3447</v>
      </c>
      <c r="AC896" t="s">
        <v>1055</v>
      </c>
      <c r="AD896" t="s">
        <v>2384</v>
      </c>
      <c r="AE896" t="s">
        <v>857</v>
      </c>
      <c r="AF896" t="s">
        <v>3981</v>
      </c>
    </row>
    <row r="897" spans="1:32">
      <c r="A897" t="s">
        <v>5311</v>
      </c>
      <c r="B897" t="s">
        <v>996</v>
      </c>
      <c r="C897" t="s">
        <v>19</v>
      </c>
      <c r="D897" t="s">
        <v>3449</v>
      </c>
      <c r="E897" t="s">
        <v>18</v>
      </c>
      <c r="F897" t="s">
        <v>3452</v>
      </c>
      <c r="M897" t="s">
        <v>4737</v>
      </c>
      <c r="N897" t="s">
        <v>1053</v>
      </c>
      <c r="O897" t="s">
        <v>18</v>
      </c>
      <c r="P897" t="s">
        <v>3086</v>
      </c>
      <c r="T897" t="s">
        <v>996</v>
      </c>
      <c r="U897" t="s">
        <v>19</v>
      </c>
      <c r="V897" t="s">
        <v>18</v>
      </c>
      <c r="W897" t="s">
        <v>857</v>
      </c>
      <c r="AC897" t="s">
        <v>1055</v>
      </c>
      <c r="AD897" t="s">
        <v>2416</v>
      </c>
      <c r="AE897" t="s">
        <v>53</v>
      </c>
      <c r="AF897" t="s">
        <v>857</v>
      </c>
    </row>
    <row r="898" spans="1:32">
      <c r="A898" t="s">
        <v>6478</v>
      </c>
      <c r="B898" t="s">
        <v>996</v>
      </c>
      <c r="C898" t="s">
        <v>19</v>
      </c>
      <c r="D898" t="s">
        <v>3449</v>
      </c>
      <c r="F898" t="s">
        <v>4150</v>
      </c>
      <c r="M898" t="s">
        <v>4737</v>
      </c>
      <c r="N898" t="s">
        <v>1053</v>
      </c>
      <c r="O898" t="s">
        <v>18</v>
      </c>
      <c r="P898" t="s">
        <v>3085</v>
      </c>
      <c r="T898" t="s">
        <v>996</v>
      </c>
      <c r="U898" t="s">
        <v>19</v>
      </c>
      <c r="V898" t="s">
        <v>18</v>
      </c>
      <c r="W898" t="s">
        <v>857</v>
      </c>
      <c r="AC898" t="s">
        <v>1055</v>
      </c>
      <c r="AD898" t="s">
        <v>816</v>
      </c>
      <c r="AE898" t="s">
        <v>857</v>
      </c>
      <c r="AF898" t="s">
        <v>857</v>
      </c>
    </row>
    <row r="899" spans="1:32">
      <c r="A899" t="s">
        <v>5312</v>
      </c>
      <c r="B899" t="s">
        <v>996</v>
      </c>
      <c r="C899" t="s">
        <v>19</v>
      </c>
      <c r="D899" t="s">
        <v>3447</v>
      </c>
      <c r="E899" t="s">
        <v>18</v>
      </c>
      <c r="F899" t="s">
        <v>3451</v>
      </c>
      <c r="M899" t="s">
        <v>4737</v>
      </c>
      <c r="N899" t="s">
        <v>1053</v>
      </c>
      <c r="O899" t="s">
        <v>18</v>
      </c>
      <c r="P899" t="s">
        <v>3084</v>
      </c>
      <c r="T899" t="s">
        <v>996</v>
      </c>
      <c r="U899" t="s">
        <v>19</v>
      </c>
      <c r="V899" t="s">
        <v>18</v>
      </c>
      <c r="W899" t="s">
        <v>857</v>
      </c>
      <c r="AC899" t="s">
        <v>1055</v>
      </c>
      <c r="AD899" t="s">
        <v>816</v>
      </c>
      <c r="AE899" t="s">
        <v>53</v>
      </c>
      <c r="AF899" t="s">
        <v>3981</v>
      </c>
    </row>
    <row r="900" spans="1:32">
      <c r="A900" t="s">
        <v>6477</v>
      </c>
      <c r="B900" t="s">
        <v>996</v>
      </c>
      <c r="C900" t="s">
        <v>19</v>
      </c>
      <c r="E900" t="s">
        <v>18</v>
      </c>
      <c r="F900" t="s">
        <v>3467</v>
      </c>
      <c r="M900" t="s">
        <v>4737</v>
      </c>
      <c r="N900" t="s">
        <v>1053</v>
      </c>
      <c r="O900" t="s">
        <v>18</v>
      </c>
      <c r="P900" t="s">
        <v>3083</v>
      </c>
      <c r="T900" t="s">
        <v>996</v>
      </c>
      <c r="U900" t="s">
        <v>19</v>
      </c>
      <c r="V900" t="s">
        <v>18</v>
      </c>
      <c r="W900" t="s">
        <v>857</v>
      </c>
      <c r="AC900" t="s">
        <v>1055</v>
      </c>
      <c r="AD900" t="s">
        <v>816</v>
      </c>
      <c r="AE900" t="s">
        <v>53</v>
      </c>
      <c r="AF900" t="s">
        <v>2559</v>
      </c>
    </row>
    <row r="901" spans="1:32">
      <c r="A901" t="s">
        <v>6477</v>
      </c>
      <c r="B901" t="s">
        <v>996</v>
      </c>
      <c r="C901" t="s">
        <v>19</v>
      </c>
      <c r="E901" t="s">
        <v>18</v>
      </c>
      <c r="F901" t="s">
        <v>3466</v>
      </c>
      <c r="M901" t="s">
        <v>4737</v>
      </c>
      <c r="N901" t="s">
        <v>1053</v>
      </c>
      <c r="O901" t="s">
        <v>18</v>
      </c>
      <c r="P901" t="s">
        <v>3082</v>
      </c>
      <c r="T901" t="s">
        <v>996</v>
      </c>
      <c r="U901" t="s">
        <v>19</v>
      </c>
      <c r="V901" t="s">
        <v>857</v>
      </c>
      <c r="W901" t="s">
        <v>3449</v>
      </c>
      <c r="AC901" t="s">
        <v>1055</v>
      </c>
      <c r="AD901" t="s">
        <v>816</v>
      </c>
      <c r="AE901" t="s">
        <v>53</v>
      </c>
      <c r="AF901" t="s">
        <v>3117</v>
      </c>
    </row>
    <row r="902" spans="1:32">
      <c r="A902" t="s">
        <v>6477</v>
      </c>
      <c r="B902" t="s">
        <v>996</v>
      </c>
      <c r="C902" t="s">
        <v>19</v>
      </c>
      <c r="E902" t="s">
        <v>18</v>
      </c>
      <c r="F902" t="s">
        <v>3461</v>
      </c>
      <c r="M902" t="s">
        <v>4737</v>
      </c>
      <c r="N902" t="s">
        <v>1053</v>
      </c>
      <c r="O902" t="s">
        <v>18</v>
      </c>
      <c r="P902" t="s">
        <v>3081</v>
      </c>
      <c r="T902" t="s">
        <v>996</v>
      </c>
      <c r="U902" t="s">
        <v>19</v>
      </c>
      <c r="V902" t="s">
        <v>18</v>
      </c>
      <c r="W902" t="s">
        <v>3449</v>
      </c>
      <c r="AC902" t="s">
        <v>1055</v>
      </c>
      <c r="AD902" t="s">
        <v>816</v>
      </c>
      <c r="AE902" t="s">
        <v>53</v>
      </c>
      <c r="AF902" t="s">
        <v>2366</v>
      </c>
    </row>
    <row r="903" spans="1:32">
      <c r="A903" t="s">
        <v>6477</v>
      </c>
      <c r="B903" t="s">
        <v>996</v>
      </c>
      <c r="C903" t="s">
        <v>19</v>
      </c>
      <c r="E903" t="s">
        <v>18</v>
      </c>
      <c r="F903" t="s">
        <v>3460</v>
      </c>
      <c r="M903" t="s">
        <v>4737</v>
      </c>
      <c r="N903" t="s">
        <v>1053</v>
      </c>
      <c r="O903" t="s">
        <v>18</v>
      </c>
      <c r="P903" t="s">
        <v>3080</v>
      </c>
      <c r="T903" t="s">
        <v>996</v>
      </c>
      <c r="U903" t="s">
        <v>19</v>
      </c>
      <c r="V903" t="s">
        <v>18</v>
      </c>
      <c r="W903" t="s">
        <v>3447</v>
      </c>
      <c r="AC903" t="s">
        <v>1056</v>
      </c>
      <c r="AD903" t="s">
        <v>818</v>
      </c>
      <c r="AE903" t="s">
        <v>857</v>
      </c>
      <c r="AF903" t="s">
        <v>3136</v>
      </c>
    </row>
    <row r="904" spans="1:32">
      <c r="A904" t="s">
        <v>6479</v>
      </c>
      <c r="B904" t="s">
        <v>996</v>
      </c>
      <c r="C904" t="s">
        <v>2384</v>
      </c>
      <c r="D904" t="s">
        <v>3449</v>
      </c>
      <c r="F904" t="s">
        <v>4056</v>
      </c>
      <c r="M904" t="s">
        <v>4737</v>
      </c>
      <c r="N904" t="s">
        <v>1053</v>
      </c>
      <c r="O904" t="s">
        <v>18</v>
      </c>
      <c r="P904" t="s">
        <v>3079</v>
      </c>
      <c r="T904" t="s">
        <v>996</v>
      </c>
      <c r="U904" t="s">
        <v>2384</v>
      </c>
      <c r="V904" t="s">
        <v>857</v>
      </c>
      <c r="W904" t="s">
        <v>3449</v>
      </c>
      <c r="AC904" t="s">
        <v>1056</v>
      </c>
      <c r="AD904" t="s">
        <v>818</v>
      </c>
      <c r="AE904" t="s">
        <v>18</v>
      </c>
      <c r="AF904" t="s">
        <v>857</v>
      </c>
    </row>
    <row r="905" spans="1:32">
      <c r="A905" t="s">
        <v>5315</v>
      </c>
      <c r="B905" t="s">
        <v>996</v>
      </c>
      <c r="C905" t="s">
        <v>816</v>
      </c>
      <c r="D905" t="s">
        <v>3449</v>
      </c>
      <c r="E905" t="s">
        <v>18</v>
      </c>
      <c r="F905" t="s">
        <v>3450</v>
      </c>
      <c r="M905" t="s">
        <v>4737</v>
      </c>
      <c r="N905" t="s">
        <v>1053</v>
      </c>
      <c r="O905" t="s">
        <v>18</v>
      </c>
      <c r="P905" t="s">
        <v>3078</v>
      </c>
      <c r="T905" t="s">
        <v>996</v>
      </c>
      <c r="U905" t="s">
        <v>816</v>
      </c>
      <c r="V905" t="s">
        <v>857</v>
      </c>
      <c r="W905" t="s">
        <v>857</v>
      </c>
      <c r="AC905" t="s">
        <v>1056</v>
      </c>
      <c r="AD905" t="s">
        <v>818</v>
      </c>
      <c r="AE905" t="s">
        <v>18</v>
      </c>
      <c r="AF905" t="s">
        <v>3123</v>
      </c>
    </row>
    <row r="906" spans="1:32">
      <c r="A906" t="s">
        <v>5316</v>
      </c>
      <c r="B906" t="s">
        <v>996</v>
      </c>
      <c r="C906" t="s">
        <v>816</v>
      </c>
      <c r="D906" t="s">
        <v>3447</v>
      </c>
      <c r="E906" t="s">
        <v>18</v>
      </c>
      <c r="F906" t="s">
        <v>3448</v>
      </c>
      <c r="M906" t="s">
        <v>4737</v>
      </c>
      <c r="N906" t="s">
        <v>1053</v>
      </c>
      <c r="O906" t="s">
        <v>18</v>
      </c>
      <c r="P906" t="s">
        <v>3077</v>
      </c>
      <c r="T906" t="s">
        <v>996</v>
      </c>
      <c r="U906" t="s">
        <v>816</v>
      </c>
      <c r="V906" t="s">
        <v>857</v>
      </c>
      <c r="W906" t="s">
        <v>857</v>
      </c>
      <c r="AC906" t="s">
        <v>1056</v>
      </c>
      <c r="AD906" t="s">
        <v>818</v>
      </c>
      <c r="AE906" t="s">
        <v>18</v>
      </c>
      <c r="AF906" t="s">
        <v>3138</v>
      </c>
    </row>
    <row r="907" spans="1:32">
      <c r="A907" t="s">
        <v>6480</v>
      </c>
      <c r="B907" t="s">
        <v>996</v>
      </c>
      <c r="C907" t="s">
        <v>816</v>
      </c>
      <c r="E907" t="s">
        <v>18</v>
      </c>
      <c r="F907" t="s">
        <v>3462</v>
      </c>
      <c r="M907" t="s">
        <v>4737</v>
      </c>
      <c r="N907" t="s">
        <v>1053</v>
      </c>
      <c r="O907" t="s">
        <v>18</v>
      </c>
      <c r="P907" t="s">
        <v>3076</v>
      </c>
      <c r="T907" t="s">
        <v>996</v>
      </c>
      <c r="U907" t="s">
        <v>816</v>
      </c>
      <c r="V907" t="s">
        <v>18</v>
      </c>
      <c r="W907" t="s">
        <v>857</v>
      </c>
      <c r="AC907" t="s">
        <v>1056</v>
      </c>
      <c r="AD907" t="s">
        <v>818</v>
      </c>
      <c r="AE907" t="s">
        <v>18</v>
      </c>
      <c r="AF907" t="s">
        <v>3136</v>
      </c>
    </row>
    <row r="908" spans="1:32">
      <c r="A908" t="s">
        <v>6480</v>
      </c>
      <c r="B908" t="s">
        <v>996</v>
      </c>
      <c r="C908" t="s">
        <v>816</v>
      </c>
      <c r="E908" t="s">
        <v>18</v>
      </c>
      <c r="F908" t="s">
        <v>3459</v>
      </c>
      <c r="M908" t="s">
        <v>4737</v>
      </c>
      <c r="N908" t="s">
        <v>1053</v>
      </c>
      <c r="O908" t="s">
        <v>18</v>
      </c>
      <c r="P908" t="s">
        <v>3075</v>
      </c>
      <c r="T908" t="s">
        <v>996</v>
      </c>
      <c r="U908" t="s">
        <v>816</v>
      </c>
      <c r="V908" t="s">
        <v>18</v>
      </c>
      <c r="W908" t="s">
        <v>857</v>
      </c>
      <c r="AC908" t="s">
        <v>1056</v>
      </c>
      <c r="AD908" t="s">
        <v>818</v>
      </c>
      <c r="AE908" t="s">
        <v>18</v>
      </c>
      <c r="AF908" t="s">
        <v>3134</v>
      </c>
    </row>
    <row r="909" spans="1:32">
      <c r="A909" t="s">
        <v>6480</v>
      </c>
      <c r="B909" t="s">
        <v>996</v>
      </c>
      <c r="C909" t="s">
        <v>816</v>
      </c>
      <c r="E909" t="s">
        <v>18</v>
      </c>
      <c r="F909" t="s">
        <v>3458</v>
      </c>
      <c r="M909" t="s">
        <v>4738</v>
      </c>
      <c r="N909" t="s">
        <v>1054</v>
      </c>
      <c r="O909" t="s">
        <v>18</v>
      </c>
      <c r="P909" t="s">
        <v>3111</v>
      </c>
      <c r="T909" t="s">
        <v>996</v>
      </c>
      <c r="U909" t="s">
        <v>816</v>
      </c>
      <c r="V909" t="s">
        <v>18</v>
      </c>
      <c r="W909" t="s">
        <v>857</v>
      </c>
      <c r="AC909" t="s">
        <v>1056</v>
      </c>
      <c r="AD909" t="s">
        <v>818</v>
      </c>
      <c r="AE909" t="s">
        <v>18</v>
      </c>
      <c r="AF909" t="s">
        <v>3127</v>
      </c>
    </row>
    <row r="910" spans="1:32">
      <c r="A910" t="s">
        <v>5314</v>
      </c>
      <c r="B910" t="s">
        <v>996</v>
      </c>
      <c r="C910" t="s">
        <v>816</v>
      </c>
      <c r="F910" t="s">
        <v>4149</v>
      </c>
      <c r="M910" t="s">
        <v>4738</v>
      </c>
      <c r="N910" t="s">
        <v>1054</v>
      </c>
      <c r="O910" t="s">
        <v>18</v>
      </c>
      <c r="P910" t="s">
        <v>3110</v>
      </c>
      <c r="T910" t="s">
        <v>996</v>
      </c>
      <c r="U910" t="s">
        <v>816</v>
      </c>
      <c r="V910" t="s">
        <v>18</v>
      </c>
      <c r="W910" t="s">
        <v>3449</v>
      </c>
      <c r="AC910" t="s">
        <v>1056</v>
      </c>
      <c r="AD910" t="s">
        <v>19</v>
      </c>
      <c r="AE910" t="s">
        <v>857</v>
      </c>
      <c r="AF910" t="s">
        <v>857</v>
      </c>
    </row>
    <row r="911" spans="1:32">
      <c r="A911" t="s">
        <v>5314</v>
      </c>
      <c r="B911" t="s">
        <v>996</v>
      </c>
      <c r="C911" t="s">
        <v>816</v>
      </c>
      <c r="F911" t="s">
        <v>3933</v>
      </c>
      <c r="M911" t="s">
        <v>4738</v>
      </c>
      <c r="N911" t="s">
        <v>1054</v>
      </c>
      <c r="O911" t="s">
        <v>18</v>
      </c>
      <c r="P911" t="s">
        <v>3109</v>
      </c>
      <c r="T911" t="s">
        <v>996</v>
      </c>
      <c r="U911" t="s">
        <v>816</v>
      </c>
      <c r="V911" t="s">
        <v>18</v>
      </c>
      <c r="W911" t="s">
        <v>3447</v>
      </c>
      <c r="AC911" t="s">
        <v>1056</v>
      </c>
      <c r="AD911" t="s">
        <v>19</v>
      </c>
      <c r="AE911" t="s">
        <v>857</v>
      </c>
      <c r="AF911" t="s">
        <v>3129</v>
      </c>
    </row>
    <row r="912" spans="1:32">
      <c r="A912" t="s">
        <v>5318</v>
      </c>
      <c r="B912" t="s">
        <v>997</v>
      </c>
      <c r="C912" t="s">
        <v>19</v>
      </c>
      <c r="D912" t="s">
        <v>2512</v>
      </c>
      <c r="E912" t="s">
        <v>18</v>
      </c>
      <c r="F912" t="s">
        <v>2990</v>
      </c>
      <c r="M912" t="s">
        <v>4738</v>
      </c>
      <c r="N912" t="s">
        <v>1054</v>
      </c>
      <c r="O912" t="s">
        <v>18</v>
      </c>
      <c r="P912" t="s">
        <v>3108</v>
      </c>
      <c r="T912" t="s">
        <v>997</v>
      </c>
      <c r="U912" t="s">
        <v>19</v>
      </c>
      <c r="V912" t="s">
        <v>18</v>
      </c>
      <c r="W912" t="s">
        <v>857</v>
      </c>
      <c r="AC912" t="s">
        <v>1056</v>
      </c>
      <c r="AD912" t="s">
        <v>19</v>
      </c>
      <c r="AE912" t="s">
        <v>18</v>
      </c>
      <c r="AF912" t="s">
        <v>857</v>
      </c>
    </row>
    <row r="913" spans="1:32">
      <c r="A913" t="s">
        <v>6640</v>
      </c>
      <c r="B913" t="s">
        <v>997</v>
      </c>
      <c r="C913" t="s">
        <v>19</v>
      </c>
      <c r="D913" t="s">
        <v>2512</v>
      </c>
      <c r="F913" t="s">
        <v>4101</v>
      </c>
      <c r="M913" t="s">
        <v>4738</v>
      </c>
      <c r="N913" t="s">
        <v>1054</v>
      </c>
      <c r="O913" t="s">
        <v>18</v>
      </c>
      <c r="P913" t="s">
        <v>3107</v>
      </c>
      <c r="T913" t="s">
        <v>997</v>
      </c>
      <c r="U913" t="s">
        <v>19</v>
      </c>
      <c r="V913" t="s">
        <v>857</v>
      </c>
      <c r="W913" t="s">
        <v>2512</v>
      </c>
      <c r="AC913" t="s">
        <v>1056</v>
      </c>
      <c r="AD913" t="s">
        <v>19</v>
      </c>
      <c r="AE913" t="s">
        <v>18</v>
      </c>
      <c r="AF913" t="s">
        <v>2768</v>
      </c>
    </row>
    <row r="914" spans="1:32">
      <c r="A914" t="s">
        <v>6639</v>
      </c>
      <c r="B914" t="s">
        <v>997</v>
      </c>
      <c r="C914" t="s">
        <v>19</v>
      </c>
      <c r="E914" t="s">
        <v>18</v>
      </c>
      <c r="F914" t="s">
        <v>2992</v>
      </c>
      <c r="M914" t="s">
        <v>4738</v>
      </c>
      <c r="N914" t="s">
        <v>1054</v>
      </c>
      <c r="O914" t="s">
        <v>18</v>
      </c>
      <c r="P914" t="s">
        <v>3106</v>
      </c>
      <c r="T914" t="s">
        <v>997</v>
      </c>
      <c r="U914" t="s">
        <v>19</v>
      </c>
      <c r="V914" t="s">
        <v>18</v>
      </c>
      <c r="W914" t="s">
        <v>2512</v>
      </c>
      <c r="AC914" t="s">
        <v>1056</v>
      </c>
      <c r="AD914" t="s">
        <v>19</v>
      </c>
      <c r="AE914" t="s">
        <v>18</v>
      </c>
      <c r="AF914" t="s">
        <v>3129</v>
      </c>
    </row>
    <row r="915" spans="1:32">
      <c r="A915" t="s">
        <v>5320</v>
      </c>
      <c r="B915" t="s">
        <v>997</v>
      </c>
      <c r="C915" t="s">
        <v>2384</v>
      </c>
      <c r="D915" t="s">
        <v>2512</v>
      </c>
      <c r="E915" t="s">
        <v>18</v>
      </c>
      <c r="F915" t="s">
        <v>2988</v>
      </c>
      <c r="M915" t="s">
        <v>4738</v>
      </c>
      <c r="N915" t="s">
        <v>1054</v>
      </c>
      <c r="O915" t="s">
        <v>18</v>
      </c>
      <c r="P915" t="s">
        <v>3105</v>
      </c>
      <c r="T915" t="s">
        <v>997</v>
      </c>
      <c r="U915" t="s">
        <v>2384</v>
      </c>
      <c r="V915" t="s">
        <v>857</v>
      </c>
      <c r="W915" t="s">
        <v>2512</v>
      </c>
      <c r="AC915" t="s">
        <v>1056</v>
      </c>
      <c r="AD915" t="s">
        <v>19</v>
      </c>
      <c r="AE915" t="s">
        <v>18</v>
      </c>
      <c r="AF915" t="s">
        <v>3127</v>
      </c>
    </row>
    <row r="916" spans="1:32">
      <c r="A916" t="s">
        <v>6641</v>
      </c>
      <c r="B916" t="s">
        <v>997</v>
      </c>
      <c r="C916" t="s">
        <v>2384</v>
      </c>
      <c r="D916" t="s">
        <v>2512</v>
      </c>
      <c r="F916" t="s">
        <v>3947</v>
      </c>
      <c r="M916" t="s">
        <v>4738</v>
      </c>
      <c r="N916" t="s">
        <v>1054</v>
      </c>
      <c r="O916" t="s">
        <v>18</v>
      </c>
      <c r="P916" t="s">
        <v>3104</v>
      </c>
      <c r="T916" t="s">
        <v>997</v>
      </c>
      <c r="U916" t="s">
        <v>2384</v>
      </c>
      <c r="V916" t="s">
        <v>18</v>
      </c>
      <c r="W916" t="s">
        <v>2512</v>
      </c>
      <c r="AC916" t="s">
        <v>1056</v>
      </c>
      <c r="AD916" t="s">
        <v>2384</v>
      </c>
      <c r="AE916" t="s">
        <v>857</v>
      </c>
      <c r="AF916" t="s">
        <v>857</v>
      </c>
    </row>
    <row r="917" spans="1:32">
      <c r="A917" t="s">
        <v>5322</v>
      </c>
      <c r="B917" t="s">
        <v>997</v>
      </c>
      <c r="C917" t="s">
        <v>816</v>
      </c>
      <c r="D917" t="s">
        <v>2512</v>
      </c>
      <c r="E917" t="s">
        <v>18</v>
      </c>
      <c r="F917" t="s">
        <v>2989</v>
      </c>
      <c r="M917" t="s">
        <v>4738</v>
      </c>
      <c r="N917" t="s">
        <v>1054</v>
      </c>
      <c r="O917" t="s">
        <v>18</v>
      </c>
      <c r="P917" t="s">
        <v>3103</v>
      </c>
      <c r="T917" t="s">
        <v>997</v>
      </c>
      <c r="U917" t="s">
        <v>816</v>
      </c>
      <c r="V917" t="s">
        <v>18</v>
      </c>
      <c r="W917" t="s">
        <v>857</v>
      </c>
      <c r="AC917" t="s">
        <v>1056</v>
      </c>
      <c r="AD917" t="s">
        <v>2384</v>
      </c>
      <c r="AE917" t="s">
        <v>857</v>
      </c>
      <c r="AF917" t="s">
        <v>3138</v>
      </c>
    </row>
    <row r="918" spans="1:32">
      <c r="A918" t="s">
        <v>6643</v>
      </c>
      <c r="B918" t="s">
        <v>997</v>
      </c>
      <c r="C918" t="s">
        <v>816</v>
      </c>
      <c r="D918" t="s">
        <v>2512</v>
      </c>
      <c r="F918" t="s">
        <v>4074</v>
      </c>
      <c r="M918" t="s">
        <v>4738</v>
      </c>
      <c r="N918" t="s">
        <v>1054</v>
      </c>
      <c r="O918" t="s">
        <v>18</v>
      </c>
      <c r="P918" t="s">
        <v>3102</v>
      </c>
      <c r="T918" t="s">
        <v>997</v>
      </c>
      <c r="U918" t="s">
        <v>816</v>
      </c>
      <c r="V918" t="s">
        <v>857</v>
      </c>
      <c r="W918" t="s">
        <v>2512</v>
      </c>
      <c r="AC918" t="s">
        <v>1056</v>
      </c>
      <c r="AD918" t="s">
        <v>2384</v>
      </c>
      <c r="AE918" t="s">
        <v>857</v>
      </c>
      <c r="AF918" t="s">
        <v>3136</v>
      </c>
    </row>
    <row r="919" spans="1:32">
      <c r="A919" t="s">
        <v>6642</v>
      </c>
      <c r="B919" t="s">
        <v>997</v>
      </c>
      <c r="C919" t="s">
        <v>816</v>
      </c>
      <c r="E919" t="s">
        <v>18</v>
      </c>
      <c r="F919" t="s">
        <v>2991</v>
      </c>
      <c r="M919" t="s">
        <v>4738</v>
      </c>
      <c r="N919" t="s">
        <v>1054</v>
      </c>
      <c r="O919" t="s">
        <v>18</v>
      </c>
      <c r="P919" t="s">
        <v>3100</v>
      </c>
      <c r="T919" t="s">
        <v>997</v>
      </c>
      <c r="U919" t="s">
        <v>816</v>
      </c>
      <c r="V919" t="s">
        <v>18</v>
      </c>
      <c r="W919" t="s">
        <v>2512</v>
      </c>
      <c r="AC919" t="s">
        <v>1056</v>
      </c>
      <c r="AD919" t="s">
        <v>2384</v>
      </c>
      <c r="AE919" t="s">
        <v>18</v>
      </c>
      <c r="AF919" t="s">
        <v>3136</v>
      </c>
    </row>
    <row r="920" spans="1:32">
      <c r="A920" t="s">
        <v>5324</v>
      </c>
      <c r="B920" t="s">
        <v>998</v>
      </c>
      <c r="C920" t="s">
        <v>818</v>
      </c>
      <c r="D920" t="s">
        <v>2949</v>
      </c>
      <c r="E920" t="s">
        <v>53</v>
      </c>
      <c r="F920" t="s">
        <v>3414</v>
      </c>
      <c r="M920" t="s">
        <v>4738</v>
      </c>
      <c r="N920" t="s">
        <v>1054</v>
      </c>
      <c r="O920" t="s">
        <v>18</v>
      </c>
      <c r="P920" t="s">
        <v>3098</v>
      </c>
      <c r="T920" t="s">
        <v>998</v>
      </c>
      <c r="U920" t="s">
        <v>818</v>
      </c>
      <c r="V920" t="s">
        <v>53</v>
      </c>
      <c r="W920" t="s">
        <v>857</v>
      </c>
      <c r="AC920" t="s">
        <v>1056</v>
      </c>
      <c r="AD920" t="s">
        <v>2416</v>
      </c>
      <c r="AE920" t="s">
        <v>18</v>
      </c>
      <c r="AF920" t="s">
        <v>857</v>
      </c>
    </row>
    <row r="921" spans="1:32">
      <c r="A921" t="s">
        <v>5324</v>
      </c>
      <c r="B921" t="s">
        <v>998</v>
      </c>
      <c r="C921" t="s">
        <v>818</v>
      </c>
      <c r="D921" t="s">
        <v>2949</v>
      </c>
      <c r="E921" t="s">
        <v>53</v>
      </c>
      <c r="F921" t="s">
        <v>2951</v>
      </c>
      <c r="M921" t="s">
        <v>4739</v>
      </c>
      <c r="N921" t="s">
        <v>1055</v>
      </c>
      <c r="O921" t="s">
        <v>53</v>
      </c>
      <c r="P921" t="s">
        <v>3163</v>
      </c>
      <c r="T921" t="s">
        <v>998</v>
      </c>
      <c r="U921" t="s">
        <v>818</v>
      </c>
      <c r="V921" t="s">
        <v>857</v>
      </c>
      <c r="W921" t="s">
        <v>2949</v>
      </c>
      <c r="AC921" t="s">
        <v>1056</v>
      </c>
      <c r="AD921" t="s">
        <v>2416</v>
      </c>
      <c r="AE921" t="s">
        <v>18</v>
      </c>
      <c r="AF921" t="s">
        <v>3125</v>
      </c>
    </row>
    <row r="922" spans="1:32">
      <c r="A922" t="s">
        <v>6482</v>
      </c>
      <c r="B922" t="s">
        <v>998</v>
      </c>
      <c r="C922" t="s">
        <v>818</v>
      </c>
      <c r="D922" t="s">
        <v>2949</v>
      </c>
      <c r="F922" t="s">
        <v>4102</v>
      </c>
      <c r="M922" t="s">
        <v>4739</v>
      </c>
      <c r="N922" t="s">
        <v>1055</v>
      </c>
      <c r="O922" t="s">
        <v>53</v>
      </c>
      <c r="P922" t="s">
        <v>3162</v>
      </c>
      <c r="T922" t="s">
        <v>998</v>
      </c>
      <c r="U922" t="s">
        <v>818</v>
      </c>
      <c r="V922" t="s">
        <v>53</v>
      </c>
      <c r="W922" t="s">
        <v>2949</v>
      </c>
      <c r="AC922" t="s">
        <v>1056</v>
      </c>
      <c r="AD922" t="s">
        <v>816</v>
      </c>
      <c r="AE922" t="s">
        <v>857</v>
      </c>
      <c r="AF922" t="s">
        <v>857</v>
      </c>
    </row>
    <row r="923" spans="1:32">
      <c r="A923" t="s">
        <v>6481</v>
      </c>
      <c r="B923" t="s">
        <v>998</v>
      </c>
      <c r="C923" t="s">
        <v>818</v>
      </c>
      <c r="E923" t="s">
        <v>53</v>
      </c>
      <c r="F923" t="s">
        <v>2953</v>
      </c>
      <c r="M923" t="s">
        <v>4739</v>
      </c>
      <c r="N923" t="s">
        <v>1055</v>
      </c>
      <c r="O923" t="s">
        <v>53</v>
      </c>
      <c r="P923" t="s">
        <v>3161</v>
      </c>
      <c r="T923" t="s">
        <v>998</v>
      </c>
      <c r="U923" t="s">
        <v>818</v>
      </c>
      <c r="V923" t="s">
        <v>53</v>
      </c>
      <c r="W923" t="s">
        <v>2949</v>
      </c>
      <c r="AC923" t="s">
        <v>1056</v>
      </c>
      <c r="AD923" t="s">
        <v>816</v>
      </c>
      <c r="AE923" t="s">
        <v>857</v>
      </c>
      <c r="AF923" t="s">
        <v>3125</v>
      </c>
    </row>
    <row r="924" spans="1:32">
      <c r="A924" t="s">
        <v>5326</v>
      </c>
      <c r="B924" t="s">
        <v>998</v>
      </c>
      <c r="C924" t="s">
        <v>816</v>
      </c>
      <c r="D924" t="s">
        <v>2949</v>
      </c>
      <c r="E924" t="s">
        <v>53</v>
      </c>
      <c r="F924" t="s">
        <v>3413</v>
      </c>
      <c r="M924" t="s">
        <v>4739</v>
      </c>
      <c r="N924" t="s">
        <v>1055</v>
      </c>
      <c r="O924" t="s">
        <v>53</v>
      </c>
      <c r="P924" t="s">
        <v>3160</v>
      </c>
      <c r="T924" t="s">
        <v>998</v>
      </c>
      <c r="U924" t="s">
        <v>816</v>
      </c>
      <c r="V924" t="s">
        <v>53</v>
      </c>
      <c r="W924" t="s">
        <v>857</v>
      </c>
      <c r="AC924" t="s">
        <v>1056</v>
      </c>
      <c r="AD924" t="s">
        <v>816</v>
      </c>
      <c r="AE924" t="s">
        <v>18</v>
      </c>
      <c r="AF924" t="s">
        <v>857</v>
      </c>
    </row>
    <row r="925" spans="1:32">
      <c r="A925" t="s">
        <v>5326</v>
      </c>
      <c r="B925" t="s">
        <v>998</v>
      </c>
      <c r="C925" t="s">
        <v>816</v>
      </c>
      <c r="D925" t="s">
        <v>2949</v>
      </c>
      <c r="E925" t="s">
        <v>53</v>
      </c>
      <c r="F925" t="s">
        <v>2950</v>
      </c>
      <c r="M925" t="s">
        <v>4739</v>
      </c>
      <c r="N925" t="s">
        <v>1055</v>
      </c>
      <c r="O925" t="s">
        <v>53</v>
      </c>
      <c r="P925" t="s">
        <v>3158</v>
      </c>
      <c r="T925" t="s">
        <v>998</v>
      </c>
      <c r="U925" t="s">
        <v>816</v>
      </c>
      <c r="V925" t="s">
        <v>18</v>
      </c>
      <c r="W925" t="s">
        <v>857</v>
      </c>
      <c r="AC925" t="s">
        <v>1056</v>
      </c>
      <c r="AD925" t="s">
        <v>816</v>
      </c>
      <c r="AE925" t="s">
        <v>18</v>
      </c>
      <c r="AF925" t="s">
        <v>3123</v>
      </c>
    </row>
    <row r="926" spans="1:32">
      <c r="A926" t="s">
        <v>6485</v>
      </c>
      <c r="B926" t="s">
        <v>998</v>
      </c>
      <c r="C926" t="s">
        <v>816</v>
      </c>
      <c r="D926" t="s">
        <v>2949</v>
      </c>
      <c r="F926" t="s">
        <v>3870</v>
      </c>
      <c r="M926" t="s">
        <v>4739</v>
      </c>
      <c r="N926" t="s">
        <v>1055</v>
      </c>
      <c r="O926" t="s">
        <v>53</v>
      </c>
      <c r="P926" t="s">
        <v>3118</v>
      </c>
      <c r="T926" t="s">
        <v>998</v>
      </c>
      <c r="U926" t="s">
        <v>816</v>
      </c>
      <c r="V926" t="s">
        <v>857</v>
      </c>
      <c r="W926" t="s">
        <v>2949</v>
      </c>
      <c r="AC926" t="s">
        <v>1056</v>
      </c>
      <c r="AD926" t="s">
        <v>816</v>
      </c>
      <c r="AE926" t="s">
        <v>18</v>
      </c>
      <c r="AF926" t="s">
        <v>3121</v>
      </c>
    </row>
    <row r="927" spans="1:32">
      <c r="A927" t="s">
        <v>6483</v>
      </c>
      <c r="B927" t="s">
        <v>998</v>
      </c>
      <c r="C927" t="s">
        <v>816</v>
      </c>
      <c r="E927" t="s">
        <v>53</v>
      </c>
      <c r="F927" t="s">
        <v>2952</v>
      </c>
      <c r="M927" t="s">
        <v>4739</v>
      </c>
      <c r="N927" t="s">
        <v>1055</v>
      </c>
      <c r="O927" t="s">
        <v>53</v>
      </c>
      <c r="P927" t="s">
        <v>3115</v>
      </c>
      <c r="T927" t="s">
        <v>998</v>
      </c>
      <c r="U927" t="s">
        <v>816</v>
      </c>
      <c r="V927" t="s">
        <v>53</v>
      </c>
      <c r="W927" t="s">
        <v>2949</v>
      </c>
      <c r="AC927" t="s">
        <v>1056</v>
      </c>
      <c r="AD927" t="s">
        <v>816</v>
      </c>
      <c r="AE927" t="s">
        <v>18</v>
      </c>
      <c r="AF927" t="s">
        <v>3119</v>
      </c>
    </row>
    <row r="928" spans="1:32">
      <c r="A928" t="s">
        <v>6484</v>
      </c>
      <c r="B928" t="s">
        <v>998</v>
      </c>
      <c r="C928" t="s">
        <v>816</v>
      </c>
      <c r="E928" t="s">
        <v>18</v>
      </c>
      <c r="F928" t="s">
        <v>2954</v>
      </c>
      <c r="M928" t="s">
        <v>4739</v>
      </c>
      <c r="N928" t="s">
        <v>1055</v>
      </c>
      <c r="O928" t="s">
        <v>53</v>
      </c>
      <c r="P928" t="s">
        <v>3114</v>
      </c>
      <c r="T928" t="s">
        <v>998</v>
      </c>
      <c r="U928" t="s">
        <v>816</v>
      </c>
      <c r="V928" t="s">
        <v>53</v>
      </c>
      <c r="W928" t="s">
        <v>2949</v>
      </c>
      <c r="AC928" t="s">
        <v>3281</v>
      </c>
      <c r="AD928" t="s">
        <v>818</v>
      </c>
      <c r="AE928" t="s">
        <v>53</v>
      </c>
      <c r="AF928" t="s">
        <v>857</v>
      </c>
    </row>
    <row r="929" spans="1:32">
      <c r="A929" t="s">
        <v>5328</v>
      </c>
      <c r="B929" t="s">
        <v>999</v>
      </c>
      <c r="C929" t="s">
        <v>818</v>
      </c>
      <c r="D929" t="s">
        <v>2366</v>
      </c>
      <c r="E929" t="s">
        <v>18</v>
      </c>
      <c r="F929" t="s">
        <v>3437</v>
      </c>
      <c r="M929" t="s">
        <v>4739</v>
      </c>
      <c r="N929" t="s">
        <v>1055</v>
      </c>
      <c r="O929" t="s">
        <v>53</v>
      </c>
      <c r="P929" t="s">
        <v>3113</v>
      </c>
      <c r="T929" t="s">
        <v>999</v>
      </c>
      <c r="U929" t="s">
        <v>818</v>
      </c>
      <c r="V929" t="s">
        <v>18</v>
      </c>
      <c r="W929" t="s">
        <v>857</v>
      </c>
      <c r="AC929" t="s">
        <v>3281</v>
      </c>
      <c r="AD929" t="s">
        <v>818</v>
      </c>
      <c r="AE929" t="s">
        <v>53</v>
      </c>
      <c r="AF929" t="s">
        <v>3280</v>
      </c>
    </row>
    <row r="930" spans="1:32">
      <c r="A930" t="s">
        <v>6486</v>
      </c>
      <c r="B930" t="s">
        <v>999</v>
      </c>
      <c r="C930" t="s">
        <v>818</v>
      </c>
      <c r="E930" t="s">
        <v>18</v>
      </c>
      <c r="F930" t="s">
        <v>3446</v>
      </c>
      <c r="M930" t="s">
        <v>4740</v>
      </c>
      <c r="N930" t="s">
        <v>1055</v>
      </c>
      <c r="O930" t="s">
        <v>18</v>
      </c>
      <c r="P930" t="s">
        <v>3167</v>
      </c>
      <c r="T930" t="s">
        <v>999</v>
      </c>
      <c r="U930" t="s">
        <v>818</v>
      </c>
      <c r="V930" t="s">
        <v>18</v>
      </c>
      <c r="W930" t="s">
        <v>857</v>
      </c>
      <c r="AC930" t="s">
        <v>3281</v>
      </c>
      <c r="AD930" t="s">
        <v>818</v>
      </c>
      <c r="AE930" t="s">
        <v>18</v>
      </c>
      <c r="AF930" t="s">
        <v>857</v>
      </c>
    </row>
    <row r="931" spans="1:32">
      <c r="A931" t="s">
        <v>6486</v>
      </c>
      <c r="B931" t="s">
        <v>999</v>
      </c>
      <c r="C931" t="s">
        <v>818</v>
      </c>
      <c r="E931" t="s">
        <v>18</v>
      </c>
      <c r="F931" t="s">
        <v>3442</v>
      </c>
      <c r="M931" t="s">
        <v>4740</v>
      </c>
      <c r="N931" t="s">
        <v>1055</v>
      </c>
      <c r="O931" t="s">
        <v>18</v>
      </c>
      <c r="P931" t="s">
        <v>3166</v>
      </c>
      <c r="T931" t="s">
        <v>999</v>
      </c>
      <c r="U931" t="s">
        <v>818</v>
      </c>
      <c r="V931" t="s">
        <v>18</v>
      </c>
      <c r="W931" t="s">
        <v>2366</v>
      </c>
      <c r="AC931" t="s">
        <v>3281</v>
      </c>
      <c r="AD931" t="s">
        <v>816</v>
      </c>
      <c r="AE931" t="s">
        <v>53</v>
      </c>
      <c r="AF931" t="s">
        <v>3280</v>
      </c>
    </row>
    <row r="932" spans="1:32">
      <c r="A932" t="s">
        <v>5330</v>
      </c>
      <c r="B932" t="s">
        <v>999</v>
      </c>
      <c r="C932" t="s">
        <v>19</v>
      </c>
      <c r="D932" t="s">
        <v>2366</v>
      </c>
      <c r="E932" t="s">
        <v>18</v>
      </c>
      <c r="F932" t="s">
        <v>3440</v>
      </c>
      <c r="M932" t="s">
        <v>4740</v>
      </c>
      <c r="N932" t="s">
        <v>1055</v>
      </c>
      <c r="O932" t="s">
        <v>18</v>
      </c>
      <c r="P932" t="s">
        <v>3165</v>
      </c>
      <c r="T932" t="s">
        <v>999</v>
      </c>
      <c r="U932" t="s">
        <v>19</v>
      </c>
      <c r="V932" t="s">
        <v>18</v>
      </c>
      <c r="W932" t="s">
        <v>857</v>
      </c>
      <c r="AC932" t="s">
        <v>3281</v>
      </c>
      <c r="AD932" t="s">
        <v>816</v>
      </c>
      <c r="AE932" t="s">
        <v>18</v>
      </c>
      <c r="AF932" t="s">
        <v>857</v>
      </c>
    </row>
    <row r="933" spans="1:32">
      <c r="A933" t="s">
        <v>6487</v>
      </c>
      <c r="B933" t="s">
        <v>999</v>
      </c>
      <c r="C933" t="s">
        <v>19</v>
      </c>
      <c r="E933" t="s">
        <v>18</v>
      </c>
      <c r="F933" t="s">
        <v>3444</v>
      </c>
      <c r="M933" t="s">
        <v>4740</v>
      </c>
      <c r="N933" t="s">
        <v>1055</v>
      </c>
      <c r="O933" t="s">
        <v>18</v>
      </c>
      <c r="P933" t="s">
        <v>3164</v>
      </c>
      <c r="T933" t="s">
        <v>999</v>
      </c>
      <c r="U933" t="s">
        <v>19</v>
      </c>
      <c r="V933" t="s">
        <v>18</v>
      </c>
      <c r="W933" t="s">
        <v>857</v>
      </c>
      <c r="AC933" t="s">
        <v>2856</v>
      </c>
      <c r="AD933" t="s">
        <v>818</v>
      </c>
      <c r="AE933" t="s">
        <v>18</v>
      </c>
      <c r="AF933" t="s">
        <v>857</v>
      </c>
    </row>
    <row r="934" spans="1:32">
      <c r="A934" t="s">
        <v>6487</v>
      </c>
      <c r="B934" t="s">
        <v>999</v>
      </c>
      <c r="C934" t="s">
        <v>19</v>
      </c>
      <c r="E934" t="s">
        <v>18</v>
      </c>
      <c r="F934" t="s">
        <v>3441</v>
      </c>
      <c r="M934" t="s">
        <v>4740</v>
      </c>
      <c r="N934" t="s">
        <v>1055</v>
      </c>
      <c r="O934" t="s">
        <v>18</v>
      </c>
      <c r="P934" t="s">
        <v>3116</v>
      </c>
      <c r="T934" t="s">
        <v>999</v>
      </c>
      <c r="U934" t="s">
        <v>19</v>
      </c>
      <c r="V934" t="s">
        <v>18</v>
      </c>
      <c r="W934" t="s">
        <v>2366</v>
      </c>
      <c r="AC934" t="s">
        <v>2856</v>
      </c>
      <c r="AD934" t="s">
        <v>19</v>
      </c>
      <c r="AE934" t="s">
        <v>857</v>
      </c>
      <c r="AF934" t="s">
        <v>2366</v>
      </c>
    </row>
    <row r="935" spans="1:32">
      <c r="A935" t="s">
        <v>5333</v>
      </c>
      <c r="B935" t="s">
        <v>999</v>
      </c>
      <c r="C935" t="s">
        <v>2384</v>
      </c>
      <c r="D935" t="s">
        <v>2366</v>
      </c>
      <c r="E935" t="s">
        <v>18</v>
      </c>
      <c r="F935" t="s">
        <v>3438</v>
      </c>
      <c r="M935" t="s">
        <v>4741</v>
      </c>
      <c r="N935" t="s">
        <v>1056</v>
      </c>
      <c r="O935" t="s">
        <v>18</v>
      </c>
      <c r="P935" t="s">
        <v>3157</v>
      </c>
      <c r="T935" t="s">
        <v>999</v>
      </c>
      <c r="U935" t="s">
        <v>2384</v>
      </c>
      <c r="V935" t="s">
        <v>857</v>
      </c>
      <c r="W935" t="s">
        <v>857</v>
      </c>
      <c r="AC935" t="s">
        <v>2856</v>
      </c>
      <c r="AD935" t="s">
        <v>19</v>
      </c>
      <c r="AE935" t="s">
        <v>18</v>
      </c>
      <c r="AF935" t="s">
        <v>857</v>
      </c>
    </row>
    <row r="936" spans="1:32">
      <c r="A936" t="s">
        <v>6488</v>
      </c>
      <c r="B936" t="s">
        <v>999</v>
      </c>
      <c r="C936" t="s">
        <v>2384</v>
      </c>
      <c r="D936" t="s">
        <v>2366</v>
      </c>
      <c r="F936" t="s">
        <v>4086</v>
      </c>
      <c r="M936" t="s">
        <v>4741</v>
      </c>
      <c r="N936" t="s">
        <v>1056</v>
      </c>
      <c r="O936" t="s">
        <v>18</v>
      </c>
      <c r="P936" t="s">
        <v>3156</v>
      </c>
      <c r="T936" t="s">
        <v>999</v>
      </c>
      <c r="U936" t="s">
        <v>2384</v>
      </c>
      <c r="V936" t="s">
        <v>857</v>
      </c>
      <c r="W936" t="s">
        <v>2366</v>
      </c>
      <c r="AC936" t="s">
        <v>2856</v>
      </c>
      <c r="AD936" t="s">
        <v>19</v>
      </c>
      <c r="AE936" t="s">
        <v>18</v>
      </c>
      <c r="AF936" t="s">
        <v>2366</v>
      </c>
    </row>
    <row r="937" spans="1:32">
      <c r="A937" t="s">
        <v>5332</v>
      </c>
      <c r="B937" t="s">
        <v>999</v>
      </c>
      <c r="C937" t="s">
        <v>2384</v>
      </c>
      <c r="F937" t="s">
        <v>3781</v>
      </c>
      <c r="M937" t="s">
        <v>4741</v>
      </c>
      <c r="N937" t="s">
        <v>1056</v>
      </c>
      <c r="O937" t="s">
        <v>18</v>
      </c>
      <c r="P937" t="s">
        <v>3155</v>
      </c>
      <c r="T937" t="s">
        <v>999</v>
      </c>
      <c r="U937" t="s">
        <v>2384</v>
      </c>
      <c r="V937" t="s">
        <v>18</v>
      </c>
      <c r="W937" t="s">
        <v>2366</v>
      </c>
      <c r="AC937" t="s">
        <v>2856</v>
      </c>
      <c r="AD937" t="s">
        <v>2384</v>
      </c>
      <c r="AE937" t="s">
        <v>857</v>
      </c>
      <c r="AF937" t="s">
        <v>2366</v>
      </c>
    </row>
    <row r="938" spans="1:32">
      <c r="A938" t="s">
        <v>5336</v>
      </c>
      <c r="B938" t="s">
        <v>999</v>
      </c>
      <c r="C938" t="s">
        <v>816</v>
      </c>
      <c r="D938" t="s">
        <v>2598</v>
      </c>
      <c r="E938" t="s">
        <v>18</v>
      </c>
      <c r="F938" t="s">
        <v>3439</v>
      </c>
      <c r="M938" t="s">
        <v>4741</v>
      </c>
      <c r="N938" t="s">
        <v>1056</v>
      </c>
      <c r="O938" t="s">
        <v>18</v>
      </c>
      <c r="P938" t="s">
        <v>3154</v>
      </c>
      <c r="T938" t="s">
        <v>999</v>
      </c>
      <c r="U938" t="s">
        <v>816</v>
      </c>
      <c r="V938" t="s">
        <v>857</v>
      </c>
      <c r="W938" t="s">
        <v>857</v>
      </c>
      <c r="AC938" t="s">
        <v>2856</v>
      </c>
      <c r="AD938" t="s">
        <v>2384</v>
      </c>
      <c r="AE938" t="s">
        <v>18</v>
      </c>
      <c r="AF938" t="s">
        <v>2366</v>
      </c>
    </row>
    <row r="939" spans="1:32">
      <c r="A939" t="s">
        <v>5337</v>
      </c>
      <c r="B939" t="s">
        <v>999</v>
      </c>
      <c r="C939" t="s">
        <v>816</v>
      </c>
      <c r="D939" t="s">
        <v>2366</v>
      </c>
      <c r="E939" t="s">
        <v>18</v>
      </c>
      <c r="F939" t="s">
        <v>3436</v>
      </c>
      <c r="M939" t="s">
        <v>4741</v>
      </c>
      <c r="N939" t="s">
        <v>1056</v>
      </c>
      <c r="O939" t="s">
        <v>18</v>
      </c>
      <c r="P939" t="s">
        <v>3153</v>
      </c>
      <c r="T939" t="s">
        <v>999</v>
      </c>
      <c r="U939" t="s">
        <v>816</v>
      </c>
      <c r="V939" t="s">
        <v>857</v>
      </c>
      <c r="W939" t="s">
        <v>857</v>
      </c>
      <c r="AC939" t="s">
        <v>2856</v>
      </c>
      <c r="AD939" t="s">
        <v>816</v>
      </c>
      <c r="AE939" t="s">
        <v>18</v>
      </c>
      <c r="AF939" t="s">
        <v>857</v>
      </c>
    </row>
    <row r="940" spans="1:32">
      <c r="A940" t="s">
        <v>6489</v>
      </c>
      <c r="B940" t="s">
        <v>999</v>
      </c>
      <c r="C940" t="s">
        <v>816</v>
      </c>
      <c r="E940" t="s">
        <v>18</v>
      </c>
      <c r="F940" t="s">
        <v>3445</v>
      </c>
      <c r="M940" t="s">
        <v>4741</v>
      </c>
      <c r="N940" t="s">
        <v>1056</v>
      </c>
      <c r="O940" t="s">
        <v>18</v>
      </c>
      <c r="P940" t="s">
        <v>3152</v>
      </c>
      <c r="T940" t="s">
        <v>999</v>
      </c>
      <c r="U940" t="s">
        <v>816</v>
      </c>
      <c r="V940" t="s">
        <v>18</v>
      </c>
      <c r="W940" t="s">
        <v>857</v>
      </c>
      <c r="AC940" t="s">
        <v>1057</v>
      </c>
      <c r="AD940" t="s">
        <v>818</v>
      </c>
      <c r="AE940" t="s">
        <v>857</v>
      </c>
      <c r="AF940" t="s">
        <v>857</v>
      </c>
    </row>
    <row r="941" spans="1:32">
      <c r="A941" t="s">
        <v>6489</v>
      </c>
      <c r="B941" t="s">
        <v>999</v>
      </c>
      <c r="C941" t="s">
        <v>816</v>
      </c>
      <c r="E941" t="s">
        <v>18</v>
      </c>
      <c r="F941" t="s">
        <v>3443</v>
      </c>
      <c r="M941" t="s">
        <v>4741</v>
      </c>
      <c r="N941" t="s">
        <v>1056</v>
      </c>
      <c r="O941" t="s">
        <v>18</v>
      </c>
      <c r="P941" t="s">
        <v>3151</v>
      </c>
      <c r="T941" t="s">
        <v>999</v>
      </c>
      <c r="U941" t="s">
        <v>816</v>
      </c>
      <c r="V941" t="s">
        <v>18</v>
      </c>
      <c r="W941" t="s">
        <v>857</v>
      </c>
      <c r="AC941" t="s">
        <v>1057</v>
      </c>
      <c r="AD941" t="s">
        <v>818</v>
      </c>
      <c r="AE941" t="s">
        <v>857</v>
      </c>
      <c r="AF941" t="s">
        <v>3059</v>
      </c>
    </row>
    <row r="942" spans="1:32">
      <c r="A942" t="s">
        <v>5335</v>
      </c>
      <c r="B942" t="s">
        <v>999</v>
      </c>
      <c r="C942" t="s">
        <v>816</v>
      </c>
      <c r="F942" t="s">
        <v>3932</v>
      </c>
      <c r="M942" t="s">
        <v>4741</v>
      </c>
      <c r="N942" t="s">
        <v>1056</v>
      </c>
      <c r="O942" t="s">
        <v>18</v>
      </c>
      <c r="P942" t="s">
        <v>3150</v>
      </c>
      <c r="T942" t="s">
        <v>999</v>
      </c>
      <c r="U942" t="s">
        <v>816</v>
      </c>
      <c r="V942" t="s">
        <v>18</v>
      </c>
      <c r="W942" t="s">
        <v>2598</v>
      </c>
      <c r="AC942" t="s">
        <v>1057</v>
      </c>
      <c r="AD942" t="s">
        <v>818</v>
      </c>
      <c r="AE942" t="s">
        <v>18</v>
      </c>
      <c r="AF942" t="s">
        <v>857</v>
      </c>
    </row>
    <row r="943" spans="1:32">
      <c r="A943" t="s">
        <v>5335</v>
      </c>
      <c r="B943" t="s">
        <v>999</v>
      </c>
      <c r="C943" t="s">
        <v>816</v>
      </c>
      <c r="F943" t="s">
        <v>3919</v>
      </c>
      <c r="M943" t="s">
        <v>4741</v>
      </c>
      <c r="N943" t="s">
        <v>1056</v>
      </c>
      <c r="O943" t="s">
        <v>18</v>
      </c>
      <c r="P943" t="s">
        <v>3149</v>
      </c>
      <c r="T943" t="s">
        <v>999</v>
      </c>
      <c r="U943" t="s">
        <v>816</v>
      </c>
      <c r="V943" t="s">
        <v>18</v>
      </c>
      <c r="W943" t="s">
        <v>2366</v>
      </c>
      <c r="AC943" t="s">
        <v>1057</v>
      </c>
      <c r="AD943" t="s">
        <v>818</v>
      </c>
      <c r="AE943" t="s">
        <v>18</v>
      </c>
      <c r="AF943" t="s">
        <v>3055</v>
      </c>
    </row>
    <row r="944" spans="1:32">
      <c r="A944" t="s">
        <v>5339</v>
      </c>
      <c r="B944" t="s">
        <v>1000</v>
      </c>
      <c r="C944" t="s">
        <v>818</v>
      </c>
      <c r="D944" t="s">
        <v>3397</v>
      </c>
      <c r="E944" t="s">
        <v>18</v>
      </c>
      <c r="F944" t="s">
        <v>3401</v>
      </c>
      <c r="M944" t="s">
        <v>4741</v>
      </c>
      <c r="N944" t="s">
        <v>1056</v>
      </c>
      <c r="O944" t="s">
        <v>18</v>
      </c>
      <c r="P944" t="s">
        <v>3148</v>
      </c>
      <c r="T944" t="s">
        <v>1000</v>
      </c>
      <c r="U944" t="s">
        <v>818</v>
      </c>
      <c r="V944" t="s">
        <v>18</v>
      </c>
      <c r="W944" t="s">
        <v>857</v>
      </c>
      <c r="AC944" t="s">
        <v>1057</v>
      </c>
      <c r="AD944" t="s">
        <v>818</v>
      </c>
      <c r="AE944" t="s">
        <v>18</v>
      </c>
      <c r="AF944" t="s">
        <v>3059</v>
      </c>
    </row>
    <row r="945" spans="1:32">
      <c r="A945" t="s">
        <v>6645</v>
      </c>
      <c r="B945" t="s">
        <v>1000</v>
      </c>
      <c r="C945" t="s">
        <v>818</v>
      </c>
      <c r="D945" t="s">
        <v>3397</v>
      </c>
      <c r="F945" t="s">
        <v>4215</v>
      </c>
      <c r="M945" t="s">
        <v>4741</v>
      </c>
      <c r="N945" t="s">
        <v>1056</v>
      </c>
      <c r="O945" t="s">
        <v>18</v>
      </c>
      <c r="P945" t="s">
        <v>3147</v>
      </c>
      <c r="T945" t="s">
        <v>1000</v>
      </c>
      <c r="U945" t="s">
        <v>818</v>
      </c>
      <c r="V945" t="s">
        <v>18</v>
      </c>
      <c r="W945" t="s">
        <v>857</v>
      </c>
      <c r="AC945" t="s">
        <v>1057</v>
      </c>
      <c r="AD945" t="s">
        <v>19</v>
      </c>
      <c r="AE945" t="s">
        <v>857</v>
      </c>
      <c r="AF945" t="s">
        <v>857</v>
      </c>
    </row>
    <row r="946" spans="1:32">
      <c r="A946" t="s">
        <v>6644</v>
      </c>
      <c r="B946" t="s">
        <v>1000</v>
      </c>
      <c r="C946" t="s">
        <v>818</v>
      </c>
      <c r="E946" t="s">
        <v>18</v>
      </c>
      <c r="F946" t="s">
        <v>3412</v>
      </c>
      <c r="M946" t="s">
        <v>4741</v>
      </c>
      <c r="N946" t="s">
        <v>1056</v>
      </c>
      <c r="O946" t="s">
        <v>18</v>
      </c>
      <c r="P946" t="s">
        <v>3146</v>
      </c>
      <c r="T946" t="s">
        <v>1000</v>
      </c>
      <c r="U946" t="s">
        <v>818</v>
      </c>
      <c r="V946" t="s">
        <v>18</v>
      </c>
      <c r="W946" t="s">
        <v>857</v>
      </c>
      <c r="AC946" t="s">
        <v>1057</v>
      </c>
      <c r="AD946" t="s">
        <v>19</v>
      </c>
      <c r="AE946" t="s">
        <v>857</v>
      </c>
      <c r="AF946" t="s">
        <v>3055</v>
      </c>
    </row>
    <row r="947" spans="1:32">
      <c r="A947" t="s">
        <v>6644</v>
      </c>
      <c r="B947" t="s">
        <v>1000</v>
      </c>
      <c r="C947" t="s">
        <v>818</v>
      </c>
      <c r="E947" t="s">
        <v>18</v>
      </c>
      <c r="F947" t="s">
        <v>3409</v>
      </c>
      <c r="M947" t="s">
        <v>4741</v>
      </c>
      <c r="N947" t="s">
        <v>1056</v>
      </c>
      <c r="O947" t="s">
        <v>18</v>
      </c>
      <c r="P947" t="s">
        <v>3145</v>
      </c>
      <c r="T947" t="s">
        <v>1000</v>
      </c>
      <c r="U947" t="s">
        <v>818</v>
      </c>
      <c r="V947" t="s">
        <v>18</v>
      </c>
      <c r="W947" t="s">
        <v>857</v>
      </c>
      <c r="AC947" t="s">
        <v>1057</v>
      </c>
      <c r="AD947" t="s">
        <v>19</v>
      </c>
      <c r="AE947" t="s">
        <v>18</v>
      </c>
      <c r="AF947" t="s">
        <v>857</v>
      </c>
    </row>
    <row r="948" spans="1:32">
      <c r="A948" t="s">
        <v>6644</v>
      </c>
      <c r="B948" t="s">
        <v>1000</v>
      </c>
      <c r="C948" t="s">
        <v>818</v>
      </c>
      <c r="E948" t="s">
        <v>18</v>
      </c>
      <c r="F948" t="s">
        <v>3405</v>
      </c>
      <c r="M948" t="s">
        <v>4741</v>
      </c>
      <c r="N948" t="s">
        <v>1056</v>
      </c>
      <c r="O948" t="s">
        <v>18</v>
      </c>
      <c r="P948" t="s">
        <v>3144</v>
      </c>
      <c r="T948" t="s">
        <v>1000</v>
      </c>
      <c r="U948" t="s">
        <v>818</v>
      </c>
      <c r="V948" t="s">
        <v>857</v>
      </c>
      <c r="W948" t="s">
        <v>3397</v>
      </c>
      <c r="AC948" t="s">
        <v>1057</v>
      </c>
      <c r="AD948" t="s">
        <v>19</v>
      </c>
      <c r="AE948" t="s">
        <v>18</v>
      </c>
      <c r="AF948" t="s">
        <v>3055</v>
      </c>
    </row>
    <row r="949" spans="1:32">
      <c r="A949" t="s">
        <v>6644</v>
      </c>
      <c r="B949" t="s">
        <v>1000</v>
      </c>
      <c r="C949" t="s">
        <v>818</v>
      </c>
      <c r="E949" t="s">
        <v>18</v>
      </c>
      <c r="F949" t="s">
        <v>3402</v>
      </c>
      <c r="M949" t="s">
        <v>4741</v>
      </c>
      <c r="N949" t="s">
        <v>1056</v>
      </c>
      <c r="O949" t="s">
        <v>18</v>
      </c>
      <c r="P949" t="s">
        <v>3143</v>
      </c>
      <c r="T949" t="s">
        <v>1000</v>
      </c>
      <c r="U949" t="s">
        <v>818</v>
      </c>
      <c r="V949" t="s">
        <v>18</v>
      </c>
      <c r="W949" t="s">
        <v>3397</v>
      </c>
      <c r="AC949" t="s">
        <v>1057</v>
      </c>
      <c r="AD949" t="s">
        <v>19</v>
      </c>
      <c r="AE949" t="s">
        <v>18</v>
      </c>
      <c r="AF949" t="s">
        <v>3049</v>
      </c>
    </row>
    <row r="950" spans="1:32">
      <c r="A950" t="s">
        <v>5341</v>
      </c>
      <c r="B950" t="s">
        <v>1000</v>
      </c>
      <c r="C950" t="s">
        <v>19</v>
      </c>
      <c r="D950" t="s">
        <v>3397</v>
      </c>
      <c r="E950" t="s">
        <v>18</v>
      </c>
      <c r="F950" t="s">
        <v>3404</v>
      </c>
      <c r="M950" t="s">
        <v>4741</v>
      </c>
      <c r="N950" t="s">
        <v>1056</v>
      </c>
      <c r="O950" t="s">
        <v>18</v>
      </c>
      <c r="P950" t="s">
        <v>3142</v>
      </c>
      <c r="T950" t="s">
        <v>1000</v>
      </c>
      <c r="U950" t="s">
        <v>19</v>
      </c>
      <c r="V950" t="s">
        <v>18</v>
      </c>
      <c r="W950" t="s">
        <v>857</v>
      </c>
      <c r="AC950" t="s">
        <v>1057</v>
      </c>
      <c r="AD950" t="s">
        <v>2416</v>
      </c>
      <c r="AE950" t="s">
        <v>18</v>
      </c>
      <c r="AF950" t="s">
        <v>3055</v>
      </c>
    </row>
    <row r="951" spans="1:32">
      <c r="A951" t="s">
        <v>5341</v>
      </c>
      <c r="B951" t="s">
        <v>1000</v>
      </c>
      <c r="C951" t="s">
        <v>19</v>
      </c>
      <c r="D951" t="s">
        <v>3397</v>
      </c>
      <c r="E951" t="s">
        <v>18</v>
      </c>
      <c r="F951" t="s">
        <v>3400</v>
      </c>
      <c r="M951" t="s">
        <v>4741</v>
      </c>
      <c r="N951" t="s">
        <v>1056</v>
      </c>
      <c r="O951" t="s">
        <v>18</v>
      </c>
      <c r="P951" t="s">
        <v>3141</v>
      </c>
      <c r="T951" t="s">
        <v>1000</v>
      </c>
      <c r="U951" t="s">
        <v>19</v>
      </c>
      <c r="V951" t="s">
        <v>18</v>
      </c>
      <c r="W951" t="s">
        <v>857</v>
      </c>
      <c r="AC951" t="s">
        <v>1057</v>
      </c>
      <c r="AD951" t="s">
        <v>816</v>
      </c>
      <c r="AE951" t="s">
        <v>857</v>
      </c>
      <c r="AF951" t="s">
        <v>3053</v>
      </c>
    </row>
    <row r="952" spans="1:32">
      <c r="A952" t="s">
        <v>6646</v>
      </c>
      <c r="B952" t="s">
        <v>1000</v>
      </c>
      <c r="C952" t="s">
        <v>19</v>
      </c>
      <c r="E952" t="s">
        <v>18</v>
      </c>
      <c r="F952" t="s">
        <v>3411</v>
      </c>
      <c r="M952" t="s">
        <v>4741</v>
      </c>
      <c r="N952" t="s">
        <v>1056</v>
      </c>
      <c r="O952" t="s">
        <v>18</v>
      </c>
      <c r="P952" t="s">
        <v>3140</v>
      </c>
      <c r="T952" t="s">
        <v>1000</v>
      </c>
      <c r="U952" t="s">
        <v>19</v>
      </c>
      <c r="V952" t="s">
        <v>18</v>
      </c>
      <c r="W952" t="s">
        <v>857</v>
      </c>
      <c r="AC952" t="s">
        <v>1057</v>
      </c>
      <c r="AD952" t="s">
        <v>816</v>
      </c>
      <c r="AE952" t="s">
        <v>18</v>
      </c>
      <c r="AF952" t="s">
        <v>857</v>
      </c>
    </row>
    <row r="953" spans="1:32">
      <c r="A953" t="s">
        <v>6646</v>
      </c>
      <c r="B953" t="s">
        <v>1000</v>
      </c>
      <c r="C953" t="s">
        <v>19</v>
      </c>
      <c r="E953" t="s">
        <v>18</v>
      </c>
      <c r="F953" t="s">
        <v>3408</v>
      </c>
      <c r="M953" t="s">
        <v>4741</v>
      </c>
      <c r="N953" t="s">
        <v>1056</v>
      </c>
      <c r="O953" t="s">
        <v>18</v>
      </c>
      <c r="P953" t="s">
        <v>3139</v>
      </c>
      <c r="T953" t="s">
        <v>1000</v>
      </c>
      <c r="U953" t="s">
        <v>19</v>
      </c>
      <c r="V953" t="s">
        <v>18</v>
      </c>
      <c r="W953" t="s">
        <v>3397</v>
      </c>
      <c r="AC953" t="s">
        <v>1057</v>
      </c>
      <c r="AD953" t="s">
        <v>816</v>
      </c>
      <c r="AE953" t="s">
        <v>18</v>
      </c>
      <c r="AF953" t="s">
        <v>3053</v>
      </c>
    </row>
    <row r="954" spans="1:32">
      <c r="A954" t="s">
        <v>6646</v>
      </c>
      <c r="B954" t="s">
        <v>1000</v>
      </c>
      <c r="C954" t="s">
        <v>19</v>
      </c>
      <c r="E954" t="s">
        <v>18</v>
      </c>
      <c r="F954" t="s">
        <v>3406</v>
      </c>
      <c r="M954" t="s">
        <v>4741</v>
      </c>
      <c r="N954" t="s">
        <v>1056</v>
      </c>
      <c r="O954" t="s">
        <v>18</v>
      </c>
      <c r="P954" t="s">
        <v>3137</v>
      </c>
      <c r="T954" t="s">
        <v>1000</v>
      </c>
      <c r="U954" t="s">
        <v>19</v>
      </c>
      <c r="V954" t="s">
        <v>18</v>
      </c>
      <c r="W954" t="s">
        <v>3397</v>
      </c>
      <c r="AC954" t="s">
        <v>1057</v>
      </c>
      <c r="AD954" t="s">
        <v>816</v>
      </c>
      <c r="AE954" t="s">
        <v>18</v>
      </c>
      <c r="AF954" t="s">
        <v>3051</v>
      </c>
    </row>
    <row r="955" spans="1:32">
      <c r="A955" t="s">
        <v>5343</v>
      </c>
      <c r="B955" t="s">
        <v>1000</v>
      </c>
      <c r="C955" t="s">
        <v>2384</v>
      </c>
      <c r="F955" t="s">
        <v>3877</v>
      </c>
      <c r="M955" t="s">
        <v>4741</v>
      </c>
      <c r="N955" t="s">
        <v>1056</v>
      </c>
      <c r="O955" t="s">
        <v>18</v>
      </c>
      <c r="P955" t="s">
        <v>3135</v>
      </c>
      <c r="T955" t="s">
        <v>1000</v>
      </c>
      <c r="U955" t="s">
        <v>2384</v>
      </c>
      <c r="V955" t="s">
        <v>857</v>
      </c>
      <c r="W955" t="s">
        <v>857</v>
      </c>
      <c r="AC955" t="s">
        <v>1057</v>
      </c>
      <c r="AD955" t="s">
        <v>816</v>
      </c>
      <c r="AE955" t="s">
        <v>18</v>
      </c>
      <c r="AF955" t="s">
        <v>3049</v>
      </c>
    </row>
    <row r="956" spans="1:32">
      <c r="A956" t="s">
        <v>5344</v>
      </c>
      <c r="B956" t="s">
        <v>1000</v>
      </c>
      <c r="C956" t="s">
        <v>2416</v>
      </c>
      <c r="D956" t="s">
        <v>3397</v>
      </c>
      <c r="E956" t="s">
        <v>18</v>
      </c>
      <c r="F956" t="s">
        <v>3399</v>
      </c>
      <c r="M956" t="s">
        <v>4741</v>
      </c>
      <c r="N956" t="s">
        <v>1056</v>
      </c>
      <c r="O956" t="s">
        <v>18</v>
      </c>
      <c r="P956" t="s">
        <v>3133</v>
      </c>
      <c r="T956" t="s">
        <v>1000</v>
      </c>
      <c r="U956" t="s">
        <v>2416</v>
      </c>
      <c r="V956" t="s">
        <v>18</v>
      </c>
      <c r="W956" t="s">
        <v>3397</v>
      </c>
      <c r="AC956" t="s">
        <v>1058</v>
      </c>
      <c r="AD956" t="s">
        <v>818</v>
      </c>
      <c r="AE956" t="s">
        <v>18</v>
      </c>
      <c r="AF956" t="s">
        <v>2366</v>
      </c>
    </row>
    <row r="957" spans="1:32">
      <c r="A957" t="s">
        <v>5346</v>
      </c>
      <c r="B957" t="s">
        <v>1000</v>
      </c>
      <c r="C957" t="s">
        <v>816</v>
      </c>
      <c r="D957" t="s">
        <v>3397</v>
      </c>
      <c r="E957" t="s">
        <v>18</v>
      </c>
      <c r="F957" t="s">
        <v>3398</v>
      </c>
      <c r="M957" t="s">
        <v>4741</v>
      </c>
      <c r="N957" t="s">
        <v>1056</v>
      </c>
      <c r="O957" t="s">
        <v>18</v>
      </c>
      <c r="P957" t="s">
        <v>3132</v>
      </c>
      <c r="T957" t="s">
        <v>1000</v>
      </c>
      <c r="U957" t="s">
        <v>816</v>
      </c>
      <c r="V957" t="s">
        <v>18</v>
      </c>
      <c r="W957" t="s">
        <v>857</v>
      </c>
      <c r="AC957" t="s">
        <v>1058</v>
      </c>
      <c r="AD957" t="s">
        <v>816</v>
      </c>
      <c r="AE957" t="s">
        <v>18</v>
      </c>
      <c r="AF957" t="s">
        <v>2366</v>
      </c>
    </row>
    <row r="958" spans="1:32">
      <c r="A958" t="s">
        <v>6648</v>
      </c>
      <c r="B958" t="s">
        <v>1000</v>
      </c>
      <c r="C958" t="s">
        <v>816</v>
      </c>
      <c r="D958" t="s">
        <v>3397</v>
      </c>
      <c r="F958" t="s">
        <v>4214</v>
      </c>
      <c r="M958" t="s">
        <v>4741</v>
      </c>
      <c r="N958" t="s">
        <v>1056</v>
      </c>
      <c r="O958" t="s">
        <v>18</v>
      </c>
      <c r="P958" t="s">
        <v>3131</v>
      </c>
      <c r="T958" t="s">
        <v>1000</v>
      </c>
      <c r="U958" t="s">
        <v>816</v>
      </c>
      <c r="V958" t="s">
        <v>18</v>
      </c>
      <c r="W958" t="s">
        <v>857</v>
      </c>
      <c r="AC958" t="s">
        <v>1059</v>
      </c>
      <c r="AD958" t="s">
        <v>818</v>
      </c>
      <c r="AE958" t="s">
        <v>18</v>
      </c>
      <c r="AF958" t="s">
        <v>3045</v>
      </c>
    </row>
    <row r="959" spans="1:32">
      <c r="A959" t="s">
        <v>6647</v>
      </c>
      <c r="B959" t="s">
        <v>1000</v>
      </c>
      <c r="C959" t="s">
        <v>816</v>
      </c>
      <c r="E959" t="s">
        <v>18</v>
      </c>
      <c r="F959" t="s">
        <v>3410</v>
      </c>
      <c r="M959" t="s">
        <v>4741</v>
      </c>
      <c r="N959" t="s">
        <v>1056</v>
      </c>
      <c r="O959" t="s">
        <v>18</v>
      </c>
      <c r="P959" t="s">
        <v>3130</v>
      </c>
      <c r="T959" t="s">
        <v>1000</v>
      </c>
      <c r="U959" t="s">
        <v>816</v>
      </c>
      <c r="V959" t="s">
        <v>18</v>
      </c>
      <c r="W959" t="s">
        <v>857</v>
      </c>
      <c r="AC959" t="s">
        <v>1059</v>
      </c>
      <c r="AD959" t="s">
        <v>2384</v>
      </c>
      <c r="AE959" t="s">
        <v>857</v>
      </c>
      <c r="AF959" t="s">
        <v>2366</v>
      </c>
    </row>
    <row r="960" spans="1:32">
      <c r="A960" t="s">
        <v>6647</v>
      </c>
      <c r="B960" t="s">
        <v>1000</v>
      </c>
      <c r="C960" t="s">
        <v>816</v>
      </c>
      <c r="E960" t="s">
        <v>18</v>
      </c>
      <c r="F960" t="s">
        <v>3407</v>
      </c>
      <c r="M960" t="s">
        <v>4741</v>
      </c>
      <c r="N960" t="s">
        <v>1056</v>
      </c>
      <c r="O960" t="s">
        <v>18</v>
      </c>
      <c r="P960" t="s">
        <v>3128</v>
      </c>
      <c r="T960" t="s">
        <v>1000</v>
      </c>
      <c r="U960" t="s">
        <v>816</v>
      </c>
      <c r="V960" t="s">
        <v>857</v>
      </c>
      <c r="W960" t="s">
        <v>3397</v>
      </c>
      <c r="AC960" t="s">
        <v>1059</v>
      </c>
      <c r="AD960" t="s">
        <v>2384</v>
      </c>
      <c r="AE960" t="s">
        <v>18</v>
      </c>
      <c r="AF960" t="s">
        <v>2366</v>
      </c>
    </row>
    <row r="961" spans="1:32">
      <c r="A961" t="s">
        <v>6647</v>
      </c>
      <c r="B961" t="s">
        <v>1000</v>
      </c>
      <c r="C961" t="s">
        <v>816</v>
      </c>
      <c r="E961" t="s">
        <v>18</v>
      </c>
      <c r="F961" t="s">
        <v>3403</v>
      </c>
      <c r="M961" t="s">
        <v>4741</v>
      </c>
      <c r="N961" t="s">
        <v>1056</v>
      </c>
      <c r="O961" t="s">
        <v>18</v>
      </c>
      <c r="P961" t="s">
        <v>3126</v>
      </c>
      <c r="T961" t="s">
        <v>1000</v>
      </c>
      <c r="U961" t="s">
        <v>816</v>
      </c>
      <c r="V961" t="s">
        <v>18</v>
      </c>
      <c r="W961" t="s">
        <v>3397</v>
      </c>
      <c r="AC961" t="s">
        <v>1059</v>
      </c>
      <c r="AD961" t="s">
        <v>816</v>
      </c>
      <c r="AE961" t="s">
        <v>18</v>
      </c>
      <c r="AF961" t="s">
        <v>857</v>
      </c>
    </row>
    <row r="962" spans="1:32">
      <c r="A962" t="s">
        <v>5349</v>
      </c>
      <c r="B962" t="s">
        <v>1001</v>
      </c>
      <c r="C962" t="s">
        <v>818</v>
      </c>
      <c r="D962" t="s">
        <v>3358</v>
      </c>
      <c r="E962" t="s">
        <v>18</v>
      </c>
      <c r="F962" t="s">
        <v>3366</v>
      </c>
      <c r="M962" t="s">
        <v>4741</v>
      </c>
      <c r="N962" t="s">
        <v>1056</v>
      </c>
      <c r="O962" t="s">
        <v>18</v>
      </c>
      <c r="P962" t="s">
        <v>3124</v>
      </c>
      <c r="T962" t="s">
        <v>1001</v>
      </c>
      <c r="U962" t="s">
        <v>818</v>
      </c>
      <c r="V962" t="s">
        <v>857</v>
      </c>
      <c r="W962" t="s">
        <v>857</v>
      </c>
      <c r="AC962" t="s">
        <v>1060</v>
      </c>
      <c r="AD962" t="s">
        <v>818</v>
      </c>
      <c r="AE962" t="s">
        <v>857</v>
      </c>
      <c r="AF962" t="s">
        <v>857</v>
      </c>
    </row>
    <row r="963" spans="1:32">
      <c r="A963" t="s">
        <v>5349</v>
      </c>
      <c r="B963" t="s">
        <v>1001</v>
      </c>
      <c r="C963" t="s">
        <v>818</v>
      </c>
      <c r="D963" t="s">
        <v>3358</v>
      </c>
      <c r="E963" t="s">
        <v>18</v>
      </c>
      <c r="F963" t="s">
        <v>3363</v>
      </c>
      <c r="M963" t="s">
        <v>4741</v>
      </c>
      <c r="N963" t="s">
        <v>1056</v>
      </c>
      <c r="O963" t="s">
        <v>18</v>
      </c>
      <c r="P963" t="s">
        <v>3122</v>
      </c>
      <c r="T963" t="s">
        <v>1001</v>
      </c>
      <c r="U963" t="s">
        <v>818</v>
      </c>
      <c r="V963" t="s">
        <v>18</v>
      </c>
      <c r="W963" t="s">
        <v>857</v>
      </c>
      <c r="AC963" t="s">
        <v>1060</v>
      </c>
      <c r="AD963" t="s">
        <v>818</v>
      </c>
      <c r="AE963" t="s">
        <v>18</v>
      </c>
      <c r="AF963" t="s">
        <v>857</v>
      </c>
    </row>
    <row r="964" spans="1:32">
      <c r="A964" t="s">
        <v>5349</v>
      </c>
      <c r="B964" t="s">
        <v>1001</v>
      </c>
      <c r="C964" t="s">
        <v>818</v>
      </c>
      <c r="D964" t="s">
        <v>3358</v>
      </c>
      <c r="E964" t="s">
        <v>18</v>
      </c>
      <c r="F964" t="s">
        <v>3359</v>
      </c>
      <c r="M964" t="s">
        <v>4741</v>
      </c>
      <c r="N964" t="s">
        <v>1056</v>
      </c>
      <c r="O964" t="s">
        <v>18</v>
      </c>
      <c r="P964" t="s">
        <v>3120</v>
      </c>
      <c r="T964" t="s">
        <v>1001</v>
      </c>
      <c r="U964" t="s">
        <v>818</v>
      </c>
      <c r="V964" t="s">
        <v>18</v>
      </c>
      <c r="W964" t="s">
        <v>857</v>
      </c>
      <c r="AC964" t="s">
        <v>1060</v>
      </c>
      <c r="AD964" t="s">
        <v>818</v>
      </c>
      <c r="AE964" t="s">
        <v>18</v>
      </c>
      <c r="AF964" t="s">
        <v>2998</v>
      </c>
    </row>
    <row r="965" spans="1:32">
      <c r="A965" t="s">
        <v>5350</v>
      </c>
      <c r="B965" t="s">
        <v>1001</v>
      </c>
      <c r="C965" t="s">
        <v>818</v>
      </c>
      <c r="D965" t="s">
        <v>3356</v>
      </c>
      <c r="E965" t="s">
        <v>18</v>
      </c>
      <c r="F965" t="s">
        <v>3357</v>
      </c>
      <c r="M965" t="s">
        <v>4794</v>
      </c>
      <c r="N965" t="s">
        <v>3281</v>
      </c>
      <c r="O965" t="s">
        <v>53</v>
      </c>
      <c r="P965" t="s">
        <v>3286</v>
      </c>
      <c r="T965" t="s">
        <v>1001</v>
      </c>
      <c r="U965" t="s">
        <v>818</v>
      </c>
      <c r="V965" t="s">
        <v>18</v>
      </c>
      <c r="W965" t="s">
        <v>857</v>
      </c>
      <c r="AC965" t="s">
        <v>1060</v>
      </c>
      <c r="AD965" t="s">
        <v>19</v>
      </c>
      <c r="AE965" t="s">
        <v>857</v>
      </c>
      <c r="AF965" t="s">
        <v>857</v>
      </c>
    </row>
    <row r="966" spans="1:32">
      <c r="A966" t="s">
        <v>6490</v>
      </c>
      <c r="B966" t="s">
        <v>1001</v>
      </c>
      <c r="C966" t="s">
        <v>818</v>
      </c>
      <c r="E966" t="s">
        <v>18</v>
      </c>
      <c r="F966" t="s">
        <v>3371</v>
      </c>
      <c r="M966" t="s">
        <v>4794</v>
      </c>
      <c r="N966" t="s">
        <v>3281</v>
      </c>
      <c r="O966" t="s">
        <v>53</v>
      </c>
      <c r="P966" t="s">
        <v>3283</v>
      </c>
      <c r="T966" t="s">
        <v>1001</v>
      </c>
      <c r="U966" t="s">
        <v>818</v>
      </c>
      <c r="V966" t="s">
        <v>18</v>
      </c>
      <c r="W966" t="s">
        <v>857</v>
      </c>
      <c r="AC966" t="s">
        <v>1060</v>
      </c>
      <c r="AD966" t="s">
        <v>19</v>
      </c>
      <c r="AE966" t="s">
        <v>857</v>
      </c>
      <c r="AF966" t="s">
        <v>2995</v>
      </c>
    </row>
    <row r="967" spans="1:32">
      <c r="A967" t="s">
        <v>6490</v>
      </c>
      <c r="B967" t="s">
        <v>1001</v>
      </c>
      <c r="C967" t="s">
        <v>818</v>
      </c>
      <c r="E967" t="s">
        <v>18</v>
      </c>
      <c r="F967" t="s">
        <v>3369</v>
      </c>
      <c r="M967" t="s">
        <v>4794</v>
      </c>
      <c r="N967" t="s">
        <v>3281</v>
      </c>
      <c r="O967" t="s">
        <v>53</v>
      </c>
      <c r="P967" t="s">
        <v>3282</v>
      </c>
      <c r="T967" t="s">
        <v>1001</v>
      </c>
      <c r="U967" t="s">
        <v>818</v>
      </c>
      <c r="V967" t="s">
        <v>18</v>
      </c>
      <c r="W967" t="s">
        <v>857</v>
      </c>
      <c r="AC967" t="s">
        <v>1060</v>
      </c>
      <c r="AD967" t="s">
        <v>19</v>
      </c>
      <c r="AE967" t="s">
        <v>18</v>
      </c>
      <c r="AF967" t="s">
        <v>857</v>
      </c>
    </row>
    <row r="968" spans="1:32">
      <c r="A968" t="s">
        <v>6490</v>
      </c>
      <c r="B968" t="s">
        <v>1001</v>
      </c>
      <c r="C968" t="s">
        <v>818</v>
      </c>
      <c r="E968" t="s">
        <v>18</v>
      </c>
      <c r="F968" t="s">
        <v>3367</v>
      </c>
      <c r="M968" t="s">
        <v>4795</v>
      </c>
      <c r="N968" t="s">
        <v>3281</v>
      </c>
      <c r="O968" t="s">
        <v>18</v>
      </c>
      <c r="P968" t="s">
        <v>3285</v>
      </c>
      <c r="T968" t="s">
        <v>1001</v>
      </c>
      <c r="U968" t="s">
        <v>818</v>
      </c>
      <c r="V968" t="s">
        <v>18</v>
      </c>
      <c r="W968" t="s">
        <v>3358</v>
      </c>
      <c r="AC968" t="s">
        <v>1060</v>
      </c>
      <c r="AD968" t="s">
        <v>19</v>
      </c>
      <c r="AE968" t="s">
        <v>18</v>
      </c>
      <c r="AF968" t="s">
        <v>2581</v>
      </c>
    </row>
    <row r="969" spans="1:32">
      <c r="A969" t="s">
        <v>6490</v>
      </c>
      <c r="B969" t="s">
        <v>1001</v>
      </c>
      <c r="C969" t="s">
        <v>818</v>
      </c>
      <c r="E969" t="s">
        <v>18</v>
      </c>
      <c r="F969" t="s">
        <v>3365</v>
      </c>
      <c r="M969" t="s">
        <v>4795</v>
      </c>
      <c r="N969" t="s">
        <v>3281</v>
      </c>
      <c r="O969" t="s">
        <v>18</v>
      </c>
      <c r="P969" t="s">
        <v>3284</v>
      </c>
      <c r="T969" t="s">
        <v>1001</v>
      </c>
      <c r="U969" t="s">
        <v>818</v>
      </c>
      <c r="V969" t="s">
        <v>18</v>
      </c>
      <c r="W969" t="s">
        <v>3358</v>
      </c>
      <c r="AC969" t="s">
        <v>1060</v>
      </c>
      <c r="AD969" t="s">
        <v>19</v>
      </c>
      <c r="AE969" t="s">
        <v>18</v>
      </c>
      <c r="AF969" t="s">
        <v>2995</v>
      </c>
    </row>
    <row r="970" spans="1:32">
      <c r="A970" t="s">
        <v>6490</v>
      </c>
      <c r="B970" t="s">
        <v>1001</v>
      </c>
      <c r="C970" t="s">
        <v>818</v>
      </c>
      <c r="E970" t="s">
        <v>18</v>
      </c>
      <c r="F970" t="s">
        <v>3362</v>
      </c>
      <c r="M970" t="s">
        <v>4742</v>
      </c>
      <c r="N970" t="s">
        <v>2856</v>
      </c>
      <c r="O970" t="s">
        <v>18</v>
      </c>
      <c r="P970" t="s">
        <v>3181</v>
      </c>
      <c r="T970" t="s">
        <v>1001</v>
      </c>
      <c r="U970" t="s">
        <v>818</v>
      </c>
      <c r="V970" t="s">
        <v>18</v>
      </c>
      <c r="W970" t="s">
        <v>3358</v>
      </c>
      <c r="AC970" t="s">
        <v>1060</v>
      </c>
      <c r="AD970" t="s">
        <v>2384</v>
      </c>
      <c r="AE970" t="s">
        <v>857</v>
      </c>
      <c r="AF970" t="s">
        <v>857</v>
      </c>
    </row>
    <row r="971" spans="1:32">
      <c r="A971" t="s">
        <v>5348</v>
      </c>
      <c r="B971" t="s">
        <v>1001</v>
      </c>
      <c r="C971" t="s">
        <v>818</v>
      </c>
      <c r="F971" t="s">
        <v>3896</v>
      </c>
      <c r="M971" t="s">
        <v>4742</v>
      </c>
      <c r="N971" t="s">
        <v>2856</v>
      </c>
      <c r="O971" t="s">
        <v>18</v>
      </c>
      <c r="P971" t="s">
        <v>3180</v>
      </c>
      <c r="T971" t="s">
        <v>1001</v>
      </c>
      <c r="U971" t="s">
        <v>818</v>
      </c>
      <c r="V971" t="s">
        <v>18</v>
      </c>
      <c r="W971" t="s">
        <v>3356</v>
      </c>
      <c r="AC971" t="s">
        <v>1060</v>
      </c>
      <c r="AD971" t="s">
        <v>2384</v>
      </c>
      <c r="AE971" t="s">
        <v>857</v>
      </c>
      <c r="AF971" t="s">
        <v>2998</v>
      </c>
    </row>
    <row r="972" spans="1:32">
      <c r="A972" t="s">
        <v>5352</v>
      </c>
      <c r="B972" t="s">
        <v>1001</v>
      </c>
      <c r="C972" t="s">
        <v>2384</v>
      </c>
      <c r="D972" t="s">
        <v>3358</v>
      </c>
      <c r="E972" t="s">
        <v>18</v>
      </c>
      <c r="F972" t="s">
        <v>3361</v>
      </c>
      <c r="M972" t="s">
        <v>4742</v>
      </c>
      <c r="N972" t="s">
        <v>2856</v>
      </c>
      <c r="O972" t="s">
        <v>18</v>
      </c>
      <c r="P972" t="s">
        <v>2974</v>
      </c>
      <c r="T972" t="s">
        <v>1001</v>
      </c>
      <c r="U972" t="s">
        <v>2384</v>
      </c>
      <c r="V972" t="s">
        <v>18</v>
      </c>
      <c r="W972" t="s">
        <v>3358</v>
      </c>
      <c r="AC972" t="s">
        <v>1060</v>
      </c>
      <c r="AD972" t="s">
        <v>2384</v>
      </c>
      <c r="AE972" t="s">
        <v>857</v>
      </c>
      <c r="AF972" t="s">
        <v>2993</v>
      </c>
    </row>
    <row r="973" spans="1:32">
      <c r="A973" t="s">
        <v>5353</v>
      </c>
      <c r="B973" t="s">
        <v>1001</v>
      </c>
      <c r="C973" t="s">
        <v>2384</v>
      </c>
      <c r="D973" t="s">
        <v>3356</v>
      </c>
      <c r="E973" t="s">
        <v>18</v>
      </c>
      <c r="F973" t="s">
        <v>3360</v>
      </c>
      <c r="M973" t="s">
        <v>4742</v>
      </c>
      <c r="N973" t="s">
        <v>2856</v>
      </c>
      <c r="O973" t="s">
        <v>18</v>
      </c>
      <c r="P973" t="s">
        <v>2862</v>
      </c>
      <c r="T973" t="s">
        <v>1001</v>
      </c>
      <c r="U973" t="s">
        <v>2384</v>
      </c>
      <c r="V973" t="s">
        <v>857</v>
      </c>
      <c r="W973" t="s">
        <v>3356</v>
      </c>
      <c r="AC973" t="s">
        <v>1060</v>
      </c>
      <c r="AD973" t="s">
        <v>816</v>
      </c>
      <c r="AE973" t="s">
        <v>18</v>
      </c>
      <c r="AF973" t="s">
        <v>857</v>
      </c>
    </row>
    <row r="974" spans="1:32">
      <c r="A974" t="s">
        <v>6491</v>
      </c>
      <c r="B974" t="s">
        <v>1001</v>
      </c>
      <c r="C974" t="s">
        <v>2384</v>
      </c>
      <c r="D974" t="s">
        <v>3356</v>
      </c>
      <c r="F974" t="s">
        <v>4085</v>
      </c>
      <c r="M974" t="s">
        <v>4742</v>
      </c>
      <c r="N974" t="s">
        <v>2856</v>
      </c>
      <c r="O974" t="s">
        <v>18</v>
      </c>
      <c r="P974" t="s">
        <v>2861</v>
      </c>
      <c r="T974" t="s">
        <v>1001</v>
      </c>
      <c r="U974" t="s">
        <v>2384</v>
      </c>
      <c r="V974" t="s">
        <v>18</v>
      </c>
      <c r="W974" t="s">
        <v>3356</v>
      </c>
      <c r="AC974" t="s">
        <v>1060</v>
      </c>
      <c r="AD974" t="s">
        <v>816</v>
      </c>
      <c r="AE974" t="s">
        <v>18</v>
      </c>
      <c r="AF974" t="s">
        <v>2993</v>
      </c>
    </row>
    <row r="975" spans="1:32">
      <c r="A975" t="s">
        <v>5355</v>
      </c>
      <c r="B975" t="s">
        <v>1001</v>
      </c>
      <c r="C975" t="s">
        <v>816</v>
      </c>
      <c r="D975" t="s">
        <v>3358</v>
      </c>
      <c r="E975" t="s">
        <v>18</v>
      </c>
      <c r="F975" t="s">
        <v>3364</v>
      </c>
      <c r="M975" t="s">
        <v>4742</v>
      </c>
      <c r="N975" t="s">
        <v>2856</v>
      </c>
      <c r="O975" t="s">
        <v>18</v>
      </c>
      <c r="P975" t="s">
        <v>2860</v>
      </c>
      <c r="T975" t="s">
        <v>1001</v>
      </c>
      <c r="U975" t="s">
        <v>816</v>
      </c>
      <c r="V975" t="s">
        <v>18</v>
      </c>
      <c r="W975" t="s">
        <v>857</v>
      </c>
      <c r="AC975" t="s">
        <v>1061</v>
      </c>
      <c r="AD975" t="s">
        <v>818</v>
      </c>
      <c r="AE975" t="s">
        <v>857</v>
      </c>
      <c r="AF975" t="s">
        <v>857</v>
      </c>
    </row>
    <row r="976" spans="1:32">
      <c r="A976" t="s">
        <v>6492</v>
      </c>
      <c r="B976" t="s">
        <v>1001</v>
      </c>
      <c r="C976" t="s">
        <v>816</v>
      </c>
      <c r="E976" t="s">
        <v>18</v>
      </c>
      <c r="F976" t="s">
        <v>3370</v>
      </c>
      <c r="M976" t="s">
        <v>4742</v>
      </c>
      <c r="N976" t="s">
        <v>2856</v>
      </c>
      <c r="O976" t="s">
        <v>18</v>
      </c>
      <c r="P976" t="s">
        <v>2859</v>
      </c>
      <c r="T976" t="s">
        <v>1001</v>
      </c>
      <c r="U976" t="s">
        <v>816</v>
      </c>
      <c r="V976" t="s">
        <v>18</v>
      </c>
      <c r="W976" t="s">
        <v>857</v>
      </c>
      <c r="AC976" t="s">
        <v>1061</v>
      </c>
      <c r="AD976" t="s">
        <v>818</v>
      </c>
      <c r="AE976" t="s">
        <v>857</v>
      </c>
      <c r="AF976" t="s">
        <v>2981</v>
      </c>
    </row>
    <row r="977" spans="1:32">
      <c r="A977" t="s">
        <v>6492</v>
      </c>
      <c r="B977" t="s">
        <v>1001</v>
      </c>
      <c r="C977" t="s">
        <v>816</v>
      </c>
      <c r="E977" t="s">
        <v>18</v>
      </c>
      <c r="F977" t="s">
        <v>3368</v>
      </c>
      <c r="M977" t="s">
        <v>4742</v>
      </c>
      <c r="N977" t="s">
        <v>2856</v>
      </c>
      <c r="O977" t="s">
        <v>18</v>
      </c>
      <c r="P977" t="s">
        <v>2858</v>
      </c>
      <c r="T977" t="s">
        <v>1001</v>
      </c>
      <c r="U977" t="s">
        <v>816</v>
      </c>
      <c r="V977" t="s">
        <v>18</v>
      </c>
      <c r="W977" t="s">
        <v>3358</v>
      </c>
      <c r="AC977" t="s">
        <v>1061</v>
      </c>
      <c r="AD977" t="s">
        <v>818</v>
      </c>
      <c r="AE977" t="s">
        <v>53</v>
      </c>
      <c r="AF977" t="s">
        <v>2981</v>
      </c>
    </row>
    <row r="978" spans="1:32">
      <c r="A978" t="s">
        <v>5357</v>
      </c>
      <c r="B978" t="s">
        <v>1002</v>
      </c>
      <c r="C978" t="s">
        <v>818</v>
      </c>
      <c r="D978" t="s">
        <v>857</v>
      </c>
      <c r="E978" t="s">
        <v>857</v>
      </c>
      <c r="F978" t="s">
        <v>4165</v>
      </c>
      <c r="M978" t="s">
        <v>4742</v>
      </c>
      <c r="N978" t="s">
        <v>2856</v>
      </c>
      <c r="O978" t="s">
        <v>18</v>
      </c>
      <c r="P978" t="s">
        <v>2857</v>
      </c>
      <c r="T978" t="s">
        <v>1002</v>
      </c>
      <c r="U978" t="s">
        <v>818</v>
      </c>
      <c r="V978" t="s">
        <v>857</v>
      </c>
      <c r="W978" t="s">
        <v>857</v>
      </c>
      <c r="AC978" t="s">
        <v>1061</v>
      </c>
      <c r="AD978" t="s">
        <v>818</v>
      </c>
      <c r="AE978" t="s">
        <v>18</v>
      </c>
      <c r="AF978" t="s">
        <v>857</v>
      </c>
    </row>
    <row r="979" spans="1:32">
      <c r="A979" t="s">
        <v>5358</v>
      </c>
      <c r="B979" t="s">
        <v>1002</v>
      </c>
      <c r="C979" t="s">
        <v>818</v>
      </c>
      <c r="D979" t="s">
        <v>857</v>
      </c>
      <c r="E979" t="s">
        <v>18</v>
      </c>
      <c r="F979" t="s">
        <v>3396</v>
      </c>
      <c r="M979" t="s">
        <v>4743</v>
      </c>
      <c r="N979" t="s">
        <v>1057</v>
      </c>
      <c r="O979" t="s">
        <v>18</v>
      </c>
      <c r="P979" t="s">
        <v>3074</v>
      </c>
      <c r="T979" t="s">
        <v>1002</v>
      </c>
      <c r="U979" t="s">
        <v>818</v>
      </c>
      <c r="V979" t="s">
        <v>18</v>
      </c>
      <c r="W979" t="s">
        <v>857</v>
      </c>
      <c r="AC979" t="s">
        <v>1061</v>
      </c>
      <c r="AD979" t="s">
        <v>818</v>
      </c>
      <c r="AE979" t="s">
        <v>18</v>
      </c>
      <c r="AF979" t="s">
        <v>2981</v>
      </c>
    </row>
    <row r="980" spans="1:32">
      <c r="A980" t="s">
        <v>5358</v>
      </c>
      <c r="B980" t="s">
        <v>1002</v>
      </c>
      <c r="C980" t="s">
        <v>818</v>
      </c>
      <c r="D980" t="s">
        <v>857</v>
      </c>
      <c r="E980" t="s">
        <v>18</v>
      </c>
      <c r="F980" t="s">
        <v>3393</v>
      </c>
      <c r="M980" t="s">
        <v>4743</v>
      </c>
      <c r="N980" t="s">
        <v>1057</v>
      </c>
      <c r="O980" t="s">
        <v>18</v>
      </c>
      <c r="P980" t="s">
        <v>3073</v>
      </c>
      <c r="T980" t="s">
        <v>1002</v>
      </c>
      <c r="U980" t="s">
        <v>818</v>
      </c>
      <c r="V980" t="s">
        <v>18</v>
      </c>
      <c r="W980" t="s">
        <v>857</v>
      </c>
      <c r="AC980" t="s">
        <v>1061</v>
      </c>
      <c r="AD980" t="s">
        <v>19</v>
      </c>
      <c r="AE980" t="s">
        <v>18</v>
      </c>
      <c r="AF980" t="s">
        <v>2863</v>
      </c>
    </row>
    <row r="981" spans="1:32">
      <c r="A981" t="s">
        <v>5359</v>
      </c>
      <c r="B981" t="s">
        <v>1002</v>
      </c>
      <c r="C981" t="s">
        <v>818</v>
      </c>
      <c r="D981" t="s">
        <v>3384</v>
      </c>
      <c r="E981" t="s">
        <v>18</v>
      </c>
      <c r="F981" t="s">
        <v>3390</v>
      </c>
      <c r="M981" t="s">
        <v>4743</v>
      </c>
      <c r="N981" t="s">
        <v>1057</v>
      </c>
      <c r="O981" t="s">
        <v>18</v>
      </c>
      <c r="P981" t="s">
        <v>3072</v>
      </c>
      <c r="T981" t="s">
        <v>1002</v>
      </c>
      <c r="U981" t="s">
        <v>818</v>
      </c>
      <c r="V981" t="s">
        <v>18</v>
      </c>
      <c r="W981" t="s">
        <v>3384</v>
      </c>
      <c r="AC981" t="s">
        <v>1061</v>
      </c>
      <c r="AD981" t="s">
        <v>2416</v>
      </c>
      <c r="AE981" t="s">
        <v>18</v>
      </c>
      <c r="AF981" t="s">
        <v>2981</v>
      </c>
    </row>
    <row r="982" spans="1:32">
      <c r="A982" t="s">
        <v>5360</v>
      </c>
      <c r="B982" t="s">
        <v>1002</v>
      </c>
      <c r="C982" t="s">
        <v>818</v>
      </c>
      <c r="D982" t="s">
        <v>2581</v>
      </c>
      <c r="E982" t="s">
        <v>18</v>
      </c>
      <c r="F982" t="s">
        <v>3388</v>
      </c>
      <c r="M982" t="s">
        <v>4743</v>
      </c>
      <c r="N982" t="s">
        <v>1057</v>
      </c>
      <c r="O982" t="s">
        <v>18</v>
      </c>
      <c r="P982" t="s">
        <v>3071</v>
      </c>
      <c r="T982" t="s">
        <v>1002</v>
      </c>
      <c r="U982" t="s">
        <v>818</v>
      </c>
      <c r="V982" t="s">
        <v>18</v>
      </c>
      <c r="W982" t="s">
        <v>2581</v>
      </c>
      <c r="AC982" t="s">
        <v>1061</v>
      </c>
      <c r="AD982" t="s">
        <v>816</v>
      </c>
      <c r="AE982" t="s">
        <v>857</v>
      </c>
      <c r="AF982" t="s">
        <v>2978</v>
      </c>
    </row>
    <row r="983" spans="1:32">
      <c r="A983" t="s">
        <v>5363</v>
      </c>
      <c r="B983" t="s">
        <v>1002</v>
      </c>
      <c r="C983" t="s">
        <v>19</v>
      </c>
      <c r="D983" t="s">
        <v>857</v>
      </c>
      <c r="E983" t="s">
        <v>18</v>
      </c>
      <c r="F983" t="s">
        <v>3394</v>
      </c>
      <c r="M983" t="s">
        <v>4743</v>
      </c>
      <c r="N983" t="s">
        <v>1057</v>
      </c>
      <c r="O983" t="s">
        <v>18</v>
      </c>
      <c r="P983" t="s">
        <v>3070</v>
      </c>
      <c r="T983" t="s">
        <v>1002</v>
      </c>
      <c r="U983" t="s">
        <v>19</v>
      </c>
      <c r="V983" t="s">
        <v>18</v>
      </c>
      <c r="W983" t="s">
        <v>857</v>
      </c>
      <c r="AC983" t="s">
        <v>1061</v>
      </c>
      <c r="AD983" t="s">
        <v>816</v>
      </c>
      <c r="AE983" t="s">
        <v>18</v>
      </c>
      <c r="AF983" t="s">
        <v>857</v>
      </c>
    </row>
    <row r="984" spans="1:32">
      <c r="A984" t="s">
        <v>5363</v>
      </c>
      <c r="B984" t="s">
        <v>1002</v>
      </c>
      <c r="C984" t="s">
        <v>19</v>
      </c>
      <c r="D984" t="s">
        <v>857</v>
      </c>
      <c r="E984" t="s">
        <v>18</v>
      </c>
      <c r="F984" t="s">
        <v>3392</v>
      </c>
      <c r="M984" t="s">
        <v>4743</v>
      </c>
      <c r="N984" t="s">
        <v>1057</v>
      </c>
      <c r="O984" t="s">
        <v>18</v>
      </c>
      <c r="P984" t="s">
        <v>3069</v>
      </c>
      <c r="T984" t="s">
        <v>1002</v>
      </c>
      <c r="U984" t="s">
        <v>19</v>
      </c>
      <c r="V984" t="s">
        <v>18</v>
      </c>
      <c r="W984" t="s">
        <v>857</v>
      </c>
      <c r="AC984" t="s">
        <v>1061</v>
      </c>
      <c r="AD984" t="s">
        <v>816</v>
      </c>
      <c r="AE984" t="s">
        <v>18</v>
      </c>
      <c r="AF984" t="s">
        <v>2978</v>
      </c>
    </row>
    <row r="985" spans="1:32">
      <c r="A985" t="s">
        <v>5364</v>
      </c>
      <c r="B985" t="s">
        <v>1002</v>
      </c>
      <c r="C985" t="s">
        <v>19</v>
      </c>
      <c r="D985" t="s">
        <v>3384</v>
      </c>
      <c r="E985" t="s">
        <v>18</v>
      </c>
      <c r="F985" t="s">
        <v>3387</v>
      </c>
      <c r="M985" t="s">
        <v>4743</v>
      </c>
      <c r="N985" t="s">
        <v>1057</v>
      </c>
      <c r="O985" t="s">
        <v>18</v>
      </c>
      <c r="P985" t="s">
        <v>3068</v>
      </c>
      <c r="T985" t="s">
        <v>1002</v>
      </c>
      <c r="U985" t="s">
        <v>19</v>
      </c>
      <c r="V985" t="s">
        <v>18</v>
      </c>
      <c r="W985" t="s">
        <v>3384</v>
      </c>
      <c r="AC985" t="s">
        <v>1062</v>
      </c>
      <c r="AD985" t="s">
        <v>818</v>
      </c>
      <c r="AE985" t="s">
        <v>857</v>
      </c>
      <c r="AF985" t="s">
        <v>3035</v>
      </c>
    </row>
    <row r="986" spans="1:32">
      <c r="A986" t="s">
        <v>5365</v>
      </c>
      <c r="B986" t="s">
        <v>1002</v>
      </c>
      <c r="C986" t="s">
        <v>19</v>
      </c>
      <c r="D986" t="s">
        <v>2636</v>
      </c>
      <c r="E986" t="s">
        <v>857</v>
      </c>
      <c r="F986" t="s">
        <v>3832</v>
      </c>
      <c r="M986" t="s">
        <v>4743</v>
      </c>
      <c r="N986" t="s">
        <v>1057</v>
      </c>
      <c r="O986" t="s">
        <v>18</v>
      </c>
      <c r="P986" t="s">
        <v>3067</v>
      </c>
      <c r="T986" t="s">
        <v>1002</v>
      </c>
      <c r="U986" t="s">
        <v>19</v>
      </c>
      <c r="V986" t="s">
        <v>857</v>
      </c>
      <c r="W986" t="s">
        <v>2636</v>
      </c>
      <c r="AC986" t="s">
        <v>1062</v>
      </c>
      <c r="AD986" t="s">
        <v>818</v>
      </c>
      <c r="AE986" t="s">
        <v>18</v>
      </c>
      <c r="AF986" t="s">
        <v>857</v>
      </c>
    </row>
    <row r="987" spans="1:32">
      <c r="A987" t="s">
        <v>5366</v>
      </c>
      <c r="B987" t="s">
        <v>1002</v>
      </c>
      <c r="C987" t="s">
        <v>19</v>
      </c>
      <c r="D987" t="s">
        <v>2636</v>
      </c>
      <c r="E987" t="s">
        <v>18</v>
      </c>
      <c r="F987" t="s">
        <v>3386</v>
      </c>
      <c r="M987" t="s">
        <v>4743</v>
      </c>
      <c r="N987" t="s">
        <v>1057</v>
      </c>
      <c r="O987" t="s">
        <v>18</v>
      </c>
      <c r="P987" t="s">
        <v>3066</v>
      </c>
      <c r="T987" t="s">
        <v>1002</v>
      </c>
      <c r="U987" t="s">
        <v>19</v>
      </c>
      <c r="V987" t="s">
        <v>18</v>
      </c>
      <c r="W987" t="s">
        <v>2636</v>
      </c>
      <c r="AC987" t="s">
        <v>1062</v>
      </c>
      <c r="AD987" t="s">
        <v>818</v>
      </c>
      <c r="AE987" t="s">
        <v>18</v>
      </c>
      <c r="AF987" t="s">
        <v>3035</v>
      </c>
    </row>
    <row r="988" spans="1:32">
      <c r="A988" t="s">
        <v>5369</v>
      </c>
      <c r="B988" t="s">
        <v>1002</v>
      </c>
      <c r="C988" t="s">
        <v>2384</v>
      </c>
      <c r="D988" t="s">
        <v>857</v>
      </c>
      <c r="E988" t="s">
        <v>857</v>
      </c>
      <c r="F988" t="s">
        <v>3885</v>
      </c>
      <c r="M988" t="s">
        <v>4743</v>
      </c>
      <c r="N988" t="s">
        <v>1057</v>
      </c>
      <c r="O988" t="s">
        <v>18</v>
      </c>
      <c r="P988" t="s">
        <v>3065</v>
      </c>
      <c r="T988" t="s">
        <v>1002</v>
      </c>
      <c r="U988" t="s">
        <v>2384</v>
      </c>
      <c r="V988" t="s">
        <v>857</v>
      </c>
      <c r="W988" t="s">
        <v>857</v>
      </c>
      <c r="AC988" t="s">
        <v>1062</v>
      </c>
      <c r="AD988" t="s">
        <v>818</v>
      </c>
      <c r="AE988" t="s">
        <v>18</v>
      </c>
      <c r="AF988" t="s">
        <v>3033</v>
      </c>
    </row>
    <row r="989" spans="1:32">
      <c r="A989" t="s">
        <v>5370</v>
      </c>
      <c r="B989" t="s">
        <v>1002</v>
      </c>
      <c r="C989" t="s">
        <v>2384</v>
      </c>
      <c r="D989" t="s">
        <v>3384</v>
      </c>
      <c r="E989" t="s">
        <v>18</v>
      </c>
      <c r="F989" t="s">
        <v>3389</v>
      </c>
      <c r="M989" t="s">
        <v>4743</v>
      </c>
      <c r="N989" t="s">
        <v>1057</v>
      </c>
      <c r="O989" t="s">
        <v>18</v>
      </c>
      <c r="P989" t="s">
        <v>3064</v>
      </c>
      <c r="T989" t="s">
        <v>1002</v>
      </c>
      <c r="U989" t="s">
        <v>2384</v>
      </c>
      <c r="V989" t="s">
        <v>18</v>
      </c>
      <c r="W989" t="s">
        <v>3384</v>
      </c>
      <c r="AC989" t="s">
        <v>1062</v>
      </c>
      <c r="AD989" t="s">
        <v>818</v>
      </c>
      <c r="AE989" t="s">
        <v>18</v>
      </c>
      <c r="AF989" t="s">
        <v>3031</v>
      </c>
    </row>
    <row r="990" spans="1:32">
      <c r="A990" t="s">
        <v>5371</v>
      </c>
      <c r="B990" t="s">
        <v>1002</v>
      </c>
      <c r="C990" t="s">
        <v>2384</v>
      </c>
      <c r="D990" t="s">
        <v>2581</v>
      </c>
      <c r="E990" t="s">
        <v>857</v>
      </c>
      <c r="F990" t="s">
        <v>4164</v>
      </c>
      <c r="M990" t="s">
        <v>4743</v>
      </c>
      <c r="N990" t="s">
        <v>1057</v>
      </c>
      <c r="O990" t="s">
        <v>18</v>
      </c>
      <c r="P990" t="s">
        <v>3063</v>
      </c>
      <c r="T990" t="s">
        <v>1002</v>
      </c>
      <c r="U990" t="s">
        <v>2384</v>
      </c>
      <c r="V990" t="s">
        <v>857</v>
      </c>
      <c r="W990" t="s">
        <v>2581</v>
      </c>
      <c r="AC990" t="s">
        <v>1062</v>
      </c>
      <c r="AD990" t="s">
        <v>816</v>
      </c>
      <c r="AE990" t="s">
        <v>857</v>
      </c>
      <c r="AF990" t="s">
        <v>3029</v>
      </c>
    </row>
    <row r="991" spans="1:32">
      <c r="A991" t="s">
        <v>5373</v>
      </c>
      <c r="B991" t="s">
        <v>1002</v>
      </c>
      <c r="C991" t="s">
        <v>816</v>
      </c>
      <c r="D991" t="s">
        <v>857</v>
      </c>
      <c r="E991" t="s">
        <v>18</v>
      </c>
      <c r="F991" t="s">
        <v>3395</v>
      </c>
      <c r="M991" t="s">
        <v>4743</v>
      </c>
      <c r="N991" t="s">
        <v>1057</v>
      </c>
      <c r="O991" t="s">
        <v>18</v>
      </c>
      <c r="P991" t="s">
        <v>3062</v>
      </c>
      <c r="T991" t="s">
        <v>1002</v>
      </c>
      <c r="U991" t="s">
        <v>816</v>
      </c>
      <c r="V991" t="s">
        <v>18</v>
      </c>
      <c r="W991" t="s">
        <v>857</v>
      </c>
      <c r="AC991" t="s">
        <v>1062</v>
      </c>
      <c r="AD991" t="s">
        <v>816</v>
      </c>
      <c r="AE991" t="s">
        <v>53</v>
      </c>
      <c r="AF991" t="s">
        <v>857</v>
      </c>
    </row>
    <row r="992" spans="1:32">
      <c r="A992" t="s">
        <v>5373</v>
      </c>
      <c r="B992" t="s">
        <v>1002</v>
      </c>
      <c r="C992" t="s">
        <v>816</v>
      </c>
      <c r="D992" t="s">
        <v>857</v>
      </c>
      <c r="E992" t="s">
        <v>18</v>
      </c>
      <c r="F992" t="s">
        <v>3391</v>
      </c>
      <c r="M992" t="s">
        <v>4743</v>
      </c>
      <c r="N992" t="s">
        <v>1057</v>
      </c>
      <c r="O992" t="s">
        <v>18</v>
      </c>
      <c r="P992" t="s">
        <v>3061</v>
      </c>
      <c r="T992" t="s">
        <v>1002</v>
      </c>
      <c r="U992" t="s">
        <v>816</v>
      </c>
      <c r="V992" t="s">
        <v>18</v>
      </c>
      <c r="W992" t="s">
        <v>857</v>
      </c>
      <c r="AC992" t="s">
        <v>1062</v>
      </c>
      <c r="AD992" t="s">
        <v>816</v>
      </c>
      <c r="AE992" t="s">
        <v>53</v>
      </c>
      <c r="AF992" t="s">
        <v>3033</v>
      </c>
    </row>
    <row r="993" spans="1:32">
      <c r="A993" t="s">
        <v>5374</v>
      </c>
      <c r="B993" t="s">
        <v>1002</v>
      </c>
      <c r="C993" t="s">
        <v>816</v>
      </c>
      <c r="D993" t="s">
        <v>3384</v>
      </c>
      <c r="E993" t="s">
        <v>18</v>
      </c>
      <c r="F993" t="s">
        <v>3385</v>
      </c>
      <c r="M993" t="s">
        <v>4743</v>
      </c>
      <c r="N993" t="s">
        <v>1057</v>
      </c>
      <c r="O993" t="s">
        <v>18</v>
      </c>
      <c r="P993" t="s">
        <v>3060</v>
      </c>
      <c r="T993" t="s">
        <v>1002</v>
      </c>
      <c r="U993" t="s">
        <v>816</v>
      </c>
      <c r="V993" t="s">
        <v>18</v>
      </c>
      <c r="W993" t="s">
        <v>3384</v>
      </c>
      <c r="AC993" t="s">
        <v>1062</v>
      </c>
      <c r="AD993" t="s">
        <v>816</v>
      </c>
      <c r="AE993" t="s">
        <v>18</v>
      </c>
      <c r="AF993" t="s">
        <v>857</v>
      </c>
    </row>
    <row r="994" spans="1:32">
      <c r="A994" t="s">
        <v>5377</v>
      </c>
      <c r="B994" t="s">
        <v>1005</v>
      </c>
      <c r="C994" t="s">
        <v>818</v>
      </c>
      <c r="D994" t="s">
        <v>857</v>
      </c>
      <c r="E994" t="s">
        <v>857</v>
      </c>
      <c r="F994" t="s">
        <v>3860</v>
      </c>
      <c r="M994" t="s">
        <v>4743</v>
      </c>
      <c r="N994" t="s">
        <v>1057</v>
      </c>
      <c r="O994" t="s">
        <v>18</v>
      </c>
      <c r="P994" t="s">
        <v>3058</v>
      </c>
      <c r="T994" t="s">
        <v>1005</v>
      </c>
      <c r="U994" t="s">
        <v>818</v>
      </c>
      <c r="V994" t="s">
        <v>857</v>
      </c>
      <c r="W994" t="s">
        <v>857</v>
      </c>
      <c r="AC994" t="s">
        <v>1062</v>
      </c>
      <c r="AD994" t="s">
        <v>816</v>
      </c>
      <c r="AE994" t="s">
        <v>18</v>
      </c>
      <c r="AF994" t="s">
        <v>3029</v>
      </c>
    </row>
    <row r="995" spans="1:32">
      <c r="A995" t="s">
        <v>5377</v>
      </c>
      <c r="B995" t="s">
        <v>1005</v>
      </c>
      <c r="C995" t="s">
        <v>818</v>
      </c>
      <c r="D995" t="s">
        <v>857</v>
      </c>
      <c r="E995" t="s">
        <v>857</v>
      </c>
      <c r="F995" t="s">
        <v>3835</v>
      </c>
      <c r="M995" t="s">
        <v>4743</v>
      </c>
      <c r="N995" t="s">
        <v>1057</v>
      </c>
      <c r="O995" t="s">
        <v>18</v>
      </c>
      <c r="P995" t="s">
        <v>3057</v>
      </c>
      <c r="T995" t="s">
        <v>1005</v>
      </c>
      <c r="U995" t="s">
        <v>818</v>
      </c>
      <c r="V995" t="s">
        <v>857</v>
      </c>
      <c r="W995" t="s">
        <v>857</v>
      </c>
      <c r="AC995" t="s">
        <v>1063</v>
      </c>
      <c r="AD995" t="s">
        <v>818</v>
      </c>
      <c r="AE995" t="s">
        <v>857</v>
      </c>
      <c r="AF995" t="s">
        <v>857</v>
      </c>
    </row>
    <row r="996" spans="1:32">
      <c r="A996" t="s">
        <v>5378</v>
      </c>
      <c r="B996" t="s">
        <v>1005</v>
      </c>
      <c r="C996" t="s">
        <v>818</v>
      </c>
      <c r="D996" t="s">
        <v>857</v>
      </c>
      <c r="E996" t="s">
        <v>18</v>
      </c>
      <c r="F996" t="s">
        <v>3319</v>
      </c>
      <c r="M996" t="s">
        <v>4743</v>
      </c>
      <c r="N996" t="s">
        <v>1057</v>
      </c>
      <c r="O996" t="s">
        <v>18</v>
      </c>
      <c r="P996" t="s">
        <v>3056</v>
      </c>
      <c r="T996" t="s">
        <v>1005</v>
      </c>
      <c r="U996" t="s">
        <v>818</v>
      </c>
      <c r="V996" t="s">
        <v>18</v>
      </c>
      <c r="W996" t="s">
        <v>857</v>
      </c>
      <c r="AC996" t="s">
        <v>1063</v>
      </c>
      <c r="AD996" t="s">
        <v>818</v>
      </c>
      <c r="AE996" t="s">
        <v>857</v>
      </c>
      <c r="AF996" t="s">
        <v>2559</v>
      </c>
    </row>
    <row r="997" spans="1:32">
      <c r="A997" t="s">
        <v>5378</v>
      </c>
      <c r="B997" t="s">
        <v>1005</v>
      </c>
      <c r="C997" t="s">
        <v>818</v>
      </c>
      <c r="D997" t="s">
        <v>857</v>
      </c>
      <c r="E997" t="s">
        <v>18</v>
      </c>
      <c r="F997" t="s">
        <v>3318</v>
      </c>
      <c r="M997" t="s">
        <v>4743</v>
      </c>
      <c r="N997" t="s">
        <v>1057</v>
      </c>
      <c r="O997" t="s">
        <v>18</v>
      </c>
      <c r="P997" t="s">
        <v>3054</v>
      </c>
      <c r="T997" t="s">
        <v>1005</v>
      </c>
      <c r="U997" t="s">
        <v>818</v>
      </c>
      <c r="V997" t="s">
        <v>18</v>
      </c>
      <c r="W997" t="s">
        <v>857</v>
      </c>
      <c r="AC997" t="s">
        <v>1063</v>
      </c>
      <c r="AD997" t="s">
        <v>818</v>
      </c>
      <c r="AE997" t="s">
        <v>18</v>
      </c>
      <c r="AF997" t="s">
        <v>857</v>
      </c>
    </row>
    <row r="998" spans="1:32">
      <c r="A998" t="s">
        <v>5378</v>
      </c>
      <c r="B998" t="s">
        <v>1005</v>
      </c>
      <c r="C998" t="s">
        <v>818</v>
      </c>
      <c r="D998" t="s">
        <v>857</v>
      </c>
      <c r="E998" t="s">
        <v>18</v>
      </c>
      <c r="F998" t="s">
        <v>3317</v>
      </c>
      <c r="M998" t="s">
        <v>4743</v>
      </c>
      <c r="N998" t="s">
        <v>1057</v>
      </c>
      <c r="O998" t="s">
        <v>18</v>
      </c>
      <c r="P998" t="s">
        <v>3052</v>
      </c>
      <c r="T998" t="s">
        <v>1005</v>
      </c>
      <c r="U998" t="s">
        <v>818</v>
      </c>
      <c r="V998" t="s">
        <v>18</v>
      </c>
      <c r="W998" t="s">
        <v>857</v>
      </c>
      <c r="AC998" t="s">
        <v>1063</v>
      </c>
      <c r="AD998" t="s">
        <v>818</v>
      </c>
      <c r="AE998" t="s">
        <v>18</v>
      </c>
      <c r="AF998" t="s">
        <v>3017</v>
      </c>
    </row>
    <row r="999" spans="1:32">
      <c r="A999" t="s">
        <v>5379</v>
      </c>
      <c r="B999" t="s">
        <v>1005</v>
      </c>
      <c r="C999" t="s">
        <v>818</v>
      </c>
      <c r="D999" t="s">
        <v>2581</v>
      </c>
      <c r="E999" t="s">
        <v>18</v>
      </c>
      <c r="F999" t="s">
        <v>3308</v>
      </c>
      <c r="M999" t="s">
        <v>4743</v>
      </c>
      <c r="N999" t="s">
        <v>1057</v>
      </c>
      <c r="O999" t="s">
        <v>18</v>
      </c>
      <c r="P999" t="s">
        <v>3050</v>
      </c>
      <c r="T999" t="s">
        <v>1005</v>
      </c>
      <c r="U999" t="s">
        <v>818</v>
      </c>
      <c r="V999" t="s">
        <v>18</v>
      </c>
      <c r="W999" t="s">
        <v>2581</v>
      </c>
      <c r="AC999" t="s">
        <v>1063</v>
      </c>
      <c r="AD999" t="s">
        <v>818</v>
      </c>
      <c r="AE999" t="s">
        <v>18</v>
      </c>
      <c r="AF999" t="s">
        <v>2559</v>
      </c>
    </row>
    <row r="1000" spans="1:32">
      <c r="A1000" t="s">
        <v>5379</v>
      </c>
      <c r="B1000" t="s">
        <v>1005</v>
      </c>
      <c r="C1000" t="s">
        <v>818</v>
      </c>
      <c r="D1000" t="s">
        <v>2581</v>
      </c>
      <c r="E1000" t="s">
        <v>18</v>
      </c>
      <c r="F1000" t="s">
        <v>3299</v>
      </c>
      <c r="M1000" t="s">
        <v>4743</v>
      </c>
      <c r="N1000" t="s">
        <v>1057</v>
      </c>
      <c r="O1000" t="s">
        <v>18</v>
      </c>
      <c r="P1000" t="s">
        <v>3011</v>
      </c>
      <c r="T1000" t="s">
        <v>1005</v>
      </c>
      <c r="U1000" t="s">
        <v>818</v>
      </c>
      <c r="V1000" t="s">
        <v>18</v>
      </c>
      <c r="W1000" t="s">
        <v>2581</v>
      </c>
      <c r="AC1000" t="s">
        <v>1063</v>
      </c>
      <c r="AD1000" t="s">
        <v>19</v>
      </c>
      <c r="AE1000" t="s">
        <v>857</v>
      </c>
      <c r="AF1000" t="s">
        <v>857</v>
      </c>
    </row>
    <row r="1001" spans="1:32">
      <c r="A1001" t="s">
        <v>6533</v>
      </c>
      <c r="B1001" t="s">
        <v>1005</v>
      </c>
      <c r="C1001" t="s">
        <v>818</v>
      </c>
      <c r="D1001" t="s">
        <v>3297</v>
      </c>
      <c r="E1001" t="s">
        <v>857</v>
      </c>
      <c r="F1001" t="s">
        <v>3823</v>
      </c>
      <c r="M1001" t="s">
        <v>4743</v>
      </c>
      <c r="N1001" t="s">
        <v>1057</v>
      </c>
      <c r="O1001" t="s">
        <v>18</v>
      </c>
      <c r="P1001" t="s">
        <v>3010</v>
      </c>
      <c r="T1001" t="s">
        <v>1005</v>
      </c>
      <c r="U1001" t="s">
        <v>818</v>
      </c>
      <c r="V1001" t="s">
        <v>857</v>
      </c>
      <c r="W1001" t="s">
        <v>3297</v>
      </c>
      <c r="AC1001" t="s">
        <v>1063</v>
      </c>
      <c r="AD1001" t="s">
        <v>19</v>
      </c>
      <c r="AE1001" t="s">
        <v>857</v>
      </c>
      <c r="AF1001" t="s">
        <v>3014</v>
      </c>
    </row>
    <row r="1002" spans="1:32">
      <c r="A1002" t="s">
        <v>6534</v>
      </c>
      <c r="B1002" t="s">
        <v>1005</v>
      </c>
      <c r="C1002" t="s">
        <v>818</v>
      </c>
      <c r="D1002" t="s">
        <v>3297</v>
      </c>
      <c r="E1002" t="s">
        <v>18</v>
      </c>
      <c r="F1002" t="s">
        <v>3309</v>
      </c>
      <c r="M1002" t="s">
        <v>4744</v>
      </c>
      <c r="N1002" t="s">
        <v>1058</v>
      </c>
      <c r="O1002" t="s">
        <v>18</v>
      </c>
      <c r="P1002" t="s">
        <v>2977</v>
      </c>
      <c r="T1002" t="s">
        <v>1005</v>
      </c>
      <c r="U1002" t="s">
        <v>818</v>
      </c>
      <c r="V1002" t="s">
        <v>18</v>
      </c>
      <c r="W1002" t="s">
        <v>3297</v>
      </c>
      <c r="AC1002" t="s">
        <v>1063</v>
      </c>
      <c r="AD1002" t="s">
        <v>19</v>
      </c>
      <c r="AE1002" t="s">
        <v>18</v>
      </c>
      <c r="AF1002" t="s">
        <v>857</v>
      </c>
    </row>
    <row r="1003" spans="1:32">
      <c r="A1003" t="s">
        <v>6534</v>
      </c>
      <c r="B1003" t="s">
        <v>1005</v>
      </c>
      <c r="C1003" t="s">
        <v>818</v>
      </c>
      <c r="D1003" t="s">
        <v>3297</v>
      </c>
      <c r="E1003" t="s">
        <v>18</v>
      </c>
      <c r="F1003" t="s">
        <v>3298</v>
      </c>
      <c r="M1003" t="s">
        <v>4744</v>
      </c>
      <c r="N1003" t="s">
        <v>1058</v>
      </c>
      <c r="O1003" t="s">
        <v>18</v>
      </c>
      <c r="P1003" t="s">
        <v>2976</v>
      </c>
      <c r="T1003" t="s">
        <v>1005</v>
      </c>
      <c r="U1003" t="s">
        <v>818</v>
      </c>
      <c r="V1003" t="s">
        <v>18</v>
      </c>
      <c r="W1003" t="s">
        <v>3297</v>
      </c>
      <c r="AC1003" t="s">
        <v>1063</v>
      </c>
      <c r="AD1003" t="s">
        <v>19</v>
      </c>
      <c r="AE1003" t="s">
        <v>18</v>
      </c>
      <c r="AF1003" t="s">
        <v>3014</v>
      </c>
    </row>
    <row r="1004" spans="1:32">
      <c r="A1004" t="s">
        <v>5382</v>
      </c>
      <c r="B1004" t="s">
        <v>1005</v>
      </c>
      <c r="C1004" t="s">
        <v>19</v>
      </c>
      <c r="D1004" t="s">
        <v>857</v>
      </c>
      <c r="E1004" t="s">
        <v>857</v>
      </c>
      <c r="F1004" t="s">
        <v>3993</v>
      </c>
      <c r="M1004" t="s">
        <v>4745</v>
      </c>
      <c r="N1004" t="s">
        <v>1059</v>
      </c>
      <c r="O1004" t="s">
        <v>18</v>
      </c>
      <c r="P1004" t="s">
        <v>3048</v>
      </c>
      <c r="T1004" t="s">
        <v>1005</v>
      </c>
      <c r="U1004" t="s">
        <v>19</v>
      </c>
      <c r="V1004" t="s">
        <v>857</v>
      </c>
      <c r="W1004" t="s">
        <v>857</v>
      </c>
      <c r="AC1004" t="s">
        <v>1063</v>
      </c>
      <c r="AD1004" t="s">
        <v>816</v>
      </c>
      <c r="AE1004" t="s">
        <v>857</v>
      </c>
      <c r="AF1004" t="s">
        <v>857</v>
      </c>
    </row>
    <row r="1005" spans="1:32">
      <c r="A1005" t="s">
        <v>5382</v>
      </c>
      <c r="B1005" t="s">
        <v>1005</v>
      </c>
      <c r="C1005" t="s">
        <v>19</v>
      </c>
      <c r="D1005" t="s">
        <v>857</v>
      </c>
      <c r="E1005" t="s">
        <v>857</v>
      </c>
      <c r="F1005" t="s">
        <v>3883</v>
      </c>
      <c r="M1005" t="s">
        <v>4745</v>
      </c>
      <c r="N1005" t="s">
        <v>1059</v>
      </c>
      <c r="O1005" t="s">
        <v>18</v>
      </c>
      <c r="P1005" t="s">
        <v>3047</v>
      </c>
      <c r="T1005" t="s">
        <v>1005</v>
      </c>
      <c r="U1005" t="s">
        <v>19</v>
      </c>
      <c r="V1005" t="s">
        <v>857</v>
      </c>
      <c r="W1005" t="s">
        <v>857</v>
      </c>
      <c r="AC1005" t="s">
        <v>1063</v>
      </c>
      <c r="AD1005" t="s">
        <v>816</v>
      </c>
      <c r="AE1005" t="s">
        <v>857</v>
      </c>
      <c r="AF1005" t="s">
        <v>4160</v>
      </c>
    </row>
    <row r="1006" spans="1:32">
      <c r="A1006" t="s">
        <v>5382</v>
      </c>
      <c r="B1006" t="s">
        <v>1005</v>
      </c>
      <c r="C1006" t="s">
        <v>19</v>
      </c>
      <c r="D1006" t="s">
        <v>857</v>
      </c>
      <c r="E1006" t="s">
        <v>857</v>
      </c>
      <c r="F1006" t="s">
        <v>3838</v>
      </c>
      <c r="M1006" t="s">
        <v>4745</v>
      </c>
      <c r="N1006" t="s">
        <v>1059</v>
      </c>
      <c r="O1006" t="s">
        <v>18</v>
      </c>
      <c r="P1006" t="s">
        <v>3046</v>
      </c>
      <c r="T1006" t="s">
        <v>1005</v>
      </c>
      <c r="U1006" t="s">
        <v>19</v>
      </c>
      <c r="V1006" t="s">
        <v>857</v>
      </c>
      <c r="W1006" t="s">
        <v>857</v>
      </c>
      <c r="AC1006" t="s">
        <v>1063</v>
      </c>
      <c r="AD1006" t="s">
        <v>816</v>
      </c>
      <c r="AE1006" t="s">
        <v>53</v>
      </c>
      <c r="AF1006" t="s">
        <v>857</v>
      </c>
    </row>
    <row r="1007" spans="1:32">
      <c r="A1007" t="s">
        <v>5383</v>
      </c>
      <c r="B1007" t="s">
        <v>1005</v>
      </c>
      <c r="C1007" t="s">
        <v>19</v>
      </c>
      <c r="D1007" t="s">
        <v>857</v>
      </c>
      <c r="E1007" t="s">
        <v>18</v>
      </c>
      <c r="F1007" t="s">
        <v>3320</v>
      </c>
      <c r="M1007" t="s">
        <v>4796</v>
      </c>
      <c r="N1007" t="s">
        <v>1060</v>
      </c>
      <c r="O1007" t="s">
        <v>18</v>
      </c>
      <c r="P1007" t="s">
        <v>3009</v>
      </c>
      <c r="T1007" t="s">
        <v>1005</v>
      </c>
      <c r="U1007" t="s">
        <v>19</v>
      </c>
      <c r="V1007" t="s">
        <v>18</v>
      </c>
      <c r="W1007" t="s">
        <v>857</v>
      </c>
      <c r="AC1007" t="s">
        <v>1063</v>
      </c>
      <c r="AD1007" t="s">
        <v>816</v>
      </c>
      <c r="AE1007" t="s">
        <v>18</v>
      </c>
      <c r="AF1007" t="s">
        <v>857</v>
      </c>
    </row>
    <row r="1008" spans="1:32">
      <c r="A1008" t="s">
        <v>5383</v>
      </c>
      <c r="B1008" t="s">
        <v>1005</v>
      </c>
      <c r="C1008" t="s">
        <v>19</v>
      </c>
      <c r="D1008" t="s">
        <v>857</v>
      </c>
      <c r="E1008" t="s">
        <v>18</v>
      </c>
      <c r="F1008" t="s">
        <v>3316</v>
      </c>
      <c r="M1008" t="s">
        <v>4796</v>
      </c>
      <c r="N1008" t="s">
        <v>1060</v>
      </c>
      <c r="O1008" t="s">
        <v>18</v>
      </c>
      <c r="P1008" t="s">
        <v>3008</v>
      </c>
      <c r="T1008" t="s">
        <v>1005</v>
      </c>
      <c r="U1008" t="s">
        <v>19</v>
      </c>
      <c r="V1008" t="s">
        <v>18</v>
      </c>
      <c r="W1008" t="s">
        <v>857</v>
      </c>
      <c r="AC1008" t="s">
        <v>1063</v>
      </c>
      <c r="AD1008" t="s">
        <v>816</v>
      </c>
      <c r="AE1008" t="s">
        <v>18</v>
      </c>
      <c r="AF1008" t="s">
        <v>3012</v>
      </c>
    </row>
    <row r="1009" spans="1:32">
      <c r="A1009" t="s">
        <v>5383</v>
      </c>
      <c r="B1009" t="s">
        <v>1005</v>
      </c>
      <c r="C1009" t="s">
        <v>19</v>
      </c>
      <c r="D1009" t="s">
        <v>857</v>
      </c>
      <c r="E1009" t="s">
        <v>18</v>
      </c>
      <c r="F1009" t="s">
        <v>3314</v>
      </c>
      <c r="M1009" t="s">
        <v>4796</v>
      </c>
      <c r="N1009" t="s">
        <v>1060</v>
      </c>
      <c r="O1009" t="s">
        <v>18</v>
      </c>
      <c r="P1009" t="s">
        <v>3007</v>
      </c>
      <c r="T1009" t="s">
        <v>1005</v>
      </c>
      <c r="U1009" t="s">
        <v>19</v>
      </c>
      <c r="V1009" t="s">
        <v>18</v>
      </c>
      <c r="W1009" t="s">
        <v>857</v>
      </c>
      <c r="AC1009" t="s">
        <v>1064</v>
      </c>
      <c r="AD1009" t="s">
        <v>818</v>
      </c>
      <c r="AE1009" t="s">
        <v>53</v>
      </c>
      <c r="AF1009" t="s">
        <v>857</v>
      </c>
    </row>
    <row r="1010" spans="1:32">
      <c r="A1010" t="s">
        <v>5383</v>
      </c>
      <c r="B1010" t="s">
        <v>1005</v>
      </c>
      <c r="C1010" t="s">
        <v>19</v>
      </c>
      <c r="D1010" t="s">
        <v>857</v>
      </c>
      <c r="E1010" t="s">
        <v>18</v>
      </c>
      <c r="F1010" t="s">
        <v>3305</v>
      </c>
      <c r="M1010" t="s">
        <v>4796</v>
      </c>
      <c r="N1010" t="s">
        <v>1060</v>
      </c>
      <c r="O1010" t="s">
        <v>18</v>
      </c>
      <c r="P1010" t="s">
        <v>3006</v>
      </c>
      <c r="T1010" t="s">
        <v>1005</v>
      </c>
      <c r="U1010" t="s">
        <v>19</v>
      </c>
      <c r="V1010" t="s">
        <v>18</v>
      </c>
      <c r="W1010" t="s">
        <v>857</v>
      </c>
      <c r="AC1010" t="s">
        <v>1064</v>
      </c>
      <c r="AD1010" t="s">
        <v>818</v>
      </c>
      <c r="AE1010" t="s">
        <v>18</v>
      </c>
      <c r="AF1010" t="s">
        <v>857</v>
      </c>
    </row>
    <row r="1011" spans="1:32">
      <c r="A1011" t="s">
        <v>5383</v>
      </c>
      <c r="B1011" t="s">
        <v>1005</v>
      </c>
      <c r="C1011" t="s">
        <v>19</v>
      </c>
      <c r="D1011" t="s">
        <v>857</v>
      </c>
      <c r="E1011" t="s">
        <v>18</v>
      </c>
      <c r="F1011" t="s">
        <v>3304</v>
      </c>
      <c r="M1011" t="s">
        <v>4796</v>
      </c>
      <c r="N1011" t="s">
        <v>1060</v>
      </c>
      <c r="O1011" t="s">
        <v>18</v>
      </c>
      <c r="P1011" t="s">
        <v>3005</v>
      </c>
      <c r="T1011" t="s">
        <v>1005</v>
      </c>
      <c r="U1011" t="s">
        <v>19</v>
      </c>
      <c r="V1011" t="s">
        <v>18</v>
      </c>
      <c r="W1011" t="s">
        <v>857</v>
      </c>
      <c r="AC1011" t="s">
        <v>1064</v>
      </c>
      <c r="AD1011" t="s">
        <v>816</v>
      </c>
      <c r="AE1011" t="s">
        <v>857</v>
      </c>
      <c r="AF1011" t="s">
        <v>857</v>
      </c>
    </row>
    <row r="1012" spans="1:32">
      <c r="A1012" t="s">
        <v>5383</v>
      </c>
      <c r="B1012" t="s">
        <v>1005</v>
      </c>
      <c r="C1012" t="s">
        <v>19</v>
      </c>
      <c r="D1012" t="s">
        <v>857</v>
      </c>
      <c r="E1012" t="s">
        <v>18</v>
      </c>
      <c r="F1012" t="s">
        <v>3303</v>
      </c>
      <c r="M1012" t="s">
        <v>4796</v>
      </c>
      <c r="N1012" t="s">
        <v>1060</v>
      </c>
      <c r="O1012" t="s">
        <v>18</v>
      </c>
      <c r="P1012" t="s">
        <v>3004</v>
      </c>
      <c r="T1012" t="s">
        <v>1005</v>
      </c>
      <c r="U1012" t="s">
        <v>19</v>
      </c>
      <c r="V1012" t="s">
        <v>18</v>
      </c>
      <c r="W1012" t="s">
        <v>857</v>
      </c>
      <c r="AC1012" t="s">
        <v>1064</v>
      </c>
      <c r="AD1012" t="s">
        <v>816</v>
      </c>
      <c r="AE1012" t="s">
        <v>857</v>
      </c>
      <c r="AF1012" t="s">
        <v>2848</v>
      </c>
    </row>
    <row r="1013" spans="1:32">
      <c r="A1013" t="s">
        <v>5383</v>
      </c>
      <c r="B1013" t="s">
        <v>1005</v>
      </c>
      <c r="C1013" t="s">
        <v>19</v>
      </c>
      <c r="D1013" t="s">
        <v>857</v>
      </c>
      <c r="E1013" t="s">
        <v>18</v>
      </c>
      <c r="F1013" t="s">
        <v>3302</v>
      </c>
      <c r="M1013" t="s">
        <v>4796</v>
      </c>
      <c r="N1013" t="s">
        <v>1060</v>
      </c>
      <c r="O1013" t="s">
        <v>18</v>
      </c>
      <c r="P1013" t="s">
        <v>3003</v>
      </c>
      <c r="T1013" t="s">
        <v>1005</v>
      </c>
      <c r="U1013" t="s">
        <v>19</v>
      </c>
      <c r="V1013" t="s">
        <v>18</v>
      </c>
      <c r="W1013" t="s">
        <v>857</v>
      </c>
      <c r="AC1013" t="s">
        <v>1064</v>
      </c>
      <c r="AD1013" t="s">
        <v>816</v>
      </c>
      <c r="AE1013" t="s">
        <v>53</v>
      </c>
      <c r="AF1013" t="s">
        <v>2850</v>
      </c>
    </row>
    <row r="1014" spans="1:32">
      <c r="A1014" t="s">
        <v>5384</v>
      </c>
      <c r="B1014" t="s">
        <v>1005</v>
      </c>
      <c r="C1014" t="s">
        <v>19</v>
      </c>
      <c r="D1014" t="s">
        <v>3295</v>
      </c>
      <c r="E1014" t="s">
        <v>18</v>
      </c>
      <c r="F1014" t="s">
        <v>3296</v>
      </c>
      <c r="M1014" t="s">
        <v>4796</v>
      </c>
      <c r="N1014" t="s">
        <v>1060</v>
      </c>
      <c r="O1014" t="s">
        <v>18</v>
      </c>
      <c r="P1014" t="s">
        <v>3002</v>
      </c>
      <c r="T1014" t="s">
        <v>1005</v>
      </c>
      <c r="U1014" t="s">
        <v>19</v>
      </c>
      <c r="V1014" t="s">
        <v>18</v>
      </c>
      <c r="W1014" t="s">
        <v>3295</v>
      </c>
      <c r="AC1014" t="s">
        <v>1064</v>
      </c>
      <c r="AD1014" t="s">
        <v>816</v>
      </c>
      <c r="AE1014" t="s">
        <v>53</v>
      </c>
      <c r="AF1014" t="s">
        <v>2848</v>
      </c>
    </row>
    <row r="1015" spans="1:32">
      <c r="A1015" t="s">
        <v>5385</v>
      </c>
      <c r="B1015" t="s">
        <v>1005</v>
      </c>
      <c r="C1015" t="s">
        <v>19</v>
      </c>
      <c r="D1015" t="s">
        <v>3300</v>
      </c>
      <c r="E1015" t="s">
        <v>18</v>
      </c>
      <c r="F1015" t="s">
        <v>3301</v>
      </c>
      <c r="M1015" t="s">
        <v>4796</v>
      </c>
      <c r="N1015" t="s">
        <v>1060</v>
      </c>
      <c r="O1015" t="s">
        <v>18</v>
      </c>
      <c r="P1015" t="s">
        <v>3001</v>
      </c>
      <c r="T1015" t="s">
        <v>1005</v>
      </c>
      <c r="U1015" t="s">
        <v>19</v>
      </c>
      <c r="V1015" t="s">
        <v>18</v>
      </c>
      <c r="W1015" t="s">
        <v>3300</v>
      </c>
      <c r="AC1015" t="s">
        <v>1064</v>
      </c>
      <c r="AD1015" t="s">
        <v>816</v>
      </c>
      <c r="AE1015" t="s">
        <v>18</v>
      </c>
      <c r="AF1015" t="s">
        <v>857</v>
      </c>
    </row>
    <row r="1016" spans="1:32">
      <c r="A1016" t="s">
        <v>5386</v>
      </c>
      <c r="B1016" t="s">
        <v>1005</v>
      </c>
      <c r="C1016" t="s">
        <v>19</v>
      </c>
      <c r="D1016" t="s">
        <v>2581</v>
      </c>
      <c r="E1016" t="s">
        <v>857</v>
      </c>
      <c r="F1016" t="s">
        <v>3812</v>
      </c>
      <c r="M1016" t="s">
        <v>4796</v>
      </c>
      <c r="N1016" t="s">
        <v>1060</v>
      </c>
      <c r="O1016" t="s">
        <v>18</v>
      </c>
      <c r="P1016" t="s">
        <v>2999</v>
      </c>
      <c r="T1016" t="s">
        <v>1005</v>
      </c>
      <c r="U1016" t="s">
        <v>19</v>
      </c>
      <c r="V1016" t="s">
        <v>857</v>
      </c>
      <c r="W1016" t="s">
        <v>2581</v>
      </c>
      <c r="AC1016" t="s">
        <v>1065</v>
      </c>
      <c r="AD1016" t="s">
        <v>818</v>
      </c>
      <c r="AE1016" t="s">
        <v>53</v>
      </c>
      <c r="AF1016" t="s">
        <v>857</v>
      </c>
    </row>
    <row r="1017" spans="1:32">
      <c r="A1017" t="s">
        <v>5387</v>
      </c>
      <c r="B1017" t="s">
        <v>1005</v>
      </c>
      <c r="C1017" t="s">
        <v>19</v>
      </c>
      <c r="D1017" t="s">
        <v>2581</v>
      </c>
      <c r="E1017" t="s">
        <v>18</v>
      </c>
      <c r="F1017" t="s">
        <v>3313</v>
      </c>
      <c r="M1017" t="s">
        <v>4796</v>
      </c>
      <c r="N1017" t="s">
        <v>1060</v>
      </c>
      <c r="O1017" t="s">
        <v>18</v>
      </c>
      <c r="P1017" t="s">
        <v>2997</v>
      </c>
      <c r="T1017" t="s">
        <v>1005</v>
      </c>
      <c r="U1017" t="s">
        <v>19</v>
      </c>
      <c r="V1017" t="s">
        <v>18</v>
      </c>
      <c r="W1017" t="s">
        <v>2581</v>
      </c>
      <c r="AC1017" t="s">
        <v>1065</v>
      </c>
      <c r="AD1017" t="s">
        <v>818</v>
      </c>
      <c r="AE1017" t="s">
        <v>18</v>
      </c>
      <c r="AF1017" t="s">
        <v>857</v>
      </c>
    </row>
    <row r="1018" spans="1:32">
      <c r="A1018" t="s">
        <v>5387</v>
      </c>
      <c r="B1018" t="s">
        <v>1005</v>
      </c>
      <c r="C1018" t="s">
        <v>19</v>
      </c>
      <c r="D1018" t="s">
        <v>2581</v>
      </c>
      <c r="E1018" t="s">
        <v>18</v>
      </c>
      <c r="F1018" t="s">
        <v>3310</v>
      </c>
      <c r="M1018" t="s">
        <v>4796</v>
      </c>
      <c r="N1018" t="s">
        <v>1060</v>
      </c>
      <c r="O1018" t="s">
        <v>18</v>
      </c>
      <c r="P1018" t="s">
        <v>2996</v>
      </c>
      <c r="T1018" t="s">
        <v>1005</v>
      </c>
      <c r="U1018" t="s">
        <v>19</v>
      </c>
      <c r="V1018" t="s">
        <v>18</v>
      </c>
      <c r="W1018" t="s">
        <v>2581</v>
      </c>
      <c r="AC1018" t="s">
        <v>1065</v>
      </c>
      <c r="AD1018" t="s">
        <v>818</v>
      </c>
      <c r="AE1018" t="s">
        <v>18</v>
      </c>
      <c r="AF1018" t="s">
        <v>2841</v>
      </c>
    </row>
    <row r="1019" spans="1:32">
      <c r="A1019" t="s">
        <v>5387</v>
      </c>
      <c r="B1019" t="s">
        <v>1005</v>
      </c>
      <c r="C1019" t="s">
        <v>19</v>
      </c>
      <c r="D1019" t="s">
        <v>2581</v>
      </c>
      <c r="E1019" t="s">
        <v>18</v>
      </c>
      <c r="F1019" t="s">
        <v>3294</v>
      </c>
      <c r="M1019" t="s">
        <v>4796</v>
      </c>
      <c r="N1019" t="s">
        <v>1060</v>
      </c>
      <c r="O1019" t="s">
        <v>18</v>
      </c>
      <c r="P1019" t="s">
        <v>2994</v>
      </c>
      <c r="T1019" t="s">
        <v>1005</v>
      </c>
      <c r="U1019" t="s">
        <v>19</v>
      </c>
      <c r="V1019" t="s">
        <v>18</v>
      </c>
      <c r="W1019" t="s">
        <v>2581</v>
      </c>
      <c r="AC1019" t="s">
        <v>1065</v>
      </c>
      <c r="AD1019" t="s">
        <v>816</v>
      </c>
      <c r="AE1019" t="s">
        <v>18</v>
      </c>
      <c r="AF1019" t="s">
        <v>857</v>
      </c>
    </row>
    <row r="1020" spans="1:32">
      <c r="A1020" t="s">
        <v>6535</v>
      </c>
      <c r="B1020" t="s">
        <v>1005</v>
      </c>
      <c r="C1020" t="s">
        <v>19</v>
      </c>
      <c r="D1020" t="s">
        <v>3311</v>
      </c>
      <c r="E1020" t="s">
        <v>18</v>
      </c>
      <c r="F1020" t="s">
        <v>3312</v>
      </c>
      <c r="M1020" t="s">
        <v>4746</v>
      </c>
      <c r="N1020" t="s">
        <v>1061</v>
      </c>
      <c r="O1020" t="s">
        <v>53</v>
      </c>
      <c r="P1020" t="s">
        <v>2984</v>
      </c>
      <c r="T1020" t="s">
        <v>1005</v>
      </c>
      <c r="U1020" t="s">
        <v>19</v>
      </c>
      <c r="V1020" t="s">
        <v>18</v>
      </c>
      <c r="W1020" t="s">
        <v>3311</v>
      </c>
      <c r="AC1020" t="s">
        <v>1066</v>
      </c>
      <c r="AD1020" t="s">
        <v>818</v>
      </c>
      <c r="AE1020" t="s">
        <v>18</v>
      </c>
      <c r="AF1020" t="s">
        <v>857</v>
      </c>
    </row>
    <row r="1021" spans="1:32">
      <c r="A1021" t="s">
        <v>5390</v>
      </c>
      <c r="B1021" t="s">
        <v>1005</v>
      </c>
      <c r="C1021" t="s">
        <v>816</v>
      </c>
      <c r="D1021" t="s">
        <v>857</v>
      </c>
      <c r="E1021" t="s">
        <v>857</v>
      </c>
      <c r="F1021" t="s">
        <v>3854</v>
      </c>
      <c r="M1021" t="s">
        <v>4747</v>
      </c>
      <c r="N1021" t="s">
        <v>1061</v>
      </c>
      <c r="O1021" t="s">
        <v>18</v>
      </c>
      <c r="P1021" t="s">
        <v>2987</v>
      </c>
      <c r="T1021" t="s">
        <v>1005</v>
      </c>
      <c r="U1021" t="s">
        <v>816</v>
      </c>
      <c r="V1021" t="s">
        <v>857</v>
      </c>
      <c r="W1021" t="s">
        <v>857</v>
      </c>
      <c r="AC1021" t="s">
        <v>1066</v>
      </c>
      <c r="AD1021" t="s">
        <v>818</v>
      </c>
      <c r="AE1021" t="s">
        <v>18</v>
      </c>
      <c r="AF1021" t="s">
        <v>2824</v>
      </c>
    </row>
    <row r="1022" spans="1:32">
      <c r="A1022" t="s">
        <v>5391</v>
      </c>
      <c r="B1022" t="s">
        <v>1005</v>
      </c>
      <c r="C1022" t="s">
        <v>816</v>
      </c>
      <c r="D1022" t="s">
        <v>857</v>
      </c>
      <c r="E1022" t="s">
        <v>18</v>
      </c>
      <c r="F1022" t="s">
        <v>3315</v>
      </c>
      <c r="M1022" t="s">
        <v>4747</v>
      </c>
      <c r="N1022" t="s">
        <v>1061</v>
      </c>
      <c r="O1022" t="s">
        <v>18</v>
      </c>
      <c r="P1022" t="s">
        <v>2986</v>
      </c>
      <c r="T1022" t="s">
        <v>1005</v>
      </c>
      <c r="U1022" t="s">
        <v>816</v>
      </c>
      <c r="V1022" t="s">
        <v>18</v>
      </c>
      <c r="W1022" t="s">
        <v>857</v>
      </c>
      <c r="AC1022" t="s">
        <v>1066</v>
      </c>
      <c r="AD1022" t="s">
        <v>19</v>
      </c>
      <c r="AE1022" t="s">
        <v>857</v>
      </c>
      <c r="AF1022" t="s">
        <v>857</v>
      </c>
    </row>
    <row r="1023" spans="1:32">
      <c r="A1023" t="s">
        <v>5392</v>
      </c>
      <c r="B1023" t="s">
        <v>1005</v>
      </c>
      <c r="C1023" t="s">
        <v>816</v>
      </c>
      <c r="D1023" t="s">
        <v>3292</v>
      </c>
      <c r="E1023" t="s">
        <v>857</v>
      </c>
      <c r="F1023" t="s">
        <v>3817</v>
      </c>
      <c r="M1023" t="s">
        <v>4747</v>
      </c>
      <c r="N1023" t="s">
        <v>1061</v>
      </c>
      <c r="O1023" t="s">
        <v>18</v>
      </c>
      <c r="P1023" t="s">
        <v>2985</v>
      </c>
      <c r="T1023" t="s">
        <v>1005</v>
      </c>
      <c r="U1023" t="s">
        <v>816</v>
      </c>
      <c r="V1023" t="s">
        <v>857</v>
      </c>
      <c r="W1023" t="s">
        <v>3292</v>
      </c>
      <c r="AC1023" t="s">
        <v>1066</v>
      </c>
      <c r="AD1023" t="s">
        <v>19</v>
      </c>
      <c r="AE1023" t="s">
        <v>857</v>
      </c>
      <c r="AF1023" t="s">
        <v>2824</v>
      </c>
    </row>
    <row r="1024" spans="1:32">
      <c r="A1024" t="s">
        <v>5393</v>
      </c>
      <c r="B1024" t="s">
        <v>1005</v>
      </c>
      <c r="C1024" t="s">
        <v>816</v>
      </c>
      <c r="D1024" t="s">
        <v>3292</v>
      </c>
      <c r="E1024" t="s">
        <v>18</v>
      </c>
      <c r="F1024" t="s">
        <v>3307</v>
      </c>
      <c r="M1024" t="s">
        <v>4747</v>
      </c>
      <c r="N1024" t="s">
        <v>1061</v>
      </c>
      <c r="O1024" t="s">
        <v>18</v>
      </c>
      <c r="P1024" t="s">
        <v>2983</v>
      </c>
      <c r="T1024" t="s">
        <v>1005</v>
      </c>
      <c r="U1024" t="s">
        <v>816</v>
      </c>
      <c r="V1024" t="s">
        <v>18</v>
      </c>
      <c r="W1024" t="s">
        <v>3292</v>
      </c>
      <c r="AC1024" t="s">
        <v>1066</v>
      </c>
      <c r="AD1024" t="s">
        <v>19</v>
      </c>
      <c r="AE1024" t="s">
        <v>18</v>
      </c>
      <c r="AF1024" t="s">
        <v>857</v>
      </c>
    </row>
    <row r="1025" spans="1:32">
      <c r="A1025" t="s">
        <v>5393</v>
      </c>
      <c r="B1025" t="s">
        <v>1005</v>
      </c>
      <c r="C1025" t="s">
        <v>816</v>
      </c>
      <c r="D1025" t="s">
        <v>3292</v>
      </c>
      <c r="E1025" t="s">
        <v>18</v>
      </c>
      <c r="F1025" t="s">
        <v>3293</v>
      </c>
      <c r="M1025" t="s">
        <v>4747</v>
      </c>
      <c r="N1025" t="s">
        <v>1061</v>
      </c>
      <c r="O1025" t="s">
        <v>18</v>
      </c>
      <c r="P1025" t="s">
        <v>2982</v>
      </c>
      <c r="T1025" t="s">
        <v>1005</v>
      </c>
      <c r="U1025" t="s">
        <v>816</v>
      </c>
      <c r="V1025" t="s">
        <v>18</v>
      </c>
      <c r="W1025" t="s">
        <v>3292</v>
      </c>
      <c r="AC1025" t="s">
        <v>1066</v>
      </c>
      <c r="AD1025" t="s">
        <v>19</v>
      </c>
      <c r="AE1025" t="s">
        <v>18</v>
      </c>
      <c r="AF1025" t="s">
        <v>2824</v>
      </c>
    </row>
    <row r="1026" spans="1:32">
      <c r="A1026" t="s">
        <v>5394</v>
      </c>
      <c r="B1026" t="s">
        <v>1005</v>
      </c>
      <c r="C1026" t="s">
        <v>816</v>
      </c>
      <c r="D1026" t="s">
        <v>3300</v>
      </c>
      <c r="E1026" t="s">
        <v>18</v>
      </c>
      <c r="F1026" t="s">
        <v>3306</v>
      </c>
      <c r="M1026" t="s">
        <v>4747</v>
      </c>
      <c r="N1026" t="s">
        <v>1061</v>
      </c>
      <c r="O1026" t="s">
        <v>18</v>
      </c>
      <c r="P1026" t="s">
        <v>2980</v>
      </c>
      <c r="T1026" t="s">
        <v>1005</v>
      </c>
      <c r="U1026" t="s">
        <v>816</v>
      </c>
      <c r="V1026" t="s">
        <v>18</v>
      </c>
      <c r="W1026" t="s">
        <v>3300</v>
      </c>
      <c r="AC1026" t="s">
        <v>1066</v>
      </c>
      <c r="AD1026" t="s">
        <v>2384</v>
      </c>
      <c r="AE1026" t="s">
        <v>857</v>
      </c>
      <c r="AF1026" t="s">
        <v>857</v>
      </c>
    </row>
    <row r="1027" spans="1:32">
      <c r="A1027" t="s">
        <v>5396</v>
      </c>
      <c r="B1027" t="s">
        <v>1006</v>
      </c>
      <c r="C1027" t="s">
        <v>818</v>
      </c>
      <c r="D1027" t="s">
        <v>857</v>
      </c>
      <c r="E1027" t="s">
        <v>18</v>
      </c>
      <c r="F1027" t="s">
        <v>3193</v>
      </c>
      <c r="M1027" t="s">
        <v>4747</v>
      </c>
      <c r="N1027" t="s">
        <v>1061</v>
      </c>
      <c r="O1027" t="s">
        <v>18</v>
      </c>
      <c r="P1027" t="s">
        <v>2979</v>
      </c>
      <c r="T1027" t="s">
        <v>1006</v>
      </c>
      <c r="U1027" t="s">
        <v>818</v>
      </c>
      <c r="V1027" t="s">
        <v>18</v>
      </c>
      <c r="W1027" t="s">
        <v>857</v>
      </c>
      <c r="AC1027" t="s">
        <v>1066</v>
      </c>
      <c r="AD1027" t="s">
        <v>2384</v>
      </c>
      <c r="AE1027" t="s">
        <v>18</v>
      </c>
      <c r="AF1027" t="s">
        <v>857</v>
      </c>
    </row>
    <row r="1028" spans="1:32">
      <c r="A1028" t="s">
        <v>5396</v>
      </c>
      <c r="B1028" t="s">
        <v>1006</v>
      </c>
      <c r="C1028" t="s">
        <v>818</v>
      </c>
      <c r="D1028" t="s">
        <v>857</v>
      </c>
      <c r="E1028" t="s">
        <v>18</v>
      </c>
      <c r="F1028" t="s">
        <v>3191</v>
      </c>
      <c r="M1028" t="s">
        <v>4748</v>
      </c>
      <c r="N1028" t="s">
        <v>1062</v>
      </c>
      <c r="O1028" t="s">
        <v>53</v>
      </c>
      <c r="P1028" t="s">
        <v>3038</v>
      </c>
      <c r="T1028" t="s">
        <v>1006</v>
      </c>
      <c r="U1028" t="s">
        <v>818</v>
      </c>
      <c r="V1028" t="s">
        <v>18</v>
      </c>
      <c r="W1028" t="s">
        <v>857</v>
      </c>
      <c r="AC1028" t="s">
        <v>1066</v>
      </c>
      <c r="AD1028" t="s">
        <v>2384</v>
      </c>
      <c r="AE1028" t="s">
        <v>18</v>
      </c>
      <c r="AF1028" t="s">
        <v>2826</v>
      </c>
    </row>
    <row r="1029" spans="1:32">
      <c r="A1029" t="s">
        <v>5396</v>
      </c>
      <c r="B1029" t="s">
        <v>1006</v>
      </c>
      <c r="C1029" t="s">
        <v>818</v>
      </c>
      <c r="D1029" t="s">
        <v>857</v>
      </c>
      <c r="E1029" t="s">
        <v>18</v>
      </c>
      <c r="F1029" t="s">
        <v>3189</v>
      </c>
      <c r="M1029" t="s">
        <v>4748</v>
      </c>
      <c r="N1029" t="s">
        <v>1062</v>
      </c>
      <c r="O1029" t="s">
        <v>53</v>
      </c>
      <c r="P1029" t="s">
        <v>3037</v>
      </c>
      <c r="T1029" t="s">
        <v>1006</v>
      </c>
      <c r="U1029" t="s">
        <v>818</v>
      </c>
      <c r="V1029" t="s">
        <v>18</v>
      </c>
      <c r="W1029" t="s">
        <v>857</v>
      </c>
      <c r="AC1029" t="s">
        <v>1066</v>
      </c>
      <c r="AD1029" t="s">
        <v>2416</v>
      </c>
      <c r="AE1029" t="s">
        <v>18</v>
      </c>
      <c r="AF1029" t="s">
        <v>857</v>
      </c>
    </row>
    <row r="1030" spans="1:32">
      <c r="A1030" t="s">
        <v>5397</v>
      </c>
      <c r="B1030" t="s">
        <v>1006</v>
      </c>
      <c r="C1030" t="s">
        <v>818</v>
      </c>
      <c r="D1030" t="s">
        <v>3268</v>
      </c>
      <c r="E1030" t="s">
        <v>18</v>
      </c>
      <c r="F1030" t="s">
        <v>3269</v>
      </c>
      <c r="M1030" t="s">
        <v>4749</v>
      </c>
      <c r="N1030" t="s">
        <v>1062</v>
      </c>
      <c r="O1030" t="s">
        <v>18</v>
      </c>
      <c r="P1030" t="s">
        <v>3044</v>
      </c>
      <c r="T1030" t="s">
        <v>1006</v>
      </c>
      <c r="U1030" t="s">
        <v>818</v>
      </c>
      <c r="V1030" t="s">
        <v>18</v>
      </c>
      <c r="W1030" t="s">
        <v>3268</v>
      </c>
      <c r="AC1030" t="s">
        <v>1066</v>
      </c>
      <c r="AD1030" t="s">
        <v>816</v>
      </c>
      <c r="AE1030" t="s">
        <v>857</v>
      </c>
      <c r="AF1030" t="s">
        <v>857</v>
      </c>
    </row>
    <row r="1031" spans="1:32">
      <c r="A1031" t="s">
        <v>5400</v>
      </c>
      <c r="B1031" t="s">
        <v>1006</v>
      </c>
      <c r="C1031" t="s">
        <v>19</v>
      </c>
      <c r="D1031" t="s">
        <v>857</v>
      </c>
      <c r="E1031" t="s">
        <v>857</v>
      </c>
      <c r="F1031" t="s">
        <v>3861</v>
      </c>
      <c r="M1031" t="s">
        <v>4749</v>
      </c>
      <c r="N1031" t="s">
        <v>1062</v>
      </c>
      <c r="O1031" t="s">
        <v>18</v>
      </c>
      <c r="P1031" t="s">
        <v>3043</v>
      </c>
      <c r="T1031" t="s">
        <v>1006</v>
      </c>
      <c r="U1031" t="s">
        <v>19</v>
      </c>
      <c r="V1031" t="s">
        <v>857</v>
      </c>
      <c r="W1031" t="s">
        <v>857</v>
      </c>
      <c r="AC1031" t="s">
        <v>1066</v>
      </c>
      <c r="AD1031" t="s">
        <v>816</v>
      </c>
      <c r="AE1031" t="s">
        <v>18</v>
      </c>
      <c r="AF1031" t="s">
        <v>857</v>
      </c>
    </row>
    <row r="1032" spans="1:32">
      <c r="A1032" t="s">
        <v>5401</v>
      </c>
      <c r="B1032" t="s">
        <v>1006</v>
      </c>
      <c r="C1032" t="s">
        <v>19</v>
      </c>
      <c r="D1032" t="s">
        <v>857</v>
      </c>
      <c r="E1032" t="s">
        <v>18</v>
      </c>
      <c r="F1032" t="s">
        <v>3192</v>
      </c>
      <c r="M1032" t="s">
        <v>4749</v>
      </c>
      <c r="N1032" t="s">
        <v>1062</v>
      </c>
      <c r="O1032" t="s">
        <v>18</v>
      </c>
      <c r="P1032" t="s">
        <v>3042</v>
      </c>
      <c r="T1032" t="s">
        <v>1006</v>
      </c>
      <c r="U1032" t="s">
        <v>19</v>
      </c>
      <c r="V1032" t="s">
        <v>18</v>
      </c>
      <c r="W1032" t="s">
        <v>857</v>
      </c>
      <c r="AC1032" t="s">
        <v>1066</v>
      </c>
      <c r="AD1032" t="s">
        <v>816</v>
      </c>
      <c r="AE1032" t="s">
        <v>18</v>
      </c>
      <c r="AF1032" t="s">
        <v>2824</v>
      </c>
    </row>
    <row r="1033" spans="1:32">
      <c r="A1033" t="s">
        <v>5402</v>
      </c>
      <c r="B1033" t="s">
        <v>1006</v>
      </c>
      <c r="C1033" t="s">
        <v>19</v>
      </c>
      <c r="D1033" t="s">
        <v>3184</v>
      </c>
      <c r="E1033" t="s">
        <v>18</v>
      </c>
      <c r="F1033" t="s">
        <v>3272</v>
      </c>
      <c r="M1033" t="s">
        <v>4749</v>
      </c>
      <c r="N1033" t="s">
        <v>1062</v>
      </c>
      <c r="O1033" t="s">
        <v>18</v>
      </c>
      <c r="P1033" t="s">
        <v>3041</v>
      </c>
      <c r="T1033" t="s">
        <v>1006</v>
      </c>
      <c r="U1033" t="s">
        <v>19</v>
      </c>
      <c r="V1033" t="s">
        <v>18</v>
      </c>
      <c r="W1033" t="s">
        <v>3184</v>
      </c>
      <c r="AC1033" t="s">
        <v>1067</v>
      </c>
      <c r="AD1033" t="s">
        <v>818</v>
      </c>
      <c r="AE1033" t="s">
        <v>18</v>
      </c>
      <c r="AF1033" t="s">
        <v>857</v>
      </c>
    </row>
    <row r="1034" spans="1:32">
      <c r="A1034" t="s">
        <v>5402</v>
      </c>
      <c r="B1034" t="s">
        <v>1006</v>
      </c>
      <c r="C1034" t="s">
        <v>19</v>
      </c>
      <c r="D1034" t="s">
        <v>3184</v>
      </c>
      <c r="E1034" t="s">
        <v>18</v>
      </c>
      <c r="F1034" t="s">
        <v>3270</v>
      </c>
      <c r="M1034" t="s">
        <v>4749</v>
      </c>
      <c r="N1034" t="s">
        <v>1062</v>
      </c>
      <c r="O1034" t="s">
        <v>18</v>
      </c>
      <c r="P1034" t="s">
        <v>3040</v>
      </c>
      <c r="T1034" t="s">
        <v>1006</v>
      </c>
      <c r="U1034" t="s">
        <v>19</v>
      </c>
      <c r="V1034" t="s">
        <v>18</v>
      </c>
      <c r="W1034" t="s">
        <v>3184</v>
      </c>
      <c r="AC1034" t="s">
        <v>1067</v>
      </c>
      <c r="AD1034" t="s">
        <v>818</v>
      </c>
      <c r="AE1034" t="s">
        <v>18</v>
      </c>
      <c r="AF1034" t="s">
        <v>2366</v>
      </c>
    </row>
    <row r="1035" spans="1:32">
      <c r="A1035" t="s">
        <v>5402</v>
      </c>
      <c r="B1035" t="s">
        <v>1006</v>
      </c>
      <c r="C1035" t="s">
        <v>19</v>
      </c>
      <c r="D1035" t="s">
        <v>3184</v>
      </c>
      <c r="E1035" t="s">
        <v>18</v>
      </c>
      <c r="F1035" t="s">
        <v>3185</v>
      </c>
      <c r="M1035" t="s">
        <v>4749</v>
      </c>
      <c r="N1035" t="s">
        <v>1062</v>
      </c>
      <c r="O1035" t="s">
        <v>18</v>
      </c>
      <c r="P1035" t="s">
        <v>3039</v>
      </c>
      <c r="T1035" t="s">
        <v>1006</v>
      </c>
      <c r="U1035" t="s">
        <v>19</v>
      </c>
      <c r="V1035" t="s">
        <v>18</v>
      </c>
      <c r="W1035" t="s">
        <v>3184</v>
      </c>
      <c r="AC1035" t="s">
        <v>1067</v>
      </c>
      <c r="AD1035" t="s">
        <v>19</v>
      </c>
      <c r="AE1035" t="s">
        <v>18</v>
      </c>
      <c r="AF1035" t="s">
        <v>857</v>
      </c>
    </row>
    <row r="1036" spans="1:32">
      <c r="A1036" t="s">
        <v>5404</v>
      </c>
      <c r="B1036" t="s">
        <v>1006</v>
      </c>
      <c r="C1036" t="s">
        <v>19</v>
      </c>
      <c r="D1036" t="s">
        <v>3182</v>
      </c>
      <c r="E1036" t="s">
        <v>857</v>
      </c>
      <c r="F1036" t="s">
        <v>4211</v>
      </c>
      <c r="M1036" t="s">
        <v>4749</v>
      </c>
      <c r="N1036" t="s">
        <v>1062</v>
      </c>
      <c r="O1036" t="s">
        <v>18</v>
      </c>
      <c r="P1036" t="s">
        <v>3036</v>
      </c>
      <c r="T1036" t="s">
        <v>1006</v>
      </c>
      <c r="U1036" t="s">
        <v>19</v>
      </c>
      <c r="V1036" t="s">
        <v>857</v>
      </c>
      <c r="W1036" t="s">
        <v>3182</v>
      </c>
      <c r="AC1036" t="s">
        <v>1067</v>
      </c>
      <c r="AD1036" t="s">
        <v>19</v>
      </c>
      <c r="AE1036" t="s">
        <v>18</v>
      </c>
      <c r="AF1036" t="s">
        <v>2366</v>
      </c>
    </row>
    <row r="1037" spans="1:32">
      <c r="A1037" t="s">
        <v>5405</v>
      </c>
      <c r="B1037" t="s">
        <v>1006</v>
      </c>
      <c r="C1037" t="s">
        <v>19</v>
      </c>
      <c r="D1037" t="s">
        <v>3182</v>
      </c>
      <c r="E1037" t="s">
        <v>18</v>
      </c>
      <c r="F1037" t="s">
        <v>3183</v>
      </c>
      <c r="M1037" t="s">
        <v>4749</v>
      </c>
      <c r="N1037" t="s">
        <v>1062</v>
      </c>
      <c r="O1037" t="s">
        <v>18</v>
      </c>
      <c r="P1037" t="s">
        <v>3034</v>
      </c>
      <c r="T1037" t="s">
        <v>1006</v>
      </c>
      <c r="U1037" t="s">
        <v>19</v>
      </c>
      <c r="V1037" t="s">
        <v>18</v>
      </c>
      <c r="W1037" t="s">
        <v>3182</v>
      </c>
      <c r="AC1037" t="s">
        <v>1067</v>
      </c>
      <c r="AD1037" t="s">
        <v>2384</v>
      </c>
      <c r="AE1037" t="s">
        <v>857</v>
      </c>
      <c r="AF1037" t="s">
        <v>2366</v>
      </c>
    </row>
    <row r="1038" spans="1:32">
      <c r="A1038" t="s">
        <v>5407</v>
      </c>
      <c r="B1038" t="s">
        <v>1006</v>
      </c>
      <c r="C1038" t="s">
        <v>2384</v>
      </c>
      <c r="D1038" t="s">
        <v>857</v>
      </c>
      <c r="E1038" t="s">
        <v>857</v>
      </c>
      <c r="F1038" t="s">
        <v>3862</v>
      </c>
      <c r="M1038" t="s">
        <v>4749</v>
      </c>
      <c r="N1038" t="s">
        <v>1062</v>
      </c>
      <c r="O1038" t="s">
        <v>18</v>
      </c>
      <c r="P1038" t="s">
        <v>3032</v>
      </c>
      <c r="T1038" t="s">
        <v>1006</v>
      </c>
      <c r="U1038" t="s">
        <v>2384</v>
      </c>
      <c r="V1038" t="s">
        <v>857</v>
      </c>
      <c r="W1038" t="s">
        <v>857</v>
      </c>
      <c r="AC1038" t="s">
        <v>1067</v>
      </c>
      <c r="AD1038" t="s">
        <v>816</v>
      </c>
      <c r="AE1038" t="s">
        <v>18</v>
      </c>
      <c r="AF1038" t="s">
        <v>2366</v>
      </c>
    </row>
    <row r="1039" spans="1:32">
      <c r="A1039" t="s">
        <v>5408</v>
      </c>
      <c r="B1039" t="s">
        <v>1006</v>
      </c>
      <c r="C1039" t="s">
        <v>2384</v>
      </c>
      <c r="D1039" t="s">
        <v>3187</v>
      </c>
      <c r="E1039" t="s">
        <v>857</v>
      </c>
      <c r="F1039" t="s">
        <v>4212</v>
      </c>
      <c r="M1039" t="s">
        <v>4749</v>
      </c>
      <c r="N1039" t="s">
        <v>1062</v>
      </c>
      <c r="O1039" t="s">
        <v>18</v>
      </c>
      <c r="P1039" t="s">
        <v>3030</v>
      </c>
      <c r="T1039" t="s">
        <v>1006</v>
      </c>
      <c r="U1039" t="s">
        <v>2384</v>
      </c>
      <c r="V1039" t="s">
        <v>857</v>
      </c>
      <c r="W1039" t="s">
        <v>3187</v>
      </c>
      <c r="AC1039" t="s">
        <v>1068</v>
      </c>
      <c r="AD1039" t="s">
        <v>818</v>
      </c>
      <c r="AE1039" t="s">
        <v>857</v>
      </c>
      <c r="AF1039" t="s">
        <v>3742</v>
      </c>
    </row>
    <row r="1040" spans="1:32">
      <c r="A1040" t="s">
        <v>5409</v>
      </c>
      <c r="B1040" t="s">
        <v>1006</v>
      </c>
      <c r="C1040" t="s">
        <v>2384</v>
      </c>
      <c r="D1040" t="s">
        <v>3187</v>
      </c>
      <c r="E1040" t="s">
        <v>18</v>
      </c>
      <c r="F1040" t="s">
        <v>3188</v>
      </c>
      <c r="M1040" t="s">
        <v>4750</v>
      </c>
      <c r="N1040" t="s">
        <v>1063</v>
      </c>
      <c r="O1040" t="s">
        <v>53</v>
      </c>
      <c r="P1040" t="s">
        <v>3025</v>
      </c>
      <c r="T1040" t="s">
        <v>1006</v>
      </c>
      <c r="U1040" t="s">
        <v>2384</v>
      </c>
      <c r="V1040" t="s">
        <v>18</v>
      </c>
      <c r="W1040" t="s">
        <v>3187</v>
      </c>
      <c r="AC1040" t="s">
        <v>1068</v>
      </c>
      <c r="AD1040" t="s">
        <v>818</v>
      </c>
      <c r="AE1040" t="s">
        <v>53</v>
      </c>
      <c r="AF1040" t="s">
        <v>857</v>
      </c>
    </row>
    <row r="1041" spans="1:32">
      <c r="A1041" t="s">
        <v>5410</v>
      </c>
      <c r="B1041" t="s">
        <v>1006</v>
      </c>
      <c r="C1041" t="s">
        <v>2384</v>
      </c>
      <c r="D1041" t="s">
        <v>3184</v>
      </c>
      <c r="E1041" t="s">
        <v>18</v>
      </c>
      <c r="F1041" t="s">
        <v>3186</v>
      </c>
      <c r="M1041" t="s">
        <v>4750</v>
      </c>
      <c r="N1041" t="s">
        <v>1063</v>
      </c>
      <c r="O1041" t="s">
        <v>53</v>
      </c>
      <c r="P1041" t="s">
        <v>3021</v>
      </c>
      <c r="T1041" t="s">
        <v>1006</v>
      </c>
      <c r="U1041" t="s">
        <v>2384</v>
      </c>
      <c r="V1041" t="s">
        <v>18</v>
      </c>
      <c r="W1041" t="s">
        <v>3184</v>
      </c>
      <c r="AC1041" t="s">
        <v>1068</v>
      </c>
      <c r="AD1041" t="s">
        <v>818</v>
      </c>
      <c r="AE1041" t="s">
        <v>53</v>
      </c>
      <c r="AF1041" t="s">
        <v>2793</v>
      </c>
    </row>
    <row r="1042" spans="1:32">
      <c r="A1042" t="s">
        <v>5412</v>
      </c>
      <c r="B1042" t="s">
        <v>1006</v>
      </c>
      <c r="C1042" t="s">
        <v>2416</v>
      </c>
      <c r="D1042" t="s">
        <v>857</v>
      </c>
      <c r="E1042" t="s">
        <v>18</v>
      </c>
      <c r="F1042" t="s">
        <v>3190</v>
      </c>
      <c r="M1042" t="s">
        <v>4751</v>
      </c>
      <c r="N1042" t="s">
        <v>1063</v>
      </c>
      <c r="O1042" t="s">
        <v>18</v>
      </c>
      <c r="P1042" t="s">
        <v>3028</v>
      </c>
      <c r="T1042" t="s">
        <v>1006</v>
      </c>
      <c r="U1042" t="s">
        <v>2416</v>
      </c>
      <c r="V1042" t="s">
        <v>18</v>
      </c>
      <c r="W1042" t="s">
        <v>857</v>
      </c>
      <c r="AC1042" t="s">
        <v>1068</v>
      </c>
      <c r="AD1042" t="s">
        <v>818</v>
      </c>
      <c r="AE1042" t="s">
        <v>53</v>
      </c>
      <c r="AF1042" t="s">
        <v>2791</v>
      </c>
    </row>
    <row r="1043" spans="1:32">
      <c r="A1043" t="s">
        <v>5413</v>
      </c>
      <c r="B1043" t="s">
        <v>1006</v>
      </c>
      <c r="C1043" t="s">
        <v>816</v>
      </c>
      <c r="D1043" t="s">
        <v>3184</v>
      </c>
      <c r="E1043" t="s">
        <v>18</v>
      </c>
      <c r="F1043" t="s">
        <v>3271</v>
      </c>
      <c r="M1043" t="s">
        <v>4751</v>
      </c>
      <c r="N1043" t="s">
        <v>1063</v>
      </c>
      <c r="O1043" t="s">
        <v>18</v>
      </c>
      <c r="P1043" t="s">
        <v>3027</v>
      </c>
      <c r="T1043" t="s">
        <v>1006</v>
      </c>
      <c r="U1043" t="s">
        <v>816</v>
      </c>
      <c r="V1043" t="s">
        <v>18</v>
      </c>
      <c r="W1043" t="s">
        <v>3184</v>
      </c>
      <c r="AC1043" t="s">
        <v>1068</v>
      </c>
      <c r="AD1043" t="s">
        <v>818</v>
      </c>
      <c r="AE1043" t="s">
        <v>53</v>
      </c>
      <c r="AF1043" t="s">
        <v>2749</v>
      </c>
    </row>
    <row r="1044" spans="1:32">
      <c r="A1044" t="s">
        <v>5416</v>
      </c>
      <c r="B1044" t="s">
        <v>1007</v>
      </c>
      <c r="C1044" t="s">
        <v>818</v>
      </c>
      <c r="D1044" t="s">
        <v>857</v>
      </c>
      <c r="E1044" t="s">
        <v>857</v>
      </c>
      <c r="F1044" t="s">
        <v>4039</v>
      </c>
      <c r="M1044" t="s">
        <v>4751</v>
      </c>
      <c r="N1044" t="s">
        <v>1063</v>
      </c>
      <c r="O1044" t="s">
        <v>18</v>
      </c>
      <c r="P1044" t="s">
        <v>3026</v>
      </c>
      <c r="T1044" t="s">
        <v>1007</v>
      </c>
      <c r="U1044" t="s">
        <v>818</v>
      </c>
      <c r="V1044" t="s">
        <v>857</v>
      </c>
      <c r="W1044" t="s">
        <v>857</v>
      </c>
      <c r="AC1044" t="s">
        <v>1068</v>
      </c>
      <c r="AD1044" t="s">
        <v>818</v>
      </c>
      <c r="AE1044" t="s">
        <v>18</v>
      </c>
      <c r="AF1044" t="s">
        <v>857</v>
      </c>
    </row>
    <row r="1045" spans="1:32">
      <c r="A1045" t="s">
        <v>5417</v>
      </c>
      <c r="B1045" t="s">
        <v>1007</v>
      </c>
      <c r="C1045" t="s">
        <v>818</v>
      </c>
      <c r="D1045" t="s">
        <v>3178</v>
      </c>
      <c r="E1045" t="s">
        <v>857</v>
      </c>
      <c r="F1045" t="s">
        <v>4039</v>
      </c>
      <c r="M1045" t="s">
        <v>4751</v>
      </c>
      <c r="N1045" t="s">
        <v>1063</v>
      </c>
      <c r="O1045" t="s">
        <v>18</v>
      </c>
      <c r="P1045" t="s">
        <v>3024</v>
      </c>
      <c r="T1045" t="s">
        <v>1007</v>
      </c>
      <c r="U1045" t="s">
        <v>818</v>
      </c>
      <c r="V1045" t="s">
        <v>857</v>
      </c>
      <c r="W1045" t="s">
        <v>3178</v>
      </c>
      <c r="AC1045" t="s">
        <v>1068</v>
      </c>
      <c r="AD1045" t="s">
        <v>19</v>
      </c>
      <c r="AE1045" t="s">
        <v>857</v>
      </c>
      <c r="AF1045" t="s">
        <v>2743</v>
      </c>
    </row>
    <row r="1046" spans="1:32">
      <c r="A1046" t="s">
        <v>5418</v>
      </c>
      <c r="B1046" t="s">
        <v>1007</v>
      </c>
      <c r="C1046" t="s">
        <v>818</v>
      </c>
      <c r="D1046" t="s">
        <v>3178</v>
      </c>
      <c r="E1046" t="s">
        <v>18</v>
      </c>
      <c r="F1046" t="s">
        <v>3179</v>
      </c>
      <c r="M1046" t="s">
        <v>4751</v>
      </c>
      <c r="N1046" t="s">
        <v>1063</v>
      </c>
      <c r="O1046" t="s">
        <v>18</v>
      </c>
      <c r="P1046" t="s">
        <v>3023</v>
      </c>
      <c r="T1046" t="s">
        <v>1007</v>
      </c>
      <c r="U1046" t="s">
        <v>818</v>
      </c>
      <c r="V1046" t="s">
        <v>18</v>
      </c>
      <c r="W1046" t="s">
        <v>3178</v>
      </c>
      <c r="AC1046" t="s">
        <v>1068</v>
      </c>
      <c r="AD1046" t="s">
        <v>19</v>
      </c>
      <c r="AE1046" t="s">
        <v>53</v>
      </c>
      <c r="AF1046" t="s">
        <v>857</v>
      </c>
    </row>
    <row r="1047" spans="1:32">
      <c r="A1047" t="s">
        <v>5420</v>
      </c>
      <c r="B1047" t="s">
        <v>1008</v>
      </c>
      <c r="C1047" t="s">
        <v>818</v>
      </c>
      <c r="D1047" t="s">
        <v>857</v>
      </c>
      <c r="E1047" t="s">
        <v>18</v>
      </c>
      <c r="F1047" t="s">
        <v>3291</v>
      </c>
      <c r="M1047" t="s">
        <v>4751</v>
      </c>
      <c r="N1047" t="s">
        <v>1063</v>
      </c>
      <c r="O1047" t="s">
        <v>18</v>
      </c>
      <c r="P1047" t="s">
        <v>3022</v>
      </c>
      <c r="T1047" t="s">
        <v>1008</v>
      </c>
      <c r="U1047" t="s">
        <v>818</v>
      </c>
      <c r="V1047" t="s">
        <v>18</v>
      </c>
      <c r="W1047" t="s">
        <v>857</v>
      </c>
      <c r="AC1047" t="s">
        <v>1068</v>
      </c>
      <c r="AD1047" t="s">
        <v>19</v>
      </c>
      <c r="AE1047" t="s">
        <v>53</v>
      </c>
      <c r="AF1047" t="s">
        <v>2747</v>
      </c>
    </row>
    <row r="1048" spans="1:32">
      <c r="A1048" t="s">
        <v>5421</v>
      </c>
      <c r="B1048" t="s">
        <v>1009</v>
      </c>
      <c r="C1048" t="s">
        <v>818</v>
      </c>
      <c r="D1048" t="s">
        <v>857</v>
      </c>
      <c r="E1048" t="s">
        <v>53</v>
      </c>
      <c r="F1048" t="s">
        <v>3345</v>
      </c>
      <c r="M1048" t="s">
        <v>4751</v>
      </c>
      <c r="N1048" t="s">
        <v>1063</v>
      </c>
      <c r="O1048" t="s">
        <v>18</v>
      </c>
      <c r="P1048" t="s">
        <v>3020</v>
      </c>
      <c r="T1048" t="s">
        <v>1009</v>
      </c>
      <c r="U1048" t="s">
        <v>818</v>
      </c>
      <c r="V1048" t="s">
        <v>53</v>
      </c>
      <c r="W1048" t="s">
        <v>857</v>
      </c>
      <c r="AC1048" t="s">
        <v>1068</v>
      </c>
      <c r="AD1048" t="s">
        <v>19</v>
      </c>
      <c r="AE1048" t="s">
        <v>53</v>
      </c>
      <c r="AF1048" t="s">
        <v>2743</v>
      </c>
    </row>
    <row r="1049" spans="1:32">
      <c r="A1049" t="s">
        <v>5421</v>
      </c>
      <c r="B1049" t="s">
        <v>1009</v>
      </c>
      <c r="C1049" t="s">
        <v>818</v>
      </c>
      <c r="D1049" t="s">
        <v>857</v>
      </c>
      <c r="E1049" t="s">
        <v>53</v>
      </c>
      <c r="F1049" t="s">
        <v>3344</v>
      </c>
      <c r="M1049" t="s">
        <v>4751</v>
      </c>
      <c r="N1049" t="s">
        <v>1063</v>
      </c>
      <c r="O1049" t="s">
        <v>18</v>
      </c>
      <c r="P1049" t="s">
        <v>3019</v>
      </c>
      <c r="T1049" t="s">
        <v>1009</v>
      </c>
      <c r="U1049" t="s">
        <v>818</v>
      </c>
      <c r="V1049" t="s">
        <v>53</v>
      </c>
      <c r="W1049" t="s">
        <v>857</v>
      </c>
      <c r="AC1049" t="s">
        <v>1068</v>
      </c>
      <c r="AD1049" t="s">
        <v>19</v>
      </c>
      <c r="AE1049" t="s">
        <v>18</v>
      </c>
      <c r="AF1049" t="s">
        <v>857</v>
      </c>
    </row>
    <row r="1050" spans="1:32">
      <c r="A1050" t="s">
        <v>5423</v>
      </c>
      <c r="B1050" t="s">
        <v>1009</v>
      </c>
      <c r="C1050" t="s">
        <v>818</v>
      </c>
      <c r="D1050" t="s">
        <v>3277</v>
      </c>
      <c r="E1050" t="s">
        <v>53</v>
      </c>
      <c r="F1050" t="s">
        <v>3278</v>
      </c>
      <c r="M1050" t="s">
        <v>4751</v>
      </c>
      <c r="N1050" t="s">
        <v>1063</v>
      </c>
      <c r="O1050" t="s">
        <v>18</v>
      </c>
      <c r="P1050" t="s">
        <v>3018</v>
      </c>
      <c r="T1050" t="s">
        <v>1009</v>
      </c>
      <c r="U1050" t="s">
        <v>818</v>
      </c>
      <c r="V1050" t="s">
        <v>53</v>
      </c>
      <c r="W1050" t="s">
        <v>3277</v>
      </c>
      <c r="AC1050" t="s">
        <v>1068</v>
      </c>
      <c r="AD1050" t="s">
        <v>2384</v>
      </c>
      <c r="AE1050" t="s">
        <v>857</v>
      </c>
      <c r="AF1050" t="s">
        <v>857</v>
      </c>
    </row>
    <row r="1051" spans="1:32">
      <c r="A1051" t="s">
        <v>5424</v>
      </c>
      <c r="B1051" t="s">
        <v>1009</v>
      </c>
      <c r="C1051" t="s">
        <v>818</v>
      </c>
      <c r="D1051" t="s">
        <v>3277</v>
      </c>
      <c r="E1051" t="s">
        <v>18</v>
      </c>
      <c r="F1051" t="s">
        <v>3352</v>
      </c>
      <c r="M1051" t="s">
        <v>4751</v>
      </c>
      <c r="N1051" t="s">
        <v>1063</v>
      </c>
      <c r="O1051" t="s">
        <v>18</v>
      </c>
      <c r="P1051" t="s">
        <v>3016</v>
      </c>
      <c r="T1051" t="s">
        <v>1009</v>
      </c>
      <c r="U1051" t="s">
        <v>818</v>
      </c>
      <c r="V1051" t="s">
        <v>18</v>
      </c>
      <c r="W1051" t="s">
        <v>3277</v>
      </c>
      <c r="AC1051" t="s">
        <v>1068</v>
      </c>
      <c r="AD1051" t="s">
        <v>2384</v>
      </c>
      <c r="AE1051" t="s">
        <v>857</v>
      </c>
      <c r="AF1051" t="s">
        <v>2743</v>
      </c>
    </row>
    <row r="1052" spans="1:32">
      <c r="A1052" t="s">
        <v>5425</v>
      </c>
      <c r="B1052" t="s">
        <v>1009</v>
      </c>
      <c r="C1052" t="s">
        <v>818</v>
      </c>
      <c r="D1052" t="s">
        <v>2636</v>
      </c>
      <c r="E1052" t="s">
        <v>53</v>
      </c>
      <c r="F1052" t="s">
        <v>3342</v>
      </c>
      <c r="M1052" t="s">
        <v>4751</v>
      </c>
      <c r="N1052" t="s">
        <v>1063</v>
      </c>
      <c r="O1052" t="s">
        <v>18</v>
      </c>
      <c r="P1052" t="s">
        <v>3015</v>
      </c>
      <c r="T1052" t="s">
        <v>1009</v>
      </c>
      <c r="U1052" t="s">
        <v>818</v>
      </c>
      <c r="V1052" t="s">
        <v>53</v>
      </c>
      <c r="W1052" t="s">
        <v>2636</v>
      </c>
      <c r="AC1052" t="s">
        <v>1068</v>
      </c>
      <c r="AD1052" t="s">
        <v>2384</v>
      </c>
      <c r="AE1052" t="s">
        <v>53</v>
      </c>
      <c r="AF1052" t="s">
        <v>2743</v>
      </c>
    </row>
    <row r="1053" spans="1:32">
      <c r="A1053" t="s">
        <v>5425</v>
      </c>
      <c r="B1053" t="s">
        <v>1009</v>
      </c>
      <c r="C1053" t="s">
        <v>818</v>
      </c>
      <c r="D1053" t="s">
        <v>2636</v>
      </c>
      <c r="E1053" t="s">
        <v>53</v>
      </c>
      <c r="F1053" t="s">
        <v>3276</v>
      </c>
      <c r="M1053" t="s">
        <v>4751</v>
      </c>
      <c r="N1053" t="s">
        <v>1063</v>
      </c>
      <c r="O1053" t="s">
        <v>18</v>
      </c>
      <c r="P1053" t="s">
        <v>3013</v>
      </c>
      <c r="T1053" t="s">
        <v>1009</v>
      </c>
      <c r="U1053" t="s">
        <v>818</v>
      </c>
      <c r="V1053" t="s">
        <v>53</v>
      </c>
      <c r="W1053" t="s">
        <v>2636</v>
      </c>
      <c r="AC1053" t="s">
        <v>1068</v>
      </c>
      <c r="AD1053" t="s">
        <v>2416</v>
      </c>
      <c r="AE1053" t="s">
        <v>53</v>
      </c>
      <c r="AF1053" t="s">
        <v>2743</v>
      </c>
    </row>
    <row r="1054" spans="1:32">
      <c r="A1054" t="s">
        <v>5426</v>
      </c>
      <c r="B1054" t="s">
        <v>1009</v>
      </c>
      <c r="C1054" t="s">
        <v>818</v>
      </c>
      <c r="D1054" t="s">
        <v>2366</v>
      </c>
      <c r="E1054" t="s">
        <v>53</v>
      </c>
      <c r="F1054" t="s">
        <v>3343</v>
      </c>
      <c r="M1054" t="s">
        <v>4752</v>
      </c>
      <c r="N1054" t="s">
        <v>1064</v>
      </c>
      <c r="O1054" t="s">
        <v>53</v>
      </c>
      <c r="P1054" t="s">
        <v>2855</v>
      </c>
      <c r="T1054" t="s">
        <v>1009</v>
      </c>
      <c r="U1054" t="s">
        <v>818</v>
      </c>
      <c r="V1054" t="s">
        <v>53</v>
      </c>
      <c r="W1054" t="s">
        <v>2366</v>
      </c>
      <c r="AC1054" t="s">
        <v>1068</v>
      </c>
      <c r="AD1054" t="s">
        <v>816</v>
      </c>
      <c r="AE1054" t="s">
        <v>53</v>
      </c>
      <c r="AF1054" t="s">
        <v>857</v>
      </c>
    </row>
    <row r="1055" spans="1:32">
      <c r="A1055" t="s">
        <v>5426</v>
      </c>
      <c r="B1055" t="s">
        <v>1009</v>
      </c>
      <c r="C1055" t="s">
        <v>818</v>
      </c>
      <c r="D1055" t="s">
        <v>2366</v>
      </c>
      <c r="E1055" t="s">
        <v>53</v>
      </c>
      <c r="F1055" t="s">
        <v>3275</v>
      </c>
      <c r="M1055" t="s">
        <v>4752</v>
      </c>
      <c r="N1055" t="s">
        <v>1064</v>
      </c>
      <c r="O1055" t="s">
        <v>53</v>
      </c>
      <c r="P1055" t="s">
        <v>2852</v>
      </c>
      <c r="T1055" t="s">
        <v>1009</v>
      </c>
      <c r="U1055" t="s">
        <v>818</v>
      </c>
      <c r="V1055" t="s">
        <v>53</v>
      </c>
      <c r="W1055" t="s">
        <v>2366</v>
      </c>
      <c r="AC1055" t="s">
        <v>1068</v>
      </c>
      <c r="AD1055" t="s">
        <v>816</v>
      </c>
      <c r="AE1055" t="s">
        <v>53</v>
      </c>
      <c r="AF1055" t="s">
        <v>2743</v>
      </c>
    </row>
    <row r="1056" spans="1:32">
      <c r="A1056" t="s">
        <v>5429</v>
      </c>
      <c r="B1056" t="s">
        <v>1009</v>
      </c>
      <c r="C1056" t="s">
        <v>19</v>
      </c>
      <c r="D1056" t="s">
        <v>857</v>
      </c>
      <c r="E1056" t="s">
        <v>18</v>
      </c>
      <c r="F1056" t="s">
        <v>3350</v>
      </c>
      <c r="M1056" t="s">
        <v>4752</v>
      </c>
      <c r="N1056" t="s">
        <v>1064</v>
      </c>
      <c r="O1056" t="s">
        <v>53</v>
      </c>
      <c r="P1056" t="s">
        <v>2851</v>
      </c>
      <c r="T1056" t="s">
        <v>1009</v>
      </c>
      <c r="U1056" t="s">
        <v>19</v>
      </c>
      <c r="V1056" t="s">
        <v>18</v>
      </c>
      <c r="W1056" t="s">
        <v>857</v>
      </c>
      <c r="AC1056" t="s">
        <v>1068</v>
      </c>
      <c r="AD1056" t="s">
        <v>816</v>
      </c>
      <c r="AE1056" t="s">
        <v>53</v>
      </c>
      <c r="AF1056" t="s">
        <v>2636</v>
      </c>
    </row>
    <row r="1057" spans="1:32">
      <c r="A1057" t="s">
        <v>5429</v>
      </c>
      <c r="B1057" t="s">
        <v>1009</v>
      </c>
      <c r="C1057" t="s">
        <v>19</v>
      </c>
      <c r="D1057" t="s">
        <v>857</v>
      </c>
      <c r="E1057" t="s">
        <v>18</v>
      </c>
      <c r="F1057" t="s">
        <v>3279</v>
      </c>
      <c r="M1057" t="s">
        <v>4752</v>
      </c>
      <c r="N1057" t="s">
        <v>1064</v>
      </c>
      <c r="O1057" t="s">
        <v>53</v>
      </c>
      <c r="P1057" t="s">
        <v>2849</v>
      </c>
      <c r="T1057" t="s">
        <v>1009</v>
      </c>
      <c r="U1057" t="s">
        <v>19</v>
      </c>
      <c r="V1057" t="s">
        <v>18</v>
      </c>
      <c r="W1057" t="s">
        <v>857</v>
      </c>
      <c r="AC1057" t="s">
        <v>1069</v>
      </c>
      <c r="AD1057" t="s">
        <v>818</v>
      </c>
      <c r="AE1057" t="s">
        <v>857</v>
      </c>
      <c r="AF1057" t="s">
        <v>2727</v>
      </c>
    </row>
    <row r="1058" spans="1:32">
      <c r="A1058" t="s">
        <v>6536</v>
      </c>
      <c r="B1058" t="s">
        <v>1009</v>
      </c>
      <c r="C1058" t="s">
        <v>19</v>
      </c>
      <c r="D1058" t="s">
        <v>3348</v>
      </c>
      <c r="E1058" t="s">
        <v>18</v>
      </c>
      <c r="F1058" t="s">
        <v>3349</v>
      </c>
      <c r="M1058" t="s">
        <v>4753</v>
      </c>
      <c r="N1058" t="s">
        <v>1064</v>
      </c>
      <c r="O1058" t="s">
        <v>18</v>
      </c>
      <c r="P1058" t="s">
        <v>2854</v>
      </c>
      <c r="T1058" t="s">
        <v>1009</v>
      </c>
      <c r="U1058" t="s">
        <v>19</v>
      </c>
      <c r="V1058" t="s">
        <v>18</v>
      </c>
      <c r="W1058" t="s">
        <v>3348</v>
      </c>
      <c r="AC1058" t="s">
        <v>1069</v>
      </c>
      <c r="AD1058" t="s">
        <v>818</v>
      </c>
      <c r="AE1058" t="s">
        <v>53</v>
      </c>
      <c r="AF1058" t="s">
        <v>857</v>
      </c>
    </row>
    <row r="1059" spans="1:32">
      <c r="A1059" t="s">
        <v>5431</v>
      </c>
      <c r="B1059" t="s">
        <v>1009</v>
      </c>
      <c r="C1059" t="s">
        <v>19</v>
      </c>
      <c r="D1059" t="s">
        <v>2581</v>
      </c>
      <c r="E1059" t="s">
        <v>857</v>
      </c>
      <c r="F1059" t="s">
        <v>3996</v>
      </c>
      <c r="M1059" t="s">
        <v>4753</v>
      </c>
      <c r="N1059" t="s">
        <v>1064</v>
      </c>
      <c r="O1059" t="s">
        <v>18</v>
      </c>
      <c r="P1059" t="s">
        <v>2853</v>
      </c>
      <c r="T1059" t="s">
        <v>1009</v>
      </c>
      <c r="U1059" t="s">
        <v>19</v>
      </c>
      <c r="V1059" t="s">
        <v>857</v>
      </c>
      <c r="W1059" t="s">
        <v>2581</v>
      </c>
      <c r="AC1059" t="s">
        <v>1069</v>
      </c>
      <c r="AD1059" t="s">
        <v>818</v>
      </c>
      <c r="AE1059" t="s">
        <v>53</v>
      </c>
      <c r="AF1059" t="s">
        <v>2727</v>
      </c>
    </row>
    <row r="1060" spans="1:32">
      <c r="A1060" t="s">
        <v>5432</v>
      </c>
      <c r="B1060" t="s">
        <v>1009</v>
      </c>
      <c r="C1060" t="s">
        <v>19</v>
      </c>
      <c r="D1060" t="s">
        <v>2581</v>
      </c>
      <c r="E1060" t="s">
        <v>53</v>
      </c>
      <c r="F1060" t="s">
        <v>3274</v>
      </c>
      <c r="M1060" t="s">
        <v>4797</v>
      </c>
      <c r="N1060" t="s">
        <v>1065</v>
      </c>
      <c r="O1060" t="s">
        <v>53</v>
      </c>
      <c r="P1060" t="s">
        <v>2843</v>
      </c>
      <c r="T1060" t="s">
        <v>1009</v>
      </c>
      <c r="U1060" t="s">
        <v>19</v>
      </c>
      <c r="V1060" t="s">
        <v>53</v>
      </c>
      <c r="W1060" t="s">
        <v>2581</v>
      </c>
      <c r="AC1060" t="s">
        <v>1069</v>
      </c>
      <c r="AD1060" t="s">
        <v>818</v>
      </c>
      <c r="AE1060" t="s">
        <v>18</v>
      </c>
      <c r="AF1060" t="s">
        <v>857</v>
      </c>
    </row>
    <row r="1061" spans="1:32">
      <c r="A1061" t="s">
        <v>5435</v>
      </c>
      <c r="B1061" t="s">
        <v>1009</v>
      </c>
      <c r="C1061" t="s">
        <v>2384</v>
      </c>
      <c r="D1061" t="s">
        <v>857</v>
      </c>
      <c r="E1061" t="s">
        <v>857</v>
      </c>
      <c r="F1061" t="s">
        <v>3803</v>
      </c>
      <c r="M1061" t="s">
        <v>4798</v>
      </c>
      <c r="N1061" t="s">
        <v>1065</v>
      </c>
      <c r="O1061" t="s">
        <v>18</v>
      </c>
      <c r="P1061" t="s">
        <v>2847</v>
      </c>
      <c r="T1061" t="s">
        <v>1009</v>
      </c>
      <c r="U1061" t="s">
        <v>2384</v>
      </c>
      <c r="V1061" t="s">
        <v>857</v>
      </c>
      <c r="W1061" t="s">
        <v>857</v>
      </c>
      <c r="AC1061" t="s">
        <v>1069</v>
      </c>
      <c r="AD1061" t="s">
        <v>816</v>
      </c>
      <c r="AE1061" t="s">
        <v>18</v>
      </c>
      <c r="AF1061" t="s">
        <v>857</v>
      </c>
    </row>
    <row r="1062" spans="1:32">
      <c r="A1062" t="s">
        <v>5436</v>
      </c>
      <c r="B1062" t="s">
        <v>1009</v>
      </c>
      <c r="C1062" t="s">
        <v>2384</v>
      </c>
      <c r="D1062" t="s">
        <v>2636</v>
      </c>
      <c r="E1062" t="s">
        <v>857</v>
      </c>
      <c r="F1062" t="s">
        <v>4084</v>
      </c>
      <c r="M1062" t="s">
        <v>4798</v>
      </c>
      <c r="N1062" t="s">
        <v>1065</v>
      </c>
      <c r="O1062" t="s">
        <v>18</v>
      </c>
      <c r="P1062" t="s">
        <v>2846</v>
      </c>
      <c r="T1062" t="s">
        <v>1009</v>
      </c>
      <c r="U1062" t="s">
        <v>2384</v>
      </c>
      <c r="V1062" t="s">
        <v>857</v>
      </c>
      <c r="W1062" t="s">
        <v>2636</v>
      </c>
      <c r="AC1062" t="s">
        <v>1070</v>
      </c>
      <c r="AD1062" t="s">
        <v>818</v>
      </c>
      <c r="AE1062" t="s">
        <v>857</v>
      </c>
      <c r="AF1062" t="s">
        <v>2770</v>
      </c>
    </row>
    <row r="1063" spans="1:32">
      <c r="A1063" t="s">
        <v>5437</v>
      </c>
      <c r="B1063" t="s">
        <v>1009</v>
      </c>
      <c r="C1063" t="s">
        <v>816</v>
      </c>
      <c r="D1063" t="s">
        <v>857</v>
      </c>
      <c r="E1063" t="s">
        <v>18</v>
      </c>
      <c r="F1063" t="s">
        <v>3351</v>
      </c>
      <c r="M1063" t="s">
        <v>4798</v>
      </c>
      <c r="N1063" t="s">
        <v>1065</v>
      </c>
      <c r="O1063" t="s">
        <v>18</v>
      </c>
      <c r="P1063" t="s">
        <v>2845</v>
      </c>
      <c r="T1063" t="s">
        <v>1009</v>
      </c>
      <c r="U1063" t="s">
        <v>816</v>
      </c>
      <c r="V1063" t="s">
        <v>18</v>
      </c>
      <c r="W1063" t="s">
        <v>857</v>
      </c>
      <c r="AC1063" t="s">
        <v>1070</v>
      </c>
      <c r="AD1063" t="s">
        <v>818</v>
      </c>
      <c r="AE1063" t="s">
        <v>18</v>
      </c>
      <c r="AF1063" t="s">
        <v>857</v>
      </c>
    </row>
    <row r="1064" spans="1:32">
      <c r="A1064" t="s">
        <v>5438</v>
      </c>
      <c r="B1064" t="s">
        <v>1009</v>
      </c>
      <c r="C1064" t="s">
        <v>816</v>
      </c>
      <c r="D1064" t="s">
        <v>2768</v>
      </c>
      <c r="E1064" t="s">
        <v>53</v>
      </c>
      <c r="F1064" t="s">
        <v>3353</v>
      </c>
      <c r="M1064" t="s">
        <v>4798</v>
      </c>
      <c r="N1064" t="s">
        <v>1065</v>
      </c>
      <c r="O1064" t="s">
        <v>18</v>
      </c>
      <c r="P1064" t="s">
        <v>2844</v>
      </c>
      <c r="T1064" t="s">
        <v>1009</v>
      </c>
      <c r="U1064" t="s">
        <v>816</v>
      </c>
      <c r="V1064" t="s">
        <v>53</v>
      </c>
      <c r="W1064" t="s">
        <v>2768</v>
      </c>
      <c r="AC1064" t="s">
        <v>1070</v>
      </c>
      <c r="AD1064" t="s">
        <v>818</v>
      </c>
      <c r="AE1064" t="s">
        <v>18</v>
      </c>
      <c r="AF1064" t="s">
        <v>2770</v>
      </c>
    </row>
    <row r="1065" spans="1:32">
      <c r="A1065" t="s">
        <v>5438</v>
      </c>
      <c r="B1065" t="s">
        <v>1009</v>
      </c>
      <c r="C1065" t="s">
        <v>816</v>
      </c>
      <c r="D1065" t="s">
        <v>2768</v>
      </c>
      <c r="E1065" t="s">
        <v>53</v>
      </c>
      <c r="F1065" t="s">
        <v>3273</v>
      </c>
      <c r="M1065" t="s">
        <v>4798</v>
      </c>
      <c r="N1065" t="s">
        <v>1065</v>
      </c>
      <c r="O1065" t="s">
        <v>18</v>
      </c>
      <c r="P1065" t="s">
        <v>2842</v>
      </c>
      <c r="T1065" t="s">
        <v>1009</v>
      </c>
      <c r="U1065" t="s">
        <v>816</v>
      </c>
      <c r="V1065" t="s">
        <v>53</v>
      </c>
      <c r="W1065" t="s">
        <v>2768</v>
      </c>
      <c r="AC1065" t="s">
        <v>1070</v>
      </c>
      <c r="AD1065" t="s">
        <v>19</v>
      </c>
      <c r="AE1065" t="s">
        <v>857</v>
      </c>
      <c r="AF1065" t="s">
        <v>2768</v>
      </c>
    </row>
    <row r="1066" spans="1:32">
      <c r="A1066" t="s">
        <v>5440</v>
      </c>
      <c r="B1066" t="s">
        <v>1009</v>
      </c>
      <c r="C1066" t="s">
        <v>816</v>
      </c>
      <c r="D1066" t="s">
        <v>3346</v>
      </c>
      <c r="E1066" t="s">
        <v>53</v>
      </c>
      <c r="F1066" t="s">
        <v>3347</v>
      </c>
      <c r="M1066" t="s">
        <v>4754</v>
      </c>
      <c r="N1066" t="s">
        <v>1066</v>
      </c>
      <c r="O1066" t="s">
        <v>18</v>
      </c>
      <c r="P1066" t="s">
        <v>2840</v>
      </c>
      <c r="T1066" t="s">
        <v>1009</v>
      </c>
      <c r="U1066" t="s">
        <v>816</v>
      </c>
      <c r="V1066" t="s">
        <v>53</v>
      </c>
      <c r="W1066" t="s">
        <v>3346</v>
      </c>
      <c r="AC1066" t="s">
        <v>1070</v>
      </c>
      <c r="AD1066" t="s">
        <v>19</v>
      </c>
      <c r="AE1066" t="s">
        <v>18</v>
      </c>
      <c r="AF1066" t="s">
        <v>857</v>
      </c>
    </row>
    <row r="1067" spans="1:32">
      <c r="A1067" t="s">
        <v>6537</v>
      </c>
      <c r="B1067" t="s">
        <v>1010</v>
      </c>
      <c r="C1067" t="s">
        <v>818</v>
      </c>
      <c r="D1067" t="s">
        <v>3202</v>
      </c>
      <c r="E1067" t="s">
        <v>857</v>
      </c>
      <c r="F1067" t="s">
        <v>4048</v>
      </c>
      <c r="M1067" t="s">
        <v>4754</v>
      </c>
      <c r="N1067" t="s">
        <v>1066</v>
      </c>
      <c r="O1067" t="s">
        <v>18</v>
      </c>
      <c r="P1067" t="s">
        <v>2839</v>
      </c>
      <c r="T1067" t="s">
        <v>1010</v>
      </c>
      <c r="U1067" t="s">
        <v>818</v>
      </c>
      <c r="V1067" t="s">
        <v>857</v>
      </c>
      <c r="W1067" t="s">
        <v>3202</v>
      </c>
      <c r="AC1067" t="s">
        <v>1070</v>
      </c>
      <c r="AD1067" t="s">
        <v>19</v>
      </c>
      <c r="AE1067" t="s">
        <v>18</v>
      </c>
      <c r="AF1067" t="s">
        <v>2768</v>
      </c>
    </row>
    <row r="1068" spans="1:32">
      <c r="A1068" t="s">
        <v>6538</v>
      </c>
      <c r="B1068" t="s">
        <v>1010</v>
      </c>
      <c r="C1068" t="s">
        <v>818</v>
      </c>
      <c r="D1068" t="s">
        <v>3202</v>
      </c>
      <c r="E1068" t="s">
        <v>18</v>
      </c>
      <c r="F1068" t="s">
        <v>3209</v>
      </c>
      <c r="M1068" t="s">
        <v>4754</v>
      </c>
      <c r="N1068" t="s">
        <v>1066</v>
      </c>
      <c r="O1068" t="s">
        <v>18</v>
      </c>
      <c r="P1068" t="s">
        <v>2838</v>
      </c>
      <c r="T1068" t="s">
        <v>1010</v>
      </c>
      <c r="U1068" t="s">
        <v>818</v>
      </c>
      <c r="V1068" t="s">
        <v>18</v>
      </c>
      <c r="W1068" t="s">
        <v>3202</v>
      </c>
      <c r="AC1068" t="s">
        <v>1070</v>
      </c>
      <c r="AD1068" t="s">
        <v>19</v>
      </c>
      <c r="AE1068" t="s">
        <v>18</v>
      </c>
      <c r="AF1068" t="s">
        <v>2765</v>
      </c>
    </row>
    <row r="1069" spans="1:32">
      <c r="A1069" t="s">
        <v>6538</v>
      </c>
      <c r="B1069" t="s">
        <v>1010</v>
      </c>
      <c r="C1069" t="s">
        <v>818</v>
      </c>
      <c r="D1069" t="s">
        <v>3202</v>
      </c>
      <c r="E1069" t="s">
        <v>18</v>
      </c>
      <c r="F1069" t="s">
        <v>3206</v>
      </c>
      <c r="M1069" t="s">
        <v>4754</v>
      </c>
      <c r="N1069" t="s">
        <v>1066</v>
      </c>
      <c r="O1069" t="s">
        <v>18</v>
      </c>
      <c r="P1069" t="s">
        <v>2837</v>
      </c>
      <c r="T1069" t="s">
        <v>1010</v>
      </c>
      <c r="U1069" t="s">
        <v>818</v>
      </c>
      <c r="V1069" t="s">
        <v>18</v>
      </c>
      <c r="W1069" t="s">
        <v>3202</v>
      </c>
      <c r="AC1069" t="s">
        <v>1070</v>
      </c>
      <c r="AD1069" t="s">
        <v>2384</v>
      </c>
      <c r="AE1069" t="s">
        <v>857</v>
      </c>
      <c r="AF1069" t="s">
        <v>857</v>
      </c>
    </row>
    <row r="1070" spans="1:32">
      <c r="A1070" t="s">
        <v>6539</v>
      </c>
      <c r="B1070" t="s">
        <v>1010</v>
      </c>
      <c r="C1070" t="s">
        <v>19</v>
      </c>
      <c r="D1070" t="s">
        <v>3202</v>
      </c>
      <c r="E1070" t="s">
        <v>857</v>
      </c>
      <c r="F1070" t="s">
        <v>4047</v>
      </c>
      <c r="M1070" t="s">
        <v>4754</v>
      </c>
      <c r="N1070" t="s">
        <v>1066</v>
      </c>
      <c r="O1070" t="s">
        <v>18</v>
      </c>
      <c r="P1070" t="s">
        <v>2836</v>
      </c>
      <c r="T1070" t="s">
        <v>1010</v>
      </c>
      <c r="U1070" t="s">
        <v>19</v>
      </c>
      <c r="V1070" t="s">
        <v>857</v>
      </c>
      <c r="W1070" t="s">
        <v>3202</v>
      </c>
      <c r="AC1070" t="s">
        <v>1070</v>
      </c>
      <c r="AD1070" t="s">
        <v>2384</v>
      </c>
      <c r="AE1070" t="s">
        <v>18</v>
      </c>
      <c r="AF1070" t="s">
        <v>2765</v>
      </c>
    </row>
    <row r="1071" spans="1:32">
      <c r="A1071" t="s">
        <v>6540</v>
      </c>
      <c r="B1071" t="s">
        <v>1010</v>
      </c>
      <c r="C1071" t="s">
        <v>19</v>
      </c>
      <c r="D1071" t="s">
        <v>3202</v>
      </c>
      <c r="E1071" t="s">
        <v>18</v>
      </c>
      <c r="F1071" t="s">
        <v>3205</v>
      </c>
      <c r="M1071" t="s">
        <v>4754</v>
      </c>
      <c r="N1071" t="s">
        <v>1066</v>
      </c>
      <c r="O1071" t="s">
        <v>18</v>
      </c>
      <c r="P1071" t="s">
        <v>2835</v>
      </c>
      <c r="T1071" t="s">
        <v>1010</v>
      </c>
      <c r="U1071" t="s">
        <v>19</v>
      </c>
      <c r="V1071" t="s">
        <v>18</v>
      </c>
      <c r="W1071" t="s">
        <v>3202</v>
      </c>
      <c r="AC1071" t="s">
        <v>1070</v>
      </c>
      <c r="AD1071" t="s">
        <v>816</v>
      </c>
      <c r="AE1071" t="s">
        <v>18</v>
      </c>
      <c r="AF1071" t="s">
        <v>857</v>
      </c>
    </row>
    <row r="1072" spans="1:32">
      <c r="A1072" t="s">
        <v>5444</v>
      </c>
      <c r="B1072" t="s">
        <v>1010</v>
      </c>
      <c r="C1072" t="s">
        <v>19</v>
      </c>
      <c r="D1072" t="s">
        <v>2366</v>
      </c>
      <c r="E1072" t="s">
        <v>18</v>
      </c>
      <c r="F1072" t="s">
        <v>3210</v>
      </c>
      <c r="M1072" t="s">
        <v>4754</v>
      </c>
      <c r="N1072" t="s">
        <v>1066</v>
      </c>
      <c r="O1072" t="s">
        <v>18</v>
      </c>
      <c r="P1072" t="s">
        <v>2834</v>
      </c>
      <c r="T1072" t="s">
        <v>1010</v>
      </c>
      <c r="U1072" t="s">
        <v>19</v>
      </c>
      <c r="V1072" t="s">
        <v>18</v>
      </c>
      <c r="W1072" t="s">
        <v>2366</v>
      </c>
      <c r="AC1072" t="s">
        <v>1070</v>
      </c>
      <c r="AD1072" t="s">
        <v>816</v>
      </c>
      <c r="AE1072" t="s">
        <v>18</v>
      </c>
      <c r="AF1072" t="s">
        <v>2765</v>
      </c>
    </row>
    <row r="1073" spans="1:32">
      <c r="A1073" t="s">
        <v>5444</v>
      </c>
      <c r="B1073" t="s">
        <v>1010</v>
      </c>
      <c r="C1073" t="s">
        <v>19</v>
      </c>
      <c r="D1073" t="s">
        <v>2366</v>
      </c>
      <c r="E1073" t="s">
        <v>18</v>
      </c>
      <c r="F1073" t="s">
        <v>3208</v>
      </c>
      <c r="M1073" t="s">
        <v>4754</v>
      </c>
      <c r="N1073" t="s">
        <v>1066</v>
      </c>
      <c r="O1073" t="s">
        <v>18</v>
      </c>
      <c r="P1073" t="s">
        <v>2833</v>
      </c>
      <c r="T1073" t="s">
        <v>1010</v>
      </c>
      <c r="U1073" t="s">
        <v>19</v>
      </c>
      <c r="V1073" t="s">
        <v>18</v>
      </c>
      <c r="W1073" t="s">
        <v>2366</v>
      </c>
      <c r="AC1073" t="s">
        <v>1071</v>
      </c>
      <c r="AD1073" t="s">
        <v>818</v>
      </c>
      <c r="AE1073" t="s">
        <v>857</v>
      </c>
      <c r="AF1073" t="s">
        <v>857</v>
      </c>
    </row>
    <row r="1074" spans="1:32">
      <c r="A1074" t="s">
        <v>6541</v>
      </c>
      <c r="B1074" t="s">
        <v>1010</v>
      </c>
      <c r="C1074" t="s">
        <v>2384</v>
      </c>
      <c r="D1074" t="s">
        <v>3202</v>
      </c>
      <c r="E1074" t="s">
        <v>857</v>
      </c>
      <c r="F1074" t="s">
        <v>3948</v>
      </c>
      <c r="M1074" t="s">
        <v>4754</v>
      </c>
      <c r="N1074" t="s">
        <v>1066</v>
      </c>
      <c r="O1074" t="s">
        <v>18</v>
      </c>
      <c r="P1074" t="s">
        <v>2832</v>
      </c>
      <c r="T1074" t="s">
        <v>1010</v>
      </c>
      <c r="U1074" t="s">
        <v>2384</v>
      </c>
      <c r="V1074" t="s">
        <v>857</v>
      </c>
      <c r="W1074" t="s">
        <v>3202</v>
      </c>
      <c r="AC1074" t="s">
        <v>1071</v>
      </c>
      <c r="AD1074" t="s">
        <v>19</v>
      </c>
      <c r="AE1074" t="s">
        <v>857</v>
      </c>
      <c r="AF1074" t="s">
        <v>857</v>
      </c>
    </row>
    <row r="1075" spans="1:32">
      <c r="A1075" t="s">
        <v>6542</v>
      </c>
      <c r="B1075" t="s">
        <v>1010</v>
      </c>
      <c r="C1075" t="s">
        <v>2384</v>
      </c>
      <c r="D1075" t="s">
        <v>3202</v>
      </c>
      <c r="E1075" t="s">
        <v>18</v>
      </c>
      <c r="F1075" t="s">
        <v>3203</v>
      </c>
      <c r="M1075" t="s">
        <v>4754</v>
      </c>
      <c r="N1075" t="s">
        <v>1066</v>
      </c>
      <c r="O1075" t="s">
        <v>18</v>
      </c>
      <c r="P1075" t="s">
        <v>2831</v>
      </c>
      <c r="T1075" t="s">
        <v>1010</v>
      </c>
      <c r="U1075" t="s">
        <v>2384</v>
      </c>
      <c r="V1075" t="s">
        <v>18</v>
      </c>
      <c r="W1075" t="s">
        <v>3202</v>
      </c>
      <c r="AC1075" t="s">
        <v>1071</v>
      </c>
      <c r="AD1075" t="s">
        <v>19</v>
      </c>
      <c r="AE1075" t="s">
        <v>857</v>
      </c>
      <c r="AF1075" t="s">
        <v>2778</v>
      </c>
    </row>
    <row r="1076" spans="1:32">
      <c r="A1076" t="s">
        <v>5448</v>
      </c>
      <c r="B1076" t="s">
        <v>1010</v>
      </c>
      <c r="C1076" t="s">
        <v>2416</v>
      </c>
      <c r="D1076" t="s">
        <v>857</v>
      </c>
      <c r="E1076" t="s">
        <v>857</v>
      </c>
      <c r="F1076" t="s">
        <v>4043</v>
      </c>
      <c r="M1076" t="s">
        <v>4754</v>
      </c>
      <c r="N1076" t="s">
        <v>1066</v>
      </c>
      <c r="O1076" t="s">
        <v>18</v>
      </c>
      <c r="P1076" t="s">
        <v>2830</v>
      </c>
      <c r="T1076" t="s">
        <v>1010</v>
      </c>
      <c r="U1076" t="s">
        <v>2416</v>
      </c>
      <c r="V1076" t="s">
        <v>857</v>
      </c>
      <c r="W1076" t="s">
        <v>857</v>
      </c>
      <c r="AC1076" t="s">
        <v>1071</v>
      </c>
      <c r="AD1076" t="s">
        <v>19</v>
      </c>
      <c r="AE1076" t="s">
        <v>18</v>
      </c>
      <c r="AF1076" t="s">
        <v>2778</v>
      </c>
    </row>
    <row r="1077" spans="1:32">
      <c r="A1077" t="s">
        <v>6543</v>
      </c>
      <c r="B1077" t="s">
        <v>1010</v>
      </c>
      <c r="C1077" t="s">
        <v>816</v>
      </c>
      <c r="D1077" t="s">
        <v>3202</v>
      </c>
      <c r="E1077" t="s">
        <v>857</v>
      </c>
      <c r="F1077" t="s">
        <v>4044</v>
      </c>
      <c r="M1077" t="s">
        <v>4754</v>
      </c>
      <c r="N1077" t="s">
        <v>1066</v>
      </c>
      <c r="O1077" t="s">
        <v>18</v>
      </c>
      <c r="P1077" t="s">
        <v>2829</v>
      </c>
      <c r="T1077" t="s">
        <v>1010</v>
      </c>
      <c r="U1077" t="s">
        <v>816</v>
      </c>
      <c r="V1077" t="s">
        <v>857</v>
      </c>
      <c r="W1077" t="s">
        <v>3202</v>
      </c>
      <c r="AC1077" t="s">
        <v>1071</v>
      </c>
      <c r="AD1077" t="s">
        <v>2384</v>
      </c>
      <c r="AE1077" t="s">
        <v>857</v>
      </c>
      <c r="AF1077" t="s">
        <v>2778</v>
      </c>
    </row>
    <row r="1078" spans="1:32">
      <c r="A1078" t="s">
        <v>6544</v>
      </c>
      <c r="B1078" t="s">
        <v>1010</v>
      </c>
      <c r="C1078" t="s">
        <v>816</v>
      </c>
      <c r="D1078" t="s">
        <v>3202</v>
      </c>
      <c r="E1078" t="s">
        <v>18</v>
      </c>
      <c r="F1078" t="s">
        <v>3204</v>
      </c>
      <c r="M1078" t="s">
        <v>4754</v>
      </c>
      <c r="N1078" t="s">
        <v>1066</v>
      </c>
      <c r="O1078" t="s">
        <v>18</v>
      </c>
      <c r="P1078" t="s">
        <v>2828</v>
      </c>
      <c r="T1078" t="s">
        <v>1010</v>
      </c>
      <c r="U1078" t="s">
        <v>816</v>
      </c>
      <c r="V1078" t="s">
        <v>18</v>
      </c>
      <c r="W1078" t="s">
        <v>3202</v>
      </c>
      <c r="AC1078" t="s">
        <v>1071</v>
      </c>
      <c r="AD1078" t="s">
        <v>2384</v>
      </c>
      <c r="AE1078" t="s">
        <v>18</v>
      </c>
      <c r="AF1078" t="s">
        <v>2778</v>
      </c>
    </row>
    <row r="1079" spans="1:32">
      <c r="A1079" t="s">
        <v>5450</v>
      </c>
      <c r="B1079" t="s">
        <v>1010</v>
      </c>
      <c r="C1079" t="s">
        <v>816</v>
      </c>
      <c r="D1079" t="s">
        <v>2366</v>
      </c>
      <c r="E1079" t="s">
        <v>18</v>
      </c>
      <c r="F1079" t="s">
        <v>3211</v>
      </c>
      <c r="M1079" t="s">
        <v>4754</v>
      </c>
      <c r="N1079" t="s">
        <v>1066</v>
      </c>
      <c r="O1079" t="s">
        <v>18</v>
      </c>
      <c r="P1079" t="s">
        <v>2827</v>
      </c>
      <c r="T1079" t="s">
        <v>1010</v>
      </c>
      <c r="U1079" t="s">
        <v>816</v>
      </c>
      <c r="V1079" t="s">
        <v>18</v>
      </c>
      <c r="W1079" t="s">
        <v>2366</v>
      </c>
      <c r="AC1079" t="s">
        <v>1071</v>
      </c>
      <c r="AD1079" t="s">
        <v>816</v>
      </c>
      <c r="AE1079" t="s">
        <v>18</v>
      </c>
      <c r="AF1079" t="s">
        <v>857</v>
      </c>
    </row>
    <row r="1080" spans="1:32">
      <c r="A1080" t="s">
        <v>5450</v>
      </c>
      <c r="B1080" t="s">
        <v>1010</v>
      </c>
      <c r="C1080" t="s">
        <v>816</v>
      </c>
      <c r="D1080" t="s">
        <v>2366</v>
      </c>
      <c r="E1080" t="s">
        <v>18</v>
      </c>
      <c r="F1080" t="s">
        <v>3207</v>
      </c>
      <c r="M1080" t="s">
        <v>4754</v>
      </c>
      <c r="N1080" t="s">
        <v>1066</v>
      </c>
      <c r="O1080" t="s">
        <v>18</v>
      </c>
      <c r="P1080" t="s">
        <v>2825</v>
      </c>
      <c r="T1080" t="s">
        <v>1010</v>
      </c>
      <c r="U1080" t="s">
        <v>816</v>
      </c>
      <c r="V1080" t="s">
        <v>18</v>
      </c>
      <c r="W1080" t="s">
        <v>2366</v>
      </c>
      <c r="AC1080" t="s">
        <v>1071</v>
      </c>
      <c r="AD1080" t="s">
        <v>816</v>
      </c>
      <c r="AE1080" t="s">
        <v>18</v>
      </c>
      <c r="AF1080" t="s">
        <v>2778</v>
      </c>
    </row>
    <row r="1081" spans="1:32">
      <c r="A1081" t="s">
        <v>5453</v>
      </c>
      <c r="B1081" t="s">
        <v>1011</v>
      </c>
      <c r="C1081" t="s">
        <v>818</v>
      </c>
      <c r="D1081" t="s">
        <v>857</v>
      </c>
      <c r="E1081" t="s">
        <v>53</v>
      </c>
      <c r="F1081" t="s">
        <v>3199</v>
      </c>
      <c r="M1081" t="s">
        <v>4799</v>
      </c>
      <c r="N1081" t="s">
        <v>1067</v>
      </c>
      <c r="O1081" t="s">
        <v>18</v>
      </c>
      <c r="P1081" t="s">
        <v>2706</v>
      </c>
      <c r="T1081" t="s">
        <v>1011</v>
      </c>
      <c r="U1081" t="s">
        <v>818</v>
      </c>
      <c r="V1081" t="s">
        <v>53</v>
      </c>
      <c r="W1081" t="s">
        <v>857</v>
      </c>
      <c r="AC1081" t="s">
        <v>1072</v>
      </c>
      <c r="AD1081" t="s">
        <v>818</v>
      </c>
      <c r="AE1081" t="s">
        <v>857</v>
      </c>
      <c r="AF1081" t="s">
        <v>857</v>
      </c>
    </row>
    <row r="1082" spans="1:32">
      <c r="A1082" t="s">
        <v>5455</v>
      </c>
      <c r="B1082" t="s">
        <v>1011</v>
      </c>
      <c r="C1082" t="s">
        <v>818</v>
      </c>
      <c r="D1082" t="s">
        <v>3196</v>
      </c>
      <c r="E1082" t="s">
        <v>53</v>
      </c>
      <c r="F1082" t="s">
        <v>3200</v>
      </c>
      <c r="M1082" t="s">
        <v>4799</v>
      </c>
      <c r="N1082" t="s">
        <v>1067</v>
      </c>
      <c r="O1082" t="s">
        <v>18</v>
      </c>
      <c r="P1082" t="s">
        <v>2705</v>
      </c>
      <c r="T1082" t="s">
        <v>1011</v>
      </c>
      <c r="U1082" t="s">
        <v>818</v>
      </c>
      <c r="V1082" t="s">
        <v>53</v>
      </c>
      <c r="W1082" t="s">
        <v>3196</v>
      </c>
      <c r="AC1082" t="s">
        <v>1072</v>
      </c>
      <c r="AD1082" t="s">
        <v>818</v>
      </c>
      <c r="AE1082" t="s">
        <v>857</v>
      </c>
      <c r="AF1082" t="s">
        <v>2512</v>
      </c>
    </row>
    <row r="1083" spans="1:32">
      <c r="A1083" t="s">
        <v>5456</v>
      </c>
      <c r="B1083" t="s">
        <v>1011</v>
      </c>
      <c r="C1083" t="s">
        <v>818</v>
      </c>
      <c r="D1083" t="s">
        <v>3196</v>
      </c>
      <c r="E1083" t="s">
        <v>18</v>
      </c>
      <c r="F1083" t="s">
        <v>3197</v>
      </c>
      <c r="M1083" t="s">
        <v>4799</v>
      </c>
      <c r="N1083" t="s">
        <v>1067</v>
      </c>
      <c r="O1083" t="s">
        <v>18</v>
      </c>
      <c r="P1083" t="s">
        <v>2704</v>
      </c>
      <c r="T1083" t="s">
        <v>1011</v>
      </c>
      <c r="U1083" t="s">
        <v>818</v>
      </c>
      <c r="V1083" t="s">
        <v>18</v>
      </c>
      <c r="W1083" t="s">
        <v>3196</v>
      </c>
      <c r="AC1083" t="s">
        <v>1072</v>
      </c>
      <c r="AD1083" t="s">
        <v>818</v>
      </c>
      <c r="AE1083" t="s">
        <v>18</v>
      </c>
      <c r="AF1083" t="s">
        <v>857</v>
      </c>
    </row>
    <row r="1084" spans="1:32">
      <c r="A1084" t="s">
        <v>6545</v>
      </c>
      <c r="B1084" t="s">
        <v>1011</v>
      </c>
      <c r="C1084" t="s">
        <v>818</v>
      </c>
      <c r="D1084" t="s">
        <v>3194</v>
      </c>
      <c r="E1084" t="s">
        <v>857</v>
      </c>
      <c r="F1084" t="s">
        <v>4132</v>
      </c>
      <c r="M1084" t="s">
        <v>4799</v>
      </c>
      <c r="N1084" t="s">
        <v>1067</v>
      </c>
      <c r="O1084" t="s">
        <v>18</v>
      </c>
      <c r="P1084" t="s">
        <v>2703</v>
      </c>
      <c r="T1084" t="s">
        <v>1011</v>
      </c>
      <c r="U1084" t="s">
        <v>818</v>
      </c>
      <c r="V1084" t="s">
        <v>857</v>
      </c>
      <c r="W1084" t="s">
        <v>3194</v>
      </c>
      <c r="AC1084" t="s">
        <v>1072</v>
      </c>
      <c r="AD1084" t="s">
        <v>818</v>
      </c>
      <c r="AE1084" t="s">
        <v>18</v>
      </c>
      <c r="AF1084" t="s">
        <v>2512</v>
      </c>
    </row>
    <row r="1085" spans="1:32">
      <c r="A1085" t="s">
        <v>6546</v>
      </c>
      <c r="B1085" t="s">
        <v>1011</v>
      </c>
      <c r="C1085" t="s">
        <v>818</v>
      </c>
      <c r="D1085" t="s">
        <v>3194</v>
      </c>
      <c r="E1085" t="s">
        <v>53</v>
      </c>
      <c r="F1085" t="s">
        <v>3198</v>
      </c>
      <c r="M1085" t="s">
        <v>4799</v>
      </c>
      <c r="N1085" t="s">
        <v>1067</v>
      </c>
      <c r="O1085" t="s">
        <v>18</v>
      </c>
      <c r="P1085" t="s">
        <v>2702</v>
      </c>
      <c r="T1085" t="s">
        <v>1011</v>
      </c>
      <c r="U1085" t="s">
        <v>818</v>
      </c>
      <c r="V1085" t="s">
        <v>53</v>
      </c>
      <c r="W1085" t="s">
        <v>3194</v>
      </c>
      <c r="AC1085" t="s">
        <v>1072</v>
      </c>
      <c r="AD1085" t="s">
        <v>19</v>
      </c>
      <c r="AE1085" t="s">
        <v>857</v>
      </c>
      <c r="AF1085" t="s">
        <v>857</v>
      </c>
    </row>
    <row r="1086" spans="1:32">
      <c r="A1086" t="s">
        <v>6547</v>
      </c>
      <c r="B1086" t="s">
        <v>1011</v>
      </c>
      <c r="C1086" t="s">
        <v>818</v>
      </c>
      <c r="D1086" t="s">
        <v>3194</v>
      </c>
      <c r="E1086" t="s">
        <v>18</v>
      </c>
      <c r="F1086" t="s">
        <v>3195</v>
      </c>
      <c r="M1086" t="s">
        <v>4799</v>
      </c>
      <c r="N1086" t="s">
        <v>1067</v>
      </c>
      <c r="O1086" t="s">
        <v>18</v>
      </c>
      <c r="P1086" t="s">
        <v>2701</v>
      </c>
      <c r="T1086" t="s">
        <v>1011</v>
      </c>
      <c r="U1086" t="s">
        <v>818</v>
      </c>
      <c r="V1086" t="s">
        <v>18</v>
      </c>
      <c r="W1086" t="s">
        <v>3194</v>
      </c>
      <c r="AC1086" t="s">
        <v>1072</v>
      </c>
      <c r="AD1086" t="s">
        <v>19</v>
      </c>
      <c r="AE1086" t="s">
        <v>857</v>
      </c>
      <c r="AF1086" t="s">
        <v>2512</v>
      </c>
    </row>
    <row r="1087" spans="1:32">
      <c r="A1087" t="s">
        <v>5458</v>
      </c>
      <c r="B1087" t="s">
        <v>1012</v>
      </c>
      <c r="C1087" t="s">
        <v>818</v>
      </c>
      <c r="D1087" t="s">
        <v>857</v>
      </c>
      <c r="E1087" t="s">
        <v>18</v>
      </c>
      <c r="F1087" t="s">
        <v>3287</v>
      </c>
      <c r="M1087" t="s">
        <v>4799</v>
      </c>
      <c r="N1087" t="s">
        <v>1067</v>
      </c>
      <c r="O1087" t="s">
        <v>18</v>
      </c>
      <c r="P1087" t="s">
        <v>2700</v>
      </c>
      <c r="T1087" t="s">
        <v>1012</v>
      </c>
      <c r="U1087" t="s">
        <v>818</v>
      </c>
      <c r="V1087" t="s">
        <v>18</v>
      </c>
      <c r="W1087" t="s">
        <v>857</v>
      </c>
      <c r="AC1087" t="s">
        <v>1072</v>
      </c>
      <c r="AD1087" t="s">
        <v>19</v>
      </c>
      <c r="AE1087" t="s">
        <v>18</v>
      </c>
      <c r="AF1087" t="s">
        <v>857</v>
      </c>
    </row>
    <row r="1088" spans="1:32">
      <c r="A1088" t="s">
        <v>5460</v>
      </c>
      <c r="B1088" t="s">
        <v>1013</v>
      </c>
      <c r="C1088" t="s">
        <v>818</v>
      </c>
      <c r="D1088" t="s">
        <v>857</v>
      </c>
      <c r="E1088" t="s">
        <v>53</v>
      </c>
      <c r="F1088" t="s">
        <v>3241</v>
      </c>
      <c r="M1088" t="s">
        <v>4799</v>
      </c>
      <c r="N1088" t="s">
        <v>1067</v>
      </c>
      <c r="O1088" t="s">
        <v>18</v>
      </c>
      <c r="P1088" t="s">
        <v>2699</v>
      </c>
      <c r="T1088" t="s">
        <v>1013</v>
      </c>
      <c r="U1088" t="s">
        <v>818</v>
      </c>
      <c r="V1088" t="s">
        <v>53</v>
      </c>
      <c r="W1088" t="s">
        <v>857</v>
      </c>
      <c r="AC1088" t="s">
        <v>1072</v>
      </c>
      <c r="AD1088" t="s">
        <v>19</v>
      </c>
      <c r="AE1088" t="s">
        <v>18</v>
      </c>
      <c r="AF1088" t="s">
        <v>2512</v>
      </c>
    </row>
    <row r="1089" spans="1:32">
      <c r="A1089" t="s">
        <v>5461</v>
      </c>
      <c r="B1089" t="s">
        <v>1013</v>
      </c>
      <c r="C1089" t="s">
        <v>818</v>
      </c>
      <c r="D1089" t="s">
        <v>857</v>
      </c>
      <c r="E1089" t="s">
        <v>18</v>
      </c>
      <c r="F1089" t="s">
        <v>3329</v>
      </c>
      <c r="M1089" t="s">
        <v>4755</v>
      </c>
      <c r="N1089" t="s">
        <v>1068</v>
      </c>
      <c r="O1089" t="s">
        <v>53</v>
      </c>
      <c r="P1089" t="s">
        <v>2798</v>
      </c>
      <c r="T1089" t="s">
        <v>1013</v>
      </c>
      <c r="U1089" t="s">
        <v>818</v>
      </c>
      <c r="V1089" t="s">
        <v>18</v>
      </c>
      <c r="W1089" t="s">
        <v>857</v>
      </c>
      <c r="AC1089" t="s">
        <v>1072</v>
      </c>
      <c r="AD1089" t="s">
        <v>2384</v>
      </c>
      <c r="AE1089" t="s">
        <v>857</v>
      </c>
      <c r="AF1089" t="s">
        <v>857</v>
      </c>
    </row>
    <row r="1090" spans="1:32">
      <c r="A1090" t="s">
        <v>5462</v>
      </c>
      <c r="B1090" t="s">
        <v>1013</v>
      </c>
      <c r="C1090" t="s">
        <v>818</v>
      </c>
      <c r="D1090" t="s">
        <v>2959</v>
      </c>
      <c r="E1090" t="s">
        <v>857</v>
      </c>
      <c r="F1090" t="s">
        <v>3800</v>
      </c>
      <c r="M1090" t="s">
        <v>4755</v>
      </c>
      <c r="N1090" t="s">
        <v>1068</v>
      </c>
      <c r="O1090" t="s">
        <v>53</v>
      </c>
      <c r="P1090" t="s">
        <v>2797</v>
      </c>
      <c r="T1090" t="s">
        <v>1013</v>
      </c>
      <c r="U1090" t="s">
        <v>818</v>
      </c>
      <c r="V1090" t="s">
        <v>857</v>
      </c>
      <c r="W1090" t="s">
        <v>2959</v>
      </c>
      <c r="AC1090" t="s">
        <v>1072</v>
      </c>
      <c r="AD1090" t="s">
        <v>816</v>
      </c>
      <c r="AE1090" t="s">
        <v>857</v>
      </c>
      <c r="AF1090" t="s">
        <v>857</v>
      </c>
    </row>
    <row r="1091" spans="1:32">
      <c r="A1091" t="s">
        <v>5463</v>
      </c>
      <c r="B1091" t="s">
        <v>1013</v>
      </c>
      <c r="C1091" t="s">
        <v>818</v>
      </c>
      <c r="D1091" t="s">
        <v>2959</v>
      </c>
      <c r="E1091" t="s">
        <v>53</v>
      </c>
      <c r="F1091" t="s">
        <v>3325</v>
      </c>
      <c r="M1091" t="s">
        <v>4755</v>
      </c>
      <c r="N1091" t="s">
        <v>1068</v>
      </c>
      <c r="O1091" t="s">
        <v>53</v>
      </c>
      <c r="P1091" t="s">
        <v>2796</v>
      </c>
      <c r="T1091" t="s">
        <v>1013</v>
      </c>
      <c r="U1091" t="s">
        <v>818</v>
      </c>
      <c r="V1091" t="s">
        <v>53</v>
      </c>
      <c r="W1091" t="s">
        <v>2959</v>
      </c>
      <c r="AC1091" t="s">
        <v>1072</v>
      </c>
      <c r="AD1091" t="s">
        <v>816</v>
      </c>
      <c r="AE1091" t="s">
        <v>857</v>
      </c>
      <c r="AF1091" t="s">
        <v>4202</v>
      </c>
    </row>
    <row r="1092" spans="1:32">
      <c r="A1092" t="s">
        <v>5465</v>
      </c>
      <c r="B1092" t="s">
        <v>1013</v>
      </c>
      <c r="C1092" t="s">
        <v>818</v>
      </c>
      <c r="D1092" t="s">
        <v>3321</v>
      </c>
      <c r="E1092" t="s">
        <v>18</v>
      </c>
      <c r="F1092" t="s">
        <v>3324</v>
      </c>
      <c r="M1092" t="s">
        <v>4755</v>
      </c>
      <c r="N1092" t="s">
        <v>1068</v>
      </c>
      <c r="O1092" t="s">
        <v>53</v>
      </c>
      <c r="P1092" t="s">
        <v>2795</v>
      </c>
      <c r="T1092" t="s">
        <v>1013</v>
      </c>
      <c r="U1092" t="s">
        <v>818</v>
      </c>
      <c r="V1092" t="s">
        <v>18</v>
      </c>
      <c r="W1092" t="s">
        <v>3321</v>
      </c>
      <c r="AC1092" t="s">
        <v>1072</v>
      </c>
      <c r="AD1092" t="s">
        <v>816</v>
      </c>
      <c r="AE1092" t="s">
        <v>18</v>
      </c>
      <c r="AF1092" t="s">
        <v>857</v>
      </c>
    </row>
    <row r="1093" spans="1:32">
      <c r="A1093" t="s">
        <v>5467</v>
      </c>
      <c r="B1093" t="s">
        <v>1013</v>
      </c>
      <c r="C1093" t="s">
        <v>2384</v>
      </c>
      <c r="D1093" t="s">
        <v>857</v>
      </c>
      <c r="E1093" t="s">
        <v>857</v>
      </c>
      <c r="F1093" t="s">
        <v>3778</v>
      </c>
      <c r="M1093" t="s">
        <v>4755</v>
      </c>
      <c r="N1093" t="s">
        <v>1068</v>
      </c>
      <c r="O1093" t="s">
        <v>53</v>
      </c>
      <c r="P1093" t="s">
        <v>2794</v>
      </c>
      <c r="T1093" t="s">
        <v>1013</v>
      </c>
      <c r="U1093" t="s">
        <v>2384</v>
      </c>
      <c r="V1093" t="s">
        <v>857</v>
      </c>
      <c r="W1093" t="s">
        <v>857</v>
      </c>
      <c r="AC1093" t="s">
        <v>1072</v>
      </c>
      <c r="AD1093" t="s">
        <v>816</v>
      </c>
      <c r="AE1093" t="s">
        <v>18</v>
      </c>
      <c r="AF1093" t="s">
        <v>2732</v>
      </c>
    </row>
    <row r="1094" spans="1:32">
      <c r="A1094" t="s">
        <v>5468</v>
      </c>
      <c r="B1094" t="s">
        <v>1013</v>
      </c>
      <c r="C1094" t="s">
        <v>2384</v>
      </c>
      <c r="D1094" t="s">
        <v>857</v>
      </c>
      <c r="E1094" t="s">
        <v>18</v>
      </c>
      <c r="F1094" t="s">
        <v>3331</v>
      </c>
      <c r="M1094" t="s">
        <v>4755</v>
      </c>
      <c r="N1094" t="s">
        <v>1068</v>
      </c>
      <c r="O1094" t="s">
        <v>53</v>
      </c>
      <c r="P1094" t="s">
        <v>2792</v>
      </c>
      <c r="T1094" t="s">
        <v>1013</v>
      </c>
      <c r="U1094" t="s">
        <v>2384</v>
      </c>
      <c r="V1094" t="s">
        <v>18</v>
      </c>
      <c r="W1094" t="s">
        <v>857</v>
      </c>
      <c r="AC1094" t="s">
        <v>1073</v>
      </c>
      <c r="AD1094" t="s">
        <v>818</v>
      </c>
      <c r="AE1094" t="s">
        <v>18</v>
      </c>
      <c r="AF1094" t="s">
        <v>857</v>
      </c>
    </row>
    <row r="1095" spans="1:32">
      <c r="A1095" t="s">
        <v>5470</v>
      </c>
      <c r="B1095" t="s">
        <v>1013</v>
      </c>
      <c r="C1095" t="s">
        <v>2384</v>
      </c>
      <c r="D1095" t="s">
        <v>3321</v>
      </c>
      <c r="E1095" t="s">
        <v>53</v>
      </c>
      <c r="F1095" t="s">
        <v>3326</v>
      </c>
      <c r="M1095" t="s">
        <v>4755</v>
      </c>
      <c r="N1095" t="s">
        <v>1068</v>
      </c>
      <c r="O1095" t="s">
        <v>53</v>
      </c>
      <c r="P1095" t="s">
        <v>2790</v>
      </c>
      <c r="T1095" t="s">
        <v>1013</v>
      </c>
      <c r="U1095" t="s">
        <v>2384</v>
      </c>
      <c r="V1095" t="s">
        <v>53</v>
      </c>
      <c r="W1095" t="s">
        <v>3321</v>
      </c>
      <c r="AC1095" t="s">
        <v>1073</v>
      </c>
      <c r="AD1095" t="s">
        <v>818</v>
      </c>
      <c r="AE1095" t="s">
        <v>18</v>
      </c>
      <c r="AF1095" t="s">
        <v>2447</v>
      </c>
    </row>
    <row r="1096" spans="1:32">
      <c r="A1096" t="s">
        <v>5472</v>
      </c>
      <c r="B1096" t="s">
        <v>1013</v>
      </c>
      <c r="C1096" t="s">
        <v>816</v>
      </c>
      <c r="D1096" t="s">
        <v>857</v>
      </c>
      <c r="E1096" t="s">
        <v>857</v>
      </c>
      <c r="F1096" t="s">
        <v>3941</v>
      </c>
      <c r="M1096" t="s">
        <v>4755</v>
      </c>
      <c r="N1096" t="s">
        <v>1068</v>
      </c>
      <c r="O1096" t="s">
        <v>53</v>
      </c>
      <c r="P1096" t="s">
        <v>2789</v>
      </c>
      <c r="T1096" t="s">
        <v>1013</v>
      </c>
      <c r="U1096" t="s">
        <v>816</v>
      </c>
      <c r="V1096" t="s">
        <v>857</v>
      </c>
      <c r="W1096" t="s">
        <v>857</v>
      </c>
      <c r="AC1096" t="s">
        <v>1073</v>
      </c>
      <c r="AD1096" t="s">
        <v>818</v>
      </c>
      <c r="AE1096" t="s">
        <v>18</v>
      </c>
      <c r="AF1096" t="s">
        <v>2816</v>
      </c>
    </row>
    <row r="1097" spans="1:32">
      <c r="A1097" t="s">
        <v>5473</v>
      </c>
      <c r="B1097" t="s">
        <v>1013</v>
      </c>
      <c r="C1097" t="s">
        <v>816</v>
      </c>
      <c r="D1097" t="s">
        <v>857</v>
      </c>
      <c r="E1097" t="s">
        <v>53</v>
      </c>
      <c r="F1097" t="s">
        <v>3328</v>
      </c>
      <c r="M1097" t="s">
        <v>4755</v>
      </c>
      <c r="N1097" t="s">
        <v>1068</v>
      </c>
      <c r="O1097" t="s">
        <v>53</v>
      </c>
      <c r="P1097" t="s">
        <v>2788</v>
      </c>
      <c r="T1097" t="s">
        <v>1013</v>
      </c>
      <c r="U1097" t="s">
        <v>816</v>
      </c>
      <c r="V1097" t="s">
        <v>53</v>
      </c>
      <c r="W1097" t="s">
        <v>857</v>
      </c>
      <c r="AC1097" t="s">
        <v>1073</v>
      </c>
      <c r="AD1097" t="s">
        <v>818</v>
      </c>
      <c r="AE1097" t="s">
        <v>18</v>
      </c>
      <c r="AF1097" t="s">
        <v>2449</v>
      </c>
    </row>
    <row r="1098" spans="1:32">
      <c r="A1098" t="s">
        <v>5473</v>
      </c>
      <c r="B1098" t="s">
        <v>1013</v>
      </c>
      <c r="C1098" t="s">
        <v>816</v>
      </c>
      <c r="D1098" t="s">
        <v>857</v>
      </c>
      <c r="E1098" t="s">
        <v>53</v>
      </c>
      <c r="F1098" t="s">
        <v>3327</v>
      </c>
      <c r="M1098" t="s">
        <v>4755</v>
      </c>
      <c r="N1098" t="s">
        <v>1068</v>
      </c>
      <c r="O1098" t="s">
        <v>53</v>
      </c>
      <c r="P1098" t="s">
        <v>2787</v>
      </c>
      <c r="T1098" t="s">
        <v>1013</v>
      </c>
      <c r="U1098" t="s">
        <v>816</v>
      </c>
      <c r="V1098" t="s">
        <v>53</v>
      </c>
      <c r="W1098" t="s">
        <v>857</v>
      </c>
      <c r="AC1098" t="s">
        <v>1073</v>
      </c>
      <c r="AD1098" t="s">
        <v>818</v>
      </c>
      <c r="AE1098" t="s">
        <v>18</v>
      </c>
      <c r="AF1098" t="s">
        <v>2445</v>
      </c>
    </row>
    <row r="1099" spans="1:32">
      <c r="A1099" t="s">
        <v>5474</v>
      </c>
      <c r="B1099" t="s">
        <v>1013</v>
      </c>
      <c r="C1099" t="s">
        <v>816</v>
      </c>
      <c r="D1099" t="s">
        <v>857</v>
      </c>
      <c r="E1099" t="s">
        <v>18</v>
      </c>
      <c r="F1099" t="s">
        <v>3330</v>
      </c>
      <c r="M1099" t="s">
        <v>4755</v>
      </c>
      <c r="N1099" t="s">
        <v>1068</v>
      </c>
      <c r="O1099" t="s">
        <v>53</v>
      </c>
      <c r="P1099" t="s">
        <v>2750</v>
      </c>
      <c r="T1099" t="s">
        <v>1013</v>
      </c>
      <c r="U1099" t="s">
        <v>816</v>
      </c>
      <c r="V1099" t="s">
        <v>18</v>
      </c>
      <c r="W1099" t="s">
        <v>857</v>
      </c>
      <c r="AC1099" t="s">
        <v>1073</v>
      </c>
      <c r="AD1099" t="s">
        <v>818</v>
      </c>
      <c r="AE1099" t="s">
        <v>18</v>
      </c>
      <c r="AF1099" t="s">
        <v>2443</v>
      </c>
    </row>
    <row r="1100" spans="1:32">
      <c r="A1100" t="s">
        <v>5475</v>
      </c>
      <c r="B1100" t="s">
        <v>1013</v>
      </c>
      <c r="C1100" t="s">
        <v>816</v>
      </c>
      <c r="D1100" t="s">
        <v>2959</v>
      </c>
      <c r="E1100" t="s">
        <v>857</v>
      </c>
      <c r="F1100" t="s">
        <v>3799</v>
      </c>
      <c r="M1100" t="s">
        <v>4755</v>
      </c>
      <c r="N1100" t="s">
        <v>1068</v>
      </c>
      <c r="O1100" t="s">
        <v>53</v>
      </c>
      <c r="P1100" t="s">
        <v>2748</v>
      </c>
      <c r="T1100" t="s">
        <v>1013</v>
      </c>
      <c r="U1100" t="s">
        <v>816</v>
      </c>
      <c r="V1100" t="s">
        <v>857</v>
      </c>
      <c r="W1100" t="s">
        <v>2959</v>
      </c>
      <c r="AC1100" t="s">
        <v>1073</v>
      </c>
      <c r="AD1100" t="s">
        <v>818</v>
      </c>
      <c r="AE1100" t="s">
        <v>18</v>
      </c>
      <c r="AF1100" t="s">
        <v>2441</v>
      </c>
    </row>
    <row r="1101" spans="1:32">
      <c r="A1101" t="s">
        <v>5476</v>
      </c>
      <c r="B1101" t="s">
        <v>1013</v>
      </c>
      <c r="C1101" t="s">
        <v>816</v>
      </c>
      <c r="D1101" t="s">
        <v>2959</v>
      </c>
      <c r="E1101" t="s">
        <v>53</v>
      </c>
      <c r="F1101" t="s">
        <v>3323</v>
      </c>
      <c r="M1101" t="s">
        <v>4755</v>
      </c>
      <c r="N1101" t="s">
        <v>1068</v>
      </c>
      <c r="O1101" t="s">
        <v>53</v>
      </c>
      <c r="P1101" t="s">
        <v>2746</v>
      </c>
      <c r="T1101" t="s">
        <v>1013</v>
      </c>
      <c r="U1101" t="s">
        <v>816</v>
      </c>
      <c r="V1101" t="s">
        <v>53</v>
      </c>
      <c r="W1101" t="s">
        <v>2959</v>
      </c>
      <c r="AC1101" t="s">
        <v>1073</v>
      </c>
      <c r="AD1101" t="s">
        <v>2384</v>
      </c>
      <c r="AE1101" t="s">
        <v>857</v>
      </c>
      <c r="AF1101" t="s">
        <v>2457</v>
      </c>
    </row>
    <row r="1102" spans="1:32">
      <c r="A1102" t="s">
        <v>5476</v>
      </c>
      <c r="B1102" t="s">
        <v>1013</v>
      </c>
      <c r="C1102" t="s">
        <v>816</v>
      </c>
      <c r="D1102" t="s">
        <v>2959</v>
      </c>
      <c r="E1102" t="s">
        <v>53</v>
      </c>
      <c r="F1102" t="s">
        <v>3240</v>
      </c>
      <c r="M1102" t="s">
        <v>4755</v>
      </c>
      <c r="N1102" t="s">
        <v>1068</v>
      </c>
      <c r="O1102" t="s">
        <v>53</v>
      </c>
      <c r="P1102" t="s">
        <v>2745</v>
      </c>
      <c r="T1102" t="s">
        <v>1013</v>
      </c>
      <c r="U1102" t="s">
        <v>816</v>
      </c>
      <c r="V1102" t="s">
        <v>53</v>
      </c>
      <c r="W1102" t="s">
        <v>2959</v>
      </c>
      <c r="AC1102" t="s">
        <v>1073</v>
      </c>
      <c r="AD1102" t="s">
        <v>2384</v>
      </c>
      <c r="AE1102" t="s">
        <v>18</v>
      </c>
      <c r="AF1102" t="s">
        <v>857</v>
      </c>
    </row>
    <row r="1103" spans="1:32">
      <c r="A1103" t="s">
        <v>5478</v>
      </c>
      <c r="B1103" t="s">
        <v>1013</v>
      </c>
      <c r="C1103" t="s">
        <v>816</v>
      </c>
      <c r="D1103" t="s">
        <v>3321</v>
      </c>
      <c r="E1103" t="s">
        <v>53</v>
      </c>
      <c r="F1103" t="s">
        <v>3322</v>
      </c>
      <c r="M1103" t="s">
        <v>4755</v>
      </c>
      <c r="N1103" t="s">
        <v>1068</v>
      </c>
      <c r="O1103" t="s">
        <v>53</v>
      </c>
      <c r="P1103" t="s">
        <v>2744</v>
      </c>
      <c r="T1103" t="s">
        <v>1013</v>
      </c>
      <c r="U1103" t="s">
        <v>816</v>
      </c>
      <c r="V1103" t="s">
        <v>53</v>
      </c>
      <c r="W1103" t="s">
        <v>3321</v>
      </c>
      <c r="AC1103" t="s">
        <v>1073</v>
      </c>
      <c r="AD1103" t="s">
        <v>2384</v>
      </c>
      <c r="AE1103" t="s">
        <v>18</v>
      </c>
      <c r="AF1103" t="s">
        <v>2457</v>
      </c>
    </row>
    <row r="1104" spans="1:32">
      <c r="A1104" t="s">
        <v>5480</v>
      </c>
      <c r="B1104" t="s">
        <v>1014</v>
      </c>
      <c r="C1104" t="s">
        <v>818</v>
      </c>
      <c r="D1104" t="s">
        <v>857</v>
      </c>
      <c r="E1104" t="s">
        <v>18</v>
      </c>
      <c r="F1104" t="s">
        <v>3251</v>
      </c>
      <c r="M1104" t="s">
        <v>4756</v>
      </c>
      <c r="N1104" t="s">
        <v>1068</v>
      </c>
      <c r="O1104" t="s">
        <v>18</v>
      </c>
      <c r="P1104" t="s">
        <v>2802</v>
      </c>
      <c r="T1104" t="s">
        <v>1014</v>
      </c>
      <c r="U1104" t="s">
        <v>818</v>
      </c>
      <c r="V1104" t="s">
        <v>18</v>
      </c>
      <c r="W1104" t="s">
        <v>857</v>
      </c>
      <c r="AC1104" t="s">
        <v>1073</v>
      </c>
      <c r="AD1104" t="s">
        <v>2384</v>
      </c>
      <c r="AE1104" t="s">
        <v>18</v>
      </c>
      <c r="AF1104" t="s">
        <v>2455</v>
      </c>
    </row>
    <row r="1105" spans="1:32">
      <c r="A1105" t="s">
        <v>5480</v>
      </c>
      <c r="B1105" t="s">
        <v>1014</v>
      </c>
      <c r="C1105" t="s">
        <v>818</v>
      </c>
      <c r="D1105" t="s">
        <v>857</v>
      </c>
      <c r="E1105" t="s">
        <v>18</v>
      </c>
      <c r="F1105" t="s">
        <v>3249</v>
      </c>
      <c r="M1105" t="s">
        <v>4756</v>
      </c>
      <c r="N1105" t="s">
        <v>1068</v>
      </c>
      <c r="O1105" t="s">
        <v>18</v>
      </c>
      <c r="P1105" t="s">
        <v>2801</v>
      </c>
      <c r="T1105" t="s">
        <v>1014</v>
      </c>
      <c r="U1105" t="s">
        <v>818</v>
      </c>
      <c r="V1105" t="s">
        <v>18</v>
      </c>
      <c r="W1105" t="s">
        <v>857</v>
      </c>
      <c r="AC1105" t="s">
        <v>1073</v>
      </c>
      <c r="AD1105" t="s">
        <v>2384</v>
      </c>
      <c r="AE1105" t="s">
        <v>18</v>
      </c>
      <c r="AF1105" t="s">
        <v>2453</v>
      </c>
    </row>
    <row r="1106" spans="1:32">
      <c r="A1106" t="s">
        <v>5480</v>
      </c>
      <c r="B1106" t="s">
        <v>1014</v>
      </c>
      <c r="C1106" t="s">
        <v>818</v>
      </c>
      <c r="D1106" t="s">
        <v>857</v>
      </c>
      <c r="E1106" t="s">
        <v>18</v>
      </c>
      <c r="F1106" t="s">
        <v>3248</v>
      </c>
      <c r="M1106" t="s">
        <v>4756</v>
      </c>
      <c r="N1106" t="s">
        <v>1068</v>
      </c>
      <c r="O1106" t="s">
        <v>18</v>
      </c>
      <c r="P1106" t="s">
        <v>2800</v>
      </c>
      <c r="T1106" t="s">
        <v>1014</v>
      </c>
      <c r="U1106" t="s">
        <v>818</v>
      </c>
      <c r="V1106" t="s">
        <v>18</v>
      </c>
      <c r="W1106" t="s">
        <v>857</v>
      </c>
      <c r="AC1106" t="s">
        <v>1073</v>
      </c>
      <c r="AD1106" t="s">
        <v>2384</v>
      </c>
      <c r="AE1106" t="s">
        <v>18</v>
      </c>
      <c r="AF1106" t="s">
        <v>2451</v>
      </c>
    </row>
    <row r="1107" spans="1:32">
      <c r="A1107" t="s">
        <v>5480</v>
      </c>
      <c r="B1107" t="s">
        <v>1014</v>
      </c>
      <c r="C1107" t="s">
        <v>818</v>
      </c>
      <c r="D1107" t="s">
        <v>857</v>
      </c>
      <c r="E1107" t="s">
        <v>18</v>
      </c>
      <c r="F1107" t="s">
        <v>3245</v>
      </c>
      <c r="M1107" t="s">
        <v>4756</v>
      </c>
      <c r="N1107" t="s">
        <v>1068</v>
      </c>
      <c r="O1107" t="s">
        <v>18</v>
      </c>
      <c r="P1107" t="s">
        <v>2799</v>
      </c>
      <c r="T1107" t="s">
        <v>1014</v>
      </c>
      <c r="U1107" t="s">
        <v>818</v>
      </c>
      <c r="V1107" t="s">
        <v>18</v>
      </c>
      <c r="W1107" t="s">
        <v>857</v>
      </c>
      <c r="AC1107" t="s">
        <v>1073</v>
      </c>
      <c r="AD1107" t="s">
        <v>2384</v>
      </c>
      <c r="AE1107" t="s">
        <v>18</v>
      </c>
      <c r="AF1107" t="s">
        <v>2447</v>
      </c>
    </row>
    <row r="1108" spans="1:32">
      <c r="A1108" t="s">
        <v>5481</v>
      </c>
      <c r="B1108" t="s">
        <v>1014</v>
      </c>
      <c r="C1108" t="s">
        <v>818</v>
      </c>
      <c r="D1108" t="s">
        <v>3243</v>
      </c>
      <c r="E1108" t="s">
        <v>857</v>
      </c>
      <c r="F1108" t="s">
        <v>3797</v>
      </c>
      <c r="M1108" t="s">
        <v>4757</v>
      </c>
      <c r="N1108" t="s">
        <v>1069</v>
      </c>
      <c r="O1108" t="s">
        <v>53</v>
      </c>
      <c r="P1108" t="s">
        <v>2786</v>
      </c>
      <c r="T1108" t="s">
        <v>1014</v>
      </c>
      <c r="U1108" t="s">
        <v>818</v>
      </c>
      <c r="V1108" t="s">
        <v>857</v>
      </c>
      <c r="W1108" t="s">
        <v>3243</v>
      </c>
      <c r="AC1108" t="s">
        <v>1073</v>
      </c>
      <c r="AD1108" t="s">
        <v>2384</v>
      </c>
      <c r="AE1108" t="s">
        <v>18</v>
      </c>
      <c r="AF1108" t="s">
        <v>2449</v>
      </c>
    </row>
    <row r="1109" spans="1:32">
      <c r="A1109" t="s">
        <v>5482</v>
      </c>
      <c r="B1109" t="s">
        <v>1014</v>
      </c>
      <c r="C1109" t="s">
        <v>818</v>
      </c>
      <c r="D1109" t="s">
        <v>3243</v>
      </c>
      <c r="E1109" t="s">
        <v>18</v>
      </c>
      <c r="F1109" t="s">
        <v>3246</v>
      </c>
      <c r="M1109" t="s">
        <v>4757</v>
      </c>
      <c r="N1109" t="s">
        <v>1069</v>
      </c>
      <c r="O1109" t="s">
        <v>53</v>
      </c>
      <c r="P1109" t="s">
        <v>2785</v>
      </c>
      <c r="T1109" t="s">
        <v>1014</v>
      </c>
      <c r="U1109" t="s">
        <v>818</v>
      </c>
      <c r="V1109" t="s">
        <v>18</v>
      </c>
      <c r="W1109" t="s">
        <v>3243</v>
      </c>
      <c r="AC1109" t="s">
        <v>1073</v>
      </c>
      <c r="AD1109" t="s">
        <v>2384</v>
      </c>
      <c r="AE1109" t="s">
        <v>18</v>
      </c>
      <c r="AF1109" t="s">
        <v>2445</v>
      </c>
    </row>
    <row r="1110" spans="1:32">
      <c r="A1110" t="s">
        <v>5484</v>
      </c>
      <c r="B1110" t="s">
        <v>1014</v>
      </c>
      <c r="C1110" t="s">
        <v>2384</v>
      </c>
      <c r="D1110" t="s">
        <v>857</v>
      </c>
      <c r="E1110" t="s">
        <v>857</v>
      </c>
      <c r="F1110" t="s">
        <v>3767</v>
      </c>
      <c r="M1110" t="s">
        <v>4757</v>
      </c>
      <c r="N1110" t="s">
        <v>1069</v>
      </c>
      <c r="O1110" t="s">
        <v>53</v>
      </c>
      <c r="P1110" t="s">
        <v>2729</v>
      </c>
      <c r="T1110" t="s">
        <v>1014</v>
      </c>
      <c r="U1110" t="s">
        <v>2384</v>
      </c>
      <c r="V1110" t="s">
        <v>857</v>
      </c>
      <c r="W1110" t="s">
        <v>857</v>
      </c>
      <c r="AC1110" t="s">
        <v>1073</v>
      </c>
      <c r="AD1110" t="s">
        <v>2384</v>
      </c>
      <c r="AE1110" t="s">
        <v>18</v>
      </c>
      <c r="AF1110" t="s">
        <v>2443</v>
      </c>
    </row>
    <row r="1111" spans="1:32">
      <c r="A1111" t="s">
        <v>5485</v>
      </c>
      <c r="B1111" t="s">
        <v>1014</v>
      </c>
      <c r="C1111" t="s">
        <v>2416</v>
      </c>
      <c r="D1111" t="s">
        <v>857</v>
      </c>
      <c r="E1111" t="s">
        <v>18</v>
      </c>
      <c r="F1111" t="s">
        <v>3247</v>
      </c>
      <c r="M1111" t="s">
        <v>4757</v>
      </c>
      <c r="N1111" t="s">
        <v>1069</v>
      </c>
      <c r="O1111" t="s">
        <v>53</v>
      </c>
      <c r="P1111" t="s">
        <v>2728</v>
      </c>
      <c r="T1111" t="s">
        <v>1014</v>
      </c>
      <c r="U1111" t="s">
        <v>2416</v>
      </c>
      <c r="V1111" t="s">
        <v>18</v>
      </c>
      <c r="W1111" t="s">
        <v>857</v>
      </c>
      <c r="AC1111" t="s">
        <v>1073</v>
      </c>
      <c r="AD1111" t="s">
        <v>2384</v>
      </c>
      <c r="AE1111" t="s">
        <v>18</v>
      </c>
      <c r="AF1111" t="s">
        <v>2441</v>
      </c>
    </row>
    <row r="1112" spans="1:32">
      <c r="A1112" t="s">
        <v>5485</v>
      </c>
      <c r="B1112" t="s">
        <v>1014</v>
      </c>
      <c r="C1112" t="s">
        <v>2416</v>
      </c>
      <c r="D1112" t="s">
        <v>857</v>
      </c>
      <c r="E1112" t="s">
        <v>18</v>
      </c>
      <c r="F1112" t="s">
        <v>3239</v>
      </c>
      <c r="M1112" t="s">
        <v>4758</v>
      </c>
      <c r="N1112" t="s">
        <v>1069</v>
      </c>
      <c r="O1112" t="s">
        <v>18</v>
      </c>
      <c r="P1112" t="s">
        <v>2784</v>
      </c>
      <c r="T1112" t="s">
        <v>1014</v>
      </c>
      <c r="U1112" t="s">
        <v>2416</v>
      </c>
      <c r="V1112" t="s">
        <v>18</v>
      </c>
      <c r="W1112" t="s">
        <v>857</v>
      </c>
      <c r="AC1112" t="s">
        <v>2881</v>
      </c>
      <c r="AD1112" t="s">
        <v>19</v>
      </c>
      <c r="AE1112" t="s">
        <v>18</v>
      </c>
      <c r="AF1112" t="s">
        <v>857</v>
      </c>
    </row>
    <row r="1113" spans="1:32">
      <c r="A1113" t="s">
        <v>5487</v>
      </c>
      <c r="B1113" t="s">
        <v>1014</v>
      </c>
      <c r="C1113" t="s">
        <v>816</v>
      </c>
      <c r="D1113" t="s">
        <v>857</v>
      </c>
      <c r="E1113" t="s">
        <v>857</v>
      </c>
      <c r="F1113" t="s">
        <v>3916</v>
      </c>
      <c r="M1113" t="s">
        <v>4758</v>
      </c>
      <c r="N1113" t="s">
        <v>1069</v>
      </c>
      <c r="O1113" t="s">
        <v>18</v>
      </c>
      <c r="P1113" t="s">
        <v>2783</v>
      </c>
      <c r="T1113" t="s">
        <v>1014</v>
      </c>
      <c r="U1113" t="s">
        <v>816</v>
      </c>
      <c r="V1113" t="s">
        <v>857</v>
      </c>
      <c r="W1113" t="s">
        <v>857</v>
      </c>
      <c r="AC1113" t="s">
        <v>1074</v>
      </c>
      <c r="AD1113" t="s">
        <v>818</v>
      </c>
      <c r="AE1113" t="s">
        <v>857</v>
      </c>
      <c r="AF1113" t="s">
        <v>857</v>
      </c>
    </row>
    <row r="1114" spans="1:32">
      <c r="A1114" t="s">
        <v>5487</v>
      </c>
      <c r="B1114" t="s">
        <v>1014</v>
      </c>
      <c r="C1114" t="s">
        <v>816</v>
      </c>
      <c r="D1114" t="s">
        <v>857</v>
      </c>
      <c r="E1114" t="s">
        <v>857</v>
      </c>
      <c r="F1114" t="s">
        <v>3876</v>
      </c>
      <c r="M1114" t="s">
        <v>4758</v>
      </c>
      <c r="N1114" t="s">
        <v>1069</v>
      </c>
      <c r="O1114" t="s">
        <v>18</v>
      </c>
      <c r="P1114" t="s">
        <v>2731</v>
      </c>
      <c r="T1114" t="s">
        <v>1014</v>
      </c>
      <c r="U1114" t="s">
        <v>816</v>
      </c>
      <c r="V1114" t="s">
        <v>857</v>
      </c>
      <c r="W1114" t="s">
        <v>857</v>
      </c>
      <c r="AC1114" t="s">
        <v>1074</v>
      </c>
      <c r="AD1114" t="s">
        <v>818</v>
      </c>
      <c r="AE1114" t="s">
        <v>857</v>
      </c>
      <c r="AF1114" t="s">
        <v>2366</v>
      </c>
    </row>
    <row r="1115" spans="1:32">
      <c r="A1115" t="s">
        <v>5488</v>
      </c>
      <c r="B1115" t="s">
        <v>1014</v>
      </c>
      <c r="C1115" t="s">
        <v>816</v>
      </c>
      <c r="D1115" t="s">
        <v>857</v>
      </c>
      <c r="E1115" t="s">
        <v>18</v>
      </c>
      <c r="F1115" t="s">
        <v>3252</v>
      </c>
      <c r="M1115" t="s">
        <v>4758</v>
      </c>
      <c r="N1115" t="s">
        <v>1069</v>
      </c>
      <c r="O1115" t="s">
        <v>18</v>
      </c>
      <c r="P1115" t="s">
        <v>2730</v>
      </c>
      <c r="T1115" t="s">
        <v>1014</v>
      </c>
      <c r="U1115" t="s">
        <v>816</v>
      </c>
      <c r="V1115" t="s">
        <v>18</v>
      </c>
      <c r="W1115" t="s">
        <v>857</v>
      </c>
      <c r="AC1115" t="s">
        <v>1074</v>
      </c>
      <c r="AD1115" t="s">
        <v>818</v>
      </c>
      <c r="AE1115" t="s">
        <v>18</v>
      </c>
      <c r="AF1115" t="s">
        <v>2366</v>
      </c>
    </row>
    <row r="1116" spans="1:32">
      <c r="A1116" t="s">
        <v>5488</v>
      </c>
      <c r="B1116" t="s">
        <v>1014</v>
      </c>
      <c r="C1116" t="s">
        <v>816</v>
      </c>
      <c r="D1116" t="s">
        <v>857</v>
      </c>
      <c r="E1116" t="s">
        <v>18</v>
      </c>
      <c r="F1116" t="s">
        <v>3250</v>
      </c>
      <c r="M1116" t="s">
        <v>4800</v>
      </c>
      <c r="N1116" t="s">
        <v>1070</v>
      </c>
      <c r="O1116" t="s">
        <v>18</v>
      </c>
      <c r="P1116" t="s">
        <v>2777</v>
      </c>
      <c r="T1116" t="s">
        <v>1014</v>
      </c>
      <c r="U1116" t="s">
        <v>816</v>
      </c>
      <c r="V1116" t="s">
        <v>18</v>
      </c>
      <c r="W1116" t="s">
        <v>857</v>
      </c>
      <c r="AC1116" t="s">
        <v>1074</v>
      </c>
      <c r="AD1116" t="s">
        <v>19</v>
      </c>
      <c r="AE1116" t="s">
        <v>857</v>
      </c>
      <c r="AF1116" t="s">
        <v>857</v>
      </c>
    </row>
    <row r="1117" spans="1:32">
      <c r="A1117" t="s">
        <v>5489</v>
      </c>
      <c r="B1117" t="s">
        <v>1014</v>
      </c>
      <c r="C1117" t="s">
        <v>816</v>
      </c>
      <c r="D1117" t="s">
        <v>3243</v>
      </c>
      <c r="E1117" t="s">
        <v>857</v>
      </c>
      <c r="F1117" t="s">
        <v>4171</v>
      </c>
      <c r="M1117" t="s">
        <v>4800</v>
      </c>
      <c r="N1117" t="s">
        <v>1070</v>
      </c>
      <c r="O1117" t="s">
        <v>18</v>
      </c>
      <c r="P1117" t="s">
        <v>2776</v>
      </c>
      <c r="T1117" t="s">
        <v>1014</v>
      </c>
      <c r="U1117" t="s">
        <v>816</v>
      </c>
      <c r="V1117" t="s">
        <v>857</v>
      </c>
      <c r="W1117" t="s">
        <v>3243</v>
      </c>
      <c r="AC1117" t="s">
        <v>1074</v>
      </c>
      <c r="AD1117" t="s">
        <v>19</v>
      </c>
      <c r="AE1117" t="s">
        <v>857</v>
      </c>
      <c r="AF1117" t="s">
        <v>2581</v>
      </c>
    </row>
    <row r="1118" spans="1:32">
      <c r="A1118" t="s">
        <v>5490</v>
      </c>
      <c r="B1118" t="s">
        <v>1014</v>
      </c>
      <c r="C1118" t="s">
        <v>816</v>
      </c>
      <c r="D1118" t="s">
        <v>3243</v>
      </c>
      <c r="E1118" t="s">
        <v>18</v>
      </c>
      <c r="F1118" t="s">
        <v>3244</v>
      </c>
      <c r="M1118" t="s">
        <v>4800</v>
      </c>
      <c r="N1118" t="s">
        <v>1070</v>
      </c>
      <c r="O1118" t="s">
        <v>18</v>
      </c>
      <c r="P1118" t="s">
        <v>2775</v>
      </c>
      <c r="T1118" t="s">
        <v>1014</v>
      </c>
      <c r="U1118" t="s">
        <v>816</v>
      </c>
      <c r="V1118" t="s">
        <v>18</v>
      </c>
      <c r="W1118" t="s">
        <v>3243</v>
      </c>
      <c r="AC1118" t="s">
        <v>1074</v>
      </c>
      <c r="AD1118" t="s">
        <v>19</v>
      </c>
      <c r="AE1118" t="s">
        <v>18</v>
      </c>
      <c r="AF1118" t="s">
        <v>857</v>
      </c>
    </row>
    <row r="1119" spans="1:32">
      <c r="A1119" t="s">
        <v>5493</v>
      </c>
      <c r="B1119" t="s">
        <v>1015</v>
      </c>
      <c r="C1119" t="s">
        <v>818</v>
      </c>
      <c r="D1119" t="s">
        <v>857</v>
      </c>
      <c r="E1119" t="s">
        <v>53</v>
      </c>
      <c r="F1119" t="s">
        <v>3256</v>
      </c>
      <c r="M1119" t="s">
        <v>4800</v>
      </c>
      <c r="N1119" t="s">
        <v>1070</v>
      </c>
      <c r="O1119" t="s">
        <v>18</v>
      </c>
      <c r="P1119" t="s">
        <v>2774</v>
      </c>
      <c r="T1119" t="s">
        <v>1015</v>
      </c>
      <c r="U1119" t="s">
        <v>818</v>
      </c>
      <c r="V1119" t="s">
        <v>53</v>
      </c>
      <c r="W1119" t="s">
        <v>857</v>
      </c>
      <c r="AC1119" t="s">
        <v>1074</v>
      </c>
      <c r="AD1119" t="s">
        <v>19</v>
      </c>
      <c r="AE1119" t="s">
        <v>18</v>
      </c>
      <c r="AF1119" t="s">
        <v>2581</v>
      </c>
    </row>
    <row r="1120" spans="1:32">
      <c r="A1120" t="s">
        <v>5495</v>
      </c>
      <c r="B1120" t="s">
        <v>1015</v>
      </c>
      <c r="C1120" t="s">
        <v>818</v>
      </c>
      <c r="D1120" t="s">
        <v>3253</v>
      </c>
      <c r="E1120" t="s">
        <v>857</v>
      </c>
      <c r="F1120" t="s">
        <v>4020</v>
      </c>
      <c r="M1120" t="s">
        <v>4800</v>
      </c>
      <c r="N1120" t="s">
        <v>1070</v>
      </c>
      <c r="O1120" t="s">
        <v>18</v>
      </c>
      <c r="P1120" t="s">
        <v>2773</v>
      </c>
      <c r="T1120" t="s">
        <v>1015</v>
      </c>
      <c r="U1120" t="s">
        <v>818</v>
      </c>
      <c r="V1120" t="s">
        <v>857</v>
      </c>
      <c r="W1120" t="s">
        <v>3253</v>
      </c>
      <c r="AC1120" t="s">
        <v>1074</v>
      </c>
      <c r="AD1120" t="s">
        <v>2416</v>
      </c>
      <c r="AE1120" t="s">
        <v>18</v>
      </c>
      <c r="AF1120" t="s">
        <v>2366</v>
      </c>
    </row>
    <row r="1121" spans="1:32">
      <c r="A1121" t="s">
        <v>5496</v>
      </c>
      <c r="B1121" t="s">
        <v>1015</v>
      </c>
      <c r="C1121" t="s">
        <v>818</v>
      </c>
      <c r="D1121" t="s">
        <v>3253</v>
      </c>
      <c r="E1121" t="s">
        <v>53</v>
      </c>
      <c r="F1121" t="s">
        <v>3254</v>
      </c>
      <c r="M1121" t="s">
        <v>4800</v>
      </c>
      <c r="N1121" t="s">
        <v>1070</v>
      </c>
      <c r="O1121" t="s">
        <v>18</v>
      </c>
      <c r="P1121" t="s">
        <v>2772</v>
      </c>
      <c r="T1121" t="s">
        <v>1015</v>
      </c>
      <c r="U1121" t="s">
        <v>818</v>
      </c>
      <c r="V1121" t="s">
        <v>53</v>
      </c>
      <c r="W1121" t="s">
        <v>3253</v>
      </c>
      <c r="AC1121" t="s">
        <v>1074</v>
      </c>
      <c r="AD1121" t="s">
        <v>816</v>
      </c>
      <c r="AE1121" t="s">
        <v>857</v>
      </c>
      <c r="AF1121" t="s">
        <v>857</v>
      </c>
    </row>
    <row r="1122" spans="1:32">
      <c r="A1122" t="s">
        <v>5497</v>
      </c>
      <c r="B1122" t="s">
        <v>1015</v>
      </c>
      <c r="C1122" t="s">
        <v>818</v>
      </c>
      <c r="D1122" t="s">
        <v>2366</v>
      </c>
      <c r="E1122" t="s">
        <v>53</v>
      </c>
      <c r="F1122" t="s">
        <v>3242</v>
      </c>
      <c r="M1122" t="s">
        <v>4800</v>
      </c>
      <c r="N1122" t="s">
        <v>1070</v>
      </c>
      <c r="O1122" t="s">
        <v>18</v>
      </c>
      <c r="P1122" t="s">
        <v>2771</v>
      </c>
      <c r="T1122" t="s">
        <v>1015</v>
      </c>
      <c r="U1122" t="s">
        <v>818</v>
      </c>
      <c r="V1122" t="s">
        <v>53</v>
      </c>
      <c r="W1122" t="s">
        <v>2366</v>
      </c>
      <c r="AC1122" t="s">
        <v>1074</v>
      </c>
      <c r="AD1122" t="s">
        <v>816</v>
      </c>
      <c r="AE1122" t="s">
        <v>857</v>
      </c>
      <c r="AF1122" t="s">
        <v>2366</v>
      </c>
    </row>
    <row r="1123" spans="1:32">
      <c r="A1123" t="s">
        <v>5498</v>
      </c>
      <c r="B1123" t="s">
        <v>1015</v>
      </c>
      <c r="C1123" t="s">
        <v>816</v>
      </c>
      <c r="D1123" t="s">
        <v>857</v>
      </c>
      <c r="E1123" t="s">
        <v>53</v>
      </c>
      <c r="F1123" t="s">
        <v>3255</v>
      </c>
      <c r="M1123" t="s">
        <v>4800</v>
      </c>
      <c r="N1123" t="s">
        <v>1070</v>
      </c>
      <c r="O1123" t="s">
        <v>18</v>
      </c>
      <c r="P1123" t="s">
        <v>2769</v>
      </c>
      <c r="T1123" t="s">
        <v>1015</v>
      </c>
      <c r="U1123" t="s">
        <v>816</v>
      </c>
      <c r="V1123" t="s">
        <v>53</v>
      </c>
      <c r="W1123" t="s">
        <v>857</v>
      </c>
      <c r="AC1123" t="s">
        <v>1074</v>
      </c>
      <c r="AD1123" t="s">
        <v>816</v>
      </c>
      <c r="AE1123" t="s">
        <v>18</v>
      </c>
      <c r="AF1123" t="s">
        <v>857</v>
      </c>
    </row>
    <row r="1124" spans="1:32">
      <c r="A1124" t="s">
        <v>5500</v>
      </c>
      <c r="B1124" t="s">
        <v>1016</v>
      </c>
      <c r="C1124" t="s">
        <v>818</v>
      </c>
      <c r="D1124" t="s">
        <v>857</v>
      </c>
      <c r="E1124" t="s">
        <v>18</v>
      </c>
      <c r="F1124" t="s">
        <v>3341</v>
      </c>
      <c r="M1124" t="s">
        <v>4800</v>
      </c>
      <c r="N1124" t="s">
        <v>1070</v>
      </c>
      <c r="O1124" t="s">
        <v>18</v>
      </c>
      <c r="P1124" t="s">
        <v>2767</v>
      </c>
      <c r="T1124" t="s">
        <v>1016</v>
      </c>
      <c r="U1124" t="s">
        <v>818</v>
      </c>
      <c r="V1124" t="s">
        <v>18</v>
      </c>
      <c r="W1124" t="s">
        <v>857</v>
      </c>
      <c r="AC1124" t="s">
        <v>1074</v>
      </c>
      <c r="AD1124" t="s">
        <v>816</v>
      </c>
      <c r="AE1124" t="s">
        <v>18</v>
      </c>
      <c r="AF1124" t="s">
        <v>2366</v>
      </c>
    </row>
    <row r="1125" spans="1:32">
      <c r="A1125" t="s">
        <v>5500</v>
      </c>
      <c r="B1125" t="s">
        <v>1016</v>
      </c>
      <c r="C1125" t="s">
        <v>818</v>
      </c>
      <c r="D1125" t="s">
        <v>857</v>
      </c>
      <c r="E1125" t="s">
        <v>18</v>
      </c>
      <c r="F1125" t="s">
        <v>3340</v>
      </c>
      <c r="M1125" t="s">
        <v>4800</v>
      </c>
      <c r="N1125" t="s">
        <v>1070</v>
      </c>
      <c r="O1125" t="s">
        <v>18</v>
      </c>
      <c r="P1125" t="s">
        <v>2766</v>
      </c>
      <c r="T1125" t="s">
        <v>1016</v>
      </c>
      <c r="U1125" t="s">
        <v>818</v>
      </c>
      <c r="V1125" t="s">
        <v>18</v>
      </c>
      <c r="W1125" t="s">
        <v>857</v>
      </c>
      <c r="AC1125" t="s">
        <v>2868</v>
      </c>
      <c r="AD1125" t="s">
        <v>818</v>
      </c>
      <c r="AE1125" t="s">
        <v>18</v>
      </c>
      <c r="AF1125" t="s">
        <v>2870</v>
      </c>
    </row>
    <row r="1126" spans="1:32">
      <c r="A1126" t="s">
        <v>5501</v>
      </c>
      <c r="B1126" t="s">
        <v>1016</v>
      </c>
      <c r="C1126" t="s">
        <v>818</v>
      </c>
      <c r="D1126" t="s">
        <v>3236</v>
      </c>
      <c r="E1126" t="s">
        <v>857</v>
      </c>
      <c r="F1126" t="s">
        <v>4119</v>
      </c>
      <c r="M1126" t="s">
        <v>4801</v>
      </c>
      <c r="N1126" t="s">
        <v>1071</v>
      </c>
      <c r="O1126" t="s">
        <v>18</v>
      </c>
      <c r="P1126" t="s">
        <v>2782</v>
      </c>
      <c r="T1126" t="s">
        <v>1016</v>
      </c>
      <c r="U1126" t="s">
        <v>818</v>
      </c>
      <c r="V1126" t="s">
        <v>857</v>
      </c>
      <c r="W1126" t="s">
        <v>3236</v>
      </c>
      <c r="AC1126" t="s">
        <v>2868</v>
      </c>
      <c r="AD1126" t="s">
        <v>818</v>
      </c>
      <c r="AE1126" t="s">
        <v>18</v>
      </c>
      <c r="AF1126" t="s">
        <v>2900</v>
      </c>
    </row>
    <row r="1127" spans="1:32">
      <c r="A1127" t="s">
        <v>5502</v>
      </c>
      <c r="B1127" t="s">
        <v>1016</v>
      </c>
      <c r="C1127" t="s">
        <v>818</v>
      </c>
      <c r="D1127" t="s">
        <v>3236</v>
      </c>
      <c r="E1127" t="s">
        <v>18</v>
      </c>
      <c r="F1127" t="s">
        <v>3338</v>
      </c>
      <c r="M1127" t="s">
        <v>4801</v>
      </c>
      <c r="N1127" t="s">
        <v>1071</v>
      </c>
      <c r="O1127" t="s">
        <v>18</v>
      </c>
      <c r="P1127" t="s">
        <v>2781</v>
      </c>
      <c r="T1127" t="s">
        <v>1016</v>
      </c>
      <c r="U1127" t="s">
        <v>818</v>
      </c>
      <c r="V1127" t="s">
        <v>18</v>
      </c>
      <c r="W1127" t="s">
        <v>3236</v>
      </c>
      <c r="AC1127" t="s">
        <v>2868</v>
      </c>
      <c r="AD1127" t="s">
        <v>19</v>
      </c>
      <c r="AE1127" t="s">
        <v>857</v>
      </c>
      <c r="AF1127" t="s">
        <v>2867</v>
      </c>
    </row>
    <row r="1128" spans="1:32">
      <c r="A1128" t="s">
        <v>5502</v>
      </c>
      <c r="B1128" t="s">
        <v>1016</v>
      </c>
      <c r="C1128" t="s">
        <v>818</v>
      </c>
      <c r="D1128" t="s">
        <v>3236</v>
      </c>
      <c r="E1128" t="s">
        <v>18</v>
      </c>
      <c r="F1128" t="s">
        <v>3238</v>
      </c>
      <c r="M1128" t="s">
        <v>4801</v>
      </c>
      <c r="N1128" t="s">
        <v>1071</v>
      </c>
      <c r="O1128" t="s">
        <v>18</v>
      </c>
      <c r="P1128" t="s">
        <v>2780</v>
      </c>
      <c r="T1128" t="s">
        <v>1016</v>
      </c>
      <c r="U1128" t="s">
        <v>818</v>
      </c>
      <c r="V1128" t="s">
        <v>18</v>
      </c>
      <c r="W1128" t="s">
        <v>3236</v>
      </c>
      <c r="AC1128" t="s">
        <v>2868</v>
      </c>
      <c r="AD1128" t="s">
        <v>19</v>
      </c>
      <c r="AE1128" t="s">
        <v>18</v>
      </c>
      <c r="AF1128" t="s">
        <v>2867</v>
      </c>
    </row>
    <row r="1129" spans="1:32">
      <c r="A1129" t="s">
        <v>5504</v>
      </c>
      <c r="B1129" t="s">
        <v>1016</v>
      </c>
      <c r="C1129" t="s">
        <v>2384</v>
      </c>
      <c r="D1129" t="s">
        <v>857</v>
      </c>
      <c r="E1129" t="s">
        <v>857</v>
      </c>
      <c r="F1129" t="s">
        <v>4120</v>
      </c>
      <c r="M1129" t="s">
        <v>4801</v>
      </c>
      <c r="N1129" t="s">
        <v>1071</v>
      </c>
      <c r="O1129" t="s">
        <v>18</v>
      </c>
      <c r="P1129" t="s">
        <v>2779</v>
      </c>
      <c r="T1129" t="s">
        <v>1016</v>
      </c>
      <c r="U1129" t="s">
        <v>2384</v>
      </c>
      <c r="V1129" t="s">
        <v>857</v>
      </c>
      <c r="W1129" t="s">
        <v>857</v>
      </c>
      <c r="AC1129" t="s">
        <v>2868</v>
      </c>
      <c r="AD1129" t="s">
        <v>816</v>
      </c>
      <c r="AE1129" t="s">
        <v>18</v>
      </c>
      <c r="AF1129" t="s">
        <v>2867</v>
      </c>
    </row>
    <row r="1130" spans="1:32">
      <c r="A1130" t="s">
        <v>5506</v>
      </c>
      <c r="B1130" t="s">
        <v>1016</v>
      </c>
      <c r="C1130" t="s">
        <v>2416</v>
      </c>
      <c r="D1130" t="s">
        <v>3236</v>
      </c>
      <c r="E1130" t="s">
        <v>53</v>
      </c>
      <c r="F1130" t="s">
        <v>3337</v>
      </c>
      <c r="M1130" t="s">
        <v>4759</v>
      </c>
      <c r="N1130" t="s">
        <v>1072</v>
      </c>
      <c r="O1130" t="s">
        <v>18</v>
      </c>
      <c r="P1130" t="s">
        <v>2742</v>
      </c>
      <c r="T1130" t="s">
        <v>1016</v>
      </c>
      <c r="U1130" t="s">
        <v>2416</v>
      </c>
      <c r="V1130" t="s">
        <v>53</v>
      </c>
      <c r="W1130" t="s">
        <v>3236</v>
      </c>
      <c r="AC1130" t="s">
        <v>2872</v>
      </c>
      <c r="AD1130" t="s">
        <v>818</v>
      </c>
      <c r="AE1130" t="s">
        <v>18</v>
      </c>
      <c r="AF1130" t="s">
        <v>857</v>
      </c>
    </row>
    <row r="1131" spans="1:32">
      <c r="A1131" t="s">
        <v>5508</v>
      </c>
      <c r="B1131" t="s">
        <v>1016</v>
      </c>
      <c r="C1131" t="s">
        <v>816</v>
      </c>
      <c r="D1131" t="s">
        <v>857</v>
      </c>
      <c r="E1131" t="s">
        <v>18</v>
      </c>
      <c r="F1131" t="s">
        <v>3339</v>
      </c>
      <c r="M1131" t="s">
        <v>4759</v>
      </c>
      <c r="N1131" t="s">
        <v>1072</v>
      </c>
      <c r="O1131" t="s">
        <v>18</v>
      </c>
      <c r="P1131" t="s">
        <v>2741</v>
      </c>
      <c r="T1131" t="s">
        <v>1016</v>
      </c>
      <c r="U1131" t="s">
        <v>816</v>
      </c>
      <c r="V1131" t="s">
        <v>18</v>
      </c>
      <c r="W1131" t="s">
        <v>857</v>
      </c>
      <c r="AC1131" t="s">
        <v>2872</v>
      </c>
      <c r="AD1131" t="s">
        <v>818</v>
      </c>
      <c r="AE1131" t="s">
        <v>18</v>
      </c>
      <c r="AF1131" t="s">
        <v>2559</v>
      </c>
    </row>
    <row r="1132" spans="1:32">
      <c r="A1132" t="s">
        <v>5509</v>
      </c>
      <c r="B1132" t="s">
        <v>1016</v>
      </c>
      <c r="C1132" t="s">
        <v>816</v>
      </c>
      <c r="D1132" t="s">
        <v>3236</v>
      </c>
      <c r="E1132" t="s">
        <v>857</v>
      </c>
      <c r="F1132" t="s">
        <v>4110</v>
      </c>
      <c r="M1132" t="s">
        <v>4759</v>
      </c>
      <c r="N1132" t="s">
        <v>1072</v>
      </c>
      <c r="O1132" t="s">
        <v>18</v>
      </c>
      <c r="P1132" t="s">
        <v>2740</v>
      </c>
      <c r="T1132" t="s">
        <v>1016</v>
      </c>
      <c r="U1132" t="s">
        <v>816</v>
      </c>
      <c r="V1132" t="s">
        <v>857</v>
      </c>
      <c r="W1132" t="s">
        <v>3236</v>
      </c>
      <c r="AC1132" t="s">
        <v>2872</v>
      </c>
      <c r="AD1132" t="s">
        <v>818</v>
      </c>
      <c r="AE1132" t="s">
        <v>18</v>
      </c>
      <c r="AF1132" t="s">
        <v>2366</v>
      </c>
    </row>
    <row r="1133" spans="1:32">
      <c r="A1133" t="s">
        <v>5510</v>
      </c>
      <c r="B1133" t="s">
        <v>1016</v>
      </c>
      <c r="C1133" t="s">
        <v>816</v>
      </c>
      <c r="D1133" t="s">
        <v>3236</v>
      </c>
      <c r="E1133" t="s">
        <v>18</v>
      </c>
      <c r="F1133" t="s">
        <v>3336</v>
      </c>
      <c r="M1133" t="s">
        <v>4759</v>
      </c>
      <c r="N1133" t="s">
        <v>1072</v>
      </c>
      <c r="O1133" t="s">
        <v>18</v>
      </c>
      <c r="P1133" t="s">
        <v>2739</v>
      </c>
      <c r="T1133" t="s">
        <v>1016</v>
      </c>
      <c r="U1133" t="s">
        <v>816</v>
      </c>
      <c r="V1133" t="s">
        <v>18</v>
      </c>
      <c r="W1133" t="s">
        <v>3236</v>
      </c>
      <c r="AC1133" t="s">
        <v>2872</v>
      </c>
      <c r="AD1133" t="s">
        <v>816</v>
      </c>
      <c r="AE1133" t="s">
        <v>18</v>
      </c>
      <c r="AF1133" t="s">
        <v>2366</v>
      </c>
    </row>
    <row r="1134" spans="1:32">
      <c r="A1134" t="s">
        <v>5510</v>
      </c>
      <c r="B1134" t="s">
        <v>1016</v>
      </c>
      <c r="C1134" t="s">
        <v>816</v>
      </c>
      <c r="D1134" t="s">
        <v>3236</v>
      </c>
      <c r="E1134" t="s">
        <v>18</v>
      </c>
      <c r="F1134" t="s">
        <v>3237</v>
      </c>
      <c r="M1134" t="s">
        <v>4759</v>
      </c>
      <c r="N1134" t="s">
        <v>1072</v>
      </c>
      <c r="O1134" t="s">
        <v>18</v>
      </c>
      <c r="P1134" t="s">
        <v>2738</v>
      </c>
      <c r="T1134" t="s">
        <v>1016</v>
      </c>
      <c r="U1134" t="s">
        <v>816</v>
      </c>
      <c r="V1134" t="s">
        <v>18</v>
      </c>
      <c r="W1134" t="s">
        <v>3236</v>
      </c>
      <c r="AC1134" t="s">
        <v>2970</v>
      </c>
      <c r="AD1134" t="s">
        <v>818</v>
      </c>
      <c r="AE1134" t="s">
        <v>18</v>
      </c>
      <c r="AF1134" t="s">
        <v>857</v>
      </c>
    </row>
    <row r="1135" spans="1:32">
      <c r="A1135" t="s">
        <v>5512</v>
      </c>
      <c r="B1135" t="s">
        <v>13</v>
      </c>
      <c r="C1135" t="s">
        <v>818</v>
      </c>
      <c r="D1135" t="s">
        <v>857</v>
      </c>
      <c r="E1135" t="s">
        <v>857</v>
      </c>
      <c r="F1135" t="s">
        <v>3910</v>
      </c>
      <c r="M1135" t="s">
        <v>4759</v>
      </c>
      <c r="N1135" t="s">
        <v>1072</v>
      </c>
      <c r="O1135" t="s">
        <v>18</v>
      </c>
      <c r="P1135" t="s">
        <v>2737</v>
      </c>
      <c r="T1135" t="s">
        <v>13</v>
      </c>
      <c r="U1135" t="s">
        <v>818</v>
      </c>
      <c r="V1135" t="s">
        <v>857</v>
      </c>
      <c r="W1135" t="s">
        <v>857</v>
      </c>
      <c r="AC1135" t="s">
        <v>1075</v>
      </c>
      <c r="AD1135" t="s">
        <v>818</v>
      </c>
      <c r="AE1135" t="s">
        <v>857</v>
      </c>
      <c r="AF1135" t="s">
        <v>857</v>
      </c>
    </row>
    <row r="1136" spans="1:32">
      <c r="A1136" t="s">
        <v>5513</v>
      </c>
      <c r="B1136" t="s">
        <v>13</v>
      </c>
      <c r="C1136" t="s">
        <v>818</v>
      </c>
      <c r="D1136" t="s">
        <v>857</v>
      </c>
      <c r="E1136" t="s">
        <v>18</v>
      </c>
      <c r="F1136" t="s">
        <v>3235</v>
      </c>
      <c r="M1136" t="s">
        <v>4759</v>
      </c>
      <c r="N1136" t="s">
        <v>1072</v>
      </c>
      <c r="O1136" t="s">
        <v>18</v>
      </c>
      <c r="P1136" t="s">
        <v>2736</v>
      </c>
      <c r="T1136" t="s">
        <v>13</v>
      </c>
      <c r="U1136" t="s">
        <v>818</v>
      </c>
      <c r="V1136" t="s">
        <v>18</v>
      </c>
      <c r="W1136" t="s">
        <v>857</v>
      </c>
      <c r="AC1136" t="s">
        <v>1075</v>
      </c>
      <c r="AD1136" t="s">
        <v>818</v>
      </c>
      <c r="AE1136" t="s">
        <v>857</v>
      </c>
      <c r="AF1136" t="s">
        <v>3375</v>
      </c>
    </row>
    <row r="1137" spans="1:32">
      <c r="A1137" t="s">
        <v>5513</v>
      </c>
      <c r="B1137" t="s">
        <v>13</v>
      </c>
      <c r="C1137" t="s">
        <v>818</v>
      </c>
      <c r="D1137" t="s">
        <v>857</v>
      </c>
      <c r="E1137" t="s">
        <v>18</v>
      </c>
      <c r="F1137" t="s">
        <v>3234</v>
      </c>
      <c r="M1137" t="s">
        <v>4759</v>
      </c>
      <c r="N1137" t="s">
        <v>1072</v>
      </c>
      <c r="O1137" t="s">
        <v>18</v>
      </c>
      <c r="P1137" t="s">
        <v>2735</v>
      </c>
      <c r="T1137" t="s">
        <v>13</v>
      </c>
      <c r="U1137" t="s">
        <v>818</v>
      </c>
      <c r="V1137" t="s">
        <v>18</v>
      </c>
      <c r="W1137" t="s">
        <v>857</v>
      </c>
      <c r="AC1137" t="s">
        <v>1075</v>
      </c>
      <c r="AD1137" t="s">
        <v>818</v>
      </c>
      <c r="AE1137" t="s">
        <v>18</v>
      </c>
      <c r="AF1137" t="s">
        <v>857</v>
      </c>
    </row>
    <row r="1138" spans="1:32">
      <c r="A1138" t="s">
        <v>5513</v>
      </c>
      <c r="B1138" t="s">
        <v>13</v>
      </c>
      <c r="C1138" t="s">
        <v>818</v>
      </c>
      <c r="D1138" t="s">
        <v>857</v>
      </c>
      <c r="E1138" t="s">
        <v>18</v>
      </c>
      <c r="F1138" t="s">
        <v>3231</v>
      </c>
      <c r="M1138" t="s">
        <v>4759</v>
      </c>
      <c r="N1138" t="s">
        <v>1072</v>
      </c>
      <c r="O1138" t="s">
        <v>18</v>
      </c>
      <c r="P1138" t="s">
        <v>2734</v>
      </c>
      <c r="T1138" t="s">
        <v>13</v>
      </c>
      <c r="U1138" t="s">
        <v>818</v>
      </c>
      <c r="V1138" t="s">
        <v>18</v>
      </c>
      <c r="W1138" t="s">
        <v>857</v>
      </c>
      <c r="AC1138" t="s">
        <v>1075</v>
      </c>
      <c r="AD1138" t="s">
        <v>818</v>
      </c>
      <c r="AE1138" t="s">
        <v>18</v>
      </c>
      <c r="AF1138" t="s">
        <v>2719</v>
      </c>
    </row>
    <row r="1139" spans="1:32">
      <c r="A1139" t="s">
        <v>6548</v>
      </c>
      <c r="B1139" t="s">
        <v>13</v>
      </c>
      <c r="C1139" t="s">
        <v>818</v>
      </c>
      <c r="D1139" t="s">
        <v>3218</v>
      </c>
      <c r="E1139" t="s">
        <v>18</v>
      </c>
      <c r="F1139" t="s">
        <v>3227</v>
      </c>
      <c r="M1139" t="s">
        <v>4759</v>
      </c>
      <c r="N1139" t="s">
        <v>1072</v>
      </c>
      <c r="O1139" t="s">
        <v>18</v>
      </c>
      <c r="P1139" t="s">
        <v>2733</v>
      </c>
      <c r="T1139" t="s">
        <v>13</v>
      </c>
      <c r="U1139" t="s">
        <v>818</v>
      </c>
      <c r="V1139" t="s">
        <v>18</v>
      </c>
      <c r="W1139" t="s">
        <v>3218</v>
      </c>
      <c r="AC1139" t="s">
        <v>1075</v>
      </c>
      <c r="AD1139" t="s">
        <v>818</v>
      </c>
      <c r="AE1139" t="s">
        <v>18</v>
      </c>
      <c r="AF1139" t="s">
        <v>3375</v>
      </c>
    </row>
    <row r="1140" spans="1:32">
      <c r="A1140" t="s">
        <v>6548</v>
      </c>
      <c r="B1140" t="s">
        <v>13</v>
      </c>
      <c r="C1140" t="s">
        <v>818</v>
      </c>
      <c r="D1140" t="s">
        <v>3218</v>
      </c>
      <c r="E1140" t="s">
        <v>18</v>
      </c>
      <c r="F1140" t="s">
        <v>3219</v>
      </c>
      <c r="M1140" t="s">
        <v>4802</v>
      </c>
      <c r="N1140" t="s">
        <v>1073</v>
      </c>
      <c r="O1140" t="s">
        <v>18</v>
      </c>
      <c r="P1140" t="s">
        <v>2823</v>
      </c>
      <c r="T1140" t="s">
        <v>13</v>
      </c>
      <c r="U1140" t="s">
        <v>818</v>
      </c>
      <c r="V1140" t="s">
        <v>18</v>
      </c>
      <c r="W1140" t="s">
        <v>3218</v>
      </c>
      <c r="AC1140" t="s">
        <v>1075</v>
      </c>
      <c r="AD1140" t="s">
        <v>19</v>
      </c>
      <c r="AE1140" t="s">
        <v>857</v>
      </c>
      <c r="AF1140" t="s">
        <v>857</v>
      </c>
    </row>
    <row r="1141" spans="1:32">
      <c r="A1141" t="s">
        <v>5514</v>
      </c>
      <c r="B1141" t="s">
        <v>13</v>
      </c>
      <c r="C1141" t="s">
        <v>818</v>
      </c>
      <c r="D1141" t="s">
        <v>3212</v>
      </c>
      <c r="E1141" t="s">
        <v>18</v>
      </c>
      <c r="F1141" t="s">
        <v>3226</v>
      </c>
      <c r="M1141" t="s">
        <v>4802</v>
      </c>
      <c r="N1141" t="s">
        <v>1073</v>
      </c>
      <c r="O1141" t="s">
        <v>18</v>
      </c>
      <c r="P1141" t="s">
        <v>2822</v>
      </c>
      <c r="T1141" t="s">
        <v>13</v>
      </c>
      <c r="U1141" t="s">
        <v>818</v>
      </c>
      <c r="V1141" t="s">
        <v>18</v>
      </c>
      <c r="W1141" t="s">
        <v>3212</v>
      </c>
      <c r="AC1141" t="s">
        <v>1075</v>
      </c>
      <c r="AD1141" t="s">
        <v>19</v>
      </c>
      <c r="AE1141" t="s">
        <v>857</v>
      </c>
      <c r="AF1141" t="s">
        <v>2719</v>
      </c>
    </row>
    <row r="1142" spans="1:32">
      <c r="A1142" t="s">
        <v>5514</v>
      </c>
      <c r="B1142" t="s">
        <v>13</v>
      </c>
      <c r="C1142" t="s">
        <v>818</v>
      </c>
      <c r="D1142" t="s">
        <v>3212</v>
      </c>
      <c r="E1142" t="s">
        <v>18</v>
      </c>
      <c r="F1142" t="s">
        <v>3217</v>
      </c>
      <c r="M1142" t="s">
        <v>4802</v>
      </c>
      <c r="N1142" t="s">
        <v>1073</v>
      </c>
      <c r="O1142" t="s">
        <v>18</v>
      </c>
      <c r="P1142" t="s">
        <v>2821</v>
      </c>
      <c r="T1142" t="s">
        <v>13</v>
      </c>
      <c r="U1142" t="s">
        <v>818</v>
      </c>
      <c r="V1142" t="s">
        <v>18</v>
      </c>
      <c r="W1142" t="s">
        <v>3212</v>
      </c>
      <c r="AC1142" t="s">
        <v>1075</v>
      </c>
      <c r="AD1142" t="s">
        <v>19</v>
      </c>
      <c r="AE1142" t="s">
        <v>18</v>
      </c>
      <c r="AF1142" t="s">
        <v>857</v>
      </c>
    </row>
    <row r="1143" spans="1:32">
      <c r="A1143" t="s">
        <v>5517</v>
      </c>
      <c r="B1143" t="s">
        <v>13</v>
      </c>
      <c r="C1143" t="s">
        <v>19</v>
      </c>
      <c r="D1143" t="s">
        <v>857</v>
      </c>
      <c r="E1143" t="s">
        <v>857</v>
      </c>
      <c r="F1143" t="s">
        <v>3794</v>
      </c>
      <c r="M1143" t="s">
        <v>4802</v>
      </c>
      <c r="N1143" t="s">
        <v>1073</v>
      </c>
      <c r="O1143" t="s">
        <v>18</v>
      </c>
      <c r="P1143" t="s">
        <v>2820</v>
      </c>
      <c r="T1143" t="s">
        <v>13</v>
      </c>
      <c r="U1143" t="s">
        <v>19</v>
      </c>
      <c r="V1143" t="s">
        <v>857</v>
      </c>
      <c r="W1143" t="s">
        <v>857</v>
      </c>
      <c r="AC1143" t="s">
        <v>1075</v>
      </c>
      <c r="AD1143" t="s">
        <v>19</v>
      </c>
      <c r="AE1143" t="s">
        <v>18</v>
      </c>
      <c r="AF1143" t="s">
        <v>2719</v>
      </c>
    </row>
    <row r="1144" spans="1:32">
      <c r="A1144" t="s">
        <v>5518</v>
      </c>
      <c r="B1144" t="s">
        <v>13</v>
      </c>
      <c r="C1144" t="s">
        <v>19</v>
      </c>
      <c r="D1144" t="s">
        <v>857</v>
      </c>
      <c r="E1144" t="s">
        <v>18</v>
      </c>
      <c r="F1144" t="s">
        <v>3233</v>
      </c>
      <c r="M1144" t="s">
        <v>4802</v>
      </c>
      <c r="N1144" t="s">
        <v>1073</v>
      </c>
      <c r="O1144" t="s">
        <v>18</v>
      </c>
      <c r="P1144" t="s">
        <v>2819</v>
      </c>
      <c r="T1144" t="s">
        <v>13</v>
      </c>
      <c r="U1144" t="s">
        <v>19</v>
      </c>
      <c r="V1144" t="s">
        <v>18</v>
      </c>
      <c r="W1144" t="s">
        <v>857</v>
      </c>
      <c r="AC1144" t="s">
        <v>1075</v>
      </c>
      <c r="AD1144" t="s">
        <v>2416</v>
      </c>
      <c r="AE1144" t="s">
        <v>857</v>
      </c>
      <c r="AF1144" t="s">
        <v>857</v>
      </c>
    </row>
    <row r="1145" spans="1:32">
      <c r="A1145" t="s">
        <v>5518</v>
      </c>
      <c r="B1145" t="s">
        <v>13</v>
      </c>
      <c r="C1145" t="s">
        <v>19</v>
      </c>
      <c r="D1145" t="s">
        <v>857</v>
      </c>
      <c r="E1145" t="s">
        <v>18</v>
      </c>
      <c r="F1145" t="s">
        <v>3230</v>
      </c>
      <c r="M1145" t="s">
        <v>4802</v>
      </c>
      <c r="N1145" t="s">
        <v>1073</v>
      </c>
      <c r="O1145" t="s">
        <v>18</v>
      </c>
      <c r="P1145" t="s">
        <v>2818</v>
      </c>
      <c r="T1145" t="s">
        <v>13</v>
      </c>
      <c r="U1145" t="s">
        <v>19</v>
      </c>
      <c r="V1145" t="s">
        <v>18</v>
      </c>
      <c r="W1145" t="s">
        <v>857</v>
      </c>
      <c r="AC1145" t="s">
        <v>1075</v>
      </c>
      <c r="AD1145" t="s">
        <v>2416</v>
      </c>
      <c r="AE1145" t="s">
        <v>18</v>
      </c>
      <c r="AF1145" t="s">
        <v>2719</v>
      </c>
    </row>
    <row r="1146" spans="1:32">
      <c r="A1146" t="s">
        <v>5519</v>
      </c>
      <c r="B1146" t="s">
        <v>13</v>
      </c>
      <c r="C1146" t="s">
        <v>19</v>
      </c>
      <c r="D1146" t="s">
        <v>3212</v>
      </c>
      <c r="E1146" t="s">
        <v>857</v>
      </c>
      <c r="F1146" t="s">
        <v>3793</v>
      </c>
      <c r="M1146" t="s">
        <v>4802</v>
      </c>
      <c r="N1146" t="s">
        <v>1073</v>
      </c>
      <c r="O1146" t="s">
        <v>18</v>
      </c>
      <c r="P1146" t="s">
        <v>2817</v>
      </c>
      <c r="T1146" t="s">
        <v>13</v>
      </c>
      <c r="U1146" t="s">
        <v>19</v>
      </c>
      <c r="V1146" t="s">
        <v>857</v>
      </c>
      <c r="W1146" t="s">
        <v>3212</v>
      </c>
      <c r="AC1146" t="s">
        <v>1075</v>
      </c>
      <c r="AD1146" t="s">
        <v>816</v>
      </c>
      <c r="AE1146" t="s">
        <v>857</v>
      </c>
      <c r="AF1146" t="s">
        <v>2719</v>
      </c>
    </row>
    <row r="1147" spans="1:32">
      <c r="A1147" t="s">
        <v>5520</v>
      </c>
      <c r="B1147" t="s">
        <v>13</v>
      </c>
      <c r="C1147" t="s">
        <v>19</v>
      </c>
      <c r="D1147" t="s">
        <v>3212</v>
      </c>
      <c r="E1147" t="s">
        <v>18</v>
      </c>
      <c r="F1147" t="s">
        <v>3225</v>
      </c>
      <c r="M1147" t="s">
        <v>4802</v>
      </c>
      <c r="N1147" t="s">
        <v>1073</v>
      </c>
      <c r="O1147" t="s">
        <v>18</v>
      </c>
      <c r="P1147" t="s">
        <v>2815</v>
      </c>
      <c r="T1147" t="s">
        <v>13</v>
      </c>
      <c r="U1147" t="s">
        <v>19</v>
      </c>
      <c r="V1147" t="s">
        <v>18</v>
      </c>
      <c r="W1147" t="s">
        <v>3212</v>
      </c>
      <c r="AC1147" t="s">
        <v>1075</v>
      </c>
      <c r="AD1147" t="s">
        <v>816</v>
      </c>
      <c r="AE1147" t="s">
        <v>18</v>
      </c>
      <c r="AF1147" t="s">
        <v>857</v>
      </c>
    </row>
    <row r="1148" spans="1:32">
      <c r="A1148" t="s">
        <v>5520</v>
      </c>
      <c r="B1148" t="s">
        <v>13</v>
      </c>
      <c r="C1148" t="s">
        <v>19</v>
      </c>
      <c r="D1148" t="s">
        <v>3212</v>
      </c>
      <c r="E1148" t="s">
        <v>18</v>
      </c>
      <c r="F1148" t="s">
        <v>3216</v>
      </c>
      <c r="M1148" t="s">
        <v>4802</v>
      </c>
      <c r="N1148" t="s">
        <v>1073</v>
      </c>
      <c r="O1148" t="s">
        <v>18</v>
      </c>
      <c r="P1148" t="s">
        <v>2814</v>
      </c>
      <c r="T1148" t="s">
        <v>13</v>
      </c>
      <c r="U1148" t="s">
        <v>19</v>
      </c>
      <c r="V1148" t="s">
        <v>18</v>
      </c>
      <c r="W1148" t="s">
        <v>3212</v>
      </c>
      <c r="AC1148" t="s">
        <v>1075</v>
      </c>
      <c r="AD1148" t="s">
        <v>816</v>
      </c>
      <c r="AE1148" t="s">
        <v>18</v>
      </c>
      <c r="AF1148" t="s">
        <v>2719</v>
      </c>
    </row>
    <row r="1149" spans="1:32">
      <c r="A1149" t="s">
        <v>5522</v>
      </c>
      <c r="B1149" t="s">
        <v>13</v>
      </c>
      <c r="C1149" t="s">
        <v>19</v>
      </c>
      <c r="D1149" t="s">
        <v>3214</v>
      </c>
      <c r="E1149" t="s">
        <v>18</v>
      </c>
      <c r="F1149" t="s">
        <v>3224</v>
      </c>
      <c r="M1149" t="s">
        <v>4802</v>
      </c>
      <c r="N1149" t="s">
        <v>1073</v>
      </c>
      <c r="O1149" t="s">
        <v>18</v>
      </c>
      <c r="P1149" t="s">
        <v>2463</v>
      </c>
      <c r="T1149" t="s">
        <v>13</v>
      </c>
      <c r="U1149" t="s">
        <v>19</v>
      </c>
      <c r="V1149" t="s">
        <v>18</v>
      </c>
      <c r="W1149" t="s">
        <v>3214</v>
      </c>
      <c r="AC1149" t="s">
        <v>1076</v>
      </c>
      <c r="AD1149" t="s">
        <v>818</v>
      </c>
      <c r="AE1149" t="s">
        <v>857</v>
      </c>
      <c r="AF1149" t="s">
        <v>857</v>
      </c>
    </row>
    <row r="1150" spans="1:32">
      <c r="A1150" t="s">
        <v>5522</v>
      </c>
      <c r="B1150" t="s">
        <v>13</v>
      </c>
      <c r="C1150" t="s">
        <v>19</v>
      </c>
      <c r="D1150" t="s">
        <v>3214</v>
      </c>
      <c r="E1150" t="s">
        <v>18</v>
      </c>
      <c r="F1150" t="s">
        <v>3215</v>
      </c>
      <c r="M1150" t="s">
        <v>4802</v>
      </c>
      <c r="N1150" t="s">
        <v>1073</v>
      </c>
      <c r="O1150" t="s">
        <v>18</v>
      </c>
      <c r="P1150" t="s">
        <v>2462</v>
      </c>
      <c r="T1150" t="s">
        <v>13</v>
      </c>
      <c r="U1150" t="s">
        <v>19</v>
      </c>
      <c r="V1150" t="s">
        <v>18</v>
      </c>
      <c r="W1150" t="s">
        <v>3214</v>
      </c>
      <c r="AC1150" t="s">
        <v>1076</v>
      </c>
      <c r="AD1150" t="s">
        <v>818</v>
      </c>
      <c r="AE1150" t="s">
        <v>18</v>
      </c>
      <c r="AF1150" t="s">
        <v>857</v>
      </c>
    </row>
    <row r="1151" spans="1:32">
      <c r="A1151" t="s">
        <v>6549</v>
      </c>
      <c r="B1151" t="s">
        <v>13</v>
      </c>
      <c r="C1151" t="s">
        <v>2384</v>
      </c>
      <c r="D1151" t="s">
        <v>3222</v>
      </c>
      <c r="E1151" t="s">
        <v>857</v>
      </c>
      <c r="F1151" t="s">
        <v>3223</v>
      </c>
      <c r="M1151" t="s">
        <v>4802</v>
      </c>
      <c r="N1151" t="s">
        <v>1073</v>
      </c>
      <c r="O1151" t="s">
        <v>18</v>
      </c>
      <c r="P1151" t="s">
        <v>2461</v>
      </c>
      <c r="T1151" t="s">
        <v>13</v>
      </c>
      <c r="U1151" t="s">
        <v>2384</v>
      </c>
      <c r="V1151" t="s">
        <v>857</v>
      </c>
      <c r="W1151" t="s">
        <v>3222</v>
      </c>
      <c r="AC1151" t="s">
        <v>1076</v>
      </c>
      <c r="AD1151" t="s">
        <v>818</v>
      </c>
      <c r="AE1151" t="s">
        <v>18</v>
      </c>
      <c r="AF1151" t="s">
        <v>2366</v>
      </c>
    </row>
    <row r="1152" spans="1:32">
      <c r="A1152" t="s">
        <v>6550</v>
      </c>
      <c r="B1152" t="s">
        <v>13</v>
      </c>
      <c r="C1152" t="s">
        <v>2384</v>
      </c>
      <c r="D1152" t="s">
        <v>3218</v>
      </c>
      <c r="E1152" t="s">
        <v>857</v>
      </c>
      <c r="F1152" t="s">
        <v>4139</v>
      </c>
      <c r="M1152" t="s">
        <v>4802</v>
      </c>
      <c r="N1152" t="s">
        <v>1073</v>
      </c>
      <c r="O1152" t="s">
        <v>18</v>
      </c>
      <c r="P1152" t="s">
        <v>2460</v>
      </c>
      <c r="T1152" t="s">
        <v>13</v>
      </c>
      <c r="U1152" t="s">
        <v>2384</v>
      </c>
      <c r="V1152" t="s">
        <v>857</v>
      </c>
      <c r="W1152" t="s">
        <v>3218</v>
      </c>
      <c r="AC1152" t="s">
        <v>1076</v>
      </c>
      <c r="AD1152" t="s">
        <v>19</v>
      </c>
      <c r="AE1152" t="s">
        <v>857</v>
      </c>
      <c r="AF1152" t="s">
        <v>857</v>
      </c>
    </row>
    <row r="1153" spans="1:32">
      <c r="A1153" t="s">
        <v>6551</v>
      </c>
      <c r="B1153" t="s">
        <v>13</v>
      </c>
      <c r="C1153" t="s">
        <v>2384</v>
      </c>
      <c r="D1153" t="s">
        <v>3218</v>
      </c>
      <c r="E1153" t="s">
        <v>18</v>
      </c>
      <c r="F1153" t="s">
        <v>3221</v>
      </c>
      <c r="M1153" t="s">
        <v>4802</v>
      </c>
      <c r="N1153" t="s">
        <v>1073</v>
      </c>
      <c r="O1153" t="s">
        <v>18</v>
      </c>
      <c r="P1153" t="s">
        <v>2459</v>
      </c>
      <c r="T1153" t="s">
        <v>13</v>
      </c>
      <c r="U1153" t="s">
        <v>2384</v>
      </c>
      <c r="V1153" t="s">
        <v>18</v>
      </c>
      <c r="W1153" t="s">
        <v>3218</v>
      </c>
      <c r="AC1153" t="s">
        <v>1076</v>
      </c>
      <c r="AD1153" t="s">
        <v>19</v>
      </c>
      <c r="AE1153" t="s">
        <v>18</v>
      </c>
      <c r="AF1153" t="s">
        <v>857</v>
      </c>
    </row>
    <row r="1154" spans="1:32">
      <c r="A1154" t="s">
        <v>5524</v>
      </c>
      <c r="B1154" t="s">
        <v>13</v>
      </c>
      <c r="C1154" t="s">
        <v>2384</v>
      </c>
      <c r="D1154" t="s">
        <v>3212</v>
      </c>
      <c r="E1154" t="s">
        <v>857</v>
      </c>
      <c r="F1154" t="s">
        <v>3220</v>
      </c>
      <c r="M1154" t="s">
        <v>4802</v>
      </c>
      <c r="N1154" t="s">
        <v>1073</v>
      </c>
      <c r="O1154" t="s">
        <v>18</v>
      </c>
      <c r="P1154" t="s">
        <v>2458</v>
      </c>
      <c r="T1154" t="s">
        <v>13</v>
      </c>
      <c r="U1154" t="s">
        <v>2384</v>
      </c>
      <c r="V1154" t="s">
        <v>857</v>
      </c>
      <c r="W1154" t="s">
        <v>3212</v>
      </c>
      <c r="AC1154" t="s">
        <v>1076</v>
      </c>
      <c r="AD1154" t="s">
        <v>19</v>
      </c>
      <c r="AE1154" t="s">
        <v>18</v>
      </c>
      <c r="AF1154" t="s">
        <v>2804</v>
      </c>
    </row>
    <row r="1155" spans="1:32">
      <c r="A1155" t="s">
        <v>5526</v>
      </c>
      <c r="B1155" t="s">
        <v>13</v>
      </c>
      <c r="C1155" t="s">
        <v>2416</v>
      </c>
      <c r="D1155" t="s">
        <v>3212</v>
      </c>
      <c r="E1155" t="s">
        <v>18</v>
      </c>
      <c r="F1155" t="s">
        <v>3228</v>
      </c>
      <c r="M1155" t="s">
        <v>4802</v>
      </c>
      <c r="N1155" t="s">
        <v>1073</v>
      </c>
      <c r="O1155" t="s">
        <v>18</v>
      </c>
      <c r="P1155" t="s">
        <v>2456</v>
      </c>
      <c r="T1155" t="s">
        <v>13</v>
      </c>
      <c r="U1155" t="s">
        <v>2416</v>
      </c>
      <c r="V1155" t="s">
        <v>18</v>
      </c>
      <c r="W1155" t="s">
        <v>3212</v>
      </c>
      <c r="AC1155" t="s">
        <v>1076</v>
      </c>
      <c r="AD1155" t="s">
        <v>19</v>
      </c>
      <c r="AE1155" t="s">
        <v>18</v>
      </c>
      <c r="AF1155" t="s">
        <v>2366</v>
      </c>
    </row>
    <row r="1156" spans="1:32">
      <c r="A1156" t="s">
        <v>5528</v>
      </c>
      <c r="B1156" t="s">
        <v>13</v>
      </c>
      <c r="C1156" t="s">
        <v>816</v>
      </c>
      <c r="D1156" t="s">
        <v>857</v>
      </c>
      <c r="E1156" t="s">
        <v>18</v>
      </c>
      <c r="F1156" t="s">
        <v>3232</v>
      </c>
      <c r="M1156" t="s">
        <v>4802</v>
      </c>
      <c r="N1156" t="s">
        <v>1073</v>
      </c>
      <c r="O1156" t="s">
        <v>18</v>
      </c>
      <c r="P1156" t="s">
        <v>2454</v>
      </c>
      <c r="T1156" t="s">
        <v>13</v>
      </c>
      <c r="U1156" t="s">
        <v>816</v>
      </c>
      <c r="V1156" t="s">
        <v>18</v>
      </c>
      <c r="W1156" t="s">
        <v>857</v>
      </c>
      <c r="AC1156" t="s">
        <v>1076</v>
      </c>
      <c r="AD1156" t="s">
        <v>2384</v>
      </c>
      <c r="AE1156" t="s">
        <v>857</v>
      </c>
      <c r="AF1156" t="s">
        <v>2804</v>
      </c>
    </row>
    <row r="1157" spans="1:32">
      <c r="A1157" t="s">
        <v>5528</v>
      </c>
      <c r="B1157" t="s">
        <v>13</v>
      </c>
      <c r="C1157" t="s">
        <v>816</v>
      </c>
      <c r="D1157" t="s">
        <v>857</v>
      </c>
      <c r="E1157" t="s">
        <v>18</v>
      </c>
      <c r="F1157" t="s">
        <v>3229</v>
      </c>
      <c r="M1157" t="s">
        <v>4802</v>
      </c>
      <c r="N1157" t="s">
        <v>1073</v>
      </c>
      <c r="O1157" t="s">
        <v>18</v>
      </c>
      <c r="P1157" t="s">
        <v>2452</v>
      </c>
      <c r="T1157" t="s">
        <v>13</v>
      </c>
      <c r="U1157" t="s">
        <v>816</v>
      </c>
      <c r="V1157" t="s">
        <v>18</v>
      </c>
      <c r="W1157" t="s">
        <v>857</v>
      </c>
      <c r="AC1157" t="s">
        <v>1076</v>
      </c>
      <c r="AD1157" t="s">
        <v>2416</v>
      </c>
      <c r="AE1157" t="s">
        <v>18</v>
      </c>
      <c r="AF1157" t="s">
        <v>2804</v>
      </c>
    </row>
    <row r="1158" spans="1:32">
      <c r="A1158" t="s">
        <v>5529</v>
      </c>
      <c r="B1158" t="s">
        <v>13</v>
      </c>
      <c r="C1158" t="s">
        <v>816</v>
      </c>
      <c r="D1158" t="s">
        <v>3212</v>
      </c>
      <c r="E1158" t="s">
        <v>18</v>
      </c>
      <c r="F1158" t="s">
        <v>3213</v>
      </c>
      <c r="M1158" t="s">
        <v>4802</v>
      </c>
      <c r="N1158" t="s">
        <v>1073</v>
      </c>
      <c r="O1158" t="s">
        <v>18</v>
      </c>
      <c r="P1158" t="s">
        <v>2450</v>
      </c>
      <c r="T1158" t="s">
        <v>13</v>
      </c>
      <c r="U1158" t="s">
        <v>816</v>
      </c>
      <c r="V1158" t="s">
        <v>18</v>
      </c>
      <c r="W1158" t="s">
        <v>3212</v>
      </c>
      <c r="AC1158" t="s">
        <v>1076</v>
      </c>
      <c r="AD1158" t="s">
        <v>816</v>
      </c>
      <c r="AE1158" t="s">
        <v>857</v>
      </c>
      <c r="AF1158" t="s">
        <v>857</v>
      </c>
    </row>
    <row r="1159" spans="1:32">
      <c r="A1159" t="s">
        <v>5531</v>
      </c>
      <c r="B1159" t="s">
        <v>1051</v>
      </c>
      <c r="C1159" t="s">
        <v>818</v>
      </c>
      <c r="D1159" t="s">
        <v>857</v>
      </c>
      <c r="E1159" t="s">
        <v>18</v>
      </c>
      <c r="F1159" t="s">
        <v>3264</v>
      </c>
      <c r="M1159" t="s">
        <v>4802</v>
      </c>
      <c r="N1159" t="s">
        <v>1073</v>
      </c>
      <c r="O1159" t="s">
        <v>18</v>
      </c>
      <c r="P1159" t="s">
        <v>2448</v>
      </c>
      <c r="T1159" t="s">
        <v>1051</v>
      </c>
      <c r="U1159" t="s">
        <v>818</v>
      </c>
      <c r="V1159" t="s">
        <v>18</v>
      </c>
      <c r="W1159" t="s">
        <v>857</v>
      </c>
      <c r="AC1159" t="s">
        <v>1076</v>
      </c>
      <c r="AD1159" t="s">
        <v>816</v>
      </c>
      <c r="AE1159" t="s">
        <v>18</v>
      </c>
      <c r="AF1159" t="s">
        <v>857</v>
      </c>
    </row>
    <row r="1160" spans="1:32">
      <c r="A1160" t="s">
        <v>5532</v>
      </c>
      <c r="B1160" t="s">
        <v>1051</v>
      </c>
      <c r="C1160" t="s">
        <v>818</v>
      </c>
      <c r="D1160" t="s">
        <v>2559</v>
      </c>
      <c r="E1160" t="s">
        <v>18</v>
      </c>
      <c r="F1160" t="s">
        <v>3262</v>
      </c>
      <c r="M1160" t="s">
        <v>4802</v>
      </c>
      <c r="N1160" t="s">
        <v>1073</v>
      </c>
      <c r="O1160" t="s">
        <v>18</v>
      </c>
      <c r="P1160" t="s">
        <v>2446</v>
      </c>
      <c r="T1160" t="s">
        <v>1051</v>
      </c>
      <c r="U1160" t="s">
        <v>818</v>
      </c>
      <c r="V1160" t="s">
        <v>18</v>
      </c>
      <c r="W1160" t="s">
        <v>2559</v>
      </c>
      <c r="AC1160" t="s">
        <v>1076</v>
      </c>
      <c r="AD1160" t="s">
        <v>816</v>
      </c>
      <c r="AE1160" t="s">
        <v>18</v>
      </c>
      <c r="AF1160" t="s">
        <v>2366</v>
      </c>
    </row>
    <row r="1161" spans="1:32">
      <c r="A1161" t="s">
        <v>5533</v>
      </c>
      <c r="B1161" t="s">
        <v>1051</v>
      </c>
      <c r="C1161" t="s">
        <v>818</v>
      </c>
      <c r="D1161" t="s">
        <v>2867</v>
      </c>
      <c r="E1161" t="s">
        <v>18</v>
      </c>
      <c r="F1161" t="s">
        <v>3261</v>
      </c>
      <c r="M1161" t="s">
        <v>4802</v>
      </c>
      <c r="N1161" t="s">
        <v>1073</v>
      </c>
      <c r="O1161" t="s">
        <v>18</v>
      </c>
      <c r="P1161" t="s">
        <v>2444</v>
      </c>
      <c r="T1161" t="s">
        <v>1051</v>
      </c>
      <c r="U1161" t="s">
        <v>818</v>
      </c>
      <c r="V1161" t="s">
        <v>18</v>
      </c>
      <c r="W1161" t="s">
        <v>2867</v>
      </c>
      <c r="AC1161" t="s">
        <v>1077</v>
      </c>
      <c r="AD1161" t="s">
        <v>818</v>
      </c>
      <c r="AE1161" t="s">
        <v>18</v>
      </c>
      <c r="AF1161" t="s">
        <v>857</v>
      </c>
    </row>
    <row r="1162" spans="1:32">
      <c r="A1162" t="s">
        <v>5535</v>
      </c>
      <c r="B1162" t="s">
        <v>1051</v>
      </c>
      <c r="C1162" t="s">
        <v>19</v>
      </c>
      <c r="D1162" t="s">
        <v>857</v>
      </c>
      <c r="E1162" t="s">
        <v>18</v>
      </c>
      <c r="F1162" t="s">
        <v>3263</v>
      </c>
      <c r="M1162" t="s">
        <v>4802</v>
      </c>
      <c r="N1162" t="s">
        <v>1073</v>
      </c>
      <c r="O1162" t="s">
        <v>18</v>
      </c>
      <c r="P1162" t="s">
        <v>2442</v>
      </c>
      <c r="T1162" t="s">
        <v>1051</v>
      </c>
      <c r="U1162" t="s">
        <v>19</v>
      </c>
      <c r="V1162" t="s">
        <v>18</v>
      </c>
      <c r="W1162" t="s">
        <v>857</v>
      </c>
      <c r="AC1162" t="s">
        <v>1077</v>
      </c>
      <c r="AD1162" t="s">
        <v>19</v>
      </c>
      <c r="AE1162" t="s">
        <v>857</v>
      </c>
      <c r="AF1162" t="s">
        <v>2686</v>
      </c>
    </row>
    <row r="1163" spans="1:32">
      <c r="A1163" t="s">
        <v>5536</v>
      </c>
      <c r="B1163" t="s">
        <v>1051</v>
      </c>
      <c r="C1163" t="s">
        <v>19</v>
      </c>
      <c r="D1163" t="s">
        <v>2559</v>
      </c>
      <c r="E1163" t="s">
        <v>18</v>
      </c>
      <c r="F1163" t="s">
        <v>3260</v>
      </c>
      <c r="M1163" t="s">
        <v>4803</v>
      </c>
      <c r="N1163" t="s">
        <v>2881</v>
      </c>
      <c r="O1163" t="s">
        <v>18</v>
      </c>
      <c r="P1163" t="s">
        <v>2882</v>
      </c>
      <c r="T1163" t="s">
        <v>1051</v>
      </c>
      <c r="U1163" t="s">
        <v>19</v>
      </c>
      <c r="V1163" t="s">
        <v>18</v>
      </c>
      <c r="W1163" t="s">
        <v>2559</v>
      </c>
      <c r="AC1163" t="s">
        <v>1077</v>
      </c>
      <c r="AD1163" t="s">
        <v>19</v>
      </c>
      <c r="AE1163" t="s">
        <v>18</v>
      </c>
      <c r="AF1163" t="s">
        <v>857</v>
      </c>
    </row>
    <row r="1164" spans="1:32">
      <c r="A1164" t="s">
        <v>5537</v>
      </c>
      <c r="B1164" t="s">
        <v>1051</v>
      </c>
      <c r="C1164" t="s">
        <v>19</v>
      </c>
      <c r="D1164" t="s">
        <v>2867</v>
      </c>
      <c r="E1164" t="s">
        <v>18</v>
      </c>
      <c r="F1164" t="s">
        <v>3259</v>
      </c>
      <c r="M1164" t="s">
        <v>4804</v>
      </c>
      <c r="N1164" t="s">
        <v>1074</v>
      </c>
      <c r="O1164" t="s">
        <v>18</v>
      </c>
      <c r="P1164" t="s">
        <v>2716</v>
      </c>
      <c r="T1164" t="s">
        <v>1051</v>
      </c>
      <c r="U1164" t="s">
        <v>19</v>
      </c>
      <c r="V1164" t="s">
        <v>18</v>
      </c>
      <c r="W1164" t="s">
        <v>2867</v>
      </c>
      <c r="AC1164" t="s">
        <v>1077</v>
      </c>
      <c r="AD1164" t="s">
        <v>19</v>
      </c>
      <c r="AE1164" t="s">
        <v>18</v>
      </c>
      <c r="AF1164" t="s">
        <v>2686</v>
      </c>
    </row>
    <row r="1165" spans="1:32">
      <c r="A1165" t="s">
        <v>5540</v>
      </c>
      <c r="B1165" t="s">
        <v>1051</v>
      </c>
      <c r="C1165" t="s">
        <v>2384</v>
      </c>
      <c r="D1165" t="s">
        <v>857</v>
      </c>
      <c r="E1165" t="s">
        <v>857</v>
      </c>
      <c r="F1165" t="s">
        <v>3873</v>
      </c>
      <c r="M1165" t="s">
        <v>4804</v>
      </c>
      <c r="N1165" t="s">
        <v>1074</v>
      </c>
      <c r="O1165" t="s">
        <v>18</v>
      </c>
      <c r="P1165" t="s">
        <v>2715</v>
      </c>
      <c r="T1165" t="s">
        <v>1051</v>
      </c>
      <c r="U1165" t="s">
        <v>2384</v>
      </c>
      <c r="V1165" t="s">
        <v>857</v>
      </c>
      <c r="W1165" t="s">
        <v>857</v>
      </c>
      <c r="AC1165" t="s">
        <v>1077</v>
      </c>
      <c r="AD1165" t="s">
        <v>2384</v>
      </c>
      <c r="AE1165" t="s">
        <v>857</v>
      </c>
      <c r="AF1165" t="s">
        <v>2686</v>
      </c>
    </row>
    <row r="1166" spans="1:32">
      <c r="A1166" t="s">
        <v>5541</v>
      </c>
      <c r="B1166" t="s">
        <v>1051</v>
      </c>
      <c r="C1166" t="s">
        <v>2384</v>
      </c>
      <c r="D1166" t="s">
        <v>2867</v>
      </c>
      <c r="E1166" t="s">
        <v>857</v>
      </c>
      <c r="F1166" t="s">
        <v>4072</v>
      </c>
      <c r="M1166" t="s">
        <v>4804</v>
      </c>
      <c r="N1166" t="s">
        <v>1074</v>
      </c>
      <c r="O1166" t="s">
        <v>18</v>
      </c>
      <c r="P1166" t="s">
        <v>2714</v>
      </c>
      <c r="T1166" t="s">
        <v>1051</v>
      </c>
      <c r="U1166" t="s">
        <v>2384</v>
      </c>
      <c r="V1166" t="s">
        <v>857</v>
      </c>
      <c r="W1166" t="s">
        <v>2867</v>
      </c>
      <c r="AC1166" t="s">
        <v>1077</v>
      </c>
      <c r="AD1166" t="s">
        <v>2384</v>
      </c>
      <c r="AE1166" t="s">
        <v>18</v>
      </c>
      <c r="AF1166" t="s">
        <v>2686</v>
      </c>
    </row>
    <row r="1167" spans="1:32">
      <c r="A1167" t="s">
        <v>5542</v>
      </c>
      <c r="B1167" t="s">
        <v>1051</v>
      </c>
      <c r="C1167" t="s">
        <v>816</v>
      </c>
      <c r="D1167" t="s">
        <v>857</v>
      </c>
      <c r="E1167" t="s">
        <v>18</v>
      </c>
      <c r="F1167" t="s">
        <v>3265</v>
      </c>
      <c r="M1167" t="s">
        <v>4804</v>
      </c>
      <c r="N1167" t="s">
        <v>1074</v>
      </c>
      <c r="O1167" t="s">
        <v>18</v>
      </c>
      <c r="P1167" t="s">
        <v>2713</v>
      </c>
      <c r="T1167" t="s">
        <v>1051</v>
      </c>
      <c r="U1167" t="s">
        <v>816</v>
      </c>
      <c r="V1167" t="s">
        <v>18</v>
      </c>
      <c r="W1167" t="s">
        <v>857</v>
      </c>
      <c r="AC1167" t="s">
        <v>1077</v>
      </c>
      <c r="AD1167" t="s">
        <v>816</v>
      </c>
      <c r="AE1167" t="s">
        <v>18</v>
      </c>
      <c r="AF1167" t="s">
        <v>857</v>
      </c>
    </row>
    <row r="1168" spans="1:32">
      <c r="A1168" t="s">
        <v>5543</v>
      </c>
      <c r="B1168" t="s">
        <v>1051</v>
      </c>
      <c r="C1168" t="s">
        <v>816</v>
      </c>
      <c r="D1168" t="s">
        <v>2559</v>
      </c>
      <c r="E1168" t="s">
        <v>18</v>
      </c>
      <c r="F1168" t="s">
        <v>3258</v>
      </c>
      <c r="M1168" t="s">
        <v>4804</v>
      </c>
      <c r="N1168" t="s">
        <v>1074</v>
      </c>
      <c r="O1168" t="s">
        <v>18</v>
      </c>
      <c r="P1168" t="s">
        <v>2712</v>
      </c>
      <c r="T1168" t="s">
        <v>1051</v>
      </c>
      <c r="U1168" t="s">
        <v>816</v>
      </c>
      <c r="V1168" t="s">
        <v>18</v>
      </c>
      <c r="W1168" t="s">
        <v>2559</v>
      </c>
      <c r="AC1168" t="s">
        <v>1080</v>
      </c>
      <c r="AD1168" t="s">
        <v>818</v>
      </c>
      <c r="AE1168" t="s">
        <v>18</v>
      </c>
      <c r="AF1168" t="s">
        <v>2366</v>
      </c>
    </row>
    <row r="1169" spans="1:32">
      <c r="A1169" t="s">
        <v>5544</v>
      </c>
      <c r="B1169" t="s">
        <v>1051</v>
      </c>
      <c r="C1169" t="s">
        <v>816</v>
      </c>
      <c r="D1169" t="s">
        <v>2867</v>
      </c>
      <c r="E1169" t="s">
        <v>18</v>
      </c>
      <c r="F1169" t="s">
        <v>3257</v>
      </c>
      <c r="M1169" t="s">
        <v>4804</v>
      </c>
      <c r="N1169" t="s">
        <v>1074</v>
      </c>
      <c r="O1169" t="s">
        <v>18</v>
      </c>
      <c r="P1169" t="s">
        <v>2711</v>
      </c>
      <c r="T1169" t="s">
        <v>1051</v>
      </c>
      <c r="U1169" t="s">
        <v>816</v>
      </c>
      <c r="V1169" t="s">
        <v>18</v>
      </c>
      <c r="W1169" t="s">
        <v>2867</v>
      </c>
      <c r="AC1169" t="s">
        <v>1080</v>
      </c>
      <c r="AD1169" t="s">
        <v>816</v>
      </c>
      <c r="AE1169" t="s">
        <v>18</v>
      </c>
      <c r="AF1169" t="s">
        <v>2366</v>
      </c>
    </row>
    <row r="1170" spans="1:32">
      <c r="A1170" t="s">
        <v>5546</v>
      </c>
      <c r="B1170" t="s">
        <v>1052</v>
      </c>
      <c r="C1170" t="s">
        <v>818</v>
      </c>
      <c r="D1170" t="s">
        <v>3089</v>
      </c>
      <c r="E1170" t="s">
        <v>18</v>
      </c>
      <c r="F1170" t="s">
        <v>3096</v>
      </c>
      <c r="M1170" t="s">
        <v>4804</v>
      </c>
      <c r="N1170" t="s">
        <v>1074</v>
      </c>
      <c r="O1170" t="s">
        <v>18</v>
      </c>
      <c r="P1170" t="s">
        <v>2710</v>
      </c>
      <c r="T1170" t="s">
        <v>1052</v>
      </c>
      <c r="U1170" t="s">
        <v>818</v>
      </c>
      <c r="V1170" t="s">
        <v>18</v>
      </c>
      <c r="W1170" t="s">
        <v>3089</v>
      </c>
      <c r="AC1170" t="s">
        <v>1081</v>
      </c>
      <c r="AD1170" t="s">
        <v>818</v>
      </c>
      <c r="AE1170" t="s">
        <v>857</v>
      </c>
      <c r="AF1170" t="s">
        <v>2366</v>
      </c>
    </row>
    <row r="1171" spans="1:32">
      <c r="A1171" t="s">
        <v>5547</v>
      </c>
      <c r="B1171" t="s">
        <v>1052</v>
      </c>
      <c r="C1171" t="s">
        <v>818</v>
      </c>
      <c r="D1171" t="s">
        <v>3093</v>
      </c>
      <c r="E1171" t="s">
        <v>18</v>
      </c>
      <c r="F1171" t="s">
        <v>3094</v>
      </c>
      <c r="M1171" t="s">
        <v>4804</v>
      </c>
      <c r="N1171" t="s">
        <v>1074</v>
      </c>
      <c r="O1171" t="s">
        <v>18</v>
      </c>
      <c r="P1171" t="s">
        <v>2709</v>
      </c>
      <c r="T1171" t="s">
        <v>1052</v>
      </c>
      <c r="U1171" t="s">
        <v>818</v>
      </c>
      <c r="V1171" t="s">
        <v>18</v>
      </c>
      <c r="W1171" t="s">
        <v>3093</v>
      </c>
      <c r="AC1171" t="s">
        <v>1081</v>
      </c>
      <c r="AD1171" t="s">
        <v>818</v>
      </c>
      <c r="AE1171" t="s">
        <v>18</v>
      </c>
      <c r="AF1171" t="s">
        <v>857</v>
      </c>
    </row>
    <row r="1172" spans="1:32">
      <c r="A1172" t="s">
        <v>5550</v>
      </c>
      <c r="B1172" t="s">
        <v>1052</v>
      </c>
      <c r="C1172" t="s">
        <v>19</v>
      </c>
      <c r="D1172" t="s">
        <v>857</v>
      </c>
      <c r="E1172" t="s">
        <v>857</v>
      </c>
      <c r="F1172" t="s">
        <v>3893</v>
      </c>
      <c r="M1172" t="s">
        <v>4804</v>
      </c>
      <c r="N1172" t="s">
        <v>1074</v>
      </c>
      <c r="O1172" t="s">
        <v>18</v>
      </c>
      <c r="P1172" t="s">
        <v>2708</v>
      </c>
      <c r="T1172" t="s">
        <v>1052</v>
      </c>
      <c r="U1172" t="s">
        <v>19</v>
      </c>
      <c r="V1172" t="s">
        <v>857</v>
      </c>
      <c r="W1172" t="s">
        <v>857</v>
      </c>
      <c r="AC1172" t="s">
        <v>1081</v>
      </c>
      <c r="AD1172" t="s">
        <v>818</v>
      </c>
      <c r="AE1172" t="s">
        <v>18</v>
      </c>
      <c r="AF1172" t="s">
        <v>2366</v>
      </c>
    </row>
    <row r="1173" spans="1:32">
      <c r="A1173" t="s">
        <v>5551</v>
      </c>
      <c r="B1173" t="s">
        <v>1052</v>
      </c>
      <c r="C1173" t="s">
        <v>19</v>
      </c>
      <c r="D1173" t="s">
        <v>857</v>
      </c>
      <c r="E1173" t="s">
        <v>18</v>
      </c>
      <c r="F1173" t="s">
        <v>3091</v>
      </c>
      <c r="M1173" t="s">
        <v>4804</v>
      </c>
      <c r="N1173" t="s">
        <v>1074</v>
      </c>
      <c r="O1173" t="s">
        <v>18</v>
      </c>
      <c r="P1173" t="s">
        <v>2707</v>
      </c>
      <c r="T1173" t="s">
        <v>1052</v>
      </c>
      <c r="U1173" t="s">
        <v>19</v>
      </c>
      <c r="V1173" t="s">
        <v>18</v>
      </c>
      <c r="W1173" t="s">
        <v>857</v>
      </c>
      <c r="AC1173" t="s">
        <v>1081</v>
      </c>
      <c r="AD1173" t="s">
        <v>19</v>
      </c>
      <c r="AE1173" t="s">
        <v>18</v>
      </c>
      <c r="AF1173" t="s">
        <v>857</v>
      </c>
    </row>
    <row r="1174" spans="1:32">
      <c r="A1174" t="s">
        <v>5552</v>
      </c>
      <c r="B1174" t="s">
        <v>1052</v>
      </c>
      <c r="C1174" t="s">
        <v>19</v>
      </c>
      <c r="D1174" t="s">
        <v>3089</v>
      </c>
      <c r="E1174" t="s">
        <v>857</v>
      </c>
      <c r="F1174" t="s">
        <v>4131</v>
      </c>
      <c r="M1174" t="s">
        <v>4820</v>
      </c>
      <c r="N1174" t="s">
        <v>2868</v>
      </c>
      <c r="O1174" t="s">
        <v>18</v>
      </c>
      <c r="P1174" t="s">
        <v>3288</v>
      </c>
      <c r="T1174" t="s">
        <v>1052</v>
      </c>
      <c r="U1174" t="s">
        <v>19</v>
      </c>
      <c r="V1174" t="s">
        <v>857</v>
      </c>
      <c r="W1174" t="s">
        <v>3089</v>
      </c>
      <c r="AC1174" t="s">
        <v>1081</v>
      </c>
      <c r="AD1174" t="s">
        <v>19</v>
      </c>
      <c r="AE1174" t="s">
        <v>18</v>
      </c>
      <c r="AF1174" t="s">
        <v>2366</v>
      </c>
    </row>
    <row r="1175" spans="1:32">
      <c r="A1175" t="s">
        <v>5553</v>
      </c>
      <c r="B1175" t="s">
        <v>1052</v>
      </c>
      <c r="C1175" t="s">
        <v>19</v>
      </c>
      <c r="D1175" t="s">
        <v>3089</v>
      </c>
      <c r="E1175" t="s">
        <v>18</v>
      </c>
      <c r="F1175" t="s">
        <v>3174</v>
      </c>
      <c r="M1175" t="s">
        <v>4820</v>
      </c>
      <c r="N1175" t="s">
        <v>2868</v>
      </c>
      <c r="O1175" t="s">
        <v>18</v>
      </c>
      <c r="P1175" t="s">
        <v>2955</v>
      </c>
      <c r="T1175" t="s">
        <v>1052</v>
      </c>
      <c r="U1175" t="s">
        <v>19</v>
      </c>
      <c r="V1175" t="s">
        <v>18</v>
      </c>
      <c r="W1175" t="s">
        <v>3089</v>
      </c>
      <c r="AC1175" t="s">
        <v>1081</v>
      </c>
      <c r="AD1175" t="s">
        <v>2384</v>
      </c>
      <c r="AE1175" t="s">
        <v>857</v>
      </c>
      <c r="AF1175" t="s">
        <v>857</v>
      </c>
    </row>
    <row r="1176" spans="1:32">
      <c r="A1176" t="s">
        <v>5553</v>
      </c>
      <c r="B1176" t="s">
        <v>1052</v>
      </c>
      <c r="C1176" t="s">
        <v>19</v>
      </c>
      <c r="D1176" t="s">
        <v>3089</v>
      </c>
      <c r="E1176" t="s">
        <v>18</v>
      </c>
      <c r="F1176" t="s">
        <v>3095</v>
      </c>
      <c r="M1176" t="s">
        <v>4820</v>
      </c>
      <c r="N1176" t="s">
        <v>2868</v>
      </c>
      <c r="O1176" t="s">
        <v>18</v>
      </c>
      <c r="P1176" t="s">
        <v>2871</v>
      </c>
      <c r="T1176" t="s">
        <v>1052</v>
      </c>
      <c r="U1176" t="s">
        <v>19</v>
      </c>
      <c r="V1176" t="s">
        <v>18</v>
      </c>
      <c r="W1176" t="s">
        <v>3089</v>
      </c>
      <c r="AC1176" t="s">
        <v>1081</v>
      </c>
      <c r="AD1176" t="s">
        <v>816</v>
      </c>
      <c r="AE1176" t="s">
        <v>857</v>
      </c>
      <c r="AF1176" t="s">
        <v>857</v>
      </c>
    </row>
    <row r="1177" spans="1:32">
      <c r="A1177" t="s">
        <v>5556</v>
      </c>
      <c r="B1177" t="s">
        <v>1052</v>
      </c>
      <c r="C1177" t="s">
        <v>2384</v>
      </c>
      <c r="D1177" t="s">
        <v>3089</v>
      </c>
      <c r="E1177" t="s">
        <v>857</v>
      </c>
      <c r="F1177" t="s">
        <v>3176</v>
      </c>
      <c r="M1177" t="s">
        <v>4820</v>
      </c>
      <c r="N1177" t="s">
        <v>2868</v>
      </c>
      <c r="O1177" t="s">
        <v>18</v>
      </c>
      <c r="P1177" t="s">
        <v>2869</v>
      </c>
      <c r="T1177" t="s">
        <v>1052</v>
      </c>
      <c r="U1177" t="s">
        <v>2384</v>
      </c>
      <c r="V1177" t="s">
        <v>857</v>
      </c>
      <c r="W1177" t="s">
        <v>3089</v>
      </c>
      <c r="AC1177" t="s">
        <v>1081</v>
      </c>
      <c r="AD1177" t="s">
        <v>816</v>
      </c>
      <c r="AE1177" t="s">
        <v>857</v>
      </c>
      <c r="AF1177" t="s">
        <v>2596</v>
      </c>
    </row>
    <row r="1178" spans="1:32">
      <c r="A1178" t="s">
        <v>5557</v>
      </c>
      <c r="B1178" t="s">
        <v>1052</v>
      </c>
      <c r="C1178" t="s">
        <v>2384</v>
      </c>
      <c r="D1178" t="s">
        <v>3093</v>
      </c>
      <c r="E1178" t="s">
        <v>857</v>
      </c>
      <c r="F1178" t="s">
        <v>4127</v>
      </c>
      <c r="M1178" t="s">
        <v>4805</v>
      </c>
      <c r="N1178" t="s">
        <v>2872</v>
      </c>
      <c r="O1178" t="s">
        <v>18</v>
      </c>
      <c r="P1178" t="s">
        <v>3201</v>
      </c>
      <c r="T1178" t="s">
        <v>1052</v>
      </c>
      <c r="U1178" t="s">
        <v>2384</v>
      </c>
      <c r="V1178" t="s">
        <v>857</v>
      </c>
      <c r="W1178" t="s">
        <v>3093</v>
      </c>
      <c r="AC1178" t="s">
        <v>1081</v>
      </c>
      <c r="AD1178" t="s">
        <v>816</v>
      </c>
      <c r="AE1178" t="s">
        <v>18</v>
      </c>
      <c r="AF1178" t="s">
        <v>857</v>
      </c>
    </row>
    <row r="1179" spans="1:32">
      <c r="A1179" t="s">
        <v>5558</v>
      </c>
      <c r="B1179" t="s">
        <v>1052</v>
      </c>
      <c r="C1179" t="s">
        <v>2384</v>
      </c>
      <c r="D1179" t="s">
        <v>3093</v>
      </c>
      <c r="E1179" t="s">
        <v>18</v>
      </c>
      <c r="F1179" t="s">
        <v>3175</v>
      </c>
      <c r="M1179" t="s">
        <v>4805</v>
      </c>
      <c r="N1179" t="s">
        <v>2872</v>
      </c>
      <c r="O1179" t="s">
        <v>18</v>
      </c>
      <c r="P1179" t="s">
        <v>2956</v>
      </c>
      <c r="T1179" t="s">
        <v>1052</v>
      </c>
      <c r="U1179" t="s">
        <v>2384</v>
      </c>
      <c r="V1179" t="s">
        <v>18</v>
      </c>
      <c r="W1179" t="s">
        <v>3093</v>
      </c>
      <c r="AC1179" t="s">
        <v>1081</v>
      </c>
      <c r="AD1179" t="s">
        <v>816</v>
      </c>
      <c r="AE1179" t="s">
        <v>18</v>
      </c>
      <c r="AF1179" t="s">
        <v>2598</v>
      </c>
    </row>
    <row r="1180" spans="1:32">
      <c r="A1180" t="s">
        <v>5560</v>
      </c>
      <c r="B1180" t="s">
        <v>1052</v>
      </c>
      <c r="C1180" t="s">
        <v>816</v>
      </c>
      <c r="D1180" t="s">
        <v>857</v>
      </c>
      <c r="E1180" t="s">
        <v>857</v>
      </c>
      <c r="F1180" t="s">
        <v>3931</v>
      </c>
      <c r="M1180" t="s">
        <v>4805</v>
      </c>
      <c r="N1180" t="s">
        <v>2872</v>
      </c>
      <c r="O1180" t="s">
        <v>18</v>
      </c>
      <c r="P1180" t="s">
        <v>2874</v>
      </c>
      <c r="T1180" t="s">
        <v>1052</v>
      </c>
      <c r="U1180" t="s">
        <v>816</v>
      </c>
      <c r="V1180" t="s">
        <v>857</v>
      </c>
      <c r="W1180" t="s">
        <v>857</v>
      </c>
      <c r="AC1180" t="s">
        <v>1081</v>
      </c>
      <c r="AD1180" t="s">
        <v>816</v>
      </c>
      <c r="AE1180" t="s">
        <v>18</v>
      </c>
      <c r="AF1180" t="s">
        <v>2596</v>
      </c>
    </row>
    <row r="1181" spans="1:32">
      <c r="A1181" t="s">
        <v>5561</v>
      </c>
      <c r="B1181" t="s">
        <v>1052</v>
      </c>
      <c r="C1181" t="s">
        <v>816</v>
      </c>
      <c r="D1181" t="s">
        <v>857</v>
      </c>
      <c r="E1181" t="s">
        <v>18</v>
      </c>
      <c r="F1181" t="s">
        <v>3177</v>
      </c>
      <c r="M1181" t="s">
        <v>4805</v>
      </c>
      <c r="N1181" t="s">
        <v>2872</v>
      </c>
      <c r="O1181" t="s">
        <v>18</v>
      </c>
      <c r="P1181" t="s">
        <v>2873</v>
      </c>
      <c r="T1181" t="s">
        <v>1052</v>
      </c>
      <c r="U1181" t="s">
        <v>816</v>
      </c>
      <c r="V1181" t="s">
        <v>18</v>
      </c>
      <c r="W1181" t="s">
        <v>857</v>
      </c>
      <c r="AC1181" t="s">
        <v>1081</v>
      </c>
      <c r="AD1181" t="s">
        <v>816</v>
      </c>
      <c r="AE1181" t="s">
        <v>18</v>
      </c>
      <c r="AF1181" t="s">
        <v>2366</v>
      </c>
    </row>
    <row r="1182" spans="1:32">
      <c r="A1182" t="s">
        <v>5561</v>
      </c>
      <c r="B1182" t="s">
        <v>1052</v>
      </c>
      <c r="C1182" t="s">
        <v>816</v>
      </c>
      <c r="D1182" t="s">
        <v>857</v>
      </c>
      <c r="E1182" t="s">
        <v>18</v>
      </c>
      <c r="F1182" t="s">
        <v>3092</v>
      </c>
      <c r="M1182" t="s">
        <v>4806</v>
      </c>
      <c r="N1182" t="s">
        <v>2970</v>
      </c>
      <c r="O1182" t="s">
        <v>18</v>
      </c>
      <c r="P1182" t="s">
        <v>2971</v>
      </c>
      <c r="T1182" t="s">
        <v>1052</v>
      </c>
      <c r="U1182" t="s">
        <v>816</v>
      </c>
      <c r="V1182" t="s">
        <v>18</v>
      </c>
      <c r="W1182" t="s">
        <v>857</v>
      </c>
      <c r="AC1182" t="s">
        <v>7525</v>
      </c>
      <c r="AD1182" t="s">
        <v>818</v>
      </c>
      <c r="AE1182" t="s">
        <v>18</v>
      </c>
      <c r="AF1182" t="s">
        <v>857</v>
      </c>
    </row>
    <row r="1183" spans="1:32">
      <c r="A1183" t="s">
        <v>5562</v>
      </c>
      <c r="B1183" t="s">
        <v>1052</v>
      </c>
      <c r="C1183" t="s">
        <v>816</v>
      </c>
      <c r="D1183" t="s">
        <v>3089</v>
      </c>
      <c r="E1183" t="s">
        <v>18</v>
      </c>
      <c r="F1183" t="s">
        <v>3090</v>
      </c>
      <c r="M1183" t="s">
        <v>4807</v>
      </c>
      <c r="N1183" t="s">
        <v>1075</v>
      </c>
      <c r="O1183" t="s">
        <v>18</v>
      </c>
      <c r="P1183" t="s">
        <v>3383</v>
      </c>
      <c r="T1183" t="s">
        <v>1052</v>
      </c>
      <c r="U1183" t="s">
        <v>816</v>
      </c>
      <c r="V1183" t="s">
        <v>18</v>
      </c>
      <c r="W1183" t="s">
        <v>3089</v>
      </c>
      <c r="AC1183" t="s">
        <v>7525</v>
      </c>
      <c r="AD1183" t="s">
        <v>818</v>
      </c>
      <c r="AE1183" t="s">
        <v>18</v>
      </c>
      <c r="AF1183" t="s">
        <v>2554</v>
      </c>
    </row>
    <row r="1184" spans="1:32">
      <c r="A1184" t="s">
        <v>5565</v>
      </c>
      <c r="B1184" t="s">
        <v>1053</v>
      </c>
      <c r="C1184" t="s">
        <v>818</v>
      </c>
      <c r="D1184" t="s">
        <v>857</v>
      </c>
      <c r="E1184" t="s">
        <v>857</v>
      </c>
      <c r="F1184" t="s">
        <v>3890</v>
      </c>
      <c r="M1184" t="s">
        <v>4807</v>
      </c>
      <c r="N1184" t="s">
        <v>1075</v>
      </c>
      <c r="O1184" t="s">
        <v>18</v>
      </c>
      <c r="P1184" t="s">
        <v>3382</v>
      </c>
      <c r="T1184" t="s">
        <v>1053</v>
      </c>
      <c r="U1184" t="s">
        <v>818</v>
      </c>
      <c r="V1184" t="s">
        <v>857</v>
      </c>
      <c r="W1184" t="s">
        <v>857</v>
      </c>
      <c r="AC1184" t="s">
        <v>7525</v>
      </c>
      <c r="AD1184" t="s">
        <v>818</v>
      </c>
      <c r="AE1184" t="s">
        <v>18</v>
      </c>
      <c r="AF1184" t="s">
        <v>2581</v>
      </c>
    </row>
    <row r="1185" spans="1:32">
      <c r="A1185" t="s">
        <v>5566</v>
      </c>
      <c r="B1185" t="s">
        <v>1053</v>
      </c>
      <c r="C1185" t="s">
        <v>818</v>
      </c>
      <c r="D1185" t="s">
        <v>857</v>
      </c>
      <c r="E1185" t="s">
        <v>18</v>
      </c>
      <c r="F1185" t="s">
        <v>3173</v>
      </c>
      <c r="M1185" t="s">
        <v>4807</v>
      </c>
      <c r="N1185" t="s">
        <v>1075</v>
      </c>
      <c r="O1185" t="s">
        <v>18</v>
      </c>
      <c r="P1185" t="s">
        <v>3381</v>
      </c>
      <c r="T1185" t="s">
        <v>1053</v>
      </c>
      <c r="U1185" t="s">
        <v>818</v>
      </c>
      <c r="V1185" t="s">
        <v>18</v>
      </c>
      <c r="W1185" t="s">
        <v>857</v>
      </c>
      <c r="AC1185" t="s">
        <v>7525</v>
      </c>
      <c r="AD1185" t="s">
        <v>19</v>
      </c>
      <c r="AE1185" t="s">
        <v>857</v>
      </c>
      <c r="AF1185" t="s">
        <v>857</v>
      </c>
    </row>
    <row r="1186" spans="1:32">
      <c r="A1186" t="s">
        <v>5566</v>
      </c>
      <c r="B1186" t="s">
        <v>1053</v>
      </c>
      <c r="C1186" t="s">
        <v>818</v>
      </c>
      <c r="D1186" t="s">
        <v>857</v>
      </c>
      <c r="E1186" t="s">
        <v>18</v>
      </c>
      <c r="F1186" t="s">
        <v>3088</v>
      </c>
      <c r="M1186" t="s">
        <v>4807</v>
      </c>
      <c r="N1186" t="s">
        <v>1075</v>
      </c>
      <c r="O1186" t="s">
        <v>18</v>
      </c>
      <c r="P1186" t="s">
        <v>3380</v>
      </c>
      <c r="T1186" t="s">
        <v>1053</v>
      </c>
      <c r="U1186" t="s">
        <v>818</v>
      </c>
      <c r="V1186" t="s">
        <v>18</v>
      </c>
      <c r="W1186" t="s">
        <v>857</v>
      </c>
      <c r="AC1186" t="s">
        <v>7525</v>
      </c>
      <c r="AD1186" t="s">
        <v>19</v>
      </c>
      <c r="AE1186" t="s">
        <v>18</v>
      </c>
      <c r="AF1186" t="s">
        <v>857</v>
      </c>
    </row>
    <row r="1187" spans="1:32">
      <c r="A1187" t="s">
        <v>5566</v>
      </c>
      <c r="B1187" t="s">
        <v>1053</v>
      </c>
      <c r="C1187" t="s">
        <v>818</v>
      </c>
      <c r="D1187" t="s">
        <v>857</v>
      </c>
      <c r="E1187" t="s">
        <v>18</v>
      </c>
      <c r="F1187" t="s">
        <v>3085</v>
      </c>
      <c r="M1187" t="s">
        <v>4807</v>
      </c>
      <c r="N1187" t="s">
        <v>1075</v>
      </c>
      <c r="O1187" t="s">
        <v>18</v>
      </c>
      <c r="P1187" t="s">
        <v>3379</v>
      </c>
      <c r="T1187" t="s">
        <v>1053</v>
      </c>
      <c r="U1187" t="s">
        <v>818</v>
      </c>
      <c r="V1187" t="s">
        <v>18</v>
      </c>
      <c r="W1187" t="s">
        <v>857</v>
      </c>
      <c r="AC1187" t="s">
        <v>7525</v>
      </c>
      <c r="AD1187" t="s">
        <v>19</v>
      </c>
      <c r="AE1187" t="s">
        <v>18</v>
      </c>
      <c r="AF1187" t="s">
        <v>2554</v>
      </c>
    </row>
    <row r="1188" spans="1:32">
      <c r="A1188" t="s">
        <v>5566</v>
      </c>
      <c r="B1188" t="s">
        <v>1053</v>
      </c>
      <c r="C1188" t="s">
        <v>818</v>
      </c>
      <c r="D1188" t="s">
        <v>857</v>
      </c>
      <c r="E1188" t="s">
        <v>18</v>
      </c>
      <c r="F1188" t="s">
        <v>3080</v>
      </c>
      <c r="M1188" t="s">
        <v>4807</v>
      </c>
      <c r="N1188" t="s">
        <v>1075</v>
      </c>
      <c r="O1188" t="s">
        <v>18</v>
      </c>
      <c r="P1188" t="s">
        <v>3378</v>
      </c>
      <c r="T1188" t="s">
        <v>1053</v>
      </c>
      <c r="U1188" t="s">
        <v>818</v>
      </c>
      <c r="V1188" t="s">
        <v>18</v>
      </c>
      <c r="W1188" t="s">
        <v>857</v>
      </c>
      <c r="AC1188" t="s">
        <v>7525</v>
      </c>
      <c r="AD1188" t="s">
        <v>2384</v>
      </c>
      <c r="AE1188" t="s">
        <v>857</v>
      </c>
      <c r="AF1188" t="s">
        <v>857</v>
      </c>
    </row>
    <row r="1189" spans="1:32">
      <c r="A1189" t="s">
        <v>5566</v>
      </c>
      <c r="B1189" t="s">
        <v>1053</v>
      </c>
      <c r="C1189" t="s">
        <v>818</v>
      </c>
      <c r="D1189" t="s">
        <v>857</v>
      </c>
      <c r="E1189" t="s">
        <v>18</v>
      </c>
      <c r="F1189" t="s">
        <v>3079</v>
      </c>
      <c r="M1189" t="s">
        <v>4807</v>
      </c>
      <c r="N1189" t="s">
        <v>1075</v>
      </c>
      <c r="O1189" t="s">
        <v>18</v>
      </c>
      <c r="P1189" t="s">
        <v>3377</v>
      </c>
      <c r="T1189" t="s">
        <v>1053</v>
      </c>
      <c r="U1189" t="s">
        <v>818</v>
      </c>
      <c r="V1189" t="s">
        <v>18</v>
      </c>
      <c r="W1189" t="s">
        <v>857</v>
      </c>
      <c r="AC1189" t="s">
        <v>7525</v>
      </c>
      <c r="AD1189" t="s">
        <v>2384</v>
      </c>
      <c r="AE1189" t="s">
        <v>857</v>
      </c>
      <c r="AF1189" t="s">
        <v>2561</v>
      </c>
    </row>
    <row r="1190" spans="1:32">
      <c r="A1190" t="s">
        <v>5566</v>
      </c>
      <c r="B1190" t="s">
        <v>1053</v>
      </c>
      <c r="C1190" t="s">
        <v>818</v>
      </c>
      <c r="D1190" t="s">
        <v>857</v>
      </c>
      <c r="E1190" t="s">
        <v>18</v>
      </c>
      <c r="F1190" t="s">
        <v>3078</v>
      </c>
      <c r="M1190" t="s">
        <v>4807</v>
      </c>
      <c r="N1190" t="s">
        <v>1075</v>
      </c>
      <c r="O1190" t="s">
        <v>18</v>
      </c>
      <c r="P1190" t="s">
        <v>3376</v>
      </c>
      <c r="T1190" t="s">
        <v>1053</v>
      </c>
      <c r="U1190" t="s">
        <v>818</v>
      </c>
      <c r="V1190" t="s">
        <v>18</v>
      </c>
      <c r="W1190" t="s">
        <v>857</v>
      </c>
      <c r="AC1190" t="s">
        <v>7525</v>
      </c>
      <c r="AD1190" t="s">
        <v>2384</v>
      </c>
      <c r="AE1190" t="s">
        <v>857</v>
      </c>
      <c r="AF1190" t="s">
        <v>2554</v>
      </c>
    </row>
    <row r="1191" spans="1:32">
      <c r="A1191" t="s">
        <v>5567</v>
      </c>
      <c r="B1191" t="s">
        <v>1053</v>
      </c>
      <c r="C1191" t="s">
        <v>818</v>
      </c>
      <c r="D1191" t="s">
        <v>2559</v>
      </c>
      <c r="E1191" t="s">
        <v>857</v>
      </c>
      <c r="F1191" t="s">
        <v>4053</v>
      </c>
      <c r="M1191" t="s">
        <v>4807</v>
      </c>
      <c r="N1191" t="s">
        <v>1075</v>
      </c>
      <c r="O1191" t="s">
        <v>18</v>
      </c>
      <c r="P1191" t="s">
        <v>3374</v>
      </c>
      <c r="T1191" t="s">
        <v>1053</v>
      </c>
      <c r="U1191" t="s">
        <v>818</v>
      </c>
      <c r="V1191" t="s">
        <v>857</v>
      </c>
      <c r="W1191" t="s">
        <v>2559</v>
      </c>
      <c r="AC1191" t="s">
        <v>7525</v>
      </c>
      <c r="AD1191" t="s">
        <v>2384</v>
      </c>
      <c r="AE1191" t="s">
        <v>18</v>
      </c>
      <c r="AF1191" t="s">
        <v>857</v>
      </c>
    </row>
    <row r="1192" spans="1:32">
      <c r="A1192" t="s">
        <v>5568</v>
      </c>
      <c r="B1192" t="s">
        <v>1053</v>
      </c>
      <c r="C1192" t="s">
        <v>818</v>
      </c>
      <c r="D1192" t="s">
        <v>2559</v>
      </c>
      <c r="E1192" t="s">
        <v>18</v>
      </c>
      <c r="F1192" t="s">
        <v>3077</v>
      </c>
      <c r="M1192" t="s">
        <v>4807</v>
      </c>
      <c r="N1192" t="s">
        <v>1075</v>
      </c>
      <c r="O1192" t="s">
        <v>18</v>
      </c>
      <c r="P1192" t="s">
        <v>3373</v>
      </c>
      <c r="T1192" t="s">
        <v>1053</v>
      </c>
      <c r="U1192" t="s">
        <v>818</v>
      </c>
      <c r="V1192" t="s">
        <v>18</v>
      </c>
      <c r="W1192" t="s">
        <v>2559</v>
      </c>
      <c r="AC1192" t="s">
        <v>7525</v>
      </c>
      <c r="AD1192" t="s">
        <v>2384</v>
      </c>
      <c r="AE1192" t="s">
        <v>18</v>
      </c>
      <c r="AF1192" t="s">
        <v>2559</v>
      </c>
    </row>
    <row r="1193" spans="1:32">
      <c r="A1193" t="s">
        <v>5569</v>
      </c>
      <c r="B1193" t="s">
        <v>1053</v>
      </c>
      <c r="C1193" t="s">
        <v>818</v>
      </c>
      <c r="D1193" t="s">
        <v>3168</v>
      </c>
      <c r="E1193" t="s">
        <v>18</v>
      </c>
      <c r="F1193" t="s">
        <v>3172</v>
      </c>
      <c r="M1193" t="s">
        <v>4807</v>
      </c>
      <c r="N1193" t="s">
        <v>1075</v>
      </c>
      <c r="O1193" t="s">
        <v>18</v>
      </c>
      <c r="P1193" t="s">
        <v>3372</v>
      </c>
      <c r="T1193" t="s">
        <v>1053</v>
      </c>
      <c r="U1193" t="s">
        <v>818</v>
      </c>
      <c r="V1193" t="s">
        <v>18</v>
      </c>
      <c r="W1193" t="s">
        <v>3168</v>
      </c>
      <c r="AC1193" t="s">
        <v>7525</v>
      </c>
      <c r="AD1193" t="s">
        <v>2416</v>
      </c>
      <c r="AE1193" t="s">
        <v>857</v>
      </c>
      <c r="AF1193" t="s">
        <v>2554</v>
      </c>
    </row>
    <row r="1194" spans="1:32">
      <c r="A1194" t="s">
        <v>5572</v>
      </c>
      <c r="B1194" t="s">
        <v>1053</v>
      </c>
      <c r="C1194" t="s">
        <v>19</v>
      </c>
      <c r="D1194" t="s">
        <v>857</v>
      </c>
      <c r="E1194" t="s">
        <v>857</v>
      </c>
      <c r="F1194" t="s">
        <v>3889</v>
      </c>
      <c r="M1194" t="s">
        <v>4807</v>
      </c>
      <c r="N1194" t="s">
        <v>1075</v>
      </c>
      <c r="O1194" t="s">
        <v>18</v>
      </c>
      <c r="P1194" t="s">
        <v>2726</v>
      </c>
      <c r="T1194" t="s">
        <v>1053</v>
      </c>
      <c r="U1194" t="s">
        <v>19</v>
      </c>
      <c r="V1194" t="s">
        <v>857</v>
      </c>
      <c r="W1194" t="s">
        <v>857</v>
      </c>
      <c r="AC1194" t="s">
        <v>7525</v>
      </c>
      <c r="AD1194" t="s">
        <v>2416</v>
      </c>
      <c r="AE1194" t="s">
        <v>18</v>
      </c>
      <c r="AF1194" t="s">
        <v>2554</v>
      </c>
    </row>
    <row r="1195" spans="1:32">
      <c r="A1195" t="s">
        <v>5573</v>
      </c>
      <c r="B1195" t="s">
        <v>1053</v>
      </c>
      <c r="C1195" t="s">
        <v>19</v>
      </c>
      <c r="D1195" t="s">
        <v>857</v>
      </c>
      <c r="E1195" t="s">
        <v>18</v>
      </c>
      <c r="F1195" t="s">
        <v>3087</v>
      </c>
      <c r="M1195" t="s">
        <v>4807</v>
      </c>
      <c r="N1195" t="s">
        <v>1075</v>
      </c>
      <c r="O1195" t="s">
        <v>18</v>
      </c>
      <c r="P1195" t="s">
        <v>2725</v>
      </c>
      <c r="T1195" t="s">
        <v>1053</v>
      </c>
      <c r="U1195" t="s">
        <v>19</v>
      </c>
      <c r="V1195" t="s">
        <v>18</v>
      </c>
      <c r="W1195" t="s">
        <v>857</v>
      </c>
      <c r="AC1195" t="s">
        <v>7525</v>
      </c>
      <c r="AD1195" t="s">
        <v>816</v>
      </c>
      <c r="AE1195" t="s">
        <v>18</v>
      </c>
      <c r="AF1195" t="s">
        <v>2554</v>
      </c>
    </row>
    <row r="1196" spans="1:32">
      <c r="A1196" t="s">
        <v>5573</v>
      </c>
      <c r="B1196" t="s">
        <v>1053</v>
      </c>
      <c r="C1196" t="s">
        <v>19</v>
      </c>
      <c r="D1196" t="s">
        <v>857</v>
      </c>
      <c r="E1196" t="s">
        <v>18</v>
      </c>
      <c r="F1196" t="s">
        <v>3086</v>
      </c>
      <c r="M1196" t="s">
        <v>4807</v>
      </c>
      <c r="N1196" t="s">
        <v>1075</v>
      </c>
      <c r="O1196" t="s">
        <v>18</v>
      </c>
      <c r="P1196" t="s">
        <v>2724</v>
      </c>
      <c r="T1196" t="s">
        <v>1053</v>
      </c>
      <c r="U1196" t="s">
        <v>19</v>
      </c>
      <c r="V1196" t="s">
        <v>18</v>
      </c>
      <c r="W1196" t="s">
        <v>857</v>
      </c>
      <c r="AC1196" t="s">
        <v>1083</v>
      </c>
      <c r="AD1196" t="s">
        <v>818</v>
      </c>
      <c r="AE1196" t="s">
        <v>18</v>
      </c>
      <c r="AF1196" t="s">
        <v>857</v>
      </c>
    </row>
    <row r="1197" spans="1:32">
      <c r="A1197" t="s">
        <v>5573</v>
      </c>
      <c r="B1197" t="s">
        <v>1053</v>
      </c>
      <c r="C1197" t="s">
        <v>19</v>
      </c>
      <c r="D1197" t="s">
        <v>857</v>
      </c>
      <c r="E1197" t="s">
        <v>18</v>
      </c>
      <c r="F1197" t="s">
        <v>3083</v>
      </c>
      <c r="M1197" t="s">
        <v>4807</v>
      </c>
      <c r="N1197" t="s">
        <v>1075</v>
      </c>
      <c r="O1197" t="s">
        <v>18</v>
      </c>
      <c r="P1197" t="s">
        <v>2723</v>
      </c>
      <c r="T1197" t="s">
        <v>1053</v>
      </c>
      <c r="U1197" t="s">
        <v>19</v>
      </c>
      <c r="V1197" t="s">
        <v>18</v>
      </c>
      <c r="W1197" t="s">
        <v>857</v>
      </c>
      <c r="AC1197" t="s">
        <v>1083</v>
      </c>
      <c r="AD1197" t="s">
        <v>818</v>
      </c>
      <c r="AE1197" t="s">
        <v>18</v>
      </c>
      <c r="AF1197" t="s">
        <v>2607</v>
      </c>
    </row>
    <row r="1198" spans="1:32">
      <c r="A1198" t="s">
        <v>5573</v>
      </c>
      <c r="B1198" t="s">
        <v>1053</v>
      </c>
      <c r="C1198" t="s">
        <v>19</v>
      </c>
      <c r="D1198" t="s">
        <v>857</v>
      </c>
      <c r="E1198" t="s">
        <v>18</v>
      </c>
      <c r="F1198" t="s">
        <v>3082</v>
      </c>
      <c r="M1198" t="s">
        <v>4807</v>
      </c>
      <c r="N1198" t="s">
        <v>1075</v>
      </c>
      <c r="O1198" t="s">
        <v>18</v>
      </c>
      <c r="P1198" t="s">
        <v>2722</v>
      </c>
      <c r="T1198" t="s">
        <v>1053</v>
      </c>
      <c r="U1198" t="s">
        <v>19</v>
      </c>
      <c r="V1198" t="s">
        <v>18</v>
      </c>
      <c r="W1198" t="s">
        <v>857</v>
      </c>
      <c r="AC1198" t="s">
        <v>1083</v>
      </c>
      <c r="AD1198" t="s">
        <v>19</v>
      </c>
      <c r="AE1198" t="s">
        <v>18</v>
      </c>
      <c r="AF1198" t="s">
        <v>857</v>
      </c>
    </row>
    <row r="1199" spans="1:32">
      <c r="A1199" t="s">
        <v>5574</v>
      </c>
      <c r="B1199" t="s">
        <v>1053</v>
      </c>
      <c r="C1199" t="s">
        <v>19</v>
      </c>
      <c r="D1199" t="s">
        <v>2581</v>
      </c>
      <c r="E1199" t="s">
        <v>18</v>
      </c>
      <c r="F1199" t="s">
        <v>3170</v>
      </c>
      <c r="M1199" t="s">
        <v>4807</v>
      </c>
      <c r="N1199" t="s">
        <v>1075</v>
      </c>
      <c r="O1199" t="s">
        <v>18</v>
      </c>
      <c r="P1199" t="s">
        <v>2721</v>
      </c>
      <c r="T1199" t="s">
        <v>1053</v>
      </c>
      <c r="U1199" t="s">
        <v>19</v>
      </c>
      <c r="V1199" t="s">
        <v>18</v>
      </c>
      <c r="W1199" t="s">
        <v>2581</v>
      </c>
      <c r="AC1199" t="s">
        <v>1083</v>
      </c>
      <c r="AD1199" t="s">
        <v>19</v>
      </c>
      <c r="AE1199" t="s">
        <v>18</v>
      </c>
      <c r="AF1199" t="s">
        <v>2607</v>
      </c>
    </row>
    <row r="1200" spans="1:32">
      <c r="A1200" t="s">
        <v>5575</v>
      </c>
      <c r="B1200" t="s">
        <v>1053</v>
      </c>
      <c r="C1200" t="s">
        <v>19</v>
      </c>
      <c r="D1200" t="s">
        <v>2559</v>
      </c>
      <c r="E1200" t="s">
        <v>857</v>
      </c>
      <c r="F1200" t="s">
        <v>4054</v>
      </c>
      <c r="M1200" t="s">
        <v>4807</v>
      </c>
      <c r="N1200" t="s">
        <v>1075</v>
      </c>
      <c r="O1200" t="s">
        <v>18</v>
      </c>
      <c r="P1200" t="s">
        <v>2720</v>
      </c>
      <c r="T1200" t="s">
        <v>1053</v>
      </c>
      <c r="U1200" t="s">
        <v>19</v>
      </c>
      <c r="V1200" t="s">
        <v>857</v>
      </c>
      <c r="W1200" t="s">
        <v>2559</v>
      </c>
      <c r="AC1200" t="s">
        <v>1083</v>
      </c>
      <c r="AD1200" t="s">
        <v>2384</v>
      </c>
      <c r="AE1200" t="s">
        <v>857</v>
      </c>
      <c r="AF1200" t="s">
        <v>857</v>
      </c>
    </row>
    <row r="1201" spans="1:32">
      <c r="A1201" t="s">
        <v>5576</v>
      </c>
      <c r="B1201" t="s">
        <v>1053</v>
      </c>
      <c r="C1201" t="s">
        <v>19</v>
      </c>
      <c r="D1201" t="s">
        <v>2559</v>
      </c>
      <c r="E1201" t="s">
        <v>18</v>
      </c>
      <c r="F1201" t="s">
        <v>3076</v>
      </c>
      <c r="M1201" t="s">
        <v>4807</v>
      </c>
      <c r="N1201" t="s">
        <v>1075</v>
      </c>
      <c r="O1201" t="s">
        <v>18</v>
      </c>
      <c r="P1201" t="s">
        <v>2718</v>
      </c>
      <c r="T1201" t="s">
        <v>1053</v>
      </c>
      <c r="U1201" t="s">
        <v>19</v>
      </c>
      <c r="V1201" t="s">
        <v>18</v>
      </c>
      <c r="W1201" t="s">
        <v>2559</v>
      </c>
      <c r="AC1201" t="s">
        <v>1083</v>
      </c>
      <c r="AD1201" t="s">
        <v>2384</v>
      </c>
      <c r="AE1201" t="s">
        <v>857</v>
      </c>
      <c r="AF1201" t="s">
        <v>2607</v>
      </c>
    </row>
    <row r="1202" spans="1:32">
      <c r="A1202" t="s">
        <v>5577</v>
      </c>
      <c r="B1202" t="s">
        <v>1053</v>
      </c>
      <c r="C1202" t="s">
        <v>19</v>
      </c>
      <c r="D1202" t="s">
        <v>3168</v>
      </c>
      <c r="E1202" t="s">
        <v>18</v>
      </c>
      <c r="F1202" t="s">
        <v>3171</v>
      </c>
      <c r="M1202" t="s">
        <v>4807</v>
      </c>
      <c r="N1202" t="s">
        <v>1075</v>
      </c>
      <c r="O1202" t="s">
        <v>18</v>
      </c>
      <c r="P1202" t="s">
        <v>2717</v>
      </c>
      <c r="T1202" t="s">
        <v>1053</v>
      </c>
      <c r="U1202" t="s">
        <v>19</v>
      </c>
      <c r="V1202" t="s">
        <v>18</v>
      </c>
      <c r="W1202" t="s">
        <v>3168</v>
      </c>
      <c r="AC1202" t="s">
        <v>1083</v>
      </c>
      <c r="AD1202" t="s">
        <v>2384</v>
      </c>
      <c r="AE1202" t="s">
        <v>18</v>
      </c>
      <c r="AF1202" t="s">
        <v>2607</v>
      </c>
    </row>
    <row r="1203" spans="1:32">
      <c r="A1203" t="s">
        <v>5579</v>
      </c>
      <c r="B1203" t="s">
        <v>1053</v>
      </c>
      <c r="C1203" t="s">
        <v>2384</v>
      </c>
      <c r="D1203" t="s">
        <v>857</v>
      </c>
      <c r="E1203" t="s">
        <v>857</v>
      </c>
      <c r="F1203" t="s">
        <v>4075</v>
      </c>
      <c r="M1203" t="s">
        <v>4760</v>
      </c>
      <c r="N1203" t="s">
        <v>1076</v>
      </c>
      <c r="O1203" t="s">
        <v>18</v>
      </c>
      <c r="P1203" t="s">
        <v>2813</v>
      </c>
      <c r="T1203" t="s">
        <v>1053</v>
      </c>
      <c r="U1203" t="s">
        <v>2384</v>
      </c>
      <c r="V1203" t="s">
        <v>857</v>
      </c>
      <c r="W1203" t="s">
        <v>857</v>
      </c>
      <c r="AC1203" t="s">
        <v>1083</v>
      </c>
      <c r="AD1203" t="s">
        <v>2384</v>
      </c>
      <c r="AE1203" t="s">
        <v>18</v>
      </c>
      <c r="AF1203" t="s">
        <v>2613</v>
      </c>
    </row>
    <row r="1204" spans="1:32">
      <c r="A1204" t="s">
        <v>5581</v>
      </c>
      <c r="B1204" t="s">
        <v>1053</v>
      </c>
      <c r="C1204" t="s">
        <v>816</v>
      </c>
      <c r="D1204" t="s">
        <v>857</v>
      </c>
      <c r="E1204" t="s">
        <v>857</v>
      </c>
      <c r="F1204" t="s">
        <v>3887</v>
      </c>
      <c r="M1204" t="s">
        <v>4760</v>
      </c>
      <c r="N1204" t="s">
        <v>1076</v>
      </c>
      <c r="O1204" t="s">
        <v>18</v>
      </c>
      <c r="P1204" t="s">
        <v>2812</v>
      </c>
      <c r="T1204" t="s">
        <v>1053</v>
      </c>
      <c r="U1204" t="s">
        <v>816</v>
      </c>
      <c r="V1204" t="s">
        <v>857</v>
      </c>
      <c r="W1204" t="s">
        <v>857</v>
      </c>
      <c r="AC1204" t="s">
        <v>1083</v>
      </c>
      <c r="AD1204" t="s">
        <v>816</v>
      </c>
      <c r="AE1204" t="s">
        <v>857</v>
      </c>
      <c r="AF1204" t="s">
        <v>857</v>
      </c>
    </row>
    <row r="1205" spans="1:32">
      <c r="A1205" t="s">
        <v>5582</v>
      </c>
      <c r="B1205" t="s">
        <v>1053</v>
      </c>
      <c r="C1205" t="s">
        <v>816</v>
      </c>
      <c r="D1205" t="s">
        <v>857</v>
      </c>
      <c r="E1205" t="s">
        <v>18</v>
      </c>
      <c r="F1205" t="s">
        <v>3084</v>
      </c>
      <c r="M1205" t="s">
        <v>4760</v>
      </c>
      <c r="N1205" t="s">
        <v>1076</v>
      </c>
      <c r="O1205" t="s">
        <v>18</v>
      </c>
      <c r="P1205" t="s">
        <v>2811</v>
      </c>
      <c r="T1205" t="s">
        <v>1053</v>
      </c>
      <c r="U1205" t="s">
        <v>816</v>
      </c>
      <c r="V1205" t="s">
        <v>18</v>
      </c>
      <c r="W1205" t="s">
        <v>857</v>
      </c>
      <c r="AC1205" t="s">
        <v>1083</v>
      </c>
      <c r="AD1205" t="s">
        <v>816</v>
      </c>
      <c r="AE1205" t="s">
        <v>18</v>
      </c>
      <c r="AF1205" t="s">
        <v>857</v>
      </c>
    </row>
    <row r="1206" spans="1:32">
      <c r="A1206" t="s">
        <v>5582</v>
      </c>
      <c r="B1206" t="s">
        <v>1053</v>
      </c>
      <c r="C1206" t="s">
        <v>816</v>
      </c>
      <c r="D1206" t="s">
        <v>857</v>
      </c>
      <c r="E1206" t="s">
        <v>18</v>
      </c>
      <c r="F1206" t="s">
        <v>3081</v>
      </c>
      <c r="M1206" t="s">
        <v>4760</v>
      </c>
      <c r="N1206" t="s">
        <v>1076</v>
      </c>
      <c r="O1206" t="s">
        <v>18</v>
      </c>
      <c r="P1206" t="s">
        <v>2810</v>
      </c>
      <c r="T1206" t="s">
        <v>1053</v>
      </c>
      <c r="U1206" t="s">
        <v>816</v>
      </c>
      <c r="V1206" t="s">
        <v>18</v>
      </c>
      <c r="W1206" t="s">
        <v>857</v>
      </c>
      <c r="AC1206" t="s">
        <v>1084</v>
      </c>
      <c r="AD1206" t="s">
        <v>818</v>
      </c>
      <c r="AE1206" t="s">
        <v>857</v>
      </c>
      <c r="AF1206" t="s">
        <v>857</v>
      </c>
    </row>
    <row r="1207" spans="1:32">
      <c r="A1207" t="s">
        <v>5583</v>
      </c>
      <c r="B1207" t="s">
        <v>1053</v>
      </c>
      <c r="C1207" t="s">
        <v>816</v>
      </c>
      <c r="D1207" t="s">
        <v>2559</v>
      </c>
      <c r="E1207" t="s">
        <v>857</v>
      </c>
      <c r="F1207" t="s">
        <v>4055</v>
      </c>
      <c r="M1207" t="s">
        <v>4760</v>
      </c>
      <c r="N1207" t="s">
        <v>1076</v>
      </c>
      <c r="O1207" t="s">
        <v>18</v>
      </c>
      <c r="P1207" t="s">
        <v>2809</v>
      </c>
      <c r="T1207" t="s">
        <v>1053</v>
      </c>
      <c r="U1207" t="s">
        <v>816</v>
      </c>
      <c r="V1207" t="s">
        <v>857</v>
      </c>
      <c r="W1207" t="s">
        <v>2559</v>
      </c>
      <c r="AC1207" t="s">
        <v>1084</v>
      </c>
      <c r="AD1207" t="s">
        <v>818</v>
      </c>
      <c r="AE1207" t="s">
        <v>857</v>
      </c>
      <c r="AF1207" t="s">
        <v>2586</v>
      </c>
    </row>
    <row r="1208" spans="1:32">
      <c r="A1208" t="s">
        <v>5584</v>
      </c>
      <c r="B1208" t="s">
        <v>1053</v>
      </c>
      <c r="C1208" t="s">
        <v>816</v>
      </c>
      <c r="D1208" t="s">
        <v>2559</v>
      </c>
      <c r="E1208" t="s">
        <v>18</v>
      </c>
      <c r="F1208" t="s">
        <v>3075</v>
      </c>
      <c r="M1208" t="s">
        <v>4760</v>
      </c>
      <c r="N1208" t="s">
        <v>1076</v>
      </c>
      <c r="O1208" t="s">
        <v>18</v>
      </c>
      <c r="P1208" t="s">
        <v>2808</v>
      </c>
      <c r="T1208" t="s">
        <v>1053</v>
      </c>
      <c r="U1208" t="s">
        <v>816</v>
      </c>
      <c r="V1208" t="s">
        <v>18</v>
      </c>
      <c r="W1208" t="s">
        <v>2559</v>
      </c>
      <c r="AC1208" t="s">
        <v>1084</v>
      </c>
      <c r="AD1208" t="s">
        <v>818</v>
      </c>
      <c r="AE1208" t="s">
        <v>18</v>
      </c>
      <c r="AF1208" t="s">
        <v>857</v>
      </c>
    </row>
    <row r="1209" spans="1:32">
      <c r="A1209" t="s">
        <v>5585</v>
      </c>
      <c r="B1209" t="s">
        <v>1053</v>
      </c>
      <c r="C1209" t="s">
        <v>816</v>
      </c>
      <c r="D1209" t="s">
        <v>3168</v>
      </c>
      <c r="E1209" t="s">
        <v>18</v>
      </c>
      <c r="F1209" t="s">
        <v>3169</v>
      </c>
      <c r="M1209" t="s">
        <v>4760</v>
      </c>
      <c r="N1209" t="s">
        <v>1076</v>
      </c>
      <c r="O1209" t="s">
        <v>18</v>
      </c>
      <c r="P1209" t="s">
        <v>2807</v>
      </c>
      <c r="T1209" t="s">
        <v>1053</v>
      </c>
      <c r="U1209" t="s">
        <v>816</v>
      </c>
      <c r="V1209" t="s">
        <v>18</v>
      </c>
      <c r="W1209" t="s">
        <v>3168</v>
      </c>
      <c r="AC1209" t="s">
        <v>1084</v>
      </c>
      <c r="AD1209" t="s">
        <v>818</v>
      </c>
      <c r="AE1209" t="s">
        <v>18</v>
      </c>
      <c r="AF1209" t="s">
        <v>2586</v>
      </c>
    </row>
    <row r="1210" spans="1:32">
      <c r="A1210" t="s">
        <v>5588</v>
      </c>
      <c r="B1210" t="s">
        <v>1054</v>
      </c>
      <c r="C1210" t="s">
        <v>818</v>
      </c>
      <c r="D1210" t="s">
        <v>857</v>
      </c>
      <c r="E1210" t="s">
        <v>18</v>
      </c>
      <c r="F1210" t="s">
        <v>3109</v>
      </c>
      <c r="M1210" t="s">
        <v>4760</v>
      </c>
      <c r="N1210" t="s">
        <v>1076</v>
      </c>
      <c r="O1210" t="s">
        <v>18</v>
      </c>
      <c r="P1210" t="s">
        <v>2806</v>
      </c>
      <c r="T1210" t="s">
        <v>1054</v>
      </c>
      <c r="U1210" t="s">
        <v>818</v>
      </c>
      <c r="V1210" t="s">
        <v>18</v>
      </c>
      <c r="W1210" t="s">
        <v>857</v>
      </c>
      <c r="AC1210" t="s">
        <v>1084</v>
      </c>
      <c r="AD1210" t="s">
        <v>19</v>
      </c>
      <c r="AE1210" t="s">
        <v>857</v>
      </c>
      <c r="AF1210" t="s">
        <v>857</v>
      </c>
    </row>
    <row r="1211" spans="1:32">
      <c r="A1211" t="s">
        <v>6552</v>
      </c>
      <c r="B1211" t="s">
        <v>1054</v>
      </c>
      <c r="C1211" t="s">
        <v>818</v>
      </c>
      <c r="D1211" t="s">
        <v>3099</v>
      </c>
      <c r="E1211" t="s">
        <v>18</v>
      </c>
      <c r="F1211" t="s">
        <v>3106</v>
      </c>
      <c r="M1211" t="s">
        <v>4760</v>
      </c>
      <c r="N1211" t="s">
        <v>1076</v>
      </c>
      <c r="O1211" t="s">
        <v>18</v>
      </c>
      <c r="P1211" t="s">
        <v>2805</v>
      </c>
      <c r="T1211" t="s">
        <v>1054</v>
      </c>
      <c r="U1211" t="s">
        <v>818</v>
      </c>
      <c r="V1211" t="s">
        <v>18</v>
      </c>
      <c r="W1211" t="s">
        <v>3099</v>
      </c>
      <c r="AC1211" t="s">
        <v>1084</v>
      </c>
      <c r="AD1211" t="s">
        <v>19</v>
      </c>
      <c r="AE1211" t="s">
        <v>857</v>
      </c>
      <c r="AF1211" t="s">
        <v>2586</v>
      </c>
    </row>
    <row r="1212" spans="1:32">
      <c r="A1212" t="s">
        <v>6552</v>
      </c>
      <c r="B1212" t="s">
        <v>1054</v>
      </c>
      <c r="C1212" t="s">
        <v>818</v>
      </c>
      <c r="D1212" t="s">
        <v>3099</v>
      </c>
      <c r="E1212" t="s">
        <v>18</v>
      </c>
      <c r="F1212" t="s">
        <v>3104</v>
      </c>
      <c r="M1212" t="s">
        <v>4760</v>
      </c>
      <c r="N1212" t="s">
        <v>1076</v>
      </c>
      <c r="O1212" t="s">
        <v>18</v>
      </c>
      <c r="P1212" t="s">
        <v>2803</v>
      </c>
      <c r="T1212" t="s">
        <v>1054</v>
      </c>
      <c r="U1212" t="s">
        <v>818</v>
      </c>
      <c r="V1212" t="s">
        <v>18</v>
      </c>
      <c r="W1212" t="s">
        <v>3099</v>
      </c>
      <c r="AC1212" t="s">
        <v>1084</v>
      </c>
      <c r="AD1212" t="s">
        <v>19</v>
      </c>
      <c r="AE1212" t="s">
        <v>18</v>
      </c>
      <c r="AF1212" t="s">
        <v>857</v>
      </c>
    </row>
    <row r="1213" spans="1:32">
      <c r="A1213" t="s">
        <v>5590</v>
      </c>
      <c r="B1213" t="s">
        <v>1054</v>
      </c>
      <c r="C1213" t="s">
        <v>818</v>
      </c>
      <c r="D1213" t="s">
        <v>3097</v>
      </c>
      <c r="E1213" t="s">
        <v>857</v>
      </c>
      <c r="F1213" t="s">
        <v>3789</v>
      </c>
      <c r="M1213" t="s">
        <v>4760</v>
      </c>
      <c r="N1213" t="s">
        <v>1076</v>
      </c>
      <c r="O1213" t="s">
        <v>18</v>
      </c>
      <c r="P1213" t="s">
        <v>2697</v>
      </c>
      <c r="T1213" t="s">
        <v>1054</v>
      </c>
      <c r="U1213" t="s">
        <v>818</v>
      </c>
      <c r="V1213" t="s">
        <v>857</v>
      </c>
      <c r="W1213" t="s">
        <v>3097</v>
      </c>
      <c r="AC1213" t="s">
        <v>1084</v>
      </c>
      <c r="AD1213" t="s">
        <v>19</v>
      </c>
      <c r="AE1213" t="s">
        <v>18</v>
      </c>
      <c r="AF1213" t="s">
        <v>2586</v>
      </c>
    </row>
    <row r="1214" spans="1:32">
      <c r="A1214" t="s">
        <v>5591</v>
      </c>
      <c r="B1214" t="s">
        <v>1054</v>
      </c>
      <c r="C1214" t="s">
        <v>818</v>
      </c>
      <c r="D1214" t="s">
        <v>3097</v>
      </c>
      <c r="E1214" t="s">
        <v>18</v>
      </c>
      <c r="F1214" t="s">
        <v>3103</v>
      </c>
      <c r="M1214" t="s">
        <v>4760</v>
      </c>
      <c r="N1214" t="s">
        <v>1076</v>
      </c>
      <c r="O1214" t="s">
        <v>18</v>
      </c>
      <c r="P1214" t="s">
        <v>2696</v>
      </c>
      <c r="T1214" t="s">
        <v>1054</v>
      </c>
      <c r="U1214" t="s">
        <v>818</v>
      </c>
      <c r="V1214" t="s">
        <v>18</v>
      </c>
      <c r="W1214" t="s">
        <v>3097</v>
      </c>
      <c r="AC1214" t="s">
        <v>1084</v>
      </c>
      <c r="AD1214" t="s">
        <v>816</v>
      </c>
      <c r="AE1214" t="s">
        <v>857</v>
      </c>
      <c r="AF1214" t="s">
        <v>857</v>
      </c>
    </row>
    <row r="1215" spans="1:32">
      <c r="A1215" t="s">
        <v>5593</v>
      </c>
      <c r="B1215" t="s">
        <v>1054</v>
      </c>
      <c r="C1215" t="s">
        <v>19</v>
      </c>
      <c r="D1215" t="s">
        <v>857</v>
      </c>
      <c r="E1215" t="s">
        <v>18</v>
      </c>
      <c r="F1215" t="s">
        <v>3111</v>
      </c>
      <c r="M1215" t="s">
        <v>4760</v>
      </c>
      <c r="N1215" t="s">
        <v>1076</v>
      </c>
      <c r="O1215" t="s">
        <v>18</v>
      </c>
      <c r="P1215" t="s">
        <v>2695</v>
      </c>
      <c r="T1215" t="s">
        <v>1054</v>
      </c>
      <c r="U1215" t="s">
        <v>19</v>
      </c>
      <c r="V1215" t="s">
        <v>18</v>
      </c>
      <c r="W1215" t="s">
        <v>857</v>
      </c>
      <c r="AC1215" t="s">
        <v>1084</v>
      </c>
      <c r="AD1215" t="s">
        <v>816</v>
      </c>
      <c r="AE1215" t="s">
        <v>18</v>
      </c>
      <c r="AF1215" t="s">
        <v>857</v>
      </c>
    </row>
    <row r="1216" spans="1:32">
      <c r="A1216" t="s">
        <v>5593</v>
      </c>
      <c r="B1216" t="s">
        <v>1054</v>
      </c>
      <c r="C1216" t="s">
        <v>19</v>
      </c>
      <c r="D1216" t="s">
        <v>857</v>
      </c>
      <c r="E1216" t="s">
        <v>18</v>
      </c>
      <c r="F1216" t="s">
        <v>3107</v>
      </c>
      <c r="M1216" t="s">
        <v>4760</v>
      </c>
      <c r="N1216" t="s">
        <v>1076</v>
      </c>
      <c r="O1216" t="s">
        <v>18</v>
      </c>
      <c r="P1216" t="s">
        <v>2694</v>
      </c>
      <c r="T1216" t="s">
        <v>1054</v>
      </c>
      <c r="U1216" t="s">
        <v>19</v>
      </c>
      <c r="V1216" t="s">
        <v>18</v>
      </c>
      <c r="W1216" t="s">
        <v>857</v>
      </c>
      <c r="AC1216" t="s">
        <v>1084</v>
      </c>
      <c r="AD1216" t="s">
        <v>816</v>
      </c>
      <c r="AE1216" t="s">
        <v>18</v>
      </c>
      <c r="AF1216" t="s">
        <v>2586</v>
      </c>
    </row>
    <row r="1217" spans="1:32">
      <c r="A1217" t="s">
        <v>5593</v>
      </c>
      <c r="B1217" t="s">
        <v>1054</v>
      </c>
      <c r="C1217" t="s">
        <v>19</v>
      </c>
      <c r="D1217" t="s">
        <v>857</v>
      </c>
      <c r="E1217" t="s">
        <v>18</v>
      </c>
      <c r="F1217" t="s">
        <v>3105</v>
      </c>
      <c r="M1217" t="s">
        <v>4761</v>
      </c>
      <c r="N1217" t="s">
        <v>1077</v>
      </c>
      <c r="O1217" t="s">
        <v>18</v>
      </c>
      <c r="P1217" t="s">
        <v>2693</v>
      </c>
      <c r="T1217" t="s">
        <v>1054</v>
      </c>
      <c r="U1217" t="s">
        <v>19</v>
      </c>
      <c r="V1217" t="s">
        <v>18</v>
      </c>
      <c r="W1217" t="s">
        <v>857</v>
      </c>
      <c r="AC1217" t="s">
        <v>1085</v>
      </c>
      <c r="AD1217" t="s">
        <v>818</v>
      </c>
      <c r="AE1217" t="s">
        <v>53</v>
      </c>
      <c r="AF1217" t="s">
        <v>857</v>
      </c>
    </row>
    <row r="1218" spans="1:32">
      <c r="A1218" t="s">
        <v>6553</v>
      </c>
      <c r="B1218" t="s">
        <v>1054</v>
      </c>
      <c r="C1218" t="s">
        <v>19</v>
      </c>
      <c r="D1218" t="s">
        <v>3101</v>
      </c>
      <c r="E1218" t="s">
        <v>857</v>
      </c>
      <c r="F1218" t="s">
        <v>3775</v>
      </c>
      <c r="M1218" t="s">
        <v>4761</v>
      </c>
      <c r="N1218" t="s">
        <v>1077</v>
      </c>
      <c r="O1218" t="s">
        <v>18</v>
      </c>
      <c r="P1218" t="s">
        <v>2692</v>
      </c>
      <c r="T1218" t="s">
        <v>1054</v>
      </c>
      <c r="U1218" t="s">
        <v>19</v>
      </c>
      <c r="V1218" t="s">
        <v>857</v>
      </c>
      <c r="W1218" t="s">
        <v>3101</v>
      </c>
      <c r="AC1218" t="s">
        <v>1085</v>
      </c>
      <c r="AD1218" t="s">
        <v>818</v>
      </c>
      <c r="AE1218" t="s">
        <v>53</v>
      </c>
      <c r="AF1218" t="s">
        <v>2581</v>
      </c>
    </row>
    <row r="1219" spans="1:32">
      <c r="A1219" t="s">
        <v>6554</v>
      </c>
      <c r="B1219" t="s">
        <v>1054</v>
      </c>
      <c r="C1219" t="s">
        <v>19</v>
      </c>
      <c r="D1219" t="s">
        <v>3101</v>
      </c>
      <c r="E1219" t="s">
        <v>18</v>
      </c>
      <c r="F1219" t="s">
        <v>3102</v>
      </c>
      <c r="M1219" t="s">
        <v>4761</v>
      </c>
      <c r="N1219" t="s">
        <v>1077</v>
      </c>
      <c r="O1219" t="s">
        <v>18</v>
      </c>
      <c r="P1219" t="s">
        <v>2691</v>
      </c>
      <c r="T1219" t="s">
        <v>1054</v>
      </c>
      <c r="U1219" t="s">
        <v>19</v>
      </c>
      <c r="V1219" t="s">
        <v>18</v>
      </c>
      <c r="W1219" t="s">
        <v>3101</v>
      </c>
      <c r="AC1219" t="s">
        <v>1085</v>
      </c>
      <c r="AD1219" t="s">
        <v>818</v>
      </c>
      <c r="AE1219" t="s">
        <v>53</v>
      </c>
      <c r="AF1219" t="s">
        <v>2629</v>
      </c>
    </row>
    <row r="1220" spans="1:32">
      <c r="A1220" t="s">
        <v>5596</v>
      </c>
      <c r="B1220" t="s">
        <v>1054</v>
      </c>
      <c r="C1220" t="s">
        <v>816</v>
      </c>
      <c r="D1220" t="s">
        <v>857</v>
      </c>
      <c r="E1220" t="s">
        <v>18</v>
      </c>
      <c r="F1220" t="s">
        <v>3110</v>
      </c>
      <c r="M1220" t="s">
        <v>4761</v>
      </c>
      <c r="N1220" t="s">
        <v>1077</v>
      </c>
      <c r="O1220" t="s">
        <v>18</v>
      </c>
      <c r="P1220" t="s">
        <v>2690</v>
      </c>
      <c r="T1220" t="s">
        <v>1054</v>
      </c>
      <c r="U1220" t="s">
        <v>816</v>
      </c>
      <c r="V1220" t="s">
        <v>18</v>
      </c>
      <c r="W1220" t="s">
        <v>857</v>
      </c>
      <c r="AC1220" t="s">
        <v>1085</v>
      </c>
      <c r="AD1220" t="s">
        <v>818</v>
      </c>
      <c r="AE1220" t="s">
        <v>18</v>
      </c>
      <c r="AF1220" t="s">
        <v>857</v>
      </c>
    </row>
    <row r="1221" spans="1:32">
      <c r="A1221" t="s">
        <v>6555</v>
      </c>
      <c r="B1221" t="s">
        <v>1054</v>
      </c>
      <c r="C1221" t="s">
        <v>816</v>
      </c>
      <c r="D1221" t="s">
        <v>3099</v>
      </c>
      <c r="E1221" t="s">
        <v>857</v>
      </c>
      <c r="F1221" t="s">
        <v>3785</v>
      </c>
      <c r="M1221" t="s">
        <v>4761</v>
      </c>
      <c r="N1221" t="s">
        <v>1077</v>
      </c>
      <c r="O1221" t="s">
        <v>18</v>
      </c>
      <c r="P1221" t="s">
        <v>2689</v>
      </c>
      <c r="T1221" t="s">
        <v>1054</v>
      </c>
      <c r="U1221" t="s">
        <v>816</v>
      </c>
      <c r="V1221" t="s">
        <v>857</v>
      </c>
      <c r="W1221" t="s">
        <v>3099</v>
      </c>
      <c r="AC1221" t="s">
        <v>1085</v>
      </c>
      <c r="AD1221" t="s">
        <v>19</v>
      </c>
      <c r="AE1221" t="s">
        <v>857</v>
      </c>
      <c r="AF1221" t="s">
        <v>857</v>
      </c>
    </row>
    <row r="1222" spans="1:32">
      <c r="A1222" t="s">
        <v>6556</v>
      </c>
      <c r="B1222" t="s">
        <v>1054</v>
      </c>
      <c r="C1222" t="s">
        <v>816</v>
      </c>
      <c r="D1222" t="s">
        <v>3099</v>
      </c>
      <c r="E1222" t="s">
        <v>18</v>
      </c>
      <c r="F1222" t="s">
        <v>3108</v>
      </c>
      <c r="M1222" t="s">
        <v>4761</v>
      </c>
      <c r="N1222" t="s">
        <v>1077</v>
      </c>
      <c r="O1222" t="s">
        <v>18</v>
      </c>
      <c r="P1222" t="s">
        <v>2688</v>
      </c>
      <c r="T1222" t="s">
        <v>1054</v>
      </c>
      <c r="U1222" t="s">
        <v>816</v>
      </c>
      <c r="V1222" t="s">
        <v>18</v>
      </c>
      <c r="W1222" t="s">
        <v>3099</v>
      </c>
      <c r="AC1222" t="s">
        <v>1085</v>
      </c>
      <c r="AD1222" t="s">
        <v>19</v>
      </c>
      <c r="AE1222" t="s">
        <v>857</v>
      </c>
      <c r="AF1222" t="s">
        <v>2629</v>
      </c>
    </row>
    <row r="1223" spans="1:32">
      <c r="A1223" t="s">
        <v>6556</v>
      </c>
      <c r="B1223" t="s">
        <v>1054</v>
      </c>
      <c r="C1223" t="s">
        <v>816</v>
      </c>
      <c r="D1223" t="s">
        <v>3099</v>
      </c>
      <c r="E1223" t="s">
        <v>18</v>
      </c>
      <c r="F1223" t="s">
        <v>3100</v>
      </c>
      <c r="M1223" t="s">
        <v>4761</v>
      </c>
      <c r="N1223" t="s">
        <v>1077</v>
      </c>
      <c r="O1223" t="s">
        <v>18</v>
      </c>
      <c r="P1223" t="s">
        <v>2687</v>
      </c>
      <c r="T1223" t="s">
        <v>1054</v>
      </c>
      <c r="U1223" t="s">
        <v>816</v>
      </c>
      <c r="V1223" t="s">
        <v>18</v>
      </c>
      <c r="W1223" t="s">
        <v>3099</v>
      </c>
      <c r="AC1223" t="s">
        <v>1085</v>
      </c>
      <c r="AD1223" t="s">
        <v>19</v>
      </c>
      <c r="AE1223" t="s">
        <v>53</v>
      </c>
      <c r="AF1223" t="s">
        <v>857</v>
      </c>
    </row>
    <row r="1224" spans="1:32">
      <c r="A1224" t="s">
        <v>5598</v>
      </c>
      <c r="B1224" t="s">
        <v>1054</v>
      </c>
      <c r="C1224" t="s">
        <v>816</v>
      </c>
      <c r="D1224" t="s">
        <v>3097</v>
      </c>
      <c r="E1224" t="s">
        <v>18</v>
      </c>
      <c r="F1224" t="s">
        <v>3098</v>
      </c>
      <c r="M1224" t="s">
        <v>4808</v>
      </c>
      <c r="N1224" t="s">
        <v>1080</v>
      </c>
      <c r="O1224" t="s">
        <v>18</v>
      </c>
      <c r="P1224" t="s">
        <v>2668</v>
      </c>
      <c r="T1224" t="s">
        <v>1054</v>
      </c>
      <c r="U1224" t="s">
        <v>816</v>
      </c>
      <c r="V1224" t="s">
        <v>18</v>
      </c>
      <c r="W1224" t="s">
        <v>3097</v>
      </c>
      <c r="AC1224" t="s">
        <v>1085</v>
      </c>
      <c r="AD1224" t="s">
        <v>19</v>
      </c>
      <c r="AE1224" t="s">
        <v>53</v>
      </c>
      <c r="AF1224" t="s">
        <v>2636</v>
      </c>
    </row>
    <row r="1225" spans="1:32">
      <c r="A1225" t="s">
        <v>5600</v>
      </c>
      <c r="B1225" t="s">
        <v>1055</v>
      </c>
      <c r="C1225" t="s">
        <v>818</v>
      </c>
      <c r="D1225" t="s">
        <v>857</v>
      </c>
      <c r="E1225" t="s">
        <v>857</v>
      </c>
      <c r="F1225" t="s">
        <v>3827</v>
      </c>
      <c r="M1225" t="s">
        <v>4808</v>
      </c>
      <c r="N1225" t="s">
        <v>1080</v>
      </c>
      <c r="O1225" t="s">
        <v>18</v>
      </c>
      <c r="P1225" t="s">
        <v>2667</v>
      </c>
      <c r="T1225" t="s">
        <v>1055</v>
      </c>
      <c r="U1225" t="s">
        <v>818</v>
      </c>
      <c r="V1225" t="s">
        <v>857</v>
      </c>
      <c r="W1225" t="s">
        <v>857</v>
      </c>
      <c r="AC1225" t="s">
        <v>1085</v>
      </c>
      <c r="AD1225" t="s">
        <v>19</v>
      </c>
      <c r="AE1225" t="s">
        <v>53</v>
      </c>
      <c r="AF1225" t="s">
        <v>2629</v>
      </c>
    </row>
    <row r="1226" spans="1:32">
      <c r="A1226" t="s">
        <v>5601</v>
      </c>
      <c r="B1226" t="s">
        <v>1055</v>
      </c>
      <c r="C1226" t="s">
        <v>818</v>
      </c>
      <c r="D1226" t="s">
        <v>857</v>
      </c>
      <c r="E1226" t="s">
        <v>18</v>
      </c>
      <c r="F1226" t="s">
        <v>3167</v>
      </c>
      <c r="M1226" t="s">
        <v>4762</v>
      </c>
      <c r="N1226" t="s">
        <v>1081</v>
      </c>
      <c r="O1226" t="s">
        <v>18</v>
      </c>
      <c r="P1226" t="s">
        <v>2666</v>
      </c>
      <c r="T1226" t="s">
        <v>1055</v>
      </c>
      <c r="U1226" t="s">
        <v>818</v>
      </c>
      <c r="V1226" t="s">
        <v>18</v>
      </c>
      <c r="W1226" t="s">
        <v>857</v>
      </c>
      <c r="AC1226" t="s">
        <v>1085</v>
      </c>
      <c r="AD1226" t="s">
        <v>19</v>
      </c>
      <c r="AE1226" t="s">
        <v>53</v>
      </c>
      <c r="AF1226" t="s">
        <v>2631</v>
      </c>
    </row>
    <row r="1227" spans="1:32">
      <c r="A1227" t="s">
        <v>6557</v>
      </c>
      <c r="B1227" t="s">
        <v>1055</v>
      </c>
      <c r="C1227" t="s">
        <v>818</v>
      </c>
      <c r="D1227" t="s">
        <v>3112</v>
      </c>
      <c r="E1227" t="s">
        <v>857</v>
      </c>
      <c r="F1227" t="s">
        <v>3769</v>
      </c>
      <c r="M1227" t="s">
        <v>4762</v>
      </c>
      <c r="N1227" t="s">
        <v>1081</v>
      </c>
      <c r="O1227" t="s">
        <v>18</v>
      </c>
      <c r="P1227" t="s">
        <v>2665</v>
      </c>
      <c r="T1227" t="s">
        <v>1055</v>
      </c>
      <c r="U1227" t="s">
        <v>818</v>
      </c>
      <c r="V1227" t="s">
        <v>857</v>
      </c>
      <c r="W1227" t="s">
        <v>3112</v>
      </c>
      <c r="AC1227" t="s">
        <v>1085</v>
      </c>
      <c r="AD1227" t="s">
        <v>19</v>
      </c>
      <c r="AE1227" t="s">
        <v>18</v>
      </c>
      <c r="AF1227" t="s">
        <v>857</v>
      </c>
    </row>
    <row r="1228" spans="1:32">
      <c r="A1228" t="s">
        <v>6558</v>
      </c>
      <c r="B1228" t="s">
        <v>1055</v>
      </c>
      <c r="C1228" t="s">
        <v>818</v>
      </c>
      <c r="D1228" t="s">
        <v>3112</v>
      </c>
      <c r="E1228" t="s">
        <v>53</v>
      </c>
      <c r="F1228" t="s">
        <v>3163</v>
      </c>
      <c r="M1228" t="s">
        <v>4762</v>
      </c>
      <c r="N1228" t="s">
        <v>1081</v>
      </c>
      <c r="O1228" t="s">
        <v>18</v>
      </c>
      <c r="P1228" t="s">
        <v>2664</v>
      </c>
      <c r="T1228" t="s">
        <v>1055</v>
      </c>
      <c r="U1228" t="s">
        <v>818</v>
      </c>
      <c r="V1228" t="s">
        <v>53</v>
      </c>
      <c r="W1228" t="s">
        <v>3112</v>
      </c>
      <c r="AC1228" t="s">
        <v>1085</v>
      </c>
      <c r="AD1228" t="s">
        <v>2384</v>
      </c>
      <c r="AE1228" t="s">
        <v>857</v>
      </c>
      <c r="AF1228" t="s">
        <v>2629</v>
      </c>
    </row>
    <row r="1229" spans="1:32">
      <c r="A1229" t="s">
        <v>6558</v>
      </c>
      <c r="B1229" t="s">
        <v>1055</v>
      </c>
      <c r="C1229" t="s">
        <v>818</v>
      </c>
      <c r="D1229" t="s">
        <v>3112</v>
      </c>
      <c r="E1229" t="s">
        <v>53</v>
      </c>
      <c r="F1229" t="s">
        <v>3113</v>
      </c>
      <c r="M1229" t="s">
        <v>4762</v>
      </c>
      <c r="N1229" t="s">
        <v>1081</v>
      </c>
      <c r="O1229" t="s">
        <v>18</v>
      </c>
      <c r="P1229" t="s">
        <v>2663</v>
      </c>
      <c r="T1229" t="s">
        <v>1055</v>
      </c>
      <c r="U1229" t="s">
        <v>818</v>
      </c>
      <c r="V1229" t="s">
        <v>53</v>
      </c>
      <c r="W1229" t="s">
        <v>3112</v>
      </c>
      <c r="AC1229" t="s">
        <v>1085</v>
      </c>
      <c r="AD1229" t="s">
        <v>816</v>
      </c>
      <c r="AE1229" t="s">
        <v>53</v>
      </c>
      <c r="AF1229" t="s">
        <v>857</v>
      </c>
    </row>
    <row r="1230" spans="1:32">
      <c r="A1230" t="s">
        <v>5604</v>
      </c>
      <c r="B1230" t="s">
        <v>1055</v>
      </c>
      <c r="C1230" t="s">
        <v>19</v>
      </c>
      <c r="D1230" t="s">
        <v>857</v>
      </c>
      <c r="E1230" t="s">
        <v>857</v>
      </c>
      <c r="F1230" t="s">
        <v>3826</v>
      </c>
      <c r="M1230" t="s">
        <v>4762</v>
      </c>
      <c r="N1230" t="s">
        <v>1081</v>
      </c>
      <c r="O1230" t="s">
        <v>18</v>
      </c>
      <c r="P1230" t="s">
        <v>2605</v>
      </c>
      <c r="T1230" t="s">
        <v>1055</v>
      </c>
      <c r="U1230" t="s">
        <v>19</v>
      </c>
      <c r="V1230" t="s">
        <v>857</v>
      </c>
      <c r="W1230" t="s">
        <v>857</v>
      </c>
      <c r="AC1230" t="s">
        <v>1085</v>
      </c>
      <c r="AD1230" t="s">
        <v>816</v>
      </c>
      <c r="AE1230" t="s">
        <v>53</v>
      </c>
      <c r="AF1230" t="s">
        <v>2629</v>
      </c>
    </row>
    <row r="1231" spans="1:32">
      <c r="A1231" t="s">
        <v>5605</v>
      </c>
      <c r="B1231" t="s">
        <v>1055</v>
      </c>
      <c r="C1231" t="s">
        <v>19</v>
      </c>
      <c r="D1231" t="s">
        <v>857</v>
      </c>
      <c r="E1231" t="s">
        <v>18</v>
      </c>
      <c r="F1231" t="s">
        <v>3166</v>
      </c>
      <c r="M1231" t="s">
        <v>4762</v>
      </c>
      <c r="N1231" t="s">
        <v>1081</v>
      </c>
      <c r="O1231" t="s">
        <v>18</v>
      </c>
      <c r="P1231" t="s">
        <v>2604</v>
      </c>
      <c r="T1231" t="s">
        <v>1055</v>
      </c>
      <c r="U1231" t="s">
        <v>19</v>
      </c>
      <c r="V1231" t="s">
        <v>18</v>
      </c>
      <c r="W1231" t="s">
        <v>857</v>
      </c>
      <c r="AC1231" t="s">
        <v>1085</v>
      </c>
      <c r="AD1231" t="s">
        <v>816</v>
      </c>
      <c r="AE1231" t="s">
        <v>53</v>
      </c>
      <c r="AF1231" t="s">
        <v>2631</v>
      </c>
    </row>
    <row r="1232" spans="1:32">
      <c r="A1232" t="s">
        <v>5605</v>
      </c>
      <c r="B1232" t="s">
        <v>1055</v>
      </c>
      <c r="C1232" t="s">
        <v>19</v>
      </c>
      <c r="D1232" t="s">
        <v>857</v>
      </c>
      <c r="E1232" t="s">
        <v>18</v>
      </c>
      <c r="F1232" t="s">
        <v>3165</v>
      </c>
      <c r="M1232" t="s">
        <v>4762</v>
      </c>
      <c r="N1232" t="s">
        <v>1081</v>
      </c>
      <c r="O1232" t="s">
        <v>18</v>
      </c>
      <c r="P1232" t="s">
        <v>2603</v>
      </c>
      <c r="T1232" t="s">
        <v>1055</v>
      </c>
      <c r="U1232" t="s">
        <v>19</v>
      </c>
      <c r="V1232" t="s">
        <v>18</v>
      </c>
      <c r="W1232" t="s">
        <v>857</v>
      </c>
      <c r="AC1232" t="s">
        <v>1085</v>
      </c>
      <c r="AD1232" t="s">
        <v>816</v>
      </c>
      <c r="AE1232" t="s">
        <v>18</v>
      </c>
      <c r="AF1232" t="s">
        <v>857</v>
      </c>
    </row>
    <row r="1233" spans="1:32">
      <c r="A1233" t="s">
        <v>5605</v>
      </c>
      <c r="B1233" t="s">
        <v>1055</v>
      </c>
      <c r="C1233" t="s">
        <v>19</v>
      </c>
      <c r="D1233" t="s">
        <v>857</v>
      </c>
      <c r="E1233" t="s">
        <v>18</v>
      </c>
      <c r="F1233" t="s">
        <v>3164</v>
      </c>
      <c r="M1233" t="s">
        <v>4762</v>
      </c>
      <c r="N1233" t="s">
        <v>1081</v>
      </c>
      <c r="O1233" t="s">
        <v>18</v>
      </c>
      <c r="P1233" t="s">
        <v>2602</v>
      </c>
      <c r="T1233" t="s">
        <v>1055</v>
      </c>
      <c r="U1233" t="s">
        <v>19</v>
      </c>
      <c r="V1233" t="s">
        <v>18</v>
      </c>
      <c r="W1233" t="s">
        <v>857</v>
      </c>
      <c r="AC1233" t="s">
        <v>1086</v>
      </c>
      <c r="AD1233" t="s">
        <v>818</v>
      </c>
      <c r="AE1233" t="s">
        <v>857</v>
      </c>
      <c r="AF1233" t="s">
        <v>2570</v>
      </c>
    </row>
    <row r="1234" spans="1:32">
      <c r="A1234" t="s">
        <v>5606</v>
      </c>
      <c r="B1234" t="s">
        <v>1055</v>
      </c>
      <c r="C1234" t="s">
        <v>19</v>
      </c>
      <c r="D1234" t="s">
        <v>2768</v>
      </c>
      <c r="E1234" t="s">
        <v>857</v>
      </c>
      <c r="F1234" t="s">
        <v>3763</v>
      </c>
      <c r="M1234" t="s">
        <v>4762</v>
      </c>
      <c r="N1234" t="s">
        <v>1081</v>
      </c>
      <c r="O1234" t="s">
        <v>18</v>
      </c>
      <c r="P1234" t="s">
        <v>2601</v>
      </c>
      <c r="T1234" t="s">
        <v>1055</v>
      </c>
      <c r="U1234" t="s">
        <v>19</v>
      </c>
      <c r="V1234" t="s">
        <v>857</v>
      </c>
      <c r="W1234" t="s">
        <v>2768</v>
      </c>
      <c r="AC1234" t="s">
        <v>1086</v>
      </c>
      <c r="AD1234" t="s">
        <v>818</v>
      </c>
      <c r="AE1234" t="s">
        <v>18</v>
      </c>
      <c r="AF1234" t="s">
        <v>2570</v>
      </c>
    </row>
    <row r="1235" spans="1:32">
      <c r="A1235" t="s">
        <v>5607</v>
      </c>
      <c r="B1235" t="s">
        <v>1055</v>
      </c>
      <c r="C1235" t="s">
        <v>19</v>
      </c>
      <c r="D1235" t="s">
        <v>2768</v>
      </c>
      <c r="E1235" t="s">
        <v>53</v>
      </c>
      <c r="F1235" t="s">
        <v>3162</v>
      </c>
      <c r="M1235" t="s">
        <v>4762</v>
      </c>
      <c r="N1235" t="s">
        <v>1081</v>
      </c>
      <c r="O1235" t="s">
        <v>18</v>
      </c>
      <c r="P1235" t="s">
        <v>2600</v>
      </c>
      <c r="T1235" t="s">
        <v>1055</v>
      </c>
      <c r="U1235" t="s">
        <v>19</v>
      </c>
      <c r="V1235" t="s">
        <v>53</v>
      </c>
      <c r="W1235" t="s">
        <v>2768</v>
      </c>
      <c r="AC1235" t="s">
        <v>1086</v>
      </c>
      <c r="AD1235" t="s">
        <v>816</v>
      </c>
      <c r="AE1235" t="s">
        <v>18</v>
      </c>
      <c r="AF1235" t="s">
        <v>2574</v>
      </c>
    </row>
    <row r="1236" spans="1:32">
      <c r="A1236" t="s">
        <v>5607</v>
      </c>
      <c r="B1236" t="s">
        <v>1055</v>
      </c>
      <c r="C1236" t="s">
        <v>19</v>
      </c>
      <c r="D1236" t="s">
        <v>2768</v>
      </c>
      <c r="E1236" t="s">
        <v>53</v>
      </c>
      <c r="F1236" t="s">
        <v>3114</v>
      </c>
      <c r="M1236" t="s">
        <v>4762</v>
      </c>
      <c r="N1236" t="s">
        <v>1081</v>
      </c>
      <c r="O1236" t="s">
        <v>18</v>
      </c>
      <c r="P1236" t="s">
        <v>2599</v>
      </c>
      <c r="T1236" t="s">
        <v>1055</v>
      </c>
      <c r="U1236" t="s">
        <v>19</v>
      </c>
      <c r="V1236" t="s">
        <v>53</v>
      </c>
      <c r="W1236" t="s">
        <v>2768</v>
      </c>
      <c r="AC1236" t="s">
        <v>1086</v>
      </c>
      <c r="AD1236" t="s">
        <v>816</v>
      </c>
      <c r="AE1236" t="s">
        <v>18</v>
      </c>
      <c r="AF1236" t="s">
        <v>2572</v>
      </c>
    </row>
    <row r="1237" spans="1:32">
      <c r="A1237" t="s">
        <v>5609</v>
      </c>
      <c r="B1237" t="s">
        <v>1055</v>
      </c>
      <c r="C1237" t="s">
        <v>19</v>
      </c>
      <c r="D1237" t="s">
        <v>2366</v>
      </c>
      <c r="E1237" t="s">
        <v>18</v>
      </c>
      <c r="F1237" t="s">
        <v>3116</v>
      </c>
      <c r="M1237" t="s">
        <v>4762</v>
      </c>
      <c r="N1237" t="s">
        <v>1081</v>
      </c>
      <c r="O1237" t="s">
        <v>18</v>
      </c>
      <c r="P1237" t="s">
        <v>2597</v>
      </c>
      <c r="T1237" t="s">
        <v>1055</v>
      </c>
      <c r="U1237" t="s">
        <v>19</v>
      </c>
      <c r="V1237" t="s">
        <v>18</v>
      </c>
      <c r="W1237" t="s">
        <v>2366</v>
      </c>
      <c r="AC1237" t="s">
        <v>1087</v>
      </c>
      <c r="AD1237" t="s">
        <v>818</v>
      </c>
      <c r="AE1237" t="s">
        <v>18</v>
      </c>
      <c r="AF1237" t="s">
        <v>857</v>
      </c>
    </row>
    <row r="1238" spans="1:32">
      <c r="A1238" t="s">
        <v>5612</v>
      </c>
      <c r="B1238" t="s">
        <v>1055</v>
      </c>
      <c r="C1238" t="s">
        <v>2384</v>
      </c>
      <c r="D1238" t="s">
        <v>3981</v>
      </c>
      <c r="E1238" t="s">
        <v>857</v>
      </c>
      <c r="F1238" t="s">
        <v>3982</v>
      </c>
      <c r="M1238" t="s">
        <v>7539</v>
      </c>
      <c r="N1238" t="s">
        <v>7525</v>
      </c>
      <c r="O1238" t="s">
        <v>18</v>
      </c>
      <c r="P1238" t="s">
        <v>2585</v>
      </c>
      <c r="T1238" t="s">
        <v>1055</v>
      </c>
      <c r="U1238" t="s">
        <v>2384</v>
      </c>
      <c r="V1238" t="s">
        <v>857</v>
      </c>
      <c r="W1238" t="s">
        <v>3981</v>
      </c>
      <c r="AC1238" t="s">
        <v>1088</v>
      </c>
      <c r="AD1238" t="s">
        <v>816</v>
      </c>
      <c r="AE1238" t="s">
        <v>857</v>
      </c>
      <c r="AF1238" t="s">
        <v>857</v>
      </c>
    </row>
    <row r="1239" spans="1:32">
      <c r="A1239" t="s">
        <v>5613</v>
      </c>
      <c r="B1239" t="s">
        <v>1055</v>
      </c>
      <c r="C1239" t="s">
        <v>2416</v>
      </c>
      <c r="D1239" t="s">
        <v>857</v>
      </c>
      <c r="E1239" t="s">
        <v>53</v>
      </c>
      <c r="F1239" t="s">
        <v>3161</v>
      </c>
      <c r="M1239" t="s">
        <v>7539</v>
      </c>
      <c r="N1239" t="s">
        <v>7525</v>
      </c>
      <c r="O1239" t="s">
        <v>18</v>
      </c>
      <c r="P1239" t="s">
        <v>2584</v>
      </c>
      <c r="T1239" t="s">
        <v>1055</v>
      </c>
      <c r="U1239" t="s">
        <v>2416</v>
      </c>
      <c r="V1239" t="s">
        <v>53</v>
      </c>
      <c r="W1239" t="s">
        <v>857</v>
      </c>
      <c r="AC1239" t="s">
        <v>1088</v>
      </c>
      <c r="AD1239" t="s">
        <v>816</v>
      </c>
      <c r="AE1239" t="s">
        <v>857</v>
      </c>
      <c r="AF1239" t="s">
        <v>2366</v>
      </c>
    </row>
    <row r="1240" spans="1:32">
      <c r="A1240" t="s">
        <v>5614</v>
      </c>
      <c r="B1240" t="s">
        <v>1055</v>
      </c>
      <c r="C1240" t="s">
        <v>816</v>
      </c>
      <c r="D1240" t="s">
        <v>857</v>
      </c>
      <c r="E1240" t="s">
        <v>857</v>
      </c>
      <c r="F1240" t="s">
        <v>4040</v>
      </c>
      <c r="M1240" t="s">
        <v>7539</v>
      </c>
      <c r="N1240" t="s">
        <v>7525</v>
      </c>
      <c r="O1240" t="s">
        <v>18</v>
      </c>
      <c r="P1240" t="s">
        <v>2583</v>
      </c>
      <c r="T1240" t="s">
        <v>1055</v>
      </c>
      <c r="U1240" t="s">
        <v>816</v>
      </c>
      <c r="V1240" t="s">
        <v>857</v>
      </c>
      <c r="W1240" t="s">
        <v>857</v>
      </c>
      <c r="AC1240" t="s">
        <v>1088</v>
      </c>
      <c r="AD1240" t="s">
        <v>816</v>
      </c>
      <c r="AE1240" t="s">
        <v>18</v>
      </c>
      <c r="AF1240" t="s">
        <v>2366</v>
      </c>
    </row>
    <row r="1241" spans="1:32">
      <c r="A1241" t="s">
        <v>5616</v>
      </c>
      <c r="B1241" t="s">
        <v>1055</v>
      </c>
      <c r="C1241" t="s">
        <v>816</v>
      </c>
      <c r="D1241" t="s">
        <v>3159</v>
      </c>
      <c r="E1241" t="s">
        <v>53</v>
      </c>
      <c r="F1241" t="s">
        <v>3160</v>
      </c>
      <c r="M1241" t="s">
        <v>7539</v>
      </c>
      <c r="N1241" t="s">
        <v>7525</v>
      </c>
      <c r="O1241" t="s">
        <v>18</v>
      </c>
      <c r="P1241" t="s">
        <v>2582</v>
      </c>
      <c r="T1241" t="s">
        <v>1055</v>
      </c>
      <c r="U1241" t="s">
        <v>816</v>
      </c>
      <c r="V1241" t="s">
        <v>53</v>
      </c>
      <c r="W1241" t="s">
        <v>3159</v>
      </c>
      <c r="AC1241" t="s">
        <v>1089</v>
      </c>
      <c r="AD1241" t="s">
        <v>818</v>
      </c>
      <c r="AE1241" t="s">
        <v>18</v>
      </c>
      <c r="AF1241" t="s">
        <v>857</v>
      </c>
    </row>
    <row r="1242" spans="1:32">
      <c r="A1242" t="s">
        <v>5617</v>
      </c>
      <c r="B1242" t="s">
        <v>1055</v>
      </c>
      <c r="C1242" t="s">
        <v>816</v>
      </c>
      <c r="D1242" t="s">
        <v>2559</v>
      </c>
      <c r="E1242" t="s">
        <v>53</v>
      </c>
      <c r="F1242" t="s">
        <v>3158</v>
      </c>
      <c r="M1242" t="s">
        <v>7539</v>
      </c>
      <c r="N1242" t="s">
        <v>7525</v>
      </c>
      <c r="O1242" t="s">
        <v>18</v>
      </c>
      <c r="P1242" t="s">
        <v>2580</v>
      </c>
      <c r="T1242" t="s">
        <v>1055</v>
      </c>
      <c r="U1242" t="s">
        <v>816</v>
      </c>
      <c r="V1242" t="s">
        <v>53</v>
      </c>
      <c r="W1242" t="s">
        <v>2559</v>
      </c>
      <c r="AC1242" t="s">
        <v>1089</v>
      </c>
      <c r="AD1242" t="s">
        <v>818</v>
      </c>
      <c r="AE1242" t="s">
        <v>18</v>
      </c>
      <c r="AF1242" t="s">
        <v>2532</v>
      </c>
    </row>
    <row r="1243" spans="1:32">
      <c r="A1243" t="s">
        <v>5618</v>
      </c>
      <c r="B1243" t="s">
        <v>1055</v>
      </c>
      <c r="C1243" t="s">
        <v>816</v>
      </c>
      <c r="D1243" t="s">
        <v>3117</v>
      </c>
      <c r="E1243" t="s">
        <v>53</v>
      </c>
      <c r="F1243" t="s">
        <v>3118</v>
      </c>
      <c r="M1243" t="s">
        <v>7539</v>
      </c>
      <c r="N1243" t="s">
        <v>7525</v>
      </c>
      <c r="O1243" t="s">
        <v>18</v>
      </c>
      <c r="P1243" t="s">
        <v>2579</v>
      </c>
      <c r="T1243" t="s">
        <v>1055</v>
      </c>
      <c r="U1243" t="s">
        <v>816</v>
      </c>
      <c r="V1243" t="s">
        <v>53</v>
      </c>
      <c r="W1243" t="s">
        <v>3117</v>
      </c>
      <c r="AC1243" t="s">
        <v>1089</v>
      </c>
      <c r="AD1243" t="s">
        <v>19</v>
      </c>
      <c r="AE1243" t="s">
        <v>857</v>
      </c>
      <c r="AF1243" t="s">
        <v>857</v>
      </c>
    </row>
    <row r="1244" spans="1:32">
      <c r="A1244" t="s">
        <v>5619</v>
      </c>
      <c r="B1244" t="s">
        <v>1055</v>
      </c>
      <c r="C1244" t="s">
        <v>816</v>
      </c>
      <c r="D1244" t="s">
        <v>2366</v>
      </c>
      <c r="E1244" t="s">
        <v>53</v>
      </c>
      <c r="F1244" t="s">
        <v>3115</v>
      </c>
      <c r="M1244" t="s">
        <v>7539</v>
      </c>
      <c r="N1244" t="s">
        <v>7525</v>
      </c>
      <c r="O1244" t="s">
        <v>18</v>
      </c>
      <c r="P1244" t="s">
        <v>2578</v>
      </c>
      <c r="T1244" t="s">
        <v>1055</v>
      </c>
      <c r="U1244" t="s">
        <v>816</v>
      </c>
      <c r="V1244" t="s">
        <v>53</v>
      </c>
      <c r="W1244" t="s">
        <v>2366</v>
      </c>
      <c r="AC1244" t="s">
        <v>1089</v>
      </c>
      <c r="AD1244" t="s">
        <v>19</v>
      </c>
      <c r="AE1244" t="s">
        <v>857</v>
      </c>
      <c r="AF1244" t="s">
        <v>2540</v>
      </c>
    </row>
    <row r="1245" spans="1:32">
      <c r="A1245" t="s">
        <v>5621</v>
      </c>
      <c r="B1245" t="s">
        <v>1056</v>
      </c>
      <c r="C1245" t="s">
        <v>818</v>
      </c>
      <c r="D1245" t="s">
        <v>857</v>
      </c>
      <c r="E1245" t="s">
        <v>18</v>
      </c>
      <c r="F1245" t="s">
        <v>3157</v>
      </c>
      <c r="M1245" t="s">
        <v>7539</v>
      </c>
      <c r="N1245" t="s">
        <v>7525</v>
      </c>
      <c r="O1245" t="s">
        <v>18</v>
      </c>
      <c r="P1245" t="s">
        <v>2577</v>
      </c>
      <c r="T1245" t="s">
        <v>1056</v>
      </c>
      <c r="U1245" t="s">
        <v>818</v>
      </c>
      <c r="V1245" t="s">
        <v>18</v>
      </c>
      <c r="W1245" t="s">
        <v>857</v>
      </c>
      <c r="AC1245" t="s">
        <v>1089</v>
      </c>
      <c r="AD1245" t="s">
        <v>19</v>
      </c>
      <c r="AE1245" t="s">
        <v>18</v>
      </c>
      <c r="AF1245" t="s">
        <v>857</v>
      </c>
    </row>
    <row r="1246" spans="1:32">
      <c r="A1246" t="s">
        <v>5621</v>
      </c>
      <c r="B1246" t="s">
        <v>1056</v>
      </c>
      <c r="C1246" t="s">
        <v>818</v>
      </c>
      <c r="D1246" t="s">
        <v>857</v>
      </c>
      <c r="E1246" t="s">
        <v>18</v>
      </c>
      <c r="F1246" t="s">
        <v>3156</v>
      </c>
      <c r="M1246" t="s">
        <v>7539</v>
      </c>
      <c r="N1246" t="s">
        <v>7525</v>
      </c>
      <c r="O1246" t="s">
        <v>18</v>
      </c>
      <c r="P1246" t="s">
        <v>2568</v>
      </c>
      <c r="T1246" t="s">
        <v>1056</v>
      </c>
      <c r="U1246" t="s">
        <v>818</v>
      </c>
      <c r="V1246" t="s">
        <v>18</v>
      </c>
      <c r="W1246" t="s">
        <v>857</v>
      </c>
      <c r="AC1246" t="s">
        <v>1089</v>
      </c>
      <c r="AD1246" t="s">
        <v>19</v>
      </c>
      <c r="AE1246" t="s">
        <v>18</v>
      </c>
      <c r="AF1246" t="s">
        <v>2532</v>
      </c>
    </row>
    <row r="1247" spans="1:32">
      <c r="A1247" t="s">
        <v>5621</v>
      </c>
      <c r="B1247" t="s">
        <v>1056</v>
      </c>
      <c r="C1247" t="s">
        <v>818</v>
      </c>
      <c r="D1247" t="s">
        <v>857</v>
      </c>
      <c r="E1247" t="s">
        <v>18</v>
      </c>
      <c r="F1247" t="s">
        <v>3155</v>
      </c>
      <c r="M1247" t="s">
        <v>7539</v>
      </c>
      <c r="N1247" t="s">
        <v>7525</v>
      </c>
      <c r="O1247" t="s">
        <v>18</v>
      </c>
      <c r="P1247" t="s">
        <v>2567</v>
      </c>
      <c r="T1247" t="s">
        <v>1056</v>
      </c>
      <c r="U1247" t="s">
        <v>818</v>
      </c>
      <c r="V1247" t="s">
        <v>18</v>
      </c>
      <c r="W1247" t="s">
        <v>857</v>
      </c>
      <c r="AC1247" t="s">
        <v>1089</v>
      </c>
      <c r="AD1247" t="s">
        <v>19</v>
      </c>
      <c r="AE1247" t="s">
        <v>18</v>
      </c>
      <c r="AF1247" t="s">
        <v>2540</v>
      </c>
    </row>
    <row r="1248" spans="1:32">
      <c r="A1248" t="s">
        <v>5621</v>
      </c>
      <c r="B1248" t="s">
        <v>1056</v>
      </c>
      <c r="C1248" t="s">
        <v>818</v>
      </c>
      <c r="D1248" t="s">
        <v>857</v>
      </c>
      <c r="E1248" t="s">
        <v>18</v>
      </c>
      <c r="F1248" t="s">
        <v>3150</v>
      </c>
      <c r="M1248" t="s">
        <v>7539</v>
      </c>
      <c r="N1248" t="s">
        <v>7525</v>
      </c>
      <c r="O1248" t="s">
        <v>18</v>
      </c>
      <c r="P1248" t="s">
        <v>2566</v>
      </c>
      <c r="T1248" t="s">
        <v>1056</v>
      </c>
      <c r="U1248" t="s">
        <v>818</v>
      </c>
      <c r="V1248" t="s">
        <v>18</v>
      </c>
      <c r="W1248" t="s">
        <v>857</v>
      </c>
      <c r="AC1248" t="s">
        <v>1089</v>
      </c>
      <c r="AD1248" t="s">
        <v>2384</v>
      </c>
      <c r="AE1248" t="s">
        <v>857</v>
      </c>
      <c r="AF1248" t="s">
        <v>857</v>
      </c>
    </row>
    <row r="1249" spans="1:32">
      <c r="A1249" t="s">
        <v>5621</v>
      </c>
      <c r="B1249" t="s">
        <v>1056</v>
      </c>
      <c r="C1249" t="s">
        <v>818</v>
      </c>
      <c r="D1249" t="s">
        <v>857</v>
      </c>
      <c r="E1249" t="s">
        <v>18</v>
      </c>
      <c r="F1249" t="s">
        <v>3149</v>
      </c>
      <c r="M1249" t="s">
        <v>7539</v>
      </c>
      <c r="N1249" t="s">
        <v>7525</v>
      </c>
      <c r="O1249" t="s">
        <v>18</v>
      </c>
      <c r="P1249" t="s">
        <v>2565</v>
      </c>
      <c r="T1249" t="s">
        <v>1056</v>
      </c>
      <c r="U1249" t="s">
        <v>818</v>
      </c>
      <c r="V1249" t="s">
        <v>18</v>
      </c>
      <c r="W1249" t="s">
        <v>857</v>
      </c>
      <c r="AC1249" t="s">
        <v>1089</v>
      </c>
      <c r="AD1249" t="s">
        <v>2384</v>
      </c>
      <c r="AE1249" t="s">
        <v>857</v>
      </c>
      <c r="AF1249" t="s">
        <v>2540</v>
      </c>
    </row>
    <row r="1250" spans="1:32">
      <c r="A1250" t="s">
        <v>5621</v>
      </c>
      <c r="B1250" t="s">
        <v>1056</v>
      </c>
      <c r="C1250" t="s">
        <v>818</v>
      </c>
      <c r="D1250" t="s">
        <v>857</v>
      </c>
      <c r="E1250" t="s">
        <v>18</v>
      </c>
      <c r="F1250" t="s">
        <v>3148</v>
      </c>
      <c r="M1250" t="s">
        <v>7539</v>
      </c>
      <c r="N1250" t="s">
        <v>7525</v>
      </c>
      <c r="O1250" t="s">
        <v>18</v>
      </c>
      <c r="P1250" t="s">
        <v>2564</v>
      </c>
      <c r="T1250" t="s">
        <v>1056</v>
      </c>
      <c r="U1250" t="s">
        <v>818</v>
      </c>
      <c r="V1250" t="s">
        <v>18</v>
      </c>
      <c r="W1250" t="s">
        <v>857</v>
      </c>
      <c r="AC1250" t="s">
        <v>1089</v>
      </c>
      <c r="AD1250" t="s">
        <v>2384</v>
      </c>
      <c r="AE1250" t="s">
        <v>18</v>
      </c>
      <c r="AF1250" t="s">
        <v>2540</v>
      </c>
    </row>
    <row r="1251" spans="1:32">
      <c r="A1251" t="s">
        <v>5621</v>
      </c>
      <c r="B1251" t="s">
        <v>1056</v>
      </c>
      <c r="C1251" t="s">
        <v>818</v>
      </c>
      <c r="D1251" t="s">
        <v>857</v>
      </c>
      <c r="E1251" t="s">
        <v>18</v>
      </c>
      <c r="F1251" t="s">
        <v>3140</v>
      </c>
      <c r="M1251" t="s">
        <v>7539</v>
      </c>
      <c r="N1251" t="s">
        <v>7525</v>
      </c>
      <c r="O1251" t="s">
        <v>18</v>
      </c>
      <c r="P1251" t="s">
        <v>2563</v>
      </c>
      <c r="T1251" t="s">
        <v>1056</v>
      </c>
      <c r="U1251" t="s">
        <v>818</v>
      </c>
      <c r="V1251" t="s">
        <v>18</v>
      </c>
      <c r="W1251" t="s">
        <v>857</v>
      </c>
      <c r="AC1251" t="s">
        <v>1089</v>
      </c>
      <c r="AD1251" t="s">
        <v>2416</v>
      </c>
      <c r="AE1251" t="s">
        <v>857</v>
      </c>
      <c r="AF1251" t="s">
        <v>857</v>
      </c>
    </row>
    <row r="1252" spans="1:32">
      <c r="A1252" t="s">
        <v>5621</v>
      </c>
      <c r="B1252" t="s">
        <v>1056</v>
      </c>
      <c r="C1252" t="s">
        <v>818</v>
      </c>
      <c r="D1252" t="s">
        <v>857</v>
      </c>
      <c r="E1252" t="s">
        <v>18</v>
      </c>
      <c r="F1252" t="s">
        <v>3133</v>
      </c>
      <c r="M1252" t="s">
        <v>7539</v>
      </c>
      <c r="N1252" t="s">
        <v>7525</v>
      </c>
      <c r="O1252" t="s">
        <v>18</v>
      </c>
      <c r="P1252" t="s">
        <v>2560</v>
      </c>
      <c r="T1252" t="s">
        <v>1056</v>
      </c>
      <c r="U1252" t="s">
        <v>818</v>
      </c>
      <c r="V1252" t="s">
        <v>18</v>
      </c>
      <c r="W1252" t="s">
        <v>857</v>
      </c>
      <c r="AC1252" t="s">
        <v>1089</v>
      </c>
      <c r="AD1252" t="s">
        <v>2416</v>
      </c>
      <c r="AE1252" t="s">
        <v>18</v>
      </c>
      <c r="AF1252" t="s">
        <v>857</v>
      </c>
    </row>
    <row r="1253" spans="1:32">
      <c r="A1253" t="s">
        <v>5622</v>
      </c>
      <c r="B1253" t="s">
        <v>1056</v>
      </c>
      <c r="C1253" t="s">
        <v>818</v>
      </c>
      <c r="D1253" t="s">
        <v>3123</v>
      </c>
      <c r="E1253" t="s">
        <v>18</v>
      </c>
      <c r="F1253" t="s">
        <v>3141</v>
      </c>
      <c r="M1253" t="s">
        <v>7539</v>
      </c>
      <c r="N1253" t="s">
        <v>7525</v>
      </c>
      <c r="O1253" t="s">
        <v>18</v>
      </c>
      <c r="P1253" t="s">
        <v>2558</v>
      </c>
      <c r="T1253" t="s">
        <v>1056</v>
      </c>
      <c r="U1253" t="s">
        <v>818</v>
      </c>
      <c r="V1253" t="s">
        <v>18</v>
      </c>
      <c r="W1253" t="s">
        <v>3123</v>
      </c>
      <c r="AC1253" t="s">
        <v>1089</v>
      </c>
      <c r="AD1253" t="s">
        <v>2416</v>
      </c>
      <c r="AE1253" t="s">
        <v>18</v>
      </c>
      <c r="AF1253" t="s">
        <v>2532</v>
      </c>
    </row>
    <row r="1254" spans="1:32">
      <c r="A1254" t="s">
        <v>6559</v>
      </c>
      <c r="B1254" t="s">
        <v>1056</v>
      </c>
      <c r="C1254" t="s">
        <v>818</v>
      </c>
      <c r="D1254" t="s">
        <v>3138</v>
      </c>
      <c r="E1254" t="s">
        <v>18</v>
      </c>
      <c r="F1254" t="s">
        <v>3139</v>
      </c>
      <c r="M1254" t="s">
        <v>7539</v>
      </c>
      <c r="N1254" t="s">
        <v>7525</v>
      </c>
      <c r="O1254" t="s">
        <v>18</v>
      </c>
      <c r="P1254" t="s">
        <v>2557</v>
      </c>
      <c r="T1254" t="s">
        <v>1056</v>
      </c>
      <c r="U1254" t="s">
        <v>818</v>
      </c>
      <c r="V1254" t="s">
        <v>18</v>
      </c>
      <c r="W1254" t="s">
        <v>3138</v>
      </c>
      <c r="AC1254" t="s">
        <v>1089</v>
      </c>
      <c r="AD1254" t="s">
        <v>2416</v>
      </c>
      <c r="AE1254" t="s">
        <v>18</v>
      </c>
      <c r="AF1254" t="s">
        <v>2540</v>
      </c>
    </row>
    <row r="1255" spans="1:32">
      <c r="A1255" t="s">
        <v>5623</v>
      </c>
      <c r="B1255" t="s">
        <v>1056</v>
      </c>
      <c r="C1255" t="s">
        <v>818</v>
      </c>
      <c r="D1255" t="s">
        <v>3136</v>
      </c>
      <c r="E1255" t="s">
        <v>857</v>
      </c>
      <c r="F1255" t="s">
        <v>3979</v>
      </c>
      <c r="M1255" t="s">
        <v>7539</v>
      </c>
      <c r="N1255" t="s">
        <v>7525</v>
      </c>
      <c r="O1255" t="s">
        <v>18</v>
      </c>
      <c r="P1255" t="s">
        <v>2555</v>
      </c>
      <c r="T1255" t="s">
        <v>1056</v>
      </c>
      <c r="U1255" t="s">
        <v>818</v>
      </c>
      <c r="V1255" t="s">
        <v>857</v>
      </c>
      <c r="W1255" t="s">
        <v>3136</v>
      </c>
      <c r="AC1255" t="s">
        <v>1089</v>
      </c>
      <c r="AD1255" t="s">
        <v>816</v>
      </c>
      <c r="AE1255" t="s">
        <v>857</v>
      </c>
      <c r="AF1255" t="s">
        <v>857</v>
      </c>
    </row>
    <row r="1256" spans="1:32">
      <c r="A1256" t="s">
        <v>5624</v>
      </c>
      <c r="B1256" t="s">
        <v>1056</v>
      </c>
      <c r="C1256" t="s">
        <v>818</v>
      </c>
      <c r="D1256" t="s">
        <v>3136</v>
      </c>
      <c r="E1256" t="s">
        <v>18</v>
      </c>
      <c r="F1256" t="s">
        <v>3137</v>
      </c>
      <c r="M1256" t="s">
        <v>4763</v>
      </c>
      <c r="N1256" t="s">
        <v>1083</v>
      </c>
      <c r="O1256" t="s">
        <v>18</v>
      </c>
      <c r="P1256" t="s">
        <v>2628</v>
      </c>
      <c r="T1256" t="s">
        <v>1056</v>
      </c>
      <c r="U1256" t="s">
        <v>818</v>
      </c>
      <c r="V1256" t="s">
        <v>18</v>
      </c>
      <c r="W1256" t="s">
        <v>3136</v>
      </c>
      <c r="AC1256" t="s">
        <v>1089</v>
      </c>
      <c r="AD1256" t="s">
        <v>816</v>
      </c>
      <c r="AE1256" t="s">
        <v>18</v>
      </c>
      <c r="AF1256" t="s">
        <v>857</v>
      </c>
    </row>
    <row r="1257" spans="1:32">
      <c r="A1257" t="s">
        <v>5625</v>
      </c>
      <c r="B1257" t="s">
        <v>1056</v>
      </c>
      <c r="C1257" t="s">
        <v>818</v>
      </c>
      <c r="D1257" t="s">
        <v>3134</v>
      </c>
      <c r="E1257" t="s">
        <v>18</v>
      </c>
      <c r="F1257" t="s">
        <v>3135</v>
      </c>
      <c r="M1257" t="s">
        <v>4763</v>
      </c>
      <c r="N1257" t="s">
        <v>1083</v>
      </c>
      <c r="O1257" t="s">
        <v>18</v>
      </c>
      <c r="P1257" t="s">
        <v>2627</v>
      </c>
      <c r="T1257" t="s">
        <v>1056</v>
      </c>
      <c r="U1257" t="s">
        <v>818</v>
      </c>
      <c r="V1257" t="s">
        <v>18</v>
      </c>
      <c r="W1257" t="s">
        <v>3134</v>
      </c>
      <c r="AC1257" t="s">
        <v>1089</v>
      </c>
      <c r="AD1257" t="s">
        <v>816</v>
      </c>
      <c r="AE1257" t="s">
        <v>18</v>
      </c>
      <c r="AF1257" t="s">
        <v>2532</v>
      </c>
    </row>
    <row r="1258" spans="1:32">
      <c r="A1258" t="s">
        <v>5626</v>
      </c>
      <c r="B1258" t="s">
        <v>1056</v>
      </c>
      <c r="C1258" t="s">
        <v>818</v>
      </c>
      <c r="D1258" t="s">
        <v>3127</v>
      </c>
      <c r="E1258" t="s">
        <v>18</v>
      </c>
      <c r="F1258" t="s">
        <v>3132</v>
      </c>
      <c r="M1258" t="s">
        <v>4763</v>
      </c>
      <c r="N1258" t="s">
        <v>1083</v>
      </c>
      <c r="O1258" t="s">
        <v>18</v>
      </c>
      <c r="P1258" t="s">
        <v>2626</v>
      </c>
      <c r="T1258" t="s">
        <v>1056</v>
      </c>
      <c r="U1258" t="s">
        <v>818</v>
      </c>
      <c r="V1258" t="s">
        <v>18</v>
      </c>
      <c r="W1258" t="s">
        <v>3127</v>
      </c>
      <c r="AC1258" t="s">
        <v>1090</v>
      </c>
      <c r="AD1258" t="s">
        <v>818</v>
      </c>
      <c r="AE1258" t="s">
        <v>18</v>
      </c>
      <c r="AF1258" t="s">
        <v>857</v>
      </c>
    </row>
    <row r="1259" spans="1:32">
      <c r="A1259" t="s">
        <v>5629</v>
      </c>
      <c r="B1259" t="s">
        <v>1056</v>
      </c>
      <c r="C1259" t="s">
        <v>19</v>
      </c>
      <c r="D1259" t="s">
        <v>857</v>
      </c>
      <c r="E1259" t="s">
        <v>857</v>
      </c>
      <c r="F1259" t="s">
        <v>3857</v>
      </c>
      <c r="M1259" t="s">
        <v>4763</v>
      </c>
      <c r="N1259" t="s">
        <v>1083</v>
      </c>
      <c r="O1259" t="s">
        <v>18</v>
      </c>
      <c r="P1259" t="s">
        <v>2625</v>
      </c>
      <c r="T1259" t="s">
        <v>1056</v>
      </c>
      <c r="U1259" t="s">
        <v>19</v>
      </c>
      <c r="V1259" t="s">
        <v>857</v>
      </c>
      <c r="W1259" t="s">
        <v>857</v>
      </c>
      <c r="AC1259" t="s">
        <v>1090</v>
      </c>
      <c r="AD1259" t="s">
        <v>818</v>
      </c>
      <c r="AE1259" t="s">
        <v>18</v>
      </c>
      <c r="AF1259" t="s">
        <v>2516</v>
      </c>
    </row>
    <row r="1260" spans="1:32">
      <c r="A1260" t="s">
        <v>5629</v>
      </c>
      <c r="B1260" t="s">
        <v>1056</v>
      </c>
      <c r="C1260" t="s">
        <v>19</v>
      </c>
      <c r="D1260" t="s">
        <v>857</v>
      </c>
      <c r="E1260" t="s">
        <v>857</v>
      </c>
      <c r="F1260" t="s">
        <v>3831</v>
      </c>
      <c r="M1260" t="s">
        <v>4763</v>
      </c>
      <c r="N1260" t="s">
        <v>1083</v>
      </c>
      <c r="O1260" t="s">
        <v>18</v>
      </c>
      <c r="P1260" t="s">
        <v>2624</v>
      </c>
      <c r="T1260" t="s">
        <v>1056</v>
      </c>
      <c r="U1260" t="s">
        <v>19</v>
      </c>
      <c r="V1260" t="s">
        <v>857</v>
      </c>
      <c r="W1260" t="s">
        <v>857</v>
      </c>
      <c r="AC1260" t="s">
        <v>1090</v>
      </c>
      <c r="AD1260" t="s">
        <v>818</v>
      </c>
      <c r="AE1260" t="s">
        <v>18</v>
      </c>
      <c r="AF1260" t="s">
        <v>2518</v>
      </c>
    </row>
    <row r="1261" spans="1:32">
      <c r="A1261" t="s">
        <v>5630</v>
      </c>
      <c r="B1261" t="s">
        <v>1056</v>
      </c>
      <c r="C1261" t="s">
        <v>19</v>
      </c>
      <c r="D1261" t="s">
        <v>857</v>
      </c>
      <c r="E1261" t="s">
        <v>18</v>
      </c>
      <c r="F1261" t="s">
        <v>3154</v>
      </c>
      <c r="M1261" t="s">
        <v>4763</v>
      </c>
      <c r="N1261" t="s">
        <v>1083</v>
      </c>
      <c r="O1261" t="s">
        <v>18</v>
      </c>
      <c r="P1261" t="s">
        <v>2623</v>
      </c>
      <c r="T1261" t="s">
        <v>1056</v>
      </c>
      <c r="U1261" t="s">
        <v>19</v>
      </c>
      <c r="V1261" t="s">
        <v>18</v>
      </c>
      <c r="W1261" t="s">
        <v>857</v>
      </c>
      <c r="AC1261" t="s">
        <v>1090</v>
      </c>
      <c r="AD1261" t="s">
        <v>818</v>
      </c>
      <c r="AE1261" t="s">
        <v>18</v>
      </c>
      <c r="AF1261" t="s">
        <v>2514</v>
      </c>
    </row>
    <row r="1262" spans="1:32">
      <c r="A1262" t="s">
        <v>5630</v>
      </c>
      <c r="B1262" t="s">
        <v>1056</v>
      </c>
      <c r="C1262" t="s">
        <v>19</v>
      </c>
      <c r="D1262" t="s">
        <v>857</v>
      </c>
      <c r="E1262" t="s">
        <v>18</v>
      </c>
      <c r="F1262" t="s">
        <v>3153</v>
      </c>
      <c r="M1262" t="s">
        <v>4763</v>
      </c>
      <c r="N1262" t="s">
        <v>1083</v>
      </c>
      <c r="O1262" t="s">
        <v>18</v>
      </c>
      <c r="P1262" t="s">
        <v>2622</v>
      </c>
      <c r="T1262" t="s">
        <v>1056</v>
      </c>
      <c r="U1262" t="s">
        <v>19</v>
      </c>
      <c r="V1262" t="s">
        <v>18</v>
      </c>
      <c r="W1262" t="s">
        <v>857</v>
      </c>
      <c r="AC1262" t="s">
        <v>1090</v>
      </c>
      <c r="AD1262" t="s">
        <v>818</v>
      </c>
      <c r="AE1262" t="s">
        <v>18</v>
      </c>
      <c r="AF1262" t="s">
        <v>2512</v>
      </c>
    </row>
    <row r="1263" spans="1:32">
      <c r="A1263" t="s">
        <v>5630</v>
      </c>
      <c r="B1263" t="s">
        <v>1056</v>
      </c>
      <c r="C1263" t="s">
        <v>19</v>
      </c>
      <c r="D1263" t="s">
        <v>857</v>
      </c>
      <c r="E1263" t="s">
        <v>18</v>
      </c>
      <c r="F1263" t="s">
        <v>3152</v>
      </c>
      <c r="M1263" t="s">
        <v>4763</v>
      </c>
      <c r="N1263" t="s">
        <v>1083</v>
      </c>
      <c r="O1263" t="s">
        <v>18</v>
      </c>
      <c r="P1263" t="s">
        <v>2621</v>
      </c>
      <c r="T1263" t="s">
        <v>1056</v>
      </c>
      <c r="U1263" t="s">
        <v>19</v>
      </c>
      <c r="V1263" t="s">
        <v>18</v>
      </c>
      <c r="W1263" t="s">
        <v>857</v>
      </c>
      <c r="AC1263" t="s">
        <v>1090</v>
      </c>
      <c r="AD1263" t="s">
        <v>2384</v>
      </c>
      <c r="AE1263" t="s">
        <v>857</v>
      </c>
      <c r="AF1263" t="s">
        <v>857</v>
      </c>
    </row>
    <row r="1264" spans="1:32">
      <c r="A1264" t="s">
        <v>5630</v>
      </c>
      <c r="B1264" t="s">
        <v>1056</v>
      </c>
      <c r="C1264" t="s">
        <v>19</v>
      </c>
      <c r="D1264" t="s">
        <v>857</v>
      </c>
      <c r="E1264" t="s">
        <v>18</v>
      </c>
      <c r="F1264" t="s">
        <v>3146</v>
      </c>
      <c r="M1264" t="s">
        <v>4763</v>
      </c>
      <c r="N1264" t="s">
        <v>1083</v>
      </c>
      <c r="O1264" t="s">
        <v>18</v>
      </c>
      <c r="P1264" t="s">
        <v>2620</v>
      </c>
      <c r="T1264" t="s">
        <v>1056</v>
      </c>
      <c r="U1264" t="s">
        <v>19</v>
      </c>
      <c r="V1264" t="s">
        <v>18</v>
      </c>
      <c r="W1264" t="s">
        <v>857</v>
      </c>
      <c r="AC1264" t="s">
        <v>1090</v>
      </c>
      <c r="AD1264" t="s">
        <v>2384</v>
      </c>
      <c r="AE1264" t="s">
        <v>857</v>
      </c>
      <c r="AF1264" t="s">
        <v>2516</v>
      </c>
    </row>
    <row r="1265" spans="1:32">
      <c r="A1265" t="s">
        <v>5630</v>
      </c>
      <c r="B1265" t="s">
        <v>1056</v>
      </c>
      <c r="C1265" t="s">
        <v>19</v>
      </c>
      <c r="D1265" t="s">
        <v>857</v>
      </c>
      <c r="E1265" t="s">
        <v>18</v>
      </c>
      <c r="F1265" t="s">
        <v>3144</v>
      </c>
      <c r="M1265" t="s">
        <v>4763</v>
      </c>
      <c r="N1265" t="s">
        <v>1083</v>
      </c>
      <c r="O1265" t="s">
        <v>18</v>
      </c>
      <c r="P1265" t="s">
        <v>2619</v>
      </c>
      <c r="T1265" t="s">
        <v>1056</v>
      </c>
      <c r="U1265" t="s">
        <v>19</v>
      </c>
      <c r="V1265" t="s">
        <v>18</v>
      </c>
      <c r="W1265" t="s">
        <v>857</v>
      </c>
      <c r="AC1265" t="s">
        <v>1090</v>
      </c>
      <c r="AD1265" t="s">
        <v>2384</v>
      </c>
      <c r="AE1265" t="s">
        <v>18</v>
      </c>
      <c r="AF1265" t="s">
        <v>2516</v>
      </c>
    </row>
    <row r="1266" spans="1:32">
      <c r="A1266" t="s">
        <v>5631</v>
      </c>
      <c r="B1266" t="s">
        <v>1056</v>
      </c>
      <c r="C1266" t="s">
        <v>19</v>
      </c>
      <c r="D1266" t="s">
        <v>2768</v>
      </c>
      <c r="E1266" t="s">
        <v>18</v>
      </c>
      <c r="F1266" t="s">
        <v>3131</v>
      </c>
      <c r="M1266" t="s">
        <v>4763</v>
      </c>
      <c r="N1266" t="s">
        <v>1083</v>
      </c>
      <c r="O1266" t="s">
        <v>18</v>
      </c>
      <c r="P1266" t="s">
        <v>2618</v>
      </c>
      <c r="T1266" t="s">
        <v>1056</v>
      </c>
      <c r="U1266" t="s">
        <v>19</v>
      </c>
      <c r="V1266" t="s">
        <v>18</v>
      </c>
      <c r="W1266" t="s">
        <v>2768</v>
      </c>
      <c r="AC1266" t="s">
        <v>1090</v>
      </c>
      <c r="AD1266" t="s">
        <v>2384</v>
      </c>
      <c r="AE1266" t="s">
        <v>18</v>
      </c>
      <c r="AF1266" t="s">
        <v>2518</v>
      </c>
    </row>
    <row r="1267" spans="1:32">
      <c r="A1267" t="s">
        <v>5632</v>
      </c>
      <c r="B1267" t="s">
        <v>1056</v>
      </c>
      <c r="C1267" t="s">
        <v>19</v>
      </c>
      <c r="D1267" t="s">
        <v>3129</v>
      </c>
      <c r="E1267" t="s">
        <v>857</v>
      </c>
      <c r="F1267" t="s">
        <v>4210</v>
      </c>
      <c r="M1267" t="s">
        <v>4763</v>
      </c>
      <c r="N1267" t="s">
        <v>1083</v>
      </c>
      <c r="O1267" t="s">
        <v>18</v>
      </c>
      <c r="P1267" t="s">
        <v>2617</v>
      </c>
      <c r="T1267" t="s">
        <v>1056</v>
      </c>
      <c r="U1267" t="s">
        <v>19</v>
      </c>
      <c r="V1267" t="s">
        <v>857</v>
      </c>
      <c r="W1267" t="s">
        <v>3129</v>
      </c>
      <c r="AC1267" t="s">
        <v>1090</v>
      </c>
      <c r="AD1267" t="s">
        <v>2384</v>
      </c>
      <c r="AE1267" t="s">
        <v>18</v>
      </c>
      <c r="AF1267" t="s">
        <v>2514</v>
      </c>
    </row>
    <row r="1268" spans="1:32">
      <c r="A1268" t="s">
        <v>5633</v>
      </c>
      <c r="B1268" t="s">
        <v>1056</v>
      </c>
      <c r="C1268" t="s">
        <v>19</v>
      </c>
      <c r="D1268" t="s">
        <v>3129</v>
      </c>
      <c r="E1268" t="s">
        <v>18</v>
      </c>
      <c r="F1268" t="s">
        <v>3143</v>
      </c>
      <c r="M1268" t="s">
        <v>4763</v>
      </c>
      <c r="N1268" t="s">
        <v>1083</v>
      </c>
      <c r="O1268" t="s">
        <v>18</v>
      </c>
      <c r="P1268" t="s">
        <v>2616</v>
      </c>
      <c r="T1268" t="s">
        <v>1056</v>
      </c>
      <c r="U1268" t="s">
        <v>19</v>
      </c>
      <c r="V1268" t="s">
        <v>18</v>
      </c>
      <c r="W1268" t="s">
        <v>3129</v>
      </c>
      <c r="AC1268" t="s">
        <v>1090</v>
      </c>
      <c r="AD1268" t="s">
        <v>816</v>
      </c>
      <c r="AE1268" t="s">
        <v>857</v>
      </c>
      <c r="AF1268" t="s">
        <v>857</v>
      </c>
    </row>
    <row r="1269" spans="1:32">
      <c r="A1269" t="s">
        <v>5633</v>
      </c>
      <c r="B1269" t="s">
        <v>1056</v>
      </c>
      <c r="C1269" t="s">
        <v>19</v>
      </c>
      <c r="D1269" t="s">
        <v>3129</v>
      </c>
      <c r="E1269" t="s">
        <v>18</v>
      </c>
      <c r="F1269" t="s">
        <v>3130</v>
      </c>
      <c r="M1269" t="s">
        <v>4763</v>
      </c>
      <c r="N1269" t="s">
        <v>1083</v>
      </c>
      <c r="O1269" t="s">
        <v>18</v>
      </c>
      <c r="P1269" t="s">
        <v>2615</v>
      </c>
      <c r="T1269" t="s">
        <v>1056</v>
      </c>
      <c r="U1269" t="s">
        <v>19</v>
      </c>
      <c r="V1269" t="s">
        <v>18</v>
      </c>
      <c r="W1269" t="s">
        <v>3129</v>
      </c>
      <c r="AC1269" t="s">
        <v>1090</v>
      </c>
      <c r="AD1269" t="s">
        <v>816</v>
      </c>
      <c r="AE1269" t="s">
        <v>18</v>
      </c>
      <c r="AF1269" t="s">
        <v>857</v>
      </c>
    </row>
    <row r="1270" spans="1:32">
      <c r="A1270" t="s">
        <v>5634</v>
      </c>
      <c r="B1270" t="s">
        <v>1056</v>
      </c>
      <c r="C1270" t="s">
        <v>19</v>
      </c>
      <c r="D1270" t="s">
        <v>3127</v>
      </c>
      <c r="E1270" t="s">
        <v>18</v>
      </c>
      <c r="F1270" t="s">
        <v>3128</v>
      </c>
      <c r="M1270" t="s">
        <v>4763</v>
      </c>
      <c r="N1270" t="s">
        <v>1083</v>
      </c>
      <c r="O1270" t="s">
        <v>18</v>
      </c>
      <c r="P1270" t="s">
        <v>2614</v>
      </c>
      <c r="T1270" t="s">
        <v>1056</v>
      </c>
      <c r="U1270" t="s">
        <v>19</v>
      </c>
      <c r="V1270" t="s">
        <v>18</v>
      </c>
      <c r="W1270" t="s">
        <v>3127</v>
      </c>
      <c r="AC1270" t="s">
        <v>1090</v>
      </c>
      <c r="AD1270" t="s">
        <v>816</v>
      </c>
      <c r="AE1270" t="s">
        <v>18</v>
      </c>
      <c r="AF1270" t="s">
        <v>2514</v>
      </c>
    </row>
    <row r="1271" spans="1:32">
      <c r="A1271" t="s">
        <v>5637</v>
      </c>
      <c r="B1271" t="s">
        <v>1056</v>
      </c>
      <c r="C1271" t="s">
        <v>2384</v>
      </c>
      <c r="D1271" t="s">
        <v>857</v>
      </c>
      <c r="E1271" t="s">
        <v>857</v>
      </c>
      <c r="F1271" t="s">
        <v>3834</v>
      </c>
      <c r="M1271" t="s">
        <v>4763</v>
      </c>
      <c r="N1271" t="s">
        <v>1083</v>
      </c>
      <c r="O1271" t="s">
        <v>18</v>
      </c>
      <c r="P1271" t="s">
        <v>2612</v>
      </c>
      <c r="T1271" t="s">
        <v>1056</v>
      </c>
      <c r="U1271" t="s">
        <v>2384</v>
      </c>
      <c r="V1271" t="s">
        <v>857</v>
      </c>
      <c r="W1271" t="s">
        <v>857</v>
      </c>
      <c r="AC1271" t="s">
        <v>1091</v>
      </c>
      <c r="AD1271" t="s">
        <v>818</v>
      </c>
      <c r="AE1271" t="s">
        <v>18</v>
      </c>
      <c r="AF1271" t="s">
        <v>857</v>
      </c>
    </row>
    <row r="1272" spans="1:32">
      <c r="A1272" t="s">
        <v>5637</v>
      </c>
      <c r="B1272" t="s">
        <v>1056</v>
      </c>
      <c r="C1272" t="s">
        <v>2384</v>
      </c>
      <c r="D1272" t="s">
        <v>857</v>
      </c>
      <c r="E1272" t="s">
        <v>857</v>
      </c>
      <c r="F1272" t="s">
        <v>3833</v>
      </c>
      <c r="M1272" t="s">
        <v>4763</v>
      </c>
      <c r="N1272" t="s">
        <v>1083</v>
      </c>
      <c r="O1272" t="s">
        <v>18</v>
      </c>
      <c r="P1272" t="s">
        <v>2611</v>
      </c>
      <c r="T1272" t="s">
        <v>1056</v>
      </c>
      <c r="U1272" t="s">
        <v>2384</v>
      </c>
      <c r="V1272" t="s">
        <v>857</v>
      </c>
      <c r="W1272" t="s">
        <v>857</v>
      </c>
      <c r="AC1272" t="s">
        <v>1092</v>
      </c>
      <c r="AD1272" t="s">
        <v>818</v>
      </c>
      <c r="AE1272" t="s">
        <v>857</v>
      </c>
      <c r="AF1272" t="s">
        <v>2502</v>
      </c>
    </row>
    <row r="1273" spans="1:32">
      <c r="A1273" t="s">
        <v>5637</v>
      </c>
      <c r="B1273" t="s">
        <v>1056</v>
      </c>
      <c r="C1273" t="s">
        <v>2384</v>
      </c>
      <c r="D1273" t="s">
        <v>857</v>
      </c>
      <c r="E1273" t="s">
        <v>857</v>
      </c>
      <c r="F1273" t="s">
        <v>3830</v>
      </c>
      <c r="M1273" t="s">
        <v>4763</v>
      </c>
      <c r="N1273" t="s">
        <v>1083</v>
      </c>
      <c r="O1273" t="s">
        <v>18</v>
      </c>
      <c r="P1273" t="s">
        <v>2610</v>
      </c>
      <c r="T1273" t="s">
        <v>1056</v>
      </c>
      <c r="U1273" t="s">
        <v>2384</v>
      </c>
      <c r="V1273" t="s">
        <v>857</v>
      </c>
      <c r="W1273" t="s">
        <v>857</v>
      </c>
      <c r="AC1273" t="s">
        <v>1092</v>
      </c>
      <c r="AD1273" t="s">
        <v>818</v>
      </c>
      <c r="AE1273" t="s">
        <v>18</v>
      </c>
      <c r="AF1273" t="s">
        <v>857</v>
      </c>
    </row>
    <row r="1274" spans="1:32">
      <c r="A1274" t="s">
        <v>5637</v>
      </c>
      <c r="B1274" t="s">
        <v>1056</v>
      </c>
      <c r="C1274" t="s">
        <v>2384</v>
      </c>
      <c r="D1274" t="s">
        <v>857</v>
      </c>
      <c r="E1274" t="s">
        <v>857</v>
      </c>
      <c r="F1274" t="s">
        <v>3829</v>
      </c>
      <c r="M1274" t="s">
        <v>4763</v>
      </c>
      <c r="N1274" t="s">
        <v>1083</v>
      </c>
      <c r="O1274" t="s">
        <v>18</v>
      </c>
      <c r="P1274" t="s">
        <v>2609</v>
      </c>
      <c r="T1274" t="s">
        <v>1056</v>
      </c>
      <c r="U1274" t="s">
        <v>2384</v>
      </c>
      <c r="V1274" t="s">
        <v>857</v>
      </c>
      <c r="W1274" t="s">
        <v>857</v>
      </c>
      <c r="AC1274" t="s">
        <v>1092</v>
      </c>
      <c r="AD1274" t="s">
        <v>818</v>
      </c>
      <c r="AE1274" t="s">
        <v>18</v>
      </c>
      <c r="AF1274" t="s">
        <v>2502</v>
      </c>
    </row>
    <row r="1275" spans="1:32">
      <c r="A1275" t="s">
        <v>6560</v>
      </c>
      <c r="B1275" t="s">
        <v>1056</v>
      </c>
      <c r="C1275" t="s">
        <v>2384</v>
      </c>
      <c r="D1275" t="s">
        <v>3138</v>
      </c>
      <c r="E1275" t="s">
        <v>857</v>
      </c>
      <c r="F1275" t="s">
        <v>4117</v>
      </c>
      <c r="M1275" t="s">
        <v>4763</v>
      </c>
      <c r="N1275" t="s">
        <v>1083</v>
      </c>
      <c r="O1275" t="s">
        <v>18</v>
      </c>
      <c r="P1275" t="s">
        <v>2608</v>
      </c>
      <c r="T1275" t="s">
        <v>1056</v>
      </c>
      <c r="U1275" t="s">
        <v>2384</v>
      </c>
      <c r="V1275" t="s">
        <v>857</v>
      </c>
      <c r="W1275" t="s">
        <v>3138</v>
      </c>
      <c r="AC1275" t="s">
        <v>1092</v>
      </c>
      <c r="AD1275" t="s">
        <v>818</v>
      </c>
      <c r="AE1275" t="s">
        <v>18</v>
      </c>
      <c r="AF1275" t="s">
        <v>2366</v>
      </c>
    </row>
    <row r="1276" spans="1:32">
      <c r="A1276" t="s">
        <v>5638</v>
      </c>
      <c r="B1276" t="s">
        <v>1056</v>
      </c>
      <c r="C1276" t="s">
        <v>2384</v>
      </c>
      <c r="D1276" t="s">
        <v>3136</v>
      </c>
      <c r="E1276" t="s">
        <v>857</v>
      </c>
      <c r="F1276" t="s">
        <v>3959</v>
      </c>
      <c r="M1276" t="s">
        <v>4763</v>
      </c>
      <c r="N1276" t="s">
        <v>1083</v>
      </c>
      <c r="O1276" t="s">
        <v>18</v>
      </c>
      <c r="P1276" t="s">
        <v>2606</v>
      </c>
      <c r="T1276" t="s">
        <v>1056</v>
      </c>
      <c r="U1276" t="s">
        <v>2384</v>
      </c>
      <c r="V1276" t="s">
        <v>857</v>
      </c>
      <c r="W1276" t="s">
        <v>3136</v>
      </c>
      <c r="AC1276" t="s">
        <v>1092</v>
      </c>
      <c r="AD1276" t="s">
        <v>19</v>
      </c>
      <c r="AE1276" t="s">
        <v>18</v>
      </c>
      <c r="AF1276" t="s">
        <v>857</v>
      </c>
    </row>
    <row r="1277" spans="1:32">
      <c r="A1277" t="s">
        <v>5639</v>
      </c>
      <c r="B1277" t="s">
        <v>1056</v>
      </c>
      <c r="C1277" t="s">
        <v>2384</v>
      </c>
      <c r="D1277" t="s">
        <v>3136</v>
      </c>
      <c r="E1277" t="s">
        <v>18</v>
      </c>
      <c r="F1277" t="s">
        <v>3142</v>
      </c>
      <c r="M1277" t="s">
        <v>4821</v>
      </c>
      <c r="N1277" t="s">
        <v>1084</v>
      </c>
      <c r="O1277" t="s">
        <v>18</v>
      </c>
      <c r="P1277" t="s">
        <v>2593</v>
      </c>
      <c r="T1277" t="s">
        <v>1056</v>
      </c>
      <c r="U1277" t="s">
        <v>2384</v>
      </c>
      <c r="V1277" t="s">
        <v>18</v>
      </c>
      <c r="W1277" t="s">
        <v>3136</v>
      </c>
      <c r="AC1277" t="s">
        <v>1092</v>
      </c>
      <c r="AD1277" t="s">
        <v>19</v>
      </c>
      <c r="AE1277" t="s">
        <v>18</v>
      </c>
      <c r="AF1277" t="s">
        <v>2499</v>
      </c>
    </row>
    <row r="1278" spans="1:32">
      <c r="A1278" t="s">
        <v>5641</v>
      </c>
      <c r="B1278" t="s">
        <v>1056</v>
      </c>
      <c r="C1278" t="s">
        <v>2416</v>
      </c>
      <c r="D1278" t="s">
        <v>857</v>
      </c>
      <c r="E1278" t="s">
        <v>18</v>
      </c>
      <c r="F1278" t="s">
        <v>3145</v>
      </c>
      <c r="M1278" t="s">
        <v>4821</v>
      </c>
      <c r="N1278" t="s">
        <v>1084</v>
      </c>
      <c r="O1278" t="s">
        <v>18</v>
      </c>
      <c r="P1278" t="s">
        <v>2592</v>
      </c>
      <c r="T1278" t="s">
        <v>1056</v>
      </c>
      <c r="U1278" t="s">
        <v>2416</v>
      </c>
      <c r="V1278" t="s">
        <v>18</v>
      </c>
      <c r="W1278" t="s">
        <v>857</v>
      </c>
      <c r="AC1278" t="s">
        <v>1092</v>
      </c>
      <c r="AD1278" t="s">
        <v>816</v>
      </c>
      <c r="AE1278" t="s">
        <v>857</v>
      </c>
      <c r="AF1278" t="s">
        <v>857</v>
      </c>
    </row>
    <row r="1279" spans="1:32">
      <c r="A1279" t="s">
        <v>5642</v>
      </c>
      <c r="B1279" t="s">
        <v>1056</v>
      </c>
      <c r="C1279" t="s">
        <v>2416</v>
      </c>
      <c r="D1279" t="s">
        <v>3125</v>
      </c>
      <c r="E1279" t="s">
        <v>18</v>
      </c>
      <c r="F1279" t="s">
        <v>3126</v>
      </c>
      <c r="M1279" t="s">
        <v>4821</v>
      </c>
      <c r="N1279" t="s">
        <v>1084</v>
      </c>
      <c r="O1279" t="s">
        <v>18</v>
      </c>
      <c r="P1279" t="s">
        <v>2591</v>
      </c>
      <c r="T1279" t="s">
        <v>1056</v>
      </c>
      <c r="U1279" t="s">
        <v>2416</v>
      </c>
      <c r="V1279" t="s">
        <v>18</v>
      </c>
      <c r="W1279" t="s">
        <v>3125</v>
      </c>
      <c r="AC1279" t="s">
        <v>1092</v>
      </c>
      <c r="AD1279" t="s">
        <v>816</v>
      </c>
      <c r="AE1279" t="s">
        <v>857</v>
      </c>
      <c r="AF1279" t="s">
        <v>2495</v>
      </c>
    </row>
    <row r="1280" spans="1:32">
      <c r="A1280" t="s">
        <v>5645</v>
      </c>
      <c r="B1280" t="s">
        <v>1056</v>
      </c>
      <c r="C1280" t="s">
        <v>816</v>
      </c>
      <c r="D1280" t="s">
        <v>857</v>
      </c>
      <c r="E1280" t="s">
        <v>857</v>
      </c>
      <c r="F1280" t="s">
        <v>3882</v>
      </c>
      <c r="M1280" t="s">
        <v>4821</v>
      </c>
      <c r="N1280" t="s">
        <v>1084</v>
      </c>
      <c r="O1280" t="s">
        <v>18</v>
      </c>
      <c r="P1280" t="s">
        <v>2590</v>
      </c>
      <c r="T1280" t="s">
        <v>1056</v>
      </c>
      <c r="U1280" t="s">
        <v>816</v>
      </c>
      <c r="V1280" t="s">
        <v>857</v>
      </c>
      <c r="W1280" t="s">
        <v>857</v>
      </c>
      <c r="AC1280" t="s">
        <v>1092</v>
      </c>
      <c r="AD1280" t="s">
        <v>816</v>
      </c>
      <c r="AE1280" t="s">
        <v>18</v>
      </c>
      <c r="AF1280" t="s">
        <v>857</v>
      </c>
    </row>
    <row r="1281" spans="1:32">
      <c r="A1281" t="s">
        <v>5646</v>
      </c>
      <c r="B1281" t="s">
        <v>1056</v>
      </c>
      <c r="C1281" t="s">
        <v>816</v>
      </c>
      <c r="D1281" t="s">
        <v>857</v>
      </c>
      <c r="E1281" t="s">
        <v>18</v>
      </c>
      <c r="F1281" t="s">
        <v>3151</v>
      </c>
      <c r="M1281" t="s">
        <v>4821</v>
      </c>
      <c r="N1281" t="s">
        <v>1084</v>
      </c>
      <c r="O1281" t="s">
        <v>18</v>
      </c>
      <c r="P1281" t="s">
        <v>2589</v>
      </c>
      <c r="T1281" t="s">
        <v>1056</v>
      </c>
      <c r="U1281" t="s">
        <v>816</v>
      </c>
      <c r="V1281" t="s">
        <v>18</v>
      </c>
      <c r="W1281" t="s">
        <v>857</v>
      </c>
      <c r="AC1281" t="s">
        <v>1092</v>
      </c>
      <c r="AD1281" t="s">
        <v>816</v>
      </c>
      <c r="AE1281" t="s">
        <v>18</v>
      </c>
      <c r="AF1281" t="s">
        <v>2497</v>
      </c>
    </row>
    <row r="1282" spans="1:32">
      <c r="A1282" t="s">
        <v>5646</v>
      </c>
      <c r="B1282" t="s">
        <v>1056</v>
      </c>
      <c r="C1282" t="s">
        <v>816</v>
      </c>
      <c r="D1282" t="s">
        <v>857</v>
      </c>
      <c r="E1282" t="s">
        <v>18</v>
      </c>
      <c r="F1282" t="s">
        <v>3147</v>
      </c>
      <c r="M1282" t="s">
        <v>4821</v>
      </c>
      <c r="N1282" t="s">
        <v>1084</v>
      </c>
      <c r="O1282" t="s">
        <v>18</v>
      </c>
      <c r="P1282" t="s">
        <v>2588</v>
      </c>
      <c r="T1282" t="s">
        <v>1056</v>
      </c>
      <c r="U1282" t="s">
        <v>816</v>
      </c>
      <c r="V1282" t="s">
        <v>18</v>
      </c>
      <c r="W1282" t="s">
        <v>857</v>
      </c>
      <c r="AC1282" t="s">
        <v>1092</v>
      </c>
      <c r="AD1282" t="s">
        <v>816</v>
      </c>
      <c r="AE1282" t="s">
        <v>18</v>
      </c>
      <c r="AF1282" t="s">
        <v>2495</v>
      </c>
    </row>
    <row r="1283" spans="1:32">
      <c r="A1283" t="s">
        <v>5647</v>
      </c>
      <c r="B1283" t="s">
        <v>1056</v>
      </c>
      <c r="C1283" t="s">
        <v>816</v>
      </c>
      <c r="D1283" t="s">
        <v>3123</v>
      </c>
      <c r="E1283" t="s">
        <v>18</v>
      </c>
      <c r="F1283" t="s">
        <v>3124</v>
      </c>
      <c r="M1283" t="s">
        <v>4821</v>
      </c>
      <c r="N1283" t="s">
        <v>1084</v>
      </c>
      <c r="O1283" t="s">
        <v>18</v>
      </c>
      <c r="P1283" t="s">
        <v>2587</v>
      </c>
      <c r="T1283" t="s">
        <v>1056</v>
      </c>
      <c r="U1283" t="s">
        <v>816</v>
      </c>
      <c r="V1283" t="s">
        <v>18</v>
      </c>
      <c r="W1283" t="s">
        <v>3123</v>
      </c>
      <c r="AC1283" t="s">
        <v>3754</v>
      </c>
      <c r="AD1283" t="s">
        <v>19</v>
      </c>
      <c r="AE1283" t="s">
        <v>857</v>
      </c>
      <c r="AF1283" t="s">
        <v>857</v>
      </c>
    </row>
    <row r="1284" spans="1:32">
      <c r="A1284" t="s">
        <v>5648</v>
      </c>
      <c r="B1284" t="s">
        <v>1056</v>
      </c>
      <c r="C1284" t="s">
        <v>816</v>
      </c>
      <c r="D1284" t="s">
        <v>3121</v>
      </c>
      <c r="E1284" t="s">
        <v>18</v>
      </c>
      <c r="F1284" t="s">
        <v>3122</v>
      </c>
      <c r="M1284" t="s">
        <v>4764</v>
      </c>
      <c r="N1284" t="s">
        <v>1085</v>
      </c>
      <c r="O1284" t="s">
        <v>53</v>
      </c>
      <c r="P1284" t="s">
        <v>2641</v>
      </c>
      <c r="T1284" t="s">
        <v>1056</v>
      </c>
      <c r="U1284" t="s">
        <v>816</v>
      </c>
      <c r="V1284" t="s">
        <v>18</v>
      </c>
      <c r="W1284" t="s">
        <v>3121</v>
      </c>
      <c r="AC1284" t="s">
        <v>1093</v>
      </c>
      <c r="AD1284" t="s">
        <v>818</v>
      </c>
      <c r="AE1284" t="s">
        <v>857</v>
      </c>
      <c r="AF1284" t="s">
        <v>857</v>
      </c>
    </row>
    <row r="1285" spans="1:32">
      <c r="A1285" t="s">
        <v>5649</v>
      </c>
      <c r="B1285" t="s">
        <v>1056</v>
      </c>
      <c r="C1285" t="s">
        <v>816</v>
      </c>
      <c r="D1285" t="s">
        <v>3125</v>
      </c>
      <c r="E1285" t="s">
        <v>857</v>
      </c>
      <c r="F1285" t="s">
        <v>3980</v>
      </c>
      <c r="M1285" t="s">
        <v>4764</v>
      </c>
      <c r="N1285" t="s">
        <v>1085</v>
      </c>
      <c r="O1285" t="s">
        <v>53</v>
      </c>
      <c r="P1285" t="s">
        <v>2640</v>
      </c>
      <c r="T1285" t="s">
        <v>1056</v>
      </c>
      <c r="U1285" t="s">
        <v>816</v>
      </c>
      <c r="V1285" t="s">
        <v>857</v>
      </c>
      <c r="W1285" t="s">
        <v>3125</v>
      </c>
      <c r="AC1285" t="s">
        <v>1093</v>
      </c>
      <c r="AD1285" t="s">
        <v>818</v>
      </c>
      <c r="AE1285" t="s">
        <v>857</v>
      </c>
      <c r="AF1285" t="s">
        <v>2485</v>
      </c>
    </row>
    <row r="1286" spans="1:32">
      <c r="A1286" t="s">
        <v>5650</v>
      </c>
      <c r="B1286" t="s">
        <v>1056</v>
      </c>
      <c r="C1286" t="s">
        <v>816</v>
      </c>
      <c r="D1286" t="s">
        <v>3119</v>
      </c>
      <c r="E1286" t="s">
        <v>18</v>
      </c>
      <c r="F1286" t="s">
        <v>3120</v>
      </c>
      <c r="M1286" t="s">
        <v>4764</v>
      </c>
      <c r="N1286" t="s">
        <v>1085</v>
      </c>
      <c r="O1286" t="s">
        <v>53</v>
      </c>
      <c r="P1286" t="s">
        <v>2639</v>
      </c>
      <c r="T1286" t="s">
        <v>1056</v>
      </c>
      <c r="U1286" t="s">
        <v>816</v>
      </c>
      <c r="V1286" t="s">
        <v>18</v>
      </c>
      <c r="W1286" t="s">
        <v>3119</v>
      </c>
      <c r="AC1286" t="s">
        <v>1093</v>
      </c>
      <c r="AD1286" t="s">
        <v>818</v>
      </c>
      <c r="AE1286" t="s">
        <v>18</v>
      </c>
      <c r="AF1286" t="s">
        <v>857</v>
      </c>
    </row>
    <row r="1287" spans="1:32">
      <c r="A1287" t="s">
        <v>5652</v>
      </c>
      <c r="B1287" t="s">
        <v>3281</v>
      </c>
      <c r="C1287" t="s">
        <v>818</v>
      </c>
      <c r="D1287" t="s">
        <v>857</v>
      </c>
      <c r="E1287" t="s">
        <v>53</v>
      </c>
      <c r="F1287" t="s">
        <v>3283</v>
      </c>
      <c r="M1287" t="s">
        <v>4764</v>
      </c>
      <c r="N1287" t="s">
        <v>1085</v>
      </c>
      <c r="O1287" t="s">
        <v>53</v>
      </c>
      <c r="P1287" t="s">
        <v>2638</v>
      </c>
      <c r="T1287" t="s">
        <v>3281</v>
      </c>
      <c r="U1287" t="s">
        <v>818</v>
      </c>
      <c r="V1287" t="s">
        <v>53</v>
      </c>
      <c r="W1287" t="s">
        <v>857</v>
      </c>
      <c r="AC1287" t="s">
        <v>1093</v>
      </c>
      <c r="AD1287" t="s">
        <v>818</v>
      </c>
      <c r="AE1287" t="s">
        <v>18</v>
      </c>
      <c r="AF1287" t="s">
        <v>2487</v>
      </c>
    </row>
    <row r="1288" spans="1:32">
      <c r="A1288" t="s">
        <v>5653</v>
      </c>
      <c r="B1288" t="s">
        <v>3281</v>
      </c>
      <c r="C1288" t="s">
        <v>818</v>
      </c>
      <c r="D1288" t="s">
        <v>857</v>
      </c>
      <c r="E1288" t="s">
        <v>18</v>
      </c>
      <c r="F1288" t="s">
        <v>3285</v>
      </c>
      <c r="M1288" t="s">
        <v>4764</v>
      </c>
      <c r="N1288" t="s">
        <v>1085</v>
      </c>
      <c r="O1288" t="s">
        <v>53</v>
      </c>
      <c r="P1288" t="s">
        <v>2637</v>
      </c>
      <c r="T1288" t="s">
        <v>3281</v>
      </c>
      <c r="U1288" t="s">
        <v>818</v>
      </c>
      <c r="V1288" t="s">
        <v>18</v>
      </c>
      <c r="W1288" t="s">
        <v>857</v>
      </c>
      <c r="AC1288" t="s">
        <v>1093</v>
      </c>
      <c r="AD1288" t="s">
        <v>818</v>
      </c>
      <c r="AE1288" t="s">
        <v>18</v>
      </c>
      <c r="AF1288" t="s">
        <v>2485</v>
      </c>
    </row>
    <row r="1289" spans="1:32">
      <c r="A1289" t="s">
        <v>5655</v>
      </c>
      <c r="B1289" t="s">
        <v>3281</v>
      </c>
      <c r="C1289" t="s">
        <v>818</v>
      </c>
      <c r="D1289" t="s">
        <v>3280</v>
      </c>
      <c r="E1289" t="s">
        <v>53</v>
      </c>
      <c r="F1289" t="s">
        <v>3282</v>
      </c>
      <c r="M1289" t="s">
        <v>4764</v>
      </c>
      <c r="N1289" t="s">
        <v>1085</v>
      </c>
      <c r="O1289" t="s">
        <v>53</v>
      </c>
      <c r="P1289" t="s">
        <v>2635</v>
      </c>
      <c r="T1289" t="s">
        <v>3281</v>
      </c>
      <c r="U1289" t="s">
        <v>818</v>
      </c>
      <c r="V1289" t="s">
        <v>53</v>
      </c>
      <c r="W1289" t="s">
        <v>3280</v>
      </c>
      <c r="AC1289" t="s">
        <v>1093</v>
      </c>
      <c r="AD1289" t="s">
        <v>19</v>
      </c>
      <c r="AE1289" t="s">
        <v>857</v>
      </c>
      <c r="AF1289" t="s">
        <v>857</v>
      </c>
    </row>
    <row r="1290" spans="1:32">
      <c r="A1290" t="s">
        <v>5656</v>
      </c>
      <c r="B1290" t="s">
        <v>3281</v>
      </c>
      <c r="C1290" t="s">
        <v>816</v>
      </c>
      <c r="D1290" t="s">
        <v>857</v>
      </c>
      <c r="E1290" t="s">
        <v>18</v>
      </c>
      <c r="F1290" t="s">
        <v>3284</v>
      </c>
      <c r="M1290" t="s">
        <v>4764</v>
      </c>
      <c r="N1290" t="s">
        <v>1085</v>
      </c>
      <c r="O1290" t="s">
        <v>53</v>
      </c>
      <c r="P1290" t="s">
        <v>2634</v>
      </c>
      <c r="T1290" t="s">
        <v>3281</v>
      </c>
      <c r="U1290" t="s">
        <v>816</v>
      </c>
      <c r="V1290" t="s">
        <v>18</v>
      </c>
      <c r="W1290" t="s">
        <v>857</v>
      </c>
      <c r="AC1290" t="s">
        <v>1093</v>
      </c>
      <c r="AD1290" t="s">
        <v>19</v>
      </c>
      <c r="AE1290" t="s">
        <v>18</v>
      </c>
      <c r="AF1290" t="s">
        <v>857</v>
      </c>
    </row>
    <row r="1291" spans="1:32">
      <c r="A1291" t="s">
        <v>5658</v>
      </c>
      <c r="B1291" t="s">
        <v>3281</v>
      </c>
      <c r="C1291" t="s">
        <v>816</v>
      </c>
      <c r="D1291" t="s">
        <v>3280</v>
      </c>
      <c r="E1291" t="s">
        <v>53</v>
      </c>
      <c r="F1291" t="s">
        <v>3286</v>
      </c>
      <c r="M1291" t="s">
        <v>4764</v>
      </c>
      <c r="N1291" t="s">
        <v>1085</v>
      </c>
      <c r="O1291" t="s">
        <v>53</v>
      </c>
      <c r="P1291" t="s">
        <v>2633</v>
      </c>
      <c r="T1291" t="s">
        <v>3281</v>
      </c>
      <c r="U1291" t="s">
        <v>816</v>
      </c>
      <c r="V1291" t="s">
        <v>53</v>
      </c>
      <c r="W1291" t="s">
        <v>3280</v>
      </c>
      <c r="AC1291" t="s">
        <v>1093</v>
      </c>
      <c r="AD1291" t="s">
        <v>19</v>
      </c>
      <c r="AE1291" t="s">
        <v>18</v>
      </c>
      <c r="AF1291" t="s">
        <v>2478</v>
      </c>
    </row>
    <row r="1292" spans="1:32">
      <c r="A1292" t="s">
        <v>5659</v>
      </c>
      <c r="B1292" t="s">
        <v>2856</v>
      </c>
      <c r="C1292" t="s">
        <v>818</v>
      </c>
      <c r="D1292" t="s">
        <v>857</v>
      </c>
      <c r="E1292" t="s">
        <v>18</v>
      </c>
      <c r="F1292" t="s">
        <v>3181</v>
      </c>
      <c r="M1292" t="s">
        <v>4764</v>
      </c>
      <c r="N1292" t="s">
        <v>1085</v>
      </c>
      <c r="O1292" t="s">
        <v>53</v>
      </c>
      <c r="P1292" t="s">
        <v>2632</v>
      </c>
      <c r="T1292" t="s">
        <v>2856</v>
      </c>
      <c r="U1292" t="s">
        <v>818</v>
      </c>
      <c r="V1292" t="s">
        <v>18</v>
      </c>
      <c r="W1292" t="s">
        <v>857</v>
      </c>
      <c r="AC1292" t="s">
        <v>1093</v>
      </c>
      <c r="AD1292" t="s">
        <v>2416</v>
      </c>
      <c r="AE1292" t="s">
        <v>18</v>
      </c>
      <c r="AF1292" t="s">
        <v>2480</v>
      </c>
    </row>
    <row r="1293" spans="1:32">
      <c r="A1293" t="s">
        <v>5659</v>
      </c>
      <c r="B1293" t="s">
        <v>2856</v>
      </c>
      <c r="C1293" t="s">
        <v>818</v>
      </c>
      <c r="D1293" t="s">
        <v>857</v>
      </c>
      <c r="E1293" t="s">
        <v>18</v>
      </c>
      <c r="F1293" t="s">
        <v>2862</v>
      </c>
      <c r="M1293" t="s">
        <v>4764</v>
      </c>
      <c r="N1293" t="s">
        <v>1085</v>
      </c>
      <c r="O1293" t="s">
        <v>53</v>
      </c>
      <c r="P1293" t="s">
        <v>2630</v>
      </c>
      <c r="T1293" t="s">
        <v>2856</v>
      </c>
      <c r="U1293" t="s">
        <v>818</v>
      </c>
      <c r="V1293" t="s">
        <v>18</v>
      </c>
      <c r="W1293" t="s">
        <v>857</v>
      </c>
      <c r="AC1293" t="s">
        <v>1093</v>
      </c>
      <c r="AD1293" t="s">
        <v>816</v>
      </c>
      <c r="AE1293" t="s">
        <v>857</v>
      </c>
      <c r="AF1293" t="s">
        <v>857</v>
      </c>
    </row>
    <row r="1294" spans="1:32">
      <c r="A1294" t="s">
        <v>5661</v>
      </c>
      <c r="B1294" t="s">
        <v>2856</v>
      </c>
      <c r="C1294" t="s">
        <v>19</v>
      </c>
      <c r="D1294" t="s">
        <v>857</v>
      </c>
      <c r="E1294" t="s">
        <v>18</v>
      </c>
      <c r="F1294" t="s">
        <v>2974</v>
      </c>
      <c r="M1294" t="s">
        <v>4765</v>
      </c>
      <c r="N1294" t="s">
        <v>1085</v>
      </c>
      <c r="O1294" t="s">
        <v>18</v>
      </c>
      <c r="P1294" t="s">
        <v>2646</v>
      </c>
      <c r="T1294" t="s">
        <v>2856</v>
      </c>
      <c r="U1294" t="s">
        <v>19</v>
      </c>
      <c r="V1294" t="s">
        <v>18</v>
      </c>
      <c r="W1294" t="s">
        <v>857</v>
      </c>
      <c r="AC1294" t="s">
        <v>1093</v>
      </c>
      <c r="AD1294" t="s">
        <v>816</v>
      </c>
      <c r="AE1294" t="s">
        <v>857</v>
      </c>
      <c r="AF1294" t="s">
        <v>2482</v>
      </c>
    </row>
    <row r="1295" spans="1:32">
      <c r="A1295" t="s">
        <v>5661</v>
      </c>
      <c r="B1295" t="s">
        <v>2856</v>
      </c>
      <c r="C1295" t="s">
        <v>19</v>
      </c>
      <c r="D1295" t="s">
        <v>857</v>
      </c>
      <c r="E1295" t="s">
        <v>18</v>
      </c>
      <c r="F1295" t="s">
        <v>2861</v>
      </c>
      <c r="M1295" t="s">
        <v>4765</v>
      </c>
      <c r="N1295" t="s">
        <v>1085</v>
      </c>
      <c r="O1295" t="s">
        <v>18</v>
      </c>
      <c r="P1295" t="s">
        <v>2645</v>
      </c>
      <c r="T1295" t="s">
        <v>2856</v>
      </c>
      <c r="U1295" t="s">
        <v>19</v>
      </c>
      <c r="V1295" t="s">
        <v>18</v>
      </c>
      <c r="W1295" t="s">
        <v>857</v>
      </c>
      <c r="AC1295" t="s">
        <v>1093</v>
      </c>
      <c r="AD1295" t="s">
        <v>816</v>
      </c>
      <c r="AE1295" t="s">
        <v>18</v>
      </c>
      <c r="AF1295" t="s">
        <v>857</v>
      </c>
    </row>
    <row r="1296" spans="1:32">
      <c r="A1296" t="s">
        <v>5661</v>
      </c>
      <c r="B1296" t="s">
        <v>2856</v>
      </c>
      <c r="C1296" t="s">
        <v>19</v>
      </c>
      <c r="D1296" t="s">
        <v>857</v>
      </c>
      <c r="E1296" t="s">
        <v>18</v>
      </c>
      <c r="F1296" t="s">
        <v>2859</v>
      </c>
      <c r="M1296" t="s">
        <v>4765</v>
      </c>
      <c r="N1296" t="s">
        <v>1085</v>
      </c>
      <c r="O1296" t="s">
        <v>18</v>
      </c>
      <c r="P1296" t="s">
        <v>2644</v>
      </c>
      <c r="T1296" t="s">
        <v>2856</v>
      </c>
      <c r="U1296" t="s">
        <v>19</v>
      </c>
      <c r="V1296" t="s">
        <v>18</v>
      </c>
      <c r="W1296" t="s">
        <v>857</v>
      </c>
      <c r="AC1296" t="s">
        <v>1093</v>
      </c>
      <c r="AD1296" t="s">
        <v>816</v>
      </c>
      <c r="AE1296" t="s">
        <v>18</v>
      </c>
      <c r="AF1296" t="s">
        <v>2476</v>
      </c>
    </row>
    <row r="1297" spans="1:32">
      <c r="A1297" t="s">
        <v>5662</v>
      </c>
      <c r="B1297" t="s">
        <v>2856</v>
      </c>
      <c r="C1297" t="s">
        <v>19</v>
      </c>
      <c r="D1297" t="s">
        <v>2366</v>
      </c>
      <c r="E1297" t="s">
        <v>857</v>
      </c>
      <c r="F1297" t="s">
        <v>4176</v>
      </c>
      <c r="M1297" t="s">
        <v>4765</v>
      </c>
      <c r="N1297" t="s">
        <v>1085</v>
      </c>
      <c r="O1297" t="s">
        <v>18</v>
      </c>
      <c r="P1297" t="s">
        <v>2643</v>
      </c>
      <c r="T1297" t="s">
        <v>2856</v>
      </c>
      <c r="U1297" t="s">
        <v>19</v>
      </c>
      <c r="V1297" t="s">
        <v>857</v>
      </c>
      <c r="W1297" t="s">
        <v>2366</v>
      </c>
      <c r="AC1297" t="s">
        <v>1093</v>
      </c>
      <c r="AD1297" t="s">
        <v>816</v>
      </c>
      <c r="AE1297" t="s">
        <v>18</v>
      </c>
      <c r="AF1297" t="s">
        <v>2482</v>
      </c>
    </row>
    <row r="1298" spans="1:32">
      <c r="A1298" t="s">
        <v>5663</v>
      </c>
      <c r="B1298" t="s">
        <v>2856</v>
      </c>
      <c r="C1298" t="s">
        <v>19</v>
      </c>
      <c r="D1298" t="s">
        <v>2366</v>
      </c>
      <c r="E1298" t="s">
        <v>18</v>
      </c>
      <c r="F1298" t="s">
        <v>2857</v>
      </c>
      <c r="M1298" t="s">
        <v>4765</v>
      </c>
      <c r="N1298" t="s">
        <v>1085</v>
      </c>
      <c r="O1298" t="s">
        <v>18</v>
      </c>
      <c r="P1298" t="s">
        <v>2642</v>
      </c>
      <c r="T1298" t="s">
        <v>2856</v>
      </c>
      <c r="U1298" t="s">
        <v>19</v>
      </c>
      <c r="V1298" t="s">
        <v>18</v>
      </c>
      <c r="W1298" t="s">
        <v>2366</v>
      </c>
      <c r="AC1298" t="s">
        <v>2912</v>
      </c>
      <c r="AD1298" t="s">
        <v>818</v>
      </c>
      <c r="AE1298" t="s">
        <v>53</v>
      </c>
      <c r="AF1298" t="s">
        <v>2916</v>
      </c>
    </row>
    <row r="1299" spans="1:32">
      <c r="A1299" t="s">
        <v>5666</v>
      </c>
      <c r="B1299" t="s">
        <v>2856</v>
      </c>
      <c r="C1299" t="s">
        <v>2384</v>
      </c>
      <c r="D1299" t="s">
        <v>2366</v>
      </c>
      <c r="E1299" t="s">
        <v>857</v>
      </c>
      <c r="F1299" t="s">
        <v>4083</v>
      </c>
      <c r="M1299" t="s">
        <v>4766</v>
      </c>
      <c r="N1299" t="s">
        <v>1086</v>
      </c>
      <c r="O1299" t="s">
        <v>18</v>
      </c>
      <c r="P1299" t="s">
        <v>2576</v>
      </c>
      <c r="T1299" t="s">
        <v>2856</v>
      </c>
      <c r="U1299" t="s">
        <v>2384</v>
      </c>
      <c r="V1299" t="s">
        <v>857</v>
      </c>
      <c r="W1299" t="s">
        <v>2366</v>
      </c>
      <c r="AC1299" t="s">
        <v>2912</v>
      </c>
      <c r="AD1299" t="s">
        <v>818</v>
      </c>
      <c r="AE1299" t="s">
        <v>53</v>
      </c>
      <c r="AF1299" t="s">
        <v>2914</v>
      </c>
    </row>
    <row r="1300" spans="1:32">
      <c r="A1300" t="s">
        <v>5667</v>
      </c>
      <c r="B1300" t="s">
        <v>2856</v>
      </c>
      <c r="C1300" t="s">
        <v>2384</v>
      </c>
      <c r="D1300" t="s">
        <v>2366</v>
      </c>
      <c r="E1300" t="s">
        <v>18</v>
      </c>
      <c r="F1300" t="s">
        <v>2858</v>
      </c>
      <c r="M1300" t="s">
        <v>4766</v>
      </c>
      <c r="N1300" t="s">
        <v>1086</v>
      </c>
      <c r="O1300" t="s">
        <v>18</v>
      </c>
      <c r="P1300" t="s">
        <v>2575</v>
      </c>
      <c r="T1300" t="s">
        <v>2856</v>
      </c>
      <c r="U1300" t="s">
        <v>2384</v>
      </c>
      <c r="V1300" t="s">
        <v>18</v>
      </c>
      <c r="W1300" t="s">
        <v>2366</v>
      </c>
      <c r="AC1300" t="s">
        <v>2912</v>
      </c>
      <c r="AD1300" t="s">
        <v>818</v>
      </c>
      <c r="AE1300" t="s">
        <v>53</v>
      </c>
      <c r="AF1300" t="s">
        <v>2911</v>
      </c>
    </row>
    <row r="1301" spans="1:32">
      <c r="A1301" t="s">
        <v>5669</v>
      </c>
      <c r="B1301" t="s">
        <v>2856</v>
      </c>
      <c r="C1301" t="s">
        <v>816</v>
      </c>
      <c r="D1301" t="s">
        <v>857</v>
      </c>
      <c r="E1301" t="s">
        <v>18</v>
      </c>
      <c r="F1301" t="s">
        <v>3180</v>
      </c>
      <c r="M1301" t="s">
        <v>4766</v>
      </c>
      <c r="N1301" t="s">
        <v>1086</v>
      </c>
      <c r="O1301" t="s">
        <v>18</v>
      </c>
      <c r="P1301" t="s">
        <v>2573</v>
      </c>
      <c r="T1301" t="s">
        <v>2856</v>
      </c>
      <c r="U1301" t="s">
        <v>816</v>
      </c>
      <c r="V1301" t="s">
        <v>18</v>
      </c>
      <c r="W1301" t="s">
        <v>857</v>
      </c>
      <c r="AC1301" t="s">
        <v>2912</v>
      </c>
      <c r="AD1301" t="s">
        <v>818</v>
      </c>
      <c r="AE1301" t="s">
        <v>18</v>
      </c>
      <c r="AF1301" t="s">
        <v>857</v>
      </c>
    </row>
    <row r="1302" spans="1:32">
      <c r="A1302" t="s">
        <v>5669</v>
      </c>
      <c r="B1302" t="s">
        <v>2856</v>
      </c>
      <c r="C1302" t="s">
        <v>816</v>
      </c>
      <c r="D1302" t="s">
        <v>857</v>
      </c>
      <c r="E1302" t="s">
        <v>18</v>
      </c>
      <c r="F1302" t="s">
        <v>2860</v>
      </c>
      <c r="M1302" t="s">
        <v>4766</v>
      </c>
      <c r="N1302" t="s">
        <v>1086</v>
      </c>
      <c r="O1302" t="s">
        <v>18</v>
      </c>
      <c r="P1302" t="s">
        <v>2571</v>
      </c>
      <c r="T1302" t="s">
        <v>2856</v>
      </c>
      <c r="U1302" t="s">
        <v>816</v>
      </c>
      <c r="V1302" t="s">
        <v>18</v>
      </c>
      <c r="W1302" t="s">
        <v>857</v>
      </c>
      <c r="AC1302" t="s">
        <v>2912</v>
      </c>
      <c r="AD1302" t="s">
        <v>2384</v>
      </c>
      <c r="AE1302" t="s">
        <v>53</v>
      </c>
      <c r="AF1302" t="s">
        <v>2793</v>
      </c>
    </row>
    <row r="1303" spans="1:32">
      <c r="A1303" t="s">
        <v>5671</v>
      </c>
      <c r="B1303" t="s">
        <v>1057</v>
      </c>
      <c r="C1303" t="s">
        <v>818</v>
      </c>
      <c r="D1303" t="s">
        <v>857</v>
      </c>
      <c r="E1303" t="s">
        <v>857</v>
      </c>
      <c r="F1303" t="s">
        <v>3925</v>
      </c>
      <c r="M1303" t="s">
        <v>4767</v>
      </c>
      <c r="N1303" t="s">
        <v>1087</v>
      </c>
      <c r="O1303" t="s">
        <v>18</v>
      </c>
      <c r="P1303" t="s">
        <v>2569</v>
      </c>
      <c r="T1303" t="s">
        <v>1057</v>
      </c>
      <c r="U1303" t="s">
        <v>818</v>
      </c>
      <c r="V1303" t="s">
        <v>857</v>
      </c>
      <c r="W1303" t="s">
        <v>857</v>
      </c>
      <c r="AC1303" t="s">
        <v>2864</v>
      </c>
      <c r="AD1303" t="s">
        <v>2384</v>
      </c>
      <c r="AE1303" t="s">
        <v>18</v>
      </c>
      <c r="AF1303" t="s">
        <v>2863</v>
      </c>
    </row>
    <row r="1304" spans="1:32">
      <c r="A1304" t="s">
        <v>5672</v>
      </c>
      <c r="B1304" t="s">
        <v>1057</v>
      </c>
      <c r="C1304" t="s">
        <v>818</v>
      </c>
      <c r="D1304" t="s">
        <v>857</v>
      </c>
      <c r="E1304" t="s">
        <v>18</v>
      </c>
      <c r="F1304" t="s">
        <v>3074</v>
      </c>
      <c r="M1304" t="s">
        <v>4768</v>
      </c>
      <c r="N1304" t="s">
        <v>1088</v>
      </c>
      <c r="O1304" t="s">
        <v>18</v>
      </c>
      <c r="P1304" t="s">
        <v>2595</v>
      </c>
      <c r="T1304" t="s">
        <v>1057</v>
      </c>
      <c r="U1304" t="s">
        <v>818</v>
      </c>
      <c r="V1304" t="s">
        <v>18</v>
      </c>
      <c r="W1304" t="s">
        <v>857</v>
      </c>
      <c r="AC1304" t="s">
        <v>2864</v>
      </c>
      <c r="AD1304" t="s">
        <v>816</v>
      </c>
      <c r="AE1304" t="s">
        <v>18</v>
      </c>
      <c r="AF1304" t="s">
        <v>2863</v>
      </c>
    </row>
    <row r="1305" spans="1:32">
      <c r="A1305" t="s">
        <v>5672</v>
      </c>
      <c r="B1305" t="s">
        <v>1057</v>
      </c>
      <c r="C1305" t="s">
        <v>818</v>
      </c>
      <c r="D1305" t="s">
        <v>857</v>
      </c>
      <c r="E1305" t="s">
        <v>18</v>
      </c>
      <c r="F1305" t="s">
        <v>3063</v>
      </c>
      <c r="M1305" t="s">
        <v>4768</v>
      </c>
      <c r="N1305" t="s">
        <v>1088</v>
      </c>
      <c r="O1305" t="s">
        <v>18</v>
      </c>
      <c r="P1305" t="s">
        <v>2594</v>
      </c>
      <c r="T1305" t="s">
        <v>1057</v>
      </c>
      <c r="U1305" t="s">
        <v>818</v>
      </c>
      <c r="V1305" t="s">
        <v>18</v>
      </c>
      <c r="W1305" t="s">
        <v>857</v>
      </c>
      <c r="AC1305" t="s">
        <v>2875</v>
      </c>
      <c r="AD1305" t="s">
        <v>818</v>
      </c>
      <c r="AE1305" t="s">
        <v>53</v>
      </c>
      <c r="AF1305" t="s">
        <v>2965</v>
      </c>
    </row>
    <row r="1306" spans="1:32">
      <c r="A1306" t="s">
        <v>5672</v>
      </c>
      <c r="B1306" t="s">
        <v>1057</v>
      </c>
      <c r="C1306" t="s">
        <v>818</v>
      </c>
      <c r="D1306" t="s">
        <v>857</v>
      </c>
      <c r="E1306" t="s">
        <v>18</v>
      </c>
      <c r="F1306" t="s">
        <v>3062</v>
      </c>
      <c r="M1306" t="s">
        <v>4769</v>
      </c>
      <c r="N1306" t="s">
        <v>1089</v>
      </c>
      <c r="O1306" t="s">
        <v>18</v>
      </c>
      <c r="P1306" t="s">
        <v>2553</v>
      </c>
      <c r="T1306" t="s">
        <v>1057</v>
      </c>
      <c r="U1306" t="s">
        <v>818</v>
      </c>
      <c r="V1306" t="s">
        <v>18</v>
      </c>
      <c r="W1306" t="s">
        <v>857</v>
      </c>
      <c r="AC1306" t="s">
        <v>2875</v>
      </c>
      <c r="AD1306" t="s">
        <v>818</v>
      </c>
      <c r="AE1306" t="s">
        <v>53</v>
      </c>
      <c r="AF1306" t="s">
        <v>2972</v>
      </c>
    </row>
    <row r="1307" spans="1:32">
      <c r="A1307" t="s">
        <v>5673</v>
      </c>
      <c r="B1307" t="s">
        <v>1057</v>
      </c>
      <c r="C1307" t="s">
        <v>818</v>
      </c>
      <c r="D1307" t="s">
        <v>3055</v>
      </c>
      <c r="E1307" t="s">
        <v>18</v>
      </c>
      <c r="F1307" t="s">
        <v>3061</v>
      </c>
      <c r="M1307" t="s">
        <v>4769</v>
      </c>
      <c r="N1307" t="s">
        <v>1089</v>
      </c>
      <c r="O1307" t="s">
        <v>18</v>
      </c>
      <c r="P1307" t="s">
        <v>2552</v>
      </c>
      <c r="T1307" t="s">
        <v>1057</v>
      </c>
      <c r="U1307" t="s">
        <v>818</v>
      </c>
      <c r="V1307" t="s">
        <v>18</v>
      </c>
      <c r="W1307" t="s">
        <v>3055</v>
      </c>
      <c r="AC1307" t="s">
        <v>2875</v>
      </c>
      <c r="AD1307" t="s">
        <v>818</v>
      </c>
      <c r="AE1307" t="s">
        <v>53</v>
      </c>
      <c r="AF1307" t="s">
        <v>2963</v>
      </c>
    </row>
    <row r="1308" spans="1:32">
      <c r="A1308" t="s">
        <v>5674</v>
      </c>
      <c r="B1308" t="s">
        <v>1057</v>
      </c>
      <c r="C1308" t="s">
        <v>818</v>
      </c>
      <c r="D1308" t="s">
        <v>3059</v>
      </c>
      <c r="E1308" t="s">
        <v>857</v>
      </c>
      <c r="F1308" t="s">
        <v>4153</v>
      </c>
      <c r="M1308" t="s">
        <v>4769</v>
      </c>
      <c r="N1308" t="s">
        <v>1089</v>
      </c>
      <c r="O1308" t="s">
        <v>18</v>
      </c>
      <c r="P1308" t="s">
        <v>2551</v>
      </c>
      <c r="T1308" t="s">
        <v>1057</v>
      </c>
      <c r="U1308" t="s">
        <v>818</v>
      </c>
      <c r="V1308" t="s">
        <v>857</v>
      </c>
      <c r="W1308" t="s">
        <v>3059</v>
      </c>
      <c r="AC1308" t="s">
        <v>2875</v>
      </c>
      <c r="AD1308" t="s">
        <v>818</v>
      </c>
      <c r="AE1308" t="s">
        <v>18</v>
      </c>
      <c r="AF1308" t="s">
        <v>857</v>
      </c>
    </row>
    <row r="1309" spans="1:32">
      <c r="A1309" t="s">
        <v>5675</v>
      </c>
      <c r="B1309" t="s">
        <v>1057</v>
      </c>
      <c r="C1309" t="s">
        <v>818</v>
      </c>
      <c r="D1309" t="s">
        <v>3059</v>
      </c>
      <c r="E1309" t="s">
        <v>18</v>
      </c>
      <c r="F1309" t="s">
        <v>3060</v>
      </c>
      <c r="M1309" t="s">
        <v>4769</v>
      </c>
      <c r="N1309" t="s">
        <v>1089</v>
      </c>
      <c r="O1309" t="s">
        <v>18</v>
      </c>
      <c r="P1309" t="s">
        <v>2550</v>
      </c>
      <c r="T1309" t="s">
        <v>1057</v>
      </c>
      <c r="U1309" t="s">
        <v>818</v>
      </c>
      <c r="V1309" t="s">
        <v>18</v>
      </c>
      <c r="W1309" t="s">
        <v>3059</v>
      </c>
      <c r="AC1309" t="s">
        <v>2875</v>
      </c>
      <c r="AD1309" t="s">
        <v>818</v>
      </c>
      <c r="AE1309" t="s">
        <v>18</v>
      </c>
      <c r="AF1309" t="s">
        <v>3289</v>
      </c>
    </row>
    <row r="1310" spans="1:32">
      <c r="A1310" t="s">
        <v>5678</v>
      </c>
      <c r="B1310" t="s">
        <v>1057</v>
      </c>
      <c r="C1310" t="s">
        <v>19</v>
      </c>
      <c r="D1310" t="s">
        <v>857</v>
      </c>
      <c r="E1310" t="s">
        <v>857</v>
      </c>
      <c r="F1310" t="s">
        <v>3880</v>
      </c>
      <c r="M1310" t="s">
        <v>4769</v>
      </c>
      <c r="N1310" t="s">
        <v>1089</v>
      </c>
      <c r="O1310" t="s">
        <v>18</v>
      </c>
      <c r="P1310" t="s">
        <v>2549</v>
      </c>
      <c r="T1310" t="s">
        <v>1057</v>
      </c>
      <c r="U1310" t="s">
        <v>19</v>
      </c>
      <c r="V1310" t="s">
        <v>857</v>
      </c>
      <c r="W1310" t="s">
        <v>857</v>
      </c>
      <c r="AC1310" t="s">
        <v>2875</v>
      </c>
      <c r="AD1310" t="s">
        <v>818</v>
      </c>
      <c r="AE1310" t="s">
        <v>18</v>
      </c>
      <c r="AF1310" t="s">
        <v>2870</v>
      </c>
    </row>
    <row r="1311" spans="1:32">
      <c r="A1311" t="s">
        <v>5679</v>
      </c>
      <c r="B1311" t="s">
        <v>1057</v>
      </c>
      <c r="C1311" t="s">
        <v>19</v>
      </c>
      <c r="D1311" t="s">
        <v>857</v>
      </c>
      <c r="E1311" t="s">
        <v>18</v>
      </c>
      <c r="F1311" t="s">
        <v>3073</v>
      </c>
      <c r="M1311" t="s">
        <v>4769</v>
      </c>
      <c r="N1311" t="s">
        <v>1089</v>
      </c>
      <c r="O1311" t="s">
        <v>18</v>
      </c>
      <c r="P1311" t="s">
        <v>2548</v>
      </c>
      <c r="T1311" t="s">
        <v>1057</v>
      </c>
      <c r="U1311" t="s">
        <v>19</v>
      </c>
      <c r="V1311" t="s">
        <v>18</v>
      </c>
      <c r="W1311" t="s">
        <v>857</v>
      </c>
      <c r="AC1311" t="s">
        <v>2875</v>
      </c>
      <c r="AD1311" t="s">
        <v>818</v>
      </c>
      <c r="AE1311" t="s">
        <v>18</v>
      </c>
      <c r="AF1311" t="s">
        <v>2961</v>
      </c>
    </row>
    <row r="1312" spans="1:32">
      <c r="A1312" t="s">
        <v>5679</v>
      </c>
      <c r="B1312" t="s">
        <v>1057</v>
      </c>
      <c r="C1312" t="s">
        <v>19</v>
      </c>
      <c r="D1312" t="s">
        <v>857</v>
      </c>
      <c r="E1312" t="s">
        <v>18</v>
      </c>
      <c r="F1312" t="s">
        <v>3071</v>
      </c>
      <c r="M1312" t="s">
        <v>4769</v>
      </c>
      <c r="N1312" t="s">
        <v>1089</v>
      </c>
      <c r="O1312" t="s">
        <v>18</v>
      </c>
      <c r="P1312" t="s">
        <v>2547</v>
      </c>
      <c r="T1312" t="s">
        <v>1057</v>
      </c>
      <c r="U1312" t="s">
        <v>19</v>
      </c>
      <c r="V1312" t="s">
        <v>18</v>
      </c>
      <c r="W1312" t="s">
        <v>857</v>
      </c>
      <c r="AC1312" t="s">
        <v>2875</v>
      </c>
      <c r="AD1312" t="s">
        <v>818</v>
      </c>
      <c r="AE1312" t="s">
        <v>18</v>
      </c>
      <c r="AF1312" t="s">
        <v>2518</v>
      </c>
    </row>
    <row r="1313" spans="1:32">
      <c r="A1313" t="s">
        <v>5679</v>
      </c>
      <c r="B1313" t="s">
        <v>1057</v>
      </c>
      <c r="C1313" t="s">
        <v>19</v>
      </c>
      <c r="D1313" t="s">
        <v>857</v>
      </c>
      <c r="E1313" t="s">
        <v>18</v>
      </c>
      <c r="F1313" t="s">
        <v>3067</v>
      </c>
      <c r="M1313" t="s">
        <v>4769</v>
      </c>
      <c r="N1313" t="s">
        <v>1089</v>
      </c>
      <c r="O1313" t="s">
        <v>18</v>
      </c>
      <c r="P1313" t="s">
        <v>2546</v>
      </c>
      <c r="T1313" t="s">
        <v>1057</v>
      </c>
      <c r="U1313" t="s">
        <v>19</v>
      </c>
      <c r="V1313" t="s">
        <v>18</v>
      </c>
      <c r="W1313" t="s">
        <v>857</v>
      </c>
      <c r="AC1313" t="s">
        <v>2875</v>
      </c>
      <c r="AD1313" t="s">
        <v>818</v>
      </c>
      <c r="AE1313" t="s">
        <v>18</v>
      </c>
      <c r="AF1313" t="s">
        <v>3266</v>
      </c>
    </row>
    <row r="1314" spans="1:32">
      <c r="A1314" t="s">
        <v>5679</v>
      </c>
      <c r="B1314" t="s">
        <v>1057</v>
      </c>
      <c r="C1314" t="s">
        <v>19</v>
      </c>
      <c r="D1314" t="s">
        <v>857</v>
      </c>
      <c r="E1314" t="s">
        <v>18</v>
      </c>
      <c r="F1314" t="s">
        <v>3010</v>
      </c>
      <c r="M1314" t="s">
        <v>4769</v>
      </c>
      <c r="N1314" t="s">
        <v>1089</v>
      </c>
      <c r="O1314" t="s">
        <v>18</v>
      </c>
      <c r="P1314" t="s">
        <v>2545</v>
      </c>
      <c r="T1314" t="s">
        <v>1057</v>
      </c>
      <c r="U1314" t="s">
        <v>19</v>
      </c>
      <c r="V1314" t="s">
        <v>18</v>
      </c>
      <c r="W1314" t="s">
        <v>857</v>
      </c>
      <c r="AC1314" t="s">
        <v>2875</v>
      </c>
      <c r="AD1314" t="s">
        <v>818</v>
      </c>
      <c r="AE1314" t="s">
        <v>18</v>
      </c>
      <c r="AF1314" t="s">
        <v>2559</v>
      </c>
    </row>
    <row r="1315" spans="1:32">
      <c r="A1315" t="s">
        <v>5680</v>
      </c>
      <c r="B1315" t="s">
        <v>1057</v>
      </c>
      <c r="C1315" t="s">
        <v>19</v>
      </c>
      <c r="D1315" t="s">
        <v>3055</v>
      </c>
      <c r="E1315" t="s">
        <v>857</v>
      </c>
      <c r="F1315" t="s">
        <v>3753</v>
      </c>
      <c r="M1315" t="s">
        <v>4769</v>
      </c>
      <c r="N1315" t="s">
        <v>1089</v>
      </c>
      <c r="O1315" t="s">
        <v>18</v>
      </c>
      <c r="P1315" t="s">
        <v>2544</v>
      </c>
      <c r="T1315" t="s">
        <v>1057</v>
      </c>
      <c r="U1315" t="s">
        <v>19</v>
      </c>
      <c r="V1315" t="s">
        <v>857</v>
      </c>
      <c r="W1315" t="s">
        <v>3055</v>
      </c>
      <c r="AC1315" t="s">
        <v>2875</v>
      </c>
      <c r="AD1315" t="s">
        <v>2384</v>
      </c>
      <c r="AE1315" t="s">
        <v>18</v>
      </c>
      <c r="AF1315" t="s">
        <v>2518</v>
      </c>
    </row>
    <row r="1316" spans="1:32">
      <c r="A1316" t="s">
        <v>5681</v>
      </c>
      <c r="B1316" t="s">
        <v>1057</v>
      </c>
      <c r="C1316" t="s">
        <v>19</v>
      </c>
      <c r="D1316" t="s">
        <v>3055</v>
      </c>
      <c r="E1316" t="s">
        <v>18</v>
      </c>
      <c r="F1316" t="s">
        <v>3058</v>
      </c>
      <c r="M1316" t="s">
        <v>4769</v>
      </c>
      <c r="N1316" t="s">
        <v>1089</v>
      </c>
      <c r="O1316" t="s">
        <v>18</v>
      </c>
      <c r="P1316" t="s">
        <v>2543</v>
      </c>
      <c r="T1316" t="s">
        <v>1057</v>
      </c>
      <c r="U1316" t="s">
        <v>19</v>
      </c>
      <c r="V1316" t="s">
        <v>18</v>
      </c>
      <c r="W1316" t="s">
        <v>3055</v>
      </c>
      <c r="AC1316" t="s">
        <v>2875</v>
      </c>
      <c r="AD1316" t="s">
        <v>816</v>
      </c>
      <c r="AE1316" t="s">
        <v>18</v>
      </c>
      <c r="AF1316" t="s">
        <v>2959</v>
      </c>
    </row>
    <row r="1317" spans="1:32">
      <c r="A1317" t="s">
        <v>5682</v>
      </c>
      <c r="B1317" t="s">
        <v>1057</v>
      </c>
      <c r="C1317" t="s">
        <v>19</v>
      </c>
      <c r="D1317" t="s">
        <v>3049</v>
      </c>
      <c r="E1317" t="s">
        <v>18</v>
      </c>
      <c r="F1317" t="s">
        <v>3057</v>
      </c>
      <c r="M1317" t="s">
        <v>4769</v>
      </c>
      <c r="N1317" t="s">
        <v>1089</v>
      </c>
      <c r="O1317" t="s">
        <v>18</v>
      </c>
      <c r="P1317" t="s">
        <v>2542</v>
      </c>
      <c r="T1317" t="s">
        <v>1057</v>
      </c>
      <c r="U1317" t="s">
        <v>19</v>
      </c>
      <c r="V1317" t="s">
        <v>18</v>
      </c>
      <c r="W1317" t="s">
        <v>3049</v>
      </c>
      <c r="AC1317" t="s">
        <v>4638</v>
      </c>
      <c r="AD1317" t="s">
        <v>818</v>
      </c>
      <c r="AE1317" t="s">
        <v>857</v>
      </c>
      <c r="AF1317" t="s">
        <v>2870</v>
      </c>
    </row>
    <row r="1318" spans="1:32">
      <c r="A1318" t="s">
        <v>5684</v>
      </c>
      <c r="B1318" t="s">
        <v>1057</v>
      </c>
      <c r="C1318" t="s">
        <v>2416</v>
      </c>
      <c r="D1318" t="s">
        <v>3055</v>
      </c>
      <c r="E1318" t="s">
        <v>18</v>
      </c>
      <c r="F1318" t="s">
        <v>3056</v>
      </c>
      <c r="M1318" t="s">
        <v>4769</v>
      </c>
      <c r="N1318" t="s">
        <v>1089</v>
      </c>
      <c r="O1318" t="s">
        <v>18</v>
      </c>
      <c r="P1318" t="s">
        <v>2541</v>
      </c>
      <c r="T1318" t="s">
        <v>1057</v>
      </c>
      <c r="U1318" t="s">
        <v>2416</v>
      </c>
      <c r="V1318" t="s">
        <v>18</v>
      </c>
      <c r="W1318" t="s">
        <v>3055</v>
      </c>
      <c r="AC1318" t="s">
        <v>4638</v>
      </c>
      <c r="AD1318" t="s">
        <v>818</v>
      </c>
      <c r="AE1318" t="s">
        <v>857</v>
      </c>
      <c r="AF1318" t="s">
        <v>2905</v>
      </c>
    </row>
    <row r="1319" spans="1:32">
      <c r="A1319" t="s">
        <v>5687</v>
      </c>
      <c r="B1319" t="s">
        <v>1057</v>
      </c>
      <c r="C1319" t="s">
        <v>816</v>
      </c>
      <c r="D1319" t="s">
        <v>857</v>
      </c>
      <c r="E1319" t="s">
        <v>18</v>
      </c>
      <c r="F1319" t="s">
        <v>3072</v>
      </c>
      <c r="M1319" t="s">
        <v>4769</v>
      </c>
      <c r="N1319" t="s">
        <v>1089</v>
      </c>
      <c r="O1319" t="s">
        <v>18</v>
      </c>
      <c r="P1319" t="s">
        <v>2539</v>
      </c>
      <c r="T1319" t="s">
        <v>1057</v>
      </c>
      <c r="U1319" t="s">
        <v>816</v>
      </c>
      <c r="V1319" t="s">
        <v>18</v>
      </c>
      <c r="W1319" t="s">
        <v>857</v>
      </c>
      <c r="AC1319" t="s">
        <v>4638</v>
      </c>
      <c r="AD1319" t="s">
        <v>818</v>
      </c>
      <c r="AE1319" t="s">
        <v>857</v>
      </c>
      <c r="AF1319" t="s">
        <v>2900</v>
      </c>
    </row>
    <row r="1320" spans="1:32">
      <c r="A1320" t="s">
        <v>5687</v>
      </c>
      <c r="B1320" t="s">
        <v>1057</v>
      </c>
      <c r="C1320" t="s">
        <v>816</v>
      </c>
      <c r="D1320" t="s">
        <v>857</v>
      </c>
      <c r="E1320" t="s">
        <v>18</v>
      </c>
      <c r="F1320" t="s">
        <v>3070</v>
      </c>
      <c r="M1320" t="s">
        <v>4769</v>
      </c>
      <c r="N1320" t="s">
        <v>1089</v>
      </c>
      <c r="O1320" t="s">
        <v>18</v>
      </c>
      <c r="P1320" t="s">
        <v>2538</v>
      </c>
      <c r="T1320" t="s">
        <v>1057</v>
      </c>
      <c r="U1320" t="s">
        <v>816</v>
      </c>
      <c r="V1320" t="s">
        <v>18</v>
      </c>
      <c r="W1320" t="s">
        <v>857</v>
      </c>
      <c r="AC1320" t="s">
        <v>4638</v>
      </c>
      <c r="AD1320" t="s">
        <v>818</v>
      </c>
      <c r="AE1320" t="s">
        <v>857</v>
      </c>
      <c r="AF1320" t="s">
        <v>2518</v>
      </c>
    </row>
    <row r="1321" spans="1:32">
      <c r="A1321" t="s">
        <v>5687</v>
      </c>
      <c r="B1321" t="s">
        <v>1057</v>
      </c>
      <c r="C1321" t="s">
        <v>816</v>
      </c>
      <c r="D1321" t="s">
        <v>857</v>
      </c>
      <c r="E1321" t="s">
        <v>18</v>
      </c>
      <c r="F1321" t="s">
        <v>3069</v>
      </c>
      <c r="M1321" t="s">
        <v>4769</v>
      </c>
      <c r="N1321" t="s">
        <v>1089</v>
      </c>
      <c r="O1321" t="s">
        <v>18</v>
      </c>
      <c r="P1321" t="s">
        <v>2537</v>
      </c>
      <c r="T1321" t="s">
        <v>1057</v>
      </c>
      <c r="U1321" t="s">
        <v>816</v>
      </c>
      <c r="V1321" t="s">
        <v>18</v>
      </c>
      <c r="W1321" t="s">
        <v>857</v>
      </c>
      <c r="AC1321" t="s">
        <v>4638</v>
      </c>
      <c r="AD1321" t="s">
        <v>19</v>
      </c>
      <c r="AE1321" t="s">
        <v>857</v>
      </c>
      <c r="AF1321" t="s">
        <v>857</v>
      </c>
    </row>
    <row r="1322" spans="1:32">
      <c r="A1322" t="s">
        <v>5687</v>
      </c>
      <c r="B1322" t="s">
        <v>1057</v>
      </c>
      <c r="C1322" t="s">
        <v>816</v>
      </c>
      <c r="D1322" t="s">
        <v>857</v>
      </c>
      <c r="E1322" t="s">
        <v>18</v>
      </c>
      <c r="F1322" t="s">
        <v>3068</v>
      </c>
      <c r="M1322" t="s">
        <v>4769</v>
      </c>
      <c r="N1322" t="s">
        <v>1089</v>
      </c>
      <c r="O1322" t="s">
        <v>18</v>
      </c>
      <c r="P1322" t="s">
        <v>2536</v>
      </c>
      <c r="T1322" t="s">
        <v>1057</v>
      </c>
      <c r="U1322" t="s">
        <v>816</v>
      </c>
      <c r="V1322" t="s">
        <v>18</v>
      </c>
      <c r="W1322" t="s">
        <v>857</v>
      </c>
      <c r="AC1322" t="s">
        <v>4638</v>
      </c>
      <c r="AD1322" t="s">
        <v>19</v>
      </c>
      <c r="AE1322" t="s">
        <v>857</v>
      </c>
      <c r="AF1322" t="s">
        <v>4037</v>
      </c>
    </row>
    <row r="1323" spans="1:32">
      <c r="A1323" t="s">
        <v>5687</v>
      </c>
      <c r="B1323" t="s">
        <v>1057</v>
      </c>
      <c r="C1323" t="s">
        <v>816</v>
      </c>
      <c r="D1323" t="s">
        <v>857</v>
      </c>
      <c r="E1323" t="s">
        <v>18</v>
      </c>
      <c r="F1323" t="s">
        <v>3066</v>
      </c>
      <c r="M1323" t="s">
        <v>4769</v>
      </c>
      <c r="N1323" t="s">
        <v>1089</v>
      </c>
      <c r="O1323" t="s">
        <v>18</v>
      </c>
      <c r="P1323" t="s">
        <v>2535</v>
      </c>
      <c r="T1323" t="s">
        <v>1057</v>
      </c>
      <c r="U1323" t="s">
        <v>816</v>
      </c>
      <c r="V1323" t="s">
        <v>18</v>
      </c>
      <c r="W1323" t="s">
        <v>857</v>
      </c>
      <c r="AC1323" t="s">
        <v>4638</v>
      </c>
      <c r="AD1323" t="s">
        <v>19</v>
      </c>
      <c r="AE1323" t="s">
        <v>857</v>
      </c>
      <c r="AF1323" t="s">
        <v>2929</v>
      </c>
    </row>
    <row r="1324" spans="1:32">
      <c r="A1324" t="s">
        <v>5687</v>
      </c>
      <c r="B1324" t="s">
        <v>1057</v>
      </c>
      <c r="C1324" t="s">
        <v>816</v>
      </c>
      <c r="D1324" t="s">
        <v>857</v>
      </c>
      <c r="E1324" t="s">
        <v>18</v>
      </c>
      <c r="F1324" t="s">
        <v>3065</v>
      </c>
      <c r="M1324" t="s">
        <v>4769</v>
      </c>
      <c r="N1324" t="s">
        <v>1089</v>
      </c>
      <c r="O1324" t="s">
        <v>18</v>
      </c>
      <c r="P1324" t="s">
        <v>2534</v>
      </c>
      <c r="T1324" t="s">
        <v>1057</v>
      </c>
      <c r="U1324" t="s">
        <v>816</v>
      </c>
      <c r="V1324" t="s">
        <v>18</v>
      </c>
      <c r="W1324" t="s">
        <v>857</v>
      </c>
      <c r="AC1324" t="s">
        <v>4638</v>
      </c>
      <c r="AD1324" t="s">
        <v>19</v>
      </c>
      <c r="AE1324" t="s">
        <v>857</v>
      </c>
      <c r="AF1324" t="s">
        <v>2931</v>
      </c>
    </row>
    <row r="1325" spans="1:32">
      <c r="A1325" t="s">
        <v>5687</v>
      </c>
      <c r="B1325" t="s">
        <v>1057</v>
      </c>
      <c r="C1325" t="s">
        <v>816</v>
      </c>
      <c r="D1325" t="s">
        <v>857</v>
      </c>
      <c r="E1325" t="s">
        <v>18</v>
      </c>
      <c r="F1325" t="s">
        <v>3064</v>
      </c>
      <c r="M1325" t="s">
        <v>4769</v>
      </c>
      <c r="N1325" t="s">
        <v>1089</v>
      </c>
      <c r="O1325" t="s">
        <v>18</v>
      </c>
      <c r="P1325" t="s">
        <v>2533</v>
      </c>
      <c r="T1325" t="s">
        <v>1057</v>
      </c>
      <c r="U1325" t="s">
        <v>816</v>
      </c>
      <c r="V1325" t="s">
        <v>18</v>
      </c>
      <c r="W1325" t="s">
        <v>857</v>
      </c>
      <c r="AC1325" t="s">
        <v>4638</v>
      </c>
      <c r="AD1325" t="s">
        <v>19</v>
      </c>
      <c r="AE1325" t="s">
        <v>857</v>
      </c>
      <c r="AF1325" t="s">
        <v>2867</v>
      </c>
    </row>
    <row r="1326" spans="1:32">
      <c r="A1326" t="s">
        <v>5687</v>
      </c>
      <c r="B1326" t="s">
        <v>1057</v>
      </c>
      <c r="C1326" t="s">
        <v>816</v>
      </c>
      <c r="D1326" t="s">
        <v>857</v>
      </c>
      <c r="E1326" t="s">
        <v>18</v>
      </c>
      <c r="F1326" t="s">
        <v>3011</v>
      </c>
      <c r="M1326" t="s">
        <v>4770</v>
      </c>
      <c r="N1326" t="s">
        <v>1090</v>
      </c>
      <c r="O1326" t="s">
        <v>18</v>
      </c>
      <c r="P1326" t="s">
        <v>2531</v>
      </c>
      <c r="T1326" t="s">
        <v>1057</v>
      </c>
      <c r="U1326" t="s">
        <v>816</v>
      </c>
      <c r="V1326" t="s">
        <v>18</v>
      </c>
      <c r="W1326" t="s">
        <v>857</v>
      </c>
      <c r="AC1326" t="s">
        <v>4638</v>
      </c>
      <c r="AD1326" t="s">
        <v>2384</v>
      </c>
      <c r="AE1326" t="s">
        <v>857</v>
      </c>
      <c r="AF1326" t="s">
        <v>857</v>
      </c>
    </row>
    <row r="1327" spans="1:32">
      <c r="A1327" t="s">
        <v>5688</v>
      </c>
      <c r="B1327" t="s">
        <v>1057</v>
      </c>
      <c r="C1327" t="s">
        <v>816</v>
      </c>
      <c r="D1327" t="s">
        <v>3053</v>
      </c>
      <c r="E1327" t="s">
        <v>857</v>
      </c>
      <c r="F1327" t="s">
        <v>4154</v>
      </c>
      <c r="M1327" t="s">
        <v>4770</v>
      </c>
      <c r="N1327" t="s">
        <v>1090</v>
      </c>
      <c r="O1327" t="s">
        <v>18</v>
      </c>
      <c r="P1327" t="s">
        <v>2530</v>
      </c>
      <c r="T1327" t="s">
        <v>1057</v>
      </c>
      <c r="U1327" t="s">
        <v>816</v>
      </c>
      <c r="V1327" t="s">
        <v>857</v>
      </c>
      <c r="W1327" t="s">
        <v>3053</v>
      </c>
      <c r="AC1327" t="s">
        <v>4638</v>
      </c>
      <c r="AD1327" t="s">
        <v>2384</v>
      </c>
      <c r="AE1327" t="s">
        <v>857</v>
      </c>
      <c r="AF1327" t="s">
        <v>2863</v>
      </c>
    </row>
    <row r="1328" spans="1:32">
      <c r="A1328" t="s">
        <v>5689</v>
      </c>
      <c r="B1328" t="s">
        <v>1057</v>
      </c>
      <c r="C1328" t="s">
        <v>816</v>
      </c>
      <c r="D1328" t="s">
        <v>3053</v>
      </c>
      <c r="E1328" t="s">
        <v>18</v>
      </c>
      <c r="F1328" t="s">
        <v>3054</v>
      </c>
      <c r="M1328" t="s">
        <v>4770</v>
      </c>
      <c r="N1328" t="s">
        <v>1090</v>
      </c>
      <c r="O1328" t="s">
        <v>18</v>
      </c>
      <c r="P1328" t="s">
        <v>2529</v>
      </c>
      <c r="T1328" t="s">
        <v>1057</v>
      </c>
      <c r="U1328" t="s">
        <v>816</v>
      </c>
      <c r="V1328" t="s">
        <v>18</v>
      </c>
      <c r="W1328" t="s">
        <v>3053</v>
      </c>
      <c r="AC1328" t="s">
        <v>4638</v>
      </c>
      <c r="AD1328" t="s">
        <v>2384</v>
      </c>
      <c r="AE1328" t="s">
        <v>857</v>
      </c>
      <c r="AF1328" t="s">
        <v>2887</v>
      </c>
    </row>
    <row r="1329" spans="1:32">
      <c r="A1329" t="s">
        <v>5690</v>
      </c>
      <c r="B1329" t="s">
        <v>1057</v>
      </c>
      <c r="C1329" t="s">
        <v>816</v>
      </c>
      <c r="D1329" t="s">
        <v>3051</v>
      </c>
      <c r="E1329" t="s">
        <v>18</v>
      </c>
      <c r="F1329" t="s">
        <v>3052</v>
      </c>
      <c r="M1329" t="s">
        <v>4770</v>
      </c>
      <c r="N1329" t="s">
        <v>1090</v>
      </c>
      <c r="O1329" t="s">
        <v>18</v>
      </c>
      <c r="P1329" t="s">
        <v>2528</v>
      </c>
      <c r="T1329" t="s">
        <v>1057</v>
      </c>
      <c r="U1329" t="s">
        <v>816</v>
      </c>
      <c r="V1329" t="s">
        <v>18</v>
      </c>
      <c r="W1329" t="s">
        <v>3051</v>
      </c>
      <c r="AC1329" t="s">
        <v>4638</v>
      </c>
      <c r="AD1329" t="s">
        <v>816</v>
      </c>
      <c r="AE1329" t="s">
        <v>857</v>
      </c>
      <c r="AF1329" t="s">
        <v>2959</v>
      </c>
    </row>
    <row r="1330" spans="1:32">
      <c r="A1330" t="s">
        <v>5691</v>
      </c>
      <c r="B1330" t="s">
        <v>1057</v>
      </c>
      <c r="C1330" t="s">
        <v>816</v>
      </c>
      <c r="D1330" t="s">
        <v>3049</v>
      </c>
      <c r="E1330" t="s">
        <v>18</v>
      </c>
      <c r="F1330" t="s">
        <v>3050</v>
      </c>
      <c r="M1330" t="s">
        <v>4770</v>
      </c>
      <c r="N1330" t="s">
        <v>1090</v>
      </c>
      <c r="O1330" t="s">
        <v>18</v>
      </c>
      <c r="P1330" t="s">
        <v>2527</v>
      </c>
      <c r="T1330" t="s">
        <v>1057</v>
      </c>
      <c r="U1330" t="s">
        <v>816</v>
      </c>
      <c r="V1330" t="s">
        <v>18</v>
      </c>
      <c r="W1330" t="s">
        <v>3049</v>
      </c>
      <c r="AC1330" t="s">
        <v>4638</v>
      </c>
      <c r="AD1330" t="s">
        <v>816</v>
      </c>
      <c r="AE1330" t="s">
        <v>857</v>
      </c>
      <c r="AF1330" t="s">
        <v>2927</v>
      </c>
    </row>
    <row r="1331" spans="1:32">
      <c r="A1331" t="s">
        <v>5693</v>
      </c>
      <c r="B1331" t="s">
        <v>1058</v>
      </c>
      <c r="C1331" t="s">
        <v>818</v>
      </c>
      <c r="D1331" t="s">
        <v>2366</v>
      </c>
      <c r="E1331" t="s">
        <v>18</v>
      </c>
      <c r="F1331" t="s">
        <v>2977</v>
      </c>
      <c r="M1331" t="s">
        <v>4770</v>
      </c>
      <c r="N1331" t="s">
        <v>1090</v>
      </c>
      <c r="O1331" t="s">
        <v>18</v>
      </c>
      <c r="P1331" t="s">
        <v>2526</v>
      </c>
      <c r="T1331" t="s">
        <v>1058</v>
      </c>
      <c r="U1331" t="s">
        <v>818</v>
      </c>
      <c r="V1331" t="s">
        <v>18</v>
      </c>
      <c r="W1331" t="s">
        <v>2366</v>
      </c>
      <c r="AC1331" t="s">
        <v>4638</v>
      </c>
      <c r="AD1331" t="s">
        <v>816</v>
      </c>
      <c r="AE1331" t="s">
        <v>857</v>
      </c>
      <c r="AF1331" t="s">
        <v>2925</v>
      </c>
    </row>
    <row r="1332" spans="1:32">
      <c r="A1332" t="s">
        <v>5695</v>
      </c>
      <c r="B1332" t="s">
        <v>1058</v>
      </c>
      <c r="C1332" t="s">
        <v>816</v>
      </c>
      <c r="D1332" t="s">
        <v>2366</v>
      </c>
      <c r="E1332" t="s">
        <v>18</v>
      </c>
      <c r="F1332" t="s">
        <v>2976</v>
      </c>
      <c r="M1332" t="s">
        <v>4770</v>
      </c>
      <c r="N1332" t="s">
        <v>1090</v>
      </c>
      <c r="O1332" t="s">
        <v>18</v>
      </c>
      <c r="P1332" t="s">
        <v>2525</v>
      </c>
      <c r="T1332" t="s">
        <v>1058</v>
      </c>
      <c r="U1332" t="s">
        <v>816</v>
      </c>
      <c r="V1332" t="s">
        <v>18</v>
      </c>
      <c r="W1332" t="s">
        <v>2366</v>
      </c>
      <c r="AC1332" t="s">
        <v>4638</v>
      </c>
      <c r="AD1332" t="s">
        <v>816</v>
      </c>
      <c r="AE1332" t="s">
        <v>857</v>
      </c>
      <c r="AF1332" t="s">
        <v>2957</v>
      </c>
    </row>
    <row r="1333" spans="1:32">
      <c r="A1333" t="s">
        <v>5697</v>
      </c>
      <c r="B1333" t="s">
        <v>1059</v>
      </c>
      <c r="C1333" t="s">
        <v>818</v>
      </c>
      <c r="D1333" t="s">
        <v>3045</v>
      </c>
      <c r="E1333" t="s">
        <v>18</v>
      </c>
      <c r="F1333" t="s">
        <v>3046</v>
      </c>
      <c r="M1333" t="s">
        <v>4770</v>
      </c>
      <c r="N1333" t="s">
        <v>1090</v>
      </c>
      <c r="O1333" t="s">
        <v>18</v>
      </c>
      <c r="P1333" t="s">
        <v>2524</v>
      </c>
      <c r="T1333" t="s">
        <v>1059</v>
      </c>
      <c r="U1333" t="s">
        <v>818</v>
      </c>
      <c r="V1333" t="s">
        <v>18</v>
      </c>
      <c r="W1333" t="s">
        <v>3045</v>
      </c>
      <c r="AC1333" t="s">
        <v>4638</v>
      </c>
      <c r="AD1333" t="s">
        <v>816</v>
      </c>
      <c r="AE1333" t="s">
        <v>857</v>
      </c>
      <c r="AF1333" t="s">
        <v>2366</v>
      </c>
    </row>
    <row r="1334" spans="1:32">
      <c r="A1334" t="s">
        <v>5700</v>
      </c>
      <c r="B1334" t="s">
        <v>1059</v>
      </c>
      <c r="C1334" t="s">
        <v>2384</v>
      </c>
      <c r="D1334" t="s">
        <v>2366</v>
      </c>
      <c r="E1334" t="s">
        <v>857</v>
      </c>
      <c r="F1334" t="s">
        <v>4029</v>
      </c>
      <c r="M1334" t="s">
        <v>4770</v>
      </c>
      <c r="N1334" t="s">
        <v>1090</v>
      </c>
      <c r="O1334" t="s">
        <v>18</v>
      </c>
      <c r="P1334" t="s">
        <v>2523</v>
      </c>
      <c r="T1334" t="s">
        <v>1059</v>
      </c>
      <c r="U1334" t="s">
        <v>2384</v>
      </c>
      <c r="V1334" t="s">
        <v>857</v>
      </c>
      <c r="W1334" t="s">
        <v>2366</v>
      </c>
      <c r="AC1334" t="s">
        <v>4638</v>
      </c>
      <c r="AD1334" t="s">
        <v>816</v>
      </c>
      <c r="AE1334" t="s">
        <v>857</v>
      </c>
      <c r="AF1334" t="s">
        <v>2867</v>
      </c>
    </row>
    <row r="1335" spans="1:32">
      <c r="A1335" t="s">
        <v>5701</v>
      </c>
      <c r="B1335" t="s">
        <v>1059</v>
      </c>
      <c r="C1335" t="s">
        <v>2384</v>
      </c>
      <c r="D1335" t="s">
        <v>2366</v>
      </c>
      <c r="E1335" t="s">
        <v>18</v>
      </c>
      <c r="F1335" t="s">
        <v>3047</v>
      </c>
      <c r="M1335" t="s">
        <v>4770</v>
      </c>
      <c r="N1335" t="s">
        <v>1090</v>
      </c>
      <c r="O1335" t="s">
        <v>18</v>
      </c>
      <c r="P1335" t="s">
        <v>2522</v>
      </c>
      <c r="T1335" t="s">
        <v>1059</v>
      </c>
      <c r="U1335" t="s">
        <v>2384</v>
      </c>
      <c r="V1335" t="s">
        <v>18</v>
      </c>
      <c r="W1335" t="s">
        <v>2366</v>
      </c>
      <c r="AC1335" t="s">
        <v>4638</v>
      </c>
      <c r="AD1335" t="s">
        <v>816</v>
      </c>
      <c r="AE1335" t="s">
        <v>857</v>
      </c>
      <c r="AF1335" t="s">
        <v>2922</v>
      </c>
    </row>
    <row r="1336" spans="1:32">
      <c r="A1336" t="s">
        <v>5703</v>
      </c>
      <c r="B1336" t="s">
        <v>1059</v>
      </c>
      <c r="C1336" t="s">
        <v>816</v>
      </c>
      <c r="D1336" t="s">
        <v>857</v>
      </c>
      <c r="E1336" t="s">
        <v>18</v>
      </c>
      <c r="F1336" t="s">
        <v>3048</v>
      </c>
      <c r="M1336" t="s">
        <v>4770</v>
      </c>
      <c r="N1336" t="s">
        <v>1090</v>
      </c>
      <c r="O1336" t="s">
        <v>18</v>
      </c>
      <c r="P1336" t="s">
        <v>2521</v>
      </c>
      <c r="T1336" t="s">
        <v>1059</v>
      </c>
      <c r="U1336" t="s">
        <v>816</v>
      </c>
      <c r="V1336" t="s">
        <v>18</v>
      </c>
      <c r="W1336" t="s">
        <v>857</v>
      </c>
      <c r="AC1336" t="s">
        <v>4638</v>
      </c>
      <c r="AD1336" t="s">
        <v>4638</v>
      </c>
      <c r="AE1336" t="s">
        <v>857</v>
      </c>
      <c r="AF1336" t="s">
        <v>2903</v>
      </c>
    </row>
    <row r="1337" spans="1:32">
      <c r="A1337" t="s">
        <v>5704</v>
      </c>
      <c r="B1337" t="s">
        <v>1060</v>
      </c>
      <c r="C1337" t="s">
        <v>818</v>
      </c>
      <c r="D1337" t="s">
        <v>857</v>
      </c>
      <c r="E1337" t="s">
        <v>857</v>
      </c>
      <c r="F1337" t="s">
        <v>3892</v>
      </c>
      <c r="M1337" t="s">
        <v>4770</v>
      </c>
      <c r="N1337" t="s">
        <v>1090</v>
      </c>
      <c r="O1337" t="s">
        <v>18</v>
      </c>
      <c r="P1337" t="s">
        <v>2520</v>
      </c>
      <c r="T1337" t="s">
        <v>1060</v>
      </c>
      <c r="U1337" t="s">
        <v>818</v>
      </c>
      <c r="V1337" t="s">
        <v>857</v>
      </c>
      <c r="W1337" t="s">
        <v>857</v>
      </c>
      <c r="AC1337" t="s">
        <v>4638</v>
      </c>
      <c r="AD1337" t="s">
        <v>4638</v>
      </c>
      <c r="AE1337" t="s">
        <v>857</v>
      </c>
      <c r="AF1337" t="s">
        <v>3965</v>
      </c>
    </row>
    <row r="1338" spans="1:32">
      <c r="A1338" t="s">
        <v>5705</v>
      </c>
      <c r="B1338" t="s">
        <v>1060</v>
      </c>
      <c r="C1338" t="s">
        <v>818</v>
      </c>
      <c r="D1338" t="s">
        <v>857</v>
      </c>
      <c r="E1338" t="s">
        <v>18</v>
      </c>
      <c r="F1338" t="s">
        <v>3009</v>
      </c>
      <c r="M1338" t="s">
        <v>4770</v>
      </c>
      <c r="N1338" t="s">
        <v>1090</v>
      </c>
      <c r="O1338" t="s">
        <v>18</v>
      </c>
      <c r="P1338" t="s">
        <v>2519</v>
      </c>
      <c r="T1338" t="s">
        <v>1060</v>
      </c>
      <c r="U1338" t="s">
        <v>818</v>
      </c>
      <c r="V1338" t="s">
        <v>18</v>
      </c>
      <c r="W1338" t="s">
        <v>857</v>
      </c>
      <c r="AC1338" t="s">
        <v>4638</v>
      </c>
      <c r="AD1338" t="s">
        <v>4638</v>
      </c>
      <c r="AE1338" t="s">
        <v>857</v>
      </c>
      <c r="AF1338" t="s">
        <v>2891</v>
      </c>
    </row>
    <row r="1339" spans="1:32">
      <c r="A1339" t="s">
        <v>5705</v>
      </c>
      <c r="B1339" t="s">
        <v>1060</v>
      </c>
      <c r="C1339" t="s">
        <v>818</v>
      </c>
      <c r="D1339" t="s">
        <v>857</v>
      </c>
      <c r="E1339" t="s">
        <v>18</v>
      </c>
      <c r="F1339" t="s">
        <v>3007</v>
      </c>
      <c r="M1339" t="s">
        <v>4770</v>
      </c>
      <c r="N1339" t="s">
        <v>1090</v>
      </c>
      <c r="O1339" t="s">
        <v>18</v>
      </c>
      <c r="P1339" t="s">
        <v>2517</v>
      </c>
      <c r="T1339" t="s">
        <v>1060</v>
      </c>
      <c r="U1339" t="s">
        <v>818</v>
      </c>
      <c r="V1339" t="s">
        <v>18</v>
      </c>
      <c r="W1339" t="s">
        <v>857</v>
      </c>
      <c r="AC1339" t="s">
        <v>1094</v>
      </c>
      <c r="AD1339" t="s">
        <v>818</v>
      </c>
      <c r="AE1339" t="s">
        <v>18</v>
      </c>
      <c r="AF1339" t="s">
        <v>857</v>
      </c>
    </row>
    <row r="1340" spans="1:32">
      <c r="A1340" t="s">
        <v>5706</v>
      </c>
      <c r="B1340" t="s">
        <v>1060</v>
      </c>
      <c r="C1340" t="s">
        <v>818</v>
      </c>
      <c r="D1340" t="s">
        <v>2998</v>
      </c>
      <c r="E1340" t="s">
        <v>18</v>
      </c>
      <c r="F1340" t="s">
        <v>2999</v>
      </c>
      <c r="M1340" t="s">
        <v>4770</v>
      </c>
      <c r="N1340" t="s">
        <v>1090</v>
      </c>
      <c r="O1340" t="s">
        <v>18</v>
      </c>
      <c r="P1340" t="s">
        <v>2515</v>
      </c>
      <c r="T1340" t="s">
        <v>1060</v>
      </c>
      <c r="U1340" t="s">
        <v>818</v>
      </c>
      <c r="V1340" t="s">
        <v>18</v>
      </c>
      <c r="W1340" t="s">
        <v>2998</v>
      </c>
      <c r="AC1340" t="s">
        <v>1094</v>
      </c>
      <c r="AD1340" t="s">
        <v>818</v>
      </c>
      <c r="AE1340" t="s">
        <v>18</v>
      </c>
      <c r="AF1340" t="s">
        <v>2464</v>
      </c>
    </row>
    <row r="1341" spans="1:32">
      <c r="A1341" t="s">
        <v>5709</v>
      </c>
      <c r="B1341" t="s">
        <v>1060</v>
      </c>
      <c r="C1341" t="s">
        <v>19</v>
      </c>
      <c r="D1341" t="s">
        <v>857</v>
      </c>
      <c r="E1341" t="s">
        <v>857</v>
      </c>
      <c r="F1341" t="s">
        <v>3770</v>
      </c>
      <c r="M1341" t="s">
        <v>4770</v>
      </c>
      <c r="N1341" t="s">
        <v>1090</v>
      </c>
      <c r="O1341" t="s">
        <v>18</v>
      </c>
      <c r="P1341" t="s">
        <v>2513</v>
      </c>
      <c r="T1341" t="s">
        <v>1060</v>
      </c>
      <c r="U1341" t="s">
        <v>19</v>
      </c>
      <c r="V1341" t="s">
        <v>857</v>
      </c>
      <c r="W1341" t="s">
        <v>857</v>
      </c>
      <c r="AC1341" t="s">
        <v>1094</v>
      </c>
      <c r="AD1341" t="s">
        <v>19</v>
      </c>
      <c r="AE1341" t="s">
        <v>18</v>
      </c>
      <c r="AF1341" t="s">
        <v>857</v>
      </c>
    </row>
    <row r="1342" spans="1:32">
      <c r="A1342" t="s">
        <v>5710</v>
      </c>
      <c r="B1342" t="s">
        <v>1060</v>
      </c>
      <c r="C1342" t="s">
        <v>19</v>
      </c>
      <c r="D1342" t="s">
        <v>857</v>
      </c>
      <c r="E1342" t="s">
        <v>18</v>
      </c>
      <c r="F1342" t="s">
        <v>3008</v>
      </c>
      <c r="M1342" t="s">
        <v>4771</v>
      </c>
      <c r="N1342" t="s">
        <v>1091</v>
      </c>
      <c r="O1342" t="s">
        <v>18</v>
      </c>
      <c r="P1342" t="s">
        <v>2511</v>
      </c>
      <c r="T1342" t="s">
        <v>1060</v>
      </c>
      <c r="U1342" t="s">
        <v>19</v>
      </c>
      <c r="V1342" t="s">
        <v>18</v>
      </c>
      <c r="W1342" t="s">
        <v>857</v>
      </c>
      <c r="AC1342" t="s">
        <v>1094</v>
      </c>
      <c r="AD1342" t="s">
        <v>19</v>
      </c>
      <c r="AE1342" t="s">
        <v>18</v>
      </c>
      <c r="AF1342" t="s">
        <v>2466</v>
      </c>
    </row>
    <row r="1343" spans="1:32">
      <c r="A1343" t="s">
        <v>5710</v>
      </c>
      <c r="B1343" t="s">
        <v>1060</v>
      </c>
      <c r="C1343" t="s">
        <v>19</v>
      </c>
      <c r="D1343" t="s">
        <v>857</v>
      </c>
      <c r="E1343" t="s">
        <v>18</v>
      </c>
      <c r="F1343" t="s">
        <v>3004</v>
      </c>
      <c r="M1343" t="s">
        <v>4771</v>
      </c>
      <c r="N1343" t="s">
        <v>1091</v>
      </c>
      <c r="O1343" t="s">
        <v>18</v>
      </c>
      <c r="P1343" t="s">
        <v>2510</v>
      </c>
      <c r="T1343" t="s">
        <v>1060</v>
      </c>
      <c r="U1343" t="s">
        <v>19</v>
      </c>
      <c r="V1343" t="s">
        <v>18</v>
      </c>
      <c r="W1343" t="s">
        <v>857</v>
      </c>
      <c r="AC1343" t="s">
        <v>1094</v>
      </c>
      <c r="AD1343" t="s">
        <v>816</v>
      </c>
      <c r="AE1343" t="s">
        <v>18</v>
      </c>
      <c r="AF1343" t="s">
        <v>857</v>
      </c>
    </row>
    <row r="1344" spans="1:32">
      <c r="A1344" t="s">
        <v>5710</v>
      </c>
      <c r="B1344" t="s">
        <v>1060</v>
      </c>
      <c r="C1344" t="s">
        <v>19</v>
      </c>
      <c r="D1344" t="s">
        <v>857</v>
      </c>
      <c r="E1344" t="s">
        <v>18</v>
      </c>
      <c r="F1344" t="s">
        <v>3002</v>
      </c>
      <c r="M1344" t="s">
        <v>4772</v>
      </c>
      <c r="N1344" t="s">
        <v>1092</v>
      </c>
      <c r="O1344" t="s">
        <v>18</v>
      </c>
      <c r="P1344" t="s">
        <v>2509</v>
      </c>
      <c r="T1344" t="s">
        <v>1060</v>
      </c>
      <c r="U1344" t="s">
        <v>19</v>
      </c>
      <c r="V1344" t="s">
        <v>18</v>
      </c>
      <c r="W1344" t="s">
        <v>857</v>
      </c>
      <c r="AC1344" t="s">
        <v>1094</v>
      </c>
      <c r="AD1344" t="s">
        <v>816</v>
      </c>
      <c r="AE1344" t="s">
        <v>18</v>
      </c>
      <c r="AF1344" t="s">
        <v>2468</v>
      </c>
    </row>
    <row r="1345" spans="1:32">
      <c r="A1345" t="s">
        <v>5710</v>
      </c>
      <c r="B1345" t="s">
        <v>1060</v>
      </c>
      <c r="C1345" t="s">
        <v>19</v>
      </c>
      <c r="D1345" t="s">
        <v>857</v>
      </c>
      <c r="E1345" t="s">
        <v>18</v>
      </c>
      <c r="F1345" t="s">
        <v>3001</v>
      </c>
      <c r="M1345" t="s">
        <v>4772</v>
      </c>
      <c r="N1345" t="s">
        <v>1092</v>
      </c>
      <c r="O1345" t="s">
        <v>18</v>
      </c>
      <c r="P1345" t="s">
        <v>2508</v>
      </c>
      <c r="T1345" t="s">
        <v>1060</v>
      </c>
      <c r="U1345" t="s">
        <v>19</v>
      </c>
      <c r="V1345" t="s">
        <v>18</v>
      </c>
      <c r="W1345" t="s">
        <v>857</v>
      </c>
      <c r="AC1345" t="s">
        <v>1095</v>
      </c>
      <c r="AD1345" t="s">
        <v>818</v>
      </c>
      <c r="AE1345" t="s">
        <v>857</v>
      </c>
      <c r="AF1345" t="s">
        <v>857</v>
      </c>
    </row>
    <row r="1346" spans="1:32">
      <c r="A1346" t="s">
        <v>5711</v>
      </c>
      <c r="B1346" t="s">
        <v>1060</v>
      </c>
      <c r="C1346" t="s">
        <v>19</v>
      </c>
      <c r="D1346" t="s">
        <v>2581</v>
      </c>
      <c r="E1346" t="s">
        <v>18</v>
      </c>
      <c r="F1346" t="s">
        <v>3003</v>
      </c>
      <c r="M1346" t="s">
        <v>4772</v>
      </c>
      <c r="N1346" t="s">
        <v>1092</v>
      </c>
      <c r="O1346" t="s">
        <v>18</v>
      </c>
      <c r="P1346" t="s">
        <v>2507</v>
      </c>
      <c r="T1346" t="s">
        <v>1060</v>
      </c>
      <c r="U1346" t="s">
        <v>19</v>
      </c>
      <c r="V1346" t="s">
        <v>18</v>
      </c>
      <c r="W1346" t="s">
        <v>2581</v>
      </c>
      <c r="AC1346" t="s">
        <v>1095</v>
      </c>
      <c r="AD1346" t="s">
        <v>818</v>
      </c>
      <c r="AE1346" t="s">
        <v>18</v>
      </c>
      <c r="AF1346" t="s">
        <v>857</v>
      </c>
    </row>
    <row r="1347" spans="1:32">
      <c r="A1347" t="s">
        <v>5711</v>
      </c>
      <c r="B1347" t="s">
        <v>1060</v>
      </c>
      <c r="C1347" t="s">
        <v>19</v>
      </c>
      <c r="D1347" t="s">
        <v>2581</v>
      </c>
      <c r="E1347" t="s">
        <v>18</v>
      </c>
      <c r="F1347" t="s">
        <v>2997</v>
      </c>
      <c r="M1347" t="s">
        <v>4772</v>
      </c>
      <c r="N1347" t="s">
        <v>1092</v>
      </c>
      <c r="O1347" t="s">
        <v>18</v>
      </c>
      <c r="P1347" t="s">
        <v>2506</v>
      </c>
      <c r="T1347" t="s">
        <v>1060</v>
      </c>
      <c r="U1347" t="s">
        <v>19</v>
      </c>
      <c r="V1347" t="s">
        <v>18</v>
      </c>
      <c r="W1347" t="s">
        <v>2581</v>
      </c>
      <c r="AC1347" t="s">
        <v>1095</v>
      </c>
      <c r="AD1347" t="s">
        <v>818</v>
      </c>
      <c r="AE1347" t="s">
        <v>18</v>
      </c>
      <c r="AF1347" t="s">
        <v>2366</v>
      </c>
    </row>
    <row r="1348" spans="1:32">
      <c r="A1348" t="s">
        <v>5712</v>
      </c>
      <c r="B1348" t="s">
        <v>1060</v>
      </c>
      <c r="C1348" t="s">
        <v>19</v>
      </c>
      <c r="D1348" t="s">
        <v>2995</v>
      </c>
      <c r="E1348" t="s">
        <v>857</v>
      </c>
      <c r="F1348" t="s">
        <v>4104</v>
      </c>
      <c r="M1348" t="s">
        <v>4772</v>
      </c>
      <c r="N1348" t="s">
        <v>1092</v>
      </c>
      <c r="O1348" t="s">
        <v>18</v>
      </c>
      <c r="P1348" t="s">
        <v>2505</v>
      </c>
      <c r="T1348" t="s">
        <v>1060</v>
      </c>
      <c r="U1348" t="s">
        <v>19</v>
      </c>
      <c r="V1348" t="s">
        <v>857</v>
      </c>
      <c r="W1348" t="s">
        <v>2995</v>
      </c>
      <c r="AC1348" t="s">
        <v>1095</v>
      </c>
      <c r="AD1348" t="s">
        <v>19</v>
      </c>
      <c r="AE1348" t="s">
        <v>18</v>
      </c>
      <c r="AF1348" t="s">
        <v>857</v>
      </c>
    </row>
    <row r="1349" spans="1:32">
      <c r="A1349" t="s">
        <v>5713</v>
      </c>
      <c r="B1349" t="s">
        <v>1060</v>
      </c>
      <c r="C1349" t="s">
        <v>19</v>
      </c>
      <c r="D1349" t="s">
        <v>2995</v>
      </c>
      <c r="E1349" t="s">
        <v>18</v>
      </c>
      <c r="F1349" t="s">
        <v>2996</v>
      </c>
      <c r="M1349" t="s">
        <v>4772</v>
      </c>
      <c r="N1349" t="s">
        <v>1092</v>
      </c>
      <c r="O1349" t="s">
        <v>18</v>
      </c>
      <c r="P1349" t="s">
        <v>2504</v>
      </c>
      <c r="T1349" t="s">
        <v>1060</v>
      </c>
      <c r="U1349" t="s">
        <v>19</v>
      </c>
      <c r="V1349" t="s">
        <v>18</v>
      </c>
      <c r="W1349" t="s">
        <v>2995</v>
      </c>
      <c r="AC1349" t="s">
        <v>1095</v>
      </c>
      <c r="AD1349" t="s">
        <v>19</v>
      </c>
      <c r="AE1349" t="s">
        <v>18</v>
      </c>
      <c r="AF1349" t="s">
        <v>2381</v>
      </c>
    </row>
    <row r="1350" spans="1:32">
      <c r="A1350" t="s">
        <v>5716</v>
      </c>
      <c r="B1350" t="s">
        <v>1060</v>
      </c>
      <c r="C1350" t="s">
        <v>2384</v>
      </c>
      <c r="D1350" t="s">
        <v>857</v>
      </c>
      <c r="E1350" t="s">
        <v>857</v>
      </c>
      <c r="F1350" t="s">
        <v>3891</v>
      </c>
      <c r="M1350" t="s">
        <v>4772</v>
      </c>
      <c r="N1350" t="s">
        <v>1092</v>
      </c>
      <c r="O1350" t="s">
        <v>18</v>
      </c>
      <c r="P1350" t="s">
        <v>2503</v>
      </c>
      <c r="T1350" t="s">
        <v>1060</v>
      </c>
      <c r="U1350" t="s">
        <v>2384</v>
      </c>
      <c r="V1350" t="s">
        <v>857</v>
      </c>
      <c r="W1350" t="s">
        <v>857</v>
      </c>
      <c r="AC1350" t="s">
        <v>1095</v>
      </c>
      <c r="AD1350" t="s">
        <v>19</v>
      </c>
      <c r="AE1350" t="s">
        <v>18</v>
      </c>
      <c r="AF1350" t="s">
        <v>2379</v>
      </c>
    </row>
    <row r="1351" spans="1:32">
      <c r="A1351" t="s">
        <v>5716</v>
      </c>
      <c r="B1351" t="s">
        <v>1060</v>
      </c>
      <c r="C1351" t="s">
        <v>2384</v>
      </c>
      <c r="D1351" t="s">
        <v>857</v>
      </c>
      <c r="E1351" t="s">
        <v>857</v>
      </c>
      <c r="F1351" t="s">
        <v>3771</v>
      </c>
      <c r="M1351" t="s">
        <v>4772</v>
      </c>
      <c r="N1351" t="s">
        <v>1092</v>
      </c>
      <c r="O1351" t="s">
        <v>18</v>
      </c>
      <c r="P1351" t="s">
        <v>2501</v>
      </c>
      <c r="T1351" t="s">
        <v>1060</v>
      </c>
      <c r="U1351" t="s">
        <v>2384</v>
      </c>
      <c r="V1351" t="s">
        <v>857</v>
      </c>
      <c r="W1351" t="s">
        <v>857</v>
      </c>
      <c r="AC1351" t="s">
        <v>1095</v>
      </c>
      <c r="AD1351" t="s">
        <v>19</v>
      </c>
      <c r="AE1351" t="s">
        <v>18</v>
      </c>
      <c r="AF1351" t="s">
        <v>2366</v>
      </c>
    </row>
    <row r="1352" spans="1:32">
      <c r="A1352" t="s">
        <v>5717</v>
      </c>
      <c r="B1352" t="s">
        <v>1060</v>
      </c>
      <c r="C1352" t="s">
        <v>2384</v>
      </c>
      <c r="D1352" t="s">
        <v>2998</v>
      </c>
      <c r="E1352" t="s">
        <v>857</v>
      </c>
      <c r="F1352" t="s">
        <v>4209</v>
      </c>
      <c r="M1352" t="s">
        <v>4772</v>
      </c>
      <c r="N1352" t="s">
        <v>1092</v>
      </c>
      <c r="O1352" t="s">
        <v>18</v>
      </c>
      <c r="P1352" t="s">
        <v>2500</v>
      </c>
      <c r="T1352" t="s">
        <v>1060</v>
      </c>
      <c r="U1352" t="s">
        <v>2384</v>
      </c>
      <c r="V1352" t="s">
        <v>857</v>
      </c>
      <c r="W1352" t="s">
        <v>2998</v>
      </c>
      <c r="AC1352" t="s">
        <v>1095</v>
      </c>
      <c r="AD1352" t="s">
        <v>2384</v>
      </c>
      <c r="AE1352" t="s">
        <v>857</v>
      </c>
      <c r="AF1352" t="s">
        <v>857</v>
      </c>
    </row>
    <row r="1353" spans="1:32">
      <c r="A1353" t="s">
        <v>5718</v>
      </c>
      <c r="B1353" t="s">
        <v>1060</v>
      </c>
      <c r="C1353" t="s">
        <v>2384</v>
      </c>
      <c r="D1353" t="s">
        <v>2993</v>
      </c>
      <c r="E1353" t="s">
        <v>857</v>
      </c>
      <c r="F1353" t="s">
        <v>3000</v>
      </c>
      <c r="M1353" t="s">
        <v>4772</v>
      </c>
      <c r="N1353" t="s">
        <v>1092</v>
      </c>
      <c r="O1353" t="s">
        <v>18</v>
      </c>
      <c r="P1353" t="s">
        <v>2498</v>
      </c>
      <c r="T1353" t="s">
        <v>1060</v>
      </c>
      <c r="U1353" t="s">
        <v>2384</v>
      </c>
      <c r="V1353" t="s">
        <v>857</v>
      </c>
      <c r="W1353" t="s">
        <v>2993</v>
      </c>
      <c r="AC1353" t="s">
        <v>1095</v>
      </c>
      <c r="AD1353" t="s">
        <v>2384</v>
      </c>
      <c r="AE1353" t="s">
        <v>857</v>
      </c>
      <c r="AF1353" t="s">
        <v>2381</v>
      </c>
    </row>
    <row r="1354" spans="1:32">
      <c r="A1354" t="s">
        <v>5719</v>
      </c>
      <c r="B1354" t="s">
        <v>1060</v>
      </c>
      <c r="C1354" t="s">
        <v>816</v>
      </c>
      <c r="D1354" t="s">
        <v>857</v>
      </c>
      <c r="E1354" t="s">
        <v>18</v>
      </c>
      <c r="F1354" t="s">
        <v>3006</v>
      </c>
      <c r="M1354" t="s">
        <v>4772</v>
      </c>
      <c r="N1354" t="s">
        <v>1092</v>
      </c>
      <c r="O1354" t="s">
        <v>18</v>
      </c>
      <c r="P1354" t="s">
        <v>2496</v>
      </c>
      <c r="T1354" t="s">
        <v>1060</v>
      </c>
      <c r="U1354" t="s">
        <v>816</v>
      </c>
      <c r="V1354" t="s">
        <v>18</v>
      </c>
      <c r="W1354" t="s">
        <v>857</v>
      </c>
      <c r="AC1354" t="s">
        <v>1095</v>
      </c>
      <c r="AD1354" t="s">
        <v>2384</v>
      </c>
      <c r="AE1354" t="s">
        <v>18</v>
      </c>
      <c r="AF1354" t="s">
        <v>2381</v>
      </c>
    </row>
    <row r="1355" spans="1:32">
      <c r="A1355" t="s">
        <v>5719</v>
      </c>
      <c r="B1355" t="s">
        <v>1060</v>
      </c>
      <c r="C1355" t="s">
        <v>816</v>
      </c>
      <c r="D1355" t="s">
        <v>857</v>
      </c>
      <c r="E1355" t="s">
        <v>18</v>
      </c>
      <c r="F1355" t="s">
        <v>3005</v>
      </c>
      <c r="M1355" t="s">
        <v>4809</v>
      </c>
      <c r="N1355" t="s">
        <v>1093</v>
      </c>
      <c r="O1355" t="s">
        <v>18</v>
      </c>
      <c r="P1355" t="s">
        <v>2494</v>
      </c>
      <c r="T1355" t="s">
        <v>1060</v>
      </c>
      <c r="U1355" t="s">
        <v>816</v>
      </c>
      <c r="V1355" t="s">
        <v>18</v>
      </c>
      <c r="W1355" t="s">
        <v>857</v>
      </c>
      <c r="AC1355" t="s">
        <v>1095</v>
      </c>
      <c r="AD1355" t="s">
        <v>2384</v>
      </c>
      <c r="AE1355" t="s">
        <v>18</v>
      </c>
      <c r="AF1355" t="s">
        <v>2379</v>
      </c>
    </row>
    <row r="1356" spans="1:32">
      <c r="A1356" t="s">
        <v>5721</v>
      </c>
      <c r="B1356" t="s">
        <v>1060</v>
      </c>
      <c r="C1356" t="s">
        <v>816</v>
      </c>
      <c r="D1356" t="s">
        <v>2993</v>
      </c>
      <c r="E1356" t="s">
        <v>18</v>
      </c>
      <c r="F1356" t="s">
        <v>2994</v>
      </c>
      <c r="M1356" t="s">
        <v>4809</v>
      </c>
      <c r="N1356" t="s">
        <v>1093</v>
      </c>
      <c r="O1356" t="s">
        <v>18</v>
      </c>
      <c r="P1356" t="s">
        <v>2493</v>
      </c>
      <c r="T1356" t="s">
        <v>1060</v>
      </c>
      <c r="U1356" t="s">
        <v>816</v>
      </c>
      <c r="V1356" t="s">
        <v>18</v>
      </c>
      <c r="W1356" t="s">
        <v>2993</v>
      </c>
      <c r="AC1356" t="s">
        <v>1095</v>
      </c>
      <c r="AD1356" t="s">
        <v>816</v>
      </c>
      <c r="AE1356" t="s">
        <v>857</v>
      </c>
      <c r="AF1356" t="s">
        <v>857</v>
      </c>
    </row>
    <row r="1357" spans="1:32">
      <c r="A1357" t="s">
        <v>5723</v>
      </c>
      <c r="B1357" t="s">
        <v>1061</v>
      </c>
      <c r="C1357" t="s">
        <v>818</v>
      </c>
      <c r="D1357" t="s">
        <v>857</v>
      </c>
      <c r="E1357" t="s">
        <v>857</v>
      </c>
      <c r="F1357" t="s">
        <v>3900</v>
      </c>
      <c r="M1357" t="s">
        <v>4809</v>
      </c>
      <c r="N1357" t="s">
        <v>1093</v>
      </c>
      <c r="O1357" t="s">
        <v>18</v>
      </c>
      <c r="P1357" t="s">
        <v>2492</v>
      </c>
      <c r="T1357" t="s">
        <v>1061</v>
      </c>
      <c r="U1357" t="s">
        <v>818</v>
      </c>
      <c r="V1357" t="s">
        <v>857</v>
      </c>
      <c r="W1357" t="s">
        <v>857</v>
      </c>
      <c r="AC1357" t="s">
        <v>1095</v>
      </c>
      <c r="AD1357" t="s">
        <v>816</v>
      </c>
      <c r="AE1357" t="s">
        <v>18</v>
      </c>
      <c r="AF1357" t="s">
        <v>857</v>
      </c>
    </row>
    <row r="1358" spans="1:32">
      <c r="A1358" t="s">
        <v>5724</v>
      </c>
      <c r="B1358" t="s">
        <v>1061</v>
      </c>
      <c r="C1358" t="s">
        <v>818</v>
      </c>
      <c r="D1358" t="s">
        <v>857</v>
      </c>
      <c r="E1358" t="s">
        <v>18</v>
      </c>
      <c r="F1358" t="s">
        <v>2986</v>
      </c>
      <c r="M1358" t="s">
        <v>4809</v>
      </c>
      <c r="N1358" t="s">
        <v>1093</v>
      </c>
      <c r="O1358" t="s">
        <v>18</v>
      </c>
      <c r="P1358" t="s">
        <v>2491</v>
      </c>
      <c r="T1358" t="s">
        <v>1061</v>
      </c>
      <c r="U1358" t="s">
        <v>818</v>
      </c>
      <c r="V1358" t="s">
        <v>18</v>
      </c>
      <c r="W1358" t="s">
        <v>857</v>
      </c>
      <c r="AC1358" t="s">
        <v>1095</v>
      </c>
      <c r="AD1358" t="s">
        <v>816</v>
      </c>
      <c r="AE1358" t="s">
        <v>18</v>
      </c>
      <c r="AF1358" t="s">
        <v>2366</v>
      </c>
    </row>
    <row r="1359" spans="1:32">
      <c r="A1359" t="s">
        <v>6561</v>
      </c>
      <c r="B1359" t="s">
        <v>1061</v>
      </c>
      <c r="C1359" t="s">
        <v>818</v>
      </c>
      <c r="D1359" t="s">
        <v>2981</v>
      </c>
      <c r="E1359" t="s">
        <v>857</v>
      </c>
      <c r="F1359" t="s">
        <v>3749</v>
      </c>
      <c r="M1359" t="s">
        <v>4809</v>
      </c>
      <c r="N1359" t="s">
        <v>1093</v>
      </c>
      <c r="O1359" t="s">
        <v>18</v>
      </c>
      <c r="P1359" t="s">
        <v>2490</v>
      </c>
      <c r="T1359" t="s">
        <v>1061</v>
      </c>
      <c r="U1359" t="s">
        <v>818</v>
      </c>
      <c r="V1359" t="s">
        <v>857</v>
      </c>
      <c r="W1359" t="s">
        <v>2981</v>
      </c>
      <c r="AC1359" t="s">
        <v>1096</v>
      </c>
      <c r="AD1359" t="s">
        <v>818</v>
      </c>
      <c r="AE1359" t="s">
        <v>18</v>
      </c>
      <c r="AF1359" t="s">
        <v>857</v>
      </c>
    </row>
    <row r="1360" spans="1:32">
      <c r="A1360" t="s">
        <v>6562</v>
      </c>
      <c r="B1360" t="s">
        <v>1061</v>
      </c>
      <c r="C1360" t="s">
        <v>818</v>
      </c>
      <c r="D1360" t="s">
        <v>2981</v>
      </c>
      <c r="E1360" t="s">
        <v>53</v>
      </c>
      <c r="F1360" t="s">
        <v>2984</v>
      </c>
      <c r="M1360" t="s">
        <v>4809</v>
      </c>
      <c r="N1360" t="s">
        <v>1093</v>
      </c>
      <c r="O1360" t="s">
        <v>18</v>
      </c>
      <c r="P1360" t="s">
        <v>2489</v>
      </c>
      <c r="T1360" t="s">
        <v>1061</v>
      </c>
      <c r="U1360" t="s">
        <v>818</v>
      </c>
      <c r="V1360" t="s">
        <v>53</v>
      </c>
      <c r="W1360" t="s">
        <v>2981</v>
      </c>
      <c r="AC1360" t="s">
        <v>1096</v>
      </c>
      <c r="AD1360" t="s">
        <v>19</v>
      </c>
      <c r="AE1360" t="s">
        <v>857</v>
      </c>
      <c r="AF1360" t="s">
        <v>2941</v>
      </c>
    </row>
    <row r="1361" spans="1:32">
      <c r="A1361" t="s">
        <v>6563</v>
      </c>
      <c r="B1361" t="s">
        <v>1061</v>
      </c>
      <c r="C1361" t="s">
        <v>818</v>
      </c>
      <c r="D1361" t="s">
        <v>2981</v>
      </c>
      <c r="E1361" t="s">
        <v>18</v>
      </c>
      <c r="F1361" t="s">
        <v>2982</v>
      </c>
      <c r="M1361" t="s">
        <v>4809</v>
      </c>
      <c r="N1361" t="s">
        <v>1093</v>
      </c>
      <c r="O1361" t="s">
        <v>18</v>
      </c>
      <c r="P1361" t="s">
        <v>2488</v>
      </c>
      <c r="T1361" t="s">
        <v>1061</v>
      </c>
      <c r="U1361" t="s">
        <v>818</v>
      </c>
      <c r="V1361" t="s">
        <v>18</v>
      </c>
      <c r="W1361" t="s">
        <v>2981</v>
      </c>
      <c r="AC1361" t="s">
        <v>1096</v>
      </c>
      <c r="AD1361" t="s">
        <v>19</v>
      </c>
      <c r="AE1361" t="s">
        <v>53</v>
      </c>
      <c r="AF1361" t="s">
        <v>857</v>
      </c>
    </row>
    <row r="1362" spans="1:32">
      <c r="A1362" t="s">
        <v>5727</v>
      </c>
      <c r="B1362" t="s">
        <v>1061</v>
      </c>
      <c r="C1362" t="s">
        <v>19</v>
      </c>
      <c r="D1362" t="s">
        <v>2863</v>
      </c>
      <c r="E1362" t="s">
        <v>18</v>
      </c>
      <c r="F1362" t="s">
        <v>2980</v>
      </c>
      <c r="M1362" t="s">
        <v>4809</v>
      </c>
      <c r="N1362" t="s">
        <v>1093</v>
      </c>
      <c r="O1362" t="s">
        <v>18</v>
      </c>
      <c r="P1362" t="s">
        <v>2486</v>
      </c>
      <c r="T1362" t="s">
        <v>1061</v>
      </c>
      <c r="U1362" t="s">
        <v>19</v>
      </c>
      <c r="V1362" t="s">
        <v>18</v>
      </c>
      <c r="W1362" t="s">
        <v>2863</v>
      </c>
      <c r="AC1362" t="s">
        <v>1096</v>
      </c>
      <c r="AD1362" t="s">
        <v>19</v>
      </c>
      <c r="AE1362" t="s">
        <v>18</v>
      </c>
      <c r="AF1362" t="s">
        <v>857</v>
      </c>
    </row>
    <row r="1363" spans="1:32">
      <c r="A1363" t="s">
        <v>6564</v>
      </c>
      <c r="B1363" t="s">
        <v>1061</v>
      </c>
      <c r="C1363" t="s">
        <v>2416</v>
      </c>
      <c r="D1363" t="s">
        <v>2981</v>
      </c>
      <c r="E1363" t="s">
        <v>18</v>
      </c>
      <c r="F1363" t="s">
        <v>2983</v>
      </c>
      <c r="M1363" t="s">
        <v>4809</v>
      </c>
      <c r="N1363" t="s">
        <v>1093</v>
      </c>
      <c r="O1363" t="s">
        <v>18</v>
      </c>
      <c r="P1363" t="s">
        <v>2484</v>
      </c>
      <c r="T1363" t="s">
        <v>1061</v>
      </c>
      <c r="U1363" t="s">
        <v>2416</v>
      </c>
      <c r="V1363" t="s">
        <v>18</v>
      </c>
      <c r="W1363" t="s">
        <v>2981</v>
      </c>
      <c r="AC1363" t="s">
        <v>1096</v>
      </c>
      <c r="AD1363" t="s">
        <v>19</v>
      </c>
      <c r="AE1363" t="s">
        <v>18</v>
      </c>
      <c r="AF1363" t="s">
        <v>2941</v>
      </c>
    </row>
    <row r="1364" spans="1:32">
      <c r="A1364" t="s">
        <v>5731</v>
      </c>
      <c r="B1364" t="s">
        <v>1061</v>
      </c>
      <c r="C1364" t="s">
        <v>816</v>
      </c>
      <c r="D1364" t="s">
        <v>857</v>
      </c>
      <c r="E1364" t="s">
        <v>18</v>
      </c>
      <c r="F1364" t="s">
        <v>2987</v>
      </c>
      <c r="M1364" t="s">
        <v>4809</v>
      </c>
      <c r="N1364" t="s">
        <v>1093</v>
      </c>
      <c r="O1364" t="s">
        <v>18</v>
      </c>
      <c r="P1364" t="s">
        <v>2483</v>
      </c>
      <c r="T1364" t="s">
        <v>1061</v>
      </c>
      <c r="U1364" t="s">
        <v>816</v>
      </c>
      <c r="V1364" t="s">
        <v>18</v>
      </c>
      <c r="W1364" t="s">
        <v>857</v>
      </c>
      <c r="AC1364" t="s">
        <v>1096</v>
      </c>
      <c r="AD1364" t="s">
        <v>2384</v>
      </c>
      <c r="AE1364" t="s">
        <v>857</v>
      </c>
      <c r="AF1364" t="s">
        <v>2941</v>
      </c>
    </row>
    <row r="1365" spans="1:32">
      <c r="A1365" t="s">
        <v>5731</v>
      </c>
      <c r="B1365" t="s">
        <v>1061</v>
      </c>
      <c r="C1365" t="s">
        <v>816</v>
      </c>
      <c r="D1365" t="s">
        <v>857</v>
      </c>
      <c r="E1365" t="s">
        <v>18</v>
      </c>
      <c r="F1365" t="s">
        <v>2985</v>
      </c>
      <c r="M1365" t="s">
        <v>4809</v>
      </c>
      <c r="N1365" t="s">
        <v>1093</v>
      </c>
      <c r="O1365" t="s">
        <v>18</v>
      </c>
      <c r="P1365" t="s">
        <v>2481</v>
      </c>
      <c r="T1365" t="s">
        <v>1061</v>
      </c>
      <c r="U1365" t="s">
        <v>816</v>
      </c>
      <c r="V1365" t="s">
        <v>18</v>
      </c>
      <c r="W1365" t="s">
        <v>857</v>
      </c>
      <c r="AC1365" t="s">
        <v>1096</v>
      </c>
      <c r="AD1365" t="s">
        <v>2384</v>
      </c>
      <c r="AE1365" t="s">
        <v>18</v>
      </c>
      <c r="AF1365" t="s">
        <v>2941</v>
      </c>
    </row>
    <row r="1366" spans="1:32">
      <c r="A1366" t="s">
        <v>6565</v>
      </c>
      <c r="B1366" t="s">
        <v>1061</v>
      </c>
      <c r="C1366" t="s">
        <v>816</v>
      </c>
      <c r="D1366" t="s">
        <v>2978</v>
      </c>
      <c r="E1366" t="s">
        <v>857</v>
      </c>
      <c r="F1366" t="s">
        <v>3992</v>
      </c>
      <c r="M1366" t="s">
        <v>4809</v>
      </c>
      <c r="N1366" t="s">
        <v>1093</v>
      </c>
      <c r="O1366" t="s">
        <v>18</v>
      </c>
      <c r="P1366" t="s">
        <v>2479</v>
      </c>
      <c r="T1366" t="s">
        <v>1061</v>
      </c>
      <c r="U1366" t="s">
        <v>816</v>
      </c>
      <c r="V1366" t="s">
        <v>857</v>
      </c>
      <c r="W1366" t="s">
        <v>2978</v>
      </c>
      <c r="AC1366" t="s">
        <v>1096</v>
      </c>
      <c r="AD1366" t="s">
        <v>816</v>
      </c>
      <c r="AE1366" t="s">
        <v>18</v>
      </c>
      <c r="AF1366" t="s">
        <v>857</v>
      </c>
    </row>
    <row r="1367" spans="1:32">
      <c r="A1367" t="s">
        <v>6566</v>
      </c>
      <c r="B1367" t="s">
        <v>1061</v>
      </c>
      <c r="C1367" t="s">
        <v>816</v>
      </c>
      <c r="D1367" t="s">
        <v>2978</v>
      </c>
      <c r="E1367" t="s">
        <v>18</v>
      </c>
      <c r="F1367" t="s">
        <v>2979</v>
      </c>
      <c r="M1367" t="s">
        <v>4809</v>
      </c>
      <c r="N1367" t="s">
        <v>1093</v>
      </c>
      <c r="O1367" t="s">
        <v>18</v>
      </c>
      <c r="P1367" t="s">
        <v>2477</v>
      </c>
      <c r="T1367" t="s">
        <v>1061</v>
      </c>
      <c r="U1367" t="s">
        <v>816</v>
      </c>
      <c r="V1367" t="s">
        <v>18</v>
      </c>
      <c r="W1367" t="s">
        <v>2978</v>
      </c>
      <c r="AC1367" t="s">
        <v>1097</v>
      </c>
      <c r="AD1367" t="s">
        <v>818</v>
      </c>
      <c r="AE1367" t="s">
        <v>857</v>
      </c>
      <c r="AF1367" t="s">
        <v>857</v>
      </c>
    </row>
    <row r="1368" spans="1:32">
      <c r="A1368" t="s">
        <v>5734</v>
      </c>
      <c r="B1368" t="s">
        <v>1062</v>
      </c>
      <c r="C1368" t="s">
        <v>818</v>
      </c>
      <c r="D1368" t="s">
        <v>857</v>
      </c>
      <c r="E1368" t="s">
        <v>18</v>
      </c>
      <c r="F1368" t="s">
        <v>3044</v>
      </c>
      <c r="M1368" t="s">
        <v>4810</v>
      </c>
      <c r="N1368" t="s">
        <v>2912</v>
      </c>
      <c r="O1368" t="s">
        <v>53</v>
      </c>
      <c r="P1368" t="s">
        <v>2918</v>
      </c>
      <c r="T1368" t="s">
        <v>1062</v>
      </c>
      <c r="U1368" t="s">
        <v>818</v>
      </c>
      <c r="V1368" t="s">
        <v>18</v>
      </c>
      <c r="W1368" t="s">
        <v>857</v>
      </c>
      <c r="AC1368" t="s">
        <v>1097</v>
      </c>
      <c r="AD1368" t="s">
        <v>818</v>
      </c>
      <c r="AE1368" t="s">
        <v>857</v>
      </c>
      <c r="AF1368" t="s">
        <v>2363</v>
      </c>
    </row>
    <row r="1369" spans="1:32">
      <c r="A1369" t="s">
        <v>5734</v>
      </c>
      <c r="B1369" t="s">
        <v>1062</v>
      </c>
      <c r="C1369" t="s">
        <v>818</v>
      </c>
      <c r="D1369" t="s">
        <v>857</v>
      </c>
      <c r="E1369" t="s">
        <v>18</v>
      </c>
      <c r="F1369" t="s">
        <v>3043</v>
      </c>
      <c r="M1369" t="s">
        <v>4810</v>
      </c>
      <c r="N1369" t="s">
        <v>2912</v>
      </c>
      <c r="O1369" t="s">
        <v>53</v>
      </c>
      <c r="P1369" t="s">
        <v>2917</v>
      </c>
      <c r="T1369" t="s">
        <v>1062</v>
      </c>
      <c r="U1369" t="s">
        <v>818</v>
      </c>
      <c r="V1369" t="s">
        <v>18</v>
      </c>
      <c r="W1369" t="s">
        <v>857</v>
      </c>
      <c r="AC1369" t="s">
        <v>1097</v>
      </c>
      <c r="AD1369" t="s">
        <v>818</v>
      </c>
      <c r="AE1369" t="s">
        <v>18</v>
      </c>
      <c r="AF1369" t="s">
        <v>857</v>
      </c>
    </row>
    <row r="1370" spans="1:32">
      <c r="A1370" t="s">
        <v>5734</v>
      </c>
      <c r="B1370" t="s">
        <v>1062</v>
      </c>
      <c r="C1370" t="s">
        <v>818</v>
      </c>
      <c r="D1370" t="s">
        <v>857</v>
      </c>
      <c r="E1370" t="s">
        <v>18</v>
      </c>
      <c r="F1370" t="s">
        <v>3041</v>
      </c>
      <c r="M1370" t="s">
        <v>4810</v>
      </c>
      <c r="N1370" t="s">
        <v>2912</v>
      </c>
      <c r="O1370" t="s">
        <v>53</v>
      </c>
      <c r="P1370" t="s">
        <v>2915</v>
      </c>
      <c r="T1370" t="s">
        <v>1062</v>
      </c>
      <c r="U1370" t="s">
        <v>818</v>
      </c>
      <c r="V1370" t="s">
        <v>18</v>
      </c>
      <c r="W1370" t="s">
        <v>857</v>
      </c>
      <c r="AC1370" t="s">
        <v>1097</v>
      </c>
      <c r="AD1370" t="s">
        <v>818</v>
      </c>
      <c r="AE1370" t="s">
        <v>18</v>
      </c>
      <c r="AF1370" t="s">
        <v>2366</v>
      </c>
    </row>
    <row r="1371" spans="1:32">
      <c r="A1371" t="s">
        <v>5734</v>
      </c>
      <c r="B1371" t="s">
        <v>1062</v>
      </c>
      <c r="C1371" t="s">
        <v>818</v>
      </c>
      <c r="D1371" t="s">
        <v>857</v>
      </c>
      <c r="E1371" t="s">
        <v>18</v>
      </c>
      <c r="F1371" t="s">
        <v>3039</v>
      </c>
      <c r="M1371" t="s">
        <v>4810</v>
      </c>
      <c r="N1371" t="s">
        <v>2912</v>
      </c>
      <c r="O1371" t="s">
        <v>53</v>
      </c>
      <c r="P1371" t="s">
        <v>2913</v>
      </c>
      <c r="T1371" t="s">
        <v>1062</v>
      </c>
      <c r="U1371" t="s">
        <v>818</v>
      </c>
      <c r="V1371" t="s">
        <v>18</v>
      </c>
      <c r="W1371" t="s">
        <v>857</v>
      </c>
      <c r="AC1371" t="s">
        <v>1097</v>
      </c>
      <c r="AD1371" t="s">
        <v>19</v>
      </c>
      <c r="AE1371" t="s">
        <v>857</v>
      </c>
      <c r="AF1371" t="s">
        <v>857</v>
      </c>
    </row>
    <row r="1372" spans="1:32">
      <c r="A1372" t="s">
        <v>5735</v>
      </c>
      <c r="B1372" t="s">
        <v>1062</v>
      </c>
      <c r="C1372" t="s">
        <v>818</v>
      </c>
      <c r="D1372" t="s">
        <v>3035</v>
      </c>
      <c r="E1372" t="s">
        <v>857</v>
      </c>
      <c r="F1372" t="s">
        <v>3746</v>
      </c>
      <c r="M1372" t="s">
        <v>4811</v>
      </c>
      <c r="N1372" t="s">
        <v>2912</v>
      </c>
      <c r="O1372" t="s">
        <v>18</v>
      </c>
      <c r="P1372" t="s">
        <v>3333</v>
      </c>
      <c r="T1372" t="s">
        <v>1062</v>
      </c>
      <c r="U1372" t="s">
        <v>818</v>
      </c>
      <c r="V1372" t="s">
        <v>857</v>
      </c>
      <c r="W1372" t="s">
        <v>3035</v>
      </c>
      <c r="AC1372" t="s">
        <v>1097</v>
      </c>
      <c r="AD1372" t="s">
        <v>19</v>
      </c>
      <c r="AE1372" t="s">
        <v>857</v>
      </c>
      <c r="AF1372" t="s">
        <v>2363</v>
      </c>
    </row>
    <row r="1373" spans="1:32">
      <c r="A1373" t="s">
        <v>5736</v>
      </c>
      <c r="B1373" t="s">
        <v>1062</v>
      </c>
      <c r="C1373" t="s">
        <v>818</v>
      </c>
      <c r="D1373" t="s">
        <v>3035</v>
      </c>
      <c r="E1373" t="s">
        <v>18</v>
      </c>
      <c r="F1373" t="s">
        <v>3036</v>
      </c>
      <c r="M1373" t="s">
        <v>4812</v>
      </c>
      <c r="N1373" t="s">
        <v>2864</v>
      </c>
      <c r="O1373" t="s">
        <v>18</v>
      </c>
      <c r="P1373" t="s">
        <v>2866</v>
      </c>
      <c r="T1373" t="s">
        <v>1062</v>
      </c>
      <c r="U1373" t="s">
        <v>818</v>
      </c>
      <c r="V1373" t="s">
        <v>18</v>
      </c>
      <c r="W1373" t="s">
        <v>3035</v>
      </c>
      <c r="AC1373" t="s">
        <v>1097</v>
      </c>
      <c r="AD1373" t="s">
        <v>19</v>
      </c>
      <c r="AE1373" t="s">
        <v>18</v>
      </c>
      <c r="AF1373" t="s">
        <v>857</v>
      </c>
    </row>
    <row r="1374" spans="1:32">
      <c r="A1374" t="s">
        <v>6567</v>
      </c>
      <c r="B1374" t="s">
        <v>1062</v>
      </c>
      <c r="C1374" t="s">
        <v>818</v>
      </c>
      <c r="D1374" t="s">
        <v>3033</v>
      </c>
      <c r="E1374" t="s">
        <v>18</v>
      </c>
      <c r="F1374" t="s">
        <v>3034</v>
      </c>
      <c r="M1374" t="s">
        <v>4812</v>
      </c>
      <c r="N1374" t="s">
        <v>2864</v>
      </c>
      <c r="O1374" t="s">
        <v>18</v>
      </c>
      <c r="P1374" t="s">
        <v>2865</v>
      </c>
      <c r="T1374" t="s">
        <v>1062</v>
      </c>
      <c r="U1374" t="s">
        <v>818</v>
      </c>
      <c r="V1374" t="s">
        <v>18</v>
      </c>
      <c r="W1374" t="s">
        <v>3033</v>
      </c>
      <c r="AC1374" t="s">
        <v>1097</v>
      </c>
      <c r="AD1374" t="s">
        <v>19</v>
      </c>
      <c r="AE1374" t="s">
        <v>18</v>
      </c>
      <c r="AF1374" t="s">
        <v>2363</v>
      </c>
    </row>
    <row r="1375" spans="1:32">
      <c r="A1375" t="s">
        <v>5737</v>
      </c>
      <c r="B1375" t="s">
        <v>1062</v>
      </c>
      <c r="C1375" t="s">
        <v>818</v>
      </c>
      <c r="D1375" t="s">
        <v>3031</v>
      </c>
      <c r="E1375" t="s">
        <v>18</v>
      </c>
      <c r="F1375" t="s">
        <v>3032</v>
      </c>
      <c r="M1375" t="s">
        <v>4773</v>
      </c>
      <c r="N1375" t="s">
        <v>2875</v>
      </c>
      <c r="O1375" t="s">
        <v>53</v>
      </c>
      <c r="P1375" t="s">
        <v>2973</v>
      </c>
      <c r="T1375" t="s">
        <v>1062</v>
      </c>
      <c r="U1375" t="s">
        <v>818</v>
      </c>
      <c r="V1375" t="s">
        <v>18</v>
      </c>
      <c r="W1375" t="s">
        <v>3031</v>
      </c>
      <c r="AC1375" t="s">
        <v>1097</v>
      </c>
      <c r="AD1375" t="s">
        <v>19</v>
      </c>
      <c r="AE1375" t="s">
        <v>18</v>
      </c>
      <c r="AF1375" t="s">
        <v>2366</v>
      </c>
    </row>
    <row r="1376" spans="1:32">
      <c r="A1376" t="s">
        <v>5740</v>
      </c>
      <c r="B1376" t="s">
        <v>1062</v>
      </c>
      <c r="C1376" t="s">
        <v>816</v>
      </c>
      <c r="D1376" t="s">
        <v>857</v>
      </c>
      <c r="E1376" t="s">
        <v>53</v>
      </c>
      <c r="F1376" t="s">
        <v>3038</v>
      </c>
      <c r="M1376" t="s">
        <v>4773</v>
      </c>
      <c r="N1376" t="s">
        <v>2875</v>
      </c>
      <c r="O1376" t="s">
        <v>53</v>
      </c>
      <c r="P1376" t="s">
        <v>2966</v>
      </c>
      <c r="T1376" t="s">
        <v>1062</v>
      </c>
      <c r="U1376" t="s">
        <v>816</v>
      </c>
      <c r="V1376" t="s">
        <v>53</v>
      </c>
      <c r="W1376" t="s">
        <v>857</v>
      </c>
      <c r="AC1376" t="s">
        <v>1097</v>
      </c>
      <c r="AD1376" t="s">
        <v>2384</v>
      </c>
      <c r="AE1376" t="s">
        <v>857</v>
      </c>
      <c r="AF1376" t="s">
        <v>857</v>
      </c>
    </row>
    <row r="1377" spans="1:32">
      <c r="A1377" t="s">
        <v>5741</v>
      </c>
      <c r="B1377" t="s">
        <v>1062</v>
      </c>
      <c r="C1377" t="s">
        <v>816</v>
      </c>
      <c r="D1377" t="s">
        <v>857</v>
      </c>
      <c r="E1377" t="s">
        <v>18</v>
      </c>
      <c r="F1377" t="s">
        <v>3042</v>
      </c>
      <c r="M1377" t="s">
        <v>4773</v>
      </c>
      <c r="N1377" t="s">
        <v>2875</v>
      </c>
      <c r="O1377" t="s">
        <v>53</v>
      </c>
      <c r="P1377" t="s">
        <v>2964</v>
      </c>
      <c r="T1377" t="s">
        <v>1062</v>
      </c>
      <c r="U1377" t="s">
        <v>816</v>
      </c>
      <c r="V1377" t="s">
        <v>18</v>
      </c>
      <c r="W1377" t="s">
        <v>857</v>
      </c>
      <c r="AC1377" t="s">
        <v>1097</v>
      </c>
      <c r="AD1377" t="s">
        <v>2384</v>
      </c>
      <c r="AE1377" t="s">
        <v>857</v>
      </c>
      <c r="AF1377" t="s">
        <v>2363</v>
      </c>
    </row>
    <row r="1378" spans="1:32">
      <c r="A1378" t="s">
        <v>5741</v>
      </c>
      <c r="B1378" t="s">
        <v>1062</v>
      </c>
      <c r="C1378" t="s">
        <v>816</v>
      </c>
      <c r="D1378" t="s">
        <v>857</v>
      </c>
      <c r="E1378" t="s">
        <v>18</v>
      </c>
      <c r="F1378" t="s">
        <v>3040</v>
      </c>
      <c r="M1378" t="s">
        <v>4774</v>
      </c>
      <c r="N1378" t="s">
        <v>2875</v>
      </c>
      <c r="O1378" t="s">
        <v>18</v>
      </c>
      <c r="P1378" t="s">
        <v>3290</v>
      </c>
      <c r="T1378" t="s">
        <v>1062</v>
      </c>
      <c r="U1378" t="s">
        <v>816</v>
      </c>
      <c r="V1378" t="s">
        <v>18</v>
      </c>
      <c r="W1378" t="s">
        <v>857</v>
      </c>
      <c r="AC1378" t="s">
        <v>1097</v>
      </c>
      <c r="AD1378" t="s">
        <v>2416</v>
      </c>
      <c r="AE1378" t="s">
        <v>18</v>
      </c>
      <c r="AF1378" t="s">
        <v>2366</v>
      </c>
    </row>
    <row r="1379" spans="1:32">
      <c r="A1379" t="s">
        <v>6568</v>
      </c>
      <c r="B1379" t="s">
        <v>1062</v>
      </c>
      <c r="C1379" t="s">
        <v>816</v>
      </c>
      <c r="D1379" t="s">
        <v>3033</v>
      </c>
      <c r="E1379" t="s">
        <v>53</v>
      </c>
      <c r="F1379" t="s">
        <v>3037</v>
      </c>
      <c r="M1379" t="s">
        <v>4774</v>
      </c>
      <c r="N1379" t="s">
        <v>2875</v>
      </c>
      <c r="O1379" t="s">
        <v>18</v>
      </c>
      <c r="P1379" t="s">
        <v>3267</v>
      </c>
      <c r="T1379" t="s">
        <v>1062</v>
      </c>
      <c r="U1379" t="s">
        <v>816</v>
      </c>
      <c r="V1379" t="s">
        <v>53</v>
      </c>
      <c r="W1379" t="s">
        <v>3033</v>
      </c>
      <c r="AC1379" t="s">
        <v>1097</v>
      </c>
      <c r="AD1379" t="s">
        <v>816</v>
      </c>
      <c r="AE1379" t="s">
        <v>857</v>
      </c>
      <c r="AF1379" t="s">
        <v>857</v>
      </c>
    </row>
    <row r="1380" spans="1:32">
      <c r="A1380" t="s">
        <v>5743</v>
      </c>
      <c r="B1380" t="s">
        <v>1062</v>
      </c>
      <c r="C1380" t="s">
        <v>816</v>
      </c>
      <c r="D1380" t="s">
        <v>3029</v>
      </c>
      <c r="E1380" t="s">
        <v>857</v>
      </c>
      <c r="F1380" t="s">
        <v>3745</v>
      </c>
      <c r="M1380" t="s">
        <v>4774</v>
      </c>
      <c r="N1380" t="s">
        <v>2875</v>
      </c>
      <c r="O1380" t="s">
        <v>18</v>
      </c>
      <c r="P1380" t="s">
        <v>2969</v>
      </c>
      <c r="T1380" t="s">
        <v>1062</v>
      </c>
      <c r="U1380" t="s">
        <v>816</v>
      </c>
      <c r="V1380" t="s">
        <v>857</v>
      </c>
      <c r="W1380" t="s">
        <v>3029</v>
      </c>
      <c r="AC1380" t="s">
        <v>1097</v>
      </c>
      <c r="AD1380" t="s">
        <v>816</v>
      </c>
      <c r="AE1380" t="s">
        <v>18</v>
      </c>
      <c r="AF1380" t="s">
        <v>857</v>
      </c>
    </row>
    <row r="1381" spans="1:32">
      <c r="A1381" t="s">
        <v>5744</v>
      </c>
      <c r="B1381" t="s">
        <v>1062</v>
      </c>
      <c r="C1381" t="s">
        <v>816</v>
      </c>
      <c r="D1381" t="s">
        <v>3029</v>
      </c>
      <c r="E1381" t="s">
        <v>18</v>
      </c>
      <c r="F1381" t="s">
        <v>3030</v>
      </c>
      <c r="M1381" t="s">
        <v>4774</v>
      </c>
      <c r="N1381" t="s">
        <v>2875</v>
      </c>
      <c r="O1381" t="s">
        <v>18</v>
      </c>
      <c r="P1381" t="s">
        <v>2968</v>
      </c>
      <c r="T1381" t="s">
        <v>1062</v>
      </c>
      <c r="U1381" t="s">
        <v>816</v>
      </c>
      <c r="V1381" t="s">
        <v>18</v>
      </c>
      <c r="W1381" t="s">
        <v>3029</v>
      </c>
      <c r="AC1381" t="s">
        <v>1097</v>
      </c>
      <c r="AD1381" t="s">
        <v>816</v>
      </c>
      <c r="AE1381" t="s">
        <v>18</v>
      </c>
      <c r="AF1381" t="s">
        <v>2363</v>
      </c>
    </row>
    <row r="1382" spans="1:32">
      <c r="A1382" t="s">
        <v>5747</v>
      </c>
      <c r="B1382" t="s">
        <v>1063</v>
      </c>
      <c r="C1382" t="s">
        <v>818</v>
      </c>
      <c r="D1382" t="s">
        <v>857</v>
      </c>
      <c r="E1382" t="s">
        <v>857</v>
      </c>
      <c r="F1382" t="s">
        <v>3894</v>
      </c>
      <c r="M1382" t="s">
        <v>4774</v>
      </c>
      <c r="N1382" t="s">
        <v>2875</v>
      </c>
      <c r="O1382" t="s">
        <v>18</v>
      </c>
      <c r="P1382" t="s">
        <v>2967</v>
      </c>
      <c r="T1382" t="s">
        <v>1063</v>
      </c>
      <c r="U1382" t="s">
        <v>818</v>
      </c>
      <c r="V1382" t="s">
        <v>857</v>
      </c>
      <c r="W1382" t="s">
        <v>857</v>
      </c>
      <c r="AC1382" t="s">
        <v>1097</v>
      </c>
      <c r="AD1382" t="s">
        <v>816</v>
      </c>
      <c r="AE1382" t="s">
        <v>18</v>
      </c>
      <c r="AF1382" t="s">
        <v>2366</v>
      </c>
    </row>
    <row r="1383" spans="1:32">
      <c r="A1383" t="s">
        <v>5747</v>
      </c>
      <c r="B1383" t="s">
        <v>1063</v>
      </c>
      <c r="C1383" t="s">
        <v>818</v>
      </c>
      <c r="D1383" t="s">
        <v>857</v>
      </c>
      <c r="E1383" t="s">
        <v>857</v>
      </c>
      <c r="F1383" t="s">
        <v>3865</v>
      </c>
      <c r="M1383" t="s">
        <v>4774</v>
      </c>
      <c r="N1383" t="s">
        <v>2875</v>
      </c>
      <c r="O1383" t="s">
        <v>18</v>
      </c>
      <c r="P1383" t="s">
        <v>2962</v>
      </c>
      <c r="T1383" t="s">
        <v>1063</v>
      </c>
      <c r="U1383" t="s">
        <v>818</v>
      </c>
      <c r="V1383" t="s">
        <v>857</v>
      </c>
      <c r="W1383" t="s">
        <v>857</v>
      </c>
    </row>
    <row r="1384" spans="1:32">
      <c r="A1384" t="s">
        <v>5748</v>
      </c>
      <c r="B1384" t="s">
        <v>1063</v>
      </c>
      <c r="C1384" t="s">
        <v>818</v>
      </c>
      <c r="D1384" t="s">
        <v>857</v>
      </c>
      <c r="E1384" t="s">
        <v>18</v>
      </c>
      <c r="F1384" t="s">
        <v>3024</v>
      </c>
      <c r="M1384" t="s">
        <v>4774</v>
      </c>
      <c r="N1384" t="s">
        <v>2875</v>
      </c>
      <c r="O1384" t="s">
        <v>18</v>
      </c>
      <c r="P1384" t="s">
        <v>2960</v>
      </c>
      <c r="T1384" t="s">
        <v>1063</v>
      </c>
      <c r="U1384" t="s">
        <v>818</v>
      </c>
      <c r="V1384" t="s">
        <v>18</v>
      </c>
      <c r="W1384" t="s">
        <v>857</v>
      </c>
    </row>
    <row r="1385" spans="1:32">
      <c r="A1385" t="s">
        <v>5748</v>
      </c>
      <c r="B1385" t="s">
        <v>1063</v>
      </c>
      <c r="C1385" t="s">
        <v>818</v>
      </c>
      <c r="D1385" t="s">
        <v>857</v>
      </c>
      <c r="E1385" t="s">
        <v>18</v>
      </c>
      <c r="F1385" t="s">
        <v>3023</v>
      </c>
      <c r="M1385" t="s">
        <v>4774</v>
      </c>
      <c r="N1385" t="s">
        <v>2875</v>
      </c>
      <c r="O1385" t="s">
        <v>18</v>
      </c>
      <c r="P1385" t="s">
        <v>2880</v>
      </c>
      <c r="T1385" t="s">
        <v>1063</v>
      </c>
      <c r="U1385" t="s">
        <v>818</v>
      </c>
      <c r="V1385" t="s">
        <v>18</v>
      </c>
      <c r="W1385" t="s">
        <v>857</v>
      </c>
    </row>
    <row r="1386" spans="1:32">
      <c r="A1386" t="s">
        <v>5748</v>
      </c>
      <c r="B1386" t="s">
        <v>1063</v>
      </c>
      <c r="C1386" t="s">
        <v>818</v>
      </c>
      <c r="D1386" t="s">
        <v>857</v>
      </c>
      <c r="E1386" t="s">
        <v>18</v>
      </c>
      <c r="F1386" t="s">
        <v>3020</v>
      </c>
      <c r="M1386" t="s">
        <v>4774</v>
      </c>
      <c r="N1386" t="s">
        <v>2875</v>
      </c>
      <c r="O1386" t="s">
        <v>18</v>
      </c>
      <c r="P1386" t="s">
        <v>2876</v>
      </c>
      <c r="T1386" t="s">
        <v>1063</v>
      </c>
      <c r="U1386" t="s">
        <v>818</v>
      </c>
      <c r="V1386" t="s">
        <v>18</v>
      </c>
      <c r="W1386" t="s">
        <v>857</v>
      </c>
    </row>
    <row r="1387" spans="1:32">
      <c r="A1387" t="s">
        <v>5749</v>
      </c>
      <c r="B1387" t="s">
        <v>1063</v>
      </c>
      <c r="C1387" t="s">
        <v>818</v>
      </c>
      <c r="D1387" t="s">
        <v>3017</v>
      </c>
      <c r="E1387" t="s">
        <v>18</v>
      </c>
      <c r="F1387" t="s">
        <v>3018</v>
      </c>
      <c r="M1387" t="s">
        <v>4775</v>
      </c>
      <c r="N1387" t="s">
        <v>1094</v>
      </c>
      <c r="O1387" t="s">
        <v>18</v>
      </c>
      <c r="P1387" t="s">
        <v>2475</v>
      </c>
      <c r="T1387" t="s">
        <v>1063</v>
      </c>
      <c r="U1387" t="s">
        <v>818</v>
      </c>
      <c r="V1387" t="s">
        <v>18</v>
      </c>
      <c r="W1387" t="s">
        <v>3017</v>
      </c>
    </row>
    <row r="1388" spans="1:32">
      <c r="A1388" t="s">
        <v>5750</v>
      </c>
      <c r="B1388" t="s">
        <v>1063</v>
      </c>
      <c r="C1388" t="s">
        <v>818</v>
      </c>
      <c r="D1388" t="s">
        <v>2559</v>
      </c>
      <c r="E1388" t="s">
        <v>857</v>
      </c>
      <c r="F1388" t="s">
        <v>4163</v>
      </c>
      <c r="M1388" t="s">
        <v>4775</v>
      </c>
      <c r="N1388" t="s">
        <v>1094</v>
      </c>
      <c r="O1388" t="s">
        <v>18</v>
      </c>
      <c r="P1388" t="s">
        <v>2474</v>
      </c>
      <c r="T1388" t="s">
        <v>1063</v>
      </c>
      <c r="U1388" t="s">
        <v>818</v>
      </c>
      <c r="V1388" t="s">
        <v>857</v>
      </c>
      <c r="W1388" t="s">
        <v>2559</v>
      </c>
    </row>
    <row r="1389" spans="1:32">
      <c r="A1389" t="s">
        <v>5751</v>
      </c>
      <c r="B1389" t="s">
        <v>1063</v>
      </c>
      <c r="C1389" t="s">
        <v>818</v>
      </c>
      <c r="D1389" t="s">
        <v>2559</v>
      </c>
      <c r="E1389" t="s">
        <v>18</v>
      </c>
      <c r="F1389" t="s">
        <v>3016</v>
      </c>
      <c r="M1389" t="s">
        <v>4775</v>
      </c>
      <c r="N1389" t="s">
        <v>1094</v>
      </c>
      <c r="O1389" t="s">
        <v>18</v>
      </c>
      <c r="P1389" t="s">
        <v>2473</v>
      </c>
      <c r="T1389" t="s">
        <v>1063</v>
      </c>
      <c r="U1389" t="s">
        <v>818</v>
      </c>
      <c r="V1389" t="s">
        <v>18</v>
      </c>
      <c r="W1389" t="s">
        <v>2559</v>
      </c>
    </row>
    <row r="1390" spans="1:32">
      <c r="A1390" t="s">
        <v>5754</v>
      </c>
      <c r="B1390" t="s">
        <v>1063</v>
      </c>
      <c r="C1390" t="s">
        <v>19</v>
      </c>
      <c r="D1390" t="s">
        <v>857</v>
      </c>
      <c r="E1390" t="s">
        <v>857</v>
      </c>
      <c r="F1390" t="s">
        <v>3864</v>
      </c>
      <c r="M1390" t="s">
        <v>4775</v>
      </c>
      <c r="N1390" t="s">
        <v>1094</v>
      </c>
      <c r="O1390" t="s">
        <v>18</v>
      </c>
      <c r="P1390" t="s">
        <v>2472</v>
      </c>
      <c r="T1390" t="s">
        <v>1063</v>
      </c>
      <c r="U1390" t="s">
        <v>19</v>
      </c>
      <c r="V1390" t="s">
        <v>857</v>
      </c>
      <c r="W1390" t="s">
        <v>857</v>
      </c>
    </row>
    <row r="1391" spans="1:32">
      <c r="A1391" t="s">
        <v>5755</v>
      </c>
      <c r="B1391" t="s">
        <v>1063</v>
      </c>
      <c r="C1391" t="s">
        <v>19</v>
      </c>
      <c r="D1391" t="s">
        <v>857</v>
      </c>
      <c r="E1391" t="s">
        <v>18</v>
      </c>
      <c r="F1391" t="s">
        <v>3028</v>
      </c>
      <c r="M1391" t="s">
        <v>4775</v>
      </c>
      <c r="N1391" t="s">
        <v>1094</v>
      </c>
      <c r="O1391" t="s">
        <v>18</v>
      </c>
      <c r="P1391" t="s">
        <v>2471</v>
      </c>
      <c r="T1391" t="s">
        <v>1063</v>
      </c>
      <c r="U1391" t="s">
        <v>19</v>
      </c>
      <c r="V1391" t="s">
        <v>18</v>
      </c>
      <c r="W1391" t="s">
        <v>857</v>
      </c>
    </row>
    <row r="1392" spans="1:32">
      <c r="A1392" t="s">
        <v>5755</v>
      </c>
      <c r="B1392" t="s">
        <v>1063</v>
      </c>
      <c r="C1392" t="s">
        <v>19</v>
      </c>
      <c r="D1392" t="s">
        <v>857</v>
      </c>
      <c r="E1392" t="s">
        <v>18</v>
      </c>
      <c r="F1392" t="s">
        <v>3026</v>
      </c>
      <c r="M1392" t="s">
        <v>4775</v>
      </c>
      <c r="N1392" t="s">
        <v>1094</v>
      </c>
      <c r="O1392" t="s">
        <v>18</v>
      </c>
      <c r="P1392" t="s">
        <v>2470</v>
      </c>
      <c r="T1392" t="s">
        <v>1063</v>
      </c>
      <c r="U1392" t="s">
        <v>19</v>
      </c>
      <c r="V1392" t="s">
        <v>18</v>
      </c>
      <c r="W1392" t="s">
        <v>857</v>
      </c>
    </row>
    <row r="1393" spans="1:23">
      <c r="A1393" t="s">
        <v>5755</v>
      </c>
      <c r="B1393" t="s">
        <v>1063</v>
      </c>
      <c r="C1393" t="s">
        <v>19</v>
      </c>
      <c r="D1393" t="s">
        <v>857</v>
      </c>
      <c r="E1393" t="s">
        <v>18</v>
      </c>
      <c r="F1393" t="s">
        <v>3022</v>
      </c>
      <c r="M1393" t="s">
        <v>4775</v>
      </c>
      <c r="N1393" t="s">
        <v>1094</v>
      </c>
      <c r="O1393" t="s">
        <v>18</v>
      </c>
      <c r="P1393" t="s">
        <v>2469</v>
      </c>
      <c r="T1393" t="s">
        <v>1063</v>
      </c>
      <c r="U1393" t="s">
        <v>19</v>
      </c>
      <c r="V1393" t="s">
        <v>18</v>
      </c>
      <c r="W1393" t="s">
        <v>857</v>
      </c>
    </row>
    <row r="1394" spans="1:23">
      <c r="A1394" t="s">
        <v>5755</v>
      </c>
      <c r="B1394" t="s">
        <v>1063</v>
      </c>
      <c r="C1394" t="s">
        <v>19</v>
      </c>
      <c r="D1394" t="s">
        <v>857</v>
      </c>
      <c r="E1394" t="s">
        <v>18</v>
      </c>
      <c r="F1394" t="s">
        <v>3019</v>
      </c>
      <c r="M1394" t="s">
        <v>4775</v>
      </c>
      <c r="N1394" t="s">
        <v>1094</v>
      </c>
      <c r="O1394" t="s">
        <v>18</v>
      </c>
      <c r="P1394" t="s">
        <v>2467</v>
      </c>
      <c r="T1394" t="s">
        <v>1063</v>
      </c>
      <c r="U1394" t="s">
        <v>19</v>
      </c>
      <c r="V1394" t="s">
        <v>18</v>
      </c>
      <c r="W1394" t="s">
        <v>857</v>
      </c>
    </row>
    <row r="1395" spans="1:23">
      <c r="A1395" t="s">
        <v>5756</v>
      </c>
      <c r="B1395" t="s">
        <v>1063</v>
      </c>
      <c r="C1395" t="s">
        <v>19</v>
      </c>
      <c r="D1395" t="s">
        <v>3014</v>
      </c>
      <c r="E1395" t="s">
        <v>857</v>
      </c>
      <c r="F1395" t="s">
        <v>3744</v>
      </c>
      <c r="M1395" t="s">
        <v>4775</v>
      </c>
      <c r="N1395" t="s">
        <v>1094</v>
      </c>
      <c r="O1395" t="s">
        <v>18</v>
      </c>
      <c r="P1395" t="s">
        <v>2465</v>
      </c>
      <c r="T1395" t="s">
        <v>1063</v>
      </c>
      <c r="U1395" t="s">
        <v>19</v>
      </c>
      <c r="V1395" t="s">
        <v>857</v>
      </c>
      <c r="W1395" t="s">
        <v>3014</v>
      </c>
    </row>
    <row r="1396" spans="1:23">
      <c r="A1396" t="s">
        <v>5757</v>
      </c>
      <c r="B1396" t="s">
        <v>1063</v>
      </c>
      <c r="C1396" t="s">
        <v>19</v>
      </c>
      <c r="D1396" t="s">
        <v>3014</v>
      </c>
      <c r="E1396" t="s">
        <v>18</v>
      </c>
      <c r="F1396" t="s">
        <v>3015</v>
      </c>
      <c r="M1396" t="s">
        <v>4776</v>
      </c>
      <c r="N1396" t="s">
        <v>1095</v>
      </c>
      <c r="O1396" t="s">
        <v>18</v>
      </c>
      <c r="P1396" t="s">
        <v>2440</v>
      </c>
      <c r="T1396" t="s">
        <v>1063</v>
      </c>
      <c r="U1396" t="s">
        <v>19</v>
      </c>
      <c r="V1396" t="s">
        <v>18</v>
      </c>
      <c r="W1396" t="s">
        <v>3014</v>
      </c>
    </row>
    <row r="1397" spans="1:23">
      <c r="A1397" t="s">
        <v>5760</v>
      </c>
      <c r="B1397" t="s">
        <v>1063</v>
      </c>
      <c r="C1397" t="s">
        <v>816</v>
      </c>
      <c r="D1397" t="s">
        <v>857</v>
      </c>
      <c r="E1397" t="s">
        <v>857</v>
      </c>
      <c r="F1397" t="s">
        <v>3940</v>
      </c>
      <c r="M1397" t="s">
        <v>4776</v>
      </c>
      <c r="N1397" t="s">
        <v>1095</v>
      </c>
      <c r="O1397" t="s">
        <v>18</v>
      </c>
      <c r="P1397" t="s">
        <v>2439</v>
      </c>
      <c r="T1397" t="s">
        <v>1063</v>
      </c>
      <c r="U1397" t="s">
        <v>816</v>
      </c>
      <c r="V1397" t="s">
        <v>857</v>
      </c>
      <c r="W1397" t="s">
        <v>857</v>
      </c>
    </row>
    <row r="1398" spans="1:23">
      <c r="A1398" t="s">
        <v>5760</v>
      </c>
      <c r="B1398" t="s">
        <v>1063</v>
      </c>
      <c r="C1398" t="s">
        <v>816</v>
      </c>
      <c r="D1398" t="s">
        <v>857</v>
      </c>
      <c r="E1398" t="s">
        <v>857</v>
      </c>
      <c r="F1398" t="s">
        <v>3863</v>
      </c>
      <c r="M1398" t="s">
        <v>4776</v>
      </c>
      <c r="N1398" t="s">
        <v>1095</v>
      </c>
      <c r="O1398" t="s">
        <v>18</v>
      </c>
      <c r="P1398" t="s">
        <v>2438</v>
      </c>
      <c r="T1398" t="s">
        <v>1063</v>
      </c>
      <c r="U1398" t="s">
        <v>816</v>
      </c>
      <c r="V1398" t="s">
        <v>857</v>
      </c>
      <c r="W1398" t="s">
        <v>857</v>
      </c>
    </row>
    <row r="1399" spans="1:23">
      <c r="A1399" t="s">
        <v>5761</v>
      </c>
      <c r="B1399" t="s">
        <v>1063</v>
      </c>
      <c r="C1399" t="s">
        <v>816</v>
      </c>
      <c r="D1399" t="s">
        <v>857</v>
      </c>
      <c r="E1399" t="s">
        <v>53</v>
      </c>
      <c r="F1399" t="s">
        <v>3025</v>
      </c>
      <c r="M1399" t="s">
        <v>4776</v>
      </c>
      <c r="N1399" t="s">
        <v>1095</v>
      </c>
      <c r="O1399" t="s">
        <v>18</v>
      </c>
      <c r="P1399" t="s">
        <v>2414</v>
      </c>
      <c r="T1399" t="s">
        <v>1063</v>
      </c>
      <c r="U1399" t="s">
        <v>816</v>
      </c>
      <c r="V1399" t="s">
        <v>53</v>
      </c>
      <c r="W1399" t="s">
        <v>857</v>
      </c>
    </row>
    <row r="1400" spans="1:23">
      <c r="A1400" t="s">
        <v>5761</v>
      </c>
      <c r="B1400" t="s">
        <v>1063</v>
      </c>
      <c r="C1400" t="s">
        <v>816</v>
      </c>
      <c r="D1400" t="s">
        <v>857</v>
      </c>
      <c r="E1400" t="s">
        <v>53</v>
      </c>
      <c r="F1400" t="s">
        <v>3021</v>
      </c>
      <c r="M1400" t="s">
        <v>4776</v>
      </c>
      <c r="N1400" t="s">
        <v>1095</v>
      </c>
      <c r="O1400" t="s">
        <v>18</v>
      </c>
      <c r="P1400" t="s">
        <v>2413</v>
      </c>
      <c r="T1400" t="s">
        <v>1063</v>
      </c>
      <c r="U1400" t="s">
        <v>816</v>
      </c>
      <c r="V1400" t="s">
        <v>53</v>
      </c>
      <c r="W1400" t="s">
        <v>857</v>
      </c>
    </row>
    <row r="1401" spans="1:23">
      <c r="A1401" t="s">
        <v>5762</v>
      </c>
      <c r="B1401" t="s">
        <v>1063</v>
      </c>
      <c r="C1401" t="s">
        <v>816</v>
      </c>
      <c r="D1401" t="s">
        <v>857</v>
      </c>
      <c r="E1401" t="s">
        <v>18</v>
      </c>
      <c r="F1401" t="s">
        <v>3027</v>
      </c>
      <c r="M1401" t="s">
        <v>4776</v>
      </c>
      <c r="N1401" t="s">
        <v>1095</v>
      </c>
      <c r="O1401" t="s">
        <v>18</v>
      </c>
      <c r="P1401" t="s">
        <v>2412</v>
      </c>
      <c r="T1401" t="s">
        <v>1063</v>
      </c>
      <c r="U1401" t="s">
        <v>816</v>
      </c>
      <c r="V1401" t="s">
        <v>18</v>
      </c>
      <c r="W1401" t="s">
        <v>857</v>
      </c>
    </row>
    <row r="1402" spans="1:23">
      <c r="A1402" t="s">
        <v>5764</v>
      </c>
      <c r="B1402" t="s">
        <v>1063</v>
      </c>
      <c r="C1402" t="s">
        <v>816</v>
      </c>
      <c r="D1402" t="s">
        <v>3012</v>
      </c>
      <c r="E1402" t="s">
        <v>18</v>
      </c>
      <c r="F1402" t="s">
        <v>3013</v>
      </c>
      <c r="M1402" t="s">
        <v>4776</v>
      </c>
      <c r="N1402" t="s">
        <v>1095</v>
      </c>
      <c r="O1402" t="s">
        <v>18</v>
      </c>
      <c r="P1402" t="s">
        <v>2411</v>
      </c>
      <c r="T1402" t="s">
        <v>1063</v>
      </c>
      <c r="U1402" t="s">
        <v>816</v>
      </c>
      <c r="V1402" t="s">
        <v>18</v>
      </c>
      <c r="W1402" t="s">
        <v>3012</v>
      </c>
    </row>
    <row r="1403" spans="1:23">
      <c r="A1403" t="s">
        <v>5763</v>
      </c>
      <c r="B1403" t="s">
        <v>1063</v>
      </c>
      <c r="C1403" t="s">
        <v>816</v>
      </c>
      <c r="D1403" t="s">
        <v>4160</v>
      </c>
      <c r="E1403" t="s">
        <v>857</v>
      </c>
      <c r="F1403" t="s">
        <v>4161</v>
      </c>
      <c r="M1403" t="s">
        <v>4776</v>
      </c>
      <c r="N1403" t="s">
        <v>1095</v>
      </c>
      <c r="O1403" t="s">
        <v>18</v>
      </c>
      <c r="P1403" t="s">
        <v>2410</v>
      </c>
      <c r="T1403" t="s">
        <v>1063</v>
      </c>
      <c r="U1403" t="s">
        <v>816</v>
      </c>
      <c r="V1403" t="s">
        <v>857</v>
      </c>
      <c r="W1403" t="s">
        <v>4160</v>
      </c>
    </row>
    <row r="1404" spans="1:23">
      <c r="A1404" t="s">
        <v>5766</v>
      </c>
      <c r="B1404" t="s">
        <v>1064</v>
      </c>
      <c r="C1404" t="s">
        <v>818</v>
      </c>
      <c r="D1404" t="s">
        <v>857</v>
      </c>
      <c r="E1404" t="s">
        <v>53</v>
      </c>
      <c r="F1404" t="s">
        <v>2852</v>
      </c>
      <c r="M1404" t="s">
        <v>4776</v>
      </c>
      <c r="N1404" t="s">
        <v>1095</v>
      </c>
      <c r="O1404" t="s">
        <v>18</v>
      </c>
      <c r="P1404" t="s">
        <v>2409</v>
      </c>
      <c r="T1404" t="s">
        <v>1064</v>
      </c>
      <c r="U1404" t="s">
        <v>818</v>
      </c>
      <c r="V1404" t="s">
        <v>53</v>
      </c>
      <c r="W1404" t="s">
        <v>857</v>
      </c>
    </row>
    <row r="1405" spans="1:23">
      <c r="A1405" t="s">
        <v>5767</v>
      </c>
      <c r="B1405" t="s">
        <v>1064</v>
      </c>
      <c r="C1405" t="s">
        <v>818</v>
      </c>
      <c r="D1405" t="s">
        <v>857</v>
      </c>
      <c r="E1405" t="s">
        <v>18</v>
      </c>
      <c r="F1405" t="s">
        <v>2854</v>
      </c>
      <c r="M1405" t="s">
        <v>4776</v>
      </c>
      <c r="N1405" t="s">
        <v>1095</v>
      </c>
      <c r="O1405" t="s">
        <v>18</v>
      </c>
      <c r="P1405" t="s">
        <v>2408</v>
      </c>
      <c r="T1405" t="s">
        <v>1064</v>
      </c>
      <c r="U1405" t="s">
        <v>818</v>
      </c>
      <c r="V1405" t="s">
        <v>18</v>
      </c>
      <c r="W1405" t="s">
        <v>857</v>
      </c>
    </row>
    <row r="1406" spans="1:23">
      <c r="A1406" t="s">
        <v>5769</v>
      </c>
      <c r="B1406" t="s">
        <v>1064</v>
      </c>
      <c r="C1406" t="s">
        <v>816</v>
      </c>
      <c r="D1406" t="s">
        <v>857</v>
      </c>
      <c r="E1406" t="s">
        <v>857</v>
      </c>
      <c r="F1406" t="s">
        <v>3930</v>
      </c>
      <c r="M1406" t="s">
        <v>4776</v>
      </c>
      <c r="N1406" t="s">
        <v>1095</v>
      </c>
      <c r="O1406" t="s">
        <v>18</v>
      </c>
      <c r="P1406" t="s">
        <v>2407</v>
      </c>
      <c r="T1406" t="s">
        <v>1064</v>
      </c>
      <c r="U1406" t="s">
        <v>816</v>
      </c>
      <c r="V1406" t="s">
        <v>857</v>
      </c>
      <c r="W1406" t="s">
        <v>857</v>
      </c>
    </row>
    <row r="1407" spans="1:23">
      <c r="A1407" t="s">
        <v>5770</v>
      </c>
      <c r="B1407" t="s">
        <v>1064</v>
      </c>
      <c r="C1407" t="s">
        <v>816</v>
      </c>
      <c r="D1407" t="s">
        <v>857</v>
      </c>
      <c r="E1407" t="s">
        <v>18</v>
      </c>
      <c r="F1407" t="s">
        <v>2853</v>
      </c>
      <c r="M1407" t="s">
        <v>4776</v>
      </c>
      <c r="N1407" t="s">
        <v>1095</v>
      </c>
      <c r="O1407" t="s">
        <v>18</v>
      </c>
      <c r="P1407" t="s">
        <v>2406</v>
      </c>
      <c r="T1407" t="s">
        <v>1064</v>
      </c>
      <c r="U1407" t="s">
        <v>816</v>
      </c>
      <c r="V1407" t="s">
        <v>18</v>
      </c>
      <c r="W1407" t="s">
        <v>857</v>
      </c>
    </row>
    <row r="1408" spans="1:23">
      <c r="A1408" t="s">
        <v>5772</v>
      </c>
      <c r="B1408" t="s">
        <v>1064</v>
      </c>
      <c r="C1408" t="s">
        <v>816</v>
      </c>
      <c r="D1408" t="s">
        <v>2850</v>
      </c>
      <c r="E1408" t="s">
        <v>53</v>
      </c>
      <c r="F1408" t="s">
        <v>2851</v>
      </c>
      <c r="M1408" t="s">
        <v>4776</v>
      </c>
      <c r="N1408" t="s">
        <v>1095</v>
      </c>
      <c r="O1408" t="s">
        <v>18</v>
      </c>
      <c r="P1408" t="s">
        <v>2405</v>
      </c>
      <c r="T1408" t="s">
        <v>1064</v>
      </c>
      <c r="U1408" t="s">
        <v>816</v>
      </c>
      <c r="V1408" t="s">
        <v>53</v>
      </c>
      <c r="W1408" t="s">
        <v>2850</v>
      </c>
    </row>
    <row r="1409" spans="1:23">
      <c r="A1409" t="s">
        <v>5773</v>
      </c>
      <c r="B1409" t="s">
        <v>1064</v>
      </c>
      <c r="C1409" t="s">
        <v>816</v>
      </c>
      <c r="D1409" t="s">
        <v>2848</v>
      </c>
      <c r="E1409" t="s">
        <v>857</v>
      </c>
      <c r="F1409" t="s">
        <v>4061</v>
      </c>
      <c r="M1409" t="s">
        <v>4776</v>
      </c>
      <c r="N1409" t="s">
        <v>1095</v>
      </c>
      <c r="O1409" t="s">
        <v>18</v>
      </c>
      <c r="P1409" t="s">
        <v>2404</v>
      </c>
      <c r="T1409" t="s">
        <v>1064</v>
      </c>
      <c r="U1409" t="s">
        <v>816</v>
      </c>
      <c r="V1409" t="s">
        <v>857</v>
      </c>
      <c r="W1409" t="s">
        <v>2848</v>
      </c>
    </row>
    <row r="1410" spans="1:23">
      <c r="A1410" t="s">
        <v>5774</v>
      </c>
      <c r="B1410" t="s">
        <v>1064</v>
      </c>
      <c r="C1410" t="s">
        <v>816</v>
      </c>
      <c r="D1410" t="s">
        <v>2848</v>
      </c>
      <c r="E1410" t="s">
        <v>53</v>
      </c>
      <c r="F1410" t="s">
        <v>2855</v>
      </c>
      <c r="M1410" t="s">
        <v>4776</v>
      </c>
      <c r="N1410" t="s">
        <v>1095</v>
      </c>
      <c r="O1410" t="s">
        <v>18</v>
      </c>
      <c r="P1410" t="s">
        <v>2403</v>
      </c>
      <c r="T1410" t="s">
        <v>1064</v>
      </c>
      <c r="U1410" t="s">
        <v>816</v>
      </c>
      <c r="V1410" t="s">
        <v>53</v>
      </c>
      <c r="W1410" t="s">
        <v>2848</v>
      </c>
    </row>
    <row r="1411" spans="1:23">
      <c r="A1411" t="s">
        <v>5774</v>
      </c>
      <c r="B1411" t="s">
        <v>1064</v>
      </c>
      <c r="C1411" t="s">
        <v>816</v>
      </c>
      <c r="D1411" t="s">
        <v>2848</v>
      </c>
      <c r="E1411" t="s">
        <v>53</v>
      </c>
      <c r="F1411" t="s">
        <v>2849</v>
      </c>
      <c r="M1411" t="s">
        <v>4776</v>
      </c>
      <c r="N1411" t="s">
        <v>1095</v>
      </c>
      <c r="O1411" t="s">
        <v>18</v>
      </c>
      <c r="P1411" t="s">
        <v>2402</v>
      </c>
      <c r="T1411" t="s">
        <v>1064</v>
      </c>
      <c r="U1411" t="s">
        <v>816</v>
      </c>
      <c r="V1411" t="s">
        <v>53</v>
      </c>
      <c r="W1411" t="s">
        <v>2848</v>
      </c>
    </row>
    <row r="1412" spans="1:23">
      <c r="A1412" t="s">
        <v>5775</v>
      </c>
      <c r="B1412" t="s">
        <v>1065</v>
      </c>
      <c r="C1412" t="s">
        <v>818</v>
      </c>
      <c r="D1412" t="s">
        <v>857</v>
      </c>
      <c r="E1412" t="s">
        <v>53</v>
      </c>
      <c r="F1412" t="s">
        <v>2843</v>
      </c>
      <c r="M1412" t="s">
        <v>4776</v>
      </c>
      <c r="N1412" t="s">
        <v>1095</v>
      </c>
      <c r="O1412" t="s">
        <v>18</v>
      </c>
      <c r="P1412" t="s">
        <v>2401</v>
      </c>
      <c r="T1412" t="s">
        <v>1065</v>
      </c>
      <c r="U1412" t="s">
        <v>818</v>
      </c>
      <c r="V1412" t="s">
        <v>53</v>
      </c>
      <c r="W1412" t="s">
        <v>857</v>
      </c>
    </row>
    <row r="1413" spans="1:23">
      <c r="A1413" t="s">
        <v>5776</v>
      </c>
      <c r="B1413" t="s">
        <v>1065</v>
      </c>
      <c r="C1413" t="s">
        <v>818</v>
      </c>
      <c r="D1413" t="s">
        <v>857</v>
      </c>
      <c r="E1413" t="s">
        <v>18</v>
      </c>
      <c r="F1413" t="s">
        <v>2845</v>
      </c>
      <c r="M1413" t="s">
        <v>4776</v>
      </c>
      <c r="N1413" t="s">
        <v>1095</v>
      </c>
      <c r="O1413" t="s">
        <v>18</v>
      </c>
      <c r="P1413" t="s">
        <v>2400</v>
      </c>
      <c r="T1413" t="s">
        <v>1065</v>
      </c>
      <c r="U1413" t="s">
        <v>818</v>
      </c>
      <c r="V1413" t="s">
        <v>18</v>
      </c>
      <c r="W1413" t="s">
        <v>857</v>
      </c>
    </row>
    <row r="1414" spans="1:23">
      <c r="A1414" t="s">
        <v>5777</v>
      </c>
      <c r="B1414" t="s">
        <v>1065</v>
      </c>
      <c r="C1414" t="s">
        <v>818</v>
      </c>
      <c r="D1414" t="s">
        <v>2841</v>
      </c>
      <c r="E1414" t="s">
        <v>18</v>
      </c>
      <c r="F1414" t="s">
        <v>2847</v>
      </c>
      <c r="M1414" t="s">
        <v>4776</v>
      </c>
      <c r="N1414" t="s">
        <v>1095</v>
      </c>
      <c r="O1414" t="s">
        <v>18</v>
      </c>
      <c r="P1414" t="s">
        <v>2399</v>
      </c>
      <c r="T1414" t="s">
        <v>1065</v>
      </c>
      <c r="U1414" t="s">
        <v>818</v>
      </c>
      <c r="V1414" t="s">
        <v>18</v>
      </c>
      <c r="W1414" t="s">
        <v>2841</v>
      </c>
    </row>
    <row r="1415" spans="1:23">
      <c r="A1415" t="s">
        <v>5777</v>
      </c>
      <c r="B1415" t="s">
        <v>1065</v>
      </c>
      <c r="C1415" t="s">
        <v>818</v>
      </c>
      <c r="D1415" t="s">
        <v>2841</v>
      </c>
      <c r="E1415" t="s">
        <v>18</v>
      </c>
      <c r="F1415" t="s">
        <v>2842</v>
      </c>
      <c r="M1415" t="s">
        <v>4776</v>
      </c>
      <c r="N1415" t="s">
        <v>1095</v>
      </c>
      <c r="O1415" t="s">
        <v>18</v>
      </c>
      <c r="P1415" t="s">
        <v>2398</v>
      </c>
      <c r="T1415" t="s">
        <v>1065</v>
      </c>
      <c r="U1415" t="s">
        <v>818</v>
      </c>
      <c r="V1415" t="s">
        <v>18</v>
      </c>
      <c r="W1415" t="s">
        <v>2841</v>
      </c>
    </row>
    <row r="1416" spans="1:23">
      <c r="A1416" t="s">
        <v>5779</v>
      </c>
      <c r="B1416" t="s">
        <v>1065</v>
      </c>
      <c r="C1416" t="s">
        <v>816</v>
      </c>
      <c r="D1416" t="s">
        <v>857</v>
      </c>
      <c r="E1416" t="s">
        <v>18</v>
      </c>
      <c r="F1416" t="s">
        <v>2846</v>
      </c>
      <c r="M1416" t="s">
        <v>4776</v>
      </c>
      <c r="N1416" t="s">
        <v>1095</v>
      </c>
      <c r="O1416" t="s">
        <v>18</v>
      </c>
      <c r="P1416" t="s">
        <v>2397</v>
      </c>
      <c r="T1416" t="s">
        <v>1065</v>
      </c>
      <c r="U1416" t="s">
        <v>816</v>
      </c>
      <c r="V1416" t="s">
        <v>18</v>
      </c>
      <c r="W1416" t="s">
        <v>857</v>
      </c>
    </row>
    <row r="1417" spans="1:23">
      <c r="A1417" t="s">
        <v>5779</v>
      </c>
      <c r="B1417" t="s">
        <v>1065</v>
      </c>
      <c r="C1417" t="s">
        <v>816</v>
      </c>
      <c r="D1417" t="s">
        <v>857</v>
      </c>
      <c r="E1417" t="s">
        <v>18</v>
      </c>
      <c r="F1417" t="s">
        <v>2844</v>
      </c>
      <c r="M1417" t="s">
        <v>4776</v>
      </c>
      <c r="N1417" t="s">
        <v>1095</v>
      </c>
      <c r="O1417" t="s">
        <v>18</v>
      </c>
      <c r="P1417" t="s">
        <v>2396</v>
      </c>
      <c r="T1417" t="s">
        <v>1065</v>
      </c>
      <c r="U1417" t="s">
        <v>816</v>
      </c>
      <c r="V1417" t="s">
        <v>18</v>
      </c>
      <c r="W1417" t="s">
        <v>857</v>
      </c>
    </row>
    <row r="1418" spans="1:23">
      <c r="A1418" t="s">
        <v>5780</v>
      </c>
      <c r="B1418" t="s">
        <v>1066</v>
      </c>
      <c r="C1418" t="s">
        <v>818</v>
      </c>
      <c r="D1418" t="s">
        <v>857</v>
      </c>
      <c r="E1418" t="s">
        <v>18</v>
      </c>
      <c r="F1418" t="s">
        <v>2839</v>
      </c>
      <c r="M1418" t="s">
        <v>4776</v>
      </c>
      <c r="N1418" t="s">
        <v>1095</v>
      </c>
      <c r="O1418" t="s">
        <v>18</v>
      </c>
      <c r="P1418" t="s">
        <v>2395</v>
      </c>
      <c r="T1418" t="s">
        <v>1066</v>
      </c>
      <c r="U1418" t="s">
        <v>818</v>
      </c>
      <c r="V1418" t="s">
        <v>18</v>
      </c>
      <c r="W1418" t="s">
        <v>857</v>
      </c>
    </row>
    <row r="1419" spans="1:23">
      <c r="A1419" t="s">
        <v>5780</v>
      </c>
      <c r="B1419" t="s">
        <v>1066</v>
      </c>
      <c r="C1419" t="s">
        <v>818</v>
      </c>
      <c r="D1419" t="s">
        <v>857</v>
      </c>
      <c r="E1419" t="s">
        <v>18</v>
      </c>
      <c r="F1419" t="s">
        <v>2833</v>
      </c>
      <c r="M1419" t="s">
        <v>4776</v>
      </c>
      <c r="N1419" t="s">
        <v>1095</v>
      </c>
      <c r="O1419" t="s">
        <v>18</v>
      </c>
      <c r="P1419" t="s">
        <v>2394</v>
      </c>
      <c r="T1419" t="s">
        <v>1066</v>
      </c>
      <c r="U1419" t="s">
        <v>818</v>
      </c>
      <c r="V1419" t="s">
        <v>18</v>
      </c>
      <c r="W1419" t="s">
        <v>857</v>
      </c>
    </row>
    <row r="1420" spans="1:23">
      <c r="A1420" t="s">
        <v>5780</v>
      </c>
      <c r="B1420" t="s">
        <v>1066</v>
      </c>
      <c r="C1420" t="s">
        <v>818</v>
      </c>
      <c r="D1420" t="s">
        <v>857</v>
      </c>
      <c r="E1420" t="s">
        <v>18</v>
      </c>
      <c r="F1420" t="s">
        <v>2832</v>
      </c>
      <c r="M1420" t="s">
        <v>4776</v>
      </c>
      <c r="N1420" t="s">
        <v>1095</v>
      </c>
      <c r="O1420" t="s">
        <v>18</v>
      </c>
      <c r="P1420" t="s">
        <v>2393</v>
      </c>
      <c r="T1420" t="s">
        <v>1066</v>
      </c>
      <c r="U1420" t="s">
        <v>818</v>
      </c>
      <c r="V1420" t="s">
        <v>18</v>
      </c>
      <c r="W1420" t="s">
        <v>857</v>
      </c>
    </row>
    <row r="1421" spans="1:23">
      <c r="A1421" t="s">
        <v>5781</v>
      </c>
      <c r="B1421" t="s">
        <v>1066</v>
      </c>
      <c r="C1421" t="s">
        <v>818</v>
      </c>
      <c r="D1421" t="s">
        <v>2824</v>
      </c>
      <c r="E1421" t="s">
        <v>18</v>
      </c>
      <c r="F1421" t="s">
        <v>2830</v>
      </c>
      <c r="M1421" t="s">
        <v>4776</v>
      </c>
      <c r="N1421" t="s">
        <v>1095</v>
      </c>
      <c r="O1421" t="s">
        <v>18</v>
      </c>
      <c r="P1421" t="s">
        <v>2392</v>
      </c>
      <c r="T1421" t="s">
        <v>1066</v>
      </c>
      <c r="U1421" t="s">
        <v>818</v>
      </c>
      <c r="V1421" t="s">
        <v>18</v>
      </c>
      <c r="W1421" t="s">
        <v>2824</v>
      </c>
    </row>
    <row r="1422" spans="1:23">
      <c r="A1422" t="s">
        <v>5784</v>
      </c>
      <c r="B1422" t="s">
        <v>1066</v>
      </c>
      <c r="C1422" t="s">
        <v>19</v>
      </c>
      <c r="D1422" t="s">
        <v>857</v>
      </c>
      <c r="E1422" t="s">
        <v>857</v>
      </c>
      <c r="F1422" t="s">
        <v>3912</v>
      </c>
      <c r="M1422" t="s">
        <v>4776</v>
      </c>
      <c r="N1422" t="s">
        <v>1095</v>
      </c>
      <c r="O1422" t="s">
        <v>18</v>
      </c>
      <c r="P1422" t="s">
        <v>2391</v>
      </c>
      <c r="T1422" t="s">
        <v>1066</v>
      </c>
      <c r="U1422" t="s">
        <v>19</v>
      </c>
      <c r="V1422" t="s">
        <v>857</v>
      </c>
      <c r="W1422" t="s">
        <v>857</v>
      </c>
    </row>
    <row r="1423" spans="1:23">
      <c r="A1423" t="s">
        <v>5784</v>
      </c>
      <c r="B1423" t="s">
        <v>1066</v>
      </c>
      <c r="C1423" t="s">
        <v>19</v>
      </c>
      <c r="D1423" t="s">
        <v>857</v>
      </c>
      <c r="E1423" t="s">
        <v>857</v>
      </c>
      <c r="F1423" t="s">
        <v>3881</v>
      </c>
      <c r="M1423" t="s">
        <v>4776</v>
      </c>
      <c r="N1423" t="s">
        <v>1095</v>
      </c>
      <c r="O1423" t="s">
        <v>18</v>
      </c>
      <c r="P1423" t="s">
        <v>2390</v>
      </c>
      <c r="T1423" t="s">
        <v>1066</v>
      </c>
      <c r="U1423" t="s">
        <v>19</v>
      </c>
      <c r="V1423" t="s">
        <v>857</v>
      </c>
      <c r="W1423" t="s">
        <v>857</v>
      </c>
    </row>
    <row r="1424" spans="1:23">
      <c r="A1424" t="s">
        <v>5785</v>
      </c>
      <c r="B1424" t="s">
        <v>1066</v>
      </c>
      <c r="C1424" t="s">
        <v>19</v>
      </c>
      <c r="D1424" t="s">
        <v>857</v>
      </c>
      <c r="E1424" t="s">
        <v>18</v>
      </c>
      <c r="F1424" t="s">
        <v>2838</v>
      </c>
      <c r="M1424" t="s">
        <v>4776</v>
      </c>
      <c r="N1424" t="s">
        <v>1095</v>
      </c>
      <c r="O1424" t="s">
        <v>18</v>
      </c>
      <c r="P1424" t="s">
        <v>2389</v>
      </c>
      <c r="T1424" t="s">
        <v>1066</v>
      </c>
      <c r="U1424" t="s">
        <v>19</v>
      </c>
      <c r="V1424" t="s">
        <v>18</v>
      </c>
      <c r="W1424" t="s">
        <v>857</v>
      </c>
    </row>
    <row r="1425" spans="1:23">
      <c r="A1425" t="s">
        <v>5785</v>
      </c>
      <c r="B1425" t="s">
        <v>1066</v>
      </c>
      <c r="C1425" t="s">
        <v>19</v>
      </c>
      <c r="D1425" t="s">
        <v>857</v>
      </c>
      <c r="E1425" t="s">
        <v>18</v>
      </c>
      <c r="F1425" t="s">
        <v>2835</v>
      </c>
      <c r="M1425" t="s">
        <v>4776</v>
      </c>
      <c r="N1425" t="s">
        <v>1095</v>
      </c>
      <c r="O1425" t="s">
        <v>18</v>
      </c>
      <c r="P1425" t="s">
        <v>2388</v>
      </c>
      <c r="T1425" t="s">
        <v>1066</v>
      </c>
      <c r="U1425" t="s">
        <v>19</v>
      </c>
      <c r="V1425" t="s">
        <v>18</v>
      </c>
      <c r="W1425" t="s">
        <v>857</v>
      </c>
    </row>
    <row r="1426" spans="1:23">
      <c r="A1426" t="s">
        <v>5785</v>
      </c>
      <c r="B1426" t="s">
        <v>1066</v>
      </c>
      <c r="C1426" t="s">
        <v>19</v>
      </c>
      <c r="D1426" t="s">
        <v>857</v>
      </c>
      <c r="E1426" t="s">
        <v>18</v>
      </c>
      <c r="F1426" t="s">
        <v>2831</v>
      </c>
      <c r="M1426" t="s">
        <v>4776</v>
      </c>
      <c r="N1426" t="s">
        <v>1095</v>
      </c>
      <c r="O1426" t="s">
        <v>18</v>
      </c>
      <c r="P1426" t="s">
        <v>2387</v>
      </c>
      <c r="T1426" t="s">
        <v>1066</v>
      </c>
      <c r="U1426" t="s">
        <v>19</v>
      </c>
      <c r="V1426" t="s">
        <v>18</v>
      </c>
      <c r="W1426" t="s">
        <v>857</v>
      </c>
    </row>
    <row r="1427" spans="1:23">
      <c r="A1427" t="s">
        <v>5786</v>
      </c>
      <c r="B1427" t="s">
        <v>1066</v>
      </c>
      <c r="C1427" t="s">
        <v>19</v>
      </c>
      <c r="D1427" t="s">
        <v>2824</v>
      </c>
      <c r="E1427" t="s">
        <v>857</v>
      </c>
      <c r="F1427" t="s">
        <v>4208</v>
      </c>
      <c r="M1427" t="s">
        <v>4776</v>
      </c>
      <c r="N1427" t="s">
        <v>1095</v>
      </c>
      <c r="O1427" t="s">
        <v>18</v>
      </c>
      <c r="P1427" t="s">
        <v>2386</v>
      </c>
      <c r="T1427" t="s">
        <v>1066</v>
      </c>
      <c r="U1427" t="s">
        <v>19</v>
      </c>
      <c r="V1427" t="s">
        <v>857</v>
      </c>
      <c r="W1427" t="s">
        <v>2824</v>
      </c>
    </row>
    <row r="1428" spans="1:23">
      <c r="A1428" t="s">
        <v>5786</v>
      </c>
      <c r="B1428" t="s">
        <v>1066</v>
      </c>
      <c r="C1428" t="s">
        <v>19</v>
      </c>
      <c r="D1428" t="s">
        <v>2824</v>
      </c>
      <c r="E1428" t="s">
        <v>857</v>
      </c>
      <c r="F1428" t="s">
        <v>4207</v>
      </c>
      <c r="M1428" t="s">
        <v>4776</v>
      </c>
      <c r="N1428" t="s">
        <v>1095</v>
      </c>
      <c r="O1428" t="s">
        <v>18</v>
      </c>
      <c r="P1428" t="s">
        <v>2385</v>
      </c>
      <c r="T1428" t="s">
        <v>1066</v>
      </c>
      <c r="U1428" t="s">
        <v>19</v>
      </c>
      <c r="V1428" t="s">
        <v>857</v>
      </c>
      <c r="W1428" t="s">
        <v>2824</v>
      </c>
    </row>
    <row r="1429" spans="1:23">
      <c r="A1429" t="s">
        <v>5787</v>
      </c>
      <c r="B1429" t="s">
        <v>1066</v>
      </c>
      <c r="C1429" t="s">
        <v>19</v>
      </c>
      <c r="D1429" t="s">
        <v>2824</v>
      </c>
      <c r="E1429" t="s">
        <v>18</v>
      </c>
      <c r="F1429" t="s">
        <v>2829</v>
      </c>
      <c r="M1429" t="s">
        <v>4776</v>
      </c>
      <c r="N1429" t="s">
        <v>1095</v>
      </c>
      <c r="O1429" t="s">
        <v>18</v>
      </c>
      <c r="P1429" t="s">
        <v>2383</v>
      </c>
      <c r="T1429" t="s">
        <v>1066</v>
      </c>
      <c r="U1429" t="s">
        <v>19</v>
      </c>
      <c r="V1429" t="s">
        <v>18</v>
      </c>
      <c r="W1429" t="s">
        <v>2824</v>
      </c>
    </row>
    <row r="1430" spans="1:23">
      <c r="A1430" t="s">
        <v>5787</v>
      </c>
      <c r="B1430" t="s">
        <v>1066</v>
      </c>
      <c r="C1430" t="s">
        <v>19</v>
      </c>
      <c r="D1430" t="s">
        <v>2824</v>
      </c>
      <c r="E1430" t="s">
        <v>18</v>
      </c>
      <c r="F1430" t="s">
        <v>2825</v>
      </c>
      <c r="M1430" t="s">
        <v>4776</v>
      </c>
      <c r="N1430" t="s">
        <v>1095</v>
      </c>
      <c r="O1430" t="s">
        <v>18</v>
      </c>
      <c r="P1430" t="s">
        <v>2382</v>
      </c>
      <c r="T1430" t="s">
        <v>1066</v>
      </c>
      <c r="U1430" t="s">
        <v>19</v>
      </c>
      <c r="V1430" t="s">
        <v>18</v>
      </c>
      <c r="W1430" t="s">
        <v>2824</v>
      </c>
    </row>
    <row r="1431" spans="1:23">
      <c r="A1431" t="s">
        <v>5789</v>
      </c>
      <c r="B1431" t="s">
        <v>1066</v>
      </c>
      <c r="C1431" t="s">
        <v>2384</v>
      </c>
      <c r="D1431" t="s">
        <v>857</v>
      </c>
      <c r="E1431" t="s">
        <v>857</v>
      </c>
      <c r="F1431" t="s">
        <v>3879</v>
      </c>
      <c r="M1431" t="s">
        <v>4776</v>
      </c>
      <c r="N1431" t="s">
        <v>1095</v>
      </c>
      <c r="O1431" t="s">
        <v>18</v>
      </c>
      <c r="P1431" t="s">
        <v>2380</v>
      </c>
      <c r="T1431" t="s">
        <v>1066</v>
      </c>
      <c r="U1431" t="s">
        <v>2384</v>
      </c>
      <c r="V1431" t="s">
        <v>857</v>
      </c>
      <c r="W1431" t="s">
        <v>857</v>
      </c>
    </row>
    <row r="1432" spans="1:23">
      <c r="A1432" t="s">
        <v>5790</v>
      </c>
      <c r="B1432" t="s">
        <v>1066</v>
      </c>
      <c r="C1432" t="s">
        <v>2384</v>
      </c>
      <c r="D1432" t="s">
        <v>857</v>
      </c>
      <c r="E1432" t="s">
        <v>18</v>
      </c>
      <c r="F1432" t="s">
        <v>2840</v>
      </c>
      <c r="M1432" t="s">
        <v>4777</v>
      </c>
      <c r="N1432" t="s">
        <v>1096</v>
      </c>
      <c r="O1432" t="s">
        <v>53</v>
      </c>
      <c r="P1432" t="s">
        <v>2436</v>
      </c>
      <c r="T1432" t="s">
        <v>1066</v>
      </c>
      <c r="U1432" t="s">
        <v>2384</v>
      </c>
      <c r="V1432" t="s">
        <v>18</v>
      </c>
      <c r="W1432" t="s">
        <v>857</v>
      </c>
    </row>
    <row r="1433" spans="1:23">
      <c r="A1433" t="s">
        <v>5791</v>
      </c>
      <c r="B1433" t="s">
        <v>1066</v>
      </c>
      <c r="C1433" t="s">
        <v>2384</v>
      </c>
      <c r="D1433" t="s">
        <v>2826</v>
      </c>
      <c r="E1433" t="s">
        <v>18</v>
      </c>
      <c r="F1433" t="s">
        <v>2827</v>
      </c>
      <c r="M1433" t="s">
        <v>4778</v>
      </c>
      <c r="N1433" t="s">
        <v>1096</v>
      </c>
      <c r="O1433" t="s">
        <v>18</v>
      </c>
      <c r="P1433" t="s">
        <v>2948</v>
      </c>
      <c r="T1433" t="s">
        <v>1066</v>
      </c>
      <c r="U1433" t="s">
        <v>2384</v>
      </c>
      <c r="V1433" t="s">
        <v>18</v>
      </c>
      <c r="W1433" t="s">
        <v>2826</v>
      </c>
    </row>
    <row r="1434" spans="1:23">
      <c r="A1434" t="s">
        <v>5793</v>
      </c>
      <c r="B1434" t="s">
        <v>1066</v>
      </c>
      <c r="C1434" t="s">
        <v>2416</v>
      </c>
      <c r="D1434" t="s">
        <v>857</v>
      </c>
      <c r="E1434" t="s">
        <v>18</v>
      </c>
      <c r="F1434" t="s">
        <v>2836</v>
      </c>
      <c r="M1434" t="s">
        <v>4778</v>
      </c>
      <c r="N1434" t="s">
        <v>1096</v>
      </c>
      <c r="O1434" t="s">
        <v>18</v>
      </c>
      <c r="P1434" t="s">
        <v>2947</v>
      </c>
      <c r="T1434" t="s">
        <v>1066</v>
      </c>
      <c r="U1434" t="s">
        <v>2416</v>
      </c>
      <c r="V1434" t="s">
        <v>18</v>
      </c>
      <c r="W1434" t="s">
        <v>857</v>
      </c>
    </row>
    <row r="1435" spans="1:23">
      <c r="A1435" t="s">
        <v>5794</v>
      </c>
      <c r="B1435" t="s">
        <v>1066</v>
      </c>
      <c r="C1435" t="s">
        <v>816</v>
      </c>
      <c r="D1435" t="s">
        <v>857</v>
      </c>
      <c r="E1435" t="s">
        <v>857</v>
      </c>
      <c r="F1435" t="s">
        <v>4206</v>
      </c>
      <c r="M1435" t="s">
        <v>4778</v>
      </c>
      <c r="N1435" t="s">
        <v>1096</v>
      </c>
      <c r="O1435" t="s">
        <v>18</v>
      </c>
      <c r="P1435" t="s">
        <v>2946</v>
      </c>
      <c r="T1435" t="s">
        <v>1066</v>
      </c>
      <c r="U1435" t="s">
        <v>816</v>
      </c>
      <c r="V1435" t="s">
        <v>857</v>
      </c>
      <c r="W1435" t="s">
        <v>857</v>
      </c>
    </row>
    <row r="1436" spans="1:23">
      <c r="A1436" t="s">
        <v>5795</v>
      </c>
      <c r="B1436" t="s">
        <v>1066</v>
      </c>
      <c r="C1436" t="s">
        <v>816</v>
      </c>
      <c r="D1436" t="s">
        <v>857</v>
      </c>
      <c r="E1436" t="s">
        <v>18</v>
      </c>
      <c r="F1436" t="s">
        <v>2837</v>
      </c>
      <c r="M1436" t="s">
        <v>4778</v>
      </c>
      <c r="N1436" t="s">
        <v>1096</v>
      </c>
      <c r="O1436" t="s">
        <v>18</v>
      </c>
      <c r="P1436" t="s">
        <v>2945</v>
      </c>
      <c r="T1436" t="s">
        <v>1066</v>
      </c>
      <c r="U1436" t="s">
        <v>816</v>
      </c>
      <c r="V1436" t="s">
        <v>18</v>
      </c>
      <c r="W1436" t="s">
        <v>857</v>
      </c>
    </row>
    <row r="1437" spans="1:23">
      <c r="A1437" t="s">
        <v>5795</v>
      </c>
      <c r="B1437" t="s">
        <v>1066</v>
      </c>
      <c r="C1437" t="s">
        <v>816</v>
      </c>
      <c r="D1437" t="s">
        <v>857</v>
      </c>
      <c r="E1437" t="s">
        <v>18</v>
      </c>
      <c r="F1437" t="s">
        <v>2834</v>
      </c>
      <c r="M1437" t="s">
        <v>4778</v>
      </c>
      <c r="N1437" t="s">
        <v>1096</v>
      </c>
      <c r="O1437" t="s">
        <v>18</v>
      </c>
      <c r="P1437" t="s">
        <v>2944</v>
      </c>
      <c r="T1437" t="s">
        <v>1066</v>
      </c>
      <c r="U1437" t="s">
        <v>816</v>
      </c>
      <c r="V1437" t="s">
        <v>18</v>
      </c>
      <c r="W1437" t="s">
        <v>857</v>
      </c>
    </row>
    <row r="1438" spans="1:23">
      <c r="A1438" t="s">
        <v>5796</v>
      </c>
      <c r="B1438" t="s">
        <v>1066</v>
      </c>
      <c r="C1438" t="s">
        <v>816</v>
      </c>
      <c r="D1438" t="s">
        <v>2824</v>
      </c>
      <c r="E1438" t="s">
        <v>18</v>
      </c>
      <c r="F1438" t="s">
        <v>2828</v>
      </c>
      <c r="M1438" t="s">
        <v>4778</v>
      </c>
      <c r="N1438" t="s">
        <v>1096</v>
      </c>
      <c r="O1438" t="s">
        <v>18</v>
      </c>
      <c r="P1438" t="s">
        <v>2943</v>
      </c>
      <c r="T1438" t="s">
        <v>1066</v>
      </c>
      <c r="U1438" t="s">
        <v>816</v>
      </c>
      <c r="V1438" t="s">
        <v>18</v>
      </c>
      <c r="W1438" t="s">
        <v>2824</v>
      </c>
    </row>
    <row r="1439" spans="1:23">
      <c r="A1439" t="s">
        <v>5798</v>
      </c>
      <c r="B1439" t="s">
        <v>1067</v>
      </c>
      <c r="C1439" t="s">
        <v>818</v>
      </c>
      <c r="D1439" t="s">
        <v>857</v>
      </c>
      <c r="E1439" t="s">
        <v>18</v>
      </c>
      <c r="F1439" t="s">
        <v>2704</v>
      </c>
      <c r="M1439" t="s">
        <v>4778</v>
      </c>
      <c r="N1439" t="s">
        <v>1096</v>
      </c>
      <c r="O1439" t="s">
        <v>18</v>
      </c>
      <c r="P1439" t="s">
        <v>2942</v>
      </c>
      <c r="T1439" t="s">
        <v>1067</v>
      </c>
      <c r="U1439" t="s">
        <v>818</v>
      </c>
      <c r="V1439" t="s">
        <v>18</v>
      </c>
      <c r="W1439" t="s">
        <v>857</v>
      </c>
    </row>
    <row r="1440" spans="1:23">
      <c r="A1440" t="s">
        <v>5799</v>
      </c>
      <c r="B1440" t="s">
        <v>1067</v>
      </c>
      <c r="C1440" t="s">
        <v>818</v>
      </c>
      <c r="D1440" t="s">
        <v>2366</v>
      </c>
      <c r="E1440" t="s">
        <v>18</v>
      </c>
      <c r="F1440" t="s">
        <v>2706</v>
      </c>
      <c r="M1440" t="s">
        <v>4778</v>
      </c>
      <c r="N1440" t="s">
        <v>1096</v>
      </c>
      <c r="O1440" t="s">
        <v>18</v>
      </c>
      <c r="P1440" t="s">
        <v>2437</v>
      </c>
      <c r="T1440" t="s">
        <v>1067</v>
      </c>
      <c r="U1440" t="s">
        <v>818</v>
      </c>
      <c r="V1440" t="s">
        <v>18</v>
      </c>
      <c r="W1440" t="s">
        <v>2366</v>
      </c>
    </row>
    <row r="1441" spans="1:23">
      <c r="A1441" t="s">
        <v>5799</v>
      </c>
      <c r="B1441" t="s">
        <v>1067</v>
      </c>
      <c r="C1441" t="s">
        <v>818</v>
      </c>
      <c r="D1441" t="s">
        <v>2366</v>
      </c>
      <c r="E1441" t="s">
        <v>18</v>
      </c>
      <c r="F1441" t="s">
        <v>2701</v>
      </c>
      <c r="M1441" t="s">
        <v>4778</v>
      </c>
      <c r="N1441" t="s">
        <v>1096</v>
      </c>
      <c r="O1441" t="s">
        <v>18</v>
      </c>
      <c r="P1441" t="s">
        <v>2435</v>
      </c>
      <c r="T1441" t="s">
        <v>1067</v>
      </c>
      <c r="U1441" t="s">
        <v>818</v>
      </c>
      <c r="V1441" t="s">
        <v>18</v>
      </c>
      <c r="W1441" t="s">
        <v>2366</v>
      </c>
    </row>
    <row r="1442" spans="1:23">
      <c r="A1442" t="s">
        <v>5801</v>
      </c>
      <c r="B1442" t="s">
        <v>1067</v>
      </c>
      <c r="C1442" t="s">
        <v>19</v>
      </c>
      <c r="D1442" t="s">
        <v>857</v>
      </c>
      <c r="E1442" t="s">
        <v>18</v>
      </c>
      <c r="F1442" t="s">
        <v>2705</v>
      </c>
      <c r="M1442" t="s">
        <v>4779</v>
      </c>
      <c r="N1442" t="s">
        <v>1097</v>
      </c>
      <c r="O1442" t="s">
        <v>18</v>
      </c>
      <c r="P1442" t="s">
        <v>2421</v>
      </c>
      <c r="T1442" t="s">
        <v>1067</v>
      </c>
      <c r="U1442" t="s">
        <v>19</v>
      </c>
      <c r="V1442" t="s">
        <v>18</v>
      </c>
      <c r="W1442" t="s">
        <v>857</v>
      </c>
    </row>
    <row r="1443" spans="1:23">
      <c r="A1443" t="s">
        <v>5801</v>
      </c>
      <c r="B1443" t="s">
        <v>1067</v>
      </c>
      <c r="C1443" t="s">
        <v>19</v>
      </c>
      <c r="D1443" t="s">
        <v>857</v>
      </c>
      <c r="E1443" t="s">
        <v>18</v>
      </c>
      <c r="F1443" t="s">
        <v>2703</v>
      </c>
      <c r="M1443" t="s">
        <v>4779</v>
      </c>
      <c r="N1443" t="s">
        <v>1097</v>
      </c>
      <c r="O1443" t="s">
        <v>18</v>
      </c>
      <c r="P1443" t="s">
        <v>2420</v>
      </c>
      <c r="T1443" t="s">
        <v>1067</v>
      </c>
      <c r="U1443" t="s">
        <v>19</v>
      </c>
      <c r="V1443" t="s">
        <v>18</v>
      </c>
      <c r="W1443" t="s">
        <v>857</v>
      </c>
    </row>
    <row r="1444" spans="1:23">
      <c r="A1444" t="s">
        <v>5802</v>
      </c>
      <c r="B1444" t="s">
        <v>1067</v>
      </c>
      <c r="C1444" t="s">
        <v>19</v>
      </c>
      <c r="D1444" t="s">
        <v>2366</v>
      </c>
      <c r="E1444" t="s">
        <v>18</v>
      </c>
      <c r="F1444" t="s">
        <v>2700</v>
      </c>
      <c r="M1444" t="s">
        <v>4779</v>
      </c>
      <c r="N1444" t="s">
        <v>1097</v>
      </c>
      <c r="O1444" t="s">
        <v>18</v>
      </c>
      <c r="P1444" t="s">
        <v>2419</v>
      </c>
      <c r="T1444" t="s">
        <v>1067</v>
      </c>
      <c r="U1444" t="s">
        <v>19</v>
      </c>
      <c r="V1444" t="s">
        <v>18</v>
      </c>
      <c r="W1444" t="s">
        <v>2366</v>
      </c>
    </row>
    <row r="1445" spans="1:23">
      <c r="A1445" t="s">
        <v>5805</v>
      </c>
      <c r="B1445" t="s">
        <v>1067</v>
      </c>
      <c r="C1445" t="s">
        <v>2384</v>
      </c>
      <c r="D1445" t="s">
        <v>2366</v>
      </c>
      <c r="E1445" t="s">
        <v>857</v>
      </c>
      <c r="F1445" t="s">
        <v>4201</v>
      </c>
      <c r="M1445" t="s">
        <v>4779</v>
      </c>
      <c r="N1445" t="s">
        <v>1097</v>
      </c>
      <c r="O1445" t="s">
        <v>18</v>
      </c>
      <c r="P1445" t="s">
        <v>2418</v>
      </c>
      <c r="T1445" t="s">
        <v>1067</v>
      </c>
      <c r="U1445" t="s">
        <v>2384</v>
      </c>
      <c r="V1445" t="s">
        <v>857</v>
      </c>
      <c r="W1445" t="s">
        <v>2366</v>
      </c>
    </row>
    <row r="1446" spans="1:23">
      <c r="A1446" t="s">
        <v>5805</v>
      </c>
      <c r="B1446" t="s">
        <v>1067</v>
      </c>
      <c r="C1446" t="s">
        <v>2384</v>
      </c>
      <c r="D1446" t="s">
        <v>2366</v>
      </c>
      <c r="E1446" t="s">
        <v>857</v>
      </c>
      <c r="F1446" t="s">
        <v>2698</v>
      </c>
      <c r="M1446" t="s">
        <v>4779</v>
      </c>
      <c r="N1446" t="s">
        <v>1097</v>
      </c>
      <c r="O1446" t="s">
        <v>18</v>
      </c>
      <c r="P1446" t="s">
        <v>2417</v>
      </c>
      <c r="T1446" t="s">
        <v>1067</v>
      </c>
      <c r="U1446" t="s">
        <v>2384</v>
      </c>
      <c r="V1446" t="s">
        <v>857</v>
      </c>
      <c r="W1446" t="s">
        <v>2366</v>
      </c>
    </row>
    <row r="1447" spans="1:23">
      <c r="A1447" t="s">
        <v>5806</v>
      </c>
      <c r="B1447" t="s">
        <v>1067</v>
      </c>
      <c r="C1447" t="s">
        <v>816</v>
      </c>
      <c r="D1447" t="s">
        <v>2366</v>
      </c>
      <c r="E1447" t="s">
        <v>18</v>
      </c>
      <c r="F1447" t="s">
        <v>2702</v>
      </c>
      <c r="M1447" t="s">
        <v>4779</v>
      </c>
      <c r="N1447" t="s">
        <v>1097</v>
      </c>
      <c r="O1447" t="s">
        <v>18</v>
      </c>
      <c r="P1447" t="s">
        <v>2415</v>
      </c>
      <c r="T1447" t="s">
        <v>1067</v>
      </c>
      <c r="U1447" t="s">
        <v>816</v>
      </c>
      <c r="V1447" t="s">
        <v>18</v>
      </c>
      <c r="W1447" t="s">
        <v>2366</v>
      </c>
    </row>
    <row r="1448" spans="1:23">
      <c r="A1448" t="s">
        <v>5806</v>
      </c>
      <c r="B1448" t="s">
        <v>1067</v>
      </c>
      <c r="C1448" t="s">
        <v>816</v>
      </c>
      <c r="D1448" t="s">
        <v>2366</v>
      </c>
      <c r="E1448" t="s">
        <v>18</v>
      </c>
      <c r="F1448" t="s">
        <v>2699</v>
      </c>
      <c r="M1448" t="s">
        <v>4779</v>
      </c>
      <c r="N1448" t="s">
        <v>1097</v>
      </c>
      <c r="O1448" t="s">
        <v>18</v>
      </c>
      <c r="P1448" t="s">
        <v>2378</v>
      </c>
      <c r="T1448" t="s">
        <v>1067</v>
      </c>
      <c r="U1448" t="s">
        <v>816</v>
      </c>
      <c r="V1448" t="s">
        <v>18</v>
      </c>
      <c r="W1448" t="s">
        <v>2366</v>
      </c>
    </row>
    <row r="1449" spans="1:23">
      <c r="A1449" t="s">
        <v>5809</v>
      </c>
      <c r="B1449" t="s">
        <v>1068</v>
      </c>
      <c r="C1449" t="s">
        <v>818</v>
      </c>
      <c r="D1449" t="s">
        <v>857</v>
      </c>
      <c r="E1449" t="s">
        <v>53</v>
      </c>
      <c r="F1449" t="s">
        <v>2798</v>
      </c>
      <c r="M1449" t="s">
        <v>4779</v>
      </c>
      <c r="N1449" t="s">
        <v>1097</v>
      </c>
      <c r="O1449" t="s">
        <v>18</v>
      </c>
      <c r="P1449" t="s">
        <v>2377</v>
      </c>
      <c r="T1449" t="s">
        <v>1068</v>
      </c>
      <c r="U1449" t="s">
        <v>818</v>
      </c>
      <c r="V1449" t="s">
        <v>53</v>
      </c>
      <c r="W1449" t="s">
        <v>857</v>
      </c>
    </row>
    <row r="1450" spans="1:23">
      <c r="A1450" t="s">
        <v>5809</v>
      </c>
      <c r="B1450" t="s">
        <v>1068</v>
      </c>
      <c r="C1450" t="s">
        <v>818</v>
      </c>
      <c r="D1450" t="s">
        <v>857</v>
      </c>
      <c r="E1450" t="s">
        <v>53</v>
      </c>
      <c r="F1450" t="s">
        <v>2797</v>
      </c>
      <c r="M1450" t="s">
        <v>4779</v>
      </c>
      <c r="N1450" t="s">
        <v>1097</v>
      </c>
      <c r="O1450" t="s">
        <v>18</v>
      </c>
      <c r="P1450" t="s">
        <v>2376</v>
      </c>
      <c r="T1450" t="s">
        <v>1068</v>
      </c>
      <c r="U1450" t="s">
        <v>818</v>
      </c>
      <c r="V1450" t="s">
        <v>53</v>
      </c>
      <c r="W1450" t="s">
        <v>857</v>
      </c>
    </row>
    <row r="1451" spans="1:23">
      <c r="A1451" t="s">
        <v>5810</v>
      </c>
      <c r="B1451" t="s">
        <v>1068</v>
      </c>
      <c r="C1451" t="s">
        <v>818</v>
      </c>
      <c r="D1451" t="s">
        <v>857</v>
      </c>
      <c r="E1451" t="s">
        <v>18</v>
      </c>
      <c r="F1451" t="s">
        <v>2802</v>
      </c>
      <c r="M1451" t="s">
        <v>4779</v>
      </c>
      <c r="N1451" t="s">
        <v>1097</v>
      </c>
      <c r="O1451" t="s">
        <v>18</v>
      </c>
      <c r="P1451" t="s">
        <v>2375</v>
      </c>
      <c r="T1451" t="s">
        <v>1068</v>
      </c>
      <c r="U1451" t="s">
        <v>818</v>
      </c>
      <c r="V1451" t="s">
        <v>18</v>
      </c>
      <c r="W1451" t="s">
        <v>857</v>
      </c>
    </row>
    <row r="1452" spans="1:23">
      <c r="A1452" t="s">
        <v>5810</v>
      </c>
      <c r="B1452" t="s">
        <v>1068</v>
      </c>
      <c r="C1452" t="s">
        <v>818</v>
      </c>
      <c r="D1452" t="s">
        <v>857</v>
      </c>
      <c r="E1452" t="s">
        <v>18</v>
      </c>
      <c r="F1452" t="s">
        <v>2800</v>
      </c>
      <c r="M1452" t="s">
        <v>4779</v>
      </c>
      <c r="N1452" t="s">
        <v>1097</v>
      </c>
      <c r="O1452" t="s">
        <v>18</v>
      </c>
      <c r="P1452" t="s">
        <v>2374</v>
      </c>
      <c r="T1452" t="s">
        <v>1068</v>
      </c>
      <c r="U1452" t="s">
        <v>818</v>
      </c>
      <c r="V1452" t="s">
        <v>18</v>
      </c>
      <c r="W1452" t="s">
        <v>857</v>
      </c>
    </row>
    <row r="1453" spans="1:23">
      <c r="A1453" t="s">
        <v>6569</v>
      </c>
      <c r="B1453" t="s">
        <v>1068</v>
      </c>
      <c r="C1453" t="s">
        <v>818</v>
      </c>
      <c r="D1453" t="s">
        <v>2793</v>
      </c>
      <c r="E1453" t="s">
        <v>53</v>
      </c>
      <c r="F1453" t="s">
        <v>2794</v>
      </c>
      <c r="M1453" t="s">
        <v>4779</v>
      </c>
      <c r="N1453" t="s">
        <v>1097</v>
      </c>
      <c r="O1453" t="s">
        <v>18</v>
      </c>
      <c r="P1453" t="s">
        <v>2373</v>
      </c>
      <c r="T1453" t="s">
        <v>1068</v>
      </c>
      <c r="U1453" t="s">
        <v>818</v>
      </c>
      <c r="V1453" t="s">
        <v>53</v>
      </c>
      <c r="W1453" t="s">
        <v>2793</v>
      </c>
    </row>
    <row r="1454" spans="1:23">
      <c r="A1454" t="s">
        <v>6570</v>
      </c>
      <c r="B1454" t="s">
        <v>1068</v>
      </c>
      <c r="C1454" t="s">
        <v>818</v>
      </c>
      <c r="D1454" t="s">
        <v>3742</v>
      </c>
      <c r="E1454" t="s">
        <v>857</v>
      </c>
      <c r="F1454" t="s">
        <v>3743</v>
      </c>
      <c r="M1454" t="s">
        <v>4779</v>
      </c>
      <c r="N1454" t="s">
        <v>1097</v>
      </c>
      <c r="O1454" t="s">
        <v>18</v>
      </c>
      <c r="P1454" t="s">
        <v>2372</v>
      </c>
      <c r="T1454" t="s">
        <v>1068</v>
      </c>
      <c r="U1454" t="s">
        <v>818</v>
      </c>
      <c r="V1454" t="s">
        <v>857</v>
      </c>
      <c r="W1454" t="s">
        <v>3742</v>
      </c>
    </row>
    <row r="1455" spans="1:23">
      <c r="A1455" t="s">
        <v>6571</v>
      </c>
      <c r="B1455" t="s">
        <v>1068</v>
      </c>
      <c r="C1455" t="s">
        <v>818</v>
      </c>
      <c r="D1455" t="s">
        <v>2791</v>
      </c>
      <c r="E1455" t="s">
        <v>53</v>
      </c>
      <c r="F1455" t="s">
        <v>2792</v>
      </c>
      <c r="M1455" t="s">
        <v>4779</v>
      </c>
      <c r="N1455" t="s">
        <v>1097</v>
      </c>
      <c r="O1455" t="s">
        <v>18</v>
      </c>
      <c r="P1455" t="s">
        <v>2371</v>
      </c>
      <c r="T1455" t="s">
        <v>1068</v>
      </c>
      <c r="U1455" t="s">
        <v>818</v>
      </c>
      <c r="V1455" t="s">
        <v>53</v>
      </c>
      <c r="W1455" t="s">
        <v>2791</v>
      </c>
    </row>
    <row r="1456" spans="1:23">
      <c r="A1456" t="s">
        <v>5812</v>
      </c>
      <c r="B1456" t="s">
        <v>1068</v>
      </c>
      <c r="C1456" t="s">
        <v>818</v>
      </c>
      <c r="D1456" t="s">
        <v>2749</v>
      </c>
      <c r="E1456" t="s">
        <v>53</v>
      </c>
      <c r="F1456" t="s">
        <v>2750</v>
      </c>
      <c r="M1456" t="s">
        <v>4779</v>
      </c>
      <c r="N1456" t="s">
        <v>1097</v>
      </c>
      <c r="O1456" t="s">
        <v>18</v>
      </c>
      <c r="P1456" t="s">
        <v>2370</v>
      </c>
      <c r="T1456" t="s">
        <v>1068</v>
      </c>
      <c r="U1456" t="s">
        <v>818</v>
      </c>
      <c r="V1456" t="s">
        <v>53</v>
      </c>
      <c r="W1456" t="s">
        <v>2749</v>
      </c>
    </row>
    <row r="1457" spans="1:23">
      <c r="A1457" t="s">
        <v>5814</v>
      </c>
      <c r="B1457" t="s">
        <v>1068</v>
      </c>
      <c r="C1457" t="s">
        <v>19</v>
      </c>
      <c r="D1457" t="s">
        <v>857</v>
      </c>
      <c r="E1457" t="s">
        <v>53</v>
      </c>
      <c r="F1457" t="s">
        <v>2796</v>
      </c>
      <c r="M1457" t="s">
        <v>4779</v>
      </c>
      <c r="N1457" t="s">
        <v>1097</v>
      </c>
      <c r="O1457" t="s">
        <v>18</v>
      </c>
      <c r="P1457" t="s">
        <v>2369</v>
      </c>
      <c r="T1457" t="s">
        <v>1068</v>
      </c>
      <c r="U1457" t="s">
        <v>19</v>
      </c>
      <c r="V1457" t="s">
        <v>53</v>
      </c>
      <c r="W1457" t="s">
        <v>857</v>
      </c>
    </row>
    <row r="1458" spans="1:23">
      <c r="A1458" t="s">
        <v>5815</v>
      </c>
      <c r="B1458" t="s">
        <v>1068</v>
      </c>
      <c r="C1458" t="s">
        <v>19</v>
      </c>
      <c r="D1458" t="s">
        <v>857</v>
      </c>
      <c r="E1458" t="s">
        <v>18</v>
      </c>
      <c r="F1458" t="s">
        <v>2801</v>
      </c>
      <c r="M1458" t="s">
        <v>4779</v>
      </c>
      <c r="N1458" t="s">
        <v>1097</v>
      </c>
      <c r="O1458" t="s">
        <v>18</v>
      </c>
      <c r="P1458" t="s">
        <v>2367</v>
      </c>
      <c r="T1458" t="s">
        <v>1068</v>
      </c>
      <c r="U1458" t="s">
        <v>19</v>
      </c>
      <c r="V1458" t="s">
        <v>18</v>
      </c>
      <c r="W1458" t="s">
        <v>857</v>
      </c>
    </row>
    <row r="1459" spans="1:23">
      <c r="A1459" t="s">
        <v>5815</v>
      </c>
      <c r="B1459" t="s">
        <v>1068</v>
      </c>
      <c r="C1459" t="s">
        <v>19</v>
      </c>
      <c r="D1459" t="s">
        <v>857</v>
      </c>
      <c r="E1459" t="s">
        <v>18</v>
      </c>
      <c r="F1459" t="s">
        <v>2799</v>
      </c>
      <c r="M1459" t="s">
        <v>4779</v>
      </c>
      <c r="N1459" t="s">
        <v>1097</v>
      </c>
      <c r="O1459" t="s">
        <v>18</v>
      </c>
      <c r="P1459" t="s">
        <v>2365</v>
      </c>
      <c r="T1459" t="s">
        <v>1068</v>
      </c>
      <c r="U1459" t="s">
        <v>19</v>
      </c>
      <c r="V1459" t="s">
        <v>18</v>
      </c>
      <c r="W1459" t="s">
        <v>857</v>
      </c>
    </row>
    <row r="1460" spans="1:23">
      <c r="A1460" t="s">
        <v>5817</v>
      </c>
      <c r="B1460" t="s">
        <v>1068</v>
      </c>
      <c r="C1460" t="s">
        <v>19</v>
      </c>
      <c r="D1460" t="s">
        <v>2747</v>
      </c>
      <c r="E1460" t="s">
        <v>53</v>
      </c>
      <c r="F1460" t="s">
        <v>2790</v>
      </c>
      <c r="M1460" t="s">
        <v>4779</v>
      </c>
      <c r="N1460" t="s">
        <v>1097</v>
      </c>
      <c r="O1460" t="s">
        <v>18</v>
      </c>
      <c r="P1460" t="s">
        <v>2364</v>
      </c>
      <c r="T1460" t="s">
        <v>1068</v>
      </c>
      <c r="U1460" t="s">
        <v>19</v>
      </c>
      <c r="V1460" t="s">
        <v>53</v>
      </c>
      <c r="W1460" t="s">
        <v>2747</v>
      </c>
    </row>
    <row r="1461" spans="1:23">
      <c r="A1461" t="s">
        <v>5817</v>
      </c>
      <c r="B1461" t="s">
        <v>1068</v>
      </c>
      <c r="C1461" t="s">
        <v>19</v>
      </c>
      <c r="D1461" t="s">
        <v>2747</v>
      </c>
      <c r="E1461" t="s">
        <v>53</v>
      </c>
      <c r="F1461" t="s">
        <v>2748</v>
      </c>
      <c r="T1461" t="s">
        <v>1068</v>
      </c>
      <c r="U1461" t="s">
        <v>19</v>
      </c>
      <c r="V1461" t="s">
        <v>53</v>
      </c>
      <c r="W1461" t="s">
        <v>2747</v>
      </c>
    </row>
    <row r="1462" spans="1:23">
      <c r="A1462" t="s">
        <v>5818</v>
      </c>
      <c r="B1462" t="s">
        <v>1068</v>
      </c>
      <c r="C1462" t="s">
        <v>19</v>
      </c>
      <c r="D1462" t="s">
        <v>2743</v>
      </c>
      <c r="E1462" t="s">
        <v>857</v>
      </c>
      <c r="F1462" t="s">
        <v>3741</v>
      </c>
      <c r="T1462" t="s">
        <v>1068</v>
      </c>
      <c r="U1462" t="s">
        <v>19</v>
      </c>
      <c r="V1462" t="s">
        <v>857</v>
      </c>
      <c r="W1462" t="s">
        <v>2743</v>
      </c>
    </row>
    <row r="1463" spans="1:23">
      <c r="A1463" t="s">
        <v>5819</v>
      </c>
      <c r="B1463" t="s">
        <v>1068</v>
      </c>
      <c r="C1463" t="s">
        <v>19</v>
      </c>
      <c r="D1463" t="s">
        <v>2743</v>
      </c>
      <c r="E1463" t="s">
        <v>53</v>
      </c>
      <c r="F1463" t="s">
        <v>2789</v>
      </c>
      <c r="T1463" t="s">
        <v>1068</v>
      </c>
      <c r="U1463" t="s">
        <v>19</v>
      </c>
      <c r="V1463" t="s">
        <v>53</v>
      </c>
      <c r="W1463" t="s">
        <v>2743</v>
      </c>
    </row>
    <row r="1464" spans="1:23">
      <c r="A1464" t="s">
        <v>5819</v>
      </c>
      <c r="B1464" t="s">
        <v>1068</v>
      </c>
      <c r="C1464" t="s">
        <v>19</v>
      </c>
      <c r="D1464" t="s">
        <v>2743</v>
      </c>
      <c r="E1464" t="s">
        <v>53</v>
      </c>
      <c r="F1464" t="s">
        <v>2746</v>
      </c>
      <c r="T1464" t="s">
        <v>1068</v>
      </c>
      <c r="U1464" t="s">
        <v>19</v>
      </c>
      <c r="V1464" t="s">
        <v>53</v>
      </c>
      <c r="W1464" t="s">
        <v>2743</v>
      </c>
    </row>
    <row r="1465" spans="1:23">
      <c r="A1465" t="s">
        <v>5821</v>
      </c>
      <c r="B1465" t="s">
        <v>1068</v>
      </c>
      <c r="C1465" t="s">
        <v>2384</v>
      </c>
      <c r="D1465" t="s">
        <v>857</v>
      </c>
      <c r="E1465" t="s">
        <v>857</v>
      </c>
      <c r="F1465" t="s">
        <v>4100</v>
      </c>
      <c r="T1465" t="s">
        <v>1068</v>
      </c>
      <c r="U1465" t="s">
        <v>2384</v>
      </c>
      <c r="V1465" t="s">
        <v>857</v>
      </c>
      <c r="W1465" t="s">
        <v>857</v>
      </c>
    </row>
    <row r="1466" spans="1:23">
      <c r="A1466" t="s">
        <v>5823</v>
      </c>
      <c r="B1466" t="s">
        <v>1068</v>
      </c>
      <c r="C1466" t="s">
        <v>2384</v>
      </c>
      <c r="D1466" t="s">
        <v>2743</v>
      </c>
      <c r="E1466" t="s">
        <v>857</v>
      </c>
      <c r="F1466" t="s">
        <v>4078</v>
      </c>
      <c r="T1466" t="s">
        <v>1068</v>
      </c>
      <c r="U1466" t="s">
        <v>2384</v>
      </c>
      <c r="V1466" t="s">
        <v>857</v>
      </c>
      <c r="W1466" t="s">
        <v>2743</v>
      </c>
    </row>
    <row r="1467" spans="1:23">
      <c r="A1467" t="s">
        <v>5824</v>
      </c>
      <c r="B1467" t="s">
        <v>1068</v>
      </c>
      <c r="C1467" t="s">
        <v>2384</v>
      </c>
      <c r="D1467" t="s">
        <v>2743</v>
      </c>
      <c r="E1467" t="s">
        <v>53</v>
      </c>
      <c r="F1467" t="s">
        <v>2787</v>
      </c>
      <c r="T1467" t="s">
        <v>1068</v>
      </c>
      <c r="U1467" t="s">
        <v>2384</v>
      </c>
      <c r="V1467" t="s">
        <v>53</v>
      </c>
      <c r="W1467" t="s">
        <v>2743</v>
      </c>
    </row>
    <row r="1468" spans="1:23">
      <c r="A1468" t="s">
        <v>5826</v>
      </c>
      <c r="B1468" t="s">
        <v>1068</v>
      </c>
      <c r="C1468" t="s">
        <v>2416</v>
      </c>
      <c r="D1468" t="s">
        <v>2743</v>
      </c>
      <c r="E1468" t="s">
        <v>53</v>
      </c>
      <c r="F1468" t="s">
        <v>2788</v>
      </c>
      <c r="T1468" t="s">
        <v>1068</v>
      </c>
      <c r="U1468" t="s">
        <v>2416</v>
      </c>
      <c r="V1468" t="s">
        <v>53</v>
      </c>
      <c r="W1468" t="s">
        <v>2743</v>
      </c>
    </row>
    <row r="1469" spans="1:23">
      <c r="A1469" t="s">
        <v>5827</v>
      </c>
      <c r="B1469" t="s">
        <v>1068</v>
      </c>
      <c r="C1469" t="s">
        <v>816</v>
      </c>
      <c r="D1469" t="s">
        <v>857</v>
      </c>
      <c r="E1469" t="s">
        <v>53</v>
      </c>
      <c r="F1469" t="s">
        <v>2795</v>
      </c>
      <c r="T1469" t="s">
        <v>1068</v>
      </c>
      <c r="U1469" t="s">
        <v>816</v>
      </c>
      <c r="V1469" t="s">
        <v>53</v>
      </c>
      <c r="W1469" t="s">
        <v>857</v>
      </c>
    </row>
    <row r="1470" spans="1:23">
      <c r="A1470" t="s">
        <v>5829</v>
      </c>
      <c r="B1470" t="s">
        <v>1068</v>
      </c>
      <c r="C1470" t="s">
        <v>816</v>
      </c>
      <c r="D1470" t="s">
        <v>2743</v>
      </c>
      <c r="E1470" t="s">
        <v>53</v>
      </c>
      <c r="F1470" t="s">
        <v>2744</v>
      </c>
      <c r="T1470" t="s">
        <v>1068</v>
      </c>
      <c r="U1470" t="s">
        <v>816</v>
      </c>
      <c r="V1470" t="s">
        <v>53</v>
      </c>
      <c r="W1470" t="s">
        <v>2743</v>
      </c>
    </row>
    <row r="1471" spans="1:23">
      <c r="A1471" t="s">
        <v>5830</v>
      </c>
      <c r="B1471" t="s">
        <v>1068</v>
      </c>
      <c r="C1471" t="s">
        <v>816</v>
      </c>
      <c r="D1471" t="s">
        <v>2636</v>
      </c>
      <c r="E1471" t="s">
        <v>53</v>
      </c>
      <c r="F1471" t="s">
        <v>2745</v>
      </c>
      <c r="T1471" t="s">
        <v>1068</v>
      </c>
      <c r="U1471" t="s">
        <v>816</v>
      </c>
      <c r="V1471" t="s">
        <v>53</v>
      </c>
      <c r="W1471" t="s">
        <v>2636</v>
      </c>
    </row>
    <row r="1472" spans="1:23">
      <c r="A1472" t="s">
        <v>5832</v>
      </c>
      <c r="B1472" t="s">
        <v>1069</v>
      </c>
      <c r="C1472" t="s">
        <v>818</v>
      </c>
      <c r="D1472" t="s">
        <v>857</v>
      </c>
      <c r="E1472" t="s">
        <v>53</v>
      </c>
      <c r="F1472" t="s">
        <v>2786</v>
      </c>
      <c r="T1472" t="s">
        <v>1069</v>
      </c>
      <c r="U1472" t="s">
        <v>818</v>
      </c>
      <c r="V1472" t="s">
        <v>53</v>
      </c>
      <c r="W1472" t="s">
        <v>857</v>
      </c>
    </row>
    <row r="1473" spans="1:23">
      <c r="A1473" t="s">
        <v>5832</v>
      </c>
      <c r="B1473" t="s">
        <v>1069</v>
      </c>
      <c r="C1473" t="s">
        <v>818</v>
      </c>
      <c r="D1473" t="s">
        <v>857</v>
      </c>
      <c r="E1473" t="s">
        <v>53</v>
      </c>
      <c r="F1473" t="s">
        <v>2785</v>
      </c>
      <c r="T1473" t="s">
        <v>1069</v>
      </c>
      <c r="U1473" t="s">
        <v>818</v>
      </c>
      <c r="V1473" t="s">
        <v>53</v>
      </c>
      <c r="W1473" t="s">
        <v>857</v>
      </c>
    </row>
    <row r="1474" spans="1:23">
      <c r="A1474" t="s">
        <v>5832</v>
      </c>
      <c r="B1474" t="s">
        <v>1069</v>
      </c>
      <c r="C1474" t="s">
        <v>818</v>
      </c>
      <c r="D1474" t="s">
        <v>857</v>
      </c>
      <c r="E1474" t="s">
        <v>53</v>
      </c>
      <c r="F1474" t="s">
        <v>2729</v>
      </c>
      <c r="T1474" t="s">
        <v>1069</v>
      </c>
      <c r="U1474" t="s">
        <v>818</v>
      </c>
      <c r="V1474" t="s">
        <v>53</v>
      </c>
      <c r="W1474" t="s">
        <v>857</v>
      </c>
    </row>
    <row r="1475" spans="1:23">
      <c r="A1475" t="s">
        <v>5833</v>
      </c>
      <c r="B1475" t="s">
        <v>1069</v>
      </c>
      <c r="C1475" t="s">
        <v>818</v>
      </c>
      <c r="D1475" t="s">
        <v>857</v>
      </c>
      <c r="E1475" t="s">
        <v>18</v>
      </c>
      <c r="F1475" t="s">
        <v>2731</v>
      </c>
      <c r="T1475" t="s">
        <v>1069</v>
      </c>
      <c r="U1475" t="s">
        <v>818</v>
      </c>
      <c r="V1475" t="s">
        <v>18</v>
      </c>
      <c r="W1475" t="s">
        <v>857</v>
      </c>
    </row>
    <row r="1476" spans="1:23">
      <c r="A1476" t="s">
        <v>5835</v>
      </c>
      <c r="B1476" t="s">
        <v>1069</v>
      </c>
      <c r="C1476" t="s">
        <v>818</v>
      </c>
      <c r="D1476" t="s">
        <v>2727</v>
      </c>
      <c r="E1476" t="s">
        <v>857</v>
      </c>
      <c r="F1476" t="s">
        <v>4022</v>
      </c>
      <c r="T1476" t="s">
        <v>1069</v>
      </c>
      <c r="U1476" t="s">
        <v>818</v>
      </c>
      <c r="V1476" t="s">
        <v>857</v>
      </c>
      <c r="W1476" t="s">
        <v>2727</v>
      </c>
    </row>
    <row r="1477" spans="1:23">
      <c r="A1477" t="s">
        <v>5836</v>
      </c>
      <c r="B1477" t="s">
        <v>1069</v>
      </c>
      <c r="C1477" t="s">
        <v>818</v>
      </c>
      <c r="D1477" t="s">
        <v>2727</v>
      </c>
      <c r="E1477" t="s">
        <v>53</v>
      </c>
      <c r="F1477" t="s">
        <v>2728</v>
      </c>
      <c r="T1477" t="s">
        <v>1069</v>
      </c>
      <c r="U1477" t="s">
        <v>818</v>
      </c>
      <c r="V1477" t="s">
        <v>53</v>
      </c>
      <c r="W1477" t="s">
        <v>2727</v>
      </c>
    </row>
    <row r="1478" spans="1:23">
      <c r="A1478" t="s">
        <v>5837</v>
      </c>
      <c r="B1478" t="s">
        <v>1069</v>
      </c>
      <c r="C1478" t="s">
        <v>816</v>
      </c>
      <c r="D1478" t="s">
        <v>857</v>
      </c>
      <c r="E1478" t="s">
        <v>18</v>
      </c>
      <c r="F1478" t="s">
        <v>2784</v>
      </c>
      <c r="T1478" t="s">
        <v>1069</v>
      </c>
      <c r="U1478" t="s">
        <v>816</v>
      </c>
      <c r="V1478" t="s">
        <v>18</v>
      </c>
      <c r="W1478" t="s">
        <v>857</v>
      </c>
    </row>
    <row r="1479" spans="1:23">
      <c r="A1479" t="s">
        <v>5837</v>
      </c>
      <c r="B1479" t="s">
        <v>1069</v>
      </c>
      <c r="C1479" t="s">
        <v>816</v>
      </c>
      <c r="D1479" t="s">
        <v>857</v>
      </c>
      <c r="E1479" t="s">
        <v>18</v>
      </c>
      <c r="F1479" t="s">
        <v>2783</v>
      </c>
      <c r="T1479" t="s">
        <v>1069</v>
      </c>
      <c r="U1479" t="s">
        <v>816</v>
      </c>
      <c r="V1479" t="s">
        <v>18</v>
      </c>
      <c r="W1479" t="s">
        <v>857</v>
      </c>
    </row>
    <row r="1480" spans="1:23">
      <c r="A1480" t="s">
        <v>5837</v>
      </c>
      <c r="B1480" t="s">
        <v>1069</v>
      </c>
      <c r="C1480" t="s">
        <v>816</v>
      </c>
      <c r="D1480" t="s">
        <v>857</v>
      </c>
      <c r="E1480" t="s">
        <v>18</v>
      </c>
      <c r="F1480" t="s">
        <v>2730</v>
      </c>
      <c r="T1480" t="s">
        <v>1069</v>
      </c>
      <c r="U1480" t="s">
        <v>816</v>
      </c>
      <c r="V1480" t="s">
        <v>18</v>
      </c>
      <c r="W1480" t="s">
        <v>857</v>
      </c>
    </row>
    <row r="1481" spans="1:23">
      <c r="A1481" t="s">
        <v>5839</v>
      </c>
      <c r="B1481" t="s">
        <v>1070</v>
      </c>
      <c r="C1481" t="s">
        <v>818</v>
      </c>
      <c r="D1481" t="s">
        <v>857</v>
      </c>
      <c r="E1481" t="s">
        <v>18</v>
      </c>
      <c r="F1481" t="s">
        <v>2776</v>
      </c>
      <c r="T1481" t="s">
        <v>1070</v>
      </c>
      <c r="U1481" t="s">
        <v>818</v>
      </c>
      <c r="V1481" t="s">
        <v>18</v>
      </c>
      <c r="W1481" t="s">
        <v>857</v>
      </c>
    </row>
    <row r="1482" spans="1:23">
      <c r="A1482" t="s">
        <v>5839</v>
      </c>
      <c r="B1482" t="s">
        <v>1070</v>
      </c>
      <c r="C1482" t="s">
        <v>818</v>
      </c>
      <c r="D1482" t="s">
        <v>857</v>
      </c>
      <c r="E1482" t="s">
        <v>18</v>
      </c>
      <c r="F1482" t="s">
        <v>2774</v>
      </c>
      <c r="T1482" t="s">
        <v>1070</v>
      </c>
      <c r="U1482" t="s">
        <v>818</v>
      </c>
      <c r="V1482" t="s">
        <v>18</v>
      </c>
      <c r="W1482" t="s">
        <v>857</v>
      </c>
    </row>
    <row r="1483" spans="1:23">
      <c r="A1483" t="s">
        <v>5840</v>
      </c>
      <c r="B1483" t="s">
        <v>1070</v>
      </c>
      <c r="C1483" t="s">
        <v>818</v>
      </c>
      <c r="D1483" t="s">
        <v>2770</v>
      </c>
      <c r="E1483" t="s">
        <v>857</v>
      </c>
      <c r="F1483" t="s">
        <v>3740</v>
      </c>
      <c r="T1483" t="s">
        <v>1070</v>
      </c>
      <c r="U1483" t="s">
        <v>818</v>
      </c>
      <c r="V1483" t="s">
        <v>857</v>
      </c>
      <c r="W1483" t="s">
        <v>2770</v>
      </c>
    </row>
    <row r="1484" spans="1:23">
      <c r="A1484" t="s">
        <v>5841</v>
      </c>
      <c r="B1484" t="s">
        <v>1070</v>
      </c>
      <c r="C1484" t="s">
        <v>818</v>
      </c>
      <c r="D1484" t="s">
        <v>2770</v>
      </c>
      <c r="E1484" t="s">
        <v>18</v>
      </c>
      <c r="F1484" t="s">
        <v>2771</v>
      </c>
      <c r="T1484" t="s">
        <v>1070</v>
      </c>
      <c r="U1484" t="s">
        <v>818</v>
      </c>
      <c r="V1484" t="s">
        <v>18</v>
      </c>
      <c r="W1484" t="s">
        <v>2770</v>
      </c>
    </row>
    <row r="1485" spans="1:23">
      <c r="A1485" t="s">
        <v>5844</v>
      </c>
      <c r="B1485" t="s">
        <v>1070</v>
      </c>
      <c r="C1485" t="s">
        <v>19</v>
      </c>
      <c r="D1485" t="s">
        <v>857</v>
      </c>
      <c r="E1485" t="s">
        <v>18</v>
      </c>
      <c r="F1485" t="s">
        <v>2775</v>
      </c>
      <c r="T1485" t="s">
        <v>1070</v>
      </c>
      <c r="U1485" t="s">
        <v>19</v>
      </c>
      <c r="V1485" t="s">
        <v>18</v>
      </c>
      <c r="W1485" t="s">
        <v>857</v>
      </c>
    </row>
    <row r="1486" spans="1:23">
      <c r="A1486" t="s">
        <v>5844</v>
      </c>
      <c r="B1486" t="s">
        <v>1070</v>
      </c>
      <c r="C1486" t="s">
        <v>19</v>
      </c>
      <c r="D1486" t="s">
        <v>857</v>
      </c>
      <c r="E1486" t="s">
        <v>18</v>
      </c>
      <c r="F1486" t="s">
        <v>2773</v>
      </c>
      <c r="T1486" t="s">
        <v>1070</v>
      </c>
      <c r="U1486" t="s">
        <v>19</v>
      </c>
      <c r="V1486" t="s">
        <v>18</v>
      </c>
      <c r="W1486" t="s">
        <v>857</v>
      </c>
    </row>
    <row r="1487" spans="1:23">
      <c r="A1487" t="s">
        <v>5845</v>
      </c>
      <c r="B1487" t="s">
        <v>1070</v>
      </c>
      <c r="C1487" t="s">
        <v>19</v>
      </c>
      <c r="D1487" t="s">
        <v>2768</v>
      </c>
      <c r="E1487" t="s">
        <v>857</v>
      </c>
      <c r="F1487" t="s">
        <v>3739</v>
      </c>
      <c r="T1487" t="s">
        <v>1070</v>
      </c>
      <c r="U1487" t="s">
        <v>19</v>
      </c>
      <c r="V1487" t="s">
        <v>857</v>
      </c>
      <c r="W1487" t="s">
        <v>2768</v>
      </c>
    </row>
    <row r="1488" spans="1:23">
      <c r="A1488" t="s">
        <v>5846</v>
      </c>
      <c r="B1488" t="s">
        <v>1070</v>
      </c>
      <c r="C1488" t="s">
        <v>19</v>
      </c>
      <c r="D1488" t="s">
        <v>2768</v>
      </c>
      <c r="E1488" t="s">
        <v>18</v>
      </c>
      <c r="F1488" t="s">
        <v>2769</v>
      </c>
      <c r="T1488" t="s">
        <v>1070</v>
      </c>
      <c r="U1488" t="s">
        <v>19</v>
      </c>
      <c r="V1488" t="s">
        <v>18</v>
      </c>
      <c r="W1488" t="s">
        <v>2768</v>
      </c>
    </row>
    <row r="1489" spans="1:23">
      <c r="A1489" t="s">
        <v>5847</v>
      </c>
      <c r="B1489" t="s">
        <v>1070</v>
      </c>
      <c r="C1489" t="s">
        <v>19</v>
      </c>
      <c r="D1489" t="s">
        <v>2765</v>
      </c>
      <c r="E1489" t="s">
        <v>18</v>
      </c>
      <c r="F1489" t="s">
        <v>2767</v>
      </c>
      <c r="T1489" t="s">
        <v>1070</v>
      </c>
      <c r="U1489" t="s">
        <v>19</v>
      </c>
      <c r="V1489" t="s">
        <v>18</v>
      </c>
      <c r="W1489" t="s">
        <v>2765</v>
      </c>
    </row>
    <row r="1490" spans="1:23">
      <c r="A1490" t="s">
        <v>5849</v>
      </c>
      <c r="B1490" t="s">
        <v>1070</v>
      </c>
      <c r="C1490" t="s">
        <v>2384</v>
      </c>
      <c r="D1490" t="s">
        <v>857</v>
      </c>
      <c r="E1490" t="s">
        <v>857</v>
      </c>
      <c r="F1490" t="s">
        <v>3765</v>
      </c>
      <c r="T1490" t="s">
        <v>1070</v>
      </c>
      <c r="U1490" t="s">
        <v>2384</v>
      </c>
      <c r="V1490" t="s">
        <v>857</v>
      </c>
      <c r="W1490" t="s">
        <v>857</v>
      </c>
    </row>
    <row r="1491" spans="1:23">
      <c r="A1491" t="s">
        <v>5850</v>
      </c>
      <c r="B1491" t="s">
        <v>1070</v>
      </c>
      <c r="C1491" t="s">
        <v>2384</v>
      </c>
      <c r="D1491" t="s">
        <v>2765</v>
      </c>
      <c r="E1491" t="s">
        <v>18</v>
      </c>
      <c r="F1491" t="s">
        <v>2766</v>
      </c>
      <c r="T1491" t="s">
        <v>1070</v>
      </c>
      <c r="U1491" t="s">
        <v>2384</v>
      </c>
      <c r="V1491" t="s">
        <v>18</v>
      </c>
      <c r="W1491" t="s">
        <v>2765</v>
      </c>
    </row>
    <row r="1492" spans="1:23">
      <c r="A1492" t="s">
        <v>5852</v>
      </c>
      <c r="B1492" t="s">
        <v>1070</v>
      </c>
      <c r="C1492" t="s">
        <v>816</v>
      </c>
      <c r="D1492" t="s">
        <v>857</v>
      </c>
      <c r="E1492" t="s">
        <v>18</v>
      </c>
      <c r="F1492" t="s">
        <v>2777</v>
      </c>
      <c r="T1492" t="s">
        <v>1070</v>
      </c>
      <c r="U1492" t="s">
        <v>816</v>
      </c>
      <c r="V1492" t="s">
        <v>18</v>
      </c>
      <c r="W1492" t="s">
        <v>857</v>
      </c>
    </row>
    <row r="1493" spans="1:23">
      <c r="A1493" t="s">
        <v>5853</v>
      </c>
      <c r="B1493" t="s">
        <v>1070</v>
      </c>
      <c r="C1493" t="s">
        <v>816</v>
      </c>
      <c r="D1493" t="s">
        <v>2765</v>
      </c>
      <c r="E1493" t="s">
        <v>18</v>
      </c>
      <c r="F1493" t="s">
        <v>2772</v>
      </c>
      <c r="T1493" t="s">
        <v>1070</v>
      </c>
      <c r="U1493" t="s">
        <v>816</v>
      </c>
      <c r="V1493" t="s">
        <v>18</v>
      </c>
      <c r="W1493" t="s">
        <v>2765</v>
      </c>
    </row>
    <row r="1494" spans="1:23">
      <c r="A1494" t="s">
        <v>5855</v>
      </c>
      <c r="B1494" t="s">
        <v>1071</v>
      </c>
      <c r="C1494" t="s">
        <v>818</v>
      </c>
      <c r="D1494" t="s">
        <v>857</v>
      </c>
      <c r="E1494" t="s">
        <v>857</v>
      </c>
      <c r="F1494" t="s">
        <v>4051</v>
      </c>
      <c r="T1494" t="s">
        <v>1071</v>
      </c>
      <c r="U1494" t="s">
        <v>818</v>
      </c>
      <c r="V1494" t="s">
        <v>857</v>
      </c>
      <c r="W1494" t="s">
        <v>857</v>
      </c>
    </row>
    <row r="1495" spans="1:23">
      <c r="A1495" t="s">
        <v>5857</v>
      </c>
      <c r="B1495" t="s">
        <v>1071</v>
      </c>
      <c r="C1495" t="s">
        <v>19</v>
      </c>
      <c r="D1495" t="s">
        <v>857</v>
      </c>
      <c r="E1495" t="s">
        <v>857</v>
      </c>
      <c r="F1495" t="s">
        <v>3768</v>
      </c>
      <c r="T1495" t="s">
        <v>1071</v>
      </c>
      <c r="U1495" t="s">
        <v>19</v>
      </c>
      <c r="V1495" t="s">
        <v>857</v>
      </c>
      <c r="W1495" t="s">
        <v>857</v>
      </c>
    </row>
    <row r="1496" spans="1:23">
      <c r="A1496" t="s">
        <v>5858</v>
      </c>
      <c r="B1496" t="s">
        <v>1071</v>
      </c>
      <c r="C1496" t="s">
        <v>19</v>
      </c>
      <c r="D1496" t="s">
        <v>2778</v>
      </c>
      <c r="E1496" t="s">
        <v>857</v>
      </c>
      <c r="F1496" t="s">
        <v>3738</v>
      </c>
      <c r="T1496" t="s">
        <v>1071</v>
      </c>
      <c r="U1496" t="s">
        <v>19</v>
      </c>
      <c r="V1496" t="s">
        <v>857</v>
      </c>
      <c r="W1496" t="s">
        <v>2778</v>
      </c>
    </row>
    <row r="1497" spans="1:23">
      <c r="A1497" t="s">
        <v>5859</v>
      </c>
      <c r="B1497" t="s">
        <v>1071</v>
      </c>
      <c r="C1497" t="s">
        <v>19</v>
      </c>
      <c r="D1497" t="s">
        <v>2778</v>
      </c>
      <c r="E1497" t="s">
        <v>18</v>
      </c>
      <c r="F1497" t="s">
        <v>2780</v>
      </c>
      <c r="T1497" t="s">
        <v>1071</v>
      </c>
      <c r="U1497" t="s">
        <v>19</v>
      </c>
      <c r="V1497" t="s">
        <v>18</v>
      </c>
      <c r="W1497" t="s">
        <v>2778</v>
      </c>
    </row>
    <row r="1498" spans="1:23">
      <c r="A1498" t="s">
        <v>5862</v>
      </c>
      <c r="B1498" t="s">
        <v>1071</v>
      </c>
      <c r="C1498" t="s">
        <v>2384</v>
      </c>
      <c r="D1498" t="s">
        <v>2778</v>
      </c>
      <c r="E1498" t="s">
        <v>857</v>
      </c>
      <c r="F1498" t="s">
        <v>4049</v>
      </c>
      <c r="T1498" t="s">
        <v>1071</v>
      </c>
      <c r="U1498" t="s">
        <v>2384</v>
      </c>
      <c r="V1498" t="s">
        <v>857</v>
      </c>
      <c r="W1498" t="s">
        <v>2778</v>
      </c>
    </row>
    <row r="1499" spans="1:23">
      <c r="A1499" t="s">
        <v>5863</v>
      </c>
      <c r="B1499" t="s">
        <v>1071</v>
      </c>
      <c r="C1499" t="s">
        <v>2384</v>
      </c>
      <c r="D1499" t="s">
        <v>2778</v>
      </c>
      <c r="E1499" t="s">
        <v>18</v>
      </c>
      <c r="F1499" t="s">
        <v>2781</v>
      </c>
      <c r="T1499" t="s">
        <v>1071</v>
      </c>
      <c r="U1499" t="s">
        <v>2384</v>
      </c>
      <c r="V1499" t="s">
        <v>18</v>
      </c>
      <c r="W1499" t="s">
        <v>2778</v>
      </c>
    </row>
    <row r="1500" spans="1:23">
      <c r="A1500" t="s">
        <v>5865</v>
      </c>
      <c r="B1500" t="s">
        <v>1071</v>
      </c>
      <c r="C1500" t="s">
        <v>816</v>
      </c>
      <c r="D1500" t="s">
        <v>857</v>
      </c>
      <c r="E1500" t="s">
        <v>18</v>
      </c>
      <c r="F1500" t="s">
        <v>2782</v>
      </c>
      <c r="T1500" t="s">
        <v>1071</v>
      </c>
      <c r="U1500" t="s">
        <v>816</v>
      </c>
      <c r="V1500" t="s">
        <v>18</v>
      </c>
      <c r="W1500" t="s">
        <v>857</v>
      </c>
    </row>
    <row r="1501" spans="1:23">
      <c r="A1501" t="s">
        <v>5866</v>
      </c>
      <c r="B1501" t="s">
        <v>1071</v>
      </c>
      <c r="C1501" t="s">
        <v>816</v>
      </c>
      <c r="D1501" t="s">
        <v>2778</v>
      </c>
      <c r="E1501" t="s">
        <v>18</v>
      </c>
      <c r="F1501" t="s">
        <v>2779</v>
      </c>
      <c r="T1501" t="s">
        <v>1071</v>
      </c>
      <c r="U1501" t="s">
        <v>816</v>
      </c>
      <c r="V1501" t="s">
        <v>18</v>
      </c>
      <c r="W1501" t="s">
        <v>2778</v>
      </c>
    </row>
    <row r="1502" spans="1:23">
      <c r="A1502" t="s">
        <v>5869</v>
      </c>
      <c r="B1502" t="s">
        <v>1072</v>
      </c>
      <c r="C1502" t="s">
        <v>818</v>
      </c>
      <c r="D1502" t="s">
        <v>857</v>
      </c>
      <c r="E1502" t="s">
        <v>857</v>
      </c>
      <c r="F1502" t="s">
        <v>3779</v>
      </c>
      <c r="T1502" t="s">
        <v>1072</v>
      </c>
      <c r="U1502" t="s">
        <v>818</v>
      </c>
      <c r="V1502" t="s">
        <v>857</v>
      </c>
      <c r="W1502" t="s">
        <v>857</v>
      </c>
    </row>
    <row r="1503" spans="1:23">
      <c r="A1503" t="s">
        <v>5870</v>
      </c>
      <c r="B1503" t="s">
        <v>1072</v>
      </c>
      <c r="C1503" t="s">
        <v>818</v>
      </c>
      <c r="D1503" t="s">
        <v>857</v>
      </c>
      <c r="E1503" t="s">
        <v>18</v>
      </c>
      <c r="F1503" t="s">
        <v>2739</v>
      </c>
      <c r="T1503" t="s">
        <v>1072</v>
      </c>
      <c r="U1503" t="s">
        <v>818</v>
      </c>
      <c r="V1503" t="s">
        <v>18</v>
      </c>
      <c r="W1503" t="s">
        <v>857</v>
      </c>
    </row>
    <row r="1504" spans="1:23">
      <c r="A1504" t="s">
        <v>5871</v>
      </c>
      <c r="B1504" t="s">
        <v>1072</v>
      </c>
      <c r="C1504" t="s">
        <v>818</v>
      </c>
      <c r="D1504" t="s">
        <v>2512</v>
      </c>
      <c r="E1504" t="s">
        <v>857</v>
      </c>
      <c r="F1504" t="s">
        <v>4205</v>
      </c>
      <c r="T1504" t="s">
        <v>1072</v>
      </c>
      <c r="U1504" t="s">
        <v>818</v>
      </c>
      <c r="V1504" t="s">
        <v>857</v>
      </c>
      <c r="W1504" t="s">
        <v>2512</v>
      </c>
    </row>
    <row r="1505" spans="1:23">
      <c r="A1505" t="s">
        <v>5872</v>
      </c>
      <c r="B1505" t="s">
        <v>1072</v>
      </c>
      <c r="C1505" t="s">
        <v>818</v>
      </c>
      <c r="D1505" t="s">
        <v>2512</v>
      </c>
      <c r="E1505" t="s">
        <v>18</v>
      </c>
      <c r="F1505" t="s">
        <v>2736</v>
      </c>
      <c r="T1505" t="s">
        <v>1072</v>
      </c>
      <c r="U1505" t="s">
        <v>818</v>
      </c>
      <c r="V1505" t="s">
        <v>18</v>
      </c>
      <c r="W1505" t="s">
        <v>2512</v>
      </c>
    </row>
    <row r="1506" spans="1:23">
      <c r="A1506" t="s">
        <v>5872</v>
      </c>
      <c r="B1506" t="s">
        <v>1072</v>
      </c>
      <c r="C1506" t="s">
        <v>818</v>
      </c>
      <c r="D1506" t="s">
        <v>2512</v>
      </c>
      <c r="E1506" t="s">
        <v>18</v>
      </c>
      <c r="F1506" t="s">
        <v>2735</v>
      </c>
      <c r="T1506" t="s">
        <v>1072</v>
      </c>
      <c r="U1506" t="s">
        <v>818</v>
      </c>
      <c r="V1506" t="s">
        <v>18</v>
      </c>
      <c r="W1506" t="s">
        <v>2512</v>
      </c>
    </row>
    <row r="1507" spans="1:23">
      <c r="A1507" t="s">
        <v>5875</v>
      </c>
      <c r="B1507" t="s">
        <v>1072</v>
      </c>
      <c r="C1507" t="s">
        <v>19</v>
      </c>
      <c r="D1507" t="s">
        <v>857</v>
      </c>
      <c r="E1507" t="s">
        <v>857</v>
      </c>
      <c r="F1507" t="s">
        <v>3764</v>
      </c>
      <c r="T1507" t="s">
        <v>1072</v>
      </c>
      <c r="U1507" t="s">
        <v>19</v>
      </c>
      <c r="V1507" t="s">
        <v>857</v>
      </c>
      <c r="W1507" t="s">
        <v>857</v>
      </c>
    </row>
    <row r="1508" spans="1:23">
      <c r="A1508" t="s">
        <v>5876</v>
      </c>
      <c r="B1508" t="s">
        <v>1072</v>
      </c>
      <c r="C1508" t="s">
        <v>19</v>
      </c>
      <c r="D1508" t="s">
        <v>857</v>
      </c>
      <c r="E1508" t="s">
        <v>18</v>
      </c>
      <c r="F1508" t="s">
        <v>2741</v>
      </c>
      <c r="T1508" t="s">
        <v>1072</v>
      </c>
      <c r="U1508" t="s">
        <v>19</v>
      </c>
      <c r="V1508" t="s">
        <v>18</v>
      </c>
      <c r="W1508" t="s">
        <v>857</v>
      </c>
    </row>
    <row r="1509" spans="1:23">
      <c r="A1509" t="s">
        <v>5876</v>
      </c>
      <c r="B1509" t="s">
        <v>1072</v>
      </c>
      <c r="C1509" t="s">
        <v>19</v>
      </c>
      <c r="D1509" t="s">
        <v>857</v>
      </c>
      <c r="E1509" t="s">
        <v>18</v>
      </c>
      <c r="F1509" t="s">
        <v>2738</v>
      </c>
      <c r="T1509" t="s">
        <v>1072</v>
      </c>
      <c r="U1509" t="s">
        <v>19</v>
      </c>
      <c r="V1509" t="s">
        <v>18</v>
      </c>
      <c r="W1509" t="s">
        <v>857</v>
      </c>
    </row>
    <row r="1510" spans="1:23">
      <c r="A1510" t="s">
        <v>5877</v>
      </c>
      <c r="B1510" t="s">
        <v>1072</v>
      </c>
      <c r="C1510" t="s">
        <v>19</v>
      </c>
      <c r="D1510" t="s">
        <v>2512</v>
      </c>
      <c r="E1510" t="s">
        <v>857</v>
      </c>
      <c r="F1510" t="s">
        <v>4204</v>
      </c>
      <c r="T1510" t="s">
        <v>1072</v>
      </c>
      <c r="U1510" t="s">
        <v>19</v>
      </c>
      <c r="V1510" t="s">
        <v>857</v>
      </c>
      <c r="W1510" t="s">
        <v>2512</v>
      </c>
    </row>
    <row r="1511" spans="1:23">
      <c r="A1511" t="s">
        <v>5878</v>
      </c>
      <c r="B1511" t="s">
        <v>1072</v>
      </c>
      <c r="C1511" t="s">
        <v>19</v>
      </c>
      <c r="D1511" t="s">
        <v>2512</v>
      </c>
      <c r="E1511" t="s">
        <v>18</v>
      </c>
      <c r="F1511" t="s">
        <v>2742</v>
      </c>
      <c r="T1511" t="s">
        <v>1072</v>
      </c>
      <c r="U1511" t="s">
        <v>19</v>
      </c>
      <c r="V1511" t="s">
        <v>18</v>
      </c>
      <c r="W1511" t="s">
        <v>2512</v>
      </c>
    </row>
    <row r="1512" spans="1:23">
      <c r="A1512" t="s">
        <v>5878</v>
      </c>
      <c r="B1512" t="s">
        <v>1072</v>
      </c>
      <c r="C1512" t="s">
        <v>19</v>
      </c>
      <c r="D1512" t="s">
        <v>2512</v>
      </c>
      <c r="E1512" t="s">
        <v>18</v>
      </c>
      <c r="F1512" t="s">
        <v>2734</v>
      </c>
      <c r="T1512" t="s">
        <v>1072</v>
      </c>
      <c r="U1512" t="s">
        <v>19</v>
      </c>
      <c r="V1512" t="s">
        <v>18</v>
      </c>
      <c r="W1512" t="s">
        <v>2512</v>
      </c>
    </row>
    <row r="1513" spans="1:23">
      <c r="A1513" t="s">
        <v>5880</v>
      </c>
      <c r="B1513" t="s">
        <v>1072</v>
      </c>
      <c r="C1513" t="s">
        <v>2384</v>
      </c>
      <c r="D1513" t="s">
        <v>857</v>
      </c>
      <c r="E1513" t="s">
        <v>857</v>
      </c>
      <c r="F1513" t="s">
        <v>3867</v>
      </c>
      <c r="T1513" t="s">
        <v>1072</v>
      </c>
      <c r="U1513" t="s">
        <v>2384</v>
      </c>
      <c r="V1513" t="s">
        <v>857</v>
      </c>
      <c r="W1513" t="s">
        <v>857</v>
      </c>
    </row>
    <row r="1514" spans="1:23">
      <c r="A1514" t="s">
        <v>5880</v>
      </c>
      <c r="B1514" t="s">
        <v>1072</v>
      </c>
      <c r="C1514" t="s">
        <v>2384</v>
      </c>
      <c r="D1514" t="s">
        <v>857</v>
      </c>
      <c r="E1514" t="s">
        <v>857</v>
      </c>
      <c r="F1514" t="s">
        <v>3837</v>
      </c>
      <c r="T1514" t="s">
        <v>1072</v>
      </c>
      <c r="U1514" t="s">
        <v>2384</v>
      </c>
      <c r="V1514" t="s">
        <v>857</v>
      </c>
      <c r="W1514" t="s">
        <v>857</v>
      </c>
    </row>
    <row r="1515" spans="1:23">
      <c r="A1515" t="s">
        <v>5882</v>
      </c>
      <c r="B1515" t="s">
        <v>1072</v>
      </c>
      <c r="C1515" t="s">
        <v>816</v>
      </c>
      <c r="D1515" t="s">
        <v>857</v>
      </c>
      <c r="E1515" t="s">
        <v>857</v>
      </c>
      <c r="F1515" t="s">
        <v>3836</v>
      </c>
      <c r="T1515" t="s">
        <v>1072</v>
      </c>
      <c r="U1515" t="s">
        <v>816</v>
      </c>
      <c r="V1515" t="s">
        <v>857</v>
      </c>
      <c r="W1515" t="s">
        <v>857</v>
      </c>
    </row>
    <row r="1516" spans="1:23">
      <c r="A1516" t="s">
        <v>5883</v>
      </c>
      <c r="B1516" t="s">
        <v>1072</v>
      </c>
      <c r="C1516" t="s">
        <v>816</v>
      </c>
      <c r="D1516" t="s">
        <v>857</v>
      </c>
      <c r="E1516" t="s">
        <v>18</v>
      </c>
      <c r="F1516" t="s">
        <v>2740</v>
      </c>
      <c r="T1516" t="s">
        <v>1072</v>
      </c>
      <c r="U1516" t="s">
        <v>816</v>
      </c>
      <c r="V1516" t="s">
        <v>18</v>
      </c>
      <c r="W1516" t="s">
        <v>857</v>
      </c>
    </row>
    <row r="1517" spans="1:23">
      <c r="A1517" t="s">
        <v>5883</v>
      </c>
      <c r="B1517" t="s">
        <v>1072</v>
      </c>
      <c r="C1517" t="s">
        <v>816</v>
      </c>
      <c r="D1517" t="s">
        <v>857</v>
      </c>
      <c r="E1517" t="s">
        <v>18</v>
      </c>
      <c r="F1517" t="s">
        <v>2737</v>
      </c>
      <c r="T1517" t="s">
        <v>1072</v>
      </c>
      <c r="U1517" t="s">
        <v>816</v>
      </c>
      <c r="V1517" t="s">
        <v>18</v>
      </c>
      <c r="W1517" t="s">
        <v>857</v>
      </c>
    </row>
    <row r="1518" spans="1:23">
      <c r="A1518" t="s">
        <v>5885</v>
      </c>
      <c r="B1518" t="s">
        <v>1072</v>
      </c>
      <c r="C1518" t="s">
        <v>816</v>
      </c>
      <c r="D1518" t="s">
        <v>2732</v>
      </c>
      <c r="E1518" t="s">
        <v>18</v>
      </c>
      <c r="F1518" t="s">
        <v>2733</v>
      </c>
      <c r="T1518" t="s">
        <v>1072</v>
      </c>
      <c r="U1518" t="s">
        <v>816</v>
      </c>
      <c r="V1518" t="s">
        <v>18</v>
      </c>
      <c r="W1518" t="s">
        <v>2732</v>
      </c>
    </row>
    <row r="1519" spans="1:23">
      <c r="A1519" t="s">
        <v>5886</v>
      </c>
      <c r="B1519" t="s">
        <v>1072</v>
      </c>
      <c r="C1519" t="s">
        <v>816</v>
      </c>
      <c r="D1519" t="s">
        <v>4202</v>
      </c>
      <c r="E1519" t="s">
        <v>857</v>
      </c>
      <c r="F1519" t="s">
        <v>4203</v>
      </c>
      <c r="T1519" t="s">
        <v>1072</v>
      </c>
      <c r="U1519" t="s">
        <v>816</v>
      </c>
      <c r="V1519" t="s">
        <v>857</v>
      </c>
      <c r="W1519" t="s">
        <v>4202</v>
      </c>
    </row>
    <row r="1520" spans="1:23">
      <c r="A1520" t="s">
        <v>5887</v>
      </c>
      <c r="B1520" t="s">
        <v>1073</v>
      </c>
      <c r="C1520" t="s">
        <v>818</v>
      </c>
      <c r="D1520" t="s">
        <v>857</v>
      </c>
      <c r="E1520" t="s">
        <v>18</v>
      </c>
      <c r="F1520" t="s">
        <v>2820</v>
      </c>
      <c r="T1520" t="s">
        <v>1073</v>
      </c>
      <c r="U1520" t="s">
        <v>818</v>
      </c>
      <c r="V1520" t="s">
        <v>18</v>
      </c>
      <c r="W1520" t="s">
        <v>857</v>
      </c>
    </row>
    <row r="1521" spans="1:23">
      <c r="A1521" t="s">
        <v>5887</v>
      </c>
      <c r="B1521" t="s">
        <v>1073</v>
      </c>
      <c r="C1521" t="s">
        <v>818</v>
      </c>
      <c r="D1521" t="s">
        <v>857</v>
      </c>
      <c r="E1521" t="s">
        <v>18</v>
      </c>
      <c r="F1521" t="s">
        <v>2461</v>
      </c>
      <c r="T1521" t="s">
        <v>1073</v>
      </c>
      <c r="U1521" t="s">
        <v>818</v>
      </c>
      <c r="V1521" t="s">
        <v>18</v>
      </c>
      <c r="W1521" t="s">
        <v>857</v>
      </c>
    </row>
    <row r="1522" spans="1:23">
      <c r="A1522" t="s">
        <v>5887</v>
      </c>
      <c r="B1522" t="s">
        <v>1073</v>
      </c>
      <c r="C1522" t="s">
        <v>818</v>
      </c>
      <c r="D1522" t="s">
        <v>857</v>
      </c>
      <c r="E1522" t="s">
        <v>18</v>
      </c>
      <c r="F1522" t="s">
        <v>2460</v>
      </c>
      <c r="T1522" t="s">
        <v>1073</v>
      </c>
      <c r="U1522" t="s">
        <v>818</v>
      </c>
      <c r="V1522" t="s">
        <v>18</v>
      </c>
      <c r="W1522" t="s">
        <v>857</v>
      </c>
    </row>
    <row r="1523" spans="1:23">
      <c r="A1523" t="s">
        <v>5887</v>
      </c>
      <c r="B1523" t="s">
        <v>1073</v>
      </c>
      <c r="C1523" t="s">
        <v>818</v>
      </c>
      <c r="D1523" t="s">
        <v>857</v>
      </c>
      <c r="E1523" t="s">
        <v>18</v>
      </c>
      <c r="F1523" t="s">
        <v>2459</v>
      </c>
      <c r="T1523" t="s">
        <v>1073</v>
      </c>
      <c r="U1523" t="s">
        <v>818</v>
      </c>
      <c r="V1523" t="s">
        <v>18</v>
      </c>
      <c r="W1523" t="s">
        <v>857</v>
      </c>
    </row>
    <row r="1524" spans="1:23">
      <c r="A1524" t="s">
        <v>5888</v>
      </c>
      <c r="B1524" t="s">
        <v>1073</v>
      </c>
      <c r="C1524" t="s">
        <v>818</v>
      </c>
      <c r="D1524" t="s">
        <v>2447</v>
      </c>
      <c r="E1524" t="s">
        <v>18</v>
      </c>
      <c r="F1524" t="s">
        <v>2818</v>
      </c>
      <c r="T1524" t="s">
        <v>1073</v>
      </c>
      <c r="U1524" t="s">
        <v>818</v>
      </c>
      <c r="V1524" t="s">
        <v>18</v>
      </c>
      <c r="W1524" t="s">
        <v>2447</v>
      </c>
    </row>
    <row r="1525" spans="1:23">
      <c r="A1525" t="s">
        <v>5889</v>
      </c>
      <c r="B1525" t="s">
        <v>1073</v>
      </c>
      <c r="C1525" t="s">
        <v>818</v>
      </c>
      <c r="D1525" t="s">
        <v>2816</v>
      </c>
      <c r="E1525" t="s">
        <v>18</v>
      </c>
      <c r="F1525" t="s">
        <v>2817</v>
      </c>
      <c r="T1525" t="s">
        <v>1073</v>
      </c>
      <c r="U1525" t="s">
        <v>818</v>
      </c>
      <c r="V1525" t="s">
        <v>18</v>
      </c>
      <c r="W1525" t="s">
        <v>2816</v>
      </c>
    </row>
    <row r="1526" spans="1:23">
      <c r="A1526" t="s">
        <v>5890</v>
      </c>
      <c r="B1526" t="s">
        <v>1073</v>
      </c>
      <c r="C1526" t="s">
        <v>818</v>
      </c>
      <c r="D1526" t="s">
        <v>2449</v>
      </c>
      <c r="E1526" t="s">
        <v>18</v>
      </c>
      <c r="F1526" t="s">
        <v>2819</v>
      </c>
      <c r="T1526" t="s">
        <v>1073</v>
      </c>
      <c r="U1526" t="s">
        <v>818</v>
      </c>
      <c r="V1526" t="s">
        <v>18</v>
      </c>
      <c r="W1526" t="s">
        <v>2449</v>
      </c>
    </row>
    <row r="1527" spans="1:23">
      <c r="A1527" t="s">
        <v>5891</v>
      </c>
      <c r="B1527" t="s">
        <v>1073</v>
      </c>
      <c r="C1527" t="s">
        <v>818</v>
      </c>
      <c r="D1527" t="s">
        <v>2445</v>
      </c>
      <c r="E1527" t="s">
        <v>18</v>
      </c>
      <c r="F1527" t="s">
        <v>2815</v>
      </c>
      <c r="T1527" t="s">
        <v>1073</v>
      </c>
      <c r="U1527" t="s">
        <v>818</v>
      </c>
      <c r="V1527" t="s">
        <v>18</v>
      </c>
      <c r="W1527" t="s">
        <v>2445</v>
      </c>
    </row>
    <row r="1528" spans="1:23">
      <c r="A1528" t="s">
        <v>5892</v>
      </c>
      <c r="B1528" t="s">
        <v>1073</v>
      </c>
      <c r="C1528" t="s">
        <v>818</v>
      </c>
      <c r="D1528" t="s">
        <v>2443</v>
      </c>
      <c r="E1528" t="s">
        <v>18</v>
      </c>
      <c r="F1528" t="s">
        <v>2814</v>
      </c>
      <c r="T1528" t="s">
        <v>1073</v>
      </c>
      <c r="U1528" t="s">
        <v>818</v>
      </c>
      <c r="V1528" t="s">
        <v>18</v>
      </c>
      <c r="W1528" t="s">
        <v>2443</v>
      </c>
    </row>
    <row r="1529" spans="1:23">
      <c r="A1529" t="s">
        <v>5894</v>
      </c>
      <c r="B1529" t="s">
        <v>1073</v>
      </c>
      <c r="C1529" t="s">
        <v>818</v>
      </c>
      <c r="D1529" t="s">
        <v>2441</v>
      </c>
      <c r="E1529" t="s">
        <v>18</v>
      </c>
      <c r="F1529" t="s">
        <v>2821</v>
      </c>
      <c r="T1529" t="s">
        <v>1073</v>
      </c>
      <c r="U1529" t="s">
        <v>818</v>
      </c>
      <c r="V1529" t="s">
        <v>18</v>
      </c>
      <c r="W1529" t="s">
        <v>2441</v>
      </c>
    </row>
    <row r="1530" spans="1:23">
      <c r="A1530" t="s">
        <v>5896</v>
      </c>
      <c r="B1530" t="s">
        <v>1073</v>
      </c>
      <c r="C1530" t="s">
        <v>2384</v>
      </c>
      <c r="D1530" t="s">
        <v>857</v>
      </c>
      <c r="E1530" t="s">
        <v>18</v>
      </c>
      <c r="F1530" t="s">
        <v>2823</v>
      </c>
      <c r="T1530" t="s">
        <v>1073</v>
      </c>
      <c r="U1530" t="s">
        <v>2384</v>
      </c>
      <c r="V1530" t="s">
        <v>18</v>
      </c>
      <c r="W1530" t="s">
        <v>857</v>
      </c>
    </row>
    <row r="1531" spans="1:23">
      <c r="A1531" t="s">
        <v>5896</v>
      </c>
      <c r="B1531" t="s">
        <v>1073</v>
      </c>
      <c r="C1531" t="s">
        <v>2384</v>
      </c>
      <c r="D1531" t="s">
        <v>857</v>
      </c>
      <c r="E1531" t="s">
        <v>18</v>
      </c>
      <c r="F1531" t="s">
        <v>2822</v>
      </c>
      <c r="T1531" t="s">
        <v>1073</v>
      </c>
      <c r="U1531" t="s">
        <v>2384</v>
      </c>
      <c r="V1531" t="s">
        <v>18</v>
      </c>
      <c r="W1531" t="s">
        <v>857</v>
      </c>
    </row>
    <row r="1532" spans="1:23">
      <c r="A1532" t="s">
        <v>5896</v>
      </c>
      <c r="B1532" t="s">
        <v>1073</v>
      </c>
      <c r="C1532" t="s">
        <v>2384</v>
      </c>
      <c r="D1532" t="s">
        <v>857</v>
      </c>
      <c r="E1532" t="s">
        <v>18</v>
      </c>
      <c r="F1532" t="s">
        <v>2463</v>
      </c>
      <c r="T1532" t="s">
        <v>1073</v>
      </c>
      <c r="U1532" t="s">
        <v>2384</v>
      </c>
      <c r="V1532" t="s">
        <v>18</v>
      </c>
      <c r="W1532" t="s">
        <v>857</v>
      </c>
    </row>
    <row r="1533" spans="1:23">
      <c r="A1533" t="s">
        <v>5896</v>
      </c>
      <c r="B1533" t="s">
        <v>1073</v>
      </c>
      <c r="C1533" t="s">
        <v>2384</v>
      </c>
      <c r="D1533" t="s">
        <v>857</v>
      </c>
      <c r="E1533" t="s">
        <v>18</v>
      </c>
      <c r="F1533" t="s">
        <v>2462</v>
      </c>
      <c r="T1533" t="s">
        <v>1073</v>
      </c>
      <c r="U1533" t="s">
        <v>2384</v>
      </c>
      <c r="V1533" t="s">
        <v>18</v>
      </c>
      <c r="W1533" t="s">
        <v>857</v>
      </c>
    </row>
    <row r="1534" spans="1:23">
      <c r="A1534" t="s">
        <v>5897</v>
      </c>
      <c r="B1534" t="s">
        <v>1073</v>
      </c>
      <c r="C1534" t="s">
        <v>2384</v>
      </c>
      <c r="D1534" t="s">
        <v>2457</v>
      </c>
      <c r="E1534" t="s">
        <v>857</v>
      </c>
      <c r="F1534" t="s">
        <v>3997</v>
      </c>
      <c r="T1534" t="s">
        <v>1073</v>
      </c>
      <c r="U1534" t="s">
        <v>2384</v>
      </c>
      <c r="V1534" t="s">
        <v>857</v>
      </c>
      <c r="W1534" t="s">
        <v>2457</v>
      </c>
    </row>
    <row r="1535" spans="1:23">
      <c r="A1535" t="s">
        <v>5898</v>
      </c>
      <c r="B1535" t="s">
        <v>1073</v>
      </c>
      <c r="C1535" t="s">
        <v>2384</v>
      </c>
      <c r="D1535" t="s">
        <v>2457</v>
      </c>
      <c r="E1535" t="s">
        <v>18</v>
      </c>
      <c r="F1535" t="s">
        <v>2458</v>
      </c>
      <c r="T1535" t="s">
        <v>1073</v>
      </c>
      <c r="U1535" t="s">
        <v>2384</v>
      </c>
      <c r="V1535" t="s">
        <v>18</v>
      </c>
      <c r="W1535" t="s">
        <v>2457</v>
      </c>
    </row>
    <row r="1536" spans="1:23">
      <c r="A1536" t="s">
        <v>5899</v>
      </c>
      <c r="B1536" t="s">
        <v>1073</v>
      </c>
      <c r="C1536" t="s">
        <v>2384</v>
      </c>
      <c r="D1536" t="s">
        <v>2455</v>
      </c>
      <c r="E1536" t="s">
        <v>18</v>
      </c>
      <c r="F1536" t="s">
        <v>2456</v>
      </c>
      <c r="T1536" t="s">
        <v>1073</v>
      </c>
      <c r="U1536" t="s">
        <v>2384</v>
      </c>
      <c r="V1536" t="s">
        <v>18</v>
      </c>
      <c r="W1536" t="s">
        <v>2455</v>
      </c>
    </row>
    <row r="1537" spans="1:23">
      <c r="A1537" t="s">
        <v>5900</v>
      </c>
      <c r="B1537" t="s">
        <v>1073</v>
      </c>
      <c r="C1537" t="s">
        <v>2384</v>
      </c>
      <c r="D1537" t="s">
        <v>2453</v>
      </c>
      <c r="E1537" t="s">
        <v>18</v>
      </c>
      <c r="F1537" t="s">
        <v>2454</v>
      </c>
      <c r="T1537" t="s">
        <v>1073</v>
      </c>
      <c r="U1537" t="s">
        <v>2384</v>
      </c>
      <c r="V1537" t="s">
        <v>18</v>
      </c>
      <c r="W1537" t="s">
        <v>2453</v>
      </c>
    </row>
    <row r="1538" spans="1:23">
      <c r="A1538" t="s">
        <v>5901</v>
      </c>
      <c r="B1538" t="s">
        <v>1073</v>
      </c>
      <c r="C1538" t="s">
        <v>2384</v>
      </c>
      <c r="D1538" t="s">
        <v>2451</v>
      </c>
      <c r="E1538" t="s">
        <v>18</v>
      </c>
      <c r="F1538" t="s">
        <v>2452</v>
      </c>
      <c r="T1538" t="s">
        <v>1073</v>
      </c>
      <c r="U1538" t="s">
        <v>2384</v>
      </c>
      <c r="V1538" t="s">
        <v>18</v>
      </c>
      <c r="W1538" t="s">
        <v>2451</v>
      </c>
    </row>
    <row r="1539" spans="1:23">
      <c r="A1539" t="s">
        <v>5902</v>
      </c>
      <c r="B1539" t="s">
        <v>1073</v>
      </c>
      <c r="C1539" t="s">
        <v>2384</v>
      </c>
      <c r="D1539" t="s">
        <v>2447</v>
      </c>
      <c r="E1539" t="s">
        <v>18</v>
      </c>
      <c r="F1539" t="s">
        <v>2448</v>
      </c>
      <c r="T1539" t="s">
        <v>1073</v>
      </c>
      <c r="U1539" t="s">
        <v>2384</v>
      </c>
      <c r="V1539" t="s">
        <v>18</v>
      </c>
      <c r="W1539" t="s">
        <v>2447</v>
      </c>
    </row>
    <row r="1540" spans="1:23">
      <c r="A1540" t="s">
        <v>5903</v>
      </c>
      <c r="B1540" t="s">
        <v>1073</v>
      </c>
      <c r="C1540" t="s">
        <v>2384</v>
      </c>
      <c r="D1540" t="s">
        <v>2449</v>
      </c>
      <c r="E1540" t="s">
        <v>18</v>
      </c>
      <c r="F1540" t="s">
        <v>2450</v>
      </c>
      <c r="T1540" t="s">
        <v>1073</v>
      </c>
      <c r="U1540" t="s">
        <v>2384</v>
      </c>
      <c r="V1540" t="s">
        <v>18</v>
      </c>
      <c r="W1540" t="s">
        <v>2449</v>
      </c>
    </row>
    <row r="1541" spans="1:23">
      <c r="A1541" t="s">
        <v>5904</v>
      </c>
      <c r="B1541" t="s">
        <v>1073</v>
      </c>
      <c r="C1541" t="s">
        <v>2384</v>
      </c>
      <c r="D1541" t="s">
        <v>2445</v>
      </c>
      <c r="E1541" t="s">
        <v>18</v>
      </c>
      <c r="F1541" t="s">
        <v>2446</v>
      </c>
      <c r="T1541" t="s">
        <v>1073</v>
      </c>
      <c r="U1541" t="s">
        <v>2384</v>
      </c>
      <c r="V1541" t="s">
        <v>18</v>
      </c>
      <c r="W1541" t="s">
        <v>2445</v>
      </c>
    </row>
    <row r="1542" spans="1:23">
      <c r="A1542" t="s">
        <v>5905</v>
      </c>
      <c r="B1542" t="s">
        <v>1073</v>
      </c>
      <c r="C1542" t="s">
        <v>2384</v>
      </c>
      <c r="D1542" t="s">
        <v>2443</v>
      </c>
      <c r="E1542" t="s">
        <v>18</v>
      </c>
      <c r="F1542" t="s">
        <v>2444</v>
      </c>
      <c r="T1542" t="s">
        <v>1073</v>
      </c>
      <c r="U1542" t="s">
        <v>2384</v>
      </c>
      <c r="V1542" t="s">
        <v>18</v>
      </c>
      <c r="W1542" t="s">
        <v>2443</v>
      </c>
    </row>
    <row r="1543" spans="1:23">
      <c r="A1543" t="s">
        <v>5907</v>
      </c>
      <c r="B1543" t="s">
        <v>1073</v>
      </c>
      <c r="C1543" t="s">
        <v>2384</v>
      </c>
      <c r="D1543" t="s">
        <v>2441</v>
      </c>
      <c r="E1543" t="s">
        <v>18</v>
      </c>
      <c r="F1543" t="s">
        <v>2442</v>
      </c>
      <c r="T1543" t="s">
        <v>1073</v>
      </c>
      <c r="U1543" t="s">
        <v>2384</v>
      </c>
      <c r="V1543" t="s">
        <v>18</v>
      </c>
      <c r="W1543" t="s">
        <v>2441</v>
      </c>
    </row>
    <row r="1544" spans="1:23">
      <c r="A1544" t="s">
        <v>5908</v>
      </c>
      <c r="B1544" t="s">
        <v>2881</v>
      </c>
      <c r="C1544" t="s">
        <v>19</v>
      </c>
      <c r="D1544" t="s">
        <v>857</v>
      </c>
      <c r="E1544" t="s">
        <v>18</v>
      </c>
      <c r="F1544" t="s">
        <v>2882</v>
      </c>
      <c r="T1544" t="s">
        <v>2881</v>
      </c>
      <c r="U1544" t="s">
        <v>19</v>
      </c>
      <c r="V1544" t="s">
        <v>18</v>
      </c>
      <c r="W1544" t="s">
        <v>857</v>
      </c>
    </row>
    <row r="1545" spans="1:23">
      <c r="A1545" t="s">
        <v>5919</v>
      </c>
      <c r="B1545" t="s">
        <v>1074</v>
      </c>
      <c r="C1545" t="s">
        <v>818</v>
      </c>
      <c r="D1545" t="s">
        <v>857</v>
      </c>
      <c r="E1545" t="s">
        <v>857</v>
      </c>
      <c r="F1545" t="s">
        <v>4094</v>
      </c>
      <c r="T1545" t="s">
        <v>1074</v>
      </c>
      <c r="U1545" t="s">
        <v>818</v>
      </c>
      <c r="V1545" t="s">
        <v>857</v>
      </c>
      <c r="W1545" t="s">
        <v>857</v>
      </c>
    </row>
    <row r="1546" spans="1:23">
      <c r="A1546" t="s">
        <v>5919</v>
      </c>
      <c r="B1546" t="s">
        <v>1074</v>
      </c>
      <c r="C1546" t="s">
        <v>818</v>
      </c>
      <c r="D1546" t="s">
        <v>857</v>
      </c>
      <c r="E1546" t="s">
        <v>857</v>
      </c>
      <c r="F1546" t="s">
        <v>3809</v>
      </c>
      <c r="T1546" t="s">
        <v>1074</v>
      </c>
      <c r="U1546" t="s">
        <v>818</v>
      </c>
      <c r="V1546" t="s">
        <v>857</v>
      </c>
      <c r="W1546" t="s">
        <v>857</v>
      </c>
    </row>
    <row r="1547" spans="1:23">
      <c r="A1547" t="s">
        <v>5920</v>
      </c>
      <c r="B1547" t="s">
        <v>1074</v>
      </c>
      <c r="C1547" t="s">
        <v>818</v>
      </c>
      <c r="D1547" t="s">
        <v>2366</v>
      </c>
      <c r="E1547" t="s">
        <v>857</v>
      </c>
      <c r="F1547" t="s">
        <v>4025</v>
      </c>
      <c r="T1547" t="s">
        <v>1074</v>
      </c>
      <c r="U1547" t="s">
        <v>818</v>
      </c>
      <c r="V1547" t="s">
        <v>857</v>
      </c>
      <c r="W1547" t="s">
        <v>2366</v>
      </c>
    </row>
    <row r="1548" spans="1:23">
      <c r="A1548" t="s">
        <v>5921</v>
      </c>
      <c r="B1548" t="s">
        <v>1074</v>
      </c>
      <c r="C1548" t="s">
        <v>818</v>
      </c>
      <c r="D1548" t="s">
        <v>2366</v>
      </c>
      <c r="E1548" t="s">
        <v>18</v>
      </c>
      <c r="F1548" t="s">
        <v>2714</v>
      </c>
      <c r="T1548" t="s">
        <v>1074</v>
      </c>
      <c r="U1548" t="s">
        <v>818</v>
      </c>
      <c r="V1548" t="s">
        <v>18</v>
      </c>
      <c r="W1548" t="s">
        <v>2366</v>
      </c>
    </row>
    <row r="1549" spans="1:23">
      <c r="A1549" t="s">
        <v>5921</v>
      </c>
      <c r="B1549" t="s">
        <v>1074</v>
      </c>
      <c r="C1549" t="s">
        <v>818</v>
      </c>
      <c r="D1549" t="s">
        <v>2366</v>
      </c>
      <c r="E1549" t="s">
        <v>18</v>
      </c>
      <c r="F1549" t="s">
        <v>2709</v>
      </c>
      <c r="T1549" t="s">
        <v>1074</v>
      </c>
      <c r="U1549" t="s">
        <v>818</v>
      </c>
      <c r="V1549" t="s">
        <v>18</v>
      </c>
      <c r="W1549" t="s">
        <v>2366</v>
      </c>
    </row>
    <row r="1550" spans="1:23">
      <c r="A1550" t="s">
        <v>5924</v>
      </c>
      <c r="B1550" t="s">
        <v>1074</v>
      </c>
      <c r="C1550" t="s">
        <v>19</v>
      </c>
      <c r="D1550" t="s">
        <v>857</v>
      </c>
      <c r="E1550" t="s">
        <v>857</v>
      </c>
      <c r="F1550" t="s">
        <v>4093</v>
      </c>
      <c r="T1550" t="s">
        <v>1074</v>
      </c>
      <c r="U1550" t="s">
        <v>19</v>
      </c>
      <c r="V1550" t="s">
        <v>857</v>
      </c>
      <c r="W1550" t="s">
        <v>857</v>
      </c>
    </row>
    <row r="1551" spans="1:23">
      <c r="A1551" t="s">
        <v>5924</v>
      </c>
      <c r="B1551" t="s">
        <v>1074</v>
      </c>
      <c r="C1551" t="s">
        <v>19</v>
      </c>
      <c r="D1551" t="s">
        <v>857</v>
      </c>
      <c r="E1551" t="s">
        <v>857</v>
      </c>
      <c r="F1551" t="s">
        <v>4033</v>
      </c>
      <c r="T1551" t="s">
        <v>1074</v>
      </c>
      <c r="U1551" t="s">
        <v>19</v>
      </c>
      <c r="V1551" t="s">
        <v>857</v>
      </c>
      <c r="W1551" t="s">
        <v>857</v>
      </c>
    </row>
    <row r="1552" spans="1:23">
      <c r="A1552" t="s">
        <v>5924</v>
      </c>
      <c r="B1552" t="s">
        <v>1074</v>
      </c>
      <c r="C1552" t="s">
        <v>19</v>
      </c>
      <c r="D1552" t="s">
        <v>857</v>
      </c>
      <c r="E1552" t="s">
        <v>857</v>
      </c>
      <c r="F1552" t="s">
        <v>3802</v>
      </c>
      <c r="T1552" t="s">
        <v>1074</v>
      </c>
      <c r="U1552" t="s">
        <v>19</v>
      </c>
      <c r="V1552" t="s">
        <v>857</v>
      </c>
      <c r="W1552" t="s">
        <v>857</v>
      </c>
    </row>
    <row r="1553" spans="1:23">
      <c r="A1553" t="s">
        <v>5925</v>
      </c>
      <c r="B1553" t="s">
        <v>1074</v>
      </c>
      <c r="C1553" t="s">
        <v>19</v>
      </c>
      <c r="D1553" t="s">
        <v>857</v>
      </c>
      <c r="E1553" t="s">
        <v>18</v>
      </c>
      <c r="F1553" t="s">
        <v>2716</v>
      </c>
      <c r="T1553" t="s">
        <v>1074</v>
      </c>
      <c r="U1553" t="s">
        <v>19</v>
      </c>
      <c r="V1553" t="s">
        <v>18</v>
      </c>
      <c r="W1553" t="s">
        <v>857</v>
      </c>
    </row>
    <row r="1554" spans="1:23">
      <c r="A1554" t="s">
        <v>5925</v>
      </c>
      <c r="B1554" t="s">
        <v>1074</v>
      </c>
      <c r="C1554" t="s">
        <v>19</v>
      </c>
      <c r="D1554" t="s">
        <v>857</v>
      </c>
      <c r="E1554" t="s">
        <v>18</v>
      </c>
      <c r="F1554" t="s">
        <v>2712</v>
      </c>
      <c r="T1554" t="s">
        <v>1074</v>
      </c>
      <c r="U1554" t="s">
        <v>19</v>
      </c>
      <c r="V1554" t="s">
        <v>18</v>
      </c>
      <c r="W1554" t="s">
        <v>857</v>
      </c>
    </row>
    <row r="1555" spans="1:23">
      <c r="A1555" t="s">
        <v>5926</v>
      </c>
      <c r="B1555" t="s">
        <v>1074</v>
      </c>
      <c r="C1555" t="s">
        <v>19</v>
      </c>
      <c r="D1555" t="s">
        <v>2581</v>
      </c>
      <c r="E1555" t="s">
        <v>857</v>
      </c>
      <c r="F1555" t="s">
        <v>4026</v>
      </c>
      <c r="T1555" t="s">
        <v>1074</v>
      </c>
      <c r="U1555" t="s">
        <v>19</v>
      </c>
      <c r="V1555" t="s">
        <v>857</v>
      </c>
      <c r="W1555" t="s">
        <v>2581</v>
      </c>
    </row>
    <row r="1556" spans="1:23">
      <c r="A1556" t="s">
        <v>5927</v>
      </c>
      <c r="B1556" t="s">
        <v>1074</v>
      </c>
      <c r="C1556" t="s">
        <v>19</v>
      </c>
      <c r="D1556" t="s">
        <v>2581</v>
      </c>
      <c r="E1556" t="s">
        <v>18</v>
      </c>
      <c r="F1556" t="s">
        <v>2708</v>
      </c>
      <c r="T1556" t="s">
        <v>1074</v>
      </c>
      <c r="U1556" t="s">
        <v>19</v>
      </c>
      <c r="V1556" t="s">
        <v>18</v>
      </c>
      <c r="W1556" t="s">
        <v>2581</v>
      </c>
    </row>
    <row r="1557" spans="1:23">
      <c r="A1557" t="s">
        <v>5929</v>
      </c>
      <c r="B1557" t="s">
        <v>1074</v>
      </c>
      <c r="C1557" t="s">
        <v>2416</v>
      </c>
      <c r="D1557" t="s">
        <v>2366</v>
      </c>
      <c r="E1557" t="s">
        <v>18</v>
      </c>
      <c r="F1557" t="s">
        <v>2710</v>
      </c>
      <c r="T1557" t="s">
        <v>1074</v>
      </c>
      <c r="U1557" t="s">
        <v>2416</v>
      </c>
      <c r="V1557" t="s">
        <v>18</v>
      </c>
      <c r="W1557" t="s">
        <v>2366</v>
      </c>
    </row>
    <row r="1558" spans="1:23">
      <c r="A1558" t="s">
        <v>5932</v>
      </c>
      <c r="B1558" t="s">
        <v>1074</v>
      </c>
      <c r="C1558" t="s">
        <v>816</v>
      </c>
      <c r="D1558" t="s">
        <v>857</v>
      </c>
      <c r="E1558" t="s">
        <v>857</v>
      </c>
      <c r="F1558" t="s">
        <v>4092</v>
      </c>
      <c r="T1558" t="s">
        <v>1074</v>
      </c>
      <c r="U1558" t="s">
        <v>816</v>
      </c>
      <c r="V1558" t="s">
        <v>857</v>
      </c>
      <c r="W1558" t="s">
        <v>857</v>
      </c>
    </row>
    <row r="1559" spans="1:23">
      <c r="A1559" t="s">
        <v>5932</v>
      </c>
      <c r="B1559" t="s">
        <v>1074</v>
      </c>
      <c r="C1559" t="s">
        <v>816</v>
      </c>
      <c r="D1559" t="s">
        <v>857</v>
      </c>
      <c r="E1559" t="s">
        <v>857</v>
      </c>
      <c r="F1559" t="s">
        <v>3923</v>
      </c>
      <c r="T1559" t="s">
        <v>1074</v>
      </c>
      <c r="U1559" t="s">
        <v>816</v>
      </c>
      <c r="V1559" t="s">
        <v>857</v>
      </c>
      <c r="W1559" t="s">
        <v>857</v>
      </c>
    </row>
    <row r="1560" spans="1:23">
      <c r="A1560" t="s">
        <v>5932</v>
      </c>
      <c r="B1560" t="s">
        <v>1074</v>
      </c>
      <c r="C1560" t="s">
        <v>816</v>
      </c>
      <c r="D1560" t="s">
        <v>857</v>
      </c>
      <c r="E1560" t="s">
        <v>857</v>
      </c>
      <c r="F1560" t="s">
        <v>3808</v>
      </c>
      <c r="T1560" t="s">
        <v>1074</v>
      </c>
      <c r="U1560" t="s">
        <v>816</v>
      </c>
      <c r="V1560" t="s">
        <v>857</v>
      </c>
      <c r="W1560" t="s">
        <v>857</v>
      </c>
    </row>
    <row r="1561" spans="1:23">
      <c r="A1561" t="s">
        <v>5933</v>
      </c>
      <c r="B1561" t="s">
        <v>1074</v>
      </c>
      <c r="C1561" t="s">
        <v>816</v>
      </c>
      <c r="D1561" t="s">
        <v>857</v>
      </c>
      <c r="E1561" t="s">
        <v>18</v>
      </c>
      <c r="F1561" t="s">
        <v>2715</v>
      </c>
      <c r="T1561" t="s">
        <v>1074</v>
      </c>
      <c r="U1561" t="s">
        <v>816</v>
      </c>
      <c r="V1561" t="s">
        <v>18</v>
      </c>
      <c r="W1561" t="s">
        <v>857</v>
      </c>
    </row>
    <row r="1562" spans="1:23">
      <c r="A1562" t="s">
        <v>5934</v>
      </c>
      <c r="B1562" t="s">
        <v>1074</v>
      </c>
      <c r="C1562" t="s">
        <v>816</v>
      </c>
      <c r="D1562" t="s">
        <v>2366</v>
      </c>
      <c r="E1562" t="s">
        <v>857</v>
      </c>
      <c r="F1562" t="s">
        <v>4032</v>
      </c>
      <c r="T1562" t="s">
        <v>1074</v>
      </c>
      <c r="U1562" t="s">
        <v>816</v>
      </c>
      <c r="V1562" t="s">
        <v>857</v>
      </c>
      <c r="W1562" t="s">
        <v>2366</v>
      </c>
    </row>
    <row r="1563" spans="1:23">
      <c r="A1563" t="s">
        <v>5935</v>
      </c>
      <c r="B1563" t="s">
        <v>1074</v>
      </c>
      <c r="C1563" t="s">
        <v>816</v>
      </c>
      <c r="D1563" t="s">
        <v>2366</v>
      </c>
      <c r="E1563" t="s">
        <v>18</v>
      </c>
      <c r="F1563" t="s">
        <v>2713</v>
      </c>
      <c r="T1563" t="s">
        <v>1074</v>
      </c>
      <c r="U1563" t="s">
        <v>816</v>
      </c>
      <c r="V1563" t="s">
        <v>18</v>
      </c>
      <c r="W1563" t="s">
        <v>2366</v>
      </c>
    </row>
    <row r="1564" spans="1:23">
      <c r="A1564" t="s">
        <v>5935</v>
      </c>
      <c r="B1564" t="s">
        <v>1074</v>
      </c>
      <c r="C1564" t="s">
        <v>816</v>
      </c>
      <c r="D1564" t="s">
        <v>2366</v>
      </c>
      <c r="E1564" t="s">
        <v>18</v>
      </c>
      <c r="F1564" t="s">
        <v>2711</v>
      </c>
      <c r="T1564" t="s">
        <v>1074</v>
      </c>
      <c r="U1564" t="s">
        <v>816</v>
      </c>
      <c r="V1564" t="s">
        <v>18</v>
      </c>
      <c r="W1564" t="s">
        <v>2366</v>
      </c>
    </row>
    <row r="1565" spans="1:23">
      <c r="A1565" t="s">
        <v>5935</v>
      </c>
      <c r="B1565" t="s">
        <v>1074</v>
      </c>
      <c r="C1565" t="s">
        <v>816</v>
      </c>
      <c r="D1565" t="s">
        <v>2366</v>
      </c>
      <c r="E1565" t="s">
        <v>18</v>
      </c>
      <c r="F1565" t="s">
        <v>2707</v>
      </c>
      <c r="T1565" t="s">
        <v>1074</v>
      </c>
      <c r="U1565" t="s">
        <v>816</v>
      </c>
      <c r="V1565" t="s">
        <v>18</v>
      </c>
      <c r="W1565" t="s">
        <v>2366</v>
      </c>
    </row>
    <row r="1566" spans="1:23">
      <c r="A1566" t="s">
        <v>5909</v>
      </c>
      <c r="B1566" t="s">
        <v>2868</v>
      </c>
      <c r="C1566" t="s">
        <v>818</v>
      </c>
      <c r="D1566" t="s">
        <v>2870</v>
      </c>
      <c r="E1566" t="s">
        <v>18</v>
      </c>
      <c r="F1566" t="s">
        <v>2871</v>
      </c>
      <c r="T1566" t="s">
        <v>2868</v>
      </c>
      <c r="U1566" t="s">
        <v>818</v>
      </c>
      <c r="V1566" t="s">
        <v>18</v>
      </c>
      <c r="W1566" t="s">
        <v>2870</v>
      </c>
    </row>
    <row r="1567" spans="1:23">
      <c r="A1567" t="s">
        <v>5910</v>
      </c>
      <c r="B1567" t="s">
        <v>2868</v>
      </c>
      <c r="C1567" t="s">
        <v>818</v>
      </c>
      <c r="D1567" t="s">
        <v>2900</v>
      </c>
      <c r="E1567" t="s">
        <v>18</v>
      </c>
      <c r="F1567" t="s">
        <v>3288</v>
      </c>
      <c r="T1567" t="s">
        <v>2868</v>
      </c>
      <c r="U1567" t="s">
        <v>818</v>
      </c>
      <c r="V1567" t="s">
        <v>18</v>
      </c>
      <c r="W1567" t="s">
        <v>2900</v>
      </c>
    </row>
    <row r="1568" spans="1:23">
      <c r="A1568" t="s">
        <v>5913</v>
      </c>
      <c r="B1568" t="s">
        <v>2868</v>
      </c>
      <c r="C1568" t="s">
        <v>19</v>
      </c>
      <c r="D1568" t="s">
        <v>2867</v>
      </c>
      <c r="E1568" t="s">
        <v>857</v>
      </c>
      <c r="F1568" t="s">
        <v>3332</v>
      </c>
      <c r="T1568" t="s">
        <v>2868</v>
      </c>
      <c r="U1568" t="s">
        <v>19</v>
      </c>
      <c r="V1568" t="s">
        <v>857</v>
      </c>
      <c r="W1568" t="s">
        <v>2867</v>
      </c>
    </row>
    <row r="1569" spans="1:23">
      <c r="A1569" t="s">
        <v>5914</v>
      </c>
      <c r="B1569" t="s">
        <v>2868</v>
      </c>
      <c r="C1569" t="s">
        <v>19</v>
      </c>
      <c r="D1569" t="s">
        <v>2867</v>
      </c>
      <c r="E1569" t="s">
        <v>18</v>
      </c>
      <c r="F1569" t="s">
        <v>2869</v>
      </c>
      <c r="T1569" t="s">
        <v>2868</v>
      </c>
      <c r="U1569" t="s">
        <v>19</v>
      </c>
      <c r="V1569" t="s">
        <v>18</v>
      </c>
      <c r="W1569" t="s">
        <v>2867</v>
      </c>
    </row>
    <row r="1570" spans="1:23">
      <c r="A1570" t="s">
        <v>5916</v>
      </c>
      <c r="B1570" t="s">
        <v>2868</v>
      </c>
      <c r="C1570" t="s">
        <v>816</v>
      </c>
      <c r="D1570" t="s">
        <v>2867</v>
      </c>
      <c r="E1570" t="s">
        <v>18</v>
      </c>
      <c r="F1570" t="s">
        <v>2955</v>
      </c>
      <c r="T1570" t="s">
        <v>2868</v>
      </c>
      <c r="U1570" t="s">
        <v>816</v>
      </c>
      <c r="V1570" t="s">
        <v>18</v>
      </c>
      <c r="W1570" t="s">
        <v>2867</v>
      </c>
    </row>
    <row r="1571" spans="1:23">
      <c r="A1571" t="s">
        <v>5937</v>
      </c>
      <c r="B1571" t="s">
        <v>2872</v>
      </c>
      <c r="C1571" t="s">
        <v>818</v>
      </c>
      <c r="D1571" t="s">
        <v>857</v>
      </c>
      <c r="E1571" t="s">
        <v>18</v>
      </c>
      <c r="F1571" t="s">
        <v>2874</v>
      </c>
      <c r="T1571" t="s">
        <v>2872</v>
      </c>
      <c r="U1571" t="s">
        <v>818</v>
      </c>
      <c r="V1571" t="s">
        <v>18</v>
      </c>
      <c r="W1571" t="s">
        <v>857</v>
      </c>
    </row>
    <row r="1572" spans="1:23">
      <c r="A1572" t="s">
        <v>5938</v>
      </c>
      <c r="B1572" t="s">
        <v>2872</v>
      </c>
      <c r="C1572" t="s">
        <v>818</v>
      </c>
      <c r="D1572" t="s">
        <v>2559</v>
      </c>
      <c r="E1572" t="s">
        <v>18</v>
      </c>
      <c r="F1572" t="s">
        <v>2873</v>
      </c>
      <c r="T1572" t="s">
        <v>2872</v>
      </c>
      <c r="U1572" t="s">
        <v>818</v>
      </c>
      <c r="V1572" t="s">
        <v>18</v>
      </c>
      <c r="W1572" t="s">
        <v>2559</v>
      </c>
    </row>
    <row r="1573" spans="1:23">
      <c r="A1573" t="s">
        <v>5939</v>
      </c>
      <c r="B1573" t="s">
        <v>2872</v>
      </c>
      <c r="C1573" t="s">
        <v>818</v>
      </c>
      <c r="D1573" t="s">
        <v>2366</v>
      </c>
      <c r="E1573" t="s">
        <v>18</v>
      </c>
      <c r="F1573" t="s">
        <v>3201</v>
      </c>
      <c r="T1573" t="s">
        <v>2872</v>
      </c>
      <c r="U1573" t="s">
        <v>818</v>
      </c>
      <c r="V1573" t="s">
        <v>18</v>
      </c>
      <c r="W1573" t="s">
        <v>2366</v>
      </c>
    </row>
    <row r="1574" spans="1:23">
      <c r="A1574" t="s">
        <v>5941</v>
      </c>
      <c r="B1574" t="s">
        <v>2872</v>
      </c>
      <c r="C1574" t="s">
        <v>816</v>
      </c>
      <c r="D1574" t="s">
        <v>2366</v>
      </c>
      <c r="E1574" t="s">
        <v>18</v>
      </c>
      <c r="F1574" t="s">
        <v>2956</v>
      </c>
      <c r="T1574" t="s">
        <v>2872</v>
      </c>
      <c r="U1574" t="s">
        <v>816</v>
      </c>
      <c r="V1574" t="s">
        <v>18</v>
      </c>
      <c r="W1574" t="s">
        <v>2366</v>
      </c>
    </row>
    <row r="1575" spans="1:23">
      <c r="A1575" t="s">
        <v>5943</v>
      </c>
      <c r="B1575" t="s">
        <v>2970</v>
      </c>
      <c r="C1575" t="s">
        <v>818</v>
      </c>
      <c r="D1575" t="s">
        <v>857</v>
      </c>
      <c r="E1575" t="s">
        <v>18</v>
      </c>
      <c r="F1575" t="s">
        <v>2971</v>
      </c>
      <c r="T1575" t="s">
        <v>2970</v>
      </c>
      <c r="U1575" t="s">
        <v>818</v>
      </c>
      <c r="V1575" t="s">
        <v>18</v>
      </c>
      <c r="W1575" t="s">
        <v>857</v>
      </c>
    </row>
    <row r="1576" spans="1:23">
      <c r="A1576" t="s">
        <v>5945</v>
      </c>
      <c r="B1576" t="s">
        <v>1075</v>
      </c>
      <c r="C1576" t="s">
        <v>818</v>
      </c>
      <c r="D1576" t="s">
        <v>857</v>
      </c>
      <c r="E1576" t="s">
        <v>857</v>
      </c>
      <c r="F1576" t="s">
        <v>4128</v>
      </c>
      <c r="T1576" t="s">
        <v>1075</v>
      </c>
      <c r="U1576" t="s">
        <v>818</v>
      </c>
      <c r="V1576" t="s">
        <v>857</v>
      </c>
      <c r="W1576" t="s">
        <v>857</v>
      </c>
    </row>
    <row r="1577" spans="1:23">
      <c r="A1577" t="s">
        <v>5946</v>
      </c>
      <c r="B1577" t="s">
        <v>1075</v>
      </c>
      <c r="C1577" t="s">
        <v>818</v>
      </c>
      <c r="D1577" t="s">
        <v>857</v>
      </c>
      <c r="E1577" t="s">
        <v>18</v>
      </c>
      <c r="F1577" t="s">
        <v>3379</v>
      </c>
      <c r="T1577" t="s">
        <v>1075</v>
      </c>
      <c r="U1577" t="s">
        <v>818</v>
      </c>
      <c r="V1577" t="s">
        <v>18</v>
      </c>
      <c r="W1577" t="s">
        <v>857</v>
      </c>
    </row>
    <row r="1578" spans="1:23">
      <c r="A1578" t="s">
        <v>5946</v>
      </c>
      <c r="B1578" t="s">
        <v>1075</v>
      </c>
      <c r="C1578" t="s">
        <v>818</v>
      </c>
      <c r="D1578" t="s">
        <v>857</v>
      </c>
      <c r="E1578" t="s">
        <v>18</v>
      </c>
      <c r="F1578" t="s">
        <v>3377</v>
      </c>
      <c r="T1578" t="s">
        <v>1075</v>
      </c>
      <c r="U1578" t="s">
        <v>818</v>
      </c>
      <c r="V1578" t="s">
        <v>18</v>
      </c>
      <c r="W1578" t="s">
        <v>857</v>
      </c>
    </row>
    <row r="1579" spans="1:23">
      <c r="A1579" t="s">
        <v>5946</v>
      </c>
      <c r="B1579" t="s">
        <v>1075</v>
      </c>
      <c r="C1579" t="s">
        <v>818</v>
      </c>
      <c r="D1579" t="s">
        <v>857</v>
      </c>
      <c r="E1579" t="s">
        <v>18</v>
      </c>
      <c r="F1579" t="s">
        <v>2718</v>
      </c>
      <c r="T1579" t="s">
        <v>1075</v>
      </c>
      <c r="U1579" t="s">
        <v>818</v>
      </c>
      <c r="V1579" t="s">
        <v>18</v>
      </c>
      <c r="W1579" t="s">
        <v>857</v>
      </c>
    </row>
    <row r="1580" spans="1:23">
      <c r="A1580" t="s">
        <v>5946</v>
      </c>
      <c r="B1580" t="s">
        <v>1075</v>
      </c>
      <c r="C1580" t="s">
        <v>818</v>
      </c>
      <c r="D1580" t="s">
        <v>857</v>
      </c>
      <c r="E1580" t="s">
        <v>18</v>
      </c>
      <c r="F1580" t="s">
        <v>2717</v>
      </c>
      <c r="T1580" t="s">
        <v>1075</v>
      </c>
      <c r="U1580" t="s">
        <v>818</v>
      </c>
      <c r="V1580" t="s">
        <v>18</v>
      </c>
      <c r="W1580" t="s">
        <v>857</v>
      </c>
    </row>
    <row r="1581" spans="1:23">
      <c r="A1581" t="s">
        <v>5947</v>
      </c>
      <c r="B1581" t="s">
        <v>1075</v>
      </c>
      <c r="C1581" t="s">
        <v>818</v>
      </c>
      <c r="D1581" t="s">
        <v>2719</v>
      </c>
      <c r="E1581" t="s">
        <v>18</v>
      </c>
      <c r="F1581" t="s">
        <v>3374</v>
      </c>
      <c r="T1581" t="s">
        <v>1075</v>
      </c>
      <c r="U1581" t="s">
        <v>818</v>
      </c>
      <c r="V1581" t="s">
        <v>18</v>
      </c>
      <c r="W1581" t="s">
        <v>2719</v>
      </c>
    </row>
    <row r="1582" spans="1:23">
      <c r="A1582" t="s">
        <v>5948</v>
      </c>
      <c r="B1582" t="s">
        <v>1075</v>
      </c>
      <c r="C1582" t="s">
        <v>818</v>
      </c>
      <c r="D1582" t="s">
        <v>3375</v>
      </c>
      <c r="E1582" t="s">
        <v>857</v>
      </c>
      <c r="F1582" t="s">
        <v>4002</v>
      </c>
      <c r="T1582" t="s">
        <v>1075</v>
      </c>
      <c r="U1582" t="s">
        <v>818</v>
      </c>
      <c r="V1582" t="s">
        <v>857</v>
      </c>
      <c r="W1582" t="s">
        <v>3375</v>
      </c>
    </row>
    <row r="1583" spans="1:23">
      <c r="A1583" t="s">
        <v>5949</v>
      </c>
      <c r="B1583" t="s">
        <v>1075</v>
      </c>
      <c r="C1583" t="s">
        <v>818</v>
      </c>
      <c r="D1583" t="s">
        <v>3375</v>
      </c>
      <c r="E1583" t="s">
        <v>18</v>
      </c>
      <c r="F1583" t="s">
        <v>3376</v>
      </c>
      <c r="T1583" t="s">
        <v>1075</v>
      </c>
      <c r="U1583" t="s">
        <v>818</v>
      </c>
      <c r="V1583" t="s">
        <v>18</v>
      </c>
      <c r="W1583" t="s">
        <v>3375</v>
      </c>
    </row>
    <row r="1584" spans="1:23">
      <c r="A1584" t="s">
        <v>5952</v>
      </c>
      <c r="B1584" t="s">
        <v>1075</v>
      </c>
      <c r="C1584" t="s">
        <v>19</v>
      </c>
      <c r="D1584" t="s">
        <v>857</v>
      </c>
      <c r="E1584" t="s">
        <v>857</v>
      </c>
      <c r="F1584" t="s">
        <v>4130</v>
      </c>
      <c r="T1584" t="s">
        <v>1075</v>
      </c>
      <c r="U1584" t="s">
        <v>19</v>
      </c>
      <c r="V1584" t="s">
        <v>857</v>
      </c>
      <c r="W1584" t="s">
        <v>857</v>
      </c>
    </row>
    <row r="1585" spans="1:23">
      <c r="A1585" t="s">
        <v>5952</v>
      </c>
      <c r="B1585" t="s">
        <v>1075</v>
      </c>
      <c r="C1585" t="s">
        <v>19</v>
      </c>
      <c r="D1585" t="s">
        <v>857</v>
      </c>
      <c r="E1585" t="s">
        <v>857</v>
      </c>
      <c r="F1585" t="s">
        <v>4129</v>
      </c>
      <c r="T1585" t="s">
        <v>1075</v>
      </c>
      <c r="U1585" t="s">
        <v>19</v>
      </c>
      <c r="V1585" t="s">
        <v>857</v>
      </c>
      <c r="W1585" t="s">
        <v>857</v>
      </c>
    </row>
    <row r="1586" spans="1:23">
      <c r="A1586" t="s">
        <v>5953</v>
      </c>
      <c r="B1586" t="s">
        <v>1075</v>
      </c>
      <c r="C1586" t="s">
        <v>19</v>
      </c>
      <c r="D1586" t="s">
        <v>857</v>
      </c>
      <c r="E1586" t="s">
        <v>18</v>
      </c>
      <c r="F1586" t="s">
        <v>3383</v>
      </c>
      <c r="T1586" t="s">
        <v>1075</v>
      </c>
      <c r="U1586" t="s">
        <v>19</v>
      </c>
      <c r="V1586" t="s">
        <v>18</v>
      </c>
      <c r="W1586" t="s">
        <v>857</v>
      </c>
    </row>
    <row r="1587" spans="1:23">
      <c r="A1587" t="s">
        <v>5953</v>
      </c>
      <c r="B1587" t="s">
        <v>1075</v>
      </c>
      <c r="C1587" t="s">
        <v>19</v>
      </c>
      <c r="D1587" t="s">
        <v>857</v>
      </c>
      <c r="E1587" t="s">
        <v>18</v>
      </c>
      <c r="F1587" t="s">
        <v>3381</v>
      </c>
      <c r="T1587" t="s">
        <v>1075</v>
      </c>
      <c r="U1587" t="s">
        <v>19</v>
      </c>
      <c r="V1587" t="s">
        <v>18</v>
      </c>
      <c r="W1587" t="s">
        <v>857</v>
      </c>
    </row>
    <row r="1588" spans="1:23">
      <c r="A1588" t="s">
        <v>5953</v>
      </c>
      <c r="B1588" t="s">
        <v>1075</v>
      </c>
      <c r="C1588" t="s">
        <v>19</v>
      </c>
      <c r="D1588" t="s">
        <v>857</v>
      </c>
      <c r="E1588" t="s">
        <v>18</v>
      </c>
      <c r="F1588" t="s">
        <v>3380</v>
      </c>
      <c r="T1588" t="s">
        <v>1075</v>
      </c>
      <c r="U1588" t="s">
        <v>19</v>
      </c>
      <c r="V1588" t="s">
        <v>18</v>
      </c>
      <c r="W1588" t="s">
        <v>857</v>
      </c>
    </row>
    <row r="1589" spans="1:23">
      <c r="A1589" t="s">
        <v>5953</v>
      </c>
      <c r="B1589" t="s">
        <v>1075</v>
      </c>
      <c r="C1589" t="s">
        <v>19</v>
      </c>
      <c r="D1589" t="s">
        <v>857</v>
      </c>
      <c r="E1589" t="s">
        <v>18</v>
      </c>
      <c r="F1589" t="s">
        <v>3378</v>
      </c>
      <c r="T1589" t="s">
        <v>1075</v>
      </c>
      <c r="U1589" t="s">
        <v>19</v>
      </c>
      <c r="V1589" t="s">
        <v>18</v>
      </c>
      <c r="W1589" t="s">
        <v>857</v>
      </c>
    </row>
    <row r="1590" spans="1:23">
      <c r="A1590" t="s">
        <v>5953</v>
      </c>
      <c r="B1590" t="s">
        <v>1075</v>
      </c>
      <c r="C1590" t="s">
        <v>19</v>
      </c>
      <c r="D1590" t="s">
        <v>857</v>
      </c>
      <c r="E1590" t="s">
        <v>18</v>
      </c>
      <c r="F1590" t="s">
        <v>2726</v>
      </c>
      <c r="T1590" t="s">
        <v>1075</v>
      </c>
      <c r="U1590" t="s">
        <v>19</v>
      </c>
      <c r="V1590" t="s">
        <v>18</v>
      </c>
      <c r="W1590" t="s">
        <v>857</v>
      </c>
    </row>
    <row r="1591" spans="1:23">
      <c r="A1591" t="s">
        <v>5953</v>
      </c>
      <c r="B1591" t="s">
        <v>1075</v>
      </c>
      <c r="C1591" t="s">
        <v>19</v>
      </c>
      <c r="D1591" t="s">
        <v>857</v>
      </c>
      <c r="E1591" t="s">
        <v>18</v>
      </c>
      <c r="F1591" t="s">
        <v>2722</v>
      </c>
      <c r="T1591" t="s">
        <v>1075</v>
      </c>
      <c r="U1591" t="s">
        <v>19</v>
      </c>
      <c r="V1591" t="s">
        <v>18</v>
      </c>
      <c r="W1591" t="s">
        <v>857</v>
      </c>
    </row>
    <row r="1592" spans="1:23">
      <c r="A1592" t="s">
        <v>5953</v>
      </c>
      <c r="B1592" t="s">
        <v>1075</v>
      </c>
      <c r="C1592" t="s">
        <v>19</v>
      </c>
      <c r="D1592" t="s">
        <v>857</v>
      </c>
      <c r="E1592" t="s">
        <v>18</v>
      </c>
      <c r="F1592" t="s">
        <v>2721</v>
      </c>
      <c r="T1592" t="s">
        <v>1075</v>
      </c>
      <c r="U1592" t="s">
        <v>19</v>
      </c>
      <c r="V1592" t="s">
        <v>18</v>
      </c>
      <c r="W1592" t="s">
        <v>857</v>
      </c>
    </row>
    <row r="1593" spans="1:23">
      <c r="A1593" t="s">
        <v>5954</v>
      </c>
      <c r="B1593" t="s">
        <v>1075</v>
      </c>
      <c r="C1593" t="s">
        <v>19</v>
      </c>
      <c r="D1593" t="s">
        <v>2719</v>
      </c>
      <c r="E1593" t="s">
        <v>857</v>
      </c>
      <c r="F1593" t="s">
        <v>3999</v>
      </c>
      <c r="T1593" t="s">
        <v>1075</v>
      </c>
      <c r="U1593" t="s">
        <v>19</v>
      </c>
      <c r="V1593" t="s">
        <v>857</v>
      </c>
      <c r="W1593" t="s">
        <v>2719</v>
      </c>
    </row>
    <row r="1594" spans="1:23">
      <c r="A1594" t="s">
        <v>5955</v>
      </c>
      <c r="B1594" t="s">
        <v>1075</v>
      </c>
      <c r="C1594" t="s">
        <v>19</v>
      </c>
      <c r="D1594" t="s">
        <v>2719</v>
      </c>
      <c r="E1594" t="s">
        <v>18</v>
      </c>
      <c r="F1594" t="s">
        <v>3373</v>
      </c>
      <c r="T1594" t="s">
        <v>1075</v>
      </c>
      <c r="U1594" t="s">
        <v>19</v>
      </c>
      <c r="V1594" t="s">
        <v>18</v>
      </c>
      <c r="W1594" t="s">
        <v>2719</v>
      </c>
    </row>
    <row r="1595" spans="1:23">
      <c r="A1595" t="s">
        <v>5957</v>
      </c>
      <c r="B1595" t="s">
        <v>1075</v>
      </c>
      <c r="C1595" t="s">
        <v>2416</v>
      </c>
      <c r="D1595" t="s">
        <v>857</v>
      </c>
      <c r="E1595" t="s">
        <v>857</v>
      </c>
      <c r="F1595" t="s">
        <v>4115</v>
      </c>
      <c r="T1595" t="s">
        <v>1075</v>
      </c>
      <c r="U1595" t="s">
        <v>2416</v>
      </c>
      <c r="V1595" t="s">
        <v>857</v>
      </c>
      <c r="W1595" t="s">
        <v>857</v>
      </c>
    </row>
    <row r="1596" spans="1:23">
      <c r="A1596" t="s">
        <v>5957</v>
      </c>
      <c r="B1596" t="s">
        <v>1075</v>
      </c>
      <c r="C1596" t="s">
        <v>2416</v>
      </c>
      <c r="D1596" t="s">
        <v>857</v>
      </c>
      <c r="E1596" t="s">
        <v>857</v>
      </c>
      <c r="F1596" t="s">
        <v>3944</v>
      </c>
      <c r="T1596" t="s">
        <v>1075</v>
      </c>
      <c r="U1596" t="s">
        <v>2416</v>
      </c>
      <c r="V1596" t="s">
        <v>857</v>
      </c>
      <c r="W1596" t="s">
        <v>857</v>
      </c>
    </row>
    <row r="1597" spans="1:23">
      <c r="A1597" t="s">
        <v>5958</v>
      </c>
      <c r="B1597" t="s">
        <v>1075</v>
      </c>
      <c r="C1597" t="s">
        <v>2416</v>
      </c>
      <c r="D1597" t="s">
        <v>2719</v>
      </c>
      <c r="E1597" t="s">
        <v>18</v>
      </c>
      <c r="F1597" t="s">
        <v>2720</v>
      </c>
      <c r="T1597" t="s">
        <v>1075</v>
      </c>
      <c r="U1597" t="s">
        <v>2416</v>
      </c>
      <c r="V1597" t="s">
        <v>18</v>
      </c>
      <c r="W1597" t="s">
        <v>2719</v>
      </c>
    </row>
    <row r="1598" spans="1:23">
      <c r="A1598" t="s">
        <v>5961</v>
      </c>
      <c r="B1598" t="s">
        <v>1075</v>
      </c>
      <c r="C1598" t="s">
        <v>816</v>
      </c>
      <c r="D1598" t="s">
        <v>857</v>
      </c>
      <c r="E1598" t="s">
        <v>18</v>
      </c>
      <c r="F1598" t="s">
        <v>3382</v>
      </c>
      <c r="T1598" t="s">
        <v>1075</v>
      </c>
      <c r="U1598" t="s">
        <v>816</v>
      </c>
      <c r="V1598" t="s">
        <v>18</v>
      </c>
      <c r="W1598" t="s">
        <v>857</v>
      </c>
    </row>
    <row r="1599" spans="1:23">
      <c r="A1599" t="s">
        <v>5961</v>
      </c>
      <c r="B1599" t="s">
        <v>1075</v>
      </c>
      <c r="C1599" t="s">
        <v>816</v>
      </c>
      <c r="D1599" t="s">
        <v>857</v>
      </c>
      <c r="E1599" t="s">
        <v>18</v>
      </c>
      <c r="F1599" t="s">
        <v>2725</v>
      </c>
      <c r="T1599" t="s">
        <v>1075</v>
      </c>
      <c r="U1599" t="s">
        <v>816</v>
      </c>
      <c r="V1599" t="s">
        <v>18</v>
      </c>
      <c r="W1599" t="s">
        <v>857</v>
      </c>
    </row>
    <row r="1600" spans="1:23">
      <c r="A1600" t="s">
        <v>5961</v>
      </c>
      <c r="B1600" t="s">
        <v>1075</v>
      </c>
      <c r="C1600" t="s">
        <v>816</v>
      </c>
      <c r="D1600" t="s">
        <v>857</v>
      </c>
      <c r="E1600" t="s">
        <v>18</v>
      </c>
      <c r="F1600" t="s">
        <v>2724</v>
      </c>
      <c r="T1600" t="s">
        <v>1075</v>
      </c>
      <c r="U1600" t="s">
        <v>816</v>
      </c>
      <c r="V1600" t="s">
        <v>18</v>
      </c>
      <c r="W1600" t="s">
        <v>857</v>
      </c>
    </row>
    <row r="1601" spans="1:23">
      <c r="A1601" t="s">
        <v>5961</v>
      </c>
      <c r="B1601" t="s">
        <v>1075</v>
      </c>
      <c r="C1601" t="s">
        <v>816</v>
      </c>
      <c r="D1601" t="s">
        <v>857</v>
      </c>
      <c r="E1601" t="s">
        <v>18</v>
      </c>
      <c r="F1601" t="s">
        <v>2723</v>
      </c>
      <c r="T1601" t="s">
        <v>1075</v>
      </c>
      <c r="U1601" t="s">
        <v>816</v>
      </c>
      <c r="V1601" t="s">
        <v>18</v>
      </c>
      <c r="W1601" t="s">
        <v>857</v>
      </c>
    </row>
    <row r="1602" spans="1:23">
      <c r="A1602" t="s">
        <v>5962</v>
      </c>
      <c r="B1602" t="s">
        <v>1075</v>
      </c>
      <c r="C1602" t="s">
        <v>816</v>
      </c>
      <c r="D1602" t="s">
        <v>2719</v>
      </c>
      <c r="E1602" t="s">
        <v>857</v>
      </c>
      <c r="F1602" t="s">
        <v>3998</v>
      </c>
      <c r="T1602" t="s">
        <v>1075</v>
      </c>
      <c r="U1602" t="s">
        <v>816</v>
      </c>
      <c r="V1602" t="s">
        <v>857</v>
      </c>
      <c r="W1602" t="s">
        <v>2719</v>
      </c>
    </row>
    <row r="1603" spans="1:23">
      <c r="A1603" t="s">
        <v>5963</v>
      </c>
      <c r="B1603" t="s">
        <v>1075</v>
      </c>
      <c r="C1603" t="s">
        <v>816</v>
      </c>
      <c r="D1603" t="s">
        <v>2719</v>
      </c>
      <c r="E1603" t="s">
        <v>18</v>
      </c>
      <c r="F1603" t="s">
        <v>3372</v>
      </c>
      <c r="T1603" t="s">
        <v>1075</v>
      </c>
      <c r="U1603" t="s">
        <v>816</v>
      </c>
      <c r="V1603" t="s">
        <v>18</v>
      </c>
      <c r="W1603" t="s">
        <v>2719</v>
      </c>
    </row>
    <row r="1604" spans="1:23">
      <c r="A1604" t="s">
        <v>5965</v>
      </c>
      <c r="B1604" t="s">
        <v>1076</v>
      </c>
      <c r="C1604" t="s">
        <v>818</v>
      </c>
      <c r="D1604" t="s">
        <v>857</v>
      </c>
      <c r="E1604" t="s">
        <v>857</v>
      </c>
      <c r="F1604" t="s">
        <v>3782</v>
      </c>
      <c r="T1604" t="s">
        <v>1076</v>
      </c>
      <c r="U1604" t="s">
        <v>818</v>
      </c>
      <c r="V1604" t="s">
        <v>857</v>
      </c>
      <c r="W1604" t="s">
        <v>857</v>
      </c>
    </row>
    <row r="1605" spans="1:23">
      <c r="A1605" t="s">
        <v>5966</v>
      </c>
      <c r="B1605" t="s">
        <v>1076</v>
      </c>
      <c r="C1605" t="s">
        <v>818</v>
      </c>
      <c r="D1605" t="s">
        <v>857</v>
      </c>
      <c r="E1605" t="s">
        <v>18</v>
      </c>
      <c r="F1605" t="s">
        <v>2812</v>
      </c>
      <c r="T1605" t="s">
        <v>1076</v>
      </c>
      <c r="U1605" t="s">
        <v>818</v>
      </c>
      <c r="V1605" t="s">
        <v>18</v>
      </c>
      <c r="W1605" t="s">
        <v>857</v>
      </c>
    </row>
    <row r="1606" spans="1:23">
      <c r="A1606" t="s">
        <v>5966</v>
      </c>
      <c r="B1606" t="s">
        <v>1076</v>
      </c>
      <c r="C1606" t="s">
        <v>818</v>
      </c>
      <c r="D1606" t="s">
        <v>857</v>
      </c>
      <c r="E1606" t="s">
        <v>18</v>
      </c>
      <c r="F1606" t="s">
        <v>2810</v>
      </c>
      <c r="T1606" t="s">
        <v>1076</v>
      </c>
      <c r="U1606" t="s">
        <v>818</v>
      </c>
      <c r="V1606" t="s">
        <v>18</v>
      </c>
      <c r="W1606" t="s">
        <v>857</v>
      </c>
    </row>
    <row r="1607" spans="1:23">
      <c r="A1607" t="s">
        <v>5967</v>
      </c>
      <c r="B1607" t="s">
        <v>1076</v>
      </c>
      <c r="C1607" t="s">
        <v>818</v>
      </c>
      <c r="D1607" t="s">
        <v>2366</v>
      </c>
      <c r="E1607" t="s">
        <v>18</v>
      </c>
      <c r="F1607" t="s">
        <v>2808</v>
      </c>
      <c r="T1607" t="s">
        <v>1076</v>
      </c>
      <c r="U1607" t="s">
        <v>818</v>
      </c>
      <c r="V1607" t="s">
        <v>18</v>
      </c>
      <c r="W1607" t="s">
        <v>2366</v>
      </c>
    </row>
    <row r="1608" spans="1:23">
      <c r="A1608" t="s">
        <v>5967</v>
      </c>
      <c r="B1608" t="s">
        <v>1076</v>
      </c>
      <c r="C1608" t="s">
        <v>818</v>
      </c>
      <c r="D1608" t="s">
        <v>2366</v>
      </c>
      <c r="E1608" t="s">
        <v>18</v>
      </c>
      <c r="F1608" t="s">
        <v>2697</v>
      </c>
      <c r="T1608" t="s">
        <v>1076</v>
      </c>
      <c r="U1608" t="s">
        <v>818</v>
      </c>
      <c r="V1608" t="s">
        <v>18</v>
      </c>
      <c r="W1608" t="s">
        <v>2366</v>
      </c>
    </row>
    <row r="1609" spans="1:23">
      <c r="A1609" t="s">
        <v>5969</v>
      </c>
      <c r="B1609" t="s">
        <v>1076</v>
      </c>
      <c r="C1609" t="s">
        <v>19</v>
      </c>
      <c r="D1609" t="s">
        <v>857</v>
      </c>
      <c r="E1609" t="s">
        <v>857</v>
      </c>
      <c r="F1609" t="s">
        <v>3811</v>
      </c>
      <c r="T1609" t="s">
        <v>1076</v>
      </c>
      <c r="U1609" t="s">
        <v>19</v>
      </c>
      <c r="V1609" t="s">
        <v>857</v>
      </c>
      <c r="W1609" t="s">
        <v>857</v>
      </c>
    </row>
    <row r="1610" spans="1:23">
      <c r="A1610" t="s">
        <v>5970</v>
      </c>
      <c r="B1610" t="s">
        <v>1076</v>
      </c>
      <c r="C1610" t="s">
        <v>19</v>
      </c>
      <c r="D1610" t="s">
        <v>857</v>
      </c>
      <c r="E1610" t="s">
        <v>18</v>
      </c>
      <c r="F1610" t="s">
        <v>2813</v>
      </c>
      <c r="T1610" t="s">
        <v>1076</v>
      </c>
      <c r="U1610" t="s">
        <v>19</v>
      </c>
      <c r="V1610" t="s">
        <v>18</v>
      </c>
      <c r="W1610" t="s">
        <v>857</v>
      </c>
    </row>
    <row r="1611" spans="1:23">
      <c r="A1611" t="s">
        <v>5971</v>
      </c>
      <c r="B1611" t="s">
        <v>1076</v>
      </c>
      <c r="C1611" t="s">
        <v>19</v>
      </c>
      <c r="D1611" t="s">
        <v>2804</v>
      </c>
      <c r="E1611" t="s">
        <v>18</v>
      </c>
      <c r="F1611" t="s">
        <v>2807</v>
      </c>
      <c r="T1611" t="s">
        <v>1076</v>
      </c>
      <c r="U1611" t="s">
        <v>19</v>
      </c>
      <c r="V1611" t="s">
        <v>18</v>
      </c>
      <c r="W1611" t="s">
        <v>2804</v>
      </c>
    </row>
    <row r="1612" spans="1:23">
      <c r="A1612" t="s">
        <v>5972</v>
      </c>
      <c r="B1612" t="s">
        <v>1076</v>
      </c>
      <c r="C1612" t="s">
        <v>19</v>
      </c>
      <c r="D1612" t="s">
        <v>2366</v>
      </c>
      <c r="E1612" t="s">
        <v>18</v>
      </c>
      <c r="F1612" t="s">
        <v>2806</v>
      </c>
      <c r="T1612" t="s">
        <v>1076</v>
      </c>
      <c r="U1612" t="s">
        <v>19</v>
      </c>
      <c r="V1612" t="s">
        <v>18</v>
      </c>
      <c r="W1612" t="s">
        <v>2366</v>
      </c>
    </row>
    <row r="1613" spans="1:23">
      <c r="A1613" t="s">
        <v>5972</v>
      </c>
      <c r="B1613" t="s">
        <v>1076</v>
      </c>
      <c r="C1613" t="s">
        <v>19</v>
      </c>
      <c r="D1613" t="s">
        <v>2366</v>
      </c>
      <c r="E1613" t="s">
        <v>18</v>
      </c>
      <c r="F1613" t="s">
        <v>2696</v>
      </c>
      <c r="T1613" t="s">
        <v>1076</v>
      </c>
      <c r="U1613" t="s">
        <v>19</v>
      </c>
      <c r="V1613" t="s">
        <v>18</v>
      </c>
      <c r="W1613" t="s">
        <v>2366</v>
      </c>
    </row>
    <row r="1614" spans="1:23">
      <c r="A1614" t="s">
        <v>5972</v>
      </c>
      <c r="B1614" t="s">
        <v>1076</v>
      </c>
      <c r="C1614" t="s">
        <v>19</v>
      </c>
      <c r="D1614" t="s">
        <v>2366</v>
      </c>
      <c r="E1614" t="s">
        <v>18</v>
      </c>
      <c r="F1614" t="s">
        <v>2695</v>
      </c>
      <c r="T1614" t="s">
        <v>1076</v>
      </c>
      <c r="U1614" t="s">
        <v>19</v>
      </c>
      <c r="V1614" t="s">
        <v>18</v>
      </c>
      <c r="W1614" t="s">
        <v>2366</v>
      </c>
    </row>
    <row r="1615" spans="1:23">
      <c r="A1615" t="s">
        <v>5975</v>
      </c>
      <c r="B1615" t="s">
        <v>1076</v>
      </c>
      <c r="C1615" t="s">
        <v>2384</v>
      </c>
      <c r="D1615" t="s">
        <v>2804</v>
      </c>
      <c r="E1615" t="s">
        <v>857</v>
      </c>
      <c r="F1615" t="s">
        <v>4081</v>
      </c>
      <c r="T1615" t="s">
        <v>1076</v>
      </c>
      <c r="U1615" t="s">
        <v>2384</v>
      </c>
      <c r="V1615" t="s">
        <v>857</v>
      </c>
      <c r="W1615" t="s">
        <v>2804</v>
      </c>
    </row>
    <row r="1616" spans="1:23">
      <c r="A1616" t="s">
        <v>5976</v>
      </c>
      <c r="B1616" t="s">
        <v>1076</v>
      </c>
      <c r="C1616" t="s">
        <v>2416</v>
      </c>
      <c r="D1616" t="s">
        <v>2804</v>
      </c>
      <c r="E1616" t="s">
        <v>18</v>
      </c>
      <c r="F1616" t="s">
        <v>2805</v>
      </c>
      <c r="T1616" t="s">
        <v>1076</v>
      </c>
      <c r="U1616" t="s">
        <v>2416</v>
      </c>
      <c r="V1616" t="s">
        <v>18</v>
      </c>
      <c r="W1616" t="s">
        <v>2804</v>
      </c>
    </row>
    <row r="1617" spans="1:23">
      <c r="A1617" t="s">
        <v>5978</v>
      </c>
      <c r="B1617" t="s">
        <v>1076</v>
      </c>
      <c r="C1617" t="s">
        <v>816</v>
      </c>
      <c r="D1617" t="s">
        <v>857</v>
      </c>
      <c r="E1617" t="s">
        <v>857</v>
      </c>
      <c r="F1617" t="s">
        <v>3810</v>
      </c>
      <c r="T1617" t="s">
        <v>1076</v>
      </c>
      <c r="U1617" t="s">
        <v>816</v>
      </c>
      <c r="V1617" t="s">
        <v>857</v>
      </c>
      <c r="W1617" t="s">
        <v>857</v>
      </c>
    </row>
    <row r="1618" spans="1:23">
      <c r="A1618" t="s">
        <v>5979</v>
      </c>
      <c r="B1618" t="s">
        <v>1076</v>
      </c>
      <c r="C1618" t="s">
        <v>816</v>
      </c>
      <c r="D1618" t="s">
        <v>857</v>
      </c>
      <c r="E1618" t="s">
        <v>18</v>
      </c>
      <c r="F1618" t="s">
        <v>2811</v>
      </c>
      <c r="T1618" t="s">
        <v>1076</v>
      </c>
      <c r="U1618" t="s">
        <v>816</v>
      </c>
      <c r="V1618" t="s">
        <v>18</v>
      </c>
      <c r="W1618" t="s">
        <v>857</v>
      </c>
    </row>
    <row r="1619" spans="1:23">
      <c r="A1619" t="s">
        <v>5979</v>
      </c>
      <c r="B1619" t="s">
        <v>1076</v>
      </c>
      <c r="C1619" t="s">
        <v>816</v>
      </c>
      <c r="D1619" t="s">
        <v>857</v>
      </c>
      <c r="E1619" t="s">
        <v>18</v>
      </c>
      <c r="F1619" t="s">
        <v>2809</v>
      </c>
      <c r="T1619" t="s">
        <v>1076</v>
      </c>
      <c r="U1619" t="s">
        <v>816</v>
      </c>
      <c r="V1619" t="s">
        <v>18</v>
      </c>
      <c r="W1619" t="s">
        <v>857</v>
      </c>
    </row>
    <row r="1620" spans="1:23">
      <c r="A1620" t="s">
        <v>5980</v>
      </c>
      <c r="B1620" t="s">
        <v>1076</v>
      </c>
      <c r="C1620" t="s">
        <v>816</v>
      </c>
      <c r="D1620" t="s">
        <v>2366</v>
      </c>
      <c r="E1620" t="s">
        <v>18</v>
      </c>
      <c r="F1620" t="s">
        <v>2803</v>
      </c>
      <c r="T1620" t="s">
        <v>1076</v>
      </c>
      <c r="U1620" t="s">
        <v>816</v>
      </c>
      <c r="V1620" t="s">
        <v>18</v>
      </c>
      <c r="W1620" t="s">
        <v>2366</v>
      </c>
    </row>
    <row r="1621" spans="1:23">
      <c r="A1621" t="s">
        <v>5980</v>
      </c>
      <c r="B1621" t="s">
        <v>1076</v>
      </c>
      <c r="C1621" t="s">
        <v>816</v>
      </c>
      <c r="D1621" t="s">
        <v>2366</v>
      </c>
      <c r="E1621" t="s">
        <v>18</v>
      </c>
      <c r="F1621" t="s">
        <v>2694</v>
      </c>
      <c r="T1621" t="s">
        <v>1076</v>
      </c>
      <c r="U1621" t="s">
        <v>816</v>
      </c>
      <c r="V1621" t="s">
        <v>18</v>
      </c>
      <c r="W1621" t="s">
        <v>2366</v>
      </c>
    </row>
    <row r="1622" spans="1:23">
      <c r="A1622" t="s">
        <v>5982</v>
      </c>
      <c r="B1622" t="s">
        <v>1077</v>
      </c>
      <c r="C1622" t="s">
        <v>818</v>
      </c>
      <c r="D1622" t="s">
        <v>857</v>
      </c>
      <c r="E1622" t="s">
        <v>18</v>
      </c>
      <c r="F1622" t="s">
        <v>2693</v>
      </c>
      <c r="T1622" t="s">
        <v>1077</v>
      </c>
      <c r="U1622" t="s">
        <v>818</v>
      </c>
      <c r="V1622" t="s">
        <v>18</v>
      </c>
      <c r="W1622" t="s">
        <v>857</v>
      </c>
    </row>
    <row r="1623" spans="1:23">
      <c r="A1623" t="s">
        <v>5982</v>
      </c>
      <c r="B1623" t="s">
        <v>1077</v>
      </c>
      <c r="C1623" t="s">
        <v>818</v>
      </c>
      <c r="D1623" t="s">
        <v>857</v>
      </c>
      <c r="E1623" t="s">
        <v>18</v>
      </c>
      <c r="F1623" t="s">
        <v>2691</v>
      </c>
      <c r="T1623" t="s">
        <v>1077</v>
      </c>
      <c r="U1623" t="s">
        <v>818</v>
      </c>
      <c r="V1623" t="s">
        <v>18</v>
      </c>
      <c r="W1623" t="s">
        <v>857</v>
      </c>
    </row>
    <row r="1624" spans="1:23">
      <c r="A1624" t="s">
        <v>5984</v>
      </c>
      <c r="B1624" t="s">
        <v>1077</v>
      </c>
      <c r="C1624" t="s">
        <v>19</v>
      </c>
      <c r="D1624" t="s">
        <v>857</v>
      </c>
      <c r="E1624" t="s">
        <v>18</v>
      </c>
      <c r="F1624" t="s">
        <v>2692</v>
      </c>
      <c r="T1624" t="s">
        <v>1077</v>
      </c>
      <c r="U1624" t="s">
        <v>19</v>
      </c>
      <c r="V1624" t="s">
        <v>18</v>
      </c>
      <c r="W1624" t="s">
        <v>857</v>
      </c>
    </row>
    <row r="1625" spans="1:23">
      <c r="A1625" t="s">
        <v>5984</v>
      </c>
      <c r="B1625" t="s">
        <v>1077</v>
      </c>
      <c r="C1625" t="s">
        <v>19</v>
      </c>
      <c r="D1625" t="s">
        <v>857</v>
      </c>
      <c r="E1625" t="s">
        <v>18</v>
      </c>
      <c r="F1625" t="s">
        <v>2690</v>
      </c>
      <c r="T1625" t="s">
        <v>1077</v>
      </c>
      <c r="U1625" t="s">
        <v>19</v>
      </c>
      <c r="V1625" t="s">
        <v>18</v>
      </c>
      <c r="W1625" t="s">
        <v>857</v>
      </c>
    </row>
    <row r="1626" spans="1:23">
      <c r="A1626" t="s">
        <v>5985</v>
      </c>
      <c r="B1626" t="s">
        <v>1077</v>
      </c>
      <c r="C1626" t="s">
        <v>19</v>
      </c>
      <c r="D1626" t="s">
        <v>2686</v>
      </c>
      <c r="E1626" t="s">
        <v>857</v>
      </c>
      <c r="F1626" t="s">
        <v>4186</v>
      </c>
      <c r="T1626" t="s">
        <v>1077</v>
      </c>
      <c r="U1626" t="s">
        <v>19</v>
      </c>
      <c r="V1626" t="s">
        <v>857</v>
      </c>
      <c r="W1626" t="s">
        <v>2686</v>
      </c>
    </row>
    <row r="1627" spans="1:23">
      <c r="A1627" t="s">
        <v>5986</v>
      </c>
      <c r="B1627" t="s">
        <v>1077</v>
      </c>
      <c r="C1627" t="s">
        <v>19</v>
      </c>
      <c r="D1627" t="s">
        <v>2686</v>
      </c>
      <c r="E1627" t="s">
        <v>18</v>
      </c>
      <c r="F1627" t="s">
        <v>2687</v>
      </c>
      <c r="T1627" t="s">
        <v>1077</v>
      </c>
      <c r="U1627" t="s">
        <v>19</v>
      </c>
      <c r="V1627" t="s">
        <v>18</v>
      </c>
      <c r="W1627" t="s">
        <v>2686</v>
      </c>
    </row>
    <row r="1628" spans="1:23">
      <c r="A1628" t="s">
        <v>5989</v>
      </c>
      <c r="B1628" t="s">
        <v>1077</v>
      </c>
      <c r="C1628" t="s">
        <v>2384</v>
      </c>
      <c r="D1628" t="s">
        <v>2686</v>
      </c>
      <c r="E1628" t="s">
        <v>857</v>
      </c>
      <c r="F1628" t="s">
        <v>4005</v>
      </c>
      <c r="T1628" t="s">
        <v>1077</v>
      </c>
      <c r="U1628" t="s">
        <v>2384</v>
      </c>
      <c r="V1628" t="s">
        <v>857</v>
      </c>
      <c r="W1628" t="s">
        <v>2686</v>
      </c>
    </row>
    <row r="1629" spans="1:23">
      <c r="A1629" t="s">
        <v>5990</v>
      </c>
      <c r="B1629" t="s">
        <v>1077</v>
      </c>
      <c r="C1629" t="s">
        <v>2384</v>
      </c>
      <c r="D1629" t="s">
        <v>2686</v>
      </c>
      <c r="E1629" t="s">
        <v>18</v>
      </c>
      <c r="F1629" t="s">
        <v>2688</v>
      </c>
      <c r="T1629" t="s">
        <v>1077</v>
      </c>
      <c r="U1629" t="s">
        <v>2384</v>
      </c>
      <c r="V1629" t="s">
        <v>18</v>
      </c>
      <c r="W1629" t="s">
        <v>2686</v>
      </c>
    </row>
    <row r="1630" spans="1:23">
      <c r="A1630" t="s">
        <v>5992</v>
      </c>
      <c r="B1630" t="s">
        <v>1077</v>
      </c>
      <c r="C1630" t="s">
        <v>816</v>
      </c>
      <c r="D1630" t="s">
        <v>857</v>
      </c>
      <c r="E1630" t="s">
        <v>18</v>
      </c>
      <c r="F1630" t="s">
        <v>2689</v>
      </c>
      <c r="T1630" t="s">
        <v>1077</v>
      </c>
      <c r="U1630" t="s">
        <v>816</v>
      </c>
      <c r="V1630" t="s">
        <v>18</v>
      </c>
      <c r="W1630" t="s">
        <v>857</v>
      </c>
    </row>
    <row r="1631" spans="1:23">
      <c r="A1631" t="s">
        <v>5993</v>
      </c>
      <c r="B1631" t="s">
        <v>1080</v>
      </c>
      <c r="C1631" t="s">
        <v>818</v>
      </c>
      <c r="D1631" t="s">
        <v>2366</v>
      </c>
      <c r="E1631" t="s">
        <v>18</v>
      </c>
      <c r="F1631" t="s">
        <v>2668</v>
      </c>
      <c r="T1631" t="s">
        <v>1080</v>
      </c>
      <c r="U1631" t="s">
        <v>818</v>
      </c>
      <c r="V1631" t="s">
        <v>18</v>
      </c>
      <c r="W1631" t="s">
        <v>2366</v>
      </c>
    </row>
    <row r="1632" spans="1:23">
      <c r="A1632" t="s">
        <v>5995</v>
      </c>
      <c r="B1632" t="s">
        <v>1080</v>
      </c>
      <c r="C1632" t="s">
        <v>816</v>
      </c>
      <c r="D1632" t="s">
        <v>2366</v>
      </c>
      <c r="E1632" t="s">
        <v>18</v>
      </c>
      <c r="F1632" t="s">
        <v>2667</v>
      </c>
      <c r="T1632" t="s">
        <v>1080</v>
      </c>
      <c r="U1632" t="s">
        <v>816</v>
      </c>
      <c r="V1632" t="s">
        <v>18</v>
      </c>
      <c r="W1632" t="s">
        <v>2366</v>
      </c>
    </row>
    <row r="1633" spans="1:23">
      <c r="A1633" t="s">
        <v>5998</v>
      </c>
      <c r="B1633" t="s">
        <v>1081</v>
      </c>
      <c r="C1633" t="s">
        <v>818</v>
      </c>
      <c r="D1633" t="s">
        <v>857</v>
      </c>
      <c r="E1633" t="s">
        <v>18</v>
      </c>
      <c r="F1633" t="s">
        <v>2605</v>
      </c>
      <c r="T1633" t="s">
        <v>1081</v>
      </c>
      <c r="U1633" t="s">
        <v>818</v>
      </c>
      <c r="V1633" t="s">
        <v>18</v>
      </c>
      <c r="W1633" t="s">
        <v>857</v>
      </c>
    </row>
    <row r="1634" spans="1:23">
      <c r="A1634" t="s">
        <v>5998</v>
      </c>
      <c r="B1634" t="s">
        <v>1081</v>
      </c>
      <c r="C1634" t="s">
        <v>818</v>
      </c>
      <c r="D1634" t="s">
        <v>857</v>
      </c>
      <c r="E1634" t="s">
        <v>18</v>
      </c>
      <c r="F1634" t="s">
        <v>2604</v>
      </c>
      <c r="T1634" t="s">
        <v>1081</v>
      </c>
      <c r="U1634" t="s">
        <v>818</v>
      </c>
      <c r="V1634" t="s">
        <v>18</v>
      </c>
      <c r="W1634" t="s">
        <v>857</v>
      </c>
    </row>
    <row r="1635" spans="1:23">
      <c r="A1635" t="s">
        <v>5998</v>
      </c>
      <c r="B1635" t="s">
        <v>1081</v>
      </c>
      <c r="C1635" t="s">
        <v>818</v>
      </c>
      <c r="D1635" t="s">
        <v>857</v>
      </c>
      <c r="E1635" t="s">
        <v>18</v>
      </c>
      <c r="F1635" t="s">
        <v>2602</v>
      </c>
      <c r="T1635" t="s">
        <v>1081</v>
      </c>
      <c r="U1635" t="s">
        <v>818</v>
      </c>
      <c r="V1635" t="s">
        <v>18</v>
      </c>
      <c r="W1635" t="s">
        <v>857</v>
      </c>
    </row>
    <row r="1636" spans="1:23">
      <c r="A1636" t="s">
        <v>5999</v>
      </c>
      <c r="B1636" t="s">
        <v>1081</v>
      </c>
      <c r="C1636" t="s">
        <v>818</v>
      </c>
      <c r="D1636" t="s">
        <v>2366</v>
      </c>
      <c r="E1636" t="s">
        <v>857</v>
      </c>
      <c r="F1636" t="s">
        <v>4196</v>
      </c>
      <c r="T1636" t="s">
        <v>1081</v>
      </c>
      <c r="U1636" t="s">
        <v>818</v>
      </c>
      <c r="V1636" t="s">
        <v>857</v>
      </c>
      <c r="W1636" t="s">
        <v>2366</v>
      </c>
    </row>
    <row r="1637" spans="1:23">
      <c r="A1637" t="s">
        <v>6000</v>
      </c>
      <c r="B1637" t="s">
        <v>1081</v>
      </c>
      <c r="C1637" t="s">
        <v>818</v>
      </c>
      <c r="D1637" t="s">
        <v>2366</v>
      </c>
      <c r="E1637" t="s">
        <v>18</v>
      </c>
      <c r="F1637" t="s">
        <v>2665</v>
      </c>
      <c r="T1637" t="s">
        <v>1081</v>
      </c>
      <c r="U1637" t="s">
        <v>818</v>
      </c>
      <c r="V1637" t="s">
        <v>18</v>
      </c>
      <c r="W1637" t="s">
        <v>2366</v>
      </c>
    </row>
    <row r="1638" spans="1:23">
      <c r="A1638" t="s">
        <v>6000</v>
      </c>
      <c r="B1638" t="s">
        <v>1081</v>
      </c>
      <c r="C1638" t="s">
        <v>818</v>
      </c>
      <c r="D1638" t="s">
        <v>2366</v>
      </c>
      <c r="E1638" t="s">
        <v>18</v>
      </c>
      <c r="F1638" t="s">
        <v>2600</v>
      </c>
      <c r="T1638" t="s">
        <v>1081</v>
      </c>
      <c r="U1638" t="s">
        <v>818</v>
      </c>
      <c r="V1638" t="s">
        <v>18</v>
      </c>
      <c r="W1638" t="s">
        <v>2366</v>
      </c>
    </row>
    <row r="1639" spans="1:23">
      <c r="A1639" t="s">
        <v>6002</v>
      </c>
      <c r="B1639" t="s">
        <v>1081</v>
      </c>
      <c r="C1639" t="s">
        <v>19</v>
      </c>
      <c r="D1639" t="s">
        <v>857</v>
      </c>
      <c r="E1639" t="s">
        <v>18</v>
      </c>
      <c r="F1639" t="s">
        <v>2603</v>
      </c>
      <c r="T1639" t="s">
        <v>1081</v>
      </c>
      <c r="U1639" t="s">
        <v>19</v>
      </c>
      <c r="V1639" t="s">
        <v>18</v>
      </c>
      <c r="W1639" t="s">
        <v>857</v>
      </c>
    </row>
    <row r="1640" spans="1:23">
      <c r="A1640" t="s">
        <v>6003</v>
      </c>
      <c r="B1640" t="s">
        <v>1081</v>
      </c>
      <c r="C1640" t="s">
        <v>19</v>
      </c>
      <c r="D1640" t="s">
        <v>2366</v>
      </c>
      <c r="E1640" t="s">
        <v>18</v>
      </c>
      <c r="F1640" t="s">
        <v>2664</v>
      </c>
      <c r="T1640" t="s">
        <v>1081</v>
      </c>
      <c r="U1640" t="s">
        <v>19</v>
      </c>
      <c r="V1640" t="s">
        <v>18</v>
      </c>
      <c r="W1640" t="s">
        <v>2366</v>
      </c>
    </row>
    <row r="1641" spans="1:23">
      <c r="A1641" t="s">
        <v>6005</v>
      </c>
      <c r="B1641" t="s">
        <v>1081</v>
      </c>
      <c r="C1641" t="s">
        <v>2384</v>
      </c>
      <c r="D1641" t="s">
        <v>857</v>
      </c>
      <c r="E1641" t="s">
        <v>857</v>
      </c>
      <c r="F1641" t="s">
        <v>3920</v>
      </c>
      <c r="T1641" t="s">
        <v>1081</v>
      </c>
      <c r="U1641" t="s">
        <v>2384</v>
      </c>
      <c r="V1641" t="s">
        <v>857</v>
      </c>
      <c r="W1641" t="s">
        <v>857</v>
      </c>
    </row>
    <row r="1642" spans="1:23">
      <c r="A1642" t="s">
        <v>6005</v>
      </c>
      <c r="B1642" t="s">
        <v>1081</v>
      </c>
      <c r="C1642" t="s">
        <v>2384</v>
      </c>
      <c r="D1642" t="s">
        <v>857</v>
      </c>
      <c r="E1642" t="s">
        <v>857</v>
      </c>
      <c r="F1642" t="s">
        <v>3886</v>
      </c>
      <c r="T1642" t="s">
        <v>1081</v>
      </c>
      <c r="U1642" t="s">
        <v>2384</v>
      </c>
      <c r="V1642" t="s">
        <v>857</v>
      </c>
      <c r="W1642" t="s">
        <v>857</v>
      </c>
    </row>
    <row r="1643" spans="1:23">
      <c r="A1643" t="s">
        <v>6007</v>
      </c>
      <c r="B1643" t="s">
        <v>1081</v>
      </c>
      <c r="C1643" t="s">
        <v>816</v>
      </c>
      <c r="D1643" t="s">
        <v>857</v>
      </c>
      <c r="E1643" t="s">
        <v>857</v>
      </c>
      <c r="F1643" t="s">
        <v>3939</v>
      </c>
      <c r="T1643" t="s">
        <v>1081</v>
      </c>
      <c r="U1643" t="s">
        <v>816</v>
      </c>
      <c r="V1643" t="s">
        <v>857</v>
      </c>
      <c r="W1643" t="s">
        <v>857</v>
      </c>
    </row>
    <row r="1644" spans="1:23">
      <c r="A1644" t="s">
        <v>6008</v>
      </c>
      <c r="B1644" t="s">
        <v>1081</v>
      </c>
      <c r="C1644" t="s">
        <v>816</v>
      </c>
      <c r="D1644" t="s">
        <v>857</v>
      </c>
      <c r="E1644" t="s">
        <v>18</v>
      </c>
      <c r="F1644" t="s">
        <v>2601</v>
      </c>
      <c r="T1644" t="s">
        <v>1081</v>
      </c>
      <c r="U1644" t="s">
        <v>816</v>
      </c>
      <c r="V1644" t="s">
        <v>18</v>
      </c>
      <c r="W1644" t="s">
        <v>857</v>
      </c>
    </row>
    <row r="1645" spans="1:23">
      <c r="A1645" t="s">
        <v>6009</v>
      </c>
      <c r="B1645" t="s">
        <v>1081</v>
      </c>
      <c r="C1645" t="s">
        <v>816</v>
      </c>
      <c r="D1645" t="s">
        <v>2598</v>
      </c>
      <c r="E1645" t="s">
        <v>18</v>
      </c>
      <c r="F1645" t="s">
        <v>2666</v>
      </c>
      <c r="T1645" t="s">
        <v>1081</v>
      </c>
      <c r="U1645" t="s">
        <v>816</v>
      </c>
      <c r="V1645" t="s">
        <v>18</v>
      </c>
      <c r="W1645" t="s">
        <v>2598</v>
      </c>
    </row>
    <row r="1646" spans="1:23">
      <c r="A1646" t="s">
        <v>6009</v>
      </c>
      <c r="B1646" t="s">
        <v>1081</v>
      </c>
      <c r="C1646" t="s">
        <v>816</v>
      </c>
      <c r="D1646" t="s">
        <v>2598</v>
      </c>
      <c r="E1646" t="s">
        <v>18</v>
      </c>
      <c r="F1646" t="s">
        <v>2599</v>
      </c>
      <c r="T1646" t="s">
        <v>1081</v>
      </c>
      <c r="U1646" t="s">
        <v>816</v>
      </c>
      <c r="V1646" t="s">
        <v>18</v>
      </c>
      <c r="W1646" t="s">
        <v>2598</v>
      </c>
    </row>
    <row r="1647" spans="1:23">
      <c r="A1647" t="s">
        <v>6010</v>
      </c>
      <c r="B1647" t="s">
        <v>1081</v>
      </c>
      <c r="C1647" t="s">
        <v>816</v>
      </c>
      <c r="D1647" t="s">
        <v>2596</v>
      </c>
      <c r="E1647" t="s">
        <v>857</v>
      </c>
      <c r="F1647" t="s">
        <v>4172</v>
      </c>
      <c r="T1647" t="s">
        <v>1081</v>
      </c>
      <c r="U1647" t="s">
        <v>816</v>
      </c>
      <c r="V1647" t="s">
        <v>857</v>
      </c>
      <c r="W1647" t="s">
        <v>2596</v>
      </c>
    </row>
    <row r="1648" spans="1:23">
      <c r="A1648" t="s">
        <v>6011</v>
      </c>
      <c r="B1648" t="s">
        <v>1081</v>
      </c>
      <c r="C1648" t="s">
        <v>816</v>
      </c>
      <c r="D1648" t="s">
        <v>2596</v>
      </c>
      <c r="E1648" t="s">
        <v>18</v>
      </c>
      <c r="F1648" t="s">
        <v>2597</v>
      </c>
      <c r="T1648" t="s">
        <v>1081</v>
      </c>
      <c r="U1648" t="s">
        <v>816</v>
      </c>
      <c r="V1648" t="s">
        <v>18</v>
      </c>
      <c r="W1648" t="s">
        <v>2596</v>
      </c>
    </row>
    <row r="1649" spans="1:23">
      <c r="A1649" t="s">
        <v>6012</v>
      </c>
      <c r="B1649" t="s">
        <v>1081</v>
      </c>
      <c r="C1649" t="s">
        <v>816</v>
      </c>
      <c r="D1649" t="s">
        <v>2366</v>
      </c>
      <c r="E1649" t="s">
        <v>18</v>
      </c>
      <c r="F1649" t="s">
        <v>2663</v>
      </c>
      <c r="T1649" t="s">
        <v>1081</v>
      </c>
      <c r="U1649" t="s">
        <v>816</v>
      </c>
      <c r="V1649" t="s">
        <v>18</v>
      </c>
      <c r="W1649" t="s">
        <v>2366</v>
      </c>
    </row>
    <row r="1650" spans="1:23">
      <c r="A1650" t="s">
        <v>7532</v>
      </c>
      <c r="B1650" t="s">
        <v>7525</v>
      </c>
      <c r="C1650" t="s">
        <v>818</v>
      </c>
      <c r="D1650" t="s">
        <v>857</v>
      </c>
      <c r="E1650" t="s">
        <v>18</v>
      </c>
      <c r="F1650" t="s">
        <v>2584</v>
      </c>
      <c r="T1650" t="s">
        <v>7525</v>
      </c>
      <c r="U1650" t="s">
        <v>818</v>
      </c>
      <c r="V1650" t="s">
        <v>18</v>
      </c>
      <c r="W1650" t="s">
        <v>857</v>
      </c>
    </row>
    <row r="1651" spans="1:23">
      <c r="A1651" t="s">
        <v>7532</v>
      </c>
      <c r="B1651" t="s">
        <v>7525</v>
      </c>
      <c r="C1651" t="s">
        <v>818</v>
      </c>
      <c r="D1651" t="s">
        <v>857</v>
      </c>
      <c r="E1651" t="s">
        <v>18</v>
      </c>
      <c r="F1651" t="s">
        <v>2583</v>
      </c>
      <c r="T1651" t="s">
        <v>7525</v>
      </c>
      <c r="U1651" t="s">
        <v>818</v>
      </c>
      <c r="V1651" t="s">
        <v>18</v>
      </c>
      <c r="W1651" t="s">
        <v>857</v>
      </c>
    </row>
    <row r="1652" spans="1:23">
      <c r="A1652" t="s">
        <v>7532</v>
      </c>
      <c r="B1652" t="s">
        <v>7525</v>
      </c>
      <c r="C1652" t="s">
        <v>818</v>
      </c>
      <c r="D1652" t="s">
        <v>857</v>
      </c>
      <c r="E1652" t="s">
        <v>18</v>
      </c>
      <c r="F1652" t="s">
        <v>2568</v>
      </c>
      <c r="T1652" t="s">
        <v>7525</v>
      </c>
      <c r="U1652" t="s">
        <v>818</v>
      </c>
      <c r="V1652" t="s">
        <v>18</v>
      </c>
      <c r="W1652" t="s">
        <v>857</v>
      </c>
    </row>
    <row r="1653" spans="1:23">
      <c r="A1653" t="s">
        <v>7532</v>
      </c>
      <c r="B1653" t="s">
        <v>7525</v>
      </c>
      <c r="C1653" t="s">
        <v>818</v>
      </c>
      <c r="D1653" t="s">
        <v>857</v>
      </c>
      <c r="E1653" t="s">
        <v>18</v>
      </c>
      <c r="F1653" t="s">
        <v>2566</v>
      </c>
      <c r="T1653" t="s">
        <v>7525</v>
      </c>
      <c r="U1653" t="s">
        <v>818</v>
      </c>
      <c r="V1653" t="s">
        <v>18</v>
      </c>
      <c r="W1653" t="s">
        <v>857</v>
      </c>
    </row>
    <row r="1654" spans="1:23">
      <c r="A1654" t="s">
        <v>7532</v>
      </c>
      <c r="B1654" t="s">
        <v>7525</v>
      </c>
      <c r="C1654" t="s">
        <v>818</v>
      </c>
      <c r="D1654" t="s">
        <v>857</v>
      </c>
      <c r="E1654" t="s">
        <v>18</v>
      </c>
      <c r="F1654" t="s">
        <v>2563</v>
      </c>
      <c r="T1654" t="s">
        <v>7525</v>
      </c>
      <c r="U1654" t="s">
        <v>818</v>
      </c>
      <c r="V1654" t="s">
        <v>18</v>
      </c>
      <c r="W1654" t="s">
        <v>857</v>
      </c>
    </row>
    <row r="1655" spans="1:23">
      <c r="A1655" t="s">
        <v>7540</v>
      </c>
      <c r="B1655" t="s">
        <v>7525</v>
      </c>
      <c r="C1655" t="s">
        <v>818</v>
      </c>
      <c r="D1655" t="s">
        <v>2554</v>
      </c>
      <c r="E1655" t="s">
        <v>18</v>
      </c>
      <c r="F1655" t="s">
        <v>2578</v>
      </c>
      <c r="T1655" t="s">
        <v>7525</v>
      </c>
      <c r="U1655" t="s">
        <v>818</v>
      </c>
      <c r="V1655" t="s">
        <v>18</v>
      </c>
      <c r="W1655" t="s">
        <v>2554</v>
      </c>
    </row>
    <row r="1656" spans="1:23">
      <c r="A1656" t="s">
        <v>7540</v>
      </c>
      <c r="B1656" t="s">
        <v>7525</v>
      </c>
      <c r="C1656" t="s">
        <v>818</v>
      </c>
      <c r="D1656" t="s">
        <v>2554</v>
      </c>
      <c r="E1656" t="s">
        <v>18</v>
      </c>
      <c r="F1656" t="s">
        <v>2558</v>
      </c>
      <c r="T1656" t="s">
        <v>7525</v>
      </c>
      <c r="U1656" t="s">
        <v>818</v>
      </c>
      <c r="V1656" t="s">
        <v>18</v>
      </c>
      <c r="W1656" t="s">
        <v>2554</v>
      </c>
    </row>
    <row r="1657" spans="1:23">
      <c r="A1657" t="s">
        <v>7541</v>
      </c>
      <c r="B1657" t="s">
        <v>7525</v>
      </c>
      <c r="C1657" t="s">
        <v>818</v>
      </c>
      <c r="D1657" t="s">
        <v>2581</v>
      </c>
      <c r="E1657" t="s">
        <v>18</v>
      </c>
      <c r="F1657" t="s">
        <v>2582</v>
      </c>
      <c r="T1657" t="s">
        <v>7525</v>
      </c>
      <c r="U1657" t="s">
        <v>818</v>
      </c>
      <c r="V1657" t="s">
        <v>18</v>
      </c>
      <c r="W1657" t="s">
        <v>2581</v>
      </c>
    </row>
    <row r="1658" spans="1:23">
      <c r="A1658" t="s">
        <v>7542</v>
      </c>
      <c r="B1658" t="s">
        <v>7525</v>
      </c>
      <c r="C1658" t="s">
        <v>19</v>
      </c>
      <c r="D1658" t="s">
        <v>857</v>
      </c>
      <c r="E1658" t="s">
        <v>857</v>
      </c>
      <c r="F1658" t="s">
        <v>3787</v>
      </c>
      <c r="T1658" t="s">
        <v>7525</v>
      </c>
      <c r="U1658" t="s">
        <v>19</v>
      </c>
      <c r="V1658" t="s">
        <v>857</v>
      </c>
      <c r="W1658" t="s">
        <v>857</v>
      </c>
    </row>
    <row r="1659" spans="1:23">
      <c r="A1659" t="s">
        <v>7542</v>
      </c>
      <c r="B1659" t="s">
        <v>7525</v>
      </c>
      <c r="C1659" t="s">
        <v>19</v>
      </c>
      <c r="D1659" t="s">
        <v>857</v>
      </c>
      <c r="E1659" t="s">
        <v>857</v>
      </c>
      <c r="F1659" t="s">
        <v>3786</v>
      </c>
      <c r="T1659" t="s">
        <v>7525</v>
      </c>
      <c r="U1659" t="s">
        <v>19</v>
      </c>
      <c r="V1659" t="s">
        <v>857</v>
      </c>
      <c r="W1659" t="s">
        <v>857</v>
      </c>
    </row>
    <row r="1660" spans="1:23">
      <c r="A1660" t="s">
        <v>7533</v>
      </c>
      <c r="B1660" t="s">
        <v>7525</v>
      </c>
      <c r="C1660" t="s">
        <v>19</v>
      </c>
      <c r="D1660" t="s">
        <v>857</v>
      </c>
      <c r="E1660" t="s">
        <v>18</v>
      </c>
      <c r="F1660" t="s">
        <v>2585</v>
      </c>
      <c r="T1660" t="s">
        <v>7525</v>
      </c>
      <c r="U1660" t="s">
        <v>19</v>
      </c>
      <c r="V1660" t="s">
        <v>18</v>
      </c>
      <c r="W1660" t="s">
        <v>857</v>
      </c>
    </row>
    <row r="1661" spans="1:23">
      <c r="A1661" t="s">
        <v>7533</v>
      </c>
      <c r="B1661" t="s">
        <v>7525</v>
      </c>
      <c r="C1661" t="s">
        <v>19</v>
      </c>
      <c r="D1661" t="s">
        <v>857</v>
      </c>
      <c r="E1661" t="s">
        <v>18</v>
      </c>
      <c r="F1661" t="s">
        <v>2579</v>
      </c>
      <c r="T1661" t="s">
        <v>7525</v>
      </c>
      <c r="U1661" t="s">
        <v>19</v>
      </c>
      <c r="V1661" t="s">
        <v>18</v>
      </c>
      <c r="W1661" t="s">
        <v>857</v>
      </c>
    </row>
    <row r="1662" spans="1:23">
      <c r="A1662" t="s">
        <v>7533</v>
      </c>
      <c r="B1662" t="s">
        <v>7525</v>
      </c>
      <c r="C1662" t="s">
        <v>19</v>
      </c>
      <c r="D1662" t="s">
        <v>857</v>
      </c>
      <c r="E1662" t="s">
        <v>18</v>
      </c>
      <c r="F1662" t="s">
        <v>2565</v>
      </c>
      <c r="T1662" t="s">
        <v>7525</v>
      </c>
      <c r="U1662" t="s">
        <v>19</v>
      </c>
      <c r="V1662" t="s">
        <v>18</v>
      </c>
      <c r="W1662" t="s">
        <v>857</v>
      </c>
    </row>
    <row r="1663" spans="1:23">
      <c r="A1663" t="s">
        <v>7533</v>
      </c>
      <c r="B1663" t="s">
        <v>7525</v>
      </c>
      <c r="C1663" t="s">
        <v>19</v>
      </c>
      <c r="D1663" t="s">
        <v>857</v>
      </c>
      <c r="E1663" t="s">
        <v>18</v>
      </c>
      <c r="F1663" t="s">
        <v>2564</v>
      </c>
      <c r="T1663" t="s">
        <v>7525</v>
      </c>
      <c r="U1663" t="s">
        <v>19</v>
      </c>
      <c r="V1663" t="s">
        <v>18</v>
      </c>
      <c r="W1663" t="s">
        <v>857</v>
      </c>
    </row>
    <row r="1664" spans="1:23">
      <c r="A1664" t="s">
        <v>7543</v>
      </c>
      <c r="B1664" t="s">
        <v>7525</v>
      </c>
      <c r="C1664" t="s">
        <v>19</v>
      </c>
      <c r="D1664" t="s">
        <v>2554</v>
      </c>
      <c r="E1664" t="s">
        <v>18</v>
      </c>
      <c r="F1664" t="s">
        <v>2557</v>
      </c>
      <c r="T1664" t="s">
        <v>7525</v>
      </c>
      <c r="U1664" t="s">
        <v>19</v>
      </c>
      <c r="V1664" t="s">
        <v>18</v>
      </c>
      <c r="W1664" t="s">
        <v>2554</v>
      </c>
    </row>
    <row r="1665" spans="1:23">
      <c r="A1665" t="s">
        <v>7544</v>
      </c>
      <c r="B1665" t="s">
        <v>7525</v>
      </c>
      <c r="C1665" t="s">
        <v>2384</v>
      </c>
      <c r="D1665" t="s">
        <v>857</v>
      </c>
      <c r="E1665" t="s">
        <v>857</v>
      </c>
      <c r="F1665" t="s">
        <v>3788</v>
      </c>
      <c r="T1665" t="s">
        <v>7525</v>
      </c>
      <c r="U1665" t="s">
        <v>2384</v>
      </c>
      <c r="V1665" t="s">
        <v>857</v>
      </c>
      <c r="W1665" t="s">
        <v>857</v>
      </c>
    </row>
    <row r="1666" spans="1:23">
      <c r="A1666" t="s">
        <v>7526</v>
      </c>
      <c r="B1666" t="s">
        <v>7525</v>
      </c>
      <c r="C1666" t="s">
        <v>2384</v>
      </c>
      <c r="D1666" t="s">
        <v>857</v>
      </c>
      <c r="E1666" t="s">
        <v>18</v>
      </c>
      <c r="F1666" t="s">
        <v>2567</v>
      </c>
      <c r="T1666" t="s">
        <v>7525</v>
      </c>
      <c r="U1666" t="s">
        <v>2384</v>
      </c>
      <c r="V1666" t="s">
        <v>18</v>
      </c>
      <c r="W1666" t="s">
        <v>857</v>
      </c>
    </row>
    <row r="1667" spans="1:23">
      <c r="A1667" t="s">
        <v>7527</v>
      </c>
      <c r="B1667" t="s">
        <v>7525</v>
      </c>
      <c r="C1667" t="s">
        <v>2384</v>
      </c>
      <c r="D1667" t="s">
        <v>2561</v>
      </c>
      <c r="E1667" t="s">
        <v>857</v>
      </c>
      <c r="F1667" t="s">
        <v>2562</v>
      </c>
      <c r="T1667" t="s">
        <v>7525</v>
      </c>
      <c r="U1667" t="s">
        <v>2384</v>
      </c>
      <c r="V1667" t="s">
        <v>857</v>
      </c>
      <c r="W1667" t="s">
        <v>2561</v>
      </c>
    </row>
    <row r="1668" spans="1:23">
      <c r="A1668" t="s">
        <v>7528</v>
      </c>
      <c r="B1668" t="s">
        <v>7525</v>
      </c>
      <c r="C1668" t="s">
        <v>2384</v>
      </c>
      <c r="D1668" t="s">
        <v>2554</v>
      </c>
      <c r="E1668" t="s">
        <v>857</v>
      </c>
      <c r="F1668" t="s">
        <v>4137</v>
      </c>
      <c r="T1668" t="s">
        <v>7525</v>
      </c>
      <c r="U1668" t="s">
        <v>2384</v>
      </c>
      <c r="V1668" t="s">
        <v>857</v>
      </c>
      <c r="W1668" t="s">
        <v>2554</v>
      </c>
    </row>
    <row r="1669" spans="1:23">
      <c r="A1669" t="s">
        <v>7528</v>
      </c>
      <c r="B1669" t="s">
        <v>7525</v>
      </c>
      <c r="C1669" t="s">
        <v>2384</v>
      </c>
      <c r="D1669" t="s">
        <v>2554</v>
      </c>
      <c r="E1669" t="s">
        <v>857</v>
      </c>
      <c r="F1669" t="s">
        <v>4135</v>
      </c>
      <c r="T1669" t="s">
        <v>7525</v>
      </c>
      <c r="U1669" t="s">
        <v>2384</v>
      </c>
      <c r="V1669" t="s">
        <v>857</v>
      </c>
      <c r="W1669" t="s">
        <v>2554</v>
      </c>
    </row>
    <row r="1670" spans="1:23">
      <c r="A1670" t="s">
        <v>7529</v>
      </c>
      <c r="B1670" t="s">
        <v>7525</v>
      </c>
      <c r="C1670" t="s">
        <v>2384</v>
      </c>
      <c r="D1670" t="s">
        <v>2559</v>
      </c>
      <c r="E1670" t="s">
        <v>18</v>
      </c>
      <c r="F1670" t="s">
        <v>2560</v>
      </c>
      <c r="T1670" t="s">
        <v>7525</v>
      </c>
      <c r="U1670" t="s">
        <v>2384</v>
      </c>
      <c r="V1670" t="s">
        <v>18</v>
      </c>
      <c r="W1670" t="s">
        <v>2559</v>
      </c>
    </row>
    <row r="1671" spans="1:23">
      <c r="A1671" t="s">
        <v>7530</v>
      </c>
      <c r="B1671" t="s">
        <v>7525</v>
      </c>
      <c r="C1671" t="s">
        <v>2416</v>
      </c>
      <c r="D1671" t="s">
        <v>2554</v>
      </c>
      <c r="E1671" t="s">
        <v>857</v>
      </c>
      <c r="F1671" t="s">
        <v>2556</v>
      </c>
      <c r="T1671" t="s">
        <v>7525</v>
      </c>
      <c r="U1671" t="s">
        <v>2416</v>
      </c>
      <c r="V1671" t="s">
        <v>857</v>
      </c>
      <c r="W1671" t="s">
        <v>2554</v>
      </c>
    </row>
    <row r="1672" spans="1:23">
      <c r="A1672" t="s">
        <v>7531</v>
      </c>
      <c r="B1672" t="s">
        <v>7525</v>
      </c>
      <c r="C1672" t="s">
        <v>2416</v>
      </c>
      <c r="D1672" t="s">
        <v>2554</v>
      </c>
      <c r="E1672" t="s">
        <v>18</v>
      </c>
      <c r="F1672" t="s">
        <v>2577</v>
      </c>
      <c r="T1672" t="s">
        <v>7525</v>
      </c>
      <c r="U1672" t="s">
        <v>2416</v>
      </c>
      <c r="V1672" t="s">
        <v>18</v>
      </c>
      <c r="W1672" t="s">
        <v>2554</v>
      </c>
    </row>
    <row r="1673" spans="1:23">
      <c r="A1673" t="s">
        <v>7545</v>
      </c>
      <c r="B1673" t="s">
        <v>7525</v>
      </c>
      <c r="C1673" t="s">
        <v>816</v>
      </c>
      <c r="D1673" t="s">
        <v>2554</v>
      </c>
      <c r="E1673" t="s">
        <v>18</v>
      </c>
      <c r="F1673" t="s">
        <v>2580</v>
      </c>
      <c r="T1673" t="s">
        <v>7525</v>
      </c>
      <c r="U1673" t="s">
        <v>816</v>
      </c>
      <c r="V1673" t="s">
        <v>18</v>
      </c>
      <c r="W1673" t="s">
        <v>2554</v>
      </c>
    </row>
    <row r="1674" spans="1:23">
      <c r="A1674" t="s">
        <v>7545</v>
      </c>
      <c r="B1674" t="s">
        <v>7525</v>
      </c>
      <c r="C1674" t="s">
        <v>816</v>
      </c>
      <c r="D1674" t="s">
        <v>2554</v>
      </c>
      <c r="E1674" t="s">
        <v>18</v>
      </c>
      <c r="F1674" t="s">
        <v>2555</v>
      </c>
      <c r="T1674" t="s">
        <v>7525</v>
      </c>
      <c r="U1674" t="s">
        <v>816</v>
      </c>
      <c r="V1674" t="s">
        <v>18</v>
      </c>
      <c r="W1674" t="s">
        <v>2554</v>
      </c>
    </row>
    <row r="1675" spans="1:23">
      <c r="A1675" t="s">
        <v>6014</v>
      </c>
      <c r="B1675" t="s">
        <v>1083</v>
      </c>
      <c r="C1675" t="s">
        <v>818</v>
      </c>
      <c r="D1675" t="s">
        <v>857</v>
      </c>
      <c r="E1675" t="s">
        <v>18</v>
      </c>
      <c r="F1675" t="s">
        <v>2628</v>
      </c>
      <c r="T1675" t="s">
        <v>1083</v>
      </c>
      <c r="U1675" t="s">
        <v>818</v>
      </c>
      <c r="V1675" t="s">
        <v>18</v>
      </c>
      <c r="W1675" t="s">
        <v>857</v>
      </c>
    </row>
    <row r="1676" spans="1:23">
      <c r="A1676" t="s">
        <v>6014</v>
      </c>
      <c r="B1676" t="s">
        <v>1083</v>
      </c>
      <c r="C1676" t="s">
        <v>818</v>
      </c>
      <c r="D1676" t="s">
        <v>857</v>
      </c>
      <c r="E1676" t="s">
        <v>18</v>
      </c>
      <c r="F1676" t="s">
        <v>2626</v>
      </c>
      <c r="T1676" t="s">
        <v>1083</v>
      </c>
      <c r="U1676" t="s">
        <v>818</v>
      </c>
      <c r="V1676" t="s">
        <v>18</v>
      </c>
      <c r="W1676" t="s">
        <v>857</v>
      </c>
    </row>
    <row r="1677" spans="1:23">
      <c r="A1677" t="s">
        <v>6014</v>
      </c>
      <c r="B1677" t="s">
        <v>1083</v>
      </c>
      <c r="C1677" t="s">
        <v>818</v>
      </c>
      <c r="D1677" t="s">
        <v>857</v>
      </c>
      <c r="E1677" t="s">
        <v>18</v>
      </c>
      <c r="F1677" t="s">
        <v>2625</v>
      </c>
      <c r="T1677" t="s">
        <v>1083</v>
      </c>
      <c r="U1677" t="s">
        <v>818</v>
      </c>
      <c r="V1677" t="s">
        <v>18</v>
      </c>
      <c r="W1677" t="s">
        <v>857</v>
      </c>
    </row>
    <row r="1678" spans="1:23">
      <c r="A1678" t="s">
        <v>6014</v>
      </c>
      <c r="B1678" t="s">
        <v>1083</v>
      </c>
      <c r="C1678" t="s">
        <v>818</v>
      </c>
      <c r="D1678" t="s">
        <v>857</v>
      </c>
      <c r="E1678" t="s">
        <v>18</v>
      </c>
      <c r="F1678" t="s">
        <v>2623</v>
      </c>
      <c r="T1678" t="s">
        <v>1083</v>
      </c>
      <c r="U1678" t="s">
        <v>818</v>
      </c>
      <c r="V1678" t="s">
        <v>18</v>
      </c>
      <c r="W1678" t="s">
        <v>857</v>
      </c>
    </row>
    <row r="1679" spans="1:23">
      <c r="A1679" t="s">
        <v>6014</v>
      </c>
      <c r="B1679" t="s">
        <v>1083</v>
      </c>
      <c r="C1679" t="s">
        <v>818</v>
      </c>
      <c r="D1679" t="s">
        <v>857</v>
      </c>
      <c r="E1679" t="s">
        <v>18</v>
      </c>
      <c r="F1679" t="s">
        <v>2619</v>
      </c>
      <c r="T1679" t="s">
        <v>1083</v>
      </c>
      <c r="U1679" t="s">
        <v>818</v>
      </c>
      <c r="V1679" t="s">
        <v>18</v>
      </c>
      <c r="W1679" t="s">
        <v>857</v>
      </c>
    </row>
    <row r="1680" spans="1:23">
      <c r="A1680" t="s">
        <v>6014</v>
      </c>
      <c r="B1680" t="s">
        <v>1083</v>
      </c>
      <c r="C1680" t="s">
        <v>818</v>
      </c>
      <c r="D1680" t="s">
        <v>857</v>
      </c>
      <c r="E1680" t="s">
        <v>18</v>
      </c>
      <c r="F1680" t="s">
        <v>2618</v>
      </c>
      <c r="T1680" t="s">
        <v>1083</v>
      </c>
      <c r="U1680" t="s">
        <v>818</v>
      </c>
      <c r="V1680" t="s">
        <v>18</v>
      </c>
      <c r="W1680" t="s">
        <v>857</v>
      </c>
    </row>
    <row r="1681" spans="1:23">
      <c r="A1681" t="s">
        <v>6014</v>
      </c>
      <c r="B1681" t="s">
        <v>1083</v>
      </c>
      <c r="C1681" t="s">
        <v>818</v>
      </c>
      <c r="D1681" t="s">
        <v>857</v>
      </c>
      <c r="E1681" t="s">
        <v>18</v>
      </c>
      <c r="F1681" t="s">
        <v>2617</v>
      </c>
      <c r="T1681" t="s">
        <v>1083</v>
      </c>
      <c r="U1681" t="s">
        <v>818</v>
      </c>
      <c r="V1681" t="s">
        <v>18</v>
      </c>
      <c r="W1681" t="s">
        <v>857</v>
      </c>
    </row>
    <row r="1682" spans="1:23">
      <c r="A1682" t="s">
        <v>6014</v>
      </c>
      <c r="B1682" t="s">
        <v>1083</v>
      </c>
      <c r="C1682" t="s">
        <v>818</v>
      </c>
      <c r="D1682" t="s">
        <v>857</v>
      </c>
      <c r="E1682" t="s">
        <v>18</v>
      </c>
      <c r="F1682" t="s">
        <v>2612</v>
      </c>
      <c r="T1682" t="s">
        <v>1083</v>
      </c>
      <c r="U1682" t="s">
        <v>818</v>
      </c>
      <c r="V1682" t="s">
        <v>18</v>
      </c>
      <c r="W1682" t="s">
        <v>857</v>
      </c>
    </row>
    <row r="1683" spans="1:23">
      <c r="A1683" t="s">
        <v>6014</v>
      </c>
      <c r="B1683" t="s">
        <v>1083</v>
      </c>
      <c r="C1683" t="s">
        <v>818</v>
      </c>
      <c r="D1683" t="s">
        <v>857</v>
      </c>
      <c r="E1683" t="s">
        <v>18</v>
      </c>
      <c r="F1683" t="s">
        <v>2610</v>
      </c>
      <c r="T1683" t="s">
        <v>1083</v>
      </c>
      <c r="U1683" t="s">
        <v>818</v>
      </c>
      <c r="V1683" t="s">
        <v>18</v>
      </c>
      <c r="W1683" t="s">
        <v>857</v>
      </c>
    </row>
    <row r="1684" spans="1:23">
      <c r="A1684" t="s">
        <v>6014</v>
      </c>
      <c r="B1684" t="s">
        <v>1083</v>
      </c>
      <c r="C1684" t="s">
        <v>818</v>
      </c>
      <c r="D1684" t="s">
        <v>857</v>
      </c>
      <c r="E1684" t="s">
        <v>18</v>
      </c>
      <c r="F1684" t="s">
        <v>2609</v>
      </c>
      <c r="T1684" t="s">
        <v>1083</v>
      </c>
      <c r="U1684" t="s">
        <v>818</v>
      </c>
      <c r="V1684" t="s">
        <v>18</v>
      </c>
      <c r="W1684" t="s">
        <v>857</v>
      </c>
    </row>
    <row r="1685" spans="1:23">
      <c r="A1685" t="s">
        <v>6015</v>
      </c>
      <c r="B1685" t="s">
        <v>1083</v>
      </c>
      <c r="C1685" t="s">
        <v>818</v>
      </c>
      <c r="D1685" t="s">
        <v>2607</v>
      </c>
      <c r="E1685" t="s">
        <v>18</v>
      </c>
      <c r="F1685" t="s">
        <v>2611</v>
      </c>
      <c r="T1685" t="s">
        <v>1083</v>
      </c>
      <c r="U1685" t="s">
        <v>818</v>
      </c>
      <c r="V1685" t="s">
        <v>18</v>
      </c>
      <c r="W1685" t="s">
        <v>2607</v>
      </c>
    </row>
    <row r="1686" spans="1:23">
      <c r="A1686" t="s">
        <v>6017</v>
      </c>
      <c r="B1686" t="s">
        <v>1083</v>
      </c>
      <c r="C1686" t="s">
        <v>19</v>
      </c>
      <c r="D1686" t="s">
        <v>857</v>
      </c>
      <c r="E1686" t="s">
        <v>18</v>
      </c>
      <c r="F1686" t="s">
        <v>2624</v>
      </c>
      <c r="T1686" t="s">
        <v>1083</v>
      </c>
      <c r="U1686" t="s">
        <v>19</v>
      </c>
      <c r="V1686" t="s">
        <v>18</v>
      </c>
      <c r="W1686" t="s">
        <v>857</v>
      </c>
    </row>
    <row r="1687" spans="1:23">
      <c r="A1687" t="s">
        <v>6017</v>
      </c>
      <c r="B1687" t="s">
        <v>1083</v>
      </c>
      <c r="C1687" t="s">
        <v>19</v>
      </c>
      <c r="D1687" t="s">
        <v>857</v>
      </c>
      <c r="E1687" t="s">
        <v>18</v>
      </c>
      <c r="F1687" t="s">
        <v>2620</v>
      </c>
      <c r="T1687" t="s">
        <v>1083</v>
      </c>
      <c r="U1687" t="s">
        <v>19</v>
      </c>
      <c r="V1687" t="s">
        <v>18</v>
      </c>
      <c r="W1687" t="s">
        <v>857</v>
      </c>
    </row>
    <row r="1688" spans="1:23">
      <c r="A1688" t="s">
        <v>6018</v>
      </c>
      <c r="B1688" t="s">
        <v>1083</v>
      </c>
      <c r="C1688" t="s">
        <v>19</v>
      </c>
      <c r="D1688" t="s">
        <v>2607</v>
      </c>
      <c r="E1688" t="s">
        <v>18</v>
      </c>
      <c r="F1688" t="s">
        <v>2608</v>
      </c>
      <c r="T1688" t="s">
        <v>1083</v>
      </c>
      <c r="U1688" t="s">
        <v>19</v>
      </c>
      <c r="V1688" t="s">
        <v>18</v>
      </c>
      <c r="W1688" t="s">
        <v>2607</v>
      </c>
    </row>
    <row r="1689" spans="1:23">
      <c r="A1689" t="s">
        <v>6021</v>
      </c>
      <c r="B1689" t="s">
        <v>1083</v>
      </c>
      <c r="C1689" t="s">
        <v>2384</v>
      </c>
      <c r="D1689" t="s">
        <v>857</v>
      </c>
      <c r="E1689" t="s">
        <v>857</v>
      </c>
      <c r="F1689" t="s">
        <v>4155</v>
      </c>
      <c r="T1689" t="s">
        <v>1083</v>
      </c>
      <c r="U1689" t="s">
        <v>2384</v>
      </c>
      <c r="V1689" t="s">
        <v>857</v>
      </c>
      <c r="W1689" t="s">
        <v>857</v>
      </c>
    </row>
    <row r="1690" spans="1:23">
      <c r="A1690" t="s">
        <v>6021</v>
      </c>
      <c r="B1690" t="s">
        <v>1083</v>
      </c>
      <c r="C1690" t="s">
        <v>2384</v>
      </c>
      <c r="D1690" t="s">
        <v>857</v>
      </c>
      <c r="E1690" t="s">
        <v>857</v>
      </c>
      <c r="F1690" t="s">
        <v>3818</v>
      </c>
      <c r="T1690" t="s">
        <v>1083</v>
      </c>
      <c r="U1690" t="s">
        <v>2384</v>
      </c>
      <c r="V1690" t="s">
        <v>857</v>
      </c>
      <c r="W1690" t="s">
        <v>857</v>
      </c>
    </row>
    <row r="1691" spans="1:23">
      <c r="A1691" t="s">
        <v>6022</v>
      </c>
      <c r="B1691" t="s">
        <v>1083</v>
      </c>
      <c r="C1691" t="s">
        <v>2384</v>
      </c>
      <c r="D1691" t="s">
        <v>2607</v>
      </c>
      <c r="E1691" t="s">
        <v>857</v>
      </c>
      <c r="F1691" t="s">
        <v>4155</v>
      </c>
      <c r="T1691" t="s">
        <v>1083</v>
      </c>
      <c r="U1691" t="s">
        <v>2384</v>
      </c>
      <c r="V1691" t="s">
        <v>857</v>
      </c>
      <c r="W1691" t="s">
        <v>2607</v>
      </c>
    </row>
    <row r="1692" spans="1:23">
      <c r="A1692" t="s">
        <v>6023</v>
      </c>
      <c r="B1692" t="s">
        <v>1083</v>
      </c>
      <c r="C1692" t="s">
        <v>2384</v>
      </c>
      <c r="D1692" t="s">
        <v>2607</v>
      </c>
      <c r="E1692" t="s">
        <v>18</v>
      </c>
      <c r="F1692" t="s">
        <v>2615</v>
      </c>
      <c r="T1692" t="s">
        <v>1083</v>
      </c>
      <c r="U1692" t="s">
        <v>2384</v>
      </c>
      <c r="V1692" t="s">
        <v>18</v>
      </c>
      <c r="W1692" t="s">
        <v>2607</v>
      </c>
    </row>
    <row r="1693" spans="1:23">
      <c r="A1693" t="s">
        <v>6024</v>
      </c>
      <c r="B1693" t="s">
        <v>1083</v>
      </c>
      <c r="C1693" t="s">
        <v>2384</v>
      </c>
      <c r="D1693" t="s">
        <v>2613</v>
      </c>
      <c r="E1693" t="s">
        <v>18</v>
      </c>
      <c r="F1693" t="s">
        <v>2614</v>
      </c>
      <c r="T1693" t="s">
        <v>1083</v>
      </c>
      <c r="U1693" t="s">
        <v>2384</v>
      </c>
      <c r="V1693" t="s">
        <v>18</v>
      </c>
      <c r="W1693" t="s">
        <v>2613</v>
      </c>
    </row>
    <row r="1694" spans="1:23">
      <c r="A1694" t="s">
        <v>6026</v>
      </c>
      <c r="B1694" t="s">
        <v>1083</v>
      </c>
      <c r="C1694" t="s">
        <v>816</v>
      </c>
      <c r="D1694" t="s">
        <v>857</v>
      </c>
      <c r="E1694" t="s">
        <v>857</v>
      </c>
      <c r="F1694" t="s">
        <v>3874</v>
      </c>
      <c r="T1694" t="s">
        <v>1083</v>
      </c>
      <c r="U1694" t="s">
        <v>816</v>
      </c>
      <c r="V1694" t="s">
        <v>857</v>
      </c>
      <c r="W1694" t="s">
        <v>857</v>
      </c>
    </row>
    <row r="1695" spans="1:23">
      <c r="A1695" t="s">
        <v>6027</v>
      </c>
      <c r="B1695" t="s">
        <v>1083</v>
      </c>
      <c r="C1695" t="s">
        <v>816</v>
      </c>
      <c r="D1695" t="s">
        <v>857</v>
      </c>
      <c r="E1695" t="s">
        <v>18</v>
      </c>
      <c r="F1695" t="s">
        <v>2627</v>
      </c>
      <c r="T1695" t="s">
        <v>1083</v>
      </c>
      <c r="U1695" t="s">
        <v>816</v>
      </c>
      <c r="V1695" t="s">
        <v>18</v>
      </c>
      <c r="W1695" t="s">
        <v>857</v>
      </c>
    </row>
    <row r="1696" spans="1:23">
      <c r="A1696" t="s">
        <v>6027</v>
      </c>
      <c r="B1696" t="s">
        <v>1083</v>
      </c>
      <c r="C1696" t="s">
        <v>816</v>
      </c>
      <c r="D1696" t="s">
        <v>857</v>
      </c>
      <c r="E1696" t="s">
        <v>18</v>
      </c>
      <c r="F1696" t="s">
        <v>2622</v>
      </c>
      <c r="T1696" t="s">
        <v>1083</v>
      </c>
      <c r="U1696" t="s">
        <v>816</v>
      </c>
      <c r="V1696" t="s">
        <v>18</v>
      </c>
      <c r="W1696" t="s">
        <v>857</v>
      </c>
    </row>
    <row r="1697" spans="1:23">
      <c r="A1697" t="s">
        <v>6027</v>
      </c>
      <c r="B1697" t="s">
        <v>1083</v>
      </c>
      <c r="C1697" t="s">
        <v>816</v>
      </c>
      <c r="D1697" t="s">
        <v>857</v>
      </c>
      <c r="E1697" t="s">
        <v>18</v>
      </c>
      <c r="F1697" t="s">
        <v>2621</v>
      </c>
      <c r="T1697" t="s">
        <v>1083</v>
      </c>
      <c r="U1697" t="s">
        <v>816</v>
      </c>
      <c r="V1697" t="s">
        <v>18</v>
      </c>
      <c r="W1697" t="s">
        <v>857</v>
      </c>
    </row>
    <row r="1698" spans="1:23">
      <c r="A1698" t="s">
        <v>6027</v>
      </c>
      <c r="B1698" t="s">
        <v>1083</v>
      </c>
      <c r="C1698" t="s">
        <v>816</v>
      </c>
      <c r="D1698" t="s">
        <v>857</v>
      </c>
      <c r="E1698" t="s">
        <v>18</v>
      </c>
      <c r="F1698" t="s">
        <v>2616</v>
      </c>
      <c r="T1698" t="s">
        <v>1083</v>
      </c>
      <c r="U1698" t="s">
        <v>816</v>
      </c>
      <c r="V1698" t="s">
        <v>18</v>
      </c>
      <c r="W1698" t="s">
        <v>857</v>
      </c>
    </row>
    <row r="1699" spans="1:23">
      <c r="A1699" t="s">
        <v>6027</v>
      </c>
      <c r="B1699" t="s">
        <v>1083</v>
      </c>
      <c r="C1699" t="s">
        <v>816</v>
      </c>
      <c r="D1699" t="s">
        <v>857</v>
      </c>
      <c r="E1699" t="s">
        <v>18</v>
      </c>
      <c r="F1699" t="s">
        <v>2606</v>
      </c>
      <c r="T1699" t="s">
        <v>1083</v>
      </c>
      <c r="U1699" t="s">
        <v>816</v>
      </c>
      <c r="V1699" t="s">
        <v>18</v>
      </c>
      <c r="W1699" t="s">
        <v>857</v>
      </c>
    </row>
    <row r="1700" spans="1:23">
      <c r="A1700" t="s">
        <v>6029</v>
      </c>
      <c r="B1700" t="s">
        <v>1084</v>
      </c>
      <c r="C1700" t="s">
        <v>818</v>
      </c>
      <c r="D1700" t="s">
        <v>857</v>
      </c>
      <c r="E1700" t="s">
        <v>857</v>
      </c>
      <c r="F1700" t="s">
        <v>3759</v>
      </c>
      <c r="T1700" t="s">
        <v>1084</v>
      </c>
      <c r="U1700" t="s">
        <v>818</v>
      </c>
      <c r="V1700" t="s">
        <v>857</v>
      </c>
      <c r="W1700" t="s">
        <v>857</v>
      </c>
    </row>
    <row r="1701" spans="1:23">
      <c r="A1701" t="s">
        <v>6030</v>
      </c>
      <c r="B1701" t="s">
        <v>1084</v>
      </c>
      <c r="C1701" t="s">
        <v>818</v>
      </c>
      <c r="D1701" t="s">
        <v>857</v>
      </c>
      <c r="E1701" t="s">
        <v>18</v>
      </c>
      <c r="F1701" t="s">
        <v>2591</v>
      </c>
      <c r="T1701" t="s">
        <v>1084</v>
      </c>
      <c r="U1701" t="s">
        <v>818</v>
      </c>
      <c r="V1701" t="s">
        <v>18</v>
      </c>
      <c r="W1701" t="s">
        <v>857</v>
      </c>
    </row>
    <row r="1702" spans="1:23">
      <c r="A1702" t="s">
        <v>6031</v>
      </c>
      <c r="B1702" t="s">
        <v>1084</v>
      </c>
      <c r="C1702" t="s">
        <v>818</v>
      </c>
      <c r="D1702" t="s">
        <v>2586</v>
      </c>
      <c r="E1702" t="s">
        <v>857</v>
      </c>
      <c r="F1702" t="s">
        <v>4195</v>
      </c>
      <c r="T1702" t="s">
        <v>1084</v>
      </c>
      <c r="U1702" t="s">
        <v>818</v>
      </c>
      <c r="V1702" t="s">
        <v>857</v>
      </c>
      <c r="W1702" t="s">
        <v>2586</v>
      </c>
    </row>
    <row r="1703" spans="1:23">
      <c r="A1703" t="s">
        <v>6032</v>
      </c>
      <c r="B1703" t="s">
        <v>1084</v>
      </c>
      <c r="C1703" t="s">
        <v>818</v>
      </c>
      <c r="D1703" t="s">
        <v>2586</v>
      </c>
      <c r="E1703" t="s">
        <v>18</v>
      </c>
      <c r="F1703" t="s">
        <v>2589</v>
      </c>
      <c r="T1703" t="s">
        <v>1084</v>
      </c>
      <c r="U1703" t="s">
        <v>818</v>
      </c>
      <c r="V1703" t="s">
        <v>18</v>
      </c>
      <c r="W1703" t="s">
        <v>2586</v>
      </c>
    </row>
    <row r="1704" spans="1:23">
      <c r="A1704" t="s">
        <v>6035</v>
      </c>
      <c r="B1704" t="s">
        <v>1084</v>
      </c>
      <c r="C1704" t="s">
        <v>19</v>
      </c>
      <c r="D1704" t="s">
        <v>857</v>
      </c>
      <c r="E1704" t="s">
        <v>857</v>
      </c>
      <c r="F1704" t="s">
        <v>3757</v>
      </c>
      <c r="T1704" t="s">
        <v>1084</v>
      </c>
      <c r="U1704" t="s">
        <v>19</v>
      </c>
      <c r="V1704" t="s">
        <v>857</v>
      </c>
      <c r="W1704" t="s">
        <v>857</v>
      </c>
    </row>
    <row r="1705" spans="1:23">
      <c r="A1705" t="s">
        <v>6036</v>
      </c>
      <c r="B1705" t="s">
        <v>1084</v>
      </c>
      <c r="C1705" t="s">
        <v>19</v>
      </c>
      <c r="D1705" t="s">
        <v>857</v>
      </c>
      <c r="E1705" t="s">
        <v>18</v>
      </c>
      <c r="F1705" t="s">
        <v>2593</v>
      </c>
      <c r="T1705" t="s">
        <v>1084</v>
      </c>
      <c r="U1705" t="s">
        <v>19</v>
      </c>
      <c r="V1705" t="s">
        <v>18</v>
      </c>
      <c r="W1705" t="s">
        <v>857</v>
      </c>
    </row>
    <row r="1706" spans="1:23">
      <c r="A1706" t="s">
        <v>6036</v>
      </c>
      <c r="B1706" t="s">
        <v>1084</v>
      </c>
      <c r="C1706" t="s">
        <v>19</v>
      </c>
      <c r="D1706" t="s">
        <v>857</v>
      </c>
      <c r="E1706" t="s">
        <v>18</v>
      </c>
      <c r="F1706" t="s">
        <v>2590</v>
      </c>
      <c r="T1706" t="s">
        <v>1084</v>
      </c>
      <c r="U1706" t="s">
        <v>19</v>
      </c>
      <c r="V1706" t="s">
        <v>18</v>
      </c>
      <c r="W1706" t="s">
        <v>857</v>
      </c>
    </row>
    <row r="1707" spans="1:23">
      <c r="A1707" t="s">
        <v>6037</v>
      </c>
      <c r="B1707" t="s">
        <v>1084</v>
      </c>
      <c r="C1707" t="s">
        <v>19</v>
      </c>
      <c r="D1707" t="s">
        <v>2586</v>
      </c>
      <c r="E1707" t="s">
        <v>857</v>
      </c>
      <c r="F1707" t="s">
        <v>4183</v>
      </c>
      <c r="T1707" t="s">
        <v>1084</v>
      </c>
      <c r="U1707" t="s">
        <v>19</v>
      </c>
      <c r="V1707" t="s">
        <v>857</v>
      </c>
      <c r="W1707" t="s">
        <v>2586</v>
      </c>
    </row>
    <row r="1708" spans="1:23">
      <c r="A1708" t="s">
        <v>6038</v>
      </c>
      <c r="B1708" t="s">
        <v>1084</v>
      </c>
      <c r="C1708" t="s">
        <v>19</v>
      </c>
      <c r="D1708" t="s">
        <v>2586</v>
      </c>
      <c r="E1708" t="s">
        <v>18</v>
      </c>
      <c r="F1708" t="s">
        <v>2588</v>
      </c>
      <c r="T1708" t="s">
        <v>1084</v>
      </c>
      <c r="U1708" t="s">
        <v>19</v>
      </c>
      <c r="V1708" t="s">
        <v>18</v>
      </c>
      <c r="W1708" t="s">
        <v>2586</v>
      </c>
    </row>
    <row r="1709" spans="1:23">
      <c r="A1709" t="s">
        <v>6040</v>
      </c>
      <c r="B1709" t="s">
        <v>1084</v>
      </c>
      <c r="C1709" t="s">
        <v>816</v>
      </c>
      <c r="D1709" t="s">
        <v>857</v>
      </c>
      <c r="E1709" t="s">
        <v>857</v>
      </c>
      <c r="F1709" t="s">
        <v>4184</v>
      </c>
      <c r="T1709" t="s">
        <v>1084</v>
      </c>
      <c r="U1709" t="s">
        <v>816</v>
      </c>
      <c r="V1709" t="s">
        <v>857</v>
      </c>
      <c r="W1709" t="s">
        <v>857</v>
      </c>
    </row>
    <row r="1710" spans="1:23">
      <c r="A1710" t="s">
        <v>6040</v>
      </c>
      <c r="B1710" t="s">
        <v>1084</v>
      </c>
      <c r="C1710" t="s">
        <v>816</v>
      </c>
      <c r="D1710" t="s">
        <v>857</v>
      </c>
      <c r="E1710" t="s">
        <v>857</v>
      </c>
      <c r="F1710" t="s">
        <v>3758</v>
      </c>
      <c r="T1710" t="s">
        <v>1084</v>
      </c>
      <c r="U1710" t="s">
        <v>816</v>
      </c>
      <c r="V1710" t="s">
        <v>857</v>
      </c>
      <c r="W1710" t="s">
        <v>857</v>
      </c>
    </row>
    <row r="1711" spans="1:23">
      <c r="A1711" t="s">
        <v>6041</v>
      </c>
      <c r="B1711" t="s">
        <v>1084</v>
      </c>
      <c r="C1711" t="s">
        <v>816</v>
      </c>
      <c r="D1711" t="s">
        <v>857</v>
      </c>
      <c r="E1711" t="s">
        <v>18</v>
      </c>
      <c r="F1711" t="s">
        <v>2592</v>
      </c>
      <c r="T1711" t="s">
        <v>1084</v>
      </c>
      <c r="U1711" t="s">
        <v>816</v>
      </c>
      <c r="V1711" t="s">
        <v>18</v>
      </c>
      <c r="W1711" t="s">
        <v>857</v>
      </c>
    </row>
    <row r="1712" spans="1:23">
      <c r="A1712" t="s">
        <v>6042</v>
      </c>
      <c r="B1712" t="s">
        <v>1084</v>
      </c>
      <c r="C1712" t="s">
        <v>816</v>
      </c>
      <c r="D1712" t="s">
        <v>2586</v>
      </c>
      <c r="E1712" t="s">
        <v>18</v>
      </c>
      <c r="F1712" t="s">
        <v>2587</v>
      </c>
      <c r="T1712" t="s">
        <v>1084</v>
      </c>
      <c r="U1712" t="s">
        <v>816</v>
      </c>
      <c r="V1712" t="s">
        <v>18</v>
      </c>
      <c r="W1712" t="s">
        <v>2586</v>
      </c>
    </row>
    <row r="1713" spans="1:23">
      <c r="A1713" t="s">
        <v>6044</v>
      </c>
      <c r="B1713" t="s">
        <v>1085</v>
      </c>
      <c r="C1713" t="s">
        <v>818</v>
      </c>
      <c r="D1713" t="s">
        <v>857</v>
      </c>
      <c r="E1713" t="s">
        <v>53</v>
      </c>
      <c r="F1713" t="s">
        <v>2639</v>
      </c>
      <c r="T1713" t="s">
        <v>1085</v>
      </c>
      <c r="U1713" t="s">
        <v>818</v>
      </c>
      <c r="V1713" t="s">
        <v>53</v>
      </c>
      <c r="W1713" t="s">
        <v>857</v>
      </c>
    </row>
    <row r="1714" spans="1:23">
      <c r="A1714" t="s">
        <v>6045</v>
      </c>
      <c r="B1714" t="s">
        <v>1085</v>
      </c>
      <c r="C1714" t="s">
        <v>818</v>
      </c>
      <c r="D1714" t="s">
        <v>857</v>
      </c>
      <c r="E1714" t="s">
        <v>18</v>
      </c>
      <c r="F1714" t="s">
        <v>2646</v>
      </c>
      <c r="T1714" t="s">
        <v>1085</v>
      </c>
      <c r="U1714" t="s">
        <v>818</v>
      </c>
      <c r="V1714" t="s">
        <v>18</v>
      </c>
      <c r="W1714" t="s">
        <v>857</v>
      </c>
    </row>
    <row r="1715" spans="1:23">
      <c r="A1715" t="s">
        <v>6045</v>
      </c>
      <c r="B1715" t="s">
        <v>1085</v>
      </c>
      <c r="C1715" t="s">
        <v>818</v>
      </c>
      <c r="D1715" t="s">
        <v>857</v>
      </c>
      <c r="E1715" t="s">
        <v>18</v>
      </c>
      <c r="F1715" t="s">
        <v>2643</v>
      </c>
      <c r="T1715" t="s">
        <v>1085</v>
      </c>
      <c r="U1715" t="s">
        <v>818</v>
      </c>
      <c r="V1715" t="s">
        <v>18</v>
      </c>
      <c r="W1715" t="s">
        <v>857</v>
      </c>
    </row>
    <row r="1716" spans="1:23">
      <c r="A1716" t="s">
        <v>6047</v>
      </c>
      <c r="B1716" t="s">
        <v>1085</v>
      </c>
      <c r="C1716" t="s">
        <v>818</v>
      </c>
      <c r="D1716" t="s">
        <v>2581</v>
      </c>
      <c r="E1716" t="s">
        <v>53</v>
      </c>
      <c r="F1716" t="s">
        <v>2638</v>
      </c>
      <c r="T1716" t="s">
        <v>1085</v>
      </c>
      <c r="U1716" t="s">
        <v>818</v>
      </c>
      <c r="V1716" t="s">
        <v>53</v>
      </c>
      <c r="W1716" t="s">
        <v>2581</v>
      </c>
    </row>
    <row r="1717" spans="1:23">
      <c r="A1717" t="s">
        <v>6572</v>
      </c>
      <c r="B1717" t="s">
        <v>1085</v>
      </c>
      <c r="C1717" t="s">
        <v>818</v>
      </c>
      <c r="D1717" t="s">
        <v>2629</v>
      </c>
      <c r="E1717" t="s">
        <v>53</v>
      </c>
      <c r="F1717" t="s">
        <v>2634</v>
      </c>
      <c r="T1717" t="s">
        <v>1085</v>
      </c>
      <c r="U1717" t="s">
        <v>818</v>
      </c>
      <c r="V1717" t="s">
        <v>53</v>
      </c>
      <c r="W1717" t="s">
        <v>2629</v>
      </c>
    </row>
    <row r="1718" spans="1:23">
      <c r="A1718" t="s">
        <v>6049</v>
      </c>
      <c r="B1718" t="s">
        <v>1085</v>
      </c>
      <c r="C1718" t="s">
        <v>19</v>
      </c>
      <c r="D1718" t="s">
        <v>857</v>
      </c>
      <c r="E1718" t="s">
        <v>857</v>
      </c>
      <c r="F1718" t="s">
        <v>3856</v>
      </c>
      <c r="T1718" t="s">
        <v>1085</v>
      </c>
      <c r="U1718" t="s">
        <v>19</v>
      </c>
      <c r="V1718" t="s">
        <v>857</v>
      </c>
      <c r="W1718" t="s">
        <v>857</v>
      </c>
    </row>
    <row r="1719" spans="1:23">
      <c r="A1719" t="s">
        <v>6050</v>
      </c>
      <c r="B1719" t="s">
        <v>1085</v>
      </c>
      <c r="C1719" t="s">
        <v>19</v>
      </c>
      <c r="D1719" t="s">
        <v>857</v>
      </c>
      <c r="E1719" t="s">
        <v>53</v>
      </c>
      <c r="F1719" t="s">
        <v>2641</v>
      </c>
      <c r="T1719" t="s">
        <v>1085</v>
      </c>
      <c r="U1719" t="s">
        <v>19</v>
      </c>
      <c r="V1719" t="s">
        <v>53</v>
      </c>
      <c r="W1719" t="s">
        <v>857</v>
      </c>
    </row>
    <row r="1720" spans="1:23">
      <c r="A1720" t="s">
        <v>6051</v>
      </c>
      <c r="B1720" t="s">
        <v>1085</v>
      </c>
      <c r="C1720" t="s">
        <v>19</v>
      </c>
      <c r="D1720" t="s">
        <v>857</v>
      </c>
      <c r="E1720" t="s">
        <v>18</v>
      </c>
      <c r="F1720" t="s">
        <v>2645</v>
      </c>
      <c r="T1720" t="s">
        <v>1085</v>
      </c>
      <c r="U1720" t="s">
        <v>19</v>
      </c>
      <c r="V1720" t="s">
        <v>18</v>
      </c>
      <c r="W1720" t="s">
        <v>857</v>
      </c>
    </row>
    <row r="1721" spans="1:23">
      <c r="A1721" t="s">
        <v>6051</v>
      </c>
      <c r="B1721" t="s">
        <v>1085</v>
      </c>
      <c r="C1721" t="s">
        <v>19</v>
      </c>
      <c r="D1721" t="s">
        <v>857</v>
      </c>
      <c r="E1721" t="s">
        <v>18</v>
      </c>
      <c r="F1721" t="s">
        <v>2642</v>
      </c>
      <c r="T1721" t="s">
        <v>1085</v>
      </c>
      <c r="U1721" t="s">
        <v>19</v>
      </c>
      <c r="V1721" t="s">
        <v>18</v>
      </c>
      <c r="W1721" t="s">
        <v>857</v>
      </c>
    </row>
    <row r="1722" spans="1:23">
      <c r="A1722" t="s">
        <v>6053</v>
      </c>
      <c r="B1722" t="s">
        <v>1085</v>
      </c>
      <c r="C1722" t="s">
        <v>19</v>
      </c>
      <c r="D1722" t="s">
        <v>2636</v>
      </c>
      <c r="E1722" t="s">
        <v>53</v>
      </c>
      <c r="F1722" t="s">
        <v>2637</v>
      </c>
      <c r="T1722" t="s">
        <v>1085</v>
      </c>
      <c r="U1722" t="s">
        <v>19</v>
      </c>
      <c r="V1722" t="s">
        <v>53</v>
      </c>
      <c r="W1722" t="s">
        <v>2636</v>
      </c>
    </row>
    <row r="1723" spans="1:23">
      <c r="A1723" t="s">
        <v>6573</v>
      </c>
      <c r="B1723" t="s">
        <v>1085</v>
      </c>
      <c r="C1723" t="s">
        <v>19</v>
      </c>
      <c r="D1723" t="s">
        <v>2629</v>
      </c>
      <c r="E1723" t="s">
        <v>857</v>
      </c>
      <c r="F1723" t="s">
        <v>4181</v>
      </c>
      <c r="T1723" t="s">
        <v>1085</v>
      </c>
      <c r="U1723" t="s">
        <v>19</v>
      </c>
      <c r="V1723" t="s">
        <v>857</v>
      </c>
      <c r="W1723" t="s">
        <v>2629</v>
      </c>
    </row>
    <row r="1724" spans="1:23">
      <c r="A1724" t="s">
        <v>6574</v>
      </c>
      <c r="B1724" t="s">
        <v>1085</v>
      </c>
      <c r="C1724" t="s">
        <v>19</v>
      </c>
      <c r="D1724" t="s">
        <v>2629</v>
      </c>
      <c r="E1724" t="s">
        <v>53</v>
      </c>
      <c r="F1724" t="s">
        <v>2633</v>
      </c>
      <c r="T1724" t="s">
        <v>1085</v>
      </c>
      <c r="U1724" t="s">
        <v>19</v>
      </c>
      <c r="V1724" t="s">
        <v>53</v>
      </c>
      <c r="W1724" t="s">
        <v>2629</v>
      </c>
    </row>
    <row r="1725" spans="1:23">
      <c r="A1725" t="s">
        <v>6054</v>
      </c>
      <c r="B1725" t="s">
        <v>1085</v>
      </c>
      <c r="C1725" t="s">
        <v>19</v>
      </c>
      <c r="D1725" t="s">
        <v>2631</v>
      </c>
      <c r="E1725" t="s">
        <v>53</v>
      </c>
      <c r="F1725" t="s">
        <v>2635</v>
      </c>
      <c r="T1725" t="s">
        <v>1085</v>
      </c>
      <c r="U1725" t="s">
        <v>19</v>
      </c>
      <c r="V1725" t="s">
        <v>53</v>
      </c>
      <c r="W1725" t="s">
        <v>2631</v>
      </c>
    </row>
    <row r="1726" spans="1:23">
      <c r="A1726" t="s">
        <v>6575</v>
      </c>
      <c r="B1726" t="s">
        <v>1085</v>
      </c>
      <c r="C1726" t="s">
        <v>2384</v>
      </c>
      <c r="D1726" t="s">
        <v>2629</v>
      </c>
      <c r="E1726" t="s">
        <v>857</v>
      </c>
      <c r="F1726" t="s">
        <v>4082</v>
      </c>
      <c r="T1726" t="s">
        <v>1085</v>
      </c>
      <c r="U1726" t="s">
        <v>2384</v>
      </c>
      <c r="V1726" t="s">
        <v>857</v>
      </c>
      <c r="W1726" t="s">
        <v>2629</v>
      </c>
    </row>
    <row r="1727" spans="1:23">
      <c r="A1727" t="s">
        <v>6056</v>
      </c>
      <c r="B1727" t="s">
        <v>1085</v>
      </c>
      <c r="C1727" t="s">
        <v>816</v>
      </c>
      <c r="D1727" t="s">
        <v>857</v>
      </c>
      <c r="E1727" t="s">
        <v>53</v>
      </c>
      <c r="F1727" t="s">
        <v>2640</v>
      </c>
      <c r="T1727" t="s">
        <v>1085</v>
      </c>
      <c r="U1727" t="s">
        <v>816</v>
      </c>
      <c r="V1727" t="s">
        <v>53</v>
      </c>
      <c r="W1727" t="s">
        <v>857</v>
      </c>
    </row>
    <row r="1728" spans="1:23">
      <c r="A1728" t="s">
        <v>6057</v>
      </c>
      <c r="B1728" t="s">
        <v>1085</v>
      </c>
      <c r="C1728" t="s">
        <v>816</v>
      </c>
      <c r="D1728" t="s">
        <v>857</v>
      </c>
      <c r="E1728" t="s">
        <v>18</v>
      </c>
      <c r="F1728" t="s">
        <v>2644</v>
      </c>
      <c r="T1728" t="s">
        <v>1085</v>
      </c>
      <c r="U1728" t="s">
        <v>816</v>
      </c>
      <c r="V1728" t="s">
        <v>18</v>
      </c>
      <c r="W1728" t="s">
        <v>857</v>
      </c>
    </row>
    <row r="1729" spans="1:23">
      <c r="A1729" t="s">
        <v>6576</v>
      </c>
      <c r="B1729" t="s">
        <v>1085</v>
      </c>
      <c r="C1729" t="s">
        <v>816</v>
      </c>
      <c r="D1729" t="s">
        <v>2629</v>
      </c>
      <c r="E1729" t="s">
        <v>53</v>
      </c>
      <c r="F1729" t="s">
        <v>2630</v>
      </c>
      <c r="T1729" t="s">
        <v>1085</v>
      </c>
      <c r="U1729" t="s">
        <v>816</v>
      </c>
      <c r="V1729" t="s">
        <v>53</v>
      </c>
      <c r="W1729" t="s">
        <v>2629</v>
      </c>
    </row>
    <row r="1730" spans="1:23">
      <c r="A1730" t="s">
        <v>6059</v>
      </c>
      <c r="B1730" t="s">
        <v>1085</v>
      </c>
      <c r="C1730" t="s">
        <v>816</v>
      </c>
      <c r="D1730" t="s">
        <v>2631</v>
      </c>
      <c r="E1730" t="s">
        <v>53</v>
      </c>
      <c r="F1730" t="s">
        <v>2632</v>
      </c>
      <c r="T1730" t="s">
        <v>1085</v>
      </c>
      <c r="U1730" t="s">
        <v>816</v>
      </c>
      <c r="V1730" t="s">
        <v>53</v>
      </c>
      <c r="W1730" t="s">
        <v>2631</v>
      </c>
    </row>
    <row r="1731" spans="1:23">
      <c r="A1731" t="s">
        <v>6577</v>
      </c>
      <c r="B1731" t="s">
        <v>1086</v>
      </c>
      <c r="C1731" t="s">
        <v>818</v>
      </c>
      <c r="D1731" t="s">
        <v>2570</v>
      </c>
      <c r="E1731" t="s">
        <v>857</v>
      </c>
      <c r="F1731" t="s">
        <v>4021</v>
      </c>
      <c r="T1731" t="s">
        <v>1086</v>
      </c>
      <c r="U1731" t="s">
        <v>818</v>
      </c>
      <c r="V1731" t="s">
        <v>857</v>
      </c>
      <c r="W1731" t="s">
        <v>2570</v>
      </c>
    </row>
    <row r="1732" spans="1:23">
      <c r="A1732" t="s">
        <v>6578</v>
      </c>
      <c r="B1732" t="s">
        <v>1086</v>
      </c>
      <c r="C1732" t="s">
        <v>818</v>
      </c>
      <c r="D1732" t="s">
        <v>2570</v>
      </c>
      <c r="E1732" t="s">
        <v>18</v>
      </c>
      <c r="F1732" t="s">
        <v>2576</v>
      </c>
      <c r="T1732" t="s">
        <v>1086</v>
      </c>
      <c r="U1732" t="s">
        <v>818</v>
      </c>
      <c r="V1732" t="s">
        <v>18</v>
      </c>
      <c r="W1732" t="s">
        <v>2570</v>
      </c>
    </row>
    <row r="1733" spans="1:23">
      <c r="A1733" t="s">
        <v>6578</v>
      </c>
      <c r="B1733" t="s">
        <v>1086</v>
      </c>
      <c r="C1733" t="s">
        <v>818</v>
      </c>
      <c r="D1733" t="s">
        <v>2570</v>
      </c>
      <c r="E1733" t="s">
        <v>18</v>
      </c>
      <c r="F1733" t="s">
        <v>2571</v>
      </c>
      <c r="T1733" t="s">
        <v>1086</v>
      </c>
      <c r="U1733" t="s">
        <v>818</v>
      </c>
      <c r="V1733" t="s">
        <v>18</v>
      </c>
      <c r="W1733" t="s">
        <v>2570</v>
      </c>
    </row>
    <row r="1734" spans="1:23">
      <c r="A1734" t="s">
        <v>6062</v>
      </c>
      <c r="B1734" t="s">
        <v>1086</v>
      </c>
      <c r="C1734" t="s">
        <v>816</v>
      </c>
      <c r="D1734" t="s">
        <v>2574</v>
      </c>
      <c r="E1734" t="s">
        <v>18</v>
      </c>
      <c r="F1734" t="s">
        <v>2575</v>
      </c>
      <c r="T1734" t="s">
        <v>1086</v>
      </c>
      <c r="U1734" t="s">
        <v>816</v>
      </c>
      <c r="V1734" t="s">
        <v>18</v>
      </c>
      <c r="W1734" t="s">
        <v>2574</v>
      </c>
    </row>
    <row r="1735" spans="1:23">
      <c r="A1735" t="s">
        <v>6579</v>
      </c>
      <c r="B1735" t="s">
        <v>1086</v>
      </c>
      <c r="C1735" t="s">
        <v>816</v>
      </c>
      <c r="D1735" t="s">
        <v>2572</v>
      </c>
      <c r="E1735" t="s">
        <v>18</v>
      </c>
      <c r="F1735" t="s">
        <v>2573</v>
      </c>
      <c r="T1735" t="s">
        <v>1086</v>
      </c>
      <c r="U1735" t="s">
        <v>816</v>
      </c>
      <c r="V1735" t="s">
        <v>18</v>
      </c>
      <c r="W1735" t="s">
        <v>2572</v>
      </c>
    </row>
    <row r="1736" spans="1:23">
      <c r="A1736" t="s">
        <v>6064</v>
      </c>
      <c r="B1736" t="s">
        <v>1087</v>
      </c>
      <c r="C1736" t="s">
        <v>818</v>
      </c>
      <c r="D1736" t="s">
        <v>857</v>
      </c>
      <c r="E1736" t="s">
        <v>18</v>
      </c>
      <c r="F1736" t="s">
        <v>2569</v>
      </c>
      <c r="T1736" t="s">
        <v>1087</v>
      </c>
      <c r="U1736" t="s">
        <v>818</v>
      </c>
      <c r="V1736" t="s">
        <v>18</v>
      </c>
      <c r="W1736" t="s">
        <v>857</v>
      </c>
    </row>
    <row r="1737" spans="1:23">
      <c r="A1737" t="s">
        <v>6066</v>
      </c>
      <c r="B1737" t="s">
        <v>1088</v>
      </c>
      <c r="C1737" t="s">
        <v>816</v>
      </c>
      <c r="D1737" t="s">
        <v>857</v>
      </c>
      <c r="E1737" t="s">
        <v>857</v>
      </c>
      <c r="F1737" t="s">
        <v>3929</v>
      </c>
      <c r="T1737" t="s">
        <v>1088</v>
      </c>
      <c r="U1737" t="s">
        <v>816</v>
      </c>
      <c r="V1737" t="s">
        <v>857</v>
      </c>
      <c r="W1737" t="s">
        <v>857</v>
      </c>
    </row>
    <row r="1738" spans="1:23">
      <c r="A1738" t="s">
        <v>6066</v>
      </c>
      <c r="B1738" t="s">
        <v>1088</v>
      </c>
      <c r="C1738" t="s">
        <v>816</v>
      </c>
      <c r="D1738" t="s">
        <v>857</v>
      </c>
      <c r="E1738" t="s">
        <v>857</v>
      </c>
      <c r="F1738" t="s">
        <v>3915</v>
      </c>
      <c r="T1738" t="s">
        <v>1088</v>
      </c>
      <c r="U1738" t="s">
        <v>816</v>
      </c>
      <c r="V1738" t="s">
        <v>857</v>
      </c>
      <c r="W1738" t="s">
        <v>857</v>
      </c>
    </row>
    <row r="1739" spans="1:23">
      <c r="A1739" t="s">
        <v>6067</v>
      </c>
      <c r="B1739" t="s">
        <v>1088</v>
      </c>
      <c r="C1739" t="s">
        <v>816</v>
      </c>
      <c r="D1739" t="s">
        <v>2366</v>
      </c>
      <c r="E1739" t="s">
        <v>857</v>
      </c>
      <c r="F1739" t="s">
        <v>4157</v>
      </c>
      <c r="T1739" t="s">
        <v>1088</v>
      </c>
      <c r="U1739" t="s">
        <v>816</v>
      </c>
      <c r="V1739" t="s">
        <v>857</v>
      </c>
      <c r="W1739" t="s">
        <v>2366</v>
      </c>
    </row>
    <row r="1740" spans="1:23">
      <c r="A1740" t="s">
        <v>6068</v>
      </c>
      <c r="B1740" t="s">
        <v>1088</v>
      </c>
      <c r="C1740" t="s">
        <v>816</v>
      </c>
      <c r="D1740" t="s">
        <v>2366</v>
      </c>
      <c r="E1740" t="s">
        <v>18</v>
      </c>
      <c r="F1740" t="s">
        <v>2595</v>
      </c>
      <c r="T1740" t="s">
        <v>1088</v>
      </c>
      <c r="U1740" t="s">
        <v>816</v>
      </c>
      <c r="V1740" t="s">
        <v>18</v>
      </c>
      <c r="W1740" t="s">
        <v>2366</v>
      </c>
    </row>
    <row r="1741" spans="1:23">
      <c r="A1741" t="s">
        <v>6068</v>
      </c>
      <c r="B1741" t="s">
        <v>1088</v>
      </c>
      <c r="C1741" t="s">
        <v>816</v>
      </c>
      <c r="D1741" t="s">
        <v>2366</v>
      </c>
      <c r="E1741" t="s">
        <v>18</v>
      </c>
      <c r="F1741" t="s">
        <v>2594</v>
      </c>
      <c r="T1741" t="s">
        <v>1088</v>
      </c>
      <c r="U1741" t="s">
        <v>816</v>
      </c>
      <c r="V1741" t="s">
        <v>18</v>
      </c>
      <c r="W1741" t="s">
        <v>2366</v>
      </c>
    </row>
    <row r="1742" spans="1:23">
      <c r="A1742" t="s">
        <v>6070</v>
      </c>
      <c r="B1742" t="s">
        <v>1089</v>
      </c>
      <c r="C1742" t="s">
        <v>818</v>
      </c>
      <c r="D1742" t="s">
        <v>857</v>
      </c>
      <c r="E1742" t="s">
        <v>18</v>
      </c>
      <c r="F1742" t="s">
        <v>2552</v>
      </c>
      <c r="T1742" t="s">
        <v>1089</v>
      </c>
      <c r="U1742" t="s">
        <v>818</v>
      </c>
      <c r="V1742" t="s">
        <v>18</v>
      </c>
      <c r="W1742" t="s">
        <v>857</v>
      </c>
    </row>
    <row r="1743" spans="1:23">
      <c r="A1743" t="s">
        <v>6070</v>
      </c>
      <c r="B1743" t="s">
        <v>1089</v>
      </c>
      <c r="C1743" t="s">
        <v>818</v>
      </c>
      <c r="D1743" t="s">
        <v>857</v>
      </c>
      <c r="E1743" t="s">
        <v>18</v>
      </c>
      <c r="F1743" t="s">
        <v>2549</v>
      </c>
      <c r="T1743" t="s">
        <v>1089</v>
      </c>
      <c r="U1743" t="s">
        <v>818</v>
      </c>
      <c r="V1743" t="s">
        <v>18</v>
      </c>
      <c r="W1743" t="s">
        <v>857</v>
      </c>
    </row>
    <row r="1744" spans="1:23">
      <c r="A1744" t="s">
        <v>6070</v>
      </c>
      <c r="B1744" t="s">
        <v>1089</v>
      </c>
      <c r="C1744" t="s">
        <v>818</v>
      </c>
      <c r="D1744" t="s">
        <v>857</v>
      </c>
      <c r="E1744" t="s">
        <v>18</v>
      </c>
      <c r="F1744" t="s">
        <v>2547</v>
      </c>
      <c r="T1744" t="s">
        <v>1089</v>
      </c>
      <c r="U1744" t="s">
        <v>818</v>
      </c>
      <c r="V1744" t="s">
        <v>18</v>
      </c>
      <c r="W1744" t="s">
        <v>857</v>
      </c>
    </row>
    <row r="1745" spans="1:23">
      <c r="A1745" t="s">
        <v>6071</v>
      </c>
      <c r="B1745" t="s">
        <v>1089</v>
      </c>
      <c r="C1745" t="s">
        <v>818</v>
      </c>
      <c r="D1745" t="s">
        <v>2532</v>
      </c>
      <c r="E1745" t="s">
        <v>18</v>
      </c>
      <c r="F1745" t="s">
        <v>2545</v>
      </c>
      <c r="T1745" t="s">
        <v>1089</v>
      </c>
      <c r="U1745" t="s">
        <v>818</v>
      </c>
      <c r="V1745" t="s">
        <v>18</v>
      </c>
      <c r="W1745" t="s">
        <v>2532</v>
      </c>
    </row>
    <row r="1746" spans="1:23">
      <c r="A1746" t="s">
        <v>6071</v>
      </c>
      <c r="B1746" t="s">
        <v>1089</v>
      </c>
      <c r="C1746" t="s">
        <v>818</v>
      </c>
      <c r="D1746" t="s">
        <v>2532</v>
      </c>
      <c r="E1746" t="s">
        <v>18</v>
      </c>
      <c r="F1746" t="s">
        <v>2534</v>
      </c>
      <c r="T1746" t="s">
        <v>1089</v>
      </c>
      <c r="U1746" t="s">
        <v>818</v>
      </c>
      <c r="V1746" t="s">
        <v>18</v>
      </c>
      <c r="W1746" t="s">
        <v>2532</v>
      </c>
    </row>
    <row r="1747" spans="1:23">
      <c r="A1747" t="s">
        <v>6074</v>
      </c>
      <c r="B1747" t="s">
        <v>1089</v>
      </c>
      <c r="C1747" t="s">
        <v>19</v>
      </c>
      <c r="D1747" t="s">
        <v>857</v>
      </c>
      <c r="E1747" t="s">
        <v>857</v>
      </c>
      <c r="F1747" t="s">
        <v>3871</v>
      </c>
      <c r="T1747" t="s">
        <v>1089</v>
      </c>
      <c r="U1747" t="s">
        <v>19</v>
      </c>
      <c r="V1747" t="s">
        <v>857</v>
      </c>
      <c r="W1747" t="s">
        <v>857</v>
      </c>
    </row>
    <row r="1748" spans="1:23">
      <c r="A1748" t="s">
        <v>6075</v>
      </c>
      <c r="B1748" t="s">
        <v>1089</v>
      </c>
      <c r="C1748" t="s">
        <v>19</v>
      </c>
      <c r="D1748" t="s">
        <v>857</v>
      </c>
      <c r="E1748" t="s">
        <v>18</v>
      </c>
      <c r="F1748" t="s">
        <v>2551</v>
      </c>
      <c r="T1748" t="s">
        <v>1089</v>
      </c>
      <c r="U1748" t="s">
        <v>19</v>
      </c>
      <c r="V1748" t="s">
        <v>18</v>
      </c>
      <c r="W1748" t="s">
        <v>857</v>
      </c>
    </row>
    <row r="1749" spans="1:23">
      <c r="A1749" t="s">
        <v>6075</v>
      </c>
      <c r="B1749" t="s">
        <v>1089</v>
      </c>
      <c r="C1749" t="s">
        <v>19</v>
      </c>
      <c r="D1749" t="s">
        <v>857</v>
      </c>
      <c r="E1749" t="s">
        <v>18</v>
      </c>
      <c r="F1749" t="s">
        <v>2536</v>
      </c>
      <c r="T1749" t="s">
        <v>1089</v>
      </c>
      <c r="U1749" t="s">
        <v>19</v>
      </c>
      <c r="V1749" t="s">
        <v>18</v>
      </c>
      <c r="W1749" t="s">
        <v>857</v>
      </c>
    </row>
    <row r="1750" spans="1:23">
      <c r="A1750" t="s">
        <v>6075</v>
      </c>
      <c r="B1750" t="s">
        <v>1089</v>
      </c>
      <c r="C1750" t="s">
        <v>19</v>
      </c>
      <c r="D1750" t="s">
        <v>857</v>
      </c>
      <c r="E1750" t="s">
        <v>18</v>
      </c>
      <c r="F1750" t="s">
        <v>2535</v>
      </c>
      <c r="T1750" t="s">
        <v>1089</v>
      </c>
      <c r="U1750" t="s">
        <v>19</v>
      </c>
      <c r="V1750" t="s">
        <v>18</v>
      </c>
      <c r="W1750" t="s">
        <v>857</v>
      </c>
    </row>
    <row r="1751" spans="1:23">
      <c r="A1751" t="s">
        <v>6076</v>
      </c>
      <c r="B1751" t="s">
        <v>1089</v>
      </c>
      <c r="C1751" t="s">
        <v>19</v>
      </c>
      <c r="D1751" t="s">
        <v>2532</v>
      </c>
      <c r="E1751" t="s">
        <v>18</v>
      </c>
      <c r="F1751" t="s">
        <v>2544</v>
      </c>
      <c r="T1751" t="s">
        <v>1089</v>
      </c>
      <c r="U1751" t="s">
        <v>19</v>
      </c>
      <c r="V1751" t="s">
        <v>18</v>
      </c>
      <c r="W1751" t="s">
        <v>2532</v>
      </c>
    </row>
    <row r="1752" spans="1:23">
      <c r="A1752" t="s">
        <v>6076</v>
      </c>
      <c r="B1752" t="s">
        <v>1089</v>
      </c>
      <c r="C1752" t="s">
        <v>19</v>
      </c>
      <c r="D1752" t="s">
        <v>2532</v>
      </c>
      <c r="E1752" t="s">
        <v>18</v>
      </c>
      <c r="F1752" t="s">
        <v>2537</v>
      </c>
      <c r="T1752" t="s">
        <v>1089</v>
      </c>
      <c r="U1752" t="s">
        <v>19</v>
      </c>
      <c r="V1752" t="s">
        <v>18</v>
      </c>
      <c r="W1752" t="s">
        <v>2532</v>
      </c>
    </row>
    <row r="1753" spans="1:23">
      <c r="A1753" t="s">
        <v>6076</v>
      </c>
      <c r="B1753" t="s">
        <v>1089</v>
      </c>
      <c r="C1753" t="s">
        <v>19</v>
      </c>
      <c r="D1753" t="s">
        <v>2532</v>
      </c>
      <c r="E1753" t="s">
        <v>18</v>
      </c>
      <c r="F1753" t="s">
        <v>2533</v>
      </c>
      <c r="T1753" t="s">
        <v>1089</v>
      </c>
      <c r="U1753" t="s">
        <v>19</v>
      </c>
      <c r="V1753" t="s">
        <v>18</v>
      </c>
      <c r="W1753" t="s">
        <v>2532</v>
      </c>
    </row>
    <row r="1754" spans="1:23">
      <c r="A1754" t="s">
        <v>6077</v>
      </c>
      <c r="B1754" t="s">
        <v>1089</v>
      </c>
      <c r="C1754" t="s">
        <v>19</v>
      </c>
      <c r="D1754" t="s">
        <v>2540</v>
      </c>
      <c r="E1754" t="s">
        <v>857</v>
      </c>
      <c r="F1754" t="s">
        <v>4194</v>
      </c>
      <c r="T1754" t="s">
        <v>1089</v>
      </c>
      <c r="U1754" t="s">
        <v>19</v>
      </c>
      <c r="V1754" t="s">
        <v>857</v>
      </c>
      <c r="W1754" t="s">
        <v>2540</v>
      </c>
    </row>
    <row r="1755" spans="1:23">
      <c r="A1755" t="s">
        <v>6078</v>
      </c>
      <c r="B1755" t="s">
        <v>1089</v>
      </c>
      <c r="C1755" t="s">
        <v>19</v>
      </c>
      <c r="D1755" t="s">
        <v>2540</v>
      </c>
      <c r="E1755" t="s">
        <v>18</v>
      </c>
      <c r="F1755" t="s">
        <v>2543</v>
      </c>
      <c r="T1755" t="s">
        <v>1089</v>
      </c>
      <c r="U1755" t="s">
        <v>19</v>
      </c>
      <c r="V1755" t="s">
        <v>18</v>
      </c>
      <c r="W1755" t="s">
        <v>2540</v>
      </c>
    </row>
    <row r="1756" spans="1:23">
      <c r="A1756" t="s">
        <v>6081</v>
      </c>
      <c r="B1756" t="s">
        <v>1089</v>
      </c>
      <c r="C1756" t="s">
        <v>2384</v>
      </c>
      <c r="D1756" t="s">
        <v>857</v>
      </c>
      <c r="E1756" t="s">
        <v>857</v>
      </c>
      <c r="F1756" t="s">
        <v>3869</v>
      </c>
      <c r="T1756" t="s">
        <v>1089</v>
      </c>
      <c r="U1756" t="s">
        <v>2384</v>
      </c>
      <c r="V1756" t="s">
        <v>857</v>
      </c>
      <c r="W1756" t="s">
        <v>857</v>
      </c>
    </row>
    <row r="1757" spans="1:23">
      <c r="A1757" t="s">
        <v>6082</v>
      </c>
      <c r="B1757" t="s">
        <v>1089</v>
      </c>
      <c r="C1757" t="s">
        <v>2384</v>
      </c>
      <c r="D1757" t="s">
        <v>2540</v>
      </c>
      <c r="E1757" t="s">
        <v>857</v>
      </c>
      <c r="F1757" t="s">
        <v>4166</v>
      </c>
      <c r="T1757" t="s">
        <v>1089</v>
      </c>
      <c r="U1757" t="s">
        <v>2384</v>
      </c>
      <c r="V1757" t="s">
        <v>857</v>
      </c>
      <c r="W1757" t="s">
        <v>2540</v>
      </c>
    </row>
    <row r="1758" spans="1:23">
      <c r="A1758" t="s">
        <v>6083</v>
      </c>
      <c r="B1758" t="s">
        <v>1089</v>
      </c>
      <c r="C1758" t="s">
        <v>2384</v>
      </c>
      <c r="D1758" t="s">
        <v>2540</v>
      </c>
      <c r="E1758" t="s">
        <v>18</v>
      </c>
      <c r="F1758" t="s">
        <v>2546</v>
      </c>
      <c r="T1758" t="s">
        <v>1089</v>
      </c>
      <c r="U1758" t="s">
        <v>2384</v>
      </c>
      <c r="V1758" t="s">
        <v>18</v>
      </c>
      <c r="W1758" t="s">
        <v>2540</v>
      </c>
    </row>
    <row r="1759" spans="1:23">
      <c r="A1759" t="s">
        <v>6085</v>
      </c>
      <c r="B1759" t="s">
        <v>1089</v>
      </c>
      <c r="C1759" t="s">
        <v>2416</v>
      </c>
      <c r="D1759" t="s">
        <v>857</v>
      </c>
      <c r="E1759" t="s">
        <v>857</v>
      </c>
      <c r="F1759" t="s">
        <v>4193</v>
      </c>
      <c r="T1759" t="s">
        <v>1089</v>
      </c>
      <c r="U1759" t="s">
        <v>2416</v>
      </c>
      <c r="V1759" t="s">
        <v>857</v>
      </c>
      <c r="W1759" t="s">
        <v>857</v>
      </c>
    </row>
    <row r="1760" spans="1:23">
      <c r="A1760" t="s">
        <v>6086</v>
      </c>
      <c r="B1760" t="s">
        <v>1089</v>
      </c>
      <c r="C1760" t="s">
        <v>2416</v>
      </c>
      <c r="D1760" t="s">
        <v>857</v>
      </c>
      <c r="E1760" t="s">
        <v>18</v>
      </c>
      <c r="F1760" t="s">
        <v>2553</v>
      </c>
      <c r="T1760" t="s">
        <v>1089</v>
      </c>
      <c r="U1760" t="s">
        <v>2416</v>
      </c>
      <c r="V1760" t="s">
        <v>18</v>
      </c>
      <c r="W1760" t="s">
        <v>857</v>
      </c>
    </row>
    <row r="1761" spans="1:23">
      <c r="A1761" t="s">
        <v>6086</v>
      </c>
      <c r="B1761" t="s">
        <v>1089</v>
      </c>
      <c r="C1761" t="s">
        <v>2416</v>
      </c>
      <c r="D1761" t="s">
        <v>857</v>
      </c>
      <c r="E1761" t="s">
        <v>18</v>
      </c>
      <c r="F1761" t="s">
        <v>2538</v>
      </c>
      <c r="T1761" t="s">
        <v>1089</v>
      </c>
      <c r="U1761" t="s">
        <v>2416</v>
      </c>
      <c r="V1761" t="s">
        <v>18</v>
      </c>
      <c r="W1761" t="s">
        <v>857</v>
      </c>
    </row>
    <row r="1762" spans="1:23">
      <c r="A1762" t="s">
        <v>6087</v>
      </c>
      <c r="B1762" t="s">
        <v>1089</v>
      </c>
      <c r="C1762" t="s">
        <v>2416</v>
      </c>
      <c r="D1762" t="s">
        <v>2532</v>
      </c>
      <c r="E1762" t="s">
        <v>18</v>
      </c>
      <c r="F1762" t="s">
        <v>2542</v>
      </c>
      <c r="T1762" t="s">
        <v>1089</v>
      </c>
      <c r="U1762" t="s">
        <v>2416</v>
      </c>
      <c r="V1762" t="s">
        <v>18</v>
      </c>
      <c r="W1762" t="s">
        <v>2532</v>
      </c>
    </row>
    <row r="1763" spans="1:23">
      <c r="A1763" t="s">
        <v>6088</v>
      </c>
      <c r="B1763" t="s">
        <v>1089</v>
      </c>
      <c r="C1763" t="s">
        <v>2416</v>
      </c>
      <c r="D1763" t="s">
        <v>2540</v>
      </c>
      <c r="E1763" t="s">
        <v>18</v>
      </c>
      <c r="F1763" t="s">
        <v>2541</v>
      </c>
      <c r="T1763" t="s">
        <v>1089</v>
      </c>
      <c r="U1763" t="s">
        <v>2416</v>
      </c>
      <c r="V1763" t="s">
        <v>18</v>
      </c>
      <c r="W1763" t="s">
        <v>2540</v>
      </c>
    </row>
    <row r="1764" spans="1:23">
      <c r="A1764" t="s">
        <v>6090</v>
      </c>
      <c r="B1764" t="s">
        <v>1089</v>
      </c>
      <c r="C1764" t="s">
        <v>816</v>
      </c>
      <c r="D1764" t="s">
        <v>857</v>
      </c>
      <c r="E1764" t="s">
        <v>857</v>
      </c>
      <c r="F1764" t="s">
        <v>3937</v>
      </c>
      <c r="T1764" t="s">
        <v>1089</v>
      </c>
      <c r="U1764" t="s">
        <v>816</v>
      </c>
      <c r="V1764" t="s">
        <v>857</v>
      </c>
      <c r="W1764" t="s">
        <v>857</v>
      </c>
    </row>
    <row r="1765" spans="1:23">
      <c r="A1765" t="s">
        <v>6090</v>
      </c>
      <c r="B1765" t="s">
        <v>1089</v>
      </c>
      <c r="C1765" t="s">
        <v>816</v>
      </c>
      <c r="D1765" t="s">
        <v>857</v>
      </c>
      <c r="E1765" t="s">
        <v>857</v>
      </c>
      <c r="F1765" t="s">
        <v>3905</v>
      </c>
      <c r="T1765" t="s">
        <v>1089</v>
      </c>
      <c r="U1765" t="s">
        <v>816</v>
      </c>
      <c r="V1765" t="s">
        <v>857</v>
      </c>
      <c r="W1765" t="s">
        <v>857</v>
      </c>
    </row>
    <row r="1766" spans="1:23">
      <c r="A1766" t="s">
        <v>6091</v>
      </c>
      <c r="B1766" t="s">
        <v>1089</v>
      </c>
      <c r="C1766" t="s">
        <v>816</v>
      </c>
      <c r="D1766" t="s">
        <v>857</v>
      </c>
      <c r="E1766" t="s">
        <v>18</v>
      </c>
      <c r="F1766" t="s">
        <v>2550</v>
      </c>
      <c r="T1766" t="s">
        <v>1089</v>
      </c>
      <c r="U1766" t="s">
        <v>816</v>
      </c>
      <c r="V1766" t="s">
        <v>18</v>
      </c>
      <c r="W1766" t="s">
        <v>857</v>
      </c>
    </row>
    <row r="1767" spans="1:23">
      <c r="A1767" t="s">
        <v>6091</v>
      </c>
      <c r="B1767" t="s">
        <v>1089</v>
      </c>
      <c r="C1767" t="s">
        <v>816</v>
      </c>
      <c r="D1767" t="s">
        <v>857</v>
      </c>
      <c r="E1767" t="s">
        <v>18</v>
      </c>
      <c r="F1767" t="s">
        <v>2548</v>
      </c>
      <c r="T1767" t="s">
        <v>1089</v>
      </c>
      <c r="U1767" t="s">
        <v>816</v>
      </c>
      <c r="V1767" t="s">
        <v>18</v>
      </c>
      <c r="W1767" t="s">
        <v>857</v>
      </c>
    </row>
    <row r="1768" spans="1:23">
      <c r="A1768" t="s">
        <v>6092</v>
      </c>
      <c r="B1768" t="s">
        <v>1089</v>
      </c>
      <c r="C1768" t="s">
        <v>816</v>
      </c>
      <c r="D1768" t="s">
        <v>2532</v>
      </c>
      <c r="E1768" t="s">
        <v>18</v>
      </c>
      <c r="F1768" t="s">
        <v>2539</v>
      </c>
      <c r="T1768" t="s">
        <v>1089</v>
      </c>
      <c r="U1768" t="s">
        <v>816</v>
      </c>
      <c r="V1768" t="s">
        <v>18</v>
      </c>
      <c r="W1768" t="s">
        <v>2532</v>
      </c>
    </row>
    <row r="1769" spans="1:23">
      <c r="A1769" t="s">
        <v>6094</v>
      </c>
      <c r="B1769" t="s">
        <v>1090</v>
      </c>
      <c r="C1769" t="s">
        <v>818</v>
      </c>
      <c r="D1769" t="s">
        <v>857</v>
      </c>
      <c r="E1769" t="s">
        <v>18</v>
      </c>
      <c r="F1769" t="s">
        <v>2528</v>
      </c>
      <c r="T1769" t="s">
        <v>1090</v>
      </c>
      <c r="U1769" t="s">
        <v>818</v>
      </c>
      <c r="V1769" t="s">
        <v>18</v>
      </c>
      <c r="W1769" t="s">
        <v>857</v>
      </c>
    </row>
    <row r="1770" spans="1:23">
      <c r="A1770" t="s">
        <v>6094</v>
      </c>
      <c r="B1770" t="s">
        <v>1090</v>
      </c>
      <c r="C1770" t="s">
        <v>818</v>
      </c>
      <c r="D1770" t="s">
        <v>857</v>
      </c>
      <c r="E1770" t="s">
        <v>18</v>
      </c>
      <c r="F1770" t="s">
        <v>2527</v>
      </c>
      <c r="T1770" t="s">
        <v>1090</v>
      </c>
      <c r="U1770" t="s">
        <v>818</v>
      </c>
      <c r="V1770" t="s">
        <v>18</v>
      </c>
      <c r="W1770" t="s">
        <v>857</v>
      </c>
    </row>
    <row r="1771" spans="1:23">
      <c r="A1771" t="s">
        <v>6094</v>
      </c>
      <c r="B1771" t="s">
        <v>1090</v>
      </c>
      <c r="C1771" t="s">
        <v>818</v>
      </c>
      <c r="D1771" t="s">
        <v>857</v>
      </c>
      <c r="E1771" t="s">
        <v>18</v>
      </c>
      <c r="F1771" t="s">
        <v>2526</v>
      </c>
      <c r="T1771" t="s">
        <v>1090</v>
      </c>
      <c r="U1771" t="s">
        <v>818</v>
      </c>
      <c r="V1771" t="s">
        <v>18</v>
      </c>
      <c r="W1771" t="s">
        <v>857</v>
      </c>
    </row>
    <row r="1772" spans="1:23">
      <c r="A1772" t="s">
        <v>6094</v>
      </c>
      <c r="B1772" t="s">
        <v>1090</v>
      </c>
      <c r="C1772" t="s">
        <v>818</v>
      </c>
      <c r="D1772" t="s">
        <v>857</v>
      </c>
      <c r="E1772" t="s">
        <v>18</v>
      </c>
      <c r="F1772" t="s">
        <v>2525</v>
      </c>
      <c r="T1772" t="s">
        <v>1090</v>
      </c>
      <c r="U1772" t="s">
        <v>818</v>
      </c>
      <c r="V1772" t="s">
        <v>18</v>
      </c>
      <c r="W1772" t="s">
        <v>857</v>
      </c>
    </row>
    <row r="1773" spans="1:23">
      <c r="A1773" t="s">
        <v>6094</v>
      </c>
      <c r="B1773" t="s">
        <v>1090</v>
      </c>
      <c r="C1773" t="s">
        <v>818</v>
      </c>
      <c r="D1773" t="s">
        <v>857</v>
      </c>
      <c r="E1773" t="s">
        <v>18</v>
      </c>
      <c r="F1773" t="s">
        <v>2524</v>
      </c>
      <c r="T1773" t="s">
        <v>1090</v>
      </c>
      <c r="U1773" t="s">
        <v>818</v>
      </c>
      <c r="V1773" t="s">
        <v>18</v>
      </c>
      <c r="W1773" t="s">
        <v>857</v>
      </c>
    </row>
    <row r="1774" spans="1:23">
      <c r="A1774" t="s">
        <v>6094</v>
      </c>
      <c r="B1774" t="s">
        <v>1090</v>
      </c>
      <c r="C1774" t="s">
        <v>818</v>
      </c>
      <c r="D1774" t="s">
        <v>857</v>
      </c>
      <c r="E1774" t="s">
        <v>18</v>
      </c>
      <c r="F1774" t="s">
        <v>2523</v>
      </c>
      <c r="T1774" t="s">
        <v>1090</v>
      </c>
      <c r="U1774" t="s">
        <v>818</v>
      </c>
      <c r="V1774" t="s">
        <v>18</v>
      </c>
      <c r="W1774" t="s">
        <v>857</v>
      </c>
    </row>
    <row r="1775" spans="1:23">
      <c r="A1775" t="s">
        <v>6094</v>
      </c>
      <c r="B1775" t="s">
        <v>1090</v>
      </c>
      <c r="C1775" t="s">
        <v>818</v>
      </c>
      <c r="D1775" t="s">
        <v>857</v>
      </c>
      <c r="E1775" t="s">
        <v>18</v>
      </c>
      <c r="F1775" t="s">
        <v>2522</v>
      </c>
      <c r="T1775" t="s">
        <v>1090</v>
      </c>
      <c r="U1775" t="s">
        <v>818</v>
      </c>
      <c r="V1775" t="s">
        <v>18</v>
      </c>
      <c r="W1775" t="s">
        <v>857</v>
      </c>
    </row>
    <row r="1776" spans="1:23">
      <c r="A1776" t="s">
        <v>6095</v>
      </c>
      <c r="B1776" t="s">
        <v>1090</v>
      </c>
      <c r="C1776" t="s">
        <v>818</v>
      </c>
      <c r="D1776" t="s">
        <v>2516</v>
      </c>
      <c r="E1776" t="s">
        <v>18</v>
      </c>
      <c r="F1776" t="s">
        <v>2530</v>
      </c>
      <c r="T1776" t="s">
        <v>1090</v>
      </c>
      <c r="U1776" t="s">
        <v>818</v>
      </c>
      <c r="V1776" t="s">
        <v>18</v>
      </c>
      <c r="W1776" t="s">
        <v>2516</v>
      </c>
    </row>
    <row r="1777" spans="1:23">
      <c r="A1777" t="s">
        <v>6235</v>
      </c>
      <c r="B1777" t="s">
        <v>1090</v>
      </c>
      <c r="C1777" t="s">
        <v>818</v>
      </c>
      <c r="D1777" t="s">
        <v>2518</v>
      </c>
      <c r="E1777" t="s">
        <v>18</v>
      </c>
      <c r="F1777" t="s">
        <v>2531</v>
      </c>
      <c r="T1777" t="s">
        <v>1090</v>
      </c>
      <c r="U1777" t="s">
        <v>818</v>
      </c>
      <c r="V1777" t="s">
        <v>18</v>
      </c>
      <c r="W1777" t="s">
        <v>2518</v>
      </c>
    </row>
    <row r="1778" spans="1:23">
      <c r="A1778" t="s">
        <v>6096</v>
      </c>
      <c r="B1778" t="s">
        <v>1090</v>
      </c>
      <c r="C1778" t="s">
        <v>818</v>
      </c>
      <c r="D1778" t="s">
        <v>2514</v>
      </c>
      <c r="E1778" t="s">
        <v>18</v>
      </c>
      <c r="F1778" t="s">
        <v>2529</v>
      </c>
      <c r="T1778" t="s">
        <v>1090</v>
      </c>
      <c r="U1778" t="s">
        <v>818</v>
      </c>
      <c r="V1778" t="s">
        <v>18</v>
      </c>
      <c r="W1778" t="s">
        <v>2514</v>
      </c>
    </row>
    <row r="1779" spans="1:23">
      <c r="A1779" t="s">
        <v>6097</v>
      </c>
      <c r="B1779" t="s">
        <v>1090</v>
      </c>
      <c r="C1779" t="s">
        <v>818</v>
      </c>
      <c r="D1779" t="s">
        <v>2512</v>
      </c>
      <c r="E1779" t="s">
        <v>18</v>
      </c>
      <c r="F1779" t="s">
        <v>2513</v>
      </c>
      <c r="T1779" t="s">
        <v>1090</v>
      </c>
      <c r="U1779" t="s">
        <v>818</v>
      </c>
      <c r="V1779" t="s">
        <v>18</v>
      </c>
      <c r="W1779" t="s">
        <v>2512</v>
      </c>
    </row>
    <row r="1780" spans="1:23">
      <c r="A1780" t="s">
        <v>6100</v>
      </c>
      <c r="B1780" t="s">
        <v>1090</v>
      </c>
      <c r="C1780" t="s">
        <v>2384</v>
      </c>
      <c r="D1780" t="s">
        <v>857</v>
      </c>
      <c r="E1780" t="s">
        <v>857</v>
      </c>
      <c r="F1780" t="s">
        <v>3773</v>
      </c>
      <c r="T1780" t="s">
        <v>1090</v>
      </c>
      <c r="U1780" t="s">
        <v>2384</v>
      </c>
      <c r="V1780" t="s">
        <v>857</v>
      </c>
      <c r="W1780" t="s">
        <v>857</v>
      </c>
    </row>
    <row r="1781" spans="1:23">
      <c r="A1781" t="s">
        <v>6101</v>
      </c>
      <c r="B1781" t="s">
        <v>1090</v>
      </c>
      <c r="C1781" t="s">
        <v>2384</v>
      </c>
      <c r="D1781" t="s">
        <v>2516</v>
      </c>
      <c r="E1781" t="s">
        <v>857</v>
      </c>
      <c r="F1781" t="s">
        <v>4192</v>
      </c>
      <c r="T1781" t="s">
        <v>1090</v>
      </c>
      <c r="U1781" t="s">
        <v>2384</v>
      </c>
      <c r="V1781" t="s">
        <v>857</v>
      </c>
      <c r="W1781" t="s">
        <v>2516</v>
      </c>
    </row>
    <row r="1782" spans="1:23">
      <c r="A1782" t="s">
        <v>6102</v>
      </c>
      <c r="B1782" t="s">
        <v>1090</v>
      </c>
      <c r="C1782" t="s">
        <v>2384</v>
      </c>
      <c r="D1782" t="s">
        <v>2516</v>
      </c>
      <c r="E1782" t="s">
        <v>18</v>
      </c>
      <c r="F1782" t="s">
        <v>2517</v>
      </c>
      <c r="T1782" t="s">
        <v>1090</v>
      </c>
      <c r="U1782" t="s">
        <v>2384</v>
      </c>
      <c r="V1782" t="s">
        <v>18</v>
      </c>
      <c r="W1782" t="s">
        <v>2516</v>
      </c>
    </row>
    <row r="1783" spans="1:23">
      <c r="A1783" t="s">
        <v>6236</v>
      </c>
      <c r="B1783" t="s">
        <v>1090</v>
      </c>
      <c r="C1783" t="s">
        <v>2384</v>
      </c>
      <c r="D1783" t="s">
        <v>2518</v>
      </c>
      <c r="E1783" t="s">
        <v>18</v>
      </c>
      <c r="F1783" t="s">
        <v>2519</v>
      </c>
      <c r="T1783" t="s">
        <v>1090</v>
      </c>
      <c r="U1783" t="s">
        <v>2384</v>
      </c>
      <c r="V1783" t="s">
        <v>18</v>
      </c>
      <c r="W1783" t="s">
        <v>2518</v>
      </c>
    </row>
    <row r="1784" spans="1:23">
      <c r="A1784" t="s">
        <v>6103</v>
      </c>
      <c r="B1784" t="s">
        <v>1090</v>
      </c>
      <c r="C1784" t="s">
        <v>2384</v>
      </c>
      <c r="D1784" t="s">
        <v>2514</v>
      </c>
      <c r="E1784" t="s">
        <v>18</v>
      </c>
      <c r="F1784" t="s">
        <v>2515</v>
      </c>
      <c r="T1784" t="s">
        <v>1090</v>
      </c>
      <c r="U1784" t="s">
        <v>2384</v>
      </c>
      <c r="V1784" t="s">
        <v>18</v>
      </c>
      <c r="W1784" t="s">
        <v>2514</v>
      </c>
    </row>
    <row r="1785" spans="1:23">
      <c r="A1785" t="s">
        <v>6105</v>
      </c>
      <c r="B1785" t="s">
        <v>1090</v>
      </c>
      <c r="C1785" t="s">
        <v>816</v>
      </c>
      <c r="D1785" t="s">
        <v>857</v>
      </c>
      <c r="E1785" t="s">
        <v>857</v>
      </c>
      <c r="F1785" t="s">
        <v>3936</v>
      </c>
      <c r="T1785" t="s">
        <v>1090</v>
      </c>
      <c r="U1785" t="s">
        <v>816</v>
      </c>
      <c r="V1785" t="s">
        <v>857</v>
      </c>
      <c r="W1785" t="s">
        <v>857</v>
      </c>
    </row>
    <row r="1786" spans="1:23">
      <c r="A1786" t="s">
        <v>6106</v>
      </c>
      <c r="B1786" t="s">
        <v>1090</v>
      </c>
      <c r="C1786" t="s">
        <v>816</v>
      </c>
      <c r="D1786" t="s">
        <v>857</v>
      </c>
      <c r="E1786" t="s">
        <v>18</v>
      </c>
      <c r="F1786" t="s">
        <v>2521</v>
      </c>
      <c r="T1786" t="s">
        <v>1090</v>
      </c>
      <c r="U1786" t="s">
        <v>816</v>
      </c>
      <c r="V1786" t="s">
        <v>18</v>
      </c>
      <c r="W1786" t="s">
        <v>857</v>
      </c>
    </row>
    <row r="1787" spans="1:23">
      <c r="A1787" t="s">
        <v>6107</v>
      </c>
      <c r="B1787" t="s">
        <v>1090</v>
      </c>
      <c r="C1787" t="s">
        <v>816</v>
      </c>
      <c r="D1787" t="s">
        <v>2514</v>
      </c>
      <c r="E1787" t="s">
        <v>18</v>
      </c>
      <c r="F1787" t="s">
        <v>2520</v>
      </c>
      <c r="T1787" t="s">
        <v>1090</v>
      </c>
      <c r="U1787" t="s">
        <v>816</v>
      </c>
      <c r="V1787" t="s">
        <v>18</v>
      </c>
      <c r="W1787" t="s">
        <v>2514</v>
      </c>
    </row>
    <row r="1788" spans="1:23">
      <c r="A1788" t="s">
        <v>6109</v>
      </c>
      <c r="B1788" t="s">
        <v>1091</v>
      </c>
      <c r="C1788" t="s">
        <v>818</v>
      </c>
      <c r="D1788" t="s">
        <v>857</v>
      </c>
      <c r="E1788" t="s">
        <v>18</v>
      </c>
      <c r="F1788" t="s">
        <v>2511</v>
      </c>
      <c r="T1788" t="s">
        <v>1091</v>
      </c>
      <c r="U1788" t="s">
        <v>818</v>
      </c>
      <c r="V1788" t="s">
        <v>18</v>
      </c>
      <c r="W1788" t="s">
        <v>857</v>
      </c>
    </row>
    <row r="1789" spans="1:23">
      <c r="A1789" t="s">
        <v>6109</v>
      </c>
      <c r="B1789" t="s">
        <v>1091</v>
      </c>
      <c r="C1789" t="s">
        <v>818</v>
      </c>
      <c r="D1789" t="s">
        <v>857</v>
      </c>
      <c r="E1789" t="s">
        <v>18</v>
      </c>
      <c r="F1789" t="s">
        <v>2510</v>
      </c>
      <c r="T1789" t="s">
        <v>1091</v>
      </c>
      <c r="U1789" t="s">
        <v>818</v>
      </c>
      <c r="V1789" t="s">
        <v>18</v>
      </c>
      <c r="W1789" t="s">
        <v>857</v>
      </c>
    </row>
    <row r="1790" spans="1:23">
      <c r="A1790" t="s">
        <v>6111</v>
      </c>
      <c r="B1790" t="s">
        <v>1092</v>
      </c>
      <c r="C1790" t="s">
        <v>818</v>
      </c>
      <c r="D1790" t="s">
        <v>857</v>
      </c>
      <c r="E1790" t="s">
        <v>18</v>
      </c>
      <c r="F1790" t="s">
        <v>2509</v>
      </c>
      <c r="T1790" t="s">
        <v>1092</v>
      </c>
      <c r="U1790" t="s">
        <v>818</v>
      </c>
      <c r="V1790" t="s">
        <v>18</v>
      </c>
      <c r="W1790" t="s">
        <v>857</v>
      </c>
    </row>
    <row r="1791" spans="1:23">
      <c r="A1791" t="s">
        <v>6111</v>
      </c>
      <c r="B1791" t="s">
        <v>1092</v>
      </c>
      <c r="C1791" t="s">
        <v>818</v>
      </c>
      <c r="D1791" t="s">
        <v>857</v>
      </c>
      <c r="E1791" t="s">
        <v>18</v>
      </c>
      <c r="F1791" t="s">
        <v>2508</v>
      </c>
      <c r="T1791" t="s">
        <v>1092</v>
      </c>
      <c r="U1791" t="s">
        <v>818</v>
      </c>
      <c r="V1791" t="s">
        <v>18</v>
      </c>
      <c r="W1791" t="s">
        <v>857</v>
      </c>
    </row>
    <row r="1792" spans="1:23">
      <c r="A1792" t="s">
        <v>6112</v>
      </c>
      <c r="B1792" t="s">
        <v>1092</v>
      </c>
      <c r="C1792" t="s">
        <v>818</v>
      </c>
      <c r="D1792" t="s">
        <v>2502</v>
      </c>
      <c r="E1792" t="s">
        <v>857</v>
      </c>
      <c r="F1792" t="s">
        <v>4180</v>
      </c>
      <c r="T1792" t="s">
        <v>1092</v>
      </c>
      <c r="U1792" t="s">
        <v>818</v>
      </c>
      <c r="V1792" t="s">
        <v>857</v>
      </c>
      <c r="W1792" t="s">
        <v>2502</v>
      </c>
    </row>
    <row r="1793" spans="1:23">
      <c r="A1793" t="s">
        <v>6113</v>
      </c>
      <c r="B1793" t="s">
        <v>1092</v>
      </c>
      <c r="C1793" t="s">
        <v>818</v>
      </c>
      <c r="D1793" t="s">
        <v>2502</v>
      </c>
      <c r="E1793" t="s">
        <v>18</v>
      </c>
      <c r="F1793" t="s">
        <v>2503</v>
      </c>
      <c r="T1793" t="s">
        <v>1092</v>
      </c>
      <c r="U1793" t="s">
        <v>818</v>
      </c>
      <c r="V1793" t="s">
        <v>18</v>
      </c>
      <c r="W1793" t="s">
        <v>2502</v>
      </c>
    </row>
    <row r="1794" spans="1:23">
      <c r="A1794" t="s">
        <v>6114</v>
      </c>
      <c r="B1794" t="s">
        <v>1092</v>
      </c>
      <c r="C1794" t="s">
        <v>818</v>
      </c>
      <c r="D1794" t="s">
        <v>2366</v>
      </c>
      <c r="E1794" t="s">
        <v>18</v>
      </c>
      <c r="F1794" t="s">
        <v>2501</v>
      </c>
      <c r="T1794" t="s">
        <v>1092</v>
      </c>
      <c r="U1794" t="s">
        <v>818</v>
      </c>
      <c r="V1794" t="s">
        <v>18</v>
      </c>
      <c r="W1794" t="s">
        <v>2366</v>
      </c>
    </row>
    <row r="1795" spans="1:23">
      <c r="A1795" t="s">
        <v>6116</v>
      </c>
      <c r="B1795" t="s">
        <v>1092</v>
      </c>
      <c r="C1795" t="s">
        <v>19</v>
      </c>
      <c r="D1795" t="s">
        <v>857</v>
      </c>
      <c r="E1795" t="s">
        <v>18</v>
      </c>
      <c r="F1795" t="s">
        <v>2507</v>
      </c>
      <c r="T1795" t="s">
        <v>1092</v>
      </c>
      <c r="U1795" t="s">
        <v>19</v>
      </c>
      <c r="V1795" t="s">
        <v>18</v>
      </c>
      <c r="W1795" t="s">
        <v>857</v>
      </c>
    </row>
    <row r="1796" spans="1:23">
      <c r="A1796" t="s">
        <v>6117</v>
      </c>
      <c r="B1796" t="s">
        <v>1092</v>
      </c>
      <c r="C1796" t="s">
        <v>19</v>
      </c>
      <c r="D1796" t="s">
        <v>2499</v>
      </c>
      <c r="E1796" t="s">
        <v>18</v>
      </c>
      <c r="F1796" t="s">
        <v>2505</v>
      </c>
      <c r="T1796" t="s">
        <v>1092</v>
      </c>
      <c r="U1796" t="s">
        <v>19</v>
      </c>
      <c r="V1796" t="s">
        <v>18</v>
      </c>
      <c r="W1796" t="s">
        <v>2499</v>
      </c>
    </row>
    <row r="1797" spans="1:23">
      <c r="A1797" t="s">
        <v>6117</v>
      </c>
      <c r="B1797" t="s">
        <v>1092</v>
      </c>
      <c r="C1797" t="s">
        <v>19</v>
      </c>
      <c r="D1797" t="s">
        <v>2499</v>
      </c>
      <c r="E1797" t="s">
        <v>18</v>
      </c>
      <c r="F1797" t="s">
        <v>2500</v>
      </c>
      <c r="T1797" t="s">
        <v>1092</v>
      </c>
      <c r="U1797" t="s">
        <v>19</v>
      </c>
      <c r="V1797" t="s">
        <v>18</v>
      </c>
      <c r="W1797" t="s">
        <v>2499</v>
      </c>
    </row>
    <row r="1798" spans="1:23">
      <c r="A1798" t="s">
        <v>6120</v>
      </c>
      <c r="B1798" t="s">
        <v>1092</v>
      </c>
      <c r="C1798" t="s">
        <v>816</v>
      </c>
      <c r="D1798" t="s">
        <v>857</v>
      </c>
      <c r="E1798" t="s">
        <v>857</v>
      </c>
      <c r="F1798" t="s">
        <v>3928</v>
      </c>
      <c r="T1798" t="s">
        <v>1092</v>
      </c>
      <c r="U1798" t="s">
        <v>816</v>
      </c>
      <c r="V1798" t="s">
        <v>857</v>
      </c>
      <c r="W1798" t="s">
        <v>857</v>
      </c>
    </row>
    <row r="1799" spans="1:23">
      <c r="A1799" t="s">
        <v>6120</v>
      </c>
      <c r="B1799" t="s">
        <v>1092</v>
      </c>
      <c r="C1799" t="s">
        <v>816</v>
      </c>
      <c r="D1799" t="s">
        <v>857</v>
      </c>
      <c r="E1799" t="s">
        <v>857</v>
      </c>
      <c r="F1799" t="s">
        <v>3914</v>
      </c>
      <c r="T1799" t="s">
        <v>1092</v>
      </c>
      <c r="U1799" t="s">
        <v>816</v>
      </c>
      <c r="V1799" t="s">
        <v>857</v>
      </c>
      <c r="W1799" t="s">
        <v>857</v>
      </c>
    </row>
    <row r="1800" spans="1:23">
      <c r="A1800" t="s">
        <v>6121</v>
      </c>
      <c r="B1800" t="s">
        <v>1092</v>
      </c>
      <c r="C1800" t="s">
        <v>816</v>
      </c>
      <c r="D1800" t="s">
        <v>857</v>
      </c>
      <c r="E1800" t="s">
        <v>18</v>
      </c>
      <c r="F1800" t="s">
        <v>2506</v>
      </c>
      <c r="T1800" t="s">
        <v>1092</v>
      </c>
      <c r="U1800" t="s">
        <v>816</v>
      </c>
      <c r="V1800" t="s">
        <v>18</v>
      </c>
      <c r="W1800" t="s">
        <v>857</v>
      </c>
    </row>
    <row r="1801" spans="1:23">
      <c r="A1801" t="s">
        <v>6122</v>
      </c>
      <c r="B1801" t="s">
        <v>1092</v>
      </c>
      <c r="C1801" t="s">
        <v>816</v>
      </c>
      <c r="D1801" t="s">
        <v>2497</v>
      </c>
      <c r="E1801" t="s">
        <v>18</v>
      </c>
      <c r="F1801" t="s">
        <v>2504</v>
      </c>
      <c r="T1801" t="s">
        <v>1092</v>
      </c>
      <c r="U1801" t="s">
        <v>816</v>
      </c>
      <c r="V1801" t="s">
        <v>18</v>
      </c>
      <c r="W1801" t="s">
        <v>2497</v>
      </c>
    </row>
    <row r="1802" spans="1:23">
      <c r="A1802" t="s">
        <v>6122</v>
      </c>
      <c r="B1802" t="s">
        <v>1092</v>
      </c>
      <c r="C1802" t="s">
        <v>816</v>
      </c>
      <c r="D1802" t="s">
        <v>2497</v>
      </c>
      <c r="E1802" t="s">
        <v>18</v>
      </c>
      <c r="F1802" t="s">
        <v>2498</v>
      </c>
      <c r="T1802" t="s">
        <v>1092</v>
      </c>
      <c r="U1802" t="s">
        <v>816</v>
      </c>
      <c r="V1802" t="s">
        <v>18</v>
      </c>
      <c r="W1802" t="s">
        <v>2497</v>
      </c>
    </row>
    <row r="1803" spans="1:23">
      <c r="A1803" t="s">
        <v>6123</v>
      </c>
      <c r="B1803" t="s">
        <v>1092</v>
      </c>
      <c r="C1803" t="s">
        <v>816</v>
      </c>
      <c r="D1803" t="s">
        <v>2495</v>
      </c>
      <c r="E1803" t="s">
        <v>857</v>
      </c>
      <c r="F1803" t="s">
        <v>4179</v>
      </c>
      <c r="T1803" t="s">
        <v>1092</v>
      </c>
      <c r="U1803" t="s">
        <v>816</v>
      </c>
      <c r="V1803" t="s">
        <v>857</v>
      </c>
      <c r="W1803" t="s">
        <v>2495</v>
      </c>
    </row>
    <row r="1804" spans="1:23">
      <c r="A1804" t="s">
        <v>6124</v>
      </c>
      <c r="B1804" t="s">
        <v>1092</v>
      </c>
      <c r="C1804" t="s">
        <v>816</v>
      </c>
      <c r="D1804" t="s">
        <v>2495</v>
      </c>
      <c r="E1804" t="s">
        <v>18</v>
      </c>
      <c r="F1804" t="s">
        <v>2496</v>
      </c>
      <c r="T1804" t="s">
        <v>1092</v>
      </c>
      <c r="U1804" t="s">
        <v>816</v>
      </c>
      <c r="V1804" t="s">
        <v>18</v>
      </c>
      <c r="W1804" t="s">
        <v>2495</v>
      </c>
    </row>
    <row r="1805" spans="1:23">
      <c r="A1805" t="s">
        <v>6126</v>
      </c>
      <c r="B1805" t="s">
        <v>3754</v>
      </c>
      <c r="C1805" t="s">
        <v>19</v>
      </c>
      <c r="D1805" t="s">
        <v>857</v>
      </c>
      <c r="E1805" t="s">
        <v>857</v>
      </c>
      <c r="F1805" t="s">
        <v>3756</v>
      </c>
      <c r="T1805" t="s">
        <v>3754</v>
      </c>
      <c r="U1805" t="s">
        <v>19</v>
      </c>
      <c r="V1805" t="s">
        <v>857</v>
      </c>
      <c r="W1805" t="s">
        <v>857</v>
      </c>
    </row>
    <row r="1806" spans="1:23">
      <c r="A1806" t="s">
        <v>6126</v>
      </c>
      <c r="B1806" t="s">
        <v>3754</v>
      </c>
      <c r="C1806" t="s">
        <v>19</v>
      </c>
      <c r="D1806" t="s">
        <v>857</v>
      </c>
      <c r="E1806" t="s">
        <v>857</v>
      </c>
      <c r="F1806" t="s">
        <v>3755</v>
      </c>
      <c r="T1806" t="s">
        <v>3754</v>
      </c>
      <c r="U1806" t="s">
        <v>19</v>
      </c>
      <c r="V1806" t="s">
        <v>857</v>
      </c>
      <c r="W1806" t="s">
        <v>857</v>
      </c>
    </row>
    <row r="1807" spans="1:23">
      <c r="A1807" t="s">
        <v>6128</v>
      </c>
      <c r="B1807" t="s">
        <v>1093</v>
      </c>
      <c r="C1807" t="s">
        <v>818</v>
      </c>
      <c r="D1807" t="s">
        <v>857</v>
      </c>
      <c r="E1807" t="s">
        <v>857</v>
      </c>
      <c r="F1807" t="s">
        <v>3807</v>
      </c>
      <c r="T1807" t="s">
        <v>1093</v>
      </c>
      <c r="U1807" t="s">
        <v>818</v>
      </c>
      <c r="V1807" t="s">
        <v>857</v>
      </c>
      <c r="W1807" t="s">
        <v>857</v>
      </c>
    </row>
    <row r="1808" spans="1:23">
      <c r="A1808" t="s">
        <v>6129</v>
      </c>
      <c r="B1808" t="s">
        <v>1093</v>
      </c>
      <c r="C1808" t="s">
        <v>818</v>
      </c>
      <c r="D1808" t="s">
        <v>857</v>
      </c>
      <c r="E1808" t="s">
        <v>18</v>
      </c>
      <c r="F1808" t="s">
        <v>2494</v>
      </c>
      <c r="T1808" t="s">
        <v>1093</v>
      </c>
      <c r="U1808" t="s">
        <v>818</v>
      </c>
      <c r="V1808" t="s">
        <v>18</v>
      </c>
      <c r="W1808" t="s">
        <v>857</v>
      </c>
    </row>
    <row r="1809" spans="1:23">
      <c r="A1809" t="s">
        <v>6129</v>
      </c>
      <c r="B1809" t="s">
        <v>1093</v>
      </c>
      <c r="C1809" t="s">
        <v>818</v>
      </c>
      <c r="D1809" t="s">
        <v>857</v>
      </c>
      <c r="E1809" t="s">
        <v>18</v>
      </c>
      <c r="F1809" t="s">
        <v>2491</v>
      </c>
      <c r="T1809" t="s">
        <v>1093</v>
      </c>
      <c r="U1809" t="s">
        <v>818</v>
      </c>
      <c r="V1809" t="s">
        <v>18</v>
      </c>
      <c r="W1809" t="s">
        <v>857</v>
      </c>
    </row>
    <row r="1810" spans="1:23">
      <c r="A1810" t="s">
        <v>6129</v>
      </c>
      <c r="B1810" t="s">
        <v>1093</v>
      </c>
      <c r="C1810" t="s">
        <v>818</v>
      </c>
      <c r="D1810" t="s">
        <v>857</v>
      </c>
      <c r="E1810" t="s">
        <v>18</v>
      </c>
      <c r="F1810" t="s">
        <v>2489</v>
      </c>
      <c r="T1810" t="s">
        <v>1093</v>
      </c>
      <c r="U1810" t="s">
        <v>818</v>
      </c>
      <c r="V1810" t="s">
        <v>18</v>
      </c>
      <c r="W1810" t="s">
        <v>857</v>
      </c>
    </row>
    <row r="1811" spans="1:23">
      <c r="A1811" t="s">
        <v>6131</v>
      </c>
      <c r="B1811" t="s">
        <v>1093</v>
      </c>
      <c r="C1811" t="s">
        <v>818</v>
      </c>
      <c r="D1811" t="s">
        <v>2487</v>
      </c>
      <c r="E1811" t="s">
        <v>18</v>
      </c>
      <c r="F1811" t="s">
        <v>2488</v>
      </c>
      <c r="T1811" t="s">
        <v>1093</v>
      </c>
      <c r="U1811" t="s">
        <v>818</v>
      </c>
      <c r="V1811" t="s">
        <v>18</v>
      </c>
      <c r="W1811" t="s">
        <v>2487</v>
      </c>
    </row>
    <row r="1812" spans="1:23">
      <c r="A1812" t="s">
        <v>6132</v>
      </c>
      <c r="B1812" t="s">
        <v>1093</v>
      </c>
      <c r="C1812" t="s">
        <v>818</v>
      </c>
      <c r="D1812" t="s">
        <v>2485</v>
      </c>
      <c r="E1812" t="s">
        <v>857</v>
      </c>
      <c r="F1812" t="s">
        <v>4191</v>
      </c>
      <c r="T1812" t="s">
        <v>1093</v>
      </c>
      <c r="U1812" t="s">
        <v>818</v>
      </c>
      <c r="V1812" t="s">
        <v>857</v>
      </c>
      <c r="W1812" t="s">
        <v>2485</v>
      </c>
    </row>
    <row r="1813" spans="1:23">
      <c r="A1813" t="s">
        <v>6133</v>
      </c>
      <c r="B1813" t="s">
        <v>1093</v>
      </c>
      <c r="C1813" t="s">
        <v>818</v>
      </c>
      <c r="D1813" t="s">
        <v>2485</v>
      </c>
      <c r="E1813" t="s">
        <v>18</v>
      </c>
      <c r="F1813" t="s">
        <v>2486</v>
      </c>
      <c r="T1813" t="s">
        <v>1093</v>
      </c>
      <c r="U1813" t="s">
        <v>818</v>
      </c>
      <c r="V1813" t="s">
        <v>18</v>
      </c>
      <c r="W1813" t="s">
        <v>2485</v>
      </c>
    </row>
    <row r="1814" spans="1:23">
      <c r="A1814" t="s">
        <v>6134</v>
      </c>
      <c r="B1814" t="s">
        <v>1093</v>
      </c>
      <c r="C1814" t="s">
        <v>19</v>
      </c>
      <c r="D1814" t="s">
        <v>857</v>
      </c>
      <c r="E1814" t="s">
        <v>857</v>
      </c>
      <c r="F1814" t="s">
        <v>4190</v>
      </c>
      <c r="T1814" t="s">
        <v>1093</v>
      </c>
      <c r="U1814" t="s">
        <v>19</v>
      </c>
      <c r="V1814" t="s">
        <v>857</v>
      </c>
      <c r="W1814" t="s">
        <v>857</v>
      </c>
    </row>
    <row r="1815" spans="1:23">
      <c r="A1815" t="s">
        <v>6135</v>
      </c>
      <c r="B1815" t="s">
        <v>1093</v>
      </c>
      <c r="C1815" t="s">
        <v>19</v>
      </c>
      <c r="D1815" t="s">
        <v>857</v>
      </c>
      <c r="E1815" t="s">
        <v>18</v>
      </c>
      <c r="F1815" t="s">
        <v>2492</v>
      </c>
      <c r="T1815" t="s">
        <v>1093</v>
      </c>
      <c r="U1815" t="s">
        <v>19</v>
      </c>
      <c r="V1815" t="s">
        <v>18</v>
      </c>
      <c r="W1815" t="s">
        <v>857</v>
      </c>
    </row>
    <row r="1816" spans="1:23">
      <c r="A1816" t="s">
        <v>6136</v>
      </c>
      <c r="B1816" t="s">
        <v>1093</v>
      </c>
      <c r="C1816" t="s">
        <v>19</v>
      </c>
      <c r="D1816" t="s">
        <v>2478</v>
      </c>
      <c r="E1816" t="s">
        <v>18</v>
      </c>
      <c r="F1816" t="s">
        <v>2484</v>
      </c>
      <c r="T1816" t="s">
        <v>1093</v>
      </c>
      <c r="U1816" t="s">
        <v>19</v>
      </c>
      <c r="V1816" t="s">
        <v>18</v>
      </c>
      <c r="W1816" t="s">
        <v>2478</v>
      </c>
    </row>
    <row r="1817" spans="1:23">
      <c r="A1817" t="s">
        <v>6136</v>
      </c>
      <c r="B1817" t="s">
        <v>1093</v>
      </c>
      <c r="C1817" t="s">
        <v>19</v>
      </c>
      <c r="D1817" t="s">
        <v>2478</v>
      </c>
      <c r="E1817" t="s">
        <v>18</v>
      </c>
      <c r="F1817" t="s">
        <v>2479</v>
      </c>
      <c r="T1817" t="s">
        <v>1093</v>
      </c>
      <c r="U1817" t="s">
        <v>19</v>
      </c>
      <c r="V1817" t="s">
        <v>18</v>
      </c>
      <c r="W1817" t="s">
        <v>2478</v>
      </c>
    </row>
    <row r="1818" spans="1:23">
      <c r="A1818" t="s">
        <v>6138</v>
      </c>
      <c r="B1818" t="s">
        <v>1093</v>
      </c>
      <c r="C1818" t="s">
        <v>2416</v>
      </c>
      <c r="D1818" t="s">
        <v>2480</v>
      </c>
      <c r="E1818" t="s">
        <v>18</v>
      </c>
      <c r="F1818" t="s">
        <v>2481</v>
      </c>
      <c r="T1818" t="s">
        <v>1093</v>
      </c>
      <c r="U1818" t="s">
        <v>2416</v>
      </c>
      <c r="V1818" t="s">
        <v>18</v>
      </c>
      <c r="W1818" t="s">
        <v>2480</v>
      </c>
    </row>
    <row r="1819" spans="1:23">
      <c r="A1819" t="s">
        <v>6141</v>
      </c>
      <c r="B1819" t="s">
        <v>1093</v>
      </c>
      <c r="C1819" t="s">
        <v>816</v>
      </c>
      <c r="D1819" t="s">
        <v>857</v>
      </c>
      <c r="E1819" t="s">
        <v>857</v>
      </c>
      <c r="F1819" t="s">
        <v>3926</v>
      </c>
      <c r="T1819" t="s">
        <v>1093</v>
      </c>
      <c r="U1819" t="s">
        <v>816</v>
      </c>
      <c r="V1819" t="s">
        <v>857</v>
      </c>
      <c r="W1819" t="s">
        <v>857</v>
      </c>
    </row>
    <row r="1820" spans="1:23">
      <c r="A1820" t="s">
        <v>6141</v>
      </c>
      <c r="B1820" t="s">
        <v>1093</v>
      </c>
      <c r="C1820" t="s">
        <v>816</v>
      </c>
      <c r="D1820" t="s">
        <v>857</v>
      </c>
      <c r="E1820" t="s">
        <v>857</v>
      </c>
      <c r="F1820" t="s">
        <v>3806</v>
      </c>
      <c r="T1820" t="s">
        <v>1093</v>
      </c>
      <c r="U1820" t="s">
        <v>816</v>
      </c>
      <c r="V1820" t="s">
        <v>857</v>
      </c>
      <c r="W1820" t="s">
        <v>857</v>
      </c>
    </row>
    <row r="1821" spans="1:23">
      <c r="A1821" t="s">
        <v>6142</v>
      </c>
      <c r="B1821" t="s">
        <v>1093</v>
      </c>
      <c r="C1821" t="s">
        <v>816</v>
      </c>
      <c r="D1821" t="s">
        <v>857</v>
      </c>
      <c r="E1821" t="s">
        <v>18</v>
      </c>
      <c r="F1821" t="s">
        <v>2493</v>
      </c>
      <c r="T1821" t="s">
        <v>1093</v>
      </c>
      <c r="U1821" t="s">
        <v>816</v>
      </c>
      <c r="V1821" t="s">
        <v>18</v>
      </c>
      <c r="W1821" t="s">
        <v>857</v>
      </c>
    </row>
    <row r="1822" spans="1:23">
      <c r="A1822" t="s">
        <v>6142</v>
      </c>
      <c r="B1822" t="s">
        <v>1093</v>
      </c>
      <c r="C1822" t="s">
        <v>816</v>
      </c>
      <c r="D1822" t="s">
        <v>857</v>
      </c>
      <c r="E1822" t="s">
        <v>18</v>
      </c>
      <c r="F1822" t="s">
        <v>2490</v>
      </c>
      <c r="T1822" t="s">
        <v>1093</v>
      </c>
      <c r="U1822" t="s">
        <v>816</v>
      </c>
      <c r="V1822" t="s">
        <v>18</v>
      </c>
      <c r="W1822" t="s">
        <v>857</v>
      </c>
    </row>
    <row r="1823" spans="1:23">
      <c r="A1823" t="s">
        <v>6143</v>
      </c>
      <c r="B1823" t="s">
        <v>1093</v>
      </c>
      <c r="C1823" t="s">
        <v>816</v>
      </c>
      <c r="D1823" t="s">
        <v>2476</v>
      </c>
      <c r="E1823" t="s">
        <v>18</v>
      </c>
      <c r="F1823" t="s">
        <v>2477</v>
      </c>
      <c r="T1823" t="s">
        <v>1093</v>
      </c>
      <c r="U1823" t="s">
        <v>816</v>
      </c>
      <c r="V1823" t="s">
        <v>18</v>
      </c>
      <c r="W1823" t="s">
        <v>2476</v>
      </c>
    </row>
    <row r="1824" spans="1:23">
      <c r="A1824" t="s">
        <v>6145</v>
      </c>
      <c r="B1824" t="s">
        <v>1093</v>
      </c>
      <c r="C1824" t="s">
        <v>816</v>
      </c>
      <c r="D1824" t="s">
        <v>2482</v>
      </c>
      <c r="E1824" t="s">
        <v>857</v>
      </c>
      <c r="F1824" t="s">
        <v>4189</v>
      </c>
      <c r="T1824" t="s">
        <v>1093</v>
      </c>
      <c r="U1824" t="s">
        <v>816</v>
      </c>
      <c r="V1824" t="s">
        <v>857</v>
      </c>
      <c r="W1824" t="s">
        <v>2482</v>
      </c>
    </row>
    <row r="1825" spans="1:23">
      <c r="A1825" t="s">
        <v>6146</v>
      </c>
      <c r="B1825" t="s">
        <v>1093</v>
      </c>
      <c r="C1825" t="s">
        <v>816</v>
      </c>
      <c r="D1825" t="s">
        <v>2482</v>
      </c>
      <c r="E1825" t="s">
        <v>18</v>
      </c>
      <c r="F1825" t="s">
        <v>2483</v>
      </c>
      <c r="T1825" t="s">
        <v>1093</v>
      </c>
      <c r="U1825" t="s">
        <v>816</v>
      </c>
      <c r="V1825" t="s">
        <v>18</v>
      </c>
      <c r="W1825" t="s">
        <v>2482</v>
      </c>
    </row>
    <row r="1826" spans="1:23">
      <c r="A1826" t="s">
        <v>6147</v>
      </c>
      <c r="B1826" t="s">
        <v>2912</v>
      </c>
      <c r="C1826" t="s">
        <v>818</v>
      </c>
      <c r="D1826" t="s">
        <v>857</v>
      </c>
      <c r="E1826" t="s">
        <v>18</v>
      </c>
      <c r="F1826" t="s">
        <v>3333</v>
      </c>
      <c r="T1826" t="s">
        <v>2912</v>
      </c>
      <c r="U1826" t="s">
        <v>818</v>
      </c>
      <c r="V1826" t="s">
        <v>18</v>
      </c>
      <c r="W1826" t="s">
        <v>857</v>
      </c>
    </row>
    <row r="1827" spans="1:23">
      <c r="A1827" t="s">
        <v>6148</v>
      </c>
      <c r="B1827" t="s">
        <v>2912</v>
      </c>
      <c r="C1827" t="s">
        <v>818</v>
      </c>
      <c r="D1827" t="s">
        <v>2916</v>
      </c>
      <c r="E1827" t="s">
        <v>53</v>
      </c>
      <c r="F1827" t="s">
        <v>2917</v>
      </c>
      <c r="T1827" t="s">
        <v>2912</v>
      </c>
      <c r="U1827" t="s">
        <v>818</v>
      </c>
      <c r="V1827" t="s">
        <v>53</v>
      </c>
      <c r="W1827" t="s">
        <v>2916</v>
      </c>
    </row>
    <row r="1828" spans="1:23">
      <c r="A1828" t="s">
        <v>6150</v>
      </c>
      <c r="B1828" t="s">
        <v>2912</v>
      </c>
      <c r="C1828" t="s">
        <v>818</v>
      </c>
      <c r="D1828" t="s">
        <v>2914</v>
      </c>
      <c r="E1828" t="s">
        <v>53</v>
      </c>
      <c r="F1828" t="s">
        <v>2915</v>
      </c>
      <c r="T1828" t="s">
        <v>2912</v>
      </c>
      <c r="U1828" t="s">
        <v>818</v>
      </c>
      <c r="V1828" t="s">
        <v>53</v>
      </c>
      <c r="W1828" t="s">
        <v>2914</v>
      </c>
    </row>
    <row r="1829" spans="1:23">
      <c r="A1829" t="s">
        <v>6151</v>
      </c>
      <c r="B1829" t="s">
        <v>2912</v>
      </c>
      <c r="C1829" t="s">
        <v>818</v>
      </c>
      <c r="D1829" t="s">
        <v>2911</v>
      </c>
      <c r="E1829" t="s">
        <v>53</v>
      </c>
      <c r="F1829" t="s">
        <v>2913</v>
      </c>
      <c r="T1829" t="s">
        <v>2912</v>
      </c>
      <c r="U1829" t="s">
        <v>818</v>
      </c>
      <c r="V1829" t="s">
        <v>53</v>
      </c>
      <c r="W1829" t="s">
        <v>2911</v>
      </c>
    </row>
    <row r="1830" spans="1:23">
      <c r="A1830" t="s">
        <v>6580</v>
      </c>
      <c r="B1830" t="s">
        <v>2912</v>
      </c>
      <c r="C1830" t="s">
        <v>2384</v>
      </c>
      <c r="D1830" t="s">
        <v>2793</v>
      </c>
      <c r="E1830" t="s">
        <v>53</v>
      </c>
      <c r="F1830" t="s">
        <v>2918</v>
      </c>
      <c r="T1830" t="s">
        <v>2912</v>
      </c>
      <c r="U1830" t="s">
        <v>2384</v>
      </c>
      <c r="V1830" t="s">
        <v>53</v>
      </c>
      <c r="W1830" t="s">
        <v>2793</v>
      </c>
    </row>
    <row r="1831" spans="1:23">
      <c r="A1831" t="s">
        <v>6153</v>
      </c>
      <c r="B1831" t="s">
        <v>2864</v>
      </c>
      <c r="C1831" t="s">
        <v>2384</v>
      </c>
      <c r="D1831" t="s">
        <v>2863</v>
      </c>
      <c r="E1831" t="s">
        <v>18</v>
      </c>
      <c r="F1831" t="s">
        <v>2865</v>
      </c>
      <c r="T1831" t="s">
        <v>2864</v>
      </c>
      <c r="U1831" t="s">
        <v>2384</v>
      </c>
      <c r="V1831" t="s">
        <v>18</v>
      </c>
      <c r="W1831" t="s">
        <v>2863</v>
      </c>
    </row>
    <row r="1832" spans="1:23">
      <c r="A1832" t="s">
        <v>6155</v>
      </c>
      <c r="B1832" t="s">
        <v>2864</v>
      </c>
      <c r="C1832" t="s">
        <v>816</v>
      </c>
      <c r="D1832" t="s">
        <v>2863</v>
      </c>
      <c r="E1832" t="s">
        <v>18</v>
      </c>
      <c r="F1832" t="s">
        <v>2866</v>
      </c>
      <c r="T1832" t="s">
        <v>2864</v>
      </c>
      <c r="U1832" t="s">
        <v>816</v>
      </c>
      <c r="V1832" t="s">
        <v>18</v>
      </c>
      <c r="W1832" t="s">
        <v>2863</v>
      </c>
    </row>
    <row r="1833" spans="1:23">
      <c r="A1833" t="s">
        <v>6157</v>
      </c>
      <c r="B1833" t="s">
        <v>2875</v>
      </c>
      <c r="C1833" t="s">
        <v>818</v>
      </c>
      <c r="D1833" t="s">
        <v>857</v>
      </c>
      <c r="E1833" t="s">
        <v>18</v>
      </c>
      <c r="F1833" t="s">
        <v>2880</v>
      </c>
      <c r="T1833" t="s">
        <v>2875</v>
      </c>
      <c r="U1833" t="s">
        <v>818</v>
      </c>
      <c r="V1833" t="s">
        <v>18</v>
      </c>
      <c r="W1833" t="s">
        <v>857</v>
      </c>
    </row>
    <row r="1834" spans="1:23">
      <c r="A1834" t="s">
        <v>6158</v>
      </c>
      <c r="B1834" t="s">
        <v>2875</v>
      </c>
      <c r="C1834" t="s">
        <v>818</v>
      </c>
      <c r="D1834" t="s">
        <v>3289</v>
      </c>
      <c r="E1834" t="s">
        <v>18</v>
      </c>
      <c r="F1834" t="s">
        <v>3290</v>
      </c>
      <c r="T1834" t="s">
        <v>2875</v>
      </c>
      <c r="U1834" t="s">
        <v>818</v>
      </c>
      <c r="V1834" t="s">
        <v>18</v>
      </c>
      <c r="W1834" t="s">
        <v>3289</v>
      </c>
    </row>
    <row r="1835" spans="1:23">
      <c r="A1835" t="s">
        <v>6159</v>
      </c>
      <c r="B1835" t="s">
        <v>2875</v>
      </c>
      <c r="C1835" t="s">
        <v>818</v>
      </c>
      <c r="D1835" t="s">
        <v>2870</v>
      </c>
      <c r="E1835" t="s">
        <v>18</v>
      </c>
      <c r="F1835" t="s">
        <v>2968</v>
      </c>
      <c r="T1835" t="s">
        <v>2875</v>
      </c>
      <c r="U1835" t="s">
        <v>818</v>
      </c>
      <c r="V1835" t="s">
        <v>18</v>
      </c>
      <c r="W1835" t="s">
        <v>2870</v>
      </c>
    </row>
    <row r="1836" spans="1:23">
      <c r="A1836" t="s">
        <v>6161</v>
      </c>
      <c r="B1836" t="s">
        <v>2875</v>
      </c>
      <c r="C1836" t="s">
        <v>818</v>
      </c>
      <c r="D1836" t="s">
        <v>2965</v>
      </c>
      <c r="E1836" t="s">
        <v>53</v>
      </c>
      <c r="F1836" t="s">
        <v>2966</v>
      </c>
      <c r="T1836" t="s">
        <v>2875</v>
      </c>
      <c r="U1836" t="s">
        <v>818</v>
      </c>
      <c r="V1836" t="s">
        <v>53</v>
      </c>
      <c r="W1836" t="s">
        <v>2965</v>
      </c>
    </row>
    <row r="1837" spans="1:23">
      <c r="A1837" t="s">
        <v>6162</v>
      </c>
      <c r="B1837" t="s">
        <v>2875</v>
      </c>
      <c r="C1837" t="s">
        <v>818</v>
      </c>
      <c r="D1837" t="s">
        <v>2972</v>
      </c>
      <c r="E1837" t="s">
        <v>53</v>
      </c>
      <c r="F1837" t="s">
        <v>2973</v>
      </c>
      <c r="T1837" t="s">
        <v>2875</v>
      </c>
      <c r="U1837" t="s">
        <v>818</v>
      </c>
      <c r="V1837" t="s">
        <v>53</v>
      </c>
      <c r="W1837" t="s">
        <v>2972</v>
      </c>
    </row>
    <row r="1838" spans="1:23">
      <c r="A1838" t="s">
        <v>6163</v>
      </c>
      <c r="B1838" t="s">
        <v>2875</v>
      </c>
      <c r="C1838" t="s">
        <v>818</v>
      </c>
      <c r="D1838" t="s">
        <v>2961</v>
      </c>
      <c r="E1838" t="s">
        <v>18</v>
      </c>
      <c r="F1838" t="s">
        <v>2962</v>
      </c>
      <c r="T1838" t="s">
        <v>2875</v>
      </c>
      <c r="U1838" t="s">
        <v>818</v>
      </c>
      <c r="V1838" t="s">
        <v>18</v>
      </c>
      <c r="W1838" t="s">
        <v>2961</v>
      </c>
    </row>
    <row r="1839" spans="1:23">
      <c r="A1839" t="s">
        <v>6164</v>
      </c>
      <c r="B1839" t="s">
        <v>2875</v>
      </c>
      <c r="C1839" t="s">
        <v>818</v>
      </c>
      <c r="D1839" t="s">
        <v>2963</v>
      </c>
      <c r="E1839" t="s">
        <v>53</v>
      </c>
      <c r="F1839" t="s">
        <v>2964</v>
      </c>
      <c r="T1839" t="s">
        <v>2875</v>
      </c>
      <c r="U1839" t="s">
        <v>818</v>
      </c>
      <c r="V1839" t="s">
        <v>53</v>
      </c>
      <c r="W1839" t="s">
        <v>2963</v>
      </c>
    </row>
    <row r="1840" spans="1:23">
      <c r="A1840" t="s">
        <v>6237</v>
      </c>
      <c r="B1840" t="s">
        <v>2875</v>
      </c>
      <c r="C1840" t="s">
        <v>818</v>
      </c>
      <c r="D1840" t="s">
        <v>2518</v>
      </c>
      <c r="E1840" t="s">
        <v>18</v>
      </c>
      <c r="F1840" t="s">
        <v>2967</v>
      </c>
      <c r="T1840" t="s">
        <v>2875</v>
      </c>
      <c r="U1840" t="s">
        <v>818</v>
      </c>
      <c r="V1840" t="s">
        <v>18</v>
      </c>
      <c r="W1840" t="s">
        <v>2518</v>
      </c>
    </row>
    <row r="1841" spans="1:23">
      <c r="A1841" t="s">
        <v>6165</v>
      </c>
      <c r="B1841" t="s">
        <v>2875</v>
      </c>
      <c r="C1841" t="s">
        <v>818</v>
      </c>
      <c r="D1841" t="s">
        <v>3266</v>
      </c>
      <c r="E1841" t="s">
        <v>18</v>
      </c>
      <c r="F1841" t="s">
        <v>3267</v>
      </c>
      <c r="T1841" t="s">
        <v>2875</v>
      </c>
      <c r="U1841" t="s">
        <v>818</v>
      </c>
      <c r="V1841" t="s">
        <v>18</v>
      </c>
      <c r="W1841" t="s">
        <v>3266</v>
      </c>
    </row>
    <row r="1842" spans="1:23">
      <c r="A1842" t="s">
        <v>6166</v>
      </c>
      <c r="B1842" t="s">
        <v>2875</v>
      </c>
      <c r="C1842" t="s">
        <v>818</v>
      </c>
      <c r="D1842" t="s">
        <v>2559</v>
      </c>
      <c r="E1842" t="s">
        <v>18</v>
      </c>
      <c r="F1842" t="s">
        <v>2876</v>
      </c>
      <c r="T1842" t="s">
        <v>2875</v>
      </c>
      <c r="U1842" t="s">
        <v>818</v>
      </c>
      <c r="V1842" t="s">
        <v>18</v>
      </c>
      <c r="W1842" t="s">
        <v>2559</v>
      </c>
    </row>
    <row r="1843" spans="1:23">
      <c r="A1843" t="s">
        <v>6238</v>
      </c>
      <c r="B1843" t="s">
        <v>2875</v>
      </c>
      <c r="C1843" t="s">
        <v>2384</v>
      </c>
      <c r="D1843" t="s">
        <v>2518</v>
      </c>
      <c r="E1843" t="s">
        <v>18</v>
      </c>
      <c r="F1843" t="s">
        <v>2969</v>
      </c>
      <c r="T1843" t="s">
        <v>2875</v>
      </c>
      <c r="U1843" t="s">
        <v>2384</v>
      </c>
      <c r="V1843" t="s">
        <v>18</v>
      </c>
      <c r="W1843" t="s">
        <v>2518</v>
      </c>
    </row>
    <row r="1844" spans="1:23">
      <c r="A1844" t="s">
        <v>6169</v>
      </c>
      <c r="B1844" t="s">
        <v>2875</v>
      </c>
      <c r="C1844" t="s">
        <v>816</v>
      </c>
      <c r="D1844" t="s">
        <v>2959</v>
      </c>
      <c r="E1844" t="s">
        <v>18</v>
      </c>
      <c r="F1844" t="s">
        <v>2960</v>
      </c>
      <c r="T1844" t="s">
        <v>2875</v>
      </c>
      <c r="U1844" t="s">
        <v>816</v>
      </c>
      <c r="V1844" t="s">
        <v>18</v>
      </c>
      <c r="W1844" t="s">
        <v>2959</v>
      </c>
    </row>
    <row r="1845" spans="1:23">
      <c r="A1845" t="s">
        <v>6171</v>
      </c>
      <c r="B1845" t="s">
        <v>1094</v>
      </c>
      <c r="C1845" t="s">
        <v>818</v>
      </c>
      <c r="D1845" t="s">
        <v>857</v>
      </c>
      <c r="E1845" t="s">
        <v>18</v>
      </c>
      <c r="F1845" t="s">
        <v>2474</v>
      </c>
      <c r="T1845" t="s">
        <v>4638</v>
      </c>
      <c r="U1845" t="s">
        <v>818</v>
      </c>
      <c r="V1845" t="s">
        <v>857</v>
      </c>
      <c r="W1845" t="s">
        <v>2870</v>
      </c>
    </row>
    <row r="1846" spans="1:23">
      <c r="A1846" t="s">
        <v>6171</v>
      </c>
      <c r="B1846" t="s">
        <v>1094</v>
      </c>
      <c r="C1846" t="s">
        <v>818</v>
      </c>
      <c r="D1846" t="s">
        <v>857</v>
      </c>
      <c r="E1846" t="s">
        <v>18</v>
      </c>
      <c r="F1846" t="s">
        <v>2473</v>
      </c>
      <c r="T1846" t="s">
        <v>4638</v>
      </c>
      <c r="U1846" t="s">
        <v>818</v>
      </c>
      <c r="V1846" t="s">
        <v>857</v>
      </c>
      <c r="W1846" t="s">
        <v>2905</v>
      </c>
    </row>
    <row r="1847" spans="1:23">
      <c r="A1847" t="s">
        <v>6171</v>
      </c>
      <c r="B1847" t="s">
        <v>1094</v>
      </c>
      <c r="C1847" t="s">
        <v>818</v>
      </c>
      <c r="D1847" t="s">
        <v>857</v>
      </c>
      <c r="E1847" t="s">
        <v>18</v>
      </c>
      <c r="F1847" t="s">
        <v>2472</v>
      </c>
      <c r="T1847" t="s">
        <v>4638</v>
      </c>
      <c r="U1847" t="s">
        <v>818</v>
      </c>
      <c r="V1847" t="s">
        <v>857</v>
      </c>
      <c r="W1847" t="s">
        <v>2900</v>
      </c>
    </row>
    <row r="1848" spans="1:23">
      <c r="A1848" t="s">
        <v>6172</v>
      </c>
      <c r="B1848" t="s">
        <v>1094</v>
      </c>
      <c r="C1848" t="s">
        <v>818</v>
      </c>
      <c r="D1848" t="s">
        <v>2464</v>
      </c>
      <c r="E1848" t="s">
        <v>18</v>
      </c>
      <c r="F1848" t="s">
        <v>2465</v>
      </c>
      <c r="T1848" t="s">
        <v>4638</v>
      </c>
      <c r="U1848" t="s">
        <v>818</v>
      </c>
      <c r="V1848" t="s">
        <v>857</v>
      </c>
      <c r="W1848" t="s">
        <v>2518</v>
      </c>
    </row>
    <row r="1849" spans="1:23">
      <c r="A1849" t="s">
        <v>6174</v>
      </c>
      <c r="B1849" t="s">
        <v>1094</v>
      </c>
      <c r="C1849" t="s">
        <v>19</v>
      </c>
      <c r="D1849" t="s">
        <v>857</v>
      </c>
      <c r="E1849" t="s">
        <v>18</v>
      </c>
      <c r="F1849" t="s">
        <v>2475</v>
      </c>
      <c r="T1849" t="s">
        <v>4638</v>
      </c>
      <c r="U1849" t="s">
        <v>19</v>
      </c>
      <c r="V1849" t="s">
        <v>857</v>
      </c>
      <c r="W1849" t="s">
        <v>857</v>
      </c>
    </row>
    <row r="1850" spans="1:23">
      <c r="A1850" t="s">
        <v>6175</v>
      </c>
      <c r="B1850" t="s">
        <v>1094</v>
      </c>
      <c r="C1850" t="s">
        <v>19</v>
      </c>
      <c r="D1850" t="s">
        <v>2466</v>
      </c>
      <c r="E1850" t="s">
        <v>18</v>
      </c>
      <c r="F1850" t="s">
        <v>2470</v>
      </c>
      <c r="T1850" t="s">
        <v>4638</v>
      </c>
      <c r="U1850" t="s">
        <v>19</v>
      </c>
      <c r="V1850" t="s">
        <v>857</v>
      </c>
      <c r="W1850" t="s">
        <v>857</v>
      </c>
    </row>
    <row r="1851" spans="1:23">
      <c r="A1851" t="s">
        <v>6175</v>
      </c>
      <c r="B1851" t="s">
        <v>1094</v>
      </c>
      <c r="C1851" t="s">
        <v>19</v>
      </c>
      <c r="D1851" t="s">
        <v>2466</v>
      </c>
      <c r="E1851" t="s">
        <v>18</v>
      </c>
      <c r="F1851" t="s">
        <v>2467</v>
      </c>
      <c r="T1851" t="s">
        <v>4638</v>
      </c>
      <c r="U1851" t="s">
        <v>19</v>
      </c>
      <c r="V1851" t="s">
        <v>857</v>
      </c>
      <c r="W1851" t="s">
        <v>857</v>
      </c>
    </row>
    <row r="1852" spans="1:23">
      <c r="A1852" t="s">
        <v>6177</v>
      </c>
      <c r="B1852" t="s">
        <v>1094</v>
      </c>
      <c r="C1852" t="s">
        <v>816</v>
      </c>
      <c r="D1852" t="s">
        <v>857</v>
      </c>
      <c r="E1852" t="s">
        <v>18</v>
      </c>
      <c r="F1852" t="s">
        <v>2471</v>
      </c>
      <c r="T1852" t="s">
        <v>4638</v>
      </c>
      <c r="U1852" t="s">
        <v>19</v>
      </c>
      <c r="V1852" t="s">
        <v>857</v>
      </c>
      <c r="W1852" t="s">
        <v>857</v>
      </c>
    </row>
    <row r="1853" spans="1:23">
      <c r="A1853" t="s">
        <v>6178</v>
      </c>
      <c r="B1853" t="s">
        <v>1094</v>
      </c>
      <c r="C1853" t="s">
        <v>816</v>
      </c>
      <c r="D1853" t="s">
        <v>2468</v>
      </c>
      <c r="E1853" t="s">
        <v>18</v>
      </c>
      <c r="F1853" t="s">
        <v>2469</v>
      </c>
      <c r="T1853" t="s">
        <v>4638</v>
      </c>
      <c r="U1853" t="s">
        <v>19</v>
      </c>
      <c r="V1853" t="s">
        <v>857</v>
      </c>
      <c r="W1853" t="s">
        <v>4037</v>
      </c>
    </row>
    <row r="1854" spans="1:23">
      <c r="A1854" t="s">
        <v>6180</v>
      </c>
      <c r="B1854" t="s">
        <v>1095</v>
      </c>
      <c r="C1854" t="s">
        <v>818</v>
      </c>
      <c r="D1854" t="s">
        <v>857</v>
      </c>
      <c r="E1854" t="s">
        <v>857</v>
      </c>
      <c r="F1854" t="s">
        <v>4113</v>
      </c>
      <c r="T1854" t="s">
        <v>4638</v>
      </c>
      <c r="U1854" t="s">
        <v>19</v>
      </c>
      <c r="V1854" t="s">
        <v>857</v>
      </c>
      <c r="W1854" t="s">
        <v>2929</v>
      </c>
    </row>
    <row r="1855" spans="1:23">
      <c r="A1855" t="s">
        <v>6181</v>
      </c>
      <c r="B1855" t="s">
        <v>1095</v>
      </c>
      <c r="C1855" t="s">
        <v>818</v>
      </c>
      <c r="D1855" t="s">
        <v>857</v>
      </c>
      <c r="E1855" t="s">
        <v>18</v>
      </c>
      <c r="F1855" t="s">
        <v>2414</v>
      </c>
      <c r="T1855" t="s">
        <v>4638</v>
      </c>
      <c r="U1855" t="s">
        <v>19</v>
      </c>
      <c r="V1855" t="s">
        <v>857</v>
      </c>
      <c r="W1855" t="s">
        <v>2931</v>
      </c>
    </row>
    <row r="1856" spans="1:23">
      <c r="A1856" t="s">
        <v>6181</v>
      </c>
      <c r="B1856" t="s">
        <v>1095</v>
      </c>
      <c r="C1856" t="s">
        <v>818</v>
      </c>
      <c r="D1856" t="s">
        <v>857</v>
      </c>
      <c r="E1856" t="s">
        <v>18</v>
      </c>
      <c r="F1856" t="s">
        <v>2413</v>
      </c>
      <c r="T1856" t="s">
        <v>4638</v>
      </c>
      <c r="U1856" t="s">
        <v>19</v>
      </c>
      <c r="V1856" t="s">
        <v>857</v>
      </c>
      <c r="W1856" t="s">
        <v>2867</v>
      </c>
    </row>
    <row r="1857" spans="1:23">
      <c r="A1857" t="s">
        <v>6181</v>
      </c>
      <c r="B1857" t="s">
        <v>1095</v>
      </c>
      <c r="C1857" t="s">
        <v>818</v>
      </c>
      <c r="D1857" t="s">
        <v>857</v>
      </c>
      <c r="E1857" t="s">
        <v>18</v>
      </c>
      <c r="F1857" t="s">
        <v>2412</v>
      </c>
      <c r="T1857" t="s">
        <v>4638</v>
      </c>
      <c r="U1857" t="s">
        <v>2384</v>
      </c>
      <c r="V1857" t="s">
        <v>857</v>
      </c>
      <c r="W1857" t="s">
        <v>857</v>
      </c>
    </row>
    <row r="1858" spans="1:23">
      <c r="A1858" t="s">
        <v>6181</v>
      </c>
      <c r="B1858" t="s">
        <v>1095</v>
      </c>
      <c r="C1858" t="s">
        <v>818</v>
      </c>
      <c r="D1858" t="s">
        <v>857</v>
      </c>
      <c r="E1858" t="s">
        <v>18</v>
      </c>
      <c r="F1858" t="s">
        <v>2409</v>
      </c>
      <c r="T1858" t="s">
        <v>4638</v>
      </c>
      <c r="U1858" t="s">
        <v>2384</v>
      </c>
      <c r="V1858" t="s">
        <v>857</v>
      </c>
      <c r="W1858" t="s">
        <v>2863</v>
      </c>
    </row>
    <row r="1859" spans="1:23">
      <c r="A1859" t="s">
        <v>6181</v>
      </c>
      <c r="B1859" t="s">
        <v>1095</v>
      </c>
      <c r="C1859" t="s">
        <v>818</v>
      </c>
      <c r="D1859" t="s">
        <v>857</v>
      </c>
      <c r="E1859" t="s">
        <v>18</v>
      </c>
      <c r="F1859" t="s">
        <v>2406</v>
      </c>
      <c r="T1859" t="s">
        <v>4638</v>
      </c>
      <c r="U1859" t="s">
        <v>2384</v>
      </c>
      <c r="V1859" t="s">
        <v>857</v>
      </c>
      <c r="W1859" t="s">
        <v>2887</v>
      </c>
    </row>
    <row r="1860" spans="1:23">
      <c r="A1860" t="s">
        <v>6181</v>
      </c>
      <c r="B1860" t="s">
        <v>1095</v>
      </c>
      <c r="C1860" t="s">
        <v>818</v>
      </c>
      <c r="D1860" t="s">
        <v>857</v>
      </c>
      <c r="E1860" t="s">
        <v>18</v>
      </c>
      <c r="F1860" t="s">
        <v>2405</v>
      </c>
      <c r="T1860" t="s">
        <v>4638</v>
      </c>
      <c r="U1860" t="s">
        <v>816</v>
      </c>
      <c r="V1860" t="s">
        <v>857</v>
      </c>
      <c r="W1860" t="s">
        <v>2959</v>
      </c>
    </row>
    <row r="1861" spans="1:23">
      <c r="A1861" t="s">
        <v>6181</v>
      </c>
      <c r="B1861" t="s">
        <v>1095</v>
      </c>
      <c r="C1861" t="s">
        <v>818</v>
      </c>
      <c r="D1861" t="s">
        <v>857</v>
      </c>
      <c r="E1861" t="s">
        <v>18</v>
      </c>
      <c r="F1861" t="s">
        <v>2403</v>
      </c>
      <c r="T1861" t="s">
        <v>4638</v>
      </c>
      <c r="U1861" t="s">
        <v>816</v>
      </c>
      <c r="V1861" t="s">
        <v>857</v>
      </c>
      <c r="W1861" t="s">
        <v>2927</v>
      </c>
    </row>
    <row r="1862" spans="1:23">
      <c r="A1862" t="s">
        <v>6181</v>
      </c>
      <c r="B1862" t="s">
        <v>1095</v>
      </c>
      <c r="C1862" t="s">
        <v>818</v>
      </c>
      <c r="D1862" t="s">
        <v>857</v>
      </c>
      <c r="E1862" t="s">
        <v>18</v>
      </c>
      <c r="F1862" t="s">
        <v>2402</v>
      </c>
      <c r="T1862" t="s">
        <v>4638</v>
      </c>
      <c r="U1862" t="s">
        <v>816</v>
      </c>
      <c r="V1862" t="s">
        <v>857</v>
      </c>
      <c r="W1862" t="s">
        <v>2925</v>
      </c>
    </row>
    <row r="1863" spans="1:23">
      <c r="A1863" t="s">
        <v>6181</v>
      </c>
      <c r="B1863" t="s">
        <v>1095</v>
      </c>
      <c r="C1863" t="s">
        <v>818</v>
      </c>
      <c r="D1863" t="s">
        <v>857</v>
      </c>
      <c r="E1863" t="s">
        <v>18</v>
      </c>
      <c r="F1863" t="s">
        <v>2401</v>
      </c>
      <c r="T1863" t="s">
        <v>4638</v>
      </c>
      <c r="U1863" t="s">
        <v>816</v>
      </c>
      <c r="V1863" t="s">
        <v>857</v>
      </c>
      <c r="W1863" t="s">
        <v>2957</v>
      </c>
    </row>
    <row r="1864" spans="1:23">
      <c r="A1864" t="s">
        <v>6181</v>
      </c>
      <c r="B1864" t="s">
        <v>1095</v>
      </c>
      <c r="C1864" t="s">
        <v>818</v>
      </c>
      <c r="D1864" t="s">
        <v>857</v>
      </c>
      <c r="E1864" t="s">
        <v>18</v>
      </c>
      <c r="F1864" t="s">
        <v>2400</v>
      </c>
      <c r="T1864" t="s">
        <v>4638</v>
      </c>
      <c r="U1864" t="s">
        <v>816</v>
      </c>
      <c r="V1864" t="s">
        <v>857</v>
      </c>
      <c r="W1864" t="s">
        <v>2366</v>
      </c>
    </row>
    <row r="1865" spans="1:23">
      <c r="A1865" t="s">
        <v>6181</v>
      </c>
      <c r="B1865" t="s">
        <v>1095</v>
      </c>
      <c r="C1865" t="s">
        <v>818</v>
      </c>
      <c r="D1865" t="s">
        <v>857</v>
      </c>
      <c r="E1865" t="s">
        <v>18</v>
      </c>
      <c r="F1865" t="s">
        <v>2397</v>
      </c>
      <c r="T1865" t="s">
        <v>4638</v>
      </c>
      <c r="U1865" t="s">
        <v>816</v>
      </c>
      <c r="V1865" t="s">
        <v>857</v>
      </c>
      <c r="W1865" t="s">
        <v>2867</v>
      </c>
    </row>
    <row r="1866" spans="1:23">
      <c r="A1866" t="s">
        <v>6181</v>
      </c>
      <c r="B1866" t="s">
        <v>1095</v>
      </c>
      <c r="C1866" t="s">
        <v>818</v>
      </c>
      <c r="D1866" t="s">
        <v>857</v>
      </c>
      <c r="E1866" t="s">
        <v>18</v>
      </c>
      <c r="F1866" t="s">
        <v>2390</v>
      </c>
      <c r="T1866" t="s">
        <v>4638</v>
      </c>
      <c r="U1866" t="s">
        <v>816</v>
      </c>
      <c r="V1866" t="s">
        <v>857</v>
      </c>
      <c r="W1866" t="s">
        <v>2922</v>
      </c>
    </row>
    <row r="1867" spans="1:23">
      <c r="A1867" t="s">
        <v>6181</v>
      </c>
      <c r="B1867" t="s">
        <v>1095</v>
      </c>
      <c r="C1867" t="s">
        <v>818</v>
      </c>
      <c r="D1867" t="s">
        <v>857</v>
      </c>
      <c r="E1867" t="s">
        <v>18</v>
      </c>
      <c r="F1867" t="s">
        <v>2389</v>
      </c>
      <c r="T1867" t="s">
        <v>4638</v>
      </c>
      <c r="U1867" t="s">
        <v>4638</v>
      </c>
      <c r="V1867" t="s">
        <v>857</v>
      </c>
      <c r="W1867" t="s">
        <v>2903</v>
      </c>
    </row>
    <row r="1868" spans="1:23">
      <c r="A1868" t="s">
        <v>6181</v>
      </c>
      <c r="B1868" t="s">
        <v>1095</v>
      </c>
      <c r="C1868" t="s">
        <v>818</v>
      </c>
      <c r="D1868" t="s">
        <v>857</v>
      </c>
      <c r="E1868" t="s">
        <v>18</v>
      </c>
      <c r="F1868" t="s">
        <v>2388</v>
      </c>
      <c r="T1868" t="s">
        <v>4638</v>
      </c>
      <c r="U1868" t="s">
        <v>4638</v>
      </c>
      <c r="V1868" t="s">
        <v>857</v>
      </c>
      <c r="W1868" t="s">
        <v>3965</v>
      </c>
    </row>
    <row r="1869" spans="1:23">
      <c r="A1869" t="s">
        <v>6181</v>
      </c>
      <c r="B1869" t="s">
        <v>1095</v>
      </c>
      <c r="C1869" t="s">
        <v>818</v>
      </c>
      <c r="D1869" t="s">
        <v>857</v>
      </c>
      <c r="E1869" t="s">
        <v>18</v>
      </c>
      <c r="F1869" t="s">
        <v>2387</v>
      </c>
      <c r="T1869" t="s">
        <v>4638</v>
      </c>
      <c r="U1869" t="s">
        <v>4638</v>
      </c>
      <c r="V1869" t="s">
        <v>857</v>
      </c>
      <c r="W1869" t="s">
        <v>3953</v>
      </c>
    </row>
    <row r="1870" spans="1:23">
      <c r="A1870" t="s">
        <v>6181</v>
      </c>
      <c r="B1870" t="s">
        <v>1095</v>
      </c>
      <c r="C1870" t="s">
        <v>818</v>
      </c>
      <c r="D1870" t="s">
        <v>857</v>
      </c>
      <c r="E1870" t="s">
        <v>18</v>
      </c>
      <c r="F1870" t="s">
        <v>2383</v>
      </c>
      <c r="T1870" t="s">
        <v>1094</v>
      </c>
      <c r="U1870" t="s">
        <v>818</v>
      </c>
      <c r="V1870" t="s">
        <v>18</v>
      </c>
      <c r="W1870" t="s">
        <v>857</v>
      </c>
    </row>
    <row r="1871" spans="1:23">
      <c r="A1871" t="s">
        <v>6182</v>
      </c>
      <c r="B1871" t="s">
        <v>1095</v>
      </c>
      <c r="C1871" t="s">
        <v>818</v>
      </c>
      <c r="D1871" t="s">
        <v>2366</v>
      </c>
      <c r="E1871" t="s">
        <v>18</v>
      </c>
      <c r="F1871" t="s">
        <v>2438</v>
      </c>
      <c r="T1871" t="s">
        <v>1094</v>
      </c>
      <c r="U1871" t="s">
        <v>818</v>
      </c>
      <c r="V1871" t="s">
        <v>18</v>
      </c>
      <c r="W1871" t="s">
        <v>857</v>
      </c>
    </row>
    <row r="1872" spans="1:23">
      <c r="A1872" t="s">
        <v>6184</v>
      </c>
      <c r="B1872" t="s">
        <v>1095</v>
      </c>
      <c r="C1872" t="s">
        <v>19</v>
      </c>
      <c r="D1872" t="s">
        <v>857</v>
      </c>
      <c r="E1872" t="s">
        <v>18</v>
      </c>
      <c r="F1872" t="s">
        <v>2411</v>
      </c>
      <c r="T1872" t="s">
        <v>1094</v>
      </c>
      <c r="U1872" t="s">
        <v>818</v>
      </c>
      <c r="V1872" t="s">
        <v>18</v>
      </c>
      <c r="W1872" t="s">
        <v>857</v>
      </c>
    </row>
    <row r="1873" spans="1:23">
      <c r="A1873" t="s">
        <v>6184</v>
      </c>
      <c r="B1873" t="s">
        <v>1095</v>
      </c>
      <c r="C1873" t="s">
        <v>19</v>
      </c>
      <c r="D1873" t="s">
        <v>857</v>
      </c>
      <c r="E1873" t="s">
        <v>18</v>
      </c>
      <c r="F1873" t="s">
        <v>2408</v>
      </c>
      <c r="T1873" t="s">
        <v>1094</v>
      </c>
      <c r="U1873" t="s">
        <v>818</v>
      </c>
      <c r="V1873" t="s">
        <v>18</v>
      </c>
      <c r="W1873" t="s">
        <v>2464</v>
      </c>
    </row>
    <row r="1874" spans="1:23">
      <c r="A1874" t="s">
        <v>6184</v>
      </c>
      <c r="B1874" t="s">
        <v>1095</v>
      </c>
      <c r="C1874" t="s">
        <v>19</v>
      </c>
      <c r="D1874" t="s">
        <v>857</v>
      </c>
      <c r="E1874" t="s">
        <v>18</v>
      </c>
      <c r="F1874" t="s">
        <v>2399</v>
      </c>
      <c r="T1874" t="s">
        <v>1094</v>
      </c>
      <c r="U1874" t="s">
        <v>19</v>
      </c>
      <c r="V1874" t="s">
        <v>18</v>
      </c>
      <c r="W1874" t="s">
        <v>857</v>
      </c>
    </row>
    <row r="1875" spans="1:23">
      <c r="A1875" t="s">
        <v>6184</v>
      </c>
      <c r="B1875" t="s">
        <v>1095</v>
      </c>
      <c r="C1875" t="s">
        <v>19</v>
      </c>
      <c r="D1875" t="s">
        <v>857</v>
      </c>
      <c r="E1875" t="s">
        <v>18</v>
      </c>
      <c r="F1875" t="s">
        <v>2398</v>
      </c>
      <c r="T1875" t="s">
        <v>1094</v>
      </c>
      <c r="U1875" t="s">
        <v>19</v>
      </c>
      <c r="V1875" t="s">
        <v>18</v>
      </c>
      <c r="W1875" t="s">
        <v>2466</v>
      </c>
    </row>
    <row r="1876" spans="1:23">
      <c r="A1876" t="s">
        <v>6184</v>
      </c>
      <c r="B1876" t="s">
        <v>1095</v>
      </c>
      <c r="C1876" t="s">
        <v>19</v>
      </c>
      <c r="D1876" t="s">
        <v>857</v>
      </c>
      <c r="E1876" t="s">
        <v>18</v>
      </c>
      <c r="F1876" t="s">
        <v>2396</v>
      </c>
      <c r="T1876" t="s">
        <v>1094</v>
      </c>
      <c r="U1876" t="s">
        <v>19</v>
      </c>
      <c r="V1876" t="s">
        <v>18</v>
      </c>
      <c r="W1876" t="s">
        <v>2466</v>
      </c>
    </row>
    <row r="1877" spans="1:23">
      <c r="A1877" t="s">
        <v>6184</v>
      </c>
      <c r="B1877" t="s">
        <v>1095</v>
      </c>
      <c r="C1877" t="s">
        <v>19</v>
      </c>
      <c r="D1877" t="s">
        <v>857</v>
      </c>
      <c r="E1877" t="s">
        <v>18</v>
      </c>
      <c r="F1877" t="s">
        <v>2394</v>
      </c>
      <c r="T1877" t="s">
        <v>1094</v>
      </c>
      <c r="U1877" t="s">
        <v>816</v>
      </c>
      <c r="V1877" t="s">
        <v>18</v>
      </c>
      <c r="W1877" t="s">
        <v>857</v>
      </c>
    </row>
    <row r="1878" spans="1:23">
      <c r="A1878" t="s">
        <v>6184</v>
      </c>
      <c r="B1878" t="s">
        <v>1095</v>
      </c>
      <c r="C1878" t="s">
        <v>19</v>
      </c>
      <c r="D1878" t="s">
        <v>857</v>
      </c>
      <c r="E1878" t="s">
        <v>18</v>
      </c>
      <c r="F1878" t="s">
        <v>2392</v>
      </c>
      <c r="T1878" t="s">
        <v>1094</v>
      </c>
      <c r="U1878" t="s">
        <v>816</v>
      </c>
      <c r="V1878" t="s">
        <v>18</v>
      </c>
      <c r="W1878" t="s">
        <v>2468</v>
      </c>
    </row>
    <row r="1879" spans="1:23">
      <c r="A1879" t="s">
        <v>6185</v>
      </c>
      <c r="B1879" t="s">
        <v>1095</v>
      </c>
      <c r="C1879" t="s">
        <v>19</v>
      </c>
      <c r="D1879" t="s">
        <v>2381</v>
      </c>
      <c r="E1879" t="s">
        <v>18</v>
      </c>
      <c r="F1879" t="s">
        <v>2382</v>
      </c>
      <c r="T1879" t="s">
        <v>1095</v>
      </c>
      <c r="U1879" t="s">
        <v>818</v>
      </c>
      <c r="V1879" t="s">
        <v>857</v>
      </c>
      <c r="W1879" t="s">
        <v>857</v>
      </c>
    </row>
    <row r="1880" spans="1:23">
      <c r="A1880" t="s">
        <v>6186</v>
      </c>
      <c r="B1880" t="s">
        <v>1095</v>
      </c>
      <c r="C1880" t="s">
        <v>19</v>
      </c>
      <c r="D1880" t="s">
        <v>2379</v>
      </c>
      <c r="E1880" t="s">
        <v>18</v>
      </c>
      <c r="F1880" t="s">
        <v>2380</v>
      </c>
      <c r="T1880" t="s">
        <v>1095</v>
      </c>
      <c r="U1880" t="s">
        <v>818</v>
      </c>
      <c r="V1880" t="s">
        <v>18</v>
      </c>
      <c r="W1880" t="s">
        <v>857</v>
      </c>
    </row>
    <row r="1881" spans="1:23">
      <c r="A1881" t="s">
        <v>6187</v>
      </c>
      <c r="B1881" t="s">
        <v>1095</v>
      </c>
      <c r="C1881" t="s">
        <v>19</v>
      </c>
      <c r="D1881" t="s">
        <v>2366</v>
      </c>
      <c r="E1881" t="s">
        <v>18</v>
      </c>
      <c r="F1881" t="s">
        <v>2439</v>
      </c>
      <c r="T1881" t="s">
        <v>1095</v>
      </c>
      <c r="U1881" t="s">
        <v>818</v>
      </c>
      <c r="V1881" t="s">
        <v>18</v>
      </c>
      <c r="W1881" t="s">
        <v>857</v>
      </c>
    </row>
    <row r="1882" spans="1:23">
      <c r="A1882" t="s">
        <v>6190</v>
      </c>
      <c r="B1882" t="s">
        <v>1095</v>
      </c>
      <c r="C1882" t="s">
        <v>2384</v>
      </c>
      <c r="D1882" t="s">
        <v>857</v>
      </c>
      <c r="E1882" t="s">
        <v>857</v>
      </c>
      <c r="F1882" t="s">
        <v>4112</v>
      </c>
      <c r="T1882" t="s">
        <v>1095</v>
      </c>
      <c r="U1882" t="s">
        <v>818</v>
      </c>
      <c r="V1882" t="s">
        <v>18</v>
      </c>
      <c r="W1882" t="s">
        <v>857</v>
      </c>
    </row>
    <row r="1883" spans="1:23">
      <c r="A1883" t="s">
        <v>6191</v>
      </c>
      <c r="B1883" t="s">
        <v>1095</v>
      </c>
      <c r="C1883" t="s">
        <v>2384</v>
      </c>
      <c r="D1883" t="s">
        <v>2381</v>
      </c>
      <c r="E1883" t="s">
        <v>857</v>
      </c>
      <c r="F1883" t="s">
        <v>4111</v>
      </c>
      <c r="T1883" t="s">
        <v>1095</v>
      </c>
      <c r="U1883" t="s">
        <v>818</v>
      </c>
      <c r="V1883" t="s">
        <v>18</v>
      </c>
      <c r="W1883" t="s">
        <v>857</v>
      </c>
    </row>
    <row r="1884" spans="1:23">
      <c r="A1884" t="s">
        <v>6191</v>
      </c>
      <c r="B1884" t="s">
        <v>1095</v>
      </c>
      <c r="C1884" t="s">
        <v>2384</v>
      </c>
      <c r="D1884" t="s">
        <v>2381</v>
      </c>
      <c r="E1884" t="s">
        <v>857</v>
      </c>
      <c r="F1884" t="s">
        <v>4109</v>
      </c>
      <c r="T1884" t="s">
        <v>1095</v>
      </c>
      <c r="U1884" t="s">
        <v>818</v>
      </c>
      <c r="V1884" t="s">
        <v>18</v>
      </c>
      <c r="W1884" t="s">
        <v>857</v>
      </c>
    </row>
    <row r="1885" spans="1:23">
      <c r="A1885" t="s">
        <v>6192</v>
      </c>
      <c r="B1885" t="s">
        <v>1095</v>
      </c>
      <c r="C1885" t="s">
        <v>2384</v>
      </c>
      <c r="D1885" t="s">
        <v>2381</v>
      </c>
      <c r="E1885" t="s">
        <v>18</v>
      </c>
      <c r="F1885" t="s">
        <v>2386</v>
      </c>
      <c r="T1885" t="s">
        <v>1095</v>
      </c>
      <c r="U1885" t="s">
        <v>818</v>
      </c>
      <c r="V1885" t="s">
        <v>18</v>
      </c>
      <c r="W1885" t="s">
        <v>857</v>
      </c>
    </row>
    <row r="1886" spans="1:23">
      <c r="A1886" t="s">
        <v>6193</v>
      </c>
      <c r="B1886" t="s">
        <v>1095</v>
      </c>
      <c r="C1886" t="s">
        <v>2384</v>
      </c>
      <c r="D1886" t="s">
        <v>2379</v>
      </c>
      <c r="E1886" t="s">
        <v>18</v>
      </c>
      <c r="F1886" t="s">
        <v>2385</v>
      </c>
      <c r="T1886" t="s">
        <v>1095</v>
      </c>
      <c r="U1886" t="s">
        <v>818</v>
      </c>
      <c r="V1886" t="s">
        <v>18</v>
      </c>
      <c r="W1886" t="s">
        <v>857</v>
      </c>
    </row>
    <row r="1887" spans="1:23">
      <c r="A1887" t="s">
        <v>6195</v>
      </c>
      <c r="B1887" t="s">
        <v>1095</v>
      </c>
      <c r="C1887" t="s">
        <v>816</v>
      </c>
      <c r="D1887" t="s">
        <v>857</v>
      </c>
      <c r="E1887" t="s">
        <v>857</v>
      </c>
      <c r="F1887" t="s">
        <v>3901</v>
      </c>
      <c r="T1887" t="s">
        <v>1095</v>
      </c>
      <c r="U1887" t="s">
        <v>818</v>
      </c>
      <c r="V1887" t="s">
        <v>18</v>
      </c>
      <c r="W1887" t="s">
        <v>857</v>
      </c>
    </row>
    <row r="1888" spans="1:23">
      <c r="A1888" t="s">
        <v>6196</v>
      </c>
      <c r="B1888" t="s">
        <v>1095</v>
      </c>
      <c r="C1888" t="s">
        <v>816</v>
      </c>
      <c r="D1888" t="s">
        <v>857</v>
      </c>
      <c r="E1888" t="s">
        <v>18</v>
      </c>
      <c r="F1888" t="s">
        <v>2410</v>
      </c>
      <c r="T1888" t="s">
        <v>1095</v>
      </c>
      <c r="U1888" t="s">
        <v>818</v>
      </c>
      <c r="V1888" t="s">
        <v>18</v>
      </c>
      <c r="W1888" t="s">
        <v>857</v>
      </c>
    </row>
    <row r="1889" spans="1:23">
      <c r="A1889" t="s">
        <v>6196</v>
      </c>
      <c r="B1889" t="s">
        <v>1095</v>
      </c>
      <c r="C1889" t="s">
        <v>816</v>
      </c>
      <c r="D1889" t="s">
        <v>857</v>
      </c>
      <c r="E1889" t="s">
        <v>18</v>
      </c>
      <c r="F1889" t="s">
        <v>2407</v>
      </c>
      <c r="T1889" t="s">
        <v>1095</v>
      </c>
      <c r="U1889" t="s">
        <v>818</v>
      </c>
      <c r="V1889" t="s">
        <v>18</v>
      </c>
      <c r="W1889" t="s">
        <v>857</v>
      </c>
    </row>
    <row r="1890" spans="1:23">
      <c r="A1890" t="s">
        <v>6196</v>
      </c>
      <c r="B1890" t="s">
        <v>1095</v>
      </c>
      <c r="C1890" t="s">
        <v>816</v>
      </c>
      <c r="D1890" t="s">
        <v>857</v>
      </c>
      <c r="E1890" t="s">
        <v>18</v>
      </c>
      <c r="F1890" t="s">
        <v>2404</v>
      </c>
      <c r="T1890" t="s">
        <v>1095</v>
      </c>
      <c r="U1890" t="s">
        <v>818</v>
      </c>
      <c r="V1890" t="s">
        <v>18</v>
      </c>
      <c r="W1890" t="s">
        <v>857</v>
      </c>
    </row>
    <row r="1891" spans="1:23">
      <c r="A1891" t="s">
        <v>6196</v>
      </c>
      <c r="B1891" t="s">
        <v>1095</v>
      </c>
      <c r="C1891" t="s">
        <v>816</v>
      </c>
      <c r="D1891" t="s">
        <v>857</v>
      </c>
      <c r="E1891" t="s">
        <v>18</v>
      </c>
      <c r="F1891" t="s">
        <v>2395</v>
      </c>
      <c r="T1891" t="s">
        <v>1095</v>
      </c>
      <c r="U1891" t="s">
        <v>818</v>
      </c>
      <c r="V1891" t="s">
        <v>18</v>
      </c>
      <c r="W1891" t="s">
        <v>857</v>
      </c>
    </row>
    <row r="1892" spans="1:23">
      <c r="A1892" t="s">
        <v>6196</v>
      </c>
      <c r="B1892" t="s">
        <v>1095</v>
      </c>
      <c r="C1892" t="s">
        <v>816</v>
      </c>
      <c r="D1892" t="s">
        <v>857</v>
      </c>
      <c r="E1892" t="s">
        <v>18</v>
      </c>
      <c r="F1892" t="s">
        <v>2393</v>
      </c>
      <c r="T1892" t="s">
        <v>1095</v>
      </c>
      <c r="U1892" t="s">
        <v>818</v>
      </c>
      <c r="V1892" t="s">
        <v>18</v>
      </c>
      <c r="W1892" t="s">
        <v>857</v>
      </c>
    </row>
    <row r="1893" spans="1:23">
      <c r="A1893" t="s">
        <v>6196</v>
      </c>
      <c r="B1893" t="s">
        <v>1095</v>
      </c>
      <c r="C1893" t="s">
        <v>816</v>
      </c>
      <c r="D1893" t="s">
        <v>857</v>
      </c>
      <c r="E1893" t="s">
        <v>18</v>
      </c>
      <c r="F1893" t="s">
        <v>2391</v>
      </c>
      <c r="T1893" t="s">
        <v>1095</v>
      </c>
      <c r="U1893" t="s">
        <v>818</v>
      </c>
      <c r="V1893" t="s">
        <v>18</v>
      </c>
      <c r="W1893" t="s">
        <v>857</v>
      </c>
    </row>
    <row r="1894" spans="1:23">
      <c r="A1894" t="s">
        <v>6197</v>
      </c>
      <c r="B1894" t="s">
        <v>1095</v>
      </c>
      <c r="C1894" t="s">
        <v>816</v>
      </c>
      <c r="D1894" t="s">
        <v>2366</v>
      </c>
      <c r="E1894" t="s">
        <v>18</v>
      </c>
      <c r="F1894" t="s">
        <v>2440</v>
      </c>
      <c r="T1894" t="s">
        <v>1095</v>
      </c>
      <c r="U1894" t="s">
        <v>818</v>
      </c>
      <c r="V1894" t="s">
        <v>18</v>
      </c>
      <c r="W1894" t="s">
        <v>857</v>
      </c>
    </row>
    <row r="1895" spans="1:23">
      <c r="A1895" t="s">
        <v>6199</v>
      </c>
      <c r="B1895" t="s">
        <v>1096</v>
      </c>
      <c r="C1895" t="s">
        <v>818</v>
      </c>
      <c r="D1895" t="s">
        <v>857</v>
      </c>
      <c r="E1895" t="s">
        <v>18</v>
      </c>
      <c r="F1895" t="s">
        <v>2947</v>
      </c>
      <c r="T1895" t="s">
        <v>1095</v>
      </c>
      <c r="U1895" t="s">
        <v>818</v>
      </c>
      <c r="V1895" t="s">
        <v>18</v>
      </c>
      <c r="W1895" t="s">
        <v>857</v>
      </c>
    </row>
    <row r="1896" spans="1:23">
      <c r="A1896" t="s">
        <v>6199</v>
      </c>
      <c r="B1896" t="s">
        <v>1096</v>
      </c>
      <c r="C1896" t="s">
        <v>818</v>
      </c>
      <c r="D1896" t="s">
        <v>857</v>
      </c>
      <c r="E1896" t="s">
        <v>18</v>
      </c>
      <c r="F1896" t="s">
        <v>2944</v>
      </c>
      <c r="T1896" t="s">
        <v>1095</v>
      </c>
      <c r="U1896" t="s">
        <v>818</v>
      </c>
      <c r="V1896" t="s">
        <v>18</v>
      </c>
      <c r="W1896" t="s">
        <v>2366</v>
      </c>
    </row>
    <row r="1897" spans="1:23">
      <c r="A1897" t="s">
        <v>6199</v>
      </c>
      <c r="B1897" t="s">
        <v>1096</v>
      </c>
      <c r="C1897" t="s">
        <v>818</v>
      </c>
      <c r="D1897" t="s">
        <v>857</v>
      </c>
      <c r="E1897" t="s">
        <v>18</v>
      </c>
      <c r="F1897" t="s">
        <v>2437</v>
      </c>
      <c r="T1897" t="s">
        <v>1095</v>
      </c>
      <c r="U1897" t="s">
        <v>19</v>
      </c>
      <c r="V1897" t="s">
        <v>18</v>
      </c>
      <c r="W1897" t="s">
        <v>857</v>
      </c>
    </row>
    <row r="1898" spans="1:23">
      <c r="A1898" t="s">
        <v>6201</v>
      </c>
      <c r="B1898" t="s">
        <v>1096</v>
      </c>
      <c r="C1898" t="s">
        <v>19</v>
      </c>
      <c r="D1898" t="s">
        <v>857</v>
      </c>
      <c r="E1898" t="s">
        <v>53</v>
      </c>
      <c r="F1898" t="s">
        <v>2436</v>
      </c>
      <c r="T1898" t="s">
        <v>1095</v>
      </c>
      <c r="U1898" t="s">
        <v>19</v>
      </c>
      <c r="V1898" t="s">
        <v>18</v>
      </c>
      <c r="W1898" t="s">
        <v>857</v>
      </c>
    </row>
    <row r="1899" spans="1:23">
      <c r="A1899" t="s">
        <v>6202</v>
      </c>
      <c r="B1899" t="s">
        <v>1096</v>
      </c>
      <c r="C1899" t="s">
        <v>19</v>
      </c>
      <c r="D1899" t="s">
        <v>857</v>
      </c>
      <c r="E1899" t="s">
        <v>18</v>
      </c>
      <c r="F1899" t="s">
        <v>2948</v>
      </c>
      <c r="T1899" t="s">
        <v>1095</v>
      </c>
      <c r="U1899" t="s">
        <v>19</v>
      </c>
      <c r="V1899" t="s">
        <v>18</v>
      </c>
      <c r="W1899" t="s">
        <v>857</v>
      </c>
    </row>
    <row r="1900" spans="1:23">
      <c r="A1900" t="s">
        <v>6202</v>
      </c>
      <c r="B1900" t="s">
        <v>1096</v>
      </c>
      <c r="C1900" t="s">
        <v>19</v>
      </c>
      <c r="D1900" t="s">
        <v>857</v>
      </c>
      <c r="E1900" t="s">
        <v>18</v>
      </c>
      <c r="F1900" t="s">
        <v>2945</v>
      </c>
      <c r="T1900" t="s">
        <v>1095</v>
      </c>
      <c r="U1900" t="s">
        <v>19</v>
      </c>
      <c r="V1900" t="s">
        <v>18</v>
      </c>
      <c r="W1900" t="s">
        <v>857</v>
      </c>
    </row>
    <row r="1901" spans="1:23">
      <c r="A1901" t="s">
        <v>6203</v>
      </c>
      <c r="B1901" t="s">
        <v>1096</v>
      </c>
      <c r="C1901" t="s">
        <v>19</v>
      </c>
      <c r="D1901" t="s">
        <v>2941</v>
      </c>
      <c r="E1901" t="s">
        <v>857</v>
      </c>
      <c r="F1901" t="s">
        <v>4158</v>
      </c>
      <c r="T1901" t="s">
        <v>1095</v>
      </c>
      <c r="U1901" t="s">
        <v>19</v>
      </c>
      <c r="V1901" t="s">
        <v>18</v>
      </c>
      <c r="W1901" t="s">
        <v>857</v>
      </c>
    </row>
    <row r="1902" spans="1:23">
      <c r="A1902" t="s">
        <v>6204</v>
      </c>
      <c r="B1902" t="s">
        <v>1096</v>
      </c>
      <c r="C1902" t="s">
        <v>19</v>
      </c>
      <c r="D1902" t="s">
        <v>2941</v>
      </c>
      <c r="E1902" t="s">
        <v>18</v>
      </c>
      <c r="F1902" t="s">
        <v>2942</v>
      </c>
      <c r="T1902" t="s">
        <v>1095</v>
      </c>
      <c r="U1902" t="s">
        <v>19</v>
      </c>
      <c r="V1902" t="s">
        <v>18</v>
      </c>
      <c r="W1902" t="s">
        <v>857</v>
      </c>
    </row>
    <row r="1903" spans="1:23">
      <c r="A1903" t="s">
        <v>6207</v>
      </c>
      <c r="B1903" t="s">
        <v>1096</v>
      </c>
      <c r="C1903" t="s">
        <v>2384</v>
      </c>
      <c r="D1903" t="s">
        <v>2941</v>
      </c>
      <c r="E1903" t="s">
        <v>857</v>
      </c>
      <c r="F1903" t="s">
        <v>4162</v>
      </c>
      <c r="T1903" t="s">
        <v>1095</v>
      </c>
      <c r="U1903" t="s">
        <v>19</v>
      </c>
      <c r="V1903" t="s">
        <v>18</v>
      </c>
      <c r="W1903" t="s">
        <v>857</v>
      </c>
    </row>
    <row r="1904" spans="1:23">
      <c r="A1904" t="s">
        <v>6208</v>
      </c>
      <c r="B1904" t="s">
        <v>1096</v>
      </c>
      <c r="C1904" t="s">
        <v>2384</v>
      </c>
      <c r="D1904" t="s">
        <v>2941</v>
      </c>
      <c r="E1904" t="s">
        <v>18</v>
      </c>
      <c r="F1904" t="s">
        <v>2943</v>
      </c>
      <c r="T1904" t="s">
        <v>1095</v>
      </c>
      <c r="U1904" t="s">
        <v>19</v>
      </c>
      <c r="V1904" t="s">
        <v>18</v>
      </c>
      <c r="W1904" t="s">
        <v>2381</v>
      </c>
    </row>
    <row r="1905" spans="1:23">
      <c r="A1905" t="s">
        <v>6210</v>
      </c>
      <c r="B1905" t="s">
        <v>1096</v>
      </c>
      <c r="C1905" t="s">
        <v>816</v>
      </c>
      <c r="D1905" t="s">
        <v>857</v>
      </c>
      <c r="E1905" t="s">
        <v>18</v>
      </c>
      <c r="F1905" t="s">
        <v>2946</v>
      </c>
      <c r="T1905" t="s">
        <v>1095</v>
      </c>
      <c r="U1905" t="s">
        <v>19</v>
      </c>
      <c r="V1905" t="s">
        <v>18</v>
      </c>
      <c r="W1905" t="s">
        <v>2379</v>
      </c>
    </row>
    <row r="1906" spans="1:23">
      <c r="A1906" t="s">
        <v>6210</v>
      </c>
      <c r="B1906" t="s">
        <v>1096</v>
      </c>
      <c r="C1906" t="s">
        <v>816</v>
      </c>
      <c r="D1906" t="s">
        <v>857</v>
      </c>
      <c r="E1906" t="s">
        <v>18</v>
      </c>
      <c r="F1906" t="s">
        <v>2435</v>
      </c>
      <c r="T1906" t="s">
        <v>1095</v>
      </c>
      <c r="U1906" t="s">
        <v>19</v>
      </c>
      <c r="V1906" t="s">
        <v>18</v>
      </c>
      <c r="W1906" t="s">
        <v>2366</v>
      </c>
    </row>
    <row r="1907" spans="1:23">
      <c r="A1907" t="s">
        <v>6212</v>
      </c>
      <c r="B1907" t="s">
        <v>1097</v>
      </c>
      <c r="C1907" t="s">
        <v>818</v>
      </c>
      <c r="D1907" t="s">
        <v>857</v>
      </c>
      <c r="E1907" t="s">
        <v>857</v>
      </c>
      <c r="F1907" t="s">
        <v>3842</v>
      </c>
      <c r="T1907" t="s">
        <v>1095</v>
      </c>
      <c r="U1907" t="s">
        <v>2384</v>
      </c>
      <c r="V1907" t="s">
        <v>857</v>
      </c>
      <c r="W1907" t="s">
        <v>857</v>
      </c>
    </row>
    <row r="1908" spans="1:23">
      <c r="A1908" t="s">
        <v>6213</v>
      </c>
      <c r="B1908" t="s">
        <v>1097</v>
      </c>
      <c r="C1908" t="s">
        <v>818</v>
      </c>
      <c r="D1908" t="s">
        <v>857</v>
      </c>
      <c r="E1908" t="s">
        <v>18</v>
      </c>
      <c r="F1908" t="s">
        <v>2378</v>
      </c>
      <c r="T1908" t="s">
        <v>1095</v>
      </c>
      <c r="U1908" t="s">
        <v>2384</v>
      </c>
      <c r="V1908" t="s">
        <v>857</v>
      </c>
      <c r="W1908" t="s">
        <v>2381</v>
      </c>
    </row>
    <row r="1909" spans="1:23">
      <c r="A1909" t="s">
        <v>6213</v>
      </c>
      <c r="B1909" t="s">
        <v>1097</v>
      </c>
      <c r="C1909" t="s">
        <v>818</v>
      </c>
      <c r="D1909" t="s">
        <v>857</v>
      </c>
      <c r="E1909" t="s">
        <v>18</v>
      </c>
      <c r="F1909" t="s">
        <v>2376</v>
      </c>
      <c r="T1909" t="s">
        <v>1095</v>
      </c>
      <c r="U1909" t="s">
        <v>2384</v>
      </c>
      <c r="V1909" t="s">
        <v>857</v>
      </c>
      <c r="W1909" t="s">
        <v>2381</v>
      </c>
    </row>
    <row r="1910" spans="1:23">
      <c r="A1910" t="s">
        <v>6213</v>
      </c>
      <c r="B1910" t="s">
        <v>1097</v>
      </c>
      <c r="C1910" t="s">
        <v>818</v>
      </c>
      <c r="D1910" t="s">
        <v>857</v>
      </c>
      <c r="E1910" t="s">
        <v>18</v>
      </c>
      <c r="F1910" t="s">
        <v>2375</v>
      </c>
      <c r="T1910" t="s">
        <v>1095</v>
      </c>
      <c r="U1910" t="s">
        <v>2384</v>
      </c>
      <c r="V1910" t="s">
        <v>18</v>
      </c>
      <c r="W1910" t="s">
        <v>2381</v>
      </c>
    </row>
    <row r="1911" spans="1:23">
      <c r="A1911" t="s">
        <v>6213</v>
      </c>
      <c r="B1911" t="s">
        <v>1097</v>
      </c>
      <c r="C1911" t="s">
        <v>818</v>
      </c>
      <c r="D1911" t="s">
        <v>857</v>
      </c>
      <c r="E1911" t="s">
        <v>18</v>
      </c>
      <c r="F1911" t="s">
        <v>2374</v>
      </c>
      <c r="T1911" t="s">
        <v>1095</v>
      </c>
      <c r="U1911" t="s">
        <v>2384</v>
      </c>
      <c r="V1911" t="s">
        <v>18</v>
      </c>
      <c r="W1911" t="s">
        <v>2379</v>
      </c>
    </row>
    <row r="1912" spans="1:23">
      <c r="A1912" t="s">
        <v>6213</v>
      </c>
      <c r="B1912" t="s">
        <v>1097</v>
      </c>
      <c r="C1912" t="s">
        <v>818</v>
      </c>
      <c r="D1912" t="s">
        <v>857</v>
      </c>
      <c r="E1912" t="s">
        <v>18</v>
      </c>
      <c r="F1912" t="s">
        <v>2369</v>
      </c>
      <c r="T1912" t="s">
        <v>1095</v>
      </c>
      <c r="U1912" t="s">
        <v>816</v>
      </c>
      <c r="V1912" t="s">
        <v>857</v>
      </c>
      <c r="W1912" t="s">
        <v>857</v>
      </c>
    </row>
    <row r="1913" spans="1:23">
      <c r="A1913" t="s">
        <v>6214</v>
      </c>
      <c r="B1913" t="s">
        <v>1097</v>
      </c>
      <c r="C1913" t="s">
        <v>818</v>
      </c>
      <c r="D1913" t="s">
        <v>2363</v>
      </c>
      <c r="E1913" t="s">
        <v>857</v>
      </c>
      <c r="F1913" t="s">
        <v>2368</v>
      </c>
      <c r="T1913" t="s">
        <v>1095</v>
      </c>
      <c r="U1913" t="s">
        <v>816</v>
      </c>
      <c r="V1913" t="s">
        <v>18</v>
      </c>
      <c r="W1913" t="s">
        <v>857</v>
      </c>
    </row>
    <row r="1914" spans="1:23">
      <c r="A1914" t="s">
        <v>6215</v>
      </c>
      <c r="B1914" t="s">
        <v>1097</v>
      </c>
      <c r="C1914" t="s">
        <v>818</v>
      </c>
      <c r="D1914" t="s">
        <v>2366</v>
      </c>
      <c r="E1914" t="s">
        <v>18</v>
      </c>
      <c r="F1914" t="s">
        <v>2420</v>
      </c>
      <c r="T1914" t="s">
        <v>1095</v>
      </c>
      <c r="U1914" t="s">
        <v>816</v>
      </c>
      <c r="V1914" t="s">
        <v>18</v>
      </c>
      <c r="W1914" t="s">
        <v>857</v>
      </c>
    </row>
    <row r="1915" spans="1:23">
      <c r="A1915" t="s">
        <v>6215</v>
      </c>
      <c r="B1915" t="s">
        <v>1097</v>
      </c>
      <c r="C1915" t="s">
        <v>818</v>
      </c>
      <c r="D1915" t="s">
        <v>2366</v>
      </c>
      <c r="E1915" t="s">
        <v>18</v>
      </c>
      <c r="F1915" t="s">
        <v>2367</v>
      </c>
      <c r="T1915" t="s">
        <v>1095</v>
      </c>
      <c r="U1915" t="s">
        <v>816</v>
      </c>
      <c r="V1915" t="s">
        <v>18</v>
      </c>
      <c r="W1915" t="s">
        <v>857</v>
      </c>
    </row>
    <row r="1916" spans="1:23">
      <c r="A1916" t="s">
        <v>6218</v>
      </c>
      <c r="B1916" t="s">
        <v>1097</v>
      </c>
      <c r="C1916" t="s">
        <v>19</v>
      </c>
      <c r="D1916" t="s">
        <v>857</v>
      </c>
      <c r="E1916" t="s">
        <v>857</v>
      </c>
      <c r="F1916" t="s">
        <v>3839</v>
      </c>
      <c r="T1916" t="s">
        <v>1095</v>
      </c>
      <c r="U1916" t="s">
        <v>816</v>
      </c>
      <c r="V1916" t="s">
        <v>18</v>
      </c>
      <c r="W1916" t="s">
        <v>857</v>
      </c>
    </row>
    <row r="1917" spans="1:23">
      <c r="A1917" t="s">
        <v>6219</v>
      </c>
      <c r="B1917" t="s">
        <v>1097</v>
      </c>
      <c r="C1917" t="s">
        <v>19</v>
      </c>
      <c r="D1917" t="s">
        <v>857</v>
      </c>
      <c r="E1917" t="s">
        <v>18</v>
      </c>
      <c r="F1917" t="s">
        <v>2421</v>
      </c>
      <c r="T1917" t="s">
        <v>1095</v>
      </c>
      <c r="U1917" t="s">
        <v>816</v>
      </c>
      <c r="V1917" t="s">
        <v>18</v>
      </c>
      <c r="W1917" t="s">
        <v>857</v>
      </c>
    </row>
    <row r="1918" spans="1:23">
      <c r="A1918" t="s">
        <v>6219</v>
      </c>
      <c r="B1918" t="s">
        <v>1097</v>
      </c>
      <c r="C1918" t="s">
        <v>19</v>
      </c>
      <c r="D1918" t="s">
        <v>857</v>
      </c>
      <c r="E1918" t="s">
        <v>18</v>
      </c>
      <c r="F1918" t="s">
        <v>2418</v>
      </c>
      <c r="T1918" t="s">
        <v>1095</v>
      </c>
      <c r="U1918" t="s">
        <v>816</v>
      </c>
      <c r="V1918" t="s">
        <v>18</v>
      </c>
      <c r="W1918" t="s">
        <v>857</v>
      </c>
    </row>
    <row r="1919" spans="1:23">
      <c r="A1919" t="s">
        <v>6219</v>
      </c>
      <c r="B1919" t="s">
        <v>1097</v>
      </c>
      <c r="C1919" t="s">
        <v>19</v>
      </c>
      <c r="D1919" t="s">
        <v>857</v>
      </c>
      <c r="E1919" t="s">
        <v>18</v>
      </c>
      <c r="F1919" t="s">
        <v>2377</v>
      </c>
      <c r="T1919" t="s">
        <v>1095</v>
      </c>
      <c r="U1919" t="s">
        <v>816</v>
      </c>
      <c r="V1919" t="s">
        <v>18</v>
      </c>
      <c r="W1919" t="s">
        <v>2366</v>
      </c>
    </row>
    <row r="1920" spans="1:23">
      <c r="A1920" t="s">
        <v>6219</v>
      </c>
      <c r="B1920" t="s">
        <v>1097</v>
      </c>
      <c r="C1920" t="s">
        <v>19</v>
      </c>
      <c r="D1920" t="s">
        <v>857</v>
      </c>
      <c r="E1920" t="s">
        <v>18</v>
      </c>
      <c r="F1920" t="s">
        <v>2372</v>
      </c>
      <c r="T1920" t="s">
        <v>1096</v>
      </c>
      <c r="U1920" t="s">
        <v>818</v>
      </c>
      <c r="V1920" t="s">
        <v>18</v>
      </c>
      <c r="W1920" t="s">
        <v>857</v>
      </c>
    </row>
    <row r="1921" spans="1:23">
      <c r="A1921" t="s">
        <v>6219</v>
      </c>
      <c r="B1921" t="s">
        <v>1097</v>
      </c>
      <c r="C1921" t="s">
        <v>19</v>
      </c>
      <c r="D1921" t="s">
        <v>857</v>
      </c>
      <c r="E1921" t="s">
        <v>18</v>
      </c>
      <c r="F1921" t="s">
        <v>2370</v>
      </c>
      <c r="T1921" t="s">
        <v>1096</v>
      </c>
      <c r="U1921" t="s">
        <v>818</v>
      </c>
      <c r="V1921" t="s">
        <v>18</v>
      </c>
      <c r="W1921" t="s">
        <v>857</v>
      </c>
    </row>
    <row r="1922" spans="1:23">
      <c r="A1922" t="s">
        <v>6220</v>
      </c>
      <c r="B1922" t="s">
        <v>1097</v>
      </c>
      <c r="C1922" t="s">
        <v>19</v>
      </c>
      <c r="D1922" t="s">
        <v>2363</v>
      </c>
      <c r="E1922" t="s">
        <v>857</v>
      </c>
      <c r="F1922" t="s">
        <v>4187</v>
      </c>
      <c r="T1922" t="s">
        <v>1096</v>
      </c>
      <c r="U1922" t="s">
        <v>818</v>
      </c>
      <c r="V1922" t="s">
        <v>18</v>
      </c>
      <c r="W1922" t="s">
        <v>857</v>
      </c>
    </row>
    <row r="1923" spans="1:23">
      <c r="A1923" t="s">
        <v>6221</v>
      </c>
      <c r="B1923" t="s">
        <v>1097</v>
      </c>
      <c r="C1923" t="s">
        <v>19</v>
      </c>
      <c r="D1923" t="s">
        <v>2363</v>
      </c>
      <c r="E1923" t="s">
        <v>18</v>
      </c>
      <c r="F1923" t="s">
        <v>2365</v>
      </c>
      <c r="T1923" t="s">
        <v>1096</v>
      </c>
      <c r="U1923" t="s">
        <v>19</v>
      </c>
      <c r="V1923" t="s">
        <v>53</v>
      </c>
      <c r="W1923" t="s">
        <v>857</v>
      </c>
    </row>
    <row r="1924" spans="1:23">
      <c r="A1924" t="s">
        <v>6222</v>
      </c>
      <c r="B1924" t="s">
        <v>1097</v>
      </c>
      <c r="C1924" t="s">
        <v>19</v>
      </c>
      <c r="D1924" t="s">
        <v>2366</v>
      </c>
      <c r="E1924" t="s">
        <v>18</v>
      </c>
      <c r="F1924" t="s">
        <v>2415</v>
      </c>
      <c r="T1924" t="s">
        <v>1096</v>
      </c>
      <c r="U1924" t="s">
        <v>19</v>
      </c>
      <c r="V1924" t="s">
        <v>18</v>
      </c>
      <c r="W1924" t="s">
        <v>857</v>
      </c>
    </row>
    <row r="1925" spans="1:23">
      <c r="A1925" t="s">
        <v>6225</v>
      </c>
      <c r="B1925" t="s">
        <v>1097</v>
      </c>
      <c r="C1925" t="s">
        <v>2384</v>
      </c>
      <c r="D1925" t="s">
        <v>857</v>
      </c>
      <c r="E1925" t="s">
        <v>857</v>
      </c>
      <c r="F1925" t="s">
        <v>3840</v>
      </c>
      <c r="T1925" t="s">
        <v>1096</v>
      </c>
      <c r="U1925" t="s">
        <v>19</v>
      </c>
      <c r="V1925" t="s">
        <v>18</v>
      </c>
      <c r="W1925" t="s">
        <v>857</v>
      </c>
    </row>
    <row r="1926" spans="1:23">
      <c r="A1926" t="s">
        <v>6225</v>
      </c>
      <c r="B1926" t="s">
        <v>1097</v>
      </c>
      <c r="C1926" t="s">
        <v>2384</v>
      </c>
      <c r="D1926" t="s">
        <v>857</v>
      </c>
      <c r="E1926" t="s">
        <v>857</v>
      </c>
      <c r="F1926" t="s">
        <v>3792</v>
      </c>
      <c r="T1926" t="s">
        <v>1096</v>
      </c>
      <c r="U1926" t="s">
        <v>19</v>
      </c>
      <c r="V1926" t="s">
        <v>857</v>
      </c>
      <c r="W1926" t="s">
        <v>2941</v>
      </c>
    </row>
    <row r="1927" spans="1:23">
      <c r="A1927" t="s">
        <v>6226</v>
      </c>
      <c r="B1927" t="s">
        <v>1097</v>
      </c>
      <c r="C1927" t="s">
        <v>2384</v>
      </c>
      <c r="D1927" t="s">
        <v>2363</v>
      </c>
      <c r="E1927" t="s">
        <v>857</v>
      </c>
      <c r="F1927" t="s">
        <v>4188</v>
      </c>
      <c r="T1927" t="s">
        <v>1096</v>
      </c>
      <c r="U1927" t="s">
        <v>19</v>
      </c>
      <c r="V1927" t="s">
        <v>18</v>
      </c>
      <c r="W1927" t="s">
        <v>2941</v>
      </c>
    </row>
    <row r="1928" spans="1:23">
      <c r="A1928" t="s">
        <v>6227</v>
      </c>
      <c r="B1928" t="s">
        <v>1097</v>
      </c>
      <c r="C1928" t="s">
        <v>2416</v>
      </c>
      <c r="D1928" t="s">
        <v>2366</v>
      </c>
      <c r="E1928" t="s">
        <v>18</v>
      </c>
      <c r="F1928" t="s">
        <v>2417</v>
      </c>
      <c r="T1928" t="s">
        <v>1096</v>
      </c>
      <c r="U1928" t="s">
        <v>2384</v>
      </c>
      <c r="V1928" t="s">
        <v>857</v>
      </c>
      <c r="W1928" t="s">
        <v>2941</v>
      </c>
    </row>
    <row r="1929" spans="1:23">
      <c r="A1929" t="s">
        <v>6229</v>
      </c>
      <c r="B1929" t="s">
        <v>1097</v>
      </c>
      <c r="C1929" t="s">
        <v>816</v>
      </c>
      <c r="D1929" t="s">
        <v>857</v>
      </c>
      <c r="E1929" t="s">
        <v>857</v>
      </c>
      <c r="F1929" t="s">
        <v>3841</v>
      </c>
      <c r="T1929" t="s">
        <v>1096</v>
      </c>
      <c r="U1929" t="s">
        <v>2384</v>
      </c>
      <c r="V1929" t="s">
        <v>18</v>
      </c>
      <c r="W1929" t="s">
        <v>2941</v>
      </c>
    </row>
    <row r="1930" spans="1:23">
      <c r="A1930" t="s">
        <v>6230</v>
      </c>
      <c r="B1930" t="s">
        <v>1097</v>
      </c>
      <c r="C1930" t="s">
        <v>816</v>
      </c>
      <c r="D1930" t="s">
        <v>857</v>
      </c>
      <c r="E1930" t="s">
        <v>18</v>
      </c>
      <c r="F1930" t="s">
        <v>2373</v>
      </c>
      <c r="T1930" t="s">
        <v>1096</v>
      </c>
      <c r="U1930" t="s">
        <v>816</v>
      </c>
      <c r="V1930" t="s">
        <v>18</v>
      </c>
      <c r="W1930" t="s">
        <v>857</v>
      </c>
    </row>
    <row r="1931" spans="1:23">
      <c r="A1931" t="s">
        <v>6230</v>
      </c>
      <c r="B1931" t="s">
        <v>1097</v>
      </c>
      <c r="C1931" t="s">
        <v>816</v>
      </c>
      <c r="D1931" t="s">
        <v>857</v>
      </c>
      <c r="E1931" t="s">
        <v>18</v>
      </c>
      <c r="F1931" t="s">
        <v>2371</v>
      </c>
      <c r="T1931" t="s">
        <v>1096</v>
      </c>
      <c r="U1931" t="s">
        <v>816</v>
      </c>
      <c r="V1931" t="s">
        <v>18</v>
      </c>
      <c r="W1931" t="s">
        <v>857</v>
      </c>
    </row>
    <row r="1932" spans="1:23">
      <c r="A1932" t="s">
        <v>6231</v>
      </c>
      <c r="B1932" t="s">
        <v>1097</v>
      </c>
      <c r="C1932" t="s">
        <v>816</v>
      </c>
      <c r="D1932" t="s">
        <v>2363</v>
      </c>
      <c r="E1932" t="s">
        <v>18</v>
      </c>
      <c r="F1932" t="s">
        <v>2364</v>
      </c>
      <c r="T1932" t="s">
        <v>1097</v>
      </c>
      <c r="U1932" t="s">
        <v>818</v>
      </c>
      <c r="V1932" t="s">
        <v>857</v>
      </c>
      <c r="W1932" t="s">
        <v>857</v>
      </c>
    </row>
    <row r="1933" spans="1:23">
      <c r="A1933" t="s">
        <v>6232</v>
      </c>
      <c r="B1933" t="s">
        <v>1097</v>
      </c>
      <c r="C1933" t="s">
        <v>816</v>
      </c>
      <c r="D1933" t="s">
        <v>2366</v>
      </c>
      <c r="E1933" t="s">
        <v>18</v>
      </c>
      <c r="F1933" t="s">
        <v>2419</v>
      </c>
      <c r="T1933" t="s">
        <v>1097</v>
      </c>
      <c r="U1933" t="s">
        <v>818</v>
      </c>
      <c r="V1933" t="s">
        <v>18</v>
      </c>
      <c r="W1933" t="s">
        <v>857</v>
      </c>
    </row>
    <row r="1934" spans="1:23">
      <c r="A1934" t="s">
        <v>6772</v>
      </c>
      <c r="C1934" t="s">
        <v>818</v>
      </c>
      <c r="D1934" t="s">
        <v>2870</v>
      </c>
      <c r="E1934" t="s">
        <v>857</v>
      </c>
      <c r="F1934" t="s">
        <v>3957</v>
      </c>
      <c r="T1934" t="s">
        <v>1097</v>
      </c>
      <c r="U1934" t="s">
        <v>818</v>
      </c>
      <c r="V1934" t="s">
        <v>18</v>
      </c>
      <c r="W1934" t="s">
        <v>857</v>
      </c>
    </row>
    <row r="1935" spans="1:23">
      <c r="A1935" t="s">
        <v>6773</v>
      </c>
      <c r="C1935" t="s">
        <v>818</v>
      </c>
      <c r="D1935" t="s">
        <v>2905</v>
      </c>
      <c r="E1935" t="s">
        <v>857</v>
      </c>
      <c r="F1935" t="s">
        <v>3952</v>
      </c>
      <c r="T1935" t="s">
        <v>1097</v>
      </c>
      <c r="U1935" t="s">
        <v>818</v>
      </c>
      <c r="V1935" t="s">
        <v>18</v>
      </c>
      <c r="W1935" t="s">
        <v>857</v>
      </c>
    </row>
    <row r="1936" spans="1:23">
      <c r="A1936" t="s">
        <v>6774</v>
      </c>
      <c r="C1936" t="s">
        <v>818</v>
      </c>
      <c r="D1936" t="s">
        <v>2900</v>
      </c>
      <c r="E1936" t="s">
        <v>857</v>
      </c>
      <c r="F1936" t="s">
        <v>3951</v>
      </c>
      <c r="T1936" t="s">
        <v>1097</v>
      </c>
      <c r="U1936" t="s">
        <v>818</v>
      </c>
      <c r="V1936" t="s">
        <v>18</v>
      </c>
      <c r="W1936" t="s">
        <v>857</v>
      </c>
    </row>
    <row r="1937" spans="1:23">
      <c r="A1937" t="s">
        <v>6775</v>
      </c>
      <c r="C1937" t="s">
        <v>818</v>
      </c>
      <c r="D1937" t="s">
        <v>2518</v>
      </c>
      <c r="E1937" t="s">
        <v>857</v>
      </c>
      <c r="F1937" t="s">
        <v>3964</v>
      </c>
      <c r="T1937" t="s">
        <v>1097</v>
      </c>
      <c r="U1937" t="s">
        <v>818</v>
      </c>
      <c r="V1937" t="s">
        <v>18</v>
      </c>
      <c r="W1937" t="s">
        <v>857</v>
      </c>
    </row>
    <row r="1938" spans="1:23">
      <c r="A1938" t="s">
        <v>6776</v>
      </c>
      <c r="C1938" t="s">
        <v>19</v>
      </c>
      <c r="D1938" t="s">
        <v>857</v>
      </c>
      <c r="E1938" t="s">
        <v>857</v>
      </c>
      <c r="F1938" t="s">
        <v>4213</v>
      </c>
      <c r="T1938" t="s">
        <v>1097</v>
      </c>
      <c r="U1938" t="s">
        <v>818</v>
      </c>
      <c r="V1938" t="s">
        <v>857</v>
      </c>
      <c r="W1938" t="s">
        <v>2363</v>
      </c>
    </row>
    <row r="1939" spans="1:23">
      <c r="A1939" t="s">
        <v>6776</v>
      </c>
      <c r="C1939" t="s">
        <v>19</v>
      </c>
      <c r="D1939" t="s">
        <v>857</v>
      </c>
      <c r="E1939" t="s">
        <v>857</v>
      </c>
      <c r="F1939" t="s">
        <v>3872</v>
      </c>
      <c r="T1939" t="s">
        <v>1097</v>
      </c>
      <c r="U1939" t="s">
        <v>818</v>
      </c>
      <c r="V1939" t="s">
        <v>18</v>
      </c>
      <c r="W1939" t="s">
        <v>2366</v>
      </c>
    </row>
    <row r="1940" spans="1:23">
      <c r="A1940" t="s">
        <v>6776</v>
      </c>
      <c r="C1940" t="s">
        <v>19</v>
      </c>
      <c r="D1940" t="s">
        <v>857</v>
      </c>
      <c r="E1940" t="s">
        <v>857</v>
      </c>
      <c r="F1940" t="s">
        <v>3814</v>
      </c>
      <c r="T1940" t="s">
        <v>1097</v>
      </c>
      <c r="U1940" t="s">
        <v>818</v>
      </c>
      <c r="V1940" t="s">
        <v>18</v>
      </c>
      <c r="W1940" t="s">
        <v>2366</v>
      </c>
    </row>
    <row r="1941" spans="1:23">
      <c r="A1941" t="s">
        <v>6776</v>
      </c>
      <c r="C1941" t="s">
        <v>19</v>
      </c>
      <c r="D1941" t="s">
        <v>857</v>
      </c>
      <c r="E1941" t="s">
        <v>857</v>
      </c>
      <c r="F1941" t="s">
        <v>3761</v>
      </c>
      <c r="T1941" t="s">
        <v>1097</v>
      </c>
      <c r="U1941" t="s">
        <v>19</v>
      </c>
      <c r="V1941" t="s">
        <v>857</v>
      </c>
      <c r="W1941" t="s">
        <v>857</v>
      </c>
    </row>
    <row r="1942" spans="1:23">
      <c r="A1942" t="s">
        <v>6777</v>
      </c>
      <c r="C1942" t="s">
        <v>19</v>
      </c>
      <c r="D1942" t="s">
        <v>4037</v>
      </c>
      <c r="E1942" t="s">
        <v>857</v>
      </c>
      <c r="F1942" t="s">
        <v>4038</v>
      </c>
      <c r="T1942" t="s">
        <v>1097</v>
      </c>
      <c r="U1942" t="s">
        <v>19</v>
      </c>
      <c r="V1942" t="s">
        <v>18</v>
      </c>
      <c r="W1942" t="s">
        <v>857</v>
      </c>
    </row>
    <row r="1943" spans="1:23">
      <c r="A1943" t="s">
        <v>6778</v>
      </c>
      <c r="C1943" t="s">
        <v>19</v>
      </c>
      <c r="D1943" t="s">
        <v>2929</v>
      </c>
      <c r="E1943" t="s">
        <v>857</v>
      </c>
      <c r="F1943" t="s">
        <v>3974</v>
      </c>
      <c r="T1943" t="s">
        <v>1097</v>
      </c>
      <c r="U1943" t="s">
        <v>19</v>
      </c>
      <c r="V1943" t="s">
        <v>18</v>
      </c>
      <c r="W1943" t="s">
        <v>857</v>
      </c>
    </row>
    <row r="1944" spans="1:23">
      <c r="A1944" t="s">
        <v>6779</v>
      </c>
      <c r="C1944" t="s">
        <v>19</v>
      </c>
      <c r="D1944" t="s">
        <v>2931</v>
      </c>
      <c r="E1944" t="s">
        <v>857</v>
      </c>
      <c r="F1944" t="s">
        <v>3977</v>
      </c>
      <c r="T1944" t="s">
        <v>1097</v>
      </c>
      <c r="U1944" t="s">
        <v>19</v>
      </c>
      <c r="V1944" t="s">
        <v>18</v>
      </c>
      <c r="W1944" t="s">
        <v>857</v>
      </c>
    </row>
    <row r="1945" spans="1:23">
      <c r="A1945" t="s">
        <v>6780</v>
      </c>
      <c r="C1945" t="s">
        <v>19</v>
      </c>
      <c r="D1945" t="s">
        <v>2867</v>
      </c>
      <c r="E1945" t="s">
        <v>857</v>
      </c>
      <c r="F1945" t="s">
        <v>4159</v>
      </c>
      <c r="T1945" t="s">
        <v>1097</v>
      </c>
      <c r="U1945" t="s">
        <v>19</v>
      </c>
      <c r="V1945" t="s">
        <v>18</v>
      </c>
      <c r="W1945" t="s">
        <v>857</v>
      </c>
    </row>
    <row r="1946" spans="1:23">
      <c r="A1946" t="s">
        <v>6781</v>
      </c>
      <c r="C1946" t="s">
        <v>2384</v>
      </c>
      <c r="D1946" t="s">
        <v>857</v>
      </c>
      <c r="E1946" t="s">
        <v>857</v>
      </c>
      <c r="F1946" t="s">
        <v>3762</v>
      </c>
      <c r="T1946" t="s">
        <v>1097</v>
      </c>
      <c r="U1946" t="s">
        <v>19</v>
      </c>
      <c r="V1946" t="s">
        <v>18</v>
      </c>
      <c r="W1946" t="s">
        <v>857</v>
      </c>
    </row>
    <row r="1947" spans="1:23">
      <c r="A1947" t="s">
        <v>6782</v>
      </c>
      <c r="C1947" t="s">
        <v>2384</v>
      </c>
      <c r="D1947" t="s">
        <v>2863</v>
      </c>
      <c r="E1947" t="s">
        <v>857</v>
      </c>
      <c r="F1947" t="s">
        <v>3987</v>
      </c>
      <c r="T1947" t="s">
        <v>1097</v>
      </c>
      <c r="U1947" t="s">
        <v>19</v>
      </c>
      <c r="V1947" t="s">
        <v>857</v>
      </c>
      <c r="W1947" t="s">
        <v>2363</v>
      </c>
    </row>
    <row r="1948" spans="1:23">
      <c r="A1948" t="s">
        <v>6783</v>
      </c>
      <c r="C1948" t="s">
        <v>2384</v>
      </c>
      <c r="D1948" t="s">
        <v>2887</v>
      </c>
      <c r="E1948" t="s">
        <v>857</v>
      </c>
      <c r="F1948" t="s">
        <v>4006</v>
      </c>
      <c r="T1948" t="s">
        <v>1097</v>
      </c>
      <c r="U1948" t="s">
        <v>19</v>
      </c>
      <c r="V1948" t="s">
        <v>18</v>
      </c>
      <c r="W1948" t="s">
        <v>2363</v>
      </c>
    </row>
    <row r="1949" spans="1:23">
      <c r="A1949" t="s">
        <v>6784</v>
      </c>
      <c r="C1949" t="s">
        <v>816</v>
      </c>
      <c r="D1949" t="s">
        <v>2959</v>
      </c>
      <c r="E1949" t="s">
        <v>857</v>
      </c>
      <c r="F1949" t="s">
        <v>3968</v>
      </c>
      <c r="T1949" t="s">
        <v>1097</v>
      </c>
      <c r="U1949" t="s">
        <v>19</v>
      </c>
      <c r="V1949" t="s">
        <v>18</v>
      </c>
      <c r="W1949" t="s">
        <v>2366</v>
      </c>
    </row>
    <row r="1950" spans="1:23">
      <c r="A1950" t="s">
        <v>6785</v>
      </c>
      <c r="C1950" t="s">
        <v>816</v>
      </c>
      <c r="D1950" t="s">
        <v>2927</v>
      </c>
      <c r="E1950" t="s">
        <v>857</v>
      </c>
      <c r="F1950" t="s">
        <v>3978</v>
      </c>
      <c r="P1950" t="s">
        <v>4639</v>
      </c>
      <c r="T1950" t="s">
        <v>1097</v>
      </c>
      <c r="U1950" t="s">
        <v>2384</v>
      </c>
      <c r="V1950" t="s">
        <v>857</v>
      </c>
      <c r="W1950" t="s">
        <v>857</v>
      </c>
    </row>
    <row r="1951" spans="1:23">
      <c r="A1951" t="s">
        <v>6786</v>
      </c>
      <c r="C1951" t="s">
        <v>816</v>
      </c>
      <c r="D1951" t="s">
        <v>2925</v>
      </c>
      <c r="E1951" t="s">
        <v>857</v>
      </c>
      <c r="F1951" t="s">
        <v>3967</v>
      </c>
      <c r="T1951" t="s">
        <v>1097</v>
      </c>
      <c r="U1951" t="s">
        <v>2384</v>
      </c>
      <c r="V1951" t="s">
        <v>857</v>
      </c>
      <c r="W1951" t="s">
        <v>857</v>
      </c>
    </row>
    <row r="1952" spans="1:23">
      <c r="A1952" t="s">
        <v>6787</v>
      </c>
      <c r="C1952" t="s">
        <v>816</v>
      </c>
      <c r="D1952" t="s">
        <v>2957</v>
      </c>
      <c r="E1952" t="s">
        <v>857</v>
      </c>
      <c r="F1952" t="s">
        <v>3961</v>
      </c>
      <c r="T1952" t="s">
        <v>1097</v>
      </c>
      <c r="U1952" t="s">
        <v>2384</v>
      </c>
      <c r="V1952" t="s">
        <v>857</v>
      </c>
      <c r="W1952" t="s">
        <v>2363</v>
      </c>
    </row>
    <row r="1953" spans="1:23">
      <c r="A1953" t="s">
        <v>6788</v>
      </c>
      <c r="C1953" t="s">
        <v>816</v>
      </c>
      <c r="D1953" t="s">
        <v>2366</v>
      </c>
      <c r="E1953" t="s">
        <v>857</v>
      </c>
      <c r="F1953" t="s">
        <v>3962</v>
      </c>
      <c r="T1953" t="s">
        <v>1097</v>
      </c>
      <c r="U1953" t="s">
        <v>2416</v>
      </c>
      <c r="V1953" t="s">
        <v>18</v>
      </c>
      <c r="W1953" t="s">
        <v>2366</v>
      </c>
    </row>
    <row r="1954" spans="1:23">
      <c r="A1954" t="s">
        <v>6789</v>
      </c>
      <c r="C1954" t="s">
        <v>816</v>
      </c>
      <c r="D1954" t="s">
        <v>2867</v>
      </c>
      <c r="E1954" t="s">
        <v>857</v>
      </c>
      <c r="F1954" t="s">
        <v>3963</v>
      </c>
      <c r="T1954" t="s">
        <v>1097</v>
      </c>
      <c r="U1954" t="s">
        <v>816</v>
      </c>
      <c r="V1954" t="s">
        <v>857</v>
      </c>
      <c r="W1954" t="s">
        <v>857</v>
      </c>
    </row>
    <row r="1955" spans="1:23">
      <c r="A1955" t="s">
        <v>6790</v>
      </c>
      <c r="C1955" t="s">
        <v>816</v>
      </c>
      <c r="D1955" t="s">
        <v>2922</v>
      </c>
      <c r="E1955" t="s">
        <v>857</v>
      </c>
      <c r="F1955" t="s">
        <v>4036</v>
      </c>
      <c r="T1955" t="s">
        <v>1097</v>
      </c>
      <c r="U1955" t="s">
        <v>816</v>
      </c>
      <c r="V1955" t="s">
        <v>18</v>
      </c>
      <c r="W1955" t="s">
        <v>857</v>
      </c>
    </row>
    <row r="1956" spans="1:23">
      <c r="A1956" t="s">
        <v>6791</v>
      </c>
      <c r="D1956" t="s">
        <v>2903</v>
      </c>
      <c r="E1956" t="s">
        <v>857</v>
      </c>
      <c r="F1956" t="s">
        <v>3972</v>
      </c>
      <c r="T1956" t="s">
        <v>1097</v>
      </c>
      <c r="U1956" t="s">
        <v>816</v>
      </c>
      <c r="V1956" t="s">
        <v>18</v>
      </c>
      <c r="W1956" t="s">
        <v>857</v>
      </c>
    </row>
    <row r="1957" spans="1:23">
      <c r="A1957" t="s">
        <v>6792</v>
      </c>
      <c r="D1957" t="s">
        <v>3965</v>
      </c>
      <c r="E1957" t="s">
        <v>857</v>
      </c>
      <c r="F1957" t="s">
        <v>3966</v>
      </c>
      <c r="T1957" t="s">
        <v>1097</v>
      </c>
      <c r="U1957" t="s">
        <v>816</v>
      </c>
      <c r="V1957" t="s">
        <v>18</v>
      </c>
      <c r="W1957" t="s">
        <v>2363</v>
      </c>
    </row>
    <row r="1958" spans="1:23">
      <c r="A1958" t="s">
        <v>6793</v>
      </c>
      <c r="D1958" t="s">
        <v>3953</v>
      </c>
      <c r="E1958" t="s">
        <v>857</v>
      </c>
      <c r="F1958" t="s">
        <v>3954</v>
      </c>
      <c r="T1958" t="s">
        <v>1097</v>
      </c>
      <c r="U1958" t="s">
        <v>816</v>
      </c>
      <c r="V1958" t="s">
        <v>18</v>
      </c>
      <c r="W1958" t="s">
        <v>2366</v>
      </c>
    </row>
  </sheetData>
  <sheetProtection algorithmName="SHA-512" hashValue="o/UIATVhRWSzjYKCkp6TMuzsx0lnXMqfHCFdSqv3ZeeciFJ/rjDga0Am1JtFXRlU9w4OrXpdDuHFTzeNWEddvA==" saltValue="49qKEzSL7sBGUtIzpblDiQ==" spinCount="100000" sheet="1" objects="1" scenarios="1" formatColumns="0" formatRows="0" autoFilter="0"/>
  <autoFilter ref="AJ1:AN860" xr:uid="{00000000-0009-0000-0000-00001D000000}">
    <sortState xmlns:xlrd2="http://schemas.microsoft.com/office/spreadsheetml/2017/richdata2" ref="AJ2:AN860">
      <sortCondition ref="AK2:AK860"/>
      <sortCondition ref="AL2:AL860"/>
      <sortCondition ref="AM2:AM860"/>
    </sortState>
  </autoFilter>
  <sortState xmlns:xlrd2="http://schemas.microsoft.com/office/spreadsheetml/2017/richdata2" ref="A2:F1989">
    <sortCondition ref="B2:B1989"/>
    <sortCondition ref="C2:C1989"/>
    <sortCondition ref="D2:D1989"/>
    <sortCondition ref="E2:E1989"/>
  </sortState>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339933"/>
  </sheetPr>
  <dimension ref="A1:X89"/>
  <sheetViews>
    <sheetView showGridLines="0" zoomScale="87" zoomScaleNormal="87" workbookViewId="0">
      <selection activeCell="E15" sqref="E15"/>
    </sheetView>
  </sheetViews>
  <sheetFormatPr defaultColWidth="8.81640625" defaultRowHeight="14.5"/>
  <cols>
    <col min="1" max="1" width="8.81640625" style="92"/>
    <col min="2" max="3" width="15.36328125" style="92" customWidth="1"/>
    <col min="4" max="4" width="17.08984375" style="92" customWidth="1"/>
    <col min="5" max="5" width="17.81640625" style="92" bestFit="1" customWidth="1"/>
    <col min="6" max="6" width="20.26953125" style="92" customWidth="1"/>
    <col min="7" max="7" width="17.6328125" style="92" customWidth="1"/>
    <col min="8" max="8" width="22.6328125" style="92" customWidth="1"/>
    <col min="9" max="9" width="15.36328125" style="92" customWidth="1"/>
    <col min="10" max="10" width="19.08984375" style="92" customWidth="1"/>
    <col min="11" max="11" width="15.36328125" style="92" customWidth="1"/>
    <col min="12" max="12" width="19.6328125" style="92" customWidth="1"/>
    <col min="13" max="13" width="18.08984375" style="92" customWidth="1"/>
    <col min="14" max="15" width="15.36328125" style="92" customWidth="1"/>
    <col min="16" max="16384" width="8.81640625" style="92"/>
  </cols>
  <sheetData>
    <row r="1" spans="1:15" ht="23.65" customHeight="1" thickBot="1">
      <c r="A1" s="2047" t="s">
        <v>7628</v>
      </c>
      <c r="B1" s="2048"/>
      <c r="C1" s="2048"/>
      <c r="D1" s="2048"/>
      <c r="E1" s="2048"/>
      <c r="F1" s="2048"/>
      <c r="G1" s="2048"/>
      <c r="H1" s="2048"/>
      <c r="I1" s="2048"/>
      <c r="J1" s="2049"/>
      <c r="K1" s="82"/>
      <c r="L1" s="2046"/>
      <c r="M1" s="2042" t="s">
        <v>64</v>
      </c>
      <c r="N1" s="2042" t="s">
        <v>65</v>
      </c>
      <c r="O1" s="2042" t="s">
        <v>66</v>
      </c>
    </row>
    <row r="2" spans="1:15" ht="15" thickBot="1">
      <c r="A2" s="83"/>
      <c r="B2" s="83"/>
      <c r="C2" s="83"/>
      <c r="D2" s="83"/>
      <c r="E2" s="83"/>
      <c r="F2" s="83"/>
      <c r="G2" s="83"/>
      <c r="H2" s="83"/>
      <c r="I2" s="83"/>
      <c r="J2" s="83"/>
      <c r="K2" s="82"/>
      <c r="L2" s="2046"/>
      <c r="M2" s="2043"/>
      <c r="N2" s="2043"/>
      <c r="O2" s="2043"/>
    </row>
    <row r="3" spans="1:15" ht="15" customHeight="1" thickBot="1">
      <c r="A3" s="84"/>
      <c r="B3" s="2064" t="s">
        <v>0</v>
      </c>
      <c r="C3" s="2066">
        <f>SETUP!$E$3</f>
        <v>0</v>
      </c>
      <c r="D3" s="2066"/>
      <c r="E3" s="2066"/>
      <c r="F3" s="85"/>
      <c r="G3" s="2054" t="s">
        <v>1</v>
      </c>
      <c r="H3" s="2056">
        <f>SETUP!$G$13</f>
        <v>0</v>
      </c>
      <c r="I3" s="2056"/>
      <c r="J3" s="2057"/>
      <c r="K3" s="82"/>
      <c r="L3" s="1711"/>
      <c r="M3" s="91"/>
      <c r="N3" s="91"/>
      <c r="O3" s="91"/>
    </row>
    <row r="4" spans="1:15" ht="15.75" customHeight="1" thickTop="1" thickBot="1">
      <c r="A4" s="86"/>
      <c r="B4" s="2065"/>
      <c r="C4" s="2067"/>
      <c r="D4" s="2067"/>
      <c r="E4" s="2067"/>
      <c r="F4" s="87"/>
      <c r="G4" s="2055"/>
      <c r="H4" s="2058"/>
      <c r="I4" s="2058"/>
      <c r="J4" s="2059"/>
      <c r="K4" s="82"/>
      <c r="L4" s="71"/>
      <c r="M4" s="71"/>
      <c r="N4" s="71"/>
      <c r="O4" s="71"/>
    </row>
    <row r="5" spans="1:15" ht="15.5" thickTop="1" thickBot="1">
      <c r="A5" s="86"/>
      <c r="B5" s="2060" t="s">
        <v>2</v>
      </c>
      <c r="C5" s="2062" t="str">
        <f>SETUP!$E$6</f>
        <v>HIV</v>
      </c>
      <c r="D5" s="2062"/>
      <c r="E5" s="2062"/>
      <c r="F5" s="88"/>
      <c r="G5" s="2073" t="s">
        <v>3</v>
      </c>
      <c r="H5" s="2075">
        <f>SETUP!E7</f>
        <v>0</v>
      </c>
      <c r="I5" s="2075"/>
      <c r="J5" s="2076"/>
      <c r="K5" s="82"/>
      <c r="L5" s="71"/>
      <c r="M5" s="71"/>
      <c r="N5" s="71"/>
      <c r="O5" s="71"/>
    </row>
    <row r="6" spans="1:15" ht="15.5" thickTop="1" thickBot="1">
      <c r="A6" s="89"/>
      <c r="B6" s="2061"/>
      <c r="C6" s="2063"/>
      <c r="D6" s="2063"/>
      <c r="E6" s="2063"/>
      <c r="F6" s="90"/>
      <c r="G6" s="2074"/>
      <c r="H6" s="2077"/>
      <c r="I6" s="2077"/>
      <c r="J6" s="2078"/>
      <c r="K6" s="82"/>
      <c r="L6" s="71"/>
      <c r="M6" s="71"/>
      <c r="N6" s="71"/>
      <c r="O6" s="71"/>
    </row>
    <row r="7" spans="1:15">
      <c r="A7" s="80"/>
      <c r="B7" s="80"/>
      <c r="C7" s="80"/>
      <c r="D7" s="80"/>
      <c r="E7" s="80"/>
      <c r="F7" s="80"/>
      <c r="G7" s="280"/>
      <c r="H7" s="280"/>
      <c r="I7" s="280"/>
      <c r="J7" s="281"/>
      <c r="K7" s="79"/>
      <c r="L7" s="79"/>
      <c r="M7" s="79"/>
      <c r="N7" s="79"/>
      <c r="O7" s="91"/>
    </row>
    <row r="8" spans="1:15">
      <c r="A8" s="81"/>
      <c r="B8" s="2068" t="s">
        <v>67</v>
      </c>
      <c r="C8" s="2069"/>
      <c r="D8" s="2069"/>
      <c r="E8" s="2069"/>
      <c r="F8" s="2069"/>
      <c r="G8" s="2069"/>
      <c r="H8" s="2069"/>
      <c r="I8" s="2069"/>
      <c r="J8" s="2069"/>
      <c r="K8" s="2069"/>
      <c r="L8" s="2069"/>
      <c r="M8" s="2069"/>
      <c r="N8" s="2069"/>
      <c r="O8" s="185"/>
    </row>
    <row r="9" spans="1:15" ht="15" thickBot="1">
      <c r="A9" s="81"/>
      <c r="B9" s="2068"/>
      <c r="C9" s="2069"/>
      <c r="D9" s="2069"/>
      <c r="E9" s="2069"/>
      <c r="F9" s="2069"/>
      <c r="G9" s="2069"/>
      <c r="H9" s="2069"/>
      <c r="I9" s="2069"/>
      <c r="J9" s="2069"/>
      <c r="K9" s="2069"/>
      <c r="L9" s="2069"/>
      <c r="M9" s="2069"/>
      <c r="N9" s="2069"/>
      <c r="O9" s="185"/>
    </row>
    <row r="10" spans="1:15">
      <c r="A10" s="190"/>
      <c r="B10" s="2050"/>
      <c r="C10" s="2051"/>
      <c r="D10" s="2051"/>
      <c r="E10" s="2028" t="s">
        <v>68</v>
      </c>
      <c r="F10" s="2028"/>
      <c r="G10" s="2028" t="s">
        <v>69</v>
      </c>
      <c r="H10" s="2028"/>
      <c r="I10" s="2028" t="s">
        <v>70</v>
      </c>
      <c r="J10" s="2028"/>
      <c r="K10" s="2028" t="s">
        <v>71</v>
      </c>
      <c r="L10" s="2028"/>
      <c r="M10" s="2028" t="s">
        <v>72</v>
      </c>
      <c r="N10" s="2070"/>
      <c r="O10" s="185"/>
    </row>
    <row r="11" spans="1:15">
      <c r="A11" s="190"/>
      <c r="B11" s="2052"/>
      <c r="C11" s="2053"/>
      <c r="D11" s="2053"/>
      <c r="E11" s="2044" t="str">
        <f>IF(ISBLANK(IMP_ST_DATE),"Please fill setup",(IMP_ST_DATE))</f>
        <v>Please fill setup</v>
      </c>
      <c r="F11" s="2044"/>
      <c r="G11" s="2045" t="str">
        <f>IF(ISBLANK(IMP_ST_DATE),"Please fill setup",IF(MO_CHECK&gt;3,"Y1",YEAR(IMP_ST_DATE)))</f>
        <v>Please fill setup</v>
      </c>
      <c r="H11" s="2045"/>
      <c r="I11" s="2045" t="str">
        <f>IF(G11="Y1","Y2",IF(ISBLANK(IMP_ST_DATE),"Please fill setup",YEAR(IMP_ST_DATE)+1))</f>
        <v>Please fill setup</v>
      </c>
      <c r="J11" s="2045"/>
      <c r="K11" s="2045" t="str">
        <f>IF(G11="Y1","Y3",IF(ISBLANK(IMP_ST_DATE),"Please fill setup",YEAR(IMP_ST_DATE)+2))</f>
        <v>Please fill setup</v>
      </c>
      <c r="L11" s="2045"/>
      <c r="M11" s="2045"/>
      <c r="N11" s="2071"/>
      <c r="O11" s="185"/>
    </row>
    <row r="12" spans="1:15" ht="29.5" thickBot="1">
      <c r="A12" s="190"/>
      <c r="B12" s="798"/>
      <c r="C12" s="799"/>
      <c r="D12" s="799"/>
      <c r="E12" s="800" t="s">
        <v>7573</v>
      </c>
      <c r="F12" s="1661" t="s">
        <v>7574</v>
      </c>
      <c r="G12" s="800" t="s">
        <v>7573</v>
      </c>
      <c r="H12" s="1661" t="s">
        <v>7574</v>
      </c>
      <c r="I12" s="800" t="s">
        <v>7573</v>
      </c>
      <c r="J12" s="1661" t="s">
        <v>7574</v>
      </c>
      <c r="K12" s="800" t="s">
        <v>7573</v>
      </c>
      <c r="L12" s="1661" t="s">
        <v>7574</v>
      </c>
      <c r="M12" s="2029"/>
      <c r="N12" s="2072"/>
      <c r="O12" s="185"/>
    </row>
    <row r="13" spans="1:15">
      <c r="A13" s="190"/>
      <c r="B13" s="2088" t="s">
        <v>73</v>
      </c>
      <c r="C13" s="2089"/>
      <c r="D13" s="2089"/>
      <c r="E13" s="1303">
        <f>SUM(E14,E18)</f>
        <v>0</v>
      </c>
      <c r="F13" s="1303">
        <f>SUM(F14,F18)</f>
        <v>0</v>
      </c>
      <c r="G13" s="1303">
        <f t="shared" ref="G13:L13" si="0">SUM(G14,G18)</f>
        <v>0</v>
      </c>
      <c r="H13" s="1303">
        <f t="shared" si="0"/>
        <v>0</v>
      </c>
      <c r="I13" s="1303">
        <f t="shared" si="0"/>
        <v>0</v>
      </c>
      <c r="J13" s="1303">
        <f t="shared" si="0"/>
        <v>0</v>
      </c>
      <c r="K13" s="1303">
        <f t="shared" si="0"/>
        <v>0</v>
      </c>
      <c r="L13" s="1303">
        <f t="shared" si="0"/>
        <v>0</v>
      </c>
      <c r="M13" s="2022"/>
      <c r="N13" s="2023"/>
      <c r="O13" s="185"/>
    </row>
    <row r="14" spans="1:15">
      <c r="A14" s="190"/>
      <c r="B14" s="2090" t="s">
        <v>74</v>
      </c>
      <c r="C14" s="2091"/>
      <c r="D14" s="2091"/>
      <c r="E14" s="1304">
        <f>SUM(E15,E16,E17)</f>
        <v>0</v>
      </c>
      <c r="F14" s="1304">
        <f t="shared" ref="F14:L14" si="1">SUM(F15,F16,F17)</f>
        <v>0</v>
      </c>
      <c r="G14" s="1304">
        <f t="shared" si="1"/>
        <v>0</v>
      </c>
      <c r="H14" s="1304">
        <f t="shared" si="1"/>
        <v>0</v>
      </c>
      <c r="I14" s="1304">
        <f t="shared" si="1"/>
        <v>0</v>
      </c>
      <c r="J14" s="1304">
        <f t="shared" si="1"/>
        <v>0</v>
      </c>
      <c r="K14" s="1304">
        <f t="shared" si="1"/>
        <v>0</v>
      </c>
      <c r="L14" s="1304">
        <f t="shared" si="1"/>
        <v>0</v>
      </c>
      <c r="M14" s="2092"/>
      <c r="N14" s="2093"/>
      <c r="O14" s="185"/>
    </row>
    <row r="15" spans="1:15">
      <c r="A15" s="190"/>
      <c r="B15" s="2095" t="s">
        <v>75</v>
      </c>
      <c r="C15" s="2096"/>
      <c r="D15" s="2096"/>
      <c r="E15" s="902"/>
      <c r="F15" s="834"/>
      <c r="G15" s="834"/>
      <c r="H15" s="834"/>
      <c r="I15" s="834"/>
      <c r="J15" s="834"/>
      <c r="K15" s="834"/>
      <c r="L15" s="834"/>
      <c r="M15" s="2022"/>
      <c r="N15" s="2023"/>
      <c r="O15" s="185"/>
    </row>
    <row r="16" spans="1:15">
      <c r="A16" s="190"/>
      <c r="B16" s="2099" t="s">
        <v>76</v>
      </c>
      <c r="C16" s="2100"/>
      <c r="D16" s="2100"/>
      <c r="E16" s="903"/>
      <c r="F16" s="835"/>
      <c r="G16" s="835"/>
      <c r="H16" s="835"/>
      <c r="I16" s="835"/>
      <c r="J16" s="835"/>
      <c r="K16" s="835"/>
      <c r="L16" s="835"/>
      <c r="M16" s="2092"/>
      <c r="N16" s="2093"/>
      <c r="O16" s="185"/>
    </row>
    <row r="17" spans="1:18">
      <c r="A17" s="190"/>
      <c r="B17" s="2095" t="s">
        <v>77</v>
      </c>
      <c r="C17" s="2096"/>
      <c r="D17" s="2096"/>
      <c r="E17" s="902"/>
      <c r="F17" s="834"/>
      <c r="G17" s="834"/>
      <c r="H17" s="834"/>
      <c r="I17" s="834"/>
      <c r="J17" s="834"/>
      <c r="K17" s="834"/>
      <c r="L17" s="834"/>
      <c r="M17" s="2022"/>
      <c r="N17" s="2023"/>
      <c r="O17" s="185"/>
    </row>
    <row r="18" spans="1:18">
      <c r="A18" s="190"/>
      <c r="B18" s="2090" t="s">
        <v>78</v>
      </c>
      <c r="C18" s="2091"/>
      <c r="D18" s="2091"/>
      <c r="E18" s="1304">
        <f>SUM(E19,E20)</f>
        <v>0</v>
      </c>
      <c r="F18" s="1304">
        <f t="shared" ref="F18:L18" si="2">SUM(F19,F20)</f>
        <v>0</v>
      </c>
      <c r="G18" s="1304">
        <f t="shared" si="2"/>
        <v>0</v>
      </c>
      <c r="H18" s="1304">
        <f t="shared" si="2"/>
        <v>0</v>
      </c>
      <c r="I18" s="1304">
        <f t="shared" si="2"/>
        <v>0</v>
      </c>
      <c r="J18" s="1304">
        <f>SUM(J19,J20)</f>
        <v>0</v>
      </c>
      <c r="K18" s="1304">
        <f t="shared" si="2"/>
        <v>0</v>
      </c>
      <c r="L18" s="1304">
        <f t="shared" si="2"/>
        <v>0</v>
      </c>
      <c r="M18" s="2092"/>
      <c r="N18" s="2093"/>
      <c r="O18" s="185"/>
    </row>
    <row r="19" spans="1:18">
      <c r="A19" s="190"/>
      <c r="B19" s="2095" t="s">
        <v>79</v>
      </c>
      <c r="C19" s="2096"/>
      <c r="D19" s="2096"/>
      <c r="E19" s="902"/>
      <c r="F19" s="834"/>
      <c r="G19" s="834"/>
      <c r="H19" s="834"/>
      <c r="I19" s="834"/>
      <c r="J19" s="834"/>
      <c r="K19" s="834"/>
      <c r="L19" s="834"/>
      <c r="M19" s="2022"/>
      <c r="N19" s="2023"/>
      <c r="O19" s="185"/>
    </row>
    <row r="20" spans="1:18" ht="15" thickBot="1">
      <c r="A20" s="190"/>
      <c r="B20" s="2097" t="s">
        <v>80</v>
      </c>
      <c r="C20" s="2098"/>
      <c r="D20" s="2098"/>
      <c r="E20" s="904"/>
      <c r="F20" s="836"/>
      <c r="G20" s="836"/>
      <c r="H20" s="836"/>
      <c r="I20" s="836"/>
      <c r="J20" s="836"/>
      <c r="K20" s="836"/>
      <c r="L20" s="836"/>
      <c r="M20" s="2101"/>
      <c r="N20" s="2102"/>
      <c r="O20" s="420"/>
      <c r="P20" s="421"/>
      <c r="Q20" s="421"/>
      <c r="R20" s="421"/>
    </row>
    <row r="21" spans="1:18">
      <c r="A21" s="81"/>
      <c r="B21" s="282"/>
      <c r="C21" s="282"/>
      <c r="D21" s="282"/>
      <c r="E21" s="282"/>
      <c r="F21" s="282"/>
      <c r="G21" s="282"/>
      <c r="H21" s="282"/>
      <c r="I21" s="282"/>
      <c r="J21" s="283"/>
      <c r="K21" s="91"/>
      <c r="L21" s="91"/>
      <c r="M21" s="91"/>
      <c r="N21" s="91"/>
      <c r="O21" s="91"/>
    </row>
    <row r="22" spans="1:18">
      <c r="A22" s="81"/>
      <c r="B22" s="2068" t="s">
        <v>81</v>
      </c>
      <c r="C22" s="2084"/>
      <c r="D22" s="2084"/>
      <c r="E22" s="2084"/>
      <c r="F22" s="2084"/>
      <c r="G22" s="2084"/>
      <c r="H22" s="2084"/>
      <c r="I22" s="2084"/>
      <c r="J22" s="2084"/>
      <c r="K22" s="82"/>
      <c r="O22" s="71"/>
    </row>
    <row r="23" spans="1:18">
      <c r="A23" s="81"/>
      <c r="B23" s="2068"/>
      <c r="C23" s="2084"/>
      <c r="D23" s="2084"/>
      <c r="E23" s="2084"/>
      <c r="F23" s="2084"/>
      <c r="G23" s="2084"/>
      <c r="H23" s="2084"/>
      <c r="I23" s="2084"/>
      <c r="J23" s="2084"/>
      <c r="K23" s="82"/>
      <c r="L23" s="93"/>
      <c r="M23" s="94"/>
      <c r="N23" s="95"/>
      <c r="O23" s="71"/>
    </row>
    <row r="24" spans="1:18" ht="15" thickBot="1">
      <c r="A24" s="81"/>
      <c r="B24" s="787" t="s">
        <v>82</v>
      </c>
      <c r="C24" s="787"/>
      <c r="D24" s="787"/>
      <c r="E24" s="787"/>
      <c r="F24" s="787"/>
      <c r="G24" s="787"/>
      <c r="H24" s="787"/>
      <c r="I24" s="787"/>
      <c r="J24" s="787"/>
      <c r="K24" s="82"/>
      <c r="O24" s="71"/>
    </row>
    <row r="25" spans="1:18" s="423" customFormat="1" ht="29.5" thickBot="1">
      <c r="A25" s="793"/>
      <c r="B25" s="795" t="s">
        <v>83</v>
      </c>
      <c r="C25" s="2082" t="s">
        <v>84</v>
      </c>
      <c r="D25" s="2082"/>
      <c r="E25" s="2082"/>
      <c r="F25" s="796" t="s">
        <v>85</v>
      </c>
      <c r="G25" s="796" t="s">
        <v>86</v>
      </c>
      <c r="H25" s="796" t="s">
        <v>87</v>
      </c>
      <c r="I25" s="2085" t="s">
        <v>72</v>
      </c>
      <c r="J25" s="2086"/>
      <c r="K25" s="96"/>
      <c r="L25" s="97" t="s">
        <v>88</v>
      </c>
      <c r="M25" s="98"/>
      <c r="N25" s="99"/>
      <c r="O25" s="422"/>
    </row>
    <row r="26" spans="1:18" ht="15" thickBot="1">
      <c r="A26" s="190"/>
      <c r="B26" s="797"/>
      <c r="C26" s="2083"/>
      <c r="D26" s="2083"/>
      <c r="E26" s="2083"/>
      <c r="F26" s="905"/>
      <c r="G26" s="905"/>
      <c r="H26" s="905"/>
      <c r="I26" s="2083"/>
      <c r="J26" s="2087"/>
      <c r="K26" s="82"/>
      <c r="L26" s="100" t="s">
        <v>89</v>
      </c>
      <c r="M26" s="71"/>
      <c r="N26" s="71"/>
      <c r="O26" s="71"/>
    </row>
    <row r="27" spans="1:18" ht="15" thickBot="1">
      <c r="A27" s="190"/>
      <c r="B27" s="790"/>
      <c r="C27" s="2038"/>
      <c r="D27" s="2038"/>
      <c r="E27" s="2038"/>
      <c r="F27" s="835"/>
      <c r="G27" s="835"/>
      <c r="H27" s="835"/>
      <c r="I27" s="2038"/>
      <c r="J27" s="2039"/>
      <c r="K27" s="82"/>
      <c r="L27" s="2024" t="s">
        <v>90</v>
      </c>
      <c r="M27" s="2025"/>
      <c r="N27" s="311" t="s">
        <v>91</v>
      </c>
      <c r="O27" s="71"/>
    </row>
    <row r="28" spans="1:18" ht="15" thickBot="1">
      <c r="A28" s="190"/>
      <c r="B28" s="69"/>
      <c r="C28" s="2036"/>
      <c r="D28" s="2036"/>
      <c r="E28" s="2036"/>
      <c r="F28" s="834"/>
      <c r="G28" s="834"/>
      <c r="H28" s="834"/>
      <c r="I28" s="2036"/>
      <c r="J28" s="2037"/>
      <c r="K28" s="82"/>
      <c r="L28" s="2024" t="s">
        <v>92</v>
      </c>
      <c r="M28" s="2025"/>
      <c r="N28" s="311"/>
      <c r="O28" s="71"/>
    </row>
    <row r="29" spans="1:18" ht="15" thickBot="1">
      <c r="A29" s="190"/>
      <c r="B29" s="790"/>
      <c r="C29" s="2038"/>
      <c r="D29" s="2038"/>
      <c r="E29" s="2038"/>
      <c r="F29" s="835"/>
      <c r="G29" s="835"/>
      <c r="H29" s="835"/>
      <c r="I29" s="2038"/>
      <c r="J29" s="2039"/>
      <c r="K29" s="82"/>
      <c r="L29" s="2024" t="s">
        <v>93</v>
      </c>
      <c r="M29" s="2025"/>
      <c r="N29" s="311"/>
      <c r="O29" s="71"/>
    </row>
    <row r="30" spans="1:18" ht="15" thickBot="1">
      <c r="A30" s="190"/>
      <c r="B30" s="69"/>
      <c r="C30" s="2036"/>
      <c r="D30" s="2036"/>
      <c r="E30" s="2036"/>
      <c r="F30" s="834"/>
      <c r="G30" s="834"/>
      <c r="H30" s="834"/>
      <c r="I30" s="2036"/>
      <c r="J30" s="2037"/>
      <c r="K30" s="82"/>
      <c r="L30" s="2024" t="s">
        <v>95</v>
      </c>
      <c r="M30" s="2025"/>
      <c r="N30" s="311"/>
      <c r="O30" s="71"/>
    </row>
    <row r="31" spans="1:18" ht="15" thickBot="1">
      <c r="A31" s="190"/>
      <c r="B31" s="790"/>
      <c r="C31" s="2038"/>
      <c r="D31" s="2038"/>
      <c r="E31" s="2038"/>
      <c r="F31" s="835"/>
      <c r="G31" s="835"/>
      <c r="H31" s="835"/>
      <c r="I31" s="2038"/>
      <c r="J31" s="2039"/>
      <c r="K31" s="82"/>
      <c r="L31" s="2024" t="s">
        <v>96</v>
      </c>
      <c r="M31" s="2025"/>
      <c r="N31" s="311"/>
      <c r="O31" s="71"/>
    </row>
    <row r="32" spans="1:18" hidden="1">
      <c r="A32" s="190"/>
      <c r="B32" s="69"/>
      <c r="C32" s="2036"/>
      <c r="D32" s="2036"/>
      <c r="E32" s="2036"/>
      <c r="F32" s="834"/>
      <c r="G32" s="834"/>
      <c r="H32" s="834"/>
      <c r="I32" s="2036"/>
      <c r="J32" s="2037"/>
      <c r="K32" s="82"/>
      <c r="L32" s="71"/>
      <c r="M32" s="71"/>
      <c r="N32" s="71"/>
      <c r="O32" s="71"/>
    </row>
    <row r="33" spans="1:15" hidden="1">
      <c r="A33" s="190"/>
      <c r="B33" s="790"/>
      <c r="C33" s="2038"/>
      <c r="D33" s="2038"/>
      <c r="E33" s="2038"/>
      <c r="F33" s="835"/>
      <c r="G33" s="835"/>
      <c r="H33" s="835"/>
      <c r="I33" s="2038"/>
      <c r="J33" s="2039"/>
      <c r="K33" s="82"/>
      <c r="L33" s="71"/>
      <c r="M33" s="71"/>
      <c r="N33" s="71"/>
      <c r="O33" s="71"/>
    </row>
    <row r="34" spans="1:15" hidden="1">
      <c r="A34" s="190"/>
      <c r="B34" s="69"/>
      <c r="C34" s="2036"/>
      <c r="D34" s="2036"/>
      <c r="E34" s="2036"/>
      <c r="F34" s="834"/>
      <c r="G34" s="834"/>
      <c r="H34" s="834"/>
      <c r="I34" s="2036"/>
      <c r="J34" s="2037"/>
      <c r="K34" s="82"/>
      <c r="L34" s="71"/>
      <c r="M34" s="71"/>
      <c r="N34" s="71"/>
      <c r="O34" s="71"/>
    </row>
    <row r="35" spans="1:15" hidden="1">
      <c r="A35" s="190"/>
      <c r="B35" s="790"/>
      <c r="C35" s="2038"/>
      <c r="D35" s="2038"/>
      <c r="E35" s="2038"/>
      <c r="F35" s="835"/>
      <c r="G35" s="835"/>
      <c r="H35" s="835"/>
      <c r="I35" s="2038"/>
      <c r="J35" s="2039"/>
      <c r="K35" s="82"/>
      <c r="L35" s="71"/>
      <c r="M35" s="71"/>
      <c r="N35" s="71"/>
      <c r="O35" s="71"/>
    </row>
    <row r="36" spans="1:15" hidden="1">
      <c r="A36" s="190"/>
      <c r="B36" s="69"/>
      <c r="C36" s="2036"/>
      <c r="D36" s="2036"/>
      <c r="E36" s="2036"/>
      <c r="F36" s="834"/>
      <c r="G36" s="834"/>
      <c r="H36" s="834"/>
      <c r="I36" s="2036"/>
      <c r="J36" s="2037"/>
      <c r="K36" s="82"/>
      <c r="L36" s="71"/>
      <c r="M36" s="71"/>
      <c r="N36" s="71"/>
      <c r="O36" s="71"/>
    </row>
    <row r="37" spans="1:15" hidden="1">
      <c r="A37" s="190"/>
      <c r="B37" s="790"/>
      <c r="C37" s="2038"/>
      <c r="D37" s="2038"/>
      <c r="E37" s="2038"/>
      <c r="F37" s="835"/>
      <c r="G37" s="835"/>
      <c r="H37" s="835"/>
      <c r="I37" s="2038"/>
      <c r="J37" s="2039"/>
      <c r="K37" s="82"/>
      <c r="L37" s="71"/>
      <c r="M37" s="71"/>
      <c r="N37" s="71"/>
      <c r="O37" s="71"/>
    </row>
    <row r="38" spans="1:15" hidden="1">
      <c r="A38" s="190"/>
      <c r="B38" s="69"/>
      <c r="C38" s="2036"/>
      <c r="D38" s="2036"/>
      <c r="E38" s="2036"/>
      <c r="F38" s="834"/>
      <c r="G38" s="834"/>
      <c r="H38" s="834"/>
      <c r="I38" s="2036"/>
      <c r="J38" s="2037"/>
      <c r="K38" s="82"/>
      <c r="L38" s="71"/>
      <c r="M38" s="71"/>
      <c r="N38" s="71"/>
      <c r="O38" s="71"/>
    </row>
    <row r="39" spans="1:15" hidden="1">
      <c r="A39" s="190"/>
      <c r="B39" s="790"/>
      <c r="C39" s="2038"/>
      <c r="D39" s="2038"/>
      <c r="E39" s="2038"/>
      <c r="F39" s="835"/>
      <c r="G39" s="835"/>
      <c r="H39" s="835"/>
      <c r="I39" s="2038"/>
      <c r="J39" s="2039"/>
      <c r="K39" s="82"/>
      <c r="L39" s="71"/>
      <c r="M39" s="71"/>
      <c r="N39" s="71"/>
      <c r="O39" s="71"/>
    </row>
    <row r="40" spans="1:15" ht="15" thickBot="1">
      <c r="A40" s="190"/>
      <c r="B40" s="791"/>
      <c r="C40" s="2040"/>
      <c r="D40" s="2040"/>
      <c r="E40" s="2040"/>
      <c r="F40" s="906"/>
      <c r="G40" s="906"/>
      <c r="H40" s="906"/>
      <c r="I40" s="2040"/>
      <c r="J40" s="2041"/>
      <c r="K40" s="82"/>
      <c r="L40" s="71"/>
      <c r="M40" s="71"/>
      <c r="N40" s="71"/>
      <c r="O40" s="71"/>
    </row>
    <row r="41" spans="1:15" ht="15" thickBot="1">
      <c r="A41" s="81"/>
      <c r="B41" s="794" t="s">
        <v>97</v>
      </c>
      <c r="C41" s="794"/>
      <c r="D41" s="794"/>
      <c r="E41" s="794"/>
      <c r="F41" s="794"/>
      <c r="G41" s="794"/>
      <c r="H41" s="794"/>
      <c r="I41" s="794"/>
      <c r="J41" s="794"/>
      <c r="K41" s="82"/>
      <c r="L41" s="71"/>
      <c r="M41" s="71"/>
      <c r="N41" s="71"/>
      <c r="O41" s="71"/>
    </row>
    <row r="42" spans="1:15" ht="30" customHeight="1">
      <c r="A42" s="81"/>
      <c r="B42" s="2026" t="s">
        <v>83</v>
      </c>
      <c r="C42" s="2028" t="s">
        <v>98</v>
      </c>
      <c r="D42" s="788" t="s">
        <v>99</v>
      </c>
      <c r="E42" s="788" t="s">
        <v>100</v>
      </c>
      <c r="F42" s="788" t="s">
        <v>101</v>
      </c>
      <c r="G42" s="2030" t="s">
        <v>102</v>
      </c>
      <c r="H42" s="2032" t="s">
        <v>103</v>
      </c>
      <c r="I42" s="2030" t="s">
        <v>6864</v>
      </c>
      <c r="J42" s="2034" t="s">
        <v>103</v>
      </c>
      <c r="K42" s="82"/>
      <c r="L42" s="71"/>
      <c r="M42" s="71"/>
      <c r="N42" s="71"/>
      <c r="O42" s="71"/>
    </row>
    <row r="43" spans="1:15" ht="29.25" customHeight="1" thickBot="1">
      <c r="A43" s="81"/>
      <c r="B43" s="2027"/>
      <c r="C43" s="2029"/>
      <c r="D43" s="789" t="str">
        <f>IF(ISBLANK(IMP_ST_DATE),"Please fill setup",YEAR(IMP_ST_DATE))</f>
        <v>Please fill setup</v>
      </c>
      <c r="E43" s="789" t="str">
        <f>IF(ISBLANK(IMP_ST_DATE),"Please fill setup",YEAR(IMP_ST_DATE)+1)</f>
        <v>Please fill setup</v>
      </c>
      <c r="F43" s="789" t="str">
        <f>IF(ISBLANK(IMP_ST_DATE),"Please fill setup",YEAR(IMP_ST_DATE)+2)</f>
        <v>Please fill setup</v>
      </c>
      <c r="G43" s="2031"/>
      <c r="H43" s="2033"/>
      <c r="I43" s="2031"/>
      <c r="J43" s="2035"/>
      <c r="K43" s="82"/>
      <c r="L43" s="71"/>
      <c r="M43" s="71"/>
      <c r="N43" s="71"/>
      <c r="O43" s="71"/>
    </row>
    <row r="44" spans="1:15">
      <c r="A44" s="81"/>
      <c r="B44" s="69"/>
      <c r="C44" s="68"/>
      <c r="D44" s="834"/>
      <c r="E44" s="834"/>
      <c r="F44" s="834"/>
      <c r="G44" s="907"/>
      <c r="H44" s="907"/>
      <c r="I44" s="907"/>
      <c r="J44" s="908"/>
      <c r="K44" s="82"/>
      <c r="L44" s="71"/>
      <c r="M44" s="71"/>
      <c r="N44" s="71"/>
      <c r="O44" s="71"/>
    </row>
    <row r="45" spans="1:15">
      <c r="A45" s="81"/>
      <c r="B45" s="790"/>
      <c r="C45" s="67"/>
      <c r="D45" s="835"/>
      <c r="E45" s="835"/>
      <c r="F45" s="835"/>
      <c r="G45" s="886"/>
      <c r="H45" s="886"/>
      <c r="I45" s="886"/>
      <c r="J45" s="909"/>
      <c r="K45" s="82"/>
      <c r="L45" s="71"/>
      <c r="M45" s="71"/>
      <c r="N45" s="71"/>
      <c r="O45" s="71"/>
    </row>
    <row r="46" spans="1:15">
      <c r="A46" s="81"/>
      <c r="B46" s="69"/>
      <c r="C46" s="68"/>
      <c r="D46" s="834"/>
      <c r="E46" s="834"/>
      <c r="F46" s="834"/>
      <c r="G46" s="907"/>
      <c r="H46" s="907"/>
      <c r="I46" s="907"/>
      <c r="J46" s="908"/>
      <c r="K46" s="82"/>
      <c r="L46" s="71"/>
      <c r="M46" s="71"/>
      <c r="N46" s="71"/>
      <c r="O46" s="71"/>
    </row>
    <row r="47" spans="1:15">
      <c r="A47" s="81"/>
      <c r="B47" s="790"/>
      <c r="C47" s="67"/>
      <c r="D47" s="835"/>
      <c r="E47" s="835"/>
      <c r="F47" s="835"/>
      <c r="G47" s="886"/>
      <c r="H47" s="886"/>
      <c r="I47" s="886"/>
      <c r="J47" s="909"/>
      <c r="K47" s="82"/>
      <c r="L47" s="71"/>
      <c r="M47" s="71"/>
      <c r="N47" s="71"/>
      <c r="O47" s="71"/>
    </row>
    <row r="48" spans="1:15">
      <c r="A48" s="81"/>
      <c r="B48" s="69"/>
      <c r="C48" s="68"/>
      <c r="D48" s="834"/>
      <c r="E48" s="834"/>
      <c r="F48" s="834"/>
      <c r="G48" s="907"/>
      <c r="H48" s="907"/>
      <c r="I48" s="907"/>
      <c r="J48" s="908"/>
      <c r="K48" s="82"/>
      <c r="L48" s="71"/>
      <c r="M48" s="71"/>
      <c r="N48" s="71"/>
      <c r="O48" s="71"/>
    </row>
    <row r="49" spans="1:15">
      <c r="A49" s="81"/>
      <c r="B49" s="790"/>
      <c r="C49" s="67"/>
      <c r="D49" s="835"/>
      <c r="E49" s="835"/>
      <c r="F49" s="835"/>
      <c r="G49" s="886"/>
      <c r="H49" s="886"/>
      <c r="I49" s="886"/>
      <c r="J49" s="909"/>
      <c r="K49" s="82"/>
      <c r="L49" s="71"/>
      <c r="M49" s="71"/>
      <c r="N49" s="71"/>
      <c r="O49" s="71"/>
    </row>
    <row r="50" spans="1:15" ht="15" thickBot="1">
      <c r="A50" s="81"/>
      <c r="B50" s="791"/>
      <c r="C50" s="792"/>
      <c r="D50" s="906"/>
      <c r="E50" s="906"/>
      <c r="F50" s="906"/>
      <c r="G50" s="910"/>
      <c r="H50" s="910"/>
      <c r="I50" s="910"/>
      <c r="J50" s="911"/>
      <c r="K50" s="82"/>
      <c r="L50" s="424"/>
      <c r="M50" s="71"/>
      <c r="N50" s="71"/>
      <c r="O50" s="71"/>
    </row>
    <row r="51" spans="1:15" ht="15" thickBot="1">
      <c r="A51" s="81"/>
      <c r="B51" s="787" t="s">
        <v>104</v>
      </c>
      <c r="C51" s="787"/>
      <c r="D51" s="787"/>
      <c r="E51" s="787"/>
      <c r="F51" s="787"/>
      <c r="G51" s="787"/>
      <c r="H51" s="787"/>
      <c r="I51" s="787"/>
      <c r="J51" s="787"/>
      <c r="K51" s="82"/>
      <c r="L51" s="71"/>
      <c r="M51" s="71"/>
      <c r="N51" s="71"/>
      <c r="O51" s="71"/>
    </row>
    <row r="52" spans="1:15" ht="29">
      <c r="A52" s="190"/>
      <c r="B52" s="2026" t="s">
        <v>83</v>
      </c>
      <c r="C52" s="2028" t="s">
        <v>98</v>
      </c>
      <c r="D52" s="788" t="s">
        <v>99</v>
      </c>
      <c r="E52" s="788" t="s">
        <v>100</v>
      </c>
      <c r="F52" s="788" t="s">
        <v>101</v>
      </c>
      <c r="G52" s="2030" t="s">
        <v>102</v>
      </c>
      <c r="H52" s="2032" t="s">
        <v>103</v>
      </c>
      <c r="I52" s="2030" t="s">
        <v>6864</v>
      </c>
      <c r="J52" s="2034" t="s">
        <v>103</v>
      </c>
      <c r="K52" s="82"/>
      <c r="L52" s="71"/>
      <c r="M52" s="71"/>
      <c r="N52" s="71"/>
      <c r="O52" s="71"/>
    </row>
    <row r="53" spans="1:15" ht="15" thickBot="1">
      <c r="A53" s="190"/>
      <c r="B53" s="2027"/>
      <c r="C53" s="2029"/>
      <c r="D53" s="789" t="str">
        <f>D43</f>
        <v>Please fill setup</v>
      </c>
      <c r="E53" s="1271" t="str">
        <f t="shared" ref="E53:F53" si="3">E43</f>
        <v>Please fill setup</v>
      </c>
      <c r="F53" s="1271" t="str">
        <f t="shared" si="3"/>
        <v>Please fill setup</v>
      </c>
      <c r="G53" s="2031"/>
      <c r="H53" s="2033"/>
      <c r="I53" s="2031"/>
      <c r="J53" s="2035"/>
      <c r="K53" s="82"/>
      <c r="L53" s="71"/>
      <c r="M53" s="71"/>
      <c r="N53" s="71"/>
      <c r="O53" s="71"/>
    </row>
    <row r="54" spans="1:15">
      <c r="A54" s="190"/>
      <c r="B54" s="69"/>
      <c r="C54" s="68"/>
      <c r="D54" s="834"/>
      <c r="E54" s="834"/>
      <c r="F54" s="834"/>
      <c r="G54" s="907"/>
      <c r="H54" s="907"/>
      <c r="I54" s="907"/>
      <c r="J54" s="908"/>
      <c r="K54" s="82"/>
      <c r="L54" s="71"/>
      <c r="M54" s="71"/>
      <c r="N54" s="71"/>
      <c r="O54" s="71"/>
    </row>
    <row r="55" spans="1:15">
      <c r="A55" s="190"/>
      <c r="B55" s="790"/>
      <c r="C55" s="67"/>
      <c r="D55" s="835"/>
      <c r="E55" s="835"/>
      <c r="F55" s="835"/>
      <c r="G55" s="886"/>
      <c r="H55" s="886"/>
      <c r="I55" s="886"/>
      <c r="J55" s="909"/>
      <c r="K55" s="82"/>
      <c r="L55" s="71"/>
      <c r="M55" s="71"/>
      <c r="N55" s="71"/>
      <c r="O55" s="71"/>
    </row>
    <row r="56" spans="1:15">
      <c r="A56" s="190"/>
      <c r="B56" s="69"/>
      <c r="C56" s="68"/>
      <c r="D56" s="834"/>
      <c r="E56" s="834"/>
      <c r="F56" s="834"/>
      <c r="G56" s="907"/>
      <c r="H56" s="907"/>
      <c r="I56" s="907"/>
      <c r="J56" s="908"/>
      <c r="K56" s="82"/>
      <c r="L56" s="71"/>
      <c r="M56" s="71"/>
      <c r="N56" s="71"/>
      <c r="O56" s="71"/>
    </row>
    <row r="57" spans="1:15">
      <c r="A57" s="190"/>
      <c r="B57" s="790"/>
      <c r="C57" s="67"/>
      <c r="D57" s="835"/>
      <c r="E57" s="835"/>
      <c r="F57" s="835"/>
      <c r="G57" s="886"/>
      <c r="H57" s="886"/>
      <c r="I57" s="886"/>
      <c r="J57" s="909"/>
      <c r="K57" s="82"/>
      <c r="L57" s="71"/>
      <c r="M57" s="71"/>
      <c r="N57" s="71"/>
      <c r="O57" s="71"/>
    </row>
    <row r="58" spans="1:15">
      <c r="A58" s="190"/>
      <c r="B58" s="69"/>
      <c r="C58" s="68"/>
      <c r="D58" s="834"/>
      <c r="E58" s="834"/>
      <c r="F58" s="834"/>
      <c r="G58" s="907"/>
      <c r="H58" s="907"/>
      <c r="I58" s="907"/>
      <c r="J58" s="908"/>
      <c r="K58" s="82"/>
      <c r="L58" s="71"/>
      <c r="M58" s="71"/>
      <c r="N58" s="71"/>
      <c r="O58" s="71"/>
    </row>
    <row r="59" spans="1:15">
      <c r="A59" s="190"/>
      <c r="B59" s="790"/>
      <c r="C59" s="67"/>
      <c r="D59" s="835"/>
      <c r="E59" s="835"/>
      <c r="F59" s="835"/>
      <c r="G59" s="886"/>
      <c r="H59" s="886"/>
      <c r="I59" s="886"/>
      <c r="J59" s="909"/>
      <c r="K59" s="82"/>
      <c r="L59" s="71"/>
      <c r="M59" s="71"/>
      <c r="N59" s="71"/>
      <c r="O59" s="71"/>
    </row>
    <row r="60" spans="1:15" ht="15" thickBot="1">
      <c r="A60" s="190"/>
      <c r="B60" s="791"/>
      <c r="C60" s="792"/>
      <c r="D60" s="906"/>
      <c r="E60" s="906"/>
      <c r="F60" s="906"/>
      <c r="G60" s="910"/>
      <c r="H60" s="910"/>
      <c r="I60" s="910"/>
      <c r="J60" s="911"/>
      <c r="K60" s="82"/>
      <c r="L60" s="424"/>
      <c r="M60" s="71"/>
      <c r="N60" s="71"/>
      <c r="O60" s="71"/>
    </row>
    <row r="61" spans="1:15">
      <c r="B61" s="425"/>
      <c r="C61" s="425"/>
      <c r="D61" s="425"/>
      <c r="E61" s="425"/>
      <c r="F61" s="425"/>
      <c r="G61" s="425"/>
      <c r="H61" s="425"/>
      <c r="I61" s="425"/>
      <c r="J61" s="425"/>
    </row>
    <row r="62" spans="1:15" ht="30" customHeight="1">
      <c r="A62" s="2094" t="s">
        <v>7647</v>
      </c>
      <c r="B62" s="2094"/>
      <c r="C62" s="2094"/>
      <c r="D62" s="2094"/>
      <c r="E62" s="2094"/>
      <c r="F62" s="2094"/>
      <c r="G62" s="2094"/>
      <c r="H62" s="2094"/>
      <c r="I62" s="2094"/>
      <c r="J62" s="2094"/>
    </row>
    <row r="63" spans="1:15" ht="179.25" customHeight="1" thickBot="1">
      <c r="B63" s="2080" t="s">
        <v>7575</v>
      </c>
      <c r="C63" s="2081"/>
      <c r="D63" s="2081"/>
      <c r="E63" s="2081"/>
      <c r="F63" s="2081"/>
      <c r="G63" s="2081"/>
      <c r="H63" s="2081"/>
      <c r="I63" s="2081"/>
      <c r="J63" s="2081"/>
    </row>
    <row r="64" spans="1:15" ht="29.5" thickBot="1">
      <c r="B64" s="2013" t="s">
        <v>234</v>
      </c>
      <c r="C64" s="2014"/>
      <c r="D64" s="2015"/>
      <c r="E64" s="785" t="s">
        <v>235</v>
      </c>
      <c r="F64" s="785" t="s">
        <v>236</v>
      </c>
      <c r="G64" s="786" t="s">
        <v>237</v>
      </c>
      <c r="H64" s="601"/>
      <c r="I64" s="601" t="s">
        <v>2276</v>
      </c>
      <c r="J64" s="601" t="s">
        <v>2277</v>
      </c>
      <c r="K64" s="601" t="s">
        <v>2278</v>
      </c>
      <c r="L64" s="601"/>
    </row>
    <row r="65" spans="1:24">
      <c r="B65" s="2016" t="s">
        <v>2262</v>
      </c>
      <c r="C65" s="2017"/>
      <c r="D65" s="2018"/>
      <c r="E65" s="912"/>
      <c r="F65" s="912"/>
      <c r="G65" s="913"/>
      <c r="H65" s="601"/>
      <c r="I65" s="601">
        <v>44</v>
      </c>
      <c r="J65" s="601"/>
      <c r="K65" s="601"/>
      <c r="L65" s="601"/>
    </row>
    <row r="66" spans="1:24">
      <c r="B66" s="2004" t="s">
        <v>2263</v>
      </c>
      <c r="C66" s="2005"/>
      <c r="D66" s="2006"/>
      <c r="E66" s="912"/>
      <c r="F66" s="1539">
        <v>0</v>
      </c>
      <c r="G66" s="913"/>
      <c r="H66" s="601"/>
      <c r="I66" s="601">
        <v>45</v>
      </c>
      <c r="J66" s="601"/>
      <c r="K66" s="601"/>
      <c r="L66" s="601"/>
    </row>
    <row r="67" spans="1:24">
      <c r="B67" s="2016" t="s">
        <v>2264</v>
      </c>
      <c r="C67" s="2017"/>
      <c r="D67" s="2018"/>
      <c r="E67" s="912"/>
      <c r="F67" s="912"/>
      <c r="G67" s="913"/>
      <c r="H67" s="601"/>
      <c r="I67" s="601">
        <v>46</v>
      </c>
      <c r="J67" s="601"/>
      <c r="K67" s="601"/>
      <c r="L67" s="601"/>
    </row>
    <row r="68" spans="1:24">
      <c r="B68" s="2004" t="s">
        <v>2265</v>
      </c>
      <c r="C68" s="2005"/>
      <c r="D68" s="2006"/>
      <c r="E68" s="912"/>
      <c r="F68" s="912"/>
      <c r="G68" s="913"/>
      <c r="H68" s="601"/>
      <c r="I68" s="601">
        <v>47</v>
      </c>
      <c r="J68" s="601"/>
      <c r="K68" s="601"/>
      <c r="L68" s="601"/>
    </row>
    <row r="69" spans="1:24">
      <c r="B69" s="2016" t="s">
        <v>2266</v>
      </c>
      <c r="C69" s="2017"/>
      <c r="D69" s="2018"/>
      <c r="E69" s="912"/>
      <c r="F69" s="912"/>
      <c r="G69" s="913"/>
      <c r="H69" s="601"/>
      <c r="I69" s="601">
        <v>48</v>
      </c>
      <c r="J69" s="601"/>
      <c r="K69" s="601"/>
      <c r="L69" s="601"/>
    </row>
    <row r="70" spans="1:24">
      <c r="B70" s="2004" t="s">
        <v>2267</v>
      </c>
      <c r="C70" s="2005"/>
      <c r="D70" s="2006"/>
      <c r="E70" s="912"/>
      <c r="F70" s="912"/>
      <c r="G70" s="913"/>
      <c r="H70" s="601"/>
      <c r="I70" s="601">
        <v>49</v>
      </c>
      <c r="J70" s="601"/>
      <c r="K70" s="601"/>
      <c r="L70" s="601"/>
    </row>
    <row r="71" spans="1:24">
      <c r="B71" s="2007" t="s">
        <v>2268</v>
      </c>
      <c r="C71" s="2008"/>
      <c r="D71" s="2009"/>
      <c r="E71" s="912"/>
      <c r="F71" s="912"/>
      <c r="G71" s="913"/>
      <c r="H71" s="601"/>
      <c r="I71" s="601">
        <v>50</v>
      </c>
      <c r="J71" s="601"/>
      <c r="K71" s="601"/>
      <c r="L71" s="601"/>
    </row>
    <row r="72" spans="1:24">
      <c r="B72" s="2004" t="s">
        <v>2269</v>
      </c>
      <c r="C72" s="2005"/>
      <c r="D72" s="2006"/>
      <c r="E72" s="912"/>
      <c r="F72" s="912"/>
      <c r="G72" s="913"/>
      <c r="H72" s="601"/>
      <c r="I72" s="601">
        <v>51</v>
      </c>
      <c r="J72" s="601"/>
      <c r="K72" s="601"/>
      <c r="L72" s="601"/>
    </row>
    <row r="73" spans="1:24">
      <c r="B73" s="2016" t="s">
        <v>2270</v>
      </c>
      <c r="C73" s="2017"/>
      <c r="D73" s="2018"/>
      <c r="E73" s="912"/>
      <c r="F73" s="1540">
        <v>0</v>
      </c>
      <c r="G73" s="913"/>
      <c r="H73" s="601"/>
      <c r="I73" s="601">
        <v>52</v>
      </c>
      <c r="J73" s="601"/>
      <c r="K73" s="601"/>
      <c r="L73" s="601"/>
    </row>
    <row r="74" spans="1:24" ht="15" thickBot="1">
      <c r="B74" s="2010" t="s">
        <v>238</v>
      </c>
      <c r="C74" s="2011"/>
      <c r="D74" s="2012"/>
      <c r="E74" s="914"/>
      <c r="F74" s="914"/>
      <c r="G74" s="915"/>
      <c r="H74" s="601"/>
      <c r="I74" s="601">
        <v>53</v>
      </c>
      <c r="J74" s="601"/>
      <c r="K74" s="601"/>
      <c r="L74" s="601"/>
    </row>
    <row r="76" spans="1:24" s="1792" customFormat="1" ht="29.25" customHeight="1">
      <c r="A76" s="2079" t="s">
        <v>7648</v>
      </c>
      <c r="B76" s="2079"/>
      <c r="C76" s="2079"/>
      <c r="D76" s="2079"/>
      <c r="E76" s="2079"/>
      <c r="F76" s="2079"/>
      <c r="G76" s="2079"/>
      <c r="H76" s="2079"/>
      <c r="I76" s="2079"/>
      <c r="J76" s="2079"/>
    </row>
    <row r="77" spans="1:24" ht="192" customHeight="1" thickBot="1">
      <c r="B77" s="2080" t="s">
        <v>7576</v>
      </c>
      <c r="C77" s="2081"/>
      <c r="D77" s="2081"/>
      <c r="E77" s="2081"/>
      <c r="F77" s="2081"/>
      <c r="G77" s="2081"/>
      <c r="H77" s="2081"/>
      <c r="I77" s="2081"/>
      <c r="J77" s="2081"/>
    </row>
    <row r="78" spans="1:24" ht="29.5" thickBot="1">
      <c r="B78" s="2013" t="s">
        <v>234</v>
      </c>
      <c r="C78" s="2014"/>
      <c r="D78" s="2014"/>
      <c r="E78" s="785" t="s">
        <v>245</v>
      </c>
      <c r="F78" s="1418" t="s">
        <v>2271</v>
      </c>
      <c r="G78" s="785" t="s">
        <v>2272</v>
      </c>
      <c r="H78" s="785" t="s">
        <v>2273</v>
      </c>
      <c r="I78" s="786" t="s">
        <v>2274</v>
      </c>
      <c r="K78" s="601" t="s">
        <v>2276</v>
      </c>
      <c r="L78" s="601" t="s">
        <v>2277</v>
      </c>
      <c r="M78" s="601" t="s">
        <v>2278</v>
      </c>
      <c r="N78" s="601" t="s">
        <v>2279</v>
      </c>
      <c r="O78" s="601" t="s">
        <v>2280</v>
      </c>
      <c r="X78" s="1541"/>
    </row>
    <row r="79" spans="1:24">
      <c r="B79" s="2016" t="s">
        <v>2262</v>
      </c>
      <c r="C79" s="2017"/>
      <c r="D79" s="2018"/>
      <c r="E79" s="912"/>
      <c r="F79" s="1419"/>
      <c r="G79" s="912"/>
      <c r="H79" s="912"/>
      <c r="I79" s="912"/>
      <c r="K79" s="601">
        <v>90</v>
      </c>
      <c r="L79" s="601"/>
      <c r="M79" s="601"/>
      <c r="N79" s="601"/>
      <c r="O79" s="601"/>
      <c r="X79" s="1541"/>
    </row>
    <row r="80" spans="1:24">
      <c r="B80" s="2004" t="s">
        <v>2263</v>
      </c>
      <c r="C80" s="2005"/>
      <c r="D80" s="2006"/>
      <c r="E80" s="912"/>
      <c r="F80" s="1419"/>
      <c r="G80" s="912"/>
      <c r="H80" s="912"/>
      <c r="I80" s="912"/>
      <c r="K80" s="601">
        <v>91</v>
      </c>
      <c r="L80" s="601"/>
      <c r="M80" s="601"/>
      <c r="N80" s="601"/>
      <c r="O80" s="601"/>
      <c r="X80" s="1541"/>
    </row>
    <row r="81" spans="2:24">
      <c r="B81" s="2016" t="s">
        <v>2264</v>
      </c>
      <c r="C81" s="2017"/>
      <c r="D81" s="2018"/>
      <c r="E81" s="912"/>
      <c r="F81" s="1419"/>
      <c r="G81" s="912"/>
      <c r="H81" s="912"/>
      <c r="I81" s="912"/>
      <c r="K81" s="601">
        <v>92</v>
      </c>
      <c r="L81" s="601"/>
      <c r="M81" s="601"/>
      <c r="N81" s="601"/>
      <c r="O81" s="601"/>
      <c r="X81" s="1541"/>
    </row>
    <row r="82" spans="2:24">
      <c r="B82" s="2004" t="s">
        <v>2265</v>
      </c>
      <c r="C82" s="2005"/>
      <c r="D82" s="2006"/>
      <c r="E82" s="912"/>
      <c r="F82" s="1419"/>
      <c r="G82" s="912"/>
      <c r="H82" s="912"/>
      <c r="I82" s="912"/>
      <c r="K82" s="601">
        <v>93</v>
      </c>
      <c r="L82" s="601"/>
      <c r="M82" s="601"/>
      <c r="N82" s="601"/>
      <c r="O82" s="601"/>
      <c r="X82" s="1541"/>
    </row>
    <row r="83" spans="2:24">
      <c r="B83" s="2016" t="s">
        <v>2266</v>
      </c>
      <c r="C83" s="2017"/>
      <c r="D83" s="2018"/>
      <c r="E83" s="912"/>
      <c r="F83" s="1419"/>
      <c r="G83" s="912"/>
      <c r="H83" s="912"/>
      <c r="I83" s="912"/>
      <c r="K83" s="601">
        <v>94</v>
      </c>
      <c r="L83" s="601"/>
      <c r="M83" s="601"/>
      <c r="N83" s="601"/>
      <c r="O83" s="601"/>
      <c r="X83" s="1541"/>
    </row>
    <row r="84" spans="2:24">
      <c r="B84" s="2004" t="s">
        <v>2267</v>
      </c>
      <c r="C84" s="2005"/>
      <c r="D84" s="2006"/>
      <c r="E84" s="912"/>
      <c r="F84" s="1419"/>
      <c r="G84" s="912"/>
      <c r="H84" s="912"/>
      <c r="I84" s="912"/>
      <c r="K84" s="601">
        <v>95</v>
      </c>
      <c r="L84" s="601"/>
      <c r="M84" s="601"/>
      <c r="N84" s="601"/>
      <c r="O84" s="601"/>
      <c r="X84" s="1541"/>
    </row>
    <row r="85" spans="2:24">
      <c r="B85" s="2016" t="s">
        <v>2268</v>
      </c>
      <c r="C85" s="2017"/>
      <c r="D85" s="2018"/>
      <c r="E85" s="912"/>
      <c r="F85" s="1419"/>
      <c r="G85" s="912"/>
      <c r="H85" s="912"/>
      <c r="I85" s="912"/>
      <c r="K85" s="601">
        <v>96</v>
      </c>
      <c r="L85" s="601"/>
      <c r="M85" s="601"/>
      <c r="N85" s="601"/>
      <c r="O85" s="601"/>
      <c r="X85" s="1541"/>
    </row>
    <row r="86" spans="2:24">
      <c r="B86" s="2004" t="s">
        <v>2269</v>
      </c>
      <c r="C86" s="2005"/>
      <c r="D86" s="2006"/>
      <c r="E86" s="912"/>
      <c r="F86" s="1419"/>
      <c r="G86" s="912"/>
      <c r="H86" s="912"/>
      <c r="I86" s="912"/>
      <c r="K86" s="601">
        <v>97</v>
      </c>
      <c r="L86" s="601"/>
      <c r="M86" s="601"/>
      <c r="N86" s="601"/>
      <c r="O86" s="601"/>
      <c r="X86" s="1541"/>
    </row>
    <row r="87" spans="2:24">
      <c r="B87" s="2016" t="s">
        <v>2270</v>
      </c>
      <c r="C87" s="2017"/>
      <c r="D87" s="2018"/>
      <c r="E87" s="912"/>
      <c r="F87" s="1419"/>
      <c r="G87" s="912"/>
      <c r="H87" s="912"/>
      <c r="I87" s="912"/>
      <c r="K87" s="601">
        <v>98</v>
      </c>
      <c r="L87" s="601"/>
      <c r="M87" s="601"/>
      <c r="N87" s="601"/>
      <c r="O87" s="601"/>
      <c r="X87" s="1541"/>
    </row>
    <row r="88" spans="2:24">
      <c r="B88" s="2004" t="s">
        <v>2275</v>
      </c>
      <c r="C88" s="2005"/>
      <c r="D88" s="2006"/>
      <c r="E88" s="912"/>
      <c r="F88" s="1419"/>
      <c r="G88" s="912"/>
      <c r="H88" s="912"/>
      <c r="I88" s="912"/>
      <c r="K88" s="601">
        <v>99</v>
      </c>
      <c r="L88" s="601"/>
      <c r="M88" s="601"/>
      <c r="N88" s="601"/>
      <c r="O88" s="601"/>
      <c r="X88" s="1541"/>
    </row>
    <row r="89" spans="2:24" ht="15" thickBot="1">
      <c r="B89" s="2019" t="s">
        <v>238</v>
      </c>
      <c r="C89" s="2020"/>
      <c r="D89" s="2021"/>
      <c r="E89" s="914"/>
      <c r="F89" s="1420"/>
      <c r="G89" s="914"/>
      <c r="H89" s="914"/>
      <c r="I89" s="914"/>
      <c r="K89" s="601">
        <v>100</v>
      </c>
      <c r="L89" s="601"/>
      <c r="M89" s="601"/>
      <c r="N89" s="601"/>
      <c r="O89" s="601"/>
      <c r="X89" s="1541"/>
    </row>
  </sheetData>
  <sheetProtection algorithmName="SHA-512" hashValue="rZ8D16ftW0Ah1I7ZdCMCiq++/LY1zk7TTlPRtmJWRzv4lTNnbbgdsFhSuClfU6iDFXFH6qb8r20RhvfzjWE8bg==" saltValue="Io6ZUhFMbnr5+NWYwqCvHQ==" spinCount="100000" sheet="1" formatColumns="0" formatRows="0" selectLockedCells="1" autoFilter="0"/>
  <protectedRanges>
    <protectedRange algorithmName="SHA-512" hashValue="7N9iKCMcqPHKvLWu4Au8wN1+niRMbStdZitYPzq9Tm4fU6u5RSv4s2nhvOdcLT57IyyVaHB4r1UtQactBLwskA==" saltValue="RC10gSb1O8lfx9VpUTI+pQ==" spinCount="100000" sqref="E18:L18" name="Range2"/>
    <protectedRange algorithmName="SHA-512" hashValue="ub526V5sc6ynE/faleBqe/EOI7Y7LecQcmaMUhZ28/KoDAoKAjTmlaWt4sBeVAo7blM5Q1fS35uL+xKALjLBtg==" saltValue="8CcBW/DlJ4laUNGKqK2cqg==" spinCount="100000" sqref="E13:L14" name="Range1"/>
  </protectedRanges>
  <mergeCells count="117">
    <mergeCell ref="C30:E30"/>
    <mergeCell ref="C27:E27"/>
    <mergeCell ref="B73:D73"/>
    <mergeCell ref="B13:D13"/>
    <mergeCell ref="B14:D14"/>
    <mergeCell ref="M14:N14"/>
    <mergeCell ref="M19:N19"/>
    <mergeCell ref="B63:J63"/>
    <mergeCell ref="A62:J62"/>
    <mergeCell ref="B19:D19"/>
    <mergeCell ref="B20:D20"/>
    <mergeCell ref="B15:D15"/>
    <mergeCell ref="B16:D16"/>
    <mergeCell ref="B18:D18"/>
    <mergeCell ref="B17:D17"/>
    <mergeCell ref="M20:N20"/>
    <mergeCell ref="M17:N17"/>
    <mergeCell ref="M18:N18"/>
    <mergeCell ref="L27:M27"/>
    <mergeCell ref="L28:M28"/>
    <mergeCell ref="L29:M29"/>
    <mergeCell ref="L30:M30"/>
    <mergeCell ref="M15:N15"/>
    <mergeCell ref="M16:N16"/>
    <mergeCell ref="A76:J76"/>
    <mergeCell ref="B77:J77"/>
    <mergeCell ref="C28:E28"/>
    <mergeCell ref="C29:E29"/>
    <mergeCell ref="C25:E25"/>
    <mergeCell ref="C26:E26"/>
    <mergeCell ref="B22:J23"/>
    <mergeCell ref="I25:J25"/>
    <mergeCell ref="I26:J26"/>
    <mergeCell ref="C39:E39"/>
    <mergeCell ref="I31:J31"/>
    <mergeCell ref="C36:E36"/>
    <mergeCell ref="C37:E37"/>
    <mergeCell ref="C38:E38"/>
    <mergeCell ref="C31:E31"/>
    <mergeCell ref="C32:E32"/>
    <mergeCell ref="C33:E33"/>
    <mergeCell ref="C34:E34"/>
    <mergeCell ref="I27:J27"/>
    <mergeCell ref="I28:J28"/>
    <mergeCell ref="I29:J29"/>
    <mergeCell ref="I30:J30"/>
    <mergeCell ref="C35:E35"/>
    <mergeCell ref="B69:D69"/>
    <mergeCell ref="O1:O2"/>
    <mergeCell ref="E10:F10"/>
    <mergeCell ref="E11:F11"/>
    <mergeCell ref="G10:H10"/>
    <mergeCell ref="G11:H11"/>
    <mergeCell ref="I10:J10"/>
    <mergeCell ref="I11:J11"/>
    <mergeCell ref="K10:L10"/>
    <mergeCell ref="K11:L11"/>
    <mergeCell ref="L1:L2"/>
    <mergeCell ref="A1:J1"/>
    <mergeCell ref="B10:D11"/>
    <mergeCell ref="G3:G4"/>
    <mergeCell ref="H3:J4"/>
    <mergeCell ref="B5:B6"/>
    <mergeCell ref="C5:E6"/>
    <mergeCell ref="B3:B4"/>
    <mergeCell ref="C3:E4"/>
    <mergeCell ref="B8:N9"/>
    <mergeCell ref="M10:N12"/>
    <mergeCell ref="G5:G6"/>
    <mergeCell ref="H5:J6"/>
    <mergeCell ref="M1:M2"/>
    <mergeCell ref="N1:N2"/>
    <mergeCell ref="M13:N13"/>
    <mergeCell ref="L31:M31"/>
    <mergeCell ref="B52:B53"/>
    <mergeCell ref="C52:C53"/>
    <mergeCell ref="G52:G53"/>
    <mergeCell ref="H52:H53"/>
    <mergeCell ref="I52:I53"/>
    <mergeCell ref="J52:J53"/>
    <mergeCell ref="B42:B43"/>
    <mergeCell ref="C42:C43"/>
    <mergeCell ref="I32:J32"/>
    <mergeCell ref="I33:J33"/>
    <mergeCell ref="I34:J34"/>
    <mergeCell ref="I35:J35"/>
    <mergeCell ref="I36:J36"/>
    <mergeCell ref="I37:J37"/>
    <mergeCell ref="C40:E40"/>
    <mergeCell ref="G42:G43"/>
    <mergeCell ref="H42:H43"/>
    <mergeCell ref="I42:I43"/>
    <mergeCell ref="J42:J43"/>
    <mergeCell ref="I38:J38"/>
    <mergeCell ref="I39:J39"/>
    <mergeCell ref="I40:J40"/>
    <mergeCell ref="B83:D83"/>
    <mergeCell ref="B84:D84"/>
    <mergeCell ref="B85:D85"/>
    <mergeCell ref="B86:D86"/>
    <mergeCell ref="B89:D89"/>
    <mergeCell ref="B78:D78"/>
    <mergeCell ref="B79:D79"/>
    <mergeCell ref="B80:D80"/>
    <mergeCell ref="B81:D81"/>
    <mergeCell ref="B82:D82"/>
    <mergeCell ref="B87:D87"/>
    <mergeCell ref="B88:D88"/>
    <mergeCell ref="B70:D70"/>
    <mergeCell ref="B71:D71"/>
    <mergeCell ref="B72:D72"/>
    <mergeCell ref="B74:D74"/>
    <mergeCell ref="B64:D64"/>
    <mergeCell ref="B65:D65"/>
    <mergeCell ref="B66:D66"/>
    <mergeCell ref="B67:D67"/>
    <mergeCell ref="B68:D68"/>
  </mergeCells>
  <conditionalFormatting sqref="G26:G40">
    <cfRule type="cellIs" dxfId="512" priority="18" operator="greaterThan">
      <formula>$F26</formula>
    </cfRule>
  </conditionalFormatting>
  <conditionalFormatting sqref="H26:H40">
    <cfRule type="cellIs" dxfId="511" priority="16" operator="greaterThan">
      <formula>$F26-$G26</formula>
    </cfRule>
    <cfRule type="cellIs" dxfId="510" priority="17" operator="greaterThan">
      <formula>$F26</formula>
    </cfRule>
  </conditionalFormatting>
  <conditionalFormatting sqref="E65:E74">
    <cfRule type="expression" dxfId="509" priority="9">
      <formula>SUM($E$65:$E$74)&lt;&gt;1</formula>
    </cfRule>
  </conditionalFormatting>
  <conditionalFormatting sqref="F65:F74">
    <cfRule type="expression" dxfId="508" priority="8">
      <formula>SUM($F$65:$F$74)&lt;&gt;1</formula>
    </cfRule>
  </conditionalFormatting>
  <conditionalFormatting sqref="G65:G74">
    <cfRule type="expression" dxfId="507" priority="7">
      <formula>SUM($G$65:$G$74)&lt;&gt;1</formula>
    </cfRule>
  </conditionalFormatting>
  <conditionalFormatting sqref="E79:E89">
    <cfRule type="expression" dxfId="506" priority="6">
      <formula>SUM($E$79:$E$89)&lt;&gt;1</formula>
    </cfRule>
  </conditionalFormatting>
  <conditionalFormatting sqref="F79:F89">
    <cfRule type="expression" dxfId="505" priority="3">
      <formula>SUM($F$79:$F$89)&lt;&gt;1</formula>
    </cfRule>
  </conditionalFormatting>
  <conditionalFormatting sqref="G79:I89">
    <cfRule type="expression" dxfId="504" priority="2">
      <formula>IF(SUM($E79:$F79)=0,SUM($G79:$I79)&lt;&gt;0,SUM($G79:$I79)&lt;&gt;1)</formula>
    </cfRule>
  </conditionalFormatting>
  <conditionalFormatting sqref="E79:I89">
    <cfRule type="containsBlanks" dxfId="503" priority="1">
      <formula>LEN(TRIM(E79))=0</formula>
    </cfRule>
  </conditionalFormatting>
  <dataValidations count="7">
    <dataValidation type="list" allowBlank="1" showInputMessage="1" showErrorMessage="1" sqref="B26:B40 B44:B50 B54:B60" xr:uid="{00000000-0002-0000-0300-000000000000}">
      <formula1>VLEIDBrand</formula1>
    </dataValidation>
    <dataValidation type="list" allowBlank="1" showInputMessage="1" showErrorMessage="1" sqref="C26:C40" xr:uid="{00000000-0002-0000-0300-000001000000}">
      <formula1>INDIRECT(B26)</formula1>
    </dataValidation>
    <dataValidation type="list" allowBlank="1" showInputMessage="1" showErrorMessage="1" sqref="C44:C50 C54:C60" xr:uid="{00000000-0002-0000-0300-000002000000}">
      <formula1>SampleTypeVLEID</formula1>
    </dataValidation>
    <dataValidation type="list" allowBlank="1" showInputMessage="1" showErrorMessage="1" sqref="F26:H40" xr:uid="{00000000-0002-0000-0300-000003000000}">
      <formula1>NbMachin</formula1>
    </dataValidation>
    <dataValidation type="list" allowBlank="1" showInputMessage="1" showErrorMessage="1" sqref="N27:N31" xr:uid="{00000000-0002-0000-0300-000004000000}">
      <formula1>YesNo</formula1>
    </dataValidation>
    <dataValidation type="decimal" allowBlank="1" showInputMessage="1" showErrorMessage="1" sqref="G54:J60 G44:J50 E75:G75 E65:G74 E79:I89" xr:uid="{00000000-0002-0000-0300-000005000000}">
      <formula1>0</formula1>
      <formula2>1</formula2>
    </dataValidation>
    <dataValidation type="whole" allowBlank="1" showInputMessage="1" showErrorMessage="1" sqref="E13:L20 D44:F50 D54:F60" xr:uid="{B320CDD2-DFA0-4025-8626-664E92CC675F}">
      <formula1>0</formula1>
      <formula2>1E+29</formula2>
    </dataValidation>
  </dataValidations>
  <hyperlinks>
    <hyperlink ref="M1:M2" location="'HIV-Pharmaceuticals'!A1" display="Go to HIV-Pharmaceuticals" xr:uid="{00000000-0004-0000-0300-000001000000}"/>
    <hyperlink ref="N1:N2" location="'HIV-Equipment'!A1" display="Go to HIV-Equipment" xr:uid="{00000000-0004-0000-0300-000002000000}"/>
    <hyperlink ref="O1:O2" location="'HIV-Other HPs'!A1" display="Go to HIV-Other HPs" xr:uid="{00000000-0004-0000-0300-000003000000}"/>
  </hyperlinks>
  <pageMargins left="0.7" right="0.7" top="0.75" bottom="0.75" header="0.3" footer="0.3"/>
  <pageSetup paperSize="9" orientation="portrait" r:id="rId1"/>
  <drawing r:id="rId2"/>
  <tableParts count="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339933"/>
    <pageSetUpPr fitToPage="1"/>
  </sheetPr>
  <dimension ref="A1:BI192"/>
  <sheetViews>
    <sheetView showGridLines="0" zoomScale="86" zoomScaleNormal="86" workbookViewId="0">
      <selection activeCell="A10" sqref="A10:M10"/>
    </sheetView>
  </sheetViews>
  <sheetFormatPr defaultColWidth="8.81640625" defaultRowHeight="14.5"/>
  <cols>
    <col min="1" max="1" width="8.81640625" style="105"/>
    <col min="2" max="8" width="15.36328125" style="105" customWidth="1"/>
    <col min="9" max="9" width="12.36328125" style="105" customWidth="1"/>
    <col min="10" max="10" width="15.08984375" style="105" customWidth="1"/>
    <col min="11" max="11" width="14.36328125" style="105" customWidth="1"/>
    <col min="12" max="13" width="15.08984375" style="105" customWidth="1"/>
    <col min="14" max="14" width="15.08984375" style="959" customWidth="1"/>
    <col min="15" max="19" width="15.08984375" style="105" customWidth="1"/>
    <col min="20" max="21" width="15.08984375" style="959" customWidth="1"/>
    <col min="22" max="24" width="15.08984375" style="105" customWidth="1"/>
    <col min="25" max="25" width="13.36328125" style="105" customWidth="1"/>
    <col min="26" max="26" width="15.36328125" style="105" customWidth="1"/>
    <col min="27" max="27" width="13.7265625" style="959" bestFit="1" customWidth="1"/>
    <col min="28" max="28" width="15.36328125" style="959" customWidth="1"/>
    <col min="29" max="29" width="15.36328125" style="105" customWidth="1"/>
    <col min="30" max="30" width="13.36328125" style="105" customWidth="1"/>
    <col min="31" max="33" width="8.81640625" style="105"/>
    <col min="34" max="34" width="14.81640625" style="959" bestFit="1" customWidth="1"/>
    <col min="35" max="35" width="11" style="105" bestFit="1" customWidth="1"/>
    <col min="36" max="36" width="14.81640625" style="959" bestFit="1" customWidth="1"/>
    <col min="37" max="37" width="8.81640625" style="105"/>
    <col min="38" max="38" width="59.36328125" style="105" customWidth="1"/>
    <col min="39" max="46" width="8.81640625" style="105"/>
    <col min="47" max="47" width="0" style="105" hidden="1" customWidth="1"/>
    <col min="48" max="48" width="23.36328125" style="105" hidden="1" customWidth="1"/>
    <col min="49" max="60" width="15.81640625" style="105" hidden="1" customWidth="1"/>
    <col min="61" max="61" width="8.81640625" style="105" hidden="1" customWidth="1"/>
    <col min="62" max="16384" width="8.81640625" style="105"/>
  </cols>
  <sheetData>
    <row r="1" spans="1:60" ht="25.15" customHeight="1" thickBot="1">
      <c r="A1" s="2047" t="s">
        <v>7635</v>
      </c>
      <c r="B1" s="2048"/>
      <c r="C1" s="2048"/>
      <c r="D1" s="2048"/>
      <c r="E1" s="2048"/>
      <c r="F1" s="2048"/>
      <c r="G1" s="2048"/>
      <c r="H1" s="2048"/>
      <c r="I1" s="2048"/>
      <c r="J1" s="2048"/>
      <c r="K1" s="101"/>
      <c r="L1" s="2138"/>
      <c r="M1" s="2042" t="s">
        <v>145</v>
      </c>
      <c r="N1" s="2143" t="s">
        <v>65</v>
      </c>
      <c r="O1" s="2042" t="s">
        <v>66</v>
      </c>
      <c r="P1" s="102"/>
      <c r="Q1" s="103"/>
      <c r="R1" s="103"/>
      <c r="S1" s="103"/>
      <c r="T1" s="966"/>
      <c r="U1" s="966"/>
      <c r="V1" s="103"/>
      <c r="W1" s="103"/>
      <c r="X1" s="103"/>
      <c r="Y1" s="103"/>
      <c r="Z1" s="103"/>
      <c r="AA1" s="966"/>
      <c r="AB1" s="966"/>
      <c r="AC1" s="104"/>
    </row>
    <row r="2" spans="1:60" ht="15" thickBot="1">
      <c r="A2" s="106"/>
      <c r="B2" s="106"/>
      <c r="C2" s="106"/>
      <c r="D2" s="106"/>
      <c r="E2" s="106"/>
      <c r="F2" s="106"/>
      <c r="G2" s="106"/>
      <c r="H2" s="106"/>
      <c r="I2" s="106"/>
      <c r="J2" s="107"/>
      <c r="K2" s="101"/>
      <c r="L2" s="2142"/>
      <c r="M2" s="2043"/>
      <c r="N2" s="2144"/>
      <c r="O2" s="2043"/>
      <c r="P2" s="102"/>
      <c r="Q2" s="103"/>
      <c r="R2" s="103"/>
      <c r="S2" s="103"/>
      <c r="T2" s="966"/>
      <c r="U2" s="966"/>
      <c r="V2" s="103"/>
      <c r="W2" s="103"/>
      <c r="X2" s="103"/>
      <c r="Y2" s="103"/>
      <c r="Z2" s="103"/>
      <c r="AA2" s="966"/>
      <c r="AB2" s="966"/>
      <c r="AC2" s="104"/>
    </row>
    <row r="3" spans="1:60" ht="15" customHeight="1" thickBot="1">
      <c r="A3" s="108"/>
      <c r="B3" s="2064" t="s">
        <v>0</v>
      </c>
      <c r="C3" s="2056">
        <f>SETUP!$E$3</f>
        <v>0</v>
      </c>
      <c r="D3" s="2056"/>
      <c r="E3" s="2056"/>
      <c r="F3" s="109"/>
      <c r="G3" s="2151" t="s">
        <v>1</v>
      </c>
      <c r="H3" s="2056">
        <f>SETUP!$G$13</f>
        <v>0</v>
      </c>
      <c r="I3" s="2056"/>
      <c r="J3" s="2056"/>
      <c r="K3" s="110"/>
      <c r="L3" s="112"/>
      <c r="M3" s="112"/>
      <c r="N3" s="986"/>
      <c r="O3" s="112"/>
      <c r="P3" s="112"/>
      <c r="Q3" s="103"/>
      <c r="R3" s="103"/>
      <c r="S3" s="103"/>
      <c r="T3" s="966"/>
      <c r="U3" s="966"/>
      <c r="V3" s="103"/>
      <c r="W3" s="103"/>
      <c r="X3" s="103"/>
      <c r="Y3" s="103"/>
      <c r="Z3" s="103"/>
      <c r="AA3" s="966"/>
      <c r="AB3" s="966"/>
      <c r="AC3" s="103"/>
      <c r="AD3" s="113"/>
    </row>
    <row r="4" spans="1:60" ht="15.75" customHeight="1" thickTop="1" thickBot="1">
      <c r="A4" s="114"/>
      <c r="B4" s="2065"/>
      <c r="C4" s="2150"/>
      <c r="D4" s="2150"/>
      <c r="E4" s="2150"/>
      <c r="F4" s="115"/>
      <c r="G4" s="2152"/>
      <c r="H4" s="2058"/>
      <c r="I4" s="2058"/>
      <c r="J4" s="2058"/>
      <c r="K4" s="110"/>
      <c r="L4" s="102"/>
      <c r="M4" s="103"/>
      <c r="N4" s="966"/>
      <c r="O4" s="103"/>
      <c r="P4" s="103"/>
      <c r="Q4" s="103"/>
      <c r="R4" s="103"/>
      <c r="S4" s="103"/>
      <c r="T4" s="966"/>
      <c r="U4" s="966"/>
      <c r="V4" s="103"/>
      <c r="W4" s="103"/>
      <c r="X4" s="103"/>
      <c r="Y4" s="103"/>
      <c r="Z4" s="103"/>
      <c r="AA4" s="966"/>
      <c r="AB4" s="966"/>
      <c r="AC4" s="103"/>
      <c r="AD4" s="113"/>
    </row>
    <row r="5" spans="1:60" ht="15.5" thickTop="1" thickBot="1">
      <c r="A5" s="114"/>
      <c r="B5" s="2060" t="s">
        <v>2</v>
      </c>
      <c r="C5" s="2058" t="str">
        <f>SETUP!$E$6</f>
        <v>HIV</v>
      </c>
      <c r="D5" s="2058"/>
      <c r="E5" s="2058"/>
      <c r="F5" s="116"/>
      <c r="G5" s="2073" t="s">
        <v>3</v>
      </c>
      <c r="H5" s="2075">
        <f>SETUP!E7</f>
        <v>0</v>
      </c>
      <c r="I5" s="2075"/>
      <c r="J5" s="2076"/>
      <c r="K5" s="110"/>
      <c r="L5" s="102"/>
      <c r="M5" s="103"/>
      <c r="N5" s="966"/>
      <c r="O5" s="103"/>
      <c r="P5" s="103"/>
      <c r="Q5" s="103"/>
      <c r="R5" s="103"/>
      <c r="S5" s="103"/>
      <c r="T5" s="966"/>
      <c r="U5" s="966"/>
      <c r="V5" s="103"/>
      <c r="W5" s="103"/>
      <c r="X5" s="103"/>
      <c r="Y5" s="103"/>
      <c r="Z5" s="103"/>
      <c r="AA5" s="966"/>
      <c r="AB5" s="966"/>
      <c r="AC5" s="103"/>
      <c r="AD5" s="113"/>
    </row>
    <row r="6" spans="1:60" ht="15.5" thickTop="1" thickBot="1">
      <c r="A6" s="117"/>
      <c r="B6" s="2061"/>
      <c r="C6" s="2153"/>
      <c r="D6" s="2153"/>
      <c r="E6" s="2153"/>
      <c r="F6" s="118"/>
      <c r="G6" s="2074"/>
      <c r="H6" s="2077"/>
      <c r="I6" s="2077"/>
      <c r="J6" s="2078"/>
      <c r="K6" s="110"/>
      <c r="L6" s="102"/>
      <c r="M6" s="103"/>
      <c r="N6" s="966"/>
      <c r="O6" s="103"/>
      <c r="P6" s="103"/>
      <c r="Q6" s="103"/>
      <c r="R6" s="103"/>
      <c r="S6" s="103"/>
      <c r="T6" s="966"/>
      <c r="U6" s="966"/>
      <c r="V6" s="103"/>
      <c r="W6" s="103"/>
      <c r="X6" s="103"/>
      <c r="Y6" s="103"/>
      <c r="Z6" s="103"/>
      <c r="AA6" s="966"/>
      <c r="AB6" s="966"/>
      <c r="AC6" s="103"/>
      <c r="AD6" s="113"/>
    </row>
    <row r="7" spans="1:60" ht="15" thickBot="1">
      <c r="A7" s="119"/>
      <c r="B7" s="119"/>
      <c r="C7" s="119"/>
      <c r="D7" s="119"/>
      <c r="E7" s="119"/>
      <c r="F7" s="119"/>
      <c r="G7" s="119"/>
      <c r="H7" s="119"/>
      <c r="I7" s="119"/>
      <c r="J7" s="120"/>
      <c r="K7" s="103"/>
      <c r="L7" s="102"/>
      <c r="M7" s="103"/>
      <c r="N7" s="966"/>
      <c r="O7" s="103"/>
      <c r="P7" s="103"/>
      <c r="Q7" s="103"/>
      <c r="R7" s="103"/>
      <c r="S7" s="103"/>
      <c r="T7" s="966"/>
      <c r="U7" s="966"/>
      <c r="V7" s="103"/>
      <c r="W7" s="103"/>
      <c r="X7" s="103"/>
      <c r="Y7" s="103"/>
      <c r="Z7" s="103"/>
      <c r="AA7" s="966"/>
      <c r="AB7" s="966"/>
      <c r="AC7" s="103"/>
      <c r="AD7" s="113"/>
    </row>
    <row r="8" spans="1:60" ht="15" customHeight="1" thickBot="1">
      <c r="A8" s="2134">
        <v>1</v>
      </c>
      <c r="B8" s="2136" t="s">
        <v>146</v>
      </c>
      <c r="C8" s="2136"/>
      <c r="D8" s="2136"/>
      <c r="E8" s="2154" t="s">
        <v>39</v>
      </c>
      <c r="F8" s="2154"/>
      <c r="G8" s="2155"/>
      <c r="H8" s="2138" t="s">
        <v>147</v>
      </c>
      <c r="I8" s="121"/>
      <c r="J8" s="103"/>
      <c r="K8" s="103"/>
      <c r="L8" s="103"/>
      <c r="M8" s="103"/>
      <c r="N8" s="966"/>
      <c r="O8" s="103"/>
      <c r="P8" s="103"/>
      <c r="Q8" s="103"/>
      <c r="R8" s="103"/>
      <c r="S8" s="103"/>
      <c r="T8" s="966"/>
      <c r="U8" s="966"/>
      <c r="V8" s="103"/>
      <c r="W8" s="103"/>
      <c r="X8" s="103"/>
      <c r="Y8" s="103"/>
      <c r="Z8" s="103"/>
      <c r="AA8" s="966"/>
      <c r="AB8" s="966"/>
      <c r="AC8" s="103"/>
      <c r="AD8" s="113"/>
    </row>
    <row r="9" spans="1:60" ht="15" customHeight="1" thickBot="1">
      <c r="A9" s="2135"/>
      <c r="B9" s="2137"/>
      <c r="C9" s="2137"/>
      <c r="D9" s="2137"/>
      <c r="E9" s="2140" t="s">
        <v>148</v>
      </c>
      <c r="F9" s="2140"/>
      <c r="G9" s="2141"/>
      <c r="H9" s="2139"/>
      <c r="I9" s="121"/>
      <c r="J9" s="122"/>
      <c r="K9" s="122"/>
      <c r="L9" s="122"/>
      <c r="M9" s="122"/>
      <c r="N9" s="967"/>
      <c r="O9" s="122"/>
      <c r="P9" s="122"/>
      <c r="Q9" s="122"/>
      <c r="R9" s="122"/>
      <c r="S9" s="122"/>
      <c r="T9" s="967"/>
      <c r="U9" s="967"/>
      <c r="V9" s="122"/>
      <c r="W9" s="122"/>
      <c r="X9" s="122"/>
      <c r="Y9" s="122"/>
      <c r="Z9" s="122"/>
      <c r="AA9" s="967"/>
      <c r="AB9" s="967"/>
      <c r="AC9" s="122"/>
      <c r="AD9" s="123"/>
    </row>
    <row r="10" spans="1:60" ht="103.5" customHeight="1">
      <c r="A10" s="2080" t="s">
        <v>6900</v>
      </c>
      <c r="B10" s="2081"/>
      <c r="C10" s="2081"/>
      <c r="D10" s="2081"/>
      <c r="E10" s="2081"/>
      <c r="F10" s="2081"/>
      <c r="G10" s="2081"/>
      <c r="H10" s="2081"/>
      <c r="I10" s="2081"/>
      <c r="J10" s="2081"/>
      <c r="K10" s="2081"/>
      <c r="L10" s="2081"/>
      <c r="M10" s="2145"/>
      <c r="N10" s="968"/>
      <c r="O10" s="121"/>
      <c r="P10" s="121"/>
      <c r="Q10" s="121"/>
      <c r="R10" s="121"/>
      <c r="S10" s="121"/>
      <c r="T10" s="968"/>
      <c r="U10" s="968"/>
      <c r="V10" s="121"/>
      <c r="W10" s="121"/>
      <c r="X10" s="121"/>
      <c r="Y10" s="121"/>
      <c r="Z10" s="121"/>
      <c r="AA10" s="968"/>
      <c r="AB10" s="968"/>
      <c r="AC10" s="121"/>
      <c r="AD10" s="125"/>
    </row>
    <row r="11" spans="1:60" ht="16" thickBot="1">
      <c r="A11" s="126"/>
      <c r="B11" s="127"/>
      <c r="C11" s="127"/>
      <c r="D11" s="128"/>
      <c r="E11" s="128"/>
      <c r="F11" s="129"/>
      <c r="G11" s="129"/>
      <c r="H11" s="129"/>
      <c r="I11" s="129"/>
      <c r="J11" s="129"/>
      <c r="K11" s="130"/>
      <c r="L11" s="131"/>
      <c r="M11" s="131"/>
      <c r="N11" s="980"/>
      <c r="O11" s="131"/>
      <c r="P11" s="131"/>
      <c r="Q11" s="131"/>
      <c r="R11" s="131"/>
      <c r="S11" s="131"/>
      <c r="T11" s="980"/>
      <c r="U11" s="980"/>
      <c r="V11" s="131"/>
      <c r="W11" s="131"/>
      <c r="X11" s="131"/>
      <c r="Y11" s="129"/>
      <c r="Z11" s="129"/>
      <c r="AA11" s="969"/>
      <c r="AB11" s="969"/>
      <c r="AC11" s="129"/>
      <c r="AD11" s="132"/>
      <c r="AV11" s="426"/>
      <c r="AW11" s="2103" t="s">
        <v>1540</v>
      </c>
      <c r="AX11" s="2103"/>
      <c r="AY11" s="2103"/>
      <c r="AZ11" s="2103"/>
      <c r="BA11" s="2103"/>
      <c r="BB11" s="2103"/>
      <c r="BC11" s="2103"/>
      <c r="BD11" s="2103"/>
      <c r="BE11" s="2103"/>
      <c r="BF11" s="2103"/>
      <c r="BG11" s="2103"/>
      <c r="BH11" s="2103"/>
    </row>
    <row r="12" spans="1:60" s="988" customFormat="1" ht="15" customHeight="1" thickBot="1">
      <c r="A12" s="2116" t="s">
        <v>1685</v>
      </c>
      <c r="B12" s="2118"/>
      <c r="C12" s="2118"/>
      <c r="D12" s="2118"/>
      <c r="E12" s="2116" t="s">
        <v>149</v>
      </c>
      <c r="F12" s="2118"/>
      <c r="G12" s="2118"/>
      <c r="H12" s="2118"/>
      <c r="I12" s="2116" t="s">
        <v>150</v>
      </c>
      <c r="J12" s="2118"/>
      <c r="K12" s="2118"/>
      <c r="L12" s="2116" t="s">
        <v>151</v>
      </c>
      <c r="M12" s="2132" t="s">
        <v>49</v>
      </c>
      <c r="N12" s="2128" t="str">
        <f>IF(ISBLANK(IMP_ST_DATE),"Please fill setup",IF(MO_CHECK&gt;3,"Y1",YEAR(IMP_ST_DATE)))</f>
        <v>Please fill setup</v>
      </c>
      <c r="O12" s="2129"/>
      <c r="P12" s="2129"/>
      <c r="Q12" s="2129"/>
      <c r="R12" s="2129"/>
      <c r="S12" s="2129"/>
      <c r="T12" s="2131"/>
      <c r="U12" s="2128" t="str">
        <f>IF(N12="Y1","Y2",IF(ISBLANK(IMP_ST_DATE),"Please fill setup",YEAR(IMP_ST_DATE)+1))</f>
        <v>Please fill setup</v>
      </c>
      <c r="V12" s="2129"/>
      <c r="W12" s="2129"/>
      <c r="X12" s="2129"/>
      <c r="Y12" s="2129"/>
      <c r="Z12" s="2129"/>
      <c r="AA12" s="2130"/>
      <c r="AB12" s="2128" t="str">
        <f>IF(N12="Y1","Y3",IF(ISBLANK(IMP_ST_DATE),"Please fill setup",YEAR(IMP_ST_DATE)+2))</f>
        <v>Please fill setup</v>
      </c>
      <c r="AC12" s="2129"/>
      <c r="AD12" s="2129"/>
      <c r="AE12" s="2129"/>
      <c r="AF12" s="2129"/>
      <c r="AG12" s="2129"/>
      <c r="AH12" s="2130"/>
      <c r="AI12" s="2114" t="s">
        <v>152</v>
      </c>
      <c r="AJ12" s="2115"/>
      <c r="AK12" s="987" t="s">
        <v>153</v>
      </c>
      <c r="AL12" s="2158" t="s">
        <v>6865</v>
      </c>
      <c r="AV12" s="989"/>
      <c r="AW12" s="2104">
        <f>YEAR(IMP_ST_DATE)</f>
        <v>1900</v>
      </c>
      <c r="AX12" s="2104"/>
      <c r="AY12" s="2104"/>
      <c r="AZ12" s="2104"/>
      <c r="BA12" s="2104">
        <f>YEAR(IMP_ST_DATE)+1</f>
        <v>1901</v>
      </c>
      <c r="BB12" s="2104"/>
      <c r="BC12" s="2104"/>
      <c r="BD12" s="2104"/>
      <c r="BE12" s="2104">
        <f>YEAR(IMP_ST_DATE)+2</f>
        <v>1902</v>
      </c>
      <c r="BF12" s="2104"/>
      <c r="BG12" s="2104"/>
      <c r="BH12" s="2104"/>
    </row>
    <row r="13" spans="1:60" s="409" customFormat="1" ht="39.5" thickBot="1">
      <c r="A13" s="2119"/>
      <c r="B13" s="2120"/>
      <c r="C13" s="2120"/>
      <c r="D13" s="2120"/>
      <c r="E13" s="2119"/>
      <c r="F13" s="2120"/>
      <c r="G13" s="2120"/>
      <c r="H13" s="2120"/>
      <c r="I13" s="2119"/>
      <c r="J13" s="2120"/>
      <c r="K13" s="2120"/>
      <c r="L13" s="2117"/>
      <c r="M13" s="2133"/>
      <c r="N13" s="970" t="s">
        <v>154</v>
      </c>
      <c r="O13" s="429" t="s">
        <v>155</v>
      </c>
      <c r="P13" s="429" t="s">
        <v>156</v>
      </c>
      <c r="Q13" s="429" t="s">
        <v>157</v>
      </c>
      <c r="R13" s="429" t="s">
        <v>158</v>
      </c>
      <c r="S13" s="429" t="s">
        <v>159</v>
      </c>
      <c r="T13" s="960" t="s">
        <v>160</v>
      </c>
      <c r="U13" s="970" t="s">
        <v>161</v>
      </c>
      <c r="V13" s="429" t="s">
        <v>162</v>
      </c>
      <c r="W13" s="429" t="s">
        <v>163</v>
      </c>
      <c r="X13" s="429" t="s">
        <v>164</v>
      </c>
      <c r="Y13" s="429" t="s">
        <v>165</v>
      </c>
      <c r="Z13" s="429" t="s">
        <v>166</v>
      </c>
      <c r="AA13" s="960" t="s">
        <v>167</v>
      </c>
      <c r="AB13" s="970" t="s">
        <v>168</v>
      </c>
      <c r="AC13" s="429" t="s">
        <v>169</v>
      </c>
      <c r="AD13" s="429" t="s">
        <v>170</v>
      </c>
      <c r="AE13" s="429" t="s">
        <v>171</v>
      </c>
      <c r="AF13" s="429" t="s">
        <v>172</v>
      </c>
      <c r="AG13" s="429" t="s">
        <v>173</v>
      </c>
      <c r="AH13" s="960" t="s">
        <v>174</v>
      </c>
      <c r="AI13" s="428" t="s">
        <v>175</v>
      </c>
      <c r="AJ13" s="960" t="s">
        <v>176</v>
      </c>
      <c r="AK13" s="430" t="s">
        <v>177</v>
      </c>
      <c r="AL13" s="2159"/>
      <c r="AV13" s="431"/>
      <c r="AW13" s="432" t="s">
        <v>1528</v>
      </c>
      <c r="AX13" s="432" t="s">
        <v>1529</v>
      </c>
      <c r="AY13" s="432" t="s">
        <v>1530</v>
      </c>
      <c r="AZ13" s="432" t="s">
        <v>1531</v>
      </c>
      <c r="BA13" s="432" t="s">
        <v>1532</v>
      </c>
      <c r="BB13" s="432" t="s">
        <v>1533</v>
      </c>
      <c r="BC13" s="432" t="s">
        <v>1535</v>
      </c>
      <c r="BD13" s="432" t="s">
        <v>1536</v>
      </c>
      <c r="BE13" s="432" t="s">
        <v>1537</v>
      </c>
      <c r="BF13" s="432" t="s">
        <v>1538</v>
      </c>
      <c r="BG13" s="432" t="s">
        <v>1534</v>
      </c>
      <c r="BH13" s="432" t="s">
        <v>1539</v>
      </c>
    </row>
    <row r="14" spans="1:60" s="21" customFormat="1">
      <c r="A14" s="2121"/>
      <c r="B14" s="2122"/>
      <c r="C14" s="2122"/>
      <c r="D14" s="2122"/>
      <c r="E14" s="2121"/>
      <c r="F14" s="2122"/>
      <c r="G14" s="2122"/>
      <c r="H14" s="2122"/>
      <c r="I14" s="2121"/>
      <c r="J14" s="2122"/>
      <c r="K14" s="2123"/>
      <c r="L14" s="1503" t="str">
        <f>IF(E14="","",IF(ISNUMBER(SEARCH("opioid substitute",E14)),"Piece",IF(AND(OR(ISNUMBER(SEARCH("Emtricitabine",E14)),ISNUMBER(SEARCH("Fosamprenavir",E14))), ISNUMBER(SEARCH("Oral",I14))),"Piece","Pack")))</f>
        <v/>
      </c>
      <c r="M14" s="1479" t="str">
        <f>IF(L14="", "","USD")</f>
        <v/>
      </c>
      <c r="N14" s="971"/>
      <c r="O14" s="458"/>
      <c r="P14" s="458"/>
      <c r="Q14" s="458"/>
      <c r="R14" s="458"/>
      <c r="S14" s="433">
        <f>SUM('HIV-Pharmaceuticals'!$O14:$R14)</f>
        <v>0</v>
      </c>
      <c r="T14" s="981">
        <f>'HIV-Pharmaceuticals'!$N14*'HIV-Pharmaceuticals'!$S14</f>
        <v>0</v>
      </c>
      <c r="U14" s="971"/>
      <c r="V14" s="458"/>
      <c r="W14" s="458"/>
      <c r="X14" s="458"/>
      <c r="Y14" s="458"/>
      <c r="Z14" s="434">
        <f>SUM('HIV-Pharmaceuticals'!$V14:$Y14)</f>
        <v>0</v>
      </c>
      <c r="AA14" s="961">
        <f>'HIV-Pharmaceuticals'!$U14*'HIV-Pharmaceuticals'!$Z14</f>
        <v>0</v>
      </c>
      <c r="AB14" s="971"/>
      <c r="AC14" s="458"/>
      <c r="AD14" s="458"/>
      <c r="AE14" s="458"/>
      <c r="AF14" s="458"/>
      <c r="AG14" s="434">
        <f>SUM('HIV-Pharmaceuticals'!$AC14:$AF14)</f>
        <v>0</v>
      </c>
      <c r="AH14" s="961">
        <f>'HIV-Pharmaceuticals'!$AB14*'HIV-Pharmaceuticals'!$AG14</f>
        <v>0</v>
      </c>
      <c r="AI14" s="435">
        <f>'HIV-Pharmaceuticals'!$S14+'HIV-Pharmaceuticals'!$Z14+'HIV-Pharmaceuticals'!$AG14</f>
        <v>0</v>
      </c>
      <c r="AJ14" s="961">
        <f>'HIV-Pharmaceuticals'!$T14+'HIV-Pharmaceuticals'!$AA14+'HIV-Pharmaceuticals'!$AH14</f>
        <v>0</v>
      </c>
      <c r="AK14" s="1480" t="str">
        <f>IF(ISBLANK(A14),"",(IF(ISNUMBER(SEARCH("opioid sub",A14)),"4.4","4.1")))</f>
        <v/>
      </c>
      <c r="AL14" s="956"/>
      <c r="AV14" s="1481" t="s">
        <v>561</v>
      </c>
      <c r="AW14" s="552">
        <f>SUMPRODUCT(($A$14:$A$99="ARVs")*($N$14:$N$99)*((O14:O99)))</f>
        <v>0</v>
      </c>
      <c r="AX14" s="552">
        <f>SUMPRODUCT(($A$14:$A$99="ARVs")*($N$14:$N$99)*((P14:P99)))</f>
        <v>0</v>
      </c>
      <c r="AY14" s="552">
        <f>SUMPRODUCT(($A$14:$A$99="ARVs")*($N$14:$N$99)*((Q14:Q99)))</f>
        <v>0</v>
      </c>
      <c r="AZ14" s="552">
        <f>SUMPRODUCT(($A$14:$A$99="ARVs")*($N$14:$N$99)*((R14:R99)))</f>
        <v>0</v>
      </c>
      <c r="BA14" s="552">
        <f>SUMPRODUCT(($A$14:$A$99="ARVs")*($U$14:$U$99)*((V14:V99)))</f>
        <v>0</v>
      </c>
      <c r="BB14" s="552">
        <f>SUMPRODUCT(($A$14:$A$99="ARVs")*($U$14:$U$99)*((W14:W99)))</f>
        <v>0</v>
      </c>
      <c r="BC14" s="552">
        <f>SUMPRODUCT(($A$14:$A$99="ARVs")*($U$14:$U$99)*((X14:X99)))</f>
        <v>0</v>
      </c>
      <c r="BD14" s="552">
        <f>SUMPRODUCT(($A$14:$A$99="ARVs")*($U$14:$U$99)*((Y14:Y99)))</f>
        <v>0</v>
      </c>
      <c r="BE14" s="552">
        <f>SUMPRODUCT(($A$14:$A$99="ARVs")*($AB$14:$AB$99)*((AC14:AC99)))</f>
        <v>0</v>
      </c>
      <c r="BF14" s="552">
        <f>SUMPRODUCT(($A$14:$A$99="ARVs")*($AB$14:$AB$99)*((AD14:AD99)))</f>
        <v>0</v>
      </c>
      <c r="BG14" s="552">
        <f>SUMPRODUCT(($A$14:$A$99="ARVs")*($AB$14:$AB$99)*((AE14:AE99)))</f>
        <v>0</v>
      </c>
      <c r="BH14" s="552">
        <f>SUMPRODUCT(($A$14:$A$99="ARVs")*($AB$14:$AB$99)*((AF14:AF99)))</f>
        <v>0</v>
      </c>
    </row>
    <row r="15" spans="1:60" s="21" customFormat="1">
      <c r="A15" s="2108"/>
      <c r="B15" s="2109"/>
      <c r="C15" s="2109"/>
      <c r="D15" s="2109"/>
      <c r="E15" s="2124"/>
      <c r="F15" s="2125"/>
      <c r="G15" s="2125"/>
      <c r="H15" s="2125"/>
      <c r="I15" s="2124"/>
      <c r="J15" s="2126"/>
      <c r="K15" s="2127"/>
      <c r="L15" s="1504" t="str">
        <f t="shared" ref="L15" si="0">IF(E15="","",IF(ISNUMBER(SEARCH("opioid substitute",E15)),"Piece",IF(AND(OR(ISNUMBER(SEARCH("Emtricitabine",E15)),ISNUMBER(SEARCH("Fosamprenavir",E15))), ISNUMBER(SEARCH("Oral",I15))),"Piece","Pack")))</f>
        <v/>
      </c>
      <c r="M15" s="1482" t="str">
        <f t="shared" ref="M15" si="1">IF(L15="", "","USD")</f>
        <v/>
      </c>
      <c r="N15" s="973"/>
      <c r="O15" s="459"/>
      <c r="P15" s="459"/>
      <c r="Q15" s="459"/>
      <c r="R15" s="459"/>
      <c r="S15" s="34">
        <f>SUM('HIV-Pharmaceuticals'!$O15:$R15)</f>
        <v>0</v>
      </c>
      <c r="T15" s="982">
        <f>'HIV-Pharmaceuticals'!$N15*'HIV-Pharmaceuticals'!$S15</f>
        <v>0</v>
      </c>
      <c r="U15" s="973"/>
      <c r="V15" s="463"/>
      <c r="W15" s="463"/>
      <c r="X15" s="463"/>
      <c r="Y15" s="463"/>
      <c r="Z15" s="437">
        <f>SUM('HIV-Pharmaceuticals'!$V15:$Y15)</f>
        <v>0</v>
      </c>
      <c r="AA15" s="972">
        <f>'HIV-Pharmaceuticals'!$U15*'HIV-Pharmaceuticals'!$Z15</f>
        <v>0</v>
      </c>
      <c r="AB15" s="973"/>
      <c r="AC15" s="459"/>
      <c r="AD15" s="459"/>
      <c r="AE15" s="459"/>
      <c r="AF15" s="459"/>
      <c r="AG15" s="438">
        <f>SUM('HIV-Pharmaceuticals'!$AC15:$AF15)</f>
        <v>0</v>
      </c>
      <c r="AH15" s="962">
        <f>'HIV-Pharmaceuticals'!$AB15*'HIV-Pharmaceuticals'!$AG15</f>
        <v>0</v>
      </c>
      <c r="AI15" s="439">
        <f>'HIV-Pharmaceuticals'!$S15+'HIV-Pharmaceuticals'!$Z15+'HIV-Pharmaceuticals'!$AG15</f>
        <v>0</v>
      </c>
      <c r="AJ15" s="962">
        <f>'HIV-Pharmaceuticals'!$T15+'HIV-Pharmaceuticals'!$AA15+'HIV-Pharmaceuticals'!$AH15</f>
        <v>0</v>
      </c>
      <c r="AK15" s="1483" t="str">
        <f t="shared" ref="AK15" si="2">IF(ISBLANK(A15),"",(IF(ISNUMBER(SEARCH("opioid sub",A15)),"4.4","4.1")))</f>
        <v/>
      </c>
      <c r="AL15" s="1222"/>
      <c r="AV15" s="1481" t="s">
        <v>44</v>
      </c>
      <c r="AW15" s="552">
        <f>SUMPRODUCT(($A$14:$A$99="Opioid substitute medicines")*($N$14:$N$99)*((O14:O99)))</f>
        <v>0</v>
      </c>
      <c r="AX15" s="552">
        <f>SUMPRODUCT(($A$14:$A$99="Opioid substitute medicines")*($N$14:$N$99)*((P14:P99)))</f>
        <v>0</v>
      </c>
      <c r="AY15" s="552">
        <f>SUMPRODUCT(($A$14:$A$99="Opioid substitute medicines")*($N$14:$N$99)*((Q14:Q99)))</f>
        <v>0</v>
      </c>
      <c r="AZ15" s="552">
        <f>SUMPRODUCT(($A$14:$A$99="Opioid substitute medicines")*($N$14:$N$99)*((R14:R99)))</f>
        <v>0</v>
      </c>
      <c r="BA15" s="552">
        <f>SUMPRODUCT(($A$14:$A$99="Opioid substitute medicines")*($U$14:$U$99)*((V14:V99)))</f>
        <v>0</v>
      </c>
      <c r="BB15" s="552">
        <f>SUMPRODUCT(($A$14:$A$99="Opioid substitute medicines")*($U$14:$U$99)*((W14:W99)))</f>
        <v>0</v>
      </c>
      <c r="BC15" s="552">
        <f>SUMPRODUCT(($A$14:$A$99="Opioid substitute medicines")*($U$14:$U$99)*((X14:X99)))</f>
        <v>0</v>
      </c>
      <c r="BD15" s="552">
        <f>SUMPRODUCT(($A$14:$A$99="Opioid substitute medicines")*($U$14:$U$99)*((Y14:Y99)))</f>
        <v>0</v>
      </c>
      <c r="BE15" s="552">
        <f>SUMPRODUCT(($A$14:$A$99="Opioid substitute medicines")*($AB$14:$AB$99)*((AC14:AC99)))</f>
        <v>0</v>
      </c>
      <c r="BF15" s="552">
        <f>SUMPRODUCT(($A$14:$A$99="Opioid substitute medicines")*($AB$14:$AB$99)*((AD14:AD99)))</f>
        <v>0</v>
      </c>
      <c r="BG15" s="552">
        <f>SUMPRODUCT(($A$14:$A$99="Opioid substitute medicines")*($AB$14:$AB$99)*((AE14:AE99)))</f>
        <v>0</v>
      </c>
      <c r="BH15" s="552">
        <f>SUMPRODUCT(($A$14:$A$99="Opioid substitute medicines")*($AB$14:$AB$99)*((AF14:AF99)))</f>
        <v>0</v>
      </c>
    </row>
    <row r="16" spans="1:60">
      <c r="A16" s="2105"/>
      <c r="B16" s="2106"/>
      <c r="C16" s="2106"/>
      <c r="D16" s="2107"/>
      <c r="E16" s="2105"/>
      <c r="F16" s="2106"/>
      <c r="G16" s="2106"/>
      <c r="H16" s="2106"/>
      <c r="I16" s="2105"/>
      <c r="J16" s="2106"/>
      <c r="K16" s="2107"/>
      <c r="L16" s="1505" t="str">
        <f t="shared" ref="L16:L78" si="3">IF(E16="","",IF(ISNUMBER(SEARCH("opioid substitute",E16)),"Piece",IF(AND(OR(ISNUMBER(SEARCH("Emtricitabine",E16)),ISNUMBER(SEARCH("Fosamprenavir",E16))), ISNUMBER(SEARCH("Oral",I16))),"Piece","Pack")))</f>
        <v/>
      </c>
      <c r="M16" s="347" t="str">
        <f t="shared" ref="M16:M78" si="4">IF(L16="", "","USD")</f>
        <v/>
      </c>
      <c r="N16" s="975"/>
      <c r="O16" s="460"/>
      <c r="P16" s="460"/>
      <c r="Q16" s="460"/>
      <c r="R16" s="460"/>
      <c r="S16" s="33">
        <f>SUM('HIV-Pharmaceuticals'!$O16:$R16)</f>
        <v>0</v>
      </c>
      <c r="T16" s="983">
        <f>'HIV-Pharmaceuticals'!$N16*'HIV-Pharmaceuticals'!$S16</f>
        <v>0</v>
      </c>
      <c r="U16" s="975"/>
      <c r="V16" s="464"/>
      <c r="W16" s="464"/>
      <c r="X16" s="464"/>
      <c r="Y16" s="464"/>
      <c r="Z16" s="441">
        <f>SUM('HIV-Pharmaceuticals'!$V16:$Y16)</f>
        <v>0</v>
      </c>
      <c r="AA16" s="974">
        <f>'HIV-Pharmaceuticals'!$U16*'HIV-Pharmaceuticals'!$Z16</f>
        <v>0</v>
      </c>
      <c r="AB16" s="975"/>
      <c r="AC16" s="460"/>
      <c r="AD16" s="460"/>
      <c r="AE16" s="460"/>
      <c r="AF16" s="460"/>
      <c r="AG16" s="442">
        <f>SUM('HIV-Pharmaceuticals'!$AC16:$AF16)</f>
        <v>0</v>
      </c>
      <c r="AH16" s="963">
        <f>'HIV-Pharmaceuticals'!$AB16*'HIV-Pharmaceuticals'!$AG16</f>
        <v>0</v>
      </c>
      <c r="AI16" s="443">
        <f>'HIV-Pharmaceuticals'!$S16+'HIV-Pharmaceuticals'!$Z16+'HIV-Pharmaceuticals'!$AG16</f>
        <v>0</v>
      </c>
      <c r="AJ16" s="963">
        <f>'HIV-Pharmaceuticals'!$T16+'HIV-Pharmaceuticals'!$AA16+'HIV-Pharmaceuticals'!$AH16</f>
        <v>0</v>
      </c>
      <c r="AK16" s="444" t="str">
        <f t="shared" ref="AK16:AK78" si="5">IF(ISBLANK(A16),"",(IF(ISNUMBER(SEARCH("opioid sub",A16)),"4.4","4.1")))</f>
        <v/>
      </c>
      <c r="AL16" s="957"/>
      <c r="AV16" s="436" t="s">
        <v>1317</v>
      </c>
      <c r="AW16" s="552">
        <f>SUMPRODUCT(($A$107:$A$192="OIs, STIs &amp; other medicines")*($N$107:$N$192)*((O107:O192)))+SUMPRODUCT(($A$107:$A$192="TB medicines for HIV program")*($N$107:$N$192)*((O107:O192)))</f>
        <v>0</v>
      </c>
      <c r="AX16" s="552">
        <f>SUMPRODUCT(($A$107:$A$192="OIs, STIs &amp; other medicines")*($N$107:$N$192)*((P107:P192)))+SUMPRODUCT(($A$107:$A$192="TB medicines for HIV program")*($N$107:$N$192)*((P107:P192)))</f>
        <v>0</v>
      </c>
      <c r="AY16" s="552">
        <f>SUMPRODUCT(($A$107:$A$192="OIs, STIs &amp; other medicines")*($N$107:$N$192)*((Q107:Q192)))+SUMPRODUCT(($A$107:$A$192="TB medicines for HIV program")*($N$107:$N$192)*((Q107:Q192)))</f>
        <v>0</v>
      </c>
      <c r="AZ16" s="552">
        <f>SUMPRODUCT(($A$107:$A$192="OIs, STIs &amp; other medicines")*($N$107:$N$192)*((R107:R192)))+SUMPRODUCT(($A$107:$A$192="TB medicines for HIV program")*($N$107:$N$192)*((R107:R192)))</f>
        <v>0</v>
      </c>
      <c r="BA16" s="552">
        <f>SUMPRODUCT(($A$107:$A$192="OIs, STIs &amp; other medicines")*($U$107:$U$192)*((V107:V192)))+SUMPRODUCT(($A$107:$A$192="TB medicines for HIV program")*($U$107:$U$192)*((V107:V192)))</f>
        <v>0</v>
      </c>
      <c r="BB16" s="552">
        <f>SUMPRODUCT(($A$107:$A$192="OIs, STIs &amp; other medicines")*($U$107:$U$192)*((W107:W192)))+SUMPRODUCT(($A$107:$A$192="TB medicines for HIV program")*($U$107:$U$192)*((W107:W192)))</f>
        <v>0</v>
      </c>
      <c r="BC16" s="552">
        <f>SUMPRODUCT(($A$107:$A$192="OIs, STIs &amp; other medicines")*($U$107:$U$192)*((X107:X192)))+SUMPRODUCT(($A$107:$A$192="TB medicines for HIV program")*($U$107:$U$192)*((X107:X192)))</f>
        <v>0</v>
      </c>
      <c r="BD16" s="552">
        <f>SUMPRODUCT(($A$107:$A$192="OIs, STIs &amp; other medicines")*($U$107:$U$192)*((Y107:Y192)))+SUMPRODUCT(($A$107:$A$192="TB medicines for HIV program")*($U$107:$U$192)*((Y107:Y192)))</f>
        <v>0</v>
      </c>
      <c r="BE16" s="552">
        <f>SUMPRODUCT(($A$107:$A$192="OIs, STIs &amp; other medicines")*($AB$107:$AB$192)*((AC107:AC192)))+SUMPRODUCT(($A$107:$A$192="TB medicines for HIV program")*($AB$107:$AB$192)*((AC107:AC192)))</f>
        <v>0</v>
      </c>
      <c r="BF16" s="552">
        <f>SUMPRODUCT(($A$107:$A$192="OIs, STIs &amp; other medicines")*($AB$107:$AB$192)*((AD107:AD192)))+SUMPRODUCT(($A$107:$A$192="TB medicines for HIV program")*($AB$107:$AB$192)*((AD107:AD192)))</f>
        <v>0</v>
      </c>
      <c r="BG16" s="552">
        <f>SUMPRODUCT(($A$107:$A$192="OIs, STIs &amp; other medicines")*($AB$107:$AB$192)*((AE107:AE192)))+SUMPRODUCT(($A$107:$A$192="TB medicines for HIV program")*($AB$107:$AB$192)*((AE107:AE192)))</f>
        <v>0</v>
      </c>
      <c r="BH16" s="552">
        <f>SUMPRODUCT(($A$107:$A$192="OIs, STIs &amp; other medicines")*($AB$107:$AB$192)*((AF107:AF192)))+SUMPRODUCT(($A$107:$A$192="TB medicines for HIV program")*($AB$107:$AB$192)*((AF107:AF192)))</f>
        <v>0</v>
      </c>
    </row>
    <row r="17" spans="1:38">
      <c r="A17" s="2108"/>
      <c r="B17" s="2109"/>
      <c r="C17" s="2109"/>
      <c r="D17" s="2109"/>
      <c r="E17" s="2108"/>
      <c r="F17" s="2109"/>
      <c r="G17" s="2109"/>
      <c r="H17" s="2109"/>
      <c r="I17" s="2108"/>
      <c r="J17" s="2109"/>
      <c r="K17" s="2110"/>
      <c r="L17" s="1506" t="str">
        <f t="shared" si="3"/>
        <v/>
      </c>
      <c r="M17" s="346" t="str">
        <f t="shared" si="4"/>
        <v/>
      </c>
      <c r="N17" s="973"/>
      <c r="O17" s="459"/>
      <c r="P17" s="459"/>
      <c r="Q17" s="459"/>
      <c r="R17" s="459"/>
      <c r="S17" s="34">
        <f>SUM('HIV-Pharmaceuticals'!$O17:$R17)</f>
        <v>0</v>
      </c>
      <c r="T17" s="982">
        <f>'HIV-Pharmaceuticals'!$N17*'HIV-Pharmaceuticals'!$S17</f>
        <v>0</v>
      </c>
      <c r="U17" s="973"/>
      <c r="V17" s="463"/>
      <c r="W17" s="463"/>
      <c r="X17" s="463"/>
      <c r="Y17" s="463"/>
      <c r="Z17" s="437">
        <f>SUM('HIV-Pharmaceuticals'!$V17:$Y17)</f>
        <v>0</v>
      </c>
      <c r="AA17" s="972">
        <f>'HIV-Pharmaceuticals'!$U17*'HIV-Pharmaceuticals'!$Z17</f>
        <v>0</v>
      </c>
      <c r="AB17" s="973"/>
      <c r="AC17" s="459"/>
      <c r="AD17" s="459"/>
      <c r="AE17" s="459"/>
      <c r="AF17" s="459"/>
      <c r="AG17" s="438">
        <f>SUM('HIV-Pharmaceuticals'!$AC17:$AF17)</f>
        <v>0</v>
      </c>
      <c r="AH17" s="962">
        <f>'HIV-Pharmaceuticals'!$AB17*'HIV-Pharmaceuticals'!$AG17</f>
        <v>0</v>
      </c>
      <c r="AI17" s="439">
        <f>'HIV-Pharmaceuticals'!$S17+'HIV-Pharmaceuticals'!$Z17+'HIV-Pharmaceuticals'!$AG17</f>
        <v>0</v>
      </c>
      <c r="AJ17" s="962">
        <f>'HIV-Pharmaceuticals'!$T17+'HIV-Pharmaceuticals'!$AA17+'HIV-Pharmaceuticals'!$AH17</f>
        <v>0</v>
      </c>
      <c r="AK17" s="440" t="str">
        <f t="shared" si="5"/>
        <v/>
      </c>
      <c r="AL17" s="1222"/>
    </row>
    <row r="18" spans="1:38">
      <c r="A18" s="2105"/>
      <c r="B18" s="2106"/>
      <c r="C18" s="2106"/>
      <c r="D18" s="2106"/>
      <c r="E18" s="2105"/>
      <c r="F18" s="2106"/>
      <c r="G18" s="2106"/>
      <c r="H18" s="2106"/>
      <c r="I18" s="2105"/>
      <c r="J18" s="2106"/>
      <c r="K18" s="2107"/>
      <c r="L18" s="1505" t="str">
        <f t="shared" si="3"/>
        <v/>
      </c>
      <c r="M18" s="347" t="str">
        <f t="shared" si="4"/>
        <v/>
      </c>
      <c r="N18" s="975"/>
      <c r="O18" s="460"/>
      <c r="P18" s="460"/>
      <c r="Q18" s="460"/>
      <c r="R18" s="460"/>
      <c r="S18" s="33">
        <f>SUM('HIV-Pharmaceuticals'!$O18:$R18)</f>
        <v>0</v>
      </c>
      <c r="T18" s="983">
        <f>'HIV-Pharmaceuticals'!$N18*'HIV-Pharmaceuticals'!$S18</f>
        <v>0</v>
      </c>
      <c r="U18" s="975"/>
      <c r="V18" s="464"/>
      <c r="W18" s="464"/>
      <c r="X18" s="464"/>
      <c r="Y18" s="464"/>
      <c r="Z18" s="441">
        <f>SUM('HIV-Pharmaceuticals'!$V18:$Y18)</f>
        <v>0</v>
      </c>
      <c r="AA18" s="974">
        <f>'HIV-Pharmaceuticals'!$U18*'HIV-Pharmaceuticals'!$Z18</f>
        <v>0</v>
      </c>
      <c r="AB18" s="975"/>
      <c r="AC18" s="460"/>
      <c r="AD18" s="460"/>
      <c r="AE18" s="460"/>
      <c r="AF18" s="460"/>
      <c r="AG18" s="442">
        <f>SUM('HIV-Pharmaceuticals'!$AC18:$AF18)</f>
        <v>0</v>
      </c>
      <c r="AH18" s="963">
        <f>'HIV-Pharmaceuticals'!$AB18*'HIV-Pharmaceuticals'!$AG18</f>
        <v>0</v>
      </c>
      <c r="AI18" s="443">
        <f>'HIV-Pharmaceuticals'!$S18+'HIV-Pharmaceuticals'!$Z18+'HIV-Pharmaceuticals'!$AG18</f>
        <v>0</v>
      </c>
      <c r="AJ18" s="963">
        <f>'HIV-Pharmaceuticals'!$T18+'HIV-Pharmaceuticals'!$AA18+'HIV-Pharmaceuticals'!$AH18</f>
        <v>0</v>
      </c>
      <c r="AK18" s="444" t="str">
        <f t="shared" si="5"/>
        <v/>
      </c>
      <c r="AL18" s="957"/>
    </row>
    <row r="19" spans="1:38">
      <c r="A19" s="2108"/>
      <c r="B19" s="2109"/>
      <c r="C19" s="2109"/>
      <c r="D19" s="2109"/>
      <c r="E19" s="2108"/>
      <c r="F19" s="2109"/>
      <c r="G19" s="2109"/>
      <c r="H19" s="2109"/>
      <c r="I19" s="2108"/>
      <c r="J19" s="2109"/>
      <c r="K19" s="2110"/>
      <c r="L19" s="1506" t="str">
        <f t="shared" si="3"/>
        <v/>
      </c>
      <c r="M19" s="346" t="str">
        <f t="shared" si="4"/>
        <v/>
      </c>
      <c r="N19" s="973"/>
      <c r="O19" s="459"/>
      <c r="P19" s="459"/>
      <c r="Q19" s="459"/>
      <c r="R19" s="459"/>
      <c r="S19" s="34">
        <f>SUM('HIV-Pharmaceuticals'!$O19:$R19)</f>
        <v>0</v>
      </c>
      <c r="T19" s="982">
        <f>'HIV-Pharmaceuticals'!$N19*'HIV-Pharmaceuticals'!$S19</f>
        <v>0</v>
      </c>
      <c r="U19" s="973"/>
      <c r="V19" s="463"/>
      <c r="W19" s="463"/>
      <c r="X19" s="463"/>
      <c r="Y19" s="463"/>
      <c r="Z19" s="437">
        <f>SUM('HIV-Pharmaceuticals'!$V19:$Y19)</f>
        <v>0</v>
      </c>
      <c r="AA19" s="972">
        <f>'HIV-Pharmaceuticals'!$U19*'HIV-Pharmaceuticals'!$Z19</f>
        <v>0</v>
      </c>
      <c r="AB19" s="973"/>
      <c r="AC19" s="459"/>
      <c r="AD19" s="459"/>
      <c r="AE19" s="459"/>
      <c r="AF19" s="459"/>
      <c r="AG19" s="438">
        <f>SUM('HIV-Pharmaceuticals'!$AC19:$AF19)</f>
        <v>0</v>
      </c>
      <c r="AH19" s="962">
        <f>'HIV-Pharmaceuticals'!$AB19*'HIV-Pharmaceuticals'!$AG19</f>
        <v>0</v>
      </c>
      <c r="AI19" s="439">
        <f>'HIV-Pharmaceuticals'!$S19+'HIV-Pharmaceuticals'!$Z19+'HIV-Pharmaceuticals'!$AG19</f>
        <v>0</v>
      </c>
      <c r="AJ19" s="962">
        <f>'HIV-Pharmaceuticals'!$T19+'HIV-Pharmaceuticals'!$AA19+'HIV-Pharmaceuticals'!$AH19</f>
        <v>0</v>
      </c>
      <c r="AK19" s="440" t="str">
        <f t="shared" si="5"/>
        <v/>
      </c>
      <c r="AL19" s="1222"/>
    </row>
    <row r="20" spans="1:38">
      <c r="A20" s="2105"/>
      <c r="B20" s="2106"/>
      <c r="C20" s="2106"/>
      <c r="D20" s="2106"/>
      <c r="E20" s="2105"/>
      <c r="F20" s="2106"/>
      <c r="G20" s="2106"/>
      <c r="H20" s="2106"/>
      <c r="I20" s="2105"/>
      <c r="J20" s="2106"/>
      <c r="K20" s="2107"/>
      <c r="L20" s="1505" t="str">
        <f t="shared" si="3"/>
        <v/>
      </c>
      <c r="M20" s="347" t="str">
        <f t="shared" si="4"/>
        <v/>
      </c>
      <c r="N20" s="975"/>
      <c r="O20" s="460"/>
      <c r="P20" s="460"/>
      <c r="Q20" s="460"/>
      <c r="R20" s="460"/>
      <c r="S20" s="33">
        <f>SUM('HIV-Pharmaceuticals'!$O20:$R20)</f>
        <v>0</v>
      </c>
      <c r="T20" s="983">
        <f>'HIV-Pharmaceuticals'!$N20*'HIV-Pharmaceuticals'!$S20</f>
        <v>0</v>
      </c>
      <c r="U20" s="975"/>
      <c r="V20" s="464"/>
      <c r="W20" s="464"/>
      <c r="X20" s="464"/>
      <c r="Y20" s="464"/>
      <c r="Z20" s="441">
        <f>SUM('HIV-Pharmaceuticals'!$V20:$Y20)</f>
        <v>0</v>
      </c>
      <c r="AA20" s="974">
        <f>'HIV-Pharmaceuticals'!$U20*'HIV-Pharmaceuticals'!$Z20</f>
        <v>0</v>
      </c>
      <c r="AB20" s="975"/>
      <c r="AC20" s="460"/>
      <c r="AD20" s="460"/>
      <c r="AE20" s="460"/>
      <c r="AF20" s="460"/>
      <c r="AG20" s="442">
        <f>SUM('HIV-Pharmaceuticals'!$AC20:$AF20)</f>
        <v>0</v>
      </c>
      <c r="AH20" s="963">
        <f>'HIV-Pharmaceuticals'!$AB20*'HIV-Pharmaceuticals'!$AG20</f>
        <v>0</v>
      </c>
      <c r="AI20" s="443">
        <f>'HIV-Pharmaceuticals'!$S20+'HIV-Pharmaceuticals'!$Z20+'HIV-Pharmaceuticals'!$AG20</f>
        <v>0</v>
      </c>
      <c r="AJ20" s="963">
        <f>'HIV-Pharmaceuticals'!$T20+'HIV-Pharmaceuticals'!$AA20+'HIV-Pharmaceuticals'!$AH20</f>
        <v>0</v>
      </c>
      <c r="AK20" s="444" t="str">
        <f t="shared" si="5"/>
        <v/>
      </c>
      <c r="AL20" s="957"/>
    </row>
    <row r="21" spans="1:38">
      <c r="A21" s="2108"/>
      <c r="B21" s="2109"/>
      <c r="C21" s="2109"/>
      <c r="D21" s="2109"/>
      <c r="E21" s="2108"/>
      <c r="F21" s="2109"/>
      <c r="G21" s="2109"/>
      <c r="H21" s="2109"/>
      <c r="I21" s="2108"/>
      <c r="J21" s="2109"/>
      <c r="K21" s="2110"/>
      <c r="L21" s="1506" t="str">
        <f t="shared" si="3"/>
        <v/>
      </c>
      <c r="M21" s="346" t="str">
        <f t="shared" si="4"/>
        <v/>
      </c>
      <c r="N21" s="973"/>
      <c r="O21" s="459"/>
      <c r="P21" s="459"/>
      <c r="Q21" s="459"/>
      <c r="R21" s="459"/>
      <c r="S21" s="34">
        <f>SUM('HIV-Pharmaceuticals'!$O21:$R21)</f>
        <v>0</v>
      </c>
      <c r="T21" s="982">
        <f>'HIV-Pharmaceuticals'!$N21*'HIV-Pharmaceuticals'!$S21</f>
        <v>0</v>
      </c>
      <c r="U21" s="973"/>
      <c r="V21" s="463"/>
      <c r="W21" s="463"/>
      <c r="X21" s="463"/>
      <c r="Y21" s="463"/>
      <c r="Z21" s="437">
        <f>SUM('HIV-Pharmaceuticals'!$V21:$Y21)</f>
        <v>0</v>
      </c>
      <c r="AA21" s="972">
        <f>'HIV-Pharmaceuticals'!$U21*'HIV-Pharmaceuticals'!$Z21</f>
        <v>0</v>
      </c>
      <c r="AB21" s="973"/>
      <c r="AC21" s="459"/>
      <c r="AD21" s="459"/>
      <c r="AE21" s="459"/>
      <c r="AF21" s="459"/>
      <c r="AG21" s="438">
        <f>SUM('HIV-Pharmaceuticals'!$AC21:$AF21)</f>
        <v>0</v>
      </c>
      <c r="AH21" s="962">
        <f>'HIV-Pharmaceuticals'!$AB21*'HIV-Pharmaceuticals'!$AG21</f>
        <v>0</v>
      </c>
      <c r="AI21" s="439">
        <f>'HIV-Pharmaceuticals'!$S21+'HIV-Pharmaceuticals'!$Z21+'HIV-Pharmaceuticals'!$AG21</f>
        <v>0</v>
      </c>
      <c r="AJ21" s="962">
        <f>'HIV-Pharmaceuticals'!$T21+'HIV-Pharmaceuticals'!$AA21+'HIV-Pharmaceuticals'!$AH21</f>
        <v>0</v>
      </c>
      <c r="AK21" s="440" t="str">
        <f t="shared" si="5"/>
        <v/>
      </c>
      <c r="AL21" s="1222"/>
    </row>
    <row r="22" spans="1:38">
      <c r="A22" s="2105"/>
      <c r="B22" s="2106"/>
      <c r="C22" s="2106"/>
      <c r="D22" s="2106"/>
      <c r="E22" s="2105"/>
      <c r="F22" s="2106"/>
      <c r="G22" s="2106"/>
      <c r="H22" s="2106"/>
      <c r="I22" s="2105"/>
      <c r="J22" s="2106"/>
      <c r="K22" s="2107"/>
      <c r="L22" s="1505" t="str">
        <f t="shared" si="3"/>
        <v/>
      </c>
      <c r="M22" s="347" t="str">
        <f t="shared" si="4"/>
        <v/>
      </c>
      <c r="N22" s="975"/>
      <c r="O22" s="460"/>
      <c r="P22" s="460"/>
      <c r="Q22" s="460"/>
      <c r="R22" s="460"/>
      <c r="S22" s="33">
        <f>SUM('HIV-Pharmaceuticals'!$O22:$R22)</f>
        <v>0</v>
      </c>
      <c r="T22" s="983">
        <f>'HIV-Pharmaceuticals'!$N22*'HIV-Pharmaceuticals'!$S22</f>
        <v>0</v>
      </c>
      <c r="U22" s="975"/>
      <c r="V22" s="464"/>
      <c r="W22" s="464"/>
      <c r="X22" s="464"/>
      <c r="Y22" s="464"/>
      <c r="Z22" s="441">
        <f>SUM('HIV-Pharmaceuticals'!$V22:$Y22)</f>
        <v>0</v>
      </c>
      <c r="AA22" s="974">
        <f>'HIV-Pharmaceuticals'!$U22*'HIV-Pharmaceuticals'!$Z22</f>
        <v>0</v>
      </c>
      <c r="AB22" s="975"/>
      <c r="AC22" s="460"/>
      <c r="AD22" s="460"/>
      <c r="AE22" s="460"/>
      <c r="AF22" s="460"/>
      <c r="AG22" s="442">
        <f>SUM('HIV-Pharmaceuticals'!$AC22:$AF22)</f>
        <v>0</v>
      </c>
      <c r="AH22" s="963">
        <f>'HIV-Pharmaceuticals'!$AB22*'HIV-Pharmaceuticals'!$AG22</f>
        <v>0</v>
      </c>
      <c r="AI22" s="443">
        <f>'HIV-Pharmaceuticals'!$S22+'HIV-Pharmaceuticals'!$Z22+'HIV-Pharmaceuticals'!$AG22</f>
        <v>0</v>
      </c>
      <c r="AJ22" s="963">
        <f>'HIV-Pharmaceuticals'!$T22+'HIV-Pharmaceuticals'!$AA22+'HIV-Pharmaceuticals'!$AH22</f>
        <v>0</v>
      </c>
      <c r="AK22" s="444" t="str">
        <f t="shared" si="5"/>
        <v/>
      </c>
      <c r="AL22" s="957"/>
    </row>
    <row r="23" spans="1:38">
      <c r="A23" s="2108"/>
      <c r="B23" s="2109"/>
      <c r="C23" s="2109"/>
      <c r="D23" s="2109"/>
      <c r="E23" s="2108"/>
      <c r="F23" s="2109"/>
      <c r="G23" s="2109"/>
      <c r="H23" s="2109"/>
      <c r="I23" s="2108"/>
      <c r="J23" s="2109"/>
      <c r="K23" s="2110"/>
      <c r="L23" s="1506" t="str">
        <f t="shared" si="3"/>
        <v/>
      </c>
      <c r="M23" s="346" t="str">
        <f t="shared" si="4"/>
        <v/>
      </c>
      <c r="N23" s="973"/>
      <c r="O23" s="459"/>
      <c r="P23" s="459"/>
      <c r="Q23" s="459"/>
      <c r="R23" s="459"/>
      <c r="S23" s="34">
        <f>SUM('HIV-Pharmaceuticals'!$O23:$R23)</f>
        <v>0</v>
      </c>
      <c r="T23" s="982">
        <f>'HIV-Pharmaceuticals'!$N23*'HIV-Pharmaceuticals'!$S23</f>
        <v>0</v>
      </c>
      <c r="U23" s="973"/>
      <c r="V23" s="463"/>
      <c r="W23" s="463"/>
      <c r="X23" s="463"/>
      <c r="Y23" s="463"/>
      <c r="Z23" s="437">
        <f>SUM('HIV-Pharmaceuticals'!$V23:$Y23)</f>
        <v>0</v>
      </c>
      <c r="AA23" s="972">
        <f>'HIV-Pharmaceuticals'!$U23*'HIV-Pharmaceuticals'!$Z23</f>
        <v>0</v>
      </c>
      <c r="AB23" s="973"/>
      <c r="AC23" s="459"/>
      <c r="AD23" s="459"/>
      <c r="AE23" s="459"/>
      <c r="AF23" s="459"/>
      <c r="AG23" s="438">
        <f>SUM('HIV-Pharmaceuticals'!$AC23:$AF23)</f>
        <v>0</v>
      </c>
      <c r="AH23" s="962">
        <f>'HIV-Pharmaceuticals'!$AB23*'HIV-Pharmaceuticals'!$AG23</f>
        <v>0</v>
      </c>
      <c r="AI23" s="439">
        <f>'HIV-Pharmaceuticals'!$S23+'HIV-Pharmaceuticals'!$Z23+'HIV-Pharmaceuticals'!$AG23</f>
        <v>0</v>
      </c>
      <c r="AJ23" s="962">
        <f>'HIV-Pharmaceuticals'!$T23+'HIV-Pharmaceuticals'!$AA23+'HIV-Pharmaceuticals'!$AH23</f>
        <v>0</v>
      </c>
      <c r="AK23" s="440" t="str">
        <f t="shared" si="5"/>
        <v/>
      </c>
      <c r="AL23" s="1222"/>
    </row>
    <row r="24" spans="1:38">
      <c r="A24" s="2105"/>
      <c r="B24" s="2106"/>
      <c r="C24" s="2106"/>
      <c r="D24" s="2106"/>
      <c r="E24" s="2105"/>
      <c r="F24" s="2106"/>
      <c r="G24" s="2106"/>
      <c r="H24" s="2106"/>
      <c r="I24" s="2105"/>
      <c r="J24" s="2106"/>
      <c r="K24" s="2107"/>
      <c r="L24" s="1505" t="str">
        <f t="shared" si="3"/>
        <v/>
      </c>
      <c r="M24" s="347" t="str">
        <f t="shared" si="4"/>
        <v/>
      </c>
      <c r="N24" s="975"/>
      <c r="O24" s="460"/>
      <c r="P24" s="460"/>
      <c r="Q24" s="460"/>
      <c r="R24" s="460"/>
      <c r="S24" s="33">
        <f>SUM('HIV-Pharmaceuticals'!$O24:$R24)</f>
        <v>0</v>
      </c>
      <c r="T24" s="983">
        <f>'HIV-Pharmaceuticals'!$N24*'HIV-Pharmaceuticals'!$S24</f>
        <v>0</v>
      </c>
      <c r="U24" s="975"/>
      <c r="V24" s="464"/>
      <c r="W24" s="464"/>
      <c r="X24" s="464"/>
      <c r="Y24" s="464"/>
      <c r="Z24" s="441">
        <f>SUM('HIV-Pharmaceuticals'!$V24:$Y24)</f>
        <v>0</v>
      </c>
      <c r="AA24" s="974">
        <f>'HIV-Pharmaceuticals'!$U24*'HIV-Pharmaceuticals'!$Z24</f>
        <v>0</v>
      </c>
      <c r="AB24" s="975"/>
      <c r="AC24" s="460"/>
      <c r="AD24" s="460"/>
      <c r="AE24" s="460"/>
      <c r="AF24" s="460"/>
      <c r="AG24" s="442">
        <f>SUM('HIV-Pharmaceuticals'!$AC24:$AF24)</f>
        <v>0</v>
      </c>
      <c r="AH24" s="963">
        <f>'HIV-Pharmaceuticals'!$AB24*'HIV-Pharmaceuticals'!$AG24</f>
        <v>0</v>
      </c>
      <c r="AI24" s="443">
        <f>'HIV-Pharmaceuticals'!$S24+'HIV-Pharmaceuticals'!$Z24+'HIV-Pharmaceuticals'!$AG24</f>
        <v>0</v>
      </c>
      <c r="AJ24" s="963">
        <f>'HIV-Pharmaceuticals'!$T24+'HIV-Pharmaceuticals'!$AA24+'HIV-Pharmaceuticals'!$AH24</f>
        <v>0</v>
      </c>
      <c r="AK24" s="444" t="str">
        <f t="shared" si="5"/>
        <v/>
      </c>
      <c r="AL24" s="957"/>
    </row>
    <row r="25" spans="1:38">
      <c r="A25" s="2108"/>
      <c r="B25" s="2109"/>
      <c r="C25" s="2109"/>
      <c r="D25" s="2109"/>
      <c r="E25" s="2108"/>
      <c r="F25" s="2109"/>
      <c r="G25" s="2109"/>
      <c r="H25" s="2109"/>
      <c r="I25" s="2108"/>
      <c r="J25" s="2109"/>
      <c r="K25" s="2110"/>
      <c r="L25" s="1506" t="str">
        <f t="shared" si="3"/>
        <v/>
      </c>
      <c r="M25" s="346" t="str">
        <f t="shared" si="4"/>
        <v/>
      </c>
      <c r="N25" s="973"/>
      <c r="O25" s="459"/>
      <c r="P25" s="459"/>
      <c r="Q25" s="459"/>
      <c r="R25" s="459"/>
      <c r="S25" s="34">
        <f>SUM('HIV-Pharmaceuticals'!$O25:$R25)</f>
        <v>0</v>
      </c>
      <c r="T25" s="982">
        <f>'HIV-Pharmaceuticals'!$N25*'HIV-Pharmaceuticals'!$S25</f>
        <v>0</v>
      </c>
      <c r="U25" s="973"/>
      <c r="V25" s="463"/>
      <c r="W25" s="463"/>
      <c r="X25" s="463"/>
      <c r="Y25" s="463"/>
      <c r="Z25" s="437">
        <f>SUM('HIV-Pharmaceuticals'!$V25:$Y25)</f>
        <v>0</v>
      </c>
      <c r="AA25" s="972">
        <f>'HIV-Pharmaceuticals'!$U25*'HIV-Pharmaceuticals'!$Z25</f>
        <v>0</v>
      </c>
      <c r="AB25" s="973"/>
      <c r="AC25" s="459"/>
      <c r="AD25" s="459"/>
      <c r="AE25" s="459"/>
      <c r="AF25" s="459"/>
      <c r="AG25" s="438">
        <f>SUM('HIV-Pharmaceuticals'!$AC25:$AF25)</f>
        <v>0</v>
      </c>
      <c r="AH25" s="962">
        <f>'HIV-Pharmaceuticals'!$AB25*'HIV-Pharmaceuticals'!$AG25</f>
        <v>0</v>
      </c>
      <c r="AI25" s="439">
        <f>'HIV-Pharmaceuticals'!$S25+'HIV-Pharmaceuticals'!$Z25+'HIV-Pharmaceuticals'!$AG25</f>
        <v>0</v>
      </c>
      <c r="AJ25" s="962">
        <f>'HIV-Pharmaceuticals'!$T25+'HIV-Pharmaceuticals'!$AA25+'HIV-Pharmaceuticals'!$AH25</f>
        <v>0</v>
      </c>
      <c r="AK25" s="440" t="str">
        <f t="shared" si="5"/>
        <v/>
      </c>
      <c r="AL25" s="1222"/>
    </row>
    <row r="26" spans="1:38">
      <c r="A26" s="2105"/>
      <c r="B26" s="2106"/>
      <c r="C26" s="2106"/>
      <c r="D26" s="2106"/>
      <c r="E26" s="2105"/>
      <c r="F26" s="2106"/>
      <c r="G26" s="2106"/>
      <c r="H26" s="2106"/>
      <c r="I26" s="2105"/>
      <c r="J26" s="2106"/>
      <c r="K26" s="2107"/>
      <c r="L26" s="1505" t="str">
        <f t="shared" si="3"/>
        <v/>
      </c>
      <c r="M26" s="347" t="str">
        <f t="shared" si="4"/>
        <v/>
      </c>
      <c r="N26" s="975"/>
      <c r="O26" s="460"/>
      <c r="P26" s="460"/>
      <c r="Q26" s="460"/>
      <c r="R26" s="460"/>
      <c r="S26" s="33">
        <f>SUM('HIV-Pharmaceuticals'!$O26:$R26)</f>
        <v>0</v>
      </c>
      <c r="T26" s="983">
        <f>'HIV-Pharmaceuticals'!$N26*'HIV-Pharmaceuticals'!$S26</f>
        <v>0</v>
      </c>
      <c r="U26" s="975"/>
      <c r="V26" s="464"/>
      <c r="W26" s="464"/>
      <c r="X26" s="464"/>
      <c r="Y26" s="464"/>
      <c r="Z26" s="441">
        <f>SUM('HIV-Pharmaceuticals'!$V26:$Y26)</f>
        <v>0</v>
      </c>
      <c r="AA26" s="974">
        <f>'HIV-Pharmaceuticals'!$U26*'HIV-Pharmaceuticals'!$Z26</f>
        <v>0</v>
      </c>
      <c r="AB26" s="975"/>
      <c r="AC26" s="460"/>
      <c r="AD26" s="460"/>
      <c r="AE26" s="460"/>
      <c r="AF26" s="460"/>
      <c r="AG26" s="442">
        <f>SUM('HIV-Pharmaceuticals'!$AC26:$AF26)</f>
        <v>0</v>
      </c>
      <c r="AH26" s="963">
        <f>'HIV-Pharmaceuticals'!$AB26*'HIV-Pharmaceuticals'!$AG26</f>
        <v>0</v>
      </c>
      <c r="AI26" s="443">
        <f>'HIV-Pharmaceuticals'!$S26+'HIV-Pharmaceuticals'!$Z26+'HIV-Pharmaceuticals'!$AG26</f>
        <v>0</v>
      </c>
      <c r="AJ26" s="963">
        <f>'HIV-Pharmaceuticals'!$T26+'HIV-Pharmaceuticals'!$AA26+'HIV-Pharmaceuticals'!$AH26</f>
        <v>0</v>
      </c>
      <c r="AK26" s="444" t="str">
        <f t="shared" si="5"/>
        <v/>
      </c>
      <c r="AL26" s="957"/>
    </row>
    <row r="27" spans="1:38">
      <c r="A27" s="2108"/>
      <c r="B27" s="2109"/>
      <c r="C27" s="2109"/>
      <c r="D27" s="2109"/>
      <c r="E27" s="2108"/>
      <c r="F27" s="2109"/>
      <c r="G27" s="2109"/>
      <c r="H27" s="2109"/>
      <c r="I27" s="2108"/>
      <c r="J27" s="2109"/>
      <c r="K27" s="2110"/>
      <c r="L27" s="1506" t="str">
        <f t="shared" si="3"/>
        <v/>
      </c>
      <c r="M27" s="346" t="str">
        <f t="shared" si="4"/>
        <v/>
      </c>
      <c r="N27" s="973"/>
      <c r="O27" s="459"/>
      <c r="P27" s="459"/>
      <c r="Q27" s="459"/>
      <c r="R27" s="459"/>
      <c r="S27" s="34">
        <f>SUM('HIV-Pharmaceuticals'!$O27:$R27)</f>
        <v>0</v>
      </c>
      <c r="T27" s="982">
        <f>'HIV-Pharmaceuticals'!$N27*'HIV-Pharmaceuticals'!$S27</f>
        <v>0</v>
      </c>
      <c r="U27" s="973"/>
      <c r="V27" s="463"/>
      <c r="W27" s="463"/>
      <c r="X27" s="463"/>
      <c r="Y27" s="463"/>
      <c r="Z27" s="437">
        <f>SUM('HIV-Pharmaceuticals'!$V27:$Y27)</f>
        <v>0</v>
      </c>
      <c r="AA27" s="972">
        <f>'HIV-Pharmaceuticals'!$U27*'HIV-Pharmaceuticals'!$Z27</f>
        <v>0</v>
      </c>
      <c r="AB27" s="973"/>
      <c r="AC27" s="459"/>
      <c r="AD27" s="459"/>
      <c r="AE27" s="459"/>
      <c r="AF27" s="459"/>
      <c r="AG27" s="438">
        <f>SUM('HIV-Pharmaceuticals'!$AC27:$AF27)</f>
        <v>0</v>
      </c>
      <c r="AH27" s="962">
        <f>'HIV-Pharmaceuticals'!$AB27*'HIV-Pharmaceuticals'!$AG27</f>
        <v>0</v>
      </c>
      <c r="AI27" s="439">
        <f>'HIV-Pharmaceuticals'!$S27+'HIV-Pharmaceuticals'!$Z27+'HIV-Pharmaceuticals'!$AG27</f>
        <v>0</v>
      </c>
      <c r="AJ27" s="962">
        <f>'HIV-Pharmaceuticals'!$T27+'HIV-Pharmaceuticals'!$AA27+'HIV-Pharmaceuticals'!$AH27</f>
        <v>0</v>
      </c>
      <c r="AK27" s="440" t="str">
        <f t="shared" si="5"/>
        <v/>
      </c>
      <c r="AL27" s="1222"/>
    </row>
    <row r="28" spans="1:38">
      <c r="A28" s="2105"/>
      <c r="B28" s="2106"/>
      <c r="C28" s="2106"/>
      <c r="D28" s="2106"/>
      <c r="E28" s="2105"/>
      <c r="F28" s="2106"/>
      <c r="G28" s="2106"/>
      <c r="H28" s="2106"/>
      <c r="I28" s="2105"/>
      <c r="J28" s="2106"/>
      <c r="K28" s="2107"/>
      <c r="L28" s="1505" t="str">
        <f t="shared" si="3"/>
        <v/>
      </c>
      <c r="M28" s="347" t="str">
        <f t="shared" si="4"/>
        <v/>
      </c>
      <c r="N28" s="975"/>
      <c r="O28" s="460"/>
      <c r="P28" s="460"/>
      <c r="Q28" s="460"/>
      <c r="R28" s="460"/>
      <c r="S28" s="33">
        <f>SUM('HIV-Pharmaceuticals'!$O28:$R28)</f>
        <v>0</v>
      </c>
      <c r="T28" s="983">
        <f>'HIV-Pharmaceuticals'!$N28*'HIV-Pharmaceuticals'!$S28</f>
        <v>0</v>
      </c>
      <c r="U28" s="975"/>
      <c r="V28" s="464"/>
      <c r="W28" s="464"/>
      <c r="X28" s="464"/>
      <c r="Y28" s="464"/>
      <c r="Z28" s="441">
        <f>SUM('HIV-Pharmaceuticals'!$V28:$Y28)</f>
        <v>0</v>
      </c>
      <c r="AA28" s="974">
        <f>'HIV-Pharmaceuticals'!$U28*'HIV-Pharmaceuticals'!$Z28</f>
        <v>0</v>
      </c>
      <c r="AB28" s="975"/>
      <c r="AC28" s="460"/>
      <c r="AD28" s="460"/>
      <c r="AE28" s="460"/>
      <c r="AF28" s="460"/>
      <c r="AG28" s="442">
        <f>SUM('HIV-Pharmaceuticals'!$AC28:$AF28)</f>
        <v>0</v>
      </c>
      <c r="AH28" s="963">
        <f>'HIV-Pharmaceuticals'!$AB28*'HIV-Pharmaceuticals'!$AG28</f>
        <v>0</v>
      </c>
      <c r="AI28" s="443">
        <f>'HIV-Pharmaceuticals'!$S28+'HIV-Pharmaceuticals'!$Z28+'HIV-Pharmaceuticals'!$AG28</f>
        <v>0</v>
      </c>
      <c r="AJ28" s="963">
        <f>'HIV-Pharmaceuticals'!$T28+'HIV-Pharmaceuticals'!$AA28+'HIV-Pharmaceuticals'!$AH28</f>
        <v>0</v>
      </c>
      <c r="AK28" s="444" t="str">
        <f t="shared" si="5"/>
        <v/>
      </c>
      <c r="AL28" s="957"/>
    </row>
    <row r="29" spans="1:38">
      <c r="A29" s="2108"/>
      <c r="B29" s="2109"/>
      <c r="C29" s="2109"/>
      <c r="D29" s="2109"/>
      <c r="E29" s="2108"/>
      <c r="F29" s="2109"/>
      <c r="G29" s="2109"/>
      <c r="H29" s="2109"/>
      <c r="I29" s="2108"/>
      <c r="J29" s="2109"/>
      <c r="K29" s="2110"/>
      <c r="L29" s="1506" t="str">
        <f t="shared" si="3"/>
        <v/>
      </c>
      <c r="M29" s="346" t="str">
        <f t="shared" si="4"/>
        <v/>
      </c>
      <c r="N29" s="973"/>
      <c r="O29" s="459"/>
      <c r="P29" s="459"/>
      <c r="Q29" s="459"/>
      <c r="R29" s="459"/>
      <c r="S29" s="34">
        <f>SUM('HIV-Pharmaceuticals'!$O29:$R29)</f>
        <v>0</v>
      </c>
      <c r="T29" s="982">
        <f>'HIV-Pharmaceuticals'!$N29*'HIV-Pharmaceuticals'!$S29</f>
        <v>0</v>
      </c>
      <c r="U29" s="973"/>
      <c r="V29" s="463"/>
      <c r="W29" s="463"/>
      <c r="X29" s="463"/>
      <c r="Y29" s="463"/>
      <c r="Z29" s="437">
        <f>SUM('HIV-Pharmaceuticals'!$V29:$Y29)</f>
        <v>0</v>
      </c>
      <c r="AA29" s="972">
        <f>'HIV-Pharmaceuticals'!$U29*'HIV-Pharmaceuticals'!$Z29</f>
        <v>0</v>
      </c>
      <c r="AB29" s="973"/>
      <c r="AC29" s="459"/>
      <c r="AD29" s="459"/>
      <c r="AE29" s="459"/>
      <c r="AF29" s="459"/>
      <c r="AG29" s="438">
        <f>SUM('HIV-Pharmaceuticals'!$AC29:$AF29)</f>
        <v>0</v>
      </c>
      <c r="AH29" s="962">
        <f>'HIV-Pharmaceuticals'!$AB29*'HIV-Pharmaceuticals'!$AG29</f>
        <v>0</v>
      </c>
      <c r="AI29" s="439">
        <f>'HIV-Pharmaceuticals'!$S29+'HIV-Pharmaceuticals'!$Z29+'HIV-Pharmaceuticals'!$AG29</f>
        <v>0</v>
      </c>
      <c r="AJ29" s="962">
        <f>'HIV-Pharmaceuticals'!$T29+'HIV-Pharmaceuticals'!$AA29+'HIV-Pharmaceuticals'!$AH29</f>
        <v>0</v>
      </c>
      <c r="AK29" s="440" t="str">
        <f t="shared" si="5"/>
        <v/>
      </c>
      <c r="AL29" s="1222"/>
    </row>
    <row r="30" spans="1:38">
      <c r="A30" s="2105"/>
      <c r="B30" s="2106"/>
      <c r="C30" s="2106"/>
      <c r="D30" s="2106"/>
      <c r="E30" s="2105"/>
      <c r="F30" s="2106"/>
      <c r="G30" s="2106"/>
      <c r="H30" s="2106"/>
      <c r="I30" s="2105"/>
      <c r="J30" s="2106"/>
      <c r="K30" s="2107"/>
      <c r="L30" s="1505" t="str">
        <f t="shared" si="3"/>
        <v/>
      </c>
      <c r="M30" s="347" t="str">
        <f t="shared" si="4"/>
        <v/>
      </c>
      <c r="N30" s="975"/>
      <c r="O30" s="460"/>
      <c r="P30" s="460"/>
      <c r="Q30" s="460"/>
      <c r="R30" s="460"/>
      <c r="S30" s="33">
        <f>SUM('HIV-Pharmaceuticals'!$O30:$R30)</f>
        <v>0</v>
      </c>
      <c r="T30" s="983">
        <f>'HIV-Pharmaceuticals'!$N30*'HIV-Pharmaceuticals'!$S30</f>
        <v>0</v>
      </c>
      <c r="U30" s="975"/>
      <c r="V30" s="464"/>
      <c r="W30" s="464"/>
      <c r="X30" s="464"/>
      <c r="Y30" s="464"/>
      <c r="Z30" s="441">
        <f>SUM('HIV-Pharmaceuticals'!$V30:$Y30)</f>
        <v>0</v>
      </c>
      <c r="AA30" s="974">
        <f>'HIV-Pharmaceuticals'!$U30*'HIV-Pharmaceuticals'!$Z30</f>
        <v>0</v>
      </c>
      <c r="AB30" s="975"/>
      <c r="AC30" s="460"/>
      <c r="AD30" s="460"/>
      <c r="AE30" s="460"/>
      <c r="AF30" s="460"/>
      <c r="AG30" s="442">
        <f>SUM('HIV-Pharmaceuticals'!$AC30:$AF30)</f>
        <v>0</v>
      </c>
      <c r="AH30" s="963">
        <f>'HIV-Pharmaceuticals'!$AB30*'HIV-Pharmaceuticals'!$AG30</f>
        <v>0</v>
      </c>
      <c r="AI30" s="443">
        <f>'HIV-Pharmaceuticals'!$S30+'HIV-Pharmaceuticals'!$Z30+'HIV-Pharmaceuticals'!$AG30</f>
        <v>0</v>
      </c>
      <c r="AJ30" s="963">
        <f>'HIV-Pharmaceuticals'!$T30+'HIV-Pharmaceuticals'!$AA30+'HIV-Pharmaceuticals'!$AH30</f>
        <v>0</v>
      </c>
      <c r="AK30" s="444" t="str">
        <f t="shared" si="5"/>
        <v/>
      </c>
      <c r="AL30" s="957"/>
    </row>
    <row r="31" spans="1:38">
      <c r="A31" s="2108"/>
      <c r="B31" s="2109"/>
      <c r="C31" s="2109"/>
      <c r="D31" s="2109"/>
      <c r="E31" s="2108"/>
      <c r="F31" s="2109"/>
      <c r="G31" s="2109"/>
      <c r="H31" s="2109"/>
      <c r="I31" s="2108"/>
      <c r="J31" s="2109"/>
      <c r="K31" s="2110"/>
      <c r="L31" s="1506" t="str">
        <f t="shared" si="3"/>
        <v/>
      </c>
      <c r="M31" s="346" t="str">
        <f t="shared" si="4"/>
        <v/>
      </c>
      <c r="N31" s="973"/>
      <c r="O31" s="459"/>
      <c r="P31" s="459"/>
      <c r="Q31" s="459"/>
      <c r="R31" s="459"/>
      <c r="S31" s="34">
        <f>SUM('HIV-Pharmaceuticals'!$O31:$R31)</f>
        <v>0</v>
      </c>
      <c r="T31" s="982">
        <f>'HIV-Pharmaceuticals'!$N31*'HIV-Pharmaceuticals'!$S31</f>
        <v>0</v>
      </c>
      <c r="U31" s="973"/>
      <c r="V31" s="463"/>
      <c r="W31" s="463"/>
      <c r="X31" s="463"/>
      <c r="Y31" s="463"/>
      <c r="Z31" s="437">
        <f>SUM('HIV-Pharmaceuticals'!$V31:$Y31)</f>
        <v>0</v>
      </c>
      <c r="AA31" s="972">
        <f>'HIV-Pharmaceuticals'!$U31*'HIV-Pharmaceuticals'!$Z31</f>
        <v>0</v>
      </c>
      <c r="AB31" s="973"/>
      <c r="AC31" s="459"/>
      <c r="AD31" s="459"/>
      <c r="AE31" s="459"/>
      <c r="AF31" s="459"/>
      <c r="AG31" s="438">
        <f>SUM('HIV-Pharmaceuticals'!$AC31:$AF31)</f>
        <v>0</v>
      </c>
      <c r="AH31" s="962">
        <f>'HIV-Pharmaceuticals'!$AB31*'HIV-Pharmaceuticals'!$AG31</f>
        <v>0</v>
      </c>
      <c r="AI31" s="439">
        <f>'HIV-Pharmaceuticals'!$S31+'HIV-Pharmaceuticals'!$Z31+'HIV-Pharmaceuticals'!$AG31</f>
        <v>0</v>
      </c>
      <c r="AJ31" s="962">
        <f>'HIV-Pharmaceuticals'!$T31+'HIV-Pharmaceuticals'!$AA31+'HIV-Pharmaceuticals'!$AH31</f>
        <v>0</v>
      </c>
      <c r="AK31" s="440" t="str">
        <f t="shared" si="5"/>
        <v/>
      </c>
      <c r="AL31" s="1222"/>
    </row>
    <row r="32" spans="1:38">
      <c r="A32" s="2105"/>
      <c r="B32" s="2106"/>
      <c r="C32" s="2106"/>
      <c r="D32" s="2106"/>
      <c r="E32" s="2105"/>
      <c r="F32" s="2106"/>
      <c r="G32" s="2106"/>
      <c r="H32" s="2106"/>
      <c r="I32" s="2105"/>
      <c r="J32" s="2106"/>
      <c r="K32" s="2107"/>
      <c r="L32" s="1505" t="str">
        <f t="shared" si="3"/>
        <v/>
      </c>
      <c r="M32" s="347" t="str">
        <f t="shared" si="4"/>
        <v/>
      </c>
      <c r="N32" s="975"/>
      <c r="O32" s="460"/>
      <c r="P32" s="460"/>
      <c r="Q32" s="460"/>
      <c r="R32" s="460"/>
      <c r="S32" s="33">
        <f>SUM('HIV-Pharmaceuticals'!$O32:$R32)</f>
        <v>0</v>
      </c>
      <c r="T32" s="983">
        <f>'HIV-Pharmaceuticals'!$N32*'HIV-Pharmaceuticals'!$S32</f>
        <v>0</v>
      </c>
      <c r="U32" s="975"/>
      <c r="V32" s="464"/>
      <c r="W32" s="464"/>
      <c r="X32" s="464"/>
      <c r="Y32" s="464"/>
      <c r="Z32" s="441">
        <f>SUM('HIV-Pharmaceuticals'!$V32:$Y32)</f>
        <v>0</v>
      </c>
      <c r="AA32" s="974">
        <f>'HIV-Pharmaceuticals'!$U32*'HIV-Pharmaceuticals'!$Z32</f>
        <v>0</v>
      </c>
      <c r="AB32" s="975"/>
      <c r="AC32" s="460"/>
      <c r="AD32" s="460"/>
      <c r="AE32" s="460"/>
      <c r="AF32" s="460"/>
      <c r="AG32" s="442">
        <f>SUM('HIV-Pharmaceuticals'!$AC32:$AF32)</f>
        <v>0</v>
      </c>
      <c r="AH32" s="963">
        <f>'HIV-Pharmaceuticals'!$AB32*'HIV-Pharmaceuticals'!$AG32</f>
        <v>0</v>
      </c>
      <c r="AI32" s="443">
        <f>'HIV-Pharmaceuticals'!$S32+'HIV-Pharmaceuticals'!$Z32+'HIV-Pharmaceuticals'!$AG32</f>
        <v>0</v>
      </c>
      <c r="AJ32" s="963">
        <f>'HIV-Pharmaceuticals'!$T32+'HIV-Pharmaceuticals'!$AA32+'HIV-Pharmaceuticals'!$AH32</f>
        <v>0</v>
      </c>
      <c r="AK32" s="444" t="str">
        <f t="shared" si="5"/>
        <v/>
      </c>
      <c r="AL32" s="957"/>
    </row>
    <row r="33" spans="1:38">
      <c r="A33" s="2108"/>
      <c r="B33" s="2109"/>
      <c r="C33" s="2109"/>
      <c r="D33" s="2109"/>
      <c r="E33" s="2108"/>
      <c r="F33" s="2109"/>
      <c r="G33" s="2109"/>
      <c r="H33" s="2109"/>
      <c r="I33" s="2108"/>
      <c r="J33" s="2109"/>
      <c r="K33" s="2110"/>
      <c r="L33" s="1506" t="str">
        <f t="shared" si="3"/>
        <v/>
      </c>
      <c r="M33" s="346" t="str">
        <f t="shared" si="4"/>
        <v/>
      </c>
      <c r="N33" s="973"/>
      <c r="O33" s="459"/>
      <c r="P33" s="459"/>
      <c r="Q33" s="459"/>
      <c r="R33" s="459"/>
      <c r="S33" s="34">
        <f>SUM('HIV-Pharmaceuticals'!$O33:$R33)</f>
        <v>0</v>
      </c>
      <c r="T33" s="982">
        <f>'HIV-Pharmaceuticals'!$N33*'HIV-Pharmaceuticals'!$S33</f>
        <v>0</v>
      </c>
      <c r="U33" s="973"/>
      <c r="V33" s="463"/>
      <c r="W33" s="463"/>
      <c r="X33" s="463"/>
      <c r="Y33" s="463"/>
      <c r="Z33" s="437">
        <f>SUM('HIV-Pharmaceuticals'!$V33:$Y33)</f>
        <v>0</v>
      </c>
      <c r="AA33" s="972">
        <f>'HIV-Pharmaceuticals'!$U33*'HIV-Pharmaceuticals'!$Z33</f>
        <v>0</v>
      </c>
      <c r="AB33" s="973"/>
      <c r="AC33" s="459"/>
      <c r="AD33" s="459"/>
      <c r="AE33" s="459"/>
      <c r="AF33" s="459"/>
      <c r="AG33" s="438">
        <f>SUM('HIV-Pharmaceuticals'!$AC33:$AF33)</f>
        <v>0</v>
      </c>
      <c r="AH33" s="962">
        <f>'HIV-Pharmaceuticals'!$AB33*'HIV-Pharmaceuticals'!$AG33</f>
        <v>0</v>
      </c>
      <c r="AI33" s="439">
        <f>'HIV-Pharmaceuticals'!$S33+'HIV-Pharmaceuticals'!$Z33+'HIV-Pharmaceuticals'!$AG33</f>
        <v>0</v>
      </c>
      <c r="AJ33" s="962">
        <f>'HIV-Pharmaceuticals'!$T33+'HIV-Pharmaceuticals'!$AA33+'HIV-Pharmaceuticals'!$AH33</f>
        <v>0</v>
      </c>
      <c r="AK33" s="440" t="str">
        <f t="shared" si="5"/>
        <v/>
      </c>
      <c r="AL33" s="1222"/>
    </row>
    <row r="34" spans="1:38">
      <c r="A34" s="2105"/>
      <c r="B34" s="2106"/>
      <c r="C34" s="2106"/>
      <c r="D34" s="2106"/>
      <c r="E34" s="2105"/>
      <c r="F34" s="2106"/>
      <c r="G34" s="2106"/>
      <c r="H34" s="2106"/>
      <c r="I34" s="2105"/>
      <c r="J34" s="2106"/>
      <c r="K34" s="2107"/>
      <c r="L34" s="1505" t="str">
        <f t="shared" si="3"/>
        <v/>
      </c>
      <c r="M34" s="347" t="str">
        <f t="shared" si="4"/>
        <v/>
      </c>
      <c r="N34" s="975"/>
      <c r="O34" s="460"/>
      <c r="P34" s="460"/>
      <c r="Q34" s="460"/>
      <c r="R34" s="460"/>
      <c r="S34" s="33">
        <f>SUM('HIV-Pharmaceuticals'!$O34:$R34)</f>
        <v>0</v>
      </c>
      <c r="T34" s="983">
        <f>'HIV-Pharmaceuticals'!$N34*'HIV-Pharmaceuticals'!$S34</f>
        <v>0</v>
      </c>
      <c r="U34" s="975"/>
      <c r="V34" s="464"/>
      <c r="W34" s="464"/>
      <c r="X34" s="464"/>
      <c r="Y34" s="464"/>
      <c r="Z34" s="441">
        <f>SUM('HIV-Pharmaceuticals'!$V34:$Y34)</f>
        <v>0</v>
      </c>
      <c r="AA34" s="974">
        <f>'HIV-Pharmaceuticals'!$U34*'HIV-Pharmaceuticals'!$Z34</f>
        <v>0</v>
      </c>
      <c r="AB34" s="975"/>
      <c r="AC34" s="460"/>
      <c r="AD34" s="460"/>
      <c r="AE34" s="460"/>
      <c r="AF34" s="460"/>
      <c r="AG34" s="442">
        <f>SUM('HIV-Pharmaceuticals'!$AC34:$AF34)</f>
        <v>0</v>
      </c>
      <c r="AH34" s="963">
        <f>'HIV-Pharmaceuticals'!$AB34*'HIV-Pharmaceuticals'!$AG34</f>
        <v>0</v>
      </c>
      <c r="AI34" s="443">
        <f>'HIV-Pharmaceuticals'!$S34+'HIV-Pharmaceuticals'!$Z34+'HIV-Pharmaceuticals'!$AG34</f>
        <v>0</v>
      </c>
      <c r="AJ34" s="963">
        <f>'HIV-Pharmaceuticals'!$T34+'HIV-Pharmaceuticals'!$AA34+'HIV-Pharmaceuticals'!$AH34</f>
        <v>0</v>
      </c>
      <c r="AK34" s="444" t="str">
        <f t="shared" si="5"/>
        <v/>
      </c>
      <c r="AL34" s="957"/>
    </row>
    <row r="35" spans="1:38">
      <c r="A35" s="2108"/>
      <c r="B35" s="2109"/>
      <c r="C35" s="2109"/>
      <c r="D35" s="2109"/>
      <c r="E35" s="2108"/>
      <c r="F35" s="2109"/>
      <c r="G35" s="2109"/>
      <c r="H35" s="2109"/>
      <c r="I35" s="2108"/>
      <c r="J35" s="2109"/>
      <c r="K35" s="2110"/>
      <c r="L35" s="1506" t="str">
        <f t="shared" si="3"/>
        <v/>
      </c>
      <c r="M35" s="346" t="str">
        <f t="shared" si="4"/>
        <v/>
      </c>
      <c r="N35" s="973"/>
      <c r="O35" s="459"/>
      <c r="P35" s="459"/>
      <c r="Q35" s="459"/>
      <c r="R35" s="459"/>
      <c r="S35" s="34">
        <f>SUM('HIV-Pharmaceuticals'!$O35:$R35)</f>
        <v>0</v>
      </c>
      <c r="T35" s="982">
        <f>'HIV-Pharmaceuticals'!$N35*'HIV-Pharmaceuticals'!$S35</f>
        <v>0</v>
      </c>
      <c r="U35" s="973"/>
      <c r="V35" s="463"/>
      <c r="W35" s="463"/>
      <c r="X35" s="463"/>
      <c r="Y35" s="463"/>
      <c r="Z35" s="437">
        <f>SUM('HIV-Pharmaceuticals'!$V35:$Y35)</f>
        <v>0</v>
      </c>
      <c r="AA35" s="972">
        <f>'HIV-Pharmaceuticals'!$U35*'HIV-Pharmaceuticals'!$Z35</f>
        <v>0</v>
      </c>
      <c r="AB35" s="973"/>
      <c r="AC35" s="459"/>
      <c r="AD35" s="459"/>
      <c r="AE35" s="459"/>
      <c r="AF35" s="459"/>
      <c r="AG35" s="438">
        <f>SUM('HIV-Pharmaceuticals'!$AC35:$AF35)</f>
        <v>0</v>
      </c>
      <c r="AH35" s="962">
        <f>'HIV-Pharmaceuticals'!$AB35*'HIV-Pharmaceuticals'!$AG35</f>
        <v>0</v>
      </c>
      <c r="AI35" s="439">
        <f>'HIV-Pharmaceuticals'!$S35+'HIV-Pharmaceuticals'!$Z35+'HIV-Pharmaceuticals'!$AG35</f>
        <v>0</v>
      </c>
      <c r="AJ35" s="962">
        <f>'HIV-Pharmaceuticals'!$T35+'HIV-Pharmaceuticals'!$AA35+'HIV-Pharmaceuticals'!$AH35</f>
        <v>0</v>
      </c>
      <c r="AK35" s="440" t="str">
        <f t="shared" si="5"/>
        <v/>
      </c>
      <c r="AL35" s="1222"/>
    </row>
    <row r="36" spans="1:38">
      <c r="A36" s="2105"/>
      <c r="B36" s="2106"/>
      <c r="C36" s="2106"/>
      <c r="D36" s="2106"/>
      <c r="E36" s="2105"/>
      <c r="F36" s="2106"/>
      <c r="G36" s="2106"/>
      <c r="H36" s="2106"/>
      <c r="I36" s="2105"/>
      <c r="J36" s="2106"/>
      <c r="K36" s="2107"/>
      <c r="L36" s="1505" t="str">
        <f t="shared" si="3"/>
        <v/>
      </c>
      <c r="M36" s="347" t="str">
        <f t="shared" si="4"/>
        <v/>
      </c>
      <c r="N36" s="975"/>
      <c r="O36" s="460"/>
      <c r="P36" s="460"/>
      <c r="Q36" s="460"/>
      <c r="R36" s="460"/>
      <c r="S36" s="33">
        <f>SUM('HIV-Pharmaceuticals'!$O36:$R36)</f>
        <v>0</v>
      </c>
      <c r="T36" s="983">
        <f>'HIV-Pharmaceuticals'!$N36*'HIV-Pharmaceuticals'!$S36</f>
        <v>0</v>
      </c>
      <c r="U36" s="975"/>
      <c r="V36" s="464"/>
      <c r="W36" s="464"/>
      <c r="X36" s="464"/>
      <c r="Y36" s="464"/>
      <c r="Z36" s="441">
        <f>SUM('HIV-Pharmaceuticals'!$V36:$Y36)</f>
        <v>0</v>
      </c>
      <c r="AA36" s="974">
        <f>'HIV-Pharmaceuticals'!$U36*'HIV-Pharmaceuticals'!$Z36</f>
        <v>0</v>
      </c>
      <c r="AB36" s="975"/>
      <c r="AC36" s="460"/>
      <c r="AD36" s="460"/>
      <c r="AE36" s="460"/>
      <c r="AF36" s="460"/>
      <c r="AG36" s="442">
        <f>SUM('HIV-Pharmaceuticals'!$AC36:$AF36)</f>
        <v>0</v>
      </c>
      <c r="AH36" s="963">
        <f>'HIV-Pharmaceuticals'!$AB36*'HIV-Pharmaceuticals'!$AG36</f>
        <v>0</v>
      </c>
      <c r="AI36" s="443">
        <f>'HIV-Pharmaceuticals'!$S36+'HIV-Pharmaceuticals'!$Z36+'HIV-Pharmaceuticals'!$AG36</f>
        <v>0</v>
      </c>
      <c r="AJ36" s="963">
        <f>'HIV-Pharmaceuticals'!$T36+'HIV-Pharmaceuticals'!$AA36+'HIV-Pharmaceuticals'!$AH36</f>
        <v>0</v>
      </c>
      <c r="AK36" s="444" t="str">
        <f t="shared" si="5"/>
        <v/>
      </c>
      <c r="AL36" s="957"/>
    </row>
    <row r="37" spans="1:38">
      <c r="A37" s="2108"/>
      <c r="B37" s="2109"/>
      <c r="C37" s="2109"/>
      <c r="D37" s="2109"/>
      <c r="E37" s="2108"/>
      <c r="F37" s="2109"/>
      <c r="G37" s="2109"/>
      <c r="H37" s="2109"/>
      <c r="I37" s="2108"/>
      <c r="J37" s="2109"/>
      <c r="K37" s="2110"/>
      <c r="L37" s="1506" t="str">
        <f t="shared" si="3"/>
        <v/>
      </c>
      <c r="M37" s="346" t="str">
        <f t="shared" si="4"/>
        <v/>
      </c>
      <c r="N37" s="973"/>
      <c r="O37" s="459"/>
      <c r="P37" s="459"/>
      <c r="Q37" s="459"/>
      <c r="R37" s="459"/>
      <c r="S37" s="34">
        <f>SUM('HIV-Pharmaceuticals'!$O37:$R37)</f>
        <v>0</v>
      </c>
      <c r="T37" s="982">
        <f>'HIV-Pharmaceuticals'!$N37*'HIV-Pharmaceuticals'!$S37</f>
        <v>0</v>
      </c>
      <c r="U37" s="973"/>
      <c r="V37" s="463"/>
      <c r="W37" s="463"/>
      <c r="X37" s="463"/>
      <c r="Y37" s="463"/>
      <c r="Z37" s="437">
        <f>SUM('HIV-Pharmaceuticals'!$V37:$Y37)</f>
        <v>0</v>
      </c>
      <c r="AA37" s="972">
        <f>'HIV-Pharmaceuticals'!$U37*'HIV-Pharmaceuticals'!$Z37</f>
        <v>0</v>
      </c>
      <c r="AB37" s="973"/>
      <c r="AC37" s="459"/>
      <c r="AD37" s="459"/>
      <c r="AE37" s="459"/>
      <c r="AF37" s="459"/>
      <c r="AG37" s="438">
        <f>SUM('HIV-Pharmaceuticals'!$AC37:$AF37)</f>
        <v>0</v>
      </c>
      <c r="AH37" s="962">
        <f>'HIV-Pharmaceuticals'!$AB37*'HIV-Pharmaceuticals'!$AG37</f>
        <v>0</v>
      </c>
      <c r="AI37" s="439">
        <f>'HIV-Pharmaceuticals'!$S37+'HIV-Pharmaceuticals'!$Z37+'HIV-Pharmaceuticals'!$AG37</f>
        <v>0</v>
      </c>
      <c r="AJ37" s="962">
        <f>'HIV-Pharmaceuticals'!$T37+'HIV-Pharmaceuticals'!$AA37+'HIV-Pharmaceuticals'!$AH37</f>
        <v>0</v>
      </c>
      <c r="AK37" s="440" t="str">
        <f t="shared" si="5"/>
        <v/>
      </c>
      <c r="AL37" s="1222"/>
    </row>
    <row r="38" spans="1:38">
      <c r="A38" s="2105"/>
      <c r="B38" s="2106"/>
      <c r="C38" s="2106"/>
      <c r="D38" s="2106"/>
      <c r="E38" s="2105"/>
      <c r="F38" s="2106"/>
      <c r="G38" s="2106"/>
      <c r="H38" s="2106"/>
      <c r="I38" s="2105"/>
      <c r="J38" s="2106"/>
      <c r="K38" s="2107"/>
      <c r="L38" s="1505" t="str">
        <f t="shared" si="3"/>
        <v/>
      </c>
      <c r="M38" s="347" t="str">
        <f t="shared" si="4"/>
        <v/>
      </c>
      <c r="N38" s="975"/>
      <c r="O38" s="460"/>
      <c r="P38" s="460"/>
      <c r="Q38" s="460"/>
      <c r="R38" s="460"/>
      <c r="S38" s="33">
        <f>SUM('HIV-Pharmaceuticals'!$O38:$R38)</f>
        <v>0</v>
      </c>
      <c r="T38" s="983">
        <f>'HIV-Pharmaceuticals'!$N38*'HIV-Pharmaceuticals'!$S38</f>
        <v>0</v>
      </c>
      <c r="U38" s="975"/>
      <c r="V38" s="464"/>
      <c r="W38" s="464"/>
      <c r="X38" s="464"/>
      <c r="Y38" s="464"/>
      <c r="Z38" s="441">
        <f>SUM('HIV-Pharmaceuticals'!$V38:$Y38)</f>
        <v>0</v>
      </c>
      <c r="AA38" s="974">
        <f>'HIV-Pharmaceuticals'!$U38*'HIV-Pharmaceuticals'!$Z38</f>
        <v>0</v>
      </c>
      <c r="AB38" s="975"/>
      <c r="AC38" s="460"/>
      <c r="AD38" s="460"/>
      <c r="AE38" s="460"/>
      <c r="AF38" s="460"/>
      <c r="AG38" s="442">
        <f>SUM('HIV-Pharmaceuticals'!$AC38:$AF38)</f>
        <v>0</v>
      </c>
      <c r="AH38" s="963">
        <f>'HIV-Pharmaceuticals'!$AB38*'HIV-Pharmaceuticals'!$AG38</f>
        <v>0</v>
      </c>
      <c r="AI38" s="443">
        <f>'HIV-Pharmaceuticals'!$S38+'HIV-Pharmaceuticals'!$Z38+'HIV-Pharmaceuticals'!$AG38</f>
        <v>0</v>
      </c>
      <c r="AJ38" s="963">
        <f>'HIV-Pharmaceuticals'!$T38+'HIV-Pharmaceuticals'!$AA38+'HIV-Pharmaceuticals'!$AH38</f>
        <v>0</v>
      </c>
      <c r="AK38" s="444" t="str">
        <f t="shared" si="5"/>
        <v/>
      </c>
      <c r="AL38" s="957"/>
    </row>
    <row r="39" spans="1:38">
      <c r="A39" s="2108"/>
      <c r="B39" s="2109"/>
      <c r="C39" s="2109"/>
      <c r="D39" s="2109"/>
      <c r="E39" s="2108"/>
      <c r="F39" s="2109"/>
      <c r="G39" s="2109"/>
      <c r="H39" s="2109"/>
      <c r="I39" s="2108"/>
      <c r="J39" s="2109"/>
      <c r="K39" s="2110"/>
      <c r="L39" s="1506" t="str">
        <f t="shared" si="3"/>
        <v/>
      </c>
      <c r="M39" s="346" t="str">
        <f t="shared" si="4"/>
        <v/>
      </c>
      <c r="N39" s="973"/>
      <c r="O39" s="459"/>
      <c r="P39" s="459"/>
      <c r="Q39" s="459"/>
      <c r="R39" s="459"/>
      <c r="S39" s="34">
        <f>SUM('HIV-Pharmaceuticals'!$O39:$R39)</f>
        <v>0</v>
      </c>
      <c r="T39" s="982">
        <f>'HIV-Pharmaceuticals'!$N39*'HIV-Pharmaceuticals'!$S39</f>
        <v>0</v>
      </c>
      <c r="U39" s="973"/>
      <c r="V39" s="463"/>
      <c r="W39" s="463"/>
      <c r="X39" s="463"/>
      <c r="Y39" s="463"/>
      <c r="Z39" s="437">
        <f>SUM('HIV-Pharmaceuticals'!$V39:$Y39)</f>
        <v>0</v>
      </c>
      <c r="AA39" s="972">
        <f>'HIV-Pharmaceuticals'!$U39*'HIV-Pharmaceuticals'!$Z39</f>
        <v>0</v>
      </c>
      <c r="AB39" s="973"/>
      <c r="AC39" s="459"/>
      <c r="AD39" s="459"/>
      <c r="AE39" s="459"/>
      <c r="AF39" s="459"/>
      <c r="AG39" s="438">
        <f>SUM('HIV-Pharmaceuticals'!$AC39:$AF39)</f>
        <v>0</v>
      </c>
      <c r="AH39" s="962">
        <f>'HIV-Pharmaceuticals'!$AB39*'HIV-Pharmaceuticals'!$AG39</f>
        <v>0</v>
      </c>
      <c r="AI39" s="439">
        <f>'HIV-Pharmaceuticals'!$S39+'HIV-Pharmaceuticals'!$Z39+'HIV-Pharmaceuticals'!$AG39</f>
        <v>0</v>
      </c>
      <c r="AJ39" s="962">
        <f>'HIV-Pharmaceuticals'!$T39+'HIV-Pharmaceuticals'!$AA39+'HIV-Pharmaceuticals'!$AH39</f>
        <v>0</v>
      </c>
      <c r="AK39" s="440" t="str">
        <f t="shared" si="5"/>
        <v/>
      </c>
      <c r="AL39" s="1222"/>
    </row>
    <row r="40" spans="1:38">
      <c r="A40" s="2105"/>
      <c r="B40" s="2106"/>
      <c r="C40" s="2106"/>
      <c r="D40" s="2106"/>
      <c r="E40" s="2105"/>
      <c r="F40" s="2106"/>
      <c r="G40" s="2106"/>
      <c r="H40" s="2106"/>
      <c r="I40" s="2105"/>
      <c r="J40" s="2106"/>
      <c r="K40" s="2107"/>
      <c r="L40" s="1505" t="str">
        <f t="shared" si="3"/>
        <v/>
      </c>
      <c r="M40" s="347" t="str">
        <f t="shared" si="4"/>
        <v/>
      </c>
      <c r="N40" s="975"/>
      <c r="O40" s="460"/>
      <c r="P40" s="460"/>
      <c r="Q40" s="460"/>
      <c r="R40" s="460"/>
      <c r="S40" s="33">
        <f>SUM('HIV-Pharmaceuticals'!$O40:$R40)</f>
        <v>0</v>
      </c>
      <c r="T40" s="983">
        <f>'HIV-Pharmaceuticals'!$N40*'HIV-Pharmaceuticals'!$S40</f>
        <v>0</v>
      </c>
      <c r="U40" s="975"/>
      <c r="V40" s="464"/>
      <c r="W40" s="464"/>
      <c r="X40" s="464"/>
      <c r="Y40" s="464"/>
      <c r="Z40" s="441">
        <f>SUM('HIV-Pharmaceuticals'!$V40:$Y40)</f>
        <v>0</v>
      </c>
      <c r="AA40" s="974">
        <f>'HIV-Pharmaceuticals'!$U40*'HIV-Pharmaceuticals'!$Z40</f>
        <v>0</v>
      </c>
      <c r="AB40" s="975"/>
      <c r="AC40" s="460"/>
      <c r="AD40" s="460"/>
      <c r="AE40" s="460"/>
      <c r="AF40" s="460"/>
      <c r="AG40" s="442">
        <f>SUM('HIV-Pharmaceuticals'!$AC40:$AF40)</f>
        <v>0</v>
      </c>
      <c r="AH40" s="963">
        <f>'HIV-Pharmaceuticals'!$AB40*'HIV-Pharmaceuticals'!$AG40</f>
        <v>0</v>
      </c>
      <c r="AI40" s="443">
        <f>'HIV-Pharmaceuticals'!$S40+'HIV-Pharmaceuticals'!$Z40+'HIV-Pharmaceuticals'!$AG40</f>
        <v>0</v>
      </c>
      <c r="AJ40" s="963">
        <f>'HIV-Pharmaceuticals'!$T40+'HIV-Pharmaceuticals'!$AA40+'HIV-Pharmaceuticals'!$AH40</f>
        <v>0</v>
      </c>
      <c r="AK40" s="444" t="str">
        <f t="shared" si="5"/>
        <v/>
      </c>
      <c r="AL40" s="957"/>
    </row>
    <row r="41" spans="1:38">
      <c r="A41" s="2108"/>
      <c r="B41" s="2109"/>
      <c r="C41" s="2109"/>
      <c r="D41" s="2109"/>
      <c r="E41" s="2108"/>
      <c r="F41" s="2109"/>
      <c r="G41" s="2109"/>
      <c r="H41" s="2109"/>
      <c r="I41" s="2108"/>
      <c r="J41" s="2109"/>
      <c r="K41" s="2110"/>
      <c r="L41" s="1506" t="str">
        <f t="shared" si="3"/>
        <v/>
      </c>
      <c r="M41" s="346" t="str">
        <f t="shared" si="4"/>
        <v/>
      </c>
      <c r="N41" s="973"/>
      <c r="O41" s="459"/>
      <c r="P41" s="459"/>
      <c r="Q41" s="459"/>
      <c r="R41" s="459"/>
      <c r="S41" s="34">
        <f>SUM('HIV-Pharmaceuticals'!$O41:$R41)</f>
        <v>0</v>
      </c>
      <c r="T41" s="982">
        <f>'HIV-Pharmaceuticals'!$N41*'HIV-Pharmaceuticals'!$S41</f>
        <v>0</v>
      </c>
      <c r="U41" s="973"/>
      <c r="V41" s="463"/>
      <c r="W41" s="463"/>
      <c r="X41" s="463"/>
      <c r="Y41" s="463"/>
      <c r="Z41" s="437">
        <f>SUM('HIV-Pharmaceuticals'!$V41:$Y41)</f>
        <v>0</v>
      </c>
      <c r="AA41" s="972">
        <f>'HIV-Pharmaceuticals'!$U41*'HIV-Pharmaceuticals'!$Z41</f>
        <v>0</v>
      </c>
      <c r="AB41" s="973"/>
      <c r="AC41" s="459"/>
      <c r="AD41" s="459"/>
      <c r="AE41" s="459"/>
      <c r="AF41" s="459"/>
      <c r="AG41" s="438">
        <f>SUM('HIV-Pharmaceuticals'!$AC41:$AF41)</f>
        <v>0</v>
      </c>
      <c r="AH41" s="962">
        <f>'HIV-Pharmaceuticals'!$AB41*'HIV-Pharmaceuticals'!$AG41</f>
        <v>0</v>
      </c>
      <c r="AI41" s="439">
        <f>'HIV-Pharmaceuticals'!$S41+'HIV-Pharmaceuticals'!$Z41+'HIV-Pharmaceuticals'!$AG41</f>
        <v>0</v>
      </c>
      <c r="AJ41" s="962">
        <f>'HIV-Pharmaceuticals'!$T41+'HIV-Pharmaceuticals'!$AA41+'HIV-Pharmaceuticals'!$AH41</f>
        <v>0</v>
      </c>
      <c r="AK41" s="440" t="str">
        <f t="shared" si="5"/>
        <v/>
      </c>
      <c r="AL41" s="1222"/>
    </row>
    <row r="42" spans="1:38">
      <c r="A42" s="2105"/>
      <c r="B42" s="2106"/>
      <c r="C42" s="2106"/>
      <c r="D42" s="2106"/>
      <c r="E42" s="2105"/>
      <c r="F42" s="2106"/>
      <c r="G42" s="2106"/>
      <c r="H42" s="2106"/>
      <c r="I42" s="2105"/>
      <c r="J42" s="2106"/>
      <c r="K42" s="2107"/>
      <c r="L42" s="1505" t="str">
        <f t="shared" si="3"/>
        <v/>
      </c>
      <c r="M42" s="347" t="str">
        <f t="shared" si="4"/>
        <v/>
      </c>
      <c r="N42" s="975"/>
      <c r="O42" s="460"/>
      <c r="P42" s="460"/>
      <c r="Q42" s="460"/>
      <c r="R42" s="460"/>
      <c r="S42" s="33">
        <f>SUM('HIV-Pharmaceuticals'!$O42:$R42)</f>
        <v>0</v>
      </c>
      <c r="T42" s="983">
        <f>'HIV-Pharmaceuticals'!$N42*'HIV-Pharmaceuticals'!$S42</f>
        <v>0</v>
      </c>
      <c r="U42" s="975"/>
      <c r="V42" s="464"/>
      <c r="W42" s="464"/>
      <c r="X42" s="464"/>
      <c r="Y42" s="464"/>
      <c r="Z42" s="441">
        <f>SUM('HIV-Pharmaceuticals'!$V42:$Y42)</f>
        <v>0</v>
      </c>
      <c r="AA42" s="974">
        <f>'HIV-Pharmaceuticals'!$U42*'HIV-Pharmaceuticals'!$Z42</f>
        <v>0</v>
      </c>
      <c r="AB42" s="975"/>
      <c r="AC42" s="460"/>
      <c r="AD42" s="460"/>
      <c r="AE42" s="460"/>
      <c r="AF42" s="460"/>
      <c r="AG42" s="442">
        <f>SUM('HIV-Pharmaceuticals'!$AC42:$AF42)</f>
        <v>0</v>
      </c>
      <c r="AH42" s="963">
        <f>'HIV-Pharmaceuticals'!$AB42*'HIV-Pharmaceuticals'!$AG42</f>
        <v>0</v>
      </c>
      <c r="AI42" s="443">
        <f>'HIV-Pharmaceuticals'!$S42+'HIV-Pharmaceuticals'!$Z42+'HIV-Pharmaceuticals'!$AG42</f>
        <v>0</v>
      </c>
      <c r="AJ42" s="963">
        <f>'HIV-Pharmaceuticals'!$T42+'HIV-Pharmaceuticals'!$AA42+'HIV-Pharmaceuticals'!$AH42</f>
        <v>0</v>
      </c>
      <c r="AK42" s="444" t="str">
        <f t="shared" si="5"/>
        <v/>
      </c>
      <c r="AL42" s="957"/>
    </row>
    <row r="43" spans="1:38">
      <c r="A43" s="2108"/>
      <c r="B43" s="2109"/>
      <c r="C43" s="2109"/>
      <c r="D43" s="2109"/>
      <c r="E43" s="2108"/>
      <c r="F43" s="2109"/>
      <c r="G43" s="2109"/>
      <c r="H43" s="2109"/>
      <c r="I43" s="2108"/>
      <c r="J43" s="2109"/>
      <c r="K43" s="2110"/>
      <c r="L43" s="1506" t="str">
        <f t="shared" si="3"/>
        <v/>
      </c>
      <c r="M43" s="346" t="str">
        <f t="shared" si="4"/>
        <v/>
      </c>
      <c r="N43" s="973"/>
      <c r="O43" s="459"/>
      <c r="P43" s="459"/>
      <c r="Q43" s="459"/>
      <c r="R43" s="459"/>
      <c r="S43" s="34">
        <f>SUM('HIV-Pharmaceuticals'!$O43:$R43)</f>
        <v>0</v>
      </c>
      <c r="T43" s="982">
        <f>'HIV-Pharmaceuticals'!$N43*'HIV-Pharmaceuticals'!$S43</f>
        <v>0</v>
      </c>
      <c r="U43" s="973"/>
      <c r="V43" s="463"/>
      <c r="W43" s="463"/>
      <c r="X43" s="463"/>
      <c r="Y43" s="463"/>
      <c r="Z43" s="437">
        <f>SUM('HIV-Pharmaceuticals'!$V43:$Y43)</f>
        <v>0</v>
      </c>
      <c r="AA43" s="972">
        <f>'HIV-Pharmaceuticals'!$U43*'HIV-Pharmaceuticals'!$Z43</f>
        <v>0</v>
      </c>
      <c r="AB43" s="973"/>
      <c r="AC43" s="459"/>
      <c r="AD43" s="459"/>
      <c r="AE43" s="459"/>
      <c r="AF43" s="459"/>
      <c r="AG43" s="438">
        <f>SUM('HIV-Pharmaceuticals'!$AC43:$AF43)</f>
        <v>0</v>
      </c>
      <c r="AH43" s="962">
        <f>'HIV-Pharmaceuticals'!$AB43*'HIV-Pharmaceuticals'!$AG43</f>
        <v>0</v>
      </c>
      <c r="AI43" s="439">
        <f>'HIV-Pharmaceuticals'!$S43+'HIV-Pharmaceuticals'!$Z43+'HIV-Pharmaceuticals'!$AG43</f>
        <v>0</v>
      </c>
      <c r="AJ43" s="962">
        <f>'HIV-Pharmaceuticals'!$T43+'HIV-Pharmaceuticals'!$AA43+'HIV-Pharmaceuticals'!$AH43</f>
        <v>0</v>
      </c>
      <c r="AK43" s="440" t="str">
        <f t="shared" si="5"/>
        <v/>
      </c>
      <c r="AL43" s="1222"/>
    </row>
    <row r="44" spans="1:38">
      <c r="A44" s="2105"/>
      <c r="B44" s="2106"/>
      <c r="C44" s="2106"/>
      <c r="D44" s="2106"/>
      <c r="E44" s="2105"/>
      <c r="F44" s="2106"/>
      <c r="G44" s="2106"/>
      <c r="H44" s="2106"/>
      <c r="I44" s="2105"/>
      <c r="J44" s="2106"/>
      <c r="K44" s="2107"/>
      <c r="L44" s="1505" t="str">
        <f t="shared" si="3"/>
        <v/>
      </c>
      <c r="M44" s="347" t="str">
        <f t="shared" si="4"/>
        <v/>
      </c>
      <c r="N44" s="975"/>
      <c r="O44" s="460"/>
      <c r="P44" s="460"/>
      <c r="Q44" s="460"/>
      <c r="R44" s="460"/>
      <c r="S44" s="33">
        <f>SUM('HIV-Pharmaceuticals'!$O44:$R44)</f>
        <v>0</v>
      </c>
      <c r="T44" s="983">
        <f>'HIV-Pharmaceuticals'!$N44*'HIV-Pharmaceuticals'!$S44</f>
        <v>0</v>
      </c>
      <c r="U44" s="975"/>
      <c r="V44" s="464"/>
      <c r="W44" s="464"/>
      <c r="X44" s="464"/>
      <c r="Y44" s="464"/>
      <c r="Z44" s="441">
        <f>SUM('HIV-Pharmaceuticals'!$V44:$Y44)</f>
        <v>0</v>
      </c>
      <c r="AA44" s="974">
        <f>'HIV-Pharmaceuticals'!$U44*'HIV-Pharmaceuticals'!$Z44</f>
        <v>0</v>
      </c>
      <c r="AB44" s="975"/>
      <c r="AC44" s="460"/>
      <c r="AD44" s="460"/>
      <c r="AE44" s="460"/>
      <c r="AF44" s="460"/>
      <c r="AG44" s="442">
        <f>SUM('HIV-Pharmaceuticals'!$AC44:$AF44)</f>
        <v>0</v>
      </c>
      <c r="AH44" s="963">
        <f>'HIV-Pharmaceuticals'!$AB44*'HIV-Pharmaceuticals'!$AG44</f>
        <v>0</v>
      </c>
      <c r="AI44" s="443">
        <f>'HIV-Pharmaceuticals'!$S44+'HIV-Pharmaceuticals'!$Z44+'HIV-Pharmaceuticals'!$AG44</f>
        <v>0</v>
      </c>
      <c r="AJ44" s="963">
        <f>'HIV-Pharmaceuticals'!$T44+'HIV-Pharmaceuticals'!$AA44+'HIV-Pharmaceuticals'!$AH44</f>
        <v>0</v>
      </c>
      <c r="AK44" s="444" t="str">
        <f t="shared" si="5"/>
        <v/>
      </c>
      <c r="AL44" s="957"/>
    </row>
    <row r="45" spans="1:38">
      <c r="A45" s="2108"/>
      <c r="B45" s="2109"/>
      <c r="C45" s="2109"/>
      <c r="D45" s="2109"/>
      <c r="E45" s="2108"/>
      <c r="F45" s="2109"/>
      <c r="G45" s="2109"/>
      <c r="H45" s="2109"/>
      <c r="I45" s="2108"/>
      <c r="J45" s="2109"/>
      <c r="K45" s="2110"/>
      <c r="L45" s="1506" t="str">
        <f t="shared" si="3"/>
        <v/>
      </c>
      <c r="M45" s="346" t="str">
        <f t="shared" si="4"/>
        <v/>
      </c>
      <c r="N45" s="973"/>
      <c r="O45" s="459"/>
      <c r="P45" s="459"/>
      <c r="Q45" s="459"/>
      <c r="R45" s="459"/>
      <c r="S45" s="34">
        <f>SUM('HIV-Pharmaceuticals'!$O45:$R45)</f>
        <v>0</v>
      </c>
      <c r="T45" s="982">
        <f>'HIV-Pharmaceuticals'!$N45*'HIV-Pharmaceuticals'!$S45</f>
        <v>0</v>
      </c>
      <c r="U45" s="973"/>
      <c r="V45" s="463"/>
      <c r="W45" s="463"/>
      <c r="X45" s="463"/>
      <c r="Y45" s="463"/>
      <c r="Z45" s="437">
        <f>SUM('HIV-Pharmaceuticals'!$V45:$Y45)</f>
        <v>0</v>
      </c>
      <c r="AA45" s="972">
        <f>'HIV-Pharmaceuticals'!$U45*'HIV-Pharmaceuticals'!$Z45</f>
        <v>0</v>
      </c>
      <c r="AB45" s="973"/>
      <c r="AC45" s="459"/>
      <c r="AD45" s="459"/>
      <c r="AE45" s="459"/>
      <c r="AF45" s="459"/>
      <c r="AG45" s="438">
        <f>SUM('HIV-Pharmaceuticals'!$AC45:$AF45)</f>
        <v>0</v>
      </c>
      <c r="AH45" s="962">
        <f>'HIV-Pharmaceuticals'!$AB45*'HIV-Pharmaceuticals'!$AG45</f>
        <v>0</v>
      </c>
      <c r="AI45" s="439">
        <f>'HIV-Pharmaceuticals'!$S45+'HIV-Pharmaceuticals'!$Z45+'HIV-Pharmaceuticals'!$AG45</f>
        <v>0</v>
      </c>
      <c r="AJ45" s="962">
        <f>'HIV-Pharmaceuticals'!$T45+'HIV-Pharmaceuticals'!$AA45+'HIV-Pharmaceuticals'!$AH45</f>
        <v>0</v>
      </c>
      <c r="AK45" s="440" t="str">
        <f t="shared" si="5"/>
        <v/>
      </c>
      <c r="AL45" s="1222"/>
    </row>
    <row r="46" spans="1:38">
      <c r="A46" s="2105"/>
      <c r="B46" s="2106"/>
      <c r="C46" s="2106"/>
      <c r="D46" s="2106"/>
      <c r="E46" s="2105"/>
      <c r="F46" s="2106"/>
      <c r="G46" s="2106"/>
      <c r="H46" s="2106"/>
      <c r="I46" s="2105"/>
      <c r="J46" s="2106"/>
      <c r="K46" s="2107"/>
      <c r="L46" s="1505" t="str">
        <f t="shared" si="3"/>
        <v/>
      </c>
      <c r="M46" s="347" t="str">
        <f t="shared" si="4"/>
        <v/>
      </c>
      <c r="N46" s="975"/>
      <c r="O46" s="460"/>
      <c r="P46" s="460"/>
      <c r="Q46" s="460"/>
      <c r="R46" s="460"/>
      <c r="S46" s="33">
        <f>SUM('HIV-Pharmaceuticals'!$O46:$R46)</f>
        <v>0</v>
      </c>
      <c r="T46" s="983">
        <f>'HIV-Pharmaceuticals'!$N46*'HIV-Pharmaceuticals'!$S46</f>
        <v>0</v>
      </c>
      <c r="U46" s="975"/>
      <c r="V46" s="464"/>
      <c r="W46" s="464"/>
      <c r="X46" s="464"/>
      <c r="Y46" s="464"/>
      <c r="Z46" s="441">
        <f>SUM('HIV-Pharmaceuticals'!$V46:$Y46)</f>
        <v>0</v>
      </c>
      <c r="AA46" s="974">
        <f>'HIV-Pharmaceuticals'!$U46*'HIV-Pharmaceuticals'!$Z46</f>
        <v>0</v>
      </c>
      <c r="AB46" s="975"/>
      <c r="AC46" s="460"/>
      <c r="AD46" s="460"/>
      <c r="AE46" s="460"/>
      <c r="AF46" s="460"/>
      <c r="AG46" s="442">
        <f>SUM('HIV-Pharmaceuticals'!$AC46:$AF46)</f>
        <v>0</v>
      </c>
      <c r="AH46" s="963">
        <f>'HIV-Pharmaceuticals'!$AB46*'HIV-Pharmaceuticals'!$AG46</f>
        <v>0</v>
      </c>
      <c r="AI46" s="443">
        <f>'HIV-Pharmaceuticals'!$S46+'HIV-Pharmaceuticals'!$Z46+'HIV-Pharmaceuticals'!$AG46</f>
        <v>0</v>
      </c>
      <c r="AJ46" s="963">
        <f>'HIV-Pharmaceuticals'!$T46+'HIV-Pharmaceuticals'!$AA46+'HIV-Pharmaceuticals'!$AH46</f>
        <v>0</v>
      </c>
      <c r="AK46" s="444" t="str">
        <f t="shared" si="5"/>
        <v/>
      </c>
      <c r="AL46" s="957"/>
    </row>
    <row r="47" spans="1:38">
      <c r="A47" s="2108"/>
      <c r="B47" s="2109"/>
      <c r="C47" s="2109"/>
      <c r="D47" s="2109"/>
      <c r="E47" s="2108"/>
      <c r="F47" s="2109"/>
      <c r="G47" s="2109"/>
      <c r="H47" s="2109"/>
      <c r="I47" s="2108"/>
      <c r="J47" s="2109"/>
      <c r="K47" s="2110"/>
      <c r="L47" s="1506" t="str">
        <f t="shared" si="3"/>
        <v/>
      </c>
      <c r="M47" s="346" t="str">
        <f t="shared" si="4"/>
        <v/>
      </c>
      <c r="N47" s="973"/>
      <c r="O47" s="459"/>
      <c r="P47" s="459"/>
      <c r="Q47" s="459"/>
      <c r="R47" s="459"/>
      <c r="S47" s="34">
        <f>SUM('HIV-Pharmaceuticals'!$O47:$R47)</f>
        <v>0</v>
      </c>
      <c r="T47" s="982">
        <f>'HIV-Pharmaceuticals'!$N47*'HIV-Pharmaceuticals'!$S47</f>
        <v>0</v>
      </c>
      <c r="U47" s="973"/>
      <c r="V47" s="463"/>
      <c r="W47" s="463"/>
      <c r="X47" s="463"/>
      <c r="Y47" s="463"/>
      <c r="Z47" s="437">
        <f>SUM('HIV-Pharmaceuticals'!$V47:$Y47)</f>
        <v>0</v>
      </c>
      <c r="AA47" s="972">
        <f>'HIV-Pharmaceuticals'!$U47*'HIV-Pharmaceuticals'!$Z47</f>
        <v>0</v>
      </c>
      <c r="AB47" s="973"/>
      <c r="AC47" s="459"/>
      <c r="AD47" s="459"/>
      <c r="AE47" s="459"/>
      <c r="AF47" s="459"/>
      <c r="AG47" s="438">
        <f>SUM('HIV-Pharmaceuticals'!$AC47:$AF47)</f>
        <v>0</v>
      </c>
      <c r="AH47" s="962">
        <f>'HIV-Pharmaceuticals'!$AB47*'HIV-Pharmaceuticals'!$AG47</f>
        <v>0</v>
      </c>
      <c r="AI47" s="439">
        <f>'HIV-Pharmaceuticals'!$S47+'HIV-Pharmaceuticals'!$Z47+'HIV-Pharmaceuticals'!$AG47</f>
        <v>0</v>
      </c>
      <c r="AJ47" s="962">
        <f>'HIV-Pharmaceuticals'!$T47+'HIV-Pharmaceuticals'!$AA47+'HIV-Pharmaceuticals'!$AH47</f>
        <v>0</v>
      </c>
      <c r="AK47" s="440" t="str">
        <f t="shared" si="5"/>
        <v/>
      </c>
      <c r="AL47" s="1222"/>
    </row>
    <row r="48" spans="1:38">
      <c r="A48" s="2105"/>
      <c r="B48" s="2106"/>
      <c r="C48" s="2106"/>
      <c r="D48" s="2106"/>
      <c r="E48" s="2105"/>
      <c r="F48" s="2106"/>
      <c r="G48" s="2106"/>
      <c r="H48" s="2106"/>
      <c r="I48" s="2105"/>
      <c r="J48" s="2106"/>
      <c r="K48" s="2107"/>
      <c r="L48" s="1505" t="str">
        <f t="shared" si="3"/>
        <v/>
      </c>
      <c r="M48" s="347" t="str">
        <f t="shared" si="4"/>
        <v/>
      </c>
      <c r="N48" s="975"/>
      <c r="O48" s="460"/>
      <c r="P48" s="460"/>
      <c r="Q48" s="460"/>
      <c r="R48" s="460"/>
      <c r="S48" s="33">
        <f>SUM('HIV-Pharmaceuticals'!$O48:$R48)</f>
        <v>0</v>
      </c>
      <c r="T48" s="983">
        <f>'HIV-Pharmaceuticals'!$N48*'HIV-Pharmaceuticals'!$S48</f>
        <v>0</v>
      </c>
      <c r="U48" s="975"/>
      <c r="V48" s="464"/>
      <c r="W48" s="464"/>
      <c r="X48" s="464"/>
      <c r="Y48" s="464"/>
      <c r="Z48" s="441">
        <f>SUM('HIV-Pharmaceuticals'!$V48:$Y48)</f>
        <v>0</v>
      </c>
      <c r="AA48" s="974">
        <f>'HIV-Pharmaceuticals'!$U48*'HIV-Pharmaceuticals'!$Z48</f>
        <v>0</v>
      </c>
      <c r="AB48" s="975"/>
      <c r="AC48" s="460"/>
      <c r="AD48" s="460"/>
      <c r="AE48" s="460"/>
      <c r="AF48" s="460"/>
      <c r="AG48" s="442">
        <f>SUM('HIV-Pharmaceuticals'!$AC48:$AF48)</f>
        <v>0</v>
      </c>
      <c r="AH48" s="963">
        <f>'HIV-Pharmaceuticals'!$AB48*'HIV-Pharmaceuticals'!$AG48</f>
        <v>0</v>
      </c>
      <c r="AI48" s="443">
        <f>'HIV-Pharmaceuticals'!$S48+'HIV-Pharmaceuticals'!$Z48+'HIV-Pharmaceuticals'!$AG48</f>
        <v>0</v>
      </c>
      <c r="AJ48" s="963">
        <f>'HIV-Pharmaceuticals'!$T48+'HIV-Pharmaceuticals'!$AA48+'HIV-Pharmaceuticals'!$AH48</f>
        <v>0</v>
      </c>
      <c r="AK48" s="444" t="str">
        <f t="shared" si="5"/>
        <v/>
      </c>
      <c r="AL48" s="957"/>
    </row>
    <row r="49" spans="1:38">
      <c r="A49" s="2108"/>
      <c r="B49" s="2109"/>
      <c r="C49" s="2109"/>
      <c r="D49" s="2109"/>
      <c r="E49" s="2108"/>
      <c r="F49" s="2109"/>
      <c r="G49" s="2109"/>
      <c r="H49" s="2109"/>
      <c r="I49" s="2108"/>
      <c r="J49" s="2109"/>
      <c r="K49" s="2110"/>
      <c r="L49" s="1506" t="str">
        <f t="shared" si="3"/>
        <v/>
      </c>
      <c r="M49" s="346" t="str">
        <f t="shared" si="4"/>
        <v/>
      </c>
      <c r="N49" s="973"/>
      <c r="O49" s="459"/>
      <c r="P49" s="459"/>
      <c r="Q49" s="459"/>
      <c r="R49" s="459"/>
      <c r="S49" s="34">
        <f>SUM('HIV-Pharmaceuticals'!$O49:$R49)</f>
        <v>0</v>
      </c>
      <c r="T49" s="982">
        <f>'HIV-Pharmaceuticals'!$N49*'HIV-Pharmaceuticals'!$S49</f>
        <v>0</v>
      </c>
      <c r="U49" s="973"/>
      <c r="V49" s="463"/>
      <c r="W49" s="463"/>
      <c r="X49" s="463"/>
      <c r="Y49" s="463"/>
      <c r="Z49" s="437">
        <f>SUM('HIV-Pharmaceuticals'!$V49:$Y49)</f>
        <v>0</v>
      </c>
      <c r="AA49" s="972">
        <f>'HIV-Pharmaceuticals'!$U49*'HIV-Pharmaceuticals'!$Z49</f>
        <v>0</v>
      </c>
      <c r="AB49" s="973"/>
      <c r="AC49" s="459"/>
      <c r="AD49" s="459"/>
      <c r="AE49" s="459"/>
      <c r="AF49" s="459"/>
      <c r="AG49" s="438">
        <f>SUM('HIV-Pharmaceuticals'!$AC49:$AF49)</f>
        <v>0</v>
      </c>
      <c r="AH49" s="962">
        <f>'HIV-Pharmaceuticals'!$AB49*'HIV-Pharmaceuticals'!$AG49</f>
        <v>0</v>
      </c>
      <c r="AI49" s="439">
        <f>'HIV-Pharmaceuticals'!$S49+'HIV-Pharmaceuticals'!$Z49+'HIV-Pharmaceuticals'!$AG49</f>
        <v>0</v>
      </c>
      <c r="AJ49" s="962">
        <f>'HIV-Pharmaceuticals'!$T49+'HIV-Pharmaceuticals'!$AA49+'HIV-Pharmaceuticals'!$AH49</f>
        <v>0</v>
      </c>
      <c r="AK49" s="440" t="str">
        <f t="shared" si="5"/>
        <v/>
      </c>
      <c r="AL49" s="1222"/>
    </row>
    <row r="50" spans="1:38">
      <c r="A50" s="2105"/>
      <c r="B50" s="2106"/>
      <c r="C50" s="2106"/>
      <c r="D50" s="2106"/>
      <c r="E50" s="2105"/>
      <c r="F50" s="2106"/>
      <c r="G50" s="2106"/>
      <c r="H50" s="2106"/>
      <c r="I50" s="2105"/>
      <c r="J50" s="2106"/>
      <c r="K50" s="2107"/>
      <c r="L50" s="1505" t="str">
        <f t="shared" si="3"/>
        <v/>
      </c>
      <c r="M50" s="347" t="str">
        <f t="shared" si="4"/>
        <v/>
      </c>
      <c r="N50" s="975"/>
      <c r="O50" s="460"/>
      <c r="P50" s="460"/>
      <c r="Q50" s="460"/>
      <c r="R50" s="460"/>
      <c r="S50" s="33">
        <f>SUM('HIV-Pharmaceuticals'!$O50:$R50)</f>
        <v>0</v>
      </c>
      <c r="T50" s="983">
        <f>'HIV-Pharmaceuticals'!$N50*'HIV-Pharmaceuticals'!$S50</f>
        <v>0</v>
      </c>
      <c r="U50" s="975"/>
      <c r="V50" s="464"/>
      <c r="W50" s="464"/>
      <c r="X50" s="464"/>
      <c r="Y50" s="464"/>
      <c r="Z50" s="441">
        <f>SUM('HIV-Pharmaceuticals'!$V50:$Y50)</f>
        <v>0</v>
      </c>
      <c r="AA50" s="974">
        <f>'HIV-Pharmaceuticals'!$U50*'HIV-Pharmaceuticals'!$Z50</f>
        <v>0</v>
      </c>
      <c r="AB50" s="975"/>
      <c r="AC50" s="460"/>
      <c r="AD50" s="460"/>
      <c r="AE50" s="460"/>
      <c r="AF50" s="460"/>
      <c r="AG50" s="442">
        <f>SUM('HIV-Pharmaceuticals'!$AC50:$AF50)</f>
        <v>0</v>
      </c>
      <c r="AH50" s="963">
        <f>'HIV-Pharmaceuticals'!$AB50*'HIV-Pharmaceuticals'!$AG50</f>
        <v>0</v>
      </c>
      <c r="AI50" s="443">
        <f>'HIV-Pharmaceuticals'!$S50+'HIV-Pharmaceuticals'!$Z50+'HIV-Pharmaceuticals'!$AG50</f>
        <v>0</v>
      </c>
      <c r="AJ50" s="963">
        <f>'HIV-Pharmaceuticals'!$T50+'HIV-Pharmaceuticals'!$AA50+'HIV-Pharmaceuticals'!$AH50</f>
        <v>0</v>
      </c>
      <c r="AK50" s="444" t="str">
        <f t="shared" si="5"/>
        <v/>
      </c>
      <c r="AL50" s="957"/>
    </row>
    <row r="51" spans="1:38">
      <c r="A51" s="2108"/>
      <c r="B51" s="2109"/>
      <c r="C51" s="2109"/>
      <c r="D51" s="2109"/>
      <c r="E51" s="2108"/>
      <c r="F51" s="2109"/>
      <c r="G51" s="2109"/>
      <c r="H51" s="2109"/>
      <c r="I51" s="2108"/>
      <c r="J51" s="2109"/>
      <c r="K51" s="2110"/>
      <c r="L51" s="1506" t="str">
        <f t="shared" si="3"/>
        <v/>
      </c>
      <c r="M51" s="346" t="str">
        <f t="shared" si="4"/>
        <v/>
      </c>
      <c r="N51" s="973"/>
      <c r="O51" s="459"/>
      <c r="P51" s="459"/>
      <c r="Q51" s="459"/>
      <c r="R51" s="459"/>
      <c r="S51" s="34">
        <f>SUM('HIV-Pharmaceuticals'!$O51:$R51)</f>
        <v>0</v>
      </c>
      <c r="T51" s="982">
        <f>'HIV-Pharmaceuticals'!$N51*'HIV-Pharmaceuticals'!$S51</f>
        <v>0</v>
      </c>
      <c r="U51" s="973"/>
      <c r="V51" s="463"/>
      <c r="W51" s="463"/>
      <c r="X51" s="463"/>
      <c r="Y51" s="463"/>
      <c r="Z51" s="437">
        <f>SUM('HIV-Pharmaceuticals'!$V51:$Y51)</f>
        <v>0</v>
      </c>
      <c r="AA51" s="972">
        <f>'HIV-Pharmaceuticals'!$U51*'HIV-Pharmaceuticals'!$Z51</f>
        <v>0</v>
      </c>
      <c r="AB51" s="973"/>
      <c r="AC51" s="459"/>
      <c r="AD51" s="459"/>
      <c r="AE51" s="459"/>
      <c r="AF51" s="459"/>
      <c r="AG51" s="438">
        <f>SUM('HIV-Pharmaceuticals'!$AC51:$AF51)</f>
        <v>0</v>
      </c>
      <c r="AH51" s="962">
        <f>'HIV-Pharmaceuticals'!$AB51*'HIV-Pharmaceuticals'!$AG51</f>
        <v>0</v>
      </c>
      <c r="AI51" s="439">
        <f>'HIV-Pharmaceuticals'!$S51+'HIV-Pharmaceuticals'!$Z51+'HIV-Pharmaceuticals'!$AG51</f>
        <v>0</v>
      </c>
      <c r="AJ51" s="962">
        <f>'HIV-Pharmaceuticals'!$T51+'HIV-Pharmaceuticals'!$AA51+'HIV-Pharmaceuticals'!$AH51</f>
        <v>0</v>
      </c>
      <c r="AK51" s="440" t="str">
        <f t="shared" si="5"/>
        <v/>
      </c>
      <c r="AL51" s="1222"/>
    </row>
    <row r="52" spans="1:38">
      <c r="A52" s="2105"/>
      <c r="B52" s="2106"/>
      <c r="C52" s="2106"/>
      <c r="D52" s="2106"/>
      <c r="E52" s="2105"/>
      <c r="F52" s="2106"/>
      <c r="G52" s="2106"/>
      <c r="H52" s="2106"/>
      <c r="I52" s="2105"/>
      <c r="J52" s="2106"/>
      <c r="K52" s="2107"/>
      <c r="L52" s="1505" t="str">
        <f t="shared" si="3"/>
        <v/>
      </c>
      <c r="M52" s="347" t="str">
        <f t="shared" si="4"/>
        <v/>
      </c>
      <c r="N52" s="977"/>
      <c r="O52" s="461"/>
      <c r="P52" s="461"/>
      <c r="Q52" s="461"/>
      <c r="R52" s="461"/>
      <c r="S52" s="445">
        <f>SUM('HIV-Pharmaceuticals'!$O52:$R52)</f>
        <v>0</v>
      </c>
      <c r="T52" s="984">
        <f>'HIV-Pharmaceuticals'!$N52*'HIV-Pharmaceuticals'!$S52</f>
        <v>0</v>
      </c>
      <c r="U52" s="977"/>
      <c r="V52" s="465"/>
      <c r="W52" s="465"/>
      <c r="X52" s="465"/>
      <c r="Y52" s="465"/>
      <c r="Z52" s="446">
        <f>SUM('HIV-Pharmaceuticals'!$V52:$Y52)</f>
        <v>0</v>
      </c>
      <c r="AA52" s="976">
        <f>'HIV-Pharmaceuticals'!$U52*'HIV-Pharmaceuticals'!$Z52</f>
        <v>0</v>
      </c>
      <c r="AB52" s="977"/>
      <c r="AC52" s="461"/>
      <c r="AD52" s="461"/>
      <c r="AE52" s="461"/>
      <c r="AF52" s="461"/>
      <c r="AG52" s="447">
        <f>SUM('HIV-Pharmaceuticals'!$AC52:$AF52)</f>
        <v>0</v>
      </c>
      <c r="AH52" s="964">
        <f>'HIV-Pharmaceuticals'!$AB52*'HIV-Pharmaceuticals'!$AG52</f>
        <v>0</v>
      </c>
      <c r="AI52" s="448">
        <f>'HIV-Pharmaceuticals'!$S52+'HIV-Pharmaceuticals'!$Z52+'HIV-Pharmaceuticals'!$AG52</f>
        <v>0</v>
      </c>
      <c r="AJ52" s="964">
        <f>'HIV-Pharmaceuticals'!$T52+'HIV-Pharmaceuticals'!$AA52+'HIV-Pharmaceuticals'!$AH52</f>
        <v>0</v>
      </c>
      <c r="AK52" s="449" t="str">
        <f t="shared" si="5"/>
        <v/>
      </c>
      <c r="AL52" s="1223"/>
    </row>
    <row r="53" spans="1:38">
      <c r="A53" s="2108"/>
      <c r="B53" s="2109"/>
      <c r="C53" s="2109"/>
      <c r="D53" s="2109"/>
      <c r="E53" s="2108"/>
      <c r="F53" s="2109"/>
      <c r="G53" s="2109"/>
      <c r="H53" s="2109"/>
      <c r="I53" s="2108"/>
      <c r="J53" s="2109"/>
      <c r="K53" s="2110"/>
      <c r="L53" s="1506" t="str">
        <f t="shared" si="3"/>
        <v/>
      </c>
      <c r="M53" s="346" t="str">
        <f t="shared" si="4"/>
        <v/>
      </c>
      <c r="N53" s="973"/>
      <c r="O53" s="459"/>
      <c r="P53" s="459"/>
      <c r="Q53" s="459"/>
      <c r="R53" s="459"/>
      <c r="S53" s="34">
        <f>SUM('HIV-Pharmaceuticals'!$O53:$R53)</f>
        <v>0</v>
      </c>
      <c r="T53" s="982">
        <f>'HIV-Pharmaceuticals'!$N53*'HIV-Pharmaceuticals'!$S53</f>
        <v>0</v>
      </c>
      <c r="U53" s="973"/>
      <c r="V53" s="463"/>
      <c r="W53" s="463"/>
      <c r="X53" s="463"/>
      <c r="Y53" s="463"/>
      <c r="Z53" s="437">
        <f>SUM('HIV-Pharmaceuticals'!$V53:$Y53)</f>
        <v>0</v>
      </c>
      <c r="AA53" s="972">
        <f>'HIV-Pharmaceuticals'!$U53*'HIV-Pharmaceuticals'!$Z53</f>
        <v>0</v>
      </c>
      <c r="AB53" s="973"/>
      <c r="AC53" s="459"/>
      <c r="AD53" s="459"/>
      <c r="AE53" s="459"/>
      <c r="AF53" s="459"/>
      <c r="AG53" s="438">
        <f>SUM('HIV-Pharmaceuticals'!$AC53:$AF53)</f>
        <v>0</v>
      </c>
      <c r="AH53" s="962">
        <f>'HIV-Pharmaceuticals'!$AB53*'HIV-Pharmaceuticals'!$AG53</f>
        <v>0</v>
      </c>
      <c r="AI53" s="439">
        <f>'HIV-Pharmaceuticals'!$S53+'HIV-Pharmaceuticals'!$Z53+'HIV-Pharmaceuticals'!$AG53</f>
        <v>0</v>
      </c>
      <c r="AJ53" s="962">
        <f>'HIV-Pharmaceuticals'!$T53+'HIV-Pharmaceuticals'!$AA53+'HIV-Pharmaceuticals'!$AH53</f>
        <v>0</v>
      </c>
      <c r="AK53" s="450" t="str">
        <f t="shared" si="5"/>
        <v/>
      </c>
      <c r="AL53" s="1224"/>
    </row>
    <row r="54" spans="1:38">
      <c r="A54" s="2105"/>
      <c r="B54" s="2106"/>
      <c r="C54" s="2106"/>
      <c r="D54" s="2106"/>
      <c r="E54" s="2105"/>
      <c r="F54" s="2106"/>
      <c r="G54" s="2106"/>
      <c r="H54" s="2106"/>
      <c r="I54" s="2105"/>
      <c r="J54" s="2106"/>
      <c r="K54" s="2107"/>
      <c r="L54" s="1505" t="str">
        <f t="shared" si="3"/>
        <v/>
      </c>
      <c r="M54" s="347" t="str">
        <f t="shared" si="4"/>
        <v/>
      </c>
      <c r="N54" s="977"/>
      <c r="O54" s="461"/>
      <c r="P54" s="461"/>
      <c r="Q54" s="461"/>
      <c r="R54" s="461"/>
      <c r="S54" s="445">
        <f>SUM('HIV-Pharmaceuticals'!$O54:$R54)</f>
        <v>0</v>
      </c>
      <c r="T54" s="984">
        <f>'HIV-Pharmaceuticals'!$N54*'HIV-Pharmaceuticals'!$S54</f>
        <v>0</v>
      </c>
      <c r="U54" s="977"/>
      <c r="V54" s="465"/>
      <c r="W54" s="465"/>
      <c r="X54" s="465"/>
      <c r="Y54" s="465"/>
      <c r="Z54" s="446">
        <f>SUM('HIV-Pharmaceuticals'!$V54:$Y54)</f>
        <v>0</v>
      </c>
      <c r="AA54" s="976">
        <f>'HIV-Pharmaceuticals'!$U54*'HIV-Pharmaceuticals'!$Z54</f>
        <v>0</v>
      </c>
      <c r="AB54" s="977"/>
      <c r="AC54" s="461"/>
      <c r="AD54" s="461"/>
      <c r="AE54" s="461"/>
      <c r="AF54" s="461"/>
      <c r="AG54" s="447">
        <f>SUM('HIV-Pharmaceuticals'!$AC54:$AF54)</f>
        <v>0</v>
      </c>
      <c r="AH54" s="964">
        <f>'HIV-Pharmaceuticals'!$AB54*'HIV-Pharmaceuticals'!$AG54</f>
        <v>0</v>
      </c>
      <c r="AI54" s="448">
        <f>'HIV-Pharmaceuticals'!$S54+'HIV-Pharmaceuticals'!$Z54+'HIV-Pharmaceuticals'!$AG54</f>
        <v>0</v>
      </c>
      <c r="AJ54" s="964">
        <f>'HIV-Pharmaceuticals'!$T54+'HIV-Pharmaceuticals'!$AA54+'HIV-Pharmaceuticals'!$AH54</f>
        <v>0</v>
      </c>
      <c r="AK54" s="449" t="str">
        <f t="shared" si="5"/>
        <v/>
      </c>
      <c r="AL54" s="1223"/>
    </row>
    <row r="55" spans="1:38">
      <c r="A55" s="2108"/>
      <c r="B55" s="2109"/>
      <c r="C55" s="2109"/>
      <c r="D55" s="2109"/>
      <c r="E55" s="2108"/>
      <c r="F55" s="2109"/>
      <c r="G55" s="2109"/>
      <c r="H55" s="2109"/>
      <c r="I55" s="2108"/>
      <c r="J55" s="2109"/>
      <c r="K55" s="2110"/>
      <c r="L55" s="1506" t="str">
        <f t="shared" si="3"/>
        <v/>
      </c>
      <c r="M55" s="346" t="str">
        <f t="shared" si="4"/>
        <v/>
      </c>
      <c r="N55" s="973"/>
      <c r="O55" s="459"/>
      <c r="P55" s="459"/>
      <c r="Q55" s="459"/>
      <c r="R55" s="459"/>
      <c r="S55" s="34">
        <f>SUM('HIV-Pharmaceuticals'!$O55:$R55)</f>
        <v>0</v>
      </c>
      <c r="T55" s="982">
        <f>'HIV-Pharmaceuticals'!$N55*'HIV-Pharmaceuticals'!$S55</f>
        <v>0</v>
      </c>
      <c r="U55" s="973"/>
      <c r="V55" s="463"/>
      <c r="W55" s="463"/>
      <c r="X55" s="463"/>
      <c r="Y55" s="463"/>
      <c r="Z55" s="437">
        <f>SUM('HIV-Pharmaceuticals'!$V55:$Y55)</f>
        <v>0</v>
      </c>
      <c r="AA55" s="972">
        <f>'HIV-Pharmaceuticals'!$U55*'HIV-Pharmaceuticals'!$Z55</f>
        <v>0</v>
      </c>
      <c r="AB55" s="973"/>
      <c r="AC55" s="459"/>
      <c r="AD55" s="459"/>
      <c r="AE55" s="459"/>
      <c r="AF55" s="459"/>
      <c r="AG55" s="438">
        <f>SUM('HIV-Pharmaceuticals'!$AC55:$AF55)</f>
        <v>0</v>
      </c>
      <c r="AH55" s="962">
        <f>'HIV-Pharmaceuticals'!$AB55*'HIV-Pharmaceuticals'!$AG55</f>
        <v>0</v>
      </c>
      <c r="AI55" s="439">
        <f>'HIV-Pharmaceuticals'!$S55+'HIV-Pharmaceuticals'!$Z55+'HIV-Pharmaceuticals'!$AG55</f>
        <v>0</v>
      </c>
      <c r="AJ55" s="962">
        <f>'HIV-Pharmaceuticals'!$T55+'HIV-Pharmaceuticals'!$AA55+'HIV-Pharmaceuticals'!$AH55</f>
        <v>0</v>
      </c>
      <c r="AK55" s="450" t="str">
        <f t="shared" si="5"/>
        <v/>
      </c>
      <c r="AL55" s="1224"/>
    </row>
    <row r="56" spans="1:38">
      <c r="A56" s="2105"/>
      <c r="B56" s="2106"/>
      <c r="C56" s="2106"/>
      <c r="D56" s="2106"/>
      <c r="E56" s="2105"/>
      <c r="F56" s="2106"/>
      <c r="G56" s="2106"/>
      <c r="H56" s="2106"/>
      <c r="I56" s="2105"/>
      <c r="J56" s="2106"/>
      <c r="K56" s="2107"/>
      <c r="L56" s="1505" t="str">
        <f t="shared" si="3"/>
        <v/>
      </c>
      <c r="M56" s="347" t="str">
        <f t="shared" si="4"/>
        <v/>
      </c>
      <c r="N56" s="977"/>
      <c r="O56" s="461"/>
      <c r="P56" s="461"/>
      <c r="Q56" s="461"/>
      <c r="R56" s="461"/>
      <c r="S56" s="445">
        <f>SUM('HIV-Pharmaceuticals'!$O56:$R56)</f>
        <v>0</v>
      </c>
      <c r="T56" s="984">
        <f>'HIV-Pharmaceuticals'!$N56*'HIV-Pharmaceuticals'!$S56</f>
        <v>0</v>
      </c>
      <c r="U56" s="977"/>
      <c r="V56" s="465"/>
      <c r="W56" s="465"/>
      <c r="X56" s="465"/>
      <c r="Y56" s="465"/>
      <c r="Z56" s="446">
        <f>SUM('HIV-Pharmaceuticals'!$V56:$Y56)</f>
        <v>0</v>
      </c>
      <c r="AA56" s="976">
        <f>'HIV-Pharmaceuticals'!$U56*'HIV-Pharmaceuticals'!$Z56</f>
        <v>0</v>
      </c>
      <c r="AB56" s="977"/>
      <c r="AC56" s="461"/>
      <c r="AD56" s="461"/>
      <c r="AE56" s="461"/>
      <c r="AF56" s="461"/>
      <c r="AG56" s="447">
        <f>SUM('HIV-Pharmaceuticals'!$AC56:$AF56)</f>
        <v>0</v>
      </c>
      <c r="AH56" s="964">
        <f>'HIV-Pharmaceuticals'!$AB56*'HIV-Pharmaceuticals'!$AG56</f>
        <v>0</v>
      </c>
      <c r="AI56" s="448">
        <f>'HIV-Pharmaceuticals'!$S56+'HIV-Pharmaceuticals'!$Z56+'HIV-Pharmaceuticals'!$AG56</f>
        <v>0</v>
      </c>
      <c r="AJ56" s="964">
        <f>'HIV-Pharmaceuticals'!$T56+'HIV-Pharmaceuticals'!$AA56+'HIV-Pharmaceuticals'!$AH56</f>
        <v>0</v>
      </c>
      <c r="AK56" s="449" t="str">
        <f t="shared" si="5"/>
        <v/>
      </c>
      <c r="AL56" s="1223"/>
    </row>
    <row r="57" spans="1:38">
      <c r="A57" s="2108"/>
      <c r="B57" s="2109"/>
      <c r="C57" s="2109"/>
      <c r="D57" s="2109"/>
      <c r="E57" s="2108"/>
      <c r="F57" s="2109"/>
      <c r="G57" s="2109"/>
      <c r="H57" s="2109"/>
      <c r="I57" s="2108"/>
      <c r="J57" s="2109"/>
      <c r="K57" s="2110"/>
      <c r="L57" s="1506" t="str">
        <f t="shared" si="3"/>
        <v/>
      </c>
      <c r="M57" s="346" t="str">
        <f t="shared" si="4"/>
        <v/>
      </c>
      <c r="N57" s="973"/>
      <c r="O57" s="459"/>
      <c r="P57" s="459"/>
      <c r="Q57" s="459"/>
      <c r="R57" s="459"/>
      <c r="S57" s="34">
        <f>SUM('HIV-Pharmaceuticals'!$O57:$R57)</f>
        <v>0</v>
      </c>
      <c r="T57" s="982">
        <f>'HIV-Pharmaceuticals'!$N57*'HIV-Pharmaceuticals'!$S57</f>
        <v>0</v>
      </c>
      <c r="U57" s="973"/>
      <c r="V57" s="463"/>
      <c r="W57" s="463"/>
      <c r="X57" s="463"/>
      <c r="Y57" s="463"/>
      <c r="Z57" s="437">
        <f>SUM('HIV-Pharmaceuticals'!$V57:$Y57)</f>
        <v>0</v>
      </c>
      <c r="AA57" s="972">
        <f>'HIV-Pharmaceuticals'!$U57*'HIV-Pharmaceuticals'!$Z57</f>
        <v>0</v>
      </c>
      <c r="AB57" s="973"/>
      <c r="AC57" s="459"/>
      <c r="AD57" s="459"/>
      <c r="AE57" s="459"/>
      <c r="AF57" s="459"/>
      <c r="AG57" s="438">
        <f>SUM('HIV-Pharmaceuticals'!$AC57:$AF57)</f>
        <v>0</v>
      </c>
      <c r="AH57" s="962">
        <f>'HIV-Pharmaceuticals'!$AB57*'HIV-Pharmaceuticals'!$AG57</f>
        <v>0</v>
      </c>
      <c r="AI57" s="439">
        <f>'HIV-Pharmaceuticals'!$S57+'HIV-Pharmaceuticals'!$Z57+'HIV-Pharmaceuticals'!$AG57</f>
        <v>0</v>
      </c>
      <c r="AJ57" s="962">
        <f>'HIV-Pharmaceuticals'!$T57+'HIV-Pharmaceuticals'!$AA57+'HIV-Pharmaceuticals'!$AH57</f>
        <v>0</v>
      </c>
      <c r="AK57" s="450" t="str">
        <f t="shared" si="5"/>
        <v/>
      </c>
      <c r="AL57" s="1224"/>
    </row>
    <row r="58" spans="1:38">
      <c r="A58" s="2105"/>
      <c r="B58" s="2106"/>
      <c r="C58" s="2106"/>
      <c r="D58" s="2106"/>
      <c r="E58" s="2105"/>
      <c r="F58" s="2106"/>
      <c r="G58" s="2106"/>
      <c r="H58" s="2106"/>
      <c r="I58" s="2105"/>
      <c r="J58" s="2106"/>
      <c r="K58" s="2107"/>
      <c r="L58" s="1505" t="str">
        <f t="shared" si="3"/>
        <v/>
      </c>
      <c r="M58" s="347" t="str">
        <f t="shared" si="4"/>
        <v/>
      </c>
      <c r="N58" s="977"/>
      <c r="O58" s="461"/>
      <c r="P58" s="461"/>
      <c r="Q58" s="461"/>
      <c r="R58" s="461"/>
      <c r="S58" s="445">
        <f>SUM('HIV-Pharmaceuticals'!$O58:$R58)</f>
        <v>0</v>
      </c>
      <c r="T58" s="984">
        <f>'HIV-Pharmaceuticals'!$N58*'HIV-Pharmaceuticals'!$S58</f>
        <v>0</v>
      </c>
      <c r="U58" s="977"/>
      <c r="V58" s="465"/>
      <c r="W58" s="465"/>
      <c r="X58" s="465"/>
      <c r="Y58" s="465"/>
      <c r="Z58" s="446">
        <f>SUM('HIV-Pharmaceuticals'!$V58:$Y58)</f>
        <v>0</v>
      </c>
      <c r="AA58" s="976">
        <f>'HIV-Pharmaceuticals'!$U58*'HIV-Pharmaceuticals'!$Z58</f>
        <v>0</v>
      </c>
      <c r="AB58" s="977"/>
      <c r="AC58" s="461"/>
      <c r="AD58" s="461"/>
      <c r="AE58" s="461"/>
      <c r="AF58" s="461"/>
      <c r="AG58" s="447">
        <f>SUM('HIV-Pharmaceuticals'!$AC58:$AF58)</f>
        <v>0</v>
      </c>
      <c r="AH58" s="964">
        <f>'HIV-Pharmaceuticals'!$AB58*'HIV-Pharmaceuticals'!$AG58</f>
        <v>0</v>
      </c>
      <c r="AI58" s="448">
        <f>'HIV-Pharmaceuticals'!$S58+'HIV-Pharmaceuticals'!$Z58+'HIV-Pharmaceuticals'!$AG58</f>
        <v>0</v>
      </c>
      <c r="AJ58" s="964">
        <f>'HIV-Pharmaceuticals'!$T58+'HIV-Pharmaceuticals'!$AA58+'HIV-Pharmaceuticals'!$AH58</f>
        <v>0</v>
      </c>
      <c r="AK58" s="449" t="str">
        <f t="shared" si="5"/>
        <v/>
      </c>
      <c r="AL58" s="1223"/>
    </row>
    <row r="59" spans="1:38">
      <c r="A59" s="2108"/>
      <c r="B59" s="2109"/>
      <c r="C59" s="2109"/>
      <c r="D59" s="2109"/>
      <c r="E59" s="2108"/>
      <c r="F59" s="2109"/>
      <c r="G59" s="2109"/>
      <c r="H59" s="2109"/>
      <c r="I59" s="2108"/>
      <c r="J59" s="2109"/>
      <c r="K59" s="2110"/>
      <c r="L59" s="1506" t="str">
        <f t="shared" si="3"/>
        <v/>
      </c>
      <c r="M59" s="346" t="str">
        <f t="shared" si="4"/>
        <v/>
      </c>
      <c r="N59" s="973"/>
      <c r="O59" s="459"/>
      <c r="P59" s="459"/>
      <c r="Q59" s="459"/>
      <c r="R59" s="459"/>
      <c r="S59" s="34">
        <f>SUM('HIV-Pharmaceuticals'!$O59:$R59)</f>
        <v>0</v>
      </c>
      <c r="T59" s="982">
        <f>'HIV-Pharmaceuticals'!$N59*'HIV-Pharmaceuticals'!$S59</f>
        <v>0</v>
      </c>
      <c r="U59" s="973"/>
      <c r="V59" s="463"/>
      <c r="W59" s="463"/>
      <c r="X59" s="463"/>
      <c r="Y59" s="463"/>
      <c r="Z59" s="437">
        <f>SUM('HIV-Pharmaceuticals'!$V59:$Y59)</f>
        <v>0</v>
      </c>
      <c r="AA59" s="972">
        <f>'HIV-Pharmaceuticals'!$U59*'HIV-Pharmaceuticals'!$Z59</f>
        <v>0</v>
      </c>
      <c r="AB59" s="973"/>
      <c r="AC59" s="459"/>
      <c r="AD59" s="459"/>
      <c r="AE59" s="459"/>
      <c r="AF59" s="459"/>
      <c r="AG59" s="438">
        <f>SUM('HIV-Pharmaceuticals'!$AC59:$AF59)</f>
        <v>0</v>
      </c>
      <c r="AH59" s="962">
        <f>'HIV-Pharmaceuticals'!$AB59*'HIV-Pharmaceuticals'!$AG59</f>
        <v>0</v>
      </c>
      <c r="AI59" s="439">
        <f>'HIV-Pharmaceuticals'!$S59+'HIV-Pharmaceuticals'!$Z59+'HIV-Pharmaceuticals'!$AG59</f>
        <v>0</v>
      </c>
      <c r="AJ59" s="962">
        <f>'HIV-Pharmaceuticals'!$T59+'HIV-Pharmaceuticals'!$AA59+'HIV-Pharmaceuticals'!$AH59</f>
        <v>0</v>
      </c>
      <c r="AK59" s="450" t="str">
        <f t="shared" si="5"/>
        <v/>
      </c>
      <c r="AL59" s="1224"/>
    </row>
    <row r="60" spans="1:38">
      <c r="A60" s="2105"/>
      <c r="B60" s="2106"/>
      <c r="C60" s="2106"/>
      <c r="D60" s="2106"/>
      <c r="E60" s="2105"/>
      <c r="F60" s="2106"/>
      <c r="G60" s="2106"/>
      <c r="H60" s="2106"/>
      <c r="I60" s="2105"/>
      <c r="J60" s="2106"/>
      <c r="K60" s="2107"/>
      <c r="L60" s="1505" t="str">
        <f t="shared" si="3"/>
        <v/>
      </c>
      <c r="M60" s="347" t="str">
        <f t="shared" si="4"/>
        <v/>
      </c>
      <c r="N60" s="977"/>
      <c r="O60" s="461"/>
      <c r="P60" s="461"/>
      <c r="Q60" s="461"/>
      <c r="R60" s="461"/>
      <c r="S60" s="445">
        <f>SUM('HIV-Pharmaceuticals'!$O60:$R60)</f>
        <v>0</v>
      </c>
      <c r="T60" s="984">
        <f>'HIV-Pharmaceuticals'!$N60*'HIV-Pharmaceuticals'!$S60</f>
        <v>0</v>
      </c>
      <c r="U60" s="977"/>
      <c r="V60" s="465"/>
      <c r="W60" s="465"/>
      <c r="X60" s="465"/>
      <c r="Y60" s="465"/>
      <c r="Z60" s="446">
        <f>SUM('HIV-Pharmaceuticals'!$V60:$Y60)</f>
        <v>0</v>
      </c>
      <c r="AA60" s="976">
        <f>'HIV-Pharmaceuticals'!$U60*'HIV-Pharmaceuticals'!$Z60</f>
        <v>0</v>
      </c>
      <c r="AB60" s="977"/>
      <c r="AC60" s="461"/>
      <c r="AD60" s="461"/>
      <c r="AE60" s="461"/>
      <c r="AF60" s="461"/>
      <c r="AG60" s="447">
        <f>SUM('HIV-Pharmaceuticals'!$AC60:$AF60)</f>
        <v>0</v>
      </c>
      <c r="AH60" s="964">
        <f>'HIV-Pharmaceuticals'!$AB60*'HIV-Pharmaceuticals'!$AG60</f>
        <v>0</v>
      </c>
      <c r="AI60" s="448">
        <f>'HIV-Pharmaceuticals'!$S60+'HIV-Pharmaceuticals'!$Z60+'HIV-Pharmaceuticals'!$AG60</f>
        <v>0</v>
      </c>
      <c r="AJ60" s="964">
        <f>'HIV-Pharmaceuticals'!$T60+'HIV-Pharmaceuticals'!$AA60+'HIV-Pharmaceuticals'!$AH60</f>
        <v>0</v>
      </c>
      <c r="AK60" s="449" t="str">
        <f t="shared" si="5"/>
        <v/>
      </c>
      <c r="AL60" s="1223"/>
    </row>
    <row r="61" spans="1:38">
      <c r="A61" s="2108"/>
      <c r="B61" s="2109"/>
      <c r="C61" s="2109"/>
      <c r="D61" s="2109"/>
      <c r="E61" s="2108"/>
      <c r="F61" s="2109"/>
      <c r="G61" s="2109"/>
      <c r="H61" s="2109"/>
      <c r="I61" s="2108"/>
      <c r="J61" s="2109"/>
      <c r="K61" s="2110"/>
      <c r="L61" s="1506" t="str">
        <f t="shared" si="3"/>
        <v/>
      </c>
      <c r="M61" s="346" t="str">
        <f t="shared" si="4"/>
        <v/>
      </c>
      <c r="N61" s="973"/>
      <c r="O61" s="459"/>
      <c r="P61" s="459"/>
      <c r="Q61" s="459"/>
      <c r="R61" s="459"/>
      <c r="S61" s="34">
        <f>SUM('HIV-Pharmaceuticals'!$O61:$R61)</f>
        <v>0</v>
      </c>
      <c r="T61" s="982">
        <f>'HIV-Pharmaceuticals'!$N61*'HIV-Pharmaceuticals'!$S61</f>
        <v>0</v>
      </c>
      <c r="U61" s="973"/>
      <c r="V61" s="463"/>
      <c r="W61" s="463"/>
      <c r="X61" s="463"/>
      <c r="Y61" s="463"/>
      <c r="Z61" s="437">
        <f>SUM('HIV-Pharmaceuticals'!$V61:$Y61)</f>
        <v>0</v>
      </c>
      <c r="AA61" s="972">
        <f>'HIV-Pharmaceuticals'!$U61*'HIV-Pharmaceuticals'!$Z61</f>
        <v>0</v>
      </c>
      <c r="AB61" s="973"/>
      <c r="AC61" s="459"/>
      <c r="AD61" s="459"/>
      <c r="AE61" s="459"/>
      <c r="AF61" s="459"/>
      <c r="AG61" s="438">
        <f>SUM('HIV-Pharmaceuticals'!$AC61:$AF61)</f>
        <v>0</v>
      </c>
      <c r="AH61" s="962">
        <f>'HIV-Pharmaceuticals'!$AB61*'HIV-Pharmaceuticals'!$AG61</f>
        <v>0</v>
      </c>
      <c r="AI61" s="439">
        <f>'HIV-Pharmaceuticals'!$S61+'HIV-Pharmaceuticals'!$Z61+'HIV-Pharmaceuticals'!$AG61</f>
        <v>0</v>
      </c>
      <c r="AJ61" s="962">
        <f>'HIV-Pharmaceuticals'!$T61+'HIV-Pharmaceuticals'!$AA61+'HIV-Pharmaceuticals'!$AH61</f>
        <v>0</v>
      </c>
      <c r="AK61" s="450" t="str">
        <f t="shared" si="5"/>
        <v/>
      </c>
      <c r="AL61" s="1224"/>
    </row>
    <row r="62" spans="1:38">
      <c r="A62" s="2105"/>
      <c r="B62" s="2106"/>
      <c r="C62" s="2106"/>
      <c r="D62" s="2106"/>
      <c r="E62" s="2105"/>
      <c r="F62" s="2106"/>
      <c r="G62" s="2106"/>
      <c r="H62" s="2106"/>
      <c r="I62" s="2105"/>
      <c r="J62" s="2106"/>
      <c r="K62" s="2107"/>
      <c r="L62" s="1505" t="str">
        <f t="shared" si="3"/>
        <v/>
      </c>
      <c r="M62" s="347" t="str">
        <f t="shared" si="4"/>
        <v/>
      </c>
      <c r="N62" s="977"/>
      <c r="O62" s="461"/>
      <c r="P62" s="461"/>
      <c r="Q62" s="461"/>
      <c r="R62" s="461"/>
      <c r="S62" s="445">
        <f>SUM('HIV-Pharmaceuticals'!$O62:$R62)</f>
        <v>0</v>
      </c>
      <c r="T62" s="984">
        <f>'HIV-Pharmaceuticals'!$N62*'HIV-Pharmaceuticals'!$S62</f>
        <v>0</v>
      </c>
      <c r="U62" s="977"/>
      <c r="V62" s="465"/>
      <c r="W62" s="465"/>
      <c r="X62" s="465"/>
      <c r="Y62" s="465"/>
      <c r="Z62" s="446">
        <f>SUM('HIV-Pharmaceuticals'!$V62:$Y62)</f>
        <v>0</v>
      </c>
      <c r="AA62" s="976">
        <f>'HIV-Pharmaceuticals'!$U62*'HIV-Pharmaceuticals'!$Z62</f>
        <v>0</v>
      </c>
      <c r="AB62" s="977"/>
      <c r="AC62" s="461"/>
      <c r="AD62" s="461"/>
      <c r="AE62" s="461"/>
      <c r="AF62" s="461"/>
      <c r="AG62" s="447">
        <f>SUM('HIV-Pharmaceuticals'!$AC62:$AF62)</f>
        <v>0</v>
      </c>
      <c r="AH62" s="964">
        <f>'HIV-Pharmaceuticals'!$AB62*'HIV-Pharmaceuticals'!$AG62</f>
        <v>0</v>
      </c>
      <c r="AI62" s="448">
        <f>'HIV-Pharmaceuticals'!$S62+'HIV-Pharmaceuticals'!$Z62+'HIV-Pharmaceuticals'!$AG62</f>
        <v>0</v>
      </c>
      <c r="AJ62" s="964">
        <f>'HIV-Pharmaceuticals'!$T62+'HIV-Pharmaceuticals'!$AA62+'HIV-Pharmaceuticals'!$AH62</f>
        <v>0</v>
      </c>
      <c r="AK62" s="449" t="str">
        <f t="shared" si="5"/>
        <v/>
      </c>
      <c r="AL62" s="1223"/>
    </row>
    <row r="63" spans="1:38" hidden="1">
      <c r="A63" s="2108"/>
      <c r="B63" s="2109"/>
      <c r="C63" s="2109"/>
      <c r="D63" s="2109"/>
      <c r="E63" s="2108"/>
      <c r="F63" s="2109"/>
      <c r="G63" s="2109"/>
      <c r="H63" s="2109"/>
      <c r="I63" s="2108"/>
      <c r="J63" s="2109"/>
      <c r="K63" s="2110"/>
      <c r="L63" s="1506" t="str">
        <f t="shared" si="3"/>
        <v/>
      </c>
      <c r="M63" s="346" t="str">
        <f t="shared" si="4"/>
        <v/>
      </c>
      <c r="N63" s="973"/>
      <c r="O63" s="459"/>
      <c r="P63" s="459"/>
      <c r="Q63" s="459"/>
      <c r="R63" s="459"/>
      <c r="S63" s="34">
        <f>SUM('HIV-Pharmaceuticals'!$O63:$R63)</f>
        <v>0</v>
      </c>
      <c r="T63" s="982">
        <f>'HIV-Pharmaceuticals'!$N63*'HIV-Pharmaceuticals'!$S63</f>
        <v>0</v>
      </c>
      <c r="U63" s="973"/>
      <c r="V63" s="463"/>
      <c r="W63" s="463"/>
      <c r="X63" s="463"/>
      <c r="Y63" s="463"/>
      <c r="Z63" s="437">
        <f>SUM('HIV-Pharmaceuticals'!$V63:$Y63)</f>
        <v>0</v>
      </c>
      <c r="AA63" s="972">
        <f>'HIV-Pharmaceuticals'!$U63*'HIV-Pharmaceuticals'!$Z63</f>
        <v>0</v>
      </c>
      <c r="AB63" s="973"/>
      <c r="AC63" s="459"/>
      <c r="AD63" s="459"/>
      <c r="AE63" s="459"/>
      <c r="AF63" s="459"/>
      <c r="AG63" s="438">
        <f>SUM('HIV-Pharmaceuticals'!$AC63:$AF63)</f>
        <v>0</v>
      </c>
      <c r="AH63" s="962">
        <f>'HIV-Pharmaceuticals'!$AB63*'HIV-Pharmaceuticals'!$AG63</f>
        <v>0</v>
      </c>
      <c r="AI63" s="439">
        <f>'HIV-Pharmaceuticals'!$S63+'HIV-Pharmaceuticals'!$Z63+'HIV-Pharmaceuticals'!$AG63</f>
        <v>0</v>
      </c>
      <c r="AJ63" s="962">
        <f>'HIV-Pharmaceuticals'!$T63+'HIV-Pharmaceuticals'!$AA63+'HIV-Pharmaceuticals'!$AH63</f>
        <v>0</v>
      </c>
      <c r="AK63" s="450" t="str">
        <f t="shared" si="5"/>
        <v/>
      </c>
      <c r="AL63" s="1224"/>
    </row>
    <row r="64" spans="1:38" hidden="1">
      <c r="A64" s="2105"/>
      <c r="B64" s="2106"/>
      <c r="C64" s="2106"/>
      <c r="D64" s="2106"/>
      <c r="E64" s="2105"/>
      <c r="F64" s="2106"/>
      <c r="G64" s="2106"/>
      <c r="H64" s="2106"/>
      <c r="I64" s="2105"/>
      <c r="J64" s="2106"/>
      <c r="K64" s="2107"/>
      <c r="L64" s="1505" t="str">
        <f t="shared" si="3"/>
        <v/>
      </c>
      <c r="M64" s="347" t="str">
        <f t="shared" si="4"/>
        <v/>
      </c>
      <c r="N64" s="977"/>
      <c r="O64" s="461"/>
      <c r="P64" s="461"/>
      <c r="Q64" s="461"/>
      <c r="R64" s="461"/>
      <c r="S64" s="445">
        <f>SUM('HIV-Pharmaceuticals'!$O64:$R64)</f>
        <v>0</v>
      </c>
      <c r="T64" s="984">
        <f>'HIV-Pharmaceuticals'!$N64*'HIV-Pharmaceuticals'!$S64</f>
        <v>0</v>
      </c>
      <c r="U64" s="977"/>
      <c r="V64" s="465"/>
      <c r="W64" s="465"/>
      <c r="X64" s="465"/>
      <c r="Y64" s="465"/>
      <c r="Z64" s="446">
        <f>SUM('HIV-Pharmaceuticals'!$V64:$Y64)</f>
        <v>0</v>
      </c>
      <c r="AA64" s="976">
        <f>'HIV-Pharmaceuticals'!$U64*'HIV-Pharmaceuticals'!$Z64</f>
        <v>0</v>
      </c>
      <c r="AB64" s="977"/>
      <c r="AC64" s="461"/>
      <c r="AD64" s="461"/>
      <c r="AE64" s="461"/>
      <c r="AF64" s="461"/>
      <c r="AG64" s="447">
        <f>SUM('HIV-Pharmaceuticals'!$AC64:$AF64)</f>
        <v>0</v>
      </c>
      <c r="AH64" s="964">
        <f>'HIV-Pharmaceuticals'!$AB64*'HIV-Pharmaceuticals'!$AG64</f>
        <v>0</v>
      </c>
      <c r="AI64" s="448">
        <f>'HIV-Pharmaceuticals'!$S64+'HIV-Pharmaceuticals'!$Z64+'HIV-Pharmaceuticals'!$AG64</f>
        <v>0</v>
      </c>
      <c r="AJ64" s="964">
        <f>'HIV-Pharmaceuticals'!$T64+'HIV-Pharmaceuticals'!$AA64+'HIV-Pharmaceuticals'!$AH64</f>
        <v>0</v>
      </c>
      <c r="AK64" s="449" t="str">
        <f t="shared" si="5"/>
        <v/>
      </c>
      <c r="AL64" s="1223"/>
    </row>
    <row r="65" spans="1:38" hidden="1">
      <c r="A65" s="2108"/>
      <c r="B65" s="2109"/>
      <c r="C65" s="2109"/>
      <c r="D65" s="2109"/>
      <c r="E65" s="2108"/>
      <c r="F65" s="2109"/>
      <c r="G65" s="2109"/>
      <c r="H65" s="2109"/>
      <c r="I65" s="2108"/>
      <c r="J65" s="2109"/>
      <c r="K65" s="2110"/>
      <c r="L65" s="1506" t="str">
        <f t="shared" si="3"/>
        <v/>
      </c>
      <c r="M65" s="346" t="str">
        <f t="shared" si="4"/>
        <v/>
      </c>
      <c r="N65" s="973"/>
      <c r="O65" s="459"/>
      <c r="P65" s="459"/>
      <c r="Q65" s="459"/>
      <c r="R65" s="459"/>
      <c r="S65" s="34">
        <f>SUM('HIV-Pharmaceuticals'!$O65:$R65)</f>
        <v>0</v>
      </c>
      <c r="T65" s="982">
        <f>'HIV-Pharmaceuticals'!$N65*'HIV-Pharmaceuticals'!$S65</f>
        <v>0</v>
      </c>
      <c r="U65" s="973"/>
      <c r="V65" s="463"/>
      <c r="W65" s="463"/>
      <c r="X65" s="463"/>
      <c r="Y65" s="463"/>
      <c r="Z65" s="437">
        <f>SUM('HIV-Pharmaceuticals'!$V65:$Y65)</f>
        <v>0</v>
      </c>
      <c r="AA65" s="972">
        <f>'HIV-Pharmaceuticals'!$U65*'HIV-Pharmaceuticals'!$Z65</f>
        <v>0</v>
      </c>
      <c r="AB65" s="973"/>
      <c r="AC65" s="459"/>
      <c r="AD65" s="459"/>
      <c r="AE65" s="459"/>
      <c r="AF65" s="459"/>
      <c r="AG65" s="438">
        <f>SUM('HIV-Pharmaceuticals'!$AC65:$AF65)</f>
        <v>0</v>
      </c>
      <c r="AH65" s="962">
        <f>'HIV-Pharmaceuticals'!$AB65*'HIV-Pharmaceuticals'!$AG65</f>
        <v>0</v>
      </c>
      <c r="AI65" s="439">
        <f>'HIV-Pharmaceuticals'!$S65+'HIV-Pharmaceuticals'!$Z65+'HIV-Pharmaceuticals'!$AG65</f>
        <v>0</v>
      </c>
      <c r="AJ65" s="962">
        <f>'HIV-Pharmaceuticals'!$T65+'HIV-Pharmaceuticals'!$AA65+'HIV-Pharmaceuticals'!$AH65</f>
        <v>0</v>
      </c>
      <c r="AK65" s="450" t="str">
        <f t="shared" si="5"/>
        <v/>
      </c>
      <c r="AL65" s="1224"/>
    </row>
    <row r="66" spans="1:38" hidden="1">
      <c r="A66" s="2105"/>
      <c r="B66" s="2106"/>
      <c r="C66" s="2106"/>
      <c r="D66" s="2106"/>
      <c r="E66" s="2105"/>
      <c r="F66" s="2106"/>
      <c r="G66" s="2106"/>
      <c r="H66" s="2106"/>
      <c r="I66" s="2105"/>
      <c r="J66" s="2106"/>
      <c r="K66" s="2107"/>
      <c r="L66" s="1505" t="str">
        <f t="shared" si="3"/>
        <v/>
      </c>
      <c r="M66" s="347" t="str">
        <f t="shared" si="4"/>
        <v/>
      </c>
      <c r="N66" s="977"/>
      <c r="O66" s="461"/>
      <c r="P66" s="461"/>
      <c r="Q66" s="461"/>
      <c r="R66" s="461"/>
      <c r="S66" s="445">
        <f>SUM('HIV-Pharmaceuticals'!$O66:$R66)</f>
        <v>0</v>
      </c>
      <c r="T66" s="984">
        <f>'HIV-Pharmaceuticals'!$N66*'HIV-Pharmaceuticals'!$S66</f>
        <v>0</v>
      </c>
      <c r="U66" s="977"/>
      <c r="V66" s="465"/>
      <c r="W66" s="465"/>
      <c r="X66" s="465"/>
      <c r="Y66" s="465"/>
      <c r="Z66" s="446">
        <f>SUM('HIV-Pharmaceuticals'!$V66:$Y66)</f>
        <v>0</v>
      </c>
      <c r="AA66" s="976">
        <f>'HIV-Pharmaceuticals'!$U66*'HIV-Pharmaceuticals'!$Z66</f>
        <v>0</v>
      </c>
      <c r="AB66" s="977"/>
      <c r="AC66" s="461"/>
      <c r="AD66" s="461"/>
      <c r="AE66" s="461"/>
      <c r="AF66" s="461"/>
      <c r="AG66" s="447">
        <f>SUM('HIV-Pharmaceuticals'!$AC66:$AF66)</f>
        <v>0</v>
      </c>
      <c r="AH66" s="964">
        <f>'HIV-Pharmaceuticals'!$AB66*'HIV-Pharmaceuticals'!$AG66</f>
        <v>0</v>
      </c>
      <c r="AI66" s="448">
        <f>'HIV-Pharmaceuticals'!$S66+'HIV-Pharmaceuticals'!$Z66+'HIV-Pharmaceuticals'!$AG66</f>
        <v>0</v>
      </c>
      <c r="AJ66" s="964">
        <f>'HIV-Pharmaceuticals'!$T66+'HIV-Pharmaceuticals'!$AA66+'HIV-Pharmaceuticals'!$AH66</f>
        <v>0</v>
      </c>
      <c r="AK66" s="449" t="str">
        <f t="shared" si="5"/>
        <v/>
      </c>
      <c r="AL66" s="1223"/>
    </row>
    <row r="67" spans="1:38" hidden="1">
      <c r="A67" s="2108"/>
      <c r="B67" s="2109"/>
      <c r="C67" s="2109"/>
      <c r="D67" s="2109"/>
      <c r="E67" s="2108"/>
      <c r="F67" s="2109"/>
      <c r="G67" s="2109"/>
      <c r="H67" s="2109"/>
      <c r="I67" s="2108"/>
      <c r="J67" s="2109"/>
      <c r="K67" s="2110"/>
      <c r="L67" s="1506" t="str">
        <f t="shared" si="3"/>
        <v/>
      </c>
      <c r="M67" s="346" t="str">
        <f t="shared" si="4"/>
        <v/>
      </c>
      <c r="N67" s="973"/>
      <c r="O67" s="459"/>
      <c r="P67" s="459"/>
      <c r="Q67" s="459"/>
      <c r="R67" s="459"/>
      <c r="S67" s="34">
        <f>SUM('HIV-Pharmaceuticals'!$O67:$R67)</f>
        <v>0</v>
      </c>
      <c r="T67" s="982">
        <f>'HIV-Pharmaceuticals'!$N67*'HIV-Pharmaceuticals'!$S67</f>
        <v>0</v>
      </c>
      <c r="U67" s="973"/>
      <c r="V67" s="463"/>
      <c r="W67" s="463"/>
      <c r="X67" s="463"/>
      <c r="Y67" s="463"/>
      <c r="Z67" s="437">
        <f>SUM('HIV-Pharmaceuticals'!$V67:$Y67)</f>
        <v>0</v>
      </c>
      <c r="AA67" s="972">
        <f>'HIV-Pharmaceuticals'!$U67*'HIV-Pharmaceuticals'!$Z67</f>
        <v>0</v>
      </c>
      <c r="AB67" s="973"/>
      <c r="AC67" s="459"/>
      <c r="AD67" s="459"/>
      <c r="AE67" s="459"/>
      <c r="AF67" s="459"/>
      <c r="AG67" s="438">
        <f>SUM('HIV-Pharmaceuticals'!$AC67:$AF67)</f>
        <v>0</v>
      </c>
      <c r="AH67" s="962">
        <f>'HIV-Pharmaceuticals'!$AB67*'HIV-Pharmaceuticals'!$AG67</f>
        <v>0</v>
      </c>
      <c r="AI67" s="439">
        <f>'HIV-Pharmaceuticals'!$S67+'HIV-Pharmaceuticals'!$Z67+'HIV-Pharmaceuticals'!$AG67</f>
        <v>0</v>
      </c>
      <c r="AJ67" s="962">
        <f>'HIV-Pharmaceuticals'!$T67+'HIV-Pharmaceuticals'!$AA67+'HIV-Pharmaceuticals'!$AH67</f>
        <v>0</v>
      </c>
      <c r="AK67" s="450" t="str">
        <f t="shared" si="5"/>
        <v/>
      </c>
      <c r="AL67" s="1224"/>
    </row>
    <row r="68" spans="1:38" hidden="1">
      <c r="A68" s="2105"/>
      <c r="B68" s="2106"/>
      <c r="C68" s="2106"/>
      <c r="D68" s="2106"/>
      <c r="E68" s="2105"/>
      <c r="F68" s="2106"/>
      <c r="G68" s="2106"/>
      <c r="H68" s="2106"/>
      <c r="I68" s="2105"/>
      <c r="J68" s="2106"/>
      <c r="K68" s="2107"/>
      <c r="L68" s="1505" t="str">
        <f t="shared" si="3"/>
        <v/>
      </c>
      <c r="M68" s="347" t="str">
        <f t="shared" si="4"/>
        <v/>
      </c>
      <c r="N68" s="977"/>
      <c r="O68" s="461"/>
      <c r="P68" s="461"/>
      <c r="Q68" s="461"/>
      <c r="R68" s="461"/>
      <c r="S68" s="445">
        <f>SUM('HIV-Pharmaceuticals'!$O68:$R68)</f>
        <v>0</v>
      </c>
      <c r="T68" s="984">
        <f>'HIV-Pharmaceuticals'!$N68*'HIV-Pharmaceuticals'!$S68</f>
        <v>0</v>
      </c>
      <c r="U68" s="977"/>
      <c r="V68" s="465"/>
      <c r="W68" s="465"/>
      <c r="X68" s="465"/>
      <c r="Y68" s="465"/>
      <c r="Z68" s="446">
        <f>SUM('HIV-Pharmaceuticals'!$V68:$Y68)</f>
        <v>0</v>
      </c>
      <c r="AA68" s="976">
        <f>'HIV-Pharmaceuticals'!$U68*'HIV-Pharmaceuticals'!$Z68</f>
        <v>0</v>
      </c>
      <c r="AB68" s="977"/>
      <c r="AC68" s="461"/>
      <c r="AD68" s="461"/>
      <c r="AE68" s="461"/>
      <c r="AF68" s="461"/>
      <c r="AG68" s="447">
        <f>SUM('HIV-Pharmaceuticals'!$AC68:$AF68)</f>
        <v>0</v>
      </c>
      <c r="AH68" s="964">
        <f>'HIV-Pharmaceuticals'!$AB68*'HIV-Pharmaceuticals'!$AG68</f>
        <v>0</v>
      </c>
      <c r="AI68" s="448">
        <f>'HIV-Pharmaceuticals'!$S68+'HIV-Pharmaceuticals'!$Z68+'HIV-Pharmaceuticals'!$AG68</f>
        <v>0</v>
      </c>
      <c r="AJ68" s="964">
        <f>'HIV-Pharmaceuticals'!$T68+'HIV-Pharmaceuticals'!$AA68+'HIV-Pharmaceuticals'!$AH68</f>
        <v>0</v>
      </c>
      <c r="AK68" s="449" t="str">
        <f t="shared" si="5"/>
        <v/>
      </c>
      <c r="AL68" s="1223"/>
    </row>
    <row r="69" spans="1:38" hidden="1">
      <c r="A69" s="2108"/>
      <c r="B69" s="2109"/>
      <c r="C69" s="2109"/>
      <c r="D69" s="2109"/>
      <c r="E69" s="2108"/>
      <c r="F69" s="2109"/>
      <c r="G69" s="2109"/>
      <c r="H69" s="2109"/>
      <c r="I69" s="2108"/>
      <c r="J69" s="2109"/>
      <c r="K69" s="2110"/>
      <c r="L69" s="1506" t="str">
        <f t="shared" si="3"/>
        <v/>
      </c>
      <c r="M69" s="346" t="str">
        <f t="shared" si="4"/>
        <v/>
      </c>
      <c r="N69" s="973"/>
      <c r="O69" s="459"/>
      <c r="P69" s="459"/>
      <c r="Q69" s="459"/>
      <c r="R69" s="459"/>
      <c r="S69" s="34">
        <f>SUM('HIV-Pharmaceuticals'!$O69:$R69)</f>
        <v>0</v>
      </c>
      <c r="T69" s="982">
        <f>'HIV-Pharmaceuticals'!$N69*'HIV-Pharmaceuticals'!$S69</f>
        <v>0</v>
      </c>
      <c r="U69" s="973"/>
      <c r="V69" s="463"/>
      <c r="W69" s="463"/>
      <c r="X69" s="463"/>
      <c r="Y69" s="463"/>
      <c r="Z69" s="437">
        <f>SUM('HIV-Pharmaceuticals'!$V69:$Y69)</f>
        <v>0</v>
      </c>
      <c r="AA69" s="972">
        <f>'HIV-Pharmaceuticals'!$U69*'HIV-Pharmaceuticals'!$Z69</f>
        <v>0</v>
      </c>
      <c r="AB69" s="973"/>
      <c r="AC69" s="459"/>
      <c r="AD69" s="459"/>
      <c r="AE69" s="459"/>
      <c r="AF69" s="459"/>
      <c r="AG69" s="438">
        <f>SUM('HIV-Pharmaceuticals'!$AC69:$AF69)</f>
        <v>0</v>
      </c>
      <c r="AH69" s="962">
        <f>'HIV-Pharmaceuticals'!$AB69*'HIV-Pharmaceuticals'!$AG69</f>
        <v>0</v>
      </c>
      <c r="AI69" s="439">
        <f>'HIV-Pharmaceuticals'!$S69+'HIV-Pharmaceuticals'!$Z69+'HIV-Pharmaceuticals'!$AG69</f>
        <v>0</v>
      </c>
      <c r="AJ69" s="962">
        <f>'HIV-Pharmaceuticals'!$T69+'HIV-Pharmaceuticals'!$AA69+'HIV-Pharmaceuticals'!$AH69</f>
        <v>0</v>
      </c>
      <c r="AK69" s="450" t="str">
        <f t="shared" si="5"/>
        <v/>
      </c>
      <c r="AL69" s="1224"/>
    </row>
    <row r="70" spans="1:38" hidden="1">
      <c r="A70" s="2105"/>
      <c r="B70" s="2106"/>
      <c r="C70" s="2106"/>
      <c r="D70" s="2106"/>
      <c r="E70" s="2105"/>
      <c r="F70" s="2106"/>
      <c r="G70" s="2106"/>
      <c r="H70" s="2106"/>
      <c r="I70" s="2105"/>
      <c r="J70" s="2106"/>
      <c r="K70" s="2107"/>
      <c r="L70" s="1505" t="str">
        <f t="shared" si="3"/>
        <v/>
      </c>
      <c r="M70" s="347" t="str">
        <f t="shared" si="4"/>
        <v/>
      </c>
      <c r="N70" s="977"/>
      <c r="O70" s="461"/>
      <c r="P70" s="461"/>
      <c r="Q70" s="461"/>
      <c r="R70" s="461"/>
      <c r="S70" s="445">
        <f>SUM('HIV-Pharmaceuticals'!$O70:$R70)</f>
        <v>0</v>
      </c>
      <c r="T70" s="984">
        <f>'HIV-Pharmaceuticals'!$N70*'HIV-Pharmaceuticals'!$S70</f>
        <v>0</v>
      </c>
      <c r="U70" s="977"/>
      <c r="V70" s="465"/>
      <c r="W70" s="465"/>
      <c r="X70" s="465"/>
      <c r="Y70" s="465"/>
      <c r="Z70" s="446">
        <f>SUM('HIV-Pharmaceuticals'!$V70:$Y70)</f>
        <v>0</v>
      </c>
      <c r="AA70" s="976">
        <f>'HIV-Pharmaceuticals'!$U70*'HIV-Pharmaceuticals'!$Z70</f>
        <v>0</v>
      </c>
      <c r="AB70" s="977"/>
      <c r="AC70" s="461"/>
      <c r="AD70" s="461"/>
      <c r="AE70" s="461"/>
      <c r="AF70" s="461"/>
      <c r="AG70" s="447">
        <f>SUM('HIV-Pharmaceuticals'!$AC70:$AF70)</f>
        <v>0</v>
      </c>
      <c r="AH70" s="964">
        <f>'HIV-Pharmaceuticals'!$AB70*'HIV-Pharmaceuticals'!$AG70</f>
        <v>0</v>
      </c>
      <c r="AI70" s="448">
        <f>'HIV-Pharmaceuticals'!$S70+'HIV-Pharmaceuticals'!$Z70+'HIV-Pharmaceuticals'!$AG70</f>
        <v>0</v>
      </c>
      <c r="AJ70" s="964">
        <f>'HIV-Pharmaceuticals'!$T70+'HIV-Pharmaceuticals'!$AA70+'HIV-Pharmaceuticals'!$AH70</f>
        <v>0</v>
      </c>
      <c r="AK70" s="449" t="str">
        <f t="shared" si="5"/>
        <v/>
      </c>
      <c r="AL70" s="1223"/>
    </row>
    <row r="71" spans="1:38" hidden="1">
      <c r="A71" s="2108"/>
      <c r="B71" s="2109"/>
      <c r="C71" s="2109"/>
      <c r="D71" s="2109"/>
      <c r="E71" s="2108"/>
      <c r="F71" s="2109"/>
      <c r="G71" s="2109"/>
      <c r="H71" s="2109"/>
      <c r="I71" s="2108"/>
      <c r="J71" s="2109"/>
      <c r="K71" s="2110"/>
      <c r="L71" s="1506" t="str">
        <f t="shared" si="3"/>
        <v/>
      </c>
      <c r="M71" s="346" t="str">
        <f t="shared" si="4"/>
        <v/>
      </c>
      <c r="N71" s="973"/>
      <c r="O71" s="459"/>
      <c r="P71" s="459"/>
      <c r="Q71" s="459"/>
      <c r="R71" s="459"/>
      <c r="S71" s="34">
        <f>SUM('HIV-Pharmaceuticals'!$O71:$R71)</f>
        <v>0</v>
      </c>
      <c r="T71" s="982">
        <f>'HIV-Pharmaceuticals'!$N71*'HIV-Pharmaceuticals'!$S71</f>
        <v>0</v>
      </c>
      <c r="U71" s="973"/>
      <c r="V71" s="463"/>
      <c r="W71" s="463"/>
      <c r="X71" s="463"/>
      <c r="Y71" s="463"/>
      <c r="Z71" s="437">
        <f>SUM('HIV-Pharmaceuticals'!$V71:$Y71)</f>
        <v>0</v>
      </c>
      <c r="AA71" s="972">
        <f>'HIV-Pharmaceuticals'!$U71*'HIV-Pharmaceuticals'!$Z71</f>
        <v>0</v>
      </c>
      <c r="AB71" s="973"/>
      <c r="AC71" s="459"/>
      <c r="AD71" s="459"/>
      <c r="AE71" s="459"/>
      <c r="AF71" s="459"/>
      <c r="AG71" s="438">
        <f>SUM('HIV-Pharmaceuticals'!$AC71:$AF71)</f>
        <v>0</v>
      </c>
      <c r="AH71" s="962">
        <f>'HIV-Pharmaceuticals'!$AB71*'HIV-Pharmaceuticals'!$AG71</f>
        <v>0</v>
      </c>
      <c r="AI71" s="439">
        <f>'HIV-Pharmaceuticals'!$S71+'HIV-Pharmaceuticals'!$Z71+'HIV-Pharmaceuticals'!$AG71</f>
        <v>0</v>
      </c>
      <c r="AJ71" s="962">
        <f>'HIV-Pharmaceuticals'!$T71+'HIV-Pharmaceuticals'!$AA71+'HIV-Pharmaceuticals'!$AH71</f>
        <v>0</v>
      </c>
      <c r="AK71" s="450" t="str">
        <f t="shared" si="5"/>
        <v/>
      </c>
      <c r="AL71" s="1224"/>
    </row>
    <row r="72" spans="1:38" hidden="1">
      <c r="A72" s="2105"/>
      <c r="B72" s="2106"/>
      <c r="C72" s="2106"/>
      <c r="D72" s="2106"/>
      <c r="E72" s="2105"/>
      <c r="F72" s="2106"/>
      <c r="G72" s="2106"/>
      <c r="H72" s="2106"/>
      <c r="I72" s="2105"/>
      <c r="J72" s="2106"/>
      <c r="K72" s="2107"/>
      <c r="L72" s="1505" t="str">
        <f t="shared" si="3"/>
        <v/>
      </c>
      <c r="M72" s="347" t="str">
        <f t="shared" si="4"/>
        <v/>
      </c>
      <c r="N72" s="977"/>
      <c r="O72" s="461"/>
      <c r="P72" s="461"/>
      <c r="Q72" s="461"/>
      <c r="R72" s="461"/>
      <c r="S72" s="445">
        <f>SUM('HIV-Pharmaceuticals'!$O72:$R72)</f>
        <v>0</v>
      </c>
      <c r="T72" s="984">
        <f>'HIV-Pharmaceuticals'!$N72*'HIV-Pharmaceuticals'!$S72</f>
        <v>0</v>
      </c>
      <c r="U72" s="977"/>
      <c r="V72" s="465"/>
      <c r="W72" s="465"/>
      <c r="X72" s="465"/>
      <c r="Y72" s="465"/>
      <c r="Z72" s="446">
        <f>SUM('HIV-Pharmaceuticals'!$V72:$Y72)</f>
        <v>0</v>
      </c>
      <c r="AA72" s="976">
        <f>'HIV-Pharmaceuticals'!$U72*'HIV-Pharmaceuticals'!$Z72</f>
        <v>0</v>
      </c>
      <c r="AB72" s="977"/>
      <c r="AC72" s="461"/>
      <c r="AD72" s="461"/>
      <c r="AE72" s="461"/>
      <c r="AF72" s="461"/>
      <c r="AG72" s="447">
        <f>SUM('HIV-Pharmaceuticals'!$AC72:$AF72)</f>
        <v>0</v>
      </c>
      <c r="AH72" s="964">
        <f>'HIV-Pharmaceuticals'!$AB72*'HIV-Pharmaceuticals'!$AG72</f>
        <v>0</v>
      </c>
      <c r="AI72" s="448">
        <f>'HIV-Pharmaceuticals'!$S72+'HIV-Pharmaceuticals'!$Z72+'HIV-Pharmaceuticals'!$AG72</f>
        <v>0</v>
      </c>
      <c r="AJ72" s="964">
        <f>'HIV-Pharmaceuticals'!$T72+'HIV-Pharmaceuticals'!$AA72+'HIV-Pharmaceuticals'!$AH72</f>
        <v>0</v>
      </c>
      <c r="AK72" s="449" t="str">
        <f t="shared" si="5"/>
        <v/>
      </c>
      <c r="AL72" s="1223"/>
    </row>
    <row r="73" spans="1:38" hidden="1">
      <c r="A73" s="2108"/>
      <c r="B73" s="2109"/>
      <c r="C73" s="2109"/>
      <c r="D73" s="2109"/>
      <c r="E73" s="2108"/>
      <c r="F73" s="2109"/>
      <c r="G73" s="2109"/>
      <c r="H73" s="2109"/>
      <c r="I73" s="2108"/>
      <c r="J73" s="2109"/>
      <c r="K73" s="2110"/>
      <c r="L73" s="1506" t="str">
        <f t="shared" si="3"/>
        <v/>
      </c>
      <c r="M73" s="346" t="str">
        <f t="shared" si="4"/>
        <v/>
      </c>
      <c r="N73" s="973"/>
      <c r="O73" s="459"/>
      <c r="P73" s="459"/>
      <c r="Q73" s="459"/>
      <c r="R73" s="459"/>
      <c r="S73" s="34">
        <f>SUM('HIV-Pharmaceuticals'!$O73:$R73)</f>
        <v>0</v>
      </c>
      <c r="T73" s="982">
        <f>'HIV-Pharmaceuticals'!$N73*'HIV-Pharmaceuticals'!$S73</f>
        <v>0</v>
      </c>
      <c r="U73" s="973"/>
      <c r="V73" s="463"/>
      <c r="W73" s="463"/>
      <c r="X73" s="463"/>
      <c r="Y73" s="463"/>
      <c r="Z73" s="437">
        <f>SUM('HIV-Pharmaceuticals'!$V73:$Y73)</f>
        <v>0</v>
      </c>
      <c r="AA73" s="972">
        <f>'HIV-Pharmaceuticals'!$U73*'HIV-Pharmaceuticals'!$Z73</f>
        <v>0</v>
      </c>
      <c r="AB73" s="973"/>
      <c r="AC73" s="459"/>
      <c r="AD73" s="459"/>
      <c r="AE73" s="459"/>
      <c r="AF73" s="459"/>
      <c r="AG73" s="438">
        <f>SUM('HIV-Pharmaceuticals'!$AC73:$AF73)</f>
        <v>0</v>
      </c>
      <c r="AH73" s="962">
        <f>'HIV-Pharmaceuticals'!$AB73*'HIV-Pharmaceuticals'!$AG73</f>
        <v>0</v>
      </c>
      <c r="AI73" s="439">
        <f>'HIV-Pharmaceuticals'!$S73+'HIV-Pharmaceuticals'!$Z73+'HIV-Pharmaceuticals'!$AG73</f>
        <v>0</v>
      </c>
      <c r="AJ73" s="962">
        <f>'HIV-Pharmaceuticals'!$T73+'HIV-Pharmaceuticals'!$AA73+'HIV-Pharmaceuticals'!$AH73</f>
        <v>0</v>
      </c>
      <c r="AK73" s="450" t="str">
        <f t="shared" si="5"/>
        <v/>
      </c>
      <c r="AL73" s="1224"/>
    </row>
    <row r="74" spans="1:38" hidden="1">
      <c r="A74" s="2105"/>
      <c r="B74" s="2106"/>
      <c r="C74" s="2106"/>
      <c r="D74" s="2106"/>
      <c r="E74" s="2105"/>
      <c r="F74" s="2106"/>
      <c r="G74" s="2106"/>
      <c r="H74" s="2106"/>
      <c r="I74" s="2105"/>
      <c r="J74" s="2106"/>
      <c r="K74" s="2107"/>
      <c r="L74" s="1505" t="str">
        <f t="shared" si="3"/>
        <v/>
      </c>
      <c r="M74" s="347" t="str">
        <f t="shared" si="4"/>
        <v/>
      </c>
      <c r="N74" s="977"/>
      <c r="O74" s="461"/>
      <c r="P74" s="461"/>
      <c r="Q74" s="461"/>
      <c r="R74" s="461"/>
      <c r="S74" s="445">
        <f>SUM('HIV-Pharmaceuticals'!$O74:$R74)</f>
        <v>0</v>
      </c>
      <c r="T74" s="984">
        <f>'HIV-Pharmaceuticals'!$N74*'HIV-Pharmaceuticals'!$S74</f>
        <v>0</v>
      </c>
      <c r="U74" s="977"/>
      <c r="V74" s="465"/>
      <c r="W74" s="465"/>
      <c r="X74" s="465"/>
      <c r="Y74" s="465"/>
      <c r="Z74" s="446">
        <f>SUM('HIV-Pharmaceuticals'!$V74:$Y74)</f>
        <v>0</v>
      </c>
      <c r="AA74" s="976">
        <f>'HIV-Pharmaceuticals'!$U74*'HIV-Pharmaceuticals'!$Z74</f>
        <v>0</v>
      </c>
      <c r="AB74" s="977"/>
      <c r="AC74" s="461"/>
      <c r="AD74" s="461"/>
      <c r="AE74" s="461"/>
      <c r="AF74" s="461"/>
      <c r="AG74" s="447">
        <f>SUM('HIV-Pharmaceuticals'!$AC74:$AF74)</f>
        <v>0</v>
      </c>
      <c r="AH74" s="964">
        <f>'HIV-Pharmaceuticals'!$AB74*'HIV-Pharmaceuticals'!$AG74</f>
        <v>0</v>
      </c>
      <c r="AI74" s="448">
        <f>'HIV-Pharmaceuticals'!$S74+'HIV-Pharmaceuticals'!$Z74+'HIV-Pharmaceuticals'!$AG74</f>
        <v>0</v>
      </c>
      <c r="AJ74" s="964">
        <f>'HIV-Pharmaceuticals'!$T74+'HIV-Pharmaceuticals'!$AA74+'HIV-Pharmaceuticals'!$AH74</f>
        <v>0</v>
      </c>
      <c r="AK74" s="449" t="str">
        <f t="shared" si="5"/>
        <v/>
      </c>
      <c r="AL74" s="1223"/>
    </row>
    <row r="75" spans="1:38" hidden="1">
      <c r="A75" s="2108"/>
      <c r="B75" s="2109"/>
      <c r="C75" s="2109"/>
      <c r="D75" s="2109"/>
      <c r="E75" s="2108"/>
      <c r="F75" s="2109"/>
      <c r="G75" s="2109"/>
      <c r="H75" s="2109"/>
      <c r="I75" s="2108"/>
      <c r="J75" s="2109"/>
      <c r="K75" s="2110"/>
      <c r="L75" s="1506" t="str">
        <f t="shared" si="3"/>
        <v/>
      </c>
      <c r="M75" s="346" t="str">
        <f t="shared" si="4"/>
        <v/>
      </c>
      <c r="N75" s="973"/>
      <c r="O75" s="459"/>
      <c r="P75" s="459"/>
      <c r="Q75" s="459"/>
      <c r="R75" s="459"/>
      <c r="S75" s="34">
        <f>SUM('HIV-Pharmaceuticals'!$O75:$R75)</f>
        <v>0</v>
      </c>
      <c r="T75" s="982">
        <f>'HIV-Pharmaceuticals'!$N75*'HIV-Pharmaceuticals'!$S75</f>
        <v>0</v>
      </c>
      <c r="U75" s="973"/>
      <c r="V75" s="463"/>
      <c r="W75" s="463"/>
      <c r="X75" s="463"/>
      <c r="Y75" s="463"/>
      <c r="Z75" s="437">
        <f>SUM('HIV-Pharmaceuticals'!$V75:$Y75)</f>
        <v>0</v>
      </c>
      <c r="AA75" s="972">
        <f>'HIV-Pharmaceuticals'!$U75*'HIV-Pharmaceuticals'!$Z75</f>
        <v>0</v>
      </c>
      <c r="AB75" s="973"/>
      <c r="AC75" s="459"/>
      <c r="AD75" s="459"/>
      <c r="AE75" s="459"/>
      <c r="AF75" s="459"/>
      <c r="AG75" s="438">
        <f>SUM('HIV-Pharmaceuticals'!$AC75:$AF75)</f>
        <v>0</v>
      </c>
      <c r="AH75" s="962">
        <f>'HIV-Pharmaceuticals'!$AB75*'HIV-Pharmaceuticals'!$AG75</f>
        <v>0</v>
      </c>
      <c r="AI75" s="439">
        <f>'HIV-Pharmaceuticals'!$S75+'HIV-Pharmaceuticals'!$Z75+'HIV-Pharmaceuticals'!$AG75</f>
        <v>0</v>
      </c>
      <c r="AJ75" s="962">
        <f>'HIV-Pharmaceuticals'!$T75+'HIV-Pharmaceuticals'!$AA75+'HIV-Pharmaceuticals'!$AH75</f>
        <v>0</v>
      </c>
      <c r="AK75" s="450" t="str">
        <f t="shared" si="5"/>
        <v/>
      </c>
      <c r="AL75" s="1224"/>
    </row>
    <row r="76" spans="1:38" hidden="1">
      <c r="A76" s="2105"/>
      <c r="B76" s="2106"/>
      <c r="C76" s="2106"/>
      <c r="D76" s="2106"/>
      <c r="E76" s="2105"/>
      <c r="F76" s="2106"/>
      <c r="G76" s="2106"/>
      <c r="H76" s="2106"/>
      <c r="I76" s="2105"/>
      <c r="J76" s="2106"/>
      <c r="K76" s="2107"/>
      <c r="L76" s="1505" t="str">
        <f t="shared" si="3"/>
        <v/>
      </c>
      <c r="M76" s="347" t="str">
        <f t="shared" si="4"/>
        <v/>
      </c>
      <c r="N76" s="977"/>
      <c r="O76" s="461"/>
      <c r="P76" s="461"/>
      <c r="Q76" s="461"/>
      <c r="R76" s="461"/>
      <c r="S76" s="445">
        <f>SUM('HIV-Pharmaceuticals'!$O76:$R76)</f>
        <v>0</v>
      </c>
      <c r="T76" s="984">
        <f>'HIV-Pharmaceuticals'!$N76*'HIV-Pharmaceuticals'!$S76</f>
        <v>0</v>
      </c>
      <c r="U76" s="977"/>
      <c r="V76" s="465"/>
      <c r="W76" s="465"/>
      <c r="X76" s="465"/>
      <c r="Y76" s="465"/>
      <c r="Z76" s="446">
        <f>SUM('HIV-Pharmaceuticals'!$V76:$Y76)</f>
        <v>0</v>
      </c>
      <c r="AA76" s="976">
        <f>'HIV-Pharmaceuticals'!$U76*'HIV-Pharmaceuticals'!$Z76</f>
        <v>0</v>
      </c>
      <c r="AB76" s="977"/>
      <c r="AC76" s="461"/>
      <c r="AD76" s="461"/>
      <c r="AE76" s="461"/>
      <c r="AF76" s="461"/>
      <c r="AG76" s="447">
        <f>SUM('HIV-Pharmaceuticals'!$AC76:$AF76)</f>
        <v>0</v>
      </c>
      <c r="AH76" s="964">
        <f>'HIV-Pharmaceuticals'!$AB76*'HIV-Pharmaceuticals'!$AG76</f>
        <v>0</v>
      </c>
      <c r="AI76" s="448">
        <f>'HIV-Pharmaceuticals'!$S76+'HIV-Pharmaceuticals'!$Z76+'HIV-Pharmaceuticals'!$AG76</f>
        <v>0</v>
      </c>
      <c r="AJ76" s="964">
        <f>'HIV-Pharmaceuticals'!$T76+'HIV-Pharmaceuticals'!$AA76+'HIV-Pharmaceuticals'!$AH76</f>
        <v>0</v>
      </c>
      <c r="AK76" s="449" t="str">
        <f t="shared" si="5"/>
        <v/>
      </c>
      <c r="AL76" s="1223"/>
    </row>
    <row r="77" spans="1:38" hidden="1">
      <c r="A77" s="2108"/>
      <c r="B77" s="2109"/>
      <c r="C77" s="2109"/>
      <c r="D77" s="2109"/>
      <c r="E77" s="2108"/>
      <c r="F77" s="2109"/>
      <c r="G77" s="2109"/>
      <c r="H77" s="2109"/>
      <c r="I77" s="2108"/>
      <c r="J77" s="2109"/>
      <c r="K77" s="2110"/>
      <c r="L77" s="1506" t="str">
        <f t="shared" si="3"/>
        <v/>
      </c>
      <c r="M77" s="346" t="str">
        <f t="shared" si="4"/>
        <v/>
      </c>
      <c r="N77" s="973"/>
      <c r="O77" s="459"/>
      <c r="P77" s="459"/>
      <c r="Q77" s="459"/>
      <c r="R77" s="459"/>
      <c r="S77" s="34">
        <f>SUM('HIV-Pharmaceuticals'!$O77:$R77)</f>
        <v>0</v>
      </c>
      <c r="T77" s="982">
        <f>'HIV-Pharmaceuticals'!$N77*'HIV-Pharmaceuticals'!$S77</f>
        <v>0</v>
      </c>
      <c r="U77" s="973"/>
      <c r="V77" s="463"/>
      <c r="W77" s="463"/>
      <c r="X77" s="463"/>
      <c r="Y77" s="463"/>
      <c r="Z77" s="437">
        <f>SUM('HIV-Pharmaceuticals'!$V77:$Y77)</f>
        <v>0</v>
      </c>
      <c r="AA77" s="972">
        <f>'HIV-Pharmaceuticals'!$U77*'HIV-Pharmaceuticals'!$Z77</f>
        <v>0</v>
      </c>
      <c r="AB77" s="973"/>
      <c r="AC77" s="459"/>
      <c r="AD77" s="459"/>
      <c r="AE77" s="459"/>
      <c r="AF77" s="459"/>
      <c r="AG77" s="438">
        <f>SUM('HIV-Pharmaceuticals'!$AC77:$AF77)</f>
        <v>0</v>
      </c>
      <c r="AH77" s="962">
        <f>'HIV-Pharmaceuticals'!$AB77*'HIV-Pharmaceuticals'!$AG77</f>
        <v>0</v>
      </c>
      <c r="AI77" s="439">
        <f>'HIV-Pharmaceuticals'!$S77+'HIV-Pharmaceuticals'!$Z77+'HIV-Pharmaceuticals'!$AG77</f>
        <v>0</v>
      </c>
      <c r="AJ77" s="962">
        <f>'HIV-Pharmaceuticals'!$T77+'HIV-Pharmaceuticals'!$AA77+'HIV-Pharmaceuticals'!$AH77</f>
        <v>0</v>
      </c>
      <c r="AK77" s="450" t="str">
        <f t="shared" si="5"/>
        <v/>
      </c>
      <c r="AL77" s="1224"/>
    </row>
    <row r="78" spans="1:38" hidden="1">
      <c r="A78" s="2105"/>
      <c r="B78" s="2106"/>
      <c r="C78" s="2106"/>
      <c r="D78" s="2106"/>
      <c r="E78" s="2105"/>
      <c r="F78" s="2106"/>
      <c r="G78" s="2106"/>
      <c r="H78" s="2106"/>
      <c r="I78" s="2105"/>
      <c r="J78" s="2106"/>
      <c r="K78" s="2107"/>
      <c r="L78" s="1505" t="str">
        <f t="shared" si="3"/>
        <v/>
      </c>
      <c r="M78" s="347" t="str">
        <f t="shared" si="4"/>
        <v/>
      </c>
      <c r="N78" s="977"/>
      <c r="O78" s="461"/>
      <c r="P78" s="461"/>
      <c r="Q78" s="461"/>
      <c r="R78" s="461"/>
      <c r="S78" s="445">
        <f>SUM('HIV-Pharmaceuticals'!$O78:$R78)</f>
        <v>0</v>
      </c>
      <c r="T78" s="984">
        <f>'HIV-Pharmaceuticals'!$N78*'HIV-Pharmaceuticals'!$S78</f>
        <v>0</v>
      </c>
      <c r="U78" s="977"/>
      <c r="V78" s="465"/>
      <c r="W78" s="465"/>
      <c r="X78" s="465"/>
      <c r="Y78" s="465"/>
      <c r="Z78" s="446">
        <f>SUM('HIV-Pharmaceuticals'!$V78:$Y78)</f>
        <v>0</v>
      </c>
      <c r="AA78" s="976">
        <f>'HIV-Pharmaceuticals'!$U78*'HIV-Pharmaceuticals'!$Z78</f>
        <v>0</v>
      </c>
      <c r="AB78" s="977"/>
      <c r="AC78" s="461"/>
      <c r="AD78" s="461"/>
      <c r="AE78" s="461"/>
      <c r="AF78" s="461"/>
      <c r="AG78" s="447">
        <f>SUM('HIV-Pharmaceuticals'!$AC78:$AF78)</f>
        <v>0</v>
      </c>
      <c r="AH78" s="964">
        <f>'HIV-Pharmaceuticals'!$AB78*'HIV-Pharmaceuticals'!$AG78</f>
        <v>0</v>
      </c>
      <c r="AI78" s="448">
        <f>'HIV-Pharmaceuticals'!$S78+'HIV-Pharmaceuticals'!$Z78+'HIV-Pharmaceuticals'!$AG78</f>
        <v>0</v>
      </c>
      <c r="AJ78" s="964">
        <f>'HIV-Pharmaceuticals'!$T78+'HIV-Pharmaceuticals'!$AA78+'HIV-Pharmaceuticals'!$AH78</f>
        <v>0</v>
      </c>
      <c r="AK78" s="449" t="str">
        <f t="shared" si="5"/>
        <v/>
      </c>
      <c r="AL78" s="1223"/>
    </row>
    <row r="79" spans="1:38" hidden="1">
      <c r="A79" s="2108"/>
      <c r="B79" s="2109"/>
      <c r="C79" s="2109"/>
      <c r="D79" s="2109"/>
      <c r="E79" s="2108"/>
      <c r="F79" s="2109"/>
      <c r="G79" s="2109"/>
      <c r="H79" s="2109"/>
      <c r="I79" s="2108"/>
      <c r="J79" s="2109"/>
      <c r="K79" s="2110"/>
      <c r="L79" s="1506" t="str">
        <f t="shared" ref="L79:L99" si="6">IF(E79="","",IF(ISNUMBER(SEARCH("opioid substitute",E79)),"Piece",IF(AND(OR(ISNUMBER(SEARCH("Emtricitabine",E79)),ISNUMBER(SEARCH("Fosamprenavir",E79))), ISNUMBER(SEARCH("Oral",I79))),"Piece","Pack")))</f>
        <v/>
      </c>
      <c r="M79" s="346" t="str">
        <f t="shared" ref="M79:M99" si="7">IF(L79="", "","USD")</f>
        <v/>
      </c>
      <c r="N79" s="973"/>
      <c r="O79" s="459"/>
      <c r="P79" s="459"/>
      <c r="Q79" s="459"/>
      <c r="R79" s="459"/>
      <c r="S79" s="34">
        <f>SUM('HIV-Pharmaceuticals'!$O79:$R79)</f>
        <v>0</v>
      </c>
      <c r="T79" s="982">
        <f>'HIV-Pharmaceuticals'!$N79*'HIV-Pharmaceuticals'!$S79</f>
        <v>0</v>
      </c>
      <c r="U79" s="973"/>
      <c r="V79" s="463"/>
      <c r="W79" s="463"/>
      <c r="X79" s="463"/>
      <c r="Y79" s="463"/>
      <c r="Z79" s="437">
        <f>SUM('HIV-Pharmaceuticals'!$V79:$Y79)</f>
        <v>0</v>
      </c>
      <c r="AA79" s="972">
        <f>'HIV-Pharmaceuticals'!$U79*'HIV-Pharmaceuticals'!$Z79</f>
        <v>0</v>
      </c>
      <c r="AB79" s="973"/>
      <c r="AC79" s="459"/>
      <c r="AD79" s="459"/>
      <c r="AE79" s="459"/>
      <c r="AF79" s="459"/>
      <c r="AG79" s="438">
        <f>SUM('HIV-Pharmaceuticals'!$AC79:$AF79)</f>
        <v>0</v>
      </c>
      <c r="AH79" s="962">
        <f>'HIV-Pharmaceuticals'!$AB79*'HIV-Pharmaceuticals'!$AG79</f>
        <v>0</v>
      </c>
      <c r="AI79" s="439">
        <f>'HIV-Pharmaceuticals'!$S79+'HIV-Pharmaceuticals'!$Z79+'HIV-Pharmaceuticals'!$AG79</f>
        <v>0</v>
      </c>
      <c r="AJ79" s="962">
        <f>'HIV-Pharmaceuticals'!$T79+'HIV-Pharmaceuticals'!$AA79+'HIV-Pharmaceuticals'!$AH79</f>
        <v>0</v>
      </c>
      <c r="AK79" s="450" t="str">
        <f t="shared" ref="AK79:AK99" si="8">IF(ISBLANK(A79),"",(IF(ISNUMBER(SEARCH("opioid sub",A79)),"4.4","4.1")))</f>
        <v/>
      </c>
      <c r="AL79" s="1224"/>
    </row>
    <row r="80" spans="1:38" hidden="1">
      <c r="A80" s="2105"/>
      <c r="B80" s="2106"/>
      <c r="C80" s="2106"/>
      <c r="D80" s="2106"/>
      <c r="E80" s="2105"/>
      <c r="F80" s="2106"/>
      <c r="G80" s="2106"/>
      <c r="H80" s="2106"/>
      <c r="I80" s="2105"/>
      <c r="J80" s="2106"/>
      <c r="K80" s="2107"/>
      <c r="L80" s="1505" t="str">
        <f t="shared" si="6"/>
        <v/>
      </c>
      <c r="M80" s="347" t="str">
        <f t="shared" si="7"/>
        <v/>
      </c>
      <c r="N80" s="977"/>
      <c r="O80" s="461"/>
      <c r="P80" s="461"/>
      <c r="Q80" s="461"/>
      <c r="R80" s="461"/>
      <c r="S80" s="445">
        <f>SUM('HIV-Pharmaceuticals'!$O80:$R80)</f>
        <v>0</v>
      </c>
      <c r="T80" s="984">
        <f>'HIV-Pharmaceuticals'!$N80*'HIV-Pharmaceuticals'!$S80</f>
        <v>0</v>
      </c>
      <c r="U80" s="977"/>
      <c r="V80" s="465"/>
      <c r="W80" s="465"/>
      <c r="X80" s="465"/>
      <c r="Y80" s="465"/>
      <c r="Z80" s="446">
        <f>SUM('HIV-Pharmaceuticals'!$V80:$Y80)</f>
        <v>0</v>
      </c>
      <c r="AA80" s="976">
        <f>'HIV-Pharmaceuticals'!$U80*'HIV-Pharmaceuticals'!$Z80</f>
        <v>0</v>
      </c>
      <c r="AB80" s="977"/>
      <c r="AC80" s="461"/>
      <c r="AD80" s="461"/>
      <c r="AE80" s="461"/>
      <c r="AF80" s="461"/>
      <c r="AG80" s="447">
        <f>SUM('HIV-Pharmaceuticals'!$AC80:$AF80)</f>
        <v>0</v>
      </c>
      <c r="AH80" s="964">
        <f>'HIV-Pharmaceuticals'!$AB80*'HIV-Pharmaceuticals'!$AG80</f>
        <v>0</v>
      </c>
      <c r="AI80" s="448">
        <f>'HIV-Pharmaceuticals'!$S80+'HIV-Pharmaceuticals'!$Z80+'HIV-Pharmaceuticals'!$AG80</f>
        <v>0</v>
      </c>
      <c r="AJ80" s="964">
        <f>'HIV-Pharmaceuticals'!$T80+'HIV-Pharmaceuticals'!$AA80+'HIV-Pharmaceuticals'!$AH80</f>
        <v>0</v>
      </c>
      <c r="AK80" s="449" t="str">
        <f t="shared" si="8"/>
        <v/>
      </c>
      <c r="AL80" s="1223"/>
    </row>
    <row r="81" spans="1:38" hidden="1">
      <c r="A81" s="2108"/>
      <c r="B81" s="2109"/>
      <c r="C81" s="2109"/>
      <c r="D81" s="2109"/>
      <c r="E81" s="2108"/>
      <c r="F81" s="2109"/>
      <c r="G81" s="2109"/>
      <c r="H81" s="2109"/>
      <c r="I81" s="2108"/>
      <c r="J81" s="2109"/>
      <c r="K81" s="2110"/>
      <c r="L81" s="1506" t="str">
        <f t="shared" si="6"/>
        <v/>
      </c>
      <c r="M81" s="346" t="str">
        <f t="shared" si="7"/>
        <v/>
      </c>
      <c r="N81" s="973"/>
      <c r="O81" s="459"/>
      <c r="P81" s="459"/>
      <c r="Q81" s="459"/>
      <c r="R81" s="459"/>
      <c r="S81" s="34">
        <f>SUM('HIV-Pharmaceuticals'!$O81:$R81)</f>
        <v>0</v>
      </c>
      <c r="T81" s="982">
        <f>'HIV-Pharmaceuticals'!$N81*'HIV-Pharmaceuticals'!$S81</f>
        <v>0</v>
      </c>
      <c r="U81" s="973"/>
      <c r="V81" s="463"/>
      <c r="W81" s="463"/>
      <c r="X81" s="463"/>
      <c r="Y81" s="463"/>
      <c r="Z81" s="437">
        <f>SUM('HIV-Pharmaceuticals'!$V81:$Y81)</f>
        <v>0</v>
      </c>
      <c r="AA81" s="972">
        <f>'HIV-Pharmaceuticals'!$U81*'HIV-Pharmaceuticals'!$Z81</f>
        <v>0</v>
      </c>
      <c r="AB81" s="973"/>
      <c r="AC81" s="459"/>
      <c r="AD81" s="459"/>
      <c r="AE81" s="459"/>
      <c r="AF81" s="459"/>
      <c r="AG81" s="438">
        <f>SUM('HIV-Pharmaceuticals'!$AC81:$AF81)</f>
        <v>0</v>
      </c>
      <c r="AH81" s="962">
        <f>'HIV-Pharmaceuticals'!$AB81*'HIV-Pharmaceuticals'!$AG81</f>
        <v>0</v>
      </c>
      <c r="AI81" s="439">
        <f>'HIV-Pharmaceuticals'!$S81+'HIV-Pharmaceuticals'!$Z81+'HIV-Pharmaceuticals'!$AG81</f>
        <v>0</v>
      </c>
      <c r="AJ81" s="962">
        <f>'HIV-Pharmaceuticals'!$T81+'HIV-Pharmaceuticals'!$AA81+'HIV-Pharmaceuticals'!$AH81</f>
        <v>0</v>
      </c>
      <c r="AK81" s="450" t="str">
        <f t="shared" si="8"/>
        <v/>
      </c>
      <c r="AL81" s="1224"/>
    </row>
    <row r="82" spans="1:38" hidden="1">
      <c r="A82" s="2105"/>
      <c r="B82" s="2106"/>
      <c r="C82" s="2106"/>
      <c r="D82" s="2106"/>
      <c r="E82" s="2105"/>
      <c r="F82" s="2106"/>
      <c r="G82" s="2106"/>
      <c r="H82" s="2106"/>
      <c r="I82" s="2105"/>
      <c r="J82" s="2106"/>
      <c r="K82" s="2107"/>
      <c r="L82" s="1505" t="str">
        <f t="shared" si="6"/>
        <v/>
      </c>
      <c r="M82" s="347" t="str">
        <f t="shared" si="7"/>
        <v/>
      </c>
      <c r="N82" s="977"/>
      <c r="O82" s="461"/>
      <c r="P82" s="461"/>
      <c r="Q82" s="461"/>
      <c r="R82" s="461"/>
      <c r="S82" s="445">
        <f>SUM('HIV-Pharmaceuticals'!$O82:$R82)</f>
        <v>0</v>
      </c>
      <c r="T82" s="984">
        <f>'HIV-Pharmaceuticals'!$N82*'HIV-Pharmaceuticals'!$S82</f>
        <v>0</v>
      </c>
      <c r="U82" s="977"/>
      <c r="V82" s="465"/>
      <c r="W82" s="465"/>
      <c r="X82" s="465"/>
      <c r="Y82" s="465"/>
      <c r="Z82" s="446">
        <f>SUM('HIV-Pharmaceuticals'!$V82:$Y82)</f>
        <v>0</v>
      </c>
      <c r="AA82" s="976">
        <f>'HIV-Pharmaceuticals'!$U82*'HIV-Pharmaceuticals'!$Z82</f>
        <v>0</v>
      </c>
      <c r="AB82" s="977"/>
      <c r="AC82" s="461"/>
      <c r="AD82" s="461"/>
      <c r="AE82" s="461"/>
      <c r="AF82" s="461"/>
      <c r="AG82" s="447">
        <f>SUM('HIV-Pharmaceuticals'!$AC82:$AF82)</f>
        <v>0</v>
      </c>
      <c r="AH82" s="964">
        <f>'HIV-Pharmaceuticals'!$AB82*'HIV-Pharmaceuticals'!$AG82</f>
        <v>0</v>
      </c>
      <c r="AI82" s="448">
        <f>'HIV-Pharmaceuticals'!$S82+'HIV-Pharmaceuticals'!$Z82+'HIV-Pharmaceuticals'!$AG82</f>
        <v>0</v>
      </c>
      <c r="AJ82" s="964">
        <f>'HIV-Pharmaceuticals'!$T82+'HIV-Pharmaceuticals'!$AA82+'HIV-Pharmaceuticals'!$AH82</f>
        <v>0</v>
      </c>
      <c r="AK82" s="449" t="str">
        <f t="shared" si="8"/>
        <v/>
      </c>
      <c r="AL82" s="1223"/>
    </row>
    <row r="83" spans="1:38" hidden="1">
      <c r="A83" s="2108"/>
      <c r="B83" s="2109"/>
      <c r="C83" s="2109"/>
      <c r="D83" s="2109"/>
      <c r="E83" s="2108"/>
      <c r="F83" s="2109"/>
      <c r="G83" s="2109"/>
      <c r="H83" s="2109"/>
      <c r="I83" s="2108"/>
      <c r="J83" s="2109"/>
      <c r="K83" s="2110"/>
      <c r="L83" s="1506" t="str">
        <f t="shared" si="6"/>
        <v/>
      </c>
      <c r="M83" s="346" t="str">
        <f t="shared" si="7"/>
        <v/>
      </c>
      <c r="N83" s="973"/>
      <c r="O83" s="459"/>
      <c r="P83" s="459"/>
      <c r="Q83" s="459"/>
      <c r="R83" s="459"/>
      <c r="S83" s="34">
        <f>SUM('HIV-Pharmaceuticals'!$O83:$R83)</f>
        <v>0</v>
      </c>
      <c r="T83" s="982">
        <f>'HIV-Pharmaceuticals'!$N83*'HIV-Pharmaceuticals'!$S83</f>
        <v>0</v>
      </c>
      <c r="U83" s="973"/>
      <c r="V83" s="463"/>
      <c r="W83" s="463"/>
      <c r="X83" s="463"/>
      <c r="Y83" s="463"/>
      <c r="Z83" s="437">
        <f>SUM('HIV-Pharmaceuticals'!$V83:$Y83)</f>
        <v>0</v>
      </c>
      <c r="AA83" s="972">
        <f>'HIV-Pharmaceuticals'!$U83*'HIV-Pharmaceuticals'!$Z83</f>
        <v>0</v>
      </c>
      <c r="AB83" s="973"/>
      <c r="AC83" s="459"/>
      <c r="AD83" s="459"/>
      <c r="AE83" s="459"/>
      <c r="AF83" s="459"/>
      <c r="AG83" s="438">
        <f>SUM('HIV-Pharmaceuticals'!$AC83:$AF83)</f>
        <v>0</v>
      </c>
      <c r="AH83" s="962">
        <f>'HIV-Pharmaceuticals'!$AB83*'HIV-Pharmaceuticals'!$AG83</f>
        <v>0</v>
      </c>
      <c r="AI83" s="439">
        <f>'HIV-Pharmaceuticals'!$S83+'HIV-Pharmaceuticals'!$Z83+'HIV-Pharmaceuticals'!$AG83</f>
        <v>0</v>
      </c>
      <c r="AJ83" s="962">
        <f>'HIV-Pharmaceuticals'!$T83+'HIV-Pharmaceuticals'!$AA83+'HIV-Pharmaceuticals'!$AH83</f>
        <v>0</v>
      </c>
      <c r="AK83" s="450" t="str">
        <f t="shared" si="8"/>
        <v/>
      </c>
      <c r="AL83" s="1224"/>
    </row>
    <row r="84" spans="1:38" hidden="1">
      <c r="A84" s="2105"/>
      <c r="B84" s="2106"/>
      <c r="C84" s="2106"/>
      <c r="D84" s="2106"/>
      <c r="E84" s="2105"/>
      <c r="F84" s="2106"/>
      <c r="G84" s="2106"/>
      <c r="H84" s="2106"/>
      <c r="I84" s="2105"/>
      <c r="J84" s="2106"/>
      <c r="K84" s="2107"/>
      <c r="L84" s="1505" t="str">
        <f t="shared" si="6"/>
        <v/>
      </c>
      <c r="M84" s="347" t="str">
        <f t="shared" si="7"/>
        <v/>
      </c>
      <c r="N84" s="977"/>
      <c r="O84" s="461"/>
      <c r="P84" s="461"/>
      <c r="Q84" s="461"/>
      <c r="R84" s="461"/>
      <c r="S84" s="445">
        <f>SUM('HIV-Pharmaceuticals'!$O84:$R84)</f>
        <v>0</v>
      </c>
      <c r="T84" s="984">
        <f>'HIV-Pharmaceuticals'!$N84*'HIV-Pharmaceuticals'!$S84</f>
        <v>0</v>
      </c>
      <c r="U84" s="977"/>
      <c r="V84" s="465"/>
      <c r="W84" s="465"/>
      <c r="X84" s="465"/>
      <c r="Y84" s="465"/>
      <c r="Z84" s="446">
        <f>SUM('HIV-Pharmaceuticals'!$V84:$Y84)</f>
        <v>0</v>
      </c>
      <c r="AA84" s="976">
        <f>'HIV-Pharmaceuticals'!$U84*'HIV-Pharmaceuticals'!$Z84</f>
        <v>0</v>
      </c>
      <c r="AB84" s="977"/>
      <c r="AC84" s="461"/>
      <c r="AD84" s="461"/>
      <c r="AE84" s="461"/>
      <c r="AF84" s="461"/>
      <c r="AG84" s="447">
        <f>SUM('HIV-Pharmaceuticals'!$AC84:$AF84)</f>
        <v>0</v>
      </c>
      <c r="AH84" s="964">
        <f>'HIV-Pharmaceuticals'!$AB84*'HIV-Pharmaceuticals'!$AG84</f>
        <v>0</v>
      </c>
      <c r="AI84" s="448">
        <f>'HIV-Pharmaceuticals'!$S84+'HIV-Pharmaceuticals'!$Z84+'HIV-Pharmaceuticals'!$AG84</f>
        <v>0</v>
      </c>
      <c r="AJ84" s="964">
        <f>'HIV-Pharmaceuticals'!$T84+'HIV-Pharmaceuticals'!$AA84+'HIV-Pharmaceuticals'!$AH84</f>
        <v>0</v>
      </c>
      <c r="AK84" s="449" t="str">
        <f t="shared" si="8"/>
        <v/>
      </c>
      <c r="AL84" s="1223"/>
    </row>
    <row r="85" spans="1:38" hidden="1">
      <c r="A85" s="2108"/>
      <c r="B85" s="2109"/>
      <c r="C85" s="2109"/>
      <c r="D85" s="2109"/>
      <c r="E85" s="2108"/>
      <c r="F85" s="2109"/>
      <c r="G85" s="2109"/>
      <c r="H85" s="2109"/>
      <c r="I85" s="2108"/>
      <c r="J85" s="2109"/>
      <c r="K85" s="2110"/>
      <c r="L85" s="1506" t="str">
        <f t="shared" si="6"/>
        <v/>
      </c>
      <c r="M85" s="346" t="str">
        <f t="shared" si="7"/>
        <v/>
      </c>
      <c r="N85" s="973"/>
      <c r="O85" s="459"/>
      <c r="P85" s="459"/>
      <c r="Q85" s="459"/>
      <c r="R85" s="459"/>
      <c r="S85" s="34">
        <f>SUM('HIV-Pharmaceuticals'!$O85:$R85)</f>
        <v>0</v>
      </c>
      <c r="T85" s="982">
        <f>'HIV-Pharmaceuticals'!$N85*'HIV-Pharmaceuticals'!$S85</f>
        <v>0</v>
      </c>
      <c r="U85" s="973"/>
      <c r="V85" s="463"/>
      <c r="W85" s="463"/>
      <c r="X85" s="463"/>
      <c r="Y85" s="463"/>
      <c r="Z85" s="437">
        <f>SUM('HIV-Pharmaceuticals'!$V85:$Y85)</f>
        <v>0</v>
      </c>
      <c r="AA85" s="972">
        <f>'HIV-Pharmaceuticals'!$U85*'HIV-Pharmaceuticals'!$Z85</f>
        <v>0</v>
      </c>
      <c r="AB85" s="973"/>
      <c r="AC85" s="459"/>
      <c r="AD85" s="459"/>
      <c r="AE85" s="459"/>
      <c r="AF85" s="459"/>
      <c r="AG85" s="438">
        <f>SUM('HIV-Pharmaceuticals'!$AC85:$AF85)</f>
        <v>0</v>
      </c>
      <c r="AH85" s="962">
        <f>'HIV-Pharmaceuticals'!$AB85*'HIV-Pharmaceuticals'!$AG85</f>
        <v>0</v>
      </c>
      <c r="AI85" s="439">
        <f>'HIV-Pharmaceuticals'!$S85+'HIV-Pharmaceuticals'!$Z85+'HIV-Pharmaceuticals'!$AG85</f>
        <v>0</v>
      </c>
      <c r="AJ85" s="962">
        <f>'HIV-Pharmaceuticals'!$T85+'HIV-Pharmaceuticals'!$AA85+'HIV-Pharmaceuticals'!$AH85</f>
        <v>0</v>
      </c>
      <c r="AK85" s="450" t="str">
        <f t="shared" si="8"/>
        <v/>
      </c>
      <c r="AL85" s="1224"/>
    </row>
    <row r="86" spans="1:38" hidden="1">
      <c r="A86" s="2105"/>
      <c r="B86" s="2106"/>
      <c r="C86" s="2106"/>
      <c r="D86" s="2106"/>
      <c r="E86" s="2105"/>
      <c r="F86" s="2106"/>
      <c r="G86" s="2106"/>
      <c r="H86" s="2106"/>
      <c r="I86" s="2105"/>
      <c r="J86" s="2106"/>
      <c r="K86" s="2107"/>
      <c r="L86" s="1505" t="str">
        <f t="shared" si="6"/>
        <v/>
      </c>
      <c r="M86" s="347" t="str">
        <f t="shared" si="7"/>
        <v/>
      </c>
      <c r="N86" s="977"/>
      <c r="O86" s="461"/>
      <c r="P86" s="461"/>
      <c r="Q86" s="461"/>
      <c r="R86" s="461"/>
      <c r="S86" s="445">
        <f>SUM('HIV-Pharmaceuticals'!$O86:$R86)</f>
        <v>0</v>
      </c>
      <c r="T86" s="984">
        <f>'HIV-Pharmaceuticals'!$N86*'HIV-Pharmaceuticals'!$S86</f>
        <v>0</v>
      </c>
      <c r="U86" s="977"/>
      <c r="V86" s="465"/>
      <c r="W86" s="465"/>
      <c r="X86" s="465"/>
      <c r="Y86" s="465"/>
      <c r="Z86" s="446">
        <f>SUM('HIV-Pharmaceuticals'!$V86:$Y86)</f>
        <v>0</v>
      </c>
      <c r="AA86" s="976">
        <f>'HIV-Pharmaceuticals'!$U86*'HIV-Pharmaceuticals'!$Z86</f>
        <v>0</v>
      </c>
      <c r="AB86" s="977"/>
      <c r="AC86" s="461"/>
      <c r="AD86" s="461"/>
      <c r="AE86" s="461"/>
      <c r="AF86" s="461"/>
      <c r="AG86" s="447">
        <f>SUM('HIV-Pharmaceuticals'!$AC86:$AF86)</f>
        <v>0</v>
      </c>
      <c r="AH86" s="964">
        <f>'HIV-Pharmaceuticals'!$AB86*'HIV-Pharmaceuticals'!$AG86</f>
        <v>0</v>
      </c>
      <c r="AI86" s="448">
        <f>'HIV-Pharmaceuticals'!$S86+'HIV-Pharmaceuticals'!$Z86+'HIV-Pharmaceuticals'!$AG86</f>
        <v>0</v>
      </c>
      <c r="AJ86" s="964">
        <f>'HIV-Pharmaceuticals'!$T86+'HIV-Pharmaceuticals'!$AA86+'HIV-Pharmaceuticals'!$AH86</f>
        <v>0</v>
      </c>
      <c r="AK86" s="449" t="str">
        <f t="shared" si="8"/>
        <v/>
      </c>
      <c r="AL86" s="1223"/>
    </row>
    <row r="87" spans="1:38" hidden="1">
      <c r="A87" s="2108"/>
      <c r="B87" s="2109"/>
      <c r="C87" s="2109"/>
      <c r="D87" s="2109"/>
      <c r="E87" s="2108"/>
      <c r="F87" s="2109"/>
      <c r="G87" s="2109"/>
      <c r="H87" s="2109"/>
      <c r="I87" s="2108"/>
      <c r="J87" s="2109"/>
      <c r="K87" s="2110"/>
      <c r="L87" s="1506" t="str">
        <f t="shared" si="6"/>
        <v/>
      </c>
      <c r="M87" s="346" t="str">
        <f t="shared" si="7"/>
        <v/>
      </c>
      <c r="N87" s="973"/>
      <c r="O87" s="459"/>
      <c r="P87" s="459"/>
      <c r="Q87" s="459"/>
      <c r="R87" s="459"/>
      <c r="S87" s="34">
        <f>SUM('HIV-Pharmaceuticals'!$O87:$R87)</f>
        <v>0</v>
      </c>
      <c r="T87" s="982">
        <f>'HIV-Pharmaceuticals'!$N87*'HIV-Pharmaceuticals'!$S87</f>
        <v>0</v>
      </c>
      <c r="U87" s="973"/>
      <c r="V87" s="463"/>
      <c r="W87" s="463"/>
      <c r="X87" s="463"/>
      <c r="Y87" s="463"/>
      <c r="Z87" s="437">
        <f>SUM('HIV-Pharmaceuticals'!$V87:$Y87)</f>
        <v>0</v>
      </c>
      <c r="AA87" s="972">
        <f>'HIV-Pharmaceuticals'!$U87*'HIV-Pharmaceuticals'!$Z87</f>
        <v>0</v>
      </c>
      <c r="AB87" s="973"/>
      <c r="AC87" s="459"/>
      <c r="AD87" s="459"/>
      <c r="AE87" s="459"/>
      <c r="AF87" s="459"/>
      <c r="AG87" s="438">
        <f>SUM('HIV-Pharmaceuticals'!$AC87:$AF87)</f>
        <v>0</v>
      </c>
      <c r="AH87" s="962">
        <f>'HIV-Pharmaceuticals'!$AB87*'HIV-Pharmaceuticals'!$AG87</f>
        <v>0</v>
      </c>
      <c r="AI87" s="439">
        <f>'HIV-Pharmaceuticals'!$S87+'HIV-Pharmaceuticals'!$Z87+'HIV-Pharmaceuticals'!$AG87</f>
        <v>0</v>
      </c>
      <c r="AJ87" s="962">
        <f>'HIV-Pharmaceuticals'!$T87+'HIV-Pharmaceuticals'!$AA87+'HIV-Pharmaceuticals'!$AH87</f>
        <v>0</v>
      </c>
      <c r="AK87" s="450" t="str">
        <f t="shared" si="8"/>
        <v/>
      </c>
      <c r="AL87" s="1224"/>
    </row>
    <row r="88" spans="1:38" hidden="1">
      <c r="A88" s="2105"/>
      <c r="B88" s="2106"/>
      <c r="C88" s="2106"/>
      <c r="D88" s="2106"/>
      <c r="E88" s="2105"/>
      <c r="F88" s="2106"/>
      <c r="G88" s="2106"/>
      <c r="H88" s="2106"/>
      <c r="I88" s="2105"/>
      <c r="J88" s="2106"/>
      <c r="K88" s="2107"/>
      <c r="L88" s="1505" t="str">
        <f t="shared" si="6"/>
        <v/>
      </c>
      <c r="M88" s="347" t="str">
        <f t="shared" si="7"/>
        <v/>
      </c>
      <c r="N88" s="977"/>
      <c r="O88" s="461"/>
      <c r="P88" s="461"/>
      <c r="Q88" s="461"/>
      <c r="R88" s="461"/>
      <c r="S88" s="445">
        <f>SUM('HIV-Pharmaceuticals'!$O88:$R88)</f>
        <v>0</v>
      </c>
      <c r="T88" s="984">
        <f>'HIV-Pharmaceuticals'!$N88*'HIV-Pharmaceuticals'!$S88</f>
        <v>0</v>
      </c>
      <c r="U88" s="977"/>
      <c r="V88" s="465"/>
      <c r="W88" s="465"/>
      <c r="X88" s="465"/>
      <c r="Y88" s="465"/>
      <c r="Z88" s="446">
        <f>SUM('HIV-Pharmaceuticals'!$V88:$Y88)</f>
        <v>0</v>
      </c>
      <c r="AA88" s="976">
        <f>'HIV-Pharmaceuticals'!$U88*'HIV-Pharmaceuticals'!$Z88</f>
        <v>0</v>
      </c>
      <c r="AB88" s="977"/>
      <c r="AC88" s="461"/>
      <c r="AD88" s="461"/>
      <c r="AE88" s="461"/>
      <c r="AF88" s="461"/>
      <c r="AG88" s="447">
        <f>SUM('HIV-Pharmaceuticals'!$AC88:$AF88)</f>
        <v>0</v>
      </c>
      <c r="AH88" s="964">
        <f>'HIV-Pharmaceuticals'!$AB88*'HIV-Pharmaceuticals'!$AG88</f>
        <v>0</v>
      </c>
      <c r="AI88" s="448">
        <f>'HIV-Pharmaceuticals'!$S88+'HIV-Pharmaceuticals'!$Z88+'HIV-Pharmaceuticals'!$AG88</f>
        <v>0</v>
      </c>
      <c r="AJ88" s="964">
        <f>'HIV-Pharmaceuticals'!$T88+'HIV-Pharmaceuticals'!$AA88+'HIV-Pharmaceuticals'!$AH88</f>
        <v>0</v>
      </c>
      <c r="AK88" s="449" t="str">
        <f t="shared" si="8"/>
        <v/>
      </c>
      <c r="AL88" s="1223"/>
    </row>
    <row r="89" spans="1:38" hidden="1">
      <c r="A89" s="2108"/>
      <c r="B89" s="2109"/>
      <c r="C89" s="2109"/>
      <c r="D89" s="2109"/>
      <c r="E89" s="2108"/>
      <c r="F89" s="2109"/>
      <c r="G89" s="2109"/>
      <c r="H89" s="2109"/>
      <c r="I89" s="2108"/>
      <c r="J89" s="2109"/>
      <c r="K89" s="2110"/>
      <c r="L89" s="1506" t="str">
        <f t="shared" si="6"/>
        <v/>
      </c>
      <c r="M89" s="346" t="str">
        <f t="shared" si="7"/>
        <v/>
      </c>
      <c r="N89" s="973"/>
      <c r="O89" s="459"/>
      <c r="P89" s="459"/>
      <c r="Q89" s="459"/>
      <c r="R89" s="459"/>
      <c r="S89" s="34">
        <f>SUM('HIV-Pharmaceuticals'!$O89:$R89)</f>
        <v>0</v>
      </c>
      <c r="T89" s="982">
        <f>'HIV-Pharmaceuticals'!$N89*'HIV-Pharmaceuticals'!$S89</f>
        <v>0</v>
      </c>
      <c r="U89" s="973"/>
      <c r="V89" s="463"/>
      <c r="W89" s="463"/>
      <c r="X89" s="463"/>
      <c r="Y89" s="463"/>
      <c r="Z89" s="437">
        <f>SUM('HIV-Pharmaceuticals'!$V89:$Y89)</f>
        <v>0</v>
      </c>
      <c r="AA89" s="972">
        <f>'HIV-Pharmaceuticals'!$U89*'HIV-Pharmaceuticals'!$Z89</f>
        <v>0</v>
      </c>
      <c r="AB89" s="973"/>
      <c r="AC89" s="459"/>
      <c r="AD89" s="459"/>
      <c r="AE89" s="459"/>
      <c r="AF89" s="459"/>
      <c r="AG89" s="438">
        <f>SUM('HIV-Pharmaceuticals'!$AC89:$AF89)</f>
        <v>0</v>
      </c>
      <c r="AH89" s="962">
        <f>'HIV-Pharmaceuticals'!$AB89*'HIV-Pharmaceuticals'!$AG89</f>
        <v>0</v>
      </c>
      <c r="AI89" s="439">
        <f>'HIV-Pharmaceuticals'!$S89+'HIV-Pharmaceuticals'!$Z89+'HIV-Pharmaceuticals'!$AG89</f>
        <v>0</v>
      </c>
      <c r="AJ89" s="962">
        <f>'HIV-Pharmaceuticals'!$T89+'HIV-Pharmaceuticals'!$AA89+'HIV-Pharmaceuticals'!$AH89</f>
        <v>0</v>
      </c>
      <c r="AK89" s="450" t="str">
        <f t="shared" si="8"/>
        <v/>
      </c>
      <c r="AL89" s="1224"/>
    </row>
    <row r="90" spans="1:38" hidden="1">
      <c r="A90" s="2105"/>
      <c r="B90" s="2106"/>
      <c r="C90" s="2106"/>
      <c r="D90" s="2106"/>
      <c r="E90" s="2105"/>
      <c r="F90" s="2106"/>
      <c r="G90" s="2106"/>
      <c r="H90" s="2106"/>
      <c r="I90" s="2105"/>
      <c r="J90" s="2106"/>
      <c r="K90" s="2107"/>
      <c r="L90" s="1505" t="str">
        <f t="shared" si="6"/>
        <v/>
      </c>
      <c r="M90" s="347" t="str">
        <f t="shared" si="7"/>
        <v/>
      </c>
      <c r="N90" s="977"/>
      <c r="O90" s="461"/>
      <c r="P90" s="461"/>
      <c r="Q90" s="461"/>
      <c r="R90" s="461"/>
      <c r="S90" s="445">
        <f>SUM('HIV-Pharmaceuticals'!$O90:$R90)</f>
        <v>0</v>
      </c>
      <c r="T90" s="984">
        <f>'HIV-Pharmaceuticals'!$N90*'HIV-Pharmaceuticals'!$S90</f>
        <v>0</v>
      </c>
      <c r="U90" s="977"/>
      <c r="V90" s="465"/>
      <c r="W90" s="465"/>
      <c r="X90" s="465"/>
      <c r="Y90" s="465"/>
      <c r="Z90" s="446">
        <f>SUM('HIV-Pharmaceuticals'!$V90:$Y90)</f>
        <v>0</v>
      </c>
      <c r="AA90" s="976">
        <f>'HIV-Pharmaceuticals'!$U90*'HIV-Pharmaceuticals'!$Z90</f>
        <v>0</v>
      </c>
      <c r="AB90" s="977"/>
      <c r="AC90" s="461"/>
      <c r="AD90" s="461"/>
      <c r="AE90" s="461"/>
      <c r="AF90" s="461"/>
      <c r="AG90" s="447">
        <f>SUM('HIV-Pharmaceuticals'!$AC90:$AF90)</f>
        <v>0</v>
      </c>
      <c r="AH90" s="964">
        <f>'HIV-Pharmaceuticals'!$AB90*'HIV-Pharmaceuticals'!$AG90</f>
        <v>0</v>
      </c>
      <c r="AI90" s="448">
        <f>'HIV-Pharmaceuticals'!$S90+'HIV-Pharmaceuticals'!$Z90+'HIV-Pharmaceuticals'!$AG90</f>
        <v>0</v>
      </c>
      <c r="AJ90" s="964">
        <f>'HIV-Pharmaceuticals'!$T90+'HIV-Pharmaceuticals'!$AA90+'HIV-Pharmaceuticals'!$AH90</f>
        <v>0</v>
      </c>
      <c r="AK90" s="449" t="str">
        <f t="shared" si="8"/>
        <v/>
      </c>
      <c r="AL90" s="1223"/>
    </row>
    <row r="91" spans="1:38" hidden="1">
      <c r="A91" s="2108"/>
      <c r="B91" s="2109"/>
      <c r="C91" s="2109"/>
      <c r="D91" s="2109"/>
      <c r="E91" s="2108"/>
      <c r="F91" s="2109"/>
      <c r="G91" s="2109"/>
      <c r="H91" s="2109"/>
      <c r="I91" s="2108"/>
      <c r="J91" s="2109"/>
      <c r="K91" s="2110"/>
      <c r="L91" s="1506" t="str">
        <f t="shared" si="6"/>
        <v/>
      </c>
      <c r="M91" s="346" t="str">
        <f t="shared" si="7"/>
        <v/>
      </c>
      <c r="N91" s="973"/>
      <c r="O91" s="459"/>
      <c r="P91" s="459"/>
      <c r="Q91" s="459"/>
      <c r="R91" s="459"/>
      <c r="S91" s="34">
        <f>SUM('HIV-Pharmaceuticals'!$O91:$R91)</f>
        <v>0</v>
      </c>
      <c r="T91" s="982">
        <f>'HIV-Pharmaceuticals'!$N91*'HIV-Pharmaceuticals'!$S91</f>
        <v>0</v>
      </c>
      <c r="U91" s="973"/>
      <c r="V91" s="463"/>
      <c r="W91" s="463"/>
      <c r="X91" s="463"/>
      <c r="Y91" s="463"/>
      <c r="Z91" s="437">
        <f>SUM('HIV-Pharmaceuticals'!$V91:$Y91)</f>
        <v>0</v>
      </c>
      <c r="AA91" s="972">
        <f>'HIV-Pharmaceuticals'!$U91*'HIV-Pharmaceuticals'!$Z91</f>
        <v>0</v>
      </c>
      <c r="AB91" s="973"/>
      <c r="AC91" s="459"/>
      <c r="AD91" s="459"/>
      <c r="AE91" s="459"/>
      <c r="AF91" s="459"/>
      <c r="AG91" s="438">
        <f>SUM('HIV-Pharmaceuticals'!$AC91:$AF91)</f>
        <v>0</v>
      </c>
      <c r="AH91" s="962">
        <f>'HIV-Pharmaceuticals'!$AB91*'HIV-Pharmaceuticals'!$AG91</f>
        <v>0</v>
      </c>
      <c r="AI91" s="439">
        <f>'HIV-Pharmaceuticals'!$S91+'HIV-Pharmaceuticals'!$Z91+'HIV-Pharmaceuticals'!$AG91</f>
        <v>0</v>
      </c>
      <c r="AJ91" s="962">
        <f>'HIV-Pharmaceuticals'!$T91+'HIV-Pharmaceuticals'!$AA91+'HIV-Pharmaceuticals'!$AH91</f>
        <v>0</v>
      </c>
      <c r="AK91" s="450" t="str">
        <f t="shared" si="8"/>
        <v/>
      </c>
      <c r="AL91" s="1224"/>
    </row>
    <row r="92" spans="1:38" hidden="1">
      <c r="A92" s="2105"/>
      <c r="B92" s="2106"/>
      <c r="C92" s="2106"/>
      <c r="D92" s="2106"/>
      <c r="E92" s="2105"/>
      <c r="F92" s="2106"/>
      <c r="G92" s="2106"/>
      <c r="H92" s="2106"/>
      <c r="I92" s="2105"/>
      <c r="J92" s="2106"/>
      <c r="K92" s="2107"/>
      <c r="L92" s="1505" t="str">
        <f t="shared" si="6"/>
        <v/>
      </c>
      <c r="M92" s="347" t="str">
        <f t="shared" si="7"/>
        <v/>
      </c>
      <c r="N92" s="977"/>
      <c r="O92" s="461"/>
      <c r="P92" s="461"/>
      <c r="Q92" s="461"/>
      <c r="R92" s="461"/>
      <c r="S92" s="445">
        <f>SUM('HIV-Pharmaceuticals'!$O92:$R92)</f>
        <v>0</v>
      </c>
      <c r="T92" s="984">
        <f>'HIV-Pharmaceuticals'!$N92*'HIV-Pharmaceuticals'!$S92</f>
        <v>0</v>
      </c>
      <c r="U92" s="977"/>
      <c r="V92" s="465"/>
      <c r="W92" s="465"/>
      <c r="X92" s="465"/>
      <c r="Y92" s="465"/>
      <c r="Z92" s="446">
        <f>SUM('HIV-Pharmaceuticals'!$V92:$Y92)</f>
        <v>0</v>
      </c>
      <c r="AA92" s="976">
        <f>'HIV-Pharmaceuticals'!$U92*'HIV-Pharmaceuticals'!$Z92</f>
        <v>0</v>
      </c>
      <c r="AB92" s="977"/>
      <c r="AC92" s="461"/>
      <c r="AD92" s="461"/>
      <c r="AE92" s="461"/>
      <c r="AF92" s="461"/>
      <c r="AG92" s="447">
        <f>SUM('HIV-Pharmaceuticals'!$AC92:$AF92)</f>
        <v>0</v>
      </c>
      <c r="AH92" s="964">
        <f>'HIV-Pharmaceuticals'!$AB92*'HIV-Pharmaceuticals'!$AG92</f>
        <v>0</v>
      </c>
      <c r="AI92" s="448">
        <f>'HIV-Pharmaceuticals'!$S92+'HIV-Pharmaceuticals'!$Z92+'HIV-Pharmaceuticals'!$AG92</f>
        <v>0</v>
      </c>
      <c r="AJ92" s="964">
        <f>'HIV-Pharmaceuticals'!$T92+'HIV-Pharmaceuticals'!$AA92+'HIV-Pharmaceuticals'!$AH92</f>
        <v>0</v>
      </c>
      <c r="AK92" s="449" t="str">
        <f t="shared" si="8"/>
        <v/>
      </c>
      <c r="AL92" s="1223"/>
    </row>
    <row r="93" spans="1:38" hidden="1">
      <c r="A93" s="2108"/>
      <c r="B93" s="2109"/>
      <c r="C93" s="2109"/>
      <c r="D93" s="2109"/>
      <c r="E93" s="2108"/>
      <c r="F93" s="2109"/>
      <c r="G93" s="2109"/>
      <c r="H93" s="2109"/>
      <c r="I93" s="2108"/>
      <c r="J93" s="2109"/>
      <c r="K93" s="2110"/>
      <c r="L93" s="1506" t="str">
        <f t="shared" si="6"/>
        <v/>
      </c>
      <c r="M93" s="346" t="str">
        <f t="shared" si="7"/>
        <v/>
      </c>
      <c r="N93" s="973"/>
      <c r="O93" s="459"/>
      <c r="P93" s="459"/>
      <c r="Q93" s="459"/>
      <c r="R93" s="459"/>
      <c r="S93" s="34">
        <f>SUM('HIV-Pharmaceuticals'!$O93:$R93)</f>
        <v>0</v>
      </c>
      <c r="T93" s="982">
        <f>'HIV-Pharmaceuticals'!$N93*'HIV-Pharmaceuticals'!$S93</f>
        <v>0</v>
      </c>
      <c r="U93" s="973"/>
      <c r="V93" s="463"/>
      <c r="W93" s="463"/>
      <c r="X93" s="463"/>
      <c r="Y93" s="463"/>
      <c r="Z93" s="437">
        <f>SUM('HIV-Pharmaceuticals'!$V93:$Y93)</f>
        <v>0</v>
      </c>
      <c r="AA93" s="972">
        <f>'HIV-Pharmaceuticals'!$U93*'HIV-Pharmaceuticals'!$Z93</f>
        <v>0</v>
      </c>
      <c r="AB93" s="973"/>
      <c r="AC93" s="459"/>
      <c r="AD93" s="459"/>
      <c r="AE93" s="459"/>
      <c r="AF93" s="459"/>
      <c r="AG93" s="438">
        <f>SUM('HIV-Pharmaceuticals'!$AC93:$AF93)</f>
        <v>0</v>
      </c>
      <c r="AH93" s="962">
        <f>'HIV-Pharmaceuticals'!$AB93*'HIV-Pharmaceuticals'!$AG93</f>
        <v>0</v>
      </c>
      <c r="AI93" s="439">
        <f>'HIV-Pharmaceuticals'!$S93+'HIV-Pharmaceuticals'!$Z93+'HIV-Pharmaceuticals'!$AG93</f>
        <v>0</v>
      </c>
      <c r="AJ93" s="962">
        <f>'HIV-Pharmaceuticals'!$T93+'HIV-Pharmaceuticals'!$AA93+'HIV-Pharmaceuticals'!$AH93</f>
        <v>0</v>
      </c>
      <c r="AK93" s="450" t="str">
        <f t="shared" si="8"/>
        <v/>
      </c>
      <c r="AL93" s="1224"/>
    </row>
    <row r="94" spans="1:38" hidden="1">
      <c r="A94" s="2105"/>
      <c r="B94" s="2106"/>
      <c r="C94" s="2106"/>
      <c r="D94" s="2106"/>
      <c r="E94" s="2105"/>
      <c r="F94" s="2106"/>
      <c r="G94" s="2106"/>
      <c r="H94" s="2106"/>
      <c r="I94" s="2105"/>
      <c r="J94" s="2106"/>
      <c r="K94" s="2107"/>
      <c r="L94" s="1505" t="str">
        <f t="shared" si="6"/>
        <v/>
      </c>
      <c r="M94" s="347" t="str">
        <f t="shared" si="7"/>
        <v/>
      </c>
      <c r="N94" s="977"/>
      <c r="O94" s="461"/>
      <c r="P94" s="461"/>
      <c r="Q94" s="461"/>
      <c r="R94" s="461"/>
      <c r="S94" s="445">
        <f>SUM('HIV-Pharmaceuticals'!$O94:$R94)</f>
        <v>0</v>
      </c>
      <c r="T94" s="984">
        <f>'HIV-Pharmaceuticals'!$N94*'HIV-Pharmaceuticals'!$S94</f>
        <v>0</v>
      </c>
      <c r="U94" s="977"/>
      <c r="V94" s="465"/>
      <c r="W94" s="465"/>
      <c r="X94" s="465"/>
      <c r="Y94" s="465"/>
      <c r="Z94" s="446">
        <f>SUM('HIV-Pharmaceuticals'!$V94:$Y94)</f>
        <v>0</v>
      </c>
      <c r="AA94" s="976">
        <f>'HIV-Pharmaceuticals'!$U94*'HIV-Pharmaceuticals'!$Z94</f>
        <v>0</v>
      </c>
      <c r="AB94" s="977"/>
      <c r="AC94" s="461"/>
      <c r="AD94" s="461"/>
      <c r="AE94" s="461"/>
      <c r="AF94" s="461"/>
      <c r="AG94" s="447">
        <f>SUM('HIV-Pharmaceuticals'!$AC94:$AF94)</f>
        <v>0</v>
      </c>
      <c r="AH94" s="964">
        <f>'HIV-Pharmaceuticals'!$AB94*'HIV-Pharmaceuticals'!$AG94</f>
        <v>0</v>
      </c>
      <c r="AI94" s="448">
        <f>'HIV-Pharmaceuticals'!$S94+'HIV-Pharmaceuticals'!$Z94+'HIV-Pharmaceuticals'!$AG94</f>
        <v>0</v>
      </c>
      <c r="AJ94" s="964">
        <f>'HIV-Pharmaceuticals'!$T94+'HIV-Pharmaceuticals'!$AA94+'HIV-Pharmaceuticals'!$AH94</f>
        <v>0</v>
      </c>
      <c r="AK94" s="449" t="str">
        <f t="shared" si="8"/>
        <v/>
      </c>
      <c r="AL94" s="1223"/>
    </row>
    <row r="95" spans="1:38" hidden="1">
      <c r="A95" s="2108"/>
      <c r="B95" s="2109"/>
      <c r="C95" s="2109"/>
      <c r="D95" s="2109"/>
      <c r="E95" s="2108"/>
      <c r="F95" s="2109"/>
      <c r="G95" s="2109"/>
      <c r="H95" s="2109"/>
      <c r="I95" s="2108"/>
      <c r="J95" s="2109"/>
      <c r="K95" s="2110"/>
      <c r="L95" s="1506" t="str">
        <f t="shared" si="6"/>
        <v/>
      </c>
      <c r="M95" s="346" t="str">
        <f t="shared" si="7"/>
        <v/>
      </c>
      <c r="N95" s="973"/>
      <c r="O95" s="459"/>
      <c r="P95" s="459"/>
      <c r="Q95" s="459"/>
      <c r="R95" s="459"/>
      <c r="S95" s="34">
        <f>SUM('HIV-Pharmaceuticals'!$O95:$R95)</f>
        <v>0</v>
      </c>
      <c r="T95" s="982">
        <f>'HIV-Pharmaceuticals'!$N95*'HIV-Pharmaceuticals'!$S95</f>
        <v>0</v>
      </c>
      <c r="U95" s="973"/>
      <c r="V95" s="463"/>
      <c r="W95" s="463"/>
      <c r="X95" s="463"/>
      <c r="Y95" s="463"/>
      <c r="Z95" s="437">
        <f>SUM('HIV-Pharmaceuticals'!$V95:$Y95)</f>
        <v>0</v>
      </c>
      <c r="AA95" s="972">
        <f>'HIV-Pharmaceuticals'!$U95*'HIV-Pharmaceuticals'!$Z95</f>
        <v>0</v>
      </c>
      <c r="AB95" s="973"/>
      <c r="AC95" s="459"/>
      <c r="AD95" s="459"/>
      <c r="AE95" s="459"/>
      <c r="AF95" s="459"/>
      <c r="AG95" s="438">
        <f>SUM('HIV-Pharmaceuticals'!$AC95:$AF95)</f>
        <v>0</v>
      </c>
      <c r="AH95" s="962">
        <f>'HIV-Pharmaceuticals'!$AB95*'HIV-Pharmaceuticals'!$AG95</f>
        <v>0</v>
      </c>
      <c r="AI95" s="439">
        <f>'HIV-Pharmaceuticals'!$S95+'HIV-Pharmaceuticals'!$Z95+'HIV-Pharmaceuticals'!$AG95</f>
        <v>0</v>
      </c>
      <c r="AJ95" s="962">
        <f>'HIV-Pharmaceuticals'!$T95+'HIV-Pharmaceuticals'!$AA95+'HIV-Pharmaceuticals'!$AH95</f>
        <v>0</v>
      </c>
      <c r="AK95" s="450" t="str">
        <f t="shared" si="8"/>
        <v/>
      </c>
      <c r="AL95" s="1224"/>
    </row>
    <row r="96" spans="1:38" hidden="1">
      <c r="A96" s="2105"/>
      <c r="B96" s="2106"/>
      <c r="C96" s="2106"/>
      <c r="D96" s="2106"/>
      <c r="E96" s="2105"/>
      <c r="F96" s="2106"/>
      <c r="G96" s="2106"/>
      <c r="H96" s="2106"/>
      <c r="I96" s="2105"/>
      <c r="J96" s="2106"/>
      <c r="K96" s="2107"/>
      <c r="L96" s="1505" t="str">
        <f t="shared" si="6"/>
        <v/>
      </c>
      <c r="M96" s="347" t="str">
        <f t="shared" si="7"/>
        <v/>
      </c>
      <c r="N96" s="975"/>
      <c r="O96" s="461"/>
      <c r="P96" s="461"/>
      <c r="Q96" s="461"/>
      <c r="R96" s="461"/>
      <c r="S96" s="445">
        <f>SUM('HIV-Pharmaceuticals'!$O96:$R96)</f>
        <v>0</v>
      </c>
      <c r="T96" s="984">
        <f>'HIV-Pharmaceuticals'!$N96*'HIV-Pharmaceuticals'!$S96</f>
        <v>0</v>
      </c>
      <c r="U96" s="977"/>
      <c r="V96" s="465"/>
      <c r="W96" s="465"/>
      <c r="X96" s="465"/>
      <c r="Y96" s="465"/>
      <c r="Z96" s="446">
        <f>SUM('HIV-Pharmaceuticals'!$V96:$Y96)</f>
        <v>0</v>
      </c>
      <c r="AA96" s="976">
        <f>'HIV-Pharmaceuticals'!$U96*'HIV-Pharmaceuticals'!$Z96</f>
        <v>0</v>
      </c>
      <c r="AB96" s="977"/>
      <c r="AC96" s="461"/>
      <c r="AD96" s="461"/>
      <c r="AE96" s="461"/>
      <c r="AF96" s="461"/>
      <c r="AG96" s="447">
        <f>SUM('HIV-Pharmaceuticals'!$AC96:$AF96)</f>
        <v>0</v>
      </c>
      <c r="AH96" s="964">
        <f>'HIV-Pharmaceuticals'!$AB96*'HIV-Pharmaceuticals'!$AG96</f>
        <v>0</v>
      </c>
      <c r="AI96" s="448">
        <f>'HIV-Pharmaceuticals'!$S96+'HIV-Pharmaceuticals'!$Z96+'HIV-Pharmaceuticals'!$AG96</f>
        <v>0</v>
      </c>
      <c r="AJ96" s="964">
        <f>'HIV-Pharmaceuticals'!$T96+'HIV-Pharmaceuticals'!$AA96+'HIV-Pharmaceuticals'!$AH96</f>
        <v>0</v>
      </c>
      <c r="AK96" s="449" t="str">
        <f t="shared" si="8"/>
        <v/>
      </c>
      <c r="AL96" s="1223"/>
    </row>
    <row r="97" spans="1:38" hidden="1">
      <c r="A97" s="2108"/>
      <c r="B97" s="2109"/>
      <c r="C97" s="2109"/>
      <c r="D97" s="2109"/>
      <c r="E97" s="2108"/>
      <c r="F97" s="2109"/>
      <c r="G97" s="2109"/>
      <c r="H97" s="2109"/>
      <c r="I97" s="2108"/>
      <c r="J97" s="2109"/>
      <c r="K97" s="2110"/>
      <c r="L97" s="1506" t="str">
        <f t="shared" si="6"/>
        <v/>
      </c>
      <c r="M97" s="346" t="str">
        <f t="shared" si="7"/>
        <v/>
      </c>
      <c r="N97" s="973"/>
      <c r="O97" s="459"/>
      <c r="P97" s="459"/>
      <c r="Q97" s="459"/>
      <c r="R97" s="459"/>
      <c r="S97" s="34">
        <f>SUM('HIV-Pharmaceuticals'!$O97:$R97)</f>
        <v>0</v>
      </c>
      <c r="T97" s="982">
        <f>'HIV-Pharmaceuticals'!$N97*'HIV-Pharmaceuticals'!$S97</f>
        <v>0</v>
      </c>
      <c r="U97" s="973"/>
      <c r="V97" s="463"/>
      <c r="W97" s="463"/>
      <c r="X97" s="463"/>
      <c r="Y97" s="463"/>
      <c r="Z97" s="437">
        <f>SUM('HIV-Pharmaceuticals'!$V97:$Y97)</f>
        <v>0</v>
      </c>
      <c r="AA97" s="972">
        <f>'HIV-Pharmaceuticals'!$U97*'HIV-Pharmaceuticals'!$Z97</f>
        <v>0</v>
      </c>
      <c r="AB97" s="973"/>
      <c r="AC97" s="459"/>
      <c r="AD97" s="459"/>
      <c r="AE97" s="459"/>
      <c r="AF97" s="459"/>
      <c r="AG97" s="438">
        <f>SUM('HIV-Pharmaceuticals'!$AC97:$AF97)</f>
        <v>0</v>
      </c>
      <c r="AH97" s="962">
        <f>'HIV-Pharmaceuticals'!$AB97*'HIV-Pharmaceuticals'!$AG97</f>
        <v>0</v>
      </c>
      <c r="AI97" s="439">
        <f>'HIV-Pharmaceuticals'!$S97+'HIV-Pharmaceuticals'!$Z97+'HIV-Pharmaceuticals'!$AG97</f>
        <v>0</v>
      </c>
      <c r="AJ97" s="962">
        <f>'HIV-Pharmaceuticals'!$T97+'HIV-Pharmaceuticals'!$AA97+'HIV-Pharmaceuticals'!$AH97</f>
        <v>0</v>
      </c>
      <c r="AK97" s="450" t="str">
        <f t="shared" si="8"/>
        <v/>
      </c>
      <c r="AL97" s="1224"/>
    </row>
    <row r="98" spans="1:38" hidden="1">
      <c r="A98" s="2105"/>
      <c r="B98" s="2106"/>
      <c r="C98" s="2106"/>
      <c r="D98" s="2106"/>
      <c r="E98" s="2105"/>
      <c r="F98" s="2106"/>
      <c r="G98" s="2106"/>
      <c r="H98" s="2106"/>
      <c r="I98" s="2105"/>
      <c r="J98" s="2106"/>
      <c r="K98" s="2107"/>
      <c r="L98" s="1505" t="str">
        <f t="shared" si="6"/>
        <v/>
      </c>
      <c r="M98" s="347" t="str">
        <f t="shared" si="7"/>
        <v/>
      </c>
      <c r="N98" s="975"/>
      <c r="O98" s="461"/>
      <c r="P98" s="461"/>
      <c r="Q98" s="461"/>
      <c r="R98" s="461"/>
      <c r="S98" s="445">
        <f>SUM('HIV-Pharmaceuticals'!$O98:$R98)</f>
        <v>0</v>
      </c>
      <c r="T98" s="984">
        <f>'HIV-Pharmaceuticals'!$N98*'HIV-Pharmaceuticals'!$S98</f>
        <v>0</v>
      </c>
      <c r="U98" s="977"/>
      <c r="V98" s="465"/>
      <c r="W98" s="465"/>
      <c r="X98" s="465"/>
      <c r="Y98" s="465"/>
      <c r="Z98" s="446">
        <f>SUM('HIV-Pharmaceuticals'!$V98:$Y98)</f>
        <v>0</v>
      </c>
      <c r="AA98" s="976">
        <f>'HIV-Pharmaceuticals'!$U98*'HIV-Pharmaceuticals'!$Z98</f>
        <v>0</v>
      </c>
      <c r="AB98" s="977"/>
      <c r="AC98" s="461"/>
      <c r="AD98" s="461"/>
      <c r="AE98" s="461"/>
      <c r="AF98" s="461"/>
      <c r="AG98" s="447">
        <f>SUM('HIV-Pharmaceuticals'!$AC98:$AF98)</f>
        <v>0</v>
      </c>
      <c r="AH98" s="964">
        <f>'HIV-Pharmaceuticals'!$AB98*'HIV-Pharmaceuticals'!$AG98</f>
        <v>0</v>
      </c>
      <c r="AI98" s="448">
        <f>'HIV-Pharmaceuticals'!$S98+'HIV-Pharmaceuticals'!$Z98+'HIV-Pharmaceuticals'!$AG98</f>
        <v>0</v>
      </c>
      <c r="AJ98" s="964">
        <f>'HIV-Pharmaceuticals'!$T98+'HIV-Pharmaceuticals'!$AA98+'HIV-Pharmaceuticals'!$AH98</f>
        <v>0</v>
      </c>
      <c r="AK98" s="449" t="str">
        <f t="shared" si="8"/>
        <v/>
      </c>
      <c r="AL98" s="1223"/>
    </row>
    <row r="99" spans="1:38" ht="15" thickBot="1">
      <c r="A99" s="2111"/>
      <c r="B99" s="2112"/>
      <c r="C99" s="2112"/>
      <c r="D99" s="2112"/>
      <c r="E99" s="2111"/>
      <c r="F99" s="2112"/>
      <c r="G99" s="2112"/>
      <c r="H99" s="2112"/>
      <c r="I99" s="2111"/>
      <c r="J99" s="2112"/>
      <c r="K99" s="2113"/>
      <c r="L99" s="1507" t="str">
        <f t="shared" si="6"/>
        <v/>
      </c>
      <c r="M99" s="1508" t="str">
        <f t="shared" si="7"/>
        <v/>
      </c>
      <c r="N99" s="978"/>
      <c r="O99" s="462"/>
      <c r="P99" s="462"/>
      <c r="Q99" s="462"/>
      <c r="R99" s="462"/>
      <c r="S99" s="451">
        <f>SUM('HIV-Pharmaceuticals'!$O99:$R99)</f>
        <v>0</v>
      </c>
      <c r="T99" s="985">
        <f>'HIV-Pharmaceuticals'!$N99*'HIV-Pharmaceuticals'!$S99</f>
        <v>0</v>
      </c>
      <c r="U99" s="978"/>
      <c r="V99" s="462"/>
      <c r="W99" s="462"/>
      <c r="X99" s="462"/>
      <c r="Y99" s="462"/>
      <c r="Z99" s="452">
        <f>SUM('HIV-Pharmaceuticals'!$V99:$Y99)</f>
        <v>0</v>
      </c>
      <c r="AA99" s="965">
        <f>'HIV-Pharmaceuticals'!$U99*'HIV-Pharmaceuticals'!$Z99</f>
        <v>0</v>
      </c>
      <c r="AB99" s="978"/>
      <c r="AC99" s="462"/>
      <c r="AD99" s="462"/>
      <c r="AE99" s="462"/>
      <c r="AF99" s="462"/>
      <c r="AG99" s="452">
        <f>SUM('HIV-Pharmaceuticals'!$AC99:$AF99)</f>
        <v>0</v>
      </c>
      <c r="AH99" s="965">
        <f>'HIV-Pharmaceuticals'!$AB99*'HIV-Pharmaceuticals'!$AG99</f>
        <v>0</v>
      </c>
      <c r="AI99" s="453">
        <f>'HIV-Pharmaceuticals'!$S99+'HIV-Pharmaceuticals'!$Z99+'HIV-Pharmaceuticals'!$AG99</f>
        <v>0</v>
      </c>
      <c r="AJ99" s="965">
        <f>'HIV-Pharmaceuticals'!$T99+'HIV-Pharmaceuticals'!$AA99+'HIV-Pharmaceuticals'!$AH99</f>
        <v>0</v>
      </c>
      <c r="AK99" s="454" t="str">
        <f t="shared" si="8"/>
        <v/>
      </c>
      <c r="AL99" s="1225"/>
    </row>
    <row r="100" spans="1:38" ht="15" thickBot="1">
      <c r="A100" s="203"/>
      <c r="B100" s="203"/>
      <c r="C100" s="203"/>
      <c r="D100" s="203"/>
      <c r="E100" s="203"/>
      <c r="F100" s="203"/>
      <c r="G100" s="203"/>
      <c r="H100" s="203"/>
      <c r="I100" s="203"/>
      <c r="J100" s="203"/>
      <c r="K100" s="203"/>
      <c r="L100" s="203"/>
      <c r="M100" s="203"/>
      <c r="N100" s="979"/>
      <c r="O100" s="203"/>
      <c r="P100" s="203"/>
      <c r="Q100" s="203"/>
      <c r="R100" s="203"/>
      <c r="S100" s="203"/>
      <c r="T100" s="979"/>
      <c r="U100" s="979"/>
      <c r="V100" s="203"/>
      <c r="W100" s="203"/>
      <c r="X100" s="203"/>
      <c r="Y100" s="203"/>
      <c r="Z100" s="203"/>
      <c r="AA100" s="979"/>
      <c r="AB100" s="979"/>
      <c r="AC100" s="203"/>
      <c r="AD100" s="455"/>
    </row>
    <row r="101" spans="1:38" ht="15" customHeight="1" thickBot="1">
      <c r="A101" s="2134">
        <v>2</v>
      </c>
      <c r="B101" s="2136" t="s">
        <v>178</v>
      </c>
      <c r="C101" s="2136"/>
      <c r="D101" s="2136"/>
      <c r="E101" s="373" t="s">
        <v>179</v>
      </c>
      <c r="F101" s="373"/>
      <c r="G101" s="374"/>
      <c r="H101" s="2146" t="s">
        <v>180</v>
      </c>
      <c r="I101" s="192"/>
      <c r="J101" s="121"/>
      <c r="K101" s="121"/>
      <c r="L101" s="121"/>
      <c r="M101" s="121"/>
      <c r="N101" s="968"/>
      <c r="O101" s="121"/>
      <c r="P101" s="121"/>
      <c r="Q101" s="121"/>
      <c r="R101" s="121"/>
      <c r="S101" s="121"/>
      <c r="T101" s="968"/>
      <c r="U101" s="968"/>
      <c r="V101" s="121"/>
      <c r="W101" s="121"/>
      <c r="X101" s="121"/>
      <c r="Y101" s="121"/>
      <c r="Z101" s="121"/>
      <c r="AA101" s="968"/>
      <c r="AB101" s="968"/>
      <c r="AC101" s="121"/>
      <c r="AD101" s="125"/>
    </row>
    <row r="102" spans="1:38" ht="15" customHeight="1" thickBot="1">
      <c r="A102" s="2135"/>
      <c r="B102" s="2137"/>
      <c r="C102" s="2137"/>
      <c r="D102" s="2137"/>
      <c r="E102" s="375" t="s">
        <v>181</v>
      </c>
      <c r="F102" s="375"/>
      <c r="G102" s="376"/>
      <c r="H102" s="2147"/>
      <c r="I102" s="136"/>
      <c r="J102" s="121"/>
      <c r="K102" s="121"/>
      <c r="L102" s="121"/>
      <c r="M102" s="121"/>
      <c r="N102" s="968"/>
      <c r="O102" s="121"/>
      <c r="P102" s="121"/>
      <c r="Q102" s="121"/>
      <c r="R102" s="121"/>
      <c r="S102" s="121"/>
      <c r="T102" s="968"/>
      <c r="U102" s="968"/>
      <c r="V102" s="121"/>
      <c r="W102" s="121"/>
      <c r="X102" s="121"/>
      <c r="Y102" s="121"/>
      <c r="Z102" s="121"/>
      <c r="AA102" s="968"/>
      <c r="AB102" s="968"/>
      <c r="AC102" s="121"/>
      <c r="AD102" s="125"/>
    </row>
    <row r="103" spans="1:38" ht="104.25" customHeight="1">
      <c r="A103" s="2080" t="s">
        <v>6900</v>
      </c>
      <c r="B103" s="2081"/>
      <c r="C103" s="2081"/>
      <c r="D103" s="2081"/>
      <c r="E103" s="2081"/>
      <c r="F103" s="2081"/>
      <c r="G103" s="2081"/>
      <c r="H103" s="2081"/>
      <c r="I103" s="2081"/>
      <c r="J103" s="2081"/>
      <c r="K103" s="2081"/>
      <c r="L103" s="2081"/>
      <c r="M103" s="2145"/>
      <c r="N103" s="968"/>
      <c r="O103" s="121"/>
      <c r="P103" s="121"/>
      <c r="Q103" s="121"/>
      <c r="R103" s="121"/>
      <c r="S103" s="121"/>
      <c r="T103" s="968"/>
      <c r="U103" s="968"/>
      <c r="V103" s="121"/>
      <c r="W103" s="121"/>
      <c r="X103" s="121"/>
      <c r="Y103" s="121"/>
      <c r="Z103" s="121"/>
      <c r="AA103" s="968"/>
      <c r="AB103" s="968"/>
      <c r="AC103" s="121"/>
      <c r="AD103" s="125"/>
    </row>
    <row r="104" spans="1:38" ht="15" thickBot="1">
      <c r="A104" s="2148"/>
      <c r="B104" s="2148"/>
      <c r="C104" s="2148"/>
      <c r="D104" s="2148"/>
      <c r="E104" s="2149"/>
      <c r="F104" s="121"/>
      <c r="G104" s="121"/>
      <c r="H104" s="121"/>
      <c r="I104" s="121"/>
      <c r="J104" s="121"/>
      <c r="K104" s="121"/>
      <c r="L104" s="121"/>
      <c r="M104" s="121"/>
      <c r="N104" s="968"/>
      <c r="O104" s="121"/>
      <c r="P104" s="121"/>
      <c r="Q104" s="121"/>
      <c r="R104" s="121"/>
      <c r="S104" s="121"/>
      <c r="T104" s="968"/>
      <c r="U104" s="968"/>
      <c r="V104" s="121"/>
      <c r="W104" s="121"/>
      <c r="X104" s="121"/>
      <c r="Y104" s="121"/>
      <c r="Z104" s="121"/>
      <c r="AA104" s="968"/>
      <c r="AB104" s="968"/>
      <c r="AC104" s="121"/>
      <c r="AD104" s="125"/>
    </row>
    <row r="105" spans="1:38" s="991" customFormat="1" ht="15" thickBot="1">
      <c r="A105" s="2116" t="s">
        <v>1685</v>
      </c>
      <c r="B105" s="2118"/>
      <c r="C105" s="2118"/>
      <c r="D105" s="2118"/>
      <c r="E105" s="2116" t="s">
        <v>149</v>
      </c>
      <c r="F105" s="2118"/>
      <c r="G105" s="2118"/>
      <c r="H105" s="2118"/>
      <c r="I105" s="2116" t="s">
        <v>150</v>
      </c>
      <c r="J105" s="2118"/>
      <c r="K105" s="2118"/>
      <c r="L105" s="2116" t="s">
        <v>151</v>
      </c>
      <c r="M105" s="2156" t="s">
        <v>49</v>
      </c>
      <c r="N105" s="2128" t="str">
        <f>N12</f>
        <v>Please fill setup</v>
      </c>
      <c r="O105" s="2129"/>
      <c r="P105" s="2129"/>
      <c r="Q105" s="2129"/>
      <c r="R105" s="2129"/>
      <c r="S105" s="2129"/>
      <c r="T105" s="2131"/>
      <c r="U105" s="2131" t="str">
        <f>U12</f>
        <v>Please fill setup</v>
      </c>
      <c r="V105" s="2129"/>
      <c r="W105" s="2129"/>
      <c r="X105" s="2129"/>
      <c r="Y105" s="2129"/>
      <c r="Z105" s="2129"/>
      <c r="AA105" s="2130"/>
      <c r="AB105" s="2128" t="str">
        <f>AB12</f>
        <v>Please fill setup</v>
      </c>
      <c r="AC105" s="2129"/>
      <c r="AD105" s="2129"/>
      <c r="AE105" s="2129"/>
      <c r="AF105" s="2129"/>
      <c r="AG105" s="2129"/>
      <c r="AH105" s="2130"/>
      <c r="AI105" s="2114" t="s">
        <v>152</v>
      </c>
      <c r="AJ105" s="2115"/>
      <c r="AK105" s="990" t="s">
        <v>153</v>
      </c>
      <c r="AL105" s="2160" t="s">
        <v>6865</v>
      </c>
    </row>
    <row r="106" spans="1:38" ht="39.5" thickBot="1">
      <c r="A106" s="2119"/>
      <c r="B106" s="2120"/>
      <c r="C106" s="2120"/>
      <c r="D106" s="2120"/>
      <c r="E106" s="2119"/>
      <c r="F106" s="2120"/>
      <c r="G106" s="2120"/>
      <c r="H106" s="2120"/>
      <c r="I106" s="2119"/>
      <c r="J106" s="2120"/>
      <c r="K106" s="2120"/>
      <c r="L106" s="2117"/>
      <c r="M106" s="2157"/>
      <c r="N106" s="970" t="s">
        <v>154</v>
      </c>
      <c r="O106" s="429" t="s">
        <v>155</v>
      </c>
      <c r="P106" s="429" t="s">
        <v>156</v>
      </c>
      <c r="Q106" s="429" t="s">
        <v>157</v>
      </c>
      <c r="R106" s="429" t="s">
        <v>158</v>
      </c>
      <c r="S106" s="429" t="s">
        <v>159</v>
      </c>
      <c r="T106" s="960" t="s">
        <v>160</v>
      </c>
      <c r="U106" s="970" t="s">
        <v>161</v>
      </c>
      <c r="V106" s="429" t="s">
        <v>162</v>
      </c>
      <c r="W106" s="429" t="s">
        <v>163</v>
      </c>
      <c r="X106" s="429" t="s">
        <v>164</v>
      </c>
      <c r="Y106" s="429" t="s">
        <v>165</v>
      </c>
      <c r="Z106" s="429" t="s">
        <v>166</v>
      </c>
      <c r="AA106" s="960" t="s">
        <v>167</v>
      </c>
      <c r="AB106" s="970" t="s">
        <v>168</v>
      </c>
      <c r="AC106" s="429" t="s">
        <v>169</v>
      </c>
      <c r="AD106" s="429" t="s">
        <v>170</v>
      </c>
      <c r="AE106" s="429" t="s">
        <v>171</v>
      </c>
      <c r="AF106" s="429" t="s">
        <v>172</v>
      </c>
      <c r="AG106" s="429" t="s">
        <v>173</v>
      </c>
      <c r="AH106" s="960" t="s">
        <v>174</v>
      </c>
      <c r="AI106" s="428" t="s">
        <v>175</v>
      </c>
      <c r="AJ106" s="960" t="s">
        <v>176</v>
      </c>
      <c r="AK106" s="430" t="s">
        <v>177</v>
      </c>
      <c r="AL106" s="2161"/>
    </row>
    <row r="107" spans="1:38" s="21" customFormat="1">
      <c r="A107" s="2121"/>
      <c r="B107" s="2122"/>
      <c r="C107" s="2122"/>
      <c r="D107" s="2122"/>
      <c r="E107" s="2121"/>
      <c r="F107" s="2122"/>
      <c r="G107" s="2122"/>
      <c r="H107" s="2122"/>
      <c r="I107" s="2121"/>
      <c r="J107" s="2122"/>
      <c r="K107" s="2123"/>
      <c r="L107" s="1503" t="str">
        <f>IF(E107="","",IF(ISNUMBER(SEARCH("opioid substitute",E107)),"Piece",IF(AND(OR(ISNUMBER(SEARCH("Emtricitabine",E107)),ISNUMBER(SEARCH("Fosamprenavir",E107))), ISNUMBER(SEARCH("Oral",I107))),"Piece","Pack")))</f>
        <v/>
      </c>
      <c r="M107" s="1479" t="str">
        <f>IF(L107="", "","USD")</f>
        <v/>
      </c>
      <c r="N107" s="971"/>
      <c r="O107" s="458"/>
      <c r="P107" s="458"/>
      <c r="Q107" s="458"/>
      <c r="R107" s="458"/>
      <c r="S107" s="433">
        <f>SUM(O107:R107)</f>
        <v>0</v>
      </c>
      <c r="T107" s="981">
        <f>S107*N107</f>
        <v>0</v>
      </c>
      <c r="U107" s="971"/>
      <c r="V107" s="458"/>
      <c r="W107" s="458"/>
      <c r="X107" s="458"/>
      <c r="Y107" s="458"/>
      <c r="Z107" s="434">
        <f>SUM(V107:Y107)</f>
        <v>0</v>
      </c>
      <c r="AA107" s="961">
        <f>Z107*U107</f>
        <v>0</v>
      </c>
      <c r="AB107" s="971"/>
      <c r="AC107" s="458"/>
      <c r="AD107" s="458"/>
      <c r="AE107" s="458"/>
      <c r="AF107" s="458"/>
      <c r="AG107" s="434">
        <f>SUM(AC107:AF107)</f>
        <v>0</v>
      </c>
      <c r="AH107" s="961">
        <f>AG107*AB107</f>
        <v>0</v>
      </c>
      <c r="AI107" s="435">
        <f>S107+Z107+AG107</f>
        <v>0</v>
      </c>
      <c r="AJ107" s="961">
        <f>T107+AA107+AH107</f>
        <v>0</v>
      </c>
      <c r="AK107" s="1484" t="str">
        <f>IF(ISBLANK(A107),"",IF(OR(ISNUMBER(SEARCH("Isoniazid",E107)), ISNUMBER(SEARCH("Rifapentine",E107))),"4.2",IF(OR(ISNUMBER(SEARCH("Amphotericin",E107)), ISNUMBER(SEARCH("trimoxazole",E107)),ISNUMBER(SEARCH("Fluconazole",E107)),ISNUMBER(SEARCH("Flucytosine",E107)),ISNUMBER(SEARCH("liposomal",E107)),ISNUMBER(SEARCH("Valganciclovir",E107)),ISNUMBER(SEARCH("Other medicines",E107))),"4.5","4.7")))</f>
        <v/>
      </c>
      <c r="AL107" s="1226"/>
    </row>
    <row r="108" spans="1:38" s="21" customFormat="1">
      <c r="A108" s="2108"/>
      <c r="B108" s="2109"/>
      <c r="C108" s="2109"/>
      <c r="D108" s="2109"/>
      <c r="E108" s="2124"/>
      <c r="F108" s="2126"/>
      <c r="G108" s="2126"/>
      <c r="H108" s="2126"/>
      <c r="I108" s="2124"/>
      <c r="J108" s="2126"/>
      <c r="K108" s="2127"/>
      <c r="L108" s="1504" t="str">
        <f t="shared" ref="L108:L109" si="9">IF(E108="","",IF(ISNUMBER(SEARCH("opioid substitute",E108)),"Piece",IF(AND(OR(ISNUMBER(SEARCH("Emtricitabine",E108)),ISNUMBER(SEARCH("Fosamprenavir",E108))), ISNUMBER(SEARCH("Oral",I108))),"Piece","Pack")))</f>
        <v/>
      </c>
      <c r="M108" s="1482" t="str">
        <f t="shared" ref="M108:M109" si="10">IF(L108="", "","USD")</f>
        <v/>
      </c>
      <c r="N108" s="973"/>
      <c r="O108" s="459"/>
      <c r="P108" s="459"/>
      <c r="Q108" s="459"/>
      <c r="R108" s="459"/>
      <c r="S108" s="34">
        <f t="shared" ref="S108:S171" si="11">SUM(O108:R108)</f>
        <v>0</v>
      </c>
      <c r="T108" s="982">
        <f t="shared" ref="T108:T171" si="12">S108*N108</f>
        <v>0</v>
      </c>
      <c r="U108" s="973"/>
      <c r="V108" s="459"/>
      <c r="W108" s="459"/>
      <c r="X108" s="459"/>
      <c r="Y108" s="459"/>
      <c r="Z108" s="437">
        <f t="shared" ref="Z108:Z171" si="13">SUM(V108:Y108)</f>
        <v>0</v>
      </c>
      <c r="AA108" s="972">
        <f t="shared" ref="AA108:AA171" si="14">Z108*U108</f>
        <v>0</v>
      </c>
      <c r="AB108" s="973"/>
      <c r="AC108" s="459"/>
      <c r="AD108" s="459"/>
      <c r="AE108" s="459"/>
      <c r="AF108" s="459"/>
      <c r="AG108" s="438">
        <f t="shared" ref="AG108:AG171" si="15">SUM(AC108:AF108)</f>
        <v>0</v>
      </c>
      <c r="AH108" s="962">
        <f t="shared" ref="AH108:AH171" si="16">AG108*AB108</f>
        <v>0</v>
      </c>
      <c r="AI108" s="439">
        <f t="shared" ref="AI108:AI171" si="17">S108+Z108+AG108</f>
        <v>0</v>
      </c>
      <c r="AJ108" s="962">
        <f t="shared" ref="AJ108:AJ171" si="18">T108+AA108+AH108</f>
        <v>0</v>
      </c>
      <c r="AK108" s="1485" t="str">
        <f t="shared" ref="AK108:AK109" si="19">IF(ISBLANK(A108),"",IF(OR(ISNUMBER(SEARCH("Isoniazid",E108)), ISNUMBER(SEARCH("Rifapentine",E108))),"4.2",IF(OR(ISNUMBER(SEARCH("Amphotericin",E108)), ISNUMBER(SEARCH("trimoxazole",E108)),ISNUMBER(SEARCH("Fluconazole",E108)),ISNUMBER(SEARCH("Flucytosine",E108)),ISNUMBER(SEARCH("liposomal",E108)),ISNUMBER(SEARCH("Valganciclovir",E108)),ISNUMBER(SEARCH("Other medicines",E108))),"4.5","4.7")))</f>
        <v/>
      </c>
      <c r="AL108" s="1227"/>
    </row>
    <row r="109" spans="1:38" s="21" customFormat="1">
      <c r="A109" s="2105"/>
      <c r="B109" s="2106"/>
      <c r="C109" s="2106"/>
      <c r="D109" s="2106"/>
      <c r="E109" s="2105"/>
      <c r="F109" s="2106"/>
      <c r="G109" s="2106"/>
      <c r="H109" s="2106"/>
      <c r="I109" s="2105"/>
      <c r="J109" s="2106"/>
      <c r="K109" s="2107"/>
      <c r="L109" s="1509" t="str">
        <f t="shared" si="9"/>
        <v/>
      </c>
      <c r="M109" s="1486" t="str">
        <f t="shared" si="10"/>
        <v/>
      </c>
      <c r="N109" s="975"/>
      <c r="O109" s="460"/>
      <c r="P109" s="460"/>
      <c r="Q109" s="460"/>
      <c r="R109" s="460"/>
      <c r="S109" s="33">
        <f t="shared" si="11"/>
        <v>0</v>
      </c>
      <c r="T109" s="983">
        <f t="shared" si="12"/>
        <v>0</v>
      </c>
      <c r="U109" s="975"/>
      <c r="V109" s="460"/>
      <c r="W109" s="460"/>
      <c r="X109" s="460"/>
      <c r="Y109" s="460"/>
      <c r="Z109" s="441">
        <f t="shared" si="13"/>
        <v>0</v>
      </c>
      <c r="AA109" s="974">
        <f t="shared" si="14"/>
        <v>0</v>
      </c>
      <c r="AB109" s="975"/>
      <c r="AC109" s="460"/>
      <c r="AD109" s="460"/>
      <c r="AE109" s="460"/>
      <c r="AF109" s="460"/>
      <c r="AG109" s="442">
        <f t="shared" si="15"/>
        <v>0</v>
      </c>
      <c r="AH109" s="963">
        <f t="shared" si="16"/>
        <v>0</v>
      </c>
      <c r="AI109" s="443">
        <f t="shared" si="17"/>
        <v>0</v>
      </c>
      <c r="AJ109" s="963">
        <f t="shared" si="18"/>
        <v>0</v>
      </c>
      <c r="AK109" s="1487" t="str">
        <f t="shared" si="19"/>
        <v/>
      </c>
      <c r="AL109" s="1228"/>
    </row>
    <row r="110" spans="1:38">
      <c r="A110" s="2108"/>
      <c r="B110" s="2109"/>
      <c r="C110" s="2109"/>
      <c r="D110" s="2109"/>
      <c r="E110" s="2108"/>
      <c r="F110" s="2109"/>
      <c r="G110" s="2109"/>
      <c r="H110" s="2109"/>
      <c r="I110" s="2108"/>
      <c r="J110" s="2109"/>
      <c r="K110" s="2110"/>
      <c r="L110" s="1506" t="str">
        <f t="shared" ref="L110:L171" si="20">IF(E110="","",IF(ISNUMBER(SEARCH("opioid substitute",E110)),"Piece",IF(AND(OR(ISNUMBER(SEARCH("Emtricitabine",E110)),ISNUMBER(SEARCH("Fosamprenavir",E110))), ISNUMBER(SEARCH("Oral",I110))),"Piece","Pack")))</f>
        <v/>
      </c>
      <c r="M110" s="346" t="str">
        <f t="shared" ref="M110:M171" si="21">IF(L110="", "","USD")</f>
        <v/>
      </c>
      <c r="N110" s="973"/>
      <c r="O110" s="459"/>
      <c r="P110" s="459"/>
      <c r="Q110" s="459"/>
      <c r="R110" s="459"/>
      <c r="S110" s="34">
        <f t="shared" si="11"/>
        <v>0</v>
      </c>
      <c r="T110" s="982">
        <f t="shared" si="12"/>
        <v>0</v>
      </c>
      <c r="U110" s="973"/>
      <c r="V110" s="459"/>
      <c r="W110" s="459"/>
      <c r="X110" s="459"/>
      <c r="Y110" s="459"/>
      <c r="Z110" s="437">
        <f t="shared" si="13"/>
        <v>0</v>
      </c>
      <c r="AA110" s="972">
        <f t="shared" si="14"/>
        <v>0</v>
      </c>
      <c r="AB110" s="973"/>
      <c r="AC110" s="459"/>
      <c r="AD110" s="459"/>
      <c r="AE110" s="459"/>
      <c r="AF110" s="459"/>
      <c r="AG110" s="438">
        <f t="shared" si="15"/>
        <v>0</v>
      </c>
      <c r="AH110" s="962">
        <f t="shared" si="16"/>
        <v>0</v>
      </c>
      <c r="AI110" s="439">
        <f t="shared" si="17"/>
        <v>0</v>
      </c>
      <c r="AJ110" s="962">
        <f t="shared" si="18"/>
        <v>0</v>
      </c>
      <c r="AK110" s="43" t="str">
        <f t="shared" ref="AK110:AK171" si="22">IF(ISBLANK(A110),"",IF(OR(ISNUMBER(SEARCH("Isoniazid",E110)), ISNUMBER(SEARCH("Rifapentine",E110))),"4.2",IF(OR(ISNUMBER(SEARCH("Amphotericin",E110)), ISNUMBER(SEARCH("trimoxazole",E110)),ISNUMBER(SEARCH("Fluconazole",E110)),ISNUMBER(SEARCH("Flucytosine",E110)),ISNUMBER(SEARCH("liposomal",E110)),ISNUMBER(SEARCH("Valganciclovir",E110)),ISNUMBER(SEARCH("Other medicines",E110))),"4.5","4.7")))</f>
        <v/>
      </c>
      <c r="AL110" s="1227"/>
    </row>
    <row r="111" spans="1:38">
      <c r="A111" s="2105"/>
      <c r="B111" s="2106"/>
      <c r="C111" s="2106"/>
      <c r="D111" s="2106"/>
      <c r="E111" s="2105"/>
      <c r="F111" s="2106"/>
      <c r="G111" s="2106"/>
      <c r="H111" s="2106"/>
      <c r="I111" s="2105"/>
      <c r="J111" s="2106"/>
      <c r="K111" s="2107"/>
      <c r="L111" s="1505" t="str">
        <f t="shared" si="20"/>
        <v/>
      </c>
      <c r="M111" s="347" t="str">
        <f t="shared" si="21"/>
        <v/>
      </c>
      <c r="N111" s="975"/>
      <c r="O111" s="460"/>
      <c r="P111" s="460"/>
      <c r="Q111" s="460"/>
      <c r="R111" s="460"/>
      <c r="S111" s="33">
        <f t="shared" si="11"/>
        <v>0</v>
      </c>
      <c r="T111" s="983">
        <f t="shared" si="12"/>
        <v>0</v>
      </c>
      <c r="U111" s="975"/>
      <c r="V111" s="460"/>
      <c r="W111" s="460"/>
      <c r="X111" s="460"/>
      <c r="Y111" s="460"/>
      <c r="Z111" s="441">
        <f t="shared" si="13"/>
        <v>0</v>
      </c>
      <c r="AA111" s="974">
        <f t="shared" si="14"/>
        <v>0</v>
      </c>
      <c r="AB111" s="975"/>
      <c r="AC111" s="460"/>
      <c r="AD111" s="460"/>
      <c r="AE111" s="460"/>
      <c r="AF111" s="460"/>
      <c r="AG111" s="442">
        <f t="shared" si="15"/>
        <v>0</v>
      </c>
      <c r="AH111" s="963">
        <f t="shared" si="16"/>
        <v>0</v>
      </c>
      <c r="AI111" s="443">
        <f t="shared" si="17"/>
        <v>0</v>
      </c>
      <c r="AJ111" s="963">
        <f t="shared" si="18"/>
        <v>0</v>
      </c>
      <c r="AK111" s="42" t="str">
        <f t="shared" si="22"/>
        <v/>
      </c>
      <c r="AL111" s="1228"/>
    </row>
    <row r="112" spans="1:38">
      <c r="A112" s="2108"/>
      <c r="B112" s="2109"/>
      <c r="C112" s="2109"/>
      <c r="D112" s="2109"/>
      <c r="E112" s="2108"/>
      <c r="F112" s="2109"/>
      <c r="G112" s="2109"/>
      <c r="H112" s="2109"/>
      <c r="I112" s="2108"/>
      <c r="J112" s="2109"/>
      <c r="K112" s="2110"/>
      <c r="L112" s="1506" t="str">
        <f t="shared" si="20"/>
        <v/>
      </c>
      <c r="M112" s="346" t="str">
        <f t="shared" si="21"/>
        <v/>
      </c>
      <c r="N112" s="973"/>
      <c r="O112" s="459"/>
      <c r="P112" s="459"/>
      <c r="Q112" s="459"/>
      <c r="R112" s="459"/>
      <c r="S112" s="34">
        <f t="shared" si="11"/>
        <v>0</v>
      </c>
      <c r="T112" s="982">
        <f t="shared" si="12"/>
        <v>0</v>
      </c>
      <c r="U112" s="973"/>
      <c r="V112" s="459"/>
      <c r="W112" s="459"/>
      <c r="X112" s="459"/>
      <c r="Y112" s="459"/>
      <c r="Z112" s="437">
        <f t="shared" si="13"/>
        <v>0</v>
      </c>
      <c r="AA112" s="972">
        <f t="shared" si="14"/>
        <v>0</v>
      </c>
      <c r="AB112" s="973"/>
      <c r="AC112" s="459"/>
      <c r="AD112" s="459"/>
      <c r="AE112" s="459"/>
      <c r="AF112" s="459"/>
      <c r="AG112" s="438">
        <f t="shared" si="15"/>
        <v>0</v>
      </c>
      <c r="AH112" s="962">
        <f t="shared" si="16"/>
        <v>0</v>
      </c>
      <c r="AI112" s="439">
        <f t="shared" si="17"/>
        <v>0</v>
      </c>
      <c r="AJ112" s="962">
        <f t="shared" si="18"/>
        <v>0</v>
      </c>
      <c r="AK112" s="43" t="str">
        <f t="shared" si="22"/>
        <v/>
      </c>
      <c r="AL112" s="1227"/>
    </row>
    <row r="113" spans="1:38">
      <c r="A113" s="2105"/>
      <c r="B113" s="2106"/>
      <c r="C113" s="2106"/>
      <c r="D113" s="2106"/>
      <c r="E113" s="2105"/>
      <c r="F113" s="2106"/>
      <c r="G113" s="2106"/>
      <c r="H113" s="2106"/>
      <c r="I113" s="2105"/>
      <c r="J113" s="2106"/>
      <c r="K113" s="2107"/>
      <c r="L113" s="1505" t="str">
        <f t="shared" si="20"/>
        <v/>
      </c>
      <c r="M113" s="347" t="str">
        <f t="shared" si="21"/>
        <v/>
      </c>
      <c r="N113" s="975"/>
      <c r="O113" s="460"/>
      <c r="P113" s="460"/>
      <c r="Q113" s="460"/>
      <c r="R113" s="460"/>
      <c r="S113" s="33">
        <f t="shared" si="11"/>
        <v>0</v>
      </c>
      <c r="T113" s="983">
        <f t="shared" si="12"/>
        <v>0</v>
      </c>
      <c r="U113" s="975"/>
      <c r="V113" s="460"/>
      <c r="W113" s="460"/>
      <c r="X113" s="460"/>
      <c r="Y113" s="460"/>
      <c r="Z113" s="441">
        <f t="shared" si="13"/>
        <v>0</v>
      </c>
      <c r="AA113" s="974">
        <f t="shared" si="14"/>
        <v>0</v>
      </c>
      <c r="AB113" s="975"/>
      <c r="AC113" s="460"/>
      <c r="AD113" s="460"/>
      <c r="AE113" s="460"/>
      <c r="AF113" s="460"/>
      <c r="AG113" s="442">
        <f t="shared" si="15"/>
        <v>0</v>
      </c>
      <c r="AH113" s="963">
        <f t="shared" si="16"/>
        <v>0</v>
      </c>
      <c r="AI113" s="443">
        <f t="shared" si="17"/>
        <v>0</v>
      </c>
      <c r="AJ113" s="963">
        <f t="shared" si="18"/>
        <v>0</v>
      </c>
      <c r="AK113" s="42" t="str">
        <f t="shared" si="22"/>
        <v/>
      </c>
      <c r="AL113" s="1228"/>
    </row>
    <row r="114" spans="1:38">
      <c r="A114" s="2108"/>
      <c r="B114" s="2109"/>
      <c r="C114" s="2109"/>
      <c r="D114" s="2109"/>
      <c r="E114" s="2108"/>
      <c r="F114" s="2109"/>
      <c r="G114" s="2109"/>
      <c r="H114" s="2109"/>
      <c r="I114" s="2108"/>
      <c r="J114" s="2109"/>
      <c r="K114" s="2110"/>
      <c r="L114" s="1506" t="str">
        <f t="shared" si="20"/>
        <v/>
      </c>
      <c r="M114" s="346" t="str">
        <f t="shared" si="21"/>
        <v/>
      </c>
      <c r="N114" s="973"/>
      <c r="O114" s="459"/>
      <c r="P114" s="459"/>
      <c r="Q114" s="459"/>
      <c r="R114" s="459"/>
      <c r="S114" s="34">
        <f t="shared" si="11"/>
        <v>0</v>
      </c>
      <c r="T114" s="982">
        <f t="shared" si="12"/>
        <v>0</v>
      </c>
      <c r="U114" s="973"/>
      <c r="V114" s="459"/>
      <c r="W114" s="459"/>
      <c r="X114" s="459"/>
      <c r="Y114" s="459"/>
      <c r="Z114" s="437">
        <f t="shared" si="13"/>
        <v>0</v>
      </c>
      <c r="AA114" s="972">
        <f t="shared" si="14"/>
        <v>0</v>
      </c>
      <c r="AB114" s="973"/>
      <c r="AC114" s="459"/>
      <c r="AD114" s="459"/>
      <c r="AE114" s="459"/>
      <c r="AF114" s="459"/>
      <c r="AG114" s="438">
        <f t="shared" si="15"/>
        <v>0</v>
      </c>
      <c r="AH114" s="962">
        <f t="shared" si="16"/>
        <v>0</v>
      </c>
      <c r="AI114" s="439">
        <f t="shared" si="17"/>
        <v>0</v>
      </c>
      <c r="AJ114" s="962">
        <f t="shared" si="18"/>
        <v>0</v>
      </c>
      <c r="AK114" s="43" t="str">
        <f t="shared" si="22"/>
        <v/>
      </c>
      <c r="AL114" s="1227"/>
    </row>
    <row r="115" spans="1:38">
      <c r="A115" s="2105"/>
      <c r="B115" s="2106"/>
      <c r="C115" s="2106"/>
      <c r="D115" s="2106"/>
      <c r="E115" s="2105"/>
      <c r="F115" s="2106"/>
      <c r="G115" s="2106"/>
      <c r="H115" s="2106"/>
      <c r="I115" s="2105"/>
      <c r="J115" s="2106"/>
      <c r="K115" s="2107"/>
      <c r="L115" s="1505" t="str">
        <f t="shared" si="20"/>
        <v/>
      </c>
      <c r="M115" s="347" t="str">
        <f t="shared" si="21"/>
        <v/>
      </c>
      <c r="N115" s="975"/>
      <c r="O115" s="460"/>
      <c r="P115" s="460"/>
      <c r="Q115" s="460"/>
      <c r="R115" s="460"/>
      <c r="S115" s="33">
        <f t="shared" si="11"/>
        <v>0</v>
      </c>
      <c r="T115" s="983">
        <f t="shared" si="12"/>
        <v>0</v>
      </c>
      <c r="U115" s="975"/>
      <c r="V115" s="460"/>
      <c r="W115" s="460"/>
      <c r="X115" s="460"/>
      <c r="Y115" s="460"/>
      <c r="Z115" s="441">
        <f t="shared" si="13"/>
        <v>0</v>
      </c>
      <c r="AA115" s="974">
        <f t="shared" si="14"/>
        <v>0</v>
      </c>
      <c r="AB115" s="975"/>
      <c r="AC115" s="460"/>
      <c r="AD115" s="460"/>
      <c r="AE115" s="460"/>
      <c r="AF115" s="460"/>
      <c r="AG115" s="442">
        <f t="shared" si="15"/>
        <v>0</v>
      </c>
      <c r="AH115" s="963">
        <f t="shared" si="16"/>
        <v>0</v>
      </c>
      <c r="AI115" s="443">
        <f t="shared" si="17"/>
        <v>0</v>
      </c>
      <c r="AJ115" s="963">
        <f t="shared" si="18"/>
        <v>0</v>
      </c>
      <c r="AK115" s="42" t="str">
        <f t="shared" si="22"/>
        <v/>
      </c>
      <c r="AL115" s="1228"/>
    </row>
    <row r="116" spans="1:38">
      <c r="A116" s="2108"/>
      <c r="B116" s="2109"/>
      <c r="C116" s="2109"/>
      <c r="D116" s="2109"/>
      <c r="E116" s="2108"/>
      <c r="F116" s="2109"/>
      <c r="G116" s="2109"/>
      <c r="H116" s="2109"/>
      <c r="I116" s="2108"/>
      <c r="J116" s="2109"/>
      <c r="K116" s="2110"/>
      <c r="L116" s="1506" t="str">
        <f t="shared" si="20"/>
        <v/>
      </c>
      <c r="M116" s="346" t="str">
        <f t="shared" si="21"/>
        <v/>
      </c>
      <c r="N116" s="973"/>
      <c r="O116" s="459"/>
      <c r="P116" s="459"/>
      <c r="Q116" s="459"/>
      <c r="R116" s="459"/>
      <c r="S116" s="34">
        <f t="shared" si="11"/>
        <v>0</v>
      </c>
      <c r="T116" s="982">
        <f t="shared" si="12"/>
        <v>0</v>
      </c>
      <c r="U116" s="973"/>
      <c r="V116" s="459"/>
      <c r="W116" s="459"/>
      <c r="X116" s="459"/>
      <c r="Y116" s="459"/>
      <c r="Z116" s="437">
        <f t="shared" si="13"/>
        <v>0</v>
      </c>
      <c r="AA116" s="972">
        <f t="shared" si="14"/>
        <v>0</v>
      </c>
      <c r="AB116" s="973"/>
      <c r="AC116" s="459"/>
      <c r="AD116" s="459"/>
      <c r="AE116" s="459"/>
      <c r="AF116" s="459"/>
      <c r="AG116" s="438">
        <f t="shared" si="15"/>
        <v>0</v>
      </c>
      <c r="AH116" s="962">
        <f t="shared" si="16"/>
        <v>0</v>
      </c>
      <c r="AI116" s="439">
        <f t="shared" si="17"/>
        <v>0</v>
      </c>
      <c r="AJ116" s="962">
        <f t="shared" si="18"/>
        <v>0</v>
      </c>
      <c r="AK116" s="43" t="str">
        <f t="shared" si="22"/>
        <v/>
      </c>
      <c r="AL116" s="1227"/>
    </row>
    <row r="117" spans="1:38">
      <c r="A117" s="2105"/>
      <c r="B117" s="2106"/>
      <c r="C117" s="2106"/>
      <c r="D117" s="2106"/>
      <c r="E117" s="2105"/>
      <c r="F117" s="2106"/>
      <c r="G117" s="2106"/>
      <c r="H117" s="2106"/>
      <c r="I117" s="2105"/>
      <c r="J117" s="2106"/>
      <c r="K117" s="2107"/>
      <c r="L117" s="1505" t="str">
        <f t="shared" si="20"/>
        <v/>
      </c>
      <c r="M117" s="347" t="str">
        <f t="shared" si="21"/>
        <v/>
      </c>
      <c r="N117" s="975"/>
      <c r="O117" s="460"/>
      <c r="P117" s="460"/>
      <c r="Q117" s="460"/>
      <c r="R117" s="460"/>
      <c r="S117" s="33">
        <f t="shared" si="11"/>
        <v>0</v>
      </c>
      <c r="T117" s="983">
        <f t="shared" si="12"/>
        <v>0</v>
      </c>
      <c r="U117" s="975"/>
      <c r="V117" s="460"/>
      <c r="W117" s="460"/>
      <c r="X117" s="460"/>
      <c r="Y117" s="460"/>
      <c r="Z117" s="441">
        <f t="shared" si="13"/>
        <v>0</v>
      </c>
      <c r="AA117" s="974">
        <f t="shared" si="14"/>
        <v>0</v>
      </c>
      <c r="AB117" s="975"/>
      <c r="AC117" s="460"/>
      <c r="AD117" s="460"/>
      <c r="AE117" s="460"/>
      <c r="AF117" s="460"/>
      <c r="AG117" s="442">
        <f t="shared" si="15"/>
        <v>0</v>
      </c>
      <c r="AH117" s="963">
        <f t="shared" si="16"/>
        <v>0</v>
      </c>
      <c r="AI117" s="443">
        <f t="shared" si="17"/>
        <v>0</v>
      </c>
      <c r="AJ117" s="963">
        <f t="shared" si="18"/>
        <v>0</v>
      </c>
      <c r="AK117" s="42" t="str">
        <f t="shared" si="22"/>
        <v/>
      </c>
      <c r="AL117" s="1228"/>
    </row>
    <row r="118" spans="1:38">
      <c r="A118" s="2108"/>
      <c r="B118" s="2109"/>
      <c r="C118" s="2109"/>
      <c r="D118" s="2109"/>
      <c r="E118" s="2108"/>
      <c r="F118" s="2109"/>
      <c r="G118" s="2109"/>
      <c r="H118" s="2109"/>
      <c r="I118" s="2108"/>
      <c r="J118" s="2109"/>
      <c r="K118" s="2110"/>
      <c r="L118" s="1506" t="str">
        <f t="shared" si="20"/>
        <v/>
      </c>
      <c r="M118" s="346" t="str">
        <f t="shared" si="21"/>
        <v/>
      </c>
      <c r="N118" s="973"/>
      <c r="O118" s="459"/>
      <c r="P118" s="459"/>
      <c r="Q118" s="459"/>
      <c r="R118" s="459"/>
      <c r="S118" s="34">
        <f t="shared" si="11"/>
        <v>0</v>
      </c>
      <c r="T118" s="982">
        <f t="shared" si="12"/>
        <v>0</v>
      </c>
      <c r="U118" s="973"/>
      <c r="V118" s="459"/>
      <c r="W118" s="459"/>
      <c r="X118" s="459"/>
      <c r="Y118" s="459"/>
      <c r="Z118" s="437">
        <f t="shared" si="13"/>
        <v>0</v>
      </c>
      <c r="AA118" s="972">
        <f t="shared" si="14"/>
        <v>0</v>
      </c>
      <c r="AB118" s="973"/>
      <c r="AC118" s="459"/>
      <c r="AD118" s="459"/>
      <c r="AE118" s="459"/>
      <c r="AF118" s="459"/>
      <c r="AG118" s="438">
        <f t="shared" si="15"/>
        <v>0</v>
      </c>
      <c r="AH118" s="962">
        <f t="shared" si="16"/>
        <v>0</v>
      </c>
      <c r="AI118" s="439">
        <f t="shared" si="17"/>
        <v>0</v>
      </c>
      <c r="AJ118" s="962">
        <f t="shared" si="18"/>
        <v>0</v>
      </c>
      <c r="AK118" s="43" t="str">
        <f t="shared" si="22"/>
        <v/>
      </c>
      <c r="AL118" s="1227"/>
    </row>
    <row r="119" spans="1:38">
      <c r="A119" s="2105"/>
      <c r="B119" s="2106"/>
      <c r="C119" s="2106"/>
      <c r="D119" s="2106"/>
      <c r="E119" s="2105"/>
      <c r="F119" s="2106"/>
      <c r="G119" s="2106"/>
      <c r="H119" s="2106"/>
      <c r="I119" s="2105"/>
      <c r="J119" s="2106"/>
      <c r="K119" s="2107"/>
      <c r="L119" s="1505" t="str">
        <f t="shared" si="20"/>
        <v/>
      </c>
      <c r="M119" s="347" t="str">
        <f t="shared" si="21"/>
        <v/>
      </c>
      <c r="N119" s="975"/>
      <c r="O119" s="460"/>
      <c r="P119" s="460"/>
      <c r="Q119" s="460"/>
      <c r="R119" s="460"/>
      <c r="S119" s="33">
        <f t="shared" si="11"/>
        <v>0</v>
      </c>
      <c r="T119" s="983">
        <f t="shared" si="12"/>
        <v>0</v>
      </c>
      <c r="U119" s="975"/>
      <c r="V119" s="460"/>
      <c r="W119" s="460"/>
      <c r="X119" s="460"/>
      <c r="Y119" s="460"/>
      <c r="Z119" s="441">
        <f t="shared" si="13"/>
        <v>0</v>
      </c>
      <c r="AA119" s="974">
        <f t="shared" si="14"/>
        <v>0</v>
      </c>
      <c r="AB119" s="975"/>
      <c r="AC119" s="460"/>
      <c r="AD119" s="460"/>
      <c r="AE119" s="460"/>
      <c r="AF119" s="460"/>
      <c r="AG119" s="442">
        <f t="shared" si="15"/>
        <v>0</v>
      </c>
      <c r="AH119" s="963">
        <f t="shared" si="16"/>
        <v>0</v>
      </c>
      <c r="AI119" s="443">
        <f t="shared" si="17"/>
        <v>0</v>
      </c>
      <c r="AJ119" s="963">
        <f t="shared" si="18"/>
        <v>0</v>
      </c>
      <c r="AK119" s="42" t="str">
        <f t="shared" si="22"/>
        <v/>
      </c>
      <c r="AL119" s="1228"/>
    </row>
    <row r="120" spans="1:38">
      <c r="A120" s="2108"/>
      <c r="B120" s="2109"/>
      <c r="C120" s="2109"/>
      <c r="D120" s="2109"/>
      <c r="E120" s="2108"/>
      <c r="F120" s="2109"/>
      <c r="G120" s="2109"/>
      <c r="H120" s="2109"/>
      <c r="I120" s="2108"/>
      <c r="J120" s="2109"/>
      <c r="K120" s="2110"/>
      <c r="L120" s="1506" t="str">
        <f t="shared" si="20"/>
        <v/>
      </c>
      <c r="M120" s="346" t="str">
        <f t="shared" si="21"/>
        <v/>
      </c>
      <c r="N120" s="973"/>
      <c r="O120" s="459"/>
      <c r="P120" s="459"/>
      <c r="Q120" s="459"/>
      <c r="R120" s="459"/>
      <c r="S120" s="34">
        <f t="shared" si="11"/>
        <v>0</v>
      </c>
      <c r="T120" s="982">
        <f t="shared" si="12"/>
        <v>0</v>
      </c>
      <c r="U120" s="973"/>
      <c r="V120" s="459"/>
      <c r="W120" s="459"/>
      <c r="X120" s="459"/>
      <c r="Y120" s="459"/>
      <c r="Z120" s="437">
        <f t="shared" si="13"/>
        <v>0</v>
      </c>
      <c r="AA120" s="972">
        <f t="shared" si="14"/>
        <v>0</v>
      </c>
      <c r="AB120" s="973"/>
      <c r="AC120" s="459"/>
      <c r="AD120" s="459"/>
      <c r="AE120" s="459"/>
      <c r="AF120" s="459"/>
      <c r="AG120" s="438">
        <f t="shared" si="15"/>
        <v>0</v>
      </c>
      <c r="AH120" s="962">
        <f t="shared" si="16"/>
        <v>0</v>
      </c>
      <c r="AI120" s="439">
        <f t="shared" si="17"/>
        <v>0</v>
      </c>
      <c r="AJ120" s="962">
        <f t="shared" si="18"/>
        <v>0</v>
      </c>
      <c r="AK120" s="43" t="str">
        <f t="shared" si="22"/>
        <v/>
      </c>
      <c r="AL120" s="1227"/>
    </row>
    <row r="121" spans="1:38">
      <c r="A121" s="2105"/>
      <c r="B121" s="2106"/>
      <c r="C121" s="2106"/>
      <c r="D121" s="2106"/>
      <c r="E121" s="2105"/>
      <c r="F121" s="2106"/>
      <c r="G121" s="2106"/>
      <c r="H121" s="2106"/>
      <c r="I121" s="2105"/>
      <c r="J121" s="2106"/>
      <c r="K121" s="2107"/>
      <c r="L121" s="1505" t="str">
        <f t="shared" si="20"/>
        <v/>
      </c>
      <c r="M121" s="347" t="str">
        <f t="shared" si="21"/>
        <v/>
      </c>
      <c r="N121" s="975"/>
      <c r="O121" s="460"/>
      <c r="P121" s="460"/>
      <c r="Q121" s="460"/>
      <c r="R121" s="460"/>
      <c r="S121" s="33">
        <f t="shared" si="11"/>
        <v>0</v>
      </c>
      <c r="T121" s="983">
        <f t="shared" si="12"/>
        <v>0</v>
      </c>
      <c r="U121" s="975"/>
      <c r="V121" s="460"/>
      <c r="W121" s="460"/>
      <c r="X121" s="460"/>
      <c r="Y121" s="460"/>
      <c r="Z121" s="441">
        <f t="shared" si="13"/>
        <v>0</v>
      </c>
      <c r="AA121" s="974">
        <f t="shared" si="14"/>
        <v>0</v>
      </c>
      <c r="AB121" s="975"/>
      <c r="AC121" s="460"/>
      <c r="AD121" s="460"/>
      <c r="AE121" s="460"/>
      <c r="AF121" s="460"/>
      <c r="AG121" s="442">
        <f t="shared" si="15"/>
        <v>0</v>
      </c>
      <c r="AH121" s="963">
        <f t="shared" si="16"/>
        <v>0</v>
      </c>
      <c r="AI121" s="443">
        <f t="shared" si="17"/>
        <v>0</v>
      </c>
      <c r="AJ121" s="963">
        <f t="shared" si="18"/>
        <v>0</v>
      </c>
      <c r="AK121" s="42" t="str">
        <f t="shared" si="22"/>
        <v/>
      </c>
      <c r="AL121" s="1228"/>
    </row>
    <row r="122" spans="1:38">
      <c r="A122" s="2108"/>
      <c r="B122" s="2109"/>
      <c r="C122" s="2109"/>
      <c r="D122" s="2109"/>
      <c r="E122" s="2108"/>
      <c r="F122" s="2109"/>
      <c r="G122" s="2109"/>
      <c r="H122" s="2109"/>
      <c r="I122" s="2108"/>
      <c r="J122" s="2109"/>
      <c r="K122" s="2110"/>
      <c r="L122" s="1506" t="str">
        <f t="shared" si="20"/>
        <v/>
      </c>
      <c r="M122" s="346" t="str">
        <f t="shared" si="21"/>
        <v/>
      </c>
      <c r="N122" s="973"/>
      <c r="O122" s="459"/>
      <c r="P122" s="459"/>
      <c r="Q122" s="459"/>
      <c r="R122" s="459"/>
      <c r="S122" s="34">
        <f t="shared" si="11"/>
        <v>0</v>
      </c>
      <c r="T122" s="982">
        <f t="shared" si="12"/>
        <v>0</v>
      </c>
      <c r="U122" s="973"/>
      <c r="V122" s="459"/>
      <c r="W122" s="459"/>
      <c r="X122" s="459"/>
      <c r="Y122" s="459"/>
      <c r="Z122" s="437">
        <f t="shared" si="13"/>
        <v>0</v>
      </c>
      <c r="AA122" s="972">
        <f t="shared" si="14"/>
        <v>0</v>
      </c>
      <c r="AB122" s="973"/>
      <c r="AC122" s="459"/>
      <c r="AD122" s="459"/>
      <c r="AE122" s="459"/>
      <c r="AF122" s="459"/>
      <c r="AG122" s="438">
        <f t="shared" si="15"/>
        <v>0</v>
      </c>
      <c r="AH122" s="962">
        <f t="shared" si="16"/>
        <v>0</v>
      </c>
      <c r="AI122" s="439">
        <f t="shared" si="17"/>
        <v>0</v>
      </c>
      <c r="AJ122" s="962">
        <f t="shared" si="18"/>
        <v>0</v>
      </c>
      <c r="AK122" s="43" t="str">
        <f t="shared" si="22"/>
        <v/>
      </c>
      <c r="AL122" s="1227"/>
    </row>
    <row r="123" spans="1:38">
      <c r="A123" s="2105"/>
      <c r="B123" s="2106"/>
      <c r="C123" s="2106"/>
      <c r="D123" s="2106"/>
      <c r="E123" s="2105"/>
      <c r="F123" s="2106"/>
      <c r="G123" s="2106"/>
      <c r="H123" s="2106"/>
      <c r="I123" s="2105"/>
      <c r="J123" s="2106"/>
      <c r="K123" s="2107"/>
      <c r="L123" s="1505" t="str">
        <f t="shared" si="20"/>
        <v/>
      </c>
      <c r="M123" s="347" t="str">
        <f t="shared" si="21"/>
        <v/>
      </c>
      <c r="N123" s="975"/>
      <c r="O123" s="460"/>
      <c r="P123" s="460"/>
      <c r="Q123" s="460"/>
      <c r="R123" s="460"/>
      <c r="S123" s="33">
        <f t="shared" si="11"/>
        <v>0</v>
      </c>
      <c r="T123" s="983">
        <f t="shared" si="12"/>
        <v>0</v>
      </c>
      <c r="U123" s="975"/>
      <c r="V123" s="460"/>
      <c r="W123" s="460"/>
      <c r="X123" s="460"/>
      <c r="Y123" s="460"/>
      <c r="Z123" s="441">
        <f t="shared" si="13"/>
        <v>0</v>
      </c>
      <c r="AA123" s="974">
        <f t="shared" si="14"/>
        <v>0</v>
      </c>
      <c r="AB123" s="975"/>
      <c r="AC123" s="460"/>
      <c r="AD123" s="460"/>
      <c r="AE123" s="460"/>
      <c r="AF123" s="460"/>
      <c r="AG123" s="442">
        <f t="shared" si="15"/>
        <v>0</v>
      </c>
      <c r="AH123" s="963">
        <f t="shared" si="16"/>
        <v>0</v>
      </c>
      <c r="AI123" s="443">
        <f t="shared" si="17"/>
        <v>0</v>
      </c>
      <c r="AJ123" s="963">
        <f t="shared" si="18"/>
        <v>0</v>
      </c>
      <c r="AK123" s="42" t="str">
        <f t="shared" si="22"/>
        <v/>
      </c>
      <c r="AL123" s="1228"/>
    </row>
    <row r="124" spans="1:38">
      <c r="A124" s="2108"/>
      <c r="B124" s="2109"/>
      <c r="C124" s="2109"/>
      <c r="D124" s="2109"/>
      <c r="E124" s="2108"/>
      <c r="F124" s="2109"/>
      <c r="G124" s="2109"/>
      <c r="H124" s="2109"/>
      <c r="I124" s="2108"/>
      <c r="J124" s="2109"/>
      <c r="K124" s="2110"/>
      <c r="L124" s="1506" t="str">
        <f t="shared" si="20"/>
        <v/>
      </c>
      <c r="M124" s="346" t="str">
        <f t="shared" si="21"/>
        <v/>
      </c>
      <c r="N124" s="973"/>
      <c r="O124" s="459"/>
      <c r="P124" s="459"/>
      <c r="Q124" s="459"/>
      <c r="R124" s="459"/>
      <c r="S124" s="34">
        <f t="shared" si="11"/>
        <v>0</v>
      </c>
      <c r="T124" s="982">
        <f t="shared" si="12"/>
        <v>0</v>
      </c>
      <c r="U124" s="973"/>
      <c r="V124" s="459"/>
      <c r="W124" s="459"/>
      <c r="X124" s="459"/>
      <c r="Y124" s="459"/>
      <c r="Z124" s="437">
        <f t="shared" si="13"/>
        <v>0</v>
      </c>
      <c r="AA124" s="972">
        <f t="shared" si="14"/>
        <v>0</v>
      </c>
      <c r="AB124" s="973"/>
      <c r="AC124" s="459"/>
      <c r="AD124" s="459"/>
      <c r="AE124" s="459"/>
      <c r="AF124" s="459"/>
      <c r="AG124" s="438">
        <f t="shared" si="15"/>
        <v>0</v>
      </c>
      <c r="AH124" s="962">
        <f t="shared" si="16"/>
        <v>0</v>
      </c>
      <c r="AI124" s="439">
        <f t="shared" si="17"/>
        <v>0</v>
      </c>
      <c r="AJ124" s="962">
        <f t="shared" si="18"/>
        <v>0</v>
      </c>
      <c r="AK124" s="43" t="str">
        <f t="shared" si="22"/>
        <v/>
      </c>
      <c r="AL124" s="1227"/>
    </row>
    <row r="125" spans="1:38">
      <c r="A125" s="2105"/>
      <c r="B125" s="2106"/>
      <c r="C125" s="2106"/>
      <c r="D125" s="2106"/>
      <c r="E125" s="2105"/>
      <c r="F125" s="2106"/>
      <c r="G125" s="2106"/>
      <c r="H125" s="2106"/>
      <c r="I125" s="2105"/>
      <c r="J125" s="2106"/>
      <c r="K125" s="2107"/>
      <c r="L125" s="1505" t="str">
        <f t="shared" si="20"/>
        <v/>
      </c>
      <c r="M125" s="347" t="str">
        <f t="shared" si="21"/>
        <v/>
      </c>
      <c r="N125" s="975"/>
      <c r="O125" s="460"/>
      <c r="P125" s="460"/>
      <c r="Q125" s="460"/>
      <c r="R125" s="460"/>
      <c r="S125" s="33">
        <f t="shared" si="11"/>
        <v>0</v>
      </c>
      <c r="T125" s="983">
        <f t="shared" si="12"/>
        <v>0</v>
      </c>
      <c r="U125" s="975"/>
      <c r="V125" s="460"/>
      <c r="W125" s="460"/>
      <c r="X125" s="460"/>
      <c r="Y125" s="460"/>
      <c r="Z125" s="441">
        <f t="shared" si="13"/>
        <v>0</v>
      </c>
      <c r="AA125" s="974">
        <f t="shared" si="14"/>
        <v>0</v>
      </c>
      <c r="AB125" s="975"/>
      <c r="AC125" s="460"/>
      <c r="AD125" s="460"/>
      <c r="AE125" s="460"/>
      <c r="AF125" s="460"/>
      <c r="AG125" s="442">
        <f t="shared" si="15"/>
        <v>0</v>
      </c>
      <c r="AH125" s="963">
        <f t="shared" si="16"/>
        <v>0</v>
      </c>
      <c r="AI125" s="443">
        <f t="shared" si="17"/>
        <v>0</v>
      </c>
      <c r="AJ125" s="963">
        <f t="shared" si="18"/>
        <v>0</v>
      </c>
      <c r="AK125" s="42" t="str">
        <f t="shared" si="22"/>
        <v/>
      </c>
      <c r="AL125" s="1228"/>
    </row>
    <row r="126" spans="1:38">
      <c r="A126" s="2108"/>
      <c r="B126" s="2109"/>
      <c r="C126" s="2109"/>
      <c r="D126" s="2109"/>
      <c r="E126" s="2108"/>
      <c r="F126" s="2109"/>
      <c r="G126" s="2109"/>
      <c r="H126" s="2109"/>
      <c r="I126" s="2108"/>
      <c r="J126" s="2109"/>
      <c r="K126" s="2110"/>
      <c r="L126" s="1506" t="str">
        <f t="shared" si="20"/>
        <v/>
      </c>
      <c r="M126" s="346" t="str">
        <f t="shared" si="21"/>
        <v/>
      </c>
      <c r="N126" s="973"/>
      <c r="O126" s="459"/>
      <c r="P126" s="459"/>
      <c r="Q126" s="459"/>
      <c r="R126" s="459"/>
      <c r="S126" s="34">
        <f t="shared" si="11"/>
        <v>0</v>
      </c>
      <c r="T126" s="982">
        <f t="shared" si="12"/>
        <v>0</v>
      </c>
      <c r="U126" s="973"/>
      <c r="V126" s="459"/>
      <c r="W126" s="459"/>
      <c r="X126" s="459"/>
      <c r="Y126" s="459"/>
      <c r="Z126" s="437">
        <f t="shared" si="13"/>
        <v>0</v>
      </c>
      <c r="AA126" s="972">
        <f t="shared" si="14"/>
        <v>0</v>
      </c>
      <c r="AB126" s="973"/>
      <c r="AC126" s="459"/>
      <c r="AD126" s="459"/>
      <c r="AE126" s="459"/>
      <c r="AF126" s="459"/>
      <c r="AG126" s="438">
        <f t="shared" si="15"/>
        <v>0</v>
      </c>
      <c r="AH126" s="962">
        <f t="shared" si="16"/>
        <v>0</v>
      </c>
      <c r="AI126" s="439">
        <f t="shared" si="17"/>
        <v>0</v>
      </c>
      <c r="AJ126" s="962">
        <f t="shared" si="18"/>
        <v>0</v>
      </c>
      <c r="AK126" s="43" t="str">
        <f t="shared" si="22"/>
        <v/>
      </c>
      <c r="AL126" s="1227"/>
    </row>
    <row r="127" spans="1:38">
      <c r="A127" s="2105"/>
      <c r="B127" s="2106"/>
      <c r="C127" s="2106"/>
      <c r="D127" s="2106"/>
      <c r="E127" s="2105"/>
      <c r="F127" s="2106"/>
      <c r="G127" s="2106"/>
      <c r="H127" s="2106"/>
      <c r="I127" s="2105"/>
      <c r="J127" s="2106"/>
      <c r="K127" s="2107"/>
      <c r="L127" s="1505" t="str">
        <f t="shared" si="20"/>
        <v/>
      </c>
      <c r="M127" s="347" t="str">
        <f t="shared" si="21"/>
        <v/>
      </c>
      <c r="N127" s="975"/>
      <c r="O127" s="460"/>
      <c r="P127" s="460"/>
      <c r="Q127" s="460"/>
      <c r="R127" s="460"/>
      <c r="S127" s="33">
        <f t="shared" si="11"/>
        <v>0</v>
      </c>
      <c r="T127" s="983">
        <f t="shared" si="12"/>
        <v>0</v>
      </c>
      <c r="U127" s="975"/>
      <c r="V127" s="460"/>
      <c r="W127" s="460"/>
      <c r="X127" s="460"/>
      <c r="Y127" s="460"/>
      <c r="Z127" s="441">
        <f t="shared" si="13"/>
        <v>0</v>
      </c>
      <c r="AA127" s="974">
        <f t="shared" si="14"/>
        <v>0</v>
      </c>
      <c r="AB127" s="975"/>
      <c r="AC127" s="460"/>
      <c r="AD127" s="460"/>
      <c r="AE127" s="460"/>
      <c r="AF127" s="460"/>
      <c r="AG127" s="442">
        <f t="shared" si="15"/>
        <v>0</v>
      </c>
      <c r="AH127" s="963">
        <f t="shared" si="16"/>
        <v>0</v>
      </c>
      <c r="AI127" s="443">
        <f t="shared" si="17"/>
        <v>0</v>
      </c>
      <c r="AJ127" s="963">
        <f t="shared" si="18"/>
        <v>0</v>
      </c>
      <c r="AK127" s="42" t="str">
        <f t="shared" si="22"/>
        <v/>
      </c>
      <c r="AL127" s="1228"/>
    </row>
    <row r="128" spans="1:38">
      <c r="A128" s="2108"/>
      <c r="B128" s="2109"/>
      <c r="C128" s="2109"/>
      <c r="D128" s="2109"/>
      <c r="E128" s="2108"/>
      <c r="F128" s="2109"/>
      <c r="G128" s="2109"/>
      <c r="H128" s="2109"/>
      <c r="I128" s="2108"/>
      <c r="J128" s="2109"/>
      <c r="K128" s="2110"/>
      <c r="L128" s="1506" t="str">
        <f t="shared" si="20"/>
        <v/>
      </c>
      <c r="M128" s="346" t="str">
        <f t="shared" si="21"/>
        <v/>
      </c>
      <c r="N128" s="973"/>
      <c r="O128" s="459"/>
      <c r="P128" s="459"/>
      <c r="Q128" s="459"/>
      <c r="R128" s="459"/>
      <c r="S128" s="34">
        <f t="shared" si="11"/>
        <v>0</v>
      </c>
      <c r="T128" s="982">
        <f t="shared" si="12"/>
        <v>0</v>
      </c>
      <c r="U128" s="973"/>
      <c r="V128" s="459"/>
      <c r="W128" s="459"/>
      <c r="X128" s="459"/>
      <c r="Y128" s="459"/>
      <c r="Z128" s="437">
        <f t="shared" si="13"/>
        <v>0</v>
      </c>
      <c r="AA128" s="972">
        <f t="shared" si="14"/>
        <v>0</v>
      </c>
      <c r="AB128" s="973"/>
      <c r="AC128" s="459"/>
      <c r="AD128" s="459"/>
      <c r="AE128" s="459"/>
      <c r="AF128" s="459"/>
      <c r="AG128" s="438">
        <f t="shared" si="15"/>
        <v>0</v>
      </c>
      <c r="AH128" s="962">
        <f t="shared" si="16"/>
        <v>0</v>
      </c>
      <c r="AI128" s="439">
        <f t="shared" si="17"/>
        <v>0</v>
      </c>
      <c r="AJ128" s="962">
        <f t="shared" si="18"/>
        <v>0</v>
      </c>
      <c r="AK128" s="43" t="str">
        <f t="shared" si="22"/>
        <v/>
      </c>
      <c r="AL128" s="1227"/>
    </row>
    <row r="129" spans="1:38">
      <c r="A129" s="2105"/>
      <c r="B129" s="2106"/>
      <c r="C129" s="2106"/>
      <c r="D129" s="2106"/>
      <c r="E129" s="2105"/>
      <c r="F129" s="2106"/>
      <c r="G129" s="2106"/>
      <c r="H129" s="2106"/>
      <c r="I129" s="2105"/>
      <c r="J129" s="2106"/>
      <c r="K129" s="2107"/>
      <c r="L129" s="1505" t="str">
        <f t="shared" si="20"/>
        <v/>
      </c>
      <c r="M129" s="347" t="str">
        <f t="shared" si="21"/>
        <v/>
      </c>
      <c r="N129" s="975"/>
      <c r="O129" s="460"/>
      <c r="P129" s="460"/>
      <c r="Q129" s="460"/>
      <c r="R129" s="460"/>
      <c r="S129" s="33">
        <f t="shared" si="11"/>
        <v>0</v>
      </c>
      <c r="T129" s="983">
        <f t="shared" si="12"/>
        <v>0</v>
      </c>
      <c r="U129" s="975"/>
      <c r="V129" s="460"/>
      <c r="W129" s="460"/>
      <c r="X129" s="460"/>
      <c r="Y129" s="460"/>
      <c r="Z129" s="441">
        <f t="shared" si="13"/>
        <v>0</v>
      </c>
      <c r="AA129" s="974">
        <f t="shared" si="14"/>
        <v>0</v>
      </c>
      <c r="AB129" s="975"/>
      <c r="AC129" s="460"/>
      <c r="AD129" s="460"/>
      <c r="AE129" s="460"/>
      <c r="AF129" s="460"/>
      <c r="AG129" s="442">
        <f t="shared" si="15"/>
        <v>0</v>
      </c>
      <c r="AH129" s="963">
        <f t="shared" si="16"/>
        <v>0</v>
      </c>
      <c r="AI129" s="443">
        <f t="shared" si="17"/>
        <v>0</v>
      </c>
      <c r="AJ129" s="963">
        <f t="shared" si="18"/>
        <v>0</v>
      </c>
      <c r="AK129" s="42" t="str">
        <f t="shared" si="22"/>
        <v/>
      </c>
      <c r="AL129" s="1228"/>
    </row>
    <row r="130" spans="1:38">
      <c r="A130" s="2108"/>
      <c r="B130" s="2109"/>
      <c r="C130" s="2109"/>
      <c r="D130" s="2109"/>
      <c r="E130" s="2108"/>
      <c r="F130" s="2109"/>
      <c r="G130" s="2109"/>
      <c r="H130" s="2109"/>
      <c r="I130" s="2108"/>
      <c r="J130" s="2109"/>
      <c r="K130" s="2110"/>
      <c r="L130" s="1506" t="str">
        <f t="shared" si="20"/>
        <v/>
      </c>
      <c r="M130" s="346" t="str">
        <f t="shared" si="21"/>
        <v/>
      </c>
      <c r="N130" s="973"/>
      <c r="O130" s="459"/>
      <c r="P130" s="459"/>
      <c r="Q130" s="459"/>
      <c r="R130" s="459"/>
      <c r="S130" s="34">
        <f t="shared" si="11"/>
        <v>0</v>
      </c>
      <c r="T130" s="982">
        <f t="shared" si="12"/>
        <v>0</v>
      </c>
      <c r="U130" s="973"/>
      <c r="V130" s="459"/>
      <c r="W130" s="459"/>
      <c r="X130" s="459"/>
      <c r="Y130" s="459"/>
      <c r="Z130" s="437">
        <f t="shared" si="13"/>
        <v>0</v>
      </c>
      <c r="AA130" s="972">
        <f t="shared" si="14"/>
        <v>0</v>
      </c>
      <c r="AB130" s="973"/>
      <c r="AC130" s="459"/>
      <c r="AD130" s="459"/>
      <c r="AE130" s="459"/>
      <c r="AF130" s="459"/>
      <c r="AG130" s="438">
        <f t="shared" si="15"/>
        <v>0</v>
      </c>
      <c r="AH130" s="962">
        <f t="shared" si="16"/>
        <v>0</v>
      </c>
      <c r="AI130" s="439">
        <f t="shared" si="17"/>
        <v>0</v>
      </c>
      <c r="AJ130" s="962">
        <f t="shared" si="18"/>
        <v>0</v>
      </c>
      <c r="AK130" s="43" t="str">
        <f t="shared" si="22"/>
        <v/>
      </c>
      <c r="AL130" s="1227"/>
    </row>
    <row r="131" spans="1:38">
      <c r="A131" s="2105"/>
      <c r="B131" s="2106"/>
      <c r="C131" s="2106"/>
      <c r="D131" s="2106"/>
      <c r="E131" s="2105"/>
      <c r="F131" s="2106"/>
      <c r="G131" s="2106"/>
      <c r="H131" s="2106"/>
      <c r="I131" s="2105"/>
      <c r="J131" s="2106"/>
      <c r="K131" s="2107"/>
      <c r="L131" s="1505" t="str">
        <f t="shared" si="20"/>
        <v/>
      </c>
      <c r="M131" s="347" t="str">
        <f t="shared" si="21"/>
        <v/>
      </c>
      <c r="N131" s="975"/>
      <c r="O131" s="460"/>
      <c r="P131" s="460"/>
      <c r="Q131" s="460"/>
      <c r="R131" s="460"/>
      <c r="S131" s="33">
        <f t="shared" si="11"/>
        <v>0</v>
      </c>
      <c r="T131" s="983">
        <f t="shared" si="12"/>
        <v>0</v>
      </c>
      <c r="U131" s="975"/>
      <c r="V131" s="460"/>
      <c r="W131" s="460"/>
      <c r="X131" s="460"/>
      <c r="Y131" s="460"/>
      <c r="Z131" s="441">
        <f t="shared" si="13"/>
        <v>0</v>
      </c>
      <c r="AA131" s="974">
        <f t="shared" si="14"/>
        <v>0</v>
      </c>
      <c r="AB131" s="975"/>
      <c r="AC131" s="460"/>
      <c r="AD131" s="460"/>
      <c r="AE131" s="460"/>
      <c r="AF131" s="460"/>
      <c r="AG131" s="442">
        <f t="shared" si="15"/>
        <v>0</v>
      </c>
      <c r="AH131" s="963">
        <f t="shared" si="16"/>
        <v>0</v>
      </c>
      <c r="AI131" s="443">
        <f t="shared" si="17"/>
        <v>0</v>
      </c>
      <c r="AJ131" s="963">
        <f t="shared" si="18"/>
        <v>0</v>
      </c>
      <c r="AK131" s="42" t="str">
        <f t="shared" si="22"/>
        <v/>
      </c>
      <c r="AL131" s="1228"/>
    </row>
    <row r="132" spans="1:38">
      <c r="A132" s="2108"/>
      <c r="B132" s="2109"/>
      <c r="C132" s="2109"/>
      <c r="D132" s="2109"/>
      <c r="E132" s="2108"/>
      <c r="F132" s="2109"/>
      <c r="G132" s="2109"/>
      <c r="H132" s="2109"/>
      <c r="I132" s="2108"/>
      <c r="J132" s="2109"/>
      <c r="K132" s="2110"/>
      <c r="L132" s="1506" t="str">
        <f t="shared" si="20"/>
        <v/>
      </c>
      <c r="M132" s="346" t="str">
        <f t="shared" si="21"/>
        <v/>
      </c>
      <c r="N132" s="973"/>
      <c r="O132" s="459"/>
      <c r="P132" s="459"/>
      <c r="Q132" s="459"/>
      <c r="R132" s="459"/>
      <c r="S132" s="34">
        <f t="shared" si="11"/>
        <v>0</v>
      </c>
      <c r="T132" s="982">
        <f t="shared" si="12"/>
        <v>0</v>
      </c>
      <c r="U132" s="973"/>
      <c r="V132" s="459"/>
      <c r="W132" s="459"/>
      <c r="X132" s="459"/>
      <c r="Y132" s="459"/>
      <c r="Z132" s="437">
        <f t="shared" si="13"/>
        <v>0</v>
      </c>
      <c r="AA132" s="972">
        <f t="shared" si="14"/>
        <v>0</v>
      </c>
      <c r="AB132" s="973"/>
      <c r="AC132" s="459"/>
      <c r="AD132" s="459"/>
      <c r="AE132" s="459"/>
      <c r="AF132" s="459"/>
      <c r="AG132" s="438">
        <f t="shared" si="15"/>
        <v>0</v>
      </c>
      <c r="AH132" s="962">
        <f t="shared" si="16"/>
        <v>0</v>
      </c>
      <c r="AI132" s="439">
        <f t="shared" si="17"/>
        <v>0</v>
      </c>
      <c r="AJ132" s="962">
        <f t="shared" si="18"/>
        <v>0</v>
      </c>
      <c r="AK132" s="43" t="str">
        <f t="shared" si="22"/>
        <v/>
      </c>
      <c r="AL132" s="1227"/>
    </row>
    <row r="133" spans="1:38">
      <c r="A133" s="2105"/>
      <c r="B133" s="2106"/>
      <c r="C133" s="2106"/>
      <c r="D133" s="2106"/>
      <c r="E133" s="2105"/>
      <c r="F133" s="2106"/>
      <c r="G133" s="2106"/>
      <c r="H133" s="2106"/>
      <c r="I133" s="2105"/>
      <c r="J133" s="2106"/>
      <c r="K133" s="2107"/>
      <c r="L133" s="1505" t="str">
        <f t="shared" si="20"/>
        <v/>
      </c>
      <c r="M133" s="347" t="str">
        <f t="shared" si="21"/>
        <v/>
      </c>
      <c r="N133" s="975"/>
      <c r="O133" s="460"/>
      <c r="P133" s="460"/>
      <c r="Q133" s="460"/>
      <c r="R133" s="460"/>
      <c r="S133" s="33">
        <f t="shared" si="11"/>
        <v>0</v>
      </c>
      <c r="T133" s="983">
        <f t="shared" si="12"/>
        <v>0</v>
      </c>
      <c r="U133" s="975"/>
      <c r="V133" s="460"/>
      <c r="W133" s="460"/>
      <c r="X133" s="460"/>
      <c r="Y133" s="460"/>
      <c r="Z133" s="441">
        <f t="shared" si="13"/>
        <v>0</v>
      </c>
      <c r="AA133" s="974">
        <f t="shared" si="14"/>
        <v>0</v>
      </c>
      <c r="AB133" s="975"/>
      <c r="AC133" s="460"/>
      <c r="AD133" s="460"/>
      <c r="AE133" s="460"/>
      <c r="AF133" s="460"/>
      <c r="AG133" s="442">
        <f t="shared" si="15"/>
        <v>0</v>
      </c>
      <c r="AH133" s="963">
        <f t="shared" si="16"/>
        <v>0</v>
      </c>
      <c r="AI133" s="443">
        <f t="shared" si="17"/>
        <v>0</v>
      </c>
      <c r="AJ133" s="963">
        <f t="shared" si="18"/>
        <v>0</v>
      </c>
      <c r="AK133" s="42" t="str">
        <f t="shared" si="22"/>
        <v/>
      </c>
      <c r="AL133" s="1228"/>
    </row>
    <row r="134" spans="1:38">
      <c r="A134" s="2108"/>
      <c r="B134" s="2109"/>
      <c r="C134" s="2109"/>
      <c r="D134" s="2109"/>
      <c r="E134" s="2108"/>
      <c r="F134" s="2109"/>
      <c r="G134" s="2109"/>
      <c r="H134" s="2109"/>
      <c r="I134" s="2108"/>
      <c r="J134" s="2109"/>
      <c r="K134" s="2110"/>
      <c r="L134" s="1506" t="str">
        <f t="shared" si="20"/>
        <v/>
      </c>
      <c r="M134" s="346" t="str">
        <f t="shared" si="21"/>
        <v/>
      </c>
      <c r="N134" s="973"/>
      <c r="O134" s="459"/>
      <c r="P134" s="459"/>
      <c r="Q134" s="459"/>
      <c r="R134" s="459"/>
      <c r="S134" s="34">
        <f t="shared" si="11"/>
        <v>0</v>
      </c>
      <c r="T134" s="982">
        <f t="shared" si="12"/>
        <v>0</v>
      </c>
      <c r="U134" s="973"/>
      <c r="V134" s="459"/>
      <c r="W134" s="459"/>
      <c r="X134" s="459"/>
      <c r="Y134" s="459"/>
      <c r="Z134" s="437">
        <f t="shared" si="13"/>
        <v>0</v>
      </c>
      <c r="AA134" s="972">
        <f t="shared" si="14"/>
        <v>0</v>
      </c>
      <c r="AB134" s="973"/>
      <c r="AC134" s="459"/>
      <c r="AD134" s="459"/>
      <c r="AE134" s="459"/>
      <c r="AF134" s="459"/>
      <c r="AG134" s="438">
        <f t="shared" si="15"/>
        <v>0</v>
      </c>
      <c r="AH134" s="962">
        <f t="shared" si="16"/>
        <v>0</v>
      </c>
      <c r="AI134" s="439">
        <f t="shared" si="17"/>
        <v>0</v>
      </c>
      <c r="AJ134" s="962">
        <f t="shared" si="18"/>
        <v>0</v>
      </c>
      <c r="AK134" s="43" t="str">
        <f t="shared" si="22"/>
        <v/>
      </c>
      <c r="AL134" s="1227"/>
    </row>
    <row r="135" spans="1:38">
      <c r="A135" s="2105"/>
      <c r="B135" s="2106"/>
      <c r="C135" s="2106"/>
      <c r="D135" s="2106"/>
      <c r="E135" s="2105"/>
      <c r="F135" s="2106"/>
      <c r="G135" s="2106"/>
      <c r="H135" s="2106"/>
      <c r="I135" s="2105"/>
      <c r="J135" s="2106"/>
      <c r="K135" s="2107"/>
      <c r="L135" s="1505" t="str">
        <f t="shared" si="20"/>
        <v/>
      </c>
      <c r="M135" s="347" t="str">
        <f t="shared" si="21"/>
        <v/>
      </c>
      <c r="N135" s="975"/>
      <c r="O135" s="460"/>
      <c r="P135" s="460"/>
      <c r="Q135" s="460"/>
      <c r="R135" s="460"/>
      <c r="S135" s="33">
        <f t="shared" si="11"/>
        <v>0</v>
      </c>
      <c r="T135" s="983">
        <f t="shared" si="12"/>
        <v>0</v>
      </c>
      <c r="U135" s="975"/>
      <c r="V135" s="460"/>
      <c r="W135" s="460"/>
      <c r="X135" s="460"/>
      <c r="Y135" s="460"/>
      <c r="Z135" s="441">
        <f t="shared" si="13"/>
        <v>0</v>
      </c>
      <c r="AA135" s="974">
        <f t="shared" si="14"/>
        <v>0</v>
      </c>
      <c r="AB135" s="975"/>
      <c r="AC135" s="460"/>
      <c r="AD135" s="460"/>
      <c r="AE135" s="460"/>
      <c r="AF135" s="460"/>
      <c r="AG135" s="442">
        <f t="shared" si="15"/>
        <v>0</v>
      </c>
      <c r="AH135" s="963">
        <f t="shared" si="16"/>
        <v>0</v>
      </c>
      <c r="AI135" s="443">
        <f t="shared" si="17"/>
        <v>0</v>
      </c>
      <c r="AJ135" s="963">
        <f t="shared" si="18"/>
        <v>0</v>
      </c>
      <c r="AK135" s="42" t="str">
        <f t="shared" si="22"/>
        <v/>
      </c>
      <c r="AL135" s="1228"/>
    </row>
    <row r="136" spans="1:38" hidden="1">
      <c r="A136" s="2108"/>
      <c r="B136" s="2109"/>
      <c r="C136" s="2109"/>
      <c r="D136" s="2109"/>
      <c r="E136" s="2108"/>
      <c r="F136" s="2109"/>
      <c r="G136" s="2109"/>
      <c r="H136" s="2109"/>
      <c r="I136" s="2108"/>
      <c r="J136" s="2109"/>
      <c r="K136" s="2110"/>
      <c r="L136" s="1506" t="str">
        <f t="shared" si="20"/>
        <v/>
      </c>
      <c r="M136" s="346" t="str">
        <f t="shared" si="21"/>
        <v/>
      </c>
      <c r="N136" s="973"/>
      <c r="O136" s="459"/>
      <c r="P136" s="459"/>
      <c r="Q136" s="459"/>
      <c r="R136" s="459"/>
      <c r="S136" s="34">
        <f t="shared" si="11"/>
        <v>0</v>
      </c>
      <c r="T136" s="982">
        <f t="shared" si="12"/>
        <v>0</v>
      </c>
      <c r="U136" s="973"/>
      <c r="V136" s="459"/>
      <c r="W136" s="459"/>
      <c r="X136" s="459"/>
      <c r="Y136" s="459"/>
      <c r="Z136" s="437">
        <f t="shared" si="13"/>
        <v>0</v>
      </c>
      <c r="AA136" s="972">
        <f t="shared" si="14"/>
        <v>0</v>
      </c>
      <c r="AB136" s="973"/>
      <c r="AC136" s="459"/>
      <c r="AD136" s="459"/>
      <c r="AE136" s="459"/>
      <c r="AF136" s="459"/>
      <c r="AG136" s="438">
        <f t="shared" si="15"/>
        <v>0</v>
      </c>
      <c r="AH136" s="962">
        <f t="shared" si="16"/>
        <v>0</v>
      </c>
      <c r="AI136" s="439">
        <f t="shared" si="17"/>
        <v>0</v>
      </c>
      <c r="AJ136" s="962">
        <f t="shared" si="18"/>
        <v>0</v>
      </c>
      <c r="AK136" s="43" t="str">
        <f t="shared" si="22"/>
        <v/>
      </c>
      <c r="AL136" s="1227"/>
    </row>
    <row r="137" spans="1:38" hidden="1">
      <c r="A137" s="2105"/>
      <c r="B137" s="2106"/>
      <c r="C137" s="2106"/>
      <c r="D137" s="2106"/>
      <c r="E137" s="2105"/>
      <c r="F137" s="2106"/>
      <c r="G137" s="2106"/>
      <c r="H137" s="2106"/>
      <c r="I137" s="2105"/>
      <c r="J137" s="2106"/>
      <c r="K137" s="2107"/>
      <c r="L137" s="1505" t="str">
        <f t="shared" si="20"/>
        <v/>
      </c>
      <c r="M137" s="347" t="str">
        <f t="shared" si="21"/>
        <v/>
      </c>
      <c r="N137" s="975"/>
      <c r="O137" s="460"/>
      <c r="P137" s="460"/>
      <c r="Q137" s="460"/>
      <c r="R137" s="460"/>
      <c r="S137" s="33">
        <f t="shared" si="11"/>
        <v>0</v>
      </c>
      <c r="T137" s="983">
        <f t="shared" si="12"/>
        <v>0</v>
      </c>
      <c r="U137" s="975"/>
      <c r="V137" s="460"/>
      <c r="W137" s="460"/>
      <c r="X137" s="460"/>
      <c r="Y137" s="460"/>
      <c r="Z137" s="441">
        <f t="shared" si="13"/>
        <v>0</v>
      </c>
      <c r="AA137" s="974">
        <f t="shared" si="14"/>
        <v>0</v>
      </c>
      <c r="AB137" s="975"/>
      <c r="AC137" s="460"/>
      <c r="AD137" s="460"/>
      <c r="AE137" s="460"/>
      <c r="AF137" s="460"/>
      <c r="AG137" s="442">
        <f t="shared" si="15"/>
        <v>0</v>
      </c>
      <c r="AH137" s="963">
        <f t="shared" si="16"/>
        <v>0</v>
      </c>
      <c r="AI137" s="443">
        <f t="shared" si="17"/>
        <v>0</v>
      </c>
      <c r="AJ137" s="963">
        <f t="shared" si="18"/>
        <v>0</v>
      </c>
      <c r="AK137" s="42" t="str">
        <f t="shared" si="22"/>
        <v/>
      </c>
      <c r="AL137" s="1228"/>
    </row>
    <row r="138" spans="1:38" hidden="1">
      <c r="A138" s="2108"/>
      <c r="B138" s="2109"/>
      <c r="C138" s="2109"/>
      <c r="D138" s="2109"/>
      <c r="E138" s="2108"/>
      <c r="F138" s="2109"/>
      <c r="G138" s="2109"/>
      <c r="H138" s="2109"/>
      <c r="I138" s="2108"/>
      <c r="J138" s="2109"/>
      <c r="K138" s="2110"/>
      <c r="L138" s="1506" t="str">
        <f t="shared" si="20"/>
        <v/>
      </c>
      <c r="M138" s="346" t="str">
        <f t="shared" si="21"/>
        <v/>
      </c>
      <c r="N138" s="973"/>
      <c r="O138" s="459"/>
      <c r="P138" s="459"/>
      <c r="Q138" s="459"/>
      <c r="R138" s="459"/>
      <c r="S138" s="34">
        <f t="shared" si="11"/>
        <v>0</v>
      </c>
      <c r="T138" s="982">
        <f t="shared" si="12"/>
        <v>0</v>
      </c>
      <c r="U138" s="973"/>
      <c r="V138" s="459"/>
      <c r="W138" s="459"/>
      <c r="X138" s="459"/>
      <c r="Y138" s="459"/>
      <c r="Z138" s="437">
        <f t="shared" si="13"/>
        <v>0</v>
      </c>
      <c r="AA138" s="972">
        <f t="shared" si="14"/>
        <v>0</v>
      </c>
      <c r="AB138" s="973"/>
      <c r="AC138" s="459"/>
      <c r="AD138" s="459"/>
      <c r="AE138" s="459"/>
      <c r="AF138" s="459"/>
      <c r="AG138" s="438">
        <f t="shared" si="15"/>
        <v>0</v>
      </c>
      <c r="AH138" s="962">
        <f t="shared" si="16"/>
        <v>0</v>
      </c>
      <c r="AI138" s="439">
        <f t="shared" si="17"/>
        <v>0</v>
      </c>
      <c r="AJ138" s="962">
        <f t="shared" si="18"/>
        <v>0</v>
      </c>
      <c r="AK138" s="43" t="str">
        <f t="shared" si="22"/>
        <v/>
      </c>
      <c r="AL138" s="1227"/>
    </row>
    <row r="139" spans="1:38" hidden="1">
      <c r="A139" s="2105"/>
      <c r="B139" s="2106"/>
      <c r="C139" s="2106"/>
      <c r="D139" s="2106"/>
      <c r="E139" s="2105"/>
      <c r="F139" s="2106"/>
      <c r="G139" s="2106"/>
      <c r="H139" s="2106"/>
      <c r="I139" s="2105"/>
      <c r="J139" s="2106"/>
      <c r="K139" s="2107"/>
      <c r="L139" s="1505" t="str">
        <f t="shared" si="20"/>
        <v/>
      </c>
      <c r="M139" s="347" t="str">
        <f t="shared" si="21"/>
        <v/>
      </c>
      <c r="N139" s="975"/>
      <c r="O139" s="460"/>
      <c r="P139" s="460"/>
      <c r="Q139" s="460"/>
      <c r="R139" s="460"/>
      <c r="S139" s="33">
        <f t="shared" si="11"/>
        <v>0</v>
      </c>
      <c r="T139" s="983">
        <f t="shared" si="12"/>
        <v>0</v>
      </c>
      <c r="U139" s="975"/>
      <c r="V139" s="460"/>
      <c r="W139" s="460"/>
      <c r="X139" s="460"/>
      <c r="Y139" s="460"/>
      <c r="Z139" s="441">
        <f t="shared" si="13"/>
        <v>0</v>
      </c>
      <c r="AA139" s="974">
        <f t="shared" si="14"/>
        <v>0</v>
      </c>
      <c r="AB139" s="975"/>
      <c r="AC139" s="460"/>
      <c r="AD139" s="460"/>
      <c r="AE139" s="460"/>
      <c r="AF139" s="460"/>
      <c r="AG139" s="442">
        <f t="shared" si="15"/>
        <v>0</v>
      </c>
      <c r="AH139" s="963">
        <f t="shared" si="16"/>
        <v>0</v>
      </c>
      <c r="AI139" s="443">
        <f t="shared" si="17"/>
        <v>0</v>
      </c>
      <c r="AJ139" s="963">
        <f t="shared" si="18"/>
        <v>0</v>
      </c>
      <c r="AK139" s="42" t="str">
        <f t="shared" si="22"/>
        <v/>
      </c>
      <c r="AL139" s="1228"/>
    </row>
    <row r="140" spans="1:38" hidden="1">
      <c r="A140" s="2108"/>
      <c r="B140" s="2109"/>
      <c r="C140" s="2109"/>
      <c r="D140" s="2109"/>
      <c r="E140" s="2108"/>
      <c r="F140" s="2109"/>
      <c r="G140" s="2109"/>
      <c r="H140" s="2109"/>
      <c r="I140" s="2108"/>
      <c r="J140" s="2109"/>
      <c r="K140" s="2110"/>
      <c r="L140" s="1506" t="str">
        <f t="shared" si="20"/>
        <v/>
      </c>
      <c r="M140" s="346" t="str">
        <f t="shared" si="21"/>
        <v/>
      </c>
      <c r="N140" s="973"/>
      <c r="O140" s="459"/>
      <c r="P140" s="459"/>
      <c r="Q140" s="459"/>
      <c r="R140" s="459"/>
      <c r="S140" s="34">
        <f t="shared" si="11"/>
        <v>0</v>
      </c>
      <c r="T140" s="982">
        <f t="shared" si="12"/>
        <v>0</v>
      </c>
      <c r="U140" s="973"/>
      <c r="V140" s="459"/>
      <c r="W140" s="459"/>
      <c r="X140" s="459"/>
      <c r="Y140" s="459"/>
      <c r="Z140" s="437">
        <f t="shared" si="13"/>
        <v>0</v>
      </c>
      <c r="AA140" s="972">
        <f t="shared" si="14"/>
        <v>0</v>
      </c>
      <c r="AB140" s="973"/>
      <c r="AC140" s="459"/>
      <c r="AD140" s="459"/>
      <c r="AE140" s="459"/>
      <c r="AF140" s="459"/>
      <c r="AG140" s="438">
        <f t="shared" si="15"/>
        <v>0</v>
      </c>
      <c r="AH140" s="962">
        <f t="shared" si="16"/>
        <v>0</v>
      </c>
      <c r="AI140" s="439">
        <f t="shared" si="17"/>
        <v>0</v>
      </c>
      <c r="AJ140" s="962">
        <f t="shared" si="18"/>
        <v>0</v>
      </c>
      <c r="AK140" s="43" t="str">
        <f t="shared" si="22"/>
        <v/>
      </c>
      <c r="AL140" s="1227"/>
    </row>
    <row r="141" spans="1:38" hidden="1">
      <c r="A141" s="2105"/>
      <c r="B141" s="2106"/>
      <c r="C141" s="2106"/>
      <c r="D141" s="2106"/>
      <c r="E141" s="2105"/>
      <c r="F141" s="2106"/>
      <c r="G141" s="2106"/>
      <c r="H141" s="2106"/>
      <c r="I141" s="2105"/>
      <c r="J141" s="2106"/>
      <c r="K141" s="2107"/>
      <c r="L141" s="1505" t="str">
        <f t="shared" si="20"/>
        <v/>
      </c>
      <c r="M141" s="347" t="str">
        <f t="shared" si="21"/>
        <v/>
      </c>
      <c r="N141" s="975"/>
      <c r="O141" s="460"/>
      <c r="P141" s="460"/>
      <c r="Q141" s="460"/>
      <c r="R141" s="460"/>
      <c r="S141" s="33">
        <f t="shared" si="11"/>
        <v>0</v>
      </c>
      <c r="T141" s="983">
        <f t="shared" si="12"/>
        <v>0</v>
      </c>
      <c r="U141" s="975"/>
      <c r="V141" s="460"/>
      <c r="W141" s="460"/>
      <c r="X141" s="460"/>
      <c r="Y141" s="460"/>
      <c r="Z141" s="441">
        <f t="shared" si="13"/>
        <v>0</v>
      </c>
      <c r="AA141" s="974">
        <f t="shared" si="14"/>
        <v>0</v>
      </c>
      <c r="AB141" s="975"/>
      <c r="AC141" s="460"/>
      <c r="AD141" s="460"/>
      <c r="AE141" s="460"/>
      <c r="AF141" s="460"/>
      <c r="AG141" s="442">
        <f t="shared" si="15"/>
        <v>0</v>
      </c>
      <c r="AH141" s="963">
        <f t="shared" si="16"/>
        <v>0</v>
      </c>
      <c r="AI141" s="443">
        <f t="shared" si="17"/>
        <v>0</v>
      </c>
      <c r="AJ141" s="963">
        <f t="shared" si="18"/>
        <v>0</v>
      </c>
      <c r="AK141" s="42" t="str">
        <f t="shared" si="22"/>
        <v/>
      </c>
      <c r="AL141" s="1228"/>
    </row>
    <row r="142" spans="1:38" hidden="1">
      <c r="A142" s="2108"/>
      <c r="B142" s="2109"/>
      <c r="C142" s="2109"/>
      <c r="D142" s="2109"/>
      <c r="E142" s="2108"/>
      <c r="F142" s="2109"/>
      <c r="G142" s="2109"/>
      <c r="H142" s="2109"/>
      <c r="I142" s="2108"/>
      <c r="J142" s="2109"/>
      <c r="K142" s="2110"/>
      <c r="L142" s="1506" t="str">
        <f t="shared" si="20"/>
        <v/>
      </c>
      <c r="M142" s="346" t="str">
        <f t="shared" si="21"/>
        <v/>
      </c>
      <c r="N142" s="973"/>
      <c r="O142" s="459"/>
      <c r="P142" s="459"/>
      <c r="Q142" s="459"/>
      <c r="R142" s="459"/>
      <c r="S142" s="34">
        <f t="shared" si="11"/>
        <v>0</v>
      </c>
      <c r="T142" s="982">
        <f t="shared" si="12"/>
        <v>0</v>
      </c>
      <c r="U142" s="973"/>
      <c r="V142" s="459"/>
      <c r="W142" s="459"/>
      <c r="X142" s="459"/>
      <c r="Y142" s="459"/>
      <c r="Z142" s="437">
        <f t="shared" si="13"/>
        <v>0</v>
      </c>
      <c r="AA142" s="972">
        <f t="shared" si="14"/>
        <v>0</v>
      </c>
      <c r="AB142" s="973"/>
      <c r="AC142" s="459"/>
      <c r="AD142" s="459"/>
      <c r="AE142" s="459"/>
      <c r="AF142" s="459"/>
      <c r="AG142" s="438">
        <f t="shared" si="15"/>
        <v>0</v>
      </c>
      <c r="AH142" s="962">
        <f t="shared" si="16"/>
        <v>0</v>
      </c>
      <c r="AI142" s="439">
        <f t="shared" si="17"/>
        <v>0</v>
      </c>
      <c r="AJ142" s="962">
        <f t="shared" si="18"/>
        <v>0</v>
      </c>
      <c r="AK142" s="43" t="str">
        <f t="shared" si="22"/>
        <v/>
      </c>
      <c r="AL142" s="1227"/>
    </row>
    <row r="143" spans="1:38" hidden="1">
      <c r="A143" s="2105"/>
      <c r="B143" s="2106"/>
      <c r="C143" s="2106"/>
      <c r="D143" s="2106"/>
      <c r="E143" s="2105"/>
      <c r="F143" s="2106"/>
      <c r="G143" s="2106"/>
      <c r="H143" s="2106"/>
      <c r="I143" s="2105"/>
      <c r="J143" s="2106"/>
      <c r="K143" s="2107"/>
      <c r="L143" s="1505" t="str">
        <f t="shared" si="20"/>
        <v/>
      </c>
      <c r="M143" s="347" t="str">
        <f t="shared" si="21"/>
        <v/>
      </c>
      <c r="N143" s="975"/>
      <c r="O143" s="460"/>
      <c r="P143" s="460"/>
      <c r="Q143" s="460"/>
      <c r="R143" s="460"/>
      <c r="S143" s="33">
        <f t="shared" si="11"/>
        <v>0</v>
      </c>
      <c r="T143" s="983">
        <f t="shared" si="12"/>
        <v>0</v>
      </c>
      <c r="U143" s="975"/>
      <c r="V143" s="460"/>
      <c r="W143" s="460"/>
      <c r="X143" s="460"/>
      <c r="Y143" s="460"/>
      <c r="Z143" s="441">
        <f t="shared" si="13"/>
        <v>0</v>
      </c>
      <c r="AA143" s="974">
        <f t="shared" si="14"/>
        <v>0</v>
      </c>
      <c r="AB143" s="975"/>
      <c r="AC143" s="460"/>
      <c r="AD143" s="460"/>
      <c r="AE143" s="460"/>
      <c r="AF143" s="460"/>
      <c r="AG143" s="442">
        <f t="shared" si="15"/>
        <v>0</v>
      </c>
      <c r="AH143" s="963">
        <f t="shared" si="16"/>
        <v>0</v>
      </c>
      <c r="AI143" s="443">
        <f t="shared" si="17"/>
        <v>0</v>
      </c>
      <c r="AJ143" s="963">
        <f t="shared" si="18"/>
        <v>0</v>
      </c>
      <c r="AK143" s="42" t="str">
        <f t="shared" si="22"/>
        <v/>
      </c>
      <c r="AL143" s="1228"/>
    </row>
    <row r="144" spans="1:38" hidden="1">
      <c r="A144" s="2108"/>
      <c r="B144" s="2109"/>
      <c r="C144" s="2109"/>
      <c r="D144" s="2109"/>
      <c r="E144" s="2108"/>
      <c r="F144" s="2109"/>
      <c r="G144" s="2109"/>
      <c r="H144" s="2109"/>
      <c r="I144" s="2108"/>
      <c r="J144" s="2109"/>
      <c r="K144" s="2110"/>
      <c r="L144" s="1506" t="str">
        <f t="shared" si="20"/>
        <v/>
      </c>
      <c r="M144" s="346" t="str">
        <f t="shared" si="21"/>
        <v/>
      </c>
      <c r="N144" s="973"/>
      <c r="O144" s="459"/>
      <c r="P144" s="459"/>
      <c r="Q144" s="459"/>
      <c r="R144" s="459"/>
      <c r="S144" s="34">
        <f t="shared" si="11"/>
        <v>0</v>
      </c>
      <c r="T144" s="982">
        <f t="shared" si="12"/>
        <v>0</v>
      </c>
      <c r="U144" s="973"/>
      <c r="V144" s="459"/>
      <c r="W144" s="459"/>
      <c r="X144" s="459"/>
      <c r="Y144" s="459"/>
      <c r="Z144" s="437">
        <f t="shared" si="13"/>
        <v>0</v>
      </c>
      <c r="AA144" s="972">
        <f t="shared" si="14"/>
        <v>0</v>
      </c>
      <c r="AB144" s="973"/>
      <c r="AC144" s="459"/>
      <c r="AD144" s="459"/>
      <c r="AE144" s="459"/>
      <c r="AF144" s="459"/>
      <c r="AG144" s="438">
        <f t="shared" si="15"/>
        <v>0</v>
      </c>
      <c r="AH144" s="962">
        <f t="shared" si="16"/>
        <v>0</v>
      </c>
      <c r="AI144" s="439">
        <f t="shared" si="17"/>
        <v>0</v>
      </c>
      <c r="AJ144" s="962">
        <f t="shared" si="18"/>
        <v>0</v>
      </c>
      <c r="AK144" s="43" t="str">
        <f t="shared" si="22"/>
        <v/>
      </c>
      <c r="AL144" s="1227"/>
    </row>
    <row r="145" spans="1:38" hidden="1">
      <c r="A145" s="2105"/>
      <c r="B145" s="2106"/>
      <c r="C145" s="2106"/>
      <c r="D145" s="2106"/>
      <c r="E145" s="2105"/>
      <c r="F145" s="2106"/>
      <c r="G145" s="2106"/>
      <c r="H145" s="2106"/>
      <c r="I145" s="2105"/>
      <c r="J145" s="2106"/>
      <c r="K145" s="2107"/>
      <c r="L145" s="1505" t="str">
        <f t="shared" si="20"/>
        <v/>
      </c>
      <c r="M145" s="347" t="str">
        <f t="shared" si="21"/>
        <v/>
      </c>
      <c r="N145" s="977"/>
      <c r="O145" s="461"/>
      <c r="P145" s="461"/>
      <c r="Q145" s="461"/>
      <c r="R145" s="461"/>
      <c r="S145" s="445">
        <f t="shared" si="11"/>
        <v>0</v>
      </c>
      <c r="T145" s="984">
        <f t="shared" si="12"/>
        <v>0</v>
      </c>
      <c r="U145" s="977"/>
      <c r="V145" s="461"/>
      <c r="W145" s="461"/>
      <c r="X145" s="461"/>
      <c r="Y145" s="461"/>
      <c r="Z145" s="446">
        <f t="shared" si="13"/>
        <v>0</v>
      </c>
      <c r="AA145" s="976">
        <f t="shared" si="14"/>
        <v>0</v>
      </c>
      <c r="AB145" s="977"/>
      <c r="AC145" s="461"/>
      <c r="AD145" s="461"/>
      <c r="AE145" s="461"/>
      <c r="AF145" s="461"/>
      <c r="AG145" s="447">
        <f t="shared" si="15"/>
        <v>0</v>
      </c>
      <c r="AH145" s="964">
        <f t="shared" si="16"/>
        <v>0</v>
      </c>
      <c r="AI145" s="448">
        <f t="shared" si="17"/>
        <v>0</v>
      </c>
      <c r="AJ145" s="964">
        <f t="shared" si="18"/>
        <v>0</v>
      </c>
      <c r="AK145" s="456" t="str">
        <f t="shared" si="22"/>
        <v/>
      </c>
      <c r="AL145" s="1229"/>
    </row>
    <row r="146" spans="1:38" hidden="1">
      <c r="A146" s="2108"/>
      <c r="B146" s="2109"/>
      <c r="C146" s="2109"/>
      <c r="D146" s="2109"/>
      <c r="E146" s="2108"/>
      <c r="F146" s="2109"/>
      <c r="G146" s="2109"/>
      <c r="H146" s="2109"/>
      <c r="I146" s="2108"/>
      <c r="J146" s="2109"/>
      <c r="K146" s="2110"/>
      <c r="L146" s="1506" t="str">
        <f t="shared" si="20"/>
        <v/>
      </c>
      <c r="M146" s="346" t="str">
        <f t="shared" si="21"/>
        <v/>
      </c>
      <c r="N146" s="973"/>
      <c r="O146" s="459"/>
      <c r="P146" s="459"/>
      <c r="Q146" s="459"/>
      <c r="R146" s="459"/>
      <c r="S146" s="34">
        <f t="shared" si="11"/>
        <v>0</v>
      </c>
      <c r="T146" s="982">
        <f t="shared" si="12"/>
        <v>0</v>
      </c>
      <c r="U146" s="973"/>
      <c r="V146" s="459"/>
      <c r="W146" s="459"/>
      <c r="X146" s="459"/>
      <c r="Y146" s="459"/>
      <c r="Z146" s="437">
        <f t="shared" si="13"/>
        <v>0</v>
      </c>
      <c r="AA146" s="972">
        <f t="shared" si="14"/>
        <v>0</v>
      </c>
      <c r="AB146" s="973"/>
      <c r="AC146" s="459"/>
      <c r="AD146" s="459"/>
      <c r="AE146" s="459"/>
      <c r="AF146" s="459"/>
      <c r="AG146" s="438">
        <f t="shared" si="15"/>
        <v>0</v>
      </c>
      <c r="AH146" s="962">
        <f t="shared" si="16"/>
        <v>0</v>
      </c>
      <c r="AI146" s="439">
        <f t="shared" si="17"/>
        <v>0</v>
      </c>
      <c r="AJ146" s="962">
        <f t="shared" si="18"/>
        <v>0</v>
      </c>
      <c r="AK146" s="457" t="str">
        <f t="shared" si="22"/>
        <v/>
      </c>
      <c r="AL146" s="1230"/>
    </row>
    <row r="147" spans="1:38" hidden="1">
      <c r="A147" s="2105"/>
      <c r="B147" s="2106"/>
      <c r="C147" s="2106"/>
      <c r="D147" s="2106"/>
      <c r="E147" s="2105"/>
      <c r="F147" s="2106"/>
      <c r="G147" s="2106"/>
      <c r="H147" s="2106"/>
      <c r="I147" s="2105"/>
      <c r="J147" s="2106"/>
      <c r="K147" s="2107"/>
      <c r="L147" s="1505" t="str">
        <f t="shared" si="20"/>
        <v/>
      </c>
      <c r="M147" s="347" t="str">
        <f t="shared" si="21"/>
        <v/>
      </c>
      <c r="N147" s="977"/>
      <c r="O147" s="461"/>
      <c r="P147" s="461"/>
      <c r="Q147" s="461"/>
      <c r="R147" s="461"/>
      <c r="S147" s="445">
        <f t="shared" si="11"/>
        <v>0</v>
      </c>
      <c r="T147" s="984">
        <f t="shared" si="12"/>
        <v>0</v>
      </c>
      <c r="U147" s="977"/>
      <c r="V147" s="461"/>
      <c r="W147" s="461"/>
      <c r="X147" s="461"/>
      <c r="Y147" s="461"/>
      <c r="Z147" s="446">
        <f t="shared" si="13"/>
        <v>0</v>
      </c>
      <c r="AA147" s="976">
        <f t="shared" si="14"/>
        <v>0</v>
      </c>
      <c r="AB147" s="977"/>
      <c r="AC147" s="461"/>
      <c r="AD147" s="461"/>
      <c r="AE147" s="461"/>
      <c r="AF147" s="461"/>
      <c r="AG147" s="447">
        <f t="shared" si="15"/>
        <v>0</v>
      </c>
      <c r="AH147" s="964">
        <f t="shared" si="16"/>
        <v>0</v>
      </c>
      <c r="AI147" s="448">
        <f t="shared" si="17"/>
        <v>0</v>
      </c>
      <c r="AJ147" s="964">
        <f t="shared" si="18"/>
        <v>0</v>
      </c>
      <c r="AK147" s="456" t="str">
        <f t="shared" si="22"/>
        <v/>
      </c>
      <c r="AL147" s="1229"/>
    </row>
    <row r="148" spans="1:38" hidden="1">
      <c r="A148" s="2108"/>
      <c r="B148" s="2109"/>
      <c r="C148" s="2109"/>
      <c r="D148" s="2109"/>
      <c r="E148" s="2108"/>
      <c r="F148" s="2109"/>
      <c r="G148" s="2109"/>
      <c r="H148" s="2109"/>
      <c r="I148" s="2108"/>
      <c r="J148" s="2109"/>
      <c r="K148" s="2110"/>
      <c r="L148" s="1506" t="str">
        <f t="shared" si="20"/>
        <v/>
      </c>
      <c r="M148" s="346" t="str">
        <f t="shared" si="21"/>
        <v/>
      </c>
      <c r="N148" s="973"/>
      <c r="O148" s="459"/>
      <c r="P148" s="459"/>
      <c r="Q148" s="459"/>
      <c r="R148" s="459"/>
      <c r="S148" s="34">
        <f t="shared" si="11"/>
        <v>0</v>
      </c>
      <c r="T148" s="982">
        <f t="shared" si="12"/>
        <v>0</v>
      </c>
      <c r="U148" s="973"/>
      <c r="V148" s="459"/>
      <c r="W148" s="459"/>
      <c r="X148" s="459"/>
      <c r="Y148" s="459"/>
      <c r="Z148" s="437">
        <f t="shared" si="13"/>
        <v>0</v>
      </c>
      <c r="AA148" s="972">
        <f t="shared" si="14"/>
        <v>0</v>
      </c>
      <c r="AB148" s="973"/>
      <c r="AC148" s="459"/>
      <c r="AD148" s="459"/>
      <c r="AE148" s="459"/>
      <c r="AF148" s="459"/>
      <c r="AG148" s="438">
        <f t="shared" si="15"/>
        <v>0</v>
      </c>
      <c r="AH148" s="962">
        <f t="shared" si="16"/>
        <v>0</v>
      </c>
      <c r="AI148" s="439">
        <f t="shared" si="17"/>
        <v>0</v>
      </c>
      <c r="AJ148" s="962">
        <f t="shared" si="18"/>
        <v>0</v>
      </c>
      <c r="AK148" s="457" t="str">
        <f t="shared" si="22"/>
        <v/>
      </c>
      <c r="AL148" s="1230"/>
    </row>
    <row r="149" spans="1:38" hidden="1">
      <c r="A149" s="2105"/>
      <c r="B149" s="2106"/>
      <c r="C149" s="2106"/>
      <c r="D149" s="2106"/>
      <c r="E149" s="2105"/>
      <c r="F149" s="2106"/>
      <c r="G149" s="2106"/>
      <c r="H149" s="2106"/>
      <c r="I149" s="2105"/>
      <c r="J149" s="2106"/>
      <c r="K149" s="2107"/>
      <c r="L149" s="1505" t="str">
        <f t="shared" si="20"/>
        <v/>
      </c>
      <c r="M149" s="347" t="str">
        <f t="shared" si="21"/>
        <v/>
      </c>
      <c r="N149" s="977"/>
      <c r="O149" s="461"/>
      <c r="P149" s="461"/>
      <c r="Q149" s="461"/>
      <c r="R149" s="461"/>
      <c r="S149" s="445">
        <f t="shared" si="11"/>
        <v>0</v>
      </c>
      <c r="T149" s="984">
        <f t="shared" si="12"/>
        <v>0</v>
      </c>
      <c r="U149" s="977"/>
      <c r="V149" s="461"/>
      <c r="W149" s="461"/>
      <c r="X149" s="461"/>
      <c r="Y149" s="461"/>
      <c r="Z149" s="446">
        <f t="shared" si="13"/>
        <v>0</v>
      </c>
      <c r="AA149" s="976">
        <f t="shared" si="14"/>
        <v>0</v>
      </c>
      <c r="AB149" s="977"/>
      <c r="AC149" s="461"/>
      <c r="AD149" s="461"/>
      <c r="AE149" s="461"/>
      <c r="AF149" s="461"/>
      <c r="AG149" s="447">
        <f t="shared" si="15"/>
        <v>0</v>
      </c>
      <c r="AH149" s="964">
        <f t="shared" si="16"/>
        <v>0</v>
      </c>
      <c r="AI149" s="448">
        <f t="shared" si="17"/>
        <v>0</v>
      </c>
      <c r="AJ149" s="964">
        <f t="shared" si="18"/>
        <v>0</v>
      </c>
      <c r="AK149" s="456" t="str">
        <f t="shared" si="22"/>
        <v/>
      </c>
      <c r="AL149" s="1229"/>
    </row>
    <row r="150" spans="1:38" hidden="1">
      <c r="A150" s="2108"/>
      <c r="B150" s="2109"/>
      <c r="C150" s="2109"/>
      <c r="D150" s="2109"/>
      <c r="E150" s="2108"/>
      <c r="F150" s="2109"/>
      <c r="G150" s="2109"/>
      <c r="H150" s="2109"/>
      <c r="I150" s="2108"/>
      <c r="J150" s="2109"/>
      <c r="K150" s="2110"/>
      <c r="L150" s="1506" t="str">
        <f t="shared" si="20"/>
        <v/>
      </c>
      <c r="M150" s="346" t="str">
        <f t="shared" si="21"/>
        <v/>
      </c>
      <c r="N150" s="973"/>
      <c r="O150" s="459"/>
      <c r="P150" s="459"/>
      <c r="Q150" s="459"/>
      <c r="R150" s="459"/>
      <c r="S150" s="34">
        <f t="shared" si="11"/>
        <v>0</v>
      </c>
      <c r="T150" s="982">
        <f t="shared" si="12"/>
        <v>0</v>
      </c>
      <c r="U150" s="973"/>
      <c r="V150" s="459"/>
      <c r="W150" s="459"/>
      <c r="X150" s="459"/>
      <c r="Y150" s="459"/>
      <c r="Z150" s="437">
        <f t="shared" si="13"/>
        <v>0</v>
      </c>
      <c r="AA150" s="972">
        <f t="shared" si="14"/>
        <v>0</v>
      </c>
      <c r="AB150" s="973"/>
      <c r="AC150" s="459"/>
      <c r="AD150" s="459"/>
      <c r="AE150" s="459"/>
      <c r="AF150" s="459"/>
      <c r="AG150" s="438">
        <f t="shared" si="15"/>
        <v>0</v>
      </c>
      <c r="AH150" s="962">
        <f t="shared" si="16"/>
        <v>0</v>
      </c>
      <c r="AI150" s="439">
        <f t="shared" si="17"/>
        <v>0</v>
      </c>
      <c r="AJ150" s="962">
        <f t="shared" si="18"/>
        <v>0</v>
      </c>
      <c r="AK150" s="457" t="str">
        <f t="shared" si="22"/>
        <v/>
      </c>
      <c r="AL150" s="1230"/>
    </row>
    <row r="151" spans="1:38" hidden="1">
      <c r="A151" s="2105"/>
      <c r="B151" s="2106"/>
      <c r="C151" s="2106"/>
      <c r="D151" s="2106"/>
      <c r="E151" s="2105"/>
      <c r="F151" s="2106"/>
      <c r="G151" s="2106"/>
      <c r="H151" s="2106"/>
      <c r="I151" s="2105"/>
      <c r="J151" s="2106"/>
      <c r="K151" s="2107"/>
      <c r="L151" s="1505" t="str">
        <f t="shared" si="20"/>
        <v/>
      </c>
      <c r="M151" s="347" t="str">
        <f t="shared" si="21"/>
        <v/>
      </c>
      <c r="N151" s="977"/>
      <c r="O151" s="461"/>
      <c r="P151" s="461"/>
      <c r="Q151" s="461"/>
      <c r="R151" s="461"/>
      <c r="S151" s="445">
        <f t="shared" si="11"/>
        <v>0</v>
      </c>
      <c r="T151" s="984">
        <f t="shared" si="12"/>
        <v>0</v>
      </c>
      <c r="U151" s="977"/>
      <c r="V151" s="461"/>
      <c r="W151" s="461"/>
      <c r="X151" s="461"/>
      <c r="Y151" s="461"/>
      <c r="Z151" s="446">
        <f t="shared" si="13"/>
        <v>0</v>
      </c>
      <c r="AA151" s="976">
        <f t="shared" si="14"/>
        <v>0</v>
      </c>
      <c r="AB151" s="977"/>
      <c r="AC151" s="461"/>
      <c r="AD151" s="461"/>
      <c r="AE151" s="461"/>
      <c r="AF151" s="461"/>
      <c r="AG151" s="447">
        <f t="shared" si="15"/>
        <v>0</v>
      </c>
      <c r="AH151" s="964">
        <f t="shared" si="16"/>
        <v>0</v>
      </c>
      <c r="AI151" s="448">
        <f t="shared" si="17"/>
        <v>0</v>
      </c>
      <c r="AJ151" s="964">
        <f t="shared" si="18"/>
        <v>0</v>
      </c>
      <c r="AK151" s="456" t="str">
        <f t="shared" si="22"/>
        <v/>
      </c>
      <c r="AL151" s="1229"/>
    </row>
    <row r="152" spans="1:38" hidden="1">
      <c r="A152" s="2108"/>
      <c r="B152" s="2109"/>
      <c r="C152" s="2109"/>
      <c r="D152" s="2109"/>
      <c r="E152" s="2108"/>
      <c r="F152" s="2109"/>
      <c r="G152" s="2109"/>
      <c r="H152" s="2109"/>
      <c r="I152" s="2108"/>
      <c r="J152" s="2109"/>
      <c r="K152" s="2110"/>
      <c r="L152" s="1506" t="str">
        <f t="shared" si="20"/>
        <v/>
      </c>
      <c r="M152" s="346" t="str">
        <f t="shared" si="21"/>
        <v/>
      </c>
      <c r="N152" s="973"/>
      <c r="O152" s="459"/>
      <c r="P152" s="459"/>
      <c r="Q152" s="459"/>
      <c r="R152" s="459"/>
      <c r="S152" s="34">
        <f t="shared" si="11"/>
        <v>0</v>
      </c>
      <c r="T152" s="982">
        <f t="shared" si="12"/>
        <v>0</v>
      </c>
      <c r="U152" s="973"/>
      <c r="V152" s="459"/>
      <c r="W152" s="459"/>
      <c r="X152" s="459"/>
      <c r="Y152" s="459"/>
      <c r="Z152" s="437">
        <f t="shared" si="13"/>
        <v>0</v>
      </c>
      <c r="AA152" s="972">
        <f t="shared" si="14"/>
        <v>0</v>
      </c>
      <c r="AB152" s="973"/>
      <c r="AC152" s="459"/>
      <c r="AD152" s="459"/>
      <c r="AE152" s="459"/>
      <c r="AF152" s="459"/>
      <c r="AG152" s="438">
        <f t="shared" si="15"/>
        <v>0</v>
      </c>
      <c r="AH152" s="962">
        <f t="shared" si="16"/>
        <v>0</v>
      </c>
      <c r="AI152" s="439">
        <f t="shared" si="17"/>
        <v>0</v>
      </c>
      <c r="AJ152" s="962">
        <f t="shared" si="18"/>
        <v>0</v>
      </c>
      <c r="AK152" s="457" t="str">
        <f t="shared" si="22"/>
        <v/>
      </c>
      <c r="AL152" s="1230"/>
    </row>
    <row r="153" spans="1:38" hidden="1">
      <c r="A153" s="2105"/>
      <c r="B153" s="2106"/>
      <c r="C153" s="2106"/>
      <c r="D153" s="2106"/>
      <c r="E153" s="2105"/>
      <c r="F153" s="2106"/>
      <c r="G153" s="2106"/>
      <c r="H153" s="2106"/>
      <c r="I153" s="2105"/>
      <c r="J153" s="2106"/>
      <c r="K153" s="2107"/>
      <c r="L153" s="1505" t="str">
        <f t="shared" si="20"/>
        <v/>
      </c>
      <c r="M153" s="347" t="str">
        <f t="shared" si="21"/>
        <v/>
      </c>
      <c r="N153" s="977"/>
      <c r="O153" s="461"/>
      <c r="P153" s="461"/>
      <c r="Q153" s="461"/>
      <c r="R153" s="461"/>
      <c r="S153" s="445">
        <f t="shared" si="11"/>
        <v>0</v>
      </c>
      <c r="T153" s="984">
        <f t="shared" si="12"/>
        <v>0</v>
      </c>
      <c r="U153" s="977"/>
      <c r="V153" s="461"/>
      <c r="W153" s="461"/>
      <c r="X153" s="461"/>
      <c r="Y153" s="461"/>
      <c r="Z153" s="446">
        <f t="shared" si="13"/>
        <v>0</v>
      </c>
      <c r="AA153" s="976">
        <f t="shared" si="14"/>
        <v>0</v>
      </c>
      <c r="AB153" s="977"/>
      <c r="AC153" s="461"/>
      <c r="AD153" s="461"/>
      <c r="AE153" s="461"/>
      <c r="AF153" s="461"/>
      <c r="AG153" s="447">
        <f t="shared" si="15"/>
        <v>0</v>
      </c>
      <c r="AH153" s="964">
        <f t="shared" si="16"/>
        <v>0</v>
      </c>
      <c r="AI153" s="448">
        <f t="shared" si="17"/>
        <v>0</v>
      </c>
      <c r="AJ153" s="964">
        <f t="shared" si="18"/>
        <v>0</v>
      </c>
      <c r="AK153" s="456" t="str">
        <f t="shared" si="22"/>
        <v/>
      </c>
      <c r="AL153" s="1229"/>
    </row>
    <row r="154" spans="1:38" hidden="1">
      <c r="A154" s="2108"/>
      <c r="B154" s="2109"/>
      <c r="C154" s="2109"/>
      <c r="D154" s="2109"/>
      <c r="E154" s="2108"/>
      <c r="F154" s="2109"/>
      <c r="G154" s="2109"/>
      <c r="H154" s="2109"/>
      <c r="I154" s="2108"/>
      <c r="J154" s="2109"/>
      <c r="K154" s="2110"/>
      <c r="L154" s="1506" t="str">
        <f t="shared" si="20"/>
        <v/>
      </c>
      <c r="M154" s="346" t="str">
        <f t="shared" si="21"/>
        <v/>
      </c>
      <c r="N154" s="973"/>
      <c r="O154" s="459"/>
      <c r="P154" s="459"/>
      <c r="Q154" s="459"/>
      <c r="R154" s="459"/>
      <c r="S154" s="34">
        <f t="shared" si="11"/>
        <v>0</v>
      </c>
      <c r="T154" s="982">
        <f t="shared" si="12"/>
        <v>0</v>
      </c>
      <c r="U154" s="973"/>
      <c r="V154" s="459"/>
      <c r="W154" s="459"/>
      <c r="X154" s="459"/>
      <c r="Y154" s="459"/>
      <c r="Z154" s="437">
        <f t="shared" si="13"/>
        <v>0</v>
      </c>
      <c r="AA154" s="972">
        <f t="shared" si="14"/>
        <v>0</v>
      </c>
      <c r="AB154" s="973"/>
      <c r="AC154" s="459"/>
      <c r="AD154" s="459"/>
      <c r="AE154" s="459"/>
      <c r="AF154" s="459"/>
      <c r="AG154" s="438">
        <f t="shared" si="15"/>
        <v>0</v>
      </c>
      <c r="AH154" s="962">
        <f t="shared" si="16"/>
        <v>0</v>
      </c>
      <c r="AI154" s="439">
        <f t="shared" si="17"/>
        <v>0</v>
      </c>
      <c r="AJ154" s="962">
        <f t="shared" si="18"/>
        <v>0</v>
      </c>
      <c r="AK154" s="457" t="str">
        <f t="shared" si="22"/>
        <v/>
      </c>
      <c r="AL154" s="1230"/>
    </row>
    <row r="155" spans="1:38" hidden="1">
      <c r="A155" s="2105"/>
      <c r="B155" s="2106"/>
      <c r="C155" s="2106"/>
      <c r="D155" s="2106"/>
      <c r="E155" s="2105"/>
      <c r="F155" s="2106"/>
      <c r="G155" s="2106"/>
      <c r="H155" s="2106"/>
      <c r="I155" s="2105"/>
      <c r="J155" s="2106"/>
      <c r="K155" s="2107"/>
      <c r="L155" s="1505" t="str">
        <f t="shared" si="20"/>
        <v/>
      </c>
      <c r="M155" s="347" t="str">
        <f t="shared" si="21"/>
        <v/>
      </c>
      <c r="N155" s="977"/>
      <c r="O155" s="461"/>
      <c r="P155" s="461"/>
      <c r="Q155" s="461"/>
      <c r="R155" s="461"/>
      <c r="S155" s="445">
        <f t="shared" si="11"/>
        <v>0</v>
      </c>
      <c r="T155" s="984">
        <f t="shared" si="12"/>
        <v>0</v>
      </c>
      <c r="U155" s="977"/>
      <c r="V155" s="461"/>
      <c r="W155" s="461"/>
      <c r="X155" s="461"/>
      <c r="Y155" s="461"/>
      <c r="Z155" s="446">
        <f t="shared" si="13"/>
        <v>0</v>
      </c>
      <c r="AA155" s="976">
        <f t="shared" si="14"/>
        <v>0</v>
      </c>
      <c r="AB155" s="977"/>
      <c r="AC155" s="461"/>
      <c r="AD155" s="461"/>
      <c r="AE155" s="461"/>
      <c r="AF155" s="461"/>
      <c r="AG155" s="447">
        <f t="shared" si="15"/>
        <v>0</v>
      </c>
      <c r="AH155" s="964">
        <f t="shared" si="16"/>
        <v>0</v>
      </c>
      <c r="AI155" s="448">
        <f t="shared" si="17"/>
        <v>0</v>
      </c>
      <c r="AJ155" s="964">
        <f t="shared" si="18"/>
        <v>0</v>
      </c>
      <c r="AK155" s="456" t="str">
        <f t="shared" si="22"/>
        <v/>
      </c>
      <c r="AL155" s="1229"/>
    </row>
    <row r="156" spans="1:38" hidden="1">
      <c r="A156" s="2108"/>
      <c r="B156" s="2109"/>
      <c r="C156" s="2109"/>
      <c r="D156" s="2109"/>
      <c r="E156" s="2108"/>
      <c r="F156" s="2109"/>
      <c r="G156" s="2109"/>
      <c r="H156" s="2109"/>
      <c r="I156" s="2108"/>
      <c r="J156" s="2109"/>
      <c r="K156" s="2110"/>
      <c r="L156" s="1506" t="str">
        <f t="shared" si="20"/>
        <v/>
      </c>
      <c r="M156" s="346" t="str">
        <f t="shared" si="21"/>
        <v/>
      </c>
      <c r="N156" s="973"/>
      <c r="O156" s="459"/>
      <c r="P156" s="459"/>
      <c r="Q156" s="459"/>
      <c r="R156" s="459"/>
      <c r="S156" s="34">
        <f t="shared" si="11"/>
        <v>0</v>
      </c>
      <c r="T156" s="982">
        <f t="shared" si="12"/>
        <v>0</v>
      </c>
      <c r="U156" s="973"/>
      <c r="V156" s="459"/>
      <c r="W156" s="459"/>
      <c r="X156" s="459"/>
      <c r="Y156" s="459"/>
      <c r="Z156" s="437">
        <f t="shared" si="13"/>
        <v>0</v>
      </c>
      <c r="AA156" s="972">
        <f t="shared" si="14"/>
        <v>0</v>
      </c>
      <c r="AB156" s="973"/>
      <c r="AC156" s="459"/>
      <c r="AD156" s="459"/>
      <c r="AE156" s="459"/>
      <c r="AF156" s="459"/>
      <c r="AG156" s="438">
        <f t="shared" si="15"/>
        <v>0</v>
      </c>
      <c r="AH156" s="962">
        <f t="shared" si="16"/>
        <v>0</v>
      </c>
      <c r="AI156" s="439">
        <f t="shared" si="17"/>
        <v>0</v>
      </c>
      <c r="AJ156" s="962">
        <f t="shared" si="18"/>
        <v>0</v>
      </c>
      <c r="AK156" s="457" t="str">
        <f t="shared" si="22"/>
        <v/>
      </c>
      <c r="AL156" s="1230"/>
    </row>
    <row r="157" spans="1:38" hidden="1">
      <c r="A157" s="2105"/>
      <c r="B157" s="2106"/>
      <c r="C157" s="2106"/>
      <c r="D157" s="2106"/>
      <c r="E157" s="2105"/>
      <c r="F157" s="2106"/>
      <c r="G157" s="2106"/>
      <c r="H157" s="2106"/>
      <c r="I157" s="2105"/>
      <c r="J157" s="2106"/>
      <c r="K157" s="2107"/>
      <c r="L157" s="1505" t="str">
        <f t="shared" si="20"/>
        <v/>
      </c>
      <c r="M157" s="347" t="str">
        <f t="shared" si="21"/>
        <v/>
      </c>
      <c r="N157" s="977"/>
      <c r="O157" s="461"/>
      <c r="P157" s="461"/>
      <c r="Q157" s="461"/>
      <c r="R157" s="461"/>
      <c r="S157" s="445">
        <f t="shared" si="11"/>
        <v>0</v>
      </c>
      <c r="T157" s="984">
        <f t="shared" si="12"/>
        <v>0</v>
      </c>
      <c r="U157" s="977"/>
      <c r="V157" s="461"/>
      <c r="W157" s="461"/>
      <c r="X157" s="461"/>
      <c r="Y157" s="461"/>
      <c r="Z157" s="446">
        <f t="shared" si="13"/>
        <v>0</v>
      </c>
      <c r="AA157" s="976">
        <f t="shared" si="14"/>
        <v>0</v>
      </c>
      <c r="AB157" s="977"/>
      <c r="AC157" s="461"/>
      <c r="AD157" s="461"/>
      <c r="AE157" s="461"/>
      <c r="AF157" s="461"/>
      <c r="AG157" s="447">
        <f t="shared" si="15"/>
        <v>0</v>
      </c>
      <c r="AH157" s="964">
        <f t="shared" si="16"/>
        <v>0</v>
      </c>
      <c r="AI157" s="448">
        <f t="shared" si="17"/>
        <v>0</v>
      </c>
      <c r="AJ157" s="964">
        <f t="shared" si="18"/>
        <v>0</v>
      </c>
      <c r="AK157" s="456" t="str">
        <f t="shared" si="22"/>
        <v/>
      </c>
      <c r="AL157" s="1229"/>
    </row>
    <row r="158" spans="1:38" hidden="1">
      <c r="A158" s="2108"/>
      <c r="B158" s="2109"/>
      <c r="C158" s="2109"/>
      <c r="D158" s="2109"/>
      <c r="E158" s="2108"/>
      <c r="F158" s="2109"/>
      <c r="G158" s="2109"/>
      <c r="H158" s="2109"/>
      <c r="I158" s="2108"/>
      <c r="J158" s="2109"/>
      <c r="K158" s="2110"/>
      <c r="L158" s="1506" t="str">
        <f t="shared" si="20"/>
        <v/>
      </c>
      <c r="M158" s="346" t="str">
        <f t="shared" si="21"/>
        <v/>
      </c>
      <c r="N158" s="973"/>
      <c r="O158" s="459"/>
      <c r="P158" s="459"/>
      <c r="Q158" s="459"/>
      <c r="R158" s="459"/>
      <c r="S158" s="34">
        <f t="shared" si="11"/>
        <v>0</v>
      </c>
      <c r="T158" s="982">
        <f t="shared" si="12"/>
        <v>0</v>
      </c>
      <c r="U158" s="973"/>
      <c r="V158" s="459"/>
      <c r="W158" s="459"/>
      <c r="X158" s="459"/>
      <c r="Y158" s="459"/>
      <c r="Z158" s="437">
        <f t="shared" si="13"/>
        <v>0</v>
      </c>
      <c r="AA158" s="972">
        <f t="shared" si="14"/>
        <v>0</v>
      </c>
      <c r="AB158" s="973"/>
      <c r="AC158" s="459"/>
      <c r="AD158" s="459"/>
      <c r="AE158" s="459"/>
      <c r="AF158" s="459"/>
      <c r="AG158" s="438">
        <f t="shared" si="15"/>
        <v>0</v>
      </c>
      <c r="AH158" s="962">
        <f t="shared" si="16"/>
        <v>0</v>
      </c>
      <c r="AI158" s="439">
        <f t="shared" si="17"/>
        <v>0</v>
      </c>
      <c r="AJ158" s="962">
        <f t="shared" si="18"/>
        <v>0</v>
      </c>
      <c r="AK158" s="457" t="str">
        <f t="shared" si="22"/>
        <v/>
      </c>
      <c r="AL158" s="1230"/>
    </row>
    <row r="159" spans="1:38" hidden="1">
      <c r="A159" s="2105"/>
      <c r="B159" s="2106"/>
      <c r="C159" s="2106"/>
      <c r="D159" s="2106"/>
      <c r="E159" s="2105"/>
      <c r="F159" s="2106"/>
      <c r="G159" s="2106"/>
      <c r="H159" s="2106"/>
      <c r="I159" s="2105"/>
      <c r="J159" s="2106"/>
      <c r="K159" s="2107"/>
      <c r="L159" s="1505" t="str">
        <f t="shared" si="20"/>
        <v/>
      </c>
      <c r="M159" s="347" t="str">
        <f t="shared" si="21"/>
        <v/>
      </c>
      <c r="N159" s="977"/>
      <c r="O159" s="461"/>
      <c r="P159" s="461"/>
      <c r="Q159" s="461"/>
      <c r="R159" s="461"/>
      <c r="S159" s="445">
        <f t="shared" si="11"/>
        <v>0</v>
      </c>
      <c r="T159" s="984">
        <f t="shared" si="12"/>
        <v>0</v>
      </c>
      <c r="U159" s="977"/>
      <c r="V159" s="461"/>
      <c r="W159" s="461"/>
      <c r="X159" s="461"/>
      <c r="Y159" s="461"/>
      <c r="Z159" s="446">
        <f t="shared" si="13"/>
        <v>0</v>
      </c>
      <c r="AA159" s="976">
        <f t="shared" si="14"/>
        <v>0</v>
      </c>
      <c r="AB159" s="977"/>
      <c r="AC159" s="461"/>
      <c r="AD159" s="461"/>
      <c r="AE159" s="461"/>
      <c r="AF159" s="461"/>
      <c r="AG159" s="447">
        <f t="shared" si="15"/>
        <v>0</v>
      </c>
      <c r="AH159" s="964">
        <f t="shared" si="16"/>
        <v>0</v>
      </c>
      <c r="AI159" s="448">
        <f t="shared" si="17"/>
        <v>0</v>
      </c>
      <c r="AJ159" s="964">
        <f t="shared" si="18"/>
        <v>0</v>
      </c>
      <c r="AK159" s="456" t="str">
        <f t="shared" si="22"/>
        <v/>
      </c>
      <c r="AL159" s="1229"/>
    </row>
    <row r="160" spans="1:38" hidden="1">
      <c r="A160" s="2108"/>
      <c r="B160" s="2109"/>
      <c r="C160" s="2109"/>
      <c r="D160" s="2109"/>
      <c r="E160" s="2108"/>
      <c r="F160" s="2109"/>
      <c r="G160" s="2109"/>
      <c r="H160" s="2109"/>
      <c r="I160" s="2108"/>
      <c r="J160" s="2109"/>
      <c r="K160" s="2110"/>
      <c r="L160" s="1506" t="str">
        <f t="shared" si="20"/>
        <v/>
      </c>
      <c r="M160" s="346" t="str">
        <f t="shared" si="21"/>
        <v/>
      </c>
      <c r="N160" s="973"/>
      <c r="O160" s="459"/>
      <c r="P160" s="459"/>
      <c r="Q160" s="459"/>
      <c r="R160" s="459"/>
      <c r="S160" s="34">
        <f t="shared" si="11"/>
        <v>0</v>
      </c>
      <c r="T160" s="982">
        <f t="shared" si="12"/>
        <v>0</v>
      </c>
      <c r="U160" s="973"/>
      <c r="V160" s="459"/>
      <c r="W160" s="459"/>
      <c r="X160" s="459"/>
      <c r="Y160" s="459"/>
      <c r="Z160" s="437">
        <f t="shared" si="13"/>
        <v>0</v>
      </c>
      <c r="AA160" s="972">
        <f t="shared" si="14"/>
        <v>0</v>
      </c>
      <c r="AB160" s="973"/>
      <c r="AC160" s="459"/>
      <c r="AD160" s="459"/>
      <c r="AE160" s="459"/>
      <c r="AF160" s="459"/>
      <c r="AG160" s="438">
        <f t="shared" si="15"/>
        <v>0</v>
      </c>
      <c r="AH160" s="962">
        <f t="shared" si="16"/>
        <v>0</v>
      </c>
      <c r="AI160" s="439">
        <f t="shared" si="17"/>
        <v>0</v>
      </c>
      <c r="AJ160" s="962">
        <f t="shared" si="18"/>
        <v>0</v>
      </c>
      <c r="AK160" s="457" t="str">
        <f t="shared" si="22"/>
        <v/>
      </c>
      <c r="AL160" s="1230"/>
    </row>
    <row r="161" spans="1:38" hidden="1">
      <c r="A161" s="2105"/>
      <c r="B161" s="2106"/>
      <c r="C161" s="2106"/>
      <c r="D161" s="2106"/>
      <c r="E161" s="2105"/>
      <c r="F161" s="2106"/>
      <c r="G161" s="2106"/>
      <c r="H161" s="2106"/>
      <c r="I161" s="2105"/>
      <c r="J161" s="2106"/>
      <c r="K161" s="2107"/>
      <c r="L161" s="1505" t="str">
        <f t="shared" si="20"/>
        <v/>
      </c>
      <c r="M161" s="347" t="str">
        <f t="shared" si="21"/>
        <v/>
      </c>
      <c r="N161" s="977"/>
      <c r="O161" s="461"/>
      <c r="P161" s="461"/>
      <c r="Q161" s="461"/>
      <c r="R161" s="461"/>
      <c r="S161" s="445">
        <f t="shared" si="11"/>
        <v>0</v>
      </c>
      <c r="T161" s="984">
        <f t="shared" si="12"/>
        <v>0</v>
      </c>
      <c r="U161" s="977"/>
      <c r="V161" s="461"/>
      <c r="W161" s="461"/>
      <c r="X161" s="461"/>
      <c r="Y161" s="461"/>
      <c r="Z161" s="446">
        <f t="shared" si="13"/>
        <v>0</v>
      </c>
      <c r="AA161" s="976">
        <f t="shared" si="14"/>
        <v>0</v>
      </c>
      <c r="AB161" s="977"/>
      <c r="AC161" s="461"/>
      <c r="AD161" s="461"/>
      <c r="AE161" s="461"/>
      <c r="AF161" s="461"/>
      <c r="AG161" s="447">
        <f t="shared" si="15"/>
        <v>0</v>
      </c>
      <c r="AH161" s="964">
        <f t="shared" si="16"/>
        <v>0</v>
      </c>
      <c r="AI161" s="448">
        <f t="shared" si="17"/>
        <v>0</v>
      </c>
      <c r="AJ161" s="964">
        <f t="shared" si="18"/>
        <v>0</v>
      </c>
      <c r="AK161" s="456" t="str">
        <f t="shared" si="22"/>
        <v/>
      </c>
      <c r="AL161" s="1229"/>
    </row>
    <row r="162" spans="1:38" hidden="1">
      <c r="A162" s="2108"/>
      <c r="B162" s="2109"/>
      <c r="C162" s="2109"/>
      <c r="D162" s="2109"/>
      <c r="E162" s="2108"/>
      <c r="F162" s="2109"/>
      <c r="G162" s="2109"/>
      <c r="H162" s="2109"/>
      <c r="I162" s="2108"/>
      <c r="J162" s="2109"/>
      <c r="K162" s="2110"/>
      <c r="L162" s="1506" t="str">
        <f t="shared" si="20"/>
        <v/>
      </c>
      <c r="M162" s="346" t="str">
        <f t="shared" si="21"/>
        <v/>
      </c>
      <c r="N162" s="973"/>
      <c r="O162" s="459"/>
      <c r="P162" s="459"/>
      <c r="Q162" s="459"/>
      <c r="R162" s="459"/>
      <c r="S162" s="34">
        <f t="shared" si="11"/>
        <v>0</v>
      </c>
      <c r="T162" s="982">
        <f t="shared" si="12"/>
        <v>0</v>
      </c>
      <c r="U162" s="973"/>
      <c r="V162" s="459"/>
      <c r="W162" s="459"/>
      <c r="X162" s="459"/>
      <c r="Y162" s="459"/>
      <c r="Z162" s="437">
        <f t="shared" si="13"/>
        <v>0</v>
      </c>
      <c r="AA162" s="972">
        <f t="shared" si="14"/>
        <v>0</v>
      </c>
      <c r="AB162" s="973"/>
      <c r="AC162" s="459"/>
      <c r="AD162" s="459"/>
      <c r="AE162" s="459"/>
      <c r="AF162" s="459"/>
      <c r="AG162" s="438">
        <f t="shared" si="15"/>
        <v>0</v>
      </c>
      <c r="AH162" s="962">
        <f t="shared" si="16"/>
        <v>0</v>
      </c>
      <c r="AI162" s="439">
        <f t="shared" si="17"/>
        <v>0</v>
      </c>
      <c r="AJ162" s="962">
        <f t="shared" si="18"/>
        <v>0</v>
      </c>
      <c r="AK162" s="457" t="str">
        <f t="shared" si="22"/>
        <v/>
      </c>
      <c r="AL162" s="1230"/>
    </row>
    <row r="163" spans="1:38" hidden="1">
      <c r="A163" s="2105"/>
      <c r="B163" s="2106"/>
      <c r="C163" s="2106"/>
      <c r="D163" s="2106"/>
      <c r="E163" s="2105"/>
      <c r="F163" s="2106"/>
      <c r="G163" s="2106"/>
      <c r="H163" s="2106"/>
      <c r="I163" s="2105"/>
      <c r="J163" s="2106"/>
      <c r="K163" s="2107"/>
      <c r="L163" s="1505" t="str">
        <f t="shared" si="20"/>
        <v/>
      </c>
      <c r="M163" s="347" t="str">
        <f t="shared" si="21"/>
        <v/>
      </c>
      <c r="N163" s="977"/>
      <c r="O163" s="461"/>
      <c r="P163" s="461"/>
      <c r="Q163" s="461"/>
      <c r="R163" s="461"/>
      <c r="S163" s="445">
        <f t="shared" si="11"/>
        <v>0</v>
      </c>
      <c r="T163" s="984">
        <f t="shared" si="12"/>
        <v>0</v>
      </c>
      <c r="U163" s="977"/>
      <c r="V163" s="461"/>
      <c r="W163" s="461"/>
      <c r="X163" s="461"/>
      <c r="Y163" s="461"/>
      <c r="Z163" s="446">
        <f t="shared" si="13"/>
        <v>0</v>
      </c>
      <c r="AA163" s="976">
        <f t="shared" si="14"/>
        <v>0</v>
      </c>
      <c r="AB163" s="977"/>
      <c r="AC163" s="461"/>
      <c r="AD163" s="461"/>
      <c r="AE163" s="461"/>
      <c r="AF163" s="461"/>
      <c r="AG163" s="447">
        <f t="shared" si="15"/>
        <v>0</v>
      </c>
      <c r="AH163" s="964">
        <f t="shared" si="16"/>
        <v>0</v>
      </c>
      <c r="AI163" s="448">
        <f t="shared" si="17"/>
        <v>0</v>
      </c>
      <c r="AJ163" s="964">
        <f t="shared" si="18"/>
        <v>0</v>
      </c>
      <c r="AK163" s="456" t="str">
        <f t="shared" si="22"/>
        <v/>
      </c>
      <c r="AL163" s="1229"/>
    </row>
    <row r="164" spans="1:38" hidden="1">
      <c r="A164" s="2108"/>
      <c r="B164" s="2109"/>
      <c r="C164" s="2109"/>
      <c r="D164" s="2109"/>
      <c r="E164" s="2108"/>
      <c r="F164" s="2109"/>
      <c r="G164" s="2109"/>
      <c r="H164" s="2109"/>
      <c r="I164" s="2108"/>
      <c r="J164" s="2109"/>
      <c r="K164" s="2110"/>
      <c r="L164" s="1506" t="str">
        <f t="shared" si="20"/>
        <v/>
      </c>
      <c r="M164" s="346" t="str">
        <f t="shared" si="21"/>
        <v/>
      </c>
      <c r="N164" s="973"/>
      <c r="O164" s="459"/>
      <c r="P164" s="459"/>
      <c r="Q164" s="459"/>
      <c r="R164" s="459"/>
      <c r="S164" s="34">
        <f t="shared" si="11"/>
        <v>0</v>
      </c>
      <c r="T164" s="982">
        <f t="shared" si="12"/>
        <v>0</v>
      </c>
      <c r="U164" s="973"/>
      <c r="V164" s="459"/>
      <c r="W164" s="459"/>
      <c r="X164" s="459"/>
      <c r="Y164" s="459"/>
      <c r="Z164" s="437">
        <f t="shared" si="13"/>
        <v>0</v>
      </c>
      <c r="AA164" s="972">
        <f t="shared" si="14"/>
        <v>0</v>
      </c>
      <c r="AB164" s="973"/>
      <c r="AC164" s="459"/>
      <c r="AD164" s="459"/>
      <c r="AE164" s="459"/>
      <c r="AF164" s="459"/>
      <c r="AG164" s="438">
        <f t="shared" si="15"/>
        <v>0</v>
      </c>
      <c r="AH164" s="962">
        <f t="shared" si="16"/>
        <v>0</v>
      </c>
      <c r="AI164" s="439">
        <f t="shared" si="17"/>
        <v>0</v>
      </c>
      <c r="AJ164" s="962">
        <f t="shared" si="18"/>
        <v>0</v>
      </c>
      <c r="AK164" s="457" t="str">
        <f t="shared" si="22"/>
        <v/>
      </c>
      <c r="AL164" s="1230"/>
    </row>
    <row r="165" spans="1:38" hidden="1">
      <c r="A165" s="2105"/>
      <c r="B165" s="2106"/>
      <c r="C165" s="2106"/>
      <c r="D165" s="2106"/>
      <c r="E165" s="2105"/>
      <c r="F165" s="2106"/>
      <c r="G165" s="2106"/>
      <c r="H165" s="2106"/>
      <c r="I165" s="2105"/>
      <c r="J165" s="2106"/>
      <c r="K165" s="2107"/>
      <c r="L165" s="1505" t="str">
        <f t="shared" si="20"/>
        <v/>
      </c>
      <c r="M165" s="347" t="str">
        <f t="shared" si="21"/>
        <v/>
      </c>
      <c r="N165" s="977"/>
      <c r="O165" s="461"/>
      <c r="P165" s="461"/>
      <c r="Q165" s="461"/>
      <c r="R165" s="461"/>
      <c r="S165" s="445">
        <f t="shared" si="11"/>
        <v>0</v>
      </c>
      <c r="T165" s="984">
        <f t="shared" si="12"/>
        <v>0</v>
      </c>
      <c r="U165" s="977"/>
      <c r="V165" s="461"/>
      <c r="W165" s="461"/>
      <c r="X165" s="461"/>
      <c r="Y165" s="461"/>
      <c r="Z165" s="446">
        <f t="shared" si="13"/>
        <v>0</v>
      </c>
      <c r="AA165" s="976">
        <f t="shared" si="14"/>
        <v>0</v>
      </c>
      <c r="AB165" s="977"/>
      <c r="AC165" s="461"/>
      <c r="AD165" s="461"/>
      <c r="AE165" s="461"/>
      <c r="AF165" s="461"/>
      <c r="AG165" s="447">
        <f t="shared" si="15"/>
        <v>0</v>
      </c>
      <c r="AH165" s="964">
        <f t="shared" si="16"/>
        <v>0</v>
      </c>
      <c r="AI165" s="448">
        <f t="shared" si="17"/>
        <v>0</v>
      </c>
      <c r="AJ165" s="964">
        <f t="shared" si="18"/>
        <v>0</v>
      </c>
      <c r="AK165" s="456" t="str">
        <f t="shared" si="22"/>
        <v/>
      </c>
      <c r="AL165" s="1229"/>
    </row>
    <row r="166" spans="1:38" hidden="1">
      <c r="A166" s="2108"/>
      <c r="B166" s="2109"/>
      <c r="C166" s="2109"/>
      <c r="D166" s="2109"/>
      <c r="E166" s="2108"/>
      <c r="F166" s="2109"/>
      <c r="G166" s="2109"/>
      <c r="H166" s="2109"/>
      <c r="I166" s="2108"/>
      <c r="J166" s="2109"/>
      <c r="K166" s="2110"/>
      <c r="L166" s="1506" t="str">
        <f t="shared" si="20"/>
        <v/>
      </c>
      <c r="M166" s="346" t="str">
        <f t="shared" si="21"/>
        <v/>
      </c>
      <c r="N166" s="973"/>
      <c r="O166" s="459"/>
      <c r="P166" s="459"/>
      <c r="Q166" s="459"/>
      <c r="R166" s="459"/>
      <c r="S166" s="34">
        <f t="shared" si="11"/>
        <v>0</v>
      </c>
      <c r="T166" s="982">
        <f t="shared" si="12"/>
        <v>0</v>
      </c>
      <c r="U166" s="973"/>
      <c r="V166" s="459"/>
      <c r="W166" s="459"/>
      <c r="X166" s="459"/>
      <c r="Y166" s="459"/>
      <c r="Z166" s="437">
        <f t="shared" si="13"/>
        <v>0</v>
      </c>
      <c r="AA166" s="972">
        <f t="shared" si="14"/>
        <v>0</v>
      </c>
      <c r="AB166" s="973"/>
      <c r="AC166" s="459"/>
      <c r="AD166" s="459"/>
      <c r="AE166" s="459"/>
      <c r="AF166" s="459"/>
      <c r="AG166" s="438">
        <f t="shared" si="15"/>
        <v>0</v>
      </c>
      <c r="AH166" s="962">
        <f t="shared" si="16"/>
        <v>0</v>
      </c>
      <c r="AI166" s="439">
        <f t="shared" si="17"/>
        <v>0</v>
      </c>
      <c r="AJ166" s="962">
        <f t="shared" si="18"/>
        <v>0</v>
      </c>
      <c r="AK166" s="457" t="str">
        <f t="shared" si="22"/>
        <v/>
      </c>
      <c r="AL166" s="1230"/>
    </row>
    <row r="167" spans="1:38" hidden="1">
      <c r="A167" s="2105"/>
      <c r="B167" s="2106"/>
      <c r="C167" s="2106"/>
      <c r="D167" s="2106"/>
      <c r="E167" s="2105"/>
      <c r="F167" s="2106"/>
      <c r="G167" s="2106"/>
      <c r="H167" s="2106"/>
      <c r="I167" s="2105"/>
      <c r="J167" s="2106"/>
      <c r="K167" s="2107"/>
      <c r="L167" s="1505" t="str">
        <f t="shared" si="20"/>
        <v/>
      </c>
      <c r="M167" s="347" t="str">
        <f t="shared" si="21"/>
        <v/>
      </c>
      <c r="N167" s="977"/>
      <c r="O167" s="461"/>
      <c r="P167" s="461"/>
      <c r="Q167" s="461"/>
      <c r="R167" s="461"/>
      <c r="S167" s="445">
        <f t="shared" si="11"/>
        <v>0</v>
      </c>
      <c r="T167" s="984">
        <f t="shared" si="12"/>
        <v>0</v>
      </c>
      <c r="U167" s="977"/>
      <c r="V167" s="461"/>
      <c r="W167" s="461"/>
      <c r="X167" s="461"/>
      <c r="Y167" s="461"/>
      <c r="Z167" s="446">
        <f t="shared" si="13"/>
        <v>0</v>
      </c>
      <c r="AA167" s="976">
        <f t="shared" si="14"/>
        <v>0</v>
      </c>
      <c r="AB167" s="977"/>
      <c r="AC167" s="461"/>
      <c r="AD167" s="461"/>
      <c r="AE167" s="461"/>
      <c r="AF167" s="461"/>
      <c r="AG167" s="447">
        <f t="shared" si="15"/>
        <v>0</v>
      </c>
      <c r="AH167" s="964">
        <f t="shared" si="16"/>
        <v>0</v>
      </c>
      <c r="AI167" s="448">
        <f t="shared" si="17"/>
        <v>0</v>
      </c>
      <c r="AJ167" s="964">
        <f t="shared" si="18"/>
        <v>0</v>
      </c>
      <c r="AK167" s="456" t="str">
        <f t="shared" si="22"/>
        <v/>
      </c>
      <c r="AL167" s="1229"/>
    </row>
    <row r="168" spans="1:38" hidden="1">
      <c r="A168" s="2108"/>
      <c r="B168" s="2109"/>
      <c r="C168" s="2109"/>
      <c r="D168" s="2109"/>
      <c r="E168" s="2108"/>
      <c r="F168" s="2109"/>
      <c r="G168" s="2109"/>
      <c r="H168" s="2109"/>
      <c r="I168" s="2108"/>
      <c r="J168" s="2109"/>
      <c r="K168" s="2110"/>
      <c r="L168" s="1506" t="str">
        <f t="shared" si="20"/>
        <v/>
      </c>
      <c r="M168" s="346" t="str">
        <f t="shared" si="21"/>
        <v/>
      </c>
      <c r="N168" s="973"/>
      <c r="O168" s="459"/>
      <c r="P168" s="459"/>
      <c r="Q168" s="459"/>
      <c r="R168" s="459"/>
      <c r="S168" s="34">
        <f t="shared" si="11"/>
        <v>0</v>
      </c>
      <c r="T168" s="982">
        <f t="shared" si="12"/>
        <v>0</v>
      </c>
      <c r="U168" s="973"/>
      <c r="V168" s="459"/>
      <c r="W168" s="459"/>
      <c r="X168" s="459"/>
      <c r="Y168" s="459"/>
      <c r="Z168" s="437">
        <f t="shared" si="13"/>
        <v>0</v>
      </c>
      <c r="AA168" s="972">
        <f t="shared" si="14"/>
        <v>0</v>
      </c>
      <c r="AB168" s="973"/>
      <c r="AC168" s="459"/>
      <c r="AD168" s="459"/>
      <c r="AE168" s="459"/>
      <c r="AF168" s="459"/>
      <c r="AG168" s="438">
        <f t="shared" si="15"/>
        <v>0</v>
      </c>
      <c r="AH168" s="962">
        <f t="shared" si="16"/>
        <v>0</v>
      </c>
      <c r="AI168" s="439">
        <f t="shared" si="17"/>
        <v>0</v>
      </c>
      <c r="AJ168" s="962">
        <f t="shared" si="18"/>
        <v>0</v>
      </c>
      <c r="AK168" s="457" t="str">
        <f t="shared" si="22"/>
        <v/>
      </c>
      <c r="AL168" s="1230"/>
    </row>
    <row r="169" spans="1:38" hidden="1">
      <c r="A169" s="2105"/>
      <c r="B169" s="2106"/>
      <c r="C169" s="2106"/>
      <c r="D169" s="2106"/>
      <c r="E169" s="2105"/>
      <c r="F169" s="2106"/>
      <c r="G169" s="2106"/>
      <c r="H169" s="2106"/>
      <c r="I169" s="2105"/>
      <c r="J169" s="2106"/>
      <c r="K169" s="2107"/>
      <c r="L169" s="1505" t="str">
        <f t="shared" si="20"/>
        <v/>
      </c>
      <c r="M169" s="347" t="str">
        <f t="shared" si="21"/>
        <v/>
      </c>
      <c r="N169" s="977"/>
      <c r="O169" s="461"/>
      <c r="P169" s="461"/>
      <c r="Q169" s="461"/>
      <c r="R169" s="461"/>
      <c r="S169" s="445">
        <f t="shared" si="11"/>
        <v>0</v>
      </c>
      <c r="T169" s="984">
        <f t="shared" si="12"/>
        <v>0</v>
      </c>
      <c r="U169" s="977"/>
      <c r="V169" s="461"/>
      <c r="W169" s="461"/>
      <c r="X169" s="461"/>
      <c r="Y169" s="461"/>
      <c r="Z169" s="446">
        <f t="shared" si="13"/>
        <v>0</v>
      </c>
      <c r="AA169" s="976">
        <f t="shared" si="14"/>
        <v>0</v>
      </c>
      <c r="AB169" s="977"/>
      <c r="AC169" s="461"/>
      <c r="AD169" s="461"/>
      <c r="AE169" s="461"/>
      <c r="AF169" s="461"/>
      <c r="AG169" s="447">
        <f t="shared" si="15"/>
        <v>0</v>
      </c>
      <c r="AH169" s="964">
        <f t="shared" si="16"/>
        <v>0</v>
      </c>
      <c r="AI169" s="448">
        <f t="shared" si="17"/>
        <v>0</v>
      </c>
      <c r="AJ169" s="964">
        <f t="shared" si="18"/>
        <v>0</v>
      </c>
      <c r="AK169" s="456" t="str">
        <f t="shared" si="22"/>
        <v/>
      </c>
      <c r="AL169" s="1229"/>
    </row>
    <row r="170" spans="1:38" hidden="1">
      <c r="A170" s="2108"/>
      <c r="B170" s="2109"/>
      <c r="C170" s="2109"/>
      <c r="D170" s="2109"/>
      <c r="E170" s="2108"/>
      <c r="F170" s="2109"/>
      <c r="G170" s="2109"/>
      <c r="H170" s="2109"/>
      <c r="I170" s="2108"/>
      <c r="J170" s="2109"/>
      <c r="K170" s="2110"/>
      <c r="L170" s="1506" t="str">
        <f t="shared" si="20"/>
        <v/>
      </c>
      <c r="M170" s="346" t="str">
        <f t="shared" si="21"/>
        <v/>
      </c>
      <c r="N170" s="973"/>
      <c r="O170" s="459"/>
      <c r="P170" s="459"/>
      <c r="Q170" s="459"/>
      <c r="R170" s="459"/>
      <c r="S170" s="34">
        <f t="shared" si="11"/>
        <v>0</v>
      </c>
      <c r="T170" s="982">
        <f t="shared" si="12"/>
        <v>0</v>
      </c>
      <c r="U170" s="973"/>
      <c r="V170" s="459"/>
      <c r="W170" s="459"/>
      <c r="X170" s="459"/>
      <c r="Y170" s="459"/>
      <c r="Z170" s="437">
        <f t="shared" si="13"/>
        <v>0</v>
      </c>
      <c r="AA170" s="972">
        <f t="shared" si="14"/>
        <v>0</v>
      </c>
      <c r="AB170" s="973"/>
      <c r="AC170" s="459"/>
      <c r="AD170" s="459"/>
      <c r="AE170" s="459"/>
      <c r="AF170" s="459"/>
      <c r="AG170" s="438">
        <f t="shared" si="15"/>
        <v>0</v>
      </c>
      <c r="AH170" s="962">
        <f t="shared" si="16"/>
        <v>0</v>
      </c>
      <c r="AI170" s="439">
        <f t="shared" si="17"/>
        <v>0</v>
      </c>
      <c r="AJ170" s="962">
        <f t="shared" si="18"/>
        <v>0</v>
      </c>
      <c r="AK170" s="457" t="str">
        <f t="shared" si="22"/>
        <v/>
      </c>
      <c r="AL170" s="1230"/>
    </row>
    <row r="171" spans="1:38" hidden="1">
      <c r="A171" s="2105"/>
      <c r="B171" s="2106"/>
      <c r="C171" s="2106"/>
      <c r="D171" s="2106"/>
      <c r="E171" s="2105"/>
      <c r="F171" s="2106"/>
      <c r="G171" s="2106"/>
      <c r="H171" s="2106"/>
      <c r="I171" s="2105"/>
      <c r="J171" s="2106"/>
      <c r="K171" s="2107"/>
      <c r="L171" s="1505" t="str">
        <f t="shared" si="20"/>
        <v/>
      </c>
      <c r="M171" s="347" t="str">
        <f t="shared" si="21"/>
        <v/>
      </c>
      <c r="N171" s="977"/>
      <c r="O171" s="461"/>
      <c r="P171" s="461"/>
      <c r="Q171" s="461"/>
      <c r="R171" s="461"/>
      <c r="S171" s="445">
        <f t="shared" si="11"/>
        <v>0</v>
      </c>
      <c r="T171" s="984">
        <f t="shared" si="12"/>
        <v>0</v>
      </c>
      <c r="U171" s="977"/>
      <c r="V171" s="461"/>
      <c r="W171" s="461"/>
      <c r="X171" s="461"/>
      <c r="Y171" s="461"/>
      <c r="Z171" s="446">
        <f t="shared" si="13"/>
        <v>0</v>
      </c>
      <c r="AA171" s="976">
        <f t="shared" si="14"/>
        <v>0</v>
      </c>
      <c r="AB171" s="977"/>
      <c r="AC171" s="461"/>
      <c r="AD171" s="461"/>
      <c r="AE171" s="461"/>
      <c r="AF171" s="461"/>
      <c r="AG171" s="447">
        <f t="shared" si="15"/>
        <v>0</v>
      </c>
      <c r="AH171" s="964">
        <f t="shared" si="16"/>
        <v>0</v>
      </c>
      <c r="AI171" s="448">
        <f t="shared" si="17"/>
        <v>0</v>
      </c>
      <c r="AJ171" s="964">
        <f t="shared" si="18"/>
        <v>0</v>
      </c>
      <c r="AK171" s="456" t="str">
        <f t="shared" si="22"/>
        <v/>
      </c>
      <c r="AL171" s="1229"/>
    </row>
    <row r="172" spans="1:38" hidden="1">
      <c r="A172" s="2108"/>
      <c r="B172" s="2109"/>
      <c r="C172" s="2109"/>
      <c r="D172" s="2109"/>
      <c r="E172" s="2108"/>
      <c r="F172" s="2109"/>
      <c r="G172" s="2109"/>
      <c r="H172" s="2109"/>
      <c r="I172" s="2108"/>
      <c r="J172" s="2109"/>
      <c r="K172" s="2110"/>
      <c r="L172" s="1506" t="str">
        <f t="shared" ref="L172:L192" si="23">IF(E172="","",IF(ISNUMBER(SEARCH("opioid substitute",E172)),"Piece",IF(AND(OR(ISNUMBER(SEARCH("Emtricitabine",E172)),ISNUMBER(SEARCH("Fosamprenavir",E172))), ISNUMBER(SEARCH("Oral",I172))),"Piece","Pack")))</f>
        <v/>
      </c>
      <c r="M172" s="346" t="str">
        <f t="shared" ref="M172:M192" si="24">IF(L172="", "","USD")</f>
        <v/>
      </c>
      <c r="N172" s="973"/>
      <c r="O172" s="459"/>
      <c r="P172" s="459"/>
      <c r="Q172" s="459"/>
      <c r="R172" s="459"/>
      <c r="S172" s="34">
        <f t="shared" ref="S172:S192" si="25">SUM(O172:R172)</f>
        <v>0</v>
      </c>
      <c r="T172" s="982">
        <f t="shared" ref="T172:T192" si="26">S172*N172</f>
        <v>0</v>
      </c>
      <c r="U172" s="973"/>
      <c r="V172" s="459"/>
      <c r="W172" s="459"/>
      <c r="X172" s="459"/>
      <c r="Y172" s="459"/>
      <c r="Z172" s="437">
        <f t="shared" ref="Z172:Z192" si="27">SUM(V172:Y172)</f>
        <v>0</v>
      </c>
      <c r="AA172" s="972">
        <f t="shared" ref="AA172:AA192" si="28">Z172*U172</f>
        <v>0</v>
      </c>
      <c r="AB172" s="973"/>
      <c r="AC172" s="459"/>
      <c r="AD172" s="459"/>
      <c r="AE172" s="459"/>
      <c r="AF172" s="459"/>
      <c r="AG172" s="438">
        <f t="shared" ref="AG172:AG192" si="29">SUM(AC172:AF172)</f>
        <v>0</v>
      </c>
      <c r="AH172" s="962">
        <f t="shared" ref="AH172:AH192" si="30">AG172*AB172</f>
        <v>0</v>
      </c>
      <c r="AI172" s="439">
        <f t="shared" ref="AI172:AI192" si="31">S172+Z172+AG172</f>
        <v>0</v>
      </c>
      <c r="AJ172" s="962">
        <f t="shared" ref="AJ172:AJ192" si="32">T172+AA172+AH172</f>
        <v>0</v>
      </c>
      <c r="AK172" s="457" t="str">
        <f t="shared" ref="AK172:AK192" si="33">IF(ISBLANK(A172),"",IF(OR(ISNUMBER(SEARCH("Isoniazid",E172)), ISNUMBER(SEARCH("Rifapentine",E172))),"4.2",IF(OR(ISNUMBER(SEARCH("Amphotericin",E172)), ISNUMBER(SEARCH("trimoxazole",E172)),ISNUMBER(SEARCH("Fluconazole",E172)),ISNUMBER(SEARCH("Flucytosine",E172)),ISNUMBER(SEARCH("liposomal",E172)),ISNUMBER(SEARCH("Valganciclovir",E172)),ISNUMBER(SEARCH("Other medicines",E172))),"4.5","4.7")))</f>
        <v/>
      </c>
      <c r="AL172" s="1230"/>
    </row>
    <row r="173" spans="1:38" hidden="1">
      <c r="A173" s="2105"/>
      <c r="B173" s="2106"/>
      <c r="C173" s="2106"/>
      <c r="D173" s="2106"/>
      <c r="E173" s="2105"/>
      <c r="F173" s="2106"/>
      <c r="G173" s="2106"/>
      <c r="H173" s="2106"/>
      <c r="I173" s="2105"/>
      <c r="J173" s="2106"/>
      <c r="K173" s="2107"/>
      <c r="L173" s="1505" t="str">
        <f t="shared" si="23"/>
        <v/>
      </c>
      <c r="M173" s="347" t="str">
        <f t="shared" si="24"/>
        <v/>
      </c>
      <c r="N173" s="977"/>
      <c r="O173" s="461"/>
      <c r="P173" s="461"/>
      <c r="Q173" s="461"/>
      <c r="R173" s="461"/>
      <c r="S173" s="445">
        <f t="shared" si="25"/>
        <v>0</v>
      </c>
      <c r="T173" s="984">
        <f t="shared" si="26"/>
        <v>0</v>
      </c>
      <c r="U173" s="977"/>
      <c r="V173" s="461"/>
      <c r="W173" s="461"/>
      <c r="X173" s="461"/>
      <c r="Y173" s="461"/>
      <c r="Z173" s="446">
        <f t="shared" si="27"/>
        <v>0</v>
      </c>
      <c r="AA173" s="976">
        <f t="shared" si="28"/>
        <v>0</v>
      </c>
      <c r="AB173" s="977"/>
      <c r="AC173" s="461"/>
      <c r="AD173" s="461"/>
      <c r="AE173" s="461"/>
      <c r="AF173" s="461"/>
      <c r="AG173" s="447">
        <f t="shared" si="29"/>
        <v>0</v>
      </c>
      <c r="AH173" s="964">
        <f t="shared" si="30"/>
        <v>0</v>
      </c>
      <c r="AI173" s="448">
        <f t="shared" si="31"/>
        <v>0</v>
      </c>
      <c r="AJ173" s="964">
        <f t="shared" si="32"/>
        <v>0</v>
      </c>
      <c r="AK173" s="456" t="str">
        <f t="shared" si="33"/>
        <v/>
      </c>
      <c r="AL173" s="1229"/>
    </row>
    <row r="174" spans="1:38" hidden="1">
      <c r="A174" s="2108"/>
      <c r="B174" s="2109"/>
      <c r="C174" s="2109"/>
      <c r="D174" s="2109"/>
      <c r="E174" s="2108"/>
      <c r="F174" s="2109"/>
      <c r="G174" s="2109"/>
      <c r="H174" s="2109"/>
      <c r="I174" s="2108"/>
      <c r="J174" s="2109"/>
      <c r="K174" s="2110"/>
      <c r="L174" s="1506" t="str">
        <f t="shared" si="23"/>
        <v/>
      </c>
      <c r="M174" s="346" t="str">
        <f t="shared" si="24"/>
        <v/>
      </c>
      <c r="N174" s="973"/>
      <c r="O174" s="459"/>
      <c r="P174" s="459"/>
      <c r="Q174" s="459"/>
      <c r="R174" s="459"/>
      <c r="S174" s="34">
        <f t="shared" si="25"/>
        <v>0</v>
      </c>
      <c r="T174" s="982">
        <f t="shared" si="26"/>
        <v>0</v>
      </c>
      <c r="U174" s="973"/>
      <c r="V174" s="459"/>
      <c r="W174" s="459"/>
      <c r="X174" s="459"/>
      <c r="Y174" s="459"/>
      <c r="Z174" s="437">
        <f t="shared" si="27"/>
        <v>0</v>
      </c>
      <c r="AA174" s="972">
        <f t="shared" si="28"/>
        <v>0</v>
      </c>
      <c r="AB174" s="973"/>
      <c r="AC174" s="459"/>
      <c r="AD174" s="459"/>
      <c r="AE174" s="459"/>
      <c r="AF174" s="459"/>
      <c r="AG174" s="438">
        <f t="shared" si="29"/>
        <v>0</v>
      </c>
      <c r="AH174" s="962">
        <f t="shared" si="30"/>
        <v>0</v>
      </c>
      <c r="AI174" s="439">
        <f t="shared" si="31"/>
        <v>0</v>
      </c>
      <c r="AJ174" s="962">
        <f t="shared" si="32"/>
        <v>0</v>
      </c>
      <c r="AK174" s="457" t="str">
        <f t="shared" si="33"/>
        <v/>
      </c>
      <c r="AL174" s="1230"/>
    </row>
    <row r="175" spans="1:38" hidden="1">
      <c r="A175" s="2105"/>
      <c r="B175" s="2106"/>
      <c r="C175" s="2106"/>
      <c r="D175" s="2106"/>
      <c r="E175" s="2105"/>
      <c r="F175" s="2106"/>
      <c r="G175" s="2106"/>
      <c r="H175" s="2106"/>
      <c r="I175" s="2105"/>
      <c r="J175" s="2106"/>
      <c r="K175" s="2107"/>
      <c r="L175" s="1505" t="str">
        <f t="shared" si="23"/>
        <v/>
      </c>
      <c r="M175" s="347" t="str">
        <f t="shared" si="24"/>
        <v/>
      </c>
      <c r="N175" s="977"/>
      <c r="O175" s="461"/>
      <c r="P175" s="461"/>
      <c r="Q175" s="461"/>
      <c r="R175" s="461"/>
      <c r="S175" s="445">
        <f t="shared" si="25"/>
        <v>0</v>
      </c>
      <c r="T175" s="984">
        <f t="shared" si="26"/>
        <v>0</v>
      </c>
      <c r="U175" s="977"/>
      <c r="V175" s="461"/>
      <c r="W175" s="461"/>
      <c r="X175" s="461"/>
      <c r="Y175" s="461"/>
      <c r="Z175" s="446">
        <f t="shared" si="27"/>
        <v>0</v>
      </c>
      <c r="AA175" s="976">
        <f t="shared" si="28"/>
        <v>0</v>
      </c>
      <c r="AB175" s="977"/>
      <c r="AC175" s="461"/>
      <c r="AD175" s="461"/>
      <c r="AE175" s="461"/>
      <c r="AF175" s="461"/>
      <c r="AG175" s="447">
        <f t="shared" si="29"/>
        <v>0</v>
      </c>
      <c r="AH175" s="964">
        <f t="shared" si="30"/>
        <v>0</v>
      </c>
      <c r="AI175" s="448">
        <f t="shared" si="31"/>
        <v>0</v>
      </c>
      <c r="AJ175" s="964">
        <f t="shared" si="32"/>
        <v>0</v>
      </c>
      <c r="AK175" s="456" t="str">
        <f t="shared" si="33"/>
        <v/>
      </c>
      <c r="AL175" s="1229"/>
    </row>
    <row r="176" spans="1:38" hidden="1">
      <c r="A176" s="2108"/>
      <c r="B176" s="2109"/>
      <c r="C176" s="2109"/>
      <c r="D176" s="2109"/>
      <c r="E176" s="2108"/>
      <c r="F176" s="2109"/>
      <c r="G176" s="2109"/>
      <c r="H176" s="2109"/>
      <c r="I176" s="2108"/>
      <c r="J176" s="2109"/>
      <c r="K176" s="2110"/>
      <c r="L176" s="1506" t="str">
        <f t="shared" si="23"/>
        <v/>
      </c>
      <c r="M176" s="346" t="str">
        <f t="shared" si="24"/>
        <v/>
      </c>
      <c r="N176" s="973"/>
      <c r="O176" s="459"/>
      <c r="P176" s="459"/>
      <c r="Q176" s="459"/>
      <c r="R176" s="459"/>
      <c r="S176" s="34">
        <f t="shared" si="25"/>
        <v>0</v>
      </c>
      <c r="T176" s="982">
        <f t="shared" si="26"/>
        <v>0</v>
      </c>
      <c r="U176" s="973"/>
      <c r="V176" s="459"/>
      <c r="W176" s="459"/>
      <c r="X176" s="459"/>
      <c r="Y176" s="459"/>
      <c r="Z176" s="437">
        <f t="shared" si="27"/>
        <v>0</v>
      </c>
      <c r="AA176" s="972">
        <f t="shared" si="28"/>
        <v>0</v>
      </c>
      <c r="AB176" s="973"/>
      <c r="AC176" s="459"/>
      <c r="AD176" s="459"/>
      <c r="AE176" s="459"/>
      <c r="AF176" s="459"/>
      <c r="AG176" s="438">
        <f t="shared" si="29"/>
        <v>0</v>
      </c>
      <c r="AH176" s="962">
        <f t="shared" si="30"/>
        <v>0</v>
      </c>
      <c r="AI176" s="439">
        <f t="shared" si="31"/>
        <v>0</v>
      </c>
      <c r="AJ176" s="962">
        <f t="shared" si="32"/>
        <v>0</v>
      </c>
      <c r="AK176" s="457" t="str">
        <f t="shared" si="33"/>
        <v/>
      </c>
      <c r="AL176" s="1230"/>
    </row>
    <row r="177" spans="1:38" hidden="1">
      <c r="A177" s="2105"/>
      <c r="B177" s="2106"/>
      <c r="C177" s="2106"/>
      <c r="D177" s="2106"/>
      <c r="E177" s="2105"/>
      <c r="F177" s="2106"/>
      <c r="G177" s="2106"/>
      <c r="H177" s="2106"/>
      <c r="I177" s="2105"/>
      <c r="J177" s="2106"/>
      <c r="K177" s="2107"/>
      <c r="L177" s="1505" t="str">
        <f t="shared" si="23"/>
        <v/>
      </c>
      <c r="M177" s="347" t="str">
        <f t="shared" si="24"/>
        <v/>
      </c>
      <c r="N177" s="977"/>
      <c r="O177" s="461"/>
      <c r="P177" s="461"/>
      <c r="Q177" s="461"/>
      <c r="R177" s="461"/>
      <c r="S177" s="445">
        <f t="shared" si="25"/>
        <v>0</v>
      </c>
      <c r="T177" s="984">
        <f t="shared" si="26"/>
        <v>0</v>
      </c>
      <c r="U177" s="977"/>
      <c r="V177" s="461"/>
      <c r="W177" s="461"/>
      <c r="X177" s="461"/>
      <c r="Y177" s="461"/>
      <c r="Z177" s="446">
        <f t="shared" si="27"/>
        <v>0</v>
      </c>
      <c r="AA177" s="976">
        <f t="shared" si="28"/>
        <v>0</v>
      </c>
      <c r="AB177" s="977"/>
      <c r="AC177" s="461"/>
      <c r="AD177" s="461"/>
      <c r="AE177" s="461"/>
      <c r="AF177" s="461"/>
      <c r="AG177" s="447">
        <f t="shared" si="29"/>
        <v>0</v>
      </c>
      <c r="AH177" s="964">
        <f t="shared" si="30"/>
        <v>0</v>
      </c>
      <c r="AI177" s="448">
        <f t="shared" si="31"/>
        <v>0</v>
      </c>
      <c r="AJ177" s="964">
        <f t="shared" si="32"/>
        <v>0</v>
      </c>
      <c r="AK177" s="456" t="str">
        <f t="shared" si="33"/>
        <v/>
      </c>
      <c r="AL177" s="1229"/>
    </row>
    <row r="178" spans="1:38" hidden="1">
      <c r="A178" s="2108"/>
      <c r="B178" s="2109"/>
      <c r="C178" s="2109"/>
      <c r="D178" s="2109"/>
      <c r="E178" s="2108"/>
      <c r="F178" s="2109"/>
      <c r="G178" s="2109"/>
      <c r="H178" s="2109"/>
      <c r="I178" s="2108"/>
      <c r="J178" s="2109"/>
      <c r="K178" s="2110"/>
      <c r="L178" s="1506" t="str">
        <f t="shared" si="23"/>
        <v/>
      </c>
      <c r="M178" s="346" t="str">
        <f t="shared" si="24"/>
        <v/>
      </c>
      <c r="N178" s="973"/>
      <c r="O178" s="459"/>
      <c r="P178" s="459"/>
      <c r="Q178" s="459"/>
      <c r="R178" s="459"/>
      <c r="S178" s="34">
        <f t="shared" si="25"/>
        <v>0</v>
      </c>
      <c r="T178" s="982">
        <f t="shared" si="26"/>
        <v>0</v>
      </c>
      <c r="U178" s="973"/>
      <c r="V178" s="459"/>
      <c r="W178" s="459"/>
      <c r="X178" s="459"/>
      <c r="Y178" s="459"/>
      <c r="Z178" s="437">
        <f t="shared" si="27"/>
        <v>0</v>
      </c>
      <c r="AA178" s="972">
        <f t="shared" si="28"/>
        <v>0</v>
      </c>
      <c r="AB178" s="973"/>
      <c r="AC178" s="459"/>
      <c r="AD178" s="459"/>
      <c r="AE178" s="459"/>
      <c r="AF178" s="459"/>
      <c r="AG178" s="438">
        <f t="shared" si="29"/>
        <v>0</v>
      </c>
      <c r="AH178" s="962">
        <f t="shared" si="30"/>
        <v>0</v>
      </c>
      <c r="AI178" s="439">
        <f t="shared" si="31"/>
        <v>0</v>
      </c>
      <c r="AJ178" s="962">
        <f t="shared" si="32"/>
        <v>0</v>
      </c>
      <c r="AK178" s="457" t="str">
        <f t="shared" si="33"/>
        <v/>
      </c>
      <c r="AL178" s="1230"/>
    </row>
    <row r="179" spans="1:38" hidden="1">
      <c r="A179" s="2105"/>
      <c r="B179" s="2106"/>
      <c r="C179" s="2106"/>
      <c r="D179" s="2106"/>
      <c r="E179" s="2105"/>
      <c r="F179" s="2106"/>
      <c r="G179" s="2106"/>
      <c r="H179" s="2106"/>
      <c r="I179" s="2105"/>
      <c r="J179" s="2106"/>
      <c r="K179" s="2107"/>
      <c r="L179" s="1505" t="str">
        <f t="shared" si="23"/>
        <v/>
      </c>
      <c r="M179" s="347" t="str">
        <f t="shared" si="24"/>
        <v/>
      </c>
      <c r="N179" s="977"/>
      <c r="O179" s="461"/>
      <c r="P179" s="461"/>
      <c r="Q179" s="461"/>
      <c r="R179" s="461"/>
      <c r="S179" s="445">
        <f t="shared" si="25"/>
        <v>0</v>
      </c>
      <c r="T179" s="984">
        <f t="shared" si="26"/>
        <v>0</v>
      </c>
      <c r="U179" s="977"/>
      <c r="V179" s="461"/>
      <c r="W179" s="461"/>
      <c r="X179" s="461"/>
      <c r="Y179" s="461"/>
      <c r="Z179" s="446">
        <f t="shared" si="27"/>
        <v>0</v>
      </c>
      <c r="AA179" s="976">
        <f t="shared" si="28"/>
        <v>0</v>
      </c>
      <c r="AB179" s="977"/>
      <c r="AC179" s="461"/>
      <c r="AD179" s="461"/>
      <c r="AE179" s="461"/>
      <c r="AF179" s="461"/>
      <c r="AG179" s="447">
        <f t="shared" si="29"/>
        <v>0</v>
      </c>
      <c r="AH179" s="964">
        <f t="shared" si="30"/>
        <v>0</v>
      </c>
      <c r="AI179" s="448">
        <f t="shared" si="31"/>
        <v>0</v>
      </c>
      <c r="AJ179" s="964">
        <f t="shared" si="32"/>
        <v>0</v>
      </c>
      <c r="AK179" s="456" t="str">
        <f t="shared" si="33"/>
        <v/>
      </c>
      <c r="AL179" s="1229"/>
    </row>
    <row r="180" spans="1:38" hidden="1">
      <c r="A180" s="2108"/>
      <c r="B180" s="2109"/>
      <c r="C180" s="2109"/>
      <c r="D180" s="2109"/>
      <c r="E180" s="2108"/>
      <c r="F180" s="2109"/>
      <c r="G180" s="2109"/>
      <c r="H180" s="2109"/>
      <c r="I180" s="2108"/>
      <c r="J180" s="2109"/>
      <c r="K180" s="2110"/>
      <c r="L180" s="1506" t="str">
        <f t="shared" si="23"/>
        <v/>
      </c>
      <c r="M180" s="346" t="str">
        <f t="shared" si="24"/>
        <v/>
      </c>
      <c r="N180" s="973"/>
      <c r="O180" s="459"/>
      <c r="P180" s="459"/>
      <c r="Q180" s="459"/>
      <c r="R180" s="459"/>
      <c r="S180" s="34">
        <f t="shared" si="25"/>
        <v>0</v>
      </c>
      <c r="T180" s="982">
        <f t="shared" si="26"/>
        <v>0</v>
      </c>
      <c r="U180" s="973"/>
      <c r="V180" s="459"/>
      <c r="W180" s="459"/>
      <c r="X180" s="459"/>
      <c r="Y180" s="459"/>
      <c r="Z180" s="437">
        <f t="shared" si="27"/>
        <v>0</v>
      </c>
      <c r="AA180" s="972">
        <f t="shared" si="28"/>
        <v>0</v>
      </c>
      <c r="AB180" s="973"/>
      <c r="AC180" s="459"/>
      <c r="AD180" s="459"/>
      <c r="AE180" s="459"/>
      <c r="AF180" s="459"/>
      <c r="AG180" s="438">
        <f t="shared" si="29"/>
        <v>0</v>
      </c>
      <c r="AH180" s="962">
        <f t="shared" si="30"/>
        <v>0</v>
      </c>
      <c r="AI180" s="439">
        <f t="shared" si="31"/>
        <v>0</v>
      </c>
      <c r="AJ180" s="962">
        <f t="shared" si="32"/>
        <v>0</v>
      </c>
      <c r="AK180" s="457" t="str">
        <f t="shared" si="33"/>
        <v/>
      </c>
      <c r="AL180" s="1230"/>
    </row>
    <row r="181" spans="1:38" hidden="1">
      <c r="A181" s="2105"/>
      <c r="B181" s="2106"/>
      <c r="C181" s="2106"/>
      <c r="D181" s="2106"/>
      <c r="E181" s="2105"/>
      <c r="F181" s="2106"/>
      <c r="G181" s="2106"/>
      <c r="H181" s="2106"/>
      <c r="I181" s="2105"/>
      <c r="J181" s="2106"/>
      <c r="K181" s="2107"/>
      <c r="L181" s="1505" t="str">
        <f t="shared" si="23"/>
        <v/>
      </c>
      <c r="M181" s="347" t="str">
        <f t="shared" si="24"/>
        <v/>
      </c>
      <c r="N181" s="977"/>
      <c r="O181" s="461"/>
      <c r="P181" s="461"/>
      <c r="Q181" s="461"/>
      <c r="R181" s="461"/>
      <c r="S181" s="445">
        <f t="shared" si="25"/>
        <v>0</v>
      </c>
      <c r="T181" s="984">
        <f t="shared" si="26"/>
        <v>0</v>
      </c>
      <c r="U181" s="977"/>
      <c r="V181" s="461"/>
      <c r="W181" s="461"/>
      <c r="X181" s="461"/>
      <c r="Y181" s="461"/>
      <c r="Z181" s="446">
        <f t="shared" si="27"/>
        <v>0</v>
      </c>
      <c r="AA181" s="976">
        <f t="shared" si="28"/>
        <v>0</v>
      </c>
      <c r="AB181" s="977"/>
      <c r="AC181" s="461"/>
      <c r="AD181" s="461"/>
      <c r="AE181" s="461"/>
      <c r="AF181" s="461"/>
      <c r="AG181" s="447">
        <f t="shared" si="29"/>
        <v>0</v>
      </c>
      <c r="AH181" s="964">
        <f t="shared" si="30"/>
        <v>0</v>
      </c>
      <c r="AI181" s="448">
        <f t="shared" si="31"/>
        <v>0</v>
      </c>
      <c r="AJ181" s="964">
        <f t="shared" si="32"/>
        <v>0</v>
      </c>
      <c r="AK181" s="456" t="str">
        <f t="shared" si="33"/>
        <v/>
      </c>
      <c r="AL181" s="1229"/>
    </row>
    <row r="182" spans="1:38" hidden="1">
      <c r="A182" s="2108"/>
      <c r="B182" s="2109"/>
      <c r="C182" s="2109"/>
      <c r="D182" s="2109"/>
      <c r="E182" s="2108"/>
      <c r="F182" s="2109"/>
      <c r="G182" s="2109"/>
      <c r="H182" s="2109"/>
      <c r="I182" s="2108"/>
      <c r="J182" s="2109"/>
      <c r="K182" s="2110"/>
      <c r="L182" s="1506" t="str">
        <f t="shared" si="23"/>
        <v/>
      </c>
      <c r="M182" s="346" t="str">
        <f t="shared" si="24"/>
        <v/>
      </c>
      <c r="N182" s="973"/>
      <c r="O182" s="459"/>
      <c r="P182" s="459"/>
      <c r="Q182" s="459"/>
      <c r="R182" s="459"/>
      <c r="S182" s="34">
        <f t="shared" si="25"/>
        <v>0</v>
      </c>
      <c r="T182" s="982">
        <f t="shared" si="26"/>
        <v>0</v>
      </c>
      <c r="U182" s="973"/>
      <c r="V182" s="459"/>
      <c r="W182" s="459"/>
      <c r="X182" s="459"/>
      <c r="Y182" s="459"/>
      <c r="Z182" s="437">
        <f t="shared" si="27"/>
        <v>0</v>
      </c>
      <c r="AA182" s="972">
        <f t="shared" si="28"/>
        <v>0</v>
      </c>
      <c r="AB182" s="973"/>
      <c r="AC182" s="459"/>
      <c r="AD182" s="459"/>
      <c r="AE182" s="459"/>
      <c r="AF182" s="459"/>
      <c r="AG182" s="438">
        <f t="shared" si="29"/>
        <v>0</v>
      </c>
      <c r="AH182" s="962">
        <f t="shared" si="30"/>
        <v>0</v>
      </c>
      <c r="AI182" s="439">
        <f t="shared" si="31"/>
        <v>0</v>
      </c>
      <c r="AJ182" s="962">
        <f t="shared" si="32"/>
        <v>0</v>
      </c>
      <c r="AK182" s="457" t="str">
        <f t="shared" si="33"/>
        <v/>
      </c>
      <c r="AL182" s="1230"/>
    </row>
    <row r="183" spans="1:38" hidden="1">
      <c r="A183" s="2105"/>
      <c r="B183" s="2106"/>
      <c r="C183" s="2106"/>
      <c r="D183" s="2106"/>
      <c r="E183" s="2105"/>
      <c r="F183" s="2106"/>
      <c r="G183" s="2106"/>
      <c r="H183" s="2106"/>
      <c r="I183" s="2105"/>
      <c r="J183" s="2106"/>
      <c r="K183" s="2107"/>
      <c r="L183" s="1505" t="str">
        <f t="shared" si="23"/>
        <v/>
      </c>
      <c r="M183" s="347" t="str">
        <f t="shared" si="24"/>
        <v/>
      </c>
      <c r="N183" s="977"/>
      <c r="O183" s="461"/>
      <c r="P183" s="461"/>
      <c r="Q183" s="461"/>
      <c r="R183" s="461"/>
      <c r="S183" s="445">
        <f t="shared" si="25"/>
        <v>0</v>
      </c>
      <c r="T183" s="984">
        <f t="shared" si="26"/>
        <v>0</v>
      </c>
      <c r="U183" s="977"/>
      <c r="V183" s="461"/>
      <c r="W183" s="461"/>
      <c r="X183" s="461"/>
      <c r="Y183" s="461"/>
      <c r="Z183" s="446">
        <f t="shared" si="27"/>
        <v>0</v>
      </c>
      <c r="AA183" s="976">
        <f t="shared" si="28"/>
        <v>0</v>
      </c>
      <c r="AB183" s="977"/>
      <c r="AC183" s="461"/>
      <c r="AD183" s="461"/>
      <c r="AE183" s="461"/>
      <c r="AF183" s="461"/>
      <c r="AG183" s="447">
        <f t="shared" si="29"/>
        <v>0</v>
      </c>
      <c r="AH183" s="964">
        <f t="shared" si="30"/>
        <v>0</v>
      </c>
      <c r="AI183" s="448">
        <f t="shared" si="31"/>
        <v>0</v>
      </c>
      <c r="AJ183" s="964">
        <f t="shared" si="32"/>
        <v>0</v>
      </c>
      <c r="AK183" s="456" t="str">
        <f t="shared" si="33"/>
        <v/>
      </c>
      <c r="AL183" s="1229"/>
    </row>
    <row r="184" spans="1:38" hidden="1">
      <c r="A184" s="2108"/>
      <c r="B184" s="2109"/>
      <c r="C184" s="2109"/>
      <c r="D184" s="2109"/>
      <c r="E184" s="2108"/>
      <c r="F184" s="2109"/>
      <c r="G184" s="2109"/>
      <c r="H184" s="2109"/>
      <c r="I184" s="2108"/>
      <c r="J184" s="2109"/>
      <c r="K184" s="2110"/>
      <c r="L184" s="1506" t="str">
        <f t="shared" si="23"/>
        <v/>
      </c>
      <c r="M184" s="346" t="str">
        <f t="shared" si="24"/>
        <v/>
      </c>
      <c r="N184" s="973"/>
      <c r="O184" s="459"/>
      <c r="P184" s="459"/>
      <c r="Q184" s="459"/>
      <c r="R184" s="459"/>
      <c r="S184" s="34">
        <f t="shared" si="25"/>
        <v>0</v>
      </c>
      <c r="T184" s="982">
        <f t="shared" si="26"/>
        <v>0</v>
      </c>
      <c r="U184" s="973"/>
      <c r="V184" s="459"/>
      <c r="W184" s="459"/>
      <c r="X184" s="459"/>
      <c r="Y184" s="459"/>
      <c r="Z184" s="437">
        <f t="shared" si="27"/>
        <v>0</v>
      </c>
      <c r="AA184" s="972">
        <f t="shared" si="28"/>
        <v>0</v>
      </c>
      <c r="AB184" s="973"/>
      <c r="AC184" s="459"/>
      <c r="AD184" s="459"/>
      <c r="AE184" s="459"/>
      <c r="AF184" s="459"/>
      <c r="AG184" s="438">
        <f t="shared" si="29"/>
        <v>0</v>
      </c>
      <c r="AH184" s="962">
        <f t="shared" si="30"/>
        <v>0</v>
      </c>
      <c r="AI184" s="439">
        <f t="shared" si="31"/>
        <v>0</v>
      </c>
      <c r="AJ184" s="962">
        <f t="shared" si="32"/>
        <v>0</v>
      </c>
      <c r="AK184" s="457" t="str">
        <f t="shared" si="33"/>
        <v/>
      </c>
      <c r="AL184" s="1230"/>
    </row>
    <row r="185" spans="1:38" hidden="1">
      <c r="A185" s="2105"/>
      <c r="B185" s="2106"/>
      <c r="C185" s="2106"/>
      <c r="D185" s="2106"/>
      <c r="E185" s="2105"/>
      <c r="F185" s="2106"/>
      <c r="G185" s="2106"/>
      <c r="H185" s="2106"/>
      <c r="I185" s="2105"/>
      <c r="J185" s="2106"/>
      <c r="K185" s="2107"/>
      <c r="L185" s="1505" t="str">
        <f t="shared" si="23"/>
        <v/>
      </c>
      <c r="M185" s="347" t="str">
        <f t="shared" si="24"/>
        <v/>
      </c>
      <c r="N185" s="977"/>
      <c r="O185" s="461"/>
      <c r="P185" s="461"/>
      <c r="Q185" s="461"/>
      <c r="R185" s="461"/>
      <c r="S185" s="445">
        <f t="shared" si="25"/>
        <v>0</v>
      </c>
      <c r="T185" s="984">
        <f t="shared" si="26"/>
        <v>0</v>
      </c>
      <c r="U185" s="977"/>
      <c r="V185" s="461"/>
      <c r="W185" s="461"/>
      <c r="X185" s="461"/>
      <c r="Y185" s="461"/>
      <c r="Z185" s="446">
        <f t="shared" si="27"/>
        <v>0</v>
      </c>
      <c r="AA185" s="976">
        <f t="shared" si="28"/>
        <v>0</v>
      </c>
      <c r="AB185" s="977"/>
      <c r="AC185" s="461"/>
      <c r="AD185" s="461"/>
      <c r="AE185" s="461"/>
      <c r="AF185" s="461"/>
      <c r="AG185" s="447">
        <f t="shared" si="29"/>
        <v>0</v>
      </c>
      <c r="AH185" s="964">
        <f t="shared" si="30"/>
        <v>0</v>
      </c>
      <c r="AI185" s="448">
        <f t="shared" si="31"/>
        <v>0</v>
      </c>
      <c r="AJ185" s="964">
        <f t="shared" si="32"/>
        <v>0</v>
      </c>
      <c r="AK185" s="456" t="str">
        <f t="shared" si="33"/>
        <v/>
      </c>
      <c r="AL185" s="1229"/>
    </row>
    <row r="186" spans="1:38" hidden="1">
      <c r="A186" s="2108"/>
      <c r="B186" s="2109"/>
      <c r="C186" s="2109"/>
      <c r="D186" s="2109"/>
      <c r="E186" s="2108"/>
      <c r="F186" s="2109"/>
      <c r="G186" s="2109"/>
      <c r="H186" s="2109"/>
      <c r="I186" s="2108"/>
      <c r="J186" s="2109"/>
      <c r="K186" s="2110"/>
      <c r="L186" s="1506" t="str">
        <f t="shared" si="23"/>
        <v/>
      </c>
      <c r="M186" s="346" t="str">
        <f t="shared" si="24"/>
        <v/>
      </c>
      <c r="N186" s="973"/>
      <c r="O186" s="459"/>
      <c r="P186" s="459"/>
      <c r="Q186" s="459"/>
      <c r="R186" s="459"/>
      <c r="S186" s="34">
        <f t="shared" si="25"/>
        <v>0</v>
      </c>
      <c r="T186" s="982">
        <f t="shared" si="26"/>
        <v>0</v>
      </c>
      <c r="U186" s="973"/>
      <c r="V186" s="459"/>
      <c r="W186" s="459"/>
      <c r="X186" s="459"/>
      <c r="Y186" s="459"/>
      <c r="Z186" s="437">
        <f t="shared" si="27"/>
        <v>0</v>
      </c>
      <c r="AA186" s="972">
        <f t="shared" si="28"/>
        <v>0</v>
      </c>
      <c r="AB186" s="973"/>
      <c r="AC186" s="459"/>
      <c r="AD186" s="459"/>
      <c r="AE186" s="459"/>
      <c r="AF186" s="459"/>
      <c r="AG186" s="438">
        <f t="shared" si="29"/>
        <v>0</v>
      </c>
      <c r="AH186" s="962">
        <f t="shared" si="30"/>
        <v>0</v>
      </c>
      <c r="AI186" s="439">
        <f t="shared" si="31"/>
        <v>0</v>
      </c>
      <c r="AJ186" s="962">
        <f t="shared" si="32"/>
        <v>0</v>
      </c>
      <c r="AK186" s="457" t="str">
        <f t="shared" si="33"/>
        <v/>
      </c>
      <c r="AL186" s="1230"/>
    </row>
    <row r="187" spans="1:38" hidden="1">
      <c r="A187" s="2105"/>
      <c r="B187" s="2106"/>
      <c r="C187" s="2106"/>
      <c r="D187" s="2106"/>
      <c r="E187" s="2105"/>
      <c r="F187" s="2106"/>
      <c r="G187" s="2106"/>
      <c r="H187" s="2106"/>
      <c r="I187" s="2105"/>
      <c r="J187" s="2106"/>
      <c r="K187" s="2107"/>
      <c r="L187" s="1505" t="str">
        <f t="shared" si="23"/>
        <v/>
      </c>
      <c r="M187" s="347" t="str">
        <f t="shared" si="24"/>
        <v/>
      </c>
      <c r="N187" s="977"/>
      <c r="O187" s="461"/>
      <c r="P187" s="461"/>
      <c r="Q187" s="461"/>
      <c r="R187" s="461"/>
      <c r="S187" s="445">
        <f t="shared" si="25"/>
        <v>0</v>
      </c>
      <c r="T187" s="984">
        <f t="shared" si="26"/>
        <v>0</v>
      </c>
      <c r="U187" s="977"/>
      <c r="V187" s="461"/>
      <c r="W187" s="461"/>
      <c r="X187" s="461"/>
      <c r="Y187" s="461"/>
      <c r="Z187" s="446">
        <f t="shared" si="27"/>
        <v>0</v>
      </c>
      <c r="AA187" s="976">
        <f t="shared" si="28"/>
        <v>0</v>
      </c>
      <c r="AB187" s="977"/>
      <c r="AC187" s="461"/>
      <c r="AD187" s="461"/>
      <c r="AE187" s="461"/>
      <c r="AF187" s="461"/>
      <c r="AG187" s="447">
        <f t="shared" si="29"/>
        <v>0</v>
      </c>
      <c r="AH187" s="964">
        <f t="shared" si="30"/>
        <v>0</v>
      </c>
      <c r="AI187" s="448">
        <f t="shared" si="31"/>
        <v>0</v>
      </c>
      <c r="AJ187" s="964">
        <f t="shared" si="32"/>
        <v>0</v>
      </c>
      <c r="AK187" s="456" t="str">
        <f t="shared" si="33"/>
        <v/>
      </c>
      <c r="AL187" s="1229"/>
    </row>
    <row r="188" spans="1:38" hidden="1">
      <c r="A188" s="2108"/>
      <c r="B188" s="2109"/>
      <c r="C188" s="2109"/>
      <c r="D188" s="2109"/>
      <c r="E188" s="2108"/>
      <c r="F188" s="2109"/>
      <c r="G188" s="2109"/>
      <c r="H188" s="2109"/>
      <c r="I188" s="2108"/>
      <c r="J188" s="2109"/>
      <c r="K188" s="2110"/>
      <c r="L188" s="1506" t="str">
        <f t="shared" si="23"/>
        <v/>
      </c>
      <c r="M188" s="346" t="str">
        <f t="shared" si="24"/>
        <v/>
      </c>
      <c r="N188" s="973"/>
      <c r="O188" s="459"/>
      <c r="P188" s="459"/>
      <c r="Q188" s="459"/>
      <c r="R188" s="459"/>
      <c r="S188" s="34">
        <f t="shared" si="25"/>
        <v>0</v>
      </c>
      <c r="T188" s="982">
        <f t="shared" si="26"/>
        <v>0</v>
      </c>
      <c r="U188" s="973"/>
      <c r="V188" s="459"/>
      <c r="W188" s="459"/>
      <c r="X188" s="459"/>
      <c r="Y188" s="459"/>
      <c r="Z188" s="437">
        <f t="shared" si="27"/>
        <v>0</v>
      </c>
      <c r="AA188" s="972">
        <f t="shared" si="28"/>
        <v>0</v>
      </c>
      <c r="AB188" s="973"/>
      <c r="AC188" s="459"/>
      <c r="AD188" s="459"/>
      <c r="AE188" s="459"/>
      <c r="AF188" s="459"/>
      <c r="AG188" s="438">
        <f t="shared" si="29"/>
        <v>0</v>
      </c>
      <c r="AH188" s="962">
        <f t="shared" si="30"/>
        <v>0</v>
      </c>
      <c r="AI188" s="439">
        <f t="shared" si="31"/>
        <v>0</v>
      </c>
      <c r="AJ188" s="962">
        <f t="shared" si="32"/>
        <v>0</v>
      </c>
      <c r="AK188" s="457" t="str">
        <f t="shared" si="33"/>
        <v/>
      </c>
      <c r="AL188" s="1230"/>
    </row>
    <row r="189" spans="1:38" hidden="1">
      <c r="A189" s="2105"/>
      <c r="B189" s="2106"/>
      <c r="C189" s="2106"/>
      <c r="D189" s="2106"/>
      <c r="E189" s="2105"/>
      <c r="F189" s="2106"/>
      <c r="G189" s="2106"/>
      <c r="H189" s="2106"/>
      <c r="I189" s="2105"/>
      <c r="J189" s="2106"/>
      <c r="K189" s="2107"/>
      <c r="L189" s="1505" t="str">
        <f t="shared" si="23"/>
        <v/>
      </c>
      <c r="M189" s="347" t="str">
        <f t="shared" si="24"/>
        <v/>
      </c>
      <c r="N189" s="975"/>
      <c r="O189" s="461"/>
      <c r="P189" s="461"/>
      <c r="Q189" s="461"/>
      <c r="R189" s="461"/>
      <c r="S189" s="445">
        <f t="shared" si="25"/>
        <v>0</v>
      </c>
      <c r="T189" s="984">
        <f t="shared" si="26"/>
        <v>0</v>
      </c>
      <c r="U189" s="975"/>
      <c r="V189" s="461"/>
      <c r="W189" s="461"/>
      <c r="X189" s="461"/>
      <c r="Y189" s="461"/>
      <c r="Z189" s="446">
        <f t="shared" si="27"/>
        <v>0</v>
      </c>
      <c r="AA189" s="976">
        <f t="shared" si="28"/>
        <v>0</v>
      </c>
      <c r="AB189" s="975"/>
      <c r="AC189" s="461"/>
      <c r="AD189" s="461"/>
      <c r="AE189" s="461"/>
      <c r="AF189" s="461"/>
      <c r="AG189" s="447">
        <f t="shared" si="29"/>
        <v>0</v>
      </c>
      <c r="AH189" s="964">
        <f t="shared" si="30"/>
        <v>0</v>
      </c>
      <c r="AI189" s="448">
        <f t="shared" si="31"/>
        <v>0</v>
      </c>
      <c r="AJ189" s="964">
        <f t="shared" si="32"/>
        <v>0</v>
      </c>
      <c r="AK189" s="456" t="str">
        <f t="shared" si="33"/>
        <v/>
      </c>
      <c r="AL189" s="1229"/>
    </row>
    <row r="190" spans="1:38" hidden="1">
      <c r="A190" s="2108"/>
      <c r="B190" s="2109"/>
      <c r="C190" s="2109"/>
      <c r="D190" s="2109"/>
      <c r="E190" s="2108"/>
      <c r="F190" s="2109"/>
      <c r="G190" s="2109"/>
      <c r="H190" s="2109"/>
      <c r="I190" s="2108"/>
      <c r="J190" s="2109"/>
      <c r="K190" s="2110"/>
      <c r="L190" s="1506" t="str">
        <f t="shared" si="23"/>
        <v/>
      </c>
      <c r="M190" s="346" t="str">
        <f t="shared" si="24"/>
        <v/>
      </c>
      <c r="N190" s="973"/>
      <c r="O190" s="459"/>
      <c r="P190" s="459"/>
      <c r="Q190" s="459"/>
      <c r="R190" s="459"/>
      <c r="S190" s="34">
        <f t="shared" si="25"/>
        <v>0</v>
      </c>
      <c r="T190" s="982">
        <f t="shared" si="26"/>
        <v>0</v>
      </c>
      <c r="U190" s="973"/>
      <c r="V190" s="459"/>
      <c r="W190" s="459"/>
      <c r="X190" s="459"/>
      <c r="Y190" s="459"/>
      <c r="Z190" s="437">
        <f t="shared" si="27"/>
        <v>0</v>
      </c>
      <c r="AA190" s="972">
        <f t="shared" si="28"/>
        <v>0</v>
      </c>
      <c r="AB190" s="973"/>
      <c r="AC190" s="459"/>
      <c r="AD190" s="459"/>
      <c r="AE190" s="459"/>
      <c r="AF190" s="459"/>
      <c r="AG190" s="438">
        <f t="shared" si="29"/>
        <v>0</v>
      </c>
      <c r="AH190" s="962">
        <f t="shared" si="30"/>
        <v>0</v>
      </c>
      <c r="AI190" s="439">
        <f t="shared" si="31"/>
        <v>0</v>
      </c>
      <c r="AJ190" s="962">
        <f t="shared" si="32"/>
        <v>0</v>
      </c>
      <c r="AK190" s="457" t="str">
        <f t="shared" si="33"/>
        <v/>
      </c>
      <c r="AL190" s="1230"/>
    </row>
    <row r="191" spans="1:38" hidden="1">
      <c r="A191" s="2105"/>
      <c r="B191" s="2106"/>
      <c r="C191" s="2106"/>
      <c r="D191" s="2106"/>
      <c r="E191" s="2105"/>
      <c r="F191" s="2106"/>
      <c r="G191" s="2106"/>
      <c r="H191" s="2106"/>
      <c r="I191" s="2105"/>
      <c r="J191" s="2106"/>
      <c r="K191" s="2107"/>
      <c r="L191" s="1505" t="str">
        <f t="shared" si="23"/>
        <v/>
      </c>
      <c r="M191" s="347" t="str">
        <f t="shared" si="24"/>
        <v/>
      </c>
      <c r="N191" s="975"/>
      <c r="O191" s="461"/>
      <c r="P191" s="461"/>
      <c r="Q191" s="461"/>
      <c r="R191" s="461"/>
      <c r="S191" s="445">
        <f t="shared" si="25"/>
        <v>0</v>
      </c>
      <c r="T191" s="984">
        <f t="shared" si="26"/>
        <v>0</v>
      </c>
      <c r="U191" s="975"/>
      <c r="V191" s="461"/>
      <c r="W191" s="461"/>
      <c r="X191" s="461"/>
      <c r="Y191" s="461"/>
      <c r="Z191" s="446">
        <f t="shared" si="27"/>
        <v>0</v>
      </c>
      <c r="AA191" s="976">
        <f t="shared" si="28"/>
        <v>0</v>
      </c>
      <c r="AB191" s="975"/>
      <c r="AC191" s="461"/>
      <c r="AD191" s="461"/>
      <c r="AE191" s="461"/>
      <c r="AF191" s="461"/>
      <c r="AG191" s="447">
        <f t="shared" si="29"/>
        <v>0</v>
      </c>
      <c r="AH191" s="964">
        <f t="shared" si="30"/>
        <v>0</v>
      </c>
      <c r="AI191" s="448">
        <f t="shared" si="31"/>
        <v>0</v>
      </c>
      <c r="AJ191" s="964">
        <f t="shared" si="32"/>
        <v>0</v>
      </c>
      <c r="AK191" s="456" t="str">
        <f t="shared" si="33"/>
        <v/>
      </c>
      <c r="AL191" s="1229"/>
    </row>
    <row r="192" spans="1:38" ht="15" thickBot="1">
      <c r="A192" s="2111"/>
      <c r="B192" s="2112"/>
      <c r="C192" s="2112"/>
      <c r="D192" s="2112"/>
      <c r="E192" s="2111"/>
      <c r="F192" s="2112"/>
      <c r="G192" s="2112"/>
      <c r="H192" s="2112"/>
      <c r="I192" s="2111"/>
      <c r="J192" s="2112"/>
      <c r="K192" s="2113"/>
      <c r="L192" s="1507" t="str">
        <f t="shared" si="23"/>
        <v/>
      </c>
      <c r="M192" s="1508" t="str">
        <f t="shared" si="24"/>
        <v/>
      </c>
      <c r="N192" s="978"/>
      <c r="O192" s="462"/>
      <c r="P192" s="462"/>
      <c r="Q192" s="462"/>
      <c r="R192" s="462"/>
      <c r="S192" s="451">
        <f t="shared" si="25"/>
        <v>0</v>
      </c>
      <c r="T192" s="985">
        <f t="shared" si="26"/>
        <v>0</v>
      </c>
      <c r="U192" s="978"/>
      <c r="V192" s="462"/>
      <c r="W192" s="462"/>
      <c r="X192" s="462"/>
      <c r="Y192" s="462"/>
      <c r="Z192" s="452">
        <f t="shared" si="27"/>
        <v>0</v>
      </c>
      <c r="AA192" s="965">
        <f t="shared" si="28"/>
        <v>0</v>
      </c>
      <c r="AB192" s="978"/>
      <c r="AC192" s="462"/>
      <c r="AD192" s="462"/>
      <c r="AE192" s="462"/>
      <c r="AF192" s="462"/>
      <c r="AG192" s="452">
        <f t="shared" si="29"/>
        <v>0</v>
      </c>
      <c r="AH192" s="965">
        <f t="shared" si="30"/>
        <v>0</v>
      </c>
      <c r="AI192" s="453">
        <f t="shared" si="31"/>
        <v>0</v>
      </c>
      <c r="AJ192" s="965">
        <f t="shared" si="32"/>
        <v>0</v>
      </c>
      <c r="AK192" s="46" t="str">
        <f t="shared" si="33"/>
        <v/>
      </c>
      <c r="AL192" s="1231"/>
    </row>
  </sheetData>
  <sheetProtection algorithmName="SHA-512" hashValue="Gkr2BZQAlKTs+ABgY4il/Y66OHG7dsUM1juOus2i6GXuLjo4AJbiTEgJf8J6NR6WxMEUnfaE58nXboqS+Xgwfw==" saltValue="7hADhwF4Uu8E3+HY1ertWQ==" spinCount="100000" sheet="1" formatColumns="0" formatRows="0" selectLockedCells="1" autoFilter="0"/>
  <mergeCells count="564">
    <mergeCell ref="A103:M103"/>
    <mergeCell ref="AL12:AL13"/>
    <mergeCell ref="AL105:AL106"/>
    <mergeCell ref="A192:D192"/>
    <mergeCell ref="E192:H192"/>
    <mergeCell ref="I192:K192"/>
    <mergeCell ref="A189:D189"/>
    <mergeCell ref="E189:H189"/>
    <mergeCell ref="I189:K189"/>
    <mergeCell ref="A190:D190"/>
    <mergeCell ref="E190:H190"/>
    <mergeCell ref="I190:K190"/>
    <mergeCell ref="A191:D191"/>
    <mergeCell ref="E191:H191"/>
    <mergeCell ref="I191:K191"/>
    <mergeCell ref="A186:D186"/>
    <mergeCell ref="E186:H186"/>
    <mergeCell ref="I186:K186"/>
    <mergeCell ref="A187:D187"/>
    <mergeCell ref="E187:H187"/>
    <mergeCell ref="I187:K187"/>
    <mergeCell ref="A188:D188"/>
    <mergeCell ref="E188:H188"/>
    <mergeCell ref="I188:K188"/>
    <mergeCell ref="A183:D183"/>
    <mergeCell ref="E183:H183"/>
    <mergeCell ref="I183:K183"/>
    <mergeCell ref="A184:D184"/>
    <mergeCell ref="E184:H184"/>
    <mergeCell ref="I184:K184"/>
    <mergeCell ref="A185:D185"/>
    <mergeCell ref="E185:H185"/>
    <mergeCell ref="I185:K185"/>
    <mergeCell ref="A180:D180"/>
    <mergeCell ref="E180:H180"/>
    <mergeCell ref="I180:K180"/>
    <mergeCell ref="A181:D181"/>
    <mergeCell ref="E181:H181"/>
    <mergeCell ref="I181:K181"/>
    <mergeCell ref="A182:D182"/>
    <mergeCell ref="E182:H182"/>
    <mergeCell ref="I182:K182"/>
    <mergeCell ref="A177:D177"/>
    <mergeCell ref="E177:H177"/>
    <mergeCell ref="I177:K177"/>
    <mergeCell ref="A178:D178"/>
    <mergeCell ref="E178:H178"/>
    <mergeCell ref="I178:K178"/>
    <mergeCell ref="A179:D179"/>
    <mergeCell ref="E179:H179"/>
    <mergeCell ref="I179:K179"/>
    <mergeCell ref="A174:D174"/>
    <mergeCell ref="E174:H174"/>
    <mergeCell ref="I174:K174"/>
    <mergeCell ref="A175:D175"/>
    <mergeCell ref="E175:H175"/>
    <mergeCell ref="I175:K175"/>
    <mergeCell ref="A176:D176"/>
    <mergeCell ref="E176:H176"/>
    <mergeCell ref="I176:K176"/>
    <mergeCell ref="A171:D171"/>
    <mergeCell ref="E171:H171"/>
    <mergeCell ref="I171:K171"/>
    <mergeCell ref="A172:D172"/>
    <mergeCell ref="E172:H172"/>
    <mergeCell ref="I172:K172"/>
    <mergeCell ref="A173:D173"/>
    <mergeCell ref="E173:H173"/>
    <mergeCell ref="I173:K173"/>
    <mergeCell ref="A168:D168"/>
    <mergeCell ref="E168:H168"/>
    <mergeCell ref="I168:K168"/>
    <mergeCell ref="A169:D169"/>
    <mergeCell ref="E169:H169"/>
    <mergeCell ref="I169:K169"/>
    <mergeCell ref="A170:D170"/>
    <mergeCell ref="E170:H170"/>
    <mergeCell ref="I170:K170"/>
    <mergeCell ref="A165:D165"/>
    <mergeCell ref="E165:H165"/>
    <mergeCell ref="I165:K165"/>
    <mergeCell ref="A166:D166"/>
    <mergeCell ref="E166:H166"/>
    <mergeCell ref="I166:K166"/>
    <mergeCell ref="A167:D167"/>
    <mergeCell ref="E167:H167"/>
    <mergeCell ref="I167:K167"/>
    <mergeCell ref="A162:D162"/>
    <mergeCell ref="E162:H162"/>
    <mergeCell ref="I162:K162"/>
    <mergeCell ref="A163:D163"/>
    <mergeCell ref="E163:H163"/>
    <mergeCell ref="I163:K163"/>
    <mergeCell ref="A164:D164"/>
    <mergeCell ref="E164:H164"/>
    <mergeCell ref="I164:K164"/>
    <mergeCell ref="A159:D159"/>
    <mergeCell ref="E159:H159"/>
    <mergeCell ref="I159:K159"/>
    <mergeCell ref="A160:D160"/>
    <mergeCell ref="E160:H160"/>
    <mergeCell ref="I160:K160"/>
    <mergeCell ref="A161:D161"/>
    <mergeCell ref="E161:H161"/>
    <mergeCell ref="I161:K161"/>
    <mergeCell ref="A156:D156"/>
    <mergeCell ref="E156:H156"/>
    <mergeCell ref="I156:K156"/>
    <mergeCell ref="A157:D157"/>
    <mergeCell ref="E157:H157"/>
    <mergeCell ref="I157:K157"/>
    <mergeCell ref="A158:D158"/>
    <mergeCell ref="E158:H158"/>
    <mergeCell ref="I158:K158"/>
    <mergeCell ref="A153:D153"/>
    <mergeCell ref="E153:H153"/>
    <mergeCell ref="I153:K153"/>
    <mergeCell ref="A154:D154"/>
    <mergeCell ref="E154:H154"/>
    <mergeCell ref="I154:K154"/>
    <mergeCell ref="A155:D155"/>
    <mergeCell ref="E155:H155"/>
    <mergeCell ref="I155:K155"/>
    <mergeCell ref="A150:D150"/>
    <mergeCell ref="E150:H150"/>
    <mergeCell ref="I150:K150"/>
    <mergeCell ref="A151:D151"/>
    <mergeCell ref="E151:H151"/>
    <mergeCell ref="I151:K151"/>
    <mergeCell ref="A152:D152"/>
    <mergeCell ref="E152:H152"/>
    <mergeCell ref="I152:K152"/>
    <mergeCell ref="A147:D147"/>
    <mergeCell ref="E147:H147"/>
    <mergeCell ref="I147:K147"/>
    <mergeCell ref="A148:D148"/>
    <mergeCell ref="E148:H148"/>
    <mergeCell ref="I148:K148"/>
    <mergeCell ref="A149:D149"/>
    <mergeCell ref="E149:H149"/>
    <mergeCell ref="I149:K149"/>
    <mergeCell ref="A144:D144"/>
    <mergeCell ref="E144:H144"/>
    <mergeCell ref="I144:K144"/>
    <mergeCell ref="A145:D145"/>
    <mergeCell ref="E145:H145"/>
    <mergeCell ref="I145:K145"/>
    <mergeCell ref="A146:D146"/>
    <mergeCell ref="E146:H146"/>
    <mergeCell ref="I146:K146"/>
    <mergeCell ref="A141:D141"/>
    <mergeCell ref="E141:H141"/>
    <mergeCell ref="I141:K141"/>
    <mergeCell ref="A142:D142"/>
    <mergeCell ref="E142:H142"/>
    <mergeCell ref="I142:K142"/>
    <mergeCell ref="A143:D143"/>
    <mergeCell ref="E143:H143"/>
    <mergeCell ref="I143:K143"/>
    <mergeCell ref="A138:D138"/>
    <mergeCell ref="E138:H138"/>
    <mergeCell ref="I138:K138"/>
    <mergeCell ref="A139:D139"/>
    <mergeCell ref="E139:H139"/>
    <mergeCell ref="I139:K139"/>
    <mergeCell ref="A140:D140"/>
    <mergeCell ref="E140:H140"/>
    <mergeCell ref="I140:K140"/>
    <mergeCell ref="A135:D135"/>
    <mergeCell ref="E135:H135"/>
    <mergeCell ref="I135:K135"/>
    <mergeCell ref="A136:D136"/>
    <mergeCell ref="E136:H136"/>
    <mergeCell ref="I136:K136"/>
    <mergeCell ref="A137:D137"/>
    <mergeCell ref="E137:H137"/>
    <mergeCell ref="I137:K137"/>
    <mergeCell ref="A132:D132"/>
    <mergeCell ref="E132:H132"/>
    <mergeCell ref="I132:K132"/>
    <mergeCell ref="A133:D133"/>
    <mergeCell ref="E133:H133"/>
    <mergeCell ref="I133:K133"/>
    <mergeCell ref="A134:D134"/>
    <mergeCell ref="E134:H134"/>
    <mergeCell ref="I134:K134"/>
    <mergeCell ref="A129:D129"/>
    <mergeCell ref="E129:H129"/>
    <mergeCell ref="I129:K129"/>
    <mergeCell ref="A130:D130"/>
    <mergeCell ref="E130:H130"/>
    <mergeCell ref="I130:K130"/>
    <mergeCell ref="A131:D131"/>
    <mergeCell ref="E131:H131"/>
    <mergeCell ref="I131:K131"/>
    <mergeCell ref="A126:D126"/>
    <mergeCell ref="E126:H126"/>
    <mergeCell ref="I126:K126"/>
    <mergeCell ref="A127:D127"/>
    <mergeCell ref="E127:H127"/>
    <mergeCell ref="I127:K127"/>
    <mergeCell ref="A128:D128"/>
    <mergeCell ref="E128:H128"/>
    <mergeCell ref="I128:K128"/>
    <mergeCell ref="A123:D123"/>
    <mergeCell ref="E123:H123"/>
    <mergeCell ref="I123:K123"/>
    <mergeCell ref="A124:D124"/>
    <mergeCell ref="E124:H124"/>
    <mergeCell ref="I124:K124"/>
    <mergeCell ref="A125:D125"/>
    <mergeCell ref="E125:H125"/>
    <mergeCell ref="I125:K125"/>
    <mergeCell ref="A120:D120"/>
    <mergeCell ref="E120:H120"/>
    <mergeCell ref="I120:K120"/>
    <mergeCell ref="A121:D121"/>
    <mergeCell ref="E121:H121"/>
    <mergeCell ref="I121:K121"/>
    <mergeCell ref="A122:D122"/>
    <mergeCell ref="E122:H122"/>
    <mergeCell ref="I122:K122"/>
    <mergeCell ref="A117:D117"/>
    <mergeCell ref="E117:H117"/>
    <mergeCell ref="I117:K117"/>
    <mergeCell ref="A118:D118"/>
    <mergeCell ref="E118:H118"/>
    <mergeCell ref="I118:K118"/>
    <mergeCell ref="A119:D119"/>
    <mergeCell ref="E119:H119"/>
    <mergeCell ref="I119:K119"/>
    <mergeCell ref="A114:D114"/>
    <mergeCell ref="E114:H114"/>
    <mergeCell ref="I114:K114"/>
    <mergeCell ref="A115:D115"/>
    <mergeCell ref="E115:H115"/>
    <mergeCell ref="I115:K115"/>
    <mergeCell ref="A116:D116"/>
    <mergeCell ref="E116:H116"/>
    <mergeCell ref="I116:K116"/>
    <mergeCell ref="A107:D107"/>
    <mergeCell ref="E107:H107"/>
    <mergeCell ref="I107:K107"/>
    <mergeCell ref="A108:D108"/>
    <mergeCell ref="E108:H108"/>
    <mergeCell ref="I108:K108"/>
    <mergeCell ref="A109:D109"/>
    <mergeCell ref="E109:H109"/>
    <mergeCell ref="I109:K109"/>
    <mergeCell ref="A105:D106"/>
    <mergeCell ref="E105:H106"/>
    <mergeCell ref="I105:K106"/>
    <mergeCell ref="L105:L106"/>
    <mergeCell ref="M105:M106"/>
    <mergeCell ref="N105:T105"/>
    <mergeCell ref="U105:AA105"/>
    <mergeCell ref="AB105:AH105"/>
    <mergeCell ref="AI105:AJ105"/>
    <mergeCell ref="A95:D95"/>
    <mergeCell ref="A96:D96"/>
    <mergeCell ref="A97:D97"/>
    <mergeCell ref="A98:D98"/>
    <mergeCell ref="A99:D99"/>
    <mergeCell ref="A84:D84"/>
    <mergeCell ref="A85:D85"/>
    <mergeCell ref="A86:D86"/>
    <mergeCell ref="A87:D87"/>
    <mergeCell ref="A88:D88"/>
    <mergeCell ref="A89:D89"/>
    <mergeCell ref="A90:D90"/>
    <mergeCell ref="A91:D91"/>
    <mergeCell ref="A92:D92"/>
    <mergeCell ref="A77:D77"/>
    <mergeCell ref="A78:D78"/>
    <mergeCell ref="A79:D79"/>
    <mergeCell ref="A80:D80"/>
    <mergeCell ref="A81:D81"/>
    <mergeCell ref="A82:D82"/>
    <mergeCell ref="A83:D83"/>
    <mergeCell ref="A93:D93"/>
    <mergeCell ref="A94:D94"/>
    <mergeCell ref="A68:D68"/>
    <mergeCell ref="A69:D69"/>
    <mergeCell ref="A70:D70"/>
    <mergeCell ref="A71:D71"/>
    <mergeCell ref="A72:D72"/>
    <mergeCell ref="A73:D73"/>
    <mergeCell ref="A74:D74"/>
    <mergeCell ref="A75:D75"/>
    <mergeCell ref="A76:D76"/>
    <mergeCell ref="A59:D59"/>
    <mergeCell ref="A60:D60"/>
    <mergeCell ref="A61:D61"/>
    <mergeCell ref="A62:D62"/>
    <mergeCell ref="A63:D63"/>
    <mergeCell ref="A64:D64"/>
    <mergeCell ref="A65:D65"/>
    <mergeCell ref="A66:D66"/>
    <mergeCell ref="A67:D67"/>
    <mergeCell ref="A50:D50"/>
    <mergeCell ref="A51:D51"/>
    <mergeCell ref="A52:D52"/>
    <mergeCell ref="A53:D53"/>
    <mergeCell ref="A54:D54"/>
    <mergeCell ref="A55:D55"/>
    <mergeCell ref="A56:D56"/>
    <mergeCell ref="A57:D57"/>
    <mergeCell ref="A58:D58"/>
    <mergeCell ref="A41:D41"/>
    <mergeCell ref="A42:D42"/>
    <mergeCell ref="A43:D43"/>
    <mergeCell ref="A44:D44"/>
    <mergeCell ref="A45:D45"/>
    <mergeCell ref="A46:D46"/>
    <mergeCell ref="A47:D47"/>
    <mergeCell ref="A48:D48"/>
    <mergeCell ref="A49:D49"/>
    <mergeCell ref="A32:D32"/>
    <mergeCell ref="A33:D33"/>
    <mergeCell ref="A34:D34"/>
    <mergeCell ref="A35:D35"/>
    <mergeCell ref="A36:D36"/>
    <mergeCell ref="A37:D37"/>
    <mergeCell ref="A38:D38"/>
    <mergeCell ref="A39:D39"/>
    <mergeCell ref="A40:D40"/>
    <mergeCell ref="A110:D110"/>
    <mergeCell ref="E110:H110"/>
    <mergeCell ref="I110:K110"/>
    <mergeCell ref="A111:D111"/>
    <mergeCell ref="E111:H111"/>
    <mergeCell ref="I111:K111"/>
    <mergeCell ref="A112:D112"/>
    <mergeCell ref="E112:H112"/>
    <mergeCell ref="I112:K112"/>
    <mergeCell ref="A113:D113"/>
    <mergeCell ref="E113:H113"/>
    <mergeCell ref="I113:K113"/>
    <mergeCell ref="I76:K76"/>
    <mergeCell ref="I77:K77"/>
    <mergeCell ref="I78:K78"/>
    <mergeCell ref="I79:K79"/>
    <mergeCell ref="I80:K80"/>
    <mergeCell ref="I81:K81"/>
    <mergeCell ref="I96:K96"/>
    <mergeCell ref="I82:K82"/>
    <mergeCell ref="I83:K83"/>
    <mergeCell ref="I84:K84"/>
    <mergeCell ref="I90:K90"/>
    <mergeCell ref="I91:K91"/>
    <mergeCell ref="I92:K92"/>
    <mergeCell ref="I93:K93"/>
    <mergeCell ref="I94:K94"/>
    <mergeCell ref="I95:K95"/>
    <mergeCell ref="E94:H94"/>
    <mergeCell ref="E95:H95"/>
    <mergeCell ref="E96:H96"/>
    <mergeCell ref="E90:H90"/>
    <mergeCell ref="E91:H91"/>
    <mergeCell ref="I70:K70"/>
    <mergeCell ref="I71:K71"/>
    <mergeCell ref="I72:K72"/>
    <mergeCell ref="I73:K73"/>
    <mergeCell ref="E76:H76"/>
    <mergeCell ref="E77:H77"/>
    <mergeCell ref="E78:H78"/>
    <mergeCell ref="E85:H85"/>
    <mergeCell ref="I85:K85"/>
    <mergeCell ref="E72:H72"/>
    <mergeCell ref="E73:H73"/>
    <mergeCell ref="E74:H74"/>
    <mergeCell ref="E75:H75"/>
    <mergeCell ref="E84:H84"/>
    <mergeCell ref="I45:K45"/>
    <mergeCell ref="E59:H59"/>
    <mergeCell ref="E68:H68"/>
    <mergeCell ref="E46:H46"/>
    <mergeCell ref="I74:K74"/>
    <mergeCell ref="I75:K75"/>
    <mergeCell ref="I52:K52"/>
    <mergeCell ref="I53:K53"/>
    <mergeCell ref="I54:K54"/>
    <mergeCell ref="I55:K55"/>
    <mergeCell ref="I56:K56"/>
    <mergeCell ref="I57:K57"/>
    <mergeCell ref="I58:K58"/>
    <mergeCell ref="I59:K59"/>
    <mergeCell ref="I60:K60"/>
    <mergeCell ref="E53:H53"/>
    <mergeCell ref="E60:H60"/>
    <mergeCell ref="E49:H49"/>
    <mergeCell ref="I49:K49"/>
    <mergeCell ref="E50:H50"/>
    <mergeCell ref="I50:K50"/>
    <mergeCell ref="E51:H51"/>
    <mergeCell ref="E61:H61"/>
    <mergeCell ref="I69:K69"/>
    <mergeCell ref="H101:H102"/>
    <mergeCell ref="A104:E104"/>
    <mergeCell ref="A1:J1"/>
    <mergeCell ref="B3:B4"/>
    <mergeCell ref="C3:E4"/>
    <mergeCell ref="G3:G4"/>
    <mergeCell ref="H3:J4"/>
    <mergeCell ref="B5:B6"/>
    <mergeCell ref="C5:E6"/>
    <mergeCell ref="E19:H19"/>
    <mergeCell ref="E63:H63"/>
    <mergeCell ref="E64:H64"/>
    <mergeCell ref="I20:K20"/>
    <mergeCell ref="E21:H21"/>
    <mergeCell ref="B8:D9"/>
    <mergeCell ref="E8:G8"/>
    <mergeCell ref="E17:H17"/>
    <mergeCell ref="I17:K17"/>
    <mergeCell ref="E18:H18"/>
    <mergeCell ref="E92:H92"/>
    <mergeCell ref="E93:H93"/>
    <mergeCell ref="I18:K18"/>
    <mergeCell ref="A8:A9"/>
    <mergeCell ref="A12:D13"/>
    <mergeCell ref="A28:D28"/>
    <mergeCell ref="A29:D29"/>
    <mergeCell ref="A30:D30"/>
    <mergeCell ref="A31:D31"/>
    <mergeCell ref="O1:O2"/>
    <mergeCell ref="H8:H9"/>
    <mergeCell ref="E9:G9"/>
    <mergeCell ref="L1:L2"/>
    <mergeCell ref="N1:N2"/>
    <mergeCell ref="I19:K19"/>
    <mergeCell ref="E20:H20"/>
    <mergeCell ref="G5:G6"/>
    <mergeCell ref="H5:J6"/>
    <mergeCell ref="A10:M10"/>
    <mergeCell ref="E32:H32"/>
    <mergeCell ref="E37:H37"/>
    <mergeCell ref="I37:K37"/>
    <mergeCell ref="I33:K33"/>
    <mergeCell ref="E34:H34"/>
    <mergeCell ref="A14:D14"/>
    <mergeCell ref="A15:D15"/>
    <mergeCell ref="A16:D16"/>
    <mergeCell ref="A17:D17"/>
    <mergeCell ref="A18:D18"/>
    <mergeCell ref="A19:D19"/>
    <mergeCell ref="A20:D20"/>
    <mergeCell ref="I31:K31"/>
    <mergeCell ref="I28:K28"/>
    <mergeCell ref="E29:H29"/>
    <mergeCell ref="I29:K29"/>
    <mergeCell ref="E30:H30"/>
    <mergeCell ref="A21:D21"/>
    <mergeCell ref="A22:D22"/>
    <mergeCell ref="A23:D23"/>
    <mergeCell ref="A24:D24"/>
    <mergeCell ref="A25:D25"/>
    <mergeCell ref="A26:D26"/>
    <mergeCell ref="A27:D27"/>
    <mergeCell ref="E43:H43"/>
    <mergeCell ref="I43:K43"/>
    <mergeCell ref="I40:K40"/>
    <mergeCell ref="E40:H40"/>
    <mergeCell ref="I34:K34"/>
    <mergeCell ref="E35:H35"/>
    <mergeCell ref="I35:K35"/>
    <mergeCell ref="E36:H36"/>
    <mergeCell ref="I36:K36"/>
    <mergeCell ref="A101:A102"/>
    <mergeCell ref="I21:K21"/>
    <mergeCell ref="E22:H22"/>
    <mergeCell ref="I22:K22"/>
    <mergeCell ref="E23:H23"/>
    <mergeCell ref="I23:K23"/>
    <mergeCell ref="E24:H24"/>
    <mergeCell ref="I24:K24"/>
    <mergeCell ref="E25:H25"/>
    <mergeCell ref="I25:K25"/>
    <mergeCell ref="E26:H26"/>
    <mergeCell ref="I26:K26"/>
    <mergeCell ref="I32:K32"/>
    <mergeCell ref="E33:H33"/>
    <mergeCell ref="E69:H69"/>
    <mergeCell ref="E70:H70"/>
    <mergeCell ref="E71:H71"/>
    <mergeCell ref="B101:D102"/>
    <mergeCell ref="I30:K30"/>
    <mergeCell ref="E31:H31"/>
    <mergeCell ref="E27:H27"/>
    <mergeCell ref="I27:K27"/>
    <mergeCell ref="E28:H28"/>
    <mergeCell ref="E38:H38"/>
    <mergeCell ref="I47:K47"/>
    <mergeCell ref="E48:H48"/>
    <mergeCell ref="I48:K48"/>
    <mergeCell ref="AI12:AJ12"/>
    <mergeCell ref="L12:L13"/>
    <mergeCell ref="E12:H13"/>
    <mergeCell ref="I12:K13"/>
    <mergeCell ref="E14:H14"/>
    <mergeCell ref="I14:K14"/>
    <mergeCell ref="E15:H15"/>
    <mergeCell ref="I15:K15"/>
    <mergeCell ref="E16:H16"/>
    <mergeCell ref="I16:K16"/>
    <mergeCell ref="AB12:AH12"/>
    <mergeCell ref="U12:AA12"/>
    <mergeCell ref="N12:T12"/>
    <mergeCell ref="M12:M13"/>
    <mergeCell ref="I38:K38"/>
    <mergeCell ref="E39:H39"/>
    <mergeCell ref="I39:K39"/>
    <mergeCell ref="E41:H41"/>
    <mergeCell ref="I41:K41"/>
    <mergeCell ref="E42:H42"/>
    <mergeCell ref="I42:K42"/>
    <mergeCell ref="E44:H44"/>
    <mergeCell ref="E54:H54"/>
    <mergeCell ref="E55:H55"/>
    <mergeCell ref="E99:H99"/>
    <mergeCell ref="I99:K99"/>
    <mergeCell ref="M1:M2"/>
    <mergeCell ref="E86:H86"/>
    <mergeCell ref="I86:K86"/>
    <mergeCell ref="E87:H87"/>
    <mergeCell ref="I87:K87"/>
    <mergeCell ref="E88:H88"/>
    <mergeCell ref="I88:K88"/>
    <mergeCell ref="E89:H89"/>
    <mergeCell ref="I89:K89"/>
    <mergeCell ref="E97:H97"/>
    <mergeCell ref="I97:K97"/>
    <mergeCell ref="E65:H65"/>
    <mergeCell ref="I65:K65"/>
    <mergeCell ref="E66:H66"/>
    <mergeCell ref="I66:K66"/>
    <mergeCell ref="E67:H67"/>
    <mergeCell ref="I46:K46"/>
    <mergeCell ref="I68:K68"/>
    <mergeCell ref="E47:H47"/>
    <mergeCell ref="AW11:BH11"/>
    <mergeCell ref="AW12:AZ12"/>
    <mergeCell ref="BA12:BD12"/>
    <mergeCell ref="BE12:BH12"/>
    <mergeCell ref="E98:H98"/>
    <mergeCell ref="I98:K98"/>
    <mergeCell ref="I44:K44"/>
    <mergeCell ref="E56:H56"/>
    <mergeCell ref="E57:H57"/>
    <mergeCell ref="E58:H58"/>
    <mergeCell ref="E79:H79"/>
    <mergeCell ref="I51:K51"/>
    <mergeCell ref="E52:H52"/>
    <mergeCell ref="I67:K67"/>
    <mergeCell ref="E62:H62"/>
    <mergeCell ref="I61:K61"/>
    <mergeCell ref="I62:K62"/>
    <mergeCell ref="I63:K63"/>
    <mergeCell ref="I64:K64"/>
    <mergeCell ref="E45:H45"/>
    <mergeCell ref="E80:H80"/>
    <mergeCell ref="E81:H81"/>
    <mergeCell ref="E82:H82"/>
    <mergeCell ref="E83:H83"/>
  </mergeCells>
  <dataValidations count="4">
    <dataValidation type="decimal" allowBlank="1" showInputMessage="1" showErrorMessage="1" sqref="N107:AJ192 O14:AJ99 N15:N99 N14" xr:uid="{00000000-0002-0000-0400-000000000000}">
      <formula1>0</formula1>
      <formula2>1E+29</formula2>
    </dataValidation>
    <dataValidation type="list" allowBlank="1" showInputMessage="1" showErrorMessage="1" sqref="I14:K99" xr:uid="{00000000-0002-0000-0400-000001000000}">
      <formula1>INDIRECT(SUBSTITUTE(SUBSTITUTE(SUBSTITUTE(SUBSTITUTE(SUBSTITUTE(SUBSTITUTE(SUBSTITUTE(SUBSTITUTE(SUBSTITUTE(SUBSTITUTE(SUBSTITUTE(E14,",",""),":",""),"/"," "),"(",""),")",""),"-"," "),"  "," ")," ","_"),"&amp;",""),"__","_"),"+","_"))</formula1>
    </dataValidation>
    <dataValidation type="list" allowBlank="1" showInputMessage="1" showErrorMessage="1" sqref="E14:H99" xr:uid="{00000000-0002-0000-0400-000002000000}">
      <formula1>INDIRECT(SUBSTITUTE(SUBSTITUTE(SUBSTITUTE(SUBSTITUTE(SUBSTITUTE(SUBSTITUTE(SUBSTITUTE(SUBSTITUTE(SUBSTITUTE(A14,",",""),":",""),"/"," "),"(",""),")",""),"-"," "),"  "," ")," ","_"),"__","_"))</formula1>
    </dataValidation>
    <dataValidation type="list" allowBlank="1" showInputMessage="1" showErrorMessage="1" sqref="E107:K192" xr:uid="{00000000-0002-0000-0400-000003000000}">
      <formula1>INDIRECT(SUBSTITUTE(SUBSTITUTE(SUBSTITUTE(SUBSTITUTE(SUBSTITUTE(SUBSTITUTE(SUBSTITUTE(SUBSTITUTE(SUBSTITUTE(SUBSTITUTE(SUBSTITUTE(SUBSTITUTE(A107,",",""),":",""),"/"," "),"(",""),")",""),"-"," "),"  "," ")," ","_"),"__","_"),"&amp;",""),"__","_"),"+","_"))</formula1>
    </dataValidation>
  </dataValidations>
  <hyperlinks>
    <hyperlink ref="H8" location="'HIV-Pharmaceuticals'!A65" display="Go to OIs/STIs and other medicines" xr:uid="{00000000-0004-0000-0400-000000000000}"/>
    <hyperlink ref="H101" location="'HIV-Pharmaceuticals'!A8" display="Back to ARVs" xr:uid="{00000000-0004-0000-0400-000001000000}"/>
    <hyperlink ref="M1:M2" location="'HIV-Key Info'!A1" display="Back to HIV-Key Info" xr:uid="{00000000-0004-0000-0400-000003000000}"/>
    <hyperlink ref="O1:O2" location="'HIV-Other HPs'!A1" display="Go to HIV-Other HPs" xr:uid="{00000000-0004-0000-0400-000004000000}"/>
    <hyperlink ref="H8:H9" location="'HIV-Pharmaceuticals'!A107" display="Go to OIs/STIs other medicines" xr:uid="{00000000-0004-0000-0400-000005000000}"/>
    <hyperlink ref="N1:N2" location="'HIV-Equipment'!A1" display="Go to HIV-Equipment" xr:uid="{00000000-0004-0000-0400-000006000000}"/>
    <hyperlink ref="H101:H102" location="'HIV-Pharmaceuticals'!A14" display="Back to ARVs" xr:uid="{00000000-0004-0000-0400-000007000000}"/>
  </hyperlinks>
  <pageMargins left="0.25" right="0.25" top="0.75" bottom="0.75" header="0.3" footer="0.3"/>
  <pageSetup paperSize="8" scale="37"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4000000}">
          <x14:formula1>
            <xm:f>'HIV-Pharma'!$A$2:$A$3</xm:f>
          </x14:formula1>
          <xm:sqref>A14:D99</xm:sqref>
        </x14:dataValidation>
        <x14:dataValidation type="list" allowBlank="1" showInputMessage="1" showErrorMessage="1" xr:uid="{00000000-0002-0000-0400-000005000000}">
          <x14:formula1>
            <xm:f>'HIV-Pharma'!$H$2:$H$3</xm:f>
          </x14:formula1>
          <xm:sqref>A107:D192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tabColor rgb="FF339933"/>
    <pageSetUpPr fitToPage="1"/>
  </sheetPr>
  <dimension ref="A1:BG58"/>
  <sheetViews>
    <sheetView showGridLines="0" zoomScale="85" zoomScaleNormal="85" workbookViewId="0">
      <selection activeCell="A10" sqref="A10:M10"/>
    </sheetView>
  </sheetViews>
  <sheetFormatPr defaultColWidth="8.81640625" defaultRowHeight="14.5"/>
  <cols>
    <col min="1" max="1" width="8.81640625" style="105"/>
    <col min="2" max="2" width="20" style="105" customWidth="1"/>
    <col min="3" max="3" width="29.36328125" style="105" customWidth="1"/>
    <col min="4" max="4" width="36.08984375" style="105" customWidth="1"/>
    <col min="5" max="7" width="15.36328125" style="105" customWidth="1"/>
    <col min="8" max="24" width="12.36328125" style="105" customWidth="1"/>
    <col min="25" max="27" width="13.36328125" style="105" customWidth="1"/>
    <col min="28" max="28" width="15.36328125" style="105" customWidth="1"/>
    <col min="29" max="29" width="12.36328125" style="105" customWidth="1"/>
    <col min="30" max="30" width="15.36328125" style="105" customWidth="1"/>
    <col min="31" max="31" width="43" style="105" customWidth="1"/>
    <col min="32" max="32" width="13.36328125" style="105" customWidth="1"/>
    <col min="33" max="38" width="8.81640625" style="105" customWidth="1"/>
    <col min="39" max="39" width="8.81640625" style="466" customWidth="1"/>
    <col min="40" max="45" width="8.81640625" style="105" customWidth="1"/>
    <col min="46" max="46" width="0" style="105" hidden="1" customWidth="1"/>
    <col min="47" max="47" width="24.36328125" style="105" hidden="1" customWidth="1"/>
    <col min="48" max="48" width="17.36328125" style="105" hidden="1" customWidth="1"/>
    <col min="49" max="59" width="12.08984375" style="105" hidden="1" customWidth="1"/>
    <col min="60" max="60" width="0" style="105" hidden="1" customWidth="1"/>
    <col min="61" max="16384" width="8.81640625" style="105"/>
  </cols>
  <sheetData>
    <row r="1" spans="1:59" ht="24" customHeight="1" thickBot="1">
      <c r="A1" s="2173" t="s">
        <v>7629</v>
      </c>
      <c r="B1" s="2174"/>
      <c r="C1" s="2174"/>
      <c r="D1" s="2174"/>
      <c r="E1" s="2174"/>
      <c r="F1" s="2174"/>
      <c r="G1" s="2174"/>
      <c r="H1" s="2174"/>
      <c r="I1" s="2175"/>
      <c r="K1" s="2138"/>
      <c r="L1" s="2042" t="s">
        <v>145</v>
      </c>
      <c r="M1" s="2042" t="s">
        <v>193</v>
      </c>
      <c r="N1" s="121"/>
      <c r="O1" s="121"/>
      <c r="P1" s="121"/>
      <c r="Q1" s="121"/>
      <c r="R1" s="121"/>
      <c r="S1" s="121"/>
      <c r="T1" s="121"/>
      <c r="U1" s="121"/>
      <c r="V1" s="121"/>
      <c r="W1" s="121"/>
      <c r="X1" s="121"/>
      <c r="Y1" s="121"/>
      <c r="Z1" s="121"/>
      <c r="AA1" s="121"/>
      <c r="AB1" s="121"/>
      <c r="AC1" s="121"/>
      <c r="AD1" s="121"/>
      <c r="AE1" s="121"/>
    </row>
    <row r="2" spans="1:59" ht="15" thickBot="1">
      <c r="A2" s="106"/>
      <c r="B2" s="106"/>
      <c r="C2" s="106"/>
      <c r="D2" s="106"/>
      <c r="E2" s="106"/>
      <c r="F2" s="106"/>
      <c r="G2" s="106"/>
      <c r="H2" s="106"/>
      <c r="I2" s="106"/>
      <c r="J2" s="107"/>
      <c r="K2" s="2142"/>
      <c r="L2" s="2043"/>
      <c r="M2" s="2043"/>
      <c r="N2" s="121"/>
      <c r="O2" s="121"/>
      <c r="P2" s="121"/>
      <c r="Q2" s="121"/>
      <c r="R2" s="121"/>
      <c r="S2" s="121"/>
      <c r="T2" s="121"/>
      <c r="U2" s="121"/>
      <c r="V2" s="121"/>
      <c r="W2" s="121"/>
      <c r="X2" s="121"/>
      <c r="Y2" s="121"/>
      <c r="Z2" s="121"/>
      <c r="AA2" s="121"/>
      <c r="AB2" s="121"/>
      <c r="AC2" s="121"/>
      <c r="AD2" s="121"/>
      <c r="AE2" s="121"/>
    </row>
    <row r="3" spans="1:59" ht="15" customHeight="1" thickBot="1">
      <c r="A3" s="135"/>
      <c r="B3" s="2176" t="s">
        <v>0</v>
      </c>
      <c r="C3" s="2199">
        <f>SETUP!$E$3</f>
        <v>0</v>
      </c>
      <c r="D3" s="2199"/>
      <c r="E3" s="2164" t="s">
        <v>1</v>
      </c>
      <c r="F3" s="2183">
        <f>SETUP!$G$13</f>
        <v>0</v>
      </c>
      <c r="G3" s="2184"/>
      <c r="I3" s="136"/>
      <c r="J3" s="136"/>
      <c r="K3" s="203"/>
      <c r="L3" s="124"/>
      <c r="M3" s="124"/>
      <c r="N3" s="124"/>
      <c r="O3" s="124"/>
      <c r="P3" s="124"/>
      <c r="Q3" s="124"/>
      <c r="R3" s="121"/>
      <c r="S3" s="121"/>
      <c r="T3" s="121"/>
      <c r="U3" s="121"/>
      <c r="V3" s="121"/>
      <c r="W3" s="121"/>
      <c r="X3" s="121"/>
      <c r="Y3" s="121"/>
      <c r="Z3" s="121"/>
      <c r="AA3" s="121"/>
      <c r="AB3" s="121"/>
      <c r="AC3" s="121"/>
      <c r="AD3" s="121"/>
      <c r="AE3" s="121"/>
      <c r="AF3" s="125"/>
    </row>
    <row r="4" spans="1:59" ht="15.75" customHeight="1" thickTop="1" thickBot="1">
      <c r="A4" s="137"/>
      <c r="B4" s="2065"/>
      <c r="C4" s="2200"/>
      <c r="D4" s="2200"/>
      <c r="E4" s="2152"/>
      <c r="F4" s="2185"/>
      <c r="G4" s="2186"/>
      <c r="I4" s="136"/>
      <c r="J4" s="472" t="str">
        <f>SUBSTITUTE(SUBSTITUTE(SUBSTITUTE(SUBSTITUTE(SUBSTITUTE(SUBSTITUTE(SUBSTITUTE(SUBSTITUTE(SUBSTITUTE(SUBSTITUTE(SUBSTITUTE(C14,",",""),":",""),"/"," "),"(",""),")",""),"-"," "),"  "," ")," ","_"),"&amp;",""),"__","_"),"+","_")</f>
        <v/>
      </c>
      <c r="K4" s="239"/>
      <c r="L4" s="124"/>
      <c r="M4" s="124"/>
      <c r="N4" s="124"/>
      <c r="O4" s="121"/>
      <c r="P4" s="121"/>
      <c r="Q4" s="121"/>
      <c r="R4" s="121"/>
      <c r="S4" s="121"/>
      <c r="T4" s="121"/>
      <c r="U4" s="121"/>
      <c r="V4" s="121"/>
      <c r="W4" s="121"/>
      <c r="X4" s="121"/>
      <c r="Y4" s="121"/>
      <c r="Z4" s="121"/>
      <c r="AA4" s="121"/>
      <c r="AB4" s="121"/>
      <c r="AC4" s="121"/>
      <c r="AD4" s="121"/>
      <c r="AE4" s="121"/>
      <c r="AF4" s="121"/>
    </row>
    <row r="5" spans="1:59" ht="15.5" thickTop="1" thickBot="1">
      <c r="A5" s="137"/>
      <c r="B5" s="2060" t="s">
        <v>2</v>
      </c>
      <c r="C5" s="2162" t="str">
        <f>SETUP!$E$6</f>
        <v>HIV</v>
      </c>
      <c r="D5" s="2162"/>
      <c r="E5" s="2073" t="s">
        <v>3</v>
      </c>
      <c r="F5" s="2187">
        <f>SETUP!E7</f>
        <v>0</v>
      </c>
      <c r="G5" s="2188"/>
      <c r="I5" s="136"/>
      <c r="J5" s="136"/>
      <c r="K5" s="136"/>
      <c r="L5" s="121"/>
      <c r="M5" s="121"/>
      <c r="N5" s="121"/>
      <c r="O5" s="121"/>
      <c r="P5" s="121"/>
      <c r="Q5" s="121"/>
      <c r="R5" s="121"/>
      <c r="S5" s="121"/>
      <c r="T5" s="121"/>
      <c r="U5" s="121"/>
      <c r="V5" s="121"/>
      <c r="W5" s="121"/>
      <c r="X5" s="121"/>
      <c r="Y5" s="121"/>
      <c r="Z5" s="121"/>
      <c r="AA5" s="121"/>
      <c r="AB5" s="121"/>
      <c r="AC5" s="121"/>
      <c r="AD5" s="121"/>
      <c r="AE5" s="121"/>
      <c r="AF5" s="121"/>
    </row>
    <row r="6" spans="1:59" ht="15.5" thickTop="1" thickBot="1">
      <c r="A6" s="138"/>
      <c r="B6" s="2181"/>
      <c r="C6" s="2163"/>
      <c r="D6" s="2163"/>
      <c r="E6" s="2074"/>
      <c r="F6" s="2189"/>
      <c r="G6" s="2190"/>
      <c r="I6" s="136"/>
      <c r="J6" s="136"/>
      <c r="K6" s="136"/>
      <c r="L6" s="121"/>
      <c r="M6" s="121"/>
      <c r="N6" s="121"/>
      <c r="O6" s="121"/>
      <c r="P6" s="121"/>
      <c r="Q6" s="121"/>
      <c r="R6" s="121"/>
      <c r="S6" s="121"/>
      <c r="T6" s="121"/>
      <c r="U6" s="121"/>
      <c r="V6" s="121"/>
      <c r="W6" s="121"/>
      <c r="X6" s="121"/>
      <c r="Y6" s="121"/>
      <c r="Z6" s="121"/>
      <c r="AA6" s="121"/>
      <c r="AB6" s="121"/>
      <c r="AC6" s="121"/>
      <c r="AD6" s="121"/>
      <c r="AE6" s="121"/>
      <c r="AF6" s="121"/>
    </row>
    <row r="7" spans="1:59">
      <c r="A7" s="124"/>
      <c r="B7" s="124"/>
      <c r="C7" s="124"/>
      <c r="D7" s="124"/>
      <c r="E7" s="124"/>
      <c r="F7" s="124"/>
      <c r="G7" s="124"/>
      <c r="H7" s="124"/>
      <c r="I7" s="124"/>
      <c r="J7" s="124"/>
      <c r="K7" s="121"/>
      <c r="L7" s="121"/>
      <c r="M7" s="121"/>
      <c r="N7" s="121"/>
      <c r="O7" s="121"/>
      <c r="P7" s="121"/>
      <c r="Q7" s="121"/>
      <c r="R7" s="121"/>
      <c r="S7" s="121"/>
      <c r="T7" s="121"/>
      <c r="U7" s="121"/>
      <c r="V7" s="121"/>
      <c r="W7" s="121"/>
      <c r="X7" s="121"/>
      <c r="Y7" s="121"/>
      <c r="Z7" s="121"/>
      <c r="AA7" s="121"/>
      <c r="AB7" s="121"/>
      <c r="AC7" s="121"/>
      <c r="AD7" s="121"/>
      <c r="AE7" s="121"/>
      <c r="AF7" s="121"/>
    </row>
    <row r="8" spans="1:59" ht="15" customHeight="1">
      <c r="A8" s="2178">
        <v>1</v>
      </c>
      <c r="B8" s="2191" t="s">
        <v>194</v>
      </c>
      <c r="C8" s="2192"/>
      <c r="D8" s="2192"/>
      <c r="E8" s="2192"/>
      <c r="F8" s="2193"/>
      <c r="G8" s="139"/>
      <c r="H8" s="121"/>
      <c r="I8" s="121"/>
      <c r="J8" s="121"/>
      <c r="K8" s="121"/>
      <c r="L8" s="121"/>
      <c r="M8" s="121"/>
      <c r="N8" s="144"/>
      <c r="O8" s="136"/>
      <c r="P8" s="121"/>
      <c r="Q8" s="121"/>
      <c r="R8" s="121"/>
      <c r="S8" s="121"/>
      <c r="T8" s="121"/>
      <c r="U8" s="121"/>
      <c r="V8" s="121"/>
      <c r="W8" s="121"/>
      <c r="X8" s="121"/>
      <c r="Y8" s="121"/>
      <c r="Z8" s="121"/>
      <c r="AA8" s="121"/>
      <c r="AB8" s="121"/>
      <c r="AC8" s="121"/>
      <c r="AD8" s="121"/>
      <c r="AE8" s="121"/>
      <c r="AF8" s="121"/>
    </row>
    <row r="9" spans="1:59" ht="15" customHeight="1">
      <c r="A9" s="2179"/>
      <c r="B9" s="2194"/>
      <c r="C9" s="2195"/>
      <c r="D9" s="2195"/>
      <c r="E9" s="2195"/>
      <c r="F9" s="2196"/>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row>
    <row r="10" spans="1:59" ht="116.25" customHeight="1">
      <c r="A10" s="2080" t="s">
        <v>6901</v>
      </c>
      <c r="B10" s="2081"/>
      <c r="C10" s="2081"/>
      <c r="D10" s="2081"/>
      <c r="E10" s="2081"/>
      <c r="F10" s="2081"/>
      <c r="G10" s="2081"/>
      <c r="H10" s="2081"/>
      <c r="I10" s="2081"/>
      <c r="J10" s="2081"/>
      <c r="K10" s="2081"/>
      <c r="L10" s="2081"/>
      <c r="M10" s="2145"/>
      <c r="N10" s="139"/>
      <c r="O10" s="139"/>
      <c r="P10" s="139"/>
      <c r="Q10" s="139"/>
      <c r="R10" s="139"/>
      <c r="S10" s="139"/>
      <c r="T10" s="139"/>
      <c r="U10" s="139"/>
      <c r="V10" s="139"/>
      <c r="W10" s="139"/>
      <c r="X10" s="139"/>
      <c r="Y10" s="139"/>
      <c r="Z10" s="139"/>
      <c r="AA10" s="139"/>
      <c r="AB10" s="139"/>
      <c r="AC10" s="139"/>
      <c r="AD10" s="139"/>
      <c r="AE10" s="139"/>
      <c r="AF10" s="139"/>
    </row>
    <row r="11" spans="1:59" ht="15" thickBot="1">
      <c r="A11" s="140"/>
      <c r="B11" s="140"/>
      <c r="C11" s="140"/>
      <c r="D11" s="140"/>
      <c r="E11" s="140"/>
      <c r="F11" s="140"/>
      <c r="G11" s="141"/>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U11" s="426"/>
      <c r="AV11" s="2103" t="s">
        <v>1540</v>
      </c>
      <c r="AW11" s="2103"/>
      <c r="AX11" s="2103"/>
      <c r="AY11" s="2103"/>
      <c r="AZ11" s="2103"/>
      <c r="BA11" s="2103"/>
      <c r="BB11" s="2103"/>
      <c r="BC11" s="2103"/>
      <c r="BD11" s="2103"/>
      <c r="BE11" s="2103"/>
      <c r="BF11" s="2103"/>
      <c r="BG11" s="2103"/>
    </row>
    <row r="12" spans="1:59" ht="15" thickBot="1">
      <c r="A12" s="2116" t="s">
        <v>1233</v>
      </c>
      <c r="B12" s="2118"/>
      <c r="C12" s="2167" t="s">
        <v>195</v>
      </c>
      <c r="D12" s="2132" t="s">
        <v>197</v>
      </c>
      <c r="E12" s="2118" t="s">
        <v>151</v>
      </c>
      <c r="F12" s="2197" t="s">
        <v>49</v>
      </c>
      <c r="G12" s="2128" t="str">
        <f>IF(ISBLANK(IMP_ST_DATE),"Please fill setup",IF(MO_CHECK&gt;3,"Y1",YEAR(IMP_ST_DATE)))</f>
        <v>Please fill setup</v>
      </c>
      <c r="H12" s="2129"/>
      <c r="I12" s="2129"/>
      <c r="J12" s="2129"/>
      <c r="K12" s="2129"/>
      <c r="L12" s="2129"/>
      <c r="M12" s="2131"/>
      <c r="N12" s="2128" t="str">
        <f>IF(G12="Y1","Y2",IF(ISBLANK(IMP_ST_DATE),"Please fill setup",YEAR(IMP_ST_DATE)+1))</f>
        <v>Please fill setup</v>
      </c>
      <c r="O12" s="2129"/>
      <c r="P12" s="2129"/>
      <c r="Q12" s="2129"/>
      <c r="R12" s="2129"/>
      <c r="S12" s="2129"/>
      <c r="T12" s="2130"/>
      <c r="U12" s="2128" t="str">
        <f>IF(G12="Y1","Y3",IF(ISBLANK(IMP_ST_DATE),"Please fill setup",YEAR(IMP_ST_DATE)+2))</f>
        <v>Please fill setup</v>
      </c>
      <c r="V12" s="2129"/>
      <c r="W12" s="2129"/>
      <c r="X12" s="2129"/>
      <c r="Y12" s="2129"/>
      <c r="Z12" s="2129"/>
      <c r="AA12" s="2130"/>
      <c r="AB12" s="2116" t="s">
        <v>152</v>
      </c>
      <c r="AC12" s="2166"/>
      <c r="AD12" s="544" t="s">
        <v>153</v>
      </c>
      <c r="AE12" s="2167" t="s">
        <v>6865</v>
      </c>
      <c r="AM12" s="105"/>
      <c r="AN12" s="466"/>
      <c r="AU12" s="427"/>
      <c r="AV12" s="2165">
        <f>YEAR(IMP_ST_DATE)</f>
        <v>1900</v>
      </c>
      <c r="AW12" s="2165"/>
      <c r="AX12" s="2165"/>
      <c r="AY12" s="2165"/>
      <c r="AZ12" s="2165">
        <f>YEAR(IMP_ST_DATE)+1</f>
        <v>1901</v>
      </c>
      <c r="BA12" s="2165"/>
      <c r="BB12" s="2165"/>
      <c r="BC12" s="2165"/>
      <c r="BD12" s="2165">
        <f>YEAR(IMP_ST_DATE)+2</f>
        <v>1902</v>
      </c>
      <c r="BE12" s="2165"/>
      <c r="BF12" s="2165"/>
      <c r="BG12" s="2165"/>
    </row>
    <row r="13" spans="1:59" s="345" customFormat="1" ht="15" thickBot="1">
      <c r="A13" s="2182"/>
      <c r="B13" s="2180"/>
      <c r="C13" s="2168"/>
      <c r="D13" s="2177"/>
      <c r="E13" s="2180"/>
      <c r="F13" s="2198"/>
      <c r="G13" s="543" t="s">
        <v>198</v>
      </c>
      <c r="H13" s="543" t="s">
        <v>155</v>
      </c>
      <c r="I13" s="543" t="s">
        <v>156</v>
      </c>
      <c r="J13" s="543" t="s">
        <v>157</v>
      </c>
      <c r="K13" s="543" t="s">
        <v>158</v>
      </c>
      <c r="L13" s="543" t="s">
        <v>159</v>
      </c>
      <c r="M13" s="142" t="s">
        <v>160</v>
      </c>
      <c r="N13" s="543" t="s">
        <v>161</v>
      </c>
      <c r="O13" s="543" t="s">
        <v>162</v>
      </c>
      <c r="P13" s="543" t="s">
        <v>163</v>
      </c>
      <c r="Q13" s="543" t="s">
        <v>164</v>
      </c>
      <c r="R13" s="543" t="s">
        <v>165</v>
      </c>
      <c r="S13" s="543" t="s">
        <v>166</v>
      </c>
      <c r="T13" s="142" t="s">
        <v>167</v>
      </c>
      <c r="U13" s="542" t="s">
        <v>168</v>
      </c>
      <c r="V13" s="543" t="s">
        <v>169</v>
      </c>
      <c r="W13" s="543" t="s">
        <v>170</v>
      </c>
      <c r="X13" s="543" t="s">
        <v>171</v>
      </c>
      <c r="Y13" s="543" t="s">
        <v>172</v>
      </c>
      <c r="Z13" s="543" t="s">
        <v>173</v>
      </c>
      <c r="AA13" s="142" t="s">
        <v>174</v>
      </c>
      <c r="AB13" s="543" t="s">
        <v>175</v>
      </c>
      <c r="AC13" s="543" t="s">
        <v>176</v>
      </c>
      <c r="AD13" s="134" t="s">
        <v>177</v>
      </c>
      <c r="AE13" s="2168"/>
      <c r="AN13" s="467"/>
      <c r="AU13" s="431"/>
      <c r="AV13" s="432" t="s">
        <v>1528</v>
      </c>
      <c r="AW13" s="432" t="s">
        <v>1529</v>
      </c>
      <c r="AX13" s="432" t="s">
        <v>1530</v>
      </c>
      <c r="AY13" s="432" t="s">
        <v>1531</v>
      </c>
      <c r="AZ13" s="432" t="s">
        <v>1532</v>
      </c>
      <c r="BA13" s="432" t="s">
        <v>1533</v>
      </c>
      <c r="BB13" s="432" t="s">
        <v>1535</v>
      </c>
      <c r="BC13" s="432" t="s">
        <v>1536</v>
      </c>
      <c r="BD13" s="432" t="s">
        <v>1537</v>
      </c>
      <c r="BE13" s="432" t="s">
        <v>1538</v>
      </c>
      <c r="BF13" s="432" t="s">
        <v>1534</v>
      </c>
      <c r="BG13" s="432" t="s">
        <v>1539</v>
      </c>
    </row>
    <row r="14" spans="1:59" s="468" customFormat="1">
      <c r="A14" s="2169"/>
      <c r="B14" s="2106"/>
      <c r="C14" s="1515"/>
      <c r="D14" s="1510"/>
      <c r="E14" s="357" t="str">
        <f t="shared" ref="E14:E58" si="0">IF(A14="","","Piece")</f>
        <v/>
      </c>
      <c r="F14" s="357" t="str">
        <f>IF(E14="", "","USD")</f>
        <v/>
      </c>
      <c r="G14" s="1001"/>
      <c r="H14" s="35"/>
      <c r="I14" s="35"/>
      <c r="J14" s="35"/>
      <c r="K14" s="35"/>
      <c r="L14" s="38">
        <f>SUM(Table6912138[[#This Row],[Y1 Q1 quantity]:[Y1 Q4 quantity]])</f>
        <v>0</v>
      </c>
      <c r="M14" s="995">
        <f>Table6912138[[#This Row],[Y1 Total quantity]]*Table6912138[[#This Row],[Y1 Unit cost]]</f>
        <v>0</v>
      </c>
      <c r="N14" s="992"/>
      <c r="O14" s="35"/>
      <c r="P14" s="35"/>
      <c r="Q14" s="35"/>
      <c r="R14" s="35"/>
      <c r="S14" s="38">
        <f>SUM(Table6912138[[#This Row],[Y2 Q1 quantity]:[Y2 Q4 quantity]])</f>
        <v>0</v>
      </c>
      <c r="T14" s="995">
        <f>Table6912138[[#This Row],[Y2 Total quantity]]*Table6912138[[#This Row],[Y2 Unit cost]]</f>
        <v>0</v>
      </c>
      <c r="U14" s="992"/>
      <c r="V14" s="35"/>
      <c r="W14" s="35"/>
      <c r="X14" s="35"/>
      <c r="Y14" s="35"/>
      <c r="Z14" s="38">
        <f>SUM(Table6912138[[#This Row],[Y3 Q1 quantity]:[Y3 Q4 quantity]])</f>
        <v>0</v>
      </c>
      <c r="AA14" s="995">
        <f>Table6912138[[#This Row],[Y3 Unit cost]]*Table6912138[[#This Row],[Y3 Total quantity]]</f>
        <v>0</v>
      </c>
      <c r="AB14" s="38">
        <f>Table6912138[[#This Row],[Y1 Total quantity]]+Table6912138[[#This Row],[Y2 Total quantity]]+Table6912138[[#This Row],[Y3 Total quantity]]</f>
        <v>0</v>
      </c>
      <c r="AC14" s="995">
        <f>Table6912138[[#This Row],[Y1 Total cost]]+Table6912138[[#This Row],[Y2 Total cost]]+Table6912138[[#This Row],[Y3 Total cost]]</f>
        <v>0</v>
      </c>
      <c r="AD14" s="440" t="str">
        <f>IF(ISBLANK(A14),"", IF(OR(AND(ISNUMBER(SEARCH("cytometry",C14)),ISNUMBER(SEARCH("Equipment",D14))),AND(ISNUMBER(SEARCH("cytometry",C14)),ISNUMBER(SEARCH("Spare",D14)))),"6.1",IF(OR(AND(ISNUMBER(SEARCH("EID",C14)),ISNUMBER(SEARCH("Equipment",D14))),AND(ISNUMBER(SEARCH("EID",C14)),ISNUMBER(SEARCH("Spare",D14)))),"6.2",IF(ISNUMBER(SEARCH("GeneXpert:",C14)),"6.4",IF(OR(ISNUMBER(SEARCH("Warranty, maintenance",D14)),AND(ISNUMBER(SEARCH("BACTEC MGIT",C14)),ISNUMBER(SEARCH("specifications manually",D14))),AND(ISNUMBER(SEARCH("equipment-Other",C14)),ISNUMBER(SEARCH("specifications manually",D14))),AND(ISNUMBER(SEARCH("Microscope-Maintenance",C14)),ISNUMBER(SEARCH("specifications manually",D14))),AND(ISNUMBER(SEARCH("diagnosis/LPA",C14)),ISNUMBER(SEARCH("specifications manually",D14))),AND(ISNUMBER(SEARCH("GeneXpert",C14)),ISNUMBER(SEARCH("Calibration",D14)))),"6.5","6.6")))))</f>
        <v/>
      </c>
      <c r="AE14" s="956"/>
      <c r="AN14" s="469"/>
      <c r="AU14" s="436" t="s">
        <v>1870</v>
      </c>
      <c r="AV14" s="552">
        <f>SUMPRODUCT(($A$14:$A$58="GeneXpert - Equipment &amp; cartridges for HIV program")*($G$14:$G$58)*((H14:H58)))+SUMPRODUCT(($A$14:$A$58="Laboratory equipment for HIV program")*($G$14:$G$58)*((H14:H58)))+SUMPRODUCT(($A$14:$A$58="Maintenance and service costs for health equipment_HIV program")*($G$14:$G$58)*((H14:H58)))+SUMPRODUCT(($A$14:$A$58="Other health equipment for HIV program")*($G$14:$G$58)*((H14:H58)))-AV18</f>
        <v>0</v>
      </c>
      <c r="AW14" s="553">
        <f>SUMPRODUCT(($A$14:$A$58="GeneXpert - Equipment &amp; cartridges for HIV program")*($G$14:$G$58)*((I14:I58)))+SUMPRODUCT(($A$14:$A$58="Laboratory equipment for HIV program")*($G$14:$G$58)*((I14:I58)))+SUMPRODUCT(($A$14:$A$58="Maintenance and service costs for health equipment_HIV program")*($G$14:$G$58)*((I14:I58)))+SUMPRODUCT(($A$14:$A$58="Other health equipment for HIV program")*($G$14:$G$58)*((I14:I58)))-AW18</f>
        <v>0</v>
      </c>
      <c r="AX14" s="553">
        <f>SUMPRODUCT(($A$14:$A$58="GeneXpert - Equipment &amp; cartridges for HIV program")*($G$14:$G$58)*((J14:J58)))+SUMPRODUCT(($A$14:$A$58="Laboratory equipment for HIV program")*($G$14:$G$58)*((J14:J58)))+SUMPRODUCT(($A$14:$A$58="Maintenance and service costs for health equipment_HIV program")*($G$14:$G$58)*((J14:J58)))+SUMPRODUCT(($A$14:$A$58="Other health equipment for HIV program")*($G$14:$G$58)*((J14:J58)))-AX18</f>
        <v>0</v>
      </c>
      <c r="AY14" s="553">
        <f>SUMPRODUCT(($A$14:$A$58="GeneXpert - Equipment &amp; cartridges for HIV program")*($G$14:$G$58)*((K14:K58)))+SUMPRODUCT(($A$14:$A$58="Laboratory equipment for HIV program")*($G$14:$G$58)*((K14:K58)))+SUMPRODUCT(($A$14:$A$58="Maintenance and service costs for health equipment_HIV program")*($G$14:$G$58)*((K14:K58)))+SUMPRODUCT(($A$14:$A$58="Other health equipment for HIV program")*($G$14:$G$58)*((K14:K58)))-AY18</f>
        <v>0</v>
      </c>
      <c r="AZ14" s="553">
        <f>SUMPRODUCT(($A$14:$A$58="GeneXpert - Equipment &amp; cartridges for HIV program")*($N$14:$N$58)*((O14:O58)))+SUMPRODUCT(($A$14:$A$58="Laboratory equipment for HIV program")*($N$14:$N$58)*((O14:O58)))+SUMPRODUCT(($A$14:$A$58="Maintenance and service costs for health equipment_HIV program")*($N$14:$N$58)*((O14:O58)))+SUMPRODUCT(($A$14:$A$58="Other health equipment for HIV program")*($N$14:$N$58)*((O14:O58)))-AZ18</f>
        <v>0</v>
      </c>
      <c r="BA14" s="553">
        <f>SUMPRODUCT(($A$14:$A$58="GeneXpert - Equipment &amp; cartridges for HIV program")*($N$14:$N$58)*((P14:P58)))+SUMPRODUCT(($A$14:$A$58="Laboratory equipment for HIV program")*($N$14:$N$58)*((P14:P58)))+SUMPRODUCT(($A$14:$A$58="Maintenance and service costs for health equipment_HIV program")*($N$14:$N$58)*((P14:P58)))+SUMPRODUCT(($A$14:$A$58="Other health equipment for HIV program")*($N$14:$N$58)*((P14:P58)))-BA18</f>
        <v>0</v>
      </c>
      <c r="BB14" s="553">
        <f>SUMPRODUCT(($A$14:$A$58="GeneXpert - Equipment &amp; cartridges for HIV program")*($N$14:$N$58)*((Q14:Q58)))+SUMPRODUCT(($A$14:$A$58="Laboratory equipment for HIV program")*($N$14:$N$58)*((Q14:Q58)))+SUMPRODUCT(($A$14:$A$58="Maintenance and service costs for health equipment_HIV program")*($N$14:$N$58)*((Q14:Q58)))+SUMPRODUCT(($A$14:$A$58="Other health equipment for HIV program")*($N$14:$N$58)*((Q14:Q58)))-BB18</f>
        <v>0</v>
      </c>
      <c r="BC14" s="553">
        <f>SUMPRODUCT(($A$14:$A$58="GeneXpert - Equipment &amp; cartridges for HIV program")*($N$14:$N$58)*((R14:R58)))+SUMPRODUCT(($A$14:$A$58="Laboratory equipment for HIV program")*($N$14:$N$58)*((R14:R58)))+SUMPRODUCT(($A$14:$A$58="Maintenance and service costs for health equipment_HIV program")*($N$14:$N$58)*((R14:R58)))+SUMPRODUCT(($A$14:$A$58="Other health equipment for HIV program")*($N$14:$N$58)*((R14:R58)))-BC18</f>
        <v>0</v>
      </c>
      <c r="BD14" s="553">
        <f>SUMPRODUCT(($A$14:$A$58="GeneXpert - Equipment &amp; cartridges for HIV program")*($U$14:$U$58)*((V14:V58)))+SUMPRODUCT(($A$14:$A$58="Laboratory equipment for HIV program")*($U$14:$U$58)*((V14:V58)))+SUMPRODUCT(($A$14:$A$58="Maintenance and service costs for health equipment_HIV program")*($U$14:$U$58)*((V14:V58)))+SUMPRODUCT(($A$14:$A$58="Other health equipment for HIV program")*($U$14:$U$58)*((V14:V58)))-BD18</f>
        <v>0</v>
      </c>
      <c r="BE14" s="553">
        <f>SUMPRODUCT(($A$14:$A$58="GeneXpert - Equipment &amp; cartridges for HIV program")*($U$14:$U$58)*((W14:W58)))+SUMPRODUCT(($A$14:$A$58="Laboratory equipment for HIV program")*($U$14:$U$58)*((W14:W58)))+SUMPRODUCT(($A$14:$A$58="Maintenance and service costs for health equipment_HIV program")*($U$14:$U$58)*((W14:W58)))+SUMPRODUCT(($A$14:$A$58="Other health equipment for HIV program")*($U$14:$U$58)*((W14:W58)))-BE18</f>
        <v>0</v>
      </c>
      <c r="BF14" s="553">
        <f>SUMPRODUCT(($A$14:$A$58="GeneXpert - Equipment &amp; cartridges for HIV program")*($U$14:$U$58)*((X14:X58)))+SUMPRODUCT(($A$14:$A$58="Laboratory equipment for HIV program")*($U$14:$U$58)*((X14:X58)))+SUMPRODUCT(($A$14:$A$58="Maintenance and service costs for health equipment_HIV program")*($U$14:$U$58)*((X14:X58)))+SUMPRODUCT(($A$14:$A$58="Other health equipment for HIV program")*($U$14:$U$58)*((X14:X58)))-BF18</f>
        <v>0</v>
      </c>
      <c r="BG14" s="553">
        <f>SUMPRODUCT(($A$14:$A$58="GeneXpert - Equipment &amp; cartridges for HIV program")*($U$14:$U$58)*((Y14:Y58)))+SUMPRODUCT(($A$14:$A$58="Laboratory equipment for HIV program")*($U$14:$U$58)*((Y14:Y58)))+SUMPRODUCT(($A$14:$A$58="Maintenance and service costs for health equipment_HIV program")*($U$14:$U$58)*((Y14:Y58)))+SUMPRODUCT(($A$14:$A$58="Other health equipment for HIV program")*($U$14:$U$58)*((Y14:Y58)))-BG18</f>
        <v>0</v>
      </c>
    </row>
    <row r="15" spans="1:59">
      <c r="A15" s="2170"/>
      <c r="B15" s="2109"/>
      <c r="C15" s="1516"/>
      <c r="D15" s="1511"/>
      <c r="E15" s="358" t="str">
        <f t="shared" si="0"/>
        <v/>
      </c>
      <c r="F15" s="358" t="str">
        <f t="shared" ref="F15:F58" si="1">IF(E15="", "","USD")</f>
        <v/>
      </c>
      <c r="G15" s="1002"/>
      <c r="H15" s="36"/>
      <c r="I15" s="36"/>
      <c r="J15" s="36"/>
      <c r="K15" s="36"/>
      <c r="L15" s="39">
        <f>SUM(Table6912138[[#This Row],[Y1 Q1 quantity]:[Y1 Q4 quantity]])</f>
        <v>0</v>
      </c>
      <c r="M15" s="996">
        <f>Table6912138[[#This Row],[Y1 Total quantity]]*Table6912138[[#This Row],[Y1 Unit cost]]</f>
        <v>0</v>
      </c>
      <c r="N15" s="993"/>
      <c r="O15" s="36"/>
      <c r="P15" s="36"/>
      <c r="Q15" s="36"/>
      <c r="R15" s="36"/>
      <c r="S15" s="39">
        <f>SUM(Table6912138[[#This Row],[Y2 Q1 quantity]:[Y2 Q4 quantity]])</f>
        <v>0</v>
      </c>
      <c r="T15" s="996">
        <f>Table6912138[[#This Row],[Y2 Total quantity]]*Table6912138[[#This Row],[Y2 Unit cost]]</f>
        <v>0</v>
      </c>
      <c r="U15" s="993"/>
      <c r="V15" s="36"/>
      <c r="W15" s="36"/>
      <c r="X15" s="36"/>
      <c r="Y15" s="36"/>
      <c r="Z15" s="39">
        <f>SUM(Table6912138[[#This Row],[Y3 Q1 quantity]:[Y3 Q4 quantity]])</f>
        <v>0</v>
      </c>
      <c r="AA15" s="996">
        <f>Table6912138[[#This Row],[Y3 Unit cost]]*Table6912138[[#This Row],[Y3 Total quantity]]</f>
        <v>0</v>
      </c>
      <c r="AB15" s="39">
        <f>Table6912138[[#This Row],[Y1 Total quantity]]+Table6912138[[#This Row],[Y2 Total quantity]]+Table6912138[[#This Row],[Y3 Total quantity]]</f>
        <v>0</v>
      </c>
      <c r="AC15" s="996">
        <f>Table6912138[[#This Row],[Y1 Total cost]]+Table6912138[[#This Row],[Y2 Total cost]]+Table6912138[[#This Row],[Y3 Total cost]]</f>
        <v>0</v>
      </c>
      <c r="AD15" s="440" t="str">
        <f t="shared" ref="AD15:AD58" si="2">IF(ISBLANK(A15),"", IF(OR(AND(ISNUMBER(SEARCH("cytometry",C15)),ISNUMBER(SEARCH("Equipment",D15))),AND(ISNUMBER(SEARCH("cytometry",C15)),ISNUMBER(SEARCH("Spare",D15)))),"6.1",IF(OR(AND(ISNUMBER(SEARCH("EID",C15)),ISNUMBER(SEARCH("Equipment",D15))),AND(ISNUMBER(SEARCH("EID",C15)),ISNUMBER(SEARCH("Spare",D15)))),"6.2",IF(ISNUMBER(SEARCH("GeneXpert:",C15)),"6.4",IF(OR(ISNUMBER(SEARCH("Warranty, maintenance",D15)),AND(ISNUMBER(SEARCH("BACTEC MGIT",C15)),ISNUMBER(SEARCH("specifications manually",D15))),AND(ISNUMBER(SEARCH("equipment-Other",C15)),ISNUMBER(SEARCH("specifications manually",D15))),AND(ISNUMBER(SEARCH("Microscope-Maintenance",C15)),ISNUMBER(SEARCH("specifications manually",D15))),AND(ISNUMBER(SEARCH("diagnosis/LPA",C15)),ISNUMBER(SEARCH("specifications manually",D15))),AND(ISNUMBER(SEARCH("GeneXpert",C15)),ISNUMBER(SEARCH("Calibration",D15)))),"6.5","6.6")))))</f>
        <v/>
      </c>
      <c r="AE15" s="1222"/>
      <c r="AM15" s="105"/>
      <c r="AN15" s="469"/>
    </row>
    <row r="16" spans="1:59">
      <c r="A16" s="2169"/>
      <c r="B16" s="2106"/>
      <c r="C16" s="1517"/>
      <c r="D16" s="1512"/>
      <c r="E16" s="357" t="str">
        <f t="shared" si="0"/>
        <v/>
      </c>
      <c r="F16" s="357" t="str">
        <f t="shared" si="1"/>
        <v/>
      </c>
      <c r="G16" s="1001"/>
      <c r="H16" s="35"/>
      <c r="I16" s="35"/>
      <c r="J16" s="35"/>
      <c r="K16" s="35"/>
      <c r="L16" s="38">
        <f>SUM(Table6912138[[#This Row],[Y1 Q1 quantity]:[Y1 Q4 quantity]])</f>
        <v>0</v>
      </c>
      <c r="M16" s="995">
        <f>Table6912138[[#This Row],[Y1 Total quantity]]*Table6912138[[#This Row],[Y1 Unit cost]]</f>
        <v>0</v>
      </c>
      <c r="N16" s="992"/>
      <c r="O16" s="35"/>
      <c r="P16" s="35"/>
      <c r="Q16" s="35"/>
      <c r="R16" s="35"/>
      <c r="S16" s="38">
        <f>SUM(Table6912138[[#This Row],[Y2 Q1 quantity]:[Y2 Q4 quantity]])</f>
        <v>0</v>
      </c>
      <c r="T16" s="995">
        <f>Table6912138[[#This Row],[Y2 Total quantity]]*Table6912138[[#This Row],[Y2 Unit cost]]</f>
        <v>0</v>
      </c>
      <c r="U16" s="992"/>
      <c r="V16" s="35"/>
      <c r="W16" s="35"/>
      <c r="X16" s="35"/>
      <c r="Y16" s="35"/>
      <c r="Z16" s="38">
        <f>SUM(Table6912138[[#This Row],[Y3 Q1 quantity]:[Y3 Q4 quantity]])</f>
        <v>0</v>
      </c>
      <c r="AA16" s="995">
        <f>Table6912138[[#This Row],[Y3 Unit cost]]*Table6912138[[#This Row],[Y3 Total quantity]]</f>
        <v>0</v>
      </c>
      <c r="AB16" s="38">
        <f>Table6912138[[#This Row],[Y1 Total quantity]]+Table6912138[[#This Row],[Y2 Total quantity]]+Table6912138[[#This Row],[Y3 Total quantity]]</f>
        <v>0</v>
      </c>
      <c r="AC16" s="995">
        <f>Table6912138[[#This Row],[Y1 Total cost]]+Table6912138[[#This Row],[Y2 Total cost]]+Table6912138[[#This Row],[Y3 Total cost]]</f>
        <v>0</v>
      </c>
      <c r="AD16" s="440" t="str">
        <f t="shared" si="2"/>
        <v/>
      </c>
      <c r="AE16" s="957"/>
      <c r="AM16" s="105"/>
      <c r="AN16" s="469"/>
      <c r="AU16" s="554"/>
      <c r="AV16" s="555"/>
      <c r="AW16" s="555"/>
      <c r="AX16" s="555"/>
      <c r="AY16" s="555"/>
      <c r="AZ16" s="555"/>
      <c r="BA16" s="555"/>
      <c r="BB16" s="555"/>
      <c r="BC16" s="555"/>
      <c r="BD16" s="555"/>
      <c r="BE16" s="555"/>
      <c r="BF16" s="555"/>
      <c r="BG16" s="555"/>
    </row>
    <row r="17" spans="1:59">
      <c r="A17" s="2170"/>
      <c r="B17" s="2109"/>
      <c r="C17" s="1516"/>
      <c r="D17" s="1511"/>
      <c r="E17" s="358" t="str">
        <f t="shared" si="0"/>
        <v/>
      </c>
      <c r="F17" s="358" t="str">
        <f t="shared" si="1"/>
        <v/>
      </c>
      <c r="G17" s="1002"/>
      <c r="H17" s="36"/>
      <c r="I17" s="36"/>
      <c r="J17" s="36"/>
      <c r="K17" s="36"/>
      <c r="L17" s="39">
        <f>SUM(Table6912138[[#This Row],[Y1 Q1 quantity]:[Y1 Q4 quantity]])</f>
        <v>0</v>
      </c>
      <c r="M17" s="996">
        <f>Table6912138[[#This Row],[Y1 Total quantity]]*Table6912138[[#This Row],[Y1 Unit cost]]</f>
        <v>0</v>
      </c>
      <c r="N17" s="993"/>
      <c r="O17" s="36"/>
      <c r="P17" s="36"/>
      <c r="Q17" s="36"/>
      <c r="R17" s="36"/>
      <c r="S17" s="39">
        <f>SUM(Table6912138[[#This Row],[Y2 Q1 quantity]:[Y2 Q4 quantity]])</f>
        <v>0</v>
      </c>
      <c r="T17" s="996">
        <f>Table6912138[[#This Row],[Y2 Total quantity]]*Table6912138[[#This Row],[Y2 Unit cost]]</f>
        <v>0</v>
      </c>
      <c r="U17" s="993"/>
      <c r="V17" s="36"/>
      <c r="W17" s="36"/>
      <c r="X17" s="36"/>
      <c r="Y17" s="36"/>
      <c r="Z17" s="39">
        <f>SUM(Table6912138[[#This Row],[Y3 Q1 quantity]:[Y3 Q4 quantity]])</f>
        <v>0</v>
      </c>
      <c r="AA17" s="996">
        <f>Table6912138[[#This Row],[Y3 Unit cost]]*Table6912138[[#This Row],[Y3 Total quantity]]</f>
        <v>0</v>
      </c>
      <c r="AB17" s="39">
        <f>Table6912138[[#This Row],[Y1 Total quantity]]+Table6912138[[#This Row],[Y2 Total quantity]]+Table6912138[[#This Row],[Y3 Total quantity]]</f>
        <v>0</v>
      </c>
      <c r="AC17" s="996">
        <f>Table6912138[[#This Row],[Y1 Total cost]]+Table6912138[[#This Row],[Y2 Total cost]]+Table6912138[[#This Row],[Y3 Total cost]]</f>
        <v>0</v>
      </c>
      <c r="AD17" s="440" t="str">
        <f t="shared" si="2"/>
        <v/>
      </c>
      <c r="AE17" s="1222"/>
      <c r="AM17" s="105"/>
      <c r="AN17" s="469"/>
      <c r="AV17" s="676"/>
    </row>
    <row r="18" spans="1:59">
      <c r="A18" s="2169"/>
      <c r="B18" s="2106"/>
      <c r="C18" s="1517"/>
      <c r="D18" s="1512"/>
      <c r="E18" s="357" t="str">
        <f t="shared" si="0"/>
        <v/>
      </c>
      <c r="F18" s="357" t="str">
        <f t="shared" si="1"/>
        <v/>
      </c>
      <c r="G18" s="1001"/>
      <c r="H18" s="35"/>
      <c r="I18" s="35"/>
      <c r="J18" s="35"/>
      <c r="K18" s="35"/>
      <c r="L18" s="38">
        <f>SUM(Table6912138[[#This Row],[Y1 Q1 quantity]:[Y1 Q4 quantity]])</f>
        <v>0</v>
      </c>
      <c r="M18" s="995">
        <f>Table6912138[[#This Row],[Y1 Total quantity]]*Table6912138[[#This Row],[Y1 Unit cost]]</f>
        <v>0</v>
      </c>
      <c r="N18" s="992"/>
      <c r="O18" s="35"/>
      <c r="P18" s="35"/>
      <c r="Q18" s="35"/>
      <c r="R18" s="35"/>
      <c r="S18" s="38">
        <f>SUM(Table6912138[[#This Row],[Y2 Q1 quantity]:[Y2 Q4 quantity]])</f>
        <v>0</v>
      </c>
      <c r="T18" s="995">
        <f>Table6912138[[#This Row],[Y2 Total quantity]]*Table6912138[[#This Row],[Y2 Unit cost]]</f>
        <v>0</v>
      </c>
      <c r="U18" s="992"/>
      <c r="V18" s="35"/>
      <c r="W18" s="35"/>
      <c r="X18" s="35"/>
      <c r="Y18" s="35"/>
      <c r="Z18" s="38">
        <f>SUM(Table6912138[[#This Row],[Y3 Q1 quantity]:[Y3 Q4 quantity]])</f>
        <v>0</v>
      </c>
      <c r="AA18" s="995">
        <f>Table6912138[[#This Row],[Y3 Unit cost]]*Table6912138[[#This Row],[Y3 Total quantity]]</f>
        <v>0</v>
      </c>
      <c r="AB18" s="38">
        <f>Table6912138[[#This Row],[Y1 Total quantity]]+Table6912138[[#This Row],[Y2 Total quantity]]+Table6912138[[#This Row],[Y3 Total quantity]]</f>
        <v>0</v>
      </c>
      <c r="AC18" s="995">
        <f>Table6912138[[#This Row],[Y1 Total cost]]+Table6912138[[#This Row],[Y2 Total cost]]+Table6912138[[#This Row],[Y3 Total cost]]</f>
        <v>0</v>
      </c>
      <c r="AD18" s="440" t="str">
        <f t="shared" si="2"/>
        <v/>
      </c>
      <c r="AE18" s="957"/>
      <c r="AM18" s="105"/>
      <c r="AN18" s="469"/>
      <c r="AU18" s="677" t="s">
        <v>2358</v>
      </c>
      <c r="AV18" s="678">
        <f>SUMPRODUCT(--($AD$14:$AD$59="6.5"), $G$14:$G$59, H$14:H$59)</f>
        <v>0</v>
      </c>
      <c r="AW18" s="678">
        <f>SUMPRODUCT(--($AD$14:$AD$59="6.5"), $G$14:$G$59, I$14:I$59)</f>
        <v>0</v>
      </c>
      <c r="AX18" s="678">
        <f>SUMPRODUCT(--($AD$14:$AD$59="6.5"), $G$14:$G$59, J$14:J$59)</f>
        <v>0</v>
      </c>
      <c r="AY18" s="678">
        <f>SUMPRODUCT(--($AD$14:$AD$59="6.5"), $G$14:$G$59, K$14:K$59)</f>
        <v>0</v>
      </c>
      <c r="AZ18" s="678">
        <f>SUMPRODUCT(--($AD$14:$AD$59="6.5"), $N$14:$N$59, O$14:O$59)</f>
        <v>0</v>
      </c>
      <c r="BA18" s="678">
        <f>SUMPRODUCT(--($AD$14:$AD$59="6.5"), $N$14:$N$59, P$14:P$59)</f>
        <v>0</v>
      </c>
      <c r="BB18" s="678">
        <f>SUMPRODUCT(--($AD$14:$AD$59="6.5"), $N$14:$N$59, Q$14:Q$59)</f>
        <v>0</v>
      </c>
      <c r="BC18" s="678">
        <f>SUMPRODUCT(--($AD$14:$AD$59="6.5"), $N$14:$N$59, R$14:R$59)</f>
        <v>0</v>
      </c>
      <c r="BD18" s="678">
        <f>SUMPRODUCT(--($AD$14:$AD$59="6.5"), $U$14:$U$59, V$14:V$59)</f>
        <v>0</v>
      </c>
      <c r="BE18" s="678">
        <f>SUMPRODUCT(--($AD$14:$AD$59="6.5"), $U$14:$U$59, W$14:W$59)</f>
        <v>0</v>
      </c>
      <c r="BF18" s="678">
        <f>SUMPRODUCT(--($AD$14:$AD$59="6.5"), $U$14:$U$59, X$14:X$59)</f>
        <v>0</v>
      </c>
      <c r="BG18" s="678">
        <f>SUMPRODUCT(--($AD$14:$AD$59="6.5"), $U$14:$U$59, Y$14:Y$59)</f>
        <v>0</v>
      </c>
    </row>
    <row r="19" spans="1:59">
      <c r="A19" s="2170"/>
      <c r="B19" s="2109"/>
      <c r="C19" s="1518"/>
      <c r="D19" s="1513"/>
      <c r="E19" s="358" t="str">
        <f t="shared" si="0"/>
        <v/>
      </c>
      <c r="F19" s="358" t="str">
        <f t="shared" si="1"/>
        <v/>
      </c>
      <c r="G19" s="993"/>
      <c r="H19" s="36"/>
      <c r="I19" s="36"/>
      <c r="J19" s="36"/>
      <c r="K19" s="36"/>
      <c r="L19" s="39">
        <f>SUM(Table6912138[[#This Row],[Y1 Q1 quantity]:[Y1 Q4 quantity]])</f>
        <v>0</v>
      </c>
      <c r="M19" s="996">
        <f>Table6912138[[#This Row],[Y1 Total quantity]]*Table6912138[[#This Row],[Y1 Unit cost]]</f>
        <v>0</v>
      </c>
      <c r="N19" s="993"/>
      <c r="O19" s="36"/>
      <c r="P19" s="36"/>
      <c r="Q19" s="36"/>
      <c r="R19" s="36"/>
      <c r="S19" s="39">
        <f>SUM(Table6912138[[#This Row],[Y2 Q1 quantity]:[Y2 Q4 quantity]])</f>
        <v>0</v>
      </c>
      <c r="T19" s="996">
        <f>Table6912138[[#This Row],[Y2 Total quantity]]*Table6912138[[#This Row],[Y2 Unit cost]]</f>
        <v>0</v>
      </c>
      <c r="U19" s="993"/>
      <c r="V19" s="36"/>
      <c r="W19" s="36"/>
      <c r="X19" s="36"/>
      <c r="Y19" s="36"/>
      <c r="Z19" s="39">
        <f>SUM(Table6912138[[#This Row],[Y3 Q1 quantity]:[Y3 Q4 quantity]])</f>
        <v>0</v>
      </c>
      <c r="AA19" s="996">
        <f>Table6912138[[#This Row],[Y3 Unit cost]]*Table6912138[[#This Row],[Y3 Total quantity]]</f>
        <v>0</v>
      </c>
      <c r="AB19" s="39">
        <f>Table6912138[[#This Row],[Y1 Total quantity]]+Table6912138[[#This Row],[Y2 Total quantity]]+Table6912138[[#This Row],[Y3 Total quantity]]</f>
        <v>0</v>
      </c>
      <c r="AC19" s="996">
        <f>Table6912138[[#This Row],[Y1 Total cost]]+Table6912138[[#This Row],[Y2 Total cost]]+Table6912138[[#This Row],[Y3 Total cost]]</f>
        <v>0</v>
      </c>
      <c r="AD19" s="440" t="str">
        <f t="shared" si="2"/>
        <v/>
      </c>
      <c r="AE19" s="1222"/>
      <c r="AM19" s="105"/>
      <c r="AN19" s="469"/>
    </row>
    <row r="20" spans="1:59">
      <c r="A20" s="2169"/>
      <c r="B20" s="2106"/>
      <c r="C20" s="1517"/>
      <c r="D20" s="1512"/>
      <c r="E20" s="357" t="str">
        <f t="shared" si="0"/>
        <v/>
      </c>
      <c r="F20" s="357" t="str">
        <f t="shared" si="1"/>
        <v/>
      </c>
      <c r="G20" s="992"/>
      <c r="H20" s="35"/>
      <c r="I20" s="35"/>
      <c r="J20" s="35"/>
      <c r="K20" s="35"/>
      <c r="L20" s="38">
        <f>SUM(Table6912138[[#This Row],[Y1 Q1 quantity]:[Y1 Q4 quantity]])</f>
        <v>0</v>
      </c>
      <c r="M20" s="995">
        <f>Table6912138[[#This Row],[Y1 Total quantity]]*Table6912138[[#This Row],[Y1 Unit cost]]</f>
        <v>0</v>
      </c>
      <c r="N20" s="992"/>
      <c r="O20" s="35"/>
      <c r="P20" s="35"/>
      <c r="Q20" s="35"/>
      <c r="R20" s="35"/>
      <c r="S20" s="38">
        <f>SUM(Table6912138[[#This Row],[Y2 Q1 quantity]:[Y2 Q4 quantity]])</f>
        <v>0</v>
      </c>
      <c r="T20" s="995">
        <f>Table6912138[[#This Row],[Y2 Total quantity]]*Table6912138[[#This Row],[Y2 Unit cost]]</f>
        <v>0</v>
      </c>
      <c r="U20" s="992"/>
      <c r="V20" s="35"/>
      <c r="W20" s="35"/>
      <c r="X20" s="35"/>
      <c r="Y20" s="35"/>
      <c r="Z20" s="38">
        <f>SUM(Table6912138[[#This Row],[Y3 Q1 quantity]:[Y3 Q4 quantity]])</f>
        <v>0</v>
      </c>
      <c r="AA20" s="995">
        <f>Table6912138[[#This Row],[Y3 Unit cost]]*Table6912138[[#This Row],[Y3 Total quantity]]</f>
        <v>0</v>
      </c>
      <c r="AB20" s="38">
        <f>Table6912138[[#This Row],[Y1 Total quantity]]+Table6912138[[#This Row],[Y2 Total quantity]]+Table6912138[[#This Row],[Y3 Total quantity]]</f>
        <v>0</v>
      </c>
      <c r="AC20" s="995">
        <f>Table6912138[[#This Row],[Y1 Total cost]]+Table6912138[[#This Row],[Y2 Total cost]]+Table6912138[[#This Row],[Y3 Total cost]]</f>
        <v>0</v>
      </c>
      <c r="AD20" s="440" t="str">
        <f t="shared" si="2"/>
        <v/>
      </c>
      <c r="AE20" s="957"/>
      <c r="AM20" s="105"/>
      <c r="AN20" s="469"/>
    </row>
    <row r="21" spans="1:59">
      <c r="A21" s="2170"/>
      <c r="B21" s="2109"/>
      <c r="C21" s="1518"/>
      <c r="D21" s="1513"/>
      <c r="E21" s="358" t="str">
        <f t="shared" si="0"/>
        <v/>
      </c>
      <c r="F21" s="358" t="str">
        <f t="shared" si="1"/>
        <v/>
      </c>
      <c r="G21" s="993"/>
      <c r="H21" s="36"/>
      <c r="I21" s="36"/>
      <c r="J21" s="36"/>
      <c r="K21" s="36"/>
      <c r="L21" s="39">
        <f>SUM(Table6912138[[#This Row],[Y1 Q1 quantity]:[Y1 Q4 quantity]])</f>
        <v>0</v>
      </c>
      <c r="M21" s="996">
        <f>Table6912138[[#This Row],[Y1 Total quantity]]*Table6912138[[#This Row],[Y1 Unit cost]]</f>
        <v>0</v>
      </c>
      <c r="N21" s="993"/>
      <c r="O21" s="36"/>
      <c r="P21" s="36"/>
      <c r="Q21" s="36"/>
      <c r="R21" s="36"/>
      <c r="S21" s="39">
        <f>SUM(Table6912138[[#This Row],[Y2 Q1 quantity]:[Y2 Q4 quantity]])</f>
        <v>0</v>
      </c>
      <c r="T21" s="996">
        <f>Table6912138[[#This Row],[Y2 Total quantity]]*Table6912138[[#This Row],[Y2 Unit cost]]</f>
        <v>0</v>
      </c>
      <c r="U21" s="993"/>
      <c r="V21" s="36"/>
      <c r="W21" s="36"/>
      <c r="X21" s="36"/>
      <c r="Y21" s="36"/>
      <c r="Z21" s="39">
        <f>SUM(Table6912138[[#This Row],[Y3 Q1 quantity]:[Y3 Q4 quantity]])</f>
        <v>0</v>
      </c>
      <c r="AA21" s="996">
        <f>Table6912138[[#This Row],[Y3 Unit cost]]*Table6912138[[#This Row],[Y3 Total quantity]]</f>
        <v>0</v>
      </c>
      <c r="AB21" s="39">
        <f>Table6912138[[#This Row],[Y1 Total quantity]]+Table6912138[[#This Row],[Y2 Total quantity]]+Table6912138[[#This Row],[Y3 Total quantity]]</f>
        <v>0</v>
      </c>
      <c r="AC21" s="996">
        <f>Table6912138[[#This Row],[Y1 Total cost]]+Table6912138[[#This Row],[Y2 Total cost]]+Table6912138[[#This Row],[Y3 Total cost]]</f>
        <v>0</v>
      </c>
      <c r="AD21" s="440" t="str">
        <f t="shared" si="2"/>
        <v/>
      </c>
      <c r="AE21" s="1222"/>
      <c r="AM21" s="105"/>
      <c r="AN21" s="469"/>
    </row>
    <row r="22" spans="1:59">
      <c r="A22" s="2169"/>
      <c r="B22" s="2106"/>
      <c r="C22" s="1517"/>
      <c r="D22" s="1512"/>
      <c r="E22" s="357" t="str">
        <f t="shared" si="0"/>
        <v/>
      </c>
      <c r="F22" s="357" t="str">
        <f t="shared" si="1"/>
        <v/>
      </c>
      <c r="G22" s="992"/>
      <c r="H22" s="35"/>
      <c r="I22" s="35"/>
      <c r="J22" s="35"/>
      <c r="K22" s="35"/>
      <c r="L22" s="38">
        <f>SUM(Table6912138[[#This Row],[Y1 Q1 quantity]:[Y1 Q4 quantity]])</f>
        <v>0</v>
      </c>
      <c r="M22" s="995">
        <f>Table6912138[[#This Row],[Y1 Total quantity]]*Table6912138[[#This Row],[Y1 Unit cost]]</f>
        <v>0</v>
      </c>
      <c r="N22" s="992"/>
      <c r="O22" s="35"/>
      <c r="P22" s="35"/>
      <c r="Q22" s="35"/>
      <c r="R22" s="35"/>
      <c r="S22" s="38">
        <f>SUM(Table6912138[[#This Row],[Y2 Q1 quantity]:[Y2 Q4 quantity]])</f>
        <v>0</v>
      </c>
      <c r="T22" s="995">
        <f>Table6912138[[#This Row],[Y2 Total quantity]]*Table6912138[[#This Row],[Y2 Unit cost]]</f>
        <v>0</v>
      </c>
      <c r="U22" s="992"/>
      <c r="V22" s="35"/>
      <c r="W22" s="35"/>
      <c r="X22" s="35"/>
      <c r="Y22" s="35"/>
      <c r="Z22" s="38">
        <f>SUM(Table6912138[[#This Row],[Y3 Q1 quantity]:[Y3 Q4 quantity]])</f>
        <v>0</v>
      </c>
      <c r="AA22" s="995">
        <f>Table6912138[[#This Row],[Y3 Unit cost]]*Table6912138[[#This Row],[Y3 Total quantity]]</f>
        <v>0</v>
      </c>
      <c r="AB22" s="38">
        <f>Table6912138[[#This Row],[Y1 Total quantity]]+Table6912138[[#This Row],[Y2 Total quantity]]+Table6912138[[#This Row],[Y3 Total quantity]]</f>
        <v>0</v>
      </c>
      <c r="AC22" s="995">
        <f>Table6912138[[#This Row],[Y1 Total cost]]+Table6912138[[#This Row],[Y2 Total cost]]+Table6912138[[#This Row],[Y3 Total cost]]</f>
        <v>0</v>
      </c>
      <c r="AD22" s="440" t="str">
        <f t="shared" si="2"/>
        <v/>
      </c>
      <c r="AE22" s="957"/>
      <c r="AM22" s="105"/>
      <c r="AN22" s="469"/>
    </row>
    <row r="23" spans="1:59">
      <c r="A23" s="2170"/>
      <c r="B23" s="2109"/>
      <c r="C23" s="1518"/>
      <c r="D23" s="1513"/>
      <c r="E23" s="358" t="str">
        <f t="shared" si="0"/>
        <v/>
      </c>
      <c r="F23" s="358" t="str">
        <f t="shared" si="1"/>
        <v/>
      </c>
      <c r="G23" s="993"/>
      <c r="H23" s="36"/>
      <c r="I23" s="36"/>
      <c r="J23" s="36"/>
      <c r="K23" s="36"/>
      <c r="L23" s="39">
        <f>SUM(Table6912138[[#This Row],[Y1 Q1 quantity]:[Y1 Q4 quantity]])</f>
        <v>0</v>
      </c>
      <c r="M23" s="996">
        <f>Table6912138[[#This Row],[Y1 Total quantity]]*Table6912138[[#This Row],[Y1 Unit cost]]</f>
        <v>0</v>
      </c>
      <c r="N23" s="993"/>
      <c r="O23" s="36"/>
      <c r="P23" s="36"/>
      <c r="Q23" s="36"/>
      <c r="R23" s="36"/>
      <c r="S23" s="39">
        <f>SUM(Table6912138[[#This Row],[Y2 Q1 quantity]:[Y2 Q4 quantity]])</f>
        <v>0</v>
      </c>
      <c r="T23" s="996">
        <f>Table6912138[[#This Row],[Y2 Total quantity]]*Table6912138[[#This Row],[Y2 Unit cost]]</f>
        <v>0</v>
      </c>
      <c r="U23" s="993"/>
      <c r="V23" s="36"/>
      <c r="W23" s="36"/>
      <c r="X23" s="36"/>
      <c r="Y23" s="36"/>
      <c r="Z23" s="39">
        <f>SUM(Table6912138[[#This Row],[Y3 Q1 quantity]:[Y3 Q4 quantity]])</f>
        <v>0</v>
      </c>
      <c r="AA23" s="996">
        <f>Table6912138[[#This Row],[Y3 Unit cost]]*Table6912138[[#This Row],[Y3 Total quantity]]</f>
        <v>0</v>
      </c>
      <c r="AB23" s="39">
        <f>Table6912138[[#This Row],[Y1 Total quantity]]+Table6912138[[#This Row],[Y2 Total quantity]]+Table6912138[[#This Row],[Y3 Total quantity]]</f>
        <v>0</v>
      </c>
      <c r="AC23" s="996">
        <f>Table6912138[[#This Row],[Y1 Total cost]]+Table6912138[[#This Row],[Y2 Total cost]]+Table6912138[[#This Row],[Y3 Total cost]]</f>
        <v>0</v>
      </c>
      <c r="AD23" s="440" t="str">
        <f t="shared" si="2"/>
        <v/>
      </c>
      <c r="AE23" s="1222"/>
      <c r="AM23" s="105"/>
      <c r="AN23" s="469"/>
    </row>
    <row r="24" spans="1:59">
      <c r="A24" s="2169"/>
      <c r="B24" s="2106"/>
      <c r="C24" s="1517"/>
      <c r="D24" s="1512"/>
      <c r="E24" s="357" t="str">
        <f t="shared" si="0"/>
        <v/>
      </c>
      <c r="F24" s="357" t="str">
        <f t="shared" si="1"/>
        <v/>
      </c>
      <c r="G24" s="992"/>
      <c r="H24" s="35"/>
      <c r="I24" s="35"/>
      <c r="J24" s="35"/>
      <c r="K24" s="35"/>
      <c r="L24" s="39">
        <f>SUM(Table6912138[[#This Row],[Y1 Q1 quantity]:[Y1 Q4 quantity]])</f>
        <v>0</v>
      </c>
      <c r="M24" s="996">
        <f>Table6912138[[#This Row],[Y1 Total quantity]]*Table6912138[[#This Row],[Y1 Unit cost]]</f>
        <v>0</v>
      </c>
      <c r="N24" s="992"/>
      <c r="O24" s="35"/>
      <c r="P24" s="35"/>
      <c r="Q24" s="35"/>
      <c r="R24" s="35"/>
      <c r="S24" s="39">
        <f>SUM(Table6912138[[#This Row],[Y2 Q1 quantity]:[Y2 Q4 quantity]])</f>
        <v>0</v>
      </c>
      <c r="T24" s="996">
        <f>Table6912138[[#This Row],[Y2 Total quantity]]*Table6912138[[#This Row],[Y2 Unit cost]]</f>
        <v>0</v>
      </c>
      <c r="U24" s="992"/>
      <c r="V24" s="35"/>
      <c r="W24" s="35"/>
      <c r="X24" s="35"/>
      <c r="Y24" s="35"/>
      <c r="Z24" s="39">
        <f>SUM(Table6912138[[#This Row],[Y3 Q1 quantity]:[Y3 Q4 quantity]])</f>
        <v>0</v>
      </c>
      <c r="AA24" s="996">
        <f>Table6912138[[#This Row],[Y3 Unit cost]]*Table6912138[[#This Row],[Y3 Total quantity]]</f>
        <v>0</v>
      </c>
      <c r="AB24" s="39">
        <f>Table6912138[[#This Row],[Y1 Total quantity]]+Table6912138[[#This Row],[Y2 Total quantity]]+Table6912138[[#This Row],[Y3 Total quantity]]</f>
        <v>0</v>
      </c>
      <c r="AC24" s="996">
        <f>Table6912138[[#This Row],[Y1 Total cost]]+Table6912138[[#This Row],[Y2 Total cost]]+Table6912138[[#This Row],[Y3 Total cost]]</f>
        <v>0</v>
      </c>
      <c r="AD24" s="440" t="str">
        <f t="shared" si="2"/>
        <v/>
      </c>
      <c r="AE24" s="957"/>
      <c r="AM24" s="105"/>
      <c r="AN24" s="469"/>
    </row>
    <row r="25" spans="1:59">
      <c r="A25" s="2170"/>
      <c r="B25" s="2109"/>
      <c r="C25" s="1518"/>
      <c r="D25" s="1513"/>
      <c r="E25" s="358" t="str">
        <f t="shared" si="0"/>
        <v/>
      </c>
      <c r="F25" s="358" t="str">
        <f t="shared" si="1"/>
        <v/>
      </c>
      <c r="G25" s="993"/>
      <c r="H25" s="36"/>
      <c r="I25" s="36"/>
      <c r="J25" s="36"/>
      <c r="K25" s="36"/>
      <c r="L25" s="39">
        <f>SUM(Table6912138[[#This Row],[Y1 Q1 quantity]:[Y1 Q4 quantity]])</f>
        <v>0</v>
      </c>
      <c r="M25" s="996">
        <f>Table6912138[[#This Row],[Y1 Total quantity]]*Table6912138[[#This Row],[Y1 Unit cost]]</f>
        <v>0</v>
      </c>
      <c r="N25" s="993"/>
      <c r="O25" s="36"/>
      <c r="P25" s="36"/>
      <c r="Q25" s="36"/>
      <c r="R25" s="36"/>
      <c r="S25" s="39">
        <f>SUM(Table6912138[[#This Row],[Y2 Q1 quantity]:[Y2 Q4 quantity]])</f>
        <v>0</v>
      </c>
      <c r="T25" s="996">
        <f>Table6912138[[#This Row],[Y2 Total quantity]]*Table6912138[[#This Row],[Y2 Unit cost]]</f>
        <v>0</v>
      </c>
      <c r="U25" s="993"/>
      <c r="V25" s="36"/>
      <c r="W25" s="36"/>
      <c r="X25" s="36"/>
      <c r="Y25" s="36"/>
      <c r="Z25" s="39">
        <f>SUM(Table6912138[[#This Row],[Y3 Q1 quantity]:[Y3 Q4 quantity]])</f>
        <v>0</v>
      </c>
      <c r="AA25" s="996">
        <f>Table6912138[[#This Row],[Y3 Unit cost]]*Table6912138[[#This Row],[Y3 Total quantity]]</f>
        <v>0</v>
      </c>
      <c r="AB25" s="39">
        <f>Table6912138[[#This Row],[Y1 Total quantity]]+Table6912138[[#This Row],[Y2 Total quantity]]+Table6912138[[#This Row],[Y3 Total quantity]]</f>
        <v>0</v>
      </c>
      <c r="AC25" s="996">
        <f>Table6912138[[#This Row],[Y1 Total cost]]+Table6912138[[#This Row],[Y2 Total cost]]+Table6912138[[#This Row],[Y3 Total cost]]</f>
        <v>0</v>
      </c>
      <c r="AD25" s="440" t="str">
        <f t="shared" si="2"/>
        <v/>
      </c>
      <c r="AE25" s="1222"/>
      <c r="AM25" s="105"/>
      <c r="AN25" s="469"/>
    </row>
    <row r="26" spans="1:59">
      <c r="A26" s="2169"/>
      <c r="B26" s="2106"/>
      <c r="C26" s="1517"/>
      <c r="D26" s="1512"/>
      <c r="E26" s="357" t="str">
        <f t="shared" si="0"/>
        <v/>
      </c>
      <c r="F26" s="357" t="str">
        <f t="shared" si="1"/>
        <v/>
      </c>
      <c r="G26" s="992"/>
      <c r="H26" s="35"/>
      <c r="I26" s="35"/>
      <c r="J26" s="35"/>
      <c r="K26" s="35"/>
      <c r="L26" s="39">
        <f>SUM(Table6912138[[#This Row],[Y1 Q1 quantity]:[Y1 Q4 quantity]])</f>
        <v>0</v>
      </c>
      <c r="M26" s="996">
        <f>Table6912138[[#This Row],[Y1 Total quantity]]*Table6912138[[#This Row],[Y1 Unit cost]]</f>
        <v>0</v>
      </c>
      <c r="N26" s="992"/>
      <c r="O26" s="35"/>
      <c r="P26" s="35"/>
      <c r="Q26" s="35"/>
      <c r="R26" s="35"/>
      <c r="S26" s="39">
        <f>SUM(Table6912138[[#This Row],[Y2 Q1 quantity]:[Y2 Q4 quantity]])</f>
        <v>0</v>
      </c>
      <c r="T26" s="996">
        <f>Table6912138[[#This Row],[Y2 Total quantity]]*Table6912138[[#This Row],[Y2 Unit cost]]</f>
        <v>0</v>
      </c>
      <c r="U26" s="992"/>
      <c r="V26" s="35"/>
      <c r="W26" s="35"/>
      <c r="X26" s="35"/>
      <c r="Y26" s="35"/>
      <c r="Z26" s="39">
        <f>SUM(Table6912138[[#This Row],[Y3 Q1 quantity]:[Y3 Q4 quantity]])</f>
        <v>0</v>
      </c>
      <c r="AA26" s="996">
        <f>Table6912138[[#This Row],[Y3 Unit cost]]*Table6912138[[#This Row],[Y3 Total quantity]]</f>
        <v>0</v>
      </c>
      <c r="AB26" s="39">
        <f>Table6912138[[#This Row],[Y1 Total quantity]]+Table6912138[[#This Row],[Y2 Total quantity]]+Table6912138[[#This Row],[Y3 Total quantity]]</f>
        <v>0</v>
      </c>
      <c r="AC26" s="996">
        <f>Table6912138[[#This Row],[Y1 Total cost]]+Table6912138[[#This Row],[Y2 Total cost]]+Table6912138[[#This Row],[Y3 Total cost]]</f>
        <v>0</v>
      </c>
      <c r="AD26" s="440" t="str">
        <f t="shared" si="2"/>
        <v/>
      </c>
      <c r="AE26" s="957"/>
      <c r="AM26" s="105"/>
      <c r="AN26" s="469"/>
    </row>
    <row r="27" spans="1:59">
      <c r="A27" s="2170"/>
      <c r="B27" s="2109"/>
      <c r="C27" s="1518"/>
      <c r="D27" s="1513"/>
      <c r="E27" s="358" t="str">
        <f t="shared" si="0"/>
        <v/>
      </c>
      <c r="F27" s="358" t="str">
        <f t="shared" si="1"/>
        <v/>
      </c>
      <c r="G27" s="993"/>
      <c r="H27" s="36"/>
      <c r="I27" s="36"/>
      <c r="J27" s="36"/>
      <c r="K27" s="36"/>
      <c r="L27" s="39">
        <f>SUM(Table6912138[[#This Row],[Y1 Q1 quantity]:[Y1 Q4 quantity]])</f>
        <v>0</v>
      </c>
      <c r="M27" s="996">
        <f>Table6912138[[#This Row],[Y1 Total quantity]]*Table6912138[[#This Row],[Y1 Unit cost]]</f>
        <v>0</v>
      </c>
      <c r="N27" s="993"/>
      <c r="O27" s="36"/>
      <c r="P27" s="36"/>
      <c r="Q27" s="36"/>
      <c r="R27" s="36"/>
      <c r="S27" s="39">
        <f>SUM(Table6912138[[#This Row],[Y2 Q1 quantity]:[Y2 Q4 quantity]])</f>
        <v>0</v>
      </c>
      <c r="T27" s="996">
        <f>Table6912138[[#This Row],[Y2 Total quantity]]*Table6912138[[#This Row],[Y2 Unit cost]]</f>
        <v>0</v>
      </c>
      <c r="U27" s="993"/>
      <c r="V27" s="36"/>
      <c r="W27" s="36"/>
      <c r="X27" s="36"/>
      <c r="Y27" s="36"/>
      <c r="Z27" s="39">
        <f>SUM(Table6912138[[#This Row],[Y3 Q1 quantity]:[Y3 Q4 quantity]])</f>
        <v>0</v>
      </c>
      <c r="AA27" s="996">
        <f>Table6912138[[#This Row],[Y3 Unit cost]]*Table6912138[[#This Row],[Y3 Total quantity]]</f>
        <v>0</v>
      </c>
      <c r="AB27" s="39">
        <f>Table6912138[[#This Row],[Y1 Total quantity]]+Table6912138[[#This Row],[Y2 Total quantity]]+Table6912138[[#This Row],[Y3 Total quantity]]</f>
        <v>0</v>
      </c>
      <c r="AC27" s="996">
        <f>Table6912138[[#This Row],[Y1 Total cost]]+Table6912138[[#This Row],[Y2 Total cost]]+Table6912138[[#This Row],[Y3 Total cost]]</f>
        <v>0</v>
      </c>
      <c r="AD27" s="440" t="str">
        <f t="shared" si="2"/>
        <v/>
      </c>
      <c r="AE27" s="1222"/>
      <c r="AM27" s="105"/>
      <c r="AN27" s="469"/>
    </row>
    <row r="28" spans="1:59">
      <c r="A28" s="2169"/>
      <c r="B28" s="2106"/>
      <c r="C28" s="1517"/>
      <c r="D28" s="1512"/>
      <c r="E28" s="357" t="str">
        <f t="shared" si="0"/>
        <v/>
      </c>
      <c r="F28" s="357" t="str">
        <f t="shared" si="1"/>
        <v/>
      </c>
      <c r="G28" s="993"/>
      <c r="H28" s="35"/>
      <c r="I28" s="35"/>
      <c r="J28" s="35"/>
      <c r="K28" s="35"/>
      <c r="L28" s="39">
        <f>SUM(Table6912138[[#This Row],[Y1 Q1 quantity]:[Y1 Q4 quantity]])</f>
        <v>0</v>
      </c>
      <c r="M28" s="996">
        <f>Table6912138[[#This Row],[Y1 Total quantity]]*Table6912138[[#This Row],[Y1 Unit cost]]</f>
        <v>0</v>
      </c>
      <c r="N28" s="993"/>
      <c r="O28" s="35"/>
      <c r="P28" s="35"/>
      <c r="Q28" s="35"/>
      <c r="R28" s="35"/>
      <c r="S28" s="39">
        <f>SUM(Table6912138[[#This Row],[Y2 Q1 quantity]:[Y2 Q4 quantity]])</f>
        <v>0</v>
      </c>
      <c r="T28" s="996">
        <f>Table6912138[[#This Row],[Y2 Total quantity]]*Table6912138[[#This Row],[Y2 Unit cost]]</f>
        <v>0</v>
      </c>
      <c r="U28" s="993"/>
      <c r="V28" s="35"/>
      <c r="W28" s="35"/>
      <c r="X28" s="35"/>
      <c r="Y28" s="35"/>
      <c r="Z28" s="39">
        <f>SUM(Table6912138[[#This Row],[Y3 Q1 quantity]:[Y3 Q4 quantity]])</f>
        <v>0</v>
      </c>
      <c r="AA28" s="996">
        <f>Table6912138[[#This Row],[Y3 Unit cost]]*Table6912138[[#This Row],[Y3 Total quantity]]</f>
        <v>0</v>
      </c>
      <c r="AB28" s="39">
        <f>Table6912138[[#This Row],[Y1 Total quantity]]+Table6912138[[#This Row],[Y2 Total quantity]]+Table6912138[[#This Row],[Y3 Total quantity]]</f>
        <v>0</v>
      </c>
      <c r="AC28" s="996">
        <f>Table6912138[[#This Row],[Y1 Total cost]]+Table6912138[[#This Row],[Y2 Total cost]]+Table6912138[[#This Row],[Y3 Total cost]]</f>
        <v>0</v>
      </c>
      <c r="AD28" s="440" t="str">
        <f t="shared" si="2"/>
        <v/>
      </c>
      <c r="AE28" s="957"/>
      <c r="AM28" s="105"/>
      <c r="AN28" s="469"/>
    </row>
    <row r="29" spans="1:59">
      <c r="A29" s="2170"/>
      <c r="B29" s="2109"/>
      <c r="C29" s="1518"/>
      <c r="D29" s="1513"/>
      <c r="E29" s="358" t="str">
        <f t="shared" si="0"/>
        <v/>
      </c>
      <c r="F29" s="358" t="str">
        <f t="shared" si="1"/>
        <v/>
      </c>
      <c r="G29" s="993"/>
      <c r="H29" s="36"/>
      <c r="I29" s="36"/>
      <c r="J29" s="36"/>
      <c r="K29" s="36"/>
      <c r="L29" s="39">
        <f>SUM(Table6912138[[#This Row],[Y1 Q1 quantity]:[Y1 Q4 quantity]])</f>
        <v>0</v>
      </c>
      <c r="M29" s="996">
        <f>Table6912138[[#This Row],[Y1 Total quantity]]*Table6912138[[#This Row],[Y1 Unit cost]]</f>
        <v>0</v>
      </c>
      <c r="N29" s="993"/>
      <c r="O29" s="36"/>
      <c r="P29" s="36"/>
      <c r="Q29" s="36"/>
      <c r="R29" s="36"/>
      <c r="S29" s="39">
        <f>SUM(Table6912138[[#This Row],[Y2 Q1 quantity]:[Y2 Q4 quantity]])</f>
        <v>0</v>
      </c>
      <c r="T29" s="996">
        <f>Table6912138[[#This Row],[Y2 Total quantity]]*Table6912138[[#This Row],[Y2 Unit cost]]</f>
        <v>0</v>
      </c>
      <c r="U29" s="993"/>
      <c r="V29" s="36"/>
      <c r="W29" s="36"/>
      <c r="X29" s="36"/>
      <c r="Y29" s="36"/>
      <c r="Z29" s="39">
        <f>SUM(Table6912138[[#This Row],[Y3 Q1 quantity]:[Y3 Q4 quantity]])</f>
        <v>0</v>
      </c>
      <c r="AA29" s="996">
        <f>Table6912138[[#This Row],[Y3 Unit cost]]*Table6912138[[#This Row],[Y3 Total quantity]]</f>
        <v>0</v>
      </c>
      <c r="AB29" s="39">
        <f>Table6912138[[#This Row],[Y1 Total quantity]]+Table6912138[[#This Row],[Y2 Total quantity]]+Table6912138[[#This Row],[Y3 Total quantity]]</f>
        <v>0</v>
      </c>
      <c r="AC29" s="996">
        <f>Table6912138[[#This Row],[Y1 Total cost]]+Table6912138[[#This Row],[Y2 Total cost]]+Table6912138[[#This Row],[Y3 Total cost]]</f>
        <v>0</v>
      </c>
      <c r="AD29" s="440" t="str">
        <f t="shared" si="2"/>
        <v/>
      </c>
      <c r="AE29" s="1222"/>
      <c r="AM29" s="105"/>
      <c r="AN29" s="469"/>
    </row>
    <row r="30" spans="1:59">
      <c r="A30" s="2169"/>
      <c r="B30" s="2106"/>
      <c r="C30" s="1517"/>
      <c r="D30" s="1512"/>
      <c r="E30" s="357" t="str">
        <f t="shared" si="0"/>
        <v/>
      </c>
      <c r="F30" s="357" t="str">
        <f t="shared" si="1"/>
        <v/>
      </c>
      <c r="G30" s="993"/>
      <c r="H30" s="36"/>
      <c r="I30" s="36"/>
      <c r="J30" s="36"/>
      <c r="K30" s="36"/>
      <c r="L30" s="39">
        <f>SUM(Table6912138[[#This Row],[Y1 Q1 quantity]:[Y1 Q4 quantity]])</f>
        <v>0</v>
      </c>
      <c r="M30" s="996">
        <f>Table6912138[[#This Row],[Y1 Total quantity]]*Table6912138[[#This Row],[Y1 Unit cost]]</f>
        <v>0</v>
      </c>
      <c r="N30" s="993"/>
      <c r="O30" s="36"/>
      <c r="P30" s="36"/>
      <c r="Q30" s="36"/>
      <c r="R30" s="36"/>
      <c r="S30" s="39">
        <f>SUM(Table6912138[[#This Row],[Y2 Q1 quantity]:[Y2 Q4 quantity]])</f>
        <v>0</v>
      </c>
      <c r="T30" s="996">
        <f>Table6912138[[#This Row],[Y2 Total quantity]]*Table6912138[[#This Row],[Y2 Unit cost]]</f>
        <v>0</v>
      </c>
      <c r="U30" s="993"/>
      <c r="V30" s="36"/>
      <c r="W30" s="36"/>
      <c r="X30" s="36"/>
      <c r="Y30" s="36"/>
      <c r="Z30" s="39">
        <f>SUM(Table6912138[[#This Row],[Y3 Q1 quantity]:[Y3 Q4 quantity]])</f>
        <v>0</v>
      </c>
      <c r="AA30" s="996">
        <f>Table6912138[[#This Row],[Y3 Unit cost]]*Table6912138[[#This Row],[Y3 Total quantity]]</f>
        <v>0</v>
      </c>
      <c r="AB30" s="39">
        <f>Table6912138[[#This Row],[Y1 Total quantity]]+Table6912138[[#This Row],[Y2 Total quantity]]+Table6912138[[#This Row],[Y3 Total quantity]]</f>
        <v>0</v>
      </c>
      <c r="AC30" s="996">
        <f>Table6912138[[#This Row],[Y1 Total cost]]+Table6912138[[#This Row],[Y2 Total cost]]+Table6912138[[#This Row],[Y3 Total cost]]</f>
        <v>0</v>
      </c>
      <c r="AD30" s="440" t="str">
        <f t="shared" si="2"/>
        <v/>
      </c>
      <c r="AE30" s="957"/>
      <c r="AM30" s="105"/>
      <c r="AN30" s="469"/>
    </row>
    <row r="31" spans="1:59">
      <c r="A31" s="2170"/>
      <c r="B31" s="2109"/>
      <c r="C31" s="1518"/>
      <c r="D31" s="1513"/>
      <c r="E31" s="358" t="str">
        <f t="shared" si="0"/>
        <v/>
      </c>
      <c r="F31" s="358" t="str">
        <f t="shared" si="1"/>
        <v/>
      </c>
      <c r="G31" s="993"/>
      <c r="H31" s="36"/>
      <c r="I31" s="36"/>
      <c r="J31" s="36"/>
      <c r="K31" s="36"/>
      <c r="L31" s="39">
        <f>SUM(Table6912138[[#This Row],[Y1 Q1 quantity]:[Y1 Q4 quantity]])</f>
        <v>0</v>
      </c>
      <c r="M31" s="996">
        <f>Table6912138[[#This Row],[Y1 Total quantity]]*Table6912138[[#This Row],[Y1 Unit cost]]</f>
        <v>0</v>
      </c>
      <c r="N31" s="993"/>
      <c r="O31" s="36"/>
      <c r="P31" s="36"/>
      <c r="Q31" s="36"/>
      <c r="R31" s="36"/>
      <c r="S31" s="39">
        <f>SUM(Table6912138[[#This Row],[Y2 Q1 quantity]:[Y2 Q4 quantity]])</f>
        <v>0</v>
      </c>
      <c r="T31" s="996">
        <f>Table6912138[[#This Row],[Y2 Total quantity]]*Table6912138[[#This Row],[Y2 Unit cost]]</f>
        <v>0</v>
      </c>
      <c r="U31" s="993"/>
      <c r="V31" s="36"/>
      <c r="W31" s="36"/>
      <c r="X31" s="36"/>
      <c r="Y31" s="36"/>
      <c r="Z31" s="39">
        <f>SUM(Table6912138[[#This Row],[Y3 Q1 quantity]:[Y3 Q4 quantity]])</f>
        <v>0</v>
      </c>
      <c r="AA31" s="996">
        <f>Table6912138[[#This Row],[Y3 Unit cost]]*Table6912138[[#This Row],[Y3 Total quantity]]</f>
        <v>0</v>
      </c>
      <c r="AB31" s="39">
        <f>Table6912138[[#This Row],[Y1 Total quantity]]+Table6912138[[#This Row],[Y2 Total quantity]]+Table6912138[[#This Row],[Y3 Total quantity]]</f>
        <v>0</v>
      </c>
      <c r="AC31" s="996">
        <f>Table6912138[[#This Row],[Y1 Total cost]]+Table6912138[[#This Row],[Y2 Total cost]]+Table6912138[[#This Row],[Y3 Total cost]]</f>
        <v>0</v>
      </c>
      <c r="AD31" s="440" t="str">
        <f t="shared" si="2"/>
        <v/>
      </c>
      <c r="AE31" s="1222"/>
      <c r="AM31" s="105"/>
      <c r="AN31" s="469"/>
    </row>
    <row r="32" spans="1:59">
      <c r="A32" s="2169"/>
      <c r="B32" s="2106"/>
      <c r="C32" s="1517"/>
      <c r="D32" s="1512"/>
      <c r="E32" s="357" t="str">
        <f t="shared" si="0"/>
        <v/>
      </c>
      <c r="F32" s="357" t="str">
        <f t="shared" si="1"/>
        <v/>
      </c>
      <c r="G32" s="993"/>
      <c r="H32" s="36"/>
      <c r="I32" s="36"/>
      <c r="J32" s="36"/>
      <c r="K32" s="36"/>
      <c r="L32" s="39">
        <f>SUM(Table6912138[[#This Row],[Y1 Q1 quantity]:[Y1 Q4 quantity]])</f>
        <v>0</v>
      </c>
      <c r="M32" s="996">
        <f>Table6912138[[#This Row],[Y1 Total quantity]]*Table6912138[[#This Row],[Y1 Unit cost]]</f>
        <v>0</v>
      </c>
      <c r="N32" s="993"/>
      <c r="O32" s="36"/>
      <c r="P32" s="36"/>
      <c r="Q32" s="36"/>
      <c r="R32" s="36"/>
      <c r="S32" s="39">
        <f>SUM(Table6912138[[#This Row],[Y2 Q1 quantity]:[Y2 Q4 quantity]])</f>
        <v>0</v>
      </c>
      <c r="T32" s="996">
        <f>Table6912138[[#This Row],[Y2 Total quantity]]*Table6912138[[#This Row],[Y2 Unit cost]]</f>
        <v>0</v>
      </c>
      <c r="U32" s="993"/>
      <c r="V32" s="36"/>
      <c r="W32" s="36"/>
      <c r="X32" s="36"/>
      <c r="Y32" s="36"/>
      <c r="Z32" s="39">
        <f>SUM(Table6912138[[#This Row],[Y3 Q1 quantity]:[Y3 Q4 quantity]])</f>
        <v>0</v>
      </c>
      <c r="AA32" s="996">
        <f>Table6912138[[#This Row],[Y3 Unit cost]]*Table6912138[[#This Row],[Y3 Total quantity]]</f>
        <v>0</v>
      </c>
      <c r="AB32" s="39">
        <f>Table6912138[[#This Row],[Y1 Total quantity]]+Table6912138[[#This Row],[Y2 Total quantity]]+Table6912138[[#This Row],[Y3 Total quantity]]</f>
        <v>0</v>
      </c>
      <c r="AC32" s="996">
        <f>Table6912138[[#This Row],[Y1 Total cost]]+Table6912138[[#This Row],[Y2 Total cost]]+Table6912138[[#This Row],[Y3 Total cost]]</f>
        <v>0</v>
      </c>
      <c r="AD32" s="440" t="str">
        <f t="shared" si="2"/>
        <v/>
      </c>
      <c r="AE32" s="957"/>
      <c r="AM32" s="105"/>
      <c r="AN32" s="469"/>
    </row>
    <row r="33" spans="1:40">
      <c r="A33" s="2170"/>
      <c r="B33" s="2109"/>
      <c r="C33" s="1518"/>
      <c r="D33" s="1513"/>
      <c r="E33" s="358" t="str">
        <f t="shared" si="0"/>
        <v/>
      </c>
      <c r="F33" s="358" t="str">
        <f t="shared" si="1"/>
        <v/>
      </c>
      <c r="G33" s="993"/>
      <c r="H33" s="36"/>
      <c r="I33" s="36"/>
      <c r="J33" s="36"/>
      <c r="K33" s="36"/>
      <c r="L33" s="39">
        <f>SUM(Table6912138[[#This Row],[Y1 Q1 quantity]:[Y1 Q4 quantity]])</f>
        <v>0</v>
      </c>
      <c r="M33" s="996">
        <f>Table6912138[[#This Row],[Y1 Total quantity]]*Table6912138[[#This Row],[Y1 Unit cost]]</f>
        <v>0</v>
      </c>
      <c r="N33" s="993"/>
      <c r="O33" s="36"/>
      <c r="P33" s="36"/>
      <c r="Q33" s="36"/>
      <c r="R33" s="36"/>
      <c r="S33" s="39">
        <f>SUM(Table6912138[[#This Row],[Y2 Q1 quantity]:[Y2 Q4 quantity]])</f>
        <v>0</v>
      </c>
      <c r="T33" s="996">
        <f>Table6912138[[#This Row],[Y2 Total quantity]]*Table6912138[[#This Row],[Y2 Unit cost]]</f>
        <v>0</v>
      </c>
      <c r="U33" s="993"/>
      <c r="V33" s="36"/>
      <c r="W33" s="36"/>
      <c r="X33" s="36"/>
      <c r="Y33" s="36"/>
      <c r="Z33" s="39">
        <f>SUM(Table6912138[[#This Row],[Y3 Q1 quantity]:[Y3 Q4 quantity]])</f>
        <v>0</v>
      </c>
      <c r="AA33" s="996">
        <f>Table6912138[[#This Row],[Y3 Unit cost]]*Table6912138[[#This Row],[Y3 Total quantity]]</f>
        <v>0</v>
      </c>
      <c r="AB33" s="39">
        <f>Table6912138[[#This Row],[Y1 Total quantity]]+Table6912138[[#This Row],[Y2 Total quantity]]+Table6912138[[#This Row],[Y3 Total quantity]]</f>
        <v>0</v>
      </c>
      <c r="AC33" s="996">
        <f>Table6912138[[#This Row],[Y1 Total cost]]+Table6912138[[#This Row],[Y2 Total cost]]+Table6912138[[#This Row],[Y3 Total cost]]</f>
        <v>0</v>
      </c>
      <c r="AD33" s="440" t="str">
        <f t="shared" si="2"/>
        <v/>
      </c>
      <c r="AE33" s="1222"/>
      <c r="AM33" s="105"/>
      <c r="AN33" s="469"/>
    </row>
    <row r="34" spans="1:40">
      <c r="A34" s="2169"/>
      <c r="B34" s="2106"/>
      <c r="C34" s="1517"/>
      <c r="D34" s="1512"/>
      <c r="E34" s="357" t="str">
        <f t="shared" si="0"/>
        <v/>
      </c>
      <c r="F34" s="357" t="str">
        <f t="shared" si="1"/>
        <v/>
      </c>
      <c r="G34" s="993"/>
      <c r="H34" s="36"/>
      <c r="I34" s="36"/>
      <c r="J34" s="36"/>
      <c r="K34" s="36"/>
      <c r="L34" s="39">
        <f>SUM(Table6912138[[#This Row],[Y1 Q1 quantity]:[Y1 Q4 quantity]])</f>
        <v>0</v>
      </c>
      <c r="M34" s="996">
        <f>Table6912138[[#This Row],[Y1 Total quantity]]*Table6912138[[#This Row],[Y1 Unit cost]]</f>
        <v>0</v>
      </c>
      <c r="N34" s="993"/>
      <c r="O34" s="36"/>
      <c r="P34" s="36"/>
      <c r="Q34" s="36"/>
      <c r="R34" s="36"/>
      <c r="S34" s="39">
        <f>SUM(Table6912138[[#This Row],[Y2 Q1 quantity]:[Y2 Q4 quantity]])</f>
        <v>0</v>
      </c>
      <c r="T34" s="996">
        <f>Table6912138[[#This Row],[Y2 Total quantity]]*Table6912138[[#This Row],[Y2 Unit cost]]</f>
        <v>0</v>
      </c>
      <c r="U34" s="993"/>
      <c r="V34" s="36"/>
      <c r="W34" s="36"/>
      <c r="X34" s="36"/>
      <c r="Y34" s="36"/>
      <c r="Z34" s="39">
        <f>SUM(Table6912138[[#This Row],[Y3 Q1 quantity]:[Y3 Q4 quantity]])</f>
        <v>0</v>
      </c>
      <c r="AA34" s="996">
        <f>Table6912138[[#This Row],[Y3 Unit cost]]*Table6912138[[#This Row],[Y3 Total quantity]]</f>
        <v>0</v>
      </c>
      <c r="AB34" s="39">
        <f>Table6912138[[#This Row],[Y1 Total quantity]]+Table6912138[[#This Row],[Y2 Total quantity]]+Table6912138[[#This Row],[Y3 Total quantity]]</f>
        <v>0</v>
      </c>
      <c r="AC34" s="996">
        <f>Table6912138[[#This Row],[Y1 Total cost]]+Table6912138[[#This Row],[Y2 Total cost]]+Table6912138[[#This Row],[Y3 Total cost]]</f>
        <v>0</v>
      </c>
      <c r="AD34" s="440" t="str">
        <f t="shared" si="2"/>
        <v/>
      </c>
      <c r="AE34" s="957"/>
      <c r="AM34" s="105"/>
      <c r="AN34" s="469"/>
    </row>
    <row r="35" spans="1:40">
      <c r="A35" s="2170"/>
      <c r="B35" s="2109"/>
      <c r="C35" s="1518"/>
      <c r="D35" s="1513"/>
      <c r="E35" s="358" t="str">
        <f t="shared" si="0"/>
        <v/>
      </c>
      <c r="F35" s="358" t="str">
        <f t="shared" si="1"/>
        <v/>
      </c>
      <c r="G35" s="993"/>
      <c r="H35" s="36"/>
      <c r="I35" s="36"/>
      <c r="J35" s="36"/>
      <c r="K35" s="36"/>
      <c r="L35" s="39">
        <f>SUM(Table6912138[[#This Row],[Y1 Q1 quantity]:[Y1 Q4 quantity]])</f>
        <v>0</v>
      </c>
      <c r="M35" s="996">
        <f>Table6912138[[#This Row],[Y1 Total quantity]]*Table6912138[[#This Row],[Y1 Unit cost]]</f>
        <v>0</v>
      </c>
      <c r="N35" s="993"/>
      <c r="O35" s="36"/>
      <c r="P35" s="36"/>
      <c r="Q35" s="36"/>
      <c r="R35" s="36"/>
      <c r="S35" s="39">
        <f>SUM(Table6912138[[#This Row],[Y2 Q1 quantity]:[Y2 Q4 quantity]])</f>
        <v>0</v>
      </c>
      <c r="T35" s="996">
        <f>Table6912138[[#This Row],[Y2 Total quantity]]*Table6912138[[#This Row],[Y2 Unit cost]]</f>
        <v>0</v>
      </c>
      <c r="U35" s="993"/>
      <c r="V35" s="36"/>
      <c r="W35" s="36"/>
      <c r="X35" s="36"/>
      <c r="Y35" s="36"/>
      <c r="Z35" s="39">
        <f>SUM(Table6912138[[#This Row],[Y3 Q1 quantity]:[Y3 Q4 quantity]])</f>
        <v>0</v>
      </c>
      <c r="AA35" s="996">
        <f>Table6912138[[#This Row],[Y3 Unit cost]]*Table6912138[[#This Row],[Y3 Total quantity]]</f>
        <v>0</v>
      </c>
      <c r="AB35" s="39">
        <f>Table6912138[[#This Row],[Y1 Total quantity]]+Table6912138[[#This Row],[Y2 Total quantity]]+Table6912138[[#This Row],[Y3 Total quantity]]</f>
        <v>0</v>
      </c>
      <c r="AC35" s="996">
        <f>Table6912138[[#This Row],[Y1 Total cost]]+Table6912138[[#This Row],[Y2 Total cost]]+Table6912138[[#This Row],[Y3 Total cost]]</f>
        <v>0</v>
      </c>
      <c r="AD35" s="440" t="str">
        <f t="shared" si="2"/>
        <v/>
      </c>
      <c r="AE35" s="1222"/>
      <c r="AM35" s="105"/>
      <c r="AN35" s="469"/>
    </row>
    <row r="36" spans="1:40">
      <c r="A36" s="2169"/>
      <c r="B36" s="2106"/>
      <c r="C36" s="1517"/>
      <c r="D36" s="1512"/>
      <c r="E36" s="357" t="str">
        <f t="shared" si="0"/>
        <v/>
      </c>
      <c r="F36" s="357" t="str">
        <f t="shared" si="1"/>
        <v/>
      </c>
      <c r="G36" s="993"/>
      <c r="H36" s="36"/>
      <c r="I36" s="36"/>
      <c r="J36" s="36"/>
      <c r="K36" s="36"/>
      <c r="L36" s="39">
        <f>SUM(Table6912138[[#This Row],[Y1 Q1 quantity]:[Y1 Q4 quantity]])</f>
        <v>0</v>
      </c>
      <c r="M36" s="996">
        <f>Table6912138[[#This Row],[Y1 Total quantity]]*Table6912138[[#This Row],[Y1 Unit cost]]</f>
        <v>0</v>
      </c>
      <c r="N36" s="993"/>
      <c r="O36" s="36"/>
      <c r="P36" s="36"/>
      <c r="Q36" s="36"/>
      <c r="R36" s="36"/>
      <c r="S36" s="39">
        <f>SUM(Table6912138[[#This Row],[Y2 Q1 quantity]:[Y2 Q4 quantity]])</f>
        <v>0</v>
      </c>
      <c r="T36" s="996">
        <f>Table6912138[[#This Row],[Y2 Total quantity]]*Table6912138[[#This Row],[Y2 Unit cost]]</f>
        <v>0</v>
      </c>
      <c r="U36" s="993"/>
      <c r="V36" s="36"/>
      <c r="W36" s="36"/>
      <c r="X36" s="36"/>
      <c r="Y36" s="36"/>
      <c r="Z36" s="39">
        <f>SUM(Table6912138[[#This Row],[Y3 Q1 quantity]:[Y3 Q4 quantity]])</f>
        <v>0</v>
      </c>
      <c r="AA36" s="996">
        <f>Table6912138[[#This Row],[Y3 Unit cost]]*Table6912138[[#This Row],[Y3 Total quantity]]</f>
        <v>0</v>
      </c>
      <c r="AB36" s="39">
        <f>Table6912138[[#This Row],[Y1 Total quantity]]+Table6912138[[#This Row],[Y2 Total quantity]]+Table6912138[[#This Row],[Y3 Total quantity]]</f>
        <v>0</v>
      </c>
      <c r="AC36" s="996">
        <f>Table6912138[[#This Row],[Y1 Total cost]]+Table6912138[[#This Row],[Y2 Total cost]]+Table6912138[[#This Row],[Y3 Total cost]]</f>
        <v>0</v>
      </c>
      <c r="AD36" s="440" t="str">
        <f t="shared" si="2"/>
        <v/>
      </c>
      <c r="AE36" s="957"/>
      <c r="AM36" s="105"/>
      <c r="AN36" s="469"/>
    </row>
    <row r="37" spans="1:40">
      <c r="A37" s="2170"/>
      <c r="B37" s="2109"/>
      <c r="C37" s="1518"/>
      <c r="D37" s="1513"/>
      <c r="E37" s="358" t="str">
        <f t="shared" si="0"/>
        <v/>
      </c>
      <c r="F37" s="358" t="str">
        <f t="shared" si="1"/>
        <v/>
      </c>
      <c r="G37" s="993"/>
      <c r="H37" s="36"/>
      <c r="I37" s="36"/>
      <c r="J37" s="36"/>
      <c r="K37" s="36"/>
      <c r="L37" s="39">
        <f>SUM(Table6912138[[#This Row],[Y1 Q1 quantity]:[Y1 Q4 quantity]])</f>
        <v>0</v>
      </c>
      <c r="M37" s="996">
        <f>Table6912138[[#This Row],[Y1 Total quantity]]*Table6912138[[#This Row],[Y1 Unit cost]]</f>
        <v>0</v>
      </c>
      <c r="N37" s="993"/>
      <c r="O37" s="36"/>
      <c r="P37" s="36"/>
      <c r="Q37" s="36"/>
      <c r="R37" s="36"/>
      <c r="S37" s="39">
        <f>SUM(Table6912138[[#This Row],[Y2 Q1 quantity]:[Y2 Q4 quantity]])</f>
        <v>0</v>
      </c>
      <c r="T37" s="996">
        <f>Table6912138[[#This Row],[Y2 Total quantity]]*Table6912138[[#This Row],[Y2 Unit cost]]</f>
        <v>0</v>
      </c>
      <c r="U37" s="993"/>
      <c r="V37" s="36"/>
      <c r="W37" s="36"/>
      <c r="X37" s="36"/>
      <c r="Y37" s="36"/>
      <c r="Z37" s="39">
        <f>SUM(Table6912138[[#This Row],[Y3 Q1 quantity]:[Y3 Q4 quantity]])</f>
        <v>0</v>
      </c>
      <c r="AA37" s="996">
        <f>Table6912138[[#This Row],[Y3 Unit cost]]*Table6912138[[#This Row],[Y3 Total quantity]]</f>
        <v>0</v>
      </c>
      <c r="AB37" s="39">
        <f>Table6912138[[#This Row],[Y1 Total quantity]]+Table6912138[[#This Row],[Y2 Total quantity]]+Table6912138[[#This Row],[Y3 Total quantity]]</f>
        <v>0</v>
      </c>
      <c r="AC37" s="996">
        <f>Table6912138[[#This Row],[Y1 Total cost]]+Table6912138[[#This Row],[Y2 Total cost]]+Table6912138[[#This Row],[Y3 Total cost]]</f>
        <v>0</v>
      </c>
      <c r="AD37" s="440" t="str">
        <f t="shared" si="2"/>
        <v/>
      </c>
      <c r="AE37" s="1222"/>
      <c r="AM37" s="105"/>
      <c r="AN37" s="469"/>
    </row>
    <row r="38" spans="1:40">
      <c r="A38" s="2169"/>
      <c r="B38" s="2106"/>
      <c r="C38" s="1517"/>
      <c r="D38" s="1512"/>
      <c r="E38" s="357" t="str">
        <f t="shared" si="0"/>
        <v/>
      </c>
      <c r="F38" s="357" t="str">
        <f t="shared" si="1"/>
        <v/>
      </c>
      <c r="G38" s="993"/>
      <c r="H38" s="36"/>
      <c r="I38" s="36"/>
      <c r="J38" s="36"/>
      <c r="K38" s="36"/>
      <c r="L38" s="39">
        <f>SUM(Table6912138[[#This Row],[Y1 Q1 quantity]:[Y1 Q4 quantity]])</f>
        <v>0</v>
      </c>
      <c r="M38" s="996">
        <f>Table6912138[[#This Row],[Y1 Total quantity]]*Table6912138[[#This Row],[Y1 Unit cost]]</f>
        <v>0</v>
      </c>
      <c r="N38" s="993"/>
      <c r="O38" s="36"/>
      <c r="P38" s="36"/>
      <c r="Q38" s="36"/>
      <c r="R38" s="36"/>
      <c r="S38" s="39">
        <f>SUM(Table6912138[[#This Row],[Y2 Q1 quantity]:[Y2 Q4 quantity]])</f>
        <v>0</v>
      </c>
      <c r="T38" s="996">
        <f>Table6912138[[#This Row],[Y2 Total quantity]]*Table6912138[[#This Row],[Y2 Unit cost]]</f>
        <v>0</v>
      </c>
      <c r="U38" s="993"/>
      <c r="V38" s="36"/>
      <c r="W38" s="36"/>
      <c r="X38" s="36"/>
      <c r="Y38" s="36"/>
      <c r="Z38" s="39">
        <f>SUM(Table6912138[[#This Row],[Y3 Q1 quantity]:[Y3 Q4 quantity]])</f>
        <v>0</v>
      </c>
      <c r="AA38" s="996">
        <f>Table6912138[[#This Row],[Y3 Unit cost]]*Table6912138[[#This Row],[Y3 Total quantity]]</f>
        <v>0</v>
      </c>
      <c r="AB38" s="39">
        <f>Table6912138[[#This Row],[Y1 Total quantity]]+Table6912138[[#This Row],[Y2 Total quantity]]+Table6912138[[#This Row],[Y3 Total quantity]]</f>
        <v>0</v>
      </c>
      <c r="AC38" s="996">
        <f>Table6912138[[#This Row],[Y1 Total cost]]+Table6912138[[#This Row],[Y2 Total cost]]+Table6912138[[#This Row],[Y3 Total cost]]</f>
        <v>0</v>
      </c>
      <c r="AD38" s="440" t="str">
        <f t="shared" si="2"/>
        <v/>
      </c>
      <c r="AE38" s="957"/>
      <c r="AM38" s="105"/>
      <c r="AN38" s="469"/>
    </row>
    <row r="39" spans="1:40">
      <c r="A39" s="2170"/>
      <c r="B39" s="2109"/>
      <c r="C39" s="1518"/>
      <c r="D39" s="1513"/>
      <c r="E39" s="358" t="str">
        <f t="shared" si="0"/>
        <v/>
      </c>
      <c r="F39" s="358" t="str">
        <f t="shared" si="1"/>
        <v/>
      </c>
      <c r="G39" s="993"/>
      <c r="H39" s="36"/>
      <c r="I39" s="36"/>
      <c r="J39" s="36"/>
      <c r="K39" s="36"/>
      <c r="L39" s="39">
        <f>SUM(Table6912138[[#This Row],[Y1 Q1 quantity]:[Y1 Q4 quantity]])</f>
        <v>0</v>
      </c>
      <c r="M39" s="996">
        <f>Table6912138[[#This Row],[Y1 Total quantity]]*Table6912138[[#This Row],[Y1 Unit cost]]</f>
        <v>0</v>
      </c>
      <c r="N39" s="993"/>
      <c r="O39" s="36"/>
      <c r="P39" s="36"/>
      <c r="Q39" s="36"/>
      <c r="R39" s="36"/>
      <c r="S39" s="39">
        <f>SUM(Table6912138[[#This Row],[Y2 Q1 quantity]:[Y2 Q4 quantity]])</f>
        <v>0</v>
      </c>
      <c r="T39" s="996">
        <f>Table6912138[[#This Row],[Y2 Total quantity]]*Table6912138[[#This Row],[Y2 Unit cost]]</f>
        <v>0</v>
      </c>
      <c r="U39" s="993"/>
      <c r="V39" s="36"/>
      <c r="W39" s="36"/>
      <c r="X39" s="36"/>
      <c r="Y39" s="36"/>
      <c r="Z39" s="39">
        <f>SUM(Table6912138[[#This Row],[Y3 Q1 quantity]:[Y3 Q4 quantity]])</f>
        <v>0</v>
      </c>
      <c r="AA39" s="996">
        <f>Table6912138[[#This Row],[Y3 Unit cost]]*Table6912138[[#This Row],[Y3 Total quantity]]</f>
        <v>0</v>
      </c>
      <c r="AB39" s="39">
        <f>Table6912138[[#This Row],[Y1 Total quantity]]+Table6912138[[#This Row],[Y2 Total quantity]]+Table6912138[[#This Row],[Y3 Total quantity]]</f>
        <v>0</v>
      </c>
      <c r="AC39" s="996">
        <f>Table6912138[[#This Row],[Y1 Total cost]]+Table6912138[[#This Row],[Y2 Total cost]]+Table6912138[[#This Row],[Y3 Total cost]]</f>
        <v>0</v>
      </c>
      <c r="AD39" s="440" t="str">
        <f t="shared" si="2"/>
        <v/>
      </c>
      <c r="AE39" s="1222"/>
      <c r="AM39" s="105"/>
      <c r="AN39" s="469"/>
    </row>
    <row r="40" spans="1:40">
      <c r="A40" s="2169"/>
      <c r="B40" s="2106"/>
      <c r="C40" s="1517"/>
      <c r="D40" s="1512"/>
      <c r="E40" s="357" t="str">
        <f t="shared" si="0"/>
        <v/>
      </c>
      <c r="F40" s="357" t="str">
        <f t="shared" si="1"/>
        <v/>
      </c>
      <c r="G40" s="993"/>
      <c r="H40" s="36"/>
      <c r="I40" s="36"/>
      <c r="J40" s="36"/>
      <c r="K40" s="36"/>
      <c r="L40" s="39">
        <f>SUM(Table6912138[[#This Row],[Y1 Q1 quantity]:[Y1 Q4 quantity]])</f>
        <v>0</v>
      </c>
      <c r="M40" s="996">
        <f>Table6912138[[#This Row],[Y1 Total quantity]]*Table6912138[[#This Row],[Y1 Unit cost]]</f>
        <v>0</v>
      </c>
      <c r="N40" s="993"/>
      <c r="O40" s="36"/>
      <c r="P40" s="36"/>
      <c r="Q40" s="36"/>
      <c r="R40" s="36"/>
      <c r="S40" s="39">
        <f>SUM(Table6912138[[#This Row],[Y2 Q1 quantity]:[Y2 Q4 quantity]])</f>
        <v>0</v>
      </c>
      <c r="T40" s="996">
        <f>Table6912138[[#This Row],[Y2 Total quantity]]*Table6912138[[#This Row],[Y2 Unit cost]]</f>
        <v>0</v>
      </c>
      <c r="U40" s="993"/>
      <c r="V40" s="36"/>
      <c r="W40" s="36"/>
      <c r="X40" s="36"/>
      <c r="Y40" s="36"/>
      <c r="Z40" s="39">
        <f>SUM(Table6912138[[#This Row],[Y3 Q1 quantity]:[Y3 Q4 quantity]])</f>
        <v>0</v>
      </c>
      <c r="AA40" s="996">
        <f>Table6912138[[#This Row],[Y3 Unit cost]]*Table6912138[[#This Row],[Y3 Total quantity]]</f>
        <v>0</v>
      </c>
      <c r="AB40" s="39">
        <f>Table6912138[[#This Row],[Y1 Total quantity]]+Table6912138[[#This Row],[Y2 Total quantity]]+Table6912138[[#This Row],[Y3 Total quantity]]</f>
        <v>0</v>
      </c>
      <c r="AC40" s="996">
        <f>Table6912138[[#This Row],[Y1 Total cost]]+Table6912138[[#This Row],[Y2 Total cost]]+Table6912138[[#This Row],[Y3 Total cost]]</f>
        <v>0</v>
      </c>
      <c r="AD40" s="440" t="str">
        <f t="shared" si="2"/>
        <v/>
      </c>
      <c r="AE40" s="957"/>
      <c r="AM40" s="105"/>
      <c r="AN40" s="469"/>
    </row>
    <row r="41" spans="1:40">
      <c r="A41" s="2170"/>
      <c r="B41" s="2109"/>
      <c r="C41" s="1518"/>
      <c r="D41" s="1513"/>
      <c r="E41" s="358" t="str">
        <f t="shared" si="0"/>
        <v/>
      </c>
      <c r="F41" s="358" t="str">
        <f t="shared" si="1"/>
        <v/>
      </c>
      <c r="G41" s="993"/>
      <c r="H41" s="36"/>
      <c r="I41" s="36"/>
      <c r="J41" s="36"/>
      <c r="K41" s="36"/>
      <c r="L41" s="39">
        <f>SUM(Table6912138[[#This Row],[Y1 Q1 quantity]:[Y1 Q4 quantity]])</f>
        <v>0</v>
      </c>
      <c r="M41" s="996">
        <f>Table6912138[[#This Row],[Y1 Total quantity]]*Table6912138[[#This Row],[Y1 Unit cost]]</f>
        <v>0</v>
      </c>
      <c r="N41" s="993"/>
      <c r="O41" s="36"/>
      <c r="P41" s="36"/>
      <c r="Q41" s="36"/>
      <c r="R41" s="36"/>
      <c r="S41" s="39">
        <f>SUM(Table6912138[[#This Row],[Y2 Q1 quantity]:[Y2 Q4 quantity]])</f>
        <v>0</v>
      </c>
      <c r="T41" s="996">
        <f>Table6912138[[#This Row],[Y2 Total quantity]]*Table6912138[[#This Row],[Y2 Unit cost]]</f>
        <v>0</v>
      </c>
      <c r="U41" s="993"/>
      <c r="V41" s="36"/>
      <c r="W41" s="36"/>
      <c r="X41" s="36"/>
      <c r="Y41" s="36"/>
      <c r="Z41" s="39">
        <f>SUM(Table6912138[[#This Row],[Y3 Q1 quantity]:[Y3 Q4 quantity]])</f>
        <v>0</v>
      </c>
      <c r="AA41" s="996">
        <f>Table6912138[[#This Row],[Y3 Unit cost]]*Table6912138[[#This Row],[Y3 Total quantity]]</f>
        <v>0</v>
      </c>
      <c r="AB41" s="39">
        <f>Table6912138[[#This Row],[Y1 Total quantity]]+Table6912138[[#This Row],[Y2 Total quantity]]+Table6912138[[#This Row],[Y3 Total quantity]]</f>
        <v>0</v>
      </c>
      <c r="AC41" s="996">
        <f>Table6912138[[#This Row],[Y1 Total cost]]+Table6912138[[#This Row],[Y2 Total cost]]+Table6912138[[#This Row],[Y3 Total cost]]</f>
        <v>0</v>
      </c>
      <c r="AD41" s="440" t="str">
        <f t="shared" si="2"/>
        <v/>
      </c>
      <c r="AE41" s="1222"/>
      <c r="AM41" s="105"/>
      <c r="AN41" s="469"/>
    </row>
    <row r="42" spans="1:40">
      <c r="A42" s="2169"/>
      <c r="B42" s="2106"/>
      <c r="C42" s="1517"/>
      <c r="D42" s="1512"/>
      <c r="E42" s="357" t="str">
        <f t="shared" si="0"/>
        <v/>
      </c>
      <c r="F42" s="357" t="str">
        <f t="shared" si="1"/>
        <v/>
      </c>
      <c r="G42" s="993"/>
      <c r="H42" s="36"/>
      <c r="I42" s="36"/>
      <c r="J42" s="36"/>
      <c r="K42" s="36"/>
      <c r="L42" s="39">
        <f>SUM(Table6912138[[#This Row],[Y1 Q1 quantity]:[Y1 Q4 quantity]])</f>
        <v>0</v>
      </c>
      <c r="M42" s="996">
        <f>Table6912138[[#This Row],[Y1 Total quantity]]*Table6912138[[#This Row],[Y1 Unit cost]]</f>
        <v>0</v>
      </c>
      <c r="N42" s="993"/>
      <c r="O42" s="36"/>
      <c r="P42" s="36"/>
      <c r="Q42" s="36"/>
      <c r="R42" s="36"/>
      <c r="S42" s="39">
        <f>SUM(Table6912138[[#This Row],[Y2 Q1 quantity]:[Y2 Q4 quantity]])</f>
        <v>0</v>
      </c>
      <c r="T42" s="996">
        <f>Table6912138[[#This Row],[Y2 Total quantity]]*Table6912138[[#This Row],[Y2 Unit cost]]</f>
        <v>0</v>
      </c>
      <c r="U42" s="993"/>
      <c r="V42" s="36"/>
      <c r="W42" s="36"/>
      <c r="X42" s="36"/>
      <c r="Y42" s="36"/>
      <c r="Z42" s="39">
        <f>SUM(Table6912138[[#This Row],[Y3 Q1 quantity]:[Y3 Q4 quantity]])</f>
        <v>0</v>
      </c>
      <c r="AA42" s="996">
        <f>Table6912138[[#This Row],[Y3 Unit cost]]*Table6912138[[#This Row],[Y3 Total quantity]]</f>
        <v>0</v>
      </c>
      <c r="AB42" s="39">
        <f>Table6912138[[#This Row],[Y1 Total quantity]]+Table6912138[[#This Row],[Y2 Total quantity]]+Table6912138[[#This Row],[Y3 Total quantity]]</f>
        <v>0</v>
      </c>
      <c r="AC42" s="996">
        <f>Table6912138[[#This Row],[Y1 Total cost]]+Table6912138[[#This Row],[Y2 Total cost]]+Table6912138[[#This Row],[Y3 Total cost]]</f>
        <v>0</v>
      </c>
      <c r="AD42" s="440" t="str">
        <f t="shared" si="2"/>
        <v/>
      </c>
      <c r="AE42" s="957"/>
      <c r="AM42" s="105"/>
      <c r="AN42" s="469"/>
    </row>
    <row r="43" spans="1:40">
      <c r="A43" s="2170"/>
      <c r="B43" s="2109"/>
      <c r="C43" s="1518"/>
      <c r="D43" s="1513"/>
      <c r="E43" s="358" t="str">
        <f t="shared" si="0"/>
        <v/>
      </c>
      <c r="F43" s="358" t="str">
        <f t="shared" si="1"/>
        <v/>
      </c>
      <c r="G43" s="993"/>
      <c r="H43" s="36"/>
      <c r="I43" s="36"/>
      <c r="J43" s="36"/>
      <c r="K43" s="36"/>
      <c r="L43" s="39">
        <f>SUM(Table6912138[[#This Row],[Y1 Q1 quantity]:[Y1 Q4 quantity]])</f>
        <v>0</v>
      </c>
      <c r="M43" s="996">
        <f>Table6912138[[#This Row],[Y1 Total quantity]]*Table6912138[[#This Row],[Y1 Unit cost]]</f>
        <v>0</v>
      </c>
      <c r="N43" s="993"/>
      <c r="O43" s="36"/>
      <c r="P43" s="36"/>
      <c r="Q43" s="36"/>
      <c r="R43" s="36"/>
      <c r="S43" s="39">
        <f>SUM(Table6912138[[#This Row],[Y2 Q1 quantity]:[Y2 Q4 quantity]])</f>
        <v>0</v>
      </c>
      <c r="T43" s="996">
        <f>Table6912138[[#This Row],[Y2 Total quantity]]*Table6912138[[#This Row],[Y2 Unit cost]]</f>
        <v>0</v>
      </c>
      <c r="U43" s="993"/>
      <c r="V43" s="36"/>
      <c r="W43" s="36"/>
      <c r="X43" s="36"/>
      <c r="Y43" s="36"/>
      <c r="Z43" s="39">
        <f>SUM(Table6912138[[#This Row],[Y3 Q1 quantity]:[Y3 Q4 quantity]])</f>
        <v>0</v>
      </c>
      <c r="AA43" s="996">
        <f>Table6912138[[#This Row],[Y3 Unit cost]]*Table6912138[[#This Row],[Y3 Total quantity]]</f>
        <v>0</v>
      </c>
      <c r="AB43" s="39">
        <f>Table6912138[[#This Row],[Y1 Total quantity]]+Table6912138[[#This Row],[Y2 Total quantity]]+Table6912138[[#This Row],[Y3 Total quantity]]</f>
        <v>0</v>
      </c>
      <c r="AC43" s="996">
        <f>Table6912138[[#This Row],[Y1 Total cost]]+Table6912138[[#This Row],[Y2 Total cost]]+Table6912138[[#This Row],[Y3 Total cost]]</f>
        <v>0</v>
      </c>
      <c r="AD43" s="440" t="str">
        <f t="shared" si="2"/>
        <v/>
      </c>
      <c r="AE43" s="1222"/>
      <c r="AM43" s="105"/>
      <c r="AN43" s="469"/>
    </row>
    <row r="44" spans="1:40">
      <c r="A44" s="2169"/>
      <c r="B44" s="2106"/>
      <c r="C44" s="1517"/>
      <c r="D44" s="1512"/>
      <c r="E44" s="357" t="str">
        <f t="shared" si="0"/>
        <v/>
      </c>
      <c r="F44" s="357" t="str">
        <f t="shared" si="1"/>
        <v/>
      </c>
      <c r="G44" s="993"/>
      <c r="H44" s="36"/>
      <c r="I44" s="36"/>
      <c r="J44" s="36"/>
      <c r="K44" s="36"/>
      <c r="L44" s="39">
        <f>SUM(Table6912138[[#This Row],[Y1 Q1 quantity]:[Y1 Q4 quantity]])</f>
        <v>0</v>
      </c>
      <c r="M44" s="996">
        <f>Table6912138[[#This Row],[Y1 Total quantity]]*Table6912138[[#This Row],[Y1 Unit cost]]</f>
        <v>0</v>
      </c>
      <c r="N44" s="993"/>
      <c r="O44" s="36"/>
      <c r="P44" s="36"/>
      <c r="Q44" s="36"/>
      <c r="R44" s="36"/>
      <c r="S44" s="39">
        <f>SUM(Table6912138[[#This Row],[Y2 Q1 quantity]:[Y2 Q4 quantity]])</f>
        <v>0</v>
      </c>
      <c r="T44" s="996">
        <f>Table6912138[[#This Row],[Y2 Total quantity]]*Table6912138[[#This Row],[Y2 Unit cost]]</f>
        <v>0</v>
      </c>
      <c r="U44" s="998"/>
      <c r="V44" s="36"/>
      <c r="W44" s="36"/>
      <c r="X44" s="36"/>
      <c r="Y44" s="36"/>
      <c r="Z44" s="39">
        <f>SUM(Table6912138[[#This Row],[Y3 Q1 quantity]:[Y3 Q4 quantity]])</f>
        <v>0</v>
      </c>
      <c r="AA44" s="996">
        <f>Table6912138[[#This Row],[Y3 Unit cost]]*Table6912138[[#This Row],[Y3 Total quantity]]</f>
        <v>0</v>
      </c>
      <c r="AB44" s="39">
        <f>Table6912138[[#This Row],[Y1 Total quantity]]+Table6912138[[#This Row],[Y2 Total quantity]]+Table6912138[[#This Row],[Y3 Total quantity]]</f>
        <v>0</v>
      </c>
      <c r="AC44" s="996">
        <f>Table6912138[[#This Row],[Y1 Total cost]]+Table6912138[[#This Row],[Y2 Total cost]]+Table6912138[[#This Row],[Y3 Total cost]]</f>
        <v>0</v>
      </c>
      <c r="AD44" s="440" t="str">
        <f t="shared" si="2"/>
        <v/>
      </c>
      <c r="AE44" s="957"/>
      <c r="AM44" s="105"/>
      <c r="AN44" s="469"/>
    </row>
    <row r="45" spans="1:40">
      <c r="A45" s="2170"/>
      <c r="B45" s="2109"/>
      <c r="C45" s="1518"/>
      <c r="D45" s="1513"/>
      <c r="E45" s="358" t="str">
        <f t="shared" si="0"/>
        <v/>
      </c>
      <c r="F45" s="358" t="str">
        <f t="shared" si="1"/>
        <v/>
      </c>
      <c r="G45" s="993"/>
      <c r="H45" s="36"/>
      <c r="I45" s="36"/>
      <c r="J45" s="36"/>
      <c r="K45" s="36"/>
      <c r="L45" s="39">
        <f>SUM(Table6912138[[#This Row],[Y1 Q1 quantity]:[Y1 Q4 quantity]])</f>
        <v>0</v>
      </c>
      <c r="M45" s="996">
        <f>Table6912138[[#This Row],[Y1 Total quantity]]*Table6912138[[#This Row],[Y1 Unit cost]]</f>
        <v>0</v>
      </c>
      <c r="N45" s="993"/>
      <c r="O45" s="36"/>
      <c r="P45" s="36"/>
      <c r="Q45" s="36"/>
      <c r="R45" s="36"/>
      <c r="S45" s="39">
        <f>SUM(Table6912138[[#This Row],[Y2 Q1 quantity]:[Y2 Q4 quantity]])</f>
        <v>0</v>
      </c>
      <c r="T45" s="996">
        <f>Table6912138[[#This Row],[Y2 Total quantity]]*Table6912138[[#This Row],[Y2 Unit cost]]</f>
        <v>0</v>
      </c>
      <c r="U45" s="998"/>
      <c r="V45" s="36"/>
      <c r="W45" s="36"/>
      <c r="X45" s="36"/>
      <c r="Y45" s="36"/>
      <c r="Z45" s="39">
        <f>SUM(Table6912138[[#This Row],[Y3 Q1 quantity]:[Y3 Q4 quantity]])</f>
        <v>0</v>
      </c>
      <c r="AA45" s="996">
        <f>Table6912138[[#This Row],[Y3 Unit cost]]*Table6912138[[#This Row],[Y3 Total quantity]]</f>
        <v>0</v>
      </c>
      <c r="AB45" s="39">
        <f>Table6912138[[#This Row],[Y1 Total quantity]]+Table6912138[[#This Row],[Y2 Total quantity]]+Table6912138[[#This Row],[Y3 Total quantity]]</f>
        <v>0</v>
      </c>
      <c r="AC45" s="996">
        <f>Table6912138[[#This Row],[Y1 Total cost]]+Table6912138[[#This Row],[Y2 Total cost]]+Table6912138[[#This Row],[Y3 Total cost]]</f>
        <v>0</v>
      </c>
      <c r="AD45" s="440" t="str">
        <f t="shared" si="2"/>
        <v/>
      </c>
      <c r="AE45" s="1222"/>
      <c r="AM45" s="105"/>
      <c r="AN45" s="469"/>
    </row>
    <row r="46" spans="1:40">
      <c r="A46" s="2169"/>
      <c r="B46" s="2106"/>
      <c r="C46" s="1517"/>
      <c r="D46" s="1512"/>
      <c r="E46" s="357" t="str">
        <f t="shared" si="0"/>
        <v/>
      </c>
      <c r="F46" s="357" t="str">
        <f t="shared" si="1"/>
        <v/>
      </c>
      <c r="G46" s="993"/>
      <c r="H46" s="36"/>
      <c r="I46" s="36"/>
      <c r="J46" s="36"/>
      <c r="K46" s="36"/>
      <c r="L46" s="39">
        <f>SUM(Table6912138[[#This Row],[Y1 Q1 quantity]:[Y1 Q4 quantity]])</f>
        <v>0</v>
      </c>
      <c r="M46" s="996">
        <f>Table6912138[[#This Row],[Y1 Total quantity]]*Table6912138[[#This Row],[Y1 Unit cost]]</f>
        <v>0</v>
      </c>
      <c r="N46" s="993"/>
      <c r="O46" s="36"/>
      <c r="P46" s="36"/>
      <c r="Q46" s="36"/>
      <c r="R46" s="36"/>
      <c r="S46" s="39">
        <f>SUM(Table6912138[[#This Row],[Y2 Q1 quantity]:[Y2 Q4 quantity]])</f>
        <v>0</v>
      </c>
      <c r="T46" s="996">
        <f>Table6912138[[#This Row],[Y2 Total quantity]]*Table6912138[[#This Row],[Y2 Unit cost]]</f>
        <v>0</v>
      </c>
      <c r="U46" s="998"/>
      <c r="V46" s="36"/>
      <c r="W46" s="36"/>
      <c r="X46" s="36"/>
      <c r="Y46" s="36"/>
      <c r="Z46" s="39">
        <f>SUM(Table6912138[[#This Row],[Y3 Q1 quantity]:[Y3 Q4 quantity]])</f>
        <v>0</v>
      </c>
      <c r="AA46" s="996">
        <f>Table6912138[[#This Row],[Y3 Unit cost]]*Table6912138[[#This Row],[Y3 Total quantity]]</f>
        <v>0</v>
      </c>
      <c r="AB46" s="39">
        <f>Table6912138[[#This Row],[Y1 Total quantity]]+Table6912138[[#This Row],[Y2 Total quantity]]+Table6912138[[#This Row],[Y3 Total quantity]]</f>
        <v>0</v>
      </c>
      <c r="AC46" s="996">
        <f>Table6912138[[#This Row],[Y1 Total cost]]+Table6912138[[#This Row],[Y2 Total cost]]+Table6912138[[#This Row],[Y3 Total cost]]</f>
        <v>0</v>
      </c>
      <c r="AD46" s="440" t="str">
        <f t="shared" si="2"/>
        <v/>
      </c>
      <c r="AE46" s="957"/>
      <c r="AM46" s="105"/>
      <c r="AN46" s="469"/>
    </row>
    <row r="47" spans="1:40">
      <c r="A47" s="2170"/>
      <c r="B47" s="2109"/>
      <c r="C47" s="1518"/>
      <c r="D47" s="1513"/>
      <c r="E47" s="358" t="str">
        <f t="shared" si="0"/>
        <v/>
      </c>
      <c r="F47" s="358" t="str">
        <f t="shared" si="1"/>
        <v/>
      </c>
      <c r="G47" s="993"/>
      <c r="H47" s="36"/>
      <c r="I47" s="36"/>
      <c r="J47" s="36"/>
      <c r="K47" s="36"/>
      <c r="L47" s="39">
        <f>SUM(Table6912138[[#This Row],[Y1 Q1 quantity]:[Y1 Q4 quantity]])</f>
        <v>0</v>
      </c>
      <c r="M47" s="996">
        <f>Table6912138[[#This Row],[Y1 Total quantity]]*Table6912138[[#This Row],[Y1 Unit cost]]</f>
        <v>0</v>
      </c>
      <c r="N47" s="993"/>
      <c r="O47" s="36"/>
      <c r="P47" s="36"/>
      <c r="Q47" s="36"/>
      <c r="R47" s="36"/>
      <c r="S47" s="39">
        <f>SUM(Table6912138[[#This Row],[Y2 Q1 quantity]:[Y2 Q4 quantity]])</f>
        <v>0</v>
      </c>
      <c r="T47" s="996">
        <f>Table6912138[[#This Row],[Y2 Total quantity]]*Table6912138[[#This Row],[Y2 Unit cost]]</f>
        <v>0</v>
      </c>
      <c r="U47" s="998"/>
      <c r="V47" s="36"/>
      <c r="W47" s="36"/>
      <c r="X47" s="36"/>
      <c r="Y47" s="36"/>
      <c r="Z47" s="39">
        <f>SUM(Table6912138[[#This Row],[Y3 Q1 quantity]:[Y3 Q4 quantity]])</f>
        <v>0</v>
      </c>
      <c r="AA47" s="996">
        <f>Table6912138[[#This Row],[Y3 Unit cost]]*Table6912138[[#This Row],[Y3 Total quantity]]</f>
        <v>0</v>
      </c>
      <c r="AB47" s="39">
        <f>Table6912138[[#This Row],[Y1 Total quantity]]+Table6912138[[#This Row],[Y2 Total quantity]]+Table6912138[[#This Row],[Y3 Total quantity]]</f>
        <v>0</v>
      </c>
      <c r="AC47" s="996">
        <f>Table6912138[[#This Row],[Y1 Total cost]]+Table6912138[[#This Row],[Y2 Total cost]]+Table6912138[[#This Row],[Y3 Total cost]]</f>
        <v>0</v>
      </c>
      <c r="AD47" s="440" t="str">
        <f t="shared" si="2"/>
        <v/>
      </c>
      <c r="AE47" s="1222"/>
      <c r="AM47" s="105"/>
      <c r="AN47" s="469"/>
    </row>
    <row r="48" spans="1:40">
      <c r="A48" s="2169"/>
      <c r="B48" s="2106"/>
      <c r="C48" s="1517"/>
      <c r="D48" s="1512"/>
      <c r="E48" s="357" t="str">
        <f t="shared" si="0"/>
        <v/>
      </c>
      <c r="F48" s="357" t="str">
        <f t="shared" si="1"/>
        <v/>
      </c>
      <c r="G48" s="993"/>
      <c r="H48" s="36"/>
      <c r="I48" s="36"/>
      <c r="J48" s="36"/>
      <c r="K48" s="36"/>
      <c r="L48" s="39">
        <f>SUM(Table6912138[[#This Row],[Y1 Q1 quantity]:[Y1 Q4 quantity]])</f>
        <v>0</v>
      </c>
      <c r="M48" s="996">
        <f>Table6912138[[#This Row],[Y1 Total quantity]]*Table6912138[[#This Row],[Y1 Unit cost]]</f>
        <v>0</v>
      </c>
      <c r="N48" s="993"/>
      <c r="O48" s="36"/>
      <c r="P48" s="36"/>
      <c r="Q48" s="36"/>
      <c r="R48" s="36"/>
      <c r="S48" s="39">
        <f>SUM(Table6912138[[#This Row],[Y2 Q1 quantity]:[Y2 Q4 quantity]])</f>
        <v>0</v>
      </c>
      <c r="T48" s="996">
        <f>Table6912138[[#This Row],[Y2 Total quantity]]*Table6912138[[#This Row],[Y2 Unit cost]]</f>
        <v>0</v>
      </c>
      <c r="U48" s="998"/>
      <c r="V48" s="36"/>
      <c r="W48" s="36"/>
      <c r="X48" s="36"/>
      <c r="Y48" s="36"/>
      <c r="Z48" s="39">
        <f>SUM(Table6912138[[#This Row],[Y3 Q1 quantity]:[Y3 Q4 quantity]])</f>
        <v>0</v>
      </c>
      <c r="AA48" s="996">
        <f>Table6912138[[#This Row],[Y3 Unit cost]]*Table6912138[[#This Row],[Y3 Total quantity]]</f>
        <v>0</v>
      </c>
      <c r="AB48" s="39">
        <f>Table6912138[[#This Row],[Y1 Total quantity]]+Table6912138[[#This Row],[Y2 Total quantity]]+Table6912138[[#This Row],[Y3 Total quantity]]</f>
        <v>0</v>
      </c>
      <c r="AC48" s="996">
        <f>Table6912138[[#This Row],[Y1 Total cost]]+Table6912138[[#This Row],[Y2 Total cost]]+Table6912138[[#This Row],[Y3 Total cost]]</f>
        <v>0</v>
      </c>
      <c r="AD48" s="440" t="str">
        <f t="shared" si="2"/>
        <v/>
      </c>
      <c r="AE48" s="957"/>
      <c r="AM48" s="105"/>
      <c r="AN48" s="469"/>
    </row>
    <row r="49" spans="1:40">
      <c r="A49" s="2170"/>
      <c r="B49" s="2109"/>
      <c r="C49" s="1518"/>
      <c r="D49" s="1513"/>
      <c r="E49" s="358" t="str">
        <f t="shared" si="0"/>
        <v/>
      </c>
      <c r="F49" s="358" t="str">
        <f t="shared" si="1"/>
        <v/>
      </c>
      <c r="G49" s="993"/>
      <c r="H49" s="36"/>
      <c r="I49" s="36"/>
      <c r="J49" s="36"/>
      <c r="K49" s="36"/>
      <c r="L49" s="39">
        <f>SUM(Table6912138[[#This Row],[Y1 Q1 quantity]:[Y1 Q4 quantity]])</f>
        <v>0</v>
      </c>
      <c r="M49" s="996">
        <f>Table6912138[[#This Row],[Y1 Total quantity]]*Table6912138[[#This Row],[Y1 Unit cost]]</f>
        <v>0</v>
      </c>
      <c r="N49" s="993"/>
      <c r="O49" s="36"/>
      <c r="P49" s="36"/>
      <c r="Q49" s="36"/>
      <c r="R49" s="36"/>
      <c r="S49" s="39">
        <f>SUM(Table6912138[[#This Row],[Y2 Q1 quantity]:[Y2 Q4 quantity]])</f>
        <v>0</v>
      </c>
      <c r="T49" s="996">
        <f>Table6912138[[#This Row],[Y2 Total quantity]]*Table6912138[[#This Row],[Y2 Unit cost]]</f>
        <v>0</v>
      </c>
      <c r="U49" s="998"/>
      <c r="V49" s="36"/>
      <c r="W49" s="36"/>
      <c r="X49" s="36"/>
      <c r="Y49" s="36"/>
      <c r="Z49" s="39">
        <f>SUM(Table6912138[[#This Row],[Y3 Q1 quantity]:[Y3 Q4 quantity]])</f>
        <v>0</v>
      </c>
      <c r="AA49" s="996">
        <f>Table6912138[[#This Row],[Y3 Unit cost]]*Table6912138[[#This Row],[Y3 Total quantity]]</f>
        <v>0</v>
      </c>
      <c r="AB49" s="39">
        <f>Table6912138[[#This Row],[Y1 Total quantity]]+Table6912138[[#This Row],[Y2 Total quantity]]+Table6912138[[#This Row],[Y3 Total quantity]]</f>
        <v>0</v>
      </c>
      <c r="AC49" s="996">
        <f>Table6912138[[#This Row],[Y1 Total cost]]+Table6912138[[#This Row],[Y2 Total cost]]+Table6912138[[#This Row],[Y3 Total cost]]</f>
        <v>0</v>
      </c>
      <c r="AD49" s="440" t="str">
        <f t="shared" si="2"/>
        <v/>
      </c>
      <c r="AE49" s="1222"/>
      <c r="AM49" s="105"/>
      <c r="AN49" s="469"/>
    </row>
    <row r="50" spans="1:40">
      <c r="A50" s="2169"/>
      <c r="B50" s="2106"/>
      <c r="C50" s="1517"/>
      <c r="D50" s="1512"/>
      <c r="E50" s="357" t="str">
        <f t="shared" si="0"/>
        <v/>
      </c>
      <c r="F50" s="357" t="str">
        <f t="shared" si="1"/>
        <v/>
      </c>
      <c r="G50" s="993"/>
      <c r="H50" s="36"/>
      <c r="I50" s="36"/>
      <c r="J50" s="36"/>
      <c r="K50" s="36"/>
      <c r="L50" s="39">
        <f>SUM(Table6912138[[#This Row],[Y1 Q1 quantity]:[Y1 Q4 quantity]])</f>
        <v>0</v>
      </c>
      <c r="M50" s="996">
        <f>Table6912138[[#This Row],[Y1 Total quantity]]*Table6912138[[#This Row],[Y1 Unit cost]]</f>
        <v>0</v>
      </c>
      <c r="N50" s="993"/>
      <c r="O50" s="36"/>
      <c r="P50" s="36"/>
      <c r="Q50" s="36"/>
      <c r="R50" s="36"/>
      <c r="S50" s="39">
        <f>SUM(Table6912138[[#This Row],[Y2 Q1 quantity]:[Y2 Q4 quantity]])</f>
        <v>0</v>
      </c>
      <c r="T50" s="996">
        <f>Table6912138[[#This Row],[Y2 Total quantity]]*Table6912138[[#This Row],[Y2 Unit cost]]</f>
        <v>0</v>
      </c>
      <c r="U50" s="998"/>
      <c r="V50" s="36"/>
      <c r="W50" s="36"/>
      <c r="X50" s="36"/>
      <c r="Y50" s="36"/>
      <c r="Z50" s="39">
        <f>SUM(Table6912138[[#This Row],[Y3 Q1 quantity]:[Y3 Q4 quantity]])</f>
        <v>0</v>
      </c>
      <c r="AA50" s="996">
        <f>Table6912138[[#This Row],[Y3 Unit cost]]*Table6912138[[#This Row],[Y3 Total quantity]]</f>
        <v>0</v>
      </c>
      <c r="AB50" s="39">
        <f>Table6912138[[#This Row],[Y1 Total quantity]]+Table6912138[[#This Row],[Y2 Total quantity]]+Table6912138[[#This Row],[Y3 Total quantity]]</f>
        <v>0</v>
      </c>
      <c r="AC50" s="996">
        <f>Table6912138[[#This Row],[Y1 Total cost]]+Table6912138[[#This Row],[Y2 Total cost]]+Table6912138[[#This Row],[Y3 Total cost]]</f>
        <v>0</v>
      </c>
      <c r="AD50" s="440" t="str">
        <f t="shared" si="2"/>
        <v/>
      </c>
      <c r="AE50" s="957"/>
      <c r="AM50" s="105"/>
      <c r="AN50" s="469"/>
    </row>
    <row r="51" spans="1:40">
      <c r="A51" s="2170"/>
      <c r="B51" s="2109"/>
      <c r="C51" s="1518"/>
      <c r="D51" s="1513"/>
      <c r="E51" s="358" t="str">
        <f t="shared" si="0"/>
        <v/>
      </c>
      <c r="F51" s="358" t="str">
        <f t="shared" si="1"/>
        <v/>
      </c>
      <c r="G51" s="993"/>
      <c r="H51" s="36"/>
      <c r="I51" s="36"/>
      <c r="J51" s="36"/>
      <c r="K51" s="36"/>
      <c r="L51" s="39">
        <f>SUM(Table6912138[[#This Row],[Y1 Q1 quantity]:[Y1 Q4 quantity]])</f>
        <v>0</v>
      </c>
      <c r="M51" s="996">
        <f>Table6912138[[#This Row],[Y1 Total quantity]]*Table6912138[[#This Row],[Y1 Unit cost]]</f>
        <v>0</v>
      </c>
      <c r="N51" s="993"/>
      <c r="O51" s="36"/>
      <c r="P51" s="36"/>
      <c r="Q51" s="36"/>
      <c r="R51" s="36"/>
      <c r="S51" s="39">
        <f>SUM(Table6912138[[#This Row],[Y2 Q1 quantity]:[Y2 Q4 quantity]])</f>
        <v>0</v>
      </c>
      <c r="T51" s="996">
        <f>Table6912138[[#This Row],[Y2 Total quantity]]*Table6912138[[#This Row],[Y2 Unit cost]]</f>
        <v>0</v>
      </c>
      <c r="U51" s="998"/>
      <c r="V51" s="36"/>
      <c r="W51" s="36"/>
      <c r="X51" s="36"/>
      <c r="Y51" s="36"/>
      <c r="Z51" s="39">
        <f>SUM(Table6912138[[#This Row],[Y3 Q1 quantity]:[Y3 Q4 quantity]])</f>
        <v>0</v>
      </c>
      <c r="AA51" s="996">
        <f>Table6912138[[#This Row],[Y3 Unit cost]]*Table6912138[[#This Row],[Y3 Total quantity]]</f>
        <v>0</v>
      </c>
      <c r="AB51" s="39">
        <f>Table6912138[[#This Row],[Y1 Total quantity]]+Table6912138[[#This Row],[Y2 Total quantity]]+Table6912138[[#This Row],[Y3 Total quantity]]</f>
        <v>0</v>
      </c>
      <c r="AC51" s="996">
        <f>Table6912138[[#This Row],[Y1 Total cost]]+Table6912138[[#This Row],[Y2 Total cost]]+Table6912138[[#This Row],[Y3 Total cost]]</f>
        <v>0</v>
      </c>
      <c r="AD51" s="440" t="str">
        <f t="shared" si="2"/>
        <v/>
      </c>
      <c r="AE51" s="1222"/>
      <c r="AM51" s="105"/>
      <c r="AN51" s="469"/>
    </row>
    <row r="52" spans="1:40">
      <c r="A52" s="2169"/>
      <c r="B52" s="2106"/>
      <c r="C52" s="1517"/>
      <c r="D52" s="1512"/>
      <c r="E52" s="357" t="str">
        <f t="shared" si="0"/>
        <v/>
      </c>
      <c r="F52" s="357" t="str">
        <f t="shared" si="1"/>
        <v/>
      </c>
      <c r="G52" s="993"/>
      <c r="H52" s="36"/>
      <c r="I52" s="36"/>
      <c r="J52" s="36"/>
      <c r="K52" s="36"/>
      <c r="L52" s="39">
        <f>SUM(Table6912138[[#This Row],[Y1 Q1 quantity]:[Y1 Q4 quantity]])</f>
        <v>0</v>
      </c>
      <c r="M52" s="996">
        <f>Table6912138[[#This Row],[Y1 Total quantity]]*Table6912138[[#This Row],[Y1 Unit cost]]</f>
        <v>0</v>
      </c>
      <c r="N52" s="993"/>
      <c r="O52" s="36"/>
      <c r="P52" s="36"/>
      <c r="Q52" s="36"/>
      <c r="R52" s="36"/>
      <c r="S52" s="39">
        <f>SUM(Table6912138[[#This Row],[Y2 Q1 quantity]:[Y2 Q4 quantity]])</f>
        <v>0</v>
      </c>
      <c r="T52" s="996">
        <f>Table6912138[[#This Row],[Y2 Total quantity]]*Table6912138[[#This Row],[Y2 Unit cost]]</f>
        <v>0</v>
      </c>
      <c r="U52" s="998"/>
      <c r="V52" s="36"/>
      <c r="W52" s="36"/>
      <c r="X52" s="36"/>
      <c r="Y52" s="36"/>
      <c r="Z52" s="39">
        <f>SUM(Table6912138[[#This Row],[Y3 Q1 quantity]:[Y3 Q4 quantity]])</f>
        <v>0</v>
      </c>
      <c r="AA52" s="996">
        <f>Table6912138[[#This Row],[Y3 Unit cost]]*Table6912138[[#This Row],[Y3 Total quantity]]</f>
        <v>0</v>
      </c>
      <c r="AB52" s="39">
        <f>Table6912138[[#This Row],[Y1 Total quantity]]+Table6912138[[#This Row],[Y2 Total quantity]]+Table6912138[[#This Row],[Y3 Total quantity]]</f>
        <v>0</v>
      </c>
      <c r="AC52" s="996">
        <f>Table6912138[[#This Row],[Y1 Total cost]]+Table6912138[[#This Row],[Y2 Total cost]]+Table6912138[[#This Row],[Y3 Total cost]]</f>
        <v>0</v>
      </c>
      <c r="AD52" s="440" t="str">
        <f t="shared" si="2"/>
        <v/>
      </c>
      <c r="AE52" s="957"/>
      <c r="AM52" s="105"/>
      <c r="AN52" s="469"/>
    </row>
    <row r="53" spans="1:40">
      <c r="A53" s="2170"/>
      <c r="B53" s="2109"/>
      <c r="C53" s="1518"/>
      <c r="D53" s="1513"/>
      <c r="E53" s="358" t="str">
        <f t="shared" si="0"/>
        <v/>
      </c>
      <c r="F53" s="358" t="str">
        <f t="shared" si="1"/>
        <v/>
      </c>
      <c r="G53" s="993"/>
      <c r="H53" s="36"/>
      <c r="I53" s="36"/>
      <c r="J53" s="36"/>
      <c r="K53" s="36"/>
      <c r="L53" s="39">
        <f>SUM(Table6912138[[#This Row],[Y1 Q1 quantity]:[Y1 Q4 quantity]])</f>
        <v>0</v>
      </c>
      <c r="M53" s="996">
        <f>Table6912138[[#This Row],[Y1 Total quantity]]*Table6912138[[#This Row],[Y1 Unit cost]]</f>
        <v>0</v>
      </c>
      <c r="N53" s="993"/>
      <c r="O53" s="36"/>
      <c r="P53" s="36"/>
      <c r="Q53" s="36"/>
      <c r="R53" s="36"/>
      <c r="S53" s="39">
        <f>SUM(Table6912138[[#This Row],[Y2 Q1 quantity]:[Y2 Q4 quantity]])</f>
        <v>0</v>
      </c>
      <c r="T53" s="996">
        <f>Table6912138[[#This Row],[Y2 Total quantity]]*Table6912138[[#This Row],[Y2 Unit cost]]</f>
        <v>0</v>
      </c>
      <c r="U53" s="998"/>
      <c r="V53" s="36"/>
      <c r="W53" s="36"/>
      <c r="X53" s="36"/>
      <c r="Y53" s="36"/>
      <c r="Z53" s="39">
        <f>SUM(Table6912138[[#This Row],[Y3 Q1 quantity]:[Y3 Q4 quantity]])</f>
        <v>0</v>
      </c>
      <c r="AA53" s="996">
        <f>Table6912138[[#This Row],[Y3 Unit cost]]*Table6912138[[#This Row],[Y3 Total quantity]]</f>
        <v>0</v>
      </c>
      <c r="AB53" s="39">
        <f>Table6912138[[#This Row],[Y1 Total quantity]]+Table6912138[[#This Row],[Y2 Total quantity]]+Table6912138[[#This Row],[Y3 Total quantity]]</f>
        <v>0</v>
      </c>
      <c r="AC53" s="996">
        <f>Table6912138[[#This Row],[Y1 Total cost]]+Table6912138[[#This Row],[Y2 Total cost]]+Table6912138[[#This Row],[Y3 Total cost]]</f>
        <v>0</v>
      </c>
      <c r="AD53" s="440" t="str">
        <f t="shared" si="2"/>
        <v/>
      </c>
      <c r="AE53" s="1222"/>
      <c r="AM53" s="105"/>
      <c r="AN53" s="469"/>
    </row>
    <row r="54" spans="1:40">
      <c r="A54" s="2169"/>
      <c r="B54" s="2106"/>
      <c r="C54" s="1517"/>
      <c r="D54" s="1512"/>
      <c r="E54" s="357" t="str">
        <f t="shared" si="0"/>
        <v/>
      </c>
      <c r="F54" s="357" t="str">
        <f t="shared" si="1"/>
        <v/>
      </c>
      <c r="G54" s="993"/>
      <c r="H54" s="36"/>
      <c r="I54" s="36"/>
      <c r="J54" s="36"/>
      <c r="K54" s="36"/>
      <c r="L54" s="39">
        <f>SUM(Table6912138[[#This Row],[Y1 Q1 quantity]:[Y1 Q4 quantity]])</f>
        <v>0</v>
      </c>
      <c r="M54" s="996">
        <f>Table6912138[[#This Row],[Y1 Total quantity]]*Table6912138[[#This Row],[Y1 Unit cost]]</f>
        <v>0</v>
      </c>
      <c r="N54" s="993"/>
      <c r="O54" s="36"/>
      <c r="P54" s="36"/>
      <c r="Q54" s="36"/>
      <c r="R54" s="36"/>
      <c r="S54" s="39">
        <f>SUM(Table6912138[[#This Row],[Y2 Q1 quantity]:[Y2 Q4 quantity]])</f>
        <v>0</v>
      </c>
      <c r="T54" s="996">
        <f>Table6912138[[#This Row],[Y2 Total quantity]]*Table6912138[[#This Row],[Y2 Unit cost]]</f>
        <v>0</v>
      </c>
      <c r="U54" s="998"/>
      <c r="V54" s="36"/>
      <c r="W54" s="36"/>
      <c r="X54" s="36"/>
      <c r="Y54" s="36"/>
      <c r="Z54" s="39">
        <f>SUM(Table6912138[[#This Row],[Y3 Q1 quantity]:[Y3 Q4 quantity]])</f>
        <v>0</v>
      </c>
      <c r="AA54" s="996">
        <f>Table6912138[[#This Row],[Y3 Unit cost]]*Table6912138[[#This Row],[Y3 Total quantity]]</f>
        <v>0</v>
      </c>
      <c r="AB54" s="39">
        <f>Table6912138[[#This Row],[Y1 Total quantity]]+Table6912138[[#This Row],[Y2 Total quantity]]+Table6912138[[#This Row],[Y3 Total quantity]]</f>
        <v>0</v>
      </c>
      <c r="AC54" s="996">
        <f>Table6912138[[#This Row],[Y1 Total cost]]+Table6912138[[#This Row],[Y2 Total cost]]+Table6912138[[#This Row],[Y3 Total cost]]</f>
        <v>0</v>
      </c>
      <c r="AD54" s="440" t="str">
        <f t="shared" si="2"/>
        <v/>
      </c>
      <c r="AE54" s="957"/>
      <c r="AM54" s="105"/>
      <c r="AN54" s="469"/>
    </row>
    <row r="55" spans="1:40">
      <c r="A55" s="2170"/>
      <c r="B55" s="2109"/>
      <c r="C55" s="1518"/>
      <c r="D55" s="1513"/>
      <c r="E55" s="358" t="str">
        <f t="shared" si="0"/>
        <v/>
      </c>
      <c r="F55" s="358" t="str">
        <f t="shared" si="1"/>
        <v/>
      </c>
      <c r="G55" s="993"/>
      <c r="H55" s="36"/>
      <c r="I55" s="36"/>
      <c r="J55" s="36"/>
      <c r="K55" s="36"/>
      <c r="L55" s="39">
        <f>SUM(Table6912138[[#This Row],[Y1 Q1 quantity]:[Y1 Q4 quantity]])</f>
        <v>0</v>
      </c>
      <c r="M55" s="996">
        <f>Table6912138[[#This Row],[Y1 Total quantity]]*Table6912138[[#This Row],[Y1 Unit cost]]</f>
        <v>0</v>
      </c>
      <c r="N55" s="993"/>
      <c r="O55" s="36"/>
      <c r="P55" s="36"/>
      <c r="Q55" s="36"/>
      <c r="R55" s="36"/>
      <c r="S55" s="39">
        <f>SUM(Table6912138[[#This Row],[Y2 Q1 quantity]:[Y2 Q4 quantity]])</f>
        <v>0</v>
      </c>
      <c r="T55" s="996">
        <f>Table6912138[[#This Row],[Y2 Total quantity]]*Table6912138[[#This Row],[Y2 Unit cost]]</f>
        <v>0</v>
      </c>
      <c r="U55" s="998"/>
      <c r="V55" s="36"/>
      <c r="W55" s="36"/>
      <c r="X55" s="36"/>
      <c r="Y55" s="36"/>
      <c r="Z55" s="39">
        <f>SUM(Table6912138[[#This Row],[Y3 Q1 quantity]:[Y3 Q4 quantity]])</f>
        <v>0</v>
      </c>
      <c r="AA55" s="996">
        <f>Table6912138[[#This Row],[Y3 Unit cost]]*Table6912138[[#This Row],[Y3 Total quantity]]</f>
        <v>0</v>
      </c>
      <c r="AB55" s="39">
        <f>Table6912138[[#This Row],[Y1 Total quantity]]+Table6912138[[#This Row],[Y2 Total quantity]]+Table6912138[[#This Row],[Y3 Total quantity]]</f>
        <v>0</v>
      </c>
      <c r="AC55" s="996">
        <f>Table6912138[[#This Row],[Y1 Total cost]]+Table6912138[[#This Row],[Y2 Total cost]]+Table6912138[[#This Row],[Y3 Total cost]]</f>
        <v>0</v>
      </c>
      <c r="AD55" s="440" t="str">
        <f t="shared" si="2"/>
        <v/>
      </c>
      <c r="AE55" s="1222"/>
      <c r="AM55" s="105"/>
      <c r="AN55" s="469"/>
    </row>
    <row r="56" spans="1:40">
      <c r="A56" s="2169"/>
      <c r="B56" s="2106"/>
      <c r="C56" s="1517"/>
      <c r="D56" s="1512"/>
      <c r="E56" s="357" t="str">
        <f t="shared" si="0"/>
        <v/>
      </c>
      <c r="F56" s="357" t="str">
        <f t="shared" si="1"/>
        <v/>
      </c>
      <c r="G56" s="993"/>
      <c r="H56" s="36"/>
      <c r="I56" s="36"/>
      <c r="J56" s="36"/>
      <c r="K56" s="36"/>
      <c r="L56" s="39">
        <f>SUM(Table6912138[[#This Row],[Y1 Q1 quantity]:[Y1 Q4 quantity]])</f>
        <v>0</v>
      </c>
      <c r="M56" s="996">
        <f>Table6912138[[#This Row],[Y1 Total quantity]]*Table6912138[[#This Row],[Y1 Unit cost]]</f>
        <v>0</v>
      </c>
      <c r="N56" s="993"/>
      <c r="O56" s="36"/>
      <c r="P56" s="36"/>
      <c r="Q56" s="36"/>
      <c r="R56" s="36"/>
      <c r="S56" s="39">
        <f>SUM(Table6912138[[#This Row],[Y2 Q1 quantity]:[Y2 Q4 quantity]])</f>
        <v>0</v>
      </c>
      <c r="T56" s="996">
        <f>Table6912138[[#This Row],[Y2 Total quantity]]*Table6912138[[#This Row],[Y2 Unit cost]]</f>
        <v>0</v>
      </c>
      <c r="U56" s="998"/>
      <c r="V56" s="36"/>
      <c r="W56" s="36"/>
      <c r="X56" s="36"/>
      <c r="Y56" s="36"/>
      <c r="Z56" s="39">
        <f>SUM(Table6912138[[#This Row],[Y3 Q1 quantity]:[Y3 Q4 quantity]])</f>
        <v>0</v>
      </c>
      <c r="AA56" s="996">
        <f>Table6912138[[#This Row],[Y3 Unit cost]]*Table6912138[[#This Row],[Y3 Total quantity]]</f>
        <v>0</v>
      </c>
      <c r="AB56" s="39">
        <f>Table6912138[[#This Row],[Y1 Total quantity]]+Table6912138[[#This Row],[Y2 Total quantity]]+Table6912138[[#This Row],[Y3 Total quantity]]</f>
        <v>0</v>
      </c>
      <c r="AC56" s="996">
        <f>Table6912138[[#This Row],[Y1 Total cost]]+Table6912138[[#This Row],[Y2 Total cost]]+Table6912138[[#This Row],[Y3 Total cost]]</f>
        <v>0</v>
      </c>
      <c r="AD56" s="440" t="str">
        <f t="shared" si="2"/>
        <v/>
      </c>
      <c r="AE56" s="957"/>
      <c r="AM56" s="105"/>
      <c r="AN56" s="469"/>
    </row>
    <row r="57" spans="1:40">
      <c r="A57" s="2170"/>
      <c r="B57" s="2109"/>
      <c r="C57" s="1518"/>
      <c r="D57" s="1513"/>
      <c r="E57" s="358" t="str">
        <f t="shared" si="0"/>
        <v/>
      </c>
      <c r="F57" s="358" t="str">
        <f t="shared" si="1"/>
        <v/>
      </c>
      <c r="G57" s="993"/>
      <c r="H57" s="36"/>
      <c r="I57" s="36"/>
      <c r="J57" s="36"/>
      <c r="K57" s="36"/>
      <c r="L57" s="39">
        <f>SUM(Table6912138[[#This Row],[Y1 Q1 quantity]:[Y1 Q4 quantity]])</f>
        <v>0</v>
      </c>
      <c r="M57" s="996">
        <f>Table6912138[[#This Row],[Y1 Total quantity]]*Table6912138[[#This Row],[Y1 Unit cost]]</f>
        <v>0</v>
      </c>
      <c r="N57" s="993"/>
      <c r="O57" s="36"/>
      <c r="P57" s="36"/>
      <c r="Q57" s="36"/>
      <c r="R57" s="36"/>
      <c r="S57" s="39">
        <f>SUM(Table6912138[[#This Row],[Y2 Q1 quantity]:[Y2 Q4 quantity]])</f>
        <v>0</v>
      </c>
      <c r="T57" s="996">
        <f>Table6912138[[#This Row],[Y2 Total quantity]]*Table6912138[[#This Row],[Y2 Unit cost]]</f>
        <v>0</v>
      </c>
      <c r="U57" s="998"/>
      <c r="V57" s="36"/>
      <c r="W57" s="36"/>
      <c r="X57" s="36"/>
      <c r="Y57" s="36"/>
      <c r="Z57" s="39">
        <f>SUM(Table6912138[[#This Row],[Y3 Q1 quantity]:[Y3 Q4 quantity]])</f>
        <v>0</v>
      </c>
      <c r="AA57" s="996">
        <f>Table6912138[[#This Row],[Y3 Unit cost]]*Table6912138[[#This Row],[Y3 Total quantity]]</f>
        <v>0</v>
      </c>
      <c r="AB57" s="39">
        <f>Table6912138[[#This Row],[Y1 Total quantity]]+Table6912138[[#This Row],[Y2 Total quantity]]+Table6912138[[#This Row],[Y3 Total quantity]]</f>
        <v>0</v>
      </c>
      <c r="AC57" s="996">
        <f>Table6912138[[#This Row],[Y1 Total cost]]+Table6912138[[#This Row],[Y2 Total cost]]+Table6912138[[#This Row],[Y3 Total cost]]</f>
        <v>0</v>
      </c>
      <c r="AD57" s="440" t="str">
        <f t="shared" si="2"/>
        <v/>
      </c>
      <c r="AE57" s="1222"/>
      <c r="AM57" s="105"/>
      <c r="AN57" s="469"/>
    </row>
    <row r="58" spans="1:40" ht="15" thickBot="1">
      <c r="A58" s="2171"/>
      <c r="B58" s="2172"/>
      <c r="C58" s="1519"/>
      <c r="D58" s="1514"/>
      <c r="E58" s="359" t="str">
        <f t="shared" si="0"/>
        <v/>
      </c>
      <c r="F58" s="359" t="str">
        <f t="shared" si="1"/>
        <v/>
      </c>
      <c r="G58" s="994"/>
      <c r="H58" s="37"/>
      <c r="I58" s="37"/>
      <c r="J58" s="37"/>
      <c r="K58" s="37"/>
      <c r="L58" s="40">
        <f>SUM(Table6912138[[#This Row],[Y1 Q1 quantity]:[Y1 Q4 quantity]])</f>
        <v>0</v>
      </c>
      <c r="M58" s="997">
        <f>Table6912138[[#This Row],[Y1 Total quantity]]*Table6912138[[#This Row],[Y1 Unit cost]]</f>
        <v>0</v>
      </c>
      <c r="N58" s="994"/>
      <c r="O58" s="37"/>
      <c r="P58" s="37"/>
      <c r="Q58" s="37"/>
      <c r="R58" s="37"/>
      <c r="S58" s="40">
        <f>SUM(Table6912138[[#This Row],[Y2 Q1 quantity]:[Y2 Q4 quantity]])</f>
        <v>0</v>
      </c>
      <c r="T58" s="997">
        <f>Table6912138[[#This Row],[Y2 Total quantity]]*Table6912138[[#This Row],[Y2 Unit cost]]</f>
        <v>0</v>
      </c>
      <c r="U58" s="999"/>
      <c r="V58" s="37"/>
      <c r="W58" s="37"/>
      <c r="X58" s="37"/>
      <c r="Y58" s="37"/>
      <c r="Z58" s="40">
        <f>SUM(Table6912138[[#This Row],[Y3 Q1 quantity]:[Y3 Q4 quantity]])</f>
        <v>0</v>
      </c>
      <c r="AA58" s="997">
        <f>Table6912138[[#This Row],[Y3 Unit cost]]*Table6912138[[#This Row],[Y3 Total quantity]]</f>
        <v>0</v>
      </c>
      <c r="AB58" s="40">
        <f>Table6912138[[#This Row],[Y1 Total quantity]]+Table6912138[[#This Row],[Y2 Total quantity]]+Table6912138[[#This Row],[Y3 Total quantity]]</f>
        <v>0</v>
      </c>
      <c r="AC58" s="997">
        <f>Table6912138[[#This Row],[Y1 Total cost]]+Table6912138[[#This Row],[Y2 Total cost]]+Table6912138[[#This Row],[Y3 Total cost]]</f>
        <v>0</v>
      </c>
      <c r="AD58" s="440" t="str">
        <f t="shared" si="2"/>
        <v/>
      </c>
      <c r="AE58" s="1232"/>
      <c r="AM58" s="105"/>
      <c r="AN58" s="469"/>
    </row>
  </sheetData>
  <sheetProtection algorithmName="SHA-512" hashValue="83YVzaPk7WjIYASU6JMu7eg1pCxJ2rjlRVkZ+8TDce8LkPZ4qITqF3hacMZ7lqRxCZaC4aWRbquCPYUVd2UyIw==" saltValue="OtMI4FX6LPvITyKLej5KYA==" spinCount="100000" sheet="1" formatColumns="0" formatRows="0" selectLockedCells="1" autoFilter="0"/>
  <dataConsolidate/>
  <mergeCells count="74">
    <mergeCell ref="M1:M2"/>
    <mergeCell ref="L1:L2"/>
    <mergeCell ref="A1:I1"/>
    <mergeCell ref="B3:B4"/>
    <mergeCell ref="D12:D13"/>
    <mergeCell ref="A8:A9"/>
    <mergeCell ref="E12:E13"/>
    <mergeCell ref="B5:B6"/>
    <mergeCell ref="A12:B13"/>
    <mergeCell ref="K1:K2"/>
    <mergeCell ref="F3:G4"/>
    <mergeCell ref="F5:G6"/>
    <mergeCell ref="C12:C13"/>
    <mergeCell ref="B8:F9"/>
    <mergeCell ref="F12:F13"/>
    <mergeCell ref="C3:D4"/>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7:B57"/>
    <mergeCell ref="A58:B58"/>
    <mergeCell ref="A56:B56"/>
    <mergeCell ref="C5:D6"/>
    <mergeCell ref="E3:E4"/>
    <mergeCell ref="E5:E6"/>
    <mergeCell ref="AV11:BG11"/>
    <mergeCell ref="AV12:AY12"/>
    <mergeCell ref="AZ12:BC12"/>
    <mergeCell ref="BD12:BG12"/>
    <mergeCell ref="G12:M12"/>
    <mergeCell ref="AB12:AC12"/>
    <mergeCell ref="N12:T12"/>
    <mergeCell ref="U12:AA12"/>
    <mergeCell ref="AE12:AE13"/>
    <mergeCell ref="A10:M10"/>
  </mergeCells>
  <dataValidations count="4">
    <dataValidation type="list" allowBlank="1" showInputMessage="1" showErrorMessage="1" sqref="E14:E58" xr:uid="{00000000-0002-0000-0500-000000000000}">
      <formula1>UnitMeasure3</formula1>
    </dataValidation>
    <dataValidation type="list" allowBlank="1" showInputMessage="1" showErrorMessage="1" sqref="C14:C58" xr:uid="{00000000-0002-0000-0500-000001000000}">
      <formula1>INDIRECT(SUBSTITUTE(SUBSTITUTE(SUBSTITUTE(SUBSTITUTE(SUBSTITUTE(SUBSTITUTE(SUBSTITUTE(SUBSTITUTE(SUBSTITUTE(SUBSTITUTE(SUBSTITUTE(SUBSTITUTE(A14,",",""),":",""),"/"," "),"(",""),")",""),"-"," "),"  "," ")," ","_"),"__","_"),"&amp;",""),"__","_"),"+","_"))</formula1>
    </dataValidation>
    <dataValidation type="list" allowBlank="1" showInputMessage="1" showErrorMessage="1" sqref="D14:D58" xr:uid="{00000000-0002-0000-0500-000002000000}">
      <formula1>INDIRECT(SUBSTITUTE(SUBSTITUTE(SUBSTITUTE(SUBSTITUTE(SUBSTITUTE(SUBSTITUTE(SUBSTITUTE(SUBSTITUTE(SUBSTITUTE(SUBSTITUTE(SUBSTITUTE(SUBSTITUTE(C14,",",""),":",""),"/"," "),"(",""),")",""),"-"," "),"  "," ")," ","_"),"__","_"),"&amp;",""),"__","_"),"+","_"))</formula1>
    </dataValidation>
    <dataValidation type="decimal" allowBlank="1" showInputMessage="1" showErrorMessage="1" sqref="G14:G58 H14:K58 N14:R58 U14:Y58" xr:uid="{3C5DE30D-368F-41D0-B544-CE6DCC9DEC44}">
      <formula1>0</formula1>
      <formula2>1E+29</formula2>
    </dataValidation>
  </dataValidations>
  <hyperlinks>
    <hyperlink ref="L1:L2" location="'HIV-Key Info'!A1" display="Back to HIV-Key Info" xr:uid="{00000000-0004-0000-0500-000001000000}"/>
    <hyperlink ref="M1:M2" location="'HIV-Pharmaceuticals'!A1" display="Back to HIV-Pharma" xr:uid="{00000000-0004-0000-0500-000002000000}"/>
  </hyperlinks>
  <pageMargins left="0.25" right="0.25" top="0.75" bottom="0.75" header="0.3" footer="0.3"/>
  <pageSetup paperSize="8" scale="24" orientation="landscape"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3000000}">
          <x14:formula1>
            <xm:f>'HIV-Equip'!$A$2:$A$3</xm:f>
          </x14:formula1>
          <xm:sqref>A14:B58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1">
    <tabColor rgb="FF339933"/>
    <pageSetUpPr fitToPage="1"/>
  </sheetPr>
  <dimension ref="A1:BH298"/>
  <sheetViews>
    <sheetView showGridLines="0" zoomScale="85" zoomScaleNormal="85" workbookViewId="0">
      <selection activeCell="A10" sqref="A10:M10"/>
    </sheetView>
  </sheetViews>
  <sheetFormatPr defaultColWidth="8.81640625" defaultRowHeight="14.5"/>
  <cols>
    <col min="1" max="1" width="8.81640625" style="105" customWidth="1"/>
    <col min="2" max="9" width="15.36328125" style="105" customWidth="1"/>
    <col min="10" max="10" width="14.36328125" style="105" customWidth="1"/>
    <col min="11" max="11" width="12.36328125" style="105" customWidth="1"/>
    <col min="12" max="12" width="18.36328125" style="105" customWidth="1"/>
    <col min="13" max="13" width="19.08984375" style="105" customWidth="1"/>
    <col min="14" max="14" width="18.36328125" style="105" customWidth="1"/>
    <col min="15" max="15" width="19.08984375" style="105" customWidth="1"/>
    <col min="16" max="16" width="15.36328125" style="105" customWidth="1"/>
    <col min="17" max="26" width="19.08984375" style="105" customWidth="1"/>
    <col min="27" max="27" width="16" style="105" bestFit="1" customWidth="1"/>
    <col min="28" max="34" width="12.36328125" style="105" customWidth="1"/>
    <col min="35" max="35" width="10.36328125" style="105" bestFit="1" customWidth="1"/>
    <col min="36" max="36" width="14.81640625" style="105" bestFit="1" customWidth="1"/>
    <col min="37" max="37" width="8.81640625" style="105"/>
    <col min="38" max="38" width="45" style="105" customWidth="1"/>
    <col min="39" max="46" width="8.81640625" style="105"/>
    <col min="47" max="47" width="0" style="105" hidden="1" customWidth="1"/>
    <col min="48" max="48" width="23.08984375" style="105" hidden="1" customWidth="1"/>
    <col min="49" max="60" width="8.81640625" style="105" hidden="1" customWidth="1"/>
    <col min="61" max="61" width="0" style="105" hidden="1" customWidth="1"/>
    <col min="62" max="16384" width="8.81640625" style="105"/>
  </cols>
  <sheetData>
    <row r="1" spans="1:60" ht="24" customHeight="1" thickBot="1">
      <c r="A1" s="2047" t="s">
        <v>7630</v>
      </c>
      <c r="B1" s="2048"/>
      <c r="C1" s="2048"/>
      <c r="D1" s="2048"/>
      <c r="E1" s="2048"/>
      <c r="F1" s="2048"/>
      <c r="G1" s="2048"/>
      <c r="H1" s="2048"/>
      <c r="I1" s="2048"/>
      <c r="J1" s="2048"/>
      <c r="K1" s="2049"/>
      <c r="L1" s="143"/>
      <c r="M1" s="2138"/>
      <c r="N1" s="2042" t="s">
        <v>145</v>
      </c>
      <c r="O1" s="2042" t="s">
        <v>193</v>
      </c>
      <c r="P1" s="2042" t="s">
        <v>65</v>
      </c>
      <c r="Q1" s="2245"/>
      <c r="R1" s="136"/>
      <c r="S1" s="121"/>
      <c r="T1" s="121"/>
      <c r="U1" s="121"/>
      <c r="V1" s="121"/>
      <c r="W1" s="121"/>
      <c r="X1" s="121"/>
      <c r="Y1" s="121"/>
      <c r="Z1" s="121"/>
      <c r="AA1" s="121"/>
      <c r="AB1" s="121"/>
      <c r="AC1" s="121"/>
      <c r="AD1" s="121"/>
      <c r="AE1" s="121"/>
      <c r="AF1" s="144"/>
      <c r="AG1" s="121"/>
    </row>
    <row r="2" spans="1:60" ht="15" thickBot="1">
      <c r="A2" s="145"/>
      <c r="B2" s="145"/>
      <c r="C2" s="145"/>
      <c r="D2" s="145"/>
      <c r="E2" s="145"/>
      <c r="F2" s="145"/>
      <c r="G2" s="145"/>
      <c r="H2" s="145"/>
      <c r="I2" s="145"/>
      <c r="J2" s="145"/>
      <c r="K2" s="107"/>
      <c r="L2" s="144"/>
      <c r="M2" s="2142"/>
      <c r="N2" s="2043"/>
      <c r="O2" s="2043"/>
      <c r="P2" s="2043"/>
      <c r="Q2" s="2246"/>
      <c r="R2" s="136"/>
      <c r="S2" s="121"/>
      <c r="T2" s="121"/>
      <c r="U2" s="121"/>
      <c r="V2" s="121"/>
      <c r="W2" s="121"/>
      <c r="X2" s="121"/>
      <c r="Y2" s="121"/>
      <c r="Z2" s="121"/>
      <c r="AA2" s="121"/>
      <c r="AB2" s="121"/>
      <c r="AC2" s="121"/>
      <c r="AD2" s="121"/>
      <c r="AE2" s="121"/>
      <c r="AF2" s="144"/>
      <c r="AG2" s="121"/>
    </row>
    <row r="3" spans="1:60" ht="15" customHeight="1" thickBot="1">
      <c r="A3" s="146"/>
      <c r="B3" s="2060" t="s">
        <v>0</v>
      </c>
      <c r="C3" s="2058">
        <f>SETUP!$E$3</f>
        <v>0</v>
      </c>
      <c r="D3" s="2058"/>
      <c r="E3" s="2058"/>
      <c r="F3" s="147"/>
      <c r="G3" s="2152" t="s">
        <v>1</v>
      </c>
      <c r="H3" s="2058">
        <f>SETUP!$G$13</f>
        <v>0</v>
      </c>
      <c r="I3" s="2058"/>
      <c r="J3" s="2059"/>
      <c r="K3" s="136"/>
      <c r="L3" s="136"/>
      <c r="M3" s="124"/>
      <c r="N3" s="124"/>
      <c r="O3" s="124"/>
      <c r="P3" s="124"/>
      <c r="Q3" s="124"/>
      <c r="R3" s="124"/>
      <c r="S3" s="121"/>
      <c r="T3" s="121"/>
      <c r="U3" s="121"/>
      <c r="V3" s="121"/>
      <c r="W3" s="121"/>
      <c r="X3" s="121"/>
      <c r="Y3" s="121"/>
      <c r="Z3" s="121"/>
      <c r="AA3" s="121"/>
      <c r="AB3" s="121"/>
      <c r="AC3" s="121"/>
      <c r="AD3" s="121"/>
      <c r="AE3" s="121"/>
      <c r="AF3" s="121"/>
      <c r="AG3" s="144"/>
      <c r="AH3" s="125"/>
    </row>
    <row r="4" spans="1:60" ht="15.75" customHeight="1" thickTop="1" thickBot="1">
      <c r="A4" s="148"/>
      <c r="B4" s="2065"/>
      <c r="C4" s="2150"/>
      <c r="D4" s="2150"/>
      <c r="E4" s="2150"/>
      <c r="F4" s="115"/>
      <c r="G4" s="2152"/>
      <c r="H4" s="2280"/>
      <c r="I4" s="2280"/>
      <c r="J4" s="2281"/>
      <c r="K4" s="136"/>
      <c r="L4" s="136"/>
      <c r="M4" s="121"/>
      <c r="N4" s="121"/>
      <c r="O4" s="121"/>
      <c r="P4" s="121"/>
      <c r="Q4" s="121"/>
      <c r="R4" s="121"/>
      <c r="S4" s="121"/>
      <c r="T4" s="121"/>
      <c r="U4" s="121"/>
      <c r="V4" s="121"/>
      <c r="W4" s="121"/>
      <c r="X4" s="121"/>
      <c r="Y4" s="121"/>
      <c r="Z4" s="121"/>
      <c r="AA4" s="121"/>
      <c r="AB4" s="121"/>
      <c r="AC4" s="121"/>
      <c r="AD4" s="121"/>
      <c r="AE4" s="121"/>
      <c r="AF4" s="121"/>
      <c r="AG4" s="144"/>
      <c r="AH4" s="125"/>
    </row>
    <row r="5" spans="1:60" ht="15.5" thickTop="1" thickBot="1">
      <c r="A5" s="148"/>
      <c r="B5" s="2060" t="s">
        <v>2</v>
      </c>
      <c r="C5" s="2058" t="str">
        <f>SETUP!$E$6</f>
        <v>HIV</v>
      </c>
      <c r="D5" s="2058"/>
      <c r="E5" s="2058"/>
      <c r="F5" s="116"/>
      <c r="G5" s="2073" t="s">
        <v>3</v>
      </c>
      <c r="H5" s="2075">
        <f>SETUP!E7</f>
        <v>0</v>
      </c>
      <c r="I5" s="2075"/>
      <c r="J5" s="2282"/>
      <c r="K5" s="136"/>
      <c r="L5" s="472" t="str">
        <f>SUBSTITUTE(SUBSTITUTE(SUBSTITUTE(SUBSTITUTE(SUBSTITUTE(SUBSTITUTE(SUBSTITUTE(SUBSTITUTE(SUBSTITUTE(SUBSTITUTE(SUBSTITUTE(A49,",",""),":",""),"/"," "),"(",""),")",""),"-"," "),"  "," ")," ","_"),"&amp;",""),"__","_"),"+","_")</f>
        <v/>
      </c>
      <c r="M5" s="121"/>
      <c r="N5" s="121"/>
      <c r="O5" s="121"/>
      <c r="P5" s="121"/>
      <c r="Q5" s="121"/>
      <c r="R5" s="121"/>
      <c r="S5" s="121"/>
      <c r="T5" s="121"/>
      <c r="U5" s="121"/>
      <c r="V5" s="121"/>
      <c r="W5" s="121"/>
      <c r="X5" s="121"/>
      <c r="Y5" s="121"/>
      <c r="Z5" s="121"/>
      <c r="AA5" s="121"/>
      <c r="AB5" s="121"/>
      <c r="AC5" s="121"/>
      <c r="AD5" s="121"/>
      <c r="AE5" s="121"/>
      <c r="AF5" s="121"/>
      <c r="AG5" s="144"/>
      <c r="AH5" s="121"/>
    </row>
    <row r="6" spans="1:60" ht="15.5" thickTop="1" thickBot="1">
      <c r="A6" s="149"/>
      <c r="B6" s="2061"/>
      <c r="C6" s="2153"/>
      <c r="D6" s="2153"/>
      <c r="E6" s="2153"/>
      <c r="F6" s="118"/>
      <c r="G6" s="2277"/>
      <c r="H6" s="2153"/>
      <c r="I6" s="2153"/>
      <c r="J6" s="2283"/>
      <c r="K6" s="136"/>
      <c r="L6" s="136"/>
      <c r="M6" s="121"/>
      <c r="N6" s="121"/>
      <c r="O6" s="121"/>
      <c r="P6" s="121"/>
      <c r="Q6" s="121"/>
      <c r="R6" s="121"/>
      <c r="S6" s="121"/>
      <c r="T6" s="121"/>
      <c r="U6" s="121"/>
      <c r="V6" s="121"/>
      <c r="W6" s="121"/>
      <c r="X6" s="121"/>
      <c r="Y6" s="121"/>
      <c r="Z6" s="121"/>
      <c r="AA6" s="121"/>
      <c r="AB6" s="121"/>
      <c r="AC6" s="121"/>
      <c r="AD6" s="121"/>
      <c r="AE6" s="121"/>
      <c r="AF6" s="121"/>
      <c r="AG6" s="144"/>
      <c r="AH6" s="121"/>
    </row>
    <row r="7" spans="1:60" ht="15" thickBot="1">
      <c r="A7" s="119"/>
      <c r="B7" s="119"/>
      <c r="C7" s="119"/>
      <c r="D7" s="119"/>
      <c r="E7" s="119"/>
      <c r="F7" s="119"/>
      <c r="G7" s="119"/>
      <c r="H7" s="119"/>
      <c r="I7" s="119"/>
      <c r="J7" s="119"/>
      <c r="K7" s="140"/>
      <c r="L7" s="140"/>
      <c r="M7" s="140"/>
      <c r="N7" s="121"/>
      <c r="O7" s="121"/>
      <c r="P7" s="121"/>
      <c r="Q7" s="121"/>
      <c r="R7" s="121"/>
      <c r="S7" s="121"/>
      <c r="T7" s="121"/>
      <c r="U7" s="121"/>
      <c r="V7" s="121"/>
      <c r="W7" s="121"/>
      <c r="X7" s="121"/>
      <c r="Y7" s="121"/>
      <c r="Z7" s="121"/>
      <c r="AA7" s="121"/>
      <c r="AB7" s="121"/>
      <c r="AC7" s="121"/>
      <c r="AD7" s="121"/>
      <c r="AE7" s="121"/>
      <c r="AF7" s="121"/>
      <c r="AG7" s="144"/>
      <c r="AH7" s="121"/>
    </row>
    <row r="8" spans="1:60" ht="15" customHeight="1" thickBot="1">
      <c r="A8" s="2134">
        <v>1</v>
      </c>
      <c r="B8" s="2136" t="s">
        <v>227</v>
      </c>
      <c r="C8" s="2136"/>
      <c r="D8" s="2136"/>
      <c r="E8" s="2154" t="s">
        <v>228</v>
      </c>
      <c r="F8" s="2154"/>
      <c r="G8" s="2155"/>
      <c r="H8" s="2138" t="s">
        <v>229</v>
      </c>
      <c r="I8" s="2042" t="s">
        <v>230</v>
      </c>
      <c r="J8" s="2215" t="s">
        <v>231</v>
      </c>
      <c r="K8" s="2138"/>
      <c r="L8" s="140"/>
      <c r="M8" s="140"/>
      <c r="N8" s="121"/>
      <c r="O8" s="150"/>
      <c r="P8" s="150"/>
      <c r="Q8" s="121"/>
      <c r="R8" s="121"/>
      <c r="S8" s="121"/>
      <c r="T8" s="121"/>
      <c r="U8" s="121"/>
      <c r="V8" s="121"/>
      <c r="W8" s="121"/>
      <c r="X8" s="121"/>
      <c r="Y8" s="121"/>
      <c r="Z8" s="121"/>
      <c r="AA8" s="121"/>
      <c r="AB8" s="121"/>
      <c r="AC8" s="121"/>
      <c r="AD8" s="121"/>
      <c r="AE8" s="121"/>
      <c r="AF8" s="121"/>
      <c r="AG8" s="144"/>
      <c r="AH8" s="121"/>
    </row>
    <row r="9" spans="1:60" ht="15" customHeight="1" thickBot="1">
      <c r="A9" s="2135"/>
      <c r="B9" s="2137"/>
      <c r="C9" s="2137"/>
      <c r="D9" s="2137"/>
      <c r="E9" s="2140" t="s">
        <v>232</v>
      </c>
      <c r="F9" s="2140"/>
      <c r="G9" s="2141"/>
      <c r="H9" s="2139"/>
      <c r="I9" s="2043"/>
      <c r="J9" s="2216"/>
      <c r="K9" s="2139"/>
      <c r="L9" s="140"/>
      <c r="M9" s="140"/>
      <c r="N9" s="121"/>
      <c r="O9" s="150"/>
      <c r="P9" s="150"/>
      <c r="Q9" s="121"/>
      <c r="R9" s="121"/>
      <c r="S9" s="121"/>
      <c r="T9" s="121"/>
      <c r="U9" s="121"/>
      <c r="V9" s="121"/>
      <c r="W9" s="121"/>
      <c r="X9" s="121"/>
      <c r="Y9" s="121"/>
      <c r="Z9" s="121"/>
      <c r="AA9" s="121"/>
      <c r="AB9" s="121"/>
      <c r="AC9" s="121"/>
      <c r="AD9" s="121"/>
      <c r="AE9" s="121"/>
      <c r="AF9" s="121"/>
      <c r="AG9" s="144"/>
      <c r="AH9" s="121"/>
    </row>
    <row r="10" spans="1:60" s="153" customFormat="1" ht="101.25" customHeight="1" thickBot="1">
      <c r="A10" s="2311" t="s">
        <v>6902</v>
      </c>
      <c r="B10" s="2312"/>
      <c r="C10" s="2312"/>
      <c r="D10" s="2312"/>
      <c r="E10" s="2312"/>
      <c r="F10" s="2312"/>
      <c r="G10" s="2312"/>
      <c r="H10" s="2312"/>
      <c r="I10" s="2312"/>
      <c r="J10" s="2312"/>
      <c r="K10" s="2312"/>
      <c r="L10" s="2312"/>
      <c r="M10" s="2312"/>
      <c r="N10" s="1712"/>
      <c r="O10" s="150"/>
      <c r="P10" s="150"/>
      <c r="Q10" s="150"/>
      <c r="R10" s="150"/>
      <c r="S10" s="150"/>
      <c r="T10" s="150"/>
      <c r="U10" s="150"/>
      <c r="V10" s="150"/>
      <c r="W10" s="150"/>
      <c r="X10" s="150"/>
      <c r="Y10" s="150"/>
      <c r="Z10" s="150"/>
      <c r="AA10" s="150"/>
      <c r="AB10" s="150"/>
      <c r="AC10" s="150"/>
      <c r="AD10" s="150"/>
      <c r="AE10" s="150"/>
      <c r="AF10" s="150"/>
      <c r="AG10" s="151"/>
      <c r="AH10" s="152"/>
    </row>
    <row r="11" spans="1:60" s="153" customFormat="1" ht="16" thickBot="1">
      <c r="A11" s="154"/>
      <c r="B11" s="155"/>
      <c r="C11" s="155"/>
      <c r="D11" s="156"/>
      <c r="E11" s="156"/>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7"/>
      <c r="AH11" s="152"/>
      <c r="AV11" s="426"/>
      <c r="AW11" s="2103" t="s">
        <v>1540</v>
      </c>
      <c r="AX11" s="2103"/>
      <c r="AY11" s="2103"/>
      <c r="AZ11" s="2103"/>
      <c r="BA11" s="2103"/>
      <c r="BB11" s="2103"/>
      <c r="BC11" s="2103"/>
      <c r="BD11" s="2103"/>
      <c r="BE11" s="2103"/>
      <c r="BF11" s="2103"/>
      <c r="BG11" s="2103"/>
      <c r="BH11" s="2103"/>
    </row>
    <row r="12" spans="1:60" s="345" customFormat="1" ht="15" thickBot="1">
      <c r="A12" s="2116" t="s">
        <v>1233</v>
      </c>
      <c r="B12" s="2118"/>
      <c r="C12" s="2118"/>
      <c r="D12" s="2118"/>
      <c r="E12" s="2116" t="s">
        <v>196</v>
      </c>
      <c r="F12" s="2118"/>
      <c r="G12" s="2118"/>
      <c r="H12" s="2118"/>
      <c r="I12" s="2116" t="s">
        <v>233</v>
      </c>
      <c r="J12" s="2118"/>
      <c r="K12" s="2166"/>
      <c r="L12" s="2285" t="s">
        <v>151</v>
      </c>
      <c r="M12" s="2236" t="s">
        <v>49</v>
      </c>
      <c r="N12" s="2131" t="str">
        <f>IF(ISBLANK(IMP_ST_DATE),"Please fill setup",IF(MO_CHECK&gt;3,"Y1",YEAR(IMP_ST_DATE)))</f>
        <v>Please fill setup</v>
      </c>
      <c r="O12" s="2129"/>
      <c r="P12" s="2129"/>
      <c r="Q12" s="2129"/>
      <c r="R12" s="2129"/>
      <c r="S12" s="2129"/>
      <c r="T12" s="2131"/>
      <c r="U12" s="2128" t="str">
        <f>IF(N12="Y1","Y2",IF(ISBLANK(IMP_ST_DATE),"Please fill setup",YEAR(IMP_ST_DATE)+1))</f>
        <v>Please fill setup</v>
      </c>
      <c r="V12" s="2129"/>
      <c r="W12" s="2129"/>
      <c r="X12" s="2129"/>
      <c r="Y12" s="2129"/>
      <c r="Z12" s="2129"/>
      <c r="AA12" s="2130"/>
      <c r="AB12" s="2128" t="str">
        <f>IF(N12="Y1","Y3",IF(ISBLANK(IMP_ST_DATE),"Please fill setup",YEAR(IMP_ST_DATE)+2))</f>
        <v>Please fill setup</v>
      </c>
      <c r="AC12" s="2129"/>
      <c r="AD12" s="2129"/>
      <c r="AE12" s="2129"/>
      <c r="AF12" s="2129"/>
      <c r="AG12" s="2129"/>
      <c r="AH12" s="2130"/>
      <c r="AI12" s="2116" t="s">
        <v>152</v>
      </c>
      <c r="AJ12" s="2166"/>
      <c r="AK12" s="544" t="s">
        <v>153</v>
      </c>
      <c r="AL12" s="2167" t="s">
        <v>6865</v>
      </c>
      <c r="AV12" s="427"/>
      <c r="AW12" s="2165">
        <f>YEAR(IMP_ST_DATE)</f>
        <v>1900</v>
      </c>
      <c r="AX12" s="2165"/>
      <c r="AY12" s="2165"/>
      <c r="AZ12" s="2165"/>
      <c r="BA12" s="2165">
        <f>YEAR(IMP_ST_DATE)+1</f>
        <v>1901</v>
      </c>
      <c r="BB12" s="2165"/>
      <c r="BC12" s="2165"/>
      <c r="BD12" s="2165"/>
      <c r="BE12" s="2165">
        <f>YEAR(IMP_ST_DATE)+2</f>
        <v>1902</v>
      </c>
      <c r="BF12" s="2165"/>
      <c r="BG12" s="2165"/>
      <c r="BH12" s="2165"/>
    </row>
    <row r="13" spans="1:60" s="409" customFormat="1" ht="26.5" thickBot="1">
      <c r="A13" s="2182"/>
      <c r="B13" s="2180"/>
      <c r="C13" s="2180"/>
      <c r="D13" s="2180"/>
      <c r="E13" s="2182"/>
      <c r="F13" s="2180"/>
      <c r="G13" s="2180"/>
      <c r="H13" s="2180"/>
      <c r="I13" s="2182"/>
      <c r="J13" s="2180"/>
      <c r="K13" s="2244"/>
      <c r="L13" s="2286"/>
      <c r="M13" s="2237"/>
      <c r="N13" s="1000" t="s">
        <v>198</v>
      </c>
      <c r="O13" s="545" t="s">
        <v>155</v>
      </c>
      <c r="P13" s="545" t="s">
        <v>156</v>
      </c>
      <c r="Q13" s="545" t="s">
        <v>157</v>
      </c>
      <c r="R13" s="545" t="s">
        <v>158</v>
      </c>
      <c r="S13" s="545" t="s">
        <v>159</v>
      </c>
      <c r="T13" s="1003" t="s">
        <v>160</v>
      </c>
      <c r="U13" s="1000" t="s">
        <v>161</v>
      </c>
      <c r="V13" s="545" t="s">
        <v>162</v>
      </c>
      <c r="W13" s="545" t="s">
        <v>163</v>
      </c>
      <c r="X13" s="545" t="s">
        <v>164</v>
      </c>
      <c r="Y13" s="545" t="s">
        <v>165</v>
      </c>
      <c r="Z13" s="545" t="s">
        <v>166</v>
      </c>
      <c r="AA13" s="1000" t="s">
        <v>167</v>
      </c>
      <c r="AB13" s="1006" t="s">
        <v>168</v>
      </c>
      <c r="AC13" s="545" t="s">
        <v>169</v>
      </c>
      <c r="AD13" s="545" t="s">
        <v>170</v>
      </c>
      <c r="AE13" s="545" t="s">
        <v>171</v>
      </c>
      <c r="AF13" s="545" t="s">
        <v>172</v>
      </c>
      <c r="AG13" s="545" t="s">
        <v>173</v>
      </c>
      <c r="AH13" s="1000" t="s">
        <v>174</v>
      </c>
      <c r="AI13" s="158" t="s">
        <v>175</v>
      </c>
      <c r="AJ13" s="1007" t="s">
        <v>176</v>
      </c>
      <c r="AK13" s="159" t="s">
        <v>177</v>
      </c>
      <c r="AL13" s="2168"/>
      <c r="AV13" s="431"/>
      <c r="AW13" s="432" t="s">
        <v>1528</v>
      </c>
      <c r="AX13" s="432" t="s">
        <v>1529</v>
      </c>
      <c r="AY13" s="432" t="s">
        <v>1530</v>
      </c>
      <c r="AZ13" s="432" t="s">
        <v>1531</v>
      </c>
      <c r="BA13" s="432" t="s">
        <v>1532</v>
      </c>
      <c r="BB13" s="432" t="s">
        <v>1533</v>
      </c>
      <c r="BC13" s="432" t="s">
        <v>1535</v>
      </c>
      <c r="BD13" s="432" t="s">
        <v>1536</v>
      </c>
      <c r="BE13" s="432" t="s">
        <v>1537</v>
      </c>
      <c r="BF13" s="432" t="s">
        <v>1538</v>
      </c>
      <c r="BG13" s="432" t="s">
        <v>1534</v>
      </c>
      <c r="BH13" s="432" t="s">
        <v>1539</v>
      </c>
    </row>
    <row r="14" spans="1:60" s="249" customFormat="1">
      <c r="A14" s="2217"/>
      <c r="B14" s="2210"/>
      <c r="C14" s="2210"/>
      <c r="D14" s="2210"/>
      <c r="E14" s="2274"/>
      <c r="F14" s="2275"/>
      <c r="G14" s="2275"/>
      <c r="H14" s="2275"/>
      <c r="I14" s="2278"/>
      <c r="J14" s="2275"/>
      <c r="K14" s="2279"/>
      <c r="L14" s="250" t="str">
        <f>IF(E14="Female Condom","Piece",IF(AND(E14="Male Condom", ISNUMBER(SEARCH("mm",I14))),"Group",IF(AND(E14="Male Condom", ISNUMBER(SEARCH("other",I14))),"Piece",IF(AND(E14="Lubricant", ISNUMBER(SEARCH("tube",I14))),"Piece",IF(AND(E14="Lubricant", ISNUMBER(SEARCH("sachets",I14))),"Pack","")))))</f>
        <v/>
      </c>
      <c r="M14" s="1521" t="str">
        <f>IF(L14="", "","USD")</f>
        <v/>
      </c>
      <c r="N14" s="1001"/>
      <c r="O14" s="35"/>
      <c r="P14" s="35"/>
      <c r="Q14" s="35"/>
      <c r="R14" s="35"/>
      <c r="S14" s="38">
        <f>SUM(Table69[[#This Row],[Y1 Q1 quantity]:[Y1 Q4 quantity]])</f>
        <v>0</v>
      </c>
      <c r="T14" s="1004">
        <f>Table69[[#This Row],[Y1 Unit cost]]*Table69[[#This Row],[Y1 Total quantity]]</f>
        <v>0</v>
      </c>
      <c r="U14" s="1001"/>
      <c r="V14" s="35"/>
      <c r="W14" s="35"/>
      <c r="X14" s="35"/>
      <c r="Y14" s="35"/>
      <c r="Z14" s="38">
        <f>SUM(Table69[[#This Row],[Y2 Q1 quantity]:[Y2 Q4 quantity]])</f>
        <v>0</v>
      </c>
      <c r="AA14" s="1004">
        <f>Table69[[#This Row],[Y2 Unit cost]]*Table69[[#This Row],[Y2 Total quantity]]</f>
        <v>0</v>
      </c>
      <c r="AB14" s="1001"/>
      <c r="AC14" s="35"/>
      <c r="AD14" s="35"/>
      <c r="AE14" s="35"/>
      <c r="AF14" s="35"/>
      <c r="AG14" s="38">
        <f>SUM(Table69[[#This Row],[Y3 Q1 quantity]:[Y3 Q4 quantity]])</f>
        <v>0</v>
      </c>
      <c r="AH14" s="1004">
        <f>Table69[[#This Row],[Y3 Unit cost]]*Table69[[#This Row],[Y3 Total quantity]]</f>
        <v>0</v>
      </c>
      <c r="AI14" s="38">
        <f>Table69[[#This Row],[Y1 Total quantity]]+Table69[[#This Row],[Y2 Total quantity]]+Table69[[#This Row],[Y3 Total quantity]]</f>
        <v>0</v>
      </c>
      <c r="AJ14" s="1004">
        <f>Table69[[#This Row],[Y1 Total cost]]+Table69[[#This Row],[Y2 Total cost]]+Table69[[#This Row],[Y3 Total cost]]</f>
        <v>0</v>
      </c>
      <c r="AK14" s="42" t="str">
        <f t="shared" ref="AK14:AK40" si="0">IF(ISBLANK(A14),"",IF(ISNUMBER(SEARCH("Lubricant",E14)),"5.8",IF(ISNUMBER(SEARCH("Female",E14)),"5.3","5.2")))</f>
        <v/>
      </c>
      <c r="AL14" s="1228"/>
      <c r="AV14" s="436" t="s">
        <v>822</v>
      </c>
      <c r="AW14" s="436">
        <f>SUMPRODUCT(($A$14:$A$40="Condoms")*($N$14:$N$40)*((O14:O40)))</f>
        <v>0</v>
      </c>
      <c r="AX14" s="436">
        <f>SUMPRODUCT(($A$14:$A$40="Condoms")*($N$14:$N$40)*((P14:P40)))</f>
        <v>0</v>
      </c>
      <c r="AY14" s="436">
        <f>SUMPRODUCT(($A$14:$A$40="Condoms")*($N$14:$N$40)*((Q14:Q40)))</f>
        <v>0</v>
      </c>
      <c r="AZ14" s="436">
        <f>SUMPRODUCT(($A$14:$A$40="Condoms")*($N$14:$N$40)*((R14:R40)))</f>
        <v>0</v>
      </c>
      <c r="BA14" s="436">
        <f>SUMPRODUCT(($A$14:$A$40="Condoms")*($U$14:$U$40)*((V14:V40)))</f>
        <v>0</v>
      </c>
      <c r="BB14" s="436">
        <f>SUMPRODUCT(($A$14:$A$40="Condoms")*($U$14:$U$40)*((W14:W40)))</f>
        <v>0</v>
      </c>
      <c r="BC14" s="436">
        <f>SUMPRODUCT(($A$14:$A$40="Condoms")*($U$14:$U$40)*((X14:X40)))</f>
        <v>0</v>
      </c>
      <c r="BD14" s="436">
        <f>SUMPRODUCT(($A$14:$A$40="Condoms")*($U$14:$U$40)*((Y14:Y40)))</f>
        <v>0</v>
      </c>
      <c r="BE14" s="436">
        <f>SUMPRODUCT(($A$14:$A$40="Condoms")*($AB$14:$AB$40)*((AC14:AC40)))</f>
        <v>0</v>
      </c>
      <c r="BF14" s="436">
        <f>SUMPRODUCT(($A$14:$A$40="Condoms")*($AB$14:$AB$40)*((AD14:AD40)))</f>
        <v>0</v>
      </c>
      <c r="BG14" s="436">
        <f>SUMPRODUCT(($A$14:$A$40="Condoms")*($AB$14:$AB$40)*((AE14:AE40)))</f>
        <v>0</v>
      </c>
      <c r="BH14" s="436">
        <f>SUMPRODUCT(($A$14:$A$40="Condoms")*($AB$14:$AB$40)*((AF14:AF40)))</f>
        <v>0</v>
      </c>
    </row>
    <row r="15" spans="1:60" s="249" customFormat="1">
      <c r="A15" s="2222"/>
      <c r="B15" s="2223"/>
      <c r="C15" s="2223"/>
      <c r="D15" s="2223"/>
      <c r="E15" s="2276"/>
      <c r="F15" s="2254"/>
      <c r="G15" s="2254"/>
      <c r="H15" s="2254"/>
      <c r="I15" s="2253"/>
      <c r="J15" s="2254"/>
      <c r="K15" s="2255"/>
      <c r="L15" s="251" t="str">
        <f t="shared" ref="L15:L40" si="1">IF(E15="Female Condom","Piece",IF(AND(E15="Male Condom", ISNUMBER(SEARCH("mm",I15))),"Group",IF(AND(E15="Male Condom", ISNUMBER(SEARCH("other",I15))),"Piece",IF(AND(E15="Lubricant", ISNUMBER(SEARCH("tube",I15))),"Piece",IF(AND(E15="Lubricant", ISNUMBER(SEARCH("sachets",I15))),"Pack","")))))</f>
        <v/>
      </c>
      <c r="M15" s="1522" t="str">
        <f>IF(L15="", "","USD")</f>
        <v/>
      </c>
      <c r="N15" s="1002"/>
      <c r="O15" s="36"/>
      <c r="P15" s="36"/>
      <c r="Q15" s="36"/>
      <c r="R15" s="36"/>
      <c r="S15" s="39">
        <f>SUM(Table69[[#This Row],[Y1 Q1 quantity]:[Y1 Q4 quantity]])</f>
        <v>0</v>
      </c>
      <c r="T15" s="1005">
        <f>Table69[[#This Row],[Y1 Unit cost]]*Table69[[#This Row],[Y1 Total quantity]]</f>
        <v>0</v>
      </c>
      <c r="U15" s="1002"/>
      <c r="V15" s="36"/>
      <c r="W15" s="36"/>
      <c r="X15" s="36"/>
      <c r="Y15" s="36"/>
      <c r="Z15" s="39">
        <f>SUM(Table69[[#This Row],[Y2 Q1 quantity]:[Y2 Q4 quantity]])</f>
        <v>0</v>
      </c>
      <c r="AA15" s="1005">
        <f>Table69[[#This Row],[Y2 Unit cost]]*Table69[[#This Row],[Y2 Total quantity]]</f>
        <v>0</v>
      </c>
      <c r="AB15" s="1002"/>
      <c r="AC15" s="36"/>
      <c r="AD15" s="36"/>
      <c r="AE15" s="36"/>
      <c r="AF15" s="36"/>
      <c r="AG15" s="39">
        <f>SUM(Table69[[#This Row],[Y3 Q1 quantity]:[Y3 Q4 quantity]])</f>
        <v>0</v>
      </c>
      <c r="AH15" s="1005">
        <f>Table69[[#This Row],[Y3 Unit cost]]*Table69[[#This Row],[Y3 Total quantity]]</f>
        <v>0</v>
      </c>
      <c r="AI15" s="39">
        <f>Table69[[#This Row],[Y1 Total quantity]]+Table69[[#This Row],[Y2 Total quantity]]+Table69[[#This Row],[Y3 Total quantity]]</f>
        <v>0</v>
      </c>
      <c r="AJ15" s="1005">
        <f>Table69[[#This Row],[Y1 Total cost]]+Table69[[#This Row],[Y2 Total cost]]+Table69[[#This Row],[Y3 Total cost]]</f>
        <v>0</v>
      </c>
      <c r="AK15" s="43" t="str">
        <f t="shared" si="0"/>
        <v/>
      </c>
      <c r="AL15" s="1227"/>
      <c r="AV15" s="436" t="s">
        <v>232</v>
      </c>
      <c r="AW15" s="436">
        <f>SUMPRODUCT(($A$14:$A$40="Lubricants")*($N$14:$N$40)*((O14:O40)))</f>
        <v>0</v>
      </c>
      <c r="AX15" s="436">
        <f>SUMPRODUCT(($A$14:$A$40="Lubricants")*($N$14:$N$40)*((P14:P40)))</f>
        <v>0</v>
      </c>
      <c r="AY15" s="436">
        <f>SUMPRODUCT(($A$14:$A$40="Lubricants")*($N$14:$N$40)*((Q14:Q40)))</f>
        <v>0</v>
      </c>
      <c r="AZ15" s="436">
        <f>SUMPRODUCT(($A$14:$A$40="Lubricants")*($N$14:$N$40)*((R14:R40)))</f>
        <v>0</v>
      </c>
      <c r="BA15" s="436">
        <f>SUMPRODUCT(($A$14:$A$40="Lubricants")*($U$14:$U$40)*((V14:V40)))</f>
        <v>0</v>
      </c>
      <c r="BB15" s="436">
        <f>SUMPRODUCT(($A$14:$A$40="Lubricants")*($U$14:$U$40)*((W14:W40)))</f>
        <v>0</v>
      </c>
      <c r="BC15" s="436">
        <f>SUMPRODUCT(($A$14:$A$40="Lubricants")*($U$14:$U$40)*((X14:X40)))</f>
        <v>0</v>
      </c>
      <c r="BD15" s="436">
        <f>SUMPRODUCT(($A$14:$A$40="Lubricants")*($U$14:$U$40)*((Y14:Y40)))</f>
        <v>0</v>
      </c>
      <c r="BE15" s="436">
        <f>SUMPRODUCT(($A$14:$A$40="Lubricants")*($AB$14:$AB$40)*((AC14:AC40)))</f>
        <v>0</v>
      </c>
      <c r="BF15" s="436">
        <f>SUMPRODUCT(($A$14:$A$40="Lubricants")*($AB$14:$AB$40)*((AD14:AD40)))</f>
        <v>0</v>
      </c>
      <c r="BG15" s="436">
        <f>SUMPRODUCT(($A$14:$A$40="Lubricants")*($AB$14:$AB$40)*((AE14:AE40)))</f>
        <v>0</v>
      </c>
      <c r="BH15" s="436">
        <f>SUMPRODUCT(($A$14:$A$40="Lubricants")*($AB$14:$AB$40)*((AF14:AF40)))</f>
        <v>0</v>
      </c>
    </row>
    <row r="16" spans="1:60" s="249" customFormat="1">
      <c r="A16" s="2217"/>
      <c r="B16" s="2210"/>
      <c r="C16" s="2210"/>
      <c r="D16" s="2210"/>
      <c r="E16" s="2209"/>
      <c r="F16" s="2210"/>
      <c r="G16" s="2210"/>
      <c r="H16" s="2210"/>
      <c r="I16" s="2217"/>
      <c r="J16" s="2210"/>
      <c r="K16" s="2218"/>
      <c r="L16" s="250" t="str">
        <f t="shared" si="1"/>
        <v/>
      </c>
      <c r="M16" s="1521" t="str">
        <f>IF(L16="", "","USD")</f>
        <v/>
      </c>
      <c r="N16" s="1001"/>
      <c r="O16" s="35"/>
      <c r="P16" s="35"/>
      <c r="Q16" s="35"/>
      <c r="R16" s="35"/>
      <c r="S16" s="38">
        <f>SUM(Table69[[#This Row],[Y1 Q1 quantity]:[Y1 Q4 quantity]])</f>
        <v>0</v>
      </c>
      <c r="T16" s="1004">
        <f>Table69[[#This Row],[Y1 Unit cost]]*Table69[[#This Row],[Y1 Total quantity]]</f>
        <v>0</v>
      </c>
      <c r="U16" s="1001"/>
      <c r="V16" s="35"/>
      <c r="W16" s="35"/>
      <c r="X16" s="35"/>
      <c r="Y16" s="35"/>
      <c r="Z16" s="38">
        <f>SUM(Table69[[#This Row],[Y2 Q1 quantity]:[Y2 Q4 quantity]])</f>
        <v>0</v>
      </c>
      <c r="AA16" s="1004">
        <f>Table69[[#This Row],[Y2 Unit cost]]*Table69[[#This Row],[Y2 Total quantity]]</f>
        <v>0</v>
      </c>
      <c r="AB16" s="1001"/>
      <c r="AC16" s="35"/>
      <c r="AD16" s="35"/>
      <c r="AE16" s="35"/>
      <c r="AF16" s="35"/>
      <c r="AG16" s="38">
        <f>SUM(Table69[[#This Row],[Y3 Q1 quantity]:[Y3 Q4 quantity]])</f>
        <v>0</v>
      </c>
      <c r="AH16" s="1004">
        <f>Table69[[#This Row],[Y3 Unit cost]]*Table69[[#This Row],[Y3 Total quantity]]</f>
        <v>0</v>
      </c>
      <c r="AI16" s="38">
        <f>Table69[[#This Row],[Y1 Total quantity]]+Table69[[#This Row],[Y2 Total quantity]]+Table69[[#This Row],[Y3 Total quantity]]</f>
        <v>0</v>
      </c>
      <c r="AJ16" s="1004">
        <f>Table69[[#This Row],[Y1 Total cost]]+Table69[[#This Row],[Y2 Total cost]]+Table69[[#This Row],[Y3 Total cost]]</f>
        <v>0</v>
      </c>
      <c r="AK16" s="42" t="str">
        <f t="shared" si="0"/>
        <v/>
      </c>
      <c r="AL16" s="1228"/>
      <c r="AV16" s="436" t="s">
        <v>566</v>
      </c>
      <c r="AW16" s="436">
        <f>SUMPRODUCT(($A$49:$A$74="RDTs for HIV")*($N$49:$N$74)*((O49:O74)))</f>
        <v>0</v>
      </c>
      <c r="AX16" s="436">
        <f>SUMPRODUCT(($A$49:$A$74="RDTs for HIV")*($N$49:$N$74)*((P49:P74)))</f>
        <v>0</v>
      </c>
      <c r="AY16" s="436">
        <f>SUMPRODUCT(($A$49:$A$74="RDTs for HIV")*($N$49:$N$74)*((Q49:Q74)))</f>
        <v>0</v>
      </c>
      <c r="AZ16" s="436">
        <f>SUMPRODUCT(($A$49:$A$74="RDTs for HIV")*($N$49:$N$74)*((R49:R74)))</f>
        <v>0</v>
      </c>
      <c r="BA16" s="436">
        <f>SUMPRODUCT(($A$49:$A$74="RDTs for HIV")*($U$49:$U$74)*((V49:V74)))</f>
        <v>0</v>
      </c>
      <c r="BB16" s="436">
        <f>SUMPRODUCT(($A$49:$A$74="RDTs for HIV")*($U$49:$U$74)*((W49:W74)))</f>
        <v>0</v>
      </c>
      <c r="BC16" s="436">
        <f>SUMPRODUCT(($A$49:$A$74="RDTs for HIV")*($U$49:$U$74)*((X49:X74)))</f>
        <v>0</v>
      </c>
      <c r="BD16" s="436">
        <f>SUMPRODUCT(($A$49:$A$74="RDTs for HIV")*($U$49:$U$74)*((Y49:Y74)))</f>
        <v>0</v>
      </c>
      <c r="BE16" s="436">
        <f>SUMPRODUCT(($A$49:$A$74="RDTs for HIV")*($AB$49:$AB$74)*((AC49:AC74)))</f>
        <v>0</v>
      </c>
      <c r="BF16" s="436">
        <f>SUMPRODUCT(($A$49:$A$74="RDTs for HIV")*($AB$49:$AB$74)*((AD49:AD74)))</f>
        <v>0</v>
      </c>
      <c r="BG16" s="436">
        <f>SUMPRODUCT(($A$49:$A$74="RDTs for HIV")*($AB$49:$AB$74)*((AE49:AE74)))</f>
        <v>0</v>
      </c>
      <c r="BH16" s="436">
        <f>SUMPRODUCT(($A$49:$A$74="RDTs for HIV")*($AB$49:$AB$74)*((AF49:AF74)))</f>
        <v>0</v>
      </c>
    </row>
    <row r="17" spans="1:60" s="249" customFormat="1">
      <c r="A17" s="2222"/>
      <c r="B17" s="2223"/>
      <c r="C17" s="2223"/>
      <c r="D17" s="2223"/>
      <c r="E17" s="2226"/>
      <c r="F17" s="2223"/>
      <c r="G17" s="2223"/>
      <c r="H17" s="2223"/>
      <c r="I17" s="2222"/>
      <c r="J17" s="2223"/>
      <c r="K17" s="2238"/>
      <c r="L17" s="251" t="str">
        <f t="shared" si="1"/>
        <v/>
      </c>
      <c r="M17" s="1523" t="str">
        <f t="shared" ref="M17:M40" si="2">IF(L17="", "","USD")</f>
        <v/>
      </c>
      <c r="N17" s="1002"/>
      <c r="O17" s="36"/>
      <c r="P17" s="36"/>
      <c r="Q17" s="36"/>
      <c r="R17" s="36"/>
      <c r="S17" s="39">
        <f>SUM(Table69[[#This Row],[Y1 Q1 quantity]:[Y1 Q4 quantity]])</f>
        <v>0</v>
      </c>
      <c r="T17" s="1005">
        <f>Table69[[#This Row],[Y1 Unit cost]]*Table69[[#This Row],[Y1 Total quantity]]</f>
        <v>0</v>
      </c>
      <c r="U17" s="1002"/>
      <c r="V17" s="36"/>
      <c r="W17" s="36"/>
      <c r="X17" s="36"/>
      <c r="Y17" s="36"/>
      <c r="Z17" s="39">
        <f>SUM(Table69[[#This Row],[Y2 Q1 quantity]:[Y2 Q4 quantity]])</f>
        <v>0</v>
      </c>
      <c r="AA17" s="1005">
        <f>Table69[[#This Row],[Y2 Unit cost]]*Table69[[#This Row],[Y2 Total quantity]]</f>
        <v>0</v>
      </c>
      <c r="AB17" s="1002"/>
      <c r="AC17" s="36"/>
      <c r="AD17" s="36"/>
      <c r="AE17" s="36"/>
      <c r="AF17" s="36"/>
      <c r="AG17" s="39">
        <f>SUM(Table69[[#This Row],[Y3 Q1 quantity]:[Y3 Q4 quantity]])</f>
        <v>0</v>
      </c>
      <c r="AH17" s="1005">
        <f>Table69[[#This Row],[Y3 Unit cost]]*Table69[[#This Row],[Y3 Total quantity]]</f>
        <v>0</v>
      </c>
      <c r="AI17" s="39">
        <f>Table69[[#This Row],[Y1 Total quantity]]+Table69[[#This Row],[Y2 Total quantity]]+Table69[[#This Row],[Y3 Total quantity]]</f>
        <v>0</v>
      </c>
      <c r="AJ17" s="1005">
        <f>Table69[[#This Row],[Y1 Total cost]]+Table69[[#This Row],[Y2 Total cost]]+Table69[[#This Row],[Y3 Total cost]]</f>
        <v>0</v>
      </c>
      <c r="AK17" s="43" t="str">
        <f t="shared" si="0"/>
        <v/>
      </c>
      <c r="AL17" s="1227"/>
      <c r="AV17" s="436" t="s">
        <v>1863</v>
      </c>
      <c r="AW17" s="436">
        <f>SUMPRODUCT(($A$49:$A$74="RDTs for TB for HIV program")*($N$49:$N$74)*((O49:O74)))</f>
        <v>0</v>
      </c>
      <c r="AX17" s="436">
        <f>SUMPRODUCT(($A$49:$A$74="RDTs for TB for HIV program")*($N$49:$N$74)*((P49:P74)))</f>
        <v>0</v>
      </c>
      <c r="AY17" s="436">
        <f>SUMPRODUCT(($A$49:$A$74="RDTs for TB for HIV program")*($N$49:$N$74)*((Q49:Q74)))</f>
        <v>0</v>
      </c>
      <c r="AZ17" s="436">
        <f>SUMPRODUCT(($A$49:$A$74="RDTs for TB for HIV program")*($N$49:$N$74)*((R49:R74)))</f>
        <v>0</v>
      </c>
      <c r="BA17" s="436">
        <f>SUMPRODUCT(($A$49:$A$74="RDTs for TB for HIV program")*($U$49:$U$74)*((V49:V74)))</f>
        <v>0</v>
      </c>
      <c r="BB17" s="436">
        <f>SUMPRODUCT(($A$49:$A$74="RDTs for TB for HIV program")*($U$49:$U$74)*((W49:W74)))</f>
        <v>0</v>
      </c>
      <c r="BC17" s="436">
        <f>SUMPRODUCT(($A$49:$A$74="RDTs for TB for HIV program")*($U$49:$U$74)*((X49:X74)))</f>
        <v>0</v>
      </c>
      <c r="BD17" s="436">
        <f>SUMPRODUCT(($A$49:$A$74="RDTs for TB for HIV program")*($U$49:$U$74)*((Y49:Y74)))</f>
        <v>0</v>
      </c>
      <c r="BE17" s="436">
        <f>SUMPRODUCT(($A$49:$A$74="RDTs for TB for HIV program")*($AB$49:$AB$74)*((AC49:AC74)))</f>
        <v>0</v>
      </c>
      <c r="BF17" s="436">
        <f>SUMPRODUCT(($A$49:$A$74="RDTs for TB for HIV program")*($AB$49:$AB$74)*((AD49:AD74)))</f>
        <v>0</v>
      </c>
      <c r="BG17" s="436">
        <f>SUMPRODUCT(($A$49:$A$74="RDTs for TB for HIV program")*($AB$49:$AB$74)*((AE49:AE74)))</f>
        <v>0</v>
      </c>
      <c r="BH17" s="436">
        <f>SUMPRODUCT(($A$49:$A$74="RDTs for TB for HIV program")*($AB$49:$AB$74)*((AF49:AF74)))</f>
        <v>0</v>
      </c>
    </row>
    <row r="18" spans="1:60" s="249" customFormat="1">
      <c r="A18" s="2217"/>
      <c r="B18" s="2210"/>
      <c r="C18" s="2210"/>
      <c r="D18" s="2210"/>
      <c r="E18" s="2209"/>
      <c r="F18" s="2210"/>
      <c r="G18" s="2210"/>
      <c r="H18" s="2210"/>
      <c r="I18" s="2217"/>
      <c r="J18" s="2210"/>
      <c r="K18" s="2218"/>
      <c r="L18" s="250" t="str">
        <f t="shared" si="1"/>
        <v/>
      </c>
      <c r="M18" s="1521" t="str">
        <f t="shared" si="2"/>
        <v/>
      </c>
      <c r="N18" s="1001"/>
      <c r="O18" s="35"/>
      <c r="P18" s="35"/>
      <c r="Q18" s="35"/>
      <c r="R18" s="35"/>
      <c r="S18" s="38">
        <f>SUM(Table69[[#This Row],[Y1 Q1 quantity]:[Y1 Q4 quantity]])</f>
        <v>0</v>
      </c>
      <c r="T18" s="1004">
        <f>Table69[[#This Row],[Y1 Unit cost]]*Table69[[#This Row],[Y1 Total quantity]]</f>
        <v>0</v>
      </c>
      <c r="U18" s="1001"/>
      <c r="V18" s="35"/>
      <c r="W18" s="35"/>
      <c r="X18" s="35"/>
      <c r="Y18" s="35"/>
      <c r="Z18" s="38">
        <f>SUM(Table69[[#This Row],[Y2 Q1 quantity]:[Y2 Q4 quantity]])</f>
        <v>0</v>
      </c>
      <c r="AA18" s="1004">
        <f>Table69[[#This Row],[Y2 Unit cost]]*Table69[[#This Row],[Y2 Total quantity]]</f>
        <v>0</v>
      </c>
      <c r="AB18" s="1001"/>
      <c r="AC18" s="35"/>
      <c r="AD18" s="35"/>
      <c r="AE18" s="35"/>
      <c r="AF18" s="35"/>
      <c r="AG18" s="38">
        <f>SUM(Table69[[#This Row],[Y3 Q1 quantity]:[Y3 Q4 quantity]])</f>
        <v>0</v>
      </c>
      <c r="AH18" s="1004">
        <f>Table69[[#This Row],[Y3 Unit cost]]*Table69[[#This Row],[Y3 Total quantity]]</f>
        <v>0</v>
      </c>
      <c r="AI18" s="38">
        <f>Table69[[#This Row],[Y1 Total quantity]]+Table69[[#This Row],[Y2 Total quantity]]+Table69[[#This Row],[Y3 Total quantity]]</f>
        <v>0</v>
      </c>
      <c r="AJ18" s="1004">
        <f>Table69[[#This Row],[Y1 Total cost]]+Table69[[#This Row],[Y2 Total cost]]+Table69[[#This Row],[Y3 Total cost]]</f>
        <v>0</v>
      </c>
      <c r="AK18" s="42" t="str">
        <f t="shared" si="0"/>
        <v/>
      </c>
      <c r="AL18" s="1228"/>
      <c r="AV18" s="436" t="s">
        <v>1794</v>
      </c>
      <c r="AW18" s="436">
        <f>SUMPRODUCT(($A$49:$A$74="RDTs for STIs, OIs &amp; hepatitis")*($N$49:$N$74)*((O49:O74)))</f>
        <v>0</v>
      </c>
      <c r="AX18" s="436">
        <f>SUMPRODUCT(($A$49:$A$74="RDTs for STIs, OIs &amp; hepatitis")*($N$49:$N$74)*((P49:P74)))</f>
        <v>0</v>
      </c>
      <c r="AY18" s="436">
        <f>SUMPRODUCT(($A$49:$A$74="RDTs for STIs, OIs &amp; hepatitis")*($N$49:$N$74)*((Q49:Q74)))</f>
        <v>0</v>
      </c>
      <c r="AZ18" s="436">
        <f>SUMPRODUCT(($A$49:$A$74="RDTs for STIs, OIs &amp; hepatitis")*($N$49:$N$74)*((R49:R74)))</f>
        <v>0</v>
      </c>
      <c r="BA18" s="436">
        <f>SUMPRODUCT(($A$49:$A$74="RDTs for STIs, OIs &amp; hepatitis")*($U$49:$U$74)*((V49:V74)))</f>
        <v>0</v>
      </c>
      <c r="BB18" s="436">
        <f>SUMPRODUCT(($A$49:$A$74="RDTs for STIs, OIs &amp; hepatitis")*($U$49:$U$74)*((W49:W74)))</f>
        <v>0</v>
      </c>
      <c r="BC18" s="436">
        <f>SUMPRODUCT(($A$49:$A$74="RDTs for STIs, OIs &amp; hepatitis")*($U$49:$U$74)*((X49:X74)))</f>
        <v>0</v>
      </c>
      <c r="BD18" s="436">
        <f>SUMPRODUCT(($A$49:$A$74="RDTs for STIs, OIs &amp; hepatitis")*($U$49:$U$74)*((Y49:Y74)))</f>
        <v>0</v>
      </c>
      <c r="BE18" s="436">
        <f>SUMPRODUCT(($A$49:$A$74="RDTs for STIs, OIs &amp; hepatitis")*($AB$49:$AB$74)*((AC49:AC74)))</f>
        <v>0</v>
      </c>
      <c r="BF18" s="436">
        <f>SUMPRODUCT(($A$49:$A$74="RDTs for STIs, OIs &amp; hepatitis")*($AB$49:$AB$74)*((AD49:AD74)))</f>
        <v>0</v>
      </c>
      <c r="BG18" s="436">
        <f>SUMPRODUCT(($A$49:$A$74="RDTs for STIs, OIs &amp; hepatitis")*($AB$49:$AB$74)*((AE49:AE74)))</f>
        <v>0</v>
      </c>
      <c r="BH18" s="436">
        <f>SUMPRODUCT(($A$49:$A$74="RDTs for STIs, OIs &amp; hepatitis")*($AB$49:$AB$74)*((AF49:AF74)))</f>
        <v>0</v>
      </c>
    </row>
    <row r="19" spans="1:60" s="249" customFormat="1">
      <c r="A19" s="2222"/>
      <c r="B19" s="2223"/>
      <c r="C19" s="2223"/>
      <c r="D19" s="2223"/>
      <c r="E19" s="2226"/>
      <c r="F19" s="2223"/>
      <c r="G19" s="2223"/>
      <c r="H19" s="2223"/>
      <c r="I19" s="2222"/>
      <c r="J19" s="2223"/>
      <c r="K19" s="2238"/>
      <c r="L19" s="251" t="str">
        <f t="shared" si="1"/>
        <v/>
      </c>
      <c r="M19" s="1523" t="str">
        <f t="shared" si="2"/>
        <v/>
      </c>
      <c r="N19" s="1002"/>
      <c r="O19" s="36"/>
      <c r="P19" s="36"/>
      <c r="Q19" s="36"/>
      <c r="R19" s="36"/>
      <c r="S19" s="39">
        <f>SUM(Table69[[#This Row],[Y1 Q1 quantity]:[Y1 Q4 quantity]])</f>
        <v>0</v>
      </c>
      <c r="T19" s="1005">
        <f>Table69[[#This Row],[Y1 Unit cost]]*Table69[[#This Row],[Y1 Total quantity]]</f>
        <v>0</v>
      </c>
      <c r="U19" s="1002"/>
      <c r="V19" s="36"/>
      <c r="W19" s="36"/>
      <c r="X19" s="36"/>
      <c r="Y19" s="36"/>
      <c r="Z19" s="39">
        <f>SUM(Table69[[#This Row],[Y2 Q1 quantity]:[Y2 Q4 quantity]])</f>
        <v>0</v>
      </c>
      <c r="AA19" s="1005">
        <f>Table69[[#This Row],[Y2 Unit cost]]*Table69[[#This Row],[Y2 Total quantity]]</f>
        <v>0</v>
      </c>
      <c r="AB19" s="1002"/>
      <c r="AC19" s="36"/>
      <c r="AD19" s="36"/>
      <c r="AE19" s="36"/>
      <c r="AF19" s="36"/>
      <c r="AG19" s="39">
        <f>SUM(Table69[[#This Row],[Y3 Q1 quantity]:[Y3 Q4 quantity]])</f>
        <v>0</v>
      </c>
      <c r="AH19" s="1005">
        <f>Table69[[#This Row],[Y3 Unit cost]]*Table69[[#This Row],[Y3 Total quantity]]</f>
        <v>0</v>
      </c>
      <c r="AI19" s="39">
        <f>Table69[[#This Row],[Y1 Total quantity]]+Table69[[#This Row],[Y2 Total quantity]]+Table69[[#This Row],[Y3 Total quantity]]</f>
        <v>0</v>
      </c>
      <c r="AJ19" s="1005">
        <f>Table69[[#This Row],[Y1 Total cost]]+Table69[[#This Row],[Y2 Total cost]]+Table69[[#This Row],[Y3 Total cost]]</f>
        <v>0</v>
      </c>
      <c r="AK19" s="43" t="str">
        <f t="shared" si="0"/>
        <v/>
      </c>
      <c r="AL19" s="1227"/>
      <c r="AV19" s="436" t="s">
        <v>568</v>
      </c>
      <c r="AW19" s="436">
        <f>SUMPRODUCT(($A$83:$A$114="HIV Laboratory reagents")*($M$83:$M$114)*((N83:N114)))</f>
        <v>0</v>
      </c>
      <c r="AX19" s="436">
        <f>SUMPRODUCT(($A$83:$A$114="HIV Laboratory reagents")*($M$83:$M$114)*((O83:O114)))</f>
        <v>0</v>
      </c>
      <c r="AY19" s="436">
        <f>SUMPRODUCT(($A$83:$A$114="HIV Laboratory reagents")*($M$83:$M$114)*((P83:P114)))</f>
        <v>0</v>
      </c>
      <c r="AZ19" s="436">
        <f>SUMPRODUCT(($A$83:$A$114="HIV Laboratory reagents")*($M$83:$M$114)*((Q83:Q114)))</f>
        <v>0</v>
      </c>
      <c r="BA19" s="436">
        <f>SUMPRODUCT(($A$83:$A$114="HIV Laboratory reagents")*($T$83:$T$114)*((U83:U114)))</f>
        <v>0</v>
      </c>
      <c r="BB19" s="436">
        <f>SUMPRODUCT(($A$83:$A$114="HIV Laboratory reagents")*($T$83:$T$114)*((V83:V114)))</f>
        <v>0</v>
      </c>
      <c r="BC19" s="436">
        <f>SUMPRODUCT(($A$83:$A$114="HIV Laboratory reagents")*($T$83:$T$114)*((W83:W114)))</f>
        <v>0</v>
      </c>
      <c r="BD19" s="436">
        <f>SUMPRODUCT(($A$83:$A$114="HIV Laboratory reagents")*($T$83:$T$114)*((X83:X114)))</f>
        <v>0</v>
      </c>
      <c r="BE19" s="436">
        <f>SUMPRODUCT(($A$83:$A$114="HIV Laboratory reagents")*($AA$83:$AA$114)*((AB83:AB114)))</f>
        <v>0</v>
      </c>
      <c r="BF19" s="436">
        <f>SUMPRODUCT(($A$83:$A$114="HIV Laboratory reagents")*($AA$83:$AA$114)*((AC83:AC114)))</f>
        <v>0</v>
      </c>
      <c r="BG19" s="436">
        <f>SUMPRODUCT(($A$83:$A$114="HIV Laboratory reagents")*($AA$83:$AA$114)*((AD83:AD114)))</f>
        <v>0</v>
      </c>
      <c r="BH19" s="436">
        <f>SUMPRODUCT(($A$83:$A$114="HIV Laboratory reagents")*($AA$83:$AA$114)*((AE83:AE114)))</f>
        <v>0</v>
      </c>
    </row>
    <row r="20" spans="1:60" s="249" customFormat="1">
      <c r="A20" s="2217"/>
      <c r="B20" s="2210"/>
      <c r="C20" s="2210"/>
      <c r="D20" s="2210"/>
      <c r="E20" s="2209"/>
      <c r="F20" s="2210"/>
      <c r="G20" s="2210"/>
      <c r="H20" s="2210"/>
      <c r="I20" s="2217"/>
      <c r="J20" s="2210"/>
      <c r="K20" s="2218"/>
      <c r="L20" s="250" t="str">
        <f t="shared" si="1"/>
        <v/>
      </c>
      <c r="M20" s="1521" t="str">
        <f t="shared" si="2"/>
        <v/>
      </c>
      <c r="N20" s="1001"/>
      <c r="O20" s="35"/>
      <c r="P20" s="35"/>
      <c r="Q20" s="35"/>
      <c r="R20" s="35"/>
      <c r="S20" s="38">
        <f>SUM(Table69[[#This Row],[Y1 Q1 quantity]:[Y1 Q4 quantity]])</f>
        <v>0</v>
      </c>
      <c r="T20" s="1004">
        <f>Table69[[#This Row],[Y1 Unit cost]]*Table69[[#This Row],[Y1 Total quantity]]</f>
        <v>0</v>
      </c>
      <c r="U20" s="1001"/>
      <c r="V20" s="35"/>
      <c r="W20" s="35"/>
      <c r="X20" s="35"/>
      <c r="Y20" s="35"/>
      <c r="Z20" s="38">
        <f>SUM(Table69[[#This Row],[Y2 Q1 quantity]:[Y2 Q4 quantity]])</f>
        <v>0</v>
      </c>
      <c r="AA20" s="1004">
        <f>Table69[[#This Row],[Y2 Unit cost]]*Table69[[#This Row],[Y2 Total quantity]]</f>
        <v>0</v>
      </c>
      <c r="AB20" s="1001"/>
      <c r="AC20" s="35"/>
      <c r="AD20" s="35"/>
      <c r="AE20" s="35"/>
      <c r="AF20" s="35"/>
      <c r="AG20" s="38">
        <f>SUM(Table69[[#This Row],[Y3 Q1 quantity]:[Y3 Q4 quantity]])</f>
        <v>0</v>
      </c>
      <c r="AH20" s="1004">
        <f>Table69[[#This Row],[Y3 Unit cost]]*Table69[[#This Row],[Y3 Total quantity]]</f>
        <v>0</v>
      </c>
      <c r="AI20" s="38">
        <f>Table69[[#This Row],[Y1 Total quantity]]+Table69[[#This Row],[Y2 Total quantity]]+Table69[[#This Row],[Y3 Total quantity]]</f>
        <v>0</v>
      </c>
      <c r="AJ20" s="1004">
        <f>Table69[[#This Row],[Y1 Total cost]]+Table69[[#This Row],[Y2 Total cost]]+Table69[[#This Row],[Y3 Total cost]]</f>
        <v>0</v>
      </c>
      <c r="AK20" s="42" t="str">
        <f t="shared" si="0"/>
        <v/>
      </c>
      <c r="AL20" s="1228"/>
      <c r="AV20" s="436" t="s">
        <v>1795</v>
      </c>
      <c r="AW20" s="436">
        <f>SUMPRODUCT(($A$123:$A$223="Consumables for HIV program")*($M$123:$M$223)*((N123:N223)))+SUMPRODUCT(($A$123:$A$223="Other chemicals &amp; reagents_HIV program")*($M$123:$M$223)*((N123:N223)))+SUMPRODUCT(($A$123:$A$223="Other Laboratory reagents_HIV program")*($M$123:$M$223)*((N123:N223)))</f>
        <v>0</v>
      </c>
      <c r="AX20" s="436">
        <f>SUMPRODUCT(($A$123:$A$223="Consumables for HIV program")*($M$123:$M$223)*((O123:O223)))+SUMPRODUCT(($A$123:$A$223="Other chemicals &amp; reagents_HIV program")*($M$123:$M$223)*((O123:O223)))+SUMPRODUCT(($A$123:$A$223="Other Laboratory reagents_HIV program")*($M$123:$M$223)*((O123:O223)))</f>
        <v>0</v>
      </c>
      <c r="AY20" s="436">
        <f>SUMPRODUCT(($A$123:$A$223="Consumables for HIV program")*($M$123:$M$223)*((P123:P223)))+SUMPRODUCT(($A$123:$A$223="Other chemicals &amp; reagents_HIV program")*($M$123:$M$223)*((P123:P223)))+SUMPRODUCT(($A$123:$A$223="Other Laboratory reagents_HIV program")*($M$123:$M$223)*((P123:P223)))</f>
        <v>0</v>
      </c>
      <c r="AZ20" s="436">
        <f>SUMPRODUCT(($A$123:$A$223="Consumables for HIV program")*($M$123:$M$223)*((Q123:Q223)))+SUMPRODUCT(($A$123:$A$223="Other chemicals &amp; reagents_HIV program")*($M$123:$M$223)*((Q123:Q223)))+SUMPRODUCT(($A$123:$A$223="Other Laboratory reagents_HIV program")*($M$123:$M$223)*((Q123:Q223)))</f>
        <v>0</v>
      </c>
      <c r="BA20" s="436">
        <f>SUMPRODUCT(($A$123:$A$223="Consumables for HIV program")*($T$123:$T$223)*((U123:U223)))+SUMPRODUCT(($A$123:$A$223="Other chemicals &amp; reagents_HIV program")*($T$123:$T$223)*((U123:U223)))+SUMPRODUCT(($A$123:$A$223="Other Laboratory reagents_HIV program")*($T$123:$T$223)*((U123:U223)))</f>
        <v>0</v>
      </c>
      <c r="BB20" s="436">
        <f>SUMPRODUCT(($A$123:$A$223="Consumables for HIV program")*($T$123:$T$223)*((V123:V223)))+SUMPRODUCT(($A$123:$A$223="Other chemicals &amp; reagents_HIV program")*($T$123:$T$223)*((V123:V223)))+SUMPRODUCT(($A$123:$A$223="Other Laboratory reagents_HIV program")*($T$123:$T$223)*((V123:V223)))</f>
        <v>0</v>
      </c>
      <c r="BC20" s="436">
        <f>SUMPRODUCT(($A$123:$A$223="Consumables for HIV program")*($T$123:$T$223)*((W123:W223)))+SUMPRODUCT(($A$123:$A$223="Other chemicals &amp; reagents_HIV program")*($T$123:$T$223)*((W123:W223)))+SUMPRODUCT(($A$123:$A$223="Other Laboratory reagents_HIV program")*($T$123:$T$223)*((W123:W223)))</f>
        <v>0</v>
      </c>
      <c r="BD20" s="436">
        <f>SUMPRODUCT(($A$123:$A$223="Consumables for HIV program")*($T$123:$T$223)*((X123:X223)))+SUMPRODUCT(($A$123:$A$223="Other chemicals &amp; reagents_HIV program")*($T$123:$T$223)*((X123:X223)))+SUMPRODUCT(($A$123:$A$223="Other Laboratory reagents_HIV program")*($T$123:$T$223)*((X123:X223)))</f>
        <v>0</v>
      </c>
      <c r="BE20" s="436">
        <f>SUMPRODUCT(($A$123:$A$223="Consumables for HIV program")*($AA$123:$AA$223)*((AB123:AB223)))+SUMPRODUCT(($A$123:$A$223="Other chemicals &amp; reagents_HIV program")*($AA$123:$AA$223)*((AB123:AB223)))+SUMPRODUCT(($A$123:$A$223="Other Laboratory reagents_HIV program")*($AA$123:$AA$223)*((AB123:AB223)))</f>
        <v>0</v>
      </c>
      <c r="BF20" s="436">
        <f>SUMPRODUCT(($A$123:$A$223="Consumables for HIV program")*($AA$123:$AA$223)*((AC123:AC223)))+SUMPRODUCT(($A$123:$A$223="Other chemicals &amp; reagents_HIV program")*($AA$123:$AA$223)*((AC123:AC223)))+SUMPRODUCT(($A$123:$A$223="Other Laboratory reagents_HIV program")*($AA$123:$AA$223)*((AC123:AC223)))</f>
        <v>0</v>
      </c>
      <c r="BG20" s="436">
        <f>SUMPRODUCT(($A$123:$A$223="Consumables for HIV program")*($AA$123:$AA$223)*((AD123:AD223)))+SUMPRODUCT(($A$123:$A$223="Other chemicals &amp; reagents_HIV program")*($AA$123:$AA$223)*((AD123:AD223)))+SUMPRODUCT(($A$123:$A$223="Other Laboratory reagents_HIV program")*($AA$123:$AA$223)*((AD123:AD223)))</f>
        <v>0</v>
      </c>
      <c r="BH20" s="436">
        <f>SUMPRODUCT(($A$123:$A$223="Consumables for HIV program")*($AA$123:$AA$223)*((AE123:AE223)))+SUMPRODUCT(($A$123:$A$223="Other chemicals &amp; reagents_HIV program")*($AA$123:$AA$223)*((AE123:AE223)))+SUMPRODUCT(($A$123:$A$223="Other Laboratory reagents_HIV program")*($AA$123:$AA$223)*((AE123:AE223)))</f>
        <v>0</v>
      </c>
    </row>
    <row r="21" spans="1:60" s="249" customFormat="1">
      <c r="A21" s="2222"/>
      <c r="B21" s="2223"/>
      <c r="C21" s="2223"/>
      <c r="D21" s="2223"/>
      <c r="E21" s="2226"/>
      <c r="F21" s="2223"/>
      <c r="G21" s="2223"/>
      <c r="H21" s="2223"/>
      <c r="I21" s="2222"/>
      <c r="J21" s="2223"/>
      <c r="K21" s="2238"/>
      <c r="L21" s="251" t="str">
        <f t="shared" si="1"/>
        <v/>
      </c>
      <c r="M21" s="1523" t="str">
        <f t="shared" si="2"/>
        <v/>
      </c>
      <c r="N21" s="1002"/>
      <c r="O21" s="36"/>
      <c r="P21" s="36"/>
      <c r="Q21" s="36"/>
      <c r="R21" s="36"/>
      <c r="S21" s="39">
        <f>SUM(Table69[[#This Row],[Y1 Q1 quantity]:[Y1 Q4 quantity]])</f>
        <v>0</v>
      </c>
      <c r="T21" s="1005">
        <f>Table69[[#This Row],[Y1 Unit cost]]*Table69[[#This Row],[Y1 Total quantity]]</f>
        <v>0</v>
      </c>
      <c r="U21" s="1002"/>
      <c r="V21" s="36"/>
      <c r="W21" s="36"/>
      <c r="X21" s="36"/>
      <c r="Y21" s="36"/>
      <c r="Z21" s="39">
        <f>SUM(Table69[[#This Row],[Y2 Q1 quantity]:[Y2 Q4 quantity]])</f>
        <v>0</v>
      </c>
      <c r="AA21" s="1005">
        <f>Table69[[#This Row],[Y2 Unit cost]]*Table69[[#This Row],[Y2 Total quantity]]</f>
        <v>0</v>
      </c>
      <c r="AB21" s="1002"/>
      <c r="AC21" s="36"/>
      <c r="AD21" s="36"/>
      <c r="AE21" s="36"/>
      <c r="AF21" s="36"/>
      <c r="AG21" s="39">
        <f>SUM(Table69[[#This Row],[Y3 Q1 quantity]:[Y3 Q4 quantity]])</f>
        <v>0</v>
      </c>
      <c r="AH21" s="1005">
        <f>Table69[[#This Row],[Y3 Unit cost]]*Table69[[#This Row],[Y3 Total quantity]]</f>
        <v>0</v>
      </c>
      <c r="AI21" s="39">
        <f>Table69[[#This Row],[Y1 Total quantity]]+Table69[[#This Row],[Y2 Total quantity]]+Table69[[#This Row],[Y3 Total quantity]]</f>
        <v>0</v>
      </c>
      <c r="AJ21" s="1005">
        <f>Table69[[#This Row],[Y1 Total cost]]+Table69[[#This Row],[Y2 Total cost]]+Table69[[#This Row],[Y3 Total cost]]</f>
        <v>0</v>
      </c>
      <c r="AK21" s="43" t="str">
        <f t="shared" si="0"/>
        <v/>
      </c>
      <c r="AL21" s="1227"/>
    </row>
    <row r="22" spans="1:60" s="249" customFormat="1">
      <c r="A22" s="2217"/>
      <c r="B22" s="2210"/>
      <c r="C22" s="2210"/>
      <c r="D22" s="2210"/>
      <c r="E22" s="2209"/>
      <c r="F22" s="2210"/>
      <c r="G22" s="2210"/>
      <c r="H22" s="2210"/>
      <c r="I22" s="2217"/>
      <c r="J22" s="2210"/>
      <c r="K22" s="2218"/>
      <c r="L22" s="250" t="str">
        <f t="shared" si="1"/>
        <v/>
      </c>
      <c r="M22" s="1521" t="str">
        <f t="shared" si="2"/>
        <v/>
      </c>
      <c r="N22" s="1001"/>
      <c r="O22" s="35"/>
      <c r="P22" s="35"/>
      <c r="Q22" s="35"/>
      <c r="R22" s="35"/>
      <c r="S22" s="38">
        <f>SUM(Table69[[#This Row],[Y1 Q1 quantity]:[Y1 Q4 quantity]])</f>
        <v>0</v>
      </c>
      <c r="T22" s="1004">
        <f>Table69[[#This Row],[Y1 Unit cost]]*Table69[[#This Row],[Y1 Total quantity]]</f>
        <v>0</v>
      </c>
      <c r="U22" s="1001"/>
      <c r="V22" s="35"/>
      <c r="W22" s="35"/>
      <c r="X22" s="35"/>
      <c r="Y22" s="35"/>
      <c r="Z22" s="38">
        <f>SUM(Table69[[#This Row],[Y2 Q1 quantity]:[Y2 Q4 quantity]])</f>
        <v>0</v>
      </c>
      <c r="AA22" s="1004">
        <f>Table69[[#This Row],[Y2 Unit cost]]*Table69[[#This Row],[Y2 Total quantity]]</f>
        <v>0</v>
      </c>
      <c r="AB22" s="1001"/>
      <c r="AC22" s="35"/>
      <c r="AD22" s="35"/>
      <c r="AE22" s="35"/>
      <c r="AF22" s="35"/>
      <c r="AG22" s="38">
        <f>SUM(Table69[[#This Row],[Y3 Q1 quantity]:[Y3 Q4 quantity]])</f>
        <v>0</v>
      </c>
      <c r="AH22" s="1004">
        <f>Table69[[#This Row],[Y3 Unit cost]]*Table69[[#This Row],[Y3 Total quantity]]</f>
        <v>0</v>
      </c>
      <c r="AI22" s="38">
        <f>Table69[[#This Row],[Y1 Total quantity]]+Table69[[#This Row],[Y2 Total quantity]]+Table69[[#This Row],[Y3 Total quantity]]</f>
        <v>0</v>
      </c>
      <c r="AJ22" s="1004">
        <f>Table69[[#This Row],[Y1 Total cost]]+Table69[[#This Row],[Y2 Total cost]]+Table69[[#This Row],[Y3 Total cost]]</f>
        <v>0</v>
      </c>
      <c r="AK22" s="42" t="str">
        <f t="shared" si="0"/>
        <v/>
      </c>
      <c r="AL22" s="1228"/>
    </row>
    <row r="23" spans="1:60" s="249" customFormat="1" hidden="1">
      <c r="A23" s="2222"/>
      <c r="B23" s="2223"/>
      <c r="C23" s="2223"/>
      <c r="D23" s="2223"/>
      <c r="E23" s="2226"/>
      <c r="F23" s="2223"/>
      <c r="G23" s="2223"/>
      <c r="H23" s="2223"/>
      <c r="I23" s="2222"/>
      <c r="J23" s="2223"/>
      <c r="K23" s="2238"/>
      <c r="L23" s="251" t="str">
        <f t="shared" si="1"/>
        <v/>
      </c>
      <c r="M23" s="1523" t="str">
        <f t="shared" si="2"/>
        <v/>
      </c>
      <c r="N23" s="1002"/>
      <c r="O23" s="36"/>
      <c r="P23" s="36"/>
      <c r="Q23" s="36"/>
      <c r="R23" s="36"/>
      <c r="S23" s="39">
        <f>SUM(Table69[[#This Row],[Y1 Q1 quantity]:[Y1 Q4 quantity]])</f>
        <v>0</v>
      </c>
      <c r="T23" s="1005">
        <f>Table69[[#This Row],[Y1 Unit cost]]*Table69[[#This Row],[Y1 Total quantity]]</f>
        <v>0</v>
      </c>
      <c r="U23" s="1002"/>
      <c r="V23" s="36"/>
      <c r="W23" s="36"/>
      <c r="X23" s="36"/>
      <c r="Y23" s="36"/>
      <c r="Z23" s="39">
        <f>SUM(Table69[[#This Row],[Y2 Q1 quantity]:[Y2 Q4 quantity]])</f>
        <v>0</v>
      </c>
      <c r="AA23" s="1005">
        <f>Table69[[#This Row],[Y2 Unit cost]]*Table69[[#This Row],[Y2 Total quantity]]</f>
        <v>0</v>
      </c>
      <c r="AB23" s="1002"/>
      <c r="AC23" s="36"/>
      <c r="AD23" s="36"/>
      <c r="AE23" s="36"/>
      <c r="AF23" s="36"/>
      <c r="AG23" s="39">
        <f>SUM(Table69[[#This Row],[Y3 Q1 quantity]:[Y3 Q4 quantity]])</f>
        <v>0</v>
      </c>
      <c r="AH23" s="1005">
        <f>Table69[[#This Row],[Y3 Unit cost]]*Table69[[#This Row],[Y3 Total quantity]]</f>
        <v>0</v>
      </c>
      <c r="AI23" s="39">
        <f>Table69[[#This Row],[Y1 Total quantity]]+Table69[[#This Row],[Y2 Total quantity]]+Table69[[#This Row],[Y3 Total quantity]]</f>
        <v>0</v>
      </c>
      <c r="AJ23" s="1005">
        <f>Table69[[#This Row],[Y1 Total cost]]+Table69[[#This Row],[Y2 Total cost]]+Table69[[#This Row],[Y3 Total cost]]</f>
        <v>0</v>
      </c>
      <c r="AK23" s="43" t="str">
        <f t="shared" si="0"/>
        <v/>
      </c>
      <c r="AL23" s="1227"/>
    </row>
    <row r="24" spans="1:60" s="249" customFormat="1" hidden="1">
      <c r="A24" s="2217"/>
      <c r="B24" s="2210"/>
      <c r="C24" s="2210"/>
      <c r="D24" s="2210"/>
      <c r="E24" s="2209"/>
      <c r="F24" s="2210"/>
      <c r="G24" s="2210"/>
      <c r="H24" s="2210"/>
      <c r="I24" s="2217"/>
      <c r="J24" s="2210"/>
      <c r="K24" s="2218"/>
      <c r="L24" s="250" t="str">
        <f t="shared" si="1"/>
        <v/>
      </c>
      <c r="M24" s="1521" t="str">
        <f t="shared" si="2"/>
        <v/>
      </c>
      <c r="N24" s="1001"/>
      <c r="O24" s="35"/>
      <c r="P24" s="35"/>
      <c r="Q24" s="35"/>
      <c r="R24" s="35"/>
      <c r="S24" s="38">
        <f>SUM(Table69[[#This Row],[Y1 Q1 quantity]:[Y1 Q4 quantity]])</f>
        <v>0</v>
      </c>
      <c r="T24" s="1004">
        <f>Table69[[#This Row],[Y1 Unit cost]]*Table69[[#This Row],[Y1 Total quantity]]</f>
        <v>0</v>
      </c>
      <c r="U24" s="1001"/>
      <c r="V24" s="35"/>
      <c r="W24" s="35"/>
      <c r="X24" s="35"/>
      <c r="Y24" s="35"/>
      <c r="Z24" s="38">
        <f>SUM(Table69[[#This Row],[Y2 Q1 quantity]:[Y2 Q4 quantity]])</f>
        <v>0</v>
      </c>
      <c r="AA24" s="1004">
        <f>Table69[[#This Row],[Y2 Unit cost]]*Table69[[#This Row],[Y2 Total quantity]]</f>
        <v>0</v>
      </c>
      <c r="AB24" s="1001"/>
      <c r="AC24" s="35"/>
      <c r="AD24" s="35"/>
      <c r="AE24" s="35"/>
      <c r="AF24" s="35"/>
      <c r="AG24" s="38">
        <f>SUM(Table69[[#This Row],[Y3 Q1 quantity]:[Y3 Q4 quantity]])</f>
        <v>0</v>
      </c>
      <c r="AH24" s="1004">
        <f>Table69[[#This Row],[Y3 Unit cost]]*Table69[[#This Row],[Y3 Total quantity]]</f>
        <v>0</v>
      </c>
      <c r="AI24" s="38">
        <f>Table69[[#This Row],[Y1 Total quantity]]+Table69[[#This Row],[Y2 Total quantity]]+Table69[[#This Row],[Y3 Total quantity]]</f>
        <v>0</v>
      </c>
      <c r="AJ24" s="1004">
        <f>Table69[[#This Row],[Y1 Total cost]]+Table69[[#This Row],[Y2 Total cost]]+Table69[[#This Row],[Y3 Total cost]]</f>
        <v>0</v>
      </c>
      <c r="AK24" s="42" t="str">
        <f t="shared" si="0"/>
        <v/>
      </c>
      <c r="AL24" s="1228"/>
    </row>
    <row r="25" spans="1:60" s="249" customFormat="1" hidden="1">
      <c r="A25" s="2222"/>
      <c r="B25" s="2223"/>
      <c r="C25" s="2223"/>
      <c r="D25" s="2223"/>
      <c r="E25" s="2226"/>
      <c r="F25" s="2223"/>
      <c r="G25" s="2223"/>
      <c r="H25" s="2223"/>
      <c r="I25" s="2222"/>
      <c r="J25" s="2223"/>
      <c r="K25" s="2238"/>
      <c r="L25" s="251" t="str">
        <f t="shared" si="1"/>
        <v/>
      </c>
      <c r="M25" s="1523" t="str">
        <f t="shared" si="2"/>
        <v/>
      </c>
      <c r="N25" s="1002"/>
      <c r="O25" s="36"/>
      <c r="P25" s="36"/>
      <c r="Q25" s="36"/>
      <c r="R25" s="36"/>
      <c r="S25" s="39">
        <f>SUM(Table69[[#This Row],[Y1 Q1 quantity]:[Y1 Q4 quantity]])</f>
        <v>0</v>
      </c>
      <c r="T25" s="1005">
        <f>Table69[[#This Row],[Y1 Unit cost]]*Table69[[#This Row],[Y1 Total quantity]]</f>
        <v>0</v>
      </c>
      <c r="U25" s="1002"/>
      <c r="V25" s="36"/>
      <c r="W25" s="36"/>
      <c r="X25" s="36"/>
      <c r="Y25" s="36"/>
      <c r="Z25" s="39">
        <f>SUM(Table69[[#This Row],[Y2 Q1 quantity]:[Y2 Q4 quantity]])</f>
        <v>0</v>
      </c>
      <c r="AA25" s="1005">
        <f>Table69[[#This Row],[Y2 Unit cost]]*Table69[[#This Row],[Y2 Total quantity]]</f>
        <v>0</v>
      </c>
      <c r="AB25" s="1002"/>
      <c r="AC25" s="36"/>
      <c r="AD25" s="36"/>
      <c r="AE25" s="36"/>
      <c r="AF25" s="36"/>
      <c r="AG25" s="39">
        <f>SUM(Table69[[#This Row],[Y3 Q1 quantity]:[Y3 Q4 quantity]])</f>
        <v>0</v>
      </c>
      <c r="AH25" s="1005">
        <f>Table69[[#This Row],[Y3 Unit cost]]*Table69[[#This Row],[Y3 Total quantity]]</f>
        <v>0</v>
      </c>
      <c r="AI25" s="39">
        <f>Table69[[#This Row],[Y1 Total quantity]]+Table69[[#This Row],[Y2 Total quantity]]+Table69[[#This Row],[Y3 Total quantity]]</f>
        <v>0</v>
      </c>
      <c r="AJ25" s="1005">
        <f>Table69[[#This Row],[Y1 Total cost]]+Table69[[#This Row],[Y2 Total cost]]+Table69[[#This Row],[Y3 Total cost]]</f>
        <v>0</v>
      </c>
      <c r="AK25" s="43" t="str">
        <f t="shared" si="0"/>
        <v/>
      </c>
      <c r="AL25" s="1227"/>
    </row>
    <row r="26" spans="1:60" s="249" customFormat="1" hidden="1">
      <c r="A26" s="2217"/>
      <c r="B26" s="2210"/>
      <c r="C26" s="2210"/>
      <c r="D26" s="2210"/>
      <c r="E26" s="2209"/>
      <c r="F26" s="2210"/>
      <c r="G26" s="2210"/>
      <c r="H26" s="2210"/>
      <c r="I26" s="2217"/>
      <c r="J26" s="2210"/>
      <c r="K26" s="2218"/>
      <c r="L26" s="250" t="str">
        <f t="shared" si="1"/>
        <v/>
      </c>
      <c r="M26" s="1521" t="str">
        <f t="shared" si="2"/>
        <v/>
      </c>
      <c r="N26" s="1001"/>
      <c r="O26" s="35"/>
      <c r="P26" s="35"/>
      <c r="Q26" s="35"/>
      <c r="R26" s="35"/>
      <c r="S26" s="38">
        <f>SUM(Table69[[#This Row],[Y1 Q1 quantity]:[Y1 Q4 quantity]])</f>
        <v>0</v>
      </c>
      <c r="T26" s="1004">
        <f>Table69[[#This Row],[Y1 Unit cost]]*Table69[[#This Row],[Y1 Total quantity]]</f>
        <v>0</v>
      </c>
      <c r="U26" s="1001"/>
      <c r="V26" s="35"/>
      <c r="W26" s="35"/>
      <c r="X26" s="35"/>
      <c r="Y26" s="35"/>
      <c r="Z26" s="38">
        <f>SUM(Table69[[#This Row],[Y2 Q1 quantity]:[Y2 Q4 quantity]])</f>
        <v>0</v>
      </c>
      <c r="AA26" s="1004">
        <f>Table69[[#This Row],[Y2 Unit cost]]*Table69[[#This Row],[Y2 Total quantity]]</f>
        <v>0</v>
      </c>
      <c r="AB26" s="1001"/>
      <c r="AC26" s="35"/>
      <c r="AD26" s="35"/>
      <c r="AE26" s="35"/>
      <c r="AF26" s="35"/>
      <c r="AG26" s="38">
        <f>SUM(Table69[[#This Row],[Y3 Q1 quantity]:[Y3 Q4 quantity]])</f>
        <v>0</v>
      </c>
      <c r="AH26" s="1004">
        <f>Table69[[#This Row],[Y3 Unit cost]]*Table69[[#This Row],[Y3 Total quantity]]</f>
        <v>0</v>
      </c>
      <c r="AI26" s="38">
        <f>Table69[[#This Row],[Y1 Total quantity]]+Table69[[#This Row],[Y2 Total quantity]]+Table69[[#This Row],[Y3 Total quantity]]</f>
        <v>0</v>
      </c>
      <c r="AJ26" s="1004">
        <f>Table69[[#This Row],[Y1 Total cost]]+Table69[[#This Row],[Y2 Total cost]]+Table69[[#This Row],[Y3 Total cost]]</f>
        <v>0</v>
      </c>
      <c r="AK26" s="42" t="str">
        <f t="shared" si="0"/>
        <v/>
      </c>
      <c r="AL26" s="1228"/>
    </row>
    <row r="27" spans="1:60" s="249" customFormat="1" hidden="1">
      <c r="A27" s="2222"/>
      <c r="B27" s="2223"/>
      <c r="C27" s="2223"/>
      <c r="D27" s="2223"/>
      <c r="E27" s="2226"/>
      <c r="F27" s="2223"/>
      <c r="G27" s="2223"/>
      <c r="H27" s="2223"/>
      <c r="I27" s="2222"/>
      <c r="J27" s="2223"/>
      <c r="K27" s="2238"/>
      <c r="L27" s="251" t="str">
        <f t="shared" si="1"/>
        <v/>
      </c>
      <c r="M27" s="1523" t="str">
        <f t="shared" si="2"/>
        <v/>
      </c>
      <c r="N27" s="1002"/>
      <c r="O27" s="36"/>
      <c r="P27" s="36"/>
      <c r="Q27" s="36"/>
      <c r="R27" s="36"/>
      <c r="S27" s="39">
        <f>SUM(Table69[[#This Row],[Y1 Q1 quantity]:[Y1 Q4 quantity]])</f>
        <v>0</v>
      </c>
      <c r="T27" s="1005">
        <f>Table69[[#This Row],[Y1 Unit cost]]*Table69[[#This Row],[Y1 Total quantity]]</f>
        <v>0</v>
      </c>
      <c r="U27" s="1002"/>
      <c r="V27" s="36"/>
      <c r="W27" s="36"/>
      <c r="X27" s="36"/>
      <c r="Y27" s="36"/>
      <c r="Z27" s="39">
        <f>SUM(Table69[[#This Row],[Y2 Q1 quantity]:[Y2 Q4 quantity]])</f>
        <v>0</v>
      </c>
      <c r="AA27" s="1005">
        <f>Table69[[#This Row],[Y2 Unit cost]]*Table69[[#This Row],[Y2 Total quantity]]</f>
        <v>0</v>
      </c>
      <c r="AB27" s="1002"/>
      <c r="AC27" s="36"/>
      <c r="AD27" s="36"/>
      <c r="AE27" s="36"/>
      <c r="AF27" s="36"/>
      <c r="AG27" s="39">
        <f>SUM(Table69[[#This Row],[Y3 Q1 quantity]:[Y3 Q4 quantity]])</f>
        <v>0</v>
      </c>
      <c r="AH27" s="1005">
        <f>Table69[[#This Row],[Y3 Unit cost]]*Table69[[#This Row],[Y3 Total quantity]]</f>
        <v>0</v>
      </c>
      <c r="AI27" s="39">
        <f>Table69[[#This Row],[Y1 Total quantity]]+Table69[[#This Row],[Y2 Total quantity]]+Table69[[#This Row],[Y3 Total quantity]]</f>
        <v>0</v>
      </c>
      <c r="AJ27" s="1005">
        <f>Table69[[#This Row],[Y1 Total cost]]+Table69[[#This Row],[Y2 Total cost]]+Table69[[#This Row],[Y3 Total cost]]</f>
        <v>0</v>
      </c>
      <c r="AK27" s="43" t="str">
        <f t="shared" si="0"/>
        <v/>
      </c>
      <c r="AL27" s="1227"/>
    </row>
    <row r="28" spans="1:60" s="249" customFormat="1" hidden="1">
      <c r="A28" s="2217"/>
      <c r="B28" s="2210"/>
      <c r="C28" s="2210"/>
      <c r="D28" s="2210"/>
      <c r="E28" s="2209"/>
      <c r="F28" s="2210"/>
      <c r="G28" s="2210"/>
      <c r="H28" s="2210"/>
      <c r="I28" s="2217"/>
      <c r="J28" s="2210"/>
      <c r="K28" s="2218"/>
      <c r="L28" s="250" t="str">
        <f t="shared" si="1"/>
        <v/>
      </c>
      <c r="M28" s="1521" t="str">
        <f t="shared" si="2"/>
        <v/>
      </c>
      <c r="N28" s="1001"/>
      <c r="O28" s="35"/>
      <c r="P28" s="35"/>
      <c r="Q28" s="35"/>
      <c r="R28" s="35"/>
      <c r="S28" s="38">
        <f>SUM(Table69[[#This Row],[Y1 Q1 quantity]:[Y1 Q4 quantity]])</f>
        <v>0</v>
      </c>
      <c r="T28" s="1004">
        <f>Table69[[#This Row],[Y1 Unit cost]]*Table69[[#This Row],[Y1 Total quantity]]</f>
        <v>0</v>
      </c>
      <c r="U28" s="1001"/>
      <c r="V28" s="35"/>
      <c r="W28" s="35"/>
      <c r="X28" s="35"/>
      <c r="Y28" s="35"/>
      <c r="Z28" s="38">
        <f>SUM(Table69[[#This Row],[Y2 Q1 quantity]:[Y2 Q4 quantity]])</f>
        <v>0</v>
      </c>
      <c r="AA28" s="1004">
        <f>Table69[[#This Row],[Y2 Unit cost]]*Table69[[#This Row],[Y2 Total quantity]]</f>
        <v>0</v>
      </c>
      <c r="AB28" s="1001"/>
      <c r="AC28" s="35"/>
      <c r="AD28" s="35"/>
      <c r="AE28" s="35"/>
      <c r="AF28" s="35"/>
      <c r="AG28" s="38">
        <f>SUM(Table69[[#This Row],[Y3 Q1 quantity]:[Y3 Q4 quantity]])</f>
        <v>0</v>
      </c>
      <c r="AH28" s="1004">
        <f>Table69[[#This Row],[Y3 Unit cost]]*Table69[[#This Row],[Y3 Total quantity]]</f>
        <v>0</v>
      </c>
      <c r="AI28" s="38">
        <f>Table69[[#This Row],[Y1 Total quantity]]+Table69[[#This Row],[Y2 Total quantity]]+Table69[[#This Row],[Y3 Total quantity]]</f>
        <v>0</v>
      </c>
      <c r="AJ28" s="1004">
        <f>Table69[[#This Row],[Y1 Total cost]]+Table69[[#This Row],[Y2 Total cost]]+Table69[[#This Row],[Y3 Total cost]]</f>
        <v>0</v>
      </c>
      <c r="AK28" s="42" t="str">
        <f t="shared" si="0"/>
        <v/>
      </c>
      <c r="AL28" s="1228"/>
    </row>
    <row r="29" spans="1:60" s="249" customFormat="1" hidden="1">
      <c r="A29" s="2222"/>
      <c r="B29" s="2223"/>
      <c r="C29" s="2223"/>
      <c r="D29" s="2223"/>
      <c r="E29" s="2226"/>
      <c r="F29" s="2223"/>
      <c r="G29" s="2223"/>
      <c r="H29" s="2223"/>
      <c r="I29" s="2222"/>
      <c r="J29" s="2223"/>
      <c r="K29" s="2238"/>
      <c r="L29" s="251" t="str">
        <f t="shared" si="1"/>
        <v/>
      </c>
      <c r="M29" s="1523" t="str">
        <f t="shared" si="2"/>
        <v/>
      </c>
      <c r="N29" s="1002"/>
      <c r="O29" s="36"/>
      <c r="P29" s="36"/>
      <c r="Q29" s="36"/>
      <c r="R29" s="36"/>
      <c r="S29" s="39">
        <f>SUM(Table69[[#This Row],[Y1 Q1 quantity]:[Y1 Q4 quantity]])</f>
        <v>0</v>
      </c>
      <c r="T29" s="1005">
        <f>Table69[[#This Row],[Y1 Unit cost]]*Table69[[#This Row],[Y1 Total quantity]]</f>
        <v>0</v>
      </c>
      <c r="U29" s="1002"/>
      <c r="V29" s="36"/>
      <c r="W29" s="36"/>
      <c r="X29" s="36"/>
      <c r="Y29" s="36"/>
      <c r="Z29" s="39">
        <f>SUM(Table69[[#This Row],[Y2 Q1 quantity]:[Y2 Q4 quantity]])</f>
        <v>0</v>
      </c>
      <c r="AA29" s="1005">
        <f>Table69[[#This Row],[Y2 Unit cost]]*Table69[[#This Row],[Y2 Total quantity]]</f>
        <v>0</v>
      </c>
      <c r="AB29" s="1002"/>
      <c r="AC29" s="36"/>
      <c r="AD29" s="36"/>
      <c r="AE29" s="36"/>
      <c r="AF29" s="36"/>
      <c r="AG29" s="39">
        <f>SUM(Table69[[#This Row],[Y3 Q1 quantity]:[Y3 Q4 quantity]])</f>
        <v>0</v>
      </c>
      <c r="AH29" s="1005">
        <f>Table69[[#This Row],[Y3 Unit cost]]*Table69[[#This Row],[Y3 Total quantity]]</f>
        <v>0</v>
      </c>
      <c r="AI29" s="39">
        <f>Table69[[#This Row],[Y1 Total quantity]]+Table69[[#This Row],[Y2 Total quantity]]+Table69[[#This Row],[Y3 Total quantity]]</f>
        <v>0</v>
      </c>
      <c r="AJ29" s="1005">
        <f>Table69[[#This Row],[Y1 Total cost]]+Table69[[#This Row],[Y2 Total cost]]+Table69[[#This Row],[Y3 Total cost]]</f>
        <v>0</v>
      </c>
      <c r="AK29" s="43" t="str">
        <f t="shared" si="0"/>
        <v/>
      </c>
      <c r="AL29" s="1227"/>
    </row>
    <row r="30" spans="1:60" s="249" customFormat="1" hidden="1">
      <c r="A30" s="2217"/>
      <c r="B30" s="2210"/>
      <c r="C30" s="2210"/>
      <c r="D30" s="2210"/>
      <c r="E30" s="2209"/>
      <c r="F30" s="2210"/>
      <c r="G30" s="2210"/>
      <c r="H30" s="2210"/>
      <c r="I30" s="2217"/>
      <c r="J30" s="2210"/>
      <c r="K30" s="2218"/>
      <c r="L30" s="250" t="str">
        <f t="shared" si="1"/>
        <v/>
      </c>
      <c r="M30" s="1521" t="str">
        <f t="shared" si="2"/>
        <v/>
      </c>
      <c r="N30" s="1001"/>
      <c r="O30" s="35"/>
      <c r="P30" s="35"/>
      <c r="Q30" s="35"/>
      <c r="R30" s="35"/>
      <c r="S30" s="38">
        <f>SUM(Table69[[#This Row],[Y1 Q1 quantity]:[Y1 Q4 quantity]])</f>
        <v>0</v>
      </c>
      <c r="T30" s="1004">
        <f>Table69[[#This Row],[Y1 Unit cost]]*Table69[[#This Row],[Y1 Total quantity]]</f>
        <v>0</v>
      </c>
      <c r="U30" s="1001"/>
      <c r="V30" s="35"/>
      <c r="W30" s="35"/>
      <c r="X30" s="35"/>
      <c r="Y30" s="35"/>
      <c r="Z30" s="38">
        <f>SUM(Table69[[#This Row],[Y2 Q1 quantity]:[Y2 Q4 quantity]])</f>
        <v>0</v>
      </c>
      <c r="AA30" s="1004">
        <f>Table69[[#This Row],[Y2 Unit cost]]*Table69[[#This Row],[Y2 Total quantity]]</f>
        <v>0</v>
      </c>
      <c r="AB30" s="1001"/>
      <c r="AC30" s="35"/>
      <c r="AD30" s="35"/>
      <c r="AE30" s="35"/>
      <c r="AF30" s="35"/>
      <c r="AG30" s="38">
        <f>SUM(Table69[[#This Row],[Y3 Q1 quantity]:[Y3 Q4 quantity]])</f>
        <v>0</v>
      </c>
      <c r="AH30" s="1004">
        <f>Table69[[#This Row],[Y3 Unit cost]]*Table69[[#This Row],[Y3 Total quantity]]</f>
        <v>0</v>
      </c>
      <c r="AI30" s="38">
        <f>Table69[[#This Row],[Y1 Total quantity]]+Table69[[#This Row],[Y2 Total quantity]]+Table69[[#This Row],[Y3 Total quantity]]</f>
        <v>0</v>
      </c>
      <c r="AJ30" s="1004">
        <f>Table69[[#This Row],[Y1 Total cost]]+Table69[[#This Row],[Y2 Total cost]]+Table69[[#This Row],[Y3 Total cost]]</f>
        <v>0</v>
      </c>
      <c r="AK30" s="42" t="str">
        <f t="shared" si="0"/>
        <v/>
      </c>
      <c r="AL30" s="1228"/>
    </row>
    <row r="31" spans="1:60" s="249" customFormat="1" hidden="1">
      <c r="A31" s="2222"/>
      <c r="B31" s="2223"/>
      <c r="C31" s="2223"/>
      <c r="D31" s="2223"/>
      <c r="E31" s="2226"/>
      <c r="F31" s="2223"/>
      <c r="G31" s="2223"/>
      <c r="H31" s="2223"/>
      <c r="I31" s="2222"/>
      <c r="J31" s="2223"/>
      <c r="K31" s="2238"/>
      <c r="L31" s="251" t="str">
        <f t="shared" si="1"/>
        <v/>
      </c>
      <c r="M31" s="1523" t="str">
        <f t="shared" si="2"/>
        <v/>
      </c>
      <c r="N31" s="1002"/>
      <c r="O31" s="36"/>
      <c r="P31" s="36"/>
      <c r="Q31" s="36"/>
      <c r="R31" s="36"/>
      <c r="S31" s="39">
        <f>SUM(Table69[[#This Row],[Y1 Q1 quantity]:[Y1 Q4 quantity]])</f>
        <v>0</v>
      </c>
      <c r="T31" s="1005">
        <f>Table69[[#This Row],[Y1 Unit cost]]*Table69[[#This Row],[Y1 Total quantity]]</f>
        <v>0</v>
      </c>
      <c r="U31" s="1002"/>
      <c r="V31" s="36"/>
      <c r="W31" s="36"/>
      <c r="X31" s="36"/>
      <c r="Y31" s="36"/>
      <c r="Z31" s="39">
        <f>SUM(Table69[[#This Row],[Y2 Q1 quantity]:[Y2 Q4 quantity]])</f>
        <v>0</v>
      </c>
      <c r="AA31" s="1005">
        <f>Table69[[#This Row],[Y2 Unit cost]]*Table69[[#This Row],[Y2 Total quantity]]</f>
        <v>0</v>
      </c>
      <c r="AB31" s="1002"/>
      <c r="AC31" s="36"/>
      <c r="AD31" s="36"/>
      <c r="AE31" s="36"/>
      <c r="AF31" s="36"/>
      <c r="AG31" s="39">
        <f>SUM(Table69[[#This Row],[Y3 Q1 quantity]:[Y3 Q4 quantity]])</f>
        <v>0</v>
      </c>
      <c r="AH31" s="1005">
        <f>Table69[[#This Row],[Y3 Unit cost]]*Table69[[#This Row],[Y3 Total quantity]]</f>
        <v>0</v>
      </c>
      <c r="AI31" s="39">
        <f>Table69[[#This Row],[Y1 Total quantity]]+Table69[[#This Row],[Y2 Total quantity]]+Table69[[#This Row],[Y3 Total quantity]]</f>
        <v>0</v>
      </c>
      <c r="AJ31" s="1005">
        <f>Table69[[#This Row],[Y1 Total cost]]+Table69[[#This Row],[Y2 Total cost]]+Table69[[#This Row],[Y3 Total cost]]</f>
        <v>0</v>
      </c>
      <c r="AK31" s="43" t="str">
        <f t="shared" si="0"/>
        <v/>
      </c>
      <c r="AL31" s="1227"/>
    </row>
    <row r="32" spans="1:60" s="249" customFormat="1" hidden="1">
      <c r="A32" s="2217"/>
      <c r="B32" s="2210"/>
      <c r="C32" s="2210"/>
      <c r="D32" s="2210"/>
      <c r="E32" s="2209"/>
      <c r="F32" s="2210"/>
      <c r="G32" s="2210"/>
      <c r="H32" s="2210"/>
      <c r="I32" s="2217"/>
      <c r="J32" s="2210"/>
      <c r="K32" s="2218"/>
      <c r="L32" s="250" t="str">
        <f t="shared" si="1"/>
        <v/>
      </c>
      <c r="M32" s="1521" t="str">
        <f t="shared" si="2"/>
        <v/>
      </c>
      <c r="N32" s="1001"/>
      <c r="O32" s="35"/>
      <c r="P32" s="35"/>
      <c r="Q32" s="35"/>
      <c r="R32" s="35"/>
      <c r="S32" s="38">
        <f>SUM(Table69[[#This Row],[Y1 Q1 quantity]:[Y1 Q4 quantity]])</f>
        <v>0</v>
      </c>
      <c r="T32" s="1004">
        <f>Table69[[#This Row],[Y1 Unit cost]]*Table69[[#This Row],[Y1 Total quantity]]</f>
        <v>0</v>
      </c>
      <c r="U32" s="1001"/>
      <c r="V32" s="35"/>
      <c r="W32" s="35"/>
      <c r="X32" s="35"/>
      <c r="Y32" s="35"/>
      <c r="Z32" s="38">
        <f>SUM(Table69[[#This Row],[Y2 Q1 quantity]:[Y2 Q4 quantity]])</f>
        <v>0</v>
      </c>
      <c r="AA32" s="1004">
        <f>Table69[[#This Row],[Y2 Unit cost]]*Table69[[#This Row],[Y2 Total quantity]]</f>
        <v>0</v>
      </c>
      <c r="AB32" s="1001"/>
      <c r="AC32" s="35"/>
      <c r="AD32" s="35"/>
      <c r="AE32" s="35"/>
      <c r="AF32" s="35"/>
      <c r="AG32" s="38">
        <f>SUM(Table69[[#This Row],[Y3 Q1 quantity]:[Y3 Q4 quantity]])</f>
        <v>0</v>
      </c>
      <c r="AH32" s="1004">
        <f>Table69[[#This Row],[Y3 Unit cost]]*Table69[[#This Row],[Y3 Total quantity]]</f>
        <v>0</v>
      </c>
      <c r="AI32" s="38">
        <f>Table69[[#This Row],[Y1 Total quantity]]+Table69[[#This Row],[Y2 Total quantity]]+Table69[[#This Row],[Y3 Total quantity]]</f>
        <v>0</v>
      </c>
      <c r="AJ32" s="1004">
        <f>Table69[[#This Row],[Y1 Total cost]]+Table69[[#This Row],[Y2 Total cost]]+Table69[[#This Row],[Y3 Total cost]]</f>
        <v>0</v>
      </c>
      <c r="AK32" s="42" t="str">
        <f t="shared" si="0"/>
        <v/>
      </c>
      <c r="AL32" s="1228"/>
    </row>
    <row r="33" spans="1:60" s="249" customFormat="1" hidden="1">
      <c r="A33" s="2222"/>
      <c r="B33" s="2223"/>
      <c r="C33" s="2223"/>
      <c r="D33" s="2223"/>
      <c r="E33" s="2226"/>
      <c r="F33" s="2223"/>
      <c r="G33" s="2223"/>
      <c r="H33" s="2223"/>
      <c r="I33" s="2222"/>
      <c r="J33" s="2223"/>
      <c r="K33" s="2238"/>
      <c r="L33" s="251" t="str">
        <f t="shared" si="1"/>
        <v/>
      </c>
      <c r="M33" s="1523" t="str">
        <f t="shared" si="2"/>
        <v/>
      </c>
      <c r="N33" s="1002"/>
      <c r="O33" s="36"/>
      <c r="P33" s="36"/>
      <c r="Q33" s="36"/>
      <c r="R33" s="36"/>
      <c r="S33" s="39">
        <f>SUM(Table69[[#This Row],[Y1 Q1 quantity]:[Y1 Q4 quantity]])</f>
        <v>0</v>
      </c>
      <c r="T33" s="1005">
        <f>Table69[[#This Row],[Y1 Unit cost]]*Table69[[#This Row],[Y1 Total quantity]]</f>
        <v>0</v>
      </c>
      <c r="U33" s="1002"/>
      <c r="V33" s="36"/>
      <c r="W33" s="36"/>
      <c r="X33" s="36"/>
      <c r="Y33" s="36"/>
      <c r="Z33" s="39">
        <f>SUM(Table69[[#This Row],[Y2 Q1 quantity]:[Y2 Q4 quantity]])</f>
        <v>0</v>
      </c>
      <c r="AA33" s="1005">
        <f>Table69[[#This Row],[Y2 Unit cost]]*Table69[[#This Row],[Y2 Total quantity]]</f>
        <v>0</v>
      </c>
      <c r="AB33" s="1002"/>
      <c r="AC33" s="36"/>
      <c r="AD33" s="36"/>
      <c r="AE33" s="36"/>
      <c r="AF33" s="36"/>
      <c r="AG33" s="39">
        <f>SUM(Table69[[#This Row],[Y3 Q1 quantity]:[Y3 Q4 quantity]])</f>
        <v>0</v>
      </c>
      <c r="AH33" s="1005">
        <f>Table69[[#This Row],[Y3 Unit cost]]*Table69[[#This Row],[Y3 Total quantity]]</f>
        <v>0</v>
      </c>
      <c r="AI33" s="39">
        <f>Table69[[#This Row],[Y1 Total quantity]]+Table69[[#This Row],[Y2 Total quantity]]+Table69[[#This Row],[Y3 Total quantity]]</f>
        <v>0</v>
      </c>
      <c r="AJ33" s="1005">
        <f>Table69[[#This Row],[Y1 Total cost]]+Table69[[#This Row],[Y2 Total cost]]+Table69[[#This Row],[Y3 Total cost]]</f>
        <v>0</v>
      </c>
      <c r="AK33" s="43" t="str">
        <f t="shared" si="0"/>
        <v/>
      </c>
      <c r="AL33" s="1227"/>
    </row>
    <row r="34" spans="1:60" s="249" customFormat="1" hidden="1">
      <c r="A34" s="2217"/>
      <c r="B34" s="2210"/>
      <c r="C34" s="2210"/>
      <c r="D34" s="2210"/>
      <c r="E34" s="2209"/>
      <c r="F34" s="2210"/>
      <c r="G34" s="2210"/>
      <c r="H34" s="2210"/>
      <c r="I34" s="2217"/>
      <c r="J34" s="2210"/>
      <c r="K34" s="2218"/>
      <c r="L34" s="250" t="str">
        <f t="shared" si="1"/>
        <v/>
      </c>
      <c r="M34" s="1521" t="str">
        <f t="shared" si="2"/>
        <v/>
      </c>
      <c r="N34" s="1001"/>
      <c r="O34" s="35"/>
      <c r="P34" s="35"/>
      <c r="Q34" s="35"/>
      <c r="R34" s="35"/>
      <c r="S34" s="38">
        <f>SUM(Table69[[#This Row],[Y1 Q1 quantity]:[Y1 Q4 quantity]])</f>
        <v>0</v>
      </c>
      <c r="T34" s="1004">
        <f>Table69[[#This Row],[Y1 Unit cost]]*Table69[[#This Row],[Y1 Total quantity]]</f>
        <v>0</v>
      </c>
      <c r="U34" s="1001"/>
      <c r="V34" s="35"/>
      <c r="W34" s="35"/>
      <c r="X34" s="35"/>
      <c r="Y34" s="35"/>
      <c r="Z34" s="38">
        <f>SUM(Table69[[#This Row],[Y2 Q1 quantity]:[Y2 Q4 quantity]])</f>
        <v>0</v>
      </c>
      <c r="AA34" s="1004">
        <f>Table69[[#This Row],[Y2 Unit cost]]*Table69[[#This Row],[Y2 Total quantity]]</f>
        <v>0</v>
      </c>
      <c r="AB34" s="1001"/>
      <c r="AC34" s="35"/>
      <c r="AD34" s="35"/>
      <c r="AE34" s="35"/>
      <c r="AF34" s="35"/>
      <c r="AG34" s="38">
        <f>SUM(Table69[[#This Row],[Y3 Q1 quantity]:[Y3 Q4 quantity]])</f>
        <v>0</v>
      </c>
      <c r="AH34" s="1004">
        <f>Table69[[#This Row],[Y3 Unit cost]]*Table69[[#This Row],[Y3 Total quantity]]</f>
        <v>0</v>
      </c>
      <c r="AI34" s="38">
        <f>Table69[[#This Row],[Y1 Total quantity]]+Table69[[#This Row],[Y2 Total quantity]]+Table69[[#This Row],[Y3 Total quantity]]</f>
        <v>0</v>
      </c>
      <c r="AJ34" s="1004">
        <f>Table69[[#This Row],[Y1 Total cost]]+Table69[[#This Row],[Y2 Total cost]]+Table69[[#This Row],[Y3 Total cost]]</f>
        <v>0</v>
      </c>
      <c r="AK34" s="42" t="str">
        <f t="shared" si="0"/>
        <v/>
      </c>
      <c r="AL34" s="1228"/>
    </row>
    <row r="35" spans="1:60" s="249" customFormat="1" hidden="1">
      <c r="A35" s="2222"/>
      <c r="B35" s="2223"/>
      <c r="C35" s="2223"/>
      <c r="D35" s="2223"/>
      <c r="E35" s="2226"/>
      <c r="F35" s="2223"/>
      <c r="G35" s="2223"/>
      <c r="H35" s="2223"/>
      <c r="I35" s="2222"/>
      <c r="J35" s="2223"/>
      <c r="K35" s="2238"/>
      <c r="L35" s="251" t="str">
        <f t="shared" si="1"/>
        <v/>
      </c>
      <c r="M35" s="1523" t="str">
        <f t="shared" si="2"/>
        <v/>
      </c>
      <c r="N35" s="1002"/>
      <c r="O35" s="36"/>
      <c r="P35" s="36"/>
      <c r="Q35" s="36"/>
      <c r="R35" s="36"/>
      <c r="S35" s="39">
        <f>SUM(Table69[[#This Row],[Y1 Q1 quantity]:[Y1 Q4 quantity]])</f>
        <v>0</v>
      </c>
      <c r="T35" s="1005">
        <f>Table69[[#This Row],[Y1 Unit cost]]*Table69[[#This Row],[Y1 Total quantity]]</f>
        <v>0</v>
      </c>
      <c r="U35" s="1002"/>
      <c r="V35" s="36"/>
      <c r="W35" s="36"/>
      <c r="X35" s="36"/>
      <c r="Y35" s="36"/>
      <c r="Z35" s="39">
        <f>SUM(Table69[[#This Row],[Y2 Q1 quantity]:[Y2 Q4 quantity]])</f>
        <v>0</v>
      </c>
      <c r="AA35" s="1005">
        <f>Table69[[#This Row],[Y2 Unit cost]]*Table69[[#This Row],[Y2 Total quantity]]</f>
        <v>0</v>
      </c>
      <c r="AB35" s="1002"/>
      <c r="AC35" s="36"/>
      <c r="AD35" s="36"/>
      <c r="AE35" s="36"/>
      <c r="AF35" s="36"/>
      <c r="AG35" s="39">
        <f>SUM(Table69[[#This Row],[Y3 Q1 quantity]:[Y3 Q4 quantity]])</f>
        <v>0</v>
      </c>
      <c r="AH35" s="1005">
        <f>Table69[[#This Row],[Y3 Unit cost]]*Table69[[#This Row],[Y3 Total quantity]]</f>
        <v>0</v>
      </c>
      <c r="AI35" s="39">
        <f>Table69[[#This Row],[Y1 Total quantity]]+Table69[[#This Row],[Y2 Total quantity]]+Table69[[#This Row],[Y3 Total quantity]]</f>
        <v>0</v>
      </c>
      <c r="AJ35" s="1005">
        <f>Table69[[#This Row],[Y1 Total cost]]+Table69[[#This Row],[Y2 Total cost]]+Table69[[#This Row],[Y3 Total cost]]</f>
        <v>0</v>
      </c>
      <c r="AK35" s="43" t="str">
        <f t="shared" si="0"/>
        <v/>
      </c>
      <c r="AL35" s="1227"/>
    </row>
    <row r="36" spans="1:60" s="249" customFormat="1" hidden="1">
      <c r="A36" s="2217"/>
      <c r="B36" s="2210"/>
      <c r="C36" s="2210"/>
      <c r="D36" s="2210"/>
      <c r="E36" s="2209"/>
      <c r="F36" s="2210"/>
      <c r="G36" s="2210"/>
      <c r="H36" s="2210"/>
      <c r="I36" s="2217"/>
      <c r="J36" s="2210"/>
      <c r="K36" s="2218"/>
      <c r="L36" s="250" t="str">
        <f t="shared" si="1"/>
        <v/>
      </c>
      <c r="M36" s="1521" t="str">
        <f t="shared" si="2"/>
        <v/>
      </c>
      <c r="N36" s="1001"/>
      <c r="O36" s="35"/>
      <c r="P36" s="35"/>
      <c r="Q36" s="35"/>
      <c r="R36" s="35"/>
      <c r="S36" s="38">
        <f>SUM(Table69[[#This Row],[Y1 Q1 quantity]:[Y1 Q4 quantity]])</f>
        <v>0</v>
      </c>
      <c r="T36" s="1004">
        <f>Table69[[#This Row],[Y1 Unit cost]]*Table69[[#This Row],[Y1 Total quantity]]</f>
        <v>0</v>
      </c>
      <c r="U36" s="1001"/>
      <c r="V36" s="35"/>
      <c r="W36" s="35"/>
      <c r="X36" s="35"/>
      <c r="Y36" s="35"/>
      <c r="Z36" s="38">
        <f>SUM(Table69[[#This Row],[Y2 Q1 quantity]:[Y2 Q4 quantity]])</f>
        <v>0</v>
      </c>
      <c r="AA36" s="1004">
        <f>Table69[[#This Row],[Y2 Unit cost]]*Table69[[#This Row],[Y2 Total quantity]]</f>
        <v>0</v>
      </c>
      <c r="AB36" s="1001"/>
      <c r="AC36" s="35"/>
      <c r="AD36" s="35"/>
      <c r="AE36" s="35"/>
      <c r="AF36" s="35"/>
      <c r="AG36" s="38">
        <f>SUM(Table69[[#This Row],[Y3 Q1 quantity]:[Y3 Q4 quantity]])</f>
        <v>0</v>
      </c>
      <c r="AH36" s="1004">
        <f>Table69[[#This Row],[Y3 Unit cost]]*Table69[[#This Row],[Y3 Total quantity]]</f>
        <v>0</v>
      </c>
      <c r="AI36" s="38">
        <f>Table69[[#This Row],[Y1 Total quantity]]+Table69[[#This Row],[Y2 Total quantity]]+Table69[[#This Row],[Y3 Total quantity]]</f>
        <v>0</v>
      </c>
      <c r="AJ36" s="1004">
        <f>Table69[[#This Row],[Y1 Total cost]]+Table69[[#This Row],[Y2 Total cost]]+Table69[[#This Row],[Y3 Total cost]]</f>
        <v>0</v>
      </c>
      <c r="AK36" s="42" t="str">
        <f t="shared" si="0"/>
        <v/>
      </c>
      <c r="AL36" s="1228"/>
    </row>
    <row r="37" spans="1:60" s="249" customFormat="1">
      <c r="A37" s="2222"/>
      <c r="B37" s="2223"/>
      <c r="C37" s="2223"/>
      <c r="D37" s="2223"/>
      <c r="E37" s="2226"/>
      <c r="F37" s="2223"/>
      <c r="G37" s="2223"/>
      <c r="H37" s="2223"/>
      <c r="I37" s="2222"/>
      <c r="J37" s="2223"/>
      <c r="K37" s="2238"/>
      <c r="L37" s="251" t="str">
        <f t="shared" si="1"/>
        <v/>
      </c>
      <c r="M37" s="1523" t="str">
        <f t="shared" si="2"/>
        <v/>
      </c>
      <c r="N37" s="1002"/>
      <c r="O37" s="36"/>
      <c r="P37" s="36"/>
      <c r="Q37" s="36"/>
      <c r="R37" s="36"/>
      <c r="S37" s="39">
        <f>SUM(Table69[[#This Row],[Y1 Q1 quantity]:[Y1 Q4 quantity]])</f>
        <v>0</v>
      </c>
      <c r="T37" s="1005">
        <f>Table69[[#This Row],[Y1 Unit cost]]*Table69[[#This Row],[Y1 Total quantity]]</f>
        <v>0</v>
      </c>
      <c r="U37" s="1002"/>
      <c r="V37" s="36"/>
      <c r="W37" s="36"/>
      <c r="X37" s="36"/>
      <c r="Y37" s="36"/>
      <c r="Z37" s="39">
        <f>SUM(Table69[[#This Row],[Y2 Q1 quantity]:[Y2 Q4 quantity]])</f>
        <v>0</v>
      </c>
      <c r="AA37" s="1005">
        <f>Table69[[#This Row],[Y2 Unit cost]]*Table69[[#This Row],[Y2 Total quantity]]</f>
        <v>0</v>
      </c>
      <c r="AB37" s="1002"/>
      <c r="AC37" s="36"/>
      <c r="AD37" s="36"/>
      <c r="AE37" s="36"/>
      <c r="AF37" s="36"/>
      <c r="AG37" s="39">
        <f>SUM(Table69[[#This Row],[Y3 Q1 quantity]:[Y3 Q4 quantity]])</f>
        <v>0</v>
      </c>
      <c r="AH37" s="1005">
        <f>Table69[[#This Row],[Y3 Unit cost]]*Table69[[#This Row],[Y3 Total quantity]]</f>
        <v>0</v>
      </c>
      <c r="AI37" s="39">
        <f>Table69[[#This Row],[Y1 Total quantity]]+Table69[[#This Row],[Y2 Total quantity]]+Table69[[#This Row],[Y3 Total quantity]]</f>
        <v>0</v>
      </c>
      <c r="AJ37" s="1005">
        <f>Table69[[#This Row],[Y1 Total cost]]+Table69[[#This Row],[Y2 Total cost]]+Table69[[#This Row],[Y3 Total cost]]</f>
        <v>0</v>
      </c>
      <c r="AK37" s="43" t="str">
        <f t="shared" si="0"/>
        <v/>
      </c>
      <c r="AL37" s="1227"/>
    </row>
    <row r="38" spans="1:60" s="249" customFormat="1">
      <c r="A38" s="2217"/>
      <c r="B38" s="2210"/>
      <c r="C38" s="2210"/>
      <c r="D38" s="2210"/>
      <c r="E38" s="2209"/>
      <c r="F38" s="2210"/>
      <c r="G38" s="2210"/>
      <c r="H38" s="2210"/>
      <c r="I38" s="2217"/>
      <c r="J38" s="2210"/>
      <c r="K38" s="2218"/>
      <c r="L38" s="250" t="str">
        <f t="shared" si="1"/>
        <v/>
      </c>
      <c r="M38" s="1521" t="str">
        <f t="shared" si="2"/>
        <v/>
      </c>
      <c r="N38" s="1001"/>
      <c r="O38" s="35"/>
      <c r="P38" s="35"/>
      <c r="Q38" s="35"/>
      <c r="R38" s="35"/>
      <c r="S38" s="38">
        <f>SUM(Table69[[#This Row],[Y1 Q1 quantity]:[Y1 Q4 quantity]])</f>
        <v>0</v>
      </c>
      <c r="T38" s="1004">
        <f>Table69[[#This Row],[Y1 Unit cost]]*Table69[[#This Row],[Y1 Total quantity]]</f>
        <v>0</v>
      </c>
      <c r="U38" s="1001"/>
      <c r="V38" s="35"/>
      <c r="W38" s="35"/>
      <c r="X38" s="35"/>
      <c r="Y38" s="35"/>
      <c r="Z38" s="38">
        <f>SUM(Table69[[#This Row],[Y2 Q1 quantity]:[Y2 Q4 quantity]])</f>
        <v>0</v>
      </c>
      <c r="AA38" s="1004">
        <f>Table69[[#This Row],[Y2 Unit cost]]*Table69[[#This Row],[Y2 Total quantity]]</f>
        <v>0</v>
      </c>
      <c r="AB38" s="1001"/>
      <c r="AC38" s="35"/>
      <c r="AD38" s="35"/>
      <c r="AE38" s="35"/>
      <c r="AF38" s="35"/>
      <c r="AG38" s="38">
        <f>SUM(Table69[[#This Row],[Y3 Q1 quantity]:[Y3 Q4 quantity]])</f>
        <v>0</v>
      </c>
      <c r="AH38" s="1004">
        <f>Table69[[#This Row],[Y3 Unit cost]]*Table69[[#This Row],[Y3 Total quantity]]</f>
        <v>0</v>
      </c>
      <c r="AI38" s="38">
        <f>Table69[[#This Row],[Y1 Total quantity]]+Table69[[#This Row],[Y2 Total quantity]]+Table69[[#This Row],[Y3 Total quantity]]</f>
        <v>0</v>
      </c>
      <c r="AJ38" s="1004">
        <f>Table69[[#This Row],[Y1 Total cost]]+Table69[[#This Row],[Y2 Total cost]]+Table69[[#This Row],[Y3 Total cost]]</f>
        <v>0</v>
      </c>
      <c r="AK38" s="42" t="str">
        <f t="shared" si="0"/>
        <v/>
      </c>
      <c r="AL38" s="1228"/>
    </row>
    <row r="39" spans="1:60" s="249" customFormat="1">
      <c r="A39" s="2222"/>
      <c r="B39" s="2223"/>
      <c r="C39" s="2223"/>
      <c r="D39" s="2223"/>
      <c r="E39" s="2226"/>
      <c r="F39" s="2223"/>
      <c r="G39" s="2223"/>
      <c r="H39" s="2223"/>
      <c r="I39" s="2222"/>
      <c r="J39" s="2223"/>
      <c r="K39" s="2238"/>
      <c r="L39" s="251" t="str">
        <f t="shared" si="1"/>
        <v/>
      </c>
      <c r="M39" s="1523" t="str">
        <f t="shared" si="2"/>
        <v/>
      </c>
      <c r="N39" s="1002"/>
      <c r="O39" s="36"/>
      <c r="P39" s="36"/>
      <c r="Q39" s="36"/>
      <c r="R39" s="36"/>
      <c r="S39" s="39">
        <f>SUM(Table69[[#This Row],[Y1 Q1 quantity]:[Y1 Q4 quantity]])</f>
        <v>0</v>
      </c>
      <c r="T39" s="1005">
        <f>Table69[[#This Row],[Y1 Unit cost]]*Table69[[#This Row],[Y1 Total quantity]]</f>
        <v>0</v>
      </c>
      <c r="U39" s="1002"/>
      <c r="V39" s="36"/>
      <c r="W39" s="36"/>
      <c r="X39" s="36"/>
      <c r="Y39" s="36"/>
      <c r="Z39" s="39">
        <f>SUM(Table69[[#This Row],[Y2 Q1 quantity]:[Y2 Q4 quantity]])</f>
        <v>0</v>
      </c>
      <c r="AA39" s="1005">
        <f>Table69[[#This Row],[Y2 Unit cost]]*Table69[[#This Row],[Y2 Total quantity]]</f>
        <v>0</v>
      </c>
      <c r="AB39" s="1002"/>
      <c r="AC39" s="36"/>
      <c r="AD39" s="36"/>
      <c r="AE39" s="36"/>
      <c r="AF39" s="36"/>
      <c r="AG39" s="39">
        <f>SUM(Table69[[#This Row],[Y3 Q1 quantity]:[Y3 Q4 quantity]])</f>
        <v>0</v>
      </c>
      <c r="AH39" s="1005">
        <f>Table69[[#This Row],[Y3 Unit cost]]*Table69[[#This Row],[Y3 Total quantity]]</f>
        <v>0</v>
      </c>
      <c r="AI39" s="39">
        <f>Table69[[#This Row],[Y1 Total quantity]]+Table69[[#This Row],[Y2 Total quantity]]+Table69[[#This Row],[Y3 Total quantity]]</f>
        <v>0</v>
      </c>
      <c r="AJ39" s="1005">
        <f>Table69[[#This Row],[Y1 Total cost]]+Table69[[#This Row],[Y2 Total cost]]+Table69[[#This Row],[Y3 Total cost]]</f>
        <v>0</v>
      </c>
      <c r="AK39" s="43" t="str">
        <f t="shared" si="0"/>
        <v/>
      </c>
      <c r="AL39" s="1227"/>
    </row>
    <row r="40" spans="1:60" s="249" customFormat="1" ht="15" thickBot="1">
      <c r="A40" s="2224"/>
      <c r="B40" s="2225"/>
      <c r="C40" s="2225"/>
      <c r="D40" s="2225"/>
      <c r="E40" s="2284"/>
      <c r="F40" s="2225"/>
      <c r="G40" s="2225"/>
      <c r="H40" s="2225"/>
      <c r="I40" s="2219"/>
      <c r="J40" s="2220"/>
      <c r="K40" s="2221"/>
      <c r="L40" s="252" t="str">
        <f t="shared" si="1"/>
        <v/>
      </c>
      <c r="M40" s="253" t="str">
        <f t="shared" si="2"/>
        <v/>
      </c>
      <c r="N40" s="1001"/>
      <c r="O40" s="35"/>
      <c r="P40" s="35"/>
      <c r="Q40" s="35"/>
      <c r="R40" s="35"/>
      <c r="S40" s="38">
        <f>SUM(Table69[[#This Row],[Y1 Q1 quantity]:[Y1 Q4 quantity]])</f>
        <v>0</v>
      </c>
      <c r="T40" s="1004">
        <f>Table69[[#This Row],[Y1 Unit cost]]*Table69[[#This Row],[Y1 Total quantity]]</f>
        <v>0</v>
      </c>
      <c r="U40" s="1001"/>
      <c r="V40" s="35"/>
      <c r="W40" s="35"/>
      <c r="X40" s="35"/>
      <c r="Y40" s="35"/>
      <c r="Z40" s="38">
        <f>SUM(Table69[[#This Row],[Y2 Q1 quantity]:[Y2 Q4 quantity]])</f>
        <v>0</v>
      </c>
      <c r="AA40" s="1004">
        <f>Table69[[#This Row],[Y2 Unit cost]]*Table69[[#This Row],[Y2 Total quantity]]</f>
        <v>0</v>
      </c>
      <c r="AB40" s="1001"/>
      <c r="AC40" s="35"/>
      <c r="AD40" s="35"/>
      <c r="AE40" s="35"/>
      <c r="AF40" s="35"/>
      <c r="AG40" s="38">
        <f>SUM(Table69[[#This Row],[Y3 Q1 quantity]:[Y3 Q4 quantity]])</f>
        <v>0</v>
      </c>
      <c r="AH40" s="1004">
        <f>Table69[[#This Row],[Y3 Unit cost]]*Table69[[#This Row],[Y3 Total quantity]]</f>
        <v>0</v>
      </c>
      <c r="AI40" s="38">
        <f>Table69[[#This Row],[Y1 Total quantity]]+Table69[[#This Row],[Y2 Total quantity]]+Table69[[#This Row],[Y3 Total quantity]]</f>
        <v>0</v>
      </c>
      <c r="AJ40" s="1005">
        <f>Table69[[#This Row],[Y1 Total cost]]+Table69[[#This Row],[Y2 Total cost]]+Table69[[#This Row],[Y3 Total cost]]</f>
        <v>0</v>
      </c>
      <c r="AK40" s="42" t="str">
        <f t="shared" si="0"/>
        <v/>
      </c>
      <c r="AL40" s="1233"/>
    </row>
    <row r="41" spans="1:60">
      <c r="A41" s="1524"/>
      <c r="B41" s="124"/>
      <c r="C41" s="124"/>
      <c r="D41" s="124"/>
      <c r="E41" s="124"/>
      <c r="F41" s="124"/>
      <c r="G41" s="124"/>
      <c r="H41" s="124"/>
      <c r="I41" s="124"/>
      <c r="J41" s="121"/>
      <c r="K41" s="121"/>
      <c r="L41" s="121"/>
      <c r="M41" s="144"/>
      <c r="N41" s="136"/>
      <c r="O41" s="121"/>
      <c r="P41" s="121"/>
      <c r="Q41" s="121"/>
      <c r="R41" s="121"/>
      <c r="S41" s="121"/>
      <c r="T41" s="121"/>
      <c r="U41" s="121"/>
      <c r="V41" s="121"/>
      <c r="W41" s="121"/>
      <c r="X41" s="121"/>
      <c r="Y41" s="121"/>
      <c r="Z41" s="121"/>
      <c r="AA41" s="121"/>
      <c r="AB41" s="121"/>
      <c r="AC41" s="121"/>
      <c r="AD41" s="121"/>
      <c r="AE41" s="121"/>
      <c r="AF41" s="401"/>
      <c r="AG41" s="401"/>
      <c r="AH41" s="121"/>
      <c r="AI41" s="171"/>
      <c r="AJ41" s="171"/>
      <c r="AV41" s="249"/>
      <c r="AW41" s="249"/>
      <c r="AX41" s="249"/>
      <c r="AY41" s="249"/>
      <c r="AZ41" s="249"/>
      <c r="BA41" s="249"/>
      <c r="BB41" s="249"/>
      <c r="BC41" s="249"/>
      <c r="BD41" s="249"/>
      <c r="BE41" s="249"/>
      <c r="BF41" s="249"/>
      <c r="BG41" s="249"/>
      <c r="BH41" s="249"/>
    </row>
    <row r="42" spans="1:60" ht="15" thickBot="1">
      <c r="A42" s="1524"/>
      <c r="B42" s="124"/>
      <c r="C42" s="124"/>
      <c r="D42" s="124"/>
      <c r="E42" s="124"/>
      <c r="F42" s="124"/>
      <c r="G42" s="121"/>
      <c r="H42" s="140"/>
      <c r="I42" s="140"/>
      <c r="J42" s="140"/>
      <c r="K42" s="140"/>
      <c r="L42" s="140"/>
      <c r="M42" s="169"/>
      <c r="N42" s="240"/>
      <c r="O42" s="140"/>
      <c r="P42" s="140"/>
      <c r="Q42" s="140"/>
      <c r="R42" s="140"/>
      <c r="S42" s="140"/>
      <c r="T42" s="140"/>
      <c r="U42" s="140"/>
      <c r="V42" s="140"/>
      <c r="W42" s="140"/>
      <c r="X42" s="140"/>
      <c r="Y42" s="140"/>
      <c r="Z42" s="140"/>
      <c r="AA42" s="140"/>
      <c r="AB42" s="140"/>
      <c r="AC42" s="140"/>
      <c r="AD42" s="140"/>
      <c r="AE42" s="140"/>
      <c r="AF42" s="140"/>
      <c r="AG42" s="169"/>
      <c r="AH42" s="121"/>
    </row>
    <row r="43" spans="1:60" ht="15" customHeight="1">
      <c r="A43" s="2273">
        <v>2</v>
      </c>
      <c r="B43" s="2272" t="s">
        <v>239</v>
      </c>
      <c r="C43" s="2272"/>
      <c r="D43" s="2272"/>
      <c r="E43" s="2069" t="s">
        <v>240</v>
      </c>
      <c r="F43" s="2069"/>
      <c r="G43" s="2069"/>
      <c r="H43" s="2042" t="s">
        <v>241</v>
      </c>
      <c r="I43" s="2042" t="s">
        <v>230</v>
      </c>
      <c r="J43" s="2215" t="s">
        <v>231</v>
      </c>
      <c r="K43" s="2138"/>
      <c r="L43" s="140"/>
      <c r="M43" s="169"/>
      <c r="N43" s="240"/>
      <c r="O43" s="140"/>
      <c r="P43" s="140"/>
      <c r="Q43" s="140"/>
      <c r="R43" s="140"/>
      <c r="S43" s="121"/>
      <c r="T43" s="121"/>
      <c r="U43" s="121"/>
      <c r="V43" s="121"/>
      <c r="W43" s="121"/>
      <c r="X43" s="121"/>
      <c r="Y43" s="121"/>
      <c r="Z43" s="121"/>
      <c r="AA43" s="121"/>
      <c r="AB43" s="121"/>
      <c r="AC43" s="121"/>
      <c r="AD43" s="121"/>
      <c r="AE43" s="121"/>
      <c r="AF43" s="121"/>
      <c r="AG43" s="144"/>
      <c r="AH43" s="121"/>
    </row>
    <row r="44" spans="1:60" ht="15" customHeight="1" thickBot="1">
      <c r="A44" s="2273"/>
      <c r="B44" s="2272"/>
      <c r="C44" s="2272"/>
      <c r="D44" s="2272"/>
      <c r="E44" s="2069" t="s">
        <v>242</v>
      </c>
      <c r="F44" s="2069"/>
      <c r="G44" s="2069"/>
      <c r="H44" s="2043"/>
      <c r="I44" s="2043"/>
      <c r="J44" s="2216"/>
      <c r="K44" s="2139"/>
      <c r="L44" s="140"/>
      <c r="M44" s="169"/>
      <c r="N44" s="240"/>
      <c r="O44" s="140"/>
      <c r="P44" s="140"/>
      <c r="Q44" s="140"/>
      <c r="R44" s="140"/>
      <c r="S44" s="121"/>
      <c r="T44" s="121"/>
      <c r="U44" s="121"/>
      <c r="V44" s="121"/>
      <c r="W44" s="121"/>
      <c r="X44" s="121"/>
      <c r="Y44" s="121"/>
      <c r="Z44" s="121"/>
      <c r="AA44" s="121"/>
      <c r="AB44" s="121"/>
      <c r="AC44" s="121"/>
      <c r="AD44" s="121"/>
      <c r="AE44" s="121"/>
      <c r="AF44" s="121"/>
      <c r="AG44" s="144"/>
      <c r="AH44" s="121"/>
    </row>
    <row r="45" spans="1:60" ht="95.25" customHeight="1">
      <c r="A45" s="2313" t="s">
        <v>6902</v>
      </c>
      <c r="B45" s="2081"/>
      <c r="C45" s="2081"/>
      <c r="D45" s="2081"/>
      <c r="E45" s="2081"/>
      <c r="F45" s="2081"/>
      <c r="G45" s="2081"/>
      <c r="H45" s="2081"/>
      <c r="I45" s="2081"/>
      <c r="J45" s="2081"/>
      <c r="K45" s="2081"/>
      <c r="L45" s="2081"/>
      <c r="M45" s="2081"/>
      <c r="N45" s="192"/>
      <c r="O45" s="139"/>
      <c r="P45" s="139"/>
      <c r="Q45" s="139"/>
      <c r="R45" s="139"/>
      <c r="S45" s="139"/>
      <c r="T45" s="139"/>
      <c r="U45" s="139"/>
      <c r="V45" s="139"/>
      <c r="W45" s="139"/>
      <c r="X45" s="139"/>
      <c r="Y45" s="139"/>
      <c r="Z45" s="139"/>
      <c r="AA45" s="139"/>
      <c r="AB45" s="139"/>
      <c r="AC45" s="139"/>
      <c r="AD45" s="139"/>
      <c r="AE45" s="139"/>
      <c r="AF45" s="139"/>
      <c r="AG45" s="160"/>
      <c r="AH45" s="139"/>
    </row>
    <row r="46" spans="1:60" ht="16" thickBot="1">
      <c r="A46" s="1525"/>
      <c r="B46" s="161"/>
      <c r="C46" s="161"/>
      <c r="D46" s="162"/>
      <c r="E46" s="162"/>
      <c r="F46" s="163"/>
      <c r="G46" s="163"/>
      <c r="H46" s="163"/>
      <c r="I46" s="163"/>
      <c r="J46" s="163"/>
      <c r="K46" s="163"/>
      <c r="L46" s="163"/>
      <c r="M46" s="164"/>
      <c r="N46" s="1520"/>
      <c r="O46" s="163"/>
      <c r="P46" s="163"/>
      <c r="Q46" s="163"/>
      <c r="R46" s="163"/>
      <c r="S46" s="163"/>
      <c r="T46" s="163"/>
      <c r="U46" s="163"/>
      <c r="V46" s="163"/>
      <c r="W46" s="163"/>
      <c r="X46" s="163"/>
      <c r="Y46" s="163"/>
      <c r="Z46" s="163"/>
      <c r="AA46" s="163"/>
      <c r="AB46" s="163"/>
      <c r="AC46" s="163"/>
      <c r="AD46" s="163"/>
      <c r="AE46" s="163"/>
      <c r="AF46" s="163"/>
      <c r="AG46" s="164"/>
      <c r="AH46" s="163"/>
    </row>
    <row r="47" spans="1:60" s="345" customFormat="1">
      <c r="A47" s="2239" t="s">
        <v>1233</v>
      </c>
      <c r="B47" s="2231"/>
      <c r="C47" s="2231"/>
      <c r="D47" s="2231"/>
      <c r="E47" s="2241" t="s">
        <v>105</v>
      </c>
      <c r="F47" s="2231"/>
      <c r="G47" s="2231"/>
      <c r="H47" s="2242"/>
      <c r="I47" s="2233" t="s">
        <v>243</v>
      </c>
      <c r="J47" s="2233"/>
      <c r="K47" s="2234"/>
      <c r="L47" s="2231" t="s">
        <v>244</v>
      </c>
      <c r="M47" s="2242" t="s">
        <v>49</v>
      </c>
      <c r="N47" s="2205" t="str">
        <f>N12</f>
        <v>Please fill setup</v>
      </c>
      <c r="O47" s="2205"/>
      <c r="P47" s="2205"/>
      <c r="Q47" s="2205"/>
      <c r="R47" s="2205"/>
      <c r="S47" s="2205"/>
      <c r="T47" s="2227"/>
      <c r="U47" s="2205" t="str">
        <f>U12</f>
        <v>Please fill setup</v>
      </c>
      <c r="V47" s="2205"/>
      <c r="W47" s="2205"/>
      <c r="X47" s="2205"/>
      <c r="Y47" s="2205"/>
      <c r="Z47" s="2205"/>
      <c r="AA47" s="2206"/>
      <c r="AB47" s="2207" t="str">
        <f>AB12</f>
        <v>Please fill setup</v>
      </c>
      <c r="AC47" s="2205"/>
      <c r="AD47" s="2205"/>
      <c r="AE47" s="2205"/>
      <c r="AF47" s="2205"/>
      <c r="AG47" s="2205"/>
      <c r="AH47" s="2206"/>
      <c r="AI47" s="2116" t="s">
        <v>152</v>
      </c>
      <c r="AJ47" s="2166"/>
      <c r="AK47" s="544" t="s">
        <v>153</v>
      </c>
      <c r="AL47" s="2167" t="s">
        <v>6865</v>
      </c>
      <c r="AV47" s="105"/>
      <c r="AW47" s="105"/>
      <c r="AX47" s="105"/>
      <c r="AY47" s="105"/>
      <c r="AZ47" s="105"/>
      <c r="BA47" s="105"/>
      <c r="BB47" s="105"/>
      <c r="BC47" s="105"/>
      <c r="BD47" s="105"/>
      <c r="BE47" s="105"/>
      <c r="BF47" s="105"/>
      <c r="BG47" s="105"/>
      <c r="BH47" s="105"/>
    </row>
    <row r="48" spans="1:60" s="409" customFormat="1" ht="26.5" thickBot="1">
      <c r="A48" s="2182"/>
      <c r="B48" s="2180"/>
      <c r="C48" s="2180"/>
      <c r="D48" s="2180"/>
      <c r="E48" s="2243"/>
      <c r="F48" s="2180"/>
      <c r="G48" s="2180"/>
      <c r="H48" s="2244"/>
      <c r="I48" s="2235"/>
      <c r="J48" s="2235"/>
      <c r="K48" s="2177"/>
      <c r="L48" s="2180"/>
      <c r="M48" s="2244"/>
      <c r="N48" s="1491" t="s">
        <v>198</v>
      </c>
      <c r="O48" s="173" t="s">
        <v>155</v>
      </c>
      <c r="P48" s="173" t="s">
        <v>156</v>
      </c>
      <c r="Q48" s="173" t="s">
        <v>157</v>
      </c>
      <c r="R48" s="173" t="s">
        <v>158</v>
      </c>
      <c r="S48" s="173" t="s">
        <v>159</v>
      </c>
      <c r="T48" s="1003" t="s">
        <v>160</v>
      </c>
      <c r="U48" s="1000" t="s">
        <v>161</v>
      </c>
      <c r="V48" s="173" t="s">
        <v>162</v>
      </c>
      <c r="W48" s="173" t="s">
        <v>163</v>
      </c>
      <c r="X48" s="173" t="s">
        <v>164</v>
      </c>
      <c r="Y48" s="173" t="s">
        <v>165</v>
      </c>
      <c r="Z48" s="173" t="s">
        <v>166</v>
      </c>
      <c r="AA48" s="1000" t="s">
        <v>167</v>
      </c>
      <c r="AB48" s="1006" t="s">
        <v>168</v>
      </c>
      <c r="AC48" s="173" t="s">
        <v>169</v>
      </c>
      <c r="AD48" s="173" t="s">
        <v>170</v>
      </c>
      <c r="AE48" s="173" t="s">
        <v>171</v>
      </c>
      <c r="AF48" s="173" t="s">
        <v>172</v>
      </c>
      <c r="AG48" s="173" t="s">
        <v>173</v>
      </c>
      <c r="AH48" s="1003" t="s">
        <v>174</v>
      </c>
      <c r="AI48" s="545" t="s">
        <v>175</v>
      </c>
      <c r="AJ48" s="1000" t="s">
        <v>176</v>
      </c>
      <c r="AK48" s="159" t="s">
        <v>177</v>
      </c>
      <c r="AL48" s="2168"/>
      <c r="AV48" s="345"/>
      <c r="AW48" s="345"/>
      <c r="AX48" s="345"/>
      <c r="AY48" s="345"/>
      <c r="AZ48" s="345"/>
      <c r="BA48" s="345"/>
      <c r="BB48" s="345"/>
      <c r="BC48" s="345"/>
      <c r="BD48" s="345"/>
      <c r="BE48" s="345"/>
      <c r="BF48" s="345"/>
      <c r="BG48" s="345"/>
      <c r="BH48" s="345"/>
    </row>
    <row r="49" spans="1:60" s="249" customFormat="1">
      <c r="A49" s="2169"/>
      <c r="B49" s="2106"/>
      <c r="C49" s="2106"/>
      <c r="D49" s="2106"/>
      <c r="E49" s="2232"/>
      <c r="F49" s="2229"/>
      <c r="G49" s="2229"/>
      <c r="H49" s="2229"/>
      <c r="I49" s="2228"/>
      <c r="J49" s="2229"/>
      <c r="K49" s="2230"/>
      <c r="L49" s="264" t="str">
        <f>IF(I49="","",IF(ISNUMBER(SEARCH("1 test",I49)),"Piece","Pack"))</f>
        <v/>
      </c>
      <c r="M49" s="1526" t="str">
        <f>IF(L49="", "","USD")</f>
        <v/>
      </c>
      <c r="N49" s="1001"/>
      <c r="O49" s="35"/>
      <c r="P49" s="35"/>
      <c r="Q49" s="35"/>
      <c r="R49" s="35"/>
      <c r="S49" s="38">
        <f>SUM(Table6914[[#This Row],[Y1 Q1 quantity]:[Y1 Q4 quantity]])</f>
        <v>0</v>
      </c>
      <c r="T49" s="1004">
        <f>Table6914[[#This Row],[Y1 Unit cost]]*Table6914[[#This Row],[Y1 Total quantity]]</f>
        <v>0</v>
      </c>
      <c r="U49" s="1008"/>
      <c r="V49" s="35"/>
      <c r="W49" s="35"/>
      <c r="X49" s="35"/>
      <c r="Y49" s="35"/>
      <c r="Z49" s="38">
        <f>SUM(Table6914[[#This Row],[Y2 Q1 quantity]:[Y2 Q4 quantity]])</f>
        <v>0</v>
      </c>
      <c r="AA49" s="1010">
        <f>Table6914[[#This Row],[Y2 Unit cost]]*Table6914[[#This Row],[Y2 Total quantity]]</f>
        <v>0</v>
      </c>
      <c r="AB49" s="1008"/>
      <c r="AC49" s="35"/>
      <c r="AD49" s="35"/>
      <c r="AE49" s="35"/>
      <c r="AF49" s="35"/>
      <c r="AG49" s="38">
        <f>SUM(Table6914[[#This Row],[Y3 Q1 quantity]:[Y3 Q4 quantity]])</f>
        <v>0</v>
      </c>
      <c r="AH49" s="1004">
        <f>Table6914[[#This Row],[Y3 Unit cost]]*Table6914[[#This Row],[Y3 Total quantity]]</f>
        <v>0</v>
      </c>
      <c r="AI49" s="33">
        <f>Table6914[[#This Row],[Y1 Total quantity]]+Table6914[[#This Row],[Y2 Total quantity]]+Table6914[[#This Row],[Y3 Total quantity]]</f>
        <v>0</v>
      </c>
      <c r="AJ49" s="1012">
        <f>Table6914[[#This Row],[Y1 Total cost]]+Table6914[[#This Row],[Y2 Total cost]]+Table6914[[#This Row],[Y3 Total cost]]</f>
        <v>0</v>
      </c>
      <c r="AK49" s="42" t="str">
        <f>IF(ISBLANK(E49),"","5.4")</f>
        <v/>
      </c>
      <c r="AL49" s="1228"/>
      <c r="AV49" s="409"/>
      <c r="AW49" s="409"/>
      <c r="AX49" s="409"/>
      <c r="AY49" s="409"/>
      <c r="AZ49" s="409"/>
      <c r="BA49" s="409"/>
      <c r="BB49" s="409"/>
      <c r="BC49" s="409"/>
      <c r="BD49" s="409"/>
      <c r="BE49" s="409"/>
      <c r="BF49" s="409"/>
      <c r="BG49" s="409"/>
      <c r="BH49" s="409"/>
    </row>
    <row r="50" spans="1:60" s="249" customFormat="1">
      <c r="A50" s="2240"/>
      <c r="B50" s="2126"/>
      <c r="C50" s="2126"/>
      <c r="D50" s="2126"/>
      <c r="E50" s="2213"/>
      <c r="F50" s="2126"/>
      <c r="G50" s="2126"/>
      <c r="H50" s="2126"/>
      <c r="I50" s="2240"/>
      <c r="J50" s="2126"/>
      <c r="K50" s="2287"/>
      <c r="L50" s="265" t="str">
        <f t="shared" ref="L50:L74" si="3">IF(I50="","",IF(ISNUMBER(SEARCH("1 test",I50)),"Piece","Pack"))</f>
        <v/>
      </c>
      <c r="M50" s="1527" t="str">
        <f>IF(L50="", "","USD")</f>
        <v/>
      </c>
      <c r="N50" s="1002"/>
      <c r="O50" s="36"/>
      <c r="P50" s="36"/>
      <c r="Q50" s="36"/>
      <c r="R50" s="36"/>
      <c r="S50" s="39">
        <f>SUM(Table6914[[#This Row],[Y1 Q1 quantity]:[Y1 Q4 quantity]])</f>
        <v>0</v>
      </c>
      <c r="T50" s="1005">
        <f>Table6914[[#This Row],[Y1 Unit cost]]*Table6914[[#This Row],[Y1 Total quantity]]</f>
        <v>0</v>
      </c>
      <c r="U50" s="1009"/>
      <c r="V50" s="36"/>
      <c r="W50" s="36"/>
      <c r="X50" s="36"/>
      <c r="Y50" s="36"/>
      <c r="Z50" s="39">
        <f>SUM(Table6914[[#This Row],[Y2 Q1 quantity]:[Y2 Q4 quantity]])</f>
        <v>0</v>
      </c>
      <c r="AA50" s="1011">
        <f>Table6914[[#This Row],[Y2 Unit cost]]*Table6914[[#This Row],[Y2 Total quantity]]</f>
        <v>0</v>
      </c>
      <c r="AB50" s="1009"/>
      <c r="AC50" s="36"/>
      <c r="AD50" s="36"/>
      <c r="AE50" s="36"/>
      <c r="AF50" s="36"/>
      <c r="AG50" s="39">
        <f>SUM(Table6914[[#This Row],[Y3 Q1 quantity]:[Y3 Q4 quantity]])</f>
        <v>0</v>
      </c>
      <c r="AH50" s="1005">
        <f>Table6914[[#This Row],[Y3 Unit cost]]*Table6914[[#This Row],[Y3 Total quantity]]</f>
        <v>0</v>
      </c>
      <c r="AI50" s="34">
        <f>Table6914[[#This Row],[Y1 Total quantity]]+Table6914[[#This Row],[Y2 Total quantity]]+Table6914[[#This Row],[Y3 Total quantity]]</f>
        <v>0</v>
      </c>
      <c r="AJ50" s="1013">
        <f>Table6914[[#This Row],[Y1 Total cost]]+Table6914[[#This Row],[Y2 Total cost]]+Table6914[[#This Row],[Y3 Total cost]]</f>
        <v>0</v>
      </c>
      <c r="AK50" s="43" t="str">
        <f t="shared" ref="AK50:AK74" si="4">IF(ISBLANK(E50),"","5.4")</f>
        <v/>
      </c>
      <c r="AL50" s="1227"/>
    </row>
    <row r="51" spans="1:60" s="249" customFormat="1">
      <c r="A51" s="2169"/>
      <c r="B51" s="2106"/>
      <c r="C51" s="2106"/>
      <c r="D51" s="2106"/>
      <c r="E51" s="2204"/>
      <c r="F51" s="2106"/>
      <c r="G51" s="2106"/>
      <c r="H51" s="2106"/>
      <c r="I51" s="2169"/>
      <c r="J51" s="2106"/>
      <c r="K51" s="2208"/>
      <c r="L51" s="264" t="str">
        <f t="shared" si="3"/>
        <v/>
      </c>
      <c r="M51" s="1526" t="str">
        <f>IF(L51="", "","USD")</f>
        <v/>
      </c>
      <c r="N51" s="1001"/>
      <c r="O51" s="35"/>
      <c r="P51" s="35"/>
      <c r="Q51" s="35"/>
      <c r="R51" s="35"/>
      <c r="S51" s="38">
        <f>SUM(Table6914[[#This Row],[Y1 Q1 quantity]:[Y1 Q4 quantity]])</f>
        <v>0</v>
      </c>
      <c r="T51" s="1004">
        <f>Table6914[[#This Row],[Y1 Unit cost]]*Table6914[[#This Row],[Y1 Total quantity]]</f>
        <v>0</v>
      </c>
      <c r="U51" s="1008"/>
      <c r="V51" s="35"/>
      <c r="W51" s="35"/>
      <c r="X51" s="35"/>
      <c r="Y51" s="35"/>
      <c r="Z51" s="38">
        <f>SUM(Table6914[[#This Row],[Y2 Q1 quantity]:[Y2 Q4 quantity]])</f>
        <v>0</v>
      </c>
      <c r="AA51" s="1010">
        <f>Table6914[[#This Row],[Y2 Unit cost]]*Table6914[[#This Row],[Y2 Total quantity]]</f>
        <v>0</v>
      </c>
      <c r="AB51" s="1008"/>
      <c r="AC51" s="35"/>
      <c r="AD51" s="35"/>
      <c r="AE51" s="35"/>
      <c r="AF51" s="35"/>
      <c r="AG51" s="38">
        <f>SUM(Table6914[[#This Row],[Y3 Q1 quantity]:[Y3 Q4 quantity]])</f>
        <v>0</v>
      </c>
      <c r="AH51" s="1004">
        <f>Table6914[[#This Row],[Y3 Unit cost]]*Table6914[[#This Row],[Y3 Total quantity]]</f>
        <v>0</v>
      </c>
      <c r="AI51" s="33">
        <f>Table6914[[#This Row],[Y1 Total quantity]]+Table6914[[#This Row],[Y2 Total quantity]]+Table6914[[#This Row],[Y3 Total quantity]]</f>
        <v>0</v>
      </c>
      <c r="AJ51" s="1012">
        <f>Table6914[[#This Row],[Y1 Total cost]]+Table6914[[#This Row],[Y2 Total cost]]+Table6914[[#This Row],[Y3 Total cost]]</f>
        <v>0</v>
      </c>
      <c r="AK51" s="42" t="str">
        <f t="shared" si="4"/>
        <v/>
      </c>
      <c r="AL51" s="1228"/>
    </row>
    <row r="52" spans="1:60" s="249" customFormat="1">
      <c r="A52" s="2240"/>
      <c r="B52" s="2126"/>
      <c r="C52" s="2126"/>
      <c r="D52" s="2126"/>
      <c r="E52" s="2213"/>
      <c r="F52" s="2126"/>
      <c r="G52" s="2126"/>
      <c r="H52" s="2126"/>
      <c r="I52" s="2170"/>
      <c r="J52" s="2109"/>
      <c r="K52" s="2214"/>
      <c r="L52" s="265" t="str">
        <f t="shared" si="3"/>
        <v/>
      </c>
      <c r="M52" s="1528" t="str">
        <f t="shared" ref="M52:M74" si="5">IF(L52="", "","USD")</f>
        <v/>
      </c>
      <c r="N52" s="1002"/>
      <c r="O52" s="36"/>
      <c r="P52" s="36"/>
      <c r="Q52" s="36"/>
      <c r="R52" s="36"/>
      <c r="S52" s="39">
        <f>SUM(Table6914[[#This Row],[Y1 Q1 quantity]:[Y1 Q4 quantity]])</f>
        <v>0</v>
      </c>
      <c r="T52" s="1005">
        <f>Table6914[[#This Row],[Y1 Unit cost]]*Table6914[[#This Row],[Y1 Total quantity]]</f>
        <v>0</v>
      </c>
      <c r="U52" s="1009"/>
      <c r="V52" s="36"/>
      <c r="W52" s="36"/>
      <c r="X52" s="36"/>
      <c r="Y52" s="36"/>
      <c r="Z52" s="39">
        <f>SUM(Table6914[[#This Row],[Y2 Q1 quantity]:[Y2 Q4 quantity]])</f>
        <v>0</v>
      </c>
      <c r="AA52" s="1011">
        <f>Table6914[[#This Row],[Y2 Unit cost]]*Table6914[[#This Row],[Y2 Total quantity]]</f>
        <v>0</v>
      </c>
      <c r="AB52" s="1009"/>
      <c r="AC52" s="36"/>
      <c r="AD52" s="36"/>
      <c r="AE52" s="36"/>
      <c r="AF52" s="36"/>
      <c r="AG52" s="39">
        <f>SUM(Table6914[[#This Row],[Y3 Q1 quantity]:[Y3 Q4 quantity]])</f>
        <v>0</v>
      </c>
      <c r="AH52" s="1005">
        <f>Table6914[[#This Row],[Y3 Unit cost]]*Table6914[[#This Row],[Y3 Total quantity]]</f>
        <v>0</v>
      </c>
      <c r="AI52" s="34">
        <f>Table6914[[#This Row],[Y1 Total quantity]]+Table6914[[#This Row],[Y2 Total quantity]]+Table6914[[#This Row],[Y3 Total quantity]]</f>
        <v>0</v>
      </c>
      <c r="AJ52" s="1013">
        <f>Table6914[[#This Row],[Y1 Total cost]]+Table6914[[#This Row],[Y2 Total cost]]+Table6914[[#This Row],[Y3 Total cost]]</f>
        <v>0</v>
      </c>
      <c r="AK52" s="43" t="str">
        <f t="shared" si="4"/>
        <v/>
      </c>
      <c r="AL52" s="1227"/>
    </row>
    <row r="53" spans="1:60" s="249" customFormat="1">
      <c r="A53" s="2169"/>
      <c r="B53" s="2106"/>
      <c r="C53" s="2106"/>
      <c r="D53" s="2106"/>
      <c r="E53" s="2204"/>
      <c r="F53" s="2106"/>
      <c r="G53" s="2106"/>
      <c r="H53" s="2106"/>
      <c r="I53" s="2169"/>
      <c r="J53" s="2106"/>
      <c r="K53" s="2208"/>
      <c r="L53" s="264" t="str">
        <f t="shared" si="3"/>
        <v/>
      </c>
      <c r="M53" s="1526" t="str">
        <f t="shared" si="5"/>
        <v/>
      </c>
      <c r="N53" s="1001"/>
      <c r="O53" s="35"/>
      <c r="P53" s="35"/>
      <c r="Q53" s="35"/>
      <c r="R53" s="35"/>
      <c r="S53" s="38">
        <f>SUM(Table6914[[#This Row],[Y1 Q1 quantity]:[Y1 Q4 quantity]])</f>
        <v>0</v>
      </c>
      <c r="T53" s="1004">
        <f>Table6914[[#This Row],[Y1 Unit cost]]*Table6914[[#This Row],[Y1 Total quantity]]</f>
        <v>0</v>
      </c>
      <c r="U53" s="1008"/>
      <c r="V53" s="35"/>
      <c r="W53" s="35"/>
      <c r="X53" s="35"/>
      <c r="Y53" s="35"/>
      <c r="Z53" s="38">
        <f>SUM(Table6914[[#This Row],[Y2 Q1 quantity]:[Y2 Q4 quantity]])</f>
        <v>0</v>
      </c>
      <c r="AA53" s="1010">
        <f>Table6914[[#This Row],[Y2 Unit cost]]*Table6914[[#This Row],[Y2 Total quantity]]</f>
        <v>0</v>
      </c>
      <c r="AB53" s="1008"/>
      <c r="AC53" s="35"/>
      <c r="AD53" s="35"/>
      <c r="AE53" s="35"/>
      <c r="AF53" s="35"/>
      <c r="AG53" s="38">
        <f>SUM(Table6914[[#This Row],[Y3 Q1 quantity]:[Y3 Q4 quantity]])</f>
        <v>0</v>
      </c>
      <c r="AH53" s="1004">
        <f>Table6914[[#This Row],[Y3 Unit cost]]*Table6914[[#This Row],[Y3 Total quantity]]</f>
        <v>0</v>
      </c>
      <c r="AI53" s="33">
        <f>Table6914[[#This Row],[Y1 Total quantity]]+Table6914[[#This Row],[Y2 Total quantity]]+Table6914[[#This Row],[Y3 Total quantity]]</f>
        <v>0</v>
      </c>
      <c r="AJ53" s="1012">
        <f>Table6914[[#This Row],[Y1 Total cost]]+Table6914[[#This Row],[Y2 Total cost]]+Table6914[[#This Row],[Y3 Total cost]]</f>
        <v>0</v>
      </c>
      <c r="AK53" s="42" t="str">
        <f t="shared" si="4"/>
        <v/>
      </c>
      <c r="AL53" s="1228"/>
    </row>
    <row r="54" spans="1:60" s="249" customFormat="1">
      <c r="A54" s="2240"/>
      <c r="B54" s="2126"/>
      <c r="C54" s="2126"/>
      <c r="D54" s="2126"/>
      <c r="E54" s="2213"/>
      <c r="F54" s="2126"/>
      <c r="G54" s="2126"/>
      <c r="H54" s="2126"/>
      <c r="I54" s="2170"/>
      <c r="J54" s="2109"/>
      <c r="K54" s="2214"/>
      <c r="L54" s="265" t="str">
        <f t="shared" si="3"/>
        <v/>
      </c>
      <c r="M54" s="1528" t="str">
        <f t="shared" si="5"/>
        <v/>
      </c>
      <c r="N54" s="1002"/>
      <c r="O54" s="36"/>
      <c r="P54" s="36"/>
      <c r="Q54" s="36"/>
      <c r="R54" s="36"/>
      <c r="S54" s="39">
        <f>SUM(Table6914[[#This Row],[Y1 Q1 quantity]:[Y1 Q4 quantity]])</f>
        <v>0</v>
      </c>
      <c r="T54" s="1005">
        <f>Table6914[[#This Row],[Y1 Unit cost]]*Table6914[[#This Row],[Y1 Total quantity]]</f>
        <v>0</v>
      </c>
      <c r="U54" s="1009"/>
      <c r="V54" s="36"/>
      <c r="W54" s="36"/>
      <c r="X54" s="36"/>
      <c r="Y54" s="36"/>
      <c r="Z54" s="39">
        <f>SUM(Table6914[[#This Row],[Y2 Q1 quantity]:[Y2 Q4 quantity]])</f>
        <v>0</v>
      </c>
      <c r="AA54" s="1011">
        <f>Table6914[[#This Row],[Y2 Unit cost]]*Table6914[[#This Row],[Y2 Total quantity]]</f>
        <v>0</v>
      </c>
      <c r="AB54" s="1009"/>
      <c r="AC54" s="36"/>
      <c r="AD54" s="36"/>
      <c r="AE54" s="36"/>
      <c r="AF54" s="36"/>
      <c r="AG54" s="39">
        <f>SUM(Table6914[[#This Row],[Y3 Q1 quantity]:[Y3 Q4 quantity]])</f>
        <v>0</v>
      </c>
      <c r="AH54" s="1005">
        <f>Table6914[[#This Row],[Y3 Unit cost]]*Table6914[[#This Row],[Y3 Total quantity]]</f>
        <v>0</v>
      </c>
      <c r="AI54" s="34">
        <f>Table6914[[#This Row],[Y1 Total quantity]]+Table6914[[#This Row],[Y2 Total quantity]]+Table6914[[#This Row],[Y3 Total quantity]]</f>
        <v>0</v>
      </c>
      <c r="AJ54" s="1013">
        <f>Table6914[[#This Row],[Y1 Total cost]]+Table6914[[#This Row],[Y2 Total cost]]+Table6914[[#This Row],[Y3 Total cost]]</f>
        <v>0</v>
      </c>
      <c r="AK54" s="43" t="str">
        <f t="shared" si="4"/>
        <v/>
      </c>
      <c r="AL54" s="1227"/>
    </row>
    <row r="55" spans="1:60" s="249" customFormat="1">
      <c r="A55" s="2169"/>
      <c r="B55" s="2106"/>
      <c r="C55" s="2106"/>
      <c r="D55" s="2106"/>
      <c r="E55" s="2204"/>
      <c r="F55" s="2106"/>
      <c r="G55" s="2106"/>
      <c r="H55" s="2106"/>
      <c r="I55" s="2169"/>
      <c r="J55" s="2106"/>
      <c r="K55" s="2208"/>
      <c r="L55" s="264" t="str">
        <f t="shared" si="3"/>
        <v/>
      </c>
      <c r="M55" s="1526" t="str">
        <f t="shared" si="5"/>
        <v/>
      </c>
      <c r="N55" s="1001"/>
      <c r="O55" s="35"/>
      <c r="P55" s="35"/>
      <c r="Q55" s="35"/>
      <c r="R55" s="35"/>
      <c r="S55" s="38">
        <f>SUM(Table6914[[#This Row],[Y1 Q1 quantity]:[Y1 Q4 quantity]])</f>
        <v>0</v>
      </c>
      <c r="T55" s="1004">
        <f>Table6914[[#This Row],[Y1 Unit cost]]*Table6914[[#This Row],[Y1 Total quantity]]</f>
        <v>0</v>
      </c>
      <c r="U55" s="1008"/>
      <c r="V55" s="35"/>
      <c r="W55" s="35"/>
      <c r="X55" s="35"/>
      <c r="Y55" s="35"/>
      <c r="Z55" s="38">
        <f>SUM(Table6914[[#This Row],[Y2 Q1 quantity]:[Y2 Q4 quantity]])</f>
        <v>0</v>
      </c>
      <c r="AA55" s="1010">
        <f>Table6914[[#This Row],[Y2 Unit cost]]*Table6914[[#This Row],[Y2 Total quantity]]</f>
        <v>0</v>
      </c>
      <c r="AB55" s="1008"/>
      <c r="AC55" s="35"/>
      <c r="AD55" s="35"/>
      <c r="AE55" s="35"/>
      <c r="AF55" s="35"/>
      <c r="AG55" s="38">
        <f>SUM(Table6914[[#This Row],[Y3 Q1 quantity]:[Y3 Q4 quantity]])</f>
        <v>0</v>
      </c>
      <c r="AH55" s="1004">
        <f>Table6914[[#This Row],[Y3 Unit cost]]*Table6914[[#This Row],[Y3 Total quantity]]</f>
        <v>0</v>
      </c>
      <c r="AI55" s="33">
        <f>Table6914[[#This Row],[Y1 Total quantity]]+Table6914[[#This Row],[Y2 Total quantity]]+Table6914[[#This Row],[Y3 Total quantity]]</f>
        <v>0</v>
      </c>
      <c r="AJ55" s="1012">
        <f>Table6914[[#This Row],[Y1 Total cost]]+Table6914[[#This Row],[Y2 Total cost]]+Table6914[[#This Row],[Y3 Total cost]]</f>
        <v>0</v>
      </c>
      <c r="AK55" s="42" t="str">
        <f t="shared" si="4"/>
        <v/>
      </c>
      <c r="AL55" s="1228"/>
    </row>
    <row r="56" spans="1:60" s="249" customFormat="1">
      <c r="A56" s="2240"/>
      <c r="B56" s="2126"/>
      <c r="C56" s="2126"/>
      <c r="D56" s="2126"/>
      <c r="E56" s="2213"/>
      <c r="F56" s="2126"/>
      <c r="G56" s="2126"/>
      <c r="H56" s="2126"/>
      <c r="I56" s="2170"/>
      <c r="J56" s="2109"/>
      <c r="K56" s="2214"/>
      <c r="L56" s="265" t="str">
        <f t="shared" si="3"/>
        <v/>
      </c>
      <c r="M56" s="1528" t="str">
        <f t="shared" si="5"/>
        <v/>
      </c>
      <c r="N56" s="1002"/>
      <c r="O56" s="36"/>
      <c r="P56" s="36"/>
      <c r="Q56" s="36"/>
      <c r="R56" s="36"/>
      <c r="S56" s="39">
        <f>SUM(Table6914[[#This Row],[Y1 Q1 quantity]:[Y1 Q4 quantity]])</f>
        <v>0</v>
      </c>
      <c r="T56" s="1005">
        <f>Table6914[[#This Row],[Y1 Unit cost]]*Table6914[[#This Row],[Y1 Total quantity]]</f>
        <v>0</v>
      </c>
      <c r="U56" s="1009"/>
      <c r="V56" s="36"/>
      <c r="W56" s="36"/>
      <c r="X56" s="36"/>
      <c r="Y56" s="36"/>
      <c r="Z56" s="39">
        <f>SUM(Table6914[[#This Row],[Y2 Q1 quantity]:[Y2 Q4 quantity]])</f>
        <v>0</v>
      </c>
      <c r="AA56" s="1011">
        <f>Table6914[[#This Row],[Y2 Unit cost]]*Table6914[[#This Row],[Y2 Total quantity]]</f>
        <v>0</v>
      </c>
      <c r="AB56" s="1009"/>
      <c r="AC56" s="36"/>
      <c r="AD56" s="36"/>
      <c r="AE56" s="36"/>
      <c r="AF56" s="36"/>
      <c r="AG56" s="39">
        <f>SUM(Table6914[[#This Row],[Y3 Q1 quantity]:[Y3 Q4 quantity]])</f>
        <v>0</v>
      </c>
      <c r="AH56" s="1005">
        <f>Table6914[[#This Row],[Y3 Unit cost]]*Table6914[[#This Row],[Y3 Total quantity]]</f>
        <v>0</v>
      </c>
      <c r="AI56" s="34">
        <f>Table6914[[#This Row],[Y1 Total quantity]]+Table6914[[#This Row],[Y2 Total quantity]]+Table6914[[#This Row],[Y3 Total quantity]]</f>
        <v>0</v>
      </c>
      <c r="AJ56" s="1013">
        <f>Table6914[[#This Row],[Y1 Total cost]]+Table6914[[#This Row],[Y2 Total cost]]+Table6914[[#This Row],[Y3 Total cost]]</f>
        <v>0</v>
      </c>
      <c r="AK56" s="43" t="str">
        <f t="shared" si="4"/>
        <v/>
      </c>
      <c r="AL56" s="1227"/>
    </row>
    <row r="57" spans="1:60" s="249" customFormat="1">
      <c r="A57" s="2169"/>
      <c r="B57" s="2106"/>
      <c r="C57" s="2106"/>
      <c r="D57" s="2106"/>
      <c r="E57" s="2204"/>
      <c r="F57" s="2106"/>
      <c r="G57" s="2106"/>
      <c r="H57" s="2106"/>
      <c r="I57" s="2169"/>
      <c r="J57" s="2106"/>
      <c r="K57" s="2208"/>
      <c r="L57" s="264" t="str">
        <f t="shared" si="3"/>
        <v/>
      </c>
      <c r="M57" s="1526" t="str">
        <f t="shared" si="5"/>
        <v/>
      </c>
      <c r="N57" s="1001"/>
      <c r="O57" s="35"/>
      <c r="P57" s="35"/>
      <c r="Q57" s="35"/>
      <c r="R57" s="35"/>
      <c r="S57" s="38">
        <f>SUM(Table6914[[#This Row],[Y1 Q1 quantity]:[Y1 Q4 quantity]])</f>
        <v>0</v>
      </c>
      <c r="T57" s="1004">
        <f>Table6914[[#This Row],[Y1 Unit cost]]*Table6914[[#This Row],[Y1 Total quantity]]</f>
        <v>0</v>
      </c>
      <c r="U57" s="1001"/>
      <c r="V57" s="35"/>
      <c r="W57" s="35"/>
      <c r="X57" s="35"/>
      <c r="Y57" s="35"/>
      <c r="Z57" s="38">
        <f>SUM(Table6914[[#This Row],[Y2 Q1 quantity]:[Y2 Q4 quantity]])</f>
        <v>0</v>
      </c>
      <c r="AA57" s="1010">
        <f>Table6914[[#This Row],[Y2 Unit cost]]*Table6914[[#This Row],[Y2 Total quantity]]</f>
        <v>0</v>
      </c>
      <c r="AB57" s="1008"/>
      <c r="AC57" s="35"/>
      <c r="AD57" s="35"/>
      <c r="AE57" s="35"/>
      <c r="AF57" s="35"/>
      <c r="AG57" s="38">
        <f>SUM(Table6914[[#This Row],[Y3 Q1 quantity]:[Y3 Q4 quantity]])</f>
        <v>0</v>
      </c>
      <c r="AH57" s="1004">
        <f>Table6914[[#This Row],[Y3 Unit cost]]*Table6914[[#This Row],[Y3 Total quantity]]</f>
        <v>0</v>
      </c>
      <c r="AI57" s="33">
        <f>Table6914[[#This Row],[Y1 Total quantity]]+Table6914[[#This Row],[Y2 Total quantity]]+Table6914[[#This Row],[Y3 Total quantity]]</f>
        <v>0</v>
      </c>
      <c r="AJ57" s="1012">
        <f>Table6914[[#This Row],[Y1 Total cost]]+Table6914[[#This Row],[Y2 Total cost]]+Table6914[[#This Row],[Y3 Total cost]]</f>
        <v>0</v>
      </c>
      <c r="AK57" s="42" t="str">
        <f t="shared" si="4"/>
        <v/>
      </c>
      <c r="AL57" s="1228"/>
    </row>
    <row r="58" spans="1:60" s="249" customFormat="1">
      <c r="A58" s="2240"/>
      <c r="B58" s="2126"/>
      <c r="C58" s="2126"/>
      <c r="D58" s="2126"/>
      <c r="E58" s="2213"/>
      <c r="F58" s="2126"/>
      <c r="G58" s="2126"/>
      <c r="H58" s="2126"/>
      <c r="I58" s="2170"/>
      <c r="J58" s="2109"/>
      <c r="K58" s="2214"/>
      <c r="L58" s="265" t="str">
        <f t="shared" si="3"/>
        <v/>
      </c>
      <c r="M58" s="1528" t="str">
        <f t="shared" si="5"/>
        <v/>
      </c>
      <c r="N58" s="1002"/>
      <c r="O58" s="36"/>
      <c r="P58" s="36"/>
      <c r="Q58" s="36"/>
      <c r="R58" s="36"/>
      <c r="S58" s="39">
        <f>SUM(Table6914[[#This Row],[Y1 Q1 quantity]:[Y1 Q4 quantity]])</f>
        <v>0</v>
      </c>
      <c r="T58" s="1005">
        <f>Table6914[[#This Row],[Y1 Unit cost]]*Table6914[[#This Row],[Y1 Total quantity]]</f>
        <v>0</v>
      </c>
      <c r="U58" s="1002"/>
      <c r="V58" s="36"/>
      <c r="W58" s="36"/>
      <c r="X58" s="36"/>
      <c r="Y58" s="36"/>
      <c r="Z58" s="39">
        <f>SUM(Table6914[[#This Row],[Y2 Q1 quantity]:[Y2 Q4 quantity]])</f>
        <v>0</v>
      </c>
      <c r="AA58" s="1011">
        <f>Table6914[[#This Row],[Y2 Unit cost]]*Table6914[[#This Row],[Y2 Total quantity]]</f>
        <v>0</v>
      </c>
      <c r="AB58" s="1009"/>
      <c r="AC58" s="36"/>
      <c r="AD58" s="36"/>
      <c r="AE58" s="36"/>
      <c r="AF58" s="36"/>
      <c r="AG58" s="39">
        <f>SUM(Table6914[[#This Row],[Y3 Q1 quantity]:[Y3 Q4 quantity]])</f>
        <v>0</v>
      </c>
      <c r="AH58" s="1005">
        <f>Table6914[[#This Row],[Y3 Unit cost]]*Table6914[[#This Row],[Y3 Total quantity]]</f>
        <v>0</v>
      </c>
      <c r="AI58" s="34">
        <f>Table6914[[#This Row],[Y1 Total quantity]]+Table6914[[#This Row],[Y2 Total quantity]]+Table6914[[#This Row],[Y3 Total quantity]]</f>
        <v>0</v>
      </c>
      <c r="AJ58" s="1013">
        <f>Table6914[[#This Row],[Y1 Total cost]]+Table6914[[#This Row],[Y2 Total cost]]+Table6914[[#This Row],[Y3 Total cost]]</f>
        <v>0</v>
      </c>
      <c r="AK58" s="43" t="str">
        <f t="shared" si="4"/>
        <v/>
      </c>
      <c r="AL58" s="1227"/>
    </row>
    <row r="59" spans="1:60" s="249" customFormat="1">
      <c r="A59" s="2169"/>
      <c r="B59" s="2106"/>
      <c r="C59" s="2106"/>
      <c r="D59" s="2106"/>
      <c r="E59" s="2204"/>
      <c r="F59" s="2106"/>
      <c r="G59" s="2106"/>
      <c r="H59" s="2106"/>
      <c r="I59" s="2169"/>
      <c r="J59" s="2106"/>
      <c r="K59" s="2208"/>
      <c r="L59" s="264" t="str">
        <f t="shared" si="3"/>
        <v/>
      </c>
      <c r="M59" s="1526" t="str">
        <f t="shared" si="5"/>
        <v/>
      </c>
      <c r="N59" s="1001"/>
      <c r="O59" s="35"/>
      <c r="P59" s="35"/>
      <c r="Q59" s="35"/>
      <c r="R59" s="35"/>
      <c r="S59" s="38">
        <f>SUM(Table6914[[#This Row],[Y1 Q1 quantity]:[Y1 Q4 quantity]])</f>
        <v>0</v>
      </c>
      <c r="T59" s="1004">
        <f>Table6914[[#This Row],[Y1 Unit cost]]*Table6914[[#This Row],[Y1 Total quantity]]</f>
        <v>0</v>
      </c>
      <c r="U59" s="1001"/>
      <c r="V59" s="35"/>
      <c r="W59" s="35"/>
      <c r="X59" s="35"/>
      <c r="Y59" s="35"/>
      <c r="Z59" s="38">
        <f>SUM(Table6914[[#This Row],[Y2 Q1 quantity]:[Y2 Q4 quantity]])</f>
        <v>0</v>
      </c>
      <c r="AA59" s="1010">
        <f>Table6914[[#This Row],[Y2 Unit cost]]*Table6914[[#This Row],[Y2 Total quantity]]</f>
        <v>0</v>
      </c>
      <c r="AB59" s="1008"/>
      <c r="AC59" s="35"/>
      <c r="AD59" s="35"/>
      <c r="AE59" s="35"/>
      <c r="AF59" s="35"/>
      <c r="AG59" s="38">
        <f>SUM(Table6914[[#This Row],[Y3 Q1 quantity]:[Y3 Q4 quantity]])</f>
        <v>0</v>
      </c>
      <c r="AH59" s="1004">
        <f>Table6914[[#This Row],[Y3 Unit cost]]*Table6914[[#This Row],[Y3 Total quantity]]</f>
        <v>0</v>
      </c>
      <c r="AI59" s="33">
        <f>Table6914[[#This Row],[Y1 Total quantity]]+Table6914[[#This Row],[Y2 Total quantity]]+Table6914[[#This Row],[Y3 Total quantity]]</f>
        <v>0</v>
      </c>
      <c r="AJ59" s="1012">
        <f>Table6914[[#This Row],[Y1 Total cost]]+Table6914[[#This Row],[Y2 Total cost]]+Table6914[[#This Row],[Y3 Total cost]]</f>
        <v>0</v>
      </c>
      <c r="AK59" s="42" t="str">
        <f t="shared" si="4"/>
        <v/>
      </c>
      <c r="AL59" s="1228"/>
    </row>
    <row r="60" spans="1:60" s="249" customFormat="1" hidden="1">
      <c r="A60" s="2240"/>
      <c r="B60" s="2126"/>
      <c r="C60" s="2126"/>
      <c r="D60" s="2126"/>
      <c r="E60" s="2213"/>
      <c r="F60" s="2126"/>
      <c r="G60" s="2126"/>
      <c r="H60" s="2126"/>
      <c r="I60" s="2170"/>
      <c r="J60" s="2109"/>
      <c r="K60" s="2214"/>
      <c r="L60" s="265" t="str">
        <f t="shared" si="3"/>
        <v/>
      </c>
      <c r="M60" s="1528" t="str">
        <f t="shared" si="5"/>
        <v/>
      </c>
      <c r="N60" s="1002"/>
      <c r="O60" s="36"/>
      <c r="P60" s="36"/>
      <c r="Q60" s="36"/>
      <c r="R60" s="36"/>
      <c r="S60" s="39">
        <f>SUM(Table6914[[#This Row],[Y1 Q1 quantity]:[Y1 Q4 quantity]])</f>
        <v>0</v>
      </c>
      <c r="T60" s="1005">
        <f>Table6914[[#This Row],[Y1 Unit cost]]*Table6914[[#This Row],[Y1 Total quantity]]</f>
        <v>0</v>
      </c>
      <c r="U60" s="1002"/>
      <c r="V60" s="36"/>
      <c r="W60" s="36"/>
      <c r="X60" s="36"/>
      <c r="Y60" s="36"/>
      <c r="Z60" s="39">
        <f>SUM(Table6914[[#This Row],[Y2 Q1 quantity]:[Y2 Q4 quantity]])</f>
        <v>0</v>
      </c>
      <c r="AA60" s="1011">
        <f>Table6914[[#This Row],[Y2 Unit cost]]*Table6914[[#This Row],[Y2 Total quantity]]</f>
        <v>0</v>
      </c>
      <c r="AB60" s="1009"/>
      <c r="AC60" s="36"/>
      <c r="AD60" s="36"/>
      <c r="AE60" s="36"/>
      <c r="AF60" s="36"/>
      <c r="AG60" s="39">
        <f>SUM(Table6914[[#This Row],[Y3 Q1 quantity]:[Y3 Q4 quantity]])</f>
        <v>0</v>
      </c>
      <c r="AH60" s="1005">
        <f>Table6914[[#This Row],[Y3 Unit cost]]*Table6914[[#This Row],[Y3 Total quantity]]</f>
        <v>0</v>
      </c>
      <c r="AI60" s="34">
        <f>Table6914[[#This Row],[Y1 Total quantity]]+Table6914[[#This Row],[Y2 Total quantity]]+Table6914[[#This Row],[Y3 Total quantity]]</f>
        <v>0</v>
      </c>
      <c r="AJ60" s="1013">
        <f>Table6914[[#This Row],[Y1 Total cost]]+Table6914[[#This Row],[Y2 Total cost]]+Table6914[[#This Row],[Y3 Total cost]]</f>
        <v>0</v>
      </c>
      <c r="AK60" s="43" t="str">
        <f t="shared" si="4"/>
        <v/>
      </c>
      <c r="AL60" s="1227"/>
    </row>
    <row r="61" spans="1:60" s="249" customFormat="1" hidden="1">
      <c r="A61" s="2169"/>
      <c r="B61" s="2106"/>
      <c r="C61" s="2106"/>
      <c r="D61" s="2106"/>
      <c r="E61" s="2204"/>
      <c r="F61" s="2106"/>
      <c r="G61" s="2106"/>
      <c r="H61" s="2106"/>
      <c r="I61" s="2169"/>
      <c r="J61" s="2106"/>
      <c r="K61" s="2208"/>
      <c r="L61" s="264" t="str">
        <f t="shared" si="3"/>
        <v/>
      </c>
      <c r="M61" s="1526" t="str">
        <f t="shared" si="5"/>
        <v/>
      </c>
      <c r="N61" s="1001"/>
      <c r="O61" s="35"/>
      <c r="P61" s="35"/>
      <c r="Q61" s="35"/>
      <c r="R61" s="35"/>
      <c r="S61" s="38">
        <f>SUM(Table6914[[#This Row],[Y1 Q1 quantity]:[Y1 Q4 quantity]])</f>
        <v>0</v>
      </c>
      <c r="T61" s="1004">
        <f>Table6914[[#This Row],[Y1 Unit cost]]*Table6914[[#This Row],[Y1 Total quantity]]</f>
        <v>0</v>
      </c>
      <c r="U61" s="1001"/>
      <c r="V61" s="35"/>
      <c r="W61" s="35"/>
      <c r="X61" s="35"/>
      <c r="Y61" s="35"/>
      <c r="Z61" s="38">
        <f>SUM(Table6914[[#This Row],[Y2 Q1 quantity]:[Y2 Q4 quantity]])</f>
        <v>0</v>
      </c>
      <c r="AA61" s="1010">
        <f>Table6914[[#This Row],[Y2 Unit cost]]*Table6914[[#This Row],[Y2 Total quantity]]</f>
        <v>0</v>
      </c>
      <c r="AB61" s="1008"/>
      <c r="AC61" s="35"/>
      <c r="AD61" s="35"/>
      <c r="AE61" s="35"/>
      <c r="AF61" s="35"/>
      <c r="AG61" s="38">
        <f>SUM(Table6914[[#This Row],[Y3 Q1 quantity]:[Y3 Q4 quantity]])</f>
        <v>0</v>
      </c>
      <c r="AH61" s="1004">
        <f>Table6914[[#This Row],[Y3 Unit cost]]*Table6914[[#This Row],[Y3 Total quantity]]</f>
        <v>0</v>
      </c>
      <c r="AI61" s="33">
        <f>Table6914[[#This Row],[Y1 Total quantity]]+Table6914[[#This Row],[Y2 Total quantity]]+Table6914[[#This Row],[Y3 Total quantity]]</f>
        <v>0</v>
      </c>
      <c r="AJ61" s="1012">
        <f>Table6914[[#This Row],[Y1 Total cost]]+Table6914[[#This Row],[Y2 Total cost]]+Table6914[[#This Row],[Y3 Total cost]]</f>
        <v>0</v>
      </c>
      <c r="AK61" s="42" t="str">
        <f t="shared" si="4"/>
        <v/>
      </c>
      <c r="AL61" s="1228"/>
    </row>
    <row r="62" spans="1:60" s="249" customFormat="1" hidden="1">
      <c r="A62" s="2240"/>
      <c r="B62" s="2126"/>
      <c r="C62" s="2126"/>
      <c r="D62" s="2126"/>
      <c r="E62" s="2213"/>
      <c r="F62" s="2126"/>
      <c r="G62" s="2126"/>
      <c r="H62" s="2126"/>
      <c r="I62" s="2170"/>
      <c r="J62" s="2109"/>
      <c r="K62" s="2214"/>
      <c r="L62" s="265" t="str">
        <f t="shared" si="3"/>
        <v/>
      </c>
      <c r="M62" s="1528" t="str">
        <f t="shared" si="5"/>
        <v/>
      </c>
      <c r="N62" s="1002"/>
      <c r="O62" s="36"/>
      <c r="P62" s="36"/>
      <c r="Q62" s="36"/>
      <c r="R62" s="36"/>
      <c r="S62" s="39">
        <f>SUM(Table6914[[#This Row],[Y1 Q1 quantity]:[Y1 Q4 quantity]])</f>
        <v>0</v>
      </c>
      <c r="T62" s="1005">
        <f>Table6914[[#This Row],[Y1 Unit cost]]*Table6914[[#This Row],[Y1 Total quantity]]</f>
        <v>0</v>
      </c>
      <c r="U62" s="1002"/>
      <c r="V62" s="36"/>
      <c r="W62" s="36"/>
      <c r="X62" s="36"/>
      <c r="Y62" s="36"/>
      <c r="Z62" s="39">
        <f>SUM(Table6914[[#This Row],[Y2 Q1 quantity]:[Y2 Q4 quantity]])</f>
        <v>0</v>
      </c>
      <c r="AA62" s="1011">
        <f>Table6914[[#This Row],[Y2 Unit cost]]*Table6914[[#This Row],[Y2 Total quantity]]</f>
        <v>0</v>
      </c>
      <c r="AB62" s="1009"/>
      <c r="AC62" s="36"/>
      <c r="AD62" s="36"/>
      <c r="AE62" s="36"/>
      <c r="AF62" s="36"/>
      <c r="AG62" s="39">
        <f>SUM(Table6914[[#This Row],[Y3 Q1 quantity]:[Y3 Q4 quantity]])</f>
        <v>0</v>
      </c>
      <c r="AH62" s="1005">
        <f>Table6914[[#This Row],[Y3 Unit cost]]*Table6914[[#This Row],[Y3 Total quantity]]</f>
        <v>0</v>
      </c>
      <c r="AI62" s="34">
        <f>Table6914[[#This Row],[Y1 Total quantity]]+Table6914[[#This Row],[Y2 Total quantity]]+Table6914[[#This Row],[Y3 Total quantity]]</f>
        <v>0</v>
      </c>
      <c r="AJ62" s="1013">
        <f>Table6914[[#This Row],[Y1 Total cost]]+Table6914[[#This Row],[Y2 Total cost]]+Table6914[[#This Row],[Y3 Total cost]]</f>
        <v>0</v>
      </c>
      <c r="AK62" s="43" t="str">
        <f t="shared" si="4"/>
        <v/>
      </c>
      <c r="AL62" s="1227"/>
    </row>
    <row r="63" spans="1:60" s="249" customFormat="1" hidden="1">
      <c r="A63" s="2169"/>
      <c r="B63" s="2106"/>
      <c r="C63" s="2106"/>
      <c r="D63" s="2106"/>
      <c r="E63" s="2204"/>
      <c r="F63" s="2106"/>
      <c r="G63" s="2106"/>
      <c r="H63" s="2106"/>
      <c r="I63" s="2169"/>
      <c r="J63" s="2106"/>
      <c r="K63" s="2208"/>
      <c r="L63" s="264" t="str">
        <f t="shared" si="3"/>
        <v/>
      </c>
      <c r="M63" s="1526" t="str">
        <f t="shared" si="5"/>
        <v/>
      </c>
      <c r="N63" s="1001"/>
      <c r="O63" s="35"/>
      <c r="P63" s="35"/>
      <c r="Q63" s="35"/>
      <c r="R63" s="35"/>
      <c r="S63" s="38">
        <f>SUM(Table6914[[#This Row],[Y1 Q1 quantity]:[Y1 Q4 quantity]])</f>
        <v>0</v>
      </c>
      <c r="T63" s="1004">
        <f>Table6914[[#This Row],[Y1 Unit cost]]*Table6914[[#This Row],[Y1 Total quantity]]</f>
        <v>0</v>
      </c>
      <c r="U63" s="1001"/>
      <c r="V63" s="35"/>
      <c r="W63" s="35"/>
      <c r="X63" s="35"/>
      <c r="Y63" s="35"/>
      <c r="Z63" s="38">
        <f>SUM(Table6914[[#This Row],[Y2 Q1 quantity]:[Y2 Q4 quantity]])</f>
        <v>0</v>
      </c>
      <c r="AA63" s="1010">
        <f>Table6914[[#This Row],[Y2 Unit cost]]*Table6914[[#This Row],[Y2 Total quantity]]</f>
        <v>0</v>
      </c>
      <c r="AB63" s="1008"/>
      <c r="AC63" s="35"/>
      <c r="AD63" s="35"/>
      <c r="AE63" s="35"/>
      <c r="AF63" s="35"/>
      <c r="AG63" s="38">
        <f>SUM(Table6914[[#This Row],[Y3 Q1 quantity]:[Y3 Q4 quantity]])</f>
        <v>0</v>
      </c>
      <c r="AH63" s="1004">
        <f>Table6914[[#This Row],[Y3 Unit cost]]*Table6914[[#This Row],[Y3 Total quantity]]</f>
        <v>0</v>
      </c>
      <c r="AI63" s="33">
        <f>Table6914[[#This Row],[Y1 Total quantity]]+Table6914[[#This Row],[Y2 Total quantity]]+Table6914[[#This Row],[Y3 Total quantity]]</f>
        <v>0</v>
      </c>
      <c r="AJ63" s="1012">
        <f>Table6914[[#This Row],[Y1 Total cost]]+Table6914[[#This Row],[Y2 Total cost]]+Table6914[[#This Row],[Y3 Total cost]]</f>
        <v>0</v>
      </c>
      <c r="AK63" s="42" t="str">
        <f t="shared" si="4"/>
        <v/>
      </c>
      <c r="AL63" s="1228"/>
    </row>
    <row r="64" spans="1:60" s="249" customFormat="1" hidden="1">
      <c r="A64" s="2240"/>
      <c r="B64" s="2126"/>
      <c r="C64" s="2126"/>
      <c r="D64" s="2126"/>
      <c r="E64" s="2213"/>
      <c r="F64" s="2126"/>
      <c r="G64" s="2126"/>
      <c r="H64" s="2126"/>
      <c r="I64" s="2170"/>
      <c r="J64" s="2109"/>
      <c r="K64" s="2214"/>
      <c r="L64" s="265" t="str">
        <f t="shared" si="3"/>
        <v/>
      </c>
      <c r="M64" s="1528" t="str">
        <f t="shared" si="5"/>
        <v/>
      </c>
      <c r="N64" s="1002"/>
      <c r="O64" s="36"/>
      <c r="P64" s="36"/>
      <c r="Q64" s="36"/>
      <c r="R64" s="36"/>
      <c r="S64" s="39">
        <f>SUM(Table6914[[#This Row],[Y1 Q1 quantity]:[Y1 Q4 quantity]])</f>
        <v>0</v>
      </c>
      <c r="T64" s="1005">
        <f>Table6914[[#This Row],[Y1 Unit cost]]*Table6914[[#This Row],[Y1 Total quantity]]</f>
        <v>0</v>
      </c>
      <c r="U64" s="1002"/>
      <c r="V64" s="36"/>
      <c r="W64" s="36"/>
      <c r="X64" s="36"/>
      <c r="Y64" s="36"/>
      <c r="Z64" s="39">
        <f>SUM(Table6914[[#This Row],[Y2 Q1 quantity]:[Y2 Q4 quantity]])</f>
        <v>0</v>
      </c>
      <c r="AA64" s="1011">
        <f>Table6914[[#This Row],[Y2 Unit cost]]*Table6914[[#This Row],[Y2 Total quantity]]</f>
        <v>0</v>
      </c>
      <c r="AB64" s="1009"/>
      <c r="AC64" s="36"/>
      <c r="AD64" s="36"/>
      <c r="AE64" s="36"/>
      <c r="AF64" s="36"/>
      <c r="AG64" s="39">
        <f>SUM(Table6914[[#This Row],[Y3 Q1 quantity]:[Y3 Q4 quantity]])</f>
        <v>0</v>
      </c>
      <c r="AH64" s="1005">
        <f>Table6914[[#This Row],[Y3 Unit cost]]*Table6914[[#This Row],[Y3 Total quantity]]</f>
        <v>0</v>
      </c>
      <c r="AI64" s="34">
        <f>Table6914[[#This Row],[Y1 Total quantity]]+Table6914[[#This Row],[Y2 Total quantity]]+Table6914[[#This Row],[Y3 Total quantity]]</f>
        <v>0</v>
      </c>
      <c r="AJ64" s="1013">
        <f>Table6914[[#This Row],[Y1 Total cost]]+Table6914[[#This Row],[Y2 Total cost]]+Table6914[[#This Row],[Y3 Total cost]]</f>
        <v>0</v>
      </c>
      <c r="AK64" s="43" t="str">
        <f t="shared" si="4"/>
        <v/>
      </c>
      <c r="AL64" s="1227"/>
    </row>
    <row r="65" spans="1:60" s="249" customFormat="1" hidden="1">
      <c r="A65" s="2169"/>
      <c r="B65" s="2106"/>
      <c r="C65" s="2106"/>
      <c r="D65" s="2106"/>
      <c r="E65" s="2204"/>
      <c r="F65" s="2106"/>
      <c r="G65" s="2106"/>
      <c r="H65" s="2106"/>
      <c r="I65" s="2169"/>
      <c r="J65" s="2106"/>
      <c r="K65" s="2208"/>
      <c r="L65" s="264" t="str">
        <f t="shared" si="3"/>
        <v/>
      </c>
      <c r="M65" s="1526" t="str">
        <f t="shared" si="5"/>
        <v/>
      </c>
      <c r="N65" s="1001"/>
      <c r="O65" s="35"/>
      <c r="P65" s="35"/>
      <c r="Q65" s="35"/>
      <c r="R65" s="35"/>
      <c r="S65" s="38">
        <f>SUM(Table6914[[#This Row],[Y1 Q1 quantity]:[Y1 Q4 quantity]])</f>
        <v>0</v>
      </c>
      <c r="T65" s="1004">
        <f>Table6914[[#This Row],[Y1 Unit cost]]*Table6914[[#This Row],[Y1 Total quantity]]</f>
        <v>0</v>
      </c>
      <c r="U65" s="1001"/>
      <c r="V65" s="35"/>
      <c r="W65" s="35"/>
      <c r="X65" s="35"/>
      <c r="Y65" s="35"/>
      <c r="Z65" s="38">
        <f>SUM(Table6914[[#This Row],[Y2 Q1 quantity]:[Y2 Q4 quantity]])</f>
        <v>0</v>
      </c>
      <c r="AA65" s="1010">
        <f>Table6914[[#This Row],[Y2 Unit cost]]*Table6914[[#This Row],[Y2 Total quantity]]</f>
        <v>0</v>
      </c>
      <c r="AB65" s="1008"/>
      <c r="AC65" s="35"/>
      <c r="AD65" s="35"/>
      <c r="AE65" s="35"/>
      <c r="AF65" s="35"/>
      <c r="AG65" s="38">
        <f>SUM(Table6914[[#This Row],[Y3 Q1 quantity]:[Y3 Q4 quantity]])</f>
        <v>0</v>
      </c>
      <c r="AH65" s="1004">
        <f>Table6914[[#This Row],[Y3 Unit cost]]*Table6914[[#This Row],[Y3 Total quantity]]</f>
        <v>0</v>
      </c>
      <c r="AI65" s="33">
        <f>Table6914[[#This Row],[Y1 Total quantity]]+Table6914[[#This Row],[Y2 Total quantity]]+Table6914[[#This Row],[Y3 Total quantity]]</f>
        <v>0</v>
      </c>
      <c r="AJ65" s="1012">
        <f>Table6914[[#This Row],[Y1 Total cost]]+Table6914[[#This Row],[Y2 Total cost]]+Table6914[[#This Row],[Y3 Total cost]]</f>
        <v>0</v>
      </c>
      <c r="AK65" s="42" t="str">
        <f t="shared" si="4"/>
        <v/>
      </c>
      <c r="AL65" s="1228"/>
    </row>
    <row r="66" spans="1:60" s="249" customFormat="1" hidden="1">
      <c r="A66" s="2240"/>
      <c r="B66" s="2126"/>
      <c r="C66" s="2126"/>
      <c r="D66" s="2126"/>
      <c r="E66" s="2213"/>
      <c r="F66" s="2126"/>
      <c r="G66" s="2126"/>
      <c r="H66" s="2126"/>
      <c r="I66" s="2170"/>
      <c r="J66" s="2109"/>
      <c r="K66" s="2214"/>
      <c r="L66" s="265" t="str">
        <f t="shared" si="3"/>
        <v/>
      </c>
      <c r="M66" s="1528" t="str">
        <f t="shared" si="5"/>
        <v/>
      </c>
      <c r="N66" s="1002"/>
      <c r="O66" s="36"/>
      <c r="P66" s="36"/>
      <c r="Q66" s="36"/>
      <c r="R66" s="36"/>
      <c r="S66" s="39">
        <f>SUM(Table6914[[#This Row],[Y1 Q1 quantity]:[Y1 Q4 quantity]])</f>
        <v>0</v>
      </c>
      <c r="T66" s="1005">
        <f>Table6914[[#This Row],[Y1 Unit cost]]*Table6914[[#This Row],[Y1 Total quantity]]</f>
        <v>0</v>
      </c>
      <c r="U66" s="1002"/>
      <c r="V66" s="36"/>
      <c r="W66" s="36"/>
      <c r="X66" s="36"/>
      <c r="Y66" s="36"/>
      <c r="Z66" s="39">
        <f>SUM(Table6914[[#This Row],[Y2 Q1 quantity]:[Y2 Q4 quantity]])</f>
        <v>0</v>
      </c>
      <c r="AA66" s="1011">
        <f>Table6914[[#This Row],[Y2 Unit cost]]*Table6914[[#This Row],[Y2 Total quantity]]</f>
        <v>0</v>
      </c>
      <c r="AB66" s="1009"/>
      <c r="AC66" s="36"/>
      <c r="AD66" s="36"/>
      <c r="AE66" s="36"/>
      <c r="AF66" s="36"/>
      <c r="AG66" s="39">
        <f>SUM(Table6914[[#This Row],[Y3 Q1 quantity]:[Y3 Q4 quantity]])</f>
        <v>0</v>
      </c>
      <c r="AH66" s="1005">
        <f>Table6914[[#This Row],[Y3 Unit cost]]*Table6914[[#This Row],[Y3 Total quantity]]</f>
        <v>0</v>
      </c>
      <c r="AI66" s="34">
        <f>Table6914[[#This Row],[Y1 Total quantity]]+Table6914[[#This Row],[Y2 Total quantity]]+Table6914[[#This Row],[Y3 Total quantity]]</f>
        <v>0</v>
      </c>
      <c r="AJ66" s="1013">
        <f>Table6914[[#This Row],[Y1 Total cost]]+Table6914[[#This Row],[Y2 Total cost]]+Table6914[[#This Row],[Y3 Total cost]]</f>
        <v>0</v>
      </c>
      <c r="AK66" s="43" t="str">
        <f t="shared" si="4"/>
        <v/>
      </c>
      <c r="AL66" s="1227"/>
    </row>
    <row r="67" spans="1:60" s="249" customFormat="1" hidden="1">
      <c r="A67" s="2169"/>
      <c r="B67" s="2106"/>
      <c r="C67" s="2106"/>
      <c r="D67" s="2106"/>
      <c r="E67" s="2204"/>
      <c r="F67" s="2106"/>
      <c r="G67" s="2106"/>
      <c r="H67" s="2106"/>
      <c r="I67" s="2169"/>
      <c r="J67" s="2106"/>
      <c r="K67" s="2208"/>
      <c r="L67" s="264" t="str">
        <f t="shared" si="3"/>
        <v/>
      </c>
      <c r="M67" s="1526" t="str">
        <f t="shared" si="5"/>
        <v/>
      </c>
      <c r="N67" s="1001"/>
      <c r="O67" s="35"/>
      <c r="P67" s="35"/>
      <c r="Q67" s="35"/>
      <c r="R67" s="35"/>
      <c r="S67" s="38">
        <f>SUM(Table6914[[#This Row],[Y1 Q1 quantity]:[Y1 Q4 quantity]])</f>
        <v>0</v>
      </c>
      <c r="T67" s="1004">
        <f>Table6914[[#This Row],[Y1 Unit cost]]*Table6914[[#This Row],[Y1 Total quantity]]</f>
        <v>0</v>
      </c>
      <c r="U67" s="1001"/>
      <c r="V67" s="35"/>
      <c r="W67" s="35"/>
      <c r="X67" s="35"/>
      <c r="Y67" s="35"/>
      <c r="Z67" s="38">
        <f>SUM(Table6914[[#This Row],[Y2 Q1 quantity]:[Y2 Q4 quantity]])</f>
        <v>0</v>
      </c>
      <c r="AA67" s="1010">
        <f>Table6914[[#This Row],[Y2 Unit cost]]*Table6914[[#This Row],[Y2 Total quantity]]</f>
        <v>0</v>
      </c>
      <c r="AB67" s="1008"/>
      <c r="AC67" s="35"/>
      <c r="AD67" s="35"/>
      <c r="AE67" s="35"/>
      <c r="AF67" s="35"/>
      <c r="AG67" s="38">
        <f>SUM(Table6914[[#This Row],[Y3 Q1 quantity]:[Y3 Q4 quantity]])</f>
        <v>0</v>
      </c>
      <c r="AH67" s="1004">
        <f>Table6914[[#This Row],[Y3 Unit cost]]*Table6914[[#This Row],[Y3 Total quantity]]</f>
        <v>0</v>
      </c>
      <c r="AI67" s="33">
        <f>Table6914[[#This Row],[Y1 Total quantity]]+Table6914[[#This Row],[Y2 Total quantity]]+Table6914[[#This Row],[Y3 Total quantity]]</f>
        <v>0</v>
      </c>
      <c r="AJ67" s="1012">
        <f>Table6914[[#This Row],[Y1 Total cost]]+Table6914[[#This Row],[Y2 Total cost]]+Table6914[[#This Row],[Y3 Total cost]]</f>
        <v>0</v>
      </c>
      <c r="AK67" s="42" t="str">
        <f t="shared" si="4"/>
        <v/>
      </c>
      <c r="AL67" s="1228"/>
    </row>
    <row r="68" spans="1:60" s="249" customFormat="1" hidden="1">
      <c r="A68" s="2240"/>
      <c r="B68" s="2126"/>
      <c r="C68" s="2126"/>
      <c r="D68" s="2126"/>
      <c r="E68" s="2213"/>
      <c r="F68" s="2126"/>
      <c r="G68" s="2126"/>
      <c r="H68" s="2126"/>
      <c r="I68" s="2170"/>
      <c r="J68" s="2109"/>
      <c r="K68" s="2214"/>
      <c r="L68" s="265" t="str">
        <f t="shared" si="3"/>
        <v/>
      </c>
      <c r="M68" s="1528" t="str">
        <f t="shared" si="5"/>
        <v/>
      </c>
      <c r="N68" s="1002"/>
      <c r="O68" s="36"/>
      <c r="P68" s="36"/>
      <c r="Q68" s="36"/>
      <c r="R68" s="36"/>
      <c r="S68" s="39">
        <f>SUM(Table6914[[#This Row],[Y1 Q1 quantity]:[Y1 Q4 quantity]])</f>
        <v>0</v>
      </c>
      <c r="T68" s="1005">
        <f>Table6914[[#This Row],[Y1 Unit cost]]*Table6914[[#This Row],[Y1 Total quantity]]</f>
        <v>0</v>
      </c>
      <c r="U68" s="1002"/>
      <c r="V68" s="36"/>
      <c r="W68" s="36"/>
      <c r="X68" s="36"/>
      <c r="Y68" s="36"/>
      <c r="Z68" s="39">
        <f>SUM(Table6914[[#This Row],[Y2 Q1 quantity]:[Y2 Q4 quantity]])</f>
        <v>0</v>
      </c>
      <c r="AA68" s="1011">
        <f>Table6914[[#This Row],[Y2 Unit cost]]*Table6914[[#This Row],[Y2 Total quantity]]</f>
        <v>0</v>
      </c>
      <c r="AB68" s="1009"/>
      <c r="AC68" s="36"/>
      <c r="AD68" s="36"/>
      <c r="AE68" s="36"/>
      <c r="AF68" s="36"/>
      <c r="AG68" s="39">
        <f>SUM(Table6914[[#This Row],[Y3 Q1 quantity]:[Y3 Q4 quantity]])</f>
        <v>0</v>
      </c>
      <c r="AH68" s="1005">
        <f>Table6914[[#This Row],[Y3 Unit cost]]*Table6914[[#This Row],[Y3 Total quantity]]</f>
        <v>0</v>
      </c>
      <c r="AI68" s="34">
        <f>Table6914[[#This Row],[Y1 Total quantity]]+Table6914[[#This Row],[Y2 Total quantity]]+Table6914[[#This Row],[Y3 Total quantity]]</f>
        <v>0</v>
      </c>
      <c r="AJ68" s="1013">
        <f>Table6914[[#This Row],[Y1 Total cost]]+Table6914[[#This Row],[Y2 Total cost]]+Table6914[[#This Row],[Y3 Total cost]]</f>
        <v>0</v>
      </c>
      <c r="AK68" s="43" t="str">
        <f t="shared" si="4"/>
        <v/>
      </c>
      <c r="AL68" s="1227"/>
    </row>
    <row r="69" spans="1:60" s="249" customFormat="1" hidden="1">
      <c r="A69" s="2169"/>
      <c r="B69" s="2106"/>
      <c r="C69" s="2106"/>
      <c r="D69" s="2106"/>
      <c r="E69" s="2204"/>
      <c r="F69" s="2106"/>
      <c r="G69" s="2106"/>
      <c r="H69" s="2106"/>
      <c r="I69" s="2169"/>
      <c r="J69" s="2106"/>
      <c r="K69" s="2208"/>
      <c r="L69" s="264" t="str">
        <f t="shared" si="3"/>
        <v/>
      </c>
      <c r="M69" s="1526" t="str">
        <f t="shared" si="5"/>
        <v/>
      </c>
      <c r="N69" s="1001"/>
      <c r="O69" s="35"/>
      <c r="P69" s="35"/>
      <c r="Q69" s="35"/>
      <c r="R69" s="35"/>
      <c r="S69" s="38">
        <f>SUM(Table6914[[#This Row],[Y1 Q1 quantity]:[Y1 Q4 quantity]])</f>
        <v>0</v>
      </c>
      <c r="T69" s="1004">
        <f>Table6914[[#This Row],[Y1 Unit cost]]*Table6914[[#This Row],[Y1 Total quantity]]</f>
        <v>0</v>
      </c>
      <c r="U69" s="1001"/>
      <c r="V69" s="35"/>
      <c r="W69" s="35"/>
      <c r="X69" s="35"/>
      <c r="Y69" s="35"/>
      <c r="Z69" s="38">
        <f>SUM(Table6914[[#This Row],[Y2 Q1 quantity]:[Y2 Q4 quantity]])</f>
        <v>0</v>
      </c>
      <c r="AA69" s="1010">
        <f>Table6914[[#This Row],[Y2 Unit cost]]*Table6914[[#This Row],[Y2 Total quantity]]</f>
        <v>0</v>
      </c>
      <c r="AB69" s="1008"/>
      <c r="AC69" s="35"/>
      <c r="AD69" s="35"/>
      <c r="AE69" s="35"/>
      <c r="AF69" s="35"/>
      <c r="AG69" s="38">
        <f>SUM(Table6914[[#This Row],[Y3 Q1 quantity]:[Y3 Q4 quantity]])</f>
        <v>0</v>
      </c>
      <c r="AH69" s="1004">
        <f>Table6914[[#This Row],[Y3 Unit cost]]*Table6914[[#This Row],[Y3 Total quantity]]</f>
        <v>0</v>
      </c>
      <c r="AI69" s="33">
        <f>Table6914[[#This Row],[Y1 Total quantity]]+Table6914[[#This Row],[Y2 Total quantity]]+Table6914[[#This Row],[Y3 Total quantity]]</f>
        <v>0</v>
      </c>
      <c r="AJ69" s="1012">
        <f>Table6914[[#This Row],[Y1 Total cost]]+Table6914[[#This Row],[Y2 Total cost]]+Table6914[[#This Row],[Y3 Total cost]]</f>
        <v>0</v>
      </c>
      <c r="AK69" s="42" t="str">
        <f t="shared" si="4"/>
        <v/>
      </c>
      <c r="AL69" s="1228"/>
    </row>
    <row r="70" spans="1:60" s="249" customFormat="1" hidden="1">
      <c r="A70" s="2240"/>
      <c r="B70" s="2126"/>
      <c r="C70" s="2126"/>
      <c r="D70" s="2126"/>
      <c r="E70" s="2213"/>
      <c r="F70" s="2126"/>
      <c r="G70" s="2126"/>
      <c r="H70" s="2126"/>
      <c r="I70" s="2170"/>
      <c r="J70" s="2109"/>
      <c r="K70" s="2214"/>
      <c r="L70" s="265" t="str">
        <f t="shared" si="3"/>
        <v/>
      </c>
      <c r="M70" s="1528" t="str">
        <f t="shared" si="5"/>
        <v/>
      </c>
      <c r="N70" s="1002"/>
      <c r="O70" s="36"/>
      <c r="P70" s="36"/>
      <c r="Q70" s="36"/>
      <c r="R70" s="36"/>
      <c r="S70" s="39">
        <f>SUM(Table6914[[#This Row],[Y1 Q1 quantity]:[Y1 Q4 quantity]])</f>
        <v>0</v>
      </c>
      <c r="T70" s="1005">
        <f>Table6914[[#This Row],[Y1 Unit cost]]*Table6914[[#This Row],[Y1 Total quantity]]</f>
        <v>0</v>
      </c>
      <c r="U70" s="1002"/>
      <c r="V70" s="36"/>
      <c r="W70" s="36"/>
      <c r="X70" s="36"/>
      <c r="Y70" s="36"/>
      <c r="Z70" s="39">
        <f>SUM(Table6914[[#This Row],[Y2 Q1 quantity]:[Y2 Q4 quantity]])</f>
        <v>0</v>
      </c>
      <c r="AA70" s="1011">
        <f>Table6914[[#This Row],[Y2 Unit cost]]*Table6914[[#This Row],[Y2 Total quantity]]</f>
        <v>0</v>
      </c>
      <c r="AB70" s="1009"/>
      <c r="AC70" s="36"/>
      <c r="AD70" s="36"/>
      <c r="AE70" s="36"/>
      <c r="AF70" s="36"/>
      <c r="AG70" s="39">
        <f>SUM(Table6914[[#This Row],[Y3 Q1 quantity]:[Y3 Q4 quantity]])</f>
        <v>0</v>
      </c>
      <c r="AH70" s="1005">
        <f>Table6914[[#This Row],[Y3 Unit cost]]*Table6914[[#This Row],[Y3 Total quantity]]</f>
        <v>0</v>
      </c>
      <c r="AI70" s="34">
        <f>Table6914[[#This Row],[Y1 Total quantity]]+Table6914[[#This Row],[Y2 Total quantity]]+Table6914[[#This Row],[Y3 Total quantity]]</f>
        <v>0</v>
      </c>
      <c r="AJ70" s="1013">
        <f>Table6914[[#This Row],[Y1 Total cost]]+Table6914[[#This Row],[Y2 Total cost]]+Table6914[[#This Row],[Y3 Total cost]]</f>
        <v>0</v>
      </c>
      <c r="AK70" s="43" t="str">
        <f t="shared" si="4"/>
        <v/>
      </c>
      <c r="AL70" s="1227"/>
    </row>
    <row r="71" spans="1:60" s="249" customFormat="1" hidden="1">
      <c r="A71" s="2169"/>
      <c r="B71" s="2106"/>
      <c r="C71" s="2106"/>
      <c r="D71" s="2106"/>
      <c r="E71" s="2204"/>
      <c r="F71" s="2106"/>
      <c r="G71" s="2106"/>
      <c r="H71" s="2106"/>
      <c r="I71" s="2169"/>
      <c r="J71" s="2106"/>
      <c r="K71" s="2208"/>
      <c r="L71" s="264" t="str">
        <f t="shared" si="3"/>
        <v/>
      </c>
      <c r="M71" s="1526" t="str">
        <f t="shared" si="5"/>
        <v/>
      </c>
      <c r="N71" s="1001"/>
      <c r="O71" s="35"/>
      <c r="P71" s="35"/>
      <c r="Q71" s="35"/>
      <c r="R71" s="35"/>
      <c r="S71" s="38">
        <f>SUM(Table6914[[#This Row],[Y1 Q1 quantity]:[Y1 Q4 quantity]])</f>
        <v>0</v>
      </c>
      <c r="T71" s="1004">
        <f>Table6914[[#This Row],[Y1 Unit cost]]*Table6914[[#This Row],[Y1 Total quantity]]</f>
        <v>0</v>
      </c>
      <c r="U71" s="1001"/>
      <c r="V71" s="35"/>
      <c r="W71" s="35"/>
      <c r="X71" s="35"/>
      <c r="Y71" s="35"/>
      <c r="Z71" s="38">
        <f>SUM(Table6914[[#This Row],[Y2 Q1 quantity]:[Y2 Q4 quantity]])</f>
        <v>0</v>
      </c>
      <c r="AA71" s="1010">
        <f>Table6914[[#This Row],[Y2 Unit cost]]*Table6914[[#This Row],[Y2 Total quantity]]</f>
        <v>0</v>
      </c>
      <c r="AB71" s="1008"/>
      <c r="AC71" s="35"/>
      <c r="AD71" s="35"/>
      <c r="AE71" s="35"/>
      <c r="AF71" s="35"/>
      <c r="AG71" s="38">
        <f>SUM(Table6914[[#This Row],[Y3 Q1 quantity]:[Y3 Q4 quantity]])</f>
        <v>0</v>
      </c>
      <c r="AH71" s="1004">
        <f>Table6914[[#This Row],[Y3 Unit cost]]*Table6914[[#This Row],[Y3 Total quantity]]</f>
        <v>0</v>
      </c>
      <c r="AI71" s="33">
        <f>Table6914[[#This Row],[Y1 Total quantity]]+Table6914[[#This Row],[Y2 Total quantity]]+Table6914[[#This Row],[Y3 Total quantity]]</f>
        <v>0</v>
      </c>
      <c r="AJ71" s="1012">
        <f>Table6914[[#This Row],[Y1 Total cost]]+Table6914[[#This Row],[Y2 Total cost]]+Table6914[[#This Row],[Y3 Total cost]]</f>
        <v>0</v>
      </c>
      <c r="AK71" s="42" t="str">
        <f t="shared" si="4"/>
        <v/>
      </c>
      <c r="AL71" s="1228"/>
    </row>
    <row r="72" spans="1:60" s="249" customFormat="1" hidden="1">
      <c r="A72" s="2240"/>
      <c r="B72" s="2126"/>
      <c r="C72" s="2126"/>
      <c r="D72" s="2126"/>
      <c r="E72" s="2213"/>
      <c r="F72" s="2126"/>
      <c r="G72" s="2126"/>
      <c r="H72" s="2126"/>
      <c r="I72" s="2170"/>
      <c r="J72" s="2109"/>
      <c r="K72" s="2214"/>
      <c r="L72" s="265" t="str">
        <f t="shared" si="3"/>
        <v/>
      </c>
      <c r="M72" s="1528" t="str">
        <f t="shared" si="5"/>
        <v/>
      </c>
      <c r="N72" s="1002"/>
      <c r="O72" s="36"/>
      <c r="P72" s="36"/>
      <c r="Q72" s="36"/>
      <c r="R72" s="36"/>
      <c r="S72" s="39">
        <f>SUM(Table6914[[#This Row],[Y1 Q1 quantity]:[Y1 Q4 quantity]])</f>
        <v>0</v>
      </c>
      <c r="T72" s="1005">
        <f>Table6914[[#This Row],[Y1 Unit cost]]*Table6914[[#This Row],[Y1 Total quantity]]</f>
        <v>0</v>
      </c>
      <c r="U72" s="1002"/>
      <c r="V72" s="36"/>
      <c r="W72" s="36"/>
      <c r="X72" s="36"/>
      <c r="Y72" s="36"/>
      <c r="Z72" s="39">
        <f>SUM(Table6914[[#This Row],[Y2 Q1 quantity]:[Y2 Q4 quantity]])</f>
        <v>0</v>
      </c>
      <c r="AA72" s="1011">
        <f>Table6914[[#This Row],[Y2 Unit cost]]*Table6914[[#This Row],[Y2 Total quantity]]</f>
        <v>0</v>
      </c>
      <c r="AB72" s="1009"/>
      <c r="AC72" s="36"/>
      <c r="AD72" s="36"/>
      <c r="AE72" s="36"/>
      <c r="AF72" s="36"/>
      <c r="AG72" s="39">
        <f>SUM(Table6914[[#This Row],[Y3 Q1 quantity]:[Y3 Q4 quantity]])</f>
        <v>0</v>
      </c>
      <c r="AH72" s="1005">
        <f>Table6914[[#This Row],[Y3 Unit cost]]*Table6914[[#This Row],[Y3 Total quantity]]</f>
        <v>0</v>
      </c>
      <c r="AI72" s="34">
        <f>Table6914[[#This Row],[Y1 Total quantity]]+Table6914[[#This Row],[Y2 Total quantity]]+Table6914[[#This Row],[Y3 Total quantity]]</f>
        <v>0</v>
      </c>
      <c r="AJ72" s="1013">
        <f>Table6914[[#This Row],[Y1 Total cost]]+Table6914[[#This Row],[Y2 Total cost]]+Table6914[[#This Row],[Y3 Total cost]]</f>
        <v>0</v>
      </c>
      <c r="AK72" s="43" t="str">
        <f t="shared" si="4"/>
        <v/>
      </c>
      <c r="AL72" s="1227"/>
    </row>
    <row r="73" spans="1:60" s="249" customFormat="1" hidden="1">
      <c r="A73" s="2169"/>
      <c r="B73" s="2106"/>
      <c r="C73" s="2106"/>
      <c r="D73" s="2106"/>
      <c r="E73" s="2204"/>
      <c r="F73" s="2106"/>
      <c r="G73" s="2106"/>
      <c r="H73" s="2106"/>
      <c r="I73" s="2169"/>
      <c r="J73" s="2106"/>
      <c r="K73" s="2208"/>
      <c r="L73" s="264" t="str">
        <f t="shared" si="3"/>
        <v/>
      </c>
      <c r="M73" s="1526" t="str">
        <f t="shared" si="5"/>
        <v/>
      </c>
      <c r="N73" s="1001"/>
      <c r="O73" s="35"/>
      <c r="P73" s="35"/>
      <c r="Q73" s="35"/>
      <c r="R73" s="35"/>
      <c r="S73" s="38">
        <f>SUM(Table6914[[#This Row],[Y1 Q1 quantity]:[Y1 Q4 quantity]])</f>
        <v>0</v>
      </c>
      <c r="T73" s="1004">
        <f>Table6914[[#This Row],[Y1 Unit cost]]*Table6914[[#This Row],[Y1 Total quantity]]</f>
        <v>0</v>
      </c>
      <c r="U73" s="1001"/>
      <c r="V73" s="35"/>
      <c r="W73" s="35"/>
      <c r="X73" s="35"/>
      <c r="Y73" s="35"/>
      <c r="Z73" s="38">
        <f>SUM(Table6914[[#This Row],[Y2 Q1 quantity]:[Y2 Q4 quantity]])</f>
        <v>0</v>
      </c>
      <c r="AA73" s="1010">
        <f>Table6914[[#This Row],[Y2 Unit cost]]*Table6914[[#This Row],[Y2 Total quantity]]</f>
        <v>0</v>
      </c>
      <c r="AB73" s="1008"/>
      <c r="AC73" s="35"/>
      <c r="AD73" s="35"/>
      <c r="AE73" s="35"/>
      <c r="AF73" s="35"/>
      <c r="AG73" s="38">
        <f>SUM(Table6914[[#This Row],[Y3 Q1 quantity]:[Y3 Q4 quantity]])</f>
        <v>0</v>
      </c>
      <c r="AH73" s="1004">
        <f>Table6914[[#This Row],[Y3 Unit cost]]*Table6914[[#This Row],[Y3 Total quantity]]</f>
        <v>0</v>
      </c>
      <c r="AI73" s="33">
        <f>Table6914[[#This Row],[Y1 Total quantity]]+Table6914[[#This Row],[Y2 Total quantity]]+Table6914[[#This Row],[Y3 Total quantity]]</f>
        <v>0</v>
      </c>
      <c r="AJ73" s="1012">
        <f>Table6914[[#This Row],[Y1 Total cost]]+Table6914[[#This Row],[Y2 Total cost]]+Table6914[[#This Row],[Y3 Total cost]]</f>
        <v>0</v>
      </c>
      <c r="AK73" s="42" t="str">
        <f t="shared" si="4"/>
        <v/>
      </c>
      <c r="AL73" s="1228"/>
    </row>
    <row r="74" spans="1:60" s="249" customFormat="1" ht="15" thickBot="1">
      <c r="A74" s="2300"/>
      <c r="B74" s="2212"/>
      <c r="C74" s="2212"/>
      <c r="D74" s="2212"/>
      <c r="E74" s="2211"/>
      <c r="F74" s="2212"/>
      <c r="G74" s="2212"/>
      <c r="H74" s="2212"/>
      <c r="I74" s="2201"/>
      <c r="J74" s="2202"/>
      <c r="K74" s="2203"/>
      <c r="L74" s="1529" t="str">
        <f t="shared" si="3"/>
        <v/>
      </c>
      <c r="M74" s="1530" t="str">
        <f t="shared" si="5"/>
        <v/>
      </c>
      <c r="N74" s="1002"/>
      <c r="O74" s="36"/>
      <c r="P74" s="36"/>
      <c r="Q74" s="36"/>
      <c r="R74" s="36"/>
      <c r="S74" s="39">
        <f>SUM(Table6914[[#This Row],[Y1 Q1 quantity]:[Y1 Q4 quantity]])</f>
        <v>0</v>
      </c>
      <c r="T74" s="1005">
        <f>Table6914[[#This Row],[Y1 Unit cost]]*Table6914[[#This Row],[Y1 Total quantity]]</f>
        <v>0</v>
      </c>
      <c r="U74" s="1002"/>
      <c r="V74" s="36"/>
      <c r="W74" s="36"/>
      <c r="X74" s="36"/>
      <c r="Y74" s="36"/>
      <c r="Z74" s="39">
        <f>SUM(Table6914[[#This Row],[Y2 Q1 quantity]:[Y2 Q4 quantity]])</f>
        <v>0</v>
      </c>
      <c r="AA74" s="1011">
        <f>Table6914[[#This Row],[Y2 Unit cost]]*Table6914[[#This Row],[Y2 Total quantity]]</f>
        <v>0</v>
      </c>
      <c r="AB74" s="1009"/>
      <c r="AC74" s="36"/>
      <c r="AD74" s="36"/>
      <c r="AE74" s="36"/>
      <c r="AF74" s="36"/>
      <c r="AG74" s="39">
        <f>SUM(Table6914[[#This Row],[Y3 Q1 quantity]:[Y3 Q4 quantity]])</f>
        <v>0</v>
      </c>
      <c r="AH74" s="1005">
        <f>Table6914[[#This Row],[Y3 Unit cost]]*Table6914[[#This Row],[Y3 Total quantity]]</f>
        <v>0</v>
      </c>
      <c r="AI74" s="34">
        <f>Table6914[[#This Row],[Y1 Total quantity]]+Table6914[[#This Row],[Y2 Total quantity]]+Table6914[[#This Row],[Y3 Total quantity]]</f>
        <v>0</v>
      </c>
      <c r="AJ74" s="1013">
        <f>Table6914[[#This Row],[Y1 Total cost]]+Table6914[[#This Row],[Y2 Total cost]]+Table6914[[#This Row],[Y3 Total cost]]</f>
        <v>0</v>
      </c>
      <c r="AK74" s="43" t="str">
        <f t="shared" si="4"/>
        <v/>
      </c>
      <c r="AL74" s="1231"/>
    </row>
    <row r="75" spans="1:60">
      <c r="A75" s="170"/>
      <c r="B75" s="170"/>
      <c r="C75" s="170"/>
      <c r="D75" s="170"/>
      <c r="E75" s="170"/>
      <c r="F75" s="170"/>
      <c r="G75" s="170"/>
      <c r="H75" s="147"/>
      <c r="I75" s="147"/>
      <c r="J75" s="147"/>
      <c r="K75" s="147"/>
      <c r="L75" s="147"/>
      <c r="M75" s="147"/>
      <c r="N75" s="147"/>
      <c r="O75" s="147"/>
      <c r="P75" s="147"/>
      <c r="Q75" s="147"/>
      <c r="R75" s="147"/>
      <c r="S75" s="147"/>
      <c r="T75" s="147"/>
      <c r="U75" s="147"/>
      <c r="V75" s="147"/>
      <c r="W75" s="147"/>
      <c r="X75" s="147"/>
      <c r="Y75" s="147"/>
      <c r="Z75" s="147"/>
      <c r="AA75" s="147"/>
      <c r="AB75" s="147"/>
      <c r="AC75" s="147"/>
      <c r="AD75" s="147"/>
      <c r="AE75" s="147"/>
      <c r="AF75" s="147"/>
      <c r="AG75" s="124"/>
      <c r="AV75" s="249"/>
      <c r="AW75" s="249"/>
      <c r="AX75" s="249"/>
      <c r="AY75" s="249"/>
      <c r="AZ75" s="249"/>
      <c r="BA75" s="249"/>
      <c r="BB75" s="249"/>
      <c r="BC75" s="249"/>
      <c r="BD75" s="249"/>
      <c r="BE75" s="249"/>
      <c r="BF75" s="249"/>
      <c r="BG75" s="249"/>
      <c r="BH75" s="249"/>
    </row>
    <row r="76" spans="1:60" ht="15" thickBot="1">
      <c r="A76" s="165"/>
      <c r="B76" s="165"/>
      <c r="C76" s="165"/>
      <c r="D76" s="470"/>
      <c r="E76" s="470"/>
      <c r="F76" s="470"/>
      <c r="G76" s="124"/>
      <c r="H76" s="124"/>
      <c r="I76" s="124"/>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5"/>
    </row>
    <row r="77" spans="1:60" ht="15" customHeight="1">
      <c r="A77" s="2259">
        <v>3</v>
      </c>
      <c r="B77" s="2260" t="s">
        <v>246</v>
      </c>
      <c r="C77" s="2260"/>
      <c r="D77" s="2260"/>
      <c r="E77" s="2069" t="s">
        <v>247</v>
      </c>
      <c r="F77" s="2069"/>
      <c r="G77" s="2069"/>
      <c r="H77" s="2042" t="s">
        <v>241</v>
      </c>
      <c r="I77" s="2138" t="s">
        <v>229</v>
      </c>
      <c r="J77" s="2215" t="s">
        <v>231</v>
      </c>
      <c r="K77" s="2138"/>
      <c r="L77" s="121"/>
      <c r="M77" s="121"/>
      <c r="N77" s="121"/>
      <c r="O77" s="121"/>
      <c r="P77" s="121"/>
      <c r="Q77" s="121"/>
      <c r="R77" s="121"/>
      <c r="S77" s="121"/>
      <c r="T77" s="121"/>
      <c r="U77" s="121"/>
      <c r="V77" s="121"/>
      <c r="W77" s="121"/>
      <c r="X77" s="121"/>
      <c r="Y77" s="121"/>
      <c r="Z77" s="121"/>
      <c r="AA77" s="121"/>
      <c r="AB77" s="121"/>
      <c r="AC77" s="121"/>
      <c r="AD77" s="121"/>
      <c r="AE77" s="121"/>
      <c r="AF77" s="121"/>
      <c r="AG77" s="121"/>
      <c r="AH77" s="125"/>
    </row>
    <row r="78" spans="1:60" ht="15" customHeight="1" thickBot="1">
      <c r="A78" s="2259"/>
      <c r="B78" s="2260"/>
      <c r="C78" s="2260"/>
      <c r="D78" s="2260"/>
      <c r="E78" s="2069" t="s">
        <v>248</v>
      </c>
      <c r="F78" s="2069"/>
      <c r="G78" s="2069"/>
      <c r="H78" s="2043"/>
      <c r="I78" s="2139"/>
      <c r="J78" s="2216"/>
      <c r="K78" s="2139"/>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5"/>
    </row>
    <row r="79" spans="1:60" ht="111" customHeight="1">
      <c r="A79" s="2080" t="s">
        <v>6903</v>
      </c>
      <c r="B79" s="2081"/>
      <c r="C79" s="2081"/>
      <c r="D79" s="2081"/>
      <c r="E79" s="2081"/>
      <c r="F79" s="2081"/>
      <c r="G79" s="2081"/>
      <c r="H79" s="2081"/>
      <c r="I79" s="2081"/>
      <c r="J79" s="2081"/>
      <c r="K79" s="2081"/>
      <c r="L79" s="2081"/>
      <c r="M79" s="2145"/>
      <c r="N79" s="121"/>
      <c r="O79" s="121"/>
      <c r="P79" s="121"/>
      <c r="Q79" s="121"/>
      <c r="R79" s="121"/>
      <c r="S79" s="121"/>
      <c r="T79" s="121"/>
      <c r="U79" s="121"/>
      <c r="V79" s="121"/>
      <c r="W79" s="121"/>
      <c r="X79" s="121"/>
      <c r="Y79" s="121"/>
      <c r="Z79" s="121"/>
      <c r="AA79" s="121"/>
      <c r="AB79" s="121"/>
      <c r="AC79" s="121"/>
      <c r="AD79" s="121"/>
      <c r="AE79" s="121"/>
      <c r="AF79" s="121"/>
      <c r="AG79" s="121"/>
      <c r="AH79" s="125"/>
    </row>
    <row r="80" spans="1:60" ht="15" thickBot="1">
      <c r="A80" s="140"/>
      <c r="B80" s="140"/>
      <c r="C80" s="140"/>
      <c r="D80" s="140"/>
      <c r="E80" s="140"/>
      <c r="F80" s="140"/>
      <c r="G80" s="140"/>
      <c r="H80" s="140"/>
      <c r="I80" s="140"/>
      <c r="J80" s="140"/>
      <c r="K80" s="140"/>
      <c r="L80" s="140"/>
      <c r="M80" s="140"/>
      <c r="N80" s="140"/>
      <c r="O80" s="140"/>
      <c r="P80" s="140"/>
      <c r="Q80" s="140"/>
      <c r="R80" s="140"/>
      <c r="S80" s="140"/>
      <c r="T80" s="140"/>
      <c r="U80" s="140"/>
      <c r="V80" s="140"/>
      <c r="W80" s="140"/>
      <c r="X80" s="140"/>
      <c r="Y80" s="140"/>
      <c r="Z80" s="140"/>
      <c r="AA80" s="140"/>
      <c r="AB80" s="140"/>
      <c r="AC80" s="140"/>
      <c r="AD80" s="140"/>
      <c r="AE80" s="140"/>
      <c r="AF80" s="140"/>
      <c r="AG80" s="140"/>
      <c r="AH80" s="166"/>
    </row>
    <row r="81" spans="1:60">
      <c r="A81" s="2297" t="s">
        <v>1233</v>
      </c>
      <c r="B81" s="2290"/>
      <c r="C81" s="2290"/>
      <c r="D81" s="2297" t="s">
        <v>196</v>
      </c>
      <c r="E81" s="2290"/>
      <c r="F81" s="2290"/>
      <c r="G81" s="2291" t="s">
        <v>249</v>
      </c>
      <c r="H81" s="2156"/>
      <c r="I81" s="2156"/>
      <c r="J81" s="2132"/>
      <c r="K81" s="2290" t="s">
        <v>244</v>
      </c>
      <c r="L81" s="2295" t="s">
        <v>49</v>
      </c>
      <c r="M81" s="2293" t="str">
        <f>N47</f>
        <v>Please fill setup</v>
      </c>
      <c r="N81" s="2294"/>
      <c r="O81" s="2294"/>
      <c r="P81" s="2294"/>
      <c r="Q81" s="2294"/>
      <c r="R81" s="2294"/>
      <c r="S81" s="2294"/>
      <c r="T81" s="2293" t="str">
        <f>U47</f>
        <v>Please fill setup</v>
      </c>
      <c r="U81" s="2294"/>
      <c r="V81" s="2294"/>
      <c r="W81" s="2294"/>
      <c r="X81" s="2294"/>
      <c r="Y81" s="2294"/>
      <c r="Z81" s="2294"/>
      <c r="AA81" s="2293" t="str">
        <f>AB47</f>
        <v>Please fill setup</v>
      </c>
      <c r="AB81" s="2294"/>
      <c r="AC81" s="2294"/>
      <c r="AD81" s="2294"/>
      <c r="AE81" s="2294"/>
      <c r="AF81" s="2294"/>
      <c r="AG81" s="2294"/>
      <c r="AH81" s="2288" t="s">
        <v>152</v>
      </c>
      <c r="AI81" s="2289"/>
      <c r="AJ81" s="167" t="s">
        <v>153</v>
      </c>
      <c r="AK81" s="2116" t="s">
        <v>6865</v>
      </c>
      <c r="AL81" s="2166"/>
    </row>
    <row r="82" spans="1:60" s="412" customFormat="1" ht="26.5" thickBot="1">
      <c r="A82" s="2298"/>
      <c r="B82" s="2180"/>
      <c r="C82" s="2180"/>
      <c r="D82" s="2298"/>
      <c r="E82" s="2180"/>
      <c r="F82" s="2180"/>
      <c r="G82" s="2292"/>
      <c r="H82" s="2235"/>
      <c r="I82" s="2235"/>
      <c r="J82" s="2177"/>
      <c r="K82" s="2180"/>
      <c r="L82" s="2198"/>
      <c r="M82" s="1000" t="s">
        <v>198</v>
      </c>
      <c r="N82" s="545" t="s">
        <v>155</v>
      </c>
      <c r="O82" s="545" t="s">
        <v>156</v>
      </c>
      <c r="P82" s="545" t="s">
        <v>157</v>
      </c>
      <c r="Q82" s="545" t="s">
        <v>158</v>
      </c>
      <c r="R82" s="545" t="s">
        <v>159</v>
      </c>
      <c r="S82" s="1003" t="s">
        <v>160</v>
      </c>
      <c r="T82" s="1000" t="s">
        <v>161</v>
      </c>
      <c r="U82" s="545" t="s">
        <v>162</v>
      </c>
      <c r="V82" s="545" t="s">
        <v>163</v>
      </c>
      <c r="W82" s="545" t="s">
        <v>164</v>
      </c>
      <c r="X82" s="545" t="s">
        <v>165</v>
      </c>
      <c r="Y82" s="545" t="s">
        <v>166</v>
      </c>
      <c r="Z82" s="1000" t="s">
        <v>167</v>
      </c>
      <c r="AA82" s="1006" t="s">
        <v>168</v>
      </c>
      <c r="AB82" s="545" t="s">
        <v>169</v>
      </c>
      <c r="AC82" s="545" t="s">
        <v>170</v>
      </c>
      <c r="AD82" s="545" t="s">
        <v>171</v>
      </c>
      <c r="AE82" s="545" t="s">
        <v>172</v>
      </c>
      <c r="AF82" s="545" t="s">
        <v>173</v>
      </c>
      <c r="AG82" s="1003" t="s">
        <v>174</v>
      </c>
      <c r="AH82" s="545" t="s">
        <v>175</v>
      </c>
      <c r="AI82" s="1000" t="s">
        <v>176</v>
      </c>
      <c r="AJ82" s="168" t="s">
        <v>177</v>
      </c>
      <c r="AK82" s="2182"/>
      <c r="AL82" s="2244"/>
      <c r="AV82" s="105"/>
      <c r="AW82" s="105"/>
      <c r="AX82" s="105"/>
      <c r="AY82" s="105"/>
      <c r="AZ82" s="105"/>
      <c r="BA82" s="105"/>
      <c r="BB82" s="105"/>
      <c r="BC82" s="105"/>
      <c r="BD82" s="105"/>
      <c r="BE82" s="105"/>
      <c r="BF82" s="105"/>
      <c r="BG82" s="105"/>
      <c r="BH82" s="105"/>
    </row>
    <row r="83" spans="1:60" s="414" customFormat="1">
      <c r="A83" s="2269"/>
      <c r="B83" s="2210"/>
      <c r="C83" s="2210"/>
      <c r="D83" s="2269"/>
      <c r="E83" s="2299"/>
      <c r="F83" s="2299"/>
      <c r="G83" s="2217"/>
      <c r="H83" s="2210"/>
      <c r="I83" s="2210"/>
      <c r="J83" s="2218"/>
      <c r="K83" s="258" t="str">
        <f>IF(G83="","",IF(ISNUMBER(SEARCH("Abbott Early Infant Diagnosis",G83)),"Piece","Pack"))</f>
        <v/>
      </c>
      <c r="L83" s="259" t="str">
        <f>IF(K83="", "","USD")</f>
        <v/>
      </c>
      <c r="M83" s="1001"/>
      <c r="N83" s="35"/>
      <c r="O83" s="35"/>
      <c r="P83" s="35"/>
      <c r="Q83" s="35"/>
      <c r="R83" s="38">
        <f>SUM(Table6912[[#This Row],[Y1 Q1 quantity]:[Y1 Q4 quantity]])</f>
        <v>0</v>
      </c>
      <c r="S83" s="1004">
        <f>Table6912[[#This Row],[Y1 Unit cost]]*Table6912[[#This Row],[Y1 Total quantity]]</f>
        <v>0</v>
      </c>
      <c r="T83" s="1001"/>
      <c r="U83" s="35"/>
      <c r="V83" s="35"/>
      <c r="W83" s="35"/>
      <c r="X83" s="35"/>
      <c r="Y83" s="38">
        <f>SUM(Table6912[[#This Row],[Y2 Q1 quantity]:[Y2 Q4 quantity]])</f>
        <v>0</v>
      </c>
      <c r="Z83" s="1411">
        <f>Table6912[[#This Row],[Y2 Unit cost]]*Table6912[[#This Row],[Y2 Total quantity]]</f>
        <v>0</v>
      </c>
      <c r="AA83" s="1001"/>
      <c r="AB83" s="35"/>
      <c r="AC83" s="35"/>
      <c r="AD83" s="35"/>
      <c r="AE83" s="35"/>
      <c r="AF83" s="38">
        <f>SUM(Table6912[[#This Row],[Y3 Q1 quantity]:[Y3 Q4 quantity]])</f>
        <v>0</v>
      </c>
      <c r="AG83" s="1004">
        <f>Table6912[[#This Row],[Y3 Unit cost]]*Table6912[[#This Row],[Y3 Total quantity]]</f>
        <v>0</v>
      </c>
      <c r="AH83" s="38">
        <f>Table6912[[#This Row],[Y1 Total quantity]]+Table6912[[#This Row],[Y2 Total quantity]]+Table6912[[#This Row],[Y3 Total quantity]]</f>
        <v>0</v>
      </c>
      <c r="AI83" s="1004">
        <f>Table6912[[#This Row],[Y1 Total cost]]+Table6912[[#This Row],[Y2 Total cost]]+Table6912[[#This Row],[Y3 Total cost]]</f>
        <v>0</v>
      </c>
      <c r="AJ83" s="254" t="str">
        <f t="shared" ref="AJ83:AJ88" si="6">IF(ISBLANK(D83),"","5.6")</f>
        <v/>
      </c>
      <c r="AK83" s="2301"/>
      <c r="AL83" s="2302"/>
      <c r="AV83" s="412"/>
      <c r="AW83" s="412"/>
      <c r="AX83" s="412"/>
      <c r="AY83" s="412"/>
      <c r="AZ83" s="412"/>
      <c r="BA83" s="412"/>
      <c r="BB83" s="412"/>
      <c r="BC83" s="412"/>
      <c r="BD83" s="412"/>
      <c r="BE83" s="412"/>
      <c r="BF83" s="412"/>
      <c r="BG83" s="412"/>
      <c r="BH83" s="412"/>
    </row>
    <row r="84" spans="1:60" s="249" customFormat="1">
      <c r="A84" s="2268"/>
      <c r="B84" s="2223"/>
      <c r="C84" s="2223"/>
      <c r="D84" s="2268"/>
      <c r="E84" s="2223"/>
      <c r="F84" s="2223"/>
      <c r="G84" s="2253"/>
      <c r="H84" s="2254"/>
      <c r="I84" s="2254"/>
      <c r="J84" s="2255"/>
      <c r="K84" s="260" t="str">
        <f t="shared" ref="K84:K114" si="7">IF(G84="","",IF(ISNUMBER(SEARCH("Abbott Early Infant Diagnosis",G84)),"Piece","Pack"))</f>
        <v/>
      </c>
      <c r="L84" s="261" t="str">
        <f>IF(K84="", "","USD")</f>
        <v/>
      </c>
      <c r="M84" s="1002"/>
      <c r="N84" s="36"/>
      <c r="O84" s="36"/>
      <c r="P84" s="36"/>
      <c r="Q84" s="36"/>
      <c r="R84" s="39">
        <f>SUM(Table6912[[#This Row],[Y1 Q1 quantity]:[Y1 Q4 quantity]])</f>
        <v>0</v>
      </c>
      <c r="S84" s="1005">
        <f>Table6912[[#This Row],[Y1 Unit cost]]*Table6912[[#This Row],[Y1 Total quantity]]</f>
        <v>0</v>
      </c>
      <c r="T84" s="1002"/>
      <c r="U84" s="36"/>
      <c r="V84" s="36"/>
      <c r="W84" s="36"/>
      <c r="X84" s="36"/>
      <c r="Y84" s="39">
        <f>SUM(Table6912[[#This Row],[Y2 Q1 quantity]:[Y2 Q4 quantity]])</f>
        <v>0</v>
      </c>
      <c r="Z84" s="1011">
        <f>Table6912[[#This Row],[Y2 Unit cost]]*Table6912[[#This Row],[Y2 Total quantity]]</f>
        <v>0</v>
      </c>
      <c r="AA84" s="1009"/>
      <c r="AB84" s="36"/>
      <c r="AC84" s="36"/>
      <c r="AD84" s="36"/>
      <c r="AE84" s="36"/>
      <c r="AF84" s="39">
        <f>SUM(Table6912[[#This Row],[Y3 Q1 quantity]:[Y3 Q4 quantity]])</f>
        <v>0</v>
      </c>
      <c r="AG84" s="1005">
        <f>Table6912[[#This Row],[Y3 Unit cost]]*Table6912[[#This Row],[Y3 Total quantity]]</f>
        <v>0</v>
      </c>
      <c r="AH84" s="39">
        <f>Table6912[[#This Row],[Y1 Total quantity]]+Table6912[[#This Row],[Y2 Total quantity]]+Table6912[[#This Row],[Y3 Total quantity]]</f>
        <v>0</v>
      </c>
      <c r="AI84" s="1005">
        <f>Table6912[[#This Row],[Y1 Total cost]]+Table6912[[#This Row],[Y2 Total cost]]+Table6912[[#This Row],[Y3 Total cost]]</f>
        <v>0</v>
      </c>
      <c r="AJ84" s="255" t="str">
        <f t="shared" si="6"/>
        <v/>
      </c>
      <c r="AK84" s="2303"/>
      <c r="AL84" s="2304"/>
      <c r="AQ84" s="414"/>
      <c r="AV84" s="414"/>
      <c r="AW84" s="414"/>
      <c r="AX84" s="414"/>
      <c r="AY84" s="414"/>
      <c r="AZ84" s="414"/>
      <c r="BA84" s="414"/>
      <c r="BB84" s="414"/>
      <c r="BC84" s="414"/>
      <c r="BD84" s="414"/>
      <c r="BE84" s="414"/>
      <c r="BF84" s="414"/>
      <c r="BG84" s="414"/>
      <c r="BH84" s="414"/>
    </row>
    <row r="85" spans="1:60" s="249" customFormat="1">
      <c r="A85" s="2269"/>
      <c r="B85" s="2210"/>
      <c r="C85" s="2210"/>
      <c r="D85" s="2269"/>
      <c r="E85" s="2210"/>
      <c r="F85" s="2210"/>
      <c r="G85" s="2217"/>
      <c r="H85" s="2210"/>
      <c r="I85" s="2210"/>
      <c r="J85" s="2218"/>
      <c r="K85" s="258" t="str">
        <f t="shared" si="7"/>
        <v/>
      </c>
      <c r="L85" s="259" t="str">
        <f>IF(K85="", "","USD")</f>
        <v/>
      </c>
      <c r="M85" s="1001"/>
      <c r="N85" s="35"/>
      <c r="O85" s="35"/>
      <c r="P85" s="35"/>
      <c r="Q85" s="35"/>
      <c r="R85" s="38">
        <f>SUM(Table6912[[#This Row],[Y1 Q1 quantity]:[Y1 Q4 quantity]])</f>
        <v>0</v>
      </c>
      <c r="S85" s="1004">
        <f>Table6912[[#This Row],[Y1 Unit cost]]*Table6912[[#This Row],[Y1 Total quantity]]</f>
        <v>0</v>
      </c>
      <c r="T85" s="1001"/>
      <c r="U85" s="35"/>
      <c r="V85" s="35"/>
      <c r="W85" s="35"/>
      <c r="X85" s="35"/>
      <c r="Y85" s="38">
        <f>SUM(Table6912[[#This Row],[Y2 Q1 quantity]:[Y2 Q4 quantity]])</f>
        <v>0</v>
      </c>
      <c r="Z85" s="1010">
        <f>Table6912[[#This Row],[Y2 Unit cost]]*Table6912[[#This Row],[Y2 Total quantity]]</f>
        <v>0</v>
      </c>
      <c r="AA85" s="1008"/>
      <c r="AB85" s="35"/>
      <c r="AC85" s="35"/>
      <c r="AD85" s="35"/>
      <c r="AE85" s="35"/>
      <c r="AF85" s="38">
        <f>SUM(Table6912[[#This Row],[Y3 Q1 quantity]:[Y3 Q4 quantity]])</f>
        <v>0</v>
      </c>
      <c r="AG85" s="1004">
        <f>Table6912[[#This Row],[Y3 Unit cost]]*Table6912[[#This Row],[Y3 Total quantity]]</f>
        <v>0</v>
      </c>
      <c r="AH85" s="38">
        <f>Table6912[[#This Row],[Y1 Total quantity]]+Table6912[[#This Row],[Y2 Total quantity]]+Table6912[[#This Row],[Y3 Total quantity]]</f>
        <v>0</v>
      </c>
      <c r="AI85" s="1004">
        <f>Table6912[[#This Row],[Y1 Total cost]]+Table6912[[#This Row],[Y2 Total cost]]+Table6912[[#This Row],[Y3 Total cost]]</f>
        <v>0</v>
      </c>
      <c r="AJ85" s="254" t="str">
        <f t="shared" si="6"/>
        <v/>
      </c>
      <c r="AK85" s="2305"/>
      <c r="AL85" s="2306"/>
      <c r="AQ85" s="414"/>
    </row>
    <row r="86" spans="1:60" s="249" customFormat="1">
      <c r="A86" s="2268"/>
      <c r="B86" s="2223"/>
      <c r="C86" s="2223"/>
      <c r="D86" s="2268"/>
      <c r="E86" s="2223"/>
      <c r="F86" s="2223"/>
      <c r="G86" s="2253"/>
      <c r="H86" s="2254"/>
      <c r="I86" s="2254"/>
      <c r="J86" s="2255"/>
      <c r="K86" s="260" t="str">
        <f t="shared" si="7"/>
        <v/>
      </c>
      <c r="L86" s="261" t="str">
        <f t="shared" ref="L86:L114" si="8">IF(K86="", "","USD")</f>
        <v/>
      </c>
      <c r="M86" s="1002"/>
      <c r="N86" s="36"/>
      <c r="O86" s="36"/>
      <c r="P86" s="36"/>
      <c r="Q86" s="36"/>
      <c r="R86" s="39">
        <f>SUM(Table6912[[#This Row],[Y1 Q1 quantity]:[Y1 Q4 quantity]])</f>
        <v>0</v>
      </c>
      <c r="S86" s="1005">
        <f>Table6912[[#This Row],[Y1 Unit cost]]*Table6912[[#This Row],[Y1 Total quantity]]</f>
        <v>0</v>
      </c>
      <c r="T86" s="1002"/>
      <c r="U86" s="36"/>
      <c r="V86" s="36"/>
      <c r="W86" s="36"/>
      <c r="X86" s="36"/>
      <c r="Y86" s="39">
        <f>SUM(Table6912[[#This Row],[Y2 Q1 quantity]:[Y2 Q4 quantity]])</f>
        <v>0</v>
      </c>
      <c r="Z86" s="1011">
        <f>Table6912[[#This Row],[Y2 Unit cost]]*Table6912[[#This Row],[Y2 Total quantity]]</f>
        <v>0</v>
      </c>
      <c r="AA86" s="1009"/>
      <c r="AB86" s="36"/>
      <c r="AC86" s="36"/>
      <c r="AD86" s="36"/>
      <c r="AE86" s="36"/>
      <c r="AF86" s="39">
        <f>SUM(Table6912[[#This Row],[Y3 Q1 quantity]:[Y3 Q4 quantity]])</f>
        <v>0</v>
      </c>
      <c r="AG86" s="1005">
        <f>Table6912[[#This Row],[Y3 Unit cost]]*Table6912[[#This Row],[Y3 Total quantity]]</f>
        <v>0</v>
      </c>
      <c r="AH86" s="39">
        <f>Table6912[[#This Row],[Y1 Total quantity]]+Table6912[[#This Row],[Y2 Total quantity]]+Table6912[[#This Row],[Y3 Total quantity]]</f>
        <v>0</v>
      </c>
      <c r="AI86" s="1005">
        <f>Table6912[[#This Row],[Y1 Total cost]]+Table6912[[#This Row],[Y2 Total cost]]+Table6912[[#This Row],[Y3 Total cost]]</f>
        <v>0</v>
      </c>
      <c r="AJ86" s="255" t="str">
        <f t="shared" si="6"/>
        <v/>
      </c>
      <c r="AK86" s="2303"/>
      <c r="AL86" s="2304"/>
      <c r="AQ86" s="414"/>
    </row>
    <row r="87" spans="1:60" s="249" customFormat="1">
      <c r="A87" s="2269"/>
      <c r="B87" s="2210"/>
      <c r="C87" s="2210"/>
      <c r="D87" s="2269"/>
      <c r="E87" s="2210"/>
      <c r="F87" s="2210"/>
      <c r="G87" s="2217"/>
      <c r="H87" s="2210"/>
      <c r="I87" s="2210"/>
      <c r="J87" s="2218"/>
      <c r="K87" s="258" t="str">
        <f t="shared" si="7"/>
        <v/>
      </c>
      <c r="L87" s="259" t="str">
        <f t="shared" si="8"/>
        <v/>
      </c>
      <c r="M87" s="1001"/>
      <c r="N87" s="35"/>
      <c r="O87" s="35"/>
      <c r="P87" s="35"/>
      <c r="Q87" s="35"/>
      <c r="R87" s="38">
        <f>SUM(Table6912[[#This Row],[Y1 Q1 quantity]:[Y1 Q4 quantity]])</f>
        <v>0</v>
      </c>
      <c r="S87" s="1004">
        <f>Table6912[[#This Row],[Y1 Unit cost]]*Table6912[[#This Row],[Y1 Total quantity]]</f>
        <v>0</v>
      </c>
      <c r="T87" s="1001"/>
      <c r="U87" s="35"/>
      <c r="V87" s="35"/>
      <c r="W87" s="35"/>
      <c r="X87" s="35"/>
      <c r="Y87" s="38">
        <f>SUM(Table6912[[#This Row],[Y2 Q1 quantity]:[Y2 Q4 quantity]])</f>
        <v>0</v>
      </c>
      <c r="Z87" s="1010">
        <f>Table6912[[#This Row],[Y2 Unit cost]]*Table6912[[#This Row],[Y2 Total quantity]]</f>
        <v>0</v>
      </c>
      <c r="AA87" s="1008"/>
      <c r="AB87" s="35"/>
      <c r="AC87" s="35"/>
      <c r="AD87" s="35"/>
      <c r="AE87" s="35"/>
      <c r="AF87" s="38">
        <f>SUM(Table6912[[#This Row],[Y3 Q1 quantity]:[Y3 Q4 quantity]])</f>
        <v>0</v>
      </c>
      <c r="AG87" s="1004">
        <f>Table6912[[#This Row],[Y3 Unit cost]]*Table6912[[#This Row],[Y3 Total quantity]]</f>
        <v>0</v>
      </c>
      <c r="AH87" s="38">
        <f>Table6912[[#This Row],[Y1 Total quantity]]+Table6912[[#This Row],[Y2 Total quantity]]+Table6912[[#This Row],[Y3 Total quantity]]</f>
        <v>0</v>
      </c>
      <c r="AI87" s="1004">
        <f>Table6912[[#This Row],[Y1 Total cost]]+Table6912[[#This Row],[Y2 Total cost]]+Table6912[[#This Row],[Y3 Total cost]]</f>
        <v>0</v>
      </c>
      <c r="AJ87" s="254" t="str">
        <f t="shared" si="6"/>
        <v/>
      </c>
      <c r="AK87" s="2305"/>
      <c r="AL87" s="2306"/>
      <c r="AQ87" s="414"/>
    </row>
    <row r="88" spans="1:60" s="249" customFormat="1">
      <c r="A88" s="2268"/>
      <c r="B88" s="2223"/>
      <c r="C88" s="2223"/>
      <c r="D88" s="2268"/>
      <c r="E88" s="2223"/>
      <c r="F88" s="2223"/>
      <c r="G88" s="2253"/>
      <c r="H88" s="2254"/>
      <c r="I88" s="2254"/>
      <c r="J88" s="2255"/>
      <c r="K88" s="260" t="str">
        <f t="shared" si="7"/>
        <v/>
      </c>
      <c r="L88" s="261" t="str">
        <f t="shared" si="8"/>
        <v/>
      </c>
      <c r="M88" s="1002"/>
      <c r="N88" s="36"/>
      <c r="O88" s="36"/>
      <c r="P88" s="36"/>
      <c r="Q88" s="36"/>
      <c r="R88" s="39">
        <f>SUM(Table6912[[#This Row],[Y1 Q1 quantity]:[Y1 Q4 quantity]])</f>
        <v>0</v>
      </c>
      <c r="S88" s="1005">
        <f>Table6912[[#This Row],[Y1 Unit cost]]*Table6912[[#This Row],[Y1 Total quantity]]</f>
        <v>0</v>
      </c>
      <c r="T88" s="1002"/>
      <c r="U88" s="36"/>
      <c r="V88" s="36"/>
      <c r="W88" s="36"/>
      <c r="X88" s="36"/>
      <c r="Y88" s="39">
        <f>SUM(Table6912[[#This Row],[Y2 Q1 quantity]:[Y2 Q4 quantity]])</f>
        <v>0</v>
      </c>
      <c r="Z88" s="1011">
        <f>Table6912[[#This Row],[Y2 Unit cost]]*Table6912[[#This Row],[Y2 Total quantity]]</f>
        <v>0</v>
      </c>
      <c r="AA88" s="1009"/>
      <c r="AB88" s="36"/>
      <c r="AC88" s="36"/>
      <c r="AD88" s="36"/>
      <c r="AE88" s="36"/>
      <c r="AF88" s="39">
        <f>SUM(Table6912[[#This Row],[Y3 Q1 quantity]:[Y3 Q4 quantity]])</f>
        <v>0</v>
      </c>
      <c r="AG88" s="1005">
        <f>Table6912[[#This Row],[Y3 Unit cost]]*Table6912[[#This Row],[Y3 Total quantity]]</f>
        <v>0</v>
      </c>
      <c r="AH88" s="39">
        <f>Table6912[[#This Row],[Y1 Total quantity]]+Table6912[[#This Row],[Y2 Total quantity]]+Table6912[[#This Row],[Y3 Total quantity]]</f>
        <v>0</v>
      </c>
      <c r="AI88" s="1005">
        <f>Table6912[[#This Row],[Y1 Total cost]]+Table6912[[#This Row],[Y2 Total cost]]+Table6912[[#This Row],[Y3 Total cost]]</f>
        <v>0</v>
      </c>
      <c r="AJ88" s="255" t="str">
        <f t="shared" si="6"/>
        <v/>
      </c>
      <c r="AK88" s="2303"/>
      <c r="AL88" s="2304"/>
      <c r="AQ88" s="414"/>
    </row>
    <row r="89" spans="1:60" s="249" customFormat="1">
      <c r="A89" s="2269"/>
      <c r="B89" s="2210"/>
      <c r="C89" s="2210"/>
      <c r="D89" s="2269"/>
      <c r="E89" s="2210"/>
      <c r="F89" s="2210"/>
      <c r="G89" s="2217"/>
      <c r="H89" s="2210"/>
      <c r="I89" s="2210"/>
      <c r="J89" s="2218"/>
      <c r="K89" s="258" t="str">
        <f t="shared" si="7"/>
        <v/>
      </c>
      <c r="L89" s="259" t="str">
        <f t="shared" si="8"/>
        <v/>
      </c>
      <c r="M89" s="1002"/>
      <c r="N89" s="36"/>
      <c r="O89" s="36"/>
      <c r="P89" s="36"/>
      <c r="Q89" s="36"/>
      <c r="R89" s="39">
        <f>SUM(Table6912[[#This Row],[Y1 Q1 quantity]:[Y1 Q4 quantity]])</f>
        <v>0</v>
      </c>
      <c r="S89" s="1005">
        <f>Table6912[[#This Row],[Y1 Unit cost]]*Table6912[[#This Row],[Y1 Total quantity]]</f>
        <v>0</v>
      </c>
      <c r="T89" s="1002"/>
      <c r="U89" s="36"/>
      <c r="V89" s="36"/>
      <c r="W89" s="36"/>
      <c r="X89" s="36"/>
      <c r="Y89" s="39">
        <f>SUM(Table6912[[#This Row],[Y2 Q1 quantity]:[Y2 Q4 quantity]])</f>
        <v>0</v>
      </c>
      <c r="Z89" s="1011">
        <f>Table6912[[#This Row],[Y2 Unit cost]]*Table6912[[#This Row],[Y2 Total quantity]]</f>
        <v>0</v>
      </c>
      <c r="AA89" s="1009"/>
      <c r="AB89" s="36"/>
      <c r="AC89" s="36"/>
      <c r="AD89" s="36"/>
      <c r="AE89" s="36"/>
      <c r="AF89" s="39">
        <f>SUM(Table6912[[#This Row],[Y3 Q1 quantity]:[Y3 Q4 quantity]])</f>
        <v>0</v>
      </c>
      <c r="AG89" s="1005">
        <f>Table6912[[#This Row],[Y3 Unit cost]]*Table6912[[#This Row],[Y3 Total quantity]]</f>
        <v>0</v>
      </c>
      <c r="AH89" s="39">
        <f>Table6912[[#This Row],[Y1 Total quantity]]+Table6912[[#This Row],[Y2 Total quantity]]+Table6912[[#This Row],[Y3 Total quantity]]</f>
        <v>0</v>
      </c>
      <c r="AI89" s="1005">
        <f>Table6912[[#This Row],[Y1 Total cost]]+Table6912[[#This Row],[Y2 Total cost]]+Table6912[[#This Row],[Y3 Total cost]]</f>
        <v>0</v>
      </c>
      <c r="AJ89" s="256" t="str">
        <f t="shared" ref="AJ89:AJ106" si="9">IF(ISBLANK(D89),"","5.6")</f>
        <v/>
      </c>
      <c r="AK89" s="2305"/>
      <c r="AL89" s="2306"/>
      <c r="AQ89" s="414"/>
    </row>
    <row r="90" spans="1:60" s="249" customFormat="1">
      <c r="A90" s="2268"/>
      <c r="B90" s="2223"/>
      <c r="C90" s="2223"/>
      <c r="D90" s="2268"/>
      <c r="E90" s="2223"/>
      <c r="F90" s="2223"/>
      <c r="G90" s="2253"/>
      <c r="H90" s="2254"/>
      <c r="I90" s="2254"/>
      <c r="J90" s="2255"/>
      <c r="K90" s="260" t="str">
        <f t="shared" si="7"/>
        <v/>
      </c>
      <c r="L90" s="261" t="str">
        <f t="shared" si="8"/>
        <v/>
      </c>
      <c r="M90" s="1002"/>
      <c r="N90" s="36"/>
      <c r="O90" s="36"/>
      <c r="P90" s="36"/>
      <c r="Q90" s="36"/>
      <c r="R90" s="39">
        <f>SUM(Table6912[[#This Row],[Y1 Q1 quantity]:[Y1 Q4 quantity]])</f>
        <v>0</v>
      </c>
      <c r="S90" s="1005">
        <f>Table6912[[#This Row],[Y1 Unit cost]]*Table6912[[#This Row],[Y1 Total quantity]]</f>
        <v>0</v>
      </c>
      <c r="T90" s="1002"/>
      <c r="U90" s="36"/>
      <c r="V90" s="36"/>
      <c r="W90" s="36"/>
      <c r="X90" s="36"/>
      <c r="Y90" s="39">
        <f>SUM(Table6912[[#This Row],[Y2 Q1 quantity]:[Y2 Q4 quantity]])</f>
        <v>0</v>
      </c>
      <c r="Z90" s="1011">
        <f>Table6912[[#This Row],[Y2 Unit cost]]*Table6912[[#This Row],[Y2 Total quantity]]</f>
        <v>0</v>
      </c>
      <c r="AA90" s="1009"/>
      <c r="AB90" s="36"/>
      <c r="AC90" s="36"/>
      <c r="AD90" s="36"/>
      <c r="AE90" s="36"/>
      <c r="AF90" s="39">
        <f>SUM(Table6912[[#This Row],[Y3 Q1 quantity]:[Y3 Q4 quantity]])</f>
        <v>0</v>
      </c>
      <c r="AG90" s="1005">
        <f>Table6912[[#This Row],[Y3 Unit cost]]*Table6912[[#This Row],[Y3 Total quantity]]</f>
        <v>0</v>
      </c>
      <c r="AH90" s="39">
        <f>Table6912[[#This Row],[Y1 Total quantity]]+Table6912[[#This Row],[Y2 Total quantity]]+Table6912[[#This Row],[Y3 Total quantity]]</f>
        <v>0</v>
      </c>
      <c r="AI90" s="1005">
        <f>Table6912[[#This Row],[Y1 Total cost]]+Table6912[[#This Row],[Y2 Total cost]]+Table6912[[#This Row],[Y3 Total cost]]</f>
        <v>0</v>
      </c>
      <c r="AJ90" s="256" t="str">
        <f t="shared" si="9"/>
        <v/>
      </c>
      <c r="AK90" s="2303"/>
      <c r="AL90" s="2304"/>
      <c r="AQ90" s="414"/>
    </row>
    <row r="91" spans="1:60" s="249" customFormat="1">
      <c r="A91" s="2269"/>
      <c r="B91" s="2210"/>
      <c r="C91" s="2210"/>
      <c r="D91" s="2269"/>
      <c r="E91" s="2210"/>
      <c r="F91" s="2210"/>
      <c r="G91" s="2217"/>
      <c r="H91" s="2210"/>
      <c r="I91" s="2210"/>
      <c r="J91" s="2218"/>
      <c r="K91" s="258" t="str">
        <f t="shared" si="7"/>
        <v/>
      </c>
      <c r="L91" s="259" t="str">
        <f t="shared" si="8"/>
        <v/>
      </c>
      <c r="M91" s="1002"/>
      <c r="N91" s="36"/>
      <c r="O91" s="36"/>
      <c r="P91" s="36"/>
      <c r="Q91" s="36"/>
      <c r="R91" s="39">
        <f>SUM(Table6912[[#This Row],[Y1 Q1 quantity]:[Y1 Q4 quantity]])</f>
        <v>0</v>
      </c>
      <c r="S91" s="1005">
        <f>Table6912[[#This Row],[Y1 Unit cost]]*Table6912[[#This Row],[Y1 Total quantity]]</f>
        <v>0</v>
      </c>
      <c r="T91" s="1002"/>
      <c r="U91" s="36"/>
      <c r="V91" s="36"/>
      <c r="W91" s="36"/>
      <c r="X91" s="36"/>
      <c r="Y91" s="39">
        <f>SUM(Table6912[[#This Row],[Y2 Q1 quantity]:[Y2 Q4 quantity]])</f>
        <v>0</v>
      </c>
      <c r="Z91" s="1011">
        <f>Table6912[[#This Row],[Y2 Unit cost]]*Table6912[[#This Row],[Y2 Total quantity]]</f>
        <v>0</v>
      </c>
      <c r="AA91" s="1009"/>
      <c r="AB91" s="36"/>
      <c r="AC91" s="36"/>
      <c r="AD91" s="36"/>
      <c r="AE91" s="36"/>
      <c r="AF91" s="39">
        <f>SUM(Table6912[[#This Row],[Y3 Q1 quantity]:[Y3 Q4 quantity]])</f>
        <v>0</v>
      </c>
      <c r="AG91" s="1005">
        <f>Table6912[[#This Row],[Y3 Unit cost]]*Table6912[[#This Row],[Y3 Total quantity]]</f>
        <v>0</v>
      </c>
      <c r="AH91" s="39">
        <f>Table6912[[#This Row],[Y1 Total quantity]]+Table6912[[#This Row],[Y2 Total quantity]]+Table6912[[#This Row],[Y3 Total quantity]]</f>
        <v>0</v>
      </c>
      <c r="AI91" s="1005">
        <f>Table6912[[#This Row],[Y1 Total cost]]+Table6912[[#This Row],[Y2 Total cost]]+Table6912[[#This Row],[Y3 Total cost]]</f>
        <v>0</v>
      </c>
      <c r="AJ91" s="256" t="str">
        <f t="shared" si="9"/>
        <v/>
      </c>
      <c r="AK91" s="2305"/>
      <c r="AL91" s="2306"/>
      <c r="AQ91" s="414"/>
    </row>
    <row r="92" spans="1:60" s="249" customFormat="1">
      <c r="A92" s="2268"/>
      <c r="B92" s="2223"/>
      <c r="C92" s="2223"/>
      <c r="D92" s="2268"/>
      <c r="E92" s="2223"/>
      <c r="F92" s="2223"/>
      <c r="G92" s="2253"/>
      <c r="H92" s="2254"/>
      <c r="I92" s="2254"/>
      <c r="J92" s="2255"/>
      <c r="K92" s="260" t="str">
        <f t="shared" si="7"/>
        <v/>
      </c>
      <c r="L92" s="261" t="str">
        <f t="shared" si="8"/>
        <v/>
      </c>
      <c r="M92" s="1002"/>
      <c r="N92" s="36"/>
      <c r="O92" s="36"/>
      <c r="P92" s="36"/>
      <c r="Q92" s="36"/>
      <c r="R92" s="39">
        <f>SUM(Table6912[[#This Row],[Y1 Q1 quantity]:[Y1 Q4 quantity]])</f>
        <v>0</v>
      </c>
      <c r="S92" s="1005">
        <f>Table6912[[#This Row],[Y1 Unit cost]]*Table6912[[#This Row],[Y1 Total quantity]]</f>
        <v>0</v>
      </c>
      <c r="T92" s="1002"/>
      <c r="U92" s="36"/>
      <c r="V92" s="36"/>
      <c r="W92" s="36"/>
      <c r="X92" s="36"/>
      <c r="Y92" s="39">
        <f>SUM(Table6912[[#This Row],[Y2 Q1 quantity]:[Y2 Q4 quantity]])</f>
        <v>0</v>
      </c>
      <c r="Z92" s="1011">
        <f>Table6912[[#This Row],[Y2 Unit cost]]*Table6912[[#This Row],[Y2 Total quantity]]</f>
        <v>0</v>
      </c>
      <c r="AA92" s="1009"/>
      <c r="AB92" s="36"/>
      <c r="AC92" s="36"/>
      <c r="AD92" s="36"/>
      <c r="AE92" s="36"/>
      <c r="AF92" s="39">
        <f>SUM(Table6912[[#This Row],[Y3 Q1 quantity]:[Y3 Q4 quantity]])</f>
        <v>0</v>
      </c>
      <c r="AG92" s="1005">
        <f>Table6912[[#This Row],[Y3 Unit cost]]*Table6912[[#This Row],[Y3 Total quantity]]</f>
        <v>0</v>
      </c>
      <c r="AH92" s="39">
        <f>Table6912[[#This Row],[Y1 Total quantity]]+Table6912[[#This Row],[Y2 Total quantity]]+Table6912[[#This Row],[Y3 Total quantity]]</f>
        <v>0</v>
      </c>
      <c r="AI92" s="1005">
        <f>Table6912[[#This Row],[Y1 Total cost]]+Table6912[[#This Row],[Y2 Total cost]]+Table6912[[#This Row],[Y3 Total cost]]</f>
        <v>0</v>
      </c>
      <c r="AJ92" s="256" t="str">
        <f t="shared" si="9"/>
        <v/>
      </c>
      <c r="AK92" s="2303"/>
      <c r="AL92" s="2304"/>
      <c r="AQ92" s="414"/>
    </row>
    <row r="93" spans="1:60" s="249" customFormat="1">
      <c r="A93" s="2269"/>
      <c r="B93" s="2210"/>
      <c r="C93" s="2210"/>
      <c r="D93" s="2269"/>
      <c r="E93" s="2210"/>
      <c r="F93" s="2210"/>
      <c r="G93" s="2217"/>
      <c r="H93" s="2210"/>
      <c r="I93" s="2210"/>
      <c r="J93" s="2218"/>
      <c r="K93" s="258" t="str">
        <f t="shared" si="7"/>
        <v/>
      </c>
      <c r="L93" s="259" t="str">
        <f t="shared" si="8"/>
        <v/>
      </c>
      <c r="M93" s="1002"/>
      <c r="N93" s="36"/>
      <c r="O93" s="36"/>
      <c r="P93" s="36"/>
      <c r="Q93" s="36"/>
      <c r="R93" s="39">
        <f>SUM(Table6912[[#This Row],[Y1 Q1 quantity]:[Y1 Q4 quantity]])</f>
        <v>0</v>
      </c>
      <c r="S93" s="1005">
        <f>Table6912[[#This Row],[Y1 Unit cost]]*Table6912[[#This Row],[Y1 Total quantity]]</f>
        <v>0</v>
      </c>
      <c r="T93" s="1002"/>
      <c r="U93" s="36"/>
      <c r="V93" s="36"/>
      <c r="W93" s="36"/>
      <c r="X93" s="36"/>
      <c r="Y93" s="39">
        <f>SUM(Table6912[[#This Row],[Y2 Q1 quantity]:[Y2 Q4 quantity]])</f>
        <v>0</v>
      </c>
      <c r="Z93" s="1011">
        <f>Table6912[[#This Row],[Y2 Unit cost]]*Table6912[[#This Row],[Y2 Total quantity]]</f>
        <v>0</v>
      </c>
      <c r="AA93" s="1009"/>
      <c r="AB93" s="36"/>
      <c r="AC93" s="36"/>
      <c r="AD93" s="36"/>
      <c r="AE93" s="36"/>
      <c r="AF93" s="39">
        <f>SUM(Table6912[[#This Row],[Y3 Q1 quantity]:[Y3 Q4 quantity]])</f>
        <v>0</v>
      </c>
      <c r="AG93" s="1005">
        <f>Table6912[[#This Row],[Y3 Unit cost]]*Table6912[[#This Row],[Y3 Total quantity]]</f>
        <v>0</v>
      </c>
      <c r="AH93" s="39">
        <f>Table6912[[#This Row],[Y1 Total quantity]]+Table6912[[#This Row],[Y2 Total quantity]]+Table6912[[#This Row],[Y3 Total quantity]]</f>
        <v>0</v>
      </c>
      <c r="AI93" s="1005">
        <f>Table6912[[#This Row],[Y1 Total cost]]+Table6912[[#This Row],[Y2 Total cost]]+Table6912[[#This Row],[Y3 Total cost]]</f>
        <v>0</v>
      </c>
      <c r="AJ93" s="256" t="str">
        <f t="shared" si="9"/>
        <v/>
      </c>
      <c r="AK93" s="2305"/>
      <c r="AL93" s="2306"/>
      <c r="AQ93" s="414"/>
    </row>
    <row r="94" spans="1:60" s="249" customFormat="1">
      <c r="A94" s="2268"/>
      <c r="B94" s="2223"/>
      <c r="C94" s="2223"/>
      <c r="D94" s="2268"/>
      <c r="E94" s="2223"/>
      <c r="F94" s="2223"/>
      <c r="G94" s="2253"/>
      <c r="H94" s="2254"/>
      <c r="I94" s="2254"/>
      <c r="J94" s="2255"/>
      <c r="K94" s="260" t="str">
        <f t="shared" si="7"/>
        <v/>
      </c>
      <c r="L94" s="261" t="str">
        <f t="shared" si="8"/>
        <v/>
      </c>
      <c r="M94" s="1002"/>
      <c r="N94" s="36"/>
      <c r="O94" s="36"/>
      <c r="P94" s="36"/>
      <c r="Q94" s="36"/>
      <c r="R94" s="39">
        <f>SUM(Table6912[[#This Row],[Y1 Q1 quantity]:[Y1 Q4 quantity]])</f>
        <v>0</v>
      </c>
      <c r="S94" s="1005">
        <f>Table6912[[#This Row],[Y1 Unit cost]]*Table6912[[#This Row],[Y1 Total quantity]]</f>
        <v>0</v>
      </c>
      <c r="T94" s="1002"/>
      <c r="U94" s="36"/>
      <c r="V94" s="36"/>
      <c r="W94" s="36"/>
      <c r="X94" s="36"/>
      <c r="Y94" s="39">
        <f>SUM(Table6912[[#This Row],[Y2 Q1 quantity]:[Y2 Q4 quantity]])</f>
        <v>0</v>
      </c>
      <c r="Z94" s="1011">
        <f>Table6912[[#This Row],[Y2 Unit cost]]*Table6912[[#This Row],[Y2 Total quantity]]</f>
        <v>0</v>
      </c>
      <c r="AA94" s="1009"/>
      <c r="AB94" s="36"/>
      <c r="AC94" s="36"/>
      <c r="AD94" s="36"/>
      <c r="AE94" s="36"/>
      <c r="AF94" s="39">
        <f>SUM(Table6912[[#This Row],[Y3 Q1 quantity]:[Y3 Q4 quantity]])</f>
        <v>0</v>
      </c>
      <c r="AG94" s="1005">
        <f>Table6912[[#This Row],[Y3 Unit cost]]*Table6912[[#This Row],[Y3 Total quantity]]</f>
        <v>0</v>
      </c>
      <c r="AH94" s="39">
        <f>Table6912[[#This Row],[Y1 Total quantity]]+Table6912[[#This Row],[Y2 Total quantity]]+Table6912[[#This Row],[Y3 Total quantity]]</f>
        <v>0</v>
      </c>
      <c r="AI94" s="1005">
        <f>Table6912[[#This Row],[Y1 Total cost]]+Table6912[[#This Row],[Y2 Total cost]]+Table6912[[#This Row],[Y3 Total cost]]</f>
        <v>0</v>
      </c>
      <c r="AJ94" s="256" t="str">
        <f t="shared" si="9"/>
        <v/>
      </c>
      <c r="AK94" s="2303"/>
      <c r="AL94" s="2304"/>
      <c r="AQ94" s="414"/>
    </row>
    <row r="95" spans="1:60" s="249" customFormat="1">
      <c r="A95" s="2269"/>
      <c r="B95" s="2210"/>
      <c r="C95" s="2210"/>
      <c r="D95" s="2269"/>
      <c r="E95" s="2210"/>
      <c r="F95" s="2210"/>
      <c r="G95" s="2217"/>
      <c r="H95" s="2210"/>
      <c r="I95" s="2210"/>
      <c r="J95" s="2218"/>
      <c r="K95" s="258" t="str">
        <f t="shared" si="7"/>
        <v/>
      </c>
      <c r="L95" s="259" t="str">
        <f t="shared" si="8"/>
        <v/>
      </c>
      <c r="M95" s="1002"/>
      <c r="N95" s="36"/>
      <c r="O95" s="36"/>
      <c r="P95" s="36"/>
      <c r="Q95" s="36"/>
      <c r="R95" s="39">
        <f>SUM(Table6912[[#This Row],[Y1 Q1 quantity]:[Y1 Q4 quantity]])</f>
        <v>0</v>
      </c>
      <c r="S95" s="1005">
        <f>Table6912[[#This Row],[Y1 Unit cost]]*Table6912[[#This Row],[Y1 Total quantity]]</f>
        <v>0</v>
      </c>
      <c r="T95" s="1002"/>
      <c r="U95" s="36"/>
      <c r="V95" s="36"/>
      <c r="W95" s="36"/>
      <c r="X95" s="36"/>
      <c r="Y95" s="39">
        <f>SUM(Table6912[[#This Row],[Y2 Q1 quantity]:[Y2 Q4 quantity]])</f>
        <v>0</v>
      </c>
      <c r="Z95" s="1011">
        <f>Table6912[[#This Row],[Y2 Unit cost]]*Table6912[[#This Row],[Y2 Total quantity]]</f>
        <v>0</v>
      </c>
      <c r="AA95" s="1009"/>
      <c r="AB95" s="36"/>
      <c r="AC95" s="36"/>
      <c r="AD95" s="36"/>
      <c r="AE95" s="36"/>
      <c r="AF95" s="39">
        <f>SUM(Table6912[[#This Row],[Y3 Q1 quantity]:[Y3 Q4 quantity]])</f>
        <v>0</v>
      </c>
      <c r="AG95" s="1005">
        <f>Table6912[[#This Row],[Y3 Unit cost]]*Table6912[[#This Row],[Y3 Total quantity]]</f>
        <v>0</v>
      </c>
      <c r="AH95" s="39">
        <f>Table6912[[#This Row],[Y1 Total quantity]]+Table6912[[#This Row],[Y2 Total quantity]]+Table6912[[#This Row],[Y3 Total quantity]]</f>
        <v>0</v>
      </c>
      <c r="AI95" s="1005">
        <f>Table6912[[#This Row],[Y1 Total cost]]+Table6912[[#This Row],[Y2 Total cost]]+Table6912[[#This Row],[Y3 Total cost]]</f>
        <v>0</v>
      </c>
      <c r="AJ95" s="256" t="str">
        <f t="shared" si="9"/>
        <v/>
      </c>
      <c r="AK95" s="2305"/>
      <c r="AL95" s="2306"/>
      <c r="AQ95" s="414"/>
    </row>
    <row r="96" spans="1:60" s="249" customFormat="1" hidden="1">
      <c r="A96" s="2268"/>
      <c r="B96" s="2223"/>
      <c r="C96" s="2223"/>
      <c r="D96" s="2268"/>
      <c r="E96" s="2223"/>
      <c r="F96" s="2223"/>
      <c r="G96" s="2253"/>
      <c r="H96" s="2254"/>
      <c r="I96" s="2254"/>
      <c r="J96" s="2255"/>
      <c r="K96" s="260" t="str">
        <f t="shared" si="7"/>
        <v/>
      </c>
      <c r="L96" s="261" t="str">
        <f t="shared" si="8"/>
        <v/>
      </c>
      <c r="M96" s="1002"/>
      <c r="N96" s="36"/>
      <c r="O96" s="36"/>
      <c r="P96" s="36"/>
      <c r="Q96" s="36"/>
      <c r="R96" s="39">
        <f>SUM(Table6912[[#This Row],[Y1 Q1 quantity]:[Y1 Q4 quantity]])</f>
        <v>0</v>
      </c>
      <c r="S96" s="1005">
        <f>Table6912[[#This Row],[Y1 Unit cost]]*Table6912[[#This Row],[Y1 Total quantity]]</f>
        <v>0</v>
      </c>
      <c r="T96" s="1002"/>
      <c r="U96" s="36"/>
      <c r="V96" s="36"/>
      <c r="W96" s="36"/>
      <c r="X96" s="36"/>
      <c r="Y96" s="39">
        <f>SUM(Table6912[[#This Row],[Y2 Q1 quantity]:[Y2 Q4 quantity]])</f>
        <v>0</v>
      </c>
      <c r="Z96" s="1011">
        <f>Table6912[[#This Row],[Y2 Unit cost]]*Table6912[[#This Row],[Y2 Total quantity]]</f>
        <v>0</v>
      </c>
      <c r="AA96" s="1009"/>
      <c r="AB96" s="36"/>
      <c r="AC96" s="36"/>
      <c r="AD96" s="36"/>
      <c r="AE96" s="36"/>
      <c r="AF96" s="39">
        <f>SUM(Table6912[[#This Row],[Y3 Q1 quantity]:[Y3 Q4 quantity]])</f>
        <v>0</v>
      </c>
      <c r="AG96" s="1005">
        <f>Table6912[[#This Row],[Y3 Unit cost]]*Table6912[[#This Row],[Y3 Total quantity]]</f>
        <v>0</v>
      </c>
      <c r="AH96" s="39">
        <f>Table6912[[#This Row],[Y1 Total quantity]]+Table6912[[#This Row],[Y2 Total quantity]]+Table6912[[#This Row],[Y3 Total quantity]]</f>
        <v>0</v>
      </c>
      <c r="AI96" s="1005">
        <f>Table6912[[#This Row],[Y1 Total cost]]+Table6912[[#This Row],[Y2 Total cost]]+Table6912[[#This Row],[Y3 Total cost]]</f>
        <v>0</v>
      </c>
      <c r="AJ96" s="256" t="str">
        <f t="shared" si="9"/>
        <v/>
      </c>
      <c r="AK96" s="2303"/>
      <c r="AL96" s="2304"/>
      <c r="AQ96" s="414"/>
    </row>
    <row r="97" spans="1:43" s="249" customFormat="1" hidden="1">
      <c r="A97" s="2269"/>
      <c r="B97" s="2210"/>
      <c r="C97" s="2210"/>
      <c r="D97" s="2269"/>
      <c r="E97" s="2210"/>
      <c r="F97" s="2210"/>
      <c r="G97" s="2217"/>
      <c r="H97" s="2210"/>
      <c r="I97" s="2210"/>
      <c r="J97" s="2218"/>
      <c r="K97" s="258" t="str">
        <f t="shared" si="7"/>
        <v/>
      </c>
      <c r="L97" s="259" t="str">
        <f t="shared" si="8"/>
        <v/>
      </c>
      <c r="M97" s="1002"/>
      <c r="N97" s="36"/>
      <c r="O97" s="36"/>
      <c r="P97" s="36"/>
      <c r="Q97" s="36"/>
      <c r="R97" s="39">
        <f>SUM(Table6912[[#This Row],[Y1 Q1 quantity]:[Y1 Q4 quantity]])</f>
        <v>0</v>
      </c>
      <c r="S97" s="1005">
        <f>Table6912[[#This Row],[Y1 Unit cost]]*Table6912[[#This Row],[Y1 Total quantity]]</f>
        <v>0</v>
      </c>
      <c r="T97" s="1002"/>
      <c r="U97" s="36"/>
      <c r="V97" s="36"/>
      <c r="W97" s="36"/>
      <c r="X97" s="36"/>
      <c r="Y97" s="39">
        <f>SUM(Table6912[[#This Row],[Y2 Q1 quantity]:[Y2 Q4 quantity]])</f>
        <v>0</v>
      </c>
      <c r="Z97" s="1011">
        <f>Table6912[[#This Row],[Y2 Unit cost]]*Table6912[[#This Row],[Y2 Total quantity]]</f>
        <v>0</v>
      </c>
      <c r="AA97" s="1009"/>
      <c r="AB97" s="36"/>
      <c r="AC97" s="36"/>
      <c r="AD97" s="36"/>
      <c r="AE97" s="36"/>
      <c r="AF97" s="39">
        <f>SUM(Table6912[[#This Row],[Y3 Q1 quantity]:[Y3 Q4 quantity]])</f>
        <v>0</v>
      </c>
      <c r="AG97" s="1005">
        <f>Table6912[[#This Row],[Y3 Unit cost]]*Table6912[[#This Row],[Y3 Total quantity]]</f>
        <v>0</v>
      </c>
      <c r="AH97" s="39">
        <f>Table6912[[#This Row],[Y1 Total quantity]]+Table6912[[#This Row],[Y2 Total quantity]]+Table6912[[#This Row],[Y3 Total quantity]]</f>
        <v>0</v>
      </c>
      <c r="AI97" s="1005">
        <f>Table6912[[#This Row],[Y1 Total cost]]+Table6912[[#This Row],[Y2 Total cost]]+Table6912[[#This Row],[Y3 Total cost]]</f>
        <v>0</v>
      </c>
      <c r="AJ97" s="256" t="str">
        <f t="shared" si="9"/>
        <v/>
      </c>
      <c r="AK97" s="2305"/>
      <c r="AL97" s="2306"/>
      <c r="AQ97" s="414"/>
    </row>
    <row r="98" spans="1:43" s="249" customFormat="1" hidden="1">
      <c r="A98" s="2268"/>
      <c r="B98" s="2223"/>
      <c r="C98" s="2223"/>
      <c r="D98" s="2268"/>
      <c r="E98" s="2223"/>
      <c r="F98" s="2223"/>
      <c r="G98" s="2253"/>
      <c r="H98" s="2254"/>
      <c r="I98" s="2254"/>
      <c r="J98" s="2255"/>
      <c r="K98" s="260" t="str">
        <f t="shared" si="7"/>
        <v/>
      </c>
      <c r="L98" s="261" t="str">
        <f t="shared" si="8"/>
        <v/>
      </c>
      <c r="M98" s="1002"/>
      <c r="N98" s="36"/>
      <c r="O98" s="36"/>
      <c r="P98" s="36"/>
      <c r="Q98" s="36"/>
      <c r="R98" s="39">
        <f>SUM(Table6912[[#This Row],[Y1 Q1 quantity]:[Y1 Q4 quantity]])</f>
        <v>0</v>
      </c>
      <c r="S98" s="1005">
        <f>Table6912[[#This Row],[Y1 Unit cost]]*Table6912[[#This Row],[Y1 Total quantity]]</f>
        <v>0</v>
      </c>
      <c r="T98" s="1002"/>
      <c r="U98" s="36"/>
      <c r="V98" s="36"/>
      <c r="W98" s="36"/>
      <c r="X98" s="36"/>
      <c r="Y98" s="39">
        <f>SUM(Table6912[[#This Row],[Y2 Q1 quantity]:[Y2 Q4 quantity]])</f>
        <v>0</v>
      </c>
      <c r="Z98" s="1011">
        <f>Table6912[[#This Row],[Y2 Unit cost]]*Table6912[[#This Row],[Y2 Total quantity]]</f>
        <v>0</v>
      </c>
      <c r="AA98" s="1009"/>
      <c r="AB98" s="36"/>
      <c r="AC98" s="36"/>
      <c r="AD98" s="36"/>
      <c r="AE98" s="36"/>
      <c r="AF98" s="39">
        <f>SUM(Table6912[[#This Row],[Y3 Q1 quantity]:[Y3 Q4 quantity]])</f>
        <v>0</v>
      </c>
      <c r="AG98" s="1005">
        <f>Table6912[[#This Row],[Y3 Unit cost]]*Table6912[[#This Row],[Y3 Total quantity]]</f>
        <v>0</v>
      </c>
      <c r="AH98" s="39">
        <f>Table6912[[#This Row],[Y1 Total quantity]]+Table6912[[#This Row],[Y2 Total quantity]]+Table6912[[#This Row],[Y3 Total quantity]]</f>
        <v>0</v>
      </c>
      <c r="AI98" s="1005">
        <f>Table6912[[#This Row],[Y1 Total cost]]+Table6912[[#This Row],[Y2 Total cost]]+Table6912[[#This Row],[Y3 Total cost]]</f>
        <v>0</v>
      </c>
      <c r="AJ98" s="256" t="str">
        <f t="shared" si="9"/>
        <v/>
      </c>
      <c r="AK98" s="2303"/>
      <c r="AL98" s="2304"/>
      <c r="AQ98" s="414"/>
    </row>
    <row r="99" spans="1:43" s="249" customFormat="1" hidden="1">
      <c r="A99" s="2269"/>
      <c r="B99" s="2210"/>
      <c r="C99" s="2210"/>
      <c r="D99" s="2269"/>
      <c r="E99" s="2210"/>
      <c r="F99" s="2210"/>
      <c r="G99" s="2217"/>
      <c r="H99" s="2210"/>
      <c r="I99" s="2210"/>
      <c r="J99" s="2218"/>
      <c r="K99" s="258" t="str">
        <f t="shared" si="7"/>
        <v/>
      </c>
      <c r="L99" s="259" t="str">
        <f t="shared" si="8"/>
        <v/>
      </c>
      <c r="M99" s="1002"/>
      <c r="N99" s="36"/>
      <c r="O99" s="36"/>
      <c r="P99" s="36"/>
      <c r="Q99" s="36"/>
      <c r="R99" s="39">
        <f>SUM(Table6912[[#This Row],[Y1 Q1 quantity]:[Y1 Q4 quantity]])</f>
        <v>0</v>
      </c>
      <c r="S99" s="1005">
        <f>Table6912[[#This Row],[Y1 Unit cost]]*Table6912[[#This Row],[Y1 Total quantity]]</f>
        <v>0</v>
      </c>
      <c r="T99" s="1002"/>
      <c r="U99" s="36"/>
      <c r="V99" s="36"/>
      <c r="W99" s="36"/>
      <c r="X99" s="36"/>
      <c r="Y99" s="39">
        <f>SUM(Table6912[[#This Row],[Y2 Q1 quantity]:[Y2 Q4 quantity]])</f>
        <v>0</v>
      </c>
      <c r="Z99" s="1011">
        <f>Table6912[[#This Row],[Y2 Unit cost]]*Table6912[[#This Row],[Y2 Total quantity]]</f>
        <v>0</v>
      </c>
      <c r="AA99" s="1009"/>
      <c r="AB99" s="36"/>
      <c r="AC99" s="36"/>
      <c r="AD99" s="36"/>
      <c r="AE99" s="36"/>
      <c r="AF99" s="39">
        <f>SUM(Table6912[[#This Row],[Y3 Q1 quantity]:[Y3 Q4 quantity]])</f>
        <v>0</v>
      </c>
      <c r="AG99" s="1005">
        <f>Table6912[[#This Row],[Y3 Unit cost]]*Table6912[[#This Row],[Y3 Total quantity]]</f>
        <v>0</v>
      </c>
      <c r="AH99" s="39">
        <f>Table6912[[#This Row],[Y1 Total quantity]]+Table6912[[#This Row],[Y2 Total quantity]]+Table6912[[#This Row],[Y3 Total quantity]]</f>
        <v>0</v>
      </c>
      <c r="AI99" s="1005">
        <f>Table6912[[#This Row],[Y1 Total cost]]+Table6912[[#This Row],[Y2 Total cost]]+Table6912[[#This Row],[Y3 Total cost]]</f>
        <v>0</v>
      </c>
      <c r="AJ99" s="256" t="str">
        <f t="shared" si="9"/>
        <v/>
      </c>
      <c r="AK99" s="2305"/>
      <c r="AL99" s="2306"/>
      <c r="AQ99" s="414"/>
    </row>
    <row r="100" spans="1:43" s="249" customFormat="1" hidden="1">
      <c r="A100" s="2268"/>
      <c r="B100" s="2223"/>
      <c r="C100" s="2223"/>
      <c r="D100" s="2268"/>
      <c r="E100" s="2223"/>
      <c r="F100" s="2223"/>
      <c r="G100" s="2253"/>
      <c r="H100" s="2254"/>
      <c r="I100" s="2254"/>
      <c r="J100" s="2255"/>
      <c r="K100" s="260" t="str">
        <f t="shared" si="7"/>
        <v/>
      </c>
      <c r="L100" s="261" t="str">
        <f t="shared" si="8"/>
        <v/>
      </c>
      <c r="M100" s="1002"/>
      <c r="N100" s="36"/>
      <c r="O100" s="36"/>
      <c r="P100" s="36"/>
      <c r="Q100" s="36"/>
      <c r="R100" s="39">
        <f>SUM(Table6912[[#This Row],[Y1 Q1 quantity]:[Y1 Q4 quantity]])</f>
        <v>0</v>
      </c>
      <c r="S100" s="1005">
        <f>Table6912[[#This Row],[Y1 Unit cost]]*Table6912[[#This Row],[Y1 Total quantity]]</f>
        <v>0</v>
      </c>
      <c r="T100" s="1002"/>
      <c r="U100" s="36"/>
      <c r="V100" s="36"/>
      <c r="W100" s="36"/>
      <c r="X100" s="36"/>
      <c r="Y100" s="39">
        <f>SUM(Table6912[[#This Row],[Y2 Q1 quantity]:[Y2 Q4 quantity]])</f>
        <v>0</v>
      </c>
      <c r="Z100" s="1011">
        <f>Table6912[[#This Row],[Y2 Unit cost]]*Table6912[[#This Row],[Y2 Total quantity]]</f>
        <v>0</v>
      </c>
      <c r="AA100" s="1009"/>
      <c r="AB100" s="36"/>
      <c r="AC100" s="36"/>
      <c r="AD100" s="36"/>
      <c r="AE100" s="36"/>
      <c r="AF100" s="39">
        <f>SUM(Table6912[[#This Row],[Y3 Q1 quantity]:[Y3 Q4 quantity]])</f>
        <v>0</v>
      </c>
      <c r="AG100" s="1005">
        <f>Table6912[[#This Row],[Y3 Unit cost]]*Table6912[[#This Row],[Y3 Total quantity]]</f>
        <v>0</v>
      </c>
      <c r="AH100" s="39">
        <f>Table6912[[#This Row],[Y1 Total quantity]]+Table6912[[#This Row],[Y2 Total quantity]]+Table6912[[#This Row],[Y3 Total quantity]]</f>
        <v>0</v>
      </c>
      <c r="AI100" s="1005">
        <f>Table6912[[#This Row],[Y1 Total cost]]+Table6912[[#This Row],[Y2 Total cost]]+Table6912[[#This Row],[Y3 Total cost]]</f>
        <v>0</v>
      </c>
      <c r="AJ100" s="256" t="str">
        <f t="shared" si="9"/>
        <v/>
      </c>
      <c r="AK100" s="2303"/>
      <c r="AL100" s="2304"/>
      <c r="AQ100" s="414"/>
    </row>
    <row r="101" spans="1:43" s="249" customFormat="1" hidden="1">
      <c r="A101" s="2269"/>
      <c r="B101" s="2210"/>
      <c r="C101" s="2210"/>
      <c r="D101" s="2269"/>
      <c r="E101" s="2210"/>
      <c r="F101" s="2210"/>
      <c r="G101" s="2217"/>
      <c r="H101" s="2210"/>
      <c r="I101" s="2210"/>
      <c r="J101" s="2218"/>
      <c r="K101" s="258" t="str">
        <f t="shared" si="7"/>
        <v/>
      </c>
      <c r="L101" s="259" t="str">
        <f t="shared" si="8"/>
        <v/>
      </c>
      <c r="M101" s="1002"/>
      <c r="N101" s="36"/>
      <c r="O101" s="36"/>
      <c r="P101" s="36"/>
      <c r="Q101" s="36"/>
      <c r="R101" s="39">
        <f>SUM(Table6912[[#This Row],[Y1 Q1 quantity]:[Y1 Q4 quantity]])</f>
        <v>0</v>
      </c>
      <c r="S101" s="1005">
        <f>Table6912[[#This Row],[Y1 Unit cost]]*Table6912[[#This Row],[Y1 Total quantity]]</f>
        <v>0</v>
      </c>
      <c r="T101" s="1002"/>
      <c r="U101" s="36"/>
      <c r="V101" s="36"/>
      <c r="W101" s="36"/>
      <c r="X101" s="36"/>
      <c r="Y101" s="39">
        <f>SUM(Table6912[[#This Row],[Y2 Q1 quantity]:[Y2 Q4 quantity]])</f>
        <v>0</v>
      </c>
      <c r="Z101" s="1011">
        <f>Table6912[[#This Row],[Y2 Unit cost]]*Table6912[[#This Row],[Y2 Total quantity]]</f>
        <v>0</v>
      </c>
      <c r="AA101" s="1009"/>
      <c r="AB101" s="36"/>
      <c r="AC101" s="36"/>
      <c r="AD101" s="36"/>
      <c r="AE101" s="36"/>
      <c r="AF101" s="39">
        <f>SUM(Table6912[[#This Row],[Y3 Q1 quantity]:[Y3 Q4 quantity]])</f>
        <v>0</v>
      </c>
      <c r="AG101" s="1005">
        <f>Table6912[[#This Row],[Y3 Unit cost]]*Table6912[[#This Row],[Y3 Total quantity]]</f>
        <v>0</v>
      </c>
      <c r="AH101" s="39">
        <f>Table6912[[#This Row],[Y1 Total quantity]]+Table6912[[#This Row],[Y2 Total quantity]]+Table6912[[#This Row],[Y3 Total quantity]]</f>
        <v>0</v>
      </c>
      <c r="AI101" s="1005">
        <f>Table6912[[#This Row],[Y1 Total cost]]+Table6912[[#This Row],[Y2 Total cost]]+Table6912[[#This Row],[Y3 Total cost]]</f>
        <v>0</v>
      </c>
      <c r="AJ101" s="256" t="str">
        <f t="shared" si="9"/>
        <v/>
      </c>
      <c r="AK101" s="2305"/>
      <c r="AL101" s="2306"/>
      <c r="AQ101" s="414"/>
    </row>
    <row r="102" spans="1:43" s="249" customFormat="1" hidden="1">
      <c r="A102" s="2268"/>
      <c r="B102" s="2223"/>
      <c r="C102" s="2223"/>
      <c r="D102" s="2268"/>
      <c r="E102" s="2223"/>
      <c r="F102" s="2223"/>
      <c r="G102" s="2253"/>
      <c r="H102" s="2254"/>
      <c r="I102" s="2254"/>
      <c r="J102" s="2255"/>
      <c r="K102" s="260" t="str">
        <f t="shared" si="7"/>
        <v/>
      </c>
      <c r="L102" s="261" t="str">
        <f t="shared" si="8"/>
        <v/>
      </c>
      <c r="M102" s="1002"/>
      <c r="N102" s="36"/>
      <c r="O102" s="36"/>
      <c r="P102" s="36"/>
      <c r="Q102" s="36"/>
      <c r="R102" s="39">
        <f>SUM(Table6912[[#This Row],[Y1 Q1 quantity]:[Y1 Q4 quantity]])</f>
        <v>0</v>
      </c>
      <c r="S102" s="1005">
        <f>Table6912[[#This Row],[Y1 Unit cost]]*Table6912[[#This Row],[Y1 Total quantity]]</f>
        <v>0</v>
      </c>
      <c r="T102" s="1002"/>
      <c r="U102" s="36"/>
      <c r="V102" s="36"/>
      <c r="W102" s="36"/>
      <c r="X102" s="36"/>
      <c r="Y102" s="39">
        <f>SUM(Table6912[[#This Row],[Y2 Q1 quantity]:[Y2 Q4 quantity]])</f>
        <v>0</v>
      </c>
      <c r="Z102" s="1011">
        <f>Table6912[[#This Row],[Y2 Unit cost]]*Table6912[[#This Row],[Y2 Total quantity]]</f>
        <v>0</v>
      </c>
      <c r="AA102" s="1009"/>
      <c r="AB102" s="36"/>
      <c r="AC102" s="36"/>
      <c r="AD102" s="36"/>
      <c r="AE102" s="36"/>
      <c r="AF102" s="39">
        <f>SUM(Table6912[[#This Row],[Y3 Q1 quantity]:[Y3 Q4 quantity]])</f>
        <v>0</v>
      </c>
      <c r="AG102" s="1005">
        <f>Table6912[[#This Row],[Y3 Unit cost]]*Table6912[[#This Row],[Y3 Total quantity]]</f>
        <v>0</v>
      </c>
      <c r="AH102" s="39">
        <f>Table6912[[#This Row],[Y1 Total quantity]]+Table6912[[#This Row],[Y2 Total quantity]]+Table6912[[#This Row],[Y3 Total quantity]]</f>
        <v>0</v>
      </c>
      <c r="AI102" s="1005">
        <f>Table6912[[#This Row],[Y1 Total cost]]+Table6912[[#This Row],[Y2 Total cost]]+Table6912[[#This Row],[Y3 Total cost]]</f>
        <v>0</v>
      </c>
      <c r="AJ102" s="256" t="str">
        <f t="shared" si="9"/>
        <v/>
      </c>
      <c r="AK102" s="2303"/>
      <c r="AL102" s="2304"/>
      <c r="AQ102" s="414"/>
    </row>
    <row r="103" spans="1:43" s="249" customFormat="1" hidden="1">
      <c r="A103" s="2269"/>
      <c r="B103" s="2210"/>
      <c r="C103" s="2210"/>
      <c r="D103" s="2269"/>
      <c r="E103" s="2210"/>
      <c r="F103" s="2210"/>
      <c r="G103" s="2217"/>
      <c r="H103" s="2210"/>
      <c r="I103" s="2210"/>
      <c r="J103" s="2218"/>
      <c r="K103" s="258" t="str">
        <f t="shared" si="7"/>
        <v/>
      </c>
      <c r="L103" s="259" t="str">
        <f t="shared" si="8"/>
        <v/>
      </c>
      <c r="M103" s="1002"/>
      <c r="N103" s="36"/>
      <c r="O103" s="36"/>
      <c r="P103" s="36"/>
      <c r="Q103" s="36"/>
      <c r="R103" s="39">
        <f>SUM(Table6912[[#This Row],[Y1 Q1 quantity]:[Y1 Q4 quantity]])</f>
        <v>0</v>
      </c>
      <c r="S103" s="1005">
        <f>Table6912[[#This Row],[Y1 Unit cost]]*Table6912[[#This Row],[Y1 Total quantity]]</f>
        <v>0</v>
      </c>
      <c r="T103" s="1002"/>
      <c r="U103" s="36"/>
      <c r="V103" s="36"/>
      <c r="W103" s="36"/>
      <c r="X103" s="36"/>
      <c r="Y103" s="39">
        <f>SUM(Table6912[[#This Row],[Y2 Q1 quantity]:[Y2 Q4 quantity]])</f>
        <v>0</v>
      </c>
      <c r="Z103" s="1011">
        <f>Table6912[[#This Row],[Y2 Unit cost]]*Table6912[[#This Row],[Y2 Total quantity]]</f>
        <v>0</v>
      </c>
      <c r="AA103" s="1009"/>
      <c r="AB103" s="36"/>
      <c r="AC103" s="36"/>
      <c r="AD103" s="36"/>
      <c r="AE103" s="36"/>
      <c r="AF103" s="39">
        <f>SUM(Table6912[[#This Row],[Y3 Q1 quantity]:[Y3 Q4 quantity]])</f>
        <v>0</v>
      </c>
      <c r="AG103" s="1005">
        <f>Table6912[[#This Row],[Y3 Unit cost]]*Table6912[[#This Row],[Y3 Total quantity]]</f>
        <v>0</v>
      </c>
      <c r="AH103" s="39">
        <f>Table6912[[#This Row],[Y1 Total quantity]]+Table6912[[#This Row],[Y2 Total quantity]]+Table6912[[#This Row],[Y3 Total quantity]]</f>
        <v>0</v>
      </c>
      <c r="AI103" s="1005">
        <f>Table6912[[#This Row],[Y1 Total cost]]+Table6912[[#This Row],[Y2 Total cost]]+Table6912[[#This Row],[Y3 Total cost]]</f>
        <v>0</v>
      </c>
      <c r="AJ103" s="256" t="str">
        <f t="shared" si="9"/>
        <v/>
      </c>
      <c r="AK103" s="2305"/>
      <c r="AL103" s="2306"/>
      <c r="AQ103" s="414"/>
    </row>
    <row r="104" spans="1:43" s="249" customFormat="1" hidden="1">
      <c r="A104" s="2268"/>
      <c r="B104" s="2223"/>
      <c r="C104" s="2223"/>
      <c r="D104" s="2268"/>
      <c r="E104" s="2223"/>
      <c r="F104" s="2223"/>
      <c r="G104" s="2253"/>
      <c r="H104" s="2254"/>
      <c r="I104" s="2254"/>
      <c r="J104" s="2255"/>
      <c r="K104" s="260" t="str">
        <f t="shared" si="7"/>
        <v/>
      </c>
      <c r="L104" s="261" t="str">
        <f t="shared" si="8"/>
        <v/>
      </c>
      <c r="M104" s="1002"/>
      <c r="N104" s="36"/>
      <c r="O104" s="36"/>
      <c r="P104" s="36"/>
      <c r="Q104" s="36"/>
      <c r="R104" s="39">
        <f>SUM(Table6912[[#This Row],[Y1 Q1 quantity]:[Y1 Q4 quantity]])</f>
        <v>0</v>
      </c>
      <c r="S104" s="1005">
        <f>Table6912[[#This Row],[Y1 Unit cost]]*Table6912[[#This Row],[Y1 Total quantity]]</f>
        <v>0</v>
      </c>
      <c r="T104" s="1002"/>
      <c r="U104" s="36"/>
      <c r="V104" s="36"/>
      <c r="W104" s="36"/>
      <c r="X104" s="36"/>
      <c r="Y104" s="39">
        <f>SUM(Table6912[[#This Row],[Y2 Q1 quantity]:[Y2 Q4 quantity]])</f>
        <v>0</v>
      </c>
      <c r="Z104" s="1011">
        <f>Table6912[[#This Row],[Y2 Unit cost]]*Table6912[[#This Row],[Y2 Total quantity]]</f>
        <v>0</v>
      </c>
      <c r="AA104" s="1009"/>
      <c r="AB104" s="36"/>
      <c r="AC104" s="36"/>
      <c r="AD104" s="36"/>
      <c r="AE104" s="36"/>
      <c r="AF104" s="39">
        <f>SUM(Table6912[[#This Row],[Y3 Q1 quantity]:[Y3 Q4 quantity]])</f>
        <v>0</v>
      </c>
      <c r="AG104" s="1005">
        <f>Table6912[[#This Row],[Y3 Unit cost]]*Table6912[[#This Row],[Y3 Total quantity]]</f>
        <v>0</v>
      </c>
      <c r="AH104" s="39">
        <f>Table6912[[#This Row],[Y1 Total quantity]]+Table6912[[#This Row],[Y2 Total quantity]]+Table6912[[#This Row],[Y3 Total quantity]]</f>
        <v>0</v>
      </c>
      <c r="AI104" s="1005">
        <f>Table6912[[#This Row],[Y1 Total cost]]+Table6912[[#This Row],[Y2 Total cost]]+Table6912[[#This Row],[Y3 Total cost]]</f>
        <v>0</v>
      </c>
      <c r="AJ104" s="256" t="str">
        <f t="shared" si="9"/>
        <v/>
      </c>
      <c r="AK104" s="2303"/>
      <c r="AL104" s="2304"/>
      <c r="AQ104" s="414"/>
    </row>
    <row r="105" spans="1:43" s="249" customFormat="1" hidden="1">
      <c r="A105" s="2269"/>
      <c r="B105" s="2210"/>
      <c r="C105" s="2210"/>
      <c r="D105" s="2269"/>
      <c r="E105" s="2210"/>
      <c r="F105" s="2210"/>
      <c r="G105" s="2217"/>
      <c r="H105" s="2210"/>
      <c r="I105" s="2210"/>
      <c r="J105" s="2218"/>
      <c r="K105" s="258" t="str">
        <f t="shared" si="7"/>
        <v/>
      </c>
      <c r="L105" s="259" t="str">
        <f t="shared" si="8"/>
        <v/>
      </c>
      <c r="M105" s="1002"/>
      <c r="N105" s="36"/>
      <c r="O105" s="36"/>
      <c r="P105" s="36"/>
      <c r="Q105" s="36"/>
      <c r="R105" s="39">
        <f>SUM(Table6912[[#This Row],[Y1 Q1 quantity]:[Y1 Q4 quantity]])</f>
        <v>0</v>
      </c>
      <c r="S105" s="1005">
        <f>Table6912[[#This Row],[Y1 Unit cost]]*Table6912[[#This Row],[Y1 Total quantity]]</f>
        <v>0</v>
      </c>
      <c r="T105" s="1002"/>
      <c r="U105" s="36"/>
      <c r="V105" s="36"/>
      <c r="W105" s="36"/>
      <c r="X105" s="36"/>
      <c r="Y105" s="39">
        <f>SUM(Table6912[[#This Row],[Y2 Q1 quantity]:[Y2 Q4 quantity]])</f>
        <v>0</v>
      </c>
      <c r="Z105" s="1011">
        <f>Table6912[[#This Row],[Y2 Unit cost]]*Table6912[[#This Row],[Y2 Total quantity]]</f>
        <v>0</v>
      </c>
      <c r="AA105" s="1009"/>
      <c r="AB105" s="36"/>
      <c r="AC105" s="36"/>
      <c r="AD105" s="36"/>
      <c r="AE105" s="36"/>
      <c r="AF105" s="39">
        <f>SUM(Table6912[[#This Row],[Y3 Q1 quantity]:[Y3 Q4 quantity]])</f>
        <v>0</v>
      </c>
      <c r="AG105" s="1005">
        <f>Table6912[[#This Row],[Y3 Unit cost]]*Table6912[[#This Row],[Y3 Total quantity]]</f>
        <v>0</v>
      </c>
      <c r="AH105" s="39">
        <f>Table6912[[#This Row],[Y1 Total quantity]]+Table6912[[#This Row],[Y2 Total quantity]]+Table6912[[#This Row],[Y3 Total quantity]]</f>
        <v>0</v>
      </c>
      <c r="AI105" s="1005">
        <f>Table6912[[#This Row],[Y1 Total cost]]+Table6912[[#This Row],[Y2 Total cost]]+Table6912[[#This Row],[Y3 Total cost]]</f>
        <v>0</v>
      </c>
      <c r="AJ105" s="256" t="str">
        <f t="shared" si="9"/>
        <v/>
      </c>
      <c r="AK105" s="2305"/>
      <c r="AL105" s="2306"/>
      <c r="AQ105" s="414"/>
    </row>
    <row r="106" spans="1:43" s="249" customFormat="1" hidden="1">
      <c r="A106" s="2268"/>
      <c r="B106" s="2223"/>
      <c r="C106" s="2223"/>
      <c r="D106" s="2268"/>
      <c r="E106" s="2223"/>
      <c r="F106" s="2223"/>
      <c r="G106" s="2253"/>
      <c r="H106" s="2254"/>
      <c r="I106" s="2254"/>
      <c r="J106" s="2255"/>
      <c r="K106" s="260" t="str">
        <f t="shared" si="7"/>
        <v/>
      </c>
      <c r="L106" s="261" t="str">
        <f t="shared" si="8"/>
        <v/>
      </c>
      <c r="M106" s="1002"/>
      <c r="N106" s="36"/>
      <c r="O106" s="36"/>
      <c r="P106" s="36"/>
      <c r="Q106" s="36"/>
      <c r="R106" s="39">
        <f>SUM(Table6912[[#This Row],[Y1 Q1 quantity]:[Y1 Q4 quantity]])</f>
        <v>0</v>
      </c>
      <c r="S106" s="1005">
        <f>Table6912[[#This Row],[Y1 Unit cost]]*Table6912[[#This Row],[Y1 Total quantity]]</f>
        <v>0</v>
      </c>
      <c r="T106" s="1002"/>
      <c r="U106" s="36"/>
      <c r="V106" s="36"/>
      <c r="W106" s="36"/>
      <c r="X106" s="36"/>
      <c r="Y106" s="39">
        <f>SUM(Table6912[[#This Row],[Y2 Q1 quantity]:[Y2 Q4 quantity]])</f>
        <v>0</v>
      </c>
      <c r="Z106" s="1011">
        <f>Table6912[[#This Row],[Y2 Unit cost]]*Table6912[[#This Row],[Y2 Total quantity]]</f>
        <v>0</v>
      </c>
      <c r="AA106" s="1009"/>
      <c r="AB106" s="36"/>
      <c r="AC106" s="36"/>
      <c r="AD106" s="36"/>
      <c r="AE106" s="36"/>
      <c r="AF106" s="39">
        <f>SUM(Table6912[[#This Row],[Y3 Q1 quantity]:[Y3 Q4 quantity]])</f>
        <v>0</v>
      </c>
      <c r="AG106" s="1005">
        <f>Table6912[[#This Row],[Y3 Unit cost]]*Table6912[[#This Row],[Y3 Total quantity]]</f>
        <v>0</v>
      </c>
      <c r="AH106" s="39">
        <f>Table6912[[#This Row],[Y1 Total quantity]]+Table6912[[#This Row],[Y2 Total quantity]]+Table6912[[#This Row],[Y3 Total quantity]]</f>
        <v>0</v>
      </c>
      <c r="AI106" s="1005">
        <f>Table6912[[#This Row],[Y1 Total cost]]+Table6912[[#This Row],[Y2 Total cost]]+Table6912[[#This Row],[Y3 Total cost]]</f>
        <v>0</v>
      </c>
      <c r="AJ106" s="256" t="str">
        <f t="shared" si="9"/>
        <v/>
      </c>
      <c r="AK106" s="2303"/>
      <c r="AL106" s="2304"/>
      <c r="AQ106" s="414"/>
    </row>
    <row r="107" spans="1:43" s="249" customFormat="1" hidden="1">
      <c r="A107" s="2269"/>
      <c r="B107" s="2210"/>
      <c r="C107" s="2210"/>
      <c r="D107" s="2269"/>
      <c r="E107" s="2210"/>
      <c r="F107" s="2210"/>
      <c r="G107" s="2217"/>
      <c r="H107" s="2210"/>
      <c r="I107" s="2210"/>
      <c r="J107" s="2218"/>
      <c r="K107" s="258" t="str">
        <f t="shared" si="7"/>
        <v/>
      </c>
      <c r="L107" s="259" t="str">
        <f t="shared" si="8"/>
        <v/>
      </c>
      <c r="M107" s="1001"/>
      <c r="N107" s="35"/>
      <c r="O107" s="35"/>
      <c r="P107" s="35"/>
      <c r="Q107" s="35"/>
      <c r="R107" s="38">
        <f>SUM(Table6912[[#This Row],[Y1 Q1 quantity]:[Y1 Q4 quantity]])</f>
        <v>0</v>
      </c>
      <c r="S107" s="1004">
        <f>Table6912[[#This Row],[Y1 Unit cost]]*Table6912[[#This Row],[Y1 Total quantity]]</f>
        <v>0</v>
      </c>
      <c r="T107" s="1001"/>
      <c r="U107" s="35"/>
      <c r="V107" s="35"/>
      <c r="W107" s="35"/>
      <c r="X107" s="35"/>
      <c r="Y107" s="38">
        <f>SUM(Table6912[[#This Row],[Y2 Q1 quantity]:[Y2 Q4 quantity]])</f>
        <v>0</v>
      </c>
      <c r="Z107" s="1010">
        <f>Table6912[[#This Row],[Y2 Unit cost]]*Table6912[[#This Row],[Y2 Total quantity]]</f>
        <v>0</v>
      </c>
      <c r="AA107" s="1008"/>
      <c r="AB107" s="35"/>
      <c r="AC107" s="35"/>
      <c r="AD107" s="35"/>
      <c r="AE107" s="35"/>
      <c r="AF107" s="38">
        <f>SUM(Table6912[[#This Row],[Y3 Q1 quantity]:[Y3 Q4 quantity]])</f>
        <v>0</v>
      </c>
      <c r="AG107" s="1004">
        <f>Table6912[[#This Row],[Y3 Unit cost]]*Table6912[[#This Row],[Y3 Total quantity]]</f>
        <v>0</v>
      </c>
      <c r="AH107" s="38">
        <f>Table6912[[#This Row],[Y1 Total quantity]]+Table6912[[#This Row],[Y2 Total quantity]]+Table6912[[#This Row],[Y3 Total quantity]]</f>
        <v>0</v>
      </c>
      <c r="AI107" s="1004">
        <f>Table6912[[#This Row],[Y1 Total cost]]+Table6912[[#This Row],[Y2 Total cost]]+Table6912[[#This Row],[Y3 Total cost]]</f>
        <v>0</v>
      </c>
      <c r="AJ107" s="254" t="str">
        <f t="shared" ref="AJ107:AJ114" si="10">IF(ISBLANK(D107),"","5.6")</f>
        <v/>
      </c>
      <c r="AK107" s="2305"/>
      <c r="AL107" s="2306"/>
      <c r="AQ107" s="414"/>
    </row>
    <row r="108" spans="1:43" s="249" customFormat="1" hidden="1">
      <c r="A108" s="2268"/>
      <c r="B108" s="2223"/>
      <c r="C108" s="2223"/>
      <c r="D108" s="2268"/>
      <c r="E108" s="2223"/>
      <c r="F108" s="2223"/>
      <c r="G108" s="2253"/>
      <c r="H108" s="2254"/>
      <c r="I108" s="2254"/>
      <c r="J108" s="2255"/>
      <c r="K108" s="260" t="str">
        <f t="shared" si="7"/>
        <v/>
      </c>
      <c r="L108" s="261" t="str">
        <f t="shared" si="8"/>
        <v/>
      </c>
      <c r="M108" s="1002"/>
      <c r="N108" s="36"/>
      <c r="O108" s="36"/>
      <c r="P108" s="36"/>
      <c r="Q108" s="36"/>
      <c r="R108" s="39">
        <f>SUM(Table6912[[#This Row],[Y1 Q1 quantity]:[Y1 Q4 quantity]])</f>
        <v>0</v>
      </c>
      <c r="S108" s="1005">
        <f>Table6912[[#This Row],[Y1 Unit cost]]*Table6912[[#This Row],[Y1 Total quantity]]</f>
        <v>0</v>
      </c>
      <c r="T108" s="1002"/>
      <c r="U108" s="36"/>
      <c r="V108" s="36"/>
      <c r="W108" s="36"/>
      <c r="X108" s="36"/>
      <c r="Y108" s="39">
        <f>SUM(Table6912[[#This Row],[Y2 Q1 quantity]:[Y2 Q4 quantity]])</f>
        <v>0</v>
      </c>
      <c r="Z108" s="1011">
        <f>Table6912[[#This Row],[Y2 Unit cost]]*Table6912[[#This Row],[Y2 Total quantity]]</f>
        <v>0</v>
      </c>
      <c r="AA108" s="1009"/>
      <c r="AB108" s="36"/>
      <c r="AC108" s="36"/>
      <c r="AD108" s="36"/>
      <c r="AE108" s="36"/>
      <c r="AF108" s="39">
        <f>SUM(Table6912[[#This Row],[Y3 Q1 quantity]:[Y3 Q4 quantity]])</f>
        <v>0</v>
      </c>
      <c r="AG108" s="1005">
        <f>Table6912[[#This Row],[Y3 Unit cost]]*Table6912[[#This Row],[Y3 Total quantity]]</f>
        <v>0</v>
      </c>
      <c r="AH108" s="39">
        <f>Table6912[[#This Row],[Y1 Total quantity]]+Table6912[[#This Row],[Y2 Total quantity]]+Table6912[[#This Row],[Y3 Total quantity]]</f>
        <v>0</v>
      </c>
      <c r="AI108" s="1005">
        <f>Table6912[[#This Row],[Y1 Total cost]]+Table6912[[#This Row],[Y2 Total cost]]+Table6912[[#This Row],[Y3 Total cost]]</f>
        <v>0</v>
      </c>
      <c r="AJ108" s="255" t="str">
        <f t="shared" si="10"/>
        <v/>
      </c>
      <c r="AK108" s="2303"/>
      <c r="AL108" s="2304"/>
      <c r="AQ108" s="414"/>
    </row>
    <row r="109" spans="1:43" s="249" customFormat="1" hidden="1">
      <c r="A109" s="2269"/>
      <c r="B109" s="2210"/>
      <c r="C109" s="2210"/>
      <c r="D109" s="2269"/>
      <c r="E109" s="2210"/>
      <c r="F109" s="2210"/>
      <c r="G109" s="2217"/>
      <c r="H109" s="2210"/>
      <c r="I109" s="2210"/>
      <c r="J109" s="2218"/>
      <c r="K109" s="258" t="str">
        <f t="shared" si="7"/>
        <v/>
      </c>
      <c r="L109" s="259" t="str">
        <f t="shared" si="8"/>
        <v/>
      </c>
      <c r="M109" s="1001"/>
      <c r="N109" s="35"/>
      <c r="O109" s="35"/>
      <c r="P109" s="35"/>
      <c r="Q109" s="35"/>
      <c r="R109" s="38">
        <f>SUM(Table6912[[#This Row],[Y1 Q1 quantity]:[Y1 Q4 quantity]])</f>
        <v>0</v>
      </c>
      <c r="S109" s="1004">
        <f>Table6912[[#This Row],[Y1 Unit cost]]*Table6912[[#This Row],[Y1 Total quantity]]</f>
        <v>0</v>
      </c>
      <c r="T109" s="1001"/>
      <c r="U109" s="35"/>
      <c r="V109" s="35"/>
      <c r="W109" s="35"/>
      <c r="X109" s="35"/>
      <c r="Y109" s="38">
        <f>SUM(Table6912[[#This Row],[Y2 Q1 quantity]:[Y2 Q4 quantity]])</f>
        <v>0</v>
      </c>
      <c r="Z109" s="1010">
        <f>Table6912[[#This Row],[Y2 Unit cost]]*Table6912[[#This Row],[Y2 Total quantity]]</f>
        <v>0</v>
      </c>
      <c r="AA109" s="1008"/>
      <c r="AB109" s="35"/>
      <c r="AC109" s="35"/>
      <c r="AD109" s="35"/>
      <c r="AE109" s="35"/>
      <c r="AF109" s="38">
        <f>SUM(Table6912[[#This Row],[Y3 Q1 quantity]:[Y3 Q4 quantity]])</f>
        <v>0</v>
      </c>
      <c r="AG109" s="1004">
        <f>Table6912[[#This Row],[Y3 Unit cost]]*Table6912[[#This Row],[Y3 Total quantity]]</f>
        <v>0</v>
      </c>
      <c r="AH109" s="38">
        <f>Table6912[[#This Row],[Y1 Total quantity]]+Table6912[[#This Row],[Y2 Total quantity]]+Table6912[[#This Row],[Y3 Total quantity]]</f>
        <v>0</v>
      </c>
      <c r="AI109" s="1004">
        <f>Table6912[[#This Row],[Y1 Total cost]]+Table6912[[#This Row],[Y2 Total cost]]+Table6912[[#This Row],[Y3 Total cost]]</f>
        <v>0</v>
      </c>
      <c r="AJ109" s="254" t="str">
        <f t="shared" si="10"/>
        <v/>
      </c>
      <c r="AK109" s="2305"/>
      <c r="AL109" s="2306"/>
      <c r="AQ109" s="414"/>
    </row>
    <row r="110" spans="1:43" s="249" customFormat="1" hidden="1">
      <c r="A110" s="2268"/>
      <c r="B110" s="2223"/>
      <c r="C110" s="2223"/>
      <c r="D110" s="2268"/>
      <c r="E110" s="2223"/>
      <c r="F110" s="2223"/>
      <c r="G110" s="2253"/>
      <c r="H110" s="2254"/>
      <c r="I110" s="2254"/>
      <c r="J110" s="2255"/>
      <c r="K110" s="260" t="str">
        <f t="shared" si="7"/>
        <v/>
      </c>
      <c r="L110" s="261" t="str">
        <f t="shared" si="8"/>
        <v/>
      </c>
      <c r="M110" s="1002"/>
      <c r="N110" s="36"/>
      <c r="O110" s="36"/>
      <c r="P110" s="36"/>
      <c r="Q110" s="36"/>
      <c r="R110" s="39">
        <f>SUM(Table6912[[#This Row],[Y1 Q1 quantity]:[Y1 Q4 quantity]])</f>
        <v>0</v>
      </c>
      <c r="S110" s="1005">
        <f>Table6912[[#This Row],[Y1 Unit cost]]*Table6912[[#This Row],[Y1 Total quantity]]</f>
        <v>0</v>
      </c>
      <c r="T110" s="1002"/>
      <c r="U110" s="36"/>
      <c r="V110" s="36"/>
      <c r="W110" s="36"/>
      <c r="X110" s="36"/>
      <c r="Y110" s="39">
        <f>SUM(Table6912[[#This Row],[Y2 Q1 quantity]:[Y2 Q4 quantity]])</f>
        <v>0</v>
      </c>
      <c r="Z110" s="1011">
        <f>Table6912[[#This Row],[Y2 Unit cost]]*Table6912[[#This Row],[Y2 Total quantity]]</f>
        <v>0</v>
      </c>
      <c r="AA110" s="1009"/>
      <c r="AB110" s="36"/>
      <c r="AC110" s="36"/>
      <c r="AD110" s="36"/>
      <c r="AE110" s="36"/>
      <c r="AF110" s="39">
        <f>SUM(Table6912[[#This Row],[Y3 Q1 quantity]:[Y3 Q4 quantity]])</f>
        <v>0</v>
      </c>
      <c r="AG110" s="1005">
        <f>Table6912[[#This Row],[Y3 Unit cost]]*Table6912[[#This Row],[Y3 Total quantity]]</f>
        <v>0</v>
      </c>
      <c r="AH110" s="39">
        <f>Table6912[[#This Row],[Y1 Total quantity]]+Table6912[[#This Row],[Y2 Total quantity]]+Table6912[[#This Row],[Y3 Total quantity]]</f>
        <v>0</v>
      </c>
      <c r="AI110" s="1005">
        <f>Table6912[[#This Row],[Y1 Total cost]]+Table6912[[#This Row],[Y2 Total cost]]+Table6912[[#This Row],[Y3 Total cost]]</f>
        <v>0</v>
      </c>
      <c r="AJ110" s="255" t="str">
        <f t="shared" si="10"/>
        <v/>
      </c>
      <c r="AK110" s="2303"/>
      <c r="AL110" s="2304"/>
      <c r="AQ110" s="414"/>
    </row>
    <row r="111" spans="1:43" s="249" customFormat="1" hidden="1">
      <c r="A111" s="2269"/>
      <c r="B111" s="2210"/>
      <c r="C111" s="2210"/>
      <c r="D111" s="2269"/>
      <c r="E111" s="2210"/>
      <c r="F111" s="2210"/>
      <c r="G111" s="2217"/>
      <c r="H111" s="2210"/>
      <c r="I111" s="2210"/>
      <c r="J111" s="2218"/>
      <c r="K111" s="258" t="str">
        <f t="shared" si="7"/>
        <v/>
      </c>
      <c r="L111" s="259" t="str">
        <f t="shared" si="8"/>
        <v/>
      </c>
      <c r="M111" s="1002"/>
      <c r="N111" s="36"/>
      <c r="O111" s="36"/>
      <c r="P111" s="36"/>
      <c r="Q111" s="36"/>
      <c r="R111" s="39">
        <f>SUM(Table6912[[#This Row],[Y1 Q1 quantity]:[Y1 Q4 quantity]])</f>
        <v>0</v>
      </c>
      <c r="S111" s="1005">
        <f>Table6912[[#This Row],[Y1 Unit cost]]*Table6912[[#This Row],[Y1 Total quantity]]</f>
        <v>0</v>
      </c>
      <c r="T111" s="1002"/>
      <c r="U111" s="36"/>
      <c r="V111" s="36"/>
      <c r="W111" s="36"/>
      <c r="X111" s="36"/>
      <c r="Y111" s="39">
        <f>SUM(Table6912[[#This Row],[Y2 Q1 quantity]:[Y2 Q4 quantity]])</f>
        <v>0</v>
      </c>
      <c r="Z111" s="1011">
        <f>Table6912[[#This Row],[Y2 Unit cost]]*Table6912[[#This Row],[Y2 Total quantity]]</f>
        <v>0</v>
      </c>
      <c r="AA111" s="1009"/>
      <c r="AB111" s="36"/>
      <c r="AC111" s="36"/>
      <c r="AD111" s="36"/>
      <c r="AE111" s="36"/>
      <c r="AF111" s="39">
        <f>SUM(Table6912[[#This Row],[Y3 Q1 quantity]:[Y3 Q4 quantity]])</f>
        <v>0</v>
      </c>
      <c r="AG111" s="1005">
        <f>Table6912[[#This Row],[Y3 Unit cost]]*Table6912[[#This Row],[Y3 Total quantity]]</f>
        <v>0</v>
      </c>
      <c r="AH111" s="39">
        <f>Table6912[[#This Row],[Y1 Total quantity]]+Table6912[[#This Row],[Y2 Total quantity]]+Table6912[[#This Row],[Y3 Total quantity]]</f>
        <v>0</v>
      </c>
      <c r="AI111" s="1005">
        <f>Table6912[[#This Row],[Y1 Total cost]]+Table6912[[#This Row],[Y2 Total cost]]+Table6912[[#This Row],[Y3 Total cost]]</f>
        <v>0</v>
      </c>
      <c r="AJ111" s="255" t="str">
        <f t="shared" si="10"/>
        <v/>
      </c>
      <c r="AK111" s="2305"/>
      <c r="AL111" s="2306"/>
      <c r="AQ111" s="414"/>
    </row>
    <row r="112" spans="1:43" s="249" customFormat="1" hidden="1">
      <c r="A112" s="2268"/>
      <c r="B112" s="2223"/>
      <c r="C112" s="2223"/>
      <c r="D112" s="2268"/>
      <c r="E112" s="2223"/>
      <c r="F112" s="2223"/>
      <c r="G112" s="2253"/>
      <c r="H112" s="2254"/>
      <c r="I112" s="2254"/>
      <c r="J112" s="2255"/>
      <c r="K112" s="260" t="str">
        <f t="shared" si="7"/>
        <v/>
      </c>
      <c r="L112" s="261" t="str">
        <f t="shared" si="8"/>
        <v/>
      </c>
      <c r="M112" s="1002"/>
      <c r="N112" s="36"/>
      <c r="O112" s="36"/>
      <c r="P112" s="36"/>
      <c r="Q112" s="36"/>
      <c r="R112" s="39">
        <f>SUM(Table6912[[#This Row],[Y1 Q1 quantity]:[Y1 Q4 quantity]])</f>
        <v>0</v>
      </c>
      <c r="S112" s="1005">
        <f>Table6912[[#This Row],[Y1 Unit cost]]*Table6912[[#This Row],[Y1 Total quantity]]</f>
        <v>0</v>
      </c>
      <c r="T112" s="1002"/>
      <c r="U112" s="36"/>
      <c r="V112" s="36"/>
      <c r="W112" s="36"/>
      <c r="X112" s="36"/>
      <c r="Y112" s="39">
        <f>SUM(Table6912[[#This Row],[Y2 Q1 quantity]:[Y2 Q4 quantity]])</f>
        <v>0</v>
      </c>
      <c r="Z112" s="1011">
        <f>Table6912[[#This Row],[Y2 Unit cost]]*Table6912[[#This Row],[Y2 Total quantity]]</f>
        <v>0</v>
      </c>
      <c r="AA112" s="1009"/>
      <c r="AB112" s="36"/>
      <c r="AC112" s="36"/>
      <c r="AD112" s="36"/>
      <c r="AE112" s="36"/>
      <c r="AF112" s="39">
        <f>SUM(Table6912[[#This Row],[Y3 Q1 quantity]:[Y3 Q4 quantity]])</f>
        <v>0</v>
      </c>
      <c r="AG112" s="1005">
        <f>Table6912[[#This Row],[Y3 Unit cost]]*Table6912[[#This Row],[Y3 Total quantity]]</f>
        <v>0</v>
      </c>
      <c r="AH112" s="39">
        <f>Table6912[[#This Row],[Y1 Total quantity]]+Table6912[[#This Row],[Y2 Total quantity]]+Table6912[[#This Row],[Y3 Total quantity]]</f>
        <v>0</v>
      </c>
      <c r="AI112" s="1005">
        <f>Table6912[[#This Row],[Y1 Total cost]]+Table6912[[#This Row],[Y2 Total cost]]+Table6912[[#This Row],[Y3 Total cost]]</f>
        <v>0</v>
      </c>
      <c r="AJ112" s="255" t="str">
        <f t="shared" si="10"/>
        <v/>
      </c>
      <c r="AK112" s="2303"/>
      <c r="AL112" s="2304"/>
      <c r="AQ112" s="414"/>
    </row>
    <row r="113" spans="1:60" s="249" customFormat="1" hidden="1">
      <c r="A113" s="2269"/>
      <c r="B113" s="2210"/>
      <c r="C113" s="2210"/>
      <c r="D113" s="2269"/>
      <c r="E113" s="2210"/>
      <c r="F113" s="2210"/>
      <c r="G113" s="2217"/>
      <c r="H113" s="2210"/>
      <c r="I113" s="2210"/>
      <c r="J113" s="2218"/>
      <c r="K113" s="258" t="str">
        <f t="shared" si="7"/>
        <v/>
      </c>
      <c r="L113" s="259" t="str">
        <f t="shared" si="8"/>
        <v/>
      </c>
      <c r="M113" s="1002"/>
      <c r="N113" s="36"/>
      <c r="O113" s="36"/>
      <c r="P113" s="36"/>
      <c r="Q113" s="36"/>
      <c r="R113" s="39">
        <f>SUM(Table6912[[#This Row],[Y1 Q1 quantity]:[Y1 Q4 quantity]])</f>
        <v>0</v>
      </c>
      <c r="S113" s="1005">
        <f>Table6912[[#This Row],[Y1 Unit cost]]*Table6912[[#This Row],[Y1 Total quantity]]</f>
        <v>0</v>
      </c>
      <c r="T113" s="1002"/>
      <c r="U113" s="36"/>
      <c r="V113" s="36"/>
      <c r="W113" s="36"/>
      <c r="X113" s="36"/>
      <c r="Y113" s="39">
        <f>SUM(Table6912[[#This Row],[Y2 Q1 quantity]:[Y2 Q4 quantity]])</f>
        <v>0</v>
      </c>
      <c r="Z113" s="1011">
        <f>Table6912[[#This Row],[Y2 Unit cost]]*Table6912[[#This Row],[Y2 Total quantity]]</f>
        <v>0</v>
      </c>
      <c r="AA113" s="1009"/>
      <c r="AB113" s="36"/>
      <c r="AC113" s="36"/>
      <c r="AD113" s="36"/>
      <c r="AE113" s="36"/>
      <c r="AF113" s="39">
        <f>SUM(Table6912[[#This Row],[Y3 Q1 quantity]:[Y3 Q4 quantity]])</f>
        <v>0</v>
      </c>
      <c r="AG113" s="1005">
        <f>Table6912[[#This Row],[Y3 Unit cost]]*Table6912[[#This Row],[Y3 Total quantity]]</f>
        <v>0</v>
      </c>
      <c r="AH113" s="39">
        <f>Table6912[[#This Row],[Y1 Total quantity]]+Table6912[[#This Row],[Y2 Total quantity]]+Table6912[[#This Row],[Y3 Total quantity]]</f>
        <v>0</v>
      </c>
      <c r="AI113" s="1005">
        <f>Table6912[[#This Row],[Y1 Total cost]]+Table6912[[#This Row],[Y2 Total cost]]+Table6912[[#This Row],[Y3 Total cost]]</f>
        <v>0</v>
      </c>
      <c r="AJ113" s="255" t="str">
        <f t="shared" si="10"/>
        <v/>
      </c>
      <c r="AK113" s="2305"/>
      <c r="AL113" s="2306"/>
      <c r="AQ113" s="414"/>
    </row>
    <row r="114" spans="1:60" s="249" customFormat="1" ht="15" thickBot="1">
      <c r="A114" s="2270"/>
      <c r="B114" s="2271"/>
      <c r="C114" s="2271"/>
      <c r="D114" s="2270"/>
      <c r="E114" s="2271"/>
      <c r="F114" s="2271"/>
      <c r="G114" s="2265"/>
      <c r="H114" s="2266"/>
      <c r="I114" s="2266"/>
      <c r="J114" s="2267"/>
      <c r="K114" s="262" t="str">
        <f t="shared" si="7"/>
        <v/>
      </c>
      <c r="L114" s="263" t="str">
        <f t="shared" si="8"/>
        <v/>
      </c>
      <c r="M114" s="1015"/>
      <c r="N114" s="1278"/>
      <c r="O114" s="1278"/>
      <c r="P114" s="1278"/>
      <c r="Q114" s="1278"/>
      <c r="R114" s="44">
        <f>SUM(Table6912[[#This Row],[Y1 Q1 quantity]:[Y1 Q4 quantity]])</f>
        <v>0</v>
      </c>
      <c r="S114" s="1014">
        <f>Table6912[[#This Row],[Y1 Unit cost]]*Table6912[[#This Row],[Y1 Total quantity]]</f>
        <v>0</v>
      </c>
      <c r="T114" s="1015"/>
      <c r="U114" s="1278"/>
      <c r="V114" s="1278"/>
      <c r="W114" s="1278"/>
      <c r="X114" s="1278"/>
      <c r="Y114" s="44">
        <f>SUM(Table6912[[#This Row],[Y2 Q1 quantity]:[Y2 Q4 quantity]])</f>
        <v>0</v>
      </c>
      <c r="Z114" s="1016">
        <f>Table6912[[#This Row],[Y2 Unit cost]]*Table6912[[#This Row],[Y2 Total quantity]]</f>
        <v>0</v>
      </c>
      <c r="AA114" s="1017"/>
      <c r="AB114" s="1278"/>
      <c r="AC114" s="1278"/>
      <c r="AD114" s="1278"/>
      <c r="AE114" s="1278"/>
      <c r="AF114" s="44">
        <f>SUM(Table6912[[#This Row],[Y3 Q1 quantity]:[Y3 Q4 quantity]])</f>
        <v>0</v>
      </c>
      <c r="AG114" s="1014">
        <f>Table6912[[#This Row],[Y3 Unit cost]]*Table6912[[#This Row],[Y3 Total quantity]]</f>
        <v>0</v>
      </c>
      <c r="AH114" s="44">
        <f>Table6912[[#This Row],[Y1 Total quantity]]+Table6912[[#This Row],[Y2 Total quantity]]+Table6912[[#This Row],[Y3 Total quantity]]</f>
        <v>0</v>
      </c>
      <c r="AI114" s="1014">
        <f>Table6912[[#This Row],[Y1 Total cost]]+Table6912[[#This Row],[Y2 Total cost]]+Table6912[[#This Row],[Y3 Total cost]]</f>
        <v>0</v>
      </c>
      <c r="AJ114" s="257" t="str">
        <f t="shared" si="10"/>
        <v/>
      </c>
      <c r="AK114" s="2307"/>
      <c r="AL114" s="2308"/>
      <c r="AQ114" s="414"/>
    </row>
    <row r="115" spans="1:60">
      <c r="A115" s="124"/>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234"/>
      <c r="AJ115"/>
      <c r="AK115"/>
      <c r="AL115"/>
      <c r="AM115"/>
      <c r="AN115"/>
      <c r="AV115" s="249"/>
      <c r="AW115" s="249"/>
      <c r="AX115" s="249"/>
      <c r="AY115" s="249"/>
      <c r="AZ115" s="249"/>
      <c r="BA115" s="249"/>
      <c r="BB115" s="249"/>
      <c r="BC115" s="249"/>
      <c r="BD115" s="249"/>
      <c r="BE115" s="249"/>
      <c r="BF115" s="249"/>
      <c r="BG115" s="249"/>
      <c r="BH115" s="249"/>
    </row>
    <row r="116" spans="1:60" ht="15" thickBot="1">
      <c r="A116" s="170"/>
      <c r="B116" s="170"/>
      <c r="C116" s="170"/>
      <c r="D116" s="170"/>
      <c r="E116" s="170"/>
      <c r="F116" s="170"/>
      <c r="G116" s="170"/>
      <c r="H116" s="147"/>
      <c r="I116" s="147"/>
      <c r="J116" s="147"/>
      <c r="K116" s="147"/>
      <c r="L116" s="147"/>
      <c r="M116" s="147"/>
      <c r="N116" s="147"/>
      <c r="O116" s="147"/>
      <c r="P116" s="147"/>
      <c r="Q116" s="147"/>
      <c r="R116" s="387"/>
      <c r="S116" s="147"/>
      <c r="T116" s="147"/>
      <c r="U116" s="147"/>
      <c r="V116" s="147"/>
      <c r="W116" s="147"/>
      <c r="X116" s="147"/>
      <c r="Y116" s="147"/>
      <c r="Z116" s="147"/>
      <c r="AA116" s="147"/>
      <c r="AB116" s="147"/>
      <c r="AC116" s="115"/>
      <c r="AD116" s="115"/>
      <c r="AE116" s="115"/>
      <c r="AF116" s="115"/>
      <c r="AG116" s="115"/>
      <c r="AH116" s="125"/>
      <c r="AL116" s="410"/>
    </row>
    <row r="117" spans="1:60" ht="15" customHeight="1">
      <c r="A117" s="2259">
        <v>4</v>
      </c>
      <c r="B117" s="2260" t="s">
        <v>6862</v>
      </c>
      <c r="C117" s="2260"/>
      <c r="D117" s="2260"/>
      <c r="E117" s="2069" t="s">
        <v>1869</v>
      </c>
      <c r="F117" s="2069"/>
      <c r="G117" s="2069"/>
      <c r="H117" s="2042" t="s">
        <v>241</v>
      </c>
      <c r="I117" s="2138" t="s">
        <v>229</v>
      </c>
      <c r="J117" s="2042" t="s">
        <v>230</v>
      </c>
      <c r="K117" s="147"/>
      <c r="L117" s="147"/>
      <c r="M117" s="121"/>
      <c r="N117" s="121"/>
      <c r="O117" s="121"/>
      <c r="P117" s="121"/>
      <c r="Q117" s="121"/>
      <c r="R117" s="121"/>
      <c r="S117" s="121"/>
      <c r="T117" s="121"/>
      <c r="U117" s="121"/>
      <c r="V117" s="121"/>
      <c r="W117" s="121"/>
      <c r="X117" s="121"/>
      <c r="Y117" s="121"/>
      <c r="Z117" s="121"/>
      <c r="AA117" s="121"/>
      <c r="AB117" s="121"/>
      <c r="AC117" s="121"/>
      <c r="AD117" s="121"/>
      <c r="AE117" s="121"/>
      <c r="AF117" s="121"/>
      <c r="AG117" s="121"/>
      <c r="AH117" s="125"/>
      <c r="AL117" s="410"/>
    </row>
    <row r="118" spans="1:60" ht="15" customHeight="1" thickBot="1">
      <c r="A118" s="2259"/>
      <c r="B118" s="2260"/>
      <c r="C118" s="2260"/>
      <c r="D118" s="2260"/>
      <c r="E118" s="133"/>
      <c r="F118" s="133"/>
      <c r="G118" s="133"/>
      <c r="H118" s="2043"/>
      <c r="I118" s="2139"/>
      <c r="J118" s="2043"/>
      <c r="K118" s="147"/>
      <c r="L118" s="147"/>
      <c r="M118" s="121"/>
      <c r="N118" s="121"/>
      <c r="O118" s="121"/>
      <c r="P118" s="121"/>
      <c r="Q118" s="121"/>
      <c r="R118" s="121"/>
      <c r="S118" s="121"/>
      <c r="T118" s="121"/>
      <c r="U118" s="121"/>
      <c r="V118" s="121"/>
      <c r="W118" s="121"/>
      <c r="X118" s="121"/>
      <c r="Y118" s="121"/>
      <c r="Z118" s="121"/>
      <c r="AA118" s="121"/>
      <c r="AB118" s="121"/>
      <c r="AC118" s="121"/>
      <c r="AD118" s="121"/>
      <c r="AE118" s="121"/>
      <c r="AF118" s="121"/>
      <c r="AG118" s="121"/>
      <c r="AH118" s="125"/>
      <c r="AL118" s="410"/>
    </row>
    <row r="119" spans="1:60" ht="109.15" customHeight="1">
      <c r="A119" s="2080" t="s">
        <v>6903</v>
      </c>
      <c r="B119" s="2081"/>
      <c r="C119" s="2081"/>
      <c r="D119" s="2081"/>
      <c r="E119" s="2081"/>
      <c r="F119" s="2081"/>
      <c r="G119" s="2081"/>
      <c r="H119" s="2081"/>
      <c r="I119" s="2081"/>
      <c r="J119" s="2081"/>
      <c r="K119" s="2081"/>
      <c r="L119" s="2081"/>
      <c r="M119" s="2145"/>
      <c r="N119" s="121"/>
      <c r="O119" s="121"/>
      <c r="P119" s="121"/>
      <c r="Q119" s="121"/>
      <c r="R119" s="121"/>
      <c r="S119" s="121"/>
      <c r="T119" s="121"/>
      <c r="U119" s="121"/>
      <c r="V119" s="121"/>
      <c r="W119" s="121"/>
      <c r="X119" s="121"/>
      <c r="Y119" s="121"/>
      <c r="Z119" s="121"/>
      <c r="AA119" s="121"/>
      <c r="AB119" s="121"/>
      <c r="AC119" s="121"/>
      <c r="AD119" s="121"/>
      <c r="AE119" s="121"/>
      <c r="AF119" s="121"/>
      <c r="AG119" s="121"/>
      <c r="AH119" s="125"/>
      <c r="AL119" s="410"/>
    </row>
    <row r="120" spans="1:60" ht="15" thickBot="1">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c r="AA120" s="140"/>
      <c r="AB120" s="140"/>
      <c r="AC120" s="140"/>
      <c r="AD120" s="140"/>
      <c r="AE120" s="140"/>
      <c r="AF120" s="140"/>
      <c r="AG120" s="140"/>
      <c r="AH120" s="166"/>
      <c r="AL120" s="471"/>
    </row>
    <row r="121" spans="1:60">
      <c r="A121" s="2116" t="s">
        <v>1233</v>
      </c>
      <c r="B121" s="2118"/>
      <c r="C121" s="2118"/>
      <c r="D121" s="2116" t="s">
        <v>196</v>
      </c>
      <c r="E121" s="2118"/>
      <c r="F121" s="2118"/>
      <c r="G121" s="2116" t="s">
        <v>251</v>
      </c>
      <c r="H121" s="2118"/>
      <c r="I121" s="2118"/>
      <c r="J121" s="2166"/>
      <c r="K121" s="2118" t="s">
        <v>244</v>
      </c>
      <c r="L121" s="2197" t="s">
        <v>49</v>
      </c>
      <c r="M121" s="2296" t="str">
        <f>M81</f>
        <v>Please fill setup</v>
      </c>
      <c r="N121" s="2205"/>
      <c r="O121" s="2205"/>
      <c r="P121" s="2205"/>
      <c r="Q121" s="2205"/>
      <c r="R121" s="2205"/>
      <c r="S121" s="2205"/>
      <c r="T121" s="2296" t="str">
        <f>T81</f>
        <v>Please fill setup</v>
      </c>
      <c r="U121" s="2205"/>
      <c r="V121" s="2205"/>
      <c r="W121" s="2205"/>
      <c r="X121" s="2205"/>
      <c r="Y121" s="2205"/>
      <c r="Z121" s="2205"/>
      <c r="AA121" s="2296" t="str">
        <f>AA81</f>
        <v>Please fill setup</v>
      </c>
      <c r="AB121" s="2205"/>
      <c r="AC121" s="2205"/>
      <c r="AD121" s="2205"/>
      <c r="AE121" s="2205"/>
      <c r="AF121" s="2205"/>
      <c r="AG121" s="2205"/>
      <c r="AH121" s="2116" t="s">
        <v>152</v>
      </c>
      <c r="AI121" s="2166"/>
      <c r="AJ121" s="544" t="s">
        <v>153</v>
      </c>
      <c r="AK121" s="2116" t="s">
        <v>6865</v>
      </c>
      <c r="AL121" s="2166"/>
    </row>
    <row r="122" spans="1:60" s="412" customFormat="1" ht="26.5" thickBot="1">
      <c r="A122" s="2182"/>
      <c r="B122" s="2180"/>
      <c r="C122" s="2180"/>
      <c r="D122" s="2182"/>
      <c r="E122" s="2180"/>
      <c r="F122" s="2180"/>
      <c r="G122" s="2182"/>
      <c r="H122" s="2180"/>
      <c r="I122" s="2180"/>
      <c r="J122" s="2244"/>
      <c r="K122" s="2180"/>
      <c r="L122" s="2198"/>
      <c r="M122" s="1000" t="s">
        <v>198</v>
      </c>
      <c r="N122" s="545" t="s">
        <v>155</v>
      </c>
      <c r="O122" s="545" t="s">
        <v>156</v>
      </c>
      <c r="P122" s="545" t="s">
        <v>157</v>
      </c>
      <c r="Q122" s="545" t="s">
        <v>158</v>
      </c>
      <c r="R122" s="545" t="s">
        <v>159</v>
      </c>
      <c r="S122" s="1003" t="s">
        <v>160</v>
      </c>
      <c r="T122" s="1000" t="s">
        <v>161</v>
      </c>
      <c r="U122" s="545" t="s">
        <v>162</v>
      </c>
      <c r="V122" s="545" t="s">
        <v>163</v>
      </c>
      <c r="W122" s="545" t="s">
        <v>164</v>
      </c>
      <c r="X122" s="545" t="s">
        <v>165</v>
      </c>
      <c r="Y122" s="173" t="s">
        <v>166</v>
      </c>
      <c r="Z122" s="1003" t="s">
        <v>167</v>
      </c>
      <c r="AA122" s="1000" t="s">
        <v>168</v>
      </c>
      <c r="AB122" s="545" t="s">
        <v>169</v>
      </c>
      <c r="AC122" s="545" t="s">
        <v>170</v>
      </c>
      <c r="AD122" s="545" t="s">
        <v>171</v>
      </c>
      <c r="AE122" s="545" t="s">
        <v>172</v>
      </c>
      <c r="AF122" s="173" t="s">
        <v>173</v>
      </c>
      <c r="AG122" s="1003" t="s">
        <v>174</v>
      </c>
      <c r="AH122" s="173" t="s">
        <v>175</v>
      </c>
      <c r="AI122" s="1000" t="s">
        <v>176</v>
      </c>
      <c r="AJ122" s="159" t="s">
        <v>177</v>
      </c>
      <c r="AK122" s="2182"/>
      <c r="AL122" s="2244"/>
      <c r="AV122" s="105"/>
      <c r="AW122" s="105"/>
      <c r="AX122" s="105"/>
      <c r="AY122" s="105"/>
      <c r="AZ122" s="105"/>
      <c r="BA122" s="105"/>
      <c r="BB122" s="105"/>
      <c r="BC122" s="105"/>
      <c r="BD122" s="105"/>
      <c r="BE122" s="105"/>
      <c r="BF122" s="105"/>
      <c r="BG122" s="105"/>
      <c r="BH122" s="105"/>
    </row>
    <row r="123" spans="1:60" s="414" customFormat="1">
      <c r="A123" s="2169"/>
      <c r="B123" s="2106"/>
      <c r="C123" s="2106"/>
      <c r="D123" s="2228"/>
      <c r="E123" s="2229"/>
      <c r="F123" s="2229"/>
      <c r="G123" s="2261"/>
      <c r="H123" s="2262"/>
      <c r="I123" s="2262"/>
      <c r="J123" s="2263"/>
      <c r="K123" s="267" t="str">
        <f>IF(D123="","","Piece")</f>
        <v/>
      </c>
      <c r="L123" s="259" t="str">
        <f>IF(K123="", "","USD")</f>
        <v/>
      </c>
      <c r="M123" s="1001"/>
      <c r="N123" s="35"/>
      <c r="O123" s="35"/>
      <c r="P123" s="35"/>
      <c r="Q123" s="41"/>
      <c r="R123" s="45">
        <f>SUM(Table691213[[#This Row],[Y1 Q1 quantity]:[Y1 Q4 quantity]])</f>
        <v>0</v>
      </c>
      <c r="S123" s="1004">
        <f>Table691213[[#This Row],[Y1 Unit cost]]*Table691213[[#This Row],[Y1 Total quantity]]</f>
        <v>0</v>
      </c>
      <c r="T123" s="1001"/>
      <c r="U123" s="35"/>
      <c r="V123" s="35"/>
      <c r="W123" s="35"/>
      <c r="X123" s="41"/>
      <c r="Y123" s="45">
        <f>SUM(Table691213[[#This Row],[Y2 Q1 quantity]:[Y2 Q4 quantity]])</f>
        <v>0</v>
      </c>
      <c r="Z123" s="1004">
        <f>Table691213[[#This Row],[Y2 Unit cost]]*Table691213[[#This Row],[Y2 Total quantity]]</f>
        <v>0</v>
      </c>
      <c r="AA123" s="1001"/>
      <c r="AB123" s="35"/>
      <c r="AC123" s="35"/>
      <c r="AD123" s="35"/>
      <c r="AE123" s="41"/>
      <c r="AF123" s="45">
        <f>SUM(Table691213[[#This Row],[Y3 Q1 quantity]:[Y3 Q4 quantity]])</f>
        <v>0</v>
      </c>
      <c r="AG123" s="1004">
        <f>Table691213[[#This Row],[Y3 Unit cost]]*Table691213[[#This Row],[Y3 Total quantity]]</f>
        <v>0</v>
      </c>
      <c r="AH123" s="38">
        <f>Table691213[[#This Row],[Y1 Total quantity]]+Table691213[[#This Row],[Y2 Total quantity]]+Table691213[[#This Row],[Y3 Total quantity]]</f>
        <v>0</v>
      </c>
      <c r="AI123" s="1004">
        <f>Table691213[[#This Row],[Y1 Total cost]]+Table691213[[#This Row],[Y2 Total cost]]+Table691213[[#This Row],[Y3 Total cost]]</f>
        <v>0</v>
      </c>
      <c r="AJ123" s="1234" t="str">
        <f>IF(ISBLANK(D123),"",IF(OR(ISNUMBER(SEARCH("Equipment",G123)),ISNUMBER(SEARCH("Spare",G123)),ISNUMBER(SEARCH("Laboratory equipment",D123)),ISNUMBER(SEARCH("ECG",D123)),ISNUMBER(SEARCH("Equipment-Other",D123)),ISNUMBER(SEARCH("X-ray",D123))),"6.6",IF(OR(ISNUMBER(SEARCH("Warranty",G123)),ISNUMBER(SEARCH("Calibration",G123)),ISNUMBER(SEARCH("maintenance and services",D123)),ISNUMBER(SEARCH("Autoclave",D123))),"6.5",IF(ISNUMBER(SEARCH("Syringes",D123)),"5.7",IF(OR(ISNUMBER(SEARCH("Consumables",D123)),ISNUMBER(SEARCH("VMMC Kits",D123))),"5.8",IF(ISNUMBER(SEARCH("Rapid Diagnostic Test",D123)),"5.4","5.6"))))))</f>
        <v/>
      </c>
      <c r="AK123" s="2301"/>
      <c r="AL123" s="2302"/>
      <c r="AV123" s="412"/>
      <c r="AW123" s="412"/>
      <c r="AX123" s="412"/>
      <c r="AY123" s="412"/>
      <c r="AZ123" s="412"/>
      <c r="BA123" s="412"/>
      <c r="BB123" s="412"/>
      <c r="BC123" s="412"/>
      <c r="BD123" s="412"/>
      <c r="BE123" s="412"/>
      <c r="BF123" s="412"/>
      <c r="BG123" s="412"/>
      <c r="BH123" s="412"/>
    </row>
    <row r="124" spans="1:60" s="249" customFormat="1">
      <c r="A124" s="2240"/>
      <c r="B124" s="2126"/>
      <c r="C124" s="2126"/>
      <c r="D124" s="2240"/>
      <c r="E124" s="2125"/>
      <c r="F124" s="2125"/>
      <c r="G124" s="2247"/>
      <c r="H124" s="2248"/>
      <c r="I124" s="2248"/>
      <c r="J124" s="2249"/>
      <c r="K124" s="268" t="str">
        <f>IF(D124="","","Piece")</f>
        <v/>
      </c>
      <c r="L124" s="266" t="str">
        <f>IF(K124="", "","USD")</f>
        <v/>
      </c>
      <c r="M124" s="1002"/>
      <c r="N124" s="36"/>
      <c r="O124" s="36"/>
      <c r="P124" s="36"/>
      <c r="Q124" s="36"/>
      <c r="R124" s="39">
        <f>SUM(Table691213[[#This Row],[Y1 Q1 quantity]:[Y1 Q4 quantity]])</f>
        <v>0</v>
      </c>
      <c r="S124" s="1005">
        <f>Table691213[[#This Row],[Y1 Unit cost]]*Table691213[[#This Row],[Y1 Total quantity]]</f>
        <v>0</v>
      </c>
      <c r="T124" s="1002"/>
      <c r="U124" s="36"/>
      <c r="V124" s="36"/>
      <c r="W124" s="36"/>
      <c r="X124" s="36"/>
      <c r="Y124" s="39">
        <f>SUM(Table691213[[#This Row],[Y2 Q1 quantity]:[Y2 Q4 quantity]])</f>
        <v>0</v>
      </c>
      <c r="Z124" s="1005">
        <f>Table691213[[#This Row],[Y2 Unit cost]]*Table691213[[#This Row],[Y2 Total quantity]]</f>
        <v>0</v>
      </c>
      <c r="AA124" s="1002"/>
      <c r="AB124" s="36"/>
      <c r="AC124" s="36"/>
      <c r="AD124" s="36"/>
      <c r="AE124" s="36"/>
      <c r="AF124" s="39">
        <f>SUM(Table691213[[#This Row],[Y3 Q1 quantity]:[Y3 Q4 quantity]])</f>
        <v>0</v>
      </c>
      <c r="AG124" s="1005">
        <f>Table691213[[#This Row],[Y3 Unit cost]]*Table691213[[#This Row],[Y3 Total quantity]]</f>
        <v>0</v>
      </c>
      <c r="AH124" s="39">
        <f>Table691213[[#This Row],[Y1 Total quantity]]+Table691213[[#This Row],[Y2 Total quantity]]+Table691213[[#This Row],[Y3 Total quantity]]</f>
        <v>0</v>
      </c>
      <c r="AI124" s="1005">
        <f>Table691213[[#This Row],[Y1 Total cost]]+Table691213[[#This Row],[Y2 Total cost]]+Table691213[[#This Row],[Y3 Total cost]]</f>
        <v>0</v>
      </c>
      <c r="AJ124" s="1235" t="str">
        <f>IF(ISBLANK(D124),"",IF(OR(ISNUMBER(SEARCH("Equipment",G124)),ISNUMBER(SEARCH("Spare",G124)),ISNUMBER(SEARCH("Laboratory equipment",D124)),ISNUMBER(SEARCH("ECG",D124)),ISNUMBER(SEARCH("Equipment-Other",D124)),ISNUMBER(SEARCH("X-ray",D124))),"6.6",IF(OR(ISNUMBER(SEARCH("Warranty",G124)),ISNUMBER(SEARCH("Calibration",G124)),ISNUMBER(SEARCH("maintenance and services",D124)),ISNUMBER(SEARCH("Autoclave",D124))),"6.5",IF(ISNUMBER(SEARCH("Syringes",D124)),"5.7",IF(OR(ISNUMBER(SEARCH("Consumables",D124)),ISNUMBER(SEARCH("VMMC Kits",D124))),"5.8",IF(ISNUMBER(SEARCH("Rapid Diagnostic Test",D124)),"5.4","5.6"))))))</f>
        <v/>
      </c>
      <c r="AK124" s="2303"/>
      <c r="AL124" s="2304"/>
      <c r="AV124" s="414"/>
      <c r="AW124" s="414"/>
      <c r="AX124" s="414"/>
      <c r="AY124" s="414"/>
      <c r="AZ124" s="414"/>
      <c r="BA124" s="414"/>
      <c r="BB124" s="414"/>
      <c r="BC124" s="414"/>
      <c r="BD124" s="414"/>
      <c r="BE124" s="414"/>
      <c r="BF124" s="414"/>
      <c r="BG124" s="414"/>
      <c r="BH124" s="414"/>
    </row>
    <row r="125" spans="1:60" s="249" customFormat="1">
      <c r="A125" s="2169"/>
      <c r="B125" s="2106"/>
      <c r="C125" s="2106"/>
      <c r="D125" s="2169"/>
      <c r="E125" s="2264"/>
      <c r="F125" s="2264"/>
      <c r="G125" s="2250"/>
      <c r="H125" s="2251"/>
      <c r="I125" s="2251"/>
      <c r="J125" s="2252"/>
      <c r="K125" s="264" t="str">
        <f t="shared" ref="K125:K188" si="11">IF(D125="","","Piece")</f>
        <v/>
      </c>
      <c r="L125" s="259" t="str">
        <f>IF(K125="", "","USD")</f>
        <v/>
      </c>
      <c r="M125" s="1001"/>
      <c r="N125" s="35"/>
      <c r="O125" s="35"/>
      <c r="P125" s="35"/>
      <c r="Q125" s="35"/>
      <c r="R125" s="38">
        <f>SUM(Table691213[[#This Row],[Y1 Q1 quantity]:[Y1 Q4 quantity]])</f>
        <v>0</v>
      </c>
      <c r="S125" s="1004">
        <f>Table691213[[#This Row],[Y1 Unit cost]]*Table691213[[#This Row],[Y1 Total quantity]]</f>
        <v>0</v>
      </c>
      <c r="T125" s="1001"/>
      <c r="U125" s="35"/>
      <c r="V125" s="35"/>
      <c r="W125" s="35"/>
      <c r="X125" s="35"/>
      <c r="Y125" s="38">
        <f>SUM(Table691213[[#This Row],[Y2 Q1 quantity]:[Y2 Q4 quantity]])</f>
        <v>0</v>
      </c>
      <c r="Z125" s="1004">
        <f>Table691213[[#This Row],[Y2 Unit cost]]*Table691213[[#This Row],[Y2 Total quantity]]</f>
        <v>0</v>
      </c>
      <c r="AA125" s="1001"/>
      <c r="AB125" s="35"/>
      <c r="AC125" s="35"/>
      <c r="AD125" s="35"/>
      <c r="AE125" s="35"/>
      <c r="AF125" s="38">
        <f>SUM(Table691213[[#This Row],[Y3 Q1 quantity]:[Y3 Q4 quantity]])</f>
        <v>0</v>
      </c>
      <c r="AG125" s="1004">
        <f>Table691213[[#This Row],[Y3 Unit cost]]*Table691213[[#This Row],[Y3 Total quantity]]</f>
        <v>0</v>
      </c>
      <c r="AH125" s="38">
        <f>Table691213[[#This Row],[Y1 Total quantity]]+Table691213[[#This Row],[Y2 Total quantity]]+Table691213[[#This Row],[Y3 Total quantity]]</f>
        <v>0</v>
      </c>
      <c r="AI125" s="1004">
        <f>Table691213[[#This Row],[Y1 Total cost]]+Table691213[[#This Row],[Y2 Total cost]]+Table691213[[#This Row],[Y3 Total cost]]</f>
        <v>0</v>
      </c>
      <c r="AJ125" s="1234" t="str">
        <f t="shared" ref="AJ125:AJ188" si="12">IF(ISBLANK(D125),"",IF(OR(ISNUMBER(SEARCH("Equipment",G125)),ISNUMBER(SEARCH("Spare",G125)),ISNUMBER(SEARCH("Laboratory equipment",D125)),ISNUMBER(SEARCH("ECG",D125)),ISNUMBER(SEARCH("Equipment-Other",D125)),ISNUMBER(SEARCH("X-ray",D125))),"6.6",IF(OR(ISNUMBER(SEARCH("Warranty",G125)),ISNUMBER(SEARCH("Calibration",G125)),ISNUMBER(SEARCH("maintenance and services",D125)),ISNUMBER(SEARCH("Autoclave",D125))),"6.5",IF(ISNUMBER(SEARCH("Syringes",D125)),"5.7",IF(OR(ISNUMBER(SEARCH("Consumables",D125)),ISNUMBER(SEARCH("VMMC Kits",D125))),"5.8",IF(ISNUMBER(SEARCH("Rapid Diagnostic Test",D125)),"5.4","5.6"))))))</f>
        <v/>
      </c>
      <c r="AK125" s="2305"/>
      <c r="AL125" s="2306"/>
    </row>
    <row r="126" spans="1:60" s="249" customFormat="1">
      <c r="A126" s="2240"/>
      <c r="B126" s="2126"/>
      <c r="C126" s="2126"/>
      <c r="D126" s="2240"/>
      <c r="E126" s="2126"/>
      <c r="F126" s="2126"/>
      <c r="G126" s="2247"/>
      <c r="H126" s="2248"/>
      <c r="I126" s="2248"/>
      <c r="J126" s="2249"/>
      <c r="K126" s="268" t="str">
        <f t="shared" si="11"/>
        <v/>
      </c>
      <c r="L126" s="261" t="str">
        <f t="shared" ref="L126:L189" si="13">IF(K126="", "","USD")</f>
        <v/>
      </c>
      <c r="M126" s="1002"/>
      <c r="N126" s="36"/>
      <c r="O126" s="36"/>
      <c r="P126" s="36"/>
      <c r="Q126" s="36"/>
      <c r="R126" s="39">
        <f>SUM(Table691213[[#This Row],[Y1 Q1 quantity]:[Y1 Q4 quantity]])</f>
        <v>0</v>
      </c>
      <c r="S126" s="1005">
        <f>Table691213[[#This Row],[Y1 Unit cost]]*Table691213[[#This Row],[Y1 Total quantity]]</f>
        <v>0</v>
      </c>
      <c r="T126" s="1002"/>
      <c r="U126" s="36"/>
      <c r="V126" s="36"/>
      <c r="W126" s="36"/>
      <c r="X126" s="36"/>
      <c r="Y126" s="39">
        <f>SUM(Table691213[[#This Row],[Y2 Q1 quantity]:[Y2 Q4 quantity]])</f>
        <v>0</v>
      </c>
      <c r="Z126" s="1005">
        <f>Table691213[[#This Row],[Y2 Unit cost]]*Table691213[[#This Row],[Y2 Total quantity]]</f>
        <v>0</v>
      </c>
      <c r="AA126" s="1002"/>
      <c r="AB126" s="36"/>
      <c r="AC126" s="36"/>
      <c r="AD126" s="36"/>
      <c r="AE126" s="36"/>
      <c r="AF126" s="39">
        <f>SUM(Table691213[[#This Row],[Y3 Q1 quantity]:[Y3 Q4 quantity]])</f>
        <v>0</v>
      </c>
      <c r="AG126" s="1005">
        <f>Table691213[[#This Row],[Y3 Unit cost]]*Table691213[[#This Row],[Y3 Total quantity]]</f>
        <v>0</v>
      </c>
      <c r="AH126" s="39">
        <f>Table691213[[#This Row],[Y1 Total quantity]]+Table691213[[#This Row],[Y2 Total quantity]]+Table691213[[#This Row],[Y3 Total quantity]]</f>
        <v>0</v>
      </c>
      <c r="AI126" s="1005">
        <f>Table691213[[#This Row],[Y1 Total cost]]+Table691213[[#This Row],[Y2 Total cost]]+Table691213[[#This Row],[Y3 Total cost]]</f>
        <v>0</v>
      </c>
      <c r="AJ126" s="1235" t="str">
        <f t="shared" si="12"/>
        <v/>
      </c>
      <c r="AK126" s="2303"/>
      <c r="AL126" s="2304"/>
    </row>
    <row r="127" spans="1:60" s="249" customFormat="1">
      <c r="A127" s="2169"/>
      <c r="B127" s="2106"/>
      <c r="C127" s="2106"/>
      <c r="D127" s="2169"/>
      <c r="E127" s="2106"/>
      <c r="F127" s="2106"/>
      <c r="G127" s="2250"/>
      <c r="H127" s="2251"/>
      <c r="I127" s="2251"/>
      <c r="J127" s="2252"/>
      <c r="K127" s="264" t="str">
        <f t="shared" si="11"/>
        <v/>
      </c>
      <c r="L127" s="259" t="str">
        <f t="shared" si="13"/>
        <v/>
      </c>
      <c r="M127" s="1001"/>
      <c r="N127" s="35"/>
      <c r="O127" s="35"/>
      <c r="P127" s="35"/>
      <c r="Q127" s="35"/>
      <c r="R127" s="38">
        <f>SUM(Table691213[[#This Row],[Y1 Q1 quantity]:[Y1 Q4 quantity]])</f>
        <v>0</v>
      </c>
      <c r="S127" s="1004">
        <f>Table691213[[#This Row],[Y1 Unit cost]]*Table691213[[#This Row],[Y1 Total quantity]]</f>
        <v>0</v>
      </c>
      <c r="T127" s="1001"/>
      <c r="U127" s="35"/>
      <c r="V127" s="35"/>
      <c r="W127" s="35"/>
      <c r="X127" s="35"/>
      <c r="Y127" s="38">
        <f>SUM(Table691213[[#This Row],[Y2 Q1 quantity]:[Y2 Q4 quantity]])</f>
        <v>0</v>
      </c>
      <c r="Z127" s="1004">
        <f>Table691213[[#This Row],[Y2 Unit cost]]*Table691213[[#This Row],[Y2 Total quantity]]</f>
        <v>0</v>
      </c>
      <c r="AA127" s="1001"/>
      <c r="AB127" s="35"/>
      <c r="AC127" s="35"/>
      <c r="AD127" s="35"/>
      <c r="AE127" s="35"/>
      <c r="AF127" s="38">
        <f>SUM(Table691213[[#This Row],[Y3 Q1 quantity]:[Y3 Q4 quantity]])</f>
        <v>0</v>
      </c>
      <c r="AG127" s="1004">
        <f>Table691213[[#This Row],[Y3 Unit cost]]*Table691213[[#This Row],[Y3 Total quantity]]</f>
        <v>0</v>
      </c>
      <c r="AH127" s="38">
        <f>Table691213[[#This Row],[Y1 Total quantity]]+Table691213[[#This Row],[Y2 Total quantity]]+Table691213[[#This Row],[Y3 Total quantity]]</f>
        <v>0</v>
      </c>
      <c r="AI127" s="1004">
        <f>Table691213[[#This Row],[Y1 Total cost]]+Table691213[[#This Row],[Y2 Total cost]]+Table691213[[#This Row],[Y3 Total cost]]</f>
        <v>0</v>
      </c>
      <c r="AJ127" s="1234" t="str">
        <f t="shared" si="12"/>
        <v/>
      </c>
      <c r="AK127" s="2305"/>
      <c r="AL127" s="2306"/>
    </row>
    <row r="128" spans="1:60" s="249" customFormat="1">
      <c r="A128" s="2240"/>
      <c r="B128" s="2126"/>
      <c r="C128" s="2126"/>
      <c r="D128" s="2240"/>
      <c r="E128" s="2126"/>
      <c r="F128" s="2126"/>
      <c r="G128" s="2247"/>
      <c r="H128" s="2248"/>
      <c r="I128" s="2248"/>
      <c r="J128" s="2249"/>
      <c r="K128" s="268" t="str">
        <f t="shared" si="11"/>
        <v/>
      </c>
      <c r="L128" s="261" t="str">
        <f t="shared" si="13"/>
        <v/>
      </c>
      <c r="M128" s="1002"/>
      <c r="N128" s="36"/>
      <c r="O128" s="36"/>
      <c r="P128" s="36"/>
      <c r="Q128" s="36"/>
      <c r="R128" s="39">
        <f>SUM(Table691213[[#This Row],[Y1 Q1 quantity]:[Y1 Q4 quantity]])</f>
        <v>0</v>
      </c>
      <c r="S128" s="1005">
        <f>Table691213[[#This Row],[Y1 Unit cost]]*Table691213[[#This Row],[Y1 Total quantity]]</f>
        <v>0</v>
      </c>
      <c r="T128" s="1002"/>
      <c r="U128" s="36"/>
      <c r="V128" s="36"/>
      <c r="W128" s="36"/>
      <c r="X128" s="36"/>
      <c r="Y128" s="39">
        <f>SUM(Table691213[[#This Row],[Y2 Q1 quantity]:[Y2 Q4 quantity]])</f>
        <v>0</v>
      </c>
      <c r="Z128" s="1005">
        <f>Table691213[[#This Row],[Y2 Unit cost]]*Table691213[[#This Row],[Y2 Total quantity]]</f>
        <v>0</v>
      </c>
      <c r="AA128" s="1002"/>
      <c r="AB128" s="36"/>
      <c r="AC128" s="36"/>
      <c r="AD128" s="36"/>
      <c r="AE128" s="36"/>
      <c r="AF128" s="39">
        <f>SUM(Table691213[[#This Row],[Y3 Q1 quantity]:[Y3 Q4 quantity]])</f>
        <v>0</v>
      </c>
      <c r="AG128" s="1005">
        <f>Table691213[[#This Row],[Y3 Unit cost]]*Table691213[[#This Row],[Y3 Total quantity]]</f>
        <v>0</v>
      </c>
      <c r="AH128" s="39">
        <f>Table691213[[#This Row],[Y1 Total quantity]]+Table691213[[#This Row],[Y2 Total quantity]]+Table691213[[#This Row],[Y3 Total quantity]]</f>
        <v>0</v>
      </c>
      <c r="AI128" s="1005">
        <f>Table691213[[#This Row],[Y1 Total cost]]+Table691213[[#This Row],[Y2 Total cost]]+Table691213[[#This Row],[Y3 Total cost]]</f>
        <v>0</v>
      </c>
      <c r="AJ128" s="1235" t="str">
        <f t="shared" si="12"/>
        <v/>
      </c>
      <c r="AK128" s="2303"/>
      <c r="AL128" s="2304"/>
    </row>
    <row r="129" spans="1:38" s="249" customFormat="1">
      <c r="A129" s="2169"/>
      <c r="B129" s="2106"/>
      <c r="C129" s="2106"/>
      <c r="D129" s="2169"/>
      <c r="E129" s="2106"/>
      <c r="F129" s="2106"/>
      <c r="G129" s="2250"/>
      <c r="H129" s="2251"/>
      <c r="I129" s="2251"/>
      <c r="J129" s="2252"/>
      <c r="K129" s="264" t="str">
        <f t="shared" si="11"/>
        <v/>
      </c>
      <c r="L129" s="259" t="str">
        <f t="shared" si="13"/>
        <v/>
      </c>
      <c r="M129" s="1001"/>
      <c r="N129" s="35"/>
      <c r="O129" s="35"/>
      <c r="P129" s="35"/>
      <c r="Q129" s="35"/>
      <c r="R129" s="38">
        <f>SUM(Table691213[[#This Row],[Y1 Q1 quantity]:[Y1 Q4 quantity]])</f>
        <v>0</v>
      </c>
      <c r="S129" s="1004">
        <f>Table691213[[#This Row],[Y1 Unit cost]]*Table691213[[#This Row],[Y1 Total quantity]]</f>
        <v>0</v>
      </c>
      <c r="T129" s="1001"/>
      <c r="U129" s="35"/>
      <c r="V129" s="35"/>
      <c r="W129" s="35"/>
      <c r="X129" s="35"/>
      <c r="Y129" s="38">
        <f>SUM(Table691213[[#This Row],[Y2 Q1 quantity]:[Y2 Q4 quantity]])</f>
        <v>0</v>
      </c>
      <c r="Z129" s="1004">
        <f>Table691213[[#This Row],[Y2 Unit cost]]*Table691213[[#This Row],[Y2 Total quantity]]</f>
        <v>0</v>
      </c>
      <c r="AA129" s="1001"/>
      <c r="AB129" s="35"/>
      <c r="AC129" s="35"/>
      <c r="AD129" s="35"/>
      <c r="AE129" s="35"/>
      <c r="AF129" s="38">
        <f>SUM(Table691213[[#This Row],[Y3 Q1 quantity]:[Y3 Q4 quantity]])</f>
        <v>0</v>
      </c>
      <c r="AG129" s="1004">
        <f>Table691213[[#This Row],[Y3 Unit cost]]*Table691213[[#This Row],[Y3 Total quantity]]</f>
        <v>0</v>
      </c>
      <c r="AH129" s="38">
        <f>Table691213[[#This Row],[Y1 Total quantity]]+Table691213[[#This Row],[Y2 Total quantity]]+Table691213[[#This Row],[Y3 Total quantity]]</f>
        <v>0</v>
      </c>
      <c r="AI129" s="1004">
        <f>Table691213[[#This Row],[Y1 Total cost]]+Table691213[[#This Row],[Y2 Total cost]]+Table691213[[#This Row],[Y3 Total cost]]</f>
        <v>0</v>
      </c>
      <c r="AJ129" s="1234" t="str">
        <f t="shared" si="12"/>
        <v/>
      </c>
      <c r="AK129" s="2305"/>
      <c r="AL129" s="2306"/>
    </row>
    <row r="130" spans="1:38" s="249" customFormat="1">
      <c r="A130" s="2240"/>
      <c r="B130" s="2126"/>
      <c r="C130" s="2126"/>
      <c r="D130" s="2240"/>
      <c r="E130" s="2126"/>
      <c r="F130" s="2126"/>
      <c r="G130" s="2247"/>
      <c r="H130" s="2248"/>
      <c r="I130" s="2248"/>
      <c r="J130" s="2249"/>
      <c r="K130" s="268" t="str">
        <f t="shared" si="11"/>
        <v/>
      </c>
      <c r="L130" s="261" t="str">
        <f t="shared" si="13"/>
        <v/>
      </c>
      <c r="M130" s="1002"/>
      <c r="N130" s="36"/>
      <c r="O130" s="36"/>
      <c r="P130" s="36"/>
      <c r="Q130" s="36"/>
      <c r="R130" s="39">
        <f>SUM(Table691213[[#This Row],[Y1 Q1 quantity]:[Y1 Q4 quantity]])</f>
        <v>0</v>
      </c>
      <c r="S130" s="1005">
        <f>Table691213[[#This Row],[Y1 Unit cost]]*Table691213[[#This Row],[Y1 Total quantity]]</f>
        <v>0</v>
      </c>
      <c r="T130" s="1002"/>
      <c r="U130" s="36"/>
      <c r="V130" s="36"/>
      <c r="W130" s="36"/>
      <c r="X130" s="36"/>
      <c r="Y130" s="39">
        <f>SUM(Table691213[[#This Row],[Y2 Q1 quantity]:[Y2 Q4 quantity]])</f>
        <v>0</v>
      </c>
      <c r="Z130" s="1005">
        <f>Table691213[[#This Row],[Y2 Unit cost]]*Table691213[[#This Row],[Y2 Total quantity]]</f>
        <v>0</v>
      </c>
      <c r="AA130" s="1002"/>
      <c r="AB130" s="36"/>
      <c r="AC130" s="36"/>
      <c r="AD130" s="36"/>
      <c r="AE130" s="36"/>
      <c r="AF130" s="39">
        <f>SUM(Table691213[[#This Row],[Y3 Q1 quantity]:[Y3 Q4 quantity]])</f>
        <v>0</v>
      </c>
      <c r="AG130" s="1005">
        <f>Table691213[[#This Row],[Y3 Unit cost]]*Table691213[[#This Row],[Y3 Total quantity]]</f>
        <v>0</v>
      </c>
      <c r="AH130" s="39">
        <f>Table691213[[#This Row],[Y1 Total quantity]]+Table691213[[#This Row],[Y2 Total quantity]]+Table691213[[#This Row],[Y3 Total quantity]]</f>
        <v>0</v>
      </c>
      <c r="AI130" s="1005">
        <f>Table691213[[#This Row],[Y1 Total cost]]+Table691213[[#This Row],[Y2 Total cost]]+Table691213[[#This Row],[Y3 Total cost]]</f>
        <v>0</v>
      </c>
      <c r="AJ130" s="1235" t="str">
        <f t="shared" si="12"/>
        <v/>
      </c>
      <c r="AK130" s="2303"/>
      <c r="AL130" s="2304"/>
    </row>
    <row r="131" spans="1:38" s="249" customFormat="1">
      <c r="A131" s="2169"/>
      <c r="B131" s="2106"/>
      <c r="C131" s="2106"/>
      <c r="D131" s="2169"/>
      <c r="E131" s="2106"/>
      <c r="F131" s="2106"/>
      <c r="G131" s="2250"/>
      <c r="H131" s="2251"/>
      <c r="I131" s="2251"/>
      <c r="J131" s="2252"/>
      <c r="K131" s="264" t="str">
        <f t="shared" si="11"/>
        <v/>
      </c>
      <c r="L131" s="259" t="str">
        <f t="shared" si="13"/>
        <v/>
      </c>
      <c r="M131" s="1001"/>
      <c r="N131" s="35"/>
      <c r="O131" s="35"/>
      <c r="P131" s="35"/>
      <c r="Q131" s="35"/>
      <c r="R131" s="38">
        <f>SUM(Table691213[[#This Row],[Y1 Q1 quantity]:[Y1 Q4 quantity]])</f>
        <v>0</v>
      </c>
      <c r="S131" s="1004">
        <f>Table691213[[#This Row],[Y1 Unit cost]]*Table691213[[#This Row],[Y1 Total quantity]]</f>
        <v>0</v>
      </c>
      <c r="T131" s="1001"/>
      <c r="U131" s="35"/>
      <c r="V131" s="35"/>
      <c r="W131" s="35"/>
      <c r="X131" s="35"/>
      <c r="Y131" s="38">
        <f>SUM(Table691213[[#This Row],[Y2 Q1 quantity]:[Y2 Q4 quantity]])</f>
        <v>0</v>
      </c>
      <c r="Z131" s="1004">
        <f>Table691213[[#This Row],[Y2 Unit cost]]*Table691213[[#This Row],[Y2 Total quantity]]</f>
        <v>0</v>
      </c>
      <c r="AA131" s="1001"/>
      <c r="AB131" s="35"/>
      <c r="AC131" s="35"/>
      <c r="AD131" s="35"/>
      <c r="AE131" s="35"/>
      <c r="AF131" s="38">
        <f>SUM(Table691213[[#This Row],[Y3 Q1 quantity]:[Y3 Q4 quantity]])</f>
        <v>0</v>
      </c>
      <c r="AG131" s="1004">
        <f>Table691213[[#This Row],[Y3 Unit cost]]*Table691213[[#This Row],[Y3 Total quantity]]</f>
        <v>0</v>
      </c>
      <c r="AH131" s="38">
        <f>Table691213[[#This Row],[Y1 Total quantity]]+Table691213[[#This Row],[Y2 Total quantity]]+Table691213[[#This Row],[Y3 Total quantity]]</f>
        <v>0</v>
      </c>
      <c r="AI131" s="1004">
        <f>Table691213[[#This Row],[Y1 Total cost]]+Table691213[[#This Row],[Y2 Total cost]]+Table691213[[#This Row],[Y3 Total cost]]</f>
        <v>0</v>
      </c>
      <c r="AJ131" s="1234" t="str">
        <f t="shared" si="12"/>
        <v/>
      </c>
      <c r="AK131" s="2305"/>
      <c r="AL131" s="2306"/>
    </row>
    <row r="132" spans="1:38" s="249" customFormat="1">
      <c r="A132" s="2240"/>
      <c r="B132" s="2126"/>
      <c r="C132" s="2126"/>
      <c r="D132" s="2240"/>
      <c r="E132" s="2126"/>
      <c r="F132" s="2126"/>
      <c r="G132" s="2247"/>
      <c r="H132" s="2248"/>
      <c r="I132" s="2248"/>
      <c r="J132" s="2249"/>
      <c r="K132" s="268" t="str">
        <f t="shared" si="11"/>
        <v/>
      </c>
      <c r="L132" s="261" t="str">
        <f t="shared" si="13"/>
        <v/>
      </c>
      <c r="M132" s="1002"/>
      <c r="N132" s="36"/>
      <c r="O132" s="36"/>
      <c r="P132" s="36"/>
      <c r="Q132" s="36"/>
      <c r="R132" s="39">
        <f>SUM(Table691213[[#This Row],[Y1 Q1 quantity]:[Y1 Q4 quantity]])</f>
        <v>0</v>
      </c>
      <c r="S132" s="1005">
        <f>Table691213[[#This Row],[Y1 Unit cost]]*Table691213[[#This Row],[Y1 Total quantity]]</f>
        <v>0</v>
      </c>
      <c r="T132" s="1002"/>
      <c r="U132" s="36"/>
      <c r="V132" s="36"/>
      <c r="W132" s="36"/>
      <c r="X132" s="36"/>
      <c r="Y132" s="39">
        <f>SUM(Table691213[[#This Row],[Y2 Q1 quantity]:[Y2 Q4 quantity]])</f>
        <v>0</v>
      </c>
      <c r="Z132" s="1005">
        <f>Table691213[[#This Row],[Y2 Unit cost]]*Table691213[[#This Row],[Y2 Total quantity]]</f>
        <v>0</v>
      </c>
      <c r="AA132" s="1002"/>
      <c r="AB132" s="36"/>
      <c r="AC132" s="36"/>
      <c r="AD132" s="36"/>
      <c r="AE132" s="36"/>
      <c r="AF132" s="39">
        <f>SUM(Table691213[[#This Row],[Y3 Q1 quantity]:[Y3 Q4 quantity]])</f>
        <v>0</v>
      </c>
      <c r="AG132" s="1005">
        <f>Table691213[[#This Row],[Y3 Unit cost]]*Table691213[[#This Row],[Y3 Total quantity]]</f>
        <v>0</v>
      </c>
      <c r="AH132" s="39">
        <f>Table691213[[#This Row],[Y1 Total quantity]]+Table691213[[#This Row],[Y2 Total quantity]]+Table691213[[#This Row],[Y3 Total quantity]]</f>
        <v>0</v>
      </c>
      <c r="AI132" s="1005">
        <f>Table691213[[#This Row],[Y1 Total cost]]+Table691213[[#This Row],[Y2 Total cost]]+Table691213[[#This Row],[Y3 Total cost]]</f>
        <v>0</v>
      </c>
      <c r="AJ132" s="1235" t="str">
        <f t="shared" si="12"/>
        <v/>
      </c>
      <c r="AK132" s="2303"/>
      <c r="AL132" s="2304"/>
    </row>
    <row r="133" spans="1:38" s="249" customFormat="1">
      <c r="A133" s="2169"/>
      <c r="B133" s="2106"/>
      <c r="C133" s="2106"/>
      <c r="D133" s="2169"/>
      <c r="E133" s="2106"/>
      <c r="F133" s="2106"/>
      <c r="G133" s="2250"/>
      <c r="H133" s="2251"/>
      <c r="I133" s="2251"/>
      <c r="J133" s="2252"/>
      <c r="K133" s="264" t="str">
        <f t="shared" si="11"/>
        <v/>
      </c>
      <c r="L133" s="259" t="str">
        <f t="shared" si="13"/>
        <v/>
      </c>
      <c r="M133" s="1002"/>
      <c r="N133" s="36"/>
      <c r="O133" s="36"/>
      <c r="P133" s="36"/>
      <c r="Q133" s="36"/>
      <c r="R133" s="39">
        <f>SUM(Table691213[[#This Row],[Y1 Q1 quantity]:[Y1 Q4 quantity]])</f>
        <v>0</v>
      </c>
      <c r="S133" s="1005">
        <f>Table691213[[#This Row],[Y1 Unit cost]]*Table691213[[#This Row],[Y1 Total quantity]]</f>
        <v>0</v>
      </c>
      <c r="T133" s="1002"/>
      <c r="U133" s="36"/>
      <c r="V133" s="36"/>
      <c r="W133" s="36"/>
      <c r="X133" s="36"/>
      <c r="Y133" s="39">
        <f>SUM(Table691213[[#This Row],[Y2 Q1 quantity]:[Y2 Q4 quantity]])</f>
        <v>0</v>
      </c>
      <c r="Z133" s="1005">
        <f>Table691213[[#This Row],[Y2 Unit cost]]*Table691213[[#This Row],[Y2 Total quantity]]</f>
        <v>0</v>
      </c>
      <c r="AA133" s="1002"/>
      <c r="AB133" s="36"/>
      <c r="AC133" s="36"/>
      <c r="AD133" s="36"/>
      <c r="AE133" s="36"/>
      <c r="AF133" s="39">
        <f>SUM(Table691213[[#This Row],[Y3 Q1 quantity]:[Y3 Q4 quantity]])</f>
        <v>0</v>
      </c>
      <c r="AG133" s="1005">
        <f>Table691213[[#This Row],[Y3 Unit cost]]*Table691213[[#This Row],[Y3 Total quantity]]</f>
        <v>0</v>
      </c>
      <c r="AH133" s="39">
        <f>Table691213[[#This Row],[Y1 Total quantity]]+Table691213[[#This Row],[Y2 Total quantity]]+Table691213[[#This Row],[Y3 Total quantity]]</f>
        <v>0</v>
      </c>
      <c r="AI133" s="1005">
        <f>Table691213[[#This Row],[Y1 Total cost]]+Table691213[[#This Row],[Y2 Total cost]]+Table691213[[#This Row],[Y3 Total cost]]</f>
        <v>0</v>
      </c>
      <c r="AJ133" s="1234" t="str">
        <f t="shared" si="12"/>
        <v/>
      </c>
      <c r="AK133" s="2305"/>
      <c r="AL133" s="2306"/>
    </row>
    <row r="134" spans="1:38" s="249" customFormat="1">
      <c r="A134" s="2240"/>
      <c r="B134" s="2126"/>
      <c r="C134" s="2126"/>
      <c r="D134" s="2240"/>
      <c r="E134" s="2126"/>
      <c r="F134" s="2126"/>
      <c r="G134" s="2247"/>
      <c r="H134" s="2248"/>
      <c r="I134" s="2248"/>
      <c r="J134" s="2249"/>
      <c r="K134" s="268" t="str">
        <f t="shared" si="11"/>
        <v/>
      </c>
      <c r="L134" s="261" t="str">
        <f t="shared" si="13"/>
        <v/>
      </c>
      <c r="M134" s="1002"/>
      <c r="N134" s="36"/>
      <c r="O134" s="36"/>
      <c r="P134" s="36"/>
      <c r="Q134" s="36"/>
      <c r="R134" s="39">
        <f>SUM(Table691213[[#This Row],[Y1 Q1 quantity]:[Y1 Q4 quantity]])</f>
        <v>0</v>
      </c>
      <c r="S134" s="1005">
        <f>Table691213[[#This Row],[Y1 Unit cost]]*Table691213[[#This Row],[Y1 Total quantity]]</f>
        <v>0</v>
      </c>
      <c r="T134" s="1002"/>
      <c r="U134" s="36"/>
      <c r="V134" s="36"/>
      <c r="W134" s="36"/>
      <c r="X134" s="36"/>
      <c r="Y134" s="39">
        <f>SUM(Table691213[[#This Row],[Y2 Q1 quantity]:[Y2 Q4 quantity]])</f>
        <v>0</v>
      </c>
      <c r="Z134" s="1005">
        <f>Table691213[[#This Row],[Y2 Unit cost]]*Table691213[[#This Row],[Y2 Total quantity]]</f>
        <v>0</v>
      </c>
      <c r="AA134" s="1002"/>
      <c r="AB134" s="36"/>
      <c r="AC134" s="36"/>
      <c r="AD134" s="36"/>
      <c r="AE134" s="36"/>
      <c r="AF134" s="39">
        <f>SUM(Table691213[[#This Row],[Y3 Q1 quantity]:[Y3 Q4 quantity]])</f>
        <v>0</v>
      </c>
      <c r="AG134" s="1005">
        <f>Table691213[[#This Row],[Y3 Unit cost]]*Table691213[[#This Row],[Y3 Total quantity]]</f>
        <v>0</v>
      </c>
      <c r="AH134" s="39">
        <f>Table691213[[#This Row],[Y1 Total quantity]]+Table691213[[#This Row],[Y2 Total quantity]]+Table691213[[#This Row],[Y3 Total quantity]]</f>
        <v>0</v>
      </c>
      <c r="AI134" s="1005">
        <f>Table691213[[#This Row],[Y1 Total cost]]+Table691213[[#This Row],[Y2 Total cost]]+Table691213[[#This Row],[Y3 Total cost]]</f>
        <v>0</v>
      </c>
      <c r="AJ134" s="1235" t="str">
        <f t="shared" si="12"/>
        <v/>
      </c>
      <c r="AK134" s="2303"/>
      <c r="AL134" s="2304"/>
    </row>
    <row r="135" spans="1:38" s="249" customFormat="1">
      <c r="A135" s="2169"/>
      <c r="B135" s="2106"/>
      <c r="C135" s="2106"/>
      <c r="D135" s="2169"/>
      <c r="E135" s="2106"/>
      <c r="F135" s="2106"/>
      <c r="G135" s="2250"/>
      <c r="H135" s="2251"/>
      <c r="I135" s="2251"/>
      <c r="J135" s="2252"/>
      <c r="K135" s="264" t="str">
        <f t="shared" si="11"/>
        <v/>
      </c>
      <c r="L135" s="259" t="str">
        <f t="shared" si="13"/>
        <v/>
      </c>
      <c r="M135" s="1002"/>
      <c r="N135" s="36"/>
      <c r="O135" s="36"/>
      <c r="P135" s="36"/>
      <c r="Q135" s="36"/>
      <c r="R135" s="39">
        <f>SUM(Table691213[[#This Row],[Y1 Q1 quantity]:[Y1 Q4 quantity]])</f>
        <v>0</v>
      </c>
      <c r="S135" s="1005">
        <f>Table691213[[#This Row],[Y1 Unit cost]]*Table691213[[#This Row],[Y1 Total quantity]]</f>
        <v>0</v>
      </c>
      <c r="T135" s="1002"/>
      <c r="U135" s="36"/>
      <c r="V135" s="36"/>
      <c r="W135" s="36"/>
      <c r="X135" s="36"/>
      <c r="Y135" s="39">
        <f>SUM(Table691213[[#This Row],[Y2 Q1 quantity]:[Y2 Q4 quantity]])</f>
        <v>0</v>
      </c>
      <c r="Z135" s="1005">
        <f>Table691213[[#This Row],[Y2 Unit cost]]*Table691213[[#This Row],[Y2 Total quantity]]</f>
        <v>0</v>
      </c>
      <c r="AA135" s="1002"/>
      <c r="AB135" s="36"/>
      <c r="AC135" s="36"/>
      <c r="AD135" s="36"/>
      <c r="AE135" s="36"/>
      <c r="AF135" s="39">
        <f>SUM(Table691213[[#This Row],[Y3 Q1 quantity]:[Y3 Q4 quantity]])</f>
        <v>0</v>
      </c>
      <c r="AG135" s="1005">
        <f>Table691213[[#This Row],[Y3 Unit cost]]*Table691213[[#This Row],[Y3 Total quantity]]</f>
        <v>0</v>
      </c>
      <c r="AH135" s="39">
        <f>Table691213[[#This Row],[Y1 Total quantity]]+Table691213[[#This Row],[Y2 Total quantity]]+Table691213[[#This Row],[Y3 Total quantity]]</f>
        <v>0</v>
      </c>
      <c r="AI135" s="1005">
        <f>Table691213[[#This Row],[Y1 Total cost]]+Table691213[[#This Row],[Y2 Total cost]]+Table691213[[#This Row],[Y3 Total cost]]</f>
        <v>0</v>
      </c>
      <c r="AJ135" s="1234" t="str">
        <f t="shared" si="12"/>
        <v/>
      </c>
      <c r="AK135" s="2305"/>
      <c r="AL135" s="2306"/>
    </row>
    <row r="136" spans="1:38" s="249" customFormat="1">
      <c r="A136" s="2240"/>
      <c r="B136" s="2126"/>
      <c r="C136" s="2126"/>
      <c r="D136" s="2240"/>
      <c r="E136" s="2126"/>
      <c r="F136" s="2126"/>
      <c r="G136" s="2247"/>
      <c r="H136" s="2248"/>
      <c r="I136" s="2248"/>
      <c r="J136" s="2249"/>
      <c r="K136" s="268" t="str">
        <f t="shared" si="11"/>
        <v/>
      </c>
      <c r="L136" s="261" t="str">
        <f t="shared" si="13"/>
        <v/>
      </c>
      <c r="M136" s="1002"/>
      <c r="N136" s="36"/>
      <c r="O136" s="36"/>
      <c r="P136" s="36"/>
      <c r="Q136" s="36"/>
      <c r="R136" s="39">
        <f>SUM(Table691213[[#This Row],[Y1 Q1 quantity]:[Y1 Q4 quantity]])</f>
        <v>0</v>
      </c>
      <c r="S136" s="1005">
        <f>Table691213[[#This Row],[Y1 Unit cost]]*Table691213[[#This Row],[Y1 Total quantity]]</f>
        <v>0</v>
      </c>
      <c r="T136" s="1002"/>
      <c r="U136" s="36"/>
      <c r="V136" s="36"/>
      <c r="W136" s="36"/>
      <c r="X136" s="36"/>
      <c r="Y136" s="39">
        <f>SUM(Table691213[[#This Row],[Y2 Q1 quantity]:[Y2 Q4 quantity]])</f>
        <v>0</v>
      </c>
      <c r="Z136" s="1005">
        <f>Table691213[[#This Row],[Y2 Unit cost]]*Table691213[[#This Row],[Y2 Total quantity]]</f>
        <v>0</v>
      </c>
      <c r="AA136" s="1002"/>
      <c r="AB136" s="36"/>
      <c r="AC136" s="36"/>
      <c r="AD136" s="36"/>
      <c r="AE136" s="36"/>
      <c r="AF136" s="39">
        <f>SUM(Table691213[[#This Row],[Y3 Q1 quantity]:[Y3 Q4 quantity]])</f>
        <v>0</v>
      </c>
      <c r="AG136" s="1005">
        <f>Table691213[[#This Row],[Y3 Unit cost]]*Table691213[[#This Row],[Y3 Total quantity]]</f>
        <v>0</v>
      </c>
      <c r="AH136" s="39">
        <f>Table691213[[#This Row],[Y1 Total quantity]]+Table691213[[#This Row],[Y2 Total quantity]]+Table691213[[#This Row],[Y3 Total quantity]]</f>
        <v>0</v>
      </c>
      <c r="AI136" s="1005">
        <f>Table691213[[#This Row],[Y1 Total cost]]+Table691213[[#This Row],[Y2 Total cost]]+Table691213[[#This Row],[Y3 Total cost]]</f>
        <v>0</v>
      </c>
      <c r="AJ136" s="1235" t="str">
        <f t="shared" si="12"/>
        <v/>
      </c>
      <c r="AK136" s="2303"/>
      <c r="AL136" s="2304"/>
    </row>
    <row r="137" spans="1:38" s="249" customFormat="1">
      <c r="A137" s="2169"/>
      <c r="B137" s="2106"/>
      <c r="C137" s="2106"/>
      <c r="D137" s="2169"/>
      <c r="E137" s="2106"/>
      <c r="F137" s="2106"/>
      <c r="G137" s="2250"/>
      <c r="H137" s="2251"/>
      <c r="I137" s="2251"/>
      <c r="J137" s="2252"/>
      <c r="K137" s="264" t="str">
        <f t="shared" si="11"/>
        <v/>
      </c>
      <c r="L137" s="259" t="str">
        <f t="shared" si="13"/>
        <v/>
      </c>
      <c r="M137" s="1002"/>
      <c r="N137" s="36"/>
      <c r="O137" s="36"/>
      <c r="P137" s="36"/>
      <c r="Q137" s="36"/>
      <c r="R137" s="39">
        <f>SUM(Table691213[[#This Row],[Y1 Q1 quantity]:[Y1 Q4 quantity]])</f>
        <v>0</v>
      </c>
      <c r="S137" s="1005">
        <f>Table691213[[#This Row],[Y1 Unit cost]]*Table691213[[#This Row],[Y1 Total quantity]]</f>
        <v>0</v>
      </c>
      <c r="T137" s="1002"/>
      <c r="U137" s="36"/>
      <c r="V137" s="36"/>
      <c r="W137" s="36"/>
      <c r="X137" s="36"/>
      <c r="Y137" s="39">
        <f>SUM(Table691213[[#This Row],[Y2 Q1 quantity]:[Y2 Q4 quantity]])</f>
        <v>0</v>
      </c>
      <c r="Z137" s="1005">
        <f>Table691213[[#This Row],[Y2 Unit cost]]*Table691213[[#This Row],[Y2 Total quantity]]</f>
        <v>0</v>
      </c>
      <c r="AA137" s="1002"/>
      <c r="AB137" s="36"/>
      <c r="AC137" s="36"/>
      <c r="AD137" s="36"/>
      <c r="AE137" s="36"/>
      <c r="AF137" s="39">
        <f>SUM(Table691213[[#This Row],[Y3 Q1 quantity]:[Y3 Q4 quantity]])</f>
        <v>0</v>
      </c>
      <c r="AG137" s="1005">
        <f>Table691213[[#This Row],[Y3 Unit cost]]*Table691213[[#This Row],[Y3 Total quantity]]</f>
        <v>0</v>
      </c>
      <c r="AH137" s="39">
        <f>Table691213[[#This Row],[Y1 Total quantity]]+Table691213[[#This Row],[Y2 Total quantity]]+Table691213[[#This Row],[Y3 Total quantity]]</f>
        <v>0</v>
      </c>
      <c r="AI137" s="1005">
        <f>Table691213[[#This Row],[Y1 Total cost]]+Table691213[[#This Row],[Y2 Total cost]]+Table691213[[#This Row],[Y3 Total cost]]</f>
        <v>0</v>
      </c>
      <c r="AJ137" s="1234" t="str">
        <f t="shared" si="12"/>
        <v/>
      </c>
      <c r="AK137" s="2305"/>
      <c r="AL137" s="2306"/>
    </row>
    <row r="138" spans="1:38" s="249" customFormat="1">
      <c r="A138" s="2240"/>
      <c r="B138" s="2126"/>
      <c r="C138" s="2126"/>
      <c r="D138" s="2240"/>
      <c r="E138" s="2126"/>
      <c r="F138" s="2126"/>
      <c r="G138" s="2247"/>
      <c r="H138" s="2248"/>
      <c r="I138" s="2248"/>
      <c r="J138" s="2249"/>
      <c r="K138" s="268" t="str">
        <f t="shared" si="11"/>
        <v/>
      </c>
      <c r="L138" s="261" t="str">
        <f t="shared" si="13"/>
        <v/>
      </c>
      <c r="M138" s="1002"/>
      <c r="N138" s="36"/>
      <c r="O138" s="36"/>
      <c r="P138" s="36"/>
      <c r="Q138" s="36"/>
      <c r="R138" s="39">
        <f>SUM(Table691213[[#This Row],[Y1 Q1 quantity]:[Y1 Q4 quantity]])</f>
        <v>0</v>
      </c>
      <c r="S138" s="1005">
        <f>Table691213[[#This Row],[Y1 Unit cost]]*Table691213[[#This Row],[Y1 Total quantity]]</f>
        <v>0</v>
      </c>
      <c r="T138" s="1002"/>
      <c r="U138" s="36"/>
      <c r="V138" s="36"/>
      <c r="W138" s="36"/>
      <c r="X138" s="36"/>
      <c r="Y138" s="39">
        <f>SUM(Table691213[[#This Row],[Y2 Q1 quantity]:[Y2 Q4 quantity]])</f>
        <v>0</v>
      </c>
      <c r="Z138" s="1005">
        <f>Table691213[[#This Row],[Y2 Unit cost]]*Table691213[[#This Row],[Y2 Total quantity]]</f>
        <v>0</v>
      </c>
      <c r="AA138" s="1002"/>
      <c r="AB138" s="36"/>
      <c r="AC138" s="36"/>
      <c r="AD138" s="36"/>
      <c r="AE138" s="36"/>
      <c r="AF138" s="39">
        <f>SUM(Table691213[[#This Row],[Y3 Q1 quantity]:[Y3 Q4 quantity]])</f>
        <v>0</v>
      </c>
      <c r="AG138" s="1005">
        <f>Table691213[[#This Row],[Y3 Unit cost]]*Table691213[[#This Row],[Y3 Total quantity]]</f>
        <v>0</v>
      </c>
      <c r="AH138" s="39">
        <f>Table691213[[#This Row],[Y1 Total quantity]]+Table691213[[#This Row],[Y2 Total quantity]]+Table691213[[#This Row],[Y3 Total quantity]]</f>
        <v>0</v>
      </c>
      <c r="AI138" s="1005">
        <f>Table691213[[#This Row],[Y1 Total cost]]+Table691213[[#This Row],[Y2 Total cost]]+Table691213[[#This Row],[Y3 Total cost]]</f>
        <v>0</v>
      </c>
      <c r="AJ138" s="1235" t="str">
        <f t="shared" si="12"/>
        <v/>
      </c>
      <c r="AK138" s="2303"/>
      <c r="AL138" s="2304"/>
    </row>
    <row r="139" spans="1:38" s="249" customFormat="1">
      <c r="A139" s="2169"/>
      <c r="B139" s="2106"/>
      <c r="C139" s="2106"/>
      <c r="D139" s="2169"/>
      <c r="E139" s="2106"/>
      <c r="F139" s="2106"/>
      <c r="G139" s="2250"/>
      <c r="H139" s="2251"/>
      <c r="I139" s="2251"/>
      <c r="J139" s="2252"/>
      <c r="K139" s="264" t="str">
        <f t="shared" si="11"/>
        <v/>
      </c>
      <c r="L139" s="259" t="str">
        <f t="shared" si="13"/>
        <v/>
      </c>
      <c r="M139" s="1002"/>
      <c r="N139" s="36"/>
      <c r="O139" s="36"/>
      <c r="P139" s="36"/>
      <c r="Q139" s="36"/>
      <c r="R139" s="39">
        <f>SUM(Table691213[[#This Row],[Y1 Q1 quantity]:[Y1 Q4 quantity]])</f>
        <v>0</v>
      </c>
      <c r="S139" s="1005">
        <f>Table691213[[#This Row],[Y1 Unit cost]]*Table691213[[#This Row],[Y1 Total quantity]]</f>
        <v>0</v>
      </c>
      <c r="T139" s="1002"/>
      <c r="U139" s="36"/>
      <c r="V139" s="36"/>
      <c r="W139" s="36"/>
      <c r="X139" s="36"/>
      <c r="Y139" s="39">
        <f>SUM(Table691213[[#This Row],[Y2 Q1 quantity]:[Y2 Q4 quantity]])</f>
        <v>0</v>
      </c>
      <c r="Z139" s="1005">
        <f>Table691213[[#This Row],[Y2 Unit cost]]*Table691213[[#This Row],[Y2 Total quantity]]</f>
        <v>0</v>
      </c>
      <c r="AA139" s="1002"/>
      <c r="AB139" s="36"/>
      <c r="AC139" s="36"/>
      <c r="AD139" s="36"/>
      <c r="AE139" s="36"/>
      <c r="AF139" s="39">
        <f>SUM(Table691213[[#This Row],[Y3 Q1 quantity]:[Y3 Q4 quantity]])</f>
        <v>0</v>
      </c>
      <c r="AG139" s="1005">
        <f>Table691213[[#This Row],[Y3 Unit cost]]*Table691213[[#This Row],[Y3 Total quantity]]</f>
        <v>0</v>
      </c>
      <c r="AH139" s="39">
        <f>Table691213[[#This Row],[Y1 Total quantity]]+Table691213[[#This Row],[Y2 Total quantity]]+Table691213[[#This Row],[Y3 Total quantity]]</f>
        <v>0</v>
      </c>
      <c r="AI139" s="1005">
        <f>Table691213[[#This Row],[Y1 Total cost]]+Table691213[[#This Row],[Y2 Total cost]]+Table691213[[#This Row],[Y3 Total cost]]</f>
        <v>0</v>
      </c>
      <c r="AJ139" s="1234" t="str">
        <f t="shared" si="12"/>
        <v/>
      </c>
      <c r="AK139" s="2305"/>
      <c r="AL139" s="2306"/>
    </row>
    <row r="140" spans="1:38" s="249" customFormat="1">
      <c r="A140" s="2240"/>
      <c r="B140" s="2126"/>
      <c r="C140" s="2126"/>
      <c r="D140" s="2240"/>
      <c r="E140" s="2126"/>
      <c r="F140" s="2126"/>
      <c r="G140" s="2247"/>
      <c r="H140" s="2248"/>
      <c r="I140" s="2248"/>
      <c r="J140" s="2249"/>
      <c r="K140" s="268" t="str">
        <f t="shared" si="11"/>
        <v/>
      </c>
      <c r="L140" s="261" t="str">
        <f t="shared" si="13"/>
        <v/>
      </c>
      <c r="M140" s="1002"/>
      <c r="N140" s="36"/>
      <c r="O140" s="36"/>
      <c r="P140" s="36"/>
      <c r="Q140" s="36"/>
      <c r="R140" s="39">
        <f>SUM(Table691213[[#This Row],[Y1 Q1 quantity]:[Y1 Q4 quantity]])</f>
        <v>0</v>
      </c>
      <c r="S140" s="1005">
        <f>Table691213[[#This Row],[Y1 Unit cost]]*Table691213[[#This Row],[Y1 Total quantity]]</f>
        <v>0</v>
      </c>
      <c r="T140" s="1002"/>
      <c r="U140" s="36"/>
      <c r="V140" s="36"/>
      <c r="W140" s="36"/>
      <c r="X140" s="36"/>
      <c r="Y140" s="39">
        <f>SUM(Table691213[[#This Row],[Y2 Q1 quantity]:[Y2 Q4 quantity]])</f>
        <v>0</v>
      </c>
      <c r="Z140" s="1005">
        <f>Table691213[[#This Row],[Y2 Unit cost]]*Table691213[[#This Row],[Y2 Total quantity]]</f>
        <v>0</v>
      </c>
      <c r="AA140" s="1002"/>
      <c r="AB140" s="36"/>
      <c r="AC140" s="36"/>
      <c r="AD140" s="36"/>
      <c r="AE140" s="36"/>
      <c r="AF140" s="39">
        <f>SUM(Table691213[[#This Row],[Y3 Q1 quantity]:[Y3 Q4 quantity]])</f>
        <v>0</v>
      </c>
      <c r="AG140" s="1005">
        <f>Table691213[[#This Row],[Y3 Unit cost]]*Table691213[[#This Row],[Y3 Total quantity]]</f>
        <v>0</v>
      </c>
      <c r="AH140" s="39">
        <f>Table691213[[#This Row],[Y1 Total quantity]]+Table691213[[#This Row],[Y2 Total quantity]]+Table691213[[#This Row],[Y3 Total quantity]]</f>
        <v>0</v>
      </c>
      <c r="AI140" s="1005">
        <f>Table691213[[#This Row],[Y1 Total cost]]+Table691213[[#This Row],[Y2 Total cost]]+Table691213[[#This Row],[Y3 Total cost]]</f>
        <v>0</v>
      </c>
      <c r="AJ140" s="1235" t="str">
        <f t="shared" si="12"/>
        <v/>
      </c>
      <c r="AK140" s="2303"/>
      <c r="AL140" s="2304"/>
    </row>
    <row r="141" spans="1:38" s="249" customFormat="1">
      <c r="A141" s="2169"/>
      <c r="B141" s="2106"/>
      <c r="C141" s="2106"/>
      <c r="D141" s="2169"/>
      <c r="E141" s="2106"/>
      <c r="F141" s="2106"/>
      <c r="G141" s="2250"/>
      <c r="H141" s="2251"/>
      <c r="I141" s="2251"/>
      <c r="J141" s="2252"/>
      <c r="K141" s="264" t="str">
        <f t="shared" si="11"/>
        <v/>
      </c>
      <c r="L141" s="259" t="str">
        <f t="shared" si="13"/>
        <v/>
      </c>
      <c r="M141" s="1002"/>
      <c r="N141" s="36"/>
      <c r="O141" s="36"/>
      <c r="P141" s="36"/>
      <c r="Q141" s="36"/>
      <c r="R141" s="39">
        <f>SUM(Table691213[[#This Row],[Y1 Q1 quantity]:[Y1 Q4 quantity]])</f>
        <v>0</v>
      </c>
      <c r="S141" s="1005">
        <f>Table691213[[#This Row],[Y1 Unit cost]]*Table691213[[#This Row],[Y1 Total quantity]]</f>
        <v>0</v>
      </c>
      <c r="T141" s="1002"/>
      <c r="U141" s="36"/>
      <c r="V141" s="36"/>
      <c r="W141" s="36"/>
      <c r="X141" s="36"/>
      <c r="Y141" s="39">
        <f>SUM(Table691213[[#This Row],[Y2 Q1 quantity]:[Y2 Q4 quantity]])</f>
        <v>0</v>
      </c>
      <c r="Z141" s="1005">
        <f>Table691213[[#This Row],[Y2 Unit cost]]*Table691213[[#This Row],[Y2 Total quantity]]</f>
        <v>0</v>
      </c>
      <c r="AA141" s="1002"/>
      <c r="AB141" s="36"/>
      <c r="AC141" s="36"/>
      <c r="AD141" s="36"/>
      <c r="AE141" s="36"/>
      <c r="AF141" s="39">
        <f>SUM(Table691213[[#This Row],[Y3 Q1 quantity]:[Y3 Q4 quantity]])</f>
        <v>0</v>
      </c>
      <c r="AG141" s="1005">
        <f>Table691213[[#This Row],[Y3 Unit cost]]*Table691213[[#This Row],[Y3 Total quantity]]</f>
        <v>0</v>
      </c>
      <c r="AH141" s="39">
        <f>Table691213[[#This Row],[Y1 Total quantity]]+Table691213[[#This Row],[Y2 Total quantity]]+Table691213[[#This Row],[Y3 Total quantity]]</f>
        <v>0</v>
      </c>
      <c r="AI141" s="1005">
        <f>Table691213[[#This Row],[Y1 Total cost]]+Table691213[[#This Row],[Y2 Total cost]]+Table691213[[#This Row],[Y3 Total cost]]</f>
        <v>0</v>
      </c>
      <c r="AJ141" s="1234" t="str">
        <f t="shared" si="12"/>
        <v/>
      </c>
      <c r="AK141" s="2305"/>
      <c r="AL141" s="2306"/>
    </row>
    <row r="142" spans="1:38" s="249" customFormat="1">
      <c r="A142" s="2240"/>
      <c r="B142" s="2126"/>
      <c r="C142" s="2126"/>
      <c r="D142" s="2240"/>
      <c r="E142" s="2126"/>
      <c r="F142" s="2126"/>
      <c r="G142" s="2247"/>
      <c r="H142" s="2248"/>
      <c r="I142" s="2248"/>
      <c r="J142" s="2249"/>
      <c r="K142" s="268" t="str">
        <f t="shared" si="11"/>
        <v/>
      </c>
      <c r="L142" s="261" t="str">
        <f t="shared" si="13"/>
        <v/>
      </c>
      <c r="M142" s="1002"/>
      <c r="N142" s="36"/>
      <c r="O142" s="36"/>
      <c r="P142" s="36"/>
      <c r="Q142" s="36"/>
      <c r="R142" s="39">
        <f>SUM(Table691213[[#This Row],[Y1 Q1 quantity]:[Y1 Q4 quantity]])</f>
        <v>0</v>
      </c>
      <c r="S142" s="1005">
        <f>Table691213[[#This Row],[Y1 Unit cost]]*Table691213[[#This Row],[Y1 Total quantity]]</f>
        <v>0</v>
      </c>
      <c r="T142" s="1002"/>
      <c r="U142" s="36"/>
      <c r="V142" s="36"/>
      <c r="W142" s="36"/>
      <c r="X142" s="36"/>
      <c r="Y142" s="39">
        <f>SUM(Table691213[[#This Row],[Y2 Q1 quantity]:[Y2 Q4 quantity]])</f>
        <v>0</v>
      </c>
      <c r="Z142" s="1005">
        <f>Table691213[[#This Row],[Y2 Unit cost]]*Table691213[[#This Row],[Y2 Total quantity]]</f>
        <v>0</v>
      </c>
      <c r="AA142" s="1002"/>
      <c r="AB142" s="36"/>
      <c r="AC142" s="36"/>
      <c r="AD142" s="36"/>
      <c r="AE142" s="36"/>
      <c r="AF142" s="39">
        <f>SUM(Table691213[[#This Row],[Y3 Q1 quantity]:[Y3 Q4 quantity]])</f>
        <v>0</v>
      </c>
      <c r="AG142" s="1005">
        <f>Table691213[[#This Row],[Y3 Unit cost]]*Table691213[[#This Row],[Y3 Total quantity]]</f>
        <v>0</v>
      </c>
      <c r="AH142" s="39">
        <f>Table691213[[#This Row],[Y1 Total quantity]]+Table691213[[#This Row],[Y2 Total quantity]]+Table691213[[#This Row],[Y3 Total quantity]]</f>
        <v>0</v>
      </c>
      <c r="AI142" s="1005">
        <f>Table691213[[#This Row],[Y1 Total cost]]+Table691213[[#This Row],[Y2 Total cost]]+Table691213[[#This Row],[Y3 Total cost]]</f>
        <v>0</v>
      </c>
      <c r="AJ142" s="1235" t="str">
        <f t="shared" si="12"/>
        <v/>
      </c>
      <c r="AK142" s="2303"/>
      <c r="AL142" s="2304"/>
    </row>
    <row r="143" spans="1:38" s="249" customFormat="1">
      <c r="A143" s="2169"/>
      <c r="B143" s="2106"/>
      <c r="C143" s="2106"/>
      <c r="D143" s="2169"/>
      <c r="E143" s="2106"/>
      <c r="F143" s="2106"/>
      <c r="G143" s="2250"/>
      <c r="H143" s="2251"/>
      <c r="I143" s="2251"/>
      <c r="J143" s="2252"/>
      <c r="K143" s="264" t="str">
        <f t="shared" si="11"/>
        <v/>
      </c>
      <c r="L143" s="259" t="str">
        <f t="shared" si="13"/>
        <v/>
      </c>
      <c r="M143" s="1002"/>
      <c r="N143" s="36"/>
      <c r="O143" s="36"/>
      <c r="P143" s="36"/>
      <c r="Q143" s="36"/>
      <c r="R143" s="39">
        <f>SUM(Table691213[[#This Row],[Y1 Q1 quantity]:[Y1 Q4 quantity]])</f>
        <v>0</v>
      </c>
      <c r="S143" s="1005">
        <f>Table691213[[#This Row],[Y1 Unit cost]]*Table691213[[#This Row],[Y1 Total quantity]]</f>
        <v>0</v>
      </c>
      <c r="T143" s="1002"/>
      <c r="U143" s="36"/>
      <c r="V143" s="36"/>
      <c r="W143" s="36"/>
      <c r="X143" s="36"/>
      <c r="Y143" s="39">
        <f>SUM(Table691213[[#This Row],[Y2 Q1 quantity]:[Y2 Q4 quantity]])</f>
        <v>0</v>
      </c>
      <c r="Z143" s="1005">
        <f>Table691213[[#This Row],[Y2 Unit cost]]*Table691213[[#This Row],[Y2 Total quantity]]</f>
        <v>0</v>
      </c>
      <c r="AA143" s="1002"/>
      <c r="AB143" s="36"/>
      <c r="AC143" s="36"/>
      <c r="AD143" s="36"/>
      <c r="AE143" s="36"/>
      <c r="AF143" s="39">
        <f>SUM(Table691213[[#This Row],[Y3 Q1 quantity]:[Y3 Q4 quantity]])</f>
        <v>0</v>
      </c>
      <c r="AG143" s="1005">
        <f>Table691213[[#This Row],[Y3 Unit cost]]*Table691213[[#This Row],[Y3 Total quantity]]</f>
        <v>0</v>
      </c>
      <c r="AH143" s="39">
        <f>Table691213[[#This Row],[Y1 Total quantity]]+Table691213[[#This Row],[Y2 Total quantity]]+Table691213[[#This Row],[Y3 Total quantity]]</f>
        <v>0</v>
      </c>
      <c r="AI143" s="1005">
        <f>Table691213[[#This Row],[Y1 Total cost]]+Table691213[[#This Row],[Y2 Total cost]]+Table691213[[#This Row],[Y3 Total cost]]</f>
        <v>0</v>
      </c>
      <c r="AJ143" s="1234" t="str">
        <f t="shared" si="12"/>
        <v/>
      </c>
      <c r="AK143" s="2305"/>
      <c r="AL143" s="2306"/>
    </row>
    <row r="144" spans="1:38" s="249" customFormat="1">
      <c r="A144" s="2240"/>
      <c r="B144" s="2126"/>
      <c r="C144" s="2126"/>
      <c r="D144" s="2240"/>
      <c r="E144" s="2126"/>
      <c r="F144" s="2126"/>
      <c r="G144" s="2247"/>
      <c r="H144" s="2248"/>
      <c r="I144" s="2248"/>
      <c r="J144" s="2249"/>
      <c r="K144" s="268" t="str">
        <f t="shared" si="11"/>
        <v/>
      </c>
      <c r="L144" s="261" t="str">
        <f t="shared" si="13"/>
        <v/>
      </c>
      <c r="M144" s="1002"/>
      <c r="N144" s="36"/>
      <c r="O144" s="36"/>
      <c r="P144" s="36"/>
      <c r="Q144" s="36"/>
      <c r="R144" s="39">
        <f>SUM(Table691213[[#This Row],[Y1 Q1 quantity]:[Y1 Q4 quantity]])</f>
        <v>0</v>
      </c>
      <c r="S144" s="1005">
        <f>Table691213[[#This Row],[Y1 Unit cost]]*Table691213[[#This Row],[Y1 Total quantity]]</f>
        <v>0</v>
      </c>
      <c r="T144" s="1002"/>
      <c r="U144" s="36"/>
      <c r="V144" s="36"/>
      <c r="W144" s="36"/>
      <c r="X144" s="36"/>
      <c r="Y144" s="39">
        <f>SUM(Table691213[[#This Row],[Y2 Q1 quantity]:[Y2 Q4 quantity]])</f>
        <v>0</v>
      </c>
      <c r="Z144" s="1005">
        <f>Table691213[[#This Row],[Y2 Unit cost]]*Table691213[[#This Row],[Y2 Total quantity]]</f>
        <v>0</v>
      </c>
      <c r="AA144" s="1002"/>
      <c r="AB144" s="36"/>
      <c r="AC144" s="36"/>
      <c r="AD144" s="36"/>
      <c r="AE144" s="36"/>
      <c r="AF144" s="39">
        <f>SUM(Table691213[[#This Row],[Y3 Q1 quantity]:[Y3 Q4 quantity]])</f>
        <v>0</v>
      </c>
      <c r="AG144" s="1005">
        <f>Table691213[[#This Row],[Y3 Unit cost]]*Table691213[[#This Row],[Y3 Total quantity]]</f>
        <v>0</v>
      </c>
      <c r="AH144" s="39">
        <f>Table691213[[#This Row],[Y1 Total quantity]]+Table691213[[#This Row],[Y2 Total quantity]]+Table691213[[#This Row],[Y3 Total quantity]]</f>
        <v>0</v>
      </c>
      <c r="AI144" s="1005">
        <f>Table691213[[#This Row],[Y1 Total cost]]+Table691213[[#This Row],[Y2 Total cost]]+Table691213[[#This Row],[Y3 Total cost]]</f>
        <v>0</v>
      </c>
      <c r="AJ144" s="1235" t="str">
        <f t="shared" si="12"/>
        <v/>
      </c>
      <c r="AK144" s="2303"/>
      <c r="AL144" s="2304"/>
    </row>
    <row r="145" spans="1:38" s="249" customFormat="1">
      <c r="A145" s="2169"/>
      <c r="B145" s="2106"/>
      <c r="C145" s="2106"/>
      <c r="D145" s="2169"/>
      <c r="E145" s="2106"/>
      <c r="F145" s="2106"/>
      <c r="G145" s="2250"/>
      <c r="H145" s="2251"/>
      <c r="I145" s="2251"/>
      <c r="J145" s="2252"/>
      <c r="K145" s="264" t="str">
        <f t="shared" si="11"/>
        <v/>
      </c>
      <c r="L145" s="259" t="str">
        <f t="shared" si="13"/>
        <v/>
      </c>
      <c r="M145" s="1002"/>
      <c r="N145" s="36"/>
      <c r="O145" s="36"/>
      <c r="P145" s="36"/>
      <c r="Q145" s="36"/>
      <c r="R145" s="39">
        <f>SUM(Table691213[[#This Row],[Y1 Q1 quantity]:[Y1 Q4 quantity]])</f>
        <v>0</v>
      </c>
      <c r="S145" s="1005">
        <f>Table691213[[#This Row],[Y1 Unit cost]]*Table691213[[#This Row],[Y1 Total quantity]]</f>
        <v>0</v>
      </c>
      <c r="T145" s="1002"/>
      <c r="U145" s="36"/>
      <c r="V145" s="36"/>
      <c r="W145" s="36"/>
      <c r="X145" s="36"/>
      <c r="Y145" s="39">
        <f>SUM(Table691213[[#This Row],[Y2 Q1 quantity]:[Y2 Q4 quantity]])</f>
        <v>0</v>
      </c>
      <c r="Z145" s="1005">
        <f>Table691213[[#This Row],[Y2 Unit cost]]*Table691213[[#This Row],[Y2 Total quantity]]</f>
        <v>0</v>
      </c>
      <c r="AA145" s="1002"/>
      <c r="AB145" s="36"/>
      <c r="AC145" s="36"/>
      <c r="AD145" s="36"/>
      <c r="AE145" s="36"/>
      <c r="AF145" s="39">
        <f>SUM(Table691213[[#This Row],[Y3 Q1 quantity]:[Y3 Q4 quantity]])</f>
        <v>0</v>
      </c>
      <c r="AG145" s="1005">
        <f>Table691213[[#This Row],[Y3 Unit cost]]*Table691213[[#This Row],[Y3 Total quantity]]</f>
        <v>0</v>
      </c>
      <c r="AH145" s="39">
        <f>Table691213[[#This Row],[Y1 Total quantity]]+Table691213[[#This Row],[Y2 Total quantity]]+Table691213[[#This Row],[Y3 Total quantity]]</f>
        <v>0</v>
      </c>
      <c r="AI145" s="1005">
        <f>Table691213[[#This Row],[Y1 Total cost]]+Table691213[[#This Row],[Y2 Total cost]]+Table691213[[#This Row],[Y3 Total cost]]</f>
        <v>0</v>
      </c>
      <c r="AJ145" s="1234" t="str">
        <f t="shared" si="12"/>
        <v/>
      </c>
      <c r="AK145" s="2305"/>
      <c r="AL145" s="2306"/>
    </row>
    <row r="146" spans="1:38" s="249" customFormat="1">
      <c r="A146" s="2240"/>
      <c r="B146" s="2126"/>
      <c r="C146" s="2126"/>
      <c r="D146" s="2240"/>
      <c r="E146" s="2126"/>
      <c r="F146" s="2126"/>
      <c r="G146" s="2247"/>
      <c r="H146" s="2248"/>
      <c r="I146" s="2248"/>
      <c r="J146" s="2249"/>
      <c r="K146" s="268" t="str">
        <f t="shared" si="11"/>
        <v/>
      </c>
      <c r="L146" s="261" t="str">
        <f t="shared" si="13"/>
        <v/>
      </c>
      <c r="M146" s="1002"/>
      <c r="N146" s="36"/>
      <c r="O146" s="36"/>
      <c r="P146" s="36"/>
      <c r="Q146" s="36"/>
      <c r="R146" s="39">
        <f>SUM(Table691213[[#This Row],[Y1 Q1 quantity]:[Y1 Q4 quantity]])</f>
        <v>0</v>
      </c>
      <c r="S146" s="1005">
        <f>Table691213[[#This Row],[Y1 Unit cost]]*Table691213[[#This Row],[Y1 Total quantity]]</f>
        <v>0</v>
      </c>
      <c r="T146" s="1002"/>
      <c r="U146" s="36"/>
      <c r="V146" s="36"/>
      <c r="W146" s="36"/>
      <c r="X146" s="36"/>
      <c r="Y146" s="39">
        <f>SUM(Table691213[[#This Row],[Y2 Q1 quantity]:[Y2 Q4 quantity]])</f>
        <v>0</v>
      </c>
      <c r="Z146" s="1005">
        <f>Table691213[[#This Row],[Y2 Unit cost]]*Table691213[[#This Row],[Y2 Total quantity]]</f>
        <v>0</v>
      </c>
      <c r="AA146" s="1002"/>
      <c r="AB146" s="36"/>
      <c r="AC146" s="36"/>
      <c r="AD146" s="36"/>
      <c r="AE146" s="36"/>
      <c r="AF146" s="39">
        <f>SUM(Table691213[[#This Row],[Y3 Q1 quantity]:[Y3 Q4 quantity]])</f>
        <v>0</v>
      </c>
      <c r="AG146" s="1005">
        <f>Table691213[[#This Row],[Y3 Unit cost]]*Table691213[[#This Row],[Y3 Total quantity]]</f>
        <v>0</v>
      </c>
      <c r="AH146" s="39">
        <f>Table691213[[#This Row],[Y1 Total quantity]]+Table691213[[#This Row],[Y2 Total quantity]]+Table691213[[#This Row],[Y3 Total quantity]]</f>
        <v>0</v>
      </c>
      <c r="AI146" s="1005">
        <f>Table691213[[#This Row],[Y1 Total cost]]+Table691213[[#This Row],[Y2 Total cost]]+Table691213[[#This Row],[Y3 Total cost]]</f>
        <v>0</v>
      </c>
      <c r="AJ146" s="1235" t="str">
        <f t="shared" si="12"/>
        <v/>
      </c>
      <c r="AK146" s="2303"/>
      <c r="AL146" s="2304"/>
    </row>
    <row r="147" spans="1:38" s="249" customFormat="1">
      <c r="A147" s="2169"/>
      <c r="B147" s="2106"/>
      <c r="C147" s="2106"/>
      <c r="D147" s="2169"/>
      <c r="E147" s="2106"/>
      <c r="F147" s="2106"/>
      <c r="G147" s="2250"/>
      <c r="H147" s="2251"/>
      <c r="I147" s="2251"/>
      <c r="J147" s="2252"/>
      <c r="K147" s="264" t="str">
        <f t="shared" si="11"/>
        <v/>
      </c>
      <c r="L147" s="259" t="str">
        <f t="shared" si="13"/>
        <v/>
      </c>
      <c r="M147" s="1002"/>
      <c r="N147" s="36"/>
      <c r="O147" s="36"/>
      <c r="P147" s="36"/>
      <c r="Q147" s="36"/>
      <c r="R147" s="39">
        <f>SUM(Table691213[[#This Row],[Y1 Q1 quantity]:[Y1 Q4 quantity]])</f>
        <v>0</v>
      </c>
      <c r="S147" s="1005">
        <f>Table691213[[#This Row],[Y1 Unit cost]]*Table691213[[#This Row],[Y1 Total quantity]]</f>
        <v>0</v>
      </c>
      <c r="T147" s="1002"/>
      <c r="U147" s="36"/>
      <c r="V147" s="36"/>
      <c r="W147" s="36"/>
      <c r="X147" s="36"/>
      <c r="Y147" s="39">
        <f>SUM(Table691213[[#This Row],[Y2 Q1 quantity]:[Y2 Q4 quantity]])</f>
        <v>0</v>
      </c>
      <c r="Z147" s="1005">
        <f>Table691213[[#This Row],[Y2 Unit cost]]*Table691213[[#This Row],[Y2 Total quantity]]</f>
        <v>0</v>
      </c>
      <c r="AA147" s="1002"/>
      <c r="AB147" s="36"/>
      <c r="AC147" s="36"/>
      <c r="AD147" s="36"/>
      <c r="AE147" s="36"/>
      <c r="AF147" s="39">
        <f>SUM(Table691213[[#This Row],[Y3 Q1 quantity]:[Y3 Q4 quantity]])</f>
        <v>0</v>
      </c>
      <c r="AG147" s="1005">
        <f>Table691213[[#This Row],[Y3 Unit cost]]*Table691213[[#This Row],[Y3 Total quantity]]</f>
        <v>0</v>
      </c>
      <c r="AH147" s="39">
        <f>Table691213[[#This Row],[Y1 Total quantity]]+Table691213[[#This Row],[Y2 Total quantity]]+Table691213[[#This Row],[Y3 Total quantity]]</f>
        <v>0</v>
      </c>
      <c r="AI147" s="1005">
        <f>Table691213[[#This Row],[Y1 Total cost]]+Table691213[[#This Row],[Y2 Total cost]]+Table691213[[#This Row],[Y3 Total cost]]</f>
        <v>0</v>
      </c>
      <c r="AJ147" s="1234" t="str">
        <f t="shared" si="12"/>
        <v/>
      </c>
      <c r="AK147" s="2305"/>
      <c r="AL147" s="2306"/>
    </row>
    <row r="148" spans="1:38" s="249" customFormat="1">
      <c r="A148" s="2240"/>
      <c r="B148" s="2126"/>
      <c r="C148" s="2126"/>
      <c r="D148" s="2240"/>
      <c r="E148" s="2126"/>
      <c r="F148" s="2126"/>
      <c r="G148" s="2247"/>
      <c r="H148" s="2248"/>
      <c r="I148" s="2248"/>
      <c r="J148" s="2249"/>
      <c r="K148" s="268" t="str">
        <f t="shared" si="11"/>
        <v/>
      </c>
      <c r="L148" s="261" t="str">
        <f t="shared" si="13"/>
        <v/>
      </c>
      <c r="M148" s="1002"/>
      <c r="N148" s="36"/>
      <c r="O148" s="36"/>
      <c r="P148" s="36"/>
      <c r="Q148" s="36"/>
      <c r="R148" s="39">
        <f>SUM(Table691213[[#This Row],[Y1 Q1 quantity]:[Y1 Q4 quantity]])</f>
        <v>0</v>
      </c>
      <c r="S148" s="1005">
        <f>Table691213[[#This Row],[Y1 Unit cost]]*Table691213[[#This Row],[Y1 Total quantity]]</f>
        <v>0</v>
      </c>
      <c r="T148" s="1002"/>
      <c r="U148" s="36"/>
      <c r="V148" s="36"/>
      <c r="W148" s="36"/>
      <c r="X148" s="36"/>
      <c r="Y148" s="39">
        <f>SUM(Table691213[[#This Row],[Y2 Q1 quantity]:[Y2 Q4 quantity]])</f>
        <v>0</v>
      </c>
      <c r="Z148" s="1005">
        <f>Table691213[[#This Row],[Y2 Unit cost]]*Table691213[[#This Row],[Y2 Total quantity]]</f>
        <v>0</v>
      </c>
      <c r="AA148" s="1002"/>
      <c r="AB148" s="36"/>
      <c r="AC148" s="36"/>
      <c r="AD148" s="36"/>
      <c r="AE148" s="36"/>
      <c r="AF148" s="39">
        <f>SUM(Table691213[[#This Row],[Y3 Q1 quantity]:[Y3 Q4 quantity]])</f>
        <v>0</v>
      </c>
      <c r="AG148" s="1005">
        <f>Table691213[[#This Row],[Y3 Unit cost]]*Table691213[[#This Row],[Y3 Total quantity]]</f>
        <v>0</v>
      </c>
      <c r="AH148" s="39">
        <f>Table691213[[#This Row],[Y1 Total quantity]]+Table691213[[#This Row],[Y2 Total quantity]]+Table691213[[#This Row],[Y3 Total quantity]]</f>
        <v>0</v>
      </c>
      <c r="AI148" s="1005">
        <f>Table691213[[#This Row],[Y1 Total cost]]+Table691213[[#This Row],[Y2 Total cost]]+Table691213[[#This Row],[Y3 Total cost]]</f>
        <v>0</v>
      </c>
      <c r="AJ148" s="1235" t="str">
        <f t="shared" si="12"/>
        <v/>
      </c>
      <c r="AK148" s="2303"/>
      <c r="AL148" s="2304"/>
    </row>
    <row r="149" spans="1:38" s="249" customFormat="1">
      <c r="A149" s="2169"/>
      <c r="B149" s="2106"/>
      <c r="C149" s="2106"/>
      <c r="D149" s="2169"/>
      <c r="E149" s="2106"/>
      <c r="F149" s="2106"/>
      <c r="G149" s="2250"/>
      <c r="H149" s="2251"/>
      <c r="I149" s="2251"/>
      <c r="J149" s="2252"/>
      <c r="K149" s="264" t="str">
        <f t="shared" si="11"/>
        <v/>
      </c>
      <c r="L149" s="259" t="str">
        <f t="shared" si="13"/>
        <v/>
      </c>
      <c r="M149" s="1002"/>
      <c r="N149" s="36"/>
      <c r="O149" s="36"/>
      <c r="P149" s="36"/>
      <c r="Q149" s="36"/>
      <c r="R149" s="39">
        <f>SUM(Table691213[[#This Row],[Y1 Q1 quantity]:[Y1 Q4 quantity]])</f>
        <v>0</v>
      </c>
      <c r="S149" s="1005">
        <f>Table691213[[#This Row],[Y1 Unit cost]]*Table691213[[#This Row],[Y1 Total quantity]]</f>
        <v>0</v>
      </c>
      <c r="T149" s="1002"/>
      <c r="U149" s="36"/>
      <c r="V149" s="36"/>
      <c r="W149" s="36"/>
      <c r="X149" s="36"/>
      <c r="Y149" s="39">
        <f>SUM(Table691213[[#This Row],[Y2 Q1 quantity]:[Y2 Q4 quantity]])</f>
        <v>0</v>
      </c>
      <c r="Z149" s="1005">
        <f>Table691213[[#This Row],[Y2 Unit cost]]*Table691213[[#This Row],[Y2 Total quantity]]</f>
        <v>0</v>
      </c>
      <c r="AA149" s="1002"/>
      <c r="AB149" s="36"/>
      <c r="AC149" s="36"/>
      <c r="AD149" s="36"/>
      <c r="AE149" s="36"/>
      <c r="AF149" s="39">
        <f>SUM(Table691213[[#This Row],[Y3 Q1 quantity]:[Y3 Q4 quantity]])</f>
        <v>0</v>
      </c>
      <c r="AG149" s="1005">
        <f>Table691213[[#This Row],[Y3 Unit cost]]*Table691213[[#This Row],[Y3 Total quantity]]</f>
        <v>0</v>
      </c>
      <c r="AH149" s="39">
        <f>Table691213[[#This Row],[Y1 Total quantity]]+Table691213[[#This Row],[Y2 Total quantity]]+Table691213[[#This Row],[Y3 Total quantity]]</f>
        <v>0</v>
      </c>
      <c r="AI149" s="1005">
        <f>Table691213[[#This Row],[Y1 Total cost]]+Table691213[[#This Row],[Y2 Total cost]]+Table691213[[#This Row],[Y3 Total cost]]</f>
        <v>0</v>
      </c>
      <c r="AJ149" s="1234" t="str">
        <f t="shared" si="12"/>
        <v/>
      </c>
      <c r="AK149" s="2305"/>
      <c r="AL149" s="2306"/>
    </row>
    <row r="150" spans="1:38" s="249" customFormat="1">
      <c r="A150" s="2240"/>
      <c r="B150" s="2126"/>
      <c r="C150" s="2126"/>
      <c r="D150" s="2240"/>
      <c r="E150" s="2126"/>
      <c r="F150" s="2126"/>
      <c r="G150" s="2247"/>
      <c r="H150" s="2248"/>
      <c r="I150" s="2248"/>
      <c r="J150" s="2249"/>
      <c r="K150" s="268" t="str">
        <f t="shared" si="11"/>
        <v/>
      </c>
      <c r="L150" s="261" t="str">
        <f t="shared" si="13"/>
        <v/>
      </c>
      <c r="M150" s="1002"/>
      <c r="N150" s="36"/>
      <c r="O150" s="36"/>
      <c r="P150" s="36"/>
      <c r="Q150" s="36"/>
      <c r="R150" s="39">
        <f>SUM(Table691213[[#This Row],[Y1 Q1 quantity]:[Y1 Q4 quantity]])</f>
        <v>0</v>
      </c>
      <c r="S150" s="1005">
        <f>Table691213[[#This Row],[Y1 Unit cost]]*Table691213[[#This Row],[Y1 Total quantity]]</f>
        <v>0</v>
      </c>
      <c r="T150" s="1002"/>
      <c r="U150" s="36"/>
      <c r="V150" s="36"/>
      <c r="W150" s="36"/>
      <c r="X150" s="36"/>
      <c r="Y150" s="39">
        <f>SUM(Table691213[[#This Row],[Y2 Q1 quantity]:[Y2 Q4 quantity]])</f>
        <v>0</v>
      </c>
      <c r="Z150" s="1005">
        <f>Table691213[[#This Row],[Y2 Unit cost]]*Table691213[[#This Row],[Y2 Total quantity]]</f>
        <v>0</v>
      </c>
      <c r="AA150" s="1002"/>
      <c r="AB150" s="36"/>
      <c r="AC150" s="36"/>
      <c r="AD150" s="36"/>
      <c r="AE150" s="36"/>
      <c r="AF150" s="39">
        <f>SUM(Table691213[[#This Row],[Y3 Q1 quantity]:[Y3 Q4 quantity]])</f>
        <v>0</v>
      </c>
      <c r="AG150" s="1005">
        <f>Table691213[[#This Row],[Y3 Unit cost]]*Table691213[[#This Row],[Y3 Total quantity]]</f>
        <v>0</v>
      </c>
      <c r="AH150" s="39">
        <f>Table691213[[#This Row],[Y1 Total quantity]]+Table691213[[#This Row],[Y2 Total quantity]]+Table691213[[#This Row],[Y3 Total quantity]]</f>
        <v>0</v>
      </c>
      <c r="AI150" s="1005">
        <f>Table691213[[#This Row],[Y1 Total cost]]+Table691213[[#This Row],[Y2 Total cost]]+Table691213[[#This Row],[Y3 Total cost]]</f>
        <v>0</v>
      </c>
      <c r="AJ150" s="1235" t="str">
        <f t="shared" si="12"/>
        <v/>
      </c>
      <c r="AK150" s="2303"/>
      <c r="AL150" s="2304"/>
    </row>
    <row r="151" spans="1:38" s="249" customFormat="1">
      <c r="A151" s="2169"/>
      <c r="B151" s="2106"/>
      <c r="C151" s="2106"/>
      <c r="D151" s="2169"/>
      <c r="E151" s="2106"/>
      <c r="F151" s="2106"/>
      <c r="G151" s="2250"/>
      <c r="H151" s="2251"/>
      <c r="I151" s="2251"/>
      <c r="J151" s="2252"/>
      <c r="K151" s="264" t="str">
        <f t="shared" si="11"/>
        <v/>
      </c>
      <c r="L151" s="259" t="str">
        <f t="shared" si="13"/>
        <v/>
      </c>
      <c r="M151" s="1002"/>
      <c r="N151" s="36"/>
      <c r="O151" s="36"/>
      <c r="P151" s="36"/>
      <c r="Q151" s="36"/>
      <c r="R151" s="39">
        <f>SUM(Table691213[[#This Row],[Y1 Q1 quantity]:[Y1 Q4 quantity]])</f>
        <v>0</v>
      </c>
      <c r="S151" s="1005">
        <f>Table691213[[#This Row],[Y1 Unit cost]]*Table691213[[#This Row],[Y1 Total quantity]]</f>
        <v>0</v>
      </c>
      <c r="T151" s="1002"/>
      <c r="U151" s="36"/>
      <c r="V151" s="36"/>
      <c r="W151" s="36"/>
      <c r="X151" s="36"/>
      <c r="Y151" s="39">
        <f>SUM(Table691213[[#This Row],[Y2 Q1 quantity]:[Y2 Q4 quantity]])</f>
        <v>0</v>
      </c>
      <c r="Z151" s="1005">
        <f>Table691213[[#This Row],[Y2 Unit cost]]*Table691213[[#This Row],[Y2 Total quantity]]</f>
        <v>0</v>
      </c>
      <c r="AA151" s="1002"/>
      <c r="AB151" s="36"/>
      <c r="AC151" s="36"/>
      <c r="AD151" s="36"/>
      <c r="AE151" s="36"/>
      <c r="AF151" s="39">
        <f>SUM(Table691213[[#This Row],[Y3 Q1 quantity]:[Y3 Q4 quantity]])</f>
        <v>0</v>
      </c>
      <c r="AG151" s="1005">
        <f>Table691213[[#This Row],[Y3 Unit cost]]*Table691213[[#This Row],[Y3 Total quantity]]</f>
        <v>0</v>
      </c>
      <c r="AH151" s="39">
        <f>Table691213[[#This Row],[Y1 Total quantity]]+Table691213[[#This Row],[Y2 Total quantity]]+Table691213[[#This Row],[Y3 Total quantity]]</f>
        <v>0</v>
      </c>
      <c r="AI151" s="1005">
        <f>Table691213[[#This Row],[Y1 Total cost]]+Table691213[[#This Row],[Y2 Total cost]]+Table691213[[#This Row],[Y3 Total cost]]</f>
        <v>0</v>
      </c>
      <c r="AJ151" s="1234" t="str">
        <f t="shared" si="12"/>
        <v/>
      </c>
      <c r="AK151" s="2305"/>
      <c r="AL151" s="2306"/>
    </row>
    <row r="152" spans="1:38" s="249" customFormat="1">
      <c r="A152" s="2240"/>
      <c r="B152" s="2126"/>
      <c r="C152" s="2126"/>
      <c r="D152" s="2240"/>
      <c r="E152" s="2126"/>
      <c r="F152" s="2126"/>
      <c r="G152" s="2247"/>
      <c r="H152" s="2248"/>
      <c r="I152" s="2248"/>
      <c r="J152" s="2249"/>
      <c r="K152" s="268" t="str">
        <f t="shared" si="11"/>
        <v/>
      </c>
      <c r="L152" s="261" t="str">
        <f t="shared" si="13"/>
        <v/>
      </c>
      <c r="M152" s="1002"/>
      <c r="N152" s="36"/>
      <c r="O152" s="36"/>
      <c r="P152" s="36"/>
      <c r="Q152" s="36"/>
      <c r="R152" s="39">
        <f>SUM(Table691213[[#This Row],[Y1 Q1 quantity]:[Y1 Q4 quantity]])</f>
        <v>0</v>
      </c>
      <c r="S152" s="1005">
        <f>Table691213[[#This Row],[Y1 Unit cost]]*Table691213[[#This Row],[Y1 Total quantity]]</f>
        <v>0</v>
      </c>
      <c r="T152" s="1002"/>
      <c r="U152" s="36"/>
      <c r="V152" s="36"/>
      <c r="W152" s="36"/>
      <c r="X152" s="36"/>
      <c r="Y152" s="39">
        <f>SUM(Table691213[[#This Row],[Y2 Q1 quantity]:[Y2 Q4 quantity]])</f>
        <v>0</v>
      </c>
      <c r="Z152" s="1005">
        <f>Table691213[[#This Row],[Y2 Unit cost]]*Table691213[[#This Row],[Y2 Total quantity]]</f>
        <v>0</v>
      </c>
      <c r="AA152" s="1002"/>
      <c r="AB152" s="36"/>
      <c r="AC152" s="36"/>
      <c r="AD152" s="36"/>
      <c r="AE152" s="36"/>
      <c r="AF152" s="39">
        <f>SUM(Table691213[[#This Row],[Y3 Q1 quantity]:[Y3 Q4 quantity]])</f>
        <v>0</v>
      </c>
      <c r="AG152" s="1005">
        <f>Table691213[[#This Row],[Y3 Unit cost]]*Table691213[[#This Row],[Y3 Total quantity]]</f>
        <v>0</v>
      </c>
      <c r="AH152" s="39">
        <f>Table691213[[#This Row],[Y1 Total quantity]]+Table691213[[#This Row],[Y2 Total quantity]]+Table691213[[#This Row],[Y3 Total quantity]]</f>
        <v>0</v>
      </c>
      <c r="AI152" s="1005">
        <f>Table691213[[#This Row],[Y1 Total cost]]+Table691213[[#This Row],[Y2 Total cost]]+Table691213[[#This Row],[Y3 Total cost]]</f>
        <v>0</v>
      </c>
      <c r="AJ152" s="1235" t="str">
        <f t="shared" si="12"/>
        <v/>
      </c>
      <c r="AK152" s="2303"/>
      <c r="AL152" s="2304"/>
    </row>
    <row r="153" spans="1:38" s="249" customFormat="1">
      <c r="A153" s="2169"/>
      <c r="B153" s="2106"/>
      <c r="C153" s="2106"/>
      <c r="D153" s="2169"/>
      <c r="E153" s="2106"/>
      <c r="F153" s="2106"/>
      <c r="G153" s="2250"/>
      <c r="H153" s="2251"/>
      <c r="I153" s="2251"/>
      <c r="J153" s="2252"/>
      <c r="K153" s="264" t="str">
        <f t="shared" si="11"/>
        <v/>
      </c>
      <c r="L153" s="259" t="str">
        <f t="shared" si="13"/>
        <v/>
      </c>
      <c r="M153" s="1002"/>
      <c r="N153" s="36"/>
      <c r="O153" s="36"/>
      <c r="P153" s="36"/>
      <c r="Q153" s="36"/>
      <c r="R153" s="39">
        <f>SUM(Table691213[[#This Row],[Y1 Q1 quantity]:[Y1 Q4 quantity]])</f>
        <v>0</v>
      </c>
      <c r="S153" s="1005">
        <f>Table691213[[#This Row],[Y1 Unit cost]]*Table691213[[#This Row],[Y1 Total quantity]]</f>
        <v>0</v>
      </c>
      <c r="T153" s="1002"/>
      <c r="U153" s="36"/>
      <c r="V153" s="36"/>
      <c r="W153" s="36"/>
      <c r="X153" s="36"/>
      <c r="Y153" s="39">
        <f>SUM(Table691213[[#This Row],[Y2 Q1 quantity]:[Y2 Q4 quantity]])</f>
        <v>0</v>
      </c>
      <c r="Z153" s="1005">
        <f>Table691213[[#This Row],[Y2 Unit cost]]*Table691213[[#This Row],[Y2 Total quantity]]</f>
        <v>0</v>
      </c>
      <c r="AA153" s="1002"/>
      <c r="AB153" s="36"/>
      <c r="AC153" s="36"/>
      <c r="AD153" s="36"/>
      <c r="AE153" s="36"/>
      <c r="AF153" s="39">
        <f>SUM(Table691213[[#This Row],[Y3 Q1 quantity]:[Y3 Q4 quantity]])</f>
        <v>0</v>
      </c>
      <c r="AG153" s="1005">
        <f>Table691213[[#This Row],[Y3 Unit cost]]*Table691213[[#This Row],[Y3 Total quantity]]</f>
        <v>0</v>
      </c>
      <c r="AH153" s="39">
        <f>Table691213[[#This Row],[Y1 Total quantity]]+Table691213[[#This Row],[Y2 Total quantity]]+Table691213[[#This Row],[Y3 Total quantity]]</f>
        <v>0</v>
      </c>
      <c r="AI153" s="1005">
        <f>Table691213[[#This Row],[Y1 Total cost]]+Table691213[[#This Row],[Y2 Total cost]]+Table691213[[#This Row],[Y3 Total cost]]</f>
        <v>0</v>
      </c>
      <c r="AJ153" s="1234" t="str">
        <f t="shared" si="12"/>
        <v/>
      </c>
      <c r="AK153" s="2305"/>
      <c r="AL153" s="2306"/>
    </row>
    <row r="154" spans="1:38" s="249" customFormat="1">
      <c r="A154" s="2240"/>
      <c r="B154" s="2126"/>
      <c r="C154" s="2126"/>
      <c r="D154" s="2240"/>
      <c r="E154" s="2126"/>
      <c r="F154" s="2126"/>
      <c r="G154" s="2247"/>
      <c r="H154" s="2248"/>
      <c r="I154" s="2248"/>
      <c r="J154" s="2249"/>
      <c r="K154" s="268" t="str">
        <f t="shared" si="11"/>
        <v/>
      </c>
      <c r="L154" s="261" t="str">
        <f t="shared" si="13"/>
        <v/>
      </c>
      <c r="M154" s="1002"/>
      <c r="N154" s="36"/>
      <c r="O154" s="36"/>
      <c r="P154" s="36"/>
      <c r="Q154" s="36"/>
      <c r="R154" s="39">
        <f>SUM(Table691213[[#This Row],[Y1 Q1 quantity]:[Y1 Q4 quantity]])</f>
        <v>0</v>
      </c>
      <c r="S154" s="1005">
        <f>Table691213[[#This Row],[Y1 Unit cost]]*Table691213[[#This Row],[Y1 Total quantity]]</f>
        <v>0</v>
      </c>
      <c r="T154" s="1002"/>
      <c r="U154" s="36"/>
      <c r="V154" s="36"/>
      <c r="W154" s="36"/>
      <c r="X154" s="36"/>
      <c r="Y154" s="39">
        <f>SUM(Table691213[[#This Row],[Y2 Q1 quantity]:[Y2 Q4 quantity]])</f>
        <v>0</v>
      </c>
      <c r="Z154" s="1005">
        <f>Table691213[[#This Row],[Y2 Unit cost]]*Table691213[[#This Row],[Y2 Total quantity]]</f>
        <v>0</v>
      </c>
      <c r="AA154" s="1002"/>
      <c r="AB154" s="36"/>
      <c r="AC154" s="36"/>
      <c r="AD154" s="36"/>
      <c r="AE154" s="36"/>
      <c r="AF154" s="39">
        <f>SUM(Table691213[[#This Row],[Y3 Q1 quantity]:[Y3 Q4 quantity]])</f>
        <v>0</v>
      </c>
      <c r="AG154" s="1005">
        <f>Table691213[[#This Row],[Y3 Unit cost]]*Table691213[[#This Row],[Y3 Total quantity]]</f>
        <v>0</v>
      </c>
      <c r="AH154" s="39">
        <f>Table691213[[#This Row],[Y1 Total quantity]]+Table691213[[#This Row],[Y2 Total quantity]]+Table691213[[#This Row],[Y3 Total quantity]]</f>
        <v>0</v>
      </c>
      <c r="AI154" s="1005">
        <f>Table691213[[#This Row],[Y1 Total cost]]+Table691213[[#This Row],[Y2 Total cost]]+Table691213[[#This Row],[Y3 Total cost]]</f>
        <v>0</v>
      </c>
      <c r="AJ154" s="1235" t="str">
        <f t="shared" si="12"/>
        <v/>
      </c>
      <c r="AK154" s="2303"/>
      <c r="AL154" s="2304"/>
    </row>
    <row r="155" spans="1:38" s="249" customFormat="1">
      <c r="A155" s="2169"/>
      <c r="B155" s="2106"/>
      <c r="C155" s="2106"/>
      <c r="D155" s="2169"/>
      <c r="E155" s="2106"/>
      <c r="F155" s="2106"/>
      <c r="G155" s="2250"/>
      <c r="H155" s="2251"/>
      <c r="I155" s="2251"/>
      <c r="J155" s="2252"/>
      <c r="K155" s="264" t="str">
        <f t="shared" si="11"/>
        <v/>
      </c>
      <c r="L155" s="259" t="str">
        <f t="shared" si="13"/>
        <v/>
      </c>
      <c r="M155" s="1002"/>
      <c r="N155" s="36"/>
      <c r="O155" s="36"/>
      <c r="P155" s="36"/>
      <c r="Q155" s="36"/>
      <c r="R155" s="39">
        <f>SUM(Table691213[[#This Row],[Y1 Q1 quantity]:[Y1 Q4 quantity]])</f>
        <v>0</v>
      </c>
      <c r="S155" s="1005">
        <f>Table691213[[#This Row],[Y1 Unit cost]]*Table691213[[#This Row],[Y1 Total quantity]]</f>
        <v>0</v>
      </c>
      <c r="T155" s="1002"/>
      <c r="U155" s="36"/>
      <c r="V155" s="36"/>
      <c r="W155" s="36"/>
      <c r="X155" s="36"/>
      <c r="Y155" s="39">
        <f>SUM(Table691213[[#This Row],[Y2 Q1 quantity]:[Y2 Q4 quantity]])</f>
        <v>0</v>
      </c>
      <c r="Z155" s="1005">
        <f>Table691213[[#This Row],[Y2 Unit cost]]*Table691213[[#This Row],[Y2 Total quantity]]</f>
        <v>0</v>
      </c>
      <c r="AA155" s="1002"/>
      <c r="AB155" s="36"/>
      <c r="AC155" s="36"/>
      <c r="AD155" s="36"/>
      <c r="AE155" s="36"/>
      <c r="AF155" s="39">
        <f>SUM(Table691213[[#This Row],[Y3 Q1 quantity]:[Y3 Q4 quantity]])</f>
        <v>0</v>
      </c>
      <c r="AG155" s="1005">
        <f>Table691213[[#This Row],[Y3 Unit cost]]*Table691213[[#This Row],[Y3 Total quantity]]</f>
        <v>0</v>
      </c>
      <c r="AH155" s="39">
        <f>Table691213[[#This Row],[Y1 Total quantity]]+Table691213[[#This Row],[Y2 Total quantity]]+Table691213[[#This Row],[Y3 Total quantity]]</f>
        <v>0</v>
      </c>
      <c r="AI155" s="1005">
        <f>Table691213[[#This Row],[Y1 Total cost]]+Table691213[[#This Row],[Y2 Total cost]]+Table691213[[#This Row],[Y3 Total cost]]</f>
        <v>0</v>
      </c>
      <c r="AJ155" s="1234" t="str">
        <f t="shared" si="12"/>
        <v/>
      </c>
      <c r="AK155" s="2305"/>
      <c r="AL155" s="2306"/>
    </row>
    <row r="156" spans="1:38" s="249" customFormat="1">
      <c r="A156" s="2240"/>
      <c r="B156" s="2126"/>
      <c r="C156" s="2126"/>
      <c r="D156" s="2240"/>
      <c r="E156" s="2126"/>
      <c r="F156" s="2126"/>
      <c r="G156" s="2247"/>
      <c r="H156" s="2248"/>
      <c r="I156" s="2248"/>
      <c r="J156" s="2249"/>
      <c r="K156" s="268" t="str">
        <f t="shared" si="11"/>
        <v/>
      </c>
      <c r="L156" s="261" t="str">
        <f t="shared" si="13"/>
        <v/>
      </c>
      <c r="M156" s="1002"/>
      <c r="N156" s="36"/>
      <c r="O156" s="36"/>
      <c r="P156" s="36"/>
      <c r="Q156" s="36"/>
      <c r="R156" s="39">
        <f>SUM(Table691213[[#This Row],[Y1 Q1 quantity]:[Y1 Q4 quantity]])</f>
        <v>0</v>
      </c>
      <c r="S156" s="1005">
        <f>Table691213[[#This Row],[Y1 Unit cost]]*Table691213[[#This Row],[Y1 Total quantity]]</f>
        <v>0</v>
      </c>
      <c r="T156" s="1002"/>
      <c r="U156" s="36"/>
      <c r="V156" s="36"/>
      <c r="W156" s="36"/>
      <c r="X156" s="36"/>
      <c r="Y156" s="39">
        <f>SUM(Table691213[[#This Row],[Y2 Q1 quantity]:[Y2 Q4 quantity]])</f>
        <v>0</v>
      </c>
      <c r="Z156" s="1005">
        <f>Table691213[[#This Row],[Y2 Unit cost]]*Table691213[[#This Row],[Y2 Total quantity]]</f>
        <v>0</v>
      </c>
      <c r="AA156" s="1002"/>
      <c r="AB156" s="36"/>
      <c r="AC156" s="36"/>
      <c r="AD156" s="36"/>
      <c r="AE156" s="36"/>
      <c r="AF156" s="39">
        <f>SUM(Table691213[[#This Row],[Y3 Q1 quantity]:[Y3 Q4 quantity]])</f>
        <v>0</v>
      </c>
      <c r="AG156" s="1005">
        <f>Table691213[[#This Row],[Y3 Unit cost]]*Table691213[[#This Row],[Y3 Total quantity]]</f>
        <v>0</v>
      </c>
      <c r="AH156" s="39">
        <f>Table691213[[#This Row],[Y1 Total quantity]]+Table691213[[#This Row],[Y2 Total quantity]]+Table691213[[#This Row],[Y3 Total quantity]]</f>
        <v>0</v>
      </c>
      <c r="AI156" s="1005">
        <f>Table691213[[#This Row],[Y1 Total cost]]+Table691213[[#This Row],[Y2 Total cost]]+Table691213[[#This Row],[Y3 Total cost]]</f>
        <v>0</v>
      </c>
      <c r="AJ156" s="1235" t="str">
        <f t="shared" si="12"/>
        <v/>
      </c>
      <c r="AK156" s="2303"/>
      <c r="AL156" s="2304"/>
    </row>
    <row r="157" spans="1:38" s="249" customFormat="1">
      <c r="A157" s="2169"/>
      <c r="B157" s="2106"/>
      <c r="C157" s="2106"/>
      <c r="D157" s="2169"/>
      <c r="E157" s="2106"/>
      <c r="F157" s="2106"/>
      <c r="G157" s="2250"/>
      <c r="H157" s="2251"/>
      <c r="I157" s="2251"/>
      <c r="J157" s="2252"/>
      <c r="K157" s="264" t="str">
        <f t="shared" si="11"/>
        <v/>
      </c>
      <c r="L157" s="259" t="str">
        <f t="shared" si="13"/>
        <v/>
      </c>
      <c r="M157" s="1002"/>
      <c r="N157" s="36"/>
      <c r="O157" s="36"/>
      <c r="P157" s="36"/>
      <c r="Q157" s="36"/>
      <c r="R157" s="39">
        <f>SUM(Table691213[[#This Row],[Y1 Q1 quantity]:[Y1 Q4 quantity]])</f>
        <v>0</v>
      </c>
      <c r="S157" s="1005">
        <f>Table691213[[#This Row],[Y1 Unit cost]]*Table691213[[#This Row],[Y1 Total quantity]]</f>
        <v>0</v>
      </c>
      <c r="T157" s="1002"/>
      <c r="U157" s="36"/>
      <c r="V157" s="36"/>
      <c r="W157" s="36"/>
      <c r="X157" s="36"/>
      <c r="Y157" s="39">
        <f>SUM(Table691213[[#This Row],[Y2 Q1 quantity]:[Y2 Q4 quantity]])</f>
        <v>0</v>
      </c>
      <c r="Z157" s="1005">
        <f>Table691213[[#This Row],[Y2 Unit cost]]*Table691213[[#This Row],[Y2 Total quantity]]</f>
        <v>0</v>
      </c>
      <c r="AA157" s="1002"/>
      <c r="AB157" s="36"/>
      <c r="AC157" s="36"/>
      <c r="AD157" s="36"/>
      <c r="AE157" s="36"/>
      <c r="AF157" s="39">
        <f>SUM(Table691213[[#This Row],[Y3 Q1 quantity]:[Y3 Q4 quantity]])</f>
        <v>0</v>
      </c>
      <c r="AG157" s="1005">
        <f>Table691213[[#This Row],[Y3 Unit cost]]*Table691213[[#This Row],[Y3 Total quantity]]</f>
        <v>0</v>
      </c>
      <c r="AH157" s="39">
        <f>Table691213[[#This Row],[Y1 Total quantity]]+Table691213[[#This Row],[Y2 Total quantity]]+Table691213[[#This Row],[Y3 Total quantity]]</f>
        <v>0</v>
      </c>
      <c r="AI157" s="1005">
        <f>Table691213[[#This Row],[Y1 Total cost]]+Table691213[[#This Row],[Y2 Total cost]]+Table691213[[#This Row],[Y3 Total cost]]</f>
        <v>0</v>
      </c>
      <c r="AJ157" s="1234" t="str">
        <f t="shared" si="12"/>
        <v/>
      </c>
      <c r="AK157" s="2305"/>
      <c r="AL157" s="2306"/>
    </row>
    <row r="158" spans="1:38" s="249" customFormat="1">
      <c r="A158" s="2240"/>
      <c r="B158" s="2126"/>
      <c r="C158" s="2126"/>
      <c r="D158" s="2240"/>
      <c r="E158" s="2126"/>
      <c r="F158" s="2126"/>
      <c r="G158" s="2247"/>
      <c r="H158" s="2248"/>
      <c r="I158" s="2248"/>
      <c r="J158" s="2249"/>
      <c r="K158" s="268" t="str">
        <f t="shared" si="11"/>
        <v/>
      </c>
      <c r="L158" s="261" t="str">
        <f t="shared" si="13"/>
        <v/>
      </c>
      <c r="M158" s="1002"/>
      <c r="N158" s="36"/>
      <c r="O158" s="36"/>
      <c r="P158" s="36"/>
      <c r="Q158" s="36"/>
      <c r="R158" s="39">
        <f>SUM(Table691213[[#This Row],[Y1 Q1 quantity]:[Y1 Q4 quantity]])</f>
        <v>0</v>
      </c>
      <c r="S158" s="1005">
        <f>Table691213[[#This Row],[Y1 Unit cost]]*Table691213[[#This Row],[Y1 Total quantity]]</f>
        <v>0</v>
      </c>
      <c r="T158" s="1002"/>
      <c r="U158" s="36"/>
      <c r="V158" s="36"/>
      <c r="W158" s="36"/>
      <c r="X158" s="36"/>
      <c r="Y158" s="39">
        <f>SUM(Table691213[[#This Row],[Y2 Q1 quantity]:[Y2 Q4 quantity]])</f>
        <v>0</v>
      </c>
      <c r="Z158" s="1005">
        <f>Table691213[[#This Row],[Y2 Unit cost]]*Table691213[[#This Row],[Y2 Total quantity]]</f>
        <v>0</v>
      </c>
      <c r="AA158" s="1002"/>
      <c r="AB158" s="36"/>
      <c r="AC158" s="36"/>
      <c r="AD158" s="36"/>
      <c r="AE158" s="36"/>
      <c r="AF158" s="39">
        <f>SUM(Table691213[[#This Row],[Y3 Q1 quantity]:[Y3 Q4 quantity]])</f>
        <v>0</v>
      </c>
      <c r="AG158" s="1005">
        <f>Table691213[[#This Row],[Y3 Unit cost]]*Table691213[[#This Row],[Y3 Total quantity]]</f>
        <v>0</v>
      </c>
      <c r="AH158" s="39">
        <f>Table691213[[#This Row],[Y1 Total quantity]]+Table691213[[#This Row],[Y2 Total quantity]]+Table691213[[#This Row],[Y3 Total quantity]]</f>
        <v>0</v>
      </c>
      <c r="AI158" s="1005">
        <f>Table691213[[#This Row],[Y1 Total cost]]+Table691213[[#This Row],[Y2 Total cost]]+Table691213[[#This Row],[Y3 Total cost]]</f>
        <v>0</v>
      </c>
      <c r="AJ158" s="1235" t="str">
        <f t="shared" si="12"/>
        <v/>
      </c>
      <c r="AK158" s="2303"/>
      <c r="AL158" s="2304"/>
    </row>
    <row r="159" spans="1:38" s="249" customFormat="1">
      <c r="A159" s="2169"/>
      <c r="B159" s="2106"/>
      <c r="C159" s="2106"/>
      <c r="D159" s="2169"/>
      <c r="E159" s="2106"/>
      <c r="F159" s="2106"/>
      <c r="G159" s="2250"/>
      <c r="H159" s="2251"/>
      <c r="I159" s="2251"/>
      <c r="J159" s="2252"/>
      <c r="K159" s="264" t="str">
        <f t="shared" si="11"/>
        <v/>
      </c>
      <c r="L159" s="259" t="str">
        <f t="shared" si="13"/>
        <v/>
      </c>
      <c r="M159" s="1002"/>
      <c r="N159" s="36"/>
      <c r="O159" s="36"/>
      <c r="P159" s="36"/>
      <c r="Q159" s="36"/>
      <c r="R159" s="39">
        <f>SUM(Table691213[[#This Row],[Y1 Q1 quantity]:[Y1 Q4 quantity]])</f>
        <v>0</v>
      </c>
      <c r="S159" s="1005">
        <f>Table691213[[#This Row],[Y1 Unit cost]]*Table691213[[#This Row],[Y1 Total quantity]]</f>
        <v>0</v>
      </c>
      <c r="T159" s="1002"/>
      <c r="U159" s="36"/>
      <c r="V159" s="36"/>
      <c r="W159" s="36"/>
      <c r="X159" s="36"/>
      <c r="Y159" s="39">
        <f>SUM(Table691213[[#This Row],[Y2 Q1 quantity]:[Y2 Q4 quantity]])</f>
        <v>0</v>
      </c>
      <c r="Z159" s="1005">
        <f>Table691213[[#This Row],[Y2 Unit cost]]*Table691213[[#This Row],[Y2 Total quantity]]</f>
        <v>0</v>
      </c>
      <c r="AA159" s="1002"/>
      <c r="AB159" s="36"/>
      <c r="AC159" s="36"/>
      <c r="AD159" s="36"/>
      <c r="AE159" s="36"/>
      <c r="AF159" s="39">
        <f>SUM(Table691213[[#This Row],[Y3 Q1 quantity]:[Y3 Q4 quantity]])</f>
        <v>0</v>
      </c>
      <c r="AG159" s="1005">
        <f>Table691213[[#This Row],[Y3 Unit cost]]*Table691213[[#This Row],[Y3 Total quantity]]</f>
        <v>0</v>
      </c>
      <c r="AH159" s="39">
        <f>Table691213[[#This Row],[Y1 Total quantity]]+Table691213[[#This Row],[Y2 Total quantity]]+Table691213[[#This Row],[Y3 Total quantity]]</f>
        <v>0</v>
      </c>
      <c r="AI159" s="1005">
        <f>Table691213[[#This Row],[Y1 Total cost]]+Table691213[[#This Row],[Y2 Total cost]]+Table691213[[#This Row],[Y3 Total cost]]</f>
        <v>0</v>
      </c>
      <c r="AJ159" s="1234" t="str">
        <f t="shared" si="12"/>
        <v/>
      </c>
      <c r="AK159" s="2305"/>
      <c r="AL159" s="2306"/>
    </row>
    <row r="160" spans="1:38" s="249" customFormat="1">
      <c r="A160" s="2240"/>
      <c r="B160" s="2126"/>
      <c r="C160" s="2126"/>
      <c r="D160" s="2240"/>
      <c r="E160" s="2126"/>
      <c r="F160" s="2126"/>
      <c r="G160" s="2247"/>
      <c r="H160" s="2248"/>
      <c r="I160" s="2248"/>
      <c r="J160" s="2249"/>
      <c r="K160" s="268" t="str">
        <f t="shared" si="11"/>
        <v/>
      </c>
      <c r="L160" s="261" t="str">
        <f t="shared" si="13"/>
        <v/>
      </c>
      <c r="M160" s="1002"/>
      <c r="N160" s="36"/>
      <c r="O160" s="36"/>
      <c r="P160" s="36"/>
      <c r="Q160" s="36"/>
      <c r="R160" s="39">
        <f>SUM(Table691213[[#This Row],[Y1 Q1 quantity]:[Y1 Q4 quantity]])</f>
        <v>0</v>
      </c>
      <c r="S160" s="1005">
        <f>Table691213[[#This Row],[Y1 Unit cost]]*Table691213[[#This Row],[Y1 Total quantity]]</f>
        <v>0</v>
      </c>
      <c r="T160" s="1002"/>
      <c r="U160" s="36"/>
      <c r="V160" s="36"/>
      <c r="W160" s="36"/>
      <c r="X160" s="36"/>
      <c r="Y160" s="39">
        <f>SUM(Table691213[[#This Row],[Y2 Q1 quantity]:[Y2 Q4 quantity]])</f>
        <v>0</v>
      </c>
      <c r="Z160" s="1005">
        <f>Table691213[[#This Row],[Y2 Unit cost]]*Table691213[[#This Row],[Y2 Total quantity]]</f>
        <v>0</v>
      </c>
      <c r="AA160" s="1002"/>
      <c r="AB160" s="36"/>
      <c r="AC160" s="36"/>
      <c r="AD160" s="36"/>
      <c r="AE160" s="36"/>
      <c r="AF160" s="39">
        <f>SUM(Table691213[[#This Row],[Y3 Q1 quantity]:[Y3 Q4 quantity]])</f>
        <v>0</v>
      </c>
      <c r="AG160" s="1005">
        <f>Table691213[[#This Row],[Y3 Unit cost]]*Table691213[[#This Row],[Y3 Total quantity]]</f>
        <v>0</v>
      </c>
      <c r="AH160" s="39">
        <f>Table691213[[#This Row],[Y1 Total quantity]]+Table691213[[#This Row],[Y2 Total quantity]]+Table691213[[#This Row],[Y3 Total quantity]]</f>
        <v>0</v>
      </c>
      <c r="AI160" s="1005">
        <f>Table691213[[#This Row],[Y1 Total cost]]+Table691213[[#This Row],[Y2 Total cost]]+Table691213[[#This Row],[Y3 Total cost]]</f>
        <v>0</v>
      </c>
      <c r="AJ160" s="1235" t="str">
        <f t="shared" si="12"/>
        <v/>
      </c>
      <c r="AK160" s="2303"/>
      <c r="AL160" s="2304"/>
    </row>
    <row r="161" spans="1:38" s="249" customFormat="1">
      <c r="A161" s="2169"/>
      <c r="B161" s="2106"/>
      <c r="C161" s="2106"/>
      <c r="D161" s="2169"/>
      <c r="E161" s="2106"/>
      <c r="F161" s="2106"/>
      <c r="G161" s="2250"/>
      <c r="H161" s="2251"/>
      <c r="I161" s="2251"/>
      <c r="J161" s="2252"/>
      <c r="K161" s="264" t="str">
        <f t="shared" si="11"/>
        <v/>
      </c>
      <c r="L161" s="259" t="str">
        <f t="shared" si="13"/>
        <v/>
      </c>
      <c r="M161" s="1002"/>
      <c r="N161" s="36"/>
      <c r="O161" s="36"/>
      <c r="P161" s="36"/>
      <c r="Q161" s="36"/>
      <c r="R161" s="39">
        <f>SUM(Table691213[[#This Row],[Y1 Q1 quantity]:[Y1 Q4 quantity]])</f>
        <v>0</v>
      </c>
      <c r="S161" s="1005">
        <f>Table691213[[#This Row],[Y1 Unit cost]]*Table691213[[#This Row],[Y1 Total quantity]]</f>
        <v>0</v>
      </c>
      <c r="T161" s="1002"/>
      <c r="U161" s="36"/>
      <c r="V161" s="36"/>
      <c r="W161" s="36"/>
      <c r="X161" s="36"/>
      <c r="Y161" s="39">
        <f>SUM(Table691213[[#This Row],[Y2 Q1 quantity]:[Y2 Q4 quantity]])</f>
        <v>0</v>
      </c>
      <c r="Z161" s="1005">
        <f>Table691213[[#This Row],[Y2 Unit cost]]*Table691213[[#This Row],[Y2 Total quantity]]</f>
        <v>0</v>
      </c>
      <c r="AA161" s="1002"/>
      <c r="AB161" s="36"/>
      <c r="AC161" s="36"/>
      <c r="AD161" s="36"/>
      <c r="AE161" s="36"/>
      <c r="AF161" s="39">
        <f>SUM(Table691213[[#This Row],[Y3 Q1 quantity]:[Y3 Q4 quantity]])</f>
        <v>0</v>
      </c>
      <c r="AG161" s="1005">
        <f>Table691213[[#This Row],[Y3 Unit cost]]*Table691213[[#This Row],[Y3 Total quantity]]</f>
        <v>0</v>
      </c>
      <c r="AH161" s="39">
        <f>Table691213[[#This Row],[Y1 Total quantity]]+Table691213[[#This Row],[Y2 Total quantity]]+Table691213[[#This Row],[Y3 Total quantity]]</f>
        <v>0</v>
      </c>
      <c r="AI161" s="1005">
        <f>Table691213[[#This Row],[Y1 Total cost]]+Table691213[[#This Row],[Y2 Total cost]]+Table691213[[#This Row],[Y3 Total cost]]</f>
        <v>0</v>
      </c>
      <c r="AJ161" s="1234" t="str">
        <f t="shared" si="12"/>
        <v/>
      </c>
      <c r="AK161" s="2305"/>
      <c r="AL161" s="2306"/>
    </row>
    <row r="162" spans="1:38" s="249" customFormat="1">
      <c r="A162" s="2240"/>
      <c r="B162" s="2126"/>
      <c r="C162" s="2126"/>
      <c r="D162" s="2240"/>
      <c r="E162" s="2126"/>
      <c r="F162" s="2126"/>
      <c r="G162" s="2247"/>
      <c r="H162" s="2248"/>
      <c r="I162" s="2248"/>
      <c r="J162" s="2249"/>
      <c r="K162" s="268" t="str">
        <f t="shared" si="11"/>
        <v/>
      </c>
      <c r="L162" s="261" t="str">
        <f t="shared" si="13"/>
        <v/>
      </c>
      <c r="M162" s="1002"/>
      <c r="N162" s="36"/>
      <c r="O162" s="36"/>
      <c r="P162" s="36"/>
      <c r="Q162" s="36"/>
      <c r="R162" s="39">
        <f>SUM(Table691213[[#This Row],[Y1 Q1 quantity]:[Y1 Q4 quantity]])</f>
        <v>0</v>
      </c>
      <c r="S162" s="1005">
        <f>Table691213[[#This Row],[Y1 Unit cost]]*Table691213[[#This Row],[Y1 Total quantity]]</f>
        <v>0</v>
      </c>
      <c r="T162" s="1002"/>
      <c r="U162" s="36"/>
      <c r="V162" s="36"/>
      <c r="W162" s="36"/>
      <c r="X162" s="36"/>
      <c r="Y162" s="39">
        <f>SUM(Table691213[[#This Row],[Y2 Q1 quantity]:[Y2 Q4 quantity]])</f>
        <v>0</v>
      </c>
      <c r="Z162" s="1005">
        <f>Table691213[[#This Row],[Y2 Unit cost]]*Table691213[[#This Row],[Y2 Total quantity]]</f>
        <v>0</v>
      </c>
      <c r="AA162" s="1002"/>
      <c r="AB162" s="36"/>
      <c r="AC162" s="36"/>
      <c r="AD162" s="36"/>
      <c r="AE162" s="36"/>
      <c r="AF162" s="39">
        <f>SUM(Table691213[[#This Row],[Y3 Q1 quantity]:[Y3 Q4 quantity]])</f>
        <v>0</v>
      </c>
      <c r="AG162" s="1005">
        <f>Table691213[[#This Row],[Y3 Unit cost]]*Table691213[[#This Row],[Y3 Total quantity]]</f>
        <v>0</v>
      </c>
      <c r="AH162" s="39">
        <f>Table691213[[#This Row],[Y1 Total quantity]]+Table691213[[#This Row],[Y2 Total quantity]]+Table691213[[#This Row],[Y3 Total quantity]]</f>
        <v>0</v>
      </c>
      <c r="AI162" s="1005">
        <f>Table691213[[#This Row],[Y1 Total cost]]+Table691213[[#This Row],[Y2 Total cost]]+Table691213[[#This Row],[Y3 Total cost]]</f>
        <v>0</v>
      </c>
      <c r="AJ162" s="1235" t="str">
        <f t="shared" si="12"/>
        <v/>
      </c>
      <c r="AK162" s="2303"/>
      <c r="AL162" s="2304"/>
    </row>
    <row r="163" spans="1:38" s="249" customFormat="1">
      <c r="A163" s="2169"/>
      <c r="B163" s="2106"/>
      <c r="C163" s="2106"/>
      <c r="D163" s="2169"/>
      <c r="E163" s="2106"/>
      <c r="F163" s="2106"/>
      <c r="G163" s="2250"/>
      <c r="H163" s="2251"/>
      <c r="I163" s="2251"/>
      <c r="J163" s="2252"/>
      <c r="K163" s="264" t="str">
        <f t="shared" si="11"/>
        <v/>
      </c>
      <c r="L163" s="259" t="str">
        <f t="shared" si="13"/>
        <v/>
      </c>
      <c r="M163" s="1002"/>
      <c r="N163" s="36"/>
      <c r="O163" s="36"/>
      <c r="P163" s="36"/>
      <c r="Q163" s="36"/>
      <c r="R163" s="39">
        <f>SUM(Table691213[[#This Row],[Y1 Q1 quantity]:[Y1 Q4 quantity]])</f>
        <v>0</v>
      </c>
      <c r="S163" s="1005">
        <f>Table691213[[#This Row],[Y1 Unit cost]]*Table691213[[#This Row],[Y1 Total quantity]]</f>
        <v>0</v>
      </c>
      <c r="T163" s="1002"/>
      <c r="U163" s="36"/>
      <c r="V163" s="36"/>
      <c r="W163" s="36"/>
      <c r="X163" s="36"/>
      <c r="Y163" s="39">
        <f>SUM(Table691213[[#This Row],[Y2 Q1 quantity]:[Y2 Q4 quantity]])</f>
        <v>0</v>
      </c>
      <c r="Z163" s="1005">
        <f>Table691213[[#This Row],[Y2 Unit cost]]*Table691213[[#This Row],[Y2 Total quantity]]</f>
        <v>0</v>
      </c>
      <c r="AA163" s="1002"/>
      <c r="AB163" s="36"/>
      <c r="AC163" s="36"/>
      <c r="AD163" s="36"/>
      <c r="AE163" s="36"/>
      <c r="AF163" s="39">
        <f>SUM(Table691213[[#This Row],[Y3 Q1 quantity]:[Y3 Q4 quantity]])</f>
        <v>0</v>
      </c>
      <c r="AG163" s="1005">
        <f>Table691213[[#This Row],[Y3 Unit cost]]*Table691213[[#This Row],[Y3 Total quantity]]</f>
        <v>0</v>
      </c>
      <c r="AH163" s="39">
        <f>Table691213[[#This Row],[Y1 Total quantity]]+Table691213[[#This Row],[Y2 Total quantity]]+Table691213[[#This Row],[Y3 Total quantity]]</f>
        <v>0</v>
      </c>
      <c r="AI163" s="1005">
        <f>Table691213[[#This Row],[Y1 Total cost]]+Table691213[[#This Row],[Y2 Total cost]]+Table691213[[#This Row],[Y3 Total cost]]</f>
        <v>0</v>
      </c>
      <c r="AJ163" s="1234" t="str">
        <f t="shared" si="12"/>
        <v/>
      </c>
      <c r="AK163" s="2305"/>
      <c r="AL163" s="2306"/>
    </row>
    <row r="164" spans="1:38" s="249" customFormat="1">
      <c r="A164" s="2240"/>
      <c r="B164" s="2126"/>
      <c r="C164" s="2126"/>
      <c r="D164" s="2240"/>
      <c r="E164" s="2126"/>
      <c r="F164" s="2126"/>
      <c r="G164" s="2247"/>
      <c r="H164" s="2248"/>
      <c r="I164" s="2248"/>
      <c r="J164" s="2249"/>
      <c r="K164" s="268" t="str">
        <f t="shared" si="11"/>
        <v/>
      </c>
      <c r="L164" s="261" t="str">
        <f t="shared" si="13"/>
        <v/>
      </c>
      <c r="M164" s="1002"/>
      <c r="N164" s="36"/>
      <c r="O164" s="36"/>
      <c r="P164" s="36"/>
      <c r="Q164" s="36"/>
      <c r="R164" s="39">
        <f>SUM(Table691213[[#This Row],[Y1 Q1 quantity]:[Y1 Q4 quantity]])</f>
        <v>0</v>
      </c>
      <c r="S164" s="1005">
        <f>Table691213[[#This Row],[Y1 Unit cost]]*Table691213[[#This Row],[Y1 Total quantity]]</f>
        <v>0</v>
      </c>
      <c r="T164" s="1002"/>
      <c r="U164" s="36"/>
      <c r="V164" s="36"/>
      <c r="W164" s="36"/>
      <c r="X164" s="36"/>
      <c r="Y164" s="39">
        <f>SUM(Table691213[[#This Row],[Y2 Q1 quantity]:[Y2 Q4 quantity]])</f>
        <v>0</v>
      </c>
      <c r="Z164" s="1005">
        <f>Table691213[[#This Row],[Y2 Unit cost]]*Table691213[[#This Row],[Y2 Total quantity]]</f>
        <v>0</v>
      </c>
      <c r="AA164" s="1002"/>
      <c r="AB164" s="36"/>
      <c r="AC164" s="36"/>
      <c r="AD164" s="36"/>
      <c r="AE164" s="36"/>
      <c r="AF164" s="39">
        <f>SUM(Table691213[[#This Row],[Y3 Q1 quantity]:[Y3 Q4 quantity]])</f>
        <v>0</v>
      </c>
      <c r="AG164" s="1005">
        <f>Table691213[[#This Row],[Y3 Unit cost]]*Table691213[[#This Row],[Y3 Total quantity]]</f>
        <v>0</v>
      </c>
      <c r="AH164" s="39">
        <f>Table691213[[#This Row],[Y1 Total quantity]]+Table691213[[#This Row],[Y2 Total quantity]]+Table691213[[#This Row],[Y3 Total quantity]]</f>
        <v>0</v>
      </c>
      <c r="AI164" s="1005">
        <f>Table691213[[#This Row],[Y1 Total cost]]+Table691213[[#This Row],[Y2 Total cost]]+Table691213[[#This Row],[Y3 Total cost]]</f>
        <v>0</v>
      </c>
      <c r="AJ164" s="1235" t="str">
        <f t="shared" si="12"/>
        <v/>
      </c>
      <c r="AK164" s="2303"/>
      <c r="AL164" s="2304"/>
    </row>
    <row r="165" spans="1:38" s="249" customFormat="1">
      <c r="A165" s="2169"/>
      <c r="B165" s="2106"/>
      <c r="C165" s="2106"/>
      <c r="D165" s="2169"/>
      <c r="E165" s="2106"/>
      <c r="F165" s="2106"/>
      <c r="G165" s="2250"/>
      <c r="H165" s="2251"/>
      <c r="I165" s="2251"/>
      <c r="J165" s="2252"/>
      <c r="K165" s="264" t="str">
        <f t="shared" si="11"/>
        <v/>
      </c>
      <c r="L165" s="259" t="str">
        <f t="shared" si="13"/>
        <v/>
      </c>
      <c r="M165" s="1002"/>
      <c r="N165" s="36"/>
      <c r="O165" s="36"/>
      <c r="P165" s="36"/>
      <c r="Q165" s="36"/>
      <c r="R165" s="39">
        <f>SUM(Table691213[[#This Row],[Y1 Q1 quantity]:[Y1 Q4 quantity]])</f>
        <v>0</v>
      </c>
      <c r="S165" s="1005">
        <f>Table691213[[#This Row],[Y1 Unit cost]]*Table691213[[#This Row],[Y1 Total quantity]]</f>
        <v>0</v>
      </c>
      <c r="T165" s="1002"/>
      <c r="U165" s="36"/>
      <c r="V165" s="36"/>
      <c r="W165" s="36"/>
      <c r="X165" s="36"/>
      <c r="Y165" s="39">
        <f>SUM(Table691213[[#This Row],[Y2 Q1 quantity]:[Y2 Q4 quantity]])</f>
        <v>0</v>
      </c>
      <c r="Z165" s="1005">
        <f>Table691213[[#This Row],[Y2 Unit cost]]*Table691213[[#This Row],[Y2 Total quantity]]</f>
        <v>0</v>
      </c>
      <c r="AA165" s="1002"/>
      <c r="AB165" s="36"/>
      <c r="AC165" s="36"/>
      <c r="AD165" s="36"/>
      <c r="AE165" s="36"/>
      <c r="AF165" s="39">
        <f>SUM(Table691213[[#This Row],[Y3 Q1 quantity]:[Y3 Q4 quantity]])</f>
        <v>0</v>
      </c>
      <c r="AG165" s="1005">
        <f>Table691213[[#This Row],[Y3 Unit cost]]*Table691213[[#This Row],[Y3 Total quantity]]</f>
        <v>0</v>
      </c>
      <c r="AH165" s="39">
        <f>Table691213[[#This Row],[Y1 Total quantity]]+Table691213[[#This Row],[Y2 Total quantity]]+Table691213[[#This Row],[Y3 Total quantity]]</f>
        <v>0</v>
      </c>
      <c r="AI165" s="1005">
        <f>Table691213[[#This Row],[Y1 Total cost]]+Table691213[[#This Row],[Y2 Total cost]]+Table691213[[#This Row],[Y3 Total cost]]</f>
        <v>0</v>
      </c>
      <c r="AJ165" s="1234" t="str">
        <f t="shared" si="12"/>
        <v/>
      </c>
      <c r="AK165" s="2305"/>
      <c r="AL165" s="2306"/>
    </row>
    <row r="166" spans="1:38" s="249" customFormat="1">
      <c r="A166" s="2240"/>
      <c r="B166" s="2126"/>
      <c r="C166" s="2126"/>
      <c r="D166" s="2240"/>
      <c r="E166" s="2126"/>
      <c r="F166" s="2126"/>
      <c r="G166" s="2247"/>
      <c r="H166" s="2248"/>
      <c r="I166" s="2248"/>
      <c r="J166" s="2249"/>
      <c r="K166" s="268" t="str">
        <f t="shared" si="11"/>
        <v/>
      </c>
      <c r="L166" s="261" t="str">
        <f t="shared" si="13"/>
        <v/>
      </c>
      <c r="M166" s="1002"/>
      <c r="N166" s="36"/>
      <c r="O166" s="36"/>
      <c r="P166" s="36"/>
      <c r="Q166" s="36"/>
      <c r="R166" s="39">
        <f>SUM(Table691213[[#This Row],[Y1 Q1 quantity]:[Y1 Q4 quantity]])</f>
        <v>0</v>
      </c>
      <c r="S166" s="1005">
        <f>Table691213[[#This Row],[Y1 Unit cost]]*Table691213[[#This Row],[Y1 Total quantity]]</f>
        <v>0</v>
      </c>
      <c r="T166" s="1002"/>
      <c r="U166" s="36"/>
      <c r="V166" s="36"/>
      <c r="W166" s="36"/>
      <c r="X166" s="36"/>
      <c r="Y166" s="39">
        <f>SUM(Table691213[[#This Row],[Y2 Q1 quantity]:[Y2 Q4 quantity]])</f>
        <v>0</v>
      </c>
      <c r="Z166" s="1005">
        <f>Table691213[[#This Row],[Y2 Unit cost]]*Table691213[[#This Row],[Y2 Total quantity]]</f>
        <v>0</v>
      </c>
      <c r="AA166" s="1002"/>
      <c r="AB166" s="36"/>
      <c r="AC166" s="36"/>
      <c r="AD166" s="36"/>
      <c r="AE166" s="36"/>
      <c r="AF166" s="39">
        <f>SUM(Table691213[[#This Row],[Y3 Q1 quantity]:[Y3 Q4 quantity]])</f>
        <v>0</v>
      </c>
      <c r="AG166" s="1005">
        <f>Table691213[[#This Row],[Y3 Unit cost]]*Table691213[[#This Row],[Y3 Total quantity]]</f>
        <v>0</v>
      </c>
      <c r="AH166" s="39">
        <f>Table691213[[#This Row],[Y1 Total quantity]]+Table691213[[#This Row],[Y2 Total quantity]]+Table691213[[#This Row],[Y3 Total quantity]]</f>
        <v>0</v>
      </c>
      <c r="AI166" s="1005">
        <f>Table691213[[#This Row],[Y1 Total cost]]+Table691213[[#This Row],[Y2 Total cost]]+Table691213[[#This Row],[Y3 Total cost]]</f>
        <v>0</v>
      </c>
      <c r="AJ166" s="1235" t="str">
        <f t="shared" si="12"/>
        <v/>
      </c>
      <c r="AK166" s="2303"/>
      <c r="AL166" s="2304"/>
    </row>
    <row r="167" spans="1:38" s="249" customFormat="1">
      <c r="A167" s="2169"/>
      <c r="B167" s="2106"/>
      <c r="C167" s="2106"/>
      <c r="D167" s="2169"/>
      <c r="E167" s="2106"/>
      <c r="F167" s="2106"/>
      <c r="G167" s="2250"/>
      <c r="H167" s="2251"/>
      <c r="I167" s="2251"/>
      <c r="J167" s="2252"/>
      <c r="K167" s="264" t="str">
        <f t="shared" si="11"/>
        <v/>
      </c>
      <c r="L167" s="259" t="str">
        <f t="shared" si="13"/>
        <v/>
      </c>
      <c r="M167" s="1002"/>
      <c r="N167" s="36"/>
      <c r="O167" s="36"/>
      <c r="P167" s="36"/>
      <c r="Q167" s="36"/>
      <c r="R167" s="39">
        <f>SUM(Table691213[[#This Row],[Y1 Q1 quantity]:[Y1 Q4 quantity]])</f>
        <v>0</v>
      </c>
      <c r="S167" s="1005">
        <f>Table691213[[#This Row],[Y1 Unit cost]]*Table691213[[#This Row],[Y1 Total quantity]]</f>
        <v>0</v>
      </c>
      <c r="T167" s="1002"/>
      <c r="U167" s="36"/>
      <c r="V167" s="36"/>
      <c r="W167" s="36"/>
      <c r="X167" s="36"/>
      <c r="Y167" s="39">
        <f>SUM(Table691213[[#This Row],[Y2 Q1 quantity]:[Y2 Q4 quantity]])</f>
        <v>0</v>
      </c>
      <c r="Z167" s="1005">
        <f>Table691213[[#This Row],[Y2 Unit cost]]*Table691213[[#This Row],[Y2 Total quantity]]</f>
        <v>0</v>
      </c>
      <c r="AA167" s="1002"/>
      <c r="AB167" s="36"/>
      <c r="AC167" s="36"/>
      <c r="AD167" s="36"/>
      <c r="AE167" s="36"/>
      <c r="AF167" s="39">
        <f>SUM(Table691213[[#This Row],[Y3 Q1 quantity]:[Y3 Q4 quantity]])</f>
        <v>0</v>
      </c>
      <c r="AG167" s="1005">
        <f>Table691213[[#This Row],[Y3 Unit cost]]*Table691213[[#This Row],[Y3 Total quantity]]</f>
        <v>0</v>
      </c>
      <c r="AH167" s="39">
        <f>Table691213[[#This Row],[Y1 Total quantity]]+Table691213[[#This Row],[Y2 Total quantity]]+Table691213[[#This Row],[Y3 Total quantity]]</f>
        <v>0</v>
      </c>
      <c r="AI167" s="1005">
        <f>Table691213[[#This Row],[Y1 Total cost]]+Table691213[[#This Row],[Y2 Total cost]]+Table691213[[#This Row],[Y3 Total cost]]</f>
        <v>0</v>
      </c>
      <c r="AJ167" s="1234" t="str">
        <f t="shared" si="12"/>
        <v/>
      </c>
      <c r="AK167" s="2305"/>
      <c r="AL167" s="2306"/>
    </row>
    <row r="168" spans="1:38" s="249" customFormat="1">
      <c r="A168" s="2240"/>
      <c r="B168" s="2126"/>
      <c r="C168" s="2126"/>
      <c r="D168" s="2240"/>
      <c r="E168" s="2126"/>
      <c r="F168" s="2126"/>
      <c r="G168" s="2247"/>
      <c r="H168" s="2248"/>
      <c r="I168" s="2248"/>
      <c r="J168" s="2249"/>
      <c r="K168" s="268" t="str">
        <f t="shared" si="11"/>
        <v/>
      </c>
      <c r="L168" s="261" t="str">
        <f t="shared" si="13"/>
        <v/>
      </c>
      <c r="M168" s="1002"/>
      <c r="N168" s="36"/>
      <c r="O168" s="36"/>
      <c r="P168" s="36"/>
      <c r="Q168" s="36"/>
      <c r="R168" s="39">
        <f>SUM(Table691213[[#This Row],[Y1 Q1 quantity]:[Y1 Q4 quantity]])</f>
        <v>0</v>
      </c>
      <c r="S168" s="1005">
        <f>Table691213[[#This Row],[Y1 Unit cost]]*Table691213[[#This Row],[Y1 Total quantity]]</f>
        <v>0</v>
      </c>
      <c r="T168" s="1002"/>
      <c r="U168" s="36"/>
      <c r="V168" s="36"/>
      <c r="W168" s="36"/>
      <c r="X168" s="36"/>
      <c r="Y168" s="39">
        <f>SUM(Table691213[[#This Row],[Y2 Q1 quantity]:[Y2 Q4 quantity]])</f>
        <v>0</v>
      </c>
      <c r="Z168" s="1005">
        <f>Table691213[[#This Row],[Y2 Unit cost]]*Table691213[[#This Row],[Y2 Total quantity]]</f>
        <v>0</v>
      </c>
      <c r="AA168" s="1002"/>
      <c r="AB168" s="36"/>
      <c r="AC168" s="36"/>
      <c r="AD168" s="36"/>
      <c r="AE168" s="36"/>
      <c r="AF168" s="39">
        <f>SUM(Table691213[[#This Row],[Y3 Q1 quantity]:[Y3 Q4 quantity]])</f>
        <v>0</v>
      </c>
      <c r="AG168" s="1005">
        <f>Table691213[[#This Row],[Y3 Unit cost]]*Table691213[[#This Row],[Y3 Total quantity]]</f>
        <v>0</v>
      </c>
      <c r="AH168" s="39">
        <f>Table691213[[#This Row],[Y1 Total quantity]]+Table691213[[#This Row],[Y2 Total quantity]]+Table691213[[#This Row],[Y3 Total quantity]]</f>
        <v>0</v>
      </c>
      <c r="AI168" s="1005">
        <f>Table691213[[#This Row],[Y1 Total cost]]+Table691213[[#This Row],[Y2 Total cost]]+Table691213[[#This Row],[Y3 Total cost]]</f>
        <v>0</v>
      </c>
      <c r="AJ168" s="1235" t="str">
        <f t="shared" si="12"/>
        <v/>
      </c>
      <c r="AK168" s="2303"/>
      <c r="AL168" s="2304"/>
    </row>
    <row r="169" spans="1:38" s="249" customFormat="1">
      <c r="A169" s="2169"/>
      <c r="B169" s="2106"/>
      <c r="C169" s="2106"/>
      <c r="D169" s="2169"/>
      <c r="E169" s="2106"/>
      <c r="F169" s="2106"/>
      <c r="G169" s="2250"/>
      <c r="H169" s="2251"/>
      <c r="I169" s="2251"/>
      <c r="J169" s="2252"/>
      <c r="K169" s="264" t="str">
        <f t="shared" si="11"/>
        <v/>
      </c>
      <c r="L169" s="259" t="str">
        <f t="shared" si="13"/>
        <v/>
      </c>
      <c r="M169" s="1002"/>
      <c r="N169" s="36"/>
      <c r="O169" s="36"/>
      <c r="P169" s="36"/>
      <c r="Q169" s="36"/>
      <c r="R169" s="39">
        <f>SUM(Table691213[[#This Row],[Y1 Q1 quantity]:[Y1 Q4 quantity]])</f>
        <v>0</v>
      </c>
      <c r="S169" s="1005">
        <f>Table691213[[#This Row],[Y1 Unit cost]]*Table691213[[#This Row],[Y1 Total quantity]]</f>
        <v>0</v>
      </c>
      <c r="T169" s="1002"/>
      <c r="U169" s="36"/>
      <c r="V169" s="36"/>
      <c r="W169" s="36"/>
      <c r="X169" s="36"/>
      <c r="Y169" s="39">
        <f>SUM(Table691213[[#This Row],[Y2 Q1 quantity]:[Y2 Q4 quantity]])</f>
        <v>0</v>
      </c>
      <c r="Z169" s="1005">
        <f>Table691213[[#This Row],[Y2 Unit cost]]*Table691213[[#This Row],[Y2 Total quantity]]</f>
        <v>0</v>
      </c>
      <c r="AA169" s="1002"/>
      <c r="AB169" s="36"/>
      <c r="AC169" s="36"/>
      <c r="AD169" s="36"/>
      <c r="AE169" s="36"/>
      <c r="AF169" s="39">
        <f>SUM(Table691213[[#This Row],[Y3 Q1 quantity]:[Y3 Q4 quantity]])</f>
        <v>0</v>
      </c>
      <c r="AG169" s="1005">
        <f>Table691213[[#This Row],[Y3 Unit cost]]*Table691213[[#This Row],[Y3 Total quantity]]</f>
        <v>0</v>
      </c>
      <c r="AH169" s="39">
        <f>Table691213[[#This Row],[Y1 Total quantity]]+Table691213[[#This Row],[Y2 Total quantity]]+Table691213[[#This Row],[Y3 Total quantity]]</f>
        <v>0</v>
      </c>
      <c r="AI169" s="1005">
        <f>Table691213[[#This Row],[Y1 Total cost]]+Table691213[[#This Row],[Y2 Total cost]]+Table691213[[#This Row],[Y3 Total cost]]</f>
        <v>0</v>
      </c>
      <c r="AJ169" s="1234" t="str">
        <f t="shared" si="12"/>
        <v/>
      </c>
      <c r="AK169" s="2305"/>
      <c r="AL169" s="2306"/>
    </row>
    <row r="170" spans="1:38" s="249" customFormat="1">
      <c r="A170" s="2240"/>
      <c r="B170" s="2126"/>
      <c r="C170" s="2126"/>
      <c r="D170" s="2240"/>
      <c r="E170" s="2126"/>
      <c r="F170" s="2126"/>
      <c r="G170" s="2247"/>
      <c r="H170" s="2248"/>
      <c r="I170" s="2248"/>
      <c r="J170" s="2249"/>
      <c r="K170" s="268" t="str">
        <f t="shared" si="11"/>
        <v/>
      </c>
      <c r="L170" s="261" t="str">
        <f t="shared" si="13"/>
        <v/>
      </c>
      <c r="M170" s="1002"/>
      <c r="N170" s="36"/>
      <c r="O170" s="36"/>
      <c r="P170" s="36"/>
      <c r="Q170" s="36"/>
      <c r="R170" s="39">
        <f>SUM(Table691213[[#This Row],[Y1 Q1 quantity]:[Y1 Q4 quantity]])</f>
        <v>0</v>
      </c>
      <c r="S170" s="1005">
        <f>Table691213[[#This Row],[Y1 Unit cost]]*Table691213[[#This Row],[Y1 Total quantity]]</f>
        <v>0</v>
      </c>
      <c r="T170" s="1002"/>
      <c r="U170" s="36"/>
      <c r="V170" s="36"/>
      <c r="W170" s="36"/>
      <c r="X170" s="36"/>
      <c r="Y170" s="39">
        <f>SUM(Table691213[[#This Row],[Y2 Q1 quantity]:[Y2 Q4 quantity]])</f>
        <v>0</v>
      </c>
      <c r="Z170" s="1005">
        <f>Table691213[[#This Row],[Y2 Unit cost]]*Table691213[[#This Row],[Y2 Total quantity]]</f>
        <v>0</v>
      </c>
      <c r="AA170" s="1002"/>
      <c r="AB170" s="36"/>
      <c r="AC170" s="36"/>
      <c r="AD170" s="36"/>
      <c r="AE170" s="36"/>
      <c r="AF170" s="39">
        <f>SUM(Table691213[[#This Row],[Y3 Q1 quantity]:[Y3 Q4 quantity]])</f>
        <v>0</v>
      </c>
      <c r="AG170" s="1005">
        <f>Table691213[[#This Row],[Y3 Unit cost]]*Table691213[[#This Row],[Y3 Total quantity]]</f>
        <v>0</v>
      </c>
      <c r="AH170" s="39">
        <f>Table691213[[#This Row],[Y1 Total quantity]]+Table691213[[#This Row],[Y2 Total quantity]]+Table691213[[#This Row],[Y3 Total quantity]]</f>
        <v>0</v>
      </c>
      <c r="AI170" s="1005">
        <f>Table691213[[#This Row],[Y1 Total cost]]+Table691213[[#This Row],[Y2 Total cost]]+Table691213[[#This Row],[Y3 Total cost]]</f>
        <v>0</v>
      </c>
      <c r="AJ170" s="1235" t="str">
        <f t="shared" si="12"/>
        <v/>
      </c>
      <c r="AK170" s="2303"/>
      <c r="AL170" s="2304"/>
    </row>
    <row r="171" spans="1:38" s="249" customFormat="1">
      <c r="A171" s="2169"/>
      <c r="B171" s="2106"/>
      <c r="C171" s="2106"/>
      <c r="D171" s="2169"/>
      <c r="E171" s="2106"/>
      <c r="F171" s="2106"/>
      <c r="G171" s="2250"/>
      <c r="H171" s="2251"/>
      <c r="I171" s="2251"/>
      <c r="J171" s="2252"/>
      <c r="K171" s="264" t="str">
        <f t="shared" si="11"/>
        <v/>
      </c>
      <c r="L171" s="259" t="str">
        <f t="shared" si="13"/>
        <v/>
      </c>
      <c r="M171" s="1002"/>
      <c r="N171" s="36"/>
      <c r="O171" s="36"/>
      <c r="P171" s="36"/>
      <c r="Q171" s="36"/>
      <c r="R171" s="39">
        <f>SUM(Table691213[[#This Row],[Y1 Q1 quantity]:[Y1 Q4 quantity]])</f>
        <v>0</v>
      </c>
      <c r="S171" s="1005">
        <f>Table691213[[#This Row],[Y1 Unit cost]]*Table691213[[#This Row],[Y1 Total quantity]]</f>
        <v>0</v>
      </c>
      <c r="T171" s="1002"/>
      <c r="U171" s="36"/>
      <c r="V171" s="36"/>
      <c r="W171" s="36"/>
      <c r="X171" s="36"/>
      <c r="Y171" s="39">
        <f>SUM(Table691213[[#This Row],[Y2 Q1 quantity]:[Y2 Q4 quantity]])</f>
        <v>0</v>
      </c>
      <c r="Z171" s="1005">
        <f>Table691213[[#This Row],[Y2 Unit cost]]*Table691213[[#This Row],[Y2 Total quantity]]</f>
        <v>0</v>
      </c>
      <c r="AA171" s="1002"/>
      <c r="AB171" s="36"/>
      <c r="AC171" s="36"/>
      <c r="AD171" s="36"/>
      <c r="AE171" s="36"/>
      <c r="AF171" s="39">
        <f>SUM(Table691213[[#This Row],[Y3 Q1 quantity]:[Y3 Q4 quantity]])</f>
        <v>0</v>
      </c>
      <c r="AG171" s="1005">
        <f>Table691213[[#This Row],[Y3 Unit cost]]*Table691213[[#This Row],[Y3 Total quantity]]</f>
        <v>0</v>
      </c>
      <c r="AH171" s="39">
        <f>Table691213[[#This Row],[Y1 Total quantity]]+Table691213[[#This Row],[Y2 Total quantity]]+Table691213[[#This Row],[Y3 Total quantity]]</f>
        <v>0</v>
      </c>
      <c r="AI171" s="1005">
        <f>Table691213[[#This Row],[Y1 Total cost]]+Table691213[[#This Row],[Y2 Total cost]]+Table691213[[#This Row],[Y3 Total cost]]</f>
        <v>0</v>
      </c>
      <c r="AJ171" s="1234" t="str">
        <f t="shared" si="12"/>
        <v/>
      </c>
      <c r="AK171" s="2305"/>
      <c r="AL171" s="2306"/>
    </row>
    <row r="172" spans="1:38" s="249" customFormat="1">
      <c r="A172" s="2240"/>
      <c r="B172" s="2126"/>
      <c r="C172" s="2126"/>
      <c r="D172" s="2240"/>
      <c r="E172" s="2126"/>
      <c r="F172" s="2126"/>
      <c r="G172" s="2247"/>
      <c r="H172" s="2248"/>
      <c r="I172" s="2248"/>
      <c r="J172" s="2249"/>
      <c r="K172" s="268" t="str">
        <f t="shared" si="11"/>
        <v/>
      </c>
      <c r="L172" s="261" t="str">
        <f t="shared" si="13"/>
        <v/>
      </c>
      <c r="M172" s="1002"/>
      <c r="N172" s="36"/>
      <c r="O172" s="36"/>
      <c r="P172" s="36"/>
      <c r="Q172" s="36"/>
      <c r="R172" s="39">
        <f>SUM(Table691213[[#This Row],[Y1 Q1 quantity]:[Y1 Q4 quantity]])</f>
        <v>0</v>
      </c>
      <c r="S172" s="1005">
        <f>Table691213[[#This Row],[Y1 Unit cost]]*Table691213[[#This Row],[Y1 Total quantity]]</f>
        <v>0</v>
      </c>
      <c r="T172" s="1002"/>
      <c r="U172" s="36"/>
      <c r="V172" s="36"/>
      <c r="W172" s="36"/>
      <c r="X172" s="36"/>
      <c r="Y172" s="39">
        <f>SUM(Table691213[[#This Row],[Y2 Q1 quantity]:[Y2 Q4 quantity]])</f>
        <v>0</v>
      </c>
      <c r="Z172" s="1005">
        <f>Table691213[[#This Row],[Y2 Unit cost]]*Table691213[[#This Row],[Y2 Total quantity]]</f>
        <v>0</v>
      </c>
      <c r="AA172" s="1002"/>
      <c r="AB172" s="36"/>
      <c r="AC172" s="36"/>
      <c r="AD172" s="36"/>
      <c r="AE172" s="36"/>
      <c r="AF172" s="39">
        <f>SUM(Table691213[[#This Row],[Y3 Q1 quantity]:[Y3 Q4 quantity]])</f>
        <v>0</v>
      </c>
      <c r="AG172" s="1005">
        <f>Table691213[[#This Row],[Y3 Unit cost]]*Table691213[[#This Row],[Y3 Total quantity]]</f>
        <v>0</v>
      </c>
      <c r="AH172" s="39">
        <f>Table691213[[#This Row],[Y1 Total quantity]]+Table691213[[#This Row],[Y2 Total quantity]]+Table691213[[#This Row],[Y3 Total quantity]]</f>
        <v>0</v>
      </c>
      <c r="AI172" s="1005">
        <f>Table691213[[#This Row],[Y1 Total cost]]+Table691213[[#This Row],[Y2 Total cost]]+Table691213[[#This Row],[Y3 Total cost]]</f>
        <v>0</v>
      </c>
      <c r="AJ172" s="1235" t="str">
        <f t="shared" si="12"/>
        <v/>
      </c>
      <c r="AK172" s="2303"/>
      <c r="AL172" s="2304"/>
    </row>
    <row r="173" spans="1:38" s="249" customFormat="1">
      <c r="A173" s="2169"/>
      <c r="B173" s="2106"/>
      <c r="C173" s="2106"/>
      <c r="D173" s="2169"/>
      <c r="E173" s="2106"/>
      <c r="F173" s="2106"/>
      <c r="G173" s="2250"/>
      <c r="H173" s="2251"/>
      <c r="I173" s="2251"/>
      <c r="J173" s="2252"/>
      <c r="K173" s="264" t="str">
        <f t="shared" si="11"/>
        <v/>
      </c>
      <c r="L173" s="259" t="str">
        <f t="shared" si="13"/>
        <v/>
      </c>
      <c r="M173" s="1002"/>
      <c r="N173" s="36"/>
      <c r="O173" s="36"/>
      <c r="P173" s="36"/>
      <c r="Q173" s="36"/>
      <c r="R173" s="39">
        <f>SUM(Table691213[[#This Row],[Y1 Q1 quantity]:[Y1 Q4 quantity]])</f>
        <v>0</v>
      </c>
      <c r="S173" s="1005">
        <f>Table691213[[#This Row],[Y1 Unit cost]]*Table691213[[#This Row],[Y1 Total quantity]]</f>
        <v>0</v>
      </c>
      <c r="T173" s="1002"/>
      <c r="U173" s="36"/>
      <c r="V173" s="36"/>
      <c r="W173" s="36"/>
      <c r="X173" s="36"/>
      <c r="Y173" s="39">
        <f>SUM(Table691213[[#This Row],[Y2 Q1 quantity]:[Y2 Q4 quantity]])</f>
        <v>0</v>
      </c>
      <c r="Z173" s="1005">
        <f>Table691213[[#This Row],[Y2 Unit cost]]*Table691213[[#This Row],[Y2 Total quantity]]</f>
        <v>0</v>
      </c>
      <c r="AA173" s="1002"/>
      <c r="AB173" s="36"/>
      <c r="AC173" s="36"/>
      <c r="AD173" s="36"/>
      <c r="AE173" s="36"/>
      <c r="AF173" s="39">
        <f>SUM(Table691213[[#This Row],[Y3 Q1 quantity]:[Y3 Q4 quantity]])</f>
        <v>0</v>
      </c>
      <c r="AG173" s="1005">
        <f>Table691213[[#This Row],[Y3 Unit cost]]*Table691213[[#This Row],[Y3 Total quantity]]</f>
        <v>0</v>
      </c>
      <c r="AH173" s="39">
        <f>Table691213[[#This Row],[Y1 Total quantity]]+Table691213[[#This Row],[Y2 Total quantity]]+Table691213[[#This Row],[Y3 Total quantity]]</f>
        <v>0</v>
      </c>
      <c r="AI173" s="1005">
        <f>Table691213[[#This Row],[Y1 Total cost]]+Table691213[[#This Row],[Y2 Total cost]]+Table691213[[#This Row],[Y3 Total cost]]</f>
        <v>0</v>
      </c>
      <c r="AJ173" s="1234" t="str">
        <f t="shared" si="12"/>
        <v/>
      </c>
      <c r="AK173" s="2305"/>
      <c r="AL173" s="2306"/>
    </row>
    <row r="174" spans="1:38" s="249" customFormat="1">
      <c r="A174" s="2240"/>
      <c r="B174" s="2126"/>
      <c r="C174" s="2126"/>
      <c r="D174" s="2240"/>
      <c r="E174" s="2126"/>
      <c r="F174" s="2126"/>
      <c r="G174" s="2247"/>
      <c r="H174" s="2248"/>
      <c r="I174" s="2248"/>
      <c r="J174" s="2249"/>
      <c r="K174" s="268" t="str">
        <f t="shared" si="11"/>
        <v/>
      </c>
      <c r="L174" s="261" t="str">
        <f t="shared" si="13"/>
        <v/>
      </c>
      <c r="M174" s="1002"/>
      <c r="N174" s="36"/>
      <c r="O174" s="36"/>
      <c r="P174" s="36"/>
      <c r="Q174" s="36"/>
      <c r="R174" s="39">
        <f>SUM(Table691213[[#This Row],[Y1 Q1 quantity]:[Y1 Q4 quantity]])</f>
        <v>0</v>
      </c>
      <c r="S174" s="1005">
        <f>Table691213[[#This Row],[Y1 Unit cost]]*Table691213[[#This Row],[Y1 Total quantity]]</f>
        <v>0</v>
      </c>
      <c r="T174" s="1002"/>
      <c r="U174" s="36"/>
      <c r="V174" s="36"/>
      <c r="W174" s="36"/>
      <c r="X174" s="36"/>
      <c r="Y174" s="39">
        <f>SUM(Table691213[[#This Row],[Y2 Q1 quantity]:[Y2 Q4 quantity]])</f>
        <v>0</v>
      </c>
      <c r="Z174" s="1005">
        <f>Table691213[[#This Row],[Y2 Unit cost]]*Table691213[[#This Row],[Y2 Total quantity]]</f>
        <v>0</v>
      </c>
      <c r="AA174" s="1002"/>
      <c r="AB174" s="36"/>
      <c r="AC174" s="36"/>
      <c r="AD174" s="36"/>
      <c r="AE174" s="36"/>
      <c r="AF174" s="39">
        <f>SUM(Table691213[[#This Row],[Y3 Q1 quantity]:[Y3 Q4 quantity]])</f>
        <v>0</v>
      </c>
      <c r="AG174" s="1005">
        <f>Table691213[[#This Row],[Y3 Unit cost]]*Table691213[[#This Row],[Y3 Total quantity]]</f>
        <v>0</v>
      </c>
      <c r="AH174" s="39">
        <f>Table691213[[#This Row],[Y1 Total quantity]]+Table691213[[#This Row],[Y2 Total quantity]]+Table691213[[#This Row],[Y3 Total quantity]]</f>
        <v>0</v>
      </c>
      <c r="AI174" s="1005">
        <f>Table691213[[#This Row],[Y1 Total cost]]+Table691213[[#This Row],[Y2 Total cost]]+Table691213[[#This Row],[Y3 Total cost]]</f>
        <v>0</v>
      </c>
      <c r="AJ174" s="1235" t="str">
        <f t="shared" si="12"/>
        <v/>
      </c>
      <c r="AK174" s="2303"/>
      <c r="AL174" s="2304"/>
    </row>
    <row r="175" spans="1:38" s="249" customFormat="1">
      <c r="A175" s="2169"/>
      <c r="B175" s="2106"/>
      <c r="C175" s="2106"/>
      <c r="D175" s="2169"/>
      <c r="E175" s="2106"/>
      <c r="F175" s="2106"/>
      <c r="G175" s="2250"/>
      <c r="H175" s="2251"/>
      <c r="I175" s="2251"/>
      <c r="J175" s="2252"/>
      <c r="K175" s="264" t="str">
        <f t="shared" si="11"/>
        <v/>
      </c>
      <c r="L175" s="259" t="str">
        <f t="shared" si="13"/>
        <v/>
      </c>
      <c r="M175" s="1002"/>
      <c r="N175" s="36"/>
      <c r="O175" s="36"/>
      <c r="P175" s="36"/>
      <c r="Q175" s="36"/>
      <c r="R175" s="39">
        <f>SUM(Table691213[[#This Row],[Y1 Q1 quantity]:[Y1 Q4 quantity]])</f>
        <v>0</v>
      </c>
      <c r="S175" s="1005">
        <f>Table691213[[#This Row],[Y1 Unit cost]]*Table691213[[#This Row],[Y1 Total quantity]]</f>
        <v>0</v>
      </c>
      <c r="T175" s="1002"/>
      <c r="U175" s="36"/>
      <c r="V175" s="36"/>
      <c r="W175" s="36"/>
      <c r="X175" s="36"/>
      <c r="Y175" s="39">
        <f>SUM(Table691213[[#This Row],[Y2 Q1 quantity]:[Y2 Q4 quantity]])</f>
        <v>0</v>
      </c>
      <c r="Z175" s="1005">
        <f>Table691213[[#This Row],[Y2 Unit cost]]*Table691213[[#This Row],[Y2 Total quantity]]</f>
        <v>0</v>
      </c>
      <c r="AA175" s="1002"/>
      <c r="AB175" s="36"/>
      <c r="AC175" s="36"/>
      <c r="AD175" s="36"/>
      <c r="AE175" s="36"/>
      <c r="AF175" s="39">
        <f>SUM(Table691213[[#This Row],[Y3 Q1 quantity]:[Y3 Q4 quantity]])</f>
        <v>0</v>
      </c>
      <c r="AG175" s="1005">
        <f>Table691213[[#This Row],[Y3 Unit cost]]*Table691213[[#This Row],[Y3 Total quantity]]</f>
        <v>0</v>
      </c>
      <c r="AH175" s="39">
        <f>Table691213[[#This Row],[Y1 Total quantity]]+Table691213[[#This Row],[Y2 Total quantity]]+Table691213[[#This Row],[Y3 Total quantity]]</f>
        <v>0</v>
      </c>
      <c r="AI175" s="1005">
        <f>Table691213[[#This Row],[Y1 Total cost]]+Table691213[[#This Row],[Y2 Total cost]]+Table691213[[#This Row],[Y3 Total cost]]</f>
        <v>0</v>
      </c>
      <c r="AJ175" s="1234" t="str">
        <f t="shared" si="12"/>
        <v/>
      </c>
      <c r="AK175" s="2305"/>
      <c r="AL175" s="2306"/>
    </row>
    <row r="176" spans="1:38" s="249" customFormat="1">
      <c r="A176" s="2240"/>
      <c r="B176" s="2126"/>
      <c r="C176" s="2126"/>
      <c r="D176" s="2240"/>
      <c r="E176" s="2126"/>
      <c r="F176" s="2126"/>
      <c r="G176" s="2247"/>
      <c r="H176" s="2248"/>
      <c r="I176" s="2248"/>
      <c r="J176" s="2249"/>
      <c r="K176" s="268" t="str">
        <f t="shared" si="11"/>
        <v/>
      </c>
      <c r="L176" s="261" t="str">
        <f t="shared" si="13"/>
        <v/>
      </c>
      <c r="M176" s="1002"/>
      <c r="N176" s="36"/>
      <c r="O176" s="36"/>
      <c r="P176" s="36"/>
      <c r="Q176" s="36"/>
      <c r="R176" s="39">
        <f>SUM(Table691213[[#This Row],[Y1 Q1 quantity]:[Y1 Q4 quantity]])</f>
        <v>0</v>
      </c>
      <c r="S176" s="1005">
        <f>Table691213[[#This Row],[Y1 Unit cost]]*Table691213[[#This Row],[Y1 Total quantity]]</f>
        <v>0</v>
      </c>
      <c r="T176" s="1002"/>
      <c r="U176" s="36"/>
      <c r="V176" s="36"/>
      <c r="W176" s="36"/>
      <c r="X176" s="36"/>
      <c r="Y176" s="39">
        <f>SUM(Table691213[[#This Row],[Y2 Q1 quantity]:[Y2 Q4 quantity]])</f>
        <v>0</v>
      </c>
      <c r="Z176" s="1005">
        <f>Table691213[[#This Row],[Y2 Unit cost]]*Table691213[[#This Row],[Y2 Total quantity]]</f>
        <v>0</v>
      </c>
      <c r="AA176" s="1002"/>
      <c r="AB176" s="36"/>
      <c r="AC176" s="36"/>
      <c r="AD176" s="36"/>
      <c r="AE176" s="36"/>
      <c r="AF176" s="39">
        <f>SUM(Table691213[[#This Row],[Y3 Q1 quantity]:[Y3 Q4 quantity]])</f>
        <v>0</v>
      </c>
      <c r="AG176" s="1005">
        <f>Table691213[[#This Row],[Y3 Unit cost]]*Table691213[[#This Row],[Y3 Total quantity]]</f>
        <v>0</v>
      </c>
      <c r="AH176" s="39">
        <f>Table691213[[#This Row],[Y1 Total quantity]]+Table691213[[#This Row],[Y2 Total quantity]]+Table691213[[#This Row],[Y3 Total quantity]]</f>
        <v>0</v>
      </c>
      <c r="AI176" s="1005">
        <f>Table691213[[#This Row],[Y1 Total cost]]+Table691213[[#This Row],[Y2 Total cost]]+Table691213[[#This Row],[Y3 Total cost]]</f>
        <v>0</v>
      </c>
      <c r="AJ176" s="1235" t="str">
        <f t="shared" si="12"/>
        <v/>
      </c>
      <c r="AK176" s="2303"/>
      <c r="AL176" s="2304"/>
    </row>
    <row r="177" spans="1:38" s="249" customFormat="1">
      <c r="A177" s="2169"/>
      <c r="B177" s="2106"/>
      <c r="C177" s="2106"/>
      <c r="D177" s="2169"/>
      <c r="E177" s="2106"/>
      <c r="F177" s="2106"/>
      <c r="G177" s="2250"/>
      <c r="H177" s="2251"/>
      <c r="I177" s="2251"/>
      <c r="J177" s="2252"/>
      <c r="K177" s="264" t="str">
        <f t="shared" si="11"/>
        <v/>
      </c>
      <c r="L177" s="259" t="str">
        <f t="shared" si="13"/>
        <v/>
      </c>
      <c r="M177" s="1002"/>
      <c r="N177" s="36"/>
      <c r="O177" s="36"/>
      <c r="P177" s="36"/>
      <c r="Q177" s="36"/>
      <c r="R177" s="39">
        <f>SUM(Table691213[[#This Row],[Y1 Q1 quantity]:[Y1 Q4 quantity]])</f>
        <v>0</v>
      </c>
      <c r="S177" s="1005">
        <f>Table691213[[#This Row],[Y1 Unit cost]]*Table691213[[#This Row],[Y1 Total quantity]]</f>
        <v>0</v>
      </c>
      <c r="T177" s="1002"/>
      <c r="U177" s="36"/>
      <c r="V177" s="36"/>
      <c r="W177" s="36"/>
      <c r="X177" s="36"/>
      <c r="Y177" s="39">
        <f>SUM(Table691213[[#This Row],[Y2 Q1 quantity]:[Y2 Q4 quantity]])</f>
        <v>0</v>
      </c>
      <c r="Z177" s="1005">
        <f>Table691213[[#This Row],[Y2 Unit cost]]*Table691213[[#This Row],[Y2 Total quantity]]</f>
        <v>0</v>
      </c>
      <c r="AA177" s="1002"/>
      <c r="AB177" s="36"/>
      <c r="AC177" s="36"/>
      <c r="AD177" s="36"/>
      <c r="AE177" s="36"/>
      <c r="AF177" s="39">
        <f>SUM(Table691213[[#This Row],[Y3 Q1 quantity]:[Y3 Q4 quantity]])</f>
        <v>0</v>
      </c>
      <c r="AG177" s="1005">
        <f>Table691213[[#This Row],[Y3 Unit cost]]*Table691213[[#This Row],[Y3 Total quantity]]</f>
        <v>0</v>
      </c>
      <c r="AH177" s="39">
        <f>Table691213[[#This Row],[Y1 Total quantity]]+Table691213[[#This Row],[Y2 Total quantity]]+Table691213[[#This Row],[Y3 Total quantity]]</f>
        <v>0</v>
      </c>
      <c r="AI177" s="1005">
        <f>Table691213[[#This Row],[Y1 Total cost]]+Table691213[[#This Row],[Y2 Total cost]]+Table691213[[#This Row],[Y3 Total cost]]</f>
        <v>0</v>
      </c>
      <c r="AJ177" s="1234" t="str">
        <f t="shared" si="12"/>
        <v/>
      </c>
      <c r="AK177" s="2305"/>
      <c r="AL177" s="2306"/>
    </row>
    <row r="178" spans="1:38" s="249" customFormat="1">
      <c r="A178" s="2240"/>
      <c r="B178" s="2126"/>
      <c r="C178" s="2126"/>
      <c r="D178" s="2240"/>
      <c r="E178" s="2126"/>
      <c r="F178" s="2126"/>
      <c r="G178" s="2247"/>
      <c r="H178" s="2248"/>
      <c r="I178" s="2248"/>
      <c r="J178" s="2249"/>
      <c r="K178" s="268" t="str">
        <f t="shared" si="11"/>
        <v/>
      </c>
      <c r="L178" s="261" t="str">
        <f t="shared" si="13"/>
        <v/>
      </c>
      <c r="M178" s="1002"/>
      <c r="N178" s="36"/>
      <c r="O178" s="36"/>
      <c r="P178" s="36"/>
      <c r="Q178" s="36"/>
      <c r="R178" s="39">
        <f>SUM(Table691213[[#This Row],[Y1 Q1 quantity]:[Y1 Q4 quantity]])</f>
        <v>0</v>
      </c>
      <c r="S178" s="1005">
        <f>Table691213[[#This Row],[Y1 Unit cost]]*Table691213[[#This Row],[Y1 Total quantity]]</f>
        <v>0</v>
      </c>
      <c r="T178" s="1002"/>
      <c r="U178" s="36"/>
      <c r="V178" s="36"/>
      <c r="W178" s="36"/>
      <c r="X178" s="36"/>
      <c r="Y178" s="39">
        <f>SUM(Table691213[[#This Row],[Y2 Q1 quantity]:[Y2 Q4 quantity]])</f>
        <v>0</v>
      </c>
      <c r="Z178" s="1005">
        <f>Table691213[[#This Row],[Y2 Unit cost]]*Table691213[[#This Row],[Y2 Total quantity]]</f>
        <v>0</v>
      </c>
      <c r="AA178" s="1002"/>
      <c r="AB178" s="36"/>
      <c r="AC178" s="36"/>
      <c r="AD178" s="36"/>
      <c r="AE178" s="36"/>
      <c r="AF178" s="39">
        <f>SUM(Table691213[[#This Row],[Y3 Q1 quantity]:[Y3 Q4 quantity]])</f>
        <v>0</v>
      </c>
      <c r="AG178" s="1005">
        <f>Table691213[[#This Row],[Y3 Unit cost]]*Table691213[[#This Row],[Y3 Total quantity]]</f>
        <v>0</v>
      </c>
      <c r="AH178" s="39">
        <f>Table691213[[#This Row],[Y1 Total quantity]]+Table691213[[#This Row],[Y2 Total quantity]]+Table691213[[#This Row],[Y3 Total quantity]]</f>
        <v>0</v>
      </c>
      <c r="AI178" s="1005">
        <f>Table691213[[#This Row],[Y1 Total cost]]+Table691213[[#This Row],[Y2 Total cost]]+Table691213[[#This Row],[Y3 Total cost]]</f>
        <v>0</v>
      </c>
      <c r="AJ178" s="1235" t="str">
        <f t="shared" si="12"/>
        <v/>
      </c>
      <c r="AK178" s="2303"/>
      <c r="AL178" s="2304"/>
    </row>
    <row r="179" spans="1:38" s="249" customFormat="1">
      <c r="A179" s="2169"/>
      <c r="B179" s="2106"/>
      <c r="C179" s="2106"/>
      <c r="D179" s="2169"/>
      <c r="E179" s="2106"/>
      <c r="F179" s="2106"/>
      <c r="G179" s="2250"/>
      <c r="H179" s="2251"/>
      <c r="I179" s="2251"/>
      <c r="J179" s="2252"/>
      <c r="K179" s="264" t="str">
        <f t="shared" si="11"/>
        <v/>
      </c>
      <c r="L179" s="259" t="str">
        <f t="shared" si="13"/>
        <v/>
      </c>
      <c r="M179" s="1002"/>
      <c r="N179" s="36"/>
      <c r="O179" s="36"/>
      <c r="P179" s="36"/>
      <c r="Q179" s="36"/>
      <c r="R179" s="39">
        <f>SUM(Table691213[[#This Row],[Y1 Q1 quantity]:[Y1 Q4 quantity]])</f>
        <v>0</v>
      </c>
      <c r="S179" s="1005">
        <f>Table691213[[#This Row],[Y1 Unit cost]]*Table691213[[#This Row],[Y1 Total quantity]]</f>
        <v>0</v>
      </c>
      <c r="T179" s="1002"/>
      <c r="U179" s="36"/>
      <c r="V179" s="36"/>
      <c r="W179" s="36"/>
      <c r="X179" s="36"/>
      <c r="Y179" s="39">
        <f>SUM(Table691213[[#This Row],[Y2 Q1 quantity]:[Y2 Q4 quantity]])</f>
        <v>0</v>
      </c>
      <c r="Z179" s="1005">
        <f>Table691213[[#This Row],[Y2 Unit cost]]*Table691213[[#This Row],[Y2 Total quantity]]</f>
        <v>0</v>
      </c>
      <c r="AA179" s="1002"/>
      <c r="AB179" s="36"/>
      <c r="AC179" s="36"/>
      <c r="AD179" s="36"/>
      <c r="AE179" s="36"/>
      <c r="AF179" s="39">
        <f>SUM(Table691213[[#This Row],[Y3 Q1 quantity]:[Y3 Q4 quantity]])</f>
        <v>0</v>
      </c>
      <c r="AG179" s="1005">
        <f>Table691213[[#This Row],[Y3 Unit cost]]*Table691213[[#This Row],[Y3 Total quantity]]</f>
        <v>0</v>
      </c>
      <c r="AH179" s="39">
        <f>Table691213[[#This Row],[Y1 Total quantity]]+Table691213[[#This Row],[Y2 Total quantity]]+Table691213[[#This Row],[Y3 Total quantity]]</f>
        <v>0</v>
      </c>
      <c r="AI179" s="1005">
        <f>Table691213[[#This Row],[Y1 Total cost]]+Table691213[[#This Row],[Y2 Total cost]]+Table691213[[#This Row],[Y3 Total cost]]</f>
        <v>0</v>
      </c>
      <c r="AJ179" s="1234" t="str">
        <f t="shared" si="12"/>
        <v/>
      </c>
      <c r="AK179" s="2305"/>
      <c r="AL179" s="2306"/>
    </row>
    <row r="180" spans="1:38" s="249" customFormat="1">
      <c r="A180" s="2240"/>
      <c r="B180" s="2126"/>
      <c r="C180" s="2126"/>
      <c r="D180" s="2240"/>
      <c r="E180" s="2126"/>
      <c r="F180" s="2126"/>
      <c r="G180" s="2247"/>
      <c r="H180" s="2248"/>
      <c r="I180" s="2248"/>
      <c r="J180" s="2249"/>
      <c r="K180" s="268" t="str">
        <f t="shared" si="11"/>
        <v/>
      </c>
      <c r="L180" s="261" t="str">
        <f t="shared" si="13"/>
        <v/>
      </c>
      <c r="M180" s="1002"/>
      <c r="N180" s="36"/>
      <c r="O180" s="36"/>
      <c r="P180" s="36"/>
      <c r="Q180" s="36"/>
      <c r="R180" s="39">
        <f>SUM(Table691213[[#This Row],[Y1 Q1 quantity]:[Y1 Q4 quantity]])</f>
        <v>0</v>
      </c>
      <c r="S180" s="1005">
        <f>Table691213[[#This Row],[Y1 Unit cost]]*Table691213[[#This Row],[Y1 Total quantity]]</f>
        <v>0</v>
      </c>
      <c r="T180" s="1002"/>
      <c r="U180" s="36"/>
      <c r="V180" s="36"/>
      <c r="W180" s="36"/>
      <c r="X180" s="36"/>
      <c r="Y180" s="39">
        <f>SUM(Table691213[[#This Row],[Y2 Q1 quantity]:[Y2 Q4 quantity]])</f>
        <v>0</v>
      </c>
      <c r="Z180" s="1005">
        <f>Table691213[[#This Row],[Y2 Unit cost]]*Table691213[[#This Row],[Y2 Total quantity]]</f>
        <v>0</v>
      </c>
      <c r="AA180" s="1002"/>
      <c r="AB180" s="36"/>
      <c r="AC180" s="36"/>
      <c r="AD180" s="36"/>
      <c r="AE180" s="36"/>
      <c r="AF180" s="39">
        <f>SUM(Table691213[[#This Row],[Y3 Q1 quantity]:[Y3 Q4 quantity]])</f>
        <v>0</v>
      </c>
      <c r="AG180" s="1005">
        <f>Table691213[[#This Row],[Y3 Unit cost]]*Table691213[[#This Row],[Y3 Total quantity]]</f>
        <v>0</v>
      </c>
      <c r="AH180" s="39">
        <f>Table691213[[#This Row],[Y1 Total quantity]]+Table691213[[#This Row],[Y2 Total quantity]]+Table691213[[#This Row],[Y3 Total quantity]]</f>
        <v>0</v>
      </c>
      <c r="AI180" s="1005">
        <f>Table691213[[#This Row],[Y1 Total cost]]+Table691213[[#This Row],[Y2 Total cost]]+Table691213[[#This Row],[Y3 Total cost]]</f>
        <v>0</v>
      </c>
      <c r="AJ180" s="1235" t="str">
        <f t="shared" si="12"/>
        <v/>
      </c>
      <c r="AK180" s="2303"/>
      <c r="AL180" s="2304"/>
    </row>
    <row r="181" spans="1:38" s="249" customFormat="1">
      <c r="A181" s="2169"/>
      <c r="B181" s="2106"/>
      <c r="C181" s="2106"/>
      <c r="D181" s="2169"/>
      <c r="E181" s="2106"/>
      <c r="F181" s="2106"/>
      <c r="G181" s="2250"/>
      <c r="H181" s="2251"/>
      <c r="I181" s="2251"/>
      <c r="J181" s="2252"/>
      <c r="K181" s="264" t="str">
        <f t="shared" si="11"/>
        <v/>
      </c>
      <c r="L181" s="259" t="str">
        <f t="shared" si="13"/>
        <v/>
      </c>
      <c r="M181" s="1002"/>
      <c r="N181" s="36"/>
      <c r="O181" s="36"/>
      <c r="P181" s="36"/>
      <c r="Q181" s="36"/>
      <c r="R181" s="39">
        <f>SUM(Table691213[[#This Row],[Y1 Q1 quantity]:[Y1 Q4 quantity]])</f>
        <v>0</v>
      </c>
      <c r="S181" s="1005">
        <f>Table691213[[#This Row],[Y1 Unit cost]]*Table691213[[#This Row],[Y1 Total quantity]]</f>
        <v>0</v>
      </c>
      <c r="T181" s="1002"/>
      <c r="U181" s="36"/>
      <c r="V181" s="36"/>
      <c r="W181" s="36"/>
      <c r="X181" s="36"/>
      <c r="Y181" s="39">
        <f>SUM(Table691213[[#This Row],[Y2 Q1 quantity]:[Y2 Q4 quantity]])</f>
        <v>0</v>
      </c>
      <c r="Z181" s="1005">
        <f>Table691213[[#This Row],[Y2 Unit cost]]*Table691213[[#This Row],[Y2 Total quantity]]</f>
        <v>0</v>
      </c>
      <c r="AA181" s="1002"/>
      <c r="AB181" s="36"/>
      <c r="AC181" s="36"/>
      <c r="AD181" s="36"/>
      <c r="AE181" s="36"/>
      <c r="AF181" s="39">
        <f>SUM(Table691213[[#This Row],[Y3 Q1 quantity]:[Y3 Q4 quantity]])</f>
        <v>0</v>
      </c>
      <c r="AG181" s="1005">
        <f>Table691213[[#This Row],[Y3 Unit cost]]*Table691213[[#This Row],[Y3 Total quantity]]</f>
        <v>0</v>
      </c>
      <c r="AH181" s="39">
        <f>Table691213[[#This Row],[Y1 Total quantity]]+Table691213[[#This Row],[Y2 Total quantity]]+Table691213[[#This Row],[Y3 Total quantity]]</f>
        <v>0</v>
      </c>
      <c r="AI181" s="1005">
        <f>Table691213[[#This Row],[Y1 Total cost]]+Table691213[[#This Row],[Y2 Total cost]]+Table691213[[#This Row],[Y3 Total cost]]</f>
        <v>0</v>
      </c>
      <c r="AJ181" s="1234" t="str">
        <f t="shared" si="12"/>
        <v/>
      </c>
      <c r="AK181" s="2305"/>
      <c r="AL181" s="2306"/>
    </row>
    <row r="182" spans="1:38" s="249" customFormat="1">
      <c r="A182" s="2240"/>
      <c r="B182" s="2126"/>
      <c r="C182" s="2126"/>
      <c r="D182" s="2240"/>
      <c r="E182" s="2126"/>
      <c r="F182" s="2126"/>
      <c r="G182" s="2247"/>
      <c r="H182" s="2248"/>
      <c r="I182" s="2248"/>
      <c r="J182" s="2249"/>
      <c r="K182" s="268" t="str">
        <f t="shared" si="11"/>
        <v/>
      </c>
      <c r="L182" s="261" t="str">
        <f t="shared" si="13"/>
        <v/>
      </c>
      <c r="M182" s="1002"/>
      <c r="N182" s="36"/>
      <c r="O182" s="36"/>
      <c r="P182" s="36"/>
      <c r="Q182" s="36"/>
      <c r="R182" s="39">
        <f>SUM(Table691213[[#This Row],[Y1 Q1 quantity]:[Y1 Q4 quantity]])</f>
        <v>0</v>
      </c>
      <c r="S182" s="1005">
        <f>Table691213[[#This Row],[Y1 Unit cost]]*Table691213[[#This Row],[Y1 Total quantity]]</f>
        <v>0</v>
      </c>
      <c r="T182" s="1002"/>
      <c r="U182" s="36"/>
      <c r="V182" s="36"/>
      <c r="W182" s="36"/>
      <c r="X182" s="36"/>
      <c r="Y182" s="39">
        <f>SUM(Table691213[[#This Row],[Y2 Q1 quantity]:[Y2 Q4 quantity]])</f>
        <v>0</v>
      </c>
      <c r="Z182" s="1005">
        <f>Table691213[[#This Row],[Y2 Unit cost]]*Table691213[[#This Row],[Y2 Total quantity]]</f>
        <v>0</v>
      </c>
      <c r="AA182" s="1002"/>
      <c r="AB182" s="36"/>
      <c r="AC182" s="36"/>
      <c r="AD182" s="36"/>
      <c r="AE182" s="36"/>
      <c r="AF182" s="39">
        <f>SUM(Table691213[[#This Row],[Y3 Q1 quantity]:[Y3 Q4 quantity]])</f>
        <v>0</v>
      </c>
      <c r="AG182" s="1005">
        <f>Table691213[[#This Row],[Y3 Unit cost]]*Table691213[[#This Row],[Y3 Total quantity]]</f>
        <v>0</v>
      </c>
      <c r="AH182" s="39">
        <f>Table691213[[#This Row],[Y1 Total quantity]]+Table691213[[#This Row],[Y2 Total quantity]]+Table691213[[#This Row],[Y3 Total quantity]]</f>
        <v>0</v>
      </c>
      <c r="AI182" s="1005">
        <f>Table691213[[#This Row],[Y1 Total cost]]+Table691213[[#This Row],[Y2 Total cost]]+Table691213[[#This Row],[Y3 Total cost]]</f>
        <v>0</v>
      </c>
      <c r="AJ182" s="1235" t="str">
        <f t="shared" si="12"/>
        <v/>
      </c>
      <c r="AK182" s="2303"/>
      <c r="AL182" s="2304"/>
    </row>
    <row r="183" spans="1:38" s="249" customFormat="1">
      <c r="A183" s="2169"/>
      <c r="B183" s="2106"/>
      <c r="C183" s="2106"/>
      <c r="D183" s="2169"/>
      <c r="E183" s="2106"/>
      <c r="F183" s="2106"/>
      <c r="G183" s="2250"/>
      <c r="H183" s="2251"/>
      <c r="I183" s="2251"/>
      <c r="J183" s="2252"/>
      <c r="K183" s="264" t="str">
        <f t="shared" si="11"/>
        <v/>
      </c>
      <c r="L183" s="259" t="str">
        <f t="shared" si="13"/>
        <v/>
      </c>
      <c r="M183" s="1002"/>
      <c r="N183" s="36"/>
      <c r="O183" s="36"/>
      <c r="P183" s="36"/>
      <c r="Q183" s="36"/>
      <c r="R183" s="39">
        <f>SUM(Table691213[[#This Row],[Y1 Q1 quantity]:[Y1 Q4 quantity]])</f>
        <v>0</v>
      </c>
      <c r="S183" s="1005">
        <f>Table691213[[#This Row],[Y1 Unit cost]]*Table691213[[#This Row],[Y1 Total quantity]]</f>
        <v>0</v>
      </c>
      <c r="T183" s="1002"/>
      <c r="U183" s="36"/>
      <c r="V183" s="36"/>
      <c r="W183" s="36"/>
      <c r="X183" s="36"/>
      <c r="Y183" s="39">
        <f>SUM(Table691213[[#This Row],[Y2 Q1 quantity]:[Y2 Q4 quantity]])</f>
        <v>0</v>
      </c>
      <c r="Z183" s="1005">
        <f>Table691213[[#This Row],[Y2 Unit cost]]*Table691213[[#This Row],[Y2 Total quantity]]</f>
        <v>0</v>
      </c>
      <c r="AA183" s="1002"/>
      <c r="AB183" s="36"/>
      <c r="AC183" s="36"/>
      <c r="AD183" s="36"/>
      <c r="AE183" s="36"/>
      <c r="AF183" s="39">
        <f>SUM(Table691213[[#This Row],[Y3 Q1 quantity]:[Y3 Q4 quantity]])</f>
        <v>0</v>
      </c>
      <c r="AG183" s="1005">
        <f>Table691213[[#This Row],[Y3 Unit cost]]*Table691213[[#This Row],[Y3 Total quantity]]</f>
        <v>0</v>
      </c>
      <c r="AH183" s="39">
        <f>Table691213[[#This Row],[Y1 Total quantity]]+Table691213[[#This Row],[Y2 Total quantity]]+Table691213[[#This Row],[Y3 Total quantity]]</f>
        <v>0</v>
      </c>
      <c r="AI183" s="1005">
        <f>Table691213[[#This Row],[Y1 Total cost]]+Table691213[[#This Row],[Y2 Total cost]]+Table691213[[#This Row],[Y3 Total cost]]</f>
        <v>0</v>
      </c>
      <c r="AJ183" s="1234" t="str">
        <f t="shared" si="12"/>
        <v/>
      </c>
      <c r="AK183" s="2305"/>
      <c r="AL183" s="2306"/>
    </row>
    <row r="184" spans="1:38" s="249" customFormat="1">
      <c r="A184" s="2240"/>
      <c r="B184" s="2126"/>
      <c r="C184" s="2126"/>
      <c r="D184" s="2240"/>
      <c r="E184" s="2126"/>
      <c r="F184" s="2126"/>
      <c r="G184" s="2247"/>
      <c r="H184" s="2248"/>
      <c r="I184" s="2248"/>
      <c r="J184" s="2249"/>
      <c r="K184" s="268" t="str">
        <f t="shared" si="11"/>
        <v/>
      </c>
      <c r="L184" s="261" t="str">
        <f t="shared" si="13"/>
        <v/>
      </c>
      <c r="M184" s="1002"/>
      <c r="N184" s="36"/>
      <c r="O184" s="36"/>
      <c r="P184" s="36"/>
      <c r="Q184" s="36"/>
      <c r="R184" s="39">
        <f>SUM(Table691213[[#This Row],[Y1 Q1 quantity]:[Y1 Q4 quantity]])</f>
        <v>0</v>
      </c>
      <c r="S184" s="1005">
        <f>Table691213[[#This Row],[Y1 Unit cost]]*Table691213[[#This Row],[Y1 Total quantity]]</f>
        <v>0</v>
      </c>
      <c r="T184" s="1002"/>
      <c r="U184" s="36"/>
      <c r="V184" s="36"/>
      <c r="W184" s="36"/>
      <c r="X184" s="36"/>
      <c r="Y184" s="39">
        <f>SUM(Table691213[[#This Row],[Y2 Q1 quantity]:[Y2 Q4 quantity]])</f>
        <v>0</v>
      </c>
      <c r="Z184" s="1005">
        <f>Table691213[[#This Row],[Y2 Unit cost]]*Table691213[[#This Row],[Y2 Total quantity]]</f>
        <v>0</v>
      </c>
      <c r="AA184" s="1002"/>
      <c r="AB184" s="36"/>
      <c r="AC184" s="36"/>
      <c r="AD184" s="36"/>
      <c r="AE184" s="36"/>
      <c r="AF184" s="39">
        <f>SUM(Table691213[[#This Row],[Y3 Q1 quantity]:[Y3 Q4 quantity]])</f>
        <v>0</v>
      </c>
      <c r="AG184" s="1005">
        <f>Table691213[[#This Row],[Y3 Unit cost]]*Table691213[[#This Row],[Y3 Total quantity]]</f>
        <v>0</v>
      </c>
      <c r="AH184" s="39">
        <f>Table691213[[#This Row],[Y1 Total quantity]]+Table691213[[#This Row],[Y2 Total quantity]]+Table691213[[#This Row],[Y3 Total quantity]]</f>
        <v>0</v>
      </c>
      <c r="AI184" s="1005">
        <f>Table691213[[#This Row],[Y1 Total cost]]+Table691213[[#This Row],[Y2 Total cost]]+Table691213[[#This Row],[Y3 Total cost]]</f>
        <v>0</v>
      </c>
      <c r="AJ184" s="1235" t="str">
        <f t="shared" si="12"/>
        <v/>
      </c>
      <c r="AK184" s="2303"/>
      <c r="AL184" s="2304"/>
    </row>
    <row r="185" spans="1:38" s="249" customFormat="1">
      <c r="A185" s="2169"/>
      <c r="B185" s="2106"/>
      <c r="C185" s="2106"/>
      <c r="D185" s="2169"/>
      <c r="E185" s="2106"/>
      <c r="F185" s="2106"/>
      <c r="G185" s="2250"/>
      <c r="H185" s="2251"/>
      <c r="I185" s="2251"/>
      <c r="J185" s="2252"/>
      <c r="K185" s="264" t="str">
        <f t="shared" si="11"/>
        <v/>
      </c>
      <c r="L185" s="259" t="str">
        <f t="shared" si="13"/>
        <v/>
      </c>
      <c r="M185" s="1002"/>
      <c r="N185" s="36"/>
      <c r="O185" s="36"/>
      <c r="P185" s="36"/>
      <c r="Q185" s="36"/>
      <c r="R185" s="39">
        <f>SUM(Table691213[[#This Row],[Y1 Q1 quantity]:[Y1 Q4 quantity]])</f>
        <v>0</v>
      </c>
      <c r="S185" s="1005">
        <f>Table691213[[#This Row],[Y1 Unit cost]]*Table691213[[#This Row],[Y1 Total quantity]]</f>
        <v>0</v>
      </c>
      <c r="T185" s="1002"/>
      <c r="U185" s="36"/>
      <c r="V185" s="36"/>
      <c r="W185" s="36"/>
      <c r="X185" s="36"/>
      <c r="Y185" s="39">
        <f>SUM(Table691213[[#This Row],[Y2 Q1 quantity]:[Y2 Q4 quantity]])</f>
        <v>0</v>
      </c>
      <c r="Z185" s="1005">
        <f>Table691213[[#This Row],[Y2 Unit cost]]*Table691213[[#This Row],[Y2 Total quantity]]</f>
        <v>0</v>
      </c>
      <c r="AA185" s="1002"/>
      <c r="AB185" s="36"/>
      <c r="AC185" s="36"/>
      <c r="AD185" s="36"/>
      <c r="AE185" s="36"/>
      <c r="AF185" s="39">
        <f>SUM(Table691213[[#This Row],[Y3 Q1 quantity]:[Y3 Q4 quantity]])</f>
        <v>0</v>
      </c>
      <c r="AG185" s="1005">
        <f>Table691213[[#This Row],[Y3 Unit cost]]*Table691213[[#This Row],[Y3 Total quantity]]</f>
        <v>0</v>
      </c>
      <c r="AH185" s="39">
        <f>Table691213[[#This Row],[Y1 Total quantity]]+Table691213[[#This Row],[Y2 Total quantity]]+Table691213[[#This Row],[Y3 Total quantity]]</f>
        <v>0</v>
      </c>
      <c r="AI185" s="1005">
        <f>Table691213[[#This Row],[Y1 Total cost]]+Table691213[[#This Row],[Y2 Total cost]]+Table691213[[#This Row],[Y3 Total cost]]</f>
        <v>0</v>
      </c>
      <c r="AJ185" s="1234" t="str">
        <f t="shared" si="12"/>
        <v/>
      </c>
      <c r="AK185" s="2305"/>
      <c r="AL185" s="2306"/>
    </row>
    <row r="186" spans="1:38" s="249" customFormat="1">
      <c r="A186" s="2240"/>
      <c r="B186" s="2126"/>
      <c r="C186" s="2126"/>
      <c r="D186" s="2240"/>
      <c r="E186" s="2126"/>
      <c r="F186" s="2126"/>
      <c r="G186" s="2247"/>
      <c r="H186" s="2248"/>
      <c r="I186" s="2248"/>
      <c r="J186" s="2249"/>
      <c r="K186" s="268" t="str">
        <f t="shared" si="11"/>
        <v/>
      </c>
      <c r="L186" s="261" t="str">
        <f t="shared" si="13"/>
        <v/>
      </c>
      <c r="M186" s="1002"/>
      <c r="N186" s="36"/>
      <c r="O186" s="36"/>
      <c r="P186" s="36"/>
      <c r="Q186" s="36"/>
      <c r="R186" s="39">
        <f>SUM(Table691213[[#This Row],[Y1 Q1 quantity]:[Y1 Q4 quantity]])</f>
        <v>0</v>
      </c>
      <c r="S186" s="1005">
        <f>Table691213[[#This Row],[Y1 Unit cost]]*Table691213[[#This Row],[Y1 Total quantity]]</f>
        <v>0</v>
      </c>
      <c r="T186" s="1002"/>
      <c r="U186" s="36"/>
      <c r="V186" s="36"/>
      <c r="W186" s="36"/>
      <c r="X186" s="36"/>
      <c r="Y186" s="39">
        <f>SUM(Table691213[[#This Row],[Y2 Q1 quantity]:[Y2 Q4 quantity]])</f>
        <v>0</v>
      </c>
      <c r="Z186" s="1005">
        <f>Table691213[[#This Row],[Y2 Unit cost]]*Table691213[[#This Row],[Y2 Total quantity]]</f>
        <v>0</v>
      </c>
      <c r="AA186" s="1002"/>
      <c r="AB186" s="36"/>
      <c r="AC186" s="36"/>
      <c r="AD186" s="36"/>
      <c r="AE186" s="36"/>
      <c r="AF186" s="39">
        <f>SUM(Table691213[[#This Row],[Y3 Q1 quantity]:[Y3 Q4 quantity]])</f>
        <v>0</v>
      </c>
      <c r="AG186" s="1005">
        <f>Table691213[[#This Row],[Y3 Unit cost]]*Table691213[[#This Row],[Y3 Total quantity]]</f>
        <v>0</v>
      </c>
      <c r="AH186" s="39">
        <f>Table691213[[#This Row],[Y1 Total quantity]]+Table691213[[#This Row],[Y2 Total quantity]]+Table691213[[#This Row],[Y3 Total quantity]]</f>
        <v>0</v>
      </c>
      <c r="AI186" s="1005">
        <f>Table691213[[#This Row],[Y1 Total cost]]+Table691213[[#This Row],[Y2 Total cost]]+Table691213[[#This Row],[Y3 Total cost]]</f>
        <v>0</v>
      </c>
      <c r="AJ186" s="1235" t="str">
        <f t="shared" si="12"/>
        <v/>
      </c>
      <c r="AK186" s="2303"/>
      <c r="AL186" s="2304"/>
    </row>
    <row r="187" spans="1:38" s="249" customFormat="1">
      <c r="A187" s="2169"/>
      <c r="B187" s="2106"/>
      <c r="C187" s="2106"/>
      <c r="D187" s="2169"/>
      <c r="E187" s="2106"/>
      <c r="F187" s="2106"/>
      <c r="G187" s="2250"/>
      <c r="H187" s="2251"/>
      <c r="I187" s="2251"/>
      <c r="J187" s="2252"/>
      <c r="K187" s="264" t="str">
        <f t="shared" si="11"/>
        <v/>
      </c>
      <c r="L187" s="259" t="str">
        <f t="shared" si="13"/>
        <v/>
      </c>
      <c r="M187" s="1002"/>
      <c r="N187" s="36"/>
      <c r="O187" s="36"/>
      <c r="P187" s="36"/>
      <c r="Q187" s="36"/>
      <c r="R187" s="39">
        <f>SUM(Table691213[[#This Row],[Y1 Q1 quantity]:[Y1 Q4 quantity]])</f>
        <v>0</v>
      </c>
      <c r="S187" s="1005">
        <f>Table691213[[#This Row],[Y1 Unit cost]]*Table691213[[#This Row],[Y1 Total quantity]]</f>
        <v>0</v>
      </c>
      <c r="T187" s="1002"/>
      <c r="U187" s="36"/>
      <c r="V187" s="36"/>
      <c r="W187" s="36"/>
      <c r="X187" s="36"/>
      <c r="Y187" s="39">
        <f>SUM(Table691213[[#This Row],[Y2 Q1 quantity]:[Y2 Q4 quantity]])</f>
        <v>0</v>
      </c>
      <c r="Z187" s="1005">
        <f>Table691213[[#This Row],[Y2 Unit cost]]*Table691213[[#This Row],[Y2 Total quantity]]</f>
        <v>0</v>
      </c>
      <c r="AA187" s="1002"/>
      <c r="AB187" s="36"/>
      <c r="AC187" s="36"/>
      <c r="AD187" s="36"/>
      <c r="AE187" s="36"/>
      <c r="AF187" s="39">
        <f>SUM(Table691213[[#This Row],[Y3 Q1 quantity]:[Y3 Q4 quantity]])</f>
        <v>0</v>
      </c>
      <c r="AG187" s="1005">
        <f>Table691213[[#This Row],[Y3 Unit cost]]*Table691213[[#This Row],[Y3 Total quantity]]</f>
        <v>0</v>
      </c>
      <c r="AH187" s="39">
        <f>Table691213[[#This Row],[Y1 Total quantity]]+Table691213[[#This Row],[Y2 Total quantity]]+Table691213[[#This Row],[Y3 Total quantity]]</f>
        <v>0</v>
      </c>
      <c r="AI187" s="1005">
        <f>Table691213[[#This Row],[Y1 Total cost]]+Table691213[[#This Row],[Y2 Total cost]]+Table691213[[#This Row],[Y3 Total cost]]</f>
        <v>0</v>
      </c>
      <c r="AJ187" s="1234" t="str">
        <f t="shared" si="12"/>
        <v/>
      </c>
      <c r="AK187" s="2305"/>
      <c r="AL187" s="2306"/>
    </row>
    <row r="188" spans="1:38" s="249" customFormat="1">
      <c r="A188" s="2240"/>
      <c r="B188" s="2126"/>
      <c r="C188" s="2126"/>
      <c r="D188" s="2240"/>
      <c r="E188" s="2126"/>
      <c r="F188" s="2126"/>
      <c r="G188" s="2247"/>
      <c r="H188" s="2248"/>
      <c r="I188" s="2248"/>
      <c r="J188" s="2249"/>
      <c r="K188" s="268" t="str">
        <f t="shared" si="11"/>
        <v/>
      </c>
      <c r="L188" s="261" t="str">
        <f t="shared" si="13"/>
        <v/>
      </c>
      <c r="M188" s="1002"/>
      <c r="N188" s="36"/>
      <c r="O188" s="36"/>
      <c r="P188" s="36"/>
      <c r="Q188" s="36"/>
      <c r="R188" s="39">
        <f>SUM(Table691213[[#This Row],[Y1 Q1 quantity]:[Y1 Q4 quantity]])</f>
        <v>0</v>
      </c>
      <c r="S188" s="1005">
        <f>Table691213[[#This Row],[Y1 Unit cost]]*Table691213[[#This Row],[Y1 Total quantity]]</f>
        <v>0</v>
      </c>
      <c r="T188" s="1002"/>
      <c r="U188" s="36"/>
      <c r="V188" s="36"/>
      <c r="W188" s="36"/>
      <c r="X188" s="36"/>
      <c r="Y188" s="39">
        <f>SUM(Table691213[[#This Row],[Y2 Q1 quantity]:[Y2 Q4 quantity]])</f>
        <v>0</v>
      </c>
      <c r="Z188" s="1005">
        <f>Table691213[[#This Row],[Y2 Unit cost]]*Table691213[[#This Row],[Y2 Total quantity]]</f>
        <v>0</v>
      </c>
      <c r="AA188" s="1002"/>
      <c r="AB188" s="36"/>
      <c r="AC188" s="36"/>
      <c r="AD188" s="36"/>
      <c r="AE188" s="36"/>
      <c r="AF188" s="39">
        <f>SUM(Table691213[[#This Row],[Y3 Q1 quantity]:[Y3 Q4 quantity]])</f>
        <v>0</v>
      </c>
      <c r="AG188" s="1005">
        <f>Table691213[[#This Row],[Y3 Unit cost]]*Table691213[[#This Row],[Y3 Total quantity]]</f>
        <v>0</v>
      </c>
      <c r="AH188" s="39">
        <f>Table691213[[#This Row],[Y1 Total quantity]]+Table691213[[#This Row],[Y2 Total quantity]]+Table691213[[#This Row],[Y3 Total quantity]]</f>
        <v>0</v>
      </c>
      <c r="AI188" s="1005">
        <f>Table691213[[#This Row],[Y1 Total cost]]+Table691213[[#This Row],[Y2 Total cost]]+Table691213[[#This Row],[Y3 Total cost]]</f>
        <v>0</v>
      </c>
      <c r="AJ188" s="1235" t="str">
        <f t="shared" si="12"/>
        <v/>
      </c>
      <c r="AK188" s="2303"/>
      <c r="AL188" s="2304"/>
    </row>
    <row r="189" spans="1:38" s="249" customFormat="1">
      <c r="A189" s="2169"/>
      <c r="B189" s="2106"/>
      <c r="C189" s="2106"/>
      <c r="D189" s="2169"/>
      <c r="E189" s="2106"/>
      <c r="F189" s="2106"/>
      <c r="G189" s="2250"/>
      <c r="H189" s="2251"/>
      <c r="I189" s="2251"/>
      <c r="J189" s="2252"/>
      <c r="K189" s="264" t="str">
        <f t="shared" ref="K189:K223" si="14">IF(D189="","","Piece")</f>
        <v/>
      </c>
      <c r="L189" s="259" t="str">
        <f t="shared" si="13"/>
        <v/>
      </c>
      <c r="M189" s="1002"/>
      <c r="N189" s="36"/>
      <c r="O189" s="36"/>
      <c r="P189" s="36"/>
      <c r="Q189" s="36"/>
      <c r="R189" s="39">
        <f>SUM(Table691213[[#This Row],[Y1 Q1 quantity]:[Y1 Q4 quantity]])</f>
        <v>0</v>
      </c>
      <c r="S189" s="1005">
        <f>Table691213[[#This Row],[Y1 Unit cost]]*Table691213[[#This Row],[Y1 Total quantity]]</f>
        <v>0</v>
      </c>
      <c r="T189" s="1002"/>
      <c r="U189" s="36"/>
      <c r="V189" s="36"/>
      <c r="W189" s="36"/>
      <c r="X189" s="36"/>
      <c r="Y189" s="39">
        <f>SUM(Table691213[[#This Row],[Y2 Q1 quantity]:[Y2 Q4 quantity]])</f>
        <v>0</v>
      </c>
      <c r="Z189" s="1005">
        <f>Table691213[[#This Row],[Y2 Unit cost]]*Table691213[[#This Row],[Y2 Total quantity]]</f>
        <v>0</v>
      </c>
      <c r="AA189" s="1002"/>
      <c r="AB189" s="36"/>
      <c r="AC189" s="36"/>
      <c r="AD189" s="36"/>
      <c r="AE189" s="36"/>
      <c r="AF189" s="39">
        <f>SUM(Table691213[[#This Row],[Y3 Q1 quantity]:[Y3 Q4 quantity]])</f>
        <v>0</v>
      </c>
      <c r="AG189" s="1005">
        <f>Table691213[[#This Row],[Y3 Unit cost]]*Table691213[[#This Row],[Y3 Total quantity]]</f>
        <v>0</v>
      </c>
      <c r="AH189" s="39">
        <f>Table691213[[#This Row],[Y1 Total quantity]]+Table691213[[#This Row],[Y2 Total quantity]]+Table691213[[#This Row],[Y3 Total quantity]]</f>
        <v>0</v>
      </c>
      <c r="AI189" s="1005">
        <f>Table691213[[#This Row],[Y1 Total cost]]+Table691213[[#This Row],[Y2 Total cost]]+Table691213[[#This Row],[Y3 Total cost]]</f>
        <v>0</v>
      </c>
      <c r="AJ189" s="1234" t="str">
        <f t="shared" ref="AJ189:AJ223" si="15">IF(ISBLANK(D189),"",IF(OR(ISNUMBER(SEARCH("Equipment",G189)),ISNUMBER(SEARCH("Spare",G189)),ISNUMBER(SEARCH("Laboratory equipment",D189)),ISNUMBER(SEARCH("ECG",D189)),ISNUMBER(SEARCH("Equipment-Other",D189)),ISNUMBER(SEARCH("X-ray",D189))),"6.6",IF(OR(ISNUMBER(SEARCH("Warranty",G189)),ISNUMBER(SEARCH("Calibration",G189)),ISNUMBER(SEARCH("maintenance and services",D189)),ISNUMBER(SEARCH("Autoclave",D189))),"6.5",IF(ISNUMBER(SEARCH("Syringes",D189)),"5.7",IF(OR(ISNUMBER(SEARCH("Consumables",D189)),ISNUMBER(SEARCH("VMMC Kits",D189))),"5.8",IF(ISNUMBER(SEARCH("Rapid Diagnostic Test",D189)),"5.4","5.6"))))))</f>
        <v/>
      </c>
      <c r="AK189" s="2305"/>
      <c r="AL189" s="2306"/>
    </row>
    <row r="190" spans="1:38" s="249" customFormat="1">
      <c r="A190" s="2240"/>
      <c r="B190" s="2126"/>
      <c r="C190" s="2126"/>
      <c r="D190" s="2240"/>
      <c r="E190" s="2126"/>
      <c r="F190" s="2126"/>
      <c r="G190" s="2247"/>
      <c r="H190" s="2248"/>
      <c r="I190" s="2248"/>
      <c r="J190" s="2249"/>
      <c r="K190" s="268" t="str">
        <f t="shared" si="14"/>
        <v/>
      </c>
      <c r="L190" s="261" t="str">
        <f t="shared" ref="L190:L223" si="16">IF(K190="", "","USD")</f>
        <v/>
      </c>
      <c r="M190" s="1002"/>
      <c r="N190" s="36"/>
      <c r="O190" s="36"/>
      <c r="P190" s="36"/>
      <c r="Q190" s="36"/>
      <c r="R190" s="39">
        <f>SUM(Table691213[[#This Row],[Y1 Q1 quantity]:[Y1 Q4 quantity]])</f>
        <v>0</v>
      </c>
      <c r="S190" s="1005">
        <f>Table691213[[#This Row],[Y1 Unit cost]]*Table691213[[#This Row],[Y1 Total quantity]]</f>
        <v>0</v>
      </c>
      <c r="T190" s="1002"/>
      <c r="U190" s="36"/>
      <c r="V190" s="36"/>
      <c r="W190" s="36"/>
      <c r="X190" s="36"/>
      <c r="Y190" s="39">
        <f>SUM(Table691213[[#This Row],[Y2 Q1 quantity]:[Y2 Q4 quantity]])</f>
        <v>0</v>
      </c>
      <c r="Z190" s="1005">
        <f>Table691213[[#This Row],[Y2 Unit cost]]*Table691213[[#This Row],[Y2 Total quantity]]</f>
        <v>0</v>
      </c>
      <c r="AA190" s="1002"/>
      <c r="AB190" s="36"/>
      <c r="AC190" s="36"/>
      <c r="AD190" s="36"/>
      <c r="AE190" s="36"/>
      <c r="AF190" s="39">
        <f>SUM(Table691213[[#This Row],[Y3 Q1 quantity]:[Y3 Q4 quantity]])</f>
        <v>0</v>
      </c>
      <c r="AG190" s="1005">
        <f>Table691213[[#This Row],[Y3 Unit cost]]*Table691213[[#This Row],[Y3 Total quantity]]</f>
        <v>0</v>
      </c>
      <c r="AH190" s="39">
        <f>Table691213[[#This Row],[Y1 Total quantity]]+Table691213[[#This Row],[Y2 Total quantity]]+Table691213[[#This Row],[Y3 Total quantity]]</f>
        <v>0</v>
      </c>
      <c r="AI190" s="1005">
        <f>Table691213[[#This Row],[Y1 Total cost]]+Table691213[[#This Row],[Y2 Total cost]]+Table691213[[#This Row],[Y3 Total cost]]</f>
        <v>0</v>
      </c>
      <c r="AJ190" s="1235" t="str">
        <f t="shared" si="15"/>
        <v/>
      </c>
      <c r="AK190" s="2303"/>
      <c r="AL190" s="2304"/>
    </row>
    <row r="191" spans="1:38" s="249" customFormat="1">
      <c r="A191" s="2169"/>
      <c r="B191" s="2106"/>
      <c r="C191" s="2106"/>
      <c r="D191" s="2169"/>
      <c r="E191" s="2106"/>
      <c r="F191" s="2106"/>
      <c r="G191" s="2250"/>
      <c r="H191" s="2251"/>
      <c r="I191" s="2251"/>
      <c r="J191" s="2252"/>
      <c r="K191" s="264" t="str">
        <f t="shared" si="14"/>
        <v/>
      </c>
      <c r="L191" s="259" t="str">
        <f t="shared" si="16"/>
        <v/>
      </c>
      <c r="M191" s="1002"/>
      <c r="N191" s="36"/>
      <c r="O191" s="36"/>
      <c r="P191" s="36"/>
      <c r="Q191" s="36"/>
      <c r="R191" s="39">
        <f>SUM(Table691213[[#This Row],[Y1 Q1 quantity]:[Y1 Q4 quantity]])</f>
        <v>0</v>
      </c>
      <c r="S191" s="1005">
        <f>Table691213[[#This Row],[Y1 Unit cost]]*Table691213[[#This Row],[Y1 Total quantity]]</f>
        <v>0</v>
      </c>
      <c r="T191" s="1002"/>
      <c r="U191" s="36"/>
      <c r="V191" s="36"/>
      <c r="W191" s="36"/>
      <c r="X191" s="36"/>
      <c r="Y191" s="39">
        <f>SUM(Table691213[[#This Row],[Y2 Q1 quantity]:[Y2 Q4 quantity]])</f>
        <v>0</v>
      </c>
      <c r="Z191" s="1005">
        <f>Table691213[[#This Row],[Y2 Unit cost]]*Table691213[[#This Row],[Y2 Total quantity]]</f>
        <v>0</v>
      </c>
      <c r="AA191" s="1002"/>
      <c r="AB191" s="36"/>
      <c r="AC191" s="36"/>
      <c r="AD191" s="36"/>
      <c r="AE191" s="36"/>
      <c r="AF191" s="39">
        <f>SUM(Table691213[[#This Row],[Y3 Q1 quantity]:[Y3 Q4 quantity]])</f>
        <v>0</v>
      </c>
      <c r="AG191" s="1005">
        <f>Table691213[[#This Row],[Y3 Unit cost]]*Table691213[[#This Row],[Y3 Total quantity]]</f>
        <v>0</v>
      </c>
      <c r="AH191" s="39">
        <f>Table691213[[#This Row],[Y1 Total quantity]]+Table691213[[#This Row],[Y2 Total quantity]]+Table691213[[#This Row],[Y3 Total quantity]]</f>
        <v>0</v>
      </c>
      <c r="AI191" s="1005">
        <f>Table691213[[#This Row],[Y1 Total cost]]+Table691213[[#This Row],[Y2 Total cost]]+Table691213[[#This Row],[Y3 Total cost]]</f>
        <v>0</v>
      </c>
      <c r="AJ191" s="1234" t="str">
        <f t="shared" si="15"/>
        <v/>
      </c>
      <c r="AK191" s="2305"/>
      <c r="AL191" s="2306"/>
    </row>
    <row r="192" spans="1:38" s="249" customFormat="1">
      <c r="A192" s="2240"/>
      <c r="B192" s="2126"/>
      <c r="C192" s="2126"/>
      <c r="D192" s="2240"/>
      <c r="E192" s="2126"/>
      <c r="F192" s="2126"/>
      <c r="G192" s="2247"/>
      <c r="H192" s="2248"/>
      <c r="I192" s="2248"/>
      <c r="J192" s="2249"/>
      <c r="K192" s="268" t="str">
        <f t="shared" si="14"/>
        <v/>
      </c>
      <c r="L192" s="261" t="str">
        <f t="shared" si="16"/>
        <v/>
      </c>
      <c r="M192" s="1002"/>
      <c r="N192" s="36"/>
      <c r="O192" s="36"/>
      <c r="P192" s="36"/>
      <c r="Q192" s="36"/>
      <c r="R192" s="39">
        <f>SUM(Table691213[[#This Row],[Y1 Q1 quantity]:[Y1 Q4 quantity]])</f>
        <v>0</v>
      </c>
      <c r="S192" s="1005">
        <f>Table691213[[#This Row],[Y1 Unit cost]]*Table691213[[#This Row],[Y1 Total quantity]]</f>
        <v>0</v>
      </c>
      <c r="T192" s="1002"/>
      <c r="U192" s="36"/>
      <c r="V192" s="36"/>
      <c r="W192" s="36"/>
      <c r="X192" s="36"/>
      <c r="Y192" s="39">
        <f>SUM(Table691213[[#This Row],[Y2 Q1 quantity]:[Y2 Q4 quantity]])</f>
        <v>0</v>
      </c>
      <c r="Z192" s="1005">
        <f>Table691213[[#This Row],[Y2 Unit cost]]*Table691213[[#This Row],[Y2 Total quantity]]</f>
        <v>0</v>
      </c>
      <c r="AA192" s="1002"/>
      <c r="AB192" s="36"/>
      <c r="AC192" s="36"/>
      <c r="AD192" s="36"/>
      <c r="AE192" s="36"/>
      <c r="AF192" s="39">
        <f>SUM(Table691213[[#This Row],[Y3 Q1 quantity]:[Y3 Q4 quantity]])</f>
        <v>0</v>
      </c>
      <c r="AG192" s="1005">
        <f>Table691213[[#This Row],[Y3 Unit cost]]*Table691213[[#This Row],[Y3 Total quantity]]</f>
        <v>0</v>
      </c>
      <c r="AH192" s="39">
        <f>Table691213[[#This Row],[Y1 Total quantity]]+Table691213[[#This Row],[Y2 Total quantity]]+Table691213[[#This Row],[Y3 Total quantity]]</f>
        <v>0</v>
      </c>
      <c r="AI192" s="1005">
        <f>Table691213[[#This Row],[Y1 Total cost]]+Table691213[[#This Row],[Y2 Total cost]]+Table691213[[#This Row],[Y3 Total cost]]</f>
        <v>0</v>
      </c>
      <c r="AJ192" s="1235" t="str">
        <f t="shared" si="15"/>
        <v/>
      </c>
      <c r="AK192" s="2303"/>
      <c r="AL192" s="2304"/>
    </row>
    <row r="193" spans="1:38" s="249" customFormat="1">
      <c r="A193" s="2169"/>
      <c r="B193" s="2106"/>
      <c r="C193" s="2106"/>
      <c r="D193" s="2169"/>
      <c r="E193" s="2106"/>
      <c r="F193" s="2106"/>
      <c r="G193" s="2250"/>
      <c r="H193" s="2251"/>
      <c r="I193" s="2251"/>
      <c r="J193" s="2252"/>
      <c r="K193" s="264" t="str">
        <f t="shared" si="14"/>
        <v/>
      </c>
      <c r="L193" s="259" t="str">
        <f t="shared" si="16"/>
        <v/>
      </c>
      <c r="M193" s="1002"/>
      <c r="N193" s="36"/>
      <c r="O193" s="36"/>
      <c r="P193" s="36"/>
      <c r="Q193" s="36"/>
      <c r="R193" s="39">
        <f>SUM(Table691213[[#This Row],[Y1 Q1 quantity]:[Y1 Q4 quantity]])</f>
        <v>0</v>
      </c>
      <c r="S193" s="1005">
        <f>Table691213[[#This Row],[Y1 Unit cost]]*Table691213[[#This Row],[Y1 Total quantity]]</f>
        <v>0</v>
      </c>
      <c r="T193" s="1002"/>
      <c r="U193" s="36"/>
      <c r="V193" s="36"/>
      <c r="W193" s="36"/>
      <c r="X193" s="36"/>
      <c r="Y193" s="39">
        <f>SUM(Table691213[[#This Row],[Y2 Q1 quantity]:[Y2 Q4 quantity]])</f>
        <v>0</v>
      </c>
      <c r="Z193" s="1005">
        <f>Table691213[[#This Row],[Y2 Unit cost]]*Table691213[[#This Row],[Y2 Total quantity]]</f>
        <v>0</v>
      </c>
      <c r="AA193" s="1002"/>
      <c r="AB193" s="36"/>
      <c r="AC193" s="36"/>
      <c r="AD193" s="36"/>
      <c r="AE193" s="36"/>
      <c r="AF193" s="39">
        <f>SUM(Table691213[[#This Row],[Y3 Q1 quantity]:[Y3 Q4 quantity]])</f>
        <v>0</v>
      </c>
      <c r="AG193" s="1005">
        <f>Table691213[[#This Row],[Y3 Unit cost]]*Table691213[[#This Row],[Y3 Total quantity]]</f>
        <v>0</v>
      </c>
      <c r="AH193" s="39">
        <f>Table691213[[#This Row],[Y1 Total quantity]]+Table691213[[#This Row],[Y2 Total quantity]]+Table691213[[#This Row],[Y3 Total quantity]]</f>
        <v>0</v>
      </c>
      <c r="AI193" s="1005">
        <f>Table691213[[#This Row],[Y1 Total cost]]+Table691213[[#This Row],[Y2 Total cost]]+Table691213[[#This Row],[Y3 Total cost]]</f>
        <v>0</v>
      </c>
      <c r="AJ193" s="1234" t="str">
        <f t="shared" si="15"/>
        <v/>
      </c>
      <c r="AK193" s="2305"/>
      <c r="AL193" s="2306"/>
    </row>
    <row r="194" spans="1:38" s="249" customFormat="1">
      <c r="A194" s="2240"/>
      <c r="B194" s="2126"/>
      <c r="C194" s="2126"/>
      <c r="D194" s="2240"/>
      <c r="E194" s="2126"/>
      <c r="F194" s="2126"/>
      <c r="G194" s="2247"/>
      <c r="H194" s="2248"/>
      <c r="I194" s="2248"/>
      <c r="J194" s="2249"/>
      <c r="K194" s="268" t="str">
        <f t="shared" si="14"/>
        <v/>
      </c>
      <c r="L194" s="261" t="str">
        <f t="shared" si="16"/>
        <v/>
      </c>
      <c r="M194" s="1002"/>
      <c r="N194" s="36"/>
      <c r="O194" s="36"/>
      <c r="P194" s="36"/>
      <c r="Q194" s="36"/>
      <c r="R194" s="39">
        <f>SUM(Table691213[[#This Row],[Y1 Q1 quantity]:[Y1 Q4 quantity]])</f>
        <v>0</v>
      </c>
      <c r="S194" s="1005">
        <f>Table691213[[#This Row],[Y1 Unit cost]]*Table691213[[#This Row],[Y1 Total quantity]]</f>
        <v>0</v>
      </c>
      <c r="T194" s="1002"/>
      <c r="U194" s="36"/>
      <c r="V194" s="36"/>
      <c r="W194" s="36"/>
      <c r="X194" s="36"/>
      <c r="Y194" s="39">
        <f>SUM(Table691213[[#This Row],[Y2 Q1 quantity]:[Y2 Q4 quantity]])</f>
        <v>0</v>
      </c>
      <c r="Z194" s="1005">
        <f>Table691213[[#This Row],[Y2 Unit cost]]*Table691213[[#This Row],[Y2 Total quantity]]</f>
        <v>0</v>
      </c>
      <c r="AA194" s="1002"/>
      <c r="AB194" s="36"/>
      <c r="AC194" s="36"/>
      <c r="AD194" s="36"/>
      <c r="AE194" s="36"/>
      <c r="AF194" s="39">
        <f>SUM(Table691213[[#This Row],[Y3 Q1 quantity]:[Y3 Q4 quantity]])</f>
        <v>0</v>
      </c>
      <c r="AG194" s="1005">
        <f>Table691213[[#This Row],[Y3 Unit cost]]*Table691213[[#This Row],[Y3 Total quantity]]</f>
        <v>0</v>
      </c>
      <c r="AH194" s="39">
        <f>Table691213[[#This Row],[Y1 Total quantity]]+Table691213[[#This Row],[Y2 Total quantity]]+Table691213[[#This Row],[Y3 Total quantity]]</f>
        <v>0</v>
      </c>
      <c r="AI194" s="1005">
        <f>Table691213[[#This Row],[Y1 Total cost]]+Table691213[[#This Row],[Y2 Total cost]]+Table691213[[#This Row],[Y3 Total cost]]</f>
        <v>0</v>
      </c>
      <c r="AJ194" s="1235" t="str">
        <f t="shared" si="15"/>
        <v/>
      </c>
      <c r="AK194" s="2303"/>
      <c r="AL194" s="2304"/>
    </row>
    <row r="195" spans="1:38" s="249" customFormat="1">
      <c r="A195" s="2169"/>
      <c r="B195" s="2106"/>
      <c r="C195" s="2106"/>
      <c r="D195" s="2169"/>
      <c r="E195" s="2106"/>
      <c r="F195" s="2106"/>
      <c r="G195" s="2250"/>
      <c r="H195" s="2251"/>
      <c r="I195" s="2251"/>
      <c r="J195" s="2252"/>
      <c r="K195" s="264" t="str">
        <f t="shared" si="14"/>
        <v/>
      </c>
      <c r="L195" s="259" t="str">
        <f t="shared" si="16"/>
        <v/>
      </c>
      <c r="M195" s="1002"/>
      <c r="N195" s="36"/>
      <c r="O195" s="36"/>
      <c r="P195" s="36"/>
      <c r="Q195" s="36"/>
      <c r="R195" s="39">
        <f>SUM(Table691213[[#This Row],[Y1 Q1 quantity]:[Y1 Q4 quantity]])</f>
        <v>0</v>
      </c>
      <c r="S195" s="1005">
        <f>Table691213[[#This Row],[Y1 Unit cost]]*Table691213[[#This Row],[Y1 Total quantity]]</f>
        <v>0</v>
      </c>
      <c r="T195" s="1002"/>
      <c r="U195" s="36"/>
      <c r="V195" s="36"/>
      <c r="W195" s="36"/>
      <c r="X195" s="36"/>
      <c r="Y195" s="39">
        <f>SUM(Table691213[[#This Row],[Y2 Q1 quantity]:[Y2 Q4 quantity]])</f>
        <v>0</v>
      </c>
      <c r="Z195" s="1005">
        <f>Table691213[[#This Row],[Y2 Unit cost]]*Table691213[[#This Row],[Y2 Total quantity]]</f>
        <v>0</v>
      </c>
      <c r="AA195" s="1002"/>
      <c r="AB195" s="36"/>
      <c r="AC195" s="36"/>
      <c r="AD195" s="36"/>
      <c r="AE195" s="36"/>
      <c r="AF195" s="39">
        <f>SUM(Table691213[[#This Row],[Y3 Q1 quantity]:[Y3 Q4 quantity]])</f>
        <v>0</v>
      </c>
      <c r="AG195" s="1005">
        <f>Table691213[[#This Row],[Y3 Unit cost]]*Table691213[[#This Row],[Y3 Total quantity]]</f>
        <v>0</v>
      </c>
      <c r="AH195" s="39">
        <f>Table691213[[#This Row],[Y1 Total quantity]]+Table691213[[#This Row],[Y2 Total quantity]]+Table691213[[#This Row],[Y3 Total quantity]]</f>
        <v>0</v>
      </c>
      <c r="AI195" s="1005">
        <f>Table691213[[#This Row],[Y1 Total cost]]+Table691213[[#This Row],[Y2 Total cost]]+Table691213[[#This Row],[Y3 Total cost]]</f>
        <v>0</v>
      </c>
      <c r="AJ195" s="1234" t="str">
        <f t="shared" si="15"/>
        <v/>
      </c>
      <c r="AK195" s="2305"/>
      <c r="AL195" s="2306"/>
    </row>
    <row r="196" spans="1:38" s="249" customFormat="1">
      <c r="A196" s="2240"/>
      <c r="B196" s="2126"/>
      <c r="C196" s="2126"/>
      <c r="D196" s="2240"/>
      <c r="E196" s="2126"/>
      <c r="F196" s="2126"/>
      <c r="G196" s="2247"/>
      <c r="H196" s="2248"/>
      <c r="I196" s="2248"/>
      <c r="J196" s="2249"/>
      <c r="K196" s="268" t="str">
        <f t="shared" si="14"/>
        <v/>
      </c>
      <c r="L196" s="261" t="str">
        <f t="shared" si="16"/>
        <v/>
      </c>
      <c r="M196" s="1002"/>
      <c r="N196" s="36"/>
      <c r="O196" s="36"/>
      <c r="P196" s="36"/>
      <c r="Q196" s="36"/>
      <c r="R196" s="39">
        <f>SUM(Table691213[[#This Row],[Y1 Q1 quantity]:[Y1 Q4 quantity]])</f>
        <v>0</v>
      </c>
      <c r="S196" s="1005">
        <f>Table691213[[#This Row],[Y1 Unit cost]]*Table691213[[#This Row],[Y1 Total quantity]]</f>
        <v>0</v>
      </c>
      <c r="T196" s="1002"/>
      <c r="U196" s="36"/>
      <c r="V196" s="36"/>
      <c r="W196" s="36"/>
      <c r="X196" s="36"/>
      <c r="Y196" s="39">
        <f>SUM(Table691213[[#This Row],[Y2 Q1 quantity]:[Y2 Q4 quantity]])</f>
        <v>0</v>
      </c>
      <c r="Z196" s="1005">
        <f>Table691213[[#This Row],[Y2 Unit cost]]*Table691213[[#This Row],[Y2 Total quantity]]</f>
        <v>0</v>
      </c>
      <c r="AA196" s="1002"/>
      <c r="AB196" s="36"/>
      <c r="AC196" s="36"/>
      <c r="AD196" s="36"/>
      <c r="AE196" s="36"/>
      <c r="AF196" s="39">
        <f>SUM(Table691213[[#This Row],[Y3 Q1 quantity]:[Y3 Q4 quantity]])</f>
        <v>0</v>
      </c>
      <c r="AG196" s="1005">
        <f>Table691213[[#This Row],[Y3 Unit cost]]*Table691213[[#This Row],[Y3 Total quantity]]</f>
        <v>0</v>
      </c>
      <c r="AH196" s="39">
        <f>Table691213[[#This Row],[Y1 Total quantity]]+Table691213[[#This Row],[Y2 Total quantity]]+Table691213[[#This Row],[Y3 Total quantity]]</f>
        <v>0</v>
      </c>
      <c r="AI196" s="1005">
        <f>Table691213[[#This Row],[Y1 Total cost]]+Table691213[[#This Row],[Y2 Total cost]]+Table691213[[#This Row],[Y3 Total cost]]</f>
        <v>0</v>
      </c>
      <c r="AJ196" s="1235" t="str">
        <f t="shared" si="15"/>
        <v/>
      </c>
      <c r="AK196" s="2303"/>
      <c r="AL196" s="2304"/>
    </row>
    <row r="197" spans="1:38" s="249" customFormat="1">
      <c r="A197" s="2169"/>
      <c r="B197" s="2106"/>
      <c r="C197" s="2106"/>
      <c r="D197" s="2169"/>
      <c r="E197" s="2106"/>
      <c r="F197" s="2106"/>
      <c r="G197" s="2250"/>
      <c r="H197" s="2251"/>
      <c r="I197" s="2251"/>
      <c r="J197" s="2252"/>
      <c r="K197" s="264" t="str">
        <f t="shared" si="14"/>
        <v/>
      </c>
      <c r="L197" s="259" t="str">
        <f t="shared" si="16"/>
        <v/>
      </c>
      <c r="M197" s="1002"/>
      <c r="N197" s="36"/>
      <c r="O197" s="36"/>
      <c r="P197" s="36"/>
      <c r="Q197" s="36"/>
      <c r="R197" s="39">
        <f>SUM(Table691213[[#This Row],[Y1 Q1 quantity]:[Y1 Q4 quantity]])</f>
        <v>0</v>
      </c>
      <c r="S197" s="1005">
        <f>Table691213[[#This Row],[Y1 Unit cost]]*Table691213[[#This Row],[Y1 Total quantity]]</f>
        <v>0</v>
      </c>
      <c r="T197" s="1002"/>
      <c r="U197" s="36"/>
      <c r="V197" s="36"/>
      <c r="W197" s="36"/>
      <c r="X197" s="36"/>
      <c r="Y197" s="39">
        <f>SUM(Table691213[[#This Row],[Y2 Q1 quantity]:[Y2 Q4 quantity]])</f>
        <v>0</v>
      </c>
      <c r="Z197" s="1005">
        <f>Table691213[[#This Row],[Y2 Unit cost]]*Table691213[[#This Row],[Y2 Total quantity]]</f>
        <v>0</v>
      </c>
      <c r="AA197" s="1002"/>
      <c r="AB197" s="36"/>
      <c r="AC197" s="36"/>
      <c r="AD197" s="36"/>
      <c r="AE197" s="36"/>
      <c r="AF197" s="39">
        <f>SUM(Table691213[[#This Row],[Y3 Q1 quantity]:[Y3 Q4 quantity]])</f>
        <v>0</v>
      </c>
      <c r="AG197" s="1005">
        <f>Table691213[[#This Row],[Y3 Unit cost]]*Table691213[[#This Row],[Y3 Total quantity]]</f>
        <v>0</v>
      </c>
      <c r="AH197" s="39">
        <f>Table691213[[#This Row],[Y1 Total quantity]]+Table691213[[#This Row],[Y2 Total quantity]]+Table691213[[#This Row],[Y3 Total quantity]]</f>
        <v>0</v>
      </c>
      <c r="AI197" s="1005">
        <f>Table691213[[#This Row],[Y1 Total cost]]+Table691213[[#This Row],[Y2 Total cost]]+Table691213[[#This Row],[Y3 Total cost]]</f>
        <v>0</v>
      </c>
      <c r="AJ197" s="1234" t="str">
        <f t="shared" si="15"/>
        <v/>
      </c>
      <c r="AK197" s="2305"/>
      <c r="AL197" s="2306"/>
    </row>
    <row r="198" spans="1:38" s="249" customFormat="1">
      <c r="A198" s="2240"/>
      <c r="B198" s="2126"/>
      <c r="C198" s="2126"/>
      <c r="D198" s="2240"/>
      <c r="E198" s="2126"/>
      <c r="F198" s="2126"/>
      <c r="G198" s="2247"/>
      <c r="H198" s="2248"/>
      <c r="I198" s="2248"/>
      <c r="J198" s="2249"/>
      <c r="K198" s="268" t="str">
        <f t="shared" si="14"/>
        <v/>
      </c>
      <c r="L198" s="261" t="str">
        <f t="shared" si="16"/>
        <v/>
      </c>
      <c r="M198" s="1002"/>
      <c r="N198" s="36"/>
      <c r="O198" s="36"/>
      <c r="P198" s="36"/>
      <c r="Q198" s="36"/>
      <c r="R198" s="39">
        <f>SUM(Table691213[[#This Row],[Y1 Q1 quantity]:[Y1 Q4 quantity]])</f>
        <v>0</v>
      </c>
      <c r="S198" s="1005">
        <f>Table691213[[#This Row],[Y1 Unit cost]]*Table691213[[#This Row],[Y1 Total quantity]]</f>
        <v>0</v>
      </c>
      <c r="T198" s="1002"/>
      <c r="U198" s="36"/>
      <c r="V198" s="36"/>
      <c r="W198" s="36"/>
      <c r="X198" s="36"/>
      <c r="Y198" s="39">
        <f>SUM(Table691213[[#This Row],[Y2 Q1 quantity]:[Y2 Q4 quantity]])</f>
        <v>0</v>
      </c>
      <c r="Z198" s="1005">
        <f>Table691213[[#This Row],[Y2 Unit cost]]*Table691213[[#This Row],[Y2 Total quantity]]</f>
        <v>0</v>
      </c>
      <c r="AA198" s="1002"/>
      <c r="AB198" s="36"/>
      <c r="AC198" s="36"/>
      <c r="AD198" s="36"/>
      <c r="AE198" s="36"/>
      <c r="AF198" s="39">
        <f>SUM(Table691213[[#This Row],[Y3 Q1 quantity]:[Y3 Q4 quantity]])</f>
        <v>0</v>
      </c>
      <c r="AG198" s="1005">
        <f>Table691213[[#This Row],[Y3 Unit cost]]*Table691213[[#This Row],[Y3 Total quantity]]</f>
        <v>0</v>
      </c>
      <c r="AH198" s="39">
        <f>Table691213[[#This Row],[Y1 Total quantity]]+Table691213[[#This Row],[Y2 Total quantity]]+Table691213[[#This Row],[Y3 Total quantity]]</f>
        <v>0</v>
      </c>
      <c r="AI198" s="1005">
        <f>Table691213[[#This Row],[Y1 Total cost]]+Table691213[[#This Row],[Y2 Total cost]]+Table691213[[#This Row],[Y3 Total cost]]</f>
        <v>0</v>
      </c>
      <c r="AJ198" s="1235" t="str">
        <f t="shared" si="15"/>
        <v/>
      </c>
      <c r="AK198" s="2303"/>
      <c r="AL198" s="2304"/>
    </row>
    <row r="199" spans="1:38" s="249" customFormat="1">
      <c r="A199" s="2169"/>
      <c r="B199" s="2106"/>
      <c r="C199" s="2106"/>
      <c r="D199" s="2169"/>
      <c r="E199" s="2106"/>
      <c r="F199" s="2106"/>
      <c r="G199" s="2250"/>
      <c r="H199" s="2251"/>
      <c r="I199" s="2251"/>
      <c r="J199" s="2252"/>
      <c r="K199" s="264" t="str">
        <f t="shared" si="14"/>
        <v/>
      </c>
      <c r="L199" s="259" t="str">
        <f t="shared" si="16"/>
        <v/>
      </c>
      <c r="M199" s="1002"/>
      <c r="N199" s="36"/>
      <c r="O199" s="36"/>
      <c r="P199" s="36"/>
      <c r="Q199" s="36"/>
      <c r="R199" s="39">
        <f>SUM(Table691213[[#This Row],[Y1 Q1 quantity]:[Y1 Q4 quantity]])</f>
        <v>0</v>
      </c>
      <c r="S199" s="1005">
        <f>Table691213[[#This Row],[Y1 Unit cost]]*Table691213[[#This Row],[Y1 Total quantity]]</f>
        <v>0</v>
      </c>
      <c r="T199" s="1002"/>
      <c r="U199" s="36"/>
      <c r="V199" s="36"/>
      <c r="W199" s="36"/>
      <c r="X199" s="36"/>
      <c r="Y199" s="39">
        <f>SUM(Table691213[[#This Row],[Y2 Q1 quantity]:[Y2 Q4 quantity]])</f>
        <v>0</v>
      </c>
      <c r="Z199" s="1005">
        <f>Table691213[[#This Row],[Y2 Unit cost]]*Table691213[[#This Row],[Y2 Total quantity]]</f>
        <v>0</v>
      </c>
      <c r="AA199" s="1002"/>
      <c r="AB199" s="36"/>
      <c r="AC199" s="36"/>
      <c r="AD199" s="36"/>
      <c r="AE199" s="36"/>
      <c r="AF199" s="39">
        <f>SUM(Table691213[[#This Row],[Y3 Q1 quantity]:[Y3 Q4 quantity]])</f>
        <v>0</v>
      </c>
      <c r="AG199" s="1005">
        <f>Table691213[[#This Row],[Y3 Unit cost]]*Table691213[[#This Row],[Y3 Total quantity]]</f>
        <v>0</v>
      </c>
      <c r="AH199" s="39">
        <f>Table691213[[#This Row],[Y1 Total quantity]]+Table691213[[#This Row],[Y2 Total quantity]]+Table691213[[#This Row],[Y3 Total quantity]]</f>
        <v>0</v>
      </c>
      <c r="AI199" s="1005">
        <f>Table691213[[#This Row],[Y1 Total cost]]+Table691213[[#This Row],[Y2 Total cost]]+Table691213[[#This Row],[Y3 Total cost]]</f>
        <v>0</v>
      </c>
      <c r="AJ199" s="1234" t="str">
        <f t="shared" si="15"/>
        <v/>
      </c>
      <c r="AK199" s="2305"/>
      <c r="AL199" s="2306"/>
    </row>
    <row r="200" spans="1:38" s="249" customFormat="1">
      <c r="A200" s="2240"/>
      <c r="B200" s="2126"/>
      <c r="C200" s="2126"/>
      <c r="D200" s="2240"/>
      <c r="E200" s="2126"/>
      <c r="F200" s="2126"/>
      <c r="G200" s="2247"/>
      <c r="H200" s="2248"/>
      <c r="I200" s="2248"/>
      <c r="J200" s="2249"/>
      <c r="K200" s="268" t="str">
        <f t="shared" si="14"/>
        <v/>
      </c>
      <c r="L200" s="261" t="str">
        <f t="shared" si="16"/>
        <v/>
      </c>
      <c r="M200" s="1002"/>
      <c r="N200" s="36"/>
      <c r="O200" s="36"/>
      <c r="P200" s="36"/>
      <c r="Q200" s="36"/>
      <c r="R200" s="39">
        <f>SUM(Table691213[[#This Row],[Y1 Q1 quantity]:[Y1 Q4 quantity]])</f>
        <v>0</v>
      </c>
      <c r="S200" s="1005">
        <f>Table691213[[#This Row],[Y1 Unit cost]]*Table691213[[#This Row],[Y1 Total quantity]]</f>
        <v>0</v>
      </c>
      <c r="T200" s="1002"/>
      <c r="U200" s="36"/>
      <c r="V200" s="36"/>
      <c r="W200" s="36"/>
      <c r="X200" s="36"/>
      <c r="Y200" s="39">
        <f>SUM(Table691213[[#This Row],[Y2 Q1 quantity]:[Y2 Q4 quantity]])</f>
        <v>0</v>
      </c>
      <c r="Z200" s="1005">
        <f>Table691213[[#This Row],[Y2 Unit cost]]*Table691213[[#This Row],[Y2 Total quantity]]</f>
        <v>0</v>
      </c>
      <c r="AA200" s="1002"/>
      <c r="AB200" s="36"/>
      <c r="AC200" s="36"/>
      <c r="AD200" s="36"/>
      <c r="AE200" s="36"/>
      <c r="AF200" s="39">
        <f>SUM(Table691213[[#This Row],[Y3 Q1 quantity]:[Y3 Q4 quantity]])</f>
        <v>0</v>
      </c>
      <c r="AG200" s="1005">
        <f>Table691213[[#This Row],[Y3 Unit cost]]*Table691213[[#This Row],[Y3 Total quantity]]</f>
        <v>0</v>
      </c>
      <c r="AH200" s="39">
        <f>Table691213[[#This Row],[Y1 Total quantity]]+Table691213[[#This Row],[Y2 Total quantity]]+Table691213[[#This Row],[Y3 Total quantity]]</f>
        <v>0</v>
      </c>
      <c r="AI200" s="1005">
        <f>Table691213[[#This Row],[Y1 Total cost]]+Table691213[[#This Row],[Y2 Total cost]]+Table691213[[#This Row],[Y3 Total cost]]</f>
        <v>0</v>
      </c>
      <c r="AJ200" s="1235" t="str">
        <f t="shared" si="15"/>
        <v/>
      </c>
      <c r="AK200" s="2303"/>
      <c r="AL200" s="2304"/>
    </row>
    <row r="201" spans="1:38" s="249" customFormat="1">
      <c r="A201" s="2169"/>
      <c r="B201" s="2106"/>
      <c r="C201" s="2106"/>
      <c r="D201" s="2169"/>
      <c r="E201" s="2106"/>
      <c r="F201" s="2106"/>
      <c r="G201" s="2250"/>
      <c r="H201" s="2251"/>
      <c r="I201" s="2251"/>
      <c r="J201" s="2252"/>
      <c r="K201" s="264" t="str">
        <f t="shared" si="14"/>
        <v/>
      </c>
      <c r="L201" s="259" t="str">
        <f t="shared" si="16"/>
        <v/>
      </c>
      <c r="M201" s="1002"/>
      <c r="N201" s="36"/>
      <c r="O201" s="36"/>
      <c r="P201" s="36"/>
      <c r="Q201" s="36"/>
      <c r="R201" s="39">
        <f>SUM(Table691213[[#This Row],[Y1 Q1 quantity]:[Y1 Q4 quantity]])</f>
        <v>0</v>
      </c>
      <c r="S201" s="1005">
        <f>Table691213[[#This Row],[Y1 Unit cost]]*Table691213[[#This Row],[Y1 Total quantity]]</f>
        <v>0</v>
      </c>
      <c r="T201" s="1002"/>
      <c r="U201" s="36"/>
      <c r="V201" s="36"/>
      <c r="W201" s="36"/>
      <c r="X201" s="36"/>
      <c r="Y201" s="39">
        <f>SUM(Table691213[[#This Row],[Y2 Q1 quantity]:[Y2 Q4 quantity]])</f>
        <v>0</v>
      </c>
      <c r="Z201" s="1005">
        <f>Table691213[[#This Row],[Y2 Unit cost]]*Table691213[[#This Row],[Y2 Total quantity]]</f>
        <v>0</v>
      </c>
      <c r="AA201" s="1002"/>
      <c r="AB201" s="36"/>
      <c r="AC201" s="36"/>
      <c r="AD201" s="36"/>
      <c r="AE201" s="36"/>
      <c r="AF201" s="39">
        <f>SUM(Table691213[[#This Row],[Y3 Q1 quantity]:[Y3 Q4 quantity]])</f>
        <v>0</v>
      </c>
      <c r="AG201" s="1005">
        <f>Table691213[[#This Row],[Y3 Unit cost]]*Table691213[[#This Row],[Y3 Total quantity]]</f>
        <v>0</v>
      </c>
      <c r="AH201" s="39">
        <f>Table691213[[#This Row],[Y1 Total quantity]]+Table691213[[#This Row],[Y2 Total quantity]]+Table691213[[#This Row],[Y3 Total quantity]]</f>
        <v>0</v>
      </c>
      <c r="AI201" s="1005">
        <f>Table691213[[#This Row],[Y1 Total cost]]+Table691213[[#This Row],[Y2 Total cost]]+Table691213[[#This Row],[Y3 Total cost]]</f>
        <v>0</v>
      </c>
      <c r="AJ201" s="1234" t="str">
        <f t="shared" si="15"/>
        <v/>
      </c>
      <c r="AK201" s="2305"/>
      <c r="AL201" s="2306"/>
    </row>
    <row r="202" spans="1:38" s="249" customFormat="1">
      <c r="A202" s="2240"/>
      <c r="B202" s="2126"/>
      <c r="C202" s="2126"/>
      <c r="D202" s="2240"/>
      <c r="E202" s="2126"/>
      <c r="F202" s="2126"/>
      <c r="G202" s="2247"/>
      <c r="H202" s="2248"/>
      <c r="I202" s="2248"/>
      <c r="J202" s="2249"/>
      <c r="K202" s="268" t="str">
        <f t="shared" si="14"/>
        <v/>
      </c>
      <c r="L202" s="261" t="str">
        <f t="shared" si="16"/>
        <v/>
      </c>
      <c r="M202" s="1002"/>
      <c r="N202" s="36"/>
      <c r="O202" s="36"/>
      <c r="P202" s="36"/>
      <c r="Q202" s="36"/>
      <c r="R202" s="39">
        <f>SUM(Table691213[[#This Row],[Y1 Q1 quantity]:[Y1 Q4 quantity]])</f>
        <v>0</v>
      </c>
      <c r="S202" s="1005">
        <f>Table691213[[#This Row],[Y1 Unit cost]]*Table691213[[#This Row],[Y1 Total quantity]]</f>
        <v>0</v>
      </c>
      <c r="T202" s="1002"/>
      <c r="U202" s="36"/>
      <c r="V202" s="36"/>
      <c r="W202" s="36"/>
      <c r="X202" s="36"/>
      <c r="Y202" s="39">
        <f>SUM(Table691213[[#This Row],[Y2 Q1 quantity]:[Y2 Q4 quantity]])</f>
        <v>0</v>
      </c>
      <c r="Z202" s="1005">
        <f>Table691213[[#This Row],[Y2 Unit cost]]*Table691213[[#This Row],[Y2 Total quantity]]</f>
        <v>0</v>
      </c>
      <c r="AA202" s="1002"/>
      <c r="AB202" s="36"/>
      <c r="AC202" s="36"/>
      <c r="AD202" s="36"/>
      <c r="AE202" s="36"/>
      <c r="AF202" s="39">
        <f>SUM(Table691213[[#This Row],[Y3 Q1 quantity]:[Y3 Q4 quantity]])</f>
        <v>0</v>
      </c>
      <c r="AG202" s="1005">
        <f>Table691213[[#This Row],[Y3 Unit cost]]*Table691213[[#This Row],[Y3 Total quantity]]</f>
        <v>0</v>
      </c>
      <c r="AH202" s="39">
        <f>Table691213[[#This Row],[Y1 Total quantity]]+Table691213[[#This Row],[Y2 Total quantity]]+Table691213[[#This Row],[Y3 Total quantity]]</f>
        <v>0</v>
      </c>
      <c r="AI202" s="1005">
        <f>Table691213[[#This Row],[Y1 Total cost]]+Table691213[[#This Row],[Y2 Total cost]]+Table691213[[#This Row],[Y3 Total cost]]</f>
        <v>0</v>
      </c>
      <c r="AJ202" s="1235" t="str">
        <f t="shared" si="15"/>
        <v/>
      </c>
      <c r="AK202" s="2303"/>
      <c r="AL202" s="2304"/>
    </row>
    <row r="203" spans="1:38" s="249" customFormat="1">
      <c r="A203" s="2169"/>
      <c r="B203" s="2106"/>
      <c r="C203" s="2106"/>
      <c r="D203" s="2169"/>
      <c r="E203" s="2106"/>
      <c r="F203" s="2106"/>
      <c r="G203" s="2250"/>
      <c r="H203" s="2251"/>
      <c r="I203" s="2251"/>
      <c r="J203" s="2252"/>
      <c r="K203" s="264" t="str">
        <f t="shared" si="14"/>
        <v/>
      </c>
      <c r="L203" s="259" t="str">
        <f t="shared" si="16"/>
        <v/>
      </c>
      <c r="M203" s="1002"/>
      <c r="N203" s="36"/>
      <c r="O203" s="36"/>
      <c r="P203" s="36"/>
      <c r="Q203" s="36"/>
      <c r="R203" s="39">
        <f>SUM(Table691213[[#This Row],[Y1 Q1 quantity]:[Y1 Q4 quantity]])</f>
        <v>0</v>
      </c>
      <c r="S203" s="1005">
        <f>Table691213[[#This Row],[Y1 Unit cost]]*Table691213[[#This Row],[Y1 Total quantity]]</f>
        <v>0</v>
      </c>
      <c r="T203" s="1002"/>
      <c r="U203" s="36"/>
      <c r="V203" s="36"/>
      <c r="W203" s="36"/>
      <c r="X203" s="36"/>
      <c r="Y203" s="39">
        <f>SUM(Table691213[[#This Row],[Y2 Q1 quantity]:[Y2 Q4 quantity]])</f>
        <v>0</v>
      </c>
      <c r="Z203" s="1005">
        <f>Table691213[[#This Row],[Y2 Unit cost]]*Table691213[[#This Row],[Y2 Total quantity]]</f>
        <v>0</v>
      </c>
      <c r="AA203" s="1002"/>
      <c r="AB203" s="36"/>
      <c r="AC203" s="36"/>
      <c r="AD203" s="36"/>
      <c r="AE203" s="36"/>
      <c r="AF203" s="39">
        <f>SUM(Table691213[[#This Row],[Y3 Q1 quantity]:[Y3 Q4 quantity]])</f>
        <v>0</v>
      </c>
      <c r="AG203" s="1005">
        <f>Table691213[[#This Row],[Y3 Unit cost]]*Table691213[[#This Row],[Y3 Total quantity]]</f>
        <v>0</v>
      </c>
      <c r="AH203" s="39">
        <f>Table691213[[#This Row],[Y1 Total quantity]]+Table691213[[#This Row],[Y2 Total quantity]]+Table691213[[#This Row],[Y3 Total quantity]]</f>
        <v>0</v>
      </c>
      <c r="AI203" s="1005">
        <f>Table691213[[#This Row],[Y1 Total cost]]+Table691213[[#This Row],[Y2 Total cost]]+Table691213[[#This Row],[Y3 Total cost]]</f>
        <v>0</v>
      </c>
      <c r="AJ203" s="1234" t="str">
        <f t="shared" si="15"/>
        <v/>
      </c>
      <c r="AK203" s="2305"/>
      <c r="AL203" s="2306"/>
    </row>
    <row r="204" spans="1:38" s="249" customFormat="1">
      <c r="A204" s="2240"/>
      <c r="B204" s="2126"/>
      <c r="C204" s="2126"/>
      <c r="D204" s="2240"/>
      <c r="E204" s="2126"/>
      <c r="F204" s="2126"/>
      <c r="G204" s="2247"/>
      <c r="H204" s="2248"/>
      <c r="I204" s="2248"/>
      <c r="J204" s="2249"/>
      <c r="K204" s="268" t="str">
        <f t="shared" si="14"/>
        <v/>
      </c>
      <c r="L204" s="261" t="str">
        <f t="shared" si="16"/>
        <v/>
      </c>
      <c r="M204" s="1002"/>
      <c r="N204" s="36"/>
      <c r="O204" s="36"/>
      <c r="P204" s="36"/>
      <c r="Q204" s="36"/>
      <c r="R204" s="39">
        <f>SUM(Table691213[[#This Row],[Y1 Q1 quantity]:[Y1 Q4 quantity]])</f>
        <v>0</v>
      </c>
      <c r="S204" s="1005">
        <f>Table691213[[#This Row],[Y1 Unit cost]]*Table691213[[#This Row],[Y1 Total quantity]]</f>
        <v>0</v>
      </c>
      <c r="T204" s="1002"/>
      <c r="U204" s="36"/>
      <c r="V204" s="36"/>
      <c r="W204" s="36"/>
      <c r="X204" s="36"/>
      <c r="Y204" s="39">
        <f>SUM(Table691213[[#This Row],[Y2 Q1 quantity]:[Y2 Q4 quantity]])</f>
        <v>0</v>
      </c>
      <c r="Z204" s="1005">
        <f>Table691213[[#This Row],[Y2 Unit cost]]*Table691213[[#This Row],[Y2 Total quantity]]</f>
        <v>0</v>
      </c>
      <c r="AA204" s="1002"/>
      <c r="AB204" s="36"/>
      <c r="AC204" s="36"/>
      <c r="AD204" s="36"/>
      <c r="AE204" s="36"/>
      <c r="AF204" s="39">
        <f>SUM(Table691213[[#This Row],[Y3 Q1 quantity]:[Y3 Q4 quantity]])</f>
        <v>0</v>
      </c>
      <c r="AG204" s="1005">
        <f>Table691213[[#This Row],[Y3 Unit cost]]*Table691213[[#This Row],[Y3 Total quantity]]</f>
        <v>0</v>
      </c>
      <c r="AH204" s="39">
        <f>Table691213[[#This Row],[Y1 Total quantity]]+Table691213[[#This Row],[Y2 Total quantity]]+Table691213[[#This Row],[Y3 Total quantity]]</f>
        <v>0</v>
      </c>
      <c r="AI204" s="1005">
        <f>Table691213[[#This Row],[Y1 Total cost]]+Table691213[[#This Row],[Y2 Total cost]]+Table691213[[#This Row],[Y3 Total cost]]</f>
        <v>0</v>
      </c>
      <c r="AJ204" s="1235" t="str">
        <f t="shared" si="15"/>
        <v/>
      </c>
      <c r="AK204" s="2303"/>
      <c r="AL204" s="2304"/>
    </row>
    <row r="205" spans="1:38" s="249" customFormat="1">
      <c r="A205" s="2169"/>
      <c r="B205" s="2106"/>
      <c r="C205" s="2106"/>
      <c r="D205" s="2169"/>
      <c r="E205" s="2106"/>
      <c r="F205" s="2106"/>
      <c r="G205" s="2250"/>
      <c r="H205" s="2251"/>
      <c r="I205" s="2251"/>
      <c r="J205" s="2252"/>
      <c r="K205" s="264" t="str">
        <f t="shared" si="14"/>
        <v/>
      </c>
      <c r="L205" s="259" t="str">
        <f t="shared" si="16"/>
        <v/>
      </c>
      <c r="M205" s="1002"/>
      <c r="N205" s="36"/>
      <c r="O205" s="36"/>
      <c r="P205" s="36"/>
      <c r="Q205" s="36"/>
      <c r="R205" s="39">
        <f>SUM(Table691213[[#This Row],[Y1 Q1 quantity]:[Y1 Q4 quantity]])</f>
        <v>0</v>
      </c>
      <c r="S205" s="1005">
        <f>Table691213[[#This Row],[Y1 Unit cost]]*Table691213[[#This Row],[Y1 Total quantity]]</f>
        <v>0</v>
      </c>
      <c r="T205" s="1002"/>
      <c r="U205" s="36"/>
      <c r="V205" s="36"/>
      <c r="W205" s="36"/>
      <c r="X205" s="36"/>
      <c r="Y205" s="39">
        <f>SUM(Table691213[[#This Row],[Y2 Q1 quantity]:[Y2 Q4 quantity]])</f>
        <v>0</v>
      </c>
      <c r="Z205" s="1005">
        <f>Table691213[[#This Row],[Y2 Unit cost]]*Table691213[[#This Row],[Y2 Total quantity]]</f>
        <v>0</v>
      </c>
      <c r="AA205" s="1002"/>
      <c r="AB205" s="36"/>
      <c r="AC205" s="36"/>
      <c r="AD205" s="36"/>
      <c r="AE205" s="36"/>
      <c r="AF205" s="39">
        <f>SUM(Table691213[[#This Row],[Y3 Q1 quantity]:[Y3 Q4 quantity]])</f>
        <v>0</v>
      </c>
      <c r="AG205" s="1005">
        <f>Table691213[[#This Row],[Y3 Unit cost]]*Table691213[[#This Row],[Y3 Total quantity]]</f>
        <v>0</v>
      </c>
      <c r="AH205" s="39">
        <f>Table691213[[#This Row],[Y1 Total quantity]]+Table691213[[#This Row],[Y2 Total quantity]]+Table691213[[#This Row],[Y3 Total quantity]]</f>
        <v>0</v>
      </c>
      <c r="AI205" s="1005">
        <f>Table691213[[#This Row],[Y1 Total cost]]+Table691213[[#This Row],[Y2 Total cost]]+Table691213[[#This Row],[Y3 Total cost]]</f>
        <v>0</v>
      </c>
      <c r="AJ205" s="1234" t="str">
        <f t="shared" si="15"/>
        <v/>
      </c>
      <c r="AK205" s="2305"/>
      <c r="AL205" s="2306"/>
    </row>
    <row r="206" spans="1:38" s="249" customFormat="1">
      <c r="A206" s="2240"/>
      <c r="B206" s="2126"/>
      <c r="C206" s="2126"/>
      <c r="D206" s="2240"/>
      <c r="E206" s="2126"/>
      <c r="F206" s="2126"/>
      <c r="G206" s="2247"/>
      <c r="H206" s="2248"/>
      <c r="I206" s="2248"/>
      <c r="J206" s="2249"/>
      <c r="K206" s="268" t="str">
        <f t="shared" si="14"/>
        <v/>
      </c>
      <c r="L206" s="261" t="str">
        <f t="shared" si="16"/>
        <v/>
      </c>
      <c r="M206" s="1002"/>
      <c r="N206" s="36"/>
      <c r="O206" s="36"/>
      <c r="P206" s="36"/>
      <c r="Q206" s="36"/>
      <c r="R206" s="39">
        <f>SUM(Table691213[[#This Row],[Y1 Q1 quantity]:[Y1 Q4 quantity]])</f>
        <v>0</v>
      </c>
      <c r="S206" s="1005">
        <f>Table691213[[#This Row],[Y1 Unit cost]]*Table691213[[#This Row],[Y1 Total quantity]]</f>
        <v>0</v>
      </c>
      <c r="T206" s="1002"/>
      <c r="U206" s="36"/>
      <c r="V206" s="36"/>
      <c r="W206" s="36"/>
      <c r="X206" s="36"/>
      <c r="Y206" s="39">
        <f>SUM(Table691213[[#This Row],[Y2 Q1 quantity]:[Y2 Q4 quantity]])</f>
        <v>0</v>
      </c>
      <c r="Z206" s="1005">
        <f>Table691213[[#This Row],[Y2 Unit cost]]*Table691213[[#This Row],[Y2 Total quantity]]</f>
        <v>0</v>
      </c>
      <c r="AA206" s="1002"/>
      <c r="AB206" s="36"/>
      <c r="AC206" s="36"/>
      <c r="AD206" s="36"/>
      <c r="AE206" s="36"/>
      <c r="AF206" s="39">
        <f>SUM(Table691213[[#This Row],[Y3 Q1 quantity]:[Y3 Q4 quantity]])</f>
        <v>0</v>
      </c>
      <c r="AG206" s="1005">
        <f>Table691213[[#This Row],[Y3 Unit cost]]*Table691213[[#This Row],[Y3 Total quantity]]</f>
        <v>0</v>
      </c>
      <c r="AH206" s="39">
        <f>Table691213[[#This Row],[Y1 Total quantity]]+Table691213[[#This Row],[Y2 Total quantity]]+Table691213[[#This Row],[Y3 Total quantity]]</f>
        <v>0</v>
      </c>
      <c r="AI206" s="1005">
        <f>Table691213[[#This Row],[Y1 Total cost]]+Table691213[[#This Row],[Y2 Total cost]]+Table691213[[#This Row],[Y3 Total cost]]</f>
        <v>0</v>
      </c>
      <c r="AJ206" s="1235" t="str">
        <f t="shared" si="15"/>
        <v/>
      </c>
      <c r="AK206" s="2303"/>
      <c r="AL206" s="2304"/>
    </row>
    <row r="207" spans="1:38" s="249" customFormat="1">
      <c r="A207" s="2169"/>
      <c r="B207" s="2106"/>
      <c r="C207" s="2106"/>
      <c r="D207" s="2169"/>
      <c r="E207" s="2106"/>
      <c r="F207" s="2106"/>
      <c r="G207" s="2250"/>
      <c r="H207" s="2251"/>
      <c r="I207" s="2251"/>
      <c r="J207" s="2252"/>
      <c r="K207" s="264" t="str">
        <f t="shared" si="14"/>
        <v/>
      </c>
      <c r="L207" s="259" t="str">
        <f t="shared" si="16"/>
        <v/>
      </c>
      <c r="M207" s="1002"/>
      <c r="N207" s="36"/>
      <c r="O207" s="36"/>
      <c r="P207" s="36"/>
      <c r="Q207" s="36"/>
      <c r="R207" s="39">
        <f>SUM(Table691213[[#This Row],[Y1 Q1 quantity]:[Y1 Q4 quantity]])</f>
        <v>0</v>
      </c>
      <c r="S207" s="1005">
        <f>Table691213[[#This Row],[Y1 Unit cost]]*Table691213[[#This Row],[Y1 Total quantity]]</f>
        <v>0</v>
      </c>
      <c r="T207" s="1002"/>
      <c r="U207" s="36"/>
      <c r="V207" s="36"/>
      <c r="W207" s="36"/>
      <c r="X207" s="36"/>
      <c r="Y207" s="39">
        <f>SUM(Table691213[[#This Row],[Y2 Q1 quantity]:[Y2 Q4 quantity]])</f>
        <v>0</v>
      </c>
      <c r="Z207" s="1005">
        <f>Table691213[[#This Row],[Y2 Unit cost]]*Table691213[[#This Row],[Y2 Total quantity]]</f>
        <v>0</v>
      </c>
      <c r="AA207" s="1002"/>
      <c r="AB207" s="36"/>
      <c r="AC207" s="36"/>
      <c r="AD207" s="36"/>
      <c r="AE207" s="36"/>
      <c r="AF207" s="39">
        <f>SUM(Table691213[[#This Row],[Y3 Q1 quantity]:[Y3 Q4 quantity]])</f>
        <v>0</v>
      </c>
      <c r="AG207" s="1005">
        <f>Table691213[[#This Row],[Y3 Unit cost]]*Table691213[[#This Row],[Y3 Total quantity]]</f>
        <v>0</v>
      </c>
      <c r="AH207" s="39">
        <f>Table691213[[#This Row],[Y1 Total quantity]]+Table691213[[#This Row],[Y2 Total quantity]]+Table691213[[#This Row],[Y3 Total quantity]]</f>
        <v>0</v>
      </c>
      <c r="AI207" s="1005">
        <f>Table691213[[#This Row],[Y1 Total cost]]+Table691213[[#This Row],[Y2 Total cost]]+Table691213[[#This Row],[Y3 Total cost]]</f>
        <v>0</v>
      </c>
      <c r="AJ207" s="1234" t="str">
        <f t="shared" si="15"/>
        <v/>
      </c>
      <c r="AK207" s="2305"/>
      <c r="AL207" s="2306"/>
    </row>
    <row r="208" spans="1:38" s="249" customFormat="1">
      <c r="A208" s="2240"/>
      <c r="B208" s="2126"/>
      <c r="C208" s="2126"/>
      <c r="D208" s="2240"/>
      <c r="E208" s="2126"/>
      <c r="F208" s="2126"/>
      <c r="G208" s="2247"/>
      <c r="H208" s="2248"/>
      <c r="I208" s="2248"/>
      <c r="J208" s="2249"/>
      <c r="K208" s="268" t="str">
        <f t="shared" si="14"/>
        <v/>
      </c>
      <c r="L208" s="261" t="str">
        <f t="shared" si="16"/>
        <v/>
      </c>
      <c r="M208" s="1002"/>
      <c r="N208" s="36"/>
      <c r="O208" s="36"/>
      <c r="P208" s="36"/>
      <c r="Q208" s="36"/>
      <c r="R208" s="39">
        <f>SUM(Table691213[[#This Row],[Y1 Q1 quantity]:[Y1 Q4 quantity]])</f>
        <v>0</v>
      </c>
      <c r="S208" s="1005">
        <f>Table691213[[#This Row],[Y1 Unit cost]]*Table691213[[#This Row],[Y1 Total quantity]]</f>
        <v>0</v>
      </c>
      <c r="T208" s="1002"/>
      <c r="U208" s="36"/>
      <c r="V208" s="36"/>
      <c r="W208" s="36"/>
      <c r="X208" s="36"/>
      <c r="Y208" s="39">
        <f>SUM(Table691213[[#This Row],[Y2 Q1 quantity]:[Y2 Q4 quantity]])</f>
        <v>0</v>
      </c>
      <c r="Z208" s="1005">
        <f>Table691213[[#This Row],[Y2 Unit cost]]*Table691213[[#This Row],[Y2 Total quantity]]</f>
        <v>0</v>
      </c>
      <c r="AA208" s="1002"/>
      <c r="AB208" s="36"/>
      <c r="AC208" s="36"/>
      <c r="AD208" s="36"/>
      <c r="AE208" s="36"/>
      <c r="AF208" s="39">
        <f>SUM(Table691213[[#This Row],[Y3 Q1 quantity]:[Y3 Q4 quantity]])</f>
        <v>0</v>
      </c>
      <c r="AG208" s="1005">
        <f>Table691213[[#This Row],[Y3 Unit cost]]*Table691213[[#This Row],[Y3 Total quantity]]</f>
        <v>0</v>
      </c>
      <c r="AH208" s="39">
        <f>Table691213[[#This Row],[Y1 Total quantity]]+Table691213[[#This Row],[Y2 Total quantity]]+Table691213[[#This Row],[Y3 Total quantity]]</f>
        <v>0</v>
      </c>
      <c r="AI208" s="1005">
        <f>Table691213[[#This Row],[Y1 Total cost]]+Table691213[[#This Row],[Y2 Total cost]]+Table691213[[#This Row],[Y3 Total cost]]</f>
        <v>0</v>
      </c>
      <c r="AJ208" s="1235" t="str">
        <f t="shared" si="15"/>
        <v/>
      </c>
      <c r="AK208" s="2303"/>
      <c r="AL208" s="2304"/>
    </row>
    <row r="209" spans="1:60" s="249" customFormat="1">
      <c r="A209" s="2169"/>
      <c r="B209" s="2106"/>
      <c r="C209" s="2106"/>
      <c r="D209" s="2169"/>
      <c r="E209" s="2106"/>
      <c r="F209" s="2106"/>
      <c r="G209" s="2250"/>
      <c r="H209" s="2251"/>
      <c r="I209" s="2251"/>
      <c r="J209" s="2252"/>
      <c r="K209" s="264" t="str">
        <f t="shared" si="14"/>
        <v/>
      </c>
      <c r="L209" s="259" t="str">
        <f t="shared" si="16"/>
        <v/>
      </c>
      <c r="M209" s="1002"/>
      <c r="N209" s="36"/>
      <c r="O209" s="36"/>
      <c r="P209" s="36"/>
      <c r="Q209" s="36"/>
      <c r="R209" s="39">
        <f>SUM(Table691213[[#This Row],[Y1 Q1 quantity]:[Y1 Q4 quantity]])</f>
        <v>0</v>
      </c>
      <c r="S209" s="1005">
        <f>Table691213[[#This Row],[Y1 Unit cost]]*Table691213[[#This Row],[Y1 Total quantity]]</f>
        <v>0</v>
      </c>
      <c r="T209" s="1002"/>
      <c r="U209" s="36"/>
      <c r="V209" s="36"/>
      <c r="W209" s="36"/>
      <c r="X209" s="36"/>
      <c r="Y209" s="39">
        <f>SUM(Table691213[[#This Row],[Y2 Q1 quantity]:[Y2 Q4 quantity]])</f>
        <v>0</v>
      </c>
      <c r="Z209" s="1005">
        <f>Table691213[[#This Row],[Y2 Unit cost]]*Table691213[[#This Row],[Y2 Total quantity]]</f>
        <v>0</v>
      </c>
      <c r="AA209" s="1002"/>
      <c r="AB209" s="36"/>
      <c r="AC209" s="36"/>
      <c r="AD209" s="36"/>
      <c r="AE209" s="36"/>
      <c r="AF209" s="39">
        <f>SUM(Table691213[[#This Row],[Y3 Q1 quantity]:[Y3 Q4 quantity]])</f>
        <v>0</v>
      </c>
      <c r="AG209" s="1005">
        <f>Table691213[[#This Row],[Y3 Unit cost]]*Table691213[[#This Row],[Y3 Total quantity]]</f>
        <v>0</v>
      </c>
      <c r="AH209" s="39">
        <f>Table691213[[#This Row],[Y1 Total quantity]]+Table691213[[#This Row],[Y2 Total quantity]]+Table691213[[#This Row],[Y3 Total quantity]]</f>
        <v>0</v>
      </c>
      <c r="AI209" s="1005">
        <f>Table691213[[#This Row],[Y1 Total cost]]+Table691213[[#This Row],[Y2 Total cost]]+Table691213[[#This Row],[Y3 Total cost]]</f>
        <v>0</v>
      </c>
      <c r="AJ209" s="1234" t="str">
        <f t="shared" si="15"/>
        <v/>
      </c>
      <c r="AK209" s="2305"/>
      <c r="AL209" s="2306"/>
    </row>
    <row r="210" spans="1:60" s="249" customFormat="1">
      <c r="A210" s="2240"/>
      <c r="B210" s="2126"/>
      <c r="C210" s="2126"/>
      <c r="D210" s="2240"/>
      <c r="E210" s="2126"/>
      <c r="F210" s="2126"/>
      <c r="G210" s="2247"/>
      <c r="H210" s="2248"/>
      <c r="I210" s="2248"/>
      <c r="J210" s="2249"/>
      <c r="K210" s="268" t="str">
        <f t="shared" si="14"/>
        <v/>
      </c>
      <c r="L210" s="261" t="str">
        <f t="shared" si="16"/>
        <v/>
      </c>
      <c r="M210" s="1002"/>
      <c r="N210" s="36"/>
      <c r="O210" s="36"/>
      <c r="P210" s="36"/>
      <c r="Q210" s="36"/>
      <c r="R210" s="39">
        <f>SUM(Table691213[[#This Row],[Y1 Q1 quantity]:[Y1 Q4 quantity]])</f>
        <v>0</v>
      </c>
      <c r="S210" s="1005">
        <f>Table691213[[#This Row],[Y1 Unit cost]]*Table691213[[#This Row],[Y1 Total quantity]]</f>
        <v>0</v>
      </c>
      <c r="T210" s="1002"/>
      <c r="U210" s="36"/>
      <c r="V210" s="36"/>
      <c r="W210" s="36"/>
      <c r="X210" s="36"/>
      <c r="Y210" s="39">
        <f>SUM(Table691213[[#This Row],[Y2 Q1 quantity]:[Y2 Q4 quantity]])</f>
        <v>0</v>
      </c>
      <c r="Z210" s="1005">
        <f>Table691213[[#This Row],[Y2 Unit cost]]*Table691213[[#This Row],[Y2 Total quantity]]</f>
        <v>0</v>
      </c>
      <c r="AA210" s="1002"/>
      <c r="AB210" s="36"/>
      <c r="AC210" s="36"/>
      <c r="AD210" s="36"/>
      <c r="AE210" s="36"/>
      <c r="AF210" s="39">
        <f>SUM(Table691213[[#This Row],[Y3 Q1 quantity]:[Y3 Q4 quantity]])</f>
        <v>0</v>
      </c>
      <c r="AG210" s="1005">
        <f>Table691213[[#This Row],[Y3 Unit cost]]*Table691213[[#This Row],[Y3 Total quantity]]</f>
        <v>0</v>
      </c>
      <c r="AH210" s="39">
        <f>Table691213[[#This Row],[Y1 Total quantity]]+Table691213[[#This Row],[Y2 Total quantity]]+Table691213[[#This Row],[Y3 Total quantity]]</f>
        <v>0</v>
      </c>
      <c r="AI210" s="1005">
        <f>Table691213[[#This Row],[Y1 Total cost]]+Table691213[[#This Row],[Y2 Total cost]]+Table691213[[#This Row],[Y3 Total cost]]</f>
        <v>0</v>
      </c>
      <c r="AJ210" s="1235" t="str">
        <f t="shared" si="15"/>
        <v/>
      </c>
      <c r="AK210" s="2303"/>
      <c r="AL210" s="2304"/>
    </row>
    <row r="211" spans="1:60" s="249" customFormat="1">
      <c r="A211" s="2169"/>
      <c r="B211" s="2106"/>
      <c r="C211" s="2106"/>
      <c r="D211" s="2169"/>
      <c r="E211" s="2106"/>
      <c r="F211" s="2106"/>
      <c r="G211" s="2250"/>
      <c r="H211" s="2251"/>
      <c r="I211" s="2251"/>
      <c r="J211" s="2252"/>
      <c r="K211" s="264" t="str">
        <f t="shared" si="14"/>
        <v/>
      </c>
      <c r="L211" s="259" t="str">
        <f t="shared" si="16"/>
        <v/>
      </c>
      <c r="M211" s="1002"/>
      <c r="N211" s="36"/>
      <c r="O211" s="36"/>
      <c r="P211" s="36"/>
      <c r="Q211" s="36"/>
      <c r="R211" s="39">
        <f>SUM(Table691213[[#This Row],[Y1 Q1 quantity]:[Y1 Q4 quantity]])</f>
        <v>0</v>
      </c>
      <c r="S211" s="1005">
        <f>Table691213[[#This Row],[Y1 Unit cost]]*Table691213[[#This Row],[Y1 Total quantity]]</f>
        <v>0</v>
      </c>
      <c r="T211" s="1002"/>
      <c r="U211" s="36"/>
      <c r="V211" s="36"/>
      <c r="W211" s="36"/>
      <c r="X211" s="36"/>
      <c r="Y211" s="39">
        <f>SUM(Table691213[[#This Row],[Y2 Q1 quantity]:[Y2 Q4 quantity]])</f>
        <v>0</v>
      </c>
      <c r="Z211" s="1005">
        <f>Table691213[[#This Row],[Y2 Unit cost]]*Table691213[[#This Row],[Y2 Total quantity]]</f>
        <v>0</v>
      </c>
      <c r="AA211" s="1002"/>
      <c r="AB211" s="36"/>
      <c r="AC211" s="36"/>
      <c r="AD211" s="36"/>
      <c r="AE211" s="36"/>
      <c r="AF211" s="39">
        <f>SUM(Table691213[[#This Row],[Y3 Q1 quantity]:[Y3 Q4 quantity]])</f>
        <v>0</v>
      </c>
      <c r="AG211" s="1005">
        <f>Table691213[[#This Row],[Y3 Unit cost]]*Table691213[[#This Row],[Y3 Total quantity]]</f>
        <v>0</v>
      </c>
      <c r="AH211" s="39">
        <f>Table691213[[#This Row],[Y1 Total quantity]]+Table691213[[#This Row],[Y2 Total quantity]]+Table691213[[#This Row],[Y3 Total quantity]]</f>
        <v>0</v>
      </c>
      <c r="AI211" s="1005">
        <f>Table691213[[#This Row],[Y1 Total cost]]+Table691213[[#This Row],[Y2 Total cost]]+Table691213[[#This Row],[Y3 Total cost]]</f>
        <v>0</v>
      </c>
      <c r="AJ211" s="1234" t="str">
        <f t="shared" si="15"/>
        <v/>
      </c>
      <c r="AK211" s="2305"/>
      <c r="AL211" s="2306"/>
    </row>
    <row r="212" spans="1:60" s="249" customFormat="1">
      <c r="A212" s="2240"/>
      <c r="B212" s="2126"/>
      <c r="C212" s="2126"/>
      <c r="D212" s="2240"/>
      <c r="E212" s="2126"/>
      <c r="F212" s="2126"/>
      <c r="G212" s="2247"/>
      <c r="H212" s="2248"/>
      <c r="I212" s="2248"/>
      <c r="J212" s="2249"/>
      <c r="K212" s="268" t="str">
        <f t="shared" si="14"/>
        <v/>
      </c>
      <c r="L212" s="261" t="str">
        <f t="shared" si="16"/>
        <v/>
      </c>
      <c r="M212" s="1002"/>
      <c r="N212" s="36"/>
      <c r="O212" s="36"/>
      <c r="P212" s="36"/>
      <c r="Q212" s="36"/>
      <c r="R212" s="39">
        <f>SUM(Table691213[[#This Row],[Y1 Q1 quantity]:[Y1 Q4 quantity]])</f>
        <v>0</v>
      </c>
      <c r="S212" s="1005">
        <f>Table691213[[#This Row],[Y1 Unit cost]]*Table691213[[#This Row],[Y1 Total quantity]]</f>
        <v>0</v>
      </c>
      <c r="T212" s="1002"/>
      <c r="U212" s="36"/>
      <c r="V212" s="36"/>
      <c r="W212" s="36"/>
      <c r="X212" s="36"/>
      <c r="Y212" s="39">
        <f>SUM(Table691213[[#This Row],[Y2 Q1 quantity]:[Y2 Q4 quantity]])</f>
        <v>0</v>
      </c>
      <c r="Z212" s="1005">
        <f>Table691213[[#This Row],[Y2 Unit cost]]*Table691213[[#This Row],[Y2 Total quantity]]</f>
        <v>0</v>
      </c>
      <c r="AA212" s="1002"/>
      <c r="AB212" s="36"/>
      <c r="AC212" s="36"/>
      <c r="AD212" s="36"/>
      <c r="AE212" s="36"/>
      <c r="AF212" s="39">
        <f>SUM(Table691213[[#This Row],[Y3 Q1 quantity]:[Y3 Q4 quantity]])</f>
        <v>0</v>
      </c>
      <c r="AG212" s="1005">
        <f>Table691213[[#This Row],[Y3 Unit cost]]*Table691213[[#This Row],[Y3 Total quantity]]</f>
        <v>0</v>
      </c>
      <c r="AH212" s="39">
        <f>Table691213[[#This Row],[Y1 Total quantity]]+Table691213[[#This Row],[Y2 Total quantity]]+Table691213[[#This Row],[Y3 Total quantity]]</f>
        <v>0</v>
      </c>
      <c r="AI212" s="1005">
        <f>Table691213[[#This Row],[Y1 Total cost]]+Table691213[[#This Row],[Y2 Total cost]]+Table691213[[#This Row],[Y3 Total cost]]</f>
        <v>0</v>
      </c>
      <c r="AJ212" s="1235" t="str">
        <f t="shared" si="15"/>
        <v/>
      </c>
      <c r="AK212" s="2303"/>
      <c r="AL212" s="2304"/>
    </row>
    <row r="213" spans="1:60" s="249" customFormat="1">
      <c r="A213" s="2169"/>
      <c r="B213" s="2106"/>
      <c r="C213" s="2106"/>
      <c r="D213" s="2169"/>
      <c r="E213" s="2106"/>
      <c r="F213" s="2106"/>
      <c r="G213" s="2250"/>
      <c r="H213" s="2251"/>
      <c r="I213" s="2251"/>
      <c r="J213" s="2252"/>
      <c r="K213" s="264" t="str">
        <f t="shared" si="14"/>
        <v/>
      </c>
      <c r="L213" s="259" t="str">
        <f t="shared" si="16"/>
        <v/>
      </c>
      <c r="M213" s="1002"/>
      <c r="N213" s="36"/>
      <c r="O213" s="36"/>
      <c r="P213" s="36"/>
      <c r="Q213" s="36"/>
      <c r="R213" s="39">
        <f>SUM(Table691213[[#This Row],[Y1 Q1 quantity]:[Y1 Q4 quantity]])</f>
        <v>0</v>
      </c>
      <c r="S213" s="1005">
        <f>Table691213[[#This Row],[Y1 Unit cost]]*Table691213[[#This Row],[Y1 Total quantity]]</f>
        <v>0</v>
      </c>
      <c r="T213" s="1002"/>
      <c r="U213" s="36"/>
      <c r="V213" s="36"/>
      <c r="W213" s="36"/>
      <c r="X213" s="36"/>
      <c r="Y213" s="39">
        <f>SUM(Table691213[[#This Row],[Y2 Q1 quantity]:[Y2 Q4 quantity]])</f>
        <v>0</v>
      </c>
      <c r="Z213" s="1005">
        <f>Table691213[[#This Row],[Y2 Unit cost]]*Table691213[[#This Row],[Y2 Total quantity]]</f>
        <v>0</v>
      </c>
      <c r="AA213" s="1002"/>
      <c r="AB213" s="36"/>
      <c r="AC213" s="36"/>
      <c r="AD213" s="36"/>
      <c r="AE213" s="36"/>
      <c r="AF213" s="39">
        <f>SUM(Table691213[[#This Row],[Y3 Q1 quantity]:[Y3 Q4 quantity]])</f>
        <v>0</v>
      </c>
      <c r="AG213" s="1005">
        <f>Table691213[[#This Row],[Y3 Unit cost]]*Table691213[[#This Row],[Y3 Total quantity]]</f>
        <v>0</v>
      </c>
      <c r="AH213" s="39">
        <f>Table691213[[#This Row],[Y1 Total quantity]]+Table691213[[#This Row],[Y2 Total quantity]]+Table691213[[#This Row],[Y3 Total quantity]]</f>
        <v>0</v>
      </c>
      <c r="AI213" s="1005">
        <f>Table691213[[#This Row],[Y1 Total cost]]+Table691213[[#This Row],[Y2 Total cost]]+Table691213[[#This Row],[Y3 Total cost]]</f>
        <v>0</v>
      </c>
      <c r="AJ213" s="1234" t="str">
        <f t="shared" si="15"/>
        <v/>
      </c>
      <c r="AK213" s="2305"/>
      <c r="AL213" s="2306"/>
    </row>
    <row r="214" spans="1:60" s="249" customFormat="1">
      <c r="A214" s="2240"/>
      <c r="B214" s="2126"/>
      <c r="C214" s="2126"/>
      <c r="D214" s="2240"/>
      <c r="E214" s="2126"/>
      <c r="F214" s="2126"/>
      <c r="G214" s="2247"/>
      <c r="H214" s="2248"/>
      <c r="I214" s="2248"/>
      <c r="J214" s="2249"/>
      <c r="K214" s="268" t="str">
        <f t="shared" si="14"/>
        <v/>
      </c>
      <c r="L214" s="261" t="str">
        <f t="shared" si="16"/>
        <v/>
      </c>
      <c r="M214" s="1002"/>
      <c r="N214" s="36"/>
      <c r="O214" s="36"/>
      <c r="P214" s="36"/>
      <c r="Q214" s="36"/>
      <c r="R214" s="39">
        <f>SUM(Table691213[[#This Row],[Y1 Q1 quantity]:[Y1 Q4 quantity]])</f>
        <v>0</v>
      </c>
      <c r="S214" s="1005">
        <f>Table691213[[#This Row],[Y1 Unit cost]]*Table691213[[#This Row],[Y1 Total quantity]]</f>
        <v>0</v>
      </c>
      <c r="T214" s="1002"/>
      <c r="U214" s="36"/>
      <c r="V214" s="36"/>
      <c r="W214" s="36"/>
      <c r="X214" s="36"/>
      <c r="Y214" s="39">
        <f>SUM(Table691213[[#This Row],[Y2 Q1 quantity]:[Y2 Q4 quantity]])</f>
        <v>0</v>
      </c>
      <c r="Z214" s="1005">
        <f>Table691213[[#This Row],[Y2 Unit cost]]*Table691213[[#This Row],[Y2 Total quantity]]</f>
        <v>0</v>
      </c>
      <c r="AA214" s="1002"/>
      <c r="AB214" s="36"/>
      <c r="AC214" s="36"/>
      <c r="AD214" s="36"/>
      <c r="AE214" s="36"/>
      <c r="AF214" s="39">
        <f>SUM(Table691213[[#This Row],[Y3 Q1 quantity]:[Y3 Q4 quantity]])</f>
        <v>0</v>
      </c>
      <c r="AG214" s="1005">
        <f>Table691213[[#This Row],[Y3 Unit cost]]*Table691213[[#This Row],[Y3 Total quantity]]</f>
        <v>0</v>
      </c>
      <c r="AH214" s="39">
        <f>Table691213[[#This Row],[Y1 Total quantity]]+Table691213[[#This Row],[Y2 Total quantity]]+Table691213[[#This Row],[Y3 Total quantity]]</f>
        <v>0</v>
      </c>
      <c r="AI214" s="1005">
        <f>Table691213[[#This Row],[Y1 Total cost]]+Table691213[[#This Row],[Y2 Total cost]]+Table691213[[#This Row],[Y3 Total cost]]</f>
        <v>0</v>
      </c>
      <c r="AJ214" s="1235" t="str">
        <f t="shared" si="15"/>
        <v/>
      </c>
      <c r="AK214" s="2303"/>
      <c r="AL214" s="2304"/>
    </row>
    <row r="215" spans="1:60" s="249" customFormat="1">
      <c r="A215" s="2169"/>
      <c r="B215" s="2106"/>
      <c r="C215" s="2106"/>
      <c r="D215" s="2169"/>
      <c r="E215" s="2106"/>
      <c r="F215" s="2106"/>
      <c r="G215" s="2250"/>
      <c r="H215" s="2251"/>
      <c r="I215" s="2251"/>
      <c r="J215" s="2252"/>
      <c r="K215" s="264" t="str">
        <f t="shared" si="14"/>
        <v/>
      </c>
      <c r="L215" s="259" t="str">
        <f t="shared" si="16"/>
        <v/>
      </c>
      <c r="M215" s="1002"/>
      <c r="N215" s="36"/>
      <c r="O215" s="36"/>
      <c r="P215" s="36"/>
      <c r="Q215" s="36"/>
      <c r="R215" s="39">
        <f>SUM(Table691213[[#This Row],[Y1 Q1 quantity]:[Y1 Q4 quantity]])</f>
        <v>0</v>
      </c>
      <c r="S215" s="1005">
        <f>Table691213[[#This Row],[Y1 Unit cost]]*Table691213[[#This Row],[Y1 Total quantity]]</f>
        <v>0</v>
      </c>
      <c r="T215" s="1002"/>
      <c r="U215" s="36"/>
      <c r="V215" s="36"/>
      <c r="W215" s="36"/>
      <c r="X215" s="36"/>
      <c r="Y215" s="39">
        <f>SUM(Table691213[[#This Row],[Y2 Q1 quantity]:[Y2 Q4 quantity]])</f>
        <v>0</v>
      </c>
      <c r="Z215" s="1005">
        <f>Table691213[[#This Row],[Y2 Unit cost]]*Table691213[[#This Row],[Y2 Total quantity]]</f>
        <v>0</v>
      </c>
      <c r="AA215" s="1002"/>
      <c r="AB215" s="36"/>
      <c r="AC215" s="36"/>
      <c r="AD215" s="36"/>
      <c r="AE215" s="36"/>
      <c r="AF215" s="39">
        <f>SUM(Table691213[[#This Row],[Y3 Q1 quantity]:[Y3 Q4 quantity]])</f>
        <v>0</v>
      </c>
      <c r="AG215" s="1005">
        <f>Table691213[[#This Row],[Y3 Unit cost]]*Table691213[[#This Row],[Y3 Total quantity]]</f>
        <v>0</v>
      </c>
      <c r="AH215" s="39">
        <f>Table691213[[#This Row],[Y1 Total quantity]]+Table691213[[#This Row],[Y2 Total quantity]]+Table691213[[#This Row],[Y3 Total quantity]]</f>
        <v>0</v>
      </c>
      <c r="AI215" s="1005">
        <f>Table691213[[#This Row],[Y1 Total cost]]+Table691213[[#This Row],[Y2 Total cost]]+Table691213[[#This Row],[Y3 Total cost]]</f>
        <v>0</v>
      </c>
      <c r="AJ215" s="1234" t="str">
        <f t="shared" si="15"/>
        <v/>
      </c>
      <c r="AK215" s="2305"/>
      <c r="AL215" s="2306"/>
    </row>
    <row r="216" spans="1:60" s="249" customFormat="1">
      <c r="A216" s="2240"/>
      <c r="B216" s="2126"/>
      <c r="C216" s="2126"/>
      <c r="D216" s="2240"/>
      <c r="E216" s="2126"/>
      <c r="F216" s="2126"/>
      <c r="G216" s="2247"/>
      <c r="H216" s="2248"/>
      <c r="I216" s="2248"/>
      <c r="J216" s="2249"/>
      <c r="K216" s="268" t="str">
        <f t="shared" si="14"/>
        <v/>
      </c>
      <c r="L216" s="261" t="str">
        <f t="shared" si="16"/>
        <v/>
      </c>
      <c r="M216" s="1002"/>
      <c r="N216" s="36"/>
      <c r="O216" s="36"/>
      <c r="P216" s="36"/>
      <c r="Q216" s="36"/>
      <c r="R216" s="39">
        <f>SUM(Table691213[[#This Row],[Y1 Q1 quantity]:[Y1 Q4 quantity]])</f>
        <v>0</v>
      </c>
      <c r="S216" s="1005">
        <f>Table691213[[#This Row],[Y1 Unit cost]]*Table691213[[#This Row],[Y1 Total quantity]]</f>
        <v>0</v>
      </c>
      <c r="T216" s="1002"/>
      <c r="U216" s="36"/>
      <c r="V216" s="36"/>
      <c r="W216" s="36"/>
      <c r="X216" s="36"/>
      <c r="Y216" s="39">
        <f>SUM(Table691213[[#This Row],[Y2 Q1 quantity]:[Y2 Q4 quantity]])</f>
        <v>0</v>
      </c>
      <c r="Z216" s="1005">
        <f>Table691213[[#This Row],[Y2 Unit cost]]*Table691213[[#This Row],[Y2 Total quantity]]</f>
        <v>0</v>
      </c>
      <c r="AA216" s="1002"/>
      <c r="AB216" s="36"/>
      <c r="AC216" s="36"/>
      <c r="AD216" s="36"/>
      <c r="AE216" s="36"/>
      <c r="AF216" s="39">
        <f>SUM(Table691213[[#This Row],[Y3 Q1 quantity]:[Y3 Q4 quantity]])</f>
        <v>0</v>
      </c>
      <c r="AG216" s="1005">
        <f>Table691213[[#This Row],[Y3 Unit cost]]*Table691213[[#This Row],[Y3 Total quantity]]</f>
        <v>0</v>
      </c>
      <c r="AH216" s="39">
        <f>Table691213[[#This Row],[Y1 Total quantity]]+Table691213[[#This Row],[Y2 Total quantity]]+Table691213[[#This Row],[Y3 Total quantity]]</f>
        <v>0</v>
      </c>
      <c r="AI216" s="1005">
        <f>Table691213[[#This Row],[Y1 Total cost]]+Table691213[[#This Row],[Y2 Total cost]]+Table691213[[#This Row],[Y3 Total cost]]</f>
        <v>0</v>
      </c>
      <c r="AJ216" s="1235" t="str">
        <f t="shared" si="15"/>
        <v/>
      </c>
      <c r="AK216" s="2303"/>
      <c r="AL216" s="2304"/>
    </row>
    <row r="217" spans="1:60" s="249" customFormat="1">
      <c r="A217" s="2169"/>
      <c r="B217" s="2106"/>
      <c r="C217" s="2106"/>
      <c r="D217" s="2169"/>
      <c r="E217" s="2106"/>
      <c r="F217" s="2106"/>
      <c r="G217" s="2250"/>
      <c r="H217" s="2251"/>
      <c r="I217" s="2251"/>
      <c r="J217" s="2252"/>
      <c r="K217" s="264" t="str">
        <f t="shared" si="14"/>
        <v/>
      </c>
      <c r="L217" s="259" t="str">
        <f t="shared" si="16"/>
        <v/>
      </c>
      <c r="M217" s="1002"/>
      <c r="N217" s="36"/>
      <c r="O217" s="36"/>
      <c r="P217" s="36"/>
      <c r="Q217" s="36"/>
      <c r="R217" s="39">
        <f>SUM(Table691213[[#This Row],[Y1 Q1 quantity]:[Y1 Q4 quantity]])</f>
        <v>0</v>
      </c>
      <c r="S217" s="1005">
        <f>Table691213[[#This Row],[Y1 Unit cost]]*Table691213[[#This Row],[Y1 Total quantity]]</f>
        <v>0</v>
      </c>
      <c r="T217" s="1002"/>
      <c r="U217" s="36"/>
      <c r="V217" s="36"/>
      <c r="W217" s="36"/>
      <c r="X217" s="36"/>
      <c r="Y217" s="39">
        <f>SUM(Table691213[[#This Row],[Y2 Q1 quantity]:[Y2 Q4 quantity]])</f>
        <v>0</v>
      </c>
      <c r="Z217" s="1005">
        <f>Table691213[[#This Row],[Y2 Unit cost]]*Table691213[[#This Row],[Y2 Total quantity]]</f>
        <v>0</v>
      </c>
      <c r="AA217" s="1002"/>
      <c r="AB217" s="36"/>
      <c r="AC217" s="36"/>
      <c r="AD217" s="36"/>
      <c r="AE217" s="36"/>
      <c r="AF217" s="39">
        <f>SUM(Table691213[[#This Row],[Y3 Q1 quantity]:[Y3 Q4 quantity]])</f>
        <v>0</v>
      </c>
      <c r="AG217" s="1005">
        <f>Table691213[[#This Row],[Y3 Unit cost]]*Table691213[[#This Row],[Y3 Total quantity]]</f>
        <v>0</v>
      </c>
      <c r="AH217" s="39">
        <f>Table691213[[#This Row],[Y1 Total quantity]]+Table691213[[#This Row],[Y2 Total quantity]]+Table691213[[#This Row],[Y3 Total quantity]]</f>
        <v>0</v>
      </c>
      <c r="AI217" s="1005">
        <f>Table691213[[#This Row],[Y1 Total cost]]+Table691213[[#This Row],[Y2 Total cost]]+Table691213[[#This Row],[Y3 Total cost]]</f>
        <v>0</v>
      </c>
      <c r="AJ217" s="1234" t="str">
        <f t="shared" si="15"/>
        <v/>
      </c>
      <c r="AK217" s="2305"/>
      <c r="AL217" s="2306"/>
    </row>
    <row r="218" spans="1:60" s="249" customFormat="1">
      <c r="A218" s="2240"/>
      <c r="B218" s="2126"/>
      <c r="C218" s="2126"/>
      <c r="D218" s="2240"/>
      <c r="E218" s="2126"/>
      <c r="F218" s="2126"/>
      <c r="G218" s="2247"/>
      <c r="H218" s="2248"/>
      <c r="I218" s="2248"/>
      <c r="J218" s="2249"/>
      <c r="K218" s="268" t="str">
        <f t="shared" si="14"/>
        <v/>
      </c>
      <c r="L218" s="261" t="str">
        <f t="shared" si="16"/>
        <v/>
      </c>
      <c r="M218" s="1002"/>
      <c r="N218" s="36"/>
      <c r="O218" s="36"/>
      <c r="P218" s="36"/>
      <c r="Q218" s="36"/>
      <c r="R218" s="39">
        <f>SUM(Table691213[[#This Row],[Y1 Q1 quantity]:[Y1 Q4 quantity]])</f>
        <v>0</v>
      </c>
      <c r="S218" s="1005">
        <f>Table691213[[#This Row],[Y1 Unit cost]]*Table691213[[#This Row],[Y1 Total quantity]]</f>
        <v>0</v>
      </c>
      <c r="T218" s="1002"/>
      <c r="U218" s="36"/>
      <c r="V218" s="36"/>
      <c r="W218" s="36"/>
      <c r="X218" s="36"/>
      <c r="Y218" s="39">
        <f>SUM(Table691213[[#This Row],[Y2 Q1 quantity]:[Y2 Q4 quantity]])</f>
        <v>0</v>
      </c>
      <c r="Z218" s="1005">
        <f>Table691213[[#This Row],[Y2 Unit cost]]*Table691213[[#This Row],[Y2 Total quantity]]</f>
        <v>0</v>
      </c>
      <c r="AA218" s="1002"/>
      <c r="AB218" s="36"/>
      <c r="AC218" s="36"/>
      <c r="AD218" s="36"/>
      <c r="AE218" s="36"/>
      <c r="AF218" s="39">
        <f>SUM(Table691213[[#This Row],[Y3 Q1 quantity]:[Y3 Q4 quantity]])</f>
        <v>0</v>
      </c>
      <c r="AG218" s="1005">
        <f>Table691213[[#This Row],[Y3 Unit cost]]*Table691213[[#This Row],[Y3 Total quantity]]</f>
        <v>0</v>
      </c>
      <c r="AH218" s="39">
        <f>Table691213[[#This Row],[Y1 Total quantity]]+Table691213[[#This Row],[Y2 Total quantity]]+Table691213[[#This Row],[Y3 Total quantity]]</f>
        <v>0</v>
      </c>
      <c r="AI218" s="1005">
        <f>Table691213[[#This Row],[Y1 Total cost]]+Table691213[[#This Row],[Y2 Total cost]]+Table691213[[#This Row],[Y3 Total cost]]</f>
        <v>0</v>
      </c>
      <c r="AJ218" s="1235" t="str">
        <f t="shared" si="15"/>
        <v/>
      </c>
      <c r="AK218" s="2303"/>
      <c r="AL218" s="2304"/>
    </row>
    <row r="219" spans="1:60" s="249" customFormat="1">
      <c r="A219" s="2169"/>
      <c r="B219" s="2106"/>
      <c r="C219" s="2106"/>
      <c r="D219" s="2169"/>
      <c r="E219" s="2106"/>
      <c r="F219" s="2106"/>
      <c r="G219" s="2250"/>
      <c r="H219" s="2251"/>
      <c r="I219" s="2251"/>
      <c r="J219" s="2252"/>
      <c r="K219" s="264" t="str">
        <f t="shared" si="14"/>
        <v/>
      </c>
      <c r="L219" s="259" t="str">
        <f t="shared" si="16"/>
        <v/>
      </c>
      <c r="M219" s="1002"/>
      <c r="N219" s="36"/>
      <c r="O219" s="36"/>
      <c r="P219" s="36"/>
      <c r="Q219" s="36"/>
      <c r="R219" s="39">
        <f>SUM(Table691213[[#This Row],[Y1 Q1 quantity]:[Y1 Q4 quantity]])</f>
        <v>0</v>
      </c>
      <c r="S219" s="1005">
        <f>Table691213[[#This Row],[Y1 Unit cost]]*Table691213[[#This Row],[Y1 Total quantity]]</f>
        <v>0</v>
      </c>
      <c r="T219" s="1002"/>
      <c r="U219" s="36"/>
      <c r="V219" s="36"/>
      <c r="W219" s="36"/>
      <c r="X219" s="36"/>
      <c r="Y219" s="39">
        <f>SUM(Table691213[[#This Row],[Y2 Q1 quantity]:[Y2 Q4 quantity]])</f>
        <v>0</v>
      </c>
      <c r="Z219" s="1005">
        <f>Table691213[[#This Row],[Y2 Unit cost]]*Table691213[[#This Row],[Y2 Total quantity]]</f>
        <v>0</v>
      </c>
      <c r="AA219" s="1002"/>
      <c r="AB219" s="36"/>
      <c r="AC219" s="36"/>
      <c r="AD219" s="36"/>
      <c r="AE219" s="36"/>
      <c r="AF219" s="39">
        <f>SUM(Table691213[[#This Row],[Y3 Q1 quantity]:[Y3 Q4 quantity]])</f>
        <v>0</v>
      </c>
      <c r="AG219" s="1005">
        <f>Table691213[[#This Row],[Y3 Unit cost]]*Table691213[[#This Row],[Y3 Total quantity]]</f>
        <v>0</v>
      </c>
      <c r="AH219" s="39">
        <f>Table691213[[#This Row],[Y1 Total quantity]]+Table691213[[#This Row],[Y2 Total quantity]]+Table691213[[#This Row],[Y3 Total quantity]]</f>
        <v>0</v>
      </c>
      <c r="AI219" s="1005">
        <f>Table691213[[#This Row],[Y1 Total cost]]+Table691213[[#This Row],[Y2 Total cost]]+Table691213[[#This Row],[Y3 Total cost]]</f>
        <v>0</v>
      </c>
      <c r="AJ219" s="1234" t="str">
        <f t="shared" si="15"/>
        <v/>
      </c>
      <c r="AK219" s="2305"/>
      <c r="AL219" s="2306"/>
    </row>
    <row r="220" spans="1:60" s="249" customFormat="1">
      <c r="A220" s="2240"/>
      <c r="B220" s="2126"/>
      <c r="C220" s="2126"/>
      <c r="D220" s="2240"/>
      <c r="E220" s="2126"/>
      <c r="F220" s="2126"/>
      <c r="G220" s="2247"/>
      <c r="H220" s="2248"/>
      <c r="I220" s="2248"/>
      <c r="J220" s="2249"/>
      <c r="K220" s="268" t="str">
        <f t="shared" si="14"/>
        <v/>
      </c>
      <c r="L220" s="261" t="str">
        <f t="shared" si="16"/>
        <v/>
      </c>
      <c r="M220" s="1002"/>
      <c r="N220" s="36"/>
      <c r="O220" s="36"/>
      <c r="P220" s="36"/>
      <c r="Q220" s="36"/>
      <c r="R220" s="39">
        <f>SUM(Table691213[[#This Row],[Y1 Q1 quantity]:[Y1 Q4 quantity]])</f>
        <v>0</v>
      </c>
      <c r="S220" s="1005">
        <f>Table691213[[#This Row],[Y1 Unit cost]]*Table691213[[#This Row],[Y1 Total quantity]]</f>
        <v>0</v>
      </c>
      <c r="T220" s="1002"/>
      <c r="U220" s="36"/>
      <c r="V220" s="36"/>
      <c r="W220" s="36"/>
      <c r="X220" s="36"/>
      <c r="Y220" s="39">
        <f>SUM(Table691213[[#This Row],[Y2 Q1 quantity]:[Y2 Q4 quantity]])</f>
        <v>0</v>
      </c>
      <c r="Z220" s="1005">
        <f>Table691213[[#This Row],[Y2 Unit cost]]*Table691213[[#This Row],[Y2 Total quantity]]</f>
        <v>0</v>
      </c>
      <c r="AA220" s="1002"/>
      <c r="AB220" s="36"/>
      <c r="AC220" s="36"/>
      <c r="AD220" s="36"/>
      <c r="AE220" s="36"/>
      <c r="AF220" s="39">
        <f>SUM(Table691213[[#This Row],[Y3 Q1 quantity]:[Y3 Q4 quantity]])</f>
        <v>0</v>
      </c>
      <c r="AG220" s="1005">
        <f>Table691213[[#This Row],[Y3 Unit cost]]*Table691213[[#This Row],[Y3 Total quantity]]</f>
        <v>0</v>
      </c>
      <c r="AH220" s="39">
        <f>Table691213[[#This Row],[Y1 Total quantity]]+Table691213[[#This Row],[Y2 Total quantity]]+Table691213[[#This Row],[Y3 Total quantity]]</f>
        <v>0</v>
      </c>
      <c r="AI220" s="1005">
        <f>Table691213[[#This Row],[Y1 Total cost]]+Table691213[[#This Row],[Y2 Total cost]]+Table691213[[#This Row],[Y3 Total cost]]</f>
        <v>0</v>
      </c>
      <c r="AJ220" s="1235" t="str">
        <f t="shared" si="15"/>
        <v/>
      </c>
      <c r="AK220" s="2303"/>
      <c r="AL220" s="2304"/>
    </row>
    <row r="221" spans="1:60" s="249" customFormat="1">
      <c r="A221" s="2169"/>
      <c r="B221" s="2106"/>
      <c r="C221" s="2106"/>
      <c r="D221" s="2169"/>
      <c r="E221" s="2106"/>
      <c r="F221" s="2106"/>
      <c r="G221" s="2250"/>
      <c r="H221" s="2251"/>
      <c r="I221" s="2251"/>
      <c r="J221" s="2252"/>
      <c r="K221" s="264" t="str">
        <f t="shared" si="14"/>
        <v/>
      </c>
      <c r="L221" s="259" t="str">
        <f t="shared" si="16"/>
        <v/>
      </c>
      <c r="M221" s="1002"/>
      <c r="N221" s="36"/>
      <c r="O221" s="36"/>
      <c r="P221" s="36"/>
      <c r="Q221" s="36"/>
      <c r="R221" s="39">
        <f>SUM(Table691213[[#This Row],[Y1 Q1 quantity]:[Y1 Q4 quantity]])</f>
        <v>0</v>
      </c>
      <c r="S221" s="1005">
        <f>Table691213[[#This Row],[Y1 Unit cost]]*Table691213[[#This Row],[Y1 Total quantity]]</f>
        <v>0</v>
      </c>
      <c r="T221" s="1002"/>
      <c r="U221" s="36"/>
      <c r="V221" s="36"/>
      <c r="W221" s="36"/>
      <c r="X221" s="36"/>
      <c r="Y221" s="39">
        <f>SUM(Table691213[[#This Row],[Y2 Q1 quantity]:[Y2 Q4 quantity]])</f>
        <v>0</v>
      </c>
      <c r="Z221" s="1005">
        <f>Table691213[[#This Row],[Y2 Unit cost]]*Table691213[[#This Row],[Y2 Total quantity]]</f>
        <v>0</v>
      </c>
      <c r="AA221" s="1002"/>
      <c r="AB221" s="36"/>
      <c r="AC221" s="36"/>
      <c r="AD221" s="36"/>
      <c r="AE221" s="36"/>
      <c r="AF221" s="39">
        <f>SUM(Table691213[[#This Row],[Y3 Q1 quantity]:[Y3 Q4 quantity]])</f>
        <v>0</v>
      </c>
      <c r="AG221" s="1005">
        <f>Table691213[[#This Row],[Y3 Unit cost]]*Table691213[[#This Row],[Y3 Total quantity]]</f>
        <v>0</v>
      </c>
      <c r="AH221" s="39">
        <f>Table691213[[#This Row],[Y1 Total quantity]]+Table691213[[#This Row],[Y2 Total quantity]]+Table691213[[#This Row],[Y3 Total quantity]]</f>
        <v>0</v>
      </c>
      <c r="AI221" s="1005">
        <f>Table691213[[#This Row],[Y1 Total cost]]+Table691213[[#This Row],[Y2 Total cost]]+Table691213[[#This Row],[Y3 Total cost]]</f>
        <v>0</v>
      </c>
      <c r="AJ221" s="1234" t="str">
        <f t="shared" si="15"/>
        <v/>
      </c>
      <c r="AK221" s="2305"/>
      <c r="AL221" s="2306"/>
    </row>
    <row r="222" spans="1:60" s="249" customFormat="1">
      <c r="A222" s="2240"/>
      <c r="B222" s="2126"/>
      <c r="C222" s="2126"/>
      <c r="D222" s="2240"/>
      <c r="E222" s="2126"/>
      <c r="F222" s="2126"/>
      <c r="G222" s="2247"/>
      <c r="H222" s="2248"/>
      <c r="I222" s="2248"/>
      <c r="J222" s="2249"/>
      <c r="K222" s="268" t="str">
        <f t="shared" si="14"/>
        <v/>
      </c>
      <c r="L222" s="261" t="str">
        <f t="shared" si="16"/>
        <v/>
      </c>
      <c r="M222" s="1002"/>
      <c r="N222" s="36"/>
      <c r="O222" s="36"/>
      <c r="P222" s="36"/>
      <c r="Q222" s="36"/>
      <c r="R222" s="39">
        <f>SUM(Table691213[[#This Row],[Y1 Q1 quantity]:[Y1 Q4 quantity]])</f>
        <v>0</v>
      </c>
      <c r="S222" s="1005">
        <f>Table691213[[#This Row],[Y1 Unit cost]]*Table691213[[#This Row],[Y1 Total quantity]]</f>
        <v>0</v>
      </c>
      <c r="T222" s="1002"/>
      <c r="U222" s="36"/>
      <c r="V222" s="36"/>
      <c r="W222" s="36"/>
      <c r="X222" s="36"/>
      <c r="Y222" s="39">
        <f>SUM(Table691213[[#This Row],[Y2 Q1 quantity]:[Y2 Q4 quantity]])</f>
        <v>0</v>
      </c>
      <c r="Z222" s="1005">
        <f>Table691213[[#This Row],[Y2 Unit cost]]*Table691213[[#This Row],[Y2 Total quantity]]</f>
        <v>0</v>
      </c>
      <c r="AA222" s="1002"/>
      <c r="AB222" s="36"/>
      <c r="AC222" s="36"/>
      <c r="AD222" s="36"/>
      <c r="AE222" s="36"/>
      <c r="AF222" s="39">
        <f>SUM(Table691213[[#This Row],[Y3 Q1 quantity]:[Y3 Q4 quantity]])</f>
        <v>0</v>
      </c>
      <c r="AG222" s="1005">
        <f>Table691213[[#This Row],[Y3 Unit cost]]*Table691213[[#This Row],[Y3 Total quantity]]</f>
        <v>0</v>
      </c>
      <c r="AH222" s="39">
        <f>Table691213[[#This Row],[Y1 Total quantity]]+Table691213[[#This Row],[Y2 Total quantity]]+Table691213[[#This Row],[Y3 Total quantity]]</f>
        <v>0</v>
      </c>
      <c r="AI222" s="1005">
        <f>Table691213[[#This Row],[Y1 Total cost]]+Table691213[[#This Row],[Y2 Total cost]]+Table691213[[#This Row],[Y3 Total cost]]</f>
        <v>0</v>
      </c>
      <c r="AJ222" s="1235" t="str">
        <f t="shared" si="15"/>
        <v/>
      </c>
      <c r="AK222" s="2303"/>
      <c r="AL222" s="2304"/>
    </row>
    <row r="223" spans="1:60" s="249" customFormat="1" ht="15" thickBot="1">
      <c r="A223" s="2171"/>
      <c r="B223" s="2172"/>
      <c r="C223" s="2172"/>
      <c r="D223" s="2171"/>
      <c r="E223" s="2172"/>
      <c r="F223" s="2172"/>
      <c r="G223" s="2256"/>
      <c r="H223" s="2257"/>
      <c r="I223" s="2257"/>
      <c r="J223" s="2258"/>
      <c r="K223" s="269" t="str">
        <f t="shared" si="14"/>
        <v/>
      </c>
      <c r="L223" s="270" t="str">
        <f t="shared" si="16"/>
        <v/>
      </c>
      <c r="M223" s="1018"/>
      <c r="N223" s="37"/>
      <c r="O223" s="37"/>
      <c r="P223" s="37"/>
      <c r="Q223" s="37"/>
      <c r="R223" s="40">
        <f>SUM(Table691213[[#This Row],[Y1 Q1 quantity]:[Y1 Q4 quantity]])</f>
        <v>0</v>
      </c>
      <c r="S223" s="1019">
        <f>Table691213[[#This Row],[Y1 Unit cost]]*Table691213[[#This Row],[Y1 Total quantity]]</f>
        <v>0</v>
      </c>
      <c r="T223" s="1018"/>
      <c r="U223" s="37"/>
      <c r="V223" s="37"/>
      <c r="W223" s="37"/>
      <c r="X223" s="37"/>
      <c r="Y223" s="40">
        <f>SUM(Table691213[[#This Row],[Y2 Q1 quantity]:[Y2 Q4 quantity]])</f>
        <v>0</v>
      </c>
      <c r="Z223" s="1019">
        <f>Table691213[[#This Row],[Y2 Unit cost]]*Table691213[[#This Row],[Y2 Total quantity]]</f>
        <v>0</v>
      </c>
      <c r="AA223" s="1018"/>
      <c r="AB223" s="37"/>
      <c r="AC223" s="37"/>
      <c r="AD223" s="37"/>
      <c r="AE223" s="37"/>
      <c r="AF223" s="40">
        <f>SUM(Table691213[[#This Row],[Y3 Q1 quantity]:[Y3 Q4 quantity]])</f>
        <v>0</v>
      </c>
      <c r="AG223" s="1019">
        <f>Table691213[[#This Row],[Y3 Unit cost]]*Table691213[[#This Row],[Y3 Total quantity]]</f>
        <v>0</v>
      </c>
      <c r="AH223" s="40">
        <f>Table691213[[#This Row],[Y1 Total quantity]]+Table691213[[#This Row],[Y2 Total quantity]]+Table691213[[#This Row],[Y3 Total quantity]]</f>
        <v>0</v>
      </c>
      <c r="AI223" s="1019">
        <f>Table691213[[#This Row],[Y1 Total cost]]+Table691213[[#This Row],[Y2 Total cost]]+Table691213[[#This Row],[Y3 Total cost]]</f>
        <v>0</v>
      </c>
      <c r="AJ223" s="1236" t="str">
        <f t="shared" si="15"/>
        <v/>
      </c>
      <c r="AK223" s="2309"/>
      <c r="AL223" s="2310"/>
    </row>
    <row r="224" spans="1:60">
      <c r="A224" s="234"/>
      <c r="B224" s="234"/>
      <c r="C224" s="234"/>
      <c r="D224" s="234"/>
      <c r="E224" s="234"/>
      <c r="F224" s="234"/>
      <c r="G224" s="234"/>
      <c r="H224" s="234"/>
      <c r="I224" s="234"/>
      <c r="J224" s="234"/>
      <c r="K224" s="234"/>
      <c r="L224" s="234"/>
      <c r="M224" s="234"/>
      <c r="N224" s="234"/>
      <c r="O224" s="234"/>
      <c r="P224" s="234"/>
      <c r="Q224" s="234"/>
      <c r="R224" s="234"/>
      <c r="S224" s="234"/>
      <c r="T224" s="234"/>
      <c r="U224" s="234"/>
      <c r="V224" s="234"/>
      <c r="W224" s="234"/>
      <c r="X224" s="234"/>
      <c r="Y224" s="234"/>
      <c r="Z224" s="234"/>
      <c r="AA224" s="234"/>
      <c r="AB224" s="234"/>
      <c r="AC224" s="234"/>
      <c r="AD224" s="234"/>
      <c r="AE224" s="234"/>
      <c r="AF224" s="234"/>
      <c r="AG224" s="234"/>
      <c r="AH224" s="234"/>
      <c r="AI224"/>
      <c r="AJ224"/>
      <c r="AK224"/>
      <c r="AL224"/>
      <c r="AV224" s="249"/>
      <c r="AW224" s="249"/>
      <c r="AX224" s="249"/>
      <c r="AY224" s="249"/>
      <c r="AZ224" s="249"/>
      <c r="BA224" s="249"/>
      <c r="BB224" s="249"/>
      <c r="BC224" s="249"/>
      <c r="BD224" s="249"/>
      <c r="BE224" s="249"/>
      <c r="BF224" s="249"/>
      <c r="BG224" s="249"/>
      <c r="BH224" s="249"/>
    </row>
    <row r="229" spans="38:38">
      <c r="AL229" s="410"/>
    </row>
    <row r="230" spans="38:38">
      <c r="AL230" s="410"/>
    </row>
    <row r="231" spans="38:38">
      <c r="AL231" s="410"/>
    </row>
    <row r="232" spans="38:38">
      <c r="AL232" s="410"/>
    </row>
    <row r="233" spans="38:38">
      <c r="AL233" s="410"/>
    </row>
    <row r="234" spans="38:38">
      <c r="AL234" s="410"/>
    </row>
    <row r="235" spans="38:38">
      <c r="AL235" s="410"/>
    </row>
    <row r="236" spans="38:38">
      <c r="AL236" s="410"/>
    </row>
    <row r="237" spans="38:38">
      <c r="AL237" s="410"/>
    </row>
    <row r="238" spans="38:38">
      <c r="AL238" s="410"/>
    </row>
    <row r="239" spans="38:38">
      <c r="AL239" s="410"/>
    </row>
    <row r="240" spans="38:38">
      <c r="AL240" s="410"/>
    </row>
    <row r="241" spans="38:38">
      <c r="AL241" s="410"/>
    </row>
    <row r="242" spans="38:38">
      <c r="AL242" s="410"/>
    </row>
    <row r="243" spans="38:38">
      <c r="AL243" s="410"/>
    </row>
    <row r="244" spans="38:38">
      <c r="AL244" s="410"/>
    </row>
    <row r="245" spans="38:38">
      <c r="AL245" s="410"/>
    </row>
    <row r="246" spans="38:38">
      <c r="AL246" s="410"/>
    </row>
    <row r="247" spans="38:38">
      <c r="AL247" s="410"/>
    </row>
    <row r="248" spans="38:38">
      <c r="AL248" s="410"/>
    </row>
    <row r="249" spans="38:38">
      <c r="AL249" s="410"/>
    </row>
    <row r="250" spans="38:38">
      <c r="AL250" s="410"/>
    </row>
    <row r="251" spans="38:38">
      <c r="AL251" s="410"/>
    </row>
    <row r="252" spans="38:38">
      <c r="AL252" s="410"/>
    </row>
    <row r="253" spans="38:38">
      <c r="AL253" s="410"/>
    </row>
    <row r="254" spans="38:38">
      <c r="AL254" s="410"/>
    </row>
    <row r="255" spans="38:38">
      <c r="AL255" s="410"/>
    </row>
    <row r="256" spans="38:38">
      <c r="AL256" s="410"/>
    </row>
    <row r="257" spans="38:38">
      <c r="AL257" s="410"/>
    </row>
    <row r="258" spans="38:38">
      <c r="AL258" s="410"/>
    </row>
    <row r="259" spans="38:38">
      <c r="AL259" s="410"/>
    </row>
    <row r="260" spans="38:38">
      <c r="AL260" s="410"/>
    </row>
    <row r="261" spans="38:38">
      <c r="AL261" s="410"/>
    </row>
    <row r="262" spans="38:38">
      <c r="AL262" s="410"/>
    </row>
    <row r="263" spans="38:38">
      <c r="AL263" s="410"/>
    </row>
    <row r="264" spans="38:38">
      <c r="AL264" s="410"/>
    </row>
    <row r="265" spans="38:38">
      <c r="AL265" s="410"/>
    </row>
    <row r="266" spans="38:38">
      <c r="AL266" s="410"/>
    </row>
    <row r="267" spans="38:38">
      <c r="AL267" s="410"/>
    </row>
    <row r="268" spans="38:38">
      <c r="AL268" s="410"/>
    </row>
    <row r="269" spans="38:38">
      <c r="AL269" s="410"/>
    </row>
    <row r="270" spans="38:38">
      <c r="AL270" s="410"/>
    </row>
    <row r="271" spans="38:38">
      <c r="AL271" s="410"/>
    </row>
    <row r="272" spans="38:38">
      <c r="AL272" s="410"/>
    </row>
    <row r="273" spans="38:38">
      <c r="AL273" s="410"/>
    </row>
    <row r="274" spans="38:38">
      <c r="AL274" s="410"/>
    </row>
    <row r="275" spans="38:38">
      <c r="AL275" s="410"/>
    </row>
    <row r="276" spans="38:38">
      <c r="AL276" s="410"/>
    </row>
    <row r="277" spans="38:38">
      <c r="AL277" s="410"/>
    </row>
    <row r="278" spans="38:38">
      <c r="AL278" s="410"/>
    </row>
    <row r="279" spans="38:38">
      <c r="AL279" s="410"/>
    </row>
    <row r="280" spans="38:38">
      <c r="AL280" s="410"/>
    </row>
    <row r="281" spans="38:38">
      <c r="AL281" s="410"/>
    </row>
    <row r="282" spans="38:38">
      <c r="AL282" s="410"/>
    </row>
    <row r="283" spans="38:38">
      <c r="AL283" s="410"/>
    </row>
    <row r="284" spans="38:38">
      <c r="AL284" s="410"/>
    </row>
    <row r="285" spans="38:38">
      <c r="AL285" s="410"/>
    </row>
    <row r="286" spans="38:38">
      <c r="AL286" s="410"/>
    </row>
    <row r="287" spans="38:38">
      <c r="AL287" s="410"/>
    </row>
    <row r="288" spans="38:38">
      <c r="AL288" s="410"/>
    </row>
    <row r="289" spans="38:38">
      <c r="AL289" s="410"/>
    </row>
    <row r="290" spans="38:38">
      <c r="AL290" s="410"/>
    </row>
    <row r="291" spans="38:38">
      <c r="AL291" s="410"/>
    </row>
    <row r="292" spans="38:38">
      <c r="AL292" s="410"/>
    </row>
    <row r="293" spans="38:38">
      <c r="AL293" s="410"/>
    </row>
    <row r="294" spans="38:38">
      <c r="AL294" s="410"/>
    </row>
    <row r="295" spans="38:38">
      <c r="AL295" s="410"/>
    </row>
    <row r="296" spans="38:38">
      <c r="AL296" s="410"/>
    </row>
    <row r="297" spans="38:38">
      <c r="AL297" s="410"/>
    </row>
    <row r="298" spans="38:38">
      <c r="AL298" s="471"/>
    </row>
  </sheetData>
  <sheetProtection algorithmName="SHA-512" hashValue="b+aOGLq4+s9HWU9GJsgv/KzLzm2T3N2IdO1q6NzalZ3+0NGO2tpLc998Ng3IyG/ng3GSBwEySsK183wl9PLgew==" saltValue="qx7bi1/7qqJExavUiognNQ==" spinCount="100000" sheet="1" formatColumns="0" formatRows="0" selectLockedCells="1" autoFilter="0"/>
  <mergeCells count="780">
    <mergeCell ref="AK86:AL86"/>
    <mergeCell ref="AK87:AL87"/>
    <mergeCell ref="AK88:AL88"/>
    <mergeCell ref="AK89:AL89"/>
    <mergeCell ref="AK90:AL90"/>
    <mergeCell ref="AK93:AL93"/>
    <mergeCell ref="AK94:AL94"/>
    <mergeCell ref="AK95:AL95"/>
    <mergeCell ref="AK186:AL186"/>
    <mergeCell ref="AK97:AL97"/>
    <mergeCell ref="AK170:AL170"/>
    <mergeCell ref="AK171:AL171"/>
    <mergeCell ref="AK154:AL154"/>
    <mergeCell ref="AK155:AL155"/>
    <mergeCell ref="AK156:AL156"/>
    <mergeCell ref="AK157:AL157"/>
    <mergeCell ref="AK158:AL158"/>
    <mergeCell ref="AK159:AL159"/>
    <mergeCell ref="AK160:AL160"/>
    <mergeCell ref="AK161:AL161"/>
    <mergeCell ref="AK162:AL162"/>
    <mergeCell ref="AK145:AL145"/>
    <mergeCell ref="AK146:AL146"/>
    <mergeCell ref="AK147:AL147"/>
    <mergeCell ref="AK187:AL187"/>
    <mergeCell ref="AK188:AL188"/>
    <mergeCell ref="AK189:AL189"/>
    <mergeCell ref="AK218:AL218"/>
    <mergeCell ref="AK219:AL219"/>
    <mergeCell ref="AK220:AL220"/>
    <mergeCell ref="AK221:AL221"/>
    <mergeCell ref="A10:M10"/>
    <mergeCell ref="A45:M45"/>
    <mergeCell ref="A79:M79"/>
    <mergeCell ref="A119:M119"/>
    <mergeCell ref="AK196:AL196"/>
    <mergeCell ref="AK197:AL197"/>
    <mergeCell ref="AK198:AL198"/>
    <mergeCell ref="AK181:AL181"/>
    <mergeCell ref="AK182:AL182"/>
    <mergeCell ref="AK183:AL183"/>
    <mergeCell ref="AK184:AL184"/>
    <mergeCell ref="AK185:AL185"/>
    <mergeCell ref="AK81:AL82"/>
    <mergeCell ref="AK83:AL83"/>
    <mergeCell ref="AK84:AL84"/>
    <mergeCell ref="AK85:AL85"/>
    <mergeCell ref="AK96:AL96"/>
    <mergeCell ref="AK222:AL222"/>
    <mergeCell ref="AK223:AL223"/>
    <mergeCell ref="AK210:AL210"/>
    <mergeCell ref="AK211:AL211"/>
    <mergeCell ref="AK212:AL212"/>
    <mergeCell ref="AK213:AL213"/>
    <mergeCell ref="AK214:AL214"/>
    <mergeCell ref="AK215:AL215"/>
    <mergeCell ref="AK216:AL216"/>
    <mergeCell ref="AK217:AL217"/>
    <mergeCell ref="AK208:AL208"/>
    <mergeCell ref="AK209:AL209"/>
    <mergeCell ref="AK199:AL199"/>
    <mergeCell ref="AK200:AL200"/>
    <mergeCell ref="AK201:AL201"/>
    <mergeCell ref="AK202:AL202"/>
    <mergeCell ref="AK203:AL203"/>
    <mergeCell ref="AK204:AL204"/>
    <mergeCell ref="AK205:AL205"/>
    <mergeCell ref="AK206:AL206"/>
    <mergeCell ref="AK207:AL207"/>
    <mergeCell ref="AK190:AL190"/>
    <mergeCell ref="AK191:AL191"/>
    <mergeCell ref="AK192:AL192"/>
    <mergeCell ref="AK193:AL193"/>
    <mergeCell ref="AK194:AL194"/>
    <mergeCell ref="AK195:AL195"/>
    <mergeCell ref="AK113:AL113"/>
    <mergeCell ref="AK114:AL114"/>
    <mergeCell ref="AK172:AL172"/>
    <mergeCell ref="AK173:AL173"/>
    <mergeCell ref="AK174:AL174"/>
    <mergeCell ref="AK175:AL175"/>
    <mergeCell ref="AK176:AL176"/>
    <mergeCell ref="AK177:AL177"/>
    <mergeCell ref="AK178:AL178"/>
    <mergeCell ref="AK179:AL179"/>
    <mergeCell ref="AK180:AL180"/>
    <mergeCell ref="AK163:AL163"/>
    <mergeCell ref="AK164:AL164"/>
    <mergeCell ref="AK165:AL165"/>
    <mergeCell ref="AK166:AL166"/>
    <mergeCell ref="AK167:AL167"/>
    <mergeCell ref="AK168:AL168"/>
    <mergeCell ref="AK169:AL169"/>
    <mergeCell ref="AK148:AL148"/>
    <mergeCell ref="AK149:AL149"/>
    <mergeCell ref="AK150:AL150"/>
    <mergeCell ref="AK151:AL151"/>
    <mergeCell ref="AK152:AL152"/>
    <mergeCell ref="AK153:AL153"/>
    <mergeCell ref="AK136:AL136"/>
    <mergeCell ref="AK137:AL137"/>
    <mergeCell ref="AK138:AL138"/>
    <mergeCell ref="AK139:AL139"/>
    <mergeCell ref="AK140:AL140"/>
    <mergeCell ref="AK141:AL141"/>
    <mergeCell ref="AK142:AL142"/>
    <mergeCell ref="AK143:AL143"/>
    <mergeCell ref="AK144:AL144"/>
    <mergeCell ref="AK127:AL127"/>
    <mergeCell ref="AK128:AL128"/>
    <mergeCell ref="AK129:AL129"/>
    <mergeCell ref="AK130:AL130"/>
    <mergeCell ref="AK131:AL131"/>
    <mergeCell ref="AK132:AL132"/>
    <mergeCell ref="AK133:AL133"/>
    <mergeCell ref="AK134:AL134"/>
    <mergeCell ref="AK135:AL135"/>
    <mergeCell ref="AL12:AL13"/>
    <mergeCell ref="AL47:AL48"/>
    <mergeCell ref="AK121:AL122"/>
    <mergeCell ref="AK123:AL123"/>
    <mergeCell ref="AK124:AL124"/>
    <mergeCell ref="AK125:AL125"/>
    <mergeCell ref="AK126:AL126"/>
    <mergeCell ref="AK98:AL98"/>
    <mergeCell ref="AK99:AL99"/>
    <mergeCell ref="AK100:AL100"/>
    <mergeCell ref="AK101:AL101"/>
    <mergeCell ref="AK102:AL102"/>
    <mergeCell ref="AK103:AL103"/>
    <mergeCell ref="AK104:AL104"/>
    <mergeCell ref="AK105:AL105"/>
    <mergeCell ref="AK106:AL106"/>
    <mergeCell ref="AK107:AL107"/>
    <mergeCell ref="AK108:AL108"/>
    <mergeCell ref="AK109:AL109"/>
    <mergeCell ref="AK110:AL110"/>
    <mergeCell ref="AK111:AL111"/>
    <mergeCell ref="AK112:AL112"/>
    <mergeCell ref="AK91:AL91"/>
    <mergeCell ref="AK92:AL92"/>
    <mergeCell ref="A219:C219"/>
    <mergeCell ref="A220:C220"/>
    <mergeCell ref="A221:C221"/>
    <mergeCell ref="A222:C222"/>
    <mergeCell ref="A223:C223"/>
    <mergeCell ref="A210:C210"/>
    <mergeCell ref="A211:C211"/>
    <mergeCell ref="A212:C212"/>
    <mergeCell ref="A213:C213"/>
    <mergeCell ref="A214:C214"/>
    <mergeCell ref="A215:C215"/>
    <mergeCell ref="A216:C216"/>
    <mergeCell ref="A217:C217"/>
    <mergeCell ref="A218:C218"/>
    <mergeCell ref="A201:C201"/>
    <mergeCell ref="A202:C202"/>
    <mergeCell ref="A203:C203"/>
    <mergeCell ref="A204:C204"/>
    <mergeCell ref="A205:C205"/>
    <mergeCell ref="A206:C206"/>
    <mergeCell ref="A207:C207"/>
    <mergeCell ref="A208:C208"/>
    <mergeCell ref="A209:C209"/>
    <mergeCell ref="A192:C192"/>
    <mergeCell ref="A193:C193"/>
    <mergeCell ref="A194:C194"/>
    <mergeCell ref="A195:C195"/>
    <mergeCell ref="A196:C196"/>
    <mergeCell ref="A197:C197"/>
    <mergeCell ref="A198:C198"/>
    <mergeCell ref="A199:C199"/>
    <mergeCell ref="A200:C200"/>
    <mergeCell ref="A183:C183"/>
    <mergeCell ref="A184:C184"/>
    <mergeCell ref="A185:C185"/>
    <mergeCell ref="A186:C186"/>
    <mergeCell ref="A187:C187"/>
    <mergeCell ref="A188:C188"/>
    <mergeCell ref="A189:C189"/>
    <mergeCell ref="A190:C190"/>
    <mergeCell ref="A191:C191"/>
    <mergeCell ref="A174:C174"/>
    <mergeCell ref="A175:C175"/>
    <mergeCell ref="A176:C176"/>
    <mergeCell ref="A177:C177"/>
    <mergeCell ref="A178:C178"/>
    <mergeCell ref="A179:C179"/>
    <mergeCell ref="A180:C180"/>
    <mergeCell ref="A181:C181"/>
    <mergeCell ref="A182:C182"/>
    <mergeCell ref="A165:C165"/>
    <mergeCell ref="A166:C166"/>
    <mergeCell ref="A167:C167"/>
    <mergeCell ref="A168:C168"/>
    <mergeCell ref="A169:C169"/>
    <mergeCell ref="A170:C170"/>
    <mergeCell ref="A171:C171"/>
    <mergeCell ref="A172:C172"/>
    <mergeCell ref="A173:C173"/>
    <mergeCell ref="A156:C156"/>
    <mergeCell ref="A157:C157"/>
    <mergeCell ref="A158:C158"/>
    <mergeCell ref="A159:C159"/>
    <mergeCell ref="A160:C160"/>
    <mergeCell ref="A161:C161"/>
    <mergeCell ref="A162:C162"/>
    <mergeCell ref="A163:C163"/>
    <mergeCell ref="A164:C164"/>
    <mergeCell ref="A147:C147"/>
    <mergeCell ref="A148:C148"/>
    <mergeCell ref="A149:C149"/>
    <mergeCell ref="A150:C150"/>
    <mergeCell ref="A151:C151"/>
    <mergeCell ref="A152:C152"/>
    <mergeCell ref="A153:C153"/>
    <mergeCell ref="A154:C154"/>
    <mergeCell ref="A155:C155"/>
    <mergeCell ref="A138:C138"/>
    <mergeCell ref="A139:C139"/>
    <mergeCell ref="A140:C140"/>
    <mergeCell ref="A141:C141"/>
    <mergeCell ref="A142:C142"/>
    <mergeCell ref="A143:C143"/>
    <mergeCell ref="A144:C144"/>
    <mergeCell ref="A145:C145"/>
    <mergeCell ref="A146:C146"/>
    <mergeCell ref="A129:C129"/>
    <mergeCell ref="A130:C130"/>
    <mergeCell ref="A131:C131"/>
    <mergeCell ref="A132:C132"/>
    <mergeCell ref="A133:C133"/>
    <mergeCell ref="A134:C134"/>
    <mergeCell ref="A135:C135"/>
    <mergeCell ref="A136:C136"/>
    <mergeCell ref="A137:C137"/>
    <mergeCell ref="A128:C128"/>
    <mergeCell ref="A107:C107"/>
    <mergeCell ref="A108:C108"/>
    <mergeCell ref="A109:C109"/>
    <mergeCell ref="A110:C110"/>
    <mergeCell ref="A111:C111"/>
    <mergeCell ref="A112:C112"/>
    <mergeCell ref="A113:C113"/>
    <mergeCell ref="A114:C114"/>
    <mergeCell ref="A121:C122"/>
    <mergeCell ref="A103:C103"/>
    <mergeCell ref="A104:C104"/>
    <mergeCell ref="A105:C105"/>
    <mergeCell ref="A106:C106"/>
    <mergeCell ref="A123:C123"/>
    <mergeCell ref="A124:C124"/>
    <mergeCell ref="A125:C125"/>
    <mergeCell ref="A126:C126"/>
    <mergeCell ref="A127:C127"/>
    <mergeCell ref="A77:A78"/>
    <mergeCell ref="D81:F82"/>
    <mergeCell ref="D83:F83"/>
    <mergeCell ref="A86:C86"/>
    <mergeCell ref="A74:D74"/>
    <mergeCell ref="B77:D78"/>
    <mergeCell ref="D89:F89"/>
    <mergeCell ref="D90:F90"/>
    <mergeCell ref="A70:D70"/>
    <mergeCell ref="A71:D71"/>
    <mergeCell ref="A72:D72"/>
    <mergeCell ref="A87:C87"/>
    <mergeCell ref="A88:C88"/>
    <mergeCell ref="A89:C89"/>
    <mergeCell ref="A90:C90"/>
    <mergeCell ref="A73:D73"/>
    <mergeCell ref="A91:C91"/>
    <mergeCell ref="A92:C92"/>
    <mergeCell ref="A93:C93"/>
    <mergeCell ref="A94:C94"/>
    <mergeCell ref="A81:C82"/>
    <mergeCell ref="A83:C83"/>
    <mergeCell ref="A84:C84"/>
    <mergeCell ref="A85:C85"/>
    <mergeCell ref="D102:F102"/>
    <mergeCell ref="D98:F98"/>
    <mergeCell ref="D99:F99"/>
    <mergeCell ref="D100:F100"/>
    <mergeCell ref="D101:F101"/>
    <mergeCell ref="A95:C95"/>
    <mergeCell ref="A96:C96"/>
    <mergeCell ref="A97:C97"/>
    <mergeCell ref="A98:C98"/>
    <mergeCell ref="A99:C99"/>
    <mergeCell ref="A100:C100"/>
    <mergeCell ref="A101:C101"/>
    <mergeCell ref="A102:C102"/>
    <mergeCell ref="D103:F103"/>
    <mergeCell ref="D104:F104"/>
    <mergeCell ref="D105:F105"/>
    <mergeCell ref="D106:F106"/>
    <mergeCell ref="D111:F111"/>
    <mergeCell ref="D110:F110"/>
    <mergeCell ref="G109:J109"/>
    <mergeCell ref="G102:J102"/>
    <mergeCell ref="G103:J103"/>
    <mergeCell ref="G104:J104"/>
    <mergeCell ref="G105:J105"/>
    <mergeCell ref="G106:J106"/>
    <mergeCell ref="G107:J107"/>
    <mergeCell ref="AH121:AI121"/>
    <mergeCell ref="I117:I118"/>
    <mergeCell ref="J117:J118"/>
    <mergeCell ref="G108:J108"/>
    <mergeCell ref="H117:H118"/>
    <mergeCell ref="K121:K122"/>
    <mergeCell ref="L121:L122"/>
    <mergeCell ref="M121:S121"/>
    <mergeCell ref="T121:Z121"/>
    <mergeCell ref="AA121:AG121"/>
    <mergeCell ref="G110:J110"/>
    <mergeCell ref="G111:J111"/>
    <mergeCell ref="AH81:AI81"/>
    <mergeCell ref="G93:J93"/>
    <mergeCell ref="G94:J94"/>
    <mergeCell ref="G95:J95"/>
    <mergeCell ref="G96:J96"/>
    <mergeCell ref="G89:J89"/>
    <mergeCell ref="G90:J90"/>
    <mergeCell ref="G91:J91"/>
    <mergeCell ref="G92:J92"/>
    <mergeCell ref="K81:K82"/>
    <mergeCell ref="G83:J83"/>
    <mergeCell ref="G88:J88"/>
    <mergeCell ref="G81:J82"/>
    <mergeCell ref="M81:S81"/>
    <mergeCell ref="T81:Z81"/>
    <mergeCell ref="AA81:AG81"/>
    <mergeCell ref="G86:J86"/>
    <mergeCell ref="L81:L82"/>
    <mergeCell ref="G87:J87"/>
    <mergeCell ref="G85:J85"/>
    <mergeCell ref="G84:J84"/>
    <mergeCell ref="A69:D69"/>
    <mergeCell ref="G99:J99"/>
    <mergeCell ref="A67:D67"/>
    <mergeCell ref="AI47:AJ47"/>
    <mergeCell ref="E63:H63"/>
    <mergeCell ref="I63:K63"/>
    <mergeCell ref="E70:H70"/>
    <mergeCell ref="I70:K70"/>
    <mergeCell ref="E71:H71"/>
    <mergeCell ref="I71:K71"/>
    <mergeCell ref="M47:M48"/>
    <mergeCell ref="E61:H61"/>
    <mergeCell ref="I61:K61"/>
    <mergeCell ref="E62:H62"/>
    <mergeCell ref="I62:K62"/>
    <mergeCell ref="E58:H58"/>
    <mergeCell ref="I58:K58"/>
    <mergeCell ref="E59:H59"/>
    <mergeCell ref="I59:K59"/>
    <mergeCell ref="E60:H60"/>
    <mergeCell ref="E66:H66"/>
    <mergeCell ref="I66:K66"/>
    <mergeCell ref="I51:K51"/>
    <mergeCell ref="E50:H50"/>
    <mergeCell ref="E12:H13"/>
    <mergeCell ref="I12:K13"/>
    <mergeCell ref="E40:H40"/>
    <mergeCell ref="L12:L13"/>
    <mergeCell ref="E38:H38"/>
    <mergeCell ref="E25:H25"/>
    <mergeCell ref="E26:H26"/>
    <mergeCell ref="E27:H27"/>
    <mergeCell ref="I77:I78"/>
    <mergeCell ref="I50:K50"/>
    <mergeCell ref="E52:H52"/>
    <mergeCell ref="I52:K52"/>
    <mergeCell ref="I60:K60"/>
    <mergeCell ref="I53:K53"/>
    <mergeCell ref="E54:H54"/>
    <mergeCell ref="I54:K54"/>
    <mergeCell ref="E55:H55"/>
    <mergeCell ref="I55:K55"/>
    <mergeCell ref="E56:H56"/>
    <mergeCell ref="I56:K56"/>
    <mergeCell ref="E57:H57"/>
    <mergeCell ref="I57:K57"/>
    <mergeCell ref="E51:H51"/>
    <mergeCell ref="E53:H53"/>
    <mergeCell ref="O1:O2"/>
    <mergeCell ref="G5:G6"/>
    <mergeCell ref="I16:K16"/>
    <mergeCell ref="I15:K15"/>
    <mergeCell ref="I14:K14"/>
    <mergeCell ref="I18:K18"/>
    <mergeCell ref="J8:K9"/>
    <mergeCell ref="N12:T12"/>
    <mergeCell ref="M1:M2"/>
    <mergeCell ref="A1:K1"/>
    <mergeCell ref="B8:D9"/>
    <mergeCell ref="E8:G8"/>
    <mergeCell ref="E9:G9"/>
    <mergeCell ref="A8:A9"/>
    <mergeCell ref="B3:B4"/>
    <mergeCell ref="C3:E4"/>
    <mergeCell ref="G3:G4"/>
    <mergeCell ref="A12:D13"/>
    <mergeCell ref="A14:D14"/>
    <mergeCell ref="H3:J4"/>
    <mergeCell ref="H5:J6"/>
    <mergeCell ref="I8:I9"/>
    <mergeCell ref="A15:D15"/>
    <mergeCell ref="A16:D16"/>
    <mergeCell ref="A17:D17"/>
    <mergeCell ref="B5:B6"/>
    <mergeCell ref="C5:E6"/>
    <mergeCell ref="H8:H9"/>
    <mergeCell ref="E32:H32"/>
    <mergeCell ref="E34:H34"/>
    <mergeCell ref="I30:K30"/>
    <mergeCell ref="I32:K32"/>
    <mergeCell ref="I21:K21"/>
    <mergeCell ref="I22:K22"/>
    <mergeCell ref="I23:K23"/>
    <mergeCell ref="I24:K24"/>
    <mergeCell ref="I25:K25"/>
    <mergeCell ref="I26:K26"/>
    <mergeCell ref="I27:K27"/>
    <mergeCell ref="E20:H20"/>
    <mergeCell ref="E19:H19"/>
    <mergeCell ref="I31:K31"/>
    <mergeCell ref="I33:K33"/>
    <mergeCell ref="E14:H14"/>
    <mergeCell ref="E15:H15"/>
    <mergeCell ref="E21:H21"/>
    <mergeCell ref="A18:D18"/>
    <mergeCell ref="A19:D19"/>
    <mergeCell ref="B43:D44"/>
    <mergeCell ref="I39:K39"/>
    <mergeCell ref="A29:D29"/>
    <mergeCell ref="A30:D30"/>
    <mergeCell ref="E35:H35"/>
    <mergeCell ref="E37:H37"/>
    <mergeCell ref="E36:H36"/>
    <mergeCell ref="A34:D34"/>
    <mergeCell ref="A35:D35"/>
    <mergeCell ref="A36:D36"/>
    <mergeCell ref="A37:D37"/>
    <mergeCell ref="E39:H39"/>
    <mergeCell ref="I35:K35"/>
    <mergeCell ref="I37:K37"/>
    <mergeCell ref="E29:H29"/>
    <mergeCell ref="E30:H30"/>
    <mergeCell ref="A43:A44"/>
    <mergeCell ref="I38:K38"/>
    <mergeCell ref="I29:K29"/>
    <mergeCell ref="I43:I44"/>
    <mergeCell ref="J43:K44"/>
    <mergeCell ref="H43:H44"/>
    <mergeCell ref="A31:D31"/>
    <mergeCell ref="A32:D32"/>
    <mergeCell ref="G128:J128"/>
    <mergeCell ref="G113:J113"/>
    <mergeCell ref="G114:J114"/>
    <mergeCell ref="D84:F84"/>
    <mergeCell ref="D85:F85"/>
    <mergeCell ref="D86:F86"/>
    <mergeCell ref="D87:F87"/>
    <mergeCell ref="D88:F88"/>
    <mergeCell ref="D107:F107"/>
    <mergeCell ref="D108:F108"/>
    <mergeCell ref="D109:F109"/>
    <mergeCell ref="D112:F112"/>
    <mergeCell ref="D113:F113"/>
    <mergeCell ref="D114:F114"/>
    <mergeCell ref="G112:J112"/>
    <mergeCell ref="G98:J98"/>
    <mergeCell ref="D97:F97"/>
    <mergeCell ref="G97:J97"/>
    <mergeCell ref="D91:F91"/>
    <mergeCell ref="D92:F92"/>
    <mergeCell ref="D93:F93"/>
    <mergeCell ref="D94:F94"/>
    <mergeCell ref="D95:F95"/>
    <mergeCell ref="D96:F96"/>
    <mergeCell ref="G133:J133"/>
    <mergeCell ref="G134:J134"/>
    <mergeCell ref="G135:J135"/>
    <mergeCell ref="G136:J136"/>
    <mergeCell ref="A117:A118"/>
    <mergeCell ref="B117:D118"/>
    <mergeCell ref="D121:F122"/>
    <mergeCell ref="D123:F123"/>
    <mergeCell ref="G121:J122"/>
    <mergeCell ref="G123:J123"/>
    <mergeCell ref="D124:F124"/>
    <mergeCell ref="G124:J124"/>
    <mergeCell ref="D125:F125"/>
    <mergeCell ref="D126:F126"/>
    <mergeCell ref="D127:F127"/>
    <mergeCell ref="G126:J126"/>
    <mergeCell ref="G127:J127"/>
    <mergeCell ref="G125:J125"/>
    <mergeCell ref="D128:F128"/>
    <mergeCell ref="D129:F129"/>
    <mergeCell ref="E117:G117"/>
    <mergeCell ref="G129:J129"/>
    <mergeCell ref="D130:F130"/>
    <mergeCell ref="G130:J130"/>
    <mergeCell ref="D141:F141"/>
    <mergeCell ref="G141:J141"/>
    <mergeCell ref="D142:F142"/>
    <mergeCell ref="G142:J142"/>
    <mergeCell ref="D143:F143"/>
    <mergeCell ref="G143:J143"/>
    <mergeCell ref="D144:F144"/>
    <mergeCell ref="G144:J144"/>
    <mergeCell ref="D131:F131"/>
    <mergeCell ref="D137:F137"/>
    <mergeCell ref="G137:J137"/>
    <mergeCell ref="D138:F138"/>
    <mergeCell ref="G138:J138"/>
    <mergeCell ref="D139:F139"/>
    <mergeCell ref="G139:J139"/>
    <mergeCell ref="D140:F140"/>
    <mergeCell ref="G140:J140"/>
    <mergeCell ref="D132:F132"/>
    <mergeCell ref="D133:F133"/>
    <mergeCell ref="D134:F134"/>
    <mergeCell ref="D135:F135"/>
    <mergeCell ref="D136:F136"/>
    <mergeCell ref="G131:J131"/>
    <mergeCell ref="G132:J132"/>
    <mergeCell ref="D145:F145"/>
    <mergeCell ref="G145:J145"/>
    <mergeCell ref="D146:F146"/>
    <mergeCell ref="G146:J146"/>
    <mergeCell ref="D147:F147"/>
    <mergeCell ref="G147:J147"/>
    <mergeCell ref="D148:F148"/>
    <mergeCell ref="G148:J148"/>
    <mergeCell ref="D149:F149"/>
    <mergeCell ref="G149:J149"/>
    <mergeCell ref="D150:F150"/>
    <mergeCell ref="G150:J150"/>
    <mergeCell ref="D151:F151"/>
    <mergeCell ref="G151:J151"/>
    <mergeCell ref="D152:F152"/>
    <mergeCell ref="G152:J152"/>
    <mergeCell ref="D153:F153"/>
    <mergeCell ref="G153:J153"/>
    <mergeCell ref="D154:F154"/>
    <mergeCell ref="G154:J154"/>
    <mergeCell ref="D155:F155"/>
    <mergeCell ref="G155:J155"/>
    <mergeCell ref="D156:F156"/>
    <mergeCell ref="G156:J156"/>
    <mergeCell ref="D165:F165"/>
    <mergeCell ref="G165:J165"/>
    <mergeCell ref="D166:F166"/>
    <mergeCell ref="G166:J166"/>
    <mergeCell ref="D167:F167"/>
    <mergeCell ref="G167:J167"/>
    <mergeCell ref="D157:F157"/>
    <mergeCell ref="G157:J157"/>
    <mergeCell ref="D158:F158"/>
    <mergeCell ref="G158:J158"/>
    <mergeCell ref="D159:F159"/>
    <mergeCell ref="G159:J159"/>
    <mergeCell ref="D160:F160"/>
    <mergeCell ref="G160:J160"/>
    <mergeCell ref="D162:F162"/>
    <mergeCell ref="G162:J162"/>
    <mergeCell ref="D173:F173"/>
    <mergeCell ref="G173:J173"/>
    <mergeCell ref="D161:F161"/>
    <mergeCell ref="G161:J161"/>
    <mergeCell ref="D174:F174"/>
    <mergeCell ref="G174:J174"/>
    <mergeCell ref="D175:F175"/>
    <mergeCell ref="G175:J175"/>
    <mergeCell ref="D176:F176"/>
    <mergeCell ref="G176:J176"/>
    <mergeCell ref="D168:F168"/>
    <mergeCell ref="G168:J168"/>
    <mergeCell ref="D169:F169"/>
    <mergeCell ref="G169:J169"/>
    <mergeCell ref="D170:F170"/>
    <mergeCell ref="G170:J170"/>
    <mergeCell ref="D171:F171"/>
    <mergeCell ref="G171:J171"/>
    <mergeCell ref="D172:F172"/>
    <mergeCell ref="G172:J172"/>
    <mergeCell ref="D163:F163"/>
    <mergeCell ref="G163:J163"/>
    <mergeCell ref="D164:F164"/>
    <mergeCell ref="G164:J164"/>
    <mergeCell ref="D177:F177"/>
    <mergeCell ref="G177:J177"/>
    <mergeCell ref="D178:F178"/>
    <mergeCell ref="G178:J178"/>
    <mergeCell ref="D179:F179"/>
    <mergeCell ref="G179:J179"/>
    <mergeCell ref="D180:F180"/>
    <mergeCell ref="G180:J180"/>
    <mergeCell ref="D181:F181"/>
    <mergeCell ref="G181:J181"/>
    <mergeCell ref="D182:F182"/>
    <mergeCell ref="G182:J182"/>
    <mergeCell ref="D183:F183"/>
    <mergeCell ref="G183:J183"/>
    <mergeCell ref="D184:F184"/>
    <mergeCell ref="G184:J184"/>
    <mergeCell ref="D185:F185"/>
    <mergeCell ref="G185:J185"/>
    <mergeCell ref="D186:F186"/>
    <mergeCell ref="G186:J186"/>
    <mergeCell ref="D195:F195"/>
    <mergeCell ref="G195:J195"/>
    <mergeCell ref="D196:F196"/>
    <mergeCell ref="G196:J196"/>
    <mergeCell ref="D187:F187"/>
    <mergeCell ref="G187:J187"/>
    <mergeCell ref="D188:F188"/>
    <mergeCell ref="G188:J188"/>
    <mergeCell ref="D189:F189"/>
    <mergeCell ref="G189:J189"/>
    <mergeCell ref="D190:F190"/>
    <mergeCell ref="G190:J190"/>
    <mergeCell ref="D191:F191"/>
    <mergeCell ref="G191:J191"/>
    <mergeCell ref="D200:F200"/>
    <mergeCell ref="G200:J200"/>
    <mergeCell ref="D201:F201"/>
    <mergeCell ref="G201:J201"/>
    <mergeCell ref="D192:F192"/>
    <mergeCell ref="D223:F223"/>
    <mergeCell ref="G223:J223"/>
    <mergeCell ref="D217:F217"/>
    <mergeCell ref="G217:J217"/>
    <mergeCell ref="D218:F218"/>
    <mergeCell ref="G218:J218"/>
    <mergeCell ref="D219:F219"/>
    <mergeCell ref="G219:J219"/>
    <mergeCell ref="D220:F220"/>
    <mergeCell ref="G220:J220"/>
    <mergeCell ref="D221:F221"/>
    <mergeCell ref="G221:J221"/>
    <mergeCell ref="D222:F222"/>
    <mergeCell ref="G222:J222"/>
    <mergeCell ref="G192:J192"/>
    <mergeCell ref="D193:F193"/>
    <mergeCell ref="G193:J193"/>
    <mergeCell ref="D194:F194"/>
    <mergeCell ref="G194:J194"/>
    <mergeCell ref="D213:F213"/>
    <mergeCell ref="G213:J213"/>
    <mergeCell ref="D214:F214"/>
    <mergeCell ref="G214:J214"/>
    <mergeCell ref="D215:F215"/>
    <mergeCell ref="G215:J215"/>
    <mergeCell ref="D216:F216"/>
    <mergeCell ref="G216:J216"/>
    <mergeCell ref="D207:F207"/>
    <mergeCell ref="G207:J207"/>
    <mergeCell ref="D208:F208"/>
    <mergeCell ref="G208:J208"/>
    <mergeCell ref="D209:F209"/>
    <mergeCell ref="G209:J209"/>
    <mergeCell ref="D210:F210"/>
    <mergeCell ref="G210:J210"/>
    <mergeCell ref="D211:F211"/>
    <mergeCell ref="G211:J211"/>
    <mergeCell ref="P1:P2"/>
    <mergeCell ref="N1:N2"/>
    <mergeCell ref="Q1:Q2"/>
    <mergeCell ref="D212:F212"/>
    <mergeCell ref="G212:J212"/>
    <mergeCell ref="D202:F202"/>
    <mergeCell ref="G202:J202"/>
    <mergeCell ref="D203:F203"/>
    <mergeCell ref="G203:J203"/>
    <mergeCell ref="D204:F204"/>
    <mergeCell ref="G204:J204"/>
    <mergeCell ref="D205:F205"/>
    <mergeCell ref="G205:J205"/>
    <mergeCell ref="D206:F206"/>
    <mergeCell ref="G206:J206"/>
    <mergeCell ref="D197:F197"/>
    <mergeCell ref="G197:J197"/>
    <mergeCell ref="D198:F198"/>
    <mergeCell ref="G198:J198"/>
    <mergeCell ref="D199:F199"/>
    <mergeCell ref="G199:J199"/>
    <mergeCell ref="G100:J100"/>
    <mergeCell ref="G101:J101"/>
    <mergeCell ref="I69:K69"/>
    <mergeCell ref="A47:D48"/>
    <mergeCell ref="A56:D56"/>
    <mergeCell ref="E72:H72"/>
    <mergeCell ref="A65:D65"/>
    <mergeCell ref="A66:D66"/>
    <mergeCell ref="A49:D49"/>
    <mergeCell ref="A50:D50"/>
    <mergeCell ref="A51:D51"/>
    <mergeCell ref="A52:D52"/>
    <mergeCell ref="A53:D53"/>
    <mergeCell ref="A54:D54"/>
    <mergeCell ref="A55:D55"/>
    <mergeCell ref="E64:H64"/>
    <mergeCell ref="A57:D57"/>
    <mergeCell ref="A58:D58"/>
    <mergeCell ref="A59:D59"/>
    <mergeCell ref="A60:D60"/>
    <mergeCell ref="A61:D61"/>
    <mergeCell ref="A62:D62"/>
    <mergeCell ref="A63:D63"/>
    <mergeCell ref="A64:D64"/>
    <mergeCell ref="E67:H67"/>
    <mergeCell ref="E47:H48"/>
    <mergeCell ref="A68:D68"/>
    <mergeCell ref="AW11:BH11"/>
    <mergeCell ref="AW12:AZ12"/>
    <mergeCell ref="BA12:BD12"/>
    <mergeCell ref="BE12:BH12"/>
    <mergeCell ref="N47:T47"/>
    <mergeCell ref="I49:K49"/>
    <mergeCell ref="L47:L48"/>
    <mergeCell ref="E17:H17"/>
    <mergeCell ref="E18:H18"/>
    <mergeCell ref="E31:H31"/>
    <mergeCell ref="E33:H33"/>
    <mergeCell ref="I34:K34"/>
    <mergeCell ref="E49:H49"/>
    <mergeCell ref="E22:H22"/>
    <mergeCell ref="I20:K20"/>
    <mergeCell ref="I28:K28"/>
    <mergeCell ref="E28:H28"/>
    <mergeCell ref="I47:K48"/>
    <mergeCell ref="AI12:AJ12"/>
    <mergeCell ref="M12:M13"/>
    <mergeCell ref="U12:AA12"/>
    <mergeCell ref="AB12:AH12"/>
    <mergeCell ref="I19:K19"/>
    <mergeCell ref="I17:K17"/>
    <mergeCell ref="A33:D33"/>
    <mergeCell ref="A38:D38"/>
    <mergeCell ref="A39:D39"/>
    <mergeCell ref="A40:D40"/>
    <mergeCell ref="E23:H23"/>
    <mergeCell ref="E24:H24"/>
    <mergeCell ref="A20:D20"/>
    <mergeCell ref="A21:D21"/>
    <mergeCell ref="A22:D22"/>
    <mergeCell ref="A23:D23"/>
    <mergeCell ref="A24:D24"/>
    <mergeCell ref="A25:D25"/>
    <mergeCell ref="A26:D26"/>
    <mergeCell ref="A27:D27"/>
    <mergeCell ref="A28:D28"/>
    <mergeCell ref="I74:K74"/>
    <mergeCell ref="E77:G77"/>
    <mergeCell ref="E78:G78"/>
    <mergeCell ref="E65:H65"/>
    <mergeCell ref="U47:AA47"/>
    <mergeCell ref="AB47:AH47"/>
    <mergeCell ref="I73:K73"/>
    <mergeCell ref="E16:H16"/>
    <mergeCell ref="E43:G43"/>
    <mergeCell ref="E44:G44"/>
    <mergeCell ref="I65:K65"/>
    <mergeCell ref="E74:H74"/>
    <mergeCell ref="E68:H68"/>
    <mergeCell ref="I68:K68"/>
    <mergeCell ref="E69:H69"/>
    <mergeCell ref="I72:K72"/>
    <mergeCell ref="E73:H73"/>
    <mergeCell ref="I64:K64"/>
    <mergeCell ref="J77:K78"/>
    <mergeCell ref="I67:K67"/>
    <mergeCell ref="H77:H78"/>
    <mergeCell ref="I36:K36"/>
    <mergeCell ref="I40:K40"/>
  </mergeCells>
  <dataValidations count="5">
    <dataValidation type="decimal" allowBlank="1" showInputMessage="1" showErrorMessage="1" sqref="M123:AI223 N49:AJ74 M83:AI114 N14:AJ40" xr:uid="{00000000-0002-0000-0600-000000000000}">
      <formula1>0</formula1>
      <formula2>1E+24</formula2>
    </dataValidation>
    <dataValidation showDropDown="1" showInputMessage="1" showErrorMessage="1" sqref="L14:L40" xr:uid="{00000000-0002-0000-0600-000001000000}"/>
    <dataValidation type="list" allowBlank="1" showInputMessage="1" showErrorMessage="1" sqref="E14:K40 E49:K74" xr:uid="{00000000-0002-0000-0600-000002000000}">
      <formula1>INDIRECT(SUBSTITUTE(SUBSTITUTE(SUBSTITUTE(SUBSTITUTE(SUBSTITUTE(SUBSTITUTE(SUBSTITUTE(SUBSTITUTE(SUBSTITUTE(SUBSTITUTE(SUBSTITUTE(A14,",",""),":",""),"/"," "),"(",""),")",""),"-"," "),"  "," ")," ","_"),"&amp;",""),"__","_"),"+","_"))</formula1>
    </dataValidation>
    <dataValidation type="list" allowBlank="1" showInputMessage="1" showErrorMessage="1" sqref="D83:J114" xr:uid="{00000000-0002-0000-0600-000003000000}">
      <formula1>INDIRECT(SUBSTITUTE(SUBSTITUTE(SUBSTITUTE(SUBSTITUTE(SUBSTITUTE(SUBSTITUTE(SUBSTITUTE(SUBSTITUTE(SUBSTITUTE(SUBSTITUTE(SUBSTITUTE(A83,",",""),":",""),"/"," "),"(",""),")",""),"-"," "),"  "," ")," ","_"),"&amp;",""),"__","_"),"+","_"))</formula1>
    </dataValidation>
    <dataValidation type="list" allowBlank="1" showInputMessage="1" showErrorMessage="1" sqref="D123:J223" xr:uid="{00000000-0002-0000-0600-000004000000}">
      <formula1>INDIRECT(SUBSTITUTE(SUBSTITUTE(SUBSTITUTE(SUBSTITUTE(SUBSTITUTE(SUBSTITUTE(SUBSTITUTE(SUBSTITUTE(SUBSTITUTE(SUBSTITUTE(SUBSTITUTE(SUBSTITUTE(A123,",",""),":",""),"/"," "),"(",""),")",""),"-"," "),"  "," ")," ","_"),"__","_"),"&amp;",""),"__","_"),"+","_"))</formula1>
    </dataValidation>
  </dataValidations>
  <hyperlinks>
    <hyperlink ref="H8" location="'HIV-Non Pharmaceuticals'!A36" display="Go to RDTs" xr:uid="{00000000-0004-0000-0600-000000000000}"/>
    <hyperlink ref="H43" location="'HIV-Non Pharmaceuticals'!A8" display="Back to condoms/lub" xr:uid="{00000000-0004-0000-0600-000001000000}"/>
    <hyperlink ref="N1:N2" location="'HIV-Key Info'!A1" display="Back to HIV-Key Info" xr:uid="{00000000-0004-0000-0600-000003000000}"/>
    <hyperlink ref="H8:H9" location="'HIV-Other HPs'!A49" display="Go to RDTs (Section 2)" xr:uid="{00000000-0004-0000-0600-000004000000}"/>
    <hyperlink ref="H43:H44" location="'HIV-Other HPs'!A8" display="Go to condoms (Section 1)" xr:uid="{00000000-0004-0000-0600-000005000000}"/>
    <hyperlink ref="P1:P2" location="'HIV-Equipment'!A1" display="Go to HIV-Equipment" xr:uid="{00000000-0004-0000-0600-000006000000}"/>
    <hyperlink ref="O1:O2" location="'HIV-Pharmaceuticals'!A1" display="Back to HIV-Pharma" xr:uid="{00000000-0004-0000-0600-000007000000}"/>
    <hyperlink ref="I8" location="'HIV-Non Pharmaceuticals'!A66" display="Go to VL/EID" xr:uid="{00000000-0004-0000-0600-000008000000}"/>
    <hyperlink ref="I8:I9" location="'HIV-Other HPs'!A83" display="Go to VL/EID (Section 3)" xr:uid="{00000000-0004-0000-0600-000009000000}"/>
    <hyperlink ref="J8:J9" location="'HIV-Other HPs'!A68" display="Go to VL/EID (Section 3)" xr:uid="{00000000-0004-0000-0600-00000A000000}"/>
    <hyperlink ref="J8" location="'HIV-Non Pharmaceuticals'!A66" display="Go to VL/EID" xr:uid="{00000000-0004-0000-0600-00000B000000}"/>
    <hyperlink ref="J8:K9" location="'HIV-Other HPs'!A123" display="'HIV-Other HPs'!A123" xr:uid="{00000000-0004-0000-0600-00000C000000}"/>
    <hyperlink ref="I77" location="'HIV-Non Pharmaceuticals'!A36" display="Go to RDTs" xr:uid="{00000000-0004-0000-0600-000011000000}"/>
    <hyperlink ref="I77:I78" location="'HIV-Other HPs'!A49" display="Go to RDTs (Section 2)" xr:uid="{00000000-0004-0000-0600-000012000000}"/>
    <hyperlink ref="I117" location="'HIV-Non Pharmaceuticals'!A36" display="Go to RDTs" xr:uid="{00000000-0004-0000-0600-000013000000}"/>
    <hyperlink ref="I117:I118" location="'HIV-Other HPs'!A49" display="Go to RDTs (Section 2)" xr:uid="{00000000-0004-0000-0600-000014000000}"/>
    <hyperlink ref="I43" location="'HIV-Non Pharmaceuticals'!A66" display="Go to VL/EID" xr:uid="{00000000-0004-0000-0600-000015000000}"/>
    <hyperlink ref="I43:I44" location="'HIV-Other HPs'!A83" display="Go to VL/EID (Section 3)" xr:uid="{00000000-0004-0000-0600-000016000000}"/>
    <hyperlink ref="J117" location="'HIV-Non Pharmaceuticals'!A66" display="Go to VL/EID" xr:uid="{00000000-0004-0000-0600-000017000000}"/>
    <hyperlink ref="J117:J118" location="'HIV-Other HPs'!A83" display="Go to VL/EID (Section 3)" xr:uid="{00000000-0004-0000-0600-000018000000}"/>
    <hyperlink ref="J43:J44" location="'HIV-Other HPs'!A68" display="Go to VL/EID (Section 3)" xr:uid="{00000000-0004-0000-0600-000019000000}"/>
    <hyperlink ref="J43" location="'HIV-Non Pharmaceuticals'!A66" display="Go to VL/EID" xr:uid="{00000000-0004-0000-0600-00001A000000}"/>
    <hyperlink ref="J43:K44" location="'HIV-Other HPs'!A123" display="'HIV-Other HPs'!A123" xr:uid="{00000000-0004-0000-0600-00001B000000}"/>
    <hyperlink ref="J77:J78" location="'HIV-Other HPs'!A68" display="Go to VL/EID (Section 3)" xr:uid="{00000000-0004-0000-0600-00001C000000}"/>
    <hyperlink ref="J77" location="'HIV-Non Pharmaceuticals'!A66" display="Go to VL/EID" xr:uid="{00000000-0004-0000-0600-00001D000000}"/>
    <hyperlink ref="J77:K78" location="'HIV-Other HPs'!A123" display="'HIV-Other HPs'!A123" xr:uid="{00000000-0004-0000-0600-00001E000000}"/>
    <hyperlink ref="H77" location="'HIV-Non Pharmaceuticals'!A8" display="Back to condoms/lub" xr:uid="{57D42D9E-4987-4910-9BF5-45D54BE2FDA5}"/>
    <hyperlink ref="H77:H78" location="'HIV-Other HPs'!A8" display="Go to condoms (Section 1)" xr:uid="{226EC423-0227-44F8-BC2E-160D21A4261F}"/>
    <hyperlink ref="H117" location="'HIV-Non Pharmaceuticals'!A8" display="Back to condoms/lub" xr:uid="{554768AD-E7AA-4F74-87D2-D47E411CDCD7}"/>
    <hyperlink ref="H117:H118" location="'HIV-Other HPs'!A8" display="Go to condoms (Section 1)" xr:uid="{16B95DF8-2A46-4DDA-80A7-79F74EE6337E}"/>
  </hyperlinks>
  <pageMargins left="0.25" right="0.25" top="0.75" bottom="0.75" header="0.3" footer="0.3"/>
  <pageSetup paperSize="8" scale="34" fitToHeight="0" orientation="landscape" r:id="rId1"/>
  <drawing r:id="rId2"/>
  <tableParts count="4">
    <tablePart r:id="rId3"/>
    <tablePart r:id="rId4"/>
    <tablePart r:id="rId5"/>
    <tablePart r:id="rId6"/>
  </tablePart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5000000}">
          <x14:formula1>
            <xm:f>'HIV-Other HP'!$I$2:$I$4</xm:f>
          </x14:formula1>
          <xm:sqref>A49:D74</xm:sqref>
        </x14:dataValidation>
        <x14:dataValidation type="list" allowBlank="1" showInputMessage="1" showErrorMessage="1" xr:uid="{00000000-0002-0000-0600-000006000000}">
          <x14:formula1>
            <xm:f>'HIV-Other HP'!$Q$2</xm:f>
          </x14:formula1>
          <xm:sqref>A83:C114</xm:sqref>
        </x14:dataValidation>
        <x14:dataValidation type="list" allowBlank="1" showInputMessage="1" showErrorMessage="1" xr:uid="{00000000-0002-0000-0600-000007000000}">
          <x14:formula1>
            <xm:f>'HIV-Other HP'!$A$2:$A$3</xm:f>
          </x14:formula1>
          <xm:sqref>A14:D40</xm:sqref>
        </x14:dataValidation>
        <x14:dataValidation type="list" allowBlank="1" showInputMessage="1" showErrorMessage="1" xr:uid="{00000000-0002-0000-0600-000008000000}">
          <x14:formula1>
            <xm:f>'HIV-Other HP'!$Y$2:$Y$4</xm:f>
          </x14:formula1>
          <xm:sqref>A123:C223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9">
    <tabColor rgb="FFFF0000"/>
  </sheetPr>
  <dimension ref="A1:BR426"/>
  <sheetViews>
    <sheetView showGridLines="0" topLeftCell="A116" zoomScale="85" zoomScaleNormal="85" workbookViewId="0">
      <selection activeCell="F130" sqref="F130"/>
    </sheetView>
  </sheetViews>
  <sheetFormatPr defaultColWidth="14.08984375" defaultRowHeight="14.5"/>
  <cols>
    <col min="1" max="1" width="20.36328125" style="665" customWidth="1"/>
    <col min="2" max="2" width="14.08984375" style="665"/>
    <col min="3" max="3" width="14.08984375" style="666"/>
    <col min="4" max="4" width="14.08984375" style="646"/>
    <col min="5" max="5" width="37.08984375" style="105" customWidth="1"/>
    <col min="6" max="6" width="50.36328125" style="105" customWidth="1"/>
    <col min="7" max="8" width="14.08984375" style="671" customWidth="1"/>
    <col min="9" max="61" width="14.08984375" style="668" customWidth="1"/>
    <col min="62" max="70" width="14.08984375" style="105" customWidth="1"/>
    <col min="71" max="16384" width="14.08984375" style="105"/>
  </cols>
  <sheetData>
    <row r="1" spans="1:70">
      <c r="A1" s="2315" t="s">
        <v>1742</v>
      </c>
      <c r="B1" s="2315"/>
      <c r="C1" s="2315"/>
      <c r="D1" s="2315"/>
      <c r="E1" s="2315"/>
      <c r="F1" s="2315"/>
      <c r="G1" s="634"/>
      <c r="H1" s="634"/>
      <c r="I1" s="635"/>
      <c r="J1" s="635"/>
      <c r="K1" s="635"/>
      <c r="L1" s="635"/>
      <c r="M1" s="635"/>
      <c r="N1" s="635"/>
      <c r="O1" s="635"/>
      <c r="P1" s="635"/>
      <c r="Q1" s="635"/>
      <c r="R1" s="635"/>
      <c r="S1" s="635"/>
      <c r="T1" s="635"/>
      <c r="U1" s="635"/>
      <c r="V1" s="635"/>
      <c r="W1" s="635"/>
      <c r="X1" s="635"/>
      <c r="Y1" s="635"/>
      <c r="Z1" s="635"/>
      <c r="AA1" s="635"/>
      <c r="AB1" s="635"/>
      <c r="AC1" s="635"/>
      <c r="AD1" s="635"/>
      <c r="AE1" s="635"/>
      <c r="AF1" s="635"/>
      <c r="AG1" s="635"/>
      <c r="AH1" s="635"/>
      <c r="AI1" s="635"/>
      <c r="AJ1" s="635"/>
      <c r="AK1" s="635"/>
      <c r="AL1" s="635"/>
      <c r="AM1" s="635"/>
      <c r="AN1" s="635"/>
      <c r="AO1" s="635"/>
      <c r="AP1" s="635"/>
      <c r="AQ1" s="635"/>
      <c r="AR1" s="635"/>
      <c r="AS1" s="635"/>
      <c r="AT1" s="635"/>
      <c r="AU1" s="635"/>
      <c r="AV1" s="635"/>
      <c r="AW1" s="635"/>
      <c r="AX1" s="635"/>
      <c r="AY1" s="635"/>
      <c r="AZ1" s="635"/>
      <c r="BA1" s="635"/>
      <c r="BB1" s="635"/>
      <c r="BC1" s="635"/>
      <c r="BD1" s="635"/>
      <c r="BE1" s="635"/>
      <c r="BF1" s="635"/>
      <c r="BG1" s="635"/>
      <c r="BH1" s="635"/>
      <c r="BI1" s="635"/>
      <c r="BJ1" s="636"/>
      <c r="BK1" s="636"/>
      <c r="BL1" s="636"/>
      <c r="BM1" s="636"/>
      <c r="BN1" s="636"/>
      <c r="BO1" s="636"/>
      <c r="BP1" s="636"/>
      <c r="BQ1" s="636"/>
      <c r="BR1" s="636"/>
    </row>
    <row r="2" spans="1:70" s="423" customFormat="1" ht="29">
      <c r="A2" s="637" t="s">
        <v>1545</v>
      </c>
      <c r="B2" s="637" t="s">
        <v>203</v>
      </c>
      <c r="C2" s="638" t="s">
        <v>459</v>
      </c>
      <c r="D2" s="637" t="s">
        <v>460</v>
      </c>
      <c r="E2" s="637" t="s">
        <v>461</v>
      </c>
      <c r="F2" s="637" t="s">
        <v>214</v>
      </c>
      <c r="G2" s="638" t="s">
        <v>462</v>
      </c>
      <c r="H2" s="638" t="s">
        <v>49</v>
      </c>
      <c r="I2" s="641" t="s">
        <v>463</v>
      </c>
      <c r="J2" s="641" t="s">
        <v>464</v>
      </c>
      <c r="K2" s="641" t="s">
        <v>465</v>
      </c>
      <c r="L2" s="642" t="s">
        <v>466</v>
      </c>
      <c r="M2" s="642" t="s">
        <v>467</v>
      </c>
      <c r="N2" s="641" t="s">
        <v>468</v>
      </c>
      <c r="O2" s="641" t="s">
        <v>469</v>
      </c>
      <c r="P2" s="642" t="s">
        <v>470</v>
      </c>
      <c r="Q2" s="642" t="s">
        <v>471</v>
      </c>
      <c r="R2" s="641" t="s">
        <v>472</v>
      </c>
      <c r="S2" s="641" t="s">
        <v>473</v>
      </c>
      <c r="T2" s="642" t="s">
        <v>474</v>
      </c>
      <c r="U2" s="642" t="s">
        <v>475</v>
      </c>
      <c r="V2" s="641" t="s">
        <v>476</v>
      </c>
      <c r="W2" s="641" t="s">
        <v>477</v>
      </c>
      <c r="X2" s="642" t="s">
        <v>478</v>
      </c>
      <c r="Y2" s="642" t="s">
        <v>479</v>
      </c>
      <c r="Z2" s="720"/>
      <c r="AA2" s="641" t="s">
        <v>480</v>
      </c>
      <c r="AB2" s="641" t="s">
        <v>481</v>
      </c>
      <c r="AC2" s="641" t="s">
        <v>482</v>
      </c>
      <c r="AD2" s="642" t="s">
        <v>483</v>
      </c>
      <c r="AE2" s="642" t="s">
        <v>484</v>
      </c>
      <c r="AF2" s="641" t="s">
        <v>485</v>
      </c>
      <c r="AG2" s="641" t="s">
        <v>486</v>
      </c>
      <c r="AH2" s="642" t="s">
        <v>487</v>
      </c>
      <c r="AI2" s="642" t="s">
        <v>488</v>
      </c>
      <c r="AJ2" s="641" t="s">
        <v>489</v>
      </c>
      <c r="AK2" s="641" t="s">
        <v>490</v>
      </c>
      <c r="AL2" s="642" t="s">
        <v>491</v>
      </c>
      <c r="AM2" s="642" t="s">
        <v>492</v>
      </c>
      <c r="AN2" s="641" t="s">
        <v>493</v>
      </c>
      <c r="AO2" s="641" t="s">
        <v>494</v>
      </c>
      <c r="AP2" s="642" t="s">
        <v>495</v>
      </c>
      <c r="AQ2" s="642" t="s">
        <v>496</v>
      </c>
      <c r="AR2" s="720"/>
      <c r="AS2" s="641" t="s">
        <v>497</v>
      </c>
      <c r="AT2" s="641" t="s">
        <v>498</v>
      </c>
      <c r="AU2" s="641" t="s">
        <v>499</v>
      </c>
      <c r="AV2" s="642" t="s">
        <v>500</v>
      </c>
      <c r="AW2" s="642" t="s">
        <v>501</v>
      </c>
      <c r="AX2" s="641" t="s">
        <v>502</v>
      </c>
      <c r="AY2" s="641" t="s">
        <v>503</v>
      </c>
      <c r="AZ2" s="642" t="s">
        <v>504</v>
      </c>
      <c r="BA2" s="642" t="s">
        <v>505</v>
      </c>
      <c r="BB2" s="641" t="s">
        <v>506</v>
      </c>
      <c r="BC2" s="641" t="s">
        <v>507</v>
      </c>
      <c r="BD2" s="642" t="s">
        <v>508</v>
      </c>
      <c r="BE2" s="642" t="s">
        <v>509</v>
      </c>
      <c r="BF2" s="641" t="s">
        <v>510</v>
      </c>
      <c r="BG2" s="641" t="s">
        <v>511</v>
      </c>
      <c r="BH2" s="642" t="s">
        <v>512</v>
      </c>
      <c r="BI2" s="642" t="s">
        <v>513</v>
      </c>
      <c r="BJ2" s="721"/>
      <c r="BK2" s="645" t="s">
        <v>514</v>
      </c>
      <c r="BL2" s="645" t="s">
        <v>515</v>
      </c>
      <c r="BM2" s="645" t="s">
        <v>516</v>
      </c>
      <c r="BN2" s="645" t="s">
        <v>517</v>
      </c>
      <c r="BO2" s="645" t="s">
        <v>518</v>
      </c>
      <c r="BP2" s="645" t="s">
        <v>519</v>
      </c>
      <c r="BQ2" s="645" t="s">
        <v>520</v>
      </c>
      <c r="BR2" s="645" t="s">
        <v>521</v>
      </c>
    </row>
    <row r="3" spans="1:70" s="646" customFormat="1">
      <c r="A3" s="647" t="s">
        <v>561</v>
      </c>
      <c r="B3" s="647" t="s">
        <v>819</v>
      </c>
      <c r="C3" s="648">
        <f>SETUP!$F$20</f>
        <v>0</v>
      </c>
      <c r="D3" s="649">
        <v>4.0999999999999996</v>
      </c>
      <c r="E3" s="647" t="s">
        <v>107</v>
      </c>
      <c r="F3" s="647" t="s">
        <v>1589</v>
      </c>
      <c r="G3" s="650" t="str">
        <f t="array" ref="G3">IFERROR(INDEX('HIV-Pharmaceuticals'!$L$14:$L$99,MATCH($E3&amp;$F3,'HIV-Pharmaceuticals'!$E$14:$E$99&amp;'HIV-Pharmaceuticals'!$I$14:$I$99,0)),"")</f>
        <v/>
      </c>
      <c r="H3" s="650" t="str">
        <f t="array" ref="H3">IFERROR(INDEX('HIV-Pharmaceuticals'!$M$14:$M$99,MATCH($E3&amp;$F3,'HIV-Pharmaceuticals'!$E$14:$E$99&amp;'HIV-Pharmaceuticals'!$I$14:$I$99,0)),"")</f>
        <v/>
      </c>
      <c r="I3" s="651">
        <f t="array" ref="I3">IFERROR(INDEX('HIV-Pharmaceuticals'!$N$14:$N$99,MATCH($E3&amp;$F3,'HIV-Pharmaceuticals'!$E$14:$E$99&amp;'HIV-Pharmaceuticals'!$I$14:$I$99,0)),0)</f>
        <v>0</v>
      </c>
      <c r="J3" s="651">
        <f t="array" ref="J3">IFERROR(INDEX('HIV-Pharmaceuticals'!$O$14:$O$99,MATCH($E3&amp;$F3,'HIV-Pharmaceuticals'!$E$14:$E$99&amp;'HIV-Pharmaceuticals'!$I$14:$I$99,0)),0)</f>
        <v>0</v>
      </c>
      <c r="K3" s="652">
        <f>IF(ISERROR($I3*J3),0,$I3*J3)</f>
        <v>0</v>
      </c>
      <c r="L3" s="652">
        <f>IF(C3="Upfront",J3,0)</f>
        <v>0</v>
      </c>
      <c r="M3" s="652">
        <f>IF(C3="Upfront",K3,0)</f>
        <v>0</v>
      </c>
      <c r="N3" s="651">
        <f t="array" ref="N3">IFERROR(INDEX('HIV-Pharmaceuticals'!$P$14:$P$99,MATCH($E3&amp;$F3,'HIV-Pharmaceuticals'!$E$14:$E$99&amp;'HIV-Pharmaceuticals'!$I$14:$I$99,0)),0)</f>
        <v>0</v>
      </c>
      <c r="O3" s="652">
        <f>IF(ISERROR($I3*N3),0,$I3*N3)</f>
        <v>0</v>
      </c>
      <c r="P3" s="652">
        <f>IF(C3="Upfront",N3,0)</f>
        <v>0</v>
      </c>
      <c r="Q3" s="652">
        <f>IF(C3="Upfront",O3,0)</f>
        <v>0</v>
      </c>
      <c r="R3" s="651">
        <f t="array" ref="R3">IFERROR(INDEX('HIV-Pharmaceuticals'!$Q$14:$Q$99,MATCH($E3&amp;$F3,'HIV-Pharmaceuticals'!$E$14:$E$99&amp;'HIV-Pharmaceuticals'!$I$14:$I$99,0)),0)</f>
        <v>0</v>
      </c>
      <c r="S3" s="652">
        <f>IF(ISERROR($I3*R3),0,$I3*R3)</f>
        <v>0</v>
      </c>
      <c r="T3" s="652">
        <f>IF(C3="Upfront",R3,IF(C3="At delivery",J3,0))</f>
        <v>0</v>
      </c>
      <c r="U3" s="652">
        <f>IF(C3="Upfront",S3,IF(C3="At delivery",K3,0))</f>
        <v>0</v>
      </c>
      <c r="V3" s="651">
        <f t="array" ref="V3">IFERROR(INDEX('HIV-Pharmaceuticals'!$R$14:$R$99,MATCH($E3&amp;$F3,'HIV-Pharmaceuticals'!$E$14:$E$99&amp;'HIV-Pharmaceuticals'!$I$14:$I$99,0)),0)</f>
        <v>0</v>
      </c>
      <c r="W3" s="652">
        <f>IF(ISERROR($I3*V3),0,$I3*V3)</f>
        <v>0</v>
      </c>
      <c r="X3" s="652">
        <f>IF(C3="Upfront",V3,IF(C3="At delivery",N3,0))</f>
        <v>0</v>
      </c>
      <c r="Y3" s="652">
        <f>IF(C3="Upfront",W3,IF(C3="At delivery",O3,0))</f>
        <v>0</v>
      </c>
      <c r="Z3" s="653"/>
      <c r="AA3" s="651">
        <f t="array" ref="AA3">IFERROR(INDEX('HIV-Pharmaceuticals'!$U$14:$U$99,MATCH($E3&amp;$F3,'HIV-Pharmaceuticals'!$E$14:$E$99&amp;'HIV-Pharmaceuticals'!$I$14:$I$99,0)),0)</f>
        <v>0</v>
      </c>
      <c r="AB3" s="651">
        <f t="array" ref="AB3">IFERROR(INDEX('HIV-Pharmaceuticals'!$V$14:$V$99,MATCH($E3&amp;$F3,'HIV-Pharmaceuticals'!$E$14:$E$99&amp;'HIV-Pharmaceuticals'!$I$14:$I$99,0)),0)</f>
        <v>0</v>
      </c>
      <c r="AC3" s="652">
        <f>IF(ISERROR($AA3*AB3),0,$AA3*AB3)</f>
        <v>0</v>
      </c>
      <c r="AD3" s="652">
        <f>IF(C3="Upfront",AB3,IF(C3="At delivery",R3,0))</f>
        <v>0</v>
      </c>
      <c r="AE3" s="652">
        <f>IF(C3="Upfront",AC3,IF(C3="At delivery",S3,0))</f>
        <v>0</v>
      </c>
      <c r="AF3" s="651">
        <f t="array" ref="AF3">IFERROR(INDEX('HIV-Pharmaceuticals'!$W$14:$W$99,MATCH($E3&amp;$F3,'HIV-Pharmaceuticals'!$E$14:$E$99&amp;'HIV-Pharmaceuticals'!$I$14:$I$99,0)),0)</f>
        <v>0</v>
      </c>
      <c r="AG3" s="652">
        <f>IF(ISERROR($AA3*AF3),0,$AA3*AF3)</f>
        <v>0</v>
      </c>
      <c r="AH3" s="652">
        <f>IF(C3="Upfront",AF3,IF(C3="At delivery",V3,0))</f>
        <v>0</v>
      </c>
      <c r="AI3" s="652">
        <f>IF(C3="Upfront",AG3,IF(C3="At delivery",W3,0))</f>
        <v>0</v>
      </c>
      <c r="AJ3" s="651">
        <f t="array" ref="AJ3">IFERROR(INDEX('HIV-Pharmaceuticals'!$X$14:$X$99,MATCH($E3&amp;$F3,'HIV-Pharmaceuticals'!$E$14:$E$99&amp;'HIV-Pharmaceuticals'!$I$14:$I$99,0)),0)</f>
        <v>0</v>
      </c>
      <c r="AK3" s="652">
        <f>IF(ISERROR($AA3*AJ3),0,$AA3*AJ3)</f>
        <v>0</v>
      </c>
      <c r="AL3" s="652">
        <f>IF(C3="Upfront",AJ3,IF(C3="At delivery",AB3,0))</f>
        <v>0</v>
      </c>
      <c r="AM3" s="652">
        <f>IF(C3="Upfront",AK3,IF(C3="At delivery",AC3,0))</f>
        <v>0</v>
      </c>
      <c r="AN3" s="651">
        <f t="array" ref="AN3">IFERROR(INDEX('HIV-Pharmaceuticals'!$Y$14:$Y$99,MATCH($E3&amp;$F3,'HIV-Pharmaceuticals'!$E$14:$E$99&amp;'HIV-Pharmaceuticals'!$I$14:$I$99,0)),0)</f>
        <v>0</v>
      </c>
      <c r="AO3" s="652">
        <f>IF(ISERROR($AA3*AN3),0,$AA3*AN3)</f>
        <v>0</v>
      </c>
      <c r="AP3" s="652">
        <f>IF(C3="Upfront",AN3,IF(C3="At delivery",AF3,0))</f>
        <v>0</v>
      </c>
      <c r="AQ3" s="652">
        <f>IF(C3="Upfront",AO3,IF(C3="At delivery",AG3,0))</f>
        <v>0</v>
      </c>
      <c r="AR3" s="653"/>
      <c r="AS3" s="651">
        <f t="array" ref="AS3">IFERROR(INDEX('HIV-Pharmaceuticals'!$AB$14:$AB$99,MATCH($E3&amp;$F3,'HIV-Pharmaceuticals'!$E$14:$E$99&amp;'HIV-Pharmaceuticals'!$I$14:$I$99,0)),0)</f>
        <v>0</v>
      </c>
      <c r="AT3" s="651">
        <f t="array" ref="AT3">IFERROR(INDEX('HIV-Pharmaceuticals'!$AC$14:$AC$99,MATCH($E3&amp;$F3,'HIV-Pharmaceuticals'!$E$14:$E$99&amp;'HIV-Pharmaceuticals'!$I$14:$I$99,0)),0)</f>
        <v>0</v>
      </c>
      <c r="AU3" s="652">
        <f>IF(ISERROR($AS3*AT3),0,$AS3*AT3)</f>
        <v>0</v>
      </c>
      <c r="AV3" s="652">
        <f>IF(C3="Upfront",AT3,IF(C3="At delivery",AJ3,0))</f>
        <v>0</v>
      </c>
      <c r="AW3" s="652">
        <f>IF(C3="Upfront",AU3,IF(C3="At delivery",AK3,0))</f>
        <v>0</v>
      </c>
      <c r="AX3" s="651">
        <f t="array" ref="AX3">IFERROR(INDEX('HIV-Pharmaceuticals'!$AD$14:$AD$99,MATCH($E3&amp;$F3,'HIV-Pharmaceuticals'!$E$14:$E$99&amp;'HIV-Pharmaceuticals'!$I$14:$I$99,0)),0)</f>
        <v>0</v>
      </c>
      <c r="AY3" s="652">
        <f>IF(ISERROR($AS3*AX3),0,$AS3*AX3)</f>
        <v>0</v>
      </c>
      <c r="AZ3" s="652">
        <f>IF(C3="Upfront",AX3,IF(C3="At delivery",AN3,0))</f>
        <v>0</v>
      </c>
      <c r="BA3" s="652">
        <f>IF(C3="Upfront",AY3,IF(C3="At delivery",AO3,0))</f>
        <v>0</v>
      </c>
      <c r="BB3" s="651">
        <f t="array" ref="BB3">IFERROR(INDEX('HIV-Pharmaceuticals'!$AE$14:$AE$99,MATCH($E3&amp;$F3,'HIV-Pharmaceuticals'!$E$14:$E$99&amp;'HIV-Pharmaceuticals'!$I$14:$I$99,0)),0)</f>
        <v>0</v>
      </c>
      <c r="BC3" s="652">
        <f>IF(ISERROR($AS3*BB3),0,$AS3*BB3)</f>
        <v>0</v>
      </c>
      <c r="BD3" s="652">
        <f>IF(C3="Upfront",BB3,IF(C3="At delivery",AT3,0))</f>
        <v>0</v>
      </c>
      <c r="BE3" s="652">
        <f>IF(C3="Upfront",BC3,IF(C3="At delivery",AU3,0))</f>
        <v>0</v>
      </c>
      <c r="BF3" s="651">
        <f t="array" ref="BF3">IFERROR(INDEX('HIV-Pharmaceuticals'!$AF$14:$AF$99,MATCH($E3&amp;$F3,'HIV-Pharmaceuticals'!$E$14:$E$99&amp;'HIV-Pharmaceuticals'!$I$14:$I$99,0)),0)</f>
        <v>0</v>
      </c>
      <c r="BG3" s="652">
        <f>IF(ISERROR($AS3*BF3),0,$AS3*BF3)</f>
        <v>0</v>
      </c>
      <c r="BH3" s="652">
        <f>IF(C3="Upfront",BF3,IF(C3="At delivery",AX3,0))</f>
        <v>0</v>
      </c>
      <c r="BI3" s="652">
        <f>IF(C3="Upfront",BG3,IF(C3="At delivery",AY3,0))</f>
        <v>0</v>
      </c>
      <c r="BK3" s="654"/>
      <c r="BL3" s="654"/>
      <c r="BM3" s="654"/>
      <c r="BN3" s="654"/>
      <c r="BO3" s="654"/>
      <c r="BP3" s="654"/>
      <c r="BQ3" s="654"/>
      <c r="BR3" s="654"/>
    </row>
    <row r="4" spans="1:70" s="646" customFormat="1">
      <c r="A4" s="647" t="s">
        <v>561</v>
      </c>
      <c r="B4" s="647" t="s">
        <v>819</v>
      </c>
      <c r="C4" s="648">
        <f>SETUP!$F$20</f>
        <v>0</v>
      </c>
      <c r="D4" s="649">
        <v>4.0999999999999996</v>
      </c>
      <c r="E4" s="647" t="s">
        <v>107</v>
      </c>
      <c r="F4" s="647" t="s">
        <v>1590</v>
      </c>
      <c r="G4" s="650" t="str">
        <f t="array" ref="G4">IFERROR(INDEX('HIV-Pharmaceuticals'!$L$14:$L$99,MATCH($E4&amp;$F4,'HIV-Pharmaceuticals'!$E$14:$E$99&amp;'HIV-Pharmaceuticals'!$I$14:$I$99,0)),"")</f>
        <v/>
      </c>
      <c r="H4" s="650" t="str">
        <f t="array" ref="H4">IFERROR(INDEX('HIV-Pharmaceuticals'!$M$14:$M$99,MATCH($E4&amp;$F4,'HIV-Pharmaceuticals'!$E$14:$E$99&amp;'HIV-Pharmaceuticals'!$I$14:$I$99,0)),"")</f>
        <v/>
      </c>
      <c r="I4" s="651">
        <f t="array" ref="I4">IFERROR(INDEX('HIV-Pharmaceuticals'!$N$14:$N$99,MATCH($E4&amp;$F4,'HIV-Pharmaceuticals'!$E$14:$E$99&amp;'HIV-Pharmaceuticals'!$I$14:$I$99,0)),0)</f>
        <v>0</v>
      </c>
      <c r="J4" s="651">
        <f t="array" ref="J4">IFERROR(INDEX('HIV-Pharmaceuticals'!$O$14:$O$99,MATCH($E4&amp;$F4,'HIV-Pharmaceuticals'!$E$14:$E$99&amp;'HIV-Pharmaceuticals'!$I$14:$I$99,0)),0)</f>
        <v>0</v>
      </c>
      <c r="K4" s="652">
        <f t="shared" ref="K4:K67" si="0">IF(ISERROR($I4*J4),0,$I4*J4)</f>
        <v>0</v>
      </c>
      <c r="L4" s="652">
        <f t="shared" ref="L4:L67" si="1">IF(C4="Upfront",J4,0)</f>
        <v>0</v>
      </c>
      <c r="M4" s="652">
        <f t="shared" ref="M4:M67" si="2">IF(C4="Upfront",K4,0)</f>
        <v>0</v>
      </c>
      <c r="N4" s="651">
        <f t="array" ref="N4">IFERROR(INDEX('HIV-Pharmaceuticals'!$P$14:$P$99,MATCH($E4&amp;$F4,'HIV-Pharmaceuticals'!$E$14:$E$99&amp;'HIV-Pharmaceuticals'!$I$14:$I$99,0)),0)</f>
        <v>0</v>
      </c>
      <c r="O4" s="652">
        <f t="shared" ref="O4:O67" si="3">IF(ISERROR($I4*N4),0,$I4*N4)</f>
        <v>0</v>
      </c>
      <c r="P4" s="652">
        <f t="shared" ref="P4:P67" si="4">IF(C4="Upfront",N4,0)</f>
        <v>0</v>
      </c>
      <c r="Q4" s="652">
        <f t="shared" ref="Q4:Q67" si="5">IF(C4="Upfront",O4,0)</f>
        <v>0</v>
      </c>
      <c r="R4" s="651">
        <f t="array" ref="R4">IFERROR(INDEX('HIV-Pharmaceuticals'!$Q$14:$Q$99,MATCH($E4&amp;$F4,'HIV-Pharmaceuticals'!$E$14:$E$99&amp;'HIV-Pharmaceuticals'!$I$14:$I$99,0)),0)</f>
        <v>0</v>
      </c>
      <c r="S4" s="652">
        <f t="shared" ref="S4:S67" si="6">IF(ISERROR($I4*R4),0,$I4*R4)</f>
        <v>0</v>
      </c>
      <c r="T4" s="652">
        <f t="shared" ref="T4:T67" si="7">IF(C4="Upfront",R4,IF(C4="At delivery",J4,0))</f>
        <v>0</v>
      </c>
      <c r="U4" s="652">
        <f t="shared" ref="U4:U67" si="8">IF(C4="Upfront",S4,IF(C4="At delivery",K4,0))</f>
        <v>0</v>
      </c>
      <c r="V4" s="651">
        <f t="array" ref="V4">IFERROR(INDEX('HIV-Pharmaceuticals'!$R$14:$R$99,MATCH($E4&amp;$F4,'HIV-Pharmaceuticals'!$E$14:$E$99&amp;'HIV-Pharmaceuticals'!$I$14:$I$99,0)),0)</f>
        <v>0</v>
      </c>
      <c r="W4" s="652">
        <f t="shared" ref="W4:W67" si="9">IF(ISERROR($I4*V4),0,$I4*V4)</f>
        <v>0</v>
      </c>
      <c r="X4" s="652">
        <f t="shared" ref="X4:X67" si="10">IF(C4="Upfront",V4,IF(C4="At delivery",N4,0))</f>
        <v>0</v>
      </c>
      <c r="Y4" s="652">
        <f t="shared" ref="Y4:Y67" si="11">IF(C4="Upfront",W4,IF(C4="At delivery",O4,0))</f>
        <v>0</v>
      </c>
      <c r="Z4" s="653"/>
      <c r="AA4" s="651">
        <f t="array" ref="AA4">IFERROR(INDEX('HIV-Pharmaceuticals'!$U$14:$U$99,MATCH($E4&amp;$F4,'HIV-Pharmaceuticals'!$E$14:$E$99&amp;'HIV-Pharmaceuticals'!$I$14:$I$99,0)),0)</f>
        <v>0</v>
      </c>
      <c r="AB4" s="651">
        <f t="array" ref="AB4">IFERROR(INDEX('HIV-Pharmaceuticals'!$V$14:$V$99,MATCH($E4&amp;$F4,'HIV-Pharmaceuticals'!$E$14:$E$99&amp;'HIV-Pharmaceuticals'!$I$14:$I$99,0)),0)</f>
        <v>0</v>
      </c>
      <c r="AC4" s="652">
        <f t="shared" ref="AC4:AC67" si="12">IF(ISERROR($AA4*AB4),0,$AA4*AB4)</f>
        <v>0</v>
      </c>
      <c r="AD4" s="652">
        <f t="shared" ref="AD4:AD67" si="13">IF(C4="Upfront",AB4,IF(C4="At delivery",R4,0))</f>
        <v>0</v>
      </c>
      <c r="AE4" s="652">
        <f t="shared" ref="AE4:AE67" si="14">IF(C4="Upfront",AC4,IF(C4="At delivery",S4,0))</f>
        <v>0</v>
      </c>
      <c r="AF4" s="651">
        <f t="array" ref="AF4">IFERROR(INDEX('HIV-Pharmaceuticals'!$W$14:$W$99,MATCH($E4&amp;$F4,'HIV-Pharmaceuticals'!$E$14:$E$99&amp;'HIV-Pharmaceuticals'!$I$14:$I$99,0)),0)</f>
        <v>0</v>
      </c>
      <c r="AG4" s="652">
        <f t="shared" ref="AG4:AG67" si="15">IF(ISERROR($AA4*AF4),0,$AA4*AF4)</f>
        <v>0</v>
      </c>
      <c r="AH4" s="652">
        <f t="shared" ref="AH4:AH67" si="16">IF(C4="Upfront",AF4,IF(C4="At delivery",V4,0))</f>
        <v>0</v>
      </c>
      <c r="AI4" s="652">
        <f t="shared" ref="AI4:AI67" si="17">IF(C4="Upfront",AG4,IF(C4="At delivery",W4,0))</f>
        <v>0</v>
      </c>
      <c r="AJ4" s="651">
        <f t="array" ref="AJ4">IFERROR(INDEX('HIV-Pharmaceuticals'!$X$14:$X$99,MATCH($E4&amp;$F4,'HIV-Pharmaceuticals'!$E$14:$E$99&amp;'HIV-Pharmaceuticals'!$I$14:$I$99,0)),0)</f>
        <v>0</v>
      </c>
      <c r="AK4" s="652">
        <f t="shared" ref="AK4:AK67" si="18">IF(ISERROR($AA4*AJ4),0,$AA4*AJ4)</f>
        <v>0</v>
      </c>
      <c r="AL4" s="652">
        <f t="shared" ref="AL4:AL67" si="19">IF(C4="Upfront",AJ4,IF(C4="At delivery",AB4,0))</f>
        <v>0</v>
      </c>
      <c r="AM4" s="652">
        <f t="shared" ref="AM4:AM67" si="20">IF(C4="Upfront",AK4,IF(C4="At delivery",AC4,0))</f>
        <v>0</v>
      </c>
      <c r="AN4" s="651">
        <f t="array" ref="AN4">IFERROR(INDEX('HIV-Pharmaceuticals'!$Y$14:$Y$99,MATCH($E4&amp;$F4,'HIV-Pharmaceuticals'!$E$14:$E$99&amp;'HIV-Pharmaceuticals'!$I$14:$I$99,0)),0)</f>
        <v>0</v>
      </c>
      <c r="AO4" s="652">
        <f t="shared" ref="AO4:AO67" si="21">IF(ISERROR($AA4*AN4),0,$AA4*AN4)</f>
        <v>0</v>
      </c>
      <c r="AP4" s="652">
        <f t="shared" ref="AP4:AP67" si="22">IF(C4="Upfront",AN4,IF(C4="At delivery",AF4,0))</f>
        <v>0</v>
      </c>
      <c r="AQ4" s="652">
        <f t="shared" ref="AQ4:AQ67" si="23">IF(C4="Upfront",AO4,IF(C4="At delivery",AG4,0))</f>
        <v>0</v>
      </c>
      <c r="AR4" s="653"/>
      <c r="AS4" s="651">
        <f t="array" ref="AS4">IFERROR(INDEX('HIV-Pharmaceuticals'!$AB$14:$AB$99,MATCH($E4&amp;$F4,'HIV-Pharmaceuticals'!$E$14:$E$99&amp;'HIV-Pharmaceuticals'!$I$14:$I$99,0)),0)</f>
        <v>0</v>
      </c>
      <c r="AT4" s="651">
        <f t="array" ref="AT4">IFERROR(INDEX('HIV-Pharmaceuticals'!$AC$14:$AC$99,MATCH($E4&amp;$F4,'HIV-Pharmaceuticals'!$E$14:$E$99&amp;'HIV-Pharmaceuticals'!$I$14:$I$99,0)),0)</f>
        <v>0</v>
      </c>
      <c r="AU4" s="652">
        <f t="shared" ref="AU4:AU67" si="24">IF(ISERROR($AS4*AT4),0,$AS4*AT4)</f>
        <v>0</v>
      </c>
      <c r="AV4" s="652">
        <f t="shared" ref="AV4:AV67" si="25">IF(C4="Upfront",AT4,IF(C4="At delivery",AJ4,0))</f>
        <v>0</v>
      </c>
      <c r="AW4" s="652">
        <f t="shared" ref="AW4:AW67" si="26">IF(C4="Upfront",AU4,IF(C4="At delivery",AK4,0))</f>
        <v>0</v>
      </c>
      <c r="AX4" s="651">
        <f t="array" ref="AX4">IFERROR(INDEX('HIV-Pharmaceuticals'!$AD$14:$AD$99,MATCH($E4&amp;$F4,'HIV-Pharmaceuticals'!$E$14:$E$99&amp;'HIV-Pharmaceuticals'!$I$14:$I$99,0)),0)</f>
        <v>0</v>
      </c>
      <c r="AY4" s="652">
        <f t="shared" ref="AY4:AY67" si="27">IF(ISERROR($AS4*AX4),0,$AS4*AX4)</f>
        <v>0</v>
      </c>
      <c r="AZ4" s="652">
        <f t="shared" ref="AZ4:AZ67" si="28">IF(C4="Upfront",AX4,IF(C4="At delivery",AN4,0))</f>
        <v>0</v>
      </c>
      <c r="BA4" s="652">
        <f t="shared" ref="BA4:BA67" si="29">IF(C4="Upfront",AY4,IF(C4="At delivery",AO4,0))</f>
        <v>0</v>
      </c>
      <c r="BB4" s="651">
        <f t="array" ref="BB4">IFERROR(INDEX('HIV-Pharmaceuticals'!$AE$14:$AE$99,MATCH($E4&amp;$F4,'HIV-Pharmaceuticals'!$E$14:$E$99&amp;'HIV-Pharmaceuticals'!$I$14:$I$99,0)),0)</f>
        <v>0</v>
      </c>
      <c r="BC4" s="652">
        <f t="shared" ref="BC4:BC67" si="30">IF(ISERROR($AS4*BB4),0,$AS4*BB4)</f>
        <v>0</v>
      </c>
      <c r="BD4" s="652">
        <f t="shared" ref="BD4:BD67" si="31">IF(C4="Upfront",BB4,IF(C4="At delivery",AT4,0))</f>
        <v>0</v>
      </c>
      <c r="BE4" s="652">
        <f t="shared" ref="BE4:BE67" si="32">IF(C4="Upfront",BC4,IF(C4="At delivery",AU4,0))</f>
        <v>0</v>
      </c>
      <c r="BF4" s="651">
        <f t="array" ref="BF4">IFERROR(INDEX('HIV-Pharmaceuticals'!$AF$14:$AF$99,MATCH($E4&amp;$F4,'HIV-Pharmaceuticals'!$E$14:$E$99&amp;'HIV-Pharmaceuticals'!$I$14:$I$99,0)),0)</f>
        <v>0</v>
      </c>
      <c r="BG4" s="652">
        <f t="shared" ref="BG4:BG67" si="33">IF(ISERROR($AS4*BF4),0,$AS4*BF4)</f>
        <v>0</v>
      </c>
      <c r="BH4" s="652">
        <f t="shared" ref="BH4:BH67" si="34">IF(C4="Upfront",BF4,IF(C4="At delivery",AX4,0))</f>
        <v>0</v>
      </c>
      <c r="BI4" s="652">
        <f t="shared" ref="BI4:BI67" si="35">IF(C4="Upfront",BG4,IF(C4="At delivery",AY4,0))</f>
        <v>0</v>
      </c>
      <c r="BK4" s="654"/>
      <c r="BL4" s="654"/>
      <c r="BM4" s="654"/>
      <c r="BN4" s="654"/>
      <c r="BO4" s="654"/>
      <c r="BP4" s="654"/>
      <c r="BQ4" s="654"/>
      <c r="BR4" s="654"/>
    </row>
    <row r="5" spans="1:70" s="646" customFormat="1">
      <c r="A5" s="647" t="s">
        <v>561</v>
      </c>
      <c r="B5" s="647" t="s">
        <v>819</v>
      </c>
      <c r="C5" s="648">
        <f>SETUP!$F$20</f>
        <v>0</v>
      </c>
      <c r="D5" s="649">
        <v>4.0999999999999996</v>
      </c>
      <c r="E5" s="647" t="s">
        <v>107</v>
      </c>
      <c r="F5" s="647" t="s">
        <v>1591</v>
      </c>
      <c r="G5" s="650" t="str">
        <f t="array" ref="G5">IFERROR(INDEX('HIV-Pharmaceuticals'!$L$14:$L$99,MATCH($E5&amp;$F5,'HIV-Pharmaceuticals'!$E$14:$E$99&amp;'HIV-Pharmaceuticals'!$I$14:$I$99,0)),"")</f>
        <v/>
      </c>
      <c r="H5" s="650" t="str">
        <f t="array" ref="H5">IFERROR(INDEX('HIV-Pharmaceuticals'!$M$14:$M$99,MATCH($E5&amp;$F5,'HIV-Pharmaceuticals'!$E$14:$E$99&amp;'HIV-Pharmaceuticals'!$I$14:$I$99,0)),"")</f>
        <v/>
      </c>
      <c r="I5" s="651">
        <f t="array" ref="I5">IFERROR(INDEX('HIV-Pharmaceuticals'!$N$14:$N$99,MATCH($E5&amp;$F5,'HIV-Pharmaceuticals'!$E$14:$E$99&amp;'HIV-Pharmaceuticals'!$I$14:$I$99,0)),0)</f>
        <v>0</v>
      </c>
      <c r="J5" s="651">
        <f t="array" ref="J5">IFERROR(INDEX('HIV-Pharmaceuticals'!$O$14:$O$99,MATCH($E5&amp;$F5,'HIV-Pharmaceuticals'!$E$14:$E$99&amp;'HIV-Pharmaceuticals'!$I$14:$I$99,0)),0)</f>
        <v>0</v>
      </c>
      <c r="K5" s="652">
        <f t="shared" si="0"/>
        <v>0</v>
      </c>
      <c r="L5" s="652">
        <f t="shared" si="1"/>
        <v>0</v>
      </c>
      <c r="M5" s="652">
        <f t="shared" si="2"/>
        <v>0</v>
      </c>
      <c r="N5" s="651">
        <f t="array" ref="N5">IFERROR(INDEX('HIV-Pharmaceuticals'!$P$14:$P$99,MATCH($E5&amp;$F5,'HIV-Pharmaceuticals'!$E$14:$E$99&amp;'HIV-Pharmaceuticals'!$I$14:$I$99,0)),0)</f>
        <v>0</v>
      </c>
      <c r="O5" s="652">
        <f t="shared" si="3"/>
        <v>0</v>
      </c>
      <c r="P5" s="652">
        <f t="shared" si="4"/>
        <v>0</v>
      </c>
      <c r="Q5" s="652">
        <f t="shared" si="5"/>
        <v>0</v>
      </c>
      <c r="R5" s="651">
        <f t="array" ref="R5">IFERROR(INDEX('HIV-Pharmaceuticals'!$Q$14:$Q$99,MATCH($E5&amp;$F5,'HIV-Pharmaceuticals'!$E$14:$E$99&amp;'HIV-Pharmaceuticals'!$I$14:$I$99,0)),0)</f>
        <v>0</v>
      </c>
      <c r="S5" s="652">
        <f t="shared" si="6"/>
        <v>0</v>
      </c>
      <c r="T5" s="652">
        <f t="shared" si="7"/>
        <v>0</v>
      </c>
      <c r="U5" s="652">
        <f t="shared" si="8"/>
        <v>0</v>
      </c>
      <c r="V5" s="651">
        <f t="array" ref="V5">IFERROR(INDEX('HIV-Pharmaceuticals'!$R$14:$R$99,MATCH($E5&amp;$F5,'HIV-Pharmaceuticals'!$E$14:$E$99&amp;'HIV-Pharmaceuticals'!$I$14:$I$99,0)),0)</f>
        <v>0</v>
      </c>
      <c r="W5" s="652">
        <f t="shared" si="9"/>
        <v>0</v>
      </c>
      <c r="X5" s="652">
        <f t="shared" si="10"/>
        <v>0</v>
      </c>
      <c r="Y5" s="652">
        <f t="shared" si="11"/>
        <v>0</v>
      </c>
      <c r="Z5" s="653"/>
      <c r="AA5" s="651">
        <f t="array" ref="AA5">IFERROR(INDEX('HIV-Pharmaceuticals'!$U$14:$U$99,MATCH($E5&amp;$F5,'HIV-Pharmaceuticals'!$E$14:$E$99&amp;'HIV-Pharmaceuticals'!$I$14:$I$99,0)),0)</f>
        <v>0</v>
      </c>
      <c r="AB5" s="651">
        <f t="array" ref="AB5">IFERROR(INDEX('HIV-Pharmaceuticals'!$V$14:$V$99,MATCH($E5&amp;$F5,'HIV-Pharmaceuticals'!$E$14:$E$99&amp;'HIV-Pharmaceuticals'!$I$14:$I$99,0)),0)</f>
        <v>0</v>
      </c>
      <c r="AC5" s="652">
        <f t="shared" si="12"/>
        <v>0</v>
      </c>
      <c r="AD5" s="652">
        <f t="shared" si="13"/>
        <v>0</v>
      </c>
      <c r="AE5" s="652">
        <f t="shared" si="14"/>
        <v>0</v>
      </c>
      <c r="AF5" s="651">
        <f t="array" ref="AF5">IFERROR(INDEX('HIV-Pharmaceuticals'!$W$14:$W$99,MATCH($E5&amp;$F5,'HIV-Pharmaceuticals'!$E$14:$E$99&amp;'HIV-Pharmaceuticals'!$I$14:$I$99,0)),0)</f>
        <v>0</v>
      </c>
      <c r="AG5" s="652">
        <f t="shared" si="15"/>
        <v>0</v>
      </c>
      <c r="AH5" s="652">
        <f t="shared" si="16"/>
        <v>0</v>
      </c>
      <c r="AI5" s="652">
        <f t="shared" si="17"/>
        <v>0</v>
      </c>
      <c r="AJ5" s="651">
        <f t="array" ref="AJ5">IFERROR(INDEX('HIV-Pharmaceuticals'!$X$14:$X$99,MATCH($E5&amp;$F5,'HIV-Pharmaceuticals'!$E$14:$E$99&amp;'HIV-Pharmaceuticals'!$I$14:$I$99,0)),0)</f>
        <v>0</v>
      </c>
      <c r="AK5" s="652">
        <f t="shared" si="18"/>
        <v>0</v>
      </c>
      <c r="AL5" s="652">
        <f t="shared" si="19"/>
        <v>0</v>
      </c>
      <c r="AM5" s="652">
        <f t="shared" si="20"/>
        <v>0</v>
      </c>
      <c r="AN5" s="651">
        <f t="array" ref="AN5">IFERROR(INDEX('HIV-Pharmaceuticals'!$Y$14:$Y$99,MATCH($E5&amp;$F5,'HIV-Pharmaceuticals'!$E$14:$E$99&amp;'HIV-Pharmaceuticals'!$I$14:$I$99,0)),0)</f>
        <v>0</v>
      </c>
      <c r="AO5" s="652">
        <f t="shared" si="21"/>
        <v>0</v>
      </c>
      <c r="AP5" s="652">
        <f t="shared" si="22"/>
        <v>0</v>
      </c>
      <c r="AQ5" s="652">
        <f t="shared" si="23"/>
        <v>0</v>
      </c>
      <c r="AR5" s="653"/>
      <c r="AS5" s="651">
        <f t="array" ref="AS5">IFERROR(INDEX('HIV-Pharmaceuticals'!$AB$14:$AB$99,MATCH($E5&amp;$F5,'HIV-Pharmaceuticals'!$E$14:$E$99&amp;'HIV-Pharmaceuticals'!$I$14:$I$99,0)),0)</f>
        <v>0</v>
      </c>
      <c r="AT5" s="651">
        <f t="array" ref="AT5">IFERROR(INDEX('HIV-Pharmaceuticals'!$AC$14:$AC$99,MATCH($E5&amp;$F5,'HIV-Pharmaceuticals'!$E$14:$E$99&amp;'HIV-Pharmaceuticals'!$I$14:$I$99,0)),0)</f>
        <v>0</v>
      </c>
      <c r="AU5" s="652">
        <f t="shared" si="24"/>
        <v>0</v>
      </c>
      <c r="AV5" s="652">
        <f t="shared" si="25"/>
        <v>0</v>
      </c>
      <c r="AW5" s="652">
        <f t="shared" si="26"/>
        <v>0</v>
      </c>
      <c r="AX5" s="651">
        <f t="array" ref="AX5">IFERROR(INDEX('HIV-Pharmaceuticals'!$AD$14:$AD$99,MATCH($E5&amp;$F5,'HIV-Pharmaceuticals'!$E$14:$E$99&amp;'HIV-Pharmaceuticals'!$I$14:$I$99,0)),0)</f>
        <v>0</v>
      </c>
      <c r="AY5" s="652">
        <f t="shared" si="27"/>
        <v>0</v>
      </c>
      <c r="AZ5" s="652">
        <f t="shared" si="28"/>
        <v>0</v>
      </c>
      <c r="BA5" s="652">
        <f t="shared" si="29"/>
        <v>0</v>
      </c>
      <c r="BB5" s="651">
        <f t="array" ref="BB5">IFERROR(INDEX('HIV-Pharmaceuticals'!$AE$14:$AE$99,MATCH($E5&amp;$F5,'HIV-Pharmaceuticals'!$E$14:$E$99&amp;'HIV-Pharmaceuticals'!$I$14:$I$99,0)),0)</f>
        <v>0</v>
      </c>
      <c r="BC5" s="652">
        <f t="shared" si="30"/>
        <v>0</v>
      </c>
      <c r="BD5" s="652">
        <f t="shared" si="31"/>
        <v>0</v>
      </c>
      <c r="BE5" s="652">
        <f t="shared" si="32"/>
        <v>0</v>
      </c>
      <c r="BF5" s="651">
        <f t="array" ref="BF5">IFERROR(INDEX('HIV-Pharmaceuticals'!$AF$14:$AF$99,MATCH($E5&amp;$F5,'HIV-Pharmaceuticals'!$E$14:$E$99&amp;'HIV-Pharmaceuticals'!$I$14:$I$99,0)),0)</f>
        <v>0</v>
      </c>
      <c r="BG5" s="652">
        <f t="shared" si="33"/>
        <v>0</v>
      </c>
      <c r="BH5" s="652">
        <f t="shared" si="34"/>
        <v>0</v>
      </c>
      <c r="BI5" s="652">
        <f t="shared" si="35"/>
        <v>0</v>
      </c>
      <c r="BK5" s="654"/>
      <c r="BL5" s="654"/>
      <c r="BM5" s="654"/>
      <c r="BN5" s="654"/>
      <c r="BO5" s="654"/>
      <c r="BP5" s="654"/>
      <c r="BQ5" s="654"/>
      <c r="BR5" s="654"/>
    </row>
    <row r="6" spans="1:70" s="646" customFormat="1">
      <c r="A6" s="647" t="s">
        <v>561</v>
      </c>
      <c r="B6" s="647" t="s">
        <v>819</v>
      </c>
      <c r="C6" s="648">
        <f>SETUP!$F$20</f>
        <v>0</v>
      </c>
      <c r="D6" s="649">
        <v>4.0999999999999996</v>
      </c>
      <c r="E6" s="647" t="s">
        <v>110</v>
      </c>
      <c r="F6" s="647" t="s">
        <v>1592</v>
      </c>
      <c r="G6" s="650" t="str">
        <f t="array" ref="G6">IFERROR(INDEX('HIV-Pharmaceuticals'!$L$14:$L$99,MATCH($E6&amp;$F6,'HIV-Pharmaceuticals'!$E$14:$E$99&amp;'HIV-Pharmaceuticals'!$I$14:$I$99,0)),"")</f>
        <v/>
      </c>
      <c r="H6" s="650" t="str">
        <f t="array" ref="H6">IFERROR(INDEX('HIV-Pharmaceuticals'!$M$14:$M$99,MATCH($E6&amp;$F6,'HIV-Pharmaceuticals'!$E$14:$E$99&amp;'HIV-Pharmaceuticals'!$I$14:$I$99,0)),"")</f>
        <v/>
      </c>
      <c r="I6" s="651">
        <f t="array" ref="I6">IFERROR(INDEX('HIV-Pharmaceuticals'!$N$14:$N$99,MATCH($E6&amp;$F6,'HIV-Pharmaceuticals'!$E$14:$E$99&amp;'HIV-Pharmaceuticals'!$I$14:$I$99,0)),0)</f>
        <v>0</v>
      </c>
      <c r="J6" s="651">
        <f t="array" ref="J6">IFERROR(INDEX('HIV-Pharmaceuticals'!$O$14:$O$99,MATCH($E6&amp;$F6,'HIV-Pharmaceuticals'!$E$14:$E$99&amp;'HIV-Pharmaceuticals'!$I$14:$I$99,0)),0)</f>
        <v>0</v>
      </c>
      <c r="K6" s="652">
        <f t="shared" si="0"/>
        <v>0</v>
      </c>
      <c r="L6" s="652">
        <f t="shared" si="1"/>
        <v>0</v>
      </c>
      <c r="M6" s="652">
        <f t="shared" si="2"/>
        <v>0</v>
      </c>
      <c r="N6" s="651">
        <f t="array" ref="N6">IFERROR(INDEX('HIV-Pharmaceuticals'!$P$14:$P$99,MATCH($E6&amp;$F6,'HIV-Pharmaceuticals'!$E$14:$E$99&amp;'HIV-Pharmaceuticals'!$I$14:$I$99,0)),0)</f>
        <v>0</v>
      </c>
      <c r="O6" s="652">
        <f t="shared" si="3"/>
        <v>0</v>
      </c>
      <c r="P6" s="652">
        <f t="shared" si="4"/>
        <v>0</v>
      </c>
      <c r="Q6" s="652">
        <f t="shared" si="5"/>
        <v>0</v>
      </c>
      <c r="R6" s="651">
        <f t="array" ref="R6">IFERROR(INDEX('HIV-Pharmaceuticals'!$Q$14:$Q$99,MATCH($E6&amp;$F6,'HIV-Pharmaceuticals'!$E$14:$E$99&amp;'HIV-Pharmaceuticals'!$I$14:$I$99,0)),0)</f>
        <v>0</v>
      </c>
      <c r="S6" s="652">
        <f t="shared" si="6"/>
        <v>0</v>
      </c>
      <c r="T6" s="652">
        <f t="shared" si="7"/>
        <v>0</v>
      </c>
      <c r="U6" s="652">
        <f t="shared" si="8"/>
        <v>0</v>
      </c>
      <c r="V6" s="651">
        <f t="array" ref="V6">IFERROR(INDEX('HIV-Pharmaceuticals'!$R$14:$R$99,MATCH($E6&amp;$F6,'HIV-Pharmaceuticals'!$E$14:$E$99&amp;'HIV-Pharmaceuticals'!$I$14:$I$99,0)),0)</f>
        <v>0</v>
      </c>
      <c r="W6" s="652">
        <f t="shared" si="9"/>
        <v>0</v>
      </c>
      <c r="X6" s="652">
        <f t="shared" si="10"/>
        <v>0</v>
      </c>
      <c r="Y6" s="652">
        <f t="shared" si="11"/>
        <v>0</v>
      </c>
      <c r="Z6" s="653"/>
      <c r="AA6" s="651">
        <f t="array" ref="AA6">IFERROR(INDEX('HIV-Pharmaceuticals'!$U$14:$U$99,MATCH($E6&amp;$F6,'HIV-Pharmaceuticals'!$E$14:$E$99&amp;'HIV-Pharmaceuticals'!$I$14:$I$99,0)),0)</f>
        <v>0</v>
      </c>
      <c r="AB6" s="651">
        <f t="array" ref="AB6">IFERROR(INDEX('HIV-Pharmaceuticals'!$V$14:$V$99,MATCH($E6&amp;$F6,'HIV-Pharmaceuticals'!$E$14:$E$99&amp;'HIV-Pharmaceuticals'!$I$14:$I$99,0)),0)</f>
        <v>0</v>
      </c>
      <c r="AC6" s="652">
        <f t="shared" si="12"/>
        <v>0</v>
      </c>
      <c r="AD6" s="652">
        <f t="shared" si="13"/>
        <v>0</v>
      </c>
      <c r="AE6" s="652">
        <f t="shared" si="14"/>
        <v>0</v>
      </c>
      <c r="AF6" s="651">
        <f t="array" ref="AF6">IFERROR(INDEX('HIV-Pharmaceuticals'!$W$14:$W$99,MATCH($E6&amp;$F6,'HIV-Pharmaceuticals'!$E$14:$E$99&amp;'HIV-Pharmaceuticals'!$I$14:$I$99,0)),0)</f>
        <v>0</v>
      </c>
      <c r="AG6" s="652">
        <f t="shared" si="15"/>
        <v>0</v>
      </c>
      <c r="AH6" s="652">
        <f t="shared" si="16"/>
        <v>0</v>
      </c>
      <c r="AI6" s="652">
        <f t="shared" si="17"/>
        <v>0</v>
      </c>
      <c r="AJ6" s="651">
        <f t="array" ref="AJ6">IFERROR(INDEX('HIV-Pharmaceuticals'!$X$14:$X$99,MATCH($E6&amp;$F6,'HIV-Pharmaceuticals'!$E$14:$E$99&amp;'HIV-Pharmaceuticals'!$I$14:$I$99,0)),0)</f>
        <v>0</v>
      </c>
      <c r="AK6" s="652">
        <f t="shared" si="18"/>
        <v>0</v>
      </c>
      <c r="AL6" s="652">
        <f t="shared" si="19"/>
        <v>0</v>
      </c>
      <c r="AM6" s="652">
        <f t="shared" si="20"/>
        <v>0</v>
      </c>
      <c r="AN6" s="651">
        <f t="array" ref="AN6">IFERROR(INDEX('HIV-Pharmaceuticals'!$Y$14:$Y$99,MATCH($E6&amp;$F6,'HIV-Pharmaceuticals'!$E$14:$E$99&amp;'HIV-Pharmaceuticals'!$I$14:$I$99,0)),0)</f>
        <v>0</v>
      </c>
      <c r="AO6" s="652">
        <f t="shared" si="21"/>
        <v>0</v>
      </c>
      <c r="AP6" s="652">
        <f t="shared" si="22"/>
        <v>0</v>
      </c>
      <c r="AQ6" s="652">
        <f t="shared" si="23"/>
        <v>0</v>
      </c>
      <c r="AR6" s="653"/>
      <c r="AS6" s="651">
        <f t="array" ref="AS6">IFERROR(INDEX('HIV-Pharmaceuticals'!$AB$14:$AB$99,MATCH($E6&amp;$F6,'HIV-Pharmaceuticals'!$E$14:$E$99&amp;'HIV-Pharmaceuticals'!$I$14:$I$99,0)),0)</f>
        <v>0</v>
      </c>
      <c r="AT6" s="651">
        <f t="array" ref="AT6">IFERROR(INDEX('HIV-Pharmaceuticals'!$AC$14:$AC$99,MATCH($E6&amp;$F6,'HIV-Pharmaceuticals'!$E$14:$E$99&amp;'HIV-Pharmaceuticals'!$I$14:$I$99,0)),0)</f>
        <v>0</v>
      </c>
      <c r="AU6" s="652">
        <f t="shared" si="24"/>
        <v>0</v>
      </c>
      <c r="AV6" s="652">
        <f t="shared" si="25"/>
        <v>0</v>
      </c>
      <c r="AW6" s="652">
        <f t="shared" si="26"/>
        <v>0</v>
      </c>
      <c r="AX6" s="651">
        <f t="array" ref="AX6">IFERROR(INDEX('HIV-Pharmaceuticals'!$AD$14:$AD$99,MATCH($E6&amp;$F6,'HIV-Pharmaceuticals'!$E$14:$E$99&amp;'HIV-Pharmaceuticals'!$I$14:$I$99,0)),0)</f>
        <v>0</v>
      </c>
      <c r="AY6" s="652">
        <f t="shared" si="27"/>
        <v>0</v>
      </c>
      <c r="AZ6" s="652">
        <f t="shared" si="28"/>
        <v>0</v>
      </c>
      <c r="BA6" s="652">
        <f t="shared" si="29"/>
        <v>0</v>
      </c>
      <c r="BB6" s="651">
        <f t="array" ref="BB6">IFERROR(INDEX('HIV-Pharmaceuticals'!$AE$14:$AE$99,MATCH($E6&amp;$F6,'HIV-Pharmaceuticals'!$E$14:$E$99&amp;'HIV-Pharmaceuticals'!$I$14:$I$99,0)),0)</f>
        <v>0</v>
      </c>
      <c r="BC6" s="652">
        <f t="shared" si="30"/>
        <v>0</v>
      </c>
      <c r="BD6" s="652">
        <f t="shared" si="31"/>
        <v>0</v>
      </c>
      <c r="BE6" s="652">
        <f t="shared" si="32"/>
        <v>0</v>
      </c>
      <c r="BF6" s="651">
        <f t="array" ref="BF6">IFERROR(INDEX('HIV-Pharmaceuticals'!$AF$14:$AF$99,MATCH($E6&amp;$F6,'HIV-Pharmaceuticals'!$E$14:$E$99&amp;'HIV-Pharmaceuticals'!$I$14:$I$99,0)),0)</f>
        <v>0</v>
      </c>
      <c r="BG6" s="652">
        <f t="shared" si="33"/>
        <v>0</v>
      </c>
      <c r="BH6" s="652">
        <f t="shared" si="34"/>
        <v>0</v>
      </c>
      <c r="BI6" s="652">
        <f t="shared" si="35"/>
        <v>0</v>
      </c>
      <c r="BK6" s="654"/>
      <c r="BL6" s="654"/>
      <c r="BM6" s="654"/>
      <c r="BN6" s="654"/>
      <c r="BO6" s="654"/>
      <c r="BP6" s="654"/>
      <c r="BQ6" s="654"/>
      <c r="BR6" s="654"/>
    </row>
    <row r="7" spans="1:70" s="646" customFormat="1">
      <c r="A7" s="647" t="s">
        <v>561</v>
      </c>
      <c r="B7" s="647" t="s">
        <v>819</v>
      </c>
      <c r="C7" s="648">
        <f>SETUP!$F$20</f>
        <v>0</v>
      </c>
      <c r="D7" s="649">
        <v>4.0999999999999996</v>
      </c>
      <c r="E7" s="647" t="s">
        <v>110</v>
      </c>
      <c r="F7" s="647" t="s">
        <v>1593</v>
      </c>
      <c r="G7" s="650" t="str">
        <f t="array" ref="G7">IFERROR(INDEX('HIV-Pharmaceuticals'!$L$14:$L$99,MATCH($E7&amp;$F7,'HIV-Pharmaceuticals'!$E$14:$E$99&amp;'HIV-Pharmaceuticals'!$I$14:$I$99,0)),"")</f>
        <v/>
      </c>
      <c r="H7" s="650" t="str">
        <f t="array" ref="H7">IFERROR(INDEX('HIV-Pharmaceuticals'!$M$14:$M$99,MATCH($E7&amp;$F7,'HIV-Pharmaceuticals'!$E$14:$E$99&amp;'HIV-Pharmaceuticals'!$I$14:$I$99,0)),"")</f>
        <v/>
      </c>
      <c r="I7" s="651">
        <f t="array" ref="I7">IFERROR(INDEX('HIV-Pharmaceuticals'!$N$14:$N$99,MATCH($E7&amp;$F7,'HIV-Pharmaceuticals'!$E$14:$E$99&amp;'HIV-Pharmaceuticals'!$I$14:$I$99,0)),0)</f>
        <v>0</v>
      </c>
      <c r="J7" s="651">
        <f t="array" ref="J7">IFERROR(INDEX('HIV-Pharmaceuticals'!$O$14:$O$99,MATCH($E7&amp;$F7,'HIV-Pharmaceuticals'!$E$14:$E$99&amp;'HIV-Pharmaceuticals'!$I$14:$I$99,0)),0)</f>
        <v>0</v>
      </c>
      <c r="K7" s="652">
        <f t="shared" si="0"/>
        <v>0</v>
      </c>
      <c r="L7" s="652">
        <f t="shared" si="1"/>
        <v>0</v>
      </c>
      <c r="M7" s="652">
        <f t="shared" si="2"/>
        <v>0</v>
      </c>
      <c r="N7" s="651">
        <f t="array" ref="N7">IFERROR(INDEX('HIV-Pharmaceuticals'!$P$14:$P$99,MATCH($E7&amp;$F7,'HIV-Pharmaceuticals'!$E$14:$E$99&amp;'HIV-Pharmaceuticals'!$I$14:$I$99,0)),0)</f>
        <v>0</v>
      </c>
      <c r="O7" s="652">
        <f t="shared" si="3"/>
        <v>0</v>
      </c>
      <c r="P7" s="652">
        <f t="shared" si="4"/>
        <v>0</v>
      </c>
      <c r="Q7" s="652">
        <f t="shared" si="5"/>
        <v>0</v>
      </c>
      <c r="R7" s="651">
        <f t="array" ref="R7">IFERROR(INDEX('HIV-Pharmaceuticals'!$Q$14:$Q$99,MATCH($E7&amp;$F7,'HIV-Pharmaceuticals'!$E$14:$E$99&amp;'HIV-Pharmaceuticals'!$I$14:$I$99,0)),0)</f>
        <v>0</v>
      </c>
      <c r="S7" s="652">
        <f t="shared" si="6"/>
        <v>0</v>
      </c>
      <c r="T7" s="652">
        <f t="shared" si="7"/>
        <v>0</v>
      </c>
      <c r="U7" s="652">
        <f t="shared" si="8"/>
        <v>0</v>
      </c>
      <c r="V7" s="651">
        <f t="array" ref="V7">IFERROR(INDEX('HIV-Pharmaceuticals'!$R$14:$R$99,MATCH($E7&amp;$F7,'HIV-Pharmaceuticals'!$E$14:$E$99&amp;'HIV-Pharmaceuticals'!$I$14:$I$99,0)),0)</f>
        <v>0</v>
      </c>
      <c r="W7" s="652">
        <f t="shared" si="9"/>
        <v>0</v>
      </c>
      <c r="X7" s="652">
        <f t="shared" si="10"/>
        <v>0</v>
      </c>
      <c r="Y7" s="652">
        <f t="shared" si="11"/>
        <v>0</v>
      </c>
      <c r="Z7" s="653"/>
      <c r="AA7" s="651">
        <f t="array" ref="AA7">IFERROR(INDEX('HIV-Pharmaceuticals'!$U$14:$U$99,MATCH($E7&amp;$F7,'HIV-Pharmaceuticals'!$E$14:$E$99&amp;'HIV-Pharmaceuticals'!$I$14:$I$99,0)),0)</f>
        <v>0</v>
      </c>
      <c r="AB7" s="651">
        <f t="array" ref="AB7">IFERROR(INDEX('HIV-Pharmaceuticals'!$V$14:$V$99,MATCH($E7&amp;$F7,'HIV-Pharmaceuticals'!$E$14:$E$99&amp;'HIV-Pharmaceuticals'!$I$14:$I$99,0)),0)</f>
        <v>0</v>
      </c>
      <c r="AC7" s="652">
        <f t="shared" si="12"/>
        <v>0</v>
      </c>
      <c r="AD7" s="652">
        <f t="shared" si="13"/>
        <v>0</v>
      </c>
      <c r="AE7" s="652">
        <f t="shared" si="14"/>
        <v>0</v>
      </c>
      <c r="AF7" s="651">
        <f t="array" ref="AF7">IFERROR(INDEX('HIV-Pharmaceuticals'!$W$14:$W$99,MATCH($E7&amp;$F7,'HIV-Pharmaceuticals'!$E$14:$E$99&amp;'HIV-Pharmaceuticals'!$I$14:$I$99,0)),0)</f>
        <v>0</v>
      </c>
      <c r="AG7" s="652">
        <f t="shared" si="15"/>
        <v>0</v>
      </c>
      <c r="AH7" s="652">
        <f t="shared" si="16"/>
        <v>0</v>
      </c>
      <c r="AI7" s="652">
        <f t="shared" si="17"/>
        <v>0</v>
      </c>
      <c r="AJ7" s="651">
        <f t="array" ref="AJ7">IFERROR(INDEX('HIV-Pharmaceuticals'!$X$14:$X$99,MATCH($E7&amp;$F7,'HIV-Pharmaceuticals'!$E$14:$E$99&amp;'HIV-Pharmaceuticals'!$I$14:$I$99,0)),0)</f>
        <v>0</v>
      </c>
      <c r="AK7" s="652">
        <f t="shared" si="18"/>
        <v>0</v>
      </c>
      <c r="AL7" s="652">
        <f t="shared" si="19"/>
        <v>0</v>
      </c>
      <c r="AM7" s="652">
        <f t="shared" si="20"/>
        <v>0</v>
      </c>
      <c r="AN7" s="651">
        <f t="array" ref="AN7">IFERROR(INDEX('HIV-Pharmaceuticals'!$Y$14:$Y$99,MATCH($E7&amp;$F7,'HIV-Pharmaceuticals'!$E$14:$E$99&amp;'HIV-Pharmaceuticals'!$I$14:$I$99,0)),0)</f>
        <v>0</v>
      </c>
      <c r="AO7" s="652">
        <f t="shared" si="21"/>
        <v>0</v>
      </c>
      <c r="AP7" s="652">
        <f t="shared" si="22"/>
        <v>0</v>
      </c>
      <c r="AQ7" s="652">
        <f t="shared" si="23"/>
        <v>0</v>
      </c>
      <c r="AR7" s="653"/>
      <c r="AS7" s="651">
        <f t="array" ref="AS7">IFERROR(INDEX('HIV-Pharmaceuticals'!$AB$14:$AB$99,MATCH($E7&amp;$F7,'HIV-Pharmaceuticals'!$E$14:$E$99&amp;'HIV-Pharmaceuticals'!$I$14:$I$99,0)),0)</f>
        <v>0</v>
      </c>
      <c r="AT7" s="651">
        <f t="array" ref="AT7">IFERROR(INDEX('HIV-Pharmaceuticals'!$AC$14:$AC$99,MATCH($E7&amp;$F7,'HIV-Pharmaceuticals'!$E$14:$E$99&amp;'HIV-Pharmaceuticals'!$I$14:$I$99,0)),0)</f>
        <v>0</v>
      </c>
      <c r="AU7" s="652">
        <f t="shared" si="24"/>
        <v>0</v>
      </c>
      <c r="AV7" s="652">
        <f t="shared" si="25"/>
        <v>0</v>
      </c>
      <c r="AW7" s="652">
        <f t="shared" si="26"/>
        <v>0</v>
      </c>
      <c r="AX7" s="651">
        <f t="array" ref="AX7">IFERROR(INDEX('HIV-Pharmaceuticals'!$AD$14:$AD$99,MATCH($E7&amp;$F7,'HIV-Pharmaceuticals'!$E$14:$E$99&amp;'HIV-Pharmaceuticals'!$I$14:$I$99,0)),0)</f>
        <v>0</v>
      </c>
      <c r="AY7" s="652">
        <f t="shared" si="27"/>
        <v>0</v>
      </c>
      <c r="AZ7" s="652">
        <f t="shared" si="28"/>
        <v>0</v>
      </c>
      <c r="BA7" s="652">
        <f t="shared" si="29"/>
        <v>0</v>
      </c>
      <c r="BB7" s="651">
        <f t="array" ref="BB7">IFERROR(INDEX('HIV-Pharmaceuticals'!$AE$14:$AE$99,MATCH($E7&amp;$F7,'HIV-Pharmaceuticals'!$E$14:$E$99&amp;'HIV-Pharmaceuticals'!$I$14:$I$99,0)),0)</f>
        <v>0</v>
      </c>
      <c r="BC7" s="652">
        <f t="shared" si="30"/>
        <v>0</v>
      </c>
      <c r="BD7" s="652">
        <f t="shared" si="31"/>
        <v>0</v>
      </c>
      <c r="BE7" s="652">
        <f t="shared" si="32"/>
        <v>0</v>
      </c>
      <c r="BF7" s="651">
        <f t="array" ref="BF7">IFERROR(INDEX('HIV-Pharmaceuticals'!$AF$14:$AF$99,MATCH($E7&amp;$F7,'HIV-Pharmaceuticals'!$E$14:$E$99&amp;'HIV-Pharmaceuticals'!$I$14:$I$99,0)),0)</f>
        <v>0</v>
      </c>
      <c r="BG7" s="652">
        <f t="shared" si="33"/>
        <v>0</v>
      </c>
      <c r="BH7" s="652">
        <f t="shared" si="34"/>
        <v>0</v>
      </c>
      <c r="BI7" s="652">
        <f t="shared" si="35"/>
        <v>0</v>
      </c>
      <c r="BK7" s="654"/>
      <c r="BL7" s="654"/>
      <c r="BM7" s="654"/>
      <c r="BN7" s="654"/>
      <c r="BO7" s="654"/>
      <c r="BP7" s="654"/>
      <c r="BQ7" s="654"/>
      <c r="BR7" s="654"/>
    </row>
    <row r="8" spans="1:70" s="646" customFormat="1">
      <c r="A8" s="647" t="s">
        <v>561</v>
      </c>
      <c r="B8" s="647" t="s">
        <v>819</v>
      </c>
      <c r="C8" s="648">
        <f>SETUP!$F$20</f>
        <v>0</v>
      </c>
      <c r="D8" s="649">
        <v>4.0999999999999996</v>
      </c>
      <c r="E8" s="647" t="s">
        <v>110</v>
      </c>
      <c r="F8" s="647" t="s">
        <v>1594</v>
      </c>
      <c r="G8" s="650" t="str">
        <f t="array" ref="G8">IFERROR(INDEX('HIV-Pharmaceuticals'!$L$14:$L$99,MATCH($E8&amp;$F8,'HIV-Pharmaceuticals'!$E$14:$E$99&amp;'HIV-Pharmaceuticals'!$I$14:$I$99,0)),"")</f>
        <v/>
      </c>
      <c r="H8" s="650" t="str">
        <f t="array" ref="H8">IFERROR(INDEX('HIV-Pharmaceuticals'!$M$14:$M$99,MATCH($E8&amp;$F8,'HIV-Pharmaceuticals'!$E$14:$E$99&amp;'HIV-Pharmaceuticals'!$I$14:$I$99,0)),"")</f>
        <v/>
      </c>
      <c r="I8" s="651">
        <f t="array" ref="I8">IFERROR(INDEX('HIV-Pharmaceuticals'!$N$14:$N$99,MATCH($E8&amp;$F8,'HIV-Pharmaceuticals'!$E$14:$E$99&amp;'HIV-Pharmaceuticals'!$I$14:$I$99,0)),0)</f>
        <v>0</v>
      </c>
      <c r="J8" s="651">
        <f t="array" ref="J8">IFERROR(INDEX('HIV-Pharmaceuticals'!$O$14:$O$99,MATCH($E8&amp;$F8,'HIV-Pharmaceuticals'!$E$14:$E$99&amp;'HIV-Pharmaceuticals'!$I$14:$I$99,0)),0)</f>
        <v>0</v>
      </c>
      <c r="K8" s="652">
        <f t="shared" si="0"/>
        <v>0</v>
      </c>
      <c r="L8" s="652">
        <f t="shared" si="1"/>
        <v>0</v>
      </c>
      <c r="M8" s="652">
        <f t="shared" si="2"/>
        <v>0</v>
      </c>
      <c r="N8" s="651">
        <f t="array" ref="N8">IFERROR(INDEX('HIV-Pharmaceuticals'!$P$14:$P$99,MATCH($E8&amp;$F8,'HIV-Pharmaceuticals'!$E$14:$E$99&amp;'HIV-Pharmaceuticals'!$I$14:$I$99,0)),0)</f>
        <v>0</v>
      </c>
      <c r="O8" s="652">
        <f t="shared" si="3"/>
        <v>0</v>
      </c>
      <c r="P8" s="652">
        <f t="shared" si="4"/>
        <v>0</v>
      </c>
      <c r="Q8" s="652">
        <f t="shared" si="5"/>
        <v>0</v>
      </c>
      <c r="R8" s="651">
        <f t="array" ref="R8">IFERROR(INDEX('HIV-Pharmaceuticals'!$Q$14:$Q$99,MATCH($E8&amp;$F8,'HIV-Pharmaceuticals'!$E$14:$E$99&amp;'HIV-Pharmaceuticals'!$I$14:$I$99,0)),0)</f>
        <v>0</v>
      </c>
      <c r="S8" s="652">
        <f t="shared" si="6"/>
        <v>0</v>
      </c>
      <c r="T8" s="652">
        <f t="shared" si="7"/>
        <v>0</v>
      </c>
      <c r="U8" s="652">
        <f t="shared" si="8"/>
        <v>0</v>
      </c>
      <c r="V8" s="651">
        <f t="array" ref="V8">IFERROR(INDEX('HIV-Pharmaceuticals'!$R$14:$R$99,MATCH($E8&amp;$F8,'HIV-Pharmaceuticals'!$E$14:$E$99&amp;'HIV-Pharmaceuticals'!$I$14:$I$99,0)),0)</f>
        <v>0</v>
      </c>
      <c r="W8" s="652">
        <f t="shared" si="9"/>
        <v>0</v>
      </c>
      <c r="X8" s="652">
        <f t="shared" si="10"/>
        <v>0</v>
      </c>
      <c r="Y8" s="652">
        <f t="shared" si="11"/>
        <v>0</v>
      </c>
      <c r="Z8" s="653"/>
      <c r="AA8" s="651">
        <f t="array" ref="AA8">IFERROR(INDEX('HIV-Pharmaceuticals'!$U$14:$U$99,MATCH($E8&amp;$F8,'HIV-Pharmaceuticals'!$E$14:$E$99&amp;'HIV-Pharmaceuticals'!$I$14:$I$99,0)),0)</f>
        <v>0</v>
      </c>
      <c r="AB8" s="651">
        <f t="array" ref="AB8">IFERROR(INDEX('HIV-Pharmaceuticals'!$V$14:$V$99,MATCH($E8&amp;$F8,'HIV-Pharmaceuticals'!$E$14:$E$99&amp;'HIV-Pharmaceuticals'!$I$14:$I$99,0)),0)</f>
        <v>0</v>
      </c>
      <c r="AC8" s="652">
        <f t="shared" si="12"/>
        <v>0</v>
      </c>
      <c r="AD8" s="652">
        <f t="shared" si="13"/>
        <v>0</v>
      </c>
      <c r="AE8" s="652">
        <f t="shared" si="14"/>
        <v>0</v>
      </c>
      <c r="AF8" s="651">
        <f t="array" ref="AF8">IFERROR(INDEX('HIV-Pharmaceuticals'!$W$14:$W$99,MATCH($E8&amp;$F8,'HIV-Pharmaceuticals'!$E$14:$E$99&amp;'HIV-Pharmaceuticals'!$I$14:$I$99,0)),0)</f>
        <v>0</v>
      </c>
      <c r="AG8" s="652">
        <f t="shared" si="15"/>
        <v>0</v>
      </c>
      <c r="AH8" s="652">
        <f t="shared" si="16"/>
        <v>0</v>
      </c>
      <c r="AI8" s="652">
        <f t="shared" si="17"/>
        <v>0</v>
      </c>
      <c r="AJ8" s="651">
        <f t="array" ref="AJ8">IFERROR(INDEX('HIV-Pharmaceuticals'!$X$14:$X$99,MATCH($E8&amp;$F8,'HIV-Pharmaceuticals'!$E$14:$E$99&amp;'HIV-Pharmaceuticals'!$I$14:$I$99,0)),0)</f>
        <v>0</v>
      </c>
      <c r="AK8" s="652">
        <f t="shared" si="18"/>
        <v>0</v>
      </c>
      <c r="AL8" s="652">
        <f t="shared" si="19"/>
        <v>0</v>
      </c>
      <c r="AM8" s="652">
        <f t="shared" si="20"/>
        <v>0</v>
      </c>
      <c r="AN8" s="651">
        <f t="array" ref="AN8">IFERROR(INDEX('HIV-Pharmaceuticals'!$Y$14:$Y$99,MATCH($E8&amp;$F8,'HIV-Pharmaceuticals'!$E$14:$E$99&amp;'HIV-Pharmaceuticals'!$I$14:$I$99,0)),0)</f>
        <v>0</v>
      </c>
      <c r="AO8" s="652">
        <f t="shared" si="21"/>
        <v>0</v>
      </c>
      <c r="AP8" s="652">
        <f t="shared" si="22"/>
        <v>0</v>
      </c>
      <c r="AQ8" s="652">
        <f t="shared" si="23"/>
        <v>0</v>
      </c>
      <c r="AR8" s="653"/>
      <c r="AS8" s="651">
        <f t="array" ref="AS8">IFERROR(INDEX('HIV-Pharmaceuticals'!$AB$14:$AB$99,MATCH($E8&amp;$F8,'HIV-Pharmaceuticals'!$E$14:$E$99&amp;'HIV-Pharmaceuticals'!$I$14:$I$99,0)),0)</f>
        <v>0</v>
      </c>
      <c r="AT8" s="651">
        <f t="array" ref="AT8">IFERROR(INDEX('HIV-Pharmaceuticals'!$AC$14:$AC$99,MATCH($E8&amp;$F8,'HIV-Pharmaceuticals'!$E$14:$E$99&amp;'HIV-Pharmaceuticals'!$I$14:$I$99,0)),0)</f>
        <v>0</v>
      </c>
      <c r="AU8" s="652">
        <f t="shared" si="24"/>
        <v>0</v>
      </c>
      <c r="AV8" s="652">
        <f t="shared" si="25"/>
        <v>0</v>
      </c>
      <c r="AW8" s="652">
        <f t="shared" si="26"/>
        <v>0</v>
      </c>
      <c r="AX8" s="651">
        <f t="array" ref="AX8">IFERROR(INDEX('HIV-Pharmaceuticals'!$AD$14:$AD$99,MATCH($E8&amp;$F8,'HIV-Pharmaceuticals'!$E$14:$E$99&amp;'HIV-Pharmaceuticals'!$I$14:$I$99,0)),0)</f>
        <v>0</v>
      </c>
      <c r="AY8" s="652">
        <f t="shared" si="27"/>
        <v>0</v>
      </c>
      <c r="AZ8" s="652">
        <f t="shared" si="28"/>
        <v>0</v>
      </c>
      <c r="BA8" s="652">
        <f t="shared" si="29"/>
        <v>0</v>
      </c>
      <c r="BB8" s="651">
        <f t="array" ref="BB8">IFERROR(INDEX('HIV-Pharmaceuticals'!$AE$14:$AE$99,MATCH($E8&amp;$F8,'HIV-Pharmaceuticals'!$E$14:$E$99&amp;'HIV-Pharmaceuticals'!$I$14:$I$99,0)),0)</f>
        <v>0</v>
      </c>
      <c r="BC8" s="652">
        <f t="shared" si="30"/>
        <v>0</v>
      </c>
      <c r="BD8" s="652">
        <f t="shared" si="31"/>
        <v>0</v>
      </c>
      <c r="BE8" s="652">
        <f t="shared" si="32"/>
        <v>0</v>
      </c>
      <c r="BF8" s="651">
        <f t="array" ref="BF8">IFERROR(INDEX('HIV-Pharmaceuticals'!$AF$14:$AF$99,MATCH($E8&amp;$F8,'HIV-Pharmaceuticals'!$E$14:$E$99&amp;'HIV-Pharmaceuticals'!$I$14:$I$99,0)),0)</f>
        <v>0</v>
      </c>
      <c r="BG8" s="652">
        <f t="shared" si="33"/>
        <v>0</v>
      </c>
      <c r="BH8" s="652">
        <f t="shared" si="34"/>
        <v>0</v>
      </c>
      <c r="BI8" s="652">
        <f t="shared" si="35"/>
        <v>0</v>
      </c>
      <c r="BK8" s="654"/>
      <c r="BL8" s="654"/>
      <c r="BM8" s="654"/>
      <c r="BN8" s="654"/>
      <c r="BO8" s="654"/>
      <c r="BP8" s="654"/>
      <c r="BQ8" s="654"/>
      <c r="BR8" s="654"/>
    </row>
    <row r="9" spans="1:70" s="646" customFormat="1">
      <c r="A9" s="647" t="s">
        <v>561</v>
      </c>
      <c r="B9" s="647" t="s">
        <v>819</v>
      </c>
      <c r="C9" s="648">
        <f>SETUP!$F$20</f>
        <v>0</v>
      </c>
      <c r="D9" s="649">
        <v>4.0999999999999996</v>
      </c>
      <c r="E9" s="647" t="s">
        <v>110</v>
      </c>
      <c r="F9" s="647" t="s">
        <v>1595</v>
      </c>
      <c r="G9" s="650" t="str">
        <f t="array" ref="G9">IFERROR(INDEX('HIV-Pharmaceuticals'!$L$14:$L$99,MATCH($E9&amp;$F9,'HIV-Pharmaceuticals'!$E$14:$E$99&amp;'HIV-Pharmaceuticals'!$I$14:$I$99,0)),"")</f>
        <v/>
      </c>
      <c r="H9" s="650" t="str">
        <f t="array" ref="H9">IFERROR(INDEX('HIV-Pharmaceuticals'!$M$14:$M$99,MATCH($E9&amp;$F9,'HIV-Pharmaceuticals'!$E$14:$E$99&amp;'HIV-Pharmaceuticals'!$I$14:$I$99,0)),"")</f>
        <v/>
      </c>
      <c r="I9" s="651">
        <f t="array" ref="I9">IFERROR(INDEX('HIV-Pharmaceuticals'!$N$14:$N$99,MATCH($E9&amp;$F9,'HIV-Pharmaceuticals'!$E$14:$E$99&amp;'HIV-Pharmaceuticals'!$I$14:$I$99,0)),0)</f>
        <v>0</v>
      </c>
      <c r="J9" s="651">
        <f t="array" ref="J9">IFERROR(INDEX('HIV-Pharmaceuticals'!$O$14:$O$99,MATCH($E9&amp;$F9,'HIV-Pharmaceuticals'!$E$14:$E$99&amp;'HIV-Pharmaceuticals'!$I$14:$I$99,0)),0)</f>
        <v>0</v>
      </c>
      <c r="K9" s="652">
        <f t="shared" si="0"/>
        <v>0</v>
      </c>
      <c r="L9" s="652">
        <f t="shared" si="1"/>
        <v>0</v>
      </c>
      <c r="M9" s="652">
        <f t="shared" si="2"/>
        <v>0</v>
      </c>
      <c r="N9" s="651">
        <f t="array" ref="N9">IFERROR(INDEX('HIV-Pharmaceuticals'!$P$14:$P$99,MATCH($E9&amp;$F9,'HIV-Pharmaceuticals'!$E$14:$E$99&amp;'HIV-Pharmaceuticals'!$I$14:$I$99,0)),0)</f>
        <v>0</v>
      </c>
      <c r="O9" s="652">
        <f t="shared" si="3"/>
        <v>0</v>
      </c>
      <c r="P9" s="652">
        <f t="shared" si="4"/>
        <v>0</v>
      </c>
      <c r="Q9" s="652">
        <f t="shared" si="5"/>
        <v>0</v>
      </c>
      <c r="R9" s="651">
        <f t="array" ref="R9">IFERROR(INDEX('HIV-Pharmaceuticals'!$Q$14:$Q$99,MATCH($E9&amp;$F9,'HIV-Pharmaceuticals'!$E$14:$E$99&amp;'HIV-Pharmaceuticals'!$I$14:$I$99,0)),0)</f>
        <v>0</v>
      </c>
      <c r="S9" s="652">
        <f t="shared" si="6"/>
        <v>0</v>
      </c>
      <c r="T9" s="652">
        <f t="shared" si="7"/>
        <v>0</v>
      </c>
      <c r="U9" s="652">
        <f t="shared" si="8"/>
        <v>0</v>
      </c>
      <c r="V9" s="651">
        <f t="array" ref="V9">IFERROR(INDEX('HIV-Pharmaceuticals'!$R$14:$R$99,MATCH($E9&amp;$F9,'HIV-Pharmaceuticals'!$E$14:$E$99&amp;'HIV-Pharmaceuticals'!$I$14:$I$99,0)),0)</f>
        <v>0</v>
      </c>
      <c r="W9" s="652">
        <f t="shared" si="9"/>
        <v>0</v>
      </c>
      <c r="X9" s="652">
        <f t="shared" si="10"/>
        <v>0</v>
      </c>
      <c r="Y9" s="652">
        <f t="shared" si="11"/>
        <v>0</v>
      </c>
      <c r="Z9" s="653"/>
      <c r="AA9" s="651">
        <f t="array" ref="AA9">IFERROR(INDEX('HIV-Pharmaceuticals'!$U$14:$U$99,MATCH($E9&amp;$F9,'HIV-Pharmaceuticals'!$E$14:$E$99&amp;'HIV-Pharmaceuticals'!$I$14:$I$99,0)),0)</f>
        <v>0</v>
      </c>
      <c r="AB9" s="651">
        <f t="array" ref="AB9">IFERROR(INDEX('HIV-Pharmaceuticals'!$V$14:$V$99,MATCH($E9&amp;$F9,'HIV-Pharmaceuticals'!$E$14:$E$99&amp;'HIV-Pharmaceuticals'!$I$14:$I$99,0)),0)</f>
        <v>0</v>
      </c>
      <c r="AC9" s="652">
        <f t="shared" si="12"/>
        <v>0</v>
      </c>
      <c r="AD9" s="652">
        <f t="shared" si="13"/>
        <v>0</v>
      </c>
      <c r="AE9" s="652">
        <f t="shared" si="14"/>
        <v>0</v>
      </c>
      <c r="AF9" s="651">
        <f t="array" ref="AF9">IFERROR(INDEX('HIV-Pharmaceuticals'!$W$14:$W$99,MATCH($E9&amp;$F9,'HIV-Pharmaceuticals'!$E$14:$E$99&amp;'HIV-Pharmaceuticals'!$I$14:$I$99,0)),0)</f>
        <v>0</v>
      </c>
      <c r="AG9" s="652">
        <f t="shared" si="15"/>
        <v>0</v>
      </c>
      <c r="AH9" s="652">
        <f t="shared" si="16"/>
        <v>0</v>
      </c>
      <c r="AI9" s="652">
        <f t="shared" si="17"/>
        <v>0</v>
      </c>
      <c r="AJ9" s="651">
        <f t="array" ref="AJ9">IFERROR(INDEX('HIV-Pharmaceuticals'!$X$14:$X$99,MATCH($E9&amp;$F9,'HIV-Pharmaceuticals'!$E$14:$E$99&amp;'HIV-Pharmaceuticals'!$I$14:$I$99,0)),0)</f>
        <v>0</v>
      </c>
      <c r="AK9" s="652">
        <f t="shared" si="18"/>
        <v>0</v>
      </c>
      <c r="AL9" s="652">
        <f t="shared" si="19"/>
        <v>0</v>
      </c>
      <c r="AM9" s="652">
        <f t="shared" si="20"/>
        <v>0</v>
      </c>
      <c r="AN9" s="651">
        <f t="array" ref="AN9">IFERROR(INDEX('HIV-Pharmaceuticals'!$Y$14:$Y$99,MATCH($E9&amp;$F9,'HIV-Pharmaceuticals'!$E$14:$E$99&amp;'HIV-Pharmaceuticals'!$I$14:$I$99,0)),0)</f>
        <v>0</v>
      </c>
      <c r="AO9" s="652">
        <f t="shared" si="21"/>
        <v>0</v>
      </c>
      <c r="AP9" s="652">
        <f t="shared" si="22"/>
        <v>0</v>
      </c>
      <c r="AQ9" s="652">
        <f t="shared" si="23"/>
        <v>0</v>
      </c>
      <c r="AR9" s="653"/>
      <c r="AS9" s="651">
        <f t="array" ref="AS9">IFERROR(INDEX('HIV-Pharmaceuticals'!$AB$14:$AB$99,MATCH($E9&amp;$F9,'HIV-Pharmaceuticals'!$E$14:$E$99&amp;'HIV-Pharmaceuticals'!$I$14:$I$99,0)),0)</f>
        <v>0</v>
      </c>
      <c r="AT9" s="651">
        <f t="array" ref="AT9">IFERROR(INDEX('HIV-Pharmaceuticals'!$AC$14:$AC$99,MATCH($E9&amp;$F9,'HIV-Pharmaceuticals'!$E$14:$E$99&amp;'HIV-Pharmaceuticals'!$I$14:$I$99,0)),0)</f>
        <v>0</v>
      </c>
      <c r="AU9" s="652">
        <f t="shared" si="24"/>
        <v>0</v>
      </c>
      <c r="AV9" s="652">
        <f t="shared" si="25"/>
        <v>0</v>
      </c>
      <c r="AW9" s="652">
        <f t="shared" si="26"/>
        <v>0</v>
      </c>
      <c r="AX9" s="651">
        <f t="array" ref="AX9">IFERROR(INDEX('HIV-Pharmaceuticals'!$AD$14:$AD$99,MATCH($E9&amp;$F9,'HIV-Pharmaceuticals'!$E$14:$E$99&amp;'HIV-Pharmaceuticals'!$I$14:$I$99,0)),0)</f>
        <v>0</v>
      </c>
      <c r="AY9" s="652">
        <f t="shared" si="27"/>
        <v>0</v>
      </c>
      <c r="AZ9" s="652">
        <f t="shared" si="28"/>
        <v>0</v>
      </c>
      <c r="BA9" s="652">
        <f t="shared" si="29"/>
        <v>0</v>
      </c>
      <c r="BB9" s="651">
        <f t="array" ref="BB9">IFERROR(INDEX('HIV-Pharmaceuticals'!$AE$14:$AE$99,MATCH($E9&amp;$F9,'HIV-Pharmaceuticals'!$E$14:$E$99&amp;'HIV-Pharmaceuticals'!$I$14:$I$99,0)),0)</f>
        <v>0</v>
      </c>
      <c r="BC9" s="652">
        <f t="shared" si="30"/>
        <v>0</v>
      </c>
      <c r="BD9" s="652">
        <f t="shared" si="31"/>
        <v>0</v>
      </c>
      <c r="BE9" s="652">
        <f t="shared" si="32"/>
        <v>0</v>
      </c>
      <c r="BF9" s="651">
        <f t="array" ref="BF9">IFERROR(INDEX('HIV-Pharmaceuticals'!$AF$14:$AF$99,MATCH($E9&amp;$F9,'HIV-Pharmaceuticals'!$E$14:$E$99&amp;'HIV-Pharmaceuticals'!$I$14:$I$99,0)),0)</f>
        <v>0</v>
      </c>
      <c r="BG9" s="652">
        <f t="shared" si="33"/>
        <v>0</v>
      </c>
      <c r="BH9" s="652">
        <f t="shared" si="34"/>
        <v>0</v>
      </c>
      <c r="BI9" s="652">
        <f t="shared" si="35"/>
        <v>0</v>
      </c>
      <c r="BK9" s="654"/>
      <c r="BL9" s="654"/>
      <c r="BM9" s="654"/>
      <c r="BN9" s="654"/>
      <c r="BO9" s="654"/>
      <c r="BP9" s="654"/>
      <c r="BQ9" s="654"/>
      <c r="BR9" s="654"/>
    </row>
    <row r="10" spans="1:70" s="646" customFormat="1">
      <c r="A10" s="647" t="s">
        <v>561</v>
      </c>
      <c r="B10" s="647" t="s">
        <v>819</v>
      </c>
      <c r="C10" s="648">
        <f>SETUP!$F$20</f>
        <v>0</v>
      </c>
      <c r="D10" s="649">
        <v>4.0999999999999996</v>
      </c>
      <c r="E10" s="647" t="s">
        <v>111</v>
      </c>
      <c r="F10" s="647" t="s">
        <v>1596</v>
      </c>
      <c r="G10" s="650" t="str">
        <f t="array" ref="G10">IFERROR(INDEX('HIV-Pharmaceuticals'!$L$14:$L$99,MATCH($E10&amp;$F10,'HIV-Pharmaceuticals'!$E$14:$E$99&amp;'HIV-Pharmaceuticals'!$I$14:$I$99,0)),"")</f>
        <v/>
      </c>
      <c r="H10" s="650" t="str">
        <f t="array" ref="H10">IFERROR(INDEX('HIV-Pharmaceuticals'!$M$14:$M$99,MATCH($E10&amp;$F10,'HIV-Pharmaceuticals'!$E$14:$E$99&amp;'HIV-Pharmaceuticals'!$I$14:$I$99,0)),"")</f>
        <v/>
      </c>
      <c r="I10" s="651">
        <f t="array" ref="I10">IFERROR(INDEX('HIV-Pharmaceuticals'!$N$14:$N$99,MATCH($E10&amp;$F10,'HIV-Pharmaceuticals'!$E$14:$E$99&amp;'HIV-Pharmaceuticals'!$I$14:$I$99,0)),0)</f>
        <v>0</v>
      </c>
      <c r="J10" s="651">
        <f t="array" ref="J10">IFERROR(INDEX('HIV-Pharmaceuticals'!$O$14:$O$99,MATCH($E10&amp;$F10,'HIV-Pharmaceuticals'!$E$14:$E$99&amp;'HIV-Pharmaceuticals'!$I$14:$I$99,0)),0)</f>
        <v>0</v>
      </c>
      <c r="K10" s="652">
        <f t="shared" si="0"/>
        <v>0</v>
      </c>
      <c r="L10" s="652">
        <f t="shared" si="1"/>
        <v>0</v>
      </c>
      <c r="M10" s="652">
        <f t="shared" si="2"/>
        <v>0</v>
      </c>
      <c r="N10" s="651">
        <f t="array" ref="N10">IFERROR(INDEX('HIV-Pharmaceuticals'!$P$14:$P$99,MATCH($E10&amp;$F10,'HIV-Pharmaceuticals'!$E$14:$E$99&amp;'HIV-Pharmaceuticals'!$I$14:$I$99,0)),0)</f>
        <v>0</v>
      </c>
      <c r="O10" s="652">
        <f t="shared" si="3"/>
        <v>0</v>
      </c>
      <c r="P10" s="652">
        <f t="shared" si="4"/>
        <v>0</v>
      </c>
      <c r="Q10" s="652">
        <f t="shared" si="5"/>
        <v>0</v>
      </c>
      <c r="R10" s="651">
        <f t="array" ref="R10">IFERROR(INDEX('HIV-Pharmaceuticals'!$Q$14:$Q$99,MATCH($E10&amp;$F10,'HIV-Pharmaceuticals'!$E$14:$E$99&amp;'HIV-Pharmaceuticals'!$I$14:$I$99,0)),0)</f>
        <v>0</v>
      </c>
      <c r="S10" s="652">
        <f t="shared" si="6"/>
        <v>0</v>
      </c>
      <c r="T10" s="652">
        <f t="shared" si="7"/>
        <v>0</v>
      </c>
      <c r="U10" s="652">
        <f t="shared" si="8"/>
        <v>0</v>
      </c>
      <c r="V10" s="651">
        <f t="array" ref="V10">IFERROR(INDEX('HIV-Pharmaceuticals'!$R$14:$R$99,MATCH($E10&amp;$F10,'HIV-Pharmaceuticals'!$E$14:$E$99&amp;'HIV-Pharmaceuticals'!$I$14:$I$99,0)),0)</f>
        <v>0</v>
      </c>
      <c r="W10" s="652">
        <f t="shared" si="9"/>
        <v>0</v>
      </c>
      <c r="X10" s="652">
        <f t="shared" si="10"/>
        <v>0</v>
      </c>
      <c r="Y10" s="652">
        <f t="shared" si="11"/>
        <v>0</v>
      </c>
      <c r="Z10" s="653"/>
      <c r="AA10" s="651">
        <f t="array" ref="AA10">IFERROR(INDEX('HIV-Pharmaceuticals'!$U$14:$U$99,MATCH($E10&amp;$F10,'HIV-Pharmaceuticals'!$E$14:$E$99&amp;'HIV-Pharmaceuticals'!$I$14:$I$99,0)),0)</f>
        <v>0</v>
      </c>
      <c r="AB10" s="651">
        <f t="array" ref="AB10">IFERROR(INDEX('HIV-Pharmaceuticals'!$V$14:$V$99,MATCH($E10&amp;$F10,'HIV-Pharmaceuticals'!$E$14:$E$99&amp;'HIV-Pharmaceuticals'!$I$14:$I$99,0)),0)</f>
        <v>0</v>
      </c>
      <c r="AC10" s="652">
        <f t="shared" si="12"/>
        <v>0</v>
      </c>
      <c r="AD10" s="652">
        <f t="shared" si="13"/>
        <v>0</v>
      </c>
      <c r="AE10" s="652">
        <f t="shared" si="14"/>
        <v>0</v>
      </c>
      <c r="AF10" s="651">
        <f t="array" ref="AF10">IFERROR(INDEX('HIV-Pharmaceuticals'!$W$14:$W$99,MATCH($E10&amp;$F10,'HIV-Pharmaceuticals'!$E$14:$E$99&amp;'HIV-Pharmaceuticals'!$I$14:$I$99,0)),0)</f>
        <v>0</v>
      </c>
      <c r="AG10" s="652">
        <f t="shared" si="15"/>
        <v>0</v>
      </c>
      <c r="AH10" s="652">
        <f t="shared" si="16"/>
        <v>0</v>
      </c>
      <c r="AI10" s="652">
        <f t="shared" si="17"/>
        <v>0</v>
      </c>
      <c r="AJ10" s="651">
        <f t="array" ref="AJ10">IFERROR(INDEX('HIV-Pharmaceuticals'!$X$14:$X$99,MATCH($E10&amp;$F10,'HIV-Pharmaceuticals'!$E$14:$E$99&amp;'HIV-Pharmaceuticals'!$I$14:$I$99,0)),0)</f>
        <v>0</v>
      </c>
      <c r="AK10" s="652">
        <f t="shared" si="18"/>
        <v>0</v>
      </c>
      <c r="AL10" s="652">
        <f t="shared" si="19"/>
        <v>0</v>
      </c>
      <c r="AM10" s="652">
        <f t="shared" si="20"/>
        <v>0</v>
      </c>
      <c r="AN10" s="651">
        <f t="array" ref="AN10">IFERROR(INDEX('HIV-Pharmaceuticals'!$Y$14:$Y$99,MATCH($E10&amp;$F10,'HIV-Pharmaceuticals'!$E$14:$E$99&amp;'HIV-Pharmaceuticals'!$I$14:$I$99,0)),0)</f>
        <v>0</v>
      </c>
      <c r="AO10" s="652">
        <f t="shared" si="21"/>
        <v>0</v>
      </c>
      <c r="AP10" s="652">
        <f t="shared" si="22"/>
        <v>0</v>
      </c>
      <c r="AQ10" s="652">
        <f t="shared" si="23"/>
        <v>0</v>
      </c>
      <c r="AR10" s="653"/>
      <c r="AS10" s="651">
        <f t="array" ref="AS10">IFERROR(INDEX('HIV-Pharmaceuticals'!$AB$14:$AB$99,MATCH($E10&amp;$F10,'HIV-Pharmaceuticals'!$E$14:$E$99&amp;'HIV-Pharmaceuticals'!$I$14:$I$99,0)),0)</f>
        <v>0</v>
      </c>
      <c r="AT10" s="651">
        <f t="array" ref="AT10">IFERROR(INDEX('HIV-Pharmaceuticals'!$AC$14:$AC$99,MATCH($E10&amp;$F10,'HIV-Pharmaceuticals'!$E$14:$E$99&amp;'HIV-Pharmaceuticals'!$I$14:$I$99,0)),0)</f>
        <v>0</v>
      </c>
      <c r="AU10" s="652">
        <f t="shared" si="24"/>
        <v>0</v>
      </c>
      <c r="AV10" s="652">
        <f t="shared" si="25"/>
        <v>0</v>
      </c>
      <c r="AW10" s="652">
        <f t="shared" si="26"/>
        <v>0</v>
      </c>
      <c r="AX10" s="651">
        <f t="array" ref="AX10">IFERROR(INDEX('HIV-Pharmaceuticals'!$AD$14:$AD$99,MATCH($E10&amp;$F10,'HIV-Pharmaceuticals'!$E$14:$E$99&amp;'HIV-Pharmaceuticals'!$I$14:$I$99,0)),0)</f>
        <v>0</v>
      </c>
      <c r="AY10" s="652">
        <f t="shared" si="27"/>
        <v>0</v>
      </c>
      <c r="AZ10" s="652">
        <f t="shared" si="28"/>
        <v>0</v>
      </c>
      <c r="BA10" s="652">
        <f t="shared" si="29"/>
        <v>0</v>
      </c>
      <c r="BB10" s="651">
        <f t="array" ref="BB10">IFERROR(INDEX('HIV-Pharmaceuticals'!$AE$14:$AE$99,MATCH($E10&amp;$F10,'HIV-Pharmaceuticals'!$E$14:$E$99&amp;'HIV-Pharmaceuticals'!$I$14:$I$99,0)),0)</f>
        <v>0</v>
      </c>
      <c r="BC10" s="652">
        <f t="shared" si="30"/>
        <v>0</v>
      </c>
      <c r="BD10" s="652">
        <f t="shared" si="31"/>
        <v>0</v>
      </c>
      <c r="BE10" s="652">
        <f t="shared" si="32"/>
        <v>0</v>
      </c>
      <c r="BF10" s="651">
        <f t="array" ref="BF10">IFERROR(INDEX('HIV-Pharmaceuticals'!$AF$14:$AF$99,MATCH($E10&amp;$F10,'HIV-Pharmaceuticals'!$E$14:$E$99&amp;'HIV-Pharmaceuticals'!$I$14:$I$99,0)),0)</f>
        <v>0</v>
      </c>
      <c r="BG10" s="652">
        <f t="shared" si="33"/>
        <v>0</v>
      </c>
      <c r="BH10" s="652">
        <f t="shared" si="34"/>
        <v>0</v>
      </c>
      <c r="BI10" s="652">
        <f t="shared" si="35"/>
        <v>0</v>
      </c>
      <c r="BK10" s="654"/>
      <c r="BL10" s="654"/>
      <c r="BM10" s="654"/>
      <c r="BN10" s="654"/>
      <c r="BO10" s="654"/>
      <c r="BP10" s="654"/>
      <c r="BQ10" s="654"/>
      <c r="BR10" s="654"/>
    </row>
    <row r="11" spans="1:70" s="646" customFormat="1">
      <c r="A11" s="647" t="s">
        <v>561</v>
      </c>
      <c r="B11" s="647" t="s">
        <v>819</v>
      </c>
      <c r="C11" s="648">
        <f>SETUP!$F$20</f>
        <v>0</v>
      </c>
      <c r="D11" s="649">
        <v>4.0999999999999996</v>
      </c>
      <c r="E11" s="647" t="s">
        <v>111</v>
      </c>
      <c r="F11" s="647" t="s">
        <v>1597</v>
      </c>
      <c r="G11" s="650" t="str">
        <f t="array" ref="G11">IFERROR(INDEX('HIV-Pharmaceuticals'!$L$14:$L$99,MATCH($E11&amp;$F11,'HIV-Pharmaceuticals'!$E$14:$E$99&amp;'HIV-Pharmaceuticals'!$I$14:$I$99,0)),"")</f>
        <v/>
      </c>
      <c r="H11" s="650" t="str">
        <f t="array" ref="H11">IFERROR(INDEX('HIV-Pharmaceuticals'!$M$14:$M$99,MATCH($E11&amp;$F11,'HIV-Pharmaceuticals'!$E$14:$E$99&amp;'HIV-Pharmaceuticals'!$I$14:$I$99,0)),"")</f>
        <v/>
      </c>
      <c r="I11" s="651">
        <f t="array" ref="I11">IFERROR(INDEX('HIV-Pharmaceuticals'!$N$14:$N$99,MATCH($E11&amp;$F11,'HIV-Pharmaceuticals'!$E$14:$E$99&amp;'HIV-Pharmaceuticals'!$I$14:$I$99,0)),0)</f>
        <v>0</v>
      </c>
      <c r="J11" s="651">
        <f t="array" ref="J11">IFERROR(INDEX('HIV-Pharmaceuticals'!$O$14:$O$99,MATCH($E11&amp;$F11,'HIV-Pharmaceuticals'!$E$14:$E$99&amp;'HIV-Pharmaceuticals'!$I$14:$I$99,0)),0)</f>
        <v>0</v>
      </c>
      <c r="K11" s="652">
        <f t="shared" si="0"/>
        <v>0</v>
      </c>
      <c r="L11" s="652">
        <f t="shared" si="1"/>
        <v>0</v>
      </c>
      <c r="M11" s="652">
        <f t="shared" si="2"/>
        <v>0</v>
      </c>
      <c r="N11" s="651">
        <f t="array" ref="N11">IFERROR(INDEX('HIV-Pharmaceuticals'!$P$14:$P$99,MATCH($E11&amp;$F11,'HIV-Pharmaceuticals'!$E$14:$E$99&amp;'HIV-Pharmaceuticals'!$I$14:$I$99,0)),0)</f>
        <v>0</v>
      </c>
      <c r="O11" s="652">
        <f t="shared" si="3"/>
        <v>0</v>
      </c>
      <c r="P11" s="652">
        <f t="shared" si="4"/>
        <v>0</v>
      </c>
      <c r="Q11" s="652">
        <f t="shared" si="5"/>
        <v>0</v>
      </c>
      <c r="R11" s="651">
        <f t="array" ref="R11">IFERROR(INDEX('HIV-Pharmaceuticals'!$Q$14:$Q$99,MATCH($E11&amp;$F11,'HIV-Pharmaceuticals'!$E$14:$E$99&amp;'HIV-Pharmaceuticals'!$I$14:$I$99,0)),0)</f>
        <v>0</v>
      </c>
      <c r="S11" s="652">
        <f t="shared" si="6"/>
        <v>0</v>
      </c>
      <c r="T11" s="652">
        <f t="shared" si="7"/>
        <v>0</v>
      </c>
      <c r="U11" s="652">
        <f t="shared" si="8"/>
        <v>0</v>
      </c>
      <c r="V11" s="651">
        <f t="array" ref="V11">IFERROR(INDEX('HIV-Pharmaceuticals'!$R$14:$R$99,MATCH($E11&amp;$F11,'HIV-Pharmaceuticals'!$E$14:$E$99&amp;'HIV-Pharmaceuticals'!$I$14:$I$99,0)),0)</f>
        <v>0</v>
      </c>
      <c r="W11" s="652">
        <f t="shared" si="9"/>
        <v>0</v>
      </c>
      <c r="X11" s="652">
        <f t="shared" si="10"/>
        <v>0</v>
      </c>
      <c r="Y11" s="652">
        <f t="shared" si="11"/>
        <v>0</v>
      </c>
      <c r="Z11" s="653"/>
      <c r="AA11" s="651">
        <f t="array" ref="AA11">IFERROR(INDEX('HIV-Pharmaceuticals'!$U$14:$U$99,MATCH($E11&amp;$F11,'HIV-Pharmaceuticals'!$E$14:$E$99&amp;'HIV-Pharmaceuticals'!$I$14:$I$99,0)),0)</f>
        <v>0</v>
      </c>
      <c r="AB11" s="651">
        <f t="array" ref="AB11">IFERROR(INDEX('HIV-Pharmaceuticals'!$V$14:$V$99,MATCH($E11&amp;$F11,'HIV-Pharmaceuticals'!$E$14:$E$99&amp;'HIV-Pharmaceuticals'!$I$14:$I$99,0)),0)</f>
        <v>0</v>
      </c>
      <c r="AC11" s="652">
        <f t="shared" si="12"/>
        <v>0</v>
      </c>
      <c r="AD11" s="652">
        <f t="shared" si="13"/>
        <v>0</v>
      </c>
      <c r="AE11" s="652">
        <f t="shared" si="14"/>
        <v>0</v>
      </c>
      <c r="AF11" s="651">
        <f t="array" ref="AF11">IFERROR(INDEX('HIV-Pharmaceuticals'!$W$14:$W$99,MATCH($E11&amp;$F11,'HIV-Pharmaceuticals'!$E$14:$E$99&amp;'HIV-Pharmaceuticals'!$I$14:$I$99,0)),0)</f>
        <v>0</v>
      </c>
      <c r="AG11" s="652">
        <f t="shared" si="15"/>
        <v>0</v>
      </c>
      <c r="AH11" s="652">
        <f t="shared" si="16"/>
        <v>0</v>
      </c>
      <c r="AI11" s="652">
        <f t="shared" si="17"/>
        <v>0</v>
      </c>
      <c r="AJ11" s="651">
        <f t="array" ref="AJ11">IFERROR(INDEX('HIV-Pharmaceuticals'!$X$14:$X$99,MATCH($E11&amp;$F11,'HIV-Pharmaceuticals'!$E$14:$E$99&amp;'HIV-Pharmaceuticals'!$I$14:$I$99,0)),0)</f>
        <v>0</v>
      </c>
      <c r="AK11" s="652">
        <f t="shared" si="18"/>
        <v>0</v>
      </c>
      <c r="AL11" s="652">
        <f t="shared" si="19"/>
        <v>0</v>
      </c>
      <c r="AM11" s="652">
        <f t="shared" si="20"/>
        <v>0</v>
      </c>
      <c r="AN11" s="651">
        <f t="array" ref="AN11">IFERROR(INDEX('HIV-Pharmaceuticals'!$Y$14:$Y$99,MATCH($E11&amp;$F11,'HIV-Pharmaceuticals'!$E$14:$E$99&amp;'HIV-Pharmaceuticals'!$I$14:$I$99,0)),0)</f>
        <v>0</v>
      </c>
      <c r="AO11" s="652">
        <f t="shared" si="21"/>
        <v>0</v>
      </c>
      <c r="AP11" s="652">
        <f t="shared" si="22"/>
        <v>0</v>
      </c>
      <c r="AQ11" s="652">
        <f t="shared" si="23"/>
        <v>0</v>
      </c>
      <c r="AR11" s="653"/>
      <c r="AS11" s="651">
        <f t="array" ref="AS11">IFERROR(INDEX('HIV-Pharmaceuticals'!$AB$14:$AB$99,MATCH($E11&amp;$F11,'HIV-Pharmaceuticals'!$E$14:$E$99&amp;'HIV-Pharmaceuticals'!$I$14:$I$99,0)),0)</f>
        <v>0</v>
      </c>
      <c r="AT11" s="651">
        <f t="array" ref="AT11">IFERROR(INDEX('HIV-Pharmaceuticals'!$AC$14:$AC$99,MATCH($E11&amp;$F11,'HIV-Pharmaceuticals'!$E$14:$E$99&amp;'HIV-Pharmaceuticals'!$I$14:$I$99,0)),0)</f>
        <v>0</v>
      </c>
      <c r="AU11" s="652">
        <f t="shared" si="24"/>
        <v>0</v>
      </c>
      <c r="AV11" s="652">
        <f t="shared" si="25"/>
        <v>0</v>
      </c>
      <c r="AW11" s="652">
        <f t="shared" si="26"/>
        <v>0</v>
      </c>
      <c r="AX11" s="651">
        <f t="array" ref="AX11">IFERROR(INDEX('HIV-Pharmaceuticals'!$AD$14:$AD$99,MATCH($E11&amp;$F11,'HIV-Pharmaceuticals'!$E$14:$E$99&amp;'HIV-Pharmaceuticals'!$I$14:$I$99,0)),0)</f>
        <v>0</v>
      </c>
      <c r="AY11" s="652">
        <f t="shared" si="27"/>
        <v>0</v>
      </c>
      <c r="AZ11" s="652">
        <f t="shared" si="28"/>
        <v>0</v>
      </c>
      <c r="BA11" s="652">
        <f t="shared" si="29"/>
        <v>0</v>
      </c>
      <c r="BB11" s="651">
        <f t="array" ref="BB11">IFERROR(INDEX('HIV-Pharmaceuticals'!$AE$14:$AE$99,MATCH($E11&amp;$F11,'HIV-Pharmaceuticals'!$E$14:$E$99&amp;'HIV-Pharmaceuticals'!$I$14:$I$99,0)),0)</f>
        <v>0</v>
      </c>
      <c r="BC11" s="652">
        <f t="shared" si="30"/>
        <v>0</v>
      </c>
      <c r="BD11" s="652">
        <f t="shared" si="31"/>
        <v>0</v>
      </c>
      <c r="BE11" s="652">
        <f t="shared" si="32"/>
        <v>0</v>
      </c>
      <c r="BF11" s="651">
        <f t="array" ref="BF11">IFERROR(INDEX('HIV-Pharmaceuticals'!$AF$14:$AF$99,MATCH($E11&amp;$F11,'HIV-Pharmaceuticals'!$E$14:$E$99&amp;'HIV-Pharmaceuticals'!$I$14:$I$99,0)),0)</f>
        <v>0</v>
      </c>
      <c r="BG11" s="652">
        <f t="shared" si="33"/>
        <v>0</v>
      </c>
      <c r="BH11" s="652">
        <f t="shared" si="34"/>
        <v>0</v>
      </c>
      <c r="BI11" s="652">
        <f t="shared" si="35"/>
        <v>0</v>
      </c>
      <c r="BK11" s="654"/>
      <c r="BL11" s="654"/>
      <c r="BM11" s="654"/>
      <c r="BN11" s="654"/>
      <c r="BO11" s="654"/>
      <c r="BP11" s="654"/>
      <c r="BQ11" s="654"/>
      <c r="BR11" s="654"/>
    </row>
    <row r="12" spans="1:70" s="646" customFormat="1">
      <c r="A12" s="647" t="s">
        <v>561</v>
      </c>
      <c r="B12" s="647" t="s">
        <v>819</v>
      </c>
      <c r="C12" s="648">
        <f>SETUP!$F$20</f>
        <v>0</v>
      </c>
      <c r="D12" s="649">
        <v>4.0999999999999996</v>
      </c>
      <c r="E12" s="647" t="s">
        <v>112</v>
      </c>
      <c r="F12" s="647" t="s">
        <v>1598</v>
      </c>
      <c r="G12" s="650" t="str">
        <f t="array" ref="G12">IFERROR(INDEX('HIV-Pharmaceuticals'!$L$14:$L$99,MATCH($E12&amp;$F12,'HIV-Pharmaceuticals'!$E$14:$E$99&amp;'HIV-Pharmaceuticals'!$I$14:$I$99,0)),"")</f>
        <v/>
      </c>
      <c r="H12" s="650" t="str">
        <f t="array" ref="H12">IFERROR(INDEX('HIV-Pharmaceuticals'!$M$14:$M$99,MATCH($E12&amp;$F12,'HIV-Pharmaceuticals'!$E$14:$E$99&amp;'HIV-Pharmaceuticals'!$I$14:$I$99,0)),"")</f>
        <v/>
      </c>
      <c r="I12" s="651">
        <f t="array" ref="I12">IFERROR(INDEX('HIV-Pharmaceuticals'!$N$14:$N$99,MATCH($E12&amp;$F12,'HIV-Pharmaceuticals'!$E$14:$E$99&amp;'HIV-Pharmaceuticals'!$I$14:$I$99,0)),0)</f>
        <v>0</v>
      </c>
      <c r="J12" s="651">
        <f t="array" ref="J12">IFERROR(INDEX('HIV-Pharmaceuticals'!$O$14:$O$99,MATCH($E12&amp;$F12,'HIV-Pharmaceuticals'!$E$14:$E$99&amp;'HIV-Pharmaceuticals'!$I$14:$I$99,0)),0)</f>
        <v>0</v>
      </c>
      <c r="K12" s="652">
        <f t="shared" si="0"/>
        <v>0</v>
      </c>
      <c r="L12" s="652">
        <f t="shared" si="1"/>
        <v>0</v>
      </c>
      <c r="M12" s="652">
        <f t="shared" si="2"/>
        <v>0</v>
      </c>
      <c r="N12" s="651">
        <f t="array" ref="N12">IFERROR(INDEX('HIV-Pharmaceuticals'!$P$14:$P$99,MATCH($E12&amp;$F12,'HIV-Pharmaceuticals'!$E$14:$E$99&amp;'HIV-Pharmaceuticals'!$I$14:$I$99,0)),0)</f>
        <v>0</v>
      </c>
      <c r="O12" s="652">
        <f t="shared" si="3"/>
        <v>0</v>
      </c>
      <c r="P12" s="652">
        <f t="shared" si="4"/>
        <v>0</v>
      </c>
      <c r="Q12" s="652">
        <f t="shared" si="5"/>
        <v>0</v>
      </c>
      <c r="R12" s="651">
        <f t="array" ref="R12">IFERROR(INDEX('HIV-Pharmaceuticals'!$Q$14:$Q$99,MATCH($E12&amp;$F12,'HIV-Pharmaceuticals'!$E$14:$E$99&amp;'HIV-Pharmaceuticals'!$I$14:$I$99,0)),0)</f>
        <v>0</v>
      </c>
      <c r="S12" s="652">
        <f t="shared" si="6"/>
        <v>0</v>
      </c>
      <c r="T12" s="652">
        <f t="shared" si="7"/>
        <v>0</v>
      </c>
      <c r="U12" s="652">
        <f t="shared" si="8"/>
        <v>0</v>
      </c>
      <c r="V12" s="651">
        <f t="array" ref="V12">IFERROR(INDEX('HIV-Pharmaceuticals'!$R$14:$R$99,MATCH($E12&amp;$F12,'HIV-Pharmaceuticals'!$E$14:$E$99&amp;'HIV-Pharmaceuticals'!$I$14:$I$99,0)),0)</f>
        <v>0</v>
      </c>
      <c r="W12" s="652">
        <f t="shared" si="9"/>
        <v>0</v>
      </c>
      <c r="X12" s="652">
        <f t="shared" si="10"/>
        <v>0</v>
      </c>
      <c r="Y12" s="652">
        <f t="shared" si="11"/>
        <v>0</v>
      </c>
      <c r="Z12" s="653"/>
      <c r="AA12" s="651">
        <f t="array" ref="AA12">IFERROR(INDEX('HIV-Pharmaceuticals'!$U$14:$U$99,MATCH($E12&amp;$F12,'HIV-Pharmaceuticals'!$E$14:$E$99&amp;'HIV-Pharmaceuticals'!$I$14:$I$99,0)),0)</f>
        <v>0</v>
      </c>
      <c r="AB12" s="651">
        <f t="array" ref="AB12">IFERROR(INDEX('HIV-Pharmaceuticals'!$V$14:$V$99,MATCH($E12&amp;$F12,'HIV-Pharmaceuticals'!$E$14:$E$99&amp;'HIV-Pharmaceuticals'!$I$14:$I$99,0)),0)</f>
        <v>0</v>
      </c>
      <c r="AC12" s="652">
        <f t="shared" si="12"/>
        <v>0</v>
      </c>
      <c r="AD12" s="652">
        <f t="shared" si="13"/>
        <v>0</v>
      </c>
      <c r="AE12" s="652">
        <f t="shared" si="14"/>
        <v>0</v>
      </c>
      <c r="AF12" s="651">
        <f t="array" ref="AF12">IFERROR(INDEX('HIV-Pharmaceuticals'!$W$14:$W$99,MATCH($E12&amp;$F12,'HIV-Pharmaceuticals'!$E$14:$E$99&amp;'HIV-Pharmaceuticals'!$I$14:$I$99,0)),0)</f>
        <v>0</v>
      </c>
      <c r="AG12" s="652">
        <f t="shared" si="15"/>
        <v>0</v>
      </c>
      <c r="AH12" s="652">
        <f t="shared" si="16"/>
        <v>0</v>
      </c>
      <c r="AI12" s="652">
        <f t="shared" si="17"/>
        <v>0</v>
      </c>
      <c r="AJ12" s="651">
        <f t="array" ref="AJ12">IFERROR(INDEX('HIV-Pharmaceuticals'!$X$14:$X$99,MATCH($E12&amp;$F12,'HIV-Pharmaceuticals'!$E$14:$E$99&amp;'HIV-Pharmaceuticals'!$I$14:$I$99,0)),0)</f>
        <v>0</v>
      </c>
      <c r="AK12" s="652">
        <f t="shared" si="18"/>
        <v>0</v>
      </c>
      <c r="AL12" s="652">
        <f t="shared" si="19"/>
        <v>0</v>
      </c>
      <c r="AM12" s="652">
        <f t="shared" si="20"/>
        <v>0</v>
      </c>
      <c r="AN12" s="651">
        <f t="array" ref="AN12">IFERROR(INDEX('HIV-Pharmaceuticals'!$Y$14:$Y$99,MATCH($E12&amp;$F12,'HIV-Pharmaceuticals'!$E$14:$E$99&amp;'HIV-Pharmaceuticals'!$I$14:$I$99,0)),0)</f>
        <v>0</v>
      </c>
      <c r="AO12" s="652">
        <f t="shared" si="21"/>
        <v>0</v>
      </c>
      <c r="AP12" s="652">
        <f t="shared" si="22"/>
        <v>0</v>
      </c>
      <c r="AQ12" s="652">
        <f t="shared" si="23"/>
        <v>0</v>
      </c>
      <c r="AR12" s="653"/>
      <c r="AS12" s="651">
        <f t="array" ref="AS12">IFERROR(INDEX('HIV-Pharmaceuticals'!$AB$14:$AB$99,MATCH($E12&amp;$F12,'HIV-Pharmaceuticals'!$E$14:$E$99&amp;'HIV-Pharmaceuticals'!$I$14:$I$99,0)),0)</f>
        <v>0</v>
      </c>
      <c r="AT12" s="651">
        <f t="array" ref="AT12">IFERROR(INDEX('HIV-Pharmaceuticals'!$AC$14:$AC$99,MATCH($E12&amp;$F12,'HIV-Pharmaceuticals'!$E$14:$E$99&amp;'HIV-Pharmaceuticals'!$I$14:$I$99,0)),0)</f>
        <v>0</v>
      </c>
      <c r="AU12" s="652">
        <f t="shared" si="24"/>
        <v>0</v>
      </c>
      <c r="AV12" s="652">
        <f t="shared" si="25"/>
        <v>0</v>
      </c>
      <c r="AW12" s="652">
        <f t="shared" si="26"/>
        <v>0</v>
      </c>
      <c r="AX12" s="651">
        <f t="array" ref="AX12">IFERROR(INDEX('HIV-Pharmaceuticals'!$AD$14:$AD$99,MATCH($E12&amp;$F12,'HIV-Pharmaceuticals'!$E$14:$E$99&amp;'HIV-Pharmaceuticals'!$I$14:$I$99,0)),0)</f>
        <v>0</v>
      </c>
      <c r="AY12" s="652">
        <f t="shared" si="27"/>
        <v>0</v>
      </c>
      <c r="AZ12" s="652">
        <f t="shared" si="28"/>
        <v>0</v>
      </c>
      <c r="BA12" s="652">
        <f t="shared" si="29"/>
        <v>0</v>
      </c>
      <c r="BB12" s="651">
        <f t="array" ref="BB12">IFERROR(INDEX('HIV-Pharmaceuticals'!$AE$14:$AE$99,MATCH($E12&amp;$F12,'HIV-Pharmaceuticals'!$E$14:$E$99&amp;'HIV-Pharmaceuticals'!$I$14:$I$99,0)),0)</f>
        <v>0</v>
      </c>
      <c r="BC12" s="652">
        <f t="shared" si="30"/>
        <v>0</v>
      </c>
      <c r="BD12" s="652">
        <f t="shared" si="31"/>
        <v>0</v>
      </c>
      <c r="BE12" s="652">
        <f t="shared" si="32"/>
        <v>0</v>
      </c>
      <c r="BF12" s="651">
        <f t="array" ref="BF12">IFERROR(INDEX('HIV-Pharmaceuticals'!$AF$14:$AF$99,MATCH($E12&amp;$F12,'HIV-Pharmaceuticals'!$E$14:$E$99&amp;'HIV-Pharmaceuticals'!$I$14:$I$99,0)),0)</f>
        <v>0</v>
      </c>
      <c r="BG12" s="652">
        <f t="shared" si="33"/>
        <v>0</v>
      </c>
      <c r="BH12" s="652">
        <f t="shared" si="34"/>
        <v>0</v>
      </c>
      <c r="BI12" s="652">
        <f t="shared" si="35"/>
        <v>0</v>
      </c>
      <c r="BK12" s="654"/>
      <c r="BL12" s="654"/>
      <c r="BM12" s="654"/>
      <c r="BN12" s="654"/>
      <c r="BO12" s="654"/>
      <c r="BP12" s="654"/>
      <c r="BQ12" s="654"/>
      <c r="BR12" s="654"/>
    </row>
    <row r="13" spans="1:70" s="646" customFormat="1">
      <c r="A13" s="647" t="s">
        <v>561</v>
      </c>
      <c r="B13" s="647" t="s">
        <v>819</v>
      </c>
      <c r="C13" s="648">
        <f>SETUP!$F$20</f>
        <v>0</v>
      </c>
      <c r="D13" s="649">
        <v>4.0999999999999996</v>
      </c>
      <c r="E13" s="647" t="s">
        <v>112</v>
      </c>
      <c r="F13" s="647" t="s">
        <v>1599</v>
      </c>
      <c r="G13" s="650" t="str">
        <f t="array" ref="G13">IFERROR(INDEX('HIV-Pharmaceuticals'!$L$14:$L$99,MATCH($E13&amp;$F13,'HIV-Pharmaceuticals'!$E$14:$E$99&amp;'HIV-Pharmaceuticals'!$I$14:$I$99,0)),"")</f>
        <v/>
      </c>
      <c r="H13" s="650" t="str">
        <f t="array" ref="H13">IFERROR(INDEX('HIV-Pharmaceuticals'!$M$14:$M$99,MATCH($E13&amp;$F13,'HIV-Pharmaceuticals'!$E$14:$E$99&amp;'HIV-Pharmaceuticals'!$I$14:$I$99,0)),"")</f>
        <v/>
      </c>
      <c r="I13" s="651">
        <f t="array" ref="I13">IFERROR(INDEX('HIV-Pharmaceuticals'!$N$14:$N$99,MATCH($E13&amp;$F13,'HIV-Pharmaceuticals'!$E$14:$E$99&amp;'HIV-Pharmaceuticals'!$I$14:$I$99,0)),0)</f>
        <v>0</v>
      </c>
      <c r="J13" s="651">
        <f t="array" ref="J13">IFERROR(INDEX('HIV-Pharmaceuticals'!$O$14:$O$99,MATCH($E13&amp;$F13,'HIV-Pharmaceuticals'!$E$14:$E$99&amp;'HIV-Pharmaceuticals'!$I$14:$I$99,0)),0)</f>
        <v>0</v>
      </c>
      <c r="K13" s="652">
        <f t="shared" si="0"/>
        <v>0</v>
      </c>
      <c r="L13" s="652">
        <f t="shared" si="1"/>
        <v>0</v>
      </c>
      <c r="M13" s="652">
        <f t="shared" si="2"/>
        <v>0</v>
      </c>
      <c r="N13" s="651">
        <f t="array" ref="N13">IFERROR(INDEX('HIV-Pharmaceuticals'!$P$14:$P$99,MATCH($E13&amp;$F13,'HIV-Pharmaceuticals'!$E$14:$E$99&amp;'HIV-Pharmaceuticals'!$I$14:$I$99,0)),0)</f>
        <v>0</v>
      </c>
      <c r="O13" s="652">
        <f t="shared" si="3"/>
        <v>0</v>
      </c>
      <c r="P13" s="652">
        <f t="shared" si="4"/>
        <v>0</v>
      </c>
      <c r="Q13" s="652">
        <f t="shared" si="5"/>
        <v>0</v>
      </c>
      <c r="R13" s="651">
        <f t="array" ref="R13">IFERROR(INDEX('HIV-Pharmaceuticals'!$Q$14:$Q$99,MATCH($E13&amp;$F13,'HIV-Pharmaceuticals'!$E$14:$E$99&amp;'HIV-Pharmaceuticals'!$I$14:$I$99,0)),0)</f>
        <v>0</v>
      </c>
      <c r="S13" s="652">
        <f t="shared" si="6"/>
        <v>0</v>
      </c>
      <c r="T13" s="652">
        <f t="shared" si="7"/>
        <v>0</v>
      </c>
      <c r="U13" s="652">
        <f t="shared" si="8"/>
        <v>0</v>
      </c>
      <c r="V13" s="651">
        <f t="array" ref="V13">IFERROR(INDEX('HIV-Pharmaceuticals'!$R$14:$R$99,MATCH($E13&amp;$F13,'HIV-Pharmaceuticals'!$E$14:$E$99&amp;'HIV-Pharmaceuticals'!$I$14:$I$99,0)),0)</f>
        <v>0</v>
      </c>
      <c r="W13" s="652">
        <f t="shared" si="9"/>
        <v>0</v>
      </c>
      <c r="X13" s="652">
        <f t="shared" si="10"/>
        <v>0</v>
      </c>
      <c r="Y13" s="652">
        <f t="shared" si="11"/>
        <v>0</v>
      </c>
      <c r="Z13" s="653"/>
      <c r="AA13" s="651">
        <f t="array" ref="AA13">IFERROR(INDEX('HIV-Pharmaceuticals'!$U$14:$U$99,MATCH($E13&amp;$F13,'HIV-Pharmaceuticals'!$E$14:$E$99&amp;'HIV-Pharmaceuticals'!$I$14:$I$99,0)),0)</f>
        <v>0</v>
      </c>
      <c r="AB13" s="651">
        <f t="array" ref="AB13">IFERROR(INDEX('HIV-Pharmaceuticals'!$V$14:$V$99,MATCH($E13&amp;$F13,'HIV-Pharmaceuticals'!$E$14:$E$99&amp;'HIV-Pharmaceuticals'!$I$14:$I$99,0)),0)</f>
        <v>0</v>
      </c>
      <c r="AC13" s="652">
        <f t="shared" si="12"/>
        <v>0</v>
      </c>
      <c r="AD13" s="652">
        <f t="shared" si="13"/>
        <v>0</v>
      </c>
      <c r="AE13" s="652">
        <f t="shared" si="14"/>
        <v>0</v>
      </c>
      <c r="AF13" s="651">
        <f t="array" ref="AF13">IFERROR(INDEX('HIV-Pharmaceuticals'!$W$14:$W$99,MATCH($E13&amp;$F13,'HIV-Pharmaceuticals'!$E$14:$E$99&amp;'HIV-Pharmaceuticals'!$I$14:$I$99,0)),0)</f>
        <v>0</v>
      </c>
      <c r="AG13" s="652">
        <f t="shared" si="15"/>
        <v>0</v>
      </c>
      <c r="AH13" s="652">
        <f t="shared" si="16"/>
        <v>0</v>
      </c>
      <c r="AI13" s="652">
        <f t="shared" si="17"/>
        <v>0</v>
      </c>
      <c r="AJ13" s="651">
        <f t="array" ref="AJ13">IFERROR(INDEX('HIV-Pharmaceuticals'!$X$14:$X$99,MATCH($E13&amp;$F13,'HIV-Pharmaceuticals'!$E$14:$E$99&amp;'HIV-Pharmaceuticals'!$I$14:$I$99,0)),0)</f>
        <v>0</v>
      </c>
      <c r="AK13" s="652">
        <f t="shared" si="18"/>
        <v>0</v>
      </c>
      <c r="AL13" s="652">
        <f t="shared" si="19"/>
        <v>0</v>
      </c>
      <c r="AM13" s="652">
        <f t="shared" si="20"/>
        <v>0</v>
      </c>
      <c r="AN13" s="651">
        <f t="array" ref="AN13">IFERROR(INDEX('HIV-Pharmaceuticals'!$Y$14:$Y$99,MATCH($E13&amp;$F13,'HIV-Pharmaceuticals'!$E$14:$E$99&amp;'HIV-Pharmaceuticals'!$I$14:$I$99,0)),0)</f>
        <v>0</v>
      </c>
      <c r="AO13" s="652">
        <f t="shared" si="21"/>
        <v>0</v>
      </c>
      <c r="AP13" s="652">
        <f t="shared" si="22"/>
        <v>0</v>
      </c>
      <c r="AQ13" s="652">
        <f t="shared" si="23"/>
        <v>0</v>
      </c>
      <c r="AR13" s="653"/>
      <c r="AS13" s="651">
        <f t="array" ref="AS13">IFERROR(INDEX('HIV-Pharmaceuticals'!$AB$14:$AB$99,MATCH($E13&amp;$F13,'HIV-Pharmaceuticals'!$E$14:$E$99&amp;'HIV-Pharmaceuticals'!$I$14:$I$99,0)),0)</f>
        <v>0</v>
      </c>
      <c r="AT13" s="651">
        <f t="array" ref="AT13">IFERROR(INDEX('HIV-Pharmaceuticals'!$AC$14:$AC$99,MATCH($E13&amp;$F13,'HIV-Pharmaceuticals'!$E$14:$E$99&amp;'HIV-Pharmaceuticals'!$I$14:$I$99,0)),0)</f>
        <v>0</v>
      </c>
      <c r="AU13" s="652">
        <f t="shared" si="24"/>
        <v>0</v>
      </c>
      <c r="AV13" s="652">
        <f t="shared" si="25"/>
        <v>0</v>
      </c>
      <c r="AW13" s="652">
        <f t="shared" si="26"/>
        <v>0</v>
      </c>
      <c r="AX13" s="651">
        <f t="array" ref="AX13">IFERROR(INDEX('HIV-Pharmaceuticals'!$AD$14:$AD$99,MATCH($E13&amp;$F13,'HIV-Pharmaceuticals'!$E$14:$E$99&amp;'HIV-Pharmaceuticals'!$I$14:$I$99,0)),0)</f>
        <v>0</v>
      </c>
      <c r="AY13" s="652">
        <f t="shared" si="27"/>
        <v>0</v>
      </c>
      <c r="AZ13" s="652">
        <f t="shared" si="28"/>
        <v>0</v>
      </c>
      <c r="BA13" s="652">
        <f t="shared" si="29"/>
        <v>0</v>
      </c>
      <c r="BB13" s="651">
        <f t="array" ref="BB13">IFERROR(INDEX('HIV-Pharmaceuticals'!$AE$14:$AE$99,MATCH($E13&amp;$F13,'HIV-Pharmaceuticals'!$E$14:$E$99&amp;'HIV-Pharmaceuticals'!$I$14:$I$99,0)),0)</f>
        <v>0</v>
      </c>
      <c r="BC13" s="652">
        <f t="shared" si="30"/>
        <v>0</v>
      </c>
      <c r="BD13" s="652">
        <f t="shared" si="31"/>
        <v>0</v>
      </c>
      <c r="BE13" s="652">
        <f t="shared" si="32"/>
        <v>0</v>
      </c>
      <c r="BF13" s="651">
        <f t="array" ref="BF13">IFERROR(INDEX('HIV-Pharmaceuticals'!$AF$14:$AF$99,MATCH($E13&amp;$F13,'HIV-Pharmaceuticals'!$E$14:$E$99&amp;'HIV-Pharmaceuticals'!$I$14:$I$99,0)),0)</f>
        <v>0</v>
      </c>
      <c r="BG13" s="652">
        <f t="shared" si="33"/>
        <v>0</v>
      </c>
      <c r="BH13" s="652">
        <f t="shared" si="34"/>
        <v>0</v>
      </c>
      <c r="BI13" s="652">
        <f t="shared" si="35"/>
        <v>0</v>
      </c>
      <c r="BK13" s="654"/>
      <c r="BL13" s="654"/>
      <c r="BM13" s="654"/>
      <c r="BN13" s="654"/>
      <c r="BO13" s="654"/>
      <c r="BP13" s="654"/>
      <c r="BQ13" s="654"/>
      <c r="BR13" s="654"/>
    </row>
    <row r="14" spans="1:70" s="646" customFormat="1">
      <c r="A14" s="647" t="s">
        <v>561</v>
      </c>
      <c r="B14" s="647" t="s">
        <v>819</v>
      </c>
      <c r="C14" s="648">
        <f>SETUP!$F$20</f>
        <v>0</v>
      </c>
      <c r="D14" s="649">
        <v>4.0999999999999996</v>
      </c>
      <c r="E14" s="647" t="s">
        <v>112</v>
      </c>
      <c r="F14" s="647" t="s">
        <v>1600</v>
      </c>
      <c r="G14" s="650" t="str">
        <f t="array" ref="G14">IFERROR(INDEX('HIV-Pharmaceuticals'!$L$14:$L$99,MATCH($E14&amp;$F14,'HIV-Pharmaceuticals'!$E$14:$E$99&amp;'HIV-Pharmaceuticals'!$I$14:$I$99,0)),"")</f>
        <v/>
      </c>
      <c r="H14" s="650" t="str">
        <f t="array" ref="H14">IFERROR(INDEX('HIV-Pharmaceuticals'!$M$14:$M$99,MATCH($E14&amp;$F14,'HIV-Pharmaceuticals'!$E$14:$E$99&amp;'HIV-Pharmaceuticals'!$I$14:$I$99,0)),"")</f>
        <v/>
      </c>
      <c r="I14" s="651">
        <f t="array" ref="I14">IFERROR(INDEX('HIV-Pharmaceuticals'!$N$14:$N$99,MATCH($E14&amp;$F14,'HIV-Pharmaceuticals'!$E$14:$E$99&amp;'HIV-Pharmaceuticals'!$I$14:$I$99,0)),0)</f>
        <v>0</v>
      </c>
      <c r="J14" s="651">
        <f t="array" ref="J14">IFERROR(INDEX('HIV-Pharmaceuticals'!$O$14:$O$99,MATCH($E14&amp;$F14,'HIV-Pharmaceuticals'!$E$14:$E$99&amp;'HIV-Pharmaceuticals'!$I$14:$I$99,0)),0)</f>
        <v>0</v>
      </c>
      <c r="K14" s="652">
        <f t="shared" si="0"/>
        <v>0</v>
      </c>
      <c r="L14" s="652">
        <f t="shared" si="1"/>
        <v>0</v>
      </c>
      <c r="M14" s="652">
        <f t="shared" si="2"/>
        <v>0</v>
      </c>
      <c r="N14" s="651">
        <f t="array" ref="N14">IFERROR(INDEX('HIV-Pharmaceuticals'!$P$14:$P$99,MATCH($E14&amp;$F14,'HIV-Pharmaceuticals'!$E$14:$E$99&amp;'HIV-Pharmaceuticals'!$I$14:$I$99,0)),0)</f>
        <v>0</v>
      </c>
      <c r="O14" s="652">
        <f t="shared" si="3"/>
        <v>0</v>
      </c>
      <c r="P14" s="652">
        <f t="shared" si="4"/>
        <v>0</v>
      </c>
      <c r="Q14" s="652">
        <f t="shared" si="5"/>
        <v>0</v>
      </c>
      <c r="R14" s="651">
        <f t="array" ref="R14">IFERROR(INDEX('HIV-Pharmaceuticals'!$Q$14:$Q$99,MATCH($E14&amp;$F14,'HIV-Pharmaceuticals'!$E$14:$E$99&amp;'HIV-Pharmaceuticals'!$I$14:$I$99,0)),0)</f>
        <v>0</v>
      </c>
      <c r="S14" s="652">
        <f t="shared" si="6"/>
        <v>0</v>
      </c>
      <c r="T14" s="652">
        <f t="shared" si="7"/>
        <v>0</v>
      </c>
      <c r="U14" s="652">
        <f t="shared" si="8"/>
        <v>0</v>
      </c>
      <c r="V14" s="651">
        <f t="array" ref="V14">IFERROR(INDEX('HIV-Pharmaceuticals'!$R$14:$R$99,MATCH($E14&amp;$F14,'HIV-Pharmaceuticals'!$E$14:$E$99&amp;'HIV-Pharmaceuticals'!$I$14:$I$99,0)),0)</f>
        <v>0</v>
      </c>
      <c r="W14" s="652">
        <f t="shared" si="9"/>
        <v>0</v>
      </c>
      <c r="X14" s="652">
        <f t="shared" si="10"/>
        <v>0</v>
      </c>
      <c r="Y14" s="652">
        <f t="shared" si="11"/>
        <v>0</v>
      </c>
      <c r="Z14" s="653"/>
      <c r="AA14" s="651">
        <f t="array" ref="AA14">IFERROR(INDEX('HIV-Pharmaceuticals'!$U$14:$U$99,MATCH($E14&amp;$F14,'HIV-Pharmaceuticals'!$E$14:$E$99&amp;'HIV-Pharmaceuticals'!$I$14:$I$99,0)),0)</f>
        <v>0</v>
      </c>
      <c r="AB14" s="651">
        <f t="array" ref="AB14">IFERROR(INDEX('HIV-Pharmaceuticals'!$V$14:$V$99,MATCH($E14&amp;$F14,'HIV-Pharmaceuticals'!$E$14:$E$99&amp;'HIV-Pharmaceuticals'!$I$14:$I$99,0)),0)</f>
        <v>0</v>
      </c>
      <c r="AC14" s="652">
        <f t="shared" si="12"/>
        <v>0</v>
      </c>
      <c r="AD14" s="652">
        <f t="shared" si="13"/>
        <v>0</v>
      </c>
      <c r="AE14" s="652">
        <f t="shared" si="14"/>
        <v>0</v>
      </c>
      <c r="AF14" s="651">
        <f t="array" ref="AF14">IFERROR(INDEX('HIV-Pharmaceuticals'!$W$14:$W$99,MATCH($E14&amp;$F14,'HIV-Pharmaceuticals'!$E$14:$E$99&amp;'HIV-Pharmaceuticals'!$I$14:$I$99,0)),0)</f>
        <v>0</v>
      </c>
      <c r="AG14" s="652">
        <f t="shared" si="15"/>
        <v>0</v>
      </c>
      <c r="AH14" s="652">
        <f t="shared" si="16"/>
        <v>0</v>
      </c>
      <c r="AI14" s="652">
        <f t="shared" si="17"/>
        <v>0</v>
      </c>
      <c r="AJ14" s="651">
        <f t="array" ref="AJ14">IFERROR(INDEX('HIV-Pharmaceuticals'!$X$14:$X$99,MATCH($E14&amp;$F14,'HIV-Pharmaceuticals'!$E$14:$E$99&amp;'HIV-Pharmaceuticals'!$I$14:$I$99,0)),0)</f>
        <v>0</v>
      </c>
      <c r="AK14" s="652">
        <f t="shared" si="18"/>
        <v>0</v>
      </c>
      <c r="AL14" s="652">
        <f t="shared" si="19"/>
        <v>0</v>
      </c>
      <c r="AM14" s="652">
        <f t="shared" si="20"/>
        <v>0</v>
      </c>
      <c r="AN14" s="651">
        <f t="array" ref="AN14">IFERROR(INDEX('HIV-Pharmaceuticals'!$Y$14:$Y$99,MATCH($E14&amp;$F14,'HIV-Pharmaceuticals'!$E$14:$E$99&amp;'HIV-Pharmaceuticals'!$I$14:$I$99,0)),0)</f>
        <v>0</v>
      </c>
      <c r="AO14" s="652">
        <f t="shared" si="21"/>
        <v>0</v>
      </c>
      <c r="AP14" s="652">
        <f t="shared" si="22"/>
        <v>0</v>
      </c>
      <c r="AQ14" s="652">
        <f t="shared" si="23"/>
        <v>0</v>
      </c>
      <c r="AR14" s="653"/>
      <c r="AS14" s="651">
        <f t="array" ref="AS14">IFERROR(INDEX('HIV-Pharmaceuticals'!$AB$14:$AB$99,MATCH($E14&amp;$F14,'HIV-Pharmaceuticals'!$E$14:$E$99&amp;'HIV-Pharmaceuticals'!$I$14:$I$99,0)),0)</f>
        <v>0</v>
      </c>
      <c r="AT14" s="651">
        <f t="array" ref="AT14">IFERROR(INDEX('HIV-Pharmaceuticals'!$AC$14:$AC$99,MATCH($E14&amp;$F14,'HIV-Pharmaceuticals'!$E$14:$E$99&amp;'HIV-Pharmaceuticals'!$I$14:$I$99,0)),0)</f>
        <v>0</v>
      </c>
      <c r="AU14" s="652">
        <f t="shared" si="24"/>
        <v>0</v>
      </c>
      <c r="AV14" s="652">
        <f t="shared" si="25"/>
        <v>0</v>
      </c>
      <c r="AW14" s="652">
        <f t="shared" si="26"/>
        <v>0</v>
      </c>
      <c r="AX14" s="651">
        <f t="array" ref="AX14">IFERROR(INDEX('HIV-Pharmaceuticals'!$AD$14:$AD$99,MATCH($E14&amp;$F14,'HIV-Pharmaceuticals'!$E$14:$E$99&amp;'HIV-Pharmaceuticals'!$I$14:$I$99,0)),0)</f>
        <v>0</v>
      </c>
      <c r="AY14" s="652">
        <f t="shared" si="27"/>
        <v>0</v>
      </c>
      <c r="AZ14" s="652">
        <f t="shared" si="28"/>
        <v>0</v>
      </c>
      <c r="BA14" s="652">
        <f t="shared" si="29"/>
        <v>0</v>
      </c>
      <c r="BB14" s="651">
        <f t="array" ref="BB14">IFERROR(INDEX('HIV-Pharmaceuticals'!$AE$14:$AE$99,MATCH($E14&amp;$F14,'HIV-Pharmaceuticals'!$E$14:$E$99&amp;'HIV-Pharmaceuticals'!$I$14:$I$99,0)),0)</f>
        <v>0</v>
      </c>
      <c r="BC14" s="652">
        <f t="shared" si="30"/>
        <v>0</v>
      </c>
      <c r="BD14" s="652">
        <f t="shared" si="31"/>
        <v>0</v>
      </c>
      <c r="BE14" s="652">
        <f t="shared" si="32"/>
        <v>0</v>
      </c>
      <c r="BF14" s="651">
        <f t="array" ref="BF14">IFERROR(INDEX('HIV-Pharmaceuticals'!$AF$14:$AF$99,MATCH($E14&amp;$F14,'HIV-Pharmaceuticals'!$E$14:$E$99&amp;'HIV-Pharmaceuticals'!$I$14:$I$99,0)),0)</f>
        <v>0</v>
      </c>
      <c r="BG14" s="652">
        <f t="shared" si="33"/>
        <v>0</v>
      </c>
      <c r="BH14" s="652">
        <f t="shared" si="34"/>
        <v>0</v>
      </c>
      <c r="BI14" s="652">
        <f t="shared" si="35"/>
        <v>0</v>
      </c>
      <c r="BK14" s="654"/>
      <c r="BL14" s="654"/>
      <c r="BM14" s="654"/>
      <c r="BN14" s="654"/>
      <c r="BO14" s="654"/>
      <c r="BP14" s="654"/>
      <c r="BQ14" s="654"/>
      <c r="BR14" s="654"/>
    </row>
    <row r="15" spans="1:70" s="646" customFormat="1">
      <c r="A15" s="647" t="s">
        <v>561</v>
      </c>
      <c r="B15" s="647" t="s">
        <v>819</v>
      </c>
      <c r="C15" s="648">
        <f>SETUP!$F$20</f>
        <v>0</v>
      </c>
      <c r="D15" s="649">
        <v>4.0999999999999996</v>
      </c>
      <c r="E15" s="647" t="s">
        <v>112</v>
      </c>
      <c r="F15" s="647" t="s">
        <v>1601</v>
      </c>
      <c r="G15" s="650" t="str">
        <f t="array" ref="G15">IFERROR(INDEX('HIV-Pharmaceuticals'!$L$14:$L$99,MATCH($E15&amp;$F15,'HIV-Pharmaceuticals'!$E$14:$E$99&amp;'HIV-Pharmaceuticals'!$I$14:$I$99,0)),"")</f>
        <v/>
      </c>
      <c r="H15" s="650" t="str">
        <f t="array" ref="H15">IFERROR(INDEX('HIV-Pharmaceuticals'!$M$14:$M$99,MATCH($E15&amp;$F15,'HIV-Pharmaceuticals'!$E$14:$E$99&amp;'HIV-Pharmaceuticals'!$I$14:$I$99,0)),"")</f>
        <v/>
      </c>
      <c r="I15" s="651">
        <f t="array" ref="I15">IFERROR(INDEX('HIV-Pharmaceuticals'!$N$14:$N$99,MATCH($E15&amp;$F15,'HIV-Pharmaceuticals'!$E$14:$E$99&amp;'HIV-Pharmaceuticals'!$I$14:$I$99,0)),0)</f>
        <v>0</v>
      </c>
      <c r="J15" s="651">
        <f t="array" ref="J15">IFERROR(INDEX('HIV-Pharmaceuticals'!$O$14:$O$99,MATCH($E15&amp;$F15,'HIV-Pharmaceuticals'!$E$14:$E$99&amp;'HIV-Pharmaceuticals'!$I$14:$I$99,0)),0)</f>
        <v>0</v>
      </c>
      <c r="K15" s="652">
        <f t="shared" si="0"/>
        <v>0</v>
      </c>
      <c r="L15" s="652">
        <f t="shared" si="1"/>
        <v>0</v>
      </c>
      <c r="M15" s="652">
        <f t="shared" si="2"/>
        <v>0</v>
      </c>
      <c r="N15" s="651">
        <f t="array" ref="N15">IFERROR(INDEX('HIV-Pharmaceuticals'!$P$14:$P$99,MATCH($E15&amp;$F15,'HIV-Pharmaceuticals'!$E$14:$E$99&amp;'HIV-Pharmaceuticals'!$I$14:$I$99,0)),0)</f>
        <v>0</v>
      </c>
      <c r="O15" s="652">
        <f t="shared" si="3"/>
        <v>0</v>
      </c>
      <c r="P15" s="652">
        <f t="shared" si="4"/>
        <v>0</v>
      </c>
      <c r="Q15" s="652">
        <f t="shared" si="5"/>
        <v>0</v>
      </c>
      <c r="R15" s="651">
        <f t="array" ref="R15">IFERROR(INDEX('HIV-Pharmaceuticals'!$Q$14:$Q$99,MATCH($E15&amp;$F15,'HIV-Pharmaceuticals'!$E$14:$E$99&amp;'HIV-Pharmaceuticals'!$I$14:$I$99,0)),0)</f>
        <v>0</v>
      </c>
      <c r="S15" s="652">
        <f t="shared" si="6"/>
        <v>0</v>
      </c>
      <c r="T15" s="652">
        <f t="shared" si="7"/>
        <v>0</v>
      </c>
      <c r="U15" s="652">
        <f t="shared" si="8"/>
        <v>0</v>
      </c>
      <c r="V15" s="651">
        <f t="array" ref="V15">IFERROR(INDEX('HIV-Pharmaceuticals'!$R$14:$R$99,MATCH($E15&amp;$F15,'HIV-Pharmaceuticals'!$E$14:$E$99&amp;'HIV-Pharmaceuticals'!$I$14:$I$99,0)),0)</f>
        <v>0</v>
      </c>
      <c r="W15" s="652">
        <f t="shared" si="9"/>
        <v>0</v>
      </c>
      <c r="X15" s="652">
        <f t="shared" si="10"/>
        <v>0</v>
      </c>
      <c r="Y15" s="652">
        <f t="shared" si="11"/>
        <v>0</v>
      </c>
      <c r="Z15" s="653"/>
      <c r="AA15" s="651">
        <f t="array" ref="AA15">IFERROR(INDEX('HIV-Pharmaceuticals'!$U$14:$U$99,MATCH($E15&amp;$F15,'HIV-Pharmaceuticals'!$E$14:$E$99&amp;'HIV-Pharmaceuticals'!$I$14:$I$99,0)),0)</f>
        <v>0</v>
      </c>
      <c r="AB15" s="651">
        <f t="array" ref="AB15">IFERROR(INDEX('HIV-Pharmaceuticals'!$V$14:$V$99,MATCH($E15&amp;$F15,'HIV-Pharmaceuticals'!$E$14:$E$99&amp;'HIV-Pharmaceuticals'!$I$14:$I$99,0)),0)</f>
        <v>0</v>
      </c>
      <c r="AC15" s="652">
        <f t="shared" si="12"/>
        <v>0</v>
      </c>
      <c r="AD15" s="652">
        <f t="shared" si="13"/>
        <v>0</v>
      </c>
      <c r="AE15" s="652">
        <f t="shared" si="14"/>
        <v>0</v>
      </c>
      <c r="AF15" s="651">
        <f t="array" ref="AF15">IFERROR(INDEX('HIV-Pharmaceuticals'!$W$14:$W$99,MATCH($E15&amp;$F15,'HIV-Pharmaceuticals'!$E$14:$E$99&amp;'HIV-Pharmaceuticals'!$I$14:$I$99,0)),0)</f>
        <v>0</v>
      </c>
      <c r="AG15" s="652">
        <f t="shared" si="15"/>
        <v>0</v>
      </c>
      <c r="AH15" s="652">
        <f t="shared" si="16"/>
        <v>0</v>
      </c>
      <c r="AI15" s="652">
        <f t="shared" si="17"/>
        <v>0</v>
      </c>
      <c r="AJ15" s="651">
        <f t="array" ref="AJ15">IFERROR(INDEX('HIV-Pharmaceuticals'!$X$14:$X$99,MATCH($E15&amp;$F15,'HIV-Pharmaceuticals'!$E$14:$E$99&amp;'HIV-Pharmaceuticals'!$I$14:$I$99,0)),0)</f>
        <v>0</v>
      </c>
      <c r="AK15" s="652">
        <f t="shared" si="18"/>
        <v>0</v>
      </c>
      <c r="AL15" s="652">
        <f t="shared" si="19"/>
        <v>0</v>
      </c>
      <c r="AM15" s="652">
        <f t="shared" si="20"/>
        <v>0</v>
      </c>
      <c r="AN15" s="651">
        <f t="array" ref="AN15">IFERROR(INDEX('HIV-Pharmaceuticals'!$Y$14:$Y$99,MATCH($E15&amp;$F15,'HIV-Pharmaceuticals'!$E$14:$E$99&amp;'HIV-Pharmaceuticals'!$I$14:$I$99,0)),0)</f>
        <v>0</v>
      </c>
      <c r="AO15" s="652">
        <f t="shared" si="21"/>
        <v>0</v>
      </c>
      <c r="AP15" s="652">
        <f t="shared" si="22"/>
        <v>0</v>
      </c>
      <c r="AQ15" s="652">
        <f t="shared" si="23"/>
        <v>0</v>
      </c>
      <c r="AR15" s="653"/>
      <c r="AS15" s="651">
        <f t="array" ref="AS15">IFERROR(INDEX('HIV-Pharmaceuticals'!$AB$14:$AB$99,MATCH($E15&amp;$F15,'HIV-Pharmaceuticals'!$E$14:$E$99&amp;'HIV-Pharmaceuticals'!$I$14:$I$99,0)),0)</f>
        <v>0</v>
      </c>
      <c r="AT15" s="651">
        <f t="array" ref="AT15">IFERROR(INDEX('HIV-Pharmaceuticals'!$AC$14:$AC$99,MATCH($E15&amp;$F15,'HIV-Pharmaceuticals'!$E$14:$E$99&amp;'HIV-Pharmaceuticals'!$I$14:$I$99,0)),0)</f>
        <v>0</v>
      </c>
      <c r="AU15" s="652">
        <f t="shared" si="24"/>
        <v>0</v>
      </c>
      <c r="AV15" s="652">
        <f t="shared" si="25"/>
        <v>0</v>
      </c>
      <c r="AW15" s="652">
        <f t="shared" si="26"/>
        <v>0</v>
      </c>
      <c r="AX15" s="651">
        <f t="array" ref="AX15">IFERROR(INDEX('HIV-Pharmaceuticals'!$AD$14:$AD$99,MATCH($E15&amp;$F15,'HIV-Pharmaceuticals'!$E$14:$E$99&amp;'HIV-Pharmaceuticals'!$I$14:$I$99,0)),0)</f>
        <v>0</v>
      </c>
      <c r="AY15" s="652">
        <f t="shared" si="27"/>
        <v>0</v>
      </c>
      <c r="AZ15" s="652">
        <f t="shared" si="28"/>
        <v>0</v>
      </c>
      <c r="BA15" s="652">
        <f t="shared" si="29"/>
        <v>0</v>
      </c>
      <c r="BB15" s="651">
        <f t="array" ref="BB15">IFERROR(INDEX('HIV-Pharmaceuticals'!$AE$14:$AE$99,MATCH($E15&amp;$F15,'HIV-Pharmaceuticals'!$E$14:$E$99&amp;'HIV-Pharmaceuticals'!$I$14:$I$99,0)),0)</f>
        <v>0</v>
      </c>
      <c r="BC15" s="652">
        <f t="shared" si="30"/>
        <v>0</v>
      </c>
      <c r="BD15" s="652">
        <f t="shared" si="31"/>
        <v>0</v>
      </c>
      <c r="BE15" s="652">
        <f t="shared" si="32"/>
        <v>0</v>
      </c>
      <c r="BF15" s="651">
        <f t="array" ref="BF15">IFERROR(INDEX('HIV-Pharmaceuticals'!$AF$14:$AF$99,MATCH($E15&amp;$F15,'HIV-Pharmaceuticals'!$E$14:$E$99&amp;'HIV-Pharmaceuticals'!$I$14:$I$99,0)),0)</f>
        <v>0</v>
      </c>
      <c r="BG15" s="652">
        <f t="shared" si="33"/>
        <v>0</v>
      </c>
      <c r="BH15" s="652">
        <f t="shared" si="34"/>
        <v>0</v>
      </c>
      <c r="BI15" s="652">
        <f t="shared" si="35"/>
        <v>0</v>
      </c>
      <c r="BK15" s="654"/>
      <c r="BL15" s="654"/>
      <c r="BM15" s="654"/>
      <c r="BN15" s="654"/>
      <c r="BO15" s="654"/>
      <c r="BP15" s="654"/>
      <c r="BQ15" s="654"/>
      <c r="BR15" s="654"/>
    </row>
    <row r="16" spans="1:70" s="646" customFormat="1">
      <c r="A16" s="647" t="s">
        <v>561</v>
      </c>
      <c r="B16" s="647" t="s">
        <v>819</v>
      </c>
      <c r="C16" s="648">
        <f>SETUP!$F$20</f>
        <v>0</v>
      </c>
      <c r="D16" s="649">
        <v>4.0999999999999996</v>
      </c>
      <c r="E16" s="647" t="s">
        <v>112</v>
      </c>
      <c r="F16" s="647" t="s">
        <v>1602</v>
      </c>
      <c r="G16" s="650" t="str">
        <f t="array" ref="G16">IFERROR(INDEX('HIV-Pharmaceuticals'!$L$14:$L$99,MATCH($E16&amp;$F16,'HIV-Pharmaceuticals'!$E$14:$E$99&amp;'HIV-Pharmaceuticals'!$I$14:$I$99,0)),"")</f>
        <v/>
      </c>
      <c r="H16" s="650" t="str">
        <f t="array" ref="H16">IFERROR(INDEX('HIV-Pharmaceuticals'!$M$14:$M$99,MATCH($E16&amp;$F16,'HIV-Pharmaceuticals'!$E$14:$E$99&amp;'HIV-Pharmaceuticals'!$I$14:$I$99,0)),"")</f>
        <v/>
      </c>
      <c r="I16" s="651">
        <f t="array" ref="I16">IFERROR(INDEX('HIV-Pharmaceuticals'!$N$14:$N$99,MATCH($E16&amp;$F16,'HIV-Pharmaceuticals'!$E$14:$E$99&amp;'HIV-Pharmaceuticals'!$I$14:$I$99,0)),0)</f>
        <v>0</v>
      </c>
      <c r="J16" s="651">
        <f t="array" ref="J16">IFERROR(INDEX('HIV-Pharmaceuticals'!$O$14:$O$99,MATCH($E16&amp;$F16,'HIV-Pharmaceuticals'!$E$14:$E$99&amp;'HIV-Pharmaceuticals'!$I$14:$I$99,0)),0)</f>
        <v>0</v>
      </c>
      <c r="K16" s="652">
        <f t="shared" si="0"/>
        <v>0</v>
      </c>
      <c r="L16" s="652">
        <f t="shared" si="1"/>
        <v>0</v>
      </c>
      <c r="M16" s="652">
        <f t="shared" si="2"/>
        <v>0</v>
      </c>
      <c r="N16" s="651">
        <f t="array" ref="N16">IFERROR(INDEX('HIV-Pharmaceuticals'!$P$14:$P$99,MATCH($E16&amp;$F16,'HIV-Pharmaceuticals'!$E$14:$E$99&amp;'HIV-Pharmaceuticals'!$I$14:$I$99,0)),0)</f>
        <v>0</v>
      </c>
      <c r="O16" s="652">
        <f t="shared" si="3"/>
        <v>0</v>
      </c>
      <c r="P16" s="652">
        <f t="shared" si="4"/>
        <v>0</v>
      </c>
      <c r="Q16" s="652">
        <f t="shared" si="5"/>
        <v>0</v>
      </c>
      <c r="R16" s="651">
        <f t="array" ref="R16">IFERROR(INDEX('HIV-Pharmaceuticals'!$Q$14:$Q$99,MATCH($E16&amp;$F16,'HIV-Pharmaceuticals'!$E$14:$E$99&amp;'HIV-Pharmaceuticals'!$I$14:$I$99,0)),0)</f>
        <v>0</v>
      </c>
      <c r="S16" s="652">
        <f t="shared" si="6"/>
        <v>0</v>
      </c>
      <c r="T16" s="652">
        <f t="shared" si="7"/>
        <v>0</v>
      </c>
      <c r="U16" s="652">
        <f t="shared" si="8"/>
        <v>0</v>
      </c>
      <c r="V16" s="651">
        <f t="array" ref="V16">IFERROR(INDEX('HIV-Pharmaceuticals'!$R$14:$R$99,MATCH($E16&amp;$F16,'HIV-Pharmaceuticals'!$E$14:$E$99&amp;'HIV-Pharmaceuticals'!$I$14:$I$99,0)),0)</f>
        <v>0</v>
      </c>
      <c r="W16" s="652">
        <f t="shared" si="9"/>
        <v>0</v>
      </c>
      <c r="X16" s="652">
        <f t="shared" si="10"/>
        <v>0</v>
      </c>
      <c r="Y16" s="652">
        <f t="shared" si="11"/>
        <v>0</v>
      </c>
      <c r="Z16" s="653"/>
      <c r="AA16" s="651">
        <f t="array" ref="AA16">IFERROR(INDEX('HIV-Pharmaceuticals'!$U$14:$U$99,MATCH($E16&amp;$F16,'HIV-Pharmaceuticals'!$E$14:$E$99&amp;'HIV-Pharmaceuticals'!$I$14:$I$99,0)),0)</f>
        <v>0</v>
      </c>
      <c r="AB16" s="651">
        <f t="array" ref="AB16">IFERROR(INDEX('HIV-Pharmaceuticals'!$V$14:$V$99,MATCH($E16&amp;$F16,'HIV-Pharmaceuticals'!$E$14:$E$99&amp;'HIV-Pharmaceuticals'!$I$14:$I$99,0)),0)</f>
        <v>0</v>
      </c>
      <c r="AC16" s="652">
        <f t="shared" si="12"/>
        <v>0</v>
      </c>
      <c r="AD16" s="652">
        <f t="shared" si="13"/>
        <v>0</v>
      </c>
      <c r="AE16" s="652">
        <f t="shared" si="14"/>
        <v>0</v>
      </c>
      <c r="AF16" s="651">
        <f t="array" ref="AF16">IFERROR(INDEX('HIV-Pharmaceuticals'!$W$14:$W$99,MATCH($E16&amp;$F16,'HIV-Pharmaceuticals'!$E$14:$E$99&amp;'HIV-Pharmaceuticals'!$I$14:$I$99,0)),0)</f>
        <v>0</v>
      </c>
      <c r="AG16" s="652">
        <f t="shared" si="15"/>
        <v>0</v>
      </c>
      <c r="AH16" s="652">
        <f t="shared" si="16"/>
        <v>0</v>
      </c>
      <c r="AI16" s="652">
        <f t="shared" si="17"/>
        <v>0</v>
      </c>
      <c r="AJ16" s="651">
        <f t="array" ref="AJ16">IFERROR(INDEX('HIV-Pharmaceuticals'!$X$14:$X$99,MATCH($E16&amp;$F16,'HIV-Pharmaceuticals'!$E$14:$E$99&amp;'HIV-Pharmaceuticals'!$I$14:$I$99,0)),0)</f>
        <v>0</v>
      </c>
      <c r="AK16" s="652">
        <f t="shared" si="18"/>
        <v>0</v>
      </c>
      <c r="AL16" s="652">
        <f t="shared" si="19"/>
        <v>0</v>
      </c>
      <c r="AM16" s="652">
        <f t="shared" si="20"/>
        <v>0</v>
      </c>
      <c r="AN16" s="651">
        <f t="array" ref="AN16">IFERROR(INDEX('HIV-Pharmaceuticals'!$Y$14:$Y$99,MATCH($E16&amp;$F16,'HIV-Pharmaceuticals'!$E$14:$E$99&amp;'HIV-Pharmaceuticals'!$I$14:$I$99,0)),0)</f>
        <v>0</v>
      </c>
      <c r="AO16" s="652">
        <f t="shared" si="21"/>
        <v>0</v>
      </c>
      <c r="AP16" s="652">
        <f t="shared" si="22"/>
        <v>0</v>
      </c>
      <c r="AQ16" s="652">
        <f t="shared" si="23"/>
        <v>0</v>
      </c>
      <c r="AR16" s="653"/>
      <c r="AS16" s="651">
        <f t="array" ref="AS16">IFERROR(INDEX('HIV-Pharmaceuticals'!$AB$14:$AB$99,MATCH($E16&amp;$F16,'HIV-Pharmaceuticals'!$E$14:$E$99&amp;'HIV-Pharmaceuticals'!$I$14:$I$99,0)),0)</f>
        <v>0</v>
      </c>
      <c r="AT16" s="651">
        <f t="array" ref="AT16">IFERROR(INDEX('HIV-Pharmaceuticals'!$AC$14:$AC$99,MATCH($E16&amp;$F16,'HIV-Pharmaceuticals'!$E$14:$E$99&amp;'HIV-Pharmaceuticals'!$I$14:$I$99,0)),0)</f>
        <v>0</v>
      </c>
      <c r="AU16" s="652">
        <f t="shared" si="24"/>
        <v>0</v>
      </c>
      <c r="AV16" s="652">
        <f t="shared" si="25"/>
        <v>0</v>
      </c>
      <c r="AW16" s="652">
        <f t="shared" si="26"/>
        <v>0</v>
      </c>
      <c r="AX16" s="651">
        <f t="array" ref="AX16">IFERROR(INDEX('HIV-Pharmaceuticals'!$AD$14:$AD$99,MATCH($E16&amp;$F16,'HIV-Pharmaceuticals'!$E$14:$E$99&amp;'HIV-Pharmaceuticals'!$I$14:$I$99,0)),0)</f>
        <v>0</v>
      </c>
      <c r="AY16" s="652">
        <f t="shared" si="27"/>
        <v>0</v>
      </c>
      <c r="AZ16" s="652">
        <f t="shared" si="28"/>
        <v>0</v>
      </c>
      <c r="BA16" s="652">
        <f t="shared" si="29"/>
        <v>0</v>
      </c>
      <c r="BB16" s="651">
        <f t="array" ref="BB16">IFERROR(INDEX('HIV-Pharmaceuticals'!$AE$14:$AE$99,MATCH($E16&amp;$F16,'HIV-Pharmaceuticals'!$E$14:$E$99&amp;'HIV-Pharmaceuticals'!$I$14:$I$99,0)),0)</f>
        <v>0</v>
      </c>
      <c r="BC16" s="652">
        <f t="shared" si="30"/>
        <v>0</v>
      </c>
      <c r="BD16" s="652">
        <f t="shared" si="31"/>
        <v>0</v>
      </c>
      <c r="BE16" s="652">
        <f t="shared" si="32"/>
        <v>0</v>
      </c>
      <c r="BF16" s="651">
        <f t="array" ref="BF16">IFERROR(INDEX('HIV-Pharmaceuticals'!$AF$14:$AF$99,MATCH($E16&amp;$F16,'HIV-Pharmaceuticals'!$E$14:$E$99&amp;'HIV-Pharmaceuticals'!$I$14:$I$99,0)),0)</f>
        <v>0</v>
      </c>
      <c r="BG16" s="652">
        <f t="shared" si="33"/>
        <v>0</v>
      </c>
      <c r="BH16" s="652">
        <f t="shared" si="34"/>
        <v>0</v>
      </c>
      <c r="BI16" s="652">
        <f t="shared" si="35"/>
        <v>0</v>
      </c>
      <c r="BK16" s="654"/>
      <c r="BL16" s="654"/>
      <c r="BM16" s="654"/>
      <c r="BN16" s="654"/>
      <c r="BO16" s="654"/>
      <c r="BP16" s="654"/>
      <c r="BQ16" s="654"/>
      <c r="BR16" s="654"/>
    </row>
    <row r="17" spans="1:70" s="646" customFormat="1">
      <c r="A17" s="647" t="s">
        <v>561</v>
      </c>
      <c r="B17" s="647" t="s">
        <v>819</v>
      </c>
      <c r="C17" s="648">
        <f>SETUP!$F$20</f>
        <v>0</v>
      </c>
      <c r="D17" s="649">
        <v>4.0999999999999996</v>
      </c>
      <c r="E17" s="647" t="s">
        <v>113</v>
      </c>
      <c r="F17" s="647" t="s">
        <v>1603</v>
      </c>
      <c r="G17" s="650" t="str">
        <f t="array" ref="G17">IFERROR(INDEX('HIV-Pharmaceuticals'!$L$14:$L$99,MATCH($E17&amp;$F17,'HIV-Pharmaceuticals'!$E$14:$E$99&amp;'HIV-Pharmaceuticals'!$I$14:$I$99,0)),"")</f>
        <v/>
      </c>
      <c r="H17" s="650" t="str">
        <f t="array" ref="H17">IFERROR(INDEX('HIV-Pharmaceuticals'!$M$14:$M$99,MATCH($E17&amp;$F17,'HIV-Pharmaceuticals'!$E$14:$E$99&amp;'HIV-Pharmaceuticals'!$I$14:$I$99,0)),"")</f>
        <v/>
      </c>
      <c r="I17" s="651">
        <f t="array" ref="I17">IFERROR(INDEX('HIV-Pharmaceuticals'!$N$14:$N$99,MATCH($E17&amp;$F17,'HIV-Pharmaceuticals'!$E$14:$E$99&amp;'HIV-Pharmaceuticals'!$I$14:$I$99,0)),0)</f>
        <v>0</v>
      </c>
      <c r="J17" s="651">
        <f t="array" ref="J17">IFERROR(INDEX('HIV-Pharmaceuticals'!$O$14:$O$99,MATCH($E17&amp;$F17,'HIV-Pharmaceuticals'!$E$14:$E$99&amp;'HIV-Pharmaceuticals'!$I$14:$I$99,0)),0)</f>
        <v>0</v>
      </c>
      <c r="K17" s="652">
        <f t="shared" si="0"/>
        <v>0</v>
      </c>
      <c r="L17" s="652">
        <f t="shared" si="1"/>
        <v>0</v>
      </c>
      <c r="M17" s="652">
        <f t="shared" si="2"/>
        <v>0</v>
      </c>
      <c r="N17" s="651">
        <f t="array" ref="N17">IFERROR(INDEX('HIV-Pharmaceuticals'!$P$14:$P$99,MATCH($E17&amp;$F17,'HIV-Pharmaceuticals'!$E$14:$E$99&amp;'HIV-Pharmaceuticals'!$I$14:$I$99,0)),0)</f>
        <v>0</v>
      </c>
      <c r="O17" s="652">
        <f t="shared" si="3"/>
        <v>0</v>
      </c>
      <c r="P17" s="652">
        <f t="shared" si="4"/>
        <v>0</v>
      </c>
      <c r="Q17" s="652">
        <f t="shared" si="5"/>
        <v>0</v>
      </c>
      <c r="R17" s="651">
        <f t="array" ref="R17">IFERROR(INDEX('HIV-Pharmaceuticals'!$Q$14:$Q$99,MATCH($E17&amp;$F17,'HIV-Pharmaceuticals'!$E$14:$E$99&amp;'HIV-Pharmaceuticals'!$I$14:$I$99,0)),0)</f>
        <v>0</v>
      </c>
      <c r="S17" s="652">
        <f t="shared" si="6"/>
        <v>0</v>
      </c>
      <c r="T17" s="652">
        <f t="shared" si="7"/>
        <v>0</v>
      </c>
      <c r="U17" s="652">
        <f t="shared" si="8"/>
        <v>0</v>
      </c>
      <c r="V17" s="651">
        <f t="array" ref="V17">IFERROR(INDEX('HIV-Pharmaceuticals'!$R$14:$R$99,MATCH($E17&amp;$F17,'HIV-Pharmaceuticals'!$E$14:$E$99&amp;'HIV-Pharmaceuticals'!$I$14:$I$99,0)),0)</f>
        <v>0</v>
      </c>
      <c r="W17" s="652">
        <f t="shared" si="9"/>
        <v>0</v>
      </c>
      <c r="X17" s="652">
        <f t="shared" si="10"/>
        <v>0</v>
      </c>
      <c r="Y17" s="652">
        <f t="shared" si="11"/>
        <v>0</v>
      </c>
      <c r="Z17" s="653"/>
      <c r="AA17" s="651">
        <f t="array" ref="AA17">IFERROR(INDEX('HIV-Pharmaceuticals'!$U$14:$U$99,MATCH($E17&amp;$F17,'HIV-Pharmaceuticals'!$E$14:$E$99&amp;'HIV-Pharmaceuticals'!$I$14:$I$99,0)),0)</f>
        <v>0</v>
      </c>
      <c r="AB17" s="651">
        <f t="array" ref="AB17">IFERROR(INDEX('HIV-Pharmaceuticals'!$V$14:$V$99,MATCH($E17&amp;$F17,'HIV-Pharmaceuticals'!$E$14:$E$99&amp;'HIV-Pharmaceuticals'!$I$14:$I$99,0)),0)</f>
        <v>0</v>
      </c>
      <c r="AC17" s="652">
        <f t="shared" si="12"/>
        <v>0</v>
      </c>
      <c r="AD17" s="652">
        <f t="shared" si="13"/>
        <v>0</v>
      </c>
      <c r="AE17" s="652">
        <f t="shared" si="14"/>
        <v>0</v>
      </c>
      <c r="AF17" s="651">
        <f t="array" ref="AF17">IFERROR(INDEX('HIV-Pharmaceuticals'!$W$14:$W$99,MATCH($E17&amp;$F17,'HIV-Pharmaceuticals'!$E$14:$E$99&amp;'HIV-Pharmaceuticals'!$I$14:$I$99,0)),0)</f>
        <v>0</v>
      </c>
      <c r="AG17" s="652">
        <f t="shared" si="15"/>
        <v>0</v>
      </c>
      <c r="AH17" s="652">
        <f t="shared" si="16"/>
        <v>0</v>
      </c>
      <c r="AI17" s="652">
        <f t="shared" si="17"/>
        <v>0</v>
      </c>
      <c r="AJ17" s="651">
        <f t="array" ref="AJ17">IFERROR(INDEX('HIV-Pharmaceuticals'!$X$14:$X$99,MATCH($E17&amp;$F17,'HIV-Pharmaceuticals'!$E$14:$E$99&amp;'HIV-Pharmaceuticals'!$I$14:$I$99,0)),0)</f>
        <v>0</v>
      </c>
      <c r="AK17" s="652">
        <f t="shared" si="18"/>
        <v>0</v>
      </c>
      <c r="AL17" s="652">
        <f t="shared" si="19"/>
        <v>0</v>
      </c>
      <c r="AM17" s="652">
        <f t="shared" si="20"/>
        <v>0</v>
      </c>
      <c r="AN17" s="651">
        <f t="array" ref="AN17">IFERROR(INDEX('HIV-Pharmaceuticals'!$Y$14:$Y$99,MATCH($E17&amp;$F17,'HIV-Pharmaceuticals'!$E$14:$E$99&amp;'HIV-Pharmaceuticals'!$I$14:$I$99,0)),0)</f>
        <v>0</v>
      </c>
      <c r="AO17" s="652">
        <f t="shared" si="21"/>
        <v>0</v>
      </c>
      <c r="AP17" s="652">
        <f t="shared" si="22"/>
        <v>0</v>
      </c>
      <c r="AQ17" s="652">
        <f t="shared" si="23"/>
        <v>0</v>
      </c>
      <c r="AR17" s="653"/>
      <c r="AS17" s="651">
        <f t="array" ref="AS17">IFERROR(INDEX('HIV-Pharmaceuticals'!$AB$14:$AB$99,MATCH($E17&amp;$F17,'HIV-Pharmaceuticals'!$E$14:$E$99&amp;'HIV-Pharmaceuticals'!$I$14:$I$99,0)),0)</f>
        <v>0</v>
      </c>
      <c r="AT17" s="651">
        <f t="array" ref="AT17">IFERROR(INDEX('HIV-Pharmaceuticals'!$AC$14:$AC$99,MATCH($E17&amp;$F17,'HIV-Pharmaceuticals'!$E$14:$E$99&amp;'HIV-Pharmaceuticals'!$I$14:$I$99,0)),0)</f>
        <v>0</v>
      </c>
      <c r="AU17" s="652">
        <f t="shared" si="24"/>
        <v>0</v>
      </c>
      <c r="AV17" s="652">
        <f t="shared" si="25"/>
        <v>0</v>
      </c>
      <c r="AW17" s="652">
        <f t="shared" si="26"/>
        <v>0</v>
      </c>
      <c r="AX17" s="651">
        <f t="array" ref="AX17">IFERROR(INDEX('HIV-Pharmaceuticals'!$AD$14:$AD$99,MATCH($E17&amp;$F17,'HIV-Pharmaceuticals'!$E$14:$E$99&amp;'HIV-Pharmaceuticals'!$I$14:$I$99,0)),0)</f>
        <v>0</v>
      </c>
      <c r="AY17" s="652">
        <f t="shared" si="27"/>
        <v>0</v>
      </c>
      <c r="AZ17" s="652">
        <f t="shared" si="28"/>
        <v>0</v>
      </c>
      <c r="BA17" s="652">
        <f t="shared" si="29"/>
        <v>0</v>
      </c>
      <c r="BB17" s="651">
        <f t="array" ref="BB17">IFERROR(INDEX('HIV-Pharmaceuticals'!$AE$14:$AE$99,MATCH($E17&amp;$F17,'HIV-Pharmaceuticals'!$E$14:$E$99&amp;'HIV-Pharmaceuticals'!$I$14:$I$99,0)),0)</f>
        <v>0</v>
      </c>
      <c r="BC17" s="652">
        <f t="shared" si="30"/>
        <v>0</v>
      </c>
      <c r="BD17" s="652">
        <f t="shared" si="31"/>
        <v>0</v>
      </c>
      <c r="BE17" s="652">
        <f t="shared" si="32"/>
        <v>0</v>
      </c>
      <c r="BF17" s="651">
        <f t="array" ref="BF17">IFERROR(INDEX('HIV-Pharmaceuticals'!$AF$14:$AF$99,MATCH($E17&amp;$F17,'HIV-Pharmaceuticals'!$E$14:$E$99&amp;'HIV-Pharmaceuticals'!$I$14:$I$99,0)),0)</f>
        <v>0</v>
      </c>
      <c r="BG17" s="652">
        <f t="shared" si="33"/>
        <v>0</v>
      </c>
      <c r="BH17" s="652">
        <f t="shared" si="34"/>
        <v>0</v>
      </c>
      <c r="BI17" s="652">
        <f t="shared" si="35"/>
        <v>0</v>
      </c>
      <c r="BK17" s="654"/>
      <c r="BL17" s="654"/>
      <c r="BM17" s="654"/>
      <c r="BN17" s="654"/>
      <c r="BO17" s="654"/>
      <c r="BP17" s="654"/>
      <c r="BQ17" s="654"/>
      <c r="BR17" s="654"/>
    </row>
    <row r="18" spans="1:70" s="646" customFormat="1">
      <c r="A18" s="647" t="s">
        <v>561</v>
      </c>
      <c r="B18" s="647" t="s">
        <v>819</v>
      </c>
      <c r="C18" s="648">
        <f>SETUP!$F$20</f>
        <v>0</v>
      </c>
      <c r="D18" s="649">
        <v>4.0999999999999996</v>
      </c>
      <c r="E18" s="647" t="s">
        <v>106</v>
      </c>
      <c r="F18" s="647" t="s">
        <v>1604</v>
      </c>
      <c r="G18" s="650" t="str">
        <f t="array" ref="G18">IFERROR(INDEX('HIV-Pharmaceuticals'!$L$14:$L$99,MATCH($E18&amp;$F18,'HIV-Pharmaceuticals'!$E$14:$E$99&amp;'HIV-Pharmaceuticals'!$I$14:$I$99,0)),"")</f>
        <v/>
      </c>
      <c r="H18" s="650" t="str">
        <f t="array" ref="H18">IFERROR(INDEX('HIV-Pharmaceuticals'!$M$14:$M$99,MATCH($E18&amp;$F18,'HIV-Pharmaceuticals'!$E$14:$E$99&amp;'HIV-Pharmaceuticals'!$I$14:$I$99,0)),"")</f>
        <v/>
      </c>
      <c r="I18" s="651">
        <f t="array" ref="I18">IFERROR(INDEX('HIV-Pharmaceuticals'!$N$14:$N$99,MATCH($E18&amp;$F18,'HIV-Pharmaceuticals'!$E$14:$E$99&amp;'HIV-Pharmaceuticals'!$I$14:$I$99,0)),0)</f>
        <v>0</v>
      </c>
      <c r="J18" s="651">
        <f t="array" ref="J18">IFERROR(INDEX('HIV-Pharmaceuticals'!$O$14:$O$99,MATCH($E18&amp;$F18,'HIV-Pharmaceuticals'!$E$14:$E$99&amp;'HIV-Pharmaceuticals'!$I$14:$I$99,0)),0)</f>
        <v>0</v>
      </c>
      <c r="K18" s="652">
        <f t="shared" si="0"/>
        <v>0</v>
      </c>
      <c r="L18" s="652">
        <f t="shared" si="1"/>
        <v>0</v>
      </c>
      <c r="M18" s="652">
        <f t="shared" si="2"/>
        <v>0</v>
      </c>
      <c r="N18" s="651">
        <f t="array" ref="N18">IFERROR(INDEX('HIV-Pharmaceuticals'!$P$14:$P$99,MATCH($E18&amp;$F18,'HIV-Pharmaceuticals'!$E$14:$E$99&amp;'HIV-Pharmaceuticals'!$I$14:$I$99,0)),0)</f>
        <v>0</v>
      </c>
      <c r="O18" s="652">
        <f t="shared" si="3"/>
        <v>0</v>
      </c>
      <c r="P18" s="652">
        <f t="shared" si="4"/>
        <v>0</v>
      </c>
      <c r="Q18" s="652">
        <f t="shared" si="5"/>
        <v>0</v>
      </c>
      <c r="R18" s="651">
        <f t="array" ref="R18">IFERROR(INDEX('HIV-Pharmaceuticals'!$Q$14:$Q$99,MATCH($E18&amp;$F18,'HIV-Pharmaceuticals'!$E$14:$E$99&amp;'HIV-Pharmaceuticals'!$I$14:$I$99,0)),0)</f>
        <v>0</v>
      </c>
      <c r="S18" s="652">
        <f t="shared" si="6"/>
        <v>0</v>
      </c>
      <c r="T18" s="652">
        <f t="shared" si="7"/>
        <v>0</v>
      </c>
      <c r="U18" s="652">
        <f t="shared" si="8"/>
        <v>0</v>
      </c>
      <c r="V18" s="651">
        <f t="array" ref="V18">IFERROR(INDEX('HIV-Pharmaceuticals'!$R$14:$R$99,MATCH($E18&amp;$F18,'HIV-Pharmaceuticals'!$E$14:$E$99&amp;'HIV-Pharmaceuticals'!$I$14:$I$99,0)),0)</f>
        <v>0</v>
      </c>
      <c r="W18" s="652">
        <f t="shared" si="9"/>
        <v>0</v>
      </c>
      <c r="X18" s="652">
        <f t="shared" si="10"/>
        <v>0</v>
      </c>
      <c r="Y18" s="652">
        <f t="shared" si="11"/>
        <v>0</v>
      </c>
      <c r="Z18" s="653"/>
      <c r="AA18" s="651">
        <f t="array" ref="AA18">IFERROR(INDEX('HIV-Pharmaceuticals'!$U$14:$U$99,MATCH($E18&amp;$F18,'HIV-Pharmaceuticals'!$E$14:$E$99&amp;'HIV-Pharmaceuticals'!$I$14:$I$99,0)),0)</f>
        <v>0</v>
      </c>
      <c r="AB18" s="651">
        <f t="array" ref="AB18">IFERROR(INDEX('HIV-Pharmaceuticals'!$V$14:$V$99,MATCH($E18&amp;$F18,'HIV-Pharmaceuticals'!$E$14:$E$99&amp;'HIV-Pharmaceuticals'!$I$14:$I$99,0)),0)</f>
        <v>0</v>
      </c>
      <c r="AC18" s="652">
        <f t="shared" si="12"/>
        <v>0</v>
      </c>
      <c r="AD18" s="652">
        <f t="shared" si="13"/>
        <v>0</v>
      </c>
      <c r="AE18" s="652">
        <f t="shared" si="14"/>
        <v>0</v>
      </c>
      <c r="AF18" s="651">
        <f t="array" ref="AF18">IFERROR(INDEX('HIV-Pharmaceuticals'!$W$14:$W$99,MATCH($E18&amp;$F18,'HIV-Pharmaceuticals'!$E$14:$E$99&amp;'HIV-Pharmaceuticals'!$I$14:$I$99,0)),0)</f>
        <v>0</v>
      </c>
      <c r="AG18" s="652">
        <f t="shared" si="15"/>
        <v>0</v>
      </c>
      <c r="AH18" s="652">
        <f t="shared" si="16"/>
        <v>0</v>
      </c>
      <c r="AI18" s="652">
        <f t="shared" si="17"/>
        <v>0</v>
      </c>
      <c r="AJ18" s="651">
        <f t="array" ref="AJ18">IFERROR(INDEX('HIV-Pharmaceuticals'!$X$14:$X$99,MATCH($E18&amp;$F18,'HIV-Pharmaceuticals'!$E$14:$E$99&amp;'HIV-Pharmaceuticals'!$I$14:$I$99,0)),0)</f>
        <v>0</v>
      </c>
      <c r="AK18" s="652">
        <f t="shared" si="18"/>
        <v>0</v>
      </c>
      <c r="AL18" s="652">
        <f t="shared" si="19"/>
        <v>0</v>
      </c>
      <c r="AM18" s="652">
        <f t="shared" si="20"/>
        <v>0</v>
      </c>
      <c r="AN18" s="651">
        <f t="array" ref="AN18">IFERROR(INDEX('HIV-Pharmaceuticals'!$Y$14:$Y$99,MATCH($E18&amp;$F18,'HIV-Pharmaceuticals'!$E$14:$E$99&amp;'HIV-Pharmaceuticals'!$I$14:$I$99,0)),0)</f>
        <v>0</v>
      </c>
      <c r="AO18" s="652">
        <f t="shared" si="21"/>
        <v>0</v>
      </c>
      <c r="AP18" s="652">
        <f t="shared" si="22"/>
        <v>0</v>
      </c>
      <c r="AQ18" s="652">
        <f t="shared" si="23"/>
        <v>0</v>
      </c>
      <c r="AR18" s="653"/>
      <c r="AS18" s="651">
        <f t="array" ref="AS18">IFERROR(INDEX('HIV-Pharmaceuticals'!$AB$14:$AB$99,MATCH($E18&amp;$F18,'HIV-Pharmaceuticals'!$E$14:$E$99&amp;'HIV-Pharmaceuticals'!$I$14:$I$99,0)),0)</f>
        <v>0</v>
      </c>
      <c r="AT18" s="651">
        <f t="array" ref="AT18">IFERROR(INDEX('HIV-Pharmaceuticals'!$AC$14:$AC$99,MATCH($E18&amp;$F18,'HIV-Pharmaceuticals'!$E$14:$E$99&amp;'HIV-Pharmaceuticals'!$I$14:$I$99,0)),0)</f>
        <v>0</v>
      </c>
      <c r="AU18" s="652">
        <f t="shared" si="24"/>
        <v>0</v>
      </c>
      <c r="AV18" s="652">
        <f t="shared" si="25"/>
        <v>0</v>
      </c>
      <c r="AW18" s="652">
        <f t="shared" si="26"/>
        <v>0</v>
      </c>
      <c r="AX18" s="651">
        <f t="array" ref="AX18">IFERROR(INDEX('HIV-Pharmaceuticals'!$AD$14:$AD$99,MATCH($E18&amp;$F18,'HIV-Pharmaceuticals'!$E$14:$E$99&amp;'HIV-Pharmaceuticals'!$I$14:$I$99,0)),0)</f>
        <v>0</v>
      </c>
      <c r="AY18" s="652">
        <f t="shared" si="27"/>
        <v>0</v>
      </c>
      <c r="AZ18" s="652">
        <f t="shared" si="28"/>
        <v>0</v>
      </c>
      <c r="BA18" s="652">
        <f t="shared" si="29"/>
        <v>0</v>
      </c>
      <c r="BB18" s="651">
        <f t="array" ref="BB18">IFERROR(INDEX('HIV-Pharmaceuticals'!$AE$14:$AE$99,MATCH($E18&amp;$F18,'HIV-Pharmaceuticals'!$E$14:$E$99&amp;'HIV-Pharmaceuticals'!$I$14:$I$99,0)),0)</f>
        <v>0</v>
      </c>
      <c r="BC18" s="652">
        <f t="shared" si="30"/>
        <v>0</v>
      </c>
      <c r="BD18" s="652">
        <f t="shared" si="31"/>
        <v>0</v>
      </c>
      <c r="BE18" s="652">
        <f t="shared" si="32"/>
        <v>0</v>
      </c>
      <c r="BF18" s="651">
        <f t="array" ref="BF18">IFERROR(INDEX('HIV-Pharmaceuticals'!$AF$14:$AF$99,MATCH($E18&amp;$F18,'HIV-Pharmaceuticals'!$E$14:$E$99&amp;'HIV-Pharmaceuticals'!$I$14:$I$99,0)),0)</f>
        <v>0</v>
      </c>
      <c r="BG18" s="652">
        <f t="shared" si="33"/>
        <v>0</v>
      </c>
      <c r="BH18" s="652">
        <f t="shared" si="34"/>
        <v>0</v>
      </c>
      <c r="BI18" s="652">
        <f t="shared" si="35"/>
        <v>0</v>
      </c>
      <c r="BK18" s="654"/>
      <c r="BL18" s="654"/>
      <c r="BM18" s="654"/>
      <c r="BN18" s="654"/>
      <c r="BO18" s="654"/>
      <c r="BP18" s="654"/>
      <c r="BQ18" s="654"/>
      <c r="BR18" s="654"/>
    </row>
    <row r="19" spans="1:70" s="646" customFormat="1">
      <c r="A19" s="647" t="s">
        <v>561</v>
      </c>
      <c r="B19" s="647" t="s">
        <v>819</v>
      </c>
      <c r="C19" s="648">
        <f>SETUP!$F$20</f>
        <v>0</v>
      </c>
      <c r="D19" s="649">
        <v>4.0999999999999996</v>
      </c>
      <c r="E19" s="647" t="s">
        <v>114</v>
      </c>
      <c r="F19" s="647" t="s">
        <v>1605</v>
      </c>
      <c r="G19" s="650" t="str">
        <f t="array" ref="G19">IFERROR(INDEX('HIV-Pharmaceuticals'!$L$14:$L$99,MATCH($E19&amp;$F19,'HIV-Pharmaceuticals'!$E$14:$E$99&amp;'HIV-Pharmaceuticals'!$I$14:$I$99,0)),"")</f>
        <v/>
      </c>
      <c r="H19" s="650" t="str">
        <f t="array" ref="H19">IFERROR(INDEX('HIV-Pharmaceuticals'!$M$14:$M$99,MATCH($E19&amp;$F19,'HIV-Pharmaceuticals'!$E$14:$E$99&amp;'HIV-Pharmaceuticals'!$I$14:$I$99,0)),"")</f>
        <v/>
      </c>
      <c r="I19" s="651">
        <f t="array" ref="I19">IFERROR(INDEX('HIV-Pharmaceuticals'!$N$14:$N$99,MATCH($E19&amp;$F19,'HIV-Pharmaceuticals'!$E$14:$E$99&amp;'HIV-Pharmaceuticals'!$I$14:$I$99,0)),0)</f>
        <v>0</v>
      </c>
      <c r="J19" s="651">
        <f t="array" ref="J19">IFERROR(INDEX('HIV-Pharmaceuticals'!$O$14:$O$99,MATCH($E19&amp;$F19,'HIV-Pharmaceuticals'!$E$14:$E$99&amp;'HIV-Pharmaceuticals'!$I$14:$I$99,0)),0)</f>
        <v>0</v>
      </c>
      <c r="K19" s="652">
        <f t="shared" si="0"/>
        <v>0</v>
      </c>
      <c r="L19" s="652">
        <f t="shared" si="1"/>
        <v>0</v>
      </c>
      <c r="M19" s="652">
        <f t="shared" si="2"/>
        <v>0</v>
      </c>
      <c r="N19" s="651">
        <f t="array" ref="N19">IFERROR(INDEX('HIV-Pharmaceuticals'!$P$14:$P$99,MATCH($E19&amp;$F19,'HIV-Pharmaceuticals'!$E$14:$E$99&amp;'HIV-Pharmaceuticals'!$I$14:$I$99,0)),0)</f>
        <v>0</v>
      </c>
      <c r="O19" s="652">
        <f t="shared" si="3"/>
        <v>0</v>
      </c>
      <c r="P19" s="652">
        <f t="shared" si="4"/>
        <v>0</v>
      </c>
      <c r="Q19" s="652">
        <f t="shared" si="5"/>
        <v>0</v>
      </c>
      <c r="R19" s="651">
        <f t="array" ref="R19">IFERROR(INDEX('HIV-Pharmaceuticals'!$Q$14:$Q$99,MATCH($E19&amp;$F19,'HIV-Pharmaceuticals'!$E$14:$E$99&amp;'HIV-Pharmaceuticals'!$I$14:$I$99,0)),0)</f>
        <v>0</v>
      </c>
      <c r="S19" s="652">
        <f t="shared" si="6"/>
        <v>0</v>
      </c>
      <c r="T19" s="652">
        <f t="shared" si="7"/>
        <v>0</v>
      </c>
      <c r="U19" s="652">
        <f t="shared" si="8"/>
        <v>0</v>
      </c>
      <c r="V19" s="651">
        <f t="array" ref="V19">IFERROR(INDEX('HIV-Pharmaceuticals'!$R$14:$R$99,MATCH($E19&amp;$F19,'HIV-Pharmaceuticals'!$E$14:$E$99&amp;'HIV-Pharmaceuticals'!$I$14:$I$99,0)),0)</f>
        <v>0</v>
      </c>
      <c r="W19" s="652">
        <f t="shared" si="9"/>
        <v>0</v>
      </c>
      <c r="X19" s="652">
        <f t="shared" si="10"/>
        <v>0</v>
      </c>
      <c r="Y19" s="652">
        <f t="shared" si="11"/>
        <v>0</v>
      </c>
      <c r="Z19" s="653"/>
      <c r="AA19" s="651">
        <f t="array" ref="AA19">IFERROR(INDEX('HIV-Pharmaceuticals'!$U$14:$U$99,MATCH($E19&amp;$F19,'HIV-Pharmaceuticals'!$E$14:$E$99&amp;'HIV-Pharmaceuticals'!$I$14:$I$99,0)),0)</f>
        <v>0</v>
      </c>
      <c r="AB19" s="651">
        <f t="array" ref="AB19">IFERROR(INDEX('HIV-Pharmaceuticals'!$V$14:$V$99,MATCH($E19&amp;$F19,'HIV-Pharmaceuticals'!$E$14:$E$99&amp;'HIV-Pharmaceuticals'!$I$14:$I$99,0)),0)</f>
        <v>0</v>
      </c>
      <c r="AC19" s="652">
        <f t="shared" si="12"/>
        <v>0</v>
      </c>
      <c r="AD19" s="652">
        <f t="shared" si="13"/>
        <v>0</v>
      </c>
      <c r="AE19" s="652">
        <f t="shared" si="14"/>
        <v>0</v>
      </c>
      <c r="AF19" s="651">
        <f t="array" ref="AF19">IFERROR(INDEX('HIV-Pharmaceuticals'!$W$14:$W$99,MATCH($E19&amp;$F19,'HIV-Pharmaceuticals'!$E$14:$E$99&amp;'HIV-Pharmaceuticals'!$I$14:$I$99,0)),0)</f>
        <v>0</v>
      </c>
      <c r="AG19" s="652">
        <f t="shared" si="15"/>
        <v>0</v>
      </c>
      <c r="AH19" s="652">
        <f t="shared" si="16"/>
        <v>0</v>
      </c>
      <c r="AI19" s="652">
        <f t="shared" si="17"/>
        <v>0</v>
      </c>
      <c r="AJ19" s="651">
        <f t="array" ref="AJ19">IFERROR(INDEX('HIV-Pharmaceuticals'!$X$14:$X$99,MATCH($E19&amp;$F19,'HIV-Pharmaceuticals'!$E$14:$E$99&amp;'HIV-Pharmaceuticals'!$I$14:$I$99,0)),0)</f>
        <v>0</v>
      </c>
      <c r="AK19" s="652">
        <f t="shared" si="18"/>
        <v>0</v>
      </c>
      <c r="AL19" s="652">
        <f t="shared" si="19"/>
        <v>0</v>
      </c>
      <c r="AM19" s="652">
        <f t="shared" si="20"/>
        <v>0</v>
      </c>
      <c r="AN19" s="651">
        <f t="array" ref="AN19">IFERROR(INDEX('HIV-Pharmaceuticals'!$Y$14:$Y$99,MATCH($E19&amp;$F19,'HIV-Pharmaceuticals'!$E$14:$E$99&amp;'HIV-Pharmaceuticals'!$I$14:$I$99,0)),0)</f>
        <v>0</v>
      </c>
      <c r="AO19" s="652">
        <f t="shared" si="21"/>
        <v>0</v>
      </c>
      <c r="AP19" s="652">
        <f t="shared" si="22"/>
        <v>0</v>
      </c>
      <c r="AQ19" s="652">
        <f t="shared" si="23"/>
        <v>0</v>
      </c>
      <c r="AR19" s="653"/>
      <c r="AS19" s="651">
        <f t="array" ref="AS19">IFERROR(INDEX('HIV-Pharmaceuticals'!$AB$14:$AB$99,MATCH($E19&amp;$F19,'HIV-Pharmaceuticals'!$E$14:$E$99&amp;'HIV-Pharmaceuticals'!$I$14:$I$99,0)),0)</f>
        <v>0</v>
      </c>
      <c r="AT19" s="651">
        <f t="array" ref="AT19">IFERROR(INDEX('HIV-Pharmaceuticals'!$AC$14:$AC$99,MATCH($E19&amp;$F19,'HIV-Pharmaceuticals'!$E$14:$E$99&amp;'HIV-Pharmaceuticals'!$I$14:$I$99,0)),0)</f>
        <v>0</v>
      </c>
      <c r="AU19" s="652">
        <f t="shared" si="24"/>
        <v>0</v>
      </c>
      <c r="AV19" s="652">
        <f t="shared" si="25"/>
        <v>0</v>
      </c>
      <c r="AW19" s="652">
        <f t="shared" si="26"/>
        <v>0</v>
      </c>
      <c r="AX19" s="651">
        <f t="array" ref="AX19">IFERROR(INDEX('HIV-Pharmaceuticals'!$AD$14:$AD$99,MATCH($E19&amp;$F19,'HIV-Pharmaceuticals'!$E$14:$E$99&amp;'HIV-Pharmaceuticals'!$I$14:$I$99,0)),0)</f>
        <v>0</v>
      </c>
      <c r="AY19" s="652">
        <f t="shared" si="27"/>
        <v>0</v>
      </c>
      <c r="AZ19" s="652">
        <f t="shared" si="28"/>
        <v>0</v>
      </c>
      <c r="BA19" s="652">
        <f t="shared" si="29"/>
        <v>0</v>
      </c>
      <c r="BB19" s="651">
        <f t="array" ref="BB19">IFERROR(INDEX('HIV-Pharmaceuticals'!$AE$14:$AE$99,MATCH($E19&amp;$F19,'HIV-Pharmaceuticals'!$E$14:$E$99&amp;'HIV-Pharmaceuticals'!$I$14:$I$99,0)),0)</f>
        <v>0</v>
      </c>
      <c r="BC19" s="652">
        <f t="shared" si="30"/>
        <v>0</v>
      </c>
      <c r="BD19" s="652">
        <f t="shared" si="31"/>
        <v>0</v>
      </c>
      <c r="BE19" s="652">
        <f t="shared" si="32"/>
        <v>0</v>
      </c>
      <c r="BF19" s="651">
        <f t="array" ref="BF19">IFERROR(INDEX('HIV-Pharmaceuticals'!$AF$14:$AF$99,MATCH($E19&amp;$F19,'HIV-Pharmaceuticals'!$E$14:$E$99&amp;'HIV-Pharmaceuticals'!$I$14:$I$99,0)),0)</f>
        <v>0</v>
      </c>
      <c r="BG19" s="652">
        <f t="shared" si="33"/>
        <v>0</v>
      </c>
      <c r="BH19" s="652">
        <f t="shared" si="34"/>
        <v>0</v>
      </c>
      <c r="BI19" s="652">
        <f t="shared" si="35"/>
        <v>0</v>
      </c>
      <c r="BK19" s="654"/>
      <c r="BL19" s="654"/>
      <c r="BM19" s="654"/>
      <c r="BN19" s="654"/>
      <c r="BO19" s="654"/>
      <c r="BP19" s="654"/>
      <c r="BQ19" s="654"/>
      <c r="BR19" s="654"/>
    </row>
    <row r="20" spans="1:70" s="646" customFormat="1">
      <c r="A20" s="647" t="s">
        <v>561</v>
      </c>
      <c r="B20" s="647" t="s">
        <v>819</v>
      </c>
      <c r="C20" s="648">
        <f>SETUP!$F$20</f>
        <v>0</v>
      </c>
      <c r="D20" s="649">
        <v>4.0999999999999996</v>
      </c>
      <c r="E20" s="647" t="s">
        <v>114</v>
      </c>
      <c r="F20" s="647" t="s">
        <v>1606</v>
      </c>
      <c r="G20" s="650" t="str">
        <f t="array" ref="G20">IFERROR(INDEX('HIV-Pharmaceuticals'!$L$14:$L$99,MATCH($E20&amp;$F20,'HIV-Pharmaceuticals'!$E$14:$E$99&amp;'HIV-Pharmaceuticals'!$I$14:$I$99,0)),"")</f>
        <v/>
      </c>
      <c r="H20" s="650" t="str">
        <f t="array" ref="H20">IFERROR(INDEX('HIV-Pharmaceuticals'!$M$14:$M$99,MATCH($E20&amp;$F20,'HIV-Pharmaceuticals'!$E$14:$E$99&amp;'HIV-Pharmaceuticals'!$I$14:$I$99,0)),"")</f>
        <v/>
      </c>
      <c r="I20" s="651">
        <f t="array" ref="I20">IFERROR(INDEX('HIV-Pharmaceuticals'!$N$14:$N$99,MATCH($E20&amp;$F20,'HIV-Pharmaceuticals'!$E$14:$E$99&amp;'HIV-Pharmaceuticals'!$I$14:$I$99,0)),0)</f>
        <v>0</v>
      </c>
      <c r="J20" s="651">
        <f t="array" ref="J20">IFERROR(INDEX('HIV-Pharmaceuticals'!$O$14:$O$99,MATCH($E20&amp;$F20,'HIV-Pharmaceuticals'!$E$14:$E$99&amp;'HIV-Pharmaceuticals'!$I$14:$I$99,0)),0)</f>
        <v>0</v>
      </c>
      <c r="K20" s="652">
        <f t="shared" si="0"/>
        <v>0</v>
      </c>
      <c r="L20" s="652">
        <f t="shared" si="1"/>
        <v>0</v>
      </c>
      <c r="M20" s="652">
        <f t="shared" si="2"/>
        <v>0</v>
      </c>
      <c r="N20" s="651">
        <f t="array" ref="N20">IFERROR(INDEX('HIV-Pharmaceuticals'!$P$14:$P$99,MATCH($E20&amp;$F20,'HIV-Pharmaceuticals'!$E$14:$E$99&amp;'HIV-Pharmaceuticals'!$I$14:$I$99,0)),0)</f>
        <v>0</v>
      </c>
      <c r="O20" s="652">
        <f t="shared" si="3"/>
        <v>0</v>
      </c>
      <c r="P20" s="652">
        <f t="shared" si="4"/>
        <v>0</v>
      </c>
      <c r="Q20" s="652">
        <f t="shared" si="5"/>
        <v>0</v>
      </c>
      <c r="R20" s="651">
        <f t="array" ref="R20">IFERROR(INDEX('HIV-Pharmaceuticals'!$Q$14:$Q$99,MATCH($E20&amp;$F20,'HIV-Pharmaceuticals'!$E$14:$E$99&amp;'HIV-Pharmaceuticals'!$I$14:$I$99,0)),0)</f>
        <v>0</v>
      </c>
      <c r="S20" s="652">
        <f t="shared" si="6"/>
        <v>0</v>
      </c>
      <c r="T20" s="652">
        <f t="shared" si="7"/>
        <v>0</v>
      </c>
      <c r="U20" s="652">
        <f t="shared" si="8"/>
        <v>0</v>
      </c>
      <c r="V20" s="651">
        <f t="array" ref="V20">IFERROR(INDEX('HIV-Pharmaceuticals'!$R$14:$R$99,MATCH($E20&amp;$F20,'HIV-Pharmaceuticals'!$E$14:$E$99&amp;'HIV-Pharmaceuticals'!$I$14:$I$99,0)),0)</f>
        <v>0</v>
      </c>
      <c r="W20" s="652">
        <f t="shared" si="9"/>
        <v>0</v>
      </c>
      <c r="X20" s="652">
        <f t="shared" si="10"/>
        <v>0</v>
      </c>
      <c r="Y20" s="652">
        <f t="shared" si="11"/>
        <v>0</v>
      </c>
      <c r="Z20" s="653"/>
      <c r="AA20" s="651">
        <f t="array" ref="AA20">IFERROR(INDEX('HIV-Pharmaceuticals'!$U$14:$U$99,MATCH($E20&amp;$F20,'HIV-Pharmaceuticals'!$E$14:$E$99&amp;'HIV-Pharmaceuticals'!$I$14:$I$99,0)),0)</f>
        <v>0</v>
      </c>
      <c r="AB20" s="651">
        <f t="array" ref="AB20">IFERROR(INDEX('HIV-Pharmaceuticals'!$V$14:$V$99,MATCH($E20&amp;$F20,'HIV-Pharmaceuticals'!$E$14:$E$99&amp;'HIV-Pharmaceuticals'!$I$14:$I$99,0)),0)</f>
        <v>0</v>
      </c>
      <c r="AC20" s="652">
        <f t="shared" si="12"/>
        <v>0</v>
      </c>
      <c r="AD20" s="652">
        <f t="shared" si="13"/>
        <v>0</v>
      </c>
      <c r="AE20" s="652">
        <f t="shared" si="14"/>
        <v>0</v>
      </c>
      <c r="AF20" s="651">
        <f t="array" ref="AF20">IFERROR(INDEX('HIV-Pharmaceuticals'!$W$14:$W$99,MATCH($E20&amp;$F20,'HIV-Pharmaceuticals'!$E$14:$E$99&amp;'HIV-Pharmaceuticals'!$I$14:$I$99,0)),0)</f>
        <v>0</v>
      </c>
      <c r="AG20" s="652">
        <f t="shared" si="15"/>
        <v>0</v>
      </c>
      <c r="AH20" s="652">
        <f t="shared" si="16"/>
        <v>0</v>
      </c>
      <c r="AI20" s="652">
        <f t="shared" si="17"/>
        <v>0</v>
      </c>
      <c r="AJ20" s="651">
        <f t="array" ref="AJ20">IFERROR(INDEX('HIV-Pharmaceuticals'!$X$14:$X$99,MATCH($E20&amp;$F20,'HIV-Pharmaceuticals'!$E$14:$E$99&amp;'HIV-Pharmaceuticals'!$I$14:$I$99,0)),0)</f>
        <v>0</v>
      </c>
      <c r="AK20" s="652">
        <f t="shared" si="18"/>
        <v>0</v>
      </c>
      <c r="AL20" s="652">
        <f t="shared" si="19"/>
        <v>0</v>
      </c>
      <c r="AM20" s="652">
        <f t="shared" si="20"/>
        <v>0</v>
      </c>
      <c r="AN20" s="651">
        <f t="array" ref="AN20">IFERROR(INDEX('HIV-Pharmaceuticals'!$Y$14:$Y$99,MATCH($E20&amp;$F20,'HIV-Pharmaceuticals'!$E$14:$E$99&amp;'HIV-Pharmaceuticals'!$I$14:$I$99,0)),0)</f>
        <v>0</v>
      </c>
      <c r="AO20" s="652">
        <f t="shared" si="21"/>
        <v>0</v>
      </c>
      <c r="AP20" s="652">
        <f t="shared" si="22"/>
        <v>0</v>
      </c>
      <c r="AQ20" s="652">
        <f t="shared" si="23"/>
        <v>0</v>
      </c>
      <c r="AR20" s="653"/>
      <c r="AS20" s="651">
        <f t="array" ref="AS20">IFERROR(INDEX('HIV-Pharmaceuticals'!$AB$14:$AB$99,MATCH($E20&amp;$F20,'HIV-Pharmaceuticals'!$E$14:$E$99&amp;'HIV-Pharmaceuticals'!$I$14:$I$99,0)),0)</f>
        <v>0</v>
      </c>
      <c r="AT20" s="651">
        <f t="array" ref="AT20">IFERROR(INDEX('HIV-Pharmaceuticals'!$AC$14:$AC$99,MATCH($E20&amp;$F20,'HIV-Pharmaceuticals'!$E$14:$E$99&amp;'HIV-Pharmaceuticals'!$I$14:$I$99,0)),0)</f>
        <v>0</v>
      </c>
      <c r="AU20" s="652">
        <f t="shared" si="24"/>
        <v>0</v>
      </c>
      <c r="AV20" s="652">
        <f t="shared" si="25"/>
        <v>0</v>
      </c>
      <c r="AW20" s="652">
        <f t="shared" si="26"/>
        <v>0</v>
      </c>
      <c r="AX20" s="651">
        <f t="array" ref="AX20">IFERROR(INDEX('HIV-Pharmaceuticals'!$AD$14:$AD$99,MATCH($E20&amp;$F20,'HIV-Pharmaceuticals'!$E$14:$E$99&amp;'HIV-Pharmaceuticals'!$I$14:$I$99,0)),0)</f>
        <v>0</v>
      </c>
      <c r="AY20" s="652">
        <f t="shared" si="27"/>
        <v>0</v>
      </c>
      <c r="AZ20" s="652">
        <f t="shared" si="28"/>
        <v>0</v>
      </c>
      <c r="BA20" s="652">
        <f t="shared" si="29"/>
        <v>0</v>
      </c>
      <c r="BB20" s="651">
        <f t="array" ref="BB20">IFERROR(INDEX('HIV-Pharmaceuticals'!$AE$14:$AE$99,MATCH($E20&amp;$F20,'HIV-Pharmaceuticals'!$E$14:$E$99&amp;'HIV-Pharmaceuticals'!$I$14:$I$99,0)),0)</f>
        <v>0</v>
      </c>
      <c r="BC20" s="652">
        <f t="shared" si="30"/>
        <v>0</v>
      </c>
      <c r="BD20" s="652">
        <f t="shared" si="31"/>
        <v>0</v>
      </c>
      <c r="BE20" s="652">
        <f t="shared" si="32"/>
        <v>0</v>
      </c>
      <c r="BF20" s="651">
        <f t="array" ref="BF20">IFERROR(INDEX('HIV-Pharmaceuticals'!$AF$14:$AF$99,MATCH($E20&amp;$F20,'HIV-Pharmaceuticals'!$E$14:$E$99&amp;'HIV-Pharmaceuticals'!$I$14:$I$99,0)),0)</f>
        <v>0</v>
      </c>
      <c r="BG20" s="652">
        <f t="shared" si="33"/>
        <v>0</v>
      </c>
      <c r="BH20" s="652">
        <f t="shared" si="34"/>
        <v>0</v>
      </c>
      <c r="BI20" s="652">
        <f t="shared" si="35"/>
        <v>0</v>
      </c>
      <c r="BK20" s="654"/>
      <c r="BL20" s="654"/>
      <c r="BM20" s="654"/>
      <c r="BN20" s="654"/>
      <c r="BO20" s="654"/>
      <c r="BP20" s="654"/>
      <c r="BQ20" s="654"/>
      <c r="BR20" s="654"/>
    </row>
    <row r="21" spans="1:70" s="646" customFormat="1">
      <c r="A21" s="647" t="s">
        <v>561</v>
      </c>
      <c r="B21" s="647" t="s">
        <v>819</v>
      </c>
      <c r="C21" s="648">
        <f>SETUP!$F$20</f>
        <v>0</v>
      </c>
      <c r="D21" s="649">
        <v>4.0999999999999996</v>
      </c>
      <c r="E21" s="647" t="s">
        <v>114</v>
      </c>
      <c r="F21" s="647" t="s">
        <v>1607</v>
      </c>
      <c r="G21" s="650" t="str">
        <f t="array" ref="G21">IFERROR(INDEX('HIV-Pharmaceuticals'!$L$14:$L$99,MATCH($E21&amp;$F21,'HIV-Pharmaceuticals'!$E$14:$E$99&amp;'HIV-Pharmaceuticals'!$I$14:$I$99,0)),"")</f>
        <v/>
      </c>
      <c r="H21" s="650" t="str">
        <f t="array" ref="H21">IFERROR(INDEX('HIV-Pharmaceuticals'!$M$14:$M$99,MATCH($E21&amp;$F21,'HIV-Pharmaceuticals'!$E$14:$E$99&amp;'HIV-Pharmaceuticals'!$I$14:$I$99,0)),"")</f>
        <v/>
      </c>
      <c r="I21" s="651">
        <f t="array" ref="I21">IFERROR(INDEX('HIV-Pharmaceuticals'!$N$14:$N$99,MATCH($E21&amp;$F21,'HIV-Pharmaceuticals'!$E$14:$E$99&amp;'HIV-Pharmaceuticals'!$I$14:$I$99,0)),0)</f>
        <v>0</v>
      </c>
      <c r="J21" s="651">
        <f t="array" ref="J21">IFERROR(INDEX('HIV-Pharmaceuticals'!$O$14:$O$99,MATCH($E21&amp;$F21,'HIV-Pharmaceuticals'!$E$14:$E$99&amp;'HIV-Pharmaceuticals'!$I$14:$I$99,0)),0)</f>
        <v>0</v>
      </c>
      <c r="K21" s="652">
        <f t="shared" si="0"/>
        <v>0</v>
      </c>
      <c r="L21" s="652">
        <f t="shared" si="1"/>
        <v>0</v>
      </c>
      <c r="M21" s="652">
        <f t="shared" si="2"/>
        <v>0</v>
      </c>
      <c r="N21" s="651">
        <f t="array" ref="N21">IFERROR(INDEX('HIV-Pharmaceuticals'!$P$14:$P$99,MATCH($E21&amp;$F21,'HIV-Pharmaceuticals'!$E$14:$E$99&amp;'HIV-Pharmaceuticals'!$I$14:$I$99,0)),0)</f>
        <v>0</v>
      </c>
      <c r="O21" s="652">
        <f t="shared" si="3"/>
        <v>0</v>
      </c>
      <c r="P21" s="652">
        <f t="shared" si="4"/>
        <v>0</v>
      </c>
      <c r="Q21" s="652">
        <f t="shared" si="5"/>
        <v>0</v>
      </c>
      <c r="R21" s="651">
        <f t="array" ref="R21">IFERROR(INDEX('HIV-Pharmaceuticals'!$Q$14:$Q$99,MATCH($E21&amp;$F21,'HIV-Pharmaceuticals'!$E$14:$E$99&amp;'HIV-Pharmaceuticals'!$I$14:$I$99,0)),0)</f>
        <v>0</v>
      </c>
      <c r="S21" s="652">
        <f t="shared" si="6"/>
        <v>0</v>
      </c>
      <c r="T21" s="652">
        <f t="shared" si="7"/>
        <v>0</v>
      </c>
      <c r="U21" s="652">
        <f t="shared" si="8"/>
        <v>0</v>
      </c>
      <c r="V21" s="651">
        <f t="array" ref="V21">IFERROR(INDEX('HIV-Pharmaceuticals'!$R$14:$R$99,MATCH($E21&amp;$F21,'HIV-Pharmaceuticals'!$E$14:$E$99&amp;'HIV-Pharmaceuticals'!$I$14:$I$99,0)),0)</f>
        <v>0</v>
      </c>
      <c r="W21" s="652">
        <f t="shared" si="9"/>
        <v>0</v>
      </c>
      <c r="X21" s="652">
        <f t="shared" si="10"/>
        <v>0</v>
      </c>
      <c r="Y21" s="652">
        <f t="shared" si="11"/>
        <v>0</v>
      </c>
      <c r="Z21" s="653"/>
      <c r="AA21" s="651">
        <f t="array" ref="AA21">IFERROR(INDEX('HIV-Pharmaceuticals'!$U$14:$U$99,MATCH($E21&amp;$F21,'HIV-Pharmaceuticals'!$E$14:$E$99&amp;'HIV-Pharmaceuticals'!$I$14:$I$99,0)),0)</f>
        <v>0</v>
      </c>
      <c r="AB21" s="651">
        <f t="array" ref="AB21">IFERROR(INDEX('HIV-Pharmaceuticals'!$V$14:$V$99,MATCH($E21&amp;$F21,'HIV-Pharmaceuticals'!$E$14:$E$99&amp;'HIV-Pharmaceuticals'!$I$14:$I$99,0)),0)</f>
        <v>0</v>
      </c>
      <c r="AC21" s="652">
        <f t="shared" si="12"/>
        <v>0</v>
      </c>
      <c r="AD21" s="652">
        <f t="shared" si="13"/>
        <v>0</v>
      </c>
      <c r="AE21" s="652">
        <f t="shared" si="14"/>
        <v>0</v>
      </c>
      <c r="AF21" s="651">
        <f t="array" ref="AF21">IFERROR(INDEX('HIV-Pharmaceuticals'!$W$14:$W$99,MATCH($E21&amp;$F21,'HIV-Pharmaceuticals'!$E$14:$E$99&amp;'HIV-Pharmaceuticals'!$I$14:$I$99,0)),0)</f>
        <v>0</v>
      </c>
      <c r="AG21" s="652">
        <f t="shared" si="15"/>
        <v>0</v>
      </c>
      <c r="AH21" s="652">
        <f t="shared" si="16"/>
        <v>0</v>
      </c>
      <c r="AI21" s="652">
        <f t="shared" si="17"/>
        <v>0</v>
      </c>
      <c r="AJ21" s="651">
        <f t="array" ref="AJ21">IFERROR(INDEX('HIV-Pharmaceuticals'!$X$14:$X$99,MATCH($E21&amp;$F21,'HIV-Pharmaceuticals'!$E$14:$E$99&amp;'HIV-Pharmaceuticals'!$I$14:$I$99,0)),0)</f>
        <v>0</v>
      </c>
      <c r="AK21" s="652">
        <f t="shared" si="18"/>
        <v>0</v>
      </c>
      <c r="AL21" s="652">
        <f t="shared" si="19"/>
        <v>0</v>
      </c>
      <c r="AM21" s="652">
        <f t="shared" si="20"/>
        <v>0</v>
      </c>
      <c r="AN21" s="651">
        <f t="array" ref="AN21">IFERROR(INDEX('HIV-Pharmaceuticals'!$Y$14:$Y$99,MATCH($E21&amp;$F21,'HIV-Pharmaceuticals'!$E$14:$E$99&amp;'HIV-Pharmaceuticals'!$I$14:$I$99,0)),0)</f>
        <v>0</v>
      </c>
      <c r="AO21" s="652">
        <f t="shared" si="21"/>
        <v>0</v>
      </c>
      <c r="AP21" s="652">
        <f t="shared" si="22"/>
        <v>0</v>
      </c>
      <c r="AQ21" s="652">
        <f t="shared" si="23"/>
        <v>0</v>
      </c>
      <c r="AR21" s="653"/>
      <c r="AS21" s="651">
        <f t="array" ref="AS21">IFERROR(INDEX('HIV-Pharmaceuticals'!$AB$14:$AB$99,MATCH($E21&amp;$F21,'HIV-Pharmaceuticals'!$E$14:$E$99&amp;'HIV-Pharmaceuticals'!$I$14:$I$99,0)),0)</f>
        <v>0</v>
      </c>
      <c r="AT21" s="651">
        <f t="array" ref="AT21">IFERROR(INDEX('HIV-Pharmaceuticals'!$AC$14:$AC$99,MATCH($E21&amp;$F21,'HIV-Pharmaceuticals'!$E$14:$E$99&amp;'HIV-Pharmaceuticals'!$I$14:$I$99,0)),0)</f>
        <v>0</v>
      </c>
      <c r="AU21" s="652">
        <f t="shared" si="24"/>
        <v>0</v>
      </c>
      <c r="AV21" s="652">
        <f t="shared" si="25"/>
        <v>0</v>
      </c>
      <c r="AW21" s="652">
        <f t="shared" si="26"/>
        <v>0</v>
      </c>
      <c r="AX21" s="651">
        <f t="array" ref="AX21">IFERROR(INDEX('HIV-Pharmaceuticals'!$AD$14:$AD$99,MATCH($E21&amp;$F21,'HIV-Pharmaceuticals'!$E$14:$E$99&amp;'HIV-Pharmaceuticals'!$I$14:$I$99,0)),0)</f>
        <v>0</v>
      </c>
      <c r="AY21" s="652">
        <f t="shared" si="27"/>
        <v>0</v>
      </c>
      <c r="AZ21" s="652">
        <f t="shared" si="28"/>
        <v>0</v>
      </c>
      <c r="BA21" s="652">
        <f t="shared" si="29"/>
        <v>0</v>
      </c>
      <c r="BB21" s="651">
        <f t="array" ref="BB21">IFERROR(INDEX('HIV-Pharmaceuticals'!$AE$14:$AE$99,MATCH($E21&amp;$F21,'HIV-Pharmaceuticals'!$E$14:$E$99&amp;'HIV-Pharmaceuticals'!$I$14:$I$99,0)),0)</f>
        <v>0</v>
      </c>
      <c r="BC21" s="652">
        <f t="shared" si="30"/>
        <v>0</v>
      </c>
      <c r="BD21" s="652">
        <f t="shared" si="31"/>
        <v>0</v>
      </c>
      <c r="BE21" s="652">
        <f t="shared" si="32"/>
        <v>0</v>
      </c>
      <c r="BF21" s="651">
        <f t="array" ref="BF21">IFERROR(INDEX('HIV-Pharmaceuticals'!$AF$14:$AF$99,MATCH($E21&amp;$F21,'HIV-Pharmaceuticals'!$E$14:$E$99&amp;'HIV-Pharmaceuticals'!$I$14:$I$99,0)),0)</f>
        <v>0</v>
      </c>
      <c r="BG21" s="652">
        <f t="shared" si="33"/>
        <v>0</v>
      </c>
      <c r="BH21" s="652">
        <f t="shared" si="34"/>
        <v>0</v>
      </c>
      <c r="BI21" s="652">
        <f t="shared" si="35"/>
        <v>0</v>
      </c>
      <c r="BK21" s="654"/>
      <c r="BL21" s="654"/>
      <c r="BM21" s="654"/>
      <c r="BN21" s="654"/>
      <c r="BO21" s="654"/>
      <c r="BP21" s="654"/>
      <c r="BQ21" s="654"/>
      <c r="BR21" s="654"/>
    </row>
    <row r="22" spans="1:70" s="646" customFormat="1">
      <c r="A22" s="647" t="s">
        <v>561</v>
      </c>
      <c r="B22" s="647" t="s">
        <v>819</v>
      </c>
      <c r="C22" s="648">
        <f>SETUP!$F$20</f>
        <v>0</v>
      </c>
      <c r="D22" s="649">
        <v>4.0999999999999996</v>
      </c>
      <c r="E22" s="647" t="s">
        <v>114</v>
      </c>
      <c r="F22" s="647" t="s">
        <v>1608</v>
      </c>
      <c r="G22" s="650" t="str">
        <f t="array" ref="G22">IFERROR(INDEX('HIV-Pharmaceuticals'!$L$14:$L$99,MATCH($E22&amp;$F22,'HIV-Pharmaceuticals'!$E$14:$E$99&amp;'HIV-Pharmaceuticals'!$I$14:$I$99,0)),"")</f>
        <v/>
      </c>
      <c r="H22" s="650" t="str">
        <f t="array" ref="H22">IFERROR(INDEX('HIV-Pharmaceuticals'!$M$14:$M$99,MATCH($E22&amp;$F22,'HIV-Pharmaceuticals'!$E$14:$E$99&amp;'HIV-Pharmaceuticals'!$I$14:$I$99,0)),"")</f>
        <v/>
      </c>
      <c r="I22" s="651">
        <f t="array" ref="I22">IFERROR(INDEX('HIV-Pharmaceuticals'!$N$14:$N$99,MATCH($E22&amp;$F22,'HIV-Pharmaceuticals'!$E$14:$E$99&amp;'HIV-Pharmaceuticals'!$I$14:$I$99,0)),0)</f>
        <v>0</v>
      </c>
      <c r="J22" s="651">
        <f t="array" ref="J22">IFERROR(INDEX('HIV-Pharmaceuticals'!$O$14:$O$99,MATCH($E22&amp;$F22,'HIV-Pharmaceuticals'!$E$14:$E$99&amp;'HIV-Pharmaceuticals'!$I$14:$I$99,0)),0)</f>
        <v>0</v>
      </c>
      <c r="K22" s="652">
        <f t="shared" si="0"/>
        <v>0</v>
      </c>
      <c r="L22" s="652">
        <f t="shared" si="1"/>
        <v>0</v>
      </c>
      <c r="M22" s="652">
        <f t="shared" si="2"/>
        <v>0</v>
      </c>
      <c r="N22" s="651">
        <f t="array" ref="N22">IFERROR(INDEX('HIV-Pharmaceuticals'!$P$14:$P$99,MATCH($E22&amp;$F22,'HIV-Pharmaceuticals'!$E$14:$E$99&amp;'HIV-Pharmaceuticals'!$I$14:$I$99,0)),0)</f>
        <v>0</v>
      </c>
      <c r="O22" s="652">
        <f t="shared" si="3"/>
        <v>0</v>
      </c>
      <c r="P22" s="652">
        <f t="shared" si="4"/>
        <v>0</v>
      </c>
      <c r="Q22" s="652">
        <f t="shared" si="5"/>
        <v>0</v>
      </c>
      <c r="R22" s="651">
        <f t="array" ref="R22">IFERROR(INDEX('HIV-Pharmaceuticals'!$Q$14:$Q$99,MATCH($E22&amp;$F22,'HIV-Pharmaceuticals'!$E$14:$E$99&amp;'HIV-Pharmaceuticals'!$I$14:$I$99,0)),0)</f>
        <v>0</v>
      </c>
      <c r="S22" s="652">
        <f t="shared" si="6"/>
        <v>0</v>
      </c>
      <c r="T22" s="652">
        <f t="shared" si="7"/>
        <v>0</v>
      </c>
      <c r="U22" s="652">
        <f t="shared" si="8"/>
        <v>0</v>
      </c>
      <c r="V22" s="651">
        <f t="array" ref="V22">IFERROR(INDEX('HIV-Pharmaceuticals'!$R$14:$R$99,MATCH($E22&amp;$F22,'HIV-Pharmaceuticals'!$E$14:$E$99&amp;'HIV-Pharmaceuticals'!$I$14:$I$99,0)),0)</f>
        <v>0</v>
      </c>
      <c r="W22" s="652">
        <f t="shared" si="9"/>
        <v>0</v>
      </c>
      <c r="X22" s="652">
        <f t="shared" si="10"/>
        <v>0</v>
      </c>
      <c r="Y22" s="652">
        <f t="shared" si="11"/>
        <v>0</v>
      </c>
      <c r="Z22" s="653"/>
      <c r="AA22" s="651">
        <f t="array" ref="AA22">IFERROR(INDEX('HIV-Pharmaceuticals'!$U$14:$U$99,MATCH($E22&amp;$F22,'HIV-Pharmaceuticals'!$E$14:$E$99&amp;'HIV-Pharmaceuticals'!$I$14:$I$99,0)),0)</f>
        <v>0</v>
      </c>
      <c r="AB22" s="651">
        <f t="array" ref="AB22">IFERROR(INDEX('HIV-Pharmaceuticals'!$V$14:$V$99,MATCH($E22&amp;$F22,'HIV-Pharmaceuticals'!$E$14:$E$99&amp;'HIV-Pharmaceuticals'!$I$14:$I$99,0)),0)</f>
        <v>0</v>
      </c>
      <c r="AC22" s="652">
        <f t="shared" si="12"/>
        <v>0</v>
      </c>
      <c r="AD22" s="652">
        <f t="shared" si="13"/>
        <v>0</v>
      </c>
      <c r="AE22" s="652">
        <f t="shared" si="14"/>
        <v>0</v>
      </c>
      <c r="AF22" s="651">
        <f t="array" ref="AF22">IFERROR(INDEX('HIV-Pharmaceuticals'!$W$14:$W$99,MATCH($E22&amp;$F22,'HIV-Pharmaceuticals'!$E$14:$E$99&amp;'HIV-Pharmaceuticals'!$I$14:$I$99,0)),0)</f>
        <v>0</v>
      </c>
      <c r="AG22" s="652">
        <f t="shared" si="15"/>
        <v>0</v>
      </c>
      <c r="AH22" s="652">
        <f t="shared" si="16"/>
        <v>0</v>
      </c>
      <c r="AI22" s="652">
        <f t="shared" si="17"/>
        <v>0</v>
      </c>
      <c r="AJ22" s="651">
        <f t="array" ref="AJ22">IFERROR(INDEX('HIV-Pharmaceuticals'!$X$14:$X$99,MATCH($E22&amp;$F22,'HIV-Pharmaceuticals'!$E$14:$E$99&amp;'HIV-Pharmaceuticals'!$I$14:$I$99,0)),0)</f>
        <v>0</v>
      </c>
      <c r="AK22" s="652">
        <f t="shared" si="18"/>
        <v>0</v>
      </c>
      <c r="AL22" s="652">
        <f t="shared" si="19"/>
        <v>0</v>
      </c>
      <c r="AM22" s="652">
        <f t="shared" si="20"/>
        <v>0</v>
      </c>
      <c r="AN22" s="651">
        <f t="array" ref="AN22">IFERROR(INDEX('HIV-Pharmaceuticals'!$Y$14:$Y$99,MATCH($E22&amp;$F22,'HIV-Pharmaceuticals'!$E$14:$E$99&amp;'HIV-Pharmaceuticals'!$I$14:$I$99,0)),0)</f>
        <v>0</v>
      </c>
      <c r="AO22" s="652">
        <f t="shared" si="21"/>
        <v>0</v>
      </c>
      <c r="AP22" s="652">
        <f t="shared" si="22"/>
        <v>0</v>
      </c>
      <c r="AQ22" s="652">
        <f t="shared" si="23"/>
        <v>0</v>
      </c>
      <c r="AR22" s="653"/>
      <c r="AS22" s="651">
        <f t="array" ref="AS22">IFERROR(INDEX('HIV-Pharmaceuticals'!$AB$14:$AB$99,MATCH($E22&amp;$F22,'HIV-Pharmaceuticals'!$E$14:$E$99&amp;'HIV-Pharmaceuticals'!$I$14:$I$99,0)),0)</f>
        <v>0</v>
      </c>
      <c r="AT22" s="651">
        <f t="array" ref="AT22">IFERROR(INDEX('HIV-Pharmaceuticals'!$AC$14:$AC$99,MATCH($E22&amp;$F22,'HIV-Pharmaceuticals'!$E$14:$E$99&amp;'HIV-Pharmaceuticals'!$I$14:$I$99,0)),0)</f>
        <v>0</v>
      </c>
      <c r="AU22" s="652">
        <f t="shared" si="24"/>
        <v>0</v>
      </c>
      <c r="AV22" s="652">
        <f t="shared" si="25"/>
        <v>0</v>
      </c>
      <c r="AW22" s="652">
        <f t="shared" si="26"/>
        <v>0</v>
      </c>
      <c r="AX22" s="651">
        <f t="array" ref="AX22">IFERROR(INDEX('HIV-Pharmaceuticals'!$AD$14:$AD$99,MATCH($E22&amp;$F22,'HIV-Pharmaceuticals'!$E$14:$E$99&amp;'HIV-Pharmaceuticals'!$I$14:$I$99,0)),0)</f>
        <v>0</v>
      </c>
      <c r="AY22" s="652">
        <f t="shared" si="27"/>
        <v>0</v>
      </c>
      <c r="AZ22" s="652">
        <f t="shared" si="28"/>
        <v>0</v>
      </c>
      <c r="BA22" s="652">
        <f t="shared" si="29"/>
        <v>0</v>
      </c>
      <c r="BB22" s="651">
        <f t="array" ref="BB22">IFERROR(INDEX('HIV-Pharmaceuticals'!$AE$14:$AE$99,MATCH($E22&amp;$F22,'HIV-Pharmaceuticals'!$E$14:$E$99&amp;'HIV-Pharmaceuticals'!$I$14:$I$99,0)),0)</f>
        <v>0</v>
      </c>
      <c r="BC22" s="652">
        <f t="shared" si="30"/>
        <v>0</v>
      </c>
      <c r="BD22" s="652">
        <f t="shared" si="31"/>
        <v>0</v>
      </c>
      <c r="BE22" s="652">
        <f t="shared" si="32"/>
        <v>0</v>
      </c>
      <c r="BF22" s="651">
        <f t="array" ref="BF22">IFERROR(INDEX('HIV-Pharmaceuticals'!$AF$14:$AF$99,MATCH($E22&amp;$F22,'HIV-Pharmaceuticals'!$E$14:$E$99&amp;'HIV-Pharmaceuticals'!$I$14:$I$99,0)),0)</f>
        <v>0</v>
      </c>
      <c r="BG22" s="652">
        <f t="shared" si="33"/>
        <v>0</v>
      </c>
      <c r="BH22" s="652">
        <f t="shared" si="34"/>
        <v>0</v>
      </c>
      <c r="BI22" s="652">
        <f t="shared" si="35"/>
        <v>0</v>
      </c>
      <c r="BK22" s="654"/>
      <c r="BL22" s="654"/>
      <c r="BM22" s="654"/>
      <c r="BN22" s="654"/>
      <c r="BO22" s="654"/>
      <c r="BP22" s="654"/>
      <c r="BQ22" s="654"/>
      <c r="BR22" s="654"/>
    </row>
    <row r="23" spans="1:70" s="646" customFormat="1">
      <c r="A23" s="647" t="s">
        <v>561</v>
      </c>
      <c r="B23" s="647" t="s">
        <v>819</v>
      </c>
      <c r="C23" s="648">
        <f>SETUP!$F$20</f>
        <v>0</v>
      </c>
      <c r="D23" s="649">
        <v>4.0999999999999996</v>
      </c>
      <c r="E23" s="647" t="s">
        <v>114</v>
      </c>
      <c r="F23" s="647" t="s">
        <v>1609</v>
      </c>
      <c r="G23" s="650" t="str">
        <f t="array" ref="G23">IFERROR(INDEX('HIV-Pharmaceuticals'!$L$14:$L$99,MATCH($E23&amp;$F23,'HIV-Pharmaceuticals'!$E$14:$E$99&amp;'HIV-Pharmaceuticals'!$I$14:$I$99,0)),"")</f>
        <v/>
      </c>
      <c r="H23" s="650" t="str">
        <f t="array" ref="H23">IFERROR(INDEX('HIV-Pharmaceuticals'!$M$14:$M$99,MATCH($E23&amp;$F23,'HIV-Pharmaceuticals'!$E$14:$E$99&amp;'HIV-Pharmaceuticals'!$I$14:$I$99,0)),"")</f>
        <v/>
      </c>
      <c r="I23" s="651">
        <f t="array" ref="I23">IFERROR(INDEX('HIV-Pharmaceuticals'!$N$14:$N$99,MATCH($E23&amp;$F23,'HIV-Pharmaceuticals'!$E$14:$E$99&amp;'HIV-Pharmaceuticals'!$I$14:$I$99,0)),0)</f>
        <v>0</v>
      </c>
      <c r="J23" s="651">
        <f t="array" ref="J23">IFERROR(INDEX('HIV-Pharmaceuticals'!$O$14:$O$99,MATCH($E23&amp;$F23,'HIV-Pharmaceuticals'!$E$14:$E$99&amp;'HIV-Pharmaceuticals'!$I$14:$I$99,0)),0)</f>
        <v>0</v>
      </c>
      <c r="K23" s="652">
        <f t="shared" si="0"/>
        <v>0</v>
      </c>
      <c r="L23" s="652">
        <f t="shared" si="1"/>
        <v>0</v>
      </c>
      <c r="M23" s="652">
        <f t="shared" si="2"/>
        <v>0</v>
      </c>
      <c r="N23" s="651">
        <f t="array" ref="N23">IFERROR(INDEX('HIV-Pharmaceuticals'!$P$14:$P$99,MATCH($E23&amp;$F23,'HIV-Pharmaceuticals'!$E$14:$E$99&amp;'HIV-Pharmaceuticals'!$I$14:$I$99,0)),0)</f>
        <v>0</v>
      </c>
      <c r="O23" s="652">
        <f t="shared" si="3"/>
        <v>0</v>
      </c>
      <c r="P23" s="652">
        <f t="shared" si="4"/>
        <v>0</v>
      </c>
      <c r="Q23" s="652">
        <f t="shared" si="5"/>
        <v>0</v>
      </c>
      <c r="R23" s="651">
        <f t="array" ref="R23">IFERROR(INDEX('HIV-Pharmaceuticals'!$Q$14:$Q$99,MATCH($E23&amp;$F23,'HIV-Pharmaceuticals'!$E$14:$E$99&amp;'HIV-Pharmaceuticals'!$I$14:$I$99,0)),0)</f>
        <v>0</v>
      </c>
      <c r="S23" s="652">
        <f t="shared" si="6"/>
        <v>0</v>
      </c>
      <c r="T23" s="652">
        <f t="shared" si="7"/>
        <v>0</v>
      </c>
      <c r="U23" s="652">
        <f t="shared" si="8"/>
        <v>0</v>
      </c>
      <c r="V23" s="651">
        <f t="array" ref="V23">IFERROR(INDEX('HIV-Pharmaceuticals'!$R$14:$R$99,MATCH($E23&amp;$F23,'HIV-Pharmaceuticals'!$E$14:$E$99&amp;'HIV-Pharmaceuticals'!$I$14:$I$99,0)),0)</f>
        <v>0</v>
      </c>
      <c r="W23" s="652">
        <f t="shared" si="9"/>
        <v>0</v>
      </c>
      <c r="X23" s="652">
        <f t="shared" si="10"/>
        <v>0</v>
      </c>
      <c r="Y23" s="652">
        <f t="shared" si="11"/>
        <v>0</v>
      </c>
      <c r="Z23" s="653"/>
      <c r="AA23" s="651">
        <f t="array" ref="AA23">IFERROR(INDEX('HIV-Pharmaceuticals'!$U$14:$U$99,MATCH($E23&amp;$F23,'HIV-Pharmaceuticals'!$E$14:$E$99&amp;'HIV-Pharmaceuticals'!$I$14:$I$99,0)),0)</f>
        <v>0</v>
      </c>
      <c r="AB23" s="651">
        <f t="array" ref="AB23">IFERROR(INDEX('HIV-Pharmaceuticals'!$V$14:$V$99,MATCH($E23&amp;$F23,'HIV-Pharmaceuticals'!$E$14:$E$99&amp;'HIV-Pharmaceuticals'!$I$14:$I$99,0)),0)</f>
        <v>0</v>
      </c>
      <c r="AC23" s="652">
        <f t="shared" si="12"/>
        <v>0</v>
      </c>
      <c r="AD23" s="652">
        <f t="shared" si="13"/>
        <v>0</v>
      </c>
      <c r="AE23" s="652">
        <f t="shared" si="14"/>
        <v>0</v>
      </c>
      <c r="AF23" s="651">
        <f t="array" ref="AF23">IFERROR(INDEX('HIV-Pharmaceuticals'!$W$14:$W$99,MATCH($E23&amp;$F23,'HIV-Pharmaceuticals'!$E$14:$E$99&amp;'HIV-Pharmaceuticals'!$I$14:$I$99,0)),0)</f>
        <v>0</v>
      </c>
      <c r="AG23" s="652">
        <f t="shared" si="15"/>
        <v>0</v>
      </c>
      <c r="AH23" s="652">
        <f t="shared" si="16"/>
        <v>0</v>
      </c>
      <c r="AI23" s="652">
        <f t="shared" si="17"/>
        <v>0</v>
      </c>
      <c r="AJ23" s="651">
        <f t="array" ref="AJ23">IFERROR(INDEX('HIV-Pharmaceuticals'!$X$14:$X$99,MATCH($E23&amp;$F23,'HIV-Pharmaceuticals'!$E$14:$E$99&amp;'HIV-Pharmaceuticals'!$I$14:$I$99,0)),0)</f>
        <v>0</v>
      </c>
      <c r="AK23" s="652">
        <f t="shared" si="18"/>
        <v>0</v>
      </c>
      <c r="AL23" s="652">
        <f t="shared" si="19"/>
        <v>0</v>
      </c>
      <c r="AM23" s="652">
        <f t="shared" si="20"/>
        <v>0</v>
      </c>
      <c r="AN23" s="651">
        <f t="array" ref="AN23">IFERROR(INDEX('HIV-Pharmaceuticals'!$Y$14:$Y$99,MATCH($E23&amp;$F23,'HIV-Pharmaceuticals'!$E$14:$E$99&amp;'HIV-Pharmaceuticals'!$I$14:$I$99,0)),0)</f>
        <v>0</v>
      </c>
      <c r="AO23" s="652">
        <f t="shared" si="21"/>
        <v>0</v>
      </c>
      <c r="AP23" s="652">
        <f t="shared" si="22"/>
        <v>0</v>
      </c>
      <c r="AQ23" s="652">
        <f t="shared" si="23"/>
        <v>0</v>
      </c>
      <c r="AR23" s="653"/>
      <c r="AS23" s="651">
        <f t="array" ref="AS23">IFERROR(INDEX('HIV-Pharmaceuticals'!$AB$14:$AB$99,MATCH($E23&amp;$F23,'HIV-Pharmaceuticals'!$E$14:$E$99&amp;'HIV-Pharmaceuticals'!$I$14:$I$99,0)),0)</f>
        <v>0</v>
      </c>
      <c r="AT23" s="651">
        <f t="array" ref="AT23">IFERROR(INDEX('HIV-Pharmaceuticals'!$AC$14:$AC$99,MATCH($E23&amp;$F23,'HIV-Pharmaceuticals'!$E$14:$E$99&amp;'HIV-Pharmaceuticals'!$I$14:$I$99,0)),0)</f>
        <v>0</v>
      </c>
      <c r="AU23" s="652">
        <f t="shared" si="24"/>
        <v>0</v>
      </c>
      <c r="AV23" s="652">
        <f t="shared" si="25"/>
        <v>0</v>
      </c>
      <c r="AW23" s="652">
        <f t="shared" si="26"/>
        <v>0</v>
      </c>
      <c r="AX23" s="651">
        <f t="array" ref="AX23">IFERROR(INDEX('HIV-Pharmaceuticals'!$AD$14:$AD$99,MATCH($E23&amp;$F23,'HIV-Pharmaceuticals'!$E$14:$E$99&amp;'HIV-Pharmaceuticals'!$I$14:$I$99,0)),0)</f>
        <v>0</v>
      </c>
      <c r="AY23" s="652">
        <f t="shared" si="27"/>
        <v>0</v>
      </c>
      <c r="AZ23" s="652">
        <f t="shared" si="28"/>
        <v>0</v>
      </c>
      <c r="BA23" s="652">
        <f t="shared" si="29"/>
        <v>0</v>
      </c>
      <c r="BB23" s="651">
        <f t="array" ref="BB23">IFERROR(INDEX('HIV-Pharmaceuticals'!$AE$14:$AE$99,MATCH($E23&amp;$F23,'HIV-Pharmaceuticals'!$E$14:$E$99&amp;'HIV-Pharmaceuticals'!$I$14:$I$99,0)),0)</f>
        <v>0</v>
      </c>
      <c r="BC23" s="652">
        <f t="shared" si="30"/>
        <v>0</v>
      </c>
      <c r="BD23" s="652">
        <f t="shared" si="31"/>
        <v>0</v>
      </c>
      <c r="BE23" s="652">
        <f t="shared" si="32"/>
        <v>0</v>
      </c>
      <c r="BF23" s="651">
        <f t="array" ref="BF23">IFERROR(INDEX('HIV-Pharmaceuticals'!$AF$14:$AF$99,MATCH($E23&amp;$F23,'HIV-Pharmaceuticals'!$E$14:$E$99&amp;'HIV-Pharmaceuticals'!$I$14:$I$99,0)),0)</f>
        <v>0</v>
      </c>
      <c r="BG23" s="652">
        <f t="shared" si="33"/>
        <v>0</v>
      </c>
      <c r="BH23" s="652">
        <f t="shared" si="34"/>
        <v>0</v>
      </c>
      <c r="BI23" s="652">
        <f t="shared" si="35"/>
        <v>0</v>
      </c>
      <c r="BK23" s="654"/>
      <c r="BL23" s="654"/>
      <c r="BM23" s="654"/>
      <c r="BN23" s="654"/>
      <c r="BO23" s="654"/>
      <c r="BP23" s="654"/>
      <c r="BQ23" s="654"/>
      <c r="BR23" s="654"/>
    </row>
    <row r="24" spans="1:70" s="646" customFormat="1">
      <c r="A24" s="647" t="s">
        <v>561</v>
      </c>
      <c r="B24" s="647" t="s">
        <v>819</v>
      </c>
      <c r="C24" s="648">
        <f>SETUP!$F$20</f>
        <v>0</v>
      </c>
      <c r="D24" s="649">
        <v>4.0999999999999996</v>
      </c>
      <c r="E24" s="647" t="s">
        <v>1610</v>
      </c>
      <c r="F24" s="647" t="s">
        <v>1611</v>
      </c>
      <c r="G24" s="650" t="str">
        <f t="array" ref="G24">IFERROR(INDEX('HIV-Pharmaceuticals'!$L$14:$L$99,MATCH($E24&amp;$F24,'HIV-Pharmaceuticals'!$E$14:$E$99&amp;'HIV-Pharmaceuticals'!$I$14:$I$99,0)),"")</f>
        <v/>
      </c>
      <c r="H24" s="650" t="str">
        <f t="array" ref="H24">IFERROR(INDEX('HIV-Pharmaceuticals'!$M$14:$M$99,MATCH($E24&amp;$F24,'HIV-Pharmaceuticals'!$E$14:$E$99&amp;'HIV-Pharmaceuticals'!$I$14:$I$99,0)),"")</f>
        <v/>
      </c>
      <c r="I24" s="651">
        <f t="array" ref="I24">IFERROR(INDEX('HIV-Pharmaceuticals'!$N$14:$N$99,MATCH($E24&amp;$F24,'HIV-Pharmaceuticals'!$E$14:$E$99&amp;'HIV-Pharmaceuticals'!$I$14:$I$99,0)),0)</f>
        <v>0</v>
      </c>
      <c r="J24" s="651">
        <f t="array" ref="J24">IFERROR(INDEX('HIV-Pharmaceuticals'!$O$14:$O$99,MATCH($E24&amp;$F24,'HIV-Pharmaceuticals'!$E$14:$E$99&amp;'HIV-Pharmaceuticals'!$I$14:$I$99,0)),0)</f>
        <v>0</v>
      </c>
      <c r="K24" s="652">
        <f t="shared" si="0"/>
        <v>0</v>
      </c>
      <c r="L24" s="652">
        <f t="shared" si="1"/>
        <v>0</v>
      </c>
      <c r="M24" s="652">
        <f t="shared" si="2"/>
        <v>0</v>
      </c>
      <c r="N24" s="651">
        <f t="array" ref="N24">IFERROR(INDEX('HIV-Pharmaceuticals'!$P$14:$P$99,MATCH($E24&amp;$F24,'HIV-Pharmaceuticals'!$E$14:$E$99&amp;'HIV-Pharmaceuticals'!$I$14:$I$99,0)),0)</f>
        <v>0</v>
      </c>
      <c r="O24" s="652">
        <f t="shared" si="3"/>
        <v>0</v>
      </c>
      <c r="P24" s="652">
        <f t="shared" si="4"/>
        <v>0</v>
      </c>
      <c r="Q24" s="652">
        <f t="shared" si="5"/>
        <v>0</v>
      </c>
      <c r="R24" s="651">
        <f t="array" ref="R24">IFERROR(INDEX('HIV-Pharmaceuticals'!$Q$14:$Q$99,MATCH($E24&amp;$F24,'HIV-Pharmaceuticals'!$E$14:$E$99&amp;'HIV-Pharmaceuticals'!$I$14:$I$99,0)),0)</f>
        <v>0</v>
      </c>
      <c r="S24" s="652">
        <f t="shared" si="6"/>
        <v>0</v>
      </c>
      <c r="T24" s="652">
        <f t="shared" si="7"/>
        <v>0</v>
      </c>
      <c r="U24" s="652">
        <f t="shared" si="8"/>
        <v>0</v>
      </c>
      <c r="V24" s="651">
        <f t="array" ref="V24">IFERROR(INDEX('HIV-Pharmaceuticals'!$R$14:$R$99,MATCH($E24&amp;$F24,'HIV-Pharmaceuticals'!$E$14:$E$99&amp;'HIV-Pharmaceuticals'!$I$14:$I$99,0)),0)</f>
        <v>0</v>
      </c>
      <c r="W24" s="652">
        <f t="shared" si="9"/>
        <v>0</v>
      </c>
      <c r="X24" s="652">
        <f t="shared" si="10"/>
        <v>0</v>
      </c>
      <c r="Y24" s="652">
        <f t="shared" si="11"/>
        <v>0</v>
      </c>
      <c r="Z24" s="653"/>
      <c r="AA24" s="651">
        <f t="array" ref="AA24">IFERROR(INDEX('HIV-Pharmaceuticals'!$U$14:$U$99,MATCH($E24&amp;$F24,'HIV-Pharmaceuticals'!$E$14:$E$99&amp;'HIV-Pharmaceuticals'!$I$14:$I$99,0)),0)</f>
        <v>0</v>
      </c>
      <c r="AB24" s="651">
        <f t="array" ref="AB24">IFERROR(INDEX('HIV-Pharmaceuticals'!$V$14:$V$99,MATCH($E24&amp;$F24,'HIV-Pharmaceuticals'!$E$14:$E$99&amp;'HIV-Pharmaceuticals'!$I$14:$I$99,0)),0)</f>
        <v>0</v>
      </c>
      <c r="AC24" s="652">
        <f t="shared" si="12"/>
        <v>0</v>
      </c>
      <c r="AD24" s="652">
        <f t="shared" si="13"/>
        <v>0</v>
      </c>
      <c r="AE24" s="652">
        <f t="shared" si="14"/>
        <v>0</v>
      </c>
      <c r="AF24" s="651">
        <f t="array" ref="AF24">IFERROR(INDEX('HIV-Pharmaceuticals'!$W$14:$W$99,MATCH($E24&amp;$F24,'HIV-Pharmaceuticals'!$E$14:$E$99&amp;'HIV-Pharmaceuticals'!$I$14:$I$99,0)),0)</f>
        <v>0</v>
      </c>
      <c r="AG24" s="652">
        <f t="shared" si="15"/>
        <v>0</v>
      </c>
      <c r="AH24" s="652">
        <f t="shared" si="16"/>
        <v>0</v>
      </c>
      <c r="AI24" s="652">
        <f t="shared" si="17"/>
        <v>0</v>
      </c>
      <c r="AJ24" s="651">
        <f t="array" ref="AJ24">IFERROR(INDEX('HIV-Pharmaceuticals'!$X$14:$X$99,MATCH($E24&amp;$F24,'HIV-Pharmaceuticals'!$E$14:$E$99&amp;'HIV-Pharmaceuticals'!$I$14:$I$99,0)),0)</f>
        <v>0</v>
      </c>
      <c r="AK24" s="652">
        <f t="shared" si="18"/>
        <v>0</v>
      </c>
      <c r="AL24" s="652">
        <f t="shared" si="19"/>
        <v>0</v>
      </c>
      <c r="AM24" s="652">
        <f t="shared" si="20"/>
        <v>0</v>
      </c>
      <c r="AN24" s="651">
        <f t="array" ref="AN24">IFERROR(INDEX('HIV-Pharmaceuticals'!$Y$14:$Y$99,MATCH($E24&amp;$F24,'HIV-Pharmaceuticals'!$E$14:$E$99&amp;'HIV-Pharmaceuticals'!$I$14:$I$99,0)),0)</f>
        <v>0</v>
      </c>
      <c r="AO24" s="652">
        <f t="shared" si="21"/>
        <v>0</v>
      </c>
      <c r="AP24" s="652">
        <f t="shared" si="22"/>
        <v>0</v>
      </c>
      <c r="AQ24" s="652">
        <f t="shared" si="23"/>
        <v>0</v>
      </c>
      <c r="AR24" s="653"/>
      <c r="AS24" s="651">
        <f t="array" ref="AS24">IFERROR(INDEX('HIV-Pharmaceuticals'!$AB$14:$AB$99,MATCH($E24&amp;$F24,'HIV-Pharmaceuticals'!$E$14:$E$99&amp;'HIV-Pharmaceuticals'!$I$14:$I$99,0)),0)</f>
        <v>0</v>
      </c>
      <c r="AT24" s="651">
        <f t="array" ref="AT24">IFERROR(INDEX('HIV-Pharmaceuticals'!$AC$14:$AC$99,MATCH($E24&amp;$F24,'HIV-Pharmaceuticals'!$E$14:$E$99&amp;'HIV-Pharmaceuticals'!$I$14:$I$99,0)),0)</f>
        <v>0</v>
      </c>
      <c r="AU24" s="652">
        <f t="shared" si="24"/>
        <v>0</v>
      </c>
      <c r="AV24" s="652">
        <f t="shared" si="25"/>
        <v>0</v>
      </c>
      <c r="AW24" s="652">
        <f t="shared" si="26"/>
        <v>0</v>
      </c>
      <c r="AX24" s="651">
        <f t="array" ref="AX24">IFERROR(INDEX('HIV-Pharmaceuticals'!$AD$14:$AD$99,MATCH($E24&amp;$F24,'HIV-Pharmaceuticals'!$E$14:$E$99&amp;'HIV-Pharmaceuticals'!$I$14:$I$99,0)),0)</f>
        <v>0</v>
      </c>
      <c r="AY24" s="652">
        <f t="shared" si="27"/>
        <v>0</v>
      </c>
      <c r="AZ24" s="652">
        <f t="shared" si="28"/>
        <v>0</v>
      </c>
      <c r="BA24" s="652">
        <f t="shared" si="29"/>
        <v>0</v>
      </c>
      <c r="BB24" s="651">
        <f t="array" ref="BB24">IFERROR(INDEX('HIV-Pharmaceuticals'!$AE$14:$AE$99,MATCH($E24&amp;$F24,'HIV-Pharmaceuticals'!$E$14:$E$99&amp;'HIV-Pharmaceuticals'!$I$14:$I$99,0)),0)</f>
        <v>0</v>
      </c>
      <c r="BC24" s="652">
        <f t="shared" si="30"/>
        <v>0</v>
      </c>
      <c r="BD24" s="652">
        <f t="shared" si="31"/>
        <v>0</v>
      </c>
      <c r="BE24" s="652">
        <f t="shared" si="32"/>
        <v>0</v>
      </c>
      <c r="BF24" s="651">
        <f t="array" ref="BF24">IFERROR(INDEX('HIV-Pharmaceuticals'!$AF$14:$AF$99,MATCH($E24&amp;$F24,'HIV-Pharmaceuticals'!$E$14:$E$99&amp;'HIV-Pharmaceuticals'!$I$14:$I$99,0)),0)</f>
        <v>0</v>
      </c>
      <c r="BG24" s="652">
        <f t="shared" si="33"/>
        <v>0</v>
      </c>
      <c r="BH24" s="652">
        <f t="shared" si="34"/>
        <v>0</v>
      </c>
      <c r="BI24" s="652">
        <f t="shared" si="35"/>
        <v>0</v>
      </c>
      <c r="BK24" s="654"/>
      <c r="BL24" s="654"/>
      <c r="BM24" s="654"/>
      <c r="BN24" s="654"/>
      <c r="BO24" s="654"/>
      <c r="BP24" s="654"/>
      <c r="BQ24" s="654"/>
      <c r="BR24" s="654"/>
    </row>
    <row r="25" spans="1:70" s="646" customFormat="1">
      <c r="A25" s="647" t="s">
        <v>561</v>
      </c>
      <c r="B25" s="647" t="s">
        <v>819</v>
      </c>
      <c r="C25" s="648">
        <f>SETUP!$F$20</f>
        <v>0</v>
      </c>
      <c r="D25" s="649">
        <v>4.0999999999999996</v>
      </c>
      <c r="E25" s="647" t="s">
        <v>1610</v>
      </c>
      <c r="F25" s="647" t="s">
        <v>1612</v>
      </c>
      <c r="G25" s="650" t="str">
        <f t="array" ref="G25">IFERROR(INDEX('HIV-Pharmaceuticals'!$L$14:$L$99,MATCH($E25&amp;$F25,'HIV-Pharmaceuticals'!$E$14:$E$99&amp;'HIV-Pharmaceuticals'!$I$14:$I$99,0)),"")</f>
        <v/>
      </c>
      <c r="H25" s="650" t="str">
        <f t="array" ref="H25">IFERROR(INDEX('HIV-Pharmaceuticals'!$M$14:$M$99,MATCH($E25&amp;$F25,'HIV-Pharmaceuticals'!$E$14:$E$99&amp;'HIV-Pharmaceuticals'!$I$14:$I$99,0)),"")</f>
        <v/>
      </c>
      <c r="I25" s="651">
        <f t="array" ref="I25">IFERROR(INDEX('HIV-Pharmaceuticals'!$N$14:$N$99,MATCH($E25&amp;$F25,'HIV-Pharmaceuticals'!$E$14:$E$99&amp;'HIV-Pharmaceuticals'!$I$14:$I$99,0)),0)</f>
        <v>0</v>
      </c>
      <c r="J25" s="651">
        <f t="array" ref="J25">IFERROR(INDEX('HIV-Pharmaceuticals'!$O$14:$O$99,MATCH($E25&amp;$F25,'HIV-Pharmaceuticals'!$E$14:$E$99&amp;'HIV-Pharmaceuticals'!$I$14:$I$99,0)),0)</f>
        <v>0</v>
      </c>
      <c r="K25" s="652">
        <f t="shared" si="0"/>
        <v>0</v>
      </c>
      <c r="L25" s="652">
        <f t="shared" si="1"/>
        <v>0</v>
      </c>
      <c r="M25" s="652">
        <f t="shared" si="2"/>
        <v>0</v>
      </c>
      <c r="N25" s="651">
        <f t="array" ref="N25">IFERROR(INDEX('HIV-Pharmaceuticals'!$P$14:$P$99,MATCH($E25&amp;$F25,'HIV-Pharmaceuticals'!$E$14:$E$99&amp;'HIV-Pharmaceuticals'!$I$14:$I$99,0)),0)</f>
        <v>0</v>
      </c>
      <c r="O25" s="652">
        <f t="shared" si="3"/>
        <v>0</v>
      </c>
      <c r="P25" s="652">
        <f t="shared" si="4"/>
        <v>0</v>
      </c>
      <c r="Q25" s="652">
        <f t="shared" si="5"/>
        <v>0</v>
      </c>
      <c r="R25" s="651">
        <f t="array" ref="R25">IFERROR(INDEX('HIV-Pharmaceuticals'!$Q$14:$Q$99,MATCH($E25&amp;$F25,'HIV-Pharmaceuticals'!$E$14:$E$99&amp;'HIV-Pharmaceuticals'!$I$14:$I$99,0)),0)</f>
        <v>0</v>
      </c>
      <c r="S25" s="652">
        <f t="shared" si="6"/>
        <v>0</v>
      </c>
      <c r="T25" s="652">
        <f t="shared" si="7"/>
        <v>0</v>
      </c>
      <c r="U25" s="652">
        <f t="shared" si="8"/>
        <v>0</v>
      </c>
      <c r="V25" s="651">
        <f t="array" ref="V25">IFERROR(INDEX('HIV-Pharmaceuticals'!$R$14:$R$99,MATCH($E25&amp;$F25,'HIV-Pharmaceuticals'!$E$14:$E$99&amp;'HIV-Pharmaceuticals'!$I$14:$I$99,0)),0)</f>
        <v>0</v>
      </c>
      <c r="W25" s="652">
        <f t="shared" si="9"/>
        <v>0</v>
      </c>
      <c r="X25" s="652">
        <f t="shared" si="10"/>
        <v>0</v>
      </c>
      <c r="Y25" s="652">
        <f t="shared" si="11"/>
        <v>0</v>
      </c>
      <c r="Z25" s="653"/>
      <c r="AA25" s="651">
        <f t="array" ref="AA25">IFERROR(INDEX('HIV-Pharmaceuticals'!$U$14:$U$99,MATCH($E25&amp;$F25,'HIV-Pharmaceuticals'!$E$14:$E$99&amp;'HIV-Pharmaceuticals'!$I$14:$I$99,0)),0)</f>
        <v>0</v>
      </c>
      <c r="AB25" s="651">
        <f t="array" ref="AB25">IFERROR(INDEX('HIV-Pharmaceuticals'!$V$14:$V$99,MATCH($E25&amp;$F25,'HIV-Pharmaceuticals'!$E$14:$E$99&amp;'HIV-Pharmaceuticals'!$I$14:$I$99,0)),0)</f>
        <v>0</v>
      </c>
      <c r="AC25" s="652">
        <f t="shared" si="12"/>
        <v>0</v>
      </c>
      <c r="AD25" s="652">
        <f t="shared" si="13"/>
        <v>0</v>
      </c>
      <c r="AE25" s="652">
        <f t="shared" si="14"/>
        <v>0</v>
      </c>
      <c r="AF25" s="651">
        <f t="array" ref="AF25">IFERROR(INDEX('HIV-Pharmaceuticals'!$W$14:$W$99,MATCH($E25&amp;$F25,'HIV-Pharmaceuticals'!$E$14:$E$99&amp;'HIV-Pharmaceuticals'!$I$14:$I$99,0)),0)</f>
        <v>0</v>
      </c>
      <c r="AG25" s="652">
        <f t="shared" si="15"/>
        <v>0</v>
      </c>
      <c r="AH25" s="652">
        <f t="shared" si="16"/>
        <v>0</v>
      </c>
      <c r="AI25" s="652">
        <f t="shared" si="17"/>
        <v>0</v>
      </c>
      <c r="AJ25" s="651">
        <f t="array" ref="AJ25">IFERROR(INDEX('HIV-Pharmaceuticals'!$X$14:$X$99,MATCH($E25&amp;$F25,'HIV-Pharmaceuticals'!$E$14:$E$99&amp;'HIV-Pharmaceuticals'!$I$14:$I$99,0)),0)</f>
        <v>0</v>
      </c>
      <c r="AK25" s="652">
        <f t="shared" si="18"/>
        <v>0</v>
      </c>
      <c r="AL25" s="652">
        <f t="shared" si="19"/>
        <v>0</v>
      </c>
      <c r="AM25" s="652">
        <f t="shared" si="20"/>
        <v>0</v>
      </c>
      <c r="AN25" s="651">
        <f t="array" ref="AN25">IFERROR(INDEX('HIV-Pharmaceuticals'!$Y$14:$Y$99,MATCH($E25&amp;$F25,'HIV-Pharmaceuticals'!$E$14:$E$99&amp;'HIV-Pharmaceuticals'!$I$14:$I$99,0)),0)</f>
        <v>0</v>
      </c>
      <c r="AO25" s="652">
        <f t="shared" si="21"/>
        <v>0</v>
      </c>
      <c r="AP25" s="652">
        <f t="shared" si="22"/>
        <v>0</v>
      </c>
      <c r="AQ25" s="652">
        <f t="shared" si="23"/>
        <v>0</v>
      </c>
      <c r="AR25" s="653"/>
      <c r="AS25" s="651">
        <f t="array" ref="AS25">IFERROR(INDEX('HIV-Pharmaceuticals'!$AB$14:$AB$99,MATCH($E25&amp;$F25,'HIV-Pharmaceuticals'!$E$14:$E$99&amp;'HIV-Pharmaceuticals'!$I$14:$I$99,0)),0)</f>
        <v>0</v>
      </c>
      <c r="AT25" s="651">
        <f t="array" ref="AT25">IFERROR(INDEX('HIV-Pharmaceuticals'!$AC$14:$AC$99,MATCH($E25&amp;$F25,'HIV-Pharmaceuticals'!$E$14:$E$99&amp;'HIV-Pharmaceuticals'!$I$14:$I$99,0)),0)</f>
        <v>0</v>
      </c>
      <c r="AU25" s="652">
        <f t="shared" si="24"/>
        <v>0</v>
      </c>
      <c r="AV25" s="652">
        <f t="shared" si="25"/>
        <v>0</v>
      </c>
      <c r="AW25" s="652">
        <f t="shared" si="26"/>
        <v>0</v>
      </c>
      <c r="AX25" s="651">
        <f t="array" ref="AX25">IFERROR(INDEX('HIV-Pharmaceuticals'!$AD$14:$AD$99,MATCH($E25&amp;$F25,'HIV-Pharmaceuticals'!$E$14:$E$99&amp;'HIV-Pharmaceuticals'!$I$14:$I$99,0)),0)</f>
        <v>0</v>
      </c>
      <c r="AY25" s="652">
        <f t="shared" si="27"/>
        <v>0</v>
      </c>
      <c r="AZ25" s="652">
        <f t="shared" si="28"/>
        <v>0</v>
      </c>
      <c r="BA25" s="652">
        <f t="shared" si="29"/>
        <v>0</v>
      </c>
      <c r="BB25" s="651">
        <f t="array" ref="BB25">IFERROR(INDEX('HIV-Pharmaceuticals'!$AE$14:$AE$99,MATCH($E25&amp;$F25,'HIV-Pharmaceuticals'!$E$14:$E$99&amp;'HIV-Pharmaceuticals'!$I$14:$I$99,0)),0)</f>
        <v>0</v>
      </c>
      <c r="BC25" s="652">
        <f t="shared" si="30"/>
        <v>0</v>
      </c>
      <c r="BD25" s="652">
        <f t="shared" si="31"/>
        <v>0</v>
      </c>
      <c r="BE25" s="652">
        <f t="shared" si="32"/>
        <v>0</v>
      </c>
      <c r="BF25" s="651">
        <f t="array" ref="BF25">IFERROR(INDEX('HIV-Pharmaceuticals'!$AF$14:$AF$99,MATCH($E25&amp;$F25,'HIV-Pharmaceuticals'!$E$14:$E$99&amp;'HIV-Pharmaceuticals'!$I$14:$I$99,0)),0)</f>
        <v>0</v>
      </c>
      <c r="BG25" s="652">
        <f t="shared" si="33"/>
        <v>0</v>
      </c>
      <c r="BH25" s="652">
        <f t="shared" si="34"/>
        <v>0</v>
      </c>
      <c r="BI25" s="652">
        <f t="shared" si="35"/>
        <v>0</v>
      </c>
      <c r="BK25" s="654"/>
      <c r="BL25" s="654"/>
      <c r="BM25" s="654"/>
      <c r="BN25" s="654"/>
      <c r="BO25" s="654"/>
      <c r="BP25" s="654"/>
      <c r="BQ25" s="654"/>
      <c r="BR25" s="654"/>
    </row>
    <row r="26" spans="1:70" s="646" customFormat="1">
      <c r="A26" s="647" t="s">
        <v>561</v>
      </c>
      <c r="B26" s="647" t="s">
        <v>819</v>
      </c>
      <c r="C26" s="648">
        <f>SETUP!$F$20</f>
        <v>0</v>
      </c>
      <c r="D26" s="649">
        <v>4.0999999999999996</v>
      </c>
      <c r="E26" s="647" t="s">
        <v>115</v>
      </c>
      <c r="F26" s="647" t="s">
        <v>1613</v>
      </c>
      <c r="G26" s="650" t="str">
        <f t="array" ref="G26">IFERROR(INDEX('HIV-Pharmaceuticals'!$L$14:$L$99,MATCH($E26&amp;$F26,'HIV-Pharmaceuticals'!$E$14:$E$99&amp;'HIV-Pharmaceuticals'!$I$14:$I$99,0)),"")</f>
        <v/>
      </c>
      <c r="H26" s="650" t="str">
        <f t="array" ref="H26">IFERROR(INDEX('HIV-Pharmaceuticals'!$M$14:$M$99,MATCH($E26&amp;$F26,'HIV-Pharmaceuticals'!$E$14:$E$99&amp;'HIV-Pharmaceuticals'!$I$14:$I$99,0)),"")</f>
        <v/>
      </c>
      <c r="I26" s="651">
        <f t="array" ref="I26">IFERROR(INDEX('HIV-Pharmaceuticals'!$N$14:$N$99,MATCH($E26&amp;$F26,'HIV-Pharmaceuticals'!$E$14:$E$99&amp;'HIV-Pharmaceuticals'!$I$14:$I$99,0)),0)</f>
        <v>0</v>
      </c>
      <c r="J26" s="651">
        <f t="array" ref="J26">IFERROR(INDEX('HIV-Pharmaceuticals'!$O$14:$O$99,MATCH($E26&amp;$F26,'HIV-Pharmaceuticals'!$E$14:$E$99&amp;'HIV-Pharmaceuticals'!$I$14:$I$99,0)),0)</f>
        <v>0</v>
      </c>
      <c r="K26" s="652">
        <f t="shared" si="0"/>
        <v>0</v>
      </c>
      <c r="L26" s="652">
        <f t="shared" si="1"/>
        <v>0</v>
      </c>
      <c r="M26" s="652">
        <f t="shared" si="2"/>
        <v>0</v>
      </c>
      <c r="N26" s="651">
        <f t="array" ref="N26">IFERROR(INDEX('HIV-Pharmaceuticals'!$P$14:$P$99,MATCH($E26&amp;$F26,'HIV-Pharmaceuticals'!$E$14:$E$99&amp;'HIV-Pharmaceuticals'!$I$14:$I$99,0)),0)</f>
        <v>0</v>
      </c>
      <c r="O26" s="652">
        <f t="shared" si="3"/>
        <v>0</v>
      </c>
      <c r="P26" s="652">
        <f t="shared" si="4"/>
        <v>0</v>
      </c>
      <c r="Q26" s="652">
        <f t="shared" si="5"/>
        <v>0</v>
      </c>
      <c r="R26" s="651">
        <f t="array" ref="R26">IFERROR(INDEX('HIV-Pharmaceuticals'!$Q$14:$Q$99,MATCH($E26&amp;$F26,'HIV-Pharmaceuticals'!$E$14:$E$99&amp;'HIV-Pharmaceuticals'!$I$14:$I$99,0)),0)</f>
        <v>0</v>
      </c>
      <c r="S26" s="652">
        <f t="shared" si="6"/>
        <v>0</v>
      </c>
      <c r="T26" s="652">
        <f t="shared" si="7"/>
        <v>0</v>
      </c>
      <c r="U26" s="652">
        <f t="shared" si="8"/>
        <v>0</v>
      </c>
      <c r="V26" s="651">
        <f t="array" ref="V26">IFERROR(INDEX('HIV-Pharmaceuticals'!$R$14:$R$99,MATCH($E26&amp;$F26,'HIV-Pharmaceuticals'!$E$14:$E$99&amp;'HIV-Pharmaceuticals'!$I$14:$I$99,0)),0)</f>
        <v>0</v>
      </c>
      <c r="W26" s="652">
        <f t="shared" si="9"/>
        <v>0</v>
      </c>
      <c r="X26" s="652">
        <f t="shared" si="10"/>
        <v>0</v>
      </c>
      <c r="Y26" s="652">
        <f t="shared" si="11"/>
        <v>0</v>
      </c>
      <c r="Z26" s="653"/>
      <c r="AA26" s="651">
        <f t="array" ref="AA26">IFERROR(INDEX('HIV-Pharmaceuticals'!$U$14:$U$99,MATCH($E26&amp;$F26,'HIV-Pharmaceuticals'!$E$14:$E$99&amp;'HIV-Pharmaceuticals'!$I$14:$I$99,0)),0)</f>
        <v>0</v>
      </c>
      <c r="AB26" s="651">
        <f t="array" ref="AB26">IFERROR(INDEX('HIV-Pharmaceuticals'!$V$14:$V$99,MATCH($E26&amp;$F26,'HIV-Pharmaceuticals'!$E$14:$E$99&amp;'HIV-Pharmaceuticals'!$I$14:$I$99,0)),0)</f>
        <v>0</v>
      </c>
      <c r="AC26" s="652">
        <f t="shared" si="12"/>
        <v>0</v>
      </c>
      <c r="AD26" s="652">
        <f t="shared" si="13"/>
        <v>0</v>
      </c>
      <c r="AE26" s="652">
        <f t="shared" si="14"/>
        <v>0</v>
      </c>
      <c r="AF26" s="651">
        <f t="array" ref="AF26">IFERROR(INDEX('HIV-Pharmaceuticals'!$W$14:$W$99,MATCH($E26&amp;$F26,'HIV-Pharmaceuticals'!$E$14:$E$99&amp;'HIV-Pharmaceuticals'!$I$14:$I$99,0)),0)</f>
        <v>0</v>
      </c>
      <c r="AG26" s="652">
        <f t="shared" si="15"/>
        <v>0</v>
      </c>
      <c r="AH26" s="652">
        <f t="shared" si="16"/>
        <v>0</v>
      </c>
      <c r="AI26" s="652">
        <f t="shared" si="17"/>
        <v>0</v>
      </c>
      <c r="AJ26" s="651">
        <f t="array" ref="AJ26">IFERROR(INDEX('HIV-Pharmaceuticals'!$X$14:$X$99,MATCH($E26&amp;$F26,'HIV-Pharmaceuticals'!$E$14:$E$99&amp;'HIV-Pharmaceuticals'!$I$14:$I$99,0)),0)</f>
        <v>0</v>
      </c>
      <c r="AK26" s="652">
        <f t="shared" si="18"/>
        <v>0</v>
      </c>
      <c r="AL26" s="652">
        <f t="shared" si="19"/>
        <v>0</v>
      </c>
      <c r="AM26" s="652">
        <f t="shared" si="20"/>
        <v>0</v>
      </c>
      <c r="AN26" s="651">
        <f t="array" ref="AN26">IFERROR(INDEX('HIV-Pharmaceuticals'!$Y$14:$Y$99,MATCH($E26&amp;$F26,'HIV-Pharmaceuticals'!$E$14:$E$99&amp;'HIV-Pharmaceuticals'!$I$14:$I$99,0)),0)</f>
        <v>0</v>
      </c>
      <c r="AO26" s="652">
        <f t="shared" si="21"/>
        <v>0</v>
      </c>
      <c r="AP26" s="652">
        <f t="shared" si="22"/>
        <v>0</v>
      </c>
      <c r="AQ26" s="652">
        <f t="shared" si="23"/>
        <v>0</v>
      </c>
      <c r="AR26" s="653"/>
      <c r="AS26" s="651">
        <f t="array" ref="AS26">IFERROR(INDEX('HIV-Pharmaceuticals'!$AB$14:$AB$99,MATCH($E26&amp;$F26,'HIV-Pharmaceuticals'!$E$14:$E$99&amp;'HIV-Pharmaceuticals'!$I$14:$I$99,0)),0)</f>
        <v>0</v>
      </c>
      <c r="AT26" s="651">
        <f t="array" ref="AT26">IFERROR(INDEX('HIV-Pharmaceuticals'!$AC$14:$AC$99,MATCH($E26&amp;$F26,'HIV-Pharmaceuticals'!$E$14:$E$99&amp;'HIV-Pharmaceuticals'!$I$14:$I$99,0)),0)</f>
        <v>0</v>
      </c>
      <c r="AU26" s="652">
        <f t="shared" si="24"/>
        <v>0</v>
      </c>
      <c r="AV26" s="652">
        <f t="shared" si="25"/>
        <v>0</v>
      </c>
      <c r="AW26" s="652">
        <f t="shared" si="26"/>
        <v>0</v>
      </c>
      <c r="AX26" s="651">
        <f t="array" ref="AX26">IFERROR(INDEX('HIV-Pharmaceuticals'!$AD$14:$AD$99,MATCH($E26&amp;$F26,'HIV-Pharmaceuticals'!$E$14:$E$99&amp;'HIV-Pharmaceuticals'!$I$14:$I$99,0)),0)</f>
        <v>0</v>
      </c>
      <c r="AY26" s="652">
        <f t="shared" si="27"/>
        <v>0</v>
      </c>
      <c r="AZ26" s="652">
        <f t="shared" si="28"/>
        <v>0</v>
      </c>
      <c r="BA26" s="652">
        <f t="shared" si="29"/>
        <v>0</v>
      </c>
      <c r="BB26" s="651">
        <f t="array" ref="BB26">IFERROR(INDEX('HIV-Pharmaceuticals'!$AE$14:$AE$99,MATCH($E26&amp;$F26,'HIV-Pharmaceuticals'!$E$14:$E$99&amp;'HIV-Pharmaceuticals'!$I$14:$I$99,0)),0)</f>
        <v>0</v>
      </c>
      <c r="BC26" s="652">
        <f t="shared" si="30"/>
        <v>0</v>
      </c>
      <c r="BD26" s="652">
        <f t="shared" si="31"/>
        <v>0</v>
      </c>
      <c r="BE26" s="652">
        <f t="shared" si="32"/>
        <v>0</v>
      </c>
      <c r="BF26" s="651">
        <f t="array" ref="BF26">IFERROR(INDEX('HIV-Pharmaceuticals'!$AF$14:$AF$99,MATCH($E26&amp;$F26,'HIV-Pharmaceuticals'!$E$14:$E$99&amp;'HIV-Pharmaceuticals'!$I$14:$I$99,0)),0)</f>
        <v>0</v>
      </c>
      <c r="BG26" s="652">
        <f t="shared" si="33"/>
        <v>0</v>
      </c>
      <c r="BH26" s="652">
        <f t="shared" si="34"/>
        <v>0</v>
      </c>
      <c r="BI26" s="652">
        <f t="shared" si="35"/>
        <v>0</v>
      </c>
      <c r="BK26" s="654"/>
      <c r="BL26" s="654"/>
      <c r="BM26" s="654"/>
      <c r="BN26" s="654"/>
      <c r="BO26" s="654"/>
      <c r="BP26" s="654"/>
      <c r="BQ26" s="654"/>
      <c r="BR26" s="654"/>
    </row>
    <row r="27" spans="1:70" s="646" customFormat="1">
      <c r="A27" s="647" t="s">
        <v>561</v>
      </c>
      <c r="B27" s="647" t="s">
        <v>819</v>
      </c>
      <c r="C27" s="648">
        <f>SETUP!$F$20</f>
        <v>0</v>
      </c>
      <c r="D27" s="649">
        <v>4.0999999999999996</v>
      </c>
      <c r="E27" s="647" t="s">
        <v>1614</v>
      </c>
      <c r="F27" s="647" t="s">
        <v>1615</v>
      </c>
      <c r="G27" s="650" t="str">
        <f t="array" ref="G27">IFERROR(INDEX('HIV-Pharmaceuticals'!$L$14:$L$99,MATCH($E27&amp;$F27,'HIV-Pharmaceuticals'!$E$14:$E$99&amp;'HIV-Pharmaceuticals'!$I$14:$I$99,0)),"")</f>
        <v/>
      </c>
      <c r="H27" s="650" t="str">
        <f t="array" ref="H27">IFERROR(INDEX('HIV-Pharmaceuticals'!$M$14:$M$99,MATCH($E27&amp;$F27,'HIV-Pharmaceuticals'!$E$14:$E$99&amp;'HIV-Pharmaceuticals'!$I$14:$I$99,0)),"")</f>
        <v/>
      </c>
      <c r="I27" s="651">
        <f t="array" ref="I27">IFERROR(INDEX('HIV-Pharmaceuticals'!$N$14:$N$99,MATCH($E27&amp;$F27,'HIV-Pharmaceuticals'!$E$14:$E$99&amp;'HIV-Pharmaceuticals'!$I$14:$I$99,0)),0)</f>
        <v>0</v>
      </c>
      <c r="J27" s="651">
        <f t="array" ref="J27">IFERROR(INDEX('HIV-Pharmaceuticals'!$O$14:$O$99,MATCH($E27&amp;$F27,'HIV-Pharmaceuticals'!$E$14:$E$99&amp;'HIV-Pharmaceuticals'!$I$14:$I$99,0)),0)</f>
        <v>0</v>
      </c>
      <c r="K27" s="652">
        <f t="shared" si="0"/>
        <v>0</v>
      </c>
      <c r="L27" s="652">
        <f t="shared" si="1"/>
        <v>0</v>
      </c>
      <c r="M27" s="652">
        <f t="shared" si="2"/>
        <v>0</v>
      </c>
      <c r="N27" s="651">
        <f t="array" ref="N27">IFERROR(INDEX('HIV-Pharmaceuticals'!$P$14:$P$99,MATCH($E27&amp;$F27,'HIV-Pharmaceuticals'!$E$14:$E$99&amp;'HIV-Pharmaceuticals'!$I$14:$I$99,0)),0)</f>
        <v>0</v>
      </c>
      <c r="O27" s="652">
        <f t="shared" si="3"/>
        <v>0</v>
      </c>
      <c r="P27" s="652">
        <f t="shared" si="4"/>
        <v>0</v>
      </c>
      <c r="Q27" s="652">
        <f t="shared" si="5"/>
        <v>0</v>
      </c>
      <c r="R27" s="651">
        <f t="array" ref="R27">IFERROR(INDEX('HIV-Pharmaceuticals'!$Q$14:$Q$99,MATCH($E27&amp;$F27,'HIV-Pharmaceuticals'!$E$14:$E$99&amp;'HIV-Pharmaceuticals'!$I$14:$I$99,0)),0)</f>
        <v>0</v>
      </c>
      <c r="S27" s="652">
        <f t="shared" si="6"/>
        <v>0</v>
      </c>
      <c r="T27" s="652">
        <f t="shared" si="7"/>
        <v>0</v>
      </c>
      <c r="U27" s="652">
        <f t="shared" si="8"/>
        <v>0</v>
      </c>
      <c r="V27" s="651">
        <f t="array" ref="V27">IFERROR(INDEX('HIV-Pharmaceuticals'!$R$14:$R$99,MATCH($E27&amp;$F27,'HIV-Pharmaceuticals'!$E$14:$E$99&amp;'HIV-Pharmaceuticals'!$I$14:$I$99,0)),0)</f>
        <v>0</v>
      </c>
      <c r="W27" s="652">
        <f t="shared" si="9"/>
        <v>0</v>
      </c>
      <c r="X27" s="652">
        <f t="shared" si="10"/>
        <v>0</v>
      </c>
      <c r="Y27" s="652">
        <f t="shared" si="11"/>
        <v>0</v>
      </c>
      <c r="Z27" s="653"/>
      <c r="AA27" s="651">
        <f t="array" ref="AA27">IFERROR(INDEX('HIV-Pharmaceuticals'!$U$14:$U$99,MATCH($E27&amp;$F27,'HIV-Pharmaceuticals'!$E$14:$E$99&amp;'HIV-Pharmaceuticals'!$I$14:$I$99,0)),0)</f>
        <v>0</v>
      </c>
      <c r="AB27" s="651">
        <f t="array" ref="AB27">IFERROR(INDEX('HIV-Pharmaceuticals'!$V$14:$V$99,MATCH($E27&amp;$F27,'HIV-Pharmaceuticals'!$E$14:$E$99&amp;'HIV-Pharmaceuticals'!$I$14:$I$99,0)),0)</f>
        <v>0</v>
      </c>
      <c r="AC27" s="652">
        <f t="shared" si="12"/>
        <v>0</v>
      </c>
      <c r="AD27" s="652">
        <f t="shared" si="13"/>
        <v>0</v>
      </c>
      <c r="AE27" s="652">
        <f t="shared" si="14"/>
        <v>0</v>
      </c>
      <c r="AF27" s="651">
        <f t="array" ref="AF27">IFERROR(INDEX('HIV-Pharmaceuticals'!$W$14:$W$99,MATCH($E27&amp;$F27,'HIV-Pharmaceuticals'!$E$14:$E$99&amp;'HIV-Pharmaceuticals'!$I$14:$I$99,0)),0)</f>
        <v>0</v>
      </c>
      <c r="AG27" s="652">
        <f t="shared" si="15"/>
        <v>0</v>
      </c>
      <c r="AH27" s="652">
        <f t="shared" si="16"/>
        <v>0</v>
      </c>
      <c r="AI27" s="652">
        <f t="shared" si="17"/>
        <v>0</v>
      </c>
      <c r="AJ27" s="651">
        <f t="array" ref="AJ27">IFERROR(INDEX('HIV-Pharmaceuticals'!$X$14:$X$99,MATCH($E27&amp;$F27,'HIV-Pharmaceuticals'!$E$14:$E$99&amp;'HIV-Pharmaceuticals'!$I$14:$I$99,0)),0)</f>
        <v>0</v>
      </c>
      <c r="AK27" s="652">
        <f t="shared" si="18"/>
        <v>0</v>
      </c>
      <c r="AL27" s="652">
        <f t="shared" si="19"/>
        <v>0</v>
      </c>
      <c r="AM27" s="652">
        <f t="shared" si="20"/>
        <v>0</v>
      </c>
      <c r="AN27" s="651">
        <f t="array" ref="AN27">IFERROR(INDEX('HIV-Pharmaceuticals'!$Y$14:$Y$99,MATCH($E27&amp;$F27,'HIV-Pharmaceuticals'!$E$14:$E$99&amp;'HIV-Pharmaceuticals'!$I$14:$I$99,0)),0)</f>
        <v>0</v>
      </c>
      <c r="AO27" s="652">
        <f t="shared" si="21"/>
        <v>0</v>
      </c>
      <c r="AP27" s="652">
        <f t="shared" si="22"/>
        <v>0</v>
      </c>
      <c r="AQ27" s="652">
        <f t="shared" si="23"/>
        <v>0</v>
      </c>
      <c r="AR27" s="653"/>
      <c r="AS27" s="651">
        <f t="array" ref="AS27">IFERROR(INDEX('HIV-Pharmaceuticals'!$AB$14:$AB$99,MATCH($E27&amp;$F27,'HIV-Pharmaceuticals'!$E$14:$E$99&amp;'HIV-Pharmaceuticals'!$I$14:$I$99,0)),0)</f>
        <v>0</v>
      </c>
      <c r="AT27" s="651">
        <f t="array" ref="AT27">IFERROR(INDEX('HIV-Pharmaceuticals'!$AC$14:$AC$99,MATCH($E27&amp;$F27,'HIV-Pharmaceuticals'!$E$14:$E$99&amp;'HIV-Pharmaceuticals'!$I$14:$I$99,0)),0)</f>
        <v>0</v>
      </c>
      <c r="AU27" s="652">
        <f t="shared" si="24"/>
        <v>0</v>
      </c>
      <c r="AV27" s="652">
        <f t="shared" si="25"/>
        <v>0</v>
      </c>
      <c r="AW27" s="652">
        <f t="shared" si="26"/>
        <v>0</v>
      </c>
      <c r="AX27" s="651">
        <f t="array" ref="AX27">IFERROR(INDEX('HIV-Pharmaceuticals'!$AD$14:$AD$99,MATCH($E27&amp;$F27,'HIV-Pharmaceuticals'!$E$14:$E$99&amp;'HIV-Pharmaceuticals'!$I$14:$I$99,0)),0)</f>
        <v>0</v>
      </c>
      <c r="AY27" s="652">
        <f t="shared" si="27"/>
        <v>0</v>
      </c>
      <c r="AZ27" s="652">
        <f t="shared" si="28"/>
        <v>0</v>
      </c>
      <c r="BA27" s="652">
        <f t="shared" si="29"/>
        <v>0</v>
      </c>
      <c r="BB27" s="651">
        <f t="array" ref="BB27">IFERROR(INDEX('HIV-Pharmaceuticals'!$AE$14:$AE$99,MATCH($E27&amp;$F27,'HIV-Pharmaceuticals'!$E$14:$E$99&amp;'HIV-Pharmaceuticals'!$I$14:$I$99,0)),0)</f>
        <v>0</v>
      </c>
      <c r="BC27" s="652">
        <f t="shared" si="30"/>
        <v>0</v>
      </c>
      <c r="BD27" s="652">
        <f t="shared" si="31"/>
        <v>0</v>
      </c>
      <c r="BE27" s="652">
        <f t="shared" si="32"/>
        <v>0</v>
      </c>
      <c r="BF27" s="651">
        <f t="array" ref="BF27">IFERROR(INDEX('HIV-Pharmaceuticals'!$AF$14:$AF$99,MATCH($E27&amp;$F27,'HIV-Pharmaceuticals'!$E$14:$E$99&amp;'HIV-Pharmaceuticals'!$I$14:$I$99,0)),0)</f>
        <v>0</v>
      </c>
      <c r="BG27" s="652">
        <f t="shared" si="33"/>
        <v>0</v>
      </c>
      <c r="BH27" s="652">
        <f t="shared" si="34"/>
        <v>0</v>
      </c>
      <c r="BI27" s="652">
        <f t="shared" si="35"/>
        <v>0</v>
      </c>
      <c r="BK27" s="654"/>
      <c r="BL27" s="654"/>
      <c r="BM27" s="654"/>
      <c r="BN27" s="654"/>
      <c r="BO27" s="654"/>
      <c r="BP27" s="654"/>
      <c r="BQ27" s="654"/>
      <c r="BR27" s="654"/>
    </row>
    <row r="28" spans="1:70" s="646" customFormat="1">
      <c r="A28" s="647" t="s">
        <v>561</v>
      </c>
      <c r="B28" s="647" t="s">
        <v>819</v>
      </c>
      <c r="C28" s="648">
        <f>SETUP!$F$20</f>
        <v>0</v>
      </c>
      <c r="D28" s="649">
        <v>4.0999999999999996</v>
      </c>
      <c r="E28" s="647" t="s">
        <v>1614</v>
      </c>
      <c r="F28" s="647" t="s">
        <v>1616</v>
      </c>
      <c r="G28" s="650" t="str">
        <f t="array" ref="G28">IFERROR(INDEX('HIV-Pharmaceuticals'!$L$14:$L$99,MATCH($E28&amp;$F28,'HIV-Pharmaceuticals'!$E$14:$E$99&amp;'HIV-Pharmaceuticals'!$I$14:$I$99,0)),"")</f>
        <v/>
      </c>
      <c r="H28" s="650" t="str">
        <f t="array" ref="H28">IFERROR(INDEX('HIV-Pharmaceuticals'!$M$14:$M$99,MATCH($E28&amp;$F28,'HIV-Pharmaceuticals'!$E$14:$E$99&amp;'HIV-Pharmaceuticals'!$I$14:$I$99,0)),"")</f>
        <v/>
      </c>
      <c r="I28" s="651">
        <f t="array" ref="I28">IFERROR(INDEX('HIV-Pharmaceuticals'!$N$14:$N$99,MATCH($E28&amp;$F28,'HIV-Pharmaceuticals'!$E$14:$E$99&amp;'HIV-Pharmaceuticals'!$I$14:$I$99,0)),0)</f>
        <v>0</v>
      </c>
      <c r="J28" s="651">
        <f t="array" ref="J28">IFERROR(INDEX('HIV-Pharmaceuticals'!$O$14:$O$99,MATCH($E28&amp;$F28,'HIV-Pharmaceuticals'!$E$14:$E$99&amp;'HIV-Pharmaceuticals'!$I$14:$I$99,0)),0)</f>
        <v>0</v>
      </c>
      <c r="K28" s="652">
        <f t="shared" si="0"/>
        <v>0</v>
      </c>
      <c r="L28" s="652">
        <f t="shared" si="1"/>
        <v>0</v>
      </c>
      <c r="M28" s="652">
        <f t="shared" si="2"/>
        <v>0</v>
      </c>
      <c r="N28" s="651">
        <f t="array" ref="N28">IFERROR(INDEX('HIV-Pharmaceuticals'!$P$14:$P$99,MATCH($E28&amp;$F28,'HIV-Pharmaceuticals'!$E$14:$E$99&amp;'HIV-Pharmaceuticals'!$I$14:$I$99,0)),0)</f>
        <v>0</v>
      </c>
      <c r="O28" s="652">
        <f t="shared" si="3"/>
        <v>0</v>
      </c>
      <c r="P28" s="652">
        <f t="shared" si="4"/>
        <v>0</v>
      </c>
      <c r="Q28" s="652">
        <f t="shared" si="5"/>
        <v>0</v>
      </c>
      <c r="R28" s="651">
        <f t="array" ref="R28">IFERROR(INDEX('HIV-Pharmaceuticals'!$Q$14:$Q$99,MATCH($E28&amp;$F28,'HIV-Pharmaceuticals'!$E$14:$E$99&amp;'HIV-Pharmaceuticals'!$I$14:$I$99,0)),0)</f>
        <v>0</v>
      </c>
      <c r="S28" s="652">
        <f t="shared" si="6"/>
        <v>0</v>
      </c>
      <c r="T28" s="652">
        <f t="shared" si="7"/>
        <v>0</v>
      </c>
      <c r="U28" s="652">
        <f t="shared" si="8"/>
        <v>0</v>
      </c>
      <c r="V28" s="651">
        <f t="array" ref="V28">IFERROR(INDEX('HIV-Pharmaceuticals'!$R$14:$R$99,MATCH($E28&amp;$F28,'HIV-Pharmaceuticals'!$E$14:$E$99&amp;'HIV-Pharmaceuticals'!$I$14:$I$99,0)),0)</f>
        <v>0</v>
      </c>
      <c r="W28" s="652">
        <f t="shared" si="9"/>
        <v>0</v>
      </c>
      <c r="X28" s="652">
        <f t="shared" si="10"/>
        <v>0</v>
      </c>
      <c r="Y28" s="652">
        <f t="shared" si="11"/>
        <v>0</v>
      </c>
      <c r="Z28" s="653"/>
      <c r="AA28" s="651">
        <f t="array" ref="AA28">IFERROR(INDEX('HIV-Pharmaceuticals'!$U$14:$U$99,MATCH($E28&amp;$F28,'HIV-Pharmaceuticals'!$E$14:$E$99&amp;'HIV-Pharmaceuticals'!$I$14:$I$99,0)),0)</f>
        <v>0</v>
      </c>
      <c r="AB28" s="651">
        <f t="array" ref="AB28">IFERROR(INDEX('HIV-Pharmaceuticals'!$V$14:$V$99,MATCH($E28&amp;$F28,'HIV-Pharmaceuticals'!$E$14:$E$99&amp;'HIV-Pharmaceuticals'!$I$14:$I$99,0)),0)</f>
        <v>0</v>
      </c>
      <c r="AC28" s="652">
        <f t="shared" si="12"/>
        <v>0</v>
      </c>
      <c r="AD28" s="652">
        <f t="shared" si="13"/>
        <v>0</v>
      </c>
      <c r="AE28" s="652">
        <f t="shared" si="14"/>
        <v>0</v>
      </c>
      <c r="AF28" s="651">
        <f t="array" ref="AF28">IFERROR(INDEX('HIV-Pharmaceuticals'!$W$14:$W$99,MATCH($E28&amp;$F28,'HIV-Pharmaceuticals'!$E$14:$E$99&amp;'HIV-Pharmaceuticals'!$I$14:$I$99,0)),0)</f>
        <v>0</v>
      </c>
      <c r="AG28" s="652">
        <f t="shared" si="15"/>
        <v>0</v>
      </c>
      <c r="AH28" s="652">
        <f t="shared" si="16"/>
        <v>0</v>
      </c>
      <c r="AI28" s="652">
        <f t="shared" si="17"/>
        <v>0</v>
      </c>
      <c r="AJ28" s="651">
        <f t="array" ref="AJ28">IFERROR(INDEX('HIV-Pharmaceuticals'!$X$14:$X$99,MATCH($E28&amp;$F28,'HIV-Pharmaceuticals'!$E$14:$E$99&amp;'HIV-Pharmaceuticals'!$I$14:$I$99,0)),0)</f>
        <v>0</v>
      </c>
      <c r="AK28" s="652">
        <f t="shared" si="18"/>
        <v>0</v>
      </c>
      <c r="AL28" s="652">
        <f t="shared" si="19"/>
        <v>0</v>
      </c>
      <c r="AM28" s="652">
        <f t="shared" si="20"/>
        <v>0</v>
      </c>
      <c r="AN28" s="651">
        <f t="array" ref="AN28">IFERROR(INDEX('HIV-Pharmaceuticals'!$Y$14:$Y$99,MATCH($E28&amp;$F28,'HIV-Pharmaceuticals'!$E$14:$E$99&amp;'HIV-Pharmaceuticals'!$I$14:$I$99,0)),0)</f>
        <v>0</v>
      </c>
      <c r="AO28" s="652">
        <f t="shared" si="21"/>
        <v>0</v>
      </c>
      <c r="AP28" s="652">
        <f t="shared" si="22"/>
        <v>0</v>
      </c>
      <c r="AQ28" s="652">
        <f t="shared" si="23"/>
        <v>0</v>
      </c>
      <c r="AR28" s="653"/>
      <c r="AS28" s="651">
        <f t="array" ref="AS28">IFERROR(INDEX('HIV-Pharmaceuticals'!$AB$14:$AB$99,MATCH($E28&amp;$F28,'HIV-Pharmaceuticals'!$E$14:$E$99&amp;'HIV-Pharmaceuticals'!$I$14:$I$99,0)),0)</f>
        <v>0</v>
      </c>
      <c r="AT28" s="651">
        <f t="array" ref="AT28">IFERROR(INDEX('HIV-Pharmaceuticals'!$AC$14:$AC$99,MATCH($E28&amp;$F28,'HIV-Pharmaceuticals'!$E$14:$E$99&amp;'HIV-Pharmaceuticals'!$I$14:$I$99,0)),0)</f>
        <v>0</v>
      </c>
      <c r="AU28" s="652">
        <f t="shared" si="24"/>
        <v>0</v>
      </c>
      <c r="AV28" s="652">
        <f t="shared" si="25"/>
        <v>0</v>
      </c>
      <c r="AW28" s="652">
        <f t="shared" si="26"/>
        <v>0</v>
      </c>
      <c r="AX28" s="651">
        <f t="array" ref="AX28">IFERROR(INDEX('HIV-Pharmaceuticals'!$AD$14:$AD$99,MATCH($E28&amp;$F28,'HIV-Pharmaceuticals'!$E$14:$E$99&amp;'HIV-Pharmaceuticals'!$I$14:$I$99,0)),0)</f>
        <v>0</v>
      </c>
      <c r="AY28" s="652">
        <f t="shared" si="27"/>
        <v>0</v>
      </c>
      <c r="AZ28" s="652">
        <f t="shared" si="28"/>
        <v>0</v>
      </c>
      <c r="BA28" s="652">
        <f t="shared" si="29"/>
        <v>0</v>
      </c>
      <c r="BB28" s="651">
        <f t="array" ref="BB28">IFERROR(INDEX('HIV-Pharmaceuticals'!$AE$14:$AE$99,MATCH($E28&amp;$F28,'HIV-Pharmaceuticals'!$E$14:$E$99&amp;'HIV-Pharmaceuticals'!$I$14:$I$99,0)),0)</f>
        <v>0</v>
      </c>
      <c r="BC28" s="652">
        <f t="shared" si="30"/>
        <v>0</v>
      </c>
      <c r="BD28" s="652">
        <f t="shared" si="31"/>
        <v>0</v>
      </c>
      <c r="BE28" s="652">
        <f t="shared" si="32"/>
        <v>0</v>
      </c>
      <c r="BF28" s="651">
        <f t="array" ref="BF28">IFERROR(INDEX('HIV-Pharmaceuticals'!$AF$14:$AF$99,MATCH($E28&amp;$F28,'HIV-Pharmaceuticals'!$E$14:$E$99&amp;'HIV-Pharmaceuticals'!$I$14:$I$99,0)),0)</f>
        <v>0</v>
      </c>
      <c r="BG28" s="652">
        <f t="shared" si="33"/>
        <v>0</v>
      </c>
      <c r="BH28" s="652">
        <f t="shared" si="34"/>
        <v>0</v>
      </c>
      <c r="BI28" s="652">
        <f t="shared" si="35"/>
        <v>0</v>
      </c>
      <c r="BK28" s="654"/>
      <c r="BL28" s="654"/>
      <c r="BM28" s="654"/>
      <c r="BN28" s="654"/>
      <c r="BO28" s="654"/>
      <c r="BP28" s="654"/>
      <c r="BQ28" s="654"/>
      <c r="BR28" s="654"/>
    </row>
    <row r="29" spans="1:70" s="646" customFormat="1">
      <c r="A29" s="647" t="s">
        <v>561</v>
      </c>
      <c r="B29" s="647" t="s">
        <v>819</v>
      </c>
      <c r="C29" s="648">
        <f>SETUP!$F$20</f>
        <v>0</v>
      </c>
      <c r="D29" s="649">
        <v>4.0999999999999996</v>
      </c>
      <c r="E29" s="647" t="s">
        <v>1614</v>
      </c>
      <c r="F29" s="647" t="s">
        <v>1617</v>
      </c>
      <c r="G29" s="650" t="str">
        <f t="array" ref="G29">IFERROR(INDEX('HIV-Pharmaceuticals'!$L$14:$L$99,MATCH($E29&amp;$F29,'HIV-Pharmaceuticals'!$E$14:$E$99&amp;'HIV-Pharmaceuticals'!$I$14:$I$99,0)),"")</f>
        <v/>
      </c>
      <c r="H29" s="650" t="str">
        <f t="array" ref="H29">IFERROR(INDEX('HIV-Pharmaceuticals'!$M$14:$M$99,MATCH($E29&amp;$F29,'HIV-Pharmaceuticals'!$E$14:$E$99&amp;'HIV-Pharmaceuticals'!$I$14:$I$99,0)),"")</f>
        <v/>
      </c>
      <c r="I29" s="651">
        <f t="array" ref="I29">IFERROR(INDEX('HIV-Pharmaceuticals'!$N$14:$N$99,MATCH($E29&amp;$F29,'HIV-Pharmaceuticals'!$E$14:$E$99&amp;'HIV-Pharmaceuticals'!$I$14:$I$99,0)),0)</f>
        <v>0</v>
      </c>
      <c r="J29" s="651">
        <f t="array" ref="J29">IFERROR(INDEX('HIV-Pharmaceuticals'!$O$14:$O$99,MATCH($E29&amp;$F29,'HIV-Pharmaceuticals'!$E$14:$E$99&amp;'HIV-Pharmaceuticals'!$I$14:$I$99,0)),0)</f>
        <v>0</v>
      </c>
      <c r="K29" s="652">
        <f t="shared" si="0"/>
        <v>0</v>
      </c>
      <c r="L29" s="652">
        <f t="shared" si="1"/>
        <v>0</v>
      </c>
      <c r="M29" s="652">
        <f t="shared" si="2"/>
        <v>0</v>
      </c>
      <c r="N29" s="651">
        <f t="array" ref="N29">IFERROR(INDEX('HIV-Pharmaceuticals'!$P$14:$P$99,MATCH($E29&amp;$F29,'HIV-Pharmaceuticals'!$E$14:$E$99&amp;'HIV-Pharmaceuticals'!$I$14:$I$99,0)),0)</f>
        <v>0</v>
      </c>
      <c r="O29" s="652">
        <f t="shared" si="3"/>
        <v>0</v>
      </c>
      <c r="P29" s="652">
        <f t="shared" si="4"/>
        <v>0</v>
      </c>
      <c r="Q29" s="652">
        <f t="shared" si="5"/>
        <v>0</v>
      </c>
      <c r="R29" s="651">
        <f t="array" ref="R29">IFERROR(INDEX('HIV-Pharmaceuticals'!$Q$14:$Q$99,MATCH($E29&amp;$F29,'HIV-Pharmaceuticals'!$E$14:$E$99&amp;'HIV-Pharmaceuticals'!$I$14:$I$99,0)),0)</f>
        <v>0</v>
      </c>
      <c r="S29" s="652">
        <f t="shared" si="6"/>
        <v>0</v>
      </c>
      <c r="T29" s="652">
        <f t="shared" si="7"/>
        <v>0</v>
      </c>
      <c r="U29" s="652">
        <f t="shared" si="8"/>
        <v>0</v>
      </c>
      <c r="V29" s="651">
        <f t="array" ref="V29">IFERROR(INDEX('HIV-Pharmaceuticals'!$R$14:$R$99,MATCH($E29&amp;$F29,'HIV-Pharmaceuticals'!$E$14:$E$99&amp;'HIV-Pharmaceuticals'!$I$14:$I$99,0)),0)</f>
        <v>0</v>
      </c>
      <c r="W29" s="652">
        <f t="shared" si="9"/>
        <v>0</v>
      </c>
      <c r="X29" s="652">
        <f t="shared" si="10"/>
        <v>0</v>
      </c>
      <c r="Y29" s="652">
        <f t="shared" si="11"/>
        <v>0</v>
      </c>
      <c r="Z29" s="653"/>
      <c r="AA29" s="651">
        <f t="array" ref="AA29">IFERROR(INDEX('HIV-Pharmaceuticals'!$U$14:$U$99,MATCH($E29&amp;$F29,'HIV-Pharmaceuticals'!$E$14:$E$99&amp;'HIV-Pharmaceuticals'!$I$14:$I$99,0)),0)</f>
        <v>0</v>
      </c>
      <c r="AB29" s="651">
        <f t="array" ref="AB29">IFERROR(INDEX('HIV-Pharmaceuticals'!$V$14:$V$99,MATCH($E29&amp;$F29,'HIV-Pharmaceuticals'!$E$14:$E$99&amp;'HIV-Pharmaceuticals'!$I$14:$I$99,0)),0)</f>
        <v>0</v>
      </c>
      <c r="AC29" s="652">
        <f t="shared" si="12"/>
        <v>0</v>
      </c>
      <c r="AD29" s="652">
        <f t="shared" si="13"/>
        <v>0</v>
      </c>
      <c r="AE29" s="652">
        <f t="shared" si="14"/>
        <v>0</v>
      </c>
      <c r="AF29" s="651">
        <f t="array" ref="AF29">IFERROR(INDEX('HIV-Pharmaceuticals'!$W$14:$W$99,MATCH($E29&amp;$F29,'HIV-Pharmaceuticals'!$E$14:$E$99&amp;'HIV-Pharmaceuticals'!$I$14:$I$99,0)),0)</f>
        <v>0</v>
      </c>
      <c r="AG29" s="652">
        <f t="shared" si="15"/>
        <v>0</v>
      </c>
      <c r="AH29" s="652">
        <f t="shared" si="16"/>
        <v>0</v>
      </c>
      <c r="AI29" s="652">
        <f t="shared" si="17"/>
        <v>0</v>
      </c>
      <c r="AJ29" s="651">
        <f t="array" ref="AJ29">IFERROR(INDEX('HIV-Pharmaceuticals'!$X$14:$X$99,MATCH($E29&amp;$F29,'HIV-Pharmaceuticals'!$E$14:$E$99&amp;'HIV-Pharmaceuticals'!$I$14:$I$99,0)),0)</f>
        <v>0</v>
      </c>
      <c r="AK29" s="652">
        <f t="shared" si="18"/>
        <v>0</v>
      </c>
      <c r="AL29" s="652">
        <f t="shared" si="19"/>
        <v>0</v>
      </c>
      <c r="AM29" s="652">
        <f t="shared" si="20"/>
        <v>0</v>
      </c>
      <c r="AN29" s="651">
        <f t="array" ref="AN29">IFERROR(INDEX('HIV-Pharmaceuticals'!$Y$14:$Y$99,MATCH($E29&amp;$F29,'HIV-Pharmaceuticals'!$E$14:$E$99&amp;'HIV-Pharmaceuticals'!$I$14:$I$99,0)),0)</f>
        <v>0</v>
      </c>
      <c r="AO29" s="652">
        <f t="shared" si="21"/>
        <v>0</v>
      </c>
      <c r="AP29" s="652">
        <f t="shared" si="22"/>
        <v>0</v>
      </c>
      <c r="AQ29" s="652">
        <f t="shared" si="23"/>
        <v>0</v>
      </c>
      <c r="AR29" s="653"/>
      <c r="AS29" s="651">
        <f t="array" ref="AS29">IFERROR(INDEX('HIV-Pharmaceuticals'!$AB$14:$AB$99,MATCH($E29&amp;$F29,'HIV-Pharmaceuticals'!$E$14:$E$99&amp;'HIV-Pharmaceuticals'!$I$14:$I$99,0)),0)</f>
        <v>0</v>
      </c>
      <c r="AT29" s="651">
        <f t="array" ref="AT29">IFERROR(INDEX('HIV-Pharmaceuticals'!$AC$14:$AC$99,MATCH($E29&amp;$F29,'HIV-Pharmaceuticals'!$E$14:$E$99&amp;'HIV-Pharmaceuticals'!$I$14:$I$99,0)),0)</f>
        <v>0</v>
      </c>
      <c r="AU29" s="652">
        <f t="shared" si="24"/>
        <v>0</v>
      </c>
      <c r="AV29" s="652">
        <f t="shared" si="25"/>
        <v>0</v>
      </c>
      <c r="AW29" s="652">
        <f t="shared" si="26"/>
        <v>0</v>
      </c>
      <c r="AX29" s="651">
        <f t="array" ref="AX29">IFERROR(INDEX('HIV-Pharmaceuticals'!$AD$14:$AD$99,MATCH($E29&amp;$F29,'HIV-Pharmaceuticals'!$E$14:$E$99&amp;'HIV-Pharmaceuticals'!$I$14:$I$99,0)),0)</f>
        <v>0</v>
      </c>
      <c r="AY29" s="652">
        <f t="shared" si="27"/>
        <v>0</v>
      </c>
      <c r="AZ29" s="652">
        <f t="shared" si="28"/>
        <v>0</v>
      </c>
      <c r="BA29" s="652">
        <f t="shared" si="29"/>
        <v>0</v>
      </c>
      <c r="BB29" s="651">
        <f t="array" ref="BB29">IFERROR(INDEX('HIV-Pharmaceuticals'!$AE$14:$AE$99,MATCH($E29&amp;$F29,'HIV-Pharmaceuticals'!$E$14:$E$99&amp;'HIV-Pharmaceuticals'!$I$14:$I$99,0)),0)</f>
        <v>0</v>
      </c>
      <c r="BC29" s="652">
        <f t="shared" si="30"/>
        <v>0</v>
      </c>
      <c r="BD29" s="652">
        <f t="shared" si="31"/>
        <v>0</v>
      </c>
      <c r="BE29" s="652">
        <f t="shared" si="32"/>
        <v>0</v>
      </c>
      <c r="BF29" s="651">
        <f t="array" ref="BF29">IFERROR(INDEX('HIV-Pharmaceuticals'!$AF$14:$AF$99,MATCH($E29&amp;$F29,'HIV-Pharmaceuticals'!$E$14:$E$99&amp;'HIV-Pharmaceuticals'!$I$14:$I$99,0)),0)</f>
        <v>0</v>
      </c>
      <c r="BG29" s="652">
        <f t="shared" si="33"/>
        <v>0</v>
      </c>
      <c r="BH29" s="652">
        <f t="shared" si="34"/>
        <v>0</v>
      </c>
      <c r="BI29" s="652">
        <f t="shared" si="35"/>
        <v>0</v>
      </c>
      <c r="BK29" s="654"/>
      <c r="BL29" s="654"/>
      <c r="BM29" s="654"/>
      <c r="BN29" s="654"/>
      <c r="BO29" s="654"/>
      <c r="BP29" s="654"/>
      <c r="BQ29" s="654"/>
      <c r="BR29" s="654"/>
    </row>
    <row r="30" spans="1:70" s="646" customFormat="1">
      <c r="A30" s="647" t="s">
        <v>561</v>
      </c>
      <c r="B30" s="647" t="s">
        <v>819</v>
      </c>
      <c r="C30" s="648">
        <f>SETUP!$F$20</f>
        <v>0</v>
      </c>
      <c r="D30" s="649">
        <v>4.0999999999999996</v>
      </c>
      <c r="E30" s="647" t="s">
        <v>1614</v>
      </c>
      <c r="F30" s="647" t="s">
        <v>1618</v>
      </c>
      <c r="G30" s="650" t="str">
        <f t="array" ref="G30">IFERROR(INDEX('HIV-Pharmaceuticals'!$L$14:$L$99,MATCH($E30&amp;$F30,'HIV-Pharmaceuticals'!$E$14:$E$99&amp;'HIV-Pharmaceuticals'!$I$14:$I$99,0)),"")</f>
        <v/>
      </c>
      <c r="H30" s="650" t="str">
        <f t="array" ref="H30">IFERROR(INDEX('HIV-Pharmaceuticals'!$M$14:$M$99,MATCH($E30&amp;$F30,'HIV-Pharmaceuticals'!$E$14:$E$99&amp;'HIV-Pharmaceuticals'!$I$14:$I$99,0)),"")</f>
        <v/>
      </c>
      <c r="I30" s="651">
        <f t="array" ref="I30">IFERROR(INDEX('HIV-Pharmaceuticals'!$N$14:$N$99,MATCH($E30&amp;$F30,'HIV-Pharmaceuticals'!$E$14:$E$99&amp;'HIV-Pharmaceuticals'!$I$14:$I$99,0)),0)</f>
        <v>0</v>
      </c>
      <c r="J30" s="651">
        <f t="array" ref="J30">IFERROR(INDEX('HIV-Pharmaceuticals'!$O$14:$O$99,MATCH($E30&amp;$F30,'HIV-Pharmaceuticals'!$E$14:$E$99&amp;'HIV-Pharmaceuticals'!$I$14:$I$99,0)),0)</f>
        <v>0</v>
      </c>
      <c r="K30" s="652">
        <f t="shared" si="0"/>
        <v>0</v>
      </c>
      <c r="L30" s="652">
        <f t="shared" si="1"/>
        <v>0</v>
      </c>
      <c r="M30" s="652">
        <f t="shared" si="2"/>
        <v>0</v>
      </c>
      <c r="N30" s="651">
        <f t="array" ref="N30">IFERROR(INDEX('HIV-Pharmaceuticals'!$P$14:$P$99,MATCH($E30&amp;$F30,'HIV-Pharmaceuticals'!$E$14:$E$99&amp;'HIV-Pharmaceuticals'!$I$14:$I$99,0)),0)</f>
        <v>0</v>
      </c>
      <c r="O30" s="652">
        <f t="shared" si="3"/>
        <v>0</v>
      </c>
      <c r="P30" s="652">
        <f t="shared" si="4"/>
        <v>0</v>
      </c>
      <c r="Q30" s="652">
        <f t="shared" si="5"/>
        <v>0</v>
      </c>
      <c r="R30" s="651">
        <f t="array" ref="R30">IFERROR(INDEX('HIV-Pharmaceuticals'!$Q$14:$Q$99,MATCH($E30&amp;$F30,'HIV-Pharmaceuticals'!$E$14:$E$99&amp;'HIV-Pharmaceuticals'!$I$14:$I$99,0)),0)</f>
        <v>0</v>
      </c>
      <c r="S30" s="652">
        <f t="shared" si="6"/>
        <v>0</v>
      </c>
      <c r="T30" s="652">
        <f t="shared" si="7"/>
        <v>0</v>
      </c>
      <c r="U30" s="652">
        <f t="shared" si="8"/>
        <v>0</v>
      </c>
      <c r="V30" s="651">
        <f t="array" ref="V30">IFERROR(INDEX('HIV-Pharmaceuticals'!$R$14:$R$99,MATCH($E30&amp;$F30,'HIV-Pharmaceuticals'!$E$14:$E$99&amp;'HIV-Pharmaceuticals'!$I$14:$I$99,0)),0)</f>
        <v>0</v>
      </c>
      <c r="W30" s="652">
        <f t="shared" si="9"/>
        <v>0</v>
      </c>
      <c r="X30" s="652">
        <f t="shared" si="10"/>
        <v>0</v>
      </c>
      <c r="Y30" s="652">
        <f t="shared" si="11"/>
        <v>0</v>
      </c>
      <c r="Z30" s="653"/>
      <c r="AA30" s="651">
        <f t="array" ref="AA30">IFERROR(INDEX('HIV-Pharmaceuticals'!$U$14:$U$99,MATCH($E30&amp;$F30,'HIV-Pharmaceuticals'!$E$14:$E$99&amp;'HIV-Pharmaceuticals'!$I$14:$I$99,0)),0)</f>
        <v>0</v>
      </c>
      <c r="AB30" s="651">
        <f t="array" ref="AB30">IFERROR(INDEX('HIV-Pharmaceuticals'!$V$14:$V$99,MATCH($E30&amp;$F30,'HIV-Pharmaceuticals'!$E$14:$E$99&amp;'HIV-Pharmaceuticals'!$I$14:$I$99,0)),0)</f>
        <v>0</v>
      </c>
      <c r="AC30" s="652">
        <f t="shared" si="12"/>
        <v>0</v>
      </c>
      <c r="AD30" s="652">
        <f t="shared" si="13"/>
        <v>0</v>
      </c>
      <c r="AE30" s="652">
        <f t="shared" si="14"/>
        <v>0</v>
      </c>
      <c r="AF30" s="651">
        <f t="array" ref="AF30">IFERROR(INDEX('HIV-Pharmaceuticals'!$W$14:$W$99,MATCH($E30&amp;$F30,'HIV-Pharmaceuticals'!$E$14:$E$99&amp;'HIV-Pharmaceuticals'!$I$14:$I$99,0)),0)</f>
        <v>0</v>
      </c>
      <c r="AG30" s="652">
        <f t="shared" si="15"/>
        <v>0</v>
      </c>
      <c r="AH30" s="652">
        <f t="shared" si="16"/>
        <v>0</v>
      </c>
      <c r="AI30" s="652">
        <f t="shared" si="17"/>
        <v>0</v>
      </c>
      <c r="AJ30" s="651">
        <f t="array" ref="AJ30">IFERROR(INDEX('HIV-Pharmaceuticals'!$X$14:$X$99,MATCH($E30&amp;$F30,'HIV-Pharmaceuticals'!$E$14:$E$99&amp;'HIV-Pharmaceuticals'!$I$14:$I$99,0)),0)</f>
        <v>0</v>
      </c>
      <c r="AK30" s="652">
        <f t="shared" si="18"/>
        <v>0</v>
      </c>
      <c r="AL30" s="652">
        <f t="shared" si="19"/>
        <v>0</v>
      </c>
      <c r="AM30" s="652">
        <f t="shared" si="20"/>
        <v>0</v>
      </c>
      <c r="AN30" s="651">
        <f t="array" ref="AN30">IFERROR(INDEX('HIV-Pharmaceuticals'!$Y$14:$Y$99,MATCH($E30&amp;$F30,'HIV-Pharmaceuticals'!$E$14:$E$99&amp;'HIV-Pharmaceuticals'!$I$14:$I$99,0)),0)</f>
        <v>0</v>
      </c>
      <c r="AO30" s="652">
        <f t="shared" si="21"/>
        <v>0</v>
      </c>
      <c r="AP30" s="652">
        <f t="shared" si="22"/>
        <v>0</v>
      </c>
      <c r="AQ30" s="652">
        <f t="shared" si="23"/>
        <v>0</v>
      </c>
      <c r="AR30" s="653"/>
      <c r="AS30" s="651">
        <f t="array" ref="AS30">IFERROR(INDEX('HIV-Pharmaceuticals'!$AB$14:$AB$99,MATCH($E30&amp;$F30,'HIV-Pharmaceuticals'!$E$14:$E$99&amp;'HIV-Pharmaceuticals'!$I$14:$I$99,0)),0)</f>
        <v>0</v>
      </c>
      <c r="AT30" s="651">
        <f t="array" ref="AT30">IFERROR(INDEX('HIV-Pharmaceuticals'!$AC$14:$AC$99,MATCH($E30&amp;$F30,'HIV-Pharmaceuticals'!$E$14:$E$99&amp;'HIV-Pharmaceuticals'!$I$14:$I$99,0)),0)</f>
        <v>0</v>
      </c>
      <c r="AU30" s="652">
        <f t="shared" si="24"/>
        <v>0</v>
      </c>
      <c r="AV30" s="652">
        <f t="shared" si="25"/>
        <v>0</v>
      </c>
      <c r="AW30" s="652">
        <f t="shared" si="26"/>
        <v>0</v>
      </c>
      <c r="AX30" s="651">
        <f t="array" ref="AX30">IFERROR(INDEX('HIV-Pharmaceuticals'!$AD$14:$AD$99,MATCH($E30&amp;$F30,'HIV-Pharmaceuticals'!$E$14:$E$99&amp;'HIV-Pharmaceuticals'!$I$14:$I$99,0)),0)</f>
        <v>0</v>
      </c>
      <c r="AY30" s="652">
        <f t="shared" si="27"/>
        <v>0</v>
      </c>
      <c r="AZ30" s="652">
        <f t="shared" si="28"/>
        <v>0</v>
      </c>
      <c r="BA30" s="652">
        <f t="shared" si="29"/>
        <v>0</v>
      </c>
      <c r="BB30" s="651">
        <f t="array" ref="BB30">IFERROR(INDEX('HIV-Pharmaceuticals'!$AE$14:$AE$99,MATCH($E30&amp;$F30,'HIV-Pharmaceuticals'!$E$14:$E$99&amp;'HIV-Pharmaceuticals'!$I$14:$I$99,0)),0)</f>
        <v>0</v>
      </c>
      <c r="BC30" s="652">
        <f t="shared" si="30"/>
        <v>0</v>
      </c>
      <c r="BD30" s="652">
        <f t="shared" si="31"/>
        <v>0</v>
      </c>
      <c r="BE30" s="652">
        <f t="shared" si="32"/>
        <v>0</v>
      </c>
      <c r="BF30" s="651">
        <f t="array" ref="BF30">IFERROR(INDEX('HIV-Pharmaceuticals'!$AF$14:$AF$99,MATCH($E30&amp;$F30,'HIV-Pharmaceuticals'!$E$14:$E$99&amp;'HIV-Pharmaceuticals'!$I$14:$I$99,0)),0)</f>
        <v>0</v>
      </c>
      <c r="BG30" s="652">
        <f t="shared" si="33"/>
        <v>0</v>
      </c>
      <c r="BH30" s="652">
        <f t="shared" si="34"/>
        <v>0</v>
      </c>
      <c r="BI30" s="652">
        <f t="shared" si="35"/>
        <v>0</v>
      </c>
      <c r="BK30" s="654"/>
      <c r="BL30" s="654"/>
      <c r="BM30" s="654"/>
      <c r="BN30" s="654"/>
      <c r="BO30" s="654"/>
      <c r="BP30" s="654"/>
      <c r="BQ30" s="654"/>
      <c r="BR30" s="654"/>
    </row>
    <row r="31" spans="1:70" s="646" customFormat="1">
      <c r="A31" s="647" t="s">
        <v>561</v>
      </c>
      <c r="B31" s="647" t="s">
        <v>819</v>
      </c>
      <c r="C31" s="648">
        <f>SETUP!$F$20</f>
        <v>0</v>
      </c>
      <c r="D31" s="649">
        <v>4.0999999999999996</v>
      </c>
      <c r="E31" s="647" t="s">
        <v>116</v>
      </c>
      <c r="F31" s="647" t="s">
        <v>1619</v>
      </c>
      <c r="G31" s="650" t="str">
        <f t="array" ref="G31">IFERROR(INDEX('HIV-Pharmaceuticals'!$L$14:$L$99,MATCH($E31&amp;$F31,'HIV-Pharmaceuticals'!$E$14:$E$99&amp;'HIV-Pharmaceuticals'!$I$14:$I$99,0)),"")</f>
        <v/>
      </c>
      <c r="H31" s="650" t="str">
        <f t="array" ref="H31">IFERROR(INDEX('HIV-Pharmaceuticals'!$M$14:$M$99,MATCH($E31&amp;$F31,'HIV-Pharmaceuticals'!$E$14:$E$99&amp;'HIV-Pharmaceuticals'!$I$14:$I$99,0)),"")</f>
        <v/>
      </c>
      <c r="I31" s="651">
        <f t="array" ref="I31">IFERROR(INDEX('HIV-Pharmaceuticals'!$N$14:$N$99,MATCH($E31&amp;$F31,'HIV-Pharmaceuticals'!$E$14:$E$99&amp;'HIV-Pharmaceuticals'!$I$14:$I$99,0)),0)</f>
        <v>0</v>
      </c>
      <c r="J31" s="651">
        <f t="array" ref="J31">IFERROR(INDEX('HIV-Pharmaceuticals'!$O$14:$O$99,MATCH($E31&amp;$F31,'HIV-Pharmaceuticals'!$E$14:$E$99&amp;'HIV-Pharmaceuticals'!$I$14:$I$99,0)),0)</f>
        <v>0</v>
      </c>
      <c r="K31" s="652">
        <f t="shared" si="0"/>
        <v>0</v>
      </c>
      <c r="L31" s="652">
        <f t="shared" si="1"/>
        <v>0</v>
      </c>
      <c r="M31" s="652">
        <f t="shared" si="2"/>
        <v>0</v>
      </c>
      <c r="N31" s="651">
        <f t="array" ref="N31">IFERROR(INDEX('HIV-Pharmaceuticals'!$P$14:$P$99,MATCH($E31&amp;$F31,'HIV-Pharmaceuticals'!$E$14:$E$99&amp;'HIV-Pharmaceuticals'!$I$14:$I$99,0)),0)</f>
        <v>0</v>
      </c>
      <c r="O31" s="652">
        <f t="shared" si="3"/>
        <v>0</v>
      </c>
      <c r="P31" s="652">
        <f t="shared" si="4"/>
        <v>0</v>
      </c>
      <c r="Q31" s="652">
        <f t="shared" si="5"/>
        <v>0</v>
      </c>
      <c r="R31" s="651">
        <f t="array" ref="R31">IFERROR(INDEX('HIV-Pharmaceuticals'!$Q$14:$Q$99,MATCH($E31&amp;$F31,'HIV-Pharmaceuticals'!$E$14:$E$99&amp;'HIV-Pharmaceuticals'!$I$14:$I$99,0)),0)</f>
        <v>0</v>
      </c>
      <c r="S31" s="652">
        <f t="shared" si="6"/>
        <v>0</v>
      </c>
      <c r="T31" s="652">
        <f t="shared" si="7"/>
        <v>0</v>
      </c>
      <c r="U31" s="652">
        <f t="shared" si="8"/>
        <v>0</v>
      </c>
      <c r="V31" s="651">
        <f t="array" ref="V31">IFERROR(INDEX('HIV-Pharmaceuticals'!$R$14:$R$99,MATCH($E31&amp;$F31,'HIV-Pharmaceuticals'!$E$14:$E$99&amp;'HIV-Pharmaceuticals'!$I$14:$I$99,0)),0)</f>
        <v>0</v>
      </c>
      <c r="W31" s="652">
        <f t="shared" si="9"/>
        <v>0</v>
      </c>
      <c r="X31" s="652">
        <f t="shared" si="10"/>
        <v>0</v>
      </c>
      <c r="Y31" s="652">
        <f t="shared" si="11"/>
        <v>0</v>
      </c>
      <c r="Z31" s="653"/>
      <c r="AA31" s="651">
        <f t="array" ref="AA31">IFERROR(INDEX('HIV-Pharmaceuticals'!$U$14:$U$99,MATCH($E31&amp;$F31,'HIV-Pharmaceuticals'!$E$14:$E$99&amp;'HIV-Pharmaceuticals'!$I$14:$I$99,0)),0)</f>
        <v>0</v>
      </c>
      <c r="AB31" s="651">
        <f t="array" ref="AB31">IFERROR(INDEX('HIV-Pharmaceuticals'!$V$14:$V$99,MATCH($E31&amp;$F31,'HIV-Pharmaceuticals'!$E$14:$E$99&amp;'HIV-Pharmaceuticals'!$I$14:$I$99,0)),0)</f>
        <v>0</v>
      </c>
      <c r="AC31" s="652">
        <f t="shared" si="12"/>
        <v>0</v>
      </c>
      <c r="AD31" s="652">
        <f t="shared" si="13"/>
        <v>0</v>
      </c>
      <c r="AE31" s="652">
        <f t="shared" si="14"/>
        <v>0</v>
      </c>
      <c r="AF31" s="651">
        <f t="array" ref="AF31">IFERROR(INDEX('HIV-Pharmaceuticals'!$W$14:$W$99,MATCH($E31&amp;$F31,'HIV-Pharmaceuticals'!$E$14:$E$99&amp;'HIV-Pharmaceuticals'!$I$14:$I$99,0)),0)</f>
        <v>0</v>
      </c>
      <c r="AG31" s="652">
        <f t="shared" si="15"/>
        <v>0</v>
      </c>
      <c r="AH31" s="652">
        <f t="shared" si="16"/>
        <v>0</v>
      </c>
      <c r="AI31" s="652">
        <f t="shared" si="17"/>
        <v>0</v>
      </c>
      <c r="AJ31" s="651">
        <f t="array" ref="AJ31">IFERROR(INDEX('HIV-Pharmaceuticals'!$X$14:$X$99,MATCH($E31&amp;$F31,'HIV-Pharmaceuticals'!$E$14:$E$99&amp;'HIV-Pharmaceuticals'!$I$14:$I$99,0)),0)</f>
        <v>0</v>
      </c>
      <c r="AK31" s="652">
        <f t="shared" si="18"/>
        <v>0</v>
      </c>
      <c r="AL31" s="652">
        <f t="shared" si="19"/>
        <v>0</v>
      </c>
      <c r="AM31" s="652">
        <f t="shared" si="20"/>
        <v>0</v>
      </c>
      <c r="AN31" s="651">
        <f t="array" ref="AN31">IFERROR(INDEX('HIV-Pharmaceuticals'!$Y$14:$Y$99,MATCH($E31&amp;$F31,'HIV-Pharmaceuticals'!$E$14:$E$99&amp;'HIV-Pharmaceuticals'!$I$14:$I$99,0)),0)</f>
        <v>0</v>
      </c>
      <c r="AO31" s="652">
        <f t="shared" si="21"/>
        <v>0</v>
      </c>
      <c r="AP31" s="652">
        <f t="shared" si="22"/>
        <v>0</v>
      </c>
      <c r="AQ31" s="652">
        <f t="shared" si="23"/>
        <v>0</v>
      </c>
      <c r="AR31" s="653"/>
      <c r="AS31" s="651">
        <f t="array" ref="AS31">IFERROR(INDEX('HIV-Pharmaceuticals'!$AB$14:$AB$99,MATCH($E31&amp;$F31,'HIV-Pharmaceuticals'!$E$14:$E$99&amp;'HIV-Pharmaceuticals'!$I$14:$I$99,0)),0)</f>
        <v>0</v>
      </c>
      <c r="AT31" s="651">
        <f t="array" ref="AT31">IFERROR(INDEX('HIV-Pharmaceuticals'!$AC$14:$AC$99,MATCH($E31&amp;$F31,'HIV-Pharmaceuticals'!$E$14:$E$99&amp;'HIV-Pharmaceuticals'!$I$14:$I$99,0)),0)</f>
        <v>0</v>
      </c>
      <c r="AU31" s="652">
        <f t="shared" si="24"/>
        <v>0</v>
      </c>
      <c r="AV31" s="652">
        <f t="shared" si="25"/>
        <v>0</v>
      </c>
      <c r="AW31" s="652">
        <f t="shared" si="26"/>
        <v>0</v>
      </c>
      <c r="AX31" s="651">
        <f t="array" ref="AX31">IFERROR(INDEX('HIV-Pharmaceuticals'!$AD$14:$AD$99,MATCH($E31&amp;$F31,'HIV-Pharmaceuticals'!$E$14:$E$99&amp;'HIV-Pharmaceuticals'!$I$14:$I$99,0)),0)</f>
        <v>0</v>
      </c>
      <c r="AY31" s="652">
        <f t="shared" si="27"/>
        <v>0</v>
      </c>
      <c r="AZ31" s="652">
        <f t="shared" si="28"/>
        <v>0</v>
      </c>
      <c r="BA31" s="652">
        <f t="shared" si="29"/>
        <v>0</v>
      </c>
      <c r="BB31" s="651">
        <f t="array" ref="BB31">IFERROR(INDEX('HIV-Pharmaceuticals'!$AE$14:$AE$99,MATCH($E31&amp;$F31,'HIV-Pharmaceuticals'!$E$14:$E$99&amp;'HIV-Pharmaceuticals'!$I$14:$I$99,0)),0)</f>
        <v>0</v>
      </c>
      <c r="BC31" s="652">
        <f t="shared" si="30"/>
        <v>0</v>
      </c>
      <c r="BD31" s="652">
        <f t="shared" si="31"/>
        <v>0</v>
      </c>
      <c r="BE31" s="652">
        <f t="shared" si="32"/>
        <v>0</v>
      </c>
      <c r="BF31" s="651">
        <f t="array" ref="BF31">IFERROR(INDEX('HIV-Pharmaceuticals'!$AF$14:$AF$99,MATCH($E31&amp;$F31,'HIV-Pharmaceuticals'!$E$14:$E$99&amp;'HIV-Pharmaceuticals'!$I$14:$I$99,0)),0)</f>
        <v>0</v>
      </c>
      <c r="BG31" s="652">
        <f t="shared" si="33"/>
        <v>0</v>
      </c>
      <c r="BH31" s="652">
        <f t="shared" si="34"/>
        <v>0</v>
      </c>
      <c r="BI31" s="652">
        <f t="shared" si="35"/>
        <v>0</v>
      </c>
      <c r="BK31" s="654"/>
      <c r="BL31" s="654"/>
      <c r="BM31" s="654"/>
      <c r="BN31" s="654"/>
      <c r="BO31" s="654"/>
      <c r="BP31" s="654"/>
      <c r="BQ31" s="654"/>
      <c r="BR31" s="654"/>
    </row>
    <row r="32" spans="1:70" s="646" customFormat="1">
      <c r="A32" s="647" t="s">
        <v>561</v>
      </c>
      <c r="B32" s="647" t="s">
        <v>819</v>
      </c>
      <c r="C32" s="648">
        <f>SETUP!$F$20</f>
        <v>0</v>
      </c>
      <c r="D32" s="649">
        <v>4.0999999999999996</v>
      </c>
      <c r="E32" s="647" t="s">
        <v>116</v>
      </c>
      <c r="F32" s="647" t="s">
        <v>1620</v>
      </c>
      <c r="G32" s="650" t="str">
        <f t="array" ref="G32">IFERROR(INDEX('HIV-Pharmaceuticals'!$L$14:$L$99,MATCH($E32&amp;$F32,'HIV-Pharmaceuticals'!$E$14:$E$99&amp;'HIV-Pharmaceuticals'!$I$14:$I$99,0)),"")</f>
        <v/>
      </c>
      <c r="H32" s="650" t="str">
        <f t="array" ref="H32">IFERROR(INDEX('HIV-Pharmaceuticals'!$M$14:$M$99,MATCH($E32&amp;$F32,'HIV-Pharmaceuticals'!$E$14:$E$99&amp;'HIV-Pharmaceuticals'!$I$14:$I$99,0)),"")</f>
        <v/>
      </c>
      <c r="I32" s="651">
        <f t="array" ref="I32">IFERROR(INDEX('HIV-Pharmaceuticals'!$N$14:$N$99,MATCH($E32&amp;$F32,'HIV-Pharmaceuticals'!$E$14:$E$99&amp;'HIV-Pharmaceuticals'!$I$14:$I$99,0)),0)</f>
        <v>0</v>
      </c>
      <c r="J32" s="651">
        <f t="array" ref="J32">IFERROR(INDEX('HIV-Pharmaceuticals'!$O$14:$O$99,MATCH($E32&amp;$F32,'HIV-Pharmaceuticals'!$E$14:$E$99&amp;'HIV-Pharmaceuticals'!$I$14:$I$99,0)),0)</f>
        <v>0</v>
      </c>
      <c r="K32" s="652">
        <f t="shared" si="0"/>
        <v>0</v>
      </c>
      <c r="L32" s="652">
        <f t="shared" si="1"/>
        <v>0</v>
      </c>
      <c r="M32" s="652">
        <f t="shared" si="2"/>
        <v>0</v>
      </c>
      <c r="N32" s="651">
        <f t="array" ref="N32">IFERROR(INDEX('HIV-Pharmaceuticals'!$P$14:$P$99,MATCH($E32&amp;$F32,'HIV-Pharmaceuticals'!$E$14:$E$99&amp;'HIV-Pharmaceuticals'!$I$14:$I$99,0)),0)</f>
        <v>0</v>
      </c>
      <c r="O32" s="652">
        <f t="shared" si="3"/>
        <v>0</v>
      </c>
      <c r="P32" s="652">
        <f t="shared" si="4"/>
        <v>0</v>
      </c>
      <c r="Q32" s="652">
        <f t="shared" si="5"/>
        <v>0</v>
      </c>
      <c r="R32" s="651">
        <f t="array" ref="R32">IFERROR(INDEX('HIV-Pharmaceuticals'!$Q$14:$Q$99,MATCH($E32&amp;$F32,'HIV-Pharmaceuticals'!$E$14:$E$99&amp;'HIV-Pharmaceuticals'!$I$14:$I$99,0)),0)</f>
        <v>0</v>
      </c>
      <c r="S32" s="652">
        <f t="shared" si="6"/>
        <v>0</v>
      </c>
      <c r="T32" s="652">
        <f t="shared" si="7"/>
        <v>0</v>
      </c>
      <c r="U32" s="652">
        <f t="shared" si="8"/>
        <v>0</v>
      </c>
      <c r="V32" s="651">
        <f t="array" ref="V32">IFERROR(INDEX('HIV-Pharmaceuticals'!$R$14:$R$99,MATCH($E32&amp;$F32,'HIV-Pharmaceuticals'!$E$14:$E$99&amp;'HIV-Pharmaceuticals'!$I$14:$I$99,0)),0)</f>
        <v>0</v>
      </c>
      <c r="W32" s="652">
        <f t="shared" si="9"/>
        <v>0</v>
      </c>
      <c r="X32" s="652">
        <f t="shared" si="10"/>
        <v>0</v>
      </c>
      <c r="Y32" s="652">
        <f t="shared" si="11"/>
        <v>0</v>
      </c>
      <c r="Z32" s="653"/>
      <c r="AA32" s="651">
        <f t="array" ref="AA32">IFERROR(INDEX('HIV-Pharmaceuticals'!$U$14:$U$99,MATCH($E32&amp;$F32,'HIV-Pharmaceuticals'!$E$14:$E$99&amp;'HIV-Pharmaceuticals'!$I$14:$I$99,0)),0)</f>
        <v>0</v>
      </c>
      <c r="AB32" s="651">
        <f t="array" ref="AB32">IFERROR(INDEX('HIV-Pharmaceuticals'!$V$14:$V$99,MATCH($E32&amp;$F32,'HIV-Pharmaceuticals'!$E$14:$E$99&amp;'HIV-Pharmaceuticals'!$I$14:$I$99,0)),0)</f>
        <v>0</v>
      </c>
      <c r="AC32" s="652">
        <f t="shared" si="12"/>
        <v>0</v>
      </c>
      <c r="AD32" s="652">
        <f t="shared" si="13"/>
        <v>0</v>
      </c>
      <c r="AE32" s="652">
        <f t="shared" si="14"/>
        <v>0</v>
      </c>
      <c r="AF32" s="651">
        <f t="array" ref="AF32">IFERROR(INDEX('HIV-Pharmaceuticals'!$W$14:$W$99,MATCH($E32&amp;$F32,'HIV-Pharmaceuticals'!$E$14:$E$99&amp;'HIV-Pharmaceuticals'!$I$14:$I$99,0)),0)</f>
        <v>0</v>
      </c>
      <c r="AG32" s="652">
        <f t="shared" si="15"/>
        <v>0</v>
      </c>
      <c r="AH32" s="652">
        <f t="shared" si="16"/>
        <v>0</v>
      </c>
      <c r="AI32" s="652">
        <f t="shared" si="17"/>
        <v>0</v>
      </c>
      <c r="AJ32" s="651">
        <f t="array" ref="AJ32">IFERROR(INDEX('HIV-Pharmaceuticals'!$X$14:$X$99,MATCH($E32&amp;$F32,'HIV-Pharmaceuticals'!$E$14:$E$99&amp;'HIV-Pharmaceuticals'!$I$14:$I$99,0)),0)</f>
        <v>0</v>
      </c>
      <c r="AK32" s="652">
        <f t="shared" si="18"/>
        <v>0</v>
      </c>
      <c r="AL32" s="652">
        <f t="shared" si="19"/>
        <v>0</v>
      </c>
      <c r="AM32" s="652">
        <f t="shared" si="20"/>
        <v>0</v>
      </c>
      <c r="AN32" s="651">
        <f t="array" ref="AN32">IFERROR(INDEX('HIV-Pharmaceuticals'!$Y$14:$Y$99,MATCH($E32&amp;$F32,'HIV-Pharmaceuticals'!$E$14:$E$99&amp;'HIV-Pharmaceuticals'!$I$14:$I$99,0)),0)</f>
        <v>0</v>
      </c>
      <c r="AO32" s="652">
        <f t="shared" si="21"/>
        <v>0</v>
      </c>
      <c r="AP32" s="652">
        <f t="shared" si="22"/>
        <v>0</v>
      </c>
      <c r="AQ32" s="652">
        <f t="shared" si="23"/>
        <v>0</v>
      </c>
      <c r="AR32" s="653"/>
      <c r="AS32" s="651">
        <f t="array" ref="AS32">IFERROR(INDEX('HIV-Pharmaceuticals'!$AB$14:$AB$99,MATCH($E32&amp;$F32,'HIV-Pharmaceuticals'!$E$14:$E$99&amp;'HIV-Pharmaceuticals'!$I$14:$I$99,0)),0)</f>
        <v>0</v>
      </c>
      <c r="AT32" s="651">
        <f t="array" ref="AT32">IFERROR(INDEX('HIV-Pharmaceuticals'!$AC$14:$AC$99,MATCH($E32&amp;$F32,'HIV-Pharmaceuticals'!$E$14:$E$99&amp;'HIV-Pharmaceuticals'!$I$14:$I$99,0)),0)</f>
        <v>0</v>
      </c>
      <c r="AU32" s="652">
        <f t="shared" si="24"/>
        <v>0</v>
      </c>
      <c r="AV32" s="652">
        <f t="shared" si="25"/>
        <v>0</v>
      </c>
      <c r="AW32" s="652">
        <f t="shared" si="26"/>
        <v>0</v>
      </c>
      <c r="AX32" s="651">
        <f t="array" ref="AX32">IFERROR(INDEX('HIV-Pharmaceuticals'!$AD$14:$AD$99,MATCH($E32&amp;$F32,'HIV-Pharmaceuticals'!$E$14:$E$99&amp;'HIV-Pharmaceuticals'!$I$14:$I$99,0)),0)</f>
        <v>0</v>
      </c>
      <c r="AY32" s="652">
        <f t="shared" si="27"/>
        <v>0</v>
      </c>
      <c r="AZ32" s="652">
        <f t="shared" si="28"/>
        <v>0</v>
      </c>
      <c r="BA32" s="652">
        <f t="shared" si="29"/>
        <v>0</v>
      </c>
      <c r="BB32" s="651">
        <f t="array" ref="BB32">IFERROR(INDEX('HIV-Pharmaceuticals'!$AE$14:$AE$99,MATCH($E32&amp;$F32,'HIV-Pharmaceuticals'!$E$14:$E$99&amp;'HIV-Pharmaceuticals'!$I$14:$I$99,0)),0)</f>
        <v>0</v>
      </c>
      <c r="BC32" s="652">
        <f t="shared" si="30"/>
        <v>0</v>
      </c>
      <c r="BD32" s="652">
        <f t="shared" si="31"/>
        <v>0</v>
      </c>
      <c r="BE32" s="652">
        <f t="shared" si="32"/>
        <v>0</v>
      </c>
      <c r="BF32" s="651">
        <f t="array" ref="BF32">IFERROR(INDEX('HIV-Pharmaceuticals'!$AF$14:$AF$99,MATCH($E32&amp;$F32,'HIV-Pharmaceuticals'!$E$14:$E$99&amp;'HIV-Pharmaceuticals'!$I$14:$I$99,0)),0)</f>
        <v>0</v>
      </c>
      <c r="BG32" s="652">
        <f t="shared" si="33"/>
        <v>0</v>
      </c>
      <c r="BH32" s="652">
        <f t="shared" si="34"/>
        <v>0</v>
      </c>
      <c r="BI32" s="652">
        <f t="shared" si="35"/>
        <v>0</v>
      </c>
      <c r="BK32" s="654"/>
      <c r="BL32" s="654"/>
      <c r="BM32" s="654"/>
      <c r="BN32" s="654"/>
      <c r="BO32" s="654"/>
      <c r="BP32" s="654"/>
      <c r="BQ32" s="654"/>
      <c r="BR32" s="654"/>
    </row>
    <row r="33" spans="1:70" s="646" customFormat="1">
      <c r="A33" s="647" t="s">
        <v>561</v>
      </c>
      <c r="B33" s="647" t="s">
        <v>819</v>
      </c>
      <c r="C33" s="648">
        <f>SETUP!$F$20</f>
        <v>0</v>
      </c>
      <c r="D33" s="649">
        <v>4.0999999999999996</v>
      </c>
      <c r="E33" s="647" t="s">
        <v>116</v>
      </c>
      <c r="F33" s="647" t="s">
        <v>1621</v>
      </c>
      <c r="G33" s="650" t="str">
        <f t="array" ref="G33">IFERROR(INDEX('HIV-Pharmaceuticals'!$L$14:$L$99,MATCH($E33&amp;$F33,'HIV-Pharmaceuticals'!$E$14:$E$99&amp;'HIV-Pharmaceuticals'!$I$14:$I$99,0)),"")</f>
        <v/>
      </c>
      <c r="H33" s="650" t="str">
        <f t="array" ref="H33">IFERROR(INDEX('HIV-Pharmaceuticals'!$M$14:$M$99,MATCH($E33&amp;$F33,'HIV-Pharmaceuticals'!$E$14:$E$99&amp;'HIV-Pharmaceuticals'!$I$14:$I$99,0)),"")</f>
        <v/>
      </c>
      <c r="I33" s="651">
        <f t="array" ref="I33">IFERROR(INDEX('HIV-Pharmaceuticals'!$N$14:$N$99,MATCH($E33&amp;$F33,'HIV-Pharmaceuticals'!$E$14:$E$99&amp;'HIV-Pharmaceuticals'!$I$14:$I$99,0)),0)</f>
        <v>0</v>
      </c>
      <c r="J33" s="651">
        <f t="array" ref="J33">IFERROR(INDEX('HIV-Pharmaceuticals'!$O$14:$O$99,MATCH($E33&amp;$F33,'HIV-Pharmaceuticals'!$E$14:$E$99&amp;'HIV-Pharmaceuticals'!$I$14:$I$99,0)),0)</f>
        <v>0</v>
      </c>
      <c r="K33" s="652">
        <f t="shared" si="0"/>
        <v>0</v>
      </c>
      <c r="L33" s="652">
        <f t="shared" si="1"/>
        <v>0</v>
      </c>
      <c r="M33" s="652">
        <f t="shared" si="2"/>
        <v>0</v>
      </c>
      <c r="N33" s="651">
        <f t="array" ref="N33">IFERROR(INDEX('HIV-Pharmaceuticals'!$P$14:$P$99,MATCH($E33&amp;$F33,'HIV-Pharmaceuticals'!$E$14:$E$99&amp;'HIV-Pharmaceuticals'!$I$14:$I$99,0)),0)</f>
        <v>0</v>
      </c>
      <c r="O33" s="652">
        <f t="shared" si="3"/>
        <v>0</v>
      </c>
      <c r="P33" s="652">
        <f t="shared" si="4"/>
        <v>0</v>
      </c>
      <c r="Q33" s="652">
        <f t="shared" si="5"/>
        <v>0</v>
      </c>
      <c r="R33" s="651">
        <f t="array" ref="R33">IFERROR(INDEX('HIV-Pharmaceuticals'!$Q$14:$Q$99,MATCH($E33&amp;$F33,'HIV-Pharmaceuticals'!$E$14:$E$99&amp;'HIV-Pharmaceuticals'!$I$14:$I$99,0)),0)</f>
        <v>0</v>
      </c>
      <c r="S33" s="652">
        <f t="shared" si="6"/>
        <v>0</v>
      </c>
      <c r="T33" s="652">
        <f t="shared" si="7"/>
        <v>0</v>
      </c>
      <c r="U33" s="652">
        <f t="shared" si="8"/>
        <v>0</v>
      </c>
      <c r="V33" s="651">
        <f t="array" ref="V33">IFERROR(INDEX('HIV-Pharmaceuticals'!$R$14:$R$99,MATCH($E33&amp;$F33,'HIV-Pharmaceuticals'!$E$14:$E$99&amp;'HIV-Pharmaceuticals'!$I$14:$I$99,0)),0)</f>
        <v>0</v>
      </c>
      <c r="W33" s="652">
        <f t="shared" si="9"/>
        <v>0</v>
      </c>
      <c r="X33" s="652">
        <f t="shared" si="10"/>
        <v>0</v>
      </c>
      <c r="Y33" s="652">
        <f t="shared" si="11"/>
        <v>0</v>
      </c>
      <c r="Z33" s="653"/>
      <c r="AA33" s="651">
        <f t="array" ref="AA33">IFERROR(INDEX('HIV-Pharmaceuticals'!$U$14:$U$99,MATCH($E33&amp;$F33,'HIV-Pharmaceuticals'!$E$14:$E$99&amp;'HIV-Pharmaceuticals'!$I$14:$I$99,0)),0)</f>
        <v>0</v>
      </c>
      <c r="AB33" s="651">
        <f t="array" ref="AB33">IFERROR(INDEX('HIV-Pharmaceuticals'!$V$14:$V$99,MATCH($E33&amp;$F33,'HIV-Pharmaceuticals'!$E$14:$E$99&amp;'HIV-Pharmaceuticals'!$I$14:$I$99,0)),0)</f>
        <v>0</v>
      </c>
      <c r="AC33" s="652">
        <f t="shared" si="12"/>
        <v>0</v>
      </c>
      <c r="AD33" s="652">
        <f t="shared" si="13"/>
        <v>0</v>
      </c>
      <c r="AE33" s="652">
        <f t="shared" si="14"/>
        <v>0</v>
      </c>
      <c r="AF33" s="651">
        <f t="array" ref="AF33">IFERROR(INDEX('HIV-Pharmaceuticals'!$W$14:$W$99,MATCH($E33&amp;$F33,'HIV-Pharmaceuticals'!$E$14:$E$99&amp;'HIV-Pharmaceuticals'!$I$14:$I$99,0)),0)</f>
        <v>0</v>
      </c>
      <c r="AG33" s="652">
        <f t="shared" si="15"/>
        <v>0</v>
      </c>
      <c r="AH33" s="652">
        <f t="shared" si="16"/>
        <v>0</v>
      </c>
      <c r="AI33" s="652">
        <f t="shared" si="17"/>
        <v>0</v>
      </c>
      <c r="AJ33" s="651">
        <f t="array" ref="AJ33">IFERROR(INDEX('HIV-Pharmaceuticals'!$X$14:$X$99,MATCH($E33&amp;$F33,'HIV-Pharmaceuticals'!$E$14:$E$99&amp;'HIV-Pharmaceuticals'!$I$14:$I$99,0)),0)</f>
        <v>0</v>
      </c>
      <c r="AK33" s="652">
        <f t="shared" si="18"/>
        <v>0</v>
      </c>
      <c r="AL33" s="652">
        <f t="shared" si="19"/>
        <v>0</v>
      </c>
      <c r="AM33" s="652">
        <f t="shared" si="20"/>
        <v>0</v>
      </c>
      <c r="AN33" s="651">
        <f t="array" ref="AN33">IFERROR(INDEX('HIV-Pharmaceuticals'!$Y$14:$Y$99,MATCH($E33&amp;$F33,'HIV-Pharmaceuticals'!$E$14:$E$99&amp;'HIV-Pharmaceuticals'!$I$14:$I$99,0)),0)</f>
        <v>0</v>
      </c>
      <c r="AO33" s="652">
        <f t="shared" si="21"/>
        <v>0</v>
      </c>
      <c r="AP33" s="652">
        <f t="shared" si="22"/>
        <v>0</v>
      </c>
      <c r="AQ33" s="652">
        <f t="shared" si="23"/>
        <v>0</v>
      </c>
      <c r="AR33" s="653"/>
      <c r="AS33" s="651">
        <f t="array" ref="AS33">IFERROR(INDEX('HIV-Pharmaceuticals'!$AB$14:$AB$99,MATCH($E33&amp;$F33,'HIV-Pharmaceuticals'!$E$14:$E$99&amp;'HIV-Pharmaceuticals'!$I$14:$I$99,0)),0)</f>
        <v>0</v>
      </c>
      <c r="AT33" s="651">
        <f t="array" ref="AT33">IFERROR(INDEX('HIV-Pharmaceuticals'!$AC$14:$AC$99,MATCH($E33&amp;$F33,'HIV-Pharmaceuticals'!$E$14:$E$99&amp;'HIV-Pharmaceuticals'!$I$14:$I$99,0)),0)</f>
        <v>0</v>
      </c>
      <c r="AU33" s="652">
        <f t="shared" si="24"/>
        <v>0</v>
      </c>
      <c r="AV33" s="652">
        <f t="shared" si="25"/>
        <v>0</v>
      </c>
      <c r="AW33" s="652">
        <f t="shared" si="26"/>
        <v>0</v>
      </c>
      <c r="AX33" s="651">
        <f t="array" ref="AX33">IFERROR(INDEX('HIV-Pharmaceuticals'!$AD$14:$AD$99,MATCH($E33&amp;$F33,'HIV-Pharmaceuticals'!$E$14:$E$99&amp;'HIV-Pharmaceuticals'!$I$14:$I$99,0)),0)</f>
        <v>0</v>
      </c>
      <c r="AY33" s="652">
        <f t="shared" si="27"/>
        <v>0</v>
      </c>
      <c r="AZ33" s="652">
        <f t="shared" si="28"/>
        <v>0</v>
      </c>
      <c r="BA33" s="652">
        <f t="shared" si="29"/>
        <v>0</v>
      </c>
      <c r="BB33" s="651">
        <f t="array" ref="BB33">IFERROR(INDEX('HIV-Pharmaceuticals'!$AE$14:$AE$99,MATCH($E33&amp;$F33,'HIV-Pharmaceuticals'!$E$14:$E$99&amp;'HIV-Pharmaceuticals'!$I$14:$I$99,0)),0)</f>
        <v>0</v>
      </c>
      <c r="BC33" s="652">
        <f t="shared" si="30"/>
        <v>0</v>
      </c>
      <c r="BD33" s="652">
        <f t="shared" si="31"/>
        <v>0</v>
      </c>
      <c r="BE33" s="652">
        <f t="shared" si="32"/>
        <v>0</v>
      </c>
      <c r="BF33" s="651">
        <f t="array" ref="BF33">IFERROR(INDEX('HIV-Pharmaceuticals'!$AF$14:$AF$99,MATCH($E33&amp;$F33,'HIV-Pharmaceuticals'!$E$14:$E$99&amp;'HIV-Pharmaceuticals'!$I$14:$I$99,0)),0)</f>
        <v>0</v>
      </c>
      <c r="BG33" s="652">
        <f t="shared" si="33"/>
        <v>0</v>
      </c>
      <c r="BH33" s="652">
        <f t="shared" si="34"/>
        <v>0</v>
      </c>
      <c r="BI33" s="652">
        <f t="shared" si="35"/>
        <v>0</v>
      </c>
      <c r="BK33" s="654"/>
      <c r="BL33" s="654"/>
      <c r="BM33" s="654"/>
      <c r="BN33" s="654"/>
      <c r="BO33" s="654"/>
      <c r="BP33" s="654"/>
      <c r="BQ33" s="654"/>
      <c r="BR33" s="654"/>
    </row>
    <row r="34" spans="1:70" s="646" customFormat="1">
      <c r="A34" s="647" t="s">
        <v>561</v>
      </c>
      <c r="B34" s="647" t="s">
        <v>819</v>
      </c>
      <c r="C34" s="648">
        <f>SETUP!$F$20</f>
        <v>0</v>
      </c>
      <c r="D34" s="649">
        <v>4.0999999999999996</v>
      </c>
      <c r="E34" s="647" t="s">
        <v>116</v>
      </c>
      <c r="F34" s="647" t="s">
        <v>1622</v>
      </c>
      <c r="G34" s="650" t="str">
        <f t="array" ref="G34">IFERROR(INDEX('HIV-Pharmaceuticals'!$L$14:$L$99,MATCH($E34&amp;$F34,'HIV-Pharmaceuticals'!$E$14:$E$99&amp;'HIV-Pharmaceuticals'!$I$14:$I$99,0)),"")</f>
        <v/>
      </c>
      <c r="H34" s="650" t="str">
        <f t="array" ref="H34">IFERROR(INDEX('HIV-Pharmaceuticals'!$M$14:$M$99,MATCH($E34&amp;$F34,'HIV-Pharmaceuticals'!$E$14:$E$99&amp;'HIV-Pharmaceuticals'!$I$14:$I$99,0)),"")</f>
        <v/>
      </c>
      <c r="I34" s="651">
        <f t="array" ref="I34">IFERROR(INDEX('HIV-Pharmaceuticals'!$N$14:$N$99,MATCH($E34&amp;$F34,'HIV-Pharmaceuticals'!$E$14:$E$99&amp;'HIV-Pharmaceuticals'!$I$14:$I$99,0)),0)</f>
        <v>0</v>
      </c>
      <c r="J34" s="651">
        <f t="array" ref="J34">IFERROR(INDEX('HIV-Pharmaceuticals'!$O$14:$O$99,MATCH($E34&amp;$F34,'HIV-Pharmaceuticals'!$E$14:$E$99&amp;'HIV-Pharmaceuticals'!$I$14:$I$99,0)),0)</f>
        <v>0</v>
      </c>
      <c r="K34" s="652">
        <f t="shared" si="0"/>
        <v>0</v>
      </c>
      <c r="L34" s="652">
        <f t="shared" si="1"/>
        <v>0</v>
      </c>
      <c r="M34" s="652">
        <f t="shared" si="2"/>
        <v>0</v>
      </c>
      <c r="N34" s="651">
        <f t="array" ref="N34">IFERROR(INDEX('HIV-Pharmaceuticals'!$P$14:$P$99,MATCH($E34&amp;$F34,'HIV-Pharmaceuticals'!$E$14:$E$99&amp;'HIV-Pharmaceuticals'!$I$14:$I$99,0)),0)</f>
        <v>0</v>
      </c>
      <c r="O34" s="652">
        <f t="shared" si="3"/>
        <v>0</v>
      </c>
      <c r="P34" s="652">
        <f t="shared" si="4"/>
        <v>0</v>
      </c>
      <c r="Q34" s="652">
        <f t="shared" si="5"/>
        <v>0</v>
      </c>
      <c r="R34" s="651">
        <f t="array" ref="R34">IFERROR(INDEX('HIV-Pharmaceuticals'!$Q$14:$Q$99,MATCH($E34&amp;$F34,'HIV-Pharmaceuticals'!$E$14:$E$99&amp;'HIV-Pharmaceuticals'!$I$14:$I$99,0)),0)</f>
        <v>0</v>
      </c>
      <c r="S34" s="652">
        <f t="shared" si="6"/>
        <v>0</v>
      </c>
      <c r="T34" s="652">
        <f t="shared" si="7"/>
        <v>0</v>
      </c>
      <c r="U34" s="652">
        <f t="shared" si="8"/>
        <v>0</v>
      </c>
      <c r="V34" s="651">
        <f t="array" ref="V34">IFERROR(INDEX('HIV-Pharmaceuticals'!$R$14:$R$99,MATCH($E34&amp;$F34,'HIV-Pharmaceuticals'!$E$14:$E$99&amp;'HIV-Pharmaceuticals'!$I$14:$I$99,0)),0)</f>
        <v>0</v>
      </c>
      <c r="W34" s="652">
        <f t="shared" si="9"/>
        <v>0</v>
      </c>
      <c r="X34" s="652">
        <f t="shared" si="10"/>
        <v>0</v>
      </c>
      <c r="Y34" s="652">
        <f t="shared" si="11"/>
        <v>0</v>
      </c>
      <c r="Z34" s="653"/>
      <c r="AA34" s="651">
        <f t="array" ref="AA34">IFERROR(INDEX('HIV-Pharmaceuticals'!$U$14:$U$99,MATCH($E34&amp;$F34,'HIV-Pharmaceuticals'!$E$14:$E$99&amp;'HIV-Pharmaceuticals'!$I$14:$I$99,0)),0)</f>
        <v>0</v>
      </c>
      <c r="AB34" s="651">
        <f t="array" ref="AB34">IFERROR(INDEX('HIV-Pharmaceuticals'!$V$14:$V$99,MATCH($E34&amp;$F34,'HIV-Pharmaceuticals'!$E$14:$E$99&amp;'HIV-Pharmaceuticals'!$I$14:$I$99,0)),0)</f>
        <v>0</v>
      </c>
      <c r="AC34" s="652">
        <f t="shared" si="12"/>
        <v>0</v>
      </c>
      <c r="AD34" s="652">
        <f t="shared" si="13"/>
        <v>0</v>
      </c>
      <c r="AE34" s="652">
        <f t="shared" si="14"/>
        <v>0</v>
      </c>
      <c r="AF34" s="651">
        <f t="array" ref="AF34">IFERROR(INDEX('HIV-Pharmaceuticals'!$W$14:$W$99,MATCH($E34&amp;$F34,'HIV-Pharmaceuticals'!$E$14:$E$99&amp;'HIV-Pharmaceuticals'!$I$14:$I$99,0)),0)</f>
        <v>0</v>
      </c>
      <c r="AG34" s="652">
        <f t="shared" si="15"/>
        <v>0</v>
      </c>
      <c r="AH34" s="652">
        <f t="shared" si="16"/>
        <v>0</v>
      </c>
      <c r="AI34" s="652">
        <f t="shared" si="17"/>
        <v>0</v>
      </c>
      <c r="AJ34" s="651">
        <f t="array" ref="AJ34">IFERROR(INDEX('HIV-Pharmaceuticals'!$X$14:$X$99,MATCH($E34&amp;$F34,'HIV-Pharmaceuticals'!$E$14:$E$99&amp;'HIV-Pharmaceuticals'!$I$14:$I$99,0)),0)</f>
        <v>0</v>
      </c>
      <c r="AK34" s="652">
        <f t="shared" si="18"/>
        <v>0</v>
      </c>
      <c r="AL34" s="652">
        <f t="shared" si="19"/>
        <v>0</v>
      </c>
      <c r="AM34" s="652">
        <f t="shared" si="20"/>
        <v>0</v>
      </c>
      <c r="AN34" s="651">
        <f t="array" ref="AN34">IFERROR(INDEX('HIV-Pharmaceuticals'!$Y$14:$Y$99,MATCH($E34&amp;$F34,'HIV-Pharmaceuticals'!$E$14:$E$99&amp;'HIV-Pharmaceuticals'!$I$14:$I$99,0)),0)</f>
        <v>0</v>
      </c>
      <c r="AO34" s="652">
        <f t="shared" si="21"/>
        <v>0</v>
      </c>
      <c r="AP34" s="652">
        <f t="shared" si="22"/>
        <v>0</v>
      </c>
      <c r="AQ34" s="652">
        <f t="shared" si="23"/>
        <v>0</v>
      </c>
      <c r="AR34" s="653"/>
      <c r="AS34" s="651">
        <f t="array" ref="AS34">IFERROR(INDEX('HIV-Pharmaceuticals'!$AB$14:$AB$99,MATCH($E34&amp;$F34,'HIV-Pharmaceuticals'!$E$14:$E$99&amp;'HIV-Pharmaceuticals'!$I$14:$I$99,0)),0)</f>
        <v>0</v>
      </c>
      <c r="AT34" s="651">
        <f t="array" ref="AT34">IFERROR(INDEX('HIV-Pharmaceuticals'!$AC$14:$AC$99,MATCH($E34&amp;$F34,'HIV-Pharmaceuticals'!$E$14:$E$99&amp;'HIV-Pharmaceuticals'!$I$14:$I$99,0)),0)</f>
        <v>0</v>
      </c>
      <c r="AU34" s="652">
        <f t="shared" si="24"/>
        <v>0</v>
      </c>
      <c r="AV34" s="652">
        <f t="shared" si="25"/>
        <v>0</v>
      </c>
      <c r="AW34" s="652">
        <f t="shared" si="26"/>
        <v>0</v>
      </c>
      <c r="AX34" s="651">
        <f t="array" ref="AX34">IFERROR(INDEX('HIV-Pharmaceuticals'!$AD$14:$AD$99,MATCH($E34&amp;$F34,'HIV-Pharmaceuticals'!$E$14:$E$99&amp;'HIV-Pharmaceuticals'!$I$14:$I$99,0)),0)</f>
        <v>0</v>
      </c>
      <c r="AY34" s="652">
        <f t="shared" si="27"/>
        <v>0</v>
      </c>
      <c r="AZ34" s="652">
        <f t="shared" si="28"/>
        <v>0</v>
      </c>
      <c r="BA34" s="652">
        <f t="shared" si="29"/>
        <v>0</v>
      </c>
      <c r="BB34" s="651">
        <f t="array" ref="BB34">IFERROR(INDEX('HIV-Pharmaceuticals'!$AE$14:$AE$99,MATCH($E34&amp;$F34,'HIV-Pharmaceuticals'!$E$14:$E$99&amp;'HIV-Pharmaceuticals'!$I$14:$I$99,0)),0)</f>
        <v>0</v>
      </c>
      <c r="BC34" s="652">
        <f t="shared" si="30"/>
        <v>0</v>
      </c>
      <c r="BD34" s="652">
        <f t="shared" si="31"/>
        <v>0</v>
      </c>
      <c r="BE34" s="652">
        <f t="shared" si="32"/>
        <v>0</v>
      </c>
      <c r="BF34" s="651">
        <f t="array" ref="BF34">IFERROR(INDEX('HIV-Pharmaceuticals'!$AF$14:$AF$99,MATCH($E34&amp;$F34,'HIV-Pharmaceuticals'!$E$14:$E$99&amp;'HIV-Pharmaceuticals'!$I$14:$I$99,0)),0)</f>
        <v>0</v>
      </c>
      <c r="BG34" s="652">
        <f t="shared" si="33"/>
        <v>0</v>
      </c>
      <c r="BH34" s="652">
        <f t="shared" si="34"/>
        <v>0</v>
      </c>
      <c r="BI34" s="652">
        <f t="shared" si="35"/>
        <v>0</v>
      </c>
      <c r="BK34" s="654"/>
      <c r="BL34" s="654"/>
      <c r="BM34" s="654"/>
      <c r="BN34" s="654"/>
      <c r="BO34" s="654"/>
      <c r="BP34" s="654"/>
      <c r="BQ34" s="654"/>
      <c r="BR34" s="654"/>
    </row>
    <row r="35" spans="1:70" s="646" customFormat="1">
      <c r="A35" s="647" t="s">
        <v>561</v>
      </c>
      <c r="B35" s="647" t="s">
        <v>819</v>
      </c>
      <c r="C35" s="648">
        <f>SETUP!$F$20</f>
        <v>0</v>
      </c>
      <c r="D35" s="649">
        <v>4.0999999999999996</v>
      </c>
      <c r="E35" s="647" t="s">
        <v>116</v>
      </c>
      <c r="F35" s="647" t="s">
        <v>1623</v>
      </c>
      <c r="G35" s="650" t="str">
        <f t="array" ref="G35">IFERROR(INDEX('HIV-Pharmaceuticals'!$L$14:$L$99,MATCH($E35&amp;$F35,'HIV-Pharmaceuticals'!$E$14:$E$99&amp;'HIV-Pharmaceuticals'!$I$14:$I$99,0)),"")</f>
        <v/>
      </c>
      <c r="H35" s="650" t="str">
        <f t="array" ref="H35">IFERROR(INDEX('HIV-Pharmaceuticals'!$M$14:$M$99,MATCH($E35&amp;$F35,'HIV-Pharmaceuticals'!$E$14:$E$99&amp;'HIV-Pharmaceuticals'!$I$14:$I$99,0)),"")</f>
        <v/>
      </c>
      <c r="I35" s="651">
        <f t="array" ref="I35">IFERROR(INDEX('HIV-Pharmaceuticals'!$N$14:$N$99,MATCH($E35&amp;$F35,'HIV-Pharmaceuticals'!$E$14:$E$99&amp;'HIV-Pharmaceuticals'!$I$14:$I$99,0)),0)</f>
        <v>0</v>
      </c>
      <c r="J35" s="651">
        <f t="array" ref="J35">IFERROR(INDEX('HIV-Pharmaceuticals'!$O$14:$O$99,MATCH($E35&amp;$F35,'HIV-Pharmaceuticals'!$E$14:$E$99&amp;'HIV-Pharmaceuticals'!$I$14:$I$99,0)),0)</f>
        <v>0</v>
      </c>
      <c r="K35" s="652">
        <f t="shared" si="0"/>
        <v>0</v>
      </c>
      <c r="L35" s="652">
        <f t="shared" si="1"/>
        <v>0</v>
      </c>
      <c r="M35" s="652">
        <f t="shared" si="2"/>
        <v>0</v>
      </c>
      <c r="N35" s="651">
        <f t="array" ref="N35">IFERROR(INDEX('HIV-Pharmaceuticals'!$P$14:$P$99,MATCH($E35&amp;$F35,'HIV-Pharmaceuticals'!$E$14:$E$99&amp;'HIV-Pharmaceuticals'!$I$14:$I$99,0)),0)</f>
        <v>0</v>
      </c>
      <c r="O35" s="652">
        <f t="shared" si="3"/>
        <v>0</v>
      </c>
      <c r="P35" s="652">
        <f t="shared" si="4"/>
        <v>0</v>
      </c>
      <c r="Q35" s="652">
        <f t="shared" si="5"/>
        <v>0</v>
      </c>
      <c r="R35" s="651">
        <f t="array" ref="R35">IFERROR(INDEX('HIV-Pharmaceuticals'!$Q$14:$Q$99,MATCH($E35&amp;$F35,'HIV-Pharmaceuticals'!$E$14:$E$99&amp;'HIV-Pharmaceuticals'!$I$14:$I$99,0)),0)</f>
        <v>0</v>
      </c>
      <c r="S35" s="652">
        <f t="shared" si="6"/>
        <v>0</v>
      </c>
      <c r="T35" s="652">
        <f t="shared" si="7"/>
        <v>0</v>
      </c>
      <c r="U35" s="652">
        <f t="shared" si="8"/>
        <v>0</v>
      </c>
      <c r="V35" s="651">
        <f t="array" ref="V35">IFERROR(INDEX('HIV-Pharmaceuticals'!$R$14:$R$99,MATCH($E35&amp;$F35,'HIV-Pharmaceuticals'!$E$14:$E$99&amp;'HIV-Pharmaceuticals'!$I$14:$I$99,0)),0)</f>
        <v>0</v>
      </c>
      <c r="W35" s="652">
        <f t="shared" si="9"/>
        <v>0</v>
      </c>
      <c r="X35" s="652">
        <f t="shared" si="10"/>
        <v>0</v>
      </c>
      <c r="Y35" s="652">
        <f t="shared" si="11"/>
        <v>0</v>
      </c>
      <c r="Z35" s="653"/>
      <c r="AA35" s="651">
        <f t="array" ref="AA35">IFERROR(INDEX('HIV-Pharmaceuticals'!$U$14:$U$99,MATCH($E35&amp;$F35,'HIV-Pharmaceuticals'!$E$14:$E$99&amp;'HIV-Pharmaceuticals'!$I$14:$I$99,0)),0)</f>
        <v>0</v>
      </c>
      <c r="AB35" s="651">
        <f t="array" ref="AB35">IFERROR(INDEX('HIV-Pharmaceuticals'!$V$14:$V$99,MATCH($E35&amp;$F35,'HIV-Pharmaceuticals'!$E$14:$E$99&amp;'HIV-Pharmaceuticals'!$I$14:$I$99,0)),0)</f>
        <v>0</v>
      </c>
      <c r="AC35" s="652">
        <f t="shared" si="12"/>
        <v>0</v>
      </c>
      <c r="AD35" s="652">
        <f t="shared" si="13"/>
        <v>0</v>
      </c>
      <c r="AE35" s="652">
        <f t="shared" si="14"/>
        <v>0</v>
      </c>
      <c r="AF35" s="651">
        <f t="array" ref="AF35">IFERROR(INDEX('HIV-Pharmaceuticals'!$W$14:$W$99,MATCH($E35&amp;$F35,'HIV-Pharmaceuticals'!$E$14:$E$99&amp;'HIV-Pharmaceuticals'!$I$14:$I$99,0)),0)</f>
        <v>0</v>
      </c>
      <c r="AG35" s="652">
        <f t="shared" si="15"/>
        <v>0</v>
      </c>
      <c r="AH35" s="652">
        <f t="shared" si="16"/>
        <v>0</v>
      </c>
      <c r="AI35" s="652">
        <f t="shared" si="17"/>
        <v>0</v>
      </c>
      <c r="AJ35" s="651">
        <f t="array" ref="AJ35">IFERROR(INDEX('HIV-Pharmaceuticals'!$X$14:$X$99,MATCH($E35&amp;$F35,'HIV-Pharmaceuticals'!$E$14:$E$99&amp;'HIV-Pharmaceuticals'!$I$14:$I$99,0)),0)</f>
        <v>0</v>
      </c>
      <c r="AK35" s="652">
        <f t="shared" si="18"/>
        <v>0</v>
      </c>
      <c r="AL35" s="652">
        <f t="shared" si="19"/>
        <v>0</v>
      </c>
      <c r="AM35" s="652">
        <f t="shared" si="20"/>
        <v>0</v>
      </c>
      <c r="AN35" s="651">
        <f t="array" ref="AN35">IFERROR(INDEX('HIV-Pharmaceuticals'!$Y$14:$Y$99,MATCH($E35&amp;$F35,'HIV-Pharmaceuticals'!$E$14:$E$99&amp;'HIV-Pharmaceuticals'!$I$14:$I$99,0)),0)</f>
        <v>0</v>
      </c>
      <c r="AO35" s="652">
        <f t="shared" si="21"/>
        <v>0</v>
      </c>
      <c r="AP35" s="652">
        <f t="shared" si="22"/>
        <v>0</v>
      </c>
      <c r="AQ35" s="652">
        <f t="shared" si="23"/>
        <v>0</v>
      </c>
      <c r="AR35" s="653"/>
      <c r="AS35" s="651">
        <f t="array" ref="AS35">IFERROR(INDEX('HIV-Pharmaceuticals'!$AB$14:$AB$99,MATCH($E35&amp;$F35,'HIV-Pharmaceuticals'!$E$14:$E$99&amp;'HIV-Pharmaceuticals'!$I$14:$I$99,0)),0)</f>
        <v>0</v>
      </c>
      <c r="AT35" s="651">
        <f t="array" ref="AT35">IFERROR(INDEX('HIV-Pharmaceuticals'!$AC$14:$AC$99,MATCH($E35&amp;$F35,'HIV-Pharmaceuticals'!$E$14:$E$99&amp;'HIV-Pharmaceuticals'!$I$14:$I$99,0)),0)</f>
        <v>0</v>
      </c>
      <c r="AU35" s="652">
        <f t="shared" si="24"/>
        <v>0</v>
      </c>
      <c r="AV35" s="652">
        <f t="shared" si="25"/>
        <v>0</v>
      </c>
      <c r="AW35" s="652">
        <f t="shared" si="26"/>
        <v>0</v>
      </c>
      <c r="AX35" s="651">
        <f t="array" ref="AX35">IFERROR(INDEX('HIV-Pharmaceuticals'!$AD$14:$AD$99,MATCH($E35&amp;$F35,'HIV-Pharmaceuticals'!$E$14:$E$99&amp;'HIV-Pharmaceuticals'!$I$14:$I$99,0)),0)</f>
        <v>0</v>
      </c>
      <c r="AY35" s="652">
        <f t="shared" si="27"/>
        <v>0</v>
      </c>
      <c r="AZ35" s="652">
        <f t="shared" si="28"/>
        <v>0</v>
      </c>
      <c r="BA35" s="652">
        <f t="shared" si="29"/>
        <v>0</v>
      </c>
      <c r="BB35" s="651">
        <f t="array" ref="BB35">IFERROR(INDEX('HIV-Pharmaceuticals'!$AE$14:$AE$99,MATCH($E35&amp;$F35,'HIV-Pharmaceuticals'!$E$14:$E$99&amp;'HIV-Pharmaceuticals'!$I$14:$I$99,0)),0)</f>
        <v>0</v>
      </c>
      <c r="BC35" s="652">
        <f t="shared" si="30"/>
        <v>0</v>
      </c>
      <c r="BD35" s="652">
        <f t="shared" si="31"/>
        <v>0</v>
      </c>
      <c r="BE35" s="652">
        <f t="shared" si="32"/>
        <v>0</v>
      </c>
      <c r="BF35" s="651">
        <f t="array" ref="BF35">IFERROR(INDEX('HIV-Pharmaceuticals'!$AF$14:$AF$99,MATCH($E35&amp;$F35,'HIV-Pharmaceuticals'!$E$14:$E$99&amp;'HIV-Pharmaceuticals'!$I$14:$I$99,0)),0)</f>
        <v>0</v>
      </c>
      <c r="BG35" s="652">
        <f t="shared" si="33"/>
        <v>0</v>
      </c>
      <c r="BH35" s="652">
        <f t="shared" si="34"/>
        <v>0</v>
      </c>
      <c r="BI35" s="652">
        <f t="shared" si="35"/>
        <v>0</v>
      </c>
      <c r="BK35" s="654"/>
      <c r="BL35" s="654"/>
      <c r="BM35" s="654"/>
      <c r="BN35" s="654"/>
      <c r="BO35" s="654"/>
      <c r="BP35" s="654"/>
      <c r="BQ35" s="654"/>
      <c r="BR35" s="654"/>
    </row>
    <row r="36" spans="1:70" s="646" customFormat="1">
      <c r="A36" s="647" t="s">
        <v>561</v>
      </c>
      <c r="B36" s="647" t="s">
        <v>819</v>
      </c>
      <c r="C36" s="648">
        <f>SETUP!$F$20</f>
        <v>0</v>
      </c>
      <c r="D36" s="649">
        <v>4.0999999999999996</v>
      </c>
      <c r="E36" s="647" t="s">
        <v>116</v>
      </c>
      <c r="F36" s="647" t="s">
        <v>1624</v>
      </c>
      <c r="G36" s="650" t="str">
        <f t="array" ref="G36">IFERROR(INDEX('HIV-Pharmaceuticals'!$L$14:$L$99,MATCH($E36&amp;$F36,'HIV-Pharmaceuticals'!$E$14:$E$99&amp;'HIV-Pharmaceuticals'!$I$14:$I$99,0)),"")</f>
        <v/>
      </c>
      <c r="H36" s="650" t="str">
        <f t="array" ref="H36">IFERROR(INDEX('HIV-Pharmaceuticals'!$M$14:$M$99,MATCH($E36&amp;$F36,'HIV-Pharmaceuticals'!$E$14:$E$99&amp;'HIV-Pharmaceuticals'!$I$14:$I$99,0)),"")</f>
        <v/>
      </c>
      <c r="I36" s="651">
        <f t="array" ref="I36">IFERROR(INDEX('HIV-Pharmaceuticals'!$N$14:$N$99,MATCH($E36&amp;$F36,'HIV-Pharmaceuticals'!$E$14:$E$99&amp;'HIV-Pharmaceuticals'!$I$14:$I$99,0)),0)</f>
        <v>0</v>
      </c>
      <c r="J36" s="651">
        <f t="array" ref="J36">IFERROR(INDEX('HIV-Pharmaceuticals'!$O$14:$O$99,MATCH($E36&amp;$F36,'HIV-Pharmaceuticals'!$E$14:$E$99&amp;'HIV-Pharmaceuticals'!$I$14:$I$99,0)),0)</f>
        <v>0</v>
      </c>
      <c r="K36" s="652">
        <f t="shared" si="0"/>
        <v>0</v>
      </c>
      <c r="L36" s="652">
        <f t="shared" si="1"/>
        <v>0</v>
      </c>
      <c r="M36" s="652">
        <f t="shared" si="2"/>
        <v>0</v>
      </c>
      <c r="N36" s="651">
        <f t="array" ref="N36">IFERROR(INDEX('HIV-Pharmaceuticals'!$P$14:$P$99,MATCH($E36&amp;$F36,'HIV-Pharmaceuticals'!$E$14:$E$99&amp;'HIV-Pharmaceuticals'!$I$14:$I$99,0)),0)</f>
        <v>0</v>
      </c>
      <c r="O36" s="652">
        <f t="shared" si="3"/>
        <v>0</v>
      </c>
      <c r="P36" s="652">
        <f t="shared" si="4"/>
        <v>0</v>
      </c>
      <c r="Q36" s="652">
        <f t="shared" si="5"/>
        <v>0</v>
      </c>
      <c r="R36" s="651">
        <f t="array" ref="R36">IFERROR(INDEX('HIV-Pharmaceuticals'!$Q$14:$Q$99,MATCH($E36&amp;$F36,'HIV-Pharmaceuticals'!$E$14:$E$99&amp;'HIV-Pharmaceuticals'!$I$14:$I$99,0)),0)</f>
        <v>0</v>
      </c>
      <c r="S36" s="652">
        <f t="shared" si="6"/>
        <v>0</v>
      </c>
      <c r="T36" s="652">
        <f t="shared" si="7"/>
        <v>0</v>
      </c>
      <c r="U36" s="652">
        <f t="shared" si="8"/>
        <v>0</v>
      </c>
      <c r="V36" s="651">
        <f t="array" ref="V36">IFERROR(INDEX('HIV-Pharmaceuticals'!$R$14:$R$99,MATCH($E36&amp;$F36,'HIV-Pharmaceuticals'!$E$14:$E$99&amp;'HIV-Pharmaceuticals'!$I$14:$I$99,0)),0)</f>
        <v>0</v>
      </c>
      <c r="W36" s="652">
        <f t="shared" si="9"/>
        <v>0</v>
      </c>
      <c r="X36" s="652">
        <f t="shared" si="10"/>
        <v>0</v>
      </c>
      <c r="Y36" s="652">
        <f t="shared" si="11"/>
        <v>0</v>
      </c>
      <c r="Z36" s="653"/>
      <c r="AA36" s="651">
        <f t="array" ref="AA36">IFERROR(INDEX('HIV-Pharmaceuticals'!$U$14:$U$99,MATCH($E36&amp;$F36,'HIV-Pharmaceuticals'!$E$14:$E$99&amp;'HIV-Pharmaceuticals'!$I$14:$I$99,0)),0)</f>
        <v>0</v>
      </c>
      <c r="AB36" s="651">
        <f t="array" ref="AB36">IFERROR(INDEX('HIV-Pharmaceuticals'!$V$14:$V$99,MATCH($E36&amp;$F36,'HIV-Pharmaceuticals'!$E$14:$E$99&amp;'HIV-Pharmaceuticals'!$I$14:$I$99,0)),0)</f>
        <v>0</v>
      </c>
      <c r="AC36" s="652">
        <f t="shared" si="12"/>
        <v>0</v>
      </c>
      <c r="AD36" s="652">
        <f t="shared" si="13"/>
        <v>0</v>
      </c>
      <c r="AE36" s="652">
        <f t="shared" si="14"/>
        <v>0</v>
      </c>
      <c r="AF36" s="651">
        <f t="array" ref="AF36">IFERROR(INDEX('HIV-Pharmaceuticals'!$W$14:$W$99,MATCH($E36&amp;$F36,'HIV-Pharmaceuticals'!$E$14:$E$99&amp;'HIV-Pharmaceuticals'!$I$14:$I$99,0)),0)</f>
        <v>0</v>
      </c>
      <c r="AG36" s="652">
        <f t="shared" si="15"/>
        <v>0</v>
      </c>
      <c r="AH36" s="652">
        <f t="shared" si="16"/>
        <v>0</v>
      </c>
      <c r="AI36" s="652">
        <f t="shared" si="17"/>
        <v>0</v>
      </c>
      <c r="AJ36" s="651">
        <f t="array" ref="AJ36">IFERROR(INDEX('HIV-Pharmaceuticals'!$X$14:$X$99,MATCH($E36&amp;$F36,'HIV-Pharmaceuticals'!$E$14:$E$99&amp;'HIV-Pharmaceuticals'!$I$14:$I$99,0)),0)</f>
        <v>0</v>
      </c>
      <c r="AK36" s="652">
        <f t="shared" si="18"/>
        <v>0</v>
      </c>
      <c r="AL36" s="652">
        <f t="shared" si="19"/>
        <v>0</v>
      </c>
      <c r="AM36" s="652">
        <f t="shared" si="20"/>
        <v>0</v>
      </c>
      <c r="AN36" s="651">
        <f t="array" ref="AN36">IFERROR(INDEX('HIV-Pharmaceuticals'!$Y$14:$Y$99,MATCH($E36&amp;$F36,'HIV-Pharmaceuticals'!$E$14:$E$99&amp;'HIV-Pharmaceuticals'!$I$14:$I$99,0)),0)</f>
        <v>0</v>
      </c>
      <c r="AO36" s="652">
        <f t="shared" si="21"/>
        <v>0</v>
      </c>
      <c r="AP36" s="652">
        <f t="shared" si="22"/>
        <v>0</v>
      </c>
      <c r="AQ36" s="652">
        <f t="shared" si="23"/>
        <v>0</v>
      </c>
      <c r="AR36" s="653"/>
      <c r="AS36" s="651">
        <f t="array" ref="AS36">IFERROR(INDEX('HIV-Pharmaceuticals'!$AB$14:$AB$99,MATCH($E36&amp;$F36,'HIV-Pharmaceuticals'!$E$14:$E$99&amp;'HIV-Pharmaceuticals'!$I$14:$I$99,0)),0)</f>
        <v>0</v>
      </c>
      <c r="AT36" s="651">
        <f t="array" ref="AT36">IFERROR(INDEX('HIV-Pharmaceuticals'!$AC$14:$AC$99,MATCH($E36&amp;$F36,'HIV-Pharmaceuticals'!$E$14:$E$99&amp;'HIV-Pharmaceuticals'!$I$14:$I$99,0)),0)</f>
        <v>0</v>
      </c>
      <c r="AU36" s="652">
        <f t="shared" si="24"/>
        <v>0</v>
      </c>
      <c r="AV36" s="652">
        <f t="shared" si="25"/>
        <v>0</v>
      </c>
      <c r="AW36" s="652">
        <f t="shared" si="26"/>
        <v>0</v>
      </c>
      <c r="AX36" s="651">
        <f t="array" ref="AX36">IFERROR(INDEX('HIV-Pharmaceuticals'!$AD$14:$AD$99,MATCH($E36&amp;$F36,'HIV-Pharmaceuticals'!$E$14:$E$99&amp;'HIV-Pharmaceuticals'!$I$14:$I$99,0)),0)</f>
        <v>0</v>
      </c>
      <c r="AY36" s="652">
        <f t="shared" si="27"/>
        <v>0</v>
      </c>
      <c r="AZ36" s="652">
        <f t="shared" si="28"/>
        <v>0</v>
      </c>
      <c r="BA36" s="652">
        <f t="shared" si="29"/>
        <v>0</v>
      </c>
      <c r="BB36" s="651">
        <f t="array" ref="BB36">IFERROR(INDEX('HIV-Pharmaceuticals'!$AE$14:$AE$99,MATCH($E36&amp;$F36,'HIV-Pharmaceuticals'!$E$14:$E$99&amp;'HIV-Pharmaceuticals'!$I$14:$I$99,0)),0)</f>
        <v>0</v>
      </c>
      <c r="BC36" s="652">
        <f t="shared" si="30"/>
        <v>0</v>
      </c>
      <c r="BD36" s="652">
        <f t="shared" si="31"/>
        <v>0</v>
      </c>
      <c r="BE36" s="652">
        <f t="shared" si="32"/>
        <v>0</v>
      </c>
      <c r="BF36" s="651">
        <f t="array" ref="BF36">IFERROR(INDEX('HIV-Pharmaceuticals'!$AF$14:$AF$99,MATCH($E36&amp;$F36,'HIV-Pharmaceuticals'!$E$14:$E$99&amp;'HIV-Pharmaceuticals'!$I$14:$I$99,0)),0)</f>
        <v>0</v>
      </c>
      <c r="BG36" s="652">
        <f t="shared" si="33"/>
        <v>0</v>
      </c>
      <c r="BH36" s="652">
        <f t="shared" si="34"/>
        <v>0</v>
      </c>
      <c r="BI36" s="652">
        <f t="shared" si="35"/>
        <v>0</v>
      </c>
      <c r="BK36" s="654"/>
      <c r="BL36" s="654"/>
      <c r="BM36" s="654"/>
      <c r="BN36" s="654"/>
      <c r="BO36" s="654"/>
      <c r="BP36" s="654"/>
      <c r="BQ36" s="654"/>
      <c r="BR36" s="654"/>
    </row>
    <row r="37" spans="1:70" s="646" customFormat="1">
      <c r="A37" s="647" t="s">
        <v>561</v>
      </c>
      <c r="B37" s="647" t="s">
        <v>819</v>
      </c>
      <c r="C37" s="648">
        <f>SETUP!$F$20</f>
        <v>0</v>
      </c>
      <c r="D37" s="649">
        <v>4.0999999999999996</v>
      </c>
      <c r="E37" s="647" t="s">
        <v>116</v>
      </c>
      <c r="F37" s="647" t="s">
        <v>1625</v>
      </c>
      <c r="G37" s="650" t="str">
        <f t="array" ref="G37">IFERROR(INDEX('HIV-Pharmaceuticals'!$L$14:$L$99,MATCH($E37&amp;$F37,'HIV-Pharmaceuticals'!$E$14:$E$99&amp;'HIV-Pharmaceuticals'!$I$14:$I$99,0)),"")</f>
        <v/>
      </c>
      <c r="H37" s="650" t="str">
        <f t="array" ref="H37">IFERROR(INDEX('HIV-Pharmaceuticals'!$M$14:$M$99,MATCH($E37&amp;$F37,'HIV-Pharmaceuticals'!$E$14:$E$99&amp;'HIV-Pharmaceuticals'!$I$14:$I$99,0)),"")</f>
        <v/>
      </c>
      <c r="I37" s="651">
        <f t="array" ref="I37">IFERROR(INDEX('HIV-Pharmaceuticals'!$N$14:$N$99,MATCH($E37&amp;$F37,'HIV-Pharmaceuticals'!$E$14:$E$99&amp;'HIV-Pharmaceuticals'!$I$14:$I$99,0)),0)</f>
        <v>0</v>
      </c>
      <c r="J37" s="651">
        <f t="array" ref="J37">IFERROR(INDEX('HIV-Pharmaceuticals'!$O$14:$O$99,MATCH($E37&amp;$F37,'HIV-Pharmaceuticals'!$E$14:$E$99&amp;'HIV-Pharmaceuticals'!$I$14:$I$99,0)),0)</f>
        <v>0</v>
      </c>
      <c r="K37" s="652">
        <f t="shared" si="0"/>
        <v>0</v>
      </c>
      <c r="L37" s="652">
        <f t="shared" si="1"/>
        <v>0</v>
      </c>
      <c r="M37" s="652">
        <f t="shared" si="2"/>
        <v>0</v>
      </c>
      <c r="N37" s="651">
        <f t="array" ref="N37">IFERROR(INDEX('HIV-Pharmaceuticals'!$P$14:$P$99,MATCH($E37&amp;$F37,'HIV-Pharmaceuticals'!$E$14:$E$99&amp;'HIV-Pharmaceuticals'!$I$14:$I$99,0)),0)</f>
        <v>0</v>
      </c>
      <c r="O37" s="652">
        <f t="shared" si="3"/>
        <v>0</v>
      </c>
      <c r="P37" s="652">
        <f t="shared" si="4"/>
        <v>0</v>
      </c>
      <c r="Q37" s="652">
        <f t="shared" si="5"/>
        <v>0</v>
      </c>
      <c r="R37" s="651">
        <f t="array" ref="R37">IFERROR(INDEX('HIV-Pharmaceuticals'!$Q$14:$Q$99,MATCH($E37&amp;$F37,'HIV-Pharmaceuticals'!$E$14:$E$99&amp;'HIV-Pharmaceuticals'!$I$14:$I$99,0)),0)</f>
        <v>0</v>
      </c>
      <c r="S37" s="652">
        <f t="shared" si="6"/>
        <v>0</v>
      </c>
      <c r="T37" s="652">
        <f t="shared" si="7"/>
        <v>0</v>
      </c>
      <c r="U37" s="652">
        <f t="shared" si="8"/>
        <v>0</v>
      </c>
      <c r="V37" s="651">
        <f t="array" ref="V37">IFERROR(INDEX('HIV-Pharmaceuticals'!$R$14:$R$99,MATCH($E37&amp;$F37,'HIV-Pharmaceuticals'!$E$14:$E$99&amp;'HIV-Pharmaceuticals'!$I$14:$I$99,0)),0)</f>
        <v>0</v>
      </c>
      <c r="W37" s="652">
        <f t="shared" si="9"/>
        <v>0</v>
      </c>
      <c r="X37" s="652">
        <f t="shared" si="10"/>
        <v>0</v>
      </c>
      <c r="Y37" s="652">
        <f t="shared" si="11"/>
        <v>0</v>
      </c>
      <c r="Z37" s="653"/>
      <c r="AA37" s="651">
        <f t="array" ref="AA37">IFERROR(INDEX('HIV-Pharmaceuticals'!$U$14:$U$99,MATCH($E37&amp;$F37,'HIV-Pharmaceuticals'!$E$14:$E$99&amp;'HIV-Pharmaceuticals'!$I$14:$I$99,0)),0)</f>
        <v>0</v>
      </c>
      <c r="AB37" s="651">
        <f t="array" ref="AB37">IFERROR(INDEX('HIV-Pharmaceuticals'!$V$14:$V$99,MATCH($E37&amp;$F37,'HIV-Pharmaceuticals'!$E$14:$E$99&amp;'HIV-Pharmaceuticals'!$I$14:$I$99,0)),0)</f>
        <v>0</v>
      </c>
      <c r="AC37" s="652">
        <f t="shared" si="12"/>
        <v>0</v>
      </c>
      <c r="AD37" s="652">
        <f t="shared" si="13"/>
        <v>0</v>
      </c>
      <c r="AE37" s="652">
        <f t="shared" si="14"/>
        <v>0</v>
      </c>
      <c r="AF37" s="651">
        <f t="array" ref="AF37">IFERROR(INDEX('HIV-Pharmaceuticals'!$W$14:$W$99,MATCH($E37&amp;$F37,'HIV-Pharmaceuticals'!$E$14:$E$99&amp;'HIV-Pharmaceuticals'!$I$14:$I$99,0)),0)</f>
        <v>0</v>
      </c>
      <c r="AG37" s="652">
        <f t="shared" si="15"/>
        <v>0</v>
      </c>
      <c r="AH37" s="652">
        <f t="shared" si="16"/>
        <v>0</v>
      </c>
      <c r="AI37" s="652">
        <f t="shared" si="17"/>
        <v>0</v>
      </c>
      <c r="AJ37" s="651">
        <f t="array" ref="AJ37">IFERROR(INDEX('HIV-Pharmaceuticals'!$X$14:$X$99,MATCH($E37&amp;$F37,'HIV-Pharmaceuticals'!$E$14:$E$99&amp;'HIV-Pharmaceuticals'!$I$14:$I$99,0)),0)</f>
        <v>0</v>
      </c>
      <c r="AK37" s="652">
        <f t="shared" si="18"/>
        <v>0</v>
      </c>
      <c r="AL37" s="652">
        <f t="shared" si="19"/>
        <v>0</v>
      </c>
      <c r="AM37" s="652">
        <f t="shared" si="20"/>
        <v>0</v>
      </c>
      <c r="AN37" s="651">
        <f t="array" ref="AN37">IFERROR(INDEX('HIV-Pharmaceuticals'!$Y$14:$Y$99,MATCH($E37&amp;$F37,'HIV-Pharmaceuticals'!$E$14:$E$99&amp;'HIV-Pharmaceuticals'!$I$14:$I$99,0)),0)</f>
        <v>0</v>
      </c>
      <c r="AO37" s="652">
        <f t="shared" si="21"/>
        <v>0</v>
      </c>
      <c r="AP37" s="652">
        <f t="shared" si="22"/>
        <v>0</v>
      </c>
      <c r="AQ37" s="652">
        <f t="shared" si="23"/>
        <v>0</v>
      </c>
      <c r="AR37" s="653"/>
      <c r="AS37" s="651">
        <f t="array" ref="AS37">IFERROR(INDEX('HIV-Pharmaceuticals'!$AB$14:$AB$99,MATCH($E37&amp;$F37,'HIV-Pharmaceuticals'!$E$14:$E$99&amp;'HIV-Pharmaceuticals'!$I$14:$I$99,0)),0)</f>
        <v>0</v>
      </c>
      <c r="AT37" s="651">
        <f t="array" ref="AT37">IFERROR(INDEX('HIV-Pharmaceuticals'!$AC$14:$AC$99,MATCH($E37&amp;$F37,'HIV-Pharmaceuticals'!$E$14:$E$99&amp;'HIV-Pharmaceuticals'!$I$14:$I$99,0)),0)</f>
        <v>0</v>
      </c>
      <c r="AU37" s="652">
        <f t="shared" si="24"/>
        <v>0</v>
      </c>
      <c r="AV37" s="652">
        <f t="shared" si="25"/>
        <v>0</v>
      </c>
      <c r="AW37" s="652">
        <f t="shared" si="26"/>
        <v>0</v>
      </c>
      <c r="AX37" s="651">
        <f t="array" ref="AX37">IFERROR(INDEX('HIV-Pharmaceuticals'!$AD$14:$AD$99,MATCH($E37&amp;$F37,'HIV-Pharmaceuticals'!$E$14:$E$99&amp;'HIV-Pharmaceuticals'!$I$14:$I$99,0)),0)</f>
        <v>0</v>
      </c>
      <c r="AY37" s="652">
        <f t="shared" si="27"/>
        <v>0</v>
      </c>
      <c r="AZ37" s="652">
        <f t="shared" si="28"/>
        <v>0</v>
      </c>
      <c r="BA37" s="652">
        <f t="shared" si="29"/>
        <v>0</v>
      </c>
      <c r="BB37" s="651">
        <f t="array" ref="BB37">IFERROR(INDEX('HIV-Pharmaceuticals'!$AE$14:$AE$99,MATCH($E37&amp;$F37,'HIV-Pharmaceuticals'!$E$14:$E$99&amp;'HIV-Pharmaceuticals'!$I$14:$I$99,0)),0)</f>
        <v>0</v>
      </c>
      <c r="BC37" s="652">
        <f t="shared" si="30"/>
        <v>0</v>
      </c>
      <c r="BD37" s="652">
        <f t="shared" si="31"/>
        <v>0</v>
      </c>
      <c r="BE37" s="652">
        <f t="shared" si="32"/>
        <v>0</v>
      </c>
      <c r="BF37" s="651">
        <f t="array" ref="BF37">IFERROR(INDEX('HIV-Pharmaceuticals'!$AF$14:$AF$99,MATCH($E37&amp;$F37,'HIV-Pharmaceuticals'!$E$14:$E$99&amp;'HIV-Pharmaceuticals'!$I$14:$I$99,0)),0)</f>
        <v>0</v>
      </c>
      <c r="BG37" s="652">
        <f t="shared" si="33"/>
        <v>0</v>
      </c>
      <c r="BH37" s="652">
        <f t="shared" si="34"/>
        <v>0</v>
      </c>
      <c r="BI37" s="652">
        <f t="shared" si="35"/>
        <v>0</v>
      </c>
      <c r="BK37" s="654"/>
      <c r="BL37" s="654"/>
      <c r="BM37" s="654"/>
      <c r="BN37" s="654"/>
      <c r="BO37" s="654"/>
      <c r="BP37" s="654"/>
      <c r="BQ37" s="654"/>
      <c r="BR37" s="654"/>
    </row>
    <row r="38" spans="1:70" s="646" customFormat="1">
      <c r="A38" s="647" t="s">
        <v>561</v>
      </c>
      <c r="B38" s="647" t="s">
        <v>819</v>
      </c>
      <c r="C38" s="648">
        <f>SETUP!$F$20</f>
        <v>0</v>
      </c>
      <c r="D38" s="649">
        <v>4.0999999999999996</v>
      </c>
      <c r="E38" s="647" t="s">
        <v>116</v>
      </c>
      <c r="F38" s="647" t="s">
        <v>1626</v>
      </c>
      <c r="G38" s="650" t="str">
        <f t="array" ref="G38">IFERROR(INDEX('HIV-Pharmaceuticals'!$L$14:$L$99,MATCH($E38&amp;$F38,'HIV-Pharmaceuticals'!$E$14:$E$99&amp;'HIV-Pharmaceuticals'!$I$14:$I$99,0)),"")</f>
        <v/>
      </c>
      <c r="H38" s="650" t="str">
        <f t="array" ref="H38">IFERROR(INDEX('HIV-Pharmaceuticals'!$M$14:$M$99,MATCH($E38&amp;$F38,'HIV-Pharmaceuticals'!$E$14:$E$99&amp;'HIV-Pharmaceuticals'!$I$14:$I$99,0)),"")</f>
        <v/>
      </c>
      <c r="I38" s="651">
        <f t="array" ref="I38">IFERROR(INDEX('HIV-Pharmaceuticals'!$N$14:$N$99,MATCH($E38&amp;$F38,'HIV-Pharmaceuticals'!$E$14:$E$99&amp;'HIV-Pharmaceuticals'!$I$14:$I$99,0)),0)</f>
        <v>0</v>
      </c>
      <c r="J38" s="651">
        <f t="array" ref="J38">IFERROR(INDEX('HIV-Pharmaceuticals'!$O$14:$O$99,MATCH($E38&amp;$F38,'HIV-Pharmaceuticals'!$E$14:$E$99&amp;'HIV-Pharmaceuticals'!$I$14:$I$99,0)),0)</f>
        <v>0</v>
      </c>
      <c r="K38" s="652">
        <f t="shared" si="0"/>
        <v>0</v>
      </c>
      <c r="L38" s="652">
        <f t="shared" si="1"/>
        <v>0</v>
      </c>
      <c r="M38" s="652">
        <f t="shared" si="2"/>
        <v>0</v>
      </c>
      <c r="N38" s="651">
        <f t="array" ref="N38">IFERROR(INDEX('HIV-Pharmaceuticals'!$P$14:$P$99,MATCH($E38&amp;$F38,'HIV-Pharmaceuticals'!$E$14:$E$99&amp;'HIV-Pharmaceuticals'!$I$14:$I$99,0)),0)</f>
        <v>0</v>
      </c>
      <c r="O38" s="652">
        <f t="shared" si="3"/>
        <v>0</v>
      </c>
      <c r="P38" s="652">
        <f t="shared" si="4"/>
        <v>0</v>
      </c>
      <c r="Q38" s="652">
        <f t="shared" si="5"/>
        <v>0</v>
      </c>
      <c r="R38" s="651">
        <f t="array" ref="R38">IFERROR(INDEX('HIV-Pharmaceuticals'!$Q$14:$Q$99,MATCH($E38&amp;$F38,'HIV-Pharmaceuticals'!$E$14:$E$99&amp;'HIV-Pharmaceuticals'!$I$14:$I$99,0)),0)</f>
        <v>0</v>
      </c>
      <c r="S38" s="652">
        <f t="shared" si="6"/>
        <v>0</v>
      </c>
      <c r="T38" s="652">
        <f t="shared" si="7"/>
        <v>0</v>
      </c>
      <c r="U38" s="652">
        <f t="shared" si="8"/>
        <v>0</v>
      </c>
      <c r="V38" s="651">
        <f t="array" ref="V38">IFERROR(INDEX('HIV-Pharmaceuticals'!$R$14:$R$99,MATCH($E38&amp;$F38,'HIV-Pharmaceuticals'!$E$14:$E$99&amp;'HIV-Pharmaceuticals'!$I$14:$I$99,0)),0)</f>
        <v>0</v>
      </c>
      <c r="W38" s="652">
        <f t="shared" si="9"/>
        <v>0</v>
      </c>
      <c r="X38" s="652">
        <f t="shared" si="10"/>
        <v>0</v>
      </c>
      <c r="Y38" s="652">
        <f t="shared" si="11"/>
        <v>0</v>
      </c>
      <c r="Z38" s="653"/>
      <c r="AA38" s="651">
        <f t="array" ref="AA38">IFERROR(INDEX('HIV-Pharmaceuticals'!$U$14:$U$99,MATCH($E38&amp;$F38,'HIV-Pharmaceuticals'!$E$14:$E$99&amp;'HIV-Pharmaceuticals'!$I$14:$I$99,0)),0)</f>
        <v>0</v>
      </c>
      <c r="AB38" s="651">
        <f t="array" ref="AB38">IFERROR(INDEX('HIV-Pharmaceuticals'!$V$14:$V$99,MATCH($E38&amp;$F38,'HIV-Pharmaceuticals'!$E$14:$E$99&amp;'HIV-Pharmaceuticals'!$I$14:$I$99,0)),0)</f>
        <v>0</v>
      </c>
      <c r="AC38" s="652">
        <f t="shared" si="12"/>
        <v>0</v>
      </c>
      <c r="AD38" s="652">
        <f t="shared" si="13"/>
        <v>0</v>
      </c>
      <c r="AE38" s="652">
        <f t="shared" si="14"/>
        <v>0</v>
      </c>
      <c r="AF38" s="651">
        <f t="array" ref="AF38">IFERROR(INDEX('HIV-Pharmaceuticals'!$W$14:$W$99,MATCH($E38&amp;$F38,'HIV-Pharmaceuticals'!$E$14:$E$99&amp;'HIV-Pharmaceuticals'!$I$14:$I$99,0)),0)</f>
        <v>0</v>
      </c>
      <c r="AG38" s="652">
        <f t="shared" si="15"/>
        <v>0</v>
      </c>
      <c r="AH38" s="652">
        <f t="shared" si="16"/>
        <v>0</v>
      </c>
      <c r="AI38" s="652">
        <f t="shared" si="17"/>
        <v>0</v>
      </c>
      <c r="AJ38" s="651">
        <f t="array" ref="AJ38">IFERROR(INDEX('HIV-Pharmaceuticals'!$X$14:$X$99,MATCH($E38&amp;$F38,'HIV-Pharmaceuticals'!$E$14:$E$99&amp;'HIV-Pharmaceuticals'!$I$14:$I$99,0)),0)</f>
        <v>0</v>
      </c>
      <c r="AK38" s="652">
        <f t="shared" si="18"/>
        <v>0</v>
      </c>
      <c r="AL38" s="652">
        <f t="shared" si="19"/>
        <v>0</v>
      </c>
      <c r="AM38" s="652">
        <f t="shared" si="20"/>
        <v>0</v>
      </c>
      <c r="AN38" s="651">
        <f t="array" ref="AN38">IFERROR(INDEX('HIV-Pharmaceuticals'!$Y$14:$Y$99,MATCH($E38&amp;$F38,'HIV-Pharmaceuticals'!$E$14:$E$99&amp;'HIV-Pharmaceuticals'!$I$14:$I$99,0)),0)</f>
        <v>0</v>
      </c>
      <c r="AO38" s="652">
        <f t="shared" si="21"/>
        <v>0</v>
      </c>
      <c r="AP38" s="652">
        <f t="shared" si="22"/>
        <v>0</v>
      </c>
      <c r="AQ38" s="652">
        <f t="shared" si="23"/>
        <v>0</v>
      </c>
      <c r="AR38" s="653"/>
      <c r="AS38" s="651">
        <f t="array" ref="AS38">IFERROR(INDEX('HIV-Pharmaceuticals'!$AB$14:$AB$99,MATCH($E38&amp;$F38,'HIV-Pharmaceuticals'!$E$14:$E$99&amp;'HIV-Pharmaceuticals'!$I$14:$I$99,0)),0)</f>
        <v>0</v>
      </c>
      <c r="AT38" s="651">
        <f t="array" ref="AT38">IFERROR(INDEX('HIV-Pharmaceuticals'!$AC$14:$AC$99,MATCH($E38&amp;$F38,'HIV-Pharmaceuticals'!$E$14:$E$99&amp;'HIV-Pharmaceuticals'!$I$14:$I$99,0)),0)</f>
        <v>0</v>
      </c>
      <c r="AU38" s="652">
        <f t="shared" si="24"/>
        <v>0</v>
      </c>
      <c r="AV38" s="652">
        <f t="shared" si="25"/>
        <v>0</v>
      </c>
      <c r="AW38" s="652">
        <f t="shared" si="26"/>
        <v>0</v>
      </c>
      <c r="AX38" s="651">
        <f t="array" ref="AX38">IFERROR(INDEX('HIV-Pharmaceuticals'!$AD$14:$AD$99,MATCH($E38&amp;$F38,'HIV-Pharmaceuticals'!$E$14:$E$99&amp;'HIV-Pharmaceuticals'!$I$14:$I$99,0)),0)</f>
        <v>0</v>
      </c>
      <c r="AY38" s="652">
        <f t="shared" si="27"/>
        <v>0</v>
      </c>
      <c r="AZ38" s="652">
        <f t="shared" si="28"/>
        <v>0</v>
      </c>
      <c r="BA38" s="652">
        <f t="shared" si="29"/>
        <v>0</v>
      </c>
      <c r="BB38" s="651">
        <f t="array" ref="BB38">IFERROR(INDEX('HIV-Pharmaceuticals'!$AE$14:$AE$99,MATCH($E38&amp;$F38,'HIV-Pharmaceuticals'!$E$14:$E$99&amp;'HIV-Pharmaceuticals'!$I$14:$I$99,0)),0)</f>
        <v>0</v>
      </c>
      <c r="BC38" s="652">
        <f t="shared" si="30"/>
        <v>0</v>
      </c>
      <c r="BD38" s="652">
        <f t="shared" si="31"/>
        <v>0</v>
      </c>
      <c r="BE38" s="652">
        <f t="shared" si="32"/>
        <v>0</v>
      </c>
      <c r="BF38" s="651">
        <f t="array" ref="BF38">IFERROR(INDEX('HIV-Pharmaceuticals'!$AF$14:$AF$99,MATCH($E38&amp;$F38,'HIV-Pharmaceuticals'!$E$14:$E$99&amp;'HIV-Pharmaceuticals'!$I$14:$I$99,0)),0)</f>
        <v>0</v>
      </c>
      <c r="BG38" s="652">
        <f t="shared" si="33"/>
        <v>0</v>
      </c>
      <c r="BH38" s="652">
        <f t="shared" si="34"/>
        <v>0</v>
      </c>
      <c r="BI38" s="652">
        <f t="shared" si="35"/>
        <v>0</v>
      </c>
      <c r="BK38" s="654"/>
      <c r="BL38" s="654"/>
      <c r="BM38" s="654"/>
      <c r="BN38" s="654"/>
      <c r="BO38" s="654"/>
      <c r="BP38" s="654"/>
      <c r="BQ38" s="654"/>
      <c r="BR38" s="654"/>
    </row>
    <row r="39" spans="1:70" s="646" customFormat="1">
      <c r="A39" s="647" t="s">
        <v>561</v>
      </c>
      <c r="B39" s="647" t="s">
        <v>819</v>
      </c>
      <c r="C39" s="648">
        <f>SETUP!$F$20</f>
        <v>0</v>
      </c>
      <c r="D39" s="649">
        <v>4.0999999999999996</v>
      </c>
      <c r="E39" s="647" t="s">
        <v>116</v>
      </c>
      <c r="F39" s="647" t="s">
        <v>1627</v>
      </c>
      <c r="G39" s="650" t="str">
        <f t="array" ref="G39">IFERROR(INDEX('HIV-Pharmaceuticals'!$L$14:$L$99,MATCH($E39&amp;$F39,'HIV-Pharmaceuticals'!$E$14:$E$99&amp;'HIV-Pharmaceuticals'!$I$14:$I$99,0)),"")</f>
        <v/>
      </c>
      <c r="H39" s="650" t="str">
        <f t="array" ref="H39">IFERROR(INDEX('HIV-Pharmaceuticals'!$M$14:$M$99,MATCH($E39&amp;$F39,'HIV-Pharmaceuticals'!$E$14:$E$99&amp;'HIV-Pharmaceuticals'!$I$14:$I$99,0)),"")</f>
        <v/>
      </c>
      <c r="I39" s="651">
        <f t="array" ref="I39">IFERROR(INDEX('HIV-Pharmaceuticals'!$N$14:$N$99,MATCH($E39&amp;$F39,'HIV-Pharmaceuticals'!$E$14:$E$99&amp;'HIV-Pharmaceuticals'!$I$14:$I$99,0)),0)</f>
        <v>0</v>
      </c>
      <c r="J39" s="651">
        <f t="array" ref="J39">IFERROR(INDEX('HIV-Pharmaceuticals'!$O$14:$O$99,MATCH($E39&amp;$F39,'HIV-Pharmaceuticals'!$E$14:$E$99&amp;'HIV-Pharmaceuticals'!$I$14:$I$99,0)),0)</f>
        <v>0</v>
      </c>
      <c r="K39" s="652">
        <f t="shared" si="0"/>
        <v>0</v>
      </c>
      <c r="L39" s="652">
        <f t="shared" si="1"/>
        <v>0</v>
      </c>
      <c r="M39" s="652">
        <f t="shared" si="2"/>
        <v>0</v>
      </c>
      <c r="N39" s="651">
        <f t="array" ref="N39">IFERROR(INDEX('HIV-Pharmaceuticals'!$P$14:$P$99,MATCH($E39&amp;$F39,'HIV-Pharmaceuticals'!$E$14:$E$99&amp;'HIV-Pharmaceuticals'!$I$14:$I$99,0)),0)</f>
        <v>0</v>
      </c>
      <c r="O39" s="652">
        <f t="shared" si="3"/>
        <v>0</v>
      </c>
      <c r="P39" s="652">
        <f t="shared" si="4"/>
        <v>0</v>
      </c>
      <c r="Q39" s="652">
        <f t="shared" si="5"/>
        <v>0</v>
      </c>
      <c r="R39" s="651">
        <f t="array" ref="R39">IFERROR(INDEX('HIV-Pharmaceuticals'!$Q$14:$Q$99,MATCH($E39&amp;$F39,'HIV-Pharmaceuticals'!$E$14:$E$99&amp;'HIV-Pharmaceuticals'!$I$14:$I$99,0)),0)</f>
        <v>0</v>
      </c>
      <c r="S39" s="652">
        <f t="shared" si="6"/>
        <v>0</v>
      </c>
      <c r="T39" s="652">
        <f t="shared" si="7"/>
        <v>0</v>
      </c>
      <c r="U39" s="652">
        <f t="shared" si="8"/>
        <v>0</v>
      </c>
      <c r="V39" s="651">
        <f t="array" ref="V39">IFERROR(INDEX('HIV-Pharmaceuticals'!$R$14:$R$99,MATCH($E39&amp;$F39,'HIV-Pharmaceuticals'!$E$14:$E$99&amp;'HIV-Pharmaceuticals'!$I$14:$I$99,0)),0)</f>
        <v>0</v>
      </c>
      <c r="W39" s="652">
        <f t="shared" si="9"/>
        <v>0</v>
      </c>
      <c r="X39" s="652">
        <f t="shared" si="10"/>
        <v>0</v>
      </c>
      <c r="Y39" s="652">
        <f t="shared" si="11"/>
        <v>0</v>
      </c>
      <c r="Z39" s="653"/>
      <c r="AA39" s="651">
        <f t="array" ref="AA39">IFERROR(INDEX('HIV-Pharmaceuticals'!$U$14:$U$99,MATCH($E39&amp;$F39,'HIV-Pharmaceuticals'!$E$14:$E$99&amp;'HIV-Pharmaceuticals'!$I$14:$I$99,0)),0)</f>
        <v>0</v>
      </c>
      <c r="AB39" s="651">
        <f t="array" ref="AB39">IFERROR(INDEX('HIV-Pharmaceuticals'!$V$14:$V$99,MATCH($E39&amp;$F39,'HIV-Pharmaceuticals'!$E$14:$E$99&amp;'HIV-Pharmaceuticals'!$I$14:$I$99,0)),0)</f>
        <v>0</v>
      </c>
      <c r="AC39" s="652">
        <f t="shared" si="12"/>
        <v>0</v>
      </c>
      <c r="AD39" s="652">
        <f t="shared" si="13"/>
        <v>0</v>
      </c>
      <c r="AE39" s="652">
        <f t="shared" si="14"/>
        <v>0</v>
      </c>
      <c r="AF39" s="651">
        <f t="array" ref="AF39">IFERROR(INDEX('HIV-Pharmaceuticals'!$W$14:$W$99,MATCH($E39&amp;$F39,'HIV-Pharmaceuticals'!$E$14:$E$99&amp;'HIV-Pharmaceuticals'!$I$14:$I$99,0)),0)</f>
        <v>0</v>
      </c>
      <c r="AG39" s="652">
        <f t="shared" si="15"/>
        <v>0</v>
      </c>
      <c r="AH39" s="652">
        <f t="shared" si="16"/>
        <v>0</v>
      </c>
      <c r="AI39" s="652">
        <f t="shared" si="17"/>
        <v>0</v>
      </c>
      <c r="AJ39" s="651">
        <f t="array" ref="AJ39">IFERROR(INDEX('HIV-Pharmaceuticals'!$X$14:$X$99,MATCH($E39&amp;$F39,'HIV-Pharmaceuticals'!$E$14:$E$99&amp;'HIV-Pharmaceuticals'!$I$14:$I$99,0)),0)</f>
        <v>0</v>
      </c>
      <c r="AK39" s="652">
        <f t="shared" si="18"/>
        <v>0</v>
      </c>
      <c r="AL39" s="652">
        <f t="shared" si="19"/>
        <v>0</v>
      </c>
      <c r="AM39" s="652">
        <f t="shared" si="20"/>
        <v>0</v>
      </c>
      <c r="AN39" s="651">
        <f t="array" ref="AN39">IFERROR(INDEX('HIV-Pharmaceuticals'!$Y$14:$Y$99,MATCH($E39&amp;$F39,'HIV-Pharmaceuticals'!$E$14:$E$99&amp;'HIV-Pharmaceuticals'!$I$14:$I$99,0)),0)</f>
        <v>0</v>
      </c>
      <c r="AO39" s="652">
        <f t="shared" si="21"/>
        <v>0</v>
      </c>
      <c r="AP39" s="652">
        <f t="shared" si="22"/>
        <v>0</v>
      </c>
      <c r="AQ39" s="652">
        <f t="shared" si="23"/>
        <v>0</v>
      </c>
      <c r="AR39" s="653"/>
      <c r="AS39" s="651">
        <f t="array" ref="AS39">IFERROR(INDEX('HIV-Pharmaceuticals'!$AB$14:$AB$99,MATCH($E39&amp;$F39,'HIV-Pharmaceuticals'!$E$14:$E$99&amp;'HIV-Pharmaceuticals'!$I$14:$I$99,0)),0)</f>
        <v>0</v>
      </c>
      <c r="AT39" s="651">
        <f t="array" ref="AT39">IFERROR(INDEX('HIV-Pharmaceuticals'!$AC$14:$AC$99,MATCH($E39&amp;$F39,'HIV-Pharmaceuticals'!$E$14:$E$99&amp;'HIV-Pharmaceuticals'!$I$14:$I$99,0)),0)</f>
        <v>0</v>
      </c>
      <c r="AU39" s="652">
        <f t="shared" si="24"/>
        <v>0</v>
      </c>
      <c r="AV39" s="652">
        <f t="shared" si="25"/>
        <v>0</v>
      </c>
      <c r="AW39" s="652">
        <f t="shared" si="26"/>
        <v>0</v>
      </c>
      <c r="AX39" s="651">
        <f t="array" ref="AX39">IFERROR(INDEX('HIV-Pharmaceuticals'!$AD$14:$AD$99,MATCH($E39&amp;$F39,'HIV-Pharmaceuticals'!$E$14:$E$99&amp;'HIV-Pharmaceuticals'!$I$14:$I$99,0)),0)</f>
        <v>0</v>
      </c>
      <c r="AY39" s="652">
        <f t="shared" si="27"/>
        <v>0</v>
      </c>
      <c r="AZ39" s="652">
        <f t="shared" si="28"/>
        <v>0</v>
      </c>
      <c r="BA39" s="652">
        <f t="shared" si="29"/>
        <v>0</v>
      </c>
      <c r="BB39" s="651">
        <f t="array" ref="BB39">IFERROR(INDEX('HIV-Pharmaceuticals'!$AE$14:$AE$99,MATCH($E39&amp;$F39,'HIV-Pharmaceuticals'!$E$14:$E$99&amp;'HIV-Pharmaceuticals'!$I$14:$I$99,0)),0)</f>
        <v>0</v>
      </c>
      <c r="BC39" s="652">
        <f t="shared" si="30"/>
        <v>0</v>
      </c>
      <c r="BD39" s="652">
        <f t="shared" si="31"/>
        <v>0</v>
      </c>
      <c r="BE39" s="652">
        <f t="shared" si="32"/>
        <v>0</v>
      </c>
      <c r="BF39" s="651">
        <f t="array" ref="BF39">IFERROR(INDEX('HIV-Pharmaceuticals'!$AF$14:$AF$99,MATCH($E39&amp;$F39,'HIV-Pharmaceuticals'!$E$14:$E$99&amp;'HIV-Pharmaceuticals'!$I$14:$I$99,0)),0)</f>
        <v>0</v>
      </c>
      <c r="BG39" s="652">
        <f t="shared" si="33"/>
        <v>0</v>
      </c>
      <c r="BH39" s="652">
        <f t="shared" si="34"/>
        <v>0</v>
      </c>
      <c r="BI39" s="652">
        <f t="shared" si="35"/>
        <v>0</v>
      </c>
      <c r="BK39" s="654"/>
      <c r="BL39" s="654"/>
      <c r="BM39" s="654"/>
      <c r="BN39" s="654"/>
      <c r="BO39" s="654"/>
      <c r="BP39" s="654"/>
      <c r="BQ39" s="654"/>
      <c r="BR39" s="654"/>
    </row>
    <row r="40" spans="1:70" s="646" customFormat="1">
      <c r="A40" s="647" t="s">
        <v>561</v>
      </c>
      <c r="B40" s="647" t="s">
        <v>819</v>
      </c>
      <c r="C40" s="648">
        <f>SETUP!$F$20</f>
        <v>0</v>
      </c>
      <c r="D40" s="649">
        <v>4.0999999999999996</v>
      </c>
      <c r="E40" s="647" t="s">
        <v>116</v>
      </c>
      <c r="F40" s="647" t="s">
        <v>1613</v>
      </c>
      <c r="G40" s="650" t="str">
        <f t="array" ref="G40">IFERROR(INDEX('HIV-Pharmaceuticals'!$L$14:$L$99,MATCH($E40&amp;$F40,'HIV-Pharmaceuticals'!$E$14:$E$99&amp;'HIV-Pharmaceuticals'!$I$14:$I$99,0)),"")</f>
        <v/>
      </c>
      <c r="H40" s="650" t="str">
        <f t="array" ref="H40">IFERROR(INDEX('HIV-Pharmaceuticals'!$M$14:$M$99,MATCH($E40&amp;$F40,'HIV-Pharmaceuticals'!$E$14:$E$99&amp;'HIV-Pharmaceuticals'!$I$14:$I$99,0)),"")</f>
        <v/>
      </c>
      <c r="I40" s="651">
        <f t="array" ref="I40">IFERROR(INDEX('HIV-Pharmaceuticals'!$N$14:$N$99,MATCH($E40&amp;$F40,'HIV-Pharmaceuticals'!$E$14:$E$99&amp;'HIV-Pharmaceuticals'!$I$14:$I$99,0)),0)</f>
        <v>0</v>
      </c>
      <c r="J40" s="651">
        <f t="array" ref="J40">IFERROR(INDEX('HIV-Pharmaceuticals'!$O$14:$O$99,MATCH($E40&amp;$F40,'HIV-Pharmaceuticals'!$E$14:$E$99&amp;'HIV-Pharmaceuticals'!$I$14:$I$99,0)),0)</f>
        <v>0</v>
      </c>
      <c r="K40" s="652">
        <f t="shared" si="0"/>
        <v>0</v>
      </c>
      <c r="L40" s="652">
        <f t="shared" si="1"/>
        <v>0</v>
      </c>
      <c r="M40" s="652">
        <f t="shared" si="2"/>
        <v>0</v>
      </c>
      <c r="N40" s="651">
        <f t="array" ref="N40">IFERROR(INDEX('HIV-Pharmaceuticals'!$P$14:$P$99,MATCH($E40&amp;$F40,'HIV-Pharmaceuticals'!$E$14:$E$99&amp;'HIV-Pharmaceuticals'!$I$14:$I$99,0)),0)</f>
        <v>0</v>
      </c>
      <c r="O40" s="652">
        <f t="shared" si="3"/>
        <v>0</v>
      </c>
      <c r="P40" s="652">
        <f t="shared" si="4"/>
        <v>0</v>
      </c>
      <c r="Q40" s="652">
        <f t="shared" si="5"/>
        <v>0</v>
      </c>
      <c r="R40" s="651">
        <f t="array" ref="R40">IFERROR(INDEX('HIV-Pharmaceuticals'!$Q$14:$Q$99,MATCH($E40&amp;$F40,'HIV-Pharmaceuticals'!$E$14:$E$99&amp;'HIV-Pharmaceuticals'!$I$14:$I$99,0)),0)</f>
        <v>0</v>
      </c>
      <c r="S40" s="652">
        <f t="shared" si="6"/>
        <v>0</v>
      </c>
      <c r="T40" s="652">
        <f t="shared" si="7"/>
        <v>0</v>
      </c>
      <c r="U40" s="652">
        <f t="shared" si="8"/>
        <v>0</v>
      </c>
      <c r="V40" s="651">
        <f t="array" ref="V40">IFERROR(INDEX('HIV-Pharmaceuticals'!$R$14:$R$99,MATCH($E40&amp;$F40,'HIV-Pharmaceuticals'!$E$14:$E$99&amp;'HIV-Pharmaceuticals'!$I$14:$I$99,0)),0)</f>
        <v>0</v>
      </c>
      <c r="W40" s="652">
        <f t="shared" si="9"/>
        <v>0</v>
      </c>
      <c r="X40" s="652">
        <f t="shared" si="10"/>
        <v>0</v>
      </c>
      <c r="Y40" s="652">
        <f t="shared" si="11"/>
        <v>0</v>
      </c>
      <c r="Z40" s="653"/>
      <c r="AA40" s="651">
        <f t="array" ref="AA40">IFERROR(INDEX('HIV-Pharmaceuticals'!$U$14:$U$99,MATCH($E40&amp;$F40,'HIV-Pharmaceuticals'!$E$14:$E$99&amp;'HIV-Pharmaceuticals'!$I$14:$I$99,0)),0)</f>
        <v>0</v>
      </c>
      <c r="AB40" s="651">
        <f t="array" ref="AB40">IFERROR(INDEX('HIV-Pharmaceuticals'!$V$14:$V$99,MATCH($E40&amp;$F40,'HIV-Pharmaceuticals'!$E$14:$E$99&amp;'HIV-Pharmaceuticals'!$I$14:$I$99,0)),0)</f>
        <v>0</v>
      </c>
      <c r="AC40" s="652">
        <f t="shared" si="12"/>
        <v>0</v>
      </c>
      <c r="AD40" s="652">
        <f t="shared" si="13"/>
        <v>0</v>
      </c>
      <c r="AE40" s="652">
        <f t="shared" si="14"/>
        <v>0</v>
      </c>
      <c r="AF40" s="651">
        <f t="array" ref="AF40">IFERROR(INDEX('HIV-Pharmaceuticals'!$W$14:$W$99,MATCH($E40&amp;$F40,'HIV-Pharmaceuticals'!$E$14:$E$99&amp;'HIV-Pharmaceuticals'!$I$14:$I$99,0)),0)</f>
        <v>0</v>
      </c>
      <c r="AG40" s="652">
        <f t="shared" si="15"/>
        <v>0</v>
      </c>
      <c r="AH40" s="652">
        <f t="shared" si="16"/>
        <v>0</v>
      </c>
      <c r="AI40" s="652">
        <f t="shared" si="17"/>
        <v>0</v>
      </c>
      <c r="AJ40" s="651">
        <f t="array" ref="AJ40">IFERROR(INDEX('HIV-Pharmaceuticals'!$X$14:$X$99,MATCH($E40&amp;$F40,'HIV-Pharmaceuticals'!$E$14:$E$99&amp;'HIV-Pharmaceuticals'!$I$14:$I$99,0)),0)</f>
        <v>0</v>
      </c>
      <c r="AK40" s="652">
        <f t="shared" si="18"/>
        <v>0</v>
      </c>
      <c r="AL40" s="652">
        <f t="shared" si="19"/>
        <v>0</v>
      </c>
      <c r="AM40" s="652">
        <f t="shared" si="20"/>
        <v>0</v>
      </c>
      <c r="AN40" s="651">
        <f t="array" ref="AN40">IFERROR(INDEX('HIV-Pharmaceuticals'!$Y$14:$Y$99,MATCH($E40&amp;$F40,'HIV-Pharmaceuticals'!$E$14:$E$99&amp;'HIV-Pharmaceuticals'!$I$14:$I$99,0)),0)</f>
        <v>0</v>
      </c>
      <c r="AO40" s="652">
        <f t="shared" si="21"/>
        <v>0</v>
      </c>
      <c r="AP40" s="652">
        <f t="shared" si="22"/>
        <v>0</v>
      </c>
      <c r="AQ40" s="652">
        <f t="shared" si="23"/>
        <v>0</v>
      </c>
      <c r="AR40" s="653"/>
      <c r="AS40" s="651">
        <f t="array" ref="AS40">IFERROR(INDEX('HIV-Pharmaceuticals'!$AB$14:$AB$99,MATCH($E40&amp;$F40,'HIV-Pharmaceuticals'!$E$14:$E$99&amp;'HIV-Pharmaceuticals'!$I$14:$I$99,0)),0)</f>
        <v>0</v>
      </c>
      <c r="AT40" s="651">
        <f t="array" ref="AT40">IFERROR(INDEX('HIV-Pharmaceuticals'!$AC$14:$AC$99,MATCH($E40&amp;$F40,'HIV-Pharmaceuticals'!$E$14:$E$99&amp;'HIV-Pharmaceuticals'!$I$14:$I$99,0)),0)</f>
        <v>0</v>
      </c>
      <c r="AU40" s="652">
        <f t="shared" si="24"/>
        <v>0</v>
      </c>
      <c r="AV40" s="652">
        <f t="shared" si="25"/>
        <v>0</v>
      </c>
      <c r="AW40" s="652">
        <f t="shared" si="26"/>
        <v>0</v>
      </c>
      <c r="AX40" s="651">
        <f t="array" ref="AX40">IFERROR(INDEX('HIV-Pharmaceuticals'!$AD$14:$AD$99,MATCH($E40&amp;$F40,'HIV-Pharmaceuticals'!$E$14:$E$99&amp;'HIV-Pharmaceuticals'!$I$14:$I$99,0)),0)</f>
        <v>0</v>
      </c>
      <c r="AY40" s="652">
        <f t="shared" si="27"/>
        <v>0</v>
      </c>
      <c r="AZ40" s="652">
        <f t="shared" si="28"/>
        <v>0</v>
      </c>
      <c r="BA40" s="652">
        <f t="shared" si="29"/>
        <v>0</v>
      </c>
      <c r="BB40" s="651">
        <f t="array" ref="BB40">IFERROR(INDEX('HIV-Pharmaceuticals'!$AE$14:$AE$99,MATCH($E40&amp;$F40,'HIV-Pharmaceuticals'!$E$14:$E$99&amp;'HIV-Pharmaceuticals'!$I$14:$I$99,0)),0)</f>
        <v>0</v>
      </c>
      <c r="BC40" s="652">
        <f t="shared" si="30"/>
        <v>0</v>
      </c>
      <c r="BD40" s="652">
        <f t="shared" si="31"/>
        <v>0</v>
      </c>
      <c r="BE40" s="652">
        <f t="shared" si="32"/>
        <v>0</v>
      </c>
      <c r="BF40" s="651">
        <f t="array" ref="BF40">IFERROR(INDEX('HIV-Pharmaceuticals'!$AF$14:$AF$99,MATCH($E40&amp;$F40,'HIV-Pharmaceuticals'!$E$14:$E$99&amp;'HIV-Pharmaceuticals'!$I$14:$I$99,0)),0)</f>
        <v>0</v>
      </c>
      <c r="BG40" s="652">
        <f t="shared" si="33"/>
        <v>0</v>
      </c>
      <c r="BH40" s="652">
        <f t="shared" si="34"/>
        <v>0</v>
      </c>
      <c r="BI40" s="652">
        <f t="shared" si="35"/>
        <v>0</v>
      </c>
      <c r="BK40" s="654"/>
      <c r="BL40" s="654"/>
      <c r="BM40" s="654"/>
      <c r="BN40" s="654"/>
      <c r="BO40" s="654"/>
      <c r="BP40" s="654"/>
      <c r="BQ40" s="654"/>
      <c r="BR40" s="654"/>
    </row>
    <row r="41" spans="1:70" s="646" customFormat="1">
      <c r="A41" s="647" t="s">
        <v>561</v>
      </c>
      <c r="B41" s="647" t="s">
        <v>819</v>
      </c>
      <c r="C41" s="648">
        <f>SETUP!$F$20</f>
        <v>0</v>
      </c>
      <c r="D41" s="649">
        <v>4.0999999999999996</v>
      </c>
      <c r="E41" s="647" t="s">
        <v>116</v>
      </c>
      <c r="F41" s="647" t="s">
        <v>1628</v>
      </c>
      <c r="G41" s="650" t="str">
        <f t="array" ref="G41">IFERROR(INDEX('HIV-Pharmaceuticals'!$L$14:$L$99,MATCH($E41&amp;$F41,'HIV-Pharmaceuticals'!$E$14:$E$99&amp;'HIV-Pharmaceuticals'!$I$14:$I$99,0)),"")</f>
        <v/>
      </c>
      <c r="H41" s="650" t="str">
        <f t="array" ref="H41">IFERROR(INDEX('HIV-Pharmaceuticals'!$M$14:$M$99,MATCH($E41&amp;$F41,'HIV-Pharmaceuticals'!$E$14:$E$99&amp;'HIV-Pharmaceuticals'!$I$14:$I$99,0)),"")</f>
        <v/>
      </c>
      <c r="I41" s="651">
        <f t="array" ref="I41">IFERROR(INDEX('HIV-Pharmaceuticals'!$N$14:$N$99,MATCH($E41&amp;$F41,'HIV-Pharmaceuticals'!$E$14:$E$99&amp;'HIV-Pharmaceuticals'!$I$14:$I$99,0)),0)</f>
        <v>0</v>
      </c>
      <c r="J41" s="651">
        <f t="array" ref="J41">IFERROR(INDEX('HIV-Pharmaceuticals'!$O$14:$O$99,MATCH($E41&amp;$F41,'HIV-Pharmaceuticals'!$E$14:$E$99&amp;'HIV-Pharmaceuticals'!$I$14:$I$99,0)),0)</f>
        <v>0</v>
      </c>
      <c r="K41" s="652">
        <f t="shared" si="0"/>
        <v>0</v>
      </c>
      <c r="L41" s="652">
        <f t="shared" si="1"/>
        <v>0</v>
      </c>
      <c r="M41" s="652">
        <f t="shared" si="2"/>
        <v>0</v>
      </c>
      <c r="N41" s="651">
        <f t="array" ref="N41">IFERROR(INDEX('HIV-Pharmaceuticals'!$P$14:$P$99,MATCH($E41&amp;$F41,'HIV-Pharmaceuticals'!$E$14:$E$99&amp;'HIV-Pharmaceuticals'!$I$14:$I$99,0)),0)</f>
        <v>0</v>
      </c>
      <c r="O41" s="652">
        <f t="shared" si="3"/>
        <v>0</v>
      </c>
      <c r="P41" s="652">
        <f t="shared" si="4"/>
        <v>0</v>
      </c>
      <c r="Q41" s="652">
        <f t="shared" si="5"/>
        <v>0</v>
      </c>
      <c r="R41" s="651">
        <f t="array" ref="R41">IFERROR(INDEX('HIV-Pharmaceuticals'!$Q$14:$Q$99,MATCH($E41&amp;$F41,'HIV-Pharmaceuticals'!$E$14:$E$99&amp;'HIV-Pharmaceuticals'!$I$14:$I$99,0)),0)</f>
        <v>0</v>
      </c>
      <c r="S41" s="652">
        <f t="shared" si="6"/>
        <v>0</v>
      </c>
      <c r="T41" s="652">
        <f t="shared" si="7"/>
        <v>0</v>
      </c>
      <c r="U41" s="652">
        <f t="shared" si="8"/>
        <v>0</v>
      </c>
      <c r="V41" s="651">
        <f t="array" ref="V41">IFERROR(INDEX('HIV-Pharmaceuticals'!$R$14:$R$99,MATCH($E41&amp;$F41,'HIV-Pharmaceuticals'!$E$14:$E$99&amp;'HIV-Pharmaceuticals'!$I$14:$I$99,0)),0)</f>
        <v>0</v>
      </c>
      <c r="W41" s="652">
        <f t="shared" si="9"/>
        <v>0</v>
      </c>
      <c r="X41" s="652">
        <f t="shared" si="10"/>
        <v>0</v>
      </c>
      <c r="Y41" s="652">
        <f t="shared" si="11"/>
        <v>0</v>
      </c>
      <c r="Z41" s="653"/>
      <c r="AA41" s="651">
        <f t="array" ref="AA41">IFERROR(INDEX('HIV-Pharmaceuticals'!$U$14:$U$99,MATCH($E41&amp;$F41,'HIV-Pharmaceuticals'!$E$14:$E$99&amp;'HIV-Pharmaceuticals'!$I$14:$I$99,0)),0)</f>
        <v>0</v>
      </c>
      <c r="AB41" s="651">
        <f t="array" ref="AB41">IFERROR(INDEX('HIV-Pharmaceuticals'!$V$14:$V$99,MATCH($E41&amp;$F41,'HIV-Pharmaceuticals'!$E$14:$E$99&amp;'HIV-Pharmaceuticals'!$I$14:$I$99,0)),0)</f>
        <v>0</v>
      </c>
      <c r="AC41" s="652">
        <f t="shared" si="12"/>
        <v>0</v>
      </c>
      <c r="AD41" s="652">
        <f t="shared" si="13"/>
        <v>0</v>
      </c>
      <c r="AE41" s="652">
        <f t="shared" si="14"/>
        <v>0</v>
      </c>
      <c r="AF41" s="651">
        <f t="array" ref="AF41">IFERROR(INDEX('HIV-Pharmaceuticals'!$W$14:$W$99,MATCH($E41&amp;$F41,'HIV-Pharmaceuticals'!$E$14:$E$99&amp;'HIV-Pharmaceuticals'!$I$14:$I$99,0)),0)</f>
        <v>0</v>
      </c>
      <c r="AG41" s="652">
        <f t="shared" si="15"/>
        <v>0</v>
      </c>
      <c r="AH41" s="652">
        <f t="shared" si="16"/>
        <v>0</v>
      </c>
      <c r="AI41" s="652">
        <f t="shared" si="17"/>
        <v>0</v>
      </c>
      <c r="AJ41" s="651">
        <f t="array" ref="AJ41">IFERROR(INDEX('HIV-Pharmaceuticals'!$X$14:$X$99,MATCH($E41&amp;$F41,'HIV-Pharmaceuticals'!$E$14:$E$99&amp;'HIV-Pharmaceuticals'!$I$14:$I$99,0)),0)</f>
        <v>0</v>
      </c>
      <c r="AK41" s="652">
        <f t="shared" si="18"/>
        <v>0</v>
      </c>
      <c r="AL41" s="652">
        <f t="shared" si="19"/>
        <v>0</v>
      </c>
      <c r="AM41" s="652">
        <f t="shared" si="20"/>
        <v>0</v>
      </c>
      <c r="AN41" s="651">
        <f t="array" ref="AN41">IFERROR(INDEX('HIV-Pharmaceuticals'!$Y$14:$Y$99,MATCH($E41&amp;$F41,'HIV-Pharmaceuticals'!$E$14:$E$99&amp;'HIV-Pharmaceuticals'!$I$14:$I$99,0)),0)</f>
        <v>0</v>
      </c>
      <c r="AO41" s="652">
        <f t="shared" si="21"/>
        <v>0</v>
      </c>
      <c r="AP41" s="652">
        <f t="shared" si="22"/>
        <v>0</v>
      </c>
      <c r="AQ41" s="652">
        <f t="shared" si="23"/>
        <v>0</v>
      </c>
      <c r="AR41" s="653"/>
      <c r="AS41" s="651">
        <f t="array" ref="AS41">IFERROR(INDEX('HIV-Pharmaceuticals'!$AB$14:$AB$99,MATCH($E41&amp;$F41,'HIV-Pharmaceuticals'!$E$14:$E$99&amp;'HIV-Pharmaceuticals'!$I$14:$I$99,0)),0)</f>
        <v>0</v>
      </c>
      <c r="AT41" s="651">
        <f t="array" ref="AT41">IFERROR(INDEX('HIV-Pharmaceuticals'!$AC$14:$AC$99,MATCH($E41&amp;$F41,'HIV-Pharmaceuticals'!$E$14:$E$99&amp;'HIV-Pharmaceuticals'!$I$14:$I$99,0)),0)</f>
        <v>0</v>
      </c>
      <c r="AU41" s="652">
        <f t="shared" si="24"/>
        <v>0</v>
      </c>
      <c r="AV41" s="652">
        <f t="shared" si="25"/>
        <v>0</v>
      </c>
      <c r="AW41" s="652">
        <f t="shared" si="26"/>
        <v>0</v>
      </c>
      <c r="AX41" s="651">
        <f t="array" ref="AX41">IFERROR(INDEX('HIV-Pharmaceuticals'!$AD$14:$AD$99,MATCH($E41&amp;$F41,'HIV-Pharmaceuticals'!$E$14:$E$99&amp;'HIV-Pharmaceuticals'!$I$14:$I$99,0)),0)</f>
        <v>0</v>
      </c>
      <c r="AY41" s="652">
        <f t="shared" si="27"/>
        <v>0</v>
      </c>
      <c r="AZ41" s="652">
        <f t="shared" si="28"/>
        <v>0</v>
      </c>
      <c r="BA41" s="652">
        <f t="shared" si="29"/>
        <v>0</v>
      </c>
      <c r="BB41" s="651">
        <f t="array" ref="BB41">IFERROR(INDEX('HIV-Pharmaceuticals'!$AE$14:$AE$99,MATCH($E41&amp;$F41,'HIV-Pharmaceuticals'!$E$14:$E$99&amp;'HIV-Pharmaceuticals'!$I$14:$I$99,0)),0)</f>
        <v>0</v>
      </c>
      <c r="BC41" s="652">
        <f t="shared" si="30"/>
        <v>0</v>
      </c>
      <c r="BD41" s="652">
        <f t="shared" si="31"/>
        <v>0</v>
      </c>
      <c r="BE41" s="652">
        <f t="shared" si="32"/>
        <v>0</v>
      </c>
      <c r="BF41" s="651">
        <f t="array" ref="BF41">IFERROR(INDEX('HIV-Pharmaceuticals'!$AF$14:$AF$99,MATCH($E41&amp;$F41,'HIV-Pharmaceuticals'!$E$14:$E$99&amp;'HIV-Pharmaceuticals'!$I$14:$I$99,0)),0)</f>
        <v>0</v>
      </c>
      <c r="BG41" s="652">
        <f t="shared" si="33"/>
        <v>0</v>
      </c>
      <c r="BH41" s="652">
        <f t="shared" si="34"/>
        <v>0</v>
      </c>
      <c r="BI41" s="652">
        <f t="shared" si="35"/>
        <v>0</v>
      </c>
      <c r="BK41" s="654"/>
      <c r="BL41" s="654"/>
      <c r="BM41" s="654"/>
      <c r="BN41" s="654"/>
      <c r="BO41" s="654"/>
      <c r="BP41" s="654"/>
      <c r="BQ41" s="654"/>
      <c r="BR41" s="654"/>
    </row>
    <row r="42" spans="1:70" s="646" customFormat="1">
      <c r="A42" s="647" t="s">
        <v>561</v>
      </c>
      <c r="B42" s="647" t="s">
        <v>819</v>
      </c>
      <c r="C42" s="648">
        <f>SETUP!$F$20</f>
        <v>0</v>
      </c>
      <c r="D42" s="649">
        <v>4.0999999999999996</v>
      </c>
      <c r="E42" s="647" t="s">
        <v>118</v>
      </c>
      <c r="F42" s="647" t="s">
        <v>1629</v>
      </c>
      <c r="G42" s="650" t="str">
        <f t="array" ref="G42">IFERROR(INDEX('HIV-Pharmaceuticals'!$L$14:$L$99,MATCH($E42&amp;$F42,'HIV-Pharmaceuticals'!$E$14:$E$99&amp;'HIV-Pharmaceuticals'!$I$14:$I$99,0)),"")</f>
        <v/>
      </c>
      <c r="H42" s="650" t="str">
        <f t="array" ref="H42">IFERROR(INDEX('HIV-Pharmaceuticals'!$M$14:$M$99,MATCH($E42&amp;$F42,'HIV-Pharmaceuticals'!$E$14:$E$99&amp;'HIV-Pharmaceuticals'!$I$14:$I$99,0)),"")</f>
        <v/>
      </c>
      <c r="I42" s="651">
        <f t="array" ref="I42">IFERROR(INDEX('HIV-Pharmaceuticals'!$N$14:$N$99,MATCH($E42&amp;$F42,'HIV-Pharmaceuticals'!$E$14:$E$99&amp;'HIV-Pharmaceuticals'!$I$14:$I$99,0)),0)</f>
        <v>0</v>
      </c>
      <c r="J42" s="651">
        <f t="array" ref="J42">IFERROR(INDEX('HIV-Pharmaceuticals'!$O$14:$O$99,MATCH($E42&amp;$F42,'HIV-Pharmaceuticals'!$E$14:$E$99&amp;'HIV-Pharmaceuticals'!$I$14:$I$99,0)),0)</f>
        <v>0</v>
      </c>
      <c r="K42" s="652">
        <f t="shared" si="0"/>
        <v>0</v>
      </c>
      <c r="L42" s="652">
        <f t="shared" si="1"/>
        <v>0</v>
      </c>
      <c r="M42" s="652">
        <f t="shared" si="2"/>
        <v>0</v>
      </c>
      <c r="N42" s="651">
        <f t="array" ref="N42">IFERROR(INDEX('HIV-Pharmaceuticals'!$P$14:$P$99,MATCH($E42&amp;$F42,'HIV-Pharmaceuticals'!$E$14:$E$99&amp;'HIV-Pharmaceuticals'!$I$14:$I$99,0)),0)</f>
        <v>0</v>
      </c>
      <c r="O42" s="652">
        <f t="shared" si="3"/>
        <v>0</v>
      </c>
      <c r="P42" s="652">
        <f t="shared" si="4"/>
        <v>0</v>
      </c>
      <c r="Q42" s="652">
        <f t="shared" si="5"/>
        <v>0</v>
      </c>
      <c r="R42" s="651">
        <f t="array" ref="R42">IFERROR(INDEX('HIV-Pharmaceuticals'!$Q$14:$Q$99,MATCH($E42&amp;$F42,'HIV-Pharmaceuticals'!$E$14:$E$99&amp;'HIV-Pharmaceuticals'!$I$14:$I$99,0)),0)</f>
        <v>0</v>
      </c>
      <c r="S42" s="652">
        <f t="shared" si="6"/>
        <v>0</v>
      </c>
      <c r="T42" s="652">
        <f t="shared" si="7"/>
        <v>0</v>
      </c>
      <c r="U42" s="652">
        <f t="shared" si="8"/>
        <v>0</v>
      </c>
      <c r="V42" s="651">
        <f t="array" ref="V42">IFERROR(INDEX('HIV-Pharmaceuticals'!$R$14:$R$99,MATCH($E42&amp;$F42,'HIV-Pharmaceuticals'!$E$14:$E$99&amp;'HIV-Pharmaceuticals'!$I$14:$I$99,0)),0)</f>
        <v>0</v>
      </c>
      <c r="W42" s="652">
        <f t="shared" si="9"/>
        <v>0</v>
      </c>
      <c r="X42" s="652">
        <f t="shared" si="10"/>
        <v>0</v>
      </c>
      <c r="Y42" s="652">
        <f t="shared" si="11"/>
        <v>0</v>
      </c>
      <c r="Z42" s="653"/>
      <c r="AA42" s="651">
        <f t="array" ref="AA42">IFERROR(INDEX('HIV-Pharmaceuticals'!$U$14:$U$99,MATCH($E42&amp;$F42,'HIV-Pharmaceuticals'!$E$14:$E$99&amp;'HIV-Pharmaceuticals'!$I$14:$I$99,0)),0)</f>
        <v>0</v>
      </c>
      <c r="AB42" s="651">
        <f t="array" ref="AB42">IFERROR(INDEX('HIV-Pharmaceuticals'!$V$14:$V$99,MATCH($E42&amp;$F42,'HIV-Pharmaceuticals'!$E$14:$E$99&amp;'HIV-Pharmaceuticals'!$I$14:$I$99,0)),0)</f>
        <v>0</v>
      </c>
      <c r="AC42" s="652">
        <f t="shared" si="12"/>
        <v>0</v>
      </c>
      <c r="AD42" s="652">
        <f t="shared" si="13"/>
        <v>0</v>
      </c>
      <c r="AE42" s="652">
        <f t="shared" si="14"/>
        <v>0</v>
      </c>
      <c r="AF42" s="651">
        <f t="array" ref="AF42">IFERROR(INDEX('HIV-Pharmaceuticals'!$W$14:$W$99,MATCH($E42&amp;$F42,'HIV-Pharmaceuticals'!$E$14:$E$99&amp;'HIV-Pharmaceuticals'!$I$14:$I$99,0)),0)</f>
        <v>0</v>
      </c>
      <c r="AG42" s="652">
        <f t="shared" si="15"/>
        <v>0</v>
      </c>
      <c r="AH42" s="652">
        <f t="shared" si="16"/>
        <v>0</v>
      </c>
      <c r="AI42" s="652">
        <f t="shared" si="17"/>
        <v>0</v>
      </c>
      <c r="AJ42" s="651">
        <f t="array" ref="AJ42">IFERROR(INDEX('HIV-Pharmaceuticals'!$X$14:$X$99,MATCH($E42&amp;$F42,'HIV-Pharmaceuticals'!$E$14:$E$99&amp;'HIV-Pharmaceuticals'!$I$14:$I$99,0)),0)</f>
        <v>0</v>
      </c>
      <c r="AK42" s="652">
        <f t="shared" si="18"/>
        <v>0</v>
      </c>
      <c r="AL42" s="652">
        <f t="shared" si="19"/>
        <v>0</v>
      </c>
      <c r="AM42" s="652">
        <f t="shared" si="20"/>
        <v>0</v>
      </c>
      <c r="AN42" s="651">
        <f t="array" ref="AN42">IFERROR(INDEX('HIV-Pharmaceuticals'!$Y$14:$Y$99,MATCH($E42&amp;$F42,'HIV-Pharmaceuticals'!$E$14:$E$99&amp;'HIV-Pharmaceuticals'!$I$14:$I$99,0)),0)</f>
        <v>0</v>
      </c>
      <c r="AO42" s="652">
        <f t="shared" si="21"/>
        <v>0</v>
      </c>
      <c r="AP42" s="652">
        <f t="shared" si="22"/>
        <v>0</v>
      </c>
      <c r="AQ42" s="652">
        <f t="shared" si="23"/>
        <v>0</v>
      </c>
      <c r="AR42" s="653"/>
      <c r="AS42" s="651">
        <f t="array" ref="AS42">IFERROR(INDEX('HIV-Pharmaceuticals'!$AB$14:$AB$99,MATCH($E42&amp;$F42,'HIV-Pharmaceuticals'!$E$14:$E$99&amp;'HIV-Pharmaceuticals'!$I$14:$I$99,0)),0)</f>
        <v>0</v>
      </c>
      <c r="AT42" s="651">
        <f t="array" ref="AT42">IFERROR(INDEX('HIV-Pharmaceuticals'!$AC$14:$AC$99,MATCH($E42&amp;$F42,'HIV-Pharmaceuticals'!$E$14:$E$99&amp;'HIV-Pharmaceuticals'!$I$14:$I$99,0)),0)</f>
        <v>0</v>
      </c>
      <c r="AU42" s="652">
        <f t="shared" si="24"/>
        <v>0</v>
      </c>
      <c r="AV42" s="652">
        <f t="shared" si="25"/>
        <v>0</v>
      </c>
      <c r="AW42" s="652">
        <f t="shared" si="26"/>
        <v>0</v>
      </c>
      <c r="AX42" s="651">
        <f t="array" ref="AX42">IFERROR(INDEX('HIV-Pharmaceuticals'!$AD$14:$AD$99,MATCH($E42&amp;$F42,'HIV-Pharmaceuticals'!$E$14:$E$99&amp;'HIV-Pharmaceuticals'!$I$14:$I$99,0)),0)</f>
        <v>0</v>
      </c>
      <c r="AY42" s="652">
        <f t="shared" si="27"/>
        <v>0</v>
      </c>
      <c r="AZ42" s="652">
        <f t="shared" si="28"/>
        <v>0</v>
      </c>
      <c r="BA42" s="652">
        <f t="shared" si="29"/>
        <v>0</v>
      </c>
      <c r="BB42" s="651">
        <f t="array" ref="BB42">IFERROR(INDEX('HIV-Pharmaceuticals'!$AE$14:$AE$99,MATCH($E42&amp;$F42,'HIV-Pharmaceuticals'!$E$14:$E$99&amp;'HIV-Pharmaceuticals'!$I$14:$I$99,0)),0)</f>
        <v>0</v>
      </c>
      <c r="BC42" s="652">
        <f t="shared" si="30"/>
        <v>0</v>
      </c>
      <c r="BD42" s="652">
        <f t="shared" si="31"/>
        <v>0</v>
      </c>
      <c r="BE42" s="652">
        <f t="shared" si="32"/>
        <v>0</v>
      </c>
      <c r="BF42" s="651">
        <f t="array" ref="BF42">IFERROR(INDEX('HIV-Pharmaceuticals'!$AF$14:$AF$99,MATCH($E42&amp;$F42,'HIV-Pharmaceuticals'!$E$14:$E$99&amp;'HIV-Pharmaceuticals'!$I$14:$I$99,0)),0)</f>
        <v>0</v>
      </c>
      <c r="BG42" s="652">
        <f t="shared" si="33"/>
        <v>0</v>
      </c>
      <c r="BH42" s="652">
        <f t="shared" si="34"/>
        <v>0</v>
      </c>
      <c r="BI42" s="652">
        <f t="shared" si="35"/>
        <v>0</v>
      </c>
      <c r="BK42" s="654"/>
      <c r="BL42" s="654"/>
      <c r="BM42" s="654"/>
      <c r="BN42" s="654"/>
      <c r="BO42" s="654"/>
      <c r="BP42" s="654"/>
      <c r="BQ42" s="654"/>
      <c r="BR42" s="654"/>
    </row>
    <row r="43" spans="1:70" s="646" customFormat="1">
      <c r="A43" s="647" t="s">
        <v>561</v>
      </c>
      <c r="B43" s="647" t="s">
        <v>819</v>
      </c>
      <c r="C43" s="648">
        <f>SETUP!$F$20</f>
        <v>0</v>
      </c>
      <c r="D43" s="649">
        <v>4.0999999999999996</v>
      </c>
      <c r="E43" s="647" t="s">
        <v>118</v>
      </c>
      <c r="F43" s="647" t="s">
        <v>1630</v>
      </c>
      <c r="G43" s="650" t="str">
        <f t="array" ref="G43">IFERROR(INDEX('HIV-Pharmaceuticals'!$L$14:$L$99,MATCH($E43&amp;$F43,'HIV-Pharmaceuticals'!$E$14:$E$99&amp;'HIV-Pharmaceuticals'!$I$14:$I$99,0)),"")</f>
        <v/>
      </c>
      <c r="H43" s="650" t="str">
        <f t="array" ref="H43">IFERROR(INDEX('HIV-Pharmaceuticals'!$M$14:$M$99,MATCH($E43&amp;$F43,'HIV-Pharmaceuticals'!$E$14:$E$99&amp;'HIV-Pharmaceuticals'!$I$14:$I$99,0)),"")</f>
        <v/>
      </c>
      <c r="I43" s="651">
        <f t="array" ref="I43">IFERROR(INDEX('HIV-Pharmaceuticals'!$N$14:$N$99,MATCH($E43&amp;$F43,'HIV-Pharmaceuticals'!$E$14:$E$99&amp;'HIV-Pharmaceuticals'!$I$14:$I$99,0)),0)</f>
        <v>0</v>
      </c>
      <c r="J43" s="651">
        <f t="array" ref="J43">IFERROR(INDEX('HIV-Pharmaceuticals'!$O$14:$O$99,MATCH($E43&amp;$F43,'HIV-Pharmaceuticals'!$E$14:$E$99&amp;'HIV-Pharmaceuticals'!$I$14:$I$99,0)),0)</f>
        <v>0</v>
      </c>
      <c r="K43" s="652">
        <f t="shared" si="0"/>
        <v>0</v>
      </c>
      <c r="L43" s="652">
        <f t="shared" si="1"/>
        <v>0</v>
      </c>
      <c r="M43" s="652">
        <f t="shared" si="2"/>
        <v>0</v>
      </c>
      <c r="N43" s="651">
        <f t="array" ref="N43">IFERROR(INDEX('HIV-Pharmaceuticals'!$P$14:$P$99,MATCH($E43&amp;$F43,'HIV-Pharmaceuticals'!$E$14:$E$99&amp;'HIV-Pharmaceuticals'!$I$14:$I$99,0)),0)</f>
        <v>0</v>
      </c>
      <c r="O43" s="652">
        <f t="shared" si="3"/>
        <v>0</v>
      </c>
      <c r="P43" s="652">
        <f t="shared" si="4"/>
        <v>0</v>
      </c>
      <c r="Q43" s="652">
        <f t="shared" si="5"/>
        <v>0</v>
      </c>
      <c r="R43" s="651">
        <f t="array" ref="R43">IFERROR(INDEX('HIV-Pharmaceuticals'!$Q$14:$Q$99,MATCH($E43&amp;$F43,'HIV-Pharmaceuticals'!$E$14:$E$99&amp;'HIV-Pharmaceuticals'!$I$14:$I$99,0)),0)</f>
        <v>0</v>
      </c>
      <c r="S43" s="652">
        <f t="shared" si="6"/>
        <v>0</v>
      </c>
      <c r="T43" s="652">
        <f t="shared" si="7"/>
        <v>0</v>
      </c>
      <c r="U43" s="652">
        <f t="shared" si="8"/>
        <v>0</v>
      </c>
      <c r="V43" s="651">
        <f t="array" ref="V43">IFERROR(INDEX('HIV-Pharmaceuticals'!$R$14:$R$99,MATCH($E43&amp;$F43,'HIV-Pharmaceuticals'!$E$14:$E$99&amp;'HIV-Pharmaceuticals'!$I$14:$I$99,0)),0)</f>
        <v>0</v>
      </c>
      <c r="W43" s="652">
        <f t="shared" si="9"/>
        <v>0</v>
      </c>
      <c r="X43" s="652">
        <f t="shared" si="10"/>
        <v>0</v>
      </c>
      <c r="Y43" s="652">
        <f t="shared" si="11"/>
        <v>0</v>
      </c>
      <c r="Z43" s="653"/>
      <c r="AA43" s="651">
        <f t="array" ref="AA43">IFERROR(INDEX('HIV-Pharmaceuticals'!$U$14:$U$99,MATCH($E43&amp;$F43,'HIV-Pharmaceuticals'!$E$14:$E$99&amp;'HIV-Pharmaceuticals'!$I$14:$I$99,0)),0)</f>
        <v>0</v>
      </c>
      <c r="AB43" s="651">
        <f t="array" ref="AB43">IFERROR(INDEX('HIV-Pharmaceuticals'!$V$14:$V$99,MATCH($E43&amp;$F43,'HIV-Pharmaceuticals'!$E$14:$E$99&amp;'HIV-Pharmaceuticals'!$I$14:$I$99,0)),0)</f>
        <v>0</v>
      </c>
      <c r="AC43" s="652">
        <f t="shared" si="12"/>
        <v>0</v>
      </c>
      <c r="AD43" s="652">
        <f t="shared" si="13"/>
        <v>0</v>
      </c>
      <c r="AE43" s="652">
        <f t="shared" si="14"/>
        <v>0</v>
      </c>
      <c r="AF43" s="651">
        <f t="array" ref="AF43">IFERROR(INDEX('HIV-Pharmaceuticals'!$W$14:$W$99,MATCH($E43&amp;$F43,'HIV-Pharmaceuticals'!$E$14:$E$99&amp;'HIV-Pharmaceuticals'!$I$14:$I$99,0)),0)</f>
        <v>0</v>
      </c>
      <c r="AG43" s="652">
        <f t="shared" si="15"/>
        <v>0</v>
      </c>
      <c r="AH43" s="652">
        <f t="shared" si="16"/>
        <v>0</v>
      </c>
      <c r="AI43" s="652">
        <f t="shared" si="17"/>
        <v>0</v>
      </c>
      <c r="AJ43" s="651">
        <f t="array" ref="AJ43">IFERROR(INDEX('HIV-Pharmaceuticals'!$X$14:$X$99,MATCH($E43&amp;$F43,'HIV-Pharmaceuticals'!$E$14:$E$99&amp;'HIV-Pharmaceuticals'!$I$14:$I$99,0)),0)</f>
        <v>0</v>
      </c>
      <c r="AK43" s="652">
        <f t="shared" si="18"/>
        <v>0</v>
      </c>
      <c r="AL43" s="652">
        <f t="shared" si="19"/>
        <v>0</v>
      </c>
      <c r="AM43" s="652">
        <f t="shared" si="20"/>
        <v>0</v>
      </c>
      <c r="AN43" s="651">
        <f t="array" ref="AN43">IFERROR(INDEX('HIV-Pharmaceuticals'!$Y$14:$Y$99,MATCH($E43&amp;$F43,'HIV-Pharmaceuticals'!$E$14:$E$99&amp;'HIV-Pharmaceuticals'!$I$14:$I$99,0)),0)</f>
        <v>0</v>
      </c>
      <c r="AO43" s="652">
        <f t="shared" si="21"/>
        <v>0</v>
      </c>
      <c r="AP43" s="652">
        <f t="shared" si="22"/>
        <v>0</v>
      </c>
      <c r="AQ43" s="652">
        <f t="shared" si="23"/>
        <v>0</v>
      </c>
      <c r="AR43" s="653"/>
      <c r="AS43" s="651">
        <f t="array" ref="AS43">IFERROR(INDEX('HIV-Pharmaceuticals'!$AB$14:$AB$99,MATCH($E43&amp;$F43,'HIV-Pharmaceuticals'!$E$14:$E$99&amp;'HIV-Pharmaceuticals'!$I$14:$I$99,0)),0)</f>
        <v>0</v>
      </c>
      <c r="AT43" s="651">
        <f t="array" ref="AT43">IFERROR(INDEX('HIV-Pharmaceuticals'!$AC$14:$AC$99,MATCH($E43&amp;$F43,'HIV-Pharmaceuticals'!$E$14:$E$99&amp;'HIV-Pharmaceuticals'!$I$14:$I$99,0)),0)</f>
        <v>0</v>
      </c>
      <c r="AU43" s="652">
        <f t="shared" si="24"/>
        <v>0</v>
      </c>
      <c r="AV43" s="652">
        <f t="shared" si="25"/>
        <v>0</v>
      </c>
      <c r="AW43" s="652">
        <f t="shared" si="26"/>
        <v>0</v>
      </c>
      <c r="AX43" s="651">
        <f t="array" ref="AX43">IFERROR(INDEX('HIV-Pharmaceuticals'!$AD$14:$AD$99,MATCH($E43&amp;$F43,'HIV-Pharmaceuticals'!$E$14:$E$99&amp;'HIV-Pharmaceuticals'!$I$14:$I$99,0)),0)</f>
        <v>0</v>
      </c>
      <c r="AY43" s="652">
        <f t="shared" si="27"/>
        <v>0</v>
      </c>
      <c r="AZ43" s="652">
        <f t="shared" si="28"/>
        <v>0</v>
      </c>
      <c r="BA43" s="652">
        <f t="shared" si="29"/>
        <v>0</v>
      </c>
      <c r="BB43" s="651">
        <f t="array" ref="BB43">IFERROR(INDEX('HIV-Pharmaceuticals'!$AE$14:$AE$99,MATCH($E43&amp;$F43,'HIV-Pharmaceuticals'!$E$14:$E$99&amp;'HIV-Pharmaceuticals'!$I$14:$I$99,0)),0)</f>
        <v>0</v>
      </c>
      <c r="BC43" s="652">
        <f t="shared" si="30"/>
        <v>0</v>
      </c>
      <c r="BD43" s="652">
        <f t="shared" si="31"/>
        <v>0</v>
      </c>
      <c r="BE43" s="652">
        <f t="shared" si="32"/>
        <v>0</v>
      </c>
      <c r="BF43" s="651">
        <f t="array" ref="BF43">IFERROR(INDEX('HIV-Pharmaceuticals'!$AF$14:$AF$99,MATCH($E43&amp;$F43,'HIV-Pharmaceuticals'!$E$14:$E$99&amp;'HIV-Pharmaceuticals'!$I$14:$I$99,0)),0)</f>
        <v>0</v>
      </c>
      <c r="BG43" s="652">
        <f t="shared" si="33"/>
        <v>0</v>
      </c>
      <c r="BH43" s="652">
        <f t="shared" si="34"/>
        <v>0</v>
      </c>
      <c r="BI43" s="652">
        <f t="shared" si="35"/>
        <v>0</v>
      </c>
      <c r="BK43" s="654"/>
      <c r="BL43" s="654"/>
      <c r="BM43" s="654"/>
      <c r="BN43" s="654"/>
      <c r="BO43" s="654"/>
      <c r="BP43" s="654"/>
      <c r="BQ43" s="654"/>
      <c r="BR43" s="654"/>
    </row>
    <row r="44" spans="1:70" s="646" customFormat="1">
      <c r="A44" s="647" t="s">
        <v>561</v>
      </c>
      <c r="B44" s="647" t="s">
        <v>819</v>
      </c>
      <c r="C44" s="648">
        <f>SETUP!$F$20</f>
        <v>0</v>
      </c>
      <c r="D44" s="649">
        <v>4.0999999999999996</v>
      </c>
      <c r="E44" s="647" t="s">
        <v>118</v>
      </c>
      <c r="F44" s="647" t="s">
        <v>1631</v>
      </c>
      <c r="G44" s="650" t="str">
        <f t="array" ref="G44">IFERROR(INDEX('HIV-Pharmaceuticals'!$L$14:$L$99,MATCH($E44&amp;$F44,'HIV-Pharmaceuticals'!$E$14:$E$99&amp;'HIV-Pharmaceuticals'!$I$14:$I$99,0)),"")</f>
        <v/>
      </c>
      <c r="H44" s="650" t="str">
        <f t="array" ref="H44">IFERROR(INDEX('HIV-Pharmaceuticals'!$M$14:$M$99,MATCH($E44&amp;$F44,'HIV-Pharmaceuticals'!$E$14:$E$99&amp;'HIV-Pharmaceuticals'!$I$14:$I$99,0)),"")</f>
        <v/>
      </c>
      <c r="I44" s="651">
        <f t="array" ref="I44">IFERROR(INDEX('HIV-Pharmaceuticals'!$N$14:$N$99,MATCH($E44&amp;$F44,'HIV-Pharmaceuticals'!$E$14:$E$99&amp;'HIV-Pharmaceuticals'!$I$14:$I$99,0)),0)</f>
        <v>0</v>
      </c>
      <c r="J44" s="651">
        <f t="array" ref="J44">IFERROR(INDEX('HIV-Pharmaceuticals'!$O$14:$O$99,MATCH($E44&amp;$F44,'HIV-Pharmaceuticals'!$E$14:$E$99&amp;'HIV-Pharmaceuticals'!$I$14:$I$99,0)),0)</f>
        <v>0</v>
      </c>
      <c r="K44" s="652">
        <f t="shared" si="0"/>
        <v>0</v>
      </c>
      <c r="L44" s="652">
        <f t="shared" si="1"/>
        <v>0</v>
      </c>
      <c r="M44" s="652">
        <f t="shared" si="2"/>
        <v>0</v>
      </c>
      <c r="N44" s="651">
        <f t="array" ref="N44">IFERROR(INDEX('HIV-Pharmaceuticals'!$P$14:$P$99,MATCH($E44&amp;$F44,'HIV-Pharmaceuticals'!$E$14:$E$99&amp;'HIV-Pharmaceuticals'!$I$14:$I$99,0)),0)</f>
        <v>0</v>
      </c>
      <c r="O44" s="652">
        <f t="shared" si="3"/>
        <v>0</v>
      </c>
      <c r="P44" s="652">
        <f t="shared" si="4"/>
        <v>0</v>
      </c>
      <c r="Q44" s="652">
        <f t="shared" si="5"/>
        <v>0</v>
      </c>
      <c r="R44" s="651">
        <f t="array" ref="R44">IFERROR(INDEX('HIV-Pharmaceuticals'!$Q$14:$Q$99,MATCH($E44&amp;$F44,'HIV-Pharmaceuticals'!$E$14:$E$99&amp;'HIV-Pharmaceuticals'!$I$14:$I$99,0)),0)</f>
        <v>0</v>
      </c>
      <c r="S44" s="652">
        <f t="shared" si="6"/>
        <v>0</v>
      </c>
      <c r="T44" s="652">
        <f t="shared" si="7"/>
        <v>0</v>
      </c>
      <c r="U44" s="652">
        <f t="shared" si="8"/>
        <v>0</v>
      </c>
      <c r="V44" s="651">
        <f t="array" ref="V44">IFERROR(INDEX('HIV-Pharmaceuticals'!$R$14:$R$99,MATCH($E44&amp;$F44,'HIV-Pharmaceuticals'!$E$14:$E$99&amp;'HIV-Pharmaceuticals'!$I$14:$I$99,0)),0)</f>
        <v>0</v>
      </c>
      <c r="W44" s="652">
        <f t="shared" si="9"/>
        <v>0</v>
      </c>
      <c r="X44" s="652">
        <f t="shared" si="10"/>
        <v>0</v>
      </c>
      <c r="Y44" s="652">
        <f t="shared" si="11"/>
        <v>0</v>
      </c>
      <c r="Z44" s="653"/>
      <c r="AA44" s="651">
        <f t="array" ref="AA44">IFERROR(INDEX('HIV-Pharmaceuticals'!$U$14:$U$99,MATCH($E44&amp;$F44,'HIV-Pharmaceuticals'!$E$14:$E$99&amp;'HIV-Pharmaceuticals'!$I$14:$I$99,0)),0)</f>
        <v>0</v>
      </c>
      <c r="AB44" s="651">
        <f t="array" ref="AB44">IFERROR(INDEX('HIV-Pharmaceuticals'!$V$14:$V$99,MATCH($E44&amp;$F44,'HIV-Pharmaceuticals'!$E$14:$E$99&amp;'HIV-Pharmaceuticals'!$I$14:$I$99,0)),0)</f>
        <v>0</v>
      </c>
      <c r="AC44" s="652">
        <f t="shared" si="12"/>
        <v>0</v>
      </c>
      <c r="AD44" s="652">
        <f t="shared" si="13"/>
        <v>0</v>
      </c>
      <c r="AE44" s="652">
        <f t="shared" si="14"/>
        <v>0</v>
      </c>
      <c r="AF44" s="651">
        <f t="array" ref="AF44">IFERROR(INDEX('HIV-Pharmaceuticals'!$W$14:$W$99,MATCH($E44&amp;$F44,'HIV-Pharmaceuticals'!$E$14:$E$99&amp;'HIV-Pharmaceuticals'!$I$14:$I$99,0)),0)</f>
        <v>0</v>
      </c>
      <c r="AG44" s="652">
        <f t="shared" si="15"/>
        <v>0</v>
      </c>
      <c r="AH44" s="652">
        <f t="shared" si="16"/>
        <v>0</v>
      </c>
      <c r="AI44" s="652">
        <f t="shared" si="17"/>
        <v>0</v>
      </c>
      <c r="AJ44" s="651">
        <f t="array" ref="AJ44">IFERROR(INDEX('HIV-Pharmaceuticals'!$X$14:$X$99,MATCH($E44&amp;$F44,'HIV-Pharmaceuticals'!$E$14:$E$99&amp;'HIV-Pharmaceuticals'!$I$14:$I$99,0)),0)</f>
        <v>0</v>
      </c>
      <c r="AK44" s="652">
        <f t="shared" si="18"/>
        <v>0</v>
      </c>
      <c r="AL44" s="652">
        <f t="shared" si="19"/>
        <v>0</v>
      </c>
      <c r="AM44" s="652">
        <f t="shared" si="20"/>
        <v>0</v>
      </c>
      <c r="AN44" s="651">
        <f t="array" ref="AN44">IFERROR(INDEX('HIV-Pharmaceuticals'!$Y$14:$Y$99,MATCH($E44&amp;$F44,'HIV-Pharmaceuticals'!$E$14:$E$99&amp;'HIV-Pharmaceuticals'!$I$14:$I$99,0)),0)</f>
        <v>0</v>
      </c>
      <c r="AO44" s="652">
        <f t="shared" si="21"/>
        <v>0</v>
      </c>
      <c r="AP44" s="652">
        <f t="shared" si="22"/>
        <v>0</v>
      </c>
      <c r="AQ44" s="652">
        <f t="shared" si="23"/>
        <v>0</v>
      </c>
      <c r="AR44" s="653"/>
      <c r="AS44" s="651">
        <f t="array" ref="AS44">IFERROR(INDEX('HIV-Pharmaceuticals'!$AB$14:$AB$99,MATCH($E44&amp;$F44,'HIV-Pharmaceuticals'!$E$14:$E$99&amp;'HIV-Pharmaceuticals'!$I$14:$I$99,0)),0)</f>
        <v>0</v>
      </c>
      <c r="AT44" s="651">
        <f t="array" ref="AT44">IFERROR(INDEX('HIV-Pharmaceuticals'!$AC$14:$AC$99,MATCH($E44&amp;$F44,'HIV-Pharmaceuticals'!$E$14:$E$99&amp;'HIV-Pharmaceuticals'!$I$14:$I$99,0)),0)</f>
        <v>0</v>
      </c>
      <c r="AU44" s="652">
        <f t="shared" si="24"/>
        <v>0</v>
      </c>
      <c r="AV44" s="652">
        <f t="shared" si="25"/>
        <v>0</v>
      </c>
      <c r="AW44" s="652">
        <f t="shared" si="26"/>
        <v>0</v>
      </c>
      <c r="AX44" s="651">
        <f t="array" ref="AX44">IFERROR(INDEX('HIV-Pharmaceuticals'!$AD$14:$AD$99,MATCH($E44&amp;$F44,'HIV-Pharmaceuticals'!$E$14:$E$99&amp;'HIV-Pharmaceuticals'!$I$14:$I$99,0)),0)</f>
        <v>0</v>
      </c>
      <c r="AY44" s="652">
        <f t="shared" si="27"/>
        <v>0</v>
      </c>
      <c r="AZ44" s="652">
        <f t="shared" si="28"/>
        <v>0</v>
      </c>
      <c r="BA44" s="652">
        <f t="shared" si="29"/>
        <v>0</v>
      </c>
      <c r="BB44" s="651">
        <f t="array" ref="BB44">IFERROR(INDEX('HIV-Pharmaceuticals'!$AE$14:$AE$99,MATCH($E44&amp;$F44,'HIV-Pharmaceuticals'!$E$14:$E$99&amp;'HIV-Pharmaceuticals'!$I$14:$I$99,0)),0)</f>
        <v>0</v>
      </c>
      <c r="BC44" s="652">
        <f t="shared" si="30"/>
        <v>0</v>
      </c>
      <c r="BD44" s="652">
        <f t="shared" si="31"/>
        <v>0</v>
      </c>
      <c r="BE44" s="652">
        <f t="shared" si="32"/>
        <v>0</v>
      </c>
      <c r="BF44" s="651">
        <f t="array" ref="BF44">IFERROR(INDEX('HIV-Pharmaceuticals'!$AF$14:$AF$99,MATCH($E44&amp;$F44,'HIV-Pharmaceuticals'!$E$14:$E$99&amp;'HIV-Pharmaceuticals'!$I$14:$I$99,0)),0)</f>
        <v>0</v>
      </c>
      <c r="BG44" s="652">
        <f t="shared" si="33"/>
        <v>0</v>
      </c>
      <c r="BH44" s="652">
        <f t="shared" si="34"/>
        <v>0</v>
      </c>
      <c r="BI44" s="652">
        <f t="shared" si="35"/>
        <v>0</v>
      </c>
      <c r="BK44" s="654"/>
      <c r="BL44" s="654"/>
      <c r="BM44" s="654"/>
      <c r="BN44" s="654"/>
      <c r="BO44" s="654"/>
      <c r="BP44" s="654"/>
      <c r="BQ44" s="654"/>
      <c r="BR44" s="654"/>
    </row>
    <row r="45" spans="1:70" s="646" customFormat="1">
      <c r="A45" s="647" t="s">
        <v>561</v>
      </c>
      <c r="B45" s="647" t="s">
        <v>819</v>
      </c>
      <c r="C45" s="648">
        <f>SETUP!$F$20</f>
        <v>0</v>
      </c>
      <c r="D45" s="649">
        <v>4.0999999999999996</v>
      </c>
      <c r="E45" s="647" t="s">
        <v>118</v>
      </c>
      <c r="F45" s="647" t="s">
        <v>1632</v>
      </c>
      <c r="G45" s="650" t="str">
        <f t="array" ref="G45">IFERROR(INDEX('HIV-Pharmaceuticals'!$L$14:$L$99,MATCH($E45&amp;$F45,'HIV-Pharmaceuticals'!$E$14:$E$99&amp;'HIV-Pharmaceuticals'!$I$14:$I$99,0)),"")</f>
        <v/>
      </c>
      <c r="H45" s="650" t="str">
        <f t="array" ref="H45">IFERROR(INDEX('HIV-Pharmaceuticals'!$M$14:$M$99,MATCH($E45&amp;$F45,'HIV-Pharmaceuticals'!$E$14:$E$99&amp;'HIV-Pharmaceuticals'!$I$14:$I$99,0)),"")</f>
        <v/>
      </c>
      <c r="I45" s="651">
        <f t="array" ref="I45">IFERROR(INDEX('HIV-Pharmaceuticals'!$N$14:$N$99,MATCH($E45&amp;$F45,'HIV-Pharmaceuticals'!$E$14:$E$99&amp;'HIV-Pharmaceuticals'!$I$14:$I$99,0)),0)</f>
        <v>0</v>
      </c>
      <c r="J45" s="651">
        <f t="array" ref="J45">IFERROR(INDEX('HIV-Pharmaceuticals'!$O$14:$O$99,MATCH($E45&amp;$F45,'HIV-Pharmaceuticals'!$E$14:$E$99&amp;'HIV-Pharmaceuticals'!$I$14:$I$99,0)),0)</f>
        <v>0</v>
      </c>
      <c r="K45" s="652">
        <f t="shared" si="0"/>
        <v>0</v>
      </c>
      <c r="L45" s="652">
        <f t="shared" si="1"/>
        <v>0</v>
      </c>
      <c r="M45" s="652">
        <f t="shared" si="2"/>
        <v>0</v>
      </c>
      <c r="N45" s="651">
        <f t="array" ref="N45">IFERROR(INDEX('HIV-Pharmaceuticals'!$P$14:$P$99,MATCH($E45&amp;$F45,'HIV-Pharmaceuticals'!$E$14:$E$99&amp;'HIV-Pharmaceuticals'!$I$14:$I$99,0)),0)</f>
        <v>0</v>
      </c>
      <c r="O45" s="652">
        <f t="shared" si="3"/>
        <v>0</v>
      </c>
      <c r="P45" s="652">
        <f t="shared" si="4"/>
        <v>0</v>
      </c>
      <c r="Q45" s="652">
        <f t="shared" si="5"/>
        <v>0</v>
      </c>
      <c r="R45" s="651">
        <f t="array" ref="R45">IFERROR(INDEX('HIV-Pharmaceuticals'!$Q$14:$Q$99,MATCH($E45&amp;$F45,'HIV-Pharmaceuticals'!$E$14:$E$99&amp;'HIV-Pharmaceuticals'!$I$14:$I$99,0)),0)</f>
        <v>0</v>
      </c>
      <c r="S45" s="652">
        <f t="shared" si="6"/>
        <v>0</v>
      </c>
      <c r="T45" s="652">
        <f t="shared" si="7"/>
        <v>0</v>
      </c>
      <c r="U45" s="652">
        <f t="shared" si="8"/>
        <v>0</v>
      </c>
      <c r="V45" s="651">
        <f t="array" ref="V45">IFERROR(INDEX('HIV-Pharmaceuticals'!$R$14:$R$99,MATCH($E45&amp;$F45,'HIV-Pharmaceuticals'!$E$14:$E$99&amp;'HIV-Pharmaceuticals'!$I$14:$I$99,0)),0)</f>
        <v>0</v>
      </c>
      <c r="W45" s="652">
        <f t="shared" si="9"/>
        <v>0</v>
      </c>
      <c r="X45" s="652">
        <f t="shared" si="10"/>
        <v>0</v>
      </c>
      <c r="Y45" s="652">
        <f t="shared" si="11"/>
        <v>0</v>
      </c>
      <c r="Z45" s="653"/>
      <c r="AA45" s="651">
        <f t="array" ref="AA45">IFERROR(INDEX('HIV-Pharmaceuticals'!$U$14:$U$99,MATCH($E45&amp;$F45,'HIV-Pharmaceuticals'!$E$14:$E$99&amp;'HIV-Pharmaceuticals'!$I$14:$I$99,0)),0)</f>
        <v>0</v>
      </c>
      <c r="AB45" s="651">
        <f t="array" ref="AB45">IFERROR(INDEX('HIV-Pharmaceuticals'!$V$14:$V$99,MATCH($E45&amp;$F45,'HIV-Pharmaceuticals'!$E$14:$E$99&amp;'HIV-Pharmaceuticals'!$I$14:$I$99,0)),0)</f>
        <v>0</v>
      </c>
      <c r="AC45" s="652">
        <f t="shared" si="12"/>
        <v>0</v>
      </c>
      <c r="AD45" s="652">
        <f t="shared" si="13"/>
        <v>0</v>
      </c>
      <c r="AE45" s="652">
        <f t="shared" si="14"/>
        <v>0</v>
      </c>
      <c r="AF45" s="651">
        <f t="array" ref="AF45">IFERROR(INDEX('HIV-Pharmaceuticals'!$W$14:$W$99,MATCH($E45&amp;$F45,'HIV-Pharmaceuticals'!$E$14:$E$99&amp;'HIV-Pharmaceuticals'!$I$14:$I$99,0)),0)</f>
        <v>0</v>
      </c>
      <c r="AG45" s="652">
        <f t="shared" si="15"/>
        <v>0</v>
      </c>
      <c r="AH45" s="652">
        <f t="shared" si="16"/>
        <v>0</v>
      </c>
      <c r="AI45" s="652">
        <f t="shared" si="17"/>
        <v>0</v>
      </c>
      <c r="AJ45" s="651">
        <f t="array" ref="AJ45">IFERROR(INDEX('HIV-Pharmaceuticals'!$X$14:$X$99,MATCH($E45&amp;$F45,'HIV-Pharmaceuticals'!$E$14:$E$99&amp;'HIV-Pharmaceuticals'!$I$14:$I$99,0)),0)</f>
        <v>0</v>
      </c>
      <c r="AK45" s="652">
        <f t="shared" si="18"/>
        <v>0</v>
      </c>
      <c r="AL45" s="652">
        <f t="shared" si="19"/>
        <v>0</v>
      </c>
      <c r="AM45" s="652">
        <f t="shared" si="20"/>
        <v>0</v>
      </c>
      <c r="AN45" s="651">
        <f t="array" ref="AN45">IFERROR(INDEX('HIV-Pharmaceuticals'!$Y$14:$Y$99,MATCH($E45&amp;$F45,'HIV-Pharmaceuticals'!$E$14:$E$99&amp;'HIV-Pharmaceuticals'!$I$14:$I$99,0)),0)</f>
        <v>0</v>
      </c>
      <c r="AO45" s="652">
        <f t="shared" si="21"/>
        <v>0</v>
      </c>
      <c r="AP45" s="652">
        <f t="shared" si="22"/>
        <v>0</v>
      </c>
      <c r="AQ45" s="652">
        <f t="shared" si="23"/>
        <v>0</v>
      </c>
      <c r="AR45" s="653"/>
      <c r="AS45" s="651">
        <f t="array" ref="AS45">IFERROR(INDEX('HIV-Pharmaceuticals'!$AB$14:$AB$99,MATCH($E45&amp;$F45,'HIV-Pharmaceuticals'!$E$14:$E$99&amp;'HIV-Pharmaceuticals'!$I$14:$I$99,0)),0)</f>
        <v>0</v>
      </c>
      <c r="AT45" s="651">
        <f t="array" ref="AT45">IFERROR(INDEX('HIV-Pharmaceuticals'!$AC$14:$AC$99,MATCH($E45&amp;$F45,'HIV-Pharmaceuticals'!$E$14:$E$99&amp;'HIV-Pharmaceuticals'!$I$14:$I$99,0)),0)</f>
        <v>0</v>
      </c>
      <c r="AU45" s="652">
        <f t="shared" si="24"/>
        <v>0</v>
      </c>
      <c r="AV45" s="652">
        <f t="shared" si="25"/>
        <v>0</v>
      </c>
      <c r="AW45" s="652">
        <f t="shared" si="26"/>
        <v>0</v>
      </c>
      <c r="AX45" s="651">
        <f t="array" ref="AX45">IFERROR(INDEX('HIV-Pharmaceuticals'!$AD$14:$AD$99,MATCH($E45&amp;$F45,'HIV-Pharmaceuticals'!$E$14:$E$99&amp;'HIV-Pharmaceuticals'!$I$14:$I$99,0)),0)</f>
        <v>0</v>
      </c>
      <c r="AY45" s="652">
        <f t="shared" si="27"/>
        <v>0</v>
      </c>
      <c r="AZ45" s="652">
        <f t="shared" si="28"/>
        <v>0</v>
      </c>
      <c r="BA45" s="652">
        <f t="shared" si="29"/>
        <v>0</v>
      </c>
      <c r="BB45" s="651">
        <f t="array" ref="BB45">IFERROR(INDEX('HIV-Pharmaceuticals'!$AE$14:$AE$99,MATCH($E45&amp;$F45,'HIV-Pharmaceuticals'!$E$14:$E$99&amp;'HIV-Pharmaceuticals'!$I$14:$I$99,0)),0)</f>
        <v>0</v>
      </c>
      <c r="BC45" s="652">
        <f t="shared" si="30"/>
        <v>0</v>
      </c>
      <c r="BD45" s="652">
        <f t="shared" si="31"/>
        <v>0</v>
      </c>
      <c r="BE45" s="652">
        <f t="shared" si="32"/>
        <v>0</v>
      </c>
      <c r="BF45" s="651">
        <f t="array" ref="BF45">IFERROR(INDEX('HIV-Pharmaceuticals'!$AF$14:$AF$99,MATCH($E45&amp;$F45,'HIV-Pharmaceuticals'!$E$14:$E$99&amp;'HIV-Pharmaceuticals'!$I$14:$I$99,0)),0)</f>
        <v>0</v>
      </c>
      <c r="BG45" s="652">
        <f t="shared" si="33"/>
        <v>0</v>
      </c>
      <c r="BH45" s="652">
        <f t="shared" si="34"/>
        <v>0</v>
      </c>
      <c r="BI45" s="652">
        <f t="shared" si="35"/>
        <v>0</v>
      </c>
      <c r="BK45" s="654"/>
      <c r="BL45" s="654"/>
      <c r="BM45" s="654"/>
      <c r="BN45" s="654"/>
      <c r="BO45" s="654"/>
      <c r="BP45" s="654"/>
      <c r="BQ45" s="654"/>
      <c r="BR45" s="654"/>
    </row>
    <row r="46" spans="1:70" s="646" customFormat="1">
      <c r="A46" s="647" t="s">
        <v>561</v>
      </c>
      <c r="B46" s="647" t="s">
        <v>819</v>
      </c>
      <c r="C46" s="648">
        <f>SETUP!$F$20</f>
        <v>0</v>
      </c>
      <c r="D46" s="649">
        <v>4.0999999999999996</v>
      </c>
      <c r="E46" s="647" t="s">
        <v>119</v>
      </c>
      <c r="F46" s="647" t="s">
        <v>1633</v>
      </c>
      <c r="G46" s="650" t="str">
        <f t="array" ref="G46">IFERROR(INDEX('HIV-Pharmaceuticals'!$L$14:$L$99,MATCH($E46&amp;$F46,'HIV-Pharmaceuticals'!$E$14:$E$99&amp;'HIV-Pharmaceuticals'!$I$14:$I$99,0)),"")</f>
        <v/>
      </c>
      <c r="H46" s="650" t="str">
        <f t="array" ref="H46">IFERROR(INDEX('HIV-Pharmaceuticals'!$M$14:$M$99,MATCH($E46&amp;$F46,'HIV-Pharmaceuticals'!$E$14:$E$99&amp;'HIV-Pharmaceuticals'!$I$14:$I$99,0)),"")</f>
        <v/>
      </c>
      <c r="I46" s="651">
        <f t="array" ref="I46">IFERROR(INDEX('HIV-Pharmaceuticals'!$N$14:$N$99,MATCH($E46&amp;$F46,'HIV-Pharmaceuticals'!$E$14:$E$99&amp;'HIV-Pharmaceuticals'!$I$14:$I$99,0)),0)</f>
        <v>0</v>
      </c>
      <c r="J46" s="651">
        <f t="array" ref="J46">IFERROR(INDEX('HIV-Pharmaceuticals'!$O$14:$O$99,MATCH($E46&amp;$F46,'HIV-Pharmaceuticals'!$E$14:$E$99&amp;'HIV-Pharmaceuticals'!$I$14:$I$99,0)),0)</f>
        <v>0</v>
      </c>
      <c r="K46" s="652">
        <f t="shared" si="0"/>
        <v>0</v>
      </c>
      <c r="L46" s="652">
        <f t="shared" si="1"/>
        <v>0</v>
      </c>
      <c r="M46" s="652">
        <f t="shared" si="2"/>
        <v>0</v>
      </c>
      <c r="N46" s="651">
        <f t="array" ref="N46">IFERROR(INDEX('HIV-Pharmaceuticals'!$P$14:$P$99,MATCH($E46&amp;$F46,'HIV-Pharmaceuticals'!$E$14:$E$99&amp;'HIV-Pharmaceuticals'!$I$14:$I$99,0)),0)</f>
        <v>0</v>
      </c>
      <c r="O46" s="652">
        <f t="shared" si="3"/>
        <v>0</v>
      </c>
      <c r="P46" s="652">
        <f t="shared" si="4"/>
        <v>0</v>
      </c>
      <c r="Q46" s="652">
        <f t="shared" si="5"/>
        <v>0</v>
      </c>
      <c r="R46" s="651">
        <f t="array" ref="R46">IFERROR(INDEX('HIV-Pharmaceuticals'!$Q$14:$Q$99,MATCH($E46&amp;$F46,'HIV-Pharmaceuticals'!$E$14:$E$99&amp;'HIV-Pharmaceuticals'!$I$14:$I$99,0)),0)</f>
        <v>0</v>
      </c>
      <c r="S46" s="652">
        <f t="shared" si="6"/>
        <v>0</v>
      </c>
      <c r="T46" s="652">
        <f t="shared" si="7"/>
        <v>0</v>
      </c>
      <c r="U46" s="652">
        <f t="shared" si="8"/>
        <v>0</v>
      </c>
      <c r="V46" s="651">
        <f t="array" ref="V46">IFERROR(INDEX('HIV-Pharmaceuticals'!$R$14:$R$99,MATCH($E46&amp;$F46,'HIV-Pharmaceuticals'!$E$14:$E$99&amp;'HIV-Pharmaceuticals'!$I$14:$I$99,0)),0)</f>
        <v>0</v>
      </c>
      <c r="W46" s="652">
        <f t="shared" si="9"/>
        <v>0</v>
      </c>
      <c r="X46" s="652">
        <f t="shared" si="10"/>
        <v>0</v>
      </c>
      <c r="Y46" s="652">
        <f t="shared" si="11"/>
        <v>0</v>
      </c>
      <c r="Z46" s="653"/>
      <c r="AA46" s="651">
        <f t="array" ref="AA46">IFERROR(INDEX('HIV-Pharmaceuticals'!$U$14:$U$99,MATCH($E46&amp;$F46,'HIV-Pharmaceuticals'!$E$14:$E$99&amp;'HIV-Pharmaceuticals'!$I$14:$I$99,0)),0)</f>
        <v>0</v>
      </c>
      <c r="AB46" s="651">
        <f t="array" ref="AB46">IFERROR(INDEX('HIV-Pharmaceuticals'!$V$14:$V$99,MATCH($E46&amp;$F46,'HIV-Pharmaceuticals'!$E$14:$E$99&amp;'HIV-Pharmaceuticals'!$I$14:$I$99,0)),0)</f>
        <v>0</v>
      </c>
      <c r="AC46" s="652">
        <f t="shared" si="12"/>
        <v>0</v>
      </c>
      <c r="AD46" s="652">
        <f t="shared" si="13"/>
        <v>0</v>
      </c>
      <c r="AE46" s="652">
        <f t="shared" si="14"/>
        <v>0</v>
      </c>
      <c r="AF46" s="651">
        <f t="array" ref="AF46">IFERROR(INDEX('HIV-Pharmaceuticals'!$W$14:$W$99,MATCH($E46&amp;$F46,'HIV-Pharmaceuticals'!$E$14:$E$99&amp;'HIV-Pharmaceuticals'!$I$14:$I$99,0)),0)</f>
        <v>0</v>
      </c>
      <c r="AG46" s="652">
        <f t="shared" si="15"/>
        <v>0</v>
      </c>
      <c r="AH46" s="652">
        <f t="shared" si="16"/>
        <v>0</v>
      </c>
      <c r="AI46" s="652">
        <f t="shared" si="17"/>
        <v>0</v>
      </c>
      <c r="AJ46" s="651">
        <f t="array" ref="AJ46">IFERROR(INDEX('HIV-Pharmaceuticals'!$X$14:$X$99,MATCH($E46&amp;$F46,'HIV-Pharmaceuticals'!$E$14:$E$99&amp;'HIV-Pharmaceuticals'!$I$14:$I$99,0)),0)</f>
        <v>0</v>
      </c>
      <c r="AK46" s="652">
        <f t="shared" si="18"/>
        <v>0</v>
      </c>
      <c r="AL46" s="652">
        <f t="shared" si="19"/>
        <v>0</v>
      </c>
      <c r="AM46" s="652">
        <f t="shared" si="20"/>
        <v>0</v>
      </c>
      <c r="AN46" s="651">
        <f t="array" ref="AN46">IFERROR(INDEX('HIV-Pharmaceuticals'!$Y$14:$Y$99,MATCH($E46&amp;$F46,'HIV-Pharmaceuticals'!$E$14:$E$99&amp;'HIV-Pharmaceuticals'!$I$14:$I$99,0)),0)</f>
        <v>0</v>
      </c>
      <c r="AO46" s="652">
        <f t="shared" si="21"/>
        <v>0</v>
      </c>
      <c r="AP46" s="652">
        <f t="shared" si="22"/>
        <v>0</v>
      </c>
      <c r="AQ46" s="652">
        <f t="shared" si="23"/>
        <v>0</v>
      </c>
      <c r="AR46" s="653"/>
      <c r="AS46" s="651">
        <f t="array" ref="AS46">IFERROR(INDEX('HIV-Pharmaceuticals'!$AB$14:$AB$99,MATCH($E46&amp;$F46,'HIV-Pharmaceuticals'!$E$14:$E$99&amp;'HIV-Pharmaceuticals'!$I$14:$I$99,0)),0)</f>
        <v>0</v>
      </c>
      <c r="AT46" s="651">
        <f t="array" ref="AT46">IFERROR(INDEX('HIV-Pharmaceuticals'!$AC$14:$AC$99,MATCH($E46&amp;$F46,'HIV-Pharmaceuticals'!$E$14:$E$99&amp;'HIV-Pharmaceuticals'!$I$14:$I$99,0)),0)</f>
        <v>0</v>
      </c>
      <c r="AU46" s="652">
        <f t="shared" si="24"/>
        <v>0</v>
      </c>
      <c r="AV46" s="652">
        <f t="shared" si="25"/>
        <v>0</v>
      </c>
      <c r="AW46" s="652">
        <f t="shared" si="26"/>
        <v>0</v>
      </c>
      <c r="AX46" s="651">
        <f t="array" ref="AX46">IFERROR(INDEX('HIV-Pharmaceuticals'!$AD$14:$AD$99,MATCH($E46&amp;$F46,'HIV-Pharmaceuticals'!$E$14:$E$99&amp;'HIV-Pharmaceuticals'!$I$14:$I$99,0)),0)</f>
        <v>0</v>
      </c>
      <c r="AY46" s="652">
        <f t="shared" si="27"/>
        <v>0</v>
      </c>
      <c r="AZ46" s="652">
        <f t="shared" si="28"/>
        <v>0</v>
      </c>
      <c r="BA46" s="652">
        <f t="shared" si="29"/>
        <v>0</v>
      </c>
      <c r="BB46" s="651">
        <f t="array" ref="BB46">IFERROR(INDEX('HIV-Pharmaceuticals'!$AE$14:$AE$99,MATCH($E46&amp;$F46,'HIV-Pharmaceuticals'!$E$14:$E$99&amp;'HIV-Pharmaceuticals'!$I$14:$I$99,0)),0)</f>
        <v>0</v>
      </c>
      <c r="BC46" s="652">
        <f t="shared" si="30"/>
        <v>0</v>
      </c>
      <c r="BD46" s="652">
        <f t="shared" si="31"/>
        <v>0</v>
      </c>
      <c r="BE46" s="652">
        <f t="shared" si="32"/>
        <v>0</v>
      </c>
      <c r="BF46" s="651">
        <f t="array" ref="BF46">IFERROR(INDEX('HIV-Pharmaceuticals'!$AF$14:$AF$99,MATCH($E46&amp;$F46,'HIV-Pharmaceuticals'!$E$14:$E$99&amp;'HIV-Pharmaceuticals'!$I$14:$I$99,0)),0)</f>
        <v>0</v>
      </c>
      <c r="BG46" s="652">
        <f t="shared" si="33"/>
        <v>0</v>
      </c>
      <c r="BH46" s="652">
        <f t="shared" si="34"/>
        <v>0</v>
      </c>
      <c r="BI46" s="652">
        <f t="shared" si="35"/>
        <v>0</v>
      </c>
      <c r="BK46" s="654"/>
      <c r="BL46" s="654"/>
      <c r="BM46" s="654"/>
      <c r="BN46" s="654"/>
      <c r="BO46" s="654"/>
      <c r="BP46" s="654"/>
      <c r="BQ46" s="654"/>
      <c r="BR46" s="654"/>
    </row>
    <row r="47" spans="1:70" s="646" customFormat="1">
      <c r="A47" s="647" t="s">
        <v>561</v>
      </c>
      <c r="B47" s="647" t="s">
        <v>819</v>
      </c>
      <c r="C47" s="648">
        <f>SETUP!$F$20</f>
        <v>0</v>
      </c>
      <c r="D47" s="649">
        <v>4.0999999999999996</v>
      </c>
      <c r="E47" s="647" t="s">
        <v>119</v>
      </c>
      <c r="F47" s="647" t="s">
        <v>1634</v>
      </c>
      <c r="G47" s="650" t="str">
        <f t="array" ref="G47">IFERROR(INDEX('HIV-Pharmaceuticals'!$L$14:$L$99,MATCH($E47&amp;$F47,'HIV-Pharmaceuticals'!$E$14:$E$99&amp;'HIV-Pharmaceuticals'!$I$14:$I$99,0)),"")</f>
        <v/>
      </c>
      <c r="H47" s="650" t="str">
        <f t="array" ref="H47">IFERROR(INDEX('HIV-Pharmaceuticals'!$M$14:$M$99,MATCH($E47&amp;$F47,'HIV-Pharmaceuticals'!$E$14:$E$99&amp;'HIV-Pharmaceuticals'!$I$14:$I$99,0)),"")</f>
        <v/>
      </c>
      <c r="I47" s="651">
        <f t="array" ref="I47">IFERROR(INDEX('HIV-Pharmaceuticals'!$N$14:$N$99,MATCH($E47&amp;$F47,'HIV-Pharmaceuticals'!$E$14:$E$99&amp;'HIV-Pharmaceuticals'!$I$14:$I$99,0)),0)</f>
        <v>0</v>
      </c>
      <c r="J47" s="651">
        <f t="array" ref="J47">IFERROR(INDEX('HIV-Pharmaceuticals'!$O$14:$O$99,MATCH($E47&amp;$F47,'HIV-Pharmaceuticals'!$E$14:$E$99&amp;'HIV-Pharmaceuticals'!$I$14:$I$99,0)),0)</f>
        <v>0</v>
      </c>
      <c r="K47" s="652">
        <f t="shared" si="0"/>
        <v>0</v>
      </c>
      <c r="L47" s="652">
        <f t="shared" si="1"/>
        <v>0</v>
      </c>
      <c r="M47" s="652">
        <f t="shared" si="2"/>
        <v>0</v>
      </c>
      <c r="N47" s="651">
        <f t="array" ref="N47">IFERROR(INDEX('HIV-Pharmaceuticals'!$P$14:$P$99,MATCH($E47&amp;$F47,'HIV-Pharmaceuticals'!$E$14:$E$99&amp;'HIV-Pharmaceuticals'!$I$14:$I$99,0)),0)</f>
        <v>0</v>
      </c>
      <c r="O47" s="652">
        <f t="shared" si="3"/>
        <v>0</v>
      </c>
      <c r="P47" s="652">
        <f t="shared" si="4"/>
        <v>0</v>
      </c>
      <c r="Q47" s="652">
        <f t="shared" si="5"/>
        <v>0</v>
      </c>
      <c r="R47" s="651">
        <f t="array" ref="R47">IFERROR(INDEX('HIV-Pharmaceuticals'!$Q$14:$Q$99,MATCH($E47&amp;$F47,'HIV-Pharmaceuticals'!$E$14:$E$99&amp;'HIV-Pharmaceuticals'!$I$14:$I$99,0)),0)</f>
        <v>0</v>
      </c>
      <c r="S47" s="652">
        <f t="shared" si="6"/>
        <v>0</v>
      </c>
      <c r="T47" s="652">
        <f t="shared" si="7"/>
        <v>0</v>
      </c>
      <c r="U47" s="652">
        <f t="shared" si="8"/>
        <v>0</v>
      </c>
      <c r="V47" s="651">
        <f t="array" ref="V47">IFERROR(INDEX('HIV-Pharmaceuticals'!$R$14:$R$99,MATCH($E47&amp;$F47,'HIV-Pharmaceuticals'!$E$14:$E$99&amp;'HIV-Pharmaceuticals'!$I$14:$I$99,0)),0)</f>
        <v>0</v>
      </c>
      <c r="W47" s="652">
        <f t="shared" si="9"/>
        <v>0</v>
      </c>
      <c r="X47" s="652">
        <f t="shared" si="10"/>
        <v>0</v>
      </c>
      <c r="Y47" s="652">
        <f t="shared" si="11"/>
        <v>0</v>
      </c>
      <c r="Z47" s="653"/>
      <c r="AA47" s="651">
        <f t="array" ref="AA47">IFERROR(INDEX('HIV-Pharmaceuticals'!$U$14:$U$99,MATCH($E47&amp;$F47,'HIV-Pharmaceuticals'!$E$14:$E$99&amp;'HIV-Pharmaceuticals'!$I$14:$I$99,0)),0)</f>
        <v>0</v>
      </c>
      <c r="AB47" s="651">
        <f t="array" ref="AB47">IFERROR(INDEX('HIV-Pharmaceuticals'!$V$14:$V$99,MATCH($E47&amp;$F47,'HIV-Pharmaceuticals'!$E$14:$E$99&amp;'HIV-Pharmaceuticals'!$I$14:$I$99,0)),0)</f>
        <v>0</v>
      </c>
      <c r="AC47" s="652">
        <f t="shared" si="12"/>
        <v>0</v>
      </c>
      <c r="AD47" s="652">
        <f t="shared" si="13"/>
        <v>0</v>
      </c>
      <c r="AE47" s="652">
        <f t="shared" si="14"/>
        <v>0</v>
      </c>
      <c r="AF47" s="651">
        <f t="array" ref="AF47">IFERROR(INDEX('HIV-Pharmaceuticals'!$W$14:$W$99,MATCH($E47&amp;$F47,'HIV-Pharmaceuticals'!$E$14:$E$99&amp;'HIV-Pharmaceuticals'!$I$14:$I$99,0)),0)</f>
        <v>0</v>
      </c>
      <c r="AG47" s="652">
        <f t="shared" si="15"/>
        <v>0</v>
      </c>
      <c r="AH47" s="652">
        <f t="shared" si="16"/>
        <v>0</v>
      </c>
      <c r="AI47" s="652">
        <f t="shared" si="17"/>
        <v>0</v>
      </c>
      <c r="AJ47" s="651">
        <f t="array" ref="AJ47">IFERROR(INDEX('HIV-Pharmaceuticals'!$X$14:$X$99,MATCH($E47&amp;$F47,'HIV-Pharmaceuticals'!$E$14:$E$99&amp;'HIV-Pharmaceuticals'!$I$14:$I$99,0)),0)</f>
        <v>0</v>
      </c>
      <c r="AK47" s="652">
        <f t="shared" si="18"/>
        <v>0</v>
      </c>
      <c r="AL47" s="652">
        <f t="shared" si="19"/>
        <v>0</v>
      </c>
      <c r="AM47" s="652">
        <f t="shared" si="20"/>
        <v>0</v>
      </c>
      <c r="AN47" s="651">
        <f t="array" ref="AN47">IFERROR(INDEX('HIV-Pharmaceuticals'!$Y$14:$Y$99,MATCH($E47&amp;$F47,'HIV-Pharmaceuticals'!$E$14:$E$99&amp;'HIV-Pharmaceuticals'!$I$14:$I$99,0)),0)</f>
        <v>0</v>
      </c>
      <c r="AO47" s="652">
        <f t="shared" si="21"/>
        <v>0</v>
      </c>
      <c r="AP47" s="652">
        <f t="shared" si="22"/>
        <v>0</v>
      </c>
      <c r="AQ47" s="652">
        <f t="shared" si="23"/>
        <v>0</v>
      </c>
      <c r="AR47" s="653"/>
      <c r="AS47" s="651">
        <f t="array" ref="AS47">IFERROR(INDEX('HIV-Pharmaceuticals'!$AB$14:$AB$99,MATCH($E47&amp;$F47,'HIV-Pharmaceuticals'!$E$14:$E$99&amp;'HIV-Pharmaceuticals'!$I$14:$I$99,0)),0)</f>
        <v>0</v>
      </c>
      <c r="AT47" s="651">
        <f t="array" ref="AT47">IFERROR(INDEX('HIV-Pharmaceuticals'!$AC$14:$AC$99,MATCH($E47&amp;$F47,'HIV-Pharmaceuticals'!$E$14:$E$99&amp;'HIV-Pharmaceuticals'!$I$14:$I$99,0)),0)</f>
        <v>0</v>
      </c>
      <c r="AU47" s="652">
        <f t="shared" si="24"/>
        <v>0</v>
      </c>
      <c r="AV47" s="652">
        <f t="shared" si="25"/>
        <v>0</v>
      </c>
      <c r="AW47" s="652">
        <f t="shared" si="26"/>
        <v>0</v>
      </c>
      <c r="AX47" s="651">
        <f t="array" ref="AX47">IFERROR(INDEX('HIV-Pharmaceuticals'!$AD$14:$AD$99,MATCH($E47&amp;$F47,'HIV-Pharmaceuticals'!$E$14:$E$99&amp;'HIV-Pharmaceuticals'!$I$14:$I$99,0)),0)</f>
        <v>0</v>
      </c>
      <c r="AY47" s="652">
        <f t="shared" si="27"/>
        <v>0</v>
      </c>
      <c r="AZ47" s="652">
        <f t="shared" si="28"/>
        <v>0</v>
      </c>
      <c r="BA47" s="652">
        <f t="shared" si="29"/>
        <v>0</v>
      </c>
      <c r="BB47" s="651">
        <f t="array" ref="BB47">IFERROR(INDEX('HIV-Pharmaceuticals'!$AE$14:$AE$99,MATCH($E47&amp;$F47,'HIV-Pharmaceuticals'!$E$14:$E$99&amp;'HIV-Pharmaceuticals'!$I$14:$I$99,0)),0)</f>
        <v>0</v>
      </c>
      <c r="BC47" s="652">
        <f t="shared" si="30"/>
        <v>0</v>
      </c>
      <c r="BD47" s="652">
        <f t="shared" si="31"/>
        <v>0</v>
      </c>
      <c r="BE47" s="652">
        <f t="shared" si="32"/>
        <v>0</v>
      </c>
      <c r="BF47" s="651">
        <f t="array" ref="BF47">IFERROR(INDEX('HIV-Pharmaceuticals'!$AF$14:$AF$99,MATCH($E47&amp;$F47,'HIV-Pharmaceuticals'!$E$14:$E$99&amp;'HIV-Pharmaceuticals'!$I$14:$I$99,0)),0)</f>
        <v>0</v>
      </c>
      <c r="BG47" s="652">
        <f t="shared" si="33"/>
        <v>0</v>
      </c>
      <c r="BH47" s="652">
        <f t="shared" si="34"/>
        <v>0</v>
      </c>
      <c r="BI47" s="652">
        <f t="shared" si="35"/>
        <v>0</v>
      </c>
      <c r="BK47" s="654"/>
      <c r="BL47" s="654"/>
      <c r="BM47" s="654"/>
      <c r="BN47" s="654"/>
      <c r="BO47" s="654"/>
      <c r="BP47" s="654"/>
      <c r="BQ47" s="654"/>
      <c r="BR47" s="654"/>
    </row>
    <row r="48" spans="1:70" s="646" customFormat="1">
      <c r="A48" s="647" t="s">
        <v>561</v>
      </c>
      <c r="B48" s="647" t="s">
        <v>819</v>
      </c>
      <c r="C48" s="648">
        <f>SETUP!$F$20</f>
        <v>0</v>
      </c>
      <c r="D48" s="649">
        <v>4.0999999999999996</v>
      </c>
      <c r="E48" s="647" t="s">
        <v>119</v>
      </c>
      <c r="F48" s="647" t="s">
        <v>1635</v>
      </c>
      <c r="G48" s="650" t="str">
        <f t="array" ref="G48">IFERROR(INDEX('HIV-Pharmaceuticals'!$L$14:$L$99,MATCH($E48&amp;$F48,'HIV-Pharmaceuticals'!$E$14:$E$99&amp;'HIV-Pharmaceuticals'!$I$14:$I$99,0)),"")</f>
        <v/>
      </c>
      <c r="H48" s="650" t="str">
        <f t="array" ref="H48">IFERROR(INDEX('HIV-Pharmaceuticals'!$M$14:$M$99,MATCH($E48&amp;$F48,'HIV-Pharmaceuticals'!$E$14:$E$99&amp;'HIV-Pharmaceuticals'!$I$14:$I$99,0)),"")</f>
        <v/>
      </c>
      <c r="I48" s="651">
        <f t="array" ref="I48">IFERROR(INDEX('HIV-Pharmaceuticals'!$N$14:$N$99,MATCH($E48&amp;$F48,'HIV-Pharmaceuticals'!$E$14:$E$99&amp;'HIV-Pharmaceuticals'!$I$14:$I$99,0)),0)</f>
        <v>0</v>
      </c>
      <c r="J48" s="651">
        <f t="array" ref="J48">IFERROR(INDEX('HIV-Pharmaceuticals'!$O$14:$O$99,MATCH($E48&amp;$F48,'HIV-Pharmaceuticals'!$E$14:$E$99&amp;'HIV-Pharmaceuticals'!$I$14:$I$99,0)),0)</f>
        <v>0</v>
      </c>
      <c r="K48" s="652">
        <f t="shared" si="0"/>
        <v>0</v>
      </c>
      <c r="L48" s="652">
        <f t="shared" si="1"/>
        <v>0</v>
      </c>
      <c r="M48" s="652">
        <f t="shared" si="2"/>
        <v>0</v>
      </c>
      <c r="N48" s="651">
        <f t="array" ref="N48">IFERROR(INDEX('HIV-Pharmaceuticals'!$P$14:$P$99,MATCH($E48&amp;$F48,'HIV-Pharmaceuticals'!$E$14:$E$99&amp;'HIV-Pharmaceuticals'!$I$14:$I$99,0)),0)</f>
        <v>0</v>
      </c>
      <c r="O48" s="652">
        <f t="shared" si="3"/>
        <v>0</v>
      </c>
      <c r="P48" s="652">
        <f t="shared" si="4"/>
        <v>0</v>
      </c>
      <c r="Q48" s="652">
        <f t="shared" si="5"/>
        <v>0</v>
      </c>
      <c r="R48" s="651">
        <f t="array" ref="R48">IFERROR(INDEX('HIV-Pharmaceuticals'!$Q$14:$Q$99,MATCH($E48&amp;$F48,'HIV-Pharmaceuticals'!$E$14:$E$99&amp;'HIV-Pharmaceuticals'!$I$14:$I$99,0)),0)</f>
        <v>0</v>
      </c>
      <c r="S48" s="652">
        <f t="shared" si="6"/>
        <v>0</v>
      </c>
      <c r="T48" s="652">
        <f t="shared" si="7"/>
        <v>0</v>
      </c>
      <c r="U48" s="652">
        <f t="shared" si="8"/>
        <v>0</v>
      </c>
      <c r="V48" s="651">
        <f t="array" ref="V48">IFERROR(INDEX('HIV-Pharmaceuticals'!$R$14:$R$99,MATCH($E48&amp;$F48,'HIV-Pharmaceuticals'!$E$14:$E$99&amp;'HIV-Pharmaceuticals'!$I$14:$I$99,0)),0)</f>
        <v>0</v>
      </c>
      <c r="W48" s="652">
        <f t="shared" si="9"/>
        <v>0</v>
      </c>
      <c r="X48" s="652">
        <f t="shared" si="10"/>
        <v>0</v>
      </c>
      <c r="Y48" s="652">
        <f t="shared" si="11"/>
        <v>0</v>
      </c>
      <c r="Z48" s="653"/>
      <c r="AA48" s="651">
        <f t="array" ref="AA48">IFERROR(INDEX('HIV-Pharmaceuticals'!$U$14:$U$99,MATCH($E48&amp;$F48,'HIV-Pharmaceuticals'!$E$14:$E$99&amp;'HIV-Pharmaceuticals'!$I$14:$I$99,0)),0)</f>
        <v>0</v>
      </c>
      <c r="AB48" s="651">
        <f t="array" ref="AB48">IFERROR(INDEX('HIV-Pharmaceuticals'!$V$14:$V$99,MATCH($E48&amp;$F48,'HIV-Pharmaceuticals'!$E$14:$E$99&amp;'HIV-Pharmaceuticals'!$I$14:$I$99,0)),0)</f>
        <v>0</v>
      </c>
      <c r="AC48" s="652">
        <f t="shared" si="12"/>
        <v>0</v>
      </c>
      <c r="AD48" s="652">
        <f t="shared" si="13"/>
        <v>0</v>
      </c>
      <c r="AE48" s="652">
        <f t="shared" si="14"/>
        <v>0</v>
      </c>
      <c r="AF48" s="651">
        <f t="array" ref="AF48">IFERROR(INDEX('HIV-Pharmaceuticals'!$W$14:$W$99,MATCH($E48&amp;$F48,'HIV-Pharmaceuticals'!$E$14:$E$99&amp;'HIV-Pharmaceuticals'!$I$14:$I$99,0)),0)</f>
        <v>0</v>
      </c>
      <c r="AG48" s="652">
        <f t="shared" si="15"/>
        <v>0</v>
      </c>
      <c r="AH48" s="652">
        <f t="shared" si="16"/>
        <v>0</v>
      </c>
      <c r="AI48" s="652">
        <f t="shared" si="17"/>
        <v>0</v>
      </c>
      <c r="AJ48" s="651">
        <f t="array" ref="AJ48">IFERROR(INDEX('HIV-Pharmaceuticals'!$X$14:$X$99,MATCH($E48&amp;$F48,'HIV-Pharmaceuticals'!$E$14:$E$99&amp;'HIV-Pharmaceuticals'!$I$14:$I$99,0)),0)</f>
        <v>0</v>
      </c>
      <c r="AK48" s="652">
        <f t="shared" si="18"/>
        <v>0</v>
      </c>
      <c r="AL48" s="652">
        <f t="shared" si="19"/>
        <v>0</v>
      </c>
      <c r="AM48" s="652">
        <f t="shared" si="20"/>
        <v>0</v>
      </c>
      <c r="AN48" s="651">
        <f t="array" ref="AN48">IFERROR(INDEX('HIV-Pharmaceuticals'!$Y$14:$Y$99,MATCH($E48&amp;$F48,'HIV-Pharmaceuticals'!$E$14:$E$99&amp;'HIV-Pharmaceuticals'!$I$14:$I$99,0)),0)</f>
        <v>0</v>
      </c>
      <c r="AO48" s="652">
        <f t="shared" si="21"/>
        <v>0</v>
      </c>
      <c r="AP48" s="652">
        <f t="shared" si="22"/>
        <v>0</v>
      </c>
      <c r="AQ48" s="652">
        <f t="shared" si="23"/>
        <v>0</v>
      </c>
      <c r="AR48" s="653"/>
      <c r="AS48" s="651">
        <f t="array" ref="AS48">IFERROR(INDEX('HIV-Pharmaceuticals'!$AB$14:$AB$99,MATCH($E48&amp;$F48,'HIV-Pharmaceuticals'!$E$14:$E$99&amp;'HIV-Pharmaceuticals'!$I$14:$I$99,0)),0)</f>
        <v>0</v>
      </c>
      <c r="AT48" s="651">
        <f t="array" ref="AT48">IFERROR(INDEX('HIV-Pharmaceuticals'!$AC$14:$AC$99,MATCH($E48&amp;$F48,'HIV-Pharmaceuticals'!$E$14:$E$99&amp;'HIV-Pharmaceuticals'!$I$14:$I$99,0)),0)</f>
        <v>0</v>
      </c>
      <c r="AU48" s="652">
        <f t="shared" si="24"/>
        <v>0</v>
      </c>
      <c r="AV48" s="652">
        <f t="shared" si="25"/>
        <v>0</v>
      </c>
      <c r="AW48" s="652">
        <f t="shared" si="26"/>
        <v>0</v>
      </c>
      <c r="AX48" s="651">
        <f t="array" ref="AX48">IFERROR(INDEX('HIV-Pharmaceuticals'!$AD$14:$AD$99,MATCH($E48&amp;$F48,'HIV-Pharmaceuticals'!$E$14:$E$99&amp;'HIV-Pharmaceuticals'!$I$14:$I$99,0)),0)</f>
        <v>0</v>
      </c>
      <c r="AY48" s="652">
        <f t="shared" si="27"/>
        <v>0</v>
      </c>
      <c r="AZ48" s="652">
        <f t="shared" si="28"/>
        <v>0</v>
      </c>
      <c r="BA48" s="652">
        <f t="shared" si="29"/>
        <v>0</v>
      </c>
      <c r="BB48" s="651">
        <f t="array" ref="BB48">IFERROR(INDEX('HIV-Pharmaceuticals'!$AE$14:$AE$99,MATCH($E48&amp;$F48,'HIV-Pharmaceuticals'!$E$14:$E$99&amp;'HIV-Pharmaceuticals'!$I$14:$I$99,0)),0)</f>
        <v>0</v>
      </c>
      <c r="BC48" s="652">
        <f t="shared" si="30"/>
        <v>0</v>
      </c>
      <c r="BD48" s="652">
        <f t="shared" si="31"/>
        <v>0</v>
      </c>
      <c r="BE48" s="652">
        <f t="shared" si="32"/>
        <v>0</v>
      </c>
      <c r="BF48" s="651">
        <f t="array" ref="BF48">IFERROR(INDEX('HIV-Pharmaceuticals'!$AF$14:$AF$99,MATCH($E48&amp;$F48,'HIV-Pharmaceuticals'!$E$14:$E$99&amp;'HIV-Pharmaceuticals'!$I$14:$I$99,0)),0)</f>
        <v>0</v>
      </c>
      <c r="BG48" s="652">
        <f t="shared" si="33"/>
        <v>0</v>
      </c>
      <c r="BH48" s="652">
        <f t="shared" si="34"/>
        <v>0</v>
      </c>
      <c r="BI48" s="652">
        <f t="shared" si="35"/>
        <v>0</v>
      </c>
      <c r="BK48" s="654"/>
      <c r="BL48" s="654"/>
      <c r="BM48" s="654"/>
      <c r="BN48" s="654"/>
      <c r="BO48" s="654"/>
      <c r="BP48" s="654"/>
      <c r="BQ48" s="654"/>
      <c r="BR48" s="654"/>
    </row>
    <row r="49" spans="1:70" s="646" customFormat="1">
      <c r="A49" s="647" t="s">
        <v>561</v>
      </c>
      <c r="B49" s="647" t="s">
        <v>819</v>
      </c>
      <c r="C49" s="648">
        <f>SETUP!$F$20</f>
        <v>0</v>
      </c>
      <c r="D49" s="649">
        <v>4.0999999999999996</v>
      </c>
      <c r="E49" s="647" t="s">
        <v>119</v>
      </c>
      <c r="F49" s="647" t="s">
        <v>1636</v>
      </c>
      <c r="G49" s="650" t="str">
        <f t="array" ref="G49">IFERROR(INDEX('HIV-Pharmaceuticals'!$L$14:$L$99,MATCH($E49&amp;$F49,'HIV-Pharmaceuticals'!$E$14:$E$99&amp;'HIV-Pharmaceuticals'!$I$14:$I$99,0)),"")</f>
        <v/>
      </c>
      <c r="H49" s="650" t="str">
        <f t="array" ref="H49">IFERROR(INDEX('HIV-Pharmaceuticals'!$M$14:$M$99,MATCH($E49&amp;$F49,'HIV-Pharmaceuticals'!$E$14:$E$99&amp;'HIV-Pharmaceuticals'!$I$14:$I$99,0)),"")</f>
        <v/>
      </c>
      <c r="I49" s="651">
        <f t="array" ref="I49">IFERROR(INDEX('HIV-Pharmaceuticals'!$N$14:$N$99,MATCH($E49&amp;$F49,'HIV-Pharmaceuticals'!$E$14:$E$99&amp;'HIV-Pharmaceuticals'!$I$14:$I$99,0)),0)</f>
        <v>0</v>
      </c>
      <c r="J49" s="651">
        <f t="array" ref="J49">IFERROR(INDEX('HIV-Pharmaceuticals'!$O$14:$O$99,MATCH($E49&amp;$F49,'HIV-Pharmaceuticals'!$E$14:$E$99&amp;'HIV-Pharmaceuticals'!$I$14:$I$99,0)),0)</f>
        <v>0</v>
      </c>
      <c r="K49" s="652">
        <f t="shared" si="0"/>
        <v>0</v>
      </c>
      <c r="L49" s="652">
        <f t="shared" si="1"/>
        <v>0</v>
      </c>
      <c r="M49" s="652">
        <f t="shared" si="2"/>
        <v>0</v>
      </c>
      <c r="N49" s="651">
        <f t="array" ref="N49">IFERROR(INDEX('HIV-Pharmaceuticals'!$P$14:$P$99,MATCH($E49&amp;$F49,'HIV-Pharmaceuticals'!$E$14:$E$99&amp;'HIV-Pharmaceuticals'!$I$14:$I$99,0)),0)</f>
        <v>0</v>
      </c>
      <c r="O49" s="652">
        <f t="shared" si="3"/>
        <v>0</v>
      </c>
      <c r="P49" s="652">
        <f t="shared" si="4"/>
        <v>0</v>
      </c>
      <c r="Q49" s="652">
        <f t="shared" si="5"/>
        <v>0</v>
      </c>
      <c r="R49" s="651">
        <f t="array" ref="R49">IFERROR(INDEX('HIV-Pharmaceuticals'!$Q$14:$Q$99,MATCH($E49&amp;$F49,'HIV-Pharmaceuticals'!$E$14:$E$99&amp;'HIV-Pharmaceuticals'!$I$14:$I$99,0)),0)</f>
        <v>0</v>
      </c>
      <c r="S49" s="652">
        <f t="shared" si="6"/>
        <v>0</v>
      </c>
      <c r="T49" s="652">
        <f t="shared" si="7"/>
        <v>0</v>
      </c>
      <c r="U49" s="652">
        <f t="shared" si="8"/>
        <v>0</v>
      </c>
      <c r="V49" s="651">
        <f t="array" ref="V49">IFERROR(INDEX('HIV-Pharmaceuticals'!$R$14:$R$99,MATCH($E49&amp;$F49,'HIV-Pharmaceuticals'!$E$14:$E$99&amp;'HIV-Pharmaceuticals'!$I$14:$I$99,0)),0)</f>
        <v>0</v>
      </c>
      <c r="W49" s="652">
        <f t="shared" si="9"/>
        <v>0</v>
      </c>
      <c r="X49" s="652">
        <f t="shared" si="10"/>
        <v>0</v>
      </c>
      <c r="Y49" s="652">
        <f t="shared" si="11"/>
        <v>0</v>
      </c>
      <c r="Z49" s="653"/>
      <c r="AA49" s="651">
        <f t="array" ref="AA49">IFERROR(INDEX('HIV-Pharmaceuticals'!$U$14:$U$99,MATCH($E49&amp;$F49,'HIV-Pharmaceuticals'!$E$14:$E$99&amp;'HIV-Pharmaceuticals'!$I$14:$I$99,0)),0)</f>
        <v>0</v>
      </c>
      <c r="AB49" s="651">
        <f t="array" ref="AB49">IFERROR(INDEX('HIV-Pharmaceuticals'!$V$14:$V$99,MATCH($E49&amp;$F49,'HIV-Pharmaceuticals'!$E$14:$E$99&amp;'HIV-Pharmaceuticals'!$I$14:$I$99,0)),0)</f>
        <v>0</v>
      </c>
      <c r="AC49" s="652">
        <f t="shared" si="12"/>
        <v>0</v>
      </c>
      <c r="AD49" s="652">
        <f t="shared" si="13"/>
        <v>0</v>
      </c>
      <c r="AE49" s="652">
        <f t="shared" si="14"/>
        <v>0</v>
      </c>
      <c r="AF49" s="651">
        <f t="array" ref="AF49">IFERROR(INDEX('HIV-Pharmaceuticals'!$W$14:$W$99,MATCH($E49&amp;$F49,'HIV-Pharmaceuticals'!$E$14:$E$99&amp;'HIV-Pharmaceuticals'!$I$14:$I$99,0)),0)</f>
        <v>0</v>
      </c>
      <c r="AG49" s="652">
        <f t="shared" si="15"/>
        <v>0</v>
      </c>
      <c r="AH49" s="652">
        <f t="shared" si="16"/>
        <v>0</v>
      </c>
      <c r="AI49" s="652">
        <f t="shared" si="17"/>
        <v>0</v>
      </c>
      <c r="AJ49" s="651">
        <f t="array" ref="AJ49">IFERROR(INDEX('HIV-Pharmaceuticals'!$X$14:$X$99,MATCH($E49&amp;$F49,'HIV-Pharmaceuticals'!$E$14:$E$99&amp;'HIV-Pharmaceuticals'!$I$14:$I$99,0)),0)</f>
        <v>0</v>
      </c>
      <c r="AK49" s="652">
        <f t="shared" si="18"/>
        <v>0</v>
      </c>
      <c r="AL49" s="652">
        <f t="shared" si="19"/>
        <v>0</v>
      </c>
      <c r="AM49" s="652">
        <f t="shared" si="20"/>
        <v>0</v>
      </c>
      <c r="AN49" s="651">
        <f t="array" ref="AN49">IFERROR(INDEX('HIV-Pharmaceuticals'!$Y$14:$Y$99,MATCH($E49&amp;$F49,'HIV-Pharmaceuticals'!$E$14:$E$99&amp;'HIV-Pharmaceuticals'!$I$14:$I$99,0)),0)</f>
        <v>0</v>
      </c>
      <c r="AO49" s="652">
        <f t="shared" si="21"/>
        <v>0</v>
      </c>
      <c r="AP49" s="652">
        <f t="shared" si="22"/>
        <v>0</v>
      </c>
      <c r="AQ49" s="652">
        <f t="shared" si="23"/>
        <v>0</v>
      </c>
      <c r="AR49" s="653"/>
      <c r="AS49" s="651">
        <f t="array" ref="AS49">IFERROR(INDEX('HIV-Pharmaceuticals'!$AB$14:$AB$99,MATCH($E49&amp;$F49,'HIV-Pharmaceuticals'!$E$14:$E$99&amp;'HIV-Pharmaceuticals'!$I$14:$I$99,0)),0)</f>
        <v>0</v>
      </c>
      <c r="AT49" s="651">
        <f t="array" ref="AT49">IFERROR(INDEX('HIV-Pharmaceuticals'!$AC$14:$AC$99,MATCH($E49&amp;$F49,'HIV-Pharmaceuticals'!$E$14:$E$99&amp;'HIV-Pharmaceuticals'!$I$14:$I$99,0)),0)</f>
        <v>0</v>
      </c>
      <c r="AU49" s="652">
        <f t="shared" si="24"/>
        <v>0</v>
      </c>
      <c r="AV49" s="652">
        <f t="shared" si="25"/>
        <v>0</v>
      </c>
      <c r="AW49" s="652">
        <f t="shared" si="26"/>
        <v>0</v>
      </c>
      <c r="AX49" s="651">
        <f t="array" ref="AX49">IFERROR(INDEX('HIV-Pharmaceuticals'!$AD$14:$AD$99,MATCH($E49&amp;$F49,'HIV-Pharmaceuticals'!$E$14:$E$99&amp;'HIV-Pharmaceuticals'!$I$14:$I$99,0)),0)</f>
        <v>0</v>
      </c>
      <c r="AY49" s="652">
        <f t="shared" si="27"/>
        <v>0</v>
      </c>
      <c r="AZ49" s="652">
        <f t="shared" si="28"/>
        <v>0</v>
      </c>
      <c r="BA49" s="652">
        <f t="shared" si="29"/>
        <v>0</v>
      </c>
      <c r="BB49" s="651">
        <f t="array" ref="BB49">IFERROR(INDEX('HIV-Pharmaceuticals'!$AE$14:$AE$99,MATCH($E49&amp;$F49,'HIV-Pharmaceuticals'!$E$14:$E$99&amp;'HIV-Pharmaceuticals'!$I$14:$I$99,0)),0)</f>
        <v>0</v>
      </c>
      <c r="BC49" s="652">
        <f t="shared" si="30"/>
        <v>0</v>
      </c>
      <c r="BD49" s="652">
        <f t="shared" si="31"/>
        <v>0</v>
      </c>
      <c r="BE49" s="652">
        <f t="shared" si="32"/>
        <v>0</v>
      </c>
      <c r="BF49" s="651">
        <f t="array" ref="BF49">IFERROR(INDEX('HIV-Pharmaceuticals'!$AF$14:$AF$99,MATCH($E49&amp;$F49,'HIV-Pharmaceuticals'!$E$14:$E$99&amp;'HIV-Pharmaceuticals'!$I$14:$I$99,0)),0)</f>
        <v>0</v>
      </c>
      <c r="BG49" s="652">
        <f t="shared" si="33"/>
        <v>0</v>
      </c>
      <c r="BH49" s="652">
        <f t="shared" si="34"/>
        <v>0</v>
      </c>
      <c r="BI49" s="652">
        <f t="shared" si="35"/>
        <v>0</v>
      </c>
      <c r="BK49" s="654"/>
      <c r="BL49" s="654"/>
      <c r="BM49" s="654"/>
      <c r="BN49" s="654"/>
      <c r="BO49" s="654"/>
      <c r="BP49" s="654"/>
      <c r="BQ49" s="654"/>
      <c r="BR49" s="654"/>
    </row>
    <row r="50" spans="1:70" s="646" customFormat="1">
      <c r="A50" s="647" t="s">
        <v>561</v>
      </c>
      <c r="B50" s="647" t="s">
        <v>819</v>
      </c>
      <c r="C50" s="648">
        <f>SETUP!$F$20</f>
        <v>0</v>
      </c>
      <c r="D50" s="649">
        <v>4.0999999999999996</v>
      </c>
      <c r="E50" s="647" t="s">
        <v>119</v>
      </c>
      <c r="F50" s="647" t="s">
        <v>1637</v>
      </c>
      <c r="G50" s="650" t="str">
        <f t="array" ref="G50">IFERROR(INDEX('HIV-Pharmaceuticals'!$L$14:$L$99,MATCH($E50&amp;$F50,'HIV-Pharmaceuticals'!$E$14:$E$99&amp;'HIV-Pharmaceuticals'!$I$14:$I$99,0)),"")</f>
        <v/>
      </c>
      <c r="H50" s="650" t="str">
        <f t="array" ref="H50">IFERROR(INDEX('HIV-Pharmaceuticals'!$M$14:$M$99,MATCH($E50&amp;$F50,'HIV-Pharmaceuticals'!$E$14:$E$99&amp;'HIV-Pharmaceuticals'!$I$14:$I$99,0)),"")</f>
        <v/>
      </c>
      <c r="I50" s="651">
        <f t="array" ref="I50">IFERROR(INDEX('HIV-Pharmaceuticals'!$N$14:$N$99,MATCH($E50&amp;$F50,'HIV-Pharmaceuticals'!$E$14:$E$99&amp;'HIV-Pharmaceuticals'!$I$14:$I$99,0)),0)</f>
        <v>0</v>
      </c>
      <c r="J50" s="651">
        <f t="array" ref="J50">IFERROR(INDEX('HIV-Pharmaceuticals'!$O$14:$O$99,MATCH($E50&amp;$F50,'HIV-Pharmaceuticals'!$E$14:$E$99&amp;'HIV-Pharmaceuticals'!$I$14:$I$99,0)),0)</f>
        <v>0</v>
      </c>
      <c r="K50" s="652">
        <f t="shared" si="0"/>
        <v>0</v>
      </c>
      <c r="L50" s="652">
        <f t="shared" si="1"/>
        <v>0</v>
      </c>
      <c r="M50" s="652">
        <f t="shared" si="2"/>
        <v>0</v>
      </c>
      <c r="N50" s="651">
        <f t="array" ref="N50">IFERROR(INDEX('HIV-Pharmaceuticals'!$P$14:$P$99,MATCH($E50&amp;$F50,'HIV-Pharmaceuticals'!$E$14:$E$99&amp;'HIV-Pharmaceuticals'!$I$14:$I$99,0)),0)</f>
        <v>0</v>
      </c>
      <c r="O50" s="652">
        <f t="shared" si="3"/>
        <v>0</v>
      </c>
      <c r="P50" s="652">
        <f t="shared" si="4"/>
        <v>0</v>
      </c>
      <c r="Q50" s="652">
        <f t="shared" si="5"/>
        <v>0</v>
      </c>
      <c r="R50" s="651">
        <f t="array" ref="R50">IFERROR(INDEX('HIV-Pharmaceuticals'!$Q$14:$Q$99,MATCH($E50&amp;$F50,'HIV-Pharmaceuticals'!$E$14:$E$99&amp;'HIV-Pharmaceuticals'!$I$14:$I$99,0)),0)</f>
        <v>0</v>
      </c>
      <c r="S50" s="652">
        <f t="shared" si="6"/>
        <v>0</v>
      </c>
      <c r="T50" s="652">
        <f t="shared" si="7"/>
        <v>0</v>
      </c>
      <c r="U50" s="652">
        <f t="shared" si="8"/>
        <v>0</v>
      </c>
      <c r="V50" s="651">
        <f t="array" ref="V50">IFERROR(INDEX('HIV-Pharmaceuticals'!$R$14:$R$99,MATCH($E50&amp;$F50,'HIV-Pharmaceuticals'!$E$14:$E$99&amp;'HIV-Pharmaceuticals'!$I$14:$I$99,0)),0)</f>
        <v>0</v>
      </c>
      <c r="W50" s="652">
        <f t="shared" si="9"/>
        <v>0</v>
      </c>
      <c r="X50" s="652">
        <f t="shared" si="10"/>
        <v>0</v>
      </c>
      <c r="Y50" s="652">
        <f t="shared" si="11"/>
        <v>0</v>
      </c>
      <c r="Z50" s="653"/>
      <c r="AA50" s="651">
        <f t="array" ref="AA50">IFERROR(INDEX('HIV-Pharmaceuticals'!$U$14:$U$99,MATCH($E50&amp;$F50,'HIV-Pharmaceuticals'!$E$14:$E$99&amp;'HIV-Pharmaceuticals'!$I$14:$I$99,0)),0)</f>
        <v>0</v>
      </c>
      <c r="AB50" s="651">
        <f t="array" ref="AB50">IFERROR(INDEX('HIV-Pharmaceuticals'!$V$14:$V$99,MATCH($E50&amp;$F50,'HIV-Pharmaceuticals'!$E$14:$E$99&amp;'HIV-Pharmaceuticals'!$I$14:$I$99,0)),0)</f>
        <v>0</v>
      </c>
      <c r="AC50" s="652">
        <f t="shared" si="12"/>
        <v>0</v>
      </c>
      <c r="AD50" s="652">
        <f t="shared" si="13"/>
        <v>0</v>
      </c>
      <c r="AE50" s="652">
        <f t="shared" si="14"/>
        <v>0</v>
      </c>
      <c r="AF50" s="651">
        <f t="array" ref="AF50">IFERROR(INDEX('HIV-Pharmaceuticals'!$W$14:$W$99,MATCH($E50&amp;$F50,'HIV-Pharmaceuticals'!$E$14:$E$99&amp;'HIV-Pharmaceuticals'!$I$14:$I$99,0)),0)</f>
        <v>0</v>
      </c>
      <c r="AG50" s="652">
        <f t="shared" si="15"/>
        <v>0</v>
      </c>
      <c r="AH50" s="652">
        <f t="shared" si="16"/>
        <v>0</v>
      </c>
      <c r="AI50" s="652">
        <f t="shared" si="17"/>
        <v>0</v>
      </c>
      <c r="AJ50" s="651">
        <f t="array" ref="AJ50">IFERROR(INDEX('HIV-Pharmaceuticals'!$X$14:$X$99,MATCH($E50&amp;$F50,'HIV-Pharmaceuticals'!$E$14:$E$99&amp;'HIV-Pharmaceuticals'!$I$14:$I$99,0)),0)</f>
        <v>0</v>
      </c>
      <c r="AK50" s="652">
        <f t="shared" si="18"/>
        <v>0</v>
      </c>
      <c r="AL50" s="652">
        <f t="shared" si="19"/>
        <v>0</v>
      </c>
      <c r="AM50" s="652">
        <f t="shared" si="20"/>
        <v>0</v>
      </c>
      <c r="AN50" s="651">
        <f t="array" ref="AN50">IFERROR(INDEX('HIV-Pharmaceuticals'!$Y$14:$Y$99,MATCH($E50&amp;$F50,'HIV-Pharmaceuticals'!$E$14:$E$99&amp;'HIV-Pharmaceuticals'!$I$14:$I$99,0)),0)</f>
        <v>0</v>
      </c>
      <c r="AO50" s="652">
        <f t="shared" si="21"/>
        <v>0</v>
      </c>
      <c r="AP50" s="652">
        <f t="shared" si="22"/>
        <v>0</v>
      </c>
      <c r="AQ50" s="652">
        <f t="shared" si="23"/>
        <v>0</v>
      </c>
      <c r="AR50" s="653"/>
      <c r="AS50" s="651">
        <f t="array" ref="AS50">IFERROR(INDEX('HIV-Pharmaceuticals'!$AB$14:$AB$99,MATCH($E50&amp;$F50,'HIV-Pharmaceuticals'!$E$14:$E$99&amp;'HIV-Pharmaceuticals'!$I$14:$I$99,0)),0)</f>
        <v>0</v>
      </c>
      <c r="AT50" s="651">
        <f t="array" ref="AT50">IFERROR(INDEX('HIV-Pharmaceuticals'!$AC$14:$AC$99,MATCH($E50&amp;$F50,'HIV-Pharmaceuticals'!$E$14:$E$99&amp;'HIV-Pharmaceuticals'!$I$14:$I$99,0)),0)</f>
        <v>0</v>
      </c>
      <c r="AU50" s="652">
        <f t="shared" si="24"/>
        <v>0</v>
      </c>
      <c r="AV50" s="652">
        <f t="shared" si="25"/>
        <v>0</v>
      </c>
      <c r="AW50" s="652">
        <f t="shared" si="26"/>
        <v>0</v>
      </c>
      <c r="AX50" s="651">
        <f t="array" ref="AX50">IFERROR(INDEX('HIV-Pharmaceuticals'!$AD$14:$AD$99,MATCH($E50&amp;$F50,'HIV-Pharmaceuticals'!$E$14:$E$99&amp;'HIV-Pharmaceuticals'!$I$14:$I$99,0)),0)</f>
        <v>0</v>
      </c>
      <c r="AY50" s="652">
        <f t="shared" si="27"/>
        <v>0</v>
      </c>
      <c r="AZ50" s="652">
        <f t="shared" si="28"/>
        <v>0</v>
      </c>
      <c r="BA50" s="652">
        <f t="shared" si="29"/>
        <v>0</v>
      </c>
      <c r="BB50" s="651">
        <f t="array" ref="BB50">IFERROR(INDEX('HIV-Pharmaceuticals'!$AE$14:$AE$99,MATCH($E50&amp;$F50,'HIV-Pharmaceuticals'!$E$14:$E$99&amp;'HIV-Pharmaceuticals'!$I$14:$I$99,0)),0)</f>
        <v>0</v>
      </c>
      <c r="BC50" s="652">
        <f t="shared" si="30"/>
        <v>0</v>
      </c>
      <c r="BD50" s="652">
        <f t="shared" si="31"/>
        <v>0</v>
      </c>
      <c r="BE50" s="652">
        <f t="shared" si="32"/>
        <v>0</v>
      </c>
      <c r="BF50" s="651">
        <f t="array" ref="BF50">IFERROR(INDEX('HIV-Pharmaceuticals'!$AF$14:$AF$99,MATCH($E50&amp;$F50,'HIV-Pharmaceuticals'!$E$14:$E$99&amp;'HIV-Pharmaceuticals'!$I$14:$I$99,0)),0)</f>
        <v>0</v>
      </c>
      <c r="BG50" s="652">
        <f t="shared" si="33"/>
        <v>0</v>
      </c>
      <c r="BH50" s="652">
        <f t="shared" si="34"/>
        <v>0</v>
      </c>
      <c r="BI50" s="652">
        <f t="shared" si="35"/>
        <v>0</v>
      </c>
      <c r="BK50" s="654"/>
      <c r="BL50" s="654"/>
      <c r="BM50" s="654"/>
      <c r="BN50" s="654"/>
      <c r="BO50" s="654"/>
      <c r="BP50" s="654"/>
      <c r="BQ50" s="654"/>
      <c r="BR50" s="654"/>
    </row>
    <row r="51" spans="1:70" s="646" customFormat="1">
      <c r="A51" s="647" t="s">
        <v>561</v>
      </c>
      <c r="B51" s="647" t="s">
        <v>819</v>
      </c>
      <c r="C51" s="648">
        <f>SETUP!$F$20</f>
        <v>0</v>
      </c>
      <c r="D51" s="649">
        <v>4.0999999999999996</v>
      </c>
      <c r="E51" s="647" t="s">
        <v>119</v>
      </c>
      <c r="F51" s="647" t="s">
        <v>1638</v>
      </c>
      <c r="G51" s="650" t="str">
        <f t="array" ref="G51">IFERROR(INDEX('HIV-Pharmaceuticals'!$L$14:$L$99,MATCH($E51&amp;$F51,'HIV-Pharmaceuticals'!$E$14:$E$99&amp;'HIV-Pharmaceuticals'!$I$14:$I$99,0)),"")</f>
        <v/>
      </c>
      <c r="H51" s="650" t="str">
        <f t="array" ref="H51">IFERROR(INDEX('HIV-Pharmaceuticals'!$M$14:$M$99,MATCH($E51&amp;$F51,'HIV-Pharmaceuticals'!$E$14:$E$99&amp;'HIV-Pharmaceuticals'!$I$14:$I$99,0)),"")</f>
        <v/>
      </c>
      <c r="I51" s="651">
        <f t="array" ref="I51">IFERROR(INDEX('HIV-Pharmaceuticals'!$N$14:$N$99,MATCH($E51&amp;$F51,'HIV-Pharmaceuticals'!$E$14:$E$99&amp;'HIV-Pharmaceuticals'!$I$14:$I$99,0)),0)</f>
        <v>0</v>
      </c>
      <c r="J51" s="651">
        <f t="array" ref="J51">IFERROR(INDEX('HIV-Pharmaceuticals'!$O$14:$O$99,MATCH($E51&amp;$F51,'HIV-Pharmaceuticals'!$E$14:$E$99&amp;'HIV-Pharmaceuticals'!$I$14:$I$99,0)),0)</f>
        <v>0</v>
      </c>
      <c r="K51" s="652">
        <f t="shared" si="0"/>
        <v>0</v>
      </c>
      <c r="L51" s="652">
        <f t="shared" si="1"/>
        <v>0</v>
      </c>
      <c r="M51" s="652">
        <f t="shared" si="2"/>
        <v>0</v>
      </c>
      <c r="N51" s="651">
        <f t="array" ref="N51">IFERROR(INDEX('HIV-Pharmaceuticals'!$P$14:$P$99,MATCH($E51&amp;$F51,'HIV-Pharmaceuticals'!$E$14:$E$99&amp;'HIV-Pharmaceuticals'!$I$14:$I$99,0)),0)</f>
        <v>0</v>
      </c>
      <c r="O51" s="652">
        <f t="shared" si="3"/>
        <v>0</v>
      </c>
      <c r="P51" s="652">
        <f t="shared" si="4"/>
        <v>0</v>
      </c>
      <c r="Q51" s="652">
        <f t="shared" si="5"/>
        <v>0</v>
      </c>
      <c r="R51" s="651">
        <f t="array" ref="R51">IFERROR(INDEX('HIV-Pharmaceuticals'!$Q$14:$Q$99,MATCH($E51&amp;$F51,'HIV-Pharmaceuticals'!$E$14:$E$99&amp;'HIV-Pharmaceuticals'!$I$14:$I$99,0)),0)</f>
        <v>0</v>
      </c>
      <c r="S51" s="652">
        <f t="shared" si="6"/>
        <v>0</v>
      </c>
      <c r="T51" s="652">
        <f t="shared" si="7"/>
        <v>0</v>
      </c>
      <c r="U51" s="652">
        <f t="shared" si="8"/>
        <v>0</v>
      </c>
      <c r="V51" s="651">
        <f t="array" ref="V51">IFERROR(INDEX('HIV-Pharmaceuticals'!$R$14:$R$99,MATCH($E51&amp;$F51,'HIV-Pharmaceuticals'!$E$14:$E$99&amp;'HIV-Pharmaceuticals'!$I$14:$I$99,0)),0)</f>
        <v>0</v>
      </c>
      <c r="W51" s="652">
        <f t="shared" si="9"/>
        <v>0</v>
      </c>
      <c r="X51" s="652">
        <f t="shared" si="10"/>
        <v>0</v>
      </c>
      <c r="Y51" s="652">
        <f t="shared" si="11"/>
        <v>0</v>
      </c>
      <c r="Z51" s="653"/>
      <c r="AA51" s="651">
        <f t="array" ref="AA51">IFERROR(INDEX('HIV-Pharmaceuticals'!$U$14:$U$99,MATCH($E51&amp;$F51,'HIV-Pharmaceuticals'!$E$14:$E$99&amp;'HIV-Pharmaceuticals'!$I$14:$I$99,0)),0)</f>
        <v>0</v>
      </c>
      <c r="AB51" s="651">
        <f t="array" ref="AB51">IFERROR(INDEX('HIV-Pharmaceuticals'!$V$14:$V$99,MATCH($E51&amp;$F51,'HIV-Pharmaceuticals'!$E$14:$E$99&amp;'HIV-Pharmaceuticals'!$I$14:$I$99,0)),0)</f>
        <v>0</v>
      </c>
      <c r="AC51" s="652">
        <f t="shared" si="12"/>
        <v>0</v>
      </c>
      <c r="AD51" s="652">
        <f t="shared" si="13"/>
        <v>0</v>
      </c>
      <c r="AE51" s="652">
        <f t="shared" si="14"/>
        <v>0</v>
      </c>
      <c r="AF51" s="651">
        <f t="array" ref="AF51">IFERROR(INDEX('HIV-Pharmaceuticals'!$W$14:$W$99,MATCH($E51&amp;$F51,'HIV-Pharmaceuticals'!$E$14:$E$99&amp;'HIV-Pharmaceuticals'!$I$14:$I$99,0)),0)</f>
        <v>0</v>
      </c>
      <c r="AG51" s="652">
        <f t="shared" si="15"/>
        <v>0</v>
      </c>
      <c r="AH51" s="652">
        <f t="shared" si="16"/>
        <v>0</v>
      </c>
      <c r="AI51" s="652">
        <f t="shared" si="17"/>
        <v>0</v>
      </c>
      <c r="AJ51" s="651">
        <f t="array" ref="AJ51">IFERROR(INDEX('HIV-Pharmaceuticals'!$X$14:$X$99,MATCH($E51&amp;$F51,'HIV-Pharmaceuticals'!$E$14:$E$99&amp;'HIV-Pharmaceuticals'!$I$14:$I$99,0)),0)</f>
        <v>0</v>
      </c>
      <c r="AK51" s="652">
        <f t="shared" si="18"/>
        <v>0</v>
      </c>
      <c r="AL51" s="652">
        <f t="shared" si="19"/>
        <v>0</v>
      </c>
      <c r="AM51" s="652">
        <f t="shared" si="20"/>
        <v>0</v>
      </c>
      <c r="AN51" s="651">
        <f t="array" ref="AN51">IFERROR(INDEX('HIV-Pharmaceuticals'!$Y$14:$Y$99,MATCH($E51&amp;$F51,'HIV-Pharmaceuticals'!$E$14:$E$99&amp;'HIV-Pharmaceuticals'!$I$14:$I$99,0)),0)</f>
        <v>0</v>
      </c>
      <c r="AO51" s="652">
        <f t="shared" si="21"/>
        <v>0</v>
      </c>
      <c r="AP51" s="652">
        <f t="shared" si="22"/>
        <v>0</v>
      </c>
      <c r="AQ51" s="652">
        <f t="shared" si="23"/>
        <v>0</v>
      </c>
      <c r="AR51" s="653"/>
      <c r="AS51" s="651">
        <f t="array" ref="AS51">IFERROR(INDEX('HIV-Pharmaceuticals'!$AB$14:$AB$99,MATCH($E51&amp;$F51,'HIV-Pharmaceuticals'!$E$14:$E$99&amp;'HIV-Pharmaceuticals'!$I$14:$I$99,0)),0)</f>
        <v>0</v>
      </c>
      <c r="AT51" s="651">
        <f t="array" ref="AT51">IFERROR(INDEX('HIV-Pharmaceuticals'!$AC$14:$AC$99,MATCH($E51&amp;$F51,'HIV-Pharmaceuticals'!$E$14:$E$99&amp;'HIV-Pharmaceuticals'!$I$14:$I$99,0)),0)</f>
        <v>0</v>
      </c>
      <c r="AU51" s="652">
        <f t="shared" si="24"/>
        <v>0</v>
      </c>
      <c r="AV51" s="652">
        <f t="shared" si="25"/>
        <v>0</v>
      </c>
      <c r="AW51" s="652">
        <f t="shared" si="26"/>
        <v>0</v>
      </c>
      <c r="AX51" s="651">
        <f t="array" ref="AX51">IFERROR(INDEX('HIV-Pharmaceuticals'!$AD$14:$AD$99,MATCH($E51&amp;$F51,'HIV-Pharmaceuticals'!$E$14:$E$99&amp;'HIV-Pharmaceuticals'!$I$14:$I$99,0)),0)</f>
        <v>0</v>
      </c>
      <c r="AY51" s="652">
        <f t="shared" si="27"/>
        <v>0</v>
      </c>
      <c r="AZ51" s="652">
        <f t="shared" si="28"/>
        <v>0</v>
      </c>
      <c r="BA51" s="652">
        <f t="shared" si="29"/>
        <v>0</v>
      </c>
      <c r="BB51" s="651">
        <f t="array" ref="BB51">IFERROR(INDEX('HIV-Pharmaceuticals'!$AE$14:$AE$99,MATCH($E51&amp;$F51,'HIV-Pharmaceuticals'!$E$14:$E$99&amp;'HIV-Pharmaceuticals'!$I$14:$I$99,0)),0)</f>
        <v>0</v>
      </c>
      <c r="BC51" s="652">
        <f t="shared" si="30"/>
        <v>0</v>
      </c>
      <c r="BD51" s="652">
        <f t="shared" si="31"/>
        <v>0</v>
      </c>
      <c r="BE51" s="652">
        <f t="shared" si="32"/>
        <v>0</v>
      </c>
      <c r="BF51" s="651">
        <f t="array" ref="BF51">IFERROR(INDEX('HIV-Pharmaceuticals'!$AF$14:$AF$99,MATCH($E51&amp;$F51,'HIV-Pharmaceuticals'!$E$14:$E$99&amp;'HIV-Pharmaceuticals'!$I$14:$I$99,0)),0)</f>
        <v>0</v>
      </c>
      <c r="BG51" s="652">
        <f t="shared" si="33"/>
        <v>0</v>
      </c>
      <c r="BH51" s="652">
        <f t="shared" si="34"/>
        <v>0</v>
      </c>
      <c r="BI51" s="652">
        <f t="shared" si="35"/>
        <v>0</v>
      </c>
      <c r="BK51" s="654"/>
      <c r="BL51" s="654"/>
      <c r="BM51" s="654"/>
      <c r="BN51" s="654"/>
      <c r="BO51" s="654"/>
      <c r="BP51" s="654"/>
      <c r="BQ51" s="654"/>
      <c r="BR51" s="654"/>
    </row>
    <row r="52" spans="1:70" s="646" customFormat="1">
      <c r="A52" s="647" t="s">
        <v>561</v>
      </c>
      <c r="B52" s="647" t="s">
        <v>819</v>
      </c>
      <c r="C52" s="648">
        <f>SETUP!$F$20</f>
        <v>0</v>
      </c>
      <c r="D52" s="649">
        <v>4.0999999999999996</v>
      </c>
      <c r="E52" s="647" t="s">
        <v>119</v>
      </c>
      <c r="F52" s="647" t="s">
        <v>1639</v>
      </c>
      <c r="G52" s="650" t="str">
        <f t="array" ref="G52">IFERROR(INDEX('HIV-Pharmaceuticals'!$L$14:$L$99,MATCH($E52&amp;$F52,'HIV-Pharmaceuticals'!$E$14:$E$99&amp;'HIV-Pharmaceuticals'!$I$14:$I$99,0)),"")</f>
        <v/>
      </c>
      <c r="H52" s="650" t="str">
        <f t="array" ref="H52">IFERROR(INDEX('HIV-Pharmaceuticals'!$M$14:$M$99,MATCH($E52&amp;$F52,'HIV-Pharmaceuticals'!$E$14:$E$99&amp;'HIV-Pharmaceuticals'!$I$14:$I$99,0)),"")</f>
        <v/>
      </c>
      <c r="I52" s="651">
        <f t="array" ref="I52">IFERROR(INDEX('HIV-Pharmaceuticals'!$N$14:$N$99,MATCH($E52&amp;$F52,'HIV-Pharmaceuticals'!$E$14:$E$99&amp;'HIV-Pharmaceuticals'!$I$14:$I$99,0)),0)</f>
        <v>0</v>
      </c>
      <c r="J52" s="651">
        <f t="array" ref="J52">IFERROR(INDEX('HIV-Pharmaceuticals'!$O$14:$O$99,MATCH($E52&amp;$F52,'HIV-Pharmaceuticals'!$E$14:$E$99&amp;'HIV-Pharmaceuticals'!$I$14:$I$99,0)),0)</f>
        <v>0</v>
      </c>
      <c r="K52" s="652">
        <f t="shared" si="0"/>
        <v>0</v>
      </c>
      <c r="L52" s="652">
        <f t="shared" si="1"/>
        <v>0</v>
      </c>
      <c r="M52" s="652">
        <f t="shared" si="2"/>
        <v>0</v>
      </c>
      <c r="N52" s="651">
        <f t="array" ref="N52">IFERROR(INDEX('HIV-Pharmaceuticals'!$P$14:$P$99,MATCH($E52&amp;$F52,'HIV-Pharmaceuticals'!$E$14:$E$99&amp;'HIV-Pharmaceuticals'!$I$14:$I$99,0)),0)</f>
        <v>0</v>
      </c>
      <c r="O52" s="652">
        <f t="shared" si="3"/>
        <v>0</v>
      </c>
      <c r="P52" s="652">
        <f t="shared" si="4"/>
        <v>0</v>
      </c>
      <c r="Q52" s="652">
        <f t="shared" si="5"/>
        <v>0</v>
      </c>
      <c r="R52" s="651">
        <f t="array" ref="R52">IFERROR(INDEX('HIV-Pharmaceuticals'!$Q$14:$Q$99,MATCH($E52&amp;$F52,'HIV-Pharmaceuticals'!$E$14:$E$99&amp;'HIV-Pharmaceuticals'!$I$14:$I$99,0)),0)</f>
        <v>0</v>
      </c>
      <c r="S52" s="652">
        <f t="shared" si="6"/>
        <v>0</v>
      </c>
      <c r="T52" s="652">
        <f t="shared" si="7"/>
        <v>0</v>
      </c>
      <c r="U52" s="652">
        <f t="shared" si="8"/>
        <v>0</v>
      </c>
      <c r="V52" s="651">
        <f t="array" ref="V52">IFERROR(INDEX('HIV-Pharmaceuticals'!$R$14:$R$99,MATCH($E52&amp;$F52,'HIV-Pharmaceuticals'!$E$14:$E$99&amp;'HIV-Pharmaceuticals'!$I$14:$I$99,0)),0)</f>
        <v>0</v>
      </c>
      <c r="W52" s="652">
        <f t="shared" si="9"/>
        <v>0</v>
      </c>
      <c r="X52" s="652">
        <f t="shared" si="10"/>
        <v>0</v>
      </c>
      <c r="Y52" s="652">
        <f t="shared" si="11"/>
        <v>0</v>
      </c>
      <c r="Z52" s="653"/>
      <c r="AA52" s="651">
        <f t="array" ref="AA52">IFERROR(INDEX('HIV-Pharmaceuticals'!$U$14:$U$99,MATCH($E52&amp;$F52,'HIV-Pharmaceuticals'!$E$14:$E$99&amp;'HIV-Pharmaceuticals'!$I$14:$I$99,0)),0)</f>
        <v>0</v>
      </c>
      <c r="AB52" s="651">
        <f t="array" ref="AB52">IFERROR(INDEX('HIV-Pharmaceuticals'!$V$14:$V$99,MATCH($E52&amp;$F52,'HIV-Pharmaceuticals'!$E$14:$E$99&amp;'HIV-Pharmaceuticals'!$I$14:$I$99,0)),0)</f>
        <v>0</v>
      </c>
      <c r="AC52" s="652">
        <f t="shared" si="12"/>
        <v>0</v>
      </c>
      <c r="AD52" s="652">
        <f t="shared" si="13"/>
        <v>0</v>
      </c>
      <c r="AE52" s="652">
        <f t="shared" si="14"/>
        <v>0</v>
      </c>
      <c r="AF52" s="651">
        <f t="array" ref="AF52">IFERROR(INDEX('HIV-Pharmaceuticals'!$W$14:$W$99,MATCH($E52&amp;$F52,'HIV-Pharmaceuticals'!$E$14:$E$99&amp;'HIV-Pharmaceuticals'!$I$14:$I$99,0)),0)</f>
        <v>0</v>
      </c>
      <c r="AG52" s="652">
        <f t="shared" si="15"/>
        <v>0</v>
      </c>
      <c r="AH52" s="652">
        <f t="shared" si="16"/>
        <v>0</v>
      </c>
      <c r="AI52" s="652">
        <f t="shared" si="17"/>
        <v>0</v>
      </c>
      <c r="AJ52" s="651">
        <f t="array" ref="AJ52">IFERROR(INDEX('HIV-Pharmaceuticals'!$X$14:$X$99,MATCH($E52&amp;$F52,'HIV-Pharmaceuticals'!$E$14:$E$99&amp;'HIV-Pharmaceuticals'!$I$14:$I$99,0)),0)</f>
        <v>0</v>
      </c>
      <c r="AK52" s="652">
        <f t="shared" si="18"/>
        <v>0</v>
      </c>
      <c r="AL52" s="652">
        <f t="shared" si="19"/>
        <v>0</v>
      </c>
      <c r="AM52" s="652">
        <f t="shared" si="20"/>
        <v>0</v>
      </c>
      <c r="AN52" s="651">
        <f t="array" ref="AN52">IFERROR(INDEX('HIV-Pharmaceuticals'!$Y$14:$Y$99,MATCH($E52&amp;$F52,'HIV-Pharmaceuticals'!$E$14:$E$99&amp;'HIV-Pharmaceuticals'!$I$14:$I$99,0)),0)</f>
        <v>0</v>
      </c>
      <c r="AO52" s="652">
        <f t="shared" si="21"/>
        <v>0</v>
      </c>
      <c r="AP52" s="652">
        <f t="shared" si="22"/>
        <v>0</v>
      </c>
      <c r="AQ52" s="652">
        <f t="shared" si="23"/>
        <v>0</v>
      </c>
      <c r="AR52" s="653"/>
      <c r="AS52" s="651">
        <f t="array" ref="AS52">IFERROR(INDEX('HIV-Pharmaceuticals'!$AB$14:$AB$99,MATCH($E52&amp;$F52,'HIV-Pharmaceuticals'!$E$14:$E$99&amp;'HIV-Pharmaceuticals'!$I$14:$I$99,0)),0)</f>
        <v>0</v>
      </c>
      <c r="AT52" s="651">
        <f t="array" ref="AT52">IFERROR(INDEX('HIV-Pharmaceuticals'!$AC$14:$AC$99,MATCH($E52&amp;$F52,'HIV-Pharmaceuticals'!$E$14:$E$99&amp;'HIV-Pharmaceuticals'!$I$14:$I$99,0)),0)</f>
        <v>0</v>
      </c>
      <c r="AU52" s="652">
        <f t="shared" si="24"/>
        <v>0</v>
      </c>
      <c r="AV52" s="652">
        <f t="shared" si="25"/>
        <v>0</v>
      </c>
      <c r="AW52" s="652">
        <f t="shared" si="26"/>
        <v>0</v>
      </c>
      <c r="AX52" s="651">
        <f t="array" ref="AX52">IFERROR(INDEX('HIV-Pharmaceuticals'!$AD$14:$AD$99,MATCH($E52&amp;$F52,'HIV-Pharmaceuticals'!$E$14:$E$99&amp;'HIV-Pharmaceuticals'!$I$14:$I$99,0)),0)</f>
        <v>0</v>
      </c>
      <c r="AY52" s="652">
        <f t="shared" si="27"/>
        <v>0</v>
      </c>
      <c r="AZ52" s="652">
        <f t="shared" si="28"/>
        <v>0</v>
      </c>
      <c r="BA52" s="652">
        <f t="shared" si="29"/>
        <v>0</v>
      </c>
      <c r="BB52" s="651">
        <f t="array" ref="BB52">IFERROR(INDEX('HIV-Pharmaceuticals'!$AE$14:$AE$99,MATCH($E52&amp;$F52,'HIV-Pharmaceuticals'!$E$14:$E$99&amp;'HIV-Pharmaceuticals'!$I$14:$I$99,0)),0)</f>
        <v>0</v>
      </c>
      <c r="BC52" s="652">
        <f t="shared" si="30"/>
        <v>0</v>
      </c>
      <c r="BD52" s="652">
        <f t="shared" si="31"/>
        <v>0</v>
      </c>
      <c r="BE52" s="652">
        <f t="shared" si="32"/>
        <v>0</v>
      </c>
      <c r="BF52" s="651">
        <f t="array" ref="BF52">IFERROR(INDEX('HIV-Pharmaceuticals'!$AF$14:$AF$99,MATCH($E52&amp;$F52,'HIV-Pharmaceuticals'!$E$14:$E$99&amp;'HIV-Pharmaceuticals'!$I$14:$I$99,0)),0)</f>
        <v>0</v>
      </c>
      <c r="BG52" s="652">
        <f t="shared" si="33"/>
        <v>0</v>
      </c>
      <c r="BH52" s="652">
        <f t="shared" si="34"/>
        <v>0</v>
      </c>
      <c r="BI52" s="652">
        <f t="shared" si="35"/>
        <v>0</v>
      </c>
      <c r="BK52" s="654"/>
      <c r="BL52" s="654"/>
      <c r="BM52" s="654"/>
      <c r="BN52" s="654"/>
      <c r="BO52" s="654"/>
      <c r="BP52" s="654"/>
      <c r="BQ52" s="654"/>
      <c r="BR52" s="654"/>
    </row>
    <row r="53" spans="1:70" s="646" customFormat="1">
      <c r="A53" s="647" t="s">
        <v>561</v>
      </c>
      <c r="B53" s="647" t="s">
        <v>819</v>
      </c>
      <c r="C53" s="648">
        <f>SETUP!$F$20</f>
        <v>0</v>
      </c>
      <c r="D53" s="649">
        <v>4.0999999999999996</v>
      </c>
      <c r="E53" s="647" t="s">
        <v>119</v>
      </c>
      <c r="F53" s="647" t="s">
        <v>1640</v>
      </c>
      <c r="G53" s="650" t="str">
        <f t="array" ref="G53">IFERROR(INDEX('HIV-Pharmaceuticals'!$L$14:$L$99,MATCH($E53&amp;$F53,'HIV-Pharmaceuticals'!$E$14:$E$99&amp;'HIV-Pharmaceuticals'!$I$14:$I$99,0)),"")</f>
        <v/>
      </c>
      <c r="H53" s="650" t="str">
        <f t="array" ref="H53">IFERROR(INDEX('HIV-Pharmaceuticals'!$M$14:$M$99,MATCH($E53&amp;$F53,'HIV-Pharmaceuticals'!$E$14:$E$99&amp;'HIV-Pharmaceuticals'!$I$14:$I$99,0)),"")</f>
        <v/>
      </c>
      <c r="I53" s="651">
        <f t="array" ref="I53">IFERROR(INDEX('HIV-Pharmaceuticals'!$N$14:$N$99,MATCH($E53&amp;$F53,'HIV-Pharmaceuticals'!$E$14:$E$99&amp;'HIV-Pharmaceuticals'!$I$14:$I$99,0)),0)</f>
        <v>0</v>
      </c>
      <c r="J53" s="651">
        <f t="array" ref="J53">IFERROR(INDEX('HIV-Pharmaceuticals'!$O$14:$O$99,MATCH($E53&amp;$F53,'HIV-Pharmaceuticals'!$E$14:$E$99&amp;'HIV-Pharmaceuticals'!$I$14:$I$99,0)),0)</f>
        <v>0</v>
      </c>
      <c r="K53" s="652">
        <f t="shared" si="0"/>
        <v>0</v>
      </c>
      <c r="L53" s="652">
        <f t="shared" si="1"/>
        <v>0</v>
      </c>
      <c r="M53" s="652">
        <f t="shared" si="2"/>
        <v>0</v>
      </c>
      <c r="N53" s="651">
        <f t="array" ref="N53">IFERROR(INDEX('HIV-Pharmaceuticals'!$P$14:$P$99,MATCH($E53&amp;$F53,'HIV-Pharmaceuticals'!$E$14:$E$99&amp;'HIV-Pharmaceuticals'!$I$14:$I$99,0)),0)</f>
        <v>0</v>
      </c>
      <c r="O53" s="652">
        <f t="shared" si="3"/>
        <v>0</v>
      </c>
      <c r="P53" s="652">
        <f t="shared" si="4"/>
        <v>0</v>
      </c>
      <c r="Q53" s="652">
        <f t="shared" si="5"/>
        <v>0</v>
      </c>
      <c r="R53" s="651">
        <f t="array" ref="R53">IFERROR(INDEX('HIV-Pharmaceuticals'!$Q$14:$Q$99,MATCH($E53&amp;$F53,'HIV-Pharmaceuticals'!$E$14:$E$99&amp;'HIV-Pharmaceuticals'!$I$14:$I$99,0)),0)</f>
        <v>0</v>
      </c>
      <c r="S53" s="652">
        <f t="shared" si="6"/>
        <v>0</v>
      </c>
      <c r="T53" s="652">
        <f t="shared" si="7"/>
        <v>0</v>
      </c>
      <c r="U53" s="652">
        <f t="shared" si="8"/>
        <v>0</v>
      </c>
      <c r="V53" s="651">
        <f t="array" ref="V53">IFERROR(INDEX('HIV-Pharmaceuticals'!$R$14:$R$99,MATCH($E53&amp;$F53,'HIV-Pharmaceuticals'!$E$14:$E$99&amp;'HIV-Pharmaceuticals'!$I$14:$I$99,0)),0)</f>
        <v>0</v>
      </c>
      <c r="W53" s="652">
        <f t="shared" si="9"/>
        <v>0</v>
      </c>
      <c r="X53" s="652">
        <f t="shared" si="10"/>
        <v>0</v>
      </c>
      <c r="Y53" s="652">
        <f t="shared" si="11"/>
        <v>0</v>
      </c>
      <c r="Z53" s="653"/>
      <c r="AA53" s="651">
        <f t="array" ref="AA53">IFERROR(INDEX('HIV-Pharmaceuticals'!$U$14:$U$99,MATCH($E53&amp;$F53,'HIV-Pharmaceuticals'!$E$14:$E$99&amp;'HIV-Pharmaceuticals'!$I$14:$I$99,0)),0)</f>
        <v>0</v>
      </c>
      <c r="AB53" s="651">
        <f t="array" ref="AB53">IFERROR(INDEX('HIV-Pharmaceuticals'!$V$14:$V$99,MATCH($E53&amp;$F53,'HIV-Pharmaceuticals'!$E$14:$E$99&amp;'HIV-Pharmaceuticals'!$I$14:$I$99,0)),0)</f>
        <v>0</v>
      </c>
      <c r="AC53" s="652">
        <f t="shared" si="12"/>
        <v>0</v>
      </c>
      <c r="AD53" s="652">
        <f t="shared" si="13"/>
        <v>0</v>
      </c>
      <c r="AE53" s="652">
        <f t="shared" si="14"/>
        <v>0</v>
      </c>
      <c r="AF53" s="651">
        <f t="array" ref="AF53">IFERROR(INDEX('HIV-Pharmaceuticals'!$W$14:$W$99,MATCH($E53&amp;$F53,'HIV-Pharmaceuticals'!$E$14:$E$99&amp;'HIV-Pharmaceuticals'!$I$14:$I$99,0)),0)</f>
        <v>0</v>
      </c>
      <c r="AG53" s="652">
        <f t="shared" si="15"/>
        <v>0</v>
      </c>
      <c r="AH53" s="652">
        <f t="shared" si="16"/>
        <v>0</v>
      </c>
      <c r="AI53" s="652">
        <f t="shared" si="17"/>
        <v>0</v>
      </c>
      <c r="AJ53" s="651">
        <f t="array" ref="AJ53">IFERROR(INDEX('HIV-Pharmaceuticals'!$X$14:$X$99,MATCH($E53&amp;$F53,'HIV-Pharmaceuticals'!$E$14:$E$99&amp;'HIV-Pharmaceuticals'!$I$14:$I$99,0)),0)</f>
        <v>0</v>
      </c>
      <c r="AK53" s="652">
        <f t="shared" si="18"/>
        <v>0</v>
      </c>
      <c r="AL53" s="652">
        <f t="shared" si="19"/>
        <v>0</v>
      </c>
      <c r="AM53" s="652">
        <f t="shared" si="20"/>
        <v>0</v>
      </c>
      <c r="AN53" s="651">
        <f t="array" ref="AN53">IFERROR(INDEX('HIV-Pharmaceuticals'!$Y$14:$Y$99,MATCH($E53&amp;$F53,'HIV-Pharmaceuticals'!$E$14:$E$99&amp;'HIV-Pharmaceuticals'!$I$14:$I$99,0)),0)</f>
        <v>0</v>
      </c>
      <c r="AO53" s="652">
        <f t="shared" si="21"/>
        <v>0</v>
      </c>
      <c r="AP53" s="652">
        <f t="shared" si="22"/>
        <v>0</v>
      </c>
      <c r="AQ53" s="652">
        <f t="shared" si="23"/>
        <v>0</v>
      </c>
      <c r="AR53" s="653"/>
      <c r="AS53" s="651">
        <f t="array" ref="AS53">IFERROR(INDEX('HIV-Pharmaceuticals'!$AB$14:$AB$99,MATCH($E53&amp;$F53,'HIV-Pharmaceuticals'!$E$14:$E$99&amp;'HIV-Pharmaceuticals'!$I$14:$I$99,0)),0)</f>
        <v>0</v>
      </c>
      <c r="AT53" s="651">
        <f t="array" ref="AT53">IFERROR(INDEX('HIV-Pharmaceuticals'!$AC$14:$AC$99,MATCH($E53&amp;$F53,'HIV-Pharmaceuticals'!$E$14:$E$99&amp;'HIV-Pharmaceuticals'!$I$14:$I$99,0)),0)</f>
        <v>0</v>
      </c>
      <c r="AU53" s="652">
        <f t="shared" si="24"/>
        <v>0</v>
      </c>
      <c r="AV53" s="652">
        <f t="shared" si="25"/>
        <v>0</v>
      </c>
      <c r="AW53" s="652">
        <f t="shared" si="26"/>
        <v>0</v>
      </c>
      <c r="AX53" s="651">
        <f t="array" ref="AX53">IFERROR(INDEX('HIV-Pharmaceuticals'!$AD$14:$AD$99,MATCH($E53&amp;$F53,'HIV-Pharmaceuticals'!$E$14:$E$99&amp;'HIV-Pharmaceuticals'!$I$14:$I$99,0)),0)</f>
        <v>0</v>
      </c>
      <c r="AY53" s="652">
        <f t="shared" si="27"/>
        <v>0</v>
      </c>
      <c r="AZ53" s="652">
        <f t="shared" si="28"/>
        <v>0</v>
      </c>
      <c r="BA53" s="652">
        <f t="shared" si="29"/>
        <v>0</v>
      </c>
      <c r="BB53" s="651">
        <f t="array" ref="BB53">IFERROR(INDEX('HIV-Pharmaceuticals'!$AE$14:$AE$99,MATCH($E53&amp;$F53,'HIV-Pharmaceuticals'!$E$14:$E$99&amp;'HIV-Pharmaceuticals'!$I$14:$I$99,0)),0)</f>
        <v>0</v>
      </c>
      <c r="BC53" s="652">
        <f t="shared" si="30"/>
        <v>0</v>
      </c>
      <c r="BD53" s="652">
        <f t="shared" si="31"/>
        <v>0</v>
      </c>
      <c r="BE53" s="652">
        <f t="shared" si="32"/>
        <v>0</v>
      </c>
      <c r="BF53" s="651">
        <f t="array" ref="BF53">IFERROR(INDEX('HIV-Pharmaceuticals'!$AF$14:$AF$99,MATCH($E53&amp;$F53,'HIV-Pharmaceuticals'!$E$14:$E$99&amp;'HIV-Pharmaceuticals'!$I$14:$I$99,0)),0)</f>
        <v>0</v>
      </c>
      <c r="BG53" s="652">
        <f t="shared" si="33"/>
        <v>0</v>
      </c>
      <c r="BH53" s="652">
        <f t="shared" si="34"/>
        <v>0</v>
      </c>
      <c r="BI53" s="652">
        <f t="shared" si="35"/>
        <v>0</v>
      </c>
      <c r="BK53" s="654"/>
      <c r="BL53" s="654"/>
      <c r="BM53" s="654"/>
      <c r="BN53" s="654"/>
      <c r="BO53" s="654"/>
      <c r="BP53" s="654"/>
      <c r="BQ53" s="654"/>
      <c r="BR53" s="654"/>
    </row>
    <row r="54" spans="1:70" s="646" customFormat="1">
      <c r="A54" s="647" t="s">
        <v>561</v>
      </c>
      <c r="B54" s="647" t="s">
        <v>819</v>
      </c>
      <c r="C54" s="648">
        <f>SETUP!$F$20</f>
        <v>0</v>
      </c>
      <c r="D54" s="649">
        <v>4.0999999999999996</v>
      </c>
      <c r="E54" s="647" t="s">
        <v>119</v>
      </c>
      <c r="F54" s="647" t="s">
        <v>1641</v>
      </c>
      <c r="G54" s="650" t="str">
        <f t="array" ref="G54">IFERROR(INDEX('HIV-Pharmaceuticals'!$L$14:$L$99,MATCH($E54&amp;$F54,'HIV-Pharmaceuticals'!$E$14:$E$99&amp;'HIV-Pharmaceuticals'!$I$14:$I$99,0)),"")</f>
        <v/>
      </c>
      <c r="H54" s="650" t="str">
        <f t="array" ref="H54">IFERROR(INDEX('HIV-Pharmaceuticals'!$M$14:$M$99,MATCH($E54&amp;$F54,'HIV-Pharmaceuticals'!$E$14:$E$99&amp;'HIV-Pharmaceuticals'!$I$14:$I$99,0)),"")</f>
        <v/>
      </c>
      <c r="I54" s="651">
        <f t="array" ref="I54">IFERROR(INDEX('HIV-Pharmaceuticals'!$N$14:$N$99,MATCH($E54&amp;$F54,'HIV-Pharmaceuticals'!$E$14:$E$99&amp;'HIV-Pharmaceuticals'!$I$14:$I$99,0)),0)</f>
        <v>0</v>
      </c>
      <c r="J54" s="651">
        <f t="array" ref="J54">IFERROR(INDEX('HIV-Pharmaceuticals'!$O$14:$O$99,MATCH($E54&amp;$F54,'HIV-Pharmaceuticals'!$E$14:$E$99&amp;'HIV-Pharmaceuticals'!$I$14:$I$99,0)),0)</f>
        <v>0</v>
      </c>
      <c r="K54" s="652">
        <f t="shared" si="0"/>
        <v>0</v>
      </c>
      <c r="L54" s="652">
        <f t="shared" si="1"/>
        <v>0</v>
      </c>
      <c r="M54" s="652">
        <f t="shared" si="2"/>
        <v>0</v>
      </c>
      <c r="N54" s="651">
        <f t="array" ref="N54">IFERROR(INDEX('HIV-Pharmaceuticals'!$P$14:$P$99,MATCH($E54&amp;$F54,'HIV-Pharmaceuticals'!$E$14:$E$99&amp;'HIV-Pharmaceuticals'!$I$14:$I$99,0)),0)</f>
        <v>0</v>
      </c>
      <c r="O54" s="652">
        <f t="shared" si="3"/>
        <v>0</v>
      </c>
      <c r="P54" s="652">
        <f t="shared" si="4"/>
        <v>0</v>
      </c>
      <c r="Q54" s="652">
        <f t="shared" si="5"/>
        <v>0</v>
      </c>
      <c r="R54" s="651">
        <f t="array" ref="R54">IFERROR(INDEX('HIV-Pharmaceuticals'!$Q$14:$Q$99,MATCH($E54&amp;$F54,'HIV-Pharmaceuticals'!$E$14:$E$99&amp;'HIV-Pharmaceuticals'!$I$14:$I$99,0)),0)</f>
        <v>0</v>
      </c>
      <c r="S54" s="652">
        <f t="shared" si="6"/>
        <v>0</v>
      </c>
      <c r="T54" s="652">
        <f t="shared" si="7"/>
        <v>0</v>
      </c>
      <c r="U54" s="652">
        <f t="shared" si="8"/>
        <v>0</v>
      </c>
      <c r="V54" s="651">
        <f t="array" ref="V54">IFERROR(INDEX('HIV-Pharmaceuticals'!$R$14:$R$99,MATCH($E54&amp;$F54,'HIV-Pharmaceuticals'!$E$14:$E$99&amp;'HIV-Pharmaceuticals'!$I$14:$I$99,0)),0)</f>
        <v>0</v>
      </c>
      <c r="W54" s="652">
        <f t="shared" si="9"/>
        <v>0</v>
      </c>
      <c r="X54" s="652">
        <f t="shared" si="10"/>
        <v>0</v>
      </c>
      <c r="Y54" s="652">
        <f t="shared" si="11"/>
        <v>0</v>
      </c>
      <c r="Z54" s="653"/>
      <c r="AA54" s="651">
        <f t="array" ref="AA54">IFERROR(INDEX('HIV-Pharmaceuticals'!$U$14:$U$99,MATCH($E54&amp;$F54,'HIV-Pharmaceuticals'!$E$14:$E$99&amp;'HIV-Pharmaceuticals'!$I$14:$I$99,0)),0)</f>
        <v>0</v>
      </c>
      <c r="AB54" s="651">
        <f t="array" ref="AB54">IFERROR(INDEX('HIV-Pharmaceuticals'!$V$14:$V$99,MATCH($E54&amp;$F54,'HIV-Pharmaceuticals'!$E$14:$E$99&amp;'HIV-Pharmaceuticals'!$I$14:$I$99,0)),0)</f>
        <v>0</v>
      </c>
      <c r="AC54" s="652">
        <f t="shared" si="12"/>
        <v>0</v>
      </c>
      <c r="AD54" s="652">
        <f t="shared" si="13"/>
        <v>0</v>
      </c>
      <c r="AE54" s="652">
        <f t="shared" si="14"/>
        <v>0</v>
      </c>
      <c r="AF54" s="651">
        <f t="array" ref="AF54">IFERROR(INDEX('HIV-Pharmaceuticals'!$W$14:$W$99,MATCH($E54&amp;$F54,'HIV-Pharmaceuticals'!$E$14:$E$99&amp;'HIV-Pharmaceuticals'!$I$14:$I$99,0)),0)</f>
        <v>0</v>
      </c>
      <c r="AG54" s="652">
        <f t="shared" si="15"/>
        <v>0</v>
      </c>
      <c r="AH54" s="652">
        <f t="shared" si="16"/>
        <v>0</v>
      </c>
      <c r="AI54" s="652">
        <f t="shared" si="17"/>
        <v>0</v>
      </c>
      <c r="AJ54" s="651">
        <f t="array" ref="AJ54">IFERROR(INDEX('HIV-Pharmaceuticals'!$X$14:$X$99,MATCH($E54&amp;$F54,'HIV-Pharmaceuticals'!$E$14:$E$99&amp;'HIV-Pharmaceuticals'!$I$14:$I$99,0)),0)</f>
        <v>0</v>
      </c>
      <c r="AK54" s="652">
        <f t="shared" si="18"/>
        <v>0</v>
      </c>
      <c r="AL54" s="652">
        <f t="shared" si="19"/>
        <v>0</v>
      </c>
      <c r="AM54" s="652">
        <f t="shared" si="20"/>
        <v>0</v>
      </c>
      <c r="AN54" s="651">
        <f t="array" ref="AN54">IFERROR(INDEX('HIV-Pharmaceuticals'!$Y$14:$Y$99,MATCH($E54&amp;$F54,'HIV-Pharmaceuticals'!$E$14:$E$99&amp;'HIV-Pharmaceuticals'!$I$14:$I$99,0)),0)</f>
        <v>0</v>
      </c>
      <c r="AO54" s="652">
        <f t="shared" si="21"/>
        <v>0</v>
      </c>
      <c r="AP54" s="652">
        <f t="shared" si="22"/>
        <v>0</v>
      </c>
      <c r="AQ54" s="652">
        <f t="shared" si="23"/>
        <v>0</v>
      </c>
      <c r="AR54" s="653"/>
      <c r="AS54" s="651">
        <f t="array" ref="AS54">IFERROR(INDEX('HIV-Pharmaceuticals'!$AB$14:$AB$99,MATCH($E54&amp;$F54,'HIV-Pharmaceuticals'!$E$14:$E$99&amp;'HIV-Pharmaceuticals'!$I$14:$I$99,0)),0)</f>
        <v>0</v>
      </c>
      <c r="AT54" s="651">
        <f t="array" ref="AT54">IFERROR(INDEX('HIV-Pharmaceuticals'!$AC$14:$AC$99,MATCH($E54&amp;$F54,'HIV-Pharmaceuticals'!$E$14:$E$99&amp;'HIV-Pharmaceuticals'!$I$14:$I$99,0)),0)</f>
        <v>0</v>
      </c>
      <c r="AU54" s="652">
        <f t="shared" si="24"/>
        <v>0</v>
      </c>
      <c r="AV54" s="652">
        <f t="shared" si="25"/>
        <v>0</v>
      </c>
      <c r="AW54" s="652">
        <f t="shared" si="26"/>
        <v>0</v>
      </c>
      <c r="AX54" s="651">
        <f t="array" ref="AX54">IFERROR(INDEX('HIV-Pharmaceuticals'!$AD$14:$AD$99,MATCH($E54&amp;$F54,'HIV-Pharmaceuticals'!$E$14:$E$99&amp;'HIV-Pharmaceuticals'!$I$14:$I$99,0)),0)</f>
        <v>0</v>
      </c>
      <c r="AY54" s="652">
        <f t="shared" si="27"/>
        <v>0</v>
      </c>
      <c r="AZ54" s="652">
        <f t="shared" si="28"/>
        <v>0</v>
      </c>
      <c r="BA54" s="652">
        <f t="shared" si="29"/>
        <v>0</v>
      </c>
      <c r="BB54" s="651">
        <f t="array" ref="BB54">IFERROR(INDEX('HIV-Pharmaceuticals'!$AE$14:$AE$99,MATCH($E54&amp;$F54,'HIV-Pharmaceuticals'!$E$14:$E$99&amp;'HIV-Pharmaceuticals'!$I$14:$I$99,0)),0)</f>
        <v>0</v>
      </c>
      <c r="BC54" s="652">
        <f t="shared" si="30"/>
        <v>0</v>
      </c>
      <c r="BD54" s="652">
        <f t="shared" si="31"/>
        <v>0</v>
      </c>
      <c r="BE54" s="652">
        <f t="shared" si="32"/>
        <v>0</v>
      </c>
      <c r="BF54" s="651">
        <f t="array" ref="BF54">IFERROR(INDEX('HIV-Pharmaceuticals'!$AF$14:$AF$99,MATCH($E54&amp;$F54,'HIV-Pharmaceuticals'!$E$14:$E$99&amp;'HIV-Pharmaceuticals'!$I$14:$I$99,0)),0)</f>
        <v>0</v>
      </c>
      <c r="BG54" s="652">
        <f t="shared" si="33"/>
        <v>0</v>
      </c>
      <c r="BH54" s="652">
        <f t="shared" si="34"/>
        <v>0</v>
      </c>
      <c r="BI54" s="652">
        <f t="shared" si="35"/>
        <v>0</v>
      </c>
      <c r="BK54" s="654"/>
      <c r="BL54" s="654"/>
      <c r="BM54" s="654"/>
      <c r="BN54" s="654"/>
      <c r="BO54" s="654"/>
      <c r="BP54" s="654"/>
      <c r="BQ54" s="654"/>
      <c r="BR54" s="654"/>
    </row>
    <row r="55" spans="1:70" s="646" customFormat="1">
      <c r="A55" s="647" t="s">
        <v>561</v>
      </c>
      <c r="B55" s="647" t="s">
        <v>819</v>
      </c>
      <c r="C55" s="648">
        <f>SETUP!$F$20</f>
        <v>0</v>
      </c>
      <c r="D55" s="649">
        <v>4.0999999999999996</v>
      </c>
      <c r="E55" s="647" t="s">
        <v>119</v>
      </c>
      <c r="F55" s="647" t="s">
        <v>1642</v>
      </c>
      <c r="G55" s="650" t="str">
        <f t="array" ref="G55">IFERROR(INDEX('HIV-Pharmaceuticals'!$L$14:$L$99,MATCH($E55&amp;$F55,'HIV-Pharmaceuticals'!$E$14:$E$99&amp;'HIV-Pharmaceuticals'!$I$14:$I$99,0)),"")</f>
        <v/>
      </c>
      <c r="H55" s="650" t="str">
        <f t="array" ref="H55">IFERROR(INDEX('HIV-Pharmaceuticals'!$M$14:$M$99,MATCH($E55&amp;$F55,'HIV-Pharmaceuticals'!$E$14:$E$99&amp;'HIV-Pharmaceuticals'!$I$14:$I$99,0)),"")</f>
        <v/>
      </c>
      <c r="I55" s="651">
        <f t="array" ref="I55">IFERROR(INDEX('HIV-Pharmaceuticals'!$N$14:$N$99,MATCH($E55&amp;$F55,'HIV-Pharmaceuticals'!$E$14:$E$99&amp;'HIV-Pharmaceuticals'!$I$14:$I$99,0)),0)</f>
        <v>0</v>
      </c>
      <c r="J55" s="651">
        <f t="array" ref="J55">IFERROR(INDEX('HIV-Pharmaceuticals'!$O$14:$O$99,MATCH($E55&amp;$F55,'HIV-Pharmaceuticals'!$E$14:$E$99&amp;'HIV-Pharmaceuticals'!$I$14:$I$99,0)),0)</f>
        <v>0</v>
      </c>
      <c r="K55" s="652">
        <f t="shared" si="0"/>
        <v>0</v>
      </c>
      <c r="L55" s="652">
        <f t="shared" si="1"/>
        <v>0</v>
      </c>
      <c r="M55" s="652">
        <f t="shared" si="2"/>
        <v>0</v>
      </c>
      <c r="N55" s="651">
        <f t="array" ref="N55">IFERROR(INDEX('HIV-Pharmaceuticals'!$P$14:$P$99,MATCH($E55&amp;$F55,'HIV-Pharmaceuticals'!$E$14:$E$99&amp;'HIV-Pharmaceuticals'!$I$14:$I$99,0)),0)</f>
        <v>0</v>
      </c>
      <c r="O55" s="652">
        <f t="shared" si="3"/>
        <v>0</v>
      </c>
      <c r="P55" s="652">
        <f t="shared" si="4"/>
        <v>0</v>
      </c>
      <c r="Q55" s="652">
        <f t="shared" si="5"/>
        <v>0</v>
      </c>
      <c r="R55" s="651">
        <f t="array" ref="R55">IFERROR(INDEX('HIV-Pharmaceuticals'!$Q$14:$Q$99,MATCH($E55&amp;$F55,'HIV-Pharmaceuticals'!$E$14:$E$99&amp;'HIV-Pharmaceuticals'!$I$14:$I$99,0)),0)</f>
        <v>0</v>
      </c>
      <c r="S55" s="652">
        <f t="shared" si="6"/>
        <v>0</v>
      </c>
      <c r="T55" s="652">
        <f t="shared" si="7"/>
        <v>0</v>
      </c>
      <c r="U55" s="652">
        <f t="shared" si="8"/>
        <v>0</v>
      </c>
      <c r="V55" s="651">
        <f t="array" ref="V55">IFERROR(INDEX('HIV-Pharmaceuticals'!$R$14:$R$99,MATCH($E55&amp;$F55,'HIV-Pharmaceuticals'!$E$14:$E$99&amp;'HIV-Pharmaceuticals'!$I$14:$I$99,0)),0)</f>
        <v>0</v>
      </c>
      <c r="W55" s="652">
        <f t="shared" si="9"/>
        <v>0</v>
      </c>
      <c r="X55" s="652">
        <f t="shared" si="10"/>
        <v>0</v>
      </c>
      <c r="Y55" s="652">
        <f t="shared" si="11"/>
        <v>0</v>
      </c>
      <c r="Z55" s="653"/>
      <c r="AA55" s="651">
        <f t="array" ref="AA55">IFERROR(INDEX('HIV-Pharmaceuticals'!$U$14:$U$99,MATCH($E55&amp;$F55,'HIV-Pharmaceuticals'!$E$14:$E$99&amp;'HIV-Pharmaceuticals'!$I$14:$I$99,0)),0)</f>
        <v>0</v>
      </c>
      <c r="AB55" s="651">
        <f t="array" ref="AB55">IFERROR(INDEX('HIV-Pharmaceuticals'!$V$14:$V$99,MATCH($E55&amp;$F55,'HIV-Pharmaceuticals'!$E$14:$E$99&amp;'HIV-Pharmaceuticals'!$I$14:$I$99,0)),0)</f>
        <v>0</v>
      </c>
      <c r="AC55" s="652">
        <f t="shared" si="12"/>
        <v>0</v>
      </c>
      <c r="AD55" s="652">
        <f t="shared" si="13"/>
        <v>0</v>
      </c>
      <c r="AE55" s="652">
        <f t="shared" si="14"/>
        <v>0</v>
      </c>
      <c r="AF55" s="651">
        <f t="array" ref="AF55">IFERROR(INDEX('HIV-Pharmaceuticals'!$W$14:$W$99,MATCH($E55&amp;$F55,'HIV-Pharmaceuticals'!$E$14:$E$99&amp;'HIV-Pharmaceuticals'!$I$14:$I$99,0)),0)</f>
        <v>0</v>
      </c>
      <c r="AG55" s="652">
        <f t="shared" si="15"/>
        <v>0</v>
      </c>
      <c r="AH55" s="652">
        <f t="shared" si="16"/>
        <v>0</v>
      </c>
      <c r="AI55" s="652">
        <f t="shared" si="17"/>
        <v>0</v>
      </c>
      <c r="AJ55" s="651">
        <f t="array" ref="AJ55">IFERROR(INDEX('HIV-Pharmaceuticals'!$X$14:$X$99,MATCH($E55&amp;$F55,'HIV-Pharmaceuticals'!$E$14:$E$99&amp;'HIV-Pharmaceuticals'!$I$14:$I$99,0)),0)</f>
        <v>0</v>
      </c>
      <c r="AK55" s="652">
        <f t="shared" si="18"/>
        <v>0</v>
      </c>
      <c r="AL55" s="652">
        <f t="shared" si="19"/>
        <v>0</v>
      </c>
      <c r="AM55" s="652">
        <f t="shared" si="20"/>
        <v>0</v>
      </c>
      <c r="AN55" s="651">
        <f t="array" ref="AN55">IFERROR(INDEX('HIV-Pharmaceuticals'!$Y$14:$Y$99,MATCH($E55&amp;$F55,'HIV-Pharmaceuticals'!$E$14:$E$99&amp;'HIV-Pharmaceuticals'!$I$14:$I$99,0)),0)</f>
        <v>0</v>
      </c>
      <c r="AO55" s="652">
        <f t="shared" si="21"/>
        <v>0</v>
      </c>
      <c r="AP55" s="652">
        <f t="shared" si="22"/>
        <v>0</v>
      </c>
      <c r="AQ55" s="652">
        <f t="shared" si="23"/>
        <v>0</v>
      </c>
      <c r="AR55" s="653"/>
      <c r="AS55" s="651">
        <f t="array" ref="AS55">IFERROR(INDEX('HIV-Pharmaceuticals'!$AB$14:$AB$99,MATCH($E55&amp;$F55,'HIV-Pharmaceuticals'!$E$14:$E$99&amp;'HIV-Pharmaceuticals'!$I$14:$I$99,0)),0)</f>
        <v>0</v>
      </c>
      <c r="AT55" s="651">
        <f t="array" ref="AT55">IFERROR(INDEX('HIV-Pharmaceuticals'!$AC$14:$AC$99,MATCH($E55&amp;$F55,'HIV-Pharmaceuticals'!$E$14:$E$99&amp;'HIV-Pharmaceuticals'!$I$14:$I$99,0)),0)</f>
        <v>0</v>
      </c>
      <c r="AU55" s="652">
        <f t="shared" si="24"/>
        <v>0</v>
      </c>
      <c r="AV55" s="652">
        <f t="shared" si="25"/>
        <v>0</v>
      </c>
      <c r="AW55" s="652">
        <f t="shared" si="26"/>
        <v>0</v>
      </c>
      <c r="AX55" s="651">
        <f t="array" ref="AX55">IFERROR(INDEX('HIV-Pharmaceuticals'!$AD$14:$AD$99,MATCH($E55&amp;$F55,'HIV-Pharmaceuticals'!$E$14:$E$99&amp;'HIV-Pharmaceuticals'!$I$14:$I$99,0)),0)</f>
        <v>0</v>
      </c>
      <c r="AY55" s="652">
        <f t="shared" si="27"/>
        <v>0</v>
      </c>
      <c r="AZ55" s="652">
        <f t="shared" si="28"/>
        <v>0</v>
      </c>
      <c r="BA55" s="652">
        <f t="shared" si="29"/>
        <v>0</v>
      </c>
      <c r="BB55" s="651">
        <f t="array" ref="BB55">IFERROR(INDEX('HIV-Pharmaceuticals'!$AE$14:$AE$99,MATCH($E55&amp;$F55,'HIV-Pharmaceuticals'!$E$14:$E$99&amp;'HIV-Pharmaceuticals'!$I$14:$I$99,0)),0)</f>
        <v>0</v>
      </c>
      <c r="BC55" s="652">
        <f t="shared" si="30"/>
        <v>0</v>
      </c>
      <c r="BD55" s="652">
        <f t="shared" si="31"/>
        <v>0</v>
      </c>
      <c r="BE55" s="652">
        <f t="shared" si="32"/>
        <v>0</v>
      </c>
      <c r="BF55" s="651">
        <f t="array" ref="BF55">IFERROR(INDEX('HIV-Pharmaceuticals'!$AF$14:$AF$99,MATCH($E55&amp;$F55,'HIV-Pharmaceuticals'!$E$14:$E$99&amp;'HIV-Pharmaceuticals'!$I$14:$I$99,0)),0)</f>
        <v>0</v>
      </c>
      <c r="BG55" s="652">
        <f t="shared" si="33"/>
        <v>0</v>
      </c>
      <c r="BH55" s="652">
        <f t="shared" si="34"/>
        <v>0</v>
      </c>
      <c r="BI55" s="652">
        <f t="shared" si="35"/>
        <v>0</v>
      </c>
      <c r="BK55" s="654"/>
      <c r="BL55" s="654"/>
      <c r="BM55" s="654"/>
      <c r="BN55" s="654"/>
      <c r="BO55" s="654"/>
      <c r="BP55" s="654"/>
      <c r="BQ55" s="654"/>
      <c r="BR55" s="654"/>
    </row>
    <row r="56" spans="1:70" s="646" customFormat="1">
      <c r="A56" s="647" t="s">
        <v>561</v>
      </c>
      <c r="B56" s="647" t="s">
        <v>819</v>
      </c>
      <c r="C56" s="648">
        <f>SETUP!$F$20</f>
        <v>0</v>
      </c>
      <c r="D56" s="649">
        <v>4.0999999999999996</v>
      </c>
      <c r="E56" s="647" t="s">
        <v>119</v>
      </c>
      <c r="F56" s="647" t="s">
        <v>1643</v>
      </c>
      <c r="G56" s="650" t="str">
        <f t="array" ref="G56">IFERROR(INDEX('HIV-Pharmaceuticals'!$L$14:$L$99,MATCH($E56&amp;$F56,'HIV-Pharmaceuticals'!$E$14:$E$99&amp;'HIV-Pharmaceuticals'!$I$14:$I$99,0)),"")</f>
        <v/>
      </c>
      <c r="H56" s="650" t="str">
        <f t="array" ref="H56">IFERROR(INDEX('HIV-Pharmaceuticals'!$M$14:$M$99,MATCH($E56&amp;$F56,'HIV-Pharmaceuticals'!$E$14:$E$99&amp;'HIV-Pharmaceuticals'!$I$14:$I$99,0)),"")</f>
        <v/>
      </c>
      <c r="I56" s="651">
        <f t="array" ref="I56">IFERROR(INDEX('HIV-Pharmaceuticals'!$N$14:$N$99,MATCH($E56&amp;$F56,'HIV-Pharmaceuticals'!$E$14:$E$99&amp;'HIV-Pharmaceuticals'!$I$14:$I$99,0)),0)</f>
        <v>0</v>
      </c>
      <c r="J56" s="651">
        <f t="array" ref="J56">IFERROR(INDEX('HIV-Pharmaceuticals'!$O$14:$O$99,MATCH($E56&amp;$F56,'HIV-Pharmaceuticals'!$E$14:$E$99&amp;'HIV-Pharmaceuticals'!$I$14:$I$99,0)),0)</f>
        <v>0</v>
      </c>
      <c r="K56" s="652">
        <f t="shared" si="0"/>
        <v>0</v>
      </c>
      <c r="L56" s="652">
        <f t="shared" si="1"/>
        <v>0</v>
      </c>
      <c r="M56" s="652">
        <f t="shared" si="2"/>
        <v>0</v>
      </c>
      <c r="N56" s="651">
        <f t="array" ref="N56">IFERROR(INDEX('HIV-Pharmaceuticals'!$P$14:$P$99,MATCH($E56&amp;$F56,'HIV-Pharmaceuticals'!$E$14:$E$99&amp;'HIV-Pharmaceuticals'!$I$14:$I$99,0)),0)</f>
        <v>0</v>
      </c>
      <c r="O56" s="652">
        <f t="shared" si="3"/>
        <v>0</v>
      </c>
      <c r="P56" s="652">
        <f t="shared" si="4"/>
        <v>0</v>
      </c>
      <c r="Q56" s="652">
        <f t="shared" si="5"/>
        <v>0</v>
      </c>
      <c r="R56" s="651">
        <f t="array" ref="R56">IFERROR(INDEX('HIV-Pharmaceuticals'!$Q$14:$Q$99,MATCH($E56&amp;$F56,'HIV-Pharmaceuticals'!$E$14:$E$99&amp;'HIV-Pharmaceuticals'!$I$14:$I$99,0)),0)</f>
        <v>0</v>
      </c>
      <c r="S56" s="652">
        <f t="shared" si="6"/>
        <v>0</v>
      </c>
      <c r="T56" s="652">
        <f t="shared" si="7"/>
        <v>0</v>
      </c>
      <c r="U56" s="652">
        <f t="shared" si="8"/>
        <v>0</v>
      </c>
      <c r="V56" s="651">
        <f t="array" ref="V56">IFERROR(INDEX('HIV-Pharmaceuticals'!$R$14:$R$99,MATCH($E56&amp;$F56,'HIV-Pharmaceuticals'!$E$14:$E$99&amp;'HIV-Pharmaceuticals'!$I$14:$I$99,0)),0)</f>
        <v>0</v>
      </c>
      <c r="W56" s="652">
        <f t="shared" si="9"/>
        <v>0</v>
      </c>
      <c r="X56" s="652">
        <f t="shared" si="10"/>
        <v>0</v>
      </c>
      <c r="Y56" s="652">
        <f t="shared" si="11"/>
        <v>0</v>
      </c>
      <c r="Z56" s="653"/>
      <c r="AA56" s="651">
        <f t="array" ref="AA56">IFERROR(INDEX('HIV-Pharmaceuticals'!$U$14:$U$99,MATCH($E56&amp;$F56,'HIV-Pharmaceuticals'!$E$14:$E$99&amp;'HIV-Pharmaceuticals'!$I$14:$I$99,0)),0)</f>
        <v>0</v>
      </c>
      <c r="AB56" s="651">
        <f t="array" ref="AB56">IFERROR(INDEX('HIV-Pharmaceuticals'!$V$14:$V$99,MATCH($E56&amp;$F56,'HIV-Pharmaceuticals'!$E$14:$E$99&amp;'HIV-Pharmaceuticals'!$I$14:$I$99,0)),0)</f>
        <v>0</v>
      </c>
      <c r="AC56" s="652">
        <f t="shared" si="12"/>
        <v>0</v>
      </c>
      <c r="AD56" s="652">
        <f t="shared" si="13"/>
        <v>0</v>
      </c>
      <c r="AE56" s="652">
        <f t="shared" si="14"/>
        <v>0</v>
      </c>
      <c r="AF56" s="651">
        <f t="array" ref="AF56">IFERROR(INDEX('HIV-Pharmaceuticals'!$W$14:$W$99,MATCH($E56&amp;$F56,'HIV-Pharmaceuticals'!$E$14:$E$99&amp;'HIV-Pharmaceuticals'!$I$14:$I$99,0)),0)</f>
        <v>0</v>
      </c>
      <c r="AG56" s="652">
        <f t="shared" si="15"/>
        <v>0</v>
      </c>
      <c r="AH56" s="652">
        <f t="shared" si="16"/>
        <v>0</v>
      </c>
      <c r="AI56" s="652">
        <f t="shared" si="17"/>
        <v>0</v>
      </c>
      <c r="AJ56" s="651">
        <f t="array" ref="AJ56">IFERROR(INDEX('HIV-Pharmaceuticals'!$X$14:$X$99,MATCH($E56&amp;$F56,'HIV-Pharmaceuticals'!$E$14:$E$99&amp;'HIV-Pharmaceuticals'!$I$14:$I$99,0)),0)</f>
        <v>0</v>
      </c>
      <c r="AK56" s="652">
        <f t="shared" si="18"/>
        <v>0</v>
      </c>
      <c r="AL56" s="652">
        <f t="shared" si="19"/>
        <v>0</v>
      </c>
      <c r="AM56" s="652">
        <f t="shared" si="20"/>
        <v>0</v>
      </c>
      <c r="AN56" s="651">
        <f t="array" ref="AN56">IFERROR(INDEX('HIV-Pharmaceuticals'!$Y$14:$Y$99,MATCH($E56&amp;$F56,'HIV-Pharmaceuticals'!$E$14:$E$99&amp;'HIV-Pharmaceuticals'!$I$14:$I$99,0)),0)</f>
        <v>0</v>
      </c>
      <c r="AO56" s="652">
        <f t="shared" si="21"/>
        <v>0</v>
      </c>
      <c r="AP56" s="652">
        <f t="shared" si="22"/>
        <v>0</v>
      </c>
      <c r="AQ56" s="652">
        <f t="shared" si="23"/>
        <v>0</v>
      </c>
      <c r="AR56" s="653"/>
      <c r="AS56" s="651">
        <f t="array" ref="AS56">IFERROR(INDEX('HIV-Pharmaceuticals'!$AB$14:$AB$99,MATCH($E56&amp;$F56,'HIV-Pharmaceuticals'!$E$14:$E$99&amp;'HIV-Pharmaceuticals'!$I$14:$I$99,0)),0)</f>
        <v>0</v>
      </c>
      <c r="AT56" s="651">
        <f t="array" ref="AT56">IFERROR(INDEX('HIV-Pharmaceuticals'!$AC$14:$AC$99,MATCH($E56&amp;$F56,'HIV-Pharmaceuticals'!$E$14:$E$99&amp;'HIV-Pharmaceuticals'!$I$14:$I$99,0)),0)</f>
        <v>0</v>
      </c>
      <c r="AU56" s="652">
        <f t="shared" si="24"/>
        <v>0</v>
      </c>
      <c r="AV56" s="652">
        <f t="shared" si="25"/>
        <v>0</v>
      </c>
      <c r="AW56" s="652">
        <f t="shared" si="26"/>
        <v>0</v>
      </c>
      <c r="AX56" s="651">
        <f t="array" ref="AX56">IFERROR(INDEX('HIV-Pharmaceuticals'!$AD$14:$AD$99,MATCH($E56&amp;$F56,'HIV-Pharmaceuticals'!$E$14:$E$99&amp;'HIV-Pharmaceuticals'!$I$14:$I$99,0)),0)</f>
        <v>0</v>
      </c>
      <c r="AY56" s="652">
        <f t="shared" si="27"/>
        <v>0</v>
      </c>
      <c r="AZ56" s="652">
        <f t="shared" si="28"/>
        <v>0</v>
      </c>
      <c r="BA56" s="652">
        <f t="shared" si="29"/>
        <v>0</v>
      </c>
      <c r="BB56" s="651">
        <f t="array" ref="BB56">IFERROR(INDEX('HIV-Pharmaceuticals'!$AE$14:$AE$99,MATCH($E56&amp;$F56,'HIV-Pharmaceuticals'!$E$14:$E$99&amp;'HIV-Pharmaceuticals'!$I$14:$I$99,0)),0)</f>
        <v>0</v>
      </c>
      <c r="BC56" s="652">
        <f t="shared" si="30"/>
        <v>0</v>
      </c>
      <c r="BD56" s="652">
        <f t="shared" si="31"/>
        <v>0</v>
      </c>
      <c r="BE56" s="652">
        <f t="shared" si="32"/>
        <v>0</v>
      </c>
      <c r="BF56" s="651">
        <f t="array" ref="BF56">IFERROR(INDEX('HIV-Pharmaceuticals'!$AF$14:$AF$99,MATCH($E56&amp;$F56,'HIV-Pharmaceuticals'!$E$14:$E$99&amp;'HIV-Pharmaceuticals'!$I$14:$I$99,0)),0)</f>
        <v>0</v>
      </c>
      <c r="BG56" s="652">
        <f t="shared" si="33"/>
        <v>0</v>
      </c>
      <c r="BH56" s="652">
        <f t="shared" si="34"/>
        <v>0</v>
      </c>
      <c r="BI56" s="652">
        <f t="shared" si="35"/>
        <v>0</v>
      </c>
      <c r="BK56" s="654"/>
      <c r="BL56" s="654"/>
      <c r="BM56" s="654"/>
      <c r="BN56" s="654"/>
      <c r="BO56" s="654"/>
      <c r="BP56" s="654"/>
      <c r="BQ56" s="654"/>
      <c r="BR56" s="654"/>
    </row>
    <row r="57" spans="1:70" s="646" customFormat="1">
      <c r="A57" s="647" t="s">
        <v>561</v>
      </c>
      <c r="B57" s="647" t="s">
        <v>819</v>
      </c>
      <c r="C57" s="648">
        <f>SETUP!$F$20</f>
        <v>0</v>
      </c>
      <c r="D57" s="649">
        <v>4.0999999999999996</v>
      </c>
      <c r="E57" s="647" t="s">
        <v>120</v>
      </c>
      <c r="F57" s="647" t="s">
        <v>136</v>
      </c>
      <c r="G57" s="650" t="str">
        <f t="array" ref="G57">IFERROR(INDEX('HIV-Pharmaceuticals'!$L$14:$L$99,MATCH($E57&amp;$F57,'HIV-Pharmaceuticals'!$E$14:$E$99&amp;'HIV-Pharmaceuticals'!$I$14:$I$99,0)),"")</f>
        <v/>
      </c>
      <c r="H57" s="650" t="str">
        <f t="array" ref="H57">IFERROR(INDEX('HIV-Pharmaceuticals'!$M$14:$M$99,MATCH($E57&amp;$F57,'HIV-Pharmaceuticals'!$E$14:$E$99&amp;'HIV-Pharmaceuticals'!$I$14:$I$99,0)),"")</f>
        <v/>
      </c>
      <c r="I57" s="651">
        <f t="array" ref="I57">IFERROR(INDEX('HIV-Pharmaceuticals'!$N$14:$N$99,MATCH($E57&amp;$F57,'HIV-Pharmaceuticals'!$E$14:$E$99&amp;'HIV-Pharmaceuticals'!$I$14:$I$99,0)),0)</f>
        <v>0</v>
      </c>
      <c r="J57" s="651">
        <f t="array" ref="J57">IFERROR(INDEX('HIV-Pharmaceuticals'!$O$14:$O$99,MATCH($E57&amp;$F57,'HIV-Pharmaceuticals'!$E$14:$E$99&amp;'HIV-Pharmaceuticals'!$I$14:$I$99,0)),0)</f>
        <v>0</v>
      </c>
      <c r="K57" s="652">
        <f t="shared" si="0"/>
        <v>0</v>
      </c>
      <c r="L57" s="652">
        <f t="shared" si="1"/>
        <v>0</v>
      </c>
      <c r="M57" s="652">
        <f t="shared" si="2"/>
        <v>0</v>
      </c>
      <c r="N57" s="651">
        <f t="array" ref="N57">IFERROR(INDEX('HIV-Pharmaceuticals'!$P$14:$P$99,MATCH($E57&amp;$F57,'HIV-Pharmaceuticals'!$E$14:$E$99&amp;'HIV-Pharmaceuticals'!$I$14:$I$99,0)),0)</f>
        <v>0</v>
      </c>
      <c r="O57" s="652">
        <f t="shared" si="3"/>
        <v>0</v>
      </c>
      <c r="P57" s="652">
        <f t="shared" si="4"/>
        <v>0</v>
      </c>
      <c r="Q57" s="652">
        <f t="shared" si="5"/>
        <v>0</v>
      </c>
      <c r="R57" s="651">
        <f t="array" ref="R57">IFERROR(INDEX('HIV-Pharmaceuticals'!$Q$14:$Q$99,MATCH($E57&amp;$F57,'HIV-Pharmaceuticals'!$E$14:$E$99&amp;'HIV-Pharmaceuticals'!$I$14:$I$99,0)),0)</f>
        <v>0</v>
      </c>
      <c r="S57" s="652">
        <f t="shared" si="6"/>
        <v>0</v>
      </c>
      <c r="T57" s="652">
        <f t="shared" si="7"/>
        <v>0</v>
      </c>
      <c r="U57" s="652">
        <f t="shared" si="8"/>
        <v>0</v>
      </c>
      <c r="V57" s="651">
        <f t="array" ref="V57">IFERROR(INDEX('HIV-Pharmaceuticals'!$R$14:$R$99,MATCH($E57&amp;$F57,'HIV-Pharmaceuticals'!$E$14:$E$99&amp;'HIV-Pharmaceuticals'!$I$14:$I$99,0)),0)</f>
        <v>0</v>
      </c>
      <c r="W57" s="652">
        <f t="shared" si="9"/>
        <v>0</v>
      </c>
      <c r="X57" s="652">
        <f t="shared" si="10"/>
        <v>0</v>
      </c>
      <c r="Y57" s="652">
        <f t="shared" si="11"/>
        <v>0</v>
      </c>
      <c r="Z57" s="653"/>
      <c r="AA57" s="651">
        <f t="array" ref="AA57">IFERROR(INDEX('HIV-Pharmaceuticals'!$U$14:$U$99,MATCH($E57&amp;$F57,'HIV-Pharmaceuticals'!$E$14:$E$99&amp;'HIV-Pharmaceuticals'!$I$14:$I$99,0)),0)</f>
        <v>0</v>
      </c>
      <c r="AB57" s="651">
        <f t="array" ref="AB57">IFERROR(INDEX('HIV-Pharmaceuticals'!$V$14:$V$99,MATCH($E57&amp;$F57,'HIV-Pharmaceuticals'!$E$14:$E$99&amp;'HIV-Pharmaceuticals'!$I$14:$I$99,0)),0)</f>
        <v>0</v>
      </c>
      <c r="AC57" s="652">
        <f t="shared" si="12"/>
        <v>0</v>
      </c>
      <c r="AD57" s="652">
        <f t="shared" si="13"/>
        <v>0</v>
      </c>
      <c r="AE57" s="652">
        <f t="shared" si="14"/>
        <v>0</v>
      </c>
      <c r="AF57" s="651">
        <f t="array" ref="AF57">IFERROR(INDEX('HIV-Pharmaceuticals'!$W$14:$W$99,MATCH($E57&amp;$F57,'HIV-Pharmaceuticals'!$E$14:$E$99&amp;'HIV-Pharmaceuticals'!$I$14:$I$99,0)),0)</f>
        <v>0</v>
      </c>
      <c r="AG57" s="652">
        <f t="shared" si="15"/>
        <v>0</v>
      </c>
      <c r="AH57" s="652">
        <f t="shared" si="16"/>
        <v>0</v>
      </c>
      <c r="AI57" s="652">
        <f t="shared" si="17"/>
        <v>0</v>
      </c>
      <c r="AJ57" s="651">
        <f t="array" ref="AJ57">IFERROR(INDEX('HIV-Pharmaceuticals'!$X$14:$X$99,MATCH($E57&amp;$F57,'HIV-Pharmaceuticals'!$E$14:$E$99&amp;'HIV-Pharmaceuticals'!$I$14:$I$99,0)),0)</f>
        <v>0</v>
      </c>
      <c r="AK57" s="652">
        <f t="shared" si="18"/>
        <v>0</v>
      </c>
      <c r="AL57" s="652">
        <f t="shared" si="19"/>
        <v>0</v>
      </c>
      <c r="AM57" s="652">
        <f t="shared" si="20"/>
        <v>0</v>
      </c>
      <c r="AN57" s="651">
        <f t="array" ref="AN57">IFERROR(INDEX('HIV-Pharmaceuticals'!$Y$14:$Y$99,MATCH($E57&amp;$F57,'HIV-Pharmaceuticals'!$E$14:$E$99&amp;'HIV-Pharmaceuticals'!$I$14:$I$99,0)),0)</f>
        <v>0</v>
      </c>
      <c r="AO57" s="652">
        <f t="shared" si="21"/>
        <v>0</v>
      </c>
      <c r="AP57" s="652">
        <f t="shared" si="22"/>
        <v>0</v>
      </c>
      <c r="AQ57" s="652">
        <f t="shared" si="23"/>
        <v>0</v>
      </c>
      <c r="AR57" s="653"/>
      <c r="AS57" s="651">
        <f t="array" ref="AS57">IFERROR(INDEX('HIV-Pharmaceuticals'!$AB$14:$AB$99,MATCH($E57&amp;$F57,'HIV-Pharmaceuticals'!$E$14:$E$99&amp;'HIV-Pharmaceuticals'!$I$14:$I$99,0)),0)</f>
        <v>0</v>
      </c>
      <c r="AT57" s="651">
        <f t="array" ref="AT57">IFERROR(INDEX('HIV-Pharmaceuticals'!$AC$14:$AC$99,MATCH($E57&amp;$F57,'HIV-Pharmaceuticals'!$E$14:$E$99&amp;'HIV-Pharmaceuticals'!$I$14:$I$99,0)),0)</f>
        <v>0</v>
      </c>
      <c r="AU57" s="652">
        <f t="shared" si="24"/>
        <v>0</v>
      </c>
      <c r="AV57" s="652">
        <f t="shared" si="25"/>
        <v>0</v>
      </c>
      <c r="AW57" s="652">
        <f t="shared" si="26"/>
        <v>0</v>
      </c>
      <c r="AX57" s="651">
        <f t="array" ref="AX57">IFERROR(INDEX('HIV-Pharmaceuticals'!$AD$14:$AD$99,MATCH($E57&amp;$F57,'HIV-Pharmaceuticals'!$E$14:$E$99&amp;'HIV-Pharmaceuticals'!$I$14:$I$99,0)),0)</f>
        <v>0</v>
      </c>
      <c r="AY57" s="652">
        <f t="shared" si="27"/>
        <v>0</v>
      </c>
      <c r="AZ57" s="652">
        <f t="shared" si="28"/>
        <v>0</v>
      </c>
      <c r="BA57" s="652">
        <f t="shared" si="29"/>
        <v>0</v>
      </c>
      <c r="BB57" s="651">
        <f t="array" ref="BB57">IFERROR(INDEX('HIV-Pharmaceuticals'!$AE$14:$AE$99,MATCH($E57&amp;$F57,'HIV-Pharmaceuticals'!$E$14:$E$99&amp;'HIV-Pharmaceuticals'!$I$14:$I$99,0)),0)</f>
        <v>0</v>
      </c>
      <c r="BC57" s="652">
        <f t="shared" si="30"/>
        <v>0</v>
      </c>
      <c r="BD57" s="652">
        <f t="shared" si="31"/>
        <v>0</v>
      </c>
      <c r="BE57" s="652">
        <f t="shared" si="32"/>
        <v>0</v>
      </c>
      <c r="BF57" s="651">
        <f t="array" ref="BF57">IFERROR(INDEX('HIV-Pharmaceuticals'!$AF$14:$AF$99,MATCH($E57&amp;$F57,'HIV-Pharmaceuticals'!$E$14:$E$99&amp;'HIV-Pharmaceuticals'!$I$14:$I$99,0)),0)</f>
        <v>0</v>
      </c>
      <c r="BG57" s="652">
        <f t="shared" si="33"/>
        <v>0</v>
      </c>
      <c r="BH57" s="652">
        <f t="shared" si="34"/>
        <v>0</v>
      </c>
      <c r="BI57" s="652">
        <f t="shared" si="35"/>
        <v>0</v>
      </c>
      <c r="BK57" s="654"/>
      <c r="BL57" s="654"/>
      <c r="BM57" s="654"/>
      <c r="BN57" s="654"/>
      <c r="BO57" s="654"/>
      <c r="BP57" s="654"/>
      <c r="BQ57" s="654"/>
      <c r="BR57" s="654"/>
    </row>
    <row r="58" spans="1:70" s="646" customFormat="1">
      <c r="A58" s="647" t="s">
        <v>561</v>
      </c>
      <c r="B58" s="647" t="s">
        <v>819</v>
      </c>
      <c r="C58" s="648">
        <f>SETUP!$F$20</f>
        <v>0</v>
      </c>
      <c r="D58" s="649">
        <v>4.0999999999999996</v>
      </c>
      <c r="E58" s="647" t="s">
        <v>120</v>
      </c>
      <c r="F58" s="647" t="s">
        <v>137</v>
      </c>
      <c r="G58" s="650" t="str">
        <f t="array" ref="G58">IFERROR(INDEX('HIV-Pharmaceuticals'!$L$14:$L$99,MATCH($E58&amp;$F58,'HIV-Pharmaceuticals'!$E$14:$E$99&amp;'HIV-Pharmaceuticals'!$I$14:$I$99,0)),"")</f>
        <v/>
      </c>
      <c r="H58" s="650" t="str">
        <f t="array" ref="H58">IFERROR(INDEX('HIV-Pharmaceuticals'!$M$14:$M$99,MATCH($E58&amp;$F58,'HIV-Pharmaceuticals'!$E$14:$E$99&amp;'HIV-Pharmaceuticals'!$I$14:$I$99,0)),"")</f>
        <v/>
      </c>
      <c r="I58" s="651">
        <f t="array" ref="I58">IFERROR(INDEX('HIV-Pharmaceuticals'!$N$14:$N$99,MATCH($E58&amp;$F58,'HIV-Pharmaceuticals'!$E$14:$E$99&amp;'HIV-Pharmaceuticals'!$I$14:$I$99,0)),0)</f>
        <v>0</v>
      </c>
      <c r="J58" s="651">
        <f t="array" ref="J58">IFERROR(INDEX('HIV-Pharmaceuticals'!$O$14:$O$99,MATCH($E58&amp;$F58,'HIV-Pharmaceuticals'!$E$14:$E$99&amp;'HIV-Pharmaceuticals'!$I$14:$I$99,0)),0)</f>
        <v>0</v>
      </c>
      <c r="K58" s="652">
        <f t="shared" si="0"/>
        <v>0</v>
      </c>
      <c r="L58" s="652">
        <f t="shared" si="1"/>
        <v>0</v>
      </c>
      <c r="M58" s="652">
        <f t="shared" si="2"/>
        <v>0</v>
      </c>
      <c r="N58" s="651">
        <f t="array" ref="N58">IFERROR(INDEX('HIV-Pharmaceuticals'!$P$14:$P$99,MATCH($E58&amp;$F58,'HIV-Pharmaceuticals'!$E$14:$E$99&amp;'HIV-Pharmaceuticals'!$I$14:$I$99,0)),0)</f>
        <v>0</v>
      </c>
      <c r="O58" s="652">
        <f t="shared" si="3"/>
        <v>0</v>
      </c>
      <c r="P58" s="652">
        <f t="shared" si="4"/>
        <v>0</v>
      </c>
      <c r="Q58" s="652">
        <f t="shared" si="5"/>
        <v>0</v>
      </c>
      <c r="R58" s="651">
        <f t="array" ref="R58">IFERROR(INDEX('HIV-Pharmaceuticals'!$Q$14:$Q$99,MATCH($E58&amp;$F58,'HIV-Pharmaceuticals'!$E$14:$E$99&amp;'HIV-Pharmaceuticals'!$I$14:$I$99,0)),0)</f>
        <v>0</v>
      </c>
      <c r="S58" s="652">
        <f t="shared" si="6"/>
        <v>0</v>
      </c>
      <c r="T58" s="652">
        <f t="shared" si="7"/>
        <v>0</v>
      </c>
      <c r="U58" s="652">
        <f t="shared" si="8"/>
        <v>0</v>
      </c>
      <c r="V58" s="651">
        <f t="array" ref="V58">IFERROR(INDEX('HIV-Pharmaceuticals'!$R$14:$R$99,MATCH($E58&amp;$F58,'HIV-Pharmaceuticals'!$E$14:$E$99&amp;'HIV-Pharmaceuticals'!$I$14:$I$99,0)),0)</f>
        <v>0</v>
      </c>
      <c r="W58" s="652">
        <f t="shared" si="9"/>
        <v>0</v>
      </c>
      <c r="X58" s="652">
        <f t="shared" si="10"/>
        <v>0</v>
      </c>
      <c r="Y58" s="652">
        <f t="shared" si="11"/>
        <v>0</v>
      </c>
      <c r="Z58" s="653"/>
      <c r="AA58" s="651">
        <f t="array" ref="AA58">IFERROR(INDEX('HIV-Pharmaceuticals'!$U$14:$U$99,MATCH($E58&amp;$F58,'HIV-Pharmaceuticals'!$E$14:$E$99&amp;'HIV-Pharmaceuticals'!$I$14:$I$99,0)),0)</f>
        <v>0</v>
      </c>
      <c r="AB58" s="651">
        <f t="array" ref="AB58">IFERROR(INDEX('HIV-Pharmaceuticals'!$V$14:$V$99,MATCH($E58&amp;$F58,'HIV-Pharmaceuticals'!$E$14:$E$99&amp;'HIV-Pharmaceuticals'!$I$14:$I$99,0)),0)</f>
        <v>0</v>
      </c>
      <c r="AC58" s="652">
        <f t="shared" si="12"/>
        <v>0</v>
      </c>
      <c r="AD58" s="652">
        <f t="shared" si="13"/>
        <v>0</v>
      </c>
      <c r="AE58" s="652">
        <f t="shared" si="14"/>
        <v>0</v>
      </c>
      <c r="AF58" s="651">
        <f t="array" ref="AF58">IFERROR(INDEX('HIV-Pharmaceuticals'!$W$14:$W$99,MATCH($E58&amp;$F58,'HIV-Pharmaceuticals'!$E$14:$E$99&amp;'HIV-Pharmaceuticals'!$I$14:$I$99,0)),0)</f>
        <v>0</v>
      </c>
      <c r="AG58" s="652">
        <f t="shared" si="15"/>
        <v>0</v>
      </c>
      <c r="AH58" s="652">
        <f t="shared" si="16"/>
        <v>0</v>
      </c>
      <c r="AI58" s="652">
        <f t="shared" si="17"/>
        <v>0</v>
      </c>
      <c r="AJ58" s="651">
        <f t="array" ref="AJ58">IFERROR(INDEX('HIV-Pharmaceuticals'!$X$14:$X$99,MATCH($E58&amp;$F58,'HIV-Pharmaceuticals'!$E$14:$E$99&amp;'HIV-Pharmaceuticals'!$I$14:$I$99,0)),0)</f>
        <v>0</v>
      </c>
      <c r="AK58" s="652">
        <f t="shared" si="18"/>
        <v>0</v>
      </c>
      <c r="AL58" s="652">
        <f t="shared" si="19"/>
        <v>0</v>
      </c>
      <c r="AM58" s="652">
        <f t="shared" si="20"/>
        <v>0</v>
      </c>
      <c r="AN58" s="651">
        <f t="array" ref="AN58">IFERROR(INDEX('HIV-Pharmaceuticals'!$Y$14:$Y$99,MATCH($E58&amp;$F58,'HIV-Pharmaceuticals'!$E$14:$E$99&amp;'HIV-Pharmaceuticals'!$I$14:$I$99,0)),0)</f>
        <v>0</v>
      </c>
      <c r="AO58" s="652">
        <f t="shared" si="21"/>
        <v>0</v>
      </c>
      <c r="AP58" s="652">
        <f t="shared" si="22"/>
        <v>0</v>
      </c>
      <c r="AQ58" s="652">
        <f t="shared" si="23"/>
        <v>0</v>
      </c>
      <c r="AR58" s="653"/>
      <c r="AS58" s="651">
        <f t="array" ref="AS58">IFERROR(INDEX('HIV-Pharmaceuticals'!$AB$14:$AB$99,MATCH($E58&amp;$F58,'HIV-Pharmaceuticals'!$E$14:$E$99&amp;'HIV-Pharmaceuticals'!$I$14:$I$99,0)),0)</f>
        <v>0</v>
      </c>
      <c r="AT58" s="651">
        <f t="array" ref="AT58">IFERROR(INDEX('HIV-Pharmaceuticals'!$AC$14:$AC$99,MATCH($E58&amp;$F58,'HIV-Pharmaceuticals'!$E$14:$E$99&amp;'HIV-Pharmaceuticals'!$I$14:$I$99,0)),0)</f>
        <v>0</v>
      </c>
      <c r="AU58" s="652">
        <f t="shared" si="24"/>
        <v>0</v>
      </c>
      <c r="AV58" s="652">
        <f t="shared" si="25"/>
        <v>0</v>
      </c>
      <c r="AW58" s="652">
        <f t="shared" si="26"/>
        <v>0</v>
      </c>
      <c r="AX58" s="651">
        <f t="array" ref="AX58">IFERROR(INDEX('HIV-Pharmaceuticals'!$AD$14:$AD$99,MATCH($E58&amp;$F58,'HIV-Pharmaceuticals'!$E$14:$E$99&amp;'HIV-Pharmaceuticals'!$I$14:$I$99,0)),0)</f>
        <v>0</v>
      </c>
      <c r="AY58" s="652">
        <f t="shared" si="27"/>
        <v>0</v>
      </c>
      <c r="AZ58" s="652">
        <f t="shared" si="28"/>
        <v>0</v>
      </c>
      <c r="BA58" s="652">
        <f t="shared" si="29"/>
        <v>0</v>
      </c>
      <c r="BB58" s="651">
        <f t="array" ref="BB58">IFERROR(INDEX('HIV-Pharmaceuticals'!$AE$14:$AE$99,MATCH($E58&amp;$F58,'HIV-Pharmaceuticals'!$E$14:$E$99&amp;'HIV-Pharmaceuticals'!$I$14:$I$99,0)),0)</f>
        <v>0</v>
      </c>
      <c r="BC58" s="652">
        <f t="shared" si="30"/>
        <v>0</v>
      </c>
      <c r="BD58" s="652">
        <f t="shared" si="31"/>
        <v>0</v>
      </c>
      <c r="BE58" s="652">
        <f t="shared" si="32"/>
        <v>0</v>
      </c>
      <c r="BF58" s="651">
        <f t="array" ref="BF58">IFERROR(INDEX('HIV-Pharmaceuticals'!$AF$14:$AF$99,MATCH($E58&amp;$F58,'HIV-Pharmaceuticals'!$E$14:$E$99&amp;'HIV-Pharmaceuticals'!$I$14:$I$99,0)),0)</f>
        <v>0</v>
      </c>
      <c r="BG58" s="652">
        <f t="shared" si="33"/>
        <v>0</v>
      </c>
      <c r="BH58" s="652">
        <f t="shared" si="34"/>
        <v>0</v>
      </c>
      <c r="BI58" s="652">
        <f t="shared" si="35"/>
        <v>0</v>
      </c>
      <c r="BK58" s="654"/>
      <c r="BL58" s="654"/>
      <c r="BM58" s="654"/>
      <c r="BN58" s="654"/>
      <c r="BO58" s="654"/>
      <c r="BP58" s="654"/>
      <c r="BQ58" s="654"/>
      <c r="BR58" s="654"/>
    </row>
    <row r="59" spans="1:70" s="646" customFormat="1">
      <c r="A59" s="647" t="s">
        <v>561</v>
      </c>
      <c r="B59" s="647" t="s">
        <v>819</v>
      </c>
      <c r="C59" s="648">
        <f>SETUP!$F$20</f>
        <v>0</v>
      </c>
      <c r="D59" s="649">
        <v>4.0999999999999996</v>
      </c>
      <c r="E59" s="647" t="s">
        <v>121</v>
      </c>
      <c r="F59" s="647" t="s">
        <v>1644</v>
      </c>
      <c r="G59" s="650" t="str">
        <f t="array" ref="G59">IFERROR(INDEX('HIV-Pharmaceuticals'!$L$14:$L$99,MATCH($E59&amp;$F59,'HIV-Pharmaceuticals'!$E$14:$E$99&amp;'HIV-Pharmaceuticals'!$I$14:$I$99,0)),"")</f>
        <v/>
      </c>
      <c r="H59" s="650" t="str">
        <f t="array" ref="H59">IFERROR(INDEX('HIV-Pharmaceuticals'!$M$14:$M$99,MATCH($E59&amp;$F59,'HIV-Pharmaceuticals'!$E$14:$E$99&amp;'HIV-Pharmaceuticals'!$I$14:$I$99,0)),"")</f>
        <v/>
      </c>
      <c r="I59" s="651">
        <f t="array" ref="I59">IFERROR(INDEX('HIV-Pharmaceuticals'!$N$14:$N$99,MATCH($E59&amp;$F59,'HIV-Pharmaceuticals'!$E$14:$E$99&amp;'HIV-Pharmaceuticals'!$I$14:$I$99,0)),0)</f>
        <v>0</v>
      </c>
      <c r="J59" s="651">
        <f t="array" ref="J59">IFERROR(INDEX('HIV-Pharmaceuticals'!$O$14:$O$99,MATCH($E59&amp;$F59,'HIV-Pharmaceuticals'!$E$14:$E$99&amp;'HIV-Pharmaceuticals'!$I$14:$I$99,0)),0)</f>
        <v>0</v>
      </c>
      <c r="K59" s="652">
        <f t="shared" si="0"/>
        <v>0</v>
      </c>
      <c r="L59" s="652">
        <f t="shared" si="1"/>
        <v>0</v>
      </c>
      <c r="M59" s="652">
        <f t="shared" si="2"/>
        <v>0</v>
      </c>
      <c r="N59" s="651">
        <f t="array" ref="N59">IFERROR(INDEX('HIV-Pharmaceuticals'!$P$14:$P$99,MATCH($E59&amp;$F59,'HIV-Pharmaceuticals'!$E$14:$E$99&amp;'HIV-Pharmaceuticals'!$I$14:$I$99,0)),0)</f>
        <v>0</v>
      </c>
      <c r="O59" s="652">
        <f t="shared" si="3"/>
        <v>0</v>
      </c>
      <c r="P59" s="652">
        <f t="shared" si="4"/>
        <v>0</v>
      </c>
      <c r="Q59" s="652">
        <f t="shared" si="5"/>
        <v>0</v>
      </c>
      <c r="R59" s="651">
        <f t="array" ref="R59">IFERROR(INDEX('HIV-Pharmaceuticals'!$Q$14:$Q$99,MATCH($E59&amp;$F59,'HIV-Pharmaceuticals'!$E$14:$E$99&amp;'HIV-Pharmaceuticals'!$I$14:$I$99,0)),0)</f>
        <v>0</v>
      </c>
      <c r="S59" s="652">
        <f t="shared" si="6"/>
        <v>0</v>
      </c>
      <c r="T59" s="652">
        <f t="shared" si="7"/>
        <v>0</v>
      </c>
      <c r="U59" s="652">
        <f t="shared" si="8"/>
        <v>0</v>
      </c>
      <c r="V59" s="651">
        <f t="array" ref="V59">IFERROR(INDEX('HIV-Pharmaceuticals'!$R$14:$R$99,MATCH($E59&amp;$F59,'HIV-Pharmaceuticals'!$E$14:$E$99&amp;'HIV-Pharmaceuticals'!$I$14:$I$99,0)),0)</f>
        <v>0</v>
      </c>
      <c r="W59" s="652">
        <f t="shared" si="9"/>
        <v>0</v>
      </c>
      <c r="X59" s="652">
        <f t="shared" si="10"/>
        <v>0</v>
      </c>
      <c r="Y59" s="652">
        <f t="shared" si="11"/>
        <v>0</v>
      </c>
      <c r="Z59" s="653"/>
      <c r="AA59" s="651">
        <f t="array" ref="AA59">IFERROR(INDEX('HIV-Pharmaceuticals'!$U$14:$U$99,MATCH($E59&amp;$F59,'HIV-Pharmaceuticals'!$E$14:$E$99&amp;'HIV-Pharmaceuticals'!$I$14:$I$99,0)),0)</f>
        <v>0</v>
      </c>
      <c r="AB59" s="651">
        <f t="array" ref="AB59">IFERROR(INDEX('HIV-Pharmaceuticals'!$V$14:$V$99,MATCH($E59&amp;$F59,'HIV-Pharmaceuticals'!$E$14:$E$99&amp;'HIV-Pharmaceuticals'!$I$14:$I$99,0)),0)</f>
        <v>0</v>
      </c>
      <c r="AC59" s="652">
        <f t="shared" si="12"/>
        <v>0</v>
      </c>
      <c r="AD59" s="652">
        <f t="shared" si="13"/>
        <v>0</v>
      </c>
      <c r="AE59" s="652">
        <f t="shared" si="14"/>
        <v>0</v>
      </c>
      <c r="AF59" s="651">
        <f t="array" ref="AF59">IFERROR(INDEX('HIV-Pharmaceuticals'!$W$14:$W$99,MATCH($E59&amp;$F59,'HIV-Pharmaceuticals'!$E$14:$E$99&amp;'HIV-Pharmaceuticals'!$I$14:$I$99,0)),0)</f>
        <v>0</v>
      </c>
      <c r="AG59" s="652">
        <f t="shared" si="15"/>
        <v>0</v>
      </c>
      <c r="AH59" s="652">
        <f t="shared" si="16"/>
        <v>0</v>
      </c>
      <c r="AI59" s="652">
        <f t="shared" si="17"/>
        <v>0</v>
      </c>
      <c r="AJ59" s="651">
        <f t="array" ref="AJ59">IFERROR(INDEX('HIV-Pharmaceuticals'!$X$14:$X$99,MATCH($E59&amp;$F59,'HIV-Pharmaceuticals'!$E$14:$E$99&amp;'HIV-Pharmaceuticals'!$I$14:$I$99,0)),0)</f>
        <v>0</v>
      </c>
      <c r="AK59" s="652">
        <f t="shared" si="18"/>
        <v>0</v>
      </c>
      <c r="AL59" s="652">
        <f t="shared" si="19"/>
        <v>0</v>
      </c>
      <c r="AM59" s="652">
        <f t="shared" si="20"/>
        <v>0</v>
      </c>
      <c r="AN59" s="651">
        <f t="array" ref="AN59">IFERROR(INDEX('HIV-Pharmaceuticals'!$Y$14:$Y$99,MATCH($E59&amp;$F59,'HIV-Pharmaceuticals'!$E$14:$E$99&amp;'HIV-Pharmaceuticals'!$I$14:$I$99,0)),0)</f>
        <v>0</v>
      </c>
      <c r="AO59" s="652">
        <f t="shared" si="21"/>
        <v>0</v>
      </c>
      <c r="AP59" s="652">
        <f t="shared" si="22"/>
        <v>0</v>
      </c>
      <c r="AQ59" s="652">
        <f t="shared" si="23"/>
        <v>0</v>
      </c>
      <c r="AR59" s="653"/>
      <c r="AS59" s="651">
        <f t="array" ref="AS59">IFERROR(INDEX('HIV-Pharmaceuticals'!$AB$14:$AB$99,MATCH($E59&amp;$F59,'HIV-Pharmaceuticals'!$E$14:$E$99&amp;'HIV-Pharmaceuticals'!$I$14:$I$99,0)),0)</f>
        <v>0</v>
      </c>
      <c r="AT59" s="651">
        <f t="array" ref="AT59">IFERROR(INDEX('HIV-Pharmaceuticals'!$AC$14:$AC$99,MATCH($E59&amp;$F59,'HIV-Pharmaceuticals'!$E$14:$E$99&amp;'HIV-Pharmaceuticals'!$I$14:$I$99,0)),0)</f>
        <v>0</v>
      </c>
      <c r="AU59" s="652">
        <f t="shared" si="24"/>
        <v>0</v>
      </c>
      <c r="AV59" s="652">
        <f t="shared" si="25"/>
        <v>0</v>
      </c>
      <c r="AW59" s="652">
        <f t="shared" si="26"/>
        <v>0</v>
      </c>
      <c r="AX59" s="651">
        <f t="array" ref="AX59">IFERROR(INDEX('HIV-Pharmaceuticals'!$AD$14:$AD$99,MATCH($E59&amp;$F59,'HIV-Pharmaceuticals'!$E$14:$E$99&amp;'HIV-Pharmaceuticals'!$I$14:$I$99,0)),0)</f>
        <v>0</v>
      </c>
      <c r="AY59" s="652">
        <f t="shared" si="27"/>
        <v>0</v>
      </c>
      <c r="AZ59" s="652">
        <f t="shared" si="28"/>
        <v>0</v>
      </c>
      <c r="BA59" s="652">
        <f t="shared" si="29"/>
        <v>0</v>
      </c>
      <c r="BB59" s="651">
        <f t="array" ref="BB59">IFERROR(INDEX('HIV-Pharmaceuticals'!$AE$14:$AE$99,MATCH($E59&amp;$F59,'HIV-Pharmaceuticals'!$E$14:$E$99&amp;'HIV-Pharmaceuticals'!$I$14:$I$99,0)),0)</f>
        <v>0</v>
      </c>
      <c r="BC59" s="652">
        <f t="shared" si="30"/>
        <v>0</v>
      </c>
      <c r="BD59" s="652">
        <f t="shared" si="31"/>
        <v>0</v>
      </c>
      <c r="BE59" s="652">
        <f t="shared" si="32"/>
        <v>0</v>
      </c>
      <c r="BF59" s="651">
        <f t="array" ref="BF59">IFERROR(INDEX('HIV-Pharmaceuticals'!$AF$14:$AF$99,MATCH($E59&amp;$F59,'HIV-Pharmaceuticals'!$E$14:$E$99&amp;'HIV-Pharmaceuticals'!$I$14:$I$99,0)),0)</f>
        <v>0</v>
      </c>
      <c r="BG59" s="652">
        <f t="shared" si="33"/>
        <v>0</v>
      </c>
      <c r="BH59" s="652">
        <f t="shared" si="34"/>
        <v>0</v>
      </c>
      <c r="BI59" s="652">
        <f t="shared" si="35"/>
        <v>0</v>
      </c>
      <c r="BK59" s="654"/>
      <c r="BL59" s="654"/>
      <c r="BM59" s="654"/>
      <c r="BN59" s="654"/>
      <c r="BO59" s="654"/>
      <c r="BP59" s="654"/>
      <c r="BQ59" s="654"/>
      <c r="BR59" s="654"/>
    </row>
    <row r="60" spans="1:70" s="646" customFormat="1">
      <c r="A60" s="647" t="s">
        <v>561</v>
      </c>
      <c r="B60" s="647" t="s">
        <v>819</v>
      </c>
      <c r="C60" s="648">
        <f>SETUP!$F$20</f>
        <v>0</v>
      </c>
      <c r="D60" s="649">
        <v>4.0999999999999996</v>
      </c>
      <c r="E60" s="647" t="s">
        <v>108</v>
      </c>
      <c r="F60" s="647" t="s">
        <v>1645</v>
      </c>
      <c r="G60" s="650" t="str">
        <f t="array" ref="G60">IFERROR(INDEX('HIV-Pharmaceuticals'!$L$14:$L$99,MATCH($E60&amp;$F60,'HIV-Pharmaceuticals'!$E$14:$E$99&amp;'HIV-Pharmaceuticals'!$I$14:$I$99,0)),"")</f>
        <v/>
      </c>
      <c r="H60" s="650" t="str">
        <f t="array" ref="H60">IFERROR(INDEX('HIV-Pharmaceuticals'!$M$14:$M$99,MATCH($E60&amp;$F60,'HIV-Pharmaceuticals'!$E$14:$E$99&amp;'HIV-Pharmaceuticals'!$I$14:$I$99,0)),"")</f>
        <v/>
      </c>
      <c r="I60" s="651">
        <f t="array" ref="I60">IFERROR(INDEX('HIV-Pharmaceuticals'!$N$14:$N$99,MATCH($E60&amp;$F60,'HIV-Pharmaceuticals'!$E$14:$E$99&amp;'HIV-Pharmaceuticals'!$I$14:$I$99,0)),0)</f>
        <v>0</v>
      </c>
      <c r="J60" s="651">
        <f t="array" ref="J60">IFERROR(INDEX('HIV-Pharmaceuticals'!$O$14:$O$99,MATCH($E60&amp;$F60,'HIV-Pharmaceuticals'!$E$14:$E$99&amp;'HIV-Pharmaceuticals'!$I$14:$I$99,0)),0)</f>
        <v>0</v>
      </c>
      <c r="K60" s="652">
        <f t="shared" si="0"/>
        <v>0</v>
      </c>
      <c r="L60" s="652">
        <f t="shared" si="1"/>
        <v>0</v>
      </c>
      <c r="M60" s="652">
        <f t="shared" si="2"/>
        <v>0</v>
      </c>
      <c r="N60" s="651">
        <f t="array" ref="N60">IFERROR(INDEX('HIV-Pharmaceuticals'!$P$14:$P$99,MATCH($E60&amp;$F60,'HIV-Pharmaceuticals'!$E$14:$E$99&amp;'HIV-Pharmaceuticals'!$I$14:$I$99,0)),0)</f>
        <v>0</v>
      </c>
      <c r="O60" s="652">
        <f t="shared" si="3"/>
        <v>0</v>
      </c>
      <c r="P60" s="652">
        <f t="shared" si="4"/>
        <v>0</v>
      </c>
      <c r="Q60" s="652">
        <f t="shared" si="5"/>
        <v>0</v>
      </c>
      <c r="R60" s="651">
        <f t="array" ref="R60">IFERROR(INDEX('HIV-Pharmaceuticals'!$Q$14:$Q$99,MATCH($E60&amp;$F60,'HIV-Pharmaceuticals'!$E$14:$E$99&amp;'HIV-Pharmaceuticals'!$I$14:$I$99,0)),0)</f>
        <v>0</v>
      </c>
      <c r="S60" s="652">
        <f t="shared" si="6"/>
        <v>0</v>
      </c>
      <c r="T60" s="652">
        <f t="shared" si="7"/>
        <v>0</v>
      </c>
      <c r="U60" s="652">
        <f t="shared" si="8"/>
        <v>0</v>
      </c>
      <c r="V60" s="651">
        <f t="array" ref="V60">IFERROR(INDEX('HIV-Pharmaceuticals'!$R$14:$R$99,MATCH($E60&amp;$F60,'HIV-Pharmaceuticals'!$E$14:$E$99&amp;'HIV-Pharmaceuticals'!$I$14:$I$99,0)),0)</f>
        <v>0</v>
      </c>
      <c r="W60" s="652">
        <f t="shared" si="9"/>
        <v>0</v>
      </c>
      <c r="X60" s="652">
        <f t="shared" si="10"/>
        <v>0</v>
      </c>
      <c r="Y60" s="652">
        <f t="shared" si="11"/>
        <v>0</v>
      </c>
      <c r="Z60" s="653"/>
      <c r="AA60" s="651">
        <f t="array" ref="AA60">IFERROR(INDEX('HIV-Pharmaceuticals'!$U$14:$U$99,MATCH($E60&amp;$F60,'HIV-Pharmaceuticals'!$E$14:$E$99&amp;'HIV-Pharmaceuticals'!$I$14:$I$99,0)),0)</f>
        <v>0</v>
      </c>
      <c r="AB60" s="651">
        <f t="array" ref="AB60">IFERROR(INDEX('HIV-Pharmaceuticals'!$V$14:$V$99,MATCH($E60&amp;$F60,'HIV-Pharmaceuticals'!$E$14:$E$99&amp;'HIV-Pharmaceuticals'!$I$14:$I$99,0)),0)</f>
        <v>0</v>
      </c>
      <c r="AC60" s="652">
        <f t="shared" si="12"/>
        <v>0</v>
      </c>
      <c r="AD60" s="652">
        <f t="shared" si="13"/>
        <v>0</v>
      </c>
      <c r="AE60" s="652">
        <f t="shared" si="14"/>
        <v>0</v>
      </c>
      <c r="AF60" s="651">
        <f t="array" ref="AF60">IFERROR(INDEX('HIV-Pharmaceuticals'!$W$14:$W$99,MATCH($E60&amp;$F60,'HIV-Pharmaceuticals'!$E$14:$E$99&amp;'HIV-Pharmaceuticals'!$I$14:$I$99,0)),0)</f>
        <v>0</v>
      </c>
      <c r="AG60" s="652">
        <f t="shared" si="15"/>
        <v>0</v>
      </c>
      <c r="AH60" s="652">
        <f t="shared" si="16"/>
        <v>0</v>
      </c>
      <c r="AI60" s="652">
        <f t="shared" si="17"/>
        <v>0</v>
      </c>
      <c r="AJ60" s="651">
        <f t="array" ref="AJ60">IFERROR(INDEX('HIV-Pharmaceuticals'!$X$14:$X$99,MATCH($E60&amp;$F60,'HIV-Pharmaceuticals'!$E$14:$E$99&amp;'HIV-Pharmaceuticals'!$I$14:$I$99,0)),0)</f>
        <v>0</v>
      </c>
      <c r="AK60" s="652">
        <f t="shared" si="18"/>
        <v>0</v>
      </c>
      <c r="AL60" s="652">
        <f t="shared" si="19"/>
        <v>0</v>
      </c>
      <c r="AM60" s="652">
        <f t="shared" si="20"/>
        <v>0</v>
      </c>
      <c r="AN60" s="651">
        <f t="array" ref="AN60">IFERROR(INDEX('HIV-Pharmaceuticals'!$Y$14:$Y$99,MATCH($E60&amp;$F60,'HIV-Pharmaceuticals'!$E$14:$E$99&amp;'HIV-Pharmaceuticals'!$I$14:$I$99,0)),0)</f>
        <v>0</v>
      </c>
      <c r="AO60" s="652">
        <f t="shared" si="21"/>
        <v>0</v>
      </c>
      <c r="AP60" s="652">
        <f t="shared" si="22"/>
        <v>0</v>
      </c>
      <c r="AQ60" s="652">
        <f t="shared" si="23"/>
        <v>0</v>
      </c>
      <c r="AR60" s="653"/>
      <c r="AS60" s="651">
        <f t="array" ref="AS60">IFERROR(INDEX('HIV-Pharmaceuticals'!$AB$14:$AB$99,MATCH($E60&amp;$F60,'HIV-Pharmaceuticals'!$E$14:$E$99&amp;'HIV-Pharmaceuticals'!$I$14:$I$99,0)),0)</f>
        <v>0</v>
      </c>
      <c r="AT60" s="651">
        <f t="array" ref="AT60">IFERROR(INDEX('HIV-Pharmaceuticals'!$AC$14:$AC$99,MATCH($E60&amp;$F60,'HIV-Pharmaceuticals'!$E$14:$E$99&amp;'HIV-Pharmaceuticals'!$I$14:$I$99,0)),0)</f>
        <v>0</v>
      </c>
      <c r="AU60" s="652">
        <f t="shared" si="24"/>
        <v>0</v>
      </c>
      <c r="AV60" s="652">
        <f t="shared" si="25"/>
        <v>0</v>
      </c>
      <c r="AW60" s="652">
        <f t="shared" si="26"/>
        <v>0</v>
      </c>
      <c r="AX60" s="651">
        <f t="array" ref="AX60">IFERROR(INDEX('HIV-Pharmaceuticals'!$AD$14:$AD$99,MATCH($E60&amp;$F60,'HIV-Pharmaceuticals'!$E$14:$E$99&amp;'HIV-Pharmaceuticals'!$I$14:$I$99,0)),0)</f>
        <v>0</v>
      </c>
      <c r="AY60" s="652">
        <f t="shared" si="27"/>
        <v>0</v>
      </c>
      <c r="AZ60" s="652">
        <f t="shared" si="28"/>
        <v>0</v>
      </c>
      <c r="BA60" s="652">
        <f t="shared" si="29"/>
        <v>0</v>
      </c>
      <c r="BB60" s="651">
        <f t="array" ref="BB60">IFERROR(INDEX('HIV-Pharmaceuticals'!$AE$14:$AE$99,MATCH($E60&amp;$F60,'HIV-Pharmaceuticals'!$E$14:$E$99&amp;'HIV-Pharmaceuticals'!$I$14:$I$99,0)),0)</f>
        <v>0</v>
      </c>
      <c r="BC60" s="652">
        <f t="shared" si="30"/>
        <v>0</v>
      </c>
      <c r="BD60" s="652">
        <f t="shared" si="31"/>
        <v>0</v>
      </c>
      <c r="BE60" s="652">
        <f t="shared" si="32"/>
        <v>0</v>
      </c>
      <c r="BF60" s="651">
        <f t="array" ref="BF60">IFERROR(INDEX('HIV-Pharmaceuticals'!$AF$14:$AF$99,MATCH($E60&amp;$F60,'HIV-Pharmaceuticals'!$E$14:$E$99&amp;'HIV-Pharmaceuticals'!$I$14:$I$99,0)),0)</f>
        <v>0</v>
      </c>
      <c r="BG60" s="652">
        <f t="shared" si="33"/>
        <v>0</v>
      </c>
      <c r="BH60" s="652">
        <f t="shared" si="34"/>
        <v>0</v>
      </c>
      <c r="BI60" s="652">
        <f t="shared" si="35"/>
        <v>0</v>
      </c>
      <c r="BK60" s="654"/>
      <c r="BL60" s="654"/>
      <c r="BM60" s="654"/>
      <c r="BN60" s="654"/>
      <c r="BO60" s="654"/>
      <c r="BP60" s="654"/>
      <c r="BQ60" s="654"/>
      <c r="BR60" s="654"/>
    </row>
    <row r="61" spans="1:70" s="646" customFormat="1">
      <c r="A61" s="647" t="s">
        <v>561</v>
      </c>
      <c r="B61" s="647" t="s">
        <v>819</v>
      </c>
      <c r="C61" s="648">
        <f>SETUP!$F$20</f>
        <v>0</v>
      </c>
      <c r="D61" s="649">
        <v>4.0999999999999996</v>
      </c>
      <c r="E61" s="647" t="s">
        <v>122</v>
      </c>
      <c r="F61" s="647" t="s">
        <v>1646</v>
      </c>
      <c r="G61" s="650" t="str">
        <f t="array" ref="G61">IFERROR(INDEX('HIV-Pharmaceuticals'!$L$14:$L$99,MATCH($E61&amp;$F61,'HIV-Pharmaceuticals'!$E$14:$E$99&amp;'HIV-Pharmaceuticals'!$I$14:$I$99,0)),"")</f>
        <v/>
      </c>
      <c r="H61" s="650" t="str">
        <f t="array" ref="H61">IFERROR(INDEX('HIV-Pharmaceuticals'!$M$14:$M$99,MATCH($E61&amp;$F61,'HIV-Pharmaceuticals'!$E$14:$E$99&amp;'HIV-Pharmaceuticals'!$I$14:$I$99,0)),"")</f>
        <v/>
      </c>
      <c r="I61" s="651">
        <f t="array" ref="I61">IFERROR(INDEX('HIV-Pharmaceuticals'!$N$14:$N$99,MATCH($E61&amp;$F61,'HIV-Pharmaceuticals'!$E$14:$E$99&amp;'HIV-Pharmaceuticals'!$I$14:$I$99,0)),0)</f>
        <v>0</v>
      </c>
      <c r="J61" s="651">
        <f t="array" ref="J61">IFERROR(INDEX('HIV-Pharmaceuticals'!$O$14:$O$99,MATCH($E61&amp;$F61,'HIV-Pharmaceuticals'!$E$14:$E$99&amp;'HIV-Pharmaceuticals'!$I$14:$I$99,0)),0)</f>
        <v>0</v>
      </c>
      <c r="K61" s="652">
        <f t="shared" si="0"/>
        <v>0</v>
      </c>
      <c r="L61" s="652">
        <f t="shared" si="1"/>
        <v>0</v>
      </c>
      <c r="M61" s="652">
        <f t="shared" si="2"/>
        <v>0</v>
      </c>
      <c r="N61" s="651">
        <f t="array" ref="N61">IFERROR(INDEX('HIV-Pharmaceuticals'!$P$14:$P$99,MATCH($E61&amp;$F61,'HIV-Pharmaceuticals'!$E$14:$E$99&amp;'HIV-Pharmaceuticals'!$I$14:$I$99,0)),0)</f>
        <v>0</v>
      </c>
      <c r="O61" s="652">
        <f t="shared" si="3"/>
        <v>0</v>
      </c>
      <c r="P61" s="652">
        <f t="shared" si="4"/>
        <v>0</v>
      </c>
      <c r="Q61" s="652">
        <f t="shared" si="5"/>
        <v>0</v>
      </c>
      <c r="R61" s="651">
        <f t="array" ref="R61">IFERROR(INDEX('HIV-Pharmaceuticals'!$Q$14:$Q$99,MATCH($E61&amp;$F61,'HIV-Pharmaceuticals'!$E$14:$E$99&amp;'HIV-Pharmaceuticals'!$I$14:$I$99,0)),0)</f>
        <v>0</v>
      </c>
      <c r="S61" s="652">
        <f t="shared" si="6"/>
        <v>0</v>
      </c>
      <c r="T61" s="652">
        <f t="shared" si="7"/>
        <v>0</v>
      </c>
      <c r="U61" s="652">
        <f t="shared" si="8"/>
        <v>0</v>
      </c>
      <c r="V61" s="651">
        <f t="array" ref="V61">IFERROR(INDEX('HIV-Pharmaceuticals'!$R$14:$R$99,MATCH($E61&amp;$F61,'HIV-Pharmaceuticals'!$E$14:$E$99&amp;'HIV-Pharmaceuticals'!$I$14:$I$99,0)),0)</f>
        <v>0</v>
      </c>
      <c r="W61" s="652">
        <f t="shared" si="9"/>
        <v>0</v>
      </c>
      <c r="X61" s="652">
        <f t="shared" si="10"/>
        <v>0</v>
      </c>
      <c r="Y61" s="652">
        <f t="shared" si="11"/>
        <v>0</v>
      </c>
      <c r="Z61" s="653"/>
      <c r="AA61" s="651">
        <f t="array" ref="AA61">IFERROR(INDEX('HIV-Pharmaceuticals'!$U$14:$U$99,MATCH($E61&amp;$F61,'HIV-Pharmaceuticals'!$E$14:$E$99&amp;'HIV-Pharmaceuticals'!$I$14:$I$99,0)),0)</f>
        <v>0</v>
      </c>
      <c r="AB61" s="651">
        <f t="array" ref="AB61">IFERROR(INDEX('HIV-Pharmaceuticals'!$V$14:$V$99,MATCH($E61&amp;$F61,'HIV-Pharmaceuticals'!$E$14:$E$99&amp;'HIV-Pharmaceuticals'!$I$14:$I$99,0)),0)</f>
        <v>0</v>
      </c>
      <c r="AC61" s="652">
        <f t="shared" si="12"/>
        <v>0</v>
      </c>
      <c r="AD61" s="652">
        <f t="shared" si="13"/>
        <v>0</v>
      </c>
      <c r="AE61" s="652">
        <f t="shared" si="14"/>
        <v>0</v>
      </c>
      <c r="AF61" s="651">
        <f t="array" ref="AF61">IFERROR(INDEX('HIV-Pharmaceuticals'!$W$14:$W$99,MATCH($E61&amp;$F61,'HIV-Pharmaceuticals'!$E$14:$E$99&amp;'HIV-Pharmaceuticals'!$I$14:$I$99,0)),0)</f>
        <v>0</v>
      </c>
      <c r="AG61" s="652">
        <f t="shared" si="15"/>
        <v>0</v>
      </c>
      <c r="AH61" s="652">
        <f t="shared" si="16"/>
        <v>0</v>
      </c>
      <c r="AI61" s="652">
        <f t="shared" si="17"/>
        <v>0</v>
      </c>
      <c r="AJ61" s="651">
        <f t="array" ref="AJ61">IFERROR(INDEX('HIV-Pharmaceuticals'!$X$14:$X$99,MATCH($E61&amp;$F61,'HIV-Pharmaceuticals'!$E$14:$E$99&amp;'HIV-Pharmaceuticals'!$I$14:$I$99,0)),0)</f>
        <v>0</v>
      </c>
      <c r="AK61" s="652">
        <f t="shared" si="18"/>
        <v>0</v>
      </c>
      <c r="AL61" s="652">
        <f t="shared" si="19"/>
        <v>0</v>
      </c>
      <c r="AM61" s="652">
        <f t="shared" si="20"/>
        <v>0</v>
      </c>
      <c r="AN61" s="651">
        <f t="array" ref="AN61">IFERROR(INDEX('HIV-Pharmaceuticals'!$Y$14:$Y$99,MATCH($E61&amp;$F61,'HIV-Pharmaceuticals'!$E$14:$E$99&amp;'HIV-Pharmaceuticals'!$I$14:$I$99,0)),0)</f>
        <v>0</v>
      </c>
      <c r="AO61" s="652">
        <f t="shared" si="21"/>
        <v>0</v>
      </c>
      <c r="AP61" s="652">
        <f t="shared" si="22"/>
        <v>0</v>
      </c>
      <c r="AQ61" s="652">
        <f t="shared" si="23"/>
        <v>0</v>
      </c>
      <c r="AR61" s="653"/>
      <c r="AS61" s="651">
        <f t="array" ref="AS61">IFERROR(INDEX('HIV-Pharmaceuticals'!$AB$14:$AB$99,MATCH($E61&amp;$F61,'HIV-Pharmaceuticals'!$E$14:$E$99&amp;'HIV-Pharmaceuticals'!$I$14:$I$99,0)),0)</f>
        <v>0</v>
      </c>
      <c r="AT61" s="651">
        <f t="array" ref="AT61">IFERROR(INDEX('HIV-Pharmaceuticals'!$AC$14:$AC$99,MATCH($E61&amp;$F61,'HIV-Pharmaceuticals'!$E$14:$E$99&amp;'HIV-Pharmaceuticals'!$I$14:$I$99,0)),0)</f>
        <v>0</v>
      </c>
      <c r="AU61" s="652">
        <f t="shared" si="24"/>
        <v>0</v>
      </c>
      <c r="AV61" s="652">
        <f t="shared" si="25"/>
        <v>0</v>
      </c>
      <c r="AW61" s="652">
        <f t="shared" si="26"/>
        <v>0</v>
      </c>
      <c r="AX61" s="651">
        <f t="array" ref="AX61">IFERROR(INDEX('HIV-Pharmaceuticals'!$AD$14:$AD$99,MATCH($E61&amp;$F61,'HIV-Pharmaceuticals'!$E$14:$E$99&amp;'HIV-Pharmaceuticals'!$I$14:$I$99,0)),0)</f>
        <v>0</v>
      </c>
      <c r="AY61" s="652">
        <f t="shared" si="27"/>
        <v>0</v>
      </c>
      <c r="AZ61" s="652">
        <f t="shared" si="28"/>
        <v>0</v>
      </c>
      <c r="BA61" s="652">
        <f t="shared" si="29"/>
        <v>0</v>
      </c>
      <c r="BB61" s="651">
        <f t="array" ref="BB61">IFERROR(INDEX('HIV-Pharmaceuticals'!$AE$14:$AE$99,MATCH($E61&amp;$F61,'HIV-Pharmaceuticals'!$E$14:$E$99&amp;'HIV-Pharmaceuticals'!$I$14:$I$99,0)),0)</f>
        <v>0</v>
      </c>
      <c r="BC61" s="652">
        <f t="shared" si="30"/>
        <v>0</v>
      </c>
      <c r="BD61" s="652">
        <f t="shared" si="31"/>
        <v>0</v>
      </c>
      <c r="BE61" s="652">
        <f t="shared" si="32"/>
        <v>0</v>
      </c>
      <c r="BF61" s="651">
        <f t="array" ref="BF61">IFERROR(INDEX('HIV-Pharmaceuticals'!$AF$14:$AF$99,MATCH($E61&amp;$F61,'HIV-Pharmaceuticals'!$E$14:$E$99&amp;'HIV-Pharmaceuticals'!$I$14:$I$99,0)),0)</f>
        <v>0</v>
      </c>
      <c r="BG61" s="652">
        <f t="shared" si="33"/>
        <v>0</v>
      </c>
      <c r="BH61" s="652">
        <f t="shared" si="34"/>
        <v>0</v>
      </c>
      <c r="BI61" s="652">
        <f t="shared" si="35"/>
        <v>0</v>
      </c>
      <c r="BK61" s="654"/>
      <c r="BL61" s="654"/>
      <c r="BM61" s="654"/>
      <c r="BN61" s="654"/>
      <c r="BO61" s="654"/>
      <c r="BP61" s="654"/>
      <c r="BQ61" s="654"/>
      <c r="BR61" s="654"/>
    </row>
    <row r="62" spans="1:70" s="646" customFormat="1">
      <c r="A62" s="647" t="s">
        <v>561</v>
      </c>
      <c r="B62" s="647" t="s">
        <v>819</v>
      </c>
      <c r="C62" s="648">
        <f>SETUP!$F$20</f>
        <v>0</v>
      </c>
      <c r="D62" s="649">
        <v>4.0999999999999996</v>
      </c>
      <c r="E62" s="647" t="s">
        <v>122</v>
      </c>
      <c r="F62" s="647" t="s">
        <v>1647</v>
      </c>
      <c r="G62" s="650" t="str">
        <f t="array" ref="G62">IFERROR(INDEX('HIV-Pharmaceuticals'!$L$14:$L$99,MATCH($E62&amp;$F62,'HIV-Pharmaceuticals'!$E$14:$E$99&amp;'HIV-Pharmaceuticals'!$I$14:$I$99,0)),"")</f>
        <v/>
      </c>
      <c r="H62" s="650" t="str">
        <f t="array" ref="H62">IFERROR(INDEX('HIV-Pharmaceuticals'!$M$14:$M$99,MATCH($E62&amp;$F62,'HIV-Pharmaceuticals'!$E$14:$E$99&amp;'HIV-Pharmaceuticals'!$I$14:$I$99,0)),"")</f>
        <v/>
      </c>
      <c r="I62" s="651">
        <f t="array" ref="I62">IFERROR(INDEX('HIV-Pharmaceuticals'!$N$14:$N$99,MATCH($E62&amp;$F62,'HIV-Pharmaceuticals'!$E$14:$E$99&amp;'HIV-Pharmaceuticals'!$I$14:$I$99,0)),0)</f>
        <v>0</v>
      </c>
      <c r="J62" s="651">
        <f t="array" ref="J62">IFERROR(INDEX('HIV-Pharmaceuticals'!$O$14:$O$99,MATCH($E62&amp;$F62,'HIV-Pharmaceuticals'!$E$14:$E$99&amp;'HIV-Pharmaceuticals'!$I$14:$I$99,0)),0)</f>
        <v>0</v>
      </c>
      <c r="K62" s="652">
        <f t="shared" si="0"/>
        <v>0</v>
      </c>
      <c r="L62" s="652">
        <f t="shared" si="1"/>
        <v>0</v>
      </c>
      <c r="M62" s="652">
        <f t="shared" si="2"/>
        <v>0</v>
      </c>
      <c r="N62" s="651">
        <f t="array" ref="N62">IFERROR(INDEX('HIV-Pharmaceuticals'!$P$14:$P$99,MATCH($E62&amp;$F62,'HIV-Pharmaceuticals'!$E$14:$E$99&amp;'HIV-Pharmaceuticals'!$I$14:$I$99,0)),0)</f>
        <v>0</v>
      </c>
      <c r="O62" s="652">
        <f t="shared" si="3"/>
        <v>0</v>
      </c>
      <c r="P62" s="652">
        <f t="shared" si="4"/>
        <v>0</v>
      </c>
      <c r="Q62" s="652">
        <f t="shared" si="5"/>
        <v>0</v>
      </c>
      <c r="R62" s="651">
        <f t="array" ref="R62">IFERROR(INDEX('HIV-Pharmaceuticals'!$Q$14:$Q$99,MATCH($E62&amp;$F62,'HIV-Pharmaceuticals'!$E$14:$E$99&amp;'HIV-Pharmaceuticals'!$I$14:$I$99,0)),0)</f>
        <v>0</v>
      </c>
      <c r="S62" s="652">
        <f t="shared" si="6"/>
        <v>0</v>
      </c>
      <c r="T62" s="652">
        <f t="shared" si="7"/>
        <v>0</v>
      </c>
      <c r="U62" s="652">
        <f t="shared" si="8"/>
        <v>0</v>
      </c>
      <c r="V62" s="651">
        <f t="array" ref="V62">IFERROR(INDEX('HIV-Pharmaceuticals'!$R$14:$R$99,MATCH($E62&amp;$F62,'HIV-Pharmaceuticals'!$E$14:$E$99&amp;'HIV-Pharmaceuticals'!$I$14:$I$99,0)),0)</f>
        <v>0</v>
      </c>
      <c r="W62" s="652">
        <f t="shared" si="9"/>
        <v>0</v>
      </c>
      <c r="X62" s="652">
        <f t="shared" si="10"/>
        <v>0</v>
      </c>
      <c r="Y62" s="652">
        <f t="shared" si="11"/>
        <v>0</v>
      </c>
      <c r="Z62" s="653"/>
      <c r="AA62" s="651">
        <f t="array" ref="AA62">IFERROR(INDEX('HIV-Pharmaceuticals'!$U$14:$U$99,MATCH($E62&amp;$F62,'HIV-Pharmaceuticals'!$E$14:$E$99&amp;'HIV-Pharmaceuticals'!$I$14:$I$99,0)),0)</f>
        <v>0</v>
      </c>
      <c r="AB62" s="651">
        <f t="array" ref="AB62">IFERROR(INDEX('HIV-Pharmaceuticals'!$V$14:$V$99,MATCH($E62&amp;$F62,'HIV-Pharmaceuticals'!$E$14:$E$99&amp;'HIV-Pharmaceuticals'!$I$14:$I$99,0)),0)</f>
        <v>0</v>
      </c>
      <c r="AC62" s="652">
        <f t="shared" si="12"/>
        <v>0</v>
      </c>
      <c r="AD62" s="652">
        <f t="shared" si="13"/>
        <v>0</v>
      </c>
      <c r="AE62" s="652">
        <f t="shared" si="14"/>
        <v>0</v>
      </c>
      <c r="AF62" s="651">
        <f t="array" ref="AF62">IFERROR(INDEX('HIV-Pharmaceuticals'!$W$14:$W$99,MATCH($E62&amp;$F62,'HIV-Pharmaceuticals'!$E$14:$E$99&amp;'HIV-Pharmaceuticals'!$I$14:$I$99,0)),0)</f>
        <v>0</v>
      </c>
      <c r="AG62" s="652">
        <f t="shared" si="15"/>
        <v>0</v>
      </c>
      <c r="AH62" s="652">
        <f t="shared" si="16"/>
        <v>0</v>
      </c>
      <c r="AI62" s="652">
        <f t="shared" si="17"/>
        <v>0</v>
      </c>
      <c r="AJ62" s="651">
        <f t="array" ref="AJ62">IFERROR(INDEX('HIV-Pharmaceuticals'!$X$14:$X$99,MATCH($E62&amp;$F62,'HIV-Pharmaceuticals'!$E$14:$E$99&amp;'HIV-Pharmaceuticals'!$I$14:$I$99,0)),0)</f>
        <v>0</v>
      </c>
      <c r="AK62" s="652">
        <f t="shared" si="18"/>
        <v>0</v>
      </c>
      <c r="AL62" s="652">
        <f t="shared" si="19"/>
        <v>0</v>
      </c>
      <c r="AM62" s="652">
        <f t="shared" si="20"/>
        <v>0</v>
      </c>
      <c r="AN62" s="651">
        <f t="array" ref="AN62">IFERROR(INDEX('HIV-Pharmaceuticals'!$Y$14:$Y$99,MATCH($E62&amp;$F62,'HIV-Pharmaceuticals'!$E$14:$E$99&amp;'HIV-Pharmaceuticals'!$I$14:$I$99,0)),0)</f>
        <v>0</v>
      </c>
      <c r="AO62" s="652">
        <f t="shared" si="21"/>
        <v>0</v>
      </c>
      <c r="AP62" s="652">
        <f t="shared" si="22"/>
        <v>0</v>
      </c>
      <c r="AQ62" s="652">
        <f t="shared" si="23"/>
        <v>0</v>
      </c>
      <c r="AR62" s="653"/>
      <c r="AS62" s="651">
        <f t="array" ref="AS62">IFERROR(INDEX('HIV-Pharmaceuticals'!$AB$14:$AB$99,MATCH($E62&amp;$F62,'HIV-Pharmaceuticals'!$E$14:$E$99&amp;'HIV-Pharmaceuticals'!$I$14:$I$99,0)),0)</f>
        <v>0</v>
      </c>
      <c r="AT62" s="651">
        <f t="array" ref="AT62">IFERROR(INDEX('HIV-Pharmaceuticals'!$AC$14:$AC$99,MATCH($E62&amp;$F62,'HIV-Pharmaceuticals'!$E$14:$E$99&amp;'HIV-Pharmaceuticals'!$I$14:$I$99,0)),0)</f>
        <v>0</v>
      </c>
      <c r="AU62" s="652">
        <f t="shared" si="24"/>
        <v>0</v>
      </c>
      <c r="AV62" s="652">
        <f t="shared" si="25"/>
        <v>0</v>
      </c>
      <c r="AW62" s="652">
        <f t="shared" si="26"/>
        <v>0</v>
      </c>
      <c r="AX62" s="651">
        <f t="array" ref="AX62">IFERROR(INDEX('HIV-Pharmaceuticals'!$AD$14:$AD$99,MATCH($E62&amp;$F62,'HIV-Pharmaceuticals'!$E$14:$E$99&amp;'HIV-Pharmaceuticals'!$I$14:$I$99,0)),0)</f>
        <v>0</v>
      </c>
      <c r="AY62" s="652">
        <f t="shared" si="27"/>
        <v>0</v>
      </c>
      <c r="AZ62" s="652">
        <f t="shared" si="28"/>
        <v>0</v>
      </c>
      <c r="BA62" s="652">
        <f t="shared" si="29"/>
        <v>0</v>
      </c>
      <c r="BB62" s="651">
        <f t="array" ref="BB62">IFERROR(INDEX('HIV-Pharmaceuticals'!$AE$14:$AE$99,MATCH($E62&amp;$F62,'HIV-Pharmaceuticals'!$E$14:$E$99&amp;'HIV-Pharmaceuticals'!$I$14:$I$99,0)),0)</f>
        <v>0</v>
      </c>
      <c r="BC62" s="652">
        <f t="shared" si="30"/>
        <v>0</v>
      </c>
      <c r="BD62" s="652">
        <f t="shared" si="31"/>
        <v>0</v>
      </c>
      <c r="BE62" s="652">
        <f t="shared" si="32"/>
        <v>0</v>
      </c>
      <c r="BF62" s="651">
        <f t="array" ref="BF62">IFERROR(INDEX('HIV-Pharmaceuticals'!$AF$14:$AF$99,MATCH($E62&amp;$F62,'HIV-Pharmaceuticals'!$E$14:$E$99&amp;'HIV-Pharmaceuticals'!$I$14:$I$99,0)),0)</f>
        <v>0</v>
      </c>
      <c r="BG62" s="652">
        <f t="shared" si="33"/>
        <v>0</v>
      </c>
      <c r="BH62" s="652">
        <f t="shared" si="34"/>
        <v>0</v>
      </c>
      <c r="BI62" s="652">
        <f t="shared" si="35"/>
        <v>0</v>
      </c>
      <c r="BK62" s="654"/>
      <c r="BL62" s="654"/>
      <c r="BM62" s="654"/>
      <c r="BN62" s="654"/>
      <c r="BO62" s="654"/>
      <c r="BP62" s="654"/>
      <c r="BQ62" s="654"/>
      <c r="BR62" s="654"/>
    </row>
    <row r="63" spans="1:70" s="646" customFormat="1">
      <c r="A63" s="647" t="s">
        <v>561</v>
      </c>
      <c r="B63" s="647" t="s">
        <v>819</v>
      </c>
      <c r="C63" s="648">
        <f>SETUP!$F$20</f>
        <v>0</v>
      </c>
      <c r="D63" s="649">
        <v>4.0999999999999996</v>
      </c>
      <c r="E63" s="647" t="s">
        <v>122</v>
      </c>
      <c r="F63" s="647" t="s">
        <v>1648</v>
      </c>
      <c r="G63" s="650" t="str">
        <f t="array" ref="G63">IFERROR(INDEX('HIV-Pharmaceuticals'!$L$14:$L$99,MATCH($E63&amp;$F63,'HIV-Pharmaceuticals'!$E$14:$E$99&amp;'HIV-Pharmaceuticals'!$I$14:$I$99,0)),"")</f>
        <v/>
      </c>
      <c r="H63" s="650" t="str">
        <f t="array" ref="H63">IFERROR(INDEX('HIV-Pharmaceuticals'!$M$14:$M$99,MATCH($E63&amp;$F63,'HIV-Pharmaceuticals'!$E$14:$E$99&amp;'HIV-Pharmaceuticals'!$I$14:$I$99,0)),"")</f>
        <v/>
      </c>
      <c r="I63" s="651">
        <f t="array" ref="I63">IFERROR(INDEX('HIV-Pharmaceuticals'!$N$14:$N$99,MATCH($E63&amp;$F63,'HIV-Pharmaceuticals'!$E$14:$E$99&amp;'HIV-Pharmaceuticals'!$I$14:$I$99,0)),0)</f>
        <v>0</v>
      </c>
      <c r="J63" s="651">
        <f t="array" ref="J63">IFERROR(INDEX('HIV-Pharmaceuticals'!$O$14:$O$99,MATCH($E63&amp;$F63,'HIV-Pharmaceuticals'!$E$14:$E$99&amp;'HIV-Pharmaceuticals'!$I$14:$I$99,0)),0)</f>
        <v>0</v>
      </c>
      <c r="K63" s="652">
        <f t="shared" si="0"/>
        <v>0</v>
      </c>
      <c r="L63" s="652">
        <f t="shared" si="1"/>
        <v>0</v>
      </c>
      <c r="M63" s="652">
        <f t="shared" si="2"/>
        <v>0</v>
      </c>
      <c r="N63" s="651">
        <f t="array" ref="N63">IFERROR(INDEX('HIV-Pharmaceuticals'!$P$14:$P$99,MATCH($E63&amp;$F63,'HIV-Pharmaceuticals'!$E$14:$E$99&amp;'HIV-Pharmaceuticals'!$I$14:$I$99,0)),0)</f>
        <v>0</v>
      </c>
      <c r="O63" s="652">
        <f t="shared" si="3"/>
        <v>0</v>
      </c>
      <c r="P63" s="652">
        <f t="shared" si="4"/>
        <v>0</v>
      </c>
      <c r="Q63" s="652">
        <f t="shared" si="5"/>
        <v>0</v>
      </c>
      <c r="R63" s="651">
        <f t="array" ref="R63">IFERROR(INDEX('HIV-Pharmaceuticals'!$Q$14:$Q$99,MATCH($E63&amp;$F63,'HIV-Pharmaceuticals'!$E$14:$E$99&amp;'HIV-Pharmaceuticals'!$I$14:$I$99,0)),0)</f>
        <v>0</v>
      </c>
      <c r="S63" s="652">
        <f t="shared" si="6"/>
        <v>0</v>
      </c>
      <c r="T63" s="652">
        <f t="shared" si="7"/>
        <v>0</v>
      </c>
      <c r="U63" s="652">
        <f t="shared" si="8"/>
        <v>0</v>
      </c>
      <c r="V63" s="651">
        <f t="array" ref="V63">IFERROR(INDEX('HIV-Pharmaceuticals'!$R$14:$R$99,MATCH($E63&amp;$F63,'HIV-Pharmaceuticals'!$E$14:$E$99&amp;'HIV-Pharmaceuticals'!$I$14:$I$99,0)),0)</f>
        <v>0</v>
      </c>
      <c r="W63" s="652">
        <f t="shared" si="9"/>
        <v>0</v>
      </c>
      <c r="X63" s="652">
        <f t="shared" si="10"/>
        <v>0</v>
      </c>
      <c r="Y63" s="652">
        <f t="shared" si="11"/>
        <v>0</v>
      </c>
      <c r="Z63" s="653"/>
      <c r="AA63" s="651">
        <f t="array" ref="AA63">IFERROR(INDEX('HIV-Pharmaceuticals'!$U$14:$U$99,MATCH($E63&amp;$F63,'HIV-Pharmaceuticals'!$E$14:$E$99&amp;'HIV-Pharmaceuticals'!$I$14:$I$99,0)),0)</f>
        <v>0</v>
      </c>
      <c r="AB63" s="651">
        <f t="array" ref="AB63">IFERROR(INDEX('HIV-Pharmaceuticals'!$V$14:$V$99,MATCH($E63&amp;$F63,'HIV-Pharmaceuticals'!$E$14:$E$99&amp;'HIV-Pharmaceuticals'!$I$14:$I$99,0)),0)</f>
        <v>0</v>
      </c>
      <c r="AC63" s="652">
        <f t="shared" si="12"/>
        <v>0</v>
      </c>
      <c r="AD63" s="652">
        <f t="shared" si="13"/>
        <v>0</v>
      </c>
      <c r="AE63" s="652">
        <f t="shared" si="14"/>
        <v>0</v>
      </c>
      <c r="AF63" s="651">
        <f t="array" ref="AF63">IFERROR(INDEX('HIV-Pharmaceuticals'!$W$14:$W$99,MATCH($E63&amp;$F63,'HIV-Pharmaceuticals'!$E$14:$E$99&amp;'HIV-Pharmaceuticals'!$I$14:$I$99,0)),0)</f>
        <v>0</v>
      </c>
      <c r="AG63" s="652">
        <f t="shared" si="15"/>
        <v>0</v>
      </c>
      <c r="AH63" s="652">
        <f t="shared" si="16"/>
        <v>0</v>
      </c>
      <c r="AI63" s="652">
        <f t="shared" si="17"/>
        <v>0</v>
      </c>
      <c r="AJ63" s="651">
        <f t="array" ref="AJ63">IFERROR(INDEX('HIV-Pharmaceuticals'!$X$14:$X$99,MATCH($E63&amp;$F63,'HIV-Pharmaceuticals'!$E$14:$E$99&amp;'HIV-Pharmaceuticals'!$I$14:$I$99,0)),0)</f>
        <v>0</v>
      </c>
      <c r="AK63" s="652">
        <f t="shared" si="18"/>
        <v>0</v>
      </c>
      <c r="AL63" s="652">
        <f t="shared" si="19"/>
        <v>0</v>
      </c>
      <c r="AM63" s="652">
        <f t="shared" si="20"/>
        <v>0</v>
      </c>
      <c r="AN63" s="651">
        <f t="array" ref="AN63">IFERROR(INDEX('HIV-Pharmaceuticals'!$Y$14:$Y$99,MATCH($E63&amp;$F63,'HIV-Pharmaceuticals'!$E$14:$E$99&amp;'HIV-Pharmaceuticals'!$I$14:$I$99,0)),0)</f>
        <v>0</v>
      </c>
      <c r="AO63" s="652">
        <f t="shared" si="21"/>
        <v>0</v>
      </c>
      <c r="AP63" s="652">
        <f t="shared" si="22"/>
        <v>0</v>
      </c>
      <c r="AQ63" s="652">
        <f t="shared" si="23"/>
        <v>0</v>
      </c>
      <c r="AR63" s="653"/>
      <c r="AS63" s="651">
        <f t="array" ref="AS63">IFERROR(INDEX('HIV-Pharmaceuticals'!$AB$14:$AB$99,MATCH($E63&amp;$F63,'HIV-Pharmaceuticals'!$E$14:$E$99&amp;'HIV-Pharmaceuticals'!$I$14:$I$99,0)),0)</f>
        <v>0</v>
      </c>
      <c r="AT63" s="651">
        <f t="array" ref="AT63">IFERROR(INDEX('HIV-Pharmaceuticals'!$AC$14:$AC$99,MATCH($E63&amp;$F63,'HIV-Pharmaceuticals'!$E$14:$E$99&amp;'HIV-Pharmaceuticals'!$I$14:$I$99,0)),0)</f>
        <v>0</v>
      </c>
      <c r="AU63" s="652">
        <f t="shared" si="24"/>
        <v>0</v>
      </c>
      <c r="AV63" s="652">
        <f t="shared" si="25"/>
        <v>0</v>
      </c>
      <c r="AW63" s="652">
        <f t="shared" si="26"/>
        <v>0</v>
      </c>
      <c r="AX63" s="651">
        <f t="array" ref="AX63">IFERROR(INDEX('HIV-Pharmaceuticals'!$AD$14:$AD$99,MATCH($E63&amp;$F63,'HIV-Pharmaceuticals'!$E$14:$E$99&amp;'HIV-Pharmaceuticals'!$I$14:$I$99,0)),0)</f>
        <v>0</v>
      </c>
      <c r="AY63" s="652">
        <f t="shared" si="27"/>
        <v>0</v>
      </c>
      <c r="AZ63" s="652">
        <f t="shared" si="28"/>
        <v>0</v>
      </c>
      <c r="BA63" s="652">
        <f t="shared" si="29"/>
        <v>0</v>
      </c>
      <c r="BB63" s="651">
        <f t="array" ref="BB63">IFERROR(INDEX('HIV-Pharmaceuticals'!$AE$14:$AE$99,MATCH($E63&amp;$F63,'HIV-Pharmaceuticals'!$E$14:$E$99&amp;'HIV-Pharmaceuticals'!$I$14:$I$99,0)),0)</f>
        <v>0</v>
      </c>
      <c r="BC63" s="652">
        <f t="shared" si="30"/>
        <v>0</v>
      </c>
      <c r="BD63" s="652">
        <f t="shared" si="31"/>
        <v>0</v>
      </c>
      <c r="BE63" s="652">
        <f t="shared" si="32"/>
        <v>0</v>
      </c>
      <c r="BF63" s="651">
        <f t="array" ref="BF63">IFERROR(INDEX('HIV-Pharmaceuticals'!$AF$14:$AF$99,MATCH($E63&amp;$F63,'HIV-Pharmaceuticals'!$E$14:$E$99&amp;'HIV-Pharmaceuticals'!$I$14:$I$99,0)),0)</f>
        <v>0</v>
      </c>
      <c r="BG63" s="652">
        <f t="shared" si="33"/>
        <v>0</v>
      </c>
      <c r="BH63" s="652">
        <f t="shared" si="34"/>
        <v>0</v>
      </c>
      <c r="BI63" s="652">
        <f t="shared" si="35"/>
        <v>0</v>
      </c>
      <c r="BK63" s="654"/>
      <c r="BL63" s="654"/>
      <c r="BM63" s="654"/>
      <c r="BN63" s="654"/>
      <c r="BO63" s="654"/>
      <c r="BP63" s="654"/>
      <c r="BQ63" s="654"/>
      <c r="BR63" s="654"/>
    </row>
    <row r="64" spans="1:70" s="646" customFormat="1">
      <c r="A64" s="647" t="s">
        <v>561</v>
      </c>
      <c r="B64" s="647" t="s">
        <v>819</v>
      </c>
      <c r="C64" s="648">
        <f>SETUP!$F$20</f>
        <v>0</v>
      </c>
      <c r="D64" s="649">
        <v>4.0999999999999996</v>
      </c>
      <c r="E64" s="647" t="s">
        <v>123</v>
      </c>
      <c r="F64" s="647" t="s">
        <v>138</v>
      </c>
      <c r="G64" s="650" t="str">
        <f t="array" ref="G64">IFERROR(INDEX('HIV-Pharmaceuticals'!$L$14:$L$99,MATCH($E64&amp;$F64,'HIV-Pharmaceuticals'!$E$14:$E$99&amp;'HIV-Pharmaceuticals'!$I$14:$I$99,0)),"")</f>
        <v/>
      </c>
      <c r="H64" s="650" t="str">
        <f t="array" ref="H64">IFERROR(INDEX('HIV-Pharmaceuticals'!$M$14:$M$99,MATCH($E64&amp;$F64,'HIV-Pharmaceuticals'!$E$14:$E$99&amp;'HIV-Pharmaceuticals'!$I$14:$I$99,0)),"")</f>
        <v/>
      </c>
      <c r="I64" s="651">
        <f t="array" ref="I64">IFERROR(INDEX('HIV-Pharmaceuticals'!$N$14:$N$99,MATCH($E64&amp;$F64,'HIV-Pharmaceuticals'!$E$14:$E$99&amp;'HIV-Pharmaceuticals'!$I$14:$I$99,0)),0)</f>
        <v>0</v>
      </c>
      <c r="J64" s="651">
        <f t="array" ref="J64">IFERROR(INDEX('HIV-Pharmaceuticals'!$O$14:$O$99,MATCH($E64&amp;$F64,'HIV-Pharmaceuticals'!$E$14:$E$99&amp;'HIV-Pharmaceuticals'!$I$14:$I$99,0)),0)</f>
        <v>0</v>
      </c>
      <c r="K64" s="652">
        <f t="shared" si="0"/>
        <v>0</v>
      </c>
      <c r="L64" s="652">
        <f t="shared" si="1"/>
        <v>0</v>
      </c>
      <c r="M64" s="652">
        <f t="shared" si="2"/>
        <v>0</v>
      </c>
      <c r="N64" s="651">
        <f t="array" ref="N64">IFERROR(INDEX('HIV-Pharmaceuticals'!$P$14:$P$99,MATCH($E64&amp;$F64,'HIV-Pharmaceuticals'!$E$14:$E$99&amp;'HIV-Pharmaceuticals'!$I$14:$I$99,0)),0)</f>
        <v>0</v>
      </c>
      <c r="O64" s="652">
        <f t="shared" si="3"/>
        <v>0</v>
      </c>
      <c r="P64" s="652">
        <f t="shared" si="4"/>
        <v>0</v>
      </c>
      <c r="Q64" s="652">
        <f t="shared" si="5"/>
        <v>0</v>
      </c>
      <c r="R64" s="651">
        <f t="array" ref="R64">IFERROR(INDEX('HIV-Pharmaceuticals'!$Q$14:$Q$99,MATCH($E64&amp;$F64,'HIV-Pharmaceuticals'!$E$14:$E$99&amp;'HIV-Pharmaceuticals'!$I$14:$I$99,0)),0)</f>
        <v>0</v>
      </c>
      <c r="S64" s="652">
        <f t="shared" si="6"/>
        <v>0</v>
      </c>
      <c r="T64" s="652">
        <f t="shared" si="7"/>
        <v>0</v>
      </c>
      <c r="U64" s="652">
        <f t="shared" si="8"/>
        <v>0</v>
      </c>
      <c r="V64" s="651">
        <f t="array" ref="V64">IFERROR(INDEX('HIV-Pharmaceuticals'!$R$14:$R$99,MATCH($E64&amp;$F64,'HIV-Pharmaceuticals'!$E$14:$E$99&amp;'HIV-Pharmaceuticals'!$I$14:$I$99,0)),0)</f>
        <v>0</v>
      </c>
      <c r="W64" s="652">
        <f t="shared" si="9"/>
        <v>0</v>
      </c>
      <c r="X64" s="652">
        <f t="shared" si="10"/>
        <v>0</v>
      </c>
      <c r="Y64" s="652">
        <f t="shared" si="11"/>
        <v>0</v>
      </c>
      <c r="Z64" s="653"/>
      <c r="AA64" s="651">
        <f t="array" ref="AA64">IFERROR(INDEX('HIV-Pharmaceuticals'!$U$14:$U$99,MATCH($E64&amp;$F64,'HIV-Pharmaceuticals'!$E$14:$E$99&amp;'HIV-Pharmaceuticals'!$I$14:$I$99,0)),0)</f>
        <v>0</v>
      </c>
      <c r="AB64" s="651">
        <f t="array" ref="AB64">IFERROR(INDEX('HIV-Pharmaceuticals'!$V$14:$V$99,MATCH($E64&amp;$F64,'HIV-Pharmaceuticals'!$E$14:$E$99&amp;'HIV-Pharmaceuticals'!$I$14:$I$99,0)),0)</f>
        <v>0</v>
      </c>
      <c r="AC64" s="652">
        <f t="shared" si="12"/>
        <v>0</v>
      </c>
      <c r="AD64" s="652">
        <f t="shared" si="13"/>
        <v>0</v>
      </c>
      <c r="AE64" s="652">
        <f t="shared" si="14"/>
        <v>0</v>
      </c>
      <c r="AF64" s="651">
        <f t="array" ref="AF64">IFERROR(INDEX('HIV-Pharmaceuticals'!$W$14:$W$99,MATCH($E64&amp;$F64,'HIV-Pharmaceuticals'!$E$14:$E$99&amp;'HIV-Pharmaceuticals'!$I$14:$I$99,0)),0)</f>
        <v>0</v>
      </c>
      <c r="AG64" s="652">
        <f t="shared" si="15"/>
        <v>0</v>
      </c>
      <c r="AH64" s="652">
        <f t="shared" si="16"/>
        <v>0</v>
      </c>
      <c r="AI64" s="652">
        <f t="shared" si="17"/>
        <v>0</v>
      </c>
      <c r="AJ64" s="651">
        <f t="array" ref="AJ64">IFERROR(INDEX('HIV-Pharmaceuticals'!$X$14:$X$99,MATCH($E64&amp;$F64,'HIV-Pharmaceuticals'!$E$14:$E$99&amp;'HIV-Pharmaceuticals'!$I$14:$I$99,0)),0)</f>
        <v>0</v>
      </c>
      <c r="AK64" s="652">
        <f t="shared" si="18"/>
        <v>0</v>
      </c>
      <c r="AL64" s="652">
        <f t="shared" si="19"/>
        <v>0</v>
      </c>
      <c r="AM64" s="652">
        <f t="shared" si="20"/>
        <v>0</v>
      </c>
      <c r="AN64" s="651">
        <f t="array" ref="AN64">IFERROR(INDEX('HIV-Pharmaceuticals'!$Y$14:$Y$99,MATCH($E64&amp;$F64,'HIV-Pharmaceuticals'!$E$14:$E$99&amp;'HIV-Pharmaceuticals'!$I$14:$I$99,0)),0)</f>
        <v>0</v>
      </c>
      <c r="AO64" s="652">
        <f t="shared" si="21"/>
        <v>0</v>
      </c>
      <c r="AP64" s="652">
        <f t="shared" si="22"/>
        <v>0</v>
      </c>
      <c r="AQ64" s="652">
        <f t="shared" si="23"/>
        <v>0</v>
      </c>
      <c r="AR64" s="653"/>
      <c r="AS64" s="651">
        <f t="array" ref="AS64">IFERROR(INDEX('HIV-Pharmaceuticals'!$AB$14:$AB$99,MATCH($E64&amp;$F64,'HIV-Pharmaceuticals'!$E$14:$E$99&amp;'HIV-Pharmaceuticals'!$I$14:$I$99,0)),0)</f>
        <v>0</v>
      </c>
      <c r="AT64" s="651">
        <f t="array" ref="AT64">IFERROR(INDEX('HIV-Pharmaceuticals'!$AC$14:$AC$99,MATCH($E64&amp;$F64,'HIV-Pharmaceuticals'!$E$14:$E$99&amp;'HIV-Pharmaceuticals'!$I$14:$I$99,0)),0)</f>
        <v>0</v>
      </c>
      <c r="AU64" s="652">
        <f t="shared" si="24"/>
        <v>0</v>
      </c>
      <c r="AV64" s="652">
        <f t="shared" si="25"/>
        <v>0</v>
      </c>
      <c r="AW64" s="652">
        <f t="shared" si="26"/>
        <v>0</v>
      </c>
      <c r="AX64" s="651">
        <f t="array" ref="AX64">IFERROR(INDEX('HIV-Pharmaceuticals'!$AD$14:$AD$99,MATCH($E64&amp;$F64,'HIV-Pharmaceuticals'!$E$14:$E$99&amp;'HIV-Pharmaceuticals'!$I$14:$I$99,0)),0)</f>
        <v>0</v>
      </c>
      <c r="AY64" s="652">
        <f t="shared" si="27"/>
        <v>0</v>
      </c>
      <c r="AZ64" s="652">
        <f t="shared" si="28"/>
        <v>0</v>
      </c>
      <c r="BA64" s="652">
        <f t="shared" si="29"/>
        <v>0</v>
      </c>
      <c r="BB64" s="651">
        <f t="array" ref="BB64">IFERROR(INDEX('HIV-Pharmaceuticals'!$AE$14:$AE$99,MATCH($E64&amp;$F64,'HIV-Pharmaceuticals'!$E$14:$E$99&amp;'HIV-Pharmaceuticals'!$I$14:$I$99,0)),0)</f>
        <v>0</v>
      </c>
      <c r="BC64" s="652">
        <f t="shared" si="30"/>
        <v>0</v>
      </c>
      <c r="BD64" s="652">
        <f t="shared" si="31"/>
        <v>0</v>
      </c>
      <c r="BE64" s="652">
        <f t="shared" si="32"/>
        <v>0</v>
      </c>
      <c r="BF64" s="651">
        <f t="array" ref="BF64">IFERROR(INDEX('HIV-Pharmaceuticals'!$AF$14:$AF$99,MATCH($E64&amp;$F64,'HIV-Pharmaceuticals'!$E$14:$E$99&amp;'HIV-Pharmaceuticals'!$I$14:$I$99,0)),0)</f>
        <v>0</v>
      </c>
      <c r="BG64" s="652">
        <f t="shared" si="33"/>
        <v>0</v>
      </c>
      <c r="BH64" s="652">
        <f t="shared" si="34"/>
        <v>0</v>
      </c>
      <c r="BI64" s="652">
        <f t="shared" si="35"/>
        <v>0</v>
      </c>
      <c r="BK64" s="654"/>
      <c r="BL64" s="654"/>
      <c r="BM64" s="654"/>
      <c r="BN64" s="654"/>
      <c r="BO64" s="654"/>
      <c r="BP64" s="654"/>
      <c r="BQ64" s="654"/>
      <c r="BR64" s="654"/>
    </row>
    <row r="65" spans="1:70" s="646" customFormat="1">
      <c r="A65" s="647" t="s">
        <v>561</v>
      </c>
      <c r="B65" s="647" t="s">
        <v>819</v>
      </c>
      <c r="C65" s="648">
        <f>SETUP!$F$20</f>
        <v>0</v>
      </c>
      <c r="D65" s="649">
        <v>4.0999999999999996</v>
      </c>
      <c r="E65" s="647" t="s">
        <v>123</v>
      </c>
      <c r="F65" s="647" t="s">
        <v>139</v>
      </c>
      <c r="G65" s="650" t="str">
        <f t="array" ref="G65">IFERROR(INDEX('HIV-Pharmaceuticals'!$L$14:$L$99,MATCH($E65&amp;$F65,'HIV-Pharmaceuticals'!$E$14:$E$99&amp;'HIV-Pharmaceuticals'!$I$14:$I$99,0)),"")</f>
        <v/>
      </c>
      <c r="H65" s="650" t="str">
        <f t="array" ref="H65">IFERROR(INDEX('HIV-Pharmaceuticals'!$M$14:$M$99,MATCH($E65&amp;$F65,'HIV-Pharmaceuticals'!$E$14:$E$99&amp;'HIV-Pharmaceuticals'!$I$14:$I$99,0)),"")</f>
        <v/>
      </c>
      <c r="I65" s="651">
        <f t="array" ref="I65">IFERROR(INDEX('HIV-Pharmaceuticals'!$N$14:$N$99,MATCH($E65&amp;$F65,'HIV-Pharmaceuticals'!$E$14:$E$99&amp;'HIV-Pharmaceuticals'!$I$14:$I$99,0)),0)</f>
        <v>0</v>
      </c>
      <c r="J65" s="651">
        <f t="array" ref="J65">IFERROR(INDEX('HIV-Pharmaceuticals'!$O$14:$O$99,MATCH($E65&amp;$F65,'HIV-Pharmaceuticals'!$E$14:$E$99&amp;'HIV-Pharmaceuticals'!$I$14:$I$99,0)),0)</f>
        <v>0</v>
      </c>
      <c r="K65" s="652">
        <f t="shared" si="0"/>
        <v>0</v>
      </c>
      <c r="L65" s="652">
        <f t="shared" si="1"/>
        <v>0</v>
      </c>
      <c r="M65" s="652">
        <f t="shared" si="2"/>
        <v>0</v>
      </c>
      <c r="N65" s="651">
        <f t="array" ref="N65">IFERROR(INDEX('HIV-Pharmaceuticals'!$P$14:$P$99,MATCH($E65&amp;$F65,'HIV-Pharmaceuticals'!$E$14:$E$99&amp;'HIV-Pharmaceuticals'!$I$14:$I$99,0)),0)</f>
        <v>0</v>
      </c>
      <c r="O65" s="652">
        <f t="shared" si="3"/>
        <v>0</v>
      </c>
      <c r="P65" s="652">
        <f t="shared" si="4"/>
        <v>0</v>
      </c>
      <c r="Q65" s="652">
        <f t="shared" si="5"/>
        <v>0</v>
      </c>
      <c r="R65" s="651">
        <f t="array" ref="R65">IFERROR(INDEX('HIV-Pharmaceuticals'!$Q$14:$Q$99,MATCH($E65&amp;$F65,'HIV-Pharmaceuticals'!$E$14:$E$99&amp;'HIV-Pharmaceuticals'!$I$14:$I$99,0)),0)</f>
        <v>0</v>
      </c>
      <c r="S65" s="652">
        <f t="shared" si="6"/>
        <v>0</v>
      </c>
      <c r="T65" s="652">
        <f t="shared" si="7"/>
        <v>0</v>
      </c>
      <c r="U65" s="652">
        <f t="shared" si="8"/>
        <v>0</v>
      </c>
      <c r="V65" s="651">
        <f t="array" ref="V65">IFERROR(INDEX('HIV-Pharmaceuticals'!$R$14:$R$99,MATCH($E65&amp;$F65,'HIV-Pharmaceuticals'!$E$14:$E$99&amp;'HIV-Pharmaceuticals'!$I$14:$I$99,0)),0)</f>
        <v>0</v>
      </c>
      <c r="W65" s="652">
        <f t="shared" si="9"/>
        <v>0</v>
      </c>
      <c r="X65" s="652">
        <f t="shared" si="10"/>
        <v>0</v>
      </c>
      <c r="Y65" s="652">
        <f t="shared" si="11"/>
        <v>0</v>
      </c>
      <c r="Z65" s="653"/>
      <c r="AA65" s="651">
        <f t="array" ref="AA65">IFERROR(INDEX('HIV-Pharmaceuticals'!$U$14:$U$99,MATCH($E65&amp;$F65,'HIV-Pharmaceuticals'!$E$14:$E$99&amp;'HIV-Pharmaceuticals'!$I$14:$I$99,0)),0)</f>
        <v>0</v>
      </c>
      <c r="AB65" s="651">
        <f t="array" ref="AB65">IFERROR(INDEX('HIV-Pharmaceuticals'!$V$14:$V$99,MATCH($E65&amp;$F65,'HIV-Pharmaceuticals'!$E$14:$E$99&amp;'HIV-Pharmaceuticals'!$I$14:$I$99,0)),0)</f>
        <v>0</v>
      </c>
      <c r="AC65" s="652">
        <f t="shared" si="12"/>
        <v>0</v>
      </c>
      <c r="AD65" s="652">
        <f t="shared" si="13"/>
        <v>0</v>
      </c>
      <c r="AE65" s="652">
        <f t="shared" si="14"/>
        <v>0</v>
      </c>
      <c r="AF65" s="651">
        <f t="array" ref="AF65">IFERROR(INDEX('HIV-Pharmaceuticals'!$W$14:$W$99,MATCH($E65&amp;$F65,'HIV-Pharmaceuticals'!$E$14:$E$99&amp;'HIV-Pharmaceuticals'!$I$14:$I$99,0)),0)</f>
        <v>0</v>
      </c>
      <c r="AG65" s="652">
        <f t="shared" si="15"/>
        <v>0</v>
      </c>
      <c r="AH65" s="652">
        <f t="shared" si="16"/>
        <v>0</v>
      </c>
      <c r="AI65" s="652">
        <f t="shared" si="17"/>
        <v>0</v>
      </c>
      <c r="AJ65" s="651">
        <f t="array" ref="AJ65">IFERROR(INDEX('HIV-Pharmaceuticals'!$X$14:$X$99,MATCH($E65&amp;$F65,'HIV-Pharmaceuticals'!$E$14:$E$99&amp;'HIV-Pharmaceuticals'!$I$14:$I$99,0)),0)</f>
        <v>0</v>
      </c>
      <c r="AK65" s="652">
        <f t="shared" si="18"/>
        <v>0</v>
      </c>
      <c r="AL65" s="652">
        <f t="shared" si="19"/>
        <v>0</v>
      </c>
      <c r="AM65" s="652">
        <f t="shared" si="20"/>
        <v>0</v>
      </c>
      <c r="AN65" s="651">
        <f t="array" ref="AN65">IFERROR(INDEX('HIV-Pharmaceuticals'!$Y$14:$Y$99,MATCH($E65&amp;$F65,'HIV-Pharmaceuticals'!$E$14:$E$99&amp;'HIV-Pharmaceuticals'!$I$14:$I$99,0)),0)</f>
        <v>0</v>
      </c>
      <c r="AO65" s="652">
        <f t="shared" si="21"/>
        <v>0</v>
      </c>
      <c r="AP65" s="652">
        <f t="shared" si="22"/>
        <v>0</v>
      </c>
      <c r="AQ65" s="652">
        <f t="shared" si="23"/>
        <v>0</v>
      </c>
      <c r="AR65" s="653"/>
      <c r="AS65" s="651">
        <f t="array" ref="AS65">IFERROR(INDEX('HIV-Pharmaceuticals'!$AB$14:$AB$99,MATCH($E65&amp;$F65,'HIV-Pharmaceuticals'!$E$14:$E$99&amp;'HIV-Pharmaceuticals'!$I$14:$I$99,0)),0)</f>
        <v>0</v>
      </c>
      <c r="AT65" s="651">
        <f t="array" ref="AT65">IFERROR(INDEX('HIV-Pharmaceuticals'!$AC$14:$AC$99,MATCH($E65&amp;$F65,'HIV-Pharmaceuticals'!$E$14:$E$99&amp;'HIV-Pharmaceuticals'!$I$14:$I$99,0)),0)</f>
        <v>0</v>
      </c>
      <c r="AU65" s="652">
        <f t="shared" si="24"/>
        <v>0</v>
      </c>
      <c r="AV65" s="652">
        <f t="shared" si="25"/>
        <v>0</v>
      </c>
      <c r="AW65" s="652">
        <f t="shared" si="26"/>
        <v>0</v>
      </c>
      <c r="AX65" s="651">
        <f t="array" ref="AX65">IFERROR(INDEX('HIV-Pharmaceuticals'!$AD$14:$AD$99,MATCH($E65&amp;$F65,'HIV-Pharmaceuticals'!$E$14:$E$99&amp;'HIV-Pharmaceuticals'!$I$14:$I$99,0)),0)</f>
        <v>0</v>
      </c>
      <c r="AY65" s="652">
        <f t="shared" si="27"/>
        <v>0</v>
      </c>
      <c r="AZ65" s="652">
        <f t="shared" si="28"/>
        <v>0</v>
      </c>
      <c r="BA65" s="652">
        <f t="shared" si="29"/>
        <v>0</v>
      </c>
      <c r="BB65" s="651">
        <f t="array" ref="BB65">IFERROR(INDEX('HIV-Pharmaceuticals'!$AE$14:$AE$99,MATCH($E65&amp;$F65,'HIV-Pharmaceuticals'!$E$14:$E$99&amp;'HIV-Pharmaceuticals'!$I$14:$I$99,0)),0)</f>
        <v>0</v>
      </c>
      <c r="BC65" s="652">
        <f t="shared" si="30"/>
        <v>0</v>
      </c>
      <c r="BD65" s="652">
        <f t="shared" si="31"/>
        <v>0</v>
      </c>
      <c r="BE65" s="652">
        <f t="shared" si="32"/>
        <v>0</v>
      </c>
      <c r="BF65" s="651">
        <f t="array" ref="BF65">IFERROR(INDEX('HIV-Pharmaceuticals'!$AF$14:$AF$99,MATCH($E65&amp;$F65,'HIV-Pharmaceuticals'!$E$14:$E$99&amp;'HIV-Pharmaceuticals'!$I$14:$I$99,0)),0)</f>
        <v>0</v>
      </c>
      <c r="BG65" s="652">
        <f t="shared" si="33"/>
        <v>0</v>
      </c>
      <c r="BH65" s="652">
        <f t="shared" si="34"/>
        <v>0</v>
      </c>
      <c r="BI65" s="652">
        <f t="shared" si="35"/>
        <v>0</v>
      </c>
      <c r="BK65" s="654"/>
      <c r="BL65" s="654"/>
      <c r="BM65" s="654"/>
      <c r="BN65" s="654"/>
      <c r="BO65" s="654"/>
      <c r="BP65" s="654"/>
      <c r="BQ65" s="654"/>
      <c r="BR65" s="654"/>
    </row>
    <row r="66" spans="1:70" s="646" customFormat="1">
      <c r="A66" s="647" t="s">
        <v>561</v>
      </c>
      <c r="B66" s="647" t="s">
        <v>819</v>
      </c>
      <c r="C66" s="648">
        <f>SETUP!$F$20</f>
        <v>0</v>
      </c>
      <c r="D66" s="649">
        <v>4.0999999999999996</v>
      </c>
      <c r="E66" s="647" t="s">
        <v>124</v>
      </c>
      <c r="F66" s="647" t="s">
        <v>1649</v>
      </c>
      <c r="G66" s="650" t="str">
        <f t="array" ref="G66">IFERROR(INDEX('HIV-Pharmaceuticals'!$L$14:$L$99,MATCH($E66&amp;$F66,'HIV-Pharmaceuticals'!$E$14:$E$99&amp;'HIV-Pharmaceuticals'!$I$14:$I$99,0)),"")</f>
        <v/>
      </c>
      <c r="H66" s="650" t="str">
        <f t="array" ref="H66">IFERROR(INDEX('HIV-Pharmaceuticals'!$M$14:$M$99,MATCH($E66&amp;$F66,'HIV-Pharmaceuticals'!$E$14:$E$99&amp;'HIV-Pharmaceuticals'!$I$14:$I$99,0)),"")</f>
        <v/>
      </c>
      <c r="I66" s="651">
        <f t="array" ref="I66">IFERROR(INDEX('HIV-Pharmaceuticals'!$N$14:$N$99,MATCH($E66&amp;$F66,'HIV-Pharmaceuticals'!$E$14:$E$99&amp;'HIV-Pharmaceuticals'!$I$14:$I$99,0)),0)</f>
        <v>0</v>
      </c>
      <c r="J66" s="651">
        <f t="array" ref="J66">IFERROR(INDEX('HIV-Pharmaceuticals'!$O$14:$O$99,MATCH($E66&amp;$F66,'HIV-Pharmaceuticals'!$E$14:$E$99&amp;'HIV-Pharmaceuticals'!$I$14:$I$99,0)),0)</f>
        <v>0</v>
      </c>
      <c r="K66" s="652">
        <f t="shared" si="0"/>
        <v>0</v>
      </c>
      <c r="L66" s="652">
        <f t="shared" si="1"/>
        <v>0</v>
      </c>
      <c r="M66" s="652">
        <f t="shared" si="2"/>
        <v>0</v>
      </c>
      <c r="N66" s="651">
        <f t="array" ref="N66">IFERROR(INDEX('HIV-Pharmaceuticals'!$P$14:$P$99,MATCH($E66&amp;$F66,'HIV-Pharmaceuticals'!$E$14:$E$99&amp;'HIV-Pharmaceuticals'!$I$14:$I$99,0)),0)</f>
        <v>0</v>
      </c>
      <c r="O66" s="652">
        <f t="shared" si="3"/>
        <v>0</v>
      </c>
      <c r="P66" s="652">
        <f t="shared" si="4"/>
        <v>0</v>
      </c>
      <c r="Q66" s="652">
        <f t="shared" si="5"/>
        <v>0</v>
      </c>
      <c r="R66" s="651">
        <f t="array" ref="R66">IFERROR(INDEX('HIV-Pharmaceuticals'!$Q$14:$Q$99,MATCH($E66&amp;$F66,'HIV-Pharmaceuticals'!$E$14:$E$99&amp;'HIV-Pharmaceuticals'!$I$14:$I$99,0)),0)</f>
        <v>0</v>
      </c>
      <c r="S66" s="652">
        <f t="shared" si="6"/>
        <v>0</v>
      </c>
      <c r="T66" s="652">
        <f t="shared" si="7"/>
        <v>0</v>
      </c>
      <c r="U66" s="652">
        <f t="shared" si="8"/>
        <v>0</v>
      </c>
      <c r="V66" s="651">
        <f t="array" ref="V66">IFERROR(INDEX('HIV-Pharmaceuticals'!$R$14:$R$99,MATCH($E66&amp;$F66,'HIV-Pharmaceuticals'!$E$14:$E$99&amp;'HIV-Pharmaceuticals'!$I$14:$I$99,0)),0)</f>
        <v>0</v>
      </c>
      <c r="W66" s="652">
        <f t="shared" si="9"/>
        <v>0</v>
      </c>
      <c r="X66" s="652">
        <f t="shared" si="10"/>
        <v>0</v>
      </c>
      <c r="Y66" s="652">
        <f t="shared" si="11"/>
        <v>0</v>
      </c>
      <c r="Z66" s="653"/>
      <c r="AA66" s="651">
        <f t="array" ref="AA66">IFERROR(INDEX('HIV-Pharmaceuticals'!$U$14:$U$99,MATCH($E66&amp;$F66,'HIV-Pharmaceuticals'!$E$14:$E$99&amp;'HIV-Pharmaceuticals'!$I$14:$I$99,0)),0)</f>
        <v>0</v>
      </c>
      <c r="AB66" s="651">
        <f t="array" ref="AB66">IFERROR(INDEX('HIV-Pharmaceuticals'!$V$14:$V$99,MATCH($E66&amp;$F66,'HIV-Pharmaceuticals'!$E$14:$E$99&amp;'HIV-Pharmaceuticals'!$I$14:$I$99,0)),0)</f>
        <v>0</v>
      </c>
      <c r="AC66" s="652">
        <f t="shared" si="12"/>
        <v>0</v>
      </c>
      <c r="AD66" s="652">
        <f t="shared" si="13"/>
        <v>0</v>
      </c>
      <c r="AE66" s="652">
        <f t="shared" si="14"/>
        <v>0</v>
      </c>
      <c r="AF66" s="651">
        <f t="array" ref="AF66">IFERROR(INDEX('HIV-Pharmaceuticals'!$W$14:$W$99,MATCH($E66&amp;$F66,'HIV-Pharmaceuticals'!$E$14:$E$99&amp;'HIV-Pharmaceuticals'!$I$14:$I$99,0)),0)</f>
        <v>0</v>
      </c>
      <c r="AG66" s="652">
        <f t="shared" si="15"/>
        <v>0</v>
      </c>
      <c r="AH66" s="652">
        <f t="shared" si="16"/>
        <v>0</v>
      </c>
      <c r="AI66" s="652">
        <f t="shared" si="17"/>
        <v>0</v>
      </c>
      <c r="AJ66" s="651">
        <f t="array" ref="AJ66">IFERROR(INDEX('HIV-Pharmaceuticals'!$X$14:$X$99,MATCH($E66&amp;$F66,'HIV-Pharmaceuticals'!$E$14:$E$99&amp;'HIV-Pharmaceuticals'!$I$14:$I$99,0)),0)</f>
        <v>0</v>
      </c>
      <c r="AK66" s="652">
        <f t="shared" si="18"/>
        <v>0</v>
      </c>
      <c r="AL66" s="652">
        <f t="shared" si="19"/>
        <v>0</v>
      </c>
      <c r="AM66" s="652">
        <f t="shared" si="20"/>
        <v>0</v>
      </c>
      <c r="AN66" s="651">
        <f t="array" ref="AN66">IFERROR(INDEX('HIV-Pharmaceuticals'!$Y$14:$Y$99,MATCH($E66&amp;$F66,'HIV-Pharmaceuticals'!$E$14:$E$99&amp;'HIV-Pharmaceuticals'!$I$14:$I$99,0)),0)</f>
        <v>0</v>
      </c>
      <c r="AO66" s="652">
        <f t="shared" si="21"/>
        <v>0</v>
      </c>
      <c r="AP66" s="652">
        <f t="shared" si="22"/>
        <v>0</v>
      </c>
      <c r="AQ66" s="652">
        <f t="shared" si="23"/>
        <v>0</v>
      </c>
      <c r="AR66" s="653"/>
      <c r="AS66" s="651">
        <f t="array" ref="AS66">IFERROR(INDEX('HIV-Pharmaceuticals'!$AB$14:$AB$99,MATCH($E66&amp;$F66,'HIV-Pharmaceuticals'!$E$14:$E$99&amp;'HIV-Pharmaceuticals'!$I$14:$I$99,0)),0)</f>
        <v>0</v>
      </c>
      <c r="AT66" s="651">
        <f t="array" ref="AT66">IFERROR(INDEX('HIV-Pharmaceuticals'!$AC$14:$AC$99,MATCH($E66&amp;$F66,'HIV-Pharmaceuticals'!$E$14:$E$99&amp;'HIV-Pharmaceuticals'!$I$14:$I$99,0)),0)</f>
        <v>0</v>
      </c>
      <c r="AU66" s="652">
        <f t="shared" si="24"/>
        <v>0</v>
      </c>
      <c r="AV66" s="652">
        <f t="shared" si="25"/>
        <v>0</v>
      </c>
      <c r="AW66" s="652">
        <f t="shared" si="26"/>
        <v>0</v>
      </c>
      <c r="AX66" s="651">
        <f t="array" ref="AX66">IFERROR(INDEX('HIV-Pharmaceuticals'!$AD$14:$AD$99,MATCH($E66&amp;$F66,'HIV-Pharmaceuticals'!$E$14:$E$99&amp;'HIV-Pharmaceuticals'!$I$14:$I$99,0)),0)</f>
        <v>0</v>
      </c>
      <c r="AY66" s="652">
        <f t="shared" si="27"/>
        <v>0</v>
      </c>
      <c r="AZ66" s="652">
        <f t="shared" si="28"/>
        <v>0</v>
      </c>
      <c r="BA66" s="652">
        <f t="shared" si="29"/>
        <v>0</v>
      </c>
      <c r="BB66" s="651">
        <f t="array" ref="BB66">IFERROR(INDEX('HIV-Pharmaceuticals'!$AE$14:$AE$99,MATCH($E66&amp;$F66,'HIV-Pharmaceuticals'!$E$14:$E$99&amp;'HIV-Pharmaceuticals'!$I$14:$I$99,0)),0)</f>
        <v>0</v>
      </c>
      <c r="BC66" s="652">
        <f t="shared" si="30"/>
        <v>0</v>
      </c>
      <c r="BD66" s="652">
        <f t="shared" si="31"/>
        <v>0</v>
      </c>
      <c r="BE66" s="652">
        <f t="shared" si="32"/>
        <v>0</v>
      </c>
      <c r="BF66" s="651">
        <f t="array" ref="BF66">IFERROR(INDEX('HIV-Pharmaceuticals'!$AF$14:$AF$99,MATCH($E66&amp;$F66,'HIV-Pharmaceuticals'!$E$14:$E$99&amp;'HIV-Pharmaceuticals'!$I$14:$I$99,0)),0)</f>
        <v>0</v>
      </c>
      <c r="BG66" s="652">
        <f t="shared" si="33"/>
        <v>0</v>
      </c>
      <c r="BH66" s="652">
        <f t="shared" si="34"/>
        <v>0</v>
      </c>
      <c r="BI66" s="652">
        <f t="shared" si="35"/>
        <v>0</v>
      </c>
      <c r="BK66" s="654"/>
      <c r="BL66" s="654"/>
      <c r="BM66" s="654"/>
      <c r="BN66" s="654"/>
      <c r="BO66" s="654"/>
      <c r="BP66" s="654"/>
      <c r="BQ66" s="654"/>
      <c r="BR66" s="654"/>
    </row>
    <row r="67" spans="1:70" s="646" customFormat="1">
      <c r="A67" s="647" t="s">
        <v>561</v>
      </c>
      <c r="B67" s="647" t="s">
        <v>819</v>
      </c>
      <c r="C67" s="648">
        <f>SETUP!$F$20</f>
        <v>0</v>
      </c>
      <c r="D67" s="649">
        <v>4.0999999999999996</v>
      </c>
      <c r="E67" s="647" t="s">
        <v>124</v>
      </c>
      <c r="F67" s="647" t="s">
        <v>1650</v>
      </c>
      <c r="G67" s="650" t="str">
        <f t="array" ref="G67">IFERROR(INDEX('HIV-Pharmaceuticals'!$L$14:$L$99,MATCH($E67&amp;$F67,'HIV-Pharmaceuticals'!$E$14:$E$99&amp;'HIV-Pharmaceuticals'!$I$14:$I$99,0)),"")</f>
        <v/>
      </c>
      <c r="H67" s="650" t="str">
        <f t="array" ref="H67">IFERROR(INDEX('HIV-Pharmaceuticals'!$M$14:$M$99,MATCH($E67&amp;$F67,'HIV-Pharmaceuticals'!$E$14:$E$99&amp;'HIV-Pharmaceuticals'!$I$14:$I$99,0)),"")</f>
        <v/>
      </c>
      <c r="I67" s="651">
        <f t="array" ref="I67">IFERROR(INDEX('HIV-Pharmaceuticals'!$N$14:$N$99,MATCH($E67&amp;$F67,'HIV-Pharmaceuticals'!$E$14:$E$99&amp;'HIV-Pharmaceuticals'!$I$14:$I$99,0)),0)</f>
        <v>0</v>
      </c>
      <c r="J67" s="651">
        <f t="array" ref="J67">IFERROR(INDEX('HIV-Pharmaceuticals'!$O$14:$O$99,MATCH($E67&amp;$F67,'HIV-Pharmaceuticals'!$E$14:$E$99&amp;'HIV-Pharmaceuticals'!$I$14:$I$99,0)),0)</f>
        <v>0</v>
      </c>
      <c r="K67" s="652">
        <f t="shared" si="0"/>
        <v>0</v>
      </c>
      <c r="L67" s="652">
        <f t="shared" si="1"/>
        <v>0</v>
      </c>
      <c r="M67" s="652">
        <f t="shared" si="2"/>
        <v>0</v>
      </c>
      <c r="N67" s="651">
        <f t="array" ref="N67">IFERROR(INDEX('HIV-Pharmaceuticals'!$P$14:$P$99,MATCH($E67&amp;$F67,'HIV-Pharmaceuticals'!$E$14:$E$99&amp;'HIV-Pharmaceuticals'!$I$14:$I$99,0)),0)</f>
        <v>0</v>
      </c>
      <c r="O67" s="652">
        <f t="shared" si="3"/>
        <v>0</v>
      </c>
      <c r="P67" s="652">
        <f t="shared" si="4"/>
        <v>0</v>
      </c>
      <c r="Q67" s="652">
        <f t="shared" si="5"/>
        <v>0</v>
      </c>
      <c r="R67" s="651">
        <f t="array" ref="R67">IFERROR(INDEX('HIV-Pharmaceuticals'!$Q$14:$Q$99,MATCH($E67&amp;$F67,'HIV-Pharmaceuticals'!$E$14:$E$99&amp;'HIV-Pharmaceuticals'!$I$14:$I$99,0)),0)</f>
        <v>0</v>
      </c>
      <c r="S67" s="652">
        <f t="shared" si="6"/>
        <v>0</v>
      </c>
      <c r="T67" s="652">
        <f t="shared" si="7"/>
        <v>0</v>
      </c>
      <c r="U67" s="652">
        <f t="shared" si="8"/>
        <v>0</v>
      </c>
      <c r="V67" s="651">
        <f t="array" ref="V67">IFERROR(INDEX('HIV-Pharmaceuticals'!$R$14:$R$99,MATCH($E67&amp;$F67,'HIV-Pharmaceuticals'!$E$14:$E$99&amp;'HIV-Pharmaceuticals'!$I$14:$I$99,0)),0)</f>
        <v>0</v>
      </c>
      <c r="W67" s="652">
        <f t="shared" si="9"/>
        <v>0</v>
      </c>
      <c r="X67" s="652">
        <f t="shared" si="10"/>
        <v>0</v>
      </c>
      <c r="Y67" s="652">
        <f t="shared" si="11"/>
        <v>0</v>
      </c>
      <c r="Z67" s="653"/>
      <c r="AA67" s="651">
        <f t="array" ref="AA67">IFERROR(INDEX('HIV-Pharmaceuticals'!$U$14:$U$99,MATCH($E67&amp;$F67,'HIV-Pharmaceuticals'!$E$14:$E$99&amp;'HIV-Pharmaceuticals'!$I$14:$I$99,0)),0)</f>
        <v>0</v>
      </c>
      <c r="AB67" s="651">
        <f t="array" ref="AB67">IFERROR(INDEX('HIV-Pharmaceuticals'!$V$14:$V$99,MATCH($E67&amp;$F67,'HIV-Pharmaceuticals'!$E$14:$E$99&amp;'HIV-Pharmaceuticals'!$I$14:$I$99,0)),0)</f>
        <v>0</v>
      </c>
      <c r="AC67" s="652">
        <f t="shared" si="12"/>
        <v>0</v>
      </c>
      <c r="AD67" s="652">
        <f t="shared" si="13"/>
        <v>0</v>
      </c>
      <c r="AE67" s="652">
        <f t="shared" si="14"/>
        <v>0</v>
      </c>
      <c r="AF67" s="651">
        <f t="array" ref="AF67">IFERROR(INDEX('HIV-Pharmaceuticals'!$W$14:$W$99,MATCH($E67&amp;$F67,'HIV-Pharmaceuticals'!$E$14:$E$99&amp;'HIV-Pharmaceuticals'!$I$14:$I$99,0)),0)</f>
        <v>0</v>
      </c>
      <c r="AG67" s="652">
        <f t="shared" si="15"/>
        <v>0</v>
      </c>
      <c r="AH67" s="652">
        <f t="shared" si="16"/>
        <v>0</v>
      </c>
      <c r="AI67" s="652">
        <f t="shared" si="17"/>
        <v>0</v>
      </c>
      <c r="AJ67" s="651">
        <f t="array" ref="AJ67">IFERROR(INDEX('HIV-Pharmaceuticals'!$X$14:$X$99,MATCH($E67&amp;$F67,'HIV-Pharmaceuticals'!$E$14:$E$99&amp;'HIV-Pharmaceuticals'!$I$14:$I$99,0)),0)</f>
        <v>0</v>
      </c>
      <c r="AK67" s="652">
        <f t="shared" si="18"/>
        <v>0</v>
      </c>
      <c r="AL67" s="652">
        <f t="shared" si="19"/>
        <v>0</v>
      </c>
      <c r="AM67" s="652">
        <f t="shared" si="20"/>
        <v>0</v>
      </c>
      <c r="AN67" s="651">
        <f t="array" ref="AN67">IFERROR(INDEX('HIV-Pharmaceuticals'!$Y$14:$Y$99,MATCH($E67&amp;$F67,'HIV-Pharmaceuticals'!$E$14:$E$99&amp;'HIV-Pharmaceuticals'!$I$14:$I$99,0)),0)</f>
        <v>0</v>
      </c>
      <c r="AO67" s="652">
        <f t="shared" si="21"/>
        <v>0</v>
      </c>
      <c r="AP67" s="652">
        <f t="shared" si="22"/>
        <v>0</v>
      </c>
      <c r="AQ67" s="652">
        <f t="shared" si="23"/>
        <v>0</v>
      </c>
      <c r="AR67" s="653"/>
      <c r="AS67" s="651">
        <f t="array" ref="AS67">IFERROR(INDEX('HIV-Pharmaceuticals'!$AB$14:$AB$99,MATCH($E67&amp;$F67,'HIV-Pharmaceuticals'!$E$14:$E$99&amp;'HIV-Pharmaceuticals'!$I$14:$I$99,0)),0)</f>
        <v>0</v>
      </c>
      <c r="AT67" s="651">
        <f t="array" ref="AT67">IFERROR(INDEX('HIV-Pharmaceuticals'!$AC$14:$AC$99,MATCH($E67&amp;$F67,'HIV-Pharmaceuticals'!$E$14:$E$99&amp;'HIV-Pharmaceuticals'!$I$14:$I$99,0)),0)</f>
        <v>0</v>
      </c>
      <c r="AU67" s="652">
        <f t="shared" si="24"/>
        <v>0</v>
      </c>
      <c r="AV67" s="652">
        <f t="shared" si="25"/>
        <v>0</v>
      </c>
      <c r="AW67" s="652">
        <f t="shared" si="26"/>
        <v>0</v>
      </c>
      <c r="AX67" s="651">
        <f t="array" ref="AX67">IFERROR(INDEX('HIV-Pharmaceuticals'!$AD$14:$AD$99,MATCH($E67&amp;$F67,'HIV-Pharmaceuticals'!$E$14:$E$99&amp;'HIV-Pharmaceuticals'!$I$14:$I$99,0)),0)</f>
        <v>0</v>
      </c>
      <c r="AY67" s="652">
        <f t="shared" si="27"/>
        <v>0</v>
      </c>
      <c r="AZ67" s="652">
        <f t="shared" si="28"/>
        <v>0</v>
      </c>
      <c r="BA67" s="652">
        <f t="shared" si="29"/>
        <v>0</v>
      </c>
      <c r="BB67" s="651">
        <f t="array" ref="BB67">IFERROR(INDEX('HIV-Pharmaceuticals'!$AE$14:$AE$99,MATCH($E67&amp;$F67,'HIV-Pharmaceuticals'!$E$14:$E$99&amp;'HIV-Pharmaceuticals'!$I$14:$I$99,0)),0)</f>
        <v>0</v>
      </c>
      <c r="BC67" s="652">
        <f t="shared" si="30"/>
        <v>0</v>
      </c>
      <c r="BD67" s="652">
        <f t="shared" si="31"/>
        <v>0</v>
      </c>
      <c r="BE67" s="652">
        <f t="shared" si="32"/>
        <v>0</v>
      </c>
      <c r="BF67" s="651">
        <f t="array" ref="BF67">IFERROR(INDEX('HIV-Pharmaceuticals'!$AF$14:$AF$99,MATCH($E67&amp;$F67,'HIV-Pharmaceuticals'!$E$14:$E$99&amp;'HIV-Pharmaceuticals'!$I$14:$I$99,0)),0)</f>
        <v>0</v>
      </c>
      <c r="BG67" s="652">
        <f t="shared" si="33"/>
        <v>0</v>
      </c>
      <c r="BH67" s="652">
        <f t="shared" si="34"/>
        <v>0</v>
      </c>
      <c r="BI67" s="652">
        <f t="shared" si="35"/>
        <v>0</v>
      </c>
      <c r="BK67" s="654"/>
      <c r="BL67" s="654"/>
      <c r="BM67" s="654"/>
      <c r="BN67" s="654"/>
      <c r="BO67" s="654"/>
      <c r="BP67" s="654"/>
      <c r="BQ67" s="654"/>
      <c r="BR67" s="654"/>
    </row>
    <row r="68" spans="1:70" s="646" customFormat="1">
      <c r="A68" s="647" t="s">
        <v>561</v>
      </c>
      <c r="B68" s="647" t="s">
        <v>819</v>
      </c>
      <c r="C68" s="648">
        <f>SETUP!$F$20</f>
        <v>0</v>
      </c>
      <c r="D68" s="649">
        <v>4.0999999999999996</v>
      </c>
      <c r="E68" s="647" t="s">
        <v>124</v>
      </c>
      <c r="F68" s="647" t="s">
        <v>1651</v>
      </c>
      <c r="G68" s="650" t="str">
        <f t="array" ref="G68">IFERROR(INDEX('HIV-Pharmaceuticals'!$L$14:$L$99,MATCH($E68&amp;$F68,'HIV-Pharmaceuticals'!$E$14:$E$99&amp;'HIV-Pharmaceuticals'!$I$14:$I$99,0)),"")</f>
        <v/>
      </c>
      <c r="H68" s="650" t="str">
        <f t="array" ref="H68">IFERROR(INDEX('HIV-Pharmaceuticals'!$M$14:$M$99,MATCH($E68&amp;$F68,'HIV-Pharmaceuticals'!$E$14:$E$99&amp;'HIV-Pharmaceuticals'!$I$14:$I$99,0)),"")</f>
        <v/>
      </c>
      <c r="I68" s="651">
        <f t="array" ref="I68">IFERROR(INDEX('HIV-Pharmaceuticals'!$N$14:$N$99,MATCH($E68&amp;$F68,'HIV-Pharmaceuticals'!$E$14:$E$99&amp;'HIV-Pharmaceuticals'!$I$14:$I$99,0)),0)</f>
        <v>0</v>
      </c>
      <c r="J68" s="651">
        <f t="array" ref="J68">IFERROR(INDEX('HIV-Pharmaceuticals'!$O$14:$O$99,MATCH($E68&amp;$F68,'HIV-Pharmaceuticals'!$E$14:$E$99&amp;'HIV-Pharmaceuticals'!$I$14:$I$99,0)),0)</f>
        <v>0</v>
      </c>
      <c r="K68" s="652">
        <f t="shared" ref="K68:K109" si="36">IF(ISERROR($I68*J68),0,$I68*J68)</f>
        <v>0</v>
      </c>
      <c r="L68" s="652">
        <f t="shared" ref="L68:L109" si="37">IF(C68="Upfront",J68,0)</f>
        <v>0</v>
      </c>
      <c r="M68" s="652">
        <f t="shared" ref="M68:M109" si="38">IF(C68="Upfront",K68,0)</f>
        <v>0</v>
      </c>
      <c r="N68" s="651">
        <f t="array" ref="N68">IFERROR(INDEX('HIV-Pharmaceuticals'!$P$14:$P$99,MATCH($E68&amp;$F68,'HIV-Pharmaceuticals'!$E$14:$E$99&amp;'HIV-Pharmaceuticals'!$I$14:$I$99,0)),0)</f>
        <v>0</v>
      </c>
      <c r="O68" s="652">
        <f t="shared" ref="O68:O109" si="39">IF(ISERROR($I68*N68),0,$I68*N68)</f>
        <v>0</v>
      </c>
      <c r="P68" s="652">
        <f t="shared" ref="P68:P109" si="40">IF(C68="Upfront",N68,0)</f>
        <v>0</v>
      </c>
      <c r="Q68" s="652">
        <f t="shared" ref="Q68:Q109" si="41">IF(C68="Upfront",O68,0)</f>
        <v>0</v>
      </c>
      <c r="R68" s="651">
        <f t="array" ref="R68">IFERROR(INDEX('HIV-Pharmaceuticals'!$Q$14:$Q$99,MATCH($E68&amp;$F68,'HIV-Pharmaceuticals'!$E$14:$E$99&amp;'HIV-Pharmaceuticals'!$I$14:$I$99,0)),0)</f>
        <v>0</v>
      </c>
      <c r="S68" s="652">
        <f t="shared" ref="S68:S109" si="42">IF(ISERROR($I68*R68),0,$I68*R68)</f>
        <v>0</v>
      </c>
      <c r="T68" s="652">
        <f t="shared" ref="T68:T109" si="43">IF(C68="Upfront",R68,IF(C68="At delivery",J68,0))</f>
        <v>0</v>
      </c>
      <c r="U68" s="652">
        <f t="shared" ref="U68:U109" si="44">IF(C68="Upfront",S68,IF(C68="At delivery",K68,0))</f>
        <v>0</v>
      </c>
      <c r="V68" s="651">
        <f t="array" ref="V68">IFERROR(INDEX('HIV-Pharmaceuticals'!$R$14:$R$99,MATCH($E68&amp;$F68,'HIV-Pharmaceuticals'!$E$14:$E$99&amp;'HIV-Pharmaceuticals'!$I$14:$I$99,0)),0)</f>
        <v>0</v>
      </c>
      <c r="W68" s="652">
        <f t="shared" ref="W68:W109" si="45">IF(ISERROR($I68*V68),0,$I68*V68)</f>
        <v>0</v>
      </c>
      <c r="X68" s="652">
        <f t="shared" ref="X68:X109" si="46">IF(C68="Upfront",V68,IF(C68="At delivery",N68,0))</f>
        <v>0</v>
      </c>
      <c r="Y68" s="652">
        <f t="shared" ref="Y68:Y109" si="47">IF(C68="Upfront",W68,IF(C68="At delivery",O68,0))</f>
        <v>0</v>
      </c>
      <c r="Z68" s="653"/>
      <c r="AA68" s="651">
        <f t="array" ref="AA68">IFERROR(INDEX('HIV-Pharmaceuticals'!$U$14:$U$99,MATCH($E68&amp;$F68,'HIV-Pharmaceuticals'!$E$14:$E$99&amp;'HIV-Pharmaceuticals'!$I$14:$I$99,0)),0)</f>
        <v>0</v>
      </c>
      <c r="AB68" s="651">
        <f t="array" ref="AB68">IFERROR(INDEX('HIV-Pharmaceuticals'!$V$14:$V$99,MATCH($E68&amp;$F68,'HIV-Pharmaceuticals'!$E$14:$E$99&amp;'HIV-Pharmaceuticals'!$I$14:$I$99,0)),0)</f>
        <v>0</v>
      </c>
      <c r="AC68" s="652">
        <f t="shared" ref="AC68:AC109" si="48">IF(ISERROR($AA68*AB68),0,$AA68*AB68)</f>
        <v>0</v>
      </c>
      <c r="AD68" s="652">
        <f t="shared" ref="AD68:AD109" si="49">IF(C68="Upfront",AB68,IF(C68="At delivery",R68,0))</f>
        <v>0</v>
      </c>
      <c r="AE68" s="652">
        <f t="shared" ref="AE68:AE109" si="50">IF(C68="Upfront",AC68,IF(C68="At delivery",S68,0))</f>
        <v>0</v>
      </c>
      <c r="AF68" s="651">
        <f t="array" ref="AF68">IFERROR(INDEX('HIV-Pharmaceuticals'!$W$14:$W$99,MATCH($E68&amp;$F68,'HIV-Pharmaceuticals'!$E$14:$E$99&amp;'HIV-Pharmaceuticals'!$I$14:$I$99,0)),0)</f>
        <v>0</v>
      </c>
      <c r="AG68" s="652">
        <f t="shared" ref="AG68:AG109" si="51">IF(ISERROR($AA68*AF68),0,$AA68*AF68)</f>
        <v>0</v>
      </c>
      <c r="AH68" s="652">
        <f t="shared" ref="AH68:AH109" si="52">IF(C68="Upfront",AF68,IF(C68="At delivery",V68,0))</f>
        <v>0</v>
      </c>
      <c r="AI68" s="652">
        <f t="shared" ref="AI68:AI109" si="53">IF(C68="Upfront",AG68,IF(C68="At delivery",W68,0))</f>
        <v>0</v>
      </c>
      <c r="AJ68" s="651">
        <f t="array" ref="AJ68">IFERROR(INDEX('HIV-Pharmaceuticals'!$X$14:$X$99,MATCH($E68&amp;$F68,'HIV-Pharmaceuticals'!$E$14:$E$99&amp;'HIV-Pharmaceuticals'!$I$14:$I$99,0)),0)</f>
        <v>0</v>
      </c>
      <c r="AK68" s="652">
        <f t="shared" ref="AK68:AK109" si="54">IF(ISERROR($AA68*AJ68),0,$AA68*AJ68)</f>
        <v>0</v>
      </c>
      <c r="AL68" s="652">
        <f t="shared" ref="AL68:AL109" si="55">IF(C68="Upfront",AJ68,IF(C68="At delivery",AB68,0))</f>
        <v>0</v>
      </c>
      <c r="AM68" s="652">
        <f t="shared" ref="AM68:AM109" si="56">IF(C68="Upfront",AK68,IF(C68="At delivery",AC68,0))</f>
        <v>0</v>
      </c>
      <c r="AN68" s="651">
        <f t="array" ref="AN68">IFERROR(INDEX('HIV-Pharmaceuticals'!$Y$14:$Y$99,MATCH($E68&amp;$F68,'HIV-Pharmaceuticals'!$E$14:$E$99&amp;'HIV-Pharmaceuticals'!$I$14:$I$99,0)),0)</f>
        <v>0</v>
      </c>
      <c r="AO68" s="652">
        <f t="shared" ref="AO68:AO109" si="57">IF(ISERROR($AA68*AN68),0,$AA68*AN68)</f>
        <v>0</v>
      </c>
      <c r="AP68" s="652">
        <f t="shared" ref="AP68:AP109" si="58">IF(C68="Upfront",AN68,IF(C68="At delivery",AF68,0))</f>
        <v>0</v>
      </c>
      <c r="AQ68" s="652">
        <f t="shared" ref="AQ68:AQ109" si="59">IF(C68="Upfront",AO68,IF(C68="At delivery",AG68,0))</f>
        <v>0</v>
      </c>
      <c r="AR68" s="653"/>
      <c r="AS68" s="651">
        <f t="array" ref="AS68">IFERROR(INDEX('HIV-Pharmaceuticals'!$AB$14:$AB$99,MATCH($E68&amp;$F68,'HIV-Pharmaceuticals'!$E$14:$E$99&amp;'HIV-Pharmaceuticals'!$I$14:$I$99,0)),0)</f>
        <v>0</v>
      </c>
      <c r="AT68" s="651">
        <f t="array" ref="AT68">IFERROR(INDEX('HIV-Pharmaceuticals'!$AC$14:$AC$99,MATCH($E68&amp;$F68,'HIV-Pharmaceuticals'!$E$14:$E$99&amp;'HIV-Pharmaceuticals'!$I$14:$I$99,0)),0)</f>
        <v>0</v>
      </c>
      <c r="AU68" s="652">
        <f t="shared" ref="AU68:AU109" si="60">IF(ISERROR($AS68*AT68),0,$AS68*AT68)</f>
        <v>0</v>
      </c>
      <c r="AV68" s="652">
        <f t="shared" ref="AV68:AV109" si="61">IF(C68="Upfront",AT68,IF(C68="At delivery",AJ68,0))</f>
        <v>0</v>
      </c>
      <c r="AW68" s="652">
        <f t="shared" ref="AW68:AW109" si="62">IF(C68="Upfront",AU68,IF(C68="At delivery",AK68,0))</f>
        <v>0</v>
      </c>
      <c r="AX68" s="651">
        <f t="array" ref="AX68">IFERROR(INDEX('HIV-Pharmaceuticals'!$AD$14:$AD$99,MATCH($E68&amp;$F68,'HIV-Pharmaceuticals'!$E$14:$E$99&amp;'HIV-Pharmaceuticals'!$I$14:$I$99,0)),0)</f>
        <v>0</v>
      </c>
      <c r="AY68" s="652">
        <f t="shared" ref="AY68:AY109" si="63">IF(ISERROR($AS68*AX68),0,$AS68*AX68)</f>
        <v>0</v>
      </c>
      <c r="AZ68" s="652">
        <f t="shared" ref="AZ68:AZ109" si="64">IF(C68="Upfront",AX68,IF(C68="At delivery",AN68,0))</f>
        <v>0</v>
      </c>
      <c r="BA68" s="652">
        <f t="shared" ref="BA68:BA109" si="65">IF(C68="Upfront",AY68,IF(C68="At delivery",AO68,0))</f>
        <v>0</v>
      </c>
      <c r="BB68" s="651">
        <f t="array" ref="BB68">IFERROR(INDEX('HIV-Pharmaceuticals'!$AE$14:$AE$99,MATCH($E68&amp;$F68,'HIV-Pharmaceuticals'!$E$14:$E$99&amp;'HIV-Pharmaceuticals'!$I$14:$I$99,0)),0)</f>
        <v>0</v>
      </c>
      <c r="BC68" s="652">
        <f t="shared" ref="BC68:BC109" si="66">IF(ISERROR($AS68*BB68),0,$AS68*BB68)</f>
        <v>0</v>
      </c>
      <c r="BD68" s="652">
        <f t="shared" ref="BD68:BD109" si="67">IF(C68="Upfront",BB68,IF(C68="At delivery",AT68,0))</f>
        <v>0</v>
      </c>
      <c r="BE68" s="652">
        <f t="shared" ref="BE68:BE109" si="68">IF(C68="Upfront",BC68,IF(C68="At delivery",AU68,0))</f>
        <v>0</v>
      </c>
      <c r="BF68" s="651">
        <f t="array" ref="BF68">IFERROR(INDEX('HIV-Pharmaceuticals'!$AF$14:$AF$99,MATCH($E68&amp;$F68,'HIV-Pharmaceuticals'!$E$14:$E$99&amp;'HIV-Pharmaceuticals'!$I$14:$I$99,0)),0)</f>
        <v>0</v>
      </c>
      <c r="BG68" s="652">
        <f t="shared" ref="BG68:BG109" si="69">IF(ISERROR($AS68*BF68),0,$AS68*BF68)</f>
        <v>0</v>
      </c>
      <c r="BH68" s="652">
        <f t="shared" ref="BH68:BH109" si="70">IF(C68="Upfront",BF68,IF(C68="At delivery",AX68,0))</f>
        <v>0</v>
      </c>
      <c r="BI68" s="652">
        <f t="shared" ref="BI68:BI109" si="71">IF(C68="Upfront",BG68,IF(C68="At delivery",AY68,0))</f>
        <v>0</v>
      </c>
      <c r="BK68" s="654"/>
      <c r="BL68" s="654"/>
      <c r="BM68" s="654"/>
      <c r="BN68" s="654"/>
      <c r="BO68" s="654"/>
      <c r="BP68" s="654"/>
      <c r="BQ68" s="654"/>
      <c r="BR68" s="654"/>
    </row>
    <row r="69" spans="1:70" s="646" customFormat="1">
      <c r="A69" s="647" t="s">
        <v>561</v>
      </c>
      <c r="B69" s="647" t="s">
        <v>819</v>
      </c>
      <c r="C69" s="648">
        <f>SETUP!$F$20</f>
        <v>0</v>
      </c>
      <c r="D69" s="649">
        <v>4.0999999999999996</v>
      </c>
      <c r="E69" s="647" t="s">
        <v>125</v>
      </c>
      <c r="F69" s="647" t="s">
        <v>1652</v>
      </c>
      <c r="G69" s="650" t="str">
        <f t="array" ref="G69">IFERROR(INDEX('HIV-Pharmaceuticals'!$L$14:$L$99,MATCH($E69&amp;$F69,'HIV-Pharmaceuticals'!$E$14:$E$99&amp;'HIV-Pharmaceuticals'!$I$14:$I$99,0)),"")</f>
        <v/>
      </c>
      <c r="H69" s="650" t="str">
        <f t="array" ref="H69">IFERROR(INDEX('HIV-Pharmaceuticals'!$M$14:$M$99,MATCH($E69&amp;$F69,'HIV-Pharmaceuticals'!$E$14:$E$99&amp;'HIV-Pharmaceuticals'!$I$14:$I$99,0)),"")</f>
        <v/>
      </c>
      <c r="I69" s="651">
        <f t="array" ref="I69">IFERROR(INDEX('HIV-Pharmaceuticals'!$N$14:$N$99,MATCH($E69&amp;$F69,'HIV-Pharmaceuticals'!$E$14:$E$99&amp;'HIV-Pharmaceuticals'!$I$14:$I$99,0)),0)</f>
        <v>0</v>
      </c>
      <c r="J69" s="651">
        <f t="array" ref="J69">IFERROR(INDEX('HIV-Pharmaceuticals'!$O$14:$O$99,MATCH($E69&amp;$F69,'HIV-Pharmaceuticals'!$E$14:$E$99&amp;'HIV-Pharmaceuticals'!$I$14:$I$99,0)),0)</f>
        <v>0</v>
      </c>
      <c r="K69" s="652">
        <f t="shared" si="36"/>
        <v>0</v>
      </c>
      <c r="L69" s="652">
        <f t="shared" si="37"/>
        <v>0</v>
      </c>
      <c r="M69" s="652">
        <f t="shared" si="38"/>
        <v>0</v>
      </c>
      <c r="N69" s="651">
        <f t="array" ref="N69">IFERROR(INDEX('HIV-Pharmaceuticals'!$P$14:$P$99,MATCH($E69&amp;$F69,'HIV-Pharmaceuticals'!$E$14:$E$99&amp;'HIV-Pharmaceuticals'!$I$14:$I$99,0)),0)</f>
        <v>0</v>
      </c>
      <c r="O69" s="652">
        <f t="shared" si="39"/>
        <v>0</v>
      </c>
      <c r="P69" s="652">
        <f t="shared" si="40"/>
        <v>0</v>
      </c>
      <c r="Q69" s="652">
        <f t="shared" si="41"/>
        <v>0</v>
      </c>
      <c r="R69" s="651">
        <f t="array" ref="R69">IFERROR(INDEX('HIV-Pharmaceuticals'!$Q$14:$Q$99,MATCH($E69&amp;$F69,'HIV-Pharmaceuticals'!$E$14:$E$99&amp;'HIV-Pharmaceuticals'!$I$14:$I$99,0)),0)</f>
        <v>0</v>
      </c>
      <c r="S69" s="652">
        <f t="shared" si="42"/>
        <v>0</v>
      </c>
      <c r="T69" s="652">
        <f t="shared" si="43"/>
        <v>0</v>
      </c>
      <c r="U69" s="652">
        <f t="shared" si="44"/>
        <v>0</v>
      </c>
      <c r="V69" s="651">
        <f t="array" ref="V69">IFERROR(INDEX('HIV-Pharmaceuticals'!$R$14:$R$99,MATCH($E69&amp;$F69,'HIV-Pharmaceuticals'!$E$14:$E$99&amp;'HIV-Pharmaceuticals'!$I$14:$I$99,0)),0)</f>
        <v>0</v>
      </c>
      <c r="W69" s="652">
        <f t="shared" si="45"/>
        <v>0</v>
      </c>
      <c r="X69" s="652">
        <f t="shared" si="46"/>
        <v>0</v>
      </c>
      <c r="Y69" s="652">
        <f t="shared" si="47"/>
        <v>0</v>
      </c>
      <c r="Z69" s="653"/>
      <c r="AA69" s="651">
        <f t="array" ref="AA69">IFERROR(INDEX('HIV-Pharmaceuticals'!$U$14:$U$99,MATCH($E69&amp;$F69,'HIV-Pharmaceuticals'!$E$14:$E$99&amp;'HIV-Pharmaceuticals'!$I$14:$I$99,0)),0)</f>
        <v>0</v>
      </c>
      <c r="AB69" s="651">
        <f t="array" ref="AB69">IFERROR(INDEX('HIV-Pharmaceuticals'!$V$14:$V$99,MATCH($E69&amp;$F69,'HIV-Pharmaceuticals'!$E$14:$E$99&amp;'HIV-Pharmaceuticals'!$I$14:$I$99,0)),0)</f>
        <v>0</v>
      </c>
      <c r="AC69" s="652">
        <f t="shared" si="48"/>
        <v>0</v>
      </c>
      <c r="AD69" s="652">
        <f t="shared" si="49"/>
        <v>0</v>
      </c>
      <c r="AE69" s="652">
        <f t="shared" si="50"/>
        <v>0</v>
      </c>
      <c r="AF69" s="651">
        <f t="array" ref="AF69">IFERROR(INDEX('HIV-Pharmaceuticals'!$W$14:$W$99,MATCH($E69&amp;$F69,'HIV-Pharmaceuticals'!$E$14:$E$99&amp;'HIV-Pharmaceuticals'!$I$14:$I$99,0)),0)</f>
        <v>0</v>
      </c>
      <c r="AG69" s="652">
        <f t="shared" si="51"/>
        <v>0</v>
      </c>
      <c r="AH69" s="652">
        <f t="shared" si="52"/>
        <v>0</v>
      </c>
      <c r="AI69" s="652">
        <f t="shared" si="53"/>
        <v>0</v>
      </c>
      <c r="AJ69" s="651">
        <f t="array" ref="AJ69">IFERROR(INDEX('HIV-Pharmaceuticals'!$X$14:$X$99,MATCH($E69&amp;$F69,'HIV-Pharmaceuticals'!$E$14:$E$99&amp;'HIV-Pharmaceuticals'!$I$14:$I$99,0)),0)</f>
        <v>0</v>
      </c>
      <c r="AK69" s="652">
        <f t="shared" si="54"/>
        <v>0</v>
      </c>
      <c r="AL69" s="652">
        <f t="shared" si="55"/>
        <v>0</v>
      </c>
      <c r="AM69" s="652">
        <f t="shared" si="56"/>
        <v>0</v>
      </c>
      <c r="AN69" s="651">
        <f t="array" ref="AN69">IFERROR(INDEX('HIV-Pharmaceuticals'!$Y$14:$Y$99,MATCH($E69&amp;$F69,'HIV-Pharmaceuticals'!$E$14:$E$99&amp;'HIV-Pharmaceuticals'!$I$14:$I$99,0)),0)</f>
        <v>0</v>
      </c>
      <c r="AO69" s="652">
        <f t="shared" si="57"/>
        <v>0</v>
      </c>
      <c r="AP69" s="652">
        <f t="shared" si="58"/>
        <v>0</v>
      </c>
      <c r="AQ69" s="652">
        <f t="shared" si="59"/>
        <v>0</v>
      </c>
      <c r="AR69" s="653"/>
      <c r="AS69" s="651">
        <f t="array" ref="AS69">IFERROR(INDEX('HIV-Pharmaceuticals'!$AB$14:$AB$99,MATCH($E69&amp;$F69,'HIV-Pharmaceuticals'!$E$14:$E$99&amp;'HIV-Pharmaceuticals'!$I$14:$I$99,0)),0)</f>
        <v>0</v>
      </c>
      <c r="AT69" s="651">
        <f t="array" ref="AT69">IFERROR(INDEX('HIV-Pharmaceuticals'!$AC$14:$AC$99,MATCH($E69&amp;$F69,'HIV-Pharmaceuticals'!$E$14:$E$99&amp;'HIV-Pharmaceuticals'!$I$14:$I$99,0)),0)</f>
        <v>0</v>
      </c>
      <c r="AU69" s="652">
        <f t="shared" si="60"/>
        <v>0</v>
      </c>
      <c r="AV69" s="652">
        <f t="shared" si="61"/>
        <v>0</v>
      </c>
      <c r="AW69" s="652">
        <f t="shared" si="62"/>
        <v>0</v>
      </c>
      <c r="AX69" s="651">
        <f t="array" ref="AX69">IFERROR(INDEX('HIV-Pharmaceuticals'!$AD$14:$AD$99,MATCH($E69&amp;$F69,'HIV-Pharmaceuticals'!$E$14:$E$99&amp;'HIV-Pharmaceuticals'!$I$14:$I$99,0)),0)</f>
        <v>0</v>
      </c>
      <c r="AY69" s="652">
        <f t="shared" si="63"/>
        <v>0</v>
      </c>
      <c r="AZ69" s="652">
        <f t="shared" si="64"/>
        <v>0</v>
      </c>
      <c r="BA69" s="652">
        <f t="shared" si="65"/>
        <v>0</v>
      </c>
      <c r="BB69" s="651">
        <f t="array" ref="BB69">IFERROR(INDEX('HIV-Pharmaceuticals'!$AE$14:$AE$99,MATCH($E69&amp;$F69,'HIV-Pharmaceuticals'!$E$14:$E$99&amp;'HIV-Pharmaceuticals'!$I$14:$I$99,0)),0)</f>
        <v>0</v>
      </c>
      <c r="BC69" s="652">
        <f t="shared" si="66"/>
        <v>0</v>
      </c>
      <c r="BD69" s="652">
        <f t="shared" si="67"/>
        <v>0</v>
      </c>
      <c r="BE69" s="652">
        <f t="shared" si="68"/>
        <v>0</v>
      </c>
      <c r="BF69" s="651">
        <f t="array" ref="BF69">IFERROR(INDEX('HIV-Pharmaceuticals'!$AF$14:$AF$99,MATCH($E69&amp;$F69,'HIV-Pharmaceuticals'!$E$14:$E$99&amp;'HIV-Pharmaceuticals'!$I$14:$I$99,0)),0)</f>
        <v>0</v>
      </c>
      <c r="BG69" s="652">
        <f t="shared" si="69"/>
        <v>0</v>
      </c>
      <c r="BH69" s="652">
        <f t="shared" si="70"/>
        <v>0</v>
      </c>
      <c r="BI69" s="652">
        <f t="shared" si="71"/>
        <v>0</v>
      </c>
      <c r="BK69" s="654"/>
      <c r="BL69" s="654"/>
      <c r="BM69" s="654"/>
      <c r="BN69" s="654"/>
      <c r="BO69" s="654"/>
      <c r="BP69" s="654"/>
      <c r="BQ69" s="654"/>
      <c r="BR69" s="654"/>
    </row>
    <row r="70" spans="1:70" s="646" customFormat="1">
      <c r="A70" s="647" t="s">
        <v>561</v>
      </c>
      <c r="B70" s="647" t="s">
        <v>819</v>
      </c>
      <c r="C70" s="648">
        <f>SETUP!$F$20</f>
        <v>0</v>
      </c>
      <c r="D70" s="649">
        <v>4.0999999999999996</v>
      </c>
      <c r="E70" s="647" t="s">
        <v>125</v>
      </c>
      <c r="F70" s="647" t="s">
        <v>1653</v>
      </c>
      <c r="G70" s="650" t="str">
        <f t="array" ref="G70">IFERROR(INDEX('HIV-Pharmaceuticals'!$L$14:$L$99,MATCH($E70&amp;$F70,'HIV-Pharmaceuticals'!$E$14:$E$99&amp;'HIV-Pharmaceuticals'!$I$14:$I$99,0)),"")</f>
        <v/>
      </c>
      <c r="H70" s="650" t="str">
        <f t="array" ref="H70">IFERROR(INDEX('HIV-Pharmaceuticals'!$M$14:$M$99,MATCH($E70&amp;$F70,'HIV-Pharmaceuticals'!$E$14:$E$99&amp;'HIV-Pharmaceuticals'!$I$14:$I$99,0)),"")</f>
        <v/>
      </c>
      <c r="I70" s="651">
        <f t="array" ref="I70">IFERROR(INDEX('HIV-Pharmaceuticals'!$N$14:$N$99,MATCH($E70&amp;$F70,'HIV-Pharmaceuticals'!$E$14:$E$99&amp;'HIV-Pharmaceuticals'!$I$14:$I$99,0)),0)</f>
        <v>0</v>
      </c>
      <c r="J70" s="651">
        <f t="array" ref="J70">IFERROR(INDEX('HIV-Pharmaceuticals'!$O$14:$O$99,MATCH($E70&amp;$F70,'HIV-Pharmaceuticals'!$E$14:$E$99&amp;'HIV-Pharmaceuticals'!$I$14:$I$99,0)),0)</f>
        <v>0</v>
      </c>
      <c r="K70" s="652">
        <f t="shared" si="36"/>
        <v>0</v>
      </c>
      <c r="L70" s="652">
        <f t="shared" si="37"/>
        <v>0</v>
      </c>
      <c r="M70" s="652">
        <f t="shared" si="38"/>
        <v>0</v>
      </c>
      <c r="N70" s="651">
        <f t="array" ref="N70">IFERROR(INDEX('HIV-Pharmaceuticals'!$P$14:$P$99,MATCH($E70&amp;$F70,'HIV-Pharmaceuticals'!$E$14:$E$99&amp;'HIV-Pharmaceuticals'!$I$14:$I$99,0)),0)</f>
        <v>0</v>
      </c>
      <c r="O70" s="652">
        <f t="shared" si="39"/>
        <v>0</v>
      </c>
      <c r="P70" s="652">
        <f t="shared" si="40"/>
        <v>0</v>
      </c>
      <c r="Q70" s="652">
        <f t="shared" si="41"/>
        <v>0</v>
      </c>
      <c r="R70" s="651">
        <f t="array" ref="R70">IFERROR(INDEX('HIV-Pharmaceuticals'!$Q$14:$Q$99,MATCH($E70&amp;$F70,'HIV-Pharmaceuticals'!$E$14:$E$99&amp;'HIV-Pharmaceuticals'!$I$14:$I$99,0)),0)</f>
        <v>0</v>
      </c>
      <c r="S70" s="652">
        <f t="shared" si="42"/>
        <v>0</v>
      </c>
      <c r="T70" s="652">
        <f t="shared" si="43"/>
        <v>0</v>
      </c>
      <c r="U70" s="652">
        <f t="shared" si="44"/>
        <v>0</v>
      </c>
      <c r="V70" s="651">
        <f t="array" ref="V70">IFERROR(INDEX('HIV-Pharmaceuticals'!$R$14:$R$99,MATCH($E70&amp;$F70,'HIV-Pharmaceuticals'!$E$14:$E$99&amp;'HIV-Pharmaceuticals'!$I$14:$I$99,0)),0)</f>
        <v>0</v>
      </c>
      <c r="W70" s="652">
        <f t="shared" si="45"/>
        <v>0</v>
      </c>
      <c r="X70" s="652">
        <f t="shared" si="46"/>
        <v>0</v>
      </c>
      <c r="Y70" s="652">
        <f t="shared" si="47"/>
        <v>0</v>
      </c>
      <c r="Z70" s="653"/>
      <c r="AA70" s="651">
        <f t="array" ref="AA70">IFERROR(INDEX('HIV-Pharmaceuticals'!$U$14:$U$99,MATCH($E70&amp;$F70,'HIV-Pharmaceuticals'!$E$14:$E$99&amp;'HIV-Pharmaceuticals'!$I$14:$I$99,0)),0)</f>
        <v>0</v>
      </c>
      <c r="AB70" s="651">
        <f t="array" ref="AB70">IFERROR(INDEX('HIV-Pharmaceuticals'!$V$14:$V$99,MATCH($E70&amp;$F70,'HIV-Pharmaceuticals'!$E$14:$E$99&amp;'HIV-Pharmaceuticals'!$I$14:$I$99,0)),0)</f>
        <v>0</v>
      </c>
      <c r="AC70" s="652">
        <f t="shared" si="48"/>
        <v>0</v>
      </c>
      <c r="AD70" s="652">
        <f t="shared" si="49"/>
        <v>0</v>
      </c>
      <c r="AE70" s="652">
        <f t="shared" si="50"/>
        <v>0</v>
      </c>
      <c r="AF70" s="651">
        <f t="array" ref="AF70">IFERROR(INDEX('HIV-Pharmaceuticals'!$W$14:$W$99,MATCH($E70&amp;$F70,'HIV-Pharmaceuticals'!$E$14:$E$99&amp;'HIV-Pharmaceuticals'!$I$14:$I$99,0)),0)</f>
        <v>0</v>
      </c>
      <c r="AG70" s="652">
        <f t="shared" si="51"/>
        <v>0</v>
      </c>
      <c r="AH70" s="652">
        <f t="shared" si="52"/>
        <v>0</v>
      </c>
      <c r="AI70" s="652">
        <f t="shared" si="53"/>
        <v>0</v>
      </c>
      <c r="AJ70" s="651">
        <f t="array" ref="AJ70">IFERROR(INDEX('HIV-Pharmaceuticals'!$X$14:$X$99,MATCH($E70&amp;$F70,'HIV-Pharmaceuticals'!$E$14:$E$99&amp;'HIV-Pharmaceuticals'!$I$14:$I$99,0)),0)</f>
        <v>0</v>
      </c>
      <c r="AK70" s="652">
        <f t="shared" si="54"/>
        <v>0</v>
      </c>
      <c r="AL70" s="652">
        <f t="shared" si="55"/>
        <v>0</v>
      </c>
      <c r="AM70" s="652">
        <f t="shared" si="56"/>
        <v>0</v>
      </c>
      <c r="AN70" s="651">
        <f t="array" ref="AN70">IFERROR(INDEX('HIV-Pharmaceuticals'!$Y$14:$Y$99,MATCH($E70&amp;$F70,'HIV-Pharmaceuticals'!$E$14:$E$99&amp;'HIV-Pharmaceuticals'!$I$14:$I$99,0)),0)</f>
        <v>0</v>
      </c>
      <c r="AO70" s="652">
        <f t="shared" si="57"/>
        <v>0</v>
      </c>
      <c r="AP70" s="652">
        <f t="shared" si="58"/>
        <v>0</v>
      </c>
      <c r="AQ70" s="652">
        <f t="shared" si="59"/>
        <v>0</v>
      </c>
      <c r="AR70" s="653"/>
      <c r="AS70" s="651">
        <f t="array" ref="AS70">IFERROR(INDEX('HIV-Pharmaceuticals'!$AB$14:$AB$99,MATCH($E70&amp;$F70,'HIV-Pharmaceuticals'!$E$14:$E$99&amp;'HIV-Pharmaceuticals'!$I$14:$I$99,0)),0)</f>
        <v>0</v>
      </c>
      <c r="AT70" s="651">
        <f t="array" ref="AT70">IFERROR(INDEX('HIV-Pharmaceuticals'!$AC$14:$AC$99,MATCH($E70&amp;$F70,'HIV-Pharmaceuticals'!$E$14:$E$99&amp;'HIV-Pharmaceuticals'!$I$14:$I$99,0)),0)</f>
        <v>0</v>
      </c>
      <c r="AU70" s="652">
        <f t="shared" si="60"/>
        <v>0</v>
      </c>
      <c r="AV70" s="652">
        <f t="shared" si="61"/>
        <v>0</v>
      </c>
      <c r="AW70" s="652">
        <f t="shared" si="62"/>
        <v>0</v>
      </c>
      <c r="AX70" s="651">
        <f t="array" ref="AX70">IFERROR(INDEX('HIV-Pharmaceuticals'!$AD$14:$AD$99,MATCH($E70&amp;$F70,'HIV-Pharmaceuticals'!$E$14:$E$99&amp;'HIV-Pharmaceuticals'!$I$14:$I$99,0)),0)</f>
        <v>0</v>
      </c>
      <c r="AY70" s="652">
        <f t="shared" si="63"/>
        <v>0</v>
      </c>
      <c r="AZ70" s="652">
        <f t="shared" si="64"/>
        <v>0</v>
      </c>
      <c r="BA70" s="652">
        <f t="shared" si="65"/>
        <v>0</v>
      </c>
      <c r="BB70" s="651">
        <f t="array" ref="BB70">IFERROR(INDEX('HIV-Pharmaceuticals'!$AE$14:$AE$99,MATCH($E70&amp;$F70,'HIV-Pharmaceuticals'!$E$14:$E$99&amp;'HIV-Pharmaceuticals'!$I$14:$I$99,0)),0)</f>
        <v>0</v>
      </c>
      <c r="BC70" s="652">
        <f t="shared" si="66"/>
        <v>0</v>
      </c>
      <c r="BD70" s="652">
        <f t="shared" si="67"/>
        <v>0</v>
      </c>
      <c r="BE70" s="652">
        <f t="shared" si="68"/>
        <v>0</v>
      </c>
      <c r="BF70" s="651">
        <f t="array" ref="BF70">IFERROR(INDEX('HIV-Pharmaceuticals'!$AF$14:$AF$99,MATCH($E70&amp;$F70,'HIV-Pharmaceuticals'!$E$14:$E$99&amp;'HIV-Pharmaceuticals'!$I$14:$I$99,0)),0)</f>
        <v>0</v>
      </c>
      <c r="BG70" s="652">
        <f t="shared" si="69"/>
        <v>0</v>
      </c>
      <c r="BH70" s="652">
        <f t="shared" si="70"/>
        <v>0</v>
      </c>
      <c r="BI70" s="652">
        <f t="shared" si="71"/>
        <v>0</v>
      </c>
      <c r="BK70" s="654"/>
      <c r="BL70" s="654"/>
      <c r="BM70" s="654"/>
      <c r="BN70" s="654"/>
      <c r="BO70" s="654"/>
      <c r="BP70" s="654"/>
      <c r="BQ70" s="654"/>
      <c r="BR70" s="654"/>
    </row>
    <row r="71" spans="1:70" s="646" customFormat="1">
      <c r="A71" s="647" t="s">
        <v>561</v>
      </c>
      <c r="B71" s="647" t="s">
        <v>819</v>
      </c>
      <c r="C71" s="648">
        <f>SETUP!$F$20</f>
        <v>0</v>
      </c>
      <c r="D71" s="649">
        <v>4.0999999999999996</v>
      </c>
      <c r="E71" s="647" t="s">
        <v>109</v>
      </c>
      <c r="F71" s="647" t="s">
        <v>1654</v>
      </c>
      <c r="G71" s="650" t="str">
        <f t="array" ref="G71">IFERROR(INDEX('HIV-Pharmaceuticals'!$L$14:$L$99,MATCH($E71&amp;$F71,'HIV-Pharmaceuticals'!$E$14:$E$99&amp;'HIV-Pharmaceuticals'!$I$14:$I$99,0)),"")</f>
        <v/>
      </c>
      <c r="H71" s="650" t="str">
        <f t="array" ref="H71">IFERROR(INDEX('HIV-Pharmaceuticals'!$M$14:$M$99,MATCH($E71&amp;$F71,'HIV-Pharmaceuticals'!$E$14:$E$99&amp;'HIV-Pharmaceuticals'!$I$14:$I$99,0)),"")</f>
        <v/>
      </c>
      <c r="I71" s="651">
        <f t="array" ref="I71">IFERROR(INDEX('HIV-Pharmaceuticals'!$N$14:$N$99,MATCH($E71&amp;$F71,'HIV-Pharmaceuticals'!$E$14:$E$99&amp;'HIV-Pharmaceuticals'!$I$14:$I$99,0)),0)</f>
        <v>0</v>
      </c>
      <c r="J71" s="651">
        <f t="array" ref="J71">IFERROR(INDEX('HIV-Pharmaceuticals'!$O$14:$O$99,MATCH($E71&amp;$F71,'HIV-Pharmaceuticals'!$E$14:$E$99&amp;'HIV-Pharmaceuticals'!$I$14:$I$99,0)),0)</f>
        <v>0</v>
      </c>
      <c r="K71" s="652">
        <f t="shared" si="36"/>
        <v>0</v>
      </c>
      <c r="L71" s="652">
        <f t="shared" si="37"/>
        <v>0</v>
      </c>
      <c r="M71" s="652">
        <f t="shared" si="38"/>
        <v>0</v>
      </c>
      <c r="N71" s="651">
        <f t="array" ref="N71">IFERROR(INDEX('HIV-Pharmaceuticals'!$P$14:$P$99,MATCH($E71&amp;$F71,'HIV-Pharmaceuticals'!$E$14:$E$99&amp;'HIV-Pharmaceuticals'!$I$14:$I$99,0)),0)</f>
        <v>0</v>
      </c>
      <c r="O71" s="652">
        <f t="shared" si="39"/>
        <v>0</v>
      </c>
      <c r="P71" s="652">
        <f t="shared" si="40"/>
        <v>0</v>
      </c>
      <c r="Q71" s="652">
        <f t="shared" si="41"/>
        <v>0</v>
      </c>
      <c r="R71" s="651">
        <f t="array" ref="R71">IFERROR(INDEX('HIV-Pharmaceuticals'!$Q$14:$Q$99,MATCH($E71&amp;$F71,'HIV-Pharmaceuticals'!$E$14:$E$99&amp;'HIV-Pharmaceuticals'!$I$14:$I$99,0)),0)</f>
        <v>0</v>
      </c>
      <c r="S71" s="652">
        <f t="shared" si="42"/>
        <v>0</v>
      </c>
      <c r="T71" s="652">
        <f t="shared" si="43"/>
        <v>0</v>
      </c>
      <c r="U71" s="652">
        <f t="shared" si="44"/>
        <v>0</v>
      </c>
      <c r="V71" s="651">
        <f t="array" ref="V71">IFERROR(INDEX('HIV-Pharmaceuticals'!$R$14:$R$99,MATCH($E71&amp;$F71,'HIV-Pharmaceuticals'!$E$14:$E$99&amp;'HIV-Pharmaceuticals'!$I$14:$I$99,0)),0)</f>
        <v>0</v>
      </c>
      <c r="W71" s="652">
        <f t="shared" si="45"/>
        <v>0</v>
      </c>
      <c r="X71" s="652">
        <f t="shared" si="46"/>
        <v>0</v>
      </c>
      <c r="Y71" s="652">
        <f t="shared" si="47"/>
        <v>0</v>
      </c>
      <c r="Z71" s="653"/>
      <c r="AA71" s="651">
        <f t="array" ref="AA71">IFERROR(INDEX('HIV-Pharmaceuticals'!$U$14:$U$99,MATCH($E71&amp;$F71,'HIV-Pharmaceuticals'!$E$14:$E$99&amp;'HIV-Pharmaceuticals'!$I$14:$I$99,0)),0)</f>
        <v>0</v>
      </c>
      <c r="AB71" s="651">
        <f t="array" ref="AB71">IFERROR(INDEX('HIV-Pharmaceuticals'!$V$14:$V$99,MATCH($E71&amp;$F71,'HIV-Pharmaceuticals'!$E$14:$E$99&amp;'HIV-Pharmaceuticals'!$I$14:$I$99,0)),0)</f>
        <v>0</v>
      </c>
      <c r="AC71" s="652">
        <f t="shared" si="48"/>
        <v>0</v>
      </c>
      <c r="AD71" s="652">
        <f t="shared" si="49"/>
        <v>0</v>
      </c>
      <c r="AE71" s="652">
        <f t="shared" si="50"/>
        <v>0</v>
      </c>
      <c r="AF71" s="651">
        <f t="array" ref="AF71">IFERROR(INDEX('HIV-Pharmaceuticals'!$W$14:$W$99,MATCH($E71&amp;$F71,'HIV-Pharmaceuticals'!$E$14:$E$99&amp;'HIV-Pharmaceuticals'!$I$14:$I$99,0)),0)</f>
        <v>0</v>
      </c>
      <c r="AG71" s="652">
        <f t="shared" si="51"/>
        <v>0</v>
      </c>
      <c r="AH71" s="652">
        <f t="shared" si="52"/>
        <v>0</v>
      </c>
      <c r="AI71" s="652">
        <f t="shared" si="53"/>
        <v>0</v>
      </c>
      <c r="AJ71" s="651">
        <f t="array" ref="AJ71">IFERROR(INDEX('HIV-Pharmaceuticals'!$X$14:$X$99,MATCH($E71&amp;$F71,'HIV-Pharmaceuticals'!$E$14:$E$99&amp;'HIV-Pharmaceuticals'!$I$14:$I$99,0)),0)</f>
        <v>0</v>
      </c>
      <c r="AK71" s="652">
        <f t="shared" si="54"/>
        <v>0</v>
      </c>
      <c r="AL71" s="652">
        <f t="shared" si="55"/>
        <v>0</v>
      </c>
      <c r="AM71" s="652">
        <f t="shared" si="56"/>
        <v>0</v>
      </c>
      <c r="AN71" s="651">
        <f t="array" ref="AN71">IFERROR(INDEX('HIV-Pharmaceuticals'!$Y$14:$Y$99,MATCH($E71&amp;$F71,'HIV-Pharmaceuticals'!$E$14:$E$99&amp;'HIV-Pharmaceuticals'!$I$14:$I$99,0)),0)</f>
        <v>0</v>
      </c>
      <c r="AO71" s="652">
        <f t="shared" si="57"/>
        <v>0</v>
      </c>
      <c r="AP71" s="652">
        <f t="shared" si="58"/>
        <v>0</v>
      </c>
      <c r="AQ71" s="652">
        <f t="shared" si="59"/>
        <v>0</v>
      </c>
      <c r="AR71" s="653"/>
      <c r="AS71" s="651">
        <f t="array" ref="AS71">IFERROR(INDEX('HIV-Pharmaceuticals'!$AB$14:$AB$99,MATCH($E71&amp;$F71,'HIV-Pharmaceuticals'!$E$14:$E$99&amp;'HIV-Pharmaceuticals'!$I$14:$I$99,0)),0)</f>
        <v>0</v>
      </c>
      <c r="AT71" s="651">
        <f t="array" ref="AT71">IFERROR(INDEX('HIV-Pharmaceuticals'!$AC$14:$AC$99,MATCH($E71&amp;$F71,'HIV-Pharmaceuticals'!$E$14:$E$99&amp;'HIV-Pharmaceuticals'!$I$14:$I$99,0)),0)</f>
        <v>0</v>
      </c>
      <c r="AU71" s="652">
        <f t="shared" si="60"/>
        <v>0</v>
      </c>
      <c r="AV71" s="652">
        <f t="shared" si="61"/>
        <v>0</v>
      </c>
      <c r="AW71" s="652">
        <f t="shared" si="62"/>
        <v>0</v>
      </c>
      <c r="AX71" s="651">
        <f t="array" ref="AX71">IFERROR(INDEX('HIV-Pharmaceuticals'!$AD$14:$AD$99,MATCH($E71&amp;$F71,'HIV-Pharmaceuticals'!$E$14:$E$99&amp;'HIV-Pharmaceuticals'!$I$14:$I$99,0)),0)</f>
        <v>0</v>
      </c>
      <c r="AY71" s="652">
        <f t="shared" si="63"/>
        <v>0</v>
      </c>
      <c r="AZ71" s="652">
        <f t="shared" si="64"/>
        <v>0</v>
      </c>
      <c r="BA71" s="652">
        <f t="shared" si="65"/>
        <v>0</v>
      </c>
      <c r="BB71" s="651">
        <f t="array" ref="BB71">IFERROR(INDEX('HIV-Pharmaceuticals'!$AE$14:$AE$99,MATCH($E71&amp;$F71,'HIV-Pharmaceuticals'!$E$14:$E$99&amp;'HIV-Pharmaceuticals'!$I$14:$I$99,0)),0)</f>
        <v>0</v>
      </c>
      <c r="BC71" s="652">
        <f t="shared" si="66"/>
        <v>0</v>
      </c>
      <c r="BD71" s="652">
        <f t="shared" si="67"/>
        <v>0</v>
      </c>
      <c r="BE71" s="652">
        <f t="shared" si="68"/>
        <v>0</v>
      </c>
      <c r="BF71" s="651">
        <f t="array" ref="BF71">IFERROR(INDEX('HIV-Pharmaceuticals'!$AF$14:$AF$99,MATCH($E71&amp;$F71,'HIV-Pharmaceuticals'!$E$14:$E$99&amp;'HIV-Pharmaceuticals'!$I$14:$I$99,0)),0)</f>
        <v>0</v>
      </c>
      <c r="BG71" s="652">
        <f t="shared" si="69"/>
        <v>0</v>
      </c>
      <c r="BH71" s="652">
        <f t="shared" si="70"/>
        <v>0</v>
      </c>
      <c r="BI71" s="652">
        <f t="shared" si="71"/>
        <v>0</v>
      </c>
      <c r="BK71" s="654"/>
      <c r="BL71" s="654"/>
      <c r="BM71" s="654"/>
      <c r="BN71" s="654"/>
      <c r="BO71" s="654"/>
      <c r="BP71" s="654"/>
      <c r="BQ71" s="654"/>
      <c r="BR71" s="654"/>
    </row>
    <row r="72" spans="1:70" s="646" customFormat="1">
      <c r="A72" s="647" t="s">
        <v>561</v>
      </c>
      <c r="B72" s="647" t="s">
        <v>819</v>
      </c>
      <c r="C72" s="648">
        <f>SETUP!$F$20</f>
        <v>0</v>
      </c>
      <c r="D72" s="649">
        <v>4.0999999999999996</v>
      </c>
      <c r="E72" s="647" t="s">
        <v>126</v>
      </c>
      <c r="F72" s="647" t="s">
        <v>1655</v>
      </c>
      <c r="G72" s="650" t="str">
        <f t="array" ref="G72">IFERROR(INDEX('HIV-Pharmaceuticals'!$L$14:$L$99,MATCH($E72&amp;$F72,'HIV-Pharmaceuticals'!$E$14:$E$99&amp;'HIV-Pharmaceuticals'!$I$14:$I$99,0)),"")</f>
        <v/>
      </c>
      <c r="H72" s="650" t="str">
        <f t="array" ref="H72">IFERROR(INDEX('HIV-Pharmaceuticals'!$M$14:$M$99,MATCH($E72&amp;$F72,'HIV-Pharmaceuticals'!$E$14:$E$99&amp;'HIV-Pharmaceuticals'!$I$14:$I$99,0)),"")</f>
        <v/>
      </c>
      <c r="I72" s="651">
        <f t="array" ref="I72">IFERROR(INDEX('HIV-Pharmaceuticals'!$N$14:$N$99,MATCH($E72&amp;$F72,'HIV-Pharmaceuticals'!$E$14:$E$99&amp;'HIV-Pharmaceuticals'!$I$14:$I$99,0)),0)</f>
        <v>0</v>
      </c>
      <c r="J72" s="651">
        <f t="array" ref="J72">IFERROR(INDEX('HIV-Pharmaceuticals'!$O$14:$O$99,MATCH($E72&amp;$F72,'HIV-Pharmaceuticals'!$E$14:$E$99&amp;'HIV-Pharmaceuticals'!$I$14:$I$99,0)),0)</f>
        <v>0</v>
      </c>
      <c r="K72" s="652">
        <f t="shared" si="36"/>
        <v>0</v>
      </c>
      <c r="L72" s="652">
        <f t="shared" si="37"/>
        <v>0</v>
      </c>
      <c r="M72" s="652">
        <f t="shared" si="38"/>
        <v>0</v>
      </c>
      <c r="N72" s="651">
        <f t="array" ref="N72">IFERROR(INDEX('HIV-Pharmaceuticals'!$P$14:$P$99,MATCH($E72&amp;$F72,'HIV-Pharmaceuticals'!$E$14:$E$99&amp;'HIV-Pharmaceuticals'!$I$14:$I$99,0)),0)</f>
        <v>0</v>
      </c>
      <c r="O72" s="652">
        <f t="shared" si="39"/>
        <v>0</v>
      </c>
      <c r="P72" s="652">
        <f t="shared" si="40"/>
        <v>0</v>
      </c>
      <c r="Q72" s="652">
        <f t="shared" si="41"/>
        <v>0</v>
      </c>
      <c r="R72" s="651">
        <f t="array" ref="R72">IFERROR(INDEX('HIV-Pharmaceuticals'!$Q$14:$Q$99,MATCH($E72&amp;$F72,'HIV-Pharmaceuticals'!$E$14:$E$99&amp;'HIV-Pharmaceuticals'!$I$14:$I$99,0)),0)</f>
        <v>0</v>
      </c>
      <c r="S72" s="652">
        <f t="shared" si="42"/>
        <v>0</v>
      </c>
      <c r="T72" s="652">
        <f t="shared" si="43"/>
        <v>0</v>
      </c>
      <c r="U72" s="652">
        <f t="shared" si="44"/>
        <v>0</v>
      </c>
      <c r="V72" s="651">
        <f t="array" ref="V72">IFERROR(INDEX('HIV-Pharmaceuticals'!$R$14:$R$99,MATCH($E72&amp;$F72,'HIV-Pharmaceuticals'!$E$14:$E$99&amp;'HIV-Pharmaceuticals'!$I$14:$I$99,0)),0)</f>
        <v>0</v>
      </c>
      <c r="W72" s="652">
        <f t="shared" si="45"/>
        <v>0</v>
      </c>
      <c r="X72" s="652">
        <f t="shared" si="46"/>
        <v>0</v>
      </c>
      <c r="Y72" s="652">
        <f t="shared" si="47"/>
        <v>0</v>
      </c>
      <c r="Z72" s="653"/>
      <c r="AA72" s="651">
        <f t="array" ref="AA72">IFERROR(INDEX('HIV-Pharmaceuticals'!$U$14:$U$99,MATCH($E72&amp;$F72,'HIV-Pharmaceuticals'!$E$14:$E$99&amp;'HIV-Pharmaceuticals'!$I$14:$I$99,0)),0)</f>
        <v>0</v>
      </c>
      <c r="AB72" s="651">
        <f t="array" ref="AB72">IFERROR(INDEX('HIV-Pharmaceuticals'!$V$14:$V$99,MATCH($E72&amp;$F72,'HIV-Pharmaceuticals'!$E$14:$E$99&amp;'HIV-Pharmaceuticals'!$I$14:$I$99,0)),0)</f>
        <v>0</v>
      </c>
      <c r="AC72" s="652">
        <f t="shared" si="48"/>
        <v>0</v>
      </c>
      <c r="AD72" s="652">
        <f t="shared" si="49"/>
        <v>0</v>
      </c>
      <c r="AE72" s="652">
        <f t="shared" si="50"/>
        <v>0</v>
      </c>
      <c r="AF72" s="651">
        <f t="array" ref="AF72">IFERROR(INDEX('HIV-Pharmaceuticals'!$W$14:$W$99,MATCH($E72&amp;$F72,'HIV-Pharmaceuticals'!$E$14:$E$99&amp;'HIV-Pharmaceuticals'!$I$14:$I$99,0)),0)</f>
        <v>0</v>
      </c>
      <c r="AG72" s="652">
        <f t="shared" si="51"/>
        <v>0</v>
      </c>
      <c r="AH72" s="652">
        <f t="shared" si="52"/>
        <v>0</v>
      </c>
      <c r="AI72" s="652">
        <f t="shared" si="53"/>
        <v>0</v>
      </c>
      <c r="AJ72" s="651">
        <f t="array" ref="AJ72">IFERROR(INDEX('HIV-Pharmaceuticals'!$X$14:$X$99,MATCH($E72&amp;$F72,'HIV-Pharmaceuticals'!$E$14:$E$99&amp;'HIV-Pharmaceuticals'!$I$14:$I$99,0)),0)</f>
        <v>0</v>
      </c>
      <c r="AK72" s="652">
        <f t="shared" si="54"/>
        <v>0</v>
      </c>
      <c r="AL72" s="652">
        <f t="shared" si="55"/>
        <v>0</v>
      </c>
      <c r="AM72" s="652">
        <f t="shared" si="56"/>
        <v>0</v>
      </c>
      <c r="AN72" s="651">
        <f t="array" ref="AN72">IFERROR(INDEX('HIV-Pharmaceuticals'!$Y$14:$Y$99,MATCH($E72&amp;$F72,'HIV-Pharmaceuticals'!$E$14:$E$99&amp;'HIV-Pharmaceuticals'!$I$14:$I$99,0)),0)</f>
        <v>0</v>
      </c>
      <c r="AO72" s="652">
        <f t="shared" si="57"/>
        <v>0</v>
      </c>
      <c r="AP72" s="652">
        <f t="shared" si="58"/>
        <v>0</v>
      </c>
      <c r="AQ72" s="652">
        <f t="shared" si="59"/>
        <v>0</v>
      </c>
      <c r="AR72" s="653"/>
      <c r="AS72" s="651">
        <f t="array" ref="AS72">IFERROR(INDEX('HIV-Pharmaceuticals'!$AB$14:$AB$99,MATCH($E72&amp;$F72,'HIV-Pharmaceuticals'!$E$14:$E$99&amp;'HIV-Pharmaceuticals'!$I$14:$I$99,0)),0)</f>
        <v>0</v>
      </c>
      <c r="AT72" s="651">
        <f t="array" ref="AT72">IFERROR(INDEX('HIV-Pharmaceuticals'!$AC$14:$AC$99,MATCH($E72&amp;$F72,'HIV-Pharmaceuticals'!$E$14:$E$99&amp;'HIV-Pharmaceuticals'!$I$14:$I$99,0)),0)</f>
        <v>0</v>
      </c>
      <c r="AU72" s="652">
        <f t="shared" si="60"/>
        <v>0</v>
      </c>
      <c r="AV72" s="652">
        <f t="shared" si="61"/>
        <v>0</v>
      </c>
      <c r="AW72" s="652">
        <f t="shared" si="62"/>
        <v>0</v>
      </c>
      <c r="AX72" s="651">
        <f t="array" ref="AX72">IFERROR(INDEX('HIV-Pharmaceuticals'!$AD$14:$AD$99,MATCH($E72&amp;$F72,'HIV-Pharmaceuticals'!$E$14:$E$99&amp;'HIV-Pharmaceuticals'!$I$14:$I$99,0)),0)</f>
        <v>0</v>
      </c>
      <c r="AY72" s="652">
        <f t="shared" si="63"/>
        <v>0</v>
      </c>
      <c r="AZ72" s="652">
        <f t="shared" si="64"/>
        <v>0</v>
      </c>
      <c r="BA72" s="652">
        <f t="shared" si="65"/>
        <v>0</v>
      </c>
      <c r="BB72" s="651">
        <f t="array" ref="BB72">IFERROR(INDEX('HIV-Pharmaceuticals'!$AE$14:$AE$99,MATCH($E72&amp;$F72,'HIV-Pharmaceuticals'!$E$14:$E$99&amp;'HIV-Pharmaceuticals'!$I$14:$I$99,0)),0)</f>
        <v>0</v>
      </c>
      <c r="BC72" s="652">
        <f t="shared" si="66"/>
        <v>0</v>
      </c>
      <c r="BD72" s="652">
        <f t="shared" si="67"/>
        <v>0</v>
      </c>
      <c r="BE72" s="652">
        <f t="shared" si="68"/>
        <v>0</v>
      </c>
      <c r="BF72" s="651">
        <f t="array" ref="BF72">IFERROR(INDEX('HIV-Pharmaceuticals'!$AF$14:$AF$99,MATCH($E72&amp;$F72,'HIV-Pharmaceuticals'!$E$14:$E$99&amp;'HIV-Pharmaceuticals'!$I$14:$I$99,0)),0)</f>
        <v>0</v>
      </c>
      <c r="BG72" s="652">
        <f t="shared" si="69"/>
        <v>0</v>
      </c>
      <c r="BH72" s="652">
        <f t="shared" si="70"/>
        <v>0</v>
      </c>
      <c r="BI72" s="652">
        <f t="shared" si="71"/>
        <v>0</v>
      </c>
      <c r="BK72" s="654"/>
      <c r="BL72" s="654"/>
      <c r="BM72" s="654"/>
      <c r="BN72" s="654"/>
      <c r="BO72" s="654"/>
      <c r="BP72" s="654"/>
      <c r="BQ72" s="654"/>
      <c r="BR72" s="654"/>
    </row>
    <row r="73" spans="1:70" s="646" customFormat="1">
      <c r="A73" s="647" t="s">
        <v>561</v>
      </c>
      <c r="B73" s="647" t="s">
        <v>819</v>
      </c>
      <c r="C73" s="648">
        <f>SETUP!$F$20</f>
        <v>0</v>
      </c>
      <c r="D73" s="649">
        <v>4.0999999999999996</v>
      </c>
      <c r="E73" s="647" t="s">
        <v>126</v>
      </c>
      <c r="F73" s="647" t="s">
        <v>1656</v>
      </c>
      <c r="G73" s="650" t="str">
        <f t="array" ref="G73">IFERROR(INDEX('HIV-Pharmaceuticals'!$L$14:$L$99,MATCH($E73&amp;$F73,'HIV-Pharmaceuticals'!$E$14:$E$99&amp;'HIV-Pharmaceuticals'!$I$14:$I$99,0)),"")</f>
        <v/>
      </c>
      <c r="H73" s="650" t="str">
        <f t="array" ref="H73">IFERROR(INDEX('HIV-Pharmaceuticals'!$M$14:$M$99,MATCH($E73&amp;$F73,'HIV-Pharmaceuticals'!$E$14:$E$99&amp;'HIV-Pharmaceuticals'!$I$14:$I$99,0)),"")</f>
        <v/>
      </c>
      <c r="I73" s="651">
        <f t="array" ref="I73">IFERROR(INDEX('HIV-Pharmaceuticals'!$N$14:$N$99,MATCH($E73&amp;$F73,'HIV-Pharmaceuticals'!$E$14:$E$99&amp;'HIV-Pharmaceuticals'!$I$14:$I$99,0)),0)</f>
        <v>0</v>
      </c>
      <c r="J73" s="651">
        <f t="array" ref="J73">IFERROR(INDEX('HIV-Pharmaceuticals'!$O$14:$O$99,MATCH($E73&amp;$F73,'HIV-Pharmaceuticals'!$E$14:$E$99&amp;'HIV-Pharmaceuticals'!$I$14:$I$99,0)),0)</f>
        <v>0</v>
      </c>
      <c r="K73" s="652">
        <f t="shared" si="36"/>
        <v>0</v>
      </c>
      <c r="L73" s="652">
        <f t="shared" si="37"/>
        <v>0</v>
      </c>
      <c r="M73" s="652">
        <f t="shared" si="38"/>
        <v>0</v>
      </c>
      <c r="N73" s="651">
        <f t="array" ref="N73">IFERROR(INDEX('HIV-Pharmaceuticals'!$P$14:$P$99,MATCH($E73&amp;$F73,'HIV-Pharmaceuticals'!$E$14:$E$99&amp;'HIV-Pharmaceuticals'!$I$14:$I$99,0)),0)</f>
        <v>0</v>
      </c>
      <c r="O73" s="652">
        <f t="shared" si="39"/>
        <v>0</v>
      </c>
      <c r="P73" s="652">
        <f t="shared" si="40"/>
        <v>0</v>
      </c>
      <c r="Q73" s="652">
        <f t="shared" si="41"/>
        <v>0</v>
      </c>
      <c r="R73" s="651">
        <f t="array" ref="R73">IFERROR(INDEX('HIV-Pharmaceuticals'!$Q$14:$Q$99,MATCH($E73&amp;$F73,'HIV-Pharmaceuticals'!$E$14:$E$99&amp;'HIV-Pharmaceuticals'!$I$14:$I$99,0)),0)</f>
        <v>0</v>
      </c>
      <c r="S73" s="652">
        <f t="shared" si="42"/>
        <v>0</v>
      </c>
      <c r="T73" s="652">
        <f t="shared" si="43"/>
        <v>0</v>
      </c>
      <c r="U73" s="652">
        <f t="shared" si="44"/>
        <v>0</v>
      </c>
      <c r="V73" s="651">
        <f t="array" ref="V73">IFERROR(INDEX('HIV-Pharmaceuticals'!$R$14:$R$99,MATCH($E73&amp;$F73,'HIV-Pharmaceuticals'!$E$14:$E$99&amp;'HIV-Pharmaceuticals'!$I$14:$I$99,0)),0)</f>
        <v>0</v>
      </c>
      <c r="W73" s="652">
        <f t="shared" si="45"/>
        <v>0</v>
      </c>
      <c r="X73" s="652">
        <f t="shared" si="46"/>
        <v>0</v>
      </c>
      <c r="Y73" s="652">
        <f t="shared" si="47"/>
        <v>0</v>
      </c>
      <c r="Z73" s="653"/>
      <c r="AA73" s="651">
        <f t="array" ref="AA73">IFERROR(INDEX('HIV-Pharmaceuticals'!$U$14:$U$99,MATCH($E73&amp;$F73,'HIV-Pharmaceuticals'!$E$14:$E$99&amp;'HIV-Pharmaceuticals'!$I$14:$I$99,0)),0)</f>
        <v>0</v>
      </c>
      <c r="AB73" s="651">
        <f t="array" ref="AB73">IFERROR(INDEX('HIV-Pharmaceuticals'!$V$14:$V$99,MATCH($E73&amp;$F73,'HIV-Pharmaceuticals'!$E$14:$E$99&amp;'HIV-Pharmaceuticals'!$I$14:$I$99,0)),0)</f>
        <v>0</v>
      </c>
      <c r="AC73" s="652">
        <f t="shared" si="48"/>
        <v>0</v>
      </c>
      <c r="AD73" s="652">
        <f t="shared" si="49"/>
        <v>0</v>
      </c>
      <c r="AE73" s="652">
        <f t="shared" si="50"/>
        <v>0</v>
      </c>
      <c r="AF73" s="651">
        <f t="array" ref="AF73">IFERROR(INDEX('HIV-Pharmaceuticals'!$W$14:$W$99,MATCH($E73&amp;$F73,'HIV-Pharmaceuticals'!$E$14:$E$99&amp;'HIV-Pharmaceuticals'!$I$14:$I$99,0)),0)</f>
        <v>0</v>
      </c>
      <c r="AG73" s="652">
        <f t="shared" si="51"/>
        <v>0</v>
      </c>
      <c r="AH73" s="652">
        <f t="shared" si="52"/>
        <v>0</v>
      </c>
      <c r="AI73" s="652">
        <f t="shared" si="53"/>
        <v>0</v>
      </c>
      <c r="AJ73" s="651">
        <f t="array" ref="AJ73">IFERROR(INDEX('HIV-Pharmaceuticals'!$X$14:$X$99,MATCH($E73&amp;$F73,'HIV-Pharmaceuticals'!$E$14:$E$99&amp;'HIV-Pharmaceuticals'!$I$14:$I$99,0)),0)</f>
        <v>0</v>
      </c>
      <c r="AK73" s="652">
        <f t="shared" si="54"/>
        <v>0</v>
      </c>
      <c r="AL73" s="652">
        <f t="shared" si="55"/>
        <v>0</v>
      </c>
      <c r="AM73" s="652">
        <f t="shared" si="56"/>
        <v>0</v>
      </c>
      <c r="AN73" s="651">
        <f t="array" ref="AN73">IFERROR(INDEX('HIV-Pharmaceuticals'!$Y$14:$Y$99,MATCH($E73&amp;$F73,'HIV-Pharmaceuticals'!$E$14:$E$99&amp;'HIV-Pharmaceuticals'!$I$14:$I$99,0)),0)</f>
        <v>0</v>
      </c>
      <c r="AO73" s="652">
        <f t="shared" si="57"/>
        <v>0</v>
      </c>
      <c r="AP73" s="652">
        <f t="shared" si="58"/>
        <v>0</v>
      </c>
      <c r="AQ73" s="652">
        <f t="shared" si="59"/>
        <v>0</v>
      </c>
      <c r="AR73" s="653"/>
      <c r="AS73" s="651">
        <f t="array" ref="AS73">IFERROR(INDEX('HIV-Pharmaceuticals'!$AB$14:$AB$99,MATCH($E73&amp;$F73,'HIV-Pharmaceuticals'!$E$14:$E$99&amp;'HIV-Pharmaceuticals'!$I$14:$I$99,0)),0)</f>
        <v>0</v>
      </c>
      <c r="AT73" s="651">
        <f t="array" ref="AT73">IFERROR(INDEX('HIV-Pharmaceuticals'!$AC$14:$AC$99,MATCH($E73&amp;$F73,'HIV-Pharmaceuticals'!$E$14:$E$99&amp;'HIV-Pharmaceuticals'!$I$14:$I$99,0)),0)</f>
        <v>0</v>
      </c>
      <c r="AU73" s="652">
        <f t="shared" si="60"/>
        <v>0</v>
      </c>
      <c r="AV73" s="652">
        <f t="shared" si="61"/>
        <v>0</v>
      </c>
      <c r="AW73" s="652">
        <f t="shared" si="62"/>
        <v>0</v>
      </c>
      <c r="AX73" s="651">
        <f t="array" ref="AX73">IFERROR(INDEX('HIV-Pharmaceuticals'!$AD$14:$AD$99,MATCH($E73&amp;$F73,'HIV-Pharmaceuticals'!$E$14:$E$99&amp;'HIV-Pharmaceuticals'!$I$14:$I$99,0)),0)</f>
        <v>0</v>
      </c>
      <c r="AY73" s="652">
        <f t="shared" si="63"/>
        <v>0</v>
      </c>
      <c r="AZ73" s="652">
        <f t="shared" si="64"/>
        <v>0</v>
      </c>
      <c r="BA73" s="652">
        <f t="shared" si="65"/>
        <v>0</v>
      </c>
      <c r="BB73" s="651">
        <f t="array" ref="BB73">IFERROR(INDEX('HIV-Pharmaceuticals'!$AE$14:$AE$99,MATCH($E73&amp;$F73,'HIV-Pharmaceuticals'!$E$14:$E$99&amp;'HIV-Pharmaceuticals'!$I$14:$I$99,0)),0)</f>
        <v>0</v>
      </c>
      <c r="BC73" s="652">
        <f t="shared" si="66"/>
        <v>0</v>
      </c>
      <c r="BD73" s="652">
        <f t="shared" si="67"/>
        <v>0</v>
      </c>
      <c r="BE73" s="652">
        <f t="shared" si="68"/>
        <v>0</v>
      </c>
      <c r="BF73" s="651">
        <f t="array" ref="BF73">IFERROR(INDEX('HIV-Pharmaceuticals'!$AF$14:$AF$99,MATCH($E73&amp;$F73,'HIV-Pharmaceuticals'!$E$14:$E$99&amp;'HIV-Pharmaceuticals'!$I$14:$I$99,0)),0)</f>
        <v>0</v>
      </c>
      <c r="BG73" s="652">
        <f t="shared" si="69"/>
        <v>0</v>
      </c>
      <c r="BH73" s="652">
        <f t="shared" si="70"/>
        <v>0</v>
      </c>
      <c r="BI73" s="652">
        <f t="shared" si="71"/>
        <v>0</v>
      </c>
      <c r="BK73" s="654"/>
      <c r="BL73" s="654"/>
      <c r="BM73" s="654"/>
      <c r="BN73" s="654"/>
      <c r="BO73" s="654"/>
      <c r="BP73" s="654"/>
      <c r="BQ73" s="654"/>
      <c r="BR73" s="654"/>
    </row>
    <row r="74" spans="1:70" s="646" customFormat="1">
      <c r="A74" s="647" t="s">
        <v>561</v>
      </c>
      <c r="B74" s="647" t="s">
        <v>819</v>
      </c>
      <c r="C74" s="648">
        <f>SETUP!$F$20</f>
        <v>0</v>
      </c>
      <c r="D74" s="649">
        <v>4.0999999999999996</v>
      </c>
      <c r="E74" s="647" t="s">
        <v>117</v>
      </c>
      <c r="F74" s="647" t="s">
        <v>1657</v>
      </c>
      <c r="G74" s="650" t="str">
        <f t="array" ref="G74">IFERROR(INDEX('HIV-Pharmaceuticals'!$L$14:$L$99,MATCH($E74&amp;$F74,'HIV-Pharmaceuticals'!$E$14:$E$99&amp;'HIV-Pharmaceuticals'!$I$14:$I$99,0)),"")</f>
        <v/>
      </c>
      <c r="H74" s="650" t="str">
        <f t="array" ref="H74">IFERROR(INDEX('HIV-Pharmaceuticals'!$M$14:$M$99,MATCH($E74&amp;$F74,'HIV-Pharmaceuticals'!$E$14:$E$99&amp;'HIV-Pharmaceuticals'!$I$14:$I$99,0)),"")</f>
        <v/>
      </c>
      <c r="I74" s="651">
        <f t="array" ref="I74">IFERROR(INDEX('HIV-Pharmaceuticals'!$N$14:$N$99,MATCH($E74&amp;$F74,'HIV-Pharmaceuticals'!$E$14:$E$99&amp;'HIV-Pharmaceuticals'!$I$14:$I$99,0)),0)</f>
        <v>0</v>
      </c>
      <c r="J74" s="651">
        <f t="array" ref="J74">IFERROR(INDEX('HIV-Pharmaceuticals'!$O$14:$O$99,MATCH($E74&amp;$F74,'HIV-Pharmaceuticals'!$E$14:$E$99&amp;'HIV-Pharmaceuticals'!$I$14:$I$99,0)),0)</f>
        <v>0</v>
      </c>
      <c r="K74" s="652">
        <f t="shared" si="36"/>
        <v>0</v>
      </c>
      <c r="L74" s="652">
        <f t="shared" si="37"/>
        <v>0</v>
      </c>
      <c r="M74" s="652">
        <f t="shared" si="38"/>
        <v>0</v>
      </c>
      <c r="N74" s="651">
        <f t="array" ref="N74">IFERROR(INDEX('HIV-Pharmaceuticals'!$P$14:$P$99,MATCH($E74&amp;$F74,'HIV-Pharmaceuticals'!$E$14:$E$99&amp;'HIV-Pharmaceuticals'!$I$14:$I$99,0)),0)</f>
        <v>0</v>
      </c>
      <c r="O74" s="652">
        <f t="shared" si="39"/>
        <v>0</v>
      </c>
      <c r="P74" s="652">
        <f t="shared" si="40"/>
        <v>0</v>
      </c>
      <c r="Q74" s="652">
        <f t="shared" si="41"/>
        <v>0</v>
      </c>
      <c r="R74" s="651">
        <f t="array" ref="R74">IFERROR(INDEX('HIV-Pharmaceuticals'!$Q$14:$Q$99,MATCH($E74&amp;$F74,'HIV-Pharmaceuticals'!$E$14:$E$99&amp;'HIV-Pharmaceuticals'!$I$14:$I$99,0)),0)</f>
        <v>0</v>
      </c>
      <c r="S74" s="652">
        <f t="shared" si="42"/>
        <v>0</v>
      </c>
      <c r="T74" s="652">
        <f t="shared" si="43"/>
        <v>0</v>
      </c>
      <c r="U74" s="652">
        <f t="shared" si="44"/>
        <v>0</v>
      </c>
      <c r="V74" s="651">
        <f t="array" ref="V74">IFERROR(INDEX('HIV-Pharmaceuticals'!$R$14:$R$99,MATCH($E74&amp;$F74,'HIV-Pharmaceuticals'!$E$14:$E$99&amp;'HIV-Pharmaceuticals'!$I$14:$I$99,0)),0)</f>
        <v>0</v>
      </c>
      <c r="W74" s="652">
        <f t="shared" si="45"/>
        <v>0</v>
      </c>
      <c r="X74" s="652">
        <f t="shared" si="46"/>
        <v>0</v>
      </c>
      <c r="Y74" s="652">
        <f t="shared" si="47"/>
        <v>0</v>
      </c>
      <c r="Z74" s="653"/>
      <c r="AA74" s="651">
        <f t="array" ref="AA74">IFERROR(INDEX('HIV-Pharmaceuticals'!$U$14:$U$99,MATCH($E74&amp;$F74,'HIV-Pharmaceuticals'!$E$14:$E$99&amp;'HIV-Pharmaceuticals'!$I$14:$I$99,0)),0)</f>
        <v>0</v>
      </c>
      <c r="AB74" s="651">
        <f t="array" ref="AB74">IFERROR(INDEX('HIV-Pharmaceuticals'!$V$14:$V$99,MATCH($E74&amp;$F74,'HIV-Pharmaceuticals'!$E$14:$E$99&amp;'HIV-Pharmaceuticals'!$I$14:$I$99,0)),0)</f>
        <v>0</v>
      </c>
      <c r="AC74" s="652">
        <f t="shared" si="48"/>
        <v>0</v>
      </c>
      <c r="AD74" s="652">
        <f t="shared" si="49"/>
        <v>0</v>
      </c>
      <c r="AE74" s="652">
        <f t="shared" si="50"/>
        <v>0</v>
      </c>
      <c r="AF74" s="651">
        <f t="array" ref="AF74">IFERROR(INDEX('HIV-Pharmaceuticals'!$W$14:$W$99,MATCH($E74&amp;$F74,'HIV-Pharmaceuticals'!$E$14:$E$99&amp;'HIV-Pharmaceuticals'!$I$14:$I$99,0)),0)</f>
        <v>0</v>
      </c>
      <c r="AG74" s="652">
        <f t="shared" si="51"/>
        <v>0</v>
      </c>
      <c r="AH74" s="652">
        <f t="shared" si="52"/>
        <v>0</v>
      </c>
      <c r="AI74" s="652">
        <f t="shared" si="53"/>
        <v>0</v>
      </c>
      <c r="AJ74" s="651">
        <f t="array" ref="AJ74">IFERROR(INDEX('HIV-Pharmaceuticals'!$X$14:$X$99,MATCH($E74&amp;$F74,'HIV-Pharmaceuticals'!$E$14:$E$99&amp;'HIV-Pharmaceuticals'!$I$14:$I$99,0)),0)</f>
        <v>0</v>
      </c>
      <c r="AK74" s="652">
        <f t="shared" si="54"/>
        <v>0</v>
      </c>
      <c r="AL74" s="652">
        <f t="shared" si="55"/>
        <v>0</v>
      </c>
      <c r="AM74" s="652">
        <f t="shared" si="56"/>
        <v>0</v>
      </c>
      <c r="AN74" s="651">
        <f t="array" ref="AN74">IFERROR(INDEX('HIV-Pharmaceuticals'!$Y$14:$Y$99,MATCH($E74&amp;$F74,'HIV-Pharmaceuticals'!$E$14:$E$99&amp;'HIV-Pharmaceuticals'!$I$14:$I$99,0)),0)</f>
        <v>0</v>
      </c>
      <c r="AO74" s="652">
        <f t="shared" si="57"/>
        <v>0</v>
      </c>
      <c r="AP74" s="652">
        <f t="shared" si="58"/>
        <v>0</v>
      </c>
      <c r="AQ74" s="652">
        <f t="shared" si="59"/>
        <v>0</v>
      </c>
      <c r="AR74" s="653"/>
      <c r="AS74" s="651">
        <f t="array" ref="AS74">IFERROR(INDEX('HIV-Pharmaceuticals'!$AB$14:$AB$99,MATCH($E74&amp;$F74,'HIV-Pharmaceuticals'!$E$14:$E$99&amp;'HIV-Pharmaceuticals'!$I$14:$I$99,0)),0)</f>
        <v>0</v>
      </c>
      <c r="AT74" s="651">
        <f t="array" ref="AT74">IFERROR(INDEX('HIV-Pharmaceuticals'!$AC$14:$AC$99,MATCH($E74&amp;$F74,'HIV-Pharmaceuticals'!$E$14:$E$99&amp;'HIV-Pharmaceuticals'!$I$14:$I$99,0)),0)</f>
        <v>0</v>
      </c>
      <c r="AU74" s="652">
        <f t="shared" si="60"/>
        <v>0</v>
      </c>
      <c r="AV74" s="652">
        <f t="shared" si="61"/>
        <v>0</v>
      </c>
      <c r="AW74" s="652">
        <f t="shared" si="62"/>
        <v>0</v>
      </c>
      <c r="AX74" s="651">
        <f t="array" ref="AX74">IFERROR(INDEX('HIV-Pharmaceuticals'!$AD$14:$AD$99,MATCH($E74&amp;$F74,'HIV-Pharmaceuticals'!$E$14:$E$99&amp;'HIV-Pharmaceuticals'!$I$14:$I$99,0)),0)</f>
        <v>0</v>
      </c>
      <c r="AY74" s="652">
        <f t="shared" si="63"/>
        <v>0</v>
      </c>
      <c r="AZ74" s="652">
        <f t="shared" si="64"/>
        <v>0</v>
      </c>
      <c r="BA74" s="652">
        <f t="shared" si="65"/>
        <v>0</v>
      </c>
      <c r="BB74" s="651">
        <f t="array" ref="BB74">IFERROR(INDEX('HIV-Pharmaceuticals'!$AE$14:$AE$99,MATCH($E74&amp;$F74,'HIV-Pharmaceuticals'!$E$14:$E$99&amp;'HIV-Pharmaceuticals'!$I$14:$I$99,0)),0)</f>
        <v>0</v>
      </c>
      <c r="BC74" s="652">
        <f t="shared" si="66"/>
        <v>0</v>
      </c>
      <c r="BD74" s="652">
        <f t="shared" si="67"/>
        <v>0</v>
      </c>
      <c r="BE74" s="652">
        <f t="shared" si="68"/>
        <v>0</v>
      </c>
      <c r="BF74" s="651">
        <f t="array" ref="BF74">IFERROR(INDEX('HIV-Pharmaceuticals'!$AF$14:$AF$99,MATCH($E74&amp;$F74,'HIV-Pharmaceuticals'!$E$14:$E$99&amp;'HIV-Pharmaceuticals'!$I$14:$I$99,0)),0)</f>
        <v>0</v>
      </c>
      <c r="BG74" s="652">
        <f t="shared" si="69"/>
        <v>0</v>
      </c>
      <c r="BH74" s="652">
        <f t="shared" si="70"/>
        <v>0</v>
      </c>
      <c r="BI74" s="652">
        <f t="shared" si="71"/>
        <v>0</v>
      </c>
      <c r="BK74" s="654"/>
      <c r="BL74" s="654"/>
      <c r="BM74" s="654"/>
      <c r="BN74" s="654"/>
      <c r="BO74" s="654"/>
      <c r="BP74" s="654"/>
      <c r="BQ74" s="654"/>
      <c r="BR74" s="654"/>
    </row>
    <row r="75" spans="1:70" s="646" customFormat="1">
      <c r="A75" s="647" t="s">
        <v>561</v>
      </c>
      <c r="B75" s="647" t="s">
        <v>819</v>
      </c>
      <c r="C75" s="648">
        <f>SETUP!$F$20</f>
        <v>0</v>
      </c>
      <c r="D75" s="649">
        <v>4.0999999999999996</v>
      </c>
      <c r="E75" s="647" t="s">
        <v>127</v>
      </c>
      <c r="F75" s="647" t="s">
        <v>1658</v>
      </c>
      <c r="G75" s="650" t="str">
        <f t="array" ref="G75">IFERROR(INDEX('HIV-Pharmaceuticals'!$L$14:$L$99,MATCH($E75&amp;$F75,'HIV-Pharmaceuticals'!$E$14:$E$99&amp;'HIV-Pharmaceuticals'!$I$14:$I$99,0)),"")</f>
        <v/>
      </c>
      <c r="H75" s="650" t="str">
        <f t="array" ref="H75">IFERROR(INDEX('HIV-Pharmaceuticals'!$M$14:$M$99,MATCH($E75&amp;$F75,'HIV-Pharmaceuticals'!$E$14:$E$99&amp;'HIV-Pharmaceuticals'!$I$14:$I$99,0)),"")</f>
        <v/>
      </c>
      <c r="I75" s="651">
        <f t="array" ref="I75">IFERROR(INDEX('HIV-Pharmaceuticals'!$N$14:$N$99,MATCH($E75&amp;$F75,'HIV-Pharmaceuticals'!$E$14:$E$99&amp;'HIV-Pharmaceuticals'!$I$14:$I$99,0)),0)</f>
        <v>0</v>
      </c>
      <c r="J75" s="651">
        <f t="array" ref="J75">IFERROR(INDEX('HIV-Pharmaceuticals'!$O$14:$O$99,MATCH($E75&amp;$F75,'HIV-Pharmaceuticals'!$E$14:$E$99&amp;'HIV-Pharmaceuticals'!$I$14:$I$99,0)),0)</f>
        <v>0</v>
      </c>
      <c r="K75" s="652">
        <f t="shared" si="36"/>
        <v>0</v>
      </c>
      <c r="L75" s="652">
        <f t="shared" si="37"/>
        <v>0</v>
      </c>
      <c r="M75" s="652">
        <f t="shared" si="38"/>
        <v>0</v>
      </c>
      <c r="N75" s="651">
        <f t="array" ref="N75">IFERROR(INDEX('HIV-Pharmaceuticals'!$P$14:$P$99,MATCH($E75&amp;$F75,'HIV-Pharmaceuticals'!$E$14:$E$99&amp;'HIV-Pharmaceuticals'!$I$14:$I$99,0)),0)</f>
        <v>0</v>
      </c>
      <c r="O75" s="652">
        <f t="shared" si="39"/>
        <v>0</v>
      </c>
      <c r="P75" s="652">
        <f t="shared" si="40"/>
        <v>0</v>
      </c>
      <c r="Q75" s="652">
        <f t="shared" si="41"/>
        <v>0</v>
      </c>
      <c r="R75" s="651">
        <f t="array" ref="R75">IFERROR(INDEX('HIV-Pharmaceuticals'!$Q$14:$Q$99,MATCH($E75&amp;$F75,'HIV-Pharmaceuticals'!$E$14:$E$99&amp;'HIV-Pharmaceuticals'!$I$14:$I$99,0)),0)</f>
        <v>0</v>
      </c>
      <c r="S75" s="652">
        <f t="shared" si="42"/>
        <v>0</v>
      </c>
      <c r="T75" s="652">
        <f t="shared" si="43"/>
        <v>0</v>
      </c>
      <c r="U75" s="652">
        <f t="shared" si="44"/>
        <v>0</v>
      </c>
      <c r="V75" s="651">
        <f t="array" ref="V75">IFERROR(INDEX('HIV-Pharmaceuticals'!$R$14:$R$99,MATCH($E75&amp;$F75,'HIV-Pharmaceuticals'!$E$14:$E$99&amp;'HIV-Pharmaceuticals'!$I$14:$I$99,0)),0)</f>
        <v>0</v>
      </c>
      <c r="W75" s="652">
        <f t="shared" si="45"/>
        <v>0</v>
      </c>
      <c r="X75" s="652">
        <f t="shared" si="46"/>
        <v>0</v>
      </c>
      <c r="Y75" s="652">
        <f t="shared" si="47"/>
        <v>0</v>
      </c>
      <c r="Z75" s="653"/>
      <c r="AA75" s="651">
        <f t="array" ref="AA75">IFERROR(INDEX('HIV-Pharmaceuticals'!$U$14:$U$99,MATCH($E75&amp;$F75,'HIV-Pharmaceuticals'!$E$14:$E$99&amp;'HIV-Pharmaceuticals'!$I$14:$I$99,0)),0)</f>
        <v>0</v>
      </c>
      <c r="AB75" s="651">
        <f t="array" ref="AB75">IFERROR(INDEX('HIV-Pharmaceuticals'!$V$14:$V$99,MATCH($E75&amp;$F75,'HIV-Pharmaceuticals'!$E$14:$E$99&amp;'HIV-Pharmaceuticals'!$I$14:$I$99,0)),0)</f>
        <v>0</v>
      </c>
      <c r="AC75" s="652">
        <f t="shared" si="48"/>
        <v>0</v>
      </c>
      <c r="AD75" s="652">
        <f t="shared" si="49"/>
        <v>0</v>
      </c>
      <c r="AE75" s="652">
        <f t="shared" si="50"/>
        <v>0</v>
      </c>
      <c r="AF75" s="651">
        <f t="array" ref="AF75">IFERROR(INDEX('HIV-Pharmaceuticals'!$W$14:$W$99,MATCH($E75&amp;$F75,'HIV-Pharmaceuticals'!$E$14:$E$99&amp;'HIV-Pharmaceuticals'!$I$14:$I$99,0)),0)</f>
        <v>0</v>
      </c>
      <c r="AG75" s="652">
        <f t="shared" si="51"/>
        <v>0</v>
      </c>
      <c r="AH75" s="652">
        <f t="shared" si="52"/>
        <v>0</v>
      </c>
      <c r="AI75" s="652">
        <f t="shared" si="53"/>
        <v>0</v>
      </c>
      <c r="AJ75" s="651">
        <f t="array" ref="AJ75">IFERROR(INDEX('HIV-Pharmaceuticals'!$X$14:$X$99,MATCH($E75&amp;$F75,'HIV-Pharmaceuticals'!$E$14:$E$99&amp;'HIV-Pharmaceuticals'!$I$14:$I$99,0)),0)</f>
        <v>0</v>
      </c>
      <c r="AK75" s="652">
        <f t="shared" si="54"/>
        <v>0</v>
      </c>
      <c r="AL75" s="652">
        <f t="shared" si="55"/>
        <v>0</v>
      </c>
      <c r="AM75" s="652">
        <f t="shared" si="56"/>
        <v>0</v>
      </c>
      <c r="AN75" s="651">
        <f t="array" ref="AN75">IFERROR(INDEX('HIV-Pharmaceuticals'!$Y$14:$Y$99,MATCH($E75&amp;$F75,'HIV-Pharmaceuticals'!$E$14:$E$99&amp;'HIV-Pharmaceuticals'!$I$14:$I$99,0)),0)</f>
        <v>0</v>
      </c>
      <c r="AO75" s="652">
        <f t="shared" si="57"/>
        <v>0</v>
      </c>
      <c r="AP75" s="652">
        <f t="shared" si="58"/>
        <v>0</v>
      </c>
      <c r="AQ75" s="652">
        <f t="shared" si="59"/>
        <v>0</v>
      </c>
      <c r="AR75" s="653"/>
      <c r="AS75" s="651">
        <f t="array" ref="AS75">IFERROR(INDEX('HIV-Pharmaceuticals'!$AB$14:$AB$99,MATCH($E75&amp;$F75,'HIV-Pharmaceuticals'!$E$14:$E$99&amp;'HIV-Pharmaceuticals'!$I$14:$I$99,0)),0)</f>
        <v>0</v>
      </c>
      <c r="AT75" s="651">
        <f t="array" ref="AT75">IFERROR(INDEX('HIV-Pharmaceuticals'!$AC$14:$AC$99,MATCH($E75&amp;$F75,'HIV-Pharmaceuticals'!$E$14:$E$99&amp;'HIV-Pharmaceuticals'!$I$14:$I$99,0)),0)</f>
        <v>0</v>
      </c>
      <c r="AU75" s="652">
        <f t="shared" si="60"/>
        <v>0</v>
      </c>
      <c r="AV75" s="652">
        <f t="shared" si="61"/>
        <v>0</v>
      </c>
      <c r="AW75" s="652">
        <f t="shared" si="62"/>
        <v>0</v>
      </c>
      <c r="AX75" s="651">
        <f t="array" ref="AX75">IFERROR(INDEX('HIV-Pharmaceuticals'!$AD$14:$AD$99,MATCH($E75&amp;$F75,'HIV-Pharmaceuticals'!$E$14:$E$99&amp;'HIV-Pharmaceuticals'!$I$14:$I$99,0)),0)</f>
        <v>0</v>
      </c>
      <c r="AY75" s="652">
        <f t="shared" si="63"/>
        <v>0</v>
      </c>
      <c r="AZ75" s="652">
        <f t="shared" si="64"/>
        <v>0</v>
      </c>
      <c r="BA75" s="652">
        <f t="shared" si="65"/>
        <v>0</v>
      </c>
      <c r="BB75" s="651">
        <f t="array" ref="BB75">IFERROR(INDEX('HIV-Pharmaceuticals'!$AE$14:$AE$99,MATCH($E75&amp;$F75,'HIV-Pharmaceuticals'!$E$14:$E$99&amp;'HIV-Pharmaceuticals'!$I$14:$I$99,0)),0)</f>
        <v>0</v>
      </c>
      <c r="BC75" s="652">
        <f t="shared" si="66"/>
        <v>0</v>
      </c>
      <c r="BD75" s="652">
        <f t="shared" si="67"/>
        <v>0</v>
      </c>
      <c r="BE75" s="652">
        <f t="shared" si="68"/>
        <v>0</v>
      </c>
      <c r="BF75" s="651">
        <f t="array" ref="BF75">IFERROR(INDEX('HIV-Pharmaceuticals'!$AF$14:$AF$99,MATCH($E75&amp;$F75,'HIV-Pharmaceuticals'!$E$14:$E$99&amp;'HIV-Pharmaceuticals'!$I$14:$I$99,0)),0)</f>
        <v>0</v>
      </c>
      <c r="BG75" s="652">
        <f t="shared" si="69"/>
        <v>0</v>
      </c>
      <c r="BH75" s="652">
        <f t="shared" si="70"/>
        <v>0</v>
      </c>
      <c r="BI75" s="652">
        <f t="shared" si="71"/>
        <v>0</v>
      </c>
      <c r="BK75" s="654"/>
      <c r="BL75" s="654"/>
      <c r="BM75" s="654"/>
      <c r="BN75" s="654"/>
      <c r="BO75" s="654"/>
      <c r="BP75" s="654"/>
      <c r="BQ75" s="654"/>
      <c r="BR75" s="654"/>
    </row>
    <row r="76" spans="1:70" s="646" customFormat="1">
      <c r="A76" s="647" t="s">
        <v>561</v>
      </c>
      <c r="B76" s="647" t="s">
        <v>819</v>
      </c>
      <c r="C76" s="648">
        <f>SETUP!$F$20</f>
        <v>0</v>
      </c>
      <c r="D76" s="649">
        <v>4.0999999999999996</v>
      </c>
      <c r="E76" s="647" t="s">
        <v>127</v>
      </c>
      <c r="F76" s="647" t="s">
        <v>1659</v>
      </c>
      <c r="G76" s="650" t="str">
        <f t="array" ref="G76">IFERROR(INDEX('HIV-Pharmaceuticals'!$L$14:$L$99,MATCH($E76&amp;$F76,'HIV-Pharmaceuticals'!$E$14:$E$99&amp;'HIV-Pharmaceuticals'!$I$14:$I$99,0)),"")</f>
        <v/>
      </c>
      <c r="H76" s="650" t="str">
        <f t="array" ref="H76">IFERROR(INDEX('HIV-Pharmaceuticals'!$M$14:$M$99,MATCH($E76&amp;$F76,'HIV-Pharmaceuticals'!$E$14:$E$99&amp;'HIV-Pharmaceuticals'!$I$14:$I$99,0)),"")</f>
        <v/>
      </c>
      <c r="I76" s="651">
        <f t="array" ref="I76">IFERROR(INDEX('HIV-Pharmaceuticals'!$N$14:$N$99,MATCH($E76&amp;$F76,'HIV-Pharmaceuticals'!$E$14:$E$99&amp;'HIV-Pharmaceuticals'!$I$14:$I$99,0)),0)</f>
        <v>0</v>
      </c>
      <c r="J76" s="651">
        <f t="array" ref="J76">IFERROR(INDEX('HIV-Pharmaceuticals'!$O$14:$O$99,MATCH($E76&amp;$F76,'HIV-Pharmaceuticals'!$E$14:$E$99&amp;'HIV-Pharmaceuticals'!$I$14:$I$99,0)),0)</f>
        <v>0</v>
      </c>
      <c r="K76" s="652">
        <f t="shared" si="36"/>
        <v>0</v>
      </c>
      <c r="L76" s="652">
        <f t="shared" si="37"/>
        <v>0</v>
      </c>
      <c r="M76" s="652">
        <f t="shared" si="38"/>
        <v>0</v>
      </c>
      <c r="N76" s="651">
        <f t="array" ref="N76">IFERROR(INDEX('HIV-Pharmaceuticals'!$P$14:$P$99,MATCH($E76&amp;$F76,'HIV-Pharmaceuticals'!$E$14:$E$99&amp;'HIV-Pharmaceuticals'!$I$14:$I$99,0)),0)</f>
        <v>0</v>
      </c>
      <c r="O76" s="652">
        <f t="shared" si="39"/>
        <v>0</v>
      </c>
      <c r="P76" s="652">
        <f t="shared" si="40"/>
        <v>0</v>
      </c>
      <c r="Q76" s="652">
        <f t="shared" si="41"/>
        <v>0</v>
      </c>
      <c r="R76" s="651">
        <f t="array" ref="R76">IFERROR(INDEX('HIV-Pharmaceuticals'!$Q$14:$Q$99,MATCH($E76&amp;$F76,'HIV-Pharmaceuticals'!$E$14:$E$99&amp;'HIV-Pharmaceuticals'!$I$14:$I$99,0)),0)</f>
        <v>0</v>
      </c>
      <c r="S76" s="652">
        <f t="shared" si="42"/>
        <v>0</v>
      </c>
      <c r="T76" s="652">
        <f t="shared" si="43"/>
        <v>0</v>
      </c>
      <c r="U76" s="652">
        <f t="shared" si="44"/>
        <v>0</v>
      </c>
      <c r="V76" s="651">
        <f t="array" ref="V76">IFERROR(INDEX('HIV-Pharmaceuticals'!$R$14:$R$99,MATCH($E76&amp;$F76,'HIV-Pharmaceuticals'!$E$14:$E$99&amp;'HIV-Pharmaceuticals'!$I$14:$I$99,0)),0)</f>
        <v>0</v>
      </c>
      <c r="W76" s="652">
        <f t="shared" si="45"/>
        <v>0</v>
      </c>
      <c r="X76" s="652">
        <f t="shared" si="46"/>
        <v>0</v>
      </c>
      <c r="Y76" s="652">
        <f t="shared" si="47"/>
        <v>0</v>
      </c>
      <c r="Z76" s="653"/>
      <c r="AA76" s="651">
        <f t="array" ref="AA76">IFERROR(INDEX('HIV-Pharmaceuticals'!$U$14:$U$99,MATCH($E76&amp;$F76,'HIV-Pharmaceuticals'!$E$14:$E$99&amp;'HIV-Pharmaceuticals'!$I$14:$I$99,0)),0)</f>
        <v>0</v>
      </c>
      <c r="AB76" s="651">
        <f t="array" ref="AB76">IFERROR(INDEX('HIV-Pharmaceuticals'!$V$14:$V$99,MATCH($E76&amp;$F76,'HIV-Pharmaceuticals'!$E$14:$E$99&amp;'HIV-Pharmaceuticals'!$I$14:$I$99,0)),0)</f>
        <v>0</v>
      </c>
      <c r="AC76" s="652">
        <f t="shared" si="48"/>
        <v>0</v>
      </c>
      <c r="AD76" s="652">
        <f t="shared" si="49"/>
        <v>0</v>
      </c>
      <c r="AE76" s="652">
        <f t="shared" si="50"/>
        <v>0</v>
      </c>
      <c r="AF76" s="651">
        <f t="array" ref="AF76">IFERROR(INDEX('HIV-Pharmaceuticals'!$W$14:$W$99,MATCH($E76&amp;$F76,'HIV-Pharmaceuticals'!$E$14:$E$99&amp;'HIV-Pharmaceuticals'!$I$14:$I$99,0)),0)</f>
        <v>0</v>
      </c>
      <c r="AG76" s="652">
        <f t="shared" si="51"/>
        <v>0</v>
      </c>
      <c r="AH76" s="652">
        <f t="shared" si="52"/>
        <v>0</v>
      </c>
      <c r="AI76" s="652">
        <f t="shared" si="53"/>
        <v>0</v>
      </c>
      <c r="AJ76" s="651">
        <f t="array" ref="AJ76">IFERROR(INDEX('HIV-Pharmaceuticals'!$X$14:$X$99,MATCH($E76&amp;$F76,'HIV-Pharmaceuticals'!$E$14:$E$99&amp;'HIV-Pharmaceuticals'!$I$14:$I$99,0)),0)</f>
        <v>0</v>
      </c>
      <c r="AK76" s="652">
        <f t="shared" si="54"/>
        <v>0</v>
      </c>
      <c r="AL76" s="652">
        <f t="shared" si="55"/>
        <v>0</v>
      </c>
      <c r="AM76" s="652">
        <f t="shared" si="56"/>
        <v>0</v>
      </c>
      <c r="AN76" s="651">
        <f t="array" ref="AN76">IFERROR(INDEX('HIV-Pharmaceuticals'!$Y$14:$Y$99,MATCH($E76&amp;$F76,'HIV-Pharmaceuticals'!$E$14:$E$99&amp;'HIV-Pharmaceuticals'!$I$14:$I$99,0)),0)</f>
        <v>0</v>
      </c>
      <c r="AO76" s="652">
        <f t="shared" si="57"/>
        <v>0</v>
      </c>
      <c r="AP76" s="652">
        <f t="shared" si="58"/>
        <v>0</v>
      </c>
      <c r="AQ76" s="652">
        <f t="shared" si="59"/>
        <v>0</v>
      </c>
      <c r="AR76" s="653"/>
      <c r="AS76" s="651">
        <f t="array" ref="AS76">IFERROR(INDEX('HIV-Pharmaceuticals'!$AB$14:$AB$99,MATCH($E76&amp;$F76,'HIV-Pharmaceuticals'!$E$14:$E$99&amp;'HIV-Pharmaceuticals'!$I$14:$I$99,0)),0)</f>
        <v>0</v>
      </c>
      <c r="AT76" s="651">
        <f t="array" ref="AT76">IFERROR(INDEX('HIV-Pharmaceuticals'!$AC$14:$AC$99,MATCH($E76&amp;$F76,'HIV-Pharmaceuticals'!$E$14:$E$99&amp;'HIV-Pharmaceuticals'!$I$14:$I$99,0)),0)</f>
        <v>0</v>
      </c>
      <c r="AU76" s="652">
        <f t="shared" si="60"/>
        <v>0</v>
      </c>
      <c r="AV76" s="652">
        <f t="shared" si="61"/>
        <v>0</v>
      </c>
      <c r="AW76" s="652">
        <f t="shared" si="62"/>
        <v>0</v>
      </c>
      <c r="AX76" s="651">
        <f t="array" ref="AX76">IFERROR(INDEX('HIV-Pharmaceuticals'!$AD$14:$AD$99,MATCH($E76&amp;$F76,'HIV-Pharmaceuticals'!$E$14:$E$99&amp;'HIV-Pharmaceuticals'!$I$14:$I$99,0)),0)</f>
        <v>0</v>
      </c>
      <c r="AY76" s="652">
        <f t="shared" si="63"/>
        <v>0</v>
      </c>
      <c r="AZ76" s="652">
        <f t="shared" si="64"/>
        <v>0</v>
      </c>
      <c r="BA76" s="652">
        <f t="shared" si="65"/>
        <v>0</v>
      </c>
      <c r="BB76" s="651">
        <f t="array" ref="BB76">IFERROR(INDEX('HIV-Pharmaceuticals'!$AE$14:$AE$99,MATCH($E76&amp;$F76,'HIV-Pharmaceuticals'!$E$14:$E$99&amp;'HIV-Pharmaceuticals'!$I$14:$I$99,0)),0)</f>
        <v>0</v>
      </c>
      <c r="BC76" s="652">
        <f t="shared" si="66"/>
        <v>0</v>
      </c>
      <c r="BD76" s="652">
        <f t="shared" si="67"/>
        <v>0</v>
      </c>
      <c r="BE76" s="652">
        <f t="shared" si="68"/>
        <v>0</v>
      </c>
      <c r="BF76" s="651">
        <f t="array" ref="BF76">IFERROR(INDEX('HIV-Pharmaceuticals'!$AF$14:$AF$99,MATCH($E76&amp;$F76,'HIV-Pharmaceuticals'!$E$14:$E$99&amp;'HIV-Pharmaceuticals'!$I$14:$I$99,0)),0)</f>
        <v>0</v>
      </c>
      <c r="BG76" s="652">
        <f t="shared" si="69"/>
        <v>0</v>
      </c>
      <c r="BH76" s="652">
        <f t="shared" si="70"/>
        <v>0</v>
      </c>
      <c r="BI76" s="652">
        <f t="shared" si="71"/>
        <v>0</v>
      </c>
      <c r="BK76" s="654"/>
      <c r="BL76" s="654"/>
      <c r="BM76" s="654"/>
      <c r="BN76" s="654"/>
      <c r="BO76" s="654"/>
      <c r="BP76" s="654"/>
      <c r="BQ76" s="654"/>
      <c r="BR76" s="654"/>
    </row>
    <row r="77" spans="1:70" s="646" customFormat="1">
      <c r="A77" s="647" t="s">
        <v>561</v>
      </c>
      <c r="B77" s="647" t="s">
        <v>819</v>
      </c>
      <c r="C77" s="648">
        <f>SETUP!$F$20</f>
        <v>0</v>
      </c>
      <c r="D77" s="649">
        <v>4.0999999999999996</v>
      </c>
      <c r="E77" s="647" t="s">
        <v>127</v>
      </c>
      <c r="F77" s="647" t="s">
        <v>1660</v>
      </c>
      <c r="G77" s="650" t="str">
        <f t="array" ref="G77">IFERROR(INDEX('HIV-Pharmaceuticals'!$L$14:$L$99,MATCH($E77&amp;$F77,'HIV-Pharmaceuticals'!$E$14:$E$99&amp;'HIV-Pharmaceuticals'!$I$14:$I$99,0)),"")</f>
        <v/>
      </c>
      <c r="H77" s="650" t="str">
        <f t="array" ref="H77">IFERROR(INDEX('HIV-Pharmaceuticals'!$M$14:$M$99,MATCH($E77&amp;$F77,'HIV-Pharmaceuticals'!$E$14:$E$99&amp;'HIV-Pharmaceuticals'!$I$14:$I$99,0)),"")</f>
        <v/>
      </c>
      <c r="I77" s="651">
        <f t="array" ref="I77">IFERROR(INDEX('HIV-Pharmaceuticals'!$N$14:$N$99,MATCH($E77&amp;$F77,'HIV-Pharmaceuticals'!$E$14:$E$99&amp;'HIV-Pharmaceuticals'!$I$14:$I$99,0)),0)</f>
        <v>0</v>
      </c>
      <c r="J77" s="651">
        <f t="array" ref="J77">IFERROR(INDEX('HIV-Pharmaceuticals'!$O$14:$O$99,MATCH($E77&amp;$F77,'HIV-Pharmaceuticals'!$E$14:$E$99&amp;'HIV-Pharmaceuticals'!$I$14:$I$99,0)),0)</f>
        <v>0</v>
      </c>
      <c r="K77" s="652">
        <f t="shared" si="36"/>
        <v>0</v>
      </c>
      <c r="L77" s="652">
        <f t="shared" si="37"/>
        <v>0</v>
      </c>
      <c r="M77" s="652">
        <f t="shared" si="38"/>
        <v>0</v>
      </c>
      <c r="N77" s="651">
        <f t="array" ref="N77">IFERROR(INDEX('HIV-Pharmaceuticals'!$P$14:$P$99,MATCH($E77&amp;$F77,'HIV-Pharmaceuticals'!$E$14:$E$99&amp;'HIV-Pharmaceuticals'!$I$14:$I$99,0)),0)</f>
        <v>0</v>
      </c>
      <c r="O77" s="652">
        <f t="shared" si="39"/>
        <v>0</v>
      </c>
      <c r="P77" s="652">
        <f t="shared" si="40"/>
        <v>0</v>
      </c>
      <c r="Q77" s="652">
        <f t="shared" si="41"/>
        <v>0</v>
      </c>
      <c r="R77" s="651">
        <f t="array" ref="R77">IFERROR(INDEX('HIV-Pharmaceuticals'!$Q$14:$Q$99,MATCH($E77&amp;$F77,'HIV-Pharmaceuticals'!$E$14:$E$99&amp;'HIV-Pharmaceuticals'!$I$14:$I$99,0)),0)</f>
        <v>0</v>
      </c>
      <c r="S77" s="652">
        <f t="shared" si="42"/>
        <v>0</v>
      </c>
      <c r="T77" s="652">
        <f t="shared" si="43"/>
        <v>0</v>
      </c>
      <c r="U77" s="652">
        <f t="shared" si="44"/>
        <v>0</v>
      </c>
      <c r="V77" s="651">
        <f t="array" ref="V77">IFERROR(INDEX('HIV-Pharmaceuticals'!$R$14:$R$99,MATCH($E77&amp;$F77,'HIV-Pharmaceuticals'!$E$14:$E$99&amp;'HIV-Pharmaceuticals'!$I$14:$I$99,0)),0)</f>
        <v>0</v>
      </c>
      <c r="W77" s="652">
        <f t="shared" si="45"/>
        <v>0</v>
      </c>
      <c r="X77" s="652">
        <f t="shared" si="46"/>
        <v>0</v>
      </c>
      <c r="Y77" s="652">
        <f t="shared" si="47"/>
        <v>0</v>
      </c>
      <c r="Z77" s="653"/>
      <c r="AA77" s="651">
        <f t="array" ref="AA77">IFERROR(INDEX('HIV-Pharmaceuticals'!$U$14:$U$99,MATCH($E77&amp;$F77,'HIV-Pharmaceuticals'!$E$14:$E$99&amp;'HIV-Pharmaceuticals'!$I$14:$I$99,0)),0)</f>
        <v>0</v>
      </c>
      <c r="AB77" s="651">
        <f t="array" ref="AB77">IFERROR(INDEX('HIV-Pharmaceuticals'!$V$14:$V$99,MATCH($E77&amp;$F77,'HIV-Pharmaceuticals'!$E$14:$E$99&amp;'HIV-Pharmaceuticals'!$I$14:$I$99,0)),0)</f>
        <v>0</v>
      </c>
      <c r="AC77" s="652">
        <f t="shared" si="48"/>
        <v>0</v>
      </c>
      <c r="AD77" s="652">
        <f t="shared" si="49"/>
        <v>0</v>
      </c>
      <c r="AE77" s="652">
        <f t="shared" si="50"/>
        <v>0</v>
      </c>
      <c r="AF77" s="651">
        <f t="array" ref="AF77">IFERROR(INDEX('HIV-Pharmaceuticals'!$W$14:$W$99,MATCH($E77&amp;$F77,'HIV-Pharmaceuticals'!$E$14:$E$99&amp;'HIV-Pharmaceuticals'!$I$14:$I$99,0)),0)</f>
        <v>0</v>
      </c>
      <c r="AG77" s="652">
        <f t="shared" si="51"/>
        <v>0</v>
      </c>
      <c r="AH77" s="652">
        <f t="shared" si="52"/>
        <v>0</v>
      </c>
      <c r="AI77" s="652">
        <f t="shared" si="53"/>
        <v>0</v>
      </c>
      <c r="AJ77" s="651">
        <f t="array" ref="AJ77">IFERROR(INDEX('HIV-Pharmaceuticals'!$X$14:$X$99,MATCH($E77&amp;$F77,'HIV-Pharmaceuticals'!$E$14:$E$99&amp;'HIV-Pharmaceuticals'!$I$14:$I$99,0)),0)</f>
        <v>0</v>
      </c>
      <c r="AK77" s="652">
        <f t="shared" si="54"/>
        <v>0</v>
      </c>
      <c r="AL77" s="652">
        <f t="shared" si="55"/>
        <v>0</v>
      </c>
      <c r="AM77" s="652">
        <f t="shared" si="56"/>
        <v>0</v>
      </c>
      <c r="AN77" s="651">
        <f t="array" ref="AN77">IFERROR(INDEX('HIV-Pharmaceuticals'!$Y$14:$Y$99,MATCH($E77&amp;$F77,'HIV-Pharmaceuticals'!$E$14:$E$99&amp;'HIV-Pharmaceuticals'!$I$14:$I$99,0)),0)</f>
        <v>0</v>
      </c>
      <c r="AO77" s="652">
        <f t="shared" si="57"/>
        <v>0</v>
      </c>
      <c r="AP77" s="652">
        <f t="shared" si="58"/>
        <v>0</v>
      </c>
      <c r="AQ77" s="652">
        <f t="shared" si="59"/>
        <v>0</v>
      </c>
      <c r="AR77" s="653"/>
      <c r="AS77" s="651">
        <f t="array" ref="AS77">IFERROR(INDEX('HIV-Pharmaceuticals'!$AB$14:$AB$99,MATCH($E77&amp;$F77,'HIV-Pharmaceuticals'!$E$14:$E$99&amp;'HIV-Pharmaceuticals'!$I$14:$I$99,0)),0)</f>
        <v>0</v>
      </c>
      <c r="AT77" s="651">
        <f t="array" ref="AT77">IFERROR(INDEX('HIV-Pharmaceuticals'!$AC$14:$AC$99,MATCH($E77&amp;$F77,'HIV-Pharmaceuticals'!$E$14:$E$99&amp;'HIV-Pharmaceuticals'!$I$14:$I$99,0)),0)</f>
        <v>0</v>
      </c>
      <c r="AU77" s="652">
        <f t="shared" si="60"/>
        <v>0</v>
      </c>
      <c r="AV77" s="652">
        <f t="shared" si="61"/>
        <v>0</v>
      </c>
      <c r="AW77" s="652">
        <f t="shared" si="62"/>
        <v>0</v>
      </c>
      <c r="AX77" s="651">
        <f t="array" ref="AX77">IFERROR(INDEX('HIV-Pharmaceuticals'!$AD$14:$AD$99,MATCH($E77&amp;$F77,'HIV-Pharmaceuticals'!$E$14:$E$99&amp;'HIV-Pharmaceuticals'!$I$14:$I$99,0)),0)</f>
        <v>0</v>
      </c>
      <c r="AY77" s="652">
        <f t="shared" si="63"/>
        <v>0</v>
      </c>
      <c r="AZ77" s="652">
        <f t="shared" si="64"/>
        <v>0</v>
      </c>
      <c r="BA77" s="652">
        <f t="shared" si="65"/>
        <v>0</v>
      </c>
      <c r="BB77" s="651">
        <f t="array" ref="BB77">IFERROR(INDEX('HIV-Pharmaceuticals'!$AE$14:$AE$99,MATCH($E77&amp;$F77,'HIV-Pharmaceuticals'!$E$14:$E$99&amp;'HIV-Pharmaceuticals'!$I$14:$I$99,0)),0)</f>
        <v>0</v>
      </c>
      <c r="BC77" s="652">
        <f t="shared" si="66"/>
        <v>0</v>
      </c>
      <c r="BD77" s="652">
        <f t="shared" si="67"/>
        <v>0</v>
      </c>
      <c r="BE77" s="652">
        <f t="shared" si="68"/>
        <v>0</v>
      </c>
      <c r="BF77" s="651">
        <f t="array" ref="BF77">IFERROR(INDEX('HIV-Pharmaceuticals'!$AF$14:$AF$99,MATCH($E77&amp;$F77,'HIV-Pharmaceuticals'!$E$14:$E$99&amp;'HIV-Pharmaceuticals'!$I$14:$I$99,0)),0)</f>
        <v>0</v>
      </c>
      <c r="BG77" s="652">
        <f t="shared" si="69"/>
        <v>0</v>
      </c>
      <c r="BH77" s="652">
        <f t="shared" si="70"/>
        <v>0</v>
      </c>
      <c r="BI77" s="652">
        <f t="shared" si="71"/>
        <v>0</v>
      </c>
      <c r="BK77" s="654"/>
      <c r="BL77" s="654"/>
      <c r="BM77" s="654"/>
      <c r="BN77" s="654"/>
      <c r="BO77" s="654"/>
      <c r="BP77" s="654"/>
      <c r="BQ77" s="654"/>
      <c r="BR77" s="654"/>
    </row>
    <row r="78" spans="1:70" s="646" customFormat="1">
      <c r="A78" s="647" t="s">
        <v>561</v>
      </c>
      <c r="B78" s="647" t="s">
        <v>819</v>
      </c>
      <c r="C78" s="648">
        <f>SETUP!$F$20</f>
        <v>0</v>
      </c>
      <c r="D78" s="649">
        <v>4.0999999999999996</v>
      </c>
      <c r="E78" s="647" t="s">
        <v>127</v>
      </c>
      <c r="F78" s="647" t="s">
        <v>1661</v>
      </c>
      <c r="G78" s="650" t="str">
        <f t="array" ref="G78">IFERROR(INDEX('HIV-Pharmaceuticals'!$L$14:$L$99,MATCH($E78&amp;$F78,'HIV-Pharmaceuticals'!$E$14:$E$99&amp;'HIV-Pharmaceuticals'!$I$14:$I$99,0)),"")</f>
        <v/>
      </c>
      <c r="H78" s="650" t="str">
        <f t="array" ref="H78">IFERROR(INDEX('HIV-Pharmaceuticals'!$M$14:$M$99,MATCH($E78&amp;$F78,'HIV-Pharmaceuticals'!$E$14:$E$99&amp;'HIV-Pharmaceuticals'!$I$14:$I$99,0)),"")</f>
        <v/>
      </c>
      <c r="I78" s="651">
        <f t="array" ref="I78">IFERROR(INDEX('HIV-Pharmaceuticals'!$N$14:$N$99,MATCH($E78&amp;$F78,'HIV-Pharmaceuticals'!$E$14:$E$99&amp;'HIV-Pharmaceuticals'!$I$14:$I$99,0)),0)</f>
        <v>0</v>
      </c>
      <c r="J78" s="651">
        <f t="array" ref="J78">IFERROR(INDEX('HIV-Pharmaceuticals'!$O$14:$O$99,MATCH($E78&amp;$F78,'HIV-Pharmaceuticals'!$E$14:$E$99&amp;'HIV-Pharmaceuticals'!$I$14:$I$99,0)),0)</f>
        <v>0</v>
      </c>
      <c r="K78" s="652">
        <f t="shared" si="36"/>
        <v>0</v>
      </c>
      <c r="L78" s="652">
        <f t="shared" si="37"/>
        <v>0</v>
      </c>
      <c r="M78" s="652">
        <f t="shared" si="38"/>
        <v>0</v>
      </c>
      <c r="N78" s="651">
        <f t="array" ref="N78">IFERROR(INDEX('HIV-Pharmaceuticals'!$P$14:$P$99,MATCH($E78&amp;$F78,'HIV-Pharmaceuticals'!$E$14:$E$99&amp;'HIV-Pharmaceuticals'!$I$14:$I$99,0)),0)</f>
        <v>0</v>
      </c>
      <c r="O78" s="652">
        <f t="shared" si="39"/>
        <v>0</v>
      </c>
      <c r="P78" s="652">
        <f t="shared" si="40"/>
        <v>0</v>
      </c>
      <c r="Q78" s="652">
        <f t="shared" si="41"/>
        <v>0</v>
      </c>
      <c r="R78" s="651">
        <f t="array" ref="R78">IFERROR(INDEX('HIV-Pharmaceuticals'!$Q$14:$Q$99,MATCH($E78&amp;$F78,'HIV-Pharmaceuticals'!$E$14:$E$99&amp;'HIV-Pharmaceuticals'!$I$14:$I$99,0)),0)</f>
        <v>0</v>
      </c>
      <c r="S78" s="652">
        <f t="shared" si="42"/>
        <v>0</v>
      </c>
      <c r="T78" s="652">
        <f t="shared" si="43"/>
        <v>0</v>
      </c>
      <c r="U78" s="652">
        <f t="shared" si="44"/>
        <v>0</v>
      </c>
      <c r="V78" s="651">
        <f t="array" ref="V78">IFERROR(INDEX('HIV-Pharmaceuticals'!$R$14:$R$99,MATCH($E78&amp;$F78,'HIV-Pharmaceuticals'!$E$14:$E$99&amp;'HIV-Pharmaceuticals'!$I$14:$I$99,0)),0)</f>
        <v>0</v>
      </c>
      <c r="W78" s="652">
        <f t="shared" si="45"/>
        <v>0</v>
      </c>
      <c r="X78" s="652">
        <f t="shared" si="46"/>
        <v>0</v>
      </c>
      <c r="Y78" s="652">
        <f t="shared" si="47"/>
        <v>0</v>
      </c>
      <c r="Z78" s="653"/>
      <c r="AA78" s="651">
        <f t="array" ref="AA78">IFERROR(INDEX('HIV-Pharmaceuticals'!$U$14:$U$99,MATCH($E78&amp;$F78,'HIV-Pharmaceuticals'!$E$14:$E$99&amp;'HIV-Pharmaceuticals'!$I$14:$I$99,0)),0)</f>
        <v>0</v>
      </c>
      <c r="AB78" s="651">
        <f t="array" ref="AB78">IFERROR(INDEX('HIV-Pharmaceuticals'!$V$14:$V$99,MATCH($E78&amp;$F78,'HIV-Pharmaceuticals'!$E$14:$E$99&amp;'HIV-Pharmaceuticals'!$I$14:$I$99,0)),0)</f>
        <v>0</v>
      </c>
      <c r="AC78" s="652">
        <f t="shared" si="48"/>
        <v>0</v>
      </c>
      <c r="AD78" s="652">
        <f t="shared" si="49"/>
        <v>0</v>
      </c>
      <c r="AE78" s="652">
        <f t="shared" si="50"/>
        <v>0</v>
      </c>
      <c r="AF78" s="651">
        <f t="array" ref="AF78">IFERROR(INDEX('HIV-Pharmaceuticals'!$W$14:$W$99,MATCH($E78&amp;$F78,'HIV-Pharmaceuticals'!$E$14:$E$99&amp;'HIV-Pharmaceuticals'!$I$14:$I$99,0)),0)</f>
        <v>0</v>
      </c>
      <c r="AG78" s="652">
        <f t="shared" si="51"/>
        <v>0</v>
      </c>
      <c r="AH78" s="652">
        <f t="shared" si="52"/>
        <v>0</v>
      </c>
      <c r="AI78" s="652">
        <f t="shared" si="53"/>
        <v>0</v>
      </c>
      <c r="AJ78" s="651">
        <f t="array" ref="AJ78">IFERROR(INDEX('HIV-Pharmaceuticals'!$X$14:$X$99,MATCH($E78&amp;$F78,'HIV-Pharmaceuticals'!$E$14:$E$99&amp;'HIV-Pharmaceuticals'!$I$14:$I$99,0)),0)</f>
        <v>0</v>
      </c>
      <c r="AK78" s="652">
        <f t="shared" si="54"/>
        <v>0</v>
      </c>
      <c r="AL78" s="652">
        <f t="shared" si="55"/>
        <v>0</v>
      </c>
      <c r="AM78" s="652">
        <f t="shared" si="56"/>
        <v>0</v>
      </c>
      <c r="AN78" s="651">
        <f t="array" ref="AN78">IFERROR(INDEX('HIV-Pharmaceuticals'!$Y$14:$Y$99,MATCH($E78&amp;$F78,'HIV-Pharmaceuticals'!$E$14:$E$99&amp;'HIV-Pharmaceuticals'!$I$14:$I$99,0)),0)</f>
        <v>0</v>
      </c>
      <c r="AO78" s="652">
        <f t="shared" si="57"/>
        <v>0</v>
      </c>
      <c r="AP78" s="652">
        <f t="shared" si="58"/>
        <v>0</v>
      </c>
      <c r="AQ78" s="652">
        <f t="shared" si="59"/>
        <v>0</v>
      </c>
      <c r="AR78" s="653"/>
      <c r="AS78" s="651">
        <f t="array" ref="AS78">IFERROR(INDEX('HIV-Pharmaceuticals'!$AB$14:$AB$99,MATCH($E78&amp;$F78,'HIV-Pharmaceuticals'!$E$14:$E$99&amp;'HIV-Pharmaceuticals'!$I$14:$I$99,0)),0)</f>
        <v>0</v>
      </c>
      <c r="AT78" s="651">
        <f t="array" ref="AT78">IFERROR(INDEX('HIV-Pharmaceuticals'!$AC$14:$AC$99,MATCH($E78&amp;$F78,'HIV-Pharmaceuticals'!$E$14:$E$99&amp;'HIV-Pharmaceuticals'!$I$14:$I$99,0)),0)</f>
        <v>0</v>
      </c>
      <c r="AU78" s="652">
        <f t="shared" si="60"/>
        <v>0</v>
      </c>
      <c r="AV78" s="652">
        <f t="shared" si="61"/>
        <v>0</v>
      </c>
      <c r="AW78" s="652">
        <f t="shared" si="62"/>
        <v>0</v>
      </c>
      <c r="AX78" s="651">
        <f t="array" ref="AX78">IFERROR(INDEX('HIV-Pharmaceuticals'!$AD$14:$AD$99,MATCH($E78&amp;$F78,'HIV-Pharmaceuticals'!$E$14:$E$99&amp;'HIV-Pharmaceuticals'!$I$14:$I$99,0)),0)</f>
        <v>0</v>
      </c>
      <c r="AY78" s="652">
        <f t="shared" si="63"/>
        <v>0</v>
      </c>
      <c r="AZ78" s="652">
        <f t="shared" si="64"/>
        <v>0</v>
      </c>
      <c r="BA78" s="652">
        <f t="shared" si="65"/>
        <v>0</v>
      </c>
      <c r="BB78" s="651">
        <f t="array" ref="BB78">IFERROR(INDEX('HIV-Pharmaceuticals'!$AE$14:$AE$99,MATCH($E78&amp;$F78,'HIV-Pharmaceuticals'!$E$14:$E$99&amp;'HIV-Pharmaceuticals'!$I$14:$I$99,0)),0)</f>
        <v>0</v>
      </c>
      <c r="BC78" s="652">
        <f t="shared" si="66"/>
        <v>0</v>
      </c>
      <c r="BD78" s="652">
        <f t="shared" si="67"/>
        <v>0</v>
      </c>
      <c r="BE78" s="652">
        <f t="shared" si="68"/>
        <v>0</v>
      </c>
      <c r="BF78" s="651">
        <f t="array" ref="BF78">IFERROR(INDEX('HIV-Pharmaceuticals'!$AF$14:$AF$99,MATCH($E78&amp;$F78,'HIV-Pharmaceuticals'!$E$14:$E$99&amp;'HIV-Pharmaceuticals'!$I$14:$I$99,0)),0)</f>
        <v>0</v>
      </c>
      <c r="BG78" s="652">
        <f t="shared" si="69"/>
        <v>0</v>
      </c>
      <c r="BH78" s="652">
        <f t="shared" si="70"/>
        <v>0</v>
      </c>
      <c r="BI78" s="652">
        <f t="shared" si="71"/>
        <v>0</v>
      </c>
      <c r="BK78" s="654"/>
      <c r="BL78" s="654"/>
      <c r="BM78" s="654"/>
      <c r="BN78" s="654"/>
      <c r="BO78" s="654"/>
      <c r="BP78" s="654"/>
      <c r="BQ78" s="654"/>
      <c r="BR78" s="654"/>
    </row>
    <row r="79" spans="1:70" s="646" customFormat="1">
      <c r="A79" s="647" t="s">
        <v>561</v>
      </c>
      <c r="B79" s="647" t="s">
        <v>819</v>
      </c>
      <c r="C79" s="648">
        <f>SETUP!$F$20</f>
        <v>0</v>
      </c>
      <c r="D79" s="649">
        <v>4.0999999999999996</v>
      </c>
      <c r="E79" s="647" t="s">
        <v>127</v>
      </c>
      <c r="F79" s="647" t="s">
        <v>1662</v>
      </c>
      <c r="G79" s="650" t="str">
        <f t="array" ref="G79">IFERROR(INDEX('HIV-Pharmaceuticals'!$L$14:$L$99,MATCH($E79&amp;$F79,'HIV-Pharmaceuticals'!$E$14:$E$99&amp;'HIV-Pharmaceuticals'!$I$14:$I$99,0)),"")</f>
        <v/>
      </c>
      <c r="H79" s="650" t="str">
        <f t="array" ref="H79">IFERROR(INDEX('HIV-Pharmaceuticals'!$M$14:$M$99,MATCH($E79&amp;$F79,'HIV-Pharmaceuticals'!$E$14:$E$99&amp;'HIV-Pharmaceuticals'!$I$14:$I$99,0)),"")</f>
        <v/>
      </c>
      <c r="I79" s="651">
        <f t="array" ref="I79">IFERROR(INDEX('HIV-Pharmaceuticals'!$N$14:$N$99,MATCH($E79&amp;$F79,'HIV-Pharmaceuticals'!$E$14:$E$99&amp;'HIV-Pharmaceuticals'!$I$14:$I$99,0)),0)</f>
        <v>0</v>
      </c>
      <c r="J79" s="651">
        <f t="array" ref="J79">IFERROR(INDEX('HIV-Pharmaceuticals'!$O$14:$O$99,MATCH($E79&amp;$F79,'HIV-Pharmaceuticals'!$E$14:$E$99&amp;'HIV-Pharmaceuticals'!$I$14:$I$99,0)),0)</f>
        <v>0</v>
      </c>
      <c r="K79" s="652">
        <f t="shared" si="36"/>
        <v>0</v>
      </c>
      <c r="L79" s="652">
        <f t="shared" si="37"/>
        <v>0</v>
      </c>
      <c r="M79" s="652">
        <f t="shared" si="38"/>
        <v>0</v>
      </c>
      <c r="N79" s="651">
        <f t="array" ref="N79">IFERROR(INDEX('HIV-Pharmaceuticals'!$P$14:$P$99,MATCH($E79&amp;$F79,'HIV-Pharmaceuticals'!$E$14:$E$99&amp;'HIV-Pharmaceuticals'!$I$14:$I$99,0)),0)</f>
        <v>0</v>
      </c>
      <c r="O79" s="652">
        <f t="shared" si="39"/>
        <v>0</v>
      </c>
      <c r="P79" s="652">
        <f t="shared" si="40"/>
        <v>0</v>
      </c>
      <c r="Q79" s="652">
        <f t="shared" si="41"/>
        <v>0</v>
      </c>
      <c r="R79" s="651">
        <f t="array" ref="R79">IFERROR(INDEX('HIV-Pharmaceuticals'!$Q$14:$Q$99,MATCH($E79&amp;$F79,'HIV-Pharmaceuticals'!$E$14:$E$99&amp;'HIV-Pharmaceuticals'!$I$14:$I$99,0)),0)</f>
        <v>0</v>
      </c>
      <c r="S79" s="652">
        <f t="shared" si="42"/>
        <v>0</v>
      </c>
      <c r="T79" s="652">
        <f t="shared" si="43"/>
        <v>0</v>
      </c>
      <c r="U79" s="652">
        <f t="shared" si="44"/>
        <v>0</v>
      </c>
      <c r="V79" s="651">
        <f t="array" ref="V79">IFERROR(INDEX('HIV-Pharmaceuticals'!$R$14:$R$99,MATCH($E79&amp;$F79,'HIV-Pharmaceuticals'!$E$14:$E$99&amp;'HIV-Pharmaceuticals'!$I$14:$I$99,0)),0)</f>
        <v>0</v>
      </c>
      <c r="W79" s="652">
        <f t="shared" si="45"/>
        <v>0</v>
      </c>
      <c r="X79" s="652">
        <f t="shared" si="46"/>
        <v>0</v>
      </c>
      <c r="Y79" s="652">
        <f t="shared" si="47"/>
        <v>0</v>
      </c>
      <c r="Z79" s="653"/>
      <c r="AA79" s="651">
        <f t="array" ref="AA79">IFERROR(INDEX('HIV-Pharmaceuticals'!$U$14:$U$99,MATCH($E79&amp;$F79,'HIV-Pharmaceuticals'!$E$14:$E$99&amp;'HIV-Pharmaceuticals'!$I$14:$I$99,0)),0)</f>
        <v>0</v>
      </c>
      <c r="AB79" s="651">
        <f t="array" ref="AB79">IFERROR(INDEX('HIV-Pharmaceuticals'!$V$14:$V$99,MATCH($E79&amp;$F79,'HIV-Pharmaceuticals'!$E$14:$E$99&amp;'HIV-Pharmaceuticals'!$I$14:$I$99,0)),0)</f>
        <v>0</v>
      </c>
      <c r="AC79" s="652">
        <f t="shared" si="48"/>
        <v>0</v>
      </c>
      <c r="AD79" s="652">
        <f t="shared" si="49"/>
        <v>0</v>
      </c>
      <c r="AE79" s="652">
        <f t="shared" si="50"/>
        <v>0</v>
      </c>
      <c r="AF79" s="651">
        <f t="array" ref="AF79">IFERROR(INDEX('HIV-Pharmaceuticals'!$W$14:$W$99,MATCH($E79&amp;$F79,'HIV-Pharmaceuticals'!$E$14:$E$99&amp;'HIV-Pharmaceuticals'!$I$14:$I$99,0)),0)</f>
        <v>0</v>
      </c>
      <c r="AG79" s="652">
        <f t="shared" si="51"/>
        <v>0</v>
      </c>
      <c r="AH79" s="652">
        <f t="shared" si="52"/>
        <v>0</v>
      </c>
      <c r="AI79" s="652">
        <f t="shared" si="53"/>
        <v>0</v>
      </c>
      <c r="AJ79" s="651">
        <f t="array" ref="AJ79">IFERROR(INDEX('HIV-Pharmaceuticals'!$X$14:$X$99,MATCH($E79&amp;$F79,'HIV-Pharmaceuticals'!$E$14:$E$99&amp;'HIV-Pharmaceuticals'!$I$14:$I$99,0)),0)</f>
        <v>0</v>
      </c>
      <c r="AK79" s="652">
        <f t="shared" si="54"/>
        <v>0</v>
      </c>
      <c r="AL79" s="652">
        <f t="shared" si="55"/>
        <v>0</v>
      </c>
      <c r="AM79" s="652">
        <f t="shared" si="56"/>
        <v>0</v>
      </c>
      <c r="AN79" s="651">
        <f t="array" ref="AN79">IFERROR(INDEX('HIV-Pharmaceuticals'!$Y$14:$Y$99,MATCH($E79&amp;$F79,'HIV-Pharmaceuticals'!$E$14:$E$99&amp;'HIV-Pharmaceuticals'!$I$14:$I$99,0)),0)</f>
        <v>0</v>
      </c>
      <c r="AO79" s="652">
        <f t="shared" si="57"/>
        <v>0</v>
      </c>
      <c r="AP79" s="652">
        <f t="shared" si="58"/>
        <v>0</v>
      </c>
      <c r="AQ79" s="652">
        <f t="shared" si="59"/>
        <v>0</v>
      </c>
      <c r="AR79" s="653"/>
      <c r="AS79" s="651">
        <f t="array" ref="AS79">IFERROR(INDEX('HIV-Pharmaceuticals'!$AB$14:$AB$99,MATCH($E79&amp;$F79,'HIV-Pharmaceuticals'!$E$14:$E$99&amp;'HIV-Pharmaceuticals'!$I$14:$I$99,0)),0)</f>
        <v>0</v>
      </c>
      <c r="AT79" s="651">
        <f t="array" ref="AT79">IFERROR(INDEX('HIV-Pharmaceuticals'!$AC$14:$AC$99,MATCH($E79&amp;$F79,'HIV-Pharmaceuticals'!$E$14:$E$99&amp;'HIV-Pharmaceuticals'!$I$14:$I$99,0)),0)</f>
        <v>0</v>
      </c>
      <c r="AU79" s="652">
        <f t="shared" si="60"/>
        <v>0</v>
      </c>
      <c r="AV79" s="652">
        <f t="shared" si="61"/>
        <v>0</v>
      </c>
      <c r="AW79" s="652">
        <f t="shared" si="62"/>
        <v>0</v>
      </c>
      <c r="AX79" s="651">
        <f t="array" ref="AX79">IFERROR(INDEX('HIV-Pharmaceuticals'!$AD$14:$AD$99,MATCH($E79&amp;$F79,'HIV-Pharmaceuticals'!$E$14:$E$99&amp;'HIV-Pharmaceuticals'!$I$14:$I$99,0)),0)</f>
        <v>0</v>
      </c>
      <c r="AY79" s="652">
        <f t="shared" si="63"/>
        <v>0</v>
      </c>
      <c r="AZ79" s="652">
        <f t="shared" si="64"/>
        <v>0</v>
      </c>
      <c r="BA79" s="652">
        <f t="shared" si="65"/>
        <v>0</v>
      </c>
      <c r="BB79" s="651">
        <f t="array" ref="BB79">IFERROR(INDEX('HIV-Pharmaceuticals'!$AE$14:$AE$99,MATCH($E79&amp;$F79,'HIV-Pharmaceuticals'!$E$14:$E$99&amp;'HIV-Pharmaceuticals'!$I$14:$I$99,0)),0)</f>
        <v>0</v>
      </c>
      <c r="BC79" s="652">
        <f t="shared" si="66"/>
        <v>0</v>
      </c>
      <c r="BD79" s="652">
        <f t="shared" si="67"/>
        <v>0</v>
      </c>
      <c r="BE79" s="652">
        <f t="shared" si="68"/>
        <v>0</v>
      </c>
      <c r="BF79" s="651">
        <f t="array" ref="BF79">IFERROR(INDEX('HIV-Pharmaceuticals'!$AF$14:$AF$99,MATCH($E79&amp;$F79,'HIV-Pharmaceuticals'!$E$14:$E$99&amp;'HIV-Pharmaceuticals'!$I$14:$I$99,0)),0)</f>
        <v>0</v>
      </c>
      <c r="BG79" s="652">
        <f t="shared" si="69"/>
        <v>0</v>
      </c>
      <c r="BH79" s="652">
        <f t="shared" si="70"/>
        <v>0</v>
      </c>
      <c r="BI79" s="652">
        <f t="shared" si="71"/>
        <v>0</v>
      </c>
      <c r="BK79" s="654"/>
      <c r="BL79" s="654"/>
      <c r="BM79" s="654"/>
      <c r="BN79" s="654"/>
      <c r="BO79" s="654"/>
      <c r="BP79" s="654"/>
      <c r="BQ79" s="654"/>
      <c r="BR79" s="654"/>
    </row>
    <row r="80" spans="1:70" s="646" customFormat="1">
      <c r="A80" s="647" t="s">
        <v>561</v>
      </c>
      <c r="B80" s="647" t="s">
        <v>819</v>
      </c>
      <c r="C80" s="648">
        <f>SETUP!$F$20</f>
        <v>0</v>
      </c>
      <c r="D80" s="649">
        <v>4.0999999999999996</v>
      </c>
      <c r="E80" s="647" t="s">
        <v>127</v>
      </c>
      <c r="F80" s="647" t="s">
        <v>1663</v>
      </c>
      <c r="G80" s="650" t="str">
        <f t="array" ref="G80">IFERROR(INDEX('HIV-Pharmaceuticals'!$L$14:$L$99,MATCH($E80&amp;$F80,'HIV-Pharmaceuticals'!$E$14:$E$99&amp;'HIV-Pharmaceuticals'!$I$14:$I$99,0)),"")</f>
        <v/>
      </c>
      <c r="H80" s="650" t="str">
        <f t="array" ref="H80">IFERROR(INDEX('HIV-Pharmaceuticals'!$M$14:$M$99,MATCH($E80&amp;$F80,'HIV-Pharmaceuticals'!$E$14:$E$99&amp;'HIV-Pharmaceuticals'!$I$14:$I$99,0)),"")</f>
        <v/>
      </c>
      <c r="I80" s="651">
        <f t="array" ref="I80">IFERROR(INDEX('HIV-Pharmaceuticals'!$N$14:$N$99,MATCH($E80&amp;$F80,'HIV-Pharmaceuticals'!$E$14:$E$99&amp;'HIV-Pharmaceuticals'!$I$14:$I$99,0)),0)</f>
        <v>0</v>
      </c>
      <c r="J80" s="651">
        <f t="array" ref="J80">IFERROR(INDEX('HIV-Pharmaceuticals'!$O$14:$O$99,MATCH($E80&amp;$F80,'HIV-Pharmaceuticals'!$E$14:$E$99&amp;'HIV-Pharmaceuticals'!$I$14:$I$99,0)),0)</f>
        <v>0</v>
      </c>
      <c r="K80" s="652">
        <f t="shared" si="36"/>
        <v>0</v>
      </c>
      <c r="L80" s="652">
        <f t="shared" si="37"/>
        <v>0</v>
      </c>
      <c r="M80" s="652">
        <f t="shared" si="38"/>
        <v>0</v>
      </c>
      <c r="N80" s="651">
        <f t="array" ref="N80">IFERROR(INDEX('HIV-Pharmaceuticals'!$P$14:$P$99,MATCH($E80&amp;$F80,'HIV-Pharmaceuticals'!$E$14:$E$99&amp;'HIV-Pharmaceuticals'!$I$14:$I$99,0)),0)</f>
        <v>0</v>
      </c>
      <c r="O80" s="652">
        <f t="shared" si="39"/>
        <v>0</v>
      </c>
      <c r="P80" s="652">
        <f t="shared" si="40"/>
        <v>0</v>
      </c>
      <c r="Q80" s="652">
        <f t="shared" si="41"/>
        <v>0</v>
      </c>
      <c r="R80" s="651">
        <f t="array" ref="R80">IFERROR(INDEX('HIV-Pharmaceuticals'!$Q$14:$Q$99,MATCH($E80&amp;$F80,'HIV-Pharmaceuticals'!$E$14:$E$99&amp;'HIV-Pharmaceuticals'!$I$14:$I$99,0)),0)</f>
        <v>0</v>
      </c>
      <c r="S80" s="652">
        <f t="shared" si="42"/>
        <v>0</v>
      </c>
      <c r="T80" s="652">
        <f t="shared" si="43"/>
        <v>0</v>
      </c>
      <c r="U80" s="652">
        <f t="shared" si="44"/>
        <v>0</v>
      </c>
      <c r="V80" s="651">
        <f t="array" ref="V80">IFERROR(INDEX('HIV-Pharmaceuticals'!$R$14:$R$99,MATCH($E80&amp;$F80,'HIV-Pharmaceuticals'!$E$14:$E$99&amp;'HIV-Pharmaceuticals'!$I$14:$I$99,0)),0)</f>
        <v>0</v>
      </c>
      <c r="W80" s="652">
        <f t="shared" si="45"/>
        <v>0</v>
      </c>
      <c r="X80" s="652">
        <f t="shared" si="46"/>
        <v>0</v>
      </c>
      <c r="Y80" s="652">
        <f t="shared" si="47"/>
        <v>0</v>
      </c>
      <c r="Z80" s="653"/>
      <c r="AA80" s="651">
        <f t="array" ref="AA80">IFERROR(INDEX('HIV-Pharmaceuticals'!$U$14:$U$99,MATCH($E80&amp;$F80,'HIV-Pharmaceuticals'!$E$14:$E$99&amp;'HIV-Pharmaceuticals'!$I$14:$I$99,0)),0)</f>
        <v>0</v>
      </c>
      <c r="AB80" s="651">
        <f t="array" ref="AB80">IFERROR(INDEX('HIV-Pharmaceuticals'!$V$14:$V$99,MATCH($E80&amp;$F80,'HIV-Pharmaceuticals'!$E$14:$E$99&amp;'HIV-Pharmaceuticals'!$I$14:$I$99,0)),0)</f>
        <v>0</v>
      </c>
      <c r="AC80" s="652">
        <f t="shared" si="48"/>
        <v>0</v>
      </c>
      <c r="AD80" s="652">
        <f t="shared" si="49"/>
        <v>0</v>
      </c>
      <c r="AE80" s="652">
        <f t="shared" si="50"/>
        <v>0</v>
      </c>
      <c r="AF80" s="651">
        <f t="array" ref="AF80">IFERROR(INDEX('HIV-Pharmaceuticals'!$W$14:$W$99,MATCH($E80&amp;$F80,'HIV-Pharmaceuticals'!$E$14:$E$99&amp;'HIV-Pharmaceuticals'!$I$14:$I$99,0)),0)</f>
        <v>0</v>
      </c>
      <c r="AG80" s="652">
        <f t="shared" si="51"/>
        <v>0</v>
      </c>
      <c r="AH80" s="652">
        <f t="shared" si="52"/>
        <v>0</v>
      </c>
      <c r="AI80" s="652">
        <f t="shared" si="53"/>
        <v>0</v>
      </c>
      <c r="AJ80" s="651">
        <f t="array" ref="AJ80">IFERROR(INDEX('HIV-Pharmaceuticals'!$X$14:$X$99,MATCH($E80&amp;$F80,'HIV-Pharmaceuticals'!$E$14:$E$99&amp;'HIV-Pharmaceuticals'!$I$14:$I$99,0)),0)</f>
        <v>0</v>
      </c>
      <c r="AK80" s="652">
        <f t="shared" si="54"/>
        <v>0</v>
      </c>
      <c r="AL80" s="652">
        <f t="shared" si="55"/>
        <v>0</v>
      </c>
      <c r="AM80" s="652">
        <f t="shared" si="56"/>
        <v>0</v>
      </c>
      <c r="AN80" s="651">
        <f t="array" ref="AN80">IFERROR(INDEX('HIV-Pharmaceuticals'!$Y$14:$Y$99,MATCH($E80&amp;$F80,'HIV-Pharmaceuticals'!$E$14:$E$99&amp;'HIV-Pharmaceuticals'!$I$14:$I$99,0)),0)</f>
        <v>0</v>
      </c>
      <c r="AO80" s="652">
        <f t="shared" si="57"/>
        <v>0</v>
      </c>
      <c r="AP80" s="652">
        <f t="shared" si="58"/>
        <v>0</v>
      </c>
      <c r="AQ80" s="652">
        <f t="shared" si="59"/>
        <v>0</v>
      </c>
      <c r="AR80" s="653"/>
      <c r="AS80" s="651">
        <f t="array" ref="AS80">IFERROR(INDEX('HIV-Pharmaceuticals'!$AB$14:$AB$99,MATCH($E80&amp;$F80,'HIV-Pharmaceuticals'!$E$14:$E$99&amp;'HIV-Pharmaceuticals'!$I$14:$I$99,0)),0)</f>
        <v>0</v>
      </c>
      <c r="AT80" s="651">
        <f t="array" ref="AT80">IFERROR(INDEX('HIV-Pharmaceuticals'!$AC$14:$AC$99,MATCH($E80&amp;$F80,'HIV-Pharmaceuticals'!$E$14:$E$99&amp;'HIV-Pharmaceuticals'!$I$14:$I$99,0)),0)</f>
        <v>0</v>
      </c>
      <c r="AU80" s="652">
        <f t="shared" si="60"/>
        <v>0</v>
      </c>
      <c r="AV80" s="652">
        <f t="shared" si="61"/>
        <v>0</v>
      </c>
      <c r="AW80" s="652">
        <f t="shared" si="62"/>
        <v>0</v>
      </c>
      <c r="AX80" s="651">
        <f t="array" ref="AX80">IFERROR(INDEX('HIV-Pharmaceuticals'!$AD$14:$AD$99,MATCH($E80&amp;$F80,'HIV-Pharmaceuticals'!$E$14:$E$99&amp;'HIV-Pharmaceuticals'!$I$14:$I$99,0)),0)</f>
        <v>0</v>
      </c>
      <c r="AY80" s="652">
        <f t="shared" si="63"/>
        <v>0</v>
      </c>
      <c r="AZ80" s="652">
        <f t="shared" si="64"/>
        <v>0</v>
      </c>
      <c r="BA80" s="652">
        <f t="shared" si="65"/>
        <v>0</v>
      </c>
      <c r="BB80" s="651">
        <f t="array" ref="BB80">IFERROR(INDEX('HIV-Pharmaceuticals'!$AE$14:$AE$99,MATCH($E80&amp;$F80,'HIV-Pharmaceuticals'!$E$14:$E$99&amp;'HIV-Pharmaceuticals'!$I$14:$I$99,0)),0)</f>
        <v>0</v>
      </c>
      <c r="BC80" s="652">
        <f t="shared" si="66"/>
        <v>0</v>
      </c>
      <c r="BD80" s="652">
        <f t="shared" si="67"/>
        <v>0</v>
      </c>
      <c r="BE80" s="652">
        <f t="shared" si="68"/>
        <v>0</v>
      </c>
      <c r="BF80" s="651">
        <f t="array" ref="BF80">IFERROR(INDEX('HIV-Pharmaceuticals'!$AF$14:$AF$99,MATCH($E80&amp;$F80,'HIV-Pharmaceuticals'!$E$14:$E$99&amp;'HIV-Pharmaceuticals'!$I$14:$I$99,0)),0)</f>
        <v>0</v>
      </c>
      <c r="BG80" s="652">
        <f t="shared" si="69"/>
        <v>0</v>
      </c>
      <c r="BH80" s="652">
        <f t="shared" si="70"/>
        <v>0</v>
      </c>
      <c r="BI80" s="652">
        <f t="shared" si="71"/>
        <v>0</v>
      </c>
      <c r="BK80" s="654"/>
      <c r="BL80" s="654"/>
      <c r="BM80" s="654"/>
      <c r="BN80" s="654"/>
      <c r="BO80" s="654"/>
      <c r="BP80" s="654"/>
      <c r="BQ80" s="654"/>
      <c r="BR80" s="654"/>
    </row>
    <row r="81" spans="1:70" s="646" customFormat="1">
      <c r="A81" s="647" t="s">
        <v>561</v>
      </c>
      <c r="B81" s="647" t="s">
        <v>819</v>
      </c>
      <c r="C81" s="648">
        <f>SETUP!$F$20</f>
        <v>0</v>
      </c>
      <c r="D81" s="649">
        <v>4.0999999999999996</v>
      </c>
      <c r="E81" s="647" t="s">
        <v>127</v>
      </c>
      <c r="F81" s="647" t="s">
        <v>1664</v>
      </c>
      <c r="G81" s="650" t="str">
        <f t="array" ref="G81">IFERROR(INDEX('HIV-Pharmaceuticals'!$L$14:$L$99,MATCH($E81&amp;$F81,'HIV-Pharmaceuticals'!$E$14:$E$99&amp;'HIV-Pharmaceuticals'!$I$14:$I$99,0)),"")</f>
        <v/>
      </c>
      <c r="H81" s="650" t="str">
        <f t="array" ref="H81">IFERROR(INDEX('HIV-Pharmaceuticals'!$M$14:$M$99,MATCH($E81&amp;$F81,'HIV-Pharmaceuticals'!$E$14:$E$99&amp;'HIV-Pharmaceuticals'!$I$14:$I$99,0)),"")</f>
        <v/>
      </c>
      <c r="I81" s="651">
        <f t="array" ref="I81">IFERROR(INDEX('HIV-Pharmaceuticals'!$N$14:$N$99,MATCH($E81&amp;$F81,'HIV-Pharmaceuticals'!$E$14:$E$99&amp;'HIV-Pharmaceuticals'!$I$14:$I$99,0)),0)</f>
        <v>0</v>
      </c>
      <c r="J81" s="651">
        <f t="array" ref="J81">IFERROR(INDEX('HIV-Pharmaceuticals'!$O$14:$O$99,MATCH($E81&amp;$F81,'HIV-Pharmaceuticals'!$E$14:$E$99&amp;'HIV-Pharmaceuticals'!$I$14:$I$99,0)),0)</f>
        <v>0</v>
      </c>
      <c r="K81" s="652">
        <f t="shared" si="36"/>
        <v>0</v>
      </c>
      <c r="L81" s="652">
        <f t="shared" si="37"/>
        <v>0</v>
      </c>
      <c r="M81" s="652">
        <f t="shared" si="38"/>
        <v>0</v>
      </c>
      <c r="N81" s="651">
        <f t="array" ref="N81">IFERROR(INDEX('HIV-Pharmaceuticals'!$P$14:$P$99,MATCH($E81&amp;$F81,'HIV-Pharmaceuticals'!$E$14:$E$99&amp;'HIV-Pharmaceuticals'!$I$14:$I$99,0)),0)</f>
        <v>0</v>
      </c>
      <c r="O81" s="652">
        <f t="shared" si="39"/>
        <v>0</v>
      </c>
      <c r="P81" s="652">
        <f t="shared" si="40"/>
        <v>0</v>
      </c>
      <c r="Q81" s="652">
        <f t="shared" si="41"/>
        <v>0</v>
      </c>
      <c r="R81" s="651">
        <f t="array" ref="R81">IFERROR(INDEX('HIV-Pharmaceuticals'!$Q$14:$Q$99,MATCH($E81&amp;$F81,'HIV-Pharmaceuticals'!$E$14:$E$99&amp;'HIV-Pharmaceuticals'!$I$14:$I$99,0)),0)</f>
        <v>0</v>
      </c>
      <c r="S81" s="652">
        <f t="shared" si="42"/>
        <v>0</v>
      </c>
      <c r="T81" s="652">
        <f t="shared" si="43"/>
        <v>0</v>
      </c>
      <c r="U81" s="652">
        <f t="shared" si="44"/>
        <v>0</v>
      </c>
      <c r="V81" s="651">
        <f t="array" ref="V81">IFERROR(INDEX('HIV-Pharmaceuticals'!$R$14:$R$99,MATCH($E81&amp;$F81,'HIV-Pharmaceuticals'!$E$14:$E$99&amp;'HIV-Pharmaceuticals'!$I$14:$I$99,0)),0)</f>
        <v>0</v>
      </c>
      <c r="W81" s="652">
        <f t="shared" si="45"/>
        <v>0</v>
      </c>
      <c r="X81" s="652">
        <f t="shared" si="46"/>
        <v>0</v>
      </c>
      <c r="Y81" s="652">
        <f t="shared" si="47"/>
        <v>0</v>
      </c>
      <c r="Z81" s="653"/>
      <c r="AA81" s="651">
        <f t="array" ref="AA81">IFERROR(INDEX('HIV-Pharmaceuticals'!$U$14:$U$99,MATCH($E81&amp;$F81,'HIV-Pharmaceuticals'!$E$14:$E$99&amp;'HIV-Pharmaceuticals'!$I$14:$I$99,0)),0)</f>
        <v>0</v>
      </c>
      <c r="AB81" s="651">
        <f t="array" ref="AB81">IFERROR(INDEX('HIV-Pharmaceuticals'!$V$14:$V$99,MATCH($E81&amp;$F81,'HIV-Pharmaceuticals'!$E$14:$E$99&amp;'HIV-Pharmaceuticals'!$I$14:$I$99,0)),0)</f>
        <v>0</v>
      </c>
      <c r="AC81" s="652">
        <f t="shared" si="48"/>
        <v>0</v>
      </c>
      <c r="AD81" s="652">
        <f t="shared" si="49"/>
        <v>0</v>
      </c>
      <c r="AE81" s="652">
        <f t="shared" si="50"/>
        <v>0</v>
      </c>
      <c r="AF81" s="651">
        <f t="array" ref="AF81">IFERROR(INDEX('HIV-Pharmaceuticals'!$W$14:$W$99,MATCH($E81&amp;$F81,'HIV-Pharmaceuticals'!$E$14:$E$99&amp;'HIV-Pharmaceuticals'!$I$14:$I$99,0)),0)</f>
        <v>0</v>
      </c>
      <c r="AG81" s="652">
        <f t="shared" si="51"/>
        <v>0</v>
      </c>
      <c r="AH81" s="652">
        <f t="shared" si="52"/>
        <v>0</v>
      </c>
      <c r="AI81" s="652">
        <f t="shared" si="53"/>
        <v>0</v>
      </c>
      <c r="AJ81" s="651">
        <f t="array" ref="AJ81">IFERROR(INDEX('HIV-Pharmaceuticals'!$X$14:$X$99,MATCH($E81&amp;$F81,'HIV-Pharmaceuticals'!$E$14:$E$99&amp;'HIV-Pharmaceuticals'!$I$14:$I$99,0)),0)</f>
        <v>0</v>
      </c>
      <c r="AK81" s="652">
        <f t="shared" si="54"/>
        <v>0</v>
      </c>
      <c r="AL81" s="652">
        <f t="shared" si="55"/>
        <v>0</v>
      </c>
      <c r="AM81" s="652">
        <f t="shared" si="56"/>
        <v>0</v>
      </c>
      <c r="AN81" s="651">
        <f t="array" ref="AN81">IFERROR(INDEX('HIV-Pharmaceuticals'!$Y$14:$Y$99,MATCH($E81&amp;$F81,'HIV-Pharmaceuticals'!$E$14:$E$99&amp;'HIV-Pharmaceuticals'!$I$14:$I$99,0)),0)</f>
        <v>0</v>
      </c>
      <c r="AO81" s="652">
        <f t="shared" si="57"/>
        <v>0</v>
      </c>
      <c r="AP81" s="652">
        <f t="shared" si="58"/>
        <v>0</v>
      </c>
      <c r="AQ81" s="652">
        <f t="shared" si="59"/>
        <v>0</v>
      </c>
      <c r="AR81" s="653"/>
      <c r="AS81" s="651">
        <f t="array" ref="AS81">IFERROR(INDEX('HIV-Pharmaceuticals'!$AB$14:$AB$99,MATCH($E81&amp;$F81,'HIV-Pharmaceuticals'!$E$14:$E$99&amp;'HIV-Pharmaceuticals'!$I$14:$I$99,0)),0)</f>
        <v>0</v>
      </c>
      <c r="AT81" s="651">
        <f t="array" ref="AT81">IFERROR(INDEX('HIV-Pharmaceuticals'!$AC$14:$AC$99,MATCH($E81&amp;$F81,'HIV-Pharmaceuticals'!$E$14:$E$99&amp;'HIV-Pharmaceuticals'!$I$14:$I$99,0)),0)</f>
        <v>0</v>
      </c>
      <c r="AU81" s="652">
        <f t="shared" si="60"/>
        <v>0</v>
      </c>
      <c r="AV81" s="652">
        <f t="shared" si="61"/>
        <v>0</v>
      </c>
      <c r="AW81" s="652">
        <f t="shared" si="62"/>
        <v>0</v>
      </c>
      <c r="AX81" s="651">
        <f t="array" ref="AX81">IFERROR(INDEX('HIV-Pharmaceuticals'!$AD$14:$AD$99,MATCH($E81&amp;$F81,'HIV-Pharmaceuticals'!$E$14:$E$99&amp;'HIV-Pharmaceuticals'!$I$14:$I$99,0)),0)</f>
        <v>0</v>
      </c>
      <c r="AY81" s="652">
        <f t="shared" si="63"/>
        <v>0</v>
      </c>
      <c r="AZ81" s="652">
        <f t="shared" si="64"/>
        <v>0</v>
      </c>
      <c r="BA81" s="652">
        <f t="shared" si="65"/>
        <v>0</v>
      </c>
      <c r="BB81" s="651">
        <f t="array" ref="BB81">IFERROR(INDEX('HIV-Pharmaceuticals'!$AE$14:$AE$99,MATCH($E81&amp;$F81,'HIV-Pharmaceuticals'!$E$14:$E$99&amp;'HIV-Pharmaceuticals'!$I$14:$I$99,0)),0)</f>
        <v>0</v>
      </c>
      <c r="BC81" s="652">
        <f t="shared" si="66"/>
        <v>0</v>
      </c>
      <c r="BD81" s="652">
        <f t="shared" si="67"/>
        <v>0</v>
      </c>
      <c r="BE81" s="652">
        <f t="shared" si="68"/>
        <v>0</v>
      </c>
      <c r="BF81" s="651">
        <f t="array" ref="BF81">IFERROR(INDEX('HIV-Pharmaceuticals'!$AF$14:$AF$99,MATCH($E81&amp;$F81,'HIV-Pharmaceuticals'!$E$14:$E$99&amp;'HIV-Pharmaceuticals'!$I$14:$I$99,0)),0)</f>
        <v>0</v>
      </c>
      <c r="BG81" s="652">
        <f t="shared" si="69"/>
        <v>0</v>
      </c>
      <c r="BH81" s="652">
        <f t="shared" si="70"/>
        <v>0</v>
      </c>
      <c r="BI81" s="652">
        <f t="shared" si="71"/>
        <v>0</v>
      </c>
      <c r="BK81" s="654"/>
      <c r="BL81" s="654"/>
      <c r="BM81" s="654"/>
      <c r="BN81" s="654"/>
      <c r="BO81" s="654"/>
      <c r="BP81" s="654"/>
      <c r="BQ81" s="654"/>
      <c r="BR81" s="654"/>
    </row>
    <row r="82" spans="1:70" s="646" customFormat="1">
      <c r="A82" s="647" t="s">
        <v>561</v>
      </c>
      <c r="B82" s="647" t="s">
        <v>819</v>
      </c>
      <c r="C82" s="648">
        <f>SETUP!$F$20</f>
        <v>0</v>
      </c>
      <c r="D82" s="649">
        <v>4.0999999999999996</v>
      </c>
      <c r="E82" s="647" t="s">
        <v>128</v>
      </c>
      <c r="F82" s="647" t="s">
        <v>1665</v>
      </c>
      <c r="G82" s="650" t="str">
        <f t="array" ref="G82">IFERROR(INDEX('HIV-Pharmaceuticals'!$L$14:$L$99,MATCH($E82&amp;$F82,'HIV-Pharmaceuticals'!$E$14:$E$99&amp;'HIV-Pharmaceuticals'!$I$14:$I$99,0)),"")</f>
        <v/>
      </c>
      <c r="H82" s="650" t="str">
        <f t="array" ref="H82">IFERROR(INDEX('HIV-Pharmaceuticals'!$M$14:$M$99,MATCH($E82&amp;$F82,'HIV-Pharmaceuticals'!$E$14:$E$99&amp;'HIV-Pharmaceuticals'!$I$14:$I$99,0)),"")</f>
        <v/>
      </c>
      <c r="I82" s="651">
        <f t="array" ref="I82">IFERROR(INDEX('HIV-Pharmaceuticals'!$N$14:$N$99,MATCH($E82&amp;$F82,'HIV-Pharmaceuticals'!$E$14:$E$99&amp;'HIV-Pharmaceuticals'!$I$14:$I$99,0)),0)</f>
        <v>0</v>
      </c>
      <c r="J82" s="651">
        <f t="array" ref="J82">IFERROR(INDEX('HIV-Pharmaceuticals'!$O$14:$O$99,MATCH($E82&amp;$F82,'HIV-Pharmaceuticals'!$E$14:$E$99&amp;'HIV-Pharmaceuticals'!$I$14:$I$99,0)),0)</f>
        <v>0</v>
      </c>
      <c r="K82" s="652">
        <f t="shared" si="36"/>
        <v>0</v>
      </c>
      <c r="L82" s="652">
        <f t="shared" si="37"/>
        <v>0</v>
      </c>
      <c r="M82" s="652">
        <f t="shared" si="38"/>
        <v>0</v>
      </c>
      <c r="N82" s="651">
        <f t="array" ref="N82">IFERROR(INDEX('HIV-Pharmaceuticals'!$P$14:$P$99,MATCH($E82&amp;$F82,'HIV-Pharmaceuticals'!$E$14:$E$99&amp;'HIV-Pharmaceuticals'!$I$14:$I$99,0)),0)</f>
        <v>0</v>
      </c>
      <c r="O82" s="652">
        <f t="shared" si="39"/>
        <v>0</v>
      </c>
      <c r="P82" s="652">
        <f t="shared" si="40"/>
        <v>0</v>
      </c>
      <c r="Q82" s="652">
        <f t="shared" si="41"/>
        <v>0</v>
      </c>
      <c r="R82" s="651">
        <f t="array" ref="R82">IFERROR(INDEX('HIV-Pharmaceuticals'!$Q$14:$Q$99,MATCH($E82&amp;$F82,'HIV-Pharmaceuticals'!$E$14:$E$99&amp;'HIV-Pharmaceuticals'!$I$14:$I$99,0)),0)</f>
        <v>0</v>
      </c>
      <c r="S82" s="652">
        <f t="shared" si="42"/>
        <v>0</v>
      </c>
      <c r="T82" s="652">
        <f t="shared" si="43"/>
        <v>0</v>
      </c>
      <c r="U82" s="652">
        <f t="shared" si="44"/>
        <v>0</v>
      </c>
      <c r="V82" s="651">
        <f t="array" ref="V82">IFERROR(INDEX('HIV-Pharmaceuticals'!$R$14:$R$99,MATCH($E82&amp;$F82,'HIV-Pharmaceuticals'!$E$14:$E$99&amp;'HIV-Pharmaceuticals'!$I$14:$I$99,0)),0)</f>
        <v>0</v>
      </c>
      <c r="W82" s="652">
        <f t="shared" si="45"/>
        <v>0</v>
      </c>
      <c r="X82" s="652">
        <f t="shared" si="46"/>
        <v>0</v>
      </c>
      <c r="Y82" s="652">
        <f t="shared" si="47"/>
        <v>0</v>
      </c>
      <c r="Z82" s="653"/>
      <c r="AA82" s="651">
        <f t="array" ref="AA82">IFERROR(INDEX('HIV-Pharmaceuticals'!$U$14:$U$99,MATCH($E82&amp;$F82,'HIV-Pharmaceuticals'!$E$14:$E$99&amp;'HIV-Pharmaceuticals'!$I$14:$I$99,0)),0)</f>
        <v>0</v>
      </c>
      <c r="AB82" s="651">
        <f t="array" ref="AB82">IFERROR(INDEX('HIV-Pharmaceuticals'!$V$14:$V$99,MATCH($E82&amp;$F82,'HIV-Pharmaceuticals'!$E$14:$E$99&amp;'HIV-Pharmaceuticals'!$I$14:$I$99,0)),0)</f>
        <v>0</v>
      </c>
      <c r="AC82" s="652">
        <f t="shared" si="48"/>
        <v>0</v>
      </c>
      <c r="AD82" s="652">
        <f t="shared" si="49"/>
        <v>0</v>
      </c>
      <c r="AE82" s="652">
        <f t="shared" si="50"/>
        <v>0</v>
      </c>
      <c r="AF82" s="651">
        <f t="array" ref="AF82">IFERROR(INDEX('HIV-Pharmaceuticals'!$W$14:$W$99,MATCH($E82&amp;$F82,'HIV-Pharmaceuticals'!$E$14:$E$99&amp;'HIV-Pharmaceuticals'!$I$14:$I$99,0)),0)</f>
        <v>0</v>
      </c>
      <c r="AG82" s="652">
        <f t="shared" si="51"/>
        <v>0</v>
      </c>
      <c r="AH82" s="652">
        <f t="shared" si="52"/>
        <v>0</v>
      </c>
      <c r="AI82" s="652">
        <f t="shared" si="53"/>
        <v>0</v>
      </c>
      <c r="AJ82" s="651">
        <f t="array" ref="AJ82">IFERROR(INDEX('HIV-Pharmaceuticals'!$X$14:$X$99,MATCH($E82&amp;$F82,'HIV-Pharmaceuticals'!$E$14:$E$99&amp;'HIV-Pharmaceuticals'!$I$14:$I$99,0)),0)</f>
        <v>0</v>
      </c>
      <c r="AK82" s="652">
        <f t="shared" si="54"/>
        <v>0</v>
      </c>
      <c r="AL82" s="652">
        <f t="shared" si="55"/>
        <v>0</v>
      </c>
      <c r="AM82" s="652">
        <f t="shared" si="56"/>
        <v>0</v>
      </c>
      <c r="AN82" s="651">
        <f t="array" ref="AN82">IFERROR(INDEX('HIV-Pharmaceuticals'!$Y$14:$Y$99,MATCH($E82&amp;$F82,'HIV-Pharmaceuticals'!$E$14:$E$99&amp;'HIV-Pharmaceuticals'!$I$14:$I$99,0)),0)</f>
        <v>0</v>
      </c>
      <c r="AO82" s="652">
        <f t="shared" si="57"/>
        <v>0</v>
      </c>
      <c r="AP82" s="652">
        <f t="shared" si="58"/>
        <v>0</v>
      </c>
      <c r="AQ82" s="652">
        <f t="shared" si="59"/>
        <v>0</v>
      </c>
      <c r="AR82" s="653"/>
      <c r="AS82" s="651">
        <f t="array" ref="AS82">IFERROR(INDEX('HIV-Pharmaceuticals'!$AB$14:$AB$99,MATCH($E82&amp;$F82,'HIV-Pharmaceuticals'!$E$14:$E$99&amp;'HIV-Pharmaceuticals'!$I$14:$I$99,0)),0)</f>
        <v>0</v>
      </c>
      <c r="AT82" s="651">
        <f t="array" ref="AT82">IFERROR(INDEX('HIV-Pharmaceuticals'!$AC$14:$AC$99,MATCH($E82&amp;$F82,'HIV-Pharmaceuticals'!$E$14:$E$99&amp;'HIV-Pharmaceuticals'!$I$14:$I$99,0)),0)</f>
        <v>0</v>
      </c>
      <c r="AU82" s="652">
        <f t="shared" si="60"/>
        <v>0</v>
      </c>
      <c r="AV82" s="652">
        <f t="shared" si="61"/>
        <v>0</v>
      </c>
      <c r="AW82" s="652">
        <f t="shared" si="62"/>
        <v>0</v>
      </c>
      <c r="AX82" s="651">
        <f t="array" ref="AX82">IFERROR(INDEX('HIV-Pharmaceuticals'!$AD$14:$AD$99,MATCH($E82&amp;$F82,'HIV-Pharmaceuticals'!$E$14:$E$99&amp;'HIV-Pharmaceuticals'!$I$14:$I$99,0)),0)</f>
        <v>0</v>
      </c>
      <c r="AY82" s="652">
        <f t="shared" si="63"/>
        <v>0</v>
      </c>
      <c r="AZ82" s="652">
        <f t="shared" si="64"/>
        <v>0</v>
      </c>
      <c r="BA82" s="652">
        <f t="shared" si="65"/>
        <v>0</v>
      </c>
      <c r="BB82" s="651">
        <f t="array" ref="BB82">IFERROR(INDEX('HIV-Pharmaceuticals'!$AE$14:$AE$99,MATCH($E82&amp;$F82,'HIV-Pharmaceuticals'!$E$14:$E$99&amp;'HIV-Pharmaceuticals'!$I$14:$I$99,0)),0)</f>
        <v>0</v>
      </c>
      <c r="BC82" s="652">
        <f t="shared" si="66"/>
        <v>0</v>
      </c>
      <c r="BD82" s="652">
        <f t="shared" si="67"/>
        <v>0</v>
      </c>
      <c r="BE82" s="652">
        <f t="shared" si="68"/>
        <v>0</v>
      </c>
      <c r="BF82" s="651">
        <f t="array" ref="BF82">IFERROR(INDEX('HIV-Pharmaceuticals'!$AF$14:$AF$99,MATCH($E82&amp;$F82,'HIV-Pharmaceuticals'!$E$14:$E$99&amp;'HIV-Pharmaceuticals'!$I$14:$I$99,0)),0)</f>
        <v>0</v>
      </c>
      <c r="BG82" s="652">
        <f t="shared" si="69"/>
        <v>0</v>
      </c>
      <c r="BH82" s="652">
        <f t="shared" si="70"/>
        <v>0</v>
      </c>
      <c r="BI82" s="652">
        <f t="shared" si="71"/>
        <v>0</v>
      </c>
      <c r="BK82" s="654"/>
      <c r="BL82" s="654"/>
      <c r="BM82" s="654"/>
      <c r="BN82" s="654"/>
      <c r="BO82" s="654"/>
      <c r="BP82" s="654"/>
      <c r="BQ82" s="654"/>
      <c r="BR82" s="654"/>
    </row>
    <row r="83" spans="1:70" s="646" customFormat="1">
      <c r="A83" s="647" t="s">
        <v>561</v>
      </c>
      <c r="B83" s="647" t="s">
        <v>819</v>
      </c>
      <c r="C83" s="648">
        <f>SETUP!$F$20</f>
        <v>0</v>
      </c>
      <c r="D83" s="649">
        <v>4.0999999999999996</v>
      </c>
      <c r="E83" s="647" t="s">
        <v>1666</v>
      </c>
      <c r="F83" s="647" t="s">
        <v>1666</v>
      </c>
      <c r="G83" s="650" t="str">
        <f t="array" ref="G83">IFERROR(INDEX('HIV-Pharmaceuticals'!$L$14:$L$99,MATCH($E83&amp;$F83,'HIV-Pharmaceuticals'!$E$14:$E$99&amp;'HIV-Pharmaceuticals'!$I$14:$I$99,0)),"")</f>
        <v/>
      </c>
      <c r="H83" s="650" t="str">
        <f t="array" ref="H83">IFERROR(INDEX('HIV-Pharmaceuticals'!$M$14:$M$99,MATCH($E83&amp;$F83,'HIV-Pharmaceuticals'!$E$14:$E$99&amp;'HIV-Pharmaceuticals'!$I$14:$I$99,0)),"")</f>
        <v/>
      </c>
      <c r="I83" s="651">
        <f t="array" ref="I83">IFERROR(INDEX('HIV-Pharmaceuticals'!$N$14:$N$99,MATCH($E83&amp;$F83,'HIV-Pharmaceuticals'!$E$14:$E$99&amp;'HIV-Pharmaceuticals'!$I$14:$I$99,0)),0)</f>
        <v>0</v>
      </c>
      <c r="J83" s="651">
        <f t="array" ref="J83">IFERROR(INDEX('HIV-Pharmaceuticals'!$O$14:$O$99,MATCH($E83&amp;$F83,'HIV-Pharmaceuticals'!$E$14:$E$99&amp;'HIV-Pharmaceuticals'!$I$14:$I$99,0)),0)</f>
        <v>0</v>
      </c>
      <c r="K83" s="652">
        <f t="shared" si="36"/>
        <v>0</v>
      </c>
      <c r="L83" s="652">
        <f t="shared" si="37"/>
        <v>0</v>
      </c>
      <c r="M83" s="652">
        <f t="shared" si="38"/>
        <v>0</v>
      </c>
      <c r="N83" s="651">
        <f t="array" ref="N83">IFERROR(INDEX('HIV-Pharmaceuticals'!$P$14:$P$99,MATCH($E83&amp;$F83,'HIV-Pharmaceuticals'!$E$14:$E$99&amp;'HIV-Pharmaceuticals'!$I$14:$I$99,0)),0)</f>
        <v>0</v>
      </c>
      <c r="O83" s="652">
        <f t="shared" si="39"/>
        <v>0</v>
      </c>
      <c r="P83" s="652">
        <f t="shared" si="40"/>
        <v>0</v>
      </c>
      <c r="Q83" s="652">
        <f t="shared" si="41"/>
        <v>0</v>
      </c>
      <c r="R83" s="651">
        <f t="array" ref="R83">IFERROR(INDEX('HIV-Pharmaceuticals'!$Q$14:$Q$99,MATCH($E83&amp;$F83,'HIV-Pharmaceuticals'!$E$14:$E$99&amp;'HIV-Pharmaceuticals'!$I$14:$I$99,0)),0)</f>
        <v>0</v>
      </c>
      <c r="S83" s="652">
        <f t="shared" si="42"/>
        <v>0</v>
      </c>
      <c r="T83" s="652">
        <f t="shared" si="43"/>
        <v>0</v>
      </c>
      <c r="U83" s="652">
        <f t="shared" si="44"/>
        <v>0</v>
      </c>
      <c r="V83" s="651">
        <f t="array" ref="V83">IFERROR(INDEX('HIV-Pharmaceuticals'!$R$14:$R$99,MATCH($E83&amp;$F83,'HIV-Pharmaceuticals'!$E$14:$E$99&amp;'HIV-Pharmaceuticals'!$I$14:$I$99,0)),0)</f>
        <v>0</v>
      </c>
      <c r="W83" s="652">
        <f t="shared" si="45"/>
        <v>0</v>
      </c>
      <c r="X83" s="652">
        <f t="shared" si="46"/>
        <v>0</v>
      </c>
      <c r="Y83" s="652">
        <f t="shared" si="47"/>
        <v>0</v>
      </c>
      <c r="Z83" s="653"/>
      <c r="AA83" s="651">
        <f t="array" ref="AA83">IFERROR(INDEX('HIV-Pharmaceuticals'!$U$14:$U$99,MATCH($E83&amp;$F83,'HIV-Pharmaceuticals'!$E$14:$E$99&amp;'HIV-Pharmaceuticals'!$I$14:$I$99,0)),0)</f>
        <v>0</v>
      </c>
      <c r="AB83" s="651">
        <f t="array" ref="AB83">IFERROR(INDEX('HIV-Pharmaceuticals'!$V$14:$V$99,MATCH($E83&amp;$F83,'HIV-Pharmaceuticals'!$E$14:$E$99&amp;'HIV-Pharmaceuticals'!$I$14:$I$99,0)),0)</f>
        <v>0</v>
      </c>
      <c r="AC83" s="652">
        <f t="shared" si="48"/>
        <v>0</v>
      </c>
      <c r="AD83" s="652">
        <f t="shared" si="49"/>
        <v>0</v>
      </c>
      <c r="AE83" s="652">
        <f t="shared" si="50"/>
        <v>0</v>
      </c>
      <c r="AF83" s="651">
        <f t="array" ref="AF83">IFERROR(INDEX('HIV-Pharmaceuticals'!$W$14:$W$99,MATCH($E83&amp;$F83,'HIV-Pharmaceuticals'!$E$14:$E$99&amp;'HIV-Pharmaceuticals'!$I$14:$I$99,0)),0)</f>
        <v>0</v>
      </c>
      <c r="AG83" s="652">
        <f t="shared" si="51"/>
        <v>0</v>
      </c>
      <c r="AH83" s="652">
        <f t="shared" si="52"/>
        <v>0</v>
      </c>
      <c r="AI83" s="652">
        <f t="shared" si="53"/>
        <v>0</v>
      </c>
      <c r="AJ83" s="651">
        <f t="array" ref="AJ83">IFERROR(INDEX('HIV-Pharmaceuticals'!$X$14:$X$99,MATCH($E83&amp;$F83,'HIV-Pharmaceuticals'!$E$14:$E$99&amp;'HIV-Pharmaceuticals'!$I$14:$I$99,0)),0)</f>
        <v>0</v>
      </c>
      <c r="AK83" s="652">
        <f t="shared" si="54"/>
        <v>0</v>
      </c>
      <c r="AL83" s="652">
        <f t="shared" si="55"/>
        <v>0</v>
      </c>
      <c r="AM83" s="652">
        <f t="shared" si="56"/>
        <v>0</v>
      </c>
      <c r="AN83" s="651">
        <f t="array" ref="AN83">IFERROR(INDEX('HIV-Pharmaceuticals'!$Y$14:$Y$99,MATCH($E83&amp;$F83,'HIV-Pharmaceuticals'!$E$14:$E$99&amp;'HIV-Pharmaceuticals'!$I$14:$I$99,0)),0)</f>
        <v>0</v>
      </c>
      <c r="AO83" s="652">
        <f t="shared" si="57"/>
        <v>0</v>
      </c>
      <c r="AP83" s="652">
        <f t="shared" si="58"/>
        <v>0</v>
      </c>
      <c r="AQ83" s="652">
        <f t="shared" si="59"/>
        <v>0</v>
      </c>
      <c r="AR83" s="653"/>
      <c r="AS83" s="651">
        <f t="array" ref="AS83">IFERROR(INDEX('HIV-Pharmaceuticals'!$AB$14:$AB$99,MATCH($E83&amp;$F83,'HIV-Pharmaceuticals'!$E$14:$E$99&amp;'HIV-Pharmaceuticals'!$I$14:$I$99,0)),0)</f>
        <v>0</v>
      </c>
      <c r="AT83" s="651">
        <f t="array" ref="AT83">IFERROR(INDEX('HIV-Pharmaceuticals'!$AC$14:$AC$99,MATCH($E83&amp;$F83,'HIV-Pharmaceuticals'!$E$14:$E$99&amp;'HIV-Pharmaceuticals'!$I$14:$I$99,0)),0)</f>
        <v>0</v>
      </c>
      <c r="AU83" s="652">
        <f t="shared" si="60"/>
        <v>0</v>
      </c>
      <c r="AV83" s="652">
        <f t="shared" si="61"/>
        <v>0</v>
      </c>
      <c r="AW83" s="652">
        <f t="shared" si="62"/>
        <v>0</v>
      </c>
      <c r="AX83" s="651">
        <f t="array" ref="AX83">IFERROR(INDEX('HIV-Pharmaceuticals'!$AD$14:$AD$99,MATCH($E83&amp;$F83,'HIV-Pharmaceuticals'!$E$14:$E$99&amp;'HIV-Pharmaceuticals'!$I$14:$I$99,0)),0)</f>
        <v>0</v>
      </c>
      <c r="AY83" s="652">
        <f t="shared" si="63"/>
        <v>0</v>
      </c>
      <c r="AZ83" s="652">
        <f t="shared" si="64"/>
        <v>0</v>
      </c>
      <c r="BA83" s="652">
        <f t="shared" si="65"/>
        <v>0</v>
      </c>
      <c r="BB83" s="651">
        <f t="array" ref="BB83">IFERROR(INDEX('HIV-Pharmaceuticals'!$AE$14:$AE$99,MATCH($E83&amp;$F83,'HIV-Pharmaceuticals'!$E$14:$E$99&amp;'HIV-Pharmaceuticals'!$I$14:$I$99,0)),0)</f>
        <v>0</v>
      </c>
      <c r="BC83" s="652">
        <f t="shared" si="66"/>
        <v>0</v>
      </c>
      <c r="BD83" s="652">
        <f t="shared" si="67"/>
        <v>0</v>
      </c>
      <c r="BE83" s="652">
        <f t="shared" si="68"/>
        <v>0</v>
      </c>
      <c r="BF83" s="651">
        <f t="array" ref="BF83">IFERROR(INDEX('HIV-Pharmaceuticals'!$AF$14:$AF$99,MATCH($E83&amp;$F83,'HIV-Pharmaceuticals'!$E$14:$E$99&amp;'HIV-Pharmaceuticals'!$I$14:$I$99,0)),0)</f>
        <v>0</v>
      </c>
      <c r="BG83" s="652">
        <f t="shared" si="69"/>
        <v>0</v>
      </c>
      <c r="BH83" s="652">
        <f t="shared" si="70"/>
        <v>0</v>
      </c>
      <c r="BI83" s="652">
        <f t="shared" si="71"/>
        <v>0</v>
      </c>
      <c r="BK83" s="654"/>
      <c r="BL83" s="654"/>
      <c r="BM83" s="654"/>
      <c r="BN83" s="654"/>
      <c r="BO83" s="654"/>
      <c r="BP83" s="654"/>
      <c r="BQ83" s="654"/>
      <c r="BR83" s="654"/>
    </row>
    <row r="84" spans="1:70" s="646" customFormat="1">
      <c r="A84" s="647" t="s">
        <v>561</v>
      </c>
      <c r="B84" s="647" t="s">
        <v>819</v>
      </c>
      <c r="C84" s="648">
        <f>SETUP!$F$20</f>
        <v>0</v>
      </c>
      <c r="D84" s="649">
        <v>4.0999999999999996</v>
      </c>
      <c r="E84" s="647" t="s">
        <v>135</v>
      </c>
      <c r="F84" s="647" t="s">
        <v>1140</v>
      </c>
      <c r="G84" s="650" t="str">
        <f t="array" ref="G84">IFERROR(INDEX('HIV-Pharmaceuticals'!$L$14:$L$99,MATCH($E84&amp;$F84,'HIV-Pharmaceuticals'!$E$14:$E$99&amp;'HIV-Pharmaceuticals'!$I$14:$I$99,0)),"")</f>
        <v/>
      </c>
      <c r="H84" s="650" t="str">
        <f t="array" ref="H84">IFERROR(INDEX('HIV-Pharmaceuticals'!$M$14:$M$99,MATCH($E84&amp;$F84,'HIV-Pharmaceuticals'!$E$14:$E$99&amp;'HIV-Pharmaceuticals'!$I$14:$I$99,0)),"")</f>
        <v/>
      </c>
      <c r="I84" s="651">
        <f t="array" ref="I84">IFERROR(INDEX('HIV-Pharmaceuticals'!$N$14:$N$99,MATCH($E84&amp;$F84,'HIV-Pharmaceuticals'!$E$14:$E$99&amp;'HIV-Pharmaceuticals'!$I$14:$I$99,0)),0)</f>
        <v>0</v>
      </c>
      <c r="J84" s="651">
        <f t="array" ref="J84">IFERROR(INDEX('HIV-Pharmaceuticals'!$O$14:$O$99,MATCH($E84&amp;$F84,'HIV-Pharmaceuticals'!$E$14:$E$99&amp;'HIV-Pharmaceuticals'!$I$14:$I$99,0)),0)</f>
        <v>0</v>
      </c>
      <c r="K84" s="652">
        <f t="shared" si="36"/>
        <v>0</v>
      </c>
      <c r="L84" s="652">
        <f t="shared" si="37"/>
        <v>0</v>
      </c>
      <c r="M84" s="652">
        <f t="shared" si="38"/>
        <v>0</v>
      </c>
      <c r="N84" s="651">
        <f t="array" ref="N84">IFERROR(INDEX('HIV-Pharmaceuticals'!$P$14:$P$99,MATCH($E84&amp;$F84,'HIV-Pharmaceuticals'!$E$14:$E$99&amp;'HIV-Pharmaceuticals'!$I$14:$I$99,0)),0)</f>
        <v>0</v>
      </c>
      <c r="O84" s="652">
        <f t="shared" si="39"/>
        <v>0</v>
      </c>
      <c r="P84" s="652">
        <f t="shared" si="40"/>
        <v>0</v>
      </c>
      <c r="Q84" s="652">
        <f t="shared" si="41"/>
        <v>0</v>
      </c>
      <c r="R84" s="651">
        <f t="array" ref="R84">IFERROR(INDEX('HIV-Pharmaceuticals'!$Q$14:$Q$99,MATCH($E84&amp;$F84,'HIV-Pharmaceuticals'!$E$14:$E$99&amp;'HIV-Pharmaceuticals'!$I$14:$I$99,0)),0)</f>
        <v>0</v>
      </c>
      <c r="S84" s="652">
        <f t="shared" si="42"/>
        <v>0</v>
      </c>
      <c r="T84" s="652">
        <f t="shared" si="43"/>
        <v>0</v>
      </c>
      <c r="U84" s="652">
        <f t="shared" si="44"/>
        <v>0</v>
      </c>
      <c r="V84" s="651">
        <f t="array" ref="V84">IFERROR(INDEX('HIV-Pharmaceuticals'!$R$14:$R$99,MATCH($E84&amp;$F84,'HIV-Pharmaceuticals'!$E$14:$E$99&amp;'HIV-Pharmaceuticals'!$I$14:$I$99,0)),0)</f>
        <v>0</v>
      </c>
      <c r="W84" s="652">
        <f t="shared" si="45"/>
        <v>0</v>
      </c>
      <c r="X84" s="652">
        <f t="shared" si="46"/>
        <v>0</v>
      </c>
      <c r="Y84" s="652">
        <f t="shared" si="47"/>
        <v>0</v>
      </c>
      <c r="Z84" s="653"/>
      <c r="AA84" s="651">
        <f t="array" ref="AA84">IFERROR(INDEX('HIV-Pharmaceuticals'!$U$14:$U$99,MATCH($E84&amp;$F84,'HIV-Pharmaceuticals'!$E$14:$E$99&amp;'HIV-Pharmaceuticals'!$I$14:$I$99,0)),0)</f>
        <v>0</v>
      </c>
      <c r="AB84" s="651">
        <f t="array" ref="AB84">IFERROR(INDEX('HIV-Pharmaceuticals'!$V$14:$V$99,MATCH($E84&amp;$F84,'HIV-Pharmaceuticals'!$E$14:$E$99&amp;'HIV-Pharmaceuticals'!$I$14:$I$99,0)),0)</f>
        <v>0</v>
      </c>
      <c r="AC84" s="652">
        <f t="shared" si="48"/>
        <v>0</v>
      </c>
      <c r="AD84" s="652">
        <f t="shared" si="49"/>
        <v>0</v>
      </c>
      <c r="AE84" s="652">
        <f t="shared" si="50"/>
        <v>0</v>
      </c>
      <c r="AF84" s="651">
        <f t="array" ref="AF84">IFERROR(INDEX('HIV-Pharmaceuticals'!$W$14:$W$99,MATCH($E84&amp;$F84,'HIV-Pharmaceuticals'!$E$14:$E$99&amp;'HIV-Pharmaceuticals'!$I$14:$I$99,0)),0)</f>
        <v>0</v>
      </c>
      <c r="AG84" s="652">
        <f t="shared" si="51"/>
        <v>0</v>
      </c>
      <c r="AH84" s="652">
        <f t="shared" si="52"/>
        <v>0</v>
      </c>
      <c r="AI84" s="652">
        <f t="shared" si="53"/>
        <v>0</v>
      </c>
      <c r="AJ84" s="651">
        <f t="array" ref="AJ84">IFERROR(INDEX('HIV-Pharmaceuticals'!$X$14:$X$99,MATCH($E84&amp;$F84,'HIV-Pharmaceuticals'!$E$14:$E$99&amp;'HIV-Pharmaceuticals'!$I$14:$I$99,0)),0)</f>
        <v>0</v>
      </c>
      <c r="AK84" s="652">
        <f t="shared" si="54"/>
        <v>0</v>
      </c>
      <c r="AL84" s="652">
        <f t="shared" si="55"/>
        <v>0</v>
      </c>
      <c r="AM84" s="652">
        <f t="shared" si="56"/>
        <v>0</v>
      </c>
      <c r="AN84" s="651">
        <f t="array" ref="AN84">IFERROR(INDEX('HIV-Pharmaceuticals'!$Y$14:$Y$99,MATCH($E84&amp;$F84,'HIV-Pharmaceuticals'!$E$14:$E$99&amp;'HIV-Pharmaceuticals'!$I$14:$I$99,0)),0)</f>
        <v>0</v>
      </c>
      <c r="AO84" s="652">
        <f t="shared" si="57"/>
        <v>0</v>
      </c>
      <c r="AP84" s="652">
        <f t="shared" si="58"/>
        <v>0</v>
      </c>
      <c r="AQ84" s="652">
        <f t="shared" si="59"/>
        <v>0</v>
      </c>
      <c r="AR84" s="653"/>
      <c r="AS84" s="651">
        <f t="array" ref="AS84">IFERROR(INDEX('HIV-Pharmaceuticals'!$AB$14:$AB$99,MATCH($E84&amp;$F84,'HIV-Pharmaceuticals'!$E$14:$E$99&amp;'HIV-Pharmaceuticals'!$I$14:$I$99,0)),0)</f>
        <v>0</v>
      </c>
      <c r="AT84" s="651">
        <f t="array" ref="AT84">IFERROR(INDEX('HIV-Pharmaceuticals'!$AC$14:$AC$99,MATCH($E84&amp;$F84,'HIV-Pharmaceuticals'!$E$14:$E$99&amp;'HIV-Pharmaceuticals'!$I$14:$I$99,0)),0)</f>
        <v>0</v>
      </c>
      <c r="AU84" s="652">
        <f t="shared" si="60"/>
        <v>0</v>
      </c>
      <c r="AV84" s="652">
        <f t="shared" si="61"/>
        <v>0</v>
      </c>
      <c r="AW84" s="652">
        <f t="shared" si="62"/>
        <v>0</v>
      </c>
      <c r="AX84" s="651">
        <f t="array" ref="AX84">IFERROR(INDEX('HIV-Pharmaceuticals'!$AD$14:$AD$99,MATCH($E84&amp;$F84,'HIV-Pharmaceuticals'!$E$14:$E$99&amp;'HIV-Pharmaceuticals'!$I$14:$I$99,0)),0)</f>
        <v>0</v>
      </c>
      <c r="AY84" s="652">
        <f t="shared" si="63"/>
        <v>0</v>
      </c>
      <c r="AZ84" s="652">
        <f t="shared" si="64"/>
        <v>0</v>
      </c>
      <c r="BA84" s="652">
        <f t="shared" si="65"/>
        <v>0</v>
      </c>
      <c r="BB84" s="651">
        <f t="array" ref="BB84">IFERROR(INDEX('HIV-Pharmaceuticals'!$AE$14:$AE$99,MATCH($E84&amp;$F84,'HIV-Pharmaceuticals'!$E$14:$E$99&amp;'HIV-Pharmaceuticals'!$I$14:$I$99,0)),0)</f>
        <v>0</v>
      </c>
      <c r="BC84" s="652">
        <f t="shared" si="66"/>
        <v>0</v>
      </c>
      <c r="BD84" s="652">
        <f t="shared" si="67"/>
        <v>0</v>
      </c>
      <c r="BE84" s="652">
        <f t="shared" si="68"/>
        <v>0</v>
      </c>
      <c r="BF84" s="651">
        <f t="array" ref="BF84">IFERROR(INDEX('HIV-Pharmaceuticals'!$AF$14:$AF$99,MATCH($E84&amp;$F84,'HIV-Pharmaceuticals'!$E$14:$E$99&amp;'HIV-Pharmaceuticals'!$I$14:$I$99,0)),0)</f>
        <v>0</v>
      </c>
      <c r="BG84" s="652">
        <f t="shared" si="69"/>
        <v>0</v>
      </c>
      <c r="BH84" s="652">
        <f t="shared" si="70"/>
        <v>0</v>
      </c>
      <c r="BI84" s="652">
        <f t="shared" si="71"/>
        <v>0</v>
      </c>
      <c r="BK84" s="654"/>
      <c r="BL84" s="654"/>
      <c r="BM84" s="654"/>
      <c r="BN84" s="654"/>
      <c r="BO84" s="654"/>
      <c r="BP84" s="654"/>
      <c r="BQ84" s="654"/>
      <c r="BR84" s="654"/>
    </row>
    <row r="85" spans="1:70" s="646" customFormat="1">
      <c r="A85" s="647" t="s">
        <v>561</v>
      </c>
      <c r="B85" s="647" t="s">
        <v>819</v>
      </c>
      <c r="C85" s="648">
        <f>SETUP!$F$20</f>
        <v>0</v>
      </c>
      <c r="D85" s="649">
        <v>4.0999999999999996</v>
      </c>
      <c r="E85" s="647" t="s">
        <v>129</v>
      </c>
      <c r="F85" s="647" t="s">
        <v>1667</v>
      </c>
      <c r="G85" s="650" t="str">
        <f t="array" ref="G85">IFERROR(INDEX('HIV-Pharmaceuticals'!$L$14:$L$99,MATCH($E85&amp;$F85,'HIV-Pharmaceuticals'!$E$14:$E$99&amp;'HIV-Pharmaceuticals'!$I$14:$I$99,0)),"")</f>
        <v/>
      </c>
      <c r="H85" s="650" t="str">
        <f t="array" ref="H85">IFERROR(INDEX('HIV-Pharmaceuticals'!$M$14:$M$99,MATCH($E85&amp;$F85,'HIV-Pharmaceuticals'!$E$14:$E$99&amp;'HIV-Pharmaceuticals'!$I$14:$I$99,0)),"")</f>
        <v/>
      </c>
      <c r="I85" s="651">
        <f t="array" ref="I85">IFERROR(INDEX('HIV-Pharmaceuticals'!$N$14:$N$99,MATCH($E85&amp;$F85,'HIV-Pharmaceuticals'!$E$14:$E$99&amp;'HIV-Pharmaceuticals'!$I$14:$I$99,0)),0)</f>
        <v>0</v>
      </c>
      <c r="J85" s="651">
        <f t="array" ref="J85">IFERROR(INDEX('HIV-Pharmaceuticals'!$O$14:$O$99,MATCH($E85&amp;$F85,'HIV-Pharmaceuticals'!$E$14:$E$99&amp;'HIV-Pharmaceuticals'!$I$14:$I$99,0)),0)</f>
        <v>0</v>
      </c>
      <c r="K85" s="652">
        <f t="shared" si="36"/>
        <v>0</v>
      </c>
      <c r="L85" s="652">
        <f t="shared" si="37"/>
        <v>0</v>
      </c>
      <c r="M85" s="652">
        <f t="shared" si="38"/>
        <v>0</v>
      </c>
      <c r="N85" s="651">
        <f t="array" ref="N85">IFERROR(INDEX('HIV-Pharmaceuticals'!$P$14:$P$99,MATCH($E85&amp;$F85,'HIV-Pharmaceuticals'!$E$14:$E$99&amp;'HIV-Pharmaceuticals'!$I$14:$I$99,0)),0)</f>
        <v>0</v>
      </c>
      <c r="O85" s="652">
        <f t="shared" si="39"/>
        <v>0</v>
      </c>
      <c r="P85" s="652">
        <f t="shared" si="40"/>
        <v>0</v>
      </c>
      <c r="Q85" s="652">
        <f t="shared" si="41"/>
        <v>0</v>
      </c>
      <c r="R85" s="651">
        <f t="array" ref="R85">IFERROR(INDEX('HIV-Pharmaceuticals'!$Q$14:$Q$99,MATCH($E85&amp;$F85,'HIV-Pharmaceuticals'!$E$14:$E$99&amp;'HIV-Pharmaceuticals'!$I$14:$I$99,0)),0)</f>
        <v>0</v>
      </c>
      <c r="S85" s="652">
        <f t="shared" si="42"/>
        <v>0</v>
      </c>
      <c r="T85" s="652">
        <f t="shared" si="43"/>
        <v>0</v>
      </c>
      <c r="U85" s="652">
        <f t="shared" si="44"/>
        <v>0</v>
      </c>
      <c r="V85" s="651">
        <f t="array" ref="V85">IFERROR(INDEX('HIV-Pharmaceuticals'!$R$14:$R$99,MATCH($E85&amp;$F85,'HIV-Pharmaceuticals'!$E$14:$E$99&amp;'HIV-Pharmaceuticals'!$I$14:$I$99,0)),0)</f>
        <v>0</v>
      </c>
      <c r="W85" s="652">
        <f t="shared" si="45"/>
        <v>0</v>
      </c>
      <c r="X85" s="652">
        <f t="shared" si="46"/>
        <v>0</v>
      </c>
      <c r="Y85" s="652">
        <f t="shared" si="47"/>
        <v>0</v>
      </c>
      <c r="Z85" s="653"/>
      <c r="AA85" s="651">
        <f t="array" ref="AA85">IFERROR(INDEX('HIV-Pharmaceuticals'!$U$14:$U$99,MATCH($E85&amp;$F85,'HIV-Pharmaceuticals'!$E$14:$E$99&amp;'HIV-Pharmaceuticals'!$I$14:$I$99,0)),0)</f>
        <v>0</v>
      </c>
      <c r="AB85" s="651">
        <f t="array" ref="AB85">IFERROR(INDEX('HIV-Pharmaceuticals'!$V$14:$V$99,MATCH($E85&amp;$F85,'HIV-Pharmaceuticals'!$E$14:$E$99&amp;'HIV-Pharmaceuticals'!$I$14:$I$99,0)),0)</f>
        <v>0</v>
      </c>
      <c r="AC85" s="652">
        <f t="shared" si="48"/>
        <v>0</v>
      </c>
      <c r="AD85" s="652">
        <f t="shared" si="49"/>
        <v>0</v>
      </c>
      <c r="AE85" s="652">
        <f t="shared" si="50"/>
        <v>0</v>
      </c>
      <c r="AF85" s="651">
        <f t="array" ref="AF85">IFERROR(INDEX('HIV-Pharmaceuticals'!$W$14:$W$99,MATCH($E85&amp;$F85,'HIV-Pharmaceuticals'!$E$14:$E$99&amp;'HIV-Pharmaceuticals'!$I$14:$I$99,0)),0)</f>
        <v>0</v>
      </c>
      <c r="AG85" s="652">
        <f t="shared" si="51"/>
        <v>0</v>
      </c>
      <c r="AH85" s="652">
        <f t="shared" si="52"/>
        <v>0</v>
      </c>
      <c r="AI85" s="652">
        <f t="shared" si="53"/>
        <v>0</v>
      </c>
      <c r="AJ85" s="651">
        <f t="array" ref="AJ85">IFERROR(INDEX('HIV-Pharmaceuticals'!$X$14:$X$99,MATCH($E85&amp;$F85,'HIV-Pharmaceuticals'!$E$14:$E$99&amp;'HIV-Pharmaceuticals'!$I$14:$I$99,0)),0)</f>
        <v>0</v>
      </c>
      <c r="AK85" s="652">
        <f t="shared" si="54"/>
        <v>0</v>
      </c>
      <c r="AL85" s="652">
        <f t="shared" si="55"/>
        <v>0</v>
      </c>
      <c r="AM85" s="652">
        <f t="shared" si="56"/>
        <v>0</v>
      </c>
      <c r="AN85" s="651">
        <f t="array" ref="AN85">IFERROR(INDEX('HIV-Pharmaceuticals'!$Y$14:$Y$99,MATCH($E85&amp;$F85,'HIV-Pharmaceuticals'!$E$14:$E$99&amp;'HIV-Pharmaceuticals'!$I$14:$I$99,0)),0)</f>
        <v>0</v>
      </c>
      <c r="AO85" s="652">
        <f t="shared" si="57"/>
        <v>0</v>
      </c>
      <c r="AP85" s="652">
        <f t="shared" si="58"/>
        <v>0</v>
      </c>
      <c r="AQ85" s="652">
        <f t="shared" si="59"/>
        <v>0</v>
      </c>
      <c r="AR85" s="653"/>
      <c r="AS85" s="651">
        <f t="array" ref="AS85">IFERROR(INDEX('HIV-Pharmaceuticals'!$AB$14:$AB$99,MATCH($E85&amp;$F85,'HIV-Pharmaceuticals'!$E$14:$E$99&amp;'HIV-Pharmaceuticals'!$I$14:$I$99,0)),0)</f>
        <v>0</v>
      </c>
      <c r="AT85" s="651">
        <f t="array" ref="AT85">IFERROR(INDEX('HIV-Pharmaceuticals'!$AC$14:$AC$99,MATCH($E85&amp;$F85,'HIV-Pharmaceuticals'!$E$14:$E$99&amp;'HIV-Pharmaceuticals'!$I$14:$I$99,0)),0)</f>
        <v>0</v>
      </c>
      <c r="AU85" s="652">
        <f t="shared" si="60"/>
        <v>0</v>
      </c>
      <c r="AV85" s="652">
        <f t="shared" si="61"/>
        <v>0</v>
      </c>
      <c r="AW85" s="652">
        <f t="shared" si="62"/>
        <v>0</v>
      </c>
      <c r="AX85" s="651">
        <f t="array" ref="AX85">IFERROR(INDEX('HIV-Pharmaceuticals'!$AD$14:$AD$99,MATCH($E85&amp;$F85,'HIV-Pharmaceuticals'!$E$14:$E$99&amp;'HIV-Pharmaceuticals'!$I$14:$I$99,0)),0)</f>
        <v>0</v>
      </c>
      <c r="AY85" s="652">
        <f t="shared" si="63"/>
        <v>0</v>
      </c>
      <c r="AZ85" s="652">
        <f t="shared" si="64"/>
        <v>0</v>
      </c>
      <c r="BA85" s="652">
        <f t="shared" si="65"/>
        <v>0</v>
      </c>
      <c r="BB85" s="651">
        <f t="array" ref="BB85">IFERROR(INDEX('HIV-Pharmaceuticals'!$AE$14:$AE$99,MATCH($E85&amp;$F85,'HIV-Pharmaceuticals'!$E$14:$E$99&amp;'HIV-Pharmaceuticals'!$I$14:$I$99,0)),0)</f>
        <v>0</v>
      </c>
      <c r="BC85" s="652">
        <f t="shared" si="66"/>
        <v>0</v>
      </c>
      <c r="BD85" s="652">
        <f t="shared" si="67"/>
        <v>0</v>
      </c>
      <c r="BE85" s="652">
        <f t="shared" si="68"/>
        <v>0</v>
      </c>
      <c r="BF85" s="651">
        <f t="array" ref="BF85">IFERROR(INDEX('HIV-Pharmaceuticals'!$AF$14:$AF$99,MATCH($E85&amp;$F85,'HIV-Pharmaceuticals'!$E$14:$E$99&amp;'HIV-Pharmaceuticals'!$I$14:$I$99,0)),0)</f>
        <v>0</v>
      </c>
      <c r="BG85" s="652">
        <f t="shared" si="69"/>
        <v>0</v>
      </c>
      <c r="BH85" s="652">
        <f t="shared" si="70"/>
        <v>0</v>
      </c>
      <c r="BI85" s="652">
        <f t="shared" si="71"/>
        <v>0</v>
      </c>
      <c r="BK85" s="654"/>
      <c r="BL85" s="654"/>
      <c r="BM85" s="654"/>
      <c r="BN85" s="654"/>
      <c r="BO85" s="654"/>
      <c r="BP85" s="654"/>
      <c r="BQ85" s="654"/>
      <c r="BR85" s="654"/>
    </row>
    <row r="86" spans="1:70" s="646" customFormat="1">
      <c r="A86" s="647" t="s">
        <v>561</v>
      </c>
      <c r="B86" s="647" t="s">
        <v>819</v>
      </c>
      <c r="C86" s="648">
        <f>SETUP!$F$20</f>
        <v>0</v>
      </c>
      <c r="D86" s="649">
        <v>4.0999999999999996</v>
      </c>
      <c r="E86" s="647" t="s">
        <v>129</v>
      </c>
      <c r="F86" s="647" t="s">
        <v>1668</v>
      </c>
      <c r="G86" s="650" t="str">
        <f t="array" ref="G86">IFERROR(INDEX('HIV-Pharmaceuticals'!$L$14:$L$99,MATCH($E86&amp;$F86,'HIV-Pharmaceuticals'!$E$14:$E$99&amp;'HIV-Pharmaceuticals'!$I$14:$I$99,0)),"")</f>
        <v/>
      </c>
      <c r="H86" s="650" t="str">
        <f t="array" ref="H86">IFERROR(INDEX('HIV-Pharmaceuticals'!$M$14:$M$99,MATCH($E86&amp;$F86,'HIV-Pharmaceuticals'!$E$14:$E$99&amp;'HIV-Pharmaceuticals'!$I$14:$I$99,0)),"")</f>
        <v/>
      </c>
      <c r="I86" s="651">
        <f t="array" ref="I86">IFERROR(INDEX('HIV-Pharmaceuticals'!$N$14:$N$99,MATCH($E86&amp;$F86,'HIV-Pharmaceuticals'!$E$14:$E$99&amp;'HIV-Pharmaceuticals'!$I$14:$I$99,0)),0)</f>
        <v>0</v>
      </c>
      <c r="J86" s="651">
        <f t="array" ref="J86">IFERROR(INDEX('HIV-Pharmaceuticals'!$O$14:$O$99,MATCH($E86&amp;$F86,'HIV-Pharmaceuticals'!$E$14:$E$99&amp;'HIV-Pharmaceuticals'!$I$14:$I$99,0)),0)</f>
        <v>0</v>
      </c>
      <c r="K86" s="652">
        <f t="shared" si="36"/>
        <v>0</v>
      </c>
      <c r="L86" s="652">
        <f t="shared" si="37"/>
        <v>0</v>
      </c>
      <c r="M86" s="652">
        <f t="shared" si="38"/>
        <v>0</v>
      </c>
      <c r="N86" s="651">
        <f t="array" ref="N86">IFERROR(INDEX('HIV-Pharmaceuticals'!$P$14:$P$99,MATCH($E86&amp;$F86,'HIV-Pharmaceuticals'!$E$14:$E$99&amp;'HIV-Pharmaceuticals'!$I$14:$I$99,0)),0)</f>
        <v>0</v>
      </c>
      <c r="O86" s="652">
        <f t="shared" si="39"/>
        <v>0</v>
      </c>
      <c r="P86" s="652">
        <f t="shared" si="40"/>
        <v>0</v>
      </c>
      <c r="Q86" s="652">
        <f t="shared" si="41"/>
        <v>0</v>
      </c>
      <c r="R86" s="651">
        <f t="array" ref="R86">IFERROR(INDEX('HIV-Pharmaceuticals'!$Q$14:$Q$99,MATCH($E86&amp;$F86,'HIV-Pharmaceuticals'!$E$14:$E$99&amp;'HIV-Pharmaceuticals'!$I$14:$I$99,0)),0)</f>
        <v>0</v>
      </c>
      <c r="S86" s="652">
        <f t="shared" si="42"/>
        <v>0</v>
      </c>
      <c r="T86" s="652">
        <f t="shared" si="43"/>
        <v>0</v>
      </c>
      <c r="U86" s="652">
        <f t="shared" si="44"/>
        <v>0</v>
      </c>
      <c r="V86" s="651">
        <f t="array" ref="V86">IFERROR(INDEX('HIV-Pharmaceuticals'!$R$14:$R$99,MATCH($E86&amp;$F86,'HIV-Pharmaceuticals'!$E$14:$E$99&amp;'HIV-Pharmaceuticals'!$I$14:$I$99,0)),0)</f>
        <v>0</v>
      </c>
      <c r="W86" s="652">
        <f t="shared" si="45"/>
        <v>0</v>
      </c>
      <c r="X86" s="652">
        <f t="shared" si="46"/>
        <v>0</v>
      </c>
      <c r="Y86" s="652">
        <f t="shared" si="47"/>
        <v>0</v>
      </c>
      <c r="Z86" s="653"/>
      <c r="AA86" s="651">
        <f t="array" ref="AA86">IFERROR(INDEX('HIV-Pharmaceuticals'!$U$14:$U$99,MATCH($E86&amp;$F86,'HIV-Pharmaceuticals'!$E$14:$E$99&amp;'HIV-Pharmaceuticals'!$I$14:$I$99,0)),0)</f>
        <v>0</v>
      </c>
      <c r="AB86" s="651">
        <f t="array" ref="AB86">IFERROR(INDEX('HIV-Pharmaceuticals'!$V$14:$V$99,MATCH($E86&amp;$F86,'HIV-Pharmaceuticals'!$E$14:$E$99&amp;'HIV-Pharmaceuticals'!$I$14:$I$99,0)),0)</f>
        <v>0</v>
      </c>
      <c r="AC86" s="652">
        <f t="shared" si="48"/>
        <v>0</v>
      </c>
      <c r="AD86" s="652">
        <f t="shared" si="49"/>
        <v>0</v>
      </c>
      <c r="AE86" s="652">
        <f t="shared" si="50"/>
        <v>0</v>
      </c>
      <c r="AF86" s="651">
        <f t="array" ref="AF86">IFERROR(INDEX('HIV-Pharmaceuticals'!$W$14:$W$99,MATCH($E86&amp;$F86,'HIV-Pharmaceuticals'!$E$14:$E$99&amp;'HIV-Pharmaceuticals'!$I$14:$I$99,0)),0)</f>
        <v>0</v>
      </c>
      <c r="AG86" s="652">
        <f t="shared" si="51"/>
        <v>0</v>
      </c>
      <c r="AH86" s="652">
        <f t="shared" si="52"/>
        <v>0</v>
      </c>
      <c r="AI86" s="652">
        <f t="shared" si="53"/>
        <v>0</v>
      </c>
      <c r="AJ86" s="651">
        <f t="array" ref="AJ86">IFERROR(INDEX('HIV-Pharmaceuticals'!$X$14:$X$99,MATCH($E86&amp;$F86,'HIV-Pharmaceuticals'!$E$14:$E$99&amp;'HIV-Pharmaceuticals'!$I$14:$I$99,0)),0)</f>
        <v>0</v>
      </c>
      <c r="AK86" s="652">
        <f t="shared" si="54"/>
        <v>0</v>
      </c>
      <c r="AL86" s="652">
        <f t="shared" si="55"/>
        <v>0</v>
      </c>
      <c r="AM86" s="652">
        <f t="shared" si="56"/>
        <v>0</v>
      </c>
      <c r="AN86" s="651">
        <f t="array" ref="AN86">IFERROR(INDEX('HIV-Pharmaceuticals'!$Y$14:$Y$99,MATCH($E86&amp;$F86,'HIV-Pharmaceuticals'!$E$14:$E$99&amp;'HIV-Pharmaceuticals'!$I$14:$I$99,0)),0)</f>
        <v>0</v>
      </c>
      <c r="AO86" s="652">
        <f t="shared" si="57"/>
        <v>0</v>
      </c>
      <c r="AP86" s="652">
        <f t="shared" si="58"/>
        <v>0</v>
      </c>
      <c r="AQ86" s="652">
        <f t="shared" si="59"/>
        <v>0</v>
      </c>
      <c r="AR86" s="653"/>
      <c r="AS86" s="651">
        <f t="array" ref="AS86">IFERROR(INDEX('HIV-Pharmaceuticals'!$AB$14:$AB$99,MATCH($E86&amp;$F86,'HIV-Pharmaceuticals'!$E$14:$E$99&amp;'HIV-Pharmaceuticals'!$I$14:$I$99,0)),0)</f>
        <v>0</v>
      </c>
      <c r="AT86" s="651">
        <f t="array" ref="AT86">IFERROR(INDEX('HIV-Pharmaceuticals'!$AC$14:$AC$99,MATCH($E86&amp;$F86,'HIV-Pharmaceuticals'!$E$14:$E$99&amp;'HIV-Pharmaceuticals'!$I$14:$I$99,0)),0)</f>
        <v>0</v>
      </c>
      <c r="AU86" s="652">
        <f t="shared" si="60"/>
        <v>0</v>
      </c>
      <c r="AV86" s="652">
        <f t="shared" si="61"/>
        <v>0</v>
      </c>
      <c r="AW86" s="652">
        <f t="shared" si="62"/>
        <v>0</v>
      </c>
      <c r="AX86" s="651">
        <f t="array" ref="AX86">IFERROR(INDEX('HIV-Pharmaceuticals'!$AD$14:$AD$99,MATCH($E86&amp;$F86,'HIV-Pharmaceuticals'!$E$14:$E$99&amp;'HIV-Pharmaceuticals'!$I$14:$I$99,0)),0)</f>
        <v>0</v>
      </c>
      <c r="AY86" s="652">
        <f t="shared" si="63"/>
        <v>0</v>
      </c>
      <c r="AZ86" s="652">
        <f t="shared" si="64"/>
        <v>0</v>
      </c>
      <c r="BA86" s="652">
        <f t="shared" si="65"/>
        <v>0</v>
      </c>
      <c r="BB86" s="651">
        <f t="array" ref="BB86">IFERROR(INDEX('HIV-Pharmaceuticals'!$AE$14:$AE$99,MATCH($E86&amp;$F86,'HIV-Pharmaceuticals'!$E$14:$E$99&amp;'HIV-Pharmaceuticals'!$I$14:$I$99,0)),0)</f>
        <v>0</v>
      </c>
      <c r="BC86" s="652">
        <f t="shared" si="66"/>
        <v>0</v>
      </c>
      <c r="BD86" s="652">
        <f t="shared" si="67"/>
        <v>0</v>
      </c>
      <c r="BE86" s="652">
        <f t="shared" si="68"/>
        <v>0</v>
      </c>
      <c r="BF86" s="651">
        <f t="array" ref="BF86">IFERROR(INDEX('HIV-Pharmaceuticals'!$AF$14:$AF$99,MATCH($E86&amp;$F86,'HIV-Pharmaceuticals'!$E$14:$E$99&amp;'HIV-Pharmaceuticals'!$I$14:$I$99,0)),0)</f>
        <v>0</v>
      </c>
      <c r="BG86" s="652">
        <f t="shared" si="69"/>
        <v>0</v>
      </c>
      <c r="BH86" s="652">
        <f t="shared" si="70"/>
        <v>0</v>
      </c>
      <c r="BI86" s="652">
        <f t="shared" si="71"/>
        <v>0</v>
      </c>
      <c r="BK86" s="654"/>
      <c r="BL86" s="654"/>
      <c r="BM86" s="654"/>
      <c r="BN86" s="654"/>
      <c r="BO86" s="654"/>
      <c r="BP86" s="654"/>
      <c r="BQ86" s="654"/>
      <c r="BR86" s="654"/>
    </row>
    <row r="87" spans="1:70" s="646" customFormat="1">
      <c r="A87" s="647" t="s">
        <v>561</v>
      </c>
      <c r="B87" s="647" t="s">
        <v>819</v>
      </c>
      <c r="C87" s="648">
        <f>SETUP!$F$20</f>
        <v>0</v>
      </c>
      <c r="D87" s="649">
        <v>4.0999999999999996</v>
      </c>
      <c r="E87" s="647" t="s">
        <v>129</v>
      </c>
      <c r="F87" s="647" t="s">
        <v>1606</v>
      </c>
      <c r="G87" s="650" t="str">
        <f t="array" ref="G87">IFERROR(INDEX('HIV-Pharmaceuticals'!$L$14:$L$99,MATCH($E87&amp;$F87,'HIV-Pharmaceuticals'!$E$14:$E$99&amp;'HIV-Pharmaceuticals'!$I$14:$I$99,0)),"")</f>
        <v/>
      </c>
      <c r="H87" s="650" t="str">
        <f t="array" ref="H87">IFERROR(INDEX('HIV-Pharmaceuticals'!$M$14:$M$99,MATCH($E87&amp;$F87,'HIV-Pharmaceuticals'!$E$14:$E$99&amp;'HIV-Pharmaceuticals'!$I$14:$I$99,0)),"")</f>
        <v/>
      </c>
      <c r="I87" s="651">
        <f t="array" ref="I87">IFERROR(INDEX('HIV-Pharmaceuticals'!$N$14:$N$99,MATCH($E87&amp;$F87,'HIV-Pharmaceuticals'!$E$14:$E$99&amp;'HIV-Pharmaceuticals'!$I$14:$I$99,0)),0)</f>
        <v>0</v>
      </c>
      <c r="J87" s="651">
        <f t="array" ref="J87">IFERROR(INDEX('HIV-Pharmaceuticals'!$O$14:$O$99,MATCH($E87&amp;$F87,'HIV-Pharmaceuticals'!$E$14:$E$99&amp;'HIV-Pharmaceuticals'!$I$14:$I$99,0)),0)</f>
        <v>0</v>
      </c>
      <c r="K87" s="652">
        <f t="shared" si="36"/>
        <v>0</v>
      </c>
      <c r="L87" s="652">
        <f t="shared" si="37"/>
        <v>0</v>
      </c>
      <c r="M87" s="652">
        <f t="shared" si="38"/>
        <v>0</v>
      </c>
      <c r="N87" s="651">
        <f t="array" ref="N87">IFERROR(INDEX('HIV-Pharmaceuticals'!$P$14:$P$99,MATCH($E87&amp;$F87,'HIV-Pharmaceuticals'!$E$14:$E$99&amp;'HIV-Pharmaceuticals'!$I$14:$I$99,0)),0)</f>
        <v>0</v>
      </c>
      <c r="O87" s="652">
        <f t="shared" si="39"/>
        <v>0</v>
      </c>
      <c r="P87" s="652">
        <f t="shared" si="40"/>
        <v>0</v>
      </c>
      <c r="Q87" s="652">
        <f t="shared" si="41"/>
        <v>0</v>
      </c>
      <c r="R87" s="651">
        <f t="array" ref="R87">IFERROR(INDEX('HIV-Pharmaceuticals'!$Q$14:$Q$99,MATCH($E87&amp;$F87,'HIV-Pharmaceuticals'!$E$14:$E$99&amp;'HIV-Pharmaceuticals'!$I$14:$I$99,0)),0)</f>
        <v>0</v>
      </c>
      <c r="S87" s="652">
        <f t="shared" si="42"/>
        <v>0</v>
      </c>
      <c r="T87" s="652">
        <f t="shared" si="43"/>
        <v>0</v>
      </c>
      <c r="U87" s="652">
        <f t="shared" si="44"/>
        <v>0</v>
      </c>
      <c r="V87" s="651">
        <f t="array" ref="V87">IFERROR(INDEX('HIV-Pharmaceuticals'!$R$14:$R$99,MATCH($E87&amp;$F87,'HIV-Pharmaceuticals'!$E$14:$E$99&amp;'HIV-Pharmaceuticals'!$I$14:$I$99,0)),0)</f>
        <v>0</v>
      </c>
      <c r="W87" s="652">
        <f t="shared" si="45"/>
        <v>0</v>
      </c>
      <c r="X87" s="652">
        <f t="shared" si="46"/>
        <v>0</v>
      </c>
      <c r="Y87" s="652">
        <f t="shared" si="47"/>
        <v>0</v>
      </c>
      <c r="Z87" s="653"/>
      <c r="AA87" s="651">
        <f t="array" ref="AA87">IFERROR(INDEX('HIV-Pharmaceuticals'!$U$14:$U$99,MATCH($E87&amp;$F87,'HIV-Pharmaceuticals'!$E$14:$E$99&amp;'HIV-Pharmaceuticals'!$I$14:$I$99,0)),0)</f>
        <v>0</v>
      </c>
      <c r="AB87" s="651">
        <f t="array" ref="AB87">IFERROR(INDEX('HIV-Pharmaceuticals'!$V$14:$V$99,MATCH($E87&amp;$F87,'HIV-Pharmaceuticals'!$E$14:$E$99&amp;'HIV-Pharmaceuticals'!$I$14:$I$99,0)),0)</f>
        <v>0</v>
      </c>
      <c r="AC87" s="652">
        <f t="shared" si="48"/>
        <v>0</v>
      </c>
      <c r="AD87" s="652">
        <f t="shared" si="49"/>
        <v>0</v>
      </c>
      <c r="AE87" s="652">
        <f t="shared" si="50"/>
        <v>0</v>
      </c>
      <c r="AF87" s="651">
        <f t="array" ref="AF87">IFERROR(INDEX('HIV-Pharmaceuticals'!$W$14:$W$99,MATCH($E87&amp;$F87,'HIV-Pharmaceuticals'!$E$14:$E$99&amp;'HIV-Pharmaceuticals'!$I$14:$I$99,0)),0)</f>
        <v>0</v>
      </c>
      <c r="AG87" s="652">
        <f t="shared" si="51"/>
        <v>0</v>
      </c>
      <c r="AH87" s="652">
        <f t="shared" si="52"/>
        <v>0</v>
      </c>
      <c r="AI87" s="652">
        <f t="shared" si="53"/>
        <v>0</v>
      </c>
      <c r="AJ87" s="651">
        <f t="array" ref="AJ87">IFERROR(INDEX('HIV-Pharmaceuticals'!$X$14:$X$99,MATCH($E87&amp;$F87,'HIV-Pharmaceuticals'!$E$14:$E$99&amp;'HIV-Pharmaceuticals'!$I$14:$I$99,0)),0)</f>
        <v>0</v>
      </c>
      <c r="AK87" s="652">
        <f t="shared" si="54"/>
        <v>0</v>
      </c>
      <c r="AL87" s="652">
        <f t="shared" si="55"/>
        <v>0</v>
      </c>
      <c r="AM87" s="652">
        <f t="shared" si="56"/>
        <v>0</v>
      </c>
      <c r="AN87" s="651">
        <f t="array" ref="AN87">IFERROR(INDEX('HIV-Pharmaceuticals'!$Y$14:$Y$99,MATCH($E87&amp;$F87,'HIV-Pharmaceuticals'!$E$14:$E$99&amp;'HIV-Pharmaceuticals'!$I$14:$I$99,0)),0)</f>
        <v>0</v>
      </c>
      <c r="AO87" s="652">
        <f t="shared" si="57"/>
        <v>0</v>
      </c>
      <c r="AP87" s="652">
        <f t="shared" si="58"/>
        <v>0</v>
      </c>
      <c r="AQ87" s="652">
        <f t="shared" si="59"/>
        <v>0</v>
      </c>
      <c r="AR87" s="653"/>
      <c r="AS87" s="651">
        <f t="array" ref="AS87">IFERROR(INDEX('HIV-Pharmaceuticals'!$AB$14:$AB$99,MATCH($E87&amp;$F87,'HIV-Pharmaceuticals'!$E$14:$E$99&amp;'HIV-Pharmaceuticals'!$I$14:$I$99,0)),0)</f>
        <v>0</v>
      </c>
      <c r="AT87" s="651">
        <f t="array" ref="AT87">IFERROR(INDEX('HIV-Pharmaceuticals'!$AC$14:$AC$99,MATCH($E87&amp;$F87,'HIV-Pharmaceuticals'!$E$14:$E$99&amp;'HIV-Pharmaceuticals'!$I$14:$I$99,0)),0)</f>
        <v>0</v>
      </c>
      <c r="AU87" s="652">
        <f t="shared" si="60"/>
        <v>0</v>
      </c>
      <c r="AV87" s="652">
        <f t="shared" si="61"/>
        <v>0</v>
      </c>
      <c r="AW87" s="652">
        <f t="shared" si="62"/>
        <v>0</v>
      </c>
      <c r="AX87" s="651">
        <f t="array" ref="AX87">IFERROR(INDEX('HIV-Pharmaceuticals'!$AD$14:$AD$99,MATCH($E87&amp;$F87,'HIV-Pharmaceuticals'!$E$14:$E$99&amp;'HIV-Pharmaceuticals'!$I$14:$I$99,0)),0)</f>
        <v>0</v>
      </c>
      <c r="AY87" s="652">
        <f t="shared" si="63"/>
        <v>0</v>
      </c>
      <c r="AZ87" s="652">
        <f t="shared" si="64"/>
        <v>0</v>
      </c>
      <c r="BA87" s="652">
        <f t="shared" si="65"/>
        <v>0</v>
      </c>
      <c r="BB87" s="651">
        <f t="array" ref="BB87">IFERROR(INDEX('HIV-Pharmaceuticals'!$AE$14:$AE$99,MATCH($E87&amp;$F87,'HIV-Pharmaceuticals'!$E$14:$E$99&amp;'HIV-Pharmaceuticals'!$I$14:$I$99,0)),0)</f>
        <v>0</v>
      </c>
      <c r="BC87" s="652">
        <f t="shared" si="66"/>
        <v>0</v>
      </c>
      <c r="BD87" s="652">
        <f t="shared" si="67"/>
        <v>0</v>
      </c>
      <c r="BE87" s="652">
        <f t="shared" si="68"/>
        <v>0</v>
      </c>
      <c r="BF87" s="651">
        <f t="array" ref="BF87">IFERROR(INDEX('HIV-Pharmaceuticals'!$AF$14:$AF$99,MATCH($E87&amp;$F87,'HIV-Pharmaceuticals'!$E$14:$E$99&amp;'HIV-Pharmaceuticals'!$I$14:$I$99,0)),0)</f>
        <v>0</v>
      </c>
      <c r="BG87" s="652">
        <f t="shared" si="69"/>
        <v>0</v>
      </c>
      <c r="BH87" s="652">
        <f t="shared" si="70"/>
        <v>0</v>
      </c>
      <c r="BI87" s="652">
        <f t="shared" si="71"/>
        <v>0</v>
      </c>
      <c r="BK87" s="654"/>
      <c r="BL87" s="654"/>
      <c r="BM87" s="654"/>
      <c r="BN87" s="654"/>
      <c r="BO87" s="654"/>
      <c r="BP87" s="654"/>
      <c r="BQ87" s="654"/>
      <c r="BR87" s="654"/>
    </row>
    <row r="88" spans="1:70" s="646" customFormat="1">
      <c r="A88" s="647" t="s">
        <v>561</v>
      </c>
      <c r="B88" s="647" t="s">
        <v>819</v>
      </c>
      <c r="C88" s="648">
        <f>SETUP!$F$20</f>
        <v>0</v>
      </c>
      <c r="D88" s="649">
        <v>4.0999999999999996</v>
      </c>
      <c r="E88" s="647" t="s">
        <v>130</v>
      </c>
      <c r="F88" s="647" t="s">
        <v>1669</v>
      </c>
      <c r="G88" s="650" t="str">
        <f t="array" ref="G88">IFERROR(INDEX('HIV-Pharmaceuticals'!$L$14:$L$99,MATCH($E88&amp;$F88,'HIV-Pharmaceuticals'!$E$14:$E$99&amp;'HIV-Pharmaceuticals'!$I$14:$I$99,0)),"")</f>
        <v/>
      </c>
      <c r="H88" s="650" t="str">
        <f t="array" ref="H88">IFERROR(INDEX('HIV-Pharmaceuticals'!$M$14:$M$99,MATCH($E88&amp;$F88,'HIV-Pharmaceuticals'!$E$14:$E$99&amp;'HIV-Pharmaceuticals'!$I$14:$I$99,0)),"")</f>
        <v/>
      </c>
      <c r="I88" s="651">
        <f t="array" ref="I88">IFERROR(INDEX('HIV-Pharmaceuticals'!$N$14:$N$99,MATCH($E88&amp;$F88,'HIV-Pharmaceuticals'!$E$14:$E$99&amp;'HIV-Pharmaceuticals'!$I$14:$I$99,0)),0)</f>
        <v>0</v>
      </c>
      <c r="J88" s="651">
        <f t="array" ref="J88">IFERROR(INDEX('HIV-Pharmaceuticals'!$O$14:$O$99,MATCH($E88&amp;$F88,'HIV-Pharmaceuticals'!$E$14:$E$99&amp;'HIV-Pharmaceuticals'!$I$14:$I$99,0)),0)</f>
        <v>0</v>
      </c>
      <c r="K88" s="652">
        <f t="shared" si="36"/>
        <v>0</v>
      </c>
      <c r="L88" s="652">
        <f t="shared" si="37"/>
        <v>0</v>
      </c>
      <c r="M88" s="652">
        <f t="shared" si="38"/>
        <v>0</v>
      </c>
      <c r="N88" s="651">
        <f t="array" ref="N88">IFERROR(INDEX('HIV-Pharmaceuticals'!$P$14:$P$99,MATCH($E88&amp;$F88,'HIV-Pharmaceuticals'!$E$14:$E$99&amp;'HIV-Pharmaceuticals'!$I$14:$I$99,0)),0)</f>
        <v>0</v>
      </c>
      <c r="O88" s="652">
        <f t="shared" si="39"/>
        <v>0</v>
      </c>
      <c r="P88" s="652">
        <f t="shared" si="40"/>
        <v>0</v>
      </c>
      <c r="Q88" s="652">
        <f t="shared" si="41"/>
        <v>0</v>
      </c>
      <c r="R88" s="651">
        <f t="array" ref="R88">IFERROR(INDEX('HIV-Pharmaceuticals'!$Q$14:$Q$99,MATCH($E88&amp;$F88,'HIV-Pharmaceuticals'!$E$14:$E$99&amp;'HIV-Pharmaceuticals'!$I$14:$I$99,0)),0)</f>
        <v>0</v>
      </c>
      <c r="S88" s="652">
        <f t="shared" si="42"/>
        <v>0</v>
      </c>
      <c r="T88" s="652">
        <f t="shared" si="43"/>
        <v>0</v>
      </c>
      <c r="U88" s="652">
        <f t="shared" si="44"/>
        <v>0</v>
      </c>
      <c r="V88" s="651">
        <f t="array" ref="V88">IFERROR(INDEX('HIV-Pharmaceuticals'!$R$14:$R$99,MATCH($E88&amp;$F88,'HIV-Pharmaceuticals'!$E$14:$E$99&amp;'HIV-Pharmaceuticals'!$I$14:$I$99,0)),0)</f>
        <v>0</v>
      </c>
      <c r="W88" s="652">
        <f t="shared" si="45"/>
        <v>0</v>
      </c>
      <c r="X88" s="652">
        <f t="shared" si="46"/>
        <v>0</v>
      </c>
      <c r="Y88" s="652">
        <f t="shared" si="47"/>
        <v>0</v>
      </c>
      <c r="Z88" s="653"/>
      <c r="AA88" s="651">
        <f t="array" ref="AA88">IFERROR(INDEX('HIV-Pharmaceuticals'!$U$14:$U$99,MATCH($E88&amp;$F88,'HIV-Pharmaceuticals'!$E$14:$E$99&amp;'HIV-Pharmaceuticals'!$I$14:$I$99,0)),0)</f>
        <v>0</v>
      </c>
      <c r="AB88" s="651">
        <f t="array" ref="AB88">IFERROR(INDEX('HIV-Pharmaceuticals'!$V$14:$V$99,MATCH($E88&amp;$F88,'HIV-Pharmaceuticals'!$E$14:$E$99&amp;'HIV-Pharmaceuticals'!$I$14:$I$99,0)),0)</f>
        <v>0</v>
      </c>
      <c r="AC88" s="652">
        <f t="shared" si="48"/>
        <v>0</v>
      </c>
      <c r="AD88" s="652">
        <f t="shared" si="49"/>
        <v>0</v>
      </c>
      <c r="AE88" s="652">
        <f t="shared" si="50"/>
        <v>0</v>
      </c>
      <c r="AF88" s="651">
        <f t="array" ref="AF88">IFERROR(INDEX('HIV-Pharmaceuticals'!$W$14:$W$99,MATCH($E88&amp;$F88,'HIV-Pharmaceuticals'!$E$14:$E$99&amp;'HIV-Pharmaceuticals'!$I$14:$I$99,0)),0)</f>
        <v>0</v>
      </c>
      <c r="AG88" s="652">
        <f t="shared" si="51"/>
        <v>0</v>
      </c>
      <c r="AH88" s="652">
        <f t="shared" si="52"/>
        <v>0</v>
      </c>
      <c r="AI88" s="652">
        <f t="shared" si="53"/>
        <v>0</v>
      </c>
      <c r="AJ88" s="651">
        <f t="array" ref="AJ88">IFERROR(INDEX('HIV-Pharmaceuticals'!$X$14:$X$99,MATCH($E88&amp;$F88,'HIV-Pharmaceuticals'!$E$14:$E$99&amp;'HIV-Pharmaceuticals'!$I$14:$I$99,0)),0)</f>
        <v>0</v>
      </c>
      <c r="AK88" s="652">
        <f t="shared" si="54"/>
        <v>0</v>
      </c>
      <c r="AL88" s="652">
        <f t="shared" si="55"/>
        <v>0</v>
      </c>
      <c r="AM88" s="652">
        <f t="shared" si="56"/>
        <v>0</v>
      </c>
      <c r="AN88" s="651">
        <f t="array" ref="AN88">IFERROR(INDEX('HIV-Pharmaceuticals'!$Y$14:$Y$99,MATCH($E88&amp;$F88,'HIV-Pharmaceuticals'!$E$14:$E$99&amp;'HIV-Pharmaceuticals'!$I$14:$I$99,0)),0)</f>
        <v>0</v>
      </c>
      <c r="AO88" s="652">
        <f t="shared" si="57"/>
        <v>0</v>
      </c>
      <c r="AP88" s="652">
        <f t="shared" si="58"/>
        <v>0</v>
      </c>
      <c r="AQ88" s="652">
        <f t="shared" si="59"/>
        <v>0</v>
      </c>
      <c r="AR88" s="653"/>
      <c r="AS88" s="651">
        <f t="array" ref="AS88">IFERROR(INDEX('HIV-Pharmaceuticals'!$AB$14:$AB$99,MATCH($E88&amp;$F88,'HIV-Pharmaceuticals'!$E$14:$E$99&amp;'HIV-Pharmaceuticals'!$I$14:$I$99,0)),0)</f>
        <v>0</v>
      </c>
      <c r="AT88" s="651">
        <f t="array" ref="AT88">IFERROR(INDEX('HIV-Pharmaceuticals'!$AC$14:$AC$99,MATCH($E88&amp;$F88,'HIV-Pharmaceuticals'!$E$14:$E$99&amp;'HIV-Pharmaceuticals'!$I$14:$I$99,0)),0)</f>
        <v>0</v>
      </c>
      <c r="AU88" s="652">
        <f t="shared" si="60"/>
        <v>0</v>
      </c>
      <c r="AV88" s="652">
        <f t="shared" si="61"/>
        <v>0</v>
      </c>
      <c r="AW88" s="652">
        <f t="shared" si="62"/>
        <v>0</v>
      </c>
      <c r="AX88" s="651">
        <f t="array" ref="AX88">IFERROR(INDEX('HIV-Pharmaceuticals'!$AD$14:$AD$99,MATCH($E88&amp;$F88,'HIV-Pharmaceuticals'!$E$14:$E$99&amp;'HIV-Pharmaceuticals'!$I$14:$I$99,0)),0)</f>
        <v>0</v>
      </c>
      <c r="AY88" s="652">
        <f t="shared" si="63"/>
        <v>0</v>
      </c>
      <c r="AZ88" s="652">
        <f t="shared" si="64"/>
        <v>0</v>
      </c>
      <c r="BA88" s="652">
        <f t="shared" si="65"/>
        <v>0</v>
      </c>
      <c r="BB88" s="651">
        <f t="array" ref="BB88">IFERROR(INDEX('HIV-Pharmaceuticals'!$AE$14:$AE$99,MATCH($E88&amp;$F88,'HIV-Pharmaceuticals'!$E$14:$E$99&amp;'HIV-Pharmaceuticals'!$I$14:$I$99,0)),0)</f>
        <v>0</v>
      </c>
      <c r="BC88" s="652">
        <f t="shared" si="66"/>
        <v>0</v>
      </c>
      <c r="BD88" s="652">
        <f t="shared" si="67"/>
        <v>0</v>
      </c>
      <c r="BE88" s="652">
        <f t="shared" si="68"/>
        <v>0</v>
      </c>
      <c r="BF88" s="651">
        <f t="array" ref="BF88">IFERROR(INDEX('HIV-Pharmaceuticals'!$AF$14:$AF$99,MATCH($E88&amp;$F88,'HIV-Pharmaceuticals'!$E$14:$E$99&amp;'HIV-Pharmaceuticals'!$I$14:$I$99,0)),0)</f>
        <v>0</v>
      </c>
      <c r="BG88" s="652">
        <f t="shared" si="69"/>
        <v>0</v>
      </c>
      <c r="BH88" s="652">
        <f t="shared" si="70"/>
        <v>0</v>
      </c>
      <c r="BI88" s="652">
        <f t="shared" si="71"/>
        <v>0</v>
      </c>
      <c r="BK88" s="654"/>
      <c r="BL88" s="654"/>
      <c r="BM88" s="654"/>
      <c r="BN88" s="654"/>
      <c r="BO88" s="654"/>
      <c r="BP88" s="654"/>
      <c r="BQ88" s="654"/>
      <c r="BR88" s="654"/>
    </row>
    <row r="89" spans="1:70" s="646" customFormat="1">
      <c r="A89" s="647" t="s">
        <v>561</v>
      </c>
      <c r="B89" s="647" t="s">
        <v>819</v>
      </c>
      <c r="C89" s="648">
        <f>SETUP!$F$20</f>
        <v>0</v>
      </c>
      <c r="D89" s="649">
        <v>4.0999999999999996</v>
      </c>
      <c r="E89" s="647" t="s">
        <v>130</v>
      </c>
      <c r="F89" s="647" t="s">
        <v>1670</v>
      </c>
      <c r="G89" s="650" t="str">
        <f t="array" ref="G89">IFERROR(INDEX('HIV-Pharmaceuticals'!$L$14:$L$99,MATCH($E89&amp;$F89,'HIV-Pharmaceuticals'!$E$14:$E$99&amp;'HIV-Pharmaceuticals'!$I$14:$I$99,0)),"")</f>
        <v/>
      </c>
      <c r="H89" s="650" t="str">
        <f t="array" ref="H89">IFERROR(INDEX('HIV-Pharmaceuticals'!$M$14:$M$99,MATCH($E89&amp;$F89,'HIV-Pharmaceuticals'!$E$14:$E$99&amp;'HIV-Pharmaceuticals'!$I$14:$I$99,0)),"")</f>
        <v/>
      </c>
      <c r="I89" s="651">
        <f t="array" ref="I89">IFERROR(INDEX('HIV-Pharmaceuticals'!$N$14:$N$99,MATCH($E89&amp;$F89,'HIV-Pharmaceuticals'!$E$14:$E$99&amp;'HIV-Pharmaceuticals'!$I$14:$I$99,0)),0)</f>
        <v>0</v>
      </c>
      <c r="J89" s="651">
        <f t="array" ref="J89">IFERROR(INDEX('HIV-Pharmaceuticals'!$O$14:$O$99,MATCH($E89&amp;$F89,'HIV-Pharmaceuticals'!$E$14:$E$99&amp;'HIV-Pharmaceuticals'!$I$14:$I$99,0)),0)</f>
        <v>0</v>
      </c>
      <c r="K89" s="652">
        <f t="shared" si="36"/>
        <v>0</v>
      </c>
      <c r="L89" s="652">
        <f t="shared" si="37"/>
        <v>0</v>
      </c>
      <c r="M89" s="652">
        <f t="shared" si="38"/>
        <v>0</v>
      </c>
      <c r="N89" s="651">
        <f t="array" ref="N89">IFERROR(INDEX('HIV-Pharmaceuticals'!$P$14:$P$99,MATCH($E89&amp;$F89,'HIV-Pharmaceuticals'!$E$14:$E$99&amp;'HIV-Pharmaceuticals'!$I$14:$I$99,0)),0)</f>
        <v>0</v>
      </c>
      <c r="O89" s="652">
        <f t="shared" si="39"/>
        <v>0</v>
      </c>
      <c r="P89" s="652">
        <f t="shared" si="40"/>
        <v>0</v>
      </c>
      <c r="Q89" s="652">
        <f t="shared" si="41"/>
        <v>0</v>
      </c>
      <c r="R89" s="651">
        <f t="array" ref="R89">IFERROR(INDEX('HIV-Pharmaceuticals'!$Q$14:$Q$99,MATCH($E89&amp;$F89,'HIV-Pharmaceuticals'!$E$14:$E$99&amp;'HIV-Pharmaceuticals'!$I$14:$I$99,0)),0)</f>
        <v>0</v>
      </c>
      <c r="S89" s="652">
        <f t="shared" si="42"/>
        <v>0</v>
      </c>
      <c r="T89" s="652">
        <f t="shared" si="43"/>
        <v>0</v>
      </c>
      <c r="U89" s="652">
        <f t="shared" si="44"/>
        <v>0</v>
      </c>
      <c r="V89" s="651">
        <f t="array" ref="V89">IFERROR(INDEX('HIV-Pharmaceuticals'!$R$14:$R$99,MATCH($E89&amp;$F89,'HIV-Pharmaceuticals'!$E$14:$E$99&amp;'HIV-Pharmaceuticals'!$I$14:$I$99,0)),0)</f>
        <v>0</v>
      </c>
      <c r="W89" s="652">
        <f t="shared" si="45"/>
        <v>0</v>
      </c>
      <c r="X89" s="652">
        <f t="shared" si="46"/>
        <v>0</v>
      </c>
      <c r="Y89" s="652">
        <f t="shared" si="47"/>
        <v>0</v>
      </c>
      <c r="Z89" s="653"/>
      <c r="AA89" s="651">
        <f t="array" ref="AA89">IFERROR(INDEX('HIV-Pharmaceuticals'!$U$14:$U$99,MATCH($E89&amp;$F89,'HIV-Pharmaceuticals'!$E$14:$E$99&amp;'HIV-Pharmaceuticals'!$I$14:$I$99,0)),0)</f>
        <v>0</v>
      </c>
      <c r="AB89" s="651">
        <f t="array" ref="AB89">IFERROR(INDEX('HIV-Pharmaceuticals'!$V$14:$V$99,MATCH($E89&amp;$F89,'HIV-Pharmaceuticals'!$E$14:$E$99&amp;'HIV-Pharmaceuticals'!$I$14:$I$99,0)),0)</f>
        <v>0</v>
      </c>
      <c r="AC89" s="652">
        <f t="shared" si="48"/>
        <v>0</v>
      </c>
      <c r="AD89" s="652">
        <f t="shared" si="49"/>
        <v>0</v>
      </c>
      <c r="AE89" s="652">
        <f t="shared" si="50"/>
        <v>0</v>
      </c>
      <c r="AF89" s="651">
        <f t="array" ref="AF89">IFERROR(INDEX('HIV-Pharmaceuticals'!$W$14:$W$99,MATCH($E89&amp;$F89,'HIV-Pharmaceuticals'!$E$14:$E$99&amp;'HIV-Pharmaceuticals'!$I$14:$I$99,0)),0)</f>
        <v>0</v>
      </c>
      <c r="AG89" s="652">
        <f t="shared" si="51"/>
        <v>0</v>
      </c>
      <c r="AH89" s="652">
        <f t="shared" si="52"/>
        <v>0</v>
      </c>
      <c r="AI89" s="652">
        <f t="shared" si="53"/>
        <v>0</v>
      </c>
      <c r="AJ89" s="651">
        <f t="array" ref="AJ89">IFERROR(INDEX('HIV-Pharmaceuticals'!$X$14:$X$99,MATCH($E89&amp;$F89,'HIV-Pharmaceuticals'!$E$14:$E$99&amp;'HIV-Pharmaceuticals'!$I$14:$I$99,0)),0)</f>
        <v>0</v>
      </c>
      <c r="AK89" s="652">
        <f t="shared" si="54"/>
        <v>0</v>
      </c>
      <c r="AL89" s="652">
        <f t="shared" si="55"/>
        <v>0</v>
      </c>
      <c r="AM89" s="652">
        <f t="shared" si="56"/>
        <v>0</v>
      </c>
      <c r="AN89" s="651">
        <f t="array" ref="AN89">IFERROR(INDEX('HIV-Pharmaceuticals'!$Y$14:$Y$99,MATCH($E89&amp;$F89,'HIV-Pharmaceuticals'!$E$14:$E$99&amp;'HIV-Pharmaceuticals'!$I$14:$I$99,0)),0)</f>
        <v>0</v>
      </c>
      <c r="AO89" s="652">
        <f t="shared" si="57"/>
        <v>0</v>
      </c>
      <c r="AP89" s="652">
        <f t="shared" si="58"/>
        <v>0</v>
      </c>
      <c r="AQ89" s="652">
        <f t="shared" si="59"/>
        <v>0</v>
      </c>
      <c r="AR89" s="653"/>
      <c r="AS89" s="651">
        <f t="array" ref="AS89">IFERROR(INDEX('HIV-Pharmaceuticals'!$AB$14:$AB$99,MATCH($E89&amp;$F89,'HIV-Pharmaceuticals'!$E$14:$E$99&amp;'HIV-Pharmaceuticals'!$I$14:$I$99,0)),0)</f>
        <v>0</v>
      </c>
      <c r="AT89" s="651">
        <f t="array" ref="AT89">IFERROR(INDEX('HIV-Pharmaceuticals'!$AC$14:$AC$99,MATCH($E89&amp;$F89,'HIV-Pharmaceuticals'!$E$14:$E$99&amp;'HIV-Pharmaceuticals'!$I$14:$I$99,0)),0)</f>
        <v>0</v>
      </c>
      <c r="AU89" s="652">
        <f t="shared" si="60"/>
        <v>0</v>
      </c>
      <c r="AV89" s="652">
        <f t="shared" si="61"/>
        <v>0</v>
      </c>
      <c r="AW89" s="652">
        <f t="shared" si="62"/>
        <v>0</v>
      </c>
      <c r="AX89" s="651">
        <f t="array" ref="AX89">IFERROR(INDEX('HIV-Pharmaceuticals'!$AD$14:$AD$99,MATCH($E89&amp;$F89,'HIV-Pharmaceuticals'!$E$14:$E$99&amp;'HIV-Pharmaceuticals'!$I$14:$I$99,0)),0)</f>
        <v>0</v>
      </c>
      <c r="AY89" s="652">
        <f t="shared" si="63"/>
        <v>0</v>
      </c>
      <c r="AZ89" s="652">
        <f t="shared" si="64"/>
        <v>0</v>
      </c>
      <c r="BA89" s="652">
        <f t="shared" si="65"/>
        <v>0</v>
      </c>
      <c r="BB89" s="651">
        <f t="array" ref="BB89">IFERROR(INDEX('HIV-Pharmaceuticals'!$AE$14:$AE$99,MATCH($E89&amp;$F89,'HIV-Pharmaceuticals'!$E$14:$E$99&amp;'HIV-Pharmaceuticals'!$I$14:$I$99,0)),0)</f>
        <v>0</v>
      </c>
      <c r="BC89" s="652">
        <f t="shared" si="66"/>
        <v>0</v>
      </c>
      <c r="BD89" s="652">
        <f t="shared" si="67"/>
        <v>0</v>
      </c>
      <c r="BE89" s="652">
        <f t="shared" si="68"/>
        <v>0</v>
      </c>
      <c r="BF89" s="651">
        <f t="array" ref="BF89">IFERROR(INDEX('HIV-Pharmaceuticals'!$AF$14:$AF$99,MATCH($E89&amp;$F89,'HIV-Pharmaceuticals'!$E$14:$E$99&amp;'HIV-Pharmaceuticals'!$I$14:$I$99,0)),0)</f>
        <v>0</v>
      </c>
      <c r="BG89" s="652">
        <f t="shared" si="69"/>
        <v>0</v>
      </c>
      <c r="BH89" s="652">
        <f t="shared" si="70"/>
        <v>0</v>
      </c>
      <c r="BI89" s="652">
        <f t="shared" si="71"/>
        <v>0</v>
      </c>
      <c r="BK89" s="654"/>
      <c r="BL89" s="654"/>
      <c r="BM89" s="654"/>
      <c r="BN89" s="654"/>
      <c r="BO89" s="654"/>
      <c r="BP89" s="654"/>
      <c r="BQ89" s="654"/>
      <c r="BR89" s="654"/>
    </row>
    <row r="90" spans="1:70" s="646" customFormat="1">
      <c r="A90" s="647" t="s">
        <v>561</v>
      </c>
      <c r="B90" s="647" t="s">
        <v>819</v>
      </c>
      <c r="C90" s="648">
        <f>SETUP!$F$20</f>
        <v>0</v>
      </c>
      <c r="D90" s="649">
        <v>4.0999999999999996</v>
      </c>
      <c r="E90" s="647" t="s">
        <v>130</v>
      </c>
      <c r="F90" s="647" t="s">
        <v>1671</v>
      </c>
      <c r="G90" s="650" t="str">
        <f t="array" ref="G90">IFERROR(INDEX('HIV-Pharmaceuticals'!$L$14:$L$99,MATCH($E90&amp;$F90,'HIV-Pharmaceuticals'!$E$14:$E$99&amp;'HIV-Pharmaceuticals'!$I$14:$I$99,0)),"")</f>
        <v/>
      </c>
      <c r="H90" s="650" t="str">
        <f t="array" ref="H90">IFERROR(INDEX('HIV-Pharmaceuticals'!$M$14:$M$99,MATCH($E90&amp;$F90,'HIV-Pharmaceuticals'!$E$14:$E$99&amp;'HIV-Pharmaceuticals'!$I$14:$I$99,0)),"")</f>
        <v/>
      </c>
      <c r="I90" s="651">
        <f t="array" ref="I90">IFERROR(INDEX('HIV-Pharmaceuticals'!$N$14:$N$99,MATCH($E90&amp;$F90,'HIV-Pharmaceuticals'!$E$14:$E$99&amp;'HIV-Pharmaceuticals'!$I$14:$I$99,0)),0)</f>
        <v>0</v>
      </c>
      <c r="J90" s="651">
        <f t="array" ref="J90">IFERROR(INDEX('HIV-Pharmaceuticals'!$O$14:$O$99,MATCH($E90&amp;$F90,'HIV-Pharmaceuticals'!$E$14:$E$99&amp;'HIV-Pharmaceuticals'!$I$14:$I$99,0)),0)</f>
        <v>0</v>
      </c>
      <c r="K90" s="652">
        <f t="shared" si="36"/>
        <v>0</v>
      </c>
      <c r="L90" s="652">
        <f t="shared" si="37"/>
        <v>0</v>
      </c>
      <c r="M90" s="652">
        <f t="shared" si="38"/>
        <v>0</v>
      </c>
      <c r="N90" s="651">
        <f t="array" ref="N90">IFERROR(INDEX('HIV-Pharmaceuticals'!$P$14:$P$99,MATCH($E90&amp;$F90,'HIV-Pharmaceuticals'!$E$14:$E$99&amp;'HIV-Pharmaceuticals'!$I$14:$I$99,0)),0)</f>
        <v>0</v>
      </c>
      <c r="O90" s="652">
        <f t="shared" si="39"/>
        <v>0</v>
      </c>
      <c r="P90" s="652">
        <f t="shared" si="40"/>
        <v>0</v>
      </c>
      <c r="Q90" s="652">
        <f t="shared" si="41"/>
        <v>0</v>
      </c>
      <c r="R90" s="651">
        <f t="array" ref="R90">IFERROR(INDEX('HIV-Pharmaceuticals'!$Q$14:$Q$99,MATCH($E90&amp;$F90,'HIV-Pharmaceuticals'!$E$14:$E$99&amp;'HIV-Pharmaceuticals'!$I$14:$I$99,0)),0)</f>
        <v>0</v>
      </c>
      <c r="S90" s="652">
        <f t="shared" si="42"/>
        <v>0</v>
      </c>
      <c r="T90" s="652">
        <f t="shared" si="43"/>
        <v>0</v>
      </c>
      <c r="U90" s="652">
        <f t="shared" si="44"/>
        <v>0</v>
      </c>
      <c r="V90" s="651">
        <f t="array" ref="V90">IFERROR(INDEX('HIV-Pharmaceuticals'!$R$14:$R$99,MATCH($E90&amp;$F90,'HIV-Pharmaceuticals'!$E$14:$E$99&amp;'HIV-Pharmaceuticals'!$I$14:$I$99,0)),0)</f>
        <v>0</v>
      </c>
      <c r="W90" s="652">
        <f t="shared" si="45"/>
        <v>0</v>
      </c>
      <c r="X90" s="652">
        <f t="shared" si="46"/>
        <v>0</v>
      </c>
      <c r="Y90" s="652">
        <f t="shared" si="47"/>
        <v>0</v>
      </c>
      <c r="Z90" s="653"/>
      <c r="AA90" s="651">
        <f t="array" ref="AA90">IFERROR(INDEX('HIV-Pharmaceuticals'!$U$14:$U$99,MATCH($E90&amp;$F90,'HIV-Pharmaceuticals'!$E$14:$E$99&amp;'HIV-Pharmaceuticals'!$I$14:$I$99,0)),0)</f>
        <v>0</v>
      </c>
      <c r="AB90" s="651">
        <f t="array" ref="AB90">IFERROR(INDEX('HIV-Pharmaceuticals'!$V$14:$V$99,MATCH($E90&amp;$F90,'HIV-Pharmaceuticals'!$E$14:$E$99&amp;'HIV-Pharmaceuticals'!$I$14:$I$99,0)),0)</f>
        <v>0</v>
      </c>
      <c r="AC90" s="652">
        <f t="shared" si="48"/>
        <v>0</v>
      </c>
      <c r="AD90" s="652">
        <f t="shared" si="49"/>
        <v>0</v>
      </c>
      <c r="AE90" s="652">
        <f t="shared" si="50"/>
        <v>0</v>
      </c>
      <c r="AF90" s="651">
        <f t="array" ref="AF90">IFERROR(INDEX('HIV-Pharmaceuticals'!$W$14:$W$99,MATCH($E90&amp;$F90,'HIV-Pharmaceuticals'!$E$14:$E$99&amp;'HIV-Pharmaceuticals'!$I$14:$I$99,0)),0)</f>
        <v>0</v>
      </c>
      <c r="AG90" s="652">
        <f t="shared" si="51"/>
        <v>0</v>
      </c>
      <c r="AH90" s="652">
        <f t="shared" si="52"/>
        <v>0</v>
      </c>
      <c r="AI90" s="652">
        <f t="shared" si="53"/>
        <v>0</v>
      </c>
      <c r="AJ90" s="651">
        <f t="array" ref="AJ90">IFERROR(INDEX('HIV-Pharmaceuticals'!$X$14:$X$99,MATCH($E90&amp;$F90,'HIV-Pharmaceuticals'!$E$14:$E$99&amp;'HIV-Pharmaceuticals'!$I$14:$I$99,0)),0)</f>
        <v>0</v>
      </c>
      <c r="AK90" s="652">
        <f t="shared" si="54"/>
        <v>0</v>
      </c>
      <c r="AL90" s="652">
        <f t="shared" si="55"/>
        <v>0</v>
      </c>
      <c r="AM90" s="652">
        <f t="shared" si="56"/>
        <v>0</v>
      </c>
      <c r="AN90" s="651">
        <f t="array" ref="AN90">IFERROR(INDEX('HIV-Pharmaceuticals'!$Y$14:$Y$99,MATCH($E90&amp;$F90,'HIV-Pharmaceuticals'!$E$14:$E$99&amp;'HIV-Pharmaceuticals'!$I$14:$I$99,0)),0)</f>
        <v>0</v>
      </c>
      <c r="AO90" s="652">
        <f t="shared" si="57"/>
        <v>0</v>
      </c>
      <c r="AP90" s="652">
        <f t="shared" si="58"/>
        <v>0</v>
      </c>
      <c r="AQ90" s="652">
        <f t="shared" si="59"/>
        <v>0</v>
      </c>
      <c r="AR90" s="653"/>
      <c r="AS90" s="651">
        <f t="array" ref="AS90">IFERROR(INDEX('HIV-Pharmaceuticals'!$AB$14:$AB$99,MATCH($E90&amp;$F90,'HIV-Pharmaceuticals'!$E$14:$E$99&amp;'HIV-Pharmaceuticals'!$I$14:$I$99,0)),0)</f>
        <v>0</v>
      </c>
      <c r="AT90" s="651">
        <f t="array" ref="AT90">IFERROR(INDEX('HIV-Pharmaceuticals'!$AC$14:$AC$99,MATCH($E90&amp;$F90,'HIV-Pharmaceuticals'!$E$14:$E$99&amp;'HIV-Pharmaceuticals'!$I$14:$I$99,0)),0)</f>
        <v>0</v>
      </c>
      <c r="AU90" s="652">
        <f t="shared" si="60"/>
        <v>0</v>
      </c>
      <c r="AV90" s="652">
        <f t="shared" si="61"/>
        <v>0</v>
      </c>
      <c r="AW90" s="652">
        <f t="shared" si="62"/>
        <v>0</v>
      </c>
      <c r="AX90" s="651">
        <f t="array" ref="AX90">IFERROR(INDEX('HIV-Pharmaceuticals'!$AD$14:$AD$99,MATCH($E90&amp;$F90,'HIV-Pharmaceuticals'!$E$14:$E$99&amp;'HIV-Pharmaceuticals'!$I$14:$I$99,0)),0)</f>
        <v>0</v>
      </c>
      <c r="AY90" s="652">
        <f t="shared" si="63"/>
        <v>0</v>
      </c>
      <c r="AZ90" s="652">
        <f t="shared" si="64"/>
        <v>0</v>
      </c>
      <c r="BA90" s="652">
        <f t="shared" si="65"/>
        <v>0</v>
      </c>
      <c r="BB90" s="651">
        <f t="array" ref="BB90">IFERROR(INDEX('HIV-Pharmaceuticals'!$AE$14:$AE$99,MATCH($E90&amp;$F90,'HIV-Pharmaceuticals'!$E$14:$E$99&amp;'HIV-Pharmaceuticals'!$I$14:$I$99,0)),0)</f>
        <v>0</v>
      </c>
      <c r="BC90" s="652">
        <f t="shared" si="66"/>
        <v>0</v>
      </c>
      <c r="BD90" s="652">
        <f t="shared" si="67"/>
        <v>0</v>
      </c>
      <c r="BE90" s="652">
        <f t="shared" si="68"/>
        <v>0</v>
      </c>
      <c r="BF90" s="651">
        <f t="array" ref="BF90">IFERROR(INDEX('HIV-Pharmaceuticals'!$AF$14:$AF$99,MATCH($E90&amp;$F90,'HIV-Pharmaceuticals'!$E$14:$E$99&amp;'HIV-Pharmaceuticals'!$I$14:$I$99,0)),0)</f>
        <v>0</v>
      </c>
      <c r="BG90" s="652">
        <f t="shared" si="69"/>
        <v>0</v>
      </c>
      <c r="BH90" s="652">
        <f t="shared" si="70"/>
        <v>0</v>
      </c>
      <c r="BI90" s="652">
        <f t="shared" si="71"/>
        <v>0</v>
      </c>
      <c r="BK90" s="654"/>
      <c r="BL90" s="654"/>
      <c r="BM90" s="654"/>
      <c r="BN90" s="654"/>
      <c r="BO90" s="654"/>
      <c r="BP90" s="654"/>
      <c r="BQ90" s="654"/>
      <c r="BR90" s="654"/>
    </row>
    <row r="91" spans="1:70" s="646" customFormat="1">
      <c r="A91" s="647" t="s">
        <v>561</v>
      </c>
      <c r="B91" s="647" t="s">
        <v>819</v>
      </c>
      <c r="C91" s="648">
        <f>SETUP!$F$20</f>
        <v>0</v>
      </c>
      <c r="D91" s="649">
        <v>4.0999999999999996</v>
      </c>
      <c r="E91" s="647" t="s">
        <v>130</v>
      </c>
      <c r="F91" s="647" t="s">
        <v>1672</v>
      </c>
      <c r="G91" s="650" t="str">
        <f t="array" ref="G91">IFERROR(INDEX('HIV-Pharmaceuticals'!$L$14:$L$99,MATCH($E91&amp;$F91,'HIV-Pharmaceuticals'!$E$14:$E$99&amp;'HIV-Pharmaceuticals'!$I$14:$I$99,0)),"")</f>
        <v/>
      </c>
      <c r="H91" s="650" t="str">
        <f t="array" ref="H91">IFERROR(INDEX('HIV-Pharmaceuticals'!$M$14:$M$99,MATCH($E91&amp;$F91,'HIV-Pharmaceuticals'!$E$14:$E$99&amp;'HIV-Pharmaceuticals'!$I$14:$I$99,0)),"")</f>
        <v/>
      </c>
      <c r="I91" s="651">
        <f t="array" ref="I91">IFERROR(INDEX('HIV-Pharmaceuticals'!$N$14:$N$99,MATCH($E91&amp;$F91,'HIV-Pharmaceuticals'!$E$14:$E$99&amp;'HIV-Pharmaceuticals'!$I$14:$I$99,0)),0)</f>
        <v>0</v>
      </c>
      <c r="J91" s="651">
        <f t="array" ref="J91">IFERROR(INDEX('HIV-Pharmaceuticals'!$O$14:$O$99,MATCH($E91&amp;$F91,'HIV-Pharmaceuticals'!$E$14:$E$99&amp;'HIV-Pharmaceuticals'!$I$14:$I$99,0)),0)</f>
        <v>0</v>
      </c>
      <c r="K91" s="652">
        <f t="shared" si="36"/>
        <v>0</v>
      </c>
      <c r="L91" s="652">
        <f t="shared" si="37"/>
        <v>0</v>
      </c>
      <c r="M91" s="652">
        <f t="shared" si="38"/>
        <v>0</v>
      </c>
      <c r="N91" s="651">
        <f t="array" ref="N91">IFERROR(INDEX('HIV-Pharmaceuticals'!$P$14:$P$99,MATCH($E91&amp;$F91,'HIV-Pharmaceuticals'!$E$14:$E$99&amp;'HIV-Pharmaceuticals'!$I$14:$I$99,0)),0)</f>
        <v>0</v>
      </c>
      <c r="O91" s="652">
        <f t="shared" si="39"/>
        <v>0</v>
      </c>
      <c r="P91" s="652">
        <f t="shared" si="40"/>
        <v>0</v>
      </c>
      <c r="Q91" s="652">
        <f t="shared" si="41"/>
        <v>0</v>
      </c>
      <c r="R91" s="651">
        <f t="array" ref="R91">IFERROR(INDEX('HIV-Pharmaceuticals'!$Q$14:$Q$99,MATCH($E91&amp;$F91,'HIV-Pharmaceuticals'!$E$14:$E$99&amp;'HIV-Pharmaceuticals'!$I$14:$I$99,0)),0)</f>
        <v>0</v>
      </c>
      <c r="S91" s="652">
        <f t="shared" si="42"/>
        <v>0</v>
      </c>
      <c r="T91" s="652">
        <f t="shared" si="43"/>
        <v>0</v>
      </c>
      <c r="U91" s="652">
        <f t="shared" si="44"/>
        <v>0</v>
      </c>
      <c r="V91" s="651">
        <f t="array" ref="V91">IFERROR(INDEX('HIV-Pharmaceuticals'!$R$14:$R$99,MATCH($E91&amp;$F91,'HIV-Pharmaceuticals'!$E$14:$E$99&amp;'HIV-Pharmaceuticals'!$I$14:$I$99,0)),0)</f>
        <v>0</v>
      </c>
      <c r="W91" s="652">
        <f t="shared" si="45"/>
        <v>0</v>
      </c>
      <c r="X91" s="652">
        <f t="shared" si="46"/>
        <v>0</v>
      </c>
      <c r="Y91" s="652">
        <f t="shared" si="47"/>
        <v>0</v>
      </c>
      <c r="Z91" s="653"/>
      <c r="AA91" s="651">
        <f t="array" ref="AA91">IFERROR(INDEX('HIV-Pharmaceuticals'!$U$14:$U$99,MATCH($E91&amp;$F91,'HIV-Pharmaceuticals'!$E$14:$E$99&amp;'HIV-Pharmaceuticals'!$I$14:$I$99,0)),0)</f>
        <v>0</v>
      </c>
      <c r="AB91" s="651">
        <f t="array" ref="AB91">IFERROR(INDEX('HIV-Pharmaceuticals'!$V$14:$V$99,MATCH($E91&amp;$F91,'HIV-Pharmaceuticals'!$E$14:$E$99&amp;'HIV-Pharmaceuticals'!$I$14:$I$99,0)),0)</f>
        <v>0</v>
      </c>
      <c r="AC91" s="652">
        <f t="shared" si="48"/>
        <v>0</v>
      </c>
      <c r="AD91" s="652">
        <f t="shared" si="49"/>
        <v>0</v>
      </c>
      <c r="AE91" s="652">
        <f t="shared" si="50"/>
        <v>0</v>
      </c>
      <c r="AF91" s="651">
        <f t="array" ref="AF91">IFERROR(INDEX('HIV-Pharmaceuticals'!$W$14:$W$99,MATCH($E91&amp;$F91,'HIV-Pharmaceuticals'!$E$14:$E$99&amp;'HIV-Pharmaceuticals'!$I$14:$I$99,0)),0)</f>
        <v>0</v>
      </c>
      <c r="AG91" s="652">
        <f t="shared" si="51"/>
        <v>0</v>
      </c>
      <c r="AH91" s="652">
        <f t="shared" si="52"/>
        <v>0</v>
      </c>
      <c r="AI91" s="652">
        <f t="shared" si="53"/>
        <v>0</v>
      </c>
      <c r="AJ91" s="651">
        <f t="array" ref="AJ91">IFERROR(INDEX('HIV-Pharmaceuticals'!$X$14:$X$99,MATCH($E91&amp;$F91,'HIV-Pharmaceuticals'!$E$14:$E$99&amp;'HIV-Pharmaceuticals'!$I$14:$I$99,0)),0)</f>
        <v>0</v>
      </c>
      <c r="AK91" s="652">
        <f t="shared" si="54"/>
        <v>0</v>
      </c>
      <c r="AL91" s="652">
        <f t="shared" si="55"/>
        <v>0</v>
      </c>
      <c r="AM91" s="652">
        <f t="shared" si="56"/>
        <v>0</v>
      </c>
      <c r="AN91" s="651">
        <f t="array" ref="AN91">IFERROR(INDEX('HIV-Pharmaceuticals'!$Y$14:$Y$99,MATCH($E91&amp;$F91,'HIV-Pharmaceuticals'!$E$14:$E$99&amp;'HIV-Pharmaceuticals'!$I$14:$I$99,0)),0)</f>
        <v>0</v>
      </c>
      <c r="AO91" s="652">
        <f t="shared" si="57"/>
        <v>0</v>
      </c>
      <c r="AP91" s="652">
        <f t="shared" si="58"/>
        <v>0</v>
      </c>
      <c r="AQ91" s="652">
        <f t="shared" si="59"/>
        <v>0</v>
      </c>
      <c r="AR91" s="653"/>
      <c r="AS91" s="651">
        <f t="array" ref="AS91">IFERROR(INDEX('HIV-Pharmaceuticals'!$AB$14:$AB$99,MATCH($E91&amp;$F91,'HIV-Pharmaceuticals'!$E$14:$E$99&amp;'HIV-Pharmaceuticals'!$I$14:$I$99,0)),0)</f>
        <v>0</v>
      </c>
      <c r="AT91" s="651">
        <f t="array" ref="AT91">IFERROR(INDEX('HIV-Pharmaceuticals'!$AC$14:$AC$99,MATCH($E91&amp;$F91,'HIV-Pharmaceuticals'!$E$14:$E$99&amp;'HIV-Pharmaceuticals'!$I$14:$I$99,0)),0)</f>
        <v>0</v>
      </c>
      <c r="AU91" s="652">
        <f t="shared" si="60"/>
        <v>0</v>
      </c>
      <c r="AV91" s="652">
        <f t="shared" si="61"/>
        <v>0</v>
      </c>
      <c r="AW91" s="652">
        <f t="shared" si="62"/>
        <v>0</v>
      </c>
      <c r="AX91" s="651">
        <f t="array" ref="AX91">IFERROR(INDEX('HIV-Pharmaceuticals'!$AD$14:$AD$99,MATCH($E91&amp;$F91,'HIV-Pharmaceuticals'!$E$14:$E$99&amp;'HIV-Pharmaceuticals'!$I$14:$I$99,0)),0)</f>
        <v>0</v>
      </c>
      <c r="AY91" s="652">
        <f t="shared" si="63"/>
        <v>0</v>
      </c>
      <c r="AZ91" s="652">
        <f t="shared" si="64"/>
        <v>0</v>
      </c>
      <c r="BA91" s="652">
        <f t="shared" si="65"/>
        <v>0</v>
      </c>
      <c r="BB91" s="651">
        <f t="array" ref="BB91">IFERROR(INDEX('HIV-Pharmaceuticals'!$AE$14:$AE$99,MATCH($E91&amp;$F91,'HIV-Pharmaceuticals'!$E$14:$E$99&amp;'HIV-Pharmaceuticals'!$I$14:$I$99,0)),0)</f>
        <v>0</v>
      </c>
      <c r="BC91" s="652">
        <f t="shared" si="66"/>
        <v>0</v>
      </c>
      <c r="BD91" s="652">
        <f t="shared" si="67"/>
        <v>0</v>
      </c>
      <c r="BE91" s="652">
        <f t="shared" si="68"/>
        <v>0</v>
      </c>
      <c r="BF91" s="651">
        <f t="array" ref="BF91">IFERROR(INDEX('HIV-Pharmaceuticals'!$AF$14:$AF$99,MATCH($E91&amp;$F91,'HIV-Pharmaceuticals'!$E$14:$E$99&amp;'HIV-Pharmaceuticals'!$I$14:$I$99,0)),0)</f>
        <v>0</v>
      </c>
      <c r="BG91" s="652">
        <f t="shared" si="69"/>
        <v>0</v>
      </c>
      <c r="BH91" s="652">
        <f t="shared" si="70"/>
        <v>0</v>
      </c>
      <c r="BI91" s="652">
        <f t="shared" si="71"/>
        <v>0</v>
      </c>
      <c r="BK91" s="654"/>
      <c r="BL91" s="654"/>
      <c r="BM91" s="654"/>
      <c r="BN91" s="654"/>
      <c r="BO91" s="654"/>
      <c r="BP91" s="654"/>
      <c r="BQ91" s="654"/>
      <c r="BR91" s="654"/>
    </row>
    <row r="92" spans="1:70" s="646" customFormat="1">
      <c r="A92" s="647" t="s">
        <v>561</v>
      </c>
      <c r="B92" s="647" t="s">
        <v>819</v>
      </c>
      <c r="C92" s="648">
        <f>SETUP!$F$20</f>
        <v>0</v>
      </c>
      <c r="D92" s="649">
        <v>4.0999999999999996</v>
      </c>
      <c r="E92" s="647" t="s">
        <v>130</v>
      </c>
      <c r="F92" s="647" t="s">
        <v>1673</v>
      </c>
      <c r="G92" s="650" t="str">
        <f t="array" ref="G92">IFERROR(INDEX('HIV-Pharmaceuticals'!$L$14:$L$99,MATCH($E92&amp;$F92,'HIV-Pharmaceuticals'!$E$14:$E$99&amp;'HIV-Pharmaceuticals'!$I$14:$I$99,0)),"")</f>
        <v/>
      </c>
      <c r="H92" s="650" t="str">
        <f t="array" ref="H92">IFERROR(INDEX('HIV-Pharmaceuticals'!$M$14:$M$99,MATCH($E92&amp;$F92,'HIV-Pharmaceuticals'!$E$14:$E$99&amp;'HIV-Pharmaceuticals'!$I$14:$I$99,0)),"")</f>
        <v/>
      </c>
      <c r="I92" s="651">
        <f t="array" ref="I92">IFERROR(INDEX('HIV-Pharmaceuticals'!$N$14:$N$99,MATCH($E92&amp;$F92,'HIV-Pharmaceuticals'!$E$14:$E$99&amp;'HIV-Pharmaceuticals'!$I$14:$I$99,0)),0)</f>
        <v>0</v>
      </c>
      <c r="J92" s="651">
        <f t="array" ref="J92">IFERROR(INDEX('HIV-Pharmaceuticals'!$O$14:$O$99,MATCH($E92&amp;$F92,'HIV-Pharmaceuticals'!$E$14:$E$99&amp;'HIV-Pharmaceuticals'!$I$14:$I$99,0)),0)</f>
        <v>0</v>
      </c>
      <c r="K92" s="652">
        <f t="shared" si="36"/>
        <v>0</v>
      </c>
      <c r="L92" s="652">
        <f t="shared" si="37"/>
        <v>0</v>
      </c>
      <c r="M92" s="652">
        <f t="shared" si="38"/>
        <v>0</v>
      </c>
      <c r="N92" s="651">
        <f t="array" ref="N92">IFERROR(INDEX('HIV-Pharmaceuticals'!$P$14:$P$99,MATCH($E92&amp;$F92,'HIV-Pharmaceuticals'!$E$14:$E$99&amp;'HIV-Pharmaceuticals'!$I$14:$I$99,0)),0)</f>
        <v>0</v>
      </c>
      <c r="O92" s="652">
        <f t="shared" si="39"/>
        <v>0</v>
      </c>
      <c r="P92" s="652">
        <f t="shared" si="40"/>
        <v>0</v>
      </c>
      <c r="Q92" s="652">
        <f t="shared" si="41"/>
        <v>0</v>
      </c>
      <c r="R92" s="651">
        <f t="array" ref="R92">IFERROR(INDEX('HIV-Pharmaceuticals'!$Q$14:$Q$99,MATCH($E92&amp;$F92,'HIV-Pharmaceuticals'!$E$14:$E$99&amp;'HIV-Pharmaceuticals'!$I$14:$I$99,0)),0)</f>
        <v>0</v>
      </c>
      <c r="S92" s="652">
        <f t="shared" si="42"/>
        <v>0</v>
      </c>
      <c r="T92" s="652">
        <f t="shared" si="43"/>
        <v>0</v>
      </c>
      <c r="U92" s="652">
        <f t="shared" si="44"/>
        <v>0</v>
      </c>
      <c r="V92" s="651">
        <f t="array" ref="V92">IFERROR(INDEX('HIV-Pharmaceuticals'!$R$14:$R$99,MATCH($E92&amp;$F92,'HIV-Pharmaceuticals'!$E$14:$E$99&amp;'HIV-Pharmaceuticals'!$I$14:$I$99,0)),0)</f>
        <v>0</v>
      </c>
      <c r="W92" s="652">
        <f t="shared" si="45"/>
        <v>0</v>
      </c>
      <c r="X92" s="652">
        <f t="shared" si="46"/>
        <v>0</v>
      </c>
      <c r="Y92" s="652">
        <f t="shared" si="47"/>
        <v>0</v>
      </c>
      <c r="Z92" s="653"/>
      <c r="AA92" s="651">
        <f t="array" ref="AA92">IFERROR(INDEX('HIV-Pharmaceuticals'!$U$14:$U$99,MATCH($E92&amp;$F92,'HIV-Pharmaceuticals'!$E$14:$E$99&amp;'HIV-Pharmaceuticals'!$I$14:$I$99,0)),0)</f>
        <v>0</v>
      </c>
      <c r="AB92" s="651">
        <f t="array" ref="AB92">IFERROR(INDEX('HIV-Pharmaceuticals'!$V$14:$V$99,MATCH($E92&amp;$F92,'HIV-Pharmaceuticals'!$E$14:$E$99&amp;'HIV-Pharmaceuticals'!$I$14:$I$99,0)),0)</f>
        <v>0</v>
      </c>
      <c r="AC92" s="652">
        <f t="shared" si="48"/>
        <v>0</v>
      </c>
      <c r="AD92" s="652">
        <f t="shared" si="49"/>
        <v>0</v>
      </c>
      <c r="AE92" s="652">
        <f t="shared" si="50"/>
        <v>0</v>
      </c>
      <c r="AF92" s="651">
        <f t="array" ref="AF92">IFERROR(INDEX('HIV-Pharmaceuticals'!$W$14:$W$99,MATCH($E92&amp;$F92,'HIV-Pharmaceuticals'!$E$14:$E$99&amp;'HIV-Pharmaceuticals'!$I$14:$I$99,0)),0)</f>
        <v>0</v>
      </c>
      <c r="AG92" s="652">
        <f t="shared" si="51"/>
        <v>0</v>
      </c>
      <c r="AH92" s="652">
        <f t="shared" si="52"/>
        <v>0</v>
      </c>
      <c r="AI92" s="652">
        <f t="shared" si="53"/>
        <v>0</v>
      </c>
      <c r="AJ92" s="651">
        <f t="array" ref="AJ92">IFERROR(INDEX('HIV-Pharmaceuticals'!$X$14:$X$99,MATCH($E92&amp;$F92,'HIV-Pharmaceuticals'!$E$14:$E$99&amp;'HIV-Pharmaceuticals'!$I$14:$I$99,0)),0)</f>
        <v>0</v>
      </c>
      <c r="AK92" s="652">
        <f t="shared" si="54"/>
        <v>0</v>
      </c>
      <c r="AL92" s="652">
        <f t="shared" si="55"/>
        <v>0</v>
      </c>
      <c r="AM92" s="652">
        <f t="shared" si="56"/>
        <v>0</v>
      </c>
      <c r="AN92" s="651">
        <f t="array" ref="AN92">IFERROR(INDEX('HIV-Pharmaceuticals'!$Y$14:$Y$99,MATCH($E92&amp;$F92,'HIV-Pharmaceuticals'!$E$14:$E$99&amp;'HIV-Pharmaceuticals'!$I$14:$I$99,0)),0)</f>
        <v>0</v>
      </c>
      <c r="AO92" s="652">
        <f t="shared" si="57"/>
        <v>0</v>
      </c>
      <c r="AP92" s="652">
        <f t="shared" si="58"/>
        <v>0</v>
      </c>
      <c r="AQ92" s="652">
        <f t="shared" si="59"/>
        <v>0</v>
      </c>
      <c r="AR92" s="653"/>
      <c r="AS92" s="651">
        <f t="array" ref="AS92">IFERROR(INDEX('HIV-Pharmaceuticals'!$AB$14:$AB$99,MATCH($E92&amp;$F92,'HIV-Pharmaceuticals'!$E$14:$E$99&amp;'HIV-Pharmaceuticals'!$I$14:$I$99,0)),0)</f>
        <v>0</v>
      </c>
      <c r="AT92" s="651">
        <f t="array" ref="AT92">IFERROR(INDEX('HIV-Pharmaceuticals'!$AC$14:$AC$99,MATCH($E92&amp;$F92,'HIV-Pharmaceuticals'!$E$14:$E$99&amp;'HIV-Pharmaceuticals'!$I$14:$I$99,0)),0)</f>
        <v>0</v>
      </c>
      <c r="AU92" s="652">
        <f t="shared" si="60"/>
        <v>0</v>
      </c>
      <c r="AV92" s="652">
        <f t="shared" si="61"/>
        <v>0</v>
      </c>
      <c r="AW92" s="652">
        <f t="shared" si="62"/>
        <v>0</v>
      </c>
      <c r="AX92" s="651">
        <f t="array" ref="AX92">IFERROR(INDEX('HIV-Pharmaceuticals'!$AD$14:$AD$99,MATCH($E92&amp;$F92,'HIV-Pharmaceuticals'!$E$14:$E$99&amp;'HIV-Pharmaceuticals'!$I$14:$I$99,0)),0)</f>
        <v>0</v>
      </c>
      <c r="AY92" s="652">
        <f t="shared" si="63"/>
        <v>0</v>
      </c>
      <c r="AZ92" s="652">
        <f t="shared" si="64"/>
        <v>0</v>
      </c>
      <c r="BA92" s="652">
        <f t="shared" si="65"/>
        <v>0</v>
      </c>
      <c r="BB92" s="651">
        <f t="array" ref="BB92">IFERROR(INDEX('HIV-Pharmaceuticals'!$AE$14:$AE$99,MATCH($E92&amp;$F92,'HIV-Pharmaceuticals'!$E$14:$E$99&amp;'HIV-Pharmaceuticals'!$I$14:$I$99,0)),0)</f>
        <v>0</v>
      </c>
      <c r="BC92" s="652">
        <f t="shared" si="66"/>
        <v>0</v>
      </c>
      <c r="BD92" s="652">
        <f t="shared" si="67"/>
        <v>0</v>
      </c>
      <c r="BE92" s="652">
        <f t="shared" si="68"/>
        <v>0</v>
      </c>
      <c r="BF92" s="651">
        <f t="array" ref="BF92">IFERROR(INDEX('HIV-Pharmaceuticals'!$AF$14:$AF$99,MATCH($E92&amp;$F92,'HIV-Pharmaceuticals'!$E$14:$E$99&amp;'HIV-Pharmaceuticals'!$I$14:$I$99,0)),0)</f>
        <v>0</v>
      </c>
      <c r="BG92" s="652">
        <f t="shared" si="69"/>
        <v>0</v>
      </c>
      <c r="BH92" s="652">
        <f t="shared" si="70"/>
        <v>0</v>
      </c>
      <c r="BI92" s="652">
        <f t="shared" si="71"/>
        <v>0</v>
      </c>
      <c r="BK92" s="654"/>
      <c r="BL92" s="654"/>
      <c r="BM92" s="654"/>
      <c r="BN92" s="654"/>
      <c r="BO92" s="654"/>
      <c r="BP92" s="654"/>
      <c r="BQ92" s="654"/>
      <c r="BR92" s="654"/>
    </row>
    <row r="93" spans="1:70" s="646" customFormat="1">
      <c r="A93" s="647" t="s">
        <v>561</v>
      </c>
      <c r="B93" s="647" t="s">
        <v>819</v>
      </c>
      <c r="C93" s="648">
        <f>SETUP!$F$20</f>
        <v>0</v>
      </c>
      <c r="D93" s="649">
        <v>4.0999999999999996</v>
      </c>
      <c r="E93" s="647" t="s">
        <v>130</v>
      </c>
      <c r="F93" s="647" t="s">
        <v>1674</v>
      </c>
      <c r="G93" s="650" t="str">
        <f t="array" ref="G93">IFERROR(INDEX('HIV-Pharmaceuticals'!$L$14:$L$99,MATCH($E93&amp;$F93,'HIV-Pharmaceuticals'!$E$14:$E$99&amp;'HIV-Pharmaceuticals'!$I$14:$I$99,0)),"")</f>
        <v/>
      </c>
      <c r="H93" s="650" t="str">
        <f t="array" ref="H93">IFERROR(INDEX('HIV-Pharmaceuticals'!$M$14:$M$99,MATCH($E93&amp;$F93,'HIV-Pharmaceuticals'!$E$14:$E$99&amp;'HIV-Pharmaceuticals'!$I$14:$I$99,0)),"")</f>
        <v/>
      </c>
      <c r="I93" s="651">
        <f t="array" ref="I93">IFERROR(INDEX('HIV-Pharmaceuticals'!$N$14:$N$99,MATCH($E93&amp;$F93,'HIV-Pharmaceuticals'!$E$14:$E$99&amp;'HIV-Pharmaceuticals'!$I$14:$I$99,0)),0)</f>
        <v>0</v>
      </c>
      <c r="J93" s="651">
        <f t="array" ref="J93">IFERROR(INDEX('HIV-Pharmaceuticals'!$O$14:$O$99,MATCH($E93&amp;$F93,'HIV-Pharmaceuticals'!$E$14:$E$99&amp;'HIV-Pharmaceuticals'!$I$14:$I$99,0)),0)</f>
        <v>0</v>
      </c>
      <c r="K93" s="652">
        <f t="shared" si="36"/>
        <v>0</v>
      </c>
      <c r="L93" s="652">
        <f t="shared" si="37"/>
        <v>0</v>
      </c>
      <c r="M93" s="652">
        <f t="shared" si="38"/>
        <v>0</v>
      </c>
      <c r="N93" s="651">
        <f t="array" ref="N93">IFERROR(INDEX('HIV-Pharmaceuticals'!$P$14:$P$99,MATCH($E93&amp;$F93,'HIV-Pharmaceuticals'!$E$14:$E$99&amp;'HIV-Pharmaceuticals'!$I$14:$I$99,0)),0)</f>
        <v>0</v>
      </c>
      <c r="O93" s="652">
        <f t="shared" si="39"/>
        <v>0</v>
      </c>
      <c r="P93" s="652">
        <f t="shared" si="40"/>
        <v>0</v>
      </c>
      <c r="Q93" s="652">
        <f t="shared" si="41"/>
        <v>0</v>
      </c>
      <c r="R93" s="651">
        <f t="array" ref="R93">IFERROR(INDEX('HIV-Pharmaceuticals'!$Q$14:$Q$99,MATCH($E93&amp;$F93,'HIV-Pharmaceuticals'!$E$14:$E$99&amp;'HIV-Pharmaceuticals'!$I$14:$I$99,0)),0)</f>
        <v>0</v>
      </c>
      <c r="S93" s="652">
        <f t="shared" si="42"/>
        <v>0</v>
      </c>
      <c r="T93" s="652">
        <f t="shared" si="43"/>
        <v>0</v>
      </c>
      <c r="U93" s="652">
        <f t="shared" si="44"/>
        <v>0</v>
      </c>
      <c r="V93" s="651">
        <f t="array" ref="V93">IFERROR(INDEX('HIV-Pharmaceuticals'!$R$14:$R$99,MATCH($E93&amp;$F93,'HIV-Pharmaceuticals'!$E$14:$E$99&amp;'HIV-Pharmaceuticals'!$I$14:$I$99,0)),0)</f>
        <v>0</v>
      </c>
      <c r="W93" s="652">
        <f t="shared" si="45"/>
        <v>0</v>
      </c>
      <c r="X93" s="652">
        <f t="shared" si="46"/>
        <v>0</v>
      </c>
      <c r="Y93" s="652">
        <f t="shared" si="47"/>
        <v>0</v>
      </c>
      <c r="Z93" s="653"/>
      <c r="AA93" s="651">
        <f t="array" ref="AA93">IFERROR(INDEX('HIV-Pharmaceuticals'!$U$14:$U$99,MATCH($E93&amp;$F93,'HIV-Pharmaceuticals'!$E$14:$E$99&amp;'HIV-Pharmaceuticals'!$I$14:$I$99,0)),0)</f>
        <v>0</v>
      </c>
      <c r="AB93" s="651">
        <f t="array" ref="AB93">IFERROR(INDEX('HIV-Pharmaceuticals'!$V$14:$V$99,MATCH($E93&amp;$F93,'HIV-Pharmaceuticals'!$E$14:$E$99&amp;'HIV-Pharmaceuticals'!$I$14:$I$99,0)),0)</f>
        <v>0</v>
      </c>
      <c r="AC93" s="652">
        <f t="shared" si="48"/>
        <v>0</v>
      </c>
      <c r="AD93" s="652">
        <f t="shared" si="49"/>
        <v>0</v>
      </c>
      <c r="AE93" s="652">
        <f t="shared" si="50"/>
        <v>0</v>
      </c>
      <c r="AF93" s="651">
        <f t="array" ref="AF93">IFERROR(INDEX('HIV-Pharmaceuticals'!$W$14:$W$99,MATCH($E93&amp;$F93,'HIV-Pharmaceuticals'!$E$14:$E$99&amp;'HIV-Pharmaceuticals'!$I$14:$I$99,0)),0)</f>
        <v>0</v>
      </c>
      <c r="AG93" s="652">
        <f t="shared" si="51"/>
        <v>0</v>
      </c>
      <c r="AH93" s="652">
        <f t="shared" si="52"/>
        <v>0</v>
      </c>
      <c r="AI93" s="652">
        <f t="shared" si="53"/>
        <v>0</v>
      </c>
      <c r="AJ93" s="651">
        <f t="array" ref="AJ93">IFERROR(INDEX('HIV-Pharmaceuticals'!$X$14:$X$99,MATCH($E93&amp;$F93,'HIV-Pharmaceuticals'!$E$14:$E$99&amp;'HIV-Pharmaceuticals'!$I$14:$I$99,0)),0)</f>
        <v>0</v>
      </c>
      <c r="AK93" s="652">
        <f t="shared" si="54"/>
        <v>0</v>
      </c>
      <c r="AL93" s="652">
        <f t="shared" si="55"/>
        <v>0</v>
      </c>
      <c r="AM93" s="652">
        <f t="shared" si="56"/>
        <v>0</v>
      </c>
      <c r="AN93" s="651">
        <f t="array" ref="AN93">IFERROR(INDEX('HIV-Pharmaceuticals'!$Y$14:$Y$99,MATCH($E93&amp;$F93,'HIV-Pharmaceuticals'!$E$14:$E$99&amp;'HIV-Pharmaceuticals'!$I$14:$I$99,0)),0)</f>
        <v>0</v>
      </c>
      <c r="AO93" s="652">
        <f t="shared" si="57"/>
        <v>0</v>
      </c>
      <c r="AP93" s="652">
        <f t="shared" si="58"/>
        <v>0</v>
      </c>
      <c r="AQ93" s="652">
        <f t="shared" si="59"/>
        <v>0</v>
      </c>
      <c r="AR93" s="653"/>
      <c r="AS93" s="651">
        <f t="array" ref="AS93">IFERROR(INDEX('HIV-Pharmaceuticals'!$AB$14:$AB$99,MATCH($E93&amp;$F93,'HIV-Pharmaceuticals'!$E$14:$E$99&amp;'HIV-Pharmaceuticals'!$I$14:$I$99,0)),0)</f>
        <v>0</v>
      </c>
      <c r="AT93" s="651">
        <f t="array" ref="AT93">IFERROR(INDEX('HIV-Pharmaceuticals'!$AC$14:$AC$99,MATCH($E93&amp;$F93,'HIV-Pharmaceuticals'!$E$14:$E$99&amp;'HIV-Pharmaceuticals'!$I$14:$I$99,0)),0)</f>
        <v>0</v>
      </c>
      <c r="AU93" s="652">
        <f t="shared" si="60"/>
        <v>0</v>
      </c>
      <c r="AV93" s="652">
        <f t="shared" si="61"/>
        <v>0</v>
      </c>
      <c r="AW93" s="652">
        <f t="shared" si="62"/>
        <v>0</v>
      </c>
      <c r="AX93" s="651">
        <f t="array" ref="AX93">IFERROR(INDEX('HIV-Pharmaceuticals'!$AD$14:$AD$99,MATCH($E93&amp;$F93,'HIV-Pharmaceuticals'!$E$14:$E$99&amp;'HIV-Pharmaceuticals'!$I$14:$I$99,0)),0)</f>
        <v>0</v>
      </c>
      <c r="AY93" s="652">
        <f t="shared" si="63"/>
        <v>0</v>
      </c>
      <c r="AZ93" s="652">
        <f t="shared" si="64"/>
        <v>0</v>
      </c>
      <c r="BA93" s="652">
        <f t="shared" si="65"/>
        <v>0</v>
      </c>
      <c r="BB93" s="651">
        <f t="array" ref="BB93">IFERROR(INDEX('HIV-Pharmaceuticals'!$AE$14:$AE$99,MATCH($E93&amp;$F93,'HIV-Pharmaceuticals'!$E$14:$E$99&amp;'HIV-Pharmaceuticals'!$I$14:$I$99,0)),0)</f>
        <v>0</v>
      </c>
      <c r="BC93" s="652">
        <f t="shared" si="66"/>
        <v>0</v>
      </c>
      <c r="BD93" s="652">
        <f t="shared" si="67"/>
        <v>0</v>
      </c>
      <c r="BE93" s="652">
        <f t="shared" si="68"/>
        <v>0</v>
      </c>
      <c r="BF93" s="651">
        <f t="array" ref="BF93">IFERROR(INDEX('HIV-Pharmaceuticals'!$AF$14:$AF$99,MATCH($E93&amp;$F93,'HIV-Pharmaceuticals'!$E$14:$E$99&amp;'HIV-Pharmaceuticals'!$I$14:$I$99,0)),0)</f>
        <v>0</v>
      </c>
      <c r="BG93" s="652">
        <f t="shared" si="69"/>
        <v>0</v>
      </c>
      <c r="BH93" s="652">
        <f t="shared" si="70"/>
        <v>0</v>
      </c>
      <c r="BI93" s="652">
        <f t="shared" si="71"/>
        <v>0</v>
      </c>
      <c r="BK93" s="654"/>
      <c r="BL93" s="654"/>
      <c r="BM93" s="654"/>
      <c r="BN93" s="654"/>
      <c r="BO93" s="654"/>
      <c r="BP93" s="654"/>
      <c r="BQ93" s="654"/>
      <c r="BR93" s="654"/>
    </row>
    <row r="94" spans="1:70" s="646" customFormat="1">
      <c r="A94" s="647" t="s">
        <v>561</v>
      </c>
      <c r="B94" s="647" t="s">
        <v>819</v>
      </c>
      <c r="C94" s="648">
        <f>SETUP!$F$20</f>
        <v>0</v>
      </c>
      <c r="D94" s="649">
        <v>4.0999999999999996</v>
      </c>
      <c r="E94" s="647" t="s">
        <v>130</v>
      </c>
      <c r="F94" s="647" t="s">
        <v>1675</v>
      </c>
      <c r="G94" s="650" t="str">
        <f t="array" ref="G94">IFERROR(INDEX('HIV-Pharmaceuticals'!$L$14:$L$99,MATCH($E94&amp;$F94,'HIV-Pharmaceuticals'!$E$14:$E$99&amp;'HIV-Pharmaceuticals'!$I$14:$I$99,0)),"")</f>
        <v/>
      </c>
      <c r="H94" s="650" t="str">
        <f t="array" ref="H94">IFERROR(INDEX('HIV-Pharmaceuticals'!$M$14:$M$99,MATCH($E94&amp;$F94,'HIV-Pharmaceuticals'!$E$14:$E$99&amp;'HIV-Pharmaceuticals'!$I$14:$I$99,0)),"")</f>
        <v/>
      </c>
      <c r="I94" s="651">
        <f t="array" ref="I94">IFERROR(INDEX('HIV-Pharmaceuticals'!$N$14:$N$99,MATCH($E94&amp;$F94,'HIV-Pharmaceuticals'!$E$14:$E$99&amp;'HIV-Pharmaceuticals'!$I$14:$I$99,0)),0)</f>
        <v>0</v>
      </c>
      <c r="J94" s="651">
        <f t="array" ref="J94">IFERROR(INDEX('HIV-Pharmaceuticals'!$O$14:$O$99,MATCH($E94&amp;$F94,'HIV-Pharmaceuticals'!$E$14:$E$99&amp;'HIV-Pharmaceuticals'!$I$14:$I$99,0)),0)</f>
        <v>0</v>
      </c>
      <c r="K94" s="652">
        <f t="shared" si="36"/>
        <v>0</v>
      </c>
      <c r="L94" s="652">
        <f t="shared" si="37"/>
        <v>0</v>
      </c>
      <c r="M94" s="652">
        <f t="shared" si="38"/>
        <v>0</v>
      </c>
      <c r="N94" s="651">
        <f t="array" ref="N94">IFERROR(INDEX('HIV-Pharmaceuticals'!$P$14:$P$99,MATCH($E94&amp;$F94,'HIV-Pharmaceuticals'!$E$14:$E$99&amp;'HIV-Pharmaceuticals'!$I$14:$I$99,0)),0)</f>
        <v>0</v>
      </c>
      <c r="O94" s="652">
        <f t="shared" si="39"/>
        <v>0</v>
      </c>
      <c r="P94" s="652">
        <f t="shared" si="40"/>
        <v>0</v>
      </c>
      <c r="Q94" s="652">
        <f t="shared" si="41"/>
        <v>0</v>
      </c>
      <c r="R94" s="651">
        <f t="array" ref="R94">IFERROR(INDEX('HIV-Pharmaceuticals'!$Q$14:$Q$99,MATCH($E94&amp;$F94,'HIV-Pharmaceuticals'!$E$14:$E$99&amp;'HIV-Pharmaceuticals'!$I$14:$I$99,0)),0)</f>
        <v>0</v>
      </c>
      <c r="S94" s="652">
        <f t="shared" si="42"/>
        <v>0</v>
      </c>
      <c r="T94" s="652">
        <f t="shared" si="43"/>
        <v>0</v>
      </c>
      <c r="U94" s="652">
        <f t="shared" si="44"/>
        <v>0</v>
      </c>
      <c r="V94" s="651">
        <f t="array" ref="V94">IFERROR(INDEX('HIV-Pharmaceuticals'!$R$14:$R$99,MATCH($E94&amp;$F94,'HIV-Pharmaceuticals'!$E$14:$E$99&amp;'HIV-Pharmaceuticals'!$I$14:$I$99,0)),0)</f>
        <v>0</v>
      </c>
      <c r="W94" s="652">
        <f t="shared" si="45"/>
        <v>0</v>
      </c>
      <c r="X94" s="652">
        <f t="shared" si="46"/>
        <v>0</v>
      </c>
      <c r="Y94" s="652">
        <f t="shared" si="47"/>
        <v>0</v>
      </c>
      <c r="Z94" s="653"/>
      <c r="AA94" s="651">
        <f t="array" ref="AA94">IFERROR(INDEX('HIV-Pharmaceuticals'!$U$14:$U$99,MATCH($E94&amp;$F94,'HIV-Pharmaceuticals'!$E$14:$E$99&amp;'HIV-Pharmaceuticals'!$I$14:$I$99,0)),0)</f>
        <v>0</v>
      </c>
      <c r="AB94" s="651">
        <f t="array" ref="AB94">IFERROR(INDEX('HIV-Pharmaceuticals'!$V$14:$V$99,MATCH($E94&amp;$F94,'HIV-Pharmaceuticals'!$E$14:$E$99&amp;'HIV-Pharmaceuticals'!$I$14:$I$99,0)),0)</f>
        <v>0</v>
      </c>
      <c r="AC94" s="652">
        <f t="shared" si="48"/>
        <v>0</v>
      </c>
      <c r="AD94" s="652">
        <f t="shared" si="49"/>
        <v>0</v>
      </c>
      <c r="AE94" s="652">
        <f t="shared" si="50"/>
        <v>0</v>
      </c>
      <c r="AF94" s="651">
        <f t="array" ref="AF94">IFERROR(INDEX('HIV-Pharmaceuticals'!$W$14:$W$99,MATCH($E94&amp;$F94,'HIV-Pharmaceuticals'!$E$14:$E$99&amp;'HIV-Pharmaceuticals'!$I$14:$I$99,0)),0)</f>
        <v>0</v>
      </c>
      <c r="AG94" s="652">
        <f t="shared" si="51"/>
        <v>0</v>
      </c>
      <c r="AH94" s="652">
        <f t="shared" si="52"/>
        <v>0</v>
      </c>
      <c r="AI94" s="652">
        <f t="shared" si="53"/>
        <v>0</v>
      </c>
      <c r="AJ94" s="651">
        <f t="array" ref="AJ94">IFERROR(INDEX('HIV-Pharmaceuticals'!$X$14:$X$99,MATCH($E94&amp;$F94,'HIV-Pharmaceuticals'!$E$14:$E$99&amp;'HIV-Pharmaceuticals'!$I$14:$I$99,0)),0)</f>
        <v>0</v>
      </c>
      <c r="AK94" s="652">
        <f t="shared" si="54"/>
        <v>0</v>
      </c>
      <c r="AL94" s="652">
        <f t="shared" si="55"/>
        <v>0</v>
      </c>
      <c r="AM94" s="652">
        <f t="shared" si="56"/>
        <v>0</v>
      </c>
      <c r="AN94" s="651">
        <f t="array" ref="AN94">IFERROR(INDEX('HIV-Pharmaceuticals'!$Y$14:$Y$99,MATCH($E94&amp;$F94,'HIV-Pharmaceuticals'!$E$14:$E$99&amp;'HIV-Pharmaceuticals'!$I$14:$I$99,0)),0)</f>
        <v>0</v>
      </c>
      <c r="AO94" s="652">
        <f t="shared" si="57"/>
        <v>0</v>
      </c>
      <c r="AP94" s="652">
        <f t="shared" si="58"/>
        <v>0</v>
      </c>
      <c r="AQ94" s="652">
        <f t="shared" si="59"/>
        <v>0</v>
      </c>
      <c r="AR94" s="653"/>
      <c r="AS94" s="651">
        <f t="array" ref="AS94">IFERROR(INDEX('HIV-Pharmaceuticals'!$AB$14:$AB$99,MATCH($E94&amp;$F94,'HIV-Pharmaceuticals'!$E$14:$E$99&amp;'HIV-Pharmaceuticals'!$I$14:$I$99,0)),0)</f>
        <v>0</v>
      </c>
      <c r="AT94" s="651">
        <f t="array" ref="AT94">IFERROR(INDEX('HIV-Pharmaceuticals'!$AC$14:$AC$99,MATCH($E94&amp;$F94,'HIV-Pharmaceuticals'!$E$14:$E$99&amp;'HIV-Pharmaceuticals'!$I$14:$I$99,0)),0)</f>
        <v>0</v>
      </c>
      <c r="AU94" s="652">
        <f t="shared" si="60"/>
        <v>0</v>
      </c>
      <c r="AV94" s="652">
        <f t="shared" si="61"/>
        <v>0</v>
      </c>
      <c r="AW94" s="652">
        <f t="shared" si="62"/>
        <v>0</v>
      </c>
      <c r="AX94" s="651">
        <f t="array" ref="AX94">IFERROR(INDEX('HIV-Pharmaceuticals'!$AD$14:$AD$99,MATCH($E94&amp;$F94,'HIV-Pharmaceuticals'!$E$14:$E$99&amp;'HIV-Pharmaceuticals'!$I$14:$I$99,0)),0)</f>
        <v>0</v>
      </c>
      <c r="AY94" s="652">
        <f t="shared" si="63"/>
        <v>0</v>
      </c>
      <c r="AZ94" s="652">
        <f t="shared" si="64"/>
        <v>0</v>
      </c>
      <c r="BA94" s="652">
        <f t="shared" si="65"/>
        <v>0</v>
      </c>
      <c r="BB94" s="651">
        <f t="array" ref="BB94">IFERROR(INDEX('HIV-Pharmaceuticals'!$AE$14:$AE$99,MATCH($E94&amp;$F94,'HIV-Pharmaceuticals'!$E$14:$E$99&amp;'HIV-Pharmaceuticals'!$I$14:$I$99,0)),0)</f>
        <v>0</v>
      </c>
      <c r="BC94" s="652">
        <f t="shared" si="66"/>
        <v>0</v>
      </c>
      <c r="BD94" s="652">
        <f t="shared" si="67"/>
        <v>0</v>
      </c>
      <c r="BE94" s="652">
        <f t="shared" si="68"/>
        <v>0</v>
      </c>
      <c r="BF94" s="651">
        <f t="array" ref="BF94">IFERROR(INDEX('HIV-Pharmaceuticals'!$AF$14:$AF$99,MATCH($E94&amp;$F94,'HIV-Pharmaceuticals'!$E$14:$E$99&amp;'HIV-Pharmaceuticals'!$I$14:$I$99,0)),0)</f>
        <v>0</v>
      </c>
      <c r="BG94" s="652">
        <f t="shared" si="69"/>
        <v>0</v>
      </c>
      <c r="BH94" s="652">
        <f t="shared" si="70"/>
        <v>0</v>
      </c>
      <c r="BI94" s="652">
        <f t="shared" si="71"/>
        <v>0</v>
      </c>
      <c r="BK94" s="654"/>
      <c r="BL94" s="654"/>
      <c r="BM94" s="654"/>
      <c r="BN94" s="654"/>
      <c r="BO94" s="654"/>
      <c r="BP94" s="654"/>
      <c r="BQ94" s="654"/>
      <c r="BR94" s="654"/>
    </row>
    <row r="95" spans="1:70" s="646" customFormat="1">
      <c r="A95" s="647" t="s">
        <v>561</v>
      </c>
      <c r="B95" s="647" t="s">
        <v>819</v>
      </c>
      <c r="C95" s="648">
        <f>SETUP!$F$20</f>
        <v>0</v>
      </c>
      <c r="D95" s="649">
        <v>4.0999999999999996</v>
      </c>
      <c r="E95" s="647" t="s">
        <v>131</v>
      </c>
      <c r="F95" s="647" t="s">
        <v>1676</v>
      </c>
      <c r="G95" s="650" t="str">
        <f t="array" ref="G95">IFERROR(INDEX('HIV-Pharmaceuticals'!$L$14:$L$99,MATCH($E95&amp;$F95,'HIV-Pharmaceuticals'!$E$14:$E$99&amp;'HIV-Pharmaceuticals'!$I$14:$I$99,0)),"")</f>
        <v/>
      </c>
      <c r="H95" s="650" t="str">
        <f t="array" ref="H95">IFERROR(INDEX('HIV-Pharmaceuticals'!$M$14:$M$99,MATCH($E95&amp;$F95,'HIV-Pharmaceuticals'!$E$14:$E$99&amp;'HIV-Pharmaceuticals'!$I$14:$I$99,0)),"")</f>
        <v/>
      </c>
      <c r="I95" s="651">
        <f t="array" ref="I95">IFERROR(INDEX('HIV-Pharmaceuticals'!$N$14:$N$99,MATCH($E95&amp;$F95,'HIV-Pharmaceuticals'!$E$14:$E$99&amp;'HIV-Pharmaceuticals'!$I$14:$I$99,0)),0)</f>
        <v>0</v>
      </c>
      <c r="J95" s="651">
        <f t="array" ref="J95">IFERROR(INDEX('HIV-Pharmaceuticals'!$O$14:$O$99,MATCH($E95&amp;$F95,'HIV-Pharmaceuticals'!$E$14:$E$99&amp;'HIV-Pharmaceuticals'!$I$14:$I$99,0)),0)</f>
        <v>0</v>
      </c>
      <c r="K95" s="652">
        <f t="shared" si="36"/>
        <v>0</v>
      </c>
      <c r="L95" s="652">
        <f t="shared" si="37"/>
        <v>0</v>
      </c>
      <c r="M95" s="652">
        <f t="shared" si="38"/>
        <v>0</v>
      </c>
      <c r="N95" s="651">
        <f t="array" ref="N95">IFERROR(INDEX('HIV-Pharmaceuticals'!$P$14:$P$99,MATCH($E95&amp;$F95,'HIV-Pharmaceuticals'!$E$14:$E$99&amp;'HIV-Pharmaceuticals'!$I$14:$I$99,0)),0)</f>
        <v>0</v>
      </c>
      <c r="O95" s="652">
        <f t="shared" si="39"/>
        <v>0</v>
      </c>
      <c r="P95" s="652">
        <f t="shared" si="40"/>
        <v>0</v>
      </c>
      <c r="Q95" s="652">
        <f t="shared" si="41"/>
        <v>0</v>
      </c>
      <c r="R95" s="651">
        <f t="array" ref="R95">IFERROR(INDEX('HIV-Pharmaceuticals'!$Q$14:$Q$99,MATCH($E95&amp;$F95,'HIV-Pharmaceuticals'!$E$14:$E$99&amp;'HIV-Pharmaceuticals'!$I$14:$I$99,0)),0)</f>
        <v>0</v>
      </c>
      <c r="S95" s="652">
        <f t="shared" si="42"/>
        <v>0</v>
      </c>
      <c r="T95" s="652">
        <f t="shared" si="43"/>
        <v>0</v>
      </c>
      <c r="U95" s="652">
        <f t="shared" si="44"/>
        <v>0</v>
      </c>
      <c r="V95" s="651">
        <f t="array" ref="V95">IFERROR(INDEX('HIV-Pharmaceuticals'!$R$14:$R$99,MATCH($E95&amp;$F95,'HIV-Pharmaceuticals'!$E$14:$E$99&amp;'HIV-Pharmaceuticals'!$I$14:$I$99,0)),0)</f>
        <v>0</v>
      </c>
      <c r="W95" s="652">
        <f t="shared" si="45"/>
        <v>0</v>
      </c>
      <c r="X95" s="652">
        <f t="shared" si="46"/>
        <v>0</v>
      </c>
      <c r="Y95" s="652">
        <f t="shared" si="47"/>
        <v>0</v>
      </c>
      <c r="Z95" s="653"/>
      <c r="AA95" s="651">
        <f t="array" ref="AA95">IFERROR(INDEX('HIV-Pharmaceuticals'!$U$14:$U$99,MATCH($E95&amp;$F95,'HIV-Pharmaceuticals'!$E$14:$E$99&amp;'HIV-Pharmaceuticals'!$I$14:$I$99,0)),0)</f>
        <v>0</v>
      </c>
      <c r="AB95" s="651">
        <f t="array" ref="AB95">IFERROR(INDEX('HIV-Pharmaceuticals'!$V$14:$V$99,MATCH($E95&amp;$F95,'HIV-Pharmaceuticals'!$E$14:$E$99&amp;'HIV-Pharmaceuticals'!$I$14:$I$99,0)),0)</f>
        <v>0</v>
      </c>
      <c r="AC95" s="652">
        <f t="shared" si="48"/>
        <v>0</v>
      </c>
      <c r="AD95" s="652">
        <f t="shared" si="49"/>
        <v>0</v>
      </c>
      <c r="AE95" s="652">
        <f t="shared" si="50"/>
        <v>0</v>
      </c>
      <c r="AF95" s="651">
        <f t="array" ref="AF95">IFERROR(INDEX('HIV-Pharmaceuticals'!$W$14:$W$99,MATCH($E95&amp;$F95,'HIV-Pharmaceuticals'!$E$14:$E$99&amp;'HIV-Pharmaceuticals'!$I$14:$I$99,0)),0)</f>
        <v>0</v>
      </c>
      <c r="AG95" s="652">
        <f t="shared" si="51"/>
        <v>0</v>
      </c>
      <c r="AH95" s="652">
        <f t="shared" si="52"/>
        <v>0</v>
      </c>
      <c r="AI95" s="652">
        <f t="shared" si="53"/>
        <v>0</v>
      </c>
      <c r="AJ95" s="651">
        <f t="array" ref="AJ95">IFERROR(INDEX('HIV-Pharmaceuticals'!$X$14:$X$99,MATCH($E95&amp;$F95,'HIV-Pharmaceuticals'!$E$14:$E$99&amp;'HIV-Pharmaceuticals'!$I$14:$I$99,0)),0)</f>
        <v>0</v>
      </c>
      <c r="AK95" s="652">
        <f t="shared" si="54"/>
        <v>0</v>
      </c>
      <c r="AL95" s="652">
        <f t="shared" si="55"/>
        <v>0</v>
      </c>
      <c r="AM95" s="652">
        <f t="shared" si="56"/>
        <v>0</v>
      </c>
      <c r="AN95" s="651">
        <f t="array" ref="AN95">IFERROR(INDEX('HIV-Pharmaceuticals'!$Y$14:$Y$99,MATCH($E95&amp;$F95,'HIV-Pharmaceuticals'!$E$14:$E$99&amp;'HIV-Pharmaceuticals'!$I$14:$I$99,0)),0)</f>
        <v>0</v>
      </c>
      <c r="AO95" s="652">
        <f t="shared" si="57"/>
        <v>0</v>
      </c>
      <c r="AP95" s="652">
        <f t="shared" si="58"/>
        <v>0</v>
      </c>
      <c r="AQ95" s="652">
        <f t="shared" si="59"/>
        <v>0</v>
      </c>
      <c r="AR95" s="653"/>
      <c r="AS95" s="651">
        <f t="array" ref="AS95">IFERROR(INDEX('HIV-Pharmaceuticals'!$AB$14:$AB$99,MATCH($E95&amp;$F95,'HIV-Pharmaceuticals'!$E$14:$E$99&amp;'HIV-Pharmaceuticals'!$I$14:$I$99,0)),0)</f>
        <v>0</v>
      </c>
      <c r="AT95" s="651">
        <f t="array" ref="AT95">IFERROR(INDEX('HIV-Pharmaceuticals'!$AC$14:$AC$99,MATCH($E95&amp;$F95,'HIV-Pharmaceuticals'!$E$14:$E$99&amp;'HIV-Pharmaceuticals'!$I$14:$I$99,0)),0)</f>
        <v>0</v>
      </c>
      <c r="AU95" s="652">
        <f t="shared" si="60"/>
        <v>0</v>
      </c>
      <c r="AV95" s="652">
        <f t="shared" si="61"/>
        <v>0</v>
      </c>
      <c r="AW95" s="652">
        <f t="shared" si="62"/>
        <v>0</v>
      </c>
      <c r="AX95" s="651">
        <f t="array" ref="AX95">IFERROR(INDEX('HIV-Pharmaceuticals'!$AD$14:$AD$99,MATCH($E95&amp;$F95,'HIV-Pharmaceuticals'!$E$14:$E$99&amp;'HIV-Pharmaceuticals'!$I$14:$I$99,0)),0)</f>
        <v>0</v>
      </c>
      <c r="AY95" s="652">
        <f t="shared" si="63"/>
        <v>0</v>
      </c>
      <c r="AZ95" s="652">
        <f t="shared" si="64"/>
        <v>0</v>
      </c>
      <c r="BA95" s="652">
        <f t="shared" si="65"/>
        <v>0</v>
      </c>
      <c r="BB95" s="651">
        <f t="array" ref="BB95">IFERROR(INDEX('HIV-Pharmaceuticals'!$AE$14:$AE$99,MATCH($E95&amp;$F95,'HIV-Pharmaceuticals'!$E$14:$E$99&amp;'HIV-Pharmaceuticals'!$I$14:$I$99,0)),0)</f>
        <v>0</v>
      </c>
      <c r="BC95" s="652">
        <f t="shared" si="66"/>
        <v>0</v>
      </c>
      <c r="BD95" s="652">
        <f t="shared" si="67"/>
        <v>0</v>
      </c>
      <c r="BE95" s="652">
        <f t="shared" si="68"/>
        <v>0</v>
      </c>
      <c r="BF95" s="651">
        <f t="array" ref="BF95">IFERROR(INDEX('HIV-Pharmaceuticals'!$AF$14:$AF$99,MATCH($E95&amp;$F95,'HIV-Pharmaceuticals'!$E$14:$E$99&amp;'HIV-Pharmaceuticals'!$I$14:$I$99,0)),0)</f>
        <v>0</v>
      </c>
      <c r="BG95" s="652">
        <f t="shared" si="69"/>
        <v>0</v>
      </c>
      <c r="BH95" s="652">
        <f t="shared" si="70"/>
        <v>0</v>
      </c>
      <c r="BI95" s="652">
        <f t="shared" si="71"/>
        <v>0</v>
      </c>
      <c r="BK95" s="654"/>
      <c r="BL95" s="654"/>
      <c r="BM95" s="654"/>
      <c r="BN95" s="654"/>
      <c r="BO95" s="654"/>
      <c r="BP95" s="654"/>
      <c r="BQ95" s="654"/>
      <c r="BR95" s="654"/>
    </row>
    <row r="96" spans="1:70" s="646" customFormat="1">
      <c r="A96" s="647" t="s">
        <v>561</v>
      </c>
      <c r="B96" s="647" t="s">
        <v>819</v>
      </c>
      <c r="C96" s="648">
        <f>SETUP!$F$20</f>
        <v>0</v>
      </c>
      <c r="D96" s="649">
        <v>4.0999999999999996</v>
      </c>
      <c r="E96" s="647" t="s">
        <v>131</v>
      </c>
      <c r="F96" s="647" t="s">
        <v>1677</v>
      </c>
      <c r="G96" s="650" t="str">
        <f t="array" ref="G96">IFERROR(INDEX('HIV-Pharmaceuticals'!$L$14:$L$99,MATCH($E96&amp;$F96,'HIV-Pharmaceuticals'!$E$14:$E$99&amp;'HIV-Pharmaceuticals'!$I$14:$I$99,0)),"")</f>
        <v/>
      </c>
      <c r="H96" s="650" t="str">
        <f t="array" ref="H96">IFERROR(INDEX('HIV-Pharmaceuticals'!$M$14:$M$99,MATCH($E96&amp;$F96,'HIV-Pharmaceuticals'!$E$14:$E$99&amp;'HIV-Pharmaceuticals'!$I$14:$I$99,0)),"")</f>
        <v/>
      </c>
      <c r="I96" s="651">
        <f t="array" ref="I96">IFERROR(INDEX('HIV-Pharmaceuticals'!$N$14:$N$99,MATCH($E96&amp;$F96,'HIV-Pharmaceuticals'!$E$14:$E$99&amp;'HIV-Pharmaceuticals'!$I$14:$I$99,0)),0)</f>
        <v>0</v>
      </c>
      <c r="J96" s="651">
        <f t="array" ref="J96">IFERROR(INDEX('HIV-Pharmaceuticals'!$O$14:$O$99,MATCH($E96&amp;$F96,'HIV-Pharmaceuticals'!$E$14:$E$99&amp;'HIV-Pharmaceuticals'!$I$14:$I$99,0)),0)</f>
        <v>0</v>
      </c>
      <c r="K96" s="652">
        <f t="shared" si="36"/>
        <v>0</v>
      </c>
      <c r="L96" s="652">
        <f t="shared" si="37"/>
        <v>0</v>
      </c>
      <c r="M96" s="652">
        <f t="shared" si="38"/>
        <v>0</v>
      </c>
      <c r="N96" s="651">
        <f t="array" ref="N96">IFERROR(INDEX('HIV-Pharmaceuticals'!$P$14:$P$99,MATCH($E96&amp;$F96,'HIV-Pharmaceuticals'!$E$14:$E$99&amp;'HIV-Pharmaceuticals'!$I$14:$I$99,0)),0)</f>
        <v>0</v>
      </c>
      <c r="O96" s="652">
        <f t="shared" si="39"/>
        <v>0</v>
      </c>
      <c r="P96" s="652">
        <f t="shared" si="40"/>
        <v>0</v>
      </c>
      <c r="Q96" s="652">
        <f t="shared" si="41"/>
        <v>0</v>
      </c>
      <c r="R96" s="651">
        <f t="array" ref="R96">IFERROR(INDEX('HIV-Pharmaceuticals'!$Q$14:$Q$99,MATCH($E96&amp;$F96,'HIV-Pharmaceuticals'!$E$14:$E$99&amp;'HIV-Pharmaceuticals'!$I$14:$I$99,0)),0)</f>
        <v>0</v>
      </c>
      <c r="S96" s="652">
        <f t="shared" si="42"/>
        <v>0</v>
      </c>
      <c r="T96" s="652">
        <f t="shared" si="43"/>
        <v>0</v>
      </c>
      <c r="U96" s="652">
        <f t="shared" si="44"/>
        <v>0</v>
      </c>
      <c r="V96" s="651">
        <f t="array" ref="V96">IFERROR(INDEX('HIV-Pharmaceuticals'!$R$14:$R$99,MATCH($E96&amp;$F96,'HIV-Pharmaceuticals'!$E$14:$E$99&amp;'HIV-Pharmaceuticals'!$I$14:$I$99,0)),0)</f>
        <v>0</v>
      </c>
      <c r="W96" s="652">
        <f t="shared" si="45"/>
        <v>0</v>
      </c>
      <c r="X96" s="652">
        <f t="shared" si="46"/>
        <v>0</v>
      </c>
      <c r="Y96" s="652">
        <f t="shared" si="47"/>
        <v>0</v>
      </c>
      <c r="Z96" s="653"/>
      <c r="AA96" s="651">
        <f t="array" ref="AA96">IFERROR(INDEX('HIV-Pharmaceuticals'!$U$14:$U$99,MATCH($E96&amp;$F96,'HIV-Pharmaceuticals'!$E$14:$E$99&amp;'HIV-Pharmaceuticals'!$I$14:$I$99,0)),0)</f>
        <v>0</v>
      </c>
      <c r="AB96" s="651">
        <f t="array" ref="AB96">IFERROR(INDEX('HIV-Pharmaceuticals'!$V$14:$V$99,MATCH($E96&amp;$F96,'HIV-Pharmaceuticals'!$E$14:$E$99&amp;'HIV-Pharmaceuticals'!$I$14:$I$99,0)),0)</f>
        <v>0</v>
      </c>
      <c r="AC96" s="652">
        <f t="shared" si="48"/>
        <v>0</v>
      </c>
      <c r="AD96" s="652">
        <f t="shared" si="49"/>
        <v>0</v>
      </c>
      <c r="AE96" s="652">
        <f t="shared" si="50"/>
        <v>0</v>
      </c>
      <c r="AF96" s="651">
        <f t="array" ref="AF96">IFERROR(INDEX('HIV-Pharmaceuticals'!$W$14:$W$99,MATCH($E96&amp;$F96,'HIV-Pharmaceuticals'!$E$14:$E$99&amp;'HIV-Pharmaceuticals'!$I$14:$I$99,0)),0)</f>
        <v>0</v>
      </c>
      <c r="AG96" s="652">
        <f t="shared" si="51"/>
        <v>0</v>
      </c>
      <c r="AH96" s="652">
        <f t="shared" si="52"/>
        <v>0</v>
      </c>
      <c r="AI96" s="652">
        <f t="shared" si="53"/>
        <v>0</v>
      </c>
      <c r="AJ96" s="651">
        <f t="array" ref="AJ96">IFERROR(INDEX('HIV-Pharmaceuticals'!$X$14:$X$99,MATCH($E96&amp;$F96,'HIV-Pharmaceuticals'!$E$14:$E$99&amp;'HIV-Pharmaceuticals'!$I$14:$I$99,0)),0)</f>
        <v>0</v>
      </c>
      <c r="AK96" s="652">
        <f t="shared" si="54"/>
        <v>0</v>
      </c>
      <c r="AL96" s="652">
        <f t="shared" si="55"/>
        <v>0</v>
      </c>
      <c r="AM96" s="652">
        <f t="shared" si="56"/>
        <v>0</v>
      </c>
      <c r="AN96" s="651">
        <f t="array" ref="AN96">IFERROR(INDEX('HIV-Pharmaceuticals'!$Y$14:$Y$99,MATCH($E96&amp;$F96,'HIV-Pharmaceuticals'!$E$14:$E$99&amp;'HIV-Pharmaceuticals'!$I$14:$I$99,0)),0)</f>
        <v>0</v>
      </c>
      <c r="AO96" s="652">
        <f t="shared" si="57"/>
        <v>0</v>
      </c>
      <c r="AP96" s="652">
        <f t="shared" si="58"/>
        <v>0</v>
      </c>
      <c r="AQ96" s="652">
        <f t="shared" si="59"/>
        <v>0</v>
      </c>
      <c r="AR96" s="653"/>
      <c r="AS96" s="651">
        <f t="array" ref="AS96">IFERROR(INDEX('HIV-Pharmaceuticals'!$AB$14:$AB$99,MATCH($E96&amp;$F96,'HIV-Pharmaceuticals'!$E$14:$E$99&amp;'HIV-Pharmaceuticals'!$I$14:$I$99,0)),0)</f>
        <v>0</v>
      </c>
      <c r="AT96" s="651">
        <f t="array" ref="AT96">IFERROR(INDEX('HIV-Pharmaceuticals'!$AC$14:$AC$99,MATCH($E96&amp;$F96,'HIV-Pharmaceuticals'!$E$14:$E$99&amp;'HIV-Pharmaceuticals'!$I$14:$I$99,0)),0)</f>
        <v>0</v>
      </c>
      <c r="AU96" s="652">
        <f t="shared" si="60"/>
        <v>0</v>
      </c>
      <c r="AV96" s="652">
        <f t="shared" si="61"/>
        <v>0</v>
      </c>
      <c r="AW96" s="652">
        <f t="shared" si="62"/>
        <v>0</v>
      </c>
      <c r="AX96" s="651">
        <f t="array" ref="AX96">IFERROR(INDEX('HIV-Pharmaceuticals'!$AD$14:$AD$99,MATCH($E96&amp;$F96,'HIV-Pharmaceuticals'!$E$14:$E$99&amp;'HIV-Pharmaceuticals'!$I$14:$I$99,0)),0)</f>
        <v>0</v>
      </c>
      <c r="AY96" s="652">
        <f t="shared" si="63"/>
        <v>0</v>
      </c>
      <c r="AZ96" s="652">
        <f t="shared" si="64"/>
        <v>0</v>
      </c>
      <c r="BA96" s="652">
        <f t="shared" si="65"/>
        <v>0</v>
      </c>
      <c r="BB96" s="651">
        <f t="array" ref="BB96">IFERROR(INDEX('HIV-Pharmaceuticals'!$AE$14:$AE$99,MATCH($E96&amp;$F96,'HIV-Pharmaceuticals'!$E$14:$E$99&amp;'HIV-Pharmaceuticals'!$I$14:$I$99,0)),0)</f>
        <v>0</v>
      </c>
      <c r="BC96" s="652">
        <f t="shared" si="66"/>
        <v>0</v>
      </c>
      <c r="BD96" s="652">
        <f t="shared" si="67"/>
        <v>0</v>
      </c>
      <c r="BE96" s="652">
        <f t="shared" si="68"/>
        <v>0</v>
      </c>
      <c r="BF96" s="651">
        <f t="array" ref="BF96">IFERROR(INDEX('HIV-Pharmaceuticals'!$AF$14:$AF$99,MATCH($E96&amp;$F96,'HIV-Pharmaceuticals'!$E$14:$E$99&amp;'HIV-Pharmaceuticals'!$I$14:$I$99,0)),0)</f>
        <v>0</v>
      </c>
      <c r="BG96" s="652">
        <f t="shared" si="69"/>
        <v>0</v>
      </c>
      <c r="BH96" s="652">
        <f t="shared" si="70"/>
        <v>0</v>
      </c>
      <c r="BI96" s="652">
        <f t="shared" si="71"/>
        <v>0</v>
      </c>
      <c r="BK96" s="654"/>
      <c r="BL96" s="654"/>
      <c r="BM96" s="654"/>
      <c r="BN96" s="654"/>
      <c r="BO96" s="654"/>
      <c r="BP96" s="654"/>
      <c r="BQ96" s="654"/>
      <c r="BR96" s="654"/>
    </row>
    <row r="97" spans="1:70" s="646" customFormat="1">
      <c r="A97" s="647" t="s">
        <v>561</v>
      </c>
      <c r="B97" s="647" t="s">
        <v>819</v>
      </c>
      <c r="C97" s="648">
        <f>SETUP!$F$20</f>
        <v>0</v>
      </c>
      <c r="D97" s="649">
        <v>4.0999999999999996</v>
      </c>
      <c r="E97" s="647" t="s">
        <v>132</v>
      </c>
      <c r="F97" s="647" t="s">
        <v>1678</v>
      </c>
      <c r="G97" s="650" t="str">
        <f t="array" ref="G97">IFERROR(INDEX('HIV-Pharmaceuticals'!$L$14:$L$99,MATCH($E97&amp;$F97,'HIV-Pharmaceuticals'!$E$14:$E$99&amp;'HIV-Pharmaceuticals'!$I$14:$I$99,0)),"")</f>
        <v/>
      </c>
      <c r="H97" s="650" t="str">
        <f t="array" ref="H97">IFERROR(INDEX('HIV-Pharmaceuticals'!$M$14:$M$99,MATCH($E97&amp;$F97,'HIV-Pharmaceuticals'!$E$14:$E$99&amp;'HIV-Pharmaceuticals'!$I$14:$I$99,0)),"")</f>
        <v/>
      </c>
      <c r="I97" s="651">
        <f t="array" ref="I97">IFERROR(INDEX('HIV-Pharmaceuticals'!$N$14:$N$99,MATCH($E97&amp;$F97,'HIV-Pharmaceuticals'!$E$14:$E$99&amp;'HIV-Pharmaceuticals'!$I$14:$I$99,0)),0)</f>
        <v>0</v>
      </c>
      <c r="J97" s="651">
        <f t="array" ref="J97">IFERROR(INDEX('HIV-Pharmaceuticals'!$O$14:$O$99,MATCH($E97&amp;$F97,'HIV-Pharmaceuticals'!$E$14:$E$99&amp;'HIV-Pharmaceuticals'!$I$14:$I$99,0)),0)</f>
        <v>0</v>
      </c>
      <c r="K97" s="652">
        <f t="shared" si="36"/>
        <v>0</v>
      </c>
      <c r="L97" s="652">
        <f t="shared" si="37"/>
        <v>0</v>
      </c>
      <c r="M97" s="652">
        <f t="shared" si="38"/>
        <v>0</v>
      </c>
      <c r="N97" s="651">
        <f t="array" ref="N97">IFERROR(INDEX('HIV-Pharmaceuticals'!$P$14:$P$99,MATCH($E97&amp;$F97,'HIV-Pharmaceuticals'!$E$14:$E$99&amp;'HIV-Pharmaceuticals'!$I$14:$I$99,0)),0)</f>
        <v>0</v>
      </c>
      <c r="O97" s="652">
        <f t="shared" si="39"/>
        <v>0</v>
      </c>
      <c r="P97" s="652">
        <f t="shared" si="40"/>
        <v>0</v>
      </c>
      <c r="Q97" s="652">
        <f t="shared" si="41"/>
        <v>0</v>
      </c>
      <c r="R97" s="651">
        <f t="array" ref="R97">IFERROR(INDEX('HIV-Pharmaceuticals'!$Q$14:$Q$99,MATCH($E97&amp;$F97,'HIV-Pharmaceuticals'!$E$14:$E$99&amp;'HIV-Pharmaceuticals'!$I$14:$I$99,0)),0)</f>
        <v>0</v>
      </c>
      <c r="S97" s="652">
        <f t="shared" si="42"/>
        <v>0</v>
      </c>
      <c r="T97" s="652">
        <f t="shared" si="43"/>
        <v>0</v>
      </c>
      <c r="U97" s="652">
        <f t="shared" si="44"/>
        <v>0</v>
      </c>
      <c r="V97" s="651">
        <f t="array" ref="V97">IFERROR(INDEX('HIV-Pharmaceuticals'!$R$14:$R$99,MATCH($E97&amp;$F97,'HIV-Pharmaceuticals'!$E$14:$E$99&amp;'HIV-Pharmaceuticals'!$I$14:$I$99,0)),0)</f>
        <v>0</v>
      </c>
      <c r="W97" s="652">
        <f t="shared" si="45"/>
        <v>0</v>
      </c>
      <c r="X97" s="652">
        <f t="shared" si="46"/>
        <v>0</v>
      </c>
      <c r="Y97" s="652">
        <f t="shared" si="47"/>
        <v>0</v>
      </c>
      <c r="Z97" s="653"/>
      <c r="AA97" s="651">
        <f t="array" ref="AA97">IFERROR(INDEX('HIV-Pharmaceuticals'!$U$14:$U$99,MATCH($E97&amp;$F97,'HIV-Pharmaceuticals'!$E$14:$E$99&amp;'HIV-Pharmaceuticals'!$I$14:$I$99,0)),0)</f>
        <v>0</v>
      </c>
      <c r="AB97" s="651">
        <f t="array" ref="AB97">IFERROR(INDEX('HIV-Pharmaceuticals'!$V$14:$V$99,MATCH($E97&amp;$F97,'HIV-Pharmaceuticals'!$E$14:$E$99&amp;'HIV-Pharmaceuticals'!$I$14:$I$99,0)),0)</f>
        <v>0</v>
      </c>
      <c r="AC97" s="652">
        <f t="shared" si="48"/>
        <v>0</v>
      </c>
      <c r="AD97" s="652">
        <f t="shared" si="49"/>
        <v>0</v>
      </c>
      <c r="AE97" s="652">
        <f t="shared" si="50"/>
        <v>0</v>
      </c>
      <c r="AF97" s="651">
        <f t="array" ref="AF97">IFERROR(INDEX('HIV-Pharmaceuticals'!$W$14:$W$99,MATCH($E97&amp;$F97,'HIV-Pharmaceuticals'!$E$14:$E$99&amp;'HIV-Pharmaceuticals'!$I$14:$I$99,0)),0)</f>
        <v>0</v>
      </c>
      <c r="AG97" s="652">
        <f t="shared" si="51"/>
        <v>0</v>
      </c>
      <c r="AH97" s="652">
        <f t="shared" si="52"/>
        <v>0</v>
      </c>
      <c r="AI97" s="652">
        <f t="shared" si="53"/>
        <v>0</v>
      </c>
      <c r="AJ97" s="651">
        <f t="array" ref="AJ97">IFERROR(INDEX('HIV-Pharmaceuticals'!$X$14:$X$99,MATCH($E97&amp;$F97,'HIV-Pharmaceuticals'!$E$14:$E$99&amp;'HIV-Pharmaceuticals'!$I$14:$I$99,0)),0)</f>
        <v>0</v>
      </c>
      <c r="AK97" s="652">
        <f t="shared" si="54"/>
        <v>0</v>
      </c>
      <c r="AL97" s="652">
        <f t="shared" si="55"/>
        <v>0</v>
      </c>
      <c r="AM97" s="652">
        <f t="shared" si="56"/>
        <v>0</v>
      </c>
      <c r="AN97" s="651">
        <f t="array" ref="AN97">IFERROR(INDEX('HIV-Pharmaceuticals'!$Y$14:$Y$99,MATCH($E97&amp;$F97,'HIV-Pharmaceuticals'!$E$14:$E$99&amp;'HIV-Pharmaceuticals'!$I$14:$I$99,0)),0)</f>
        <v>0</v>
      </c>
      <c r="AO97" s="652">
        <f t="shared" si="57"/>
        <v>0</v>
      </c>
      <c r="AP97" s="652">
        <f t="shared" si="58"/>
        <v>0</v>
      </c>
      <c r="AQ97" s="652">
        <f t="shared" si="59"/>
        <v>0</v>
      </c>
      <c r="AR97" s="653"/>
      <c r="AS97" s="651">
        <f t="array" ref="AS97">IFERROR(INDEX('HIV-Pharmaceuticals'!$AB$14:$AB$99,MATCH($E97&amp;$F97,'HIV-Pharmaceuticals'!$E$14:$E$99&amp;'HIV-Pharmaceuticals'!$I$14:$I$99,0)),0)</f>
        <v>0</v>
      </c>
      <c r="AT97" s="651">
        <f t="array" ref="AT97">IFERROR(INDEX('HIV-Pharmaceuticals'!$AC$14:$AC$99,MATCH($E97&amp;$F97,'HIV-Pharmaceuticals'!$E$14:$E$99&amp;'HIV-Pharmaceuticals'!$I$14:$I$99,0)),0)</f>
        <v>0</v>
      </c>
      <c r="AU97" s="652">
        <f t="shared" si="60"/>
        <v>0</v>
      </c>
      <c r="AV97" s="652">
        <f t="shared" si="61"/>
        <v>0</v>
      </c>
      <c r="AW97" s="652">
        <f t="shared" si="62"/>
        <v>0</v>
      </c>
      <c r="AX97" s="651">
        <f t="array" ref="AX97">IFERROR(INDEX('HIV-Pharmaceuticals'!$AD$14:$AD$99,MATCH($E97&amp;$F97,'HIV-Pharmaceuticals'!$E$14:$E$99&amp;'HIV-Pharmaceuticals'!$I$14:$I$99,0)),0)</f>
        <v>0</v>
      </c>
      <c r="AY97" s="652">
        <f t="shared" si="63"/>
        <v>0</v>
      </c>
      <c r="AZ97" s="652">
        <f t="shared" si="64"/>
        <v>0</v>
      </c>
      <c r="BA97" s="652">
        <f t="shared" si="65"/>
        <v>0</v>
      </c>
      <c r="BB97" s="651">
        <f t="array" ref="BB97">IFERROR(INDEX('HIV-Pharmaceuticals'!$AE$14:$AE$99,MATCH($E97&amp;$F97,'HIV-Pharmaceuticals'!$E$14:$E$99&amp;'HIV-Pharmaceuticals'!$I$14:$I$99,0)),0)</f>
        <v>0</v>
      </c>
      <c r="BC97" s="652">
        <f t="shared" si="66"/>
        <v>0</v>
      </c>
      <c r="BD97" s="652">
        <f t="shared" si="67"/>
        <v>0</v>
      </c>
      <c r="BE97" s="652">
        <f t="shared" si="68"/>
        <v>0</v>
      </c>
      <c r="BF97" s="651">
        <f t="array" ref="BF97">IFERROR(INDEX('HIV-Pharmaceuticals'!$AF$14:$AF$99,MATCH($E97&amp;$F97,'HIV-Pharmaceuticals'!$E$14:$E$99&amp;'HIV-Pharmaceuticals'!$I$14:$I$99,0)),0)</f>
        <v>0</v>
      </c>
      <c r="BG97" s="652">
        <f t="shared" si="69"/>
        <v>0</v>
      </c>
      <c r="BH97" s="652">
        <f t="shared" si="70"/>
        <v>0</v>
      </c>
      <c r="BI97" s="652">
        <f t="shared" si="71"/>
        <v>0</v>
      </c>
      <c r="BK97" s="654"/>
      <c r="BL97" s="654"/>
      <c r="BM97" s="654"/>
      <c r="BN97" s="654"/>
      <c r="BO97" s="654"/>
      <c r="BP97" s="654"/>
      <c r="BQ97" s="654"/>
      <c r="BR97" s="654"/>
    </row>
    <row r="98" spans="1:70" s="646" customFormat="1">
      <c r="A98" s="647" t="s">
        <v>561</v>
      </c>
      <c r="B98" s="647" t="s">
        <v>819</v>
      </c>
      <c r="C98" s="648">
        <f>SETUP!$F$20</f>
        <v>0</v>
      </c>
      <c r="D98" s="649">
        <v>4.0999999999999996</v>
      </c>
      <c r="E98" s="647" t="s">
        <v>132</v>
      </c>
      <c r="F98" s="647" t="s">
        <v>1679</v>
      </c>
      <c r="G98" s="650" t="str">
        <f t="array" ref="G98">IFERROR(INDEX('HIV-Pharmaceuticals'!$L$14:$L$99,MATCH($E98&amp;$F98,'HIV-Pharmaceuticals'!$E$14:$E$99&amp;'HIV-Pharmaceuticals'!$I$14:$I$99,0)),"")</f>
        <v/>
      </c>
      <c r="H98" s="650" t="str">
        <f t="array" ref="H98">IFERROR(INDEX('HIV-Pharmaceuticals'!$M$14:$M$99,MATCH($E98&amp;$F98,'HIV-Pharmaceuticals'!$E$14:$E$99&amp;'HIV-Pharmaceuticals'!$I$14:$I$99,0)),"")</f>
        <v/>
      </c>
      <c r="I98" s="651">
        <f t="array" ref="I98">IFERROR(INDEX('HIV-Pharmaceuticals'!$N$14:$N$99,MATCH($E98&amp;$F98,'HIV-Pharmaceuticals'!$E$14:$E$99&amp;'HIV-Pharmaceuticals'!$I$14:$I$99,0)),0)</f>
        <v>0</v>
      </c>
      <c r="J98" s="651">
        <f t="array" ref="J98">IFERROR(INDEX('HIV-Pharmaceuticals'!$O$14:$O$99,MATCH($E98&amp;$F98,'HIV-Pharmaceuticals'!$E$14:$E$99&amp;'HIV-Pharmaceuticals'!$I$14:$I$99,0)),0)</f>
        <v>0</v>
      </c>
      <c r="K98" s="652">
        <f t="shared" si="36"/>
        <v>0</v>
      </c>
      <c r="L98" s="652">
        <f t="shared" si="37"/>
        <v>0</v>
      </c>
      <c r="M98" s="652">
        <f t="shared" si="38"/>
        <v>0</v>
      </c>
      <c r="N98" s="651">
        <f t="array" ref="N98">IFERROR(INDEX('HIV-Pharmaceuticals'!$P$14:$P$99,MATCH($E98&amp;$F98,'HIV-Pharmaceuticals'!$E$14:$E$99&amp;'HIV-Pharmaceuticals'!$I$14:$I$99,0)),0)</f>
        <v>0</v>
      </c>
      <c r="O98" s="652">
        <f t="shared" si="39"/>
        <v>0</v>
      </c>
      <c r="P98" s="652">
        <f t="shared" si="40"/>
        <v>0</v>
      </c>
      <c r="Q98" s="652">
        <f t="shared" si="41"/>
        <v>0</v>
      </c>
      <c r="R98" s="651">
        <f t="array" ref="R98">IFERROR(INDEX('HIV-Pharmaceuticals'!$Q$14:$Q$99,MATCH($E98&amp;$F98,'HIV-Pharmaceuticals'!$E$14:$E$99&amp;'HIV-Pharmaceuticals'!$I$14:$I$99,0)),0)</f>
        <v>0</v>
      </c>
      <c r="S98" s="652">
        <f t="shared" si="42"/>
        <v>0</v>
      </c>
      <c r="T98" s="652">
        <f t="shared" si="43"/>
        <v>0</v>
      </c>
      <c r="U98" s="652">
        <f t="shared" si="44"/>
        <v>0</v>
      </c>
      <c r="V98" s="651">
        <f t="array" ref="V98">IFERROR(INDEX('HIV-Pharmaceuticals'!$R$14:$R$99,MATCH($E98&amp;$F98,'HIV-Pharmaceuticals'!$E$14:$E$99&amp;'HIV-Pharmaceuticals'!$I$14:$I$99,0)),0)</f>
        <v>0</v>
      </c>
      <c r="W98" s="652">
        <f t="shared" si="45"/>
        <v>0</v>
      </c>
      <c r="X98" s="652">
        <f t="shared" si="46"/>
        <v>0</v>
      </c>
      <c r="Y98" s="652">
        <f t="shared" si="47"/>
        <v>0</v>
      </c>
      <c r="Z98" s="653"/>
      <c r="AA98" s="651">
        <f t="array" ref="AA98">IFERROR(INDEX('HIV-Pharmaceuticals'!$U$14:$U$99,MATCH($E98&amp;$F98,'HIV-Pharmaceuticals'!$E$14:$E$99&amp;'HIV-Pharmaceuticals'!$I$14:$I$99,0)),0)</f>
        <v>0</v>
      </c>
      <c r="AB98" s="651">
        <f t="array" ref="AB98">IFERROR(INDEX('HIV-Pharmaceuticals'!$V$14:$V$99,MATCH($E98&amp;$F98,'HIV-Pharmaceuticals'!$E$14:$E$99&amp;'HIV-Pharmaceuticals'!$I$14:$I$99,0)),0)</f>
        <v>0</v>
      </c>
      <c r="AC98" s="652">
        <f t="shared" si="48"/>
        <v>0</v>
      </c>
      <c r="AD98" s="652">
        <f t="shared" si="49"/>
        <v>0</v>
      </c>
      <c r="AE98" s="652">
        <f t="shared" si="50"/>
        <v>0</v>
      </c>
      <c r="AF98" s="651">
        <f t="array" ref="AF98">IFERROR(INDEX('HIV-Pharmaceuticals'!$W$14:$W$99,MATCH($E98&amp;$F98,'HIV-Pharmaceuticals'!$E$14:$E$99&amp;'HIV-Pharmaceuticals'!$I$14:$I$99,0)),0)</f>
        <v>0</v>
      </c>
      <c r="AG98" s="652">
        <f t="shared" si="51"/>
        <v>0</v>
      </c>
      <c r="AH98" s="652">
        <f t="shared" si="52"/>
        <v>0</v>
      </c>
      <c r="AI98" s="652">
        <f t="shared" si="53"/>
        <v>0</v>
      </c>
      <c r="AJ98" s="651">
        <f t="array" ref="AJ98">IFERROR(INDEX('HIV-Pharmaceuticals'!$X$14:$X$99,MATCH($E98&amp;$F98,'HIV-Pharmaceuticals'!$E$14:$E$99&amp;'HIV-Pharmaceuticals'!$I$14:$I$99,0)),0)</f>
        <v>0</v>
      </c>
      <c r="AK98" s="652">
        <f t="shared" si="54"/>
        <v>0</v>
      </c>
      <c r="AL98" s="652">
        <f t="shared" si="55"/>
        <v>0</v>
      </c>
      <c r="AM98" s="652">
        <f t="shared" si="56"/>
        <v>0</v>
      </c>
      <c r="AN98" s="651">
        <f t="array" ref="AN98">IFERROR(INDEX('HIV-Pharmaceuticals'!$Y$14:$Y$99,MATCH($E98&amp;$F98,'HIV-Pharmaceuticals'!$E$14:$E$99&amp;'HIV-Pharmaceuticals'!$I$14:$I$99,0)),0)</f>
        <v>0</v>
      </c>
      <c r="AO98" s="652">
        <f t="shared" si="57"/>
        <v>0</v>
      </c>
      <c r="AP98" s="652">
        <f t="shared" si="58"/>
        <v>0</v>
      </c>
      <c r="AQ98" s="652">
        <f t="shared" si="59"/>
        <v>0</v>
      </c>
      <c r="AR98" s="653"/>
      <c r="AS98" s="651">
        <f t="array" ref="AS98">IFERROR(INDEX('HIV-Pharmaceuticals'!$AB$14:$AB$99,MATCH($E98&amp;$F98,'HIV-Pharmaceuticals'!$E$14:$E$99&amp;'HIV-Pharmaceuticals'!$I$14:$I$99,0)),0)</f>
        <v>0</v>
      </c>
      <c r="AT98" s="651">
        <f t="array" ref="AT98">IFERROR(INDEX('HIV-Pharmaceuticals'!$AC$14:$AC$99,MATCH($E98&amp;$F98,'HIV-Pharmaceuticals'!$E$14:$E$99&amp;'HIV-Pharmaceuticals'!$I$14:$I$99,0)),0)</f>
        <v>0</v>
      </c>
      <c r="AU98" s="652">
        <f t="shared" si="60"/>
        <v>0</v>
      </c>
      <c r="AV98" s="652">
        <f t="shared" si="61"/>
        <v>0</v>
      </c>
      <c r="AW98" s="652">
        <f t="shared" si="62"/>
        <v>0</v>
      </c>
      <c r="AX98" s="651">
        <f t="array" ref="AX98">IFERROR(INDEX('HIV-Pharmaceuticals'!$AD$14:$AD$99,MATCH($E98&amp;$F98,'HIV-Pharmaceuticals'!$E$14:$E$99&amp;'HIV-Pharmaceuticals'!$I$14:$I$99,0)),0)</f>
        <v>0</v>
      </c>
      <c r="AY98" s="652">
        <f t="shared" si="63"/>
        <v>0</v>
      </c>
      <c r="AZ98" s="652">
        <f t="shared" si="64"/>
        <v>0</v>
      </c>
      <c r="BA98" s="652">
        <f t="shared" si="65"/>
        <v>0</v>
      </c>
      <c r="BB98" s="651">
        <f t="array" ref="BB98">IFERROR(INDEX('HIV-Pharmaceuticals'!$AE$14:$AE$99,MATCH($E98&amp;$F98,'HIV-Pharmaceuticals'!$E$14:$E$99&amp;'HIV-Pharmaceuticals'!$I$14:$I$99,0)),0)</f>
        <v>0</v>
      </c>
      <c r="BC98" s="652">
        <f t="shared" si="66"/>
        <v>0</v>
      </c>
      <c r="BD98" s="652">
        <f t="shared" si="67"/>
        <v>0</v>
      </c>
      <c r="BE98" s="652">
        <f t="shared" si="68"/>
        <v>0</v>
      </c>
      <c r="BF98" s="651">
        <f t="array" ref="BF98">IFERROR(INDEX('HIV-Pharmaceuticals'!$AF$14:$AF$99,MATCH($E98&amp;$F98,'HIV-Pharmaceuticals'!$E$14:$E$99&amp;'HIV-Pharmaceuticals'!$I$14:$I$99,0)),0)</f>
        <v>0</v>
      </c>
      <c r="BG98" s="652">
        <f t="shared" si="69"/>
        <v>0</v>
      </c>
      <c r="BH98" s="652">
        <f t="shared" si="70"/>
        <v>0</v>
      </c>
      <c r="BI98" s="652">
        <f t="shared" si="71"/>
        <v>0</v>
      </c>
      <c r="BK98" s="654"/>
      <c r="BL98" s="654"/>
      <c r="BM98" s="654"/>
      <c r="BN98" s="654"/>
      <c r="BO98" s="654"/>
      <c r="BP98" s="654"/>
      <c r="BQ98" s="654"/>
      <c r="BR98" s="654"/>
    </row>
    <row r="99" spans="1:70" s="646" customFormat="1">
      <c r="A99" s="647" t="s">
        <v>561</v>
      </c>
      <c r="B99" s="647" t="s">
        <v>819</v>
      </c>
      <c r="C99" s="648">
        <f>SETUP!$F$20</f>
        <v>0</v>
      </c>
      <c r="D99" s="649">
        <v>4.0999999999999996</v>
      </c>
      <c r="E99" s="647" t="s">
        <v>132</v>
      </c>
      <c r="F99" s="647" t="s">
        <v>1590</v>
      </c>
      <c r="G99" s="650" t="str">
        <f t="array" ref="G99">IFERROR(INDEX('HIV-Pharmaceuticals'!$L$14:$L$99,MATCH($E99&amp;$F99,'HIV-Pharmaceuticals'!$E$14:$E$99&amp;'HIV-Pharmaceuticals'!$I$14:$I$99,0)),"")</f>
        <v/>
      </c>
      <c r="H99" s="650" t="str">
        <f t="array" ref="H99">IFERROR(INDEX('HIV-Pharmaceuticals'!$M$14:$M$99,MATCH($E99&amp;$F99,'HIV-Pharmaceuticals'!$E$14:$E$99&amp;'HIV-Pharmaceuticals'!$I$14:$I$99,0)),"")</f>
        <v/>
      </c>
      <c r="I99" s="651">
        <f t="array" ref="I99">IFERROR(INDEX('HIV-Pharmaceuticals'!$N$14:$N$99,MATCH($E99&amp;$F99,'HIV-Pharmaceuticals'!$E$14:$E$99&amp;'HIV-Pharmaceuticals'!$I$14:$I$99,0)),0)</f>
        <v>0</v>
      </c>
      <c r="J99" s="651">
        <f t="array" ref="J99">IFERROR(INDEX('HIV-Pharmaceuticals'!$O$14:$O$99,MATCH($E99&amp;$F99,'HIV-Pharmaceuticals'!$E$14:$E$99&amp;'HIV-Pharmaceuticals'!$I$14:$I$99,0)),0)</f>
        <v>0</v>
      </c>
      <c r="K99" s="652">
        <f t="shared" si="36"/>
        <v>0</v>
      </c>
      <c r="L99" s="652">
        <f t="shared" si="37"/>
        <v>0</v>
      </c>
      <c r="M99" s="652">
        <f t="shared" si="38"/>
        <v>0</v>
      </c>
      <c r="N99" s="651">
        <f t="array" ref="N99">IFERROR(INDEX('HIV-Pharmaceuticals'!$P$14:$P$99,MATCH($E99&amp;$F99,'HIV-Pharmaceuticals'!$E$14:$E$99&amp;'HIV-Pharmaceuticals'!$I$14:$I$99,0)),0)</f>
        <v>0</v>
      </c>
      <c r="O99" s="652">
        <f t="shared" si="39"/>
        <v>0</v>
      </c>
      <c r="P99" s="652">
        <f t="shared" si="40"/>
        <v>0</v>
      </c>
      <c r="Q99" s="652">
        <f t="shared" si="41"/>
        <v>0</v>
      </c>
      <c r="R99" s="651">
        <f t="array" ref="R99">IFERROR(INDEX('HIV-Pharmaceuticals'!$Q$14:$Q$99,MATCH($E99&amp;$F99,'HIV-Pharmaceuticals'!$E$14:$E$99&amp;'HIV-Pharmaceuticals'!$I$14:$I$99,0)),0)</f>
        <v>0</v>
      </c>
      <c r="S99" s="652">
        <f t="shared" si="42"/>
        <v>0</v>
      </c>
      <c r="T99" s="652">
        <f t="shared" si="43"/>
        <v>0</v>
      </c>
      <c r="U99" s="652">
        <f t="shared" si="44"/>
        <v>0</v>
      </c>
      <c r="V99" s="651">
        <f t="array" ref="V99">IFERROR(INDEX('HIV-Pharmaceuticals'!$R$14:$R$99,MATCH($E99&amp;$F99,'HIV-Pharmaceuticals'!$E$14:$E$99&amp;'HIV-Pharmaceuticals'!$I$14:$I$99,0)),0)</f>
        <v>0</v>
      </c>
      <c r="W99" s="652">
        <f t="shared" si="45"/>
        <v>0</v>
      </c>
      <c r="X99" s="652">
        <f t="shared" si="46"/>
        <v>0</v>
      </c>
      <c r="Y99" s="652">
        <f t="shared" si="47"/>
        <v>0</v>
      </c>
      <c r="Z99" s="653"/>
      <c r="AA99" s="651">
        <f t="array" ref="AA99">IFERROR(INDEX('HIV-Pharmaceuticals'!$U$14:$U$99,MATCH($E99&amp;$F99,'HIV-Pharmaceuticals'!$E$14:$E$99&amp;'HIV-Pharmaceuticals'!$I$14:$I$99,0)),0)</f>
        <v>0</v>
      </c>
      <c r="AB99" s="651">
        <f t="array" ref="AB99">IFERROR(INDEX('HIV-Pharmaceuticals'!$V$14:$V$99,MATCH($E99&amp;$F99,'HIV-Pharmaceuticals'!$E$14:$E$99&amp;'HIV-Pharmaceuticals'!$I$14:$I$99,0)),0)</f>
        <v>0</v>
      </c>
      <c r="AC99" s="652">
        <f t="shared" si="48"/>
        <v>0</v>
      </c>
      <c r="AD99" s="652">
        <f t="shared" si="49"/>
        <v>0</v>
      </c>
      <c r="AE99" s="652">
        <f t="shared" si="50"/>
        <v>0</v>
      </c>
      <c r="AF99" s="651">
        <f t="array" ref="AF99">IFERROR(INDEX('HIV-Pharmaceuticals'!$W$14:$W$99,MATCH($E99&amp;$F99,'HIV-Pharmaceuticals'!$E$14:$E$99&amp;'HIV-Pharmaceuticals'!$I$14:$I$99,0)),0)</f>
        <v>0</v>
      </c>
      <c r="AG99" s="652">
        <f t="shared" si="51"/>
        <v>0</v>
      </c>
      <c r="AH99" s="652">
        <f t="shared" si="52"/>
        <v>0</v>
      </c>
      <c r="AI99" s="652">
        <f t="shared" si="53"/>
        <v>0</v>
      </c>
      <c r="AJ99" s="651">
        <f t="array" ref="AJ99">IFERROR(INDEX('HIV-Pharmaceuticals'!$X$14:$X$99,MATCH($E99&amp;$F99,'HIV-Pharmaceuticals'!$E$14:$E$99&amp;'HIV-Pharmaceuticals'!$I$14:$I$99,0)),0)</f>
        <v>0</v>
      </c>
      <c r="AK99" s="652">
        <f t="shared" si="54"/>
        <v>0</v>
      </c>
      <c r="AL99" s="652">
        <f t="shared" si="55"/>
        <v>0</v>
      </c>
      <c r="AM99" s="652">
        <f t="shared" si="56"/>
        <v>0</v>
      </c>
      <c r="AN99" s="651">
        <f t="array" ref="AN99">IFERROR(INDEX('HIV-Pharmaceuticals'!$Y$14:$Y$99,MATCH($E99&amp;$F99,'HIV-Pharmaceuticals'!$E$14:$E$99&amp;'HIV-Pharmaceuticals'!$I$14:$I$99,0)),0)</f>
        <v>0</v>
      </c>
      <c r="AO99" s="652">
        <f t="shared" si="57"/>
        <v>0</v>
      </c>
      <c r="AP99" s="652">
        <f t="shared" si="58"/>
        <v>0</v>
      </c>
      <c r="AQ99" s="652">
        <f t="shared" si="59"/>
        <v>0</v>
      </c>
      <c r="AR99" s="653"/>
      <c r="AS99" s="651">
        <f t="array" ref="AS99">IFERROR(INDEX('HIV-Pharmaceuticals'!$AB$14:$AB$99,MATCH($E99&amp;$F99,'HIV-Pharmaceuticals'!$E$14:$E$99&amp;'HIV-Pharmaceuticals'!$I$14:$I$99,0)),0)</f>
        <v>0</v>
      </c>
      <c r="AT99" s="651">
        <f t="array" ref="AT99">IFERROR(INDEX('HIV-Pharmaceuticals'!$AC$14:$AC$99,MATCH($E99&amp;$F99,'HIV-Pharmaceuticals'!$E$14:$E$99&amp;'HIV-Pharmaceuticals'!$I$14:$I$99,0)),0)</f>
        <v>0</v>
      </c>
      <c r="AU99" s="652">
        <f t="shared" si="60"/>
        <v>0</v>
      </c>
      <c r="AV99" s="652">
        <f t="shared" si="61"/>
        <v>0</v>
      </c>
      <c r="AW99" s="652">
        <f t="shared" si="62"/>
        <v>0</v>
      </c>
      <c r="AX99" s="651">
        <f t="array" ref="AX99">IFERROR(INDEX('HIV-Pharmaceuticals'!$AD$14:$AD$99,MATCH($E99&amp;$F99,'HIV-Pharmaceuticals'!$E$14:$E$99&amp;'HIV-Pharmaceuticals'!$I$14:$I$99,0)),0)</f>
        <v>0</v>
      </c>
      <c r="AY99" s="652">
        <f t="shared" si="63"/>
        <v>0</v>
      </c>
      <c r="AZ99" s="652">
        <f t="shared" si="64"/>
        <v>0</v>
      </c>
      <c r="BA99" s="652">
        <f t="shared" si="65"/>
        <v>0</v>
      </c>
      <c r="BB99" s="651">
        <f t="array" ref="BB99">IFERROR(INDEX('HIV-Pharmaceuticals'!$AE$14:$AE$99,MATCH($E99&amp;$F99,'HIV-Pharmaceuticals'!$E$14:$E$99&amp;'HIV-Pharmaceuticals'!$I$14:$I$99,0)),0)</f>
        <v>0</v>
      </c>
      <c r="BC99" s="652">
        <f t="shared" si="66"/>
        <v>0</v>
      </c>
      <c r="BD99" s="652">
        <f t="shared" si="67"/>
        <v>0</v>
      </c>
      <c r="BE99" s="652">
        <f t="shared" si="68"/>
        <v>0</v>
      </c>
      <c r="BF99" s="651">
        <f t="array" ref="BF99">IFERROR(INDEX('HIV-Pharmaceuticals'!$AF$14:$AF$99,MATCH($E99&amp;$F99,'HIV-Pharmaceuticals'!$E$14:$E$99&amp;'HIV-Pharmaceuticals'!$I$14:$I$99,0)),0)</f>
        <v>0</v>
      </c>
      <c r="BG99" s="652">
        <f t="shared" si="69"/>
        <v>0</v>
      </c>
      <c r="BH99" s="652">
        <f t="shared" si="70"/>
        <v>0</v>
      </c>
      <c r="BI99" s="652">
        <f t="shared" si="71"/>
        <v>0</v>
      </c>
      <c r="BK99" s="654"/>
      <c r="BL99" s="654"/>
      <c r="BM99" s="654"/>
      <c r="BN99" s="654"/>
      <c r="BO99" s="654"/>
      <c r="BP99" s="654"/>
      <c r="BQ99" s="654"/>
      <c r="BR99" s="654"/>
    </row>
    <row r="100" spans="1:70" s="646" customFormat="1">
      <c r="A100" s="647" t="s">
        <v>561</v>
      </c>
      <c r="B100" s="647" t="s">
        <v>819</v>
      </c>
      <c r="C100" s="648">
        <f>SETUP!$F$20</f>
        <v>0</v>
      </c>
      <c r="D100" s="649">
        <v>4.0999999999999996</v>
      </c>
      <c r="E100" s="647" t="s">
        <v>132</v>
      </c>
      <c r="F100" s="647" t="s">
        <v>1680</v>
      </c>
      <c r="G100" s="650" t="str">
        <f t="array" ref="G100">IFERROR(INDEX('HIV-Pharmaceuticals'!$L$14:$L$99,MATCH($E100&amp;$F100,'HIV-Pharmaceuticals'!$E$14:$E$99&amp;'HIV-Pharmaceuticals'!$I$14:$I$99,0)),"")</f>
        <v/>
      </c>
      <c r="H100" s="650" t="str">
        <f t="array" ref="H100">IFERROR(INDEX('HIV-Pharmaceuticals'!$M$14:$M$99,MATCH($E100&amp;$F100,'HIV-Pharmaceuticals'!$E$14:$E$99&amp;'HIV-Pharmaceuticals'!$I$14:$I$99,0)),"")</f>
        <v/>
      </c>
      <c r="I100" s="651">
        <f t="array" ref="I100">IFERROR(INDEX('HIV-Pharmaceuticals'!$N$14:$N$99,MATCH($E100&amp;$F100,'HIV-Pharmaceuticals'!$E$14:$E$99&amp;'HIV-Pharmaceuticals'!$I$14:$I$99,0)),0)</f>
        <v>0</v>
      </c>
      <c r="J100" s="651">
        <f t="array" ref="J100">IFERROR(INDEX('HIV-Pharmaceuticals'!$O$14:$O$99,MATCH($E100&amp;$F100,'HIV-Pharmaceuticals'!$E$14:$E$99&amp;'HIV-Pharmaceuticals'!$I$14:$I$99,0)),0)</f>
        <v>0</v>
      </c>
      <c r="K100" s="652">
        <f t="shared" si="36"/>
        <v>0</v>
      </c>
      <c r="L100" s="652">
        <f t="shared" si="37"/>
        <v>0</v>
      </c>
      <c r="M100" s="652">
        <f t="shared" si="38"/>
        <v>0</v>
      </c>
      <c r="N100" s="651">
        <f t="array" ref="N100">IFERROR(INDEX('HIV-Pharmaceuticals'!$P$14:$P$99,MATCH($E100&amp;$F100,'HIV-Pharmaceuticals'!$E$14:$E$99&amp;'HIV-Pharmaceuticals'!$I$14:$I$99,0)),0)</f>
        <v>0</v>
      </c>
      <c r="O100" s="652">
        <f t="shared" si="39"/>
        <v>0</v>
      </c>
      <c r="P100" s="652">
        <f t="shared" si="40"/>
        <v>0</v>
      </c>
      <c r="Q100" s="652">
        <f t="shared" si="41"/>
        <v>0</v>
      </c>
      <c r="R100" s="651">
        <f t="array" ref="R100">IFERROR(INDEX('HIV-Pharmaceuticals'!$Q$14:$Q$99,MATCH($E100&amp;$F100,'HIV-Pharmaceuticals'!$E$14:$E$99&amp;'HIV-Pharmaceuticals'!$I$14:$I$99,0)),0)</f>
        <v>0</v>
      </c>
      <c r="S100" s="652">
        <f t="shared" si="42"/>
        <v>0</v>
      </c>
      <c r="T100" s="652">
        <f t="shared" si="43"/>
        <v>0</v>
      </c>
      <c r="U100" s="652">
        <f t="shared" si="44"/>
        <v>0</v>
      </c>
      <c r="V100" s="651">
        <f t="array" ref="V100">IFERROR(INDEX('HIV-Pharmaceuticals'!$R$14:$R$99,MATCH($E100&amp;$F100,'HIV-Pharmaceuticals'!$E$14:$E$99&amp;'HIV-Pharmaceuticals'!$I$14:$I$99,0)),0)</f>
        <v>0</v>
      </c>
      <c r="W100" s="652">
        <f t="shared" si="45"/>
        <v>0</v>
      </c>
      <c r="X100" s="652">
        <f t="shared" si="46"/>
        <v>0</v>
      </c>
      <c r="Y100" s="652">
        <f t="shared" si="47"/>
        <v>0</v>
      </c>
      <c r="Z100" s="653"/>
      <c r="AA100" s="651">
        <f t="array" ref="AA100">IFERROR(INDEX('HIV-Pharmaceuticals'!$U$14:$U$99,MATCH($E100&amp;$F100,'HIV-Pharmaceuticals'!$E$14:$E$99&amp;'HIV-Pharmaceuticals'!$I$14:$I$99,0)),0)</f>
        <v>0</v>
      </c>
      <c r="AB100" s="651">
        <f t="array" ref="AB100">IFERROR(INDEX('HIV-Pharmaceuticals'!$V$14:$V$99,MATCH($E100&amp;$F100,'HIV-Pharmaceuticals'!$E$14:$E$99&amp;'HIV-Pharmaceuticals'!$I$14:$I$99,0)),0)</f>
        <v>0</v>
      </c>
      <c r="AC100" s="652">
        <f t="shared" si="48"/>
        <v>0</v>
      </c>
      <c r="AD100" s="652">
        <f t="shared" si="49"/>
        <v>0</v>
      </c>
      <c r="AE100" s="652">
        <f t="shared" si="50"/>
        <v>0</v>
      </c>
      <c r="AF100" s="651">
        <f t="array" ref="AF100">IFERROR(INDEX('HIV-Pharmaceuticals'!$W$14:$W$99,MATCH($E100&amp;$F100,'HIV-Pharmaceuticals'!$E$14:$E$99&amp;'HIV-Pharmaceuticals'!$I$14:$I$99,0)),0)</f>
        <v>0</v>
      </c>
      <c r="AG100" s="652">
        <f t="shared" si="51"/>
        <v>0</v>
      </c>
      <c r="AH100" s="652">
        <f t="shared" si="52"/>
        <v>0</v>
      </c>
      <c r="AI100" s="652">
        <f t="shared" si="53"/>
        <v>0</v>
      </c>
      <c r="AJ100" s="651">
        <f t="array" ref="AJ100">IFERROR(INDEX('HIV-Pharmaceuticals'!$X$14:$X$99,MATCH($E100&amp;$F100,'HIV-Pharmaceuticals'!$E$14:$E$99&amp;'HIV-Pharmaceuticals'!$I$14:$I$99,0)),0)</f>
        <v>0</v>
      </c>
      <c r="AK100" s="652">
        <f t="shared" si="54"/>
        <v>0</v>
      </c>
      <c r="AL100" s="652">
        <f t="shared" si="55"/>
        <v>0</v>
      </c>
      <c r="AM100" s="652">
        <f t="shared" si="56"/>
        <v>0</v>
      </c>
      <c r="AN100" s="651">
        <f t="array" ref="AN100">IFERROR(INDEX('HIV-Pharmaceuticals'!$Y$14:$Y$99,MATCH($E100&amp;$F100,'HIV-Pharmaceuticals'!$E$14:$E$99&amp;'HIV-Pharmaceuticals'!$I$14:$I$99,0)),0)</f>
        <v>0</v>
      </c>
      <c r="AO100" s="652">
        <f t="shared" si="57"/>
        <v>0</v>
      </c>
      <c r="AP100" s="652">
        <f t="shared" si="58"/>
        <v>0</v>
      </c>
      <c r="AQ100" s="652">
        <f t="shared" si="59"/>
        <v>0</v>
      </c>
      <c r="AR100" s="653"/>
      <c r="AS100" s="651">
        <f t="array" ref="AS100">IFERROR(INDEX('HIV-Pharmaceuticals'!$AB$14:$AB$99,MATCH($E100&amp;$F100,'HIV-Pharmaceuticals'!$E$14:$E$99&amp;'HIV-Pharmaceuticals'!$I$14:$I$99,0)),0)</f>
        <v>0</v>
      </c>
      <c r="AT100" s="651">
        <f t="array" ref="AT100">IFERROR(INDEX('HIV-Pharmaceuticals'!$AC$14:$AC$99,MATCH($E100&amp;$F100,'HIV-Pharmaceuticals'!$E$14:$E$99&amp;'HIV-Pharmaceuticals'!$I$14:$I$99,0)),0)</f>
        <v>0</v>
      </c>
      <c r="AU100" s="652">
        <f t="shared" si="60"/>
        <v>0</v>
      </c>
      <c r="AV100" s="652">
        <f t="shared" si="61"/>
        <v>0</v>
      </c>
      <c r="AW100" s="652">
        <f t="shared" si="62"/>
        <v>0</v>
      </c>
      <c r="AX100" s="651">
        <f t="array" ref="AX100">IFERROR(INDEX('HIV-Pharmaceuticals'!$AD$14:$AD$99,MATCH($E100&amp;$F100,'HIV-Pharmaceuticals'!$E$14:$E$99&amp;'HIV-Pharmaceuticals'!$I$14:$I$99,0)),0)</f>
        <v>0</v>
      </c>
      <c r="AY100" s="652">
        <f t="shared" si="63"/>
        <v>0</v>
      </c>
      <c r="AZ100" s="652">
        <f t="shared" si="64"/>
        <v>0</v>
      </c>
      <c r="BA100" s="652">
        <f t="shared" si="65"/>
        <v>0</v>
      </c>
      <c r="BB100" s="651">
        <f t="array" ref="BB100">IFERROR(INDEX('HIV-Pharmaceuticals'!$AE$14:$AE$99,MATCH($E100&amp;$F100,'HIV-Pharmaceuticals'!$E$14:$E$99&amp;'HIV-Pharmaceuticals'!$I$14:$I$99,0)),0)</f>
        <v>0</v>
      </c>
      <c r="BC100" s="652">
        <f t="shared" si="66"/>
        <v>0</v>
      </c>
      <c r="BD100" s="652">
        <f t="shared" si="67"/>
        <v>0</v>
      </c>
      <c r="BE100" s="652">
        <f t="shared" si="68"/>
        <v>0</v>
      </c>
      <c r="BF100" s="651">
        <f t="array" ref="BF100">IFERROR(INDEX('HIV-Pharmaceuticals'!$AF$14:$AF$99,MATCH($E100&amp;$F100,'HIV-Pharmaceuticals'!$E$14:$E$99&amp;'HIV-Pharmaceuticals'!$I$14:$I$99,0)),0)</f>
        <v>0</v>
      </c>
      <c r="BG100" s="652">
        <f t="shared" si="69"/>
        <v>0</v>
      </c>
      <c r="BH100" s="652">
        <f t="shared" si="70"/>
        <v>0</v>
      </c>
      <c r="BI100" s="652">
        <f t="shared" si="71"/>
        <v>0</v>
      </c>
      <c r="BK100" s="654"/>
      <c r="BL100" s="654"/>
      <c r="BM100" s="654"/>
      <c r="BN100" s="654"/>
      <c r="BO100" s="654"/>
      <c r="BP100" s="654"/>
      <c r="BQ100" s="654"/>
      <c r="BR100" s="654"/>
    </row>
    <row r="101" spans="1:70" s="646" customFormat="1">
      <c r="A101" s="647" t="s">
        <v>561</v>
      </c>
      <c r="B101" s="647" t="s">
        <v>819</v>
      </c>
      <c r="C101" s="648">
        <f>SETUP!$F$20</f>
        <v>0</v>
      </c>
      <c r="D101" s="649">
        <v>4.0999999999999996</v>
      </c>
      <c r="E101" s="647" t="s">
        <v>132</v>
      </c>
      <c r="F101" s="647" t="s">
        <v>1681</v>
      </c>
      <c r="G101" s="650" t="str">
        <f t="array" ref="G101">IFERROR(INDEX('HIV-Pharmaceuticals'!$L$14:$L$99,MATCH($E101&amp;$F101,'HIV-Pharmaceuticals'!$E$14:$E$99&amp;'HIV-Pharmaceuticals'!$I$14:$I$99,0)),"")</f>
        <v/>
      </c>
      <c r="H101" s="650" t="str">
        <f t="array" ref="H101">IFERROR(INDEX('HIV-Pharmaceuticals'!$M$14:$M$99,MATCH($E101&amp;$F101,'HIV-Pharmaceuticals'!$E$14:$E$99&amp;'HIV-Pharmaceuticals'!$I$14:$I$99,0)),"")</f>
        <v/>
      </c>
      <c r="I101" s="651">
        <f t="array" ref="I101">IFERROR(INDEX('HIV-Pharmaceuticals'!$N$14:$N$99,MATCH($E101&amp;$F101,'HIV-Pharmaceuticals'!$E$14:$E$99&amp;'HIV-Pharmaceuticals'!$I$14:$I$99,0)),0)</f>
        <v>0</v>
      </c>
      <c r="J101" s="651">
        <f t="array" ref="J101">IFERROR(INDEX('HIV-Pharmaceuticals'!$O$14:$O$99,MATCH($E101&amp;$F101,'HIV-Pharmaceuticals'!$E$14:$E$99&amp;'HIV-Pharmaceuticals'!$I$14:$I$99,0)),0)</f>
        <v>0</v>
      </c>
      <c r="K101" s="652">
        <f t="shared" si="36"/>
        <v>0</v>
      </c>
      <c r="L101" s="652">
        <f t="shared" si="37"/>
        <v>0</v>
      </c>
      <c r="M101" s="652">
        <f t="shared" si="38"/>
        <v>0</v>
      </c>
      <c r="N101" s="651">
        <f t="array" ref="N101">IFERROR(INDEX('HIV-Pharmaceuticals'!$P$14:$P$99,MATCH($E101&amp;$F101,'HIV-Pharmaceuticals'!$E$14:$E$99&amp;'HIV-Pharmaceuticals'!$I$14:$I$99,0)),0)</f>
        <v>0</v>
      </c>
      <c r="O101" s="652">
        <f t="shared" si="39"/>
        <v>0</v>
      </c>
      <c r="P101" s="652">
        <f t="shared" si="40"/>
        <v>0</v>
      </c>
      <c r="Q101" s="652">
        <f t="shared" si="41"/>
        <v>0</v>
      </c>
      <c r="R101" s="651">
        <f t="array" ref="R101">IFERROR(INDEX('HIV-Pharmaceuticals'!$Q$14:$Q$99,MATCH($E101&amp;$F101,'HIV-Pharmaceuticals'!$E$14:$E$99&amp;'HIV-Pharmaceuticals'!$I$14:$I$99,0)),0)</f>
        <v>0</v>
      </c>
      <c r="S101" s="652">
        <f t="shared" si="42"/>
        <v>0</v>
      </c>
      <c r="T101" s="652">
        <f t="shared" si="43"/>
        <v>0</v>
      </c>
      <c r="U101" s="652">
        <f t="shared" si="44"/>
        <v>0</v>
      </c>
      <c r="V101" s="651">
        <f t="array" ref="V101">IFERROR(INDEX('HIV-Pharmaceuticals'!$R$14:$R$99,MATCH($E101&amp;$F101,'HIV-Pharmaceuticals'!$E$14:$E$99&amp;'HIV-Pharmaceuticals'!$I$14:$I$99,0)),0)</f>
        <v>0</v>
      </c>
      <c r="W101" s="652">
        <f t="shared" si="45"/>
        <v>0</v>
      </c>
      <c r="X101" s="652">
        <f t="shared" si="46"/>
        <v>0</v>
      </c>
      <c r="Y101" s="652">
        <f t="shared" si="47"/>
        <v>0</v>
      </c>
      <c r="Z101" s="653"/>
      <c r="AA101" s="651">
        <f t="array" ref="AA101">IFERROR(INDEX('HIV-Pharmaceuticals'!$U$14:$U$99,MATCH($E101&amp;$F101,'HIV-Pharmaceuticals'!$E$14:$E$99&amp;'HIV-Pharmaceuticals'!$I$14:$I$99,0)),0)</f>
        <v>0</v>
      </c>
      <c r="AB101" s="651">
        <f t="array" ref="AB101">IFERROR(INDEX('HIV-Pharmaceuticals'!$V$14:$V$99,MATCH($E101&amp;$F101,'HIV-Pharmaceuticals'!$E$14:$E$99&amp;'HIV-Pharmaceuticals'!$I$14:$I$99,0)),0)</f>
        <v>0</v>
      </c>
      <c r="AC101" s="652">
        <f t="shared" si="48"/>
        <v>0</v>
      </c>
      <c r="AD101" s="652">
        <f t="shared" si="49"/>
        <v>0</v>
      </c>
      <c r="AE101" s="652">
        <f t="shared" si="50"/>
        <v>0</v>
      </c>
      <c r="AF101" s="651">
        <f t="array" ref="AF101">IFERROR(INDEX('HIV-Pharmaceuticals'!$W$14:$W$99,MATCH($E101&amp;$F101,'HIV-Pharmaceuticals'!$E$14:$E$99&amp;'HIV-Pharmaceuticals'!$I$14:$I$99,0)),0)</f>
        <v>0</v>
      </c>
      <c r="AG101" s="652">
        <f t="shared" si="51"/>
        <v>0</v>
      </c>
      <c r="AH101" s="652">
        <f t="shared" si="52"/>
        <v>0</v>
      </c>
      <c r="AI101" s="652">
        <f t="shared" si="53"/>
        <v>0</v>
      </c>
      <c r="AJ101" s="651">
        <f t="array" ref="AJ101">IFERROR(INDEX('HIV-Pharmaceuticals'!$X$14:$X$99,MATCH($E101&amp;$F101,'HIV-Pharmaceuticals'!$E$14:$E$99&amp;'HIV-Pharmaceuticals'!$I$14:$I$99,0)),0)</f>
        <v>0</v>
      </c>
      <c r="AK101" s="652">
        <f t="shared" si="54"/>
        <v>0</v>
      </c>
      <c r="AL101" s="652">
        <f t="shared" si="55"/>
        <v>0</v>
      </c>
      <c r="AM101" s="652">
        <f t="shared" si="56"/>
        <v>0</v>
      </c>
      <c r="AN101" s="651">
        <f t="array" ref="AN101">IFERROR(INDEX('HIV-Pharmaceuticals'!$Y$14:$Y$99,MATCH($E101&amp;$F101,'HIV-Pharmaceuticals'!$E$14:$E$99&amp;'HIV-Pharmaceuticals'!$I$14:$I$99,0)),0)</f>
        <v>0</v>
      </c>
      <c r="AO101" s="652">
        <f t="shared" si="57"/>
        <v>0</v>
      </c>
      <c r="AP101" s="652">
        <f t="shared" si="58"/>
        <v>0</v>
      </c>
      <c r="AQ101" s="652">
        <f t="shared" si="59"/>
        <v>0</v>
      </c>
      <c r="AR101" s="653"/>
      <c r="AS101" s="651">
        <f t="array" ref="AS101">IFERROR(INDEX('HIV-Pharmaceuticals'!$AB$14:$AB$99,MATCH($E101&amp;$F101,'HIV-Pharmaceuticals'!$E$14:$E$99&amp;'HIV-Pharmaceuticals'!$I$14:$I$99,0)),0)</f>
        <v>0</v>
      </c>
      <c r="AT101" s="651">
        <f t="array" ref="AT101">IFERROR(INDEX('HIV-Pharmaceuticals'!$AC$14:$AC$99,MATCH($E101&amp;$F101,'HIV-Pharmaceuticals'!$E$14:$E$99&amp;'HIV-Pharmaceuticals'!$I$14:$I$99,0)),0)</f>
        <v>0</v>
      </c>
      <c r="AU101" s="652">
        <f t="shared" si="60"/>
        <v>0</v>
      </c>
      <c r="AV101" s="652">
        <f t="shared" si="61"/>
        <v>0</v>
      </c>
      <c r="AW101" s="652">
        <f t="shared" si="62"/>
        <v>0</v>
      </c>
      <c r="AX101" s="651">
        <f t="array" ref="AX101">IFERROR(INDEX('HIV-Pharmaceuticals'!$AD$14:$AD$99,MATCH($E101&amp;$F101,'HIV-Pharmaceuticals'!$E$14:$E$99&amp;'HIV-Pharmaceuticals'!$I$14:$I$99,0)),0)</f>
        <v>0</v>
      </c>
      <c r="AY101" s="652">
        <f t="shared" si="63"/>
        <v>0</v>
      </c>
      <c r="AZ101" s="652">
        <f t="shared" si="64"/>
        <v>0</v>
      </c>
      <c r="BA101" s="652">
        <f t="shared" si="65"/>
        <v>0</v>
      </c>
      <c r="BB101" s="651">
        <f t="array" ref="BB101">IFERROR(INDEX('HIV-Pharmaceuticals'!$AE$14:$AE$99,MATCH($E101&amp;$F101,'HIV-Pharmaceuticals'!$E$14:$E$99&amp;'HIV-Pharmaceuticals'!$I$14:$I$99,0)),0)</f>
        <v>0</v>
      </c>
      <c r="BC101" s="652">
        <f t="shared" si="66"/>
        <v>0</v>
      </c>
      <c r="BD101" s="652">
        <f t="shared" si="67"/>
        <v>0</v>
      </c>
      <c r="BE101" s="652">
        <f t="shared" si="68"/>
        <v>0</v>
      </c>
      <c r="BF101" s="651">
        <f t="array" ref="BF101">IFERROR(INDEX('HIV-Pharmaceuticals'!$AF$14:$AF$99,MATCH($E101&amp;$F101,'HIV-Pharmaceuticals'!$E$14:$E$99&amp;'HIV-Pharmaceuticals'!$I$14:$I$99,0)),0)</f>
        <v>0</v>
      </c>
      <c r="BG101" s="652">
        <f t="shared" si="69"/>
        <v>0</v>
      </c>
      <c r="BH101" s="652">
        <f t="shared" si="70"/>
        <v>0</v>
      </c>
      <c r="BI101" s="652">
        <f t="shared" si="71"/>
        <v>0</v>
      </c>
      <c r="BK101" s="654"/>
      <c r="BL101" s="654"/>
      <c r="BM101" s="654"/>
      <c r="BN101" s="654"/>
      <c r="BO101" s="654"/>
      <c r="BP101" s="654"/>
      <c r="BQ101" s="654"/>
      <c r="BR101" s="654"/>
    </row>
    <row r="102" spans="1:70" s="646" customFormat="1">
      <c r="A102" s="647" t="s">
        <v>563</v>
      </c>
      <c r="B102" s="647" t="s">
        <v>819</v>
      </c>
      <c r="C102" s="648">
        <f>SETUP!$F$21</f>
        <v>0</v>
      </c>
      <c r="D102" s="649">
        <v>4.4000000000000004</v>
      </c>
      <c r="E102" s="647" t="s">
        <v>133</v>
      </c>
      <c r="F102" s="647" t="s">
        <v>140</v>
      </c>
      <c r="G102" s="650" t="str">
        <f t="array" ref="G102">IFERROR(INDEX('HIV-Pharmaceuticals'!$L$14:$L$99,MATCH($E102&amp;$F102,'HIV-Pharmaceuticals'!$E$14:$E$99&amp;'HIV-Pharmaceuticals'!$I$14:$I$99,0)),"")</f>
        <v/>
      </c>
      <c r="H102" s="650" t="str">
        <f t="array" ref="H102">IFERROR(INDEX('HIV-Pharmaceuticals'!$M$14:$M$99,MATCH($E102&amp;$F102,'HIV-Pharmaceuticals'!$E$14:$E$99&amp;'HIV-Pharmaceuticals'!$I$14:$I$99,0)),"")</f>
        <v/>
      </c>
      <c r="I102" s="651">
        <f t="array" ref="I102">IFERROR(INDEX('HIV-Pharmaceuticals'!$N$14:$N$99,MATCH($E102&amp;$F102,'HIV-Pharmaceuticals'!$E$14:$E$99&amp;'HIV-Pharmaceuticals'!$I$14:$I$99,0)),0)</f>
        <v>0</v>
      </c>
      <c r="J102" s="651">
        <f t="array" ref="J102">IFERROR(INDEX('HIV-Pharmaceuticals'!$O$14:$O$99,MATCH($E102&amp;$F102,'HIV-Pharmaceuticals'!$E$14:$E$99&amp;'HIV-Pharmaceuticals'!$I$14:$I$99,0)),0)</f>
        <v>0</v>
      </c>
      <c r="K102" s="652">
        <f t="shared" si="36"/>
        <v>0</v>
      </c>
      <c r="L102" s="652">
        <f t="shared" si="37"/>
        <v>0</v>
      </c>
      <c r="M102" s="652">
        <f t="shared" si="38"/>
        <v>0</v>
      </c>
      <c r="N102" s="651">
        <f t="array" ref="N102">IFERROR(INDEX('HIV-Pharmaceuticals'!$P$14:$P$99,MATCH($E102&amp;$F102,'HIV-Pharmaceuticals'!$E$14:$E$99&amp;'HIV-Pharmaceuticals'!$I$14:$I$99,0)),0)</f>
        <v>0</v>
      </c>
      <c r="O102" s="652">
        <f t="shared" si="39"/>
        <v>0</v>
      </c>
      <c r="P102" s="652">
        <f t="shared" si="40"/>
        <v>0</v>
      </c>
      <c r="Q102" s="652">
        <f t="shared" si="41"/>
        <v>0</v>
      </c>
      <c r="R102" s="651">
        <f t="array" ref="R102">IFERROR(INDEX('HIV-Pharmaceuticals'!$Q$14:$Q$99,MATCH($E102&amp;$F102,'HIV-Pharmaceuticals'!$E$14:$E$99&amp;'HIV-Pharmaceuticals'!$I$14:$I$99,0)),0)</f>
        <v>0</v>
      </c>
      <c r="S102" s="652">
        <f t="shared" si="42"/>
        <v>0</v>
      </c>
      <c r="T102" s="652">
        <f t="shared" si="43"/>
        <v>0</v>
      </c>
      <c r="U102" s="652">
        <f t="shared" si="44"/>
        <v>0</v>
      </c>
      <c r="V102" s="651">
        <f t="array" ref="V102">IFERROR(INDEX('HIV-Pharmaceuticals'!$R$14:$R$99,MATCH($E102&amp;$F102,'HIV-Pharmaceuticals'!$E$14:$E$99&amp;'HIV-Pharmaceuticals'!$I$14:$I$99,0)),0)</f>
        <v>0</v>
      </c>
      <c r="W102" s="652">
        <f t="shared" si="45"/>
        <v>0</v>
      </c>
      <c r="X102" s="652">
        <f t="shared" si="46"/>
        <v>0</v>
      </c>
      <c r="Y102" s="652">
        <f t="shared" si="47"/>
        <v>0</v>
      </c>
      <c r="Z102" s="653"/>
      <c r="AA102" s="651">
        <f t="array" ref="AA102">IFERROR(INDEX('HIV-Pharmaceuticals'!$U$14:$U$99,MATCH($E102&amp;$F102,'HIV-Pharmaceuticals'!$E$14:$E$99&amp;'HIV-Pharmaceuticals'!$I$14:$I$99,0)),0)</f>
        <v>0</v>
      </c>
      <c r="AB102" s="651">
        <f t="array" ref="AB102">IFERROR(INDEX('HIV-Pharmaceuticals'!$V$14:$V$99,MATCH($E102&amp;$F102,'HIV-Pharmaceuticals'!$E$14:$E$99&amp;'HIV-Pharmaceuticals'!$I$14:$I$99,0)),0)</f>
        <v>0</v>
      </c>
      <c r="AC102" s="652">
        <f t="shared" si="48"/>
        <v>0</v>
      </c>
      <c r="AD102" s="652">
        <f t="shared" si="49"/>
        <v>0</v>
      </c>
      <c r="AE102" s="652">
        <f t="shared" si="50"/>
        <v>0</v>
      </c>
      <c r="AF102" s="651">
        <f t="array" ref="AF102">IFERROR(INDEX('HIV-Pharmaceuticals'!$W$14:$W$99,MATCH($E102&amp;$F102,'HIV-Pharmaceuticals'!$E$14:$E$99&amp;'HIV-Pharmaceuticals'!$I$14:$I$99,0)),0)</f>
        <v>0</v>
      </c>
      <c r="AG102" s="652">
        <f t="shared" si="51"/>
        <v>0</v>
      </c>
      <c r="AH102" s="652">
        <f t="shared" si="52"/>
        <v>0</v>
      </c>
      <c r="AI102" s="652">
        <f t="shared" si="53"/>
        <v>0</v>
      </c>
      <c r="AJ102" s="651">
        <f t="array" ref="AJ102">IFERROR(INDEX('HIV-Pharmaceuticals'!$X$14:$X$99,MATCH($E102&amp;$F102,'HIV-Pharmaceuticals'!$E$14:$E$99&amp;'HIV-Pharmaceuticals'!$I$14:$I$99,0)),0)</f>
        <v>0</v>
      </c>
      <c r="AK102" s="652">
        <f t="shared" si="54"/>
        <v>0</v>
      </c>
      <c r="AL102" s="652">
        <f t="shared" si="55"/>
        <v>0</v>
      </c>
      <c r="AM102" s="652">
        <f t="shared" si="56"/>
        <v>0</v>
      </c>
      <c r="AN102" s="651">
        <f t="array" ref="AN102">IFERROR(INDEX('HIV-Pharmaceuticals'!$Y$14:$Y$99,MATCH($E102&amp;$F102,'HIV-Pharmaceuticals'!$E$14:$E$99&amp;'HIV-Pharmaceuticals'!$I$14:$I$99,0)),0)</f>
        <v>0</v>
      </c>
      <c r="AO102" s="652">
        <f t="shared" si="57"/>
        <v>0</v>
      </c>
      <c r="AP102" s="652">
        <f t="shared" si="58"/>
        <v>0</v>
      </c>
      <c r="AQ102" s="652">
        <f t="shared" si="59"/>
        <v>0</v>
      </c>
      <c r="AR102" s="653"/>
      <c r="AS102" s="651">
        <f t="array" ref="AS102">IFERROR(INDEX('HIV-Pharmaceuticals'!$AB$14:$AB$99,MATCH($E102&amp;$F102,'HIV-Pharmaceuticals'!$E$14:$E$99&amp;'HIV-Pharmaceuticals'!$I$14:$I$99,0)),0)</f>
        <v>0</v>
      </c>
      <c r="AT102" s="651">
        <f t="array" ref="AT102">IFERROR(INDEX('HIV-Pharmaceuticals'!$AC$14:$AC$99,MATCH($E102&amp;$F102,'HIV-Pharmaceuticals'!$E$14:$E$99&amp;'HIV-Pharmaceuticals'!$I$14:$I$99,0)),0)</f>
        <v>0</v>
      </c>
      <c r="AU102" s="652">
        <f t="shared" si="60"/>
        <v>0</v>
      </c>
      <c r="AV102" s="652">
        <f t="shared" si="61"/>
        <v>0</v>
      </c>
      <c r="AW102" s="652">
        <f t="shared" si="62"/>
        <v>0</v>
      </c>
      <c r="AX102" s="651">
        <f t="array" ref="AX102">IFERROR(INDEX('HIV-Pharmaceuticals'!$AD$14:$AD$99,MATCH($E102&amp;$F102,'HIV-Pharmaceuticals'!$E$14:$E$99&amp;'HIV-Pharmaceuticals'!$I$14:$I$99,0)),0)</f>
        <v>0</v>
      </c>
      <c r="AY102" s="652">
        <f t="shared" si="63"/>
        <v>0</v>
      </c>
      <c r="AZ102" s="652">
        <f t="shared" si="64"/>
        <v>0</v>
      </c>
      <c r="BA102" s="652">
        <f t="shared" si="65"/>
        <v>0</v>
      </c>
      <c r="BB102" s="651">
        <f t="array" ref="BB102">IFERROR(INDEX('HIV-Pharmaceuticals'!$AE$14:$AE$99,MATCH($E102&amp;$F102,'HIV-Pharmaceuticals'!$E$14:$E$99&amp;'HIV-Pharmaceuticals'!$I$14:$I$99,0)),0)</f>
        <v>0</v>
      </c>
      <c r="BC102" s="652">
        <f t="shared" si="66"/>
        <v>0</v>
      </c>
      <c r="BD102" s="652">
        <f t="shared" si="67"/>
        <v>0</v>
      </c>
      <c r="BE102" s="652">
        <f t="shared" si="68"/>
        <v>0</v>
      </c>
      <c r="BF102" s="651">
        <f t="array" ref="BF102">IFERROR(INDEX('HIV-Pharmaceuticals'!$AF$14:$AF$99,MATCH($E102&amp;$F102,'HIV-Pharmaceuticals'!$E$14:$E$99&amp;'HIV-Pharmaceuticals'!$I$14:$I$99,0)),0)</f>
        <v>0</v>
      </c>
      <c r="BG102" s="652">
        <f t="shared" si="69"/>
        <v>0</v>
      </c>
      <c r="BH102" s="652">
        <f t="shared" si="70"/>
        <v>0</v>
      </c>
      <c r="BI102" s="652">
        <f t="shared" si="71"/>
        <v>0</v>
      </c>
      <c r="BK102" s="654"/>
      <c r="BL102" s="654"/>
      <c r="BM102" s="654"/>
      <c r="BN102" s="654"/>
      <c r="BO102" s="654"/>
      <c r="BP102" s="654"/>
      <c r="BQ102" s="654"/>
      <c r="BR102" s="654"/>
    </row>
    <row r="103" spans="1:70" s="646" customFormat="1">
      <c r="A103" s="647" t="s">
        <v>563</v>
      </c>
      <c r="B103" s="647" t="s">
        <v>819</v>
      </c>
      <c r="C103" s="648">
        <f>SETUP!$F$21</f>
        <v>0</v>
      </c>
      <c r="D103" s="649">
        <v>4.4000000000000004</v>
      </c>
      <c r="E103" s="647" t="s">
        <v>133</v>
      </c>
      <c r="F103" s="647" t="s">
        <v>141</v>
      </c>
      <c r="G103" s="650" t="str">
        <f t="array" ref="G103">IFERROR(INDEX('HIV-Pharmaceuticals'!$L$14:$L$99,MATCH($E103&amp;$F103,'HIV-Pharmaceuticals'!$E$14:$E$99&amp;'HIV-Pharmaceuticals'!$I$14:$I$99,0)),"")</f>
        <v/>
      </c>
      <c r="H103" s="650" t="str">
        <f t="array" ref="H103">IFERROR(INDEX('HIV-Pharmaceuticals'!$M$14:$M$99,MATCH($E103&amp;$F103,'HIV-Pharmaceuticals'!$E$14:$E$99&amp;'HIV-Pharmaceuticals'!$I$14:$I$99,0)),"")</f>
        <v/>
      </c>
      <c r="I103" s="651">
        <f t="array" ref="I103">IFERROR(INDEX('HIV-Pharmaceuticals'!$N$14:$N$99,MATCH($E103&amp;$F103,'HIV-Pharmaceuticals'!$E$14:$E$99&amp;'HIV-Pharmaceuticals'!$I$14:$I$99,0)),0)</f>
        <v>0</v>
      </c>
      <c r="J103" s="651">
        <f t="array" ref="J103">IFERROR(INDEX('HIV-Pharmaceuticals'!$O$14:$O$99,MATCH($E103&amp;$F103,'HIV-Pharmaceuticals'!$E$14:$E$99&amp;'HIV-Pharmaceuticals'!$I$14:$I$99,0)),0)</f>
        <v>0</v>
      </c>
      <c r="K103" s="652">
        <f t="shared" si="36"/>
        <v>0</v>
      </c>
      <c r="L103" s="652">
        <f t="shared" si="37"/>
        <v>0</v>
      </c>
      <c r="M103" s="652">
        <f t="shared" si="38"/>
        <v>0</v>
      </c>
      <c r="N103" s="651">
        <f t="array" ref="N103">IFERROR(INDEX('HIV-Pharmaceuticals'!$P$14:$P$99,MATCH($E103&amp;$F103,'HIV-Pharmaceuticals'!$E$14:$E$99&amp;'HIV-Pharmaceuticals'!$I$14:$I$99,0)),0)</f>
        <v>0</v>
      </c>
      <c r="O103" s="652">
        <f t="shared" si="39"/>
        <v>0</v>
      </c>
      <c r="P103" s="652">
        <f t="shared" si="40"/>
        <v>0</v>
      </c>
      <c r="Q103" s="652">
        <f t="shared" si="41"/>
        <v>0</v>
      </c>
      <c r="R103" s="651">
        <f t="array" ref="R103">IFERROR(INDEX('HIV-Pharmaceuticals'!$Q$14:$Q$99,MATCH($E103&amp;$F103,'HIV-Pharmaceuticals'!$E$14:$E$99&amp;'HIV-Pharmaceuticals'!$I$14:$I$99,0)),0)</f>
        <v>0</v>
      </c>
      <c r="S103" s="652">
        <f t="shared" si="42"/>
        <v>0</v>
      </c>
      <c r="T103" s="652">
        <f t="shared" si="43"/>
        <v>0</v>
      </c>
      <c r="U103" s="652">
        <f t="shared" si="44"/>
        <v>0</v>
      </c>
      <c r="V103" s="651">
        <f t="array" ref="V103">IFERROR(INDEX('HIV-Pharmaceuticals'!$R$14:$R$99,MATCH($E103&amp;$F103,'HIV-Pharmaceuticals'!$E$14:$E$99&amp;'HIV-Pharmaceuticals'!$I$14:$I$99,0)),0)</f>
        <v>0</v>
      </c>
      <c r="W103" s="652">
        <f t="shared" si="45"/>
        <v>0</v>
      </c>
      <c r="X103" s="652">
        <f t="shared" si="46"/>
        <v>0</v>
      </c>
      <c r="Y103" s="652">
        <f t="shared" si="47"/>
        <v>0</v>
      </c>
      <c r="Z103" s="653"/>
      <c r="AA103" s="651">
        <f t="array" ref="AA103">IFERROR(INDEX('HIV-Pharmaceuticals'!$U$14:$U$99,MATCH($E103&amp;$F103,'HIV-Pharmaceuticals'!$E$14:$E$99&amp;'HIV-Pharmaceuticals'!$I$14:$I$99,0)),0)</f>
        <v>0</v>
      </c>
      <c r="AB103" s="651">
        <f t="array" ref="AB103">IFERROR(INDEX('HIV-Pharmaceuticals'!$V$14:$V$99,MATCH($E103&amp;$F103,'HIV-Pharmaceuticals'!$E$14:$E$99&amp;'HIV-Pharmaceuticals'!$I$14:$I$99,0)),0)</f>
        <v>0</v>
      </c>
      <c r="AC103" s="652">
        <f t="shared" si="48"/>
        <v>0</v>
      </c>
      <c r="AD103" s="652">
        <f t="shared" si="49"/>
        <v>0</v>
      </c>
      <c r="AE103" s="652">
        <f t="shared" si="50"/>
        <v>0</v>
      </c>
      <c r="AF103" s="651">
        <f t="array" ref="AF103">IFERROR(INDEX('HIV-Pharmaceuticals'!$W$14:$W$99,MATCH($E103&amp;$F103,'HIV-Pharmaceuticals'!$E$14:$E$99&amp;'HIV-Pharmaceuticals'!$I$14:$I$99,0)),0)</f>
        <v>0</v>
      </c>
      <c r="AG103" s="652">
        <f t="shared" si="51"/>
        <v>0</v>
      </c>
      <c r="AH103" s="652">
        <f t="shared" si="52"/>
        <v>0</v>
      </c>
      <c r="AI103" s="652">
        <f t="shared" si="53"/>
        <v>0</v>
      </c>
      <c r="AJ103" s="651">
        <f t="array" ref="AJ103">IFERROR(INDEX('HIV-Pharmaceuticals'!$X$14:$X$99,MATCH($E103&amp;$F103,'HIV-Pharmaceuticals'!$E$14:$E$99&amp;'HIV-Pharmaceuticals'!$I$14:$I$99,0)),0)</f>
        <v>0</v>
      </c>
      <c r="AK103" s="652">
        <f t="shared" si="54"/>
        <v>0</v>
      </c>
      <c r="AL103" s="652">
        <f t="shared" si="55"/>
        <v>0</v>
      </c>
      <c r="AM103" s="652">
        <f t="shared" si="56"/>
        <v>0</v>
      </c>
      <c r="AN103" s="651">
        <f t="array" ref="AN103">IFERROR(INDEX('HIV-Pharmaceuticals'!$Y$14:$Y$99,MATCH($E103&amp;$F103,'HIV-Pharmaceuticals'!$E$14:$E$99&amp;'HIV-Pharmaceuticals'!$I$14:$I$99,0)),0)</f>
        <v>0</v>
      </c>
      <c r="AO103" s="652">
        <f t="shared" si="57"/>
        <v>0</v>
      </c>
      <c r="AP103" s="652">
        <f t="shared" si="58"/>
        <v>0</v>
      </c>
      <c r="AQ103" s="652">
        <f t="shared" si="59"/>
        <v>0</v>
      </c>
      <c r="AR103" s="653"/>
      <c r="AS103" s="651">
        <f t="array" ref="AS103">IFERROR(INDEX('HIV-Pharmaceuticals'!$AB$14:$AB$99,MATCH($E103&amp;$F103,'HIV-Pharmaceuticals'!$E$14:$E$99&amp;'HIV-Pharmaceuticals'!$I$14:$I$99,0)),0)</f>
        <v>0</v>
      </c>
      <c r="AT103" s="651">
        <f t="array" ref="AT103">IFERROR(INDEX('HIV-Pharmaceuticals'!$AC$14:$AC$99,MATCH($E103&amp;$F103,'HIV-Pharmaceuticals'!$E$14:$E$99&amp;'HIV-Pharmaceuticals'!$I$14:$I$99,0)),0)</f>
        <v>0</v>
      </c>
      <c r="AU103" s="652">
        <f t="shared" si="60"/>
        <v>0</v>
      </c>
      <c r="AV103" s="652">
        <f t="shared" si="61"/>
        <v>0</v>
      </c>
      <c r="AW103" s="652">
        <f t="shared" si="62"/>
        <v>0</v>
      </c>
      <c r="AX103" s="651">
        <f t="array" ref="AX103">IFERROR(INDEX('HIV-Pharmaceuticals'!$AD$14:$AD$99,MATCH($E103&amp;$F103,'HIV-Pharmaceuticals'!$E$14:$E$99&amp;'HIV-Pharmaceuticals'!$I$14:$I$99,0)),0)</f>
        <v>0</v>
      </c>
      <c r="AY103" s="652">
        <f t="shared" si="63"/>
        <v>0</v>
      </c>
      <c r="AZ103" s="652">
        <f t="shared" si="64"/>
        <v>0</v>
      </c>
      <c r="BA103" s="652">
        <f t="shared" si="65"/>
        <v>0</v>
      </c>
      <c r="BB103" s="651">
        <f t="array" ref="BB103">IFERROR(INDEX('HIV-Pharmaceuticals'!$AE$14:$AE$99,MATCH($E103&amp;$F103,'HIV-Pharmaceuticals'!$E$14:$E$99&amp;'HIV-Pharmaceuticals'!$I$14:$I$99,0)),0)</f>
        <v>0</v>
      </c>
      <c r="BC103" s="652">
        <f t="shared" si="66"/>
        <v>0</v>
      </c>
      <c r="BD103" s="652">
        <f t="shared" si="67"/>
        <v>0</v>
      </c>
      <c r="BE103" s="652">
        <f t="shared" si="68"/>
        <v>0</v>
      </c>
      <c r="BF103" s="651">
        <f t="array" ref="BF103">IFERROR(INDEX('HIV-Pharmaceuticals'!$AF$14:$AF$99,MATCH($E103&amp;$F103,'HIV-Pharmaceuticals'!$E$14:$E$99&amp;'HIV-Pharmaceuticals'!$I$14:$I$99,0)),0)</f>
        <v>0</v>
      </c>
      <c r="BG103" s="652">
        <f t="shared" si="69"/>
        <v>0</v>
      </c>
      <c r="BH103" s="652">
        <f t="shared" si="70"/>
        <v>0</v>
      </c>
      <c r="BI103" s="652">
        <f t="shared" si="71"/>
        <v>0</v>
      </c>
      <c r="BK103" s="654"/>
      <c r="BL103" s="654"/>
      <c r="BM103" s="654"/>
      <c r="BN103" s="654"/>
      <c r="BO103" s="654"/>
      <c r="BP103" s="654"/>
      <c r="BQ103" s="654"/>
      <c r="BR103" s="654"/>
    </row>
    <row r="104" spans="1:70" s="646" customFormat="1">
      <c r="A104" s="647" t="s">
        <v>563</v>
      </c>
      <c r="B104" s="647" t="s">
        <v>819</v>
      </c>
      <c r="C104" s="648">
        <f>SETUP!$F$21</f>
        <v>0</v>
      </c>
      <c r="D104" s="649">
        <v>4.4000000000000004</v>
      </c>
      <c r="E104" s="647" t="s">
        <v>134</v>
      </c>
      <c r="F104" s="647" t="s">
        <v>142</v>
      </c>
      <c r="G104" s="650" t="str">
        <f t="array" ref="G104">IFERROR(INDEX('HIV-Pharmaceuticals'!$L$14:$L$99,MATCH($E104&amp;$F104,'HIV-Pharmaceuticals'!$E$14:$E$99&amp;'HIV-Pharmaceuticals'!$I$14:$I$99,0)),"")</f>
        <v/>
      </c>
      <c r="H104" s="650" t="str">
        <f t="array" ref="H104">IFERROR(INDEX('HIV-Pharmaceuticals'!$M$14:$M$99,MATCH($E104&amp;$F104,'HIV-Pharmaceuticals'!$E$14:$E$99&amp;'HIV-Pharmaceuticals'!$I$14:$I$99,0)),"")</f>
        <v/>
      </c>
      <c r="I104" s="651">
        <f t="array" ref="I104">IFERROR(INDEX('HIV-Pharmaceuticals'!$N$14:$N$99,MATCH($E104&amp;$F104,'HIV-Pharmaceuticals'!$E$14:$E$99&amp;'HIV-Pharmaceuticals'!$I$14:$I$99,0)),0)</f>
        <v>0</v>
      </c>
      <c r="J104" s="651">
        <f t="array" ref="J104">IFERROR(INDEX('HIV-Pharmaceuticals'!$O$14:$O$99,MATCH($E104&amp;$F104,'HIV-Pharmaceuticals'!$E$14:$E$99&amp;'HIV-Pharmaceuticals'!$I$14:$I$99,0)),0)</f>
        <v>0</v>
      </c>
      <c r="K104" s="652">
        <f t="shared" si="36"/>
        <v>0</v>
      </c>
      <c r="L104" s="652">
        <f t="shared" si="37"/>
        <v>0</v>
      </c>
      <c r="M104" s="652">
        <f t="shared" si="38"/>
        <v>0</v>
      </c>
      <c r="N104" s="651">
        <f t="array" ref="N104">IFERROR(INDEX('HIV-Pharmaceuticals'!$P$14:$P$99,MATCH($E104&amp;$F104,'HIV-Pharmaceuticals'!$E$14:$E$99&amp;'HIV-Pharmaceuticals'!$I$14:$I$99,0)),0)</f>
        <v>0</v>
      </c>
      <c r="O104" s="652">
        <f t="shared" si="39"/>
        <v>0</v>
      </c>
      <c r="P104" s="652">
        <f t="shared" si="40"/>
        <v>0</v>
      </c>
      <c r="Q104" s="652">
        <f t="shared" si="41"/>
        <v>0</v>
      </c>
      <c r="R104" s="651">
        <f t="array" ref="R104">IFERROR(INDEX('HIV-Pharmaceuticals'!$Q$14:$Q$99,MATCH($E104&amp;$F104,'HIV-Pharmaceuticals'!$E$14:$E$99&amp;'HIV-Pharmaceuticals'!$I$14:$I$99,0)),0)</f>
        <v>0</v>
      </c>
      <c r="S104" s="652">
        <f t="shared" si="42"/>
        <v>0</v>
      </c>
      <c r="T104" s="652">
        <f t="shared" si="43"/>
        <v>0</v>
      </c>
      <c r="U104" s="652">
        <f t="shared" si="44"/>
        <v>0</v>
      </c>
      <c r="V104" s="651">
        <f t="array" ref="V104">IFERROR(INDEX('HIV-Pharmaceuticals'!$R$14:$R$99,MATCH($E104&amp;$F104,'HIV-Pharmaceuticals'!$E$14:$E$99&amp;'HIV-Pharmaceuticals'!$I$14:$I$99,0)),0)</f>
        <v>0</v>
      </c>
      <c r="W104" s="652">
        <f t="shared" si="45"/>
        <v>0</v>
      </c>
      <c r="X104" s="652">
        <f t="shared" si="46"/>
        <v>0</v>
      </c>
      <c r="Y104" s="652">
        <f t="shared" si="47"/>
        <v>0</v>
      </c>
      <c r="Z104" s="653"/>
      <c r="AA104" s="651">
        <f t="array" ref="AA104">IFERROR(INDEX('HIV-Pharmaceuticals'!$U$14:$U$99,MATCH($E104&amp;$F104,'HIV-Pharmaceuticals'!$E$14:$E$99&amp;'HIV-Pharmaceuticals'!$I$14:$I$99,0)),0)</f>
        <v>0</v>
      </c>
      <c r="AB104" s="651">
        <f t="array" ref="AB104">IFERROR(INDEX('HIV-Pharmaceuticals'!$V$14:$V$99,MATCH($E104&amp;$F104,'HIV-Pharmaceuticals'!$E$14:$E$99&amp;'HIV-Pharmaceuticals'!$I$14:$I$99,0)),0)</f>
        <v>0</v>
      </c>
      <c r="AC104" s="652">
        <f t="shared" si="48"/>
        <v>0</v>
      </c>
      <c r="AD104" s="652">
        <f t="shared" si="49"/>
        <v>0</v>
      </c>
      <c r="AE104" s="652">
        <f t="shared" si="50"/>
        <v>0</v>
      </c>
      <c r="AF104" s="651">
        <f t="array" ref="AF104">IFERROR(INDEX('HIV-Pharmaceuticals'!$W$14:$W$99,MATCH($E104&amp;$F104,'HIV-Pharmaceuticals'!$E$14:$E$99&amp;'HIV-Pharmaceuticals'!$I$14:$I$99,0)),0)</f>
        <v>0</v>
      </c>
      <c r="AG104" s="652">
        <f t="shared" si="51"/>
        <v>0</v>
      </c>
      <c r="AH104" s="652">
        <f t="shared" si="52"/>
        <v>0</v>
      </c>
      <c r="AI104" s="652">
        <f t="shared" si="53"/>
        <v>0</v>
      </c>
      <c r="AJ104" s="651">
        <f t="array" ref="AJ104">IFERROR(INDEX('HIV-Pharmaceuticals'!$X$14:$X$99,MATCH($E104&amp;$F104,'HIV-Pharmaceuticals'!$E$14:$E$99&amp;'HIV-Pharmaceuticals'!$I$14:$I$99,0)),0)</f>
        <v>0</v>
      </c>
      <c r="AK104" s="652">
        <f t="shared" si="54"/>
        <v>0</v>
      </c>
      <c r="AL104" s="652">
        <f t="shared" si="55"/>
        <v>0</v>
      </c>
      <c r="AM104" s="652">
        <f t="shared" si="56"/>
        <v>0</v>
      </c>
      <c r="AN104" s="651">
        <f t="array" ref="AN104">IFERROR(INDEX('HIV-Pharmaceuticals'!$Y$14:$Y$99,MATCH($E104&amp;$F104,'HIV-Pharmaceuticals'!$E$14:$E$99&amp;'HIV-Pharmaceuticals'!$I$14:$I$99,0)),0)</f>
        <v>0</v>
      </c>
      <c r="AO104" s="652">
        <f t="shared" si="57"/>
        <v>0</v>
      </c>
      <c r="AP104" s="652">
        <f t="shared" si="58"/>
        <v>0</v>
      </c>
      <c r="AQ104" s="652">
        <f t="shared" si="59"/>
        <v>0</v>
      </c>
      <c r="AR104" s="653"/>
      <c r="AS104" s="651">
        <f t="array" ref="AS104">IFERROR(INDEX('HIV-Pharmaceuticals'!$AB$14:$AB$99,MATCH($E104&amp;$F104,'HIV-Pharmaceuticals'!$E$14:$E$99&amp;'HIV-Pharmaceuticals'!$I$14:$I$99,0)),0)</f>
        <v>0</v>
      </c>
      <c r="AT104" s="651">
        <f t="array" ref="AT104">IFERROR(INDEX('HIV-Pharmaceuticals'!$AC$14:$AC$99,MATCH($E104&amp;$F104,'HIV-Pharmaceuticals'!$E$14:$E$99&amp;'HIV-Pharmaceuticals'!$I$14:$I$99,0)),0)</f>
        <v>0</v>
      </c>
      <c r="AU104" s="652">
        <f t="shared" si="60"/>
        <v>0</v>
      </c>
      <c r="AV104" s="652">
        <f t="shared" si="61"/>
        <v>0</v>
      </c>
      <c r="AW104" s="652">
        <f t="shared" si="62"/>
        <v>0</v>
      </c>
      <c r="AX104" s="651">
        <f t="array" ref="AX104">IFERROR(INDEX('HIV-Pharmaceuticals'!$AD$14:$AD$99,MATCH($E104&amp;$F104,'HIV-Pharmaceuticals'!$E$14:$E$99&amp;'HIV-Pharmaceuticals'!$I$14:$I$99,0)),0)</f>
        <v>0</v>
      </c>
      <c r="AY104" s="652">
        <f t="shared" si="63"/>
        <v>0</v>
      </c>
      <c r="AZ104" s="652">
        <f t="shared" si="64"/>
        <v>0</v>
      </c>
      <c r="BA104" s="652">
        <f t="shared" si="65"/>
        <v>0</v>
      </c>
      <c r="BB104" s="651">
        <f t="array" ref="BB104">IFERROR(INDEX('HIV-Pharmaceuticals'!$AE$14:$AE$99,MATCH($E104&amp;$F104,'HIV-Pharmaceuticals'!$E$14:$E$99&amp;'HIV-Pharmaceuticals'!$I$14:$I$99,0)),0)</f>
        <v>0</v>
      </c>
      <c r="BC104" s="652">
        <f t="shared" si="66"/>
        <v>0</v>
      </c>
      <c r="BD104" s="652">
        <f t="shared" si="67"/>
        <v>0</v>
      </c>
      <c r="BE104" s="652">
        <f t="shared" si="68"/>
        <v>0</v>
      </c>
      <c r="BF104" s="651">
        <f t="array" ref="BF104">IFERROR(INDEX('HIV-Pharmaceuticals'!$AF$14:$AF$99,MATCH($E104&amp;$F104,'HIV-Pharmaceuticals'!$E$14:$E$99&amp;'HIV-Pharmaceuticals'!$I$14:$I$99,0)),0)</f>
        <v>0</v>
      </c>
      <c r="BG104" s="652">
        <f t="shared" si="69"/>
        <v>0</v>
      </c>
      <c r="BH104" s="652">
        <f t="shared" si="70"/>
        <v>0</v>
      </c>
      <c r="BI104" s="652">
        <f t="shared" si="71"/>
        <v>0</v>
      </c>
      <c r="BK104" s="654"/>
      <c r="BL104" s="654"/>
      <c r="BM104" s="654"/>
      <c r="BN104" s="654"/>
      <c r="BO104" s="654"/>
      <c r="BP104" s="654"/>
      <c r="BQ104" s="654"/>
      <c r="BR104" s="654"/>
    </row>
    <row r="105" spans="1:70" s="646" customFormat="1">
      <c r="A105" s="647" t="s">
        <v>563</v>
      </c>
      <c r="B105" s="647" t="s">
        <v>819</v>
      </c>
      <c r="C105" s="648">
        <f>SETUP!$F$21</f>
        <v>0</v>
      </c>
      <c r="D105" s="649">
        <v>4.4000000000000004</v>
      </c>
      <c r="E105" s="647" t="s">
        <v>134</v>
      </c>
      <c r="F105" s="647" t="s">
        <v>143</v>
      </c>
      <c r="G105" s="650" t="str">
        <f t="array" ref="G105">IFERROR(INDEX('HIV-Pharmaceuticals'!$L$14:$L$99,MATCH($E105&amp;$F105,'HIV-Pharmaceuticals'!$E$14:$E$99&amp;'HIV-Pharmaceuticals'!$I$14:$I$99,0)),"")</f>
        <v/>
      </c>
      <c r="H105" s="650" t="str">
        <f t="array" ref="H105">IFERROR(INDEX('HIV-Pharmaceuticals'!$M$14:$M$99,MATCH($E105&amp;$F105,'HIV-Pharmaceuticals'!$E$14:$E$99&amp;'HIV-Pharmaceuticals'!$I$14:$I$99,0)),"")</f>
        <v/>
      </c>
      <c r="I105" s="651">
        <f t="array" ref="I105">IFERROR(INDEX('HIV-Pharmaceuticals'!$N$14:$N$99,MATCH($E105&amp;$F105,'HIV-Pharmaceuticals'!$E$14:$E$99&amp;'HIV-Pharmaceuticals'!$I$14:$I$99,0)),0)</f>
        <v>0</v>
      </c>
      <c r="J105" s="651">
        <f t="array" ref="J105">IFERROR(INDEX('HIV-Pharmaceuticals'!$O$14:$O$99,MATCH($E105&amp;$F105,'HIV-Pharmaceuticals'!$E$14:$E$99&amp;'HIV-Pharmaceuticals'!$I$14:$I$99,0)),0)</f>
        <v>0</v>
      </c>
      <c r="K105" s="652">
        <f t="shared" si="36"/>
        <v>0</v>
      </c>
      <c r="L105" s="652">
        <f t="shared" si="37"/>
        <v>0</v>
      </c>
      <c r="M105" s="652">
        <f t="shared" si="38"/>
        <v>0</v>
      </c>
      <c r="N105" s="651">
        <f t="array" ref="N105">IFERROR(INDEX('HIV-Pharmaceuticals'!$P$14:$P$99,MATCH($E105&amp;$F105,'HIV-Pharmaceuticals'!$E$14:$E$99&amp;'HIV-Pharmaceuticals'!$I$14:$I$99,0)),0)</f>
        <v>0</v>
      </c>
      <c r="O105" s="652">
        <f t="shared" si="39"/>
        <v>0</v>
      </c>
      <c r="P105" s="652">
        <f t="shared" si="40"/>
        <v>0</v>
      </c>
      <c r="Q105" s="652">
        <f t="shared" si="41"/>
        <v>0</v>
      </c>
      <c r="R105" s="651">
        <f t="array" ref="R105">IFERROR(INDEX('HIV-Pharmaceuticals'!$Q$14:$Q$99,MATCH($E105&amp;$F105,'HIV-Pharmaceuticals'!$E$14:$E$99&amp;'HIV-Pharmaceuticals'!$I$14:$I$99,0)),0)</f>
        <v>0</v>
      </c>
      <c r="S105" s="652">
        <f t="shared" si="42"/>
        <v>0</v>
      </c>
      <c r="T105" s="652">
        <f t="shared" si="43"/>
        <v>0</v>
      </c>
      <c r="U105" s="652">
        <f t="shared" si="44"/>
        <v>0</v>
      </c>
      <c r="V105" s="651">
        <f t="array" ref="V105">IFERROR(INDEX('HIV-Pharmaceuticals'!$R$14:$R$99,MATCH($E105&amp;$F105,'HIV-Pharmaceuticals'!$E$14:$E$99&amp;'HIV-Pharmaceuticals'!$I$14:$I$99,0)),0)</f>
        <v>0</v>
      </c>
      <c r="W105" s="652">
        <f t="shared" si="45"/>
        <v>0</v>
      </c>
      <c r="X105" s="652">
        <f t="shared" si="46"/>
        <v>0</v>
      </c>
      <c r="Y105" s="652">
        <f t="shared" si="47"/>
        <v>0</v>
      </c>
      <c r="Z105" s="653"/>
      <c r="AA105" s="651">
        <f t="array" ref="AA105">IFERROR(INDEX('HIV-Pharmaceuticals'!$U$14:$U$99,MATCH($E105&amp;$F105,'HIV-Pharmaceuticals'!$E$14:$E$99&amp;'HIV-Pharmaceuticals'!$I$14:$I$99,0)),0)</f>
        <v>0</v>
      </c>
      <c r="AB105" s="651">
        <f t="array" ref="AB105">IFERROR(INDEX('HIV-Pharmaceuticals'!$V$14:$V$99,MATCH($E105&amp;$F105,'HIV-Pharmaceuticals'!$E$14:$E$99&amp;'HIV-Pharmaceuticals'!$I$14:$I$99,0)),0)</f>
        <v>0</v>
      </c>
      <c r="AC105" s="652">
        <f t="shared" si="48"/>
        <v>0</v>
      </c>
      <c r="AD105" s="652">
        <f t="shared" si="49"/>
        <v>0</v>
      </c>
      <c r="AE105" s="652">
        <f t="shared" si="50"/>
        <v>0</v>
      </c>
      <c r="AF105" s="651">
        <f t="array" ref="AF105">IFERROR(INDEX('HIV-Pharmaceuticals'!$W$14:$W$99,MATCH($E105&amp;$F105,'HIV-Pharmaceuticals'!$E$14:$E$99&amp;'HIV-Pharmaceuticals'!$I$14:$I$99,0)),0)</f>
        <v>0</v>
      </c>
      <c r="AG105" s="652">
        <f t="shared" si="51"/>
        <v>0</v>
      </c>
      <c r="AH105" s="652">
        <f t="shared" si="52"/>
        <v>0</v>
      </c>
      <c r="AI105" s="652">
        <f t="shared" si="53"/>
        <v>0</v>
      </c>
      <c r="AJ105" s="651">
        <f t="array" ref="AJ105">IFERROR(INDEX('HIV-Pharmaceuticals'!$X$14:$X$99,MATCH($E105&amp;$F105,'HIV-Pharmaceuticals'!$E$14:$E$99&amp;'HIV-Pharmaceuticals'!$I$14:$I$99,0)),0)</f>
        <v>0</v>
      </c>
      <c r="AK105" s="652">
        <f t="shared" si="54"/>
        <v>0</v>
      </c>
      <c r="AL105" s="652">
        <f t="shared" si="55"/>
        <v>0</v>
      </c>
      <c r="AM105" s="652">
        <f t="shared" si="56"/>
        <v>0</v>
      </c>
      <c r="AN105" s="651">
        <f t="array" ref="AN105">IFERROR(INDEX('HIV-Pharmaceuticals'!$Y$14:$Y$99,MATCH($E105&amp;$F105,'HIV-Pharmaceuticals'!$E$14:$E$99&amp;'HIV-Pharmaceuticals'!$I$14:$I$99,0)),0)</f>
        <v>0</v>
      </c>
      <c r="AO105" s="652">
        <f t="shared" si="57"/>
        <v>0</v>
      </c>
      <c r="AP105" s="652">
        <f t="shared" si="58"/>
        <v>0</v>
      </c>
      <c r="AQ105" s="652">
        <f t="shared" si="59"/>
        <v>0</v>
      </c>
      <c r="AR105" s="653"/>
      <c r="AS105" s="651">
        <f t="array" ref="AS105">IFERROR(INDEX('HIV-Pharmaceuticals'!$AB$14:$AB$99,MATCH($E105&amp;$F105,'HIV-Pharmaceuticals'!$E$14:$E$99&amp;'HIV-Pharmaceuticals'!$I$14:$I$99,0)),0)</f>
        <v>0</v>
      </c>
      <c r="AT105" s="651">
        <f t="array" ref="AT105">IFERROR(INDEX('HIV-Pharmaceuticals'!$AC$14:$AC$99,MATCH($E105&amp;$F105,'HIV-Pharmaceuticals'!$E$14:$E$99&amp;'HIV-Pharmaceuticals'!$I$14:$I$99,0)),0)</f>
        <v>0</v>
      </c>
      <c r="AU105" s="652">
        <f t="shared" si="60"/>
        <v>0</v>
      </c>
      <c r="AV105" s="652">
        <f t="shared" si="61"/>
        <v>0</v>
      </c>
      <c r="AW105" s="652">
        <f t="shared" si="62"/>
        <v>0</v>
      </c>
      <c r="AX105" s="651">
        <f t="array" ref="AX105">IFERROR(INDEX('HIV-Pharmaceuticals'!$AD$14:$AD$99,MATCH($E105&amp;$F105,'HIV-Pharmaceuticals'!$E$14:$E$99&amp;'HIV-Pharmaceuticals'!$I$14:$I$99,0)),0)</f>
        <v>0</v>
      </c>
      <c r="AY105" s="652">
        <f t="shared" si="63"/>
        <v>0</v>
      </c>
      <c r="AZ105" s="652">
        <f t="shared" si="64"/>
        <v>0</v>
      </c>
      <c r="BA105" s="652">
        <f t="shared" si="65"/>
        <v>0</v>
      </c>
      <c r="BB105" s="651">
        <f t="array" ref="BB105">IFERROR(INDEX('HIV-Pharmaceuticals'!$AE$14:$AE$99,MATCH($E105&amp;$F105,'HIV-Pharmaceuticals'!$E$14:$E$99&amp;'HIV-Pharmaceuticals'!$I$14:$I$99,0)),0)</f>
        <v>0</v>
      </c>
      <c r="BC105" s="652">
        <f t="shared" si="66"/>
        <v>0</v>
      </c>
      <c r="BD105" s="652">
        <f t="shared" si="67"/>
        <v>0</v>
      </c>
      <c r="BE105" s="652">
        <f t="shared" si="68"/>
        <v>0</v>
      </c>
      <c r="BF105" s="651">
        <f t="array" ref="BF105">IFERROR(INDEX('HIV-Pharmaceuticals'!$AF$14:$AF$99,MATCH($E105&amp;$F105,'HIV-Pharmaceuticals'!$E$14:$E$99&amp;'HIV-Pharmaceuticals'!$I$14:$I$99,0)),0)</f>
        <v>0</v>
      </c>
      <c r="BG105" s="652">
        <f t="shared" si="69"/>
        <v>0</v>
      </c>
      <c r="BH105" s="652">
        <f t="shared" si="70"/>
        <v>0</v>
      </c>
      <c r="BI105" s="652">
        <f t="shared" si="71"/>
        <v>0</v>
      </c>
      <c r="BK105" s="654"/>
      <c r="BL105" s="654"/>
      <c r="BM105" s="654"/>
      <c r="BN105" s="654"/>
      <c r="BO105" s="654"/>
      <c r="BP105" s="654"/>
      <c r="BQ105" s="654"/>
      <c r="BR105" s="654"/>
    </row>
    <row r="106" spans="1:70" s="646" customFormat="1">
      <c r="A106" s="647" t="s">
        <v>563</v>
      </c>
      <c r="B106" s="647" t="s">
        <v>819</v>
      </c>
      <c r="C106" s="648">
        <f>SETUP!$F$21</f>
        <v>0</v>
      </c>
      <c r="D106" s="649">
        <v>4.4000000000000004</v>
      </c>
      <c r="E106" s="647" t="s">
        <v>134</v>
      </c>
      <c r="F106" s="647" t="s">
        <v>144</v>
      </c>
      <c r="G106" s="650" t="str">
        <f t="array" ref="G106">IFERROR(INDEX('HIV-Pharmaceuticals'!$L$14:$L$99,MATCH($E106&amp;$F106,'HIV-Pharmaceuticals'!$E$14:$E$99&amp;'HIV-Pharmaceuticals'!$I$14:$I$99,0)),"")</f>
        <v/>
      </c>
      <c r="H106" s="650" t="str">
        <f t="array" ref="H106">IFERROR(INDEX('HIV-Pharmaceuticals'!$M$14:$M$99,MATCH($E106&amp;$F106,'HIV-Pharmaceuticals'!$E$14:$E$99&amp;'HIV-Pharmaceuticals'!$I$14:$I$99,0)),"")</f>
        <v/>
      </c>
      <c r="I106" s="651">
        <f t="array" ref="I106">IFERROR(INDEX('HIV-Pharmaceuticals'!$N$14:$N$99,MATCH($E106&amp;$F106,'HIV-Pharmaceuticals'!$E$14:$E$99&amp;'HIV-Pharmaceuticals'!$I$14:$I$99,0)),0)</f>
        <v>0</v>
      </c>
      <c r="J106" s="651">
        <f t="array" ref="J106">IFERROR(INDEX('HIV-Pharmaceuticals'!$O$14:$O$99,MATCH($E106&amp;$F106,'HIV-Pharmaceuticals'!$E$14:$E$99&amp;'HIV-Pharmaceuticals'!$I$14:$I$99,0)),0)</f>
        <v>0</v>
      </c>
      <c r="K106" s="652">
        <f t="shared" si="36"/>
        <v>0</v>
      </c>
      <c r="L106" s="652">
        <f t="shared" si="37"/>
        <v>0</v>
      </c>
      <c r="M106" s="652">
        <f t="shared" si="38"/>
        <v>0</v>
      </c>
      <c r="N106" s="651">
        <f t="array" ref="N106">IFERROR(INDEX('HIV-Pharmaceuticals'!$P$14:$P$99,MATCH($E106&amp;$F106,'HIV-Pharmaceuticals'!$E$14:$E$99&amp;'HIV-Pharmaceuticals'!$I$14:$I$99,0)),0)</f>
        <v>0</v>
      </c>
      <c r="O106" s="652">
        <f t="shared" si="39"/>
        <v>0</v>
      </c>
      <c r="P106" s="652">
        <f t="shared" si="40"/>
        <v>0</v>
      </c>
      <c r="Q106" s="652">
        <f t="shared" si="41"/>
        <v>0</v>
      </c>
      <c r="R106" s="651">
        <f t="array" ref="R106">IFERROR(INDEX('HIV-Pharmaceuticals'!$Q$14:$Q$99,MATCH($E106&amp;$F106,'HIV-Pharmaceuticals'!$E$14:$E$99&amp;'HIV-Pharmaceuticals'!$I$14:$I$99,0)),0)</f>
        <v>0</v>
      </c>
      <c r="S106" s="652">
        <f t="shared" si="42"/>
        <v>0</v>
      </c>
      <c r="T106" s="652">
        <f t="shared" si="43"/>
        <v>0</v>
      </c>
      <c r="U106" s="652">
        <f t="shared" si="44"/>
        <v>0</v>
      </c>
      <c r="V106" s="651">
        <f t="array" ref="V106">IFERROR(INDEX('HIV-Pharmaceuticals'!$R$14:$R$99,MATCH($E106&amp;$F106,'HIV-Pharmaceuticals'!$E$14:$E$99&amp;'HIV-Pharmaceuticals'!$I$14:$I$99,0)),0)</f>
        <v>0</v>
      </c>
      <c r="W106" s="652">
        <f t="shared" si="45"/>
        <v>0</v>
      </c>
      <c r="X106" s="652">
        <f t="shared" si="46"/>
        <v>0</v>
      </c>
      <c r="Y106" s="652">
        <f t="shared" si="47"/>
        <v>0</v>
      </c>
      <c r="Z106" s="653"/>
      <c r="AA106" s="651">
        <f t="array" ref="AA106">IFERROR(INDEX('HIV-Pharmaceuticals'!$U$14:$U$99,MATCH($E106&amp;$F106,'HIV-Pharmaceuticals'!$E$14:$E$99&amp;'HIV-Pharmaceuticals'!$I$14:$I$99,0)),0)</f>
        <v>0</v>
      </c>
      <c r="AB106" s="651">
        <f t="array" ref="AB106">IFERROR(INDEX('HIV-Pharmaceuticals'!$V$14:$V$99,MATCH($E106&amp;$F106,'HIV-Pharmaceuticals'!$E$14:$E$99&amp;'HIV-Pharmaceuticals'!$I$14:$I$99,0)),0)</f>
        <v>0</v>
      </c>
      <c r="AC106" s="652">
        <f t="shared" si="48"/>
        <v>0</v>
      </c>
      <c r="AD106" s="652">
        <f t="shared" si="49"/>
        <v>0</v>
      </c>
      <c r="AE106" s="652">
        <f t="shared" si="50"/>
        <v>0</v>
      </c>
      <c r="AF106" s="651">
        <f t="array" ref="AF106">IFERROR(INDEX('HIV-Pharmaceuticals'!$W$14:$W$99,MATCH($E106&amp;$F106,'HIV-Pharmaceuticals'!$E$14:$E$99&amp;'HIV-Pharmaceuticals'!$I$14:$I$99,0)),0)</f>
        <v>0</v>
      </c>
      <c r="AG106" s="652">
        <f t="shared" si="51"/>
        <v>0</v>
      </c>
      <c r="AH106" s="652">
        <f t="shared" si="52"/>
        <v>0</v>
      </c>
      <c r="AI106" s="652">
        <f t="shared" si="53"/>
        <v>0</v>
      </c>
      <c r="AJ106" s="651">
        <f t="array" ref="AJ106">IFERROR(INDEX('HIV-Pharmaceuticals'!$X$14:$X$99,MATCH($E106&amp;$F106,'HIV-Pharmaceuticals'!$E$14:$E$99&amp;'HIV-Pharmaceuticals'!$I$14:$I$99,0)),0)</f>
        <v>0</v>
      </c>
      <c r="AK106" s="652">
        <f t="shared" si="54"/>
        <v>0</v>
      </c>
      <c r="AL106" s="652">
        <f t="shared" si="55"/>
        <v>0</v>
      </c>
      <c r="AM106" s="652">
        <f t="shared" si="56"/>
        <v>0</v>
      </c>
      <c r="AN106" s="651">
        <f t="array" ref="AN106">IFERROR(INDEX('HIV-Pharmaceuticals'!$Y$14:$Y$99,MATCH($E106&amp;$F106,'HIV-Pharmaceuticals'!$E$14:$E$99&amp;'HIV-Pharmaceuticals'!$I$14:$I$99,0)),0)</f>
        <v>0</v>
      </c>
      <c r="AO106" s="652">
        <f t="shared" si="57"/>
        <v>0</v>
      </c>
      <c r="AP106" s="652">
        <f t="shared" si="58"/>
        <v>0</v>
      </c>
      <c r="AQ106" s="652">
        <f t="shared" si="59"/>
        <v>0</v>
      </c>
      <c r="AR106" s="653"/>
      <c r="AS106" s="651">
        <f t="array" ref="AS106">IFERROR(INDEX('HIV-Pharmaceuticals'!$AB$14:$AB$99,MATCH($E106&amp;$F106,'HIV-Pharmaceuticals'!$E$14:$E$99&amp;'HIV-Pharmaceuticals'!$I$14:$I$99,0)),0)</f>
        <v>0</v>
      </c>
      <c r="AT106" s="651">
        <f t="array" ref="AT106">IFERROR(INDEX('HIV-Pharmaceuticals'!$AC$14:$AC$99,MATCH($E106&amp;$F106,'HIV-Pharmaceuticals'!$E$14:$E$99&amp;'HIV-Pharmaceuticals'!$I$14:$I$99,0)),0)</f>
        <v>0</v>
      </c>
      <c r="AU106" s="652">
        <f t="shared" si="60"/>
        <v>0</v>
      </c>
      <c r="AV106" s="652">
        <f t="shared" si="61"/>
        <v>0</v>
      </c>
      <c r="AW106" s="652">
        <f t="shared" si="62"/>
        <v>0</v>
      </c>
      <c r="AX106" s="651">
        <f t="array" ref="AX106">IFERROR(INDEX('HIV-Pharmaceuticals'!$AD$14:$AD$99,MATCH($E106&amp;$F106,'HIV-Pharmaceuticals'!$E$14:$E$99&amp;'HIV-Pharmaceuticals'!$I$14:$I$99,0)),0)</f>
        <v>0</v>
      </c>
      <c r="AY106" s="652">
        <f t="shared" si="63"/>
        <v>0</v>
      </c>
      <c r="AZ106" s="652">
        <f t="shared" si="64"/>
        <v>0</v>
      </c>
      <c r="BA106" s="652">
        <f t="shared" si="65"/>
        <v>0</v>
      </c>
      <c r="BB106" s="651">
        <f t="array" ref="BB106">IFERROR(INDEX('HIV-Pharmaceuticals'!$AE$14:$AE$99,MATCH($E106&amp;$F106,'HIV-Pharmaceuticals'!$E$14:$E$99&amp;'HIV-Pharmaceuticals'!$I$14:$I$99,0)),0)</f>
        <v>0</v>
      </c>
      <c r="BC106" s="652">
        <f t="shared" si="66"/>
        <v>0</v>
      </c>
      <c r="BD106" s="652">
        <f t="shared" si="67"/>
        <v>0</v>
      </c>
      <c r="BE106" s="652">
        <f t="shared" si="68"/>
        <v>0</v>
      </c>
      <c r="BF106" s="651">
        <f t="array" ref="BF106">IFERROR(INDEX('HIV-Pharmaceuticals'!$AF$14:$AF$99,MATCH($E106&amp;$F106,'HIV-Pharmaceuticals'!$E$14:$E$99&amp;'HIV-Pharmaceuticals'!$I$14:$I$99,0)),0)</f>
        <v>0</v>
      </c>
      <c r="BG106" s="652">
        <f t="shared" si="69"/>
        <v>0</v>
      </c>
      <c r="BH106" s="652">
        <f t="shared" si="70"/>
        <v>0</v>
      </c>
      <c r="BI106" s="652">
        <f t="shared" si="71"/>
        <v>0</v>
      </c>
      <c r="BK106" s="654"/>
      <c r="BL106" s="654"/>
      <c r="BM106" s="654"/>
      <c r="BN106" s="654"/>
      <c r="BO106" s="654"/>
      <c r="BP106" s="654"/>
      <c r="BQ106" s="654"/>
      <c r="BR106" s="654"/>
    </row>
    <row r="107" spans="1:70" s="646" customFormat="1">
      <c r="A107" s="647" t="s">
        <v>563</v>
      </c>
      <c r="B107" s="647" t="s">
        <v>819</v>
      </c>
      <c r="C107" s="648">
        <f>SETUP!$F$21</f>
        <v>0</v>
      </c>
      <c r="D107" s="649">
        <v>4.4000000000000004</v>
      </c>
      <c r="E107" s="647" t="s">
        <v>134</v>
      </c>
      <c r="F107" s="647" t="s">
        <v>1682</v>
      </c>
      <c r="G107" s="650" t="str">
        <f t="array" ref="G107">IFERROR(INDEX('HIV-Pharmaceuticals'!$L$14:$L$99,MATCH($E107&amp;$F107,'HIV-Pharmaceuticals'!$E$14:$E$99&amp;'HIV-Pharmaceuticals'!$I$14:$I$99,0)),"")</f>
        <v/>
      </c>
      <c r="H107" s="650" t="str">
        <f t="array" ref="H107">IFERROR(INDEX('HIV-Pharmaceuticals'!$M$14:$M$99,MATCH($E107&amp;$F107,'HIV-Pharmaceuticals'!$E$14:$E$99&amp;'HIV-Pharmaceuticals'!$I$14:$I$99,0)),"")</f>
        <v/>
      </c>
      <c r="I107" s="651">
        <f t="array" ref="I107">IFERROR(INDEX('HIV-Pharmaceuticals'!$N$14:$N$99,MATCH($E107&amp;$F107,'HIV-Pharmaceuticals'!$E$14:$E$99&amp;'HIV-Pharmaceuticals'!$I$14:$I$99,0)),0)</f>
        <v>0</v>
      </c>
      <c r="J107" s="651">
        <f t="array" ref="J107">IFERROR(INDEX('HIV-Pharmaceuticals'!$O$14:$O$99,MATCH($E107&amp;$F107,'HIV-Pharmaceuticals'!$E$14:$E$99&amp;'HIV-Pharmaceuticals'!$I$14:$I$99,0)),0)</f>
        <v>0</v>
      </c>
      <c r="K107" s="652">
        <f t="shared" si="36"/>
        <v>0</v>
      </c>
      <c r="L107" s="652">
        <f t="shared" si="37"/>
        <v>0</v>
      </c>
      <c r="M107" s="652">
        <f t="shared" si="38"/>
        <v>0</v>
      </c>
      <c r="N107" s="651">
        <f t="array" ref="N107">IFERROR(INDEX('HIV-Pharmaceuticals'!$P$14:$P$99,MATCH($E107&amp;$F107,'HIV-Pharmaceuticals'!$E$14:$E$99&amp;'HIV-Pharmaceuticals'!$I$14:$I$99,0)),0)</f>
        <v>0</v>
      </c>
      <c r="O107" s="652">
        <f t="shared" si="39"/>
        <v>0</v>
      </c>
      <c r="P107" s="652">
        <f t="shared" si="40"/>
        <v>0</v>
      </c>
      <c r="Q107" s="652">
        <f t="shared" si="41"/>
        <v>0</v>
      </c>
      <c r="R107" s="651">
        <f t="array" ref="R107">IFERROR(INDEX('HIV-Pharmaceuticals'!$Q$14:$Q$99,MATCH($E107&amp;$F107,'HIV-Pharmaceuticals'!$E$14:$E$99&amp;'HIV-Pharmaceuticals'!$I$14:$I$99,0)),0)</f>
        <v>0</v>
      </c>
      <c r="S107" s="652">
        <f t="shared" si="42"/>
        <v>0</v>
      </c>
      <c r="T107" s="652">
        <f t="shared" si="43"/>
        <v>0</v>
      </c>
      <c r="U107" s="652">
        <f t="shared" si="44"/>
        <v>0</v>
      </c>
      <c r="V107" s="651">
        <f t="array" ref="V107">IFERROR(INDEX('HIV-Pharmaceuticals'!$R$14:$R$99,MATCH($E107&amp;$F107,'HIV-Pharmaceuticals'!$E$14:$E$99&amp;'HIV-Pharmaceuticals'!$I$14:$I$99,0)),0)</f>
        <v>0</v>
      </c>
      <c r="W107" s="652">
        <f t="shared" si="45"/>
        <v>0</v>
      </c>
      <c r="X107" s="652">
        <f t="shared" si="46"/>
        <v>0</v>
      </c>
      <c r="Y107" s="652">
        <f t="shared" si="47"/>
        <v>0</v>
      </c>
      <c r="Z107" s="653"/>
      <c r="AA107" s="651">
        <f t="array" ref="AA107">IFERROR(INDEX('HIV-Pharmaceuticals'!$U$14:$U$99,MATCH($E107&amp;$F107,'HIV-Pharmaceuticals'!$E$14:$E$99&amp;'HIV-Pharmaceuticals'!$I$14:$I$99,0)),0)</f>
        <v>0</v>
      </c>
      <c r="AB107" s="651">
        <f t="array" ref="AB107">IFERROR(INDEX('HIV-Pharmaceuticals'!$V$14:$V$99,MATCH($E107&amp;$F107,'HIV-Pharmaceuticals'!$E$14:$E$99&amp;'HIV-Pharmaceuticals'!$I$14:$I$99,0)),0)</f>
        <v>0</v>
      </c>
      <c r="AC107" s="652">
        <f t="shared" si="48"/>
        <v>0</v>
      </c>
      <c r="AD107" s="652">
        <f t="shared" si="49"/>
        <v>0</v>
      </c>
      <c r="AE107" s="652">
        <f t="shared" si="50"/>
        <v>0</v>
      </c>
      <c r="AF107" s="651">
        <f t="array" ref="AF107">IFERROR(INDEX('HIV-Pharmaceuticals'!$W$14:$W$99,MATCH($E107&amp;$F107,'HIV-Pharmaceuticals'!$E$14:$E$99&amp;'HIV-Pharmaceuticals'!$I$14:$I$99,0)),0)</f>
        <v>0</v>
      </c>
      <c r="AG107" s="652">
        <f t="shared" si="51"/>
        <v>0</v>
      </c>
      <c r="AH107" s="652">
        <f t="shared" si="52"/>
        <v>0</v>
      </c>
      <c r="AI107" s="652">
        <f t="shared" si="53"/>
        <v>0</v>
      </c>
      <c r="AJ107" s="651">
        <f t="array" ref="AJ107">IFERROR(INDEX('HIV-Pharmaceuticals'!$X$14:$X$99,MATCH($E107&amp;$F107,'HIV-Pharmaceuticals'!$E$14:$E$99&amp;'HIV-Pharmaceuticals'!$I$14:$I$99,0)),0)</f>
        <v>0</v>
      </c>
      <c r="AK107" s="652">
        <f t="shared" si="54"/>
        <v>0</v>
      </c>
      <c r="AL107" s="652">
        <f t="shared" si="55"/>
        <v>0</v>
      </c>
      <c r="AM107" s="652">
        <f t="shared" si="56"/>
        <v>0</v>
      </c>
      <c r="AN107" s="651">
        <f t="array" ref="AN107">IFERROR(INDEX('HIV-Pharmaceuticals'!$Y$14:$Y$99,MATCH($E107&amp;$F107,'HIV-Pharmaceuticals'!$E$14:$E$99&amp;'HIV-Pharmaceuticals'!$I$14:$I$99,0)),0)</f>
        <v>0</v>
      </c>
      <c r="AO107" s="652">
        <f t="shared" si="57"/>
        <v>0</v>
      </c>
      <c r="AP107" s="652">
        <f t="shared" si="58"/>
        <v>0</v>
      </c>
      <c r="AQ107" s="652">
        <f t="shared" si="59"/>
        <v>0</v>
      </c>
      <c r="AR107" s="653"/>
      <c r="AS107" s="651">
        <f t="array" ref="AS107">IFERROR(INDEX('HIV-Pharmaceuticals'!$AB$14:$AB$99,MATCH($E107&amp;$F107,'HIV-Pharmaceuticals'!$E$14:$E$99&amp;'HIV-Pharmaceuticals'!$I$14:$I$99,0)),0)</f>
        <v>0</v>
      </c>
      <c r="AT107" s="651">
        <f t="array" ref="AT107">IFERROR(INDEX('HIV-Pharmaceuticals'!$AC$14:$AC$99,MATCH($E107&amp;$F107,'HIV-Pharmaceuticals'!$E$14:$E$99&amp;'HIV-Pharmaceuticals'!$I$14:$I$99,0)),0)</f>
        <v>0</v>
      </c>
      <c r="AU107" s="652">
        <f t="shared" si="60"/>
        <v>0</v>
      </c>
      <c r="AV107" s="652">
        <f t="shared" si="61"/>
        <v>0</v>
      </c>
      <c r="AW107" s="652">
        <f t="shared" si="62"/>
        <v>0</v>
      </c>
      <c r="AX107" s="651">
        <f t="array" ref="AX107">IFERROR(INDEX('HIV-Pharmaceuticals'!$AD$14:$AD$99,MATCH($E107&amp;$F107,'HIV-Pharmaceuticals'!$E$14:$E$99&amp;'HIV-Pharmaceuticals'!$I$14:$I$99,0)),0)</f>
        <v>0</v>
      </c>
      <c r="AY107" s="652">
        <f t="shared" si="63"/>
        <v>0</v>
      </c>
      <c r="AZ107" s="652">
        <f t="shared" si="64"/>
        <v>0</v>
      </c>
      <c r="BA107" s="652">
        <f t="shared" si="65"/>
        <v>0</v>
      </c>
      <c r="BB107" s="651">
        <f t="array" ref="BB107">IFERROR(INDEX('HIV-Pharmaceuticals'!$AE$14:$AE$99,MATCH($E107&amp;$F107,'HIV-Pharmaceuticals'!$E$14:$E$99&amp;'HIV-Pharmaceuticals'!$I$14:$I$99,0)),0)</f>
        <v>0</v>
      </c>
      <c r="BC107" s="652">
        <f t="shared" si="66"/>
        <v>0</v>
      </c>
      <c r="BD107" s="652">
        <f t="shared" si="67"/>
        <v>0</v>
      </c>
      <c r="BE107" s="652">
        <f t="shared" si="68"/>
        <v>0</v>
      </c>
      <c r="BF107" s="651">
        <f t="array" ref="BF107">IFERROR(INDEX('HIV-Pharmaceuticals'!$AF$14:$AF$99,MATCH($E107&amp;$F107,'HIV-Pharmaceuticals'!$E$14:$E$99&amp;'HIV-Pharmaceuticals'!$I$14:$I$99,0)),0)</f>
        <v>0</v>
      </c>
      <c r="BG107" s="652">
        <f t="shared" si="69"/>
        <v>0</v>
      </c>
      <c r="BH107" s="652">
        <f t="shared" si="70"/>
        <v>0</v>
      </c>
      <c r="BI107" s="652">
        <f t="shared" si="71"/>
        <v>0</v>
      </c>
      <c r="BK107" s="654"/>
      <c r="BL107" s="654"/>
      <c r="BM107" s="654"/>
      <c r="BN107" s="654"/>
      <c r="BO107" s="654"/>
      <c r="BP107" s="654"/>
      <c r="BQ107" s="654"/>
      <c r="BR107" s="654"/>
    </row>
    <row r="108" spans="1:70" s="646" customFormat="1">
      <c r="A108" s="647" t="s">
        <v>563</v>
      </c>
      <c r="B108" s="647" t="s">
        <v>819</v>
      </c>
      <c r="C108" s="648">
        <f>SETUP!$F$21</f>
        <v>0</v>
      </c>
      <c r="D108" s="649">
        <v>4.4000000000000004</v>
      </c>
      <c r="E108" s="647" t="s">
        <v>134</v>
      </c>
      <c r="F108" s="647" t="s">
        <v>1683</v>
      </c>
      <c r="G108" s="650" t="str">
        <f t="array" ref="G108">IFERROR(INDEX('HIV-Pharmaceuticals'!$L$14:$L$99,MATCH($E108&amp;$F108,'HIV-Pharmaceuticals'!$E$14:$E$99&amp;'HIV-Pharmaceuticals'!$I$14:$I$99,0)),"")</f>
        <v/>
      </c>
      <c r="H108" s="650" t="str">
        <f t="array" ref="H108">IFERROR(INDEX('HIV-Pharmaceuticals'!$M$14:$M$99,MATCH($E108&amp;$F108,'HIV-Pharmaceuticals'!$E$14:$E$99&amp;'HIV-Pharmaceuticals'!$I$14:$I$99,0)),"")</f>
        <v/>
      </c>
      <c r="I108" s="651">
        <f t="array" ref="I108">IFERROR(INDEX('HIV-Pharmaceuticals'!$N$14:$N$99,MATCH($E108&amp;$F108,'HIV-Pharmaceuticals'!$E$14:$E$99&amp;'HIV-Pharmaceuticals'!$I$14:$I$99,0)),0)</f>
        <v>0</v>
      </c>
      <c r="J108" s="651">
        <f t="array" ref="J108">IFERROR(INDEX('HIV-Pharmaceuticals'!$O$14:$O$99,MATCH($E108&amp;$F108,'HIV-Pharmaceuticals'!$E$14:$E$99&amp;'HIV-Pharmaceuticals'!$I$14:$I$99,0)),0)</f>
        <v>0</v>
      </c>
      <c r="K108" s="652">
        <f t="shared" si="36"/>
        <v>0</v>
      </c>
      <c r="L108" s="652">
        <f t="shared" si="37"/>
        <v>0</v>
      </c>
      <c r="M108" s="652">
        <f t="shared" si="38"/>
        <v>0</v>
      </c>
      <c r="N108" s="651">
        <f t="array" ref="N108">IFERROR(INDEX('HIV-Pharmaceuticals'!$P$14:$P$99,MATCH($E108&amp;$F108,'HIV-Pharmaceuticals'!$E$14:$E$99&amp;'HIV-Pharmaceuticals'!$I$14:$I$99,0)),0)</f>
        <v>0</v>
      </c>
      <c r="O108" s="652">
        <f t="shared" si="39"/>
        <v>0</v>
      </c>
      <c r="P108" s="652">
        <f t="shared" si="40"/>
        <v>0</v>
      </c>
      <c r="Q108" s="652">
        <f t="shared" si="41"/>
        <v>0</v>
      </c>
      <c r="R108" s="651">
        <f t="array" ref="R108">IFERROR(INDEX('HIV-Pharmaceuticals'!$Q$14:$Q$99,MATCH($E108&amp;$F108,'HIV-Pharmaceuticals'!$E$14:$E$99&amp;'HIV-Pharmaceuticals'!$I$14:$I$99,0)),0)</f>
        <v>0</v>
      </c>
      <c r="S108" s="652">
        <f t="shared" si="42"/>
        <v>0</v>
      </c>
      <c r="T108" s="652">
        <f t="shared" si="43"/>
        <v>0</v>
      </c>
      <c r="U108" s="652">
        <f t="shared" si="44"/>
        <v>0</v>
      </c>
      <c r="V108" s="651">
        <f t="array" ref="V108">IFERROR(INDEX('HIV-Pharmaceuticals'!$R$14:$R$99,MATCH($E108&amp;$F108,'HIV-Pharmaceuticals'!$E$14:$E$99&amp;'HIV-Pharmaceuticals'!$I$14:$I$99,0)),0)</f>
        <v>0</v>
      </c>
      <c r="W108" s="652">
        <f t="shared" si="45"/>
        <v>0</v>
      </c>
      <c r="X108" s="652">
        <f t="shared" si="46"/>
        <v>0</v>
      </c>
      <c r="Y108" s="652">
        <f t="shared" si="47"/>
        <v>0</v>
      </c>
      <c r="Z108" s="653"/>
      <c r="AA108" s="651">
        <f t="array" ref="AA108">IFERROR(INDEX('HIV-Pharmaceuticals'!$U$14:$U$99,MATCH($E108&amp;$F108,'HIV-Pharmaceuticals'!$E$14:$E$99&amp;'HIV-Pharmaceuticals'!$I$14:$I$99,0)),0)</f>
        <v>0</v>
      </c>
      <c r="AB108" s="651">
        <f t="array" ref="AB108">IFERROR(INDEX('HIV-Pharmaceuticals'!$V$14:$V$99,MATCH($E108&amp;$F108,'HIV-Pharmaceuticals'!$E$14:$E$99&amp;'HIV-Pharmaceuticals'!$I$14:$I$99,0)),0)</f>
        <v>0</v>
      </c>
      <c r="AC108" s="652">
        <f t="shared" si="48"/>
        <v>0</v>
      </c>
      <c r="AD108" s="652">
        <f t="shared" si="49"/>
        <v>0</v>
      </c>
      <c r="AE108" s="652">
        <f t="shared" si="50"/>
        <v>0</v>
      </c>
      <c r="AF108" s="651">
        <f t="array" ref="AF108">IFERROR(INDEX('HIV-Pharmaceuticals'!$W$14:$W$99,MATCH($E108&amp;$F108,'HIV-Pharmaceuticals'!$E$14:$E$99&amp;'HIV-Pharmaceuticals'!$I$14:$I$99,0)),0)</f>
        <v>0</v>
      </c>
      <c r="AG108" s="652">
        <f t="shared" si="51"/>
        <v>0</v>
      </c>
      <c r="AH108" s="652">
        <f t="shared" si="52"/>
        <v>0</v>
      </c>
      <c r="AI108" s="652">
        <f t="shared" si="53"/>
        <v>0</v>
      </c>
      <c r="AJ108" s="651">
        <f t="array" ref="AJ108">IFERROR(INDEX('HIV-Pharmaceuticals'!$X$14:$X$99,MATCH($E108&amp;$F108,'HIV-Pharmaceuticals'!$E$14:$E$99&amp;'HIV-Pharmaceuticals'!$I$14:$I$99,0)),0)</f>
        <v>0</v>
      </c>
      <c r="AK108" s="652">
        <f t="shared" si="54"/>
        <v>0</v>
      </c>
      <c r="AL108" s="652">
        <f t="shared" si="55"/>
        <v>0</v>
      </c>
      <c r="AM108" s="652">
        <f t="shared" si="56"/>
        <v>0</v>
      </c>
      <c r="AN108" s="651">
        <f t="array" ref="AN108">IFERROR(INDEX('HIV-Pharmaceuticals'!$Y$14:$Y$99,MATCH($E108&amp;$F108,'HIV-Pharmaceuticals'!$E$14:$E$99&amp;'HIV-Pharmaceuticals'!$I$14:$I$99,0)),0)</f>
        <v>0</v>
      </c>
      <c r="AO108" s="652">
        <f t="shared" si="57"/>
        <v>0</v>
      </c>
      <c r="AP108" s="652">
        <f t="shared" si="58"/>
        <v>0</v>
      </c>
      <c r="AQ108" s="652">
        <f t="shared" si="59"/>
        <v>0</v>
      </c>
      <c r="AR108" s="653"/>
      <c r="AS108" s="651">
        <f t="array" ref="AS108">IFERROR(INDEX('HIV-Pharmaceuticals'!$AB$14:$AB$99,MATCH($E108&amp;$F108,'HIV-Pharmaceuticals'!$E$14:$E$99&amp;'HIV-Pharmaceuticals'!$I$14:$I$99,0)),0)</f>
        <v>0</v>
      </c>
      <c r="AT108" s="651">
        <f t="array" ref="AT108">IFERROR(INDEX('HIV-Pharmaceuticals'!$AC$14:$AC$99,MATCH($E108&amp;$F108,'HIV-Pharmaceuticals'!$E$14:$E$99&amp;'HIV-Pharmaceuticals'!$I$14:$I$99,0)),0)</f>
        <v>0</v>
      </c>
      <c r="AU108" s="652">
        <f t="shared" si="60"/>
        <v>0</v>
      </c>
      <c r="AV108" s="652">
        <f t="shared" si="61"/>
        <v>0</v>
      </c>
      <c r="AW108" s="652">
        <f t="shared" si="62"/>
        <v>0</v>
      </c>
      <c r="AX108" s="651">
        <f t="array" ref="AX108">IFERROR(INDEX('HIV-Pharmaceuticals'!$AD$14:$AD$99,MATCH($E108&amp;$F108,'HIV-Pharmaceuticals'!$E$14:$E$99&amp;'HIV-Pharmaceuticals'!$I$14:$I$99,0)),0)</f>
        <v>0</v>
      </c>
      <c r="AY108" s="652">
        <f t="shared" si="63"/>
        <v>0</v>
      </c>
      <c r="AZ108" s="652">
        <f t="shared" si="64"/>
        <v>0</v>
      </c>
      <c r="BA108" s="652">
        <f t="shared" si="65"/>
        <v>0</v>
      </c>
      <c r="BB108" s="651">
        <f t="array" ref="BB108">IFERROR(INDEX('HIV-Pharmaceuticals'!$AE$14:$AE$99,MATCH($E108&amp;$F108,'HIV-Pharmaceuticals'!$E$14:$E$99&amp;'HIV-Pharmaceuticals'!$I$14:$I$99,0)),0)</f>
        <v>0</v>
      </c>
      <c r="BC108" s="652">
        <f t="shared" si="66"/>
        <v>0</v>
      </c>
      <c r="BD108" s="652">
        <f t="shared" si="67"/>
        <v>0</v>
      </c>
      <c r="BE108" s="652">
        <f t="shared" si="68"/>
        <v>0</v>
      </c>
      <c r="BF108" s="651">
        <f t="array" ref="BF108">IFERROR(INDEX('HIV-Pharmaceuticals'!$AF$14:$AF$99,MATCH($E108&amp;$F108,'HIV-Pharmaceuticals'!$E$14:$E$99&amp;'HIV-Pharmaceuticals'!$I$14:$I$99,0)),0)</f>
        <v>0</v>
      </c>
      <c r="BG108" s="652">
        <f t="shared" si="69"/>
        <v>0</v>
      </c>
      <c r="BH108" s="652">
        <f t="shared" si="70"/>
        <v>0</v>
      </c>
      <c r="BI108" s="652">
        <f t="shared" si="71"/>
        <v>0</v>
      </c>
      <c r="BK108" s="654"/>
      <c r="BL108" s="654"/>
      <c r="BM108" s="654"/>
      <c r="BN108" s="654"/>
      <c r="BO108" s="654"/>
      <c r="BP108" s="654"/>
      <c r="BQ108" s="654"/>
      <c r="BR108" s="654"/>
    </row>
    <row r="109" spans="1:70" s="646" customFormat="1">
      <c r="A109" s="647" t="s">
        <v>563</v>
      </c>
      <c r="B109" s="647" t="s">
        <v>819</v>
      </c>
      <c r="C109" s="648">
        <f>SETUP!$F$21</f>
        <v>0</v>
      </c>
      <c r="D109" s="649">
        <v>4.4000000000000004</v>
      </c>
      <c r="E109" s="647" t="s">
        <v>1684</v>
      </c>
      <c r="F109" s="647" t="s">
        <v>1140</v>
      </c>
      <c r="G109" s="650" t="str">
        <f t="array" ref="G109">IFERROR(INDEX('HIV-Pharmaceuticals'!$L$14:$L$99,MATCH($E109&amp;$F109,'HIV-Pharmaceuticals'!$E$14:$E$99&amp;'HIV-Pharmaceuticals'!$I$14:$I$99,0)),"")</f>
        <v/>
      </c>
      <c r="H109" s="650" t="str">
        <f t="array" ref="H109">IFERROR(INDEX('HIV-Pharmaceuticals'!$M$14:$M$99,MATCH($E109&amp;$F109,'HIV-Pharmaceuticals'!$E$14:$E$99&amp;'HIV-Pharmaceuticals'!$I$14:$I$99,0)),"")</f>
        <v/>
      </c>
      <c r="I109" s="651">
        <f t="array" ref="I109">IFERROR(INDEX('HIV-Pharmaceuticals'!$N$14:$N$99,MATCH($E109&amp;$F109,'HIV-Pharmaceuticals'!$E$14:$E$99&amp;'HIV-Pharmaceuticals'!$I$14:$I$99,0)),0)</f>
        <v>0</v>
      </c>
      <c r="J109" s="651">
        <f t="array" ref="J109">IFERROR(INDEX('HIV-Pharmaceuticals'!$O$14:$O$99,MATCH($E109&amp;$F109,'HIV-Pharmaceuticals'!$E$14:$E$99&amp;'HIV-Pharmaceuticals'!$I$14:$I$99,0)),0)</f>
        <v>0</v>
      </c>
      <c r="K109" s="652">
        <f t="shared" si="36"/>
        <v>0</v>
      </c>
      <c r="L109" s="652">
        <f t="shared" si="37"/>
        <v>0</v>
      </c>
      <c r="M109" s="652">
        <f t="shared" si="38"/>
        <v>0</v>
      </c>
      <c r="N109" s="651">
        <f t="array" ref="N109">IFERROR(INDEX('HIV-Pharmaceuticals'!$P$14:$P$99,MATCH($E109&amp;$F109,'HIV-Pharmaceuticals'!$E$14:$E$99&amp;'HIV-Pharmaceuticals'!$I$14:$I$99,0)),0)</f>
        <v>0</v>
      </c>
      <c r="O109" s="652">
        <f t="shared" si="39"/>
        <v>0</v>
      </c>
      <c r="P109" s="652">
        <f t="shared" si="40"/>
        <v>0</v>
      </c>
      <c r="Q109" s="652">
        <f t="shared" si="41"/>
        <v>0</v>
      </c>
      <c r="R109" s="651">
        <f t="array" ref="R109">IFERROR(INDEX('HIV-Pharmaceuticals'!$Q$14:$Q$99,MATCH($E109&amp;$F109,'HIV-Pharmaceuticals'!$E$14:$E$99&amp;'HIV-Pharmaceuticals'!$I$14:$I$99,0)),0)</f>
        <v>0</v>
      </c>
      <c r="S109" s="652">
        <f t="shared" si="42"/>
        <v>0</v>
      </c>
      <c r="T109" s="652">
        <f t="shared" si="43"/>
        <v>0</v>
      </c>
      <c r="U109" s="652">
        <f t="shared" si="44"/>
        <v>0</v>
      </c>
      <c r="V109" s="651">
        <f t="array" ref="V109">IFERROR(INDEX('HIV-Pharmaceuticals'!$R$14:$R$99,MATCH($E109&amp;$F109,'HIV-Pharmaceuticals'!$E$14:$E$99&amp;'HIV-Pharmaceuticals'!$I$14:$I$99,0)),0)</f>
        <v>0</v>
      </c>
      <c r="W109" s="652">
        <f t="shared" si="45"/>
        <v>0</v>
      </c>
      <c r="X109" s="652">
        <f t="shared" si="46"/>
        <v>0</v>
      </c>
      <c r="Y109" s="652">
        <f t="shared" si="47"/>
        <v>0</v>
      </c>
      <c r="Z109" s="653"/>
      <c r="AA109" s="651">
        <f t="array" ref="AA109">IFERROR(INDEX('HIV-Pharmaceuticals'!$U$14:$U$99,MATCH($E109&amp;$F109,'HIV-Pharmaceuticals'!$E$14:$E$99&amp;'HIV-Pharmaceuticals'!$I$14:$I$99,0)),0)</f>
        <v>0</v>
      </c>
      <c r="AB109" s="651">
        <f t="array" ref="AB109">IFERROR(INDEX('HIV-Pharmaceuticals'!$V$14:$V$99,MATCH($E109&amp;$F109,'HIV-Pharmaceuticals'!$E$14:$E$99&amp;'HIV-Pharmaceuticals'!$I$14:$I$99,0)),0)</f>
        <v>0</v>
      </c>
      <c r="AC109" s="652">
        <f t="shared" si="48"/>
        <v>0</v>
      </c>
      <c r="AD109" s="652">
        <f t="shared" si="49"/>
        <v>0</v>
      </c>
      <c r="AE109" s="652">
        <f t="shared" si="50"/>
        <v>0</v>
      </c>
      <c r="AF109" s="651">
        <f t="array" ref="AF109">IFERROR(INDEX('HIV-Pharmaceuticals'!$W$14:$W$99,MATCH($E109&amp;$F109,'HIV-Pharmaceuticals'!$E$14:$E$99&amp;'HIV-Pharmaceuticals'!$I$14:$I$99,0)),0)</f>
        <v>0</v>
      </c>
      <c r="AG109" s="652">
        <f t="shared" si="51"/>
        <v>0</v>
      </c>
      <c r="AH109" s="652">
        <f t="shared" si="52"/>
        <v>0</v>
      </c>
      <c r="AI109" s="652">
        <f t="shared" si="53"/>
        <v>0</v>
      </c>
      <c r="AJ109" s="651">
        <f t="array" ref="AJ109">IFERROR(INDEX('HIV-Pharmaceuticals'!$X$14:$X$99,MATCH($E109&amp;$F109,'HIV-Pharmaceuticals'!$E$14:$E$99&amp;'HIV-Pharmaceuticals'!$I$14:$I$99,0)),0)</f>
        <v>0</v>
      </c>
      <c r="AK109" s="652">
        <f t="shared" si="54"/>
        <v>0</v>
      </c>
      <c r="AL109" s="652">
        <f t="shared" si="55"/>
        <v>0</v>
      </c>
      <c r="AM109" s="652">
        <f t="shared" si="56"/>
        <v>0</v>
      </c>
      <c r="AN109" s="651">
        <f t="array" ref="AN109">IFERROR(INDEX('HIV-Pharmaceuticals'!$Y$14:$Y$99,MATCH($E109&amp;$F109,'HIV-Pharmaceuticals'!$E$14:$E$99&amp;'HIV-Pharmaceuticals'!$I$14:$I$99,0)),0)</f>
        <v>0</v>
      </c>
      <c r="AO109" s="652">
        <f t="shared" si="57"/>
        <v>0</v>
      </c>
      <c r="AP109" s="652">
        <f t="shared" si="58"/>
        <v>0</v>
      </c>
      <c r="AQ109" s="652">
        <f t="shared" si="59"/>
        <v>0</v>
      </c>
      <c r="AR109" s="653"/>
      <c r="AS109" s="651">
        <f t="array" ref="AS109">IFERROR(INDEX('HIV-Pharmaceuticals'!$AB$14:$AB$99,MATCH($E109&amp;$F109,'HIV-Pharmaceuticals'!$E$14:$E$99&amp;'HIV-Pharmaceuticals'!$I$14:$I$99,0)),0)</f>
        <v>0</v>
      </c>
      <c r="AT109" s="651">
        <f t="array" ref="AT109">IFERROR(INDEX('HIV-Pharmaceuticals'!$AC$14:$AC$99,MATCH($E109&amp;$F109,'HIV-Pharmaceuticals'!$E$14:$E$99&amp;'HIV-Pharmaceuticals'!$I$14:$I$99,0)),0)</f>
        <v>0</v>
      </c>
      <c r="AU109" s="652">
        <f t="shared" si="60"/>
        <v>0</v>
      </c>
      <c r="AV109" s="652">
        <f t="shared" si="61"/>
        <v>0</v>
      </c>
      <c r="AW109" s="652">
        <f t="shared" si="62"/>
        <v>0</v>
      </c>
      <c r="AX109" s="651">
        <f t="array" ref="AX109">IFERROR(INDEX('HIV-Pharmaceuticals'!$AD$14:$AD$99,MATCH($E109&amp;$F109,'HIV-Pharmaceuticals'!$E$14:$E$99&amp;'HIV-Pharmaceuticals'!$I$14:$I$99,0)),0)</f>
        <v>0</v>
      </c>
      <c r="AY109" s="652">
        <f t="shared" si="63"/>
        <v>0</v>
      </c>
      <c r="AZ109" s="652">
        <f t="shared" si="64"/>
        <v>0</v>
      </c>
      <c r="BA109" s="652">
        <f t="shared" si="65"/>
        <v>0</v>
      </c>
      <c r="BB109" s="651">
        <f t="array" ref="BB109">IFERROR(INDEX('HIV-Pharmaceuticals'!$AE$14:$AE$99,MATCH($E109&amp;$F109,'HIV-Pharmaceuticals'!$E$14:$E$99&amp;'HIV-Pharmaceuticals'!$I$14:$I$99,0)),0)</f>
        <v>0</v>
      </c>
      <c r="BC109" s="652">
        <f t="shared" si="66"/>
        <v>0</v>
      </c>
      <c r="BD109" s="652">
        <f t="shared" si="67"/>
        <v>0</v>
      </c>
      <c r="BE109" s="652">
        <f t="shared" si="68"/>
        <v>0</v>
      </c>
      <c r="BF109" s="651">
        <f t="array" ref="BF109">IFERROR(INDEX('HIV-Pharmaceuticals'!$AF$14:$AF$99,MATCH($E109&amp;$F109,'HIV-Pharmaceuticals'!$E$14:$E$99&amp;'HIV-Pharmaceuticals'!$I$14:$I$99,0)),0)</f>
        <v>0</v>
      </c>
      <c r="BG109" s="652">
        <f t="shared" si="69"/>
        <v>0</v>
      </c>
      <c r="BH109" s="652">
        <f t="shared" si="70"/>
        <v>0</v>
      </c>
      <c r="BI109" s="652">
        <f t="shared" si="71"/>
        <v>0</v>
      </c>
      <c r="BK109" s="654"/>
      <c r="BL109" s="654"/>
      <c r="BM109" s="654"/>
      <c r="BN109" s="654"/>
      <c r="BO109" s="654"/>
      <c r="BP109" s="654"/>
      <c r="BQ109" s="654"/>
      <c r="BR109" s="654"/>
    </row>
    <row r="110" spans="1:70">
      <c r="A110" s="647"/>
      <c r="B110" s="647"/>
      <c r="C110" s="648"/>
      <c r="D110" s="649"/>
      <c r="E110" s="647"/>
      <c r="F110" s="647"/>
      <c r="G110" s="650"/>
      <c r="H110" s="650"/>
      <c r="I110" s="651"/>
      <c r="J110" s="651"/>
      <c r="K110" s="652"/>
      <c r="L110" s="652"/>
      <c r="M110" s="652"/>
      <c r="N110" s="651"/>
      <c r="O110" s="652"/>
      <c r="P110" s="652"/>
      <c r="Q110" s="652"/>
      <c r="R110" s="651"/>
      <c r="S110" s="652"/>
      <c r="T110" s="652"/>
      <c r="U110" s="652"/>
      <c r="V110" s="651"/>
      <c r="W110" s="652"/>
      <c r="X110" s="652"/>
      <c r="Y110" s="652"/>
      <c r="Z110" s="653"/>
      <c r="AA110" s="651"/>
      <c r="AB110" s="651"/>
      <c r="AC110" s="651"/>
      <c r="AD110" s="652"/>
      <c r="AE110" s="652"/>
      <c r="AF110" s="651"/>
      <c r="AG110" s="651"/>
      <c r="AH110" s="652"/>
      <c r="AI110" s="652"/>
      <c r="AJ110" s="651"/>
      <c r="AK110" s="651"/>
      <c r="AL110" s="652"/>
      <c r="AM110" s="652"/>
      <c r="AN110" s="651"/>
      <c r="AO110" s="651"/>
      <c r="AP110" s="652"/>
      <c r="AQ110" s="652"/>
      <c r="AR110" s="653"/>
      <c r="AS110" s="651"/>
      <c r="AT110" s="651"/>
      <c r="AU110" s="651"/>
      <c r="AV110" s="652"/>
      <c r="AW110" s="652"/>
      <c r="AX110" s="651"/>
      <c r="AY110" s="651"/>
      <c r="AZ110" s="652"/>
      <c r="BA110" s="652"/>
      <c r="BB110" s="651"/>
      <c r="BC110" s="651"/>
      <c r="BD110" s="652"/>
      <c r="BE110" s="652"/>
      <c r="BF110" s="651"/>
      <c r="BG110" s="651"/>
      <c r="BH110" s="652"/>
      <c r="BI110" s="652"/>
      <c r="BK110" s="654"/>
      <c r="BL110" s="654"/>
      <c r="BM110" s="654"/>
      <c r="BN110" s="654"/>
      <c r="BO110" s="654"/>
      <c r="BP110" s="654"/>
      <c r="BQ110" s="654"/>
      <c r="BR110" s="654"/>
    </row>
    <row r="111" spans="1:70">
      <c r="A111" s="2315" t="s">
        <v>2281</v>
      </c>
      <c r="B111" s="2315"/>
      <c r="C111" s="2315"/>
      <c r="D111" s="2315"/>
      <c r="E111" s="2315"/>
      <c r="F111" s="2315"/>
      <c r="G111" s="634"/>
      <c r="H111" s="634"/>
      <c r="I111" s="635"/>
      <c r="J111" s="635"/>
      <c r="K111" s="635"/>
      <c r="L111" s="635"/>
      <c r="M111" s="635"/>
      <c r="N111" s="635"/>
      <c r="O111" s="635"/>
      <c r="P111" s="635"/>
      <c r="Q111" s="635"/>
      <c r="R111" s="635"/>
      <c r="S111" s="635"/>
      <c r="T111" s="635"/>
      <c r="U111" s="635"/>
      <c r="V111" s="635"/>
      <c r="W111" s="635"/>
      <c r="X111" s="635"/>
      <c r="Y111" s="635"/>
      <c r="Z111" s="635"/>
      <c r="AA111" s="635"/>
      <c r="AB111" s="635"/>
      <c r="AC111" s="635"/>
      <c r="AD111" s="635"/>
      <c r="AE111" s="635"/>
      <c r="AF111" s="635"/>
      <c r="AG111" s="635"/>
      <c r="AH111" s="635"/>
      <c r="AI111" s="635"/>
      <c r="AJ111" s="635"/>
      <c r="AK111" s="635"/>
      <c r="AL111" s="635"/>
      <c r="AM111" s="635"/>
      <c r="AN111" s="635"/>
      <c r="AO111" s="635"/>
      <c r="AP111" s="635"/>
      <c r="AQ111" s="635"/>
      <c r="AR111" s="635"/>
      <c r="AS111" s="635"/>
      <c r="AT111" s="635"/>
      <c r="AU111" s="635"/>
      <c r="AV111" s="635"/>
      <c r="AW111" s="635"/>
      <c r="AX111" s="635"/>
      <c r="AY111" s="635"/>
      <c r="AZ111" s="635"/>
      <c r="BA111" s="635"/>
      <c r="BB111" s="635"/>
      <c r="BC111" s="635"/>
      <c r="BD111" s="635"/>
      <c r="BE111" s="635"/>
      <c r="BF111" s="635"/>
      <c r="BG111" s="635"/>
      <c r="BH111" s="635"/>
      <c r="BI111" s="635"/>
      <c r="BJ111" s="636"/>
      <c r="BK111" s="636"/>
      <c r="BL111" s="636"/>
      <c r="BM111" s="636"/>
      <c r="BN111" s="636"/>
      <c r="BO111" s="636"/>
      <c r="BP111" s="636"/>
      <c r="BQ111" s="636"/>
      <c r="BR111" s="636"/>
    </row>
    <row r="112" spans="1:70" s="646" customFormat="1">
      <c r="A112" s="639" t="s">
        <v>1545</v>
      </c>
      <c r="B112" s="639" t="s">
        <v>203</v>
      </c>
      <c r="C112" s="640" t="s">
        <v>459</v>
      </c>
      <c r="D112" s="639" t="s">
        <v>460</v>
      </c>
      <c r="E112" s="639" t="s">
        <v>461</v>
      </c>
      <c r="F112" s="639" t="s">
        <v>214</v>
      </c>
      <c r="G112" s="640" t="s">
        <v>462</v>
      </c>
      <c r="H112" s="640" t="s">
        <v>49</v>
      </c>
      <c r="I112" s="726" t="s">
        <v>463</v>
      </c>
      <c r="J112" s="726" t="s">
        <v>464</v>
      </c>
      <c r="K112" s="726" t="s">
        <v>465</v>
      </c>
      <c r="L112" s="727" t="s">
        <v>466</v>
      </c>
      <c r="M112" s="727" t="s">
        <v>467</v>
      </c>
      <c r="N112" s="726" t="s">
        <v>468</v>
      </c>
      <c r="O112" s="726" t="s">
        <v>469</v>
      </c>
      <c r="P112" s="727" t="s">
        <v>470</v>
      </c>
      <c r="Q112" s="727" t="s">
        <v>471</v>
      </c>
      <c r="R112" s="726" t="s">
        <v>472</v>
      </c>
      <c r="S112" s="726" t="s">
        <v>473</v>
      </c>
      <c r="T112" s="727" t="s">
        <v>474</v>
      </c>
      <c r="U112" s="727" t="s">
        <v>475</v>
      </c>
      <c r="V112" s="726" t="s">
        <v>476</v>
      </c>
      <c r="W112" s="726" t="s">
        <v>477</v>
      </c>
      <c r="X112" s="727" t="s">
        <v>478</v>
      </c>
      <c r="Y112" s="727" t="s">
        <v>479</v>
      </c>
      <c r="Z112" s="643"/>
      <c r="AA112" s="726" t="s">
        <v>480</v>
      </c>
      <c r="AB112" s="726" t="s">
        <v>481</v>
      </c>
      <c r="AC112" s="726" t="s">
        <v>482</v>
      </c>
      <c r="AD112" s="727" t="s">
        <v>483</v>
      </c>
      <c r="AE112" s="727" t="s">
        <v>484</v>
      </c>
      <c r="AF112" s="726" t="s">
        <v>485</v>
      </c>
      <c r="AG112" s="726" t="s">
        <v>486</v>
      </c>
      <c r="AH112" s="727" t="s">
        <v>487</v>
      </c>
      <c r="AI112" s="727" t="s">
        <v>488</v>
      </c>
      <c r="AJ112" s="726" t="s">
        <v>489</v>
      </c>
      <c r="AK112" s="726" t="s">
        <v>490</v>
      </c>
      <c r="AL112" s="727" t="s">
        <v>491</v>
      </c>
      <c r="AM112" s="727" t="s">
        <v>492</v>
      </c>
      <c r="AN112" s="726" t="s">
        <v>493</v>
      </c>
      <c r="AO112" s="726" t="s">
        <v>494</v>
      </c>
      <c r="AP112" s="727" t="s">
        <v>495</v>
      </c>
      <c r="AQ112" s="727" t="s">
        <v>496</v>
      </c>
      <c r="AR112" s="643"/>
      <c r="AS112" s="726" t="s">
        <v>497</v>
      </c>
      <c r="AT112" s="726" t="s">
        <v>498</v>
      </c>
      <c r="AU112" s="726" t="s">
        <v>499</v>
      </c>
      <c r="AV112" s="727" t="s">
        <v>500</v>
      </c>
      <c r="AW112" s="727" t="s">
        <v>501</v>
      </c>
      <c r="AX112" s="726" t="s">
        <v>502</v>
      </c>
      <c r="AY112" s="726" t="s">
        <v>503</v>
      </c>
      <c r="AZ112" s="727" t="s">
        <v>504</v>
      </c>
      <c r="BA112" s="727" t="s">
        <v>505</v>
      </c>
      <c r="BB112" s="726" t="s">
        <v>506</v>
      </c>
      <c r="BC112" s="726" t="s">
        <v>507</v>
      </c>
      <c r="BD112" s="727" t="s">
        <v>508</v>
      </c>
      <c r="BE112" s="727" t="s">
        <v>509</v>
      </c>
      <c r="BF112" s="726" t="s">
        <v>510</v>
      </c>
      <c r="BG112" s="726" t="s">
        <v>511</v>
      </c>
      <c r="BH112" s="727" t="s">
        <v>512</v>
      </c>
      <c r="BI112" s="727" t="s">
        <v>513</v>
      </c>
      <c r="BJ112" s="644"/>
      <c r="BK112" s="728" t="s">
        <v>514</v>
      </c>
      <c r="BL112" s="728" t="s">
        <v>515</v>
      </c>
      <c r="BM112" s="728" t="s">
        <v>516</v>
      </c>
      <c r="BN112" s="728" t="s">
        <v>517</v>
      </c>
      <c r="BO112" s="728" t="s">
        <v>518</v>
      </c>
      <c r="BP112" s="728" t="s">
        <v>519</v>
      </c>
      <c r="BQ112" s="728" t="s">
        <v>520</v>
      </c>
      <c r="BR112" s="728" t="s">
        <v>521</v>
      </c>
    </row>
    <row r="113" spans="1:70">
      <c r="A113" s="647" t="s">
        <v>1317</v>
      </c>
      <c r="B113" s="647" t="s">
        <v>2282</v>
      </c>
      <c r="C113" s="648">
        <f>SETUP!$F$22</f>
        <v>0</v>
      </c>
      <c r="D113" s="649">
        <v>4.5</v>
      </c>
      <c r="E113" s="647" t="s">
        <v>1321</v>
      </c>
      <c r="F113" s="647" t="s">
        <v>1322</v>
      </c>
      <c r="G113" s="650" t="str">
        <f t="array" ref="G113">IFERROR(INDEX('HIV-Pharmaceuticals'!$L$107:$L$192,MATCH($E113&amp;$F113,'HIV-Pharmaceuticals'!$E$107:$E$192&amp;'HIV-Pharmaceuticals'!$I$107:$I$192,0)),"")</f>
        <v/>
      </c>
      <c r="H113" s="650" t="str">
        <f t="array" ref="H113">IFERROR(INDEX('HIV-Pharmaceuticals'!$M$107:$M$192,MATCH($E113&amp;$F113,'HIV-Pharmaceuticals'!$E$107:$E$192&amp;'HIV-Pharmaceuticals'!$I$107:$I$192,0)),"")</f>
        <v/>
      </c>
      <c r="I113" s="651">
        <f t="array" ref="I113">IFERROR(INDEX('HIV-Pharmaceuticals'!$N$107:$N$192,MATCH($E113&amp;$F113,'HIV-Pharmaceuticals'!$E$107:$E$192&amp;'HIV-Pharmaceuticals'!$I$107:$I$192,0)),0)</f>
        <v>0</v>
      </c>
      <c r="J113" s="651">
        <f t="array" ref="J113">IFERROR(INDEX('HIV-Pharmaceuticals'!$O$107:$O$192,MATCH($E113&amp;$F113,'HIV-Pharmaceuticals'!$E$107:$E$192&amp;'HIV-Pharmaceuticals'!$I$107:$I$192,0)),0)</f>
        <v>0</v>
      </c>
      <c r="K113" s="652">
        <f>IF(ISERROR($I113*J113),0,$I113*J113)</f>
        <v>0</v>
      </c>
      <c r="L113" s="652">
        <f>IF(C113="Upfront",J113,0)</f>
        <v>0</v>
      </c>
      <c r="M113" s="652">
        <f>IF(C113="Upfront",K113,0)</f>
        <v>0</v>
      </c>
      <c r="N113" s="651">
        <f t="array" ref="N113">IFERROR(INDEX('HIV-Pharmaceuticals'!$P$107:$P$192,MATCH($E113&amp;$F113,'HIV-Pharmaceuticals'!$E$107:$E$192&amp;'HIV-Pharmaceuticals'!$I$107:$I$192,0)),0)</f>
        <v>0</v>
      </c>
      <c r="O113" s="652">
        <f>IF(ISERROR($I113*N113),0,$I113*N113)</f>
        <v>0</v>
      </c>
      <c r="P113" s="652">
        <f>IF(C113="Upfront",N113,0)</f>
        <v>0</v>
      </c>
      <c r="Q113" s="652">
        <f>IF(C113="Upfront",O113,0)</f>
        <v>0</v>
      </c>
      <c r="R113" s="651">
        <f t="array" ref="R113">IFERROR(INDEX('HIV-Pharmaceuticals'!$Q$107:$Q$192,MATCH($E113&amp;$F113,'HIV-Pharmaceuticals'!$E$107:$E$192&amp;'HIV-Pharmaceuticals'!$I$107:$I$192,0)),0)</f>
        <v>0</v>
      </c>
      <c r="S113" s="652">
        <f>IF(ISERROR($I113*R113),0,$I113*R113)</f>
        <v>0</v>
      </c>
      <c r="T113" s="652">
        <f>IF(C113="Upfront",R113,IF(C113="At delivery",J113,0))</f>
        <v>0</v>
      </c>
      <c r="U113" s="652">
        <f>IF(C113="Upfront",S113,IF(C113="At delivery",K113,0))</f>
        <v>0</v>
      </c>
      <c r="V113" s="651">
        <f t="array" ref="V113">IFERROR(INDEX('HIV-Pharmaceuticals'!$R$107:$R$192,MATCH($E113&amp;$F113,'HIV-Pharmaceuticals'!$E$107:$E$192&amp;'HIV-Pharmaceuticals'!$I$107:$I$192,0)),0)</f>
        <v>0</v>
      </c>
      <c r="W113" s="652">
        <f>IF(ISERROR($I113*V113),0,$I113*V113)</f>
        <v>0</v>
      </c>
      <c r="X113" s="652">
        <f>IF(C113="Upfront",V113,IF(C113="At delivery",N113,0))</f>
        <v>0</v>
      </c>
      <c r="Y113" s="652">
        <f>IF(C113="Upfront",W113,IF(C113="At delivery",O113,0))</f>
        <v>0</v>
      </c>
      <c r="Z113" s="653"/>
      <c r="AA113" s="651">
        <f t="array" ref="AA113">IFERROR(INDEX('HIV-Pharmaceuticals'!$U$107:$U$192,MATCH($E113&amp;$F113,'HIV-Pharmaceuticals'!$E$107:$E$192&amp;'HIV-Pharmaceuticals'!$I$107:$I$192,0)),0)</f>
        <v>0</v>
      </c>
      <c r="AB113" s="651">
        <f t="array" ref="AB113">IFERROR(INDEX('HIV-Pharmaceuticals'!$V$107:$V$192,MATCH($E113&amp;$F113,'HIV-Pharmaceuticals'!$E$107:$E$192&amp;'HIV-Pharmaceuticals'!$I$107:$I$192,0)),0)</f>
        <v>0</v>
      </c>
      <c r="AC113" s="651">
        <f>IF(ISERROR($AA113*AB113),0,$AA113*AB113)</f>
        <v>0</v>
      </c>
      <c r="AD113" s="652">
        <f>IF(C113="Upfront",AB113,IF(C113="At delivery",R113,0))</f>
        <v>0</v>
      </c>
      <c r="AE113" s="652">
        <f>IF(C113="Upfront",AC113,IF(C113="At delivery",S113,0))</f>
        <v>0</v>
      </c>
      <c r="AF113" s="651">
        <f t="array" ref="AF113">IFERROR(INDEX('HIV-Pharmaceuticals'!$W$107:$W$192,MATCH($E113&amp;$F113,'HIV-Pharmaceuticals'!$E$107:$E$192&amp;'HIV-Pharmaceuticals'!$I$107:$I$192,0)),0)</f>
        <v>0</v>
      </c>
      <c r="AG113" s="651">
        <f>IF(ISERROR($AA113*AF113),0,$AA113*AF113)</f>
        <v>0</v>
      </c>
      <c r="AH113" s="652">
        <f>IF(C113="Upfront",AF113,IF(C113="At delivery",V113,0))</f>
        <v>0</v>
      </c>
      <c r="AI113" s="652">
        <f>IF(C113="Upfront",AG113,IF(C113="At delivery",W113,0))</f>
        <v>0</v>
      </c>
      <c r="AJ113" s="651">
        <f t="array" ref="AJ113">IFERROR(INDEX('HIV-Pharmaceuticals'!$X$107:$X$192,MATCH($E113&amp;$F113,'HIV-Pharmaceuticals'!$E$107:$E$192&amp;'HIV-Pharmaceuticals'!$I$107:$I$192,0)),0)</f>
        <v>0</v>
      </c>
      <c r="AK113" s="651">
        <f>IF(ISERROR($AA113*AJ113),0,$AA113*AJ113)</f>
        <v>0</v>
      </c>
      <c r="AL113" s="652">
        <f>IF(C113="Upfront",AJ113,IF(C113="At delivery",AB113,0))</f>
        <v>0</v>
      </c>
      <c r="AM113" s="652">
        <f>IF(C113="Upfront",AK113,IF(C113="At delivery",AC113,0))</f>
        <v>0</v>
      </c>
      <c r="AN113" s="651">
        <f t="array" ref="AN113">IFERROR(INDEX('HIV-Pharmaceuticals'!$Y$107:$Y$192,MATCH($E113&amp;$F113,'HIV-Pharmaceuticals'!$E$107:$E$192&amp;'HIV-Pharmaceuticals'!$I$107:$I$192,0)),0)</f>
        <v>0</v>
      </c>
      <c r="AO113" s="651">
        <f>IF(ISERROR($AA113*AN113),0,$AA113*AN113)</f>
        <v>0</v>
      </c>
      <c r="AP113" s="652">
        <f>IF(C113="Upfront",AN113,IF(C113="At delivery",AF113,0))</f>
        <v>0</v>
      </c>
      <c r="AQ113" s="652">
        <f>IF(C113="Upfront",AO113,IF(C113="At delivery",AG113,0))</f>
        <v>0</v>
      </c>
      <c r="AR113" s="653"/>
      <c r="AS113" s="651">
        <f t="array" ref="AS113">IFERROR(INDEX('HIV-Pharmaceuticals'!$AB$107:$AB$192,MATCH($E113&amp;$F113,'HIV-Pharmaceuticals'!$E$107:$E$192&amp;'HIV-Pharmaceuticals'!$I$107:$I$192,0)),0)</f>
        <v>0</v>
      </c>
      <c r="AT113" s="651">
        <f t="array" ref="AT113">IFERROR(INDEX('HIV-Pharmaceuticals'!$AC$107:$AC$192,MATCH($E113&amp;$F113,'HIV-Pharmaceuticals'!$E$107:$E$192&amp;'HIV-Pharmaceuticals'!$I$107:$I$192,0)),0)</f>
        <v>0</v>
      </c>
      <c r="AU113" s="651">
        <f>IF(ISERROR($AS113*AT113),0,$AS113*AT113)</f>
        <v>0</v>
      </c>
      <c r="AV113" s="652">
        <f>IF(C113="Upfront",AT113,IF(C113="At delivery",AJ113,0))</f>
        <v>0</v>
      </c>
      <c r="AW113" s="652">
        <f>IF(C113="Upfront",AU113,IF(C113="At delivery",AK113,0))</f>
        <v>0</v>
      </c>
      <c r="AX113" s="651">
        <f t="array" ref="AX113">IFERROR(INDEX('HIV-Pharmaceuticals'!$AD$107:$AD$192,MATCH($E113&amp;$F113,'HIV-Pharmaceuticals'!$E$107:$E$192&amp;'HIV-Pharmaceuticals'!$I$107:$I$192,0)),0)</f>
        <v>0</v>
      </c>
      <c r="AY113" s="651">
        <f>IF(ISERROR($AS113*AX113),0,$AS113*AX113)</f>
        <v>0</v>
      </c>
      <c r="AZ113" s="652">
        <f>IF(C113="Upfront",AX113,IF(C113="At delivery",AN113,0))</f>
        <v>0</v>
      </c>
      <c r="BA113" s="652">
        <f>IF(C113="Upfront",AY113,IF(C113="At delivery",AO113,0))</f>
        <v>0</v>
      </c>
      <c r="BB113" s="651">
        <f t="array" ref="BB113">IFERROR(INDEX('HIV-Pharmaceuticals'!$AE$107:$AE$192,MATCH($E113&amp;$F113,'HIV-Pharmaceuticals'!$E$107:$E$192&amp;'HIV-Pharmaceuticals'!$I$107:$I$192,0)),0)</f>
        <v>0</v>
      </c>
      <c r="BC113" s="651">
        <f>IF(ISERROR($AS113*BB113),0,$AS113*BB113)</f>
        <v>0</v>
      </c>
      <c r="BD113" s="652">
        <f>IF(C113="Upfront",BB113,IF(C113="At delivery",AT113,0))</f>
        <v>0</v>
      </c>
      <c r="BE113" s="652">
        <f>IF(C113="Upfront",BC113,IF(C113="At delivery",AU113,0))</f>
        <v>0</v>
      </c>
      <c r="BF113" s="651">
        <f t="array" ref="BF113">IFERROR(INDEX('HIV-Pharmaceuticals'!$AF$107:$AF$192,MATCH($E113&amp;$F113,'HIV-Pharmaceuticals'!$E$107:$E$192&amp;'HIV-Pharmaceuticals'!$I$107:$I$192,0)),0)</f>
        <v>0</v>
      </c>
      <c r="BG113" s="651">
        <f>IF(ISERROR($AS113*BF113),0,$AS113*BF113)</f>
        <v>0</v>
      </c>
      <c r="BH113" s="652">
        <f>IF(C113="Upfront",BF113,IF(C113="At delivery",AX113,0))</f>
        <v>0</v>
      </c>
      <c r="BI113" s="652">
        <f>IF(C113="Upfront",BG113,IF(C113="At delivery",AY113,0))</f>
        <v>0</v>
      </c>
      <c r="BK113" s="654"/>
      <c r="BL113" s="654"/>
      <c r="BM113" s="654"/>
      <c r="BN113" s="654"/>
      <c r="BO113" s="654"/>
      <c r="BP113" s="654"/>
      <c r="BQ113" s="654"/>
      <c r="BR113" s="654"/>
    </row>
    <row r="114" spans="1:70">
      <c r="A114" s="647" t="s">
        <v>1317</v>
      </c>
      <c r="B114" s="647" t="s">
        <v>2282</v>
      </c>
      <c r="C114" s="648">
        <f>SETUP!$F$22</f>
        <v>0</v>
      </c>
      <c r="D114" s="649">
        <v>4.5</v>
      </c>
      <c r="E114" s="647" t="s">
        <v>1329</v>
      </c>
      <c r="F114" s="647" t="s">
        <v>1330</v>
      </c>
      <c r="G114" s="650" t="str">
        <f t="array" ref="G114">IFERROR(INDEX('HIV-Pharmaceuticals'!$L$107:$L$192,MATCH($E114&amp;$F114,'HIV-Pharmaceuticals'!$E$107:$E$192&amp;'HIV-Pharmaceuticals'!$I$107:$I$192,0)),"")</f>
        <v/>
      </c>
      <c r="H114" s="650" t="str">
        <f t="array" ref="H114">IFERROR(INDEX('HIV-Pharmaceuticals'!$M$107:$M$192,MATCH($E114&amp;$F114,'HIV-Pharmaceuticals'!$E$107:$E$192&amp;'HIV-Pharmaceuticals'!$I$107:$I$192,0)),"")</f>
        <v/>
      </c>
      <c r="I114" s="651">
        <f t="array" ref="I114">IFERROR(INDEX('HIV-Pharmaceuticals'!$N$107:$N$192,MATCH($E114&amp;$F114,'HIV-Pharmaceuticals'!$E$107:$E$192&amp;'HIV-Pharmaceuticals'!$I$107:$I$192,0)),0)</f>
        <v>0</v>
      </c>
      <c r="J114" s="651">
        <f t="array" ref="J114">IFERROR(INDEX('HIV-Pharmaceuticals'!$O$107:$O$192,MATCH($E114&amp;$F114,'HIV-Pharmaceuticals'!$E$107:$E$192&amp;'HIV-Pharmaceuticals'!$I$107:$I$192,0)),0)</f>
        <v>0</v>
      </c>
      <c r="K114" s="652">
        <f t="shared" ref="K114:K176" si="72">IF(ISERROR($I114*J114),0,$I114*J114)</f>
        <v>0</v>
      </c>
      <c r="L114" s="652">
        <f t="shared" ref="L114:L176" si="73">IF(C114="Upfront",J114,0)</f>
        <v>0</v>
      </c>
      <c r="M114" s="652">
        <f t="shared" ref="M114:M176" si="74">IF(C114="Upfront",K114,0)</f>
        <v>0</v>
      </c>
      <c r="N114" s="651">
        <f t="array" ref="N114">IFERROR(INDEX('HIV-Pharmaceuticals'!$P$107:$P$192,MATCH($E114&amp;$F114,'HIV-Pharmaceuticals'!$E$107:$E$192&amp;'HIV-Pharmaceuticals'!$I$107:$I$192,0)),0)</f>
        <v>0</v>
      </c>
      <c r="O114" s="652">
        <f t="shared" ref="O114:O176" si="75">IF(ISERROR($I114*N114),0,$I114*N114)</f>
        <v>0</v>
      </c>
      <c r="P114" s="652">
        <f t="shared" ref="P114:P176" si="76">IF(C114="Upfront",N114,0)</f>
        <v>0</v>
      </c>
      <c r="Q114" s="652">
        <f t="shared" ref="Q114:Q176" si="77">IF(C114="Upfront",O114,0)</f>
        <v>0</v>
      </c>
      <c r="R114" s="651">
        <f t="array" ref="R114">IFERROR(INDEX('HIV-Pharmaceuticals'!$Q$107:$Q$192,MATCH($E114&amp;$F114,'HIV-Pharmaceuticals'!$E$107:$E$192&amp;'HIV-Pharmaceuticals'!$I$107:$I$192,0)),0)</f>
        <v>0</v>
      </c>
      <c r="S114" s="652">
        <f t="shared" ref="S114:S176" si="78">IF(ISERROR($I114*R114),0,$I114*R114)</f>
        <v>0</v>
      </c>
      <c r="T114" s="652">
        <f t="shared" ref="T114:T176" si="79">IF(C114="Upfront",R114,IF(C114="At delivery",J114,0))</f>
        <v>0</v>
      </c>
      <c r="U114" s="652">
        <f t="shared" ref="U114:U176" si="80">IF(C114="Upfront",S114,IF(C114="At delivery",K114,0))</f>
        <v>0</v>
      </c>
      <c r="V114" s="651">
        <f t="array" ref="V114">IFERROR(INDEX('HIV-Pharmaceuticals'!$R$107:$R$192,MATCH($E114&amp;$F114,'HIV-Pharmaceuticals'!$E$107:$E$192&amp;'HIV-Pharmaceuticals'!$I$107:$I$192,0)),0)</f>
        <v>0</v>
      </c>
      <c r="W114" s="652">
        <f t="shared" ref="W114:W176" si="81">IF(ISERROR($I114*V114),0,$I114*V114)</f>
        <v>0</v>
      </c>
      <c r="X114" s="652">
        <f t="shared" ref="X114:X176" si="82">IF(C114="Upfront",V114,IF(C114="At delivery",N114,0))</f>
        <v>0</v>
      </c>
      <c r="Y114" s="652">
        <f t="shared" ref="Y114:Y176" si="83">IF(C114="Upfront",W114,IF(C114="At delivery",O114,0))</f>
        <v>0</v>
      </c>
      <c r="Z114" s="653"/>
      <c r="AA114" s="651">
        <f t="array" ref="AA114">IFERROR(INDEX('HIV-Pharmaceuticals'!$U$107:$U$192,MATCH($E114&amp;$F114,'HIV-Pharmaceuticals'!$E$107:$E$192&amp;'HIV-Pharmaceuticals'!$I$107:$I$192,0)),0)</f>
        <v>0</v>
      </c>
      <c r="AB114" s="651">
        <f t="array" ref="AB114">IFERROR(INDEX('HIV-Pharmaceuticals'!$V$107:$V$192,MATCH($E114&amp;$F114,'HIV-Pharmaceuticals'!$E$107:$E$192&amp;'HIV-Pharmaceuticals'!$I$107:$I$192,0)),0)</f>
        <v>0</v>
      </c>
      <c r="AC114" s="651">
        <f t="shared" ref="AC114:AC176" si="84">IF(ISERROR($AA114*AB114),0,$AA114*AB114)</f>
        <v>0</v>
      </c>
      <c r="AD114" s="652">
        <f t="shared" ref="AD114:AD176" si="85">IF(C114="Upfront",AB114,IF(C114="At delivery",R114,0))</f>
        <v>0</v>
      </c>
      <c r="AE114" s="652">
        <f t="shared" ref="AE114:AE176" si="86">IF(C114="Upfront",AC114,IF(C114="At delivery",S114,0))</f>
        <v>0</v>
      </c>
      <c r="AF114" s="651">
        <f t="array" ref="AF114">IFERROR(INDEX('HIV-Pharmaceuticals'!$W$107:$W$192,MATCH($E114&amp;$F114,'HIV-Pharmaceuticals'!$E$107:$E$192&amp;'HIV-Pharmaceuticals'!$I$107:$I$192,0)),0)</f>
        <v>0</v>
      </c>
      <c r="AG114" s="651">
        <f t="shared" ref="AG114:AG176" si="87">IF(ISERROR($AA114*AF114),0,$AA114*AF114)</f>
        <v>0</v>
      </c>
      <c r="AH114" s="652">
        <f t="shared" ref="AH114:AH176" si="88">IF(C114="Upfront",AF114,IF(C114="At delivery",V114,0))</f>
        <v>0</v>
      </c>
      <c r="AI114" s="652">
        <f t="shared" ref="AI114:AI176" si="89">IF(C114="Upfront",AG114,IF(C114="At delivery",W114,0))</f>
        <v>0</v>
      </c>
      <c r="AJ114" s="651">
        <f t="array" ref="AJ114">IFERROR(INDEX('HIV-Pharmaceuticals'!$X$107:$X$192,MATCH($E114&amp;$F114,'HIV-Pharmaceuticals'!$E$107:$E$192&amp;'HIV-Pharmaceuticals'!$I$107:$I$192,0)),0)</f>
        <v>0</v>
      </c>
      <c r="AK114" s="651">
        <f t="shared" ref="AK114:AK176" si="90">IF(ISERROR($AA114*AJ114),0,$AA114*AJ114)</f>
        <v>0</v>
      </c>
      <c r="AL114" s="652">
        <f t="shared" ref="AL114:AL176" si="91">IF(C114="Upfront",AJ114,IF(C114="At delivery",AB114,0))</f>
        <v>0</v>
      </c>
      <c r="AM114" s="652">
        <f t="shared" ref="AM114:AM176" si="92">IF(C114="Upfront",AK114,IF(C114="At delivery",AC114,0))</f>
        <v>0</v>
      </c>
      <c r="AN114" s="651">
        <f t="array" ref="AN114">IFERROR(INDEX('HIV-Pharmaceuticals'!$Y$107:$Y$192,MATCH($E114&amp;$F114,'HIV-Pharmaceuticals'!$E$107:$E$192&amp;'HIV-Pharmaceuticals'!$I$107:$I$192,0)),0)</f>
        <v>0</v>
      </c>
      <c r="AO114" s="651">
        <f t="shared" ref="AO114:AO176" si="93">IF(ISERROR($AA114*AN114),0,$AA114*AN114)</f>
        <v>0</v>
      </c>
      <c r="AP114" s="652">
        <f t="shared" ref="AP114:AP176" si="94">IF(C114="Upfront",AN114,IF(C114="At delivery",AF114,0))</f>
        <v>0</v>
      </c>
      <c r="AQ114" s="652">
        <f t="shared" ref="AQ114:AQ176" si="95">IF(C114="Upfront",AO114,IF(C114="At delivery",AG114,0))</f>
        <v>0</v>
      </c>
      <c r="AR114" s="653"/>
      <c r="AS114" s="651">
        <f t="array" ref="AS114">IFERROR(INDEX('HIV-Pharmaceuticals'!$AB$107:$AB$192,MATCH($E114&amp;$F114,'HIV-Pharmaceuticals'!$E$107:$E$192&amp;'HIV-Pharmaceuticals'!$I$107:$I$192,0)),0)</f>
        <v>0</v>
      </c>
      <c r="AT114" s="651">
        <f t="array" ref="AT114">IFERROR(INDEX('HIV-Pharmaceuticals'!$AC$107:$AC$192,MATCH($E114&amp;$F114,'HIV-Pharmaceuticals'!$E$107:$E$192&amp;'HIV-Pharmaceuticals'!$I$107:$I$192,0)),0)</f>
        <v>0</v>
      </c>
      <c r="AU114" s="651">
        <f t="shared" ref="AU114:AU176" si="96">IF(ISERROR($AS114*AT114),0,$AS114*AT114)</f>
        <v>0</v>
      </c>
      <c r="AV114" s="652">
        <f t="shared" ref="AV114:AV176" si="97">IF(C114="Upfront",AT114,IF(C114="At delivery",AJ114,0))</f>
        <v>0</v>
      </c>
      <c r="AW114" s="652">
        <f t="shared" ref="AW114:AW176" si="98">IF(C114="Upfront",AU114,IF(C114="At delivery",AK114,0))</f>
        <v>0</v>
      </c>
      <c r="AX114" s="651">
        <f t="array" ref="AX114">IFERROR(INDEX('HIV-Pharmaceuticals'!$AD$107:$AD$192,MATCH($E114&amp;$F114,'HIV-Pharmaceuticals'!$E$107:$E$192&amp;'HIV-Pharmaceuticals'!$I$107:$I$192,0)),0)</f>
        <v>0</v>
      </c>
      <c r="AY114" s="651">
        <f t="shared" ref="AY114:AY176" si="99">IF(ISERROR($AS114*AX114),0,$AS114*AX114)</f>
        <v>0</v>
      </c>
      <c r="AZ114" s="652">
        <f t="shared" ref="AZ114:AZ176" si="100">IF(C114="Upfront",AX114,IF(C114="At delivery",AN114,0))</f>
        <v>0</v>
      </c>
      <c r="BA114" s="652">
        <f t="shared" ref="BA114:BA176" si="101">IF(C114="Upfront",AY114,IF(C114="At delivery",AO114,0))</f>
        <v>0</v>
      </c>
      <c r="BB114" s="651">
        <f t="array" ref="BB114">IFERROR(INDEX('HIV-Pharmaceuticals'!$AE$107:$AE$192,MATCH($E114&amp;$F114,'HIV-Pharmaceuticals'!$E$107:$E$192&amp;'HIV-Pharmaceuticals'!$I$107:$I$192,0)),0)</f>
        <v>0</v>
      </c>
      <c r="BC114" s="651">
        <f t="shared" ref="BC114:BC176" si="102">IF(ISERROR($AS114*BB114),0,$AS114*BB114)</f>
        <v>0</v>
      </c>
      <c r="BD114" s="652">
        <f t="shared" ref="BD114:BD176" si="103">IF(C114="Upfront",BB114,IF(C114="At delivery",AT114,0))</f>
        <v>0</v>
      </c>
      <c r="BE114" s="652">
        <f t="shared" ref="BE114:BE176" si="104">IF(C114="Upfront",BC114,IF(C114="At delivery",AU114,0))</f>
        <v>0</v>
      </c>
      <c r="BF114" s="651">
        <f t="array" ref="BF114">IFERROR(INDEX('HIV-Pharmaceuticals'!$AF$107:$AF$192,MATCH($E114&amp;$F114,'HIV-Pharmaceuticals'!$E$107:$E$192&amp;'HIV-Pharmaceuticals'!$I$107:$I$192,0)),0)</f>
        <v>0</v>
      </c>
      <c r="BG114" s="651">
        <f t="shared" ref="BG114:BG176" si="105">IF(ISERROR($AS114*BF114),0,$AS114*BF114)</f>
        <v>0</v>
      </c>
      <c r="BH114" s="652">
        <f t="shared" ref="BH114:BH176" si="106">IF(C114="Upfront",BF114,IF(C114="At delivery",AX114,0))</f>
        <v>0</v>
      </c>
      <c r="BI114" s="652">
        <f t="shared" ref="BI114:BI176" si="107">IF(C114="Upfront",BG114,IF(C114="At delivery",AY114,0))</f>
        <v>0</v>
      </c>
      <c r="BK114" s="654"/>
      <c r="BL114" s="654"/>
      <c r="BM114" s="654"/>
      <c r="BN114" s="654"/>
      <c r="BO114" s="654"/>
      <c r="BP114" s="654"/>
      <c r="BQ114" s="654"/>
      <c r="BR114" s="654"/>
    </row>
    <row r="115" spans="1:70">
      <c r="A115" s="647" t="s">
        <v>1317</v>
      </c>
      <c r="B115" s="647" t="s">
        <v>2282</v>
      </c>
      <c r="C115" s="648">
        <f>SETUP!$F$22</f>
        <v>0</v>
      </c>
      <c r="D115" s="649">
        <v>4.5</v>
      </c>
      <c r="E115" s="647" t="s">
        <v>1329</v>
      </c>
      <c r="F115" s="647" t="s">
        <v>1331</v>
      </c>
      <c r="G115" s="650" t="str">
        <f t="array" ref="G115">IFERROR(INDEX('HIV-Pharmaceuticals'!$L$107:$L$192,MATCH($E115&amp;$F115,'HIV-Pharmaceuticals'!$E$107:$E$192&amp;'HIV-Pharmaceuticals'!$I$107:$I$192,0)),"")</f>
        <v/>
      </c>
      <c r="H115" s="650" t="str">
        <f t="array" ref="H115">IFERROR(INDEX('HIV-Pharmaceuticals'!$M$107:$M$192,MATCH($E115&amp;$F115,'HIV-Pharmaceuticals'!$E$107:$E$192&amp;'HIV-Pharmaceuticals'!$I$107:$I$192,0)),"")</f>
        <v/>
      </c>
      <c r="I115" s="651">
        <f t="array" ref="I115">IFERROR(INDEX('HIV-Pharmaceuticals'!$N$107:$N$192,MATCH($E115&amp;$F115,'HIV-Pharmaceuticals'!$E$107:$E$192&amp;'HIV-Pharmaceuticals'!$I$107:$I$192,0)),0)</f>
        <v>0</v>
      </c>
      <c r="J115" s="651">
        <f t="array" ref="J115">IFERROR(INDEX('HIV-Pharmaceuticals'!$O$107:$O$192,MATCH($E115&amp;$F115,'HIV-Pharmaceuticals'!$E$107:$E$192&amp;'HIV-Pharmaceuticals'!$I$107:$I$192,0)),0)</f>
        <v>0</v>
      </c>
      <c r="K115" s="652">
        <f t="shared" si="72"/>
        <v>0</v>
      </c>
      <c r="L115" s="652">
        <f t="shared" si="73"/>
        <v>0</v>
      </c>
      <c r="M115" s="652">
        <f t="shared" si="74"/>
        <v>0</v>
      </c>
      <c r="N115" s="651">
        <f t="array" ref="N115">IFERROR(INDEX('HIV-Pharmaceuticals'!$P$107:$P$192,MATCH($E115&amp;$F115,'HIV-Pharmaceuticals'!$E$107:$E$192&amp;'HIV-Pharmaceuticals'!$I$107:$I$192,0)),0)</f>
        <v>0</v>
      </c>
      <c r="O115" s="652">
        <f t="shared" si="75"/>
        <v>0</v>
      </c>
      <c r="P115" s="652">
        <f t="shared" si="76"/>
        <v>0</v>
      </c>
      <c r="Q115" s="652">
        <f t="shared" si="77"/>
        <v>0</v>
      </c>
      <c r="R115" s="651">
        <f t="array" ref="R115">IFERROR(INDEX('HIV-Pharmaceuticals'!$Q$107:$Q$192,MATCH($E115&amp;$F115,'HIV-Pharmaceuticals'!$E$107:$E$192&amp;'HIV-Pharmaceuticals'!$I$107:$I$192,0)),0)</f>
        <v>0</v>
      </c>
      <c r="S115" s="652">
        <f t="shared" si="78"/>
        <v>0</v>
      </c>
      <c r="T115" s="652">
        <f t="shared" si="79"/>
        <v>0</v>
      </c>
      <c r="U115" s="652">
        <f t="shared" si="80"/>
        <v>0</v>
      </c>
      <c r="V115" s="651">
        <f t="array" ref="V115">IFERROR(INDEX('HIV-Pharmaceuticals'!$R$107:$R$192,MATCH($E115&amp;$F115,'HIV-Pharmaceuticals'!$E$107:$E$192&amp;'HIV-Pharmaceuticals'!$I$107:$I$192,0)),0)</f>
        <v>0</v>
      </c>
      <c r="W115" s="652">
        <f t="shared" si="81"/>
        <v>0</v>
      </c>
      <c r="X115" s="652">
        <f t="shared" si="82"/>
        <v>0</v>
      </c>
      <c r="Y115" s="652">
        <f t="shared" si="83"/>
        <v>0</v>
      </c>
      <c r="Z115" s="653"/>
      <c r="AA115" s="651">
        <f t="array" ref="AA115">IFERROR(INDEX('HIV-Pharmaceuticals'!$U$107:$U$192,MATCH($E115&amp;$F115,'HIV-Pharmaceuticals'!$E$107:$E$192&amp;'HIV-Pharmaceuticals'!$I$107:$I$192,0)),0)</f>
        <v>0</v>
      </c>
      <c r="AB115" s="651">
        <f t="array" ref="AB115">IFERROR(INDEX('HIV-Pharmaceuticals'!$V$107:$V$192,MATCH($E115&amp;$F115,'HIV-Pharmaceuticals'!$E$107:$E$192&amp;'HIV-Pharmaceuticals'!$I$107:$I$192,0)),0)</f>
        <v>0</v>
      </c>
      <c r="AC115" s="651">
        <f t="shared" si="84"/>
        <v>0</v>
      </c>
      <c r="AD115" s="652">
        <f t="shared" si="85"/>
        <v>0</v>
      </c>
      <c r="AE115" s="652">
        <f t="shared" si="86"/>
        <v>0</v>
      </c>
      <c r="AF115" s="651">
        <f t="array" ref="AF115">IFERROR(INDEX('HIV-Pharmaceuticals'!$W$107:$W$192,MATCH($E115&amp;$F115,'HIV-Pharmaceuticals'!$E$107:$E$192&amp;'HIV-Pharmaceuticals'!$I$107:$I$192,0)),0)</f>
        <v>0</v>
      </c>
      <c r="AG115" s="651">
        <f t="shared" si="87"/>
        <v>0</v>
      </c>
      <c r="AH115" s="652">
        <f t="shared" si="88"/>
        <v>0</v>
      </c>
      <c r="AI115" s="652">
        <f t="shared" si="89"/>
        <v>0</v>
      </c>
      <c r="AJ115" s="651">
        <f t="array" ref="AJ115">IFERROR(INDEX('HIV-Pharmaceuticals'!$X$107:$X$192,MATCH($E115&amp;$F115,'HIV-Pharmaceuticals'!$E$107:$E$192&amp;'HIV-Pharmaceuticals'!$I$107:$I$192,0)),0)</f>
        <v>0</v>
      </c>
      <c r="AK115" s="651">
        <f t="shared" si="90"/>
        <v>0</v>
      </c>
      <c r="AL115" s="652">
        <f t="shared" si="91"/>
        <v>0</v>
      </c>
      <c r="AM115" s="652">
        <f t="shared" si="92"/>
        <v>0</v>
      </c>
      <c r="AN115" s="651">
        <f t="array" ref="AN115">IFERROR(INDEX('HIV-Pharmaceuticals'!$Y$107:$Y$192,MATCH($E115&amp;$F115,'HIV-Pharmaceuticals'!$E$107:$E$192&amp;'HIV-Pharmaceuticals'!$I$107:$I$192,0)),0)</f>
        <v>0</v>
      </c>
      <c r="AO115" s="651">
        <f t="shared" si="93"/>
        <v>0</v>
      </c>
      <c r="AP115" s="652">
        <f t="shared" si="94"/>
        <v>0</v>
      </c>
      <c r="AQ115" s="652">
        <f t="shared" si="95"/>
        <v>0</v>
      </c>
      <c r="AR115" s="653"/>
      <c r="AS115" s="651">
        <f t="array" ref="AS115">IFERROR(INDEX('HIV-Pharmaceuticals'!$AB$107:$AB$192,MATCH($E115&amp;$F115,'HIV-Pharmaceuticals'!$E$107:$E$192&amp;'HIV-Pharmaceuticals'!$I$107:$I$192,0)),0)</f>
        <v>0</v>
      </c>
      <c r="AT115" s="651">
        <f t="array" ref="AT115">IFERROR(INDEX('HIV-Pharmaceuticals'!$AC$107:$AC$192,MATCH($E115&amp;$F115,'HIV-Pharmaceuticals'!$E$107:$E$192&amp;'HIV-Pharmaceuticals'!$I$107:$I$192,0)),0)</f>
        <v>0</v>
      </c>
      <c r="AU115" s="651">
        <f t="shared" si="96"/>
        <v>0</v>
      </c>
      <c r="AV115" s="652">
        <f t="shared" si="97"/>
        <v>0</v>
      </c>
      <c r="AW115" s="652">
        <f t="shared" si="98"/>
        <v>0</v>
      </c>
      <c r="AX115" s="651">
        <f t="array" ref="AX115">IFERROR(INDEX('HIV-Pharmaceuticals'!$AD$107:$AD$192,MATCH($E115&amp;$F115,'HIV-Pharmaceuticals'!$E$107:$E$192&amp;'HIV-Pharmaceuticals'!$I$107:$I$192,0)),0)</f>
        <v>0</v>
      </c>
      <c r="AY115" s="651">
        <f t="shared" si="99"/>
        <v>0</v>
      </c>
      <c r="AZ115" s="652">
        <f t="shared" si="100"/>
        <v>0</v>
      </c>
      <c r="BA115" s="652">
        <f t="shared" si="101"/>
        <v>0</v>
      </c>
      <c r="BB115" s="651">
        <f t="array" ref="BB115">IFERROR(INDEX('HIV-Pharmaceuticals'!$AE$107:$AE$192,MATCH($E115&amp;$F115,'HIV-Pharmaceuticals'!$E$107:$E$192&amp;'HIV-Pharmaceuticals'!$I$107:$I$192,0)),0)</f>
        <v>0</v>
      </c>
      <c r="BC115" s="651">
        <f t="shared" si="102"/>
        <v>0</v>
      </c>
      <c r="BD115" s="652">
        <f t="shared" si="103"/>
        <v>0</v>
      </c>
      <c r="BE115" s="652">
        <f t="shared" si="104"/>
        <v>0</v>
      </c>
      <c r="BF115" s="651">
        <f t="array" ref="BF115">IFERROR(INDEX('HIV-Pharmaceuticals'!$AF$107:$AF$192,MATCH($E115&amp;$F115,'HIV-Pharmaceuticals'!$E$107:$E$192&amp;'HIV-Pharmaceuticals'!$I$107:$I$192,0)),0)</f>
        <v>0</v>
      </c>
      <c r="BG115" s="651">
        <f t="shared" si="105"/>
        <v>0</v>
      </c>
      <c r="BH115" s="652">
        <f t="shared" si="106"/>
        <v>0</v>
      </c>
      <c r="BI115" s="652">
        <f t="shared" si="107"/>
        <v>0</v>
      </c>
      <c r="BK115" s="654"/>
      <c r="BL115" s="654"/>
      <c r="BM115" s="654"/>
      <c r="BN115" s="654"/>
      <c r="BO115" s="654"/>
      <c r="BP115" s="654"/>
      <c r="BQ115" s="654"/>
      <c r="BR115" s="654"/>
    </row>
    <row r="116" spans="1:70">
      <c r="A116" s="647" t="s">
        <v>1317</v>
      </c>
      <c r="B116" s="647" t="s">
        <v>2282</v>
      </c>
      <c r="C116" s="648">
        <f>SETUP!$F$22</f>
        <v>0</v>
      </c>
      <c r="D116" s="649">
        <v>4.5</v>
      </c>
      <c r="E116" s="647" t="s">
        <v>1329</v>
      </c>
      <c r="F116" s="647" t="s">
        <v>1332</v>
      </c>
      <c r="G116" s="650" t="str">
        <f t="array" ref="G116">IFERROR(INDEX('HIV-Pharmaceuticals'!$L$107:$L$192,MATCH($E116&amp;$F116,'HIV-Pharmaceuticals'!$E$107:$E$192&amp;'HIV-Pharmaceuticals'!$I$107:$I$192,0)),"")</f>
        <v/>
      </c>
      <c r="H116" s="650" t="str">
        <f t="array" ref="H116">IFERROR(INDEX('HIV-Pharmaceuticals'!$M$107:$M$192,MATCH($E116&amp;$F116,'HIV-Pharmaceuticals'!$E$107:$E$192&amp;'HIV-Pharmaceuticals'!$I$107:$I$192,0)),"")</f>
        <v/>
      </c>
      <c r="I116" s="651">
        <f t="array" ref="I116">IFERROR(INDEX('HIV-Pharmaceuticals'!$N$107:$N$192,MATCH($E116&amp;$F116,'HIV-Pharmaceuticals'!$E$107:$E$192&amp;'HIV-Pharmaceuticals'!$I$107:$I$192,0)),0)</f>
        <v>0</v>
      </c>
      <c r="J116" s="651">
        <f t="array" ref="J116">IFERROR(INDEX('HIV-Pharmaceuticals'!$O$107:$O$192,MATCH($E116&amp;$F116,'HIV-Pharmaceuticals'!$E$107:$E$192&amp;'HIV-Pharmaceuticals'!$I$107:$I$192,0)),0)</f>
        <v>0</v>
      </c>
      <c r="K116" s="652">
        <f t="shared" si="72"/>
        <v>0</v>
      </c>
      <c r="L116" s="652">
        <f t="shared" si="73"/>
        <v>0</v>
      </c>
      <c r="M116" s="652">
        <f t="shared" si="74"/>
        <v>0</v>
      </c>
      <c r="N116" s="651">
        <f t="array" ref="N116">IFERROR(INDEX('HIV-Pharmaceuticals'!$P$107:$P$192,MATCH($E116&amp;$F116,'HIV-Pharmaceuticals'!$E$107:$E$192&amp;'HIV-Pharmaceuticals'!$I$107:$I$192,0)),0)</f>
        <v>0</v>
      </c>
      <c r="O116" s="652">
        <f t="shared" si="75"/>
        <v>0</v>
      </c>
      <c r="P116" s="652">
        <f t="shared" si="76"/>
        <v>0</v>
      </c>
      <c r="Q116" s="652">
        <f t="shared" si="77"/>
        <v>0</v>
      </c>
      <c r="R116" s="651">
        <f t="array" ref="R116">IFERROR(INDEX('HIV-Pharmaceuticals'!$Q$107:$Q$192,MATCH($E116&amp;$F116,'HIV-Pharmaceuticals'!$E$107:$E$192&amp;'HIV-Pharmaceuticals'!$I$107:$I$192,0)),0)</f>
        <v>0</v>
      </c>
      <c r="S116" s="652">
        <f t="shared" si="78"/>
        <v>0</v>
      </c>
      <c r="T116" s="652">
        <f t="shared" si="79"/>
        <v>0</v>
      </c>
      <c r="U116" s="652">
        <f t="shared" si="80"/>
        <v>0</v>
      </c>
      <c r="V116" s="651">
        <f t="array" ref="V116">IFERROR(INDEX('HIV-Pharmaceuticals'!$R$107:$R$192,MATCH($E116&amp;$F116,'HIV-Pharmaceuticals'!$E$107:$E$192&amp;'HIV-Pharmaceuticals'!$I$107:$I$192,0)),0)</f>
        <v>0</v>
      </c>
      <c r="W116" s="652">
        <f t="shared" si="81"/>
        <v>0</v>
      </c>
      <c r="X116" s="652">
        <f t="shared" si="82"/>
        <v>0</v>
      </c>
      <c r="Y116" s="652">
        <f t="shared" si="83"/>
        <v>0</v>
      </c>
      <c r="Z116" s="653"/>
      <c r="AA116" s="651">
        <f t="array" ref="AA116">IFERROR(INDEX('HIV-Pharmaceuticals'!$U$107:$U$192,MATCH($E116&amp;$F116,'HIV-Pharmaceuticals'!$E$107:$E$192&amp;'HIV-Pharmaceuticals'!$I$107:$I$192,0)),0)</f>
        <v>0</v>
      </c>
      <c r="AB116" s="651">
        <f t="array" ref="AB116">IFERROR(INDEX('HIV-Pharmaceuticals'!$V$107:$V$192,MATCH($E116&amp;$F116,'HIV-Pharmaceuticals'!$E$107:$E$192&amp;'HIV-Pharmaceuticals'!$I$107:$I$192,0)),0)</f>
        <v>0</v>
      </c>
      <c r="AC116" s="651">
        <f t="shared" si="84"/>
        <v>0</v>
      </c>
      <c r="AD116" s="652">
        <f t="shared" si="85"/>
        <v>0</v>
      </c>
      <c r="AE116" s="652">
        <f t="shared" si="86"/>
        <v>0</v>
      </c>
      <c r="AF116" s="651">
        <f t="array" ref="AF116">IFERROR(INDEX('HIV-Pharmaceuticals'!$W$107:$W$192,MATCH($E116&amp;$F116,'HIV-Pharmaceuticals'!$E$107:$E$192&amp;'HIV-Pharmaceuticals'!$I$107:$I$192,0)),0)</f>
        <v>0</v>
      </c>
      <c r="AG116" s="651">
        <f t="shared" si="87"/>
        <v>0</v>
      </c>
      <c r="AH116" s="652">
        <f t="shared" si="88"/>
        <v>0</v>
      </c>
      <c r="AI116" s="652">
        <f t="shared" si="89"/>
        <v>0</v>
      </c>
      <c r="AJ116" s="651">
        <f t="array" ref="AJ116">IFERROR(INDEX('HIV-Pharmaceuticals'!$X$107:$X$192,MATCH($E116&amp;$F116,'HIV-Pharmaceuticals'!$E$107:$E$192&amp;'HIV-Pharmaceuticals'!$I$107:$I$192,0)),0)</f>
        <v>0</v>
      </c>
      <c r="AK116" s="651">
        <f t="shared" si="90"/>
        <v>0</v>
      </c>
      <c r="AL116" s="652">
        <f t="shared" si="91"/>
        <v>0</v>
      </c>
      <c r="AM116" s="652">
        <f t="shared" si="92"/>
        <v>0</v>
      </c>
      <c r="AN116" s="651">
        <f t="array" ref="AN116">IFERROR(INDEX('HIV-Pharmaceuticals'!$Y$107:$Y$192,MATCH($E116&amp;$F116,'HIV-Pharmaceuticals'!$E$107:$E$192&amp;'HIV-Pharmaceuticals'!$I$107:$I$192,0)),0)</f>
        <v>0</v>
      </c>
      <c r="AO116" s="651">
        <f t="shared" si="93"/>
        <v>0</v>
      </c>
      <c r="AP116" s="652">
        <f t="shared" si="94"/>
        <v>0</v>
      </c>
      <c r="AQ116" s="652">
        <f t="shared" si="95"/>
        <v>0</v>
      </c>
      <c r="AR116" s="653"/>
      <c r="AS116" s="651">
        <f t="array" ref="AS116">IFERROR(INDEX('HIV-Pharmaceuticals'!$AB$107:$AB$192,MATCH($E116&amp;$F116,'HIV-Pharmaceuticals'!$E$107:$E$192&amp;'HIV-Pharmaceuticals'!$I$107:$I$192,0)),0)</f>
        <v>0</v>
      </c>
      <c r="AT116" s="651">
        <f t="array" ref="AT116">IFERROR(INDEX('HIV-Pharmaceuticals'!$AC$107:$AC$192,MATCH($E116&amp;$F116,'HIV-Pharmaceuticals'!$E$107:$E$192&amp;'HIV-Pharmaceuticals'!$I$107:$I$192,0)),0)</f>
        <v>0</v>
      </c>
      <c r="AU116" s="651">
        <f t="shared" si="96"/>
        <v>0</v>
      </c>
      <c r="AV116" s="652">
        <f t="shared" si="97"/>
        <v>0</v>
      </c>
      <c r="AW116" s="652">
        <f t="shared" si="98"/>
        <v>0</v>
      </c>
      <c r="AX116" s="651">
        <f t="array" ref="AX116">IFERROR(INDEX('HIV-Pharmaceuticals'!$AD$107:$AD$192,MATCH($E116&amp;$F116,'HIV-Pharmaceuticals'!$E$107:$E$192&amp;'HIV-Pharmaceuticals'!$I$107:$I$192,0)),0)</f>
        <v>0</v>
      </c>
      <c r="AY116" s="651">
        <f t="shared" si="99"/>
        <v>0</v>
      </c>
      <c r="AZ116" s="652">
        <f t="shared" si="100"/>
        <v>0</v>
      </c>
      <c r="BA116" s="652">
        <f t="shared" si="101"/>
        <v>0</v>
      </c>
      <c r="BB116" s="651">
        <f t="array" ref="BB116">IFERROR(INDEX('HIV-Pharmaceuticals'!$AE$107:$AE$192,MATCH($E116&amp;$F116,'HIV-Pharmaceuticals'!$E$107:$E$192&amp;'HIV-Pharmaceuticals'!$I$107:$I$192,0)),0)</f>
        <v>0</v>
      </c>
      <c r="BC116" s="651">
        <f t="shared" si="102"/>
        <v>0</v>
      </c>
      <c r="BD116" s="652">
        <f t="shared" si="103"/>
        <v>0</v>
      </c>
      <c r="BE116" s="652">
        <f t="shared" si="104"/>
        <v>0</v>
      </c>
      <c r="BF116" s="651">
        <f t="array" ref="BF116">IFERROR(INDEX('HIV-Pharmaceuticals'!$AF$107:$AF$192,MATCH($E116&amp;$F116,'HIV-Pharmaceuticals'!$E$107:$E$192&amp;'HIV-Pharmaceuticals'!$I$107:$I$192,0)),0)</f>
        <v>0</v>
      </c>
      <c r="BG116" s="651">
        <f t="shared" si="105"/>
        <v>0</v>
      </c>
      <c r="BH116" s="652">
        <f t="shared" si="106"/>
        <v>0</v>
      </c>
      <c r="BI116" s="652">
        <f t="shared" si="107"/>
        <v>0</v>
      </c>
      <c r="BK116" s="654"/>
      <c r="BL116" s="654"/>
      <c r="BM116" s="654"/>
      <c r="BN116" s="654"/>
      <c r="BO116" s="654"/>
      <c r="BP116" s="654"/>
      <c r="BQ116" s="654"/>
      <c r="BR116" s="654"/>
    </row>
    <row r="117" spans="1:70">
      <c r="A117" s="647" t="s">
        <v>1317</v>
      </c>
      <c r="B117" s="647" t="s">
        <v>2282</v>
      </c>
      <c r="C117" s="648">
        <f>SETUP!$F$22</f>
        <v>0</v>
      </c>
      <c r="D117" s="649">
        <v>4.5</v>
      </c>
      <c r="E117" s="647" t="s">
        <v>1329</v>
      </c>
      <c r="F117" s="647" t="s">
        <v>1333</v>
      </c>
      <c r="G117" s="650" t="str">
        <f t="array" ref="G117">IFERROR(INDEX('HIV-Pharmaceuticals'!$L$107:$L$192,MATCH($E117&amp;$F117,'HIV-Pharmaceuticals'!$E$107:$E$192&amp;'HIV-Pharmaceuticals'!$I$107:$I$192,0)),"")</f>
        <v/>
      </c>
      <c r="H117" s="650" t="str">
        <f t="array" ref="H117">IFERROR(INDEX('HIV-Pharmaceuticals'!$M$107:$M$192,MATCH($E117&amp;$F117,'HIV-Pharmaceuticals'!$E$107:$E$192&amp;'HIV-Pharmaceuticals'!$I$107:$I$192,0)),"")</f>
        <v/>
      </c>
      <c r="I117" s="651">
        <f t="array" ref="I117">IFERROR(INDEX('HIV-Pharmaceuticals'!$N$107:$N$192,MATCH($E117&amp;$F117,'HIV-Pharmaceuticals'!$E$107:$E$192&amp;'HIV-Pharmaceuticals'!$I$107:$I$192,0)),0)</f>
        <v>0</v>
      </c>
      <c r="J117" s="651">
        <f t="array" ref="J117">IFERROR(INDEX('HIV-Pharmaceuticals'!$O$107:$O$192,MATCH($E117&amp;$F117,'HIV-Pharmaceuticals'!$E$107:$E$192&amp;'HIV-Pharmaceuticals'!$I$107:$I$192,0)),0)</f>
        <v>0</v>
      </c>
      <c r="K117" s="652">
        <f t="shared" si="72"/>
        <v>0</v>
      </c>
      <c r="L117" s="652">
        <f t="shared" si="73"/>
        <v>0</v>
      </c>
      <c r="M117" s="652">
        <f t="shared" si="74"/>
        <v>0</v>
      </c>
      <c r="N117" s="651">
        <f t="array" ref="N117">IFERROR(INDEX('HIV-Pharmaceuticals'!$P$107:$P$192,MATCH($E117&amp;$F117,'HIV-Pharmaceuticals'!$E$107:$E$192&amp;'HIV-Pharmaceuticals'!$I$107:$I$192,0)),0)</f>
        <v>0</v>
      </c>
      <c r="O117" s="652">
        <f t="shared" si="75"/>
        <v>0</v>
      </c>
      <c r="P117" s="652">
        <f t="shared" si="76"/>
        <v>0</v>
      </c>
      <c r="Q117" s="652">
        <f t="shared" si="77"/>
        <v>0</v>
      </c>
      <c r="R117" s="651">
        <f t="array" ref="R117">IFERROR(INDEX('HIV-Pharmaceuticals'!$Q$107:$Q$192,MATCH($E117&amp;$F117,'HIV-Pharmaceuticals'!$E$107:$E$192&amp;'HIV-Pharmaceuticals'!$I$107:$I$192,0)),0)</f>
        <v>0</v>
      </c>
      <c r="S117" s="652">
        <f t="shared" si="78"/>
        <v>0</v>
      </c>
      <c r="T117" s="652">
        <f t="shared" si="79"/>
        <v>0</v>
      </c>
      <c r="U117" s="652">
        <f t="shared" si="80"/>
        <v>0</v>
      </c>
      <c r="V117" s="651">
        <f t="array" ref="V117">IFERROR(INDEX('HIV-Pharmaceuticals'!$R$107:$R$192,MATCH($E117&amp;$F117,'HIV-Pharmaceuticals'!$E$107:$E$192&amp;'HIV-Pharmaceuticals'!$I$107:$I$192,0)),0)</f>
        <v>0</v>
      </c>
      <c r="W117" s="652">
        <f t="shared" si="81"/>
        <v>0</v>
      </c>
      <c r="X117" s="652">
        <f t="shared" si="82"/>
        <v>0</v>
      </c>
      <c r="Y117" s="652">
        <f t="shared" si="83"/>
        <v>0</v>
      </c>
      <c r="Z117" s="653"/>
      <c r="AA117" s="651">
        <f t="array" ref="AA117">IFERROR(INDEX('HIV-Pharmaceuticals'!$U$107:$U$192,MATCH($E117&amp;$F117,'HIV-Pharmaceuticals'!$E$107:$E$192&amp;'HIV-Pharmaceuticals'!$I$107:$I$192,0)),0)</f>
        <v>0</v>
      </c>
      <c r="AB117" s="651">
        <f t="array" ref="AB117">IFERROR(INDEX('HIV-Pharmaceuticals'!$V$107:$V$192,MATCH($E117&amp;$F117,'HIV-Pharmaceuticals'!$E$107:$E$192&amp;'HIV-Pharmaceuticals'!$I$107:$I$192,0)),0)</f>
        <v>0</v>
      </c>
      <c r="AC117" s="651">
        <f t="shared" si="84"/>
        <v>0</v>
      </c>
      <c r="AD117" s="652">
        <f t="shared" si="85"/>
        <v>0</v>
      </c>
      <c r="AE117" s="652">
        <f t="shared" si="86"/>
        <v>0</v>
      </c>
      <c r="AF117" s="651">
        <f t="array" ref="AF117">IFERROR(INDEX('HIV-Pharmaceuticals'!$W$107:$W$192,MATCH($E117&amp;$F117,'HIV-Pharmaceuticals'!$E$107:$E$192&amp;'HIV-Pharmaceuticals'!$I$107:$I$192,0)),0)</f>
        <v>0</v>
      </c>
      <c r="AG117" s="651">
        <f t="shared" si="87"/>
        <v>0</v>
      </c>
      <c r="AH117" s="652">
        <f t="shared" si="88"/>
        <v>0</v>
      </c>
      <c r="AI117" s="652">
        <f t="shared" si="89"/>
        <v>0</v>
      </c>
      <c r="AJ117" s="651">
        <f t="array" ref="AJ117">IFERROR(INDEX('HIV-Pharmaceuticals'!$X$107:$X$192,MATCH($E117&amp;$F117,'HIV-Pharmaceuticals'!$E$107:$E$192&amp;'HIV-Pharmaceuticals'!$I$107:$I$192,0)),0)</f>
        <v>0</v>
      </c>
      <c r="AK117" s="651">
        <f t="shared" si="90"/>
        <v>0</v>
      </c>
      <c r="AL117" s="652">
        <f t="shared" si="91"/>
        <v>0</v>
      </c>
      <c r="AM117" s="652">
        <f t="shared" si="92"/>
        <v>0</v>
      </c>
      <c r="AN117" s="651">
        <f t="array" ref="AN117">IFERROR(INDEX('HIV-Pharmaceuticals'!$Y$107:$Y$192,MATCH($E117&amp;$F117,'HIV-Pharmaceuticals'!$E$107:$E$192&amp;'HIV-Pharmaceuticals'!$I$107:$I$192,0)),0)</f>
        <v>0</v>
      </c>
      <c r="AO117" s="651">
        <f t="shared" si="93"/>
        <v>0</v>
      </c>
      <c r="AP117" s="652">
        <f t="shared" si="94"/>
        <v>0</v>
      </c>
      <c r="AQ117" s="652">
        <f t="shared" si="95"/>
        <v>0</v>
      </c>
      <c r="AR117" s="653"/>
      <c r="AS117" s="651">
        <f t="array" ref="AS117">IFERROR(INDEX('HIV-Pharmaceuticals'!$AB$107:$AB$192,MATCH($E117&amp;$F117,'HIV-Pharmaceuticals'!$E$107:$E$192&amp;'HIV-Pharmaceuticals'!$I$107:$I$192,0)),0)</f>
        <v>0</v>
      </c>
      <c r="AT117" s="651">
        <f t="array" ref="AT117">IFERROR(INDEX('HIV-Pharmaceuticals'!$AC$107:$AC$192,MATCH($E117&amp;$F117,'HIV-Pharmaceuticals'!$E$107:$E$192&amp;'HIV-Pharmaceuticals'!$I$107:$I$192,0)),0)</f>
        <v>0</v>
      </c>
      <c r="AU117" s="651">
        <f t="shared" si="96"/>
        <v>0</v>
      </c>
      <c r="AV117" s="652">
        <f t="shared" si="97"/>
        <v>0</v>
      </c>
      <c r="AW117" s="652">
        <f t="shared" si="98"/>
        <v>0</v>
      </c>
      <c r="AX117" s="651">
        <f t="array" ref="AX117">IFERROR(INDEX('HIV-Pharmaceuticals'!$AD$107:$AD$192,MATCH($E117&amp;$F117,'HIV-Pharmaceuticals'!$E$107:$E$192&amp;'HIV-Pharmaceuticals'!$I$107:$I$192,0)),0)</f>
        <v>0</v>
      </c>
      <c r="AY117" s="651">
        <f t="shared" si="99"/>
        <v>0</v>
      </c>
      <c r="AZ117" s="652">
        <f t="shared" si="100"/>
        <v>0</v>
      </c>
      <c r="BA117" s="652">
        <f t="shared" si="101"/>
        <v>0</v>
      </c>
      <c r="BB117" s="651">
        <f t="array" ref="BB117">IFERROR(INDEX('HIV-Pharmaceuticals'!$AE$107:$AE$192,MATCH($E117&amp;$F117,'HIV-Pharmaceuticals'!$E$107:$E$192&amp;'HIV-Pharmaceuticals'!$I$107:$I$192,0)),0)</f>
        <v>0</v>
      </c>
      <c r="BC117" s="651">
        <f t="shared" si="102"/>
        <v>0</v>
      </c>
      <c r="BD117" s="652">
        <f t="shared" si="103"/>
        <v>0</v>
      </c>
      <c r="BE117" s="652">
        <f t="shared" si="104"/>
        <v>0</v>
      </c>
      <c r="BF117" s="651">
        <f t="array" ref="BF117">IFERROR(INDEX('HIV-Pharmaceuticals'!$AF$107:$AF$192,MATCH($E117&amp;$F117,'HIV-Pharmaceuticals'!$E$107:$E$192&amp;'HIV-Pharmaceuticals'!$I$107:$I$192,0)),0)</f>
        <v>0</v>
      </c>
      <c r="BG117" s="651">
        <f t="shared" si="105"/>
        <v>0</v>
      </c>
      <c r="BH117" s="652">
        <f t="shared" si="106"/>
        <v>0</v>
      </c>
      <c r="BI117" s="652">
        <f t="shared" si="107"/>
        <v>0</v>
      </c>
      <c r="BK117" s="654"/>
      <c r="BL117" s="654"/>
      <c r="BM117" s="654"/>
      <c r="BN117" s="654"/>
      <c r="BO117" s="654"/>
      <c r="BP117" s="654"/>
      <c r="BQ117" s="654"/>
      <c r="BR117" s="654"/>
    </row>
    <row r="118" spans="1:70">
      <c r="A118" s="647" t="s">
        <v>1317</v>
      </c>
      <c r="B118" s="647" t="s">
        <v>2282</v>
      </c>
      <c r="C118" s="648">
        <f>SETUP!$F$22</f>
        <v>0</v>
      </c>
      <c r="D118" s="649">
        <v>4.5</v>
      </c>
      <c r="E118" s="647" t="s">
        <v>1329</v>
      </c>
      <c r="F118" s="647" t="s">
        <v>1334</v>
      </c>
      <c r="G118" s="650" t="str">
        <f t="array" ref="G118">IFERROR(INDEX('HIV-Pharmaceuticals'!$L$107:$L$192,MATCH($E118&amp;$F118,'HIV-Pharmaceuticals'!$E$107:$E$192&amp;'HIV-Pharmaceuticals'!$I$107:$I$192,0)),"")</f>
        <v/>
      </c>
      <c r="H118" s="650" t="str">
        <f t="array" ref="H118">IFERROR(INDEX('HIV-Pharmaceuticals'!$M$107:$M$192,MATCH($E118&amp;$F118,'HIV-Pharmaceuticals'!$E$107:$E$192&amp;'HIV-Pharmaceuticals'!$I$107:$I$192,0)),"")</f>
        <v/>
      </c>
      <c r="I118" s="651">
        <f t="array" ref="I118">IFERROR(INDEX('HIV-Pharmaceuticals'!$N$107:$N$192,MATCH($E118&amp;$F118,'HIV-Pharmaceuticals'!$E$107:$E$192&amp;'HIV-Pharmaceuticals'!$I$107:$I$192,0)),0)</f>
        <v>0</v>
      </c>
      <c r="J118" s="651">
        <f t="array" ref="J118">IFERROR(INDEX('HIV-Pharmaceuticals'!$O$107:$O$192,MATCH($E118&amp;$F118,'HIV-Pharmaceuticals'!$E$107:$E$192&amp;'HIV-Pharmaceuticals'!$I$107:$I$192,0)),0)</f>
        <v>0</v>
      </c>
      <c r="K118" s="652">
        <f t="shared" si="72"/>
        <v>0</v>
      </c>
      <c r="L118" s="652">
        <f t="shared" si="73"/>
        <v>0</v>
      </c>
      <c r="M118" s="652">
        <f t="shared" si="74"/>
        <v>0</v>
      </c>
      <c r="N118" s="651">
        <f t="array" ref="N118">IFERROR(INDEX('HIV-Pharmaceuticals'!$P$107:$P$192,MATCH($E118&amp;$F118,'HIV-Pharmaceuticals'!$E$107:$E$192&amp;'HIV-Pharmaceuticals'!$I$107:$I$192,0)),0)</f>
        <v>0</v>
      </c>
      <c r="O118" s="652">
        <f t="shared" si="75"/>
        <v>0</v>
      </c>
      <c r="P118" s="652">
        <f t="shared" si="76"/>
        <v>0</v>
      </c>
      <c r="Q118" s="652">
        <f t="shared" si="77"/>
        <v>0</v>
      </c>
      <c r="R118" s="651">
        <f t="array" ref="R118">IFERROR(INDEX('HIV-Pharmaceuticals'!$Q$107:$Q$192,MATCH($E118&amp;$F118,'HIV-Pharmaceuticals'!$E$107:$E$192&amp;'HIV-Pharmaceuticals'!$I$107:$I$192,0)),0)</f>
        <v>0</v>
      </c>
      <c r="S118" s="652">
        <f t="shared" si="78"/>
        <v>0</v>
      </c>
      <c r="T118" s="652">
        <f t="shared" si="79"/>
        <v>0</v>
      </c>
      <c r="U118" s="652">
        <f t="shared" si="80"/>
        <v>0</v>
      </c>
      <c r="V118" s="651">
        <f t="array" ref="V118">IFERROR(INDEX('HIV-Pharmaceuticals'!$R$107:$R$192,MATCH($E118&amp;$F118,'HIV-Pharmaceuticals'!$E$107:$E$192&amp;'HIV-Pharmaceuticals'!$I$107:$I$192,0)),0)</f>
        <v>0</v>
      </c>
      <c r="W118" s="652">
        <f t="shared" si="81"/>
        <v>0</v>
      </c>
      <c r="X118" s="652">
        <f t="shared" si="82"/>
        <v>0</v>
      </c>
      <c r="Y118" s="652">
        <f t="shared" si="83"/>
        <v>0</v>
      </c>
      <c r="Z118" s="653"/>
      <c r="AA118" s="651">
        <f t="array" ref="AA118">IFERROR(INDEX('HIV-Pharmaceuticals'!$U$107:$U$192,MATCH($E118&amp;$F118,'HIV-Pharmaceuticals'!$E$107:$E$192&amp;'HIV-Pharmaceuticals'!$I$107:$I$192,0)),0)</f>
        <v>0</v>
      </c>
      <c r="AB118" s="651">
        <f t="array" ref="AB118">IFERROR(INDEX('HIV-Pharmaceuticals'!$V$107:$V$192,MATCH($E118&amp;$F118,'HIV-Pharmaceuticals'!$E$107:$E$192&amp;'HIV-Pharmaceuticals'!$I$107:$I$192,0)),0)</f>
        <v>0</v>
      </c>
      <c r="AC118" s="651">
        <f t="shared" si="84"/>
        <v>0</v>
      </c>
      <c r="AD118" s="652">
        <f t="shared" si="85"/>
        <v>0</v>
      </c>
      <c r="AE118" s="652">
        <f t="shared" si="86"/>
        <v>0</v>
      </c>
      <c r="AF118" s="651">
        <f t="array" ref="AF118">IFERROR(INDEX('HIV-Pharmaceuticals'!$W$107:$W$192,MATCH($E118&amp;$F118,'HIV-Pharmaceuticals'!$E$107:$E$192&amp;'HIV-Pharmaceuticals'!$I$107:$I$192,0)),0)</f>
        <v>0</v>
      </c>
      <c r="AG118" s="651">
        <f t="shared" si="87"/>
        <v>0</v>
      </c>
      <c r="AH118" s="652">
        <f t="shared" si="88"/>
        <v>0</v>
      </c>
      <c r="AI118" s="652">
        <f t="shared" si="89"/>
        <v>0</v>
      </c>
      <c r="AJ118" s="651">
        <f t="array" ref="AJ118">IFERROR(INDEX('HIV-Pharmaceuticals'!$X$107:$X$192,MATCH($E118&amp;$F118,'HIV-Pharmaceuticals'!$E$107:$E$192&amp;'HIV-Pharmaceuticals'!$I$107:$I$192,0)),0)</f>
        <v>0</v>
      </c>
      <c r="AK118" s="651">
        <f t="shared" si="90"/>
        <v>0</v>
      </c>
      <c r="AL118" s="652">
        <f t="shared" si="91"/>
        <v>0</v>
      </c>
      <c r="AM118" s="652">
        <f t="shared" si="92"/>
        <v>0</v>
      </c>
      <c r="AN118" s="651">
        <f t="array" ref="AN118">IFERROR(INDEX('HIV-Pharmaceuticals'!$Y$107:$Y$192,MATCH($E118&amp;$F118,'HIV-Pharmaceuticals'!$E$107:$E$192&amp;'HIV-Pharmaceuticals'!$I$107:$I$192,0)),0)</f>
        <v>0</v>
      </c>
      <c r="AO118" s="651">
        <f t="shared" si="93"/>
        <v>0</v>
      </c>
      <c r="AP118" s="652">
        <f t="shared" si="94"/>
        <v>0</v>
      </c>
      <c r="AQ118" s="652">
        <f t="shared" si="95"/>
        <v>0</v>
      </c>
      <c r="AR118" s="653"/>
      <c r="AS118" s="651">
        <f t="array" ref="AS118">IFERROR(INDEX('HIV-Pharmaceuticals'!$AB$107:$AB$192,MATCH($E118&amp;$F118,'HIV-Pharmaceuticals'!$E$107:$E$192&amp;'HIV-Pharmaceuticals'!$I$107:$I$192,0)),0)</f>
        <v>0</v>
      </c>
      <c r="AT118" s="651">
        <f t="array" ref="AT118">IFERROR(INDEX('HIV-Pharmaceuticals'!$AC$107:$AC$192,MATCH($E118&amp;$F118,'HIV-Pharmaceuticals'!$E$107:$E$192&amp;'HIV-Pharmaceuticals'!$I$107:$I$192,0)),0)</f>
        <v>0</v>
      </c>
      <c r="AU118" s="651">
        <f t="shared" si="96"/>
        <v>0</v>
      </c>
      <c r="AV118" s="652">
        <f t="shared" si="97"/>
        <v>0</v>
      </c>
      <c r="AW118" s="652">
        <f t="shared" si="98"/>
        <v>0</v>
      </c>
      <c r="AX118" s="651">
        <f t="array" ref="AX118">IFERROR(INDEX('HIV-Pharmaceuticals'!$AD$107:$AD$192,MATCH($E118&amp;$F118,'HIV-Pharmaceuticals'!$E$107:$E$192&amp;'HIV-Pharmaceuticals'!$I$107:$I$192,0)),0)</f>
        <v>0</v>
      </c>
      <c r="AY118" s="651">
        <f t="shared" si="99"/>
        <v>0</v>
      </c>
      <c r="AZ118" s="652">
        <f t="shared" si="100"/>
        <v>0</v>
      </c>
      <c r="BA118" s="652">
        <f t="shared" si="101"/>
        <v>0</v>
      </c>
      <c r="BB118" s="651">
        <f t="array" ref="BB118">IFERROR(INDEX('HIV-Pharmaceuticals'!$AE$107:$AE$192,MATCH($E118&amp;$F118,'HIV-Pharmaceuticals'!$E$107:$E$192&amp;'HIV-Pharmaceuticals'!$I$107:$I$192,0)),0)</f>
        <v>0</v>
      </c>
      <c r="BC118" s="651">
        <f t="shared" si="102"/>
        <v>0</v>
      </c>
      <c r="BD118" s="652">
        <f t="shared" si="103"/>
        <v>0</v>
      </c>
      <c r="BE118" s="652">
        <f t="shared" si="104"/>
        <v>0</v>
      </c>
      <c r="BF118" s="651">
        <f t="array" ref="BF118">IFERROR(INDEX('HIV-Pharmaceuticals'!$AF$107:$AF$192,MATCH($E118&amp;$F118,'HIV-Pharmaceuticals'!$E$107:$E$192&amp;'HIV-Pharmaceuticals'!$I$107:$I$192,0)),0)</f>
        <v>0</v>
      </c>
      <c r="BG118" s="651">
        <f t="shared" si="105"/>
        <v>0</v>
      </c>
      <c r="BH118" s="652">
        <f t="shared" si="106"/>
        <v>0</v>
      </c>
      <c r="BI118" s="652">
        <f t="shared" si="107"/>
        <v>0</v>
      </c>
      <c r="BK118" s="654"/>
      <c r="BL118" s="654"/>
      <c r="BM118" s="654"/>
      <c r="BN118" s="654"/>
      <c r="BO118" s="654"/>
      <c r="BP118" s="654"/>
      <c r="BQ118" s="654"/>
      <c r="BR118" s="654"/>
    </row>
    <row r="119" spans="1:70">
      <c r="A119" s="647" t="s">
        <v>1317</v>
      </c>
      <c r="B119" s="647" t="s">
        <v>2282</v>
      </c>
      <c r="C119" s="648">
        <f>SETUP!$F$22</f>
        <v>0</v>
      </c>
      <c r="D119" s="649">
        <v>4.5</v>
      </c>
      <c r="E119" s="647" t="s">
        <v>1329</v>
      </c>
      <c r="F119" s="647" t="s">
        <v>1335</v>
      </c>
      <c r="G119" s="650" t="str">
        <f t="array" ref="G119">IFERROR(INDEX('HIV-Pharmaceuticals'!$L$107:$L$192,MATCH($E119&amp;$F119,'HIV-Pharmaceuticals'!$E$107:$E$192&amp;'HIV-Pharmaceuticals'!$I$107:$I$192,0)),"")</f>
        <v/>
      </c>
      <c r="H119" s="650" t="str">
        <f t="array" ref="H119">IFERROR(INDEX('HIV-Pharmaceuticals'!$M$107:$M$192,MATCH($E119&amp;$F119,'HIV-Pharmaceuticals'!$E$107:$E$192&amp;'HIV-Pharmaceuticals'!$I$107:$I$192,0)),"")</f>
        <v/>
      </c>
      <c r="I119" s="651">
        <f t="array" ref="I119">IFERROR(INDEX('HIV-Pharmaceuticals'!$N$107:$N$192,MATCH($E119&amp;$F119,'HIV-Pharmaceuticals'!$E$107:$E$192&amp;'HIV-Pharmaceuticals'!$I$107:$I$192,0)),0)</f>
        <v>0</v>
      </c>
      <c r="J119" s="651">
        <f t="array" ref="J119">IFERROR(INDEX('HIV-Pharmaceuticals'!$O$107:$O$192,MATCH($E119&amp;$F119,'HIV-Pharmaceuticals'!$E$107:$E$192&amp;'HIV-Pharmaceuticals'!$I$107:$I$192,0)),0)</f>
        <v>0</v>
      </c>
      <c r="K119" s="652">
        <f t="shared" si="72"/>
        <v>0</v>
      </c>
      <c r="L119" s="652">
        <f t="shared" si="73"/>
        <v>0</v>
      </c>
      <c r="M119" s="652">
        <f t="shared" si="74"/>
        <v>0</v>
      </c>
      <c r="N119" s="651">
        <f t="array" ref="N119">IFERROR(INDEX('HIV-Pharmaceuticals'!$P$107:$P$192,MATCH($E119&amp;$F119,'HIV-Pharmaceuticals'!$E$107:$E$192&amp;'HIV-Pharmaceuticals'!$I$107:$I$192,0)),0)</f>
        <v>0</v>
      </c>
      <c r="O119" s="652">
        <f t="shared" si="75"/>
        <v>0</v>
      </c>
      <c r="P119" s="652">
        <f t="shared" si="76"/>
        <v>0</v>
      </c>
      <c r="Q119" s="652">
        <f t="shared" si="77"/>
        <v>0</v>
      </c>
      <c r="R119" s="651">
        <f t="array" ref="R119">IFERROR(INDEX('HIV-Pharmaceuticals'!$Q$107:$Q$192,MATCH($E119&amp;$F119,'HIV-Pharmaceuticals'!$E$107:$E$192&amp;'HIV-Pharmaceuticals'!$I$107:$I$192,0)),0)</f>
        <v>0</v>
      </c>
      <c r="S119" s="652">
        <f t="shared" si="78"/>
        <v>0</v>
      </c>
      <c r="T119" s="652">
        <f t="shared" si="79"/>
        <v>0</v>
      </c>
      <c r="U119" s="652">
        <f t="shared" si="80"/>
        <v>0</v>
      </c>
      <c r="V119" s="651">
        <f t="array" ref="V119">IFERROR(INDEX('HIV-Pharmaceuticals'!$R$107:$R$192,MATCH($E119&amp;$F119,'HIV-Pharmaceuticals'!$E$107:$E$192&amp;'HIV-Pharmaceuticals'!$I$107:$I$192,0)),0)</f>
        <v>0</v>
      </c>
      <c r="W119" s="652">
        <f t="shared" si="81"/>
        <v>0</v>
      </c>
      <c r="X119" s="652">
        <f t="shared" si="82"/>
        <v>0</v>
      </c>
      <c r="Y119" s="652">
        <f t="shared" si="83"/>
        <v>0</v>
      </c>
      <c r="Z119" s="653"/>
      <c r="AA119" s="651">
        <f t="array" ref="AA119">IFERROR(INDEX('HIV-Pharmaceuticals'!$U$107:$U$192,MATCH($E119&amp;$F119,'HIV-Pharmaceuticals'!$E$107:$E$192&amp;'HIV-Pharmaceuticals'!$I$107:$I$192,0)),0)</f>
        <v>0</v>
      </c>
      <c r="AB119" s="651">
        <f t="array" ref="AB119">IFERROR(INDEX('HIV-Pharmaceuticals'!$V$107:$V$192,MATCH($E119&amp;$F119,'HIV-Pharmaceuticals'!$E$107:$E$192&amp;'HIV-Pharmaceuticals'!$I$107:$I$192,0)),0)</f>
        <v>0</v>
      </c>
      <c r="AC119" s="651">
        <f t="shared" si="84"/>
        <v>0</v>
      </c>
      <c r="AD119" s="652">
        <f t="shared" si="85"/>
        <v>0</v>
      </c>
      <c r="AE119" s="652">
        <f t="shared" si="86"/>
        <v>0</v>
      </c>
      <c r="AF119" s="651">
        <f t="array" ref="AF119">IFERROR(INDEX('HIV-Pharmaceuticals'!$W$107:$W$192,MATCH($E119&amp;$F119,'HIV-Pharmaceuticals'!$E$107:$E$192&amp;'HIV-Pharmaceuticals'!$I$107:$I$192,0)),0)</f>
        <v>0</v>
      </c>
      <c r="AG119" s="651">
        <f t="shared" si="87"/>
        <v>0</v>
      </c>
      <c r="AH119" s="652">
        <f t="shared" si="88"/>
        <v>0</v>
      </c>
      <c r="AI119" s="652">
        <f t="shared" si="89"/>
        <v>0</v>
      </c>
      <c r="AJ119" s="651">
        <f t="array" ref="AJ119">IFERROR(INDEX('HIV-Pharmaceuticals'!$X$107:$X$192,MATCH($E119&amp;$F119,'HIV-Pharmaceuticals'!$E$107:$E$192&amp;'HIV-Pharmaceuticals'!$I$107:$I$192,0)),0)</f>
        <v>0</v>
      </c>
      <c r="AK119" s="651">
        <f t="shared" si="90"/>
        <v>0</v>
      </c>
      <c r="AL119" s="652">
        <f t="shared" si="91"/>
        <v>0</v>
      </c>
      <c r="AM119" s="652">
        <f t="shared" si="92"/>
        <v>0</v>
      </c>
      <c r="AN119" s="651">
        <f t="array" ref="AN119">IFERROR(INDEX('HIV-Pharmaceuticals'!$Y$107:$Y$192,MATCH($E119&amp;$F119,'HIV-Pharmaceuticals'!$E$107:$E$192&amp;'HIV-Pharmaceuticals'!$I$107:$I$192,0)),0)</f>
        <v>0</v>
      </c>
      <c r="AO119" s="651">
        <f t="shared" si="93"/>
        <v>0</v>
      </c>
      <c r="AP119" s="652">
        <f t="shared" si="94"/>
        <v>0</v>
      </c>
      <c r="AQ119" s="652">
        <f t="shared" si="95"/>
        <v>0</v>
      </c>
      <c r="AR119" s="653"/>
      <c r="AS119" s="651">
        <f t="array" ref="AS119">IFERROR(INDEX('HIV-Pharmaceuticals'!$AB$107:$AB$192,MATCH($E119&amp;$F119,'HIV-Pharmaceuticals'!$E$107:$E$192&amp;'HIV-Pharmaceuticals'!$I$107:$I$192,0)),0)</f>
        <v>0</v>
      </c>
      <c r="AT119" s="651">
        <f t="array" ref="AT119">IFERROR(INDEX('HIV-Pharmaceuticals'!$AC$107:$AC$192,MATCH($E119&amp;$F119,'HIV-Pharmaceuticals'!$E$107:$E$192&amp;'HIV-Pharmaceuticals'!$I$107:$I$192,0)),0)</f>
        <v>0</v>
      </c>
      <c r="AU119" s="651">
        <f t="shared" si="96"/>
        <v>0</v>
      </c>
      <c r="AV119" s="652">
        <f t="shared" si="97"/>
        <v>0</v>
      </c>
      <c r="AW119" s="652">
        <f t="shared" si="98"/>
        <v>0</v>
      </c>
      <c r="AX119" s="651">
        <f t="array" ref="AX119">IFERROR(INDEX('HIV-Pharmaceuticals'!$AD$107:$AD$192,MATCH($E119&amp;$F119,'HIV-Pharmaceuticals'!$E$107:$E$192&amp;'HIV-Pharmaceuticals'!$I$107:$I$192,0)),0)</f>
        <v>0</v>
      </c>
      <c r="AY119" s="651">
        <f t="shared" si="99"/>
        <v>0</v>
      </c>
      <c r="AZ119" s="652">
        <f t="shared" si="100"/>
        <v>0</v>
      </c>
      <c r="BA119" s="652">
        <f t="shared" si="101"/>
        <v>0</v>
      </c>
      <c r="BB119" s="651">
        <f t="array" ref="BB119">IFERROR(INDEX('HIV-Pharmaceuticals'!$AE$107:$AE$192,MATCH($E119&amp;$F119,'HIV-Pharmaceuticals'!$E$107:$E$192&amp;'HIV-Pharmaceuticals'!$I$107:$I$192,0)),0)</f>
        <v>0</v>
      </c>
      <c r="BC119" s="651">
        <f t="shared" si="102"/>
        <v>0</v>
      </c>
      <c r="BD119" s="652">
        <f t="shared" si="103"/>
        <v>0</v>
      </c>
      <c r="BE119" s="652">
        <f t="shared" si="104"/>
        <v>0</v>
      </c>
      <c r="BF119" s="651">
        <f t="array" ref="BF119">IFERROR(INDEX('HIV-Pharmaceuticals'!$AF$107:$AF$192,MATCH($E119&amp;$F119,'HIV-Pharmaceuticals'!$E$107:$E$192&amp;'HIV-Pharmaceuticals'!$I$107:$I$192,0)),0)</f>
        <v>0</v>
      </c>
      <c r="BG119" s="651">
        <f t="shared" si="105"/>
        <v>0</v>
      </c>
      <c r="BH119" s="652">
        <f t="shared" si="106"/>
        <v>0</v>
      </c>
      <c r="BI119" s="652">
        <f t="shared" si="107"/>
        <v>0</v>
      </c>
      <c r="BK119" s="654"/>
      <c r="BL119" s="654"/>
      <c r="BM119" s="654"/>
      <c r="BN119" s="654"/>
      <c r="BO119" s="654"/>
      <c r="BP119" s="654"/>
      <c r="BQ119" s="654"/>
      <c r="BR119" s="654"/>
    </row>
    <row r="120" spans="1:70">
      <c r="A120" s="647" t="s">
        <v>1317</v>
      </c>
      <c r="B120" s="647" t="s">
        <v>2282</v>
      </c>
      <c r="C120" s="648">
        <f>SETUP!$F$22</f>
        <v>0</v>
      </c>
      <c r="D120" s="649">
        <v>4.5</v>
      </c>
      <c r="E120" s="647" t="s">
        <v>1358</v>
      </c>
      <c r="F120" s="647" t="s">
        <v>1359</v>
      </c>
      <c r="G120" s="650" t="str">
        <f t="array" ref="G120">IFERROR(INDEX('HIV-Pharmaceuticals'!$L$107:$L$192,MATCH($E120&amp;$F120,'HIV-Pharmaceuticals'!$E$107:$E$192&amp;'HIV-Pharmaceuticals'!$I$107:$I$192,0)),"")</f>
        <v/>
      </c>
      <c r="H120" s="650" t="str">
        <f t="array" ref="H120">IFERROR(INDEX('HIV-Pharmaceuticals'!$M$107:$M$192,MATCH($E120&amp;$F120,'HIV-Pharmaceuticals'!$E$107:$E$192&amp;'HIV-Pharmaceuticals'!$I$107:$I$192,0)),"")</f>
        <v/>
      </c>
      <c r="I120" s="651">
        <f t="array" ref="I120">IFERROR(INDEX('HIV-Pharmaceuticals'!$N$107:$N$192,MATCH($E120&amp;$F120,'HIV-Pharmaceuticals'!$E$107:$E$192&amp;'HIV-Pharmaceuticals'!$I$107:$I$192,0)),0)</f>
        <v>0</v>
      </c>
      <c r="J120" s="651">
        <f t="array" ref="J120">IFERROR(INDEX('HIV-Pharmaceuticals'!$O$107:$O$192,MATCH($E120&amp;$F120,'HIV-Pharmaceuticals'!$E$107:$E$192&amp;'HIV-Pharmaceuticals'!$I$107:$I$192,0)),0)</f>
        <v>0</v>
      </c>
      <c r="K120" s="652">
        <f t="shared" si="72"/>
        <v>0</v>
      </c>
      <c r="L120" s="652">
        <f t="shared" si="73"/>
        <v>0</v>
      </c>
      <c r="M120" s="652">
        <f t="shared" si="74"/>
        <v>0</v>
      </c>
      <c r="N120" s="651">
        <f t="array" ref="N120">IFERROR(INDEX('HIV-Pharmaceuticals'!$P$107:$P$192,MATCH($E120&amp;$F120,'HIV-Pharmaceuticals'!$E$107:$E$192&amp;'HIV-Pharmaceuticals'!$I$107:$I$192,0)),0)</f>
        <v>0</v>
      </c>
      <c r="O120" s="652">
        <f t="shared" si="75"/>
        <v>0</v>
      </c>
      <c r="P120" s="652">
        <f t="shared" si="76"/>
        <v>0</v>
      </c>
      <c r="Q120" s="652">
        <f t="shared" si="77"/>
        <v>0</v>
      </c>
      <c r="R120" s="651">
        <f t="array" ref="R120">IFERROR(INDEX('HIV-Pharmaceuticals'!$Q$107:$Q$192,MATCH($E120&amp;$F120,'HIV-Pharmaceuticals'!$E$107:$E$192&amp;'HIV-Pharmaceuticals'!$I$107:$I$192,0)),0)</f>
        <v>0</v>
      </c>
      <c r="S120" s="652">
        <f t="shared" si="78"/>
        <v>0</v>
      </c>
      <c r="T120" s="652">
        <f t="shared" si="79"/>
        <v>0</v>
      </c>
      <c r="U120" s="652">
        <f t="shared" si="80"/>
        <v>0</v>
      </c>
      <c r="V120" s="651">
        <f t="array" ref="V120">IFERROR(INDEX('HIV-Pharmaceuticals'!$R$107:$R$192,MATCH($E120&amp;$F120,'HIV-Pharmaceuticals'!$E$107:$E$192&amp;'HIV-Pharmaceuticals'!$I$107:$I$192,0)),0)</f>
        <v>0</v>
      </c>
      <c r="W120" s="652">
        <f t="shared" si="81"/>
        <v>0</v>
      </c>
      <c r="X120" s="652">
        <f t="shared" si="82"/>
        <v>0</v>
      </c>
      <c r="Y120" s="652">
        <f t="shared" si="83"/>
        <v>0</v>
      </c>
      <c r="Z120" s="653"/>
      <c r="AA120" s="651">
        <f t="array" ref="AA120">IFERROR(INDEX('HIV-Pharmaceuticals'!$U$107:$U$192,MATCH($E120&amp;$F120,'HIV-Pharmaceuticals'!$E$107:$E$192&amp;'HIV-Pharmaceuticals'!$I$107:$I$192,0)),0)</f>
        <v>0</v>
      </c>
      <c r="AB120" s="651">
        <f t="array" ref="AB120">IFERROR(INDEX('HIV-Pharmaceuticals'!$V$107:$V$192,MATCH($E120&amp;$F120,'HIV-Pharmaceuticals'!$E$107:$E$192&amp;'HIV-Pharmaceuticals'!$I$107:$I$192,0)),0)</f>
        <v>0</v>
      </c>
      <c r="AC120" s="651">
        <f t="shared" si="84"/>
        <v>0</v>
      </c>
      <c r="AD120" s="652">
        <f t="shared" si="85"/>
        <v>0</v>
      </c>
      <c r="AE120" s="652">
        <f t="shared" si="86"/>
        <v>0</v>
      </c>
      <c r="AF120" s="651">
        <f t="array" ref="AF120">IFERROR(INDEX('HIV-Pharmaceuticals'!$W$107:$W$192,MATCH($E120&amp;$F120,'HIV-Pharmaceuticals'!$E$107:$E$192&amp;'HIV-Pharmaceuticals'!$I$107:$I$192,0)),0)</f>
        <v>0</v>
      </c>
      <c r="AG120" s="651">
        <f t="shared" si="87"/>
        <v>0</v>
      </c>
      <c r="AH120" s="652">
        <f t="shared" si="88"/>
        <v>0</v>
      </c>
      <c r="AI120" s="652">
        <f t="shared" si="89"/>
        <v>0</v>
      </c>
      <c r="AJ120" s="651">
        <f t="array" ref="AJ120">IFERROR(INDEX('HIV-Pharmaceuticals'!$X$107:$X$192,MATCH($E120&amp;$F120,'HIV-Pharmaceuticals'!$E$107:$E$192&amp;'HIV-Pharmaceuticals'!$I$107:$I$192,0)),0)</f>
        <v>0</v>
      </c>
      <c r="AK120" s="651">
        <f t="shared" si="90"/>
        <v>0</v>
      </c>
      <c r="AL120" s="652">
        <f t="shared" si="91"/>
        <v>0</v>
      </c>
      <c r="AM120" s="652">
        <f t="shared" si="92"/>
        <v>0</v>
      </c>
      <c r="AN120" s="651">
        <f t="array" ref="AN120">IFERROR(INDEX('HIV-Pharmaceuticals'!$Y$107:$Y$192,MATCH($E120&amp;$F120,'HIV-Pharmaceuticals'!$E$107:$E$192&amp;'HIV-Pharmaceuticals'!$I$107:$I$192,0)),0)</f>
        <v>0</v>
      </c>
      <c r="AO120" s="651">
        <f t="shared" si="93"/>
        <v>0</v>
      </c>
      <c r="AP120" s="652">
        <f t="shared" si="94"/>
        <v>0</v>
      </c>
      <c r="AQ120" s="652">
        <f t="shared" si="95"/>
        <v>0</v>
      </c>
      <c r="AR120" s="653"/>
      <c r="AS120" s="651">
        <f t="array" ref="AS120">IFERROR(INDEX('HIV-Pharmaceuticals'!$AB$107:$AB$192,MATCH($E120&amp;$F120,'HIV-Pharmaceuticals'!$E$107:$E$192&amp;'HIV-Pharmaceuticals'!$I$107:$I$192,0)),0)</f>
        <v>0</v>
      </c>
      <c r="AT120" s="651">
        <f t="array" ref="AT120">IFERROR(INDEX('HIV-Pharmaceuticals'!$AC$107:$AC$192,MATCH($E120&amp;$F120,'HIV-Pharmaceuticals'!$E$107:$E$192&amp;'HIV-Pharmaceuticals'!$I$107:$I$192,0)),0)</f>
        <v>0</v>
      </c>
      <c r="AU120" s="651">
        <f t="shared" si="96"/>
        <v>0</v>
      </c>
      <c r="AV120" s="652">
        <f t="shared" si="97"/>
        <v>0</v>
      </c>
      <c r="AW120" s="652">
        <f t="shared" si="98"/>
        <v>0</v>
      </c>
      <c r="AX120" s="651">
        <f t="array" ref="AX120">IFERROR(INDEX('HIV-Pharmaceuticals'!$AD$107:$AD$192,MATCH($E120&amp;$F120,'HIV-Pharmaceuticals'!$E$107:$E$192&amp;'HIV-Pharmaceuticals'!$I$107:$I$192,0)),0)</f>
        <v>0</v>
      </c>
      <c r="AY120" s="651">
        <f t="shared" si="99"/>
        <v>0</v>
      </c>
      <c r="AZ120" s="652">
        <f t="shared" si="100"/>
        <v>0</v>
      </c>
      <c r="BA120" s="652">
        <f t="shared" si="101"/>
        <v>0</v>
      </c>
      <c r="BB120" s="651">
        <f t="array" ref="BB120">IFERROR(INDEX('HIV-Pharmaceuticals'!$AE$107:$AE$192,MATCH($E120&amp;$F120,'HIV-Pharmaceuticals'!$E$107:$E$192&amp;'HIV-Pharmaceuticals'!$I$107:$I$192,0)),0)</f>
        <v>0</v>
      </c>
      <c r="BC120" s="651">
        <f t="shared" si="102"/>
        <v>0</v>
      </c>
      <c r="BD120" s="652">
        <f t="shared" si="103"/>
        <v>0</v>
      </c>
      <c r="BE120" s="652">
        <f t="shared" si="104"/>
        <v>0</v>
      </c>
      <c r="BF120" s="651">
        <f t="array" ref="BF120">IFERROR(INDEX('HIV-Pharmaceuticals'!$AF$107:$AF$192,MATCH($E120&amp;$F120,'HIV-Pharmaceuticals'!$E$107:$E$192&amp;'HIV-Pharmaceuticals'!$I$107:$I$192,0)),0)</f>
        <v>0</v>
      </c>
      <c r="BG120" s="651">
        <f t="shared" si="105"/>
        <v>0</v>
      </c>
      <c r="BH120" s="652">
        <f t="shared" si="106"/>
        <v>0</v>
      </c>
      <c r="BI120" s="652">
        <f t="shared" si="107"/>
        <v>0</v>
      </c>
      <c r="BK120" s="654"/>
      <c r="BL120" s="654"/>
      <c r="BM120" s="654"/>
      <c r="BN120" s="654"/>
      <c r="BO120" s="654"/>
      <c r="BP120" s="654"/>
      <c r="BQ120" s="654"/>
      <c r="BR120" s="654"/>
    </row>
    <row r="121" spans="1:70">
      <c r="A121" s="647" t="s">
        <v>1317</v>
      </c>
      <c r="B121" s="647" t="s">
        <v>2282</v>
      </c>
      <c r="C121" s="648">
        <f>SETUP!$F$22</f>
        <v>0</v>
      </c>
      <c r="D121" s="649">
        <v>4.5</v>
      </c>
      <c r="E121" s="647" t="s">
        <v>1358</v>
      </c>
      <c r="F121" s="647" t="s">
        <v>1360</v>
      </c>
      <c r="G121" s="650" t="str">
        <f t="array" ref="G121">IFERROR(INDEX('HIV-Pharmaceuticals'!$L$107:$L$192,MATCH($E121&amp;$F121,'HIV-Pharmaceuticals'!$E$107:$E$192&amp;'HIV-Pharmaceuticals'!$I$107:$I$192,0)),"")</f>
        <v/>
      </c>
      <c r="H121" s="650" t="str">
        <f t="array" ref="H121">IFERROR(INDEX('HIV-Pharmaceuticals'!$M$107:$M$192,MATCH($E121&amp;$F121,'HIV-Pharmaceuticals'!$E$107:$E$192&amp;'HIV-Pharmaceuticals'!$I$107:$I$192,0)),"")</f>
        <v/>
      </c>
      <c r="I121" s="651">
        <f t="array" ref="I121">IFERROR(INDEX('HIV-Pharmaceuticals'!$N$107:$N$192,MATCH($E121&amp;$F121,'HIV-Pharmaceuticals'!$E$107:$E$192&amp;'HIV-Pharmaceuticals'!$I$107:$I$192,0)),0)</f>
        <v>0</v>
      </c>
      <c r="J121" s="651">
        <f t="array" ref="J121">IFERROR(INDEX('HIV-Pharmaceuticals'!$O$107:$O$192,MATCH($E121&amp;$F121,'HIV-Pharmaceuticals'!$E$107:$E$192&amp;'HIV-Pharmaceuticals'!$I$107:$I$192,0)),0)</f>
        <v>0</v>
      </c>
      <c r="K121" s="652">
        <f t="shared" si="72"/>
        <v>0</v>
      </c>
      <c r="L121" s="652">
        <f t="shared" si="73"/>
        <v>0</v>
      </c>
      <c r="M121" s="652">
        <f t="shared" si="74"/>
        <v>0</v>
      </c>
      <c r="N121" s="651">
        <f t="array" ref="N121">IFERROR(INDEX('HIV-Pharmaceuticals'!$P$107:$P$192,MATCH($E121&amp;$F121,'HIV-Pharmaceuticals'!$E$107:$E$192&amp;'HIV-Pharmaceuticals'!$I$107:$I$192,0)),0)</f>
        <v>0</v>
      </c>
      <c r="O121" s="652">
        <f t="shared" si="75"/>
        <v>0</v>
      </c>
      <c r="P121" s="652">
        <f t="shared" si="76"/>
        <v>0</v>
      </c>
      <c r="Q121" s="652">
        <f t="shared" si="77"/>
        <v>0</v>
      </c>
      <c r="R121" s="651">
        <f t="array" ref="R121">IFERROR(INDEX('HIV-Pharmaceuticals'!$Q$107:$Q$192,MATCH($E121&amp;$F121,'HIV-Pharmaceuticals'!$E$107:$E$192&amp;'HIV-Pharmaceuticals'!$I$107:$I$192,0)),0)</f>
        <v>0</v>
      </c>
      <c r="S121" s="652">
        <f t="shared" si="78"/>
        <v>0</v>
      </c>
      <c r="T121" s="652">
        <f t="shared" si="79"/>
        <v>0</v>
      </c>
      <c r="U121" s="652">
        <f t="shared" si="80"/>
        <v>0</v>
      </c>
      <c r="V121" s="651">
        <f t="array" ref="V121">IFERROR(INDEX('HIV-Pharmaceuticals'!$R$107:$R$192,MATCH($E121&amp;$F121,'HIV-Pharmaceuticals'!$E$107:$E$192&amp;'HIV-Pharmaceuticals'!$I$107:$I$192,0)),0)</f>
        <v>0</v>
      </c>
      <c r="W121" s="652">
        <f t="shared" si="81"/>
        <v>0</v>
      </c>
      <c r="X121" s="652">
        <f t="shared" si="82"/>
        <v>0</v>
      </c>
      <c r="Y121" s="652">
        <f t="shared" si="83"/>
        <v>0</v>
      </c>
      <c r="Z121" s="653"/>
      <c r="AA121" s="651">
        <f t="array" ref="AA121">IFERROR(INDEX('HIV-Pharmaceuticals'!$U$107:$U$192,MATCH($E121&amp;$F121,'HIV-Pharmaceuticals'!$E$107:$E$192&amp;'HIV-Pharmaceuticals'!$I$107:$I$192,0)),0)</f>
        <v>0</v>
      </c>
      <c r="AB121" s="651">
        <f t="array" ref="AB121">IFERROR(INDEX('HIV-Pharmaceuticals'!$V$107:$V$192,MATCH($E121&amp;$F121,'HIV-Pharmaceuticals'!$E$107:$E$192&amp;'HIV-Pharmaceuticals'!$I$107:$I$192,0)),0)</f>
        <v>0</v>
      </c>
      <c r="AC121" s="651">
        <f t="shared" si="84"/>
        <v>0</v>
      </c>
      <c r="AD121" s="652">
        <f t="shared" si="85"/>
        <v>0</v>
      </c>
      <c r="AE121" s="652">
        <f t="shared" si="86"/>
        <v>0</v>
      </c>
      <c r="AF121" s="651">
        <f t="array" ref="AF121">IFERROR(INDEX('HIV-Pharmaceuticals'!$W$107:$W$192,MATCH($E121&amp;$F121,'HIV-Pharmaceuticals'!$E$107:$E$192&amp;'HIV-Pharmaceuticals'!$I$107:$I$192,0)),0)</f>
        <v>0</v>
      </c>
      <c r="AG121" s="651">
        <f t="shared" si="87"/>
        <v>0</v>
      </c>
      <c r="AH121" s="652">
        <f t="shared" si="88"/>
        <v>0</v>
      </c>
      <c r="AI121" s="652">
        <f t="shared" si="89"/>
        <v>0</v>
      </c>
      <c r="AJ121" s="651">
        <f t="array" ref="AJ121">IFERROR(INDEX('HIV-Pharmaceuticals'!$X$107:$X$192,MATCH($E121&amp;$F121,'HIV-Pharmaceuticals'!$E$107:$E$192&amp;'HIV-Pharmaceuticals'!$I$107:$I$192,0)),0)</f>
        <v>0</v>
      </c>
      <c r="AK121" s="651">
        <f t="shared" si="90"/>
        <v>0</v>
      </c>
      <c r="AL121" s="652">
        <f t="shared" si="91"/>
        <v>0</v>
      </c>
      <c r="AM121" s="652">
        <f t="shared" si="92"/>
        <v>0</v>
      </c>
      <c r="AN121" s="651">
        <f t="array" ref="AN121">IFERROR(INDEX('HIV-Pharmaceuticals'!$Y$107:$Y$192,MATCH($E121&amp;$F121,'HIV-Pharmaceuticals'!$E$107:$E$192&amp;'HIV-Pharmaceuticals'!$I$107:$I$192,0)),0)</f>
        <v>0</v>
      </c>
      <c r="AO121" s="651">
        <f t="shared" si="93"/>
        <v>0</v>
      </c>
      <c r="AP121" s="652">
        <f t="shared" si="94"/>
        <v>0</v>
      </c>
      <c r="AQ121" s="652">
        <f t="shared" si="95"/>
        <v>0</v>
      </c>
      <c r="AR121" s="653"/>
      <c r="AS121" s="651">
        <f t="array" ref="AS121">IFERROR(INDEX('HIV-Pharmaceuticals'!$AB$107:$AB$192,MATCH($E121&amp;$F121,'HIV-Pharmaceuticals'!$E$107:$E$192&amp;'HIV-Pharmaceuticals'!$I$107:$I$192,0)),0)</f>
        <v>0</v>
      </c>
      <c r="AT121" s="651">
        <f t="array" ref="AT121">IFERROR(INDEX('HIV-Pharmaceuticals'!$AC$107:$AC$192,MATCH($E121&amp;$F121,'HIV-Pharmaceuticals'!$E$107:$E$192&amp;'HIV-Pharmaceuticals'!$I$107:$I$192,0)),0)</f>
        <v>0</v>
      </c>
      <c r="AU121" s="651">
        <f t="shared" si="96"/>
        <v>0</v>
      </c>
      <c r="AV121" s="652">
        <f t="shared" si="97"/>
        <v>0</v>
      </c>
      <c r="AW121" s="652">
        <f t="shared" si="98"/>
        <v>0</v>
      </c>
      <c r="AX121" s="651">
        <f t="array" ref="AX121">IFERROR(INDEX('HIV-Pharmaceuticals'!$AD$107:$AD$192,MATCH($E121&amp;$F121,'HIV-Pharmaceuticals'!$E$107:$E$192&amp;'HIV-Pharmaceuticals'!$I$107:$I$192,0)),0)</f>
        <v>0</v>
      </c>
      <c r="AY121" s="651">
        <f t="shared" si="99"/>
        <v>0</v>
      </c>
      <c r="AZ121" s="652">
        <f t="shared" si="100"/>
        <v>0</v>
      </c>
      <c r="BA121" s="652">
        <f t="shared" si="101"/>
        <v>0</v>
      </c>
      <c r="BB121" s="651">
        <f t="array" ref="BB121">IFERROR(INDEX('HIV-Pharmaceuticals'!$AE$107:$AE$192,MATCH($E121&amp;$F121,'HIV-Pharmaceuticals'!$E$107:$E$192&amp;'HIV-Pharmaceuticals'!$I$107:$I$192,0)),0)</f>
        <v>0</v>
      </c>
      <c r="BC121" s="651">
        <f t="shared" si="102"/>
        <v>0</v>
      </c>
      <c r="BD121" s="652">
        <f t="shared" si="103"/>
        <v>0</v>
      </c>
      <c r="BE121" s="652">
        <f t="shared" si="104"/>
        <v>0</v>
      </c>
      <c r="BF121" s="651">
        <f t="array" ref="BF121">IFERROR(INDEX('HIV-Pharmaceuticals'!$AF$107:$AF$192,MATCH($E121&amp;$F121,'HIV-Pharmaceuticals'!$E$107:$E$192&amp;'HIV-Pharmaceuticals'!$I$107:$I$192,0)),0)</f>
        <v>0</v>
      </c>
      <c r="BG121" s="651">
        <f t="shared" si="105"/>
        <v>0</v>
      </c>
      <c r="BH121" s="652">
        <f t="shared" si="106"/>
        <v>0</v>
      </c>
      <c r="BI121" s="652">
        <f t="shared" si="107"/>
        <v>0</v>
      </c>
      <c r="BK121" s="654"/>
      <c r="BL121" s="654"/>
      <c r="BM121" s="654"/>
      <c r="BN121" s="654"/>
      <c r="BO121" s="654"/>
      <c r="BP121" s="654"/>
      <c r="BQ121" s="654"/>
      <c r="BR121" s="654"/>
    </row>
    <row r="122" spans="1:70">
      <c r="A122" s="647" t="s">
        <v>1317</v>
      </c>
      <c r="B122" s="647" t="s">
        <v>2282</v>
      </c>
      <c r="C122" s="648">
        <f>SETUP!$F$22</f>
        <v>0</v>
      </c>
      <c r="D122" s="649">
        <v>4.5</v>
      </c>
      <c r="E122" s="647" t="s">
        <v>1358</v>
      </c>
      <c r="F122" s="647" t="s">
        <v>1361</v>
      </c>
      <c r="G122" s="650" t="str">
        <f t="array" ref="G122">IFERROR(INDEX('HIV-Pharmaceuticals'!$L$107:$L$192,MATCH($E122&amp;$F122,'HIV-Pharmaceuticals'!$E$107:$E$192&amp;'HIV-Pharmaceuticals'!$I$107:$I$192,0)),"")</f>
        <v/>
      </c>
      <c r="H122" s="650" t="str">
        <f t="array" ref="H122">IFERROR(INDEX('HIV-Pharmaceuticals'!$M$107:$M$192,MATCH($E122&amp;$F122,'HIV-Pharmaceuticals'!$E$107:$E$192&amp;'HIV-Pharmaceuticals'!$I$107:$I$192,0)),"")</f>
        <v/>
      </c>
      <c r="I122" s="651">
        <f t="array" ref="I122">IFERROR(INDEX('HIV-Pharmaceuticals'!$N$107:$N$192,MATCH($E122&amp;$F122,'HIV-Pharmaceuticals'!$E$107:$E$192&amp;'HIV-Pharmaceuticals'!$I$107:$I$192,0)),0)</f>
        <v>0</v>
      </c>
      <c r="J122" s="651">
        <f t="array" ref="J122">IFERROR(INDEX('HIV-Pharmaceuticals'!$O$107:$O$192,MATCH($E122&amp;$F122,'HIV-Pharmaceuticals'!$E$107:$E$192&amp;'HIV-Pharmaceuticals'!$I$107:$I$192,0)),0)</f>
        <v>0</v>
      </c>
      <c r="K122" s="652">
        <f t="shared" si="72"/>
        <v>0</v>
      </c>
      <c r="L122" s="652">
        <f t="shared" si="73"/>
        <v>0</v>
      </c>
      <c r="M122" s="652">
        <f t="shared" si="74"/>
        <v>0</v>
      </c>
      <c r="N122" s="651">
        <f t="array" ref="N122">IFERROR(INDEX('HIV-Pharmaceuticals'!$P$107:$P$192,MATCH($E122&amp;$F122,'HIV-Pharmaceuticals'!$E$107:$E$192&amp;'HIV-Pharmaceuticals'!$I$107:$I$192,0)),0)</f>
        <v>0</v>
      </c>
      <c r="O122" s="652">
        <f t="shared" si="75"/>
        <v>0</v>
      </c>
      <c r="P122" s="652">
        <f t="shared" si="76"/>
        <v>0</v>
      </c>
      <c r="Q122" s="652">
        <f t="shared" si="77"/>
        <v>0</v>
      </c>
      <c r="R122" s="651">
        <f t="array" ref="R122">IFERROR(INDEX('HIV-Pharmaceuticals'!$Q$107:$Q$192,MATCH($E122&amp;$F122,'HIV-Pharmaceuticals'!$E$107:$E$192&amp;'HIV-Pharmaceuticals'!$I$107:$I$192,0)),0)</f>
        <v>0</v>
      </c>
      <c r="S122" s="652">
        <f t="shared" si="78"/>
        <v>0</v>
      </c>
      <c r="T122" s="652">
        <f t="shared" si="79"/>
        <v>0</v>
      </c>
      <c r="U122" s="652">
        <f t="shared" si="80"/>
        <v>0</v>
      </c>
      <c r="V122" s="651">
        <f t="array" ref="V122">IFERROR(INDEX('HIV-Pharmaceuticals'!$R$107:$R$192,MATCH($E122&amp;$F122,'HIV-Pharmaceuticals'!$E$107:$E$192&amp;'HIV-Pharmaceuticals'!$I$107:$I$192,0)),0)</f>
        <v>0</v>
      </c>
      <c r="W122" s="652">
        <f t="shared" si="81"/>
        <v>0</v>
      </c>
      <c r="X122" s="652">
        <f t="shared" si="82"/>
        <v>0</v>
      </c>
      <c r="Y122" s="652">
        <f t="shared" si="83"/>
        <v>0</v>
      </c>
      <c r="Z122" s="653"/>
      <c r="AA122" s="651">
        <f t="array" ref="AA122">IFERROR(INDEX('HIV-Pharmaceuticals'!$U$107:$U$192,MATCH($E122&amp;$F122,'HIV-Pharmaceuticals'!$E$107:$E$192&amp;'HIV-Pharmaceuticals'!$I$107:$I$192,0)),0)</f>
        <v>0</v>
      </c>
      <c r="AB122" s="651">
        <f t="array" ref="AB122">IFERROR(INDEX('HIV-Pharmaceuticals'!$V$107:$V$192,MATCH($E122&amp;$F122,'HIV-Pharmaceuticals'!$E$107:$E$192&amp;'HIV-Pharmaceuticals'!$I$107:$I$192,0)),0)</f>
        <v>0</v>
      </c>
      <c r="AC122" s="651">
        <f t="shared" si="84"/>
        <v>0</v>
      </c>
      <c r="AD122" s="652">
        <f t="shared" si="85"/>
        <v>0</v>
      </c>
      <c r="AE122" s="652">
        <f t="shared" si="86"/>
        <v>0</v>
      </c>
      <c r="AF122" s="651">
        <f t="array" ref="AF122">IFERROR(INDEX('HIV-Pharmaceuticals'!$W$107:$W$192,MATCH($E122&amp;$F122,'HIV-Pharmaceuticals'!$E$107:$E$192&amp;'HIV-Pharmaceuticals'!$I$107:$I$192,0)),0)</f>
        <v>0</v>
      </c>
      <c r="AG122" s="651">
        <f t="shared" si="87"/>
        <v>0</v>
      </c>
      <c r="AH122" s="652">
        <f t="shared" si="88"/>
        <v>0</v>
      </c>
      <c r="AI122" s="652">
        <f t="shared" si="89"/>
        <v>0</v>
      </c>
      <c r="AJ122" s="651">
        <f t="array" ref="AJ122">IFERROR(INDEX('HIV-Pharmaceuticals'!$X$107:$X$192,MATCH($E122&amp;$F122,'HIV-Pharmaceuticals'!$E$107:$E$192&amp;'HIV-Pharmaceuticals'!$I$107:$I$192,0)),0)</f>
        <v>0</v>
      </c>
      <c r="AK122" s="651">
        <f t="shared" si="90"/>
        <v>0</v>
      </c>
      <c r="AL122" s="652">
        <f t="shared" si="91"/>
        <v>0</v>
      </c>
      <c r="AM122" s="652">
        <f t="shared" si="92"/>
        <v>0</v>
      </c>
      <c r="AN122" s="651">
        <f t="array" ref="AN122">IFERROR(INDEX('HIV-Pharmaceuticals'!$Y$107:$Y$192,MATCH($E122&amp;$F122,'HIV-Pharmaceuticals'!$E$107:$E$192&amp;'HIV-Pharmaceuticals'!$I$107:$I$192,0)),0)</f>
        <v>0</v>
      </c>
      <c r="AO122" s="651">
        <f t="shared" si="93"/>
        <v>0</v>
      </c>
      <c r="AP122" s="652">
        <f t="shared" si="94"/>
        <v>0</v>
      </c>
      <c r="AQ122" s="652">
        <f t="shared" si="95"/>
        <v>0</v>
      </c>
      <c r="AR122" s="653"/>
      <c r="AS122" s="651">
        <f t="array" ref="AS122">IFERROR(INDEX('HIV-Pharmaceuticals'!$AB$107:$AB$192,MATCH($E122&amp;$F122,'HIV-Pharmaceuticals'!$E$107:$E$192&amp;'HIV-Pharmaceuticals'!$I$107:$I$192,0)),0)</f>
        <v>0</v>
      </c>
      <c r="AT122" s="651">
        <f t="array" ref="AT122">IFERROR(INDEX('HIV-Pharmaceuticals'!$AC$107:$AC$192,MATCH($E122&amp;$F122,'HIV-Pharmaceuticals'!$E$107:$E$192&amp;'HIV-Pharmaceuticals'!$I$107:$I$192,0)),0)</f>
        <v>0</v>
      </c>
      <c r="AU122" s="651">
        <f t="shared" si="96"/>
        <v>0</v>
      </c>
      <c r="AV122" s="652">
        <f t="shared" si="97"/>
        <v>0</v>
      </c>
      <c r="AW122" s="652">
        <f t="shared" si="98"/>
        <v>0</v>
      </c>
      <c r="AX122" s="651">
        <f t="array" ref="AX122">IFERROR(INDEX('HIV-Pharmaceuticals'!$AD$107:$AD$192,MATCH($E122&amp;$F122,'HIV-Pharmaceuticals'!$E$107:$E$192&amp;'HIV-Pharmaceuticals'!$I$107:$I$192,0)),0)</f>
        <v>0</v>
      </c>
      <c r="AY122" s="651">
        <f t="shared" si="99"/>
        <v>0</v>
      </c>
      <c r="AZ122" s="652">
        <f t="shared" si="100"/>
        <v>0</v>
      </c>
      <c r="BA122" s="652">
        <f t="shared" si="101"/>
        <v>0</v>
      </c>
      <c r="BB122" s="651">
        <f t="array" ref="BB122">IFERROR(INDEX('HIV-Pharmaceuticals'!$AE$107:$AE$192,MATCH($E122&amp;$F122,'HIV-Pharmaceuticals'!$E$107:$E$192&amp;'HIV-Pharmaceuticals'!$I$107:$I$192,0)),0)</f>
        <v>0</v>
      </c>
      <c r="BC122" s="651">
        <f t="shared" si="102"/>
        <v>0</v>
      </c>
      <c r="BD122" s="652">
        <f t="shared" si="103"/>
        <v>0</v>
      </c>
      <c r="BE122" s="652">
        <f t="shared" si="104"/>
        <v>0</v>
      </c>
      <c r="BF122" s="651">
        <f t="array" ref="BF122">IFERROR(INDEX('HIV-Pharmaceuticals'!$AF$107:$AF$192,MATCH($E122&amp;$F122,'HIV-Pharmaceuticals'!$E$107:$E$192&amp;'HIV-Pharmaceuticals'!$I$107:$I$192,0)),0)</f>
        <v>0</v>
      </c>
      <c r="BG122" s="651">
        <f t="shared" si="105"/>
        <v>0</v>
      </c>
      <c r="BH122" s="652">
        <f t="shared" si="106"/>
        <v>0</v>
      </c>
      <c r="BI122" s="652">
        <f t="shared" si="107"/>
        <v>0</v>
      </c>
      <c r="BK122" s="654"/>
      <c r="BL122" s="654"/>
      <c r="BM122" s="654"/>
      <c r="BN122" s="654"/>
      <c r="BO122" s="654"/>
      <c r="BP122" s="654"/>
      <c r="BQ122" s="654"/>
      <c r="BR122" s="654"/>
    </row>
    <row r="123" spans="1:70">
      <c r="A123" s="647" t="s">
        <v>1317</v>
      </c>
      <c r="B123" s="647" t="s">
        <v>2282</v>
      </c>
      <c r="C123" s="648">
        <f>SETUP!$F$22</f>
        <v>0</v>
      </c>
      <c r="D123" s="649">
        <v>4.5</v>
      </c>
      <c r="E123" s="647" t="s">
        <v>1358</v>
      </c>
      <c r="F123" s="647" t="s">
        <v>1362</v>
      </c>
      <c r="G123" s="650" t="str">
        <f t="array" ref="G123">IFERROR(INDEX('HIV-Pharmaceuticals'!$L$107:$L$192,MATCH($E123&amp;$F123,'HIV-Pharmaceuticals'!$E$107:$E$192&amp;'HIV-Pharmaceuticals'!$I$107:$I$192,0)),"")</f>
        <v/>
      </c>
      <c r="H123" s="650" t="str">
        <f t="array" ref="H123">IFERROR(INDEX('HIV-Pharmaceuticals'!$M$107:$M$192,MATCH($E123&amp;$F123,'HIV-Pharmaceuticals'!$E$107:$E$192&amp;'HIV-Pharmaceuticals'!$I$107:$I$192,0)),"")</f>
        <v/>
      </c>
      <c r="I123" s="651">
        <f t="array" ref="I123">IFERROR(INDEX('HIV-Pharmaceuticals'!$N$107:$N$192,MATCH($E123&amp;$F123,'HIV-Pharmaceuticals'!$E$107:$E$192&amp;'HIV-Pharmaceuticals'!$I$107:$I$192,0)),0)</f>
        <v>0</v>
      </c>
      <c r="J123" s="651">
        <f t="array" ref="J123">IFERROR(INDEX('HIV-Pharmaceuticals'!$O$107:$O$192,MATCH($E123&amp;$F123,'HIV-Pharmaceuticals'!$E$107:$E$192&amp;'HIV-Pharmaceuticals'!$I$107:$I$192,0)),0)</f>
        <v>0</v>
      </c>
      <c r="K123" s="652">
        <f t="shared" si="72"/>
        <v>0</v>
      </c>
      <c r="L123" s="652">
        <f t="shared" si="73"/>
        <v>0</v>
      </c>
      <c r="M123" s="652">
        <f t="shared" si="74"/>
        <v>0</v>
      </c>
      <c r="N123" s="651">
        <f t="array" ref="N123">IFERROR(INDEX('HIV-Pharmaceuticals'!$P$107:$P$192,MATCH($E123&amp;$F123,'HIV-Pharmaceuticals'!$E$107:$E$192&amp;'HIV-Pharmaceuticals'!$I$107:$I$192,0)),0)</f>
        <v>0</v>
      </c>
      <c r="O123" s="652">
        <f t="shared" si="75"/>
        <v>0</v>
      </c>
      <c r="P123" s="652">
        <f t="shared" si="76"/>
        <v>0</v>
      </c>
      <c r="Q123" s="652">
        <f t="shared" si="77"/>
        <v>0</v>
      </c>
      <c r="R123" s="651">
        <f t="array" ref="R123">IFERROR(INDEX('HIV-Pharmaceuticals'!$Q$107:$Q$192,MATCH($E123&amp;$F123,'HIV-Pharmaceuticals'!$E$107:$E$192&amp;'HIV-Pharmaceuticals'!$I$107:$I$192,0)),0)</f>
        <v>0</v>
      </c>
      <c r="S123" s="652">
        <f t="shared" si="78"/>
        <v>0</v>
      </c>
      <c r="T123" s="652">
        <f t="shared" si="79"/>
        <v>0</v>
      </c>
      <c r="U123" s="652">
        <f t="shared" si="80"/>
        <v>0</v>
      </c>
      <c r="V123" s="651">
        <f t="array" ref="V123">IFERROR(INDEX('HIV-Pharmaceuticals'!$R$107:$R$192,MATCH($E123&amp;$F123,'HIV-Pharmaceuticals'!$E$107:$E$192&amp;'HIV-Pharmaceuticals'!$I$107:$I$192,0)),0)</f>
        <v>0</v>
      </c>
      <c r="W123" s="652">
        <f t="shared" si="81"/>
        <v>0</v>
      </c>
      <c r="X123" s="652">
        <f t="shared" si="82"/>
        <v>0</v>
      </c>
      <c r="Y123" s="652">
        <f t="shared" si="83"/>
        <v>0</v>
      </c>
      <c r="Z123" s="653"/>
      <c r="AA123" s="651">
        <f t="array" ref="AA123">IFERROR(INDEX('HIV-Pharmaceuticals'!$U$107:$U$192,MATCH($E123&amp;$F123,'HIV-Pharmaceuticals'!$E$107:$E$192&amp;'HIV-Pharmaceuticals'!$I$107:$I$192,0)),0)</f>
        <v>0</v>
      </c>
      <c r="AB123" s="651">
        <f t="array" ref="AB123">IFERROR(INDEX('HIV-Pharmaceuticals'!$V$107:$V$192,MATCH($E123&amp;$F123,'HIV-Pharmaceuticals'!$E$107:$E$192&amp;'HIV-Pharmaceuticals'!$I$107:$I$192,0)),0)</f>
        <v>0</v>
      </c>
      <c r="AC123" s="651">
        <f t="shared" si="84"/>
        <v>0</v>
      </c>
      <c r="AD123" s="652">
        <f t="shared" si="85"/>
        <v>0</v>
      </c>
      <c r="AE123" s="652">
        <f t="shared" si="86"/>
        <v>0</v>
      </c>
      <c r="AF123" s="651">
        <f t="array" ref="AF123">IFERROR(INDEX('HIV-Pharmaceuticals'!$W$107:$W$192,MATCH($E123&amp;$F123,'HIV-Pharmaceuticals'!$E$107:$E$192&amp;'HIV-Pharmaceuticals'!$I$107:$I$192,0)),0)</f>
        <v>0</v>
      </c>
      <c r="AG123" s="651">
        <f t="shared" si="87"/>
        <v>0</v>
      </c>
      <c r="AH123" s="652">
        <f t="shared" si="88"/>
        <v>0</v>
      </c>
      <c r="AI123" s="652">
        <f t="shared" si="89"/>
        <v>0</v>
      </c>
      <c r="AJ123" s="651">
        <f t="array" ref="AJ123">IFERROR(INDEX('HIV-Pharmaceuticals'!$X$107:$X$192,MATCH($E123&amp;$F123,'HIV-Pharmaceuticals'!$E$107:$E$192&amp;'HIV-Pharmaceuticals'!$I$107:$I$192,0)),0)</f>
        <v>0</v>
      </c>
      <c r="AK123" s="651">
        <f t="shared" si="90"/>
        <v>0</v>
      </c>
      <c r="AL123" s="652">
        <f t="shared" si="91"/>
        <v>0</v>
      </c>
      <c r="AM123" s="652">
        <f t="shared" si="92"/>
        <v>0</v>
      </c>
      <c r="AN123" s="651">
        <f t="array" ref="AN123">IFERROR(INDEX('HIV-Pharmaceuticals'!$Y$107:$Y$192,MATCH($E123&amp;$F123,'HIV-Pharmaceuticals'!$E$107:$E$192&amp;'HIV-Pharmaceuticals'!$I$107:$I$192,0)),0)</f>
        <v>0</v>
      </c>
      <c r="AO123" s="651">
        <f t="shared" si="93"/>
        <v>0</v>
      </c>
      <c r="AP123" s="652">
        <f t="shared" si="94"/>
        <v>0</v>
      </c>
      <c r="AQ123" s="652">
        <f t="shared" si="95"/>
        <v>0</v>
      </c>
      <c r="AR123" s="653"/>
      <c r="AS123" s="651">
        <f t="array" ref="AS123">IFERROR(INDEX('HIV-Pharmaceuticals'!$AB$107:$AB$192,MATCH($E123&amp;$F123,'HIV-Pharmaceuticals'!$E$107:$E$192&amp;'HIV-Pharmaceuticals'!$I$107:$I$192,0)),0)</f>
        <v>0</v>
      </c>
      <c r="AT123" s="651">
        <f t="array" ref="AT123">IFERROR(INDEX('HIV-Pharmaceuticals'!$AC$107:$AC$192,MATCH($E123&amp;$F123,'HIV-Pharmaceuticals'!$E$107:$E$192&amp;'HIV-Pharmaceuticals'!$I$107:$I$192,0)),0)</f>
        <v>0</v>
      </c>
      <c r="AU123" s="651">
        <f t="shared" si="96"/>
        <v>0</v>
      </c>
      <c r="AV123" s="652">
        <f t="shared" si="97"/>
        <v>0</v>
      </c>
      <c r="AW123" s="652">
        <f t="shared" si="98"/>
        <v>0</v>
      </c>
      <c r="AX123" s="651">
        <f t="array" ref="AX123">IFERROR(INDEX('HIV-Pharmaceuticals'!$AD$107:$AD$192,MATCH($E123&amp;$F123,'HIV-Pharmaceuticals'!$E$107:$E$192&amp;'HIV-Pharmaceuticals'!$I$107:$I$192,0)),0)</f>
        <v>0</v>
      </c>
      <c r="AY123" s="651">
        <f t="shared" si="99"/>
        <v>0</v>
      </c>
      <c r="AZ123" s="652">
        <f t="shared" si="100"/>
        <v>0</v>
      </c>
      <c r="BA123" s="652">
        <f t="shared" si="101"/>
        <v>0</v>
      </c>
      <c r="BB123" s="651">
        <f t="array" ref="BB123">IFERROR(INDEX('HIV-Pharmaceuticals'!$AE$107:$AE$192,MATCH($E123&amp;$F123,'HIV-Pharmaceuticals'!$E$107:$E$192&amp;'HIV-Pharmaceuticals'!$I$107:$I$192,0)),0)</f>
        <v>0</v>
      </c>
      <c r="BC123" s="651">
        <f t="shared" si="102"/>
        <v>0</v>
      </c>
      <c r="BD123" s="652">
        <f t="shared" si="103"/>
        <v>0</v>
      </c>
      <c r="BE123" s="652">
        <f t="shared" si="104"/>
        <v>0</v>
      </c>
      <c r="BF123" s="651">
        <f t="array" ref="BF123">IFERROR(INDEX('HIV-Pharmaceuticals'!$AF$107:$AF$192,MATCH($E123&amp;$F123,'HIV-Pharmaceuticals'!$E$107:$E$192&amp;'HIV-Pharmaceuticals'!$I$107:$I$192,0)),0)</f>
        <v>0</v>
      </c>
      <c r="BG123" s="651">
        <f t="shared" si="105"/>
        <v>0</v>
      </c>
      <c r="BH123" s="652">
        <f t="shared" si="106"/>
        <v>0</v>
      </c>
      <c r="BI123" s="652">
        <f t="shared" si="107"/>
        <v>0</v>
      </c>
      <c r="BK123" s="654"/>
      <c r="BL123" s="654"/>
      <c r="BM123" s="654"/>
      <c r="BN123" s="654"/>
      <c r="BO123" s="654"/>
      <c r="BP123" s="654"/>
      <c r="BQ123" s="654"/>
      <c r="BR123" s="654"/>
    </row>
    <row r="124" spans="1:70">
      <c r="A124" s="647" t="s">
        <v>1317</v>
      </c>
      <c r="B124" s="647" t="s">
        <v>2282</v>
      </c>
      <c r="C124" s="648">
        <f>SETUP!$F$22</f>
        <v>0</v>
      </c>
      <c r="D124" s="649">
        <v>4.5</v>
      </c>
      <c r="E124" s="647" t="s">
        <v>1363</v>
      </c>
      <c r="F124" s="647" t="s">
        <v>1364</v>
      </c>
      <c r="G124" s="650" t="str">
        <f t="array" ref="G124">IFERROR(INDEX('HIV-Pharmaceuticals'!$L$107:$L$192,MATCH($E124&amp;$F124,'HIV-Pharmaceuticals'!$E$107:$E$192&amp;'HIV-Pharmaceuticals'!$I$107:$I$192,0)),"")</f>
        <v/>
      </c>
      <c r="H124" s="650" t="str">
        <f t="array" ref="H124">IFERROR(INDEX('HIV-Pharmaceuticals'!$M$107:$M$192,MATCH($E124&amp;$F124,'HIV-Pharmaceuticals'!$E$107:$E$192&amp;'HIV-Pharmaceuticals'!$I$107:$I$192,0)),"")</f>
        <v/>
      </c>
      <c r="I124" s="651">
        <f t="array" ref="I124">IFERROR(INDEX('HIV-Pharmaceuticals'!$N$107:$N$192,MATCH($E124&amp;$F124,'HIV-Pharmaceuticals'!$E$107:$E$192&amp;'HIV-Pharmaceuticals'!$I$107:$I$192,0)),0)</f>
        <v>0</v>
      </c>
      <c r="J124" s="651">
        <f t="array" ref="J124">IFERROR(INDEX('HIV-Pharmaceuticals'!$O$107:$O$192,MATCH($E124&amp;$F124,'HIV-Pharmaceuticals'!$E$107:$E$192&amp;'HIV-Pharmaceuticals'!$I$107:$I$192,0)),0)</f>
        <v>0</v>
      </c>
      <c r="K124" s="652">
        <f t="shared" si="72"/>
        <v>0</v>
      </c>
      <c r="L124" s="652">
        <f t="shared" si="73"/>
        <v>0</v>
      </c>
      <c r="M124" s="652">
        <f t="shared" si="74"/>
        <v>0</v>
      </c>
      <c r="N124" s="651">
        <f t="array" ref="N124">IFERROR(INDEX('HIV-Pharmaceuticals'!$P$107:$P$192,MATCH($E124&amp;$F124,'HIV-Pharmaceuticals'!$E$107:$E$192&amp;'HIV-Pharmaceuticals'!$I$107:$I$192,0)),0)</f>
        <v>0</v>
      </c>
      <c r="O124" s="652">
        <f t="shared" si="75"/>
        <v>0</v>
      </c>
      <c r="P124" s="652">
        <f t="shared" si="76"/>
        <v>0</v>
      </c>
      <c r="Q124" s="652">
        <f t="shared" si="77"/>
        <v>0</v>
      </c>
      <c r="R124" s="651">
        <f t="array" ref="R124">IFERROR(INDEX('HIV-Pharmaceuticals'!$Q$107:$Q$192,MATCH($E124&amp;$F124,'HIV-Pharmaceuticals'!$E$107:$E$192&amp;'HIV-Pharmaceuticals'!$I$107:$I$192,0)),0)</f>
        <v>0</v>
      </c>
      <c r="S124" s="652">
        <f t="shared" si="78"/>
        <v>0</v>
      </c>
      <c r="T124" s="652">
        <f t="shared" si="79"/>
        <v>0</v>
      </c>
      <c r="U124" s="652">
        <f t="shared" si="80"/>
        <v>0</v>
      </c>
      <c r="V124" s="651">
        <f t="array" ref="V124">IFERROR(INDEX('HIV-Pharmaceuticals'!$R$107:$R$192,MATCH($E124&amp;$F124,'HIV-Pharmaceuticals'!$E$107:$E$192&amp;'HIV-Pharmaceuticals'!$I$107:$I$192,0)),0)</f>
        <v>0</v>
      </c>
      <c r="W124" s="652">
        <f t="shared" si="81"/>
        <v>0</v>
      </c>
      <c r="X124" s="652">
        <f t="shared" si="82"/>
        <v>0</v>
      </c>
      <c r="Y124" s="652">
        <f t="shared" si="83"/>
        <v>0</v>
      </c>
      <c r="Z124" s="653"/>
      <c r="AA124" s="651">
        <f t="array" ref="AA124">IFERROR(INDEX('HIV-Pharmaceuticals'!$U$107:$U$192,MATCH($E124&amp;$F124,'HIV-Pharmaceuticals'!$E$107:$E$192&amp;'HIV-Pharmaceuticals'!$I$107:$I$192,0)),0)</f>
        <v>0</v>
      </c>
      <c r="AB124" s="651">
        <f t="array" ref="AB124">IFERROR(INDEX('HIV-Pharmaceuticals'!$V$107:$V$192,MATCH($E124&amp;$F124,'HIV-Pharmaceuticals'!$E$107:$E$192&amp;'HIV-Pharmaceuticals'!$I$107:$I$192,0)),0)</f>
        <v>0</v>
      </c>
      <c r="AC124" s="651">
        <f t="shared" si="84"/>
        <v>0</v>
      </c>
      <c r="AD124" s="652">
        <f t="shared" si="85"/>
        <v>0</v>
      </c>
      <c r="AE124" s="652">
        <f t="shared" si="86"/>
        <v>0</v>
      </c>
      <c r="AF124" s="651">
        <f t="array" ref="AF124">IFERROR(INDEX('HIV-Pharmaceuticals'!$W$107:$W$192,MATCH($E124&amp;$F124,'HIV-Pharmaceuticals'!$E$107:$E$192&amp;'HIV-Pharmaceuticals'!$I$107:$I$192,0)),0)</f>
        <v>0</v>
      </c>
      <c r="AG124" s="651">
        <f t="shared" si="87"/>
        <v>0</v>
      </c>
      <c r="AH124" s="652">
        <f t="shared" si="88"/>
        <v>0</v>
      </c>
      <c r="AI124" s="652">
        <f t="shared" si="89"/>
        <v>0</v>
      </c>
      <c r="AJ124" s="651">
        <f t="array" ref="AJ124">IFERROR(INDEX('HIV-Pharmaceuticals'!$X$107:$X$192,MATCH($E124&amp;$F124,'HIV-Pharmaceuticals'!$E$107:$E$192&amp;'HIV-Pharmaceuticals'!$I$107:$I$192,0)),0)</f>
        <v>0</v>
      </c>
      <c r="AK124" s="651">
        <f t="shared" si="90"/>
        <v>0</v>
      </c>
      <c r="AL124" s="652">
        <f t="shared" si="91"/>
        <v>0</v>
      </c>
      <c r="AM124" s="652">
        <f t="shared" si="92"/>
        <v>0</v>
      </c>
      <c r="AN124" s="651">
        <f t="array" ref="AN124">IFERROR(INDEX('HIV-Pharmaceuticals'!$Y$107:$Y$192,MATCH($E124&amp;$F124,'HIV-Pharmaceuticals'!$E$107:$E$192&amp;'HIV-Pharmaceuticals'!$I$107:$I$192,0)),0)</f>
        <v>0</v>
      </c>
      <c r="AO124" s="651">
        <f t="shared" si="93"/>
        <v>0</v>
      </c>
      <c r="AP124" s="652">
        <f t="shared" si="94"/>
        <v>0</v>
      </c>
      <c r="AQ124" s="652">
        <f t="shared" si="95"/>
        <v>0</v>
      </c>
      <c r="AR124" s="653"/>
      <c r="AS124" s="651">
        <f t="array" ref="AS124">IFERROR(INDEX('HIV-Pharmaceuticals'!$AB$107:$AB$192,MATCH($E124&amp;$F124,'HIV-Pharmaceuticals'!$E$107:$E$192&amp;'HIV-Pharmaceuticals'!$I$107:$I$192,0)),0)</f>
        <v>0</v>
      </c>
      <c r="AT124" s="651">
        <f t="array" ref="AT124">IFERROR(INDEX('HIV-Pharmaceuticals'!$AC$107:$AC$192,MATCH($E124&amp;$F124,'HIV-Pharmaceuticals'!$E$107:$E$192&amp;'HIV-Pharmaceuticals'!$I$107:$I$192,0)),0)</f>
        <v>0</v>
      </c>
      <c r="AU124" s="651">
        <f t="shared" si="96"/>
        <v>0</v>
      </c>
      <c r="AV124" s="652">
        <f t="shared" si="97"/>
        <v>0</v>
      </c>
      <c r="AW124" s="652">
        <f t="shared" si="98"/>
        <v>0</v>
      </c>
      <c r="AX124" s="651">
        <f t="array" ref="AX124">IFERROR(INDEX('HIV-Pharmaceuticals'!$AD$107:$AD$192,MATCH($E124&amp;$F124,'HIV-Pharmaceuticals'!$E$107:$E$192&amp;'HIV-Pharmaceuticals'!$I$107:$I$192,0)),0)</f>
        <v>0</v>
      </c>
      <c r="AY124" s="651">
        <f t="shared" si="99"/>
        <v>0</v>
      </c>
      <c r="AZ124" s="652">
        <f t="shared" si="100"/>
        <v>0</v>
      </c>
      <c r="BA124" s="652">
        <f t="shared" si="101"/>
        <v>0</v>
      </c>
      <c r="BB124" s="651">
        <f t="array" ref="BB124">IFERROR(INDEX('HIV-Pharmaceuticals'!$AE$107:$AE$192,MATCH($E124&amp;$F124,'HIV-Pharmaceuticals'!$E$107:$E$192&amp;'HIV-Pharmaceuticals'!$I$107:$I$192,0)),0)</f>
        <v>0</v>
      </c>
      <c r="BC124" s="651">
        <f t="shared" si="102"/>
        <v>0</v>
      </c>
      <c r="BD124" s="652">
        <f t="shared" si="103"/>
        <v>0</v>
      </c>
      <c r="BE124" s="652">
        <f t="shared" si="104"/>
        <v>0</v>
      </c>
      <c r="BF124" s="651">
        <f t="array" ref="BF124">IFERROR(INDEX('HIV-Pharmaceuticals'!$AF$107:$AF$192,MATCH($E124&amp;$F124,'HIV-Pharmaceuticals'!$E$107:$E$192&amp;'HIV-Pharmaceuticals'!$I$107:$I$192,0)),0)</f>
        <v>0</v>
      </c>
      <c r="BG124" s="651">
        <f t="shared" si="105"/>
        <v>0</v>
      </c>
      <c r="BH124" s="652">
        <f t="shared" si="106"/>
        <v>0</v>
      </c>
      <c r="BI124" s="652">
        <f t="shared" si="107"/>
        <v>0</v>
      </c>
      <c r="BK124" s="654"/>
      <c r="BL124" s="654"/>
      <c r="BM124" s="654"/>
      <c r="BN124" s="654"/>
      <c r="BO124" s="654"/>
      <c r="BP124" s="654"/>
      <c r="BQ124" s="654"/>
      <c r="BR124" s="654"/>
    </row>
    <row r="125" spans="1:70">
      <c r="A125" s="647" t="s">
        <v>1317</v>
      </c>
      <c r="B125" s="647" t="s">
        <v>2282</v>
      </c>
      <c r="C125" s="648">
        <f>SETUP!$F$22</f>
        <v>0</v>
      </c>
      <c r="D125" s="649">
        <v>4.5</v>
      </c>
      <c r="E125" s="647" t="s">
        <v>1365</v>
      </c>
      <c r="F125" s="647" t="s">
        <v>1366</v>
      </c>
      <c r="G125" s="650" t="str">
        <f t="array" ref="G125">IFERROR(INDEX('HIV-Pharmaceuticals'!$L$107:$L$192,MATCH($E125&amp;$F125,'HIV-Pharmaceuticals'!$E$107:$E$192&amp;'HIV-Pharmaceuticals'!$I$107:$I$192,0)),"")</f>
        <v/>
      </c>
      <c r="H125" s="650" t="str">
        <f t="array" ref="H125">IFERROR(INDEX('HIV-Pharmaceuticals'!$M$107:$M$192,MATCH($E125&amp;$F125,'HIV-Pharmaceuticals'!$E$107:$E$192&amp;'HIV-Pharmaceuticals'!$I$107:$I$192,0)),"")</f>
        <v/>
      </c>
      <c r="I125" s="651">
        <f t="array" ref="I125">IFERROR(INDEX('HIV-Pharmaceuticals'!$N$107:$N$192,MATCH($E125&amp;$F125,'HIV-Pharmaceuticals'!$E$107:$E$192&amp;'HIV-Pharmaceuticals'!$I$107:$I$192,0)),0)</f>
        <v>0</v>
      </c>
      <c r="J125" s="651">
        <f t="array" ref="J125">IFERROR(INDEX('HIV-Pharmaceuticals'!$O$107:$O$192,MATCH($E125&amp;$F125,'HIV-Pharmaceuticals'!$E$107:$E$192&amp;'HIV-Pharmaceuticals'!$I$107:$I$192,0)),0)</f>
        <v>0</v>
      </c>
      <c r="K125" s="652">
        <f t="shared" si="72"/>
        <v>0</v>
      </c>
      <c r="L125" s="652">
        <f t="shared" si="73"/>
        <v>0</v>
      </c>
      <c r="M125" s="652">
        <f t="shared" si="74"/>
        <v>0</v>
      </c>
      <c r="N125" s="651">
        <f t="array" ref="N125">IFERROR(INDEX('HIV-Pharmaceuticals'!$P$107:$P$192,MATCH($E125&amp;$F125,'HIV-Pharmaceuticals'!$E$107:$E$192&amp;'HIV-Pharmaceuticals'!$I$107:$I$192,0)),0)</f>
        <v>0</v>
      </c>
      <c r="O125" s="652">
        <f t="shared" si="75"/>
        <v>0</v>
      </c>
      <c r="P125" s="652">
        <f t="shared" si="76"/>
        <v>0</v>
      </c>
      <c r="Q125" s="652">
        <f t="shared" si="77"/>
        <v>0</v>
      </c>
      <c r="R125" s="651">
        <f t="array" ref="R125">IFERROR(INDEX('HIV-Pharmaceuticals'!$Q$107:$Q$192,MATCH($E125&amp;$F125,'HIV-Pharmaceuticals'!$E$107:$E$192&amp;'HIV-Pharmaceuticals'!$I$107:$I$192,0)),0)</f>
        <v>0</v>
      </c>
      <c r="S125" s="652">
        <f t="shared" si="78"/>
        <v>0</v>
      </c>
      <c r="T125" s="652">
        <f t="shared" si="79"/>
        <v>0</v>
      </c>
      <c r="U125" s="652">
        <f t="shared" si="80"/>
        <v>0</v>
      </c>
      <c r="V125" s="651">
        <f t="array" ref="V125">IFERROR(INDEX('HIV-Pharmaceuticals'!$R$107:$R$192,MATCH($E125&amp;$F125,'HIV-Pharmaceuticals'!$E$107:$E$192&amp;'HIV-Pharmaceuticals'!$I$107:$I$192,0)),0)</f>
        <v>0</v>
      </c>
      <c r="W125" s="652">
        <f t="shared" si="81"/>
        <v>0</v>
      </c>
      <c r="X125" s="652">
        <f t="shared" si="82"/>
        <v>0</v>
      </c>
      <c r="Y125" s="652">
        <f t="shared" si="83"/>
        <v>0</v>
      </c>
      <c r="Z125" s="653"/>
      <c r="AA125" s="651">
        <f t="array" ref="AA125">IFERROR(INDEX('HIV-Pharmaceuticals'!$U$107:$U$192,MATCH($E125&amp;$F125,'HIV-Pharmaceuticals'!$E$107:$E$192&amp;'HIV-Pharmaceuticals'!$I$107:$I$192,0)),0)</f>
        <v>0</v>
      </c>
      <c r="AB125" s="651">
        <f t="array" ref="AB125">IFERROR(INDEX('HIV-Pharmaceuticals'!$V$107:$V$192,MATCH($E125&amp;$F125,'HIV-Pharmaceuticals'!$E$107:$E$192&amp;'HIV-Pharmaceuticals'!$I$107:$I$192,0)),0)</f>
        <v>0</v>
      </c>
      <c r="AC125" s="651">
        <f t="shared" si="84"/>
        <v>0</v>
      </c>
      <c r="AD125" s="652">
        <f t="shared" si="85"/>
        <v>0</v>
      </c>
      <c r="AE125" s="652">
        <f t="shared" si="86"/>
        <v>0</v>
      </c>
      <c r="AF125" s="651">
        <f t="array" ref="AF125">IFERROR(INDEX('HIV-Pharmaceuticals'!$W$107:$W$192,MATCH($E125&amp;$F125,'HIV-Pharmaceuticals'!$E$107:$E$192&amp;'HIV-Pharmaceuticals'!$I$107:$I$192,0)),0)</f>
        <v>0</v>
      </c>
      <c r="AG125" s="651">
        <f t="shared" si="87"/>
        <v>0</v>
      </c>
      <c r="AH125" s="652">
        <f t="shared" si="88"/>
        <v>0</v>
      </c>
      <c r="AI125" s="652">
        <f t="shared" si="89"/>
        <v>0</v>
      </c>
      <c r="AJ125" s="651">
        <f t="array" ref="AJ125">IFERROR(INDEX('HIV-Pharmaceuticals'!$X$107:$X$192,MATCH($E125&amp;$F125,'HIV-Pharmaceuticals'!$E$107:$E$192&amp;'HIV-Pharmaceuticals'!$I$107:$I$192,0)),0)</f>
        <v>0</v>
      </c>
      <c r="AK125" s="651">
        <f t="shared" si="90"/>
        <v>0</v>
      </c>
      <c r="AL125" s="652">
        <f t="shared" si="91"/>
        <v>0</v>
      </c>
      <c r="AM125" s="652">
        <f t="shared" si="92"/>
        <v>0</v>
      </c>
      <c r="AN125" s="651">
        <f t="array" ref="AN125">IFERROR(INDEX('HIV-Pharmaceuticals'!$Y$107:$Y$192,MATCH($E125&amp;$F125,'HIV-Pharmaceuticals'!$E$107:$E$192&amp;'HIV-Pharmaceuticals'!$I$107:$I$192,0)),0)</f>
        <v>0</v>
      </c>
      <c r="AO125" s="651">
        <f t="shared" si="93"/>
        <v>0</v>
      </c>
      <c r="AP125" s="652">
        <f t="shared" si="94"/>
        <v>0</v>
      </c>
      <c r="AQ125" s="652">
        <f t="shared" si="95"/>
        <v>0</v>
      </c>
      <c r="AR125" s="653"/>
      <c r="AS125" s="651">
        <f t="array" ref="AS125">IFERROR(INDEX('HIV-Pharmaceuticals'!$AB$107:$AB$192,MATCH($E125&amp;$F125,'HIV-Pharmaceuticals'!$E$107:$E$192&amp;'HIV-Pharmaceuticals'!$I$107:$I$192,0)),0)</f>
        <v>0</v>
      </c>
      <c r="AT125" s="651">
        <f t="array" ref="AT125">IFERROR(INDEX('HIV-Pharmaceuticals'!$AC$107:$AC$192,MATCH($E125&amp;$F125,'HIV-Pharmaceuticals'!$E$107:$E$192&amp;'HIV-Pharmaceuticals'!$I$107:$I$192,0)),0)</f>
        <v>0</v>
      </c>
      <c r="AU125" s="651">
        <f t="shared" si="96"/>
        <v>0</v>
      </c>
      <c r="AV125" s="652">
        <f t="shared" si="97"/>
        <v>0</v>
      </c>
      <c r="AW125" s="652">
        <f t="shared" si="98"/>
        <v>0</v>
      </c>
      <c r="AX125" s="651">
        <f t="array" ref="AX125">IFERROR(INDEX('HIV-Pharmaceuticals'!$AD$107:$AD$192,MATCH($E125&amp;$F125,'HIV-Pharmaceuticals'!$E$107:$E$192&amp;'HIV-Pharmaceuticals'!$I$107:$I$192,0)),0)</f>
        <v>0</v>
      </c>
      <c r="AY125" s="651">
        <f t="shared" si="99"/>
        <v>0</v>
      </c>
      <c r="AZ125" s="652">
        <f t="shared" si="100"/>
        <v>0</v>
      </c>
      <c r="BA125" s="652">
        <f t="shared" si="101"/>
        <v>0</v>
      </c>
      <c r="BB125" s="651">
        <f t="array" ref="BB125">IFERROR(INDEX('HIV-Pharmaceuticals'!$AE$107:$AE$192,MATCH($E125&amp;$F125,'HIV-Pharmaceuticals'!$E$107:$E$192&amp;'HIV-Pharmaceuticals'!$I$107:$I$192,0)),0)</f>
        <v>0</v>
      </c>
      <c r="BC125" s="651">
        <f t="shared" si="102"/>
        <v>0</v>
      </c>
      <c r="BD125" s="652">
        <f t="shared" si="103"/>
        <v>0</v>
      </c>
      <c r="BE125" s="652">
        <f t="shared" si="104"/>
        <v>0</v>
      </c>
      <c r="BF125" s="651">
        <f t="array" ref="BF125">IFERROR(INDEX('HIV-Pharmaceuticals'!$AF$107:$AF$192,MATCH($E125&amp;$F125,'HIV-Pharmaceuticals'!$E$107:$E$192&amp;'HIV-Pharmaceuticals'!$I$107:$I$192,0)),0)</f>
        <v>0</v>
      </c>
      <c r="BG125" s="651">
        <f t="shared" si="105"/>
        <v>0</v>
      </c>
      <c r="BH125" s="652">
        <f t="shared" si="106"/>
        <v>0</v>
      </c>
      <c r="BI125" s="652">
        <f t="shared" si="107"/>
        <v>0</v>
      </c>
      <c r="BK125" s="654"/>
      <c r="BL125" s="654"/>
      <c r="BM125" s="654"/>
      <c r="BN125" s="654"/>
      <c r="BO125" s="654"/>
      <c r="BP125" s="654"/>
      <c r="BQ125" s="654"/>
      <c r="BR125" s="654"/>
    </row>
    <row r="126" spans="1:70">
      <c r="A126" s="647" t="s">
        <v>1317</v>
      </c>
      <c r="B126" s="647" t="s">
        <v>2282</v>
      </c>
      <c r="C126" s="648">
        <f>SETUP!$F$22</f>
        <v>0</v>
      </c>
      <c r="D126" s="649">
        <v>4.5</v>
      </c>
      <c r="E126" s="647" t="s">
        <v>1373</v>
      </c>
      <c r="F126" s="647" t="s">
        <v>1446</v>
      </c>
      <c r="G126" s="650" t="str">
        <f t="array" ref="G126">IFERROR(INDEX('HIV-Pharmaceuticals'!$L$107:$L$192,MATCH($E126&amp;$F126,'HIV-Pharmaceuticals'!$E$107:$E$192&amp;'HIV-Pharmaceuticals'!$I$107:$I$192,0)),"")</f>
        <v/>
      </c>
      <c r="H126" s="650" t="str">
        <f t="array" ref="H126">IFERROR(INDEX('HIV-Pharmaceuticals'!$M$107:$M$192,MATCH($E126&amp;$F126,'HIV-Pharmaceuticals'!$E$107:$E$192&amp;'HIV-Pharmaceuticals'!$I$107:$I$192,0)),"")</f>
        <v/>
      </c>
      <c r="I126" s="651">
        <f t="array" ref="I126">IFERROR(INDEX('HIV-Pharmaceuticals'!$N$107:$N$192,MATCH($E126&amp;$F126,'HIV-Pharmaceuticals'!$E$107:$E$192&amp;'HIV-Pharmaceuticals'!$I$107:$I$192,0)),0)</f>
        <v>0</v>
      </c>
      <c r="J126" s="651">
        <f t="array" ref="J126">IFERROR(INDEX('HIV-Pharmaceuticals'!$O$107:$O$192,MATCH($E126&amp;$F126,'HIV-Pharmaceuticals'!$E$107:$E$192&amp;'HIV-Pharmaceuticals'!$I$107:$I$192,0)),0)</f>
        <v>0</v>
      </c>
      <c r="K126" s="652">
        <f t="shared" si="72"/>
        <v>0</v>
      </c>
      <c r="L126" s="652">
        <f t="shared" si="73"/>
        <v>0</v>
      </c>
      <c r="M126" s="652">
        <f t="shared" si="74"/>
        <v>0</v>
      </c>
      <c r="N126" s="651">
        <f t="array" ref="N126">IFERROR(INDEX('HIV-Pharmaceuticals'!$P$107:$P$192,MATCH($E126&amp;$F126,'HIV-Pharmaceuticals'!$E$107:$E$192&amp;'HIV-Pharmaceuticals'!$I$107:$I$192,0)),0)</f>
        <v>0</v>
      </c>
      <c r="O126" s="652">
        <f t="shared" si="75"/>
        <v>0</v>
      </c>
      <c r="P126" s="652">
        <f t="shared" si="76"/>
        <v>0</v>
      </c>
      <c r="Q126" s="652">
        <f t="shared" si="77"/>
        <v>0</v>
      </c>
      <c r="R126" s="651">
        <f t="array" ref="R126">IFERROR(INDEX('HIV-Pharmaceuticals'!$Q$107:$Q$192,MATCH($E126&amp;$F126,'HIV-Pharmaceuticals'!$E$107:$E$192&amp;'HIV-Pharmaceuticals'!$I$107:$I$192,0)),0)</f>
        <v>0</v>
      </c>
      <c r="S126" s="652">
        <f t="shared" si="78"/>
        <v>0</v>
      </c>
      <c r="T126" s="652">
        <f t="shared" si="79"/>
        <v>0</v>
      </c>
      <c r="U126" s="652">
        <f t="shared" si="80"/>
        <v>0</v>
      </c>
      <c r="V126" s="651">
        <f t="array" ref="V126">IFERROR(INDEX('HIV-Pharmaceuticals'!$R$107:$R$192,MATCH($E126&amp;$F126,'HIV-Pharmaceuticals'!$E$107:$E$192&amp;'HIV-Pharmaceuticals'!$I$107:$I$192,0)),0)</f>
        <v>0</v>
      </c>
      <c r="W126" s="652">
        <f t="shared" si="81"/>
        <v>0</v>
      </c>
      <c r="X126" s="652">
        <f t="shared" si="82"/>
        <v>0</v>
      </c>
      <c r="Y126" s="652">
        <f t="shared" si="83"/>
        <v>0</v>
      </c>
      <c r="Z126" s="653"/>
      <c r="AA126" s="651">
        <f t="array" ref="AA126">IFERROR(INDEX('HIV-Pharmaceuticals'!$U$107:$U$192,MATCH($E126&amp;$F126,'HIV-Pharmaceuticals'!$E$107:$E$192&amp;'HIV-Pharmaceuticals'!$I$107:$I$192,0)),0)</f>
        <v>0</v>
      </c>
      <c r="AB126" s="651">
        <f t="array" ref="AB126">IFERROR(INDEX('HIV-Pharmaceuticals'!$V$107:$V$192,MATCH($E126&amp;$F126,'HIV-Pharmaceuticals'!$E$107:$E$192&amp;'HIV-Pharmaceuticals'!$I$107:$I$192,0)),0)</f>
        <v>0</v>
      </c>
      <c r="AC126" s="651">
        <f t="shared" si="84"/>
        <v>0</v>
      </c>
      <c r="AD126" s="652">
        <f t="shared" si="85"/>
        <v>0</v>
      </c>
      <c r="AE126" s="652">
        <f t="shared" si="86"/>
        <v>0</v>
      </c>
      <c r="AF126" s="651">
        <f t="array" ref="AF126">IFERROR(INDEX('HIV-Pharmaceuticals'!$W$107:$W$192,MATCH($E126&amp;$F126,'HIV-Pharmaceuticals'!$E$107:$E$192&amp;'HIV-Pharmaceuticals'!$I$107:$I$192,0)),0)</f>
        <v>0</v>
      </c>
      <c r="AG126" s="651">
        <f t="shared" si="87"/>
        <v>0</v>
      </c>
      <c r="AH126" s="652">
        <f t="shared" si="88"/>
        <v>0</v>
      </c>
      <c r="AI126" s="652">
        <f t="shared" si="89"/>
        <v>0</v>
      </c>
      <c r="AJ126" s="651">
        <f t="array" ref="AJ126">IFERROR(INDEX('HIV-Pharmaceuticals'!$X$107:$X$192,MATCH($E126&amp;$F126,'HIV-Pharmaceuticals'!$E$107:$E$192&amp;'HIV-Pharmaceuticals'!$I$107:$I$192,0)),0)</f>
        <v>0</v>
      </c>
      <c r="AK126" s="651">
        <f t="shared" si="90"/>
        <v>0</v>
      </c>
      <c r="AL126" s="652">
        <f t="shared" si="91"/>
        <v>0</v>
      </c>
      <c r="AM126" s="652">
        <f t="shared" si="92"/>
        <v>0</v>
      </c>
      <c r="AN126" s="651">
        <f t="array" ref="AN126">IFERROR(INDEX('HIV-Pharmaceuticals'!$Y$107:$Y$192,MATCH($E126&amp;$F126,'HIV-Pharmaceuticals'!$E$107:$E$192&amp;'HIV-Pharmaceuticals'!$I$107:$I$192,0)),0)</f>
        <v>0</v>
      </c>
      <c r="AO126" s="651">
        <f t="shared" si="93"/>
        <v>0</v>
      </c>
      <c r="AP126" s="652">
        <f t="shared" si="94"/>
        <v>0</v>
      </c>
      <c r="AQ126" s="652">
        <f t="shared" si="95"/>
        <v>0</v>
      </c>
      <c r="AR126" s="653"/>
      <c r="AS126" s="651">
        <f t="array" ref="AS126">IFERROR(INDEX('HIV-Pharmaceuticals'!$AB$107:$AB$192,MATCH($E126&amp;$F126,'HIV-Pharmaceuticals'!$E$107:$E$192&amp;'HIV-Pharmaceuticals'!$I$107:$I$192,0)),0)</f>
        <v>0</v>
      </c>
      <c r="AT126" s="651">
        <f t="array" ref="AT126">IFERROR(INDEX('HIV-Pharmaceuticals'!$AC$107:$AC$192,MATCH($E126&amp;$F126,'HIV-Pharmaceuticals'!$E$107:$E$192&amp;'HIV-Pharmaceuticals'!$I$107:$I$192,0)),0)</f>
        <v>0</v>
      </c>
      <c r="AU126" s="651">
        <f t="shared" si="96"/>
        <v>0</v>
      </c>
      <c r="AV126" s="652">
        <f t="shared" si="97"/>
        <v>0</v>
      </c>
      <c r="AW126" s="652">
        <f t="shared" si="98"/>
        <v>0</v>
      </c>
      <c r="AX126" s="651">
        <f t="array" ref="AX126">IFERROR(INDEX('HIV-Pharmaceuticals'!$AD$107:$AD$192,MATCH($E126&amp;$F126,'HIV-Pharmaceuticals'!$E$107:$E$192&amp;'HIV-Pharmaceuticals'!$I$107:$I$192,0)),0)</f>
        <v>0</v>
      </c>
      <c r="AY126" s="651">
        <f t="shared" si="99"/>
        <v>0</v>
      </c>
      <c r="AZ126" s="652">
        <f t="shared" si="100"/>
        <v>0</v>
      </c>
      <c r="BA126" s="652">
        <f t="shared" si="101"/>
        <v>0</v>
      </c>
      <c r="BB126" s="651">
        <f t="array" ref="BB126">IFERROR(INDEX('HIV-Pharmaceuticals'!$AE$107:$AE$192,MATCH($E126&amp;$F126,'HIV-Pharmaceuticals'!$E$107:$E$192&amp;'HIV-Pharmaceuticals'!$I$107:$I$192,0)),0)</f>
        <v>0</v>
      </c>
      <c r="BC126" s="651">
        <f t="shared" si="102"/>
        <v>0</v>
      </c>
      <c r="BD126" s="652">
        <f t="shared" si="103"/>
        <v>0</v>
      </c>
      <c r="BE126" s="652">
        <f t="shared" si="104"/>
        <v>0</v>
      </c>
      <c r="BF126" s="651">
        <f t="array" ref="BF126">IFERROR(INDEX('HIV-Pharmaceuticals'!$AF$107:$AF$192,MATCH($E126&amp;$F126,'HIV-Pharmaceuticals'!$E$107:$E$192&amp;'HIV-Pharmaceuticals'!$I$107:$I$192,0)),0)</f>
        <v>0</v>
      </c>
      <c r="BG126" s="651">
        <f t="shared" si="105"/>
        <v>0</v>
      </c>
      <c r="BH126" s="652">
        <f t="shared" si="106"/>
        <v>0</v>
      </c>
      <c r="BI126" s="652">
        <f t="shared" si="107"/>
        <v>0</v>
      </c>
      <c r="BK126" s="654"/>
      <c r="BL126" s="654"/>
      <c r="BM126" s="654"/>
      <c r="BN126" s="654"/>
      <c r="BO126" s="654"/>
      <c r="BP126" s="654"/>
      <c r="BQ126" s="654"/>
      <c r="BR126" s="654"/>
    </row>
    <row r="127" spans="1:70">
      <c r="A127" s="647" t="s">
        <v>1317</v>
      </c>
      <c r="B127" s="647" t="s">
        <v>2282</v>
      </c>
      <c r="C127" s="648">
        <f>SETUP!$F$22</f>
        <v>0</v>
      </c>
      <c r="D127" s="649">
        <v>4.5</v>
      </c>
      <c r="E127" s="647" t="s">
        <v>1373</v>
      </c>
      <c r="F127" s="647" t="s">
        <v>1745</v>
      </c>
      <c r="G127" s="650" t="str">
        <f t="array" ref="G127">IFERROR(INDEX('HIV-Pharmaceuticals'!$L$107:$L$192,MATCH($E127&amp;$F127,'HIV-Pharmaceuticals'!$E$107:$E$192&amp;'HIV-Pharmaceuticals'!$I$107:$I$192,0)),"")</f>
        <v/>
      </c>
      <c r="H127" s="650" t="str">
        <f t="array" ref="H127">IFERROR(INDEX('HIV-Pharmaceuticals'!$M$107:$M$192,MATCH($E127&amp;$F127,'HIV-Pharmaceuticals'!$E$107:$E$192&amp;'HIV-Pharmaceuticals'!$I$107:$I$192,0)),"")</f>
        <v/>
      </c>
      <c r="I127" s="651">
        <f t="array" ref="I127">IFERROR(INDEX('HIV-Pharmaceuticals'!$N$107:$N$192,MATCH($E127&amp;$F127,'HIV-Pharmaceuticals'!$E$107:$E$192&amp;'HIV-Pharmaceuticals'!$I$107:$I$192,0)),0)</f>
        <v>0</v>
      </c>
      <c r="J127" s="651">
        <f t="array" ref="J127">IFERROR(INDEX('HIV-Pharmaceuticals'!$O$107:$O$192,MATCH($E127&amp;$F127,'HIV-Pharmaceuticals'!$E$107:$E$192&amp;'HIV-Pharmaceuticals'!$I$107:$I$192,0)),0)</f>
        <v>0</v>
      </c>
      <c r="K127" s="652">
        <f t="shared" si="72"/>
        <v>0</v>
      </c>
      <c r="L127" s="652">
        <f t="shared" si="73"/>
        <v>0</v>
      </c>
      <c r="M127" s="652">
        <f t="shared" si="74"/>
        <v>0</v>
      </c>
      <c r="N127" s="651">
        <f t="array" ref="N127">IFERROR(INDEX('HIV-Pharmaceuticals'!$P$107:$P$192,MATCH($E127&amp;$F127,'HIV-Pharmaceuticals'!$E$107:$E$192&amp;'HIV-Pharmaceuticals'!$I$107:$I$192,0)),0)</f>
        <v>0</v>
      </c>
      <c r="O127" s="652">
        <f t="shared" si="75"/>
        <v>0</v>
      </c>
      <c r="P127" s="652">
        <f t="shared" si="76"/>
        <v>0</v>
      </c>
      <c r="Q127" s="652">
        <f t="shared" si="77"/>
        <v>0</v>
      </c>
      <c r="R127" s="651">
        <f t="array" ref="R127">IFERROR(INDEX('HIV-Pharmaceuticals'!$Q$107:$Q$192,MATCH($E127&amp;$F127,'HIV-Pharmaceuticals'!$E$107:$E$192&amp;'HIV-Pharmaceuticals'!$I$107:$I$192,0)),0)</f>
        <v>0</v>
      </c>
      <c r="S127" s="652">
        <f t="shared" si="78"/>
        <v>0</v>
      </c>
      <c r="T127" s="652">
        <f t="shared" si="79"/>
        <v>0</v>
      </c>
      <c r="U127" s="652">
        <f t="shared" si="80"/>
        <v>0</v>
      </c>
      <c r="V127" s="651">
        <f t="array" ref="V127">IFERROR(INDEX('HIV-Pharmaceuticals'!$R$107:$R$192,MATCH($E127&amp;$F127,'HIV-Pharmaceuticals'!$E$107:$E$192&amp;'HIV-Pharmaceuticals'!$I$107:$I$192,0)),0)</f>
        <v>0</v>
      </c>
      <c r="W127" s="652">
        <f t="shared" si="81"/>
        <v>0</v>
      </c>
      <c r="X127" s="652">
        <f t="shared" si="82"/>
        <v>0</v>
      </c>
      <c r="Y127" s="652">
        <f t="shared" si="83"/>
        <v>0</v>
      </c>
      <c r="Z127" s="653"/>
      <c r="AA127" s="651">
        <f t="array" ref="AA127">IFERROR(INDEX('HIV-Pharmaceuticals'!$U$107:$U$192,MATCH($E127&amp;$F127,'HIV-Pharmaceuticals'!$E$107:$E$192&amp;'HIV-Pharmaceuticals'!$I$107:$I$192,0)),0)</f>
        <v>0</v>
      </c>
      <c r="AB127" s="651">
        <f t="array" ref="AB127">IFERROR(INDEX('HIV-Pharmaceuticals'!$V$107:$V$192,MATCH($E127&amp;$F127,'HIV-Pharmaceuticals'!$E$107:$E$192&amp;'HIV-Pharmaceuticals'!$I$107:$I$192,0)),0)</f>
        <v>0</v>
      </c>
      <c r="AC127" s="651">
        <f t="shared" si="84"/>
        <v>0</v>
      </c>
      <c r="AD127" s="652">
        <f t="shared" si="85"/>
        <v>0</v>
      </c>
      <c r="AE127" s="652">
        <f t="shared" si="86"/>
        <v>0</v>
      </c>
      <c r="AF127" s="651">
        <f t="array" ref="AF127">IFERROR(INDEX('HIV-Pharmaceuticals'!$W$107:$W$192,MATCH($E127&amp;$F127,'HIV-Pharmaceuticals'!$E$107:$E$192&amp;'HIV-Pharmaceuticals'!$I$107:$I$192,0)),0)</f>
        <v>0</v>
      </c>
      <c r="AG127" s="651">
        <f t="shared" si="87"/>
        <v>0</v>
      </c>
      <c r="AH127" s="652">
        <f t="shared" si="88"/>
        <v>0</v>
      </c>
      <c r="AI127" s="652">
        <f t="shared" si="89"/>
        <v>0</v>
      </c>
      <c r="AJ127" s="651">
        <f t="array" ref="AJ127">IFERROR(INDEX('HIV-Pharmaceuticals'!$X$107:$X$192,MATCH($E127&amp;$F127,'HIV-Pharmaceuticals'!$E$107:$E$192&amp;'HIV-Pharmaceuticals'!$I$107:$I$192,0)),0)</f>
        <v>0</v>
      </c>
      <c r="AK127" s="651">
        <f t="shared" si="90"/>
        <v>0</v>
      </c>
      <c r="AL127" s="652">
        <f t="shared" si="91"/>
        <v>0</v>
      </c>
      <c r="AM127" s="652">
        <f t="shared" si="92"/>
        <v>0</v>
      </c>
      <c r="AN127" s="651">
        <f t="array" ref="AN127">IFERROR(INDEX('HIV-Pharmaceuticals'!$Y$107:$Y$192,MATCH($E127&amp;$F127,'HIV-Pharmaceuticals'!$E$107:$E$192&amp;'HIV-Pharmaceuticals'!$I$107:$I$192,0)),0)</f>
        <v>0</v>
      </c>
      <c r="AO127" s="651">
        <f t="shared" si="93"/>
        <v>0</v>
      </c>
      <c r="AP127" s="652">
        <f t="shared" si="94"/>
        <v>0</v>
      </c>
      <c r="AQ127" s="652">
        <f t="shared" si="95"/>
        <v>0</v>
      </c>
      <c r="AR127" s="653"/>
      <c r="AS127" s="651">
        <f t="array" ref="AS127">IFERROR(INDEX('HIV-Pharmaceuticals'!$AB$107:$AB$192,MATCH($E127&amp;$F127,'HIV-Pharmaceuticals'!$E$107:$E$192&amp;'HIV-Pharmaceuticals'!$I$107:$I$192,0)),0)</f>
        <v>0</v>
      </c>
      <c r="AT127" s="651">
        <f t="array" ref="AT127">IFERROR(INDEX('HIV-Pharmaceuticals'!$AC$107:$AC$192,MATCH($E127&amp;$F127,'HIV-Pharmaceuticals'!$E$107:$E$192&amp;'HIV-Pharmaceuticals'!$I$107:$I$192,0)),0)</f>
        <v>0</v>
      </c>
      <c r="AU127" s="651">
        <f t="shared" si="96"/>
        <v>0</v>
      </c>
      <c r="AV127" s="652">
        <f t="shared" si="97"/>
        <v>0</v>
      </c>
      <c r="AW127" s="652">
        <f t="shared" si="98"/>
        <v>0</v>
      </c>
      <c r="AX127" s="651">
        <f t="array" ref="AX127">IFERROR(INDEX('HIV-Pharmaceuticals'!$AD$107:$AD$192,MATCH($E127&amp;$F127,'HIV-Pharmaceuticals'!$E$107:$E$192&amp;'HIV-Pharmaceuticals'!$I$107:$I$192,0)),0)</f>
        <v>0</v>
      </c>
      <c r="AY127" s="651">
        <f t="shared" si="99"/>
        <v>0</v>
      </c>
      <c r="AZ127" s="652">
        <f t="shared" si="100"/>
        <v>0</v>
      </c>
      <c r="BA127" s="652">
        <f t="shared" si="101"/>
        <v>0</v>
      </c>
      <c r="BB127" s="651">
        <f t="array" ref="BB127">IFERROR(INDEX('HIV-Pharmaceuticals'!$AE$107:$AE$192,MATCH($E127&amp;$F127,'HIV-Pharmaceuticals'!$E$107:$E$192&amp;'HIV-Pharmaceuticals'!$I$107:$I$192,0)),0)</f>
        <v>0</v>
      </c>
      <c r="BC127" s="651">
        <f t="shared" si="102"/>
        <v>0</v>
      </c>
      <c r="BD127" s="652">
        <f t="shared" si="103"/>
        <v>0</v>
      </c>
      <c r="BE127" s="652">
        <f t="shared" si="104"/>
        <v>0</v>
      </c>
      <c r="BF127" s="651">
        <f t="array" ref="BF127">IFERROR(INDEX('HIV-Pharmaceuticals'!$AF$107:$AF$192,MATCH($E127&amp;$F127,'HIV-Pharmaceuticals'!$E$107:$E$192&amp;'HIV-Pharmaceuticals'!$I$107:$I$192,0)),0)</f>
        <v>0</v>
      </c>
      <c r="BG127" s="651">
        <f t="shared" si="105"/>
        <v>0</v>
      </c>
      <c r="BH127" s="652">
        <f t="shared" si="106"/>
        <v>0</v>
      </c>
      <c r="BI127" s="652">
        <f t="shared" si="107"/>
        <v>0</v>
      </c>
      <c r="BK127" s="654"/>
      <c r="BL127" s="654"/>
      <c r="BM127" s="654"/>
      <c r="BN127" s="654"/>
      <c r="BO127" s="654"/>
      <c r="BP127" s="654"/>
      <c r="BQ127" s="654"/>
      <c r="BR127" s="654"/>
    </row>
    <row r="128" spans="1:70">
      <c r="A128" s="647" t="s">
        <v>1317</v>
      </c>
      <c r="B128" s="647" t="s">
        <v>2282</v>
      </c>
      <c r="C128" s="648">
        <f>SETUP!$F$22</f>
        <v>0</v>
      </c>
      <c r="D128" s="649">
        <v>4.5</v>
      </c>
      <c r="E128" s="647" t="s">
        <v>1396</v>
      </c>
      <c r="F128" s="647" t="s">
        <v>1397</v>
      </c>
      <c r="G128" s="650" t="str">
        <f t="array" ref="G128">IFERROR(INDEX('HIV-Pharmaceuticals'!$L$107:$L$192,MATCH($E128&amp;$F128,'HIV-Pharmaceuticals'!$E$107:$E$192&amp;'HIV-Pharmaceuticals'!$I$107:$I$192,0)),"")</f>
        <v/>
      </c>
      <c r="H128" s="650" t="str">
        <f t="array" ref="H128">IFERROR(INDEX('HIV-Pharmaceuticals'!$M$107:$M$192,MATCH($E128&amp;$F128,'HIV-Pharmaceuticals'!$E$107:$E$192&amp;'HIV-Pharmaceuticals'!$I$107:$I$192,0)),"")</f>
        <v/>
      </c>
      <c r="I128" s="651">
        <f t="array" ref="I128">IFERROR(INDEX('HIV-Pharmaceuticals'!$N$107:$N$192,MATCH($E128&amp;$F128,'HIV-Pharmaceuticals'!$E$107:$E$192&amp;'HIV-Pharmaceuticals'!$I$107:$I$192,0)),0)</f>
        <v>0</v>
      </c>
      <c r="J128" s="651">
        <f t="array" ref="J128">IFERROR(INDEX('HIV-Pharmaceuticals'!$O$107:$O$192,MATCH($E128&amp;$F128,'HIV-Pharmaceuticals'!$E$107:$E$192&amp;'HIV-Pharmaceuticals'!$I$107:$I$192,0)),0)</f>
        <v>0</v>
      </c>
      <c r="K128" s="652">
        <f t="shared" si="72"/>
        <v>0</v>
      </c>
      <c r="L128" s="652">
        <f t="shared" si="73"/>
        <v>0</v>
      </c>
      <c r="M128" s="652">
        <f t="shared" si="74"/>
        <v>0</v>
      </c>
      <c r="N128" s="651">
        <f t="array" ref="N128">IFERROR(INDEX('HIV-Pharmaceuticals'!$P$107:$P$192,MATCH($E128&amp;$F128,'HIV-Pharmaceuticals'!$E$107:$E$192&amp;'HIV-Pharmaceuticals'!$I$107:$I$192,0)),0)</f>
        <v>0</v>
      </c>
      <c r="O128" s="652">
        <f t="shared" si="75"/>
        <v>0</v>
      </c>
      <c r="P128" s="652">
        <f t="shared" si="76"/>
        <v>0</v>
      </c>
      <c r="Q128" s="652">
        <f t="shared" si="77"/>
        <v>0</v>
      </c>
      <c r="R128" s="651">
        <f t="array" ref="R128">IFERROR(INDEX('HIV-Pharmaceuticals'!$Q$107:$Q$192,MATCH($E128&amp;$F128,'HIV-Pharmaceuticals'!$E$107:$E$192&amp;'HIV-Pharmaceuticals'!$I$107:$I$192,0)),0)</f>
        <v>0</v>
      </c>
      <c r="S128" s="652">
        <f t="shared" si="78"/>
        <v>0</v>
      </c>
      <c r="T128" s="652">
        <f t="shared" si="79"/>
        <v>0</v>
      </c>
      <c r="U128" s="652">
        <f t="shared" si="80"/>
        <v>0</v>
      </c>
      <c r="V128" s="651">
        <f t="array" ref="V128">IFERROR(INDEX('HIV-Pharmaceuticals'!$R$107:$R$192,MATCH($E128&amp;$F128,'HIV-Pharmaceuticals'!$E$107:$E$192&amp;'HIV-Pharmaceuticals'!$I$107:$I$192,0)),0)</f>
        <v>0</v>
      </c>
      <c r="W128" s="652">
        <f t="shared" si="81"/>
        <v>0</v>
      </c>
      <c r="X128" s="652">
        <f t="shared" si="82"/>
        <v>0</v>
      </c>
      <c r="Y128" s="652">
        <f t="shared" si="83"/>
        <v>0</v>
      </c>
      <c r="Z128" s="653"/>
      <c r="AA128" s="651">
        <f t="array" ref="AA128">IFERROR(INDEX('HIV-Pharmaceuticals'!$U$107:$U$192,MATCH($E128&amp;$F128,'HIV-Pharmaceuticals'!$E$107:$E$192&amp;'HIV-Pharmaceuticals'!$I$107:$I$192,0)),0)</f>
        <v>0</v>
      </c>
      <c r="AB128" s="651">
        <f t="array" ref="AB128">IFERROR(INDEX('HIV-Pharmaceuticals'!$V$107:$V$192,MATCH($E128&amp;$F128,'HIV-Pharmaceuticals'!$E$107:$E$192&amp;'HIV-Pharmaceuticals'!$I$107:$I$192,0)),0)</f>
        <v>0</v>
      </c>
      <c r="AC128" s="651">
        <f t="shared" si="84"/>
        <v>0</v>
      </c>
      <c r="AD128" s="652">
        <f t="shared" si="85"/>
        <v>0</v>
      </c>
      <c r="AE128" s="652">
        <f t="shared" si="86"/>
        <v>0</v>
      </c>
      <c r="AF128" s="651">
        <f t="array" ref="AF128">IFERROR(INDEX('HIV-Pharmaceuticals'!$W$107:$W$192,MATCH($E128&amp;$F128,'HIV-Pharmaceuticals'!$E$107:$E$192&amp;'HIV-Pharmaceuticals'!$I$107:$I$192,0)),0)</f>
        <v>0</v>
      </c>
      <c r="AG128" s="651">
        <f t="shared" si="87"/>
        <v>0</v>
      </c>
      <c r="AH128" s="652">
        <f t="shared" si="88"/>
        <v>0</v>
      </c>
      <c r="AI128" s="652">
        <f t="shared" si="89"/>
        <v>0</v>
      </c>
      <c r="AJ128" s="651">
        <f t="array" ref="AJ128">IFERROR(INDEX('HIV-Pharmaceuticals'!$X$107:$X$192,MATCH($E128&amp;$F128,'HIV-Pharmaceuticals'!$E$107:$E$192&amp;'HIV-Pharmaceuticals'!$I$107:$I$192,0)),0)</f>
        <v>0</v>
      </c>
      <c r="AK128" s="651">
        <f t="shared" si="90"/>
        <v>0</v>
      </c>
      <c r="AL128" s="652">
        <f t="shared" si="91"/>
        <v>0</v>
      </c>
      <c r="AM128" s="652">
        <f t="shared" si="92"/>
        <v>0</v>
      </c>
      <c r="AN128" s="651">
        <f t="array" ref="AN128">IFERROR(INDEX('HIV-Pharmaceuticals'!$Y$107:$Y$192,MATCH($E128&amp;$F128,'HIV-Pharmaceuticals'!$E$107:$E$192&amp;'HIV-Pharmaceuticals'!$I$107:$I$192,0)),0)</f>
        <v>0</v>
      </c>
      <c r="AO128" s="651">
        <f t="shared" si="93"/>
        <v>0</v>
      </c>
      <c r="AP128" s="652">
        <f t="shared" si="94"/>
        <v>0</v>
      </c>
      <c r="AQ128" s="652">
        <f t="shared" si="95"/>
        <v>0</v>
      </c>
      <c r="AR128" s="653"/>
      <c r="AS128" s="651">
        <f t="array" ref="AS128">IFERROR(INDEX('HIV-Pharmaceuticals'!$AB$107:$AB$192,MATCH($E128&amp;$F128,'HIV-Pharmaceuticals'!$E$107:$E$192&amp;'HIV-Pharmaceuticals'!$I$107:$I$192,0)),0)</f>
        <v>0</v>
      </c>
      <c r="AT128" s="651">
        <f t="array" ref="AT128">IFERROR(INDEX('HIV-Pharmaceuticals'!$AC$107:$AC$192,MATCH($E128&amp;$F128,'HIV-Pharmaceuticals'!$E$107:$E$192&amp;'HIV-Pharmaceuticals'!$I$107:$I$192,0)),0)</f>
        <v>0</v>
      </c>
      <c r="AU128" s="651">
        <f t="shared" si="96"/>
        <v>0</v>
      </c>
      <c r="AV128" s="652">
        <f t="shared" si="97"/>
        <v>0</v>
      </c>
      <c r="AW128" s="652">
        <f t="shared" si="98"/>
        <v>0</v>
      </c>
      <c r="AX128" s="651">
        <f t="array" ref="AX128">IFERROR(INDEX('HIV-Pharmaceuticals'!$AD$107:$AD$192,MATCH($E128&amp;$F128,'HIV-Pharmaceuticals'!$E$107:$E$192&amp;'HIV-Pharmaceuticals'!$I$107:$I$192,0)),0)</f>
        <v>0</v>
      </c>
      <c r="AY128" s="651">
        <f t="shared" si="99"/>
        <v>0</v>
      </c>
      <c r="AZ128" s="652">
        <f t="shared" si="100"/>
        <v>0</v>
      </c>
      <c r="BA128" s="652">
        <f t="shared" si="101"/>
        <v>0</v>
      </c>
      <c r="BB128" s="651">
        <f t="array" ref="BB128">IFERROR(INDEX('HIV-Pharmaceuticals'!$AE$107:$AE$192,MATCH($E128&amp;$F128,'HIV-Pharmaceuticals'!$E$107:$E$192&amp;'HIV-Pharmaceuticals'!$I$107:$I$192,0)),0)</f>
        <v>0</v>
      </c>
      <c r="BC128" s="651">
        <f t="shared" si="102"/>
        <v>0</v>
      </c>
      <c r="BD128" s="652">
        <f t="shared" si="103"/>
        <v>0</v>
      </c>
      <c r="BE128" s="652">
        <f t="shared" si="104"/>
        <v>0</v>
      </c>
      <c r="BF128" s="651">
        <f t="array" ref="BF128">IFERROR(INDEX('HIV-Pharmaceuticals'!$AF$107:$AF$192,MATCH($E128&amp;$F128,'HIV-Pharmaceuticals'!$E$107:$E$192&amp;'HIV-Pharmaceuticals'!$I$107:$I$192,0)),0)</f>
        <v>0</v>
      </c>
      <c r="BG128" s="651">
        <f t="shared" si="105"/>
        <v>0</v>
      </c>
      <c r="BH128" s="652">
        <f t="shared" si="106"/>
        <v>0</v>
      </c>
      <c r="BI128" s="652">
        <f t="shared" si="107"/>
        <v>0</v>
      </c>
      <c r="BK128" s="654"/>
      <c r="BL128" s="654"/>
      <c r="BM128" s="654"/>
      <c r="BN128" s="654"/>
      <c r="BO128" s="654"/>
      <c r="BP128" s="654"/>
      <c r="BQ128" s="654"/>
      <c r="BR128" s="654"/>
    </row>
    <row r="129" spans="1:70">
      <c r="A129" s="647" t="s">
        <v>1317</v>
      </c>
      <c r="B129" s="647" t="s">
        <v>2282</v>
      </c>
      <c r="C129" s="648">
        <f>SETUP!$F$22</f>
        <v>0</v>
      </c>
      <c r="D129" s="649">
        <v>4.7</v>
      </c>
      <c r="E129" s="647" t="s">
        <v>1318</v>
      </c>
      <c r="F129" s="647" t="s">
        <v>1403</v>
      </c>
      <c r="G129" s="650" t="str">
        <f t="array" ref="G129">IFERROR(INDEX('HIV-Pharmaceuticals'!$L$107:$L$192,MATCH($E129&amp;$F129,'HIV-Pharmaceuticals'!$E$107:$E$192&amp;'HIV-Pharmaceuticals'!$I$107:$I$192,0)),"")</f>
        <v/>
      </c>
      <c r="H129" s="650" t="str">
        <f t="array" ref="H129">IFERROR(INDEX('HIV-Pharmaceuticals'!$M$107:$M$192,MATCH($E129&amp;$F129,'HIV-Pharmaceuticals'!$E$107:$E$192&amp;'HIV-Pharmaceuticals'!$I$107:$I$192,0)),"")</f>
        <v/>
      </c>
      <c r="I129" s="651">
        <f t="array" ref="I129">IFERROR(INDEX('HIV-Pharmaceuticals'!$N$107:$N$192,MATCH($E129&amp;$F129,'HIV-Pharmaceuticals'!$E$107:$E$192&amp;'HIV-Pharmaceuticals'!$I$107:$I$192,0)),0)</f>
        <v>0</v>
      </c>
      <c r="J129" s="651">
        <f t="array" ref="J129">IFERROR(INDEX('HIV-Pharmaceuticals'!$O$107:$O$192,MATCH($E129&amp;$F129,'HIV-Pharmaceuticals'!$E$107:$E$192&amp;'HIV-Pharmaceuticals'!$I$107:$I$192,0)),0)</f>
        <v>0</v>
      </c>
      <c r="K129" s="652">
        <f t="shared" si="72"/>
        <v>0</v>
      </c>
      <c r="L129" s="652">
        <f t="shared" si="73"/>
        <v>0</v>
      </c>
      <c r="M129" s="652">
        <f t="shared" si="74"/>
        <v>0</v>
      </c>
      <c r="N129" s="651">
        <f t="array" ref="N129">IFERROR(INDEX('HIV-Pharmaceuticals'!$P$107:$P$192,MATCH($E129&amp;$F129,'HIV-Pharmaceuticals'!$E$107:$E$192&amp;'HIV-Pharmaceuticals'!$I$107:$I$192,0)),0)</f>
        <v>0</v>
      </c>
      <c r="O129" s="652">
        <f t="shared" si="75"/>
        <v>0</v>
      </c>
      <c r="P129" s="652">
        <f t="shared" si="76"/>
        <v>0</v>
      </c>
      <c r="Q129" s="652">
        <f t="shared" si="77"/>
        <v>0</v>
      </c>
      <c r="R129" s="651">
        <f t="array" ref="R129">IFERROR(INDEX('HIV-Pharmaceuticals'!$Q$107:$Q$192,MATCH($E129&amp;$F129,'HIV-Pharmaceuticals'!$E$107:$E$192&amp;'HIV-Pharmaceuticals'!$I$107:$I$192,0)),0)</f>
        <v>0</v>
      </c>
      <c r="S129" s="652">
        <f t="shared" si="78"/>
        <v>0</v>
      </c>
      <c r="T129" s="652">
        <f t="shared" si="79"/>
        <v>0</v>
      </c>
      <c r="U129" s="652">
        <f t="shared" si="80"/>
        <v>0</v>
      </c>
      <c r="V129" s="651">
        <f t="array" ref="V129">IFERROR(INDEX('HIV-Pharmaceuticals'!$R$107:$R$192,MATCH($E129&amp;$F129,'HIV-Pharmaceuticals'!$E$107:$E$192&amp;'HIV-Pharmaceuticals'!$I$107:$I$192,0)),0)</f>
        <v>0</v>
      </c>
      <c r="W129" s="652">
        <f t="shared" si="81"/>
        <v>0</v>
      </c>
      <c r="X129" s="652">
        <f t="shared" si="82"/>
        <v>0</v>
      </c>
      <c r="Y129" s="652">
        <f t="shared" si="83"/>
        <v>0</v>
      </c>
      <c r="Z129" s="653"/>
      <c r="AA129" s="651">
        <f t="array" ref="AA129">IFERROR(INDEX('HIV-Pharmaceuticals'!$U$107:$U$192,MATCH($E129&amp;$F129,'HIV-Pharmaceuticals'!$E$107:$E$192&amp;'HIV-Pharmaceuticals'!$I$107:$I$192,0)),0)</f>
        <v>0</v>
      </c>
      <c r="AB129" s="651">
        <f t="array" ref="AB129">IFERROR(INDEX('HIV-Pharmaceuticals'!$V$107:$V$192,MATCH($E129&amp;$F129,'HIV-Pharmaceuticals'!$E$107:$E$192&amp;'HIV-Pharmaceuticals'!$I$107:$I$192,0)),0)</f>
        <v>0</v>
      </c>
      <c r="AC129" s="651">
        <f t="shared" si="84"/>
        <v>0</v>
      </c>
      <c r="AD129" s="652">
        <f t="shared" si="85"/>
        <v>0</v>
      </c>
      <c r="AE129" s="652">
        <f t="shared" si="86"/>
        <v>0</v>
      </c>
      <c r="AF129" s="651">
        <f t="array" ref="AF129">IFERROR(INDEX('HIV-Pharmaceuticals'!$W$107:$W$192,MATCH($E129&amp;$F129,'HIV-Pharmaceuticals'!$E$107:$E$192&amp;'HIV-Pharmaceuticals'!$I$107:$I$192,0)),0)</f>
        <v>0</v>
      </c>
      <c r="AG129" s="651">
        <f t="shared" si="87"/>
        <v>0</v>
      </c>
      <c r="AH129" s="652">
        <f t="shared" si="88"/>
        <v>0</v>
      </c>
      <c r="AI129" s="652">
        <f t="shared" si="89"/>
        <v>0</v>
      </c>
      <c r="AJ129" s="651">
        <f t="array" ref="AJ129">IFERROR(INDEX('HIV-Pharmaceuticals'!$X$107:$X$192,MATCH($E129&amp;$F129,'HIV-Pharmaceuticals'!$E$107:$E$192&amp;'HIV-Pharmaceuticals'!$I$107:$I$192,0)),0)</f>
        <v>0</v>
      </c>
      <c r="AK129" s="651">
        <f t="shared" si="90"/>
        <v>0</v>
      </c>
      <c r="AL129" s="652">
        <f t="shared" si="91"/>
        <v>0</v>
      </c>
      <c r="AM129" s="652">
        <f t="shared" si="92"/>
        <v>0</v>
      </c>
      <c r="AN129" s="651">
        <f t="array" ref="AN129">IFERROR(INDEX('HIV-Pharmaceuticals'!$Y$107:$Y$192,MATCH($E129&amp;$F129,'HIV-Pharmaceuticals'!$E$107:$E$192&amp;'HIV-Pharmaceuticals'!$I$107:$I$192,0)),0)</f>
        <v>0</v>
      </c>
      <c r="AO129" s="651">
        <f t="shared" si="93"/>
        <v>0</v>
      </c>
      <c r="AP129" s="652">
        <f t="shared" si="94"/>
        <v>0</v>
      </c>
      <c r="AQ129" s="652">
        <f t="shared" si="95"/>
        <v>0</v>
      </c>
      <c r="AR129" s="653"/>
      <c r="AS129" s="651">
        <f t="array" ref="AS129">IFERROR(INDEX('HIV-Pharmaceuticals'!$AB$107:$AB$192,MATCH($E129&amp;$F129,'HIV-Pharmaceuticals'!$E$107:$E$192&amp;'HIV-Pharmaceuticals'!$I$107:$I$192,0)),0)</f>
        <v>0</v>
      </c>
      <c r="AT129" s="651">
        <f t="array" ref="AT129">IFERROR(INDEX('HIV-Pharmaceuticals'!$AC$107:$AC$192,MATCH($E129&amp;$F129,'HIV-Pharmaceuticals'!$E$107:$E$192&amp;'HIV-Pharmaceuticals'!$I$107:$I$192,0)),0)</f>
        <v>0</v>
      </c>
      <c r="AU129" s="651">
        <f t="shared" si="96"/>
        <v>0</v>
      </c>
      <c r="AV129" s="652">
        <f t="shared" si="97"/>
        <v>0</v>
      </c>
      <c r="AW129" s="652">
        <f t="shared" si="98"/>
        <v>0</v>
      </c>
      <c r="AX129" s="651">
        <f t="array" ref="AX129">IFERROR(INDEX('HIV-Pharmaceuticals'!$AD$107:$AD$192,MATCH($E129&amp;$F129,'HIV-Pharmaceuticals'!$E$107:$E$192&amp;'HIV-Pharmaceuticals'!$I$107:$I$192,0)),0)</f>
        <v>0</v>
      </c>
      <c r="AY129" s="651">
        <f t="shared" si="99"/>
        <v>0</v>
      </c>
      <c r="AZ129" s="652">
        <f t="shared" si="100"/>
        <v>0</v>
      </c>
      <c r="BA129" s="652">
        <f t="shared" si="101"/>
        <v>0</v>
      </c>
      <c r="BB129" s="651">
        <f t="array" ref="BB129">IFERROR(INDEX('HIV-Pharmaceuticals'!$AE$107:$AE$192,MATCH($E129&amp;$F129,'HIV-Pharmaceuticals'!$E$107:$E$192&amp;'HIV-Pharmaceuticals'!$I$107:$I$192,0)),0)</f>
        <v>0</v>
      </c>
      <c r="BC129" s="651">
        <f t="shared" si="102"/>
        <v>0</v>
      </c>
      <c r="BD129" s="652">
        <f t="shared" si="103"/>
        <v>0</v>
      </c>
      <c r="BE129" s="652">
        <f t="shared" si="104"/>
        <v>0</v>
      </c>
      <c r="BF129" s="651">
        <f t="array" ref="BF129">IFERROR(INDEX('HIV-Pharmaceuticals'!$AF$107:$AF$192,MATCH($E129&amp;$F129,'HIV-Pharmaceuticals'!$E$107:$E$192&amp;'HIV-Pharmaceuticals'!$I$107:$I$192,0)),0)</f>
        <v>0</v>
      </c>
      <c r="BG129" s="651">
        <f t="shared" si="105"/>
        <v>0</v>
      </c>
      <c r="BH129" s="652">
        <f t="shared" si="106"/>
        <v>0</v>
      </c>
      <c r="BI129" s="652">
        <f t="shared" si="107"/>
        <v>0</v>
      </c>
      <c r="BK129" s="654"/>
      <c r="BL129" s="654"/>
      <c r="BM129" s="654"/>
      <c r="BN129" s="654"/>
      <c r="BO129" s="654"/>
      <c r="BP129" s="654"/>
      <c r="BQ129" s="654"/>
      <c r="BR129" s="654"/>
    </row>
    <row r="130" spans="1:70">
      <c r="A130" s="647" t="s">
        <v>1317</v>
      </c>
      <c r="B130" s="647" t="s">
        <v>2282</v>
      </c>
      <c r="C130" s="648">
        <f>SETUP!$F$22</f>
        <v>0</v>
      </c>
      <c r="D130" s="649">
        <v>4.7</v>
      </c>
      <c r="E130" s="647" t="s">
        <v>1849</v>
      </c>
      <c r="F130" s="647" t="s">
        <v>1587</v>
      </c>
      <c r="G130" s="650" t="str">
        <f t="array" ref="G130">IFERROR(INDEX('HIV-Pharmaceuticals'!$L$107:$L$192,MATCH($E130&amp;$F130,'HIV-Pharmaceuticals'!$E$107:$E$192&amp;'HIV-Pharmaceuticals'!$I$107:$I$192,0)),"")</f>
        <v/>
      </c>
      <c r="H130" s="650" t="str">
        <f t="array" ref="H130">IFERROR(INDEX('HIV-Pharmaceuticals'!$M$107:$M$192,MATCH($E130&amp;$F130,'HIV-Pharmaceuticals'!$E$107:$E$192&amp;'HIV-Pharmaceuticals'!$I$107:$I$192,0)),"")</f>
        <v/>
      </c>
      <c r="I130" s="651">
        <f t="array" ref="I130">IFERROR(INDEX('HIV-Pharmaceuticals'!$N$107:$N$192,MATCH($E130&amp;$F130,'HIV-Pharmaceuticals'!$E$107:$E$192&amp;'HIV-Pharmaceuticals'!$I$107:$I$192,0)),0)</f>
        <v>0</v>
      </c>
      <c r="J130" s="651">
        <f t="array" ref="J130">IFERROR(INDEX('HIV-Pharmaceuticals'!$O$107:$O$192,MATCH($E130&amp;$F130,'HIV-Pharmaceuticals'!$E$107:$E$192&amp;'HIV-Pharmaceuticals'!$I$107:$I$192,0)),0)</f>
        <v>0</v>
      </c>
      <c r="K130" s="652">
        <f t="shared" si="72"/>
        <v>0</v>
      </c>
      <c r="L130" s="652">
        <f t="shared" si="73"/>
        <v>0</v>
      </c>
      <c r="M130" s="652">
        <f t="shared" si="74"/>
        <v>0</v>
      </c>
      <c r="N130" s="651">
        <f t="array" ref="N130">IFERROR(INDEX('HIV-Pharmaceuticals'!$P$107:$P$192,MATCH($E130&amp;$F130,'HIV-Pharmaceuticals'!$E$107:$E$192&amp;'HIV-Pharmaceuticals'!$I$107:$I$192,0)),0)</f>
        <v>0</v>
      </c>
      <c r="O130" s="652">
        <f t="shared" si="75"/>
        <v>0</v>
      </c>
      <c r="P130" s="652">
        <f t="shared" si="76"/>
        <v>0</v>
      </c>
      <c r="Q130" s="652">
        <f t="shared" si="77"/>
        <v>0</v>
      </c>
      <c r="R130" s="651">
        <f t="array" ref="R130">IFERROR(INDEX('HIV-Pharmaceuticals'!$Q$107:$Q$192,MATCH($E130&amp;$F130,'HIV-Pharmaceuticals'!$E$107:$E$192&amp;'HIV-Pharmaceuticals'!$I$107:$I$192,0)),0)</f>
        <v>0</v>
      </c>
      <c r="S130" s="652">
        <f t="shared" si="78"/>
        <v>0</v>
      </c>
      <c r="T130" s="652">
        <f t="shared" si="79"/>
        <v>0</v>
      </c>
      <c r="U130" s="652">
        <f t="shared" si="80"/>
        <v>0</v>
      </c>
      <c r="V130" s="651">
        <f t="array" ref="V130">IFERROR(INDEX('HIV-Pharmaceuticals'!$R$107:$R$192,MATCH($E130&amp;$F130,'HIV-Pharmaceuticals'!$E$107:$E$192&amp;'HIV-Pharmaceuticals'!$I$107:$I$192,0)),0)</f>
        <v>0</v>
      </c>
      <c r="W130" s="652">
        <f t="shared" si="81"/>
        <v>0</v>
      </c>
      <c r="X130" s="652">
        <f t="shared" si="82"/>
        <v>0</v>
      </c>
      <c r="Y130" s="652">
        <f t="shared" si="83"/>
        <v>0</v>
      </c>
      <c r="Z130" s="653"/>
      <c r="AA130" s="651">
        <f t="array" ref="AA130">IFERROR(INDEX('HIV-Pharmaceuticals'!$U$107:$U$192,MATCH($E130&amp;$F130,'HIV-Pharmaceuticals'!$E$107:$E$192&amp;'HIV-Pharmaceuticals'!$I$107:$I$192,0)),0)</f>
        <v>0</v>
      </c>
      <c r="AB130" s="651">
        <f t="array" ref="AB130">IFERROR(INDEX('HIV-Pharmaceuticals'!$V$107:$V$192,MATCH($E130&amp;$F130,'HIV-Pharmaceuticals'!$E$107:$E$192&amp;'HIV-Pharmaceuticals'!$I$107:$I$192,0)),0)</f>
        <v>0</v>
      </c>
      <c r="AC130" s="651">
        <f t="shared" si="84"/>
        <v>0</v>
      </c>
      <c r="AD130" s="652">
        <f t="shared" si="85"/>
        <v>0</v>
      </c>
      <c r="AE130" s="652">
        <f t="shared" si="86"/>
        <v>0</v>
      </c>
      <c r="AF130" s="651">
        <f t="array" ref="AF130">IFERROR(INDEX('HIV-Pharmaceuticals'!$W$107:$W$192,MATCH($E130&amp;$F130,'HIV-Pharmaceuticals'!$E$107:$E$192&amp;'HIV-Pharmaceuticals'!$I$107:$I$192,0)),0)</f>
        <v>0</v>
      </c>
      <c r="AG130" s="651">
        <f t="shared" si="87"/>
        <v>0</v>
      </c>
      <c r="AH130" s="652">
        <f t="shared" si="88"/>
        <v>0</v>
      </c>
      <c r="AI130" s="652">
        <f t="shared" si="89"/>
        <v>0</v>
      </c>
      <c r="AJ130" s="651">
        <f t="array" ref="AJ130">IFERROR(INDEX('HIV-Pharmaceuticals'!$X$107:$X$192,MATCH($E130&amp;$F130,'HIV-Pharmaceuticals'!$E$107:$E$192&amp;'HIV-Pharmaceuticals'!$I$107:$I$192,0)),0)</f>
        <v>0</v>
      </c>
      <c r="AK130" s="651">
        <f t="shared" si="90"/>
        <v>0</v>
      </c>
      <c r="AL130" s="652">
        <f t="shared" si="91"/>
        <v>0</v>
      </c>
      <c r="AM130" s="652">
        <f t="shared" si="92"/>
        <v>0</v>
      </c>
      <c r="AN130" s="651">
        <f t="array" ref="AN130">IFERROR(INDEX('HIV-Pharmaceuticals'!$Y$107:$Y$192,MATCH($E130&amp;$F130,'HIV-Pharmaceuticals'!$E$107:$E$192&amp;'HIV-Pharmaceuticals'!$I$107:$I$192,0)),0)</f>
        <v>0</v>
      </c>
      <c r="AO130" s="651">
        <f t="shared" si="93"/>
        <v>0</v>
      </c>
      <c r="AP130" s="652">
        <f t="shared" si="94"/>
        <v>0</v>
      </c>
      <c r="AQ130" s="652">
        <f t="shared" si="95"/>
        <v>0</v>
      </c>
      <c r="AR130" s="653"/>
      <c r="AS130" s="651">
        <f t="array" ref="AS130">IFERROR(INDEX('HIV-Pharmaceuticals'!$AB$107:$AB$192,MATCH($E130&amp;$F130,'HIV-Pharmaceuticals'!$E$107:$E$192&amp;'HIV-Pharmaceuticals'!$I$107:$I$192,0)),0)</f>
        <v>0</v>
      </c>
      <c r="AT130" s="651">
        <f t="array" ref="AT130">IFERROR(INDEX('HIV-Pharmaceuticals'!$AC$107:$AC$192,MATCH($E130&amp;$F130,'HIV-Pharmaceuticals'!$E$107:$E$192&amp;'HIV-Pharmaceuticals'!$I$107:$I$192,0)),0)</f>
        <v>0</v>
      </c>
      <c r="AU130" s="651">
        <f t="shared" si="96"/>
        <v>0</v>
      </c>
      <c r="AV130" s="652">
        <f t="shared" si="97"/>
        <v>0</v>
      </c>
      <c r="AW130" s="652">
        <f t="shared" si="98"/>
        <v>0</v>
      </c>
      <c r="AX130" s="651">
        <f t="array" ref="AX130">IFERROR(INDEX('HIV-Pharmaceuticals'!$AD$107:$AD$192,MATCH($E130&amp;$F130,'HIV-Pharmaceuticals'!$E$107:$E$192&amp;'HIV-Pharmaceuticals'!$I$107:$I$192,0)),0)</f>
        <v>0</v>
      </c>
      <c r="AY130" s="651">
        <f t="shared" si="99"/>
        <v>0</v>
      </c>
      <c r="AZ130" s="652">
        <f t="shared" si="100"/>
        <v>0</v>
      </c>
      <c r="BA130" s="652">
        <f t="shared" si="101"/>
        <v>0</v>
      </c>
      <c r="BB130" s="651">
        <f t="array" ref="BB130">IFERROR(INDEX('HIV-Pharmaceuticals'!$AE$107:$AE$192,MATCH($E130&amp;$F130,'HIV-Pharmaceuticals'!$E$107:$E$192&amp;'HIV-Pharmaceuticals'!$I$107:$I$192,0)),0)</f>
        <v>0</v>
      </c>
      <c r="BC130" s="651">
        <f t="shared" si="102"/>
        <v>0</v>
      </c>
      <c r="BD130" s="652">
        <f t="shared" si="103"/>
        <v>0</v>
      </c>
      <c r="BE130" s="652">
        <f t="shared" si="104"/>
        <v>0</v>
      </c>
      <c r="BF130" s="651">
        <f t="array" ref="BF130">IFERROR(INDEX('HIV-Pharmaceuticals'!$AF$107:$AF$192,MATCH($E130&amp;$F130,'HIV-Pharmaceuticals'!$E$107:$E$192&amp;'HIV-Pharmaceuticals'!$I$107:$I$192,0)),0)</f>
        <v>0</v>
      </c>
      <c r="BG130" s="651">
        <f t="shared" si="105"/>
        <v>0</v>
      </c>
      <c r="BH130" s="652">
        <f t="shared" si="106"/>
        <v>0</v>
      </c>
      <c r="BI130" s="652">
        <f t="shared" si="107"/>
        <v>0</v>
      </c>
      <c r="BK130" s="654"/>
      <c r="BL130" s="654"/>
      <c r="BM130" s="654"/>
      <c r="BN130" s="654"/>
      <c r="BO130" s="654"/>
      <c r="BP130" s="654"/>
      <c r="BQ130" s="654"/>
      <c r="BR130" s="654"/>
    </row>
    <row r="131" spans="1:70">
      <c r="A131" s="647" t="s">
        <v>1317</v>
      </c>
      <c r="B131" s="647" t="s">
        <v>2282</v>
      </c>
      <c r="C131" s="648">
        <f>SETUP!$F$22</f>
        <v>0</v>
      </c>
      <c r="D131" s="649">
        <v>4.7</v>
      </c>
      <c r="E131" s="647" t="s">
        <v>1320</v>
      </c>
      <c r="F131" s="647" t="s">
        <v>1404</v>
      </c>
      <c r="G131" s="650" t="str">
        <f t="array" ref="G131">IFERROR(INDEX('HIV-Pharmaceuticals'!$L$107:$L$192,MATCH($E131&amp;$F131,'HIV-Pharmaceuticals'!$E$107:$E$192&amp;'HIV-Pharmaceuticals'!$I$107:$I$192,0)),"")</f>
        <v/>
      </c>
      <c r="H131" s="650" t="str">
        <f t="array" ref="H131">IFERROR(INDEX('HIV-Pharmaceuticals'!$M$107:$M$192,MATCH($E131&amp;$F131,'HIV-Pharmaceuticals'!$E$107:$E$192&amp;'HIV-Pharmaceuticals'!$I$107:$I$192,0)),"")</f>
        <v/>
      </c>
      <c r="I131" s="651">
        <f t="array" ref="I131">IFERROR(INDEX('HIV-Pharmaceuticals'!$N$107:$N$192,MATCH($E131&amp;$F131,'HIV-Pharmaceuticals'!$E$107:$E$192&amp;'HIV-Pharmaceuticals'!$I$107:$I$192,0)),0)</f>
        <v>0</v>
      </c>
      <c r="J131" s="651">
        <f t="array" ref="J131">IFERROR(INDEX('HIV-Pharmaceuticals'!$O$107:$O$192,MATCH($E131&amp;$F131,'HIV-Pharmaceuticals'!$E$107:$E$192&amp;'HIV-Pharmaceuticals'!$I$107:$I$192,0)),0)</f>
        <v>0</v>
      </c>
      <c r="K131" s="652">
        <f t="shared" si="72"/>
        <v>0</v>
      </c>
      <c r="L131" s="652">
        <f t="shared" si="73"/>
        <v>0</v>
      </c>
      <c r="M131" s="652">
        <f t="shared" si="74"/>
        <v>0</v>
      </c>
      <c r="N131" s="651">
        <f t="array" ref="N131">IFERROR(INDEX('HIV-Pharmaceuticals'!$P$107:$P$192,MATCH($E131&amp;$F131,'HIV-Pharmaceuticals'!$E$107:$E$192&amp;'HIV-Pharmaceuticals'!$I$107:$I$192,0)),0)</f>
        <v>0</v>
      </c>
      <c r="O131" s="652">
        <f t="shared" si="75"/>
        <v>0</v>
      </c>
      <c r="P131" s="652">
        <f t="shared" si="76"/>
        <v>0</v>
      </c>
      <c r="Q131" s="652">
        <f t="shared" si="77"/>
        <v>0</v>
      </c>
      <c r="R131" s="651">
        <f t="array" ref="R131">IFERROR(INDEX('HIV-Pharmaceuticals'!$Q$107:$Q$192,MATCH($E131&amp;$F131,'HIV-Pharmaceuticals'!$E$107:$E$192&amp;'HIV-Pharmaceuticals'!$I$107:$I$192,0)),0)</f>
        <v>0</v>
      </c>
      <c r="S131" s="652">
        <f t="shared" si="78"/>
        <v>0</v>
      </c>
      <c r="T131" s="652">
        <f t="shared" si="79"/>
        <v>0</v>
      </c>
      <c r="U131" s="652">
        <f t="shared" si="80"/>
        <v>0</v>
      </c>
      <c r="V131" s="651">
        <f t="array" ref="V131">IFERROR(INDEX('HIV-Pharmaceuticals'!$R$107:$R$192,MATCH($E131&amp;$F131,'HIV-Pharmaceuticals'!$E$107:$E$192&amp;'HIV-Pharmaceuticals'!$I$107:$I$192,0)),0)</f>
        <v>0</v>
      </c>
      <c r="W131" s="652">
        <f t="shared" si="81"/>
        <v>0</v>
      </c>
      <c r="X131" s="652">
        <f t="shared" si="82"/>
        <v>0</v>
      </c>
      <c r="Y131" s="652">
        <f t="shared" si="83"/>
        <v>0</v>
      </c>
      <c r="Z131" s="653"/>
      <c r="AA131" s="651">
        <f t="array" ref="AA131">IFERROR(INDEX('HIV-Pharmaceuticals'!$U$107:$U$192,MATCH($E131&amp;$F131,'HIV-Pharmaceuticals'!$E$107:$E$192&amp;'HIV-Pharmaceuticals'!$I$107:$I$192,0)),0)</f>
        <v>0</v>
      </c>
      <c r="AB131" s="651">
        <f t="array" ref="AB131">IFERROR(INDEX('HIV-Pharmaceuticals'!$V$107:$V$192,MATCH($E131&amp;$F131,'HIV-Pharmaceuticals'!$E$107:$E$192&amp;'HIV-Pharmaceuticals'!$I$107:$I$192,0)),0)</f>
        <v>0</v>
      </c>
      <c r="AC131" s="651">
        <f t="shared" si="84"/>
        <v>0</v>
      </c>
      <c r="AD131" s="652">
        <f t="shared" si="85"/>
        <v>0</v>
      </c>
      <c r="AE131" s="652">
        <f t="shared" si="86"/>
        <v>0</v>
      </c>
      <c r="AF131" s="651">
        <f t="array" ref="AF131">IFERROR(INDEX('HIV-Pharmaceuticals'!$W$107:$W$192,MATCH($E131&amp;$F131,'HIV-Pharmaceuticals'!$E$107:$E$192&amp;'HIV-Pharmaceuticals'!$I$107:$I$192,0)),0)</f>
        <v>0</v>
      </c>
      <c r="AG131" s="651">
        <f t="shared" si="87"/>
        <v>0</v>
      </c>
      <c r="AH131" s="652">
        <f t="shared" si="88"/>
        <v>0</v>
      </c>
      <c r="AI131" s="652">
        <f t="shared" si="89"/>
        <v>0</v>
      </c>
      <c r="AJ131" s="651">
        <f t="array" ref="AJ131">IFERROR(INDEX('HIV-Pharmaceuticals'!$X$107:$X$192,MATCH($E131&amp;$F131,'HIV-Pharmaceuticals'!$E$107:$E$192&amp;'HIV-Pharmaceuticals'!$I$107:$I$192,0)),0)</f>
        <v>0</v>
      </c>
      <c r="AK131" s="651">
        <f t="shared" si="90"/>
        <v>0</v>
      </c>
      <c r="AL131" s="652">
        <f t="shared" si="91"/>
        <v>0</v>
      </c>
      <c r="AM131" s="652">
        <f t="shared" si="92"/>
        <v>0</v>
      </c>
      <c r="AN131" s="651">
        <f t="array" ref="AN131">IFERROR(INDEX('HIV-Pharmaceuticals'!$Y$107:$Y$192,MATCH($E131&amp;$F131,'HIV-Pharmaceuticals'!$E$107:$E$192&amp;'HIV-Pharmaceuticals'!$I$107:$I$192,0)),0)</f>
        <v>0</v>
      </c>
      <c r="AO131" s="651">
        <f t="shared" si="93"/>
        <v>0</v>
      </c>
      <c r="AP131" s="652">
        <f t="shared" si="94"/>
        <v>0</v>
      </c>
      <c r="AQ131" s="652">
        <f t="shared" si="95"/>
        <v>0</v>
      </c>
      <c r="AR131" s="653"/>
      <c r="AS131" s="651">
        <f t="array" ref="AS131">IFERROR(INDEX('HIV-Pharmaceuticals'!$AB$107:$AB$192,MATCH($E131&amp;$F131,'HIV-Pharmaceuticals'!$E$107:$E$192&amp;'HIV-Pharmaceuticals'!$I$107:$I$192,0)),0)</f>
        <v>0</v>
      </c>
      <c r="AT131" s="651">
        <f t="array" ref="AT131">IFERROR(INDEX('HIV-Pharmaceuticals'!$AC$107:$AC$192,MATCH($E131&amp;$F131,'HIV-Pharmaceuticals'!$E$107:$E$192&amp;'HIV-Pharmaceuticals'!$I$107:$I$192,0)),0)</f>
        <v>0</v>
      </c>
      <c r="AU131" s="651">
        <f t="shared" si="96"/>
        <v>0</v>
      </c>
      <c r="AV131" s="652">
        <f t="shared" si="97"/>
        <v>0</v>
      </c>
      <c r="AW131" s="652">
        <f t="shared" si="98"/>
        <v>0</v>
      </c>
      <c r="AX131" s="651">
        <f t="array" ref="AX131">IFERROR(INDEX('HIV-Pharmaceuticals'!$AD$107:$AD$192,MATCH($E131&amp;$F131,'HIV-Pharmaceuticals'!$E$107:$E$192&amp;'HIV-Pharmaceuticals'!$I$107:$I$192,0)),0)</f>
        <v>0</v>
      </c>
      <c r="AY131" s="651">
        <f t="shared" si="99"/>
        <v>0</v>
      </c>
      <c r="AZ131" s="652">
        <f t="shared" si="100"/>
        <v>0</v>
      </c>
      <c r="BA131" s="652">
        <f t="shared" si="101"/>
        <v>0</v>
      </c>
      <c r="BB131" s="651">
        <f t="array" ref="BB131">IFERROR(INDEX('HIV-Pharmaceuticals'!$AE$107:$AE$192,MATCH($E131&amp;$F131,'HIV-Pharmaceuticals'!$E$107:$E$192&amp;'HIV-Pharmaceuticals'!$I$107:$I$192,0)),0)</f>
        <v>0</v>
      </c>
      <c r="BC131" s="651">
        <f t="shared" si="102"/>
        <v>0</v>
      </c>
      <c r="BD131" s="652">
        <f t="shared" si="103"/>
        <v>0</v>
      </c>
      <c r="BE131" s="652">
        <f t="shared" si="104"/>
        <v>0</v>
      </c>
      <c r="BF131" s="651">
        <f t="array" ref="BF131">IFERROR(INDEX('HIV-Pharmaceuticals'!$AF$107:$AF$192,MATCH($E131&amp;$F131,'HIV-Pharmaceuticals'!$E$107:$E$192&amp;'HIV-Pharmaceuticals'!$I$107:$I$192,0)),0)</f>
        <v>0</v>
      </c>
      <c r="BG131" s="651">
        <f t="shared" si="105"/>
        <v>0</v>
      </c>
      <c r="BH131" s="652">
        <f t="shared" si="106"/>
        <v>0</v>
      </c>
      <c r="BI131" s="652">
        <f t="shared" si="107"/>
        <v>0</v>
      </c>
      <c r="BK131" s="654"/>
      <c r="BL131" s="654"/>
      <c r="BM131" s="654"/>
      <c r="BN131" s="654"/>
      <c r="BO131" s="654"/>
      <c r="BP131" s="654"/>
      <c r="BQ131" s="654"/>
      <c r="BR131" s="654"/>
    </row>
    <row r="132" spans="1:70">
      <c r="A132" s="647" t="s">
        <v>1317</v>
      </c>
      <c r="B132" s="647" t="s">
        <v>2282</v>
      </c>
      <c r="C132" s="648">
        <f>SETUP!$F$22</f>
        <v>0</v>
      </c>
      <c r="D132" s="649">
        <v>4.7</v>
      </c>
      <c r="E132" s="647" t="s">
        <v>1320</v>
      </c>
      <c r="F132" s="647" t="s">
        <v>1405</v>
      </c>
      <c r="G132" s="650" t="str">
        <f t="array" ref="G132">IFERROR(INDEX('HIV-Pharmaceuticals'!$L$107:$L$192,MATCH($E132&amp;$F132,'HIV-Pharmaceuticals'!$E$107:$E$192&amp;'HIV-Pharmaceuticals'!$I$107:$I$192,0)),"")</f>
        <v/>
      </c>
      <c r="H132" s="650" t="str">
        <f t="array" ref="H132">IFERROR(INDEX('HIV-Pharmaceuticals'!$M$107:$M$192,MATCH($E132&amp;$F132,'HIV-Pharmaceuticals'!$E$107:$E$192&amp;'HIV-Pharmaceuticals'!$I$107:$I$192,0)),"")</f>
        <v/>
      </c>
      <c r="I132" s="651">
        <f t="array" ref="I132">IFERROR(INDEX('HIV-Pharmaceuticals'!$N$107:$N$192,MATCH($E132&amp;$F132,'HIV-Pharmaceuticals'!$E$107:$E$192&amp;'HIV-Pharmaceuticals'!$I$107:$I$192,0)),0)</f>
        <v>0</v>
      </c>
      <c r="J132" s="651">
        <f t="array" ref="J132">IFERROR(INDEX('HIV-Pharmaceuticals'!$O$107:$O$192,MATCH($E132&amp;$F132,'HIV-Pharmaceuticals'!$E$107:$E$192&amp;'HIV-Pharmaceuticals'!$I$107:$I$192,0)),0)</f>
        <v>0</v>
      </c>
      <c r="K132" s="652">
        <f t="shared" si="72"/>
        <v>0</v>
      </c>
      <c r="L132" s="652">
        <f t="shared" si="73"/>
        <v>0</v>
      </c>
      <c r="M132" s="652">
        <f t="shared" si="74"/>
        <v>0</v>
      </c>
      <c r="N132" s="651">
        <f t="array" ref="N132">IFERROR(INDEX('HIV-Pharmaceuticals'!$P$107:$P$192,MATCH($E132&amp;$F132,'HIV-Pharmaceuticals'!$E$107:$E$192&amp;'HIV-Pharmaceuticals'!$I$107:$I$192,0)),0)</f>
        <v>0</v>
      </c>
      <c r="O132" s="652">
        <f t="shared" si="75"/>
        <v>0</v>
      </c>
      <c r="P132" s="652">
        <f t="shared" si="76"/>
        <v>0</v>
      </c>
      <c r="Q132" s="652">
        <f t="shared" si="77"/>
        <v>0</v>
      </c>
      <c r="R132" s="651">
        <f t="array" ref="R132">IFERROR(INDEX('HIV-Pharmaceuticals'!$Q$107:$Q$192,MATCH($E132&amp;$F132,'HIV-Pharmaceuticals'!$E$107:$E$192&amp;'HIV-Pharmaceuticals'!$I$107:$I$192,0)),0)</f>
        <v>0</v>
      </c>
      <c r="S132" s="652">
        <f t="shared" si="78"/>
        <v>0</v>
      </c>
      <c r="T132" s="652">
        <f t="shared" si="79"/>
        <v>0</v>
      </c>
      <c r="U132" s="652">
        <f t="shared" si="80"/>
        <v>0</v>
      </c>
      <c r="V132" s="651">
        <f t="array" ref="V132">IFERROR(INDEX('HIV-Pharmaceuticals'!$R$107:$R$192,MATCH($E132&amp;$F132,'HIV-Pharmaceuticals'!$E$107:$E$192&amp;'HIV-Pharmaceuticals'!$I$107:$I$192,0)),0)</f>
        <v>0</v>
      </c>
      <c r="W132" s="652">
        <f t="shared" si="81"/>
        <v>0</v>
      </c>
      <c r="X132" s="652">
        <f t="shared" si="82"/>
        <v>0</v>
      </c>
      <c r="Y132" s="652">
        <f t="shared" si="83"/>
        <v>0</v>
      </c>
      <c r="Z132" s="653"/>
      <c r="AA132" s="651">
        <f t="array" ref="AA132">IFERROR(INDEX('HIV-Pharmaceuticals'!$U$107:$U$192,MATCH($E132&amp;$F132,'HIV-Pharmaceuticals'!$E$107:$E$192&amp;'HIV-Pharmaceuticals'!$I$107:$I$192,0)),0)</f>
        <v>0</v>
      </c>
      <c r="AB132" s="651">
        <f t="array" ref="AB132">IFERROR(INDEX('HIV-Pharmaceuticals'!$V$107:$V$192,MATCH($E132&amp;$F132,'HIV-Pharmaceuticals'!$E$107:$E$192&amp;'HIV-Pharmaceuticals'!$I$107:$I$192,0)),0)</f>
        <v>0</v>
      </c>
      <c r="AC132" s="651">
        <f t="shared" si="84"/>
        <v>0</v>
      </c>
      <c r="AD132" s="652">
        <f t="shared" si="85"/>
        <v>0</v>
      </c>
      <c r="AE132" s="652">
        <f t="shared" si="86"/>
        <v>0</v>
      </c>
      <c r="AF132" s="651">
        <f t="array" ref="AF132">IFERROR(INDEX('HIV-Pharmaceuticals'!$W$107:$W$192,MATCH($E132&amp;$F132,'HIV-Pharmaceuticals'!$E$107:$E$192&amp;'HIV-Pharmaceuticals'!$I$107:$I$192,0)),0)</f>
        <v>0</v>
      </c>
      <c r="AG132" s="651">
        <f t="shared" si="87"/>
        <v>0</v>
      </c>
      <c r="AH132" s="652">
        <f t="shared" si="88"/>
        <v>0</v>
      </c>
      <c r="AI132" s="652">
        <f t="shared" si="89"/>
        <v>0</v>
      </c>
      <c r="AJ132" s="651">
        <f t="array" ref="AJ132">IFERROR(INDEX('HIV-Pharmaceuticals'!$X$107:$X$192,MATCH($E132&amp;$F132,'HIV-Pharmaceuticals'!$E$107:$E$192&amp;'HIV-Pharmaceuticals'!$I$107:$I$192,0)),0)</f>
        <v>0</v>
      </c>
      <c r="AK132" s="651">
        <f t="shared" si="90"/>
        <v>0</v>
      </c>
      <c r="AL132" s="652">
        <f t="shared" si="91"/>
        <v>0</v>
      </c>
      <c r="AM132" s="652">
        <f t="shared" si="92"/>
        <v>0</v>
      </c>
      <c r="AN132" s="651">
        <f t="array" ref="AN132">IFERROR(INDEX('HIV-Pharmaceuticals'!$Y$107:$Y$192,MATCH($E132&amp;$F132,'HIV-Pharmaceuticals'!$E$107:$E$192&amp;'HIV-Pharmaceuticals'!$I$107:$I$192,0)),0)</f>
        <v>0</v>
      </c>
      <c r="AO132" s="651">
        <f t="shared" si="93"/>
        <v>0</v>
      </c>
      <c r="AP132" s="652">
        <f t="shared" si="94"/>
        <v>0</v>
      </c>
      <c r="AQ132" s="652">
        <f t="shared" si="95"/>
        <v>0</v>
      </c>
      <c r="AR132" s="653"/>
      <c r="AS132" s="651">
        <f t="array" ref="AS132">IFERROR(INDEX('HIV-Pharmaceuticals'!$AB$107:$AB$192,MATCH($E132&amp;$F132,'HIV-Pharmaceuticals'!$E$107:$E$192&amp;'HIV-Pharmaceuticals'!$I$107:$I$192,0)),0)</f>
        <v>0</v>
      </c>
      <c r="AT132" s="651">
        <f t="array" ref="AT132">IFERROR(INDEX('HIV-Pharmaceuticals'!$AC$107:$AC$192,MATCH($E132&amp;$F132,'HIV-Pharmaceuticals'!$E$107:$E$192&amp;'HIV-Pharmaceuticals'!$I$107:$I$192,0)),0)</f>
        <v>0</v>
      </c>
      <c r="AU132" s="651">
        <f t="shared" si="96"/>
        <v>0</v>
      </c>
      <c r="AV132" s="652">
        <f t="shared" si="97"/>
        <v>0</v>
      </c>
      <c r="AW132" s="652">
        <f t="shared" si="98"/>
        <v>0</v>
      </c>
      <c r="AX132" s="651">
        <f t="array" ref="AX132">IFERROR(INDEX('HIV-Pharmaceuticals'!$AD$107:$AD$192,MATCH($E132&amp;$F132,'HIV-Pharmaceuticals'!$E$107:$E$192&amp;'HIV-Pharmaceuticals'!$I$107:$I$192,0)),0)</f>
        <v>0</v>
      </c>
      <c r="AY132" s="651">
        <f t="shared" si="99"/>
        <v>0</v>
      </c>
      <c r="AZ132" s="652">
        <f t="shared" si="100"/>
        <v>0</v>
      </c>
      <c r="BA132" s="652">
        <f t="shared" si="101"/>
        <v>0</v>
      </c>
      <c r="BB132" s="651">
        <f t="array" ref="BB132">IFERROR(INDEX('HIV-Pharmaceuticals'!$AE$107:$AE$192,MATCH($E132&amp;$F132,'HIV-Pharmaceuticals'!$E$107:$E$192&amp;'HIV-Pharmaceuticals'!$I$107:$I$192,0)),0)</f>
        <v>0</v>
      </c>
      <c r="BC132" s="651">
        <f t="shared" si="102"/>
        <v>0</v>
      </c>
      <c r="BD132" s="652">
        <f t="shared" si="103"/>
        <v>0</v>
      </c>
      <c r="BE132" s="652">
        <f t="shared" si="104"/>
        <v>0</v>
      </c>
      <c r="BF132" s="651">
        <f t="array" ref="BF132">IFERROR(INDEX('HIV-Pharmaceuticals'!$AF$107:$AF$192,MATCH($E132&amp;$F132,'HIV-Pharmaceuticals'!$E$107:$E$192&amp;'HIV-Pharmaceuticals'!$I$107:$I$192,0)),0)</f>
        <v>0</v>
      </c>
      <c r="BG132" s="651">
        <f t="shared" si="105"/>
        <v>0</v>
      </c>
      <c r="BH132" s="652">
        <f t="shared" si="106"/>
        <v>0</v>
      </c>
      <c r="BI132" s="652">
        <f t="shared" si="107"/>
        <v>0</v>
      </c>
      <c r="BK132" s="654"/>
      <c r="BL132" s="654"/>
      <c r="BM132" s="654"/>
      <c r="BN132" s="654"/>
      <c r="BO132" s="654"/>
      <c r="BP132" s="654"/>
      <c r="BQ132" s="654"/>
      <c r="BR132" s="654"/>
    </row>
    <row r="133" spans="1:70">
      <c r="A133" s="647" t="s">
        <v>1317</v>
      </c>
      <c r="B133" s="647" t="s">
        <v>2282</v>
      </c>
      <c r="C133" s="648">
        <f>SETUP!$F$22</f>
        <v>0</v>
      </c>
      <c r="D133" s="649">
        <v>4.7</v>
      </c>
      <c r="E133" s="647" t="s">
        <v>1320</v>
      </c>
      <c r="F133" s="647" t="s">
        <v>1406</v>
      </c>
      <c r="G133" s="650" t="str">
        <f t="array" ref="G133">IFERROR(INDEX('HIV-Pharmaceuticals'!$L$107:$L$192,MATCH($E133&amp;$F133,'HIV-Pharmaceuticals'!$E$107:$E$192&amp;'HIV-Pharmaceuticals'!$I$107:$I$192,0)),"")</f>
        <v/>
      </c>
      <c r="H133" s="650" t="str">
        <f t="array" ref="H133">IFERROR(INDEX('HIV-Pharmaceuticals'!$M$107:$M$192,MATCH($E133&amp;$F133,'HIV-Pharmaceuticals'!$E$107:$E$192&amp;'HIV-Pharmaceuticals'!$I$107:$I$192,0)),"")</f>
        <v/>
      </c>
      <c r="I133" s="651">
        <f t="array" ref="I133">IFERROR(INDEX('HIV-Pharmaceuticals'!$N$107:$N$192,MATCH($E133&amp;$F133,'HIV-Pharmaceuticals'!$E$107:$E$192&amp;'HIV-Pharmaceuticals'!$I$107:$I$192,0)),0)</f>
        <v>0</v>
      </c>
      <c r="J133" s="651">
        <f t="array" ref="J133">IFERROR(INDEX('HIV-Pharmaceuticals'!$O$107:$O$192,MATCH($E133&amp;$F133,'HIV-Pharmaceuticals'!$E$107:$E$192&amp;'HIV-Pharmaceuticals'!$I$107:$I$192,0)),0)</f>
        <v>0</v>
      </c>
      <c r="K133" s="652">
        <f t="shared" si="72"/>
        <v>0</v>
      </c>
      <c r="L133" s="652">
        <f t="shared" si="73"/>
        <v>0</v>
      </c>
      <c r="M133" s="652">
        <f t="shared" si="74"/>
        <v>0</v>
      </c>
      <c r="N133" s="651">
        <f t="array" ref="N133">IFERROR(INDEX('HIV-Pharmaceuticals'!$P$107:$P$192,MATCH($E133&amp;$F133,'HIV-Pharmaceuticals'!$E$107:$E$192&amp;'HIV-Pharmaceuticals'!$I$107:$I$192,0)),0)</f>
        <v>0</v>
      </c>
      <c r="O133" s="652">
        <f t="shared" si="75"/>
        <v>0</v>
      </c>
      <c r="P133" s="652">
        <f t="shared" si="76"/>
        <v>0</v>
      </c>
      <c r="Q133" s="652">
        <f t="shared" si="77"/>
        <v>0</v>
      </c>
      <c r="R133" s="651">
        <f t="array" ref="R133">IFERROR(INDEX('HIV-Pharmaceuticals'!$Q$107:$Q$192,MATCH($E133&amp;$F133,'HIV-Pharmaceuticals'!$E$107:$E$192&amp;'HIV-Pharmaceuticals'!$I$107:$I$192,0)),0)</f>
        <v>0</v>
      </c>
      <c r="S133" s="652">
        <f t="shared" si="78"/>
        <v>0</v>
      </c>
      <c r="T133" s="652">
        <f t="shared" si="79"/>
        <v>0</v>
      </c>
      <c r="U133" s="652">
        <f t="shared" si="80"/>
        <v>0</v>
      </c>
      <c r="V133" s="651">
        <f t="array" ref="V133">IFERROR(INDEX('HIV-Pharmaceuticals'!$R$107:$R$192,MATCH($E133&amp;$F133,'HIV-Pharmaceuticals'!$E$107:$E$192&amp;'HIV-Pharmaceuticals'!$I$107:$I$192,0)),0)</f>
        <v>0</v>
      </c>
      <c r="W133" s="652">
        <f t="shared" si="81"/>
        <v>0</v>
      </c>
      <c r="X133" s="652">
        <f t="shared" si="82"/>
        <v>0</v>
      </c>
      <c r="Y133" s="652">
        <f t="shared" si="83"/>
        <v>0</v>
      </c>
      <c r="Z133" s="653"/>
      <c r="AA133" s="651">
        <f t="array" ref="AA133">IFERROR(INDEX('HIV-Pharmaceuticals'!$U$107:$U$192,MATCH($E133&amp;$F133,'HIV-Pharmaceuticals'!$E$107:$E$192&amp;'HIV-Pharmaceuticals'!$I$107:$I$192,0)),0)</f>
        <v>0</v>
      </c>
      <c r="AB133" s="651">
        <f t="array" ref="AB133">IFERROR(INDEX('HIV-Pharmaceuticals'!$V$107:$V$192,MATCH($E133&amp;$F133,'HIV-Pharmaceuticals'!$E$107:$E$192&amp;'HIV-Pharmaceuticals'!$I$107:$I$192,0)),0)</f>
        <v>0</v>
      </c>
      <c r="AC133" s="651">
        <f t="shared" si="84"/>
        <v>0</v>
      </c>
      <c r="AD133" s="652">
        <f t="shared" si="85"/>
        <v>0</v>
      </c>
      <c r="AE133" s="652">
        <f t="shared" si="86"/>
        <v>0</v>
      </c>
      <c r="AF133" s="651">
        <f t="array" ref="AF133">IFERROR(INDEX('HIV-Pharmaceuticals'!$W$107:$W$192,MATCH($E133&amp;$F133,'HIV-Pharmaceuticals'!$E$107:$E$192&amp;'HIV-Pharmaceuticals'!$I$107:$I$192,0)),0)</f>
        <v>0</v>
      </c>
      <c r="AG133" s="651">
        <f t="shared" si="87"/>
        <v>0</v>
      </c>
      <c r="AH133" s="652">
        <f t="shared" si="88"/>
        <v>0</v>
      </c>
      <c r="AI133" s="652">
        <f t="shared" si="89"/>
        <v>0</v>
      </c>
      <c r="AJ133" s="651">
        <f t="array" ref="AJ133">IFERROR(INDEX('HIV-Pharmaceuticals'!$X$107:$X$192,MATCH($E133&amp;$F133,'HIV-Pharmaceuticals'!$E$107:$E$192&amp;'HIV-Pharmaceuticals'!$I$107:$I$192,0)),0)</f>
        <v>0</v>
      </c>
      <c r="AK133" s="651">
        <f t="shared" si="90"/>
        <v>0</v>
      </c>
      <c r="AL133" s="652">
        <f t="shared" si="91"/>
        <v>0</v>
      </c>
      <c r="AM133" s="652">
        <f t="shared" si="92"/>
        <v>0</v>
      </c>
      <c r="AN133" s="651">
        <f t="array" ref="AN133">IFERROR(INDEX('HIV-Pharmaceuticals'!$Y$107:$Y$192,MATCH($E133&amp;$F133,'HIV-Pharmaceuticals'!$E$107:$E$192&amp;'HIV-Pharmaceuticals'!$I$107:$I$192,0)),0)</f>
        <v>0</v>
      </c>
      <c r="AO133" s="651">
        <f t="shared" si="93"/>
        <v>0</v>
      </c>
      <c r="AP133" s="652">
        <f t="shared" si="94"/>
        <v>0</v>
      </c>
      <c r="AQ133" s="652">
        <f t="shared" si="95"/>
        <v>0</v>
      </c>
      <c r="AR133" s="653"/>
      <c r="AS133" s="651">
        <f t="array" ref="AS133">IFERROR(INDEX('HIV-Pharmaceuticals'!$AB$107:$AB$192,MATCH($E133&amp;$F133,'HIV-Pharmaceuticals'!$E$107:$E$192&amp;'HIV-Pharmaceuticals'!$I$107:$I$192,0)),0)</f>
        <v>0</v>
      </c>
      <c r="AT133" s="651">
        <f t="array" ref="AT133">IFERROR(INDEX('HIV-Pharmaceuticals'!$AC$107:$AC$192,MATCH($E133&amp;$F133,'HIV-Pharmaceuticals'!$E$107:$E$192&amp;'HIV-Pharmaceuticals'!$I$107:$I$192,0)),0)</f>
        <v>0</v>
      </c>
      <c r="AU133" s="651">
        <f t="shared" si="96"/>
        <v>0</v>
      </c>
      <c r="AV133" s="652">
        <f t="shared" si="97"/>
        <v>0</v>
      </c>
      <c r="AW133" s="652">
        <f t="shared" si="98"/>
        <v>0</v>
      </c>
      <c r="AX133" s="651">
        <f t="array" ref="AX133">IFERROR(INDEX('HIV-Pharmaceuticals'!$AD$107:$AD$192,MATCH($E133&amp;$F133,'HIV-Pharmaceuticals'!$E$107:$E$192&amp;'HIV-Pharmaceuticals'!$I$107:$I$192,0)),0)</f>
        <v>0</v>
      </c>
      <c r="AY133" s="651">
        <f t="shared" si="99"/>
        <v>0</v>
      </c>
      <c r="AZ133" s="652">
        <f t="shared" si="100"/>
        <v>0</v>
      </c>
      <c r="BA133" s="652">
        <f t="shared" si="101"/>
        <v>0</v>
      </c>
      <c r="BB133" s="651">
        <f t="array" ref="BB133">IFERROR(INDEX('HIV-Pharmaceuticals'!$AE$107:$AE$192,MATCH($E133&amp;$F133,'HIV-Pharmaceuticals'!$E$107:$E$192&amp;'HIV-Pharmaceuticals'!$I$107:$I$192,0)),0)</f>
        <v>0</v>
      </c>
      <c r="BC133" s="651">
        <f t="shared" si="102"/>
        <v>0</v>
      </c>
      <c r="BD133" s="652">
        <f t="shared" si="103"/>
        <v>0</v>
      </c>
      <c r="BE133" s="652">
        <f t="shared" si="104"/>
        <v>0</v>
      </c>
      <c r="BF133" s="651">
        <f t="array" ref="BF133">IFERROR(INDEX('HIV-Pharmaceuticals'!$AF$107:$AF$192,MATCH($E133&amp;$F133,'HIV-Pharmaceuticals'!$E$107:$E$192&amp;'HIV-Pharmaceuticals'!$I$107:$I$192,0)),0)</f>
        <v>0</v>
      </c>
      <c r="BG133" s="651">
        <f t="shared" si="105"/>
        <v>0</v>
      </c>
      <c r="BH133" s="652">
        <f t="shared" si="106"/>
        <v>0</v>
      </c>
      <c r="BI133" s="652">
        <f t="shared" si="107"/>
        <v>0</v>
      </c>
      <c r="BK133" s="654"/>
      <c r="BL133" s="654"/>
      <c r="BM133" s="654"/>
      <c r="BN133" s="654"/>
      <c r="BO133" s="654"/>
      <c r="BP133" s="654"/>
      <c r="BQ133" s="654"/>
      <c r="BR133" s="654"/>
    </row>
    <row r="134" spans="1:70">
      <c r="A134" s="647" t="s">
        <v>1317</v>
      </c>
      <c r="B134" s="647" t="s">
        <v>2282</v>
      </c>
      <c r="C134" s="648">
        <f>SETUP!$F$22</f>
        <v>0</v>
      </c>
      <c r="D134" s="649">
        <v>4.7</v>
      </c>
      <c r="E134" s="647" t="s">
        <v>1407</v>
      </c>
      <c r="F134" s="647" t="s">
        <v>1408</v>
      </c>
      <c r="G134" s="650" t="str">
        <f t="array" ref="G134">IFERROR(INDEX('HIV-Pharmaceuticals'!$L$107:$L$192,MATCH($E134&amp;$F134,'HIV-Pharmaceuticals'!$E$107:$E$192&amp;'HIV-Pharmaceuticals'!$I$107:$I$192,0)),"")</f>
        <v/>
      </c>
      <c r="H134" s="650" t="str">
        <f t="array" ref="H134">IFERROR(INDEX('HIV-Pharmaceuticals'!$M$107:$M$192,MATCH($E134&amp;$F134,'HIV-Pharmaceuticals'!$E$107:$E$192&amp;'HIV-Pharmaceuticals'!$I$107:$I$192,0)),"")</f>
        <v/>
      </c>
      <c r="I134" s="651">
        <f t="array" ref="I134">IFERROR(INDEX('HIV-Pharmaceuticals'!$N$107:$N$192,MATCH($E134&amp;$F134,'HIV-Pharmaceuticals'!$E$107:$E$192&amp;'HIV-Pharmaceuticals'!$I$107:$I$192,0)),0)</f>
        <v>0</v>
      </c>
      <c r="J134" s="651">
        <f t="array" ref="J134">IFERROR(INDEX('HIV-Pharmaceuticals'!$O$107:$O$192,MATCH($E134&amp;$F134,'HIV-Pharmaceuticals'!$E$107:$E$192&amp;'HIV-Pharmaceuticals'!$I$107:$I$192,0)),0)</f>
        <v>0</v>
      </c>
      <c r="K134" s="652">
        <f t="shared" si="72"/>
        <v>0</v>
      </c>
      <c r="L134" s="652">
        <f t="shared" si="73"/>
        <v>0</v>
      </c>
      <c r="M134" s="652">
        <f t="shared" si="74"/>
        <v>0</v>
      </c>
      <c r="N134" s="651">
        <f t="array" ref="N134">IFERROR(INDEX('HIV-Pharmaceuticals'!$P$107:$P$192,MATCH($E134&amp;$F134,'HIV-Pharmaceuticals'!$E$107:$E$192&amp;'HIV-Pharmaceuticals'!$I$107:$I$192,0)),0)</f>
        <v>0</v>
      </c>
      <c r="O134" s="652">
        <f t="shared" si="75"/>
        <v>0</v>
      </c>
      <c r="P134" s="652">
        <f t="shared" si="76"/>
        <v>0</v>
      </c>
      <c r="Q134" s="652">
        <f t="shared" si="77"/>
        <v>0</v>
      </c>
      <c r="R134" s="651">
        <f t="array" ref="R134">IFERROR(INDEX('HIV-Pharmaceuticals'!$Q$107:$Q$192,MATCH($E134&amp;$F134,'HIV-Pharmaceuticals'!$E$107:$E$192&amp;'HIV-Pharmaceuticals'!$I$107:$I$192,0)),0)</f>
        <v>0</v>
      </c>
      <c r="S134" s="652">
        <f t="shared" si="78"/>
        <v>0</v>
      </c>
      <c r="T134" s="652">
        <f t="shared" si="79"/>
        <v>0</v>
      </c>
      <c r="U134" s="652">
        <f t="shared" si="80"/>
        <v>0</v>
      </c>
      <c r="V134" s="651">
        <f t="array" ref="V134">IFERROR(INDEX('HIV-Pharmaceuticals'!$R$107:$R$192,MATCH($E134&amp;$F134,'HIV-Pharmaceuticals'!$E$107:$E$192&amp;'HIV-Pharmaceuticals'!$I$107:$I$192,0)),0)</f>
        <v>0</v>
      </c>
      <c r="W134" s="652">
        <f t="shared" si="81"/>
        <v>0</v>
      </c>
      <c r="X134" s="652">
        <f t="shared" si="82"/>
        <v>0</v>
      </c>
      <c r="Y134" s="652">
        <f t="shared" si="83"/>
        <v>0</v>
      </c>
      <c r="Z134" s="653"/>
      <c r="AA134" s="651">
        <f t="array" ref="AA134">IFERROR(INDEX('HIV-Pharmaceuticals'!$U$107:$U$192,MATCH($E134&amp;$F134,'HIV-Pharmaceuticals'!$E$107:$E$192&amp;'HIV-Pharmaceuticals'!$I$107:$I$192,0)),0)</f>
        <v>0</v>
      </c>
      <c r="AB134" s="651">
        <f t="array" ref="AB134">IFERROR(INDEX('HIV-Pharmaceuticals'!$V$107:$V$192,MATCH($E134&amp;$F134,'HIV-Pharmaceuticals'!$E$107:$E$192&amp;'HIV-Pharmaceuticals'!$I$107:$I$192,0)),0)</f>
        <v>0</v>
      </c>
      <c r="AC134" s="651">
        <f t="shared" si="84"/>
        <v>0</v>
      </c>
      <c r="AD134" s="652">
        <f t="shared" si="85"/>
        <v>0</v>
      </c>
      <c r="AE134" s="652">
        <f t="shared" si="86"/>
        <v>0</v>
      </c>
      <c r="AF134" s="651">
        <f t="array" ref="AF134">IFERROR(INDEX('HIV-Pharmaceuticals'!$W$107:$W$192,MATCH($E134&amp;$F134,'HIV-Pharmaceuticals'!$E$107:$E$192&amp;'HIV-Pharmaceuticals'!$I$107:$I$192,0)),0)</f>
        <v>0</v>
      </c>
      <c r="AG134" s="651">
        <f t="shared" si="87"/>
        <v>0</v>
      </c>
      <c r="AH134" s="652">
        <f t="shared" si="88"/>
        <v>0</v>
      </c>
      <c r="AI134" s="652">
        <f t="shared" si="89"/>
        <v>0</v>
      </c>
      <c r="AJ134" s="651">
        <f t="array" ref="AJ134">IFERROR(INDEX('HIV-Pharmaceuticals'!$X$107:$X$192,MATCH($E134&amp;$F134,'HIV-Pharmaceuticals'!$E$107:$E$192&amp;'HIV-Pharmaceuticals'!$I$107:$I$192,0)),0)</f>
        <v>0</v>
      </c>
      <c r="AK134" s="651">
        <f t="shared" si="90"/>
        <v>0</v>
      </c>
      <c r="AL134" s="652">
        <f t="shared" si="91"/>
        <v>0</v>
      </c>
      <c r="AM134" s="652">
        <f t="shared" si="92"/>
        <v>0</v>
      </c>
      <c r="AN134" s="651">
        <f t="array" ref="AN134">IFERROR(INDEX('HIV-Pharmaceuticals'!$Y$107:$Y$192,MATCH($E134&amp;$F134,'HIV-Pharmaceuticals'!$E$107:$E$192&amp;'HIV-Pharmaceuticals'!$I$107:$I$192,0)),0)</f>
        <v>0</v>
      </c>
      <c r="AO134" s="651">
        <f t="shared" si="93"/>
        <v>0</v>
      </c>
      <c r="AP134" s="652">
        <f t="shared" si="94"/>
        <v>0</v>
      </c>
      <c r="AQ134" s="652">
        <f t="shared" si="95"/>
        <v>0</v>
      </c>
      <c r="AR134" s="653"/>
      <c r="AS134" s="651">
        <f t="array" ref="AS134">IFERROR(INDEX('HIV-Pharmaceuticals'!$AB$107:$AB$192,MATCH($E134&amp;$F134,'HIV-Pharmaceuticals'!$E$107:$E$192&amp;'HIV-Pharmaceuticals'!$I$107:$I$192,0)),0)</f>
        <v>0</v>
      </c>
      <c r="AT134" s="651">
        <f t="array" ref="AT134">IFERROR(INDEX('HIV-Pharmaceuticals'!$AC$107:$AC$192,MATCH($E134&amp;$F134,'HIV-Pharmaceuticals'!$E$107:$E$192&amp;'HIV-Pharmaceuticals'!$I$107:$I$192,0)),0)</f>
        <v>0</v>
      </c>
      <c r="AU134" s="651">
        <f t="shared" si="96"/>
        <v>0</v>
      </c>
      <c r="AV134" s="652">
        <f t="shared" si="97"/>
        <v>0</v>
      </c>
      <c r="AW134" s="652">
        <f t="shared" si="98"/>
        <v>0</v>
      </c>
      <c r="AX134" s="651">
        <f t="array" ref="AX134">IFERROR(INDEX('HIV-Pharmaceuticals'!$AD$107:$AD$192,MATCH($E134&amp;$F134,'HIV-Pharmaceuticals'!$E$107:$E$192&amp;'HIV-Pharmaceuticals'!$I$107:$I$192,0)),0)</f>
        <v>0</v>
      </c>
      <c r="AY134" s="651">
        <f t="shared" si="99"/>
        <v>0</v>
      </c>
      <c r="AZ134" s="652">
        <f t="shared" si="100"/>
        <v>0</v>
      </c>
      <c r="BA134" s="652">
        <f t="shared" si="101"/>
        <v>0</v>
      </c>
      <c r="BB134" s="651">
        <f t="array" ref="BB134">IFERROR(INDEX('HIV-Pharmaceuticals'!$AE$107:$AE$192,MATCH($E134&amp;$F134,'HIV-Pharmaceuticals'!$E$107:$E$192&amp;'HIV-Pharmaceuticals'!$I$107:$I$192,0)),0)</f>
        <v>0</v>
      </c>
      <c r="BC134" s="651">
        <f t="shared" si="102"/>
        <v>0</v>
      </c>
      <c r="BD134" s="652">
        <f t="shared" si="103"/>
        <v>0</v>
      </c>
      <c r="BE134" s="652">
        <f t="shared" si="104"/>
        <v>0</v>
      </c>
      <c r="BF134" s="651">
        <f t="array" ref="BF134">IFERROR(INDEX('HIV-Pharmaceuticals'!$AF$107:$AF$192,MATCH($E134&amp;$F134,'HIV-Pharmaceuticals'!$E$107:$E$192&amp;'HIV-Pharmaceuticals'!$I$107:$I$192,0)),0)</f>
        <v>0</v>
      </c>
      <c r="BG134" s="651">
        <f t="shared" si="105"/>
        <v>0</v>
      </c>
      <c r="BH134" s="652">
        <f t="shared" si="106"/>
        <v>0</v>
      </c>
      <c r="BI134" s="652">
        <f t="shared" si="107"/>
        <v>0</v>
      </c>
      <c r="BK134" s="654"/>
      <c r="BL134" s="654"/>
      <c r="BM134" s="654"/>
      <c r="BN134" s="654"/>
      <c r="BO134" s="654"/>
      <c r="BP134" s="654"/>
      <c r="BQ134" s="654"/>
      <c r="BR134" s="654"/>
    </row>
    <row r="135" spans="1:70">
      <c r="A135" s="647" t="s">
        <v>1317</v>
      </c>
      <c r="B135" s="647" t="s">
        <v>2282</v>
      </c>
      <c r="C135" s="648">
        <f>SETUP!$F$22</f>
        <v>0</v>
      </c>
      <c r="D135" s="649">
        <v>4.7</v>
      </c>
      <c r="E135" s="647" t="s">
        <v>1323</v>
      </c>
      <c r="F135" s="647" t="s">
        <v>1409</v>
      </c>
      <c r="G135" s="650" t="str">
        <f t="array" ref="G135">IFERROR(INDEX('HIV-Pharmaceuticals'!$L$107:$L$192,MATCH($E135&amp;$F135,'HIV-Pharmaceuticals'!$E$107:$E$192&amp;'HIV-Pharmaceuticals'!$I$107:$I$192,0)),"")</f>
        <v/>
      </c>
      <c r="H135" s="650" t="str">
        <f t="array" ref="H135">IFERROR(INDEX('HIV-Pharmaceuticals'!$M$107:$M$192,MATCH($E135&amp;$F135,'HIV-Pharmaceuticals'!$E$107:$E$192&amp;'HIV-Pharmaceuticals'!$I$107:$I$192,0)),"")</f>
        <v/>
      </c>
      <c r="I135" s="651">
        <f t="array" ref="I135">IFERROR(INDEX('HIV-Pharmaceuticals'!$N$107:$N$192,MATCH($E135&amp;$F135,'HIV-Pharmaceuticals'!$E$107:$E$192&amp;'HIV-Pharmaceuticals'!$I$107:$I$192,0)),0)</f>
        <v>0</v>
      </c>
      <c r="J135" s="651">
        <f t="array" ref="J135">IFERROR(INDEX('HIV-Pharmaceuticals'!$O$107:$O$192,MATCH($E135&amp;$F135,'HIV-Pharmaceuticals'!$E$107:$E$192&amp;'HIV-Pharmaceuticals'!$I$107:$I$192,0)),0)</f>
        <v>0</v>
      </c>
      <c r="K135" s="652">
        <f t="shared" si="72"/>
        <v>0</v>
      </c>
      <c r="L135" s="652">
        <f t="shared" si="73"/>
        <v>0</v>
      </c>
      <c r="M135" s="652">
        <f t="shared" si="74"/>
        <v>0</v>
      </c>
      <c r="N135" s="651">
        <f t="array" ref="N135">IFERROR(INDEX('HIV-Pharmaceuticals'!$P$107:$P$192,MATCH($E135&amp;$F135,'HIV-Pharmaceuticals'!$E$107:$E$192&amp;'HIV-Pharmaceuticals'!$I$107:$I$192,0)),0)</f>
        <v>0</v>
      </c>
      <c r="O135" s="652">
        <f t="shared" si="75"/>
        <v>0</v>
      </c>
      <c r="P135" s="652">
        <f t="shared" si="76"/>
        <v>0</v>
      </c>
      <c r="Q135" s="652">
        <f t="shared" si="77"/>
        <v>0</v>
      </c>
      <c r="R135" s="651">
        <f t="array" ref="R135">IFERROR(INDEX('HIV-Pharmaceuticals'!$Q$107:$Q$192,MATCH($E135&amp;$F135,'HIV-Pharmaceuticals'!$E$107:$E$192&amp;'HIV-Pharmaceuticals'!$I$107:$I$192,0)),0)</f>
        <v>0</v>
      </c>
      <c r="S135" s="652">
        <f t="shared" si="78"/>
        <v>0</v>
      </c>
      <c r="T135" s="652">
        <f t="shared" si="79"/>
        <v>0</v>
      </c>
      <c r="U135" s="652">
        <f t="shared" si="80"/>
        <v>0</v>
      </c>
      <c r="V135" s="651">
        <f t="array" ref="V135">IFERROR(INDEX('HIV-Pharmaceuticals'!$R$107:$R$192,MATCH($E135&amp;$F135,'HIV-Pharmaceuticals'!$E$107:$E$192&amp;'HIV-Pharmaceuticals'!$I$107:$I$192,0)),0)</f>
        <v>0</v>
      </c>
      <c r="W135" s="652">
        <f t="shared" si="81"/>
        <v>0</v>
      </c>
      <c r="X135" s="652">
        <f t="shared" si="82"/>
        <v>0</v>
      </c>
      <c r="Y135" s="652">
        <f t="shared" si="83"/>
        <v>0</v>
      </c>
      <c r="Z135" s="653"/>
      <c r="AA135" s="651">
        <f t="array" ref="AA135">IFERROR(INDEX('HIV-Pharmaceuticals'!$U$107:$U$192,MATCH($E135&amp;$F135,'HIV-Pharmaceuticals'!$E$107:$E$192&amp;'HIV-Pharmaceuticals'!$I$107:$I$192,0)),0)</f>
        <v>0</v>
      </c>
      <c r="AB135" s="651">
        <f t="array" ref="AB135">IFERROR(INDEX('HIV-Pharmaceuticals'!$V$107:$V$192,MATCH($E135&amp;$F135,'HIV-Pharmaceuticals'!$E$107:$E$192&amp;'HIV-Pharmaceuticals'!$I$107:$I$192,0)),0)</f>
        <v>0</v>
      </c>
      <c r="AC135" s="651">
        <f t="shared" si="84"/>
        <v>0</v>
      </c>
      <c r="AD135" s="652">
        <f t="shared" si="85"/>
        <v>0</v>
      </c>
      <c r="AE135" s="652">
        <f t="shared" si="86"/>
        <v>0</v>
      </c>
      <c r="AF135" s="651">
        <f t="array" ref="AF135">IFERROR(INDEX('HIV-Pharmaceuticals'!$W$107:$W$192,MATCH($E135&amp;$F135,'HIV-Pharmaceuticals'!$E$107:$E$192&amp;'HIV-Pharmaceuticals'!$I$107:$I$192,0)),0)</f>
        <v>0</v>
      </c>
      <c r="AG135" s="651">
        <f t="shared" si="87"/>
        <v>0</v>
      </c>
      <c r="AH135" s="652">
        <f t="shared" si="88"/>
        <v>0</v>
      </c>
      <c r="AI135" s="652">
        <f t="shared" si="89"/>
        <v>0</v>
      </c>
      <c r="AJ135" s="651">
        <f t="array" ref="AJ135">IFERROR(INDEX('HIV-Pharmaceuticals'!$X$107:$X$192,MATCH($E135&amp;$F135,'HIV-Pharmaceuticals'!$E$107:$E$192&amp;'HIV-Pharmaceuticals'!$I$107:$I$192,0)),0)</f>
        <v>0</v>
      </c>
      <c r="AK135" s="651">
        <f t="shared" si="90"/>
        <v>0</v>
      </c>
      <c r="AL135" s="652">
        <f t="shared" si="91"/>
        <v>0</v>
      </c>
      <c r="AM135" s="652">
        <f t="shared" si="92"/>
        <v>0</v>
      </c>
      <c r="AN135" s="651">
        <f t="array" ref="AN135">IFERROR(INDEX('HIV-Pharmaceuticals'!$Y$107:$Y$192,MATCH($E135&amp;$F135,'HIV-Pharmaceuticals'!$E$107:$E$192&amp;'HIV-Pharmaceuticals'!$I$107:$I$192,0)),0)</f>
        <v>0</v>
      </c>
      <c r="AO135" s="651">
        <f t="shared" si="93"/>
        <v>0</v>
      </c>
      <c r="AP135" s="652">
        <f t="shared" si="94"/>
        <v>0</v>
      </c>
      <c r="AQ135" s="652">
        <f t="shared" si="95"/>
        <v>0</v>
      </c>
      <c r="AR135" s="653"/>
      <c r="AS135" s="651">
        <f t="array" ref="AS135">IFERROR(INDEX('HIV-Pharmaceuticals'!$AB$107:$AB$192,MATCH($E135&amp;$F135,'HIV-Pharmaceuticals'!$E$107:$E$192&amp;'HIV-Pharmaceuticals'!$I$107:$I$192,0)),0)</f>
        <v>0</v>
      </c>
      <c r="AT135" s="651">
        <f t="array" ref="AT135">IFERROR(INDEX('HIV-Pharmaceuticals'!$AC$107:$AC$192,MATCH($E135&amp;$F135,'HIV-Pharmaceuticals'!$E$107:$E$192&amp;'HIV-Pharmaceuticals'!$I$107:$I$192,0)),0)</f>
        <v>0</v>
      </c>
      <c r="AU135" s="651">
        <f t="shared" si="96"/>
        <v>0</v>
      </c>
      <c r="AV135" s="652">
        <f t="shared" si="97"/>
        <v>0</v>
      </c>
      <c r="AW135" s="652">
        <f t="shared" si="98"/>
        <v>0</v>
      </c>
      <c r="AX135" s="651">
        <f t="array" ref="AX135">IFERROR(INDEX('HIV-Pharmaceuticals'!$AD$107:$AD$192,MATCH($E135&amp;$F135,'HIV-Pharmaceuticals'!$E$107:$E$192&amp;'HIV-Pharmaceuticals'!$I$107:$I$192,0)),0)</f>
        <v>0</v>
      </c>
      <c r="AY135" s="651">
        <f t="shared" si="99"/>
        <v>0</v>
      </c>
      <c r="AZ135" s="652">
        <f t="shared" si="100"/>
        <v>0</v>
      </c>
      <c r="BA135" s="652">
        <f t="shared" si="101"/>
        <v>0</v>
      </c>
      <c r="BB135" s="651">
        <f t="array" ref="BB135">IFERROR(INDEX('HIV-Pharmaceuticals'!$AE$107:$AE$192,MATCH($E135&amp;$F135,'HIV-Pharmaceuticals'!$E$107:$E$192&amp;'HIV-Pharmaceuticals'!$I$107:$I$192,0)),0)</f>
        <v>0</v>
      </c>
      <c r="BC135" s="651">
        <f t="shared" si="102"/>
        <v>0</v>
      </c>
      <c r="BD135" s="652">
        <f t="shared" si="103"/>
        <v>0</v>
      </c>
      <c r="BE135" s="652">
        <f t="shared" si="104"/>
        <v>0</v>
      </c>
      <c r="BF135" s="651">
        <f t="array" ref="BF135">IFERROR(INDEX('HIV-Pharmaceuticals'!$AF$107:$AF$192,MATCH($E135&amp;$F135,'HIV-Pharmaceuticals'!$E$107:$E$192&amp;'HIV-Pharmaceuticals'!$I$107:$I$192,0)),0)</f>
        <v>0</v>
      </c>
      <c r="BG135" s="651">
        <f t="shared" si="105"/>
        <v>0</v>
      </c>
      <c r="BH135" s="652">
        <f t="shared" si="106"/>
        <v>0</v>
      </c>
      <c r="BI135" s="652">
        <f t="shared" si="107"/>
        <v>0</v>
      </c>
      <c r="BK135" s="654"/>
      <c r="BL135" s="654"/>
      <c r="BM135" s="654"/>
      <c r="BN135" s="654"/>
      <c r="BO135" s="654"/>
      <c r="BP135" s="654"/>
      <c r="BQ135" s="654"/>
      <c r="BR135" s="654"/>
    </row>
    <row r="136" spans="1:70">
      <c r="A136" s="647" t="s">
        <v>1317</v>
      </c>
      <c r="B136" s="647" t="s">
        <v>2282</v>
      </c>
      <c r="C136" s="648">
        <f>SETUP!$F$22</f>
        <v>0</v>
      </c>
      <c r="D136" s="649">
        <v>4.7</v>
      </c>
      <c r="E136" s="647" t="s">
        <v>1323</v>
      </c>
      <c r="F136" s="647" t="s">
        <v>1410</v>
      </c>
      <c r="G136" s="650" t="str">
        <f t="array" ref="G136">IFERROR(INDEX('HIV-Pharmaceuticals'!$L$107:$L$192,MATCH($E136&amp;$F136,'HIV-Pharmaceuticals'!$E$107:$E$192&amp;'HIV-Pharmaceuticals'!$I$107:$I$192,0)),"")</f>
        <v/>
      </c>
      <c r="H136" s="650" t="str">
        <f t="array" ref="H136">IFERROR(INDEX('HIV-Pharmaceuticals'!$M$107:$M$192,MATCH($E136&amp;$F136,'HIV-Pharmaceuticals'!$E$107:$E$192&amp;'HIV-Pharmaceuticals'!$I$107:$I$192,0)),"")</f>
        <v/>
      </c>
      <c r="I136" s="651">
        <f t="array" ref="I136">IFERROR(INDEX('HIV-Pharmaceuticals'!$N$107:$N$192,MATCH($E136&amp;$F136,'HIV-Pharmaceuticals'!$E$107:$E$192&amp;'HIV-Pharmaceuticals'!$I$107:$I$192,0)),0)</f>
        <v>0</v>
      </c>
      <c r="J136" s="651">
        <f t="array" ref="J136">IFERROR(INDEX('HIV-Pharmaceuticals'!$O$107:$O$192,MATCH($E136&amp;$F136,'HIV-Pharmaceuticals'!$E$107:$E$192&amp;'HIV-Pharmaceuticals'!$I$107:$I$192,0)),0)</f>
        <v>0</v>
      </c>
      <c r="K136" s="652">
        <f t="shared" si="72"/>
        <v>0</v>
      </c>
      <c r="L136" s="652">
        <f t="shared" si="73"/>
        <v>0</v>
      </c>
      <c r="M136" s="652">
        <f t="shared" si="74"/>
        <v>0</v>
      </c>
      <c r="N136" s="651">
        <f t="array" ref="N136">IFERROR(INDEX('HIV-Pharmaceuticals'!$P$107:$P$192,MATCH($E136&amp;$F136,'HIV-Pharmaceuticals'!$E$107:$E$192&amp;'HIV-Pharmaceuticals'!$I$107:$I$192,0)),0)</f>
        <v>0</v>
      </c>
      <c r="O136" s="652">
        <f t="shared" si="75"/>
        <v>0</v>
      </c>
      <c r="P136" s="652">
        <f t="shared" si="76"/>
        <v>0</v>
      </c>
      <c r="Q136" s="652">
        <f t="shared" si="77"/>
        <v>0</v>
      </c>
      <c r="R136" s="651">
        <f t="array" ref="R136">IFERROR(INDEX('HIV-Pharmaceuticals'!$Q$107:$Q$192,MATCH($E136&amp;$F136,'HIV-Pharmaceuticals'!$E$107:$E$192&amp;'HIV-Pharmaceuticals'!$I$107:$I$192,0)),0)</f>
        <v>0</v>
      </c>
      <c r="S136" s="652">
        <f t="shared" si="78"/>
        <v>0</v>
      </c>
      <c r="T136" s="652">
        <f t="shared" si="79"/>
        <v>0</v>
      </c>
      <c r="U136" s="652">
        <f t="shared" si="80"/>
        <v>0</v>
      </c>
      <c r="V136" s="651">
        <f t="array" ref="V136">IFERROR(INDEX('HIV-Pharmaceuticals'!$R$107:$R$192,MATCH($E136&amp;$F136,'HIV-Pharmaceuticals'!$E$107:$E$192&amp;'HIV-Pharmaceuticals'!$I$107:$I$192,0)),0)</f>
        <v>0</v>
      </c>
      <c r="W136" s="652">
        <f t="shared" si="81"/>
        <v>0</v>
      </c>
      <c r="X136" s="652">
        <f t="shared" si="82"/>
        <v>0</v>
      </c>
      <c r="Y136" s="652">
        <f t="shared" si="83"/>
        <v>0</v>
      </c>
      <c r="Z136" s="653"/>
      <c r="AA136" s="651">
        <f t="array" ref="AA136">IFERROR(INDEX('HIV-Pharmaceuticals'!$U$107:$U$192,MATCH($E136&amp;$F136,'HIV-Pharmaceuticals'!$E$107:$E$192&amp;'HIV-Pharmaceuticals'!$I$107:$I$192,0)),0)</f>
        <v>0</v>
      </c>
      <c r="AB136" s="651">
        <f t="array" ref="AB136">IFERROR(INDEX('HIV-Pharmaceuticals'!$V$107:$V$192,MATCH($E136&amp;$F136,'HIV-Pharmaceuticals'!$E$107:$E$192&amp;'HIV-Pharmaceuticals'!$I$107:$I$192,0)),0)</f>
        <v>0</v>
      </c>
      <c r="AC136" s="651">
        <f t="shared" si="84"/>
        <v>0</v>
      </c>
      <c r="AD136" s="652">
        <f t="shared" si="85"/>
        <v>0</v>
      </c>
      <c r="AE136" s="652">
        <f t="shared" si="86"/>
        <v>0</v>
      </c>
      <c r="AF136" s="651">
        <f t="array" ref="AF136">IFERROR(INDEX('HIV-Pharmaceuticals'!$W$107:$W$192,MATCH($E136&amp;$F136,'HIV-Pharmaceuticals'!$E$107:$E$192&amp;'HIV-Pharmaceuticals'!$I$107:$I$192,0)),0)</f>
        <v>0</v>
      </c>
      <c r="AG136" s="651">
        <f t="shared" si="87"/>
        <v>0</v>
      </c>
      <c r="AH136" s="652">
        <f t="shared" si="88"/>
        <v>0</v>
      </c>
      <c r="AI136" s="652">
        <f t="shared" si="89"/>
        <v>0</v>
      </c>
      <c r="AJ136" s="651">
        <f t="array" ref="AJ136">IFERROR(INDEX('HIV-Pharmaceuticals'!$X$107:$X$192,MATCH($E136&amp;$F136,'HIV-Pharmaceuticals'!$E$107:$E$192&amp;'HIV-Pharmaceuticals'!$I$107:$I$192,0)),0)</f>
        <v>0</v>
      </c>
      <c r="AK136" s="651">
        <f t="shared" si="90"/>
        <v>0</v>
      </c>
      <c r="AL136" s="652">
        <f t="shared" si="91"/>
        <v>0</v>
      </c>
      <c r="AM136" s="652">
        <f t="shared" si="92"/>
        <v>0</v>
      </c>
      <c r="AN136" s="651">
        <f t="array" ref="AN136">IFERROR(INDEX('HIV-Pharmaceuticals'!$Y$107:$Y$192,MATCH($E136&amp;$F136,'HIV-Pharmaceuticals'!$E$107:$E$192&amp;'HIV-Pharmaceuticals'!$I$107:$I$192,0)),0)</f>
        <v>0</v>
      </c>
      <c r="AO136" s="651">
        <f t="shared" si="93"/>
        <v>0</v>
      </c>
      <c r="AP136" s="652">
        <f t="shared" si="94"/>
        <v>0</v>
      </c>
      <c r="AQ136" s="652">
        <f t="shared" si="95"/>
        <v>0</v>
      </c>
      <c r="AR136" s="653"/>
      <c r="AS136" s="651">
        <f t="array" ref="AS136">IFERROR(INDEX('HIV-Pharmaceuticals'!$AB$107:$AB$192,MATCH($E136&amp;$F136,'HIV-Pharmaceuticals'!$E$107:$E$192&amp;'HIV-Pharmaceuticals'!$I$107:$I$192,0)),0)</f>
        <v>0</v>
      </c>
      <c r="AT136" s="651">
        <f t="array" ref="AT136">IFERROR(INDEX('HIV-Pharmaceuticals'!$AC$107:$AC$192,MATCH($E136&amp;$F136,'HIV-Pharmaceuticals'!$E$107:$E$192&amp;'HIV-Pharmaceuticals'!$I$107:$I$192,0)),0)</f>
        <v>0</v>
      </c>
      <c r="AU136" s="651">
        <f t="shared" si="96"/>
        <v>0</v>
      </c>
      <c r="AV136" s="652">
        <f t="shared" si="97"/>
        <v>0</v>
      </c>
      <c r="AW136" s="652">
        <f t="shared" si="98"/>
        <v>0</v>
      </c>
      <c r="AX136" s="651">
        <f t="array" ref="AX136">IFERROR(INDEX('HIV-Pharmaceuticals'!$AD$107:$AD$192,MATCH($E136&amp;$F136,'HIV-Pharmaceuticals'!$E$107:$E$192&amp;'HIV-Pharmaceuticals'!$I$107:$I$192,0)),0)</f>
        <v>0</v>
      </c>
      <c r="AY136" s="651">
        <f t="shared" si="99"/>
        <v>0</v>
      </c>
      <c r="AZ136" s="652">
        <f t="shared" si="100"/>
        <v>0</v>
      </c>
      <c r="BA136" s="652">
        <f t="shared" si="101"/>
        <v>0</v>
      </c>
      <c r="BB136" s="651">
        <f t="array" ref="BB136">IFERROR(INDEX('HIV-Pharmaceuticals'!$AE$107:$AE$192,MATCH($E136&amp;$F136,'HIV-Pharmaceuticals'!$E$107:$E$192&amp;'HIV-Pharmaceuticals'!$I$107:$I$192,0)),0)</f>
        <v>0</v>
      </c>
      <c r="BC136" s="651">
        <f t="shared" si="102"/>
        <v>0</v>
      </c>
      <c r="BD136" s="652">
        <f t="shared" si="103"/>
        <v>0</v>
      </c>
      <c r="BE136" s="652">
        <f t="shared" si="104"/>
        <v>0</v>
      </c>
      <c r="BF136" s="651">
        <f t="array" ref="BF136">IFERROR(INDEX('HIV-Pharmaceuticals'!$AF$107:$AF$192,MATCH($E136&amp;$F136,'HIV-Pharmaceuticals'!$E$107:$E$192&amp;'HIV-Pharmaceuticals'!$I$107:$I$192,0)),0)</f>
        <v>0</v>
      </c>
      <c r="BG136" s="651">
        <f t="shared" si="105"/>
        <v>0</v>
      </c>
      <c r="BH136" s="652">
        <f t="shared" si="106"/>
        <v>0</v>
      </c>
      <c r="BI136" s="652">
        <f t="shared" si="107"/>
        <v>0</v>
      </c>
      <c r="BK136" s="654"/>
      <c r="BL136" s="654"/>
      <c r="BM136" s="654"/>
      <c r="BN136" s="654"/>
      <c r="BO136" s="654"/>
      <c r="BP136" s="654"/>
      <c r="BQ136" s="654"/>
      <c r="BR136" s="654"/>
    </row>
    <row r="137" spans="1:70">
      <c r="A137" s="647" t="s">
        <v>1317</v>
      </c>
      <c r="B137" s="647" t="s">
        <v>2282</v>
      </c>
      <c r="C137" s="648">
        <f>SETUP!$F$22</f>
        <v>0</v>
      </c>
      <c r="D137" s="649">
        <v>4.7</v>
      </c>
      <c r="E137" s="647" t="s">
        <v>1323</v>
      </c>
      <c r="F137" s="647" t="s">
        <v>1411</v>
      </c>
      <c r="G137" s="650" t="str">
        <f t="array" ref="G137">IFERROR(INDEX('HIV-Pharmaceuticals'!$L$107:$L$192,MATCH($E137&amp;$F137,'HIV-Pharmaceuticals'!$E$107:$E$192&amp;'HIV-Pharmaceuticals'!$I$107:$I$192,0)),"")</f>
        <v/>
      </c>
      <c r="H137" s="650" t="str">
        <f t="array" ref="H137">IFERROR(INDEX('HIV-Pharmaceuticals'!$M$107:$M$192,MATCH($E137&amp;$F137,'HIV-Pharmaceuticals'!$E$107:$E$192&amp;'HIV-Pharmaceuticals'!$I$107:$I$192,0)),"")</f>
        <v/>
      </c>
      <c r="I137" s="651">
        <f t="array" ref="I137">IFERROR(INDEX('HIV-Pharmaceuticals'!$N$107:$N$192,MATCH($E137&amp;$F137,'HIV-Pharmaceuticals'!$E$107:$E$192&amp;'HIV-Pharmaceuticals'!$I$107:$I$192,0)),0)</f>
        <v>0</v>
      </c>
      <c r="J137" s="651">
        <f t="array" ref="J137">IFERROR(INDEX('HIV-Pharmaceuticals'!$O$107:$O$192,MATCH($E137&amp;$F137,'HIV-Pharmaceuticals'!$E$107:$E$192&amp;'HIV-Pharmaceuticals'!$I$107:$I$192,0)),0)</f>
        <v>0</v>
      </c>
      <c r="K137" s="652">
        <f t="shared" si="72"/>
        <v>0</v>
      </c>
      <c r="L137" s="652">
        <f t="shared" si="73"/>
        <v>0</v>
      </c>
      <c r="M137" s="652">
        <f t="shared" si="74"/>
        <v>0</v>
      </c>
      <c r="N137" s="651">
        <f t="array" ref="N137">IFERROR(INDEX('HIV-Pharmaceuticals'!$P$107:$P$192,MATCH($E137&amp;$F137,'HIV-Pharmaceuticals'!$E$107:$E$192&amp;'HIV-Pharmaceuticals'!$I$107:$I$192,0)),0)</f>
        <v>0</v>
      </c>
      <c r="O137" s="652">
        <f t="shared" si="75"/>
        <v>0</v>
      </c>
      <c r="P137" s="652">
        <f t="shared" si="76"/>
        <v>0</v>
      </c>
      <c r="Q137" s="652">
        <f t="shared" si="77"/>
        <v>0</v>
      </c>
      <c r="R137" s="651">
        <f t="array" ref="R137">IFERROR(INDEX('HIV-Pharmaceuticals'!$Q$107:$Q$192,MATCH($E137&amp;$F137,'HIV-Pharmaceuticals'!$E$107:$E$192&amp;'HIV-Pharmaceuticals'!$I$107:$I$192,0)),0)</f>
        <v>0</v>
      </c>
      <c r="S137" s="652">
        <f t="shared" si="78"/>
        <v>0</v>
      </c>
      <c r="T137" s="652">
        <f t="shared" si="79"/>
        <v>0</v>
      </c>
      <c r="U137" s="652">
        <f t="shared" si="80"/>
        <v>0</v>
      </c>
      <c r="V137" s="651">
        <f t="array" ref="V137">IFERROR(INDEX('HIV-Pharmaceuticals'!$R$107:$R$192,MATCH($E137&amp;$F137,'HIV-Pharmaceuticals'!$E$107:$E$192&amp;'HIV-Pharmaceuticals'!$I$107:$I$192,0)),0)</f>
        <v>0</v>
      </c>
      <c r="W137" s="652">
        <f t="shared" si="81"/>
        <v>0</v>
      </c>
      <c r="X137" s="652">
        <f t="shared" si="82"/>
        <v>0</v>
      </c>
      <c r="Y137" s="652">
        <f t="shared" si="83"/>
        <v>0</v>
      </c>
      <c r="Z137" s="653"/>
      <c r="AA137" s="651">
        <f t="array" ref="AA137">IFERROR(INDEX('HIV-Pharmaceuticals'!$U$107:$U$192,MATCH($E137&amp;$F137,'HIV-Pharmaceuticals'!$E$107:$E$192&amp;'HIV-Pharmaceuticals'!$I$107:$I$192,0)),0)</f>
        <v>0</v>
      </c>
      <c r="AB137" s="651">
        <f t="array" ref="AB137">IFERROR(INDEX('HIV-Pharmaceuticals'!$V$107:$V$192,MATCH($E137&amp;$F137,'HIV-Pharmaceuticals'!$E$107:$E$192&amp;'HIV-Pharmaceuticals'!$I$107:$I$192,0)),0)</f>
        <v>0</v>
      </c>
      <c r="AC137" s="651">
        <f t="shared" si="84"/>
        <v>0</v>
      </c>
      <c r="AD137" s="652">
        <f t="shared" si="85"/>
        <v>0</v>
      </c>
      <c r="AE137" s="652">
        <f t="shared" si="86"/>
        <v>0</v>
      </c>
      <c r="AF137" s="651">
        <f t="array" ref="AF137">IFERROR(INDEX('HIV-Pharmaceuticals'!$W$107:$W$192,MATCH($E137&amp;$F137,'HIV-Pharmaceuticals'!$E$107:$E$192&amp;'HIV-Pharmaceuticals'!$I$107:$I$192,0)),0)</f>
        <v>0</v>
      </c>
      <c r="AG137" s="651">
        <f t="shared" si="87"/>
        <v>0</v>
      </c>
      <c r="AH137" s="652">
        <f t="shared" si="88"/>
        <v>0</v>
      </c>
      <c r="AI137" s="652">
        <f t="shared" si="89"/>
        <v>0</v>
      </c>
      <c r="AJ137" s="651">
        <f t="array" ref="AJ137">IFERROR(INDEX('HIV-Pharmaceuticals'!$X$107:$X$192,MATCH($E137&amp;$F137,'HIV-Pharmaceuticals'!$E$107:$E$192&amp;'HIV-Pharmaceuticals'!$I$107:$I$192,0)),0)</f>
        <v>0</v>
      </c>
      <c r="AK137" s="651">
        <f t="shared" si="90"/>
        <v>0</v>
      </c>
      <c r="AL137" s="652">
        <f t="shared" si="91"/>
        <v>0</v>
      </c>
      <c r="AM137" s="652">
        <f t="shared" si="92"/>
        <v>0</v>
      </c>
      <c r="AN137" s="651">
        <f t="array" ref="AN137">IFERROR(INDEX('HIV-Pharmaceuticals'!$Y$107:$Y$192,MATCH($E137&amp;$F137,'HIV-Pharmaceuticals'!$E$107:$E$192&amp;'HIV-Pharmaceuticals'!$I$107:$I$192,0)),0)</f>
        <v>0</v>
      </c>
      <c r="AO137" s="651">
        <f t="shared" si="93"/>
        <v>0</v>
      </c>
      <c r="AP137" s="652">
        <f t="shared" si="94"/>
        <v>0</v>
      </c>
      <c r="AQ137" s="652">
        <f t="shared" si="95"/>
        <v>0</v>
      </c>
      <c r="AR137" s="653"/>
      <c r="AS137" s="651">
        <f t="array" ref="AS137">IFERROR(INDEX('HIV-Pharmaceuticals'!$AB$107:$AB$192,MATCH($E137&amp;$F137,'HIV-Pharmaceuticals'!$E$107:$E$192&amp;'HIV-Pharmaceuticals'!$I$107:$I$192,0)),0)</f>
        <v>0</v>
      </c>
      <c r="AT137" s="651">
        <f t="array" ref="AT137">IFERROR(INDEX('HIV-Pharmaceuticals'!$AC$107:$AC$192,MATCH($E137&amp;$F137,'HIV-Pharmaceuticals'!$E$107:$E$192&amp;'HIV-Pharmaceuticals'!$I$107:$I$192,0)),0)</f>
        <v>0</v>
      </c>
      <c r="AU137" s="651">
        <f t="shared" si="96"/>
        <v>0</v>
      </c>
      <c r="AV137" s="652">
        <f t="shared" si="97"/>
        <v>0</v>
      </c>
      <c r="AW137" s="652">
        <f t="shared" si="98"/>
        <v>0</v>
      </c>
      <c r="AX137" s="651">
        <f t="array" ref="AX137">IFERROR(INDEX('HIV-Pharmaceuticals'!$AD$107:$AD$192,MATCH($E137&amp;$F137,'HIV-Pharmaceuticals'!$E$107:$E$192&amp;'HIV-Pharmaceuticals'!$I$107:$I$192,0)),0)</f>
        <v>0</v>
      </c>
      <c r="AY137" s="651">
        <f t="shared" si="99"/>
        <v>0</v>
      </c>
      <c r="AZ137" s="652">
        <f t="shared" si="100"/>
        <v>0</v>
      </c>
      <c r="BA137" s="652">
        <f t="shared" si="101"/>
        <v>0</v>
      </c>
      <c r="BB137" s="651">
        <f t="array" ref="BB137">IFERROR(INDEX('HIV-Pharmaceuticals'!$AE$107:$AE$192,MATCH($E137&amp;$F137,'HIV-Pharmaceuticals'!$E$107:$E$192&amp;'HIV-Pharmaceuticals'!$I$107:$I$192,0)),0)</f>
        <v>0</v>
      </c>
      <c r="BC137" s="651">
        <f t="shared" si="102"/>
        <v>0</v>
      </c>
      <c r="BD137" s="652">
        <f t="shared" si="103"/>
        <v>0</v>
      </c>
      <c r="BE137" s="652">
        <f t="shared" si="104"/>
        <v>0</v>
      </c>
      <c r="BF137" s="651">
        <f t="array" ref="BF137">IFERROR(INDEX('HIV-Pharmaceuticals'!$AF$107:$AF$192,MATCH($E137&amp;$F137,'HIV-Pharmaceuticals'!$E$107:$E$192&amp;'HIV-Pharmaceuticals'!$I$107:$I$192,0)),0)</f>
        <v>0</v>
      </c>
      <c r="BG137" s="651">
        <f t="shared" si="105"/>
        <v>0</v>
      </c>
      <c r="BH137" s="652">
        <f t="shared" si="106"/>
        <v>0</v>
      </c>
      <c r="BI137" s="652">
        <f t="shared" si="107"/>
        <v>0</v>
      </c>
      <c r="BK137" s="654"/>
      <c r="BL137" s="654"/>
      <c r="BM137" s="654"/>
      <c r="BN137" s="654"/>
      <c r="BO137" s="654"/>
      <c r="BP137" s="654"/>
      <c r="BQ137" s="654"/>
      <c r="BR137" s="654"/>
    </row>
    <row r="138" spans="1:70">
      <c r="A138" s="647" t="s">
        <v>1317</v>
      </c>
      <c r="B138" s="647" t="s">
        <v>2282</v>
      </c>
      <c r="C138" s="648">
        <f>SETUP!$F$22</f>
        <v>0</v>
      </c>
      <c r="D138" s="649">
        <v>4.7</v>
      </c>
      <c r="E138" s="647" t="s">
        <v>1412</v>
      </c>
      <c r="F138" s="647" t="s">
        <v>1413</v>
      </c>
      <c r="G138" s="650" t="str">
        <f t="array" ref="G138">IFERROR(INDEX('HIV-Pharmaceuticals'!$L$107:$L$192,MATCH($E138&amp;$F138,'HIV-Pharmaceuticals'!$E$107:$E$192&amp;'HIV-Pharmaceuticals'!$I$107:$I$192,0)),"")</f>
        <v/>
      </c>
      <c r="H138" s="650" t="str">
        <f t="array" ref="H138">IFERROR(INDEX('HIV-Pharmaceuticals'!$M$107:$M$192,MATCH($E138&amp;$F138,'HIV-Pharmaceuticals'!$E$107:$E$192&amp;'HIV-Pharmaceuticals'!$I$107:$I$192,0)),"")</f>
        <v/>
      </c>
      <c r="I138" s="651">
        <f t="array" ref="I138">IFERROR(INDEX('HIV-Pharmaceuticals'!$N$107:$N$192,MATCH($E138&amp;$F138,'HIV-Pharmaceuticals'!$E$107:$E$192&amp;'HIV-Pharmaceuticals'!$I$107:$I$192,0)),0)</f>
        <v>0</v>
      </c>
      <c r="J138" s="651">
        <f t="array" ref="J138">IFERROR(INDEX('HIV-Pharmaceuticals'!$O$107:$O$192,MATCH($E138&amp;$F138,'HIV-Pharmaceuticals'!$E$107:$E$192&amp;'HIV-Pharmaceuticals'!$I$107:$I$192,0)),0)</f>
        <v>0</v>
      </c>
      <c r="K138" s="652">
        <f t="shared" si="72"/>
        <v>0</v>
      </c>
      <c r="L138" s="652">
        <f t="shared" si="73"/>
        <v>0</v>
      </c>
      <c r="M138" s="652">
        <f t="shared" si="74"/>
        <v>0</v>
      </c>
      <c r="N138" s="651">
        <f t="array" ref="N138">IFERROR(INDEX('HIV-Pharmaceuticals'!$P$107:$P$192,MATCH($E138&amp;$F138,'HIV-Pharmaceuticals'!$E$107:$E$192&amp;'HIV-Pharmaceuticals'!$I$107:$I$192,0)),0)</f>
        <v>0</v>
      </c>
      <c r="O138" s="652">
        <f t="shared" si="75"/>
        <v>0</v>
      </c>
      <c r="P138" s="652">
        <f t="shared" si="76"/>
        <v>0</v>
      </c>
      <c r="Q138" s="652">
        <f t="shared" si="77"/>
        <v>0</v>
      </c>
      <c r="R138" s="651">
        <f t="array" ref="R138">IFERROR(INDEX('HIV-Pharmaceuticals'!$Q$107:$Q$192,MATCH($E138&amp;$F138,'HIV-Pharmaceuticals'!$E$107:$E$192&amp;'HIV-Pharmaceuticals'!$I$107:$I$192,0)),0)</f>
        <v>0</v>
      </c>
      <c r="S138" s="652">
        <f t="shared" si="78"/>
        <v>0</v>
      </c>
      <c r="T138" s="652">
        <f t="shared" si="79"/>
        <v>0</v>
      </c>
      <c r="U138" s="652">
        <f t="shared" si="80"/>
        <v>0</v>
      </c>
      <c r="V138" s="651">
        <f t="array" ref="V138">IFERROR(INDEX('HIV-Pharmaceuticals'!$R$107:$R$192,MATCH($E138&amp;$F138,'HIV-Pharmaceuticals'!$E$107:$E$192&amp;'HIV-Pharmaceuticals'!$I$107:$I$192,0)),0)</f>
        <v>0</v>
      </c>
      <c r="W138" s="652">
        <f t="shared" si="81"/>
        <v>0</v>
      </c>
      <c r="X138" s="652">
        <f t="shared" si="82"/>
        <v>0</v>
      </c>
      <c r="Y138" s="652">
        <f t="shared" si="83"/>
        <v>0</v>
      </c>
      <c r="Z138" s="653"/>
      <c r="AA138" s="651">
        <f t="array" ref="AA138">IFERROR(INDEX('HIV-Pharmaceuticals'!$U$107:$U$192,MATCH($E138&amp;$F138,'HIV-Pharmaceuticals'!$E$107:$E$192&amp;'HIV-Pharmaceuticals'!$I$107:$I$192,0)),0)</f>
        <v>0</v>
      </c>
      <c r="AB138" s="651">
        <f t="array" ref="AB138">IFERROR(INDEX('HIV-Pharmaceuticals'!$V$107:$V$192,MATCH($E138&amp;$F138,'HIV-Pharmaceuticals'!$E$107:$E$192&amp;'HIV-Pharmaceuticals'!$I$107:$I$192,0)),0)</f>
        <v>0</v>
      </c>
      <c r="AC138" s="651">
        <f t="shared" si="84"/>
        <v>0</v>
      </c>
      <c r="AD138" s="652">
        <f t="shared" si="85"/>
        <v>0</v>
      </c>
      <c r="AE138" s="652">
        <f t="shared" si="86"/>
        <v>0</v>
      </c>
      <c r="AF138" s="651">
        <f t="array" ref="AF138">IFERROR(INDEX('HIV-Pharmaceuticals'!$W$107:$W$192,MATCH($E138&amp;$F138,'HIV-Pharmaceuticals'!$E$107:$E$192&amp;'HIV-Pharmaceuticals'!$I$107:$I$192,0)),0)</f>
        <v>0</v>
      </c>
      <c r="AG138" s="651">
        <f t="shared" si="87"/>
        <v>0</v>
      </c>
      <c r="AH138" s="652">
        <f t="shared" si="88"/>
        <v>0</v>
      </c>
      <c r="AI138" s="652">
        <f t="shared" si="89"/>
        <v>0</v>
      </c>
      <c r="AJ138" s="651">
        <f t="array" ref="AJ138">IFERROR(INDEX('HIV-Pharmaceuticals'!$X$107:$X$192,MATCH($E138&amp;$F138,'HIV-Pharmaceuticals'!$E$107:$E$192&amp;'HIV-Pharmaceuticals'!$I$107:$I$192,0)),0)</f>
        <v>0</v>
      </c>
      <c r="AK138" s="651">
        <f t="shared" si="90"/>
        <v>0</v>
      </c>
      <c r="AL138" s="652">
        <f t="shared" si="91"/>
        <v>0</v>
      </c>
      <c r="AM138" s="652">
        <f t="shared" si="92"/>
        <v>0</v>
      </c>
      <c r="AN138" s="651">
        <f t="array" ref="AN138">IFERROR(INDEX('HIV-Pharmaceuticals'!$Y$107:$Y$192,MATCH($E138&amp;$F138,'HIV-Pharmaceuticals'!$E$107:$E$192&amp;'HIV-Pharmaceuticals'!$I$107:$I$192,0)),0)</f>
        <v>0</v>
      </c>
      <c r="AO138" s="651">
        <f t="shared" si="93"/>
        <v>0</v>
      </c>
      <c r="AP138" s="652">
        <f t="shared" si="94"/>
        <v>0</v>
      </c>
      <c r="AQ138" s="652">
        <f t="shared" si="95"/>
        <v>0</v>
      </c>
      <c r="AR138" s="653"/>
      <c r="AS138" s="651">
        <f t="array" ref="AS138">IFERROR(INDEX('HIV-Pharmaceuticals'!$AB$107:$AB$192,MATCH($E138&amp;$F138,'HIV-Pharmaceuticals'!$E$107:$E$192&amp;'HIV-Pharmaceuticals'!$I$107:$I$192,0)),0)</f>
        <v>0</v>
      </c>
      <c r="AT138" s="651">
        <f t="array" ref="AT138">IFERROR(INDEX('HIV-Pharmaceuticals'!$AC$107:$AC$192,MATCH($E138&amp;$F138,'HIV-Pharmaceuticals'!$E$107:$E$192&amp;'HIV-Pharmaceuticals'!$I$107:$I$192,0)),0)</f>
        <v>0</v>
      </c>
      <c r="AU138" s="651">
        <f t="shared" si="96"/>
        <v>0</v>
      </c>
      <c r="AV138" s="652">
        <f t="shared" si="97"/>
        <v>0</v>
      </c>
      <c r="AW138" s="652">
        <f t="shared" si="98"/>
        <v>0</v>
      </c>
      <c r="AX138" s="651">
        <f t="array" ref="AX138">IFERROR(INDEX('HIV-Pharmaceuticals'!$AD$107:$AD$192,MATCH($E138&amp;$F138,'HIV-Pharmaceuticals'!$E$107:$E$192&amp;'HIV-Pharmaceuticals'!$I$107:$I$192,0)),0)</f>
        <v>0</v>
      </c>
      <c r="AY138" s="651">
        <f t="shared" si="99"/>
        <v>0</v>
      </c>
      <c r="AZ138" s="652">
        <f t="shared" si="100"/>
        <v>0</v>
      </c>
      <c r="BA138" s="652">
        <f t="shared" si="101"/>
        <v>0</v>
      </c>
      <c r="BB138" s="651">
        <f t="array" ref="BB138">IFERROR(INDEX('HIV-Pharmaceuticals'!$AE$107:$AE$192,MATCH($E138&amp;$F138,'HIV-Pharmaceuticals'!$E$107:$E$192&amp;'HIV-Pharmaceuticals'!$I$107:$I$192,0)),0)</f>
        <v>0</v>
      </c>
      <c r="BC138" s="651">
        <f t="shared" si="102"/>
        <v>0</v>
      </c>
      <c r="BD138" s="652">
        <f t="shared" si="103"/>
        <v>0</v>
      </c>
      <c r="BE138" s="652">
        <f t="shared" si="104"/>
        <v>0</v>
      </c>
      <c r="BF138" s="651">
        <f t="array" ref="BF138">IFERROR(INDEX('HIV-Pharmaceuticals'!$AF$107:$AF$192,MATCH($E138&amp;$F138,'HIV-Pharmaceuticals'!$E$107:$E$192&amp;'HIV-Pharmaceuticals'!$I$107:$I$192,0)),0)</f>
        <v>0</v>
      </c>
      <c r="BG138" s="651">
        <f t="shared" si="105"/>
        <v>0</v>
      </c>
      <c r="BH138" s="652">
        <f t="shared" si="106"/>
        <v>0</v>
      </c>
      <c r="BI138" s="652">
        <f t="shared" si="107"/>
        <v>0</v>
      </c>
      <c r="BK138" s="654"/>
      <c r="BL138" s="654"/>
      <c r="BM138" s="654"/>
      <c r="BN138" s="654"/>
      <c r="BO138" s="654"/>
      <c r="BP138" s="654"/>
      <c r="BQ138" s="654"/>
      <c r="BR138" s="654"/>
    </row>
    <row r="139" spans="1:70">
      <c r="A139" s="647" t="s">
        <v>1317</v>
      </c>
      <c r="B139" s="647" t="s">
        <v>2282</v>
      </c>
      <c r="C139" s="648">
        <f>SETUP!$F$22</f>
        <v>0</v>
      </c>
      <c r="D139" s="649">
        <v>4.7</v>
      </c>
      <c r="E139" s="647" t="s">
        <v>1324</v>
      </c>
      <c r="F139" s="647" t="s">
        <v>1325</v>
      </c>
      <c r="G139" s="650" t="str">
        <f t="array" ref="G139">IFERROR(INDEX('HIV-Pharmaceuticals'!$L$107:$L$192,MATCH($E139&amp;$F139,'HIV-Pharmaceuticals'!$E$107:$E$192&amp;'HIV-Pharmaceuticals'!$I$107:$I$192,0)),"")</f>
        <v/>
      </c>
      <c r="H139" s="650" t="str">
        <f t="array" ref="H139">IFERROR(INDEX('HIV-Pharmaceuticals'!$M$107:$M$192,MATCH($E139&amp;$F139,'HIV-Pharmaceuticals'!$E$107:$E$192&amp;'HIV-Pharmaceuticals'!$I$107:$I$192,0)),"")</f>
        <v/>
      </c>
      <c r="I139" s="651">
        <f t="array" ref="I139">IFERROR(INDEX('HIV-Pharmaceuticals'!$N$107:$N$192,MATCH($E139&amp;$F139,'HIV-Pharmaceuticals'!$E$107:$E$192&amp;'HIV-Pharmaceuticals'!$I$107:$I$192,0)),0)</f>
        <v>0</v>
      </c>
      <c r="J139" s="651">
        <f t="array" ref="J139">IFERROR(INDEX('HIV-Pharmaceuticals'!$O$107:$O$192,MATCH($E139&amp;$F139,'HIV-Pharmaceuticals'!$E$107:$E$192&amp;'HIV-Pharmaceuticals'!$I$107:$I$192,0)),0)</f>
        <v>0</v>
      </c>
      <c r="K139" s="652">
        <f t="shared" si="72"/>
        <v>0</v>
      </c>
      <c r="L139" s="652">
        <f t="shared" si="73"/>
        <v>0</v>
      </c>
      <c r="M139" s="652">
        <f t="shared" si="74"/>
        <v>0</v>
      </c>
      <c r="N139" s="651">
        <f t="array" ref="N139">IFERROR(INDEX('HIV-Pharmaceuticals'!$P$107:$P$192,MATCH($E139&amp;$F139,'HIV-Pharmaceuticals'!$E$107:$E$192&amp;'HIV-Pharmaceuticals'!$I$107:$I$192,0)),0)</f>
        <v>0</v>
      </c>
      <c r="O139" s="652">
        <f t="shared" si="75"/>
        <v>0</v>
      </c>
      <c r="P139" s="652">
        <f t="shared" si="76"/>
        <v>0</v>
      </c>
      <c r="Q139" s="652">
        <f t="shared" si="77"/>
        <v>0</v>
      </c>
      <c r="R139" s="651">
        <f t="array" ref="R139">IFERROR(INDEX('HIV-Pharmaceuticals'!$Q$107:$Q$192,MATCH($E139&amp;$F139,'HIV-Pharmaceuticals'!$E$107:$E$192&amp;'HIV-Pharmaceuticals'!$I$107:$I$192,0)),0)</f>
        <v>0</v>
      </c>
      <c r="S139" s="652">
        <f t="shared" si="78"/>
        <v>0</v>
      </c>
      <c r="T139" s="652">
        <f t="shared" si="79"/>
        <v>0</v>
      </c>
      <c r="U139" s="652">
        <f t="shared" si="80"/>
        <v>0</v>
      </c>
      <c r="V139" s="651">
        <f t="array" ref="V139">IFERROR(INDEX('HIV-Pharmaceuticals'!$R$107:$R$192,MATCH($E139&amp;$F139,'HIV-Pharmaceuticals'!$E$107:$E$192&amp;'HIV-Pharmaceuticals'!$I$107:$I$192,0)),0)</f>
        <v>0</v>
      </c>
      <c r="W139" s="652">
        <f t="shared" si="81"/>
        <v>0</v>
      </c>
      <c r="X139" s="652">
        <f t="shared" si="82"/>
        <v>0</v>
      </c>
      <c r="Y139" s="652">
        <f t="shared" si="83"/>
        <v>0</v>
      </c>
      <c r="Z139" s="653"/>
      <c r="AA139" s="651">
        <f t="array" ref="AA139">IFERROR(INDEX('HIV-Pharmaceuticals'!$U$107:$U$192,MATCH($E139&amp;$F139,'HIV-Pharmaceuticals'!$E$107:$E$192&amp;'HIV-Pharmaceuticals'!$I$107:$I$192,0)),0)</f>
        <v>0</v>
      </c>
      <c r="AB139" s="651">
        <f t="array" ref="AB139">IFERROR(INDEX('HIV-Pharmaceuticals'!$V$107:$V$192,MATCH($E139&amp;$F139,'HIV-Pharmaceuticals'!$E$107:$E$192&amp;'HIV-Pharmaceuticals'!$I$107:$I$192,0)),0)</f>
        <v>0</v>
      </c>
      <c r="AC139" s="651">
        <f t="shared" si="84"/>
        <v>0</v>
      </c>
      <c r="AD139" s="652">
        <f t="shared" si="85"/>
        <v>0</v>
      </c>
      <c r="AE139" s="652">
        <f t="shared" si="86"/>
        <v>0</v>
      </c>
      <c r="AF139" s="651">
        <f t="array" ref="AF139">IFERROR(INDEX('HIV-Pharmaceuticals'!$W$107:$W$192,MATCH($E139&amp;$F139,'HIV-Pharmaceuticals'!$E$107:$E$192&amp;'HIV-Pharmaceuticals'!$I$107:$I$192,0)),0)</f>
        <v>0</v>
      </c>
      <c r="AG139" s="651">
        <f t="shared" si="87"/>
        <v>0</v>
      </c>
      <c r="AH139" s="652">
        <f t="shared" si="88"/>
        <v>0</v>
      </c>
      <c r="AI139" s="652">
        <f t="shared" si="89"/>
        <v>0</v>
      </c>
      <c r="AJ139" s="651">
        <f t="array" ref="AJ139">IFERROR(INDEX('HIV-Pharmaceuticals'!$X$107:$X$192,MATCH($E139&amp;$F139,'HIV-Pharmaceuticals'!$E$107:$E$192&amp;'HIV-Pharmaceuticals'!$I$107:$I$192,0)),0)</f>
        <v>0</v>
      </c>
      <c r="AK139" s="651">
        <f t="shared" si="90"/>
        <v>0</v>
      </c>
      <c r="AL139" s="652">
        <f t="shared" si="91"/>
        <v>0</v>
      </c>
      <c r="AM139" s="652">
        <f t="shared" si="92"/>
        <v>0</v>
      </c>
      <c r="AN139" s="651">
        <f t="array" ref="AN139">IFERROR(INDEX('HIV-Pharmaceuticals'!$Y$107:$Y$192,MATCH($E139&amp;$F139,'HIV-Pharmaceuticals'!$E$107:$E$192&amp;'HIV-Pharmaceuticals'!$I$107:$I$192,0)),0)</f>
        <v>0</v>
      </c>
      <c r="AO139" s="651">
        <f t="shared" si="93"/>
        <v>0</v>
      </c>
      <c r="AP139" s="652">
        <f t="shared" si="94"/>
        <v>0</v>
      </c>
      <c r="AQ139" s="652">
        <f t="shared" si="95"/>
        <v>0</v>
      </c>
      <c r="AR139" s="653"/>
      <c r="AS139" s="651">
        <f t="array" ref="AS139">IFERROR(INDEX('HIV-Pharmaceuticals'!$AB$107:$AB$192,MATCH($E139&amp;$F139,'HIV-Pharmaceuticals'!$E$107:$E$192&amp;'HIV-Pharmaceuticals'!$I$107:$I$192,0)),0)</f>
        <v>0</v>
      </c>
      <c r="AT139" s="651">
        <f t="array" ref="AT139">IFERROR(INDEX('HIV-Pharmaceuticals'!$AC$107:$AC$192,MATCH($E139&amp;$F139,'HIV-Pharmaceuticals'!$E$107:$E$192&amp;'HIV-Pharmaceuticals'!$I$107:$I$192,0)),0)</f>
        <v>0</v>
      </c>
      <c r="AU139" s="651">
        <f t="shared" si="96"/>
        <v>0</v>
      </c>
      <c r="AV139" s="652">
        <f t="shared" si="97"/>
        <v>0</v>
      </c>
      <c r="AW139" s="652">
        <f t="shared" si="98"/>
        <v>0</v>
      </c>
      <c r="AX139" s="651">
        <f t="array" ref="AX139">IFERROR(INDEX('HIV-Pharmaceuticals'!$AD$107:$AD$192,MATCH($E139&amp;$F139,'HIV-Pharmaceuticals'!$E$107:$E$192&amp;'HIV-Pharmaceuticals'!$I$107:$I$192,0)),0)</f>
        <v>0</v>
      </c>
      <c r="AY139" s="651">
        <f t="shared" si="99"/>
        <v>0</v>
      </c>
      <c r="AZ139" s="652">
        <f t="shared" si="100"/>
        <v>0</v>
      </c>
      <c r="BA139" s="652">
        <f t="shared" si="101"/>
        <v>0</v>
      </c>
      <c r="BB139" s="651">
        <f t="array" ref="BB139">IFERROR(INDEX('HIV-Pharmaceuticals'!$AE$107:$AE$192,MATCH($E139&amp;$F139,'HIV-Pharmaceuticals'!$E$107:$E$192&amp;'HIV-Pharmaceuticals'!$I$107:$I$192,0)),0)</f>
        <v>0</v>
      </c>
      <c r="BC139" s="651">
        <f t="shared" si="102"/>
        <v>0</v>
      </c>
      <c r="BD139" s="652">
        <f t="shared" si="103"/>
        <v>0</v>
      </c>
      <c r="BE139" s="652">
        <f t="shared" si="104"/>
        <v>0</v>
      </c>
      <c r="BF139" s="651">
        <f t="array" ref="BF139">IFERROR(INDEX('HIV-Pharmaceuticals'!$AF$107:$AF$192,MATCH($E139&amp;$F139,'HIV-Pharmaceuticals'!$E$107:$E$192&amp;'HIV-Pharmaceuticals'!$I$107:$I$192,0)),0)</f>
        <v>0</v>
      </c>
      <c r="BG139" s="651">
        <f t="shared" si="105"/>
        <v>0</v>
      </c>
      <c r="BH139" s="652">
        <f t="shared" si="106"/>
        <v>0</v>
      </c>
      <c r="BI139" s="652">
        <f t="shared" si="107"/>
        <v>0</v>
      </c>
      <c r="BK139" s="654"/>
      <c r="BL139" s="654"/>
      <c r="BM139" s="654"/>
      <c r="BN139" s="654"/>
      <c r="BO139" s="654"/>
      <c r="BP139" s="654"/>
      <c r="BQ139" s="654"/>
      <c r="BR139" s="654"/>
    </row>
    <row r="140" spans="1:70">
      <c r="A140" s="647" t="s">
        <v>1317</v>
      </c>
      <c r="B140" s="647" t="s">
        <v>2282</v>
      </c>
      <c r="C140" s="648">
        <f>SETUP!$F$22</f>
        <v>0</v>
      </c>
      <c r="D140" s="649">
        <v>4.7</v>
      </c>
      <c r="E140" s="647" t="s">
        <v>1414</v>
      </c>
      <c r="F140" s="647" t="s">
        <v>1415</v>
      </c>
      <c r="G140" s="650" t="str">
        <f t="array" ref="G140">IFERROR(INDEX('HIV-Pharmaceuticals'!$L$107:$L$192,MATCH($E140&amp;$F140,'HIV-Pharmaceuticals'!$E$107:$E$192&amp;'HIV-Pharmaceuticals'!$I$107:$I$192,0)),"")</f>
        <v/>
      </c>
      <c r="H140" s="650" t="str">
        <f t="array" ref="H140">IFERROR(INDEX('HIV-Pharmaceuticals'!$M$107:$M$192,MATCH($E140&amp;$F140,'HIV-Pharmaceuticals'!$E$107:$E$192&amp;'HIV-Pharmaceuticals'!$I$107:$I$192,0)),"")</f>
        <v/>
      </c>
      <c r="I140" s="651">
        <f t="array" ref="I140">IFERROR(INDEX('HIV-Pharmaceuticals'!$N$107:$N$192,MATCH($E140&amp;$F140,'HIV-Pharmaceuticals'!$E$107:$E$192&amp;'HIV-Pharmaceuticals'!$I$107:$I$192,0)),0)</f>
        <v>0</v>
      </c>
      <c r="J140" s="651">
        <f t="array" ref="J140">IFERROR(INDEX('HIV-Pharmaceuticals'!$O$107:$O$192,MATCH($E140&amp;$F140,'HIV-Pharmaceuticals'!$E$107:$E$192&amp;'HIV-Pharmaceuticals'!$I$107:$I$192,0)),0)</f>
        <v>0</v>
      </c>
      <c r="K140" s="652">
        <f t="shared" si="72"/>
        <v>0</v>
      </c>
      <c r="L140" s="652">
        <f t="shared" si="73"/>
        <v>0</v>
      </c>
      <c r="M140" s="652">
        <f t="shared" si="74"/>
        <v>0</v>
      </c>
      <c r="N140" s="651">
        <f t="array" ref="N140">IFERROR(INDEX('HIV-Pharmaceuticals'!$P$107:$P$192,MATCH($E140&amp;$F140,'HIV-Pharmaceuticals'!$E$107:$E$192&amp;'HIV-Pharmaceuticals'!$I$107:$I$192,0)),0)</f>
        <v>0</v>
      </c>
      <c r="O140" s="652">
        <f t="shared" si="75"/>
        <v>0</v>
      </c>
      <c r="P140" s="652">
        <f t="shared" si="76"/>
        <v>0</v>
      </c>
      <c r="Q140" s="652">
        <f t="shared" si="77"/>
        <v>0</v>
      </c>
      <c r="R140" s="651">
        <f t="array" ref="R140">IFERROR(INDEX('HIV-Pharmaceuticals'!$Q$107:$Q$192,MATCH($E140&amp;$F140,'HIV-Pharmaceuticals'!$E$107:$E$192&amp;'HIV-Pharmaceuticals'!$I$107:$I$192,0)),0)</f>
        <v>0</v>
      </c>
      <c r="S140" s="652">
        <f t="shared" si="78"/>
        <v>0</v>
      </c>
      <c r="T140" s="652">
        <f t="shared" si="79"/>
        <v>0</v>
      </c>
      <c r="U140" s="652">
        <f t="shared" si="80"/>
        <v>0</v>
      </c>
      <c r="V140" s="651">
        <f t="array" ref="V140">IFERROR(INDEX('HIV-Pharmaceuticals'!$R$107:$R$192,MATCH($E140&amp;$F140,'HIV-Pharmaceuticals'!$E$107:$E$192&amp;'HIV-Pharmaceuticals'!$I$107:$I$192,0)),0)</f>
        <v>0</v>
      </c>
      <c r="W140" s="652">
        <f t="shared" si="81"/>
        <v>0</v>
      </c>
      <c r="X140" s="652">
        <f t="shared" si="82"/>
        <v>0</v>
      </c>
      <c r="Y140" s="652">
        <f t="shared" si="83"/>
        <v>0</v>
      </c>
      <c r="Z140" s="653"/>
      <c r="AA140" s="651">
        <f t="array" ref="AA140">IFERROR(INDEX('HIV-Pharmaceuticals'!$U$107:$U$192,MATCH($E140&amp;$F140,'HIV-Pharmaceuticals'!$E$107:$E$192&amp;'HIV-Pharmaceuticals'!$I$107:$I$192,0)),0)</f>
        <v>0</v>
      </c>
      <c r="AB140" s="651">
        <f t="array" ref="AB140">IFERROR(INDEX('HIV-Pharmaceuticals'!$V$107:$V$192,MATCH($E140&amp;$F140,'HIV-Pharmaceuticals'!$E$107:$E$192&amp;'HIV-Pharmaceuticals'!$I$107:$I$192,0)),0)</f>
        <v>0</v>
      </c>
      <c r="AC140" s="651">
        <f t="shared" si="84"/>
        <v>0</v>
      </c>
      <c r="AD140" s="652">
        <f t="shared" si="85"/>
        <v>0</v>
      </c>
      <c r="AE140" s="652">
        <f t="shared" si="86"/>
        <v>0</v>
      </c>
      <c r="AF140" s="651">
        <f t="array" ref="AF140">IFERROR(INDEX('HIV-Pharmaceuticals'!$W$107:$W$192,MATCH($E140&amp;$F140,'HIV-Pharmaceuticals'!$E$107:$E$192&amp;'HIV-Pharmaceuticals'!$I$107:$I$192,0)),0)</f>
        <v>0</v>
      </c>
      <c r="AG140" s="651">
        <f t="shared" si="87"/>
        <v>0</v>
      </c>
      <c r="AH140" s="652">
        <f t="shared" si="88"/>
        <v>0</v>
      </c>
      <c r="AI140" s="652">
        <f t="shared" si="89"/>
        <v>0</v>
      </c>
      <c r="AJ140" s="651">
        <f t="array" ref="AJ140">IFERROR(INDEX('HIV-Pharmaceuticals'!$X$107:$X$192,MATCH($E140&amp;$F140,'HIV-Pharmaceuticals'!$E$107:$E$192&amp;'HIV-Pharmaceuticals'!$I$107:$I$192,0)),0)</f>
        <v>0</v>
      </c>
      <c r="AK140" s="651">
        <f t="shared" si="90"/>
        <v>0</v>
      </c>
      <c r="AL140" s="652">
        <f t="shared" si="91"/>
        <v>0</v>
      </c>
      <c r="AM140" s="652">
        <f t="shared" si="92"/>
        <v>0</v>
      </c>
      <c r="AN140" s="651">
        <f t="array" ref="AN140">IFERROR(INDEX('HIV-Pharmaceuticals'!$Y$107:$Y$192,MATCH($E140&amp;$F140,'HIV-Pharmaceuticals'!$E$107:$E$192&amp;'HIV-Pharmaceuticals'!$I$107:$I$192,0)),0)</f>
        <v>0</v>
      </c>
      <c r="AO140" s="651">
        <f t="shared" si="93"/>
        <v>0</v>
      </c>
      <c r="AP140" s="652">
        <f t="shared" si="94"/>
        <v>0</v>
      </c>
      <c r="AQ140" s="652">
        <f t="shared" si="95"/>
        <v>0</v>
      </c>
      <c r="AR140" s="653"/>
      <c r="AS140" s="651">
        <f t="array" ref="AS140">IFERROR(INDEX('HIV-Pharmaceuticals'!$AB$107:$AB$192,MATCH($E140&amp;$F140,'HIV-Pharmaceuticals'!$E$107:$E$192&amp;'HIV-Pharmaceuticals'!$I$107:$I$192,0)),0)</f>
        <v>0</v>
      </c>
      <c r="AT140" s="651">
        <f t="array" ref="AT140">IFERROR(INDEX('HIV-Pharmaceuticals'!$AC$107:$AC$192,MATCH($E140&amp;$F140,'HIV-Pharmaceuticals'!$E$107:$E$192&amp;'HIV-Pharmaceuticals'!$I$107:$I$192,0)),0)</f>
        <v>0</v>
      </c>
      <c r="AU140" s="651">
        <f t="shared" si="96"/>
        <v>0</v>
      </c>
      <c r="AV140" s="652">
        <f t="shared" si="97"/>
        <v>0</v>
      </c>
      <c r="AW140" s="652">
        <f t="shared" si="98"/>
        <v>0</v>
      </c>
      <c r="AX140" s="651">
        <f t="array" ref="AX140">IFERROR(INDEX('HIV-Pharmaceuticals'!$AD$107:$AD$192,MATCH($E140&amp;$F140,'HIV-Pharmaceuticals'!$E$107:$E$192&amp;'HIV-Pharmaceuticals'!$I$107:$I$192,0)),0)</f>
        <v>0</v>
      </c>
      <c r="AY140" s="651">
        <f t="shared" si="99"/>
        <v>0</v>
      </c>
      <c r="AZ140" s="652">
        <f t="shared" si="100"/>
        <v>0</v>
      </c>
      <c r="BA140" s="652">
        <f t="shared" si="101"/>
        <v>0</v>
      </c>
      <c r="BB140" s="651">
        <f t="array" ref="BB140">IFERROR(INDEX('HIV-Pharmaceuticals'!$AE$107:$AE$192,MATCH($E140&amp;$F140,'HIV-Pharmaceuticals'!$E$107:$E$192&amp;'HIV-Pharmaceuticals'!$I$107:$I$192,0)),0)</f>
        <v>0</v>
      </c>
      <c r="BC140" s="651">
        <f t="shared" si="102"/>
        <v>0</v>
      </c>
      <c r="BD140" s="652">
        <f t="shared" si="103"/>
        <v>0</v>
      </c>
      <c r="BE140" s="652">
        <f t="shared" si="104"/>
        <v>0</v>
      </c>
      <c r="BF140" s="651">
        <f t="array" ref="BF140">IFERROR(INDEX('HIV-Pharmaceuticals'!$AF$107:$AF$192,MATCH($E140&amp;$F140,'HIV-Pharmaceuticals'!$E$107:$E$192&amp;'HIV-Pharmaceuticals'!$I$107:$I$192,0)),0)</f>
        <v>0</v>
      </c>
      <c r="BG140" s="651">
        <f t="shared" si="105"/>
        <v>0</v>
      </c>
      <c r="BH140" s="652">
        <f t="shared" si="106"/>
        <v>0</v>
      </c>
      <c r="BI140" s="652">
        <f t="shared" si="107"/>
        <v>0</v>
      </c>
      <c r="BK140" s="654"/>
      <c r="BL140" s="654"/>
      <c r="BM140" s="654"/>
      <c r="BN140" s="654"/>
      <c r="BO140" s="654"/>
      <c r="BP140" s="654"/>
      <c r="BQ140" s="654"/>
      <c r="BR140" s="654"/>
    </row>
    <row r="141" spans="1:70">
      <c r="A141" s="647" t="s">
        <v>1317</v>
      </c>
      <c r="B141" s="647" t="s">
        <v>2282</v>
      </c>
      <c r="C141" s="648">
        <f>SETUP!$F$22</f>
        <v>0</v>
      </c>
      <c r="D141" s="649">
        <v>4.7</v>
      </c>
      <c r="E141" s="647" t="s">
        <v>1416</v>
      </c>
      <c r="F141" s="647" t="s">
        <v>1417</v>
      </c>
      <c r="G141" s="650" t="str">
        <f t="array" ref="G141">IFERROR(INDEX('HIV-Pharmaceuticals'!$L$107:$L$192,MATCH($E141&amp;$F141,'HIV-Pharmaceuticals'!$E$107:$E$192&amp;'HIV-Pharmaceuticals'!$I$107:$I$192,0)),"")</f>
        <v/>
      </c>
      <c r="H141" s="650" t="str">
        <f t="array" ref="H141">IFERROR(INDEX('HIV-Pharmaceuticals'!$M$107:$M$192,MATCH($E141&amp;$F141,'HIV-Pharmaceuticals'!$E$107:$E$192&amp;'HIV-Pharmaceuticals'!$I$107:$I$192,0)),"")</f>
        <v/>
      </c>
      <c r="I141" s="651">
        <f t="array" ref="I141">IFERROR(INDEX('HIV-Pharmaceuticals'!$N$107:$N$192,MATCH($E141&amp;$F141,'HIV-Pharmaceuticals'!$E$107:$E$192&amp;'HIV-Pharmaceuticals'!$I$107:$I$192,0)),0)</f>
        <v>0</v>
      </c>
      <c r="J141" s="651">
        <f t="array" ref="J141">IFERROR(INDEX('HIV-Pharmaceuticals'!$O$107:$O$192,MATCH($E141&amp;$F141,'HIV-Pharmaceuticals'!$E$107:$E$192&amp;'HIV-Pharmaceuticals'!$I$107:$I$192,0)),0)</f>
        <v>0</v>
      </c>
      <c r="K141" s="652">
        <f t="shared" si="72"/>
        <v>0</v>
      </c>
      <c r="L141" s="652">
        <f t="shared" si="73"/>
        <v>0</v>
      </c>
      <c r="M141" s="652">
        <f t="shared" si="74"/>
        <v>0</v>
      </c>
      <c r="N141" s="651">
        <f t="array" ref="N141">IFERROR(INDEX('HIV-Pharmaceuticals'!$P$107:$P$192,MATCH($E141&amp;$F141,'HIV-Pharmaceuticals'!$E$107:$E$192&amp;'HIV-Pharmaceuticals'!$I$107:$I$192,0)),0)</f>
        <v>0</v>
      </c>
      <c r="O141" s="652">
        <f t="shared" si="75"/>
        <v>0</v>
      </c>
      <c r="P141" s="652">
        <f t="shared" si="76"/>
        <v>0</v>
      </c>
      <c r="Q141" s="652">
        <f t="shared" si="77"/>
        <v>0</v>
      </c>
      <c r="R141" s="651">
        <f t="array" ref="R141">IFERROR(INDEX('HIV-Pharmaceuticals'!$Q$107:$Q$192,MATCH($E141&amp;$F141,'HIV-Pharmaceuticals'!$E$107:$E$192&amp;'HIV-Pharmaceuticals'!$I$107:$I$192,0)),0)</f>
        <v>0</v>
      </c>
      <c r="S141" s="652">
        <f t="shared" si="78"/>
        <v>0</v>
      </c>
      <c r="T141" s="652">
        <f t="shared" si="79"/>
        <v>0</v>
      </c>
      <c r="U141" s="652">
        <f t="shared" si="80"/>
        <v>0</v>
      </c>
      <c r="V141" s="651">
        <f t="array" ref="V141">IFERROR(INDEX('HIV-Pharmaceuticals'!$R$107:$R$192,MATCH($E141&amp;$F141,'HIV-Pharmaceuticals'!$E$107:$E$192&amp;'HIV-Pharmaceuticals'!$I$107:$I$192,0)),0)</f>
        <v>0</v>
      </c>
      <c r="W141" s="652">
        <f t="shared" si="81"/>
        <v>0</v>
      </c>
      <c r="X141" s="652">
        <f t="shared" si="82"/>
        <v>0</v>
      </c>
      <c r="Y141" s="652">
        <f t="shared" si="83"/>
        <v>0</v>
      </c>
      <c r="Z141" s="653"/>
      <c r="AA141" s="651">
        <f t="array" ref="AA141">IFERROR(INDEX('HIV-Pharmaceuticals'!$U$107:$U$192,MATCH($E141&amp;$F141,'HIV-Pharmaceuticals'!$E$107:$E$192&amp;'HIV-Pharmaceuticals'!$I$107:$I$192,0)),0)</f>
        <v>0</v>
      </c>
      <c r="AB141" s="651">
        <f t="array" ref="AB141">IFERROR(INDEX('HIV-Pharmaceuticals'!$V$107:$V$192,MATCH($E141&amp;$F141,'HIV-Pharmaceuticals'!$E$107:$E$192&amp;'HIV-Pharmaceuticals'!$I$107:$I$192,0)),0)</f>
        <v>0</v>
      </c>
      <c r="AC141" s="651">
        <f t="shared" si="84"/>
        <v>0</v>
      </c>
      <c r="AD141" s="652">
        <f t="shared" si="85"/>
        <v>0</v>
      </c>
      <c r="AE141" s="652">
        <f t="shared" si="86"/>
        <v>0</v>
      </c>
      <c r="AF141" s="651">
        <f t="array" ref="AF141">IFERROR(INDEX('HIV-Pharmaceuticals'!$W$107:$W$192,MATCH($E141&amp;$F141,'HIV-Pharmaceuticals'!$E$107:$E$192&amp;'HIV-Pharmaceuticals'!$I$107:$I$192,0)),0)</f>
        <v>0</v>
      </c>
      <c r="AG141" s="651">
        <f t="shared" si="87"/>
        <v>0</v>
      </c>
      <c r="AH141" s="652">
        <f t="shared" si="88"/>
        <v>0</v>
      </c>
      <c r="AI141" s="652">
        <f t="shared" si="89"/>
        <v>0</v>
      </c>
      <c r="AJ141" s="651">
        <f t="array" ref="AJ141">IFERROR(INDEX('HIV-Pharmaceuticals'!$X$107:$X$192,MATCH($E141&amp;$F141,'HIV-Pharmaceuticals'!$E$107:$E$192&amp;'HIV-Pharmaceuticals'!$I$107:$I$192,0)),0)</f>
        <v>0</v>
      </c>
      <c r="AK141" s="651">
        <f t="shared" si="90"/>
        <v>0</v>
      </c>
      <c r="AL141" s="652">
        <f t="shared" si="91"/>
        <v>0</v>
      </c>
      <c r="AM141" s="652">
        <f t="shared" si="92"/>
        <v>0</v>
      </c>
      <c r="AN141" s="651">
        <f t="array" ref="AN141">IFERROR(INDEX('HIV-Pharmaceuticals'!$Y$107:$Y$192,MATCH($E141&amp;$F141,'HIV-Pharmaceuticals'!$E$107:$E$192&amp;'HIV-Pharmaceuticals'!$I$107:$I$192,0)),0)</f>
        <v>0</v>
      </c>
      <c r="AO141" s="651">
        <f t="shared" si="93"/>
        <v>0</v>
      </c>
      <c r="AP141" s="652">
        <f t="shared" si="94"/>
        <v>0</v>
      </c>
      <c r="AQ141" s="652">
        <f t="shared" si="95"/>
        <v>0</v>
      </c>
      <c r="AR141" s="653"/>
      <c r="AS141" s="651">
        <f t="array" ref="AS141">IFERROR(INDEX('HIV-Pharmaceuticals'!$AB$107:$AB$192,MATCH($E141&amp;$F141,'HIV-Pharmaceuticals'!$E$107:$E$192&amp;'HIV-Pharmaceuticals'!$I$107:$I$192,0)),0)</f>
        <v>0</v>
      </c>
      <c r="AT141" s="651">
        <f t="array" ref="AT141">IFERROR(INDEX('HIV-Pharmaceuticals'!$AC$107:$AC$192,MATCH($E141&amp;$F141,'HIV-Pharmaceuticals'!$E$107:$E$192&amp;'HIV-Pharmaceuticals'!$I$107:$I$192,0)),0)</f>
        <v>0</v>
      </c>
      <c r="AU141" s="651">
        <f t="shared" si="96"/>
        <v>0</v>
      </c>
      <c r="AV141" s="652">
        <f t="shared" si="97"/>
        <v>0</v>
      </c>
      <c r="AW141" s="652">
        <f t="shared" si="98"/>
        <v>0</v>
      </c>
      <c r="AX141" s="651">
        <f t="array" ref="AX141">IFERROR(INDEX('HIV-Pharmaceuticals'!$AD$107:$AD$192,MATCH($E141&amp;$F141,'HIV-Pharmaceuticals'!$E$107:$E$192&amp;'HIV-Pharmaceuticals'!$I$107:$I$192,0)),0)</f>
        <v>0</v>
      </c>
      <c r="AY141" s="651">
        <f t="shared" si="99"/>
        <v>0</v>
      </c>
      <c r="AZ141" s="652">
        <f t="shared" si="100"/>
        <v>0</v>
      </c>
      <c r="BA141" s="652">
        <f t="shared" si="101"/>
        <v>0</v>
      </c>
      <c r="BB141" s="651">
        <f t="array" ref="BB141">IFERROR(INDEX('HIV-Pharmaceuticals'!$AE$107:$AE$192,MATCH($E141&amp;$F141,'HIV-Pharmaceuticals'!$E$107:$E$192&amp;'HIV-Pharmaceuticals'!$I$107:$I$192,0)),0)</f>
        <v>0</v>
      </c>
      <c r="BC141" s="651">
        <f t="shared" si="102"/>
        <v>0</v>
      </c>
      <c r="BD141" s="652">
        <f t="shared" si="103"/>
        <v>0</v>
      </c>
      <c r="BE141" s="652">
        <f t="shared" si="104"/>
        <v>0</v>
      </c>
      <c r="BF141" s="651">
        <f t="array" ref="BF141">IFERROR(INDEX('HIV-Pharmaceuticals'!$AF$107:$AF$192,MATCH($E141&amp;$F141,'HIV-Pharmaceuticals'!$E$107:$E$192&amp;'HIV-Pharmaceuticals'!$I$107:$I$192,0)),0)</f>
        <v>0</v>
      </c>
      <c r="BG141" s="651">
        <f t="shared" si="105"/>
        <v>0</v>
      </c>
      <c r="BH141" s="652">
        <f t="shared" si="106"/>
        <v>0</v>
      </c>
      <c r="BI141" s="652">
        <f t="shared" si="107"/>
        <v>0</v>
      </c>
      <c r="BK141" s="654"/>
      <c r="BL141" s="654"/>
      <c r="BM141" s="654"/>
      <c r="BN141" s="654"/>
      <c r="BO141" s="654"/>
      <c r="BP141" s="654"/>
      <c r="BQ141" s="654"/>
      <c r="BR141" s="654"/>
    </row>
    <row r="142" spans="1:70">
      <c r="A142" s="647" t="s">
        <v>1317</v>
      </c>
      <c r="B142" s="647" t="s">
        <v>2282</v>
      </c>
      <c r="C142" s="648">
        <f>SETUP!$F$22</f>
        <v>0</v>
      </c>
      <c r="D142" s="649">
        <v>4.7</v>
      </c>
      <c r="E142" s="647" t="s">
        <v>1326</v>
      </c>
      <c r="F142" s="647" t="s">
        <v>1418</v>
      </c>
      <c r="G142" s="650" t="str">
        <f t="array" ref="G142">IFERROR(INDEX('HIV-Pharmaceuticals'!$L$107:$L$192,MATCH($E142&amp;$F142,'HIV-Pharmaceuticals'!$E$107:$E$192&amp;'HIV-Pharmaceuticals'!$I$107:$I$192,0)),"")</f>
        <v/>
      </c>
      <c r="H142" s="650" t="str">
        <f t="array" ref="H142">IFERROR(INDEX('HIV-Pharmaceuticals'!$M$107:$M$192,MATCH($E142&amp;$F142,'HIV-Pharmaceuticals'!$E$107:$E$192&amp;'HIV-Pharmaceuticals'!$I$107:$I$192,0)),"")</f>
        <v/>
      </c>
      <c r="I142" s="651">
        <f t="array" ref="I142">IFERROR(INDEX('HIV-Pharmaceuticals'!$N$107:$N$192,MATCH($E142&amp;$F142,'HIV-Pharmaceuticals'!$E$107:$E$192&amp;'HIV-Pharmaceuticals'!$I$107:$I$192,0)),0)</f>
        <v>0</v>
      </c>
      <c r="J142" s="651">
        <f t="array" ref="J142">IFERROR(INDEX('HIV-Pharmaceuticals'!$O$107:$O$192,MATCH($E142&amp;$F142,'HIV-Pharmaceuticals'!$E$107:$E$192&amp;'HIV-Pharmaceuticals'!$I$107:$I$192,0)),0)</f>
        <v>0</v>
      </c>
      <c r="K142" s="652">
        <f t="shared" si="72"/>
        <v>0</v>
      </c>
      <c r="L142" s="652">
        <f t="shared" si="73"/>
        <v>0</v>
      </c>
      <c r="M142" s="652">
        <f t="shared" si="74"/>
        <v>0</v>
      </c>
      <c r="N142" s="651">
        <f t="array" ref="N142">IFERROR(INDEX('HIV-Pharmaceuticals'!$P$107:$P$192,MATCH($E142&amp;$F142,'HIV-Pharmaceuticals'!$E$107:$E$192&amp;'HIV-Pharmaceuticals'!$I$107:$I$192,0)),0)</f>
        <v>0</v>
      </c>
      <c r="O142" s="652">
        <f t="shared" si="75"/>
        <v>0</v>
      </c>
      <c r="P142" s="652">
        <f t="shared" si="76"/>
        <v>0</v>
      </c>
      <c r="Q142" s="652">
        <f t="shared" si="77"/>
        <v>0</v>
      </c>
      <c r="R142" s="651">
        <f t="array" ref="R142">IFERROR(INDEX('HIV-Pharmaceuticals'!$Q$107:$Q$192,MATCH($E142&amp;$F142,'HIV-Pharmaceuticals'!$E$107:$E$192&amp;'HIV-Pharmaceuticals'!$I$107:$I$192,0)),0)</f>
        <v>0</v>
      </c>
      <c r="S142" s="652">
        <f t="shared" si="78"/>
        <v>0</v>
      </c>
      <c r="T142" s="652">
        <f t="shared" si="79"/>
        <v>0</v>
      </c>
      <c r="U142" s="652">
        <f t="shared" si="80"/>
        <v>0</v>
      </c>
      <c r="V142" s="651">
        <f t="array" ref="V142">IFERROR(INDEX('HIV-Pharmaceuticals'!$R$107:$R$192,MATCH($E142&amp;$F142,'HIV-Pharmaceuticals'!$E$107:$E$192&amp;'HIV-Pharmaceuticals'!$I$107:$I$192,0)),0)</f>
        <v>0</v>
      </c>
      <c r="W142" s="652">
        <f t="shared" si="81"/>
        <v>0</v>
      </c>
      <c r="X142" s="652">
        <f t="shared" si="82"/>
        <v>0</v>
      </c>
      <c r="Y142" s="652">
        <f t="shared" si="83"/>
        <v>0</v>
      </c>
      <c r="Z142" s="653"/>
      <c r="AA142" s="651">
        <f t="array" ref="AA142">IFERROR(INDEX('HIV-Pharmaceuticals'!$U$107:$U$192,MATCH($E142&amp;$F142,'HIV-Pharmaceuticals'!$E$107:$E$192&amp;'HIV-Pharmaceuticals'!$I$107:$I$192,0)),0)</f>
        <v>0</v>
      </c>
      <c r="AB142" s="651">
        <f t="array" ref="AB142">IFERROR(INDEX('HIV-Pharmaceuticals'!$V$107:$V$192,MATCH($E142&amp;$F142,'HIV-Pharmaceuticals'!$E$107:$E$192&amp;'HIV-Pharmaceuticals'!$I$107:$I$192,0)),0)</f>
        <v>0</v>
      </c>
      <c r="AC142" s="651">
        <f t="shared" si="84"/>
        <v>0</v>
      </c>
      <c r="AD142" s="652">
        <f t="shared" si="85"/>
        <v>0</v>
      </c>
      <c r="AE142" s="652">
        <f t="shared" si="86"/>
        <v>0</v>
      </c>
      <c r="AF142" s="651">
        <f t="array" ref="AF142">IFERROR(INDEX('HIV-Pharmaceuticals'!$W$107:$W$192,MATCH($E142&amp;$F142,'HIV-Pharmaceuticals'!$E$107:$E$192&amp;'HIV-Pharmaceuticals'!$I$107:$I$192,0)),0)</f>
        <v>0</v>
      </c>
      <c r="AG142" s="651">
        <f t="shared" si="87"/>
        <v>0</v>
      </c>
      <c r="AH142" s="652">
        <f t="shared" si="88"/>
        <v>0</v>
      </c>
      <c r="AI142" s="652">
        <f t="shared" si="89"/>
        <v>0</v>
      </c>
      <c r="AJ142" s="651">
        <f t="array" ref="AJ142">IFERROR(INDEX('HIV-Pharmaceuticals'!$X$107:$X$192,MATCH($E142&amp;$F142,'HIV-Pharmaceuticals'!$E$107:$E$192&amp;'HIV-Pharmaceuticals'!$I$107:$I$192,0)),0)</f>
        <v>0</v>
      </c>
      <c r="AK142" s="651">
        <f t="shared" si="90"/>
        <v>0</v>
      </c>
      <c r="AL142" s="652">
        <f t="shared" si="91"/>
        <v>0</v>
      </c>
      <c r="AM142" s="652">
        <f t="shared" si="92"/>
        <v>0</v>
      </c>
      <c r="AN142" s="651">
        <f t="array" ref="AN142">IFERROR(INDEX('HIV-Pharmaceuticals'!$Y$107:$Y$192,MATCH($E142&amp;$F142,'HIV-Pharmaceuticals'!$E$107:$E$192&amp;'HIV-Pharmaceuticals'!$I$107:$I$192,0)),0)</f>
        <v>0</v>
      </c>
      <c r="AO142" s="651">
        <f t="shared" si="93"/>
        <v>0</v>
      </c>
      <c r="AP142" s="652">
        <f t="shared" si="94"/>
        <v>0</v>
      </c>
      <c r="AQ142" s="652">
        <f t="shared" si="95"/>
        <v>0</v>
      </c>
      <c r="AR142" s="653"/>
      <c r="AS142" s="651">
        <f t="array" ref="AS142">IFERROR(INDEX('HIV-Pharmaceuticals'!$AB$107:$AB$192,MATCH($E142&amp;$F142,'HIV-Pharmaceuticals'!$E$107:$E$192&amp;'HIV-Pharmaceuticals'!$I$107:$I$192,0)),0)</f>
        <v>0</v>
      </c>
      <c r="AT142" s="651">
        <f t="array" ref="AT142">IFERROR(INDEX('HIV-Pharmaceuticals'!$AC$107:$AC$192,MATCH($E142&amp;$F142,'HIV-Pharmaceuticals'!$E$107:$E$192&amp;'HIV-Pharmaceuticals'!$I$107:$I$192,0)),0)</f>
        <v>0</v>
      </c>
      <c r="AU142" s="651">
        <f t="shared" si="96"/>
        <v>0</v>
      </c>
      <c r="AV142" s="652">
        <f t="shared" si="97"/>
        <v>0</v>
      </c>
      <c r="AW142" s="652">
        <f t="shared" si="98"/>
        <v>0</v>
      </c>
      <c r="AX142" s="651">
        <f t="array" ref="AX142">IFERROR(INDEX('HIV-Pharmaceuticals'!$AD$107:$AD$192,MATCH($E142&amp;$F142,'HIV-Pharmaceuticals'!$E$107:$E$192&amp;'HIV-Pharmaceuticals'!$I$107:$I$192,0)),0)</f>
        <v>0</v>
      </c>
      <c r="AY142" s="651">
        <f t="shared" si="99"/>
        <v>0</v>
      </c>
      <c r="AZ142" s="652">
        <f t="shared" si="100"/>
        <v>0</v>
      </c>
      <c r="BA142" s="652">
        <f t="shared" si="101"/>
        <v>0</v>
      </c>
      <c r="BB142" s="651">
        <f t="array" ref="BB142">IFERROR(INDEX('HIV-Pharmaceuticals'!$AE$107:$AE$192,MATCH($E142&amp;$F142,'HIV-Pharmaceuticals'!$E$107:$E$192&amp;'HIV-Pharmaceuticals'!$I$107:$I$192,0)),0)</f>
        <v>0</v>
      </c>
      <c r="BC142" s="651">
        <f t="shared" si="102"/>
        <v>0</v>
      </c>
      <c r="BD142" s="652">
        <f t="shared" si="103"/>
        <v>0</v>
      </c>
      <c r="BE142" s="652">
        <f t="shared" si="104"/>
        <v>0</v>
      </c>
      <c r="BF142" s="651">
        <f t="array" ref="BF142">IFERROR(INDEX('HIV-Pharmaceuticals'!$AF$107:$AF$192,MATCH($E142&amp;$F142,'HIV-Pharmaceuticals'!$E$107:$E$192&amp;'HIV-Pharmaceuticals'!$I$107:$I$192,0)),0)</f>
        <v>0</v>
      </c>
      <c r="BG142" s="651">
        <f t="shared" si="105"/>
        <v>0</v>
      </c>
      <c r="BH142" s="652">
        <f t="shared" si="106"/>
        <v>0</v>
      </c>
      <c r="BI142" s="652">
        <f t="shared" si="107"/>
        <v>0</v>
      </c>
      <c r="BK142" s="654"/>
      <c r="BL142" s="654"/>
      <c r="BM142" s="654"/>
      <c r="BN142" s="654"/>
      <c r="BO142" s="654"/>
      <c r="BP142" s="654"/>
      <c r="BQ142" s="654"/>
      <c r="BR142" s="654"/>
    </row>
    <row r="143" spans="1:70">
      <c r="A143" s="647" t="s">
        <v>1317</v>
      </c>
      <c r="B143" s="647" t="s">
        <v>2282</v>
      </c>
      <c r="C143" s="648">
        <f>SETUP!$F$22</f>
        <v>0</v>
      </c>
      <c r="D143" s="649">
        <v>4.7</v>
      </c>
      <c r="E143" s="647" t="s">
        <v>1419</v>
      </c>
      <c r="F143" s="647" t="s">
        <v>1420</v>
      </c>
      <c r="G143" s="650" t="str">
        <f t="array" ref="G143">IFERROR(INDEX('HIV-Pharmaceuticals'!$L$107:$L$192,MATCH($E143&amp;$F143,'HIV-Pharmaceuticals'!$E$107:$E$192&amp;'HIV-Pharmaceuticals'!$I$107:$I$192,0)),"")</f>
        <v/>
      </c>
      <c r="H143" s="650" t="str">
        <f t="array" ref="H143">IFERROR(INDEX('HIV-Pharmaceuticals'!$M$107:$M$192,MATCH($E143&amp;$F143,'HIV-Pharmaceuticals'!$E$107:$E$192&amp;'HIV-Pharmaceuticals'!$I$107:$I$192,0)),"")</f>
        <v/>
      </c>
      <c r="I143" s="651">
        <f t="array" ref="I143">IFERROR(INDEX('HIV-Pharmaceuticals'!$N$107:$N$192,MATCH($E143&amp;$F143,'HIV-Pharmaceuticals'!$E$107:$E$192&amp;'HIV-Pharmaceuticals'!$I$107:$I$192,0)),0)</f>
        <v>0</v>
      </c>
      <c r="J143" s="651">
        <f t="array" ref="J143">IFERROR(INDEX('HIV-Pharmaceuticals'!$O$107:$O$192,MATCH($E143&amp;$F143,'HIV-Pharmaceuticals'!$E$107:$E$192&amp;'HIV-Pharmaceuticals'!$I$107:$I$192,0)),0)</f>
        <v>0</v>
      </c>
      <c r="K143" s="652">
        <f t="shared" si="72"/>
        <v>0</v>
      </c>
      <c r="L143" s="652">
        <f t="shared" si="73"/>
        <v>0</v>
      </c>
      <c r="M143" s="652">
        <f t="shared" si="74"/>
        <v>0</v>
      </c>
      <c r="N143" s="651">
        <f t="array" ref="N143">IFERROR(INDEX('HIV-Pharmaceuticals'!$P$107:$P$192,MATCH($E143&amp;$F143,'HIV-Pharmaceuticals'!$E$107:$E$192&amp;'HIV-Pharmaceuticals'!$I$107:$I$192,0)),0)</f>
        <v>0</v>
      </c>
      <c r="O143" s="652">
        <f t="shared" si="75"/>
        <v>0</v>
      </c>
      <c r="P143" s="652">
        <f t="shared" si="76"/>
        <v>0</v>
      </c>
      <c r="Q143" s="652">
        <f t="shared" si="77"/>
        <v>0</v>
      </c>
      <c r="R143" s="651">
        <f t="array" ref="R143">IFERROR(INDEX('HIV-Pharmaceuticals'!$Q$107:$Q$192,MATCH($E143&amp;$F143,'HIV-Pharmaceuticals'!$E$107:$E$192&amp;'HIV-Pharmaceuticals'!$I$107:$I$192,0)),0)</f>
        <v>0</v>
      </c>
      <c r="S143" s="652">
        <f t="shared" si="78"/>
        <v>0</v>
      </c>
      <c r="T143" s="652">
        <f t="shared" si="79"/>
        <v>0</v>
      </c>
      <c r="U143" s="652">
        <f t="shared" si="80"/>
        <v>0</v>
      </c>
      <c r="V143" s="651">
        <f t="array" ref="V143">IFERROR(INDEX('HIV-Pharmaceuticals'!$R$107:$R$192,MATCH($E143&amp;$F143,'HIV-Pharmaceuticals'!$E$107:$E$192&amp;'HIV-Pharmaceuticals'!$I$107:$I$192,0)),0)</f>
        <v>0</v>
      </c>
      <c r="W143" s="652">
        <f t="shared" si="81"/>
        <v>0</v>
      </c>
      <c r="X143" s="652">
        <f t="shared" si="82"/>
        <v>0</v>
      </c>
      <c r="Y143" s="652">
        <f t="shared" si="83"/>
        <v>0</v>
      </c>
      <c r="Z143" s="653"/>
      <c r="AA143" s="651">
        <f t="array" ref="AA143">IFERROR(INDEX('HIV-Pharmaceuticals'!$U$107:$U$192,MATCH($E143&amp;$F143,'HIV-Pharmaceuticals'!$E$107:$E$192&amp;'HIV-Pharmaceuticals'!$I$107:$I$192,0)),0)</f>
        <v>0</v>
      </c>
      <c r="AB143" s="651">
        <f t="array" ref="AB143">IFERROR(INDEX('HIV-Pharmaceuticals'!$V$107:$V$192,MATCH($E143&amp;$F143,'HIV-Pharmaceuticals'!$E$107:$E$192&amp;'HIV-Pharmaceuticals'!$I$107:$I$192,0)),0)</f>
        <v>0</v>
      </c>
      <c r="AC143" s="651">
        <f t="shared" si="84"/>
        <v>0</v>
      </c>
      <c r="AD143" s="652">
        <f t="shared" si="85"/>
        <v>0</v>
      </c>
      <c r="AE143" s="652">
        <f t="shared" si="86"/>
        <v>0</v>
      </c>
      <c r="AF143" s="651">
        <f t="array" ref="AF143">IFERROR(INDEX('HIV-Pharmaceuticals'!$W$107:$W$192,MATCH($E143&amp;$F143,'HIV-Pharmaceuticals'!$E$107:$E$192&amp;'HIV-Pharmaceuticals'!$I$107:$I$192,0)),0)</f>
        <v>0</v>
      </c>
      <c r="AG143" s="651">
        <f t="shared" si="87"/>
        <v>0</v>
      </c>
      <c r="AH143" s="652">
        <f t="shared" si="88"/>
        <v>0</v>
      </c>
      <c r="AI143" s="652">
        <f t="shared" si="89"/>
        <v>0</v>
      </c>
      <c r="AJ143" s="651">
        <f t="array" ref="AJ143">IFERROR(INDEX('HIV-Pharmaceuticals'!$X$107:$X$192,MATCH($E143&amp;$F143,'HIV-Pharmaceuticals'!$E$107:$E$192&amp;'HIV-Pharmaceuticals'!$I$107:$I$192,0)),0)</f>
        <v>0</v>
      </c>
      <c r="AK143" s="651">
        <f t="shared" si="90"/>
        <v>0</v>
      </c>
      <c r="AL143" s="652">
        <f t="shared" si="91"/>
        <v>0</v>
      </c>
      <c r="AM143" s="652">
        <f t="shared" si="92"/>
        <v>0</v>
      </c>
      <c r="AN143" s="651">
        <f t="array" ref="AN143">IFERROR(INDEX('HIV-Pharmaceuticals'!$Y$107:$Y$192,MATCH($E143&amp;$F143,'HIV-Pharmaceuticals'!$E$107:$E$192&amp;'HIV-Pharmaceuticals'!$I$107:$I$192,0)),0)</f>
        <v>0</v>
      </c>
      <c r="AO143" s="651">
        <f t="shared" si="93"/>
        <v>0</v>
      </c>
      <c r="AP143" s="652">
        <f t="shared" si="94"/>
        <v>0</v>
      </c>
      <c r="AQ143" s="652">
        <f t="shared" si="95"/>
        <v>0</v>
      </c>
      <c r="AR143" s="653"/>
      <c r="AS143" s="651">
        <f t="array" ref="AS143">IFERROR(INDEX('HIV-Pharmaceuticals'!$AB$107:$AB$192,MATCH($E143&amp;$F143,'HIV-Pharmaceuticals'!$E$107:$E$192&amp;'HIV-Pharmaceuticals'!$I$107:$I$192,0)),0)</f>
        <v>0</v>
      </c>
      <c r="AT143" s="651">
        <f t="array" ref="AT143">IFERROR(INDEX('HIV-Pharmaceuticals'!$AC$107:$AC$192,MATCH($E143&amp;$F143,'HIV-Pharmaceuticals'!$E$107:$E$192&amp;'HIV-Pharmaceuticals'!$I$107:$I$192,0)),0)</f>
        <v>0</v>
      </c>
      <c r="AU143" s="651">
        <f t="shared" si="96"/>
        <v>0</v>
      </c>
      <c r="AV143" s="652">
        <f t="shared" si="97"/>
        <v>0</v>
      </c>
      <c r="AW143" s="652">
        <f t="shared" si="98"/>
        <v>0</v>
      </c>
      <c r="AX143" s="651">
        <f t="array" ref="AX143">IFERROR(INDEX('HIV-Pharmaceuticals'!$AD$107:$AD$192,MATCH($E143&amp;$F143,'HIV-Pharmaceuticals'!$E$107:$E$192&amp;'HIV-Pharmaceuticals'!$I$107:$I$192,0)),0)</f>
        <v>0</v>
      </c>
      <c r="AY143" s="651">
        <f t="shared" si="99"/>
        <v>0</v>
      </c>
      <c r="AZ143" s="652">
        <f t="shared" si="100"/>
        <v>0</v>
      </c>
      <c r="BA143" s="652">
        <f t="shared" si="101"/>
        <v>0</v>
      </c>
      <c r="BB143" s="651">
        <f t="array" ref="BB143">IFERROR(INDEX('HIV-Pharmaceuticals'!$AE$107:$AE$192,MATCH($E143&amp;$F143,'HIV-Pharmaceuticals'!$E$107:$E$192&amp;'HIV-Pharmaceuticals'!$I$107:$I$192,0)),0)</f>
        <v>0</v>
      </c>
      <c r="BC143" s="651">
        <f t="shared" si="102"/>
        <v>0</v>
      </c>
      <c r="BD143" s="652">
        <f t="shared" si="103"/>
        <v>0</v>
      </c>
      <c r="BE143" s="652">
        <f t="shared" si="104"/>
        <v>0</v>
      </c>
      <c r="BF143" s="651">
        <f t="array" ref="BF143">IFERROR(INDEX('HIV-Pharmaceuticals'!$AF$107:$AF$192,MATCH($E143&amp;$F143,'HIV-Pharmaceuticals'!$E$107:$E$192&amp;'HIV-Pharmaceuticals'!$I$107:$I$192,0)),0)</f>
        <v>0</v>
      </c>
      <c r="BG143" s="651">
        <f t="shared" si="105"/>
        <v>0</v>
      </c>
      <c r="BH143" s="652">
        <f t="shared" si="106"/>
        <v>0</v>
      </c>
      <c r="BI143" s="652">
        <f t="shared" si="107"/>
        <v>0</v>
      </c>
      <c r="BK143" s="654"/>
      <c r="BL143" s="654"/>
      <c r="BM143" s="654"/>
      <c r="BN143" s="654"/>
      <c r="BO143" s="654"/>
      <c r="BP143" s="654"/>
      <c r="BQ143" s="654"/>
      <c r="BR143" s="654"/>
    </row>
    <row r="144" spans="1:70">
      <c r="A144" s="647" t="s">
        <v>1317</v>
      </c>
      <c r="B144" s="647" t="s">
        <v>2282</v>
      </c>
      <c r="C144" s="648">
        <f>SETUP!$F$22</f>
        <v>0</v>
      </c>
      <c r="D144" s="649">
        <v>4.7</v>
      </c>
      <c r="E144" s="647" t="s">
        <v>1327</v>
      </c>
      <c r="F144" s="647" t="s">
        <v>1271</v>
      </c>
      <c r="G144" s="650" t="str">
        <f t="array" ref="G144">IFERROR(INDEX('HIV-Pharmaceuticals'!$L$107:$L$192,MATCH($E144&amp;$F144,'HIV-Pharmaceuticals'!$E$107:$E$192&amp;'HIV-Pharmaceuticals'!$I$107:$I$192,0)),"")</f>
        <v/>
      </c>
      <c r="H144" s="650" t="str">
        <f t="array" ref="H144">IFERROR(INDEX('HIV-Pharmaceuticals'!$M$107:$M$192,MATCH($E144&amp;$F144,'HIV-Pharmaceuticals'!$E$107:$E$192&amp;'HIV-Pharmaceuticals'!$I$107:$I$192,0)),"")</f>
        <v/>
      </c>
      <c r="I144" s="651">
        <f t="array" ref="I144">IFERROR(INDEX('HIV-Pharmaceuticals'!$N$107:$N$192,MATCH($E144&amp;$F144,'HIV-Pharmaceuticals'!$E$107:$E$192&amp;'HIV-Pharmaceuticals'!$I$107:$I$192,0)),0)</f>
        <v>0</v>
      </c>
      <c r="J144" s="651">
        <f t="array" ref="J144">IFERROR(INDEX('HIV-Pharmaceuticals'!$O$107:$O$192,MATCH($E144&amp;$F144,'HIV-Pharmaceuticals'!$E$107:$E$192&amp;'HIV-Pharmaceuticals'!$I$107:$I$192,0)),0)</f>
        <v>0</v>
      </c>
      <c r="K144" s="652">
        <f t="shared" si="72"/>
        <v>0</v>
      </c>
      <c r="L144" s="652">
        <f t="shared" si="73"/>
        <v>0</v>
      </c>
      <c r="M144" s="652">
        <f t="shared" si="74"/>
        <v>0</v>
      </c>
      <c r="N144" s="651">
        <f t="array" ref="N144">IFERROR(INDEX('HIV-Pharmaceuticals'!$P$107:$P$192,MATCH($E144&amp;$F144,'HIV-Pharmaceuticals'!$E$107:$E$192&amp;'HIV-Pharmaceuticals'!$I$107:$I$192,0)),0)</f>
        <v>0</v>
      </c>
      <c r="O144" s="652">
        <f t="shared" si="75"/>
        <v>0</v>
      </c>
      <c r="P144" s="652">
        <f t="shared" si="76"/>
        <v>0</v>
      </c>
      <c r="Q144" s="652">
        <f t="shared" si="77"/>
        <v>0</v>
      </c>
      <c r="R144" s="651">
        <f t="array" ref="R144">IFERROR(INDEX('HIV-Pharmaceuticals'!$Q$107:$Q$192,MATCH($E144&amp;$F144,'HIV-Pharmaceuticals'!$E$107:$E$192&amp;'HIV-Pharmaceuticals'!$I$107:$I$192,0)),0)</f>
        <v>0</v>
      </c>
      <c r="S144" s="652">
        <f t="shared" si="78"/>
        <v>0</v>
      </c>
      <c r="T144" s="652">
        <f t="shared" si="79"/>
        <v>0</v>
      </c>
      <c r="U144" s="652">
        <f t="shared" si="80"/>
        <v>0</v>
      </c>
      <c r="V144" s="651">
        <f t="array" ref="V144">IFERROR(INDEX('HIV-Pharmaceuticals'!$R$107:$R$192,MATCH($E144&amp;$F144,'HIV-Pharmaceuticals'!$E$107:$E$192&amp;'HIV-Pharmaceuticals'!$I$107:$I$192,0)),0)</f>
        <v>0</v>
      </c>
      <c r="W144" s="652">
        <f t="shared" si="81"/>
        <v>0</v>
      </c>
      <c r="X144" s="652">
        <f t="shared" si="82"/>
        <v>0</v>
      </c>
      <c r="Y144" s="652">
        <f t="shared" si="83"/>
        <v>0</v>
      </c>
      <c r="Z144" s="653"/>
      <c r="AA144" s="651">
        <f t="array" ref="AA144">IFERROR(INDEX('HIV-Pharmaceuticals'!$U$107:$U$192,MATCH($E144&amp;$F144,'HIV-Pharmaceuticals'!$E$107:$E$192&amp;'HIV-Pharmaceuticals'!$I$107:$I$192,0)),0)</f>
        <v>0</v>
      </c>
      <c r="AB144" s="651">
        <f t="array" ref="AB144">IFERROR(INDEX('HIV-Pharmaceuticals'!$V$107:$V$192,MATCH($E144&amp;$F144,'HIV-Pharmaceuticals'!$E$107:$E$192&amp;'HIV-Pharmaceuticals'!$I$107:$I$192,0)),0)</f>
        <v>0</v>
      </c>
      <c r="AC144" s="651">
        <f t="shared" si="84"/>
        <v>0</v>
      </c>
      <c r="AD144" s="652">
        <f t="shared" si="85"/>
        <v>0</v>
      </c>
      <c r="AE144" s="652">
        <f t="shared" si="86"/>
        <v>0</v>
      </c>
      <c r="AF144" s="651">
        <f t="array" ref="AF144">IFERROR(INDEX('HIV-Pharmaceuticals'!$W$107:$W$192,MATCH($E144&amp;$F144,'HIV-Pharmaceuticals'!$E$107:$E$192&amp;'HIV-Pharmaceuticals'!$I$107:$I$192,0)),0)</f>
        <v>0</v>
      </c>
      <c r="AG144" s="651">
        <f t="shared" si="87"/>
        <v>0</v>
      </c>
      <c r="AH144" s="652">
        <f t="shared" si="88"/>
        <v>0</v>
      </c>
      <c r="AI144" s="652">
        <f t="shared" si="89"/>
        <v>0</v>
      </c>
      <c r="AJ144" s="651">
        <f t="array" ref="AJ144">IFERROR(INDEX('HIV-Pharmaceuticals'!$X$107:$X$192,MATCH($E144&amp;$F144,'HIV-Pharmaceuticals'!$E$107:$E$192&amp;'HIV-Pharmaceuticals'!$I$107:$I$192,0)),0)</f>
        <v>0</v>
      </c>
      <c r="AK144" s="651">
        <f t="shared" si="90"/>
        <v>0</v>
      </c>
      <c r="AL144" s="652">
        <f t="shared" si="91"/>
        <v>0</v>
      </c>
      <c r="AM144" s="652">
        <f t="shared" si="92"/>
        <v>0</v>
      </c>
      <c r="AN144" s="651">
        <f t="array" ref="AN144">IFERROR(INDEX('HIV-Pharmaceuticals'!$Y$107:$Y$192,MATCH($E144&amp;$F144,'HIV-Pharmaceuticals'!$E$107:$E$192&amp;'HIV-Pharmaceuticals'!$I$107:$I$192,0)),0)</f>
        <v>0</v>
      </c>
      <c r="AO144" s="651">
        <f t="shared" si="93"/>
        <v>0</v>
      </c>
      <c r="AP144" s="652">
        <f t="shared" si="94"/>
        <v>0</v>
      </c>
      <c r="AQ144" s="652">
        <f t="shared" si="95"/>
        <v>0</v>
      </c>
      <c r="AR144" s="653"/>
      <c r="AS144" s="651">
        <f t="array" ref="AS144">IFERROR(INDEX('HIV-Pharmaceuticals'!$AB$107:$AB$192,MATCH($E144&amp;$F144,'HIV-Pharmaceuticals'!$E$107:$E$192&amp;'HIV-Pharmaceuticals'!$I$107:$I$192,0)),0)</f>
        <v>0</v>
      </c>
      <c r="AT144" s="651">
        <f t="array" ref="AT144">IFERROR(INDEX('HIV-Pharmaceuticals'!$AC$107:$AC$192,MATCH($E144&amp;$F144,'HIV-Pharmaceuticals'!$E$107:$E$192&amp;'HIV-Pharmaceuticals'!$I$107:$I$192,0)),0)</f>
        <v>0</v>
      </c>
      <c r="AU144" s="651">
        <f t="shared" si="96"/>
        <v>0</v>
      </c>
      <c r="AV144" s="652">
        <f t="shared" si="97"/>
        <v>0</v>
      </c>
      <c r="AW144" s="652">
        <f t="shared" si="98"/>
        <v>0</v>
      </c>
      <c r="AX144" s="651">
        <f t="array" ref="AX144">IFERROR(INDEX('HIV-Pharmaceuticals'!$AD$107:$AD$192,MATCH($E144&amp;$F144,'HIV-Pharmaceuticals'!$E$107:$E$192&amp;'HIV-Pharmaceuticals'!$I$107:$I$192,0)),0)</f>
        <v>0</v>
      </c>
      <c r="AY144" s="651">
        <f t="shared" si="99"/>
        <v>0</v>
      </c>
      <c r="AZ144" s="652">
        <f t="shared" si="100"/>
        <v>0</v>
      </c>
      <c r="BA144" s="652">
        <f t="shared" si="101"/>
        <v>0</v>
      </c>
      <c r="BB144" s="651">
        <f t="array" ref="BB144">IFERROR(INDEX('HIV-Pharmaceuticals'!$AE$107:$AE$192,MATCH($E144&amp;$F144,'HIV-Pharmaceuticals'!$E$107:$E$192&amp;'HIV-Pharmaceuticals'!$I$107:$I$192,0)),0)</f>
        <v>0</v>
      </c>
      <c r="BC144" s="651">
        <f t="shared" si="102"/>
        <v>0</v>
      </c>
      <c r="BD144" s="652">
        <f t="shared" si="103"/>
        <v>0</v>
      </c>
      <c r="BE144" s="652">
        <f t="shared" si="104"/>
        <v>0</v>
      </c>
      <c r="BF144" s="651">
        <f t="array" ref="BF144">IFERROR(INDEX('HIV-Pharmaceuticals'!$AF$107:$AF$192,MATCH($E144&amp;$F144,'HIV-Pharmaceuticals'!$E$107:$E$192&amp;'HIV-Pharmaceuticals'!$I$107:$I$192,0)),0)</f>
        <v>0</v>
      </c>
      <c r="BG144" s="651">
        <f t="shared" si="105"/>
        <v>0</v>
      </c>
      <c r="BH144" s="652">
        <f t="shared" si="106"/>
        <v>0</v>
      </c>
      <c r="BI144" s="652">
        <f t="shared" si="107"/>
        <v>0</v>
      </c>
      <c r="BK144" s="654"/>
      <c r="BL144" s="654"/>
      <c r="BM144" s="654"/>
      <c r="BN144" s="654"/>
      <c r="BO144" s="654"/>
      <c r="BP144" s="654"/>
      <c r="BQ144" s="654"/>
      <c r="BR144" s="654"/>
    </row>
    <row r="145" spans="1:70">
      <c r="A145" s="647" t="s">
        <v>1317</v>
      </c>
      <c r="B145" s="647" t="s">
        <v>2282</v>
      </c>
      <c r="C145" s="648">
        <f>SETUP!$F$22</f>
        <v>0</v>
      </c>
      <c r="D145" s="649">
        <v>4.7</v>
      </c>
      <c r="E145" s="647" t="s">
        <v>1327</v>
      </c>
      <c r="F145" s="647" t="s">
        <v>1421</v>
      </c>
      <c r="G145" s="650" t="str">
        <f t="array" ref="G145">IFERROR(INDEX('HIV-Pharmaceuticals'!$L$107:$L$192,MATCH($E145&amp;$F145,'HIV-Pharmaceuticals'!$E$107:$E$192&amp;'HIV-Pharmaceuticals'!$I$107:$I$192,0)),"")</f>
        <v/>
      </c>
      <c r="H145" s="650" t="str">
        <f t="array" ref="H145">IFERROR(INDEX('HIV-Pharmaceuticals'!$M$107:$M$192,MATCH($E145&amp;$F145,'HIV-Pharmaceuticals'!$E$107:$E$192&amp;'HIV-Pharmaceuticals'!$I$107:$I$192,0)),"")</f>
        <v/>
      </c>
      <c r="I145" s="651">
        <f t="array" ref="I145">IFERROR(INDEX('HIV-Pharmaceuticals'!$N$107:$N$192,MATCH($E145&amp;$F145,'HIV-Pharmaceuticals'!$E$107:$E$192&amp;'HIV-Pharmaceuticals'!$I$107:$I$192,0)),0)</f>
        <v>0</v>
      </c>
      <c r="J145" s="651">
        <f t="array" ref="J145">IFERROR(INDEX('HIV-Pharmaceuticals'!$O$107:$O$192,MATCH($E145&amp;$F145,'HIV-Pharmaceuticals'!$E$107:$E$192&amp;'HIV-Pharmaceuticals'!$I$107:$I$192,0)),0)</f>
        <v>0</v>
      </c>
      <c r="K145" s="652">
        <f t="shared" si="72"/>
        <v>0</v>
      </c>
      <c r="L145" s="652">
        <f t="shared" si="73"/>
        <v>0</v>
      </c>
      <c r="M145" s="652">
        <f t="shared" si="74"/>
        <v>0</v>
      </c>
      <c r="N145" s="651">
        <f t="array" ref="N145">IFERROR(INDEX('HIV-Pharmaceuticals'!$P$107:$P$192,MATCH($E145&amp;$F145,'HIV-Pharmaceuticals'!$E$107:$E$192&amp;'HIV-Pharmaceuticals'!$I$107:$I$192,0)),0)</f>
        <v>0</v>
      </c>
      <c r="O145" s="652">
        <f t="shared" si="75"/>
        <v>0</v>
      </c>
      <c r="P145" s="652">
        <f t="shared" si="76"/>
        <v>0</v>
      </c>
      <c r="Q145" s="652">
        <f t="shared" si="77"/>
        <v>0</v>
      </c>
      <c r="R145" s="651">
        <f t="array" ref="R145">IFERROR(INDEX('HIV-Pharmaceuticals'!$Q$107:$Q$192,MATCH($E145&amp;$F145,'HIV-Pharmaceuticals'!$E$107:$E$192&amp;'HIV-Pharmaceuticals'!$I$107:$I$192,0)),0)</f>
        <v>0</v>
      </c>
      <c r="S145" s="652">
        <f t="shared" si="78"/>
        <v>0</v>
      </c>
      <c r="T145" s="652">
        <f t="shared" si="79"/>
        <v>0</v>
      </c>
      <c r="U145" s="652">
        <f t="shared" si="80"/>
        <v>0</v>
      </c>
      <c r="V145" s="651">
        <f t="array" ref="V145">IFERROR(INDEX('HIV-Pharmaceuticals'!$R$107:$R$192,MATCH($E145&amp;$F145,'HIV-Pharmaceuticals'!$E$107:$E$192&amp;'HIV-Pharmaceuticals'!$I$107:$I$192,0)),0)</f>
        <v>0</v>
      </c>
      <c r="W145" s="652">
        <f t="shared" si="81"/>
        <v>0</v>
      </c>
      <c r="X145" s="652">
        <f t="shared" si="82"/>
        <v>0</v>
      </c>
      <c r="Y145" s="652">
        <f t="shared" si="83"/>
        <v>0</v>
      </c>
      <c r="Z145" s="653"/>
      <c r="AA145" s="651">
        <f t="array" ref="AA145">IFERROR(INDEX('HIV-Pharmaceuticals'!$U$107:$U$192,MATCH($E145&amp;$F145,'HIV-Pharmaceuticals'!$E$107:$E$192&amp;'HIV-Pharmaceuticals'!$I$107:$I$192,0)),0)</f>
        <v>0</v>
      </c>
      <c r="AB145" s="651">
        <f t="array" ref="AB145">IFERROR(INDEX('HIV-Pharmaceuticals'!$V$107:$V$192,MATCH($E145&amp;$F145,'HIV-Pharmaceuticals'!$E$107:$E$192&amp;'HIV-Pharmaceuticals'!$I$107:$I$192,0)),0)</f>
        <v>0</v>
      </c>
      <c r="AC145" s="651">
        <f t="shared" si="84"/>
        <v>0</v>
      </c>
      <c r="AD145" s="652">
        <f t="shared" si="85"/>
        <v>0</v>
      </c>
      <c r="AE145" s="652">
        <f t="shared" si="86"/>
        <v>0</v>
      </c>
      <c r="AF145" s="651">
        <f t="array" ref="AF145">IFERROR(INDEX('HIV-Pharmaceuticals'!$W$107:$W$192,MATCH($E145&amp;$F145,'HIV-Pharmaceuticals'!$E$107:$E$192&amp;'HIV-Pharmaceuticals'!$I$107:$I$192,0)),0)</f>
        <v>0</v>
      </c>
      <c r="AG145" s="651">
        <f t="shared" si="87"/>
        <v>0</v>
      </c>
      <c r="AH145" s="652">
        <f t="shared" si="88"/>
        <v>0</v>
      </c>
      <c r="AI145" s="652">
        <f t="shared" si="89"/>
        <v>0</v>
      </c>
      <c r="AJ145" s="651">
        <f t="array" ref="AJ145">IFERROR(INDEX('HIV-Pharmaceuticals'!$X$107:$X$192,MATCH($E145&amp;$F145,'HIV-Pharmaceuticals'!$E$107:$E$192&amp;'HIV-Pharmaceuticals'!$I$107:$I$192,0)),0)</f>
        <v>0</v>
      </c>
      <c r="AK145" s="651">
        <f t="shared" si="90"/>
        <v>0</v>
      </c>
      <c r="AL145" s="652">
        <f t="shared" si="91"/>
        <v>0</v>
      </c>
      <c r="AM145" s="652">
        <f t="shared" si="92"/>
        <v>0</v>
      </c>
      <c r="AN145" s="651">
        <f t="array" ref="AN145">IFERROR(INDEX('HIV-Pharmaceuticals'!$Y$107:$Y$192,MATCH($E145&amp;$F145,'HIV-Pharmaceuticals'!$E$107:$E$192&amp;'HIV-Pharmaceuticals'!$I$107:$I$192,0)),0)</f>
        <v>0</v>
      </c>
      <c r="AO145" s="651">
        <f t="shared" si="93"/>
        <v>0</v>
      </c>
      <c r="AP145" s="652">
        <f t="shared" si="94"/>
        <v>0</v>
      </c>
      <c r="AQ145" s="652">
        <f t="shared" si="95"/>
        <v>0</v>
      </c>
      <c r="AR145" s="653"/>
      <c r="AS145" s="651">
        <f t="array" ref="AS145">IFERROR(INDEX('HIV-Pharmaceuticals'!$AB$107:$AB$192,MATCH($E145&amp;$F145,'HIV-Pharmaceuticals'!$E$107:$E$192&amp;'HIV-Pharmaceuticals'!$I$107:$I$192,0)),0)</f>
        <v>0</v>
      </c>
      <c r="AT145" s="651">
        <f t="array" ref="AT145">IFERROR(INDEX('HIV-Pharmaceuticals'!$AC$107:$AC$192,MATCH($E145&amp;$F145,'HIV-Pharmaceuticals'!$E$107:$E$192&amp;'HIV-Pharmaceuticals'!$I$107:$I$192,0)),0)</f>
        <v>0</v>
      </c>
      <c r="AU145" s="651">
        <f t="shared" si="96"/>
        <v>0</v>
      </c>
      <c r="AV145" s="652">
        <f t="shared" si="97"/>
        <v>0</v>
      </c>
      <c r="AW145" s="652">
        <f t="shared" si="98"/>
        <v>0</v>
      </c>
      <c r="AX145" s="651">
        <f t="array" ref="AX145">IFERROR(INDEX('HIV-Pharmaceuticals'!$AD$107:$AD$192,MATCH($E145&amp;$F145,'HIV-Pharmaceuticals'!$E$107:$E$192&amp;'HIV-Pharmaceuticals'!$I$107:$I$192,0)),0)</f>
        <v>0</v>
      </c>
      <c r="AY145" s="651">
        <f t="shared" si="99"/>
        <v>0</v>
      </c>
      <c r="AZ145" s="652">
        <f t="shared" si="100"/>
        <v>0</v>
      </c>
      <c r="BA145" s="652">
        <f t="shared" si="101"/>
        <v>0</v>
      </c>
      <c r="BB145" s="651">
        <f t="array" ref="BB145">IFERROR(INDEX('HIV-Pharmaceuticals'!$AE$107:$AE$192,MATCH($E145&amp;$F145,'HIV-Pharmaceuticals'!$E$107:$E$192&amp;'HIV-Pharmaceuticals'!$I$107:$I$192,0)),0)</f>
        <v>0</v>
      </c>
      <c r="BC145" s="651">
        <f t="shared" si="102"/>
        <v>0</v>
      </c>
      <c r="BD145" s="652">
        <f t="shared" si="103"/>
        <v>0</v>
      </c>
      <c r="BE145" s="652">
        <f t="shared" si="104"/>
        <v>0</v>
      </c>
      <c r="BF145" s="651">
        <f t="array" ref="BF145">IFERROR(INDEX('HIV-Pharmaceuticals'!$AF$107:$AF$192,MATCH($E145&amp;$F145,'HIV-Pharmaceuticals'!$E$107:$E$192&amp;'HIV-Pharmaceuticals'!$I$107:$I$192,0)),0)</f>
        <v>0</v>
      </c>
      <c r="BG145" s="651">
        <f t="shared" si="105"/>
        <v>0</v>
      </c>
      <c r="BH145" s="652">
        <f t="shared" si="106"/>
        <v>0</v>
      </c>
      <c r="BI145" s="652">
        <f t="shared" si="107"/>
        <v>0</v>
      </c>
      <c r="BK145" s="654"/>
      <c r="BL145" s="654"/>
      <c r="BM145" s="654"/>
      <c r="BN145" s="654"/>
      <c r="BO145" s="654"/>
      <c r="BP145" s="654"/>
      <c r="BQ145" s="654"/>
      <c r="BR145" s="654"/>
    </row>
    <row r="146" spans="1:70">
      <c r="A146" s="647" t="s">
        <v>1317</v>
      </c>
      <c r="B146" s="647" t="s">
        <v>2282</v>
      </c>
      <c r="C146" s="648">
        <f>SETUP!$F$22</f>
        <v>0</v>
      </c>
      <c r="D146" s="649">
        <v>4.7</v>
      </c>
      <c r="E146" s="647" t="s">
        <v>1328</v>
      </c>
      <c r="F146" s="647" t="s">
        <v>1422</v>
      </c>
      <c r="G146" s="650" t="str">
        <f t="array" ref="G146">IFERROR(INDEX('HIV-Pharmaceuticals'!$L$107:$L$192,MATCH($E146&amp;$F146,'HIV-Pharmaceuticals'!$E$107:$E$192&amp;'HIV-Pharmaceuticals'!$I$107:$I$192,0)),"")</f>
        <v/>
      </c>
      <c r="H146" s="650" t="str">
        <f t="array" ref="H146">IFERROR(INDEX('HIV-Pharmaceuticals'!$M$107:$M$192,MATCH($E146&amp;$F146,'HIV-Pharmaceuticals'!$E$107:$E$192&amp;'HIV-Pharmaceuticals'!$I$107:$I$192,0)),"")</f>
        <v/>
      </c>
      <c r="I146" s="651">
        <f t="array" ref="I146">IFERROR(INDEX('HIV-Pharmaceuticals'!$N$107:$N$192,MATCH($E146&amp;$F146,'HIV-Pharmaceuticals'!$E$107:$E$192&amp;'HIV-Pharmaceuticals'!$I$107:$I$192,0)),0)</f>
        <v>0</v>
      </c>
      <c r="J146" s="651">
        <f t="array" ref="J146">IFERROR(INDEX('HIV-Pharmaceuticals'!$O$107:$O$192,MATCH($E146&amp;$F146,'HIV-Pharmaceuticals'!$E$107:$E$192&amp;'HIV-Pharmaceuticals'!$I$107:$I$192,0)),0)</f>
        <v>0</v>
      </c>
      <c r="K146" s="652">
        <f t="shared" si="72"/>
        <v>0</v>
      </c>
      <c r="L146" s="652">
        <f t="shared" si="73"/>
        <v>0</v>
      </c>
      <c r="M146" s="652">
        <f t="shared" si="74"/>
        <v>0</v>
      </c>
      <c r="N146" s="651">
        <f t="array" ref="N146">IFERROR(INDEX('HIV-Pharmaceuticals'!$P$107:$P$192,MATCH($E146&amp;$F146,'HIV-Pharmaceuticals'!$E$107:$E$192&amp;'HIV-Pharmaceuticals'!$I$107:$I$192,0)),0)</f>
        <v>0</v>
      </c>
      <c r="O146" s="652">
        <f t="shared" si="75"/>
        <v>0</v>
      </c>
      <c r="P146" s="652">
        <f t="shared" si="76"/>
        <v>0</v>
      </c>
      <c r="Q146" s="652">
        <f t="shared" si="77"/>
        <v>0</v>
      </c>
      <c r="R146" s="651">
        <f t="array" ref="R146">IFERROR(INDEX('HIV-Pharmaceuticals'!$Q$107:$Q$192,MATCH($E146&amp;$F146,'HIV-Pharmaceuticals'!$E$107:$E$192&amp;'HIV-Pharmaceuticals'!$I$107:$I$192,0)),0)</f>
        <v>0</v>
      </c>
      <c r="S146" s="652">
        <f t="shared" si="78"/>
        <v>0</v>
      </c>
      <c r="T146" s="652">
        <f t="shared" si="79"/>
        <v>0</v>
      </c>
      <c r="U146" s="652">
        <f t="shared" si="80"/>
        <v>0</v>
      </c>
      <c r="V146" s="651">
        <f t="array" ref="V146">IFERROR(INDEX('HIV-Pharmaceuticals'!$R$107:$R$192,MATCH($E146&amp;$F146,'HIV-Pharmaceuticals'!$E$107:$E$192&amp;'HIV-Pharmaceuticals'!$I$107:$I$192,0)),0)</f>
        <v>0</v>
      </c>
      <c r="W146" s="652">
        <f t="shared" si="81"/>
        <v>0</v>
      </c>
      <c r="X146" s="652">
        <f t="shared" si="82"/>
        <v>0</v>
      </c>
      <c r="Y146" s="652">
        <f t="shared" si="83"/>
        <v>0</v>
      </c>
      <c r="Z146" s="653"/>
      <c r="AA146" s="651">
        <f t="array" ref="AA146">IFERROR(INDEX('HIV-Pharmaceuticals'!$U$107:$U$192,MATCH($E146&amp;$F146,'HIV-Pharmaceuticals'!$E$107:$E$192&amp;'HIV-Pharmaceuticals'!$I$107:$I$192,0)),0)</f>
        <v>0</v>
      </c>
      <c r="AB146" s="651">
        <f t="array" ref="AB146">IFERROR(INDEX('HIV-Pharmaceuticals'!$V$107:$V$192,MATCH($E146&amp;$F146,'HIV-Pharmaceuticals'!$E$107:$E$192&amp;'HIV-Pharmaceuticals'!$I$107:$I$192,0)),0)</f>
        <v>0</v>
      </c>
      <c r="AC146" s="651">
        <f t="shared" si="84"/>
        <v>0</v>
      </c>
      <c r="AD146" s="652">
        <f t="shared" si="85"/>
        <v>0</v>
      </c>
      <c r="AE146" s="652">
        <f t="shared" si="86"/>
        <v>0</v>
      </c>
      <c r="AF146" s="651">
        <f t="array" ref="AF146">IFERROR(INDEX('HIV-Pharmaceuticals'!$W$107:$W$192,MATCH($E146&amp;$F146,'HIV-Pharmaceuticals'!$E$107:$E$192&amp;'HIV-Pharmaceuticals'!$I$107:$I$192,0)),0)</f>
        <v>0</v>
      </c>
      <c r="AG146" s="651">
        <f t="shared" si="87"/>
        <v>0</v>
      </c>
      <c r="AH146" s="652">
        <f t="shared" si="88"/>
        <v>0</v>
      </c>
      <c r="AI146" s="652">
        <f t="shared" si="89"/>
        <v>0</v>
      </c>
      <c r="AJ146" s="651">
        <f t="array" ref="AJ146">IFERROR(INDEX('HIV-Pharmaceuticals'!$X$107:$X$192,MATCH($E146&amp;$F146,'HIV-Pharmaceuticals'!$E$107:$E$192&amp;'HIV-Pharmaceuticals'!$I$107:$I$192,0)),0)</f>
        <v>0</v>
      </c>
      <c r="AK146" s="651">
        <f t="shared" si="90"/>
        <v>0</v>
      </c>
      <c r="AL146" s="652">
        <f t="shared" si="91"/>
        <v>0</v>
      </c>
      <c r="AM146" s="652">
        <f t="shared" si="92"/>
        <v>0</v>
      </c>
      <c r="AN146" s="651">
        <f t="array" ref="AN146">IFERROR(INDEX('HIV-Pharmaceuticals'!$Y$107:$Y$192,MATCH($E146&amp;$F146,'HIV-Pharmaceuticals'!$E$107:$E$192&amp;'HIV-Pharmaceuticals'!$I$107:$I$192,0)),0)</f>
        <v>0</v>
      </c>
      <c r="AO146" s="651">
        <f t="shared" si="93"/>
        <v>0</v>
      </c>
      <c r="AP146" s="652">
        <f t="shared" si="94"/>
        <v>0</v>
      </c>
      <c r="AQ146" s="652">
        <f t="shared" si="95"/>
        <v>0</v>
      </c>
      <c r="AR146" s="653"/>
      <c r="AS146" s="651">
        <f t="array" ref="AS146">IFERROR(INDEX('HIV-Pharmaceuticals'!$AB$107:$AB$192,MATCH($E146&amp;$F146,'HIV-Pharmaceuticals'!$E$107:$E$192&amp;'HIV-Pharmaceuticals'!$I$107:$I$192,0)),0)</f>
        <v>0</v>
      </c>
      <c r="AT146" s="651">
        <f t="array" ref="AT146">IFERROR(INDEX('HIV-Pharmaceuticals'!$AC$107:$AC$192,MATCH($E146&amp;$F146,'HIV-Pharmaceuticals'!$E$107:$E$192&amp;'HIV-Pharmaceuticals'!$I$107:$I$192,0)),0)</f>
        <v>0</v>
      </c>
      <c r="AU146" s="651">
        <f t="shared" si="96"/>
        <v>0</v>
      </c>
      <c r="AV146" s="652">
        <f t="shared" si="97"/>
        <v>0</v>
      </c>
      <c r="AW146" s="652">
        <f t="shared" si="98"/>
        <v>0</v>
      </c>
      <c r="AX146" s="651">
        <f t="array" ref="AX146">IFERROR(INDEX('HIV-Pharmaceuticals'!$AD$107:$AD$192,MATCH($E146&amp;$F146,'HIV-Pharmaceuticals'!$E$107:$E$192&amp;'HIV-Pharmaceuticals'!$I$107:$I$192,0)),0)</f>
        <v>0</v>
      </c>
      <c r="AY146" s="651">
        <f t="shared" si="99"/>
        <v>0</v>
      </c>
      <c r="AZ146" s="652">
        <f t="shared" si="100"/>
        <v>0</v>
      </c>
      <c r="BA146" s="652">
        <f t="shared" si="101"/>
        <v>0</v>
      </c>
      <c r="BB146" s="651">
        <f t="array" ref="BB146">IFERROR(INDEX('HIV-Pharmaceuticals'!$AE$107:$AE$192,MATCH($E146&amp;$F146,'HIV-Pharmaceuticals'!$E$107:$E$192&amp;'HIV-Pharmaceuticals'!$I$107:$I$192,0)),0)</f>
        <v>0</v>
      </c>
      <c r="BC146" s="651">
        <f t="shared" si="102"/>
        <v>0</v>
      </c>
      <c r="BD146" s="652">
        <f t="shared" si="103"/>
        <v>0</v>
      </c>
      <c r="BE146" s="652">
        <f t="shared" si="104"/>
        <v>0</v>
      </c>
      <c r="BF146" s="651">
        <f t="array" ref="BF146">IFERROR(INDEX('HIV-Pharmaceuticals'!$AF$107:$AF$192,MATCH($E146&amp;$F146,'HIV-Pharmaceuticals'!$E$107:$E$192&amp;'HIV-Pharmaceuticals'!$I$107:$I$192,0)),0)</f>
        <v>0</v>
      </c>
      <c r="BG146" s="651">
        <f t="shared" si="105"/>
        <v>0</v>
      </c>
      <c r="BH146" s="652">
        <f t="shared" si="106"/>
        <v>0</v>
      </c>
      <c r="BI146" s="652">
        <f t="shared" si="107"/>
        <v>0</v>
      </c>
      <c r="BK146" s="654"/>
      <c r="BL146" s="654"/>
      <c r="BM146" s="654"/>
      <c r="BN146" s="654"/>
      <c r="BO146" s="654"/>
      <c r="BP146" s="654"/>
      <c r="BQ146" s="654"/>
      <c r="BR146" s="654"/>
    </row>
    <row r="147" spans="1:70">
      <c r="A147" s="647" t="s">
        <v>1317</v>
      </c>
      <c r="B147" s="647" t="s">
        <v>2282</v>
      </c>
      <c r="C147" s="648">
        <f>SETUP!$F$22</f>
        <v>0</v>
      </c>
      <c r="D147" s="649">
        <v>4.7</v>
      </c>
      <c r="E147" s="647" t="s">
        <v>1328</v>
      </c>
      <c r="F147" s="647" t="s">
        <v>1423</v>
      </c>
      <c r="G147" s="650" t="str">
        <f t="array" ref="G147">IFERROR(INDEX('HIV-Pharmaceuticals'!$L$107:$L$192,MATCH($E147&amp;$F147,'HIV-Pharmaceuticals'!$E$107:$E$192&amp;'HIV-Pharmaceuticals'!$I$107:$I$192,0)),"")</f>
        <v/>
      </c>
      <c r="H147" s="650" t="str">
        <f t="array" ref="H147">IFERROR(INDEX('HIV-Pharmaceuticals'!$M$107:$M$192,MATCH($E147&amp;$F147,'HIV-Pharmaceuticals'!$E$107:$E$192&amp;'HIV-Pharmaceuticals'!$I$107:$I$192,0)),"")</f>
        <v/>
      </c>
      <c r="I147" s="651">
        <f t="array" ref="I147">IFERROR(INDEX('HIV-Pharmaceuticals'!$N$107:$N$192,MATCH($E147&amp;$F147,'HIV-Pharmaceuticals'!$E$107:$E$192&amp;'HIV-Pharmaceuticals'!$I$107:$I$192,0)),0)</f>
        <v>0</v>
      </c>
      <c r="J147" s="651">
        <f t="array" ref="J147">IFERROR(INDEX('HIV-Pharmaceuticals'!$O$107:$O$192,MATCH($E147&amp;$F147,'HIV-Pharmaceuticals'!$E$107:$E$192&amp;'HIV-Pharmaceuticals'!$I$107:$I$192,0)),0)</f>
        <v>0</v>
      </c>
      <c r="K147" s="652">
        <f t="shared" si="72"/>
        <v>0</v>
      </c>
      <c r="L147" s="652">
        <f t="shared" si="73"/>
        <v>0</v>
      </c>
      <c r="M147" s="652">
        <f t="shared" si="74"/>
        <v>0</v>
      </c>
      <c r="N147" s="651">
        <f t="array" ref="N147">IFERROR(INDEX('HIV-Pharmaceuticals'!$P$107:$P$192,MATCH($E147&amp;$F147,'HIV-Pharmaceuticals'!$E$107:$E$192&amp;'HIV-Pharmaceuticals'!$I$107:$I$192,0)),0)</f>
        <v>0</v>
      </c>
      <c r="O147" s="652">
        <f t="shared" si="75"/>
        <v>0</v>
      </c>
      <c r="P147" s="652">
        <f t="shared" si="76"/>
        <v>0</v>
      </c>
      <c r="Q147" s="652">
        <f t="shared" si="77"/>
        <v>0</v>
      </c>
      <c r="R147" s="651">
        <f t="array" ref="R147">IFERROR(INDEX('HIV-Pharmaceuticals'!$Q$107:$Q$192,MATCH($E147&amp;$F147,'HIV-Pharmaceuticals'!$E$107:$E$192&amp;'HIV-Pharmaceuticals'!$I$107:$I$192,0)),0)</f>
        <v>0</v>
      </c>
      <c r="S147" s="652">
        <f t="shared" si="78"/>
        <v>0</v>
      </c>
      <c r="T147" s="652">
        <f t="shared" si="79"/>
        <v>0</v>
      </c>
      <c r="U147" s="652">
        <f t="shared" si="80"/>
        <v>0</v>
      </c>
      <c r="V147" s="651">
        <f t="array" ref="V147">IFERROR(INDEX('HIV-Pharmaceuticals'!$R$107:$R$192,MATCH($E147&amp;$F147,'HIV-Pharmaceuticals'!$E$107:$E$192&amp;'HIV-Pharmaceuticals'!$I$107:$I$192,0)),0)</f>
        <v>0</v>
      </c>
      <c r="W147" s="652">
        <f t="shared" si="81"/>
        <v>0</v>
      </c>
      <c r="X147" s="652">
        <f t="shared" si="82"/>
        <v>0</v>
      </c>
      <c r="Y147" s="652">
        <f t="shared" si="83"/>
        <v>0</v>
      </c>
      <c r="Z147" s="653"/>
      <c r="AA147" s="651">
        <f t="array" ref="AA147">IFERROR(INDEX('HIV-Pharmaceuticals'!$U$107:$U$192,MATCH($E147&amp;$F147,'HIV-Pharmaceuticals'!$E$107:$E$192&amp;'HIV-Pharmaceuticals'!$I$107:$I$192,0)),0)</f>
        <v>0</v>
      </c>
      <c r="AB147" s="651">
        <f t="array" ref="AB147">IFERROR(INDEX('HIV-Pharmaceuticals'!$V$107:$V$192,MATCH($E147&amp;$F147,'HIV-Pharmaceuticals'!$E$107:$E$192&amp;'HIV-Pharmaceuticals'!$I$107:$I$192,0)),0)</f>
        <v>0</v>
      </c>
      <c r="AC147" s="651">
        <f t="shared" si="84"/>
        <v>0</v>
      </c>
      <c r="AD147" s="652">
        <f t="shared" si="85"/>
        <v>0</v>
      </c>
      <c r="AE147" s="652">
        <f t="shared" si="86"/>
        <v>0</v>
      </c>
      <c r="AF147" s="651">
        <f t="array" ref="AF147">IFERROR(INDEX('HIV-Pharmaceuticals'!$W$107:$W$192,MATCH($E147&amp;$F147,'HIV-Pharmaceuticals'!$E$107:$E$192&amp;'HIV-Pharmaceuticals'!$I$107:$I$192,0)),0)</f>
        <v>0</v>
      </c>
      <c r="AG147" s="651">
        <f t="shared" si="87"/>
        <v>0</v>
      </c>
      <c r="AH147" s="652">
        <f t="shared" si="88"/>
        <v>0</v>
      </c>
      <c r="AI147" s="652">
        <f t="shared" si="89"/>
        <v>0</v>
      </c>
      <c r="AJ147" s="651">
        <f t="array" ref="AJ147">IFERROR(INDEX('HIV-Pharmaceuticals'!$X$107:$X$192,MATCH($E147&amp;$F147,'HIV-Pharmaceuticals'!$E$107:$E$192&amp;'HIV-Pharmaceuticals'!$I$107:$I$192,0)),0)</f>
        <v>0</v>
      </c>
      <c r="AK147" s="651">
        <f t="shared" si="90"/>
        <v>0</v>
      </c>
      <c r="AL147" s="652">
        <f t="shared" si="91"/>
        <v>0</v>
      </c>
      <c r="AM147" s="652">
        <f t="shared" si="92"/>
        <v>0</v>
      </c>
      <c r="AN147" s="651">
        <f t="array" ref="AN147">IFERROR(INDEX('HIV-Pharmaceuticals'!$Y$107:$Y$192,MATCH($E147&amp;$F147,'HIV-Pharmaceuticals'!$E$107:$E$192&amp;'HIV-Pharmaceuticals'!$I$107:$I$192,0)),0)</f>
        <v>0</v>
      </c>
      <c r="AO147" s="651">
        <f t="shared" si="93"/>
        <v>0</v>
      </c>
      <c r="AP147" s="652">
        <f t="shared" si="94"/>
        <v>0</v>
      </c>
      <c r="AQ147" s="652">
        <f t="shared" si="95"/>
        <v>0</v>
      </c>
      <c r="AR147" s="653"/>
      <c r="AS147" s="651">
        <f t="array" ref="AS147">IFERROR(INDEX('HIV-Pharmaceuticals'!$AB$107:$AB$192,MATCH($E147&amp;$F147,'HIV-Pharmaceuticals'!$E$107:$E$192&amp;'HIV-Pharmaceuticals'!$I$107:$I$192,0)),0)</f>
        <v>0</v>
      </c>
      <c r="AT147" s="651">
        <f t="array" ref="AT147">IFERROR(INDEX('HIV-Pharmaceuticals'!$AC$107:$AC$192,MATCH($E147&amp;$F147,'HIV-Pharmaceuticals'!$E$107:$E$192&amp;'HIV-Pharmaceuticals'!$I$107:$I$192,0)),0)</f>
        <v>0</v>
      </c>
      <c r="AU147" s="651">
        <f t="shared" si="96"/>
        <v>0</v>
      </c>
      <c r="AV147" s="652">
        <f t="shared" si="97"/>
        <v>0</v>
      </c>
      <c r="AW147" s="652">
        <f t="shared" si="98"/>
        <v>0</v>
      </c>
      <c r="AX147" s="651">
        <f t="array" ref="AX147">IFERROR(INDEX('HIV-Pharmaceuticals'!$AD$107:$AD$192,MATCH($E147&amp;$F147,'HIV-Pharmaceuticals'!$E$107:$E$192&amp;'HIV-Pharmaceuticals'!$I$107:$I$192,0)),0)</f>
        <v>0</v>
      </c>
      <c r="AY147" s="651">
        <f t="shared" si="99"/>
        <v>0</v>
      </c>
      <c r="AZ147" s="652">
        <f t="shared" si="100"/>
        <v>0</v>
      </c>
      <c r="BA147" s="652">
        <f t="shared" si="101"/>
        <v>0</v>
      </c>
      <c r="BB147" s="651">
        <f t="array" ref="BB147">IFERROR(INDEX('HIV-Pharmaceuticals'!$AE$107:$AE$192,MATCH($E147&amp;$F147,'HIV-Pharmaceuticals'!$E$107:$E$192&amp;'HIV-Pharmaceuticals'!$I$107:$I$192,0)),0)</f>
        <v>0</v>
      </c>
      <c r="BC147" s="651">
        <f t="shared" si="102"/>
        <v>0</v>
      </c>
      <c r="BD147" s="652">
        <f t="shared" si="103"/>
        <v>0</v>
      </c>
      <c r="BE147" s="652">
        <f t="shared" si="104"/>
        <v>0</v>
      </c>
      <c r="BF147" s="651">
        <f t="array" ref="BF147">IFERROR(INDEX('HIV-Pharmaceuticals'!$AF$107:$AF$192,MATCH($E147&amp;$F147,'HIV-Pharmaceuticals'!$E$107:$E$192&amp;'HIV-Pharmaceuticals'!$I$107:$I$192,0)),0)</f>
        <v>0</v>
      </c>
      <c r="BG147" s="651">
        <f t="shared" si="105"/>
        <v>0</v>
      </c>
      <c r="BH147" s="652">
        <f t="shared" si="106"/>
        <v>0</v>
      </c>
      <c r="BI147" s="652">
        <f t="shared" si="107"/>
        <v>0</v>
      </c>
      <c r="BK147" s="654"/>
      <c r="BL147" s="654"/>
      <c r="BM147" s="654"/>
      <c r="BN147" s="654"/>
      <c r="BO147" s="654"/>
      <c r="BP147" s="654"/>
      <c r="BQ147" s="654"/>
      <c r="BR147" s="654"/>
    </row>
    <row r="148" spans="1:70">
      <c r="A148" s="647" t="s">
        <v>1317</v>
      </c>
      <c r="B148" s="647" t="s">
        <v>2282</v>
      </c>
      <c r="C148" s="648">
        <f>SETUP!$F$22</f>
        <v>0</v>
      </c>
      <c r="D148" s="649">
        <v>4.7</v>
      </c>
      <c r="E148" s="647" t="s">
        <v>1336</v>
      </c>
      <c r="F148" s="647" t="s">
        <v>1424</v>
      </c>
      <c r="G148" s="650" t="str">
        <f t="array" ref="G148">IFERROR(INDEX('HIV-Pharmaceuticals'!$L$107:$L$192,MATCH($E148&amp;$F148,'HIV-Pharmaceuticals'!$E$107:$E$192&amp;'HIV-Pharmaceuticals'!$I$107:$I$192,0)),"")</f>
        <v/>
      </c>
      <c r="H148" s="650" t="str">
        <f t="array" ref="H148">IFERROR(INDEX('HIV-Pharmaceuticals'!$M$107:$M$192,MATCH($E148&amp;$F148,'HIV-Pharmaceuticals'!$E$107:$E$192&amp;'HIV-Pharmaceuticals'!$I$107:$I$192,0)),"")</f>
        <v/>
      </c>
      <c r="I148" s="651">
        <f t="array" ref="I148">IFERROR(INDEX('HIV-Pharmaceuticals'!$N$107:$N$192,MATCH($E148&amp;$F148,'HIV-Pharmaceuticals'!$E$107:$E$192&amp;'HIV-Pharmaceuticals'!$I$107:$I$192,0)),0)</f>
        <v>0</v>
      </c>
      <c r="J148" s="651">
        <f t="array" ref="J148">IFERROR(INDEX('HIV-Pharmaceuticals'!$O$107:$O$192,MATCH($E148&amp;$F148,'HIV-Pharmaceuticals'!$E$107:$E$192&amp;'HIV-Pharmaceuticals'!$I$107:$I$192,0)),0)</f>
        <v>0</v>
      </c>
      <c r="K148" s="652">
        <f t="shared" si="72"/>
        <v>0</v>
      </c>
      <c r="L148" s="652">
        <f t="shared" si="73"/>
        <v>0</v>
      </c>
      <c r="M148" s="652">
        <f t="shared" si="74"/>
        <v>0</v>
      </c>
      <c r="N148" s="651">
        <f t="array" ref="N148">IFERROR(INDEX('HIV-Pharmaceuticals'!$P$107:$P$192,MATCH($E148&amp;$F148,'HIV-Pharmaceuticals'!$E$107:$E$192&amp;'HIV-Pharmaceuticals'!$I$107:$I$192,0)),0)</f>
        <v>0</v>
      </c>
      <c r="O148" s="652">
        <f t="shared" si="75"/>
        <v>0</v>
      </c>
      <c r="P148" s="652">
        <f t="shared" si="76"/>
        <v>0</v>
      </c>
      <c r="Q148" s="652">
        <f t="shared" si="77"/>
        <v>0</v>
      </c>
      <c r="R148" s="651">
        <f t="array" ref="R148">IFERROR(INDEX('HIV-Pharmaceuticals'!$Q$107:$Q$192,MATCH($E148&amp;$F148,'HIV-Pharmaceuticals'!$E$107:$E$192&amp;'HIV-Pharmaceuticals'!$I$107:$I$192,0)),0)</f>
        <v>0</v>
      </c>
      <c r="S148" s="652">
        <f t="shared" si="78"/>
        <v>0</v>
      </c>
      <c r="T148" s="652">
        <f t="shared" si="79"/>
        <v>0</v>
      </c>
      <c r="U148" s="652">
        <f t="shared" si="80"/>
        <v>0</v>
      </c>
      <c r="V148" s="651">
        <f t="array" ref="V148">IFERROR(INDEX('HIV-Pharmaceuticals'!$R$107:$R$192,MATCH($E148&amp;$F148,'HIV-Pharmaceuticals'!$E$107:$E$192&amp;'HIV-Pharmaceuticals'!$I$107:$I$192,0)),0)</f>
        <v>0</v>
      </c>
      <c r="W148" s="652">
        <f t="shared" si="81"/>
        <v>0</v>
      </c>
      <c r="X148" s="652">
        <f t="shared" si="82"/>
        <v>0</v>
      </c>
      <c r="Y148" s="652">
        <f t="shared" si="83"/>
        <v>0</v>
      </c>
      <c r="Z148" s="653"/>
      <c r="AA148" s="651">
        <f t="array" ref="AA148">IFERROR(INDEX('HIV-Pharmaceuticals'!$U$107:$U$192,MATCH($E148&amp;$F148,'HIV-Pharmaceuticals'!$E$107:$E$192&amp;'HIV-Pharmaceuticals'!$I$107:$I$192,0)),0)</f>
        <v>0</v>
      </c>
      <c r="AB148" s="651">
        <f t="array" ref="AB148">IFERROR(INDEX('HIV-Pharmaceuticals'!$V$107:$V$192,MATCH($E148&amp;$F148,'HIV-Pharmaceuticals'!$E$107:$E$192&amp;'HIV-Pharmaceuticals'!$I$107:$I$192,0)),0)</f>
        <v>0</v>
      </c>
      <c r="AC148" s="651">
        <f t="shared" si="84"/>
        <v>0</v>
      </c>
      <c r="AD148" s="652">
        <f t="shared" si="85"/>
        <v>0</v>
      </c>
      <c r="AE148" s="652">
        <f t="shared" si="86"/>
        <v>0</v>
      </c>
      <c r="AF148" s="651">
        <f t="array" ref="AF148">IFERROR(INDEX('HIV-Pharmaceuticals'!$W$107:$W$192,MATCH($E148&amp;$F148,'HIV-Pharmaceuticals'!$E$107:$E$192&amp;'HIV-Pharmaceuticals'!$I$107:$I$192,0)),0)</f>
        <v>0</v>
      </c>
      <c r="AG148" s="651">
        <f t="shared" si="87"/>
        <v>0</v>
      </c>
      <c r="AH148" s="652">
        <f t="shared" si="88"/>
        <v>0</v>
      </c>
      <c r="AI148" s="652">
        <f t="shared" si="89"/>
        <v>0</v>
      </c>
      <c r="AJ148" s="651">
        <f t="array" ref="AJ148">IFERROR(INDEX('HIV-Pharmaceuticals'!$X$107:$X$192,MATCH($E148&amp;$F148,'HIV-Pharmaceuticals'!$E$107:$E$192&amp;'HIV-Pharmaceuticals'!$I$107:$I$192,0)),0)</f>
        <v>0</v>
      </c>
      <c r="AK148" s="651">
        <f t="shared" si="90"/>
        <v>0</v>
      </c>
      <c r="AL148" s="652">
        <f t="shared" si="91"/>
        <v>0</v>
      </c>
      <c r="AM148" s="652">
        <f t="shared" si="92"/>
        <v>0</v>
      </c>
      <c r="AN148" s="651">
        <f t="array" ref="AN148">IFERROR(INDEX('HIV-Pharmaceuticals'!$Y$107:$Y$192,MATCH($E148&amp;$F148,'HIV-Pharmaceuticals'!$E$107:$E$192&amp;'HIV-Pharmaceuticals'!$I$107:$I$192,0)),0)</f>
        <v>0</v>
      </c>
      <c r="AO148" s="651">
        <f t="shared" si="93"/>
        <v>0</v>
      </c>
      <c r="AP148" s="652">
        <f t="shared" si="94"/>
        <v>0</v>
      </c>
      <c r="AQ148" s="652">
        <f t="shared" si="95"/>
        <v>0</v>
      </c>
      <c r="AR148" s="653"/>
      <c r="AS148" s="651">
        <f t="array" ref="AS148">IFERROR(INDEX('HIV-Pharmaceuticals'!$AB$107:$AB$192,MATCH($E148&amp;$F148,'HIV-Pharmaceuticals'!$E$107:$E$192&amp;'HIV-Pharmaceuticals'!$I$107:$I$192,0)),0)</f>
        <v>0</v>
      </c>
      <c r="AT148" s="651">
        <f t="array" ref="AT148">IFERROR(INDEX('HIV-Pharmaceuticals'!$AC$107:$AC$192,MATCH($E148&amp;$F148,'HIV-Pharmaceuticals'!$E$107:$E$192&amp;'HIV-Pharmaceuticals'!$I$107:$I$192,0)),0)</f>
        <v>0</v>
      </c>
      <c r="AU148" s="651">
        <f t="shared" si="96"/>
        <v>0</v>
      </c>
      <c r="AV148" s="652">
        <f t="shared" si="97"/>
        <v>0</v>
      </c>
      <c r="AW148" s="652">
        <f t="shared" si="98"/>
        <v>0</v>
      </c>
      <c r="AX148" s="651">
        <f t="array" ref="AX148">IFERROR(INDEX('HIV-Pharmaceuticals'!$AD$107:$AD$192,MATCH($E148&amp;$F148,'HIV-Pharmaceuticals'!$E$107:$E$192&amp;'HIV-Pharmaceuticals'!$I$107:$I$192,0)),0)</f>
        <v>0</v>
      </c>
      <c r="AY148" s="651">
        <f t="shared" si="99"/>
        <v>0</v>
      </c>
      <c r="AZ148" s="652">
        <f t="shared" si="100"/>
        <v>0</v>
      </c>
      <c r="BA148" s="652">
        <f t="shared" si="101"/>
        <v>0</v>
      </c>
      <c r="BB148" s="651">
        <f t="array" ref="BB148">IFERROR(INDEX('HIV-Pharmaceuticals'!$AE$107:$AE$192,MATCH($E148&amp;$F148,'HIV-Pharmaceuticals'!$E$107:$E$192&amp;'HIV-Pharmaceuticals'!$I$107:$I$192,0)),0)</f>
        <v>0</v>
      </c>
      <c r="BC148" s="651">
        <f t="shared" si="102"/>
        <v>0</v>
      </c>
      <c r="BD148" s="652">
        <f t="shared" si="103"/>
        <v>0</v>
      </c>
      <c r="BE148" s="652">
        <f t="shared" si="104"/>
        <v>0</v>
      </c>
      <c r="BF148" s="651">
        <f t="array" ref="BF148">IFERROR(INDEX('HIV-Pharmaceuticals'!$AF$107:$AF$192,MATCH($E148&amp;$F148,'HIV-Pharmaceuticals'!$E$107:$E$192&amp;'HIV-Pharmaceuticals'!$I$107:$I$192,0)),0)</f>
        <v>0</v>
      </c>
      <c r="BG148" s="651">
        <f t="shared" si="105"/>
        <v>0</v>
      </c>
      <c r="BH148" s="652">
        <f t="shared" si="106"/>
        <v>0</v>
      </c>
      <c r="BI148" s="652">
        <f t="shared" si="107"/>
        <v>0</v>
      </c>
      <c r="BK148" s="654"/>
      <c r="BL148" s="654"/>
      <c r="BM148" s="654"/>
      <c r="BN148" s="654"/>
      <c r="BO148" s="654"/>
      <c r="BP148" s="654"/>
      <c r="BQ148" s="654"/>
      <c r="BR148" s="654"/>
    </row>
    <row r="149" spans="1:70">
      <c r="A149" s="647" t="s">
        <v>1317</v>
      </c>
      <c r="B149" s="647" t="s">
        <v>2282</v>
      </c>
      <c r="C149" s="648">
        <f>SETUP!$F$22</f>
        <v>0</v>
      </c>
      <c r="D149" s="649">
        <v>4.7</v>
      </c>
      <c r="E149" s="647" t="s">
        <v>1337</v>
      </c>
      <c r="F149" s="647" t="s">
        <v>1425</v>
      </c>
      <c r="G149" s="650" t="str">
        <f t="array" ref="G149">IFERROR(INDEX('HIV-Pharmaceuticals'!$L$107:$L$192,MATCH($E149&amp;$F149,'HIV-Pharmaceuticals'!$E$107:$E$192&amp;'HIV-Pharmaceuticals'!$I$107:$I$192,0)),"")</f>
        <v/>
      </c>
      <c r="H149" s="650" t="str">
        <f t="array" ref="H149">IFERROR(INDEX('HIV-Pharmaceuticals'!$M$107:$M$192,MATCH($E149&amp;$F149,'HIV-Pharmaceuticals'!$E$107:$E$192&amp;'HIV-Pharmaceuticals'!$I$107:$I$192,0)),"")</f>
        <v/>
      </c>
      <c r="I149" s="651">
        <f t="array" ref="I149">IFERROR(INDEX('HIV-Pharmaceuticals'!$N$107:$N$192,MATCH($E149&amp;$F149,'HIV-Pharmaceuticals'!$E$107:$E$192&amp;'HIV-Pharmaceuticals'!$I$107:$I$192,0)),0)</f>
        <v>0</v>
      </c>
      <c r="J149" s="651">
        <f t="array" ref="J149">IFERROR(INDEX('HIV-Pharmaceuticals'!$O$107:$O$192,MATCH($E149&amp;$F149,'HIV-Pharmaceuticals'!$E$107:$E$192&amp;'HIV-Pharmaceuticals'!$I$107:$I$192,0)),0)</f>
        <v>0</v>
      </c>
      <c r="K149" s="652">
        <f t="shared" si="72"/>
        <v>0</v>
      </c>
      <c r="L149" s="652">
        <f t="shared" si="73"/>
        <v>0</v>
      </c>
      <c r="M149" s="652">
        <f t="shared" si="74"/>
        <v>0</v>
      </c>
      <c r="N149" s="651">
        <f t="array" ref="N149">IFERROR(INDEX('HIV-Pharmaceuticals'!$P$107:$P$192,MATCH($E149&amp;$F149,'HIV-Pharmaceuticals'!$E$107:$E$192&amp;'HIV-Pharmaceuticals'!$I$107:$I$192,0)),0)</f>
        <v>0</v>
      </c>
      <c r="O149" s="652">
        <f t="shared" si="75"/>
        <v>0</v>
      </c>
      <c r="P149" s="652">
        <f t="shared" si="76"/>
        <v>0</v>
      </c>
      <c r="Q149" s="652">
        <f t="shared" si="77"/>
        <v>0</v>
      </c>
      <c r="R149" s="651">
        <f t="array" ref="R149">IFERROR(INDEX('HIV-Pharmaceuticals'!$Q$107:$Q$192,MATCH($E149&amp;$F149,'HIV-Pharmaceuticals'!$E$107:$E$192&amp;'HIV-Pharmaceuticals'!$I$107:$I$192,0)),0)</f>
        <v>0</v>
      </c>
      <c r="S149" s="652">
        <f t="shared" si="78"/>
        <v>0</v>
      </c>
      <c r="T149" s="652">
        <f t="shared" si="79"/>
        <v>0</v>
      </c>
      <c r="U149" s="652">
        <f t="shared" si="80"/>
        <v>0</v>
      </c>
      <c r="V149" s="651">
        <f t="array" ref="V149">IFERROR(INDEX('HIV-Pharmaceuticals'!$R$107:$R$192,MATCH($E149&amp;$F149,'HIV-Pharmaceuticals'!$E$107:$E$192&amp;'HIV-Pharmaceuticals'!$I$107:$I$192,0)),0)</f>
        <v>0</v>
      </c>
      <c r="W149" s="652">
        <f t="shared" si="81"/>
        <v>0</v>
      </c>
      <c r="X149" s="652">
        <f t="shared" si="82"/>
        <v>0</v>
      </c>
      <c r="Y149" s="652">
        <f t="shared" si="83"/>
        <v>0</v>
      </c>
      <c r="Z149" s="653"/>
      <c r="AA149" s="651">
        <f t="array" ref="AA149">IFERROR(INDEX('HIV-Pharmaceuticals'!$U$107:$U$192,MATCH($E149&amp;$F149,'HIV-Pharmaceuticals'!$E$107:$E$192&amp;'HIV-Pharmaceuticals'!$I$107:$I$192,0)),0)</f>
        <v>0</v>
      </c>
      <c r="AB149" s="651">
        <f t="array" ref="AB149">IFERROR(INDEX('HIV-Pharmaceuticals'!$V$107:$V$192,MATCH($E149&amp;$F149,'HIV-Pharmaceuticals'!$E$107:$E$192&amp;'HIV-Pharmaceuticals'!$I$107:$I$192,0)),0)</f>
        <v>0</v>
      </c>
      <c r="AC149" s="651">
        <f t="shared" si="84"/>
        <v>0</v>
      </c>
      <c r="AD149" s="652">
        <f t="shared" si="85"/>
        <v>0</v>
      </c>
      <c r="AE149" s="652">
        <f t="shared" si="86"/>
        <v>0</v>
      </c>
      <c r="AF149" s="651">
        <f t="array" ref="AF149">IFERROR(INDEX('HIV-Pharmaceuticals'!$W$107:$W$192,MATCH($E149&amp;$F149,'HIV-Pharmaceuticals'!$E$107:$E$192&amp;'HIV-Pharmaceuticals'!$I$107:$I$192,0)),0)</f>
        <v>0</v>
      </c>
      <c r="AG149" s="651">
        <f t="shared" si="87"/>
        <v>0</v>
      </c>
      <c r="AH149" s="652">
        <f t="shared" si="88"/>
        <v>0</v>
      </c>
      <c r="AI149" s="652">
        <f t="shared" si="89"/>
        <v>0</v>
      </c>
      <c r="AJ149" s="651">
        <f t="array" ref="AJ149">IFERROR(INDEX('HIV-Pharmaceuticals'!$X$107:$X$192,MATCH($E149&amp;$F149,'HIV-Pharmaceuticals'!$E$107:$E$192&amp;'HIV-Pharmaceuticals'!$I$107:$I$192,0)),0)</f>
        <v>0</v>
      </c>
      <c r="AK149" s="651">
        <f t="shared" si="90"/>
        <v>0</v>
      </c>
      <c r="AL149" s="652">
        <f t="shared" si="91"/>
        <v>0</v>
      </c>
      <c r="AM149" s="652">
        <f t="shared" si="92"/>
        <v>0</v>
      </c>
      <c r="AN149" s="651">
        <f t="array" ref="AN149">IFERROR(INDEX('HIV-Pharmaceuticals'!$Y$107:$Y$192,MATCH($E149&amp;$F149,'HIV-Pharmaceuticals'!$E$107:$E$192&amp;'HIV-Pharmaceuticals'!$I$107:$I$192,0)),0)</f>
        <v>0</v>
      </c>
      <c r="AO149" s="651">
        <f t="shared" si="93"/>
        <v>0</v>
      </c>
      <c r="AP149" s="652">
        <f t="shared" si="94"/>
        <v>0</v>
      </c>
      <c r="AQ149" s="652">
        <f t="shared" si="95"/>
        <v>0</v>
      </c>
      <c r="AR149" s="653"/>
      <c r="AS149" s="651">
        <f t="array" ref="AS149">IFERROR(INDEX('HIV-Pharmaceuticals'!$AB$107:$AB$192,MATCH($E149&amp;$F149,'HIV-Pharmaceuticals'!$E$107:$E$192&amp;'HIV-Pharmaceuticals'!$I$107:$I$192,0)),0)</f>
        <v>0</v>
      </c>
      <c r="AT149" s="651">
        <f t="array" ref="AT149">IFERROR(INDEX('HIV-Pharmaceuticals'!$AC$107:$AC$192,MATCH($E149&amp;$F149,'HIV-Pharmaceuticals'!$E$107:$E$192&amp;'HIV-Pharmaceuticals'!$I$107:$I$192,0)),0)</f>
        <v>0</v>
      </c>
      <c r="AU149" s="651">
        <f t="shared" si="96"/>
        <v>0</v>
      </c>
      <c r="AV149" s="652">
        <f t="shared" si="97"/>
        <v>0</v>
      </c>
      <c r="AW149" s="652">
        <f t="shared" si="98"/>
        <v>0</v>
      </c>
      <c r="AX149" s="651">
        <f t="array" ref="AX149">IFERROR(INDEX('HIV-Pharmaceuticals'!$AD$107:$AD$192,MATCH($E149&amp;$F149,'HIV-Pharmaceuticals'!$E$107:$E$192&amp;'HIV-Pharmaceuticals'!$I$107:$I$192,0)),0)</f>
        <v>0</v>
      </c>
      <c r="AY149" s="651">
        <f t="shared" si="99"/>
        <v>0</v>
      </c>
      <c r="AZ149" s="652">
        <f t="shared" si="100"/>
        <v>0</v>
      </c>
      <c r="BA149" s="652">
        <f t="shared" si="101"/>
        <v>0</v>
      </c>
      <c r="BB149" s="651">
        <f t="array" ref="BB149">IFERROR(INDEX('HIV-Pharmaceuticals'!$AE$107:$AE$192,MATCH($E149&amp;$F149,'HIV-Pharmaceuticals'!$E$107:$E$192&amp;'HIV-Pharmaceuticals'!$I$107:$I$192,0)),0)</f>
        <v>0</v>
      </c>
      <c r="BC149" s="651">
        <f t="shared" si="102"/>
        <v>0</v>
      </c>
      <c r="BD149" s="652">
        <f t="shared" si="103"/>
        <v>0</v>
      </c>
      <c r="BE149" s="652">
        <f t="shared" si="104"/>
        <v>0</v>
      </c>
      <c r="BF149" s="651">
        <f t="array" ref="BF149">IFERROR(INDEX('HIV-Pharmaceuticals'!$AF$107:$AF$192,MATCH($E149&amp;$F149,'HIV-Pharmaceuticals'!$E$107:$E$192&amp;'HIV-Pharmaceuticals'!$I$107:$I$192,0)),0)</f>
        <v>0</v>
      </c>
      <c r="BG149" s="651">
        <f t="shared" si="105"/>
        <v>0</v>
      </c>
      <c r="BH149" s="652">
        <f t="shared" si="106"/>
        <v>0</v>
      </c>
      <c r="BI149" s="652">
        <f t="shared" si="107"/>
        <v>0</v>
      </c>
      <c r="BK149" s="654"/>
      <c r="BL149" s="654"/>
      <c r="BM149" s="654"/>
      <c r="BN149" s="654"/>
      <c r="BO149" s="654"/>
      <c r="BP149" s="654"/>
      <c r="BQ149" s="654"/>
      <c r="BR149" s="654"/>
    </row>
    <row r="150" spans="1:70">
      <c r="A150" s="647" t="s">
        <v>1317</v>
      </c>
      <c r="B150" s="647" t="s">
        <v>2282</v>
      </c>
      <c r="C150" s="648">
        <f>SETUP!$F$22</f>
        <v>0</v>
      </c>
      <c r="D150" s="649">
        <v>4.7</v>
      </c>
      <c r="E150" s="647" t="s">
        <v>1337</v>
      </c>
      <c r="F150" s="647" t="s">
        <v>1426</v>
      </c>
      <c r="G150" s="650" t="str">
        <f t="array" ref="G150">IFERROR(INDEX('HIV-Pharmaceuticals'!$L$107:$L$192,MATCH($E150&amp;$F150,'HIV-Pharmaceuticals'!$E$107:$E$192&amp;'HIV-Pharmaceuticals'!$I$107:$I$192,0)),"")</f>
        <v/>
      </c>
      <c r="H150" s="650" t="str">
        <f t="array" ref="H150">IFERROR(INDEX('HIV-Pharmaceuticals'!$M$107:$M$192,MATCH($E150&amp;$F150,'HIV-Pharmaceuticals'!$E$107:$E$192&amp;'HIV-Pharmaceuticals'!$I$107:$I$192,0)),"")</f>
        <v/>
      </c>
      <c r="I150" s="651">
        <f t="array" ref="I150">IFERROR(INDEX('HIV-Pharmaceuticals'!$N$107:$N$192,MATCH($E150&amp;$F150,'HIV-Pharmaceuticals'!$E$107:$E$192&amp;'HIV-Pharmaceuticals'!$I$107:$I$192,0)),0)</f>
        <v>0</v>
      </c>
      <c r="J150" s="651">
        <f t="array" ref="J150">IFERROR(INDEX('HIV-Pharmaceuticals'!$O$107:$O$192,MATCH($E150&amp;$F150,'HIV-Pharmaceuticals'!$E$107:$E$192&amp;'HIV-Pharmaceuticals'!$I$107:$I$192,0)),0)</f>
        <v>0</v>
      </c>
      <c r="K150" s="652">
        <f t="shared" si="72"/>
        <v>0</v>
      </c>
      <c r="L150" s="652">
        <f t="shared" si="73"/>
        <v>0</v>
      </c>
      <c r="M150" s="652">
        <f t="shared" si="74"/>
        <v>0</v>
      </c>
      <c r="N150" s="651">
        <f t="array" ref="N150">IFERROR(INDEX('HIV-Pharmaceuticals'!$P$107:$P$192,MATCH($E150&amp;$F150,'HIV-Pharmaceuticals'!$E$107:$E$192&amp;'HIV-Pharmaceuticals'!$I$107:$I$192,0)),0)</f>
        <v>0</v>
      </c>
      <c r="O150" s="652">
        <f t="shared" si="75"/>
        <v>0</v>
      </c>
      <c r="P150" s="652">
        <f t="shared" si="76"/>
        <v>0</v>
      </c>
      <c r="Q150" s="652">
        <f t="shared" si="77"/>
        <v>0</v>
      </c>
      <c r="R150" s="651">
        <f t="array" ref="R150">IFERROR(INDEX('HIV-Pharmaceuticals'!$Q$107:$Q$192,MATCH($E150&amp;$F150,'HIV-Pharmaceuticals'!$E$107:$E$192&amp;'HIV-Pharmaceuticals'!$I$107:$I$192,0)),0)</f>
        <v>0</v>
      </c>
      <c r="S150" s="652">
        <f t="shared" si="78"/>
        <v>0</v>
      </c>
      <c r="T150" s="652">
        <f t="shared" si="79"/>
        <v>0</v>
      </c>
      <c r="U150" s="652">
        <f t="shared" si="80"/>
        <v>0</v>
      </c>
      <c r="V150" s="651">
        <f t="array" ref="V150">IFERROR(INDEX('HIV-Pharmaceuticals'!$R$107:$R$192,MATCH($E150&amp;$F150,'HIV-Pharmaceuticals'!$E$107:$E$192&amp;'HIV-Pharmaceuticals'!$I$107:$I$192,0)),0)</f>
        <v>0</v>
      </c>
      <c r="W150" s="652">
        <f t="shared" si="81"/>
        <v>0</v>
      </c>
      <c r="X150" s="652">
        <f t="shared" si="82"/>
        <v>0</v>
      </c>
      <c r="Y150" s="652">
        <f t="shared" si="83"/>
        <v>0</v>
      </c>
      <c r="Z150" s="653"/>
      <c r="AA150" s="651">
        <f t="array" ref="AA150">IFERROR(INDEX('HIV-Pharmaceuticals'!$U$107:$U$192,MATCH($E150&amp;$F150,'HIV-Pharmaceuticals'!$E$107:$E$192&amp;'HIV-Pharmaceuticals'!$I$107:$I$192,0)),0)</f>
        <v>0</v>
      </c>
      <c r="AB150" s="651">
        <f t="array" ref="AB150">IFERROR(INDEX('HIV-Pharmaceuticals'!$V$107:$V$192,MATCH($E150&amp;$F150,'HIV-Pharmaceuticals'!$E$107:$E$192&amp;'HIV-Pharmaceuticals'!$I$107:$I$192,0)),0)</f>
        <v>0</v>
      </c>
      <c r="AC150" s="651">
        <f t="shared" si="84"/>
        <v>0</v>
      </c>
      <c r="AD150" s="652">
        <f t="shared" si="85"/>
        <v>0</v>
      </c>
      <c r="AE150" s="652">
        <f t="shared" si="86"/>
        <v>0</v>
      </c>
      <c r="AF150" s="651">
        <f t="array" ref="AF150">IFERROR(INDEX('HIV-Pharmaceuticals'!$W$107:$W$192,MATCH($E150&amp;$F150,'HIV-Pharmaceuticals'!$E$107:$E$192&amp;'HIV-Pharmaceuticals'!$I$107:$I$192,0)),0)</f>
        <v>0</v>
      </c>
      <c r="AG150" s="651">
        <f t="shared" si="87"/>
        <v>0</v>
      </c>
      <c r="AH150" s="652">
        <f t="shared" si="88"/>
        <v>0</v>
      </c>
      <c r="AI150" s="652">
        <f t="shared" si="89"/>
        <v>0</v>
      </c>
      <c r="AJ150" s="651">
        <f t="array" ref="AJ150">IFERROR(INDEX('HIV-Pharmaceuticals'!$X$107:$X$192,MATCH($E150&amp;$F150,'HIV-Pharmaceuticals'!$E$107:$E$192&amp;'HIV-Pharmaceuticals'!$I$107:$I$192,0)),0)</f>
        <v>0</v>
      </c>
      <c r="AK150" s="651">
        <f t="shared" si="90"/>
        <v>0</v>
      </c>
      <c r="AL150" s="652">
        <f t="shared" si="91"/>
        <v>0</v>
      </c>
      <c r="AM150" s="652">
        <f t="shared" si="92"/>
        <v>0</v>
      </c>
      <c r="AN150" s="651">
        <f t="array" ref="AN150">IFERROR(INDEX('HIV-Pharmaceuticals'!$Y$107:$Y$192,MATCH($E150&amp;$F150,'HIV-Pharmaceuticals'!$E$107:$E$192&amp;'HIV-Pharmaceuticals'!$I$107:$I$192,0)),0)</f>
        <v>0</v>
      </c>
      <c r="AO150" s="651">
        <f t="shared" si="93"/>
        <v>0</v>
      </c>
      <c r="AP150" s="652">
        <f t="shared" si="94"/>
        <v>0</v>
      </c>
      <c r="AQ150" s="652">
        <f t="shared" si="95"/>
        <v>0</v>
      </c>
      <c r="AR150" s="653"/>
      <c r="AS150" s="651">
        <f t="array" ref="AS150">IFERROR(INDEX('HIV-Pharmaceuticals'!$AB$107:$AB$192,MATCH($E150&amp;$F150,'HIV-Pharmaceuticals'!$E$107:$E$192&amp;'HIV-Pharmaceuticals'!$I$107:$I$192,0)),0)</f>
        <v>0</v>
      </c>
      <c r="AT150" s="651">
        <f t="array" ref="AT150">IFERROR(INDEX('HIV-Pharmaceuticals'!$AC$107:$AC$192,MATCH($E150&amp;$F150,'HIV-Pharmaceuticals'!$E$107:$E$192&amp;'HIV-Pharmaceuticals'!$I$107:$I$192,0)),0)</f>
        <v>0</v>
      </c>
      <c r="AU150" s="651">
        <f t="shared" si="96"/>
        <v>0</v>
      </c>
      <c r="AV150" s="652">
        <f t="shared" si="97"/>
        <v>0</v>
      </c>
      <c r="AW150" s="652">
        <f t="shared" si="98"/>
        <v>0</v>
      </c>
      <c r="AX150" s="651">
        <f t="array" ref="AX150">IFERROR(INDEX('HIV-Pharmaceuticals'!$AD$107:$AD$192,MATCH($E150&amp;$F150,'HIV-Pharmaceuticals'!$E$107:$E$192&amp;'HIV-Pharmaceuticals'!$I$107:$I$192,0)),0)</f>
        <v>0</v>
      </c>
      <c r="AY150" s="651">
        <f t="shared" si="99"/>
        <v>0</v>
      </c>
      <c r="AZ150" s="652">
        <f t="shared" si="100"/>
        <v>0</v>
      </c>
      <c r="BA150" s="652">
        <f t="shared" si="101"/>
        <v>0</v>
      </c>
      <c r="BB150" s="651">
        <f t="array" ref="BB150">IFERROR(INDEX('HIV-Pharmaceuticals'!$AE$107:$AE$192,MATCH($E150&amp;$F150,'HIV-Pharmaceuticals'!$E$107:$E$192&amp;'HIV-Pharmaceuticals'!$I$107:$I$192,0)),0)</f>
        <v>0</v>
      </c>
      <c r="BC150" s="651">
        <f t="shared" si="102"/>
        <v>0</v>
      </c>
      <c r="BD150" s="652">
        <f t="shared" si="103"/>
        <v>0</v>
      </c>
      <c r="BE150" s="652">
        <f t="shared" si="104"/>
        <v>0</v>
      </c>
      <c r="BF150" s="651">
        <f t="array" ref="BF150">IFERROR(INDEX('HIV-Pharmaceuticals'!$AF$107:$AF$192,MATCH($E150&amp;$F150,'HIV-Pharmaceuticals'!$E$107:$E$192&amp;'HIV-Pharmaceuticals'!$I$107:$I$192,0)),0)</f>
        <v>0</v>
      </c>
      <c r="BG150" s="651">
        <f t="shared" si="105"/>
        <v>0</v>
      </c>
      <c r="BH150" s="652">
        <f t="shared" si="106"/>
        <v>0</v>
      </c>
      <c r="BI150" s="652">
        <f t="shared" si="107"/>
        <v>0</v>
      </c>
      <c r="BK150" s="654"/>
      <c r="BL150" s="654"/>
      <c r="BM150" s="654"/>
      <c r="BN150" s="654"/>
      <c r="BO150" s="654"/>
      <c r="BP150" s="654"/>
      <c r="BQ150" s="654"/>
      <c r="BR150" s="654"/>
    </row>
    <row r="151" spans="1:70">
      <c r="A151" s="647" t="s">
        <v>1317</v>
      </c>
      <c r="B151" s="647" t="s">
        <v>2282</v>
      </c>
      <c r="C151" s="648">
        <f>SETUP!$F$22</f>
        <v>0</v>
      </c>
      <c r="D151" s="649">
        <v>4.7</v>
      </c>
      <c r="E151" s="647" t="s">
        <v>1338</v>
      </c>
      <c r="F151" s="647" t="s">
        <v>1427</v>
      </c>
      <c r="G151" s="650" t="str">
        <f t="array" ref="G151">IFERROR(INDEX('HIV-Pharmaceuticals'!$L$107:$L$192,MATCH($E151&amp;$F151,'HIV-Pharmaceuticals'!$E$107:$E$192&amp;'HIV-Pharmaceuticals'!$I$107:$I$192,0)),"")</f>
        <v/>
      </c>
      <c r="H151" s="650" t="str">
        <f t="array" ref="H151">IFERROR(INDEX('HIV-Pharmaceuticals'!$M$107:$M$192,MATCH($E151&amp;$F151,'HIV-Pharmaceuticals'!$E$107:$E$192&amp;'HIV-Pharmaceuticals'!$I$107:$I$192,0)),"")</f>
        <v/>
      </c>
      <c r="I151" s="651">
        <f t="array" ref="I151">IFERROR(INDEX('HIV-Pharmaceuticals'!$N$107:$N$192,MATCH($E151&amp;$F151,'HIV-Pharmaceuticals'!$E$107:$E$192&amp;'HIV-Pharmaceuticals'!$I$107:$I$192,0)),0)</f>
        <v>0</v>
      </c>
      <c r="J151" s="651">
        <f t="array" ref="J151">IFERROR(INDEX('HIV-Pharmaceuticals'!$O$107:$O$192,MATCH($E151&amp;$F151,'HIV-Pharmaceuticals'!$E$107:$E$192&amp;'HIV-Pharmaceuticals'!$I$107:$I$192,0)),0)</f>
        <v>0</v>
      </c>
      <c r="K151" s="652">
        <f t="shared" si="72"/>
        <v>0</v>
      </c>
      <c r="L151" s="652">
        <f t="shared" si="73"/>
        <v>0</v>
      </c>
      <c r="M151" s="652">
        <f t="shared" si="74"/>
        <v>0</v>
      </c>
      <c r="N151" s="651">
        <f t="array" ref="N151">IFERROR(INDEX('HIV-Pharmaceuticals'!$P$107:$P$192,MATCH($E151&amp;$F151,'HIV-Pharmaceuticals'!$E$107:$E$192&amp;'HIV-Pharmaceuticals'!$I$107:$I$192,0)),0)</f>
        <v>0</v>
      </c>
      <c r="O151" s="652">
        <f t="shared" si="75"/>
        <v>0</v>
      </c>
      <c r="P151" s="652">
        <f t="shared" si="76"/>
        <v>0</v>
      </c>
      <c r="Q151" s="652">
        <f t="shared" si="77"/>
        <v>0</v>
      </c>
      <c r="R151" s="651">
        <f t="array" ref="R151">IFERROR(INDEX('HIV-Pharmaceuticals'!$Q$107:$Q$192,MATCH($E151&amp;$F151,'HIV-Pharmaceuticals'!$E$107:$E$192&amp;'HIV-Pharmaceuticals'!$I$107:$I$192,0)),0)</f>
        <v>0</v>
      </c>
      <c r="S151" s="652">
        <f t="shared" si="78"/>
        <v>0</v>
      </c>
      <c r="T151" s="652">
        <f t="shared" si="79"/>
        <v>0</v>
      </c>
      <c r="U151" s="652">
        <f t="shared" si="80"/>
        <v>0</v>
      </c>
      <c r="V151" s="651">
        <f t="array" ref="V151">IFERROR(INDEX('HIV-Pharmaceuticals'!$R$107:$R$192,MATCH($E151&amp;$F151,'HIV-Pharmaceuticals'!$E$107:$E$192&amp;'HIV-Pharmaceuticals'!$I$107:$I$192,0)),0)</f>
        <v>0</v>
      </c>
      <c r="W151" s="652">
        <f t="shared" si="81"/>
        <v>0</v>
      </c>
      <c r="X151" s="652">
        <f t="shared" si="82"/>
        <v>0</v>
      </c>
      <c r="Y151" s="652">
        <f t="shared" si="83"/>
        <v>0</v>
      </c>
      <c r="Z151" s="653"/>
      <c r="AA151" s="651">
        <f t="array" ref="AA151">IFERROR(INDEX('HIV-Pharmaceuticals'!$U$107:$U$192,MATCH($E151&amp;$F151,'HIV-Pharmaceuticals'!$E$107:$E$192&amp;'HIV-Pharmaceuticals'!$I$107:$I$192,0)),0)</f>
        <v>0</v>
      </c>
      <c r="AB151" s="651">
        <f t="array" ref="AB151">IFERROR(INDEX('HIV-Pharmaceuticals'!$V$107:$V$192,MATCH($E151&amp;$F151,'HIV-Pharmaceuticals'!$E$107:$E$192&amp;'HIV-Pharmaceuticals'!$I$107:$I$192,0)),0)</f>
        <v>0</v>
      </c>
      <c r="AC151" s="651">
        <f t="shared" si="84"/>
        <v>0</v>
      </c>
      <c r="AD151" s="652">
        <f t="shared" si="85"/>
        <v>0</v>
      </c>
      <c r="AE151" s="652">
        <f t="shared" si="86"/>
        <v>0</v>
      </c>
      <c r="AF151" s="651">
        <f t="array" ref="AF151">IFERROR(INDEX('HIV-Pharmaceuticals'!$W$107:$W$192,MATCH($E151&amp;$F151,'HIV-Pharmaceuticals'!$E$107:$E$192&amp;'HIV-Pharmaceuticals'!$I$107:$I$192,0)),0)</f>
        <v>0</v>
      </c>
      <c r="AG151" s="651">
        <f t="shared" si="87"/>
        <v>0</v>
      </c>
      <c r="AH151" s="652">
        <f t="shared" si="88"/>
        <v>0</v>
      </c>
      <c r="AI151" s="652">
        <f t="shared" si="89"/>
        <v>0</v>
      </c>
      <c r="AJ151" s="651">
        <f t="array" ref="AJ151">IFERROR(INDEX('HIV-Pharmaceuticals'!$X$107:$X$192,MATCH($E151&amp;$F151,'HIV-Pharmaceuticals'!$E$107:$E$192&amp;'HIV-Pharmaceuticals'!$I$107:$I$192,0)),0)</f>
        <v>0</v>
      </c>
      <c r="AK151" s="651">
        <f t="shared" si="90"/>
        <v>0</v>
      </c>
      <c r="AL151" s="652">
        <f t="shared" si="91"/>
        <v>0</v>
      </c>
      <c r="AM151" s="652">
        <f t="shared" si="92"/>
        <v>0</v>
      </c>
      <c r="AN151" s="651">
        <f t="array" ref="AN151">IFERROR(INDEX('HIV-Pharmaceuticals'!$Y$107:$Y$192,MATCH($E151&amp;$F151,'HIV-Pharmaceuticals'!$E$107:$E$192&amp;'HIV-Pharmaceuticals'!$I$107:$I$192,0)),0)</f>
        <v>0</v>
      </c>
      <c r="AO151" s="651">
        <f t="shared" si="93"/>
        <v>0</v>
      </c>
      <c r="AP151" s="652">
        <f t="shared" si="94"/>
        <v>0</v>
      </c>
      <c r="AQ151" s="652">
        <f t="shared" si="95"/>
        <v>0</v>
      </c>
      <c r="AR151" s="653"/>
      <c r="AS151" s="651">
        <f t="array" ref="AS151">IFERROR(INDEX('HIV-Pharmaceuticals'!$AB$107:$AB$192,MATCH($E151&amp;$F151,'HIV-Pharmaceuticals'!$E$107:$E$192&amp;'HIV-Pharmaceuticals'!$I$107:$I$192,0)),0)</f>
        <v>0</v>
      </c>
      <c r="AT151" s="651">
        <f t="array" ref="AT151">IFERROR(INDEX('HIV-Pharmaceuticals'!$AC$107:$AC$192,MATCH($E151&amp;$F151,'HIV-Pharmaceuticals'!$E$107:$E$192&amp;'HIV-Pharmaceuticals'!$I$107:$I$192,0)),0)</f>
        <v>0</v>
      </c>
      <c r="AU151" s="651">
        <f t="shared" si="96"/>
        <v>0</v>
      </c>
      <c r="AV151" s="652">
        <f t="shared" si="97"/>
        <v>0</v>
      </c>
      <c r="AW151" s="652">
        <f t="shared" si="98"/>
        <v>0</v>
      </c>
      <c r="AX151" s="651">
        <f t="array" ref="AX151">IFERROR(INDEX('HIV-Pharmaceuticals'!$AD$107:$AD$192,MATCH($E151&amp;$F151,'HIV-Pharmaceuticals'!$E$107:$E$192&amp;'HIV-Pharmaceuticals'!$I$107:$I$192,0)),0)</f>
        <v>0</v>
      </c>
      <c r="AY151" s="651">
        <f t="shared" si="99"/>
        <v>0</v>
      </c>
      <c r="AZ151" s="652">
        <f t="shared" si="100"/>
        <v>0</v>
      </c>
      <c r="BA151" s="652">
        <f t="shared" si="101"/>
        <v>0</v>
      </c>
      <c r="BB151" s="651">
        <f t="array" ref="BB151">IFERROR(INDEX('HIV-Pharmaceuticals'!$AE$107:$AE$192,MATCH($E151&amp;$F151,'HIV-Pharmaceuticals'!$E$107:$E$192&amp;'HIV-Pharmaceuticals'!$I$107:$I$192,0)),0)</f>
        <v>0</v>
      </c>
      <c r="BC151" s="651">
        <f t="shared" si="102"/>
        <v>0</v>
      </c>
      <c r="BD151" s="652">
        <f t="shared" si="103"/>
        <v>0</v>
      </c>
      <c r="BE151" s="652">
        <f t="shared" si="104"/>
        <v>0</v>
      </c>
      <c r="BF151" s="651">
        <f t="array" ref="BF151">IFERROR(INDEX('HIV-Pharmaceuticals'!$AF$107:$AF$192,MATCH($E151&amp;$F151,'HIV-Pharmaceuticals'!$E$107:$E$192&amp;'HIV-Pharmaceuticals'!$I$107:$I$192,0)),0)</f>
        <v>0</v>
      </c>
      <c r="BG151" s="651">
        <f t="shared" si="105"/>
        <v>0</v>
      </c>
      <c r="BH151" s="652">
        <f t="shared" si="106"/>
        <v>0</v>
      </c>
      <c r="BI151" s="652">
        <f t="shared" si="107"/>
        <v>0</v>
      </c>
      <c r="BK151" s="654"/>
      <c r="BL151" s="654"/>
      <c r="BM151" s="654"/>
      <c r="BN151" s="654"/>
      <c r="BO151" s="654"/>
      <c r="BP151" s="654"/>
      <c r="BQ151" s="654"/>
      <c r="BR151" s="654"/>
    </row>
    <row r="152" spans="1:70">
      <c r="A152" s="647" t="s">
        <v>1317</v>
      </c>
      <c r="B152" s="647" t="s">
        <v>2282</v>
      </c>
      <c r="C152" s="648">
        <f>SETUP!$F$22</f>
        <v>0</v>
      </c>
      <c r="D152" s="649">
        <v>4.7</v>
      </c>
      <c r="E152" s="647" t="s">
        <v>1850</v>
      </c>
      <c r="F152" s="647" t="s">
        <v>1340</v>
      </c>
      <c r="G152" s="650" t="str">
        <f t="array" ref="G152">IFERROR(INDEX('HIV-Pharmaceuticals'!$L$107:$L$192,MATCH($E152&amp;$F152,'HIV-Pharmaceuticals'!$E$107:$E$192&amp;'HIV-Pharmaceuticals'!$I$107:$I$192,0)),"")</f>
        <v/>
      </c>
      <c r="H152" s="650" t="str">
        <f t="array" ref="H152">IFERROR(INDEX('HIV-Pharmaceuticals'!$M$107:$M$192,MATCH($E152&amp;$F152,'HIV-Pharmaceuticals'!$E$107:$E$192&amp;'HIV-Pharmaceuticals'!$I$107:$I$192,0)),"")</f>
        <v/>
      </c>
      <c r="I152" s="651">
        <f t="array" ref="I152">IFERROR(INDEX('HIV-Pharmaceuticals'!$N$107:$N$192,MATCH($E152&amp;$F152,'HIV-Pharmaceuticals'!$E$107:$E$192&amp;'HIV-Pharmaceuticals'!$I$107:$I$192,0)),0)</f>
        <v>0</v>
      </c>
      <c r="J152" s="651">
        <f t="array" ref="J152">IFERROR(INDEX('HIV-Pharmaceuticals'!$O$107:$O$192,MATCH($E152&amp;$F152,'HIV-Pharmaceuticals'!$E$107:$E$192&amp;'HIV-Pharmaceuticals'!$I$107:$I$192,0)),0)</f>
        <v>0</v>
      </c>
      <c r="K152" s="652">
        <f t="shared" si="72"/>
        <v>0</v>
      </c>
      <c r="L152" s="652">
        <f t="shared" si="73"/>
        <v>0</v>
      </c>
      <c r="M152" s="652">
        <f t="shared" si="74"/>
        <v>0</v>
      </c>
      <c r="N152" s="651">
        <f t="array" ref="N152">IFERROR(INDEX('HIV-Pharmaceuticals'!$P$107:$P$192,MATCH($E152&amp;$F152,'HIV-Pharmaceuticals'!$E$107:$E$192&amp;'HIV-Pharmaceuticals'!$I$107:$I$192,0)),0)</f>
        <v>0</v>
      </c>
      <c r="O152" s="652">
        <f t="shared" si="75"/>
        <v>0</v>
      </c>
      <c r="P152" s="652">
        <f t="shared" si="76"/>
        <v>0</v>
      </c>
      <c r="Q152" s="652">
        <f t="shared" si="77"/>
        <v>0</v>
      </c>
      <c r="R152" s="651">
        <f t="array" ref="R152">IFERROR(INDEX('HIV-Pharmaceuticals'!$Q$107:$Q$192,MATCH($E152&amp;$F152,'HIV-Pharmaceuticals'!$E$107:$E$192&amp;'HIV-Pharmaceuticals'!$I$107:$I$192,0)),0)</f>
        <v>0</v>
      </c>
      <c r="S152" s="652">
        <f t="shared" si="78"/>
        <v>0</v>
      </c>
      <c r="T152" s="652">
        <f t="shared" si="79"/>
        <v>0</v>
      </c>
      <c r="U152" s="652">
        <f t="shared" si="80"/>
        <v>0</v>
      </c>
      <c r="V152" s="651">
        <f t="array" ref="V152">IFERROR(INDEX('HIV-Pharmaceuticals'!$R$107:$R$192,MATCH($E152&amp;$F152,'HIV-Pharmaceuticals'!$E$107:$E$192&amp;'HIV-Pharmaceuticals'!$I$107:$I$192,0)),0)</f>
        <v>0</v>
      </c>
      <c r="W152" s="652">
        <f t="shared" si="81"/>
        <v>0</v>
      </c>
      <c r="X152" s="652">
        <f t="shared" si="82"/>
        <v>0</v>
      </c>
      <c r="Y152" s="652">
        <f t="shared" si="83"/>
        <v>0</v>
      </c>
      <c r="Z152" s="653"/>
      <c r="AA152" s="651">
        <f t="array" ref="AA152">IFERROR(INDEX('HIV-Pharmaceuticals'!$U$107:$U$192,MATCH($E152&amp;$F152,'HIV-Pharmaceuticals'!$E$107:$E$192&amp;'HIV-Pharmaceuticals'!$I$107:$I$192,0)),0)</f>
        <v>0</v>
      </c>
      <c r="AB152" s="651">
        <f t="array" ref="AB152">IFERROR(INDEX('HIV-Pharmaceuticals'!$V$107:$V$192,MATCH($E152&amp;$F152,'HIV-Pharmaceuticals'!$E$107:$E$192&amp;'HIV-Pharmaceuticals'!$I$107:$I$192,0)),0)</f>
        <v>0</v>
      </c>
      <c r="AC152" s="651">
        <f t="shared" si="84"/>
        <v>0</v>
      </c>
      <c r="AD152" s="652">
        <f t="shared" si="85"/>
        <v>0</v>
      </c>
      <c r="AE152" s="652">
        <f t="shared" si="86"/>
        <v>0</v>
      </c>
      <c r="AF152" s="651">
        <f t="array" ref="AF152">IFERROR(INDEX('HIV-Pharmaceuticals'!$W$107:$W$192,MATCH($E152&amp;$F152,'HIV-Pharmaceuticals'!$E$107:$E$192&amp;'HIV-Pharmaceuticals'!$I$107:$I$192,0)),0)</f>
        <v>0</v>
      </c>
      <c r="AG152" s="651">
        <f t="shared" si="87"/>
        <v>0</v>
      </c>
      <c r="AH152" s="652">
        <f t="shared" si="88"/>
        <v>0</v>
      </c>
      <c r="AI152" s="652">
        <f t="shared" si="89"/>
        <v>0</v>
      </c>
      <c r="AJ152" s="651">
        <f t="array" ref="AJ152">IFERROR(INDEX('HIV-Pharmaceuticals'!$X$107:$X$192,MATCH($E152&amp;$F152,'HIV-Pharmaceuticals'!$E$107:$E$192&amp;'HIV-Pharmaceuticals'!$I$107:$I$192,0)),0)</f>
        <v>0</v>
      </c>
      <c r="AK152" s="651">
        <f t="shared" si="90"/>
        <v>0</v>
      </c>
      <c r="AL152" s="652">
        <f t="shared" si="91"/>
        <v>0</v>
      </c>
      <c r="AM152" s="652">
        <f t="shared" si="92"/>
        <v>0</v>
      </c>
      <c r="AN152" s="651">
        <f t="array" ref="AN152">IFERROR(INDEX('HIV-Pharmaceuticals'!$Y$107:$Y$192,MATCH($E152&amp;$F152,'HIV-Pharmaceuticals'!$E$107:$E$192&amp;'HIV-Pharmaceuticals'!$I$107:$I$192,0)),0)</f>
        <v>0</v>
      </c>
      <c r="AO152" s="651">
        <f t="shared" si="93"/>
        <v>0</v>
      </c>
      <c r="AP152" s="652">
        <f t="shared" si="94"/>
        <v>0</v>
      </c>
      <c r="AQ152" s="652">
        <f t="shared" si="95"/>
        <v>0</v>
      </c>
      <c r="AR152" s="653"/>
      <c r="AS152" s="651">
        <f t="array" ref="AS152">IFERROR(INDEX('HIV-Pharmaceuticals'!$AB$107:$AB$192,MATCH($E152&amp;$F152,'HIV-Pharmaceuticals'!$E$107:$E$192&amp;'HIV-Pharmaceuticals'!$I$107:$I$192,0)),0)</f>
        <v>0</v>
      </c>
      <c r="AT152" s="651">
        <f t="array" ref="AT152">IFERROR(INDEX('HIV-Pharmaceuticals'!$AC$107:$AC$192,MATCH($E152&amp;$F152,'HIV-Pharmaceuticals'!$E$107:$E$192&amp;'HIV-Pharmaceuticals'!$I$107:$I$192,0)),0)</f>
        <v>0</v>
      </c>
      <c r="AU152" s="651">
        <f t="shared" si="96"/>
        <v>0</v>
      </c>
      <c r="AV152" s="652">
        <f t="shared" si="97"/>
        <v>0</v>
      </c>
      <c r="AW152" s="652">
        <f t="shared" si="98"/>
        <v>0</v>
      </c>
      <c r="AX152" s="651">
        <f t="array" ref="AX152">IFERROR(INDEX('HIV-Pharmaceuticals'!$AD$107:$AD$192,MATCH($E152&amp;$F152,'HIV-Pharmaceuticals'!$E$107:$E$192&amp;'HIV-Pharmaceuticals'!$I$107:$I$192,0)),0)</f>
        <v>0</v>
      </c>
      <c r="AY152" s="651">
        <f t="shared" si="99"/>
        <v>0</v>
      </c>
      <c r="AZ152" s="652">
        <f t="shared" si="100"/>
        <v>0</v>
      </c>
      <c r="BA152" s="652">
        <f t="shared" si="101"/>
        <v>0</v>
      </c>
      <c r="BB152" s="651">
        <f t="array" ref="BB152">IFERROR(INDEX('HIV-Pharmaceuticals'!$AE$107:$AE$192,MATCH($E152&amp;$F152,'HIV-Pharmaceuticals'!$E$107:$E$192&amp;'HIV-Pharmaceuticals'!$I$107:$I$192,0)),0)</f>
        <v>0</v>
      </c>
      <c r="BC152" s="651">
        <f t="shared" si="102"/>
        <v>0</v>
      </c>
      <c r="BD152" s="652">
        <f t="shared" si="103"/>
        <v>0</v>
      </c>
      <c r="BE152" s="652">
        <f t="shared" si="104"/>
        <v>0</v>
      </c>
      <c r="BF152" s="651">
        <f t="array" ref="BF152">IFERROR(INDEX('HIV-Pharmaceuticals'!$AF$107:$AF$192,MATCH($E152&amp;$F152,'HIV-Pharmaceuticals'!$E$107:$E$192&amp;'HIV-Pharmaceuticals'!$I$107:$I$192,0)),0)</f>
        <v>0</v>
      </c>
      <c r="BG152" s="651">
        <f t="shared" si="105"/>
        <v>0</v>
      </c>
      <c r="BH152" s="652">
        <f t="shared" si="106"/>
        <v>0</v>
      </c>
      <c r="BI152" s="652">
        <f t="shared" si="107"/>
        <v>0</v>
      </c>
      <c r="BK152" s="654"/>
      <c r="BL152" s="654"/>
      <c r="BM152" s="654"/>
      <c r="BN152" s="654"/>
      <c r="BO152" s="654"/>
      <c r="BP152" s="654"/>
      <c r="BQ152" s="654"/>
      <c r="BR152" s="654"/>
    </row>
    <row r="153" spans="1:70">
      <c r="A153" s="647" t="s">
        <v>1317</v>
      </c>
      <c r="B153" s="647" t="s">
        <v>2282</v>
      </c>
      <c r="C153" s="648">
        <f>SETUP!$F$22</f>
        <v>0</v>
      </c>
      <c r="D153" s="649">
        <v>4.7</v>
      </c>
      <c r="E153" s="647" t="s">
        <v>1850</v>
      </c>
      <c r="F153" s="647" t="s">
        <v>1341</v>
      </c>
      <c r="G153" s="650" t="str">
        <f t="array" ref="G153">IFERROR(INDEX('HIV-Pharmaceuticals'!$L$107:$L$192,MATCH($E153&amp;$F153,'HIV-Pharmaceuticals'!$E$107:$E$192&amp;'HIV-Pharmaceuticals'!$I$107:$I$192,0)),"")</f>
        <v/>
      </c>
      <c r="H153" s="650" t="str">
        <f t="array" ref="H153">IFERROR(INDEX('HIV-Pharmaceuticals'!$M$107:$M$192,MATCH($E153&amp;$F153,'HIV-Pharmaceuticals'!$E$107:$E$192&amp;'HIV-Pharmaceuticals'!$I$107:$I$192,0)),"")</f>
        <v/>
      </c>
      <c r="I153" s="651">
        <f t="array" ref="I153">IFERROR(INDEX('HIV-Pharmaceuticals'!$N$107:$N$192,MATCH($E153&amp;$F153,'HIV-Pharmaceuticals'!$E$107:$E$192&amp;'HIV-Pharmaceuticals'!$I$107:$I$192,0)),0)</f>
        <v>0</v>
      </c>
      <c r="J153" s="651">
        <f t="array" ref="J153">IFERROR(INDEX('HIV-Pharmaceuticals'!$O$107:$O$192,MATCH($E153&amp;$F153,'HIV-Pharmaceuticals'!$E$107:$E$192&amp;'HIV-Pharmaceuticals'!$I$107:$I$192,0)),0)</f>
        <v>0</v>
      </c>
      <c r="K153" s="652">
        <f t="shared" si="72"/>
        <v>0</v>
      </c>
      <c r="L153" s="652">
        <f t="shared" si="73"/>
        <v>0</v>
      </c>
      <c r="M153" s="652">
        <f t="shared" si="74"/>
        <v>0</v>
      </c>
      <c r="N153" s="651">
        <f t="array" ref="N153">IFERROR(INDEX('HIV-Pharmaceuticals'!$P$107:$P$192,MATCH($E153&amp;$F153,'HIV-Pharmaceuticals'!$E$107:$E$192&amp;'HIV-Pharmaceuticals'!$I$107:$I$192,0)),0)</f>
        <v>0</v>
      </c>
      <c r="O153" s="652">
        <f t="shared" si="75"/>
        <v>0</v>
      </c>
      <c r="P153" s="652">
        <f t="shared" si="76"/>
        <v>0</v>
      </c>
      <c r="Q153" s="652">
        <f t="shared" si="77"/>
        <v>0</v>
      </c>
      <c r="R153" s="651">
        <f t="array" ref="R153">IFERROR(INDEX('HIV-Pharmaceuticals'!$Q$107:$Q$192,MATCH($E153&amp;$F153,'HIV-Pharmaceuticals'!$E$107:$E$192&amp;'HIV-Pharmaceuticals'!$I$107:$I$192,0)),0)</f>
        <v>0</v>
      </c>
      <c r="S153" s="652">
        <f t="shared" si="78"/>
        <v>0</v>
      </c>
      <c r="T153" s="652">
        <f t="shared" si="79"/>
        <v>0</v>
      </c>
      <c r="U153" s="652">
        <f t="shared" si="80"/>
        <v>0</v>
      </c>
      <c r="V153" s="651">
        <f t="array" ref="V153">IFERROR(INDEX('HIV-Pharmaceuticals'!$R$107:$R$192,MATCH($E153&amp;$F153,'HIV-Pharmaceuticals'!$E$107:$E$192&amp;'HIV-Pharmaceuticals'!$I$107:$I$192,0)),0)</f>
        <v>0</v>
      </c>
      <c r="W153" s="652">
        <f t="shared" si="81"/>
        <v>0</v>
      </c>
      <c r="X153" s="652">
        <f t="shared" si="82"/>
        <v>0</v>
      </c>
      <c r="Y153" s="652">
        <f t="shared" si="83"/>
        <v>0</v>
      </c>
      <c r="Z153" s="653"/>
      <c r="AA153" s="651">
        <f t="array" ref="AA153">IFERROR(INDEX('HIV-Pharmaceuticals'!$U$107:$U$192,MATCH($E153&amp;$F153,'HIV-Pharmaceuticals'!$E$107:$E$192&amp;'HIV-Pharmaceuticals'!$I$107:$I$192,0)),0)</f>
        <v>0</v>
      </c>
      <c r="AB153" s="651">
        <f t="array" ref="AB153">IFERROR(INDEX('HIV-Pharmaceuticals'!$V$107:$V$192,MATCH($E153&amp;$F153,'HIV-Pharmaceuticals'!$E$107:$E$192&amp;'HIV-Pharmaceuticals'!$I$107:$I$192,0)),0)</f>
        <v>0</v>
      </c>
      <c r="AC153" s="651">
        <f t="shared" si="84"/>
        <v>0</v>
      </c>
      <c r="AD153" s="652">
        <f t="shared" si="85"/>
        <v>0</v>
      </c>
      <c r="AE153" s="652">
        <f t="shared" si="86"/>
        <v>0</v>
      </c>
      <c r="AF153" s="651">
        <f t="array" ref="AF153">IFERROR(INDEX('HIV-Pharmaceuticals'!$W$107:$W$192,MATCH($E153&amp;$F153,'HIV-Pharmaceuticals'!$E$107:$E$192&amp;'HIV-Pharmaceuticals'!$I$107:$I$192,0)),0)</f>
        <v>0</v>
      </c>
      <c r="AG153" s="651">
        <f t="shared" si="87"/>
        <v>0</v>
      </c>
      <c r="AH153" s="652">
        <f t="shared" si="88"/>
        <v>0</v>
      </c>
      <c r="AI153" s="652">
        <f t="shared" si="89"/>
        <v>0</v>
      </c>
      <c r="AJ153" s="651">
        <f t="array" ref="AJ153">IFERROR(INDEX('HIV-Pharmaceuticals'!$X$107:$X$192,MATCH($E153&amp;$F153,'HIV-Pharmaceuticals'!$E$107:$E$192&amp;'HIV-Pharmaceuticals'!$I$107:$I$192,0)),0)</f>
        <v>0</v>
      </c>
      <c r="AK153" s="651">
        <f t="shared" si="90"/>
        <v>0</v>
      </c>
      <c r="AL153" s="652">
        <f t="shared" si="91"/>
        <v>0</v>
      </c>
      <c r="AM153" s="652">
        <f t="shared" si="92"/>
        <v>0</v>
      </c>
      <c r="AN153" s="651">
        <f t="array" ref="AN153">IFERROR(INDEX('HIV-Pharmaceuticals'!$Y$107:$Y$192,MATCH($E153&amp;$F153,'HIV-Pharmaceuticals'!$E$107:$E$192&amp;'HIV-Pharmaceuticals'!$I$107:$I$192,0)),0)</f>
        <v>0</v>
      </c>
      <c r="AO153" s="651">
        <f t="shared" si="93"/>
        <v>0</v>
      </c>
      <c r="AP153" s="652">
        <f t="shared" si="94"/>
        <v>0</v>
      </c>
      <c r="AQ153" s="652">
        <f t="shared" si="95"/>
        <v>0</v>
      </c>
      <c r="AR153" s="653"/>
      <c r="AS153" s="651">
        <f t="array" ref="AS153">IFERROR(INDEX('HIV-Pharmaceuticals'!$AB$107:$AB$192,MATCH($E153&amp;$F153,'HIV-Pharmaceuticals'!$E$107:$E$192&amp;'HIV-Pharmaceuticals'!$I$107:$I$192,0)),0)</f>
        <v>0</v>
      </c>
      <c r="AT153" s="651">
        <f t="array" ref="AT153">IFERROR(INDEX('HIV-Pharmaceuticals'!$AC$107:$AC$192,MATCH($E153&amp;$F153,'HIV-Pharmaceuticals'!$E$107:$E$192&amp;'HIV-Pharmaceuticals'!$I$107:$I$192,0)),0)</f>
        <v>0</v>
      </c>
      <c r="AU153" s="651">
        <f t="shared" si="96"/>
        <v>0</v>
      </c>
      <c r="AV153" s="652">
        <f t="shared" si="97"/>
        <v>0</v>
      </c>
      <c r="AW153" s="652">
        <f t="shared" si="98"/>
        <v>0</v>
      </c>
      <c r="AX153" s="651">
        <f t="array" ref="AX153">IFERROR(INDEX('HIV-Pharmaceuticals'!$AD$107:$AD$192,MATCH($E153&amp;$F153,'HIV-Pharmaceuticals'!$E$107:$E$192&amp;'HIV-Pharmaceuticals'!$I$107:$I$192,0)),0)</f>
        <v>0</v>
      </c>
      <c r="AY153" s="651">
        <f t="shared" si="99"/>
        <v>0</v>
      </c>
      <c r="AZ153" s="652">
        <f t="shared" si="100"/>
        <v>0</v>
      </c>
      <c r="BA153" s="652">
        <f t="shared" si="101"/>
        <v>0</v>
      </c>
      <c r="BB153" s="651">
        <f t="array" ref="BB153">IFERROR(INDEX('HIV-Pharmaceuticals'!$AE$107:$AE$192,MATCH($E153&amp;$F153,'HIV-Pharmaceuticals'!$E$107:$E$192&amp;'HIV-Pharmaceuticals'!$I$107:$I$192,0)),0)</f>
        <v>0</v>
      </c>
      <c r="BC153" s="651">
        <f t="shared" si="102"/>
        <v>0</v>
      </c>
      <c r="BD153" s="652">
        <f t="shared" si="103"/>
        <v>0</v>
      </c>
      <c r="BE153" s="652">
        <f t="shared" si="104"/>
        <v>0</v>
      </c>
      <c r="BF153" s="651">
        <f t="array" ref="BF153">IFERROR(INDEX('HIV-Pharmaceuticals'!$AF$107:$AF$192,MATCH($E153&amp;$F153,'HIV-Pharmaceuticals'!$E$107:$E$192&amp;'HIV-Pharmaceuticals'!$I$107:$I$192,0)),0)</f>
        <v>0</v>
      </c>
      <c r="BG153" s="651">
        <f t="shared" si="105"/>
        <v>0</v>
      </c>
      <c r="BH153" s="652">
        <f t="shared" si="106"/>
        <v>0</v>
      </c>
      <c r="BI153" s="652">
        <f t="shared" si="107"/>
        <v>0</v>
      </c>
      <c r="BK153" s="654"/>
      <c r="BL153" s="654"/>
      <c r="BM153" s="654"/>
      <c r="BN153" s="654"/>
      <c r="BO153" s="654"/>
      <c r="BP153" s="654"/>
      <c r="BQ153" s="654"/>
      <c r="BR153" s="654"/>
    </row>
    <row r="154" spans="1:70">
      <c r="A154" s="647" t="s">
        <v>1317</v>
      </c>
      <c r="B154" s="647" t="s">
        <v>2282</v>
      </c>
      <c r="C154" s="648">
        <f>SETUP!$F$22</f>
        <v>0</v>
      </c>
      <c r="D154" s="649">
        <v>4.7</v>
      </c>
      <c r="E154" s="647" t="s">
        <v>1851</v>
      </c>
      <c r="F154" s="647" t="s">
        <v>1343</v>
      </c>
      <c r="G154" s="650" t="str">
        <f t="array" ref="G154">IFERROR(INDEX('HIV-Pharmaceuticals'!$L$107:$L$192,MATCH($E154&amp;$F154,'HIV-Pharmaceuticals'!$E$107:$E$192&amp;'HIV-Pharmaceuticals'!$I$107:$I$192,0)),"")</f>
        <v/>
      </c>
      <c r="H154" s="650" t="str">
        <f t="array" ref="H154">IFERROR(INDEX('HIV-Pharmaceuticals'!$M$107:$M$192,MATCH($E154&amp;$F154,'HIV-Pharmaceuticals'!$E$107:$E$192&amp;'HIV-Pharmaceuticals'!$I$107:$I$192,0)),"")</f>
        <v/>
      </c>
      <c r="I154" s="651">
        <f t="array" ref="I154">IFERROR(INDEX('HIV-Pharmaceuticals'!$N$107:$N$192,MATCH($E154&amp;$F154,'HIV-Pharmaceuticals'!$E$107:$E$192&amp;'HIV-Pharmaceuticals'!$I$107:$I$192,0)),0)</f>
        <v>0</v>
      </c>
      <c r="J154" s="651">
        <f t="array" ref="J154">IFERROR(INDEX('HIV-Pharmaceuticals'!$O$107:$O$192,MATCH($E154&amp;$F154,'HIV-Pharmaceuticals'!$E$107:$E$192&amp;'HIV-Pharmaceuticals'!$I$107:$I$192,0)),0)</f>
        <v>0</v>
      </c>
      <c r="K154" s="652">
        <f t="shared" si="72"/>
        <v>0</v>
      </c>
      <c r="L154" s="652">
        <f t="shared" si="73"/>
        <v>0</v>
      </c>
      <c r="M154" s="652">
        <f t="shared" si="74"/>
        <v>0</v>
      </c>
      <c r="N154" s="651">
        <f t="array" ref="N154">IFERROR(INDEX('HIV-Pharmaceuticals'!$P$107:$P$192,MATCH($E154&amp;$F154,'HIV-Pharmaceuticals'!$E$107:$E$192&amp;'HIV-Pharmaceuticals'!$I$107:$I$192,0)),0)</f>
        <v>0</v>
      </c>
      <c r="O154" s="652">
        <f t="shared" si="75"/>
        <v>0</v>
      </c>
      <c r="P154" s="652">
        <f t="shared" si="76"/>
        <v>0</v>
      </c>
      <c r="Q154" s="652">
        <f t="shared" si="77"/>
        <v>0</v>
      </c>
      <c r="R154" s="651">
        <f t="array" ref="R154">IFERROR(INDEX('HIV-Pharmaceuticals'!$Q$107:$Q$192,MATCH($E154&amp;$F154,'HIV-Pharmaceuticals'!$E$107:$E$192&amp;'HIV-Pharmaceuticals'!$I$107:$I$192,0)),0)</f>
        <v>0</v>
      </c>
      <c r="S154" s="652">
        <f t="shared" si="78"/>
        <v>0</v>
      </c>
      <c r="T154" s="652">
        <f t="shared" si="79"/>
        <v>0</v>
      </c>
      <c r="U154" s="652">
        <f t="shared" si="80"/>
        <v>0</v>
      </c>
      <c r="V154" s="651">
        <f t="array" ref="V154">IFERROR(INDEX('HIV-Pharmaceuticals'!$R$107:$R$192,MATCH($E154&amp;$F154,'HIV-Pharmaceuticals'!$E$107:$E$192&amp;'HIV-Pharmaceuticals'!$I$107:$I$192,0)),0)</f>
        <v>0</v>
      </c>
      <c r="W154" s="652">
        <f t="shared" si="81"/>
        <v>0</v>
      </c>
      <c r="X154" s="652">
        <f t="shared" si="82"/>
        <v>0</v>
      </c>
      <c r="Y154" s="652">
        <f t="shared" si="83"/>
        <v>0</v>
      </c>
      <c r="Z154" s="653"/>
      <c r="AA154" s="651">
        <f t="array" ref="AA154">IFERROR(INDEX('HIV-Pharmaceuticals'!$U$107:$U$192,MATCH($E154&amp;$F154,'HIV-Pharmaceuticals'!$E$107:$E$192&amp;'HIV-Pharmaceuticals'!$I$107:$I$192,0)),0)</f>
        <v>0</v>
      </c>
      <c r="AB154" s="651">
        <f t="array" ref="AB154">IFERROR(INDEX('HIV-Pharmaceuticals'!$V$107:$V$192,MATCH($E154&amp;$F154,'HIV-Pharmaceuticals'!$E$107:$E$192&amp;'HIV-Pharmaceuticals'!$I$107:$I$192,0)),0)</f>
        <v>0</v>
      </c>
      <c r="AC154" s="651">
        <f t="shared" si="84"/>
        <v>0</v>
      </c>
      <c r="AD154" s="652">
        <f t="shared" si="85"/>
        <v>0</v>
      </c>
      <c r="AE154" s="652">
        <f t="shared" si="86"/>
        <v>0</v>
      </c>
      <c r="AF154" s="651">
        <f t="array" ref="AF154">IFERROR(INDEX('HIV-Pharmaceuticals'!$W$107:$W$192,MATCH($E154&amp;$F154,'HIV-Pharmaceuticals'!$E$107:$E$192&amp;'HIV-Pharmaceuticals'!$I$107:$I$192,0)),0)</f>
        <v>0</v>
      </c>
      <c r="AG154" s="651">
        <f t="shared" si="87"/>
        <v>0</v>
      </c>
      <c r="AH154" s="652">
        <f t="shared" si="88"/>
        <v>0</v>
      </c>
      <c r="AI154" s="652">
        <f t="shared" si="89"/>
        <v>0</v>
      </c>
      <c r="AJ154" s="651">
        <f t="array" ref="AJ154">IFERROR(INDEX('HIV-Pharmaceuticals'!$X$107:$X$192,MATCH($E154&amp;$F154,'HIV-Pharmaceuticals'!$E$107:$E$192&amp;'HIV-Pharmaceuticals'!$I$107:$I$192,0)),0)</f>
        <v>0</v>
      </c>
      <c r="AK154" s="651">
        <f t="shared" si="90"/>
        <v>0</v>
      </c>
      <c r="AL154" s="652">
        <f t="shared" si="91"/>
        <v>0</v>
      </c>
      <c r="AM154" s="652">
        <f t="shared" si="92"/>
        <v>0</v>
      </c>
      <c r="AN154" s="651">
        <f t="array" ref="AN154">IFERROR(INDEX('HIV-Pharmaceuticals'!$Y$107:$Y$192,MATCH($E154&amp;$F154,'HIV-Pharmaceuticals'!$E$107:$E$192&amp;'HIV-Pharmaceuticals'!$I$107:$I$192,0)),0)</f>
        <v>0</v>
      </c>
      <c r="AO154" s="651">
        <f t="shared" si="93"/>
        <v>0</v>
      </c>
      <c r="AP154" s="652">
        <f t="shared" si="94"/>
        <v>0</v>
      </c>
      <c r="AQ154" s="652">
        <f t="shared" si="95"/>
        <v>0</v>
      </c>
      <c r="AR154" s="653"/>
      <c r="AS154" s="651">
        <f t="array" ref="AS154">IFERROR(INDEX('HIV-Pharmaceuticals'!$AB$107:$AB$192,MATCH($E154&amp;$F154,'HIV-Pharmaceuticals'!$E$107:$E$192&amp;'HIV-Pharmaceuticals'!$I$107:$I$192,0)),0)</f>
        <v>0</v>
      </c>
      <c r="AT154" s="651">
        <f t="array" ref="AT154">IFERROR(INDEX('HIV-Pharmaceuticals'!$AC$107:$AC$192,MATCH($E154&amp;$F154,'HIV-Pharmaceuticals'!$E$107:$E$192&amp;'HIV-Pharmaceuticals'!$I$107:$I$192,0)),0)</f>
        <v>0</v>
      </c>
      <c r="AU154" s="651">
        <f t="shared" si="96"/>
        <v>0</v>
      </c>
      <c r="AV154" s="652">
        <f t="shared" si="97"/>
        <v>0</v>
      </c>
      <c r="AW154" s="652">
        <f t="shared" si="98"/>
        <v>0</v>
      </c>
      <c r="AX154" s="651">
        <f t="array" ref="AX154">IFERROR(INDEX('HIV-Pharmaceuticals'!$AD$107:$AD$192,MATCH($E154&amp;$F154,'HIV-Pharmaceuticals'!$E$107:$E$192&amp;'HIV-Pharmaceuticals'!$I$107:$I$192,0)),0)</f>
        <v>0</v>
      </c>
      <c r="AY154" s="651">
        <f t="shared" si="99"/>
        <v>0</v>
      </c>
      <c r="AZ154" s="652">
        <f t="shared" si="100"/>
        <v>0</v>
      </c>
      <c r="BA154" s="652">
        <f t="shared" si="101"/>
        <v>0</v>
      </c>
      <c r="BB154" s="651">
        <f t="array" ref="BB154">IFERROR(INDEX('HIV-Pharmaceuticals'!$AE$107:$AE$192,MATCH($E154&amp;$F154,'HIV-Pharmaceuticals'!$E$107:$E$192&amp;'HIV-Pharmaceuticals'!$I$107:$I$192,0)),0)</f>
        <v>0</v>
      </c>
      <c r="BC154" s="651">
        <f t="shared" si="102"/>
        <v>0</v>
      </c>
      <c r="BD154" s="652">
        <f t="shared" si="103"/>
        <v>0</v>
      </c>
      <c r="BE154" s="652">
        <f t="shared" si="104"/>
        <v>0</v>
      </c>
      <c r="BF154" s="651">
        <f t="array" ref="BF154">IFERROR(INDEX('HIV-Pharmaceuticals'!$AF$107:$AF$192,MATCH($E154&amp;$F154,'HIV-Pharmaceuticals'!$E$107:$E$192&amp;'HIV-Pharmaceuticals'!$I$107:$I$192,0)),0)</f>
        <v>0</v>
      </c>
      <c r="BG154" s="651">
        <f t="shared" si="105"/>
        <v>0</v>
      </c>
      <c r="BH154" s="652">
        <f t="shared" si="106"/>
        <v>0</v>
      </c>
      <c r="BI154" s="652">
        <f t="shared" si="107"/>
        <v>0</v>
      </c>
      <c r="BK154" s="654"/>
      <c r="BL154" s="654"/>
      <c r="BM154" s="654"/>
      <c r="BN154" s="654"/>
      <c r="BO154" s="654"/>
      <c r="BP154" s="654"/>
      <c r="BQ154" s="654"/>
      <c r="BR154" s="654"/>
    </row>
    <row r="155" spans="1:70">
      <c r="A155" s="647" t="s">
        <v>1317</v>
      </c>
      <c r="B155" s="647" t="s">
        <v>2282</v>
      </c>
      <c r="C155" s="648">
        <f>SETUP!$F$22</f>
        <v>0</v>
      </c>
      <c r="D155" s="649">
        <v>4.7</v>
      </c>
      <c r="E155" s="647" t="s">
        <v>1851</v>
      </c>
      <c r="F155" s="647" t="s">
        <v>1344</v>
      </c>
      <c r="G155" s="650" t="str">
        <f t="array" ref="G155">IFERROR(INDEX('HIV-Pharmaceuticals'!$L$107:$L$192,MATCH($E155&amp;$F155,'HIV-Pharmaceuticals'!$E$107:$E$192&amp;'HIV-Pharmaceuticals'!$I$107:$I$192,0)),"")</f>
        <v/>
      </c>
      <c r="H155" s="650" t="str">
        <f t="array" ref="H155">IFERROR(INDEX('HIV-Pharmaceuticals'!$M$107:$M$192,MATCH($E155&amp;$F155,'HIV-Pharmaceuticals'!$E$107:$E$192&amp;'HIV-Pharmaceuticals'!$I$107:$I$192,0)),"")</f>
        <v/>
      </c>
      <c r="I155" s="651">
        <f t="array" ref="I155">IFERROR(INDEX('HIV-Pharmaceuticals'!$N$107:$N$192,MATCH($E155&amp;$F155,'HIV-Pharmaceuticals'!$E$107:$E$192&amp;'HIV-Pharmaceuticals'!$I$107:$I$192,0)),0)</f>
        <v>0</v>
      </c>
      <c r="J155" s="651">
        <f t="array" ref="J155">IFERROR(INDEX('HIV-Pharmaceuticals'!$O$107:$O$192,MATCH($E155&amp;$F155,'HIV-Pharmaceuticals'!$E$107:$E$192&amp;'HIV-Pharmaceuticals'!$I$107:$I$192,0)),0)</f>
        <v>0</v>
      </c>
      <c r="K155" s="652">
        <f t="shared" si="72"/>
        <v>0</v>
      </c>
      <c r="L155" s="652">
        <f t="shared" si="73"/>
        <v>0</v>
      </c>
      <c r="M155" s="652">
        <f t="shared" si="74"/>
        <v>0</v>
      </c>
      <c r="N155" s="651">
        <f t="array" ref="N155">IFERROR(INDEX('HIV-Pharmaceuticals'!$P$107:$P$192,MATCH($E155&amp;$F155,'HIV-Pharmaceuticals'!$E$107:$E$192&amp;'HIV-Pharmaceuticals'!$I$107:$I$192,0)),0)</f>
        <v>0</v>
      </c>
      <c r="O155" s="652">
        <f t="shared" si="75"/>
        <v>0</v>
      </c>
      <c r="P155" s="652">
        <f t="shared" si="76"/>
        <v>0</v>
      </c>
      <c r="Q155" s="652">
        <f t="shared" si="77"/>
        <v>0</v>
      </c>
      <c r="R155" s="651">
        <f t="array" ref="R155">IFERROR(INDEX('HIV-Pharmaceuticals'!$Q$107:$Q$192,MATCH($E155&amp;$F155,'HIV-Pharmaceuticals'!$E$107:$E$192&amp;'HIV-Pharmaceuticals'!$I$107:$I$192,0)),0)</f>
        <v>0</v>
      </c>
      <c r="S155" s="652">
        <f t="shared" si="78"/>
        <v>0</v>
      </c>
      <c r="T155" s="652">
        <f t="shared" si="79"/>
        <v>0</v>
      </c>
      <c r="U155" s="652">
        <f t="shared" si="80"/>
        <v>0</v>
      </c>
      <c r="V155" s="651">
        <f t="array" ref="V155">IFERROR(INDEX('HIV-Pharmaceuticals'!$R$107:$R$192,MATCH($E155&amp;$F155,'HIV-Pharmaceuticals'!$E$107:$E$192&amp;'HIV-Pharmaceuticals'!$I$107:$I$192,0)),0)</f>
        <v>0</v>
      </c>
      <c r="W155" s="652">
        <f t="shared" si="81"/>
        <v>0</v>
      </c>
      <c r="X155" s="652">
        <f t="shared" si="82"/>
        <v>0</v>
      </c>
      <c r="Y155" s="652">
        <f t="shared" si="83"/>
        <v>0</v>
      </c>
      <c r="Z155" s="653"/>
      <c r="AA155" s="651">
        <f t="array" ref="AA155">IFERROR(INDEX('HIV-Pharmaceuticals'!$U$107:$U$192,MATCH($E155&amp;$F155,'HIV-Pharmaceuticals'!$E$107:$E$192&amp;'HIV-Pharmaceuticals'!$I$107:$I$192,0)),0)</f>
        <v>0</v>
      </c>
      <c r="AB155" s="651">
        <f t="array" ref="AB155">IFERROR(INDEX('HIV-Pharmaceuticals'!$V$107:$V$192,MATCH($E155&amp;$F155,'HIV-Pharmaceuticals'!$E$107:$E$192&amp;'HIV-Pharmaceuticals'!$I$107:$I$192,0)),0)</f>
        <v>0</v>
      </c>
      <c r="AC155" s="651">
        <f t="shared" si="84"/>
        <v>0</v>
      </c>
      <c r="AD155" s="652">
        <f t="shared" si="85"/>
        <v>0</v>
      </c>
      <c r="AE155" s="652">
        <f t="shared" si="86"/>
        <v>0</v>
      </c>
      <c r="AF155" s="651">
        <f t="array" ref="AF155">IFERROR(INDEX('HIV-Pharmaceuticals'!$W$107:$W$192,MATCH($E155&amp;$F155,'HIV-Pharmaceuticals'!$E$107:$E$192&amp;'HIV-Pharmaceuticals'!$I$107:$I$192,0)),0)</f>
        <v>0</v>
      </c>
      <c r="AG155" s="651">
        <f t="shared" si="87"/>
        <v>0</v>
      </c>
      <c r="AH155" s="652">
        <f t="shared" si="88"/>
        <v>0</v>
      </c>
      <c r="AI155" s="652">
        <f t="shared" si="89"/>
        <v>0</v>
      </c>
      <c r="AJ155" s="651">
        <f t="array" ref="AJ155">IFERROR(INDEX('HIV-Pharmaceuticals'!$X$107:$X$192,MATCH($E155&amp;$F155,'HIV-Pharmaceuticals'!$E$107:$E$192&amp;'HIV-Pharmaceuticals'!$I$107:$I$192,0)),0)</f>
        <v>0</v>
      </c>
      <c r="AK155" s="651">
        <f t="shared" si="90"/>
        <v>0</v>
      </c>
      <c r="AL155" s="652">
        <f t="shared" si="91"/>
        <v>0</v>
      </c>
      <c r="AM155" s="652">
        <f t="shared" si="92"/>
        <v>0</v>
      </c>
      <c r="AN155" s="651">
        <f t="array" ref="AN155">IFERROR(INDEX('HIV-Pharmaceuticals'!$Y$107:$Y$192,MATCH($E155&amp;$F155,'HIV-Pharmaceuticals'!$E$107:$E$192&amp;'HIV-Pharmaceuticals'!$I$107:$I$192,0)),0)</f>
        <v>0</v>
      </c>
      <c r="AO155" s="651">
        <f t="shared" si="93"/>
        <v>0</v>
      </c>
      <c r="AP155" s="652">
        <f t="shared" si="94"/>
        <v>0</v>
      </c>
      <c r="AQ155" s="652">
        <f t="shared" si="95"/>
        <v>0</v>
      </c>
      <c r="AR155" s="653"/>
      <c r="AS155" s="651">
        <f t="array" ref="AS155">IFERROR(INDEX('HIV-Pharmaceuticals'!$AB$107:$AB$192,MATCH($E155&amp;$F155,'HIV-Pharmaceuticals'!$E$107:$E$192&amp;'HIV-Pharmaceuticals'!$I$107:$I$192,0)),0)</f>
        <v>0</v>
      </c>
      <c r="AT155" s="651">
        <f t="array" ref="AT155">IFERROR(INDEX('HIV-Pharmaceuticals'!$AC$107:$AC$192,MATCH($E155&amp;$F155,'HIV-Pharmaceuticals'!$E$107:$E$192&amp;'HIV-Pharmaceuticals'!$I$107:$I$192,0)),0)</f>
        <v>0</v>
      </c>
      <c r="AU155" s="651">
        <f t="shared" si="96"/>
        <v>0</v>
      </c>
      <c r="AV155" s="652">
        <f t="shared" si="97"/>
        <v>0</v>
      </c>
      <c r="AW155" s="652">
        <f t="shared" si="98"/>
        <v>0</v>
      </c>
      <c r="AX155" s="651">
        <f t="array" ref="AX155">IFERROR(INDEX('HIV-Pharmaceuticals'!$AD$107:$AD$192,MATCH($E155&amp;$F155,'HIV-Pharmaceuticals'!$E$107:$E$192&amp;'HIV-Pharmaceuticals'!$I$107:$I$192,0)),0)</f>
        <v>0</v>
      </c>
      <c r="AY155" s="651">
        <f t="shared" si="99"/>
        <v>0</v>
      </c>
      <c r="AZ155" s="652">
        <f t="shared" si="100"/>
        <v>0</v>
      </c>
      <c r="BA155" s="652">
        <f t="shared" si="101"/>
        <v>0</v>
      </c>
      <c r="BB155" s="651">
        <f t="array" ref="BB155">IFERROR(INDEX('HIV-Pharmaceuticals'!$AE$107:$AE$192,MATCH($E155&amp;$F155,'HIV-Pharmaceuticals'!$E$107:$E$192&amp;'HIV-Pharmaceuticals'!$I$107:$I$192,0)),0)</f>
        <v>0</v>
      </c>
      <c r="BC155" s="651">
        <f t="shared" si="102"/>
        <v>0</v>
      </c>
      <c r="BD155" s="652">
        <f t="shared" si="103"/>
        <v>0</v>
      </c>
      <c r="BE155" s="652">
        <f t="shared" si="104"/>
        <v>0</v>
      </c>
      <c r="BF155" s="651">
        <f t="array" ref="BF155">IFERROR(INDEX('HIV-Pharmaceuticals'!$AF$107:$AF$192,MATCH($E155&amp;$F155,'HIV-Pharmaceuticals'!$E$107:$E$192&amp;'HIV-Pharmaceuticals'!$I$107:$I$192,0)),0)</f>
        <v>0</v>
      </c>
      <c r="BG155" s="651">
        <f t="shared" si="105"/>
        <v>0</v>
      </c>
      <c r="BH155" s="652">
        <f t="shared" si="106"/>
        <v>0</v>
      </c>
      <c r="BI155" s="652">
        <f t="shared" si="107"/>
        <v>0</v>
      </c>
      <c r="BK155" s="654"/>
      <c r="BL155" s="654"/>
      <c r="BM155" s="654"/>
      <c r="BN155" s="654"/>
      <c r="BO155" s="654"/>
      <c r="BP155" s="654"/>
      <c r="BQ155" s="654"/>
      <c r="BR155" s="654"/>
    </row>
    <row r="156" spans="1:70">
      <c r="A156" s="647" t="s">
        <v>1317</v>
      </c>
      <c r="B156" s="647" t="s">
        <v>2282</v>
      </c>
      <c r="C156" s="648">
        <f>SETUP!$F$22</f>
        <v>0</v>
      </c>
      <c r="D156" s="649">
        <v>4.7</v>
      </c>
      <c r="E156" s="647" t="s">
        <v>1852</v>
      </c>
      <c r="F156" s="647" t="s">
        <v>1346</v>
      </c>
      <c r="G156" s="650" t="str">
        <f t="array" ref="G156">IFERROR(INDEX('HIV-Pharmaceuticals'!$L$107:$L$192,MATCH($E156&amp;$F156,'HIV-Pharmaceuticals'!$E$107:$E$192&amp;'HIV-Pharmaceuticals'!$I$107:$I$192,0)),"")</f>
        <v/>
      </c>
      <c r="H156" s="650" t="str">
        <f t="array" ref="H156">IFERROR(INDEX('HIV-Pharmaceuticals'!$M$107:$M$192,MATCH($E156&amp;$F156,'HIV-Pharmaceuticals'!$E$107:$E$192&amp;'HIV-Pharmaceuticals'!$I$107:$I$192,0)),"")</f>
        <v/>
      </c>
      <c r="I156" s="651">
        <f t="array" ref="I156">IFERROR(INDEX('HIV-Pharmaceuticals'!$N$107:$N$192,MATCH($E156&amp;$F156,'HIV-Pharmaceuticals'!$E$107:$E$192&amp;'HIV-Pharmaceuticals'!$I$107:$I$192,0)),0)</f>
        <v>0</v>
      </c>
      <c r="J156" s="651">
        <f t="array" ref="J156">IFERROR(INDEX('HIV-Pharmaceuticals'!$O$107:$O$192,MATCH($E156&amp;$F156,'HIV-Pharmaceuticals'!$E$107:$E$192&amp;'HIV-Pharmaceuticals'!$I$107:$I$192,0)),0)</f>
        <v>0</v>
      </c>
      <c r="K156" s="652">
        <f t="shared" si="72"/>
        <v>0</v>
      </c>
      <c r="L156" s="652">
        <f t="shared" si="73"/>
        <v>0</v>
      </c>
      <c r="M156" s="652">
        <f t="shared" si="74"/>
        <v>0</v>
      </c>
      <c r="N156" s="651">
        <f t="array" ref="N156">IFERROR(INDEX('HIV-Pharmaceuticals'!$P$107:$P$192,MATCH($E156&amp;$F156,'HIV-Pharmaceuticals'!$E$107:$E$192&amp;'HIV-Pharmaceuticals'!$I$107:$I$192,0)),0)</f>
        <v>0</v>
      </c>
      <c r="O156" s="652">
        <f t="shared" si="75"/>
        <v>0</v>
      </c>
      <c r="P156" s="652">
        <f t="shared" si="76"/>
        <v>0</v>
      </c>
      <c r="Q156" s="652">
        <f t="shared" si="77"/>
        <v>0</v>
      </c>
      <c r="R156" s="651">
        <f t="array" ref="R156">IFERROR(INDEX('HIV-Pharmaceuticals'!$Q$107:$Q$192,MATCH($E156&amp;$F156,'HIV-Pharmaceuticals'!$E$107:$E$192&amp;'HIV-Pharmaceuticals'!$I$107:$I$192,0)),0)</f>
        <v>0</v>
      </c>
      <c r="S156" s="652">
        <f t="shared" si="78"/>
        <v>0</v>
      </c>
      <c r="T156" s="652">
        <f t="shared" si="79"/>
        <v>0</v>
      </c>
      <c r="U156" s="652">
        <f t="shared" si="80"/>
        <v>0</v>
      </c>
      <c r="V156" s="651">
        <f t="array" ref="V156">IFERROR(INDEX('HIV-Pharmaceuticals'!$R$107:$R$192,MATCH($E156&amp;$F156,'HIV-Pharmaceuticals'!$E$107:$E$192&amp;'HIV-Pharmaceuticals'!$I$107:$I$192,0)),0)</f>
        <v>0</v>
      </c>
      <c r="W156" s="652">
        <f t="shared" si="81"/>
        <v>0</v>
      </c>
      <c r="X156" s="652">
        <f t="shared" si="82"/>
        <v>0</v>
      </c>
      <c r="Y156" s="652">
        <f t="shared" si="83"/>
        <v>0</v>
      </c>
      <c r="Z156" s="653"/>
      <c r="AA156" s="651">
        <f t="array" ref="AA156">IFERROR(INDEX('HIV-Pharmaceuticals'!$U$107:$U$192,MATCH($E156&amp;$F156,'HIV-Pharmaceuticals'!$E$107:$E$192&amp;'HIV-Pharmaceuticals'!$I$107:$I$192,0)),0)</f>
        <v>0</v>
      </c>
      <c r="AB156" s="651">
        <f t="array" ref="AB156">IFERROR(INDEX('HIV-Pharmaceuticals'!$V$107:$V$192,MATCH($E156&amp;$F156,'HIV-Pharmaceuticals'!$E$107:$E$192&amp;'HIV-Pharmaceuticals'!$I$107:$I$192,0)),0)</f>
        <v>0</v>
      </c>
      <c r="AC156" s="651">
        <f t="shared" si="84"/>
        <v>0</v>
      </c>
      <c r="AD156" s="652">
        <f t="shared" si="85"/>
        <v>0</v>
      </c>
      <c r="AE156" s="652">
        <f t="shared" si="86"/>
        <v>0</v>
      </c>
      <c r="AF156" s="651">
        <f t="array" ref="AF156">IFERROR(INDEX('HIV-Pharmaceuticals'!$W$107:$W$192,MATCH($E156&amp;$F156,'HIV-Pharmaceuticals'!$E$107:$E$192&amp;'HIV-Pharmaceuticals'!$I$107:$I$192,0)),0)</f>
        <v>0</v>
      </c>
      <c r="AG156" s="651">
        <f t="shared" si="87"/>
        <v>0</v>
      </c>
      <c r="AH156" s="652">
        <f t="shared" si="88"/>
        <v>0</v>
      </c>
      <c r="AI156" s="652">
        <f t="shared" si="89"/>
        <v>0</v>
      </c>
      <c r="AJ156" s="651">
        <f t="array" ref="AJ156">IFERROR(INDEX('HIV-Pharmaceuticals'!$X$107:$X$192,MATCH($E156&amp;$F156,'HIV-Pharmaceuticals'!$E$107:$E$192&amp;'HIV-Pharmaceuticals'!$I$107:$I$192,0)),0)</f>
        <v>0</v>
      </c>
      <c r="AK156" s="651">
        <f t="shared" si="90"/>
        <v>0</v>
      </c>
      <c r="AL156" s="652">
        <f t="shared" si="91"/>
        <v>0</v>
      </c>
      <c r="AM156" s="652">
        <f t="shared" si="92"/>
        <v>0</v>
      </c>
      <c r="AN156" s="651">
        <f t="array" ref="AN156">IFERROR(INDEX('HIV-Pharmaceuticals'!$Y$107:$Y$192,MATCH($E156&amp;$F156,'HIV-Pharmaceuticals'!$E$107:$E$192&amp;'HIV-Pharmaceuticals'!$I$107:$I$192,0)),0)</f>
        <v>0</v>
      </c>
      <c r="AO156" s="651">
        <f t="shared" si="93"/>
        <v>0</v>
      </c>
      <c r="AP156" s="652">
        <f t="shared" si="94"/>
        <v>0</v>
      </c>
      <c r="AQ156" s="652">
        <f t="shared" si="95"/>
        <v>0</v>
      </c>
      <c r="AR156" s="653"/>
      <c r="AS156" s="651">
        <f t="array" ref="AS156">IFERROR(INDEX('HIV-Pharmaceuticals'!$AB$107:$AB$192,MATCH($E156&amp;$F156,'HIV-Pharmaceuticals'!$E$107:$E$192&amp;'HIV-Pharmaceuticals'!$I$107:$I$192,0)),0)</f>
        <v>0</v>
      </c>
      <c r="AT156" s="651">
        <f t="array" ref="AT156">IFERROR(INDEX('HIV-Pharmaceuticals'!$AC$107:$AC$192,MATCH($E156&amp;$F156,'HIV-Pharmaceuticals'!$E$107:$E$192&amp;'HIV-Pharmaceuticals'!$I$107:$I$192,0)),0)</f>
        <v>0</v>
      </c>
      <c r="AU156" s="651">
        <f t="shared" si="96"/>
        <v>0</v>
      </c>
      <c r="AV156" s="652">
        <f t="shared" si="97"/>
        <v>0</v>
      </c>
      <c r="AW156" s="652">
        <f t="shared" si="98"/>
        <v>0</v>
      </c>
      <c r="AX156" s="651">
        <f t="array" ref="AX156">IFERROR(INDEX('HIV-Pharmaceuticals'!$AD$107:$AD$192,MATCH($E156&amp;$F156,'HIV-Pharmaceuticals'!$E$107:$E$192&amp;'HIV-Pharmaceuticals'!$I$107:$I$192,0)),0)</f>
        <v>0</v>
      </c>
      <c r="AY156" s="651">
        <f t="shared" si="99"/>
        <v>0</v>
      </c>
      <c r="AZ156" s="652">
        <f t="shared" si="100"/>
        <v>0</v>
      </c>
      <c r="BA156" s="652">
        <f t="shared" si="101"/>
        <v>0</v>
      </c>
      <c r="BB156" s="651">
        <f t="array" ref="BB156">IFERROR(INDEX('HIV-Pharmaceuticals'!$AE$107:$AE$192,MATCH($E156&amp;$F156,'HIV-Pharmaceuticals'!$E$107:$E$192&amp;'HIV-Pharmaceuticals'!$I$107:$I$192,0)),0)</f>
        <v>0</v>
      </c>
      <c r="BC156" s="651">
        <f t="shared" si="102"/>
        <v>0</v>
      </c>
      <c r="BD156" s="652">
        <f t="shared" si="103"/>
        <v>0</v>
      </c>
      <c r="BE156" s="652">
        <f t="shared" si="104"/>
        <v>0</v>
      </c>
      <c r="BF156" s="651">
        <f t="array" ref="BF156">IFERROR(INDEX('HIV-Pharmaceuticals'!$AF$107:$AF$192,MATCH($E156&amp;$F156,'HIV-Pharmaceuticals'!$E$107:$E$192&amp;'HIV-Pharmaceuticals'!$I$107:$I$192,0)),0)</f>
        <v>0</v>
      </c>
      <c r="BG156" s="651">
        <f t="shared" si="105"/>
        <v>0</v>
      </c>
      <c r="BH156" s="652">
        <f t="shared" si="106"/>
        <v>0</v>
      </c>
      <c r="BI156" s="652">
        <f t="shared" si="107"/>
        <v>0</v>
      </c>
      <c r="BK156" s="654"/>
      <c r="BL156" s="654"/>
      <c r="BM156" s="654"/>
      <c r="BN156" s="654"/>
      <c r="BO156" s="654"/>
      <c r="BP156" s="654"/>
      <c r="BQ156" s="654"/>
      <c r="BR156" s="654"/>
    </row>
    <row r="157" spans="1:70">
      <c r="A157" s="647" t="s">
        <v>1317</v>
      </c>
      <c r="B157" s="647" t="s">
        <v>2282</v>
      </c>
      <c r="C157" s="648">
        <f>SETUP!$F$22</f>
        <v>0</v>
      </c>
      <c r="D157" s="649">
        <v>4.7</v>
      </c>
      <c r="E157" s="647" t="s">
        <v>2353</v>
      </c>
      <c r="F157" s="647" t="s">
        <v>2329</v>
      </c>
      <c r="G157" s="650" t="str">
        <f t="array" ref="G157">IFERROR(INDEX('HIV-Pharmaceuticals'!$L$107:$L$192,MATCH($E157&amp;$F157,'HIV-Pharmaceuticals'!$E$107:$E$192&amp;'HIV-Pharmaceuticals'!$I$107:$I$192,0)),"")</f>
        <v/>
      </c>
      <c r="H157" s="650" t="str">
        <f t="array" ref="H157">IFERROR(INDEX('HIV-Pharmaceuticals'!$M$107:$M$192,MATCH($E157&amp;$F157,'HIV-Pharmaceuticals'!$E$107:$E$192&amp;'HIV-Pharmaceuticals'!$I$107:$I$192,0)),"")</f>
        <v/>
      </c>
      <c r="I157" s="651">
        <f t="array" ref="I157">IFERROR(INDEX('HIV-Pharmaceuticals'!$N$107:$N$192,MATCH($E157&amp;$F157,'HIV-Pharmaceuticals'!$E$107:$E$192&amp;'HIV-Pharmaceuticals'!$I$107:$I$192,0)),0)</f>
        <v>0</v>
      </c>
      <c r="J157" s="651">
        <f t="array" ref="J157">IFERROR(INDEX('HIV-Pharmaceuticals'!$O$107:$O$192,MATCH($E157&amp;$F157,'HIV-Pharmaceuticals'!$E$107:$E$192&amp;'HIV-Pharmaceuticals'!$I$107:$I$192,0)),0)</f>
        <v>0</v>
      </c>
      <c r="K157" s="652">
        <f>IF(ISERROR($I157*J157),0,$I157*J157)</f>
        <v>0</v>
      </c>
      <c r="L157" s="652">
        <f>IF(C157="Upfront",J157,0)</f>
        <v>0</v>
      </c>
      <c r="M157" s="652">
        <f>IF(C157="Upfront",K157,0)</f>
        <v>0</v>
      </c>
      <c r="N157" s="651">
        <f t="array" ref="N157">IFERROR(INDEX('HIV-Pharmaceuticals'!$P$107:$P$192,MATCH($E157&amp;$F157,'HIV-Pharmaceuticals'!$E$107:$E$192&amp;'HIV-Pharmaceuticals'!$I$107:$I$192,0)),0)</f>
        <v>0</v>
      </c>
      <c r="O157" s="652">
        <f>IF(ISERROR($I157*N157),0,$I157*N157)</f>
        <v>0</v>
      </c>
      <c r="P157" s="652">
        <f>IF(C157="Upfront",N157,0)</f>
        <v>0</v>
      </c>
      <c r="Q157" s="652">
        <f>IF(C157="Upfront",O157,0)</f>
        <v>0</v>
      </c>
      <c r="R157" s="651">
        <f t="array" ref="R157">IFERROR(INDEX('HIV-Pharmaceuticals'!$Q$107:$Q$192,MATCH($E157&amp;$F157,'HIV-Pharmaceuticals'!$E$107:$E$192&amp;'HIV-Pharmaceuticals'!$I$107:$I$192,0)),0)</f>
        <v>0</v>
      </c>
      <c r="S157" s="652">
        <f>IF(ISERROR($I157*R157),0,$I157*R157)</f>
        <v>0</v>
      </c>
      <c r="T157" s="652">
        <f>IF(C157="Upfront",R157,IF(C157="At delivery",J157,0))</f>
        <v>0</v>
      </c>
      <c r="U157" s="652">
        <f>IF(C157="Upfront",S157,IF(C157="At delivery",K157,0))</f>
        <v>0</v>
      </c>
      <c r="V157" s="651">
        <f t="array" ref="V157">IFERROR(INDEX('HIV-Pharmaceuticals'!$R$107:$R$192,MATCH($E157&amp;$F157,'HIV-Pharmaceuticals'!$E$107:$E$192&amp;'HIV-Pharmaceuticals'!$I$107:$I$192,0)),0)</f>
        <v>0</v>
      </c>
      <c r="W157" s="652">
        <f>IF(ISERROR($I157*V157),0,$I157*V157)</f>
        <v>0</v>
      </c>
      <c r="X157" s="652">
        <f>IF(C157="Upfront",V157,IF(C157="At delivery",N157,0))</f>
        <v>0</v>
      </c>
      <c r="Y157" s="652">
        <f>IF(C157="Upfront",W157,IF(C157="At delivery",O157,0))</f>
        <v>0</v>
      </c>
      <c r="Z157" s="653"/>
      <c r="AA157" s="651">
        <f t="array" ref="AA157">IFERROR(INDEX('HIV-Pharmaceuticals'!$U$107:$U$192,MATCH($E157&amp;$F157,'HIV-Pharmaceuticals'!$E$107:$E$192&amp;'HIV-Pharmaceuticals'!$I$107:$I$192,0)),0)</f>
        <v>0</v>
      </c>
      <c r="AB157" s="651">
        <f t="array" ref="AB157">IFERROR(INDEX('HIV-Pharmaceuticals'!$V$107:$V$192,MATCH($E157&amp;$F157,'HIV-Pharmaceuticals'!$E$107:$E$192&amp;'HIV-Pharmaceuticals'!$I$107:$I$192,0)),0)</f>
        <v>0</v>
      </c>
      <c r="AC157" s="651">
        <f>IF(ISERROR($AA157*AB157),0,$AA157*AB157)</f>
        <v>0</v>
      </c>
      <c r="AD157" s="652">
        <f>IF(C157="Upfront",AB157,IF(C157="At delivery",R157,0))</f>
        <v>0</v>
      </c>
      <c r="AE157" s="652">
        <f>IF(C157="Upfront",AC157,IF(C157="At delivery",S157,0))</f>
        <v>0</v>
      </c>
      <c r="AF157" s="651">
        <f t="array" ref="AF157">IFERROR(INDEX('HIV-Pharmaceuticals'!$W$107:$W$192,MATCH($E157&amp;$F157,'HIV-Pharmaceuticals'!$E$107:$E$192&amp;'HIV-Pharmaceuticals'!$I$107:$I$192,0)),0)</f>
        <v>0</v>
      </c>
      <c r="AG157" s="651">
        <f>IF(ISERROR($AA157*AF157),0,$AA157*AF157)</f>
        <v>0</v>
      </c>
      <c r="AH157" s="652">
        <f>IF(C157="Upfront",AF157,IF(C157="At delivery",V157,0))</f>
        <v>0</v>
      </c>
      <c r="AI157" s="652">
        <f>IF(C157="Upfront",AG157,IF(C157="At delivery",W157,0))</f>
        <v>0</v>
      </c>
      <c r="AJ157" s="651">
        <f t="array" ref="AJ157">IFERROR(INDEX('HIV-Pharmaceuticals'!$X$107:$X$192,MATCH($E157&amp;$F157,'HIV-Pharmaceuticals'!$E$107:$E$192&amp;'HIV-Pharmaceuticals'!$I$107:$I$192,0)),0)</f>
        <v>0</v>
      </c>
      <c r="AK157" s="651">
        <f>IF(ISERROR($AA157*AJ157),0,$AA157*AJ157)</f>
        <v>0</v>
      </c>
      <c r="AL157" s="652">
        <f>IF(C157="Upfront",AJ157,IF(C157="At delivery",AB157,0))</f>
        <v>0</v>
      </c>
      <c r="AM157" s="652">
        <f>IF(C157="Upfront",AK157,IF(C157="At delivery",AC157,0))</f>
        <v>0</v>
      </c>
      <c r="AN157" s="651">
        <f t="array" ref="AN157">IFERROR(INDEX('HIV-Pharmaceuticals'!$Y$107:$Y$192,MATCH($E157&amp;$F157,'HIV-Pharmaceuticals'!$E$107:$E$192&amp;'HIV-Pharmaceuticals'!$I$107:$I$192,0)),0)</f>
        <v>0</v>
      </c>
      <c r="AO157" s="651">
        <f>IF(ISERROR($AA157*AN157),0,$AA157*AN157)</f>
        <v>0</v>
      </c>
      <c r="AP157" s="652">
        <f>IF(C157="Upfront",AN157,IF(C157="At delivery",AF157,0))</f>
        <v>0</v>
      </c>
      <c r="AQ157" s="652">
        <f>IF(C157="Upfront",AO157,IF(C157="At delivery",AG157,0))</f>
        <v>0</v>
      </c>
      <c r="AR157" s="653"/>
      <c r="AS157" s="651">
        <f t="array" ref="AS157">IFERROR(INDEX('HIV-Pharmaceuticals'!$AB$107:$AB$192,MATCH($E157&amp;$F157,'HIV-Pharmaceuticals'!$E$107:$E$192&amp;'HIV-Pharmaceuticals'!$I$107:$I$192,0)),0)</f>
        <v>0</v>
      </c>
      <c r="AT157" s="651">
        <f t="array" ref="AT157">IFERROR(INDEX('HIV-Pharmaceuticals'!$AC$107:$AC$192,MATCH($E157&amp;$F157,'HIV-Pharmaceuticals'!$E$107:$E$192&amp;'HIV-Pharmaceuticals'!$I$107:$I$192,0)),0)</f>
        <v>0</v>
      </c>
      <c r="AU157" s="651">
        <f>IF(ISERROR($AS157*AT157),0,$AS157*AT157)</f>
        <v>0</v>
      </c>
      <c r="AV157" s="652">
        <f>IF(C157="Upfront",AT157,IF(C157="At delivery",AJ157,0))</f>
        <v>0</v>
      </c>
      <c r="AW157" s="652">
        <f>IF(C157="Upfront",AU157,IF(C157="At delivery",AK157,0))</f>
        <v>0</v>
      </c>
      <c r="AX157" s="651">
        <f t="array" ref="AX157">IFERROR(INDEX('HIV-Pharmaceuticals'!$AD$107:$AD$192,MATCH($E157&amp;$F157,'HIV-Pharmaceuticals'!$E$107:$E$192&amp;'HIV-Pharmaceuticals'!$I$107:$I$192,0)),0)</f>
        <v>0</v>
      </c>
      <c r="AY157" s="651">
        <f>IF(ISERROR($AS157*AX157),0,$AS157*AX157)</f>
        <v>0</v>
      </c>
      <c r="AZ157" s="652">
        <f>IF(C157="Upfront",AX157,IF(C157="At delivery",AN157,0))</f>
        <v>0</v>
      </c>
      <c r="BA157" s="652">
        <f>IF(C157="Upfront",AY157,IF(C157="At delivery",AO157,0))</f>
        <v>0</v>
      </c>
      <c r="BB157" s="651">
        <f t="array" ref="BB157">IFERROR(INDEX('HIV-Pharmaceuticals'!$AE$107:$AE$192,MATCH($E157&amp;$F157,'HIV-Pharmaceuticals'!$E$107:$E$192&amp;'HIV-Pharmaceuticals'!$I$107:$I$192,0)),0)</f>
        <v>0</v>
      </c>
      <c r="BC157" s="651">
        <f>IF(ISERROR($AS157*BB157),0,$AS157*BB157)</f>
        <v>0</v>
      </c>
      <c r="BD157" s="652">
        <f>IF(C157="Upfront",BB157,IF(C157="At delivery",AT157,0))</f>
        <v>0</v>
      </c>
      <c r="BE157" s="652">
        <f>IF(C157="Upfront",BC157,IF(C157="At delivery",AU157,0))</f>
        <v>0</v>
      </c>
      <c r="BF157" s="651">
        <f t="array" ref="BF157">IFERROR(INDEX('HIV-Pharmaceuticals'!$AF$107:$AF$192,MATCH($E157&amp;$F157,'HIV-Pharmaceuticals'!$E$107:$E$192&amp;'HIV-Pharmaceuticals'!$I$107:$I$192,0)),0)</f>
        <v>0</v>
      </c>
      <c r="BG157" s="651">
        <f>IF(ISERROR($AS157*BF157),0,$AS157*BF157)</f>
        <v>0</v>
      </c>
      <c r="BH157" s="652">
        <f>IF(C157="Upfront",BF157,IF(C157="At delivery",AX157,0))</f>
        <v>0</v>
      </c>
      <c r="BI157" s="652">
        <f>IF(C157="Upfront",BG157,IF(C157="At delivery",AY157,0))</f>
        <v>0</v>
      </c>
      <c r="BK157" s="654"/>
      <c r="BL157" s="654"/>
      <c r="BM157" s="654"/>
      <c r="BN157" s="654"/>
      <c r="BO157" s="654"/>
      <c r="BP157" s="654"/>
      <c r="BQ157" s="654"/>
      <c r="BR157" s="654"/>
    </row>
    <row r="158" spans="1:70">
      <c r="A158" s="647" t="s">
        <v>1317</v>
      </c>
      <c r="B158" s="647" t="s">
        <v>2282</v>
      </c>
      <c r="C158" s="648">
        <f>SETUP!$F$22</f>
        <v>0</v>
      </c>
      <c r="D158" s="649">
        <v>4.7</v>
      </c>
      <c r="E158" s="647" t="s">
        <v>2353</v>
      </c>
      <c r="F158" s="647" t="s">
        <v>2330</v>
      </c>
      <c r="G158" s="650" t="str">
        <f t="array" ref="G158">IFERROR(INDEX('HIV-Pharmaceuticals'!$L$107:$L$192,MATCH($E158&amp;$F158,'HIV-Pharmaceuticals'!$E$107:$E$192&amp;'HIV-Pharmaceuticals'!$I$107:$I$192,0)),"")</f>
        <v/>
      </c>
      <c r="H158" s="650" t="str">
        <f t="array" ref="H158">IFERROR(INDEX('HIV-Pharmaceuticals'!$M$107:$M$192,MATCH($E158&amp;$F158,'HIV-Pharmaceuticals'!$E$107:$E$192&amp;'HIV-Pharmaceuticals'!$I$107:$I$192,0)),"")</f>
        <v/>
      </c>
      <c r="I158" s="651">
        <f t="array" ref="I158">IFERROR(INDEX('HIV-Pharmaceuticals'!$N$107:$N$192,MATCH($E158&amp;$F158,'HIV-Pharmaceuticals'!$E$107:$E$192&amp;'HIV-Pharmaceuticals'!$I$107:$I$192,0)),0)</f>
        <v>0</v>
      </c>
      <c r="J158" s="651">
        <f t="array" ref="J158">IFERROR(INDEX('HIV-Pharmaceuticals'!$O$107:$O$192,MATCH($E158&amp;$F158,'HIV-Pharmaceuticals'!$E$107:$E$192&amp;'HIV-Pharmaceuticals'!$I$107:$I$192,0)),0)</f>
        <v>0</v>
      </c>
      <c r="K158" s="652">
        <f>IF(ISERROR($I158*J158),0,$I158*J158)</f>
        <v>0</v>
      </c>
      <c r="L158" s="652">
        <f>IF(C158="Upfront",J158,0)</f>
        <v>0</v>
      </c>
      <c r="M158" s="652">
        <f>IF(C158="Upfront",K158,0)</f>
        <v>0</v>
      </c>
      <c r="N158" s="651">
        <f t="array" ref="N158">IFERROR(INDEX('HIV-Pharmaceuticals'!$P$107:$P$192,MATCH($E158&amp;$F158,'HIV-Pharmaceuticals'!$E$107:$E$192&amp;'HIV-Pharmaceuticals'!$I$107:$I$192,0)),0)</f>
        <v>0</v>
      </c>
      <c r="O158" s="652">
        <f>IF(ISERROR($I158*N158),0,$I158*N158)</f>
        <v>0</v>
      </c>
      <c r="P158" s="652">
        <f>IF(C158="Upfront",N158,0)</f>
        <v>0</v>
      </c>
      <c r="Q158" s="652">
        <f>IF(C158="Upfront",O158,0)</f>
        <v>0</v>
      </c>
      <c r="R158" s="651">
        <f t="array" ref="R158">IFERROR(INDEX('HIV-Pharmaceuticals'!$Q$107:$Q$192,MATCH($E158&amp;$F158,'HIV-Pharmaceuticals'!$E$107:$E$192&amp;'HIV-Pharmaceuticals'!$I$107:$I$192,0)),0)</f>
        <v>0</v>
      </c>
      <c r="S158" s="652">
        <f>IF(ISERROR($I158*R158),0,$I158*R158)</f>
        <v>0</v>
      </c>
      <c r="T158" s="652">
        <f>IF(C158="Upfront",R158,IF(C158="At delivery",J158,0))</f>
        <v>0</v>
      </c>
      <c r="U158" s="652">
        <f>IF(C158="Upfront",S158,IF(C158="At delivery",K158,0))</f>
        <v>0</v>
      </c>
      <c r="V158" s="651">
        <f t="array" ref="V158">IFERROR(INDEX('HIV-Pharmaceuticals'!$R$107:$R$192,MATCH($E158&amp;$F158,'HIV-Pharmaceuticals'!$E$107:$E$192&amp;'HIV-Pharmaceuticals'!$I$107:$I$192,0)),0)</f>
        <v>0</v>
      </c>
      <c r="W158" s="652">
        <f>IF(ISERROR($I158*V158),0,$I158*V158)</f>
        <v>0</v>
      </c>
      <c r="X158" s="652">
        <f>IF(C158="Upfront",V158,IF(C158="At delivery",N158,0))</f>
        <v>0</v>
      </c>
      <c r="Y158" s="652">
        <f>IF(C158="Upfront",W158,IF(C158="At delivery",O158,0))</f>
        <v>0</v>
      </c>
      <c r="Z158" s="653"/>
      <c r="AA158" s="651">
        <f t="array" ref="AA158">IFERROR(INDEX('HIV-Pharmaceuticals'!$U$107:$U$192,MATCH($E158&amp;$F158,'HIV-Pharmaceuticals'!$E$107:$E$192&amp;'HIV-Pharmaceuticals'!$I$107:$I$192,0)),0)</f>
        <v>0</v>
      </c>
      <c r="AB158" s="651">
        <f t="array" ref="AB158">IFERROR(INDEX('HIV-Pharmaceuticals'!$V$107:$V$192,MATCH($E158&amp;$F158,'HIV-Pharmaceuticals'!$E$107:$E$192&amp;'HIV-Pharmaceuticals'!$I$107:$I$192,0)),0)</f>
        <v>0</v>
      </c>
      <c r="AC158" s="651">
        <f>IF(ISERROR($AA158*AB158),0,$AA158*AB158)</f>
        <v>0</v>
      </c>
      <c r="AD158" s="652">
        <f>IF(C158="Upfront",AB158,IF(C158="At delivery",R158,0))</f>
        <v>0</v>
      </c>
      <c r="AE158" s="652">
        <f>IF(C158="Upfront",AC158,IF(C158="At delivery",S158,0))</f>
        <v>0</v>
      </c>
      <c r="AF158" s="651">
        <f t="array" ref="AF158">IFERROR(INDEX('HIV-Pharmaceuticals'!$W$107:$W$192,MATCH($E158&amp;$F158,'HIV-Pharmaceuticals'!$E$107:$E$192&amp;'HIV-Pharmaceuticals'!$I$107:$I$192,0)),0)</f>
        <v>0</v>
      </c>
      <c r="AG158" s="651">
        <f>IF(ISERROR($AA158*AF158),0,$AA158*AF158)</f>
        <v>0</v>
      </c>
      <c r="AH158" s="652">
        <f>IF(C158="Upfront",AF158,IF(C158="At delivery",V158,0))</f>
        <v>0</v>
      </c>
      <c r="AI158" s="652">
        <f>IF(C158="Upfront",AG158,IF(C158="At delivery",W158,0))</f>
        <v>0</v>
      </c>
      <c r="AJ158" s="651">
        <f t="array" ref="AJ158">IFERROR(INDEX('HIV-Pharmaceuticals'!$X$107:$X$192,MATCH($E158&amp;$F158,'HIV-Pharmaceuticals'!$E$107:$E$192&amp;'HIV-Pharmaceuticals'!$I$107:$I$192,0)),0)</f>
        <v>0</v>
      </c>
      <c r="AK158" s="651">
        <f>IF(ISERROR($AA158*AJ158),0,$AA158*AJ158)</f>
        <v>0</v>
      </c>
      <c r="AL158" s="652">
        <f>IF(C158="Upfront",AJ158,IF(C158="At delivery",AB158,0))</f>
        <v>0</v>
      </c>
      <c r="AM158" s="652">
        <f>IF(C158="Upfront",AK158,IF(C158="At delivery",AC158,0))</f>
        <v>0</v>
      </c>
      <c r="AN158" s="651">
        <f t="array" ref="AN158">IFERROR(INDEX('HIV-Pharmaceuticals'!$Y$107:$Y$192,MATCH($E158&amp;$F158,'HIV-Pharmaceuticals'!$E$107:$E$192&amp;'HIV-Pharmaceuticals'!$I$107:$I$192,0)),0)</f>
        <v>0</v>
      </c>
      <c r="AO158" s="651">
        <f>IF(ISERROR($AA158*AN158),0,$AA158*AN158)</f>
        <v>0</v>
      </c>
      <c r="AP158" s="652">
        <f>IF(C158="Upfront",AN158,IF(C158="At delivery",AF158,0))</f>
        <v>0</v>
      </c>
      <c r="AQ158" s="652">
        <f>IF(C158="Upfront",AO158,IF(C158="At delivery",AG158,0))</f>
        <v>0</v>
      </c>
      <c r="AR158" s="653"/>
      <c r="AS158" s="651">
        <f t="array" ref="AS158">IFERROR(INDEX('HIV-Pharmaceuticals'!$AB$107:$AB$192,MATCH($E158&amp;$F158,'HIV-Pharmaceuticals'!$E$107:$E$192&amp;'HIV-Pharmaceuticals'!$I$107:$I$192,0)),0)</f>
        <v>0</v>
      </c>
      <c r="AT158" s="651">
        <f t="array" ref="AT158">IFERROR(INDEX('HIV-Pharmaceuticals'!$AC$107:$AC$192,MATCH($E158&amp;$F158,'HIV-Pharmaceuticals'!$E$107:$E$192&amp;'HIV-Pharmaceuticals'!$I$107:$I$192,0)),0)</f>
        <v>0</v>
      </c>
      <c r="AU158" s="651">
        <f>IF(ISERROR($AS158*AT158),0,$AS158*AT158)</f>
        <v>0</v>
      </c>
      <c r="AV158" s="652">
        <f>IF(C158="Upfront",AT158,IF(C158="At delivery",AJ158,0))</f>
        <v>0</v>
      </c>
      <c r="AW158" s="652">
        <f>IF(C158="Upfront",AU158,IF(C158="At delivery",AK158,0))</f>
        <v>0</v>
      </c>
      <c r="AX158" s="651">
        <f t="array" ref="AX158">IFERROR(INDEX('HIV-Pharmaceuticals'!$AD$107:$AD$192,MATCH($E158&amp;$F158,'HIV-Pharmaceuticals'!$E$107:$E$192&amp;'HIV-Pharmaceuticals'!$I$107:$I$192,0)),0)</f>
        <v>0</v>
      </c>
      <c r="AY158" s="651">
        <f>IF(ISERROR($AS158*AX158),0,$AS158*AX158)</f>
        <v>0</v>
      </c>
      <c r="AZ158" s="652">
        <f>IF(C158="Upfront",AX158,IF(C158="At delivery",AN158,0))</f>
        <v>0</v>
      </c>
      <c r="BA158" s="652">
        <f>IF(C158="Upfront",AY158,IF(C158="At delivery",AO158,0))</f>
        <v>0</v>
      </c>
      <c r="BB158" s="651">
        <f t="array" ref="BB158">IFERROR(INDEX('HIV-Pharmaceuticals'!$AE$107:$AE$192,MATCH($E158&amp;$F158,'HIV-Pharmaceuticals'!$E$107:$E$192&amp;'HIV-Pharmaceuticals'!$I$107:$I$192,0)),0)</f>
        <v>0</v>
      </c>
      <c r="BC158" s="651">
        <f>IF(ISERROR($AS158*BB158),0,$AS158*BB158)</f>
        <v>0</v>
      </c>
      <c r="BD158" s="652">
        <f>IF(C158="Upfront",BB158,IF(C158="At delivery",AT158,0))</f>
        <v>0</v>
      </c>
      <c r="BE158" s="652">
        <f>IF(C158="Upfront",BC158,IF(C158="At delivery",AU158,0))</f>
        <v>0</v>
      </c>
      <c r="BF158" s="651">
        <f t="array" ref="BF158">IFERROR(INDEX('HIV-Pharmaceuticals'!$AF$107:$AF$192,MATCH($E158&amp;$F158,'HIV-Pharmaceuticals'!$E$107:$E$192&amp;'HIV-Pharmaceuticals'!$I$107:$I$192,0)),0)</f>
        <v>0</v>
      </c>
      <c r="BG158" s="651">
        <f>IF(ISERROR($AS158*BF158),0,$AS158*BF158)</f>
        <v>0</v>
      </c>
      <c r="BH158" s="652">
        <f>IF(C158="Upfront",BF158,IF(C158="At delivery",AX158,0))</f>
        <v>0</v>
      </c>
      <c r="BI158" s="652">
        <f>IF(C158="Upfront",BG158,IF(C158="At delivery",AY158,0))</f>
        <v>0</v>
      </c>
      <c r="BK158" s="654"/>
      <c r="BL158" s="654"/>
      <c r="BM158" s="654"/>
      <c r="BN158" s="654"/>
      <c r="BO158" s="654"/>
      <c r="BP158" s="654"/>
      <c r="BQ158" s="654"/>
      <c r="BR158" s="654"/>
    </row>
    <row r="159" spans="1:70">
      <c r="A159" s="647" t="s">
        <v>1317</v>
      </c>
      <c r="B159" s="647" t="s">
        <v>2282</v>
      </c>
      <c r="C159" s="648">
        <f>SETUP!$F$22</f>
        <v>0</v>
      </c>
      <c r="D159" s="649">
        <v>4.7</v>
      </c>
      <c r="E159" s="647" t="s">
        <v>2353</v>
      </c>
      <c r="F159" s="647" t="s">
        <v>2331</v>
      </c>
      <c r="G159" s="650" t="str">
        <f t="array" ref="G159">IFERROR(INDEX('HIV-Pharmaceuticals'!$L$107:$L$192,MATCH($E159&amp;$F159,'HIV-Pharmaceuticals'!$E$107:$E$192&amp;'HIV-Pharmaceuticals'!$I$107:$I$192,0)),"")</f>
        <v/>
      </c>
      <c r="H159" s="650" t="str">
        <f t="array" ref="H159">IFERROR(INDEX('HIV-Pharmaceuticals'!$M$107:$M$192,MATCH($E159&amp;$F159,'HIV-Pharmaceuticals'!$E$107:$E$192&amp;'HIV-Pharmaceuticals'!$I$107:$I$192,0)),"")</f>
        <v/>
      </c>
      <c r="I159" s="651">
        <f t="array" ref="I159">IFERROR(INDEX('HIV-Pharmaceuticals'!$N$107:$N$192,MATCH($E159&amp;$F159,'HIV-Pharmaceuticals'!$E$107:$E$192&amp;'HIV-Pharmaceuticals'!$I$107:$I$192,0)),0)</f>
        <v>0</v>
      </c>
      <c r="J159" s="651">
        <f t="array" ref="J159">IFERROR(INDEX('HIV-Pharmaceuticals'!$O$107:$O$192,MATCH($E159&amp;$F159,'HIV-Pharmaceuticals'!$E$107:$E$192&amp;'HIV-Pharmaceuticals'!$I$107:$I$192,0)),0)</f>
        <v>0</v>
      </c>
      <c r="K159" s="652">
        <f>IF(ISERROR($I159*J159),0,$I159*J159)</f>
        <v>0</v>
      </c>
      <c r="L159" s="652">
        <f>IF(C159="Upfront",J159,0)</f>
        <v>0</v>
      </c>
      <c r="M159" s="652">
        <f>IF(C159="Upfront",K159,0)</f>
        <v>0</v>
      </c>
      <c r="N159" s="651">
        <f t="array" ref="N159">IFERROR(INDEX('HIV-Pharmaceuticals'!$P$107:$P$192,MATCH($E159&amp;$F159,'HIV-Pharmaceuticals'!$E$107:$E$192&amp;'HIV-Pharmaceuticals'!$I$107:$I$192,0)),0)</f>
        <v>0</v>
      </c>
      <c r="O159" s="652">
        <f>IF(ISERROR($I159*N159),0,$I159*N159)</f>
        <v>0</v>
      </c>
      <c r="P159" s="652">
        <f>IF(C159="Upfront",N159,0)</f>
        <v>0</v>
      </c>
      <c r="Q159" s="652">
        <f>IF(C159="Upfront",O159,0)</f>
        <v>0</v>
      </c>
      <c r="R159" s="651">
        <f t="array" ref="R159">IFERROR(INDEX('HIV-Pharmaceuticals'!$Q$107:$Q$192,MATCH($E159&amp;$F159,'HIV-Pharmaceuticals'!$E$107:$E$192&amp;'HIV-Pharmaceuticals'!$I$107:$I$192,0)),0)</f>
        <v>0</v>
      </c>
      <c r="S159" s="652">
        <f>IF(ISERROR($I159*R159),0,$I159*R159)</f>
        <v>0</v>
      </c>
      <c r="T159" s="652">
        <f>IF(C159="Upfront",R159,IF(C159="At delivery",J159,0))</f>
        <v>0</v>
      </c>
      <c r="U159" s="652">
        <f>IF(C159="Upfront",S159,IF(C159="At delivery",K159,0))</f>
        <v>0</v>
      </c>
      <c r="V159" s="651">
        <f t="array" ref="V159">IFERROR(INDEX('HIV-Pharmaceuticals'!$R$107:$R$192,MATCH($E159&amp;$F159,'HIV-Pharmaceuticals'!$E$107:$E$192&amp;'HIV-Pharmaceuticals'!$I$107:$I$192,0)),0)</f>
        <v>0</v>
      </c>
      <c r="W159" s="652">
        <f>IF(ISERROR($I159*V159),0,$I159*V159)</f>
        <v>0</v>
      </c>
      <c r="X159" s="652">
        <f>IF(C159="Upfront",V159,IF(C159="At delivery",N159,0))</f>
        <v>0</v>
      </c>
      <c r="Y159" s="652">
        <f>IF(C159="Upfront",W159,IF(C159="At delivery",O159,0))</f>
        <v>0</v>
      </c>
      <c r="Z159" s="653"/>
      <c r="AA159" s="651">
        <f t="array" ref="AA159">IFERROR(INDEX('HIV-Pharmaceuticals'!$U$107:$U$192,MATCH($E159&amp;$F159,'HIV-Pharmaceuticals'!$E$107:$E$192&amp;'HIV-Pharmaceuticals'!$I$107:$I$192,0)),0)</f>
        <v>0</v>
      </c>
      <c r="AB159" s="651">
        <f t="array" ref="AB159">IFERROR(INDEX('HIV-Pharmaceuticals'!$V$107:$V$192,MATCH($E159&amp;$F159,'HIV-Pharmaceuticals'!$E$107:$E$192&amp;'HIV-Pharmaceuticals'!$I$107:$I$192,0)),0)</f>
        <v>0</v>
      </c>
      <c r="AC159" s="651">
        <f>IF(ISERROR($AA159*AB159),0,$AA159*AB159)</f>
        <v>0</v>
      </c>
      <c r="AD159" s="652">
        <f>IF(C159="Upfront",AB159,IF(C159="At delivery",R159,0))</f>
        <v>0</v>
      </c>
      <c r="AE159" s="652">
        <f>IF(C159="Upfront",AC159,IF(C159="At delivery",S159,0))</f>
        <v>0</v>
      </c>
      <c r="AF159" s="651">
        <f t="array" ref="AF159">IFERROR(INDEX('HIV-Pharmaceuticals'!$W$107:$W$192,MATCH($E159&amp;$F159,'HIV-Pharmaceuticals'!$E$107:$E$192&amp;'HIV-Pharmaceuticals'!$I$107:$I$192,0)),0)</f>
        <v>0</v>
      </c>
      <c r="AG159" s="651">
        <f>IF(ISERROR($AA159*AF159),0,$AA159*AF159)</f>
        <v>0</v>
      </c>
      <c r="AH159" s="652">
        <f>IF(C159="Upfront",AF159,IF(C159="At delivery",V159,0))</f>
        <v>0</v>
      </c>
      <c r="AI159" s="652">
        <f>IF(C159="Upfront",AG159,IF(C159="At delivery",W159,0))</f>
        <v>0</v>
      </c>
      <c r="AJ159" s="651">
        <f t="array" ref="AJ159">IFERROR(INDEX('HIV-Pharmaceuticals'!$X$107:$X$192,MATCH($E159&amp;$F159,'HIV-Pharmaceuticals'!$E$107:$E$192&amp;'HIV-Pharmaceuticals'!$I$107:$I$192,0)),0)</f>
        <v>0</v>
      </c>
      <c r="AK159" s="651">
        <f>IF(ISERROR($AA159*AJ159),0,$AA159*AJ159)</f>
        <v>0</v>
      </c>
      <c r="AL159" s="652">
        <f>IF(C159="Upfront",AJ159,IF(C159="At delivery",AB159,0))</f>
        <v>0</v>
      </c>
      <c r="AM159" s="652">
        <f>IF(C159="Upfront",AK159,IF(C159="At delivery",AC159,0))</f>
        <v>0</v>
      </c>
      <c r="AN159" s="651">
        <f t="array" ref="AN159">IFERROR(INDEX('HIV-Pharmaceuticals'!$Y$107:$Y$192,MATCH($E159&amp;$F159,'HIV-Pharmaceuticals'!$E$107:$E$192&amp;'HIV-Pharmaceuticals'!$I$107:$I$192,0)),0)</f>
        <v>0</v>
      </c>
      <c r="AO159" s="651">
        <f>IF(ISERROR($AA159*AN159),0,$AA159*AN159)</f>
        <v>0</v>
      </c>
      <c r="AP159" s="652">
        <f>IF(C159="Upfront",AN159,IF(C159="At delivery",AF159,0))</f>
        <v>0</v>
      </c>
      <c r="AQ159" s="652">
        <f>IF(C159="Upfront",AO159,IF(C159="At delivery",AG159,0))</f>
        <v>0</v>
      </c>
      <c r="AR159" s="653"/>
      <c r="AS159" s="651">
        <f t="array" ref="AS159">IFERROR(INDEX('HIV-Pharmaceuticals'!$AB$107:$AB$192,MATCH($E159&amp;$F159,'HIV-Pharmaceuticals'!$E$107:$E$192&amp;'HIV-Pharmaceuticals'!$I$107:$I$192,0)),0)</f>
        <v>0</v>
      </c>
      <c r="AT159" s="651">
        <f t="array" ref="AT159">IFERROR(INDEX('HIV-Pharmaceuticals'!$AC$107:$AC$192,MATCH($E159&amp;$F159,'HIV-Pharmaceuticals'!$E$107:$E$192&amp;'HIV-Pharmaceuticals'!$I$107:$I$192,0)),0)</f>
        <v>0</v>
      </c>
      <c r="AU159" s="651">
        <f>IF(ISERROR($AS159*AT159),0,$AS159*AT159)</f>
        <v>0</v>
      </c>
      <c r="AV159" s="652">
        <f>IF(C159="Upfront",AT159,IF(C159="At delivery",AJ159,0))</f>
        <v>0</v>
      </c>
      <c r="AW159" s="652">
        <f>IF(C159="Upfront",AU159,IF(C159="At delivery",AK159,0))</f>
        <v>0</v>
      </c>
      <c r="AX159" s="651">
        <f t="array" ref="AX159">IFERROR(INDEX('HIV-Pharmaceuticals'!$AD$107:$AD$192,MATCH($E159&amp;$F159,'HIV-Pharmaceuticals'!$E$107:$E$192&amp;'HIV-Pharmaceuticals'!$I$107:$I$192,0)),0)</f>
        <v>0</v>
      </c>
      <c r="AY159" s="651">
        <f>IF(ISERROR($AS159*AX159),0,$AS159*AX159)</f>
        <v>0</v>
      </c>
      <c r="AZ159" s="652">
        <f>IF(C159="Upfront",AX159,IF(C159="At delivery",AN159,0))</f>
        <v>0</v>
      </c>
      <c r="BA159" s="652">
        <f>IF(C159="Upfront",AY159,IF(C159="At delivery",AO159,0))</f>
        <v>0</v>
      </c>
      <c r="BB159" s="651">
        <f t="array" ref="BB159">IFERROR(INDEX('HIV-Pharmaceuticals'!$AE$107:$AE$192,MATCH($E159&amp;$F159,'HIV-Pharmaceuticals'!$E$107:$E$192&amp;'HIV-Pharmaceuticals'!$I$107:$I$192,0)),0)</f>
        <v>0</v>
      </c>
      <c r="BC159" s="651">
        <f>IF(ISERROR($AS159*BB159),0,$AS159*BB159)</f>
        <v>0</v>
      </c>
      <c r="BD159" s="652">
        <f>IF(C159="Upfront",BB159,IF(C159="At delivery",AT159,0))</f>
        <v>0</v>
      </c>
      <c r="BE159" s="652">
        <f>IF(C159="Upfront",BC159,IF(C159="At delivery",AU159,0))</f>
        <v>0</v>
      </c>
      <c r="BF159" s="651">
        <f t="array" ref="BF159">IFERROR(INDEX('HIV-Pharmaceuticals'!$AF$107:$AF$192,MATCH($E159&amp;$F159,'HIV-Pharmaceuticals'!$E$107:$E$192&amp;'HIV-Pharmaceuticals'!$I$107:$I$192,0)),0)</f>
        <v>0</v>
      </c>
      <c r="BG159" s="651">
        <f>IF(ISERROR($AS159*BF159),0,$AS159*BF159)</f>
        <v>0</v>
      </c>
      <c r="BH159" s="652">
        <f>IF(C159="Upfront",BF159,IF(C159="At delivery",AX159,0))</f>
        <v>0</v>
      </c>
      <c r="BI159" s="652">
        <f>IF(C159="Upfront",BG159,IF(C159="At delivery",AY159,0))</f>
        <v>0</v>
      </c>
      <c r="BK159" s="654"/>
      <c r="BL159" s="654"/>
      <c r="BM159" s="654"/>
      <c r="BN159" s="654"/>
      <c r="BO159" s="654"/>
      <c r="BP159" s="654"/>
      <c r="BQ159" s="654"/>
      <c r="BR159" s="654"/>
    </row>
    <row r="160" spans="1:70">
      <c r="A160" s="647" t="s">
        <v>1317</v>
      </c>
      <c r="B160" s="647" t="s">
        <v>2282</v>
      </c>
      <c r="C160" s="648">
        <f>SETUP!$F$22</f>
        <v>0</v>
      </c>
      <c r="D160" s="649">
        <v>4.7</v>
      </c>
      <c r="E160" s="647" t="s">
        <v>2353</v>
      </c>
      <c r="F160" s="647" t="s">
        <v>1351</v>
      </c>
      <c r="G160" s="650" t="str">
        <f t="array" ref="G160">IFERROR(INDEX('HIV-Pharmaceuticals'!$L$107:$L$192,MATCH($E160&amp;$F160,'HIV-Pharmaceuticals'!$E$107:$E$192&amp;'HIV-Pharmaceuticals'!$I$107:$I$192,0)),"")</f>
        <v/>
      </c>
      <c r="H160" s="650" t="str">
        <f t="array" ref="H160">IFERROR(INDEX('HIV-Pharmaceuticals'!$M$107:$M$192,MATCH($E160&amp;$F160,'HIV-Pharmaceuticals'!$E$107:$E$192&amp;'HIV-Pharmaceuticals'!$I$107:$I$192,0)),"")</f>
        <v/>
      </c>
      <c r="I160" s="651">
        <f t="array" ref="I160">IFERROR(INDEX('HIV-Pharmaceuticals'!$N$107:$N$192,MATCH($E160&amp;$F160,'HIV-Pharmaceuticals'!$E$107:$E$192&amp;'HIV-Pharmaceuticals'!$I$107:$I$192,0)),0)</f>
        <v>0</v>
      </c>
      <c r="J160" s="651">
        <f t="array" ref="J160">IFERROR(INDEX('HIV-Pharmaceuticals'!$O$107:$O$192,MATCH($E160&amp;$F160,'HIV-Pharmaceuticals'!$E$107:$E$192&amp;'HIV-Pharmaceuticals'!$I$107:$I$192,0)),0)</f>
        <v>0</v>
      </c>
      <c r="K160" s="652">
        <f>IF(ISERROR($I160*J160),0,$I160*J160)</f>
        <v>0</v>
      </c>
      <c r="L160" s="652">
        <f>IF(C160="Upfront",J160,0)</f>
        <v>0</v>
      </c>
      <c r="M160" s="652">
        <f>IF(C160="Upfront",K160,0)</f>
        <v>0</v>
      </c>
      <c r="N160" s="651">
        <f t="array" ref="N160">IFERROR(INDEX('HIV-Pharmaceuticals'!$P$107:$P$192,MATCH($E160&amp;$F160,'HIV-Pharmaceuticals'!$E$107:$E$192&amp;'HIV-Pharmaceuticals'!$I$107:$I$192,0)),0)</f>
        <v>0</v>
      </c>
      <c r="O160" s="652">
        <f>IF(ISERROR($I160*N160),0,$I160*N160)</f>
        <v>0</v>
      </c>
      <c r="P160" s="652">
        <f>IF(C160="Upfront",N160,0)</f>
        <v>0</v>
      </c>
      <c r="Q160" s="652">
        <f>IF(C160="Upfront",O160,0)</f>
        <v>0</v>
      </c>
      <c r="R160" s="651">
        <f t="array" ref="R160">IFERROR(INDEX('HIV-Pharmaceuticals'!$Q$107:$Q$192,MATCH($E160&amp;$F160,'HIV-Pharmaceuticals'!$E$107:$E$192&amp;'HIV-Pharmaceuticals'!$I$107:$I$192,0)),0)</f>
        <v>0</v>
      </c>
      <c r="S160" s="652">
        <f>IF(ISERROR($I160*R160),0,$I160*R160)</f>
        <v>0</v>
      </c>
      <c r="T160" s="652">
        <f>IF(C160="Upfront",R160,IF(C160="At delivery",J160,0))</f>
        <v>0</v>
      </c>
      <c r="U160" s="652">
        <f>IF(C160="Upfront",S160,IF(C160="At delivery",K160,0))</f>
        <v>0</v>
      </c>
      <c r="V160" s="651">
        <f t="array" ref="V160">IFERROR(INDEX('HIV-Pharmaceuticals'!$R$107:$R$192,MATCH($E160&amp;$F160,'HIV-Pharmaceuticals'!$E$107:$E$192&amp;'HIV-Pharmaceuticals'!$I$107:$I$192,0)),0)</f>
        <v>0</v>
      </c>
      <c r="W160" s="652">
        <f>IF(ISERROR($I160*V160),0,$I160*V160)</f>
        <v>0</v>
      </c>
      <c r="X160" s="652">
        <f>IF(C160="Upfront",V160,IF(C160="At delivery",N160,0))</f>
        <v>0</v>
      </c>
      <c r="Y160" s="652">
        <f>IF(C160="Upfront",W160,IF(C160="At delivery",O160,0))</f>
        <v>0</v>
      </c>
      <c r="Z160" s="653"/>
      <c r="AA160" s="651">
        <f t="array" ref="AA160">IFERROR(INDEX('HIV-Pharmaceuticals'!$U$107:$U$192,MATCH($E160&amp;$F160,'HIV-Pharmaceuticals'!$E$107:$E$192&amp;'HIV-Pharmaceuticals'!$I$107:$I$192,0)),0)</f>
        <v>0</v>
      </c>
      <c r="AB160" s="651">
        <f t="array" ref="AB160">IFERROR(INDEX('HIV-Pharmaceuticals'!$V$107:$V$192,MATCH($E160&amp;$F160,'HIV-Pharmaceuticals'!$E$107:$E$192&amp;'HIV-Pharmaceuticals'!$I$107:$I$192,0)),0)</f>
        <v>0</v>
      </c>
      <c r="AC160" s="651">
        <f>IF(ISERROR($AA160*AB160),0,$AA160*AB160)</f>
        <v>0</v>
      </c>
      <c r="AD160" s="652">
        <f>IF(C160="Upfront",AB160,IF(C160="At delivery",R160,0))</f>
        <v>0</v>
      </c>
      <c r="AE160" s="652">
        <f>IF(C160="Upfront",AC160,IF(C160="At delivery",S160,0))</f>
        <v>0</v>
      </c>
      <c r="AF160" s="651">
        <f t="array" ref="AF160">IFERROR(INDEX('HIV-Pharmaceuticals'!$W$107:$W$192,MATCH($E160&amp;$F160,'HIV-Pharmaceuticals'!$E$107:$E$192&amp;'HIV-Pharmaceuticals'!$I$107:$I$192,0)),0)</f>
        <v>0</v>
      </c>
      <c r="AG160" s="651">
        <f>IF(ISERROR($AA160*AF160),0,$AA160*AF160)</f>
        <v>0</v>
      </c>
      <c r="AH160" s="652">
        <f>IF(C160="Upfront",AF160,IF(C160="At delivery",V160,0))</f>
        <v>0</v>
      </c>
      <c r="AI160" s="652">
        <f>IF(C160="Upfront",AG160,IF(C160="At delivery",W160,0))</f>
        <v>0</v>
      </c>
      <c r="AJ160" s="651">
        <f t="array" ref="AJ160">IFERROR(INDEX('HIV-Pharmaceuticals'!$X$107:$X$192,MATCH($E160&amp;$F160,'HIV-Pharmaceuticals'!$E$107:$E$192&amp;'HIV-Pharmaceuticals'!$I$107:$I$192,0)),0)</f>
        <v>0</v>
      </c>
      <c r="AK160" s="651">
        <f>IF(ISERROR($AA160*AJ160),0,$AA160*AJ160)</f>
        <v>0</v>
      </c>
      <c r="AL160" s="652">
        <f>IF(C160="Upfront",AJ160,IF(C160="At delivery",AB160,0))</f>
        <v>0</v>
      </c>
      <c r="AM160" s="652">
        <f>IF(C160="Upfront",AK160,IF(C160="At delivery",AC160,0))</f>
        <v>0</v>
      </c>
      <c r="AN160" s="651">
        <f t="array" ref="AN160">IFERROR(INDEX('HIV-Pharmaceuticals'!$Y$107:$Y$192,MATCH($E160&amp;$F160,'HIV-Pharmaceuticals'!$E$107:$E$192&amp;'HIV-Pharmaceuticals'!$I$107:$I$192,0)),0)</f>
        <v>0</v>
      </c>
      <c r="AO160" s="651">
        <f>IF(ISERROR($AA160*AN160),0,$AA160*AN160)</f>
        <v>0</v>
      </c>
      <c r="AP160" s="652">
        <f>IF(C160="Upfront",AN160,IF(C160="At delivery",AF160,0))</f>
        <v>0</v>
      </c>
      <c r="AQ160" s="652">
        <f>IF(C160="Upfront",AO160,IF(C160="At delivery",AG160,0))</f>
        <v>0</v>
      </c>
      <c r="AR160" s="653"/>
      <c r="AS160" s="651">
        <f t="array" ref="AS160">IFERROR(INDEX('HIV-Pharmaceuticals'!$AB$107:$AB$192,MATCH($E160&amp;$F160,'HIV-Pharmaceuticals'!$E$107:$E$192&amp;'HIV-Pharmaceuticals'!$I$107:$I$192,0)),0)</f>
        <v>0</v>
      </c>
      <c r="AT160" s="651">
        <f t="array" ref="AT160">IFERROR(INDEX('HIV-Pharmaceuticals'!$AC$107:$AC$192,MATCH($E160&amp;$F160,'HIV-Pharmaceuticals'!$E$107:$E$192&amp;'HIV-Pharmaceuticals'!$I$107:$I$192,0)),0)</f>
        <v>0</v>
      </c>
      <c r="AU160" s="651">
        <f>IF(ISERROR($AS160*AT160),0,$AS160*AT160)</f>
        <v>0</v>
      </c>
      <c r="AV160" s="652">
        <f>IF(C160="Upfront",AT160,IF(C160="At delivery",AJ160,0))</f>
        <v>0</v>
      </c>
      <c r="AW160" s="652">
        <f>IF(C160="Upfront",AU160,IF(C160="At delivery",AK160,0))</f>
        <v>0</v>
      </c>
      <c r="AX160" s="651">
        <f t="array" ref="AX160">IFERROR(INDEX('HIV-Pharmaceuticals'!$AD$107:$AD$192,MATCH($E160&amp;$F160,'HIV-Pharmaceuticals'!$E$107:$E$192&amp;'HIV-Pharmaceuticals'!$I$107:$I$192,0)),0)</f>
        <v>0</v>
      </c>
      <c r="AY160" s="651">
        <f>IF(ISERROR($AS160*AX160),0,$AS160*AX160)</f>
        <v>0</v>
      </c>
      <c r="AZ160" s="652">
        <f>IF(C160="Upfront",AX160,IF(C160="At delivery",AN160,0))</f>
        <v>0</v>
      </c>
      <c r="BA160" s="652">
        <f>IF(C160="Upfront",AY160,IF(C160="At delivery",AO160,0))</f>
        <v>0</v>
      </c>
      <c r="BB160" s="651">
        <f t="array" ref="BB160">IFERROR(INDEX('HIV-Pharmaceuticals'!$AE$107:$AE$192,MATCH($E160&amp;$F160,'HIV-Pharmaceuticals'!$E$107:$E$192&amp;'HIV-Pharmaceuticals'!$I$107:$I$192,0)),0)</f>
        <v>0</v>
      </c>
      <c r="BC160" s="651">
        <f>IF(ISERROR($AS160*BB160),0,$AS160*BB160)</f>
        <v>0</v>
      </c>
      <c r="BD160" s="652">
        <f>IF(C160="Upfront",BB160,IF(C160="At delivery",AT160,0))</f>
        <v>0</v>
      </c>
      <c r="BE160" s="652">
        <f>IF(C160="Upfront",BC160,IF(C160="At delivery",AU160,0))</f>
        <v>0</v>
      </c>
      <c r="BF160" s="651">
        <f t="array" ref="BF160">IFERROR(INDEX('HIV-Pharmaceuticals'!$AF$107:$AF$192,MATCH($E160&amp;$F160,'HIV-Pharmaceuticals'!$E$107:$E$192&amp;'HIV-Pharmaceuticals'!$I$107:$I$192,0)),0)</f>
        <v>0</v>
      </c>
      <c r="BG160" s="651">
        <f>IF(ISERROR($AS160*BF160),0,$AS160*BF160)</f>
        <v>0</v>
      </c>
      <c r="BH160" s="652">
        <f>IF(C160="Upfront",BF160,IF(C160="At delivery",AX160,0))</f>
        <v>0</v>
      </c>
      <c r="BI160" s="652">
        <f>IF(C160="Upfront",BG160,IF(C160="At delivery",AY160,0))</f>
        <v>0</v>
      </c>
      <c r="BK160" s="654"/>
      <c r="BL160" s="654"/>
      <c r="BM160" s="654"/>
      <c r="BN160" s="654"/>
      <c r="BO160" s="654"/>
      <c r="BP160" s="654"/>
      <c r="BQ160" s="654"/>
      <c r="BR160" s="654"/>
    </row>
    <row r="161" spans="1:70">
      <c r="A161" s="647" t="s">
        <v>1317</v>
      </c>
      <c r="B161" s="647" t="s">
        <v>2282</v>
      </c>
      <c r="C161" s="648">
        <f>SETUP!$F$22</f>
        <v>0</v>
      </c>
      <c r="D161" s="649">
        <v>4.7</v>
      </c>
      <c r="E161" s="647" t="s">
        <v>1352</v>
      </c>
      <c r="F161" s="647" t="s">
        <v>1353</v>
      </c>
      <c r="G161" s="650" t="str">
        <f t="array" ref="G161">IFERROR(INDEX('HIV-Pharmaceuticals'!$L$107:$L$192,MATCH($E161&amp;$F161,'HIV-Pharmaceuticals'!$E$107:$E$192&amp;'HIV-Pharmaceuticals'!$I$107:$I$192,0)),"")</f>
        <v/>
      </c>
      <c r="H161" s="650" t="str">
        <f t="array" ref="H161">IFERROR(INDEX('HIV-Pharmaceuticals'!$M$107:$M$192,MATCH($E161&amp;$F161,'HIV-Pharmaceuticals'!$E$107:$E$192&amp;'HIV-Pharmaceuticals'!$I$107:$I$192,0)),"")</f>
        <v/>
      </c>
      <c r="I161" s="651">
        <f t="array" ref="I161">IFERROR(INDEX('HIV-Pharmaceuticals'!$N$107:$N$192,MATCH($E161&amp;$F161,'HIV-Pharmaceuticals'!$E$107:$E$192&amp;'HIV-Pharmaceuticals'!$I$107:$I$192,0)),0)</f>
        <v>0</v>
      </c>
      <c r="J161" s="651">
        <f t="array" ref="J161">IFERROR(INDEX('HIV-Pharmaceuticals'!$O$107:$O$192,MATCH($E161&amp;$F161,'HIV-Pharmaceuticals'!$E$107:$E$192&amp;'HIV-Pharmaceuticals'!$I$107:$I$192,0)),0)</f>
        <v>0</v>
      </c>
      <c r="K161" s="652">
        <f>IF(ISERROR($I161*J161),0,$I161*J161)</f>
        <v>0</v>
      </c>
      <c r="L161" s="652">
        <f>IF(C161="Upfront",J161,0)</f>
        <v>0</v>
      </c>
      <c r="M161" s="652">
        <f>IF(C161="Upfront",K161,0)</f>
        <v>0</v>
      </c>
      <c r="N161" s="651">
        <f t="array" ref="N161">IFERROR(INDEX('HIV-Pharmaceuticals'!$P$107:$P$192,MATCH($E161&amp;$F161,'HIV-Pharmaceuticals'!$E$107:$E$192&amp;'HIV-Pharmaceuticals'!$I$107:$I$192,0)),0)</f>
        <v>0</v>
      </c>
      <c r="O161" s="652">
        <f>IF(ISERROR($I161*N161),0,$I161*N161)</f>
        <v>0</v>
      </c>
      <c r="P161" s="652">
        <f>IF(C161="Upfront",N161,0)</f>
        <v>0</v>
      </c>
      <c r="Q161" s="652">
        <f>IF(C161="Upfront",O161,0)</f>
        <v>0</v>
      </c>
      <c r="R161" s="651">
        <f t="array" ref="R161">IFERROR(INDEX('HIV-Pharmaceuticals'!$Q$107:$Q$192,MATCH($E161&amp;$F161,'HIV-Pharmaceuticals'!$E$107:$E$192&amp;'HIV-Pharmaceuticals'!$I$107:$I$192,0)),0)</f>
        <v>0</v>
      </c>
      <c r="S161" s="652">
        <f>IF(ISERROR($I161*R161),0,$I161*R161)</f>
        <v>0</v>
      </c>
      <c r="T161" s="652">
        <f>IF(C161="Upfront",R161,IF(C161="At delivery",J161,0))</f>
        <v>0</v>
      </c>
      <c r="U161" s="652">
        <f>IF(C161="Upfront",S161,IF(C161="At delivery",K161,0))</f>
        <v>0</v>
      </c>
      <c r="V161" s="651">
        <f t="array" ref="V161">IFERROR(INDEX('HIV-Pharmaceuticals'!$R$107:$R$192,MATCH($E161&amp;$F161,'HIV-Pharmaceuticals'!$E$107:$E$192&amp;'HIV-Pharmaceuticals'!$I$107:$I$192,0)),0)</f>
        <v>0</v>
      </c>
      <c r="W161" s="652">
        <f>IF(ISERROR($I161*V161),0,$I161*V161)</f>
        <v>0</v>
      </c>
      <c r="X161" s="652">
        <f>IF(C161="Upfront",V161,IF(C161="At delivery",N161,0))</f>
        <v>0</v>
      </c>
      <c r="Y161" s="652">
        <f>IF(C161="Upfront",W161,IF(C161="At delivery",O161,0))</f>
        <v>0</v>
      </c>
      <c r="Z161" s="653"/>
      <c r="AA161" s="651">
        <f t="array" ref="AA161">IFERROR(INDEX('HIV-Pharmaceuticals'!$U$107:$U$192,MATCH($E161&amp;$F161,'HIV-Pharmaceuticals'!$E$107:$E$192&amp;'HIV-Pharmaceuticals'!$I$107:$I$192,0)),0)</f>
        <v>0</v>
      </c>
      <c r="AB161" s="651">
        <f t="array" ref="AB161">IFERROR(INDEX('HIV-Pharmaceuticals'!$V$107:$V$192,MATCH($E161&amp;$F161,'HIV-Pharmaceuticals'!$E$107:$E$192&amp;'HIV-Pharmaceuticals'!$I$107:$I$192,0)),0)</f>
        <v>0</v>
      </c>
      <c r="AC161" s="651">
        <f>IF(ISERROR($AA161*AB161),0,$AA161*AB161)</f>
        <v>0</v>
      </c>
      <c r="AD161" s="652">
        <f>IF(C161="Upfront",AB161,IF(C161="At delivery",R161,0))</f>
        <v>0</v>
      </c>
      <c r="AE161" s="652">
        <f>IF(C161="Upfront",AC161,IF(C161="At delivery",S161,0))</f>
        <v>0</v>
      </c>
      <c r="AF161" s="651">
        <f t="array" ref="AF161">IFERROR(INDEX('HIV-Pharmaceuticals'!$W$107:$W$192,MATCH($E161&amp;$F161,'HIV-Pharmaceuticals'!$E$107:$E$192&amp;'HIV-Pharmaceuticals'!$I$107:$I$192,0)),0)</f>
        <v>0</v>
      </c>
      <c r="AG161" s="651">
        <f>IF(ISERROR($AA161*AF161),0,$AA161*AF161)</f>
        <v>0</v>
      </c>
      <c r="AH161" s="652">
        <f>IF(C161="Upfront",AF161,IF(C161="At delivery",V161,0))</f>
        <v>0</v>
      </c>
      <c r="AI161" s="652">
        <f>IF(C161="Upfront",AG161,IF(C161="At delivery",W161,0))</f>
        <v>0</v>
      </c>
      <c r="AJ161" s="651">
        <f t="array" ref="AJ161">IFERROR(INDEX('HIV-Pharmaceuticals'!$X$107:$X$192,MATCH($E161&amp;$F161,'HIV-Pharmaceuticals'!$E$107:$E$192&amp;'HIV-Pharmaceuticals'!$I$107:$I$192,0)),0)</f>
        <v>0</v>
      </c>
      <c r="AK161" s="651">
        <f>IF(ISERROR($AA161*AJ161),0,$AA161*AJ161)</f>
        <v>0</v>
      </c>
      <c r="AL161" s="652">
        <f>IF(C161="Upfront",AJ161,IF(C161="At delivery",AB161,0))</f>
        <v>0</v>
      </c>
      <c r="AM161" s="652">
        <f>IF(C161="Upfront",AK161,IF(C161="At delivery",AC161,0))</f>
        <v>0</v>
      </c>
      <c r="AN161" s="651">
        <f t="array" ref="AN161">IFERROR(INDEX('HIV-Pharmaceuticals'!$Y$107:$Y$192,MATCH($E161&amp;$F161,'HIV-Pharmaceuticals'!$E$107:$E$192&amp;'HIV-Pharmaceuticals'!$I$107:$I$192,0)),0)</f>
        <v>0</v>
      </c>
      <c r="AO161" s="651">
        <f>IF(ISERROR($AA161*AN161),0,$AA161*AN161)</f>
        <v>0</v>
      </c>
      <c r="AP161" s="652">
        <f>IF(C161="Upfront",AN161,IF(C161="At delivery",AF161,0))</f>
        <v>0</v>
      </c>
      <c r="AQ161" s="652">
        <f>IF(C161="Upfront",AO161,IF(C161="At delivery",AG161,0))</f>
        <v>0</v>
      </c>
      <c r="AR161" s="653"/>
      <c r="AS161" s="651">
        <f t="array" ref="AS161">IFERROR(INDEX('HIV-Pharmaceuticals'!$AB$107:$AB$192,MATCH($E161&amp;$F161,'HIV-Pharmaceuticals'!$E$107:$E$192&amp;'HIV-Pharmaceuticals'!$I$107:$I$192,0)),0)</f>
        <v>0</v>
      </c>
      <c r="AT161" s="651">
        <f t="array" ref="AT161">IFERROR(INDEX('HIV-Pharmaceuticals'!$AC$107:$AC$192,MATCH($E161&amp;$F161,'HIV-Pharmaceuticals'!$E$107:$E$192&amp;'HIV-Pharmaceuticals'!$I$107:$I$192,0)),0)</f>
        <v>0</v>
      </c>
      <c r="AU161" s="651">
        <f>IF(ISERROR($AS161*AT161),0,$AS161*AT161)</f>
        <v>0</v>
      </c>
      <c r="AV161" s="652">
        <f>IF(C161="Upfront",AT161,IF(C161="At delivery",AJ161,0))</f>
        <v>0</v>
      </c>
      <c r="AW161" s="652">
        <f>IF(C161="Upfront",AU161,IF(C161="At delivery",AK161,0))</f>
        <v>0</v>
      </c>
      <c r="AX161" s="651">
        <f t="array" ref="AX161">IFERROR(INDEX('HIV-Pharmaceuticals'!$AD$107:$AD$192,MATCH($E161&amp;$F161,'HIV-Pharmaceuticals'!$E$107:$E$192&amp;'HIV-Pharmaceuticals'!$I$107:$I$192,0)),0)</f>
        <v>0</v>
      </c>
      <c r="AY161" s="651">
        <f>IF(ISERROR($AS161*AX161),0,$AS161*AX161)</f>
        <v>0</v>
      </c>
      <c r="AZ161" s="652">
        <f>IF(C161="Upfront",AX161,IF(C161="At delivery",AN161,0))</f>
        <v>0</v>
      </c>
      <c r="BA161" s="652">
        <f>IF(C161="Upfront",AY161,IF(C161="At delivery",AO161,0))</f>
        <v>0</v>
      </c>
      <c r="BB161" s="651">
        <f t="array" ref="BB161">IFERROR(INDEX('HIV-Pharmaceuticals'!$AE$107:$AE$192,MATCH($E161&amp;$F161,'HIV-Pharmaceuticals'!$E$107:$E$192&amp;'HIV-Pharmaceuticals'!$I$107:$I$192,0)),0)</f>
        <v>0</v>
      </c>
      <c r="BC161" s="651">
        <f>IF(ISERROR($AS161*BB161),0,$AS161*BB161)</f>
        <v>0</v>
      </c>
      <c r="BD161" s="652">
        <f>IF(C161="Upfront",BB161,IF(C161="At delivery",AT161,0))</f>
        <v>0</v>
      </c>
      <c r="BE161" s="652">
        <f>IF(C161="Upfront",BC161,IF(C161="At delivery",AU161,0))</f>
        <v>0</v>
      </c>
      <c r="BF161" s="651">
        <f t="array" ref="BF161">IFERROR(INDEX('HIV-Pharmaceuticals'!$AF$107:$AF$192,MATCH($E161&amp;$F161,'HIV-Pharmaceuticals'!$E$107:$E$192&amp;'HIV-Pharmaceuticals'!$I$107:$I$192,0)),0)</f>
        <v>0</v>
      </c>
      <c r="BG161" s="651">
        <f>IF(ISERROR($AS161*BF161),0,$AS161*BF161)</f>
        <v>0</v>
      </c>
      <c r="BH161" s="652">
        <f>IF(C161="Upfront",BF161,IF(C161="At delivery",AX161,0))</f>
        <v>0</v>
      </c>
      <c r="BI161" s="652">
        <f>IF(C161="Upfront",BG161,IF(C161="At delivery",AY161,0))</f>
        <v>0</v>
      </c>
      <c r="BK161" s="654"/>
      <c r="BL161" s="654"/>
      <c r="BM161" s="654"/>
      <c r="BN161" s="654"/>
      <c r="BO161" s="654"/>
      <c r="BP161" s="654"/>
      <c r="BQ161" s="654"/>
      <c r="BR161" s="654"/>
    </row>
    <row r="162" spans="1:70">
      <c r="A162" s="647" t="s">
        <v>1317</v>
      </c>
      <c r="B162" s="647" t="s">
        <v>2282</v>
      </c>
      <c r="C162" s="648">
        <f>SETUP!$F$22</f>
        <v>0</v>
      </c>
      <c r="D162" s="649">
        <v>4.7</v>
      </c>
      <c r="E162" s="647" t="s">
        <v>1853</v>
      </c>
      <c r="F162" s="647" t="s">
        <v>1355</v>
      </c>
      <c r="G162" s="650" t="str">
        <f t="array" ref="G162">IFERROR(INDEX('HIV-Pharmaceuticals'!$L$107:$L$192,MATCH($E162&amp;$F162,'HIV-Pharmaceuticals'!$E$107:$E$192&amp;'HIV-Pharmaceuticals'!$I$107:$I$192,0)),"")</f>
        <v/>
      </c>
      <c r="H162" s="650" t="str">
        <f t="array" ref="H162">IFERROR(INDEX('HIV-Pharmaceuticals'!$M$107:$M$192,MATCH($E162&amp;$F162,'HIV-Pharmaceuticals'!$E$107:$E$192&amp;'HIV-Pharmaceuticals'!$I$107:$I$192,0)),"")</f>
        <v/>
      </c>
      <c r="I162" s="651">
        <f t="array" ref="I162">IFERROR(INDEX('HIV-Pharmaceuticals'!$N$107:$N$192,MATCH($E162&amp;$F162,'HIV-Pharmaceuticals'!$E$107:$E$192&amp;'HIV-Pharmaceuticals'!$I$107:$I$192,0)),0)</f>
        <v>0</v>
      </c>
      <c r="J162" s="651">
        <f t="array" ref="J162">IFERROR(INDEX('HIV-Pharmaceuticals'!$O$107:$O$192,MATCH($E162&amp;$F162,'HIV-Pharmaceuticals'!$E$107:$E$192&amp;'HIV-Pharmaceuticals'!$I$107:$I$192,0)),0)</f>
        <v>0</v>
      </c>
      <c r="K162" s="652">
        <f t="shared" si="72"/>
        <v>0</v>
      </c>
      <c r="L162" s="652">
        <f t="shared" si="73"/>
        <v>0</v>
      </c>
      <c r="M162" s="652">
        <f t="shared" si="74"/>
        <v>0</v>
      </c>
      <c r="N162" s="651">
        <f t="array" ref="N162">IFERROR(INDEX('HIV-Pharmaceuticals'!$P$107:$P$192,MATCH($E162&amp;$F162,'HIV-Pharmaceuticals'!$E$107:$E$192&amp;'HIV-Pharmaceuticals'!$I$107:$I$192,0)),0)</f>
        <v>0</v>
      </c>
      <c r="O162" s="652">
        <f t="shared" si="75"/>
        <v>0</v>
      </c>
      <c r="P162" s="652">
        <f t="shared" si="76"/>
        <v>0</v>
      </c>
      <c r="Q162" s="652">
        <f t="shared" si="77"/>
        <v>0</v>
      </c>
      <c r="R162" s="651">
        <f t="array" ref="R162">IFERROR(INDEX('HIV-Pharmaceuticals'!$Q$107:$Q$192,MATCH($E162&amp;$F162,'HIV-Pharmaceuticals'!$E$107:$E$192&amp;'HIV-Pharmaceuticals'!$I$107:$I$192,0)),0)</f>
        <v>0</v>
      </c>
      <c r="S162" s="652">
        <f t="shared" si="78"/>
        <v>0</v>
      </c>
      <c r="T162" s="652">
        <f t="shared" si="79"/>
        <v>0</v>
      </c>
      <c r="U162" s="652">
        <f t="shared" si="80"/>
        <v>0</v>
      </c>
      <c r="V162" s="651">
        <f t="array" ref="V162">IFERROR(INDEX('HIV-Pharmaceuticals'!$R$107:$R$192,MATCH($E162&amp;$F162,'HIV-Pharmaceuticals'!$E$107:$E$192&amp;'HIV-Pharmaceuticals'!$I$107:$I$192,0)),0)</f>
        <v>0</v>
      </c>
      <c r="W162" s="652">
        <f t="shared" si="81"/>
        <v>0</v>
      </c>
      <c r="X162" s="652">
        <f t="shared" si="82"/>
        <v>0</v>
      </c>
      <c r="Y162" s="652">
        <f t="shared" si="83"/>
        <v>0</v>
      </c>
      <c r="Z162" s="653"/>
      <c r="AA162" s="651">
        <f t="array" ref="AA162">IFERROR(INDEX('HIV-Pharmaceuticals'!$U$107:$U$192,MATCH($E162&amp;$F162,'HIV-Pharmaceuticals'!$E$107:$E$192&amp;'HIV-Pharmaceuticals'!$I$107:$I$192,0)),0)</f>
        <v>0</v>
      </c>
      <c r="AB162" s="651">
        <f t="array" ref="AB162">IFERROR(INDEX('HIV-Pharmaceuticals'!$V$107:$V$192,MATCH($E162&amp;$F162,'HIV-Pharmaceuticals'!$E$107:$E$192&amp;'HIV-Pharmaceuticals'!$I$107:$I$192,0)),0)</f>
        <v>0</v>
      </c>
      <c r="AC162" s="651">
        <f t="shared" si="84"/>
        <v>0</v>
      </c>
      <c r="AD162" s="652">
        <f t="shared" si="85"/>
        <v>0</v>
      </c>
      <c r="AE162" s="652">
        <f t="shared" si="86"/>
        <v>0</v>
      </c>
      <c r="AF162" s="651">
        <f t="array" ref="AF162">IFERROR(INDEX('HIV-Pharmaceuticals'!$W$107:$W$192,MATCH($E162&amp;$F162,'HIV-Pharmaceuticals'!$E$107:$E$192&amp;'HIV-Pharmaceuticals'!$I$107:$I$192,0)),0)</f>
        <v>0</v>
      </c>
      <c r="AG162" s="651">
        <f t="shared" si="87"/>
        <v>0</v>
      </c>
      <c r="AH162" s="652">
        <f t="shared" si="88"/>
        <v>0</v>
      </c>
      <c r="AI162" s="652">
        <f t="shared" si="89"/>
        <v>0</v>
      </c>
      <c r="AJ162" s="651">
        <f t="array" ref="AJ162">IFERROR(INDEX('HIV-Pharmaceuticals'!$X$107:$X$192,MATCH($E162&amp;$F162,'HIV-Pharmaceuticals'!$E$107:$E$192&amp;'HIV-Pharmaceuticals'!$I$107:$I$192,0)),0)</f>
        <v>0</v>
      </c>
      <c r="AK162" s="651">
        <f t="shared" si="90"/>
        <v>0</v>
      </c>
      <c r="AL162" s="652">
        <f t="shared" si="91"/>
        <v>0</v>
      </c>
      <c r="AM162" s="652">
        <f t="shared" si="92"/>
        <v>0</v>
      </c>
      <c r="AN162" s="651">
        <f t="array" ref="AN162">IFERROR(INDEX('HIV-Pharmaceuticals'!$Y$107:$Y$192,MATCH($E162&amp;$F162,'HIV-Pharmaceuticals'!$E$107:$E$192&amp;'HIV-Pharmaceuticals'!$I$107:$I$192,0)),0)</f>
        <v>0</v>
      </c>
      <c r="AO162" s="651">
        <f t="shared" si="93"/>
        <v>0</v>
      </c>
      <c r="AP162" s="652">
        <f t="shared" si="94"/>
        <v>0</v>
      </c>
      <c r="AQ162" s="652">
        <f t="shared" si="95"/>
        <v>0</v>
      </c>
      <c r="AR162" s="653"/>
      <c r="AS162" s="651">
        <f t="array" ref="AS162">IFERROR(INDEX('HIV-Pharmaceuticals'!$AB$107:$AB$192,MATCH($E162&amp;$F162,'HIV-Pharmaceuticals'!$E$107:$E$192&amp;'HIV-Pharmaceuticals'!$I$107:$I$192,0)),0)</f>
        <v>0</v>
      </c>
      <c r="AT162" s="651">
        <f t="array" ref="AT162">IFERROR(INDEX('HIV-Pharmaceuticals'!$AC$107:$AC$192,MATCH($E162&amp;$F162,'HIV-Pharmaceuticals'!$E$107:$E$192&amp;'HIV-Pharmaceuticals'!$I$107:$I$192,0)),0)</f>
        <v>0</v>
      </c>
      <c r="AU162" s="651">
        <f t="shared" si="96"/>
        <v>0</v>
      </c>
      <c r="AV162" s="652">
        <f t="shared" si="97"/>
        <v>0</v>
      </c>
      <c r="AW162" s="652">
        <f t="shared" si="98"/>
        <v>0</v>
      </c>
      <c r="AX162" s="651">
        <f t="array" ref="AX162">IFERROR(INDEX('HIV-Pharmaceuticals'!$AD$107:$AD$192,MATCH($E162&amp;$F162,'HIV-Pharmaceuticals'!$E$107:$E$192&amp;'HIV-Pharmaceuticals'!$I$107:$I$192,0)),0)</f>
        <v>0</v>
      </c>
      <c r="AY162" s="651">
        <f t="shared" si="99"/>
        <v>0</v>
      </c>
      <c r="AZ162" s="652">
        <f t="shared" si="100"/>
        <v>0</v>
      </c>
      <c r="BA162" s="652">
        <f t="shared" si="101"/>
        <v>0</v>
      </c>
      <c r="BB162" s="651">
        <f t="array" ref="BB162">IFERROR(INDEX('HIV-Pharmaceuticals'!$AE$107:$AE$192,MATCH($E162&amp;$F162,'HIV-Pharmaceuticals'!$E$107:$E$192&amp;'HIV-Pharmaceuticals'!$I$107:$I$192,0)),0)</f>
        <v>0</v>
      </c>
      <c r="BC162" s="651">
        <f t="shared" si="102"/>
        <v>0</v>
      </c>
      <c r="BD162" s="652">
        <f t="shared" si="103"/>
        <v>0</v>
      </c>
      <c r="BE162" s="652">
        <f t="shared" si="104"/>
        <v>0</v>
      </c>
      <c r="BF162" s="651">
        <f t="array" ref="BF162">IFERROR(INDEX('HIV-Pharmaceuticals'!$AF$107:$AF$192,MATCH($E162&amp;$F162,'HIV-Pharmaceuticals'!$E$107:$E$192&amp;'HIV-Pharmaceuticals'!$I$107:$I$192,0)),0)</f>
        <v>0</v>
      </c>
      <c r="BG162" s="651">
        <f t="shared" si="105"/>
        <v>0</v>
      </c>
      <c r="BH162" s="652">
        <f t="shared" si="106"/>
        <v>0</v>
      </c>
      <c r="BI162" s="652">
        <f t="shared" si="107"/>
        <v>0</v>
      </c>
      <c r="BK162" s="654"/>
      <c r="BL162" s="654"/>
      <c r="BM162" s="654"/>
      <c r="BN162" s="654"/>
      <c r="BO162" s="654"/>
      <c r="BP162" s="654"/>
      <c r="BQ162" s="654"/>
      <c r="BR162" s="654"/>
    </row>
    <row r="163" spans="1:70">
      <c r="A163" s="647" t="s">
        <v>1317</v>
      </c>
      <c r="B163" s="647" t="s">
        <v>2282</v>
      </c>
      <c r="C163" s="648">
        <f>SETUP!$F$22</f>
        <v>0</v>
      </c>
      <c r="D163" s="649">
        <v>4.7</v>
      </c>
      <c r="E163" s="647" t="s">
        <v>1853</v>
      </c>
      <c r="F163" s="647" t="s">
        <v>1356</v>
      </c>
      <c r="G163" s="650" t="str">
        <f t="array" ref="G163">IFERROR(INDEX('HIV-Pharmaceuticals'!$L$107:$L$192,MATCH($E163&amp;$F163,'HIV-Pharmaceuticals'!$E$107:$E$192&amp;'HIV-Pharmaceuticals'!$I$107:$I$192,0)),"")</f>
        <v/>
      </c>
      <c r="H163" s="650" t="str">
        <f t="array" ref="H163">IFERROR(INDEX('HIV-Pharmaceuticals'!$M$107:$M$192,MATCH($E163&amp;$F163,'HIV-Pharmaceuticals'!$E$107:$E$192&amp;'HIV-Pharmaceuticals'!$I$107:$I$192,0)),"")</f>
        <v/>
      </c>
      <c r="I163" s="651">
        <f t="array" ref="I163">IFERROR(INDEX('HIV-Pharmaceuticals'!$N$107:$N$192,MATCH($E163&amp;$F163,'HIV-Pharmaceuticals'!$E$107:$E$192&amp;'HIV-Pharmaceuticals'!$I$107:$I$192,0)),0)</f>
        <v>0</v>
      </c>
      <c r="J163" s="651">
        <f t="array" ref="J163">IFERROR(INDEX('HIV-Pharmaceuticals'!$O$107:$O$192,MATCH($E163&amp;$F163,'HIV-Pharmaceuticals'!$E$107:$E$192&amp;'HIV-Pharmaceuticals'!$I$107:$I$192,0)),0)</f>
        <v>0</v>
      </c>
      <c r="K163" s="652">
        <f t="shared" si="72"/>
        <v>0</v>
      </c>
      <c r="L163" s="652">
        <f t="shared" si="73"/>
        <v>0</v>
      </c>
      <c r="M163" s="652">
        <f t="shared" si="74"/>
        <v>0</v>
      </c>
      <c r="N163" s="651">
        <f t="array" ref="N163">IFERROR(INDEX('HIV-Pharmaceuticals'!$P$107:$P$192,MATCH($E163&amp;$F163,'HIV-Pharmaceuticals'!$E$107:$E$192&amp;'HIV-Pharmaceuticals'!$I$107:$I$192,0)),0)</f>
        <v>0</v>
      </c>
      <c r="O163" s="652">
        <f t="shared" si="75"/>
        <v>0</v>
      </c>
      <c r="P163" s="652">
        <f t="shared" si="76"/>
        <v>0</v>
      </c>
      <c r="Q163" s="652">
        <f t="shared" si="77"/>
        <v>0</v>
      </c>
      <c r="R163" s="651">
        <f t="array" ref="R163">IFERROR(INDEX('HIV-Pharmaceuticals'!$Q$107:$Q$192,MATCH($E163&amp;$F163,'HIV-Pharmaceuticals'!$E$107:$E$192&amp;'HIV-Pharmaceuticals'!$I$107:$I$192,0)),0)</f>
        <v>0</v>
      </c>
      <c r="S163" s="652">
        <f t="shared" si="78"/>
        <v>0</v>
      </c>
      <c r="T163" s="652">
        <f t="shared" si="79"/>
        <v>0</v>
      </c>
      <c r="U163" s="652">
        <f t="shared" si="80"/>
        <v>0</v>
      </c>
      <c r="V163" s="651">
        <f t="array" ref="V163">IFERROR(INDEX('HIV-Pharmaceuticals'!$R$107:$R$192,MATCH($E163&amp;$F163,'HIV-Pharmaceuticals'!$E$107:$E$192&amp;'HIV-Pharmaceuticals'!$I$107:$I$192,0)),0)</f>
        <v>0</v>
      </c>
      <c r="W163" s="652">
        <f t="shared" si="81"/>
        <v>0</v>
      </c>
      <c r="X163" s="652">
        <f t="shared" si="82"/>
        <v>0</v>
      </c>
      <c r="Y163" s="652">
        <f t="shared" si="83"/>
        <v>0</v>
      </c>
      <c r="Z163" s="653"/>
      <c r="AA163" s="651">
        <f t="array" ref="AA163">IFERROR(INDEX('HIV-Pharmaceuticals'!$U$107:$U$192,MATCH($E163&amp;$F163,'HIV-Pharmaceuticals'!$E$107:$E$192&amp;'HIV-Pharmaceuticals'!$I$107:$I$192,0)),0)</f>
        <v>0</v>
      </c>
      <c r="AB163" s="651">
        <f t="array" ref="AB163">IFERROR(INDEX('HIV-Pharmaceuticals'!$V$107:$V$192,MATCH($E163&amp;$F163,'HIV-Pharmaceuticals'!$E$107:$E$192&amp;'HIV-Pharmaceuticals'!$I$107:$I$192,0)),0)</f>
        <v>0</v>
      </c>
      <c r="AC163" s="651">
        <f t="shared" si="84"/>
        <v>0</v>
      </c>
      <c r="AD163" s="652">
        <f t="shared" si="85"/>
        <v>0</v>
      </c>
      <c r="AE163" s="652">
        <f t="shared" si="86"/>
        <v>0</v>
      </c>
      <c r="AF163" s="651">
        <f t="array" ref="AF163">IFERROR(INDEX('HIV-Pharmaceuticals'!$W$107:$W$192,MATCH($E163&amp;$F163,'HIV-Pharmaceuticals'!$E$107:$E$192&amp;'HIV-Pharmaceuticals'!$I$107:$I$192,0)),0)</f>
        <v>0</v>
      </c>
      <c r="AG163" s="651">
        <f t="shared" si="87"/>
        <v>0</v>
      </c>
      <c r="AH163" s="652">
        <f t="shared" si="88"/>
        <v>0</v>
      </c>
      <c r="AI163" s="652">
        <f t="shared" si="89"/>
        <v>0</v>
      </c>
      <c r="AJ163" s="651">
        <f t="array" ref="AJ163">IFERROR(INDEX('HIV-Pharmaceuticals'!$X$107:$X$192,MATCH($E163&amp;$F163,'HIV-Pharmaceuticals'!$E$107:$E$192&amp;'HIV-Pharmaceuticals'!$I$107:$I$192,0)),0)</f>
        <v>0</v>
      </c>
      <c r="AK163" s="651">
        <f t="shared" si="90"/>
        <v>0</v>
      </c>
      <c r="AL163" s="652">
        <f t="shared" si="91"/>
        <v>0</v>
      </c>
      <c r="AM163" s="652">
        <f t="shared" si="92"/>
        <v>0</v>
      </c>
      <c r="AN163" s="651">
        <f t="array" ref="AN163">IFERROR(INDEX('HIV-Pharmaceuticals'!$Y$107:$Y$192,MATCH($E163&amp;$F163,'HIV-Pharmaceuticals'!$E$107:$E$192&amp;'HIV-Pharmaceuticals'!$I$107:$I$192,0)),0)</f>
        <v>0</v>
      </c>
      <c r="AO163" s="651">
        <f t="shared" si="93"/>
        <v>0</v>
      </c>
      <c r="AP163" s="652">
        <f t="shared" si="94"/>
        <v>0</v>
      </c>
      <c r="AQ163" s="652">
        <f t="shared" si="95"/>
        <v>0</v>
      </c>
      <c r="AR163" s="653"/>
      <c r="AS163" s="651">
        <f t="array" ref="AS163">IFERROR(INDEX('HIV-Pharmaceuticals'!$AB$107:$AB$192,MATCH($E163&amp;$F163,'HIV-Pharmaceuticals'!$E$107:$E$192&amp;'HIV-Pharmaceuticals'!$I$107:$I$192,0)),0)</f>
        <v>0</v>
      </c>
      <c r="AT163" s="651">
        <f t="array" ref="AT163">IFERROR(INDEX('HIV-Pharmaceuticals'!$AC$107:$AC$192,MATCH($E163&amp;$F163,'HIV-Pharmaceuticals'!$E$107:$E$192&amp;'HIV-Pharmaceuticals'!$I$107:$I$192,0)),0)</f>
        <v>0</v>
      </c>
      <c r="AU163" s="651">
        <f t="shared" si="96"/>
        <v>0</v>
      </c>
      <c r="AV163" s="652">
        <f t="shared" si="97"/>
        <v>0</v>
      </c>
      <c r="AW163" s="652">
        <f t="shared" si="98"/>
        <v>0</v>
      </c>
      <c r="AX163" s="651">
        <f t="array" ref="AX163">IFERROR(INDEX('HIV-Pharmaceuticals'!$AD$107:$AD$192,MATCH($E163&amp;$F163,'HIV-Pharmaceuticals'!$E$107:$E$192&amp;'HIV-Pharmaceuticals'!$I$107:$I$192,0)),0)</f>
        <v>0</v>
      </c>
      <c r="AY163" s="651">
        <f t="shared" si="99"/>
        <v>0</v>
      </c>
      <c r="AZ163" s="652">
        <f t="shared" si="100"/>
        <v>0</v>
      </c>
      <c r="BA163" s="652">
        <f t="shared" si="101"/>
        <v>0</v>
      </c>
      <c r="BB163" s="651">
        <f t="array" ref="BB163">IFERROR(INDEX('HIV-Pharmaceuticals'!$AE$107:$AE$192,MATCH($E163&amp;$F163,'HIV-Pharmaceuticals'!$E$107:$E$192&amp;'HIV-Pharmaceuticals'!$I$107:$I$192,0)),0)</f>
        <v>0</v>
      </c>
      <c r="BC163" s="651">
        <f t="shared" si="102"/>
        <v>0</v>
      </c>
      <c r="BD163" s="652">
        <f t="shared" si="103"/>
        <v>0</v>
      </c>
      <c r="BE163" s="652">
        <f t="shared" si="104"/>
        <v>0</v>
      </c>
      <c r="BF163" s="651">
        <f t="array" ref="BF163">IFERROR(INDEX('HIV-Pharmaceuticals'!$AF$107:$AF$192,MATCH($E163&amp;$F163,'HIV-Pharmaceuticals'!$E$107:$E$192&amp;'HIV-Pharmaceuticals'!$I$107:$I$192,0)),0)</f>
        <v>0</v>
      </c>
      <c r="BG163" s="651">
        <f t="shared" si="105"/>
        <v>0</v>
      </c>
      <c r="BH163" s="652">
        <f t="shared" si="106"/>
        <v>0</v>
      </c>
      <c r="BI163" s="652">
        <f t="shared" si="107"/>
        <v>0</v>
      </c>
      <c r="BK163" s="654"/>
      <c r="BL163" s="654"/>
      <c r="BM163" s="654"/>
      <c r="BN163" s="654"/>
      <c r="BO163" s="654"/>
      <c r="BP163" s="654"/>
      <c r="BQ163" s="654"/>
      <c r="BR163" s="654"/>
    </row>
    <row r="164" spans="1:70">
      <c r="A164" s="647" t="s">
        <v>1317</v>
      </c>
      <c r="B164" s="647" t="s">
        <v>2282</v>
      </c>
      <c r="C164" s="648">
        <f>SETUP!$F$22</f>
        <v>0</v>
      </c>
      <c r="D164" s="649">
        <v>4.7</v>
      </c>
      <c r="E164" s="647" t="s">
        <v>1853</v>
      </c>
      <c r="F164" s="647" t="s">
        <v>1357</v>
      </c>
      <c r="G164" s="650" t="str">
        <f t="array" ref="G164">IFERROR(INDEX('HIV-Pharmaceuticals'!$L$107:$L$192,MATCH($E164&amp;$F164,'HIV-Pharmaceuticals'!$E$107:$E$192&amp;'HIV-Pharmaceuticals'!$I$107:$I$192,0)),"")</f>
        <v/>
      </c>
      <c r="H164" s="650" t="str">
        <f t="array" ref="H164">IFERROR(INDEX('HIV-Pharmaceuticals'!$M$107:$M$192,MATCH($E164&amp;$F164,'HIV-Pharmaceuticals'!$E$107:$E$192&amp;'HIV-Pharmaceuticals'!$I$107:$I$192,0)),"")</f>
        <v/>
      </c>
      <c r="I164" s="651">
        <f t="array" ref="I164">IFERROR(INDEX('HIV-Pharmaceuticals'!$N$107:$N$192,MATCH($E164&amp;$F164,'HIV-Pharmaceuticals'!$E$107:$E$192&amp;'HIV-Pharmaceuticals'!$I$107:$I$192,0)),0)</f>
        <v>0</v>
      </c>
      <c r="J164" s="651">
        <f t="array" ref="J164">IFERROR(INDEX('HIV-Pharmaceuticals'!$O$107:$O$192,MATCH($E164&amp;$F164,'HIV-Pharmaceuticals'!$E$107:$E$192&amp;'HIV-Pharmaceuticals'!$I$107:$I$192,0)),0)</f>
        <v>0</v>
      </c>
      <c r="K164" s="652">
        <f t="shared" si="72"/>
        <v>0</v>
      </c>
      <c r="L164" s="652">
        <f t="shared" si="73"/>
        <v>0</v>
      </c>
      <c r="M164" s="652">
        <f t="shared" si="74"/>
        <v>0</v>
      </c>
      <c r="N164" s="651">
        <f t="array" ref="N164">IFERROR(INDEX('HIV-Pharmaceuticals'!$P$107:$P$192,MATCH($E164&amp;$F164,'HIV-Pharmaceuticals'!$E$107:$E$192&amp;'HIV-Pharmaceuticals'!$I$107:$I$192,0)),0)</f>
        <v>0</v>
      </c>
      <c r="O164" s="652">
        <f t="shared" si="75"/>
        <v>0</v>
      </c>
      <c r="P164" s="652">
        <f t="shared" si="76"/>
        <v>0</v>
      </c>
      <c r="Q164" s="652">
        <f t="shared" si="77"/>
        <v>0</v>
      </c>
      <c r="R164" s="651">
        <f t="array" ref="R164">IFERROR(INDEX('HIV-Pharmaceuticals'!$Q$107:$Q$192,MATCH($E164&amp;$F164,'HIV-Pharmaceuticals'!$E$107:$E$192&amp;'HIV-Pharmaceuticals'!$I$107:$I$192,0)),0)</f>
        <v>0</v>
      </c>
      <c r="S164" s="652">
        <f t="shared" si="78"/>
        <v>0</v>
      </c>
      <c r="T164" s="652">
        <f t="shared" si="79"/>
        <v>0</v>
      </c>
      <c r="U164" s="652">
        <f t="shared" si="80"/>
        <v>0</v>
      </c>
      <c r="V164" s="651">
        <f t="array" ref="V164">IFERROR(INDEX('HIV-Pharmaceuticals'!$R$107:$R$192,MATCH($E164&amp;$F164,'HIV-Pharmaceuticals'!$E$107:$E$192&amp;'HIV-Pharmaceuticals'!$I$107:$I$192,0)),0)</f>
        <v>0</v>
      </c>
      <c r="W164" s="652">
        <f t="shared" si="81"/>
        <v>0</v>
      </c>
      <c r="X164" s="652">
        <f t="shared" si="82"/>
        <v>0</v>
      </c>
      <c r="Y164" s="652">
        <f t="shared" si="83"/>
        <v>0</v>
      </c>
      <c r="Z164" s="653"/>
      <c r="AA164" s="651">
        <f t="array" ref="AA164">IFERROR(INDEX('HIV-Pharmaceuticals'!$U$107:$U$192,MATCH($E164&amp;$F164,'HIV-Pharmaceuticals'!$E$107:$E$192&amp;'HIV-Pharmaceuticals'!$I$107:$I$192,0)),0)</f>
        <v>0</v>
      </c>
      <c r="AB164" s="651">
        <f t="array" ref="AB164">IFERROR(INDEX('HIV-Pharmaceuticals'!$V$107:$V$192,MATCH($E164&amp;$F164,'HIV-Pharmaceuticals'!$E$107:$E$192&amp;'HIV-Pharmaceuticals'!$I$107:$I$192,0)),0)</f>
        <v>0</v>
      </c>
      <c r="AC164" s="651">
        <f t="shared" si="84"/>
        <v>0</v>
      </c>
      <c r="AD164" s="652">
        <f t="shared" si="85"/>
        <v>0</v>
      </c>
      <c r="AE164" s="652">
        <f t="shared" si="86"/>
        <v>0</v>
      </c>
      <c r="AF164" s="651">
        <f t="array" ref="AF164">IFERROR(INDEX('HIV-Pharmaceuticals'!$W$107:$W$192,MATCH($E164&amp;$F164,'HIV-Pharmaceuticals'!$E$107:$E$192&amp;'HIV-Pharmaceuticals'!$I$107:$I$192,0)),0)</f>
        <v>0</v>
      </c>
      <c r="AG164" s="651">
        <f t="shared" si="87"/>
        <v>0</v>
      </c>
      <c r="AH164" s="652">
        <f t="shared" si="88"/>
        <v>0</v>
      </c>
      <c r="AI164" s="652">
        <f t="shared" si="89"/>
        <v>0</v>
      </c>
      <c r="AJ164" s="651">
        <f t="array" ref="AJ164">IFERROR(INDEX('HIV-Pharmaceuticals'!$X$107:$X$192,MATCH($E164&amp;$F164,'HIV-Pharmaceuticals'!$E$107:$E$192&amp;'HIV-Pharmaceuticals'!$I$107:$I$192,0)),0)</f>
        <v>0</v>
      </c>
      <c r="AK164" s="651">
        <f t="shared" si="90"/>
        <v>0</v>
      </c>
      <c r="AL164" s="652">
        <f t="shared" si="91"/>
        <v>0</v>
      </c>
      <c r="AM164" s="652">
        <f t="shared" si="92"/>
        <v>0</v>
      </c>
      <c r="AN164" s="651">
        <f t="array" ref="AN164">IFERROR(INDEX('HIV-Pharmaceuticals'!$Y$107:$Y$192,MATCH($E164&amp;$F164,'HIV-Pharmaceuticals'!$E$107:$E$192&amp;'HIV-Pharmaceuticals'!$I$107:$I$192,0)),0)</f>
        <v>0</v>
      </c>
      <c r="AO164" s="651">
        <f t="shared" si="93"/>
        <v>0</v>
      </c>
      <c r="AP164" s="652">
        <f t="shared" si="94"/>
        <v>0</v>
      </c>
      <c r="AQ164" s="652">
        <f t="shared" si="95"/>
        <v>0</v>
      </c>
      <c r="AR164" s="653"/>
      <c r="AS164" s="651">
        <f t="array" ref="AS164">IFERROR(INDEX('HIV-Pharmaceuticals'!$AB$107:$AB$192,MATCH($E164&amp;$F164,'HIV-Pharmaceuticals'!$E$107:$E$192&amp;'HIV-Pharmaceuticals'!$I$107:$I$192,0)),0)</f>
        <v>0</v>
      </c>
      <c r="AT164" s="651">
        <f t="array" ref="AT164">IFERROR(INDEX('HIV-Pharmaceuticals'!$AC$107:$AC$192,MATCH($E164&amp;$F164,'HIV-Pharmaceuticals'!$E$107:$E$192&amp;'HIV-Pharmaceuticals'!$I$107:$I$192,0)),0)</f>
        <v>0</v>
      </c>
      <c r="AU164" s="651">
        <f t="shared" si="96"/>
        <v>0</v>
      </c>
      <c r="AV164" s="652">
        <f t="shared" si="97"/>
        <v>0</v>
      </c>
      <c r="AW164" s="652">
        <f t="shared" si="98"/>
        <v>0</v>
      </c>
      <c r="AX164" s="651">
        <f t="array" ref="AX164">IFERROR(INDEX('HIV-Pharmaceuticals'!$AD$107:$AD$192,MATCH($E164&amp;$F164,'HIV-Pharmaceuticals'!$E$107:$E$192&amp;'HIV-Pharmaceuticals'!$I$107:$I$192,0)),0)</f>
        <v>0</v>
      </c>
      <c r="AY164" s="651">
        <f t="shared" si="99"/>
        <v>0</v>
      </c>
      <c r="AZ164" s="652">
        <f t="shared" si="100"/>
        <v>0</v>
      </c>
      <c r="BA164" s="652">
        <f t="shared" si="101"/>
        <v>0</v>
      </c>
      <c r="BB164" s="651">
        <f t="array" ref="BB164">IFERROR(INDEX('HIV-Pharmaceuticals'!$AE$107:$AE$192,MATCH($E164&amp;$F164,'HIV-Pharmaceuticals'!$E$107:$E$192&amp;'HIV-Pharmaceuticals'!$I$107:$I$192,0)),0)</f>
        <v>0</v>
      </c>
      <c r="BC164" s="651">
        <f t="shared" si="102"/>
        <v>0</v>
      </c>
      <c r="BD164" s="652">
        <f t="shared" si="103"/>
        <v>0</v>
      </c>
      <c r="BE164" s="652">
        <f t="shared" si="104"/>
        <v>0</v>
      </c>
      <c r="BF164" s="651">
        <f t="array" ref="BF164">IFERROR(INDEX('HIV-Pharmaceuticals'!$AF$107:$AF$192,MATCH($E164&amp;$F164,'HIV-Pharmaceuticals'!$E$107:$E$192&amp;'HIV-Pharmaceuticals'!$I$107:$I$192,0)),0)</f>
        <v>0</v>
      </c>
      <c r="BG164" s="651">
        <f t="shared" si="105"/>
        <v>0</v>
      </c>
      <c r="BH164" s="652">
        <f t="shared" si="106"/>
        <v>0</v>
      </c>
      <c r="BI164" s="652">
        <f t="shared" si="107"/>
        <v>0</v>
      </c>
      <c r="BK164" s="654"/>
      <c r="BL164" s="654"/>
      <c r="BM164" s="654"/>
      <c r="BN164" s="654"/>
      <c r="BO164" s="654"/>
      <c r="BP164" s="654"/>
      <c r="BQ164" s="654"/>
      <c r="BR164" s="654"/>
    </row>
    <row r="165" spans="1:70">
      <c r="A165" s="647" t="s">
        <v>1317</v>
      </c>
      <c r="B165" s="647" t="s">
        <v>2282</v>
      </c>
      <c r="C165" s="648">
        <f>SETUP!$F$22</f>
        <v>0</v>
      </c>
      <c r="D165" s="649">
        <v>4.7</v>
      </c>
      <c r="E165" s="647" t="s">
        <v>1367</v>
      </c>
      <c r="F165" s="647" t="s">
        <v>1368</v>
      </c>
      <c r="G165" s="650" t="str">
        <f t="array" ref="G165">IFERROR(INDEX('HIV-Pharmaceuticals'!$L$107:$L$192,MATCH($E165&amp;$F165,'HIV-Pharmaceuticals'!$E$107:$E$192&amp;'HIV-Pharmaceuticals'!$I$107:$I$192,0)),"")</f>
        <v/>
      </c>
      <c r="H165" s="650" t="str">
        <f t="array" ref="H165">IFERROR(INDEX('HIV-Pharmaceuticals'!$M$107:$M$192,MATCH($E165&amp;$F165,'HIV-Pharmaceuticals'!$E$107:$E$192&amp;'HIV-Pharmaceuticals'!$I$107:$I$192,0)),"")</f>
        <v/>
      </c>
      <c r="I165" s="651">
        <f t="array" ref="I165">IFERROR(INDEX('HIV-Pharmaceuticals'!$N$107:$N$192,MATCH($E165&amp;$F165,'HIV-Pharmaceuticals'!$E$107:$E$192&amp;'HIV-Pharmaceuticals'!$I$107:$I$192,0)),0)</f>
        <v>0</v>
      </c>
      <c r="J165" s="651">
        <f t="array" ref="J165">IFERROR(INDEX('HIV-Pharmaceuticals'!$O$107:$O$192,MATCH($E165&amp;$F165,'HIV-Pharmaceuticals'!$E$107:$E$192&amp;'HIV-Pharmaceuticals'!$I$107:$I$192,0)),0)</f>
        <v>0</v>
      </c>
      <c r="K165" s="652">
        <f t="shared" si="72"/>
        <v>0</v>
      </c>
      <c r="L165" s="652">
        <f t="shared" si="73"/>
        <v>0</v>
      </c>
      <c r="M165" s="652">
        <f t="shared" si="74"/>
        <v>0</v>
      </c>
      <c r="N165" s="651">
        <f t="array" ref="N165">IFERROR(INDEX('HIV-Pharmaceuticals'!$P$107:$P$192,MATCH($E165&amp;$F165,'HIV-Pharmaceuticals'!$E$107:$E$192&amp;'HIV-Pharmaceuticals'!$I$107:$I$192,0)),0)</f>
        <v>0</v>
      </c>
      <c r="O165" s="652">
        <f t="shared" si="75"/>
        <v>0</v>
      </c>
      <c r="P165" s="652">
        <f t="shared" si="76"/>
        <v>0</v>
      </c>
      <c r="Q165" s="652">
        <f t="shared" si="77"/>
        <v>0</v>
      </c>
      <c r="R165" s="651">
        <f t="array" ref="R165">IFERROR(INDEX('HIV-Pharmaceuticals'!$Q$107:$Q$192,MATCH($E165&amp;$F165,'HIV-Pharmaceuticals'!$E$107:$E$192&amp;'HIV-Pharmaceuticals'!$I$107:$I$192,0)),0)</f>
        <v>0</v>
      </c>
      <c r="S165" s="652">
        <f t="shared" si="78"/>
        <v>0</v>
      </c>
      <c r="T165" s="652">
        <f t="shared" si="79"/>
        <v>0</v>
      </c>
      <c r="U165" s="652">
        <f t="shared" si="80"/>
        <v>0</v>
      </c>
      <c r="V165" s="651">
        <f t="array" ref="V165">IFERROR(INDEX('HIV-Pharmaceuticals'!$R$107:$R$192,MATCH($E165&amp;$F165,'HIV-Pharmaceuticals'!$E$107:$E$192&amp;'HIV-Pharmaceuticals'!$I$107:$I$192,0)),0)</f>
        <v>0</v>
      </c>
      <c r="W165" s="652">
        <f t="shared" si="81"/>
        <v>0</v>
      </c>
      <c r="X165" s="652">
        <f t="shared" si="82"/>
        <v>0</v>
      </c>
      <c r="Y165" s="652">
        <f t="shared" si="83"/>
        <v>0</v>
      </c>
      <c r="Z165" s="653"/>
      <c r="AA165" s="651">
        <f t="array" ref="AA165">IFERROR(INDEX('HIV-Pharmaceuticals'!$U$107:$U$192,MATCH($E165&amp;$F165,'HIV-Pharmaceuticals'!$E$107:$E$192&amp;'HIV-Pharmaceuticals'!$I$107:$I$192,0)),0)</f>
        <v>0</v>
      </c>
      <c r="AB165" s="651">
        <f t="array" ref="AB165">IFERROR(INDEX('HIV-Pharmaceuticals'!$V$107:$V$192,MATCH($E165&amp;$F165,'HIV-Pharmaceuticals'!$E$107:$E$192&amp;'HIV-Pharmaceuticals'!$I$107:$I$192,0)),0)</f>
        <v>0</v>
      </c>
      <c r="AC165" s="651">
        <f t="shared" si="84"/>
        <v>0</v>
      </c>
      <c r="AD165" s="652">
        <f t="shared" si="85"/>
        <v>0</v>
      </c>
      <c r="AE165" s="652">
        <f t="shared" si="86"/>
        <v>0</v>
      </c>
      <c r="AF165" s="651">
        <f t="array" ref="AF165">IFERROR(INDEX('HIV-Pharmaceuticals'!$W$107:$W$192,MATCH($E165&amp;$F165,'HIV-Pharmaceuticals'!$E$107:$E$192&amp;'HIV-Pharmaceuticals'!$I$107:$I$192,0)),0)</f>
        <v>0</v>
      </c>
      <c r="AG165" s="651">
        <f t="shared" si="87"/>
        <v>0</v>
      </c>
      <c r="AH165" s="652">
        <f t="shared" si="88"/>
        <v>0</v>
      </c>
      <c r="AI165" s="652">
        <f t="shared" si="89"/>
        <v>0</v>
      </c>
      <c r="AJ165" s="651">
        <f t="array" ref="AJ165">IFERROR(INDEX('HIV-Pharmaceuticals'!$X$107:$X$192,MATCH($E165&amp;$F165,'HIV-Pharmaceuticals'!$E$107:$E$192&amp;'HIV-Pharmaceuticals'!$I$107:$I$192,0)),0)</f>
        <v>0</v>
      </c>
      <c r="AK165" s="651">
        <f t="shared" si="90"/>
        <v>0</v>
      </c>
      <c r="AL165" s="652">
        <f t="shared" si="91"/>
        <v>0</v>
      </c>
      <c r="AM165" s="652">
        <f t="shared" si="92"/>
        <v>0</v>
      </c>
      <c r="AN165" s="651">
        <f t="array" ref="AN165">IFERROR(INDEX('HIV-Pharmaceuticals'!$Y$107:$Y$192,MATCH($E165&amp;$F165,'HIV-Pharmaceuticals'!$E$107:$E$192&amp;'HIV-Pharmaceuticals'!$I$107:$I$192,0)),0)</f>
        <v>0</v>
      </c>
      <c r="AO165" s="651">
        <f t="shared" si="93"/>
        <v>0</v>
      </c>
      <c r="AP165" s="652">
        <f t="shared" si="94"/>
        <v>0</v>
      </c>
      <c r="AQ165" s="652">
        <f t="shared" si="95"/>
        <v>0</v>
      </c>
      <c r="AR165" s="653"/>
      <c r="AS165" s="651">
        <f t="array" ref="AS165">IFERROR(INDEX('HIV-Pharmaceuticals'!$AB$107:$AB$192,MATCH($E165&amp;$F165,'HIV-Pharmaceuticals'!$E$107:$E$192&amp;'HIV-Pharmaceuticals'!$I$107:$I$192,0)),0)</f>
        <v>0</v>
      </c>
      <c r="AT165" s="651">
        <f t="array" ref="AT165">IFERROR(INDEX('HIV-Pharmaceuticals'!$AC$107:$AC$192,MATCH($E165&amp;$F165,'HIV-Pharmaceuticals'!$E$107:$E$192&amp;'HIV-Pharmaceuticals'!$I$107:$I$192,0)),0)</f>
        <v>0</v>
      </c>
      <c r="AU165" s="651">
        <f t="shared" si="96"/>
        <v>0</v>
      </c>
      <c r="AV165" s="652">
        <f t="shared" si="97"/>
        <v>0</v>
      </c>
      <c r="AW165" s="652">
        <f t="shared" si="98"/>
        <v>0</v>
      </c>
      <c r="AX165" s="651">
        <f t="array" ref="AX165">IFERROR(INDEX('HIV-Pharmaceuticals'!$AD$107:$AD$192,MATCH($E165&amp;$F165,'HIV-Pharmaceuticals'!$E$107:$E$192&amp;'HIV-Pharmaceuticals'!$I$107:$I$192,0)),0)</f>
        <v>0</v>
      </c>
      <c r="AY165" s="651">
        <f t="shared" si="99"/>
        <v>0</v>
      </c>
      <c r="AZ165" s="652">
        <f t="shared" si="100"/>
        <v>0</v>
      </c>
      <c r="BA165" s="652">
        <f t="shared" si="101"/>
        <v>0</v>
      </c>
      <c r="BB165" s="651">
        <f t="array" ref="BB165">IFERROR(INDEX('HIV-Pharmaceuticals'!$AE$107:$AE$192,MATCH($E165&amp;$F165,'HIV-Pharmaceuticals'!$E$107:$E$192&amp;'HIV-Pharmaceuticals'!$I$107:$I$192,0)),0)</f>
        <v>0</v>
      </c>
      <c r="BC165" s="651">
        <f t="shared" si="102"/>
        <v>0</v>
      </c>
      <c r="BD165" s="652">
        <f t="shared" si="103"/>
        <v>0</v>
      </c>
      <c r="BE165" s="652">
        <f t="shared" si="104"/>
        <v>0</v>
      </c>
      <c r="BF165" s="651">
        <f t="array" ref="BF165">IFERROR(INDEX('HIV-Pharmaceuticals'!$AF$107:$AF$192,MATCH($E165&amp;$F165,'HIV-Pharmaceuticals'!$E$107:$E$192&amp;'HIV-Pharmaceuticals'!$I$107:$I$192,0)),0)</f>
        <v>0</v>
      </c>
      <c r="BG165" s="651">
        <f t="shared" si="105"/>
        <v>0</v>
      </c>
      <c r="BH165" s="652">
        <f t="shared" si="106"/>
        <v>0</v>
      </c>
      <c r="BI165" s="652">
        <f t="shared" si="107"/>
        <v>0</v>
      </c>
      <c r="BK165" s="654"/>
      <c r="BL165" s="654"/>
      <c r="BM165" s="654"/>
      <c r="BN165" s="654"/>
      <c r="BO165" s="654"/>
      <c r="BP165" s="654"/>
      <c r="BQ165" s="654"/>
      <c r="BR165" s="654"/>
    </row>
    <row r="166" spans="1:70">
      <c r="A166" s="647" t="s">
        <v>1317</v>
      </c>
      <c r="B166" s="647" t="s">
        <v>2282</v>
      </c>
      <c r="C166" s="648">
        <f>SETUP!$F$22</f>
        <v>0</v>
      </c>
      <c r="D166" s="649">
        <v>4.7</v>
      </c>
      <c r="E166" s="647" t="s">
        <v>1428</v>
      </c>
      <c r="F166" s="647" t="s">
        <v>1429</v>
      </c>
      <c r="G166" s="650" t="str">
        <f t="array" ref="G166">IFERROR(INDEX('HIV-Pharmaceuticals'!$L$107:$L$192,MATCH($E166&amp;$F166,'HIV-Pharmaceuticals'!$E$107:$E$192&amp;'HIV-Pharmaceuticals'!$I$107:$I$192,0)),"")</f>
        <v/>
      </c>
      <c r="H166" s="650" t="str">
        <f t="array" ref="H166">IFERROR(INDEX('HIV-Pharmaceuticals'!$M$107:$M$192,MATCH($E166&amp;$F166,'HIV-Pharmaceuticals'!$E$107:$E$192&amp;'HIV-Pharmaceuticals'!$I$107:$I$192,0)),"")</f>
        <v/>
      </c>
      <c r="I166" s="651">
        <f t="array" ref="I166">IFERROR(INDEX('HIV-Pharmaceuticals'!$N$107:$N$192,MATCH($E166&amp;$F166,'HIV-Pharmaceuticals'!$E$107:$E$192&amp;'HIV-Pharmaceuticals'!$I$107:$I$192,0)),0)</f>
        <v>0</v>
      </c>
      <c r="J166" s="651">
        <f t="array" ref="J166">IFERROR(INDEX('HIV-Pharmaceuticals'!$O$107:$O$192,MATCH($E166&amp;$F166,'HIV-Pharmaceuticals'!$E$107:$E$192&amp;'HIV-Pharmaceuticals'!$I$107:$I$192,0)),0)</f>
        <v>0</v>
      </c>
      <c r="K166" s="652">
        <f t="shared" si="72"/>
        <v>0</v>
      </c>
      <c r="L166" s="652">
        <f t="shared" si="73"/>
        <v>0</v>
      </c>
      <c r="M166" s="652">
        <f t="shared" si="74"/>
        <v>0</v>
      </c>
      <c r="N166" s="651">
        <f t="array" ref="N166">IFERROR(INDEX('HIV-Pharmaceuticals'!$P$107:$P$192,MATCH($E166&amp;$F166,'HIV-Pharmaceuticals'!$E$107:$E$192&amp;'HIV-Pharmaceuticals'!$I$107:$I$192,0)),0)</f>
        <v>0</v>
      </c>
      <c r="O166" s="652">
        <f t="shared" si="75"/>
        <v>0</v>
      </c>
      <c r="P166" s="652">
        <f t="shared" si="76"/>
        <v>0</v>
      </c>
      <c r="Q166" s="652">
        <f t="shared" si="77"/>
        <v>0</v>
      </c>
      <c r="R166" s="651">
        <f t="array" ref="R166">IFERROR(INDEX('HIV-Pharmaceuticals'!$Q$107:$Q$192,MATCH($E166&amp;$F166,'HIV-Pharmaceuticals'!$E$107:$E$192&amp;'HIV-Pharmaceuticals'!$I$107:$I$192,0)),0)</f>
        <v>0</v>
      </c>
      <c r="S166" s="652">
        <f t="shared" si="78"/>
        <v>0</v>
      </c>
      <c r="T166" s="652">
        <f t="shared" si="79"/>
        <v>0</v>
      </c>
      <c r="U166" s="652">
        <f t="shared" si="80"/>
        <v>0</v>
      </c>
      <c r="V166" s="651">
        <f t="array" ref="V166">IFERROR(INDEX('HIV-Pharmaceuticals'!$R$107:$R$192,MATCH($E166&amp;$F166,'HIV-Pharmaceuticals'!$E$107:$E$192&amp;'HIV-Pharmaceuticals'!$I$107:$I$192,0)),0)</f>
        <v>0</v>
      </c>
      <c r="W166" s="652">
        <f t="shared" si="81"/>
        <v>0</v>
      </c>
      <c r="X166" s="652">
        <f t="shared" si="82"/>
        <v>0</v>
      </c>
      <c r="Y166" s="652">
        <f t="shared" si="83"/>
        <v>0</v>
      </c>
      <c r="Z166" s="653"/>
      <c r="AA166" s="651">
        <f t="array" ref="AA166">IFERROR(INDEX('HIV-Pharmaceuticals'!$U$107:$U$192,MATCH($E166&amp;$F166,'HIV-Pharmaceuticals'!$E$107:$E$192&amp;'HIV-Pharmaceuticals'!$I$107:$I$192,0)),0)</f>
        <v>0</v>
      </c>
      <c r="AB166" s="651">
        <f t="array" ref="AB166">IFERROR(INDEX('HIV-Pharmaceuticals'!$V$107:$V$192,MATCH($E166&amp;$F166,'HIV-Pharmaceuticals'!$E$107:$E$192&amp;'HIV-Pharmaceuticals'!$I$107:$I$192,0)),0)</f>
        <v>0</v>
      </c>
      <c r="AC166" s="651">
        <f t="shared" si="84"/>
        <v>0</v>
      </c>
      <c r="AD166" s="652">
        <f t="shared" si="85"/>
        <v>0</v>
      </c>
      <c r="AE166" s="652">
        <f t="shared" si="86"/>
        <v>0</v>
      </c>
      <c r="AF166" s="651">
        <f t="array" ref="AF166">IFERROR(INDEX('HIV-Pharmaceuticals'!$W$107:$W$192,MATCH($E166&amp;$F166,'HIV-Pharmaceuticals'!$E$107:$E$192&amp;'HIV-Pharmaceuticals'!$I$107:$I$192,0)),0)</f>
        <v>0</v>
      </c>
      <c r="AG166" s="651">
        <f t="shared" si="87"/>
        <v>0</v>
      </c>
      <c r="AH166" s="652">
        <f t="shared" si="88"/>
        <v>0</v>
      </c>
      <c r="AI166" s="652">
        <f t="shared" si="89"/>
        <v>0</v>
      </c>
      <c r="AJ166" s="651">
        <f t="array" ref="AJ166">IFERROR(INDEX('HIV-Pharmaceuticals'!$X$107:$X$192,MATCH($E166&amp;$F166,'HIV-Pharmaceuticals'!$E$107:$E$192&amp;'HIV-Pharmaceuticals'!$I$107:$I$192,0)),0)</f>
        <v>0</v>
      </c>
      <c r="AK166" s="651">
        <f t="shared" si="90"/>
        <v>0</v>
      </c>
      <c r="AL166" s="652">
        <f t="shared" si="91"/>
        <v>0</v>
      </c>
      <c r="AM166" s="652">
        <f t="shared" si="92"/>
        <v>0</v>
      </c>
      <c r="AN166" s="651">
        <f t="array" ref="AN166">IFERROR(INDEX('HIV-Pharmaceuticals'!$Y$107:$Y$192,MATCH($E166&amp;$F166,'HIV-Pharmaceuticals'!$E$107:$E$192&amp;'HIV-Pharmaceuticals'!$I$107:$I$192,0)),0)</f>
        <v>0</v>
      </c>
      <c r="AO166" s="651">
        <f t="shared" si="93"/>
        <v>0</v>
      </c>
      <c r="AP166" s="652">
        <f t="shared" si="94"/>
        <v>0</v>
      </c>
      <c r="AQ166" s="652">
        <f t="shared" si="95"/>
        <v>0</v>
      </c>
      <c r="AR166" s="653"/>
      <c r="AS166" s="651">
        <f t="array" ref="AS166">IFERROR(INDEX('HIV-Pharmaceuticals'!$AB$107:$AB$192,MATCH($E166&amp;$F166,'HIV-Pharmaceuticals'!$E$107:$E$192&amp;'HIV-Pharmaceuticals'!$I$107:$I$192,0)),0)</f>
        <v>0</v>
      </c>
      <c r="AT166" s="651">
        <f t="array" ref="AT166">IFERROR(INDEX('HIV-Pharmaceuticals'!$AC$107:$AC$192,MATCH($E166&amp;$F166,'HIV-Pharmaceuticals'!$E$107:$E$192&amp;'HIV-Pharmaceuticals'!$I$107:$I$192,0)),0)</f>
        <v>0</v>
      </c>
      <c r="AU166" s="651">
        <f t="shared" si="96"/>
        <v>0</v>
      </c>
      <c r="AV166" s="652">
        <f t="shared" si="97"/>
        <v>0</v>
      </c>
      <c r="AW166" s="652">
        <f t="shared" si="98"/>
        <v>0</v>
      </c>
      <c r="AX166" s="651">
        <f t="array" ref="AX166">IFERROR(INDEX('HIV-Pharmaceuticals'!$AD$107:$AD$192,MATCH($E166&amp;$F166,'HIV-Pharmaceuticals'!$E$107:$E$192&amp;'HIV-Pharmaceuticals'!$I$107:$I$192,0)),0)</f>
        <v>0</v>
      </c>
      <c r="AY166" s="651">
        <f t="shared" si="99"/>
        <v>0</v>
      </c>
      <c r="AZ166" s="652">
        <f t="shared" si="100"/>
        <v>0</v>
      </c>
      <c r="BA166" s="652">
        <f t="shared" si="101"/>
        <v>0</v>
      </c>
      <c r="BB166" s="651">
        <f t="array" ref="BB166">IFERROR(INDEX('HIV-Pharmaceuticals'!$AE$107:$AE$192,MATCH($E166&amp;$F166,'HIV-Pharmaceuticals'!$E$107:$E$192&amp;'HIV-Pharmaceuticals'!$I$107:$I$192,0)),0)</f>
        <v>0</v>
      </c>
      <c r="BC166" s="651">
        <f t="shared" si="102"/>
        <v>0</v>
      </c>
      <c r="BD166" s="652">
        <f t="shared" si="103"/>
        <v>0</v>
      </c>
      <c r="BE166" s="652">
        <f t="shared" si="104"/>
        <v>0</v>
      </c>
      <c r="BF166" s="651">
        <f t="array" ref="BF166">IFERROR(INDEX('HIV-Pharmaceuticals'!$AF$107:$AF$192,MATCH($E166&amp;$F166,'HIV-Pharmaceuticals'!$E$107:$E$192&amp;'HIV-Pharmaceuticals'!$I$107:$I$192,0)),0)</f>
        <v>0</v>
      </c>
      <c r="BG166" s="651">
        <f t="shared" si="105"/>
        <v>0</v>
      </c>
      <c r="BH166" s="652">
        <f t="shared" si="106"/>
        <v>0</v>
      </c>
      <c r="BI166" s="652">
        <f t="shared" si="107"/>
        <v>0</v>
      </c>
      <c r="BK166" s="654"/>
      <c r="BL166" s="654"/>
      <c r="BM166" s="654"/>
      <c r="BN166" s="654"/>
      <c r="BO166" s="654"/>
      <c r="BP166" s="654"/>
      <c r="BQ166" s="654"/>
      <c r="BR166" s="654"/>
    </row>
    <row r="167" spans="1:70">
      <c r="A167" s="647" t="s">
        <v>1317</v>
      </c>
      <c r="B167" s="647" t="s">
        <v>2282</v>
      </c>
      <c r="C167" s="648">
        <f>SETUP!$F$22</f>
        <v>0</v>
      </c>
      <c r="D167" s="649">
        <v>4.7</v>
      </c>
      <c r="E167" s="647" t="s">
        <v>1369</v>
      </c>
      <c r="F167" s="647" t="s">
        <v>1430</v>
      </c>
      <c r="G167" s="650" t="str">
        <f t="array" ref="G167">IFERROR(INDEX('HIV-Pharmaceuticals'!$L$107:$L$192,MATCH($E167&amp;$F167,'HIV-Pharmaceuticals'!$E$107:$E$192&amp;'HIV-Pharmaceuticals'!$I$107:$I$192,0)),"")</f>
        <v/>
      </c>
      <c r="H167" s="650" t="str">
        <f t="array" ref="H167">IFERROR(INDEX('HIV-Pharmaceuticals'!$M$107:$M$192,MATCH($E167&amp;$F167,'HIV-Pharmaceuticals'!$E$107:$E$192&amp;'HIV-Pharmaceuticals'!$I$107:$I$192,0)),"")</f>
        <v/>
      </c>
      <c r="I167" s="651">
        <f t="array" ref="I167">IFERROR(INDEX('HIV-Pharmaceuticals'!$N$107:$N$192,MATCH($E167&amp;$F167,'HIV-Pharmaceuticals'!$E$107:$E$192&amp;'HIV-Pharmaceuticals'!$I$107:$I$192,0)),0)</f>
        <v>0</v>
      </c>
      <c r="J167" s="651">
        <f t="array" ref="J167">IFERROR(INDEX('HIV-Pharmaceuticals'!$O$107:$O$192,MATCH($E167&amp;$F167,'HIV-Pharmaceuticals'!$E$107:$E$192&amp;'HIV-Pharmaceuticals'!$I$107:$I$192,0)),0)</f>
        <v>0</v>
      </c>
      <c r="K167" s="652">
        <f t="shared" si="72"/>
        <v>0</v>
      </c>
      <c r="L167" s="652">
        <f t="shared" si="73"/>
        <v>0</v>
      </c>
      <c r="M167" s="652">
        <f t="shared" si="74"/>
        <v>0</v>
      </c>
      <c r="N167" s="651">
        <f t="array" ref="N167">IFERROR(INDEX('HIV-Pharmaceuticals'!$P$107:$P$192,MATCH($E167&amp;$F167,'HIV-Pharmaceuticals'!$E$107:$E$192&amp;'HIV-Pharmaceuticals'!$I$107:$I$192,0)),0)</f>
        <v>0</v>
      </c>
      <c r="O167" s="652">
        <f t="shared" si="75"/>
        <v>0</v>
      </c>
      <c r="P167" s="652">
        <f t="shared" si="76"/>
        <v>0</v>
      </c>
      <c r="Q167" s="652">
        <f t="shared" si="77"/>
        <v>0</v>
      </c>
      <c r="R167" s="651">
        <f t="array" ref="R167">IFERROR(INDEX('HIV-Pharmaceuticals'!$Q$107:$Q$192,MATCH($E167&amp;$F167,'HIV-Pharmaceuticals'!$E$107:$E$192&amp;'HIV-Pharmaceuticals'!$I$107:$I$192,0)),0)</f>
        <v>0</v>
      </c>
      <c r="S167" s="652">
        <f t="shared" si="78"/>
        <v>0</v>
      </c>
      <c r="T167" s="652">
        <f t="shared" si="79"/>
        <v>0</v>
      </c>
      <c r="U167" s="652">
        <f t="shared" si="80"/>
        <v>0</v>
      </c>
      <c r="V167" s="651">
        <f t="array" ref="V167">IFERROR(INDEX('HIV-Pharmaceuticals'!$R$107:$R$192,MATCH($E167&amp;$F167,'HIV-Pharmaceuticals'!$E$107:$E$192&amp;'HIV-Pharmaceuticals'!$I$107:$I$192,0)),0)</f>
        <v>0</v>
      </c>
      <c r="W167" s="652">
        <f t="shared" si="81"/>
        <v>0</v>
      </c>
      <c r="X167" s="652">
        <f t="shared" si="82"/>
        <v>0</v>
      </c>
      <c r="Y167" s="652">
        <f t="shared" si="83"/>
        <v>0</v>
      </c>
      <c r="Z167" s="653"/>
      <c r="AA167" s="651">
        <f t="array" ref="AA167">IFERROR(INDEX('HIV-Pharmaceuticals'!$U$107:$U$192,MATCH($E167&amp;$F167,'HIV-Pharmaceuticals'!$E$107:$E$192&amp;'HIV-Pharmaceuticals'!$I$107:$I$192,0)),0)</f>
        <v>0</v>
      </c>
      <c r="AB167" s="651">
        <f t="array" ref="AB167">IFERROR(INDEX('HIV-Pharmaceuticals'!$V$107:$V$192,MATCH($E167&amp;$F167,'HIV-Pharmaceuticals'!$E$107:$E$192&amp;'HIV-Pharmaceuticals'!$I$107:$I$192,0)),0)</f>
        <v>0</v>
      </c>
      <c r="AC167" s="651">
        <f t="shared" si="84"/>
        <v>0</v>
      </c>
      <c r="AD167" s="652">
        <f t="shared" si="85"/>
        <v>0</v>
      </c>
      <c r="AE167" s="652">
        <f t="shared" si="86"/>
        <v>0</v>
      </c>
      <c r="AF167" s="651">
        <f t="array" ref="AF167">IFERROR(INDEX('HIV-Pharmaceuticals'!$W$107:$W$192,MATCH($E167&amp;$F167,'HIV-Pharmaceuticals'!$E$107:$E$192&amp;'HIV-Pharmaceuticals'!$I$107:$I$192,0)),0)</f>
        <v>0</v>
      </c>
      <c r="AG167" s="651">
        <f t="shared" si="87"/>
        <v>0</v>
      </c>
      <c r="AH167" s="652">
        <f t="shared" si="88"/>
        <v>0</v>
      </c>
      <c r="AI167" s="652">
        <f t="shared" si="89"/>
        <v>0</v>
      </c>
      <c r="AJ167" s="651">
        <f t="array" ref="AJ167">IFERROR(INDEX('HIV-Pharmaceuticals'!$X$107:$X$192,MATCH($E167&amp;$F167,'HIV-Pharmaceuticals'!$E$107:$E$192&amp;'HIV-Pharmaceuticals'!$I$107:$I$192,0)),0)</f>
        <v>0</v>
      </c>
      <c r="AK167" s="651">
        <f t="shared" si="90"/>
        <v>0</v>
      </c>
      <c r="AL167" s="652">
        <f t="shared" si="91"/>
        <v>0</v>
      </c>
      <c r="AM167" s="652">
        <f t="shared" si="92"/>
        <v>0</v>
      </c>
      <c r="AN167" s="651">
        <f t="array" ref="AN167">IFERROR(INDEX('HIV-Pharmaceuticals'!$Y$107:$Y$192,MATCH($E167&amp;$F167,'HIV-Pharmaceuticals'!$E$107:$E$192&amp;'HIV-Pharmaceuticals'!$I$107:$I$192,0)),0)</f>
        <v>0</v>
      </c>
      <c r="AO167" s="651">
        <f t="shared" si="93"/>
        <v>0</v>
      </c>
      <c r="AP167" s="652">
        <f t="shared" si="94"/>
        <v>0</v>
      </c>
      <c r="AQ167" s="652">
        <f t="shared" si="95"/>
        <v>0</v>
      </c>
      <c r="AR167" s="653"/>
      <c r="AS167" s="651">
        <f t="array" ref="AS167">IFERROR(INDEX('HIV-Pharmaceuticals'!$AB$107:$AB$192,MATCH($E167&amp;$F167,'HIV-Pharmaceuticals'!$E$107:$E$192&amp;'HIV-Pharmaceuticals'!$I$107:$I$192,0)),0)</f>
        <v>0</v>
      </c>
      <c r="AT167" s="651">
        <f t="array" ref="AT167">IFERROR(INDEX('HIV-Pharmaceuticals'!$AC$107:$AC$192,MATCH($E167&amp;$F167,'HIV-Pharmaceuticals'!$E$107:$E$192&amp;'HIV-Pharmaceuticals'!$I$107:$I$192,0)),0)</f>
        <v>0</v>
      </c>
      <c r="AU167" s="651">
        <f t="shared" si="96"/>
        <v>0</v>
      </c>
      <c r="AV167" s="652">
        <f t="shared" si="97"/>
        <v>0</v>
      </c>
      <c r="AW167" s="652">
        <f t="shared" si="98"/>
        <v>0</v>
      </c>
      <c r="AX167" s="651">
        <f t="array" ref="AX167">IFERROR(INDEX('HIV-Pharmaceuticals'!$AD$107:$AD$192,MATCH($E167&amp;$F167,'HIV-Pharmaceuticals'!$E$107:$E$192&amp;'HIV-Pharmaceuticals'!$I$107:$I$192,0)),0)</f>
        <v>0</v>
      </c>
      <c r="AY167" s="651">
        <f t="shared" si="99"/>
        <v>0</v>
      </c>
      <c r="AZ167" s="652">
        <f t="shared" si="100"/>
        <v>0</v>
      </c>
      <c r="BA167" s="652">
        <f t="shared" si="101"/>
        <v>0</v>
      </c>
      <c r="BB167" s="651">
        <f t="array" ref="BB167">IFERROR(INDEX('HIV-Pharmaceuticals'!$AE$107:$AE$192,MATCH($E167&amp;$F167,'HIV-Pharmaceuticals'!$E$107:$E$192&amp;'HIV-Pharmaceuticals'!$I$107:$I$192,0)),0)</f>
        <v>0</v>
      </c>
      <c r="BC167" s="651">
        <f t="shared" si="102"/>
        <v>0</v>
      </c>
      <c r="BD167" s="652">
        <f t="shared" si="103"/>
        <v>0</v>
      </c>
      <c r="BE167" s="652">
        <f t="shared" si="104"/>
        <v>0</v>
      </c>
      <c r="BF167" s="651">
        <f t="array" ref="BF167">IFERROR(INDEX('HIV-Pharmaceuticals'!$AF$107:$AF$192,MATCH($E167&amp;$F167,'HIV-Pharmaceuticals'!$E$107:$E$192&amp;'HIV-Pharmaceuticals'!$I$107:$I$192,0)),0)</f>
        <v>0</v>
      </c>
      <c r="BG167" s="651">
        <f t="shared" si="105"/>
        <v>0</v>
      </c>
      <c r="BH167" s="652">
        <f t="shared" si="106"/>
        <v>0</v>
      </c>
      <c r="BI167" s="652">
        <f t="shared" si="107"/>
        <v>0</v>
      </c>
      <c r="BK167" s="654"/>
      <c r="BL167" s="654"/>
      <c r="BM167" s="654"/>
      <c r="BN167" s="654"/>
      <c r="BO167" s="654"/>
      <c r="BP167" s="654"/>
      <c r="BQ167" s="654"/>
      <c r="BR167" s="654"/>
    </row>
    <row r="168" spans="1:70">
      <c r="A168" s="647" t="s">
        <v>1317</v>
      </c>
      <c r="B168" s="647" t="s">
        <v>2282</v>
      </c>
      <c r="C168" s="648">
        <f>SETUP!$F$22</f>
        <v>0</v>
      </c>
      <c r="D168" s="649">
        <v>4.7</v>
      </c>
      <c r="E168" s="647" t="s">
        <v>1369</v>
      </c>
      <c r="F168" s="647" t="s">
        <v>1431</v>
      </c>
      <c r="G168" s="650" t="str">
        <f t="array" ref="G168">IFERROR(INDEX('HIV-Pharmaceuticals'!$L$107:$L$192,MATCH($E168&amp;$F168,'HIV-Pharmaceuticals'!$E$107:$E$192&amp;'HIV-Pharmaceuticals'!$I$107:$I$192,0)),"")</f>
        <v/>
      </c>
      <c r="H168" s="650" t="str">
        <f t="array" ref="H168">IFERROR(INDEX('HIV-Pharmaceuticals'!$M$107:$M$192,MATCH($E168&amp;$F168,'HIV-Pharmaceuticals'!$E$107:$E$192&amp;'HIV-Pharmaceuticals'!$I$107:$I$192,0)),"")</f>
        <v/>
      </c>
      <c r="I168" s="651">
        <f t="array" ref="I168">IFERROR(INDEX('HIV-Pharmaceuticals'!$N$107:$N$192,MATCH($E168&amp;$F168,'HIV-Pharmaceuticals'!$E$107:$E$192&amp;'HIV-Pharmaceuticals'!$I$107:$I$192,0)),0)</f>
        <v>0</v>
      </c>
      <c r="J168" s="651">
        <f t="array" ref="J168">IFERROR(INDEX('HIV-Pharmaceuticals'!$O$107:$O$192,MATCH($E168&amp;$F168,'HIV-Pharmaceuticals'!$E$107:$E$192&amp;'HIV-Pharmaceuticals'!$I$107:$I$192,0)),0)</f>
        <v>0</v>
      </c>
      <c r="K168" s="652">
        <f t="shared" si="72"/>
        <v>0</v>
      </c>
      <c r="L168" s="652">
        <f t="shared" si="73"/>
        <v>0</v>
      </c>
      <c r="M168" s="652">
        <f t="shared" si="74"/>
        <v>0</v>
      </c>
      <c r="N168" s="651">
        <f t="array" ref="N168">IFERROR(INDEX('HIV-Pharmaceuticals'!$P$107:$P$192,MATCH($E168&amp;$F168,'HIV-Pharmaceuticals'!$E$107:$E$192&amp;'HIV-Pharmaceuticals'!$I$107:$I$192,0)),0)</f>
        <v>0</v>
      </c>
      <c r="O168" s="652">
        <f t="shared" si="75"/>
        <v>0</v>
      </c>
      <c r="P168" s="652">
        <f t="shared" si="76"/>
        <v>0</v>
      </c>
      <c r="Q168" s="652">
        <f t="shared" si="77"/>
        <v>0</v>
      </c>
      <c r="R168" s="651">
        <f t="array" ref="R168">IFERROR(INDEX('HIV-Pharmaceuticals'!$Q$107:$Q$192,MATCH($E168&amp;$F168,'HIV-Pharmaceuticals'!$E$107:$E$192&amp;'HIV-Pharmaceuticals'!$I$107:$I$192,0)),0)</f>
        <v>0</v>
      </c>
      <c r="S168" s="652">
        <f t="shared" si="78"/>
        <v>0</v>
      </c>
      <c r="T168" s="652">
        <f t="shared" si="79"/>
        <v>0</v>
      </c>
      <c r="U168" s="652">
        <f t="shared" si="80"/>
        <v>0</v>
      </c>
      <c r="V168" s="651">
        <f t="array" ref="V168">IFERROR(INDEX('HIV-Pharmaceuticals'!$R$107:$R$192,MATCH($E168&amp;$F168,'HIV-Pharmaceuticals'!$E$107:$E$192&amp;'HIV-Pharmaceuticals'!$I$107:$I$192,0)),0)</f>
        <v>0</v>
      </c>
      <c r="W168" s="652">
        <f t="shared" si="81"/>
        <v>0</v>
      </c>
      <c r="X168" s="652">
        <f t="shared" si="82"/>
        <v>0</v>
      </c>
      <c r="Y168" s="652">
        <f t="shared" si="83"/>
        <v>0</v>
      </c>
      <c r="Z168" s="653"/>
      <c r="AA168" s="651">
        <f t="array" ref="AA168">IFERROR(INDEX('HIV-Pharmaceuticals'!$U$107:$U$192,MATCH($E168&amp;$F168,'HIV-Pharmaceuticals'!$E$107:$E$192&amp;'HIV-Pharmaceuticals'!$I$107:$I$192,0)),0)</f>
        <v>0</v>
      </c>
      <c r="AB168" s="651">
        <f t="array" ref="AB168">IFERROR(INDEX('HIV-Pharmaceuticals'!$V$107:$V$192,MATCH($E168&amp;$F168,'HIV-Pharmaceuticals'!$E$107:$E$192&amp;'HIV-Pharmaceuticals'!$I$107:$I$192,0)),0)</f>
        <v>0</v>
      </c>
      <c r="AC168" s="651">
        <f t="shared" si="84"/>
        <v>0</v>
      </c>
      <c r="AD168" s="652">
        <f t="shared" si="85"/>
        <v>0</v>
      </c>
      <c r="AE168" s="652">
        <f t="shared" si="86"/>
        <v>0</v>
      </c>
      <c r="AF168" s="651">
        <f t="array" ref="AF168">IFERROR(INDEX('HIV-Pharmaceuticals'!$W$107:$W$192,MATCH($E168&amp;$F168,'HIV-Pharmaceuticals'!$E$107:$E$192&amp;'HIV-Pharmaceuticals'!$I$107:$I$192,0)),0)</f>
        <v>0</v>
      </c>
      <c r="AG168" s="651">
        <f t="shared" si="87"/>
        <v>0</v>
      </c>
      <c r="AH168" s="652">
        <f t="shared" si="88"/>
        <v>0</v>
      </c>
      <c r="AI168" s="652">
        <f t="shared" si="89"/>
        <v>0</v>
      </c>
      <c r="AJ168" s="651">
        <f t="array" ref="AJ168">IFERROR(INDEX('HIV-Pharmaceuticals'!$X$107:$X$192,MATCH($E168&amp;$F168,'HIV-Pharmaceuticals'!$E$107:$E$192&amp;'HIV-Pharmaceuticals'!$I$107:$I$192,0)),0)</f>
        <v>0</v>
      </c>
      <c r="AK168" s="651">
        <f t="shared" si="90"/>
        <v>0</v>
      </c>
      <c r="AL168" s="652">
        <f t="shared" si="91"/>
        <v>0</v>
      </c>
      <c r="AM168" s="652">
        <f t="shared" si="92"/>
        <v>0</v>
      </c>
      <c r="AN168" s="651">
        <f t="array" ref="AN168">IFERROR(INDEX('HIV-Pharmaceuticals'!$Y$107:$Y$192,MATCH($E168&amp;$F168,'HIV-Pharmaceuticals'!$E$107:$E$192&amp;'HIV-Pharmaceuticals'!$I$107:$I$192,0)),0)</f>
        <v>0</v>
      </c>
      <c r="AO168" s="651">
        <f t="shared" si="93"/>
        <v>0</v>
      </c>
      <c r="AP168" s="652">
        <f t="shared" si="94"/>
        <v>0</v>
      </c>
      <c r="AQ168" s="652">
        <f t="shared" si="95"/>
        <v>0</v>
      </c>
      <c r="AR168" s="653"/>
      <c r="AS168" s="651">
        <f t="array" ref="AS168">IFERROR(INDEX('HIV-Pharmaceuticals'!$AB$107:$AB$192,MATCH($E168&amp;$F168,'HIV-Pharmaceuticals'!$E$107:$E$192&amp;'HIV-Pharmaceuticals'!$I$107:$I$192,0)),0)</f>
        <v>0</v>
      </c>
      <c r="AT168" s="651">
        <f t="array" ref="AT168">IFERROR(INDEX('HIV-Pharmaceuticals'!$AC$107:$AC$192,MATCH($E168&amp;$F168,'HIV-Pharmaceuticals'!$E$107:$E$192&amp;'HIV-Pharmaceuticals'!$I$107:$I$192,0)),0)</f>
        <v>0</v>
      </c>
      <c r="AU168" s="651">
        <f t="shared" si="96"/>
        <v>0</v>
      </c>
      <c r="AV168" s="652">
        <f t="shared" si="97"/>
        <v>0</v>
      </c>
      <c r="AW168" s="652">
        <f t="shared" si="98"/>
        <v>0</v>
      </c>
      <c r="AX168" s="651">
        <f t="array" ref="AX168">IFERROR(INDEX('HIV-Pharmaceuticals'!$AD$107:$AD$192,MATCH($E168&amp;$F168,'HIV-Pharmaceuticals'!$E$107:$E$192&amp;'HIV-Pharmaceuticals'!$I$107:$I$192,0)),0)</f>
        <v>0</v>
      </c>
      <c r="AY168" s="651">
        <f t="shared" si="99"/>
        <v>0</v>
      </c>
      <c r="AZ168" s="652">
        <f t="shared" si="100"/>
        <v>0</v>
      </c>
      <c r="BA168" s="652">
        <f t="shared" si="101"/>
        <v>0</v>
      </c>
      <c r="BB168" s="651">
        <f t="array" ref="BB168">IFERROR(INDEX('HIV-Pharmaceuticals'!$AE$107:$AE$192,MATCH($E168&amp;$F168,'HIV-Pharmaceuticals'!$E$107:$E$192&amp;'HIV-Pharmaceuticals'!$I$107:$I$192,0)),0)</f>
        <v>0</v>
      </c>
      <c r="BC168" s="651">
        <f t="shared" si="102"/>
        <v>0</v>
      </c>
      <c r="BD168" s="652">
        <f t="shared" si="103"/>
        <v>0</v>
      </c>
      <c r="BE168" s="652">
        <f t="shared" si="104"/>
        <v>0</v>
      </c>
      <c r="BF168" s="651">
        <f t="array" ref="BF168">IFERROR(INDEX('HIV-Pharmaceuticals'!$AF$107:$AF$192,MATCH($E168&amp;$F168,'HIV-Pharmaceuticals'!$E$107:$E$192&amp;'HIV-Pharmaceuticals'!$I$107:$I$192,0)),0)</f>
        <v>0</v>
      </c>
      <c r="BG168" s="651">
        <f t="shared" si="105"/>
        <v>0</v>
      </c>
      <c r="BH168" s="652">
        <f t="shared" si="106"/>
        <v>0</v>
      </c>
      <c r="BI168" s="652">
        <f t="shared" si="107"/>
        <v>0</v>
      </c>
      <c r="BK168" s="654"/>
      <c r="BL168" s="654"/>
      <c r="BM168" s="654"/>
      <c r="BN168" s="654"/>
      <c r="BO168" s="654"/>
      <c r="BP168" s="654"/>
      <c r="BQ168" s="654"/>
      <c r="BR168" s="654"/>
    </row>
    <row r="169" spans="1:70">
      <c r="A169" s="647" t="s">
        <v>1317</v>
      </c>
      <c r="B169" s="647" t="s">
        <v>2282</v>
      </c>
      <c r="C169" s="648">
        <f>SETUP!$F$22</f>
        <v>0</v>
      </c>
      <c r="D169" s="649">
        <v>4.7</v>
      </c>
      <c r="E169" s="647" t="s">
        <v>1432</v>
      </c>
      <c r="F169" s="647" t="s">
        <v>1433</v>
      </c>
      <c r="G169" s="650" t="str">
        <f t="array" ref="G169">IFERROR(INDEX('HIV-Pharmaceuticals'!$L$107:$L$192,MATCH($E169&amp;$F169,'HIV-Pharmaceuticals'!$E$107:$E$192&amp;'HIV-Pharmaceuticals'!$I$107:$I$192,0)),"")</f>
        <v/>
      </c>
      <c r="H169" s="650" t="str">
        <f t="array" ref="H169">IFERROR(INDEX('HIV-Pharmaceuticals'!$M$107:$M$192,MATCH($E169&amp;$F169,'HIV-Pharmaceuticals'!$E$107:$E$192&amp;'HIV-Pharmaceuticals'!$I$107:$I$192,0)),"")</f>
        <v/>
      </c>
      <c r="I169" s="651">
        <f t="array" ref="I169">IFERROR(INDEX('HIV-Pharmaceuticals'!$N$107:$N$192,MATCH($E169&amp;$F169,'HIV-Pharmaceuticals'!$E$107:$E$192&amp;'HIV-Pharmaceuticals'!$I$107:$I$192,0)),0)</f>
        <v>0</v>
      </c>
      <c r="J169" s="651">
        <f t="array" ref="J169">IFERROR(INDEX('HIV-Pharmaceuticals'!$O$107:$O$192,MATCH($E169&amp;$F169,'HIV-Pharmaceuticals'!$E$107:$E$192&amp;'HIV-Pharmaceuticals'!$I$107:$I$192,0)),0)</f>
        <v>0</v>
      </c>
      <c r="K169" s="652">
        <f t="shared" si="72"/>
        <v>0</v>
      </c>
      <c r="L169" s="652">
        <f t="shared" si="73"/>
        <v>0</v>
      </c>
      <c r="M169" s="652">
        <f t="shared" si="74"/>
        <v>0</v>
      </c>
      <c r="N169" s="651">
        <f t="array" ref="N169">IFERROR(INDEX('HIV-Pharmaceuticals'!$P$107:$P$192,MATCH($E169&amp;$F169,'HIV-Pharmaceuticals'!$E$107:$E$192&amp;'HIV-Pharmaceuticals'!$I$107:$I$192,0)),0)</f>
        <v>0</v>
      </c>
      <c r="O169" s="652">
        <f t="shared" si="75"/>
        <v>0</v>
      </c>
      <c r="P169" s="652">
        <f t="shared" si="76"/>
        <v>0</v>
      </c>
      <c r="Q169" s="652">
        <f t="shared" si="77"/>
        <v>0</v>
      </c>
      <c r="R169" s="651">
        <f t="array" ref="R169">IFERROR(INDEX('HIV-Pharmaceuticals'!$Q$107:$Q$192,MATCH($E169&amp;$F169,'HIV-Pharmaceuticals'!$E$107:$E$192&amp;'HIV-Pharmaceuticals'!$I$107:$I$192,0)),0)</f>
        <v>0</v>
      </c>
      <c r="S169" s="652">
        <f t="shared" si="78"/>
        <v>0</v>
      </c>
      <c r="T169" s="652">
        <f t="shared" si="79"/>
        <v>0</v>
      </c>
      <c r="U169" s="652">
        <f t="shared" si="80"/>
        <v>0</v>
      </c>
      <c r="V169" s="651">
        <f t="array" ref="V169">IFERROR(INDEX('HIV-Pharmaceuticals'!$R$107:$R$192,MATCH($E169&amp;$F169,'HIV-Pharmaceuticals'!$E$107:$E$192&amp;'HIV-Pharmaceuticals'!$I$107:$I$192,0)),0)</f>
        <v>0</v>
      </c>
      <c r="W169" s="652">
        <f t="shared" si="81"/>
        <v>0</v>
      </c>
      <c r="X169" s="652">
        <f t="shared" si="82"/>
        <v>0</v>
      </c>
      <c r="Y169" s="652">
        <f t="shared" si="83"/>
        <v>0</v>
      </c>
      <c r="Z169" s="653"/>
      <c r="AA169" s="651">
        <f t="array" ref="AA169">IFERROR(INDEX('HIV-Pharmaceuticals'!$U$107:$U$192,MATCH($E169&amp;$F169,'HIV-Pharmaceuticals'!$E$107:$E$192&amp;'HIV-Pharmaceuticals'!$I$107:$I$192,0)),0)</f>
        <v>0</v>
      </c>
      <c r="AB169" s="651">
        <f t="array" ref="AB169">IFERROR(INDEX('HIV-Pharmaceuticals'!$V$107:$V$192,MATCH($E169&amp;$F169,'HIV-Pharmaceuticals'!$E$107:$E$192&amp;'HIV-Pharmaceuticals'!$I$107:$I$192,0)),0)</f>
        <v>0</v>
      </c>
      <c r="AC169" s="651">
        <f t="shared" si="84"/>
        <v>0</v>
      </c>
      <c r="AD169" s="652">
        <f t="shared" si="85"/>
        <v>0</v>
      </c>
      <c r="AE169" s="652">
        <f t="shared" si="86"/>
        <v>0</v>
      </c>
      <c r="AF169" s="651">
        <f t="array" ref="AF169">IFERROR(INDEX('HIV-Pharmaceuticals'!$W$107:$W$192,MATCH($E169&amp;$F169,'HIV-Pharmaceuticals'!$E$107:$E$192&amp;'HIV-Pharmaceuticals'!$I$107:$I$192,0)),0)</f>
        <v>0</v>
      </c>
      <c r="AG169" s="651">
        <f t="shared" si="87"/>
        <v>0</v>
      </c>
      <c r="AH169" s="652">
        <f t="shared" si="88"/>
        <v>0</v>
      </c>
      <c r="AI169" s="652">
        <f t="shared" si="89"/>
        <v>0</v>
      </c>
      <c r="AJ169" s="651">
        <f t="array" ref="AJ169">IFERROR(INDEX('HIV-Pharmaceuticals'!$X$107:$X$192,MATCH($E169&amp;$F169,'HIV-Pharmaceuticals'!$E$107:$E$192&amp;'HIV-Pharmaceuticals'!$I$107:$I$192,0)),0)</f>
        <v>0</v>
      </c>
      <c r="AK169" s="651">
        <f t="shared" si="90"/>
        <v>0</v>
      </c>
      <c r="AL169" s="652">
        <f t="shared" si="91"/>
        <v>0</v>
      </c>
      <c r="AM169" s="652">
        <f t="shared" si="92"/>
        <v>0</v>
      </c>
      <c r="AN169" s="651">
        <f t="array" ref="AN169">IFERROR(INDEX('HIV-Pharmaceuticals'!$Y$107:$Y$192,MATCH($E169&amp;$F169,'HIV-Pharmaceuticals'!$E$107:$E$192&amp;'HIV-Pharmaceuticals'!$I$107:$I$192,0)),0)</f>
        <v>0</v>
      </c>
      <c r="AO169" s="651">
        <f t="shared" si="93"/>
        <v>0</v>
      </c>
      <c r="AP169" s="652">
        <f t="shared" si="94"/>
        <v>0</v>
      </c>
      <c r="AQ169" s="652">
        <f t="shared" si="95"/>
        <v>0</v>
      </c>
      <c r="AR169" s="653"/>
      <c r="AS169" s="651">
        <f t="array" ref="AS169">IFERROR(INDEX('HIV-Pharmaceuticals'!$AB$107:$AB$192,MATCH($E169&amp;$F169,'HIV-Pharmaceuticals'!$E$107:$E$192&amp;'HIV-Pharmaceuticals'!$I$107:$I$192,0)),0)</f>
        <v>0</v>
      </c>
      <c r="AT169" s="651">
        <f t="array" ref="AT169">IFERROR(INDEX('HIV-Pharmaceuticals'!$AC$107:$AC$192,MATCH($E169&amp;$F169,'HIV-Pharmaceuticals'!$E$107:$E$192&amp;'HIV-Pharmaceuticals'!$I$107:$I$192,0)),0)</f>
        <v>0</v>
      </c>
      <c r="AU169" s="651">
        <f t="shared" si="96"/>
        <v>0</v>
      </c>
      <c r="AV169" s="652">
        <f t="shared" si="97"/>
        <v>0</v>
      </c>
      <c r="AW169" s="652">
        <f t="shared" si="98"/>
        <v>0</v>
      </c>
      <c r="AX169" s="651">
        <f t="array" ref="AX169">IFERROR(INDEX('HIV-Pharmaceuticals'!$AD$107:$AD$192,MATCH($E169&amp;$F169,'HIV-Pharmaceuticals'!$E$107:$E$192&amp;'HIV-Pharmaceuticals'!$I$107:$I$192,0)),0)</f>
        <v>0</v>
      </c>
      <c r="AY169" s="651">
        <f t="shared" si="99"/>
        <v>0</v>
      </c>
      <c r="AZ169" s="652">
        <f t="shared" si="100"/>
        <v>0</v>
      </c>
      <c r="BA169" s="652">
        <f t="shared" si="101"/>
        <v>0</v>
      </c>
      <c r="BB169" s="651">
        <f t="array" ref="BB169">IFERROR(INDEX('HIV-Pharmaceuticals'!$AE$107:$AE$192,MATCH($E169&amp;$F169,'HIV-Pharmaceuticals'!$E$107:$E$192&amp;'HIV-Pharmaceuticals'!$I$107:$I$192,0)),0)</f>
        <v>0</v>
      </c>
      <c r="BC169" s="651">
        <f t="shared" si="102"/>
        <v>0</v>
      </c>
      <c r="BD169" s="652">
        <f t="shared" si="103"/>
        <v>0</v>
      </c>
      <c r="BE169" s="652">
        <f t="shared" si="104"/>
        <v>0</v>
      </c>
      <c r="BF169" s="651">
        <f t="array" ref="BF169">IFERROR(INDEX('HIV-Pharmaceuticals'!$AF$107:$AF$192,MATCH($E169&amp;$F169,'HIV-Pharmaceuticals'!$E$107:$E$192&amp;'HIV-Pharmaceuticals'!$I$107:$I$192,0)),0)</f>
        <v>0</v>
      </c>
      <c r="BG169" s="651">
        <f t="shared" si="105"/>
        <v>0</v>
      </c>
      <c r="BH169" s="652">
        <f t="shared" si="106"/>
        <v>0</v>
      </c>
      <c r="BI169" s="652">
        <f t="shared" si="107"/>
        <v>0</v>
      </c>
      <c r="BK169" s="654"/>
      <c r="BL169" s="654"/>
      <c r="BM169" s="654"/>
      <c r="BN169" s="654"/>
      <c r="BO169" s="654"/>
      <c r="BP169" s="654"/>
      <c r="BQ169" s="654"/>
      <c r="BR169" s="654"/>
    </row>
    <row r="170" spans="1:70">
      <c r="A170" s="647" t="s">
        <v>1317</v>
      </c>
      <c r="B170" s="647" t="s">
        <v>2282</v>
      </c>
      <c r="C170" s="648">
        <f>SETUP!$F$22</f>
        <v>0</v>
      </c>
      <c r="D170" s="649">
        <v>4.7</v>
      </c>
      <c r="E170" s="647" t="s">
        <v>1370</v>
      </c>
      <c r="F170" s="647" t="s">
        <v>1434</v>
      </c>
      <c r="G170" s="650" t="str">
        <f t="array" ref="G170">IFERROR(INDEX('HIV-Pharmaceuticals'!$L$107:$L$192,MATCH($E170&amp;$F170,'HIV-Pharmaceuticals'!$E$107:$E$192&amp;'HIV-Pharmaceuticals'!$I$107:$I$192,0)),"")</f>
        <v/>
      </c>
      <c r="H170" s="650" t="str">
        <f t="array" ref="H170">IFERROR(INDEX('HIV-Pharmaceuticals'!$M$107:$M$192,MATCH($E170&amp;$F170,'HIV-Pharmaceuticals'!$E$107:$E$192&amp;'HIV-Pharmaceuticals'!$I$107:$I$192,0)),"")</f>
        <v/>
      </c>
      <c r="I170" s="651">
        <f t="array" ref="I170">IFERROR(INDEX('HIV-Pharmaceuticals'!$N$107:$N$192,MATCH($E170&amp;$F170,'HIV-Pharmaceuticals'!$E$107:$E$192&amp;'HIV-Pharmaceuticals'!$I$107:$I$192,0)),0)</f>
        <v>0</v>
      </c>
      <c r="J170" s="651">
        <f t="array" ref="J170">IFERROR(INDEX('HIV-Pharmaceuticals'!$O$107:$O$192,MATCH($E170&amp;$F170,'HIV-Pharmaceuticals'!$E$107:$E$192&amp;'HIV-Pharmaceuticals'!$I$107:$I$192,0)),0)</f>
        <v>0</v>
      </c>
      <c r="K170" s="652">
        <f t="shared" si="72"/>
        <v>0</v>
      </c>
      <c r="L170" s="652">
        <f t="shared" si="73"/>
        <v>0</v>
      </c>
      <c r="M170" s="652">
        <f t="shared" si="74"/>
        <v>0</v>
      </c>
      <c r="N170" s="651">
        <f t="array" ref="N170">IFERROR(INDEX('HIV-Pharmaceuticals'!$P$107:$P$192,MATCH($E170&amp;$F170,'HIV-Pharmaceuticals'!$E$107:$E$192&amp;'HIV-Pharmaceuticals'!$I$107:$I$192,0)),0)</f>
        <v>0</v>
      </c>
      <c r="O170" s="652">
        <f t="shared" si="75"/>
        <v>0</v>
      </c>
      <c r="P170" s="652">
        <f t="shared" si="76"/>
        <v>0</v>
      </c>
      <c r="Q170" s="652">
        <f t="shared" si="77"/>
        <v>0</v>
      </c>
      <c r="R170" s="651">
        <f t="array" ref="R170">IFERROR(INDEX('HIV-Pharmaceuticals'!$Q$107:$Q$192,MATCH($E170&amp;$F170,'HIV-Pharmaceuticals'!$E$107:$E$192&amp;'HIV-Pharmaceuticals'!$I$107:$I$192,0)),0)</f>
        <v>0</v>
      </c>
      <c r="S170" s="652">
        <f t="shared" si="78"/>
        <v>0</v>
      </c>
      <c r="T170" s="652">
        <f t="shared" si="79"/>
        <v>0</v>
      </c>
      <c r="U170" s="652">
        <f t="shared" si="80"/>
        <v>0</v>
      </c>
      <c r="V170" s="651">
        <f t="array" ref="V170">IFERROR(INDEX('HIV-Pharmaceuticals'!$R$107:$R$192,MATCH($E170&amp;$F170,'HIV-Pharmaceuticals'!$E$107:$E$192&amp;'HIV-Pharmaceuticals'!$I$107:$I$192,0)),0)</f>
        <v>0</v>
      </c>
      <c r="W170" s="652">
        <f t="shared" si="81"/>
        <v>0</v>
      </c>
      <c r="X170" s="652">
        <f t="shared" si="82"/>
        <v>0</v>
      </c>
      <c r="Y170" s="652">
        <f t="shared" si="83"/>
        <v>0</v>
      </c>
      <c r="Z170" s="653"/>
      <c r="AA170" s="651">
        <f t="array" ref="AA170">IFERROR(INDEX('HIV-Pharmaceuticals'!$U$107:$U$192,MATCH($E170&amp;$F170,'HIV-Pharmaceuticals'!$E$107:$E$192&amp;'HIV-Pharmaceuticals'!$I$107:$I$192,0)),0)</f>
        <v>0</v>
      </c>
      <c r="AB170" s="651">
        <f t="array" ref="AB170">IFERROR(INDEX('HIV-Pharmaceuticals'!$V$107:$V$192,MATCH($E170&amp;$F170,'HIV-Pharmaceuticals'!$E$107:$E$192&amp;'HIV-Pharmaceuticals'!$I$107:$I$192,0)),0)</f>
        <v>0</v>
      </c>
      <c r="AC170" s="651">
        <f t="shared" si="84"/>
        <v>0</v>
      </c>
      <c r="AD170" s="652">
        <f t="shared" si="85"/>
        <v>0</v>
      </c>
      <c r="AE170" s="652">
        <f t="shared" si="86"/>
        <v>0</v>
      </c>
      <c r="AF170" s="651">
        <f t="array" ref="AF170">IFERROR(INDEX('HIV-Pharmaceuticals'!$W$107:$W$192,MATCH($E170&amp;$F170,'HIV-Pharmaceuticals'!$E$107:$E$192&amp;'HIV-Pharmaceuticals'!$I$107:$I$192,0)),0)</f>
        <v>0</v>
      </c>
      <c r="AG170" s="651">
        <f t="shared" si="87"/>
        <v>0</v>
      </c>
      <c r="AH170" s="652">
        <f t="shared" si="88"/>
        <v>0</v>
      </c>
      <c r="AI170" s="652">
        <f t="shared" si="89"/>
        <v>0</v>
      </c>
      <c r="AJ170" s="651">
        <f t="array" ref="AJ170">IFERROR(INDEX('HIV-Pharmaceuticals'!$X$107:$X$192,MATCH($E170&amp;$F170,'HIV-Pharmaceuticals'!$E$107:$E$192&amp;'HIV-Pharmaceuticals'!$I$107:$I$192,0)),0)</f>
        <v>0</v>
      </c>
      <c r="AK170" s="651">
        <f t="shared" si="90"/>
        <v>0</v>
      </c>
      <c r="AL170" s="652">
        <f t="shared" si="91"/>
        <v>0</v>
      </c>
      <c r="AM170" s="652">
        <f t="shared" si="92"/>
        <v>0</v>
      </c>
      <c r="AN170" s="651">
        <f t="array" ref="AN170">IFERROR(INDEX('HIV-Pharmaceuticals'!$Y$107:$Y$192,MATCH($E170&amp;$F170,'HIV-Pharmaceuticals'!$E$107:$E$192&amp;'HIV-Pharmaceuticals'!$I$107:$I$192,0)),0)</f>
        <v>0</v>
      </c>
      <c r="AO170" s="651">
        <f t="shared" si="93"/>
        <v>0</v>
      </c>
      <c r="AP170" s="652">
        <f t="shared" si="94"/>
        <v>0</v>
      </c>
      <c r="AQ170" s="652">
        <f t="shared" si="95"/>
        <v>0</v>
      </c>
      <c r="AR170" s="653"/>
      <c r="AS170" s="651">
        <f t="array" ref="AS170">IFERROR(INDEX('HIV-Pharmaceuticals'!$AB$107:$AB$192,MATCH($E170&amp;$F170,'HIV-Pharmaceuticals'!$E$107:$E$192&amp;'HIV-Pharmaceuticals'!$I$107:$I$192,0)),0)</f>
        <v>0</v>
      </c>
      <c r="AT170" s="651">
        <f t="array" ref="AT170">IFERROR(INDEX('HIV-Pharmaceuticals'!$AC$107:$AC$192,MATCH($E170&amp;$F170,'HIV-Pharmaceuticals'!$E$107:$E$192&amp;'HIV-Pharmaceuticals'!$I$107:$I$192,0)),0)</f>
        <v>0</v>
      </c>
      <c r="AU170" s="651">
        <f t="shared" si="96"/>
        <v>0</v>
      </c>
      <c r="AV170" s="652">
        <f t="shared" si="97"/>
        <v>0</v>
      </c>
      <c r="AW170" s="652">
        <f t="shared" si="98"/>
        <v>0</v>
      </c>
      <c r="AX170" s="651">
        <f t="array" ref="AX170">IFERROR(INDEX('HIV-Pharmaceuticals'!$AD$107:$AD$192,MATCH($E170&amp;$F170,'HIV-Pharmaceuticals'!$E$107:$E$192&amp;'HIV-Pharmaceuticals'!$I$107:$I$192,0)),0)</f>
        <v>0</v>
      </c>
      <c r="AY170" s="651">
        <f t="shared" si="99"/>
        <v>0</v>
      </c>
      <c r="AZ170" s="652">
        <f t="shared" si="100"/>
        <v>0</v>
      </c>
      <c r="BA170" s="652">
        <f t="shared" si="101"/>
        <v>0</v>
      </c>
      <c r="BB170" s="651">
        <f t="array" ref="BB170">IFERROR(INDEX('HIV-Pharmaceuticals'!$AE$107:$AE$192,MATCH($E170&amp;$F170,'HIV-Pharmaceuticals'!$E$107:$E$192&amp;'HIV-Pharmaceuticals'!$I$107:$I$192,0)),0)</f>
        <v>0</v>
      </c>
      <c r="BC170" s="651">
        <f t="shared" si="102"/>
        <v>0</v>
      </c>
      <c r="BD170" s="652">
        <f t="shared" si="103"/>
        <v>0</v>
      </c>
      <c r="BE170" s="652">
        <f t="shared" si="104"/>
        <v>0</v>
      </c>
      <c r="BF170" s="651">
        <f t="array" ref="BF170">IFERROR(INDEX('HIV-Pharmaceuticals'!$AF$107:$AF$192,MATCH($E170&amp;$F170,'HIV-Pharmaceuticals'!$E$107:$E$192&amp;'HIV-Pharmaceuticals'!$I$107:$I$192,0)),0)</f>
        <v>0</v>
      </c>
      <c r="BG170" s="651">
        <f t="shared" si="105"/>
        <v>0</v>
      </c>
      <c r="BH170" s="652">
        <f t="shared" si="106"/>
        <v>0</v>
      </c>
      <c r="BI170" s="652">
        <f t="shared" si="107"/>
        <v>0</v>
      </c>
      <c r="BK170" s="654"/>
      <c r="BL170" s="654"/>
      <c r="BM170" s="654"/>
      <c r="BN170" s="654"/>
      <c r="BO170" s="654"/>
      <c r="BP170" s="654"/>
      <c r="BQ170" s="654"/>
      <c r="BR170" s="654"/>
    </row>
    <row r="171" spans="1:70">
      <c r="A171" s="647" t="s">
        <v>1317</v>
      </c>
      <c r="B171" s="647" t="s">
        <v>2282</v>
      </c>
      <c r="C171" s="648">
        <f>SETUP!$F$22</f>
        <v>0</v>
      </c>
      <c r="D171" s="649">
        <v>4.7</v>
      </c>
      <c r="E171" s="647" t="s">
        <v>1435</v>
      </c>
      <c r="F171" s="647" t="s">
        <v>1436</v>
      </c>
      <c r="G171" s="650" t="str">
        <f t="array" ref="G171">IFERROR(INDEX('HIV-Pharmaceuticals'!$L$107:$L$192,MATCH($E171&amp;$F171,'HIV-Pharmaceuticals'!$E$107:$E$192&amp;'HIV-Pharmaceuticals'!$I$107:$I$192,0)),"")</f>
        <v/>
      </c>
      <c r="H171" s="650" t="str">
        <f t="array" ref="H171">IFERROR(INDEX('HIV-Pharmaceuticals'!$M$107:$M$192,MATCH($E171&amp;$F171,'HIV-Pharmaceuticals'!$E$107:$E$192&amp;'HIV-Pharmaceuticals'!$I$107:$I$192,0)),"")</f>
        <v/>
      </c>
      <c r="I171" s="651">
        <f t="array" ref="I171">IFERROR(INDEX('HIV-Pharmaceuticals'!$N$107:$N$192,MATCH($E171&amp;$F171,'HIV-Pharmaceuticals'!$E$107:$E$192&amp;'HIV-Pharmaceuticals'!$I$107:$I$192,0)),0)</f>
        <v>0</v>
      </c>
      <c r="J171" s="651">
        <f t="array" ref="J171">IFERROR(INDEX('HIV-Pharmaceuticals'!$O$107:$O$192,MATCH($E171&amp;$F171,'HIV-Pharmaceuticals'!$E$107:$E$192&amp;'HIV-Pharmaceuticals'!$I$107:$I$192,0)),0)</f>
        <v>0</v>
      </c>
      <c r="K171" s="652">
        <f t="shared" si="72"/>
        <v>0</v>
      </c>
      <c r="L171" s="652">
        <f t="shared" si="73"/>
        <v>0</v>
      </c>
      <c r="M171" s="652">
        <f t="shared" si="74"/>
        <v>0</v>
      </c>
      <c r="N171" s="651">
        <f t="array" ref="N171">IFERROR(INDEX('HIV-Pharmaceuticals'!$P$107:$P$192,MATCH($E171&amp;$F171,'HIV-Pharmaceuticals'!$E$107:$E$192&amp;'HIV-Pharmaceuticals'!$I$107:$I$192,0)),0)</f>
        <v>0</v>
      </c>
      <c r="O171" s="652">
        <f t="shared" si="75"/>
        <v>0</v>
      </c>
      <c r="P171" s="652">
        <f t="shared" si="76"/>
        <v>0</v>
      </c>
      <c r="Q171" s="652">
        <f t="shared" si="77"/>
        <v>0</v>
      </c>
      <c r="R171" s="651">
        <f t="array" ref="R171">IFERROR(INDEX('HIV-Pharmaceuticals'!$Q$107:$Q$192,MATCH($E171&amp;$F171,'HIV-Pharmaceuticals'!$E$107:$E$192&amp;'HIV-Pharmaceuticals'!$I$107:$I$192,0)),0)</f>
        <v>0</v>
      </c>
      <c r="S171" s="652">
        <f t="shared" si="78"/>
        <v>0</v>
      </c>
      <c r="T171" s="652">
        <f t="shared" si="79"/>
        <v>0</v>
      </c>
      <c r="U171" s="652">
        <f t="shared" si="80"/>
        <v>0</v>
      </c>
      <c r="V171" s="651">
        <f t="array" ref="V171">IFERROR(INDEX('HIV-Pharmaceuticals'!$R$107:$R$192,MATCH($E171&amp;$F171,'HIV-Pharmaceuticals'!$E$107:$E$192&amp;'HIV-Pharmaceuticals'!$I$107:$I$192,0)),0)</f>
        <v>0</v>
      </c>
      <c r="W171" s="652">
        <f t="shared" si="81"/>
        <v>0</v>
      </c>
      <c r="X171" s="652">
        <f t="shared" si="82"/>
        <v>0</v>
      </c>
      <c r="Y171" s="652">
        <f t="shared" si="83"/>
        <v>0</v>
      </c>
      <c r="Z171" s="653"/>
      <c r="AA171" s="651">
        <f t="array" ref="AA171">IFERROR(INDEX('HIV-Pharmaceuticals'!$U$107:$U$192,MATCH($E171&amp;$F171,'HIV-Pharmaceuticals'!$E$107:$E$192&amp;'HIV-Pharmaceuticals'!$I$107:$I$192,0)),0)</f>
        <v>0</v>
      </c>
      <c r="AB171" s="651">
        <f t="array" ref="AB171">IFERROR(INDEX('HIV-Pharmaceuticals'!$V$107:$V$192,MATCH($E171&amp;$F171,'HIV-Pharmaceuticals'!$E$107:$E$192&amp;'HIV-Pharmaceuticals'!$I$107:$I$192,0)),0)</f>
        <v>0</v>
      </c>
      <c r="AC171" s="651">
        <f t="shared" si="84"/>
        <v>0</v>
      </c>
      <c r="AD171" s="652">
        <f t="shared" si="85"/>
        <v>0</v>
      </c>
      <c r="AE171" s="652">
        <f t="shared" si="86"/>
        <v>0</v>
      </c>
      <c r="AF171" s="651">
        <f t="array" ref="AF171">IFERROR(INDEX('HIV-Pharmaceuticals'!$W$107:$W$192,MATCH($E171&amp;$F171,'HIV-Pharmaceuticals'!$E$107:$E$192&amp;'HIV-Pharmaceuticals'!$I$107:$I$192,0)),0)</f>
        <v>0</v>
      </c>
      <c r="AG171" s="651">
        <f t="shared" si="87"/>
        <v>0</v>
      </c>
      <c r="AH171" s="652">
        <f t="shared" si="88"/>
        <v>0</v>
      </c>
      <c r="AI171" s="652">
        <f t="shared" si="89"/>
        <v>0</v>
      </c>
      <c r="AJ171" s="651">
        <f t="array" ref="AJ171">IFERROR(INDEX('HIV-Pharmaceuticals'!$X$107:$X$192,MATCH($E171&amp;$F171,'HIV-Pharmaceuticals'!$E$107:$E$192&amp;'HIV-Pharmaceuticals'!$I$107:$I$192,0)),0)</f>
        <v>0</v>
      </c>
      <c r="AK171" s="651">
        <f t="shared" si="90"/>
        <v>0</v>
      </c>
      <c r="AL171" s="652">
        <f t="shared" si="91"/>
        <v>0</v>
      </c>
      <c r="AM171" s="652">
        <f t="shared" si="92"/>
        <v>0</v>
      </c>
      <c r="AN171" s="651">
        <f t="array" ref="AN171">IFERROR(INDEX('HIV-Pharmaceuticals'!$Y$107:$Y$192,MATCH($E171&amp;$F171,'HIV-Pharmaceuticals'!$E$107:$E$192&amp;'HIV-Pharmaceuticals'!$I$107:$I$192,0)),0)</f>
        <v>0</v>
      </c>
      <c r="AO171" s="651">
        <f t="shared" si="93"/>
        <v>0</v>
      </c>
      <c r="AP171" s="652">
        <f t="shared" si="94"/>
        <v>0</v>
      </c>
      <c r="AQ171" s="652">
        <f t="shared" si="95"/>
        <v>0</v>
      </c>
      <c r="AR171" s="653"/>
      <c r="AS171" s="651">
        <f t="array" ref="AS171">IFERROR(INDEX('HIV-Pharmaceuticals'!$AB$107:$AB$192,MATCH($E171&amp;$F171,'HIV-Pharmaceuticals'!$E$107:$E$192&amp;'HIV-Pharmaceuticals'!$I$107:$I$192,0)),0)</f>
        <v>0</v>
      </c>
      <c r="AT171" s="651">
        <f t="array" ref="AT171">IFERROR(INDEX('HIV-Pharmaceuticals'!$AC$107:$AC$192,MATCH($E171&amp;$F171,'HIV-Pharmaceuticals'!$E$107:$E$192&amp;'HIV-Pharmaceuticals'!$I$107:$I$192,0)),0)</f>
        <v>0</v>
      </c>
      <c r="AU171" s="651">
        <f t="shared" si="96"/>
        <v>0</v>
      </c>
      <c r="AV171" s="652">
        <f t="shared" si="97"/>
        <v>0</v>
      </c>
      <c r="AW171" s="652">
        <f t="shared" si="98"/>
        <v>0</v>
      </c>
      <c r="AX171" s="651">
        <f t="array" ref="AX171">IFERROR(INDEX('HIV-Pharmaceuticals'!$AD$107:$AD$192,MATCH($E171&amp;$F171,'HIV-Pharmaceuticals'!$E$107:$E$192&amp;'HIV-Pharmaceuticals'!$I$107:$I$192,0)),0)</f>
        <v>0</v>
      </c>
      <c r="AY171" s="651">
        <f t="shared" si="99"/>
        <v>0</v>
      </c>
      <c r="AZ171" s="652">
        <f t="shared" si="100"/>
        <v>0</v>
      </c>
      <c r="BA171" s="652">
        <f t="shared" si="101"/>
        <v>0</v>
      </c>
      <c r="BB171" s="651">
        <f t="array" ref="BB171">IFERROR(INDEX('HIV-Pharmaceuticals'!$AE$107:$AE$192,MATCH($E171&amp;$F171,'HIV-Pharmaceuticals'!$E$107:$E$192&amp;'HIV-Pharmaceuticals'!$I$107:$I$192,0)),0)</f>
        <v>0</v>
      </c>
      <c r="BC171" s="651">
        <f t="shared" si="102"/>
        <v>0</v>
      </c>
      <c r="BD171" s="652">
        <f t="shared" si="103"/>
        <v>0</v>
      </c>
      <c r="BE171" s="652">
        <f t="shared" si="104"/>
        <v>0</v>
      </c>
      <c r="BF171" s="651">
        <f t="array" ref="BF171">IFERROR(INDEX('HIV-Pharmaceuticals'!$AF$107:$AF$192,MATCH($E171&amp;$F171,'HIV-Pharmaceuticals'!$E$107:$E$192&amp;'HIV-Pharmaceuticals'!$I$107:$I$192,0)),0)</f>
        <v>0</v>
      </c>
      <c r="BG171" s="651">
        <f t="shared" si="105"/>
        <v>0</v>
      </c>
      <c r="BH171" s="652">
        <f t="shared" si="106"/>
        <v>0</v>
      </c>
      <c r="BI171" s="652">
        <f t="shared" si="107"/>
        <v>0</v>
      </c>
      <c r="BK171" s="654"/>
      <c r="BL171" s="654"/>
      <c r="BM171" s="654"/>
      <c r="BN171" s="654"/>
      <c r="BO171" s="654"/>
      <c r="BP171" s="654"/>
      <c r="BQ171" s="654"/>
      <c r="BR171" s="654"/>
    </row>
    <row r="172" spans="1:70">
      <c r="A172" s="647" t="s">
        <v>1317</v>
      </c>
      <c r="B172" s="647" t="s">
        <v>2282</v>
      </c>
      <c r="C172" s="648">
        <f>SETUP!$F$22</f>
        <v>0</v>
      </c>
      <c r="D172" s="649">
        <v>4.7</v>
      </c>
      <c r="E172" s="647" t="s">
        <v>1435</v>
      </c>
      <c r="F172" s="647" t="s">
        <v>1437</v>
      </c>
      <c r="G172" s="650" t="str">
        <f t="array" ref="G172">IFERROR(INDEX('HIV-Pharmaceuticals'!$L$107:$L$192,MATCH($E172&amp;$F172,'HIV-Pharmaceuticals'!$E$107:$E$192&amp;'HIV-Pharmaceuticals'!$I$107:$I$192,0)),"")</f>
        <v/>
      </c>
      <c r="H172" s="650" t="str">
        <f t="array" ref="H172">IFERROR(INDEX('HIV-Pharmaceuticals'!$M$107:$M$192,MATCH($E172&amp;$F172,'HIV-Pharmaceuticals'!$E$107:$E$192&amp;'HIV-Pharmaceuticals'!$I$107:$I$192,0)),"")</f>
        <v/>
      </c>
      <c r="I172" s="651">
        <f t="array" ref="I172">IFERROR(INDEX('HIV-Pharmaceuticals'!$N$107:$N$192,MATCH($E172&amp;$F172,'HIV-Pharmaceuticals'!$E$107:$E$192&amp;'HIV-Pharmaceuticals'!$I$107:$I$192,0)),0)</f>
        <v>0</v>
      </c>
      <c r="J172" s="651">
        <f t="array" ref="J172">IFERROR(INDEX('HIV-Pharmaceuticals'!$O$107:$O$192,MATCH($E172&amp;$F172,'HIV-Pharmaceuticals'!$E$107:$E$192&amp;'HIV-Pharmaceuticals'!$I$107:$I$192,0)),0)</f>
        <v>0</v>
      </c>
      <c r="K172" s="652">
        <f t="shared" si="72"/>
        <v>0</v>
      </c>
      <c r="L172" s="652">
        <f t="shared" si="73"/>
        <v>0</v>
      </c>
      <c r="M172" s="652">
        <f t="shared" si="74"/>
        <v>0</v>
      </c>
      <c r="N172" s="651">
        <f t="array" ref="N172">IFERROR(INDEX('HIV-Pharmaceuticals'!$P$107:$P$192,MATCH($E172&amp;$F172,'HIV-Pharmaceuticals'!$E$107:$E$192&amp;'HIV-Pharmaceuticals'!$I$107:$I$192,0)),0)</f>
        <v>0</v>
      </c>
      <c r="O172" s="652">
        <f t="shared" si="75"/>
        <v>0</v>
      </c>
      <c r="P172" s="652">
        <f t="shared" si="76"/>
        <v>0</v>
      </c>
      <c r="Q172" s="652">
        <f t="shared" si="77"/>
        <v>0</v>
      </c>
      <c r="R172" s="651">
        <f t="array" ref="R172">IFERROR(INDEX('HIV-Pharmaceuticals'!$Q$107:$Q$192,MATCH($E172&amp;$F172,'HIV-Pharmaceuticals'!$E$107:$E$192&amp;'HIV-Pharmaceuticals'!$I$107:$I$192,0)),0)</f>
        <v>0</v>
      </c>
      <c r="S172" s="652">
        <f t="shared" si="78"/>
        <v>0</v>
      </c>
      <c r="T172" s="652">
        <f t="shared" si="79"/>
        <v>0</v>
      </c>
      <c r="U172" s="652">
        <f t="shared" si="80"/>
        <v>0</v>
      </c>
      <c r="V172" s="651">
        <f t="array" ref="V172">IFERROR(INDEX('HIV-Pharmaceuticals'!$R$107:$R$192,MATCH($E172&amp;$F172,'HIV-Pharmaceuticals'!$E$107:$E$192&amp;'HIV-Pharmaceuticals'!$I$107:$I$192,0)),0)</f>
        <v>0</v>
      </c>
      <c r="W172" s="652">
        <f t="shared" si="81"/>
        <v>0</v>
      </c>
      <c r="X172" s="652">
        <f t="shared" si="82"/>
        <v>0</v>
      </c>
      <c r="Y172" s="652">
        <f t="shared" si="83"/>
        <v>0</v>
      </c>
      <c r="Z172" s="653"/>
      <c r="AA172" s="651">
        <f t="array" ref="AA172">IFERROR(INDEX('HIV-Pharmaceuticals'!$U$107:$U$192,MATCH($E172&amp;$F172,'HIV-Pharmaceuticals'!$E$107:$E$192&amp;'HIV-Pharmaceuticals'!$I$107:$I$192,0)),0)</f>
        <v>0</v>
      </c>
      <c r="AB172" s="651">
        <f t="array" ref="AB172">IFERROR(INDEX('HIV-Pharmaceuticals'!$V$107:$V$192,MATCH($E172&amp;$F172,'HIV-Pharmaceuticals'!$E$107:$E$192&amp;'HIV-Pharmaceuticals'!$I$107:$I$192,0)),0)</f>
        <v>0</v>
      </c>
      <c r="AC172" s="651">
        <f t="shared" si="84"/>
        <v>0</v>
      </c>
      <c r="AD172" s="652">
        <f t="shared" si="85"/>
        <v>0</v>
      </c>
      <c r="AE172" s="652">
        <f t="shared" si="86"/>
        <v>0</v>
      </c>
      <c r="AF172" s="651">
        <f t="array" ref="AF172">IFERROR(INDEX('HIV-Pharmaceuticals'!$W$107:$W$192,MATCH($E172&amp;$F172,'HIV-Pharmaceuticals'!$E$107:$E$192&amp;'HIV-Pharmaceuticals'!$I$107:$I$192,0)),0)</f>
        <v>0</v>
      </c>
      <c r="AG172" s="651">
        <f t="shared" si="87"/>
        <v>0</v>
      </c>
      <c r="AH172" s="652">
        <f t="shared" si="88"/>
        <v>0</v>
      </c>
      <c r="AI172" s="652">
        <f t="shared" si="89"/>
        <v>0</v>
      </c>
      <c r="AJ172" s="651">
        <f t="array" ref="AJ172">IFERROR(INDEX('HIV-Pharmaceuticals'!$X$107:$X$192,MATCH($E172&amp;$F172,'HIV-Pharmaceuticals'!$E$107:$E$192&amp;'HIV-Pharmaceuticals'!$I$107:$I$192,0)),0)</f>
        <v>0</v>
      </c>
      <c r="AK172" s="651">
        <f t="shared" si="90"/>
        <v>0</v>
      </c>
      <c r="AL172" s="652">
        <f t="shared" si="91"/>
        <v>0</v>
      </c>
      <c r="AM172" s="652">
        <f t="shared" si="92"/>
        <v>0</v>
      </c>
      <c r="AN172" s="651">
        <f t="array" ref="AN172">IFERROR(INDEX('HIV-Pharmaceuticals'!$Y$107:$Y$192,MATCH($E172&amp;$F172,'HIV-Pharmaceuticals'!$E$107:$E$192&amp;'HIV-Pharmaceuticals'!$I$107:$I$192,0)),0)</f>
        <v>0</v>
      </c>
      <c r="AO172" s="651">
        <f t="shared" si="93"/>
        <v>0</v>
      </c>
      <c r="AP172" s="652">
        <f t="shared" si="94"/>
        <v>0</v>
      </c>
      <c r="AQ172" s="652">
        <f t="shared" si="95"/>
        <v>0</v>
      </c>
      <c r="AR172" s="653"/>
      <c r="AS172" s="651">
        <f t="array" ref="AS172">IFERROR(INDEX('HIV-Pharmaceuticals'!$AB$107:$AB$192,MATCH($E172&amp;$F172,'HIV-Pharmaceuticals'!$E$107:$E$192&amp;'HIV-Pharmaceuticals'!$I$107:$I$192,0)),0)</f>
        <v>0</v>
      </c>
      <c r="AT172" s="651">
        <f t="array" ref="AT172">IFERROR(INDEX('HIV-Pharmaceuticals'!$AC$107:$AC$192,MATCH($E172&amp;$F172,'HIV-Pharmaceuticals'!$E$107:$E$192&amp;'HIV-Pharmaceuticals'!$I$107:$I$192,0)),0)</f>
        <v>0</v>
      </c>
      <c r="AU172" s="651">
        <f t="shared" si="96"/>
        <v>0</v>
      </c>
      <c r="AV172" s="652">
        <f t="shared" si="97"/>
        <v>0</v>
      </c>
      <c r="AW172" s="652">
        <f t="shared" si="98"/>
        <v>0</v>
      </c>
      <c r="AX172" s="651">
        <f t="array" ref="AX172">IFERROR(INDEX('HIV-Pharmaceuticals'!$AD$107:$AD$192,MATCH($E172&amp;$F172,'HIV-Pharmaceuticals'!$E$107:$E$192&amp;'HIV-Pharmaceuticals'!$I$107:$I$192,0)),0)</f>
        <v>0</v>
      </c>
      <c r="AY172" s="651">
        <f t="shared" si="99"/>
        <v>0</v>
      </c>
      <c r="AZ172" s="652">
        <f t="shared" si="100"/>
        <v>0</v>
      </c>
      <c r="BA172" s="652">
        <f t="shared" si="101"/>
        <v>0</v>
      </c>
      <c r="BB172" s="651">
        <f t="array" ref="BB172">IFERROR(INDEX('HIV-Pharmaceuticals'!$AE$107:$AE$192,MATCH($E172&amp;$F172,'HIV-Pharmaceuticals'!$E$107:$E$192&amp;'HIV-Pharmaceuticals'!$I$107:$I$192,0)),0)</f>
        <v>0</v>
      </c>
      <c r="BC172" s="651">
        <f t="shared" si="102"/>
        <v>0</v>
      </c>
      <c r="BD172" s="652">
        <f t="shared" si="103"/>
        <v>0</v>
      </c>
      <c r="BE172" s="652">
        <f t="shared" si="104"/>
        <v>0</v>
      </c>
      <c r="BF172" s="651">
        <f t="array" ref="BF172">IFERROR(INDEX('HIV-Pharmaceuticals'!$AF$107:$AF$192,MATCH($E172&amp;$F172,'HIV-Pharmaceuticals'!$E$107:$E$192&amp;'HIV-Pharmaceuticals'!$I$107:$I$192,0)),0)</f>
        <v>0</v>
      </c>
      <c r="BG172" s="651">
        <f t="shared" si="105"/>
        <v>0</v>
      </c>
      <c r="BH172" s="652">
        <f t="shared" si="106"/>
        <v>0</v>
      </c>
      <c r="BI172" s="652">
        <f t="shared" si="107"/>
        <v>0</v>
      </c>
      <c r="BK172" s="654"/>
      <c r="BL172" s="654"/>
      <c r="BM172" s="654"/>
      <c r="BN172" s="654"/>
      <c r="BO172" s="654"/>
      <c r="BP172" s="654"/>
      <c r="BQ172" s="654"/>
      <c r="BR172" s="654"/>
    </row>
    <row r="173" spans="1:70">
      <c r="A173" s="647" t="s">
        <v>1317</v>
      </c>
      <c r="B173" s="647" t="s">
        <v>2282</v>
      </c>
      <c r="C173" s="648">
        <f>SETUP!$F$22</f>
        <v>0</v>
      </c>
      <c r="D173" s="649">
        <v>4.7</v>
      </c>
      <c r="E173" s="647" t="s">
        <v>1435</v>
      </c>
      <c r="F173" s="647" t="s">
        <v>1438</v>
      </c>
      <c r="G173" s="650" t="str">
        <f t="array" ref="G173">IFERROR(INDEX('HIV-Pharmaceuticals'!$L$107:$L$192,MATCH($E173&amp;$F173,'HIV-Pharmaceuticals'!$E$107:$E$192&amp;'HIV-Pharmaceuticals'!$I$107:$I$192,0)),"")</f>
        <v/>
      </c>
      <c r="H173" s="650" t="str">
        <f t="array" ref="H173">IFERROR(INDEX('HIV-Pharmaceuticals'!$M$107:$M$192,MATCH($E173&amp;$F173,'HIV-Pharmaceuticals'!$E$107:$E$192&amp;'HIV-Pharmaceuticals'!$I$107:$I$192,0)),"")</f>
        <v/>
      </c>
      <c r="I173" s="651">
        <f t="array" ref="I173">IFERROR(INDEX('HIV-Pharmaceuticals'!$N$107:$N$192,MATCH($E173&amp;$F173,'HIV-Pharmaceuticals'!$E$107:$E$192&amp;'HIV-Pharmaceuticals'!$I$107:$I$192,0)),0)</f>
        <v>0</v>
      </c>
      <c r="J173" s="651">
        <f t="array" ref="J173">IFERROR(INDEX('HIV-Pharmaceuticals'!$O$107:$O$192,MATCH($E173&amp;$F173,'HIV-Pharmaceuticals'!$E$107:$E$192&amp;'HIV-Pharmaceuticals'!$I$107:$I$192,0)),0)</f>
        <v>0</v>
      </c>
      <c r="K173" s="652">
        <f t="shared" si="72"/>
        <v>0</v>
      </c>
      <c r="L173" s="652">
        <f t="shared" si="73"/>
        <v>0</v>
      </c>
      <c r="M173" s="652">
        <f t="shared" si="74"/>
        <v>0</v>
      </c>
      <c r="N173" s="651">
        <f t="array" ref="N173">IFERROR(INDEX('HIV-Pharmaceuticals'!$P$107:$P$192,MATCH($E173&amp;$F173,'HIV-Pharmaceuticals'!$E$107:$E$192&amp;'HIV-Pharmaceuticals'!$I$107:$I$192,0)),0)</f>
        <v>0</v>
      </c>
      <c r="O173" s="652">
        <f t="shared" si="75"/>
        <v>0</v>
      </c>
      <c r="P173" s="652">
        <f t="shared" si="76"/>
        <v>0</v>
      </c>
      <c r="Q173" s="652">
        <f t="shared" si="77"/>
        <v>0</v>
      </c>
      <c r="R173" s="651">
        <f t="array" ref="R173">IFERROR(INDEX('HIV-Pharmaceuticals'!$Q$107:$Q$192,MATCH($E173&amp;$F173,'HIV-Pharmaceuticals'!$E$107:$E$192&amp;'HIV-Pharmaceuticals'!$I$107:$I$192,0)),0)</f>
        <v>0</v>
      </c>
      <c r="S173" s="652">
        <f t="shared" si="78"/>
        <v>0</v>
      </c>
      <c r="T173" s="652">
        <f t="shared" si="79"/>
        <v>0</v>
      </c>
      <c r="U173" s="652">
        <f t="shared" si="80"/>
        <v>0</v>
      </c>
      <c r="V173" s="651">
        <f t="array" ref="V173">IFERROR(INDEX('HIV-Pharmaceuticals'!$R$107:$R$192,MATCH($E173&amp;$F173,'HIV-Pharmaceuticals'!$E$107:$E$192&amp;'HIV-Pharmaceuticals'!$I$107:$I$192,0)),0)</f>
        <v>0</v>
      </c>
      <c r="W173" s="652">
        <f t="shared" si="81"/>
        <v>0</v>
      </c>
      <c r="X173" s="652">
        <f t="shared" si="82"/>
        <v>0</v>
      </c>
      <c r="Y173" s="652">
        <f t="shared" si="83"/>
        <v>0</v>
      </c>
      <c r="Z173" s="653"/>
      <c r="AA173" s="651">
        <f t="array" ref="AA173">IFERROR(INDEX('HIV-Pharmaceuticals'!$U$107:$U$192,MATCH($E173&amp;$F173,'HIV-Pharmaceuticals'!$E$107:$E$192&amp;'HIV-Pharmaceuticals'!$I$107:$I$192,0)),0)</f>
        <v>0</v>
      </c>
      <c r="AB173" s="651">
        <f t="array" ref="AB173">IFERROR(INDEX('HIV-Pharmaceuticals'!$V$107:$V$192,MATCH($E173&amp;$F173,'HIV-Pharmaceuticals'!$E$107:$E$192&amp;'HIV-Pharmaceuticals'!$I$107:$I$192,0)),0)</f>
        <v>0</v>
      </c>
      <c r="AC173" s="651">
        <f t="shared" si="84"/>
        <v>0</v>
      </c>
      <c r="AD173" s="652">
        <f t="shared" si="85"/>
        <v>0</v>
      </c>
      <c r="AE173" s="652">
        <f t="shared" si="86"/>
        <v>0</v>
      </c>
      <c r="AF173" s="651">
        <f t="array" ref="AF173">IFERROR(INDEX('HIV-Pharmaceuticals'!$W$107:$W$192,MATCH($E173&amp;$F173,'HIV-Pharmaceuticals'!$E$107:$E$192&amp;'HIV-Pharmaceuticals'!$I$107:$I$192,0)),0)</f>
        <v>0</v>
      </c>
      <c r="AG173" s="651">
        <f t="shared" si="87"/>
        <v>0</v>
      </c>
      <c r="AH173" s="652">
        <f t="shared" si="88"/>
        <v>0</v>
      </c>
      <c r="AI173" s="652">
        <f t="shared" si="89"/>
        <v>0</v>
      </c>
      <c r="AJ173" s="651">
        <f t="array" ref="AJ173">IFERROR(INDEX('HIV-Pharmaceuticals'!$X$107:$X$192,MATCH($E173&amp;$F173,'HIV-Pharmaceuticals'!$E$107:$E$192&amp;'HIV-Pharmaceuticals'!$I$107:$I$192,0)),0)</f>
        <v>0</v>
      </c>
      <c r="AK173" s="651">
        <f t="shared" si="90"/>
        <v>0</v>
      </c>
      <c r="AL173" s="652">
        <f t="shared" si="91"/>
        <v>0</v>
      </c>
      <c r="AM173" s="652">
        <f t="shared" si="92"/>
        <v>0</v>
      </c>
      <c r="AN173" s="651">
        <f t="array" ref="AN173">IFERROR(INDEX('HIV-Pharmaceuticals'!$Y$107:$Y$192,MATCH($E173&amp;$F173,'HIV-Pharmaceuticals'!$E$107:$E$192&amp;'HIV-Pharmaceuticals'!$I$107:$I$192,0)),0)</f>
        <v>0</v>
      </c>
      <c r="AO173" s="651">
        <f t="shared" si="93"/>
        <v>0</v>
      </c>
      <c r="AP173" s="652">
        <f t="shared" si="94"/>
        <v>0</v>
      </c>
      <c r="AQ173" s="652">
        <f t="shared" si="95"/>
        <v>0</v>
      </c>
      <c r="AR173" s="653"/>
      <c r="AS173" s="651">
        <f t="array" ref="AS173">IFERROR(INDEX('HIV-Pharmaceuticals'!$AB$107:$AB$192,MATCH($E173&amp;$F173,'HIV-Pharmaceuticals'!$E$107:$E$192&amp;'HIV-Pharmaceuticals'!$I$107:$I$192,0)),0)</f>
        <v>0</v>
      </c>
      <c r="AT173" s="651">
        <f t="array" ref="AT173">IFERROR(INDEX('HIV-Pharmaceuticals'!$AC$107:$AC$192,MATCH($E173&amp;$F173,'HIV-Pharmaceuticals'!$E$107:$E$192&amp;'HIV-Pharmaceuticals'!$I$107:$I$192,0)),0)</f>
        <v>0</v>
      </c>
      <c r="AU173" s="651">
        <f t="shared" si="96"/>
        <v>0</v>
      </c>
      <c r="AV173" s="652">
        <f t="shared" si="97"/>
        <v>0</v>
      </c>
      <c r="AW173" s="652">
        <f t="shared" si="98"/>
        <v>0</v>
      </c>
      <c r="AX173" s="651">
        <f t="array" ref="AX173">IFERROR(INDEX('HIV-Pharmaceuticals'!$AD$107:$AD$192,MATCH($E173&amp;$F173,'HIV-Pharmaceuticals'!$E$107:$E$192&amp;'HIV-Pharmaceuticals'!$I$107:$I$192,0)),0)</f>
        <v>0</v>
      </c>
      <c r="AY173" s="651">
        <f t="shared" si="99"/>
        <v>0</v>
      </c>
      <c r="AZ173" s="652">
        <f t="shared" si="100"/>
        <v>0</v>
      </c>
      <c r="BA173" s="652">
        <f t="shared" si="101"/>
        <v>0</v>
      </c>
      <c r="BB173" s="651">
        <f t="array" ref="BB173">IFERROR(INDEX('HIV-Pharmaceuticals'!$AE$107:$AE$192,MATCH($E173&amp;$F173,'HIV-Pharmaceuticals'!$E$107:$E$192&amp;'HIV-Pharmaceuticals'!$I$107:$I$192,0)),0)</f>
        <v>0</v>
      </c>
      <c r="BC173" s="651">
        <f t="shared" si="102"/>
        <v>0</v>
      </c>
      <c r="BD173" s="652">
        <f t="shared" si="103"/>
        <v>0</v>
      </c>
      <c r="BE173" s="652">
        <f t="shared" si="104"/>
        <v>0</v>
      </c>
      <c r="BF173" s="651">
        <f t="array" ref="BF173">IFERROR(INDEX('HIV-Pharmaceuticals'!$AF$107:$AF$192,MATCH($E173&amp;$F173,'HIV-Pharmaceuticals'!$E$107:$E$192&amp;'HIV-Pharmaceuticals'!$I$107:$I$192,0)),0)</f>
        <v>0</v>
      </c>
      <c r="BG173" s="651">
        <f t="shared" si="105"/>
        <v>0</v>
      </c>
      <c r="BH173" s="652">
        <f t="shared" si="106"/>
        <v>0</v>
      </c>
      <c r="BI173" s="652">
        <f t="shared" si="107"/>
        <v>0</v>
      </c>
      <c r="BK173" s="654"/>
      <c r="BL173" s="654"/>
      <c r="BM173" s="654"/>
      <c r="BN173" s="654"/>
      <c r="BO173" s="654"/>
      <c r="BP173" s="654"/>
      <c r="BQ173" s="654"/>
      <c r="BR173" s="654"/>
    </row>
    <row r="174" spans="1:70">
      <c r="A174" s="647" t="s">
        <v>1317</v>
      </c>
      <c r="B174" s="647" t="s">
        <v>2282</v>
      </c>
      <c r="C174" s="648">
        <f>SETUP!$F$22</f>
        <v>0</v>
      </c>
      <c r="D174" s="649">
        <v>4.7</v>
      </c>
      <c r="E174" s="647" t="s">
        <v>1371</v>
      </c>
      <c r="F174" s="647" t="s">
        <v>1439</v>
      </c>
      <c r="G174" s="650" t="str">
        <f t="array" ref="G174">IFERROR(INDEX('HIV-Pharmaceuticals'!$L$107:$L$192,MATCH($E174&amp;$F174,'HIV-Pharmaceuticals'!$E$107:$E$192&amp;'HIV-Pharmaceuticals'!$I$107:$I$192,0)),"")</f>
        <v/>
      </c>
      <c r="H174" s="650" t="str">
        <f t="array" ref="H174">IFERROR(INDEX('HIV-Pharmaceuticals'!$M$107:$M$192,MATCH($E174&amp;$F174,'HIV-Pharmaceuticals'!$E$107:$E$192&amp;'HIV-Pharmaceuticals'!$I$107:$I$192,0)),"")</f>
        <v/>
      </c>
      <c r="I174" s="651">
        <f t="array" ref="I174">IFERROR(INDEX('HIV-Pharmaceuticals'!$N$107:$N$192,MATCH($E174&amp;$F174,'HIV-Pharmaceuticals'!$E$107:$E$192&amp;'HIV-Pharmaceuticals'!$I$107:$I$192,0)),0)</f>
        <v>0</v>
      </c>
      <c r="J174" s="651">
        <f t="array" ref="J174">IFERROR(INDEX('HIV-Pharmaceuticals'!$O$107:$O$192,MATCH($E174&amp;$F174,'HIV-Pharmaceuticals'!$E$107:$E$192&amp;'HIV-Pharmaceuticals'!$I$107:$I$192,0)),0)</f>
        <v>0</v>
      </c>
      <c r="K174" s="652">
        <f t="shared" si="72"/>
        <v>0</v>
      </c>
      <c r="L174" s="652">
        <f t="shared" si="73"/>
        <v>0</v>
      </c>
      <c r="M174" s="652">
        <f t="shared" si="74"/>
        <v>0</v>
      </c>
      <c r="N174" s="651">
        <f t="array" ref="N174">IFERROR(INDEX('HIV-Pharmaceuticals'!$P$107:$P$192,MATCH($E174&amp;$F174,'HIV-Pharmaceuticals'!$E$107:$E$192&amp;'HIV-Pharmaceuticals'!$I$107:$I$192,0)),0)</f>
        <v>0</v>
      </c>
      <c r="O174" s="652">
        <f t="shared" si="75"/>
        <v>0</v>
      </c>
      <c r="P174" s="652">
        <f t="shared" si="76"/>
        <v>0</v>
      </c>
      <c r="Q174" s="652">
        <f t="shared" si="77"/>
        <v>0</v>
      </c>
      <c r="R174" s="651">
        <f t="array" ref="R174">IFERROR(INDEX('HIV-Pharmaceuticals'!$Q$107:$Q$192,MATCH($E174&amp;$F174,'HIV-Pharmaceuticals'!$E$107:$E$192&amp;'HIV-Pharmaceuticals'!$I$107:$I$192,0)),0)</f>
        <v>0</v>
      </c>
      <c r="S174" s="652">
        <f t="shared" si="78"/>
        <v>0</v>
      </c>
      <c r="T174" s="652">
        <f t="shared" si="79"/>
        <v>0</v>
      </c>
      <c r="U174" s="652">
        <f t="shared" si="80"/>
        <v>0</v>
      </c>
      <c r="V174" s="651">
        <f t="array" ref="V174">IFERROR(INDEX('HIV-Pharmaceuticals'!$R$107:$R$192,MATCH($E174&amp;$F174,'HIV-Pharmaceuticals'!$E$107:$E$192&amp;'HIV-Pharmaceuticals'!$I$107:$I$192,0)),0)</f>
        <v>0</v>
      </c>
      <c r="W174" s="652">
        <f t="shared" si="81"/>
        <v>0</v>
      </c>
      <c r="X174" s="652">
        <f t="shared" si="82"/>
        <v>0</v>
      </c>
      <c r="Y174" s="652">
        <f t="shared" si="83"/>
        <v>0</v>
      </c>
      <c r="Z174" s="653"/>
      <c r="AA174" s="651">
        <f t="array" ref="AA174">IFERROR(INDEX('HIV-Pharmaceuticals'!$U$107:$U$192,MATCH($E174&amp;$F174,'HIV-Pharmaceuticals'!$E$107:$E$192&amp;'HIV-Pharmaceuticals'!$I$107:$I$192,0)),0)</f>
        <v>0</v>
      </c>
      <c r="AB174" s="651">
        <f t="array" ref="AB174">IFERROR(INDEX('HIV-Pharmaceuticals'!$V$107:$V$192,MATCH($E174&amp;$F174,'HIV-Pharmaceuticals'!$E$107:$E$192&amp;'HIV-Pharmaceuticals'!$I$107:$I$192,0)),0)</f>
        <v>0</v>
      </c>
      <c r="AC174" s="651">
        <f t="shared" si="84"/>
        <v>0</v>
      </c>
      <c r="AD174" s="652">
        <f t="shared" si="85"/>
        <v>0</v>
      </c>
      <c r="AE174" s="652">
        <f t="shared" si="86"/>
        <v>0</v>
      </c>
      <c r="AF174" s="651">
        <f t="array" ref="AF174">IFERROR(INDEX('HIV-Pharmaceuticals'!$W$107:$W$192,MATCH($E174&amp;$F174,'HIV-Pharmaceuticals'!$E$107:$E$192&amp;'HIV-Pharmaceuticals'!$I$107:$I$192,0)),0)</f>
        <v>0</v>
      </c>
      <c r="AG174" s="651">
        <f t="shared" si="87"/>
        <v>0</v>
      </c>
      <c r="AH174" s="652">
        <f t="shared" si="88"/>
        <v>0</v>
      </c>
      <c r="AI174" s="652">
        <f t="shared" si="89"/>
        <v>0</v>
      </c>
      <c r="AJ174" s="651">
        <f t="array" ref="AJ174">IFERROR(INDEX('HIV-Pharmaceuticals'!$X$107:$X$192,MATCH($E174&amp;$F174,'HIV-Pharmaceuticals'!$E$107:$E$192&amp;'HIV-Pharmaceuticals'!$I$107:$I$192,0)),0)</f>
        <v>0</v>
      </c>
      <c r="AK174" s="651">
        <f t="shared" si="90"/>
        <v>0</v>
      </c>
      <c r="AL174" s="652">
        <f t="shared" si="91"/>
        <v>0</v>
      </c>
      <c r="AM174" s="652">
        <f t="shared" si="92"/>
        <v>0</v>
      </c>
      <c r="AN174" s="651">
        <f t="array" ref="AN174">IFERROR(INDEX('HIV-Pharmaceuticals'!$Y$107:$Y$192,MATCH($E174&amp;$F174,'HIV-Pharmaceuticals'!$E$107:$E$192&amp;'HIV-Pharmaceuticals'!$I$107:$I$192,0)),0)</f>
        <v>0</v>
      </c>
      <c r="AO174" s="651">
        <f t="shared" si="93"/>
        <v>0</v>
      </c>
      <c r="AP174" s="652">
        <f t="shared" si="94"/>
        <v>0</v>
      </c>
      <c r="AQ174" s="652">
        <f t="shared" si="95"/>
        <v>0</v>
      </c>
      <c r="AR174" s="653"/>
      <c r="AS174" s="651">
        <f t="array" ref="AS174">IFERROR(INDEX('HIV-Pharmaceuticals'!$AB$107:$AB$192,MATCH($E174&amp;$F174,'HIV-Pharmaceuticals'!$E$107:$E$192&amp;'HIV-Pharmaceuticals'!$I$107:$I$192,0)),0)</f>
        <v>0</v>
      </c>
      <c r="AT174" s="651">
        <f t="array" ref="AT174">IFERROR(INDEX('HIV-Pharmaceuticals'!$AC$107:$AC$192,MATCH($E174&amp;$F174,'HIV-Pharmaceuticals'!$E$107:$E$192&amp;'HIV-Pharmaceuticals'!$I$107:$I$192,0)),0)</f>
        <v>0</v>
      </c>
      <c r="AU174" s="651">
        <f t="shared" si="96"/>
        <v>0</v>
      </c>
      <c r="AV174" s="652">
        <f t="shared" si="97"/>
        <v>0</v>
      </c>
      <c r="AW174" s="652">
        <f t="shared" si="98"/>
        <v>0</v>
      </c>
      <c r="AX174" s="651">
        <f t="array" ref="AX174">IFERROR(INDEX('HIV-Pharmaceuticals'!$AD$107:$AD$192,MATCH($E174&amp;$F174,'HIV-Pharmaceuticals'!$E$107:$E$192&amp;'HIV-Pharmaceuticals'!$I$107:$I$192,0)),0)</f>
        <v>0</v>
      </c>
      <c r="AY174" s="651">
        <f t="shared" si="99"/>
        <v>0</v>
      </c>
      <c r="AZ174" s="652">
        <f t="shared" si="100"/>
        <v>0</v>
      </c>
      <c r="BA174" s="652">
        <f t="shared" si="101"/>
        <v>0</v>
      </c>
      <c r="BB174" s="651">
        <f t="array" ref="BB174">IFERROR(INDEX('HIV-Pharmaceuticals'!$AE$107:$AE$192,MATCH($E174&amp;$F174,'HIV-Pharmaceuticals'!$E$107:$E$192&amp;'HIV-Pharmaceuticals'!$I$107:$I$192,0)),0)</f>
        <v>0</v>
      </c>
      <c r="BC174" s="651">
        <f t="shared" si="102"/>
        <v>0</v>
      </c>
      <c r="BD174" s="652">
        <f t="shared" si="103"/>
        <v>0</v>
      </c>
      <c r="BE174" s="652">
        <f t="shared" si="104"/>
        <v>0</v>
      </c>
      <c r="BF174" s="651">
        <f t="array" ref="BF174">IFERROR(INDEX('HIV-Pharmaceuticals'!$AF$107:$AF$192,MATCH($E174&amp;$F174,'HIV-Pharmaceuticals'!$E$107:$E$192&amp;'HIV-Pharmaceuticals'!$I$107:$I$192,0)),0)</f>
        <v>0</v>
      </c>
      <c r="BG174" s="651">
        <f t="shared" si="105"/>
        <v>0</v>
      </c>
      <c r="BH174" s="652">
        <f t="shared" si="106"/>
        <v>0</v>
      </c>
      <c r="BI174" s="652">
        <f t="shared" si="107"/>
        <v>0</v>
      </c>
      <c r="BK174" s="654"/>
      <c r="BL174" s="654"/>
      <c r="BM174" s="654"/>
      <c r="BN174" s="654"/>
      <c r="BO174" s="654"/>
      <c r="BP174" s="654"/>
      <c r="BQ174" s="654"/>
      <c r="BR174" s="654"/>
    </row>
    <row r="175" spans="1:70">
      <c r="A175" s="647" t="s">
        <v>1317</v>
      </c>
      <c r="B175" s="647" t="s">
        <v>2282</v>
      </c>
      <c r="C175" s="648">
        <f>SETUP!$F$22</f>
        <v>0</v>
      </c>
      <c r="D175" s="649">
        <v>4.7</v>
      </c>
      <c r="E175" s="647" t="s">
        <v>1371</v>
      </c>
      <c r="F175" s="647" t="s">
        <v>1440</v>
      </c>
      <c r="G175" s="650" t="str">
        <f t="array" ref="G175">IFERROR(INDEX('HIV-Pharmaceuticals'!$L$107:$L$192,MATCH($E175&amp;$F175,'HIV-Pharmaceuticals'!$E$107:$E$192&amp;'HIV-Pharmaceuticals'!$I$107:$I$192,0)),"")</f>
        <v/>
      </c>
      <c r="H175" s="650" t="str">
        <f t="array" ref="H175">IFERROR(INDEX('HIV-Pharmaceuticals'!$M$107:$M$192,MATCH($E175&amp;$F175,'HIV-Pharmaceuticals'!$E$107:$E$192&amp;'HIV-Pharmaceuticals'!$I$107:$I$192,0)),"")</f>
        <v/>
      </c>
      <c r="I175" s="651">
        <f t="array" ref="I175">IFERROR(INDEX('HIV-Pharmaceuticals'!$N$107:$N$192,MATCH($E175&amp;$F175,'HIV-Pharmaceuticals'!$E$107:$E$192&amp;'HIV-Pharmaceuticals'!$I$107:$I$192,0)),0)</f>
        <v>0</v>
      </c>
      <c r="J175" s="651">
        <f t="array" ref="J175">IFERROR(INDEX('HIV-Pharmaceuticals'!$O$107:$O$192,MATCH($E175&amp;$F175,'HIV-Pharmaceuticals'!$E$107:$E$192&amp;'HIV-Pharmaceuticals'!$I$107:$I$192,0)),0)</f>
        <v>0</v>
      </c>
      <c r="K175" s="652">
        <f t="shared" si="72"/>
        <v>0</v>
      </c>
      <c r="L175" s="652">
        <f t="shared" si="73"/>
        <v>0</v>
      </c>
      <c r="M175" s="652">
        <f t="shared" si="74"/>
        <v>0</v>
      </c>
      <c r="N175" s="651">
        <f t="array" ref="N175">IFERROR(INDEX('HIV-Pharmaceuticals'!$P$107:$P$192,MATCH($E175&amp;$F175,'HIV-Pharmaceuticals'!$E$107:$E$192&amp;'HIV-Pharmaceuticals'!$I$107:$I$192,0)),0)</f>
        <v>0</v>
      </c>
      <c r="O175" s="652">
        <f t="shared" si="75"/>
        <v>0</v>
      </c>
      <c r="P175" s="652">
        <f t="shared" si="76"/>
        <v>0</v>
      </c>
      <c r="Q175" s="652">
        <f t="shared" si="77"/>
        <v>0</v>
      </c>
      <c r="R175" s="651">
        <f t="array" ref="R175">IFERROR(INDEX('HIV-Pharmaceuticals'!$Q$107:$Q$192,MATCH($E175&amp;$F175,'HIV-Pharmaceuticals'!$E$107:$E$192&amp;'HIV-Pharmaceuticals'!$I$107:$I$192,0)),0)</f>
        <v>0</v>
      </c>
      <c r="S175" s="652">
        <f t="shared" si="78"/>
        <v>0</v>
      </c>
      <c r="T175" s="652">
        <f t="shared" si="79"/>
        <v>0</v>
      </c>
      <c r="U175" s="652">
        <f t="shared" si="80"/>
        <v>0</v>
      </c>
      <c r="V175" s="651">
        <f t="array" ref="V175">IFERROR(INDEX('HIV-Pharmaceuticals'!$R$107:$R$192,MATCH($E175&amp;$F175,'HIV-Pharmaceuticals'!$E$107:$E$192&amp;'HIV-Pharmaceuticals'!$I$107:$I$192,0)),0)</f>
        <v>0</v>
      </c>
      <c r="W175" s="652">
        <f t="shared" si="81"/>
        <v>0</v>
      </c>
      <c r="X175" s="652">
        <f t="shared" si="82"/>
        <v>0</v>
      </c>
      <c r="Y175" s="652">
        <f t="shared" si="83"/>
        <v>0</v>
      </c>
      <c r="Z175" s="653"/>
      <c r="AA175" s="651">
        <f t="array" ref="AA175">IFERROR(INDEX('HIV-Pharmaceuticals'!$U$107:$U$192,MATCH($E175&amp;$F175,'HIV-Pharmaceuticals'!$E$107:$E$192&amp;'HIV-Pharmaceuticals'!$I$107:$I$192,0)),0)</f>
        <v>0</v>
      </c>
      <c r="AB175" s="651">
        <f t="array" ref="AB175">IFERROR(INDEX('HIV-Pharmaceuticals'!$V$107:$V$192,MATCH($E175&amp;$F175,'HIV-Pharmaceuticals'!$E$107:$E$192&amp;'HIV-Pharmaceuticals'!$I$107:$I$192,0)),0)</f>
        <v>0</v>
      </c>
      <c r="AC175" s="651">
        <f t="shared" si="84"/>
        <v>0</v>
      </c>
      <c r="AD175" s="652">
        <f t="shared" si="85"/>
        <v>0</v>
      </c>
      <c r="AE175" s="652">
        <f t="shared" si="86"/>
        <v>0</v>
      </c>
      <c r="AF175" s="651">
        <f t="array" ref="AF175">IFERROR(INDEX('HIV-Pharmaceuticals'!$W$107:$W$192,MATCH($E175&amp;$F175,'HIV-Pharmaceuticals'!$E$107:$E$192&amp;'HIV-Pharmaceuticals'!$I$107:$I$192,0)),0)</f>
        <v>0</v>
      </c>
      <c r="AG175" s="651">
        <f t="shared" si="87"/>
        <v>0</v>
      </c>
      <c r="AH175" s="652">
        <f t="shared" si="88"/>
        <v>0</v>
      </c>
      <c r="AI175" s="652">
        <f t="shared" si="89"/>
        <v>0</v>
      </c>
      <c r="AJ175" s="651">
        <f t="array" ref="AJ175">IFERROR(INDEX('HIV-Pharmaceuticals'!$X$107:$X$192,MATCH($E175&amp;$F175,'HIV-Pharmaceuticals'!$E$107:$E$192&amp;'HIV-Pharmaceuticals'!$I$107:$I$192,0)),0)</f>
        <v>0</v>
      </c>
      <c r="AK175" s="651">
        <f t="shared" si="90"/>
        <v>0</v>
      </c>
      <c r="AL175" s="652">
        <f t="shared" si="91"/>
        <v>0</v>
      </c>
      <c r="AM175" s="652">
        <f t="shared" si="92"/>
        <v>0</v>
      </c>
      <c r="AN175" s="651">
        <f t="array" ref="AN175">IFERROR(INDEX('HIV-Pharmaceuticals'!$Y$107:$Y$192,MATCH($E175&amp;$F175,'HIV-Pharmaceuticals'!$E$107:$E$192&amp;'HIV-Pharmaceuticals'!$I$107:$I$192,0)),0)</f>
        <v>0</v>
      </c>
      <c r="AO175" s="651">
        <f t="shared" si="93"/>
        <v>0</v>
      </c>
      <c r="AP175" s="652">
        <f t="shared" si="94"/>
        <v>0</v>
      </c>
      <c r="AQ175" s="652">
        <f t="shared" si="95"/>
        <v>0</v>
      </c>
      <c r="AR175" s="653"/>
      <c r="AS175" s="651">
        <f t="array" ref="AS175">IFERROR(INDEX('HIV-Pharmaceuticals'!$AB$107:$AB$192,MATCH($E175&amp;$F175,'HIV-Pharmaceuticals'!$E$107:$E$192&amp;'HIV-Pharmaceuticals'!$I$107:$I$192,0)),0)</f>
        <v>0</v>
      </c>
      <c r="AT175" s="651">
        <f t="array" ref="AT175">IFERROR(INDEX('HIV-Pharmaceuticals'!$AC$107:$AC$192,MATCH($E175&amp;$F175,'HIV-Pharmaceuticals'!$E$107:$E$192&amp;'HIV-Pharmaceuticals'!$I$107:$I$192,0)),0)</f>
        <v>0</v>
      </c>
      <c r="AU175" s="651">
        <f t="shared" si="96"/>
        <v>0</v>
      </c>
      <c r="AV175" s="652">
        <f t="shared" si="97"/>
        <v>0</v>
      </c>
      <c r="AW175" s="652">
        <f t="shared" si="98"/>
        <v>0</v>
      </c>
      <c r="AX175" s="651">
        <f t="array" ref="AX175">IFERROR(INDEX('HIV-Pharmaceuticals'!$AD$107:$AD$192,MATCH($E175&amp;$F175,'HIV-Pharmaceuticals'!$E$107:$E$192&amp;'HIV-Pharmaceuticals'!$I$107:$I$192,0)),0)</f>
        <v>0</v>
      </c>
      <c r="AY175" s="651">
        <f t="shared" si="99"/>
        <v>0</v>
      </c>
      <c r="AZ175" s="652">
        <f t="shared" si="100"/>
        <v>0</v>
      </c>
      <c r="BA175" s="652">
        <f t="shared" si="101"/>
        <v>0</v>
      </c>
      <c r="BB175" s="651">
        <f t="array" ref="BB175">IFERROR(INDEX('HIV-Pharmaceuticals'!$AE$107:$AE$192,MATCH($E175&amp;$F175,'HIV-Pharmaceuticals'!$E$107:$E$192&amp;'HIV-Pharmaceuticals'!$I$107:$I$192,0)),0)</f>
        <v>0</v>
      </c>
      <c r="BC175" s="651">
        <f t="shared" si="102"/>
        <v>0</v>
      </c>
      <c r="BD175" s="652">
        <f t="shared" si="103"/>
        <v>0</v>
      </c>
      <c r="BE175" s="652">
        <f t="shared" si="104"/>
        <v>0</v>
      </c>
      <c r="BF175" s="651">
        <f t="array" ref="BF175">IFERROR(INDEX('HIV-Pharmaceuticals'!$AF$107:$AF$192,MATCH($E175&amp;$F175,'HIV-Pharmaceuticals'!$E$107:$E$192&amp;'HIV-Pharmaceuticals'!$I$107:$I$192,0)),0)</f>
        <v>0</v>
      </c>
      <c r="BG175" s="651">
        <f t="shared" si="105"/>
        <v>0</v>
      </c>
      <c r="BH175" s="652">
        <f t="shared" si="106"/>
        <v>0</v>
      </c>
      <c r="BI175" s="652">
        <f t="shared" si="107"/>
        <v>0</v>
      </c>
      <c r="BK175" s="654"/>
      <c r="BL175" s="654"/>
      <c r="BM175" s="654"/>
      <c r="BN175" s="654"/>
      <c r="BO175" s="654"/>
      <c r="BP175" s="654"/>
      <c r="BQ175" s="654"/>
      <c r="BR175" s="654"/>
    </row>
    <row r="176" spans="1:70">
      <c r="A176" s="647" t="s">
        <v>1317</v>
      </c>
      <c r="B176" s="647" t="s">
        <v>2282</v>
      </c>
      <c r="C176" s="648">
        <f>SETUP!$F$22</f>
        <v>0</v>
      </c>
      <c r="D176" s="649">
        <v>4.7</v>
      </c>
      <c r="E176" s="647" t="s">
        <v>1441</v>
      </c>
      <c r="F176" s="647" t="s">
        <v>1442</v>
      </c>
      <c r="G176" s="650" t="str">
        <f t="array" ref="G176">IFERROR(INDEX('HIV-Pharmaceuticals'!$L$107:$L$192,MATCH($E176&amp;$F176,'HIV-Pharmaceuticals'!$E$107:$E$192&amp;'HIV-Pharmaceuticals'!$I$107:$I$192,0)),"")</f>
        <v/>
      </c>
      <c r="H176" s="650" t="str">
        <f t="array" ref="H176">IFERROR(INDEX('HIV-Pharmaceuticals'!$M$107:$M$192,MATCH($E176&amp;$F176,'HIV-Pharmaceuticals'!$E$107:$E$192&amp;'HIV-Pharmaceuticals'!$I$107:$I$192,0)),"")</f>
        <v/>
      </c>
      <c r="I176" s="651">
        <f t="array" ref="I176">IFERROR(INDEX('HIV-Pharmaceuticals'!$N$107:$N$192,MATCH($E176&amp;$F176,'HIV-Pharmaceuticals'!$E$107:$E$192&amp;'HIV-Pharmaceuticals'!$I$107:$I$192,0)),0)</f>
        <v>0</v>
      </c>
      <c r="J176" s="651">
        <f t="array" ref="J176">IFERROR(INDEX('HIV-Pharmaceuticals'!$O$107:$O$192,MATCH($E176&amp;$F176,'HIV-Pharmaceuticals'!$E$107:$E$192&amp;'HIV-Pharmaceuticals'!$I$107:$I$192,0)),0)</f>
        <v>0</v>
      </c>
      <c r="K176" s="652">
        <f t="shared" si="72"/>
        <v>0</v>
      </c>
      <c r="L176" s="652">
        <f t="shared" si="73"/>
        <v>0</v>
      </c>
      <c r="M176" s="652">
        <f t="shared" si="74"/>
        <v>0</v>
      </c>
      <c r="N176" s="651">
        <f t="array" ref="N176">IFERROR(INDEX('HIV-Pharmaceuticals'!$P$107:$P$192,MATCH($E176&amp;$F176,'HIV-Pharmaceuticals'!$E$107:$E$192&amp;'HIV-Pharmaceuticals'!$I$107:$I$192,0)),0)</f>
        <v>0</v>
      </c>
      <c r="O176" s="652">
        <f t="shared" si="75"/>
        <v>0</v>
      </c>
      <c r="P176" s="652">
        <f t="shared" si="76"/>
        <v>0</v>
      </c>
      <c r="Q176" s="652">
        <f t="shared" si="77"/>
        <v>0</v>
      </c>
      <c r="R176" s="651">
        <f t="array" ref="R176">IFERROR(INDEX('HIV-Pharmaceuticals'!$Q$107:$Q$192,MATCH($E176&amp;$F176,'HIV-Pharmaceuticals'!$E$107:$E$192&amp;'HIV-Pharmaceuticals'!$I$107:$I$192,0)),0)</f>
        <v>0</v>
      </c>
      <c r="S176" s="652">
        <f t="shared" si="78"/>
        <v>0</v>
      </c>
      <c r="T176" s="652">
        <f t="shared" si="79"/>
        <v>0</v>
      </c>
      <c r="U176" s="652">
        <f t="shared" si="80"/>
        <v>0</v>
      </c>
      <c r="V176" s="651">
        <f t="array" ref="V176">IFERROR(INDEX('HIV-Pharmaceuticals'!$R$107:$R$192,MATCH($E176&amp;$F176,'HIV-Pharmaceuticals'!$E$107:$E$192&amp;'HIV-Pharmaceuticals'!$I$107:$I$192,0)),0)</f>
        <v>0</v>
      </c>
      <c r="W176" s="652">
        <f t="shared" si="81"/>
        <v>0</v>
      </c>
      <c r="X176" s="652">
        <f t="shared" si="82"/>
        <v>0</v>
      </c>
      <c r="Y176" s="652">
        <f t="shared" si="83"/>
        <v>0</v>
      </c>
      <c r="Z176" s="653"/>
      <c r="AA176" s="651">
        <f t="array" ref="AA176">IFERROR(INDEX('HIV-Pharmaceuticals'!$U$107:$U$192,MATCH($E176&amp;$F176,'HIV-Pharmaceuticals'!$E$107:$E$192&amp;'HIV-Pharmaceuticals'!$I$107:$I$192,0)),0)</f>
        <v>0</v>
      </c>
      <c r="AB176" s="651">
        <f t="array" ref="AB176">IFERROR(INDEX('HIV-Pharmaceuticals'!$V$107:$V$192,MATCH($E176&amp;$F176,'HIV-Pharmaceuticals'!$E$107:$E$192&amp;'HIV-Pharmaceuticals'!$I$107:$I$192,0)),0)</f>
        <v>0</v>
      </c>
      <c r="AC176" s="651">
        <f t="shared" si="84"/>
        <v>0</v>
      </c>
      <c r="AD176" s="652">
        <f t="shared" si="85"/>
        <v>0</v>
      </c>
      <c r="AE176" s="652">
        <f t="shared" si="86"/>
        <v>0</v>
      </c>
      <c r="AF176" s="651">
        <f t="array" ref="AF176">IFERROR(INDEX('HIV-Pharmaceuticals'!$W$107:$W$192,MATCH($E176&amp;$F176,'HIV-Pharmaceuticals'!$E$107:$E$192&amp;'HIV-Pharmaceuticals'!$I$107:$I$192,0)),0)</f>
        <v>0</v>
      </c>
      <c r="AG176" s="651">
        <f t="shared" si="87"/>
        <v>0</v>
      </c>
      <c r="AH176" s="652">
        <f t="shared" si="88"/>
        <v>0</v>
      </c>
      <c r="AI176" s="652">
        <f t="shared" si="89"/>
        <v>0</v>
      </c>
      <c r="AJ176" s="651">
        <f t="array" ref="AJ176">IFERROR(INDEX('HIV-Pharmaceuticals'!$X$107:$X$192,MATCH($E176&amp;$F176,'HIV-Pharmaceuticals'!$E$107:$E$192&amp;'HIV-Pharmaceuticals'!$I$107:$I$192,0)),0)</f>
        <v>0</v>
      </c>
      <c r="AK176" s="651">
        <f t="shared" si="90"/>
        <v>0</v>
      </c>
      <c r="AL176" s="652">
        <f t="shared" si="91"/>
        <v>0</v>
      </c>
      <c r="AM176" s="652">
        <f t="shared" si="92"/>
        <v>0</v>
      </c>
      <c r="AN176" s="651">
        <f t="array" ref="AN176">IFERROR(INDEX('HIV-Pharmaceuticals'!$Y$107:$Y$192,MATCH($E176&amp;$F176,'HIV-Pharmaceuticals'!$E$107:$E$192&amp;'HIV-Pharmaceuticals'!$I$107:$I$192,0)),0)</f>
        <v>0</v>
      </c>
      <c r="AO176" s="651">
        <f t="shared" si="93"/>
        <v>0</v>
      </c>
      <c r="AP176" s="652">
        <f t="shared" si="94"/>
        <v>0</v>
      </c>
      <c r="AQ176" s="652">
        <f t="shared" si="95"/>
        <v>0</v>
      </c>
      <c r="AR176" s="653"/>
      <c r="AS176" s="651">
        <f t="array" ref="AS176">IFERROR(INDEX('HIV-Pharmaceuticals'!$AB$107:$AB$192,MATCH($E176&amp;$F176,'HIV-Pharmaceuticals'!$E$107:$E$192&amp;'HIV-Pharmaceuticals'!$I$107:$I$192,0)),0)</f>
        <v>0</v>
      </c>
      <c r="AT176" s="651">
        <f t="array" ref="AT176">IFERROR(INDEX('HIV-Pharmaceuticals'!$AC$107:$AC$192,MATCH($E176&amp;$F176,'HIV-Pharmaceuticals'!$E$107:$E$192&amp;'HIV-Pharmaceuticals'!$I$107:$I$192,0)),0)</f>
        <v>0</v>
      </c>
      <c r="AU176" s="651">
        <f t="shared" si="96"/>
        <v>0</v>
      </c>
      <c r="AV176" s="652">
        <f t="shared" si="97"/>
        <v>0</v>
      </c>
      <c r="AW176" s="652">
        <f t="shared" si="98"/>
        <v>0</v>
      </c>
      <c r="AX176" s="651">
        <f t="array" ref="AX176">IFERROR(INDEX('HIV-Pharmaceuticals'!$AD$107:$AD$192,MATCH($E176&amp;$F176,'HIV-Pharmaceuticals'!$E$107:$E$192&amp;'HIV-Pharmaceuticals'!$I$107:$I$192,0)),0)</f>
        <v>0</v>
      </c>
      <c r="AY176" s="651">
        <f t="shared" si="99"/>
        <v>0</v>
      </c>
      <c r="AZ176" s="652">
        <f t="shared" si="100"/>
        <v>0</v>
      </c>
      <c r="BA176" s="652">
        <f t="shared" si="101"/>
        <v>0</v>
      </c>
      <c r="BB176" s="651">
        <f t="array" ref="BB176">IFERROR(INDEX('HIV-Pharmaceuticals'!$AE$107:$AE$192,MATCH($E176&amp;$F176,'HIV-Pharmaceuticals'!$E$107:$E$192&amp;'HIV-Pharmaceuticals'!$I$107:$I$192,0)),0)</f>
        <v>0</v>
      </c>
      <c r="BC176" s="651">
        <f t="shared" si="102"/>
        <v>0</v>
      </c>
      <c r="BD176" s="652">
        <f t="shared" si="103"/>
        <v>0</v>
      </c>
      <c r="BE176" s="652">
        <f t="shared" si="104"/>
        <v>0</v>
      </c>
      <c r="BF176" s="651">
        <f t="array" ref="BF176">IFERROR(INDEX('HIV-Pharmaceuticals'!$AF$107:$AF$192,MATCH($E176&amp;$F176,'HIV-Pharmaceuticals'!$E$107:$E$192&amp;'HIV-Pharmaceuticals'!$I$107:$I$192,0)),0)</f>
        <v>0</v>
      </c>
      <c r="BG176" s="651">
        <f t="shared" si="105"/>
        <v>0</v>
      </c>
      <c r="BH176" s="652">
        <f t="shared" si="106"/>
        <v>0</v>
      </c>
      <c r="BI176" s="652">
        <f t="shared" si="107"/>
        <v>0</v>
      </c>
      <c r="BK176" s="654"/>
      <c r="BL176" s="654"/>
      <c r="BM176" s="654"/>
      <c r="BN176" s="654"/>
      <c r="BO176" s="654"/>
      <c r="BP176" s="654"/>
      <c r="BQ176" s="654"/>
      <c r="BR176" s="654"/>
    </row>
    <row r="177" spans="1:70">
      <c r="A177" s="647" t="s">
        <v>1317</v>
      </c>
      <c r="B177" s="647" t="s">
        <v>2282</v>
      </c>
      <c r="C177" s="648">
        <f>SETUP!$F$22</f>
        <v>0</v>
      </c>
      <c r="D177" s="649">
        <v>4.7</v>
      </c>
      <c r="E177" s="647" t="s">
        <v>1372</v>
      </c>
      <c r="F177" s="647" t="s">
        <v>1443</v>
      </c>
      <c r="G177" s="650" t="str">
        <f t="array" ref="G177">IFERROR(INDEX('HIV-Pharmaceuticals'!$L$107:$L$192,MATCH($E177&amp;$F177,'HIV-Pharmaceuticals'!$E$107:$E$192&amp;'HIV-Pharmaceuticals'!$I$107:$I$192,0)),"")</f>
        <v/>
      </c>
      <c r="H177" s="650" t="str">
        <f t="array" ref="H177">IFERROR(INDEX('HIV-Pharmaceuticals'!$M$107:$M$192,MATCH($E177&amp;$F177,'HIV-Pharmaceuticals'!$E$107:$E$192&amp;'HIV-Pharmaceuticals'!$I$107:$I$192,0)),"")</f>
        <v/>
      </c>
      <c r="I177" s="651">
        <f t="array" ref="I177">IFERROR(INDEX('HIV-Pharmaceuticals'!$N$107:$N$192,MATCH($E177&amp;$F177,'HIV-Pharmaceuticals'!$E$107:$E$192&amp;'HIV-Pharmaceuticals'!$I$107:$I$192,0)),0)</f>
        <v>0</v>
      </c>
      <c r="J177" s="651">
        <f t="array" ref="J177">IFERROR(INDEX('HIV-Pharmaceuticals'!$O$107:$O$192,MATCH($E177&amp;$F177,'HIV-Pharmaceuticals'!$E$107:$E$192&amp;'HIV-Pharmaceuticals'!$I$107:$I$192,0)),0)</f>
        <v>0</v>
      </c>
      <c r="K177" s="652">
        <f t="shared" ref="K177:K211" si="108">IF(ISERROR($I177*J177),0,$I177*J177)</f>
        <v>0</v>
      </c>
      <c r="L177" s="652">
        <f t="shared" ref="L177:L211" si="109">IF(C177="Upfront",J177,0)</f>
        <v>0</v>
      </c>
      <c r="M177" s="652">
        <f t="shared" ref="M177:M211" si="110">IF(C177="Upfront",K177,0)</f>
        <v>0</v>
      </c>
      <c r="N177" s="651">
        <f t="array" ref="N177">IFERROR(INDEX('HIV-Pharmaceuticals'!$P$107:$P$192,MATCH($E177&amp;$F177,'HIV-Pharmaceuticals'!$E$107:$E$192&amp;'HIV-Pharmaceuticals'!$I$107:$I$192,0)),0)</f>
        <v>0</v>
      </c>
      <c r="O177" s="652">
        <f t="shared" ref="O177:O211" si="111">IF(ISERROR($I177*N177),0,$I177*N177)</f>
        <v>0</v>
      </c>
      <c r="P177" s="652">
        <f t="shared" ref="P177:P211" si="112">IF(C177="Upfront",N177,0)</f>
        <v>0</v>
      </c>
      <c r="Q177" s="652">
        <f t="shared" ref="Q177:Q211" si="113">IF(C177="Upfront",O177,0)</f>
        <v>0</v>
      </c>
      <c r="R177" s="651">
        <f t="array" ref="R177">IFERROR(INDEX('HIV-Pharmaceuticals'!$Q$107:$Q$192,MATCH($E177&amp;$F177,'HIV-Pharmaceuticals'!$E$107:$E$192&amp;'HIV-Pharmaceuticals'!$I$107:$I$192,0)),0)</f>
        <v>0</v>
      </c>
      <c r="S177" s="652">
        <f t="shared" ref="S177:S211" si="114">IF(ISERROR($I177*R177),0,$I177*R177)</f>
        <v>0</v>
      </c>
      <c r="T177" s="652">
        <f t="shared" ref="T177:T211" si="115">IF(C177="Upfront",R177,IF(C177="At delivery",J177,0))</f>
        <v>0</v>
      </c>
      <c r="U177" s="652">
        <f t="shared" ref="U177:U211" si="116">IF(C177="Upfront",S177,IF(C177="At delivery",K177,0))</f>
        <v>0</v>
      </c>
      <c r="V177" s="651">
        <f t="array" ref="V177">IFERROR(INDEX('HIV-Pharmaceuticals'!$R$107:$R$192,MATCH($E177&amp;$F177,'HIV-Pharmaceuticals'!$E$107:$E$192&amp;'HIV-Pharmaceuticals'!$I$107:$I$192,0)),0)</f>
        <v>0</v>
      </c>
      <c r="W177" s="652">
        <f t="shared" ref="W177:W211" si="117">IF(ISERROR($I177*V177),0,$I177*V177)</f>
        <v>0</v>
      </c>
      <c r="X177" s="652">
        <f t="shared" ref="X177:X211" si="118">IF(C177="Upfront",V177,IF(C177="At delivery",N177,0))</f>
        <v>0</v>
      </c>
      <c r="Y177" s="652">
        <f t="shared" ref="Y177:Y211" si="119">IF(C177="Upfront",W177,IF(C177="At delivery",O177,0))</f>
        <v>0</v>
      </c>
      <c r="Z177" s="653"/>
      <c r="AA177" s="651">
        <f t="array" ref="AA177">IFERROR(INDEX('HIV-Pharmaceuticals'!$U$107:$U$192,MATCH($E177&amp;$F177,'HIV-Pharmaceuticals'!$E$107:$E$192&amp;'HIV-Pharmaceuticals'!$I$107:$I$192,0)),0)</f>
        <v>0</v>
      </c>
      <c r="AB177" s="651">
        <f t="array" ref="AB177">IFERROR(INDEX('HIV-Pharmaceuticals'!$V$107:$V$192,MATCH($E177&amp;$F177,'HIV-Pharmaceuticals'!$E$107:$E$192&amp;'HIV-Pharmaceuticals'!$I$107:$I$192,0)),0)</f>
        <v>0</v>
      </c>
      <c r="AC177" s="651">
        <f t="shared" ref="AC177:AC211" si="120">IF(ISERROR($AA177*AB177),0,$AA177*AB177)</f>
        <v>0</v>
      </c>
      <c r="AD177" s="652">
        <f t="shared" ref="AD177:AD211" si="121">IF(C177="Upfront",AB177,IF(C177="At delivery",R177,0))</f>
        <v>0</v>
      </c>
      <c r="AE177" s="652">
        <f t="shared" ref="AE177:AE211" si="122">IF(C177="Upfront",AC177,IF(C177="At delivery",S177,0))</f>
        <v>0</v>
      </c>
      <c r="AF177" s="651">
        <f t="array" ref="AF177">IFERROR(INDEX('HIV-Pharmaceuticals'!$W$107:$W$192,MATCH($E177&amp;$F177,'HIV-Pharmaceuticals'!$E$107:$E$192&amp;'HIV-Pharmaceuticals'!$I$107:$I$192,0)),0)</f>
        <v>0</v>
      </c>
      <c r="AG177" s="651">
        <f t="shared" ref="AG177:AG211" si="123">IF(ISERROR($AA177*AF177),0,$AA177*AF177)</f>
        <v>0</v>
      </c>
      <c r="AH177" s="652">
        <f t="shared" ref="AH177:AH211" si="124">IF(C177="Upfront",AF177,IF(C177="At delivery",V177,0))</f>
        <v>0</v>
      </c>
      <c r="AI177" s="652">
        <f t="shared" ref="AI177:AI211" si="125">IF(C177="Upfront",AG177,IF(C177="At delivery",W177,0))</f>
        <v>0</v>
      </c>
      <c r="AJ177" s="651">
        <f t="array" ref="AJ177">IFERROR(INDEX('HIV-Pharmaceuticals'!$X$107:$X$192,MATCH($E177&amp;$F177,'HIV-Pharmaceuticals'!$E$107:$E$192&amp;'HIV-Pharmaceuticals'!$I$107:$I$192,0)),0)</f>
        <v>0</v>
      </c>
      <c r="AK177" s="651">
        <f t="shared" ref="AK177:AK211" si="126">IF(ISERROR($AA177*AJ177),0,$AA177*AJ177)</f>
        <v>0</v>
      </c>
      <c r="AL177" s="652">
        <f t="shared" ref="AL177:AL211" si="127">IF(C177="Upfront",AJ177,IF(C177="At delivery",AB177,0))</f>
        <v>0</v>
      </c>
      <c r="AM177" s="652">
        <f t="shared" ref="AM177:AM211" si="128">IF(C177="Upfront",AK177,IF(C177="At delivery",AC177,0))</f>
        <v>0</v>
      </c>
      <c r="AN177" s="651">
        <f t="array" ref="AN177">IFERROR(INDEX('HIV-Pharmaceuticals'!$Y$107:$Y$192,MATCH($E177&amp;$F177,'HIV-Pharmaceuticals'!$E$107:$E$192&amp;'HIV-Pharmaceuticals'!$I$107:$I$192,0)),0)</f>
        <v>0</v>
      </c>
      <c r="AO177" s="651">
        <f t="shared" ref="AO177:AO211" si="129">IF(ISERROR($AA177*AN177),0,$AA177*AN177)</f>
        <v>0</v>
      </c>
      <c r="AP177" s="652">
        <f t="shared" ref="AP177:AP211" si="130">IF(C177="Upfront",AN177,IF(C177="At delivery",AF177,0))</f>
        <v>0</v>
      </c>
      <c r="AQ177" s="652">
        <f t="shared" ref="AQ177:AQ211" si="131">IF(C177="Upfront",AO177,IF(C177="At delivery",AG177,0))</f>
        <v>0</v>
      </c>
      <c r="AR177" s="653"/>
      <c r="AS177" s="651">
        <f t="array" ref="AS177">IFERROR(INDEX('HIV-Pharmaceuticals'!$AB$107:$AB$192,MATCH($E177&amp;$F177,'HIV-Pharmaceuticals'!$E$107:$E$192&amp;'HIV-Pharmaceuticals'!$I$107:$I$192,0)),0)</f>
        <v>0</v>
      </c>
      <c r="AT177" s="651">
        <f t="array" ref="AT177">IFERROR(INDEX('HIV-Pharmaceuticals'!$AC$107:$AC$192,MATCH($E177&amp;$F177,'HIV-Pharmaceuticals'!$E$107:$E$192&amp;'HIV-Pharmaceuticals'!$I$107:$I$192,0)),0)</f>
        <v>0</v>
      </c>
      <c r="AU177" s="651">
        <f t="shared" ref="AU177:AU211" si="132">IF(ISERROR($AS177*AT177),0,$AS177*AT177)</f>
        <v>0</v>
      </c>
      <c r="AV177" s="652">
        <f t="shared" ref="AV177:AV211" si="133">IF(C177="Upfront",AT177,IF(C177="At delivery",AJ177,0))</f>
        <v>0</v>
      </c>
      <c r="AW177" s="652">
        <f t="shared" ref="AW177:AW211" si="134">IF(C177="Upfront",AU177,IF(C177="At delivery",AK177,0))</f>
        <v>0</v>
      </c>
      <c r="AX177" s="651">
        <f t="array" ref="AX177">IFERROR(INDEX('HIV-Pharmaceuticals'!$AD$107:$AD$192,MATCH($E177&amp;$F177,'HIV-Pharmaceuticals'!$E$107:$E$192&amp;'HIV-Pharmaceuticals'!$I$107:$I$192,0)),0)</f>
        <v>0</v>
      </c>
      <c r="AY177" s="651">
        <f t="shared" ref="AY177:AY211" si="135">IF(ISERROR($AS177*AX177),0,$AS177*AX177)</f>
        <v>0</v>
      </c>
      <c r="AZ177" s="652">
        <f t="shared" ref="AZ177:AZ211" si="136">IF(C177="Upfront",AX177,IF(C177="At delivery",AN177,0))</f>
        <v>0</v>
      </c>
      <c r="BA177" s="652">
        <f t="shared" ref="BA177:BA211" si="137">IF(C177="Upfront",AY177,IF(C177="At delivery",AO177,0))</f>
        <v>0</v>
      </c>
      <c r="BB177" s="651">
        <f t="array" ref="BB177">IFERROR(INDEX('HIV-Pharmaceuticals'!$AE$107:$AE$192,MATCH($E177&amp;$F177,'HIV-Pharmaceuticals'!$E$107:$E$192&amp;'HIV-Pharmaceuticals'!$I$107:$I$192,0)),0)</f>
        <v>0</v>
      </c>
      <c r="BC177" s="651">
        <f t="shared" ref="BC177:BC211" si="138">IF(ISERROR($AS177*BB177),0,$AS177*BB177)</f>
        <v>0</v>
      </c>
      <c r="BD177" s="652">
        <f t="shared" ref="BD177:BD211" si="139">IF(C177="Upfront",BB177,IF(C177="At delivery",AT177,0))</f>
        <v>0</v>
      </c>
      <c r="BE177" s="652">
        <f t="shared" ref="BE177:BE211" si="140">IF(C177="Upfront",BC177,IF(C177="At delivery",AU177,0))</f>
        <v>0</v>
      </c>
      <c r="BF177" s="651">
        <f t="array" ref="BF177">IFERROR(INDEX('HIV-Pharmaceuticals'!$AF$107:$AF$192,MATCH($E177&amp;$F177,'HIV-Pharmaceuticals'!$E$107:$E$192&amp;'HIV-Pharmaceuticals'!$I$107:$I$192,0)),0)</f>
        <v>0</v>
      </c>
      <c r="BG177" s="651">
        <f t="shared" ref="BG177:BG211" si="141">IF(ISERROR($AS177*BF177),0,$AS177*BF177)</f>
        <v>0</v>
      </c>
      <c r="BH177" s="652">
        <f t="shared" ref="BH177:BH211" si="142">IF(C177="Upfront",BF177,IF(C177="At delivery",AX177,0))</f>
        <v>0</v>
      </c>
      <c r="BI177" s="652">
        <f t="shared" ref="BI177:BI211" si="143">IF(C177="Upfront",BG177,IF(C177="At delivery",AY177,0))</f>
        <v>0</v>
      </c>
      <c r="BK177" s="654"/>
      <c r="BL177" s="654"/>
      <c r="BM177" s="654"/>
      <c r="BN177" s="654"/>
      <c r="BO177" s="654"/>
      <c r="BP177" s="654"/>
      <c r="BQ177" s="654"/>
      <c r="BR177" s="654"/>
    </row>
    <row r="178" spans="1:70">
      <c r="A178" s="647" t="s">
        <v>1317</v>
      </c>
      <c r="B178" s="647" t="s">
        <v>2282</v>
      </c>
      <c r="C178" s="648">
        <f>SETUP!$F$22</f>
        <v>0</v>
      </c>
      <c r="D178" s="649">
        <v>4.7</v>
      </c>
      <c r="E178" s="647" t="s">
        <v>1444</v>
      </c>
      <c r="F178" s="647" t="s">
        <v>1445</v>
      </c>
      <c r="G178" s="650" t="str">
        <f t="array" ref="G178">IFERROR(INDEX('HIV-Pharmaceuticals'!$L$107:$L$192,MATCH($E178&amp;$F178,'HIV-Pharmaceuticals'!$E$107:$E$192&amp;'HIV-Pharmaceuticals'!$I$107:$I$192,0)),"")</f>
        <v/>
      </c>
      <c r="H178" s="650" t="str">
        <f t="array" ref="H178">IFERROR(INDEX('HIV-Pharmaceuticals'!$M$107:$M$192,MATCH($E178&amp;$F178,'HIV-Pharmaceuticals'!$E$107:$E$192&amp;'HIV-Pharmaceuticals'!$I$107:$I$192,0)),"")</f>
        <v/>
      </c>
      <c r="I178" s="651">
        <f t="array" ref="I178">IFERROR(INDEX('HIV-Pharmaceuticals'!$N$107:$N$192,MATCH($E178&amp;$F178,'HIV-Pharmaceuticals'!$E$107:$E$192&amp;'HIV-Pharmaceuticals'!$I$107:$I$192,0)),0)</f>
        <v>0</v>
      </c>
      <c r="J178" s="651">
        <f t="array" ref="J178">IFERROR(INDEX('HIV-Pharmaceuticals'!$O$107:$O$192,MATCH($E178&amp;$F178,'HIV-Pharmaceuticals'!$E$107:$E$192&amp;'HIV-Pharmaceuticals'!$I$107:$I$192,0)),0)</f>
        <v>0</v>
      </c>
      <c r="K178" s="652">
        <f t="shared" si="108"/>
        <v>0</v>
      </c>
      <c r="L178" s="652">
        <f t="shared" si="109"/>
        <v>0</v>
      </c>
      <c r="M178" s="652">
        <f t="shared" si="110"/>
        <v>0</v>
      </c>
      <c r="N178" s="651">
        <f t="array" ref="N178">IFERROR(INDEX('HIV-Pharmaceuticals'!$P$107:$P$192,MATCH($E178&amp;$F178,'HIV-Pharmaceuticals'!$E$107:$E$192&amp;'HIV-Pharmaceuticals'!$I$107:$I$192,0)),0)</f>
        <v>0</v>
      </c>
      <c r="O178" s="652">
        <f t="shared" si="111"/>
        <v>0</v>
      </c>
      <c r="P178" s="652">
        <f t="shared" si="112"/>
        <v>0</v>
      </c>
      <c r="Q178" s="652">
        <f t="shared" si="113"/>
        <v>0</v>
      </c>
      <c r="R178" s="651">
        <f t="array" ref="R178">IFERROR(INDEX('HIV-Pharmaceuticals'!$Q$107:$Q$192,MATCH($E178&amp;$F178,'HIV-Pharmaceuticals'!$E$107:$E$192&amp;'HIV-Pharmaceuticals'!$I$107:$I$192,0)),0)</f>
        <v>0</v>
      </c>
      <c r="S178" s="652">
        <f t="shared" si="114"/>
        <v>0</v>
      </c>
      <c r="T178" s="652">
        <f t="shared" si="115"/>
        <v>0</v>
      </c>
      <c r="U178" s="652">
        <f t="shared" si="116"/>
        <v>0</v>
      </c>
      <c r="V178" s="651">
        <f t="array" ref="V178">IFERROR(INDEX('HIV-Pharmaceuticals'!$R$107:$R$192,MATCH($E178&amp;$F178,'HIV-Pharmaceuticals'!$E$107:$E$192&amp;'HIV-Pharmaceuticals'!$I$107:$I$192,0)),0)</f>
        <v>0</v>
      </c>
      <c r="W178" s="652">
        <f t="shared" si="117"/>
        <v>0</v>
      </c>
      <c r="X178" s="652">
        <f t="shared" si="118"/>
        <v>0</v>
      </c>
      <c r="Y178" s="652">
        <f t="shared" si="119"/>
        <v>0</v>
      </c>
      <c r="Z178" s="653"/>
      <c r="AA178" s="651">
        <f t="array" ref="AA178">IFERROR(INDEX('HIV-Pharmaceuticals'!$U$107:$U$192,MATCH($E178&amp;$F178,'HIV-Pharmaceuticals'!$E$107:$E$192&amp;'HIV-Pharmaceuticals'!$I$107:$I$192,0)),0)</f>
        <v>0</v>
      </c>
      <c r="AB178" s="651">
        <f t="array" ref="AB178">IFERROR(INDEX('HIV-Pharmaceuticals'!$V$107:$V$192,MATCH($E178&amp;$F178,'HIV-Pharmaceuticals'!$E$107:$E$192&amp;'HIV-Pharmaceuticals'!$I$107:$I$192,0)),0)</f>
        <v>0</v>
      </c>
      <c r="AC178" s="651">
        <f t="shared" si="120"/>
        <v>0</v>
      </c>
      <c r="AD178" s="652">
        <f t="shared" si="121"/>
        <v>0</v>
      </c>
      <c r="AE178" s="652">
        <f t="shared" si="122"/>
        <v>0</v>
      </c>
      <c r="AF178" s="651">
        <f t="array" ref="AF178">IFERROR(INDEX('HIV-Pharmaceuticals'!$W$107:$W$192,MATCH($E178&amp;$F178,'HIV-Pharmaceuticals'!$E$107:$E$192&amp;'HIV-Pharmaceuticals'!$I$107:$I$192,0)),0)</f>
        <v>0</v>
      </c>
      <c r="AG178" s="651">
        <f t="shared" si="123"/>
        <v>0</v>
      </c>
      <c r="AH178" s="652">
        <f t="shared" si="124"/>
        <v>0</v>
      </c>
      <c r="AI178" s="652">
        <f t="shared" si="125"/>
        <v>0</v>
      </c>
      <c r="AJ178" s="651">
        <f t="array" ref="AJ178">IFERROR(INDEX('HIV-Pharmaceuticals'!$X$107:$X$192,MATCH($E178&amp;$F178,'HIV-Pharmaceuticals'!$E$107:$E$192&amp;'HIV-Pharmaceuticals'!$I$107:$I$192,0)),0)</f>
        <v>0</v>
      </c>
      <c r="AK178" s="651">
        <f t="shared" si="126"/>
        <v>0</v>
      </c>
      <c r="AL178" s="652">
        <f t="shared" si="127"/>
        <v>0</v>
      </c>
      <c r="AM178" s="652">
        <f t="shared" si="128"/>
        <v>0</v>
      </c>
      <c r="AN178" s="651">
        <f t="array" ref="AN178">IFERROR(INDEX('HIV-Pharmaceuticals'!$Y$107:$Y$192,MATCH($E178&amp;$F178,'HIV-Pharmaceuticals'!$E$107:$E$192&amp;'HIV-Pharmaceuticals'!$I$107:$I$192,0)),0)</f>
        <v>0</v>
      </c>
      <c r="AO178" s="651">
        <f t="shared" si="129"/>
        <v>0</v>
      </c>
      <c r="AP178" s="652">
        <f t="shared" si="130"/>
        <v>0</v>
      </c>
      <c r="AQ178" s="652">
        <f t="shared" si="131"/>
        <v>0</v>
      </c>
      <c r="AR178" s="653"/>
      <c r="AS178" s="651">
        <f t="array" ref="AS178">IFERROR(INDEX('HIV-Pharmaceuticals'!$AB$107:$AB$192,MATCH($E178&amp;$F178,'HIV-Pharmaceuticals'!$E$107:$E$192&amp;'HIV-Pharmaceuticals'!$I$107:$I$192,0)),0)</f>
        <v>0</v>
      </c>
      <c r="AT178" s="651">
        <f t="array" ref="AT178">IFERROR(INDEX('HIV-Pharmaceuticals'!$AC$107:$AC$192,MATCH($E178&amp;$F178,'HIV-Pharmaceuticals'!$E$107:$E$192&amp;'HIV-Pharmaceuticals'!$I$107:$I$192,0)),0)</f>
        <v>0</v>
      </c>
      <c r="AU178" s="651">
        <f t="shared" si="132"/>
        <v>0</v>
      </c>
      <c r="AV178" s="652">
        <f t="shared" si="133"/>
        <v>0</v>
      </c>
      <c r="AW178" s="652">
        <f t="shared" si="134"/>
        <v>0</v>
      </c>
      <c r="AX178" s="651">
        <f t="array" ref="AX178">IFERROR(INDEX('HIV-Pharmaceuticals'!$AD$107:$AD$192,MATCH($E178&amp;$F178,'HIV-Pharmaceuticals'!$E$107:$E$192&amp;'HIV-Pharmaceuticals'!$I$107:$I$192,0)),0)</f>
        <v>0</v>
      </c>
      <c r="AY178" s="651">
        <f t="shared" si="135"/>
        <v>0</v>
      </c>
      <c r="AZ178" s="652">
        <f t="shared" si="136"/>
        <v>0</v>
      </c>
      <c r="BA178" s="652">
        <f t="shared" si="137"/>
        <v>0</v>
      </c>
      <c r="BB178" s="651">
        <f t="array" ref="BB178">IFERROR(INDEX('HIV-Pharmaceuticals'!$AE$107:$AE$192,MATCH($E178&amp;$F178,'HIV-Pharmaceuticals'!$E$107:$E$192&amp;'HIV-Pharmaceuticals'!$I$107:$I$192,0)),0)</f>
        <v>0</v>
      </c>
      <c r="BC178" s="651">
        <f t="shared" si="138"/>
        <v>0</v>
      </c>
      <c r="BD178" s="652">
        <f t="shared" si="139"/>
        <v>0</v>
      </c>
      <c r="BE178" s="652">
        <f t="shared" si="140"/>
        <v>0</v>
      </c>
      <c r="BF178" s="651">
        <f t="array" ref="BF178">IFERROR(INDEX('HIV-Pharmaceuticals'!$AF$107:$AF$192,MATCH($E178&amp;$F178,'HIV-Pharmaceuticals'!$E$107:$E$192&amp;'HIV-Pharmaceuticals'!$I$107:$I$192,0)),0)</f>
        <v>0</v>
      </c>
      <c r="BG178" s="651">
        <f t="shared" si="141"/>
        <v>0</v>
      </c>
      <c r="BH178" s="652">
        <f t="shared" si="142"/>
        <v>0</v>
      </c>
      <c r="BI178" s="652">
        <f t="shared" si="143"/>
        <v>0</v>
      </c>
      <c r="BK178" s="654"/>
      <c r="BL178" s="654"/>
      <c r="BM178" s="654"/>
      <c r="BN178" s="654"/>
      <c r="BO178" s="654"/>
      <c r="BP178" s="654"/>
      <c r="BQ178" s="654"/>
      <c r="BR178" s="654"/>
    </row>
    <row r="179" spans="1:70">
      <c r="A179" s="647" t="s">
        <v>1317</v>
      </c>
      <c r="B179" s="647" t="s">
        <v>2282</v>
      </c>
      <c r="C179" s="648">
        <f>SETUP!$F$22</f>
        <v>0</v>
      </c>
      <c r="D179" s="649">
        <v>4.7</v>
      </c>
      <c r="E179" s="647" t="s">
        <v>1444</v>
      </c>
      <c r="F179" s="647" t="s">
        <v>1406</v>
      </c>
      <c r="G179" s="650" t="str">
        <f t="array" ref="G179">IFERROR(INDEX('HIV-Pharmaceuticals'!$L$107:$L$192,MATCH($E179&amp;$F179,'HIV-Pharmaceuticals'!$E$107:$E$192&amp;'HIV-Pharmaceuticals'!$I$107:$I$192,0)),"")</f>
        <v/>
      </c>
      <c r="H179" s="650" t="str">
        <f t="array" ref="H179">IFERROR(INDEX('HIV-Pharmaceuticals'!$M$107:$M$192,MATCH($E179&amp;$F179,'HIV-Pharmaceuticals'!$E$107:$E$192&amp;'HIV-Pharmaceuticals'!$I$107:$I$192,0)),"")</f>
        <v/>
      </c>
      <c r="I179" s="651">
        <f t="array" ref="I179">IFERROR(INDEX('HIV-Pharmaceuticals'!$N$107:$N$192,MATCH($E179&amp;$F179,'HIV-Pharmaceuticals'!$E$107:$E$192&amp;'HIV-Pharmaceuticals'!$I$107:$I$192,0)),0)</f>
        <v>0</v>
      </c>
      <c r="J179" s="651">
        <f t="array" ref="J179">IFERROR(INDEX('HIV-Pharmaceuticals'!$O$107:$O$192,MATCH($E179&amp;$F179,'HIV-Pharmaceuticals'!$E$107:$E$192&amp;'HIV-Pharmaceuticals'!$I$107:$I$192,0)),0)</f>
        <v>0</v>
      </c>
      <c r="K179" s="652">
        <f t="shared" si="108"/>
        <v>0</v>
      </c>
      <c r="L179" s="652">
        <f t="shared" si="109"/>
        <v>0</v>
      </c>
      <c r="M179" s="652">
        <f t="shared" si="110"/>
        <v>0</v>
      </c>
      <c r="N179" s="651">
        <f t="array" ref="N179">IFERROR(INDEX('HIV-Pharmaceuticals'!$P$107:$P$192,MATCH($E179&amp;$F179,'HIV-Pharmaceuticals'!$E$107:$E$192&amp;'HIV-Pharmaceuticals'!$I$107:$I$192,0)),0)</f>
        <v>0</v>
      </c>
      <c r="O179" s="652">
        <f t="shared" si="111"/>
        <v>0</v>
      </c>
      <c r="P179" s="652">
        <f t="shared" si="112"/>
        <v>0</v>
      </c>
      <c r="Q179" s="652">
        <f t="shared" si="113"/>
        <v>0</v>
      </c>
      <c r="R179" s="651">
        <f t="array" ref="R179">IFERROR(INDEX('HIV-Pharmaceuticals'!$Q$107:$Q$192,MATCH($E179&amp;$F179,'HIV-Pharmaceuticals'!$E$107:$E$192&amp;'HIV-Pharmaceuticals'!$I$107:$I$192,0)),0)</f>
        <v>0</v>
      </c>
      <c r="S179" s="652">
        <f t="shared" si="114"/>
        <v>0</v>
      </c>
      <c r="T179" s="652">
        <f t="shared" si="115"/>
        <v>0</v>
      </c>
      <c r="U179" s="652">
        <f t="shared" si="116"/>
        <v>0</v>
      </c>
      <c r="V179" s="651">
        <f t="array" ref="V179">IFERROR(INDEX('HIV-Pharmaceuticals'!$R$107:$R$192,MATCH($E179&amp;$F179,'HIV-Pharmaceuticals'!$E$107:$E$192&amp;'HIV-Pharmaceuticals'!$I$107:$I$192,0)),0)</f>
        <v>0</v>
      </c>
      <c r="W179" s="652">
        <f t="shared" si="117"/>
        <v>0</v>
      </c>
      <c r="X179" s="652">
        <f t="shared" si="118"/>
        <v>0</v>
      </c>
      <c r="Y179" s="652">
        <f t="shared" si="119"/>
        <v>0</v>
      </c>
      <c r="Z179" s="653"/>
      <c r="AA179" s="651">
        <f t="array" ref="AA179">IFERROR(INDEX('HIV-Pharmaceuticals'!$U$107:$U$192,MATCH($E179&amp;$F179,'HIV-Pharmaceuticals'!$E$107:$E$192&amp;'HIV-Pharmaceuticals'!$I$107:$I$192,0)),0)</f>
        <v>0</v>
      </c>
      <c r="AB179" s="651">
        <f t="array" ref="AB179">IFERROR(INDEX('HIV-Pharmaceuticals'!$V$107:$V$192,MATCH($E179&amp;$F179,'HIV-Pharmaceuticals'!$E$107:$E$192&amp;'HIV-Pharmaceuticals'!$I$107:$I$192,0)),0)</f>
        <v>0</v>
      </c>
      <c r="AC179" s="651">
        <f t="shared" si="120"/>
        <v>0</v>
      </c>
      <c r="AD179" s="652">
        <f t="shared" si="121"/>
        <v>0</v>
      </c>
      <c r="AE179" s="652">
        <f t="shared" si="122"/>
        <v>0</v>
      </c>
      <c r="AF179" s="651">
        <f t="array" ref="AF179">IFERROR(INDEX('HIV-Pharmaceuticals'!$W$107:$W$192,MATCH($E179&amp;$F179,'HIV-Pharmaceuticals'!$E$107:$E$192&amp;'HIV-Pharmaceuticals'!$I$107:$I$192,0)),0)</f>
        <v>0</v>
      </c>
      <c r="AG179" s="651">
        <f t="shared" si="123"/>
        <v>0</v>
      </c>
      <c r="AH179" s="652">
        <f t="shared" si="124"/>
        <v>0</v>
      </c>
      <c r="AI179" s="652">
        <f t="shared" si="125"/>
        <v>0</v>
      </c>
      <c r="AJ179" s="651">
        <f t="array" ref="AJ179">IFERROR(INDEX('HIV-Pharmaceuticals'!$X$107:$X$192,MATCH($E179&amp;$F179,'HIV-Pharmaceuticals'!$E$107:$E$192&amp;'HIV-Pharmaceuticals'!$I$107:$I$192,0)),0)</f>
        <v>0</v>
      </c>
      <c r="AK179" s="651">
        <f t="shared" si="126"/>
        <v>0</v>
      </c>
      <c r="AL179" s="652">
        <f t="shared" si="127"/>
        <v>0</v>
      </c>
      <c r="AM179" s="652">
        <f t="shared" si="128"/>
        <v>0</v>
      </c>
      <c r="AN179" s="651">
        <f t="array" ref="AN179">IFERROR(INDEX('HIV-Pharmaceuticals'!$Y$107:$Y$192,MATCH($E179&amp;$F179,'HIV-Pharmaceuticals'!$E$107:$E$192&amp;'HIV-Pharmaceuticals'!$I$107:$I$192,0)),0)</f>
        <v>0</v>
      </c>
      <c r="AO179" s="651">
        <f t="shared" si="129"/>
        <v>0</v>
      </c>
      <c r="AP179" s="652">
        <f t="shared" si="130"/>
        <v>0</v>
      </c>
      <c r="AQ179" s="652">
        <f t="shared" si="131"/>
        <v>0</v>
      </c>
      <c r="AR179" s="653"/>
      <c r="AS179" s="651">
        <f t="array" ref="AS179">IFERROR(INDEX('HIV-Pharmaceuticals'!$AB$107:$AB$192,MATCH($E179&amp;$F179,'HIV-Pharmaceuticals'!$E$107:$E$192&amp;'HIV-Pharmaceuticals'!$I$107:$I$192,0)),0)</f>
        <v>0</v>
      </c>
      <c r="AT179" s="651">
        <f t="array" ref="AT179">IFERROR(INDEX('HIV-Pharmaceuticals'!$AC$107:$AC$192,MATCH($E179&amp;$F179,'HIV-Pharmaceuticals'!$E$107:$E$192&amp;'HIV-Pharmaceuticals'!$I$107:$I$192,0)),0)</f>
        <v>0</v>
      </c>
      <c r="AU179" s="651">
        <f t="shared" si="132"/>
        <v>0</v>
      </c>
      <c r="AV179" s="652">
        <f t="shared" si="133"/>
        <v>0</v>
      </c>
      <c r="AW179" s="652">
        <f t="shared" si="134"/>
        <v>0</v>
      </c>
      <c r="AX179" s="651">
        <f t="array" ref="AX179">IFERROR(INDEX('HIV-Pharmaceuticals'!$AD$107:$AD$192,MATCH($E179&amp;$F179,'HIV-Pharmaceuticals'!$E$107:$E$192&amp;'HIV-Pharmaceuticals'!$I$107:$I$192,0)),0)</f>
        <v>0</v>
      </c>
      <c r="AY179" s="651">
        <f t="shared" si="135"/>
        <v>0</v>
      </c>
      <c r="AZ179" s="652">
        <f t="shared" si="136"/>
        <v>0</v>
      </c>
      <c r="BA179" s="652">
        <f t="shared" si="137"/>
        <v>0</v>
      </c>
      <c r="BB179" s="651">
        <f t="array" ref="BB179">IFERROR(INDEX('HIV-Pharmaceuticals'!$AE$107:$AE$192,MATCH($E179&amp;$F179,'HIV-Pharmaceuticals'!$E$107:$E$192&amp;'HIV-Pharmaceuticals'!$I$107:$I$192,0)),0)</f>
        <v>0</v>
      </c>
      <c r="BC179" s="651">
        <f t="shared" si="138"/>
        <v>0</v>
      </c>
      <c r="BD179" s="652">
        <f t="shared" si="139"/>
        <v>0</v>
      </c>
      <c r="BE179" s="652">
        <f t="shared" si="140"/>
        <v>0</v>
      </c>
      <c r="BF179" s="651">
        <f t="array" ref="BF179">IFERROR(INDEX('HIV-Pharmaceuticals'!$AF$107:$AF$192,MATCH($E179&amp;$F179,'HIV-Pharmaceuticals'!$E$107:$E$192&amp;'HIV-Pharmaceuticals'!$I$107:$I$192,0)),0)</f>
        <v>0</v>
      </c>
      <c r="BG179" s="651">
        <f t="shared" si="141"/>
        <v>0</v>
      </c>
      <c r="BH179" s="652">
        <f t="shared" si="142"/>
        <v>0</v>
      </c>
      <c r="BI179" s="652">
        <f t="shared" si="143"/>
        <v>0</v>
      </c>
      <c r="BK179" s="654"/>
      <c r="BL179" s="654"/>
      <c r="BM179" s="654"/>
      <c r="BN179" s="654"/>
      <c r="BO179" s="654"/>
      <c r="BP179" s="654"/>
      <c r="BQ179" s="654"/>
      <c r="BR179" s="654"/>
    </row>
    <row r="180" spans="1:70">
      <c r="A180" s="647" t="s">
        <v>1317</v>
      </c>
      <c r="B180" s="647" t="s">
        <v>2282</v>
      </c>
      <c r="C180" s="648">
        <f>SETUP!$F$22</f>
        <v>0</v>
      </c>
      <c r="D180" s="649">
        <v>4.7</v>
      </c>
      <c r="E180" s="647" t="s">
        <v>1447</v>
      </c>
      <c r="F180" s="647" t="s">
        <v>1357</v>
      </c>
      <c r="G180" s="650" t="str">
        <f t="array" ref="G180">IFERROR(INDEX('HIV-Pharmaceuticals'!$L$107:$L$192,MATCH($E180&amp;$F180,'HIV-Pharmaceuticals'!$E$107:$E$192&amp;'HIV-Pharmaceuticals'!$I$107:$I$192,0)),"")</f>
        <v/>
      </c>
      <c r="H180" s="650" t="str">
        <f t="array" ref="H180">IFERROR(INDEX('HIV-Pharmaceuticals'!$M$107:$M$192,MATCH($E180&amp;$F180,'HIV-Pharmaceuticals'!$E$107:$E$192&amp;'HIV-Pharmaceuticals'!$I$107:$I$192,0)),"")</f>
        <v/>
      </c>
      <c r="I180" s="651">
        <f t="array" ref="I180">IFERROR(INDEX('HIV-Pharmaceuticals'!$N$107:$N$192,MATCH($E180&amp;$F180,'HIV-Pharmaceuticals'!$E$107:$E$192&amp;'HIV-Pharmaceuticals'!$I$107:$I$192,0)),0)</f>
        <v>0</v>
      </c>
      <c r="J180" s="651">
        <f t="array" ref="J180">IFERROR(INDEX('HIV-Pharmaceuticals'!$O$107:$O$192,MATCH($E180&amp;$F180,'HIV-Pharmaceuticals'!$E$107:$E$192&amp;'HIV-Pharmaceuticals'!$I$107:$I$192,0)),0)</f>
        <v>0</v>
      </c>
      <c r="K180" s="652">
        <f t="shared" si="108"/>
        <v>0</v>
      </c>
      <c r="L180" s="652">
        <f t="shared" si="109"/>
        <v>0</v>
      </c>
      <c r="M180" s="652">
        <f t="shared" si="110"/>
        <v>0</v>
      </c>
      <c r="N180" s="651">
        <f t="array" ref="N180">IFERROR(INDEX('HIV-Pharmaceuticals'!$P$107:$P$192,MATCH($E180&amp;$F180,'HIV-Pharmaceuticals'!$E$107:$E$192&amp;'HIV-Pharmaceuticals'!$I$107:$I$192,0)),0)</f>
        <v>0</v>
      </c>
      <c r="O180" s="652">
        <f t="shared" si="111"/>
        <v>0</v>
      </c>
      <c r="P180" s="652">
        <f t="shared" si="112"/>
        <v>0</v>
      </c>
      <c r="Q180" s="652">
        <f t="shared" si="113"/>
        <v>0</v>
      </c>
      <c r="R180" s="651">
        <f t="array" ref="R180">IFERROR(INDEX('HIV-Pharmaceuticals'!$Q$107:$Q$192,MATCH($E180&amp;$F180,'HIV-Pharmaceuticals'!$E$107:$E$192&amp;'HIV-Pharmaceuticals'!$I$107:$I$192,0)),0)</f>
        <v>0</v>
      </c>
      <c r="S180" s="652">
        <f t="shared" si="114"/>
        <v>0</v>
      </c>
      <c r="T180" s="652">
        <f t="shared" si="115"/>
        <v>0</v>
      </c>
      <c r="U180" s="652">
        <f t="shared" si="116"/>
        <v>0</v>
      </c>
      <c r="V180" s="651">
        <f t="array" ref="V180">IFERROR(INDEX('HIV-Pharmaceuticals'!$R$107:$R$192,MATCH($E180&amp;$F180,'HIV-Pharmaceuticals'!$E$107:$E$192&amp;'HIV-Pharmaceuticals'!$I$107:$I$192,0)),0)</f>
        <v>0</v>
      </c>
      <c r="W180" s="652">
        <f t="shared" si="117"/>
        <v>0</v>
      </c>
      <c r="X180" s="652">
        <f t="shared" si="118"/>
        <v>0</v>
      </c>
      <c r="Y180" s="652">
        <f t="shared" si="119"/>
        <v>0</v>
      </c>
      <c r="Z180" s="653"/>
      <c r="AA180" s="651">
        <f t="array" ref="AA180">IFERROR(INDEX('HIV-Pharmaceuticals'!$U$107:$U$192,MATCH($E180&amp;$F180,'HIV-Pharmaceuticals'!$E$107:$E$192&amp;'HIV-Pharmaceuticals'!$I$107:$I$192,0)),0)</f>
        <v>0</v>
      </c>
      <c r="AB180" s="651">
        <f t="array" ref="AB180">IFERROR(INDEX('HIV-Pharmaceuticals'!$V$107:$V$192,MATCH($E180&amp;$F180,'HIV-Pharmaceuticals'!$E$107:$E$192&amp;'HIV-Pharmaceuticals'!$I$107:$I$192,0)),0)</f>
        <v>0</v>
      </c>
      <c r="AC180" s="651">
        <f t="shared" si="120"/>
        <v>0</v>
      </c>
      <c r="AD180" s="652">
        <f t="shared" si="121"/>
        <v>0</v>
      </c>
      <c r="AE180" s="652">
        <f t="shared" si="122"/>
        <v>0</v>
      </c>
      <c r="AF180" s="651">
        <f t="array" ref="AF180">IFERROR(INDEX('HIV-Pharmaceuticals'!$W$107:$W$192,MATCH($E180&amp;$F180,'HIV-Pharmaceuticals'!$E$107:$E$192&amp;'HIV-Pharmaceuticals'!$I$107:$I$192,0)),0)</f>
        <v>0</v>
      </c>
      <c r="AG180" s="651">
        <f t="shared" si="123"/>
        <v>0</v>
      </c>
      <c r="AH180" s="652">
        <f t="shared" si="124"/>
        <v>0</v>
      </c>
      <c r="AI180" s="652">
        <f t="shared" si="125"/>
        <v>0</v>
      </c>
      <c r="AJ180" s="651">
        <f t="array" ref="AJ180">IFERROR(INDEX('HIV-Pharmaceuticals'!$X$107:$X$192,MATCH($E180&amp;$F180,'HIV-Pharmaceuticals'!$E$107:$E$192&amp;'HIV-Pharmaceuticals'!$I$107:$I$192,0)),0)</f>
        <v>0</v>
      </c>
      <c r="AK180" s="651">
        <f t="shared" si="126"/>
        <v>0</v>
      </c>
      <c r="AL180" s="652">
        <f t="shared" si="127"/>
        <v>0</v>
      </c>
      <c r="AM180" s="652">
        <f t="shared" si="128"/>
        <v>0</v>
      </c>
      <c r="AN180" s="651">
        <f t="array" ref="AN180">IFERROR(INDEX('HIV-Pharmaceuticals'!$Y$107:$Y$192,MATCH($E180&amp;$F180,'HIV-Pharmaceuticals'!$E$107:$E$192&amp;'HIV-Pharmaceuticals'!$I$107:$I$192,0)),0)</f>
        <v>0</v>
      </c>
      <c r="AO180" s="651">
        <f t="shared" si="129"/>
        <v>0</v>
      </c>
      <c r="AP180" s="652">
        <f t="shared" si="130"/>
        <v>0</v>
      </c>
      <c r="AQ180" s="652">
        <f t="shared" si="131"/>
        <v>0</v>
      </c>
      <c r="AR180" s="653"/>
      <c r="AS180" s="651">
        <f t="array" ref="AS180">IFERROR(INDEX('HIV-Pharmaceuticals'!$AB$107:$AB$192,MATCH($E180&amp;$F180,'HIV-Pharmaceuticals'!$E$107:$E$192&amp;'HIV-Pharmaceuticals'!$I$107:$I$192,0)),0)</f>
        <v>0</v>
      </c>
      <c r="AT180" s="651">
        <f t="array" ref="AT180">IFERROR(INDEX('HIV-Pharmaceuticals'!$AC$107:$AC$192,MATCH($E180&amp;$F180,'HIV-Pharmaceuticals'!$E$107:$E$192&amp;'HIV-Pharmaceuticals'!$I$107:$I$192,0)),0)</f>
        <v>0</v>
      </c>
      <c r="AU180" s="651">
        <f t="shared" si="132"/>
        <v>0</v>
      </c>
      <c r="AV180" s="652">
        <f t="shared" si="133"/>
        <v>0</v>
      </c>
      <c r="AW180" s="652">
        <f t="shared" si="134"/>
        <v>0</v>
      </c>
      <c r="AX180" s="651">
        <f t="array" ref="AX180">IFERROR(INDEX('HIV-Pharmaceuticals'!$AD$107:$AD$192,MATCH($E180&amp;$F180,'HIV-Pharmaceuticals'!$E$107:$E$192&amp;'HIV-Pharmaceuticals'!$I$107:$I$192,0)),0)</f>
        <v>0</v>
      </c>
      <c r="AY180" s="651">
        <f t="shared" si="135"/>
        <v>0</v>
      </c>
      <c r="AZ180" s="652">
        <f t="shared" si="136"/>
        <v>0</v>
      </c>
      <c r="BA180" s="652">
        <f t="shared" si="137"/>
        <v>0</v>
      </c>
      <c r="BB180" s="651">
        <f t="array" ref="BB180">IFERROR(INDEX('HIV-Pharmaceuticals'!$AE$107:$AE$192,MATCH($E180&amp;$F180,'HIV-Pharmaceuticals'!$E$107:$E$192&amp;'HIV-Pharmaceuticals'!$I$107:$I$192,0)),0)</f>
        <v>0</v>
      </c>
      <c r="BC180" s="651">
        <f t="shared" si="138"/>
        <v>0</v>
      </c>
      <c r="BD180" s="652">
        <f t="shared" si="139"/>
        <v>0</v>
      </c>
      <c r="BE180" s="652">
        <f t="shared" si="140"/>
        <v>0</v>
      </c>
      <c r="BF180" s="651">
        <f t="array" ref="BF180">IFERROR(INDEX('HIV-Pharmaceuticals'!$AF$107:$AF$192,MATCH($E180&amp;$F180,'HIV-Pharmaceuticals'!$E$107:$E$192&amp;'HIV-Pharmaceuticals'!$I$107:$I$192,0)),0)</f>
        <v>0</v>
      </c>
      <c r="BG180" s="651">
        <f t="shared" si="141"/>
        <v>0</v>
      </c>
      <c r="BH180" s="652">
        <f t="shared" si="142"/>
        <v>0</v>
      </c>
      <c r="BI180" s="652">
        <f t="shared" si="143"/>
        <v>0</v>
      </c>
      <c r="BK180" s="654"/>
      <c r="BL180" s="654"/>
      <c r="BM180" s="654"/>
      <c r="BN180" s="654"/>
      <c r="BO180" s="654"/>
      <c r="BP180" s="654"/>
      <c r="BQ180" s="654"/>
      <c r="BR180" s="654"/>
    </row>
    <row r="181" spans="1:70">
      <c r="A181" s="647" t="s">
        <v>1317</v>
      </c>
      <c r="B181" s="647" t="s">
        <v>2282</v>
      </c>
      <c r="C181" s="648">
        <f>SETUP!$F$22</f>
        <v>0</v>
      </c>
      <c r="D181" s="649">
        <v>4.7</v>
      </c>
      <c r="E181" s="647" t="s">
        <v>1374</v>
      </c>
      <c r="F181" s="647" t="s">
        <v>1375</v>
      </c>
      <c r="G181" s="650" t="str">
        <f t="array" ref="G181">IFERROR(INDEX('HIV-Pharmaceuticals'!$L$107:$L$192,MATCH($E181&amp;$F181,'HIV-Pharmaceuticals'!$E$107:$E$192&amp;'HIV-Pharmaceuticals'!$I$107:$I$192,0)),"")</f>
        <v/>
      </c>
      <c r="H181" s="650" t="str">
        <f t="array" ref="H181">IFERROR(INDEX('HIV-Pharmaceuticals'!$M$107:$M$192,MATCH($E181&amp;$F181,'HIV-Pharmaceuticals'!$E$107:$E$192&amp;'HIV-Pharmaceuticals'!$I$107:$I$192,0)),"")</f>
        <v/>
      </c>
      <c r="I181" s="651">
        <f t="array" ref="I181">IFERROR(INDEX('HIV-Pharmaceuticals'!$N$107:$N$192,MATCH($E181&amp;$F181,'HIV-Pharmaceuticals'!$E$107:$E$192&amp;'HIV-Pharmaceuticals'!$I$107:$I$192,0)),0)</f>
        <v>0</v>
      </c>
      <c r="J181" s="651">
        <f t="array" ref="J181">IFERROR(INDEX('HIV-Pharmaceuticals'!$O$107:$O$192,MATCH($E181&amp;$F181,'HIV-Pharmaceuticals'!$E$107:$E$192&amp;'HIV-Pharmaceuticals'!$I$107:$I$192,0)),0)</f>
        <v>0</v>
      </c>
      <c r="K181" s="652">
        <f t="shared" si="108"/>
        <v>0</v>
      </c>
      <c r="L181" s="652">
        <f t="shared" si="109"/>
        <v>0</v>
      </c>
      <c r="M181" s="652">
        <f t="shared" si="110"/>
        <v>0</v>
      </c>
      <c r="N181" s="651">
        <f t="array" ref="N181">IFERROR(INDEX('HIV-Pharmaceuticals'!$P$107:$P$192,MATCH($E181&amp;$F181,'HIV-Pharmaceuticals'!$E$107:$E$192&amp;'HIV-Pharmaceuticals'!$I$107:$I$192,0)),0)</f>
        <v>0</v>
      </c>
      <c r="O181" s="652">
        <f t="shared" si="111"/>
        <v>0</v>
      </c>
      <c r="P181" s="652">
        <f t="shared" si="112"/>
        <v>0</v>
      </c>
      <c r="Q181" s="652">
        <f t="shared" si="113"/>
        <v>0</v>
      </c>
      <c r="R181" s="651">
        <f t="array" ref="R181">IFERROR(INDEX('HIV-Pharmaceuticals'!$Q$107:$Q$192,MATCH($E181&amp;$F181,'HIV-Pharmaceuticals'!$E$107:$E$192&amp;'HIV-Pharmaceuticals'!$I$107:$I$192,0)),0)</f>
        <v>0</v>
      </c>
      <c r="S181" s="652">
        <f t="shared" si="114"/>
        <v>0</v>
      </c>
      <c r="T181" s="652">
        <f t="shared" si="115"/>
        <v>0</v>
      </c>
      <c r="U181" s="652">
        <f t="shared" si="116"/>
        <v>0</v>
      </c>
      <c r="V181" s="651">
        <f t="array" ref="V181">IFERROR(INDEX('HIV-Pharmaceuticals'!$R$107:$R$192,MATCH($E181&amp;$F181,'HIV-Pharmaceuticals'!$E$107:$E$192&amp;'HIV-Pharmaceuticals'!$I$107:$I$192,0)),0)</f>
        <v>0</v>
      </c>
      <c r="W181" s="652">
        <f t="shared" si="117"/>
        <v>0</v>
      </c>
      <c r="X181" s="652">
        <f t="shared" si="118"/>
        <v>0</v>
      </c>
      <c r="Y181" s="652">
        <f t="shared" si="119"/>
        <v>0</v>
      </c>
      <c r="Z181" s="653"/>
      <c r="AA181" s="651">
        <f t="array" ref="AA181">IFERROR(INDEX('HIV-Pharmaceuticals'!$U$107:$U$192,MATCH($E181&amp;$F181,'HIV-Pharmaceuticals'!$E$107:$E$192&amp;'HIV-Pharmaceuticals'!$I$107:$I$192,0)),0)</f>
        <v>0</v>
      </c>
      <c r="AB181" s="651">
        <f t="array" ref="AB181">IFERROR(INDEX('HIV-Pharmaceuticals'!$V$107:$V$192,MATCH($E181&amp;$F181,'HIV-Pharmaceuticals'!$E$107:$E$192&amp;'HIV-Pharmaceuticals'!$I$107:$I$192,0)),0)</f>
        <v>0</v>
      </c>
      <c r="AC181" s="651">
        <f t="shared" si="120"/>
        <v>0</v>
      </c>
      <c r="AD181" s="652">
        <f t="shared" si="121"/>
        <v>0</v>
      </c>
      <c r="AE181" s="652">
        <f t="shared" si="122"/>
        <v>0</v>
      </c>
      <c r="AF181" s="651">
        <f t="array" ref="AF181">IFERROR(INDEX('HIV-Pharmaceuticals'!$W$107:$W$192,MATCH($E181&amp;$F181,'HIV-Pharmaceuticals'!$E$107:$E$192&amp;'HIV-Pharmaceuticals'!$I$107:$I$192,0)),0)</f>
        <v>0</v>
      </c>
      <c r="AG181" s="651">
        <f t="shared" si="123"/>
        <v>0</v>
      </c>
      <c r="AH181" s="652">
        <f t="shared" si="124"/>
        <v>0</v>
      </c>
      <c r="AI181" s="652">
        <f t="shared" si="125"/>
        <v>0</v>
      </c>
      <c r="AJ181" s="651">
        <f t="array" ref="AJ181">IFERROR(INDEX('HIV-Pharmaceuticals'!$X$107:$X$192,MATCH($E181&amp;$F181,'HIV-Pharmaceuticals'!$E$107:$E$192&amp;'HIV-Pharmaceuticals'!$I$107:$I$192,0)),0)</f>
        <v>0</v>
      </c>
      <c r="AK181" s="651">
        <f t="shared" si="126"/>
        <v>0</v>
      </c>
      <c r="AL181" s="652">
        <f t="shared" si="127"/>
        <v>0</v>
      </c>
      <c r="AM181" s="652">
        <f t="shared" si="128"/>
        <v>0</v>
      </c>
      <c r="AN181" s="651">
        <f t="array" ref="AN181">IFERROR(INDEX('HIV-Pharmaceuticals'!$Y$107:$Y$192,MATCH($E181&amp;$F181,'HIV-Pharmaceuticals'!$E$107:$E$192&amp;'HIV-Pharmaceuticals'!$I$107:$I$192,0)),0)</f>
        <v>0</v>
      </c>
      <c r="AO181" s="651">
        <f t="shared" si="129"/>
        <v>0</v>
      </c>
      <c r="AP181" s="652">
        <f t="shared" si="130"/>
        <v>0</v>
      </c>
      <c r="AQ181" s="652">
        <f t="shared" si="131"/>
        <v>0</v>
      </c>
      <c r="AR181" s="653"/>
      <c r="AS181" s="651">
        <f t="array" ref="AS181">IFERROR(INDEX('HIV-Pharmaceuticals'!$AB$107:$AB$192,MATCH($E181&amp;$F181,'HIV-Pharmaceuticals'!$E$107:$E$192&amp;'HIV-Pharmaceuticals'!$I$107:$I$192,0)),0)</f>
        <v>0</v>
      </c>
      <c r="AT181" s="651">
        <f t="array" ref="AT181">IFERROR(INDEX('HIV-Pharmaceuticals'!$AC$107:$AC$192,MATCH($E181&amp;$F181,'HIV-Pharmaceuticals'!$E$107:$E$192&amp;'HIV-Pharmaceuticals'!$I$107:$I$192,0)),0)</f>
        <v>0</v>
      </c>
      <c r="AU181" s="651">
        <f t="shared" si="132"/>
        <v>0</v>
      </c>
      <c r="AV181" s="652">
        <f t="shared" si="133"/>
        <v>0</v>
      </c>
      <c r="AW181" s="652">
        <f t="shared" si="134"/>
        <v>0</v>
      </c>
      <c r="AX181" s="651">
        <f t="array" ref="AX181">IFERROR(INDEX('HIV-Pharmaceuticals'!$AD$107:$AD$192,MATCH($E181&amp;$F181,'HIV-Pharmaceuticals'!$E$107:$E$192&amp;'HIV-Pharmaceuticals'!$I$107:$I$192,0)),0)</f>
        <v>0</v>
      </c>
      <c r="AY181" s="651">
        <f t="shared" si="135"/>
        <v>0</v>
      </c>
      <c r="AZ181" s="652">
        <f t="shared" si="136"/>
        <v>0</v>
      </c>
      <c r="BA181" s="652">
        <f t="shared" si="137"/>
        <v>0</v>
      </c>
      <c r="BB181" s="651">
        <f t="array" ref="BB181">IFERROR(INDEX('HIV-Pharmaceuticals'!$AE$107:$AE$192,MATCH($E181&amp;$F181,'HIV-Pharmaceuticals'!$E$107:$E$192&amp;'HIV-Pharmaceuticals'!$I$107:$I$192,0)),0)</f>
        <v>0</v>
      </c>
      <c r="BC181" s="651">
        <f t="shared" si="138"/>
        <v>0</v>
      </c>
      <c r="BD181" s="652">
        <f t="shared" si="139"/>
        <v>0</v>
      </c>
      <c r="BE181" s="652">
        <f t="shared" si="140"/>
        <v>0</v>
      </c>
      <c r="BF181" s="651">
        <f t="array" ref="BF181">IFERROR(INDEX('HIV-Pharmaceuticals'!$AF$107:$AF$192,MATCH($E181&amp;$F181,'HIV-Pharmaceuticals'!$E$107:$E$192&amp;'HIV-Pharmaceuticals'!$I$107:$I$192,0)),0)</f>
        <v>0</v>
      </c>
      <c r="BG181" s="651">
        <f t="shared" si="141"/>
        <v>0</v>
      </c>
      <c r="BH181" s="652">
        <f t="shared" si="142"/>
        <v>0</v>
      </c>
      <c r="BI181" s="652">
        <f t="shared" si="143"/>
        <v>0</v>
      </c>
      <c r="BK181" s="654"/>
      <c r="BL181" s="654"/>
      <c r="BM181" s="654"/>
      <c r="BN181" s="654"/>
      <c r="BO181" s="654"/>
      <c r="BP181" s="654"/>
      <c r="BQ181" s="654"/>
      <c r="BR181" s="654"/>
    </row>
    <row r="182" spans="1:70">
      <c r="A182" s="647" t="s">
        <v>1317</v>
      </c>
      <c r="B182" s="647" t="s">
        <v>2282</v>
      </c>
      <c r="C182" s="648">
        <f>SETUP!$F$22</f>
        <v>0</v>
      </c>
      <c r="D182" s="649">
        <v>4.7</v>
      </c>
      <c r="E182" s="647" t="s">
        <v>1376</v>
      </c>
      <c r="F182" s="647" t="s">
        <v>1377</v>
      </c>
      <c r="G182" s="650" t="str">
        <f t="array" ref="G182">IFERROR(INDEX('HIV-Pharmaceuticals'!$L$107:$L$192,MATCH($E182&amp;$F182,'HIV-Pharmaceuticals'!$E$107:$E$192&amp;'HIV-Pharmaceuticals'!$I$107:$I$192,0)),"")</f>
        <v/>
      </c>
      <c r="H182" s="650" t="str">
        <f t="array" ref="H182">IFERROR(INDEX('HIV-Pharmaceuticals'!$M$107:$M$192,MATCH($E182&amp;$F182,'HIV-Pharmaceuticals'!$E$107:$E$192&amp;'HIV-Pharmaceuticals'!$I$107:$I$192,0)),"")</f>
        <v/>
      </c>
      <c r="I182" s="651">
        <f t="array" ref="I182">IFERROR(INDEX('HIV-Pharmaceuticals'!$N$107:$N$192,MATCH($E182&amp;$F182,'HIV-Pharmaceuticals'!$E$107:$E$192&amp;'HIV-Pharmaceuticals'!$I$107:$I$192,0)),0)</f>
        <v>0</v>
      </c>
      <c r="J182" s="651">
        <f t="array" ref="J182">IFERROR(INDEX('HIV-Pharmaceuticals'!$O$107:$O$192,MATCH($E182&amp;$F182,'HIV-Pharmaceuticals'!$E$107:$E$192&amp;'HIV-Pharmaceuticals'!$I$107:$I$192,0)),0)</f>
        <v>0</v>
      </c>
      <c r="K182" s="652">
        <f t="shared" si="108"/>
        <v>0</v>
      </c>
      <c r="L182" s="652">
        <f t="shared" si="109"/>
        <v>0</v>
      </c>
      <c r="M182" s="652">
        <f t="shared" si="110"/>
        <v>0</v>
      </c>
      <c r="N182" s="651">
        <f t="array" ref="N182">IFERROR(INDEX('HIV-Pharmaceuticals'!$P$107:$P$192,MATCH($E182&amp;$F182,'HIV-Pharmaceuticals'!$E$107:$E$192&amp;'HIV-Pharmaceuticals'!$I$107:$I$192,0)),0)</f>
        <v>0</v>
      </c>
      <c r="O182" s="652">
        <f t="shared" si="111"/>
        <v>0</v>
      </c>
      <c r="P182" s="652">
        <f t="shared" si="112"/>
        <v>0</v>
      </c>
      <c r="Q182" s="652">
        <f t="shared" si="113"/>
        <v>0</v>
      </c>
      <c r="R182" s="651">
        <f t="array" ref="R182">IFERROR(INDEX('HIV-Pharmaceuticals'!$Q$107:$Q$192,MATCH($E182&amp;$F182,'HIV-Pharmaceuticals'!$E$107:$E$192&amp;'HIV-Pharmaceuticals'!$I$107:$I$192,0)),0)</f>
        <v>0</v>
      </c>
      <c r="S182" s="652">
        <f t="shared" si="114"/>
        <v>0</v>
      </c>
      <c r="T182" s="652">
        <f t="shared" si="115"/>
        <v>0</v>
      </c>
      <c r="U182" s="652">
        <f t="shared" si="116"/>
        <v>0</v>
      </c>
      <c r="V182" s="651">
        <f t="array" ref="V182">IFERROR(INDEX('HIV-Pharmaceuticals'!$R$107:$R$192,MATCH($E182&amp;$F182,'HIV-Pharmaceuticals'!$E$107:$E$192&amp;'HIV-Pharmaceuticals'!$I$107:$I$192,0)),0)</f>
        <v>0</v>
      </c>
      <c r="W182" s="652">
        <f t="shared" si="117"/>
        <v>0</v>
      </c>
      <c r="X182" s="652">
        <f t="shared" si="118"/>
        <v>0</v>
      </c>
      <c r="Y182" s="652">
        <f t="shared" si="119"/>
        <v>0</v>
      </c>
      <c r="Z182" s="653"/>
      <c r="AA182" s="651">
        <f t="array" ref="AA182">IFERROR(INDEX('HIV-Pharmaceuticals'!$U$107:$U$192,MATCH($E182&amp;$F182,'HIV-Pharmaceuticals'!$E$107:$E$192&amp;'HIV-Pharmaceuticals'!$I$107:$I$192,0)),0)</f>
        <v>0</v>
      </c>
      <c r="AB182" s="651">
        <f t="array" ref="AB182">IFERROR(INDEX('HIV-Pharmaceuticals'!$V$107:$V$192,MATCH($E182&amp;$F182,'HIV-Pharmaceuticals'!$E$107:$E$192&amp;'HIV-Pharmaceuticals'!$I$107:$I$192,0)),0)</f>
        <v>0</v>
      </c>
      <c r="AC182" s="651">
        <f t="shared" si="120"/>
        <v>0</v>
      </c>
      <c r="AD182" s="652">
        <f t="shared" si="121"/>
        <v>0</v>
      </c>
      <c r="AE182" s="652">
        <f t="shared" si="122"/>
        <v>0</v>
      </c>
      <c r="AF182" s="651">
        <f t="array" ref="AF182">IFERROR(INDEX('HIV-Pharmaceuticals'!$W$107:$W$192,MATCH($E182&amp;$F182,'HIV-Pharmaceuticals'!$E$107:$E$192&amp;'HIV-Pharmaceuticals'!$I$107:$I$192,0)),0)</f>
        <v>0</v>
      </c>
      <c r="AG182" s="651">
        <f t="shared" si="123"/>
        <v>0</v>
      </c>
      <c r="AH182" s="652">
        <f t="shared" si="124"/>
        <v>0</v>
      </c>
      <c r="AI182" s="652">
        <f t="shared" si="125"/>
        <v>0</v>
      </c>
      <c r="AJ182" s="651">
        <f t="array" ref="AJ182">IFERROR(INDEX('HIV-Pharmaceuticals'!$X$107:$X$192,MATCH($E182&amp;$F182,'HIV-Pharmaceuticals'!$E$107:$E$192&amp;'HIV-Pharmaceuticals'!$I$107:$I$192,0)),0)</f>
        <v>0</v>
      </c>
      <c r="AK182" s="651">
        <f t="shared" si="126"/>
        <v>0</v>
      </c>
      <c r="AL182" s="652">
        <f t="shared" si="127"/>
        <v>0</v>
      </c>
      <c r="AM182" s="652">
        <f t="shared" si="128"/>
        <v>0</v>
      </c>
      <c r="AN182" s="651">
        <f t="array" ref="AN182">IFERROR(INDEX('HIV-Pharmaceuticals'!$Y$107:$Y$192,MATCH($E182&amp;$F182,'HIV-Pharmaceuticals'!$E$107:$E$192&amp;'HIV-Pharmaceuticals'!$I$107:$I$192,0)),0)</f>
        <v>0</v>
      </c>
      <c r="AO182" s="651">
        <f t="shared" si="129"/>
        <v>0</v>
      </c>
      <c r="AP182" s="652">
        <f t="shared" si="130"/>
        <v>0</v>
      </c>
      <c r="AQ182" s="652">
        <f t="shared" si="131"/>
        <v>0</v>
      </c>
      <c r="AR182" s="653"/>
      <c r="AS182" s="651">
        <f t="array" ref="AS182">IFERROR(INDEX('HIV-Pharmaceuticals'!$AB$107:$AB$192,MATCH($E182&amp;$F182,'HIV-Pharmaceuticals'!$E$107:$E$192&amp;'HIV-Pharmaceuticals'!$I$107:$I$192,0)),0)</f>
        <v>0</v>
      </c>
      <c r="AT182" s="651">
        <f t="array" ref="AT182">IFERROR(INDEX('HIV-Pharmaceuticals'!$AC$107:$AC$192,MATCH($E182&amp;$F182,'HIV-Pharmaceuticals'!$E$107:$E$192&amp;'HIV-Pharmaceuticals'!$I$107:$I$192,0)),0)</f>
        <v>0</v>
      </c>
      <c r="AU182" s="651">
        <f t="shared" si="132"/>
        <v>0</v>
      </c>
      <c r="AV182" s="652">
        <f t="shared" si="133"/>
        <v>0</v>
      </c>
      <c r="AW182" s="652">
        <f t="shared" si="134"/>
        <v>0</v>
      </c>
      <c r="AX182" s="651">
        <f t="array" ref="AX182">IFERROR(INDEX('HIV-Pharmaceuticals'!$AD$107:$AD$192,MATCH($E182&amp;$F182,'HIV-Pharmaceuticals'!$E$107:$E$192&amp;'HIV-Pharmaceuticals'!$I$107:$I$192,0)),0)</f>
        <v>0</v>
      </c>
      <c r="AY182" s="651">
        <f t="shared" si="135"/>
        <v>0</v>
      </c>
      <c r="AZ182" s="652">
        <f t="shared" si="136"/>
        <v>0</v>
      </c>
      <c r="BA182" s="652">
        <f t="shared" si="137"/>
        <v>0</v>
      </c>
      <c r="BB182" s="651">
        <f t="array" ref="BB182">IFERROR(INDEX('HIV-Pharmaceuticals'!$AE$107:$AE$192,MATCH($E182&amp;$F182,'HIV-Pharmaceuticals'!$E$107:$E$192&amp;'HIV-Pharmaceuticals'!$I$107:$I$192,0)),0)</f>
        <v>0</v>
      </c>
      <c r="BC182" s="651">
        <f t="shared" si="138"/>
        <v>0</v>
      </c>
      <c r="BD182" s="652">
        <f t="shared" si="139"/>
        <v>0</v>
      </c>
      <c r="BE182" s="652">
        <f t="shared" si="140"/>
        <v>0</v>
      </c>
      <c r="BF182" s="651">
        <f t="array" ref="BF182">IFERROR(INDEX('HIV-Pharmaceuticals'!$AF$107:$AF$192,MATCH($E182&amp;$F182,'HIV-Pharmaceuticals'!$E$107:$E$192&amp;'HIV-Pharmaceuticals'!$I$107:$I$192,0)),0)</f>
        <v>0</v>
      </c>
      <c r="BG182" s="651">
        <f t="shared" si="141"/>
        <v>0</v>
      </c>
      <c r="BH182" s="652">
        <f t="shared" si="142"/>
        <v>0</v>
      </c>
      <c r="BI182" s="652">
        <f t="shared" si="143"/>
        <v>0</v>
      </c>
      <c r="BK182" s="654"/>
      <c r="BL182" s="654"/>
      <c r="BM182" s="654"/>
      <c r="BN182" s="654"/>
      <c r="BO182" s="654"/>
      <c r="BP182" s="654"/>
      <c r="BQ182" s="654"/>
      <c r="BR182" s="654"/>
    </row>
    <row r="183" spans="1:70">
      <c r="A183" s="647" t="s">
        <v>1317</v>
      </c>
      <c r="B183" s="647" t="s">
        <v>2282</v>
      </c>
      <c r="C183" s="648">
        <f>SETUP!$F$22</f>
        <v>0</v>
      </c>
      <c r="D183" s="649">
        <v>4.7</v>
      </c>
      <c r="E183" s="647" t="s">
        <v>1376</v>
      </c>
      <c r="F183" s="647" t="s">
        <v>1378</v>
      </c>
      <c r="G183" s="650" t="str">
        <f t="array" ref="G183">IFERROR(INDEX('HIV-Pharmaceuticals'!$L$107:$L$192,MATCH($E183&amp;$F183,'HIV-Pharmaceuticals'!$E$107:$E$192&amp;'HIV-Pharmaceuticals'!$I$107:$I$192,0)),"")</f>
        <v/>
      </c>
      <c r="H183" s="650" t="str">
        <f t="array" ref="H183">IFERROR(INDEX('HIV-Pharmaceuticals'!$M$107:$M$192,MATCH($E183&amp;$F183,'HIV-Pharmaceuticals'!$E$107:$E$192&amp;'HIV-Pharmaceuticals'!$I$107:$I$192,0)),"")</f>
        <v/>
      </c>
      <c r="I183" s="651">
        <f t="array" ref="I183">IFERROR(INDEX('HIV-Pharmaceuticals'!$N$107:$N$192,MATCH($E183&amp;$F183,'HIV-Pharmaceuticals'!$E$107:$E$192&amp;'HIV-Pharmaceuticals'!$I$107:$I$192,0)),0)</f>
        <v>0</v>
      </c>
      <c r="J183" s="651">
        <f t="array" ref="J183">IFERROR(INDEX('HIV-Pharmaceuticals'!$O$107:$O$192,MATCH($E183&amp;$F183,'HIV-Pharmaceuticals'!$E$107:$E$192&amp;'HIV-Pharmaceuticals'!$I$107:$I$192,0)),0)</f>
        <v>0</v>
      </c>
      <c r="K183" s="652">
        <f t="shared" si="108"/>
        <v>0</v>
      </c>
      <c r="L183" s="652">
        <f t="shared" si="109"/>
        <v>0</v>
      </c>
      <c r="M183" s="652">
        <f t="shared" si="110"/>
        <v>0</v>
      </c>
      <c r="N183" s="651">
        <f t="array" ref="N183">IFERROR(INDEX('HIV-Pharmaceuticals'!$P$107:$P$192,MATCH($E183&amp;$F183,'HIV-Pharmaceuticals'!$E$107:$E$192&amp;'HIV-Pharmaceuticals'!$I$107:$I$192,0)),0)</f>
        <v>0</v>
      </c>
      <c r="O183" s="652">
        <f t="shared" si="111"/>
        <v>0</v>
      </c>
      <c r="P183" s="652">
        <f t="shared" si="112"/>
        <v>0</v>
      </c>
      <c r="Q183" s="652">
        <f t="shared" si="113"/>
        <v>0</v>
      </c>
      <c r="R183" s="651">
        <f t="array" ref="R183">IFERROR(INDEX('HIV-Pharmaceuticals'!$Q$107:$Q$192,MATCH($E183&amp;$F183,'HIV-Pharmaceuticals'!$E$107:$E$192&amp;'HIV-Pharmaceuticals'!$I$107:$I$192,0)),0)</f>
        <v>0</v>
      </c>
      <c r="S183" s="652">
        <f t="shared" si="114"/>
        <v>0</v>
      </c>
      <c r="T183" s="652">
        <f t="shared" si="115"/>
        <v>0</v>
      </c>
      <c r="U183" s="652">
        <f t="shared" si="116"/>
        <v>0</v>
      </c>
      <c r="V183" s="651">
        <f t="array" ref="V183">IFERROR(INDEX('HIV-Pharmaceuticals'!$R$107:$R$192,MATCH($E183&amp;$F183,'HIV-Pharmaceuticals'!$E$107:$E$192&amp;'HIV-Pharmaceuticals'!$I$107:$I$192,0)),0)</f>
        <v>0</v>
      </c>
      <c r="W183" s="652">
        <f t="shared" si="117"/>
        <v>0</v>
      </c>
      <c r="X183" s="652">
        <f t="shared" si="118"/>
        <v>0</v>
      </c>
      <c r="Y183" s="652">
        <f t="shared" si="119"/>
        <v>0</v>
      </c>
      <c r="Z183" s="653"/>
      <c r="AA183" s="651">
        <f t="array" ref="AA183">IFERROR(INDEX('HIV-Pharmaceuticals'!$U$107:$U$192,MATCH($E183&amp;$F183,'HIV-Pharmaceuticals'!$E$107:$E$192&amp;'HIV-Pharmaceuticals'!$I$107:$I$192,0)),0)</f>
        <v>0</v>
      </c>
      <c r="AB183" s="651">
        <f t="array" ref="AB183">IFERROR(INDEX('HIV-Pharmaceuticals'!$V$107:$V$192,MATCH($E183&amp;$F183,'HIV-Pharmaceuticals'!$E$107:$E$192&amp;'HIV-Pharmaceuticals'!$I$107:$I$192,0)),0)</f>
        <v>0</v>
      </c>
      <c r="AC183" s="651">
        <f t="shared" si="120"/>
        <v>0</v>
      </c>
      <c r="AD183" s="652">
        <f t="shared" si="121"/>
        <v>0</v>
      </c>
      <c r="AE183" s="652">
        <f t="shared" si="122"/>
        <v>0</v>
      </c>
      <c r="AF183" s="651">
        <f t="array" ref="AF183">IFERROR(INDEX('HIV-Pharmaceuticals'!$W$107:$W$192,MATCH($E183&amp;$F183,'HIV-Pharmaceuticals'!$E$107:$E$192&amp;'HIV-Pharmaceuticals'!$I$107:$I$192,0)),0)</f>
        <v>0</v>
      </c>
      <c r="AG183" s="651">
        <f t="shared" si="123"/>
        <v>0</v>
      </c>
      <c r="AH183" s="652">
        <f t="shared" si="124"/>
        <v>0</v>
      </c>
      <c r="AI183" s="652">
        <f t="shared" si="125"/>
        <v>0</v>
      </c>
      <c r="AJ183" s="651">
        <f t="array" ref="AJ183">IFERROR(INDEX('HIV-Pharmaceuticals'!$X$107:$X$192,MATCH($E183&amp;$F183,'HIV-Pharmaceuticals'!$E$107:$E$192&amp;'HIV-Pharmaceuticals'!$I$107:$I$192,0)),0)</f>
        <v>0</v>
      </c>
      <c r="AK183" s="651">
        <f t="shared" si="126"/>
        <v>0</v>
      </c>
      <c r="AL183" s="652">
        <f t="shared" si="127"/>
        <v>0</v>
      </c>
      <c r="AM183" s="652">
        <f t="shared" si="128"/>
        <v>0</v>
      </c>
      <c r="AN183" s="651">
        <f t="array" ref="AN183">IFERROR(INDEX('HIV-Pharmaceuticals'!$Y$107:$Y$192,MATCH($E183&amp;$F183,'HIV-Pharmaceuticals'!$E$107:$E$192&amp;'HIV-Pharmaceuticals'!$I$107:$I$192,0)),0)</f>
        <v>0</v>
      </c>
      <c r="AO183" s="651">
        <f t="shared" si="129"/>
        <v>0</v>
      </c>
      <c r="AP183" s="652">
        <f t="shared" si="130"/>
        <v>0</v>
      </c>
      <c r="AQ183" s="652">
        <f t="shared" si="131"/>
        <v>0</v>
      </c>
      <c r="AR183" s="653"/>
      <c r="AS183" s="651">
        <f t="array" ref="AS183">IFERROR(INDEX('HIV-Pharmaceuticals'!$AB$107:$AB$192,MATCH($E183&amp;$F183,'HIV-Pharmaceuticals'!$E$107:$E$192&amp;'HIV-Pharmaceuticals'!$I$107:$I$192,0)),0)</f>
        <v>0</v>
      </c>
      <c r="AT183" s="651">
        <f t="array" ref="AT183">IFERROR(INDEX('HIV-Pharmaceuticals'!$AC$107:$AC$192,MATCH($E183&amp;$F183,'HIV-Pharmaceuticals'!$E$107:$E$192&amp;'HIV-Pharmaceuticals'!$I$107:$I$192,0)),0)</f>
        <v>0</v>
      </c>
      <c r="AU183" s="651">
        <f t="shared" si="132"/>
        <v>0</v>
      </c>
      <c r="AV183" s="652">
        <f t="shared" si="133"/>
        <v>0</v>
      </c>
      <c r="AW183" s="652">
        <f t="shared" si="134"/>
        <v>0</v>
      </c>
      <c r="AX183" s="651">
        <f t="array" ref="AX183">IFERROR(INDEX('HIV-Pharmaceuticals'!$AD$107:$AD$192,MATCH($E183&amp;$F183,'HIV-Pharmaceuticals'!$E$107:$E$192&amp;'HIV-Pharmaceuticals'!$I$107:$I$192,0)),0)</f>
        <v>0</v>
      </c>
      <c r="AY183" s="651">
        <f t="shared" si="135"/>
        <v>0</v>
      </c>
      <c r="AZ183" s="652">
        <f t="shared" si="136"/>
        <v>0</v>
      </c>
      <c r="BA183" s="652">
        <f t="shared" si="137"/>
        <v>0</v>
      </c>
      <c r="BB183" s="651">
        <f t="array" ref="BB183">IFERROR(INDEX('HIV-Pharmaceuticals'!$AE$107:$AE$192,MATCH($E183&amp;$F183,'HIV-Pharmaceuticals'!$E$107:$E$192&amp;'HIV-Pharmaceuticals'!$I$107:$I$192,0)),0)</f>
        <v>0</v>
      </c>
      <c r="BC183" s="651">
        <f t="shared" si="138"/>
        <v>0</v>
      </c>
      <c r="BD183" s="652">
        <f t="shared" si="139"/>
        <v>0</v>
      </c>
      <c r="BE183" s="652">
        <f t="shared" si="140"/>
        <v>0</v>
      </c>
      <c r="BF183" s="651">
        <f t="array" ref="BF183">IFERROR(INDEX('HIV-Pharmaceuticals'!$AF$107:$AF$192,MATCH($E183&amp;$F183,'HIV-Pharmaceuticals'!$E$107:$E$192&amp;'HIV-Pharmaceuticals'!$I$107:$I$192,0)),0)</f>
        <v>0</v>
      </c>
      <c r="BG183" s="651">
        <f t="shared" si="141"/>
        <v>0</v>
      </c>
      <c r="BH183" s="652">
        <f t="shared" si="142"/>
        <v>0</v>
      </c>
      <c r="BI183" s="652">
        <f t="shared" si="143"/>
        <v>0</v>
      </c>
      <c r="BK183" s="654"/>
      <c r="BL183" s="654"/>
      <c r="BM183" s="654"/>
      <c r="BN183" s="654"/>
      <c r="BO183" s="654"/>
      <c r="BP183" s="654"/>
      <c r="BQ183" s="654"/>
      <c r="BR183" s="654"/>
    </row>
    <row r="184" spans="1:70">
      <c r="A184" s="647" t="s">
        <v>1317</v>
      </c>
      <c r="B184" s="647" t="s">
        <v>2282</v>
      </c>
      <c r="C184" s="648">
        <f>SETUP!$F$22</f>
        <v>0</v>
      </c>
      <c r="D184" s="649">
        <v>4.7</v>
      </c>
      <c r="E184" s="647" t="s">
        <v>1379</v>
      </c>
      <c r="F184" s="647" t="s">
        <v>1380</v>
      </c>
      <c r="G184" s="650" t="str">
        <f t="array" ref="G184">IFERROR(INDEX('HIV-Pharmaceuticals'!$L$107:$L$192,MATCH($E184&amp;$F184,'HIV-Pharmaceuticals'!$E$107:$E$192&amp;'HIV-Pharmaceuticals'!$I$107:$I$192,0)),"")</f>
        <v/>
      </c>
      <c r="H184" s="650" t="str">
        <f t="array" ref="H184">IFERROR(INDEX('HIV-Pharmaceuticals'!$M$107:$M$192,MATCH($E184&amp;$F184,'HIV-Pharmaceuticals'!$E$107:$E$192&amp;'HIV-Pharmaceuticals'!$I$107:$I$192,0)),"")</f>
        <v/>
      </c>
      <c r="I184" s="651">
        <f t="array" ref="I184">IFERROR(INDEX('HIV-Pharmaceuticals'!$N$107:$N$192,MATCH($E184&amp;$F184,'HIV-Pharmaceuticals'!$E$107:$E$192&amp;'HIV-Pharmaceuticals'!$I$107:$I$192,0)),0)</f>
        <v>0</v>
      </c>
      <c r="J184" s="651">
        <f t="array" ref="J184">IFERROR(INDEX('HIV-Pharmaceuticals'!$O$107:$O$192,MATCH($E184&amp;$F184,'HIV-Pharmaceuticals'!$E$107:$E$192&amp;'HIV-Pharmaceuticals'!$I$107:$I$192,0)),0)</f>
        <v>0</v>
      </c>
      <c r="K184" s="652">
        <f t="shared" si="108"/>
        <v>0</v>
      </c>
      <c r="L184" s="652">
        <f t="shared" si="109"/>
        <v>0</v>
      </c>
      <c r="M184" s="652">
        <f t="shared" si="110"/>
        <v>0</v>
      </c>
      <c r="N184" s="651">
        <f t="array" ref="N184">IFERROR(INDEX('HIV-Pharmaceuticals'!$P$107:$P$192,MATCH($E184&amp;$F184,'HIV-Pharmaceuticals'!$E$107:$E$192&amp;'HIV-Pharmaceuticals'!$I$107:$I$192,0)),0)</f>
        <v>0</v>
      </c>
      <c r="O184" s="652">
        <f t="shared" si="111"/>
        <v>0</v>
      </c>
      <c r="P184" s="652">
        <f t="shared" si="112"/>
        <v>0</v>
      </c>
      <c r="Q184" s="652">
        <f t="shared" si="113"/>
        <v>0</v>
      </c>
      <c r="R184" s="651">
        <f t="array" ref="R184">IFERROR(INDEX('HIV-Pharmaceuticals'!$Q$107:$Q$192,MATCH($E184&amp;$F184,'HIV-Pharmaceuticals'!$E$107:$E$192&amp;'HIV-Pharmaceuticals'!$I$107:$I$192,0)),0)</f>
        <v>0</v>
      </c>
      <c r="S184" s="652">
        <f t="shared" si="114"/>
        <v>0</v>
      </c>
      <c r="T184" s="652">
        <f t="shared" si="115"/>
        <v>0</v>
      </c>
      <c r="U184" s="652">
        <f t="shared" si="116"/>
        <v>0</v>
      </c>
      <c r="V184" s="651">
        <f t="array" ref="V184">IFERROR(INDEX('HIV-Pharmaceuticals'!$R$107:$R$192,MATCH($E184&amp;$F184,'HIV-Pharmaceuticals'!$E$107:$E$192&amp;'HIV-Pharmaceuticals'!$I$107:$I$192,0)),0)</f>
        <v>0</v>
      </c>
      <c r="W184" s="652">
        <f t="shared" si="117"/>
        <v>0</v>
      </c>
      <c r="X184" s="652">
        <f t="shared" si="118"/>
        <v>0</v>
      </c>
      <c r="Y184" s="652">
        <f t="shared" si="119"/>
        <v>0</v>
      </c>
      <c r="Z184" s="653"/>
      <c r="AA184" s="651">
        <f t="array" ref="AA184">IFERROR(INDEX('HIV-Pharmaceuticals'!$U$107:$U$192,MATCH($E184&amp;$F184,'HIV-Pharmaceuticals'!$E$107:$E$192&amp;'HIV-Pharmaceuticals'!$I$107:$I$192,0)),0)</f>
        <v>0</v>
      </c>
      <c r="AB184" s="651">
        <f t="array" ref="AB184">IFERROR(INDEX('HIV-Pharmaceuticals'!$V$107:$V$192,MATCH($E184&amp;$F184,'HIV-Pharmaceuticals'!$E$107:$E$192&amp;'HIV-Pharmaceuticals'!$I$107:$I$192,0)),0)</f>
        <v>0</v>
      </c>
      <c r="AC184" s="651">
        <f t="shared" si="120"/>
        <v>0</v>
      </c>
      <c r="AD184" s="652">
        <f t="shared" si="121"/>
        <v>0</v>
      </c>
      <c r="AE184" s="652">
        <f t="shared" si="122"/>
        <v>0</v>
      </c>
      <c r="AF184" s="651">
        <f t="array" ref="AF184">IFERROR(INDEX('HIV-Pharmaceuticals'!$W$107:$W$192,MATCH($E184&amp;$F184,'HIV-Pharmaceuticals'!$E$107:$E$192&amp;'HIV-Pharmaceuticals'!$I$107:$I$192,0)),0)</f>
        <v>0</v>
      </c>
      <c r="AG184" s="651">
        <f t="shared" si="123"/>
        <v>0</v>
      </c>
      <c r="AH184" s="652">
        <f t="shared" si="124"/>
        <v>0</v>
      </c>
      <c r="AI184" s="652">
        <f t="shared" si="125"/>
        <v>0</v>
      </c>
      <c r="AJ184" s="651">
        <f t="array" ref="AJ184">IFERROR(INDEX('HIV-Pharmaceuticals'!$X$107:$X$192,MATCH($E184&amp;$F184,'HIV-Pharmaceuticals'!$E$107:$E$192&amp;'HIV-Pharmaceuticals'!$I$107:$I$192,0)),0)</f>
        <v>0</v>
      </c>
      <c r="AK184" s="651">
        <f t="shared" si="126"/>
        <v>0</v>
      </c>
      <c r="AL184" s="652">
        <f t="shared" si="127"/>
        <v>0</v>
      </c>
      <c r="AM184" s="652">
        <f t="shared" si="128"/>
        <v>0</v>
      </c>
      <c r="AN184" s="651">
        <f t="array" ref="AN184">IFERROR(INDEX('HIV-Pharmaceuticals'!$Y$107:$Y$192,MATCH($E184&amp;$F184,'HIV-Pharmaceuticals'!$E$107:$E$192&amp;'HIV-Pharmaceuticals'!$I$107:$I$192,0)),0)</f>
        <v>0</v>
      </c>
      <c r="AO184" s="651">
        <f t="shared" si="129"/>
        <v>0</v>
      </c>
      <c r="AP184" s="652">
        <f t="shared" si="130"/>
        <v>0</v>
      </c>
      <c r="AQ184" s="652">
        <f t="shared" si="131"/>
        <v>0</v>
      </c>
      <c r="AR184" s="653"/>
      <c r="AS184" s="651">
        <f t="array" ref="AS184">IFERROR(INDEX('HIV-Pharmaceuticals'!$AB$107:$AB$192,MATCH($E184&amp;$F184,'HIV-Pharmaceuticals'!$E$107:$E$192&amp;'HIV-Pharmaceuticals'!$I$107:$I$192,0)),0)</f>
        <v>0</v>
      </c>
      <c r="AT184" s="651">
        <f t="array" ref="AT184">IFERROR(INDEX('HIV-Pharmaceuticals'!$AC$107:$AC$192,MATCH($E184&amp;$F184,'HIV-Pharmaceuticals'!$E$107:$E$192&amp;'HIV-Pharmaceuticals'!$I$107:$I$192,0)),0)</f>
        <v>0</v>
      </c>
      <c r="AU184" s="651">
        <f t="shared" si="132"/>
        <v>0</v>
      </c>
      <c r="AV184" s="652">
        <f t="shared" si="133"/>
        <v>0</v>
      </c>
      <c r="AW184" s="652">
        <f t="shared" si="134"/>
        <v>0</v>
      </c>
      <c r="AX184" s="651">
        <f t="array" ref="AX184">IFERROR(INDEX('HIV-Pharmaceuticals'!$AD$107:$AD$192,MATCH($E184&amp;$F184,'HIV-Pharmaceuticals'!$E$107:$E$192&amp;'HIV-Pharmaceuticals'!$I$107:$I$192,0)),0)</f>
        <v>0</v>
      </c>
      <c r="AY184" s="651">
        <f t="shared" si="135"/>
        <v>0</v>
      </c>
      <c r="AZ184" s="652">
        <f t="shared" si="136"/>
        <v>0</v>
      </c>
      <c r="BA184" s="652">
        <f t="shared" si="137"/>
        <v>0</v>
      </c>
      <c r="BB184" s="651">
        <f t="array" ref="BB184">IFERROR(INDEX('HIV-Pharmaceuticals'!$AE$107:$AE$192,MATCH($E184&amp;$F184,'HIV-Pharmaceuticals'!$E$107:$E$192&amp;'HIV-Pharmaceuticals'!$I$107:$I$192,0)),0)</f>
        <v>0</v>
      </c>
      <c r="BC184" s="651">
        <f t="shared" si="138"/>
        <v>0</v>
      </c>
      <c r="BD184" s="652">
        <f t="shared" si="139"/>
        <v>0</v>
      </c>
      <c r="BE184" s="652">
        <f t="shared" si="140"/>
        <v>0</v>
      </c>
      <c r="BF184" s="651">
        <f t="array" ref="BF184">IFERROR(INDEX('HIV-Pharmaceuticals'!$AF$107:$AF$192,MATCH($E184&amp;$F184,'HIV-Pharmaceuticals'!$E$107:$E$192&amp;'HIV-Pharmaceuticals'!$I$107:$I$192,0)),0)</f>
        <v>0</v>
      </c>
      <c r="BG184" s="651">
        <f t="shared" si="141"/>
        <v>0</v>
      </c>
      <c r="BH184" s="652">
        <f t="shared" si="142"/>
        <v>0</v>
      </c>
      <c r="BI184" s="652">
        <f t="shared" si="143"/>
        <v>0</v>
      </c>
      <c r="BK184" s="654"/>
      <c r="BL184" s="654"/>
      <c r="BM184" s="654"/>
      <c r="BN184" s="654"/>
      <c r="BO184" s="654"/>
      <c r="BP184" s="654"/>
      <c r="BQ184" s="654"/>
      <c r="BR184" s="654"/>
    </row>
    <row r="185" spans="1:70">
      <c r="A185" s="647" t="s">
        <v>1317</v>
      </c>
      <c r="B185" s="647" t="s">
        <v>2282</v>
      </c>
      <c r="C185" s="648">
        <f>SETUP!$F$22</f>
        <v>0</v>
      </c>
      <c r="D185" s="649">
        <v>4.7</v>
      </c>
      <c r="E185" s="647" t="s">
        <v>1379</v>
      </c>
      <c r="F185" s="647" t="s">
        <v>1381</v>
      </c>
      <c r="G185" s="650" t="str">
        <f t="array" ref="G185">IFERROR(INDEX('HIV-Pharmaceuticals'!$L$107:$L$192,MATCH($E185&amp;$F185,'HIV-Pharmaceuticals'!$E$107:$E$192&amp;'HIV-Pharmaceuticals'!$I$107:$I$192,0)),"")</f>
        <v/>
      </c>
      <c r="H185" s="650" t="str">
        <f t="array" ref="H185">IFERROR(INDEX('HIV-Pharmaceuticals'!$M$107:$M$192,MATCH($E185&amp;$F185,'HIV-Pharmaceuticals'!$E$107:$E$192&amp;'HIV-Pharmaceuticals'!$I$107:$I$192,0)),"")</f>
        <v/>
      </c>
      <c r="I185" s="651">
        <f t="array" ref="I185">IFERROR(INDEX('HIV-Pharmaceuticals'!$N$107:$N$192,MATCH($E185&amp;$F185,'HIV-Pharmaceuticals'!$E$107:$E$192&amp;'HIV-Pharmaceuticals'!$I$107:$I$192,0)),0)</f>
        <v>0</v>
      </c>
      <c r="J185" s="651">
        <f t="array" ref="J185">IFERROR(INDEX('HIV-Pharmaceuticals'!$O$107:$O$192,MATCH($E185&amp;$F185,'HIV-Pharmaceuticals'!$E$107:$E$192&amp;'HIV-Pharmaceuticals'!$I$107:$I$192,0)),0)</f>
        <v>0</v>
      </c>
      <c r="K185" s="652">
        <f t="shared" si="108"/>
        <v>0</v>
      </c>
      <c r="L185" s="652">
        <f t="shared" si="109"/>
        <v>0</v>
      </c>
      <c r="M185" s="652">
        <f t="shared" si="110"/>
        <v>0</v>
      </c>
      <c r="N185" s="651">
        <f t="array" ref="N185">IFERROR(INDEX('HIV-Pharmaceuticals'!$P$107:$P$192,MATCH($E185&amp;$F185,'HIV-Pharmaceuticals'!$E$107:$E$192&amp;'HIV-Pharmaceuticals'!$I$107:$I$192,0)),0)</f>
        <v>0</v>
      </c>
      <c r="O185" s="652">
        <f t="shared" si="111"/>
        <v>0</v>
      </c>
      <c r="P185" s="652">
        <f t="shared" si="112"/>
        <v>0</v>
      </c>
      <c r="Q185" s="652">
        <f t="shared" si="113"/>
        <v>0</v>
      </c>
      <c r="R185" s="651">
        <f t="array" ref="R185">IFERROR(INDEX('HIV-Pharmaceuticals'!$Q$107:$Q$192,MATCH($E185&amp;$F185,'HIV-Pharmaceuticals'!$E$107:$E$192&amp;'HIV-Pharmaceuticals'!$I$107:$I$192,0)),0)</f>
        <v>0</v>
      </c>
      <c r="S185" s="652">
        <f t="shared" si="114"/>
        <v>0</v>
      </c>
      <c r="T185" s="652">
        <f t="shared" si="115"/>
        <v>0</v>
      </c>
      <c r="U185" s="652">
        <f t="shared" si="116"/>
        <v>0</v>
      </c>
      <c r="V185" s="651">
        <f t="array" ref="V185">IFERROR(INDEX('HIV-Pharmaceuticals'!$R$107:$R$192,MATCH($E185&amp;$F185,'HIV-Pharmaceuticals'!$E$107:$E$192&amp;'HIV-Pharmaceuticals'!$I$107:$I$192,0)),0)</f>
        <v>0</v>
      </c>
      <c r="W185" s="652">
        <f t="shared" si="117"/>
        <v>0</v>
      </c>
      <c r="X185" s="652">
        <f t="shared" si="118"/>
        <v>0</v>
      </c>
      <c r="Y185" s="652">
        <f t="shared" si="119"/>
        <v>0</v>
      </c>
      <c r="Z185" s="653"/>
      <c r="AA185" s="651">
        <f t="array" ref="AA185">IFERROR(INDEX('HIV-Pharmaceuticals'!$U$107:$U$192,MATCH($E185&amp;$F185,'HIV-Pharmaceuticals'!$E$107:$E$192&amp;'HIV-Pharmaceuticals'!$I$107:$I$192,0)),0)</f>
        <v>0</v>
      </c>
      <c r="AB185" s="651">
        <f t="array" ref="AB185">IFERROR(INDEX('HIV-Pharmaceuticals'!$V$107:$V$192,MATCH($E185&amp;$F185,'HIV-Pharmaceuticals'!$E$107:$E$192&amp;'HIV-Pharmaceuticals'!$I$107:$I$192,0)),0)</f>
        <v>0</v>
      </c>
      <c r="AC185" s="651">
        <f t="shared" si="120"/>
        <v>0</v>
      </c>
      <c r="AD185" s="652">
        <f t="shared" si="121"/>
        <v>0</v>
      </c>
      <c r="AE185" s="652">
        <f t="shared" si="122"/>
        <v>0</v>
      </c>
      <c r="AF185" s="651">
        <f t="array" ref="AF185">IFERROR(INDEX('HIV-Pharmaceuticals'!$W$107:$W$192,MATCH($E185&amp;$F185,'HIV-Pharmaceuticals'!$E$107:$E$192&amp;'HIV-Pharmaceuticals'!$I$107:$I$192,0)),0)</f>
        <v>0</v>
      </c>
      <c r="AG185" s="651">
        <f t="shared" si="123"/>
        <v>0</v>
      </c>
      <c r="AH185" s="652">
        <f t="shared" si="124"/>
        <v>0</v>
      </c>
      <c r="AI185" s="652">
        <f t="shared" si="125"/>
        <v>0</v>
      </c>
      <c r="AJ185" s="651">
        <f t="array" ref="AJ185">IFERROR(INDEX('HIV-Pharmaceuticals'!$X$107:$X$192,MATCH($E185&amp;$F185,'HIV-Pharmaceuticals'!$E$107:$E$192&amp;'HIV-Pharmaceuticals'!$I$107:$I$192,0)),0)</f>
        <v>0</v>
      </c>
      <c r="AK185" s="651">
        <f t="shared" si="126"/>
        <v>0</v>
      </c>
      <c r="AL185" s="652">
        <f t="shared" si="127"/>
        <v>0</v>
      </c>
      <c r="AM185" s="652">
        <f t="shared" si="128"/>
        <v>0</v>
      </c>
      <c r="AN185" s="651">
        <f t="array" ref="AN185">IFERROR(INDEX('HIV-Pharmaceuticals'!$Y$107:$Y$192,MATCH($E185&amp;$F185,'HIV-Pharmaceuticals'!$E$107:$E$192&amp;'HIV-Pharmaceuticals'!$I$107:$I$192,0)),0)</f>
        <v>0</v>
      </c>
      <c r="AO185" s="651">
        <f t="shared" si="129"/>
        <v>0</v>
      </c>
      <c r="AP185" s="652">
        <f t="shared" si="130"/>
        <v>0</v>
      </c>
      <c r="AQ185" s="652">
        <f t="shared" si="131"/>
        <v>0</v>
      </c>
      <c r="AR185" s="653"/>
      <c r="AS185" s="651">
        <f t="array" ref="AS185">IFERROR(INDEX('HIV-Pharmaceuticals'!$AB$107:$AB$192,MATCH($E185&amp;$F185,'HIV-Pharmaceuticals'!$E$107:$E$192&amp;'HIV-Pharmaceuticals'!$I$107:$I$192,0)),0)</f>
        <v>0</v>
      </c>
      <c r="AT185" s="651">
        <f t="array" ref="AT185">IFERROR(INDEX('HIV-Pharmaceuticals'!$AC$107:$AC$192,MATCH($E185&amp;$F185,'HIV-Pharmaceuticals'!$E$107:$E$192&amp;'HIV-Pharmaceuticals'!$I$107:$I$192,0)),0)</f>
        <v>0</v>
      </c>
      <c r="AU185" s="651">
        <f t="shared" si="132"/>
        <v>0</v>
      </c>
      <c r="AV185" s="652">
        <f t="shared" si="133"/>
        <v>0</v>
      </c>
      <c r="AW185" s="652">
        <f t="shared" si="134"/>
        <v>0</v>
      </c>
      <c r="AX185" s="651">
        <f t="array" ref="AX185">IFERROR(INDEX('HIV-Pharmaceuticals'!$AD$107:$AD$192,MATCH($E185&amp;$F185,'HIV-Pharmaceuticals'!$E$107:$E$192&amp;'HIV-Pharmaceuticals'!$I$107:$I$192,0)),0)</f>
        <v>0</v>
      </c>
      <c r="AY185" s="651">
        <f t="shared" si="135"/>
        <v>0</v>
      </c>
      <c r="AZ185" s="652">
        <f t="shared" si="136"/>
        <v>0</v>
      </c>
      <c r="BA185" s="652">
        <f t="shared" si="137"/>
        <v>0</v>
      </c>
      <c r="BB185" s="651">
        <f t="array" ref="BB185">IFERROR(INDEX('HIV-Pharmaceuticals'!$AE$107:$AE$192,MATCH($E185&amp;$F185,'HIV-Pharmaceuticals'!$E$107:$E$192&amp;'HIV-Pharmaceuticals'!$I$107:$I$192,0)),0)</f>
        <v>0</v>
      </c>
      <c r="BC185" s="651">
        <f t="shared" si="138"/>
        <v>0</v>
      </c>
      <c r="BD185" s="652">
        <f t="shared" si="139"/>
        <v>0</v>
      </c>
      <c r="BE185" s="652">
        <f t="shared" si="140"/>
        <v>0</v>
      </c>
      <c r="BF185" s="651">
        <f t="array" ref="BF185">IFERROR(INDEX('HIV-Pharmaceuticals'!$AF$107:$AF$192,MATCH($E185&amp;$F185,'HIV-Pharmaceuticals'!$E$107:$E$192&amp;'HIV-Pharmaceuticals'!$I$107:$I$192,0)),0)</f>
        <v>0</v>
      </c>
      <c r="BG185" s="651">
        <f t="shared" si="141"/>
        <v>0</v>
      </c>
      <c r="BH185" s="652">
        <f t="shared" si="142"/>
        <v>0</v>
      </c>
      <c r="BI185" s="652">
        <f t="shared" si="143"/>
        <v>0</v>
      </c>
      <c r="BK185" s="654"/>
      <c r="BL185" s="654"/>
      <c r="BM185" s="654"/>
      <c r="BN185" s="654"/>
      <c r="BO185" s="654"/>
      <c r="BP185" s="654"/>
      <c r="BQ185" s="654"/>
      <c r="BR185" s="654"/>
    </row>
    <row r="186" spans="1:70">
      <c r="A186" s="647" t="s">
        <v>1317</v>
      </c>
      <c r="B186" s="647" t="s">
        <v>2282</v>
      </c>
      <c r="C186" s="648">
        <f>SETUP!$F$22</f>
        <v>0</v>
      </c>
      <c r="D186" s="649">
        <v>4.7</v>
      </c>
      <c r="E186" s="647" t="s">
        <v>1448</v>
      </c>
      <c r="F186" s="647" t="s">
        <v>1382</v>
      </c>
      <c r="G186" s="650" t="str">
        <f t="array" ref="G186">IFERROR(INDEX('HIV-Pharmaceuticals'!$L$107:$L$192,MATCH($E186&amp;$F186,'HIV-Pharmaceuticals'!$E$107:$E$192&amp;'HIV-Pharmaceuticals'!$I$107:$I$192,0)),"")</f>
        <v/>
      </c>
      <c r="H186" s="650" t="str">
        <f t="array" ref="H186">IFERROR(INDEX('HIV-Pharmaceuticals'!$M$107:$M$192,MATCH($E186&amp;$F186,'HIV-Pharmaceuticals'!$E$107:$E$192&amp;'HIV-Pharmaceuticals'!$I$107:$I$192,0)),"")</f>
        <v/>
      </c>
      <c r="I186" s="651">
        <f t="array" ref="I186">IFERROR(INDEX('HIV-Pharmaceuticals'!$N$107:$N$192,MATCH($E186&amp;$F186,'HIV-Pharmaceuticals'!$E$107:$E$192&amp;'HIV-Pharmaceuticals'!$I$107:$I$192,0)),0)</f>
        <v>0</v>
      </c>
      <c r="J186" s="651">
        <f t="array" ref="J186">IFERROR(INDEX('HIV-Pharmaceuticals'!$O$107:$O$192,MATCH($E186&amp;$F186,'HIV-Pharmaceuticals'!$E$107:$E$192&amp;'HIV-Pharmaceuticals'!$I$107:$I$192,0)),0)</f>
        <v>0</v>
      </c>
      <c r="K186" s="652">
        <f t="shared" si="108"/>
        <v>0</v>
      </c>
      <c r="L186" s="652">
        <f t="shared" si="109"/>
        <v>0</v>
      </c>
      <c r="M186" s="652">
        <f t="shared" si="110"/>
        <v>0</v>
      </c>
      <c r="N186" s="651">
        <f t="array" ref="N186">IFERROR(INDEX('HIV-Pharmaceuticals'!$P$107:$P$192,MATCH($E186&amp;$F186,'HIV-Pharmaceuticals'!$E$107:$E$192&amp;'HIV-Pharmaceuticals'!$I$107:$I$192,0)),0)</f>
        <v>0</v>
      </c>
      <c r="O186" s="652">
        <f t="shared" si="111"/>
        <v>0</v>
      </c>
      <c r="P186" s="652">
        <f t="shared" si="112"/>
        <v>0</v>
      </c>
      <c r="Q186" s="652">
        <f t="shared" si="113"/>
        <v>0</v>
      </c>
      <c r="R186" s="651">
        <f t="array" ref="R186">IFERROR(INDEX('HIV-Pharmaceuticals'!$Q$107:$Q$192,MATCH($E186&amp;$F186,'HIV-Pharmaceuticals'!$E$107:$E$192&amp;'HIV-Pharmaceuticals'!$I$107:$I$192,0)),0)</f>
        <v>0</v>
      </c>
      <c r="S186" s="652">
        <f t="shared" si="114"/>
        <v>0</v>
      </c>
      <c r="T186" s="652">
        <f t="shared" si="115"/>
        <v>0</v>
      </c>
      <c r="U186" s="652">
        <f t="shared" si="116"/>
        <v>0</v>
      </c>
      <c r="V186" s="651">
        <f t="array" ref="V186">IFERROR(INDEX('HIV-Pharmaceuticals'!$R$107:$R$192,MATCH($E186&amp;$F186,'HIV-Pharmaceuticals'!$E$107:$E$192&amp;'HIV-Pharmaceuticals'!$I$107:$I$192,0)),0)</f>
        <v>0</v>
      </c>
      <c r="W186" s="652">
        <f t="shared" si="117"/>
        <v>0</v>
      </c>
      <c r="X186" s="652">
        <f t="shared" si="118"/>
        <v>0</v>
      </c>
      <c r="Y186" s="652">
        <f t="shared" si="119"/>
        <v>0</v>
      </c>
      <c r="Z186" s="653"/>
      <c r="AA186" s="651">
        <f t="array" ref="AA186">IFERROR(INDEX('HIV-Pharmaceuticals'!$U$107:$U$192,MATCH($E186&amp;$F186,'HIV-Pharmaceuticals'!$E$107:$E$192&amp;'HIV-Pharmaceuticals'!$I$107:$I$192,0)),0)</f>
        <v>0</v>
      </c>
      <c r="AB186" s="651">
        <f t="array" ref="AB186">IFERROR(INDEX('HIV-Pharmaceuticals'!$V$107:$V$192,MATCH($E186&amp;$F186,'HIV-Pharmaceuticals'!$E$107:$E$192&amp;'HIV-Pharmaceuticals'!$I$107:$I$192,0)),0)</f>
        <v>0</v>
      </c>
      <c r="AC186" s="651">
        <f t="shared" si="120"/>
        <v>0</v>
      </c>
      <c r="AD186" s="652">
        <f t="shared" si="121"/>
        <v>0</v>
      </c>
      <c r="AE186" s="652">
        <f t="shared" si="122"/>
        <v>0</v>
      </c>
      <c r="AF186" s="651">
        <f t="array" ref="AF186">IFERROR(INDEX('HIV-Pharmaceuticals'!$W$107:$W$192,MATCH($E186&amp;$F186,'HIV-Pharmaceuticals'!$E$107:$E$192&amp;'HIV-Pharmaceuticals'!$I$107:$I$192,0)),0)</f>
        <v>0</v>
      </c>
      <c r="AG186" s="651">
        <f t="shared" si="123"/>
        <v>0</v>
      </c>
      <c r="AH186" s="652">
        <f t="shared" si="124"/>
        <v>0</v>
      </c>
      <c r="AI186" s="652">
        <f t="shared" si="125"/>
        <v>0</v>
      </c>
      <c r="AJ186" s="651">
        <f t="array" ref="AJ186">IFERROR(INDEX('HIV-Pharmaceuticals'!$X$107:$X$192,MATCH($E186&amp;$F186,'HIV-Pharmaceuticals'!$E$107:$E$192&amp;'HIV-Pharmaceuticals'!$I$107:$I$192,0)),0)</f>
        <v>0</v>
      </c>
      <c r="AK186" s="651">
        <f t="shared" si="126"/>
        <v>0</v>
      </c>
      <c r="AL186" s="652">
        <f t="shared" si="127"/>
        <v>0</v>
      </c>
      <c r="AM186" s="652">
        <f t="shared" si="128"/>
        <v>0</v>
      </c>
      <c r="AN186" s="651">
        <f t="array" ref="AN186">IFERROR(INDEX('HIV-Pharmaceuticals'!$Y$107:$Y$192,MATCH($E186&amp;$F186,'HIV-Pharmaceuticals'!$E$107:$E$192&amp;'HIV-Pharmaceuticals'!$I$107:$I$192,0)),0)</f>
        <v>0</v>
      </c>
      <c r="AO186" s="651">
        <f t="shared" si="129"/>
        <v>0</v>
      </c>
      <c r="AP186" s="652">
        <f t="shared" si="130"/>
        <v>0</v>
      </c>
      <c r="AQ186" s="652">
        <f t="shared" si="131"/>
        <v>0</v>
      </c>
      <c r="AR186" s="653"/>
      <c r="AS186" s="651">
        <f t="array" ref="AS186">IFERROR(INDEX('HIV-Pharmaceuticals'!$AB$107:$AB$192,MATCH($E186&amp;$F186,'HIV-Pharmaceuticals'!$E$107:$E$192&amp;'HIV-Pharmaceuticals'!$I$107:$I$192,0)),0)</f>
        <v>0</v>
      </c>
      <c r="AT186" s="651">
        <f t="array" ref="AT186">IFERROR(INDEX('HIV-Pharmaceuticals'!$AC$107:$AC$192,MATCH($E186&amp;$F186,'HIV-Pharmaceuticals'!$E$107:$E$192&amp;'HIV-Pharmaceuticals'!$I$107:$I$192,0)),0)</f>
        <v>0</v>
      </c>
      <c r="AU186" s="651">
        <f t="shared" si="132"/>
        <v>0</v>
      </c>
      <c r="AV186" s="652">
        <f t="shared" si="133"/>
        <v>0</v>
      </c>
      <c r="AW186" s="652">
        <f t="shared" si="134"/>
        <v>0</v>
      </c>
      <c r="AX186" s="651">
        <f t="array" ref="AX186">IFERROR(INDEX('HIV-Pharmaceuticals'!$AD$107:$AD$192,MATCH($E186&amp;$F186,'HIV-Pharmaceuticals'!$E$107:$E$192&amp;'HIV-Pharmaceuticals'!$I$107:$I$192,0)),0)</f>
        <v>0</v>
      </c>
      <c r="AY186" s="651">
        <f t="shared" si="135"/>
        <v>0</v>
      </c>
      <c r="AZ186" s="652">
        <f t="shared" si="136"/>
        <v>0</v>
      </c>
      <c r="BA186" s="652">
        <f t="shared" si="137"/>
        <v>0</v>
      </c>
      <c r="BB186" s="651">
        <f t="array" ref="BB186">IFERROR(INDEX('HIV-Pharmaceuticals'!$AE$107:$AE$192,MATCH($E186&amp;$F186,'HIV-Pharmaceuticals'!$E$107:$E$192&amp;'HIV-Pharmaceuticals'!$I$107:$I$192,0)),0)</f>
        <v>0</v>
      </c>
      <c r="BC186" s="651">
        <f t="shared" si="138"/>
        <v>0</v>
      </c>
      <c r="BD186" s="652">
        <f t="shared" si="139"/>
        <v>0</v>
      </c>
      <c r="BE186" s="652">
        <f t="shared" si="140"/>
        <v>0</v>
      </c>
      <c r="BF186" s="651">
        <f t="array" ref="BF186">IFERROR(INDEX('HIV-Pharmaceuticals'!$AF$107:$AF$192,MATCH($E186&amp;$F186,'HIV-Pharmaceuticals'!$E$107:$E$192&amp;'HIV-Pharmaceuticals'!$I$107:$I$192,0)),0)</f>
        <v>0</v>
      </c>
      <c r="BG186" s="651">
        <f t="shared" si="141"/>
        <v>0</v>
      </c>
      <c r="BH186" s="652">
        <f t="shared" si="142"/>
        <v>0</v>
      </c>
      <c r="BI186" s="652">
        <f t="shared" si="143"/>
        <v>0</v>
      </c>
      <c r="BK186" s="654"/>
      <c r="BL186" s="654"/>
      <c r="BM186" s="654"/>
      <c r="BN186" s="654"/>
      <c r="BO186" s="654"/>
      <c r="BP186" s="654"/>
      <c r="BQ186" s="654"/>
      <c r="BR186" s="654"/>
    </row>
    <row r="187" spans="1:70">
      <c r="A187" s="647" t="s">
        <v>1317</v>
      </c>
      <c r="B187" s="647" t="s">
        <v>2282</v>
      </c>
      <c r="C187" s="648">
        <f>SETUP!$F$22</f>
        <v>0</v>
      </c>
      <c r="D187" s="649">
        <v>4.7</v>
      </c>
      <c r="E187" s="647" t="s">
        <v>1449</v>
      </c>
      <c r="F187" s="647" t="s">
        <v>1383</v>
      </c>
      <c r="G187" s="650" t="str">
        <f t="array" ref="G187">IFERROR(INDEX('HIV-Pharmaceuticals'!$L$107:$L$192,MATCH($E187&amp;$F187,'HIV-Pharmaceuticals'!$E$107:$E$192&amp;'HIV-Pharmaceuticals'!$I$107:$I$192,0)),"")</f>
        <v/>
      </c>
      <c r="H187" s="650" t="str">
        <f t="array" ref="H187">IFERROR(INDEX('HIV-Pharmaceuticals'!$M$107:$M$192,MATCH($E187&amp;$F187,'HIV-Pharmaceuticals'!$E$107:$E$192&amp;'HIV-Pharmaceuticals'!$I$107:$I$192,0)),"")</f>
        <v/>
      </c>
      <c r="I187" s="651">
        <f t="array" ref="I187">IFERROR(INDEX('HIV-Pharmaceuticals'!$N$107:$N$192,MATCH($E187&amp;$F187,'HIV-Pharmaceuticals'!$E$107:$E$192&amp;'HIV-Pharmaceuticals'!$I$107:$I$192,0)),0)</f>
        <v>0</v>
      </c>
      <c r="J187" s="651">
        <f t="array" ref="J187">IFERROR(INDEX('HIV-Pharmaceuticals'!$O$107:$O$192,MATCH($E187&amp;$F187,'HIV-Pharmaceuticals'!$E$107:$E$192&amp;'HIV-Pharmaceuticals'!$I$107:$I$192,0)),0)</f>
        <v>0</v>
      </c>
      <c r="K187" s="652">
        <f t="shared" si="108"/>
        <v>0</v>
      </c>
      <c r="L187" s="652">
        <f t="shared" si="109"/>
        <v>0</v>
      </c>
      <c r="M187" s="652">
        <f t="shared" si="110"/>
        <v>0</v>
      </c>
      <c r="N187" s="651">
        <f t="array" ref="N187">IFERROR(INDEX('HIV-Pharmaceuticals'!$P$107:$P$192,MATCH($E187&amp;$F187,'HIV-Pharmaceuticals'!$E$107:$E$192&amp;'HIV-Pharmaceuticals'!$I$107:$I$192,0)),0)</f>
        <v>0</v>
      </c>
      <c r="O187" s="652">
        <f t="shared" si="111"/>
        <v>0</v>
      </c>
      <c r="P187" s="652">
        <f t="shared" si="112"/>
        <v>0</v>
      </c>
      <c r="Q187" s="652">
        <f t="shared" si="113"/>
        <v>0</v>
      </c>
      <c r="R187" s="651">
        <f t="array" ref="R187">IFERROR(INDEX('HIV-Pharmaceuticals'!$Q$107:$Q$192,MATCH($E187&amp;$F187,'HIV-Pharmaceuticals'!$E$107:$E$192&amp;'HIV-Pharmaceuticals'!$I$107:$I$192,0)),0)</f>
        <v>0</v>
      </c>
      <c r="S187" s="652">
        <f t="shared" si="114"/>
        <v>0</v>
      </c>
      <c r="T187" s="652">
        <f t="shared" si="115"/>
        <v>0</v>
      </c>
      <c r="U187" s="652">
        <f t="shared" si="116"/>
        <v>0</v>
      </c>
      <c r="V187" s="651">
        <f t="array" ref="V187">IFERROR(INDEX('HIV-Pharmaceuticals'!$R$107:$R$192,MATCH($E187&amp;$F187,'HIV-Pharmaceuticals'!$E$107:$E$192&amp;'HIV-Pharmaceuticals'!$I$107:$I$192,0)),0)</f>
        <v>0</v>
      </c>
      <c r="W187" s="652">
        <f t="shared" si="117"/>
        <v>0</v>
      </c>
      <c r="X187" s="652">
        <f t="shared" si="118"/>
        <v>0</v>
      </c>
      <c r="Y187" s="652">
        <f t="shared" si="119"/>
        <v>0</v>
      </c>
      <c r="Z187" s="653"/>
      <c r="AA187" s="651">
        <f t="array" ref="AA187">IFERROR(INDEX('HIV-Pharmaceuticals'!$U$107:$U$192,MATCH($E187&amp;$F187,'HIV-Pharmaceuticals'!$E$107:$E$192&amp;'HIV-Pharmaceuticals'!$I$107:$I$192,0)),0)</f>
        <v>0</v>
      </c>
      <c r="AB187" s="651">
        <f t="array" ref="AB187">IFERROR(INDEX('HIV-Pharmaceuticals'!$V$107:$V$192,MATCH($E187&amp;$F187,'HIV-Pharmaceuticals'!$E$107:$E$192&amp;'HIV-Pharmaceuticals'!$I$107:$I$192,0)),0)</f>
        <v>0</v>
      </c>
      <c r="AC187" s="651">
        <f t="shared" si="120"/>
        <v>0</v>
      </c>
      <c r="AD187" s="652">
        <f t="shared" si="121"/>
        <v>0</v>
      </c>
      <c r="AE187" s="652">
        <f t="shared" si="122"/>
        <v>0</v>
      </c>
      <c r="AF187" s="651">
        <f t="array" ref="AF187">IFERROR(INDEX('HIV-Pharmaceuticals'!$W$107:$W$192,MATCH($E187&amp;$F187,'HIV-Pharmaceuticals'!$E$107:$E$192&amp;'HIV-Pharmaceuticals'!$I$107:$I$192,0)),0)</f>
        <v>0</v>
      </c>
      <c r="AG187" s="651">
        <f t="shared" si="123"/>
        <v>0</v>
      </c>
      <c r="AH187" s="652">
        <f t="shared" si="124"/>
        <v>0</v>
      </c>
      <c r="AI187" s="652">
        <f t="shared" si="125"/>
        <v>0</v>
      </c>
      <c r="AJ187" s="651">
        <f t="array" ref="AJ187">IFERROR(INDEX('HIV-Pharmaceuticals'!$X$107:$X$192,MATCH($E187&amp;$F187,'HIV-Pharmaceuticals'!$E$107:$E$192&amp;'HIV-Pharmaceuticals'!$I$107:$I$192,0)),0)</f>
        <v>0</v>
      </c>
      <c r="AK187" s="651">
        <f t="shared" si="126"/>
        <v>0</v>
      </c>
      <c r="AL187" s="652">
        <f t="shared" si="127"/>
        <v>0</v>
      </c>
      <c r="AM187" s="652">
        <f t="shared" si="128"/>
        <v>0</v>
      </c>
      <c r="AN187" s="651">
        <f t="array" ref="AN187">IFERROR(INDEX('HIV-Pharmaceuticals'!$Y$107:$Y$192,MATCH($E187&amp;$F187,'HIV-Pharmaceuticals'!$E$107:$E$192&amp;'HIV-Pharmaceuticals'!$I$107:$I$192,0)),0)</f>
        <v>0</v>
      </c>
      <c r="AO187" s="651">
        <f t="shared" si="129"/>
        <v>0</v>
      </c>
      <c r="AP187" s="652">
        <f t="shared" si="130"/>
        <v>0</v>
      </c>
      <c r="AQ187" s="652">
        <f t="shared" si="131"/>
        <v>0</v>
      </c>
      <c r="AR187" s="653"/>
      <c r="AS187" s="651">
        <f t="array" ref="AS187">IFERROR(INDEX('HIV-Pharmaceuticals'!$AB$107:$AB$192,MATCH($E187&amp;$F187,'HIV-Pharmaceuticals'!$E$107:$E$192&amp;'HIV-Pharmaceuticals'!$I$107:$I$192,0)),0)</f>
        <v>0</v>
      </c>
      <c r="AT187" s="651">
        <f t="array" ref="AT187">IFERROR(INDEX('HIV-Pharmaceuticals'!$AC$107:$AC$192,MATCH($E187&amp;$F187,'HIV-Pharmaceuticals'!$E$107:$E$192&amp;'HIV-Pharmaceuticals'!$I$107:$I$192,0)),0)</f>
        <v>0</v>
      </c>
      <c r="AU187" s="651">
        <f t="shared" si="132"/>
        <v>0</v>
      </c>
      <c r="AV187" s="652">
        <f t="shared" si="133"/>
        <v>0</v>
      </c>
      <c r="AW187" s="652">
        <f t="shared" si="134"/>
        <v>0</v>
      </c>
      <c r="AX187" s="651">
        <f t="array" ref="AX187">IFERROR(INDEX('HIV-Pharmaceuticals'!$AD$107:$AD$192,MATCH($E187&amp;$F187,'HIV-Pharmaceuticals'!$E$107:$E$192&amp;'HIV-Pharmaceuticals'!$I$107:$I$192,0)),0)</f>
        <v>0</v>
      </c>
      <c r="AY187" s="651">
        <f t="shared" si="135"/>
        <v>0</v>
      </c>
      <c r="AZ187" s="652">
        <f t="shared" si="136"/>
        <v>0</v>
      </c>
      <c r="BA187" s="652">
        <f t="shared" si="137"/>
        <v>0</v>
      </c>
      <c r="BB187" s="651">
        <f t="array" ref="BB187">IFERROR(INDEX('HIV-Pharmaceuticals'!$AE$107:$AE$192,MATCH($E187&amp;$F187,'HIV-Pharmaceuticals'!$E$107:$E$192&amp;'HIV-Pharmaceuticals'!$I$107:$I$192,0)),0)</f>
        <v>0</v>
      </c>
      <c r="BC187" s="651">
        <f t="shared" si="138"/>
        <v>0</v>
      </c>
      <c r="BD187" s="652">
        <f t="shared" si="139"/>
        <v>0</v>
      </c>
      <c r="BE187" s="652">
        <f t="shared" si="140"/>
        <v>0</v>
      </c>
      <c r="BF187" s="651">
        <f t="array" ref="BF187">IFERROR(INDEX('HIV-Pharmaceuticals'!$AF$107:$AF$192,MATCH($E187&amp;$F187,'HIV-Pharmaceuticals'!$E$107:$E$192&amp;'HIV-Pharmaceuticals'!$I$107:$I$192,0)),0)</f>
        <v>0</v>
      </c>
      <c r="BG187" s="651">
        <f t="shared" si="141"/>
        <v>0</v>
      </c>
      <c r="BH187" s="652">
        <f t="shared" si="142"/>
        <v>0</v>
      </c>
      <c r="BI187" s="652">
        <f t="shared" si="143"/>
        <v>0</v>
      </c>
      <c r="BK187" s="654"/>
      <c r="BL187" s="654"/>
      <c r="BM187" s="654"/>
      <c r="BN187" s="654"/>
      <c r="BO187" s="654"/>
      <c r="BP187" s="654"/>
      <c r="BQ187" s="654"/>
      <c r="BR187" s="654"/>
    </row>
    <row r="188" spans="1:70">
      <c r="A188" s="647" t="s">
        <v>1317</v>
      </c>
      <c r="B188" s="647" t="s">
        <v>2282</v>
      </c>
      <c r="C188" s="648">
        <f>SETUP!$F$22</f>
        <v>0</v>
      </c>
      <c r="D188" s="649">
        <v>4.7</v>
      </c>
      <c r="E188" s="647" t="s">
        <v>1384</v>
      </c>
      <c r="F188" s="647" t="s">
        <v>1385</v>
      </c>
      <c r="G188" s="650" t="str">
        <f t="array" ref="G188">IFERROR(INDEX('HIV-Pharmaceuticals'!$L$107:$L$192,MATCH($E188&amp;$F188,'HIV-Pharmaceuticals'!$E$107:$E$192&amp;'HIV-Pharmaceuticals'!$I$107:$I$192,0)),"")</f>
        <v/>
      </c>
      <c r="H188" s="650" t="str">
        <f t="array" ref="H188">IFERROR(INDEX('HIV-Pharmaceuticals'!$M$107:$M$192,MATCH($E188&amp;$F188,'HIV-Pharmaceuticals'!$E$107:$E$192&amp;'HIV-Pharmaceuticals'!$I$107:$I$192,0)),"")</f>
        <v/>
      </c>
      <c r="I188" s="651">
        <f t="array" ref="I188">IFERROR(INDEX('HIV-Pharmaceuticals'!$N$107:$N$192,MATCH($E188&amp;$F188,'HIV-Pharmaceuticals'!$E$107:$E$192&amp;'HIV-Pharmaceuticals'!$I$107:$I$192,0)),0)</f>
        <v>0</v>
      </c>
      <c r="J188" s="651">
        <f t="array" ref="J188">IFERROR(INDEX('HIV-Pharmaceuticals'!$O$107:$O$192,MATCH($E188&amp;$F188,'HIV-Pharmaceuticals'!$E$107:$E$192&amp;'HIV-Pharmaceuticals'!$I$107:$I$192,0)),0)</f>
        <v>0</v>
      </c>
      <c r="K188" s="652">
        <f t="shared" si="108"/>
        <v>0</v>
      </c>
      <c r="L188" s="652">
        <f t="shared" si="109"/>
        <v>0</v>
      </c>
      <c r="M188" s="652">
        <f t="shared" si="110"/>
        <v>0</v>
      </c>
      <c r="N188" s="651">
        <f t="array" ref="N188">IFERROR(INDEX('HIV-Pharmaceuticals'!$P$107:$P$192,MATCH($E188&amp;$F188,'HIV-Pharmaceuticals'!$E$107:$E$192&amp;'HIV-Pharmaceuticals'!$I$107:$I$192,0)),0)</f>
        <v>0</v>
      </c>
      <c r="O188" s="652">
        <f t="shared" si="111"/>
        <v>0</v>
      </c>
      <c r="P188" s="652">
        <f t="shared" si="112"/>
        <v>0</v>
      </c>
      <c r="Q188" s="652">
        <f t="shared" si="113"/>
        <v>0</v>
      </c>
      <c r="R188" s="651">
        <f t="array" ref="R188">IFERROR(INDEX('HIV-Pharmaceuticals'!$Q$107:$Q$192,MATCH($E188&amp;$F188,'HIV-Pharmaceuticals'!$E$107:$E$192&amp;'HIV-Pharmaceuticals'!$I$107:$I$192,0)),0)</f>
        <v>0</v>
      </c>
      <c r="S188" s="652">
        <f t="shared" si="114"/>
        <v>0</v>
      </c>
      <c r="T188" s="652">
        <f t="shared" si="115"/>
        <v>0</v>
      </c>
      <c r="U188" s="652">
        <f t="shared" si="116"/>
        <v>0</v>
      </c>
      <c r="V188" s="651">
        <f t="array" ref="V188">IFERROR(INDEX('HIV-Pharmaceuticals'!$R$107:$R$192,MATCH($E188&amp;$F188,'HIV-Pharmaceuticals'!$E$107:$E$192&amp;'HIV-Pharmaceuticals'!$I$107:$I$192,0)),0)</f>
        <v>0</v>
      </c>
      <c r="W188" s="652">
        <f t="shared" si="117"/>
        <v>0</v>
      </c>
      <c r="X188" s="652">
        <f t="shared" si="118"/>
        <v>0</v>
      </c>
      <c r="Y188" s="652">
        <f t="shared" si="119"/>
        <v>0</v>
      </c>
      <c r="Z188" s="653"/>
      <c r="AA188" s="651">
        <f t="array" ref="AA188">IFERROR(INDEX('HIV-Pharmaceuticals'!$U$107:$U$192,MATCH($E188&amp;$F188,'HIV-Pharmaceuticals'!$E$107:$E$192&amp;'HIV-Pharmaceuticals'!$I$107:$I$192,0)),0)</f>
        <v>0</v>
      </c>
      <c r="AB188" s="651">
        <f t="array" ref="AB188">IFERROR(INDEX('HIV-Pharmaceuticals'!$V$107:$V$192,MATCH($E188&amp;$F188,'HIV-Pharmaceuticals'!$E$107:$E$192&amp;'HIV-Pharmaceuticals'!$I$107:$I$192,0)),0)</f>
        <v>0</v>
      </c>
      <c r="AC188" s="651">
        <f t="shared" si="120"/>
        <v>0</v>
      </c>
      <c r="AD188" s="652">
        <f t="shared" si="121"/>
        <v>0</v>
      </c>
      <c r="AE188" s="652">
        <f t="shared" si="122"/>
        <v>0</v>
      </c>
      <c r="AF188" s="651">
        <f t="array" ref="AF188">IFERROR(INDEX('HIV-Pharmaceuticals'!$W$107:$W$192,MATCH($E188&amp;$F188,'HIV-Pharmaceuticals'!$E$107:$E$192&amp;'HIV-Pharmaceuticals'!$I$107:$I$192,0)),0)</f>
        <v>0</v>
      </c>
      <c r="AG188" s="651">
        <f t="shared" si="123"/>
        <v>0</v>
      </c>
      <c r="AH188" s="652">
        <f t="shared" si="124"/>
        <v>0</v>
      </c>
      <c r="AI188" s="652">
        <f t="shared" si="125"/>
        <v>0</v>
      </c>
      <c r="AJ188" s="651">
        <f t="array" ref="AJ188">IFERROR(INDEX('HIV-Pharmaceuticals'!$X$107:$X$192,MATCH($E188&amp;$F188,'HIV-Pharmaceuticals'!$E$107:$E$192&amp;'HIV-Pharmaceuticals'!$I$107:$I$192,0)),0)</f>
        <v>0</v>
      </c>
      <c r="AK188" s="651">
        <f t="shared" si="126"/>
        <v>0</v>
      </c>
      <c r="AL188" s="652">
        <f t="shared" si="127"/>
        <v>0</v>
      </c>
      <c r="AM188" s="652">
        <f t="shared" si="128"/>
        <v>0</v>
      </c>
      <c r="AN188" s="651">
        <f t="array" ref="AN188">IFERROR(INDEX('HIV-Pharmaceuticals'!$Y$107:$Y$192,MATCH($E188&amp;$F188,'HIV-Pharmaceuticals'!$E$107:$E$192&amp;'HIV-Pharmaceuticals'!$I$107:$I$192,0)),0)</f>
        <v>0</v>
      </c>
      <c r="AO188" s="651">
        <f t="shared" si="129"/>
        <v>0</v>
      </c>
      <c r="AP188" s="652">
        <f t="shared" si="130"/>
        <v>0</v>
      </c>
      <c r="AQ188" s="652">
        <f t="shared" si="131"/>
        <v>0</v>
      </c>
      <c r="AR188" s="653"/>
      <c r="AS188" s="651">
        <f t="array" ref="AS188">IFERROR(INDEX('HIV-Pharmaceuticals'!$AB$107:$AB$192,MATCH($E188&amp;$F188,'HIV-Pharmaceuticals'!$E$107:$E$192&amp;'HIV-Pharmaceuticals'!$I$107:$I$192,0)),0)</f>
        <v>0</v>
      </c>
      <c r="AT188" s="651">
        <f t="array" ref="AT188">IFERROR(INDEX('HIV-Pharmaceuticals'!$AC$107:$AC$192,MATCH($E188&amp;$F188,'HIV-Pharmaceuticals'!$E$107:$E$192&amp;'HIV-Pharmaceuticals'!$I$107:$I$192,0)),0)</f>
        <v>0</v>
      </c>
      <c r="AU188" s="651">
        <f t="shared" si="132"/>
        <v>0</v>
      </c>
      <c r="AV188" s="652">
        <f t="shared" si="133"/>
        <v>0</v>
      </c>
      <c r="AW188" s="652">
        <f t="shared" si="134"/>
        <v>0</v>
      </c>
      <c r="AX188" s="651">
        <f t="array" ref="AX188">IFERROR(INDEX('HIV-Pharmaceuticals'!$AD$107:$AD$192,MATCH($E188&amp;$F188,'HIV-Pharmaceuticals'!$E$107:$E$192&amp;'HIV-Pharmaceuticals'!$I$107:$I$192,0)),0)</f>
        <v>0</v>
      </c>
      <c r="AY188" s="651">
        <f t="shared" si="135"/>
        <v>0</v>
      </c>
      <c r="AZ188" s="652">
        <f t="shared" si="136"/>
        <v>0</v>
      </c>
      <c r="BA188" s="652">
        <f t="shared" si="137"/>
        <v>0</v>
      </c>
      <c r="BB188" s="651">
        <f t="array" ref="BB188">IFERROR(INDEX('HIV-Pharmaceuticals'!$AE$107:$AE$192,MATCH($E188&amp;$F188,'HIV-Pharmaceuticals'!$E$107:$E$192&amp;'HIV-Pharmaceuticals'!$I$107:$I$192,0)),0)</f>
        <v>0</v>
      </c>
      <c r="BC188" s="651">
        <f t="shared" si="138"/>
        <v>0</v>
      </c>
      <c r="BD188" s="652">
        <f t="shared" si="139"/>
        <v>0</v>
      </c>
      <c r="BE188" s="652">
        <f t="shared" si="140"/>
        <v>0</v>
      </c>
      <c r="BF188" s="651">
        <f t="array" ref="BF188">IFERROR(INDEX('HIV-Pharmaceuticals'!$AF$107:$AF$192,MATCH($E188&amp;$F188,'HIV-Pharmaceuticals'!$E$107:$E$192&amp;'HIV-Pharmaceuticals'!$I$107:$I$192,0)),0)</f>
        <v>0</v>
      </c>
      <c r="BG188" s="651">
        <f t="shared" si="141"/>
        <v>0</v>
      </c>
      <c r="BH188" s="652">
        <f t="shared" si="142"/>
        <v>0</v>
      </c>
      <c r="BI188" s="652">
        <f t="shared" si="143"/>
        <v>0</v>
      </c>
      <c r="BK188" s="654"/>
      <c r="BL188" s="654"/>
      <c r="BM188" s="654"/>
      <c r="BN188" s="654"/>
      <c r="BO188" s="654"/>
      <c r="BP188" s="654"/>
      <c r="BQ188" s="654"/>
      <c r="BR188" s="654"/>
    </row>
    <row r="189" spans="1:70">
      <c r="A189" s="647" t="s">
        <v>1317</v>
      </c>
      <c r="B189" s="647" t="s">
        <v>2282</v>
      </c>
      <c r="C189" s="648">
        <f>SETUP!$F$22</f>
        <v>0</v>
      </c>
      <c r="D189" s="649">
        <v>4.7</v>
      </c>
      <c r="E189" s="647" t="s">
        <v>1450</v>
      </c>
      <c r="F189" s="647" t="s">
        <v>1386</v>
      </c>
      <c r="G189" s="650" t="str">
        <f t="array" ref="G189">IFERROR(INDEX('HIV-Pharmaceuticals'!$L$107:$L$192,MATCH($E189&amp;$F189,'HIV-Pharmaceuticals'!$E$107:$E$192&amp;'HIV-Pharmaceuticals'!$I$107:$I$192,0)),"")</f>
        <v/>
      </c>
      <c r="H189" s="650" t="str">
        <f t="array" ref="H189">IFERROR(INDEX('HIV-Pharmaceuticals'!$M$107:$M$192,MATCH($E189&amp;$F189,'HIV-Pharmaceuticals'!$E$107:$E$192&amp;'HIV-Pharmaceuticals'!$I$107:$I$192,0)),"")</f>
        <v/>
      </c>
      <c r="I189" s="651">
        <f t="array" ref="I189">IFERROR(INDEX('HIV-Pharmaceuticals'!$N$107:$N$192,MATCH($E189&amp;$F189,'HIV-Pharmaceuticals'!$E$107:$E$192&amp;'HIV-Pharmaceuticals'!$I$107:$I$192,0)),0)</f>
        <v>0</v>
      </c>
      <c r="J189" s="651">
        <f t="array" ref="J189">IFERROR(INDEX('HIV-Pharmaceuticals'!$O$107:$O$192,MATCH($E189&amp;$F189,'HIV-Pharmaceuticals'!$E$107:$E$192&amp;'HIV-Pharmaceuticals'!$I$107:$I$192,0)),0)</f>
        <v>0</v>
      </c>
      <c r="K189" s="652">
        <f t="shared" si="108"/>
        <v>0</v>
      </c>
      <c r="L189" s="652">
        <f t="shared" si="109"/>
        <v>0</v>
      </c>
      <c r="M189" s="652">
        <f t="shared" si="110"/>
        <v>0</v>
      </c>
      <c r="N189" s="651">
        <f t="array" ref="N189">IFERROR(INDEX('HIV-Pharmaceuticals'!$P$107:$P$192,MATCH($E189&amp;$F189,'HIV-Pharmaceuticals'!$E$107:$E$192&amp;'HIV-Pharmaceuticals'!$I$107:$I$192,0)),0)</f>
        <v>0</v>
      </c>
      <c r="O189" s="652">
        <f t="shared" si="111"/>
        <v>0</v>
      </c>
      <c r="P189" s="652">
        <f t="shared" si="112"/>
        <v>0</v>
      </c>
      <c r="Q189" s="652">
        <f t="shared" si="113"/>
        <v>0</v>
      </c>
      <c r="R189" s="651">
        <f t="array" ref="R189">IFERROR(INDEX('HIV-Pharmaceuticals'!$Q$107:$Q$192,MATCH($E189&amp;$F189,'HIV-Pharmaceuticals'!$E$107:$E$192&amp;'HIV-Pharmaceuticals'!$I$107:$I$192,0)),0)</f>
        <v>0</v>
      </c>
      <c r="S189" s="652">
        <f t="shared" si="114"/>
        <v>0</v>
      </c>
      <c r="T189" s="652">
        <f t="shared" si="115"/>
        <v>0</v>
      </c>
      <c r="U189" s="652">
        <f t="shared" si="116"/>
        <v>0</v>
      </c>
      <c r="V189" s="651">
        <f t="array" ref="V189">IFERROR(INDEX('HIV-Pharmaceuticals'!$R$107:$R$192,MATCH($E189&amp;$F189,'HIV-Pharmaceuticals'!$E$107:$E$192&amp;'HIV-Pharmaceuticals'!$I$107:$I$192,0)),0)</f>
        <v>0</v>
      </c>
      <c r="W189" s="652">
        <f t="shared" si="117"/>
        <v>0</v>
      </c>
      <c r="X189" s="652">
        <f t="shared" si="118"/>
        <v>0</v>
      </c>
      <c r="Y189" s="652">
        <f t="shared" si="119"/>
        <v>0</v>
      </c>
      <c r="Z189" s="653"/>
      <c r="AA189" s="651">
        <f t="array" ref="AA189">IFERROR(INDEX('HIV-Pharmaceuticals'!$U$107:$U$192,MATCH($E189&amp;$F189,'HIV-Pharmaceuticals'!$E$107:$E$192&amp;'HIV-Pharmaceuticals'!$I$107:$I$192,0)),0)</f>
        <v>0</v>
      </c>
      <c r="AB189" s="651">
        <f t="array" ref="AB189">IFERROR(INDEX('HIV-Pharmaceuticals'!$V$107:$V$192,MATCH($E189&amp;$F189,'HIV-Pharmaceuticals'!$E$107:$E$192&amp;'HIV-Pharmaceuticals'!$I$107:$I$192,0)),0)</f>
        <v>0</v>
      </c>
      <c r="AC189" s="651">
        <f t="shared" si="120"/>
        <v>0</v>
      </c>
      <c r="AD189" s="652">
        <f t="shared" si="121"/>
        <v>0</v>
      </c>
      <c r="AE189" s="652">
        <f t="shared" si="122"/>
        <v>0</v>
      </c>
      <c r="AF189" s="651">
        <f t="array" ref="AF189">IFERROR(INDEX('HIV-Pharmaceuticals'!$W$107:$W$192,MATCH($E189&amp;$F189,'HIV-Pharmaceuticals'!$E$107:$E$192&amp;'HIV-Pharmaceuticals'!$I$107:$I$192,0)),0)</f>
        <v>0</v>
      </c>
      <c r="AG189" s="651">
        <f t="shared" si="123"/>
        <v>0</v>
      </c>
      <c r="AH189" s="652">
        <f t="shared" si="124"/>
        <v>0</v>
      </c>
      <c r="AI189" s="652">
        <f t="shared" si="125"/>
        <v>0</v>
      </c>
      <c r="AJ189" s="651">
        <f t="array" ref="AJ189">IFERROR(INDEX('HIV-Pharmaceuticals'!$X$107:$X$192,MATCH($E189&amp;$F189,'HIV-Pharmaceuticals'!$E$107:$E$192&amp;'HIV-Pharmaceuticals'!$I$107:$I$192,0)),0)</f>
        <v>0</v>
      </c>
      <c r="AK189" s="651">
        <f t="shared" si="126"/>
        <v>0</v>
      </c>
      <c r="AL189" s="652">
        <f t="shared" si="127"/>
        <v>0</v>
      </c>
      <c r="AM189" s="652">
        <f t="shared" si="128"/>
        <v>0</v>
      </c>
      <c r="AN189" s="651">
        <f t="array" ref="AN189">IFERROR(INDEX('HIV-Pharmaceuticals'!$Y$107:$Y$192,MATCH($E189&amp;$F189,'HIV-Pharmaceuticals'!$E$107:$E$192&amp;'HIV-Pharmaceuticals'!$I$107:$I$192,0)),0)</f>
        <v>0</v>
      </c>
      <c r="AO189" s="651">
        <f t="shared" si="129"/>
        <v>0</v>
      </c>
      <c r="AP189" s="652">
        <f t="shared" si="130"/>
        <v>0</v>
      </c>
      <c r="AQ189" s="652">
        <f t="shared" si="131"/>
        <v>0</v>
      </c>
      <c r="AR189" s="653"/>
      <c r="AS189" s="651">
        <f t="array" ref="AS189">IFERROR(INDEX('HIV-Pharmaceuticals'!$AB$107:$AB$192,MATCH($E189&amp;$F189,'HIV-Pharmaceuticals'!$E$107:$E$192&amp;'HIV-Pharmaceuticals'!$I$107:$I$192,0)),0)</f>
        <v>0</v>
      </c>
      <c r="AT189" s="651">
        <f t="array" ref="AT189">IFERROR(INDEX('HIV-Pharmaceuticals'!$AC$107:$AC$192,MATCH($E189&amp;$F189,'HIV-Pharmaceuticals'!$E$107:$E$192&amp;'HIV-Pharmaceuticals'!$I$107:$I$192,0)),0)</f>
        <v>0</v>
      </c>
      <c r="AU189" s="651">
        <f t="shared" si="132"/>
        <v>0</v>
      </c>
      <c r="AV189" s="652">
        <f t="shared" si="133"/>
        <v>0</v>
      </c>
      <c r="AW189" s="652">
        <f t="shared" si="134"/>
        <v>0</v>
      </c>
      <c r="AX189" s="651">
        <f t="array" ref="AX189">IFERROR(INDEX('HIV-Pharmaceuticals'!$AD$107:$AD$192,MATCH($E189&amp;$F189,'HIV-Pharmaceuticals'!$E$107:$E$192&amp;'HIV-Pharmaceuticals'!$I$107:$I$192,0)),0)</f>
        <v>0</v>
      </c>
      <c r="AY189" s="651">
        <f t="shared" si="135"/>
        <v>0</v>
      </c>
      <c r="AZ189" s="652">
        <f t="shared" si="136"/>
        <v>0</v>
      </c>
      <c r="BA189" s="652">
        <f t="shared" si="137"/>
        <v>0</v>
      </c>
      <c r="BB189" s="651">
        <f t="array" ref="BB189">IFERROR(INDEX('HIV-Pharmaceuticals'!$AE$107:$AE$192,MATCH($E189&amp;$F189,'HIV-Pharmaceuticals'!$E$107:$E$192&amp;'HIV-Pharmaceuticals'!$I$107:$I$192,0)),0)</f>
        <v>0</v>
      </c>
      <c r="BC189" s="651">
        <f t="shared" si="138"/>
        <v>0</v>
      </c>
      <c r="BD189" s="652">
        <f t="shared" si="139"/>
        <v>0</v>
      </c>
      <c r="BE189" s="652">
        <f t="shared" si="140"/>
        <v>0</v>
      </c>
      <c r="BF189" s="651">
        <f t="array" ref="BF189">IFERROR(INDEX('HIV-Pharmaceuticals'!$AF$107:$AF$192,MATCH($E189&amp;$F189,'HIV-Pharmaceuticals'!$E$107:$E$192&amp;'HIV-Pharmaceuticals'!$I$107:$I$192,0)),0)</f>
        <v>0</v>
      </c>
      <c r="BG189" s="651">
        <f t="shared" si="141"/>
        <v>0</v>
      </c>
      <c r="BH189" s="652">
        <f t="shared" si="142"/>
        <v>0</v>
      </c>
      <c r="BI189" s="652">
        <f t="shared" si="143"/>
        <v>0</v>
      </c>
      <c r="BK189" s="654"/>
      <c r="BL189" s="654"/>
      <c r="BM189" s="654"/>
      <c r="BN189" s="654"/>
      <c r="BO189" s="654"/>
      <c r="BP189" s="654"/>
      <c r="BQ189" s="654"/>
      <c r="BR189" s="654"/>
    </row>
    <row r="190" spans="1:70">
      <c r="A190" s="647" t="s">
        <v>1317</v>
      </c>
      <c r="B190" s="647" t="s">
        <v>2282</v>
      </c>
      <c r="C190" s="648">
        <f>SETUP!$F$22</f>
        <v>0</v>
      </c>
      <c r="D190" s="649">
        <v>4.7</v>
      </c>
      <c r="E190" s="647" t="s">
        <v>1586</v>
      </c>
      <c r="F190" s="647" t="s">
        <v>1387</v>
      </c>
      <c r="G190" s="650" t="str">
        <f t="array" ref="G190">IFERROR(INDEX('HIV-Pharmaceuticals'!$L$107:$L$192,MATCH($E190&amp;$F190,'HIV-Pharmaceuticals'!$E$107:$E$192&amp;'HIV-Pharmaceuticals'!$I$107:$I$192,0)),"")</f>
        <v/>
      </c>
      <c r="H190" s="650" t="str">
        <f t="array" ref="H190">IFERROR(INDEX('HIV-Pharmaceuticals'!$M$107:$M$192,MATCH($E190&amp;$F190,'HIV-Pharmaceuticals'!$E$107:$E$192&amp;'HIV-Pharmaceuticals'!$I$107:$I$192,0)),"")</f>
        <v/>
      </c>
      <c r="I190" s="651">
        <f t="array" ref="I190">IFERROR(INDEX('HIV-Pharmaceuticals'!$N$107:$N$192,MATCH($E190&amp;$F190,'HIV-Pharmaceuticals'!$E$107:$E$192&amp;'HIV-Pharmaceuticals'!$I$107:$I$192,0)),0)</f>
        <v>0</v>
      </c>
      <c r="J190" s="651">
        <f t="array" ref="J190">IFERROR(INDEX('HIV-Pharmaceuticals'!$O$107:$O$192,MATCH($E190&amp;$F190,'HIV-Pharmaceuticals'!$E$107:$E$192&amp;'HIV-Pharmaceuticals'!$I$107:$I$192,0)),0)</f>
        <v>0</v>
      </c>
      <c r="K190" s="652">
        <f t="shared" si="108"/>
        <v>0</v>
      </c>
      <c r="L190" s="652">
        <f t="shared" si="109"/>
        <v>0</v>
      </c>
      <c r="M190" s="652">
        <f t="shared" si="110"/>
        <v>0</v>
      </c>
      <c r="N190" s="651">
        <f t="array" ref="N190">IFERROR(INDEX('HIV-Pharmaceuticals'!$P$107:$P$192,MATCH($E190&amp;$F190,'HIV-Pharmaceuticals'!$E$107:$E$192&amp;'HIV-Pharmaceuticals'!$I$107:$I$192,0)),0)</f>
        <v>0</v>
      </c>
      <c r="O190" s="652">
        <f t="shared" si="111"/>
        <v>0</v>
      </c>
      <c r="P190" s="652">
        <f t="shared" si="112"/>
        <v>0</v>
      </c>
      <c r="Q190" s="652">
        <f t="shared" si="113"/>
        <v>0</v>
      </c>
      <c r="R190" s="651">
        <f t="array" ref="R190">IFERROR(INDEX('HIV-Pharmaceuticals'!$Q$107:$Q$192,MATCH($E190&amp;$F190,'HIV-Pharmaceuticals'!$E$107:$E$192&amp;'HIV-Pharmaceuticals'!$I$107:$I$192,0)),0)</f>
        <v>0</v>
      </c>
      <c r="S190" s="652">
        <f t="shared" si="114"/>
        <v>0</v>
      </c>
      <c r="T190" s="652">
        <f t="shared" si="115"/>
        <v>0</v>
      </c>
      <c r="U190" s="652">
        <f t="shared" si="116"/>
        <v>0</v>
      </c>
      <c r="V190" s="651">
        <f t="array" ref="V190">IFERROR(INDEX('HIV-Pharmaceuticals'!$R$107:$R$192,MATCH($E190&amp;$F190,'HIV-Pharmaceuticals'!$E$107:$E$192&amp;'HIV-Pharmaceuticals'!$I$107:$I$192,0)),0)</f>
        <v>0</v>
      </c>
      <c r="W190" s="652">
        <f t="shared" si="117"/>
        <v>0</v>
      </c>
      <c r="X190" s="652">
        <f t="shared" si="118"/>
        <v>0</v>
      </c>
      <c r="Y190" s="652">
        <f t="shared" si="119"/>
        <v>0</v>
      </c>
      <c r="Z190" s="653"/>
      <c r="AA190" s="651">
        <f t="array" ref="AA190">IFERROR(INDEX('HIV-Pharmaceuticals'!$U$107:$U$192,MATCH($E190&amp;$F190,'HIV-Pharmaceuticals'!$E$107:$E$192&amp;'HIV-Pharmaceuticals'!$I$107:$I$192,0)),0)</f>
        <v>0</v>
      </c>
      <c r="AB190" s="651">
        <f t="array" ref="AB190">IFERROR(INDEX('HIV-Pharmaceuticals'!$V$107:$V$192,MATCH($E190&amp;$F190,'HIV-Pharmaceuticals'!$E$107:$E$192&amp;'HIV-Pharmaceuticals'!$I$107:$I$192,0)),0)</f>
        <v>0</v>
      </c>
      <c r="AC190" s="651">
        <f t="shared" si="120"/>
        <v>0</v>
      </c>
      <c r="AD190" s="652">
        <f t="shared" si="121"/>
        <v>0</v>
      </c>
      <c r="AE190" s="652">
        <f t="shared" si="122"/>
        <v>0</v>
      </c>
      <c r="AF190" s="651">
        <f t="array" ref="AF190">IFERROR(INDEX('HIV-Pharmaceuticals'!$W$107:$W$192,MATCH($E190&amp;$F190,'HIV-Pharmaceuticals'!$E$107:$E$192&amp;'HIV-Pharmaceuticals'!$I$107:$I$192,0)),0)</f>
        <v>0</v>
      </c>
      <c r="AG190" s="651">
        <f t="shared" si="123"/>
        <v>0</v>
      </c>
      <c r="AH190" s="652">
        <f t="shared" si="124"/>
        <v>0</v>
      </c>
      <c r="AI190" s="652">
        <f t="shared" si="125"/>
        <v>0</v>
      </c>
      <c r="AJ190" s="651">
        <f t="array" ref="AJ190">IFERROR(INDEX('HIV-Pharmaceuticals'!$X$107:$X$192,MATCH($E190&amp;$F190,'HIV-Pharmaceuticals'!$E$107:$E$192&amp;'HIV-Pharmaceuticals'!$I$107:$I$192,0)),0)</f>
        <v>0</v>
      </c>
      <c r="AK190" s="651">
        <f t="shared" si="126"/>
        <v>0</v>
      </c>
      <c r="AL190" s="652">
        <f t="shared" si="127"/>
        <v>0</v>
      </c>
      <c r="AM190" s="652">
        <f t="shared" si="128"/>
        <v>0</v>
      </c>
      <c r="AN190" s="651">
        <f t="array" ref="AN190">IFERROR(INDEX('HIV-Pharmaceuticals'!$Y$107:$Y$192,MATCH($E190&amp;$F190,'HIV-Pharmaceuticals'!$E$107:$E$192&amp;'HIV-Pharmaceuticals'!$I$107:$I$192,0)),0)</f>
        <v>0</v>
      </c>
      <c r="AO190" s="651">
        <f t="shared" si="129"/>
        <v>0</v>
      </c>
      <c r="AP190" s="652">
        <f t="shared" si="130"/>
        <v>0</v>
      </c>
      <c r="AQ190" s="652">
        <f t="shared" si="131"/>
        <v>0</v>
      </c>
      <c r="AR190" s="653"/>
      <c r="AS190" s="651">
        <f t="array" ref="AS190">IFERROR(INDEX('HIV-Pharmaceuticals'!$AB$107:$AB$192,MATCH($E190&amp;$F190,'HIV-Pharmaceuticals'!$E$107:$E$192&amp;'HIV-Pharmaceuticals'!$I$107:$I$192,0)),0)</f>
        <v>0</v>
      </c>
      <c r="AT190" s="651">
        <f t="array" ref="AT190">IFERROR(INDEX('HIV-Pharmaceuticals'!$AC$107:$AC$192,MATCH($E190&amp;$F190,'HIV-Pharmaceuticals'!$E$107:$E$192&amp;'HIV-Pharmaceuticals'!$I$107:$I$192,0)),0)</f>
        <v>0</v>
      </c>
      <c r="AU190" s="651">
        <f t="shared" si="132"/>
        <v>0</v>
      </c>
      <c r="AV190" s="652">
        <f t="shared" si="133"/>
        <v>0</v>
      </c>
      <c r="AW190" s="652">
        <f t="shared" si="134"/>
        <v>0</v>
      </c>
      <c r="AX190" s="651">
        <f t="array" ref="AX190">IFERROR(INDEX('HIV-Pharmaceuticals'!$AD$107:$AD$192,MATCH($E190&amp;$F190,'HIV-Pharmaceuticals'!$E$107:$E$192&amp;'HIV-Pharmaceuticals'!$I$107:$I$192,0)),0)</f>
        <v>0</v>
      </c>
      <c r="AY190" s="651">
        <f t="shared" si="135"/>
        <v>0</v>
      </c>
      <c r="AZ190" s="652">
        <f t="shared" si="136"/>
        <v>0</v>
      </c>
      <c r="BA190" s="652">
        <f t="shared" si="137"/>
        <v>0</v>
      </c>
      <c r="BB190" s="651">
        <f t="array" ref="BB190">IFERROR(INDEX('HIV-Pharmaceuticals'!$AE$107:$AE$192,MATCH($E190&amp;$F190,'HIV-Pharmaceuticals'!$E$107:$E$192&amp;'HIV-Pharmaceuticals'!$I$107:$I$192,0)),0)</f>
        <v>0</v>
      </c>
      <c r="BC190" s="651">
        <f t="shared" si="138"/>
        <v>0</v>
      </c>
      <c r="BD190" s="652">
        <f t="shared" si="139"/>
        <v>0</v>
      </c>
      <c r="BE190" s="652">
        <f t="shared" si="140"/>
        <v>0</v>
      </c>
      <c r="BF190" s="651">
        <f t="array" ref="BF190">IFERROR(INDEX('HIV-Pharmaceuticals'!$AF$107:$AF$192,MATCH($E190&amp;$F190,'HIV-Pharmaceuticals'!$E$107:$E$192&amp;'HIV-Pharmaceuticals'!$I$107:$I$192,0)),0)</f>
        <v>0</v>
      </c>
      <c r="BG190" s="651">
        <f t="shared" si="141"/>
        <v>0</v>
      </c>
      <c r="BH190" s="652">
        <f t="shared" si="142"/>
        <v>0</v>
      </c>
      <c r="BI190" s="652">
        <f t="shared" si="143"/>
        <v>0</v>
      </c>
      <c r="BK190" s="654"/>
      <c r="BL190" s="654"/>
      <c r="BM190" s="654"/>
      <c r="BN190" s="654"/>
      <c r="BO190" s="654"/>
      <c r="BP190" s="654"/>
      <c r="BQ190" s="654"/>
      <c r="BR190" s="654"/>
    </row>
    <row r="191" spans="1:70">
      <c r="A191" s="647" t="s">
        <v>1317</v>
      </c>
      <c r="B191" s="647" t="s">
        <v>2282</v>
      </c>
      <c r="C191" s="648">
        <f>SETUP!$F$22</f>
        <v>0</v>
      </c>
      <c r="D191" s="649">
        <v>4.7</v>
      </c>
      <c r="E191" s="647" t="s">
        <v>1854</v>
      </c>
      <c r="F191" s="647" t="s">
        <v>1389</v>
      </c>
      <c r="G191" s="650" t="str">
        <f t="array" ref="G191">IFERROR(INDEX('HIV-Pharmaceuticals'!$L$107:$L$192,MATCH($E191&amp;$F191,'HIV-Pharmaceuticals'!$E$107:$E$192&amp;'HIV-Pharmaceuticals'!$I$107:$I$192,0)),"")</f>
        <v/>
      </c>
      <c r="H191" s="650" t="str">
        <f t="array" ref="H191">IFERROR(INDEX('HIV-Pharmaceuticals'!$M$107:$M$192,MATCH($E191&amp;$F191,'HIV-Pharmaceuticals'!$E$107:$E$192&amp;'HIV-Pharmaceuticals'!$I$107:$I$192,0)),"")</f>
        <v/>
      </c>
      <c r="I191" s="651">
        <f t="array" ref="I191">IFERROR(INDEX('HIV-Pharmaceuticals'!$N$107:$N$192,MATCH($E191&amp;$F191,'HIV-Pharmaceuticals'!$E$107:$E$192&amp;'HIV-Pharmaceuticals'!$I$107:$I$192,0)),0)</f>
        <v>0</v>
      </c>
      <c r="J191" s="651">
        <f t="array" ref="J191">IFERROR(INDEX('HIV-Pharmaceuticals'!$O$107:$O$192,MATCH($E191&amp;$F191,'HIV-Pharmaceuticals'!$E$107:$E$192&amp;'HIV-Pharmaceuticals'!$I$107:$I$192,0)),0)</f>
        <v>0</v>
      </c>
      <c r="K191" s="652">
        <f t="shared" si="108"/>
        <v>0</v>
      </c>
      <c r="L191" s="652">
        <f t="shared" si="109"/>
        <v>0</v>
      </c>
      <c r="M191" s="652">
        <f t="shared" si="110"/>
        <v>0</v>
      </c>
      <c r="N191" s="651">
        <f t="array" ref="N191">IFERROR(INDEX('HIV-Pharmaceuticals'!$P$107:$P$192,MATCH($E191&amp;$F191,'HIV-Pharmaceuticals'!$E$107:$E$192&amp;'HIV-Pharmaceuticals'!$I$107:$I$192,0)),0)</f>
        <v>0</v>
      </c>
      <c r="O191" s="652">
        <f t="shared" si="111"/>
        <v>0</v>
      </c>
      <c r="P191" s="652">
        <f t="shared" si="112"/>
        <v>0</v>
      </c>
      <c r="Q191" s="652">
        <f t="shared" si="113"/>
        <v>0</v>
      </c>
      <c r="R191" s="651">
        <f t="array" ref="R191">IFERROR(INDEX('HIV-Pharmaceuticals'!$Q$107:$Q$192,MATCH($E191&amp;$F191,'HIV-Pharmaceuticals'!$E$107:$E$192&amp;'HIV-Pharmaceuticals'!$I$107:$I$192,0)),0)</f>
        <v>0</v>
      </c>
      <c r="S191" s="652">
        <f t="shared" si="114"/>
        <v>0</v>
      </c>
      <c r="T191" s="652">
        <f t="shared" si="115"/>
        <v>0</v>
      </c>
      <c r="U191" s="652">
        <f t="shared" si="116"/>
        <v>0</v>
      </c>
      <c r="V191" s="651">
        <f t="array" ref="V191">IFERROR(INDEX('HIV-Pharmaceuticals'!$R$107:$R$192,MATCH($E191&amp;$F191,'HIV-Pharmaceuticals'!$E$107:$E$192&amp;'HIV-Pharmaceuticals'!$I$107:$I$192,0)),0)</f>
        <v>0</v>
      </c>
      <c r="W191" s="652">
        <f t="shared" si="117"/>
        <v>0</v>
      </c>
      <c r="X191" s="652">
        <f t="shared" si="118"/>
        <v>0</v>
      </c>
      <c r="Y191" s="652">
        <f t="shared" si="119"/>
        <v>0</v>
      </c>
      <c r="Z191" s="653"/>
      <c r="AA191" s="651">
        <f t="array" ref="AA191">IFERROR(INDEX('HIV-Pharmaceuticals'!$U$107:$U$192,MATCH($E191&amp;$F191,'HIV-Pharmaceuticals'!$E$107:$E$192&amp;'HIV-Pharmaceuticals'!$I$107:$I$192,0)),0)</f>
        <v>0</v>
      </c>
      <c r="AB191" s="651">
        <f t="array" ref="AB191">IFERROR(INDEX('HIV-Pharmaceuticals'!$V$107:$V$192,MATCH($E191&amp;$F191,'HIV-Pharmaceuticals'!$E$107:$E$192&amp;'HIV-Pharmaceuticals'!$I$107:$I$192,0)),0)</f>
        <v>0</v>
      </c>
      <c r="AC191" s="651">
        <f t="shared" si="120"/>
        <v>0</v>
      </c>
      <c r="AD191" s="652">
        <f t="shared" si="121"/>
        <v>0</v>
      </c>
      <c r="AE191" s="652">
        <f t="shared" si="122"/>
        <v>0</v>
      </c>
      <c r="AF191" s="651">
        <f t="array" ref="AF191">IFERROR(INDEX('HIV-Pharmaceuticals'!$W$107:$W$192,MATCH($E191&amp;$F191,'HIV-Pharmaceuticals'!$E$107:$E$192&amp;'HIV-Pharmaceuticals'!$I$107:$I$192,0)),0)</f>
        <v>0</v>
      </c>
      <c r="AG191" s="651">
        <f t="shared" si="123"/>
        <v>0</v>
      </c>
      <c r="AH191" s="652">
        <f t="shared" si="124"/>
        <v>0</v>
      </c>
      <c r="AI191" s="652">
        <f t="shared" si="125"/>
        <v>0</v>
      </c>
      <c r="AJ191" s="651">
        <f t="array" ref="AJ191">IFERROR(INDEX('HIV-Pharmaceuticals'!$X$107:$X$192,MATCH($E191&amp;$F191,'HIV-Pharmaceuticals'!$E$107:$E$192&amp;'HIV-Pharmaceuticals'!$I$107:$I$192,0)),0)</f>
        <v>0</v>
      </c>
      <c r="AK191" s="651">
        <f t="shared" si="126"/>
        <v>0</v>
      </c>
      <c r="AL191" s="652">
        <f t="shared" si="127"/>
        <v>0</v>
      </c>
      <c r="AM191" s="652">
        <f t="shared" si="128"/>
        <v>0</v>
      </c>
      <c r="AN191" s="651">
        <f t="array" ref="AN191">IFERROR(INDEX('HIV-Pharmaceuticals'!$Y$107:$Y$192,MATCH($E191&amp;$F191,'HIV-Pharmaceuticals'!$E$107:$E$192&amp;'HIV-Pharmaceuticals'!$I$107:$I$192,0)),0)</f>
        <v>0</v>
      </c>
      <c r="AO191" s="651">
        <f t="shared" si="129"/>
        <v>0</v>
      </c>
      <c r="AP191" s="652">
        <f t="shared" si="130"/>
        <v>0</v>
      </c>
      <c r="AQ191" s="652">
        <f t="shared" si="131"/>
        <v>0</v>
      </c>
      <c r="AR191" s="653"/>
      <c r="AS191" s="651">
        <f t="array" ref="AS191">IFERROR(INDEX('HIV-Pharmaceuticals'!$AB$107:$AB$192,MATCH($E191&amp;$F191,'HIV-Pharmaceuticals'!$E$107:$E$192&amp;'HIV-Pharmaceuticals'!$I$107:$I$192,0)),0)</f>
        <v>0</v>
      </c>
      <c r="AT191" s="651">
        <f t="array" ref="AT191">IFERROR(INDEX('HIV-Pharmaceuticals'!$AC$107:$AC$192,MATCH($E191&amp;$F191,'HIV-Pharmaceuticals'!$E$107:$E$192&amp;'HIV-Pharmaceuticals'!$I$107:$I$192,0)),0)</f>
        <v>0</v>
      </c>
      <c r="AU191" s="651">
        <f t="shared" si="132"/>
        <v>0</v>
      </c>
      <c r="AV191" s="652">
        <f t="shared" si="133"/>
        <v>0</v>
      </c>
      <c r="AW191" s="652">
        <f t="shared" si="134"/>
        <v>0</v>
      </c>
      <c r="AX191" s="651">
        <f t="array" ref="AX191">IFERROR(INDEX('HIV-Pharmaceuticals'!$AD$107:$AD$192,MATCH($E191&amp;$F191,'HIV-Pharmaceuticals'!$E$107:$E$192&amp;'HIV-Pharmaceuticals'!$I$107:$I$192,0)),0)</f>
        <v>0</v>
      </c>
      <c r="AY191" s="651">
        <f t="shared" si="135"/>
        <v>0</v>
      </c>
      <c r="AZ191" s="652">
        <f t="shared" si="136"/>
        <v>0</v>
      </c>
      <c r="BA191" s="652">
        <f t="shared" si="137"/>
        <v>0</v>
      </c>
      <c r="BB191" s="651">
        <f t="array" ref="BB191">IFERROR(INDEX('HIV-Pharmaceuticals'!$AE$107:$AE$192,MATCH($E191&amp;$F191,'HIV-Pharmaceuticals'!$E$107:$E$192&amp;'HIV-Pharmaceuticals'!$I$107:$I$192,0)),0)</f>
        <v>0</v>
      </c>
      <c r="BC191" s="651">
        <f t="shared" si="138"/>
        <v>0</v>
      </c>
      <c r="BD191" s="652">
        <f t="shared" si="139"/>
        <v>0</v>
      </c>
      <c r="BE191" s="652">
        <f t="shared" si="140"/>
        <v>0</v>
      </c>
      <c r="BF191" s="651">
        <f t="array" ref="BF191">IFERROR(INDEX('HIV-Pharmaceuticals'!$AF$107:$AF$192,MATCH($E191&amp;$F191,'HIV-Pharmaceuticals'!$E$107:$E$192&amp;'HIV-Pharmaceuticals'!$I$107:$I$192,0)),0)</f>
        <v>0</v>
      </c>
      <c r="BG191" s="651">
        <f t="shared" si="141"/>
        <v>0</v>
      </c>
      <c r="BH191" s="652">
        <f t="shared" si="142"/>
        <v>0</v>
      </c>
      <c r="BI191" s="652">
        <f t="shared" si="143"/>
        <v>0</v>
      </c>
      <c r="BK191" s="654"/>
      <c r="BL191" s="654"/>
      <c r="BM191" s="654"/>
      <c r="BN191" s="654"/>
      <c r="BO191" s="654"/>
      <c r="BP191" s="654"/>
      <c r="BQ191" s="654"/>
      <c r="BR191" s="654"/>
    </row>
    <row r="192" spans="1:70">
      <c r="A192" s="647" t="s">
        <v>1317</v>
      </c>
      <c r="B192" s="647" t="s">
        <v>2282</v>
      </c>
      <c r="C192" s="648">
        <f>SETUP!$F$22</f>
        <v>0</v>
      </c>
      <c r="D192" s="649">
        <v>4.7</v>
      </c>
      <c r="E192" s="647" t="s">
        <v>1390</v>
      </c>
      <c r="F192" s="647" t="s">
        <v>1391</v>
      </c>
      <c r="G192" s="650" t="str">
        <f t="array" ref="G192">IFERROR(INDEX('HIV-Pharmaceuticals'!$L$107:$L$192,MATCH($E192&amp;$F192,'HIV-Pharmaceuticals'!$E$107:$E$192&amp;'HIV-Pharmaceuticals'!$I$107:$I$192,0)),"")</f>
        <v/>
      </c>
      <c r="H192" s="650" t="str">
        <f t="array" ref="H192">IFERROR(INDEX('HIV-Pharmaceuticals'!$M$107:$M$192,MATCH($E192&amp;$F192,'HIV-Pharmaceuticals'!$E$107:$E$192&amp;'HIV-Pharmaceuticals'!$I$107:$I$192,0)),"")</f>
        <v/>
      </c>
      <c r="I192" s="651">
        <f t="array" ref="I192">IFERROR(INDEX('HIV-Pharmaceuticals'!$N$107:$N$192,MATCH($E192&amp;$F192,'HIV-Pharmaceuticals'!$E$107:$E$192&amp;'HIV-Pharmaceuticals'!$I$107:$I$192,0)),0)</f>
        <v>0</v>
      </c>
      <c r="J192" s="651">
        <f t="array" ref="J192">IFERROR(INDEX('HIV-Pharmaceuticals'!$O$107:$O$192,MATCH($E192&amp;$F192,'HIV-Pharmaceuticals'!$E$107:$E$192&amp;'HIV-Pharmaceuticals'!$I$107:$I$192,0)),0)</f>
        <v>0</v>
      </c>
      <c r="K192" s="652">
        <f t="shared" si="108"/>
        <v>0</v>
      </c>
      <c r="L192" s="652">
        <f t="shared" si="109"/>
        <v>0</v>
      </c>
      <c r="M192" s="652">
        <f t="shared" si="110"/>
        <v>0</v>
      </c>
      <c r="N192" s="651">
        <f t="array" ref="N192">IFERROR(INDEX('HIV-Pharmaceuticals'!$P$107:$P$192,MATCH($E192&amp;$F192,'HIV-Pharmaceuticals'!$E$107:$E$192&amp;'HIV-Pharmaceuticals'!$I$107:$I$192,0)),0)</f>
        <v>0</v>
      </c>
      <c r="O192" s="652">
        <f t="shared" si="111"/>
        <v>0</v>
      </c>
      <c r="P192" s="652">
        <f t="shared" si="112"/>
        <v>0</v>
      </c>
      <c r="Q192" s="652">
        <f t="shared" si="113"/>
        <v>0</v>
      </c>
      <c r="R192" s="651">
        <f t="array" ref="R192">IFERROR(INDEX('HIV-Pharmaceuticals'!$Q$107:$Q$192,MATCH($E192&amp;$F192,'HIV-Pharmaceuticals'!$E$107:$E$192&amp;'HIV-Pharmaceuticals'!$I$107:$I$192,0)),0)</f>
        <v>0</v>
      </c>
      <c r="S192" s="652">
        <f t="shared" si="114"/>
        <v>0</v>
      </c>
      <c r="T192" s="652">
        <f t="shared" si="115"/>
        <v>0</v>
      </c>
      <c r="U192" s="652">
        <f t="shared" si="116"/>
        <v>0</v>
      </c>
      <c r="V192" s="651">
        <f t="array" ref="V192">IFERROR(INDEX('HIV-Pharmaceuticals'!$R$107:$R$192,MATCH($E192&amp;$F192,'HIV-Pharmaceuticals'!$E$107:$E$192&amp;'HIV-Pharmaceuticals'!$I$107:$I$192,0)),0)</f>
        <v>0</v>
      </c>
      <c r="W192" s="652">
        <f t="shared" si="117"/>
        <v>0</v>
      </c>
      <c r="X192" s="652">
        <f t="shared" si="118"/>
        <v>0</v>
      </c>
      <c r="Y192" s="652">
        <f t="shared" si="119"/>
        <v>0</v>
      </c>
      <c r="Z192" s="653"/>
      <c r="AA192" s="651">
        <f t="array" ref="AA192">IFERROR(INDEX('HIV-Pharmaceuticals'!$U$107:$U$192,MATCH($E192&amp;$F192,'HIV-Pharmaceuticals'!$E$107:$E$192&amp;'HIV-Pharmaceuticals'!$I$107:$I$192,0)),0)</f>
        <v>0</v>
      </c>
      <c r="AB192" s="651">
        <f t="array" ref="AB192">IFERROR(INDEX('HIV-Pharmaceuticals'!$V$107:$V$192,MATCH($E192&amp;$F192,'HIV-Pharmaceuticals'!$E$107:$E$192&amp;'HIV-Pharmaceuticals'!$I$107:$I$192,0)),0)</f>
        <v>0</v>
      </c>
      <c r="AC192" s="651">
        <f t="shared" si="120"/>
        <v>0</v>
      </c>
      <c r="AD192" s="652">
        <f t="shared" si="121"/>
        <v>0</v>
      </c>
      <c r="AE192" s="652">
        <f t="shared" si="122"/>
        <v>0</v>
      </c>
      <c r="AF192" s="651">
        <f t="array" ref="AF192">IFERROR(INDEX('HIV-Pharmaceuticals'!$W$107:$W$192,MATCH($E192&amp;$F192,'HIV-Pharmaceuticals'!$E$107:$E$192&amp;'HIV-Pharmaceuticals'!$I$107:$I$192,0)),0)</f>
        <v>0</v>
      </c>
      <c r="AG192" s="651">
        <f t="shared" si="123"/>
        <v>0</v>
      </c>
      <c r="AH192" s="652">
        <f t="shared" si="124"/>
        <v>0</v>
      </c>
      <c r="AI192" s="652">
        <f t="shared" si="125"/>
        <v>0</v>
      </c>
      <c r="AJ192" s="651">
        <f t="array" ref="AJ192">IFERROR(INDEX('HIV-Pharmaceuticals'!$X$107:$X$192,MATCH($E192&amp;$F192,'HIV-Pharmaceuticals'!$E$107:$E$192&amp;'HIV-Pharmaceuticals'!$I$107:$I$192,0)),0)</f>
        <v>0</v>
      </c>
      <c r="AK192" s="651">
        <f t="shared" si="126"/>
        <v>0</v>
      </c>
      <c r="AL192" s="652">
        <f t="shared" si="127"/>
        <v>0</v>
      </c>
      <c r="AM192" s="652">
        <f t="shared" si="128"/>
        <v>0</v>
      </c>
      <c r="AN192" s="651">
        <f t="array" ref="AN192">IFERROR(INDEX('HIV-Pharmaceuticals'!$Y$107:$Y$192,MATCH($E192&amp;$F192,'HIV-Pharmaceuticals'!$E$107:$E$192&amp;'HIV-Pharmaceuticals'!$I$107:$I$192,0)),0)</f>
        <v>0</v>
      </c>
      <c r="AO192" s="651">
        <f t="shared" si="129"/>
        <v>0</v>
      </c>
      <c r="AP192" s="652">
        <f t="shared" si="130"/>
        <v>0</v>
      </c>
      <c r="AQ192" s="652">
        <f t="shared" si="131"/>
        <v>0</v>
      </c>
      <c r="AR192" s="653"/>
      <c r="AS192" s="651">
        <f t="array" ref="AS192">IFERROR(INDEX('HIV-Pharmaceuticals'!$AB$107:$AB$192,MATCH($E192&amp;$F192,'HIV-Pharmaceuticals'!$E$107:$E$192&amp;'HIV-Pharmaceuticals'!$I$107:$I$192,0)),0)</f>
        <v>0</v>
      </c>
      <c r="AT192" s="651">
        <f t="array" ref="AT192">IFERROR(INDEX('HIV-Pharmaceuticals'!$AC$107:$AC$192,MATCH($E192&amp;$F192,'HIV-Pharmaceuticals'!$E$107:$E$192&amp;'HIV-Pharmaceuticals'!$I$107:$I$192,0)),0)</f>
        <v>0</v>
      </c>
      <c r="AU192" s="651">
        <f t="shared" si="132"/>
        <v>0</v>
      </c>
      <c r="AV192" s="652">
        <f t="shared" si="133"/>
        <v>0</v>
      </c>
      <c r="AW192" s="652">
        <f t="shared" si="134"/>
        <v>0</v>
      </c>
      <c r="AX192" s="651">
        <f t="array" ref="AX192">IFERROR(INDEX('HIV-Pharmaceuticals'!$AD$107:$AD$192,MATCH($E192&amp;$F192,'HIV-Pharmaceuticals'!$E$107:$E$192&amp;'HIV-Pharmaceuticals'!$I$107:$I$192,0)),0)</f>
        <v>0</v>
      </c>
      <c r="AY192" s="651">
        <f t="shared" si="135"/>
        <v>0</v>
      </c>
      <c r="AZ192" s="652">
        <f t="shared" si="136"/>
        <v>0</v>
      </c>
      <c r="BA192" s="652">
        <f t="shared" si="137"/>
        <v>0</v>
      </c>
      <c r="BB192" s="651">
        <f t="array" ref="BB192">IFERROR(INDEX('HIV-Pharmaceuticals'!$AE$107:$AE$192,MATCH($E192&amp;$F192,'HIV-Pharmaceuticals'!$E$107:$E$192&amp;'HIV-Pharmaceuticals'!$I$107:$I$192,0)),0)</f>
        <v>0</v>
      </c>
      <c r="BC192" s="651">
        <f t="shared" si="138"/>
        <v>0</v>
      </c>
      <c r="BD192" s="652">
        <f t="shared" si="139"/>
        <v>0</v>
      </c>
      <c r="BE192" s="652">
        <f t="shared" si="140"/>
        <v>0</v>
      </c>
      <c r="BF192" s="651">
        <f t="array" ref="BF192">IFERROR(INDEX('HIV-Pharmaceuticals'!$AF$107:$AF$192,MATCH($E192&amp;$F192,'HIV-Pharmaceuticals'!$E$107:$E$192&amp;'HIV-Pharmaceuticals'!$I$107:$I$192,0)),0)</f>
        <v>0</v>
      </c>
      <c r="BG192" s="651">
        <f t="shared" si="141"/>
        <v>0</v>
      </c>
      <c r="BH192" s="652">
        <f t="shared" si="142"/>
        <v>0</v>
      </c>
      <c r="BI192" s="652">
        <f t="shared" si="143"/>
        <v>0</v>
      </c>
      <c r="BK192" s="654"/>
      <c r="BL192" s="654"/>
      <c r="BM192" s="654"/>
      <c r="BN192" s="654"/>
      <c r="BO192" s="654"/>
      <c r="BP192" s="654"/>
      <c r="BQ192" s="654"/>
      <c r="BR192" s="654"/>
    </row>
    <row r="193" spans="1:70">
      <c r="A193" s="647" t="s">
        <v>1317</v>
      </c>
      <c r="B193" s="647" t="s">
        <v>2282</v>
      </c>
      <c r="C193" s="648">
        <f>SETUP!$F$22</f>
        <v>0</v>
      </c>
      <c r="D193" s="649">
        <v>4.7</v>
      </c>
      <c r="E193" s="647" t="s">
        <v>1451</v>
      </c>
      <c r="F193" s="647" t="s">
        <v>1392</v>
      </c>
      <c r="G193" s="650" t="str">
        <f t="array" ref="G193">IFERROR(INDEX('HIV-Pharmaceuticals'!$L$107:$L$192,MATCH($E193&amp;$F193,'HIV-Pharmaceuticals'!$E$107:$E$192&amp;'HIV-Pharmaceuticals'!$I$107:$I$192,0)),"")</f>
        <v/>
      </c>
      <c r="H193" s="650" t="str">
        <f t="array" ref="H193">IFERROR(INDEX('HIV-Pharmaceuticals'!$M$107:$M$192,MATCH($E193&amp;$F193,'HIV-Pharmaceuticals'!$E$107:$E$192&amp;'HIV-Pharmaceuticals'!$I$107:$I$192,0)),"")</f>
        <v/>
      </c>
      <c r="I193" s="651">
        <f t="array" ref="I193">IFERROR(INDEX('HIV-Pharmaceuticals'!$N$107:$N$192,MATCH($E193&amp;$F193,'HIV-Pharmaceuticals'!$E$107:$E$192&amp;'HIV-Pharmaceuticals'!$I$107:$I$192,0)),0)</f>
        <v>0</v>
      </c>
      <c r="J193" s="651">
        <f t="array" ref="J193">IFERROR(INDEX('HIV-Pharmaceuticals'!$O$107:$O$192,MATCH($E193&amp;$F193,'HIV-Pharmaceuticals'!$E$107:$E$192&amp;'HIV-Pharmaceuticals'!$I$107:$I$192,0)),0)</f>
        <v>0</v>
      </c>
      <c r="K193" s="652">
        <f t="shared" si="108"/>
        <v>0</v>
      </c>
      <c r="L193" s="652">
        <f t="shared" si="109"/>
        <v>0</v>
      </c>
      <c r="M193" s="652">
        <f t="shared" si="110"/>
        <v>0</v>
      </c>
      <c r="N193" s="651">
        <f t="array" ref="N193">IFERROR(INDEX('HIV-Pharmaceuticals'!$P$107:$P$192,MATCH($E193&amp;$F193,'HIV-Pharmaceuticals'!$E$107:$E$192&amp;'HIV-Pharmaceuticals'!$I$107:$I$192,0)),0)</f>
        <v>0</v>
      </c>
      <c r="O193" s="652">
        <f t="shared" si="111"/>
        <v>0</v>
      </c>
      <c r="P193" s="652">
        <f t="shared" si="112"/>
        <v>0</v>
      </c>
      <c r="Q193" s="652">
        <f t="shared" si="113"/>
        <v>0</v>
      </c>
      <c r="R193" s="651">
        <f t="array" ref="R193">IFERROR(INDEX('HIV-Pharmaceuticals'!$Q$107:$Q$192,MATCH($E193&amp;$F193,'HIV-Pharmaceuticals'!$E$107:$E$192&amp;'HIV-Pharmaceuticals'!$I$107:$I$192,0)),0)</f>
        <v>0</v>
      </c>
      <c r="S193" s="652">
        <f t="shared" si="114"/>
        <v>0</v>
      </c>
      <c r="T193" s="652">
        <f t="shared" si="115"/>
        <v>0</v>
      </c>
      <c r="U193" s="652">
        <f t="shared" si="116"/>
        <v>0</v>
      </c>
      <c r="V193" s="651">
        <f t="array" ref="V193">IFERROR(INDEX('HIV-Pharmaceuticals'!$R$107:$R$192,MATCH($E193&amp;$F193,'HIV-Pharmaceuticals'!$E$107:$E$192&amp;'HIV-Pharmaceuticals'!$I$107:$I$192,0)),0)</f>
        <v>0</v>
      </c>
      <c r="W193" s="652">
        <f t="shared" si="117"/>
        <v>0</v>
      </c>
      <c r="X193" s="652">
        <f t="shared" si="118"/>
        <v>0</v>
      </c>
      <c r="Y193" s="652">
        <f t="shared" si="119"/>
        <v>0</v>
      </c>
      <c r="Z193" s="653"/>
      <c r="AA193" s="651">
        <f t="array" ref="AA193">IFERROR(INDEX('HIV-Pharmaceuticals'!$U$107:$U$192,MATCH($E193&amp;$F193,'HIV-Pharmaceuticals'!$E$107:$E$192&amp;'HIV-Pharmaceuticals'!$I$107:$I$192,0)),0)</f>
        <v>0</v>
      </c>
      <c r="AB193" s="651">
        <f t="array" ref="AB193">IFERROR(INDEX('HIV-Pharmaceuticals'!$V$107:$V$192,MATCH($E193&amp;$F193,'HIV-Pharmaceuticals'!$E$107:$E$192&amp;'HIV-Pharmaceuticals'!$I$107:$I$192,0)),0)</f>
        <v>0</v>
      </c>
      <c r="AC193" s="651">
        <f t="shared" si="120"/>
        <v>0</v>
      </c>
      <c r="AD193" s="652">
        <f t="shared" si="121"/>
        <v>0</v>
      </c>
      <c r="AE193" s="652">
        <f t="shared" si="122"/>
        <v>0</v>
      </c>
      <c r="AF193" s="651">
        <f t="array" ref="AF193">IFERROR(INDEX('HIV-Pharmaceuticals'!$W$107:$W$192,MATCH($E193&amp;$F193,'HIV-Pharmaceuticals'!$E$107:$E$192&amp;'HIV-Pharmaceuticals'!$I$107:$I$192,0)),0)</f>
        <v>0</v>
      </c>
      <c r="AG193" s="651">
        <f t="shared" si="123"/>
        <v>0</v>
      </c>
      <c r="AH193" s="652">
        <f t="shared" si="124"/>
        <v>0</v>
      </c>
      <c r="AI193" s="652">
        <f t="shared" si="125"/>
        <v>0</v>
      </c>
      <c r="AJ193" s="651">
        <f t="array" ref="AJ193">IFERROR(INDEX('HIV-Pharmaceuticals'!$X$107:$X$192,MATCH($E193&amp;$F193,'HIV-Pharmaceuticals'!$E$107:$E$192&amp;'HIV-Pharmaceuticals'!$I$107:$I$192,0)),0)</f>
        <v>0</v>
      </c>
      <c r="AK193" s="651">
        <f t="shared" si="126"/>
        <v>0</v>
      </c>
      <c r="AL193" s="652">
        <f t="shared" si="127"/>
        <v>0</v>
      </c>
      <c r="AM193" s="652">
        <f t="shared" si="128"/>
        <v>0</v>
      </c>
      <c r="AN193" s="651">
        <f t="array" ref="AN193">IFERROR(INDEX('HIV-Pharmaceuticals'!$Y$107:$Y$192,MATCH($E193&amp;$F193,'HIV-Pharmaceuticals'!$E$107:$E$192&amp;'HIV-Pharmaceuticals'!$I$107:$I$192,0)),0)</f>
        <v>0</v>
      </c>
      <c r="AO193" s="651">
        <f t="shared" si="129"/>
        <v>0</v>
      </c>
      <c r="AP193" s="652">
        <f t="shared" si="130"/>
        <v>0</v>
      </c>
      <c r="AQ193" s="652">
        <f t="shared" si="131"/>
        <v>0</v>
      </c>
      <c r="AR193" s="653"/>
      <c r="AS193" s="651">
        <f t="array" ref="AS193">IFERROR(INDEX('HIV-Pharmaceuticals'!$AB$107:$AB$192,MATCH($E193&amp;$F193,'HIV-Pharmaceuticals'!$E$107:$E$192&amp;'HIV-Pharmaceuticals'!$I$107:$I$192,0)),0)</f>
        <v>0</v>
      </c>
      <c r="AT193" s="651">
        <f t="array" ref="AT193">IFERROR(INDEX('HIV-Pharmaceuticals'!$AC$107:$AC$192,MATCH($E193&amp;$F193,'HIV-Pharmaceuticals'!$E$107:$E$192&amp;'HIV-Pharmaceuticals'!$I$107:$I$192,0)),0)</f>
        <v>0</v>
      </c>
      <c r="AU193" s="651">
        <f t="shared" si="132"/>
        <v>0</v>
      </c>
      <c r="AV193" s="652">
        <f t="shared" si="133"/>
        <v>0</v>
      </c>
      <c r="AW193" s="652">
        <f t="shared" si="134"/>
        <v>0</v>
      </c>
      <c r="AX193" s="651">
        <f t="array" ref="AX193">IFERROR(INDEX('HIV-Pharmaceuticals'!$AD$107:$AD$192,MATCH($E193&amp;$F193,'HIV-Pharmaceuticals'!$E$107:$E$192&amp;'HIV-Pharmaceuticals'!$I$107:$I$192,0)),0)</f>
        <v>0</v>
      </c>
      <c r="AY193" s="651">
        <f t="shared" si="135"/>
        <v>0</v>
      </c>
      <c r="AZ193" s="652">
        <f t="shared" si="136"/>
        <v>0</v>
      </c>
      <c r="BA193" s="652">
        <f t="shared" si="137"/>
        <v>0</v>
      </c>
      <c r="BB193" s="651">
        <f t="array" ref="BB193">IFERROR(INDEX('HIV-Pharmaceuticals'!$AE$107:$AE$192,MATCH($E193&amp;$F193,'HIV-Pharmaceuticals'!$E$107:$E$192&amp;'HIV-Pharmaceuticals'!$I$107:$I$192,0)),0)</f>
        <v>0</v>
      </c>
      <c r="BC193" s="651">
        <f t="shared" si="138"/>
        <v>0</v>
      </c>
      <c r="BD193" s="652">
        <f t="shared" si="139"/>
        <v>0</v>
      </c>
      <c r="BE193" s="652">
        <f t="shared" si="140"/>
        <v>0</v>
      </c>
      <c r="BF193" s="651">
        <f t="array" ref="BF193">IFERROR(INDEX('HIV-Pharmaceuticals'!$AF$107:$AF$192,MATCH($E193&amp;$F193,'HIV-Pharmaceuticals'!$E$107:$E$192&amp;'HIV-Pharmaceuticals'!$I$107:$I$192,0)),0)</f>
        <v>0</v>
      </c>
      <c r="BG193" s="651">
        <f t="shared" si="141"/>
        <v>0</v>
      </c>
      <c r="BH193" s="652">
        <f t="shared" si="142"/>
        <v>0</v>
      </c>
      <c r="BI193" s="652">
        <f t="shared" si="143"/>
        <v>0</v>
      </c>
      <c r="BK193" s="654"/>
      <c r="BL193" s="654"/>
      <c r="BM193" s="654"/>
      <c r="BN193" s="654"/>
      <c r="BO193" s="654"/>
      <c r="BP193" s="654"/>
      <c r="BQ193" s="654"/>
      <c r="BR193" s="654"/>
    </row>
    <row r="194" spans="1:70">
      <c r="A194" s="647" t="s">
        <v>1317</v>
      </c>
      <c r="B194" s="647" t="s">
        <v>2282</v>
      </c>
      <c r="C194" s="648">
        <f>SETUP!$F$22</f>
        <v>0</v>
      </c>
      <c r="D194" s="649">
        <v>4.7</v>
      </c>
      <c r="E194" s="647" t="s">
        <v>837</v>
      </c>
      <c r="F194" s="647" t="s">
        <v>1140</v>
      </c>
      <c r="G194" s="650" t="str">
        <f t="array" ref="G194">IFERROR(INDEX('HIV-Pharmaceuticals'!$L$107:$L$192,MATCH($E194&amp;$F194,'HIV-Pharmaceuticals'!$E$107:$E$192&amp;'HIV-Pharmaceuticals'!$I$107:$I$192,0)),"")</f>
        <v/>
      </c>
      <c r="H194" s="650" t="str">
        <f t="array" ref="H194">IFERROR(INDEX('HIV-Pharmaceuticals'!$M$107:$M$192,MATCH($E194&amp;$F194,'HIV-Pharmaceuticals'!$E$107:$E$192&amp;'HIV-Pharmaceuticals'!$I$107:$I$192,0)),"")</f>
        <v/>
      </c>
      <c r="I194" s="651">
        <f t="array" ref="I194">IFERROR(INDEX('HIV-Pharmaceuticals'!$N$107:$N$192,MATCH($E194&amp;$F194,'HIV-Pharmaceuticals'!$E$107:$E$192&amp;'HIV-Pharmaceuticals'!$I$107:$I$192,0)),0)</f>
        <v>0</v>
      </c>
      <c r="J194" s="651">
        <f t="array" ref="J194">IFERROR(INDEX('HIV-Pharmaceuticals'!$O$107:$O$192,MATCH($E194&amp;$F194,'HIV-Pharmaceuticals'!$E$107:$E$192&amp;'HIV-Pharmaceuticals'!$I$107:$I$192,0)),0)</f>
        <v>0</v>
      </c>
      <c r="K194" s="652">
        <f t="shared" si="108"/>
        <v>0</v>
      </c>
      <c r="L194" s="652">
        <f t="shared" si="109"/>
        <v>0</v>
      </c>
      <c r="M194" s="652">
        <f t="shared" si="110"/>
        <v>0</v>
      </c>
      <c r="N194" s="651">
        <f t="array" ref="N194">IFERROR(INDEX('HIV-Pharmaceuticals'!$P$107:$P$192,MATCH($E194&amp;$F194,'HIV-Pharmaceuticals'!$E$107:$E$192&amp;'HIV-Pharmaceuticals'!$I$107:$I$192,0)),0)</f>
        <v>0</v>
      </c>
      <c r="O194" s="652">
        <f t="shared" si="111"/>
        <v>0</v>
      </c>
      <c r="P194" s="652">
        <f t="shared" si="112"/>
        <v>0</v>
      </c>
      <c r="Q194" s="652">
        <f t="shared" si="113"/>
        <v>0</v>
      </c>
      <c r="R194" s="651">
        <f t="array" ref="R194">IFERROR(INDEX('HIV-Pharmaceuticals'!$Q$107:$Q$192,MATCH($E194&amp;$F194,'HIV-Pharmaceuticals'!$E$107:$E$192&amp;'HIV-Pharmaceuticals'!$I$107:$I$192,0)),0)</f>
        <v>0</v>
      </c>
      <c r="S194" s="652">
        <f t="shared" si="114"/>
        <v>0</v>
      </c>
      <c r="T194" s="652">
        <f t="shared" si="115"/>
        <v>0</v>
      </c>
      <c r="U194" s="652">
        <f t="shared" si="116"/>
        <v>0</v>
      </c>
      <c r="V194" s="651">
        <f t="array" ref="V194">IFERROR(INDEX('HIV-Pharmaceuticals'!$R$107:$R$192,MATCH($E194&amp;$F194,'HIV-Pharmaceuticals'!$E$107:$E$192&amp;'HIV-Pharmaceuticals'!$I$107:$I$192,0)),0)</f>
        <v>0</v>
      </c>
      <c r="W194" s="652">
        <f t="shared" si="117"/>
        <v>0</v>
      </c>
      <c r="X194" s="652">
        <f t="shared" si="118"/>
        <v>0</v>
      </c>
      <c r="Y194" s="652">
        <f t="shared" si="119"/>
        <v>0</v>
      </c>
      <c r="Z194" s="653"/>
      <c r="AA194" s="651">
        <f t="array" ref="AA194">IFERROR(INDEX('HIV-Pharmaceuticals'!$U$107:$U$192,MATCH($E194&amp;$F194,'HIV-Pharmaceuticals'!$E$107:$E$192&amp;'HIV-Pharmaceuticals'!$I$107:$I$192,0)),0)</f>
        <v>0</v>
      </c>
      <c r="AB194" s="651">
        <f t="array" ref="AB194">IFERROR(INDEX('HIV-Pharmaceuticals'!$V$107:$V$192,MATCH($E194&amp;$F194,'HIV-Pharmaceuticals'!$E$107:$E$192&amp;'HIV-Pharmaceuticals'!$I$107:$I$192,0)),0)</f>
        <v>0</v>
      </c>
      <c r="AC194" s="651">
        <f t="shared" si="120"/>
        <v>0</v>
      </c>
      <c r="AD194" s="652">
        <f t="shared" si="121"/>
        <v>0</v>
      </c>
      <c r="AE194" s="652">
        <f t="shared" si="122"/>
        <v>0</v>
      </c>
      <c r="AF194" s="651">
        <f t="array" ref="AF194">IFERROR(INDEX('HIV-Pharmaceuticals'!$W$107:$W$192,MATCH($E194&amp;$F194,'HIV-Pharmaceuticals'!$E$107:$E$192&amp;'HIV-Pharmaceuticals'!$I$107:$I$192,0)),0)</f>
        <v>0</v>
      </c>
      <c r="AG194" s="651">
        <f t="shared" si="123"/>
        <v>0</v>
      </c>
      <c r="AH194" s="652">
        <f t="shared" si="124"/>
        <v>0</v>
      </c>
      <c r="AI194" s="652">
        <f t="shared" si="125"/>
        <v>0</v>
      </c>
      <c r="AJ194" s="651">
        <f t="array" ref="AJ194">IFERROR(INDEX('HIV-Pharmaceuticals'!$X$107:$X$192,MATCH($E194&amp;$F194,'HIV-Pharmaceuticals'!$E$107:$E$192&amp;'HIV-Pharmaceuticals'!$I$107:$I$192,0)),0)</f>
        <v>0</v>
      </c>
      <c r="AK194" s="651">
        <f t="shared" si="126"/>
        <v>0</v>
      </c>
      <c r="AL194" s="652">
        <f t="shared" si="127"/>
        <v>0</v>
      </c>
      <c r="AM194" s="652">
        <f t="shared" si="128"/>
        <v>0</v>
      </c>
      <c r="AN194" s="651">
        <f t="array" ref="AN194">IFERROR(INDEX('HIV-Pharmaceuticals'!$Y$107:$Y$192,MATCH($E194&amp;$F194,'HIV-Pharmaceuticals'!$E$107:$E$192&amp;'HIV-Pharmaceuticals'!$I$107:$I$192,0)),0)</f>
        <v>0</v>
      </c>
      <c r="AO194" s="651">
        <f t="shared" si="129"/>
        <v>0</v>
      </c>
      <c r="AP194" s="652">
        <f t="shared" si="130"/>
        <v>0</v>
      </c>
      <c r="AQ194" s="652">
        <f t="shared" si="131"/>
        <v>0</v>
      </c>
      <c r="AR194" s="653"/>
      <c r="AS194" s="651">
        <f t="array" ref="AS194">IFERROR(INDEX('HIV-Pharmaceuticals'!$AB$107:$AB$192,MATCH($E194&amp;$F194,'HIV-Pharmaceuticals'!$E$107:$E$192&amp;'HIV-Pharmaceuticals'!$I$107:$I$192,0)),0)</f>
        <v>0</v>
      </c>
      <c r="AT194" s="651">
        <f t="array" ref="AT194">IFERROR(INDEX('HIV-Pharmaceuticals'!$AC$107:$AC$192,MATCH($E194&amp;$F194,'HIV-Pharmaceuticals'!$E$107:$E$192&amp;'HIV-Pharmaceuticals'!$I$107:$I$192,0)),0)</f>
        <v>0</v>
      </c>
      <c r="AU194" s="651">
        <f t="shared" si="132"/>
        <v>0</v>
      </c>
      <c r="AV194" s="652">
        <f t="shared" si="133"/>
        <v>0</v>
      </c>
      <c r="AW194" s="652">
        <f t="shared" si="134"/>
        <v>0</v>
      </c>
      <c r="AX194" s="651">
        <f t="array" ref="AX194">IFERROR(INDEX('HIV-Pharmaceuticals'!$AD$107:$AD$192,MATCH($E194&amp;$F194,'HIV-Pharmaceuticals'!$E$107:$E$192&amp;'HIV-Pharmaceuticals'!$I$107:$I$192,0)),0)</f>
        <v>0</v>
      </c>
      <c r="AY194" s="651">
        <f t="shared" si="135"/>
        <v>0</v>
      </c>
      <c r="AZ194" s="652">
        <f t="shared" si="136"/>
        <v>0</v>
      </c>
      <c r="BA194" s="652">
        <f t="shared" si="137"/>
        <v>0</v>
      </c>
      <c r="BB194" s="651">
        <f t="array" ref="BB194">IFERROR(INDEX('HIV-Pharmaceuticals'!$AE$107:$AE$192,MATCH($E194&amp;$F194,'HIV-Pharmaceuticals'!$E$107:$E$192&amp;'HIV-Pharmaceuticals'!$I$107:$I$192,0)),0)</f>
        <v>0</v>
      </c>
      <c r="BC194" s="651">
        <f t="shared" si="138"/>
        <v>0</v>
      </c>
      <c r="BD194" s="652">
        <f t="shared" si="139"/>
        <v>0</v>
      </c>
      <c r="BE194" s="652">
        <f t="shared" si="140"/>
        <v>0</v>
      </c>
      <c r="BF194" s="651">
        <f t="array" ref="BF194">IFERROR(INDEX('HIV-Pharmaceuticals'!$AF$107:$AF$192,MATCH($E194&amp;$F194,'HIV-Pharmaceuticals'!$E$107:$E$192&amp;'HIV-Pharmaceuticals'!$I$107:$I$192,0)),0)</f>
        <v>0</v>
      </c>
      <c r="BG194" s="651">
        <f t="shared" si="141"/>
        <v>0</v>
      </c>
      <c r="BH194" s="652">
        <f t="shared" si="142"/>
        <v>0</v>
      </c>
      <c r="BI194" s="652">
        <f t="shared" si="143"/>
        <v>0</v>
      </c>
      <c r="BK194" s="654"/>
      <c r="BL194" s="654"/>
      <c r="BM194" s="654"/>
      <c r="BN194" s="654"/>
      <c r="BO194" s="654"/>
      <c r="BP194" s="654"/>
      <c r="BQ194" s="654"/>
      <c r="BR194" s="654"/>
    </row>
    <row r="195" spans="1:70">
      <c r="A195" s="647" t="s">
        <v>1317</v>
      </c>
      <c r="B195" s="647" t="s">
        <v>2282</v>
      </c>
      <c r="C195" s="648">
        <f>SETUP!$F$22</f>
        <v>0</v>
      </c>
      <c r="D195" s="649">
        <v>4.7</v>
      </c>
      <c r="E195" s="647" t="s">
        <v>1393</v>
      </c>
      <c r="F195" s="647" t="s">
        <v>1394</v>
      </c>
      <c r="G195" s="650" t="str">
        <f t="array" ref="G195">IFERROR(INDEX('HIV-Pharmaceuticals'!$L$107:$L$192,MATCH($E195&amp;$F195,'HIV-Pharmaceuticals'!$E$107:$E$192&amp;'HIV-Pharmaceuticals'!$I$107:$I$192,0)),"")</f>
        <v/>
      </c>
      <c r="H195" s="650" t="str">
        <f t="array" ref="H195">IFERROR(INDEX('HIV-Pharmaceuticals'!$M$107:$M$192,MATCH($E195&amp;$F195,'HIV-Pharmaceuticals'!$E$107:$E$192&amp;'HIV-Pharmaceuticals'!$I$107:$I$192,0)),"")</f>
        <v/>
      </c>
      <c r="I195" s="651">
        <f t="array" ref="I195">IFERROR(INDEX('HIV-Pharmaceuticals'!$N$107:$N$192,MATCH($E195&amp;$F195,'HIV-Pharmaceuticals'!$E$107:$E$192&amp;'HIV-Pharmaceuticals'!$I$107:$I$192,0)),0)</f>
        <v>0</v>
      </c>
      <c r="J195" s="651">
        <f t="array" ref="J195">IFERROR(INDEX('HIV-Pharmaceuticals'!$O$107:$O$192,MATCH($E195&amp;$F195,'HIV-Pharmaceuticals'!$E$107:$E$192&amp;'HIV-Pharmaceuticals'!$I$107:$I$192,0)),0)</f>
        <v>0</v>
      </c>
      <c r="K195" s="652">
        <f t="shared" si="108"/>
        <v>0</v>
      </c>
      <c r="L195" s="652">
        <f t="shared" si="109"/>
        <v>0</v>
      </c>
      <c r="M195" s="652">
        <f t="shared" si="110"/>
        <v>0</v>
      </c>
      <c r="N195" s="651">
        <f t="array" ref="N195">IFERROR(INDEX('HIV-Pharmaceuticals'!$P$107:$P$192,MATCH($E195&amp;$F195,'HIV-Pharmaceuticals'!$E$107:$E$192&amp;'HIV-Pharmaceuticals'!$I$107:$I$192,0)),0)</f>
        <v>0</v>
      </c>
      <c r="O195" s="652">
        <f t="shared" si="111"/>
        <v>0</v>
      </c>
      <c r="P195" s="652">
        <f t="shared" si="112"/>
        <v>0</v>
      </c>
      <c r="Q195" s="652">
        <f t="shared" si="113"/>
        <v>0</v>
      </c>
      <c r="R195" s="651">
        <f t="array" ref="R195">IFERROR(INDEX('HIV-Pharmaceuticals'!$Q$107:$Q$192,MATCH($E195&amp;$F195,'HIV-Pharmaceuticals'!$E$107:$E$192&amp;'HIV-Pharmaceuticals'!$I$107:$I$192,0)),0)</f>
        <v>0</v>
      </c>
      <c r="S195" s="652">
        <f t="shared" si="114"/>
        <v>0</v>
      </c>
      <c r="T195" s="652">
        <f t="shared" si="115"/>
        <v>0</v>
      </c>
      <c r="U195" s="652">
        <f t="shared" si="116"/>
        <v>0</v>
      </c>
      <c r="V195" s="651">
        <f t="array" ref="V195">IFERROR(INDEX('HIV-Pharmaceuticals'!$R$107:$R$192,MATCH($E195&amp;$F195,'HIV-Pharmaceuticals'!$E$107:$E$192&amp;'HIV-Pharmaceuticals'!$I$107:$I$192,0)),0)</f>
        <v>0</v>
      </c>
      <c r="W195" s="652">
        <f t="shared" si="117"/>
        <v>0</v>
      </c>
      <c r="X195" s="652">
        <f t="shared" si="118"/>
        <v>0</v>
      </c>
      <c r="Y195" s="652">
        <f t="shared" si="119"/>
        <v>0</v>
      </c>
      <c r="Z195" s="653"/>
      <c r="AA195" s="651">
        <f t="array" ref="AA195">IFERROR(INDEX('HIV-Pharmaceuticals'!$U$107:$U$192,MATCH($E195&amp;$F195,'HIV-Pharmaceuticals'!$E$107:$E$192&amp;'HIV-Pharmaceuticals'!$I$107:$I$192,0)),0)</f>
        <v>0</v>
      </c>
      <c r="AB195" s="651">
        <f t="array" ref="AB195">IFERROR(INDEX('HIV-Pharmaceuticals'!$V$107:$V$192,MATCH($E195&amp;$F195,'HIV-Pharmaceuticals'!$E$107:$E$192&amp;'HIV-Pharmaceuticals'!$I$107:$I$192,0)),0)</f>
        <v>0</v>
      </c>
      <c r="AC195" s="651">
        <f t="shared" si="120"/>
        <v>0</v>
      </c>
      <c r="AD195" s="652">
        <f t="shared" si="121"/>
        <v>0</v>
      </c>
      <c r="AE195" s="652">
        <f t="shared" si="122"/>
        <v>0</v>
      </c>
      <c r="AF195" s="651">
        <f t="array" ref="AF195">IFERROR(INDEX('HIV-Pharmaceuticals'!$W$107:$W$192,MATCH($E195&amp;$F195,'HIV-Pharmaceuticals'!$E$107:$E$192&amp;'HIV-Pharmaceuticals'!$I$107:$I$192,0)),0)</f>
        <v>0</v>
      </c>
      <c r="AG195" s="651">
        <f t="shared" si="123"/>
        <v>0</v>
      </c>
      <c r="AH195" s="652">
        <f t="shared" si="124"/>
        <v>0</v>
      </c>
      <c r="AI195" s="652">
        <f t="shared" si="125"/>
        <v>0</v>
      </c>
      <c r="AJ195" s="651">
        <f t="array" ref="AJ195">IFERROR(INDEX('HIV-Pharmaceuticals'!$X$107:$X$192,MATCH($E195&amp;$F195,'HIV-Pharmaceuticals'!$E$107:$E$192&amp;'HIV-Pharmaceuticals'!$I$107:$I$192,0)),0)</f>
        <v>0</v>
      </c>
      <c r="AK195" s="651">
        <f t="shared" si="126"/>
        <v>0</v>
      </c>
      <c r="AL195" s="652">
        <f t="shared" si="127"/>
        <v>0</v>
      </c>
      <c r="AM195" s="652">
        <f t="shared" si="128"/>
        <v>0</v>
      </c>
      <c r="AN195" s="651">
        <f t="array" ref="AN195">IFERROR(INDEX('HIV-Pharmaceuticals'!$Y$107:$Y$192,MATCH($E195&amp;$F195,'HIV-Pharmaceuticals'!$E$107:$E$192&amp;'HIV-Pharmaceuticals'!$I$107:$I$192,0)),0)</f>
        <v>0</v>
      </c>
      <c r="AO195" s="651">
        <f t="shared" si="129"/>
        <v>0</v>
      </c>
      <c r="AP195" s="652">
        <f t="shared" si="130"/>
        <v>0</v>
      </c>
      <c r="AQ195" s="652">
        <f t="shared" si="131"/>
        <v>0</v>
      </c>
      <c r="AR195" s="653"/>
      <c r="AS195" s="651">
        <f t="array" ref="AS195">IFERROR(INDEX('HIV-Pharmaceuticals'!$AB$107:$AB$192,MATCH($E195&amp;$F195,'HIV-Pharmaceuticals'!$E$107:$E$192&amp;'HIV-Pharmaceuticals'!$I$107:$I$192,0)),0)</f>
        <v>0</v>
      </c>
      <c r="AT195" s="651">
        <f t="array" ref="AT195">IFERROR(INDEX('HIV-Pharmaceuticals'!$AC$107:$AC$192,MATCH($E195&amp;$F195,'HIV-Pharmaceuticals'!$E$107:$E$192&amp;'HIV-Pharmaceuticals'!$I$107:$I$192,0)),0)</f>
        <v>0</v>
      </c>
      <c r="AU195" s="651">
        <f t="shared" si="132"/>
        <v>0</v>
      </c>
      <c r="AV195" s="652">
        <f t="shared" si="133"/>
        <v>0</v>
      </c>
      <c r="AW195" s="652">
        <f t="shared" si="134"/>
        <v>0</v>
      </c>
      <c r="AX195" s="651">
        <f t="array" ref="AX195">IFERROR(INDEX('HIV-Pharmaceuticals'!$AD$107:$AD$192,MATCH($E195&amp;$F195,'HIV-Pharmaceuticals'!$E$107:$E$192&amp;'HIV-Pharmaceuticals'!$I$107:$I$192,0)),0)</f>
        <v>0</v>
      </c>
      <c r="AY195" s="651">
        <f t="shared" si="135"/>
        <v>0</v>
      </c>
      <c r="AZ195" s="652">
        <f t="shared" si="136"/>
        <v>0</v>
      </c>
      <c r="BA195" s="652">
        <f t="shared" si="137"/>
        <v>0</v>
      </c>
      <c r="BB195" s="651">
        <f t="array" ref="BB195">IFERROR(INDEX('HIV-Pharmaceuticals'!$AE$107:$AE$192,MATCH($E195&amp;$F195,'HIV-Pharmaceuticals'!$E$107:$E$192&amp;'HIV-Pharmaceuticals'!$I$107:$I$192,0)),0)</f>
        <v>0</v>
      </c>
      <c r="BC195" s="651">
        <f t="shared" si="138"/>
        <v>0</v>
      </c>
      <c r="BD195" s="652">
        <f t="shared" si="139"/>
        <v>0</v>
      </c>
      <c r="BE195" s="652">
        <f t="shared" si="140"/>
        <v>0</v>
      </c>
      <c r="BF195" s="651">
        <f t="array" ref="BF195">IFERROR(INDEX('HIV-Pharmaceuticals'!$AF$107:$AF$192,MATCH($E195&amp;$F195,'HIV-Pharmaceuticals'!$E$107:$E$192&amp;'HIV-Pharmaceuticals'!$I$107:$I$192,0)),0)</f>
        <v>0</v>
      </c>
      <c r="BG195" s="651">
        <f t="shared" si="141"/>
        <v>0</v>
      </c>
      <c r="BH195" s="652">
        <f t="shared" si="142"/>
        <v>0</v>
      </c>
      <c r="BI195" s="652">
        <f t="shared" si="143"/>
        <v>0</v>
      </c>
      <c r="BK195" s="654"/>
      <c r="BL195" s="654"/>
      <c r="BM195" s="654"/>
      <c r="BN195" s="654"/>
      <c r="BO195" s="654"/>
      <c r="BP195" s="654"/>
      <c r="BQ195" s="654"/>
      <c r="BR195" s="654"/>
    </row>
    <row r="196" spans="1:70">
      <c r="A196" s="647" t="s">
        <v>1317</v>
      </c>
      <c r="B196" s="647" t="s">
        <v>2282</v>
      </c>
      <c r="C196" s="648">
        <f>SETUP!$F$22</f>
        <v>0</v>
      </c>
      <c r="D196" s="649">
        <v>4.7</v>
      </c>
      <c r="E196" s="647" t="s">
        <v>1393</v>
      </c>
      <c r="F196" s="647" t="s">
        <v>1395</v>
      </c>
      <c r="G196" s="650" t="str">
        <f t="array" ref="G196">IFERROR(INDEX('HIV-Pharmaceuticals'!$L$107:$L$192,MATCH($E196&amp;$F196,'HIV-Pharmaceuticals'!$E$107:$E$192&amp;'HIV-Pharmaceuticals'!$I$107:$I$192,0)),"")</f>
        <v/>
      </c>
      <c r="H196" s="650" t="str">
        <f t="array" ref="H196">IFERROR(INDEX('HIV-Pharmaceuticals'!$M$107:$M$192,MATCH($E196&amp;$F196,'HIV-Pharmaceuticals'!$E$107:$E$192&amp;'HIV-Pharmaceuticals'!$I$107:$I$192,0)),"")</f>
        <v/>
      </c>
      <c r="I196" s="651">
        <f t="array" ref="I196">IFERROR(INDEX('HIV-Pharmaceuticals'!$N$107:$N$192,MATCH($E196&amp;$F196,'HIV-Pharmaceuticals'!$E$107:$E$192&amp;'HIV-Pharmaceuticals'!$I$107:$I$192,0)),0)</f>
        <v>0</v>
      </c>
      <c r="J196" s="651">
        <f t="array" ref="J196">IFERROR(INDEX('HIV-Pharmaceuticals'!$O$107:$O$192,MATCH($E196&amp;$F196,'HIV-Pharmaceuticals'!$E$107:$E$192&amp;'HIV-Pharmaceuticals'!$I$107:$I$192,0)),0)</f>
        <v>0</v>
      </c>
      <c r="K196" s="652">
        <f t="shared" si="108"/>
        <v>0</v>
      </c>
      <c r="L196" s="652">
        <f t="shared" si="109"/>
        <v>0</v>
      </c>
      <c r="M196" s="652">
        <f t="shared" si="110"/>
        <v>0</v>
      </c>
      <c r="N196" s="651">
        <f t="array" ref="N196">IFERROR(INDEX('HIV-Pharmaceuticals'!$P$107:$P$192,MATCH($E196&amp;$F196,'HIV-Pharmaceuticals'!$E$107:$E$192&amp;'HIV-Pharmaceuticals'!$I$107:$I$192,0)),0)</f>
        <v>0</v>
      </c>
      <c r="O196" s="652">
        <f t="shared" si="111"/>
        <v>0</v>
      </c>
      <c r="P196" s="652">
        <f t="shared" si="112"/>
        <v>0</v>
      </c>
      <c r="Q196" s="652">
        <f t="shared" si="113"/>
        <v>0</v>
      </c>
      <c r="R196" s="651">
        <f t="array" ref="R196">IFERROR(INDEX('HIV-Pharmaceuticals'!$Q$107:$Q$192,MATCH($E196&amp;$F196,'HIV-Pharmaceuticals'!$E$107:$E$192&amp;'HIV-Pharmaceuticals'!$I$107:$I$192,0)),0)</f>
        <v>0</v>
      </c>
      <c r="S196" s="652">
        <f t="shared" si="114"/>
        <v>0</v>
      </c>
      <c r="T196" s="652">
        <f t="shared" si="115"/>
        <v>0</v>
      </c>
      <c r="U196" s="652">
        <f t="shared" si="116"/>
        <v>0</v>
      </c>
      <c r="V196" s="651">
        <f t="array" ref="V196">IFERROR(INDEX('HIV-Pharmaceuticals'!$R$107:$R$192,MATCH($E196&amp;$F196,'HIV-Pharmaceuticals'!$E$107:$E$192&amp;'HIV-Pharmaceuticals'!$I$107:$I$192,0)),0)</f>
        <v>0</v>
      </c>
      <c r="W196" s="652">
        <f t="shared" si="117"/>
        <v>0</v>
      </c>
      <c r="X196" s="652">
        <f t="shared" si="118"/>
        <v>0</v>
      </c>
      <c r="Y196" s="652">
        <f t="shared" si="119"/>
        <v>0</v>
      </c>
      <c r="Z196" s="653"/>
      <c r="AA196" s="651">
        <f t="array" ref="AA196">IFERROR(INDEX('HIV-Pharmaceuticals'!$U$107:$U$192,MATCH($E196&amp;$F196,'HIV-Pharmaceuticals'!$E$107:$E$192&amp;'HIV-Pharmaceuticals'!$I$107:$I$192,0)),0)</f>
        <v>0</v>
      </c>
      <c r="AB196" s="651">
        <f t="array" ref="AB196">IFERROR(INDEX('HIV-Pharmaceuticals'!$V$107:$V$192,MATCH($E196&amp;$F196,'HIV-Pharmaceuticals'!$E$107:$E$192&amp;'HIV-Pharmaceuticals'!$I$107:$I$192,0)),0)</f>
        <v>0</v>
      </c>
      <c r="AC196" s="651">
        <f t="shared" si="120"/>
        <v>0</v>
      </c>
      <c r="AD196" s="652">
        <f t="shared" si="121"/>
        <v>0</v>
      </c>
      <c r="AE196" s="652">
        <f t="shared" si="122"/>
        <v>0</v>
      </c>
      <c r="AF196" s="651">
        <f t="array" ref="AF196">IFERROR(INDEX('HIV-Pharmaceuticals'!$W$107:$W$192,MATCH($E196&amp;$F196,'HIV-Pharmaceuticals'!$E$107:$E$192&amp;'HIV-Pharmaceuticals'!$I$107:$I$192,0)),0)</f>
        <v>0</v>
      </c>
      <c r="AG196" s="651">
        <f t="shared" si="123"/>
        <v>0</v>
      </c>
      <c r="AH196" s="652">
        <f t="shared" si="124"/>
        <v>0</v>
      </c>
      <c r="AI196" s="652">
        <f t="shared" si="125"/>
        <v>0</v>
      </c>
      <c r="AJ196" s="651">
        <f t="array" ref="AJ196">IFERROR(INDEX('HIV-Pharmaceuticals'!$X$107:$X$192,MATCH($E196&amp;$F196,'HIV-Pharmaceuticals'!$E$107:$E$192&amp;'HIV-Pharmaceuticals'!$I$107:$I$192,0)),0)</f>
        <v>0</v>
      </c>
      <c r="AK196" s="651">
        <f t="shared" si="126"/>
        <v>0</v>
      </c>
      <c r="AL196" s="652">
        <f t="shared" si="127"/>
        <v>0</v>
      </c>
      <c r="AM196" s="652">
        <f t="shared" si="128"/>
        <v>0</v>
      </c>
      <c r="AN196" s="651">
        <f t="array" ref="AN196">IFERROR(INDEX('HIV-Pharmaceuticals'!$Y$107:$Y$192,MATCH($E196&amp;$F196,'HIV-Pharmaceuticals'!$E$107:$E$192&amp;'HIV-Pharmaceuticals'!$I$107:$I$192,0)),0)</f>
        <v>0</v>
      </c>
      <c r="AO196" s="651">
        <f t="shared" si="129"/>
        <v>0</v>
      </c>
      <c r="AP196" s="652">
        <f t="shared" si="130"/>
        <v>0</v>
      </c>
      <c r="AQ196" s="652">
        <f t="shared" si="131"/>
        <v>0</v>
      </c>
      <c r="AR196" s="653"/>
      <c r="AS196" s="651">
        <f t="array" ref="AS196">IFERROR(INDEX('HIV-Pharmaceuticals'!$AB$107:$AB$192,MATCH($E196&amp;$F196,'HIV-Pharmaceuticals'!$E$107:$E$192&amp;'HIV-Pharmaceuticals'!$I$107:$I$192,0)),0)</f>
        <v>0</v>
      </c>
      <c r="AT196" s="651">
        <f t="array" ref="AT196">IFERROR(INDEX('HIV-Pharmaceuticals'!$AC$107:$AC$192,MATCH($E196&amp;$F196,'HIV-Pharmaceuticals'!$E$107:$E$192&amp;'HIV-Pharmaceuticals'!$I$107:$I$192,0)),0)</f>
        <v>0</v>
      </c>
      <c r="AU196" s="651">
        <f t="shared" si="132"/>
        <v>0</v>
      </c>
      <c r="AV196" s="652">
        <f t="shared" si="133"/>
        <v>0</v>
      </c>
      <c r="AW196" s="652">
        <f t="shared" si="134"/>
        <v>0</v>
      </c>
      <c r="AX196" s="651">
        <f t="array" ref="AX196">IFERROR(INDEX('HIV-Pharmaceuticals'!$AD$107:$AD$192,MATCH($E196&amp;$F196,'HIV-Pharmaceuticals'!$E$107:$E$192&amp;'HIV-Pharmaceuticals'!$I$107:$I$192,0)),0)</f>
        <v>0</v>
      </c>
      <c r="AY196" s="651">
        <f t="shared" si="135"/>
        <v>0</v>
      </c>
      <c r="AZ196" s="652">
        <f t="shared" si="136"/>
        <v>0</v>
      </c>
      <c r="BA196" s="652">
        <f t="shared" si="137"/>
        <v>0</v>
      </c>
      <c r="BB196" s="651">
        <f t="array" ref="BB196">IFERROR(INDEX('HIV-Pharmaceuticals'!$AE$107:$AE$192,MATCH($E196&amp;$F196,'HIV-Pharmaceuticals'!$E$107:$E$192&amp;'HIV-Pharmaceuticals'!$I$107:$I$192,0)),0)</f>
        <v>0</v>
      </c>
      <c r="BC196" s="651">
        <f t="shared" si="138"/>
        <v>0</v>
      </c>
      <c r="BD196" s="652">
        <f t="shared" si="139"/>
        <v>0</v>
      </c>
      <c r="BE196" s="652">
        <f t="shared" si="140"/>
        <v>0</v>
      </c>
      <c r="BF196" s="651">
        <f t="array" ref="BF196">IFERROR(INDEX('HIV-Pharmaceuticals'!$AF$107:$AF$192,MATCH($E196&amp;$F196,'HIV-Pharmaceuticals'!$E$107:$E$192&amp;'HIV-Pharmaceuticals'!$I$107:$I$192,0)),0)</f>
        <v>0</v>
      </c>
      <c r="BG196" s="651">
        <f t="shared" si="141"/>
        <v>0</v>
      </c>
      <c r="BH196" s="652">
        <f t="shared" si="142"/>
        <v>0</v>
      </c>
      <c r="BI196" s="652">
        <f t="shared" si="143"/>
        <v>0</v>
      </c>
      <c r="BK196" s="654"/>
      <c r="BL196" s="654"/>
      <c r="BM196" s="654"/>
      <c r="BN196" s="654"/>
      <c r="BO196" s="654"/>
      <c r="BP196" s="654"/>
      <c r="BQ196" s="654"/>
      <c r="BR196" s="654"/>
    </row>
    <row r="197" spans="1:70">
      <c r="A197" s="647" t="s">
        <v>1317</v>
      </c>
      <c r="B197" s="647" t="s">
        <v>2282</v>
      </c>
      <c r="C197" s="648">
        <f>SETUP!$F$22</f>
        <v>0</v>
      </c>
      <c r="D197" s="649">
        <v>4.7</v>
      </c>
      <c r="E197" s="647" t="s">
        <v>1398</v>
      </c>
      <c r="F197" s="647" t="s">
        <v>1399</v>
      </c>
      <c r="G197" s="650" t="str">
        <f t="array" ref="G197">IFERROR(INDEX('HIV-Pharmaceuticals'!$L$107:$L$192,MATCH($E197&amp;$F197,'HIV-Pharmaceuticals'!$E$107:$E$192&amp;'HIV-Pharmaceuticals'!$I$107:$I$192,0)),"")</f>
        <v/>
      </c>
      <c r="H197" s="650" t="str">
        <f t="array" ref="H197">IFERROR(INDEX('HIV-Pharmaceuticals'!$M$107:$M$192,MATCH($E197&amp;$F197,'HIV-Pharmaceuticals'!$E$107:$E$192&amp;'HIV-Pharmaceuticals'!$I$107:$I$192,0)),"")</f>
        <v/>
      </c>
      <c r="I197" s="651">
        <f t="array" ref="I197">IFERROR(INDEX('HIV-Pharmaceuticals'!$N$107:$N$192,MATCH($E197&amp;$F197,'HIV-Pharmaceuticals'!$E$107:$E$192&amp;'HIV-Pharmaceuticals'!$I$107:$I$192,0)),0)</f>
        <v>0</v>
      </c>
      <c r="J197" s="651">
        <f t="array" ref="J197">IFERROR(INDEX('HIV-Pharmaceuticals'!$O$107:$O$192,MATCH($E197&amp;$F197,'HIV-Pharmaceuticals'!$E$107:$E$192&amp;'HIV-Pharmaceuticals'!$I$107:$I$192,0)),0)</f>
        <v>0</v>
      </c>
      <c r="K197" s="652">
        <f t="shared" si="108"/>
        <v>0</v>
      </c>
      <c r="L197" s="652">
        <f t="shared" si="109"/>
        <v>0</v>
      </c>
      <c r="M197" s="652">
        <f t="shared" si="110"/>
        <v>0</v>
      </c>
      <c r="N197" s="651">
        <f t="array" ref="N197">IFERROR(INDEX('HIV-Pharmaceuticals'!$P$107:$P$192,MATCH($E197&amp;$F197,'HIV-Pharmaceuticals'!$E$107:$E$192&amp;'HIV-Pharmaceuticals'!$I$107:$I$192,0)),0)</f>
        <v>0</v>
      </c>
      <c r="O197" s="652">
        <f t="shared" si="111"/>
        <v>0</v>
      </c>
      <c r="P197" s="652">
        <f t="shared" si="112"/>
        <v>0</v>
      </c>
      <c r="Q197" s="652">
        <f t="shared" si="113"/>
        <v>0</v>
      </c>
      <c r="R197" s="651">
        <f t="array" ref="R197">IFERROR(INDEX('HIV-Pharmaceuticals'!$Q$107:$Q$192,MATCH($E197&amp;$F197,'HIV-Pharmaceuticals'!$E$107:$E$192&amp;'HIV-Pharmaceuticals'!$I$107:$I$192,0)),0)</f>
        <v>0</v>
      </c>
      <c r="S197" s="652">
        <f t="shared" si="114"/>
        <v>0</v>
      </c>
      <c r="T197" s="652">
        <f t="shared" si="115"/>
        <v>0</v>
      </c>
      <c r="U197" s="652">
        <f t="shared" si="116"/>
        <v>0</v>
      </c>
      <c r="V197" s="651">
        <f t="array" ref="V197">IFERROR(INDEX('HIV-Pharmaceuticals'!$R$107:$R$192,MATCH($E197&amp;$F197,'HIV-Pharmaceuticals'!$E$107:$E$192&amp;'HIV-Pharmaceuticals'!$I$107:$I$192,0)),0)</f>
        <v>0</v>
      </c>
      <c r="W197" s="652">
        <f t="shared" si="117"/>
        <v>0</v>
      </c>
      <c r="X197" s="652">
        <f t="shared" si="118"/>
        <v>0</v>
      </c>
      <c r="Y197" s="652">
        <f t="shared" si="119"/>
        <v>0</v>
      </c>
      <c r="Z197" s="653"/>
      <c r="AA197" s="651">
        <f t="array" ref="AA197">IFERROR(INDEX('HIV-Pharmaceuticals'!$U$107:$U$192,MATCH($E197&amp;$F197,'HIV-Pharmaceuticals'!$E$107:$E$192&amp;'HIV-Pharmaceuticals'!$I$107:$I$192,0)),0)</f>
        <v>0</v>
      </c>
      <c r="AB197" s="651">
        <f t="array" ref="AB197">IFERROR(INDEX('HIV-Pharmaceuticals'!$V$107:$V$192,MATCH($E197&amp;$F197,'HIV-Pharmaceuticals'!$E$107:$E$192&amp;'HIV-Pharmaceuticals'!$I$107:$I$192,0)),0)</f>
        <v>0</v>
      </c>
      <c r="AC197" s="651">
        <f t="shared" si="120"/>
        <v>0</v>
      </c>
      <c r="AD197" s="652">
        <f t="shared" si="121"/>
        <v>0</v>
      </c>
      <c r="AE197" s="652">
        <f t="shared" si="122"/>
        <v>0</v>
      </c>
      <c r="AF197" s="651">
        <f t="array" ref="AF197">IFERROR(INDEX('HIV-Pharmaceuticals'!$W$107:$W$192,MATCH($E197&amp;$F197,'HIV-Pharmaceuticals'!$E$107:$E$192&amp;'HIV-Pharmaceuticals'!$I$107:$I$192,0)),0)</f>
        <v>0</v>
      </c>
      <c r="AG197" s="651">
        <f t="shared" si="123"/>
        <v>0</v>
      </c>
      <c r="AH197" s="652">
        <f t="shared" si="124"/>
        <v>0</v>
      </c>
      <c r="AI197" s="652">
        <f t="shared" si="125"/>
        <v>0</v>
      </c>
      <c r="AJ197" s="651">
        <f t="array" ref="AJ197">IFERROR(INDEX('HIV-Pharmaceuticals'!$X$107:$X$192,MATCH($E197&amp;$F197,'HIV-Pharmaceuticals'!$E$107:$E$192&amp;'HIV-Pharmaceuticals'!$I$107:$I$192,0)),0)</f>
        <v>0</v>
      </c>
      <c r="AK197" s="651">
        <f t="shared" si="126"/>
        <v>0</v>
      </c>
      <c r="AL197" s="652">
        <f t="shared" si="127"/>
        <v>0</v>
      </c>
      <c r="AM197" s="652">
        <f t="shared" si="128"/>
        <v>0</v>
      </c>
      <c r="AN197" s="651">
        <f t="array" ref="AN197">IFERROR(INDEX('HIV-Pharmaceuticals'!$Y$107:$Y$192,MATCH($E197&amp;$F197,'HIV-Pharmaceuticals'!$E$107:$E$192&amp;'HIV-Pharmaceuticals'!$I$107:$I$192,0)),0)</f>
        <v>0</v>
      </c>
      <c r="AO197" s="651">
        <f t="shared" si="129"/>
        <v>0</v>
      </c>
      <c r="AP197" s="652">
        <f t="shared" si="130"/>
        <v>0</v>
      </c>
      <c r="AQ197" s="652">
        <f t="shared" si="131"/>
        <v>0</v>
      </c>
      <c r="AR197" s="653"/>
      <c r="AS197" s="651">
        <f t="array" ref="AS197">IFERROR(INDEX('HIV-Pharmaceuticals'!$AB$107:$AB$192,MATCH($E197&amp;$F197,'HIV-Pharmaceuticals'!$E$107:$E$192&amp;'HIV-Pharmaceuticals'!$I$107:$I$192,0)),0)</f>
        <v>0</v>
      </c>
      <c r="AT197" s="651">
        <f t="array" ref="AT197">IFERROR(INDEX('HIV-Pharmaceuticals'!$AC$107:$AC$192,MATCH($E197&amp;$F197,'HIV-Pharmaceuticals'!$E$107:$E$192&amp;'HIV-Pharmaceuticals'!$I$107:$I$192,0)),0)</f>
        <v>0</v>
      </c>
      <c r="AU197" s="651">
        <f t="shared" si="132"/>
        <v>0</v>
      </c>
      <c r="AV197" s="652">
        <f t="shared" si="133"/>
        <v>0</v>
      </c>
      <c r="AW197" s="652">
        <f t="shared" si="134"/>
        <v>0</v>
      </c>
      <c r="AX197" s="651">
        <f t="array" ref="AX197">IFERROR(INDEX('HIV-Pharmaceuticals'!$AD$107:$AD$192,MATCH($E197&amp;$F197,'HIV-Pharmaceuticals'!$E$107:$E$192&amp;'HIV-Pharmaceuticals'!$I$107:$I$192,0)),0)</f>
        <v>0</v>
      </c>
      <c r="AY197" s="651">
        <f t="shared" si="135"/>
        <v>0</v>
      </c>
      <c r="AZ197" s="652">
        <f t="shared" si="136"/>
        <v>0</v>
      </c>
      <c r="BA197" s="652">
        <f t="shared" si="137"/>
        <v>0</v>
      </c>
      <c r="BB197" s="651">
        <f t="array" ref="BB197">IFERROR(INDEX('HIV-Pharmaceuticals'!$AE$107:$AE$192,MATCH($E197&amp;$F197,'HIV-Pharmaceuticals'!$E$107:$E$192&amp;'HIV-Pharmaceuticals'!$I$107:$I$192,0)),0)</f>
        <v>0</v>
      </c>
      <c r="BC197" s="651">
        <f t="shared" si="138"/>
        <v>0</v>
      </c>
      <c r="BD197" s="652">
        <f t="shared" si="139"/>
        <v>0</v>
      </c>
      <c r="BE197" s="652">
        <f t="shared" si="140"/>
        <v>0</v>
      </c>
      <c r="BF197" s="651">
        <f t="array" ref="BF197">IFERROR(INDEX('HIV-Pharmaceuticals'!$AF$107:$AF$192,MATCH($E197&amp;$F197,'HIV-Pharmaceuticals'!$E$107:$E$192&amp;'HIV-Pharmaceuticals'!$I$107:$I$192,0)),0)</f>
        <v>0</v>
      </c>
      <c r="BG197" s="651">
        <f t="shared" si="141"/>
        <v>0</v>
      </c>
      <c r="BH197" s="652">
        <f t="shared" si="142"/>
        <v>0</v>
      </c>
      <c r="BI197" s="652">
        <f t="shared" si="143"/>
        <v>0</v>
      </c>
      <c r="BK197" s="654"/>
      <c r="BL197" s="654"/>
      <c r="BM197" s="654"/>
      <c r="BN197" s="654"/>
      <c r="BO197" s="654"/>
      <c r="BP197" s="654"/>
      <c r="BQ197" s="654"/>
      <c r="BR197" s="654"/>
    </row>
    <row r="198" spans="1:70">
      <c r="A198" s="647" t="s">
        <v>1317</v>
      </c>
      <c r="B198" s="647" t="s">
        <v>2282</v>
      </c>
      <c r="C198" s="648">
        <f>SETUP!$F$22</f>
        <v>0</v>
      </c>
      <c r="D198" s="649">
        <v>4.7</v>
      </c>
      <c r="E198" s="647" t="s">
        <v>1400</v>
      </c>
      <c r="F198" s="647" t="s">
        <v>1401</v>
      </c>
      <c r="G198" s="650" t="str">
        <f t="array" ref="G198">IFERROR(INDEX('HIV-Pharmaceuticals'!$L$107:$L$192,MATCH($E198&amp;$F198,'HIV-Pharmaceuticals'!$E$107:$E$192&amp;'HIV-Pharmaceuticals'!$I$107:$I$192,0)),"")</f>
        <v/>
      </c>
      <c r="H198" s="650" t="str">
        <f t="array" ref="H198">IFERROR(INDEX('HIV-Pharmaceuticals'!$M$107:$M$192,MATCH($E198&amp;$F198,'HIV-Pharmaceuticals'!$E$107:$E$192&amp;'HIV-Pharmaceuticals'!$I$107:$I$192,0)),"")</f>
        <v/>
      </c>
      <c r="I198" s="651">
        <f t="array" ref="I198">IFERROR(INDEX('HIV-Pharmaceuticals'!$N$107:$N$192,MATCH($E198&amp;$F198,'HIV-Pharmaceuticals'!$E$107:$E$192&amp;'HIV-Pharmaceuticals'!$I$107:$I$192,0)),0)</f>
        <v>0</v>
      </c>
      <c r="J198" s="651">
        <f t="array" ref="J198">IFERROR(INDEX('HIV-Pharmaceuticals'!$O$107:$O$192,MATCH($E198&amp;$F198,'HIV-Pharmaceuticals'!$E$107:$E$192&amp;'HIV-Pharmaceuticals'!$I$107:$I$192,0)),0)</f>
        <v>0</v>
      </c>
      <c r="K198" s="652">
        <f t="shared" si="108"/>
        <v>0</v>
      </c>
      <c r="L198" s="652">
        <f t="shared" si="109"/>
        <v>0</v>
      </c>
      <c r="M198" s="652">
        <f t="shared" si="110"/>
        <v>0</v>
      </c>
      <c r="N198" s="651">
        <f t="array" ref="N198">IFERROR(INDEX('HIV-Pharmaceuticals'!$P$107:$P$192,MATCH($E198&amp;$F198,'HIV-Pharmaceuticals'!$E$107:$E$192&amp;'HIV-Pharmaceuticals'!$I$107:$I$192,0)),0)</f>
        <v>0</v>
      </c>
      <c r="O198" s="652">
        <f t="shared" si="111"/>
        <v>0</v>
      </c>
      <c r="P198" s="652">
        <f t="shared" si="112"/>
        <v>0</v>
      </c>
      <c r="Q198" s="652">
        <f t="shared" si="113"/>
        <v>0</v>
      </c>
      <c r="R198" s="651">
        <f t="array" ref="R198">IFERROR(INDEX('HIV-Pharmaceuticals'!$Q$107:$Q$192,MATCH($E198&amp;$F198,'HIV-Pharmaceuticals'!$E$107:$E$192&amp;'HIV-Pharmaceuticals'!$I$107:$I$192,0)),0)</f>
        <v>0</v>
      </c>
      <c r="S198" s="652">
        <f t="shared" si="114"/>
        <v>0</v>
      </c>
      <c r="T198" s="652">
        <f t="shared" si="115"/>
        <v>0</v>
      </c>
      <c r="U198" s="652">
        <f t="shared" si="116"/>
        <v>0</v>
      </c>
      <c r="V198" s="651">
        <f t="array" ref="V198">IFERROR(INDEX('HIV-Pharmaceuticals'!$R$107:$R$192,MATCH($E198&amp;$F198,'HIV-Pharmaceuticals'!$E$107:$E$192&amp;'HIV-Pharmaceuticals'!$I$107:$I$192,0)),0)</f>
        <v>0</v>
      </c>
      <c r="W198" s="652">
        <f t="shared" si="117"/>
        <v>0</v>
      </c>
      <c r="X198" s="652">
        <f t="shared" si="118"/>
        <v>0</v>
      </c>
      <c r="Y198" s="652">
        <f t="shared" si="119"/>
        <v>0</v>
      </c>
      <c r="Z198" s="653"/>
      <c r="AA198" s="651">
        <f t="array" ref="AA198">IFERROR(INDEX('HIV-Pharmaceuticals'!$U$107:$U$192,MATCH($E198&amp;$F198,'HIV-Pharmaceuticals'!$E$107:$E$192&amp;'HIV-Pharmaceuticals'!$I$107:$I$192,0)),0)</f>
        <v>0</v>
      </c>
      <c r="AB198" s="651">
        <f t="array" ref="AB198">IFERROR(INDEX('HIV-Pharmaceuticals'!$V$107:$V$192,MATCH($E198&amp;$F198,'HIV-Pharmaceuticals'!$E$107:$E$192&amp;'HIV-Pharmaceuticals'!$I$107:$I$192,0)),0)</f>
        <v>0</v>
      </c>
      <c r="AC198" s="651">
        <f t="shared" si="120"/>
        <v>0</v>
      </c>
      <c r="AD198" s="652">
        <f t="shared" si="121"/>
        <v>0</v>
      </c>
      <c r="AE198" s="652">
        <f t="shared" si="122"/>
        <v>0</v>
      </c>
      <c r="AF198" s="651">
        <f t="array" ref="AF198">IFERROR(INDEX('HIV-Pharmaceuticals'!$W$107:$W$192,MATCH($E198&amp;$F198,'HIV-Pharmaceuticals'!$E$107:$E$192&amp;'HIV-Pharmaceuticals'!$I$107:$I$192,0)),0)</f>
        <v>0</v>
      </c>
      <c r="AG198" s="651">
        <f t="shared" si="123"/>
        <v>0</v>
      </c>
      <c r="AH198" s="652">
        <f t="shared" si="124"/>
        <v>0</v>
      </c>
      <c r="AI198" s="652">
        <f t="shared" si="125"/>
        <v>0</v>
      </c>
      <c r="AJ198" s="651">
        <f t="array" ref="AJ198">IFERROR(INDEX('HIV-Pharmaceuticals'!$X$107:$X$192,MATCH($E198&amp;$F198,'HIV-Pharmaceuticals'!$E$107:$E$192&amp;'HIV-Pharmaceuticals'!$I$107:$I$192,0)),0)</f>
        <v>0</v>
      </c>
      <c r="AK198" s="651">
        <f t="shared" si="126"/>
        <v>0</v>
      </c>
      <c r="AL198" s="652">
        <f t="shared" si="127"/>
        <v>0</v>
      </c>
      <c r="AM198" s="652">
        <f t="shared" si="128"/>
        <v>0</v>
      </c>
      <c r="AN198" s="651">
        <f t="array" ref="AN198">IFERROR(INDEX('HIV-Pharmaceuticals'!$Y$107:$Y$192,MATCH($E198&amp;$F198,'HIV-Pharmaceuticals'!$E$107:$E$192&amp;'HIV-Pharmaceuticals'!$I$107:$I$192,0)),0)</f>
        <v>0</v>
      </c>
      <c r="AO198" s="651">
        <f t="shared" si="129"/>
        <v>0</v>
      </c>
      <c r="AP198" s="652">
        <f t="shared" si="130"/>
        <v>0</v>
      </c>
      <c r="AQ198" s="652">
        <f t="shared" si="131"/>
        <v>0</v>
      </c>
      <c r="AR198" s="653"/>
      <c r="AS198" s="651">
        <f t="array" ref="AS198">IFERROR(INDEX('HIV-Pharmaceuticals'!$AB$107:$AB$192,MATCH($E198&amp;$F198,'HIV-Pharmaceuticals'!$E$107:$E$192&amp;'HIV-Pharmaceuticals'!$I$107:$I$192,0)),0)</f>
        <v>0</v>
      </c>
      <c r="AT198" s="651">
        <f t="array" ref="AT198">IFERROR(INDEX('HIV-Pharmaceuticals'!$AC$107:$AC$192,MATCH($E198&amp;$F198,'HIV-Pharmaceuticals'!$E$107:$E$192&amp;'HIV-Pharmaceuticals'!$I$107:$I$192,0)),0)</f>
        <v>0</v>
      </c>
      <c r="AU198" s="651">
        <f t="shared" si="132"/>
        <v>0</v>
      </c>
      <c r="AV198" s="652">
        <f t="shared" si="133"/>
        <v>0</v>
      </c>
      <c r="AW198" s="652">
        <f t="shared" si="134"/>
        <v>0</v>
      </c>
      <c r="AX198" s="651">
        <f t="array" ref="AX198">IFERROR(INDEX('HIV-Pharmaceuticals'!$AD$107:$AD$192,MATCH($E198&amp;$F198,'HIV-Pharmaceuticals'!$E$107:$E$192&amp;'HIV-Pharmaceuticals'!$I$107:$I$192,0)),0)</f>
        <v>0</v>
      </c>
      <c r="AY198" s="651">
        <f t="shared" si="135"/>
        <v>0</v>
      </c>
      <c r="AZ198" s="652">
        <f t="shared" si="136"/>
        <v>0</v>
      </c>
      <c r="BA198" s="652">
        <f t="shared" si="137"/>
        <v>0</v>
      </c>
      <c r="BB198" s="651">
        <f t="array" ref="BB198">IFERROR(INDEX('HIV-Pharmaceuticals'!$AE$107:$AE$192,MATCH($E198&amp;$F198,'HIV-Pharmaceuticals'!$E$107:$E$192&amp;'HIV-Pharmaceuticals'!$I$107:$I$192,0)),0)</f>
        <v>0</v>
      </c>
      <c r="BC198" s="651">
        <f t="shared" si="138"/>
        <v>0</v>
      </c>
      <c r="BD198" s="652">
        <f t="shared" si="139"/>
        <v>0</v>
      </c>
      <c r="BE198" s="652">
        <f t="shared" si="140"/>
        <v>0</v>
      </c>
      <c r="BF198" s="651">
        <f t="array" ref="BF198">IFERROR(INDEX('HIV-Pharmaceuticals'!$AF$107:$AF$192,MATCH($E198&amp;$F198,'HIV-Pharmaceuticals'!$E$107:$E$192&amp;'HIV-Pharmaceuticals'!$I$107:$I$192,0)),0)</f>
        <v>0</v>
      </c>
      <c r="BG198" s="651">
        <f t="shared" si="141"/>
        <v>0</v>
      </c>
      <c r="BH198" s="652">
        <f t="shared" si="142"/>
        <v>0</v>
      </c>
      <c r="BI198" s="652">
        <f t="shared" si="143"/>
        <v>0</v>
      </c>
      <c r="BK198" s="654"/>
      <c r="BL198" s="654"/>
      <c r="BM198" s="654"/>
      <c r="BN198" s="654"/>
      <c r="BO198" s="654"/>
      <c r="BP198" s="654"/>
      <c r="BQ198" s="654"/>
      <c r="BR198" s="654"/>
    </row>
    <row r="199" spans="1:70">
      <c r="A199" s="647" t="s">
        <v>1317</v>
      </c>
      <c r="B199" s="647" t="s">
        <v>2282</v>
      </c>
      <c r="C199" s="648">
        <f>SETUP!$F$22</f>
        <v>0</v>
      </c>
      <c r="D199" s="649">
        <v>4.7</v>
      </c>
      <c r="E199" s="647" t="s">
        <v>442</v>
      </c>
      <c r="F199" s="647" t="s">
        <v>1402</v>
      </c>
      <c r="G199" s="650" t="str">
        <f t="array" ref="G199">IFERROR(INDEX('HIV-Pharmaceuticals'!$L$107:$L$192,MATCH($E199&amp;$F199,'HIV-Pharmaceuticals'!$E$107:$E$192&amp;'HIV-Pharmaceuticals'!$I$107:$I$192,0)),"")</f>
        <v/>
      </c>
      <c r="H199" s="650" t="str">
        <f t="array" ref="H199">IFERROR(INDEX('HIV-Pharmaceuticals'!$M$107:$M$192,MATCH($E199&amp;$F199,'HIV-Pharmaceuticals'!$E$107:$E$192&amp;'HIV-Pharmaceuticals'!$I$107:$I$192,0)),"")</f>
        <v/>
      </c>
      <c r="I199" s="651">
        <f t="array" ref="I199">IFERROR(INDEX('HIV-Pharmaceuticals'!$N$107:$N$192,MATCH($E199&amp;$F199,'HIV-Pharmaceuticals'!$E$107:$E$192&amp;'HIV-Pharmaceuticals'!$I$107:$I$192,0)),0)</f>
        <v>0</v>
      </c>
      <c r="J199" s="651">
        <f t="array" ref="J199">IFERROR(INDEX('HIV-Pharmaceuticals'!$O$107:$O$192,MATCH($E199&amp;$F199,'HIV-Pharmaceuticals'!$E$107:$E$192&amp;'HIV-Pharmaceuticals'!$I$107:$I$192,0)),0)</f>
        <v>0</v>
      </c>
      <c r="K199" s="652">
        <f t="shared" si="108"/>
        <v>0</v>
      </c>
      <c r="L199" s="652">
        <f t="shared" si="109"/>
        <v>0</v>
      </c>
      <c r="M199" s="652">
        <f t="shared" si="110"/>
        <v>0</v>
      </c>
      <c r="N199" s="651">
        <f t="array" ref="N199">IFERROR(INDEX('HIV-Pharmaceuticals'!$P$107:$P$192,MATCH($E199&amp;$F199,'HIV-Pharmaceuticals'!$E$107:$E$192&amp;'HIV-Pharmaceuticals'!$I$107:$I$192,0)),0)</f>
        <v>0</v>
      </c>
      <c r="O199" s="652">
        <f t="shared" si="111"/>
        <v>0</v>
      </c>
      <c r="P199" s="652">
        <f t="shared" si="112"/>
        <v>0</v>
      </c>
      <c r="Q199" s="652">
        <f t="shared" si="113"/>
        <v>0</v>
      </c>
      <c r="R199" s="651">
        <f t="array" ref="R199">IFERROR(INDEX('HIV-Pharmaceuticals'!$Q$107:$Q$192,MATCH($E199&amp;$F199,'HIV-Pharmaceuticals'!$E$107:$E$192&amp;'HIV-Pharmaceuticals'!$I$107:$I$192,0)),0)</f>
        <v>0</v>
      </c>
      <c r="S199" s="652">
        <f t="shared" si="114"/>
        <v>0</v>
      </c>
      <c r="T199" s="652">
        <f t="shared" si="115"/>
        <v>0</v>
      </c>
      <c r="U199" s="652">
        <f t="shared" si="116"/>
        <v>0</v>
      </c>
      <c r="V199" s="651">
        <f t="array" ref="V199">IFERROR(INDEX('HIV-Pharmaceuticals'!$R$107:$R$192,MATCH($E199&amp;$F199,'HIV-Pharmaceuticals'!$E$107:$E$192&amp;'HIV-Pharmaceuticals'!$I$107:$I$192,0)),0)</f>
        <v>0</v>
      </c>
      <c r="W199" s="652">
        <f t="shared" si="117"/>
        <v>0</v>
      </c>
      <c r="X199" s="652">
        <f t="shared" si="118"/>
        <v>0</v>
      </c>
      <c r="Y199" s="652">
        <f t="shared" si="119"/>
        <v>0</v>
      </c>
      <c r="Z199" s="653"/>
      <c r="AA199" s="651">
        <f t="array" ref="AA199">IFERROR(INDEX('HIV-Pharmaceuticals'!$U$107:$U$192,MATCH($E199&amp;$F199,'HIV-Pharmaceuticals'!$E$107:$E$192&amp;'HIV-Pharmaceuticals'!$I$107:$I$192,0)),0)</f>
        <v>0</v>
      </c>
      <c r="AB199" s="651">
        <f t="array" ref="AB199">IFERROR(INDEX('HIV-Pharmaceuticals'!$V$107:$V$192,MATCH($E199&amp;$F199,'HIV-Pharmaceuticals'!$E$107:$E$192&amp;'HIV-Pharmaceuticals'!$I$107:$I$192,0)),0)</f>
        <v>0</v>
      </c>
      <c r="AC199" s="651">
        <f t="shared" si="120"/>
        <v>0</v>
      </c>
      <c r="AD199" s="652">
        <f t="shared" si="121"/>
        <v>0</v>
      </c>
      <c r="AE199" s="652">
        <f t="shared" si="122"/>
        <v>0</v>
      </c>
      <c r="AF199" s="651">
        <f t="array" ref="AF199">IFERROR(INDEX('HIV-Pharmaceuticals'!$W$107:$W$192,MATCH($E199&amp;$F199,'HIV-Pharmaceuticals'!$E$107:$E$192&amp;'HIV-Pharmaceuticals'!$I$107:$I$192,0)),0)</f>
        <v>0</v>
      </c>
      <c r="AG199" s="651">
        <f t="shared" si="123"/>
        <v>0</v>
      </c>
      <c r="AH199" s="652">
        <f t="shared" si="124"/>
        <v>0</v>
      </c>
      <c r="AI199" s="652">
        <f t="shared" si="125"/>
        <v>0</v>
      </c>
      <c r="AJ199" s="651">
        <f t="array" ref="AJ199">IFERROR(INDEX('HIV-Pharmaceuticals'!$X$107:$X$192,MATCH($E199&amp;$F199,'HIV-Pharmaceuticals'!$E$107:$E$192&amp;'HIV-Pharmaceuticals'!$I$107:$I$192,0)),0)</f>
        <v>0</v>
      </c>
      <c r="AK199" s="651">
        <f t="shared" si="126"/>
        <v>0</v>
      </c>
      <c r="AL199" s="652">
        <f t="shared" si="127"/>
        <v>0</v>
      </c>
      <c r="AM199" s="652">
        <f t="shared" si="128"/>
        <v>0</v>
      </c>
      <c r="AN199" s="651">
        <f t="array" ref="AN199">IFERROR(INDEX('HIV-Pharmaceuticals'!$Y$107:$Y$192,MATCH($E199&amp;$F199,'HIV-Pharmaceuticals'!$E$107:$E$192&amp;'HIV-Pharmaceuticals'!$I$107:$I$192,0)),0)</f>
        <v>0</v>
      </c>
      <c r="AO199" s="651">
        <f t="shared" si="129"/>
        <v>0</v>
      </c>
      <c r="AP199" s="652">
        <f t="shared" si="130"/>
        <v>0</v>
      </c>
      <c r="AQ199" s="652">
        <f t="shared" si="131"/>
        <v>0</v>
      </c>
      <c r="AR199" s="653"/>
      <c r="AS199" s="651">
        <f t="array" ref="AS199">IFERROR(INDEX('HIV-Pharmaceuticals'!$AB$107:$AB$192,MATCH($E199&amp;$F199,'HIV-Pharmaceuticals'!$E$107:$E$192&amp;'HIV-Pharmaceuticals'!$I$107:$I$192,0)),0)</f>
        <v>0</v>
      </c>
      <c r="AT199" s="651">
        <f t="array" ref="AT199">IFERROR(INDEX('HIV-Pharmaceuticals'!$AC$107:$AC$192,MATCH($E199&amp;$F199,'HIV-Pharmaceuticals'!$E$107:$E$192&amp;'HIV-Pharmaceuticals'!$I$107:$I$192,0)),0)</f>
        <v>0</v>
      </c>
      <c r="AU199" s="651">
        <f t="shared" si="132"/>
        <v>0</v>
      </c>
      <c r="AV199" s="652">
        <f t="shared" si="133"/>
        <v>0</v>
      </c>
      <c r="AW199" s="652">
        <f t="shared" si="134"/>
        <v>0</v>
      </c>
      <c r="AX199" s="651">
        <f t="array" ref="AX199">IFERROR(INDEX('HIV-Pharmaceuticals'!$AD$107:$AD$192,MATCH($E199&amp;$F199,'HIV-Pharmaceuticals'!$E$107:$E$192&amp;'HIV-Pharmaceuticals'!$I$107:$I$192,0)),0)</f>
        <v>0</v>
      </c>
      <c r="AY199" s="651">
        <f t="shared" si="135"/>
        <v>0</v>
      </c>
      <c r="AZ199" s="652">
        <f t="shared" si="136"/>
        <v>0</v>
      </c>
      <c r="BA199" s="652">
        <f t="shared" si="137"/>
        <v>0</v>
      </c>
      <c r="BB199" s="651">
        <f t="array" ref="BB199">IFERROR(INDEX('HIV-Pharmaceuticals'!$AE$107:$AE$192,MATCH($E199&amp;$F199,'HIV-Pharmaceuticals'!$E$107:$E$192&amp;'HIV-Pharmaceuticals'!$I$107:$I$192,0)),0)</f>
        <v>0</v>
      </c>
      <c r="BC199" s="651">
        <f t="shared" si="138"/>
        <v>0</v>
      </c>
      <c r="BD199" s="652">
        <f t="shared" si="139"/>
        <v>0</v>
      </c>
      <c r="BE199" s="652">
        <f t="shared" si="140"/>
        <v>0</v>
      </c>
      <c r="BF199" s="651">
        <f t="array" ref="BF199">IFERROR(INDEX('HIV-Pharmaceuticals'!$AF$107:$AF$192,MATCH($E199&amp;$F199,'HIV-Pharmaceuticals'!$E$107:$E$192&amp;'HIV-Pharmaceuticals'!$I$107:$I$192,0)),0)</f>
        <v>0</v>
      </c>
      <c r="BG199" s="651">
        <f t="shared" si="141"/>
        <v>0</v>
      </c>
      <c r="BH199" s="652">
        <f t="shared" si="142"/>
        <v>0</v>
      </c>
      <c r="BI199" s="652">
        <f t="shared" si="143"/>
        <v>0</v>
      </c>
      <c r="BK199" s="654"/>
      <c r="BL199" s="654"/>
      <c r="BM199" s="654"/>
      <c r="BN199" s="654"/>
      <c r="BO199" s="654"/>
      <c r="BP199" s="654"/>
      <c r="BQ199" s="654"/>
      <c r="BR199" s="654"/>
    </row>
    <row r="200" spans="1:70">
      <c r="A200" s="647" t="s">
        <v>1317</v>
      </c>
      <c r="B200" s="647" t="s">
        <v>2282</v>
      </c>
      <c r="C200" s="648">
        <f>SETUP!$F$22</f>
        <v>0</v>
      </c>
      <c r="D200" s="649">
        <v>4.7</v>
      </c>
      <c r="E200" s="647" t="s">
        <v>442</v>
      </c>
      <c r="F200" s="647" t="s">
        <v>456</v>
      </c>
      <c r="G200" s="650" t="str">
        <f t="array" ref="G200">IFERROR(INDEX('HIV-Pharmaceuticals'!$L$107:$L$192,MATCH($E200&amp;$F200,'HIV-Pharmaceuticals'!$E$107:$E$192&amp;'HIV-Pharmaceuticals'!$I$107:$I$192,0)),"")</f>
        <v/>
      </c>
      <c r="H200" s="650" t="str">
        <f t="array" ref="H200">IFERROR(INDEX('HIV-Pharmaceuticals'!$M$107:$M$192,MATCH($E200&amp;$F200,'HIV-Pharmaceuticals'!$E$107:$E$192&amp;'HIV-Pharmaceuticals'!$I$107:$I$192,0)),"")</f>
        <v/>
      </c>
      <c r="I200" s="651">
        <f t="array" ref="I200">IFERROR(INDEX('HIV-Pharmaceuticals'!$N$107:$N$192,MATCH($E200&amp;$F200,'HIV-Pharmaceuticals'!$E$107:$E$192&amp;'HIV-Pharmaceuticals'!$I$107:$I$192,0)),0)</f>
        <v>0</v>
      </c>
      <c r="J200" s="651">
        <f t="array" ref="J200">IFERROR(INDEX('HIV-Pharmaceuticals'!$O$107:$O$192,MATCH($E200&amp;$F200,'HIV-Pharmaceuticals'!$E$107:$E$192&amp;'HIV-Pharmaceuticals'!$I$107:$I$192,0)),0)</f>
        <v>0</v>
      </c>
      <c r="K200" s="652">
        <f t="shared" si="108"/>
        <v>0</v>
      </c>
      <c r="L200" s="652">
        <f t="shared" si="109"/>
        <v>0</v>
      </c>
      <c r="M200" s="652">
        <f t="shared" si="110"/>
        <v>0</v>
      </c>
      <c r="N200" s="651">
        <f t="array" ref="N200">IFERROR(INDEX('HIV-Pharmaceuticals'!$P$107:$P$192,MATCH($E200&amp;$F200,'HIV-Pharmaceuticals'!$E$107:$E$192&amp;'HIV-Pharmaceuticals'!$I$107:$I$192,0)),0)</f>
        <v>0</v>
      </c>
      <c r="O200" s="652">
        <f t="shared" si="111"/>
        <v>0</v>
      </c>
      <c r="P200" s="652">
        <f t="shared" si="112"/>
        <v>0</v>
      </c>
      <c r="Q200" s="652">
        <f t="shared" si="113"/>
        <v>0</v>
      </c>
      <c r="R200" s="651">
        <f t="array" ref="R200">IFERROR(INDEX('HIV-Pharmaceuticals'!$Q$107:$Q$192,MATCH($E200&amp;$F200,'HIV-Pharmaceuticals'!$E$107:$E$192&amp;'HIV-Pharmaceuticals'!$I$107:$I$192,0)),0)</f>
        <v>0</v>
      </c>
      <c r="S200" s="652">
        <f t="shared" si="114"/>
        <v>0</v>
      </c>
      <c r="T200" s="652">
        <f t="shared" si="115"/>
        <v>0</v>
      </c>
      <c r="U200" s="652">
        <f t="shared" si="116"/>
        <v>0</v>
      </c>
      <c r="V200" s="651">
        <f t="array" ref="V200">IFERROR(INDEX('HIV-Pharmaceuticals'!$R$107:$R$192,MATCH($E200&amp;$F200,'HIV-Pharmaceuticals'!$E$107:$E$192&amp;'HIV-Pharmaceuticals'!$I$107:$I$192,0)),0)</f>
        <v>0</v>
      </c>
      <c r="W200" s="652">
        <f t="shared" si="117"/>
        <v>0</v>
      </c>
      <c r="X200" s="652">
        <f t="shared" si="118"/>
        <v>0</v>
      </c>
      <c r="Y200" s="652">
        <f t="shared" si="119"/>
        <v>0</v>
      </c>
      <c r="Z200" s="653"/>
      <c r="AA200" s="651">
        <f t="array" ref="AA200">IFERROR(INDEX('HIV-Pharmaceuticals'!$U$107:$U$192,MATCH($E200&amp;$F200,'HIV-Pharmaceuticals'!$E$107:$E$192&amp;'HIV-Pharmaceuticals'!$I$107:$I$192,0)),0)</f>
        <v>0</v>
      </c>
      <c r="AB200" s="651">
        <f t="array" ref="AB200">IFERROR(INDEX('HIV-Pharmaceuticals'!$V$107:$V$192,MATCH($E200&amp;$F200,'HIV-Pharmaceuticals'!$E$107:$E$192&amp;'HIV-Pharmaceuticals'!$I$107:$I$192,0)),0)</f>
        <v>0</v>
      </c>
      <c r="AC200" s="651">
        <f t="shared" si="120"/>
        <v>0</v>
      </c>
      <c r="AD200" s="652">
        <f t="shared" si="121"/>
        <v>0</v>
      </c>
      <c r="AE200" s="652">
        <f t="shared" si="122"/>
        <v>0</v>
      </c>
      <c r="AF200" s="651">
        <f t="array" ref="AF200">IFERROR(INDEX('HIV-Pharmaceuticals'!$W$107:$W$192,MATCH($E200&amp;$F200,'HIV-Pharmaceuticals'!$E$107:$E$192&amp;'HIV-Pharmaceuticals'!$I$107:$I$192,0)),0)</f>
        <v>0</v>
      </c>
      <c r="AG200" s="651">
        <f t="shared" si="123"/>
        <v>0</v>
      </c>
      <c r="AH200" s="652">
        <f t="shared" si="124"/>
        <v>0</v>
      </c>
      <c r="AI200" s="652">
        <f t="shared" si="125"/>
        <v>0</v>
      </c>
      <c r="AJ200" s="651">
        <f t="array" ref="AJ200">IFERROR(INDEX('HIV-Pharmaceuticals'!$X$107:$X$192,MATCH($E200&amp;$F200,'HIV-Pharmaceuticals'!$E$107:$E$192&amp;'HIV-Pharmaceuticals'!$I$107:$I$192,0)),0)</f>
        <v>0</v>
      </c>
      <c r="AK200" s="651">
        <f t="shared" si="126"/>
        <v>0</v>
      </c>
      <c r="AL200" s="652">
        <f t="shared" si="127"/>
        <v>0</v>
      </c>
      <c r="AM200" s="652">
        <f t="shared" si="128"/>
        <v>0</v>
      </c>
      <c r="AN200" s="651">
        <f t="array" ref="AN200">IFERROR(INDEX('HIV-Pharmaceuticals'!$Y$107:$Y$192,MATCH($E200&amp;$F200,'HIV-Pharmaceuticals'!$E$107:$E$192&amp;'HIV-Pharmaceuticals'!$I$107:$I$192,0)),0)</f>
        <v>0</v>
      </c>
      <c r="AO200" s="651">
        <f t="shared" si="129"/>
        <v>0</v>
      </c>
      <c r="AP200" s="652">
        <f t="shared" si="130"/>
        <v>0</v>
      </c>
      <c r="AQ200" s="652">
        <f t="shared" si="131"/>
        <v>0</v>
      </c>
      <c r="AR200" s="653"/>
      <c r="AS200" s="651">
        <f t="array" ref="AS200">IFERROR(INDEX('HIV-Pharmaceuticals'!$AB$107:$AB$192,MATCH($E200&amp;$F200,'HIV-Pharmaceuticals'!$E$107:$E$192&amp;'HIV-Pharmaceuticals'!$I$107:$I$192,0)),0)</f>
        <v>0</v>
      </c>
      <c r="AT200" s="651">
        <f t="array" ref="AT200">IFERROR(INDEX('HIV-Pharmaceuticals'!$AC$107:$AC$192,MATCH($E200&amp;$F200,'HIV-Pharmaceuticals'!$E$107:$E$192&amp;'HIV-Pharmaceuticals'!$I$107:$I$192,0)),0)</f>
        <v>0</v>
      </c>
      <c r="AU200" s="651">
        <f t="shared" si="132"/>
        <v>0</v>
      </c>
      <c r="AV200" s="652">
        <f t="shared" si="133"/>
        <v>0</v>
      </c>
      <c r="AW200" s="652">
        <f t="shared" si="134"/>
        <v>0</v>
      </c>
      <c r="AX200" s="651">
        <f t="array" ref="AX200">IFERROR(INDEX('HIV-Pharmaceuticals'!$AD$107:$AD$192,MATCH($E200&amp;$F200,'HIV-Pharmaceuticals'!$E$107:$E$192&amp;'HIV-Pharmaceuticals'!$I$107:$I$192,0)),0)</f>
        <v>0</v>
      </c>
      <c r="AY200" s="651">
        <f t="shared" si="135"/>
        <v>0</v>
      </c>
      <c r="AZ200" s="652">
        <f t="shared" si="136"/>
        <v>0</v>
      </c>
      <c r="BA200" s="652">
        <f t="shared" si="137"/>
        <v>0</v>
      </c>
      <c r="BB200" s="651">
        <f t="array" ref="BB200">IFERROR(INDEX('HIV-Pharmaceuticals'!$AE$107:$AE$192,MATCH($E200&amp;$F200,'HIV-Pharmaceuticals'!$E$107:$E$192&amp;'HIV-Pharmaceuticals'!$I$107:$I$192,0)),0)</f>
        <v>0</v>
      </c>
      <c r="BC200" s="651">
        <f t="shared" si="138"/>
        <v>0</v>
      </c>
      <c r="BD200" s="652">
        <f t="shared" si="139"/>
        <v>0</v>
      </c>
      <c r="BE200" s="652">
        <f t="shared" si="140"/>
        <v>0</v>
      </c>
      <c r="BF200" s="651">
        <f t="array" ref="BF200">IFERROR(INDEX('HIV-Pharmaceuticals'!$AF$107:$AF$192,MATCH($E200&amp;$F200,'HIV-Pharmaceuticals'!$E$107:$E$192&amp;'HIV-Pharmaceuticals'!$I$107:$I$192,0)),0)</f>
        <v>0</v>
      </c>
      <c r="BG200" s="651">
        <f t="shared" si="141"/>
        <v>0</v>
      </c>
      <c r="BH200" s="652">
        <f t="shared" si="142"/>
        <v>0</v>
      </c>
      <c r="BI200" s="652">
        <f t="shared" si="143"/>
        <v>0</v>
      </c>
      <c r="BK200" s="654"/>
      <c r="BL200" s="654"/>
      <c r="BM200" s="654"/>
      <c r="BN200" s="654"/>
      <c r="BO200" s="654"/>
      <c r="BP200" s="654"/>
      <c r="BQ200" s="654"/>
      <c r="BR200" s="654"/>
    </row>
    <row r="201" spans="1:70">
      <c r="A201" s="647" t="s">
        <v>1317</v>
      </c>
      <c r="B201" s="647" t="s">
        <v>2282</v>
      </c>
      <c r="C201" s="648">
        <f>SETUP!$F$22</f>
        <v>0</v>
      </c>
      <c r="D201" s="649">
        <v>4.7</v>
      </c>
      <c r="E201" s="647" t="s">
        <v>442</v>
      </c>
      <c r="F201" s="647" t="s">
        <v>457</v>
      </c>
      <c r="G201" s="650" t="str">
        <f t="array" ref="G201">IFERROR(INDEX('HIV-Pharmaceuticals'!$L$107:$L$192,MATCH($E201&amp;$F201,'HIV-Pharmaceuticals'!$E$107:$E$192&amp;'HIV-Pharmaceuticals'!$I$107:$I$192,0)),"")</f>
        <v/>
      </c>
      <c r="H201" s="650" t="str">
        <f t="array" ref="H201">IFERROR(INDEX('HIV-Pharmaceuticals'!$M$107:$M$192,MATCH($E201&amp;$F201,'HIV-Pharmaceuticals'!$E$107:$E$192&amp;'HIV-Pharmaceuticals'!$I$107:$I$192,0)),"")</f>
        <v/>
      </c>
      <c r="I201" s="651">
        <f t="array" ref="I201">IFERROR(INDEX('HIV-Pharmaceuticals'!$N$107:$N$192,MATCH($E201&amp;$F201,'HIV-Pharmaceuticals'!$E$107:$E$192&amp;'HIV-Pharmaceuticals'!$I$107:$I$192,0)),0)</f>
        <v>0</v>
      </c>
      <c r="J201" s="651">
        <f t="array" ref="J201">IFERROR(INDEX('HIV-Pharmaceuticals'!$O$107:$O$192,MATCH($E201&amp;$F201,'HIV-Pharmaceuticals'!$E$107:$E$192&amp;'HIV-Pharmaceuticals'!$I$107:$I$192,0)),0)</f>
        <v>0</v>
      </c>
      <c r="K201" s="652">
        <f t="shared" si="108"/>
        <v>0</v>
      </c>
      <c r="L201" s="652">
        <f t="shared" si="109"/>
        <v>0</v>
      </c>
      <c r="M201" s="652">
        <f t="shared" si="110"/>
        <v>0</v>
      </c>
      <c r="N201" s="651">
        <f t="array" ref="N201">IFERROR(INDEX('HIV-Pharmaceuticals'!$P$107:$P$192,MATCH($E201&amp;$F201,'HIV-Pharmaceuticals'!$E$107:$E$192&amp;'HIV-Pharmaceuticals'!$I$107:$I$192,0)),0)</f>
        <v>0</v>
      </c>
      <c r="O201" s="652">
        <f t="shared" si="111"/>
        <v>0</v>
      </c>
      <c r="P201" s="652">
        <f t="shared" si="112"/>
        <v>0</v>
      </c>
      <c r="Q201" s="652">
        <f t="shared" si="113"/>
        <v>0</v>
      </c>
      <c r="R201" s="651">
        <f t="array" ref="R201">IFERROR(INDEX('HIV-Pharmaceuticals'!$Q$107:$Q$192,MATCH($E201&amp;$F201,'HIV-Pharmaceuticals'!$E$107:$E$192&amp;'HIV-Pharmaceuticals'!$I$107:$I$192,0)),0)</f>
        <v>0</v>
      </c>
      <c r="S201" s="652">
        <f t="shared" si="114"/>
        <v>0</v>
      </c>
      <c r="T201" s="652">
        <f t="shared" si="115"/>
        <v>0</v>
      </c>
      <c r="U201" s="652">
        <f t="shared" si="116"/>
        <v>0</v>
      </c>
      <c r="V201" s="651">
        <f t="array" ref="V201">IFERROR(INDEX('HIV-Pharmaceuticals'!$R$107:$R$192,MATCH($E201&amp;$F201,'HIV-Pharmaceuticals'!$E$107:$E$192&amp;'HIV-Pharmaceuticals'!$I$107:$I$192,0)),0)</f>
        <v>0</v>
      </c>
      <c r="W201" s="652">
        <f t="shared" si="117"/>
        <v>0</v>
      </c>
      <c r="X201" s="652">
        <f t="shared" si="118"/>
        <v>0</v>
      </c>
      <c r="Y201" s="652">
        <f t="shared" si="119"/>
        <v>0</v>
      </c>
      <c r="Z201" s="653"/>
      <c r="AA201" s="651">
        <f t="array" ref="AA201">IFERROR(INDEX('HIV-Pharmaceuticals'!$U$107:$U$192,MATCH($E201&amp;$F201,'HIV-Pharmaceuticals'!$E$107:$E$192&amp;'HIV-Pharmaceuticals'!$I$107:$I$192,0)),0)</f>
        <v>0</v>
      </c>
      <c r="AB201" s="651">
        <f t="array" ref="AB201">IFERROR(INDEX('HIV-Pharmaceuticals'!$V$107:$V$192,MATCH($E201&amp;$F201,'HIV-Pharmaceuticals'!$E$107:$E$192&amp;'HIV-Pharmaceuticals'!$I$107:$I$192,0)),0)</f>
        <v>0</v>
      </c>
      <c r="AC201" s="651">
        <f t="shared" si="120"/>
        <v>0</v>
      </c>
      <c r="AD201" s="652">
        <f t="shared" si="121"/>
        <v>0</v>
      </c>
      <c r="AE201" s="652">
        <f t="shared" si="122"/>
        <v>0</v>
      </c>
      <c r="AF201" s="651">
        <f t="array" ref="AF201">IFERROR(INDEX('HIV-Pharmaceuticals'!$W$107:$W$192,MATCH($E201&amp;$F201,'HIV-Pharmaceuticals'!$E$107:$E$192&amp;'HIV-Pharmaceuticals'!$I$107:$I$192,0)),0)</f>
        <v>0</v>
      </c>
      <c r="AG201" s="651">
        <f t="shared" si="123"/>
        <v>0</v>
      </c>
      <c r="AH201" s="652">
        <f t="shared" si="124"/>
        <v>0</v>
      </c>
      <c r="AI201" s="652">
        <f t="shared" si="125"/>
        <v>0</v>
      </c>
      <c r="AJ201" s="651">
        <f t="array" ref="AJ201">IFERROR(INDEX('HIV-Pharmaceuticals'!$X$107:$X$192,MATCH($E201&amp;$F201,'HIV-Pharmaceuticals'!$E$107:$E$192&amp;'HIV-Pharmaceuticals'!$I$107:$I$192,0)),0)</f>
        <v>0</v>
      </c>
      <c r="AK201" s="651">
        <f t="shared" si="126"/>
        <v>0</v>
      </c>
      <c r="AL201" s="652">
        <f t="shared" si="127"/>
        <v>0</v>
      </c>
      <c r="AM201" s="652">
        <f t="shared" si="128"/>
        <v>0</v>
      </c>
      <c r="AN201" s="651">
        <f t="array" ref="AN201">IFERROR(INDEX('HIV-Pharmaceuticals'!$Y$107:$Y$192,MATCH($E201&amp;$F201,'HIV-Pharmaceuticals'!$E$107:$E$192&amp;'HIV-Pharmaceuticals'!$I$107:$I$192,0)),0)</f>
        <v>0</v>
      </c>
      <c r="AO201" s="651">
        <f t="shared" si="129"/>
        <v>0</v>
      </c>
      <c r="AP201" s="652">
        <f t="shared" si="130"/>
        <v>0</v>
      </c>
      <c r="AQ201" s="652">
        <f t="shared" si="131"/>
        <v>0</v>
      </c>
      <c r="AR201" s="653"/>
      <c r="AS201" s="651">
        <f t="array" ref="AS201">IFERROR(INDEX('HIV-Pharmaceuticals'!$AB$107:$AB$192,MATCH($E201&amp;$F201,'HIV-Pharmaceuticals'!$E$107:$E$192&amp;'HIV-Pharmaceuticals'!$I$107:$I$192,0)),0)</f>
        <v>0</v>
      </c>
      <c r="AT201" s="651">
        <f t="array" ref="AT201">IFERROR(INDEX('HIV-Pharmaceuticals'!$AC$107:$AC$192,MATCH($E201&amp;$F201,'HIV-Pharmaceuticals'!$E$107:$E$192&amp;'HIV-Pharmaceuticals'!$I$107:$I$192,0)),0)</f>
        <v>0</v>
      </c>
      <c r="AU201" s="651">
        <f t="shared" si="132"/>
        <v>0</v>
      </c>
      <c r="AV201" s="652">
        <f t="shared" si="133"/>
        <v>0</v>
      </c>
      <c r="AW201" s="652">
        <f t="shared" si="134"/>
        <v>0</v>
      </c>
      <c r="AX201" s="651">
        <f t="array" ref="AX201">IFERROR(INDEX('HIV-Pharmaceuticals'!$AD$107:$AD$192,MATCH($E201&amp;$F201,'HIV-Pharmaceuticals'!$E$107:$E$192&amp;'HIV-Pharmaceuticals'!$I$107:$I$192,0)),0)</f>
        <v>0</v>
      </c>
      <c r="AY201" s="651">
        <f t="shared" si="135"/>
        <v>0</v>
      </c>
      <c r="AZ201" s="652">
        <f t="shared" si="136"/>
        <v>0</v>
      </c>
      <c r="BA201" s="652">
        <f t="shared" si="137"/>
        <v>0</v>
      </c>
      <c r="BB201" s="651">
        <f t="array" ref="BB201">IFERROR(INDEX('HIV-Pharmaceuticals'!$AE$107:$AE$192,MATCH($E201&amp;$F201,'HIV-Pharmaceuticals'!$E$107:$E$192&amp;'HIV-Pharmaceuticals'!$I$107:$I$192,0)),0)</f>
        <v>0</v>
      </c>
      <c r="BC201" s="651">
        <f t="shared" si="138"/>
        <v>0</v>
      </c>
      <c r="BD201" s="652">
        <f t="shared" si="139"/>
        <v>0</v>
      </c>
      <c r="BE201" s="652">
        <f t="shared" si="140"/>
        <v>0</v>
      </c>
      <c r="BF201" s="651">
        <f t="array" ref="BF201">IFERROR(INDEX('HIV-Pharmaceuticals'!$AF$107:$AF$192,MATCH($E201&amp;$F201,'HIV-Pharmaceuticals'!$E$107:$E$192&amp;'HIV-Pharmaceuticals'!$I$107:$I$192,0)),0)</f>
        <v>0</v>
      </c>
      <c r="BG201" s="651">
        <f t="shared" si="141"/>
        <v>0</v>
      </c>
      <c r="BH201" s="652">
        <f t="shared" si="142"/>
        <v>0</v>
      </c>
      <c r="BI201" s="652">
        <f t="shared" si="143"/>
        <v>0</v>
      </c>
      <c r="BK201" s="654"/>
      <c r="BL201" s="654"/>
      <c r="BM201" s="654"/>
      <c r="BN201" s="654"/>
      <c r="BO201" s="654"/>
      <c r="BP201" s="654"/>
      <c r="BQ201" s="654"/>
      <c r="BR201" s="654"/>
    </row>
    <row r="202" spans="1:70">
      <c r="A202" s="647" t="s">
        <v>1317</v>
      </c>
      <c r="B202" s="647" t="s">
        <v>2282</v>
      </c>
      <c r="C202" s="648">
        <f>SETUP!$F$22</f>
        <v>0</v>
      </c>
      <c r="D202" s="649">
        <v>4.7</v>
      </c>
      <c r="E202" s="647" t="s">
        <v>442</v>
      </c>
      <c r="F202" s="647" t="s">
        <v>458</v>
      </c>
      <c r="G202" s="650" t="str">
        <f t="array" ref="G202">IFERROR(INDEX('HIV-Pharmaceuticals'!$L$107:$L$192,MATCH($E202&amp;$F202,'HIV-Pharmaceuticals'!$E$107:$E$192&amp;'HIV-Pharmaceuticals'!$I$107:$I$192,0)),"")</f>
        <v/>
      </c>
      <c r="H202" s="650" t="str">
        <f t="array" ref="H202">IFERROR(INDEX('HIV-Pharmaceuticals'!$M$107:$M$192,MATCH($E202&amp;$F202,'HIV-Pharmaceuticals'!$E$107:$E$192&amp;'HIV-Pharmaceuticals'!$I$107:$I$192,0)),"")</f>
        <v/>
      </c>
      <c r="I202" s="651">
        <f t="array" ref="I202">IFERROR(INDEX('HIV-Pharmaceuticals'!$N$107:$N$192,MATCH($E202&amp;$F202,'HIV-Pharmaceuticals'!$E$107:$E$192&amp;'HIV-Pharmaceuticals'!$I$107:$I$192,0)),0)</f>
        <v>0</v>
      </c>
      <c r="J202" s="651">
        <f t="array" ref="J202">IFERROR(INDEX('HIV-Pharmaceuticals'!$O$107:$O$192,MATCH($E202&amp;$F202,'HIV-Pharmaceuticals'!$E$107:$E$192&amp;'HIV-Pharmaceuticals'!$I$107:$I$192,0)),0)</f>
        <v>0</v>
      </c>
      <c r="K202" s="652">
        <f t="shared" si="108"/>
        <v>0</v>
      </c>
      <c r="L202" s="652">
        <f t="shared" si="109"/>
        <v>0</v>
      </c>
      <c r="M202" s="652">
        <f t="shared" si="110"/>
        <v>0</v>
      </c>
      <c r="N202" s="651">
        <f t="array" ref="N202">IFERROR(INDEX('HIV-Pharmaceuticals'!$P$107:$P$192,MATCH($E202&amp;$F202,'HIV-Pharmaceuticals'!$E$107:$E$192&amp;'HIV-Pharmaceuticals'!$I$107:$I$192,0)),0)</f>
        <v>0</v>
      </c>
      <c r="O202" s="652">
        <f t="shared" si="111"/>
        <v>0</v>
      </c>
      <c r="P202" s="652">
        <f t="shared" si="112"/>
        <v>0</v>
      </c>
      <c r="Q202" s="652">
        <f t="shared" si="113"/>
        <v>0</v>
      </c>
      <c r="R202" s="651">
        <f t="array" ref="R202">IFERROR(INDEX('HIV-Pharmaceuticals'!$Q$107:$Q$192,MATCH($E202&amp;$F202,'HIV-Pharmaceuticals'!$E$107:$E$192&amp;'HIV-Pharmaceuticals'!$I$107:$I$192,0)),0)</f>
        <v>0</v>
      </c>
      <c r="S202" s="652">
        <f t="shared" si="114"/>
        <v>0</v>
      </c>
      <c r="T202" s="652">
        <f t="shared" si="115"/>
        <v>0</v>
      </c>
      <c r="U202" s="652">
        <f t="shared" si="116"/>
        <v>0</v>
      </c>
      <c r="V202" s="651">
        <f t="array" ref="V202">IFERROR(INDEX('HIV-Pharmaceuticals'!$R$107:$R$192,MATCH($E202&amp;$F202,'HIV-Pharmaceuticals'!$E$107:$E$192&amp;'HIV-Pharmaceuticals'!$I$107:$I$192,0)),0)</f>
        <v>0</v>
      </c>
      <c r="W202" s="652">
        <f t="shared" si="117"/>
        <v>0</v>
      </c>
      <c r="X202" s="652">
        <f t="shared" si="118"/>
        <v>0</v>
      </c>
      <c r="Y202" s="652">
        <f t="shared" si="119"/>
        <v>0</v>
      </c>
      <c r="Z202" s="653"/>
      <c r="AA202" s="651">
        <f t="array" ref="AA202">IFERROR(INDEX('HIV-Pharmaceuticals'!$U$107:$U$192,MATCH($E202&amp;$F202,'HIV-Pharmaceuticals'!$E$107:$E$192&amp;'HIV-Pharmaceuticals'!$I$107:$I$192,0)),0)</f>
        <v>0</v>
      </c>
      <c r="AB202" s="651">
        <f t="array" ref="AB202">IFERROR(INDEX('HIV-Pharmaceuticals'!$V$107:$V$192,MATCH($E202&amp;$F202,'HIV-Pharmaceuticals'!$E$107:$E$192&amp;'HIV-Pharmaceuticals'!$I$107:$I$192,0)),0)</f>
        <v>0</v>
      </c>
      <c r="AC202" s="651">
        <f t="shared" si="120"/>
        <v>0</v>
      </c>
      <c r="AD202" s="652">
        <f t="shared" si="121"/>
        <v>0</v>
      </c>
      <c r="AE202" s="652">
        <f t="shared" si="122"/>
        <v>0</v>
      </c>
      <c r="AF202" s="651">
        <f t="array" ref="AF202">IFERROR(INDEX('HIV-Pharmaceuticals'!$W$107:$W$192,MATCH($E202&amp;$F202,'HIV-Pharmaceuticals'!$E$107:$E$192&amp;'HIV-Pharmaceuticals'!$I$107:$I$192,0)),0)</f>
        <v>0</v>
      </c>
      <c r="AG202" s="651">
        <f t="shared" si="123"/>
        <v>0</v>
      </c>
      <c r="AH202" s="652">
        <f t="shared" si="124"/>
        <v>0</v>
      </c>
      <c r="AI202" s="652">
        <f t="shared" si="125"/>
        <v>0</v>
      </c>
      <c r="AJ202" s="651">
        <f t="array" ref="AJ202">IFERROR(INDEX('HIV-Pharmaceuticals'!$X$107:$X$192,MATCH($E202&amp;$F202,'HIV-Pharmaceuticals'!$E$107:$E$192&amp;'HIV-Pharmaceuticals'!$I$107:$I$192,0)),0)</f>
        <v>0</v>
      </c>
      <c r="AK202" s="651">
        <f t="shared" si="126"/>
        <v>0</v>
      </c>
      <c r="AL202" s="652">
        <f t="shared" si="127"/>
        <v>0</v>
      </c>
      <c r="AM202" s="652">
        <f t="shared" si="128"/>
        <v>0</v>
      </c>
      <c r="AN202" s="651">
        <f t="array" ref="AN202">IFERROR(INDEX('HIV-Pharmaceuticals'!$Y$107:$Y$192,MATCH($E202&amp;$F202,'HIV-Pharmaceuticals'!$E$107:$E$192&amp;'HIV-Pharmaceuticals'!$I$107:$I$192,0)),0)</f>
        <v>0</v>
      </c>
      <c r="AO202" s="651">
        <f t="shared" si="129"/>
        <v>0</v>
      </c>
      <c r="AP202" s="652">
        <f t="shared" si="130"/>
        <v>0</v>
      </c>
      <c r="AQ202" s="652">
        <f t="shared" si="131"/>
        <v>0</v>
      </c>
      <c r="AR202" s="653"/>
      <c r="AS202" s="651">
        <f t="array" ref="AS202">IFERROR(INDEX('HIV-Pharmaceuticals'!$AB$107:$AB$192,MATCH($E202&amp;$F202,'HIV-Pharmaceuticals'!$E$107:$E$192&amp;'HIV-Pharmaceuticals'!$I$107:$I$192,0)),0)</f>
        <v>0</v>
      </c>
      <c r="AT202" s="651">
        <f t="array" ref="AT202">IFERROR(INDEX('HIV-Pharmaceuticals'!$AC$107:$AC$192,MATCH($E202&amp;$F202,'HIV-Pharmaceuticals'!$E$107:$E$192&amp;'HIV-Pharmaceuticals'!$I$107:$I$192,0)),0)</f>
        <v>0</v>
      </c>
      <c r="AU202" s="651">
        <f t="shared" si="132"/>
        <v>0</v>
      </c>
      <c r="AV202" s="652">
        <f t="shared" si="133"/>
        <v>0</v>
      </c>
      <c r="AW202" s="652">
        <f t="shared" si="134"/>
        <v>0</v>
      </c>
      <c r="AX202" s="651">
        <f t="array" ref="AX202">IFERROR(INDEX('HIV-Pharmaceuticals'!$AD$107:$AD$192,MATCH($E202&amp;$F202,'HIV-Pharmaceuticals'!$E$107:$E$192&amp;'HIV-Pharmaceuticals'!$I$107:$I$192,0)),0)</f>
        <v>0</v>
      </c>
      <c r="AY202" s="651">
        <f t="shared" si="135"/>
        <v>0</v>
      </c>
      <c r="AZ202" s="652">
        <f t="shared" si="136"/>
        <v>0</v>
      </c>
      <c r="BA202" s="652">
        <f t="shared" si="137"/>
        <v>0</v>
      </c>
      <c r="BB202" s="651">
        <f t="array" ref="BB202">IFERROR(INDEX('HIV-Pharmaceuticals'!$AE$107:$AE$192,MATCH($E202&amp;$F202,'HIV-Pharmaceuticals'!$E$107:$E$192&amp;'HIV-Pharmaceuticals'!$I$107:$I$192,0)),0)</f>
        <v>0</v>
      </c>
      <c r="BC202" s="651">
        <f t="shared" si="138"/>
        <v>0</v>
      </c>
      <c r="BD202" s="652">
        <f t="shared" si="139"/>
        <v>0</v>
      </c>
      <c r="BE202" s="652">
        <f t="shared" si="140"/>
        <v>0</v>
      </c>
      <c r="BF202" s="651">
        <f t="array" ref="BF202">IFERROR(INDEX('HIV-Pharmaceuticals'!$AF$107:$AF$192,MATCH($E202&amp;$F202,'HIV-Pharmaceuticals'!$E$107:$E$192&amp;'HIV-Pharmaceuticals'!$I$107:$I$192,0)),0)</f>
        <v>0</v>
      </c>
      <c r="BG202" s="651">
        <f t="shared" si="141"/>
        <v>0</v>
      </c>
      <c r="BH202" s="652">
        <f t="shared" si="142"/>
        <v>0</v>
      </c>
      <c r="BI202" s="652">
        <f t="shared" si="143"/>
        <v>0</v>
      </c>
      <c r="BK202" s="654"/>
      <c r="BL202" s="654"/>
      <c r="BM202" s="654"/>
      <c r="BN202" s="654"/>
      <c r="BO202" s="654"/>
      <c r="BP202" s="654"/>
      <c r="BQ202" s="654"/>
      <c r="BR202" s="654"/>
    </row>
    <row r="203" spans="1:70">
      <c r="A203" s="647" t="s">
        <v>1317</v>
      </c>
      <c r="B203" s="647" t="s">
        <v>2282</v>
      </c>
      <c r="C203" s="648">
        <f>SETUP!$F$22</f>
        <v>0</v>
      </c>
      <c r="D203" s="649">
        <v>4.7</v>
      </c>
      <c r="E203" s="647" t="s">
        <v>442</v>
      </c>
      <c r="F203" s="647" t="s">
        <v>455</v>
      </c>
      <c r="G203" s="650" t="str">
        <f t="array" ref="G203">IFERROR(INDEX('HIV-Pharmaceuticals'!$L$107:$L$192,MATCH($E203&amp;$F203,'HIV-Pharmaceuticals'!$E$107:$E$192&amp;'HIV-Pharmaceuticals'!$I$107:$I$192,0)),"")</f>
        <v/>
      </c>
      <c r="H203" s="650" t="str">
        <f t="array" ref="H203">IFERROR(INDEX('HIV-Pharmaceuticals'!$M$107:$M$192,MATCH($E203&amp;$F203,'HIV-Pharmaceuticals'!$E$107:$E$192&amp;'HIV-Pharmaceuticals'!$I$107:$I$192,0)),"")</f>
        <v/>
      </c>
      <c r="I203" s="651">
        <f t="array" ref="I203">IFERROR(INDEX('HIV-Pharmaceuticals'!$N$107:$N$192,MATCH($E203&amp;$F203,'HIV-Pharmaceuticals'!$E$107:$E$192&amp;'HIV-Pharmaceuticals'!$I$107:$I$192,0)),0)</f>
        <v>0</v>
      </c>
      <c r="J203" s="651">
        <f t="array" ref="J203">IFERROR(INDEX('HIV-Pharmaceuticals'!$O$107:$O$192,MATCH($E203&amp;$F203,'HIV-Pharmaceuticals'!$E$107:$E$192&amp;'HIV-Pharmaceuticals'!$I$107:$I$192,0)),0)</f>
        <v>0</v>
      </c>
      <c r="K203" s="652">
        <f t="shared" si="108"/>
        <v>0</v>
      </c>
      <c r="L203" s="652">
        <f t="shared" si="109"/>
        <v>0</v>
      </c>
      <c r="M203" s="652">
        <f t="shared" si="110"/>
        <v>0</v>
      </c>
      <c r="N203" s="651">
        <f t="array" ref="N203">IFERROR(INDEX('HIV-Pharmaceuticals'!$P$107:$P$192,MATCH($E203&amp;$F203,'HIV-Pharmaceuticals'!$E$107:$E$192&amp;'HIV-Pharmaceuticals'!$I$107:$I$192,0)),0)</f>
        <v>0</v>
      </c>
      <c r="O203" s="652">
        <f t="shared" si="111"/>
        <v>0</v>
      </c>
      <c r="P203" s="652">
        <f t="shared" si="112"/>
        <v>0</v>
      </c>
      <c r="Q203" s="652">
        <f t="shared" si="113"/>
        <v>0</v>
      </c>
      <c r="R203" s="651">
        <f t="array" ref="R203">IFERROR(INDEX('HIV-Pharmaceuticals'!$Q$107:$Q$192,MATCH($E203&amp;$F203,'HIV-Pharmaceuticals'!$E$107:$E$192&amp;'HIV-Pharmaceuticals'!$I$107:$I$192,0)),0)</f>
        <v>0</v>
      </c>
      <c r="S203" s="652">
        <f t="shared" si="114"/>
        <v>0</v>
      </c>
      <c r="T203" s="652">
        <f t="shared" si="115"/>
        <v>0</v>
      </c>
      <c r="U203" s="652">
        <f t="shared" si="116"/>
        <v>0</v>
      </c>
      <c r="V203" s="651">
        <f t="array" ref="V203">IFERROR(INDEX('HIV-Pharmaceuticals'!$R$107:$R$192,MATCH($E203&amp;$F203,'HIV-Pharmaceuticals'!$E$107:$E$192&amp;'HIV-Pharmaceuticals'!$I$107:$I$192,0)),0)</f>
        <v>0</v>
      </c>
      <c r="W203" s="652">
        <f t="shared" si="117"/>
        <v>0</v>
      </c>
      <c r="X203" s="652">
        <f t="shared" si="118"/>
        <v>0</v>
      </c>
      <c r="Y203" s="652">
        <f t="shared" si="119"/>
        <v>0</v>
      </c>
      <c r="Z203" s="653"/>
      <c r="AA203" s="651">
        <f t="array" ref="AA203">IFERROR(INDEX('HIV-Pharmaceuticals'!$U$107:$U$192,MATCH($E203&amp;$F203,'HIV-Pharmaceuticals'!$E$107:$E$192&amp;'HIV-Pharmaceuticals'!$I$107:$I$192,0)),0)</f>
        <v>0</v>
      </c>
      <c r="AB203" s="651">
        <f t="array" ref="AB203">IFERROR(INDEX('HIV-Pharmaceuticals'!$V$107:$V$192,MATCH($E203&amp;$F203,'HIV-Pharmaceuticals'!$E$107:$E$192&amp;'HIV-Pharmaceuticals'!$I$107:$I$192,0)),0)</f>
        <v>0</v>
      </c>
      <c r="AC203" s="651">
        <f t="shared" si="120"/>
        <v>0</v>
      </c>
      <c r="AD203" s="652">
        <f t="shared" si="121"/>
        <v>0</v>
      </c>
      <c r="AE203" s="652">
        <f t="shared" si="122"/>
        <v>0</v>
      </c>
      <c r="AF203" s="651">
        <f t="array" ref="AF203">IFERROR(INDEX('HIV-Pharmaceuticals'!$W$107:$W$192,MATCH($E203&amp;$F203,'HIV-Pharmaceuticals'!$E$107:$E$192&amp;'HIV-Pharmaceuticals'!$I$107:$I$192,0)),0)</f>
        <v>0</v>
      </c>
      <c r="AG203" s="651">
        <f t="shared" si="123"/>
        <v>0</v>
      </c>
      <c r="AH203" s="652">
        <f t="shared" si="124"/>
        <v>0</v>
      </c>
      <c r="AI203" s="652">
        <f t="shared" si="125"/>
        <v>0</v>
      </c>
      <c r="AJ203" s="651">
        <f t="array" ref="AJ203">IFERROR(INDEX('HIV-Pharmaceuticals'!$X$107:$X$192,MATCH($E203&amp;$F203,'HIV-Pharmaceuticals'!$E$107:$E$192&amp;'HIV-Pharmaceuticals'!$I$107:$I$192,0)),0)</f>
        <v>0</v>
      </c>
      <c r="AK203" s="651">
        <f t="shared" si="126"/>
        <v>0</v>
      </c>
      <c r="AL203" s="652">
        <f t="shared" si="127"/>
        <v>0</v>
      </c>
      <c r="AM203" s="652">
        <f t="shared" si="128"/>
        <v>0</v>
      </c>
      <c r="AN203" s="651">
        <f t="array" ref="AN203">IFERROR(INDEX('HIV-Pharmaceuticals'!$Y$107:$Y$192,MATCH($E203&amp;$F203,'HIV-Pharmaceuticals'!$E$107:$E$192&amp;'HIV-Pharmaceuticals'!$I$107:$I$192,0)),0)</f>
        <v>0</v>
      </c>
      <c r="AO203" s="651">
        <f t="shared" si="129"/>
        <v>0</v>
      </c>
      <c r="AP203" s="652">
        <f t="shared" si="130"/>
        <v>0</v>
      </c>
      <c r="AQ203" s="652">
        <f t="shared" si="131"/>
        <v>0</v>
      </c>
      <c r="AR203" s="653"/>
      <c r="AS203" s="651">
        <f t="array" ref="AS203">IFERROR(INDEX('HIV-Pharmaceuticals'!$AB$107:$AB$192,MATCH($E203&amp;$F203,'HIV-Pharmaceuticals'!$E$107:$E$192&amp;'HIV-Pharmaceuticals'!$I$107:$I$192,0)),0)</f>
        <v>0</v>
      </c>
      <c r="AT203" s="651">
        <f t="array" ref="AT203">IFERROR(INDEX('HIV-Pharmaceuticals'!$AC$107:$AC$192,MATCH($E203&amp;$F203,'HIV-Pharmaceuticals'!$E$107:$E$192&amp;'HIV-Pharmaceuticals'!$I$107:$I$192,0)),0)</f>
        <v>0</v>
      </c>
      <c r="AU203" s="651">
        <f t="shared" si="132"/>
        <v>0</v>
      </c>
      <c r="AV203" s="652">
        <f t="shared" si="133"/>
        <v>0</v>
      </c>
      <c r="AW203" s="652">
        <f t="shared" si="134"/>
        <v>0</v>
      </c>
      <c r="AX203" s="651">
        <f t="array" ref="AX203">IFERROR(INDEX('HIV-Pharmaceuticals'!$AD$107:$AD$192,MATCH($E203&amp;$F203,'HIV-Pharmaceuticals'!$E$107:$E$192&amp;'HIV-Pharmaceuticals'!$I$107:$I$192,0)),0)</f>
        <v>0</v>
      </c>
      <c r="AY203" s="651">
        <f t="shared" si="135"/>
        <v>0</v>
      </c>
      <c r="AZ203" s="652">
        <f t="shared" si="136"/>
        <v>0</v>
      </c>
      <c r="BA203" s="652">
        <f t="shared" si="137"/>
        <v>0</v>
      </c>
      <c r="BB203" s="651">
        <f t="array" ref="BB203">IFERROR(INDEX('HIV-Pharmaceuticals'!$AE$107:$AE$192,MATCH($E203&amp;$F203,'HIV-Pharmaceuticals'!$E$107:$E$192&amp;'HIV-Pharmaceuticals'!$I$107:$I$192,0)),0)</f>
        <v>0</v>
      </c>
      <c r="BC203" s="651">
        <f t="shared" si="138"/>
        <v>0</v>
      </c>
      <c r="BD203" s="652">
        <f t="shared" si="139"/>
        <v>0</v>
      </c>
      <c r="BE203" s="652">
        <f t="shared" si="140"/>
        <v>0</v>
      </c>
      <c r="BF203" s="651">
        <f t="array" ref="BF203">IFERROR(INDEX('HIV-Pharmaceuticals'!$AF$107:$AF$192,MATCH($E203&amp;$F203,'HIV-Pharmaceuticals'!$E$107:$E$192&amp;'HIV-Pharmaceuticals'!$I$107:$I$192,0)),0)</f>
        <v>0</v>
      </c>
      <c r="BG203" s="651">
        <f t="shared" si="141"/>
        <v>0</v>
      </c>
      <c r="BH203" s="652">
        <f t="shared" si="142"/>
        <v>0</v>
      </c>
      <c r="BI203" s="652">
        <f t="shared" si="143"/>
        <v>0</v>
      </c>
      <c r="BK203" s="654"/>
      <c r="BL203" s="654"/>
      <c r="BM203" s="654"/>
      <c r="BN203" s="654"/>
      <c r="BO203" s="654"/>
      <c r="BP203" s="654"/>
      <c r="BQ203" s="654"/>
      <c r="BR203" s="654"/>
    </row>
    <row r="204" spans="1:70">
      <c r="A204" s="647" t="s">
        <v>1317</v>
      </c>
      <c r="B204" s="647" t="s">
        <v>2282</v>
      </c>
      <c r="C204" s="648">
        <f>SETUP!$F$22</f>
        <v>0</v>
      </c>
      <c r="D204" s="649">
        <v>4.7</v>
      </c>
      <c r="E204" s="647" t="s">
        <v>181</v>
      </c>
      <c r="F204" s="647" t="s">
        <v>1140</v>
      </c>
      <c r="G204" s="650" t="str">
        <f t="array" ref="G204">IFERROR(INDEX('HIV-Pharmaceuticals'!$L$107:$L$192,MATCH($E204&amp;$F204,'HIV-Pharmaceuticals'!$E$107:$E$192&amp;'HIV-Pharmaceuticals'!$I$107:$I$192,0)),"")</f>
        <v/>
      </c>
      <c r="H204" s="650" t="str">
        <f t="array" ref="H204">IFERROR(INDEX('HIV-Pharmaceuticals'!$M$107:$M$192,MATCH($E204&amp;$F204,'HIV-Pharmaceuticals'!$E$107:$E$192&amp;'HIV-Pharmaceuticals'!$I$107:$I$192,0)),"")</f>
        <v/>
      </c>
      <c r="I204" s="651">
        <f t="array" ref="I204">IFERROR(INDEX('HIV-Pharmaceuticals'!$N$107:$N$192,MATCH($E204&amp;$F204,'HIV-Pharmaceuticals'!$E$107:$E$192&amp;'HIV-Pharmaceuticals'!$I$107:$I$192,0)),0)</f>
        <v>0</v>
      </c>
      <c r="J204" s="651">
        <f t="array" ref="J204">IFERROR(INDEX('HIV-Pharmaceuticals'!$O$107:$O$192,MATCH($E204&amp;$F204,'HIV-Pharmaceuticals'!$E$107:$E$192&amp;'HIV-Pharmaceuticals'!$I$107:$I$192,0)),0)</f>
        <v>0</v>
      </c>
      <c r="K204" s="652">
        <f t="shared" si="108"/>
        <v>0</v>
      </c>
      <c r="L204" s="652">
        <f t="shared" si="109"/>
        <v>0</v>
      </c>
      <c r="M204" s="652">
        <f t="shared" si="110"/>
        <v>0</v>
      </c>
      <c r="N204" s="651">
        <f t="array" ref="N204">IFERROR(INDEX('HIV-Pharmaceuticals'!$P$107:$P$192,MATCH($E204&amp;$F204,'HIV-Pharmaceuticals'!$E$107:$E$192&amp;'HIV-Pharmaceuticals'!$I$107:$I$192,0)),0)</f>
        <v>0</v>
      </c>
      <c r="O204" s="652">
        <f t="shared" si="111"/>
        <v>0</v>
      </c>
      <c r="P204" s="652">
        <f t="shared" si="112"/>
        <v>0</v>
      </c>
      <c r="Q204" s="652">
        <f t="shared" si="113"/>
        <v>0</v>
      </c>
      <c r="R204" s="651">
        <f t="array" ref="R204">IFERROR(INDEX('HIV-Pharmaceuticals'!$Q$107:$Q$192,MATCH($E204&amp;$F204,'HIV-Pharmaceuticals'!$E$107:$E$192&amp;'HIV-Pharmaceuticals'!$I$107:$I$192,0)),0)</f>
        <v>0</v>
      </c>
      <c r="S204" s="652">
        <f t="shared" si="114"/>
        <v>0</v>
      </c>
      <c r="T204" s="652">
        <f t="shared" si="115"/>
        <v>0</v>
      </c>
      <c r="U204" s="652">
        <f t="shared" si="116"/>
        <v>0</v>
      </c>
      <c r="V204" s="651">
        <f t="array" ref="V204">IFERROR(INDEX('HIV-Pharmaceuticals'!$R$107:$R$192,MATCH($E204&amp;$F204,'HIV-Pharmaceuticals'!$E$107:$E$192&amp;'HIV-Pharmaceuticals'!$I$107:$I$192,0)),0)</f>
        <v>0</v>
      </c>
      <c r="W204" s="652">
        <f t="shared" si="117"/>
        <v>0</v>
      </c>
      <c r="X204" s="652">
        <f t="shared" si="118"/>
        <v>0</v>
      </c>
      <c r="Y204" s="652">
        <f t="shared" si="119"/>
        <v>0</v>
      </c>
      <c r="Z204" s="653"/>
      <c r="AA204" s="651">
        <f t="array" ref="AA204">IFERROR(INDEX('HIV-Pharmaceuticals'!$U$107:$U$192,MATCH($E204&amp;$F204,'HIV-Pharmaceuticals'!$E$107:$E$192&amp;'HIV-Pharmaceuticals'!$I$107:$I$192,0)),0)</f>
        <v>0</v>
      </c>
      <c r="AB204" s="651">
        <f t="array" ref="AB204">IFERROR(INDEX('HIV-Pharmaceuticals'!$V$107:$V$192,MATCH($E204&amp;$F204,'HIV-Pharmaceuticals'!$E$107:$E$192&amp;'HIV-Pharmaceuticals'!$I$107:$I$192,0)),0)</f>
        <v>0</v>
      </c>
      <c r="AC204" s="651">
        <f t="shared" si="120"/>
        <v>0</v>
      </c>
      <c r="AD204" s="652">
        <f t="shared" si="121"/>
        <v>0</v>
      </c>
      <c r="AE204" s="652">
        <f t="shared" si="122"/>
        <v>0</v>
      </c>
      <c r="AF204" s="651">
        <f t="array" ref="AF204">IFERROR(INDEX('HIV-Pharmaceuticals'!$W$107:$W$192,MATCH($E204&amp;$F204,'HIV-Pharmaceuticals'!$E$107:$E$192&amp;'HIV-Pharmaceuticals'!$I$107:$I$192,0)),0)</f>
        <v>0</v>
      </c>
      <c r="AG204" s="651">
        <f t="shared" si="123"/>
        <v>0</v>
      </c>
      <c r="AH204" s="652">
        <f t="shared" si="124"/>
        <v>0</v>
      </c>
      <c r="AI204" s="652">
        <f t="shared" si="125"/>
        <v>0</v>
      </c>
      <c r="AJ204" s="651">
        <f t="array" ref="AJ204">IFERROR(INDEX('HIV-Pharmaceuticals'!$X$107:$X$192,MATCH($E204&amp;$F204,'HIV-Pharmaceuticals'!$E$107:$E$192&amp;'HIV-Pharmaceuticals'!$I$107:$I$192,0)),0)</f>
        <v>0</v>
      </c>
      <c r="AK204" s="651">
        <f t="shared" si="126"/>
        <v>0</v>
      </c>
      <c r="AL204" s="652">
        <f t="shared" si="127"/>
        <v>0</v>
      </c>
      <c r="AM204" s="652">
        <f t="shared" si="128"/>
        <v>0</v>
      </c>
      <c r="AN204" s="651">
        <f t="array" ref="AN204">IFERROR(INDEX('HIV-Pharmaceuticals'!$Y$107:$Y$192,MATCH($E204&amp;$F204,'HIV-Pharmaceuticals'!$E$107:$E$192&amp;'HIV-Pharmaceuticals'!$I$107:$I$192,0)),0)</f>
        <v>0</v>
      </c>
      <c r="AO204" s="651">
        <f t="shared" si="129"/>
        <v>0</v>
      </c>
      <c r="AP204" s="652">
        <f t="shared" si="130"/>
        <v>0</v>
      </c>
      <c r="AQ204" s="652">
        <f t="shared" si="131"/>
        <v>0</v>
      </c>
      <c r="AR204" s="653"/>
      <c r="AS204" s="651">
        <f t="array" ref="AS204">IFERROR(INDEX('HIV-Pharmaceuticals'!$AB$107:$AB$192,MATCH($E204&amp;$F204,'HIV-Pharmaceuticals'!$E$107:$E$192&amp;'HIV-Pharmaceuticals'!$I$107:$I$192,0)),0)</f>
        <v>0</v>
      </c>
      <c r="AT204" s="651">
        <f t="array" ref="AT204">IFERROR(INDEX('HIV-Pharmaceuticals'!$AC$107:$AC$192,MATCH($E204&amp;$F204,'HIV-Pharmaceuticals'!$E$107:$E$192&amp;'HIV-Pharmaceuticals'!$I$107:$I$192,0)),0)</f>
        <v>0</v>
      </c>
      <c r="AU204" s="651">
        <f t="shared" si="132"/>
        <v>0</v>
      </c>
      <c r="AV204" s="652">
        <f t="shared" si="133"/>
        <v>0</v>
      </c>
      <c r="AW204" s="652">
        <f t="shared" si="134"/>
        <v>0</v>
      </c>
      <c r="AX204" s="651">
        <f t="array" ref="AX204">IFERROR(INDEX('HIV-Pharmaceuticals'!$AD$107:$AD$192,MATCH($E204&amp;$F204,'HIV-Pharmaceuticals'!$E$107:$E$192&amp;'HIV-Pharmaceuticals'!$I$107:$I$192,0)),0)</f>
        <v>0</v>
      </c>
      <c r="AY204" s="651">
        <f t="shared" si="135"/>
        <v>0</v>
      </c>
      <c r="AZ204" s="652">
        <f t="shared" si="136"/>
        <v>0</v>
      </c>
      <c r="BA204" s="652">
        <f t="shared" si="137"/>
        <v>0</v>
      </c>
      <c r="BB204" s="651">
        <f t="array" ref="BB204">IFERROR(INDEX('HIV-Pharmaceuticals'!$AE$107:$AE$192,MATCH($E204&amp;$F204,'HIV-Pharmaceuticals'!$E$107:$E$192&amp;'HIV-Pharmaceuticals'!$I$107:$I$192,0)),0)</f>
        <v>0</v>
      </c>
      <c r="BC204" s="651">
        <f t="shared" si="138"/>
        <v>0</v>
      </c>
      <c r="BD204" s="652">
        <f t="shared" si="139"/>
        <v>0</v>
      </c>
      <c r="BE204" s="652">
        <f t="shared" si="140"/>
        <v>0</v>
      </c>
      <c r="BF204" s="651">
        <f t="array" ref="BF204">IFERROR(INDEX('HIV-Pharmaceuticals'!$AF$107:$AF$192,MATCH($E204&amp;$F204,'HIV-Pharmaceuticals'!$E$107:$E$192&amp;'HIV-Pharmaceuticals'!$I$107:$I$192,0)),0)</f>
        <v>0</v>
      </c>
      <c r="BG204" s="651">
        <f t="shared" si="141"/>
        <v>0</v>
      </c>
      <c r="BH204" s="652">
        <f t="shared" si="142"/>
        <v>0</v>
      </c>
      <c r="BI204" s="652">
        <f t="shared" si="143"/>
        <v>0</v>
      </c>
      <c r="BK204" s="654"/>
      <c r="BL204" s="654"/>
      <c r="BM204" s="654"/>
      <c r="BN204" s="654"/>
      <c r="BO204" s="654"/>
      <c r="BP204" s="654"/>
      <c r="BQ204" s="654"/>
      <c r="BR204" s="654"/>
    </row>
    <row r="205" spans="1:70">
      <c r="A205" s="647" t="s">
        <v>2261</v>
      </c>
      <c r="B205" s="647" t="s">
        <v>2282</v>
      </c>
      <c r="C205" s="648">
        <f>SETUP!$F$22</f>
        <v>0</v>
      </c>
      <c r="D205" s="649">
        <v>4.2</v>
      </c>
      <c r="E205" s="647" t="s">
        <v>1312</v>
      </c>
      <c r="F205" s="647" t="s">
        <v>1311</v>
      </c>
      <c r="G205" s="650" t="str">
        <f t="array" ref="G205">IFERROR(INDEX('HIV-Pharmaceuticals'!$L$107:$L$192,MATCH($E205&amp;$F205,'HIV-Pharmaceuticals'!$E$107:$E$192&amp;'HIV-Pharmaceuticals'!$I$107:$I$192,0)),"")</f>
        <v/>
      </c>
      <c r="H205" s="650" t="str">
        <f t="array" ref="H205">IFERROR(INDEX('HIV-Pharmaceuticals'!$M$107:$M$192,MATCH($E205&amp;$F205,'HIV-Pharmaceuticals'!$E$107:$E$192&amp;'HIV-Pharmaceuticals'!$I$107:$I$192,0)),"")</f>
        <v/>
      </c>
      <c r="I205" s="651">
        <f t="array" ref="I205">IFERROR(INDEX('HIV-Pharmaceuticals'!$N$107:$N$192,MATCH($E205&amp;$F205,'HIV-Pharmaceuticals'!$E$107:$E$192&amp;'HIV-Pharmaceuticals'!$I$107:$I$192,0)),0)</f>
        <v>0</v>
      </c>
      <c r="J205" s="651">
        <f t="array" ref="J205">IFERROR(INDEX('HIV-Pharmaceuticals'!$O$107:$O$192,MATCH($E205&amp;$F205,'HIV-Pharmaceuticals'!$E$107:$E$192&amp;'HIV-Pharmaceuticals'!$I$107:$I$192,0)),0)</f>
        <v>0</v>
      </c>
      <c r="K205" s="652">
        <f t="shared" si="108"/>
        <v>0</v>
      </c>
      <c r="L205" s="652">
        <f t="shared" si="109"/>
        <v>0</v>
      </c>
      <c r="M205" s="652">
        <f t="shared" si="110"/>
        <v>0</v>
      </c>
      <c r="N205" s="651">
        <f t="array" ref="N205">IFERROR(INDEX('HIV-Pharmaceuticals'!$P$107:$P$192,MATCH($E205&amp;$F205,'HIV-Pharmaceuticals'!$E$107:$E$192&amp;'HIV-Pharmaceuticals'!$I$107:$I$192,0)),0)</f>
        <v>0</v>
      </c>
      <c r="O205" s="652">
        <f t="shared" si="111"/>
        <v>0</v>
      </c>
      <c r="P205" s="652">
        <f t="shared" si="112"/>
        <v>0</v>
      </c>
      <c r="Q205" s="652">
        <f t="shared" si="113"/>
        <v>0</v>
      </c>
      <c r="R205" s="651">
        <f t="array" ref="R205">IFERROR(INDEX('HIV-Pharmaceuticals'!$Q$107:$Q$192,MATCH($E205&amp;$F205,'HIV-Pharmaceuticals'!$E$107:$E$192&amp;'HIV-Pharmaceuticals'!$I$107:$I$192,0)),0)</f>
        <v>0</v>
      </c>
      <c r="S205" s="652">
        <f t="shared" si="114"/>
        <v>0</v>
      </c>
      <c r="T205" s="652">
        <f t="shared" si="115"/>
        <v>0</v>
      </c>
      <c r="U205" s="652">
        <f t="shared" si="116"/>
        <v>0</v>
      </c>
      <c r="V205" s="651">
        <f t="array" ref="V205">IFERROR(INDEX('HIV-Pharmaceuticals'!$R$107:$R$192,MATCH($E205&amp;$F205,'HIV-Pharmaceuticals'!$E$107:$E$192&amp;'HIV-Pharmaceuticals'!$I$107:$I$192,0)),0)</f>
        <v>0</v>
      </c>
      <c r="W205" s="652">
        <f t="shared" si="117"/>
        <v>0</v>
      </c>
      <c r="X205" s="652">
        <f t="shared" si="118"/>
        <v>0</v>
      </c>
      <c r="Y205" s="652">
        <f t="shared" si="119"/>
        <v>0</v>
      </c>
      <c r="Z205" s="653"/>
      <c r="AA205" s="651">
        <f t="array" ref="AA205">IFERROR(INDEX('HIV-Pharmaceuticals'!$U$107:$U$192,MATCH($E205&amp;$F205,'HIV-Pharmaceuticals'!$E$107:$E$192&amp;'HIV-Pharmaceuticals'!$I$107:$I$192,0)),0)</f>
        <v>0</v>
      </c>
      <c r="AB205" s="651">
        <f t="array" ref="AB205">IFERROR(INDEX('HIV-Pharmaceuticals'!$V$107:$V$192,MATCH($E205&amp;$F205,'HIV-Pharmaceuticals'!$E$107:$E$192&amp;'HIV-Pharmaceuticals'!$I$107:$I$192,0)),0)</f>
        <v>0</v>
      </c>
      <c r="AC205" s="651">
        <f t="shared" si="120"/>
        <v>0</v>
      </c>
      <c r="AD205" s="652">
        <f t="shared" si="121"/>
        <v>0</v>
      </c>
      <c r="AE205" s="652">
        <f t="shared" si="122"/>
        <v>0</v>
      </c>
      <c r="AF205" s="651">
        <f t="array" ref="AF205">IFERROR(INDEX('HIV-Pharmaceuticals'!$W$107:$W$192,MATCH($E205&amp;$F205,'HIV-Pharmaceuticals'!$E$107:$E$192&amp;'HIV-Pharmaceuticals'!$I$107:$I$192,0)),0)</f>
        <v>0</v>
      </c>
      <c r="AG205" s="651">
        <f t="shared" si="123"/>
        <v>0</v>
      </c>
      <c r="AH205" s="652">
        <f t="shared" si="124"/>
        <v>0</v>
      </c>
      <c r="AI205" s="652">
        <f t="shared" si="125"/>
        <v>0</v>
      </c>
      <c r="AJ205" s="651">
        <f t="array" ref="AJ205">IFERROR(INDEX('HIV-Pharmaceuticals'!$X$107:$X$192,MATCH($E205&amp;$F205,'HIV-Pharmaceuticals'!$E$107:$E$192&amp;'HIV-Pharmaceuticals'!$I$107:$I$192,0)),0)</f>
        <v>0</v>
      </c>
      <c r="AK205" s="651">
        <f t="shared" si="126"/>
        <v>0</v>
      </c>
      <c r="AL205" s="652">
        <f t="shared" si="127"/>
        <v>0</v>
      </c>
      <c r="AM205" s="652">
        <f t="shared" si="128"/>
        <v>0</v>
      </c>
      <c r="AN205" s="651">
        <f t="array" ref="AN205">IFERROR(INDEX('HIV-Pharmaceuticals'!$Y$107:$Y$192,MATCH($E205&amp;$F205,'HIV-Pharmaceuticals'!$E$107:$E$192&amp;'HIV-Pharmaceuticals'!$I$107:$I$192,0)),0)</f>
        <v>0</v>
      </c>
      <c r="AO205" s="651">
        <f t="shared" si="129"/>
        <v>0</v>
      </c>
      <c r="AP205" s="652">
        <f t="shared" si="130"/>
        <v>0</v>
      </c>
      <c r="AQ205" s="652">
        <f t="shared" si="131"/>
        <v>0</v>
      </c>
      <c r="AR205" s="653"/>
      <c r="AS205" s="651">
        <f t="array" ref="AS205">IFERROR(INDEX('HIV-Pharmaceuticals'!$AB$107:$AB$192,MATCH($E205&amp;$F205,'HIV-Pharmaceuticals'!$E$107:$E$192&amp;'HIV-Pharmaceuticals'!$I$107:$I$192,0)),0)</f>
        <v>0</v>
      </c>
      <c r="AT205" s="651">
        <f t="array" ref="AT205">IFERROR(INDEX('HIV-Pharmaceuticals'!$AC$107:$AC$192,MATCH($E205&amp;$F205,'HIV-Pharmaceuticals'!$E$107:$E$192&amp;'HIV-Pharmaceuticals'!$I$107:$I$192,0)),0)</f>
        <v>0</v>
      </c>
      <c r="AU205" s="651">
        <f t="shared" si="132"/>
        <v>0</v>
      </c>
      <c r="AV205" s="652">
        <f t="shared" si="133"/>
        <v>0</v>
      </c>
      <c r="AW205" s="652">
        <f t="shared" si="134"/>
        <v>0</v>
      </c>
      <c r="AX205" s="651">
        <f t="array" ref="AX205">IFERROR(INDEX('HIV-Pharmaceuticals'!$AD$107:$AD$192,MATCH($E205&amp;$F205,'HIV-Pharmaceuticals'!$E$107:$E$192&amp;'HIV-Pharmaceuticals'!$I$107:$I$192,0)),0)</f>
        <v>0</v>
      </c>
      <c r="AY205" s="651">
        <f t="shared" si="135"/>
        <v>0</v>
      </c>
      <c r="AZ205" s="652">
        <f t="shared" si="136"/>
        <v>0</v>
      </c>
      <c r="BA205" s="652">
        <f t="shared" si="137"/>
        <v>0</v>
      </c>
      <c r="BB205" s="651">
        <f t="array" ref="BB205">IFERROR(INDEX('HIV-Pharmaceuticals'!$AE$107:$AE$192,MATCH($E205&amp;$F205,'HIV-Pharmaceuticals'!$E$107:$E$192&amp;'HIV-Pharmaceuticals'!$I$107:$I$192,0)),0)</f>
        <v>0</v>
      </c>
      <c r="BC205" s="651">
        <f t="shared" si="138"/>
        <v>0</v>
      </c>
      <c r="BD205" s="652">
        <f t="shared" si="139"/>
        <v>0</v>
      </c>
      <c r="BE205" s="652">
        <f t="shared" si="140"/>
        <v>0</v>
      </c>
      <c r="BF205" s="651">
        <f t="array" ref="BF205">IFERROR(INDEX('HIV-Pharmaceuticals'!$AF$107:$AF$192,MATCH($E205&amp;$F205,'HIV-Pharmaceuticals'!$E$107:$E$192&amp;'HIV-Pharmaceuticals'!$I$107:$I$192,0)),0)</f>
        <v>0</v>
      </c>
      <c r="BG205" s="651">
        <f t="shared" si="141"/>
        <v>0</v>
      </c>
      <c r="BH205" s="652">
        <f t="shared" si="142"/>
        <v>0</v>
      </c>
      <c r="BI205" s="652">
        <f t="shared" si="143"/>
        <v>0</v>
      </c>
      <c r="BK205" s="654"/>
      <c r="BL205" s="654"/>
      <c r="BM205" s="654"/>
      <c r="BN205" s="654"/>
      <c r="BO205" s="654"/>
      <c r="BP205" s="654"/>
      <c r="BQ205" s="654"/>
      <c r="BR205" s="654"/>
    </row>
    <row r="206" spans="1:70">
      <c r="A206" s="647" t="s">
        <v>2261</v>
      </c>
      <c r="B206" s="647" t="s">
        <v>2282</v>
      </c>
      <c r="C206" s="648">
        <f>SETUP!$F$22</f>
        <v>0</v>
      </c>
      <c r="D206" s="649">
        <v>4.2</v>
      </c>
      <c r="E206" s="647" t="s">
        <v>297</v>
      </c>
      <c r="F206" s="647" t="s">
        <v>1260</v>
      </c>
      <c r="G206" s="650" t="str">
        <f t="array" ref="G206">IFERROR(INDEX('HIV-Pharmaceuticals'!$L$107:$L$192,MATCH($E206&amp;$F206,'HIV-Pharmaceuticals'!$E$107:$E$192&amp;'HIV-Pharmaceuticals'!$I$107:$I$192,0)),"")</f>
        <v/>
      </c>
      <c r="H206" s="650" t="str">
        <f t="array" ref="H206">IFERROR(INDEX('HIV-Pharmaceuticals'!$M$107:$M$192,MATCH($E206&amp;$F206,'HIV-Pharmaceuticals'!$E$107:$E$192&amp;'HIV-Pharmaceuticals'!$I$107:$I$192,0)),"")</f>
        <v/>
      </c>
      <c r="I206" s="651">
        <f t="array" ref="I206">IFERROR(INDEX('HIV-Pharmaceuticals'!$N$107:$N$192,MATCH($E206&amp;$F206,'HIV-Pharmaceuticals'!$E$107:$E$192&amp;'HIV-Pharmaceuticals'!$I$107:$I$192,0)),0)</f>
        <v>0</v>
      </c>
      <c r="J206" s="651">
        <f t="array" ref="J206">IFERROR(INDEX('HIV-Pharmaceuticals'!$O$107:$O$192,MATCH($E206&amp;$F206,'HIV-Pharmaceuticals'!$E$107:$E$192&amp;'HIV-Pharmaceuticals'!$I$107:$I$192,0)),0)</f>
        <v>0</v>
      </c>
      <c r="K206" s="652">
        <f t="shared" si="108"/>
        <v>0</v>
      </c>
      <c r="L206" s="652">
        <f t="shared" si="109"/>
        <v>0</v>
      </c>
      <c r="M206" s="652">
        <f t="shared" si="110"/>
        <v>0</v>
      </c>
      <c r="N206" s="651">
        <f t="array" ref="N206">IFERROR(INDEX('HIV-Pharmaceuticals'!$P$107:$P$192,MATCH($E206&amp;$F206,'HIV-Pharmaceuticals'!$E$107:$E$192&amp;'HIV-Pharmaceuticals'!$I$107:$I$192,0)),0)</f>
        <v>0</v>
      </c>
      <c r="O206" s="652">
        <f t="shared" si="111"/>
        <v>0</v>
      </c>
      <c r="P206" s="652">
        <f t="shared" si="112"/>
        <v>0</v>
      </c>
      <c r="Q206" s="652">
        <f t="shared" si="113"/>
        <v>0</v>
      </c>
      <c r="R206" s="651">
        <f t="array" ref="R206">IFERROR(INDEX('HIV-Pharmaceuticals'!$Q$107:$Q$192,MATCH($E206&amp;$F206,'HIV-Pharmaceuticals'!$E$107:$E$192&amp;'HIV-Pharmaceuticals'!$I$107:$I$192,0)),0)</f>
        <v>0</v>
      </c>
      <c r="S206" s="652">
        <f t="shared" si="114"/>
        <v>0</v>
      </c>
      <c r="T206" s="652">
        <f t="shared" si="115"/>
        <v>0</v>
      </c>
      <c r="U206" s="652">
        <f t="shared" si="116"/>
        <v>0</v>
      </c>
      <c r="V206" s="651">
        <f t="array" ref="V206">IFERROR(INDEX('HIV-Pharmaceuticals'!$R$107:$R$192,MATCH($E206&amp;$F206,'HIV-Pharmaceuticals'!$E$107:$E$192&amp;'HIV-Pharmaceuticals'!$I$107:$I$192,0)),0)</f>
        <v>0</v>
      </c>
      <c r="W206" s="652">
        <f t="shared" si="117"/>
        <v>0</v>
      </c>
      <c r="X206" s="652">
        <f t="shared" si="118"/>
        <v>0</v>
      </c>
      <c r="Y206" s="652">
        <f t="shared" si="119"/>
        <v>0</v>
      </c>
      <c r="Z206" s="653"/>
      <c r="AA206" s="651">
        <f t="array" ref="AA206">IFERROR(INDEX('HIV-Pharmaceuticals'!$U$107:$U$192,MATCH($E206&amp;$F206,'HIV-Pharmaceuticals'!$E$107:$E$192&amp;'HIV-Pharmaceuticals'!$I$107:$I$192,0)),0)</f>
        <v>0</v>
      </c>
      <c r="AB206" s="651">
        <f t="array" ref="AB206">IFERROR(INDEX('HIV-Pharmaceuticals'!$V$107:$V$192,MATCH($E206&amp;$F206,'HIV-Pharmaceuticals'!$E$107:$E$192&amp;'HIV-Pharmaceuticals'!$I$107:$I$192,0)),0)</f>
        <v>0</v>
      </c>
      <c r="AC206" s="651">
        <f t="shared" si="120"/>
        <v>0</v>
      </c>
      <c r="AD206" s="652">
        <f t="shared" si="121"/>
        <v>0</v>
      </c>
      <c r="AE206" s="652">
        <f t="shared" si="122"/>
        <v>0</v>
      </c>
      <c r="AF206" s="651">
        <f t="array" ref="AF206">IFERROR(INDEX('HIV-Pharmaceuticals'!$W$107:$W$192,MATCH($E206&amp;$F206,'HIV-Pharmaceuticals'!$E$107:$E$192&amp;'HIV-Pharmaceuticals'!$I$107:$I$192,0)),0)</f>
        <v>0</v>
      </c>
      <c r="AG206" s="651">
        <f t="shared" si="123"/>
        <v>0</v>
      </c>
      <c r="AH206" s="652">
        <f t="shared" si="124"/>
        <v>0</v>
      </c>
      <c r="AI206" s="652">
        <f t="shared" si="125"/>
        <v>0</v>
      </c>
      <c r="AJ206" s="651">
        <f t="array" ref="AJ206">IFERROR(INDEX('HIV-Pharmaceuticals'!$X$107:$X$192,MATCH($E206&amp;$F206,'HIV-Pharmaceuticals'!$E$107:$E$192&amp;'HIV-Pharmaceuticals'!$I$107:$I$192,0)),0)</f>
        <v>0</v>
      </c>
      <c r="AK206" s="651">
        <f t="shared" si="126"/>
        <v>0</v>
      </c>
      <c r="AL206" s="652">
        <f t="shared" si="127"/>
        <v>0</v>
      </c>
      <c r="AM206" s="652">
        <f t="shared" si="128"/>
        <v>0</v>
      </c>
      <c r="AN206" s="651">
        <f t="array" ref="AN206">IFERROR(INDEX('HIV-Pharmaceuticals'!$Y$107:$Y$192,MATCH($E206&amp;$F206,'HIV-Pharmaceuticals'!$E$107:$E$192&amp;'HIV-Pharmaceuticals'!$I$107:$I$192,0)),0)</f>
        <v>0</v>
      </c>
      <c r="AO206" s="651">
        <f t="shared" si="129"/>
        <v>0</v>
      </c>
      <c r="AP206" s="652">
        <f t="shared" si="130"/>
        <v>0</v>
      </c>
      <c r="AQ206" s="652">
        <f t="shared" si="131"/>
        <v>0</v>
      </c>
      <c r="AR206" s="653"/>
      <c r="AS206" s="651">
        <f t="array" ref="AS206">IFERROR(INDEX('HIV-Pharmaceuticals'!$AB$107:$AB$192,MATCH($E206&amp;$F206,'HIV-Pharmaceuticals'!$E$107:$E$192&amp;'HIV-Pharmaceuticals'!$I$107:$I$192,0)),0)</f>
        <v>0</v>
      </c>
      <c r="AT206" s="651">
        <f t="array" ref="AT206">IFERROR(INDEX('HIV-Pharmaceuticals'!$AC$107:$AC$192,MATCH($E206&amp;$F206,'HIV-Pharmaceuticals'!$E$107:$E$192&amp;'HIV-Pharmaceuticals'!$I$107:$I$192,0)),0)</f>
        <v>0</v>
      </c>
      <c r="AU206" s="651">
        <f t="shared" si="132"/>
        <v>0</v>
      </c>
      <c r="AV206" s="652">
        <f t="shared" si="133"/>
        <v>0</v>
      </c>
      <c r="AW206" s="652">
        <f t="shared" si="134"/>
        <v>0</v>
      </c>
      <c r="AX206" s="651">
        <f t="array" ref="AX206">IFERROR(INDEX('HIV-Pharmaceuticals'!$AD$107:$AD$192,MATCH($E206&amp;$F206,'HIV-Pharmaceuticals'!$E$107:$E$192&amp;'HIV-Pharmaceuticals'!$I$107:$I$192,0)),0)</f>
        <v>0</v>
      </c>
      <c r="AY206" s="651">
        <f t="shared" si="135"/>
        <v>0</v>
      </c>
      <c r="AZ206" s="652">
        <f t="shared" si="136"/>
        <v>0</v>
      </c>
      <c r="BA206" s="652">
        <f t="shared" si="137"/>
        <v>0</v>
      </c>
      <c r="BB206" s="651">
        <f t="array" ref="BB206">IFERROR(INDEX('HIV-Pharmaceuticals'!$AE$107:$AE$192,MATCH($E206&amp;$F206,'HIV-Pharmaceuticals'!$E$107:$E$192&amp;'HIV-Pharmaceuticals'!$I$107:$I$192,0)),0)</f>
        <v>0</v>
      </c>
      <c r="BC206" s="651">
        <f t="shared" si="138"/>
        <v>0</v>
      </c>
      <c r="BD206" s="652">
        <f t="shared" si="139"/>
        <v>0</v>
      </c>
      <c r="BE206" s="652">
        <f t="shared" si="140"/>
        <v>0</v>
      </c>
      <c r="BF206" s="651">
        <f t="array" ref="BF206">IFERROR(INDEX('HIV-Pharmaceuticals'!$AF$107:$AF$192,MATCH($E206&amp;$F206,'HIV-Pharmaceuticals'!$E$107:$E$192&amp;'HIV-Pharmaceuticals'!$I$107:$I$192,0)),0)</f>
        <v>0</v>
      </c>
      <c r="BG206" s="651">
        <f t="shared" si="141"/>
        <v>0</v>
      </c>
      <c r="BH206" s="652">
        <f t="shared" si="142"/>
        <v>0</v>
      </c>
      <c r="BI206" s="652">
        <f t="shared" si="143"/>
        <v>0</v>
      </c>
      <c r="BK206" s="654"/>
      <c r="BL206" s="654"/>
      <c r="BM206" s="654"/>
      <c r="BN206" s="654"/>
      <c r="BO206" s="654"/>
      <c r="BP206" s="654"/>
      <c r="BQ206" s="654"/>
      <c r="BR206" s="654"/>
    </row>
    <row r="207" spans="1:70">
      <c r="A207" s="647" t="s">
        <v>2261</v>
      </c>
      <c r="B207" s="647" t="s">
        <v>2282</v>
      </c>
      <c r="C207" s="648">
        <f>SETUP!$F$22</f>
        <v>0</v>
      </c>
      <c r="D207" s="649">
        <v>4.2</v>
      </c>
      <c r="E207" s="647" t="s">
        <v>297</v>
      </c>
      <c r="F207" s="647" t="s">
        <v>1261</v>
      </c>
      <c r="G207" s="650" t="str">
        <f t="array" ref="G207">IFERROR(INDEX('HIV-Pharmaceuticals'!$L$107:$L$192,MATCH($E207&amp;$F207,'HIV-Pharmaceuticals'!$E$107:$E$192&amp;'HIV-Pharmaceuticals'!$I$107:$I$192,0)),"")</f>
        <v/>
      </c>
      <c r="H207" s="650" t="str">
        <f t="array" ref="H207">IFERROR(INDEX('HIV-Pharmaceuticals'!$M$107:$M$192,MATCH($E207&amp;$F207,'HIV-Pharmaceuticals'!$E$107:$E$192&amp;'HIV-Pharmaceuticals'!$I$107:$I$192,0)),"")</f>
        <v/>
      </c>
      <c r="I207" s="651">
        <f t="array" ref="I207">IFERROR(INDEX('HIV-Pharmaceuticals'!$N$107:$N$192,MATCH($E207&amp;$F207,'HIV-Pharmaceuticals'!$E$107:$E$192&amp;'HIV-Pharmaceuticals'!$I$107:$I$192,0)),0)</f>
        <v>0</v>
      </c>
      <c r="J207" s="651">
        <f t="array" ref="J207">IFERROR(INDEX('HIV-Pharmaceuticals'!$O$107:$O$192,MATCH($E207&amp;$F207,'HIV-Pharmaceuticals'!$E$107:$E$192&amp;'HIV-Pharmaceuticals'!$I$107:$I$192,0)),0)</f>
        <v>0</v>
      </c>
      <c r="K207" s="652">
        <f t="shared" si="108"/>
        <v>0</v>
      </c>
      <c r="L207" s="652">
        <f t="shared" si="109"/>
        <v>0</v>
      </c>
      <c r="M207" s="652">
        <f t="shared" si="110"/>
        <v>0</v>
      </c>
      <c r="N207" s="651">
        <f t="array" ref="N207">IFERROR(INDEX('HIV-Pharmaceuticals'!$P$107:$P$192,MATCH($E207&amp;$F207,'HIV-Pharmaceuticals'!$E$107:$E$192&amp;'HIV-Pharmaceuticals'!$I$107:$I$192,0)),0)</f>
        <v>0</v>
      </c>
      <c r="O207" s="652">
        <f t="shared" si="111"/>
        <v>0</v>
      </c>
      <c r="P207" s="652">
        <f t="shared" si="112"/>
        <v>0</v>
      </c>
      <c r="Q207" s="652">
        <f t="shared" si="113"/>
        <v>0</v>
      </c>
      <c r="R207" s="651">
        <f t="array" ref="R207">IFERROR(INDEX('HIV-Pharmaceuticals'!$Q$107:$Q$192,MATCH($E207&amp;$F207,'HIV-Pharmaceuticals'!$E$107:$E$192&amp;'HIV-Pharmaceuticals'!$I$107:$I$192,0)),0)</f>
        <v>0</v>
      </c>
      <c r="S207" s="652">
        <f t="shared" si="114"/>
        <v>0</v>
      </c>
      <c r="T207" s="652">
        <f t="shared" si="115"/>
        <v>0</v>
      </c>
      <c r="U207" s="652">
        <f t="shared" si="116"/>
        <v>0</v>
      </c>
      <c r="V207" s="651">
        <f t="array" ref="V207">IFERROR(INDEX('HIV-Pharmaceuticals'!$R$107:$R$192,MATCH($E207&amp;$F207,'HIV-Pharmaceuticals'!$E$107:$E$192&amp;'HIV-Pharmaceuticals'!$I$107:$I$192,0)),0)</f>
        <v>0</v>
      </c>
      <c r="W207" s="652">
        <f t="shared" si="117"/>
        <v>0</v>
      </c>
      <c r="X207" s="652">
        <f t="shared" si="118"/>
        <v>0</v>
      </c>
      <c r="Y207" s="652">
        <f t="shared" si="119"/>
        <v>0</v>
      </c>
      <c r="Z207" s="653"/>
      <c r="AA207" s="651">
        <f t="array" ref="AA207">IFERROR(INDEX('HIV-Pharmaceuticals'!$U$107:$U$192,MATCH($E207&amp;$F207,'HIV-Pharmaceuticals'!$E$107:$E$192&amp;'HIV-Pharmaceuticals'!$I$107:$I$192,0)),0)</f>
        <v>0</v>
      </c>
      <c r="AB207" s="651">
        <f t="array" ref="AB207">IFERROR(INDEX('HIV-Pharmaceuticals'!$V$107:$V$192,MATCH($E207&amp;$F207,'HIV-Pharmaceuticals'!$E$107:$E$192&amp;'HIV-Pharmaceuticals'!$I$107:$I$192,0)),0)</f>
        <v>0</v>
      </c>
      <c r="AC207" s="651">
        <f t="shared" si="120"/>
        <v>0</v>
      </c>
      <c r="AD207" s="652">
        <f t="shared" si="121"/>
        <v>0</v>
      </c>
      <c r="AE207" s="652">
        <f t="shared" si="122"/>
        <v>0</v>
      </c>
      <c r="AF207" s="651">
        <f t="array" ref="AF207">IFERROR(INDEX('HIV-Pharmaceuticals'!$W$107:$W$192,MATCH($E207&amp;$F207,'HIV-Pharmaceuticals'!$E$107:$E$192&amp;'HIV-Pharmaceuticals'!$I$107:$I$192,0)),0)</f>
        <v>0</v>
      </c>
      <c r="AG207" s="651">
        <f t="shared" si="123"/>
        <v>0</v>
      </c>
      <c r="AH207" s="652">
        <f t="shared" si="124"/>
        <v>0</v>
      </c>
      <c r="AI207" s="652">
        <f t="shared" si="125"/>
        <v>0</v>
      </c>
      <c r="AJ207" s="651">
        <f t="array" ref="AJ207">IFERROR(INDEX('HIV-Pharmaceuticals'!$X$107:$X$192,MATCH($E207&amp;$F207,'HIV-Pharmaceuticals'!$E$107:$E$192&amp;'HIV-Pharmaceuticals'!$I$107:$I$192,0)),0)</f>
        <v>0</v>
      </c>
      <c r="AK207" s="651">
        <f t="shared" si="126"/>
        <v>0</v>
      </c>
      <c r="AL207" s="652">
        <f t="shared" si="127"/>
        <v>0</v>
      </c>
      <c r="AM207" s="652">
        <f t="shared" si="128"/>
        <v>0</v>
      </c>
      <c r="AN207" s="651">
        <f t="array" ref="AN207">IFERROR(INDEX('HIV-Pharmaceuticals'!$Y$107:$Y$192,MATCH($E207&amp;$F207,'HIV-Pharmaceuticals'!$E$107:$E$192&amp;'HIV-Pharmaceuticals'!$I$107:$I$192,0)),0)</f>
        <v>0</v>
      </c>
      <c r="AO207" s="651">
        <f t="shared" si="129"/>
        <v>0</v>
      </c>
      <c r="AP207" s="652">
        <f t="shared" si="130"/>
        <v>0</v>
      </c>
      <c r="AQ207" s="652">
        <f t="shared" si="131"/>
        <v>0</v>
      </c>
      <c r="AR207" s="653"/>
      <c r="AS207" s="651">
        <f t="array" ref="AS207">IFERROR(INDEX('HIV-Pharmaceuticals'!$AB$107:$AB$192,MATCH($E207&amp;$F207,'HIV-Pharmaceuticals'!$E$107:$E$192&amp;'HIV-Pharmaceuticals'!$I$107:$I$192,0)),0)</f>
        <v>0</v>
      </c>
      <c r="AT207" s="651">
        <f t="array" ref="AT207">IFERROR(INDEX('HIV-Pharmaceuticals'!$AC$107:$AC$192,MATCH($E207&amp;$F207,'HIV-Pharmaceuticals'!$E$107:$E$192&amp;'HIV-Pharmaceuticals'!$I$107:$I$192,0)),0)</f>
        <v>0</v>
      </c>
      <c r="AU207" s="651">
        <f t="shared" si="132"/>
        <v>0</v>
      </c>
      <c r="AV207" s="652">
        <f t="shared" si="133"/>
        <v>0</v>
      </c>
      <c r="AW207" s="652">
        <f t="shared" si="134"/>
        <v>0</v>
      </c>
      <c r="AX207" s="651">
        <f t="array" ref="AX207">IFERROR(INDEX('HIV-Pharmaceuticals'!$AD$107:$AD$192,MATCH($E207&amp;$F207,'HIV-Pharmaceuticals'!$E$107:$E$192&amp;'HIV-Pharmaceuticals'!$I$107:$I$192,0)),0)</f>
        <v>0</v>
      </c>
      <c r="AY207" s="651">
        <f t="shared" si="135"/>
        <v>0</v>
      </c>
      <c r="AZ207" s="652">
        <f t="shared" si="136"/>
        <v>0</v>
      </c>
      <c r="BA207" s="652">
        <f t="shared" si="137"/>
        <v>0</v>
      </c>
      <c r="BB207" s="651">
        <f t="array" ref="BB207">IFERROR(INDEX('HIV-Pharmaceuticals'!$AE$107:$AE$192,MATCH($E207&amp;$F207,'HIV-Pharmaceuticals'!$E$107:$E$192&amp;'HIV-Pharmaceuticals'!$I$107:$I$192,0)),0)</f>
        <v>0</v>
      </c>
      <c r="BC207" s="651">
        <f t="shared" si="138"/>
        <v>0</v>
      </c>
      <c r="BD207" s="652">
        <f t="shared" si="139"/>
        <v>0</v>
      </c>
      <c r="BE207" s="652">
        <f t="shared" si="140"/>
        <v>0</v>
      </c>
      <c r="BF207" s="651">
        <f t="array" ref="BF207">IFERROR(INDEX('HIV-Pharmaceuticals'!$AF$107:$AF$192,MATCH($E207&amp;$F207,'HIV-Pharmaceuticals'!$E$107:$E$192&amp;'HIV-Pharmaceuticals'!$I$107:$I$192,0)),0)</f>
        <v>0</v>
      </c>
      <c r="BG207" s="651">
        <f t="shared" si="141"/>
        <v>0</v>
      </c>
      <c r="BH207" s="652">
        <f t="shared" si="142"/>
        <v>0</v>
      </c>
      <c r="BI207" s="652">
        <f t="shared" si="143"/>
        <v>0</v>
      </c>
      <c r="BK207" s="654"/>
      <c r="BL207" s="654"/>
      <c r="BM207" s="654"/>
      <c r="BN207" s="654"/>
      <c r="BO207" s="654"/>
      <c r="BP207" s="654"/>
      <c r="BQ207" s="654"/>
      <c r="BR207" s="654"/>
    </row>
    <row r="208" spans="1:70">
      <c r="A208" s="647" t="s">
        <v>2261</v>
      </c>
      <c r="B208" s="647" t="s">
        <v>2282</v>
      </c>
      <c r="C208" s="648">
        <f>SETUP!$F$22</f>
        <v>0</v>
      </c>
      <c r="D208" s="649">
        <v>4.2</v>
      </c>
      <c r="E208" s="647" t="s">
        <v>297</v>
      </c>
      <c r="F208" s="647" t="s">
        <v>1306</v>
      </c>
      <c r="G208" s="650" t="str">
        <f t="array" ref="G208">IFERROR(INDEX('HIV-Pharmaceuticals'!$L$107:$L$192,MATCH($E208&amp;$F208,'HIV-Pharmaceuticals'!$E$107:$E$192&amp;'HIV-Pharmaceuticals'!$I$107:$I$192,0)),"")</f>
        <v/>
      </c>
      <c r="H208" s="650" t="str">
        <f t="array" ref="H208">IFERROR(INDEX('HIV-Pharmaceuticals'!$M$107:$M$192,MATCH($E208&amp;$F208,'HIV-Pharmaceuticals'!$E$107:$E$192&amp;'HIV-Pharmaceuticals'!$I$107:$I$192,0)),"")</f>
        <v/>
      </c>
      <c r="I208" s="651">
        <f t="array" ref="I208">IFERROR(INDEX('HIV-Pharmaceuticals'!$N$107:$N$192,MATCH($E208&amp;$F208,'HIV-Pharmaceuticals'!$E$107:$E$192&amp;'HIV-Pharmaceuticals'!$I$107:$I$192,0)),0)</f>
        <v>0</v>
      </c>
      <c r="J208" s="651">
        <f t="array" ref="J208">IFERROR(INDEX('HIV-Pharmaceuticals'!$O$107:$O$192,MATCH($E208&amp;$F208,'HIV-Pharmaceuticals'!$E$107:$E$192&amp;'HIV-Pharmaceuticals'!$I$107:$I$192,0)),0)</f>
        <v>0</v>
      </c>
      <c r="K208" s="652">
        <f t="shared" si="108"/>
        <v>0</v>
      </c>
      <c r="L208" s="652">
        <f t="shared" si="109"/>
        <v>0</v>
      </c>
      <c r="M208" s="652">
        <f t="shared" si="110"/>
        <v>0</v>
      </c>
      <c r="N208" s="651">
        <f t="array" ref="N208">IFERROR(INDEX('HIV-Pharmaceuticals'!$P$107:$P$192,MATCH($E208&amp;$F208,'HIV-Pharmaceuticals'!$E$107:$E$192&amp;'HIV-Pharmaceuticals'!$I$107:$I$192,0)),0)</f>
        <v>0</v>
      </c>
      <c r="O208" s="652">
        <f t="shared" si="111"/>
        <v>0</v>
      </c>
      <c r="P208" s="652">
        <f t="shared" si="112"/>
        <v>0</v>
      </c>
      <c r="Q208" s="652">
        <f t="shared" si="113"/>
        <v>0</v>
      </c>
      <c r="R208" s="651">
        <f t="array" ref="R208">IFERROR(INDEX('HIV-Pharmaceuticals'!$Q$107:$Q$192,MATCH($E208&amp;$F208,'HIV-Pharmaceuticals'!$E$107:$E$192&amp;'HIV-Pharmaceuticals'!$I$107:$I$192,0)),0)</f>
        <v>0</v>
      </c>
      <c r="S208" s="652">
        <f t="shared" si="114"/>
        <v>0</v>
      </c>
      <c r="T208" s="652">
        <f t="shared" si="115"/>
        <v>0</v>
      </c>
      <c r="U208" s="652">
        <f t="shared" si="116"/>
        <v>0</v>
      </c>
      <c r="V208" s="651">
        <f t="array" ref="V208">IFERROR(INDEX('HIV-Pharmaceuticals'!$R$107:$R$192,MATCH($E208&amp;$F208,'HIV-Pharmaceuticals'!$E$107:$E$192&amp;'HIV-Pharmaceuticals'!$I$107:$I$192,0)),0)</f>
        <v>0</v>
      </c>
      <c r="W208" s="652">
        <f t="shared" si="117"/>
        <v>0</v>
      </c>
      <c r="X208" s="652">
        <f t="shared" si="118"/>
        <v>0</v>
      </c>
      <c r="Y208" s="652">
        <f t="shared" si="119"/>
        <v>0</v>
      </c>
      <c r="Z208" s="653"/>
      <c r="AA208" s="651">
        <f t="array" ref="AA208">IFERROR(INDEX('HIV-Pharmaceuticals'!$U$107:$U$192,MATCH($E208&amp;$F208,'HIV-Pharmaceuticals'!$E$107:$E$192&amp;'HIV-Pharmaceuticals'!$I$107:$I$192,0)),0)</f>
        <v>0</v>
      </c>
      <c r="AB208" s="651">
        <f t="array" ref="AB208">IFERROR(INDEX('HIV-Pharmaceuticals'!$V$107:$V$192,MATCH($E208&amp;$F208,'HIV-Pharmaceuticals'!$E$107:$E$192&amp;'HIV-Pharmaceuticals'!$I$107:$I$192,0)),0)</f>
        <v>0</v>
      </c>
      <c r="AC208" s="651">
        <f t="shared" si="120"/>
        <v>0</v>
      </c>
      <c r="AD208" s="652">
        <f t="shared" si="121"/>
        <v>0</v>
      </c>
      <c r="AE208" s="652">
        <f t="shared" si="122"/>
        <v>0</v>
      </c>
      <c r="AF208" s="651">
        <f t="array" ref="AF208">IFERROR(INDEX('HIV-Pharmaceuticals'!$W$107:$W$192,MATCH($E208&amp;$F208,'HIV-Pharmaceuticals'!$E$107:$E$192&amp;'HIV-Pharmaceuticals'!$I$107:$I$192,0)),0)</f>
        <v>0</v>
      </c>
      <c r="AG208" s="651">
        <f t="shared" si="123"/>
        <v>0</v>
      </c>
      <c r="AH208" s="652">
        <f t="shared" si="124"/>
        <v>0</v>
      </c>
      <c r="AI208" s="652">
        <f t="shared" si="125"/>
        <v>0</v>
      </c>
      <c r="AJ208" s="651">
        <f t="array" ref="AJ208">IFERROR(INDEX('HIV-Pharmaceuticals'!$X$107:$X$192,MATCH($E208&amp;$F208,'HIV-Pharmaceuticals'!$E$107:$E$192&amp;'HIV-Pharmaceuticals'!$I$107:$I$192,0)),0)</f>
        <v>0</v>
      </c>
      <c r="AK208" s="651">
        <f t="shared" si="126"/>
        <v>0</v>
      </c>
      <c r="AL208" s="652">
        <f t="shared" si="127"/>
        <v>0</v>
      </c>
      <c r="AM208" s="652">
        <f t="shared" si="128"/>
        <v>0</v>
      </c>
      <c r="AN208" s="651">
        <f t="array" ref="AN208">IFERROR(INDEX('HIV-Pharmaceuticals'!$Y$107:$Y$192,MATCH($E208&amp;$F208,'HIV-Pharmaceuticals'!$E$107:$E$192&amp;'HIV-Pharmaceuticals'!$I$107:$I$192,0)),0)</f>
        <v>0</v>
      </c>
      <c r="AO208" s="651">
        <f t="shared" si="129"/>
        <v>0</v>
      </c>
      <c r="AP208" s="652">
        <f t="shared" si="130"/>
        <v>0</v>
      </c>
      <c r="AQ208" s="652">
        <f t="shared" si="131"/>
        <v>0</v>
      </c>
      <c r="AR208" s="653"/>
      <c r="AS208" s="651">
        <f t="array" ref="AS208">IFERROR(INDEX('HIV-Pharmaceuticals'!$AB$107:$AB$192,MATCH($E208&amp;$F208,'HIV-Pharmaceuticals'!$E$107:$E$192&amp;'HIV-Pharmaceuticals'!$I$107:$I$192,0)),0)</f>
        <v>0</v>
      </c>
      <c r="AT208" s="651">
        <f t="array" ref="AT208">IFERROR(INDEX('HIV-Pharmaceuticals'!$AC$107:$AC$192,MATCH($E208&amp;$F208,'HIV-Pharmaceuticals'!$E$107:$E$192&amp;'HIV-Pharmaceuticals'!$I$107:$I$192,0)),0)</f>
        <v>0</v>
      </c>
      <c r="AU208" s="651">
        <f t="shared" si="132"/>
        <v>0</v>
      </c>
      <c r="AV208" s="652">
        <f t="shared" si="133"/>
        <v>0</v>
      </c>
      <c r="AW208" s="652">
        <f t="shared" si="134"/>
        <v>0</v>
      </c>
      <c r="AX208" s="651">
        <f t="array" ref="AX208">IFERROR(INDEX('HIV-Pharmaceuticals'!$AD$107:$AD$192,MATCH($E208&amp;$F208,'HIV-Pharmaceuticals'!$E$107:$E$192&amp;'HIV-Pharmaceuticals'!$I$107:$I$192,0)),0)</f>
        <v>0</v>
      </c>
      <c r="AY208" s="651">
        <f t="shared" si="135"/>
        <v>0</v>
      </c>
      <c r="AZ208" s="652">
        <f t="shared" si="136"/>
        <v>0</v>
      </c>
      <c r="BA208" s="652">
        <f t="shared" si="137"/>
        <v>0</v>
      </c>
      <c r="BB208" s="651">
        <f t="array" ref="BB208">IFERROR(INDEX('HIV-Pharmaceuticals'!$AE$107:$AE$192,MATCH($E208&amp;$F208,'HIV-Pharmaceuticals'!$E$107:$E$192&amp;'HIV-Pharmaceuticals'!$I$107:$I$192,0)),0)</f>
        <v>0</v>
      </c>
      <c r="BC208" s="651">
        <f t="shared" si="138"/>
        <v>0</v>
      </c>
      <c r="BD208" s="652">
        <f t="shared" si="139"/>
        <v>0</v>
      </c>
      <c r="BE208" s="652">
        <f t="shared" si="140"/>
        <v>0</v>
      </c>
      <c r="BF208" s="651">
        <f t="array" ref="BF208">IFERROR(INDEX('HIV-Pharmaceuticals'!$AF$107:$AF$192,MATCH($E208&amp;$F208,'HIV-Pharmaceuticals'!$E$107:$E$192&amp;'HIV-Pharmaceuticals'!$I$107:$I$192,0)),0)</f>
        <v>0</v>
      </c>
      <c r="BG208" s="651">
        <f t="shared" si="141"/>
        <v>0</v>
      </c>
      <c r="BH208" s="652">
        <f t="shared" si="142"/>
        <v>0</v>
      </c>
      <c r="BI208" s="652">
        <f t="shared" si="143"/>
        <v>0</v>
      </c>
      <c r="BK208" s="654"/>
      <c r="BL208" s="654"/>
      <c r="BM208" s="654"/>
      <c r="BN208" s="654"/>
      <c r="BO208" s="654"/>
      <c r="BP208" s="654"/>
      <c r="BQ208" s="654"/>
      <c r="BR208" s="654"/>
    </row>
    <row r="209" spans="1:70">
      <c r="A209" s="647" t="s">
        <v>2261</v>
      </c>
      <c r="B209" s="647" t="s">
        <v>2282</v>
      </c>
      <c r="C209" s="648">
        <f>SETUP!$F$22</f>
        <v>0</v>
      </c>
      <c r="D209" s="649">
        <v>4.2</v>
      </c>
      <c r="E209" s="647" t="s">
        <v>297</v>
      </c>
      <c r="F209" s="647" t="s">
        <v>1307</v>
      </c>
      <c r="G209" s="650" t="str">
        <f t="array" ref="G209">IFERROR(INDEX('HIV-Pharmaceuticals'!$L$107:$L$192,MATCH($E209&amp;$F209,'HIV-Pharmaceuticals'!$E$107:$E$192&amp;'HIV-Pharmaceuticals'!$I$107:$I$192,0)),"")</f>
        <v/>
      </c>
      <c r="H209" s="650" t="str">
        <f t="array" ref="H209">IFERROR(INDEX('HIV-Pharmaceuticals'!$M$107:$M$192,MATCH($E209&amp;$F209,'HIV-Pharmaceuticals'!$E$107:$E$192&amp;'HIV-Pharmaceuticals'!$I$107:$I$192,0)),"")</f>
        <v/>
      </c>
      <c r="I209" s="651">
        <f t="array" ref="I209">IFERROR(INDEX('HIV-Pharmaceuticals'!$N$107:$N$192,MATCH($E209&amp;$F209,'HIV-Pharmaceuticals'!$E$107:$E$192&amp;'HIV-Pharmaceuticals'!$I$107:$I$192,0)),0)</f>
        <v>0</v>
      </c>
      <c r="J209" s="651">
        <f t="array" ref="J209">IFERROR(INDEX('HIV-Pharmaceuticals'!$O$107:$O$192,MATCH($E209&amp;$F209,'HIV-Pharmaceuticals'!$E$107:$E$192&amp;'HIV-Pharmaceuticals'!$I$107:$I$192,0)),0)</f>
        <v>0</v>
      </c>
      <c r="K209" s="652">
        <f t="shared" si="108"/>
        <v>0</v>
      </c>
      <c r="L209" s="652">
        <f t="shared" si="109"/>
        <v>0</v>
      </c>
      <c r="M209" s="652">
        <f t="shared" si="110"/>
        <v>0</v>
      </c>
      <c r="N209" s="651">
        <f t="array" ref="N209">IFERROR(INDEX('HIV-Pharmaceuticals'!$P$107:$P$192,MATCH($E209&amp;$F209,'HIV-Pharmaceuticals'!$E$107:$E$192&amp;'HIV-Pharmaceuticals'!$I$107:$I$192,0)),0)</f>
        <v>0</v>
      </c>
      <c r="O209" s="652">
        <f t="shared" si="111"/>
        <v>0</v>
      </c>
      <c r="P209" s="652">
        <f t="shared" si="112"/>
        <v>0</v>
      </c>
      <c r="Q209" s="652">
        <f t="shared" si="113"/>
        <v>0</v>
      </c>
      <c r="R209" s="651">
        <f t="array" ref="R209">IFERROR(INDEX('HIV-Pharmaceuticals'!$Q$107:$Q$192,MATCH($E209&amp;$F209,'HIV-Pharmaceuticals'!$E$107:$E$192&amp;'HIV-Pharmaceuticals'!$I$107:$I$192,0)),0)</f>
        <v>0</v>
      </c>
      <c r="S209" s="652">
        <f t="shared" si="114"/>
        <v>0</v>
      </c>
      <c r="T209" s="652">
        <f t="shared" si="115"/>
        <v>0</v>
      </c>
      <c r="U209" s="652">
        <f t="shared" si="116"/>
        <v>0</v>
      </c>
      <c r="V209" s="651">
        <f t="array" ref="V209">IFERROR(INDEX('HIV-Pharmaceuticals'!$R$107:$R$192,MATCH($E209&amp;$F209,'HIV-Pharmaceuticals'!$E$107:$E$192&amp;'HIV-Pharmaceuticals'!$I$107:$I$192,0)),0)</f>
        <v>0</v>
      </c>
      <c r="W209" s="652">
        <f t="shared" si="117"/>
        <v>0</v>
      </c>
      <c r="X209" s="652">
        <f t="shared" si="118"/>
        <v>0</v>
      </c>
      <c r="Y209" s="652">
        <f t="shared" si="119"/>
        <v>0</v>
      </c>
      <c r="Z209" s="653"/>
      <c r="AA209" s="651">
        <f t="array" ref="AA209">IFERROR(INDEX('HIV-Pharmaceuticals'!$U$107:$U$192,MATCH($E209&amp;$F209,'HIV-Pharmaceuticals'!$E$107:$E$192&amp;'HIV-Pharmaceuticals'!$I$107:$I$192,0)),0)</f>
        <v>0</v>
      </c>
      <c r="AB209" s="651">
        <f t="array" ref="AB209">IFERROR(INDEX('HIV-Pharmaceuticals'!$V$107:$V$192,MATCH($E209&amp;$F209,'HIV-Pharmaceuticals'!$E$107:$E$192&amp;'HIV-Pharmaceuticals'!$I$107:$I$192,0)),0)</f>
        <v>0</v>
      </c>
      <c r="AC209" s="651">
        <f t="shared" si="120"/>
        <v>0</v>
      </c>
      <c r="AD209" s="652">
        <f t="shared" si="121"/>
        <v>0</v>
      </c>
      <c r="AE209" s="652">
        <f t="shared" si="122"/>
        <v>0</v>
      </c>
      <c r="AF209" s="651">
        <f t="array" ref="AF209">IFERROR(INDEX('HIV-Pharmaceuticals'!$W$107:$W$192,MATCH($E209&amp;$F209,'HIV-Pharmaceuticals'!$E$107:$E$192&amp;'HIV-Pharmaceuticals'!$I$107:$I$192,0)),0)</f>
        <v>0</v>
      </c>
      <c r="AG209" s="651">
        <f t="shared" si="123"/>
        <v>0</v>
      </c>
      <c r="AH209" s="652">
        <f t="shared" si="124"/>
        <v>0</v>
      </c>
      <c r="AI209" s="652">
        <f t="shared" si="125"/>
        <v>0</v>
      </c>
      <c r="AJ209" s="651">
        <f t="array" ref="AJ209">IFERROR(INDEX('HIV-Pharmaceuticals'!$X$107:$X$192,MATCH($E209&amp;$F209,'HIV-Pharmaceuticals'!$E$107:$E$192&amp;'HIV-Pharmaceuticals'!$I$107:$I$192,0)),0)</f>
        <v>0</v>
      </c>
      <c r="AK209" s="651">
        <f t="shared" si="126"/>
        <v>0</v>
      </c>
      <c r="AL209" s="652">
        <f t="shared" si="127"/>
        <v>0</v>
      </c>
      <c r="AM209" s="652">
        <f t="shared" si="128"/>
        <v>0</v>
      </c>
      <c r="AN209" s="651">
        <f t="array" ref="AN209">IFERROR(INDEX('HIV-Pharmaceuticals'!$Y$107:$Y$192,MATCH($E209&amp;$F209,'HIV-Pharmaceuticals'!$E$107:$E$192&amp;'HIV-Pharmaceuticals'!$I$107:$I$192,0)),0)</f>
        <v>0</v>
      </c>
      <c r="AO209" s="651">
        <f t="shared" si="129"/>
        <v>0</v>
      </c>
      <c r="AP209" s="652">
        <f t="shared" si="130"/>
        <v>0</v>
      </c>
      <c r="AQ209" s="652">
        <f t="shared" si="131"/>
        <v>0</v>
      </c>
      <c r="AR209" s="653"/>
      <c r="AS209" s="651">
        <f t="array" ref="AS209">IFERROR(INDEX('HIV-Pharmaceuticals'!$AB$107:$AB$192,MATCH($E209&amp;$F209,'HIV-Pharmaceuticals'!$E$107:$E$192&amp;'HIV-Pharmaceuticals'!$I$107:$I$192,0)),0)</f>
        <v>0</v>
      </c>
      <c r="AT209" s="651">
        <f t="array" ref="AT209">IFERROR(INDEX('HIV-Pharmaceuticals'!$AC$107:$AC$192,MATCH($E209&amp;$F209,'HIV-Pharmaceuticals'!$E$107:$E$192&amp;'HIV-Pharmaceuticals'!$I$107:$I$192,0)),0)</f>
        <v>0</v>
      </c>
      <c r="AU209" s="651">
        <f t="shared" si="132"/>
        <v>0</v>
      </c>
      <c r="AV209" s="652">
        <f t="shared" si="133"/>
        <v>0</v>
      </c>
      <c r="AW209" s="652">
        <f t="shared" si="134"/>
        <v>0</v>
      </c>
      <c r="AX209" s="651">
        <f t="array" ref="AX209">IFERROR(INDEX('HIV-Pharmaceuticals'!$AD$107:$AD$192,MATCH($E209&amp;$F209,'HIV-Pharmaceuticals'!$E$107:$E$192&amp;'HIV-Pharmaceuticals'!$I$107:$I$192,0)),0)</f>
        <v>0</v>
      </c>
      <c r="AY209" s="651">
        <f t="shared" si="135"/>
        <v>0</v>
      </c>
      <c r="AZ209" s="652">
        <f t="shared" si="136"/>
        <v>0</v>
      </c>
      <c r="BA209" s="652">
        <f t="shared" si="137"/>
        <v>0</v>
      </c>
      <c r="BB209" s="651">
        <f t="array" ref="BB209">IFERROR(INDEX('HIV-Pharmaceuticals'!$AE$107:$AE$192,MATCH($E209&amp;$F209,'HIV-Pharmaceuticals'!$E$107:$E$192&amp;'HIV-Pharmaceuticals'!$I$107:$I$192,0)),0)</f>
        <v>0</v>
      </c>
      <c r="BC209" s="651">
        <f t="shared" si="138"/>
        <v>0</v>
      </c>
      <c r="BD209" s="652">
        <f t="shared" si="139"/>
        <v>0</v>
      </c>
      <c r="BE209" s="652">
        <f t="shared" si="140"/>
        <v>0</v>
      </c>
      <c r="BF209" s="651">
        <f t="array" ref="BF209">IFERROR(INDEX('HIV-Pharmaceuticals'!$AF$107:$AF$192,MATCH($E209&amp;$F209,'HIV-Pharmaceuticals'!$E$107:$E$192&amp;'HIV-Pharmaceuticals'!$I$107:$I$192,0)),0)</f>
        <v>0</v>
      </c>
      <c r="BG209" s="651">
        <f t="shared" si="141"/>
        <v>0</v>
      </c>
      <c r="BH209" s="652">
        <f t="shared" si="142"/>
        <v>0</v>
      </c>
      <c r="BI209" s="652">
        <f t="shared" si="143"/>
        <v>0</v>
      </c>
      <c r="BK209" s="654"/>
      <c r="BL209" s="654"/>
      <c r="BM209" s="654"/>
      <c r="BN209" s="654"/>
      <c r="BO209" s="654"/>
      <c r="BP209" s="654"/>
      <c r="BQ209" s="654"/>
      <c r="BR209" s="654"/>
    </row>
    <row r="210" spans="1:70">
      <c r="A210" s="647" t="s">
        <v>2261</v>
      </c>
      <c r="B210" s="647" t="s">
        <v>2282</v>
      </c>
      <c r="C210" s="648">
        <f>SETUP!$F$22</f>
        <v>0</v>
      </c>
      <c r="D210" s="649">
        <v>4.2</v>
      </c>
      <c r="E210" s="647" t="s">
        <v>297</v>
      </c>
      <c r="F210" s="647" t="s">
        <v>1308</v>
      </c>
      <c r="G210" s="650" t="str">
        <f t="array" ref="G210">IFERROR(INDEX('HIV-Pharmaceuticals'!$L$107:$L$192,MATCH($E210&amp;$F210,'HIV-Pharmaceuticals'!$E$107:$E$192&amp;'HIV-Pharmaceuticals'!$I$107:$I$192,0)),"")</f>
        <v/>
      </c>
      <c r="H210" s="650" t="str">
        <f t="array" ref="H210">IFERROR(INDEX('HIV-Pharmaceuticals'!$M$107:$M$192,MATCH($E210&amp;$F210,'HIV-Pharmaceuticals'!$E$107:$E$192&amp;'HIV-Pharmaceuticals'!$I$107:$I$192,0)),"")</f>
        <v/>
      </c>
      <c r="I210" s="651">
        <f t="array" ref="I210">IFERROR(INDEX('HIV-Pharmaceuticals'!$N$107:$N$192,MATCH($E210&amp;$F210,'HIV-Pharmaceuticals'!$E$107:$E$192&amp;'HIV-Pharmaceuticals'!$I$107:$I$192,0)),0)</f>
        <v>0</v>
      </c>
      <c r="J210" s="651">
        <f t="array" ref="J210">IFERROR(INDEX('HIV-Pharmaceuticals'!$O$107:$O$192,MATCH($E210&amp;$F210,'HIV-Pharmaceuticals'!$E$107:$E$192&amp;'HIV-Pharmaceuticals'!$I$107:$I$192,0)),0)</f>
        <v>0</v>
      </c>
      <c r="K210" s="652">
        <f t="shared" si="108"/>
        <v>0</v>
      </c>
      <c r="L210" s="652">
        <f t="shared" si="109"/>
        <v>0</v>
      </c>
      <c r="M210" s="652">
        <f t="shared" si="110"/>
        <v>0</v>
      </c>
      <c r="N210" s="651">
        <f t="array" ref="N210">IFERROR(INDEX('HIV-Pharmaceuticals'!$P$107:$P$192,MATCH($E210&amp;$F210,'HIV-Pharmaceuticals'!$E$107:$E$192&amp;'HIV-Pharmaceuticals'!$I$107:$I$192,0)),0)</f>
        <v>0</v>
      </c>
      <c r="O210" s="652">
        <f t="shared" si="111"/>
        <v>0</v>
      </c>
      <c r="P210" s="652">
        <f t="shared" si="112"/>
        <v>0</v>
      </c>
      <c r="Q210" s="652">
        <f t="shared" si="113"/>
        <v>0</v>
      </c>
      <c r="R210" s="651">
        <f t="array" ref="R210">IFERROR(INDEX('HIV-Pharmaceuticals'!$Q$107:$Q$192,MATCH($E210&amp;$F210,'HIV-Pharmaceuticals'!$E$107:$E$192&amp;'HIV-Pharmaceuticals'!$I$107:$I$192,0)),0)</f>
        <v>0</v>
      </c>
      <c r="S210" s="652">
        <f t="shared" si="114"/>
        <v>0</v>
      </c>
      <c r="T210" s="652">
        <f t="shared" si="115"/>
        <v>0</v>
      </c>
      <c r="U210" s="652">
        <f t="shared" si="116"/>
        <v>0</v>
      </c>
      <c r="V210" s="651">
        <f t="array" ref="V210">IFERROR(INDEX('HIV-Pharmaceuticals'!$R$107:$R$192,MATCH($E210&amp;$F210,'HIV-Pharmaceuticals'!$E$107:$E$192&amp;'HIV-Pharmaceuticals'!$I$107:$I$192,0)),0)</f>
        <v>0</v>
      </c>
      <c r="W210" s="652">
        <f t="shared" si="117"/>
        <v>0</v>
      </c>
      <c r="X210" s="652">
        <f t="shared" si="118"/>
        <v>0</v>
      </c>
      <c r="Y210" s="652">
        <f t="shared" si="119"/>
        <v>0</v>
      </c>
      <c r="Z210" s="653"/>
      <c r="AA210" s="651">
        <f t="array" ref="AA210">IFERROR(INDEX('HIV-Pharmaceuticals'!$U$107:$U$192,MATCH($E210&amp;$F210,'HIV-Pharmaceuticals'!$E$107:$E$192&amp;'HIV-Pharmaceuticals'!$I$107:$I$192,0)),0)</f>
        <v>0</v>
      </c>
      <c r="AB210" s="651">
        <f t="array" ref="AB210">IFERROR(INDEX('HIV-Pharmaceuticals'!$V$107:$V$192,MATCH($E210&amp;$F210,'HIV-Pharmaceuticals'!$E$107:$E$192&amp;'HIV-Pharmaceuticals'!$I$107:$I$192,0)),0)</f>
        <v>0</v>
      </c>
      <c r="AC210" s="651">
        <f t="shared" si="120"/>
        <v>0</v>
      </c>
      <c r="AD210" s="652">
        <f t="shared" si="121"/>
        <v>0</v>
      </c>
      <c r="AE210" s="652">
        <f t="shared" si="122"/>
        <v>0</v>
      </c>
      <c r="AF210" s="651">
        <f t="array" ref="AF210">IFERROR(INDEX('HIV-Pharmaceuticals'!$W$107:$W$192,MATCH($E210&amp;$F210,'HIV-Pharmaceuticals'!$E$107:$E$192&amp;'HIV-Pharmaceuticals'!$I$107:$I$192,0)),0)</f>
        <v>0</v>
      </c>
      <c r="AG210" s="651">
        <f t="shared" si="123"/>
        <v>0</v>
      </c>
      <c r="AH210" s="652">
        <f t="shared" si="124"/>
        <v>0</v>
      </c>
      <c r="AI210" s="652">
        <f t="shared" si="125"/>
        <v>0</v>
      </c>
      <c r="AJ210" s="651">
        <f t="array" ref="AJ210">IFERROR(INDEX('HIV-Pharmaceuticals'!$X$107:$X$192,MATCH($E210&amp;$F210,'HIV-Pharmaceuticals'!$E$107:$E$192&amp;'HIV-Pharmaceuticals'!$I$107:$I$192,0)),0)</f>
        <v>0</v>
      </c>
      <c r="AK210" s="651">
        <f t="shared" si="126"/>
        <v>0</v>
      </c>
      <c r="AL210" s="652">
        <f t="shared" si="127"/>
        <v>0</v>
      </c>
      <c r="AM210" s="652">
        <f t="shared" si="128"/>
        <v>0</v>
      </c>
      <c r="AN210" s="651">
        <f t="array" ref="AN210">IFERROR(INDEX('HIV-Pharmaceuticals'!$Y$107:$Y$192,MATCH($E210&amp;$F210,'HIV-Pharmaceuticals'!$E$107:$E$192&amp;'HIV-Pharmaceuticals'!$I$107:$I$192,0)),0)</f>
        <v>0</v>
      </c>
      <c r="AO210" s="651">
        <f t="shared" si="129"/>
        <v>0</v>
      </c>
      <c r="AP210" s="652">
        <f t="shared" si="130"/>
        <v>0</v>
      </c>
      <c r="AQ210" s="652">
        <f t="shared" si="131"/>
        <v>0</v>
      </c>
      <c r="AR210" s="653"/>
      <c r="AS210" s="651">
        <f t="array" ref="AS210">IFERROR(INDEX('HIV-Pharmaceuticals'!$AB$107:$AB$192,MATCH($E210&amp;$F210,'HIV-Pharmaceuticals'!$E$107:$E$192&amp;'HIV-Pharmaceuticals'!$I$107:$I$192,0)),0)</f>
        <v>0</v>
      </c>
      <c r="AT210" s="651">
        <f t="array" ref="AT210">IFERROR(INDEX('HIV-Pharmaceuticals'!$AC$107:$AC$192,MATCH($E210&amp;$F210,'HIV-Pharmaceuticals'!$E$107:$E$192&amp;'HIV-Pharmaceuticals'!$I$107:$I$192,0)),0)</f>
        <v>0</v>
      </c>
      <c r="AU210" s="651">
        <f t="shared" si="132"/>
        <v>0</v>
      </c>
      <c r="AV210" s="652">
        <f t="shared" si="133"/>
        <v>0</v>
      </c>
      <c r="AW210" s="652">
        <f t="shared" si="134"/>
        <v>0</v>
      </c>
      <c r="AX210" s="651">
        <f t="array" ref="AX210">IFERROR(INDEX('HIV-Pharmaceuticals'!$AD$107:$AD$192,MATCH($E210&amp;$F210,'HIV-Pharmaceuticals'!$E$107:$E$192&amp;'HIV-Pharmaceuticals'!$I$107:$I$192,0)),0)</f>
        <v>0</v>
      </c>
      <c r="AY210" s="651">
        <f t="shared" si="135"/>
        <v>0</v>
      </c>
      <c r="AZ210" s="652">
        <f t="shared" si="136"/>
        <v>0</v>
      </c>
      <c r="BA210" s="652">
        <f t="shared" si="137"/>
        <v>0</v>
      </c>
      <c r="BB210" s="651">
        <f t="array" ref="BB210">IFERROR(INDEX('HIV-Pharmaceuticals'!$AE$107:$AE$192,MATCH($E210&amp;$F210,'HIV-Pharmaceuticals'!$E$107:$E$192&amp;'HIV-Pharmaceuticals'!$I$107:$I$192,0)),0)</f>
        <v>0</v>
      </c>
      <c r="BC210" s="651">
        <f t="shared" si="138"/>
        <v>0</v>
      </c>
      <c r="BD210" s="652">
        <f t="shared" si="139"/>
        <v>0</v>
      </c>
      <c r="BE210" s="652">
        <f t="shared" si="140"/>
        <v>0</v>
      </c>
      <c r="BF210" s="651">
        <f t="array" ref="BF210">IFERROR(INDEX('HIV-Pharmaceuticals'!$AF$107:$AF$192,MATCH($E210&amp;$F210,'HIV-Pharmaceuticals'!$E$107:$E$192&amp;'HIV-Pharmaceuticals'!$I$107:$I$192,0)),0)</f>
        <v>0</v>
      </c>
      <c r="BG210" s="651">
        <f t="shared" si="141"/>
        <v>0</v>
      </c>
      <c r="BH210" s="652">
        <f t="shared" si="142"/>
        <v>0</v>
      </c>
      <c r="BI210" s="652">
        <f t="shared" si="143"/>
        <v>0</v>
      </c>
      <c r="BK210" s="654"/>
      <c r="BL210" s="654"/>
      <c r="BM210" s="654"/>
      <c r="BN210" s="654"/>
      <c r="BO210" s="654"/>
      <c r="BP210" s="654"/>
      <c r="BQ210" s="654"/>
      <c r="BR210" s="654"/>
    </row>
    <row r="211" spans="1:70">
      <c r="A211" s="647" t="s">
        <v>2261</v>
      </c>
      <c r="B211" s="647" t="s">
        <v>2282</v>
      </c>
      <c r="C211" s="648">
        <f>SETUP!$F$22</f>
        <v>0</v>
      </c>
      <c r="D211" s="649">
        <v>4.2</v>
      </c>
      <c r="E211" s="647" t="s">
        <v>1281</v>
      </c>
      <c r="F211" s="647" t="s">
        <v>1284</v>
      </c>
      <c r="G211" s="650" t="str">
        <f t="array" ref="G211">IFERROR(INDEX('HIV-Pharmaceuticals'!$L$107:$L$192,MATCH($E211&amp;$F211,'HIV-Pharmaceuticals'!$E$107:$E$192&amp;'HIV-Pharmaceuticals'!$I$107:$I$192,0)),"")</f>
        <v/>
      </c>
      <c r="H211" s="650" t="str">
        <f t="array" ref="H211">IFERROR(INDEX('HIV-Pharmaceuticals'!$M$107:$M$192,MATCH($E211&amp;$F211,'HIV-Pharmaceuticals'!$E$107:$E$192&amp;'HIV-Pharmaceuticals'!$I$107:$I$192,0)),"")</f>
        <v/>
      </c>
      <c r="I211" s="651">
        <f t="array" ref="I211">IFERROR(INDEX('HIV-Pharmaceuticals'!$N$107:$N$192,MATCH($E211&amp;$F211,'HIV-Pharmaceuticals'!$E$107:$E$192&amp;'HIV-Pharmaceuticals'!$I$107:$I$192,0)),0)</f>
        <v>0</v>
      </c>
      <c r="J211" s="651">
        <f t="array" ref="J211">IFERROR(INDEX('HIV-Pharmaceuticals'!$O$107:$O$192,MATCH($E211&amp;$F211,'HIV-Pharmaceuticals'!$E$107:$E$192&amp;'HIV-Pharmaceuticals'!$I$107:$I$192,0)),0)</f>
        <v>0</v>
      </c>
      <c r="K211" s="652">
        <f t="shared" si="108"/>
        <v>0</v>
      </c>
      <c r="L211" s="652">
        <f t="shared" si="109"/>
        <v>0</v>
      </c>
      <c r="M211" s="652">
        <f t="shared" si="110"/>
        <v>0</v>
      </c>
      <c r="N211" s="651">
        <f t="array" ref="N211">IFERROR(INDEX('HIV-Pharmaceuticals'!$P$107:$P$192,MATCH($E211&amp;$F211,'HIV-Pharmaceuticals'!$E$107:$E$192&amp;'HIV-Pharmaceuticals'!$I$107:$I$192,0)),0)</f>
        <v>0</v>
      </c>
      <c r="O211" s="652">
        <f t="shared" si="111"/>
        <v>0</v>
      </c>
      <c r="P211" s="652">
        <f t="shared" si="112"/>
        <v>0</v>
      </c>
      <c r="Q211" s="652">
        <f t="shared" si="113"/>
        <v>0</v>
      </c>
      <c r="R211" s="651">
        <f t="array" ref="R211">IFERROR(INDEX('HIV-Pharmaceuticals'!$Q$107:$Q$192,MATCH($E211&amp;$F211,'HIV-Pharmaceuticals'!$E$107:$E$192&amp;'HIV-Pharmaceuticals'!$I$107:$I$192,0)),0)</f>
        <v>0</v>
      </c>
      <c r="S211" s="652">
        <f t="shared" si="114"/>
        <v>0</v>
      </c>
      <c r="T211" s="652">
        <f t="shared" si="115"/>
        <v>0</v>
      </c>
      <c r="U211" s="652">
        <f t="shared" si="116"/>
        <v>0</v>
      </c>
      <c r="V211" s="651">
        <f t="array" ref="V211">IFERROR(INDEX('HIV-Pharmaceuticals'!$R$107:$R$192,MATCH($E211&amp;$F211,'HIV-Pharmaceuticals'!$E$107:$E$192&amp;'HIV-Pharmaceuticals'!$I$107:$I$192,0)),0)</f>
        <v>0</v>
      </c>
      <c r="W211" s="652">
        <f t="shared" si="117"/>
        <v>0</v>
      </c>
      <c r="X211" s="652">
        <f t="shared" si="118"/>
        <v>0</v>
      </c>
      <c r="Y211" s="652">
        <f t="shared" si="119"/>
        <v>0</v>
      </c>
      <c r="Z211" s="653"/>
      <c r="AA211" s="651">
        <f t="array" ref="AA211">IFERROR(INDEX('HIV-Pharmaceuticals'!$U$107:$U$192,MATCH($E211&amp;$F211,'HIV-Pharmaceuticals'!$E$107:$E$192&amp;'HIV-Pharmaceuticals'!$I$107:$I$192,0)),0)</f>
        <v>0</v>
      </c>
      <c r="AB211" s="651">
        <f t="array" ref="AB211">IFERROR(INDEX('HIV-Pharmaceuticals'!$V$107:$V$192,MATCH($E211&amp;$F211,'HIV-Pharmaceuticals'!$E$107:$E$192&amp;'HIV-Pharmaceuticals'!$I$107:$I$192,0)),0)</f>
        <v>0</v>
      </c>
      <c r="AC211" s="651">
        <f t="shared" si="120"/>
        <v>0</v>
      </c>
      <c r="AD211" s="652">
        <f t="shared" si="121"/>
        <v>0</v>
      </c>
      <c r="AE211" s="652">
        <f t="shared" si="122"/>
        <v>0</v>
      </c>
      <c r="AF211" s="651">
        <f t="array" ref="AF211">IFERROR(INDEX('HIV-Pharmaceuticals'!$W$107:$W$192,MATCH($E211&amp;$F211,'HIV-Pharmaceuticals'!$E$107:$E$192&amp;'HIV-Pharmaceuticals'!$I$107:$I$192,0)),0)</f>
        <v>0</v>
      </c>
      <c r="AG211" s="651">
        <f t="shared" si="123"/>
        <v>0</v>
      </c>
      <c r="AH211" s="652">
        <f t="shared" si="124"/>
        <v>0</v>
      </c>
      <c r="AI211" s="652">
        <f t="shared" si="125"/>
        <v>0</v>
      </c>
      <c r="AJ211" s="651">
        <f t="array" ref="AJ211">IFERROR(INDEX('HIV-Pharmaceuticals'!$X$107:$X$192,MATCH($E211&amp;$F211,'HIV-Pharmaceuticals'!$E$107:$E$192&amp;'HIV-Pharmaceuticals'!$I$107:$I$192,0)),0)</f>
        <v>0</v>
      </c>
      <c r="AK211" s="651">
        <f t="shared" si="126"/>
        <v>0</v>
      </c>
      <c r="AL211" s="652">
        <f t="shared" si="127"/>
        <v>0</v>
      </c>
      <c r="AM211" s="652">
        <f t="shared" si="128"/>
        <v>0</v>
      </c>
      <c r="AN211" s="651">
        <f t="array" ref="AN211">IFERROR(INDEX('HIV-Pharmaceuticals'!$Y$107:$Y$192,MATCH($E211&amp;$F211,'HIV-Pharmaceuticals'!$E$107:$E$192&amp;'HIV-Pharmaceuticals'!$I$107:$I$192,0)),0)</f>
        <v>0</v>
      </c>
      <c r="AO211" s="651">
        <f t="shared" si="129"/>
        <v>0</v>
      </c>
      <c r="AP211" s="652">
        <f t="shared" si="130"/>
        <v>0</v>
      </c>
      <c r="AQ211" s="652">
        <f t="shared" si="131"/>
        <v>0</v>
      </c>
      <c r="AR211" s="653"/>
      <c r="AS211" s="651">
        <f t="array" ref="AS211">IFERROR(INDEX('HIV-Pharmaceuticals'!$AB$107:$AB$192,MATCH($E211&amp;$F211,'HIV-Pharmaceuticals'!$E$107:$E$192&amp;'HIV-Pharmaceuticals'!$I$107:$I$192,0)),0)</f>
        <v>0</v>
      </c>
      <c r="AT211" s="651">
        <f t="array" ref="AT211">IFERROR(INDEX('HIV-Pharmaceuticals'!$AC$107:$AC$192,MATCH($E211&amp;$F211,'HIV-Pharmaceuticals'!$E$107:$E$192&amp;'HIV-Pharmaceuticals'!$I$107:$I$192,0)),0)</f>
        <v>0</v>
      </c>
      <c r="AU211" s="651">
        <f t="shared" si="132"/>
        <v>0</v>
      </c>
      <c r="AV211" s="652">
        <f t="shared" si="133"/>
        <v>0</v>
      </c>
      <c r="AW211" s="652">
        <f t="shared" si="134"/>
        <v>0</v>
      </c>
      <c r="AX211" s="651">
        <f t="array" ref="AX211">IFERROR(INDEX('HIV-Pharmaceuticals'!$AD$107:$AD$192,MATCH($E211&amp;$F211,'HIV-Pharmaceuticals'!$E$107:$E$192&amp;'HIV-Pharmaceuticals'!$I$107:$I$192,0)),0)</f>
        <v>0</v>
      </c>
      <c r="AY211" s="651">
        <f t="shared" si="135"/>
        <v>0</v>
      </c>
      <c r="AZ211" s="652">
        <f t="shared" si="136"/>
        <v>0</v>
      </c>
      <c r="BA211" s="652">
        <f t="shared" si="137"/>
        <v>0</v>
      </c>
      <c r="BB211" s="651">
        <f t="array" ref="BB211">IFERROR(INDEX('HIV-Pharmaceuticals'!$AE$107:$AE$192,MATCH($E211&amp;$F211,'HIV-Pharmaceuticals'!$E$107:$E$192&amp;'HIV-Pharmaceuticals'!$I$107:$I$192,0)),0)</f>
        <v>0</v>
      </c>
      <c r="BC211" s="651">
        <f t="shared" si="138"/>
        <v>0</v>
      </c>
      <c r="BD211" s="652">
        <f t="shared" si="139"/>
        <v>0</v>
      </c>
      <c r="BE211" s="652">
        <f t="shared" si="140"/>
        <v>0</v>
      </c>
      <c r="BF211" s="651">
        <f t="array" ref="BF211">IFERROR(INDEX('HIV-Pharmaceuticals'!$AF$107:$AF$192,MATCH($E211&amp;$F211,'HIV-Pharmaceuticals'!$E$107:$E$192&amp;'HIV-Pharmaceuticals'!$I$107:$I$192,0)),0)</f>
        <v>0</v>
      </c>
      <c r="BG211" s="651">
        <f t="shared" si="141"/>
        <v>0</v>
      </c>
      <c r="BH211" s="652">
        <f t="shared" si="142"/>
        <v>0</v>
      </c>
      <c r="BI211" s="652">
        <f t="shared" si="143"/>
        <v>0</v>
      </c>
      <c r="BK211" s="654"/>
      <c r="BL211" s="654"/>
      <c r="BM211" s="654"/>
      <c r="BN211" s="654"/>
      <c r="BO211" s="654"/>
      <c r="BP211" s="654"/>
      <c r="BQ211" s="654"/>
      <c r="BR211" s="654"/>
    </row>
    <row r="213" spans="1:70" s="658" customFormat="1">
      <c r="A213" s="2315" t="s">
        <v>2283</v>
      </c>
      <c r="B213" s="2315"/>
      <c r="C213" s="2315"/>
      <c r="D213" s="2315"/>
      <c r="E213" s="2315"/>
      <c r="F213" s="2315"/>
      <c r="G213" s="656"/>
      <c r="H213" s="656"/>
      <c r="I213" s="657"/>
      <c r="J213" s="657"/>
      <c r="K213" s="657"/>
      <c r="L213" s="657"/>
      <c r="M213" s="657"/>
      <c r="N213" s="657"/>
      <c r="O213" s="657"/>
      <c r="P213" s="657"/>
      <c r="Q213" s="657"/>
      <c r="R213" s="657"/>
      <c r="S213" s="657"/>
      <c r="T213" s="657"/>
      <c r="U213" s="657"/>
      <c r="V213" s="657"/>
      <c r="W213" s="657"/>
      <c r="X213" s="657"/>
      <c r="Y213" s="657"/>
      <c r="Z213" s="657"/>
      <c r="AA213" s="657"/>
      <c r="AB213" s="657"/>
      <c r="AC213" s="657"/>
      <c r="AD213" s="657"/>
      <c r="AE213" s="657"/>
      <c r="AF213" s="657"/>
      <c r="AG213" s="657"/>
      <c r="AH213" s="657"/>
      <c r="AI213" s="657"/>
      <c r="AJ213" s="657"/>
      <c r="AK213" s="657"/>
      <c r="AL213" s="657"/>
      <c r="AM213" s="657"/>
      <c r="AN213" s="657"/>
      <c r="AO213" s="657"/>
      <c r="AP213" s="657"/>
      <c r="AQ213" s="657"/>
      <c r="AR213" s="657"/>
      <c r="AS213" s="657"/>
      <c r="AT213" s="657"/>
      <c r="AU213" s="657"/>
      <c r="AV213" s="657"/>
      <c r="AW213" s="657"/>
      <c r="AX213" s="657"/>
      <c r="AY213" s="657"/>
      <c r="AZ213" s="657"/>
      <c r="BA213" s="657"/>
      <c r="BB213" s="657"/>
      <c r="BC213" s="657"/>
      <c r="BD213" s="657"/>
      <c r="BE213" s="657"/>
      <c r="BF213" s="657"/>
      <c r="BG213" s="657"/>
      <c r="BH213" s="657"/>
      <c r="BI213" s="657"/>
      <c r="BJ213" s="669"/>
      <c r="BK213" s="669"/>
      <c r="BL213" s="669"/>
      <c r="BM213" s="669"/>
      <c r="BN213" s="669"/>
      <c r="BO213" s="669"/>
      <c r="BP213" s="669"/>
      <c r="BQ213" s="669"/>
      <c r="BR213" s="669"/>
    </row>
    <row r="214" spans="1:70" s="646" customFormat="1">
      <c r="A214" s="659" t="s">
        <v>1545</v>
      </c>
      <c r="B214" s="659" t="s">
        <v>203</v>
      </c>
      <c r="C214" s="660" t="s">
        <v>459</v>
      </c>
      <c r="D214" s="659" t="s">
        <v>460</v>
      </c>
      <c r="E214" s="659" t="s">
        <v>461</v>
      </c>
      <c r="F214" s="659" t="s">
        <v>214</v>
      </c>
      <c r="G214" s="660" t="s">
        <v>462</v>
      </c>
      <c r="H214" s="660" t="s">
        <v>49</v>
      </c>
      <c r="I214" s="670" t="s">
        <v>463</v>
      </c>
      <c r="J214" s="670" t="s">
        <v>464</v>
      </c>
      <c r="K214" s="670" t="s">
        <v>465</v>
      </c>
      <c r="L214" s="729" t="s">
        <v>466</v>
      </c>
      <c r="M214" s="729" t="s">
        <v>467</v>
      </c>
      <c r="N214" s="670" t="s">
        <v>468</v>
      </c>
      <c r="O214" s="670" t="s">
        <v>469</v>
      </c>
      <c r="P214" s="729" t="s">
        <v>470</v>
      </c>
      <c r="Q214" s="729" t="s">
        <v>471</v>
      </c>
      <c r="R214" s="670" t="s">
        <v>472</v>
      </c>
      <c r="S214" s="670" t="s">
        <v>473</v>
      </c>
      <c r="T214" s="729" t="s">
        <v>474</v>
      </c>
      <c r="U214" s="729" t="s">
        <v>475</v>
      </c>
      <c r="V214" s="670" t="s">
        <v>476</v>
      </c>
      <c r="W214" s="670" t="s">
        <v>477</v>
      </c>
      <c r="X214" s="729" t="s">
        <v>478</v>
      </c>
      <c r="Y214" s="729" t="s">
        <v>479</v>
      </c>
      <c r="Z214" s="643"/>
      <c r="AA214" s="670" t="s">
        <v>480</v>
      </c>
      <c r="AB214" s="670" t="s">
        <v>481</v>
      </c>
      <c r="AC214" s="670" t="s">
        <v>482</v>
      </c>
      <c r="AD214" s="729" t="s">
        <v>483</v>
      </c>
      <c r="AE214" s="729" t="s">
        <v>484</v>
      </c>
      <c r="AF214" s="670" t="s">
        <v>485</v>
      </c>
      <c r="AG214" s="670" t="s">
        <v>486</v>
      </c>
      <c r="AH214" s="729" t="s">
        <v>487</v>
      </c>
      <c r="AI214" s="729" t="s">
        <v>488</v>
      </c>
      <c r="AJ214" s="670" t="s">
        <v>489</v>
      </c>
      <c r="AK214" s="670" t="s">
        <v>490</v>
      </c>
      <c r="AL214" s="729" t="s">
        <v>491</v>
      </c>
      <c r="AM214" s="729" t="s">
        <v>492</v>
      </c>
      <c r="AN214" s="670" t="s">
        <v>493</v>
      </c>
      <c r="AO214" s="670" t="s">
        <v>494</v>
      </c>
      <c r="AP214" s="729" t="s">
        <v>495</v>
      </c>
      <c r="AQ214" s="729" t="s">
        <v>496</v>
      </c>
      <c r="AR214" s="643"/>
      <c r="AS214" s="670" t="s">
        <v>497</v>
      </c>
      <c r="AT214" s="670" t="s">
        <v>498</v>
      </c>
      <c r="AU214" s="670" t="s">
        <v>499</v>
      </c>
      <c r="AV214" s="729" t="s">
        <v>500</v>
      </c>
      <c r="AW214" s="729" t="s">
        <v>501</v>
      </c>
      <c r="AX214" s="670" t="s">
        <v>502</v>
      </c>
      <c r="AY214" s="670" t="s">
        <v>503</v>
      </c>
      <c r="AZ214" s="729" t="s">
        <v>504</v>
      </c>
      <c r="BA214" s="729" t="s">
        <v>505</v>
      </c>
      <c r="BB214" s="670" t="s">
        <v>506</v>
      </c>
      <c r="BC214" s="670" t="s">
        <v>507</v>
      </c>
      <c r="BD214" s="729" t="s">
        <v>508</v>
      </c>
      <c r="BE214" s="729" t="s">
        <v>509</v>
      </c>
      <c r="BF214" s="670" t="s">
        <v>510</v>
      </c>
      <c r="BG214" s="670" t="s">
        <v>511</v>
      </c>
      <c r="BH214" s="729" t="s">
        <v>512</v>
      </c>
      <c r="BI214" s="729" t="s">
        <v>513</v>
      </c>
      <c r="BJ214" s="644"/>
      <c r="BK214" s="730" t="s">
        <v>514</v>
      </c>
      <c r="BL214" s="730" t="s">
        <v>515</v>
      </c>
      <c r="BM214" s="730" t="s">
        <v>516</v>
      </c>
      <c r="BN214" s="730" t="s">
        <v>517</v>
      </c>
      <c r="BO214" s="730" t="s">
        <v>518</v>
      </c>
      <c r="BP214" s="730" t="s">
        <v>519</v>
      </c>
      <c r="BQ214" s="730" t="s">
        <v>520</v>
      </c>
      <c r="BR214" s="730" t="s">
        <v>521</v>
      </c>
    </row>
    <row r="215" spans="1:70" s="426" customFormat="1">
      <c r="A215" s="655" t="s">
        <v>1856</v>
      </c>
      <c r="B215" s="655" t="s">
        <v>2283</v>
      </c>
      <c r="C215" s="648">
        <f>SETUP!$F$23</f>
        <v>0</v>
      </c>
      <c r="D215" s="654">
        <v>6.4</v>
      </c>
      <c r="E215" s="655" t="s">
        <v>1456</v>
      </c>
      <c r="F215" s="655" t="s">
        <v>1457</v>
      </c>
      <c r="G215" s="650" t="str">
        <f t="array" ref="G215">IFERROR(INDEX('HIV-Equipment'!$E$14:$E$58,MATCH($E215&amp;$F215,'HIV-Equipment'!$C$14:$C$58&amp;'HIV-Equipment'!$D$14:$D$58,0)),"")</f>
        <v/>
      </c>
      <c r="H215" s="650" t="str">
        <f t="array" ref="H215">IFERROR(INDEX('HIV-Equipment'!$F$14:$F$58,MATCH($E215&amp;$F215,'HIV-Equipment'!$C$14:$C$58&amp;'HIV-Equipment'!$D$14:$D$58,0)),"")</f>
        <v/>
      </c>
      <c r="I215" s="651">
        <f t="array" ref="I215">IFERROR(INDEX('HIV-Equipment'!$G$14:$G$58,MATCH($E215&amp;$F215,'HIV-Equipment'!$C$14:$C$58&amp;'HIV-Equipment'!$D$14:$D$58,0)),0)</f>
        <v>0</v>
      </c>
      <c r="J215" s="651">
        <f t="array" ref="J215">IFERROR(INDEX('HIV-Equipment'!$H$14:$H$58,MATCH($E215&amp;$F215,'HIV-Equipment'!$C$14:$C$58&amp;'HIV-Equipment'!$D$14:$D$58,0)),0)</f>
        <v>0</v>
      </c>
      <c r="K215" s="652">
        <f>IF(ISERROR($I215*J215),0,$I215*J215)</f>
        <v>0</v>
      </c>
      <c r="L215" s="652">
        <f>IF(C215="Upfront",J215,0)</f>
        <v>0</v>
      </c>
      <c r="M215" s="652">
        <f>IF(C215="Upfront",K215,0)</f>
        <v>0</v>
      </c>
      <c r="N215" s="651">
        <f t="array" ref="N215">IFERROR(INDEX('HIV-Equipment'!$I$14:$I$58,MATCH($E215&amp;$F215,'HIV-Equipment'!$C$14:$C$58&amp;'HIV-Equipment'!$D$14:$D$58,0)),0)</f>
        <v>0</v>
      </c>
      <c r="O215" s="652">
        <f>IF(ISERROR($I215*N215),0,$I215*N215)</f>
        <v>0</v>
      </c>
      <c r="P215" s="652">
        <f>IF(C215="Upfront",N215,0)</f>
        <v>0</v>
      </c>
      <c r="Q215" s="652">
        <f>IF(C215="Upfront",O215,0)</f>
        <v>0</v>
      </c>
      <c r="R215" s="651">
        <f t="array" ref="R215">IFERROR(INDEX('HIV-Equipment'!$J$14:$J$58,MATCH($E215&amp;$F215,'HIV-Equipment'!$C$14:$C$58&amp;'HIV-Equipment'!$D$14:$D$58,0)),0)</f>
        <v>0</v>
      </c>
      <c r="S215" s="652">
        <f>IF(ISERROR($I215*R215),0,$I215*R215)</f>
        <v>0</v>
      </c>
      <c r="T215" s="652">
        <f>IF(C215="Upfront",R215,IF(C215="At delivery",J215,0))</f>
        <v>0</v>
      </c>
      <c r="U215" s="652">
        <f>IF(C215="Upfront",S215,IF(C215="At delivery",K215,0))</f>
        <v>0</v>
      </c>
      <c r="V215" s="651">
        <f t="array" ref="V215">IFERROR(INDEX('HIV-Equipment'!$K$14:$K$58,MATCH($E215&amp;$F215,'HIV-Equipment'!$C$14:$C$58&amp;'HIV-Equipment'!$D$14:$D$58,0)),0)</f>
        <v>0</v>
      </c>
      <c r="W215" s="652">
        <f>IF(ISERROR($I215*V215),0,$I215*V215)</f>
        <v>0</v>
      </c>
      <c r="X215" s="652">
        <f>IF(C215="Upfront",V215,IF(C215="At delivery",N215,0))</f>
        <v>0</v>
      </c>
      <c r="Y215" s="652">
        <f>IF(C215="Upfront",W215,IF(C215="At delivery",O215,0))</f>
        <v>0</v>
      </c>
      <c r="Z215" s="661"/>
      <c r="AA215" s="651">
        <f t="array" ref="AA215">IFERROR(INDEX('HIV-Equipment'!$N$14:$N$58,MATCH($E215&amp;$F215,'HIV-Equipment'!$C$14:$C$58&amp;'HIV-Equipment'!$D$14:$D$58,0)),0)</f>
        <v>0</v>
      </c>
      <c r="AB215" s="651">
        <f t="array" ref="AB215">IFERROR(INDEX('HIV-Equipment'!$O$14:$O$58,MATCH($E215&amp;$F215,'HIV-Equipment'!$C$14:$C$58&amp;'HIV-Equipment'!$D$14:$D$58,0)),0)</f>
        <v>0</v>
      </c>
      <c r="AC215" s="651">
        <f>IF(ISERROR($AA215*AB215),0,$AA215*AB215)</f>
        <v>0</v>
      </c>
      <c r="AD215" s="652">
        <f>IF(C215="Upfront",AB215,IF(C215="At delivery",R215,0))</f>
        <v>0</v>
      </c>
      <c r="AE215" s="652">
        <f>IF(C215="Upfront",AC215,IF(C215="At delivery",S215,0))</f>
        <v>0</v>
      </c>
      <c r="AF215" s="651">
        <f t="array" ref="AF215">IFERROR(INDEX('HIV-Equipment'!$P$14:$P$58,MATCH($E215&amp;$F215,'HIV-Equipment'!$C$14:$C$58&amp;'HIV-Equipment'!$D$14:$D$58,0)),0)</f>
        <v>0</v>
      </c>
      <c r="AG215" s="651">
        <f>IF(ISERROR($AA215*AF215),0,$AA215*AF215)</f>
        <v>0</v>
      </c>
      <c r="AH215" s="652">
        <f>IF(C215="Upfront",AF215,IF(C215="At delivery",V215,0))</f>
        <v>0</v>
      </c>
      <c r="AI215" s="652">
        <f>IF(C215="Upfront",AG215,IF(C215="At delivery",W215,0))</f>
        <v>0</v>
      </c>
      <c r="AJ215" s="651">
        <f t="array" ref="AJ215">IFERROR(INDEX('HIV-Equipment'!$Q$14:$Q$58,MATCH($E215&amp;$F215,'HIV-Equipment'!$C$14:$C$58&amp;'HIV-Equipment'!$D$14:$D$58,0)),0)</f>
        <v>0</v>
      </c>
      <c r="AK215" s="651">
        <f>IF(ISERROR($AA215*AJ215),0,$AA215*AJ215)</f>
        <v>0</v>
      </c>
      <c r="AL215" s="652">
        <f>IF(C215="Upfront",AJ215,IF(C215="At delivery",AB215,0))</f>
        <v>0</v>
      </c>
      <c r="AM215" s="652">
        <f>IF(C215="Upfront",AK215,IF(C215="At delivery",AC215,0))</f>
        <v>0</v>
      </c>
      <c r="AN215" s="651">
        <f t="array" ref="AN215">IFERROR(INDEX('HIV-Equipment'!$R$14:$R$58,MATCH($E215&amp;$F215,'HIV-Equipment'!$C$14:$C$58&amp;'HIV-Equipment'!$D$14:$D$58,0)),0)</f>
        <v>0</v>
      </c>
      <c r="AO215" s="651">
        <f>IF(ISERROR($AA215*AN215),0,$AA215*AN215)</f>
        <v>0</v>
      </c>
      <c r="AP215" s="652">
        <f>IF(C215="Upfront",AN215,IF(C215="At delivery",AF215,0))</f>
        <v>0</v>
      </c>
      <c r="AQ215" s="652">
        <f>IF(C215="Upfront",AO215,IF(C215="At delivery",AG215,0))</f>
        <v>0</v>
      </c>
      <c r="AR215" s="661"/>
      <c r="AS215" s="651">
        <f t="array" ref="AS215">IFERROR(INDEX('HIV-Equipment'!$U$14:$U$58,MATCH($E215&amp;$F215,'HIV-Equipment'!$C$14:$C$58&amp;'HIV-Equipment'!$D$14:$D$58,0)),0)</f>
        <v>0</v>
      </c>
      <c r="AT215" s="651">
        <f t="array" ref="AT215">IFERROR(INDEX('HIV-Equipment'!$V$14:$V$58,MATCH($E215&amp;$F215,'HIV-Equipment'!$C$14:$C$58&amp;'HIV-Equipment'!$D$14:$D$58,0)),0)</f>
        <v>0</v>
      </c>
      <c r="AU215" s="651">
        <f>IF(ISERROR($AS215*AT215),0,$AS215*AT215)</f>
        <v>0</v>
      </c>
      <c r="AV215" s="652">
        <f>IF(C215="Upfront",AT215,IF(C215="At delivery",AJ215,0))</f>
        <v>0</v>
      </c>
      <c r="AW215" s="652">
        <f>IF(C215="Upfront",AU215,IF(C215="At delivery",AK215,0))</f>
        <v>0</v>
      </c>
      <c r="AX215" s="651">
        <f t="array" ref="AX215">IFERROR(INDEX('HIV-Equipment'!$W$14:$W$58,MATCH($E215&amp;$F215,'HIV-Equipment'!$C$14:$C$58&amp;'HIV-Equipment'!$D$14:$D$58,0)),0)</f>
        <v>0</v>
      </c>
      <c r="AY215" s="651">
        <f>IF(ISERROR($AS215*AX215),0,$AS215*AX215)</f>
        <v>0</v>
      </c>
      <c r="AZ215" s="652">
        <f>IF(C215="Upfront",AX215,IF(C215="At delivery",AN215,0))</f>
        <v>0</v>
      </c>
      <c r="BA215" s="652">
        <f>IF(C215="Upfront",AY215,IF(C215="At delivery",AO215,0))</f>
        <v>0</v>
      </c>
      <c r="BB215" s="651">
        <f t="array" ref="BB215">IFERROR(INDEX('HIV-Equipment'!$X$14:$X$58,MATCH($E215&amp;$F215,'HIV-Equipment'!$C$14:$C$58&amp;'HIV-Equipment'!$D$14:$D$58,0)),0)</f>
        <v>0</v>
      </c>
      <c r="BC215" s="651">
        <f>IF(ISERROR($AS215*BB215),0,$AS215*BB215)</f>
        <v>0</v>
      </c>
      <c r="BD215" s="652">
        <f>IF(C215="Upfront",BB215,IF(C215="At delivery",AT215,0))</f>
        <v>0</v>
      </c>
      <c r="BE215" s="652">
        <f>IF(C215="Upfront",BC215,IF(C215="At delivery",AU215,0))</f>
        <v>0</v>
      </c>
      <c r="BF215" s="651">
        <f t="array" ref="BF215">IFERROR(INDEX('HIV-Equipment'!$Y$14:$Y$58,MATCH($E215&amp;$F215,'HIV-Equipment'!$C$14:$C$58&amp;'HIV-Equipment'!$D$14:$D$58,0)),0)</f>
        <v>0</v>
      </c>
      <c r="BG215" s="651">
        <f>IF(ISERROR($AS215*BF215),0,$AS215*BF215)</f>
        <v>0</v>
      </c>
      <c r="BH215" s="652">
        <f>IF(C215="Upfront",BF215,IF(C215="At delivery",AX215,0))</f>
        <v>0</v>
      </c>
      <c r="BI215" s="652">
        <f>IF(C215="Upfront",BG215,IF(C215="At delivery",AY215,0))</f>
        <v>0</v>
      </c>
      <c r="BJ215" s="662"/>
      <c r="BK215" s="654"/>
      <c r="BL215" s="654"/>
      <c r="BM215" s="654"/>
      <c r="BN215" s="654"/>
      <c r="BO215" s="654"/>
      <c r="BP215" s="654"/>
      <c r="BQ215" s="654"/>
      <c r="BR215" s="654"/>
    </row>
    <row r="216" spans="1:70" s="426" customFormat="1">
      <c r="A216" s="655" t="s">
        <v>1856</v>
      </c>
      <c r="B216" s="655" t="s">
        <v>2283</v>
      </c>
      <c r="C216" s="648">
        <f>SETUP!$F$23</f>
        <v>0</v>
      </c>
      <c r="D216" s="654">
        <v>6.4</v>
      </c>
      <c r="E216" s="655" t="s">
        <v>1456</v>
      </c>
      <c r="F216" s="655" t="s">
        <v>1458</v>
      </c>
      <c r="G216" s="650" t="str">
        <f t="array" ref="G216">IFERROR(INDEX('HIV-Equipment'!$E$14:$E$58,MATCH($E216&amp;$F216,'HIV-Equipment'!$C$14:$C$58&amp;'HIV-Equipment'!$D$14:$D$58,0)),"")</f>
        <v/>
      </c>
      <c r="H216" s="650" t="str">
        <f t="array" ref="H216">IFERROR(INDEX('HIV-Equipment'!$F$14:$F$58,MATCH($E216&amp;$F216,'HIV-Equipment'!$C$14:$C$58&amp;'HIV-Equipment'!$D$14:$D$58,0)),"")</f>
        <v/>
      </c>
      <c r="I216" s="651">
        <f t="array" ref="I216">IFERROR(INDEX('HIV-Equipment'!$G$14:$G$58,MATCH($E216&amp;$F216,'HIV-Equipment'!$C$14:$C$58&amp;'HIV-Equipment'!$D$14:$D$58,0)),0)</f>
        <v>0</v>
      </c>
      <c r="J216" s="651">
        <f t="array" ref="J216">IFERROR(INDEX('HIV-Equipment'!$H$14:$H$58,MATCH($E216&amp;$F216,'HIV-Equipment'!$C$14:$C$58&amp;'HIV-Equipment'!$D$14:$D$58,0)),0)</f>
        <v>0</v>
      </c>
      <c r="K216" s="652">
        <f t="shared" ref="K216:K223" si="144">IF(ISERROR($I216*J216),0,$I216*J216)</f>
        <v>0</v>
      </c>
      <c r="L216" s="652">
        <f t="shared" ref="L216:L223" si="145">IF(C216="Upfront",J216,0)</f>
        <v>0</v>
      </c>
      <c r="M216" s="652">
        <f t="shared" ref="M216:M223" si="146">IF(C216="Upfront",K216,0)</f>
        <v>0</v>
      </c>
      <c r="N216" s="651">
        <f t="array" ref="N216">IFERROR(INDEX('HIV-Equipment'!$I$14:$I$58,MATCH($E216&amp;$F216,'HIV-Equipment'!$C$14:$C$58&amp;'HIV-Equipment'!$D$14:$D$58,0)),0)</f>
        <v>0</v>
      </c>
      <c r="O216" s="652">
        <f t="shared" ref="O216:O223" si="147">IF(ISERROR($I216*N216),0,$I216*N216)</f>
        <v>0</v>
      </c>
      <c r="P216" s="652">
        <f t="shared" ref="P216:P223" si="148">IF(C216="Upfront",N216,0)</f>
        <v>0</v>
      </c>
      <c r="Q216" s="652">
        <f t="shared" ref="Q216:Q223" si="149">IF(C216="Upfront",O216,0)</f>
        <v>0</v>
      </c>
      <c r="R216" s="651">
        <f t="array" ref="R216">IFERROR(INDEX('HIV-Equipment'!$J$14:$J$58,MATCH($E216&amp;$F216,'HIV-Equipment'!$C$14:$C$58&amp;'HIV-Equipment'!$D$14:$D$58,0)),0)</f>
        <v>0</v>
      </c>
      <c r="S216" s="652">
        <f t="shared" ref="S216:S223" si="150">IF(ISERROR($I216*R216),0,$I216*R216)</f>
        <v>0</v>
      </c>
      <c r="T216" s="652">
        <f t="shared" ref="T216:T223" si="151">IF(C216="Upfront",R216,IF(C216="At delivery",J216,0))</f>
        <v>0</v>
      </c>
      <c r="U216" s="652">
        <f t="shared" ref="U216:U223" si="152">IF(C216="Upfront",S216,IF(C216="At delivery",K216,0))</f>
        <v>0</v>
      </c>
      <c r="V216" s="651">
        <f t="array" ref="V216">IFERROR(INDEX('HIV-Equipment'!$K$14:$K$58,MATCH($E216&amp;$F216,'HIV-Equipment'!$C$14:$C$58&amp;'HIV-Equipment'!$D$14:$D$58,0)),0)</f>
        <v>0</v>
      </c>
      <c r="W216" s="652">
        <f t="shared" ref="W216:W223" si="153">IF(ISERROR($I216*V216),0,$I216*V216)</f>
        <v>0</v>
      </c>
      <c r="X216" s="652">
        <f t="shared" ref="X216:X223" si="154">IF(C216="Upfront",V216,IF(C216="At delivery",N216,0))</f>
        <v>0</v>
      </c>
      <c r="Y216" s="652">
        <f t="shared" ref="Y216:Y223" si="155">IF(C216="Upfront",W216,IF(C216="At delivery",O216,0))</f>
        <v>0</v>
      </c>
      <c r="Z216" s="661"/>
      <c r="AA216" s="651">
        <f t="array" ref="AA216">IFERROR(INDEX('HIV-Equipment'!$N$14:$N$58,MATCH($E216&amp;$F216,'HIV-Equipment'!$C$14:$C$58&amp;'HIV-Equipment'!$D$14:$D$58,0)),0)</f>
        <v>0</v>
      </c>
      <c r="AB216" s="651">
        <f t="array" ref="AB216">IFERROR(INDEX('HIV-Equipment'!$O$14:$O$58,MATCH($E216&amp;$F216,'HIV-Equipment'!$C$14:$C$58&amp;'HIV-Equipment'!$D$14:$D$58,0)),0)</f>
        <v>0</v>
      </c>
      <c r="AC216" s="651">
        <f t="shared" ref="AC216:AC223" si="156">IF(ISERROR($AA216*AB216),0,$AA216*AB216)</f>
        <v>0</v>
      </c>
      <c r="AD216" s="652">
        <f t="shared" ref="AD216:AD223" si="157">IF(C216="Upfront",AB216,IF(C216="At delivery",R216,0))</f>
        <v>0</v>
      </c>
      <c r="AE216" s="652">
        <f t="shared" ref="AE216:AE223" si="158">IF(C216="Upfront",AC216,IF(C216="At delivery",S216,0))</f>
        <v>0</v>
      </c>
      <c r="AF216" s="651">
        <f t="array" ref="AF216">IFERROR(INDEX('HIV-Equipment'!$P$14:$P$58,MATCH($E216&amp;$F216,'HIV-Equipment'!$C$14:$C$58&amp;'HIV-Equipment'!$D$14:$D$58,0)),0)</f>
        <v>0</v>
      </c>
      <c r="AG216" s="651">
        <f t="shared" ref="AG216:AG223" si="159">IF(ISERROR($AA216*AF216),0,$AA216*AF216)</f>
        <v>0</v>
      </c>
      <c r="AH216" s="652">
        <f t="shared" ref="AH216:AH223" si="160">IF(C216="Upfront",AF216,IF(C216="At delivery",V216,0))</f>
        <v>0</v>
      </c>
      <c r="AI216" s="652">
        <f t="shared" ref="AI216:AI223" si="161">IF(C216="Upfront",AG216,IF(C216="At delivery",W216,0))</f>
        <v>0</v>
      </c>
      <c r="AJ216" s="651">
        <f t="array" ref="AJ216">IFERROR(INDEX('HIV-Equipment'!$Q$14:$Q$58,MATCH($E216&amp;$F216,'HIV-Equipment'!$C$14:$C$58&amp;'HIV-Equipment'!$D$14:$D$58,0)),0)</f>
        <v>0</v>
      </c>
      <c r="AK216" s="651">
        <f t="shared" ref="AK216:AK223" si="162">IF(ISERROR($AA216*AJ216),0,$AA216*AJ216)</f>
        <v>0</v>
      </c>
      <c r="AL216" s="652">
        <f t="shared" ref="AL216:AL223" si="163">IF(C216="Upfront",AJ216,IF(C216="At delivery",AB216,0))</f>
        <v>0</v>
      </c>
      <c r="AM216" s="652">
        <f t="shared" ref="AM216:AM223" si="164">IF(C216="Upfront",AK216,IF(C216="At delivery",AC216,0))</f>
        <v>0</v>
      </c>
      <c r="AN216" s="651">
        <f t="array" ref="AN216">IFERROR(INDEX('HIV-Equipment'!$R$14:$R$58,MATCH($E216&amp;$F216,'HIV-Equipment'!$C$14:$C$58&amp;'HIV-Equipment'!$D$14:$D$58,0)),0)</f>
        <v>0</v>
      </c>
      <c r="AO216" s="651">
        <f t="shared" ref="AO216:AO223" si="165">IF(ISERROR($AA216*AN216),0,$AA216*AN216)</f>
        <v>0</v>
      </c>
      <c r="AP216" s="652">
        <f t="shared" ref="AP216:AP223" si="166">IF(C216="Upfront",AN216,IF(C216="At delivery",AF216,0))</f>
        <v>0</v>
      </c>
      <c r="AQ216" s="652">
        <f t="shared" ref="AQ216:AQ223" si="167">IF(C216="Upfront",AO216,IF(C216="At delivery",AG216,0))</f>
        <v>0</v>
      </c>
      <c r="AR216" s="661"/>
      <c r="AS216" s="651">
        <f t="array" ref="AS216">IFERROR(INDEX('HIV-Equipment'!$U$14:$U$58,MATCH($E216&amp;$F216,'HIV-Equipment'!$C$14:$C$58&amp;'HIV-Equipment'!$D$14:$D$58,0)),0)</f>
        <v>0</v>
      </c>
      <c r="AT216" s="651">
        <f t="array" ref="AT216">IFERROR(INDEX('HIV-Equipment'!$V$14:$V$58,MATCH($E216&amp;$F216,'HIV-Equipment'!$C$14:$C$58&amp;'HIV-Equipment'!$D$14:$D$58,0)),0)</f>
        <v>0</v>
      </c>
      <c r="AU216" s="651">
        <f t="shared" ref="AU216:AU223" si="168">IF(ISERROR($AS216*AT216),0,$AS216*AT216)</f>
        <v>0</v>
      </c>
      <c r="AV216" s="652">
        <f t="shared" ref="AV216:AV223" si="169">IF(C216="Upfront",AT216,IF(C216="At delivery",AJ216,0))</f>
        <v>0</v>
      </c>
      <c r="AW216" s="652">
        <f t="shared" ref="AW216:AW223" si="170">IF(C216="Upfront",AU216,IF(C216="At delivery",AK216,0))</f>
        <v>0</v>
      </c>
      <c r="AX216" s="651">
        <f t="array" ref="AX216">IFERROR(INDEX('HIV-Equipment'!$W$14:$W$58,MATCH($E216&amp;$F216,'HIV-Equipment'!$C$14:$C$58&amp;'HIV-Equipment'!$D$14:$D$58,0)),0)</f>
        <v>0</v>
      </c>
      <c r="AY216" s="651">
        <f t="shared" ref="AY216:AY223" si="171">IF(ISERROR($AS216*AX216),0,$AS216*AX216)</f>
        <v>0</v>
      </c>
      <c r="AZ216" s="652">
        <f t="shared" ref="AZ216:AZ223" si="172">IF(C216="Upfront",AX216,IF(C216="At delivery",AN216,0))</f>
        <v>0</v>
      </c>
      <c r="BA216" s="652">
        <f t="shared" ref="BA216:BA223" si="173">IF(C216="Upfront",AY216,IF(C216="At delivery",AO216,0))</f>
        <v>0</v>
      </c>
      <c r="BB216" s="651">
        <f t="array" ref="BB216">IFERROR(INDEX('HIV-Equipment'!$X$14:$X$58,MATCH($E216&amp;$F216,'HIV-Equipment'!$C$14:$C$58&amp;'HIV-Equipment'!$D$14:$D$58,0)),0)</f>
        <v>0</v>
      </c>
      <c r="BC216" s="651">
        <f t="shared" ref="BC216:BC223" si="174">IF(ISERROR($AS216*BB216),0,$AS216*BB216)</f>
        <v>0</v>
      </c>
      <c r="BD216" s="652">
        <f t="shared" ref="BD216:BD223" si="175">IF(C216="Upfront",BB216,IF(C216="At delivery",AT216,0))</f>
        <v>0</v>
      </c>
      <c r="BE216" s="652">
        <f t="shared" ref="BE216:BE223" si="176">IF(C216="Upfront",BC216,IF(C216="At delivery",AU216,0))</f>
        <v>0</v>
      </c>
      <c r="BF216" s="651">
        <f t="array" ref="BF216">IFERROR(INDEX('HIV-Equipment'!$Y$14:$Y$58,MATCH($E216&amp;$F216,'HIV-Equipment'!$C$14:$C$58&amp;'HIV-Equipment'!$D$14:$D$58,0)),0)</f>
        <v>0</v>
      </c>
      <c r="BG216" s="651">
        <f t="shared" ref="BG216:BG223" si="177">IF(ISERROR($AS216*BF216),0,$AS216*BF216)</f>
        <v>0</v>
      </c>
      <c r="BH216" s="652">
        <f t="shared" ref="BH216:BH223" si="178">IF(C216="Upfront",BF216,IF(C216="At delivery",AX216,0))</f>
        <v>0</v>
      </c>
      <c r="BI216" s="652">
        <f t="shared" ref="BI216:BI223" si="179">IF(C216="Upfront",BG216,IF(C216="At delivery",AY216,0))</f>
        <v>0</v>
      </c>
      <c r="BJ216" s="662"/>
      <c r="BK216" s="654"/>
      <c r="BL216" s="654"/>
      <c r="BM216" s="654"/>
      <c r="BN216" s="654"/>
      <c r="BO216" s="654"/>
      <c r="BP216" s="654"/>
      <c r="BQ216" s="654"/>
      <c r="BR216" s="654"/>
    </row>
    <row r="217" spans="1:70" s="426" customFormat="1">
      <c r="A217" s="655" t="s">
        <v>1856</v>
      </c>
      <c r="B217" s="655" t="s">
        <v>2283</v>
      </c>
      <c r="C217" s="648">
        <f>SETUP!$F$23</f>
        <v>0</v>
      </c>
      <c r="D217" s="654">
        <v>6.4</v>
      </c>
      <c r="E217" s="655" t="s">
        <v>1456</v>
      </c>
      <c r="F217" s="655" t="s">
        <v>1459</v>
      </c>
      <c r="G217" s="650" t="str">
        <f t="array" ref="G217">IFERROR(INDEX('HIV-Equipment'!$E$14:$E$58,MATCH($E217&amp;$F217,'HIV-Equipment'!$C$14:$C$58&amp;'HIV-Equipment'!$D$14:$D$58,0)),"")</f>
        <v/>
      </c>
      <c r="H217" s="650" t="str">
        <f t="array" ref="H217">IFERROR(INDEX('HIV-Equipment'!$F$14:$F$58,MATCH($E217&amp;$F217,'HIV-Equipment'!$C$14:$C$58&amp;'HIV-Equipment'!$D$14:$D$58,0)),"")</f>
        <v/>
      </c>
      <c r="I217" s="651">
        <f t="array" ref="I217">IFERROR(INDEX('HIV-Equipment'!$G$14:$G$58,MATCH($E217&amp;$F217,'HIV-Equipment'!$C$14:$C$58&amp;'HIV-Equipment'!$D$14:$D$58,0)),0)</f>
        <v>0</v>
      </c>
      <c r="J217" s="651">
        <f t="array" ref="J217">IFERROR(INDEX('HIV-Equipment'!$H$14:$H$58,MATCH($E217&amp;$F217,'HIV-Equipment'!$C$14:$C$58&amp;'HIV-Equipment'!$D$14:$D$58,0)),0)</f>
        <v>0</v>
      </c>
      <c r="K217" s="652">
        <f t="shared" si="144"/>
        <v>0</v>
      </c>
      <c r="L217" s="652">
        <f t="shared" si="145"/>
        <v>0</v>
      </c>
      <c r="M217" s="652">
        <f t="shared" si="146"/>
        <v>0</v>
      </c>
      <c r="N217" s="651">
        <f t="array" ref="N217">IFERROR(INDEX('HIV-Equipment'!$I$14:$I$58,MATCH($E217&amp;$F217,'HIV-Equipment'!$C$14:$C$58&amp;'HIV-Equipment'!$D$14:$D$58,0)),0)</f>
        <v>0</v>
      </c>
      <c r="O217" s="652">
        <f t="shared" si="147"/>
        <v>0</v>
      </c>
      <c r="P217" s="652">
        <f t="shared" si="148"/>
        <v>0</v>
      </c>
      <c r="Q217" s="652">
        <f t="shared" si="149"/>
        <v>0</v>
      </c>
      <c r="R217" s="651">
        <f t="array" ref="R217">IFERROR(INDEX('HIV-Equipment'!$J$14:$J$58,MATCH($E217&amp;$F217,'HIV-Equipment'!$C$14:$C$58&amp;'HIV-Equipment'!$D$14:$D$58,0)),0)</f>
        <v>0</v>
      </c>
      <c r="S217" s="652">
        <f t="shared" si="150"/>
        <v>0</v>
      </c>
      <c r="T217" s="652">
        <f t="shared" si="151"/>
        <v>0</v>
      </c>
      <c r="U217" s="652">
        <f t="shared" si="152"/>
        <v>0</v>
      </c>
      <c r="V217" s="651">
        <f t="array" ref="V217">IFERROR(INDEX('HIV-Equipment'!$K$14:$K$58,MATCH($E217&amp;$F217,'HIV-Equipment'!$C$14:$C$58&amp;'HIV-Equipment'!$D$14:$D$58,0)),0)</f>
        <v>0</v>
      </c>
      <c r="W217" s="652">
        <f t="shared" si="153"/>
        <v>0</v>
      </c>
      <c r="X217" s="652">
        <f t="shared" si="154"/>
        <v>0</v>
      </c>
      <c r="Y217" s="652">
        <f t="shared" si="155"/>
        <v>0</v>
      </c>
      <c r="Z217" s="661"/>
      <c r="AA217" s="651">
        <f t="array" ref="AA217">IFERROR(INDEX('HIV-Equipment'!$N$14:$N$58,MATCH($E217&amp;$F217,'HIV-Equipment'!$C$14:$C$58&amp;'HIV-Equipment'!$D$14:$D$58,0)),0)</f>
        <v>0</v>
      </c>
      <c r="AB217" s="651">
        <f t="array" ref="AB217">IFERROR(INDEX('HIV-Equipment'!$O$14:$O$58,MATCH($E217&amp;$F217,'HIV-Equipment'!$C$14:$C$58&amp;'HIV-Equipment'!$D$14:$D$58,0)),0)</f>
        <v>0</v>
      </c>
      <c r="AC217" s="651">
        <f t="shared" si="156"/>
        <v>0</v>
      </c>
      <c r="AD217" s="652">
        <f t="shared" si="157"/>
        <v>0</v>
      </c>
      <c r="AE217" s="652">
        <f t="shared" si="158"/>
        <v>0</v>
      </c>
      <c r="AF217" s="651">
        <f t="array" ref="AF217">IFERROR(INDEX('HIV-Equipment'!$P$14:$P$58,MATCH($E217&amp;$F217,'HIV-Equipment'!$C$14:$C$58&amp;'HIV-Equipment'!$D$14:$D$58,0)),0)</f>
        <v>0</v>
      </c>
      <c r="AG217" s="651">
        <f t="shared" si="159"/>
        <v>0</v>
      </c>
      <c r="AH217" s="652">
        <f t="shared" si="160"/>
        <v>0</v>
      </c>
      <c r="AI217" s="652">
        <f t="shared" si="161"/>
        <v>0</v>
      </c>
      <c r="AJ217" s="651">
        <f t="array" ref="AJ217">IFERROR(INDEX('HIV-Equipment'!$Q$14:$Q$58,MATCH($E217&amp;$F217,'HIV-Equipment'!$C$14:$C$58&amp;'HIV-Equipment'!$D$14:$D$58,0)),0)</f>
        <v>0</v>
      </c>
      <c r="AK217" s="651">
        <f t="shared" si="162"/>
        <v>0</v>
      </c>
      <c r="AL217" s="652">
        <f t="shared" si="163"/>
        <v>0</v>
      </c>
      <c r="AM217" s="652">
        <f t="shared" si="164"/>
        <v>0</v>
      </c>
      <c r="AN217" s="651">
        <f t="array" ref="AN217">IFERROR(INDEX('HIV-Equipment'!$R$14:$R$58,MATCH($E217&amp;$F217,'HIV-Equipment'!$C$14:$C$58&amp;'HIV-Equipment'!$D$14:$D$58,0)),0)</f>
        <v>0</v>
      </c>
      <c r="AO217" s="651">
        <f t="shared" si="165"/>
        <v>0</v>
      </c>
      <c r="AP217" s="652">
        <f t="shared" si="166"/>
        <v>0</v>
      </c>
      <c r="AQ217" s="652">
        <f t="shared" si="167"/>
        <v>0</v>
      </c>
      <c r="AR217" s="661"/>
      <c r="AS217" s="651">
        <f t="array" ref="AS217">IFERROR(INDEX('HIV-Equipment'!$U$14:$U$58,MATCH($E217&amp;$F217,'HIV-Equipment'!$C$14:$C$58&amp;'HIV-Equipment'!$D$14:$D$58,0)),0)</f>
        <v>0</v>
      </c>
      <c r="AT217" s="651">
        <f t="array" ref="AT217">IFERROR(INDEX('HIV-Equipment'!$V$14:$V$58,MATCH($E217&amp;$F217,'HIV-Equipment'!$C$14:$C$58&amp;'HIV-Equipment'!$D$14:$D$58,0)),0)</f>
        <v>0</v>
      </c>
      <c r="AU217" s="651">
        <f t="shared" si="168"/>
        <v>0</v>
      </c>
      <c r="AV217" s="652">
        <f t="shared" si="169"/>
        <v>0</v>
      </c>
      <c r="AW217" s="652">
        <f t="shared" si="170"/>
        <v>0</v>
      </c>
      <c r="AX217" s="651">
        <f t="array" ref="AX217">IFERROR(INDEX('HIV-Equipment'!$W$14:$W$58,MATCH($E217&amp;$F217,'HIV-Equipment'!$C$14:$C$58&amp;'HIV-Equipment'!$D$14:$D$58,0)),0)</f>
        <v>0</v>
      </c>
      <c r="AY217" s="651">
        <f t="shared" si="171"/>
        <v>0</v>
      </c>
      <c r="AZ217" s="652">
        <f t="shared" si="172"/>
        <v>0</v>
      </c>
      <c r="BA217" s="652">
        <f t="shared" si="173"/>
        <v>0</v>
      </c>
      <c r="BB217" s="651">
        <f t="array" ref="BB217">IFERROR(INDEX('HIV-Equipment'!$X$14:$X$58,MATCH($E217&amp;$F217,'HIV-Equipment'!$C$14:$C$58&amp;'HIV-Equipment'!$D$14:$D$58,0)),0)</f>
        <v>0</v>
      </c>
      <c r="BC217" s="651">
        <f t="shared" si="174"/>
        <v>0</v>
      </c>
      <c r="BD217" s="652">
        <f t="shared" si="175"/>
        <v>0</v>
      </c>
      <c r="BE217" s="652">
        <f t="shared" si="176"/>
        <v>0</v>
      </c>
      <c r="BF217" s="651">
        <f t="array" ref="BF217">IFERROR(INDEX('HIV-Equipment'!$Y$14:$Y$58,MATCH($E217&amp;$F217,'HIV-Equipment'!$C$14:$C$58&amp;'HIV-Equipment'!$D$14:$D$58,0)),0)</f>
        <v>0</v>
      </c>
      <c r="BG217" s="651">
        <f t="shared" si="177"/>
        <v>0</v>
      </c>
      <c r="BH217" s="652">
        <f t="shared" si="178"/>
        <v>0</v>
      </c>
      <c r="BI217" s="652">
        <f t="shared" si="179"/>
        <v>0</v>
      </c>
      <c r="BJ217" s="662"/>
      <c r="BK217" s="654"/>
      <c r="BL217" s="654"/>
      <c r="BM217" s="654"/>
      <c r="BN217" s="654"/>
      <c r="BO217" s="654"/>
      <c r="BP217" s="654"/>
      <c r="BQ217" s="654"/>
      <c r="BR217" s="654"/>
    </row>
    <row r="218" spans="1:70" s="426" customFormat="1">
      <c r="A218" s="655" t="s">
        <v>1856</v>
      </c>
      <c r="B218" s="655" t="s">
        <v>2283</v>
      </c>
      <c r="C218" s="648">
        <f>SETUP!$F$23</f>
        <v>0</v>
      </c>
      <c r="D218" s="654">
        <v>6.4</v>
      </c>
      <c r="E218" s="655" t="s">
        <v>1456</v>
      </c>
      <c r="F218" s="655" t="s">
        <v>1460</v>
      </c>
      <c r="G218" s="650" t="str">
        <f t="array" ref="G218">IFERROR(INDEX('HIV-Equipment'!$E$14:$E$58,MATCH($E218&amp;$F218,'HIV-Equipment'!$C$14:$C$58&amp;'HIV-Equipment'!$D$14:$D$58,0)),"")</f>
        <v/>
      </c>
      <c r="H218" s="650" t="str">
        <f t="array" ref="H218">IFERROR(INDEX('HIV-Equipment'!$F$14:$F$58,MATCH($E218&amp;$F218,'HIV-Equipment'!$C$14:$C$58&amp;'HIV-Equipment'!$D$14:$D$58,0)),"")</f>
        <v/>
      </c>
      <c r="I218" s="651">
        <f t="array" ref="I218">IFERROR(INDEX('HIV-Equipment'!$G$14:$G$58,MATCH($E218&amp;$F218,'HIV-Equipment'!$C$14:$C$58&amp;'HIV-Equipment'!$D$14:$D$58,0)),0)</f>
        <v>0</v>
      </c>
      <c r="J218" s="651">
        <f t="array" ref="J218">IFERROR(INDEX('HIV-Equipment'!$H$14:$H$58,MATCH($E218&amp;$F218,'HIV-Equipment'!$C$14:$C$58&amp;'HIV-Equipment'!$D$14:$D$58,0)),0)</f>
        <v>0</v>
      </c>
      <c r="K218" s="652">
        <f t="shared" si="144"/>
        <v>0</v>
      </c>
      <c r="L218" s="652">
        <f t="shared" si="145"/>
        <v>0</v>
      </c>
      <c r="M218" s="652">
        <f t="shared" si="146"/>
        <v>0</v>
      </c>
      <c r="N218" s="651">
        <f t="array" ref="N218">IFERROR(INDEX('HIV-Equipment'!$I$14:$I$58,MATCH($E218&amp;$F218,'HIV-Equipment'!$C$14:$C$58&amp;'HIV-Equipment'!$D$14:$D$58,0)),0)</f>
        <v>0</v>
      </c>
      <c r="O218" s="652">
        <f t="shared" si="147"/>
        <v>0</v>
      </c>
      <c r="P218" s="652">
        <f t="shared" si="148"/>
        <v>0</v>
      </c>
      <c r="Q218" s="652">
        <f t="shared" si="149"/>
        <v>0</v>
      </c>
      <c r="R218" s="651">
        <f t="array" ref="R218">IFERROR(INDEX('HIV-Equipment'!$J$14:$J$58,MATCH($E218&amp;$F218,'HIV-Equipment'!$C$14:$C$58&amp;'HIV-Equipment'!$D$14:$D$58,0)),0)</f>
        <v>0</v>
      </c>
      <c r="S218" s="652">
        <f t="shared" si="150"/>
        <v>0</v>
      </c>
      <c r="T218" s="652">
        <f t="shared" si="151"/>
        <v>0</v>
      </c>
      <c r="U218" s="652">
        <f t="shared" si="152"/>
        <v>0</v>
      </c>
      <c r="V218" s="651">
        <f t="array" ref="V218">IFERROR(INDEX('HIV-Equipment'!$K$14:$K$58,MATCH($E218&amp;$F218,'HIV-Equipment'!$C$14:$C$58&amp;'HIV-Equipment'!$D$14:$D$58,0)),0)</f>
        <v>0</v>
      </c>
      <c r="W218" s="652">
        <f t="shared" si="153"/>
        <v>0</v>
      </c>
      <c r="X218" s="652">
        <f t="shared" si="154"/>
        <v>0</v>
      </c>
      <c r="Y218" s="652">
        <f t="shared" si="155"/>
        <v>0</v>
      </c>
      <c r="Z218" s="661"/>
      <c r="AA218" s="651">
        <f t="array" ref="AA218">IFERROR(INDEX('HIV-Equipment'!$N$14:$N$58,MATCH($E218&amp;$F218,'HIV-Equipment'!$C$14:$C$58&amp;'HIV-Equipment'!$D$14:$D$58,0)),0)</f>
        <v>0</v>
      </c>
      <c r="AB218" s="651">
        <f t="array" ref="AB218">IFERROR(INDEX('HIV-Equipment'!$O$14:$O$58,MATCH($E218&amp;$F218,'HIV-Equipment'!$C$14:$C$58&amp;'HIV-Equipment'!$D$14:$D$58,0)),0)</f>
        <v>0</v>
      </c>
      <c r="AC218" s="651">
        <f t="shared" si="156"/>
        <v>0</v>
      </c>
      <c r="AD218" s="652">
        <f t="shared" si="157"/>
        <v>0</v>
      </c>
      <c r="AE218" s="652">
        <f t="shared" si="158"/>
        <v>0</v>
      </c>
      <c r="AF218" s="651">
        <f t="array" ref="AF218">IFERROR(INDEX('HIV-Equipment'!$P$14:$P$58,MATCH($E218&amp;$F218,'HIV-Equipment'!$C$14:$C$58&amp;'HIV-Equipment'!$D$14:$D$58,0)),0)</f>
        <v>0</v>
      </c>
      <c r="AG218" s="651">
        <f t="shared" si="159"/>
        <v>0</v>
      </c>
      <c r="AH218" s="652">
        <f t="shared" si="160"/>
        <v>0</v>
      </c>
      <c r="AI218" s="652">
        <f t="shared" si="161"/>
        <v>0</v>
      </c>
      <c r="AJ218" s="651">
        <f t="array" ref="AJ218">IFERROR(INDEX('HIV-Equipment'!$Q$14:$Q$58,MATCH($E218&amp;$F218,'HIV-Equipment'!$C$14:$C$58&amp;'HIV-Equipment'!$D$14:$D$58,0)),0)</f>
        <v>0</v>
      </c>
      <c r="AK218" s="651">
        <f t="shared" si="162"/>
        <v>0</v>
      </c>
      <c r="AL218" s="652">
        <f t="shared" si="163"/>
        <v>0</v>
      </c>
      <c r="AM218" s="652">
        <f t="shared" si="164"/>
        <v>0</v>
      </c>
      <c r="AN218" s="651">
        <f t="array" ref="AN218">IFERROR(INDEX('HIV-Equipment'!$R$14:$R$58,MATCH($E218&amp;$F218,'HIV-Equipment'!$C$14:$C$58&amp;'HIV-Equipment'!$D$14:$D$58,0)),0)</f>
        <v>0</v>
      </c>
      <c r="AO218" s="651">
        <f t="shared" si="165"/>
        <v>0</v>
      </c>
      <c r="AP218" s="652">
        <f t="shared" si="166"/>
        <v>0</v>
      </c>
      <c r="AQ218" s="652">
        <f t="shared" si="167"/>
        <v>0</v>
      </c>
      <c r="AR218" s="661"/>
      <c r="AS218" s="651">
        <f t="array" ref="AS218">IFERROR(INDEX('HIV-Equipment'!$U$14:$U$58,MATCH($E218&amp;$F218,'HIV-Equipment'!$C$14:$C$58&amp;'HIV-Equipment'!$D$14:$D$58,0)),0)</f>
        <v>0</v>
      </c>
      <c r="AT218" s="651">
        <f t="array" ref="AT218">IFERROR(INDEX('HIV-Equipment'!$V$14:$V$58,MATCH($E218&amp;$F218,'HIV-Equipment'!$C$14:$C$58&amp;'HIV-Equipment'!$D$14:$D$58,0)),0)</f>
        <v>0</v>
      </c>
      <c r="AU218" s="651">
        <f t="shared" si="168"/>
        <v>0</v>
      </c>
      <c r="AV218" s="652">
        <f t="shared" si="169"/>
        <v>0</v>
      </c>
      <c r="AW218" s="652">
        <f t="shared" si="170"/>
        <v>0</v>
      </c>
      <c r="AX218" s="651">
        <f t="array" ref="AX218">IFERROR(INDEX('HIV-Equipment'!$W$14:$W$58,MATCH($E218&amp;$F218,'HIV-Equipment'!$C$14:$C$58&amp;'HIV-Equipment'!$D$14:$D$58,0)),0)</f>
        <v>0</v>
      </c>
      <c r="AY218" s="651">
        <f t="shared" si="171"/>
        <v>0</v>
      </c>
      <c r="AZ218" s="652">
        <f t="shared" si="172"/>
        <v>0</v>
      </c>
      <c r="BA218" s="652">
        <f t="shared" si="173"/>
        <v>0</v>
      </c>
      <c r="BB218" s="651">
        <f t="array" ref="BB218">IFERROR(INDEX('HIV-Equipment'!$X$14:$X$58,MATCH($E218&amp;$F218,'HIV-Equipment'!$C$14:$C$58&amp;'HIV-Equipment'!$D$14:$D$58,0)),0)</f>
        <v>0</v>
      </c>
      <c r="BC218" s="651">
        <f t="shared" si="174"/>
        <v>0</v>
      </c>
      <c r="BD218" s="652">
        <f t="shared" si="175"/>
        <v>0</v>
      </c>
      <c r="BE218" s="652">
        <f t="shared" si="176"/>
        <v>0</v>
      </c>
      <c r="BF218" s="651">
        <f t="array" ref="BF218">IFERROR(INDEX('HIV-Equipment'!$Y$14:$Y$58,MATCH($E218&amp;$F218,'HIV-Equipment'!$C$14:$C$58&amp;'HIV-Equipment'!$D$14:$D$58,0)),0)</f>
        <v>0</v>
      </c>
      <c r="BG218" s="651">
        <f t="shared" si="177"/>
        <v>0</v>
      </c>
      <c r="BH218" s="652">
        <f t="shared" si="178"/>
        <v>0</v>
      </c>
      <c r="BI218" s="652">
        <f t="shared" si="179"/>
        <v>0</v>
      </c>
      <c r="BJ218" s="662"/>
      <c r="BK218" s="654"/>
      <c r="BL218" s="654"/>
      <c r="BM218" s="654"/>
      <c r="BN218" s="654"/>
      <c r="BO218" s="654"/>
      <c r="BP218" s="654"/>
      <c r="BQ218" s="654"/>
      <c r="BR218" s="654"/>
    </row>
    <row r="219" spans="1:70" s="426" customFormat="1">
      <c r="A219" s="655" t="s">
        <v>1856</v>
      </c>
      <c r="B219" s="655" t="s">
        <v>2283</v>
      </c>
      <c r="C219" s="648">
        <f>SETUP!$F$23</f>
        <v>0</v>
      </c>
      <c r="D219" s="654">
        <v>6.4</v>
      </c>
      <c r="E219" s="655" t="s">
        <v>1456</v>
      </c>
      <c r="F219" s="655" t="s">
        <v>1461</v>
      </c>
      <c r="G219" s="650" t="str">
        <f t="array" ref="G219">IFERROR(INDEX('HIV-Equipment'!$E$14:$E$58,MATCH($E219&amp;$F219,'HIV-Equipment'!$C$14:$C$58&amp;'HIV-Equipment'!$D$14:$D$58,0)),"")</f>
        <v/>
      </c>
      <c r="H219" s="650" t="str">
        <f t="array" ref="H219">IFERROR(INDEX('HIV-Equipment'!$F$14:$F$58,MATCH($E219&amp;$F219,'HIV-Equipment'!$C$14:$C$58&amp;'HIV-Equipment'!$D$14:$D$58,0)),"")</f>
        <v/>
      </c>
      <c r="I219" s="651">
        <f t="array" ref="I219">IFERROR(INDEX('HIV-Equipment'!$G$14:$G$58,MATCH($E219&amp;$F219,'HIV-Equipment'!$C$14:$C$58&amp;'HIV-Equipment'!$D$14:$D$58,0)),0)</f>
        <v>0</v>
      </c>
      <c r="J219" s="651">
        <f t="array" ref="J219">IFERROR(INDEX('HIV-Equipment'!$H$14:$H$58,MATCH($E219&amp;$F219,'HIV-Equipment'!$C$14:$C$58&amp;'HIV-Equipment'!$D$14:$D$58,0)),0)</f>
        <v>0</v>
      </c>
      <c r="K219" s="652">
        <f t="shared" si="144"/>
        <v>0</v>
      </c>
      <c r="L219" s="652">
        <f t="shared" si="145"/>
        <v>0</v>
      </c>
      <c r="M219" s="652">
        <f t="shared" si="146"/>
        <v>0</v>
      </c>
      <c r="N219" s="651">
        <f t="array" ref="N219">IFERROR(INDEX('HIV-Equipment'!$I$14:$I$58,MATCH($E219&amp;$F219,'HIV-Equipment'!$C$14:$C$58&amp;'HIV-Equipment'!$D$14:$D$58,0)),0)</f>
        <v>0</v>
      </c>
      <c r="O219" s="652">
        <f t="shared" si="147"/>
        <v>0</v>
      </c>
      <c r="P219" s="652">
        <f t="shared" si="148"/>
        <v>0</v>
      </c>
      <c r="Q219" s="652">
        <f t="shared" si="149"/>
        <v>0</v>
      </c>
      <c r="R219" s="651">
        <f t="array" ref="R219">IFERROR(INDEX('HIV-Equipment'!$J$14:$J$58,MATCH($E219&amp;$F219,'HIV-Equipment'!$C$14:$C$58&amp;'HIV-Equipment'!$D$14:$D$58,0)),0)</f>
        <v>0</v>
      </c>
      <c r="S219" s="652">
        <f t="shared" si="150"/>
        <v>0</v>
      </c>
      <c r="T219" s="652">
        <f t="shared" si="151"/>
        <v>0</v>
      </c>
      <c r="U219" s="652">
        <f t="shared" si="152"/>
        <v>0</v>
      </c>
      <c r="V219" s="651">
        <f t="array" ref="V219">IFERROR(INDEX('HIV-Equipment'!$K$14:$K$58,MATCH($E219&amp;$F219,'HIV-Equipment'!$C$14:$C$58&amp;'HIV-Equipment'!$D$14:$D$58,0)),0)</f>
        <v>0</v>
      </c>
      <c r="W219" s="652">
        <f t="shared" si="153"/>
        <v>0</v>
      </c>
      <c r="X219" s="652">
        <f t="shared" si="154"/>
        <v>0</v>
      </c>
      <c r="Y219" s="652">
        <f t="shared" si="155"/>
        <v>0</v>
      </c>
      <c r="Z219" s="661"/>
      <c r="AA219" s="651">
        <f t="array" ref="AA219">IFERROR(INDEX('HIV-Equipment'!$N$14:$N$58,MATCH($E219&amp;$F219,'HIV-Equipment'!$C$14:$C$58&amp;'HIV-Equipment'!$D$14:$D$58,0)),0)</f>
        <v>0</v>
      </c>
      <c r="AB219" s="651">
        <f t="array" ref="AB219">IFERROR(INDEX('HIV-Equipment'!$O$14:$O$58,MATCH($E219&amp;$F219,'HIV-Equipment'!$C$14:$C$58&amp;'HIV-Equipment'!$D$14:$D$58,0)),0)</f>
        <v>0</v>
      </c>
      <c r="AC219" s="651">
        <f t="shared" si="156"/>
        <v>0</v>
      </c>
      <c r="AD219" s="652">
        <f t="shared" si="157"/>
        <v>0</v>
      </c>
      <c r="AE219" s="652">
        <f t="shared" si="158"/>
        <v>0</v>
      </c>
      <c r="AF219" s="651">
        <f t="array" ref="AF219">IFERROR(INDEX('HIV-Equipment'!$P$14:$P$58,MATCH($E219&amp;$F219,'HIV-Equipment'!$C$14:$C$58&amp;'HIV-Equipment'!$D$14:$D$58,0)),0)</f>
        <v>0</v>
      </c>
      <c r="AG219" s="651">
        <f t="shared" si="159"/>
        <v>0</v>
      </c>
      <c r="AH219" s="652">
        <f t="shared" si="160"/>
        <v>0</v>
      </c>
      <c r="AI219" s="652">
        <f t="shared" si="161"/>
        <v>0</v>
      </c>
      <c r="AJ219" s="651">
        <f t="array" ref="AJ219">IFERROR(INDEX('HIV-Equipment'!$Q$14:$Q$58,MATCH($E219&amp;$F219,'HIV-Equipment'!$C$14:$C$58&amp;'HIV-Equipment'!$D$14:$D$58,0)),0)</f>
        <v>0</v>
      </c>
      <c r="AK219" s="651">
        <f t="shared" si="162"/>
        <v>0</v>
      </c>
      <c r="AL219" s="652">
        <f t="shared" si="163"/>
        <v>0</v>
      </c>
      <c r="AM219" s="652">
        <f t="shared" si="164"/>
        <v>0</v>
      </c>
      <c r="AN219" s="651">
        <f t="array" ref="AN219">IFERROR(INDEX('HIV-Equipment'!$R$14:$R$58,MATCH($E219&amp;$F219,'HIV-Equipment'!$C$14:$C$58&amp;'HIV-Equipment'!$D$14:$D$58,0)),0)</f>
        <v>0</v>
      </c>
      <c r="AO219" s="651">
        <f t="shared" si="165"/>
        <v>0</v>
      </c>
      <c r="AP219" s="652">
        <f t="shared" si="166"/>
        <v>0</v>
      </c>
      <c r="AQ219" s="652">
        <f t="shared" si="167"/>
        <v>0</v>
      </c>
      <c r="AR219" s="661"/>
      <c r="AS219" s="651">
        <f t="array" ref="AS219">IFERROR(INDEX('HIV-Equipment'!$U$14:$U$58,MATCH($E219&amp;$F219,'HIV-Equipment'!$C$14:$C$58&amp;'HIV-Equipment'!$D$14:$D$58,0)),0)</f>
        <v>0</v>
      </c>
      <c r="AT219" s="651">
        <f t="array" ref="AT219">IFERROR(INDEX('HIV-Equipment'!$V$14:$V$58,MATCH($E219&amp;$F219,'HIV-Equipment'!$C$14:$C$58&amp;'HIV-Equipment'!$D$14:$D$58,0)),0)</f>
        <v>0</v>
      </c>
      <c r="AU219" s="651">
        <f t="shared" si="168"/>
        <v>0</v>
      </c>
      <c r="AV219" s="652">
        <f t="shared" si="169"/>
        <v>0</v>
      </c>
      <c r="AW219" s="652">
        <f t="shared" si="170"/>
        <v>0</v>
      </c>
      <c r="AX219" s="651">
        <f t="array" ref="AX219">IFERROR(INDEX('HIV-Equipment'!$W$14:$W$58,MATCH($E219&amp;$F219,'HIV-Equipment'!$C$14:$C$58&amp;'HIV-Equipment'!$D$14:$D$58,0)),0)</f>
        <v>0</v>
      </c>
      <c r="AY219" s="651">
        <f t="shared" si="171"/>
        <v>0</v>
      </c>
      <c r="AZ219" s="652">
        <f t="shared" si="172"/>
        <v>0</v>
      </c>
      <c r="BA219" s="652">
        <f t="shared" si="173"/>
        <v>0</v>
      </c>
      <c r="BB219" s="651">
        <f t="array" ref="BB219">IFERROR(INDEX('HIV-Equipment'!$X$14:$X$58,MATCH($E219&amp;$F219,'HIV-Equipment'!$C$14:$C$58&amp;'HIV-Equipment'!$D$14:$D$58,0)),0)</f>
        <v>0</v>
      </c>
      <c r="BC219" s="651">
        <f t="shared" si="174"/>
        <v>0</v>
      </c>
      <c r="BD219" s="652">
        <f t="shared" si="175"/>
        <v>0</v>
      </c>
      <c r="BE219" s="652">
        <f t="shared" si="176"/>
        <v>0</v>
      </c>
      <c r="BF219" s="651">
        <f t="array" ref="BF219">IFERROR(INDEX('HIV-Equipment'!$Y$14:$Y$58,MATCH($E219&amp;$F219,'HIV-Equipment'!$C$14:$C$58&amp;'HIV-Equipment'!$D$14:$D$58,0)),0)</f>
        <v>0</v>
      </c>
      <c r="BG219" s="651">
        <f t="shared" si="177"/>
        <v>0</v>
      </c>
      <c r="BH219" s="652">
        <f t="shared" si="178"/>
        <v>0</v>
      </c>
      <c r="BI219" s="652">
        <f t="shared" si="179"/>
        <v>0</v>
      </c>
      <c r="BJ219" s="662"/>
      <c r="BK219" s="654"/>
      <c r="BL219" s="654"/>
      <c r="BM219" s="654"/>
      <c r="BN219" s="654"/>
      <c r="BO219" s="654"/>
      <c r="BP219" s="654"/>
      <c r="BQ219" s="654"/>
      <c r="BR219" s="654"/>
    </row>
    <row r="220" spans="1:70" s="426" customFormat="1">
      <c r="A220" s="655" t="s">
        <v>1856</v>
      </c>
      <c r="B220" s="655" t="s">
        <v>2283</v>
      </c>
      <c r="C220" s="648">
        <f>SETUP!$F$23</f>
        <v>0</v>
      </c>
      <c r="D220" s="654">
        <v>6.4</v>
      </c>
      <c r="E220" s="655" t="s">
        <v>1456</v>
      </c>
      <c r="F220" s="655" t="s">
        <v>326</v>
      </c>
      <c r="G220" s="650"/>
      <c r="H220" s="650"/>
      <c r="I220" s="651"/>
      <c r="J220" s="651"/>
      <c r="K220" s="652"/>
      <c r="L220" s="652"/>
      <c r="M220" s="652"/>
      <c r="N220" s="651"/>
      <c r="O220" s="652"/>
      <c r="P220" s="652"/>
      <c r="Q220" s="652"/>
      <c r="R220" s="651"/>
      <c r="S220" s="652"/>
      <c r="T220" s="652"/>
      <c r="U220" s="652"/>
      <c r="V220" s="651"/>
      <c r="W220" s="652"/>
      <c r="X220" s="652"/>
      <c r="Y220" s="652"/>
      <c r="Z220" s="661"/>
      <c r="AA220" s="651"/>
      <c r="AB220" s="651"/>
      <c r="AC220" s="651"/>
      <c r="AD220" s="652"/>
      <c r="AE220" s="652"/>
      <c r="AF220" s="651"/>
      <c r="AG220" s="651"/>
      <c r="AH220" s="652"/>
      <c r="AI220" s="652"/>
      <c r="AJ220" s="651"/>
      <c r="AK220" s="651"/>
      <c r="AL220" s="652"/>
      <c r="AM220" s="652"/>
      <c r="AN220" s="651"/>
      <c r="AO220" s="651"/>
      <c r="AP220" s="652"/>
      <c r="AQ220" s="652"/>
      <c r="AR220" s="661"/>
      <c r="AS220" s="651"/>
      <c r="AT220" s="651"/>
      <c r="AU220" s="651"/>
      <c r="AV220" s="652"/>
      <c r="AW220" s="652"/>
      <c r="AX220" s="651"/>
      <c r="AY220" s="651"/>
      <c r="AZ220" s="652"/>
      <c r="BA220" s="652"/>
      <c r="BB220" s="651"/>
      <c r="BC220" s="651"/>
      <c r="BD220" s="652"/>
      <c r="BE220" s="652"/>
      <c r="BF220" s="651"/>
      <c r="BG220" s="651"/>
      <c r="BH220" s="652"/>
      <c r="BI220" s="652"/>
      <c r="BJ220" s="662"/>
      <c r="BK220" s="654"/>
      <c r="BL220" s="654"/>
      <c r="BM220" s="654"/>
      <c r="BN220" s="654"/>
      <c r="BO220" s="654"/>
      <c r="BP220" s="654"/>
      <c r="BQ220" s="654"/>
      <c r="BR220" s="654"/>
    </row>
    <row r="221" spans="1:70" s="426" customFormat="1">
      <c r="A221" s="655" t="s">
        <v>1856</v>
      </c>
      <c r="B221" s="655" t="s">
        <v>2283</v>
      </c>
      <c r="C221" s="648">
        <f>SETUP!$F$23</f>
        <v>0</v>
      </c>
      <c r="D221" s="654">
        <v>6.5</v>
      </c>
      <c r="E221" s="655" t="s">
        <v>1462</v>
      </c>
      <c r="F221" s="655" t="s">
        <v>218</v>
      </c>
      <c r="G221" s="650" t="str">
        <f t="array" ref="G221">IFERROR(INDEX('HIV-Equipment'!$E$14:$E$58,MATCH($E221&amp;$F221,'HIV-Equipment'!$C$14:$C$58&amp;'HIV-Equipment'!$D$14:$D$58,0)),"")</f>
        <v/>
      </c>
      <c r="H221" s="650" t="str">
        <f t="array" ref="H221">IFERROR(INDEX('HIV-Equipment'!$F$14:$F$58,MATCH($E221&amp;$F221,'HIV-Equipment'!$C$14:$C$58&amp;'HIV-Equipment'!$D$14:$D$58,0)),"")</f>
        <v/>
      </c>
      <c r="I221" s="651">
        <f t="array" ref="I221">IFERROR(INDEX('HIV-Equipment'!$G$14:$G$58,MATCH($E221&amp;$F221,'HIV-Equipment'!$C$14:$C$58&amp;'HIV-Equipment'!$D$14:$D$58,0)),0)</f>
        <v>0</v>
      </c>
      <c r="J221" s="651">
        <f t="array" ref="J221">IFERROR(INDEX('HIV-Equipment'!$H$14:$H$58,MATCH($E221&amp;$F221,'HIV-Equipment'!$C$14:$C$58&amp;'HIV-Equipment'!$D$14:$D$58,0)),0)</f>
        <v>0</v>
      </c>
      <c r="K221" s="652">
        <f t="shared" si="144"/>
        <v>0</v>
      </c>
      <c r="L221" s="652">
        <f t="shared" si="145"/>
        <v>0</v>
      </c>
      <c r="M221" s="652">
        <f t="shared" si="146"/>
        <v>0</v>
      </c>
      <c r="N221" s="651">
        <f t="array" ref="N221">IFERROR(INDEX('HIV-Equipment'!$I$14:$I$58,MATCH($E221&amp;$F221,'HIV-Equipment'!$C$14:$C$58&amp;'HIV-Equipment'!$D$14:$D$58,0)),0)</f>
        <v>0</v>
      </c>
      <c r="O221" s="652">
        <f t="shared" si="147"/>
        <v>0</v>
      </c>
      <c r="P221" s="652">
        <f t="shared" si="148"/>
        <v>0</v>
      </c>
      <c r="Q221" s="652">
        <f t="shared" si="149"/>
        <v>0</v>
      </c>
      <c r="R221" s="651">
        <f t="array" ref="R221">IFERROR(INDEX('HIV-Equipment'!$J$14:$J$58,MATCH($E221&amp;$F221,'HIV-Equipment'!$C$14:$C$58&amp;'HIV-Equipment'!$D$14:$D$58,0)),0)</f>
        <v>0</v>
      </c>
      <c r="S221" s="652">
        <f t="shared" si="150"/>
        <v>0</v>
      </c>
      <c r="T221" s="652">
        <f t="shared" si="151"/>
        <v>0</v>
      </c>
      <c r="U221" s="652">
        <f t="shared" si="152"/>
        <v>0</v>
      </c>
      <c r="V221" s="651">
        <f t="array" ref="V221">IFERROR(INDEX('HIV-Equipment'!$K$14:$K$58,MATCH($E221&amp;$F221,'HIV-Equipment'!$C$14:$C$58&amp;'HIV-Equipment'!$D$14:$D$58,0)),0)</f>
        <v>0</v>
      </c>
      <c r="W221" s="652">
        <f t="shared" si="153"/>
        <v>0</v>
      </c>
      <c r="X221" s="652">
        <f t="shared" si="154"/>
        <v>0</v>
      </c>
      <c r="Y221" s="652">
        <f t="shared" si="155"/>
        <v>0</v>
      </c>
      <c r="Z221" s="661"/>
      <c r="AA221" s="651">
        <f t="array" ref="AA221">IFERROR(INDEX('HIV-Equipment'!$N$14:$N$58,MATCH($E221&amp;$F221,'HIV-Equipment'!$C$14:$C$58&amp;'HIV-Equipment'!$D$14:$D$58,0)),0)</f>
        <v>0</v>
      </c>
      <c r="AB221" s="651">
        <f t="array" ref="AB221">IFERROR(INDEX('HIV-Equipment'!$O$14:$O$58,MATCH($E221&amp;$F221,'HIV-Equipment'!$C$14:$C$58&amp;'HIV-Equipment'!$D$14:$D$58,0)),0)</f>
        <v>0</v>
      </c>
      <c r="AC221" s="651">
        <f t="shared" si="156"/>
        <v>0</v>
      </c>
      <c r="AD221" s="652">
        <f t="shared" si="157"/>
        <v>0</v>
      </c>
      <c r="AE221" s="652">
        <f t="shared" si="158"/>
        <v>0</v>
      </c>
      <c r="AF221" s="651">
        <f t="array" ref="AF221">IFERROR(INDEX('HIV-Equipment'!$P$14:$P$58,MATCH($E221&amp;$F221,'HIV-Equipment'!$C$14:$C$58&amp;'HIV-Equipment'!$D$14:$D$58,0)),0)</f>
        <v>0</v>
      </c>
      <c r="AG221" s="651">
        <f t="shared" si="159"/>
        <v>0</v>
      </c>
      <c r="AH221" s="652">
        <f t="shared" si="160"/>
        <v>0</v>
      </c>
      <c r="AI221" s="652">
        <f t="shared" si="161"/>
        <v>0</v>
      </c>
      <c r="AJ221" s="651">
        <f t="array" ref="AJ221">IFERROR(INDEX('HIV-Equipment'!$Q$14:$Q$58,MATCH($E221&amp;$F221,'HIV-Equipment'!$C$14:$C$58&amp;'HIV-Equipment'!$D$14:$D$58,0)),0)</f>
        <v>0</v>
      </c>
      <c r="AK221" s="651">
        <f t="shared" si="162"/>
        <v>0</v>
      </c>
      <c r="AL221" s="652">
        <f t="shared" si="163"/>
        <v>0</v>
      </c>
      <c r="AM221" s="652">
        <f t="shared" si="164"/>
        <v>0</v>
      </c>
      <c r="AN221" s="651">
        <f t="array" ref="AN221">IFERROR(INDEX('HIV-Equipment'!$R$14:$R$58,MATCH($E221&amp;$F221,'HIV-Equipment'!$C$14:$C$58&amp;'HIV-Equipment'!$D$14:$D$58,0)),0)</f>
        <v>0</v>
      </c>
      <c r="AO221" s="651">
        <f t="shared" si="165"/>
        <v>0</v>
      </c>
      <c r="AP221" s="652">
        <f t="shared" si="166"/>
        <v>0</v>
      </c>
      <c r="AQ221" s="652">
        <f t="shared" si="167"/>
        <v>0</v>
      </c>
      <c r="AR221" s="661"/>
      <c r="AS221" s="651">
        <f t="array" ref="AS221">IFERROR(INDEX('HIV-Equipment'!$U$14:$U$58,MATCH($E221&amp;$F221,'HIV-Equipment'!$C$14:$C$58&amp;'HIV-Equipment'!$D$14:$D$58,0)),0)</f>
        <v>0</v>
      </c>
      <c r="AT221" s="651">
        <f t="array" ref="AT221">IFERROR(INDEX('HIV-Equipment'!$V$14:$V$58,MATCH($E221&amp;$F221,'HIV-Equipment'!$C$14:$C$58&amp;'HIV-Equipment'!$D$14:$D$58,0)),0)</f>
        <v>0</v>
      </c>
      <c r="AU221" s="651">
        <f t="shared" si="168"/>
        <v>0</v>
      </c>
      <c r="AV221" s="652">
        <f t="shared" si="169"/>
        <v>0</v>
      </c>
      <c r="AW221" s="652">
        <f t="shared" si="170"/>
        <v>0</v>
      </c>
      <c r="AX221" s="651">
        <f t="array" ref="AX221">IFERROR(INDEX('HIV-Equipment'!$W$14:$W$58,MATCH($E221&amp;$F221,'HIV-Equipment'!$C$14:$C$58&amp;'HIV-Equipment'!$D$14:$D$58,0)),0)</f>
        <v>0</v>
      </c>
      <c r="AY221" s="651">
        <f t="shared" si="171"/>
        <v>0</v>
      </c>
      <c r="AZ221" s="652">
        <f t="shared" si="172"/>
        <v>0</v>
      </c>
      <c r="BA221" s="652">
        <f t="shared" si="173"/>
        <v>0</v>
      </c>
      <c r="BB221" s="651">
        <f t="array" ref="BB221">IFERROR(INDEX('HIV-Equipment'!$X$14:$X$58,MATCH($E221&amp;$F221,'HIV-Equipment'!$C$14:$C$58&amp;'HIV-Equipment'!$D$14:$D$58,0)),0)</f>
        <v>0</v>
      </c>
      <c r="BC221" s="651">
        <f t="shared" si="174"/>
        <v>0</v>
      </c>
      <c r="BD221" s="652">
        <f t="shared" si="175"/>
        <v>0</v>
      </c>
      <c r="BE221" s="652">
        <f t="shared" si="176"/>
        <v>0</v>
      </c>
      <c r="BF221" s="651">
        <f t="array" ref="BF221">IFERROR(INDEX('HIV-Equipment'!$Y$14:$Y$58,MATCH($E221&amp;$F221,'HIV-Equipment'!$C$14:$C$58&amp;'HIV-Equipment'!$D$14:$D$58,0)),0)</f>
        <v>0</v>
      </c>
      <c r="BG221" s="651">
        <f t="shared" si="177"/>
        <v>0</v>
      </c>
      <c r="BH221" s="652">
        <f t="shared" si="178"/>
        <v>0</v>
      </c>
      <c r="BI221" s="652">
        <f t="shared" si="179"/>
        <v>0</v>
      </c>
      <c r="BJ221" s="662"/>
      <c r="BK221" s="654"/>
      <c r="BL221" s="654"/>
      <c r="BM221" s="654"/>
      <c r="BN221" s="654"/>
      <c r="BO221" s="654"/>
      <c r="BP221" s="654"/>
      <c r="BQ221" s="654"/>
      <c r="BR221" s="654"/>
    </row>
    <row r="222" spans="1:70" s="426" customFormat="1">
      <c r="A222" s="655" t="s">
        <v>1856</v>
      </c>
      <c r="B222" s="655" t="s">
        <v>2283</v>
      </c>
      <c r="C222" s="648">
        <f>SETUP!$F$23</f>
        <v>0</v>
      </c>
      <c r="D222" s="654">
        <v>6.6</v>
      </c>
      <c r="E222" s="655" t="s">
        <v>1463</v>
      </c>
      <c r="F222" s="655" t="s">
        <v>201</v>
      </c>
      <c r="G222" s="650" t="str">
        <f t="array" ref="G222">IFERROR(INDEX('HIV-Equipment'!$E$14:$E$58,MATCH($E222&amp;$F222,'HIV-Equipment'!$C$14:$C$58&amp;'HIV-Equipment'!$D$14:$D$58,0)),"")</f>
        <v/>
      </c>
      <c r="H222" s="650" t="str">
        <f t="array" ref="H222">IFERROR(INDEX('HIV-Equipment'!$F$14:$F$58,MATCH($E222&amp;$F222,'HIV-Equipment'!$C$14:$C$58&amp;'HIV-Equipment'!$D$14:$D$58,0)),"")</f>
        <v/>
      </c>
      <c r="I222" s="651">
        <f t="array" ref="I222">IFERROR(INDEX('HIV-Equipment'!$G$14:$G$58,MATCH($E222&amp;$F222,'HIV-Equipment'!$C$14:$C$58&amp;'HIV-Equipment'!$D$14:$D$58,0)),0)</f>
        <v>0</v>
      </c>
      <c r="J222" s="651">
        <f t="array" ref="J222">IFERROR(INDEX('HIV-Equipment'!$H$14:$H$58,MATCH($E222&amp;$F222,'HIV-Equipment'!$C$14:$C$58&amp;'HIV-Equipment'!$D$14:$D$58,0)),0)</f>
        <v>0</v>
      </c>
      <c r="K222" s="652">
        <f t="shared" si="144"/>
        <v>0</v>
      </c>
      <c r="L222" s="652">
        <f t="shared" si="145"/>
        <v>0</v>
      </c>
      <c r="M222" s="652">
        <f t="shared" si="146"/>
        <v>0</v>
      </c>
      <c r="N222" s="651">
        <f t="array" ref="N222">IFERROR(INDEX('HIV-Equipment'!$I$14:$I$58,MATCH($E222&amp;$F222,'HIV-Equipment'!$C$14:$C$58&amp;'HIV-Equipment'!$D$14:$D$58,0)),0)</f>
        <v>0</v>
      </c>
      <c r="O222" s="652">
        <f t="shared" si="147"/>
        <v>0</v>
      </c>
      <c r="P222" s="652">
        <f t="shared" si="148"/>
        <v>0</v>
      </c>
      <c r="Q222" s="652">
        <f t="shared" si="149"/>
        <v>0</v>
      </c>
      <c r="R222" s="651">
        <f t="array" ref="R222">IFERROR(INDEX('HIV-Equipment'!$J$14:$J$58,MATCH($E222&amp;$F222,'HIV-Equipment'!$C$14:$C$58&amp;'HIV-Equipment'!$D$14:$D$58,0)),0)</f>
        <v>0</v>
      </c>
      <c r="S222" s="652">
        <f t="shared" si="150"/>
        <v>0</v>
      </c>
      <c r="T222" s="652">
        <f t="shared" si="151"/>
        <v>0</v>
      </c>
      <c r="U222" s="652">
        <f t="shared" si="152"/>
        <v>0</v>
      </c>
      <c r="V222" s="651">
        <f t="array" ref="V222">IFERROR(INDEX('HIV-Equipment'!$K$14:$K$58,MATCH($E222&amp;$F222,'HIV-Equipment'!$C$14:$C$58&amp;'HIV-Equipment'!$D$14:$D$58,0)),0)</f>
        <v>0</v>
      </c>
      <c r="W222" s="652">
        <f t="shared" si="153"/>
        <v>0</v>
      </c>
      <c r="X222" s="652">
        <f t="shared" si="154"/>
        <v>0</v>
      </c>
      <c r="Y222" s="652">
        <f t="shared" si="155"/>
        <v>0</v>
      </c>
      <c r="Z222" s="661"/>
      <c r="AA222" s="651">
        <f t="array" ref="AA222">IFERROR(INDEX('HIV-Equipment'!$N$14:$N$58,MATCH($E222&amp;$F222,'HIV-Equipment'!$C$14:$C$58&amp;'HIV-Equipment'!$D$14:$D$58,0)),0)</f>
        <v>0</v>
      </c>
      <c r="AB222" s="651">
        <f t="array" ref="AB222">IFERROR(INDEX('HIV-Equipment'!$O$14:$O$58,MATCH($E222&amp;$F222,'HIV-Equipment'!$C$14:$C$58&amp;'HIV-Equipment'!$D$14:$D$58,0)),0)</f>
        <v>0</v>
      </c>
      <c r="AC222" s="651">
        <f t="shared" si="156"/>
        <v>0</v>
      </c>
      <c r="AD222" s="652">
        <f t="shared" si="157"/>
        <v>0</v>
      </c>
      <c r="AE222" s="652">
        <f t="shared" si="158"/>
        <v>0</v>
      </c>
      <c r="AF222" s="651">
        <f t="array" ref="AF222">IFERROR(INDEX('HIV-Equipment'!$P$14:$P$58,MATCH($E222&amp;$F222,'HIV-Equipment'!$C$14:$C$58&amp;'HIV-Equipment'!$D$14:$D$58,0)),0)</f>
        <v>0</v>
      </c>
      <c r="AG222" s="651">
        <f t="shared" si="159"/>
        <v>0</v>
      </c>
      <c r="AH222" s="652">
        <f t="shared" si="160"/>
        <v>0</v>
      </c>
      <c r="AI222" s="652">
        <f t="shared" si="161"/>
        <v>0</v>
      </c>
      <c r="AJ222" s="651">
        <f t="array" ref="AJ222">IFERROR(INDEX('HIV-Equipment'!$Q$14:$Q$58,MATCH($E222&amp;$F222,'HIV-Equipment'!$C$14:$C$58&amp;'HIV-Equipment'!$D$14:$D$58,0)),0)</f>
        <v>0</v>
      </c>
      <c r="AK222" s="651">
        <f t="shared" si="162"/>
        <v>0</v>
      </c>
      <c r="AL222" s="652">
        <f t="shared" si="163"/>
        <v>0</v>
      </c>
      <c r="AM222" s="652">
        <f t="shared" si="164"/>
        <v>0</v>
      </c>
      <c r="AN222" s="651">
        <f t="array" ref="AN222">IFERROR(INDEX('HIV-Equipment'!$R$14:$R$58,MATCH($E222&amp;$F222,'HIV-Equipment'!$C$14:$C$58&amp;'HIV-Equipment'!$D$14:$D$58,0)),0)</f>
        <v>0</v>
      </c>
      <c r="AO222" s="651">
        <f t="shared" si="165"/>
        <v>0</v>
      </c>
      <c r="AP222" s="652">
        <f t="shared" si="166"/>
        <v>0</v>
      </c>
      <c r="AQ222" s="652">
        <f t="shared" si="167"/>
        <v>0</v>
      </c>
      <c r="AR222" s="661"/>
      <c r="AS222" s="651">
        <f t="array" ref="AS222">IFERROR(INDEX('HIV-Equipment'!$U$14:$U$58,MATCH($E222&amp;$F222,'HIV-Equipment'!$C$14:$C$58&amp;'HIV-Equipment'!$D$14:$D$58,0)),0)</f>
        <v>0</v>
      </c>
      <c r="AT222" s="651">
        <f t="array" ref="AT222">IFERROR(INDEX('HIV-Equipment'!$V$14:$V$58,MATCH($E222&amp;$F222,'HIV-Equipment'!$C$14:$C$58&amp;'HIV-Equipment'!$D$14:$D$58,0)),0)</f>
        <v>0</v>
      </c>
      <c r="AU222" s="651">
        <f t="shared" si="168"/>
        <v>0</v>
      </c>
      <c r="AV222" s="652">
        <f t="shared" si="169"/>
        <v>0</v>
      </c>
      <c r="AW222" s="652">
        <f t="shared" si="170"/>
        <v>0</v>
      </c>
      <c r="AX222" s="651">
        <f t="array" ref="AX222">IFERROR(INDEX('HIV-Equipment'!$W$14:$W$58,MATCH($E222&amp;$F222,'HIV-Equipment'!$C$14:$C$58&amp;'HIV-Equipment'!$D$14:$D$58,0)),0)</f>
        <v>0</v>
      </c>
      <c r="AY222" s="651">
        <f t="shared" si="171"/>
        <v>0</v>
      </c>
      <c r="AZ222" s="652">
        <f t="shared" si="172"/>
        <v>0</v>
      </c>
      <c r="BA222" s="652">
        <f t="shared" si="173"/>
        <v>0</v>
      </c>
      <c r="BB222" s="651">
        <f t="array" ref="BB222">IFERROR(INDEX('HIV-Equipment'!$X$14:$X$58,MATCH($E222&amp;$F222,'HIV-Equipment'!$C$14:$C$58&amp;'HIV-Equipment'!$D$14:$D$58,0)),0)</f>
        <v>0</v>
      </c>
      <c r="BC222" s="651">
        <f t="shared" si="174"/>
        <v>0</v>
      </c>
      <c r="BD222" s="652">
        <f t="shared" si="175"/>
        <v>0</v>
      </c>
      <c r="BE222" s="652">
        <f t="shared" si="176"/>
        <v>0</v>
      </c>
      <c r="BF222" s="651">
        <f t="array" ref="BF222">IFERROR(INDEX('HIV-Equipment'!$Y$14:$Y$58,MATCH($E222&amp;$F222,'HIV-Equipment'!$C$14:$C$58&amp;'HIV-Equipment'!$D$14:$D$58,0)),0)</f>
        <v>0</v>
      </c>
      <c r="BG222" s="651">
        <f t="shared" si="177"/>
        <v>0</v>
      </c>
      <c r="BH222" s="652">
        <f t="shared" si="178"/>
        <v>0</v>
      </c>
      <c r="BI222" s="652">
        <f t="shared" si="179"/>
        <v>0</v>
      </c>
      <c r="BJ222" s="662"/>
      <c r="BK222" s="654"/>
      <c r="BL222" s="654"/>
      <c r="BM222" s="654"/>
      <c r="BN222" s="654"/>
      <c r="BO222" s="654"/>
      <c r="BP222" s="654"/>
      <c r="BQ222" s="654"/>
      <c r="BR222" s="654"/>
    </row>
    <row r="223" spans="1:70" s="426" customFormat="1">
      <c r="A223" s="655" t="s">
        <v>1856</v>
      </c>
      <c r="B223" s="655" t="s">
        <v>2283</v>
      </c>
      <c r="C223" s="648">
        <f>SETUP!$F$23</f>
        <v>0</v>
      </c>
      <c r="D223" s="654">
        <v>6.6</v>
      </c>
      <c r="E223" s="655" t="s">
        <v>1463</v>
      </c>
      <c r="F223" s="655" t="s">
        <v>200</v>
      </c>
      <c r="G223" s="650" t="str">
        <f t="array" ref="G223">IFERROR(INDEX('HIV-Equipment'!$E$14:$E$58,MATCH($E223&amp;$F223,'HIV-Equipment'!$C$14:$C$58&amp;'HIV-Equipment'!$D$14:$D$58,0)),"")</f>
        <v/>
      </c>
      <c r="H223" s="650" t="str">
        <f t="array" ref="H223">IFERROR(INDEX('HIV-Equipment'!$F$14:$F$58,MATCH($E223&amp;$F223,'HIV-Equipment'!$C$14:$C$58&amp;'HIV-Equipment'!$D$14:$D$58,0)),"")</f>
        <v/>
      </c>
      <c r="I223" s="651">
        <f t="array" ref="I223">IFERROR(INDEX('HIV-Equipment'!$G$14:$G$58,MATCH($E223&amp;$F223,'HIV-Equipment'!$C$14:$C$58&amp;'HIV-Equipment'!$D$14:$D$58,0)),0)</f>
        <v>0</v>
      </c>
      <c r="J223" s="651">
        <f t="array" ref="J223">IFERROR(INDEX('HIV-Equipment'!$H$14:$H$58,MATCH($E223&amp;$F223,'HIV-Equipment'!$C$14:$C$58&amp;'HIV-Equipment'!$D$14:$D$58,0)),0)</f>
        <v>0</v>
      </c>
      <c r="K223" s="652">
        <f t="shared" si="144"/>
        <v>0</v>
      </c>
      <c r="L223" s="652">
        <f t="shared" si="145"/>
        <v>0</v>
      </c>
      <c r="M223" s="652">
        <f t="shared" si="146"/>
        <v>0</v>
      </c>
      <c r="N223" s="651">
        <f t="array" ref="N223">IFERROR(INDEX('HIV-Equipment'!$I$14:$I$58,MATCH($E223&amp;$F223,'HIV-Equipment'!$C$14:$C$58&amp;'HIV-Equipment'!$D$14:$D$58,0)),0)</f>
        <v>0</v>
      </c>
      <c r="O223" s="652">
        <f t="shared" si="147"/>
        <v>0</v>
      </c>
      <c r="P223" s="652">
        <f t="shared" si="148"/>
        <v>0</v>
      </c>
      <c r="Q223" s="652">
        <f t="shared" si="149"/>
        <v>0</v>
      </c>
      <c r="R223" s="651">
        <f t="array" ref="R223">IFERROR(INDEX('HIV-Equipment'!$J$14:$J$58,MATCH($E223&amp;$F223,'HIV-Equipment'!$C$14:$C$58&amp;'HIV-Equipment'!$D$14:$D$58,0)),0)</f>
        <v>0</v>
      </c>
      <c r="S223" s="652">
        <f t="shared" si="150"/>
        <v>0</v>
      </c>
      <c r="T223" s="652">
        <f t="shared" si="151"/>
        <v>0</v>
      </c>
      <c r="U223" s="652">
        <f t="shared" si="152"/>
        <v>0</v>
      </c>
      <c r="V223" s="651">
        <f t="array" ref="V223">IFERROR(INDEX('HIV-Equipment'!$K$14:$K$58,MATCH($E223&amp;$F223,'HIV-Equipment'!$C$14:$C$58&amp;'HIV-Equipment'!$D$14:$D$58,0)),0)</f>
        <v>0</v>
      </c>
      <c r="W223" s="652">
        <f t="shared" si="153"/>
        <v>0</v>
      </c>
      <c r="X223" s="652">
        <f t="shared" si="154"/>
        <v>0</v>
      </c>
      <c r="Y223" s="652">
        <f t="shared" si="155"/>
        <v>0</v>
      </c>
      <c r="Z223" s="661"/>
      <c r="AA223" s="651">
        <f t="array" ref="AA223">IFERROR(INDEX('HIV-Equipment'!$N$14:$N$58,MATCH($E223&amp;$F223,'HIV-Equipment'!$C$14:$C$58&amp;'HIV-Equipment'!$D$14:$D$58,0)),0)</f>
        <v>0</v>
      </c>
      <c r="AB223" s="651">
        <f t="array" ref="AB223">IFERROR(INDEX('HIV-Equipment'!$O$14:$O$58,MATCH($E223&amp;$F223,'HIV-Equipment'!$C$14:$C$58&amp;'HIV-Equipment'!$D$14:$D$58,0)),0)</f>
        <v>0</v>
      </c>
      <c r="AC223" s="651">
        <f t="shared" si="156"/>
        <v>0</v>
      </c>
      <c r="AD223" s="652">
        <f t="shared" si="157"/>
        <v>0</v>
      </c>
      <c r="AE223" s="652">
        <f t="shared" si="158"/>
        <v>0</v>
      </c>
      <c r="AF223" s="651">
        <f t="array" ref="AF223">IFERROR(INDEX('HIV-Equipment'!$P$14:$P$58,MATCH($E223&amp;$F223,'HIV-Equipment'!$C$14:$C$58&amp;'HIV-Equipment'!$D$14:$D$58,0)),0)</f>
        <v>0</v>
      </c>
      <c r="AG223" s="651">
        <f t="shared" si="159"/>
        <v>0</v>
      </c>
      <c r="AH223" s="652">
        <f t="shared" si="160"/>
        <v>0</v>
      </c>
      <c r="AI223" s="652">
        <f t="shared" si="161"/>
        <v>0</v>
      </c>
      <c r="AJ223" s="651">
        <f t="array" ref="AJ223">IFERROR(INDEX('HIV-Equipment'!$Q$14:$Q$58,MATCH($E223&amp;$F223,'HIV-Equipment'!$C$14:$C$58&amp;'HIV-Equipment'!$D$14:$D$58,0)),0)</f>
        <v>0</v>
      </c>
      <c r="AK223" s="651">
        <f t="shared" si="162"/>
        <v>0</v>
      </c>
      <c r="AL223" s="652">
        <f t="shared" si="163"/>
        <v>0</v>
      </c>
      <c r="AM223" s="652">
        <f t="shared" si="164"/>
        <v>0</v>
      </c>
      <c r="AN223" s="651">
        <f t="array" ref="AN223">IFERROR(INDEX('HIV-Equipment'!$R$14:$R$58,MATCH($E223&amp;$F223,'HIV-Equipment'!$C$14:$C$58&amp;'HIV-Equipment'!$D$14:$D$58,0)),0)</f>
        <v>0</v>
      </c>
      <c r="AO223" s="651">
        <f t="shared" si="165"/>
        <v>0</v>
      </c>
      <c r="AP223" s="652">
        <f t="shared" si="166"/>
        <v>0</v>
      </c>
      <c r="AQ223" s="652">
        <f t="shared" si="167"/>
        <v>0</v>
      </c>
      <c r="AR223" s="661"/>
      <c r="AS223" s="651">
        <f t="array" ref="AS223">IFERROR(INDEX('HIV-Equipment'!$U$14:$U$58,MATCH($E223&amp;$F223,'HIV-Equipment'!$C$14:$C$58&amp;'HIV-Equipment'!$D$14:$D$58,0)),0)</f>
        <v>0</v>
      </c>
      <c r="AT223" s="651">
        <f t="array" ref="AT223">IFERROR(INDEX('HIV-Equipment'!$V$14:$V$58,MATCH($E223&amp;$F223,'HIV-Equipment'!$C$14:$C$58&amp;'HIV-Equipment'!$D$14:$D$58,0)),0)</f>
        <v>0</v>
      </c>
      <c r="AU223" s="651">
        <f t="shared" si="168"/>
        <v>0</v>
      </c>
      <c r="AV223" s="652">
        <f t="shared" si="169"/>
        <v>0</v>
      </c>
      <c r="AW223" s="652">
        <f t="shared" si="170"/>
        <v>0</v>
      </c>
      <c r="AX223" s="651">
        <f t="array" ref="AX223">IFERROR(INDEX('HIV-Equipment'!$W$14:$W$58,MATCH($E223&amp;$F223,'HIV-Equipment'!$C$14:$C$58&amp;'HIV-Equipment'!$D$14:$D$58,0)),0)</f>
        <v>0</v>
      </c>
      <c r="AY223" s="651">
        <f t="shared" si="171"/>
        <v>0</v>
      </c>
      <c r="AZ223" s="652">
        <f t="shared" si="172"/>
        <v>0</v>
      </c>
      <c r="BA223" s="652">
        <f t="shared" si="173"/>
        <v>0</v>
      </c>
      <c r="BB223" s="651">
        <f t="array" ref="BB223">IFERROR(INDEX('HIV-Equipment'!$X$14:$X$58,MATCH($E223&amp;$F223,'HIV-Equipment'!$C$14:$C$58&amp;'HIV-Equipment'!$D$14:$D$58,0)),0)</f>
        <v>0</v>
      </c>
      <c r="BC223" s="651">
        <f t="shared" si="174"/>
        <v>0</v>
      </c>
      <c r="BD223" s="652">
        <f t="shared" si="175"/>
        <v>0</v>
      </c>
      <c r="BE223" s="652">
        <f t="shared" si="176"/>
        <v>0</v>
      </c>
      <c r="BF223" s="651">
        <f t="array" ref="BF223">IFERROR(INDEX('HIV-Equipment'!$Y$14:$Y$58,MATCH($E223&amp;$F223,'HIV-Equipment'!$C$14:$C$58&amp;'HIV-Equipment'!$D$14:$D$58,0)),0)</f>
        <v>0</v>
      </c>
      <c r="BG223" s="651">
        <f t="shared" si="177"/>
        <v>0</v>
      </c>
      <c r="BH223" s="652">
        <f t="shared" si="178"/>
        <v>0</v>
      </c>
      <c r="BI223" s="652">
        <f t="shared" si="179"/>
        <v>0</v>
      </c>
      <c r="BJ223" s="662"/>
      <c r="BK223" s="654"/>
      <c r="BL223" s="654"/>
      <c r="BM223" s="654"/>
      <c r="BN223" s="654"/>
      <c r="BO223" s="654"/>
      <c r="BP223" s="654"/>
      <c r="BQ223" s="654"/>
      <c r="BR223" s="654"/>
    </row>
    <row r="224" spans="1:70" s="426" customFormat="1">
      <c r="A224" s="655" t="s">
        <v>1855</v>
      </c>
      <c r="B224" s="655" t="s">
        <v>2283</v>
      </c>
      <c r="C224" s="648">
        <f>SETUP!$F$23</f>
        <v>0</v>
      </c>
      <c r="D224" s="654">
        <v>6.5</v>
      </c>
      <c r="E224" s="655" t="s">
        <v>215</v>
      </c>
      <c r="F224" s="655" t="s">
        <v>218</v>
      </c>
      <c r="G224" s="650" t="str">
        <f t="array" ref="G224">IFERROR(INDEX('HIV-Equipment'!$E$14:$E$58,MATCH($E224&amp;$F224,'HIV-Equipment'!$C$14:$C$58&amp;'HIV-Equipment'!$D$14:$D$58,0)),"")</f>
        <v/>
      </c>
      <c r="H224" s="650" t="str">
        <f t="array" ref="H224">IFERROR(INDEX('HIV-Equipment'!$F$14:$F$58,MATCH($E224&amp;$F224,'HIV-Equipment'!$C$14:$C$58&amp;'HIV-Equipment'!$D$14:$D$58,0)),"")</f>
        <v/>
      </c>
      <c r="I224" s="651">
        <f t="array" ref="I224">IFERROR(INDEX('HIV-Equipment'!$G$14:$G$58,MATCH($E224&amp;$F224,'HIV-Equipment'!$C$14:$C$58&amp;'HIV-Equipment'!$D$14:$D$58,0)),0)</f>
        <v>0</v>
      </c>
      <c r="J224" s="651">
        <f t="array" ref="J224">IFERROR(INDEX('HIV-Equipment'!$H$14:$H$58,MATCH($E224&amp;$F224,'HIV-Equipment'!$C$14:$C$58&amp;'HIV-Equipment'!$D$14:$D$58,0)),0)</f>
        <v>0</v>
      </c>
      <c r="K224" s="652">
        <f t="shared" ref="K224:K287" si="180">IF(ISERROR($I224*J224),0,$I224*J224)</f>
        <v>0</v>
      </c>
      <c r="L224" s="652">
        <f t="shared" ref="L224:L287" si="181">IF(C224="Upfront",J224,0)</f>
        <v>0</v>
      </c>
      <c r="M224" s="652">
        <f t="shared" ref="M224:M287" si="182">IF(C224="Upfront",K224,0)</f>
        <v>0</v>
      </c>
      <c r="N224" s="651">
        <f t="array" ref="N224">IFERROR(INDEX('HIV-Equipment'!$I$14:$I$58,MATCH($E224&amp;$F224,'HIV-Equipment'!$C$14:$C$58&amp;'HIV-Equipment'!$D$14:$D$58,0)),0)</f>
        <v>0</v>
      </c>
      <c r="O224" s="652">
        <f t="shared" ref="O224:O287" si="183">IF(ISERROR($I224*N224),0,$I224*N224)</f>
        <v>0</v>
      </c>
      <c r="P224" s="652">
        <f t="shared" ref="P224:P287" si="184">IF(C224="Upfront",N224,0)</f>
        <v>0</v>
      </c>
      <c r="Q224" s="652">
        <f t="shared" ref="Q224:Q287" si="185">IF(C224="Upfront",O224,0)</f>
        <v>0</v>
      </c>
      <c r="R224" s="651">
        <f t="array" ref="R224">IFERROR(INDEX('HIV-Equipment'!$J$14:$J$58,MATCH($E224&amp;$F224,'HIV-Equipment'!$C$14:$C$58&amp;'HIV-Equipment'!$D$14:$D$58,0)),0)</f>
        <v>0</v>
      </c>
      <c r="S224" s="652">
        <f t="shared" ref="S224:S287" si="186">IF(ISERROR($I224*R224),0,$I224*R224)</f>
        <v>0</v>
      </c>
      <c r="T224" s="652">
        <f t="shared" ref="T224:T287" si="187">IF(C224="Upfront",R224,IF(C224="At delivery",J224,0))</f>
        <v>0</v>
      </c>
      <c r="U224" s="652">
        <f t="shared" ref="U224:U287" si="188">IF(C224="Upfront",S224,IF(C224="At delivery",K224,0))</f>
        <v>0</v>
      </c>
      <c r="V224" s="651">
        <f t="array" ref="V224">IFERROR(INDEX('HIV-Equipment'!$K$14:$K$58,MATCH($E224&amp;$F224,'HIV-Equipment'!$C$14:$C$58&amp;'HIV-Equipment'!$D$14:$D$58,0)),0)</f>
        <v>0</v>
      </c>
      <c r="W224" s="652">
        <f t="shared" ref="W224:W287" si="189">IF(ISERROR($I224*V224),0,$I224*V224)</f>
        <v>0</v>
      </c>
      <c r="X224" s="652">
        <f t="shared" ref="X224:X287" si="190">IF(C224="Upfront",V224,IF(C224="At delivery",N224,0))</f>
        <v>0</v>
      </c>
      <c r="Y224" s="652">
        <f t="shared" ref="Y224:Y287" si="191">IF(C224="Upfront",W224,IF(C224="At delivery",O224,0))</f>
        <v>0</v>
      </c>
      <c r="Z224" s="661"/>
      <c r="AA224" s="651">
        <f t="array" ref="AA224">IFERROR(INDEX('HIV-Equipment'!$N$14:$N$58,MATCH($E224&amp;$F224,'HIV-Equipment'!$C$14:$C$58&amp;'HIV-Equipment'!$D$14:$D$58,0)),0)</f>
        <v>0</v>
      </c>
      <c r="AB224" s="651">
        <f t="array" ref="AB224">IFERROR(INDEX('HIV-Equipment'!$O$14:$O$58,MATCH($E224&amp;$F224,'HIV-Equipment'!$C$14:$C$58&amp;'HIV-Equipment'!$D$14:$D$58,0)),0)</f>
        <v>0</v>
      </c>
      <c r="AC224" s="651">
        <f t="shared" ref="AC224:AC287" si="192">IF(ISERROR($AA224*AB224),0,$AA224*AB224)</f>
        <v>0</v>
      </c>
      <c r="AD224" s="652">
        <f t="shared" ref="AD224:AD287" si="193">IF(C224="Upfront",AB224,IF(C224="At delivery",R224,0))</f>
        <v>0</v>
      </c>
      <c r="AE224" s="652">
        <f t="shared" ref="AE224:AE287" si="194">IF(C224="Upfront",AC224,IF(C224="At delivery",S224,0))</f>
        <v>0</v>
      </c>
      <c r="AF224" s="651">
        <f t="array" ref="AF224">IFERROR(INDEX('HIV-Equipment'!$P$14:$P$58,MATCH($E224&amp;$F224,'HIV-Equipment'!$C$14:$C$58&amp;'HIV-Equipment'!$D$14:$D$58,0)),0)</f>
        <v>0</v>
      </c>
      <c r="AG224" s="651">
        <f t="shared" ref="AG224:AG287" si="195">IF(ISERROR($AA224*AF224),0,$AA224*AF224)</f>
        <v>0</v>
      </c>
      <c r="AH224" s="652">
        <f t="shared" ref="AH224:AH287" si="196">IF(C224="Upfront",AF224,IF(C224="At delivery",V224,0))</f>
        <v>0</v>
      </c>
      <c r="AI224" s="652">
        <f t="shared" ref="AI224:AI287" si="197">IF(C224="Upfront",AG224,IF(C224="At delivery",W224,0))</f>
        <v>0</v>
      </c>
      <c r="AJ224" s="651">
        <f t="array" ref="AJ224">IFERROR(INDEX('HIV-Equipment'!$Q$14:$Q$58,MATCH($E224&amp;$F224,'HIV-Equipment'!$C$14:$C$58&amp;'HIV-Equipment'!$D$14:$D$58,0)),0)</f>
        <v>0</v>
      </c>
      <c r="AK224" s="651">
        <f t="shared" ref="AK224:AK287" si="198">IF(ISERROR($AA224*AJ224),0,$AA224*AJ224)</f>
        <v>0</v>
      </c>
      <c r="AL224" s="652">
        <f t="shared" ref="AL224:AL287" si="199">IF(C224="Upfront",AJ224,IF(C224="At delivery",AB224,0))</f>
        <v>0</v>
      </c>
      <c r="AM224" s="652">
        <f t="shared" ref="AM224:AM287" si="200">IF(C224="Upfront",AK224,IF(C224="At delivery",AC224,0))</f>
        <v>0</v>
      </c>
      <c r="AN224" s="651">
        <f t="array" ref="AN224">IFERROR(INDEX('HIV-Equipment'!$R$14:$R$58,MATCH($E224&amp;$F224,'HIV-Equipment'!$C$14:$C$58&amp;'HIV-Equipment'!$D$14:$D$58,0)),0)</f>
        <v>0</v>
      </c>
      <c r="AO224" s="651">
        <f t="shared" ref="AO224:AO287" si="201">IF(ISERROR($AA224*AN224),0,$AA224*AN224)</f>
        <v>0</v>
      </c>
      <c r="AP224" s="652">
        <f t="shared" ref="AP224:AP287" si="202">IF(C224="Upfront",AN224,IF(C224="At delivery",AF224,0))</f>
        <v>0</v>
      </c>
      <c r="AQ224" s="652">
        <f t="shared" ref="AQ224:AQ287" si="203">IF(C224="Upfront",AO224,IF(C224="At delivery",AG224,0))</f>
        <v>0</v>
      </c>
      <c r="AR224" s="661"/>
      <c r="AS224" s="651">
        <f t="array" ref="AS224">IFERROR(INDEX('HIV-Equipment'!$U$14:$U$58,MATCH($E224&amp;$F224,'HIV-Equipment'!$C$14:$C$58&amp;'HIV-Equipment'!$D$14:$D$58,0)),0)</f>
        <v>0</v>
      </c>
      <c r="AT224" s="651">
        <f t="array" ref="AT224">IFERROR(INDEX('HIV-Equipment'!$V$14:$V$58,MATCH($E224&amp;$F224,'HIV-Equipment'!$C$14:$C$58&amp;'HIV-Equipment'!$D$14:$D$58,0)),0)</f>
        <v>0</v>
      </c>
      <c r="AU224" s="651">
        <f t="shared" ref="AU224:AU287" si="204">IF(ISERROR($AS224*AT224),0,$AS224*AT224)</f>
        <v>0</v>
      </c>
      <c r="AV224" s="652">
        <f t="shared" ref="AV224:AV287" si="205">IF(C224="Upfront",AT224,IF(C224="At delivery",AJ224,0))</f>
        <v>0</v>
      </c>
      <c r="AW224" s="652">
        <f t="shared" ref="AW224:AW287" si="206">IF(C224="Upfront",AU224,IF(C224="At delivery",AK224,0))</f>
        <v>0</v>
      </c>
      <c r="AX224" s="651">
        <f t="array" ref="AX224">IFERROR(INDEX('HIV-Equipment'!$W$14:$W$58,MATCH($E224&amp;$F224,'HIV-Equipment'!$C$14:$C$58&amp;'HIV-Equipment'!$D$14:$D$58,0)),0)</f>
        <v>0</v>
      </c>
      <c r="AY224" s="651">
        <f t="shared" ref="AY224:AY287" si="207">IF(ISERROR($AS224*AX224),0,$AS224*AX224)</f>
        <v>0</v>
      </c>
      <c r="AZ224" s="652">
        <f t="shared" ref="AZ224:AZ287" si="208">IF(C224="Upfront",AX224,IF(C224="At delivery",AN224,0))</f>
        <v>0</v>
      </c>
      <c r="BA224" s="652">
        <f t="shared" ref="BA224:BA287" si="209">IF(C224="Upfront",AY224,IF(C224="At delivery",AO224,0))</f>
        <v>0</v>
      </c>
      <c r="BB224" s="651">
        <f t="array" ref="BB224">IFERROR(INDEX('HIV-Equipment'!$X$14:$X$58,MATCH($E224&amp;$F224,'HIV-Equipment'!$C$14:$C$58&amp;'HIV-Equipment'!$D$14:$D$58,0)),0)</f>
        <v>0</v>
      </c>
      <c r="BC224" s="651">
        <f t="shared" ref="BC224:BC287" si="210">IF(ISERROR($AS224*BB224),0,$AS224*BB224)</f>
        <v>0</v>
      </c>
      <c r="BD224" s="652">
        <f t="shared" ref="BD224:BD287" si="211">IF(C224="Upfront",BB224,IF(C224="At delivery",AT224,0))</f>
        <v>0</v>
      </c>
      <c r="BE224" s="652">
        <f t="shared" ref="BE224:BE287" si="212">IF(C224="Upfront",BC224,IF(C224="At delivery",AU224,0))</f>
        <v>0</v>
      </c>
      <c r="BF224" s="651">
        <f t="array" ref="BF224">IFERROR(INDEX('HIV-Equipment'!$Y$14:$Y$58,MATCH($E224&amp;$F224,'HIV-Equipment'!$C$14:$C$58&amp;'HIV-Equipment'!$D$14:$D$58,0)),0)</f>
        <v>0</v>
      </c>
      <c r="BG224" s="651">
        <f t="shared" ref="BG224:BG287" si="213">IF(ISERROR($AS224*BF224),0,$AS224*BF224)</f>
        <v>0</v>
      </c>
      <c r="BH224" s="652">
        <f t="shared" ref="BH224:BH287" si="214">IF(C224="Upfront",BF224,IF(C224="At delivery",AX224,0))</f>
        <v>0</v>
      </c>
      <c r="BI224" s="652">
        <f t="shared" ref="BI224:BI287" si="215">IF(C224="Upfront",BG224,IF(C224="At delivery",AY224,0))</f>
        <v>0</v>
      </c>
      <c r="BJ224" s="662"/>
      <c r="BK224" s="654"/>
      <c r="BL224" s="654"/>
      <c r="BM224" s="654"/>
      <c r="BN224" s="654"/>
      <c r="BO224" s="654"/>
      <c r="BP224" s="654"/>
      <c r="BQ224" s="654"/>
      <c r="BR224" s="654"/>
    </row>
    <row r="225" spans="1:70" s="426" customFormat="1">
      <c r="A225" s="655" t="s">
        <v>1855</v>
      </c>
      <c r="B225" s="655" t="s">
        <v>2283</v>
      </c>
      <c r="C225" s="648">
        <f>SETUP!$F$23</f>
        <v>0</v>
      </c>
      <c r="D225" s="654">
        <v>6.6</v>
      </c>
      <c r="E225" s="655" t="s">
        <v>215</v>
      </c>
      <c r="F225" s="655" t="s">
        <v>201</v>
      </c>
      <c r="G225" s="650" t="str">
        <f t="array" ref="G225">IFERROR(INDEX('HIV-Equipment'!$E$14:$E$58,MATCH($E225&amp;$F225,'HIV-Equipment'!$C$14:$C$58&amp;'HIV-Equipment'!$D$14:$D$58,0)),"")</f>
        <v/>
      </c>
      <c r="H225" s="650" t="str">
        <f t="array" ref="H225">IFERROR(INDEX('HIV-Equipment'!$F$14:$F$58,MATCH($E225&amp;$F225,'HIV-Equipment'!$C$14:$C$58&amp;'HIV-Equipment'!$D$14:$D$58,0)),"")</f>
        <v/>
      </c>
      <c r="I225" s="651">
        <f t="array" ref="I225">IFERROR(INDEX('HIV-Equipment'!$G$14:$G$58,MATCH($E225&amp;$F225,'HIV-Equipment'!$C$14:$C$58&amp;'HIV-Equipment'!$D$14:$D$58,0)),0)</f>
        <v>0</v>
      </c>
      <c r="J225" s="651">
        <f t="array" ref="J225">IFERROR(INDEX('HIV-Equipment'!$H$14:$H$58,MATCH($E225&amp;$F225,'HIV-Equipment'!$C$14:$C$58&amp;'HIV-Equipment'!$D$14:$D$58,0)),0)</f>
        <v>0</v>
      </c>
      <c r="K225" s="652">
        <f t="shared" si="180"/>
        <v>0</v>
      </c>
      <c r="L225" s="652">
        <f t="shared" si="181"/>
        <v>0</v>
      </c>
      <c r="M225" s="652">
        <f t="shared" si="182"/>
        <v>0</v>
      </c>
      <c r="N225" s="651">
        <f t="array" ref="N225">IFERROR(INDEX('HIV-Equipment'!$I$14:$I$58,MATCH($E225&amp;$F225,'HIV-Equipment'!$C$14:$C$58&amp;'HIV-Equipment'!$D$14:$D$58,0)),0)</f>
        <v>0</v>
      </c>
      <c r="O225" s="652">
        <f t="shared" si="183"/>
        <v>0</v>
      </c>
      <c r="P225" s="652">
        <f t="shared" si="184"/>
        <v>0</v>
      </c>
      <c r="Q225" s="652">
        <f t="shared" si="185"/>
        <v>0</v>
      </c>
      <c r="R225" s="651">
        <f t="array" ref="R225">IFERROR(INDEX('HIV-Equipment'!$J$14:$J$58,MATCH($E225&amp;$F225,'HIV-Equipment'!$C$14:$C$58&amp;'HIV-Equipment'!$D$14:$D$58,0)),0)</f>
        <v>0</v>
      </c>
      <c r="S225" s="652">
        <f t="shared" si="186"/>
        <v>0</v>
      </c>
      <c r="T225" s="652">
        <f t="shared" si="187"/>
        <v>0</v>
      </c>
      <c r="U225" s="652">
        <f t="shared" si="188"/>
        <v>0</v>
      </c>
      <c r="V225" s="651">
        <f t="array" ref="V225">IFERROR(INDEX('HIV-Equipment'!$K$14:$K$58,MATCH($E225&amp;$F225,'HIV-Equipment'!$C$14:$C$58&amp;'HIV-Equipment'!$D$14:$D$58,0)),0)</f>
        <v>0</v>
      </c>
      <c r="W225" s="652">
        <f t="shared" si="189"/>
        <v>0</v>
      </c>
      <c r="X225" s="652">
        <f t="shared" si="190"/>
        <v>0</v>
      </c>
      <c r="Y225" s="652">
        <f t="shared" si="191"/>
        <v>0</v>
      </c>
      <c r="Z225" s="661"/>
      <c r="AA225" s="651">
        <f t="array" ref="AA225">IFERROR(INDEX('HIV-Equipment'!$N$14:$N$58,MATCH($E225&amp;$F225,'HIV-Equipment'!$C$14:$C$58&amp;'HIV-Equipment'!$D$14:$D$58,0)),0)</f>
        <v>0</v>
      </c>
      <c r="AB225" s="651">
        <f t="array" ref="AB225">IFERROR(INDEX('HIV-Equipment'!$O$14:$O$58,MATCH($E225&amp;$F225,'HIV-Equipment'!$C$14:$C$58&amp;'HIV-Equipment'!$D$14:$D$58,0)),0)</f>
        <v>0</v>
      </c>
      <c r="AC225" s="651">
        <f t="shared" si="192"/>
        <v>0</v>
      </c>
      <c r="AD225" s="652">
        <f t="shared" si="193"/>
        <v>0</v>
      </c>
      <c r="AE225" s="652">
        <f t="shared" si="194"/>
        <v>0</v>
      </c>
      <c r="AF225" s="651">
        <f t="array" ref="AF225">IFERROR(INDEX('HIV-Equipment'!$P$14:$P$58,MATCH($E225&amp;$F225,'HIV-Equipment'!$C$14:$C$58&amp;'HIV-Equipment'!$D$14:$D$58,0)),0)</f>
        <v>0</v>
      </c>
      <c r="AG225" s="651">
        <f t="shared" si="195"/>
        <v>0</v>
      </c>
      <c r="AH225" s="652">
        <f t="shared" si="196"/>
        <v>0</v>
      </c>
      <c r="AI225" s="652">
        <f t="shared" si="197"/>
        <v>0</v>
      </c>
      <c r="AJ225" s="651">
        <f t="array" ref="AJ225">IFERROR(INDEX('HIV-Equipment'!$Q$14:$Q$58,MATCH($E225&amp;$F225,'HIV-Equipment'!$C$14:$C$58&amp;'HIV-Equipment'!$D$14:$D$58,0)),0)</f>
        <v>0</v>
      </c>
      <c r="AK225" s="651">
        <f t="shared" si="198"/>
        <v>0</v>
      </c>
      <c r="AL225" s="652">
        <f t="shared" si="199"/>
        <v>0</v>
      </c>
      <c r="AM225" s="652">
        <f t="shared" si="200"/>
        <v>0</v>
      </c>
      <c r="AN225" s="651">
        <f t="array" ref="AN225">IFERROR(INDEX('HIV-Equipment'!$R$14:$R$58,MATCH($E225&amp;$F225,'HIV-Equipment'!$C$14:$C$58&amp;'HIV-Equipment'!$D$14:$D$58,0)),0)</f>
        <v>0</v>
      </c>
      <c r="AO225" s="651">
        <f t="shared" si="201"/>
        <v>0</v>
      </c>
      <c r="AP225" s="652">
        <f t="shared" si="202"/>
        <v>0</v>
      </c>
      <c r="AQ225" s="652">
        <f t="shared" si="203"/>
        <v>0</v>
      </c>
      <c r="AR225" s="661"/>
      <c r="AS225" s="651">
        <f t="array" ref="AS225">IFERROR(INDEX('HIV-Equipment'!$U$14:$U$58,MATCH($E225&amp;$F225,'HIV-Equipment'!$C$14:$C$58&amp;'HIV-Equipment'!$D$14:$D$58,0)),0)</f>
        <v>0</v>
      </c>
      <c r="AT225" s="651">
        <f t="array" ref="AT225">IFERROR(INDEX('HIV-Equipment'!$V$14:$V$58,MATCH($E225&amp;$F225,'HIV-Equipment'!$C$14:$C$58&amp;'HIV-Equipment'!$D$14:$D$58,0)),0)</f>
        <v>0</v>
      </c>
      <c r="AU225" s="651">
        <f t="shared" si="204"/>
        <v>0</v>
      </c>
      <c r="AV225" s="652">
        <f t="shared" si="205"/>
        <v>0</v>
      </c>
      <c r="AW225" s="652">
        <f t="shared" si="206"/>
        <v>0</v>
      </c>
      <c r="AX225" s="651">
        <f t="array" ref="AX225">IFERROR(INDEX('HIV-Equipment'!$W$14:$W$58,MATCH($E225&amp;$F225,'HIV-Equipment'!$C$14:$C$58&amp;'HIV-Equipment'!$D$14:$D$58,0)),0)</f>
        <v>0</v>
      </c>
      <c r="AY225" s="651">
        <f t="shared" si="207"/>
        <v>0</v>
      </c>
      <c r="AZ225" s="652">
        <f t="shared" si="208"/>
        <v>0</v>
      </c>
      <c r="BA225" s="652">
        <f t="shared" si="209"/>
        <v>0</v>
      </c>
      <c r="BB225" s="651">
        <f t="array" ref="BB225">IFERROR(INDEX('HIV-Equipment'!$X$14:$X$58,MATCH($E225&amp;$F225,'HIV-Equipment'!$C$14:$C$58&amp;'HIV-Equipment'!$D$14:$D$58,0)),0)</f>
        <v>0</v>
      </c>
      <c r="BC225" s="651">
        <f t="shared" si="210"/>
        <v>0</v>
      </c>
      <c r="BD225" s="652">
        <f t="shared" si="211"/>
        <v>0</v>
      </c>
      <c r="BE225" s="652">
        <f t="shared" si="212"/>
        <v>0</v>
      </c>
      <c r="BF225" s="651">
        <f t="array" ref="BF225">IFERROR(INDEX('HIV-Equipment'!$Y$14:$Y$58,MATCH($E225&amp;$F225,'HIV-Equipment'!$C$14:$C$58&amp;'HIV-Equipment'!$D$14:$D$58,0)),0)</f>
        <v>0</v>
      </c>
      <c r="BG225" s="651">
        <f t="shared" si="213"/>
        <v>0</v>
      </c>
      <c r="BH225" s="652">
        <f t="shared" si="214"/>
        <v>0</v>
      </c>
      <c r="BI225" s="652">
        <f t="shared" si="215"/>
        <v>0</v>
      </c>
      <c r="BJ225" s="662"/>
      <c r="BK225" s="654"/>
      <c r="BL225" s="654"/>
      <c r="BM225" s="654"/>
      <c r="BN225" s="654"/>
      <c r="BO225" s="654"/>
      <c r="BP225" s="654"/>
      <c r="BQ225" s="654"/>
      <c r="BR225" s="654"/>
    </row>
    <row r="226" spans="1:70" s="426" customFormat="1">
      <c r="A226" s="655" t="s">
        <v>1855</v>
      </c>
      <c r="B226" s="655" t="s">
        <v>2283</v>
      </c>
      <c r="C226" s="648">
        <f>SETUP!$F$23</f>
        <v>0</v>
      </c>
      <c r="D226" s="654">
        <v>6.6</v>
      </c>
      <c r="E226" s="655" t="s">
        <v>215</v>
      </c>
      <c r="F226" s="655" t="s">
        <v>200</v>
      </c>
      <c r="G226" s="650" t="str">
        <f t="array" ref="G226">IFERROR(INDEX('HIV-Equipment'!$E$14:$E$58,MATCH($E226&amp;$F226,'HIV-Equipment'!$C$14:$C$58&amp;'HIV-Equipment'!$D$14:$D$58,0)),"")</f>
        <v/>
      </c>
      <c r="H226" s="650" t="str">
        <f t="array" ref="H226">IFERROR(INDEX('HIV-Equipment'!$F$14:$F$58,MATCH($E226&amp;$F226,'HIV-Equipment'!$C$14:$C$58&amp;'HIV-Equipment'!$D$14:$D$58,0)),"")</f>
        <v/>
      </c>
      <c r="I226" s="651">
        <f t="array" ref="I226">IFERROR(INDEX('HIV-Equipment'!$G$14:$G$58,MATCH($E226&amp;$F226,'HIV-Equipment'!$C$14:$C$58&amp;'HIV-Equipment'!$D$14:$D$58,0)),0)</f>
        <v>0</v>
      </c>
      <c r="J226" s="651">
        <f t="array" ref="J226">IFERROR(INDEX('HIV-Equipment'!$H$14:$H$58,MATCH($E226&amp;$F226,'HIV-Equipment'!$C$14:$C$58&amp;'HIV-Equipment'!$D$14:$D$58,0)),0)</f>
        <v>0</v>
      </c>
      <c r="K226" s="652">
        <f t="shared" si="180"/>
        <v>0</v>
      </c>
      <c r="L226" s="652">
        <f t="shared" si="181"/>
        <v>0</v>
      </c>
      <c r="M226" s="652">
        <f t="shared" si="182"/>
        <v>0</v>
      </c>
      <c r="N226" s="651">
        <f t="array" ref="N226">IFERROR(INDEX('HIV-Equipment'!$I$14:$I$58,MATCH($E226&amp;$F226,'HIV-Equipment'!$C$14:$C$58&amp;'HIV-Equipment'!$D$14:$D$58,0)),0)</f>
        <v>0</v>
      </c>
      <c r="O226" s="652">
        <f t="shared" si="183"/>
        <v>0</v>
      </c>
      <c r="P226" s="652">
        <f t="shared" si="184"/>
        <v>0</v>
      </c>
      <c r="Q226" s="652">
        <f t="shared" si="185"/>
        <v>0</v>
      </c>
      <c r="R226" s="651">
        <f t="array" ref="R226">IFERROR(INDEX('HIV-Equipment'!$J$14:$J$58,MATCH($E226&amp;$F226,'HIV-Equipment'!$C$14:$C$58&amp;'HIV-Equipment'!$D$14:$D$58,0)),0)</f>
        <v>0</v>
      </c>
      <c r="S226" s="652">
        <f t="shared" si="186"/>
        <v>0</v>
      </c>
      <c r="T226" s="652">
        <f t="shared" si="187"/>
        <v>0</v>
      </c>
      <c r="U226" s="652">
        <f t="shared" si="188"/>
        <v>0</v>
      </c>
      <c r="V226" s="651">
        <f t="array" ref="V226">IFERROR(INDEX('HIV-Equipment'!$K$14:$K$58,MATCH($E226&amp;$F226,'HIV-Equipment'!$C$14:$C$58&amp;'HIV-Equipment'!$D$14:$D$58,0)),0)</f>
        <v>0</v>
      </c>
      <c r="W226" s="652">
        <f t="shared" si="189"/>
        <v>0</v>
      </c>
      <c r="X226" s="652">
        <f t="shared" si="190"/>
        <v>0</v>
      </c>
      <c r="Y226" s="652">
        <f t="shared" si="191"/>
        <v>0</v>
      </c>
      <c r="Z226" s="661"/>
      <c r="AA226" s="651">
        <f t="array" ref="AA226">IFERROR(INDEX('HIV-Equipment'!$N$14:$N$58,MATCH($E226&amp;$F226,'HIV-Equipment'!$C$14:$C$58&amp;'HIV-Equipment'!$D$14:$D$58,0)),0)</f>
        <v>0</v>
      </c>
      <c r="AB226" s="651">
        <f t="array" ref="AB226">IFERROR(INDEX('HIV-Equipment'!$O$14:$O$58,MATCH($E226&amp;$F226,'HIV-Equipment'!$C$14:$C$58&amp;'HIV-Equipment'!$D$14:$D$58,0)),0)</f>
        <v>0</v>
      </c>
      <c r="AC226" s="651">
        <f t="shared" si="192"/>
        <v>0</v>
      </c>
      <c r="AD226" s="652">
        <f t="shared" si="193"/>
        <v>0</v>
      </c>
      <c r="AE226" s="652">
        <f t="shared" si="194"/>
        <v>0</v>
      </c>
      <c r="AF226" s="651">
        <f t="array" ref="AF226">IFERROR(INDEX('HIV-Equipment'!$P$14:$P$58,MATCH($E226&amp;$F226,'HIV-Equipment'!$C$14:$C$58&amp;'HIV-Equipment'!$D$14:$D$58,0)),0)</f>
        <v>0</v>
      </c>
      <c r="AG226" s="651">
        <f t="shared" si="195"/>
        <v>0</v>
      </c>
      <c r="AH226" s="652">
        <f t="shared" si="196"/>
        <v>0</v>
      </c>
      <c r="AI226" s="652">
        <f t="shared" si="197"/>
        <v>0</v>
      </c>
      <c r="AJ226" s="651">
        <f t="array" ref="AJ226">IFERROR(INDEX('HIV-Equipment'!$Q$14:$Q$58,MATCH($E226&amp;$F226,'HIV-Equipment'!$C$14:$C$58&amp;'HIV-Equipment'!$D$14:$D$58,0)),0)</f>
        <v>0</v>
      </c>
      <c r="AK226" s="651">
        <f t="shared" si="198"/>
        <v>0</v>
      </c>
      <c r="AL226" s="652">
        <f t="shared" si="199"/>
        <v>0</v>
      </c>
      <c r="AM226" s="652">
        <f t="shared" si="200"/>
        <v>0</v>
      </c>
      <c r="AN226" s="651">
        <f t="array" ref="AN226">IFERROR(INDEX('HIV-Equipment'!$R$14:$R$58,MATCH($E226&amp;$F226,'HIV-Equipment'!$C$14:$C$58&amp;'HIV-Equipment'!$D$14:$D$58,0)),0)</f>
        <v>0</v>
      </c>
      <c r="AO226" s="651">
        <f t="shared" si="201"/>
        <v>0</v>
      </c>
      <c r="AP226" s="652">
        <f t="shared" si="202"/>
        <v>0</v>
      </c>
      <c r="AQ226" s="652">
        <f t="shared" si="203"/>
        <v>0</v>
      </c>
      <c r="AR226" s="661"/>
      <c r="AS226" s="651">
        <f t="array" ref="AS226">IFERROR(INDEX('HIV-Equipment'!$U$14:$U$58,MATCH($E226&amp;$F226,'HIV-Equipment'!$C$14:$C$58&amp;'HIV-Equipment'!$D$14:$D$58,0)),0)</f>
        <v>0</v>
      </c>
      <c r="AT226" s="651">
        <f t="array" ref="AT226">IFERROR(INDEX('HIV-Equipment'!$V$14:$V$58,MATCH($E226&amp;$F226,'HIV-Equipment'!$C$14:$C$58&amp;'HIV-Equipment'!$D$14:$D$58,0)),0)</f>
        <v>0</v>
      </c>
      <c r="AU226" s="651">
        <f t="shared" si="204"/>
        <v>0</v>
      </c>
      <c r="AV226" s="652">
        <f t="shared" si="205"/>
        <v>0</v>
      </c>
      <c r="AW226" s="652">
        <f t="shared" si="206"/>
        <v>0</v>
      </c>
      <c r="AX226" s="651">
        <f t="array" ref="AX226">IFERROR(INDEX('HIV-Equipment'!$W$14:$W$58,MATCH($E226&amp;$F226,'HIV-Equipment'!$C$14:$C$58&amp;'HIV-Equipment'!$D$14:$D$58,0)),0)</f>
        <v>0</v>
      </c>
      <c r="AY226" s="651">
        <f t="shared" si="207"/>
        <v>0</v>
      </c>
      <c r="AZ226" s="652">
        <f t="shared" si="208"/>
        <v>0</v>
      </c>
      <c r="BA226" s="652">
        <f t="shared" si="209"/>
        <v>0</v>
      </c>
      <c r="BB226" s="651">
        <f t="array" ref="BB226">IFERROR(INDEX('HIV-Equipment'!$X$14:$X$58,MATCH($E226&amp;$F226,'HIV-Equipment'!$C$14:$C$58&amp;'HIV-Equipment'!$D$14:$D$58,0)),0)</f>
        <v>0</v>
      </c>
      <c r="BC226" s="651">
        <f t="shared" si="210"/>
        <v>0</v>
      </c>
      <c r="BD226" s="652">
        <f t="shared" si="211"/>
        <v>0</v>
      </c>
      <c r="BE226" s="652">
        <f t="shared" si="212"/>
        <v>0</v>
      </c>
      <c r="BF226" s="651">
        <f t="array" ref="BF226">IFERROR(INDEX('HIV-Equipment'!$Y$14:$Y$58,MATCH($E226&amp;$F226,'HIV-Equipment'!$C$14:$C$58&amp;'HIV-Equipment'!$D$14:$D$58,0)),0)</f>
        <v>0</v>
      </c>
      <c r="BG226" s="651">
        <f t="shared" si="213"/>
        <v>0</v>
      </c>
      <c r="BH226" s="652">
        <f t="shared" si="214"/>
        <v>0</v>
      </c>
      <c r="BI226" s="652">
        <f t="shared" si="215"/>
        <v>0</v>
      </c>
      <c r="BJ226" s="662"/>
      <c r="BK226" s="654"/>
      <c r="BL226" s="654"/>
      <c r="BM226" s="654"/>
      <c r="BN226" s="654"/>
      <c r="BO226" s="654"/>
      <c r="BP226" s="654"/>
      <c r="BQ226" s="654"/>
      <c r="BR226" s="654"/>
    </row>
    <row r="227" spans="1:70" s="426" customFormat="1">
      <c r="A227" s="655" t="s">
        <v>1855</v>
      </c>
      <c r="B227" s="655" t="s">
        <v>2283</v>
      </c>
      <c r="C227" s="648">
        <f>SETUP!$F$23</f>
        <v>0</v>
      </c>
      <c r="D227" s="654">
        <v>6.5</v>
      </c>
      <c r="E227" s="655" t="s">
        <v>216</v>
      </c>
      <c r="F227" s="655" t="s">
        <v>218</v>
      </c>
      <c r="G227" s="650" t="str">
        <f t="array" ref="G227">IFERROR(INDEX('HIV-Equipment'!$E$14:$E$58,MATCH($E227&amp;$F227,'HIV-Equipment'!$C$14:$C$58&amp;'HIV-Equipment'!$D$14:$D$58,0)),"")</f>
        <v/>
      </c>
      <c r="H227" s="650" t="str">
        <f t="array" ref="H227">IFERROR(INDEX('HIV-Equipment'!$F$14:$F$58,MATCH($E227&amp;$F227,'HIV-Equipment'!$C$14:$C$58&amp;'HIV-Equipment'!$D$14:$D$58,0)),"")</f>
        <v/>
      </c>
      <c r="I227" s="651">
        <f t="array" ref="I227">IFERROR(INDEX('HIV-Equipment'!$G$14:$G$58,MATCH($E227&amp;$F227,'HIV-Equipment'!$C$14:$C$58&amp;'HIV-Equipment'!$D$14:$D$58,0)),0)</f>
        <v>0</v>
      </c>
      <c r="J227" s="651">
        <f t="array" ref="J227">IFERROR(INDEX('HIV-Equipment'!$H$14:$H$58,MATCH($E227&amp;$F227,'HIV-Equipment'!$C$14:$C$58&amp;'HIV-Equipment'!$D$14:$D$58,0)),0)</f>
        <v>0</v>
      </c>
      <c r="K227" s="652">
        <f t="shared" si="180"/>
        <v>0</v>
      </c>
      <c r="L227" s="652">
        <f t="shared" si="181"/>
        <v>0</v>
      </c>
      <c r="M227" s="652">
        <f t="shared" si="182"/>
        <v>0</v>
      </c>
      <c r="N227" s="651">
        <f t="array" ref="N227">IFERROR(INDEX('HIV-Equipment'!$I$14:$I$58,MATCH($E227&amp;$F227,'HIV-Equipment'!$C$14:$C$58&amp;'HIV-Equipment'!$D$14:$D$58,0)),0)</f>
        <v>0</v>
      </c>
      <c r="O227" s="652">
        <f t="shared" si="183"/>
        <v>0</v>
      </c>
      <c r="P227" s="652">
        <f t="shared" si="184"/>
        <v>0</v>
      </c>
      <c r="Q227" s="652">
        <f t="shared" si="185"/>
        <v>0</v>
      </c>
      <c r="R227" s="651">
        <f t="array" ref="R227">IFERROR(INDEX('HIV-Equipment'!$J$14:$J$58,MATCH($E227&amp;$F227,'HIV-Equipment'!$C$14:$C$58&amp;'HIV-Equipment'!$D$14:$D$58,0)),0)</f>
        <v>0</v>
      </c>
      <c r="S227" s="652">
        <f t="shared" si="186"/>
        <v>0</v>
      </c>
      <c r="T227" s="652">
        <f t="shared" si="187"/>
        <v>0</v>
      </c>
      <c r="U227" s="652">
        <f t="shared" si="188"/>
        <v>0</v>
      </c>
      <c r="V227" s="651">
        <f t="array" ref="V227">IFERROR(INDEX('HIV-Equipment'!$K$14:$K$58,MATCH($E227&amp;$F227,'HIV-Equipment'!$C$14:$C$58&amp;'HIV-Equipment'!$D$14:$D$58,0)),0)</f>
        <v>0</v>
      </c>
      <c r="W227" s="652">
        <f t="shared" si="189"/>
        <v>0</v>
      </c>
      <c r="X227" s="652">
        <f t="shared" si="190"/>
        <v>0</v>
      </c>
      <c r="Y227" s="652">
        <f t="shared" si="191"/>
        <v>0</v>
      </c>
      <c r="Z227" s="661"/>
      <c r="AA227" s="651">
        <f t="array" ref="AA227">IFERROR(INDEX('HIV-Equipment'!$N$14:$N$58,MATCH($E227&amp;$F227,'HIV-Equipment'!$C$14:$C$58&amp;'HIV-Equipment'!$D$14:$D$58,0)),0)</f>
        <v>0</v>
      </c>
      <c r="AB227" s="651">
        <f t="array" ref="AB227">IFERROR(INDEX('HIV-Equipment'!$O$14:$O$58,MATCH($E227&amp;$F227,'HIV-Equipment'!$C$14:$C$58&amp;'HIV-Equipment'!$D$14:$D$58,0)),0)</f>
        <v>0</v>
      </c>
      <c r="AC227" s="651">
        <f t="shared" si="192"/>
        <v>0</v>
      </c>
      <c r="AD227" s="652">
        <f t="shared" si="193"/>
        <v>0</v>
      </c>
      <c r="AE227" s="652">
        <f t="shared" si="194"/>
        <v>0</v>
      </c>
      <c r="AF227" s="651">
        <f t="array" ref="AF227">IFERROR(INDEX('HIV-Equipment'!$P$14:$P$58,MATCH($E227&amp;$F227,'HIV-Equipment'!$C$14:$C$58&amp;'HIV-Equipment'!$D$14:$D$58,0)),0)</f>
        <v>0</v>
      </c>
      <c r="AG227" s="651">
        <f t="shared" si="195"/>
        <v>0</v>
      </c>
      <c r="AH227" s="652">
        <f t="shared" si="196"/>
        <v>0</v>
      </c>
      <c r="AI227" s="652">
        <f t="shared" si="197"/>
        <v>0</v>
      </c>
      <c r="AJ227" s="651">
        <f t="array" ref="AJ227">IFERROR(INDEX('HIV-Equipment'!$Q$14:$Q$58,MATCH($E227&amp;$F227,'HIV-Equipment'!$C$14:$C$58&amp;'HIV-Equipment'!$D$14:$D$58,0)),0)</f>
        <v>0</v>
      </c>
      <c r="AK227" s="651">
        <f t="shared" si="198"/>
        <v>0</v>
      </c>
      <c r="AL227" s="652">
        <f t="shared" si="199"/>
        <v>0</v>
      </c>
      <c r="AM227" s="652">
        <f t="shared" si="200"/>
        <v>0</v>
      </c>
      <c r="AN227" s="651">
        <f t="array" ref="AN227">IFERROR(INDEX('HIV-Equipment'!$R$14:$R$58,MATCH($E227&amp;$F227,'HIV-Equipment'!$C$14:$C$58&amp;'HIV-Equipment'!$D$14:$D$58,0)),0)</f>
        <v>0</v>
      </c>
      <c r="AO227" s="651">
        <f t="shared" si="201"/>
        <v>0</v>
      </c>
      <c r="AP227" s="652">
        <f t="shared" si="202"/>
        <v>0</v>
      </c>
      <c r="AQ227" s="652">
        <f t="shared" si="203"/>
        <v>0</v>
      </c>
      <c r="AR227" s="661"/>
      <c r="AS227" s="651">
        <f t="array" ref="AS227">IFERROR(INDEX('HIV-Equipment'!$U$14:$U$58,MATCH($E227&amp;$F227,'HIV-Equipment'!$C$14:$C$58&amp;'HIV-Equipment'!$D$14:$D$58,0)),0)</f>
        <v>0</v>
      </c>
      <c r="AT227" s="651">
        <f t="array" ref="AT227">IFERROR(INDEX('HIV-Equipment'!$V$14:$V$58,MATCH($E227&amp;$F227,'HIV-Equipment'!$C$14:$C$58&amp;'HIV-Equipment'!$D$14:$D$58,0)),0)</f>
        <v>0</v>
      </c>
      <c r="AU227" s="651">
        <f t="shared" si="204"/>
        <v>0</v>
      </c>
      <c r="AV227" s="652">
        <f t="shared" si="205"/>
        <v>0</v>
      </c>
      <c r="AW227" s="652">
        <f t="shared" si="206"/>
        <v>0</v>
      </c>
      <c r="AX227" s="651">
        <f t="array" ref="AX227">IFERROR(INDEX('HIV-Equipment'!$W$14:$W$58,MATCH($E227&amp;$F227,'HIV-Equipment'!$C$14:$C$58&amp;'HIV-Equipment'!$D$14:$D$58,0)),0)</f>
        <v>0</v>
      </c>
      <c r="AY227" s="651">
        <f t="shared" si="207"/>
        <v>0</v>
      </c>
      <c r="AZ227" s="652">
        <f t="shared" si="208"/>
        <v>0</v>
      </c>
      <c r="BA227" s="652">
        <f t="shared" si="209"/>
        <v>0</v>
      </c>
      <c r="BB227" s="651">
        <f t="array" ref="BB227">IFERROR(INDEX('HIV-Equipment'!$X$14:$X$58,MATCH($E227&amp;$F227,'HIV-Equipment'!$C$14:$C$58&amp;'HIV-Equipment'!$D$14:$D$58,0)),0)</f>
        <v>0</v>
      </c>
      <c r="BC227" s="651">
        <f t="shared" si="210"/>
        <v>0</v>
      </c>
      <c r="BD227" s="652">
        <f t="shared" si="211"/>
        <v>0</v>
      </c>
      <c r="BE227" s="652">
        <f t="shared" si="212"/>
        <v>0</v>
      </c>
      <c r="BF227" s="651">
        <f t="array" ref="BF227">IFERROR(INDEX('HIV-Equipment'!$Y$14:$Y$58,MATCH($E227&amp;$F227,'HIV-Equipment'!$C$14:$C$58&amp;'HIV-Equipment'!$D$14:$D$58,0)),0)</f>
        <v>0</v>
      </c>
      <c r="BG227" s="651">
        <f t="shared" si="213"/>
        <v>0</v>
      </c>
      <c r="BH227" s="652">
        <f t="shared" si="214"/>
        <v>0</v>
      </c>
      <c r="BI227" s="652">
        <f t="shared" si="215"/>
        <v>0</v>
      </c>
      <c r="BJ227" s="662"/>
      <c r="BK227" s="654"/>
      <c r="BL227" s="654"/>
      <c r="BM227" s="654"/>
      <c r="BN227" s="654"/>
      <c r="BO227" s="654"/>
      <c r="BP227" s="654"/>
      <c r="BQ227" s="654"/>
      <c r="BR227" s="654"/>
    </row>
    <row r="228" spans="1:70" s="426" customFormat="1">
      <c r="A228" s="655" t="s">
        <v>1855</v>
      </c>
      <c r="B228" s="655" t="s">
        <v>2283</v>
      </c>
      <c r="C228" s="648">
        <f>SETUP!$F$23</f>
        <v>0</v>
      </c>
      <c r="D228" s="654">
        <v>6.6</v>
      </c>
      <c r="E228" s="655" t="s">
        <v>216</v>
      </c>
      <c r="F228" s="655" t="s">
        <v>201</v>
      </c>
      <c r="G228" s="650" t="str">
        <f t="array" ref="G228">IFERROR(INDEX('HIV-Equipment'!$E$14:$E$58,MATCH($E228&amp;$F228,'HIV-Equipment'!$C$14:$C$58&amp;'HIV-Equipment'!$D$14:$D$58,0)),"")</f>
        <v/>
      </c>
      <c r="H228" s="650" t="str">
        <f t="array" ref="H228">IFERROR(INDEX('HIV-Equipment'!$F$14:$F$58,MATCH($E228&amp;$F228,'HIV-Equipment'!$C$14:$C$58&amp;'HIV-Equipment'!$D$14:$D$58,0)),"")</f>
        <v/>
      </c>
      <c r="I228" s="651">
        <f t="array" ref="I228">IFERROR(INDEX('HIV-Equipment'!$G$14:$G$58,MATCH($E228&amp;$F228,'HIV-Equipment'!$C$14:$C$58&amp;'HIV-Equipment'!$D$14:$D$58,0)),0)</f>
        <v>0</v>
      </c>
      <c r="J228" s="651">
        <f t="array" ref="J228">IFERROR(INDEX('HIV-Equipment'!$H$14:$H$58,MATCH($E228&amp;$F228,'HIV-Equipment'!$C$14:$C$58&amp;'HIV-Equipment'!$D$14:$D$58,0)),0)</f>
        <v>0</v>
      </c>
      <c r="K228" s="652">
        <f t="shared" si="180"/>
        <v>0</v>
      </c>
      <c r="L228" s="652">
        <f t="shared" si="181"/>
        <v>0</v>
      </c>
      <c r="M228" s="652">
        <f t="shared" si="182"/>
        <v>0</v>
      </c>
      <c r="N228" s="651">
        <f t="array" ref="N228">IFERROR(INDEX('HIV-Equipment'!$I$14:$I$58,MATCH($E228&amp;$F228,'HIV-Equipment'!$C$14:$C$58&amp;'HIV-Equipment'!$D$14:$D$58,0)),0)</f>
        <v>0</v>
      </c>
      <c r="O228" s="652">
        <f t="shared" si="183"/>
        <v>0</v>
      </c>
      <c r="P228" s="652">
        <f t="shared" si="184"/>
        <v>0</v>
      </c>
      <c r="Q228" s="652">
        <f t="shared" si="185"/>
        <v>0</v>
      </c>
      <c r="R228" s="651">
        <f t="array" ref="R228">IFERROR(INDEX('HIV-Equipment'!$J$14:$J$58,MATCH($E228&amp;$F228,'HIV-Equipment'!$C$14:$C$58&amp;'HIV-Equipment'!$D$14:$D$58,0)),0)</f>
        <v>0</v>
      </c>
      <c r="S228" s="652">
        <f t="shared" si="186"/>
        <v>0</v>
      </c>
      <c r="T228" s="652">
        <f t="shared" si="187"/>
        <v>0</v>
      </c>
      <c r="U228" s="652">
        <f t="shared" si="188"/>
        <v>0</v>
      </c>
      <c r="V228" s="651">
        <f t="array" ref="V228">IFERROR(INDEX('HIV-Equipment'!$K$14:$K$58,MATCH($E228&amp;$F228,'HIV-Equipment'!$C$14:$C$58&amp;'HIV-Equipment'!$D$14:$D$58,0)),0)</f>
        <v>0</v>
      </c>
      <c r="W228" s="652">
        <f t="shared" si="189"/>
        <v>0</v>
      </c>
      <c r="X228" s="652">
        <f t="shared" si="190"/>
        <v>0</v>
      </c>
      <c r="Y228" s="652">
        <f t="shared" si="191"/>
        <v>0</v>
      </c>
      <c r="Z228" s="661"/>
      <c r="AA228" s="651">
        <f t="array" ref="AA228">IFERROR(INDEX('HIV-Equipment'!$N$14:$N$58,MATCH($E228&amp;$F228,'HIV-Equipment'!$C$14:$C$58&amp;'HIV-Equipment'!$D$14:$D$58,0)),0)</f>
        <v>0</v>
      </c>
      <c r="AB228" s="651">
        <f t="array" ref="AB228">IFERROR(INDEX('HIV-Equipment'!$O$14:$O$58,MATCH($E228&amp;$F228,'HIV-Equipment'!$C$14:$C$58&amp;'HIV-Equipment'!$D$14:$D$58,0)),0)</f>
        <v>0</v>
      </c>
      <c r="AC228" s="651">
        <f t="shared" si="192"/>
        <v>0</v>
      </c>
      <c r="AD228" s="652">
        <f t="shared" si="193"/>
        <v>0</v>
      </c>
      <c r="AE228" s="652">
        <f t="shared" si="194"/>
        <v>0</v>
      </c>
      <c r="AF228" s="651">
        <f t="array" ref="AF228">IFERROR(INDEX('HIV-Equipment'!$P$14:$P$58,MATCH($E228&amp;$F228,'HIV-Equipment'!$C$14:$C$58&amp;'HIV-Equipment'!$D$14:$D$58,0)),0)</f>
        <v>0</v>
      </c>
      <c r="AG228" s="651">
        <f t="shared" si="195"/>
        <v>0</v>
      </c>
      <c r="AH228" s="652">
        <f t="shared" si="196"/>
        <v>0</v>
      </c>
      <c r="AI228" s="652">
        <f t="shared" si="197"/>
        <v>0</v>
      </c>
      <c r="AJ228" s="651">
        <f t="array" ref="AJ228">IFERROR(INDEX('HIV-Equipment'!$Q$14:$Q$58,MATCH($E228&amp;$F228,'HIV-Equipment'!$C$14:$C$58&amp;'HIV-Equipment'!$D$14:$D$58,0)),0)</f>
        <v>0</v>
      </c>
      <c r="AK228" s="651">
        <f t="shared" si="198"/>
        <v>0</v>
      </c>
      <c r="AL228" s="652">
        <f t="shared" si="199"/>
        <v>0</v>
      </c>
      <c r="AM228" s="652">
        <f t="shared" si="200"/>
        <v>0</v>
      </c>
      <c r="AN228" s="651">
        <f t="array" ref="AN228">IFERROR(INDEX('HIV-Equipment'!$R$14:$R$58,MATCH($E228&amp;$F228,'HIV-Equipment'!$C$14:$C$58&amp;'HIV-Equipment'!$D$14:$D$58,0)),0)</f>
        <v>0</v>
      </c>
      <c r="AO228" s="651">
        <f t="shared" si="201"/>
        <v>0</v>
      </c>
      <c r="AP228" s="652">
        <f t="shared" si="202"/>
        <v>0</v>
      </c>
      <c r="AQ228" s="652">
        <f t="shared" si="203"/>
        <v>0</v>
      </c>
      <c r="AR228" s="661"/>
      <c r="AS228" s="651">
        <f t="array" ref="AS228">IFERROR(INDEX('HIV-Equipment'!$U$14:$U$58,MATCH($E228&amp;$F228,'HIV-Equipment'!$C$14:$C$58&amp;'HIV-Equipment'!$D$14:$D$58,0)),0)</f>
        <v>0</v>
      </c>
      <c r="AT228" s="651">
        <f t="array" ref="AT228">IFERROR(INDEX('HIV-Equipment'!$V$14:$V$58,MATCH($E228&amp;$F228,'HIV-Equipment'!$C$14:$C$58&amp;'HIV-Equipment'!$D$14:$D$58,0)),0)</f>
        <v>0</v>
      </c>
      <c r="AU228" s="651">
        <f t="shared" si="204"/>
        <v>0</v>
      </c>
      <c r="AV228" s="652">
        <f t="shared" si="205"/>
        <v>0</v>
      </c>
      <c r="AW228" s="652">
        <f t="shared" si="206"/>
        <v>0</v>
      </c>
      <c r="AX228" s="651">
        <f t="array" ref="AX228">IFERROR(INDEX('HIV-Equipment'!$W$14:$W$58,MATCH($E228&amp;$F228,'HIV-Equipment'!$C$14:$C$58&amp;'HIV-Equipment'!$D$14:$D$58,0)),0)</f>
        <v>0</v>
      </c>
      <c r="AY228" s="651">
        <f t="shared" si="207"/>
        <v>0</v>
      </c>
      <c r="AZ228" s="652">
        <f t="shared" si="208"/>
        <v>0</v>
      </c>
      <c r="BA228" s="652">
        <f t="shared" si="209"/>
        <v>0</v>
      </c>
      <c r="BB228" s="651">
        <f t="array" ref="BB228">IFERROR(INDEX('HIV-Equipment'!$X$14:$X$58,MATCH($E228&amp;$F228,'HIV-Equipment'!$C$14:$C$58&amp;'HIV-Equipment'!$D$14:$D$58,0)),0)</f>
        <v>0</v>
      </c>
      <c r="BC228" s="651">
        <f t="shared" si="210"/>
        <v>0</v>
      </c>
      <c r="BD228" s="652">
        <f t="shared" si="211"/>
        <v>0</v>
      </c>
      <c r="BE228" s="652">
        <f t="shared" si="212"/>
        <v>0</v>
      </c>
      <c r="BF228" s="651">
        <f t="array" ref="BF228">IFERROR(INDEX('HIV-Equipment'!$Y$14:$Y$58,MATCH($E228&amp;$F228,'HIV-Equipment'!$C$14:$C$58&amp;'HIV-Equipment'!$D$14:$D$58,0)),0)</f>
        <v>0</v>
      </c>
      <c r="BG228" s="651">
        <f t="shared" si="213"/>
        <v>0</v>
      </c>
      <c r="BH228" s="652">
        <f t="shared" si="214"/>
        <v>0</v>
      </c>
      <c r="BI228" s="652">
        <f t="shared" si="215"/>
        <v>0</v>
      </c>
      <c r="BJ228" s="662"/>
      <c r="BK228" s="654"/>
      <c r="BL228" s="654"/>
      <c r="BM228" s="654"/>
      <c r="BN228" s="654"/>
      <c r="BO228" s="654"/>
      <c r="BP228" s="654"/>
      <c r="BQ228" s="654"/>
      <c r="BR228" s="654"/>
    </row>
    <row r="229" spans="1:70" s="426" customFormat="1">
      <c r="A229" s="655" t="s">
        <v>1855</v>
      </c>
      <c r="B229" s="655" t="s">
        <v>2283</v>
      </c>
      <c r="C229" s="648">
        <f>SETUP!$F$23</f>
        <v>0</v>
      </c>
      <c r="D229" s="654">
        <v>6.6</v>
      </c>
      <c r="E229" s="655" t="s">
        <v>216</v>
      </c>
      <c r="F229" s="655" t="s">
        <v>200</v>
      </c>
      <c r="G229" s="650" t="str">
        <f t="array" ref="G229">IFERROR(INDEX('HIV-Equipment'!$E$14:$E$58,MATCH($E229&amp;$F229,'HIV-Equipment'!$C$14:$C$58&amp;'HIV-Equipment'!$D$14:$D$58,0)),"")</f>
        <v/>
      </c>
      <c r="H229" s="650" t="str">
        <f t="array" ref="H229">IFERROR(INDEX('HIV-Equipment'!$F$14:$F$58,MATCH($E229&amp;$F229,'HIV-Equipment'!$C$14:$C$58&amp;'HIV-Equipment'!$D$14:$D$58,0)),"")</f>
        <v/>
      </c>
      <c r="I229" s="651">
        <f t="array" ref="I229">IFERROR(INDEX('HIV-Equipment'!$G$14:$G$58,MATCH($E229&amp;$F229,'HIV-Equipment'!$C$14:$C$58&amp;'HIV-Equipment'!$D$14:$D$58,0)),0)</f>
        <v>0</v>
      </c>
      <c r="J229" s="651">
        <f t="array" ref="J229">IFERROR(INDEX('HIV-Equipment'!$H$14:$H$58,MATCH($E229&amp;$F229,'HIV-Equipment'!$C$14:$C$58&amp;'HIV-Equipment'!$D$14:$D$58,0)),0)</f>
        <v>0</v>
      </c>
      <c r="K229" s="652">
        <f t="shared" si="180"/>
        <v>0</v>
      </c>
      <c r="L229" s="652">
        <f t="shared" si="181"/>
        <v>0</v>
      </c>
      <c r="M229" s="652">
        <f t="shared" si="182"/>
        <v>0</v>
      </c>
      <c r="N229" s="651">
        <f t="array" ref="N229">IFERROR(INDEX('HIV-Equipment'!$I$14:$I$58,MATCH($E229&amp;$F229,'HIV-Equipment'!$C$14:$C$58&amp;'HIV-Equipment'!$D$14:$D$58,0)),0)</f>
        <v>0</v>
      </c>
      <c r="O229" s="652">
        <f t="shared" si="183"/>
        <v>0</v>
      </c>
      <c r="P229" s="652">
        <f t="shared" si="184"/>
        <v>0</v>
      </c>
      <c r="Q229" s="652">
        <f t="shared" si="185"/>
        <v>0</v>
      </c>
      <c r="R229" s="651">
        <f t="array" ref="R229">IFERROR(INDEX('HIV-Equipment'!$J$14:$J$58,MATCH($E229&amp;$F229,'HIV-Equipment'!$C$14:$C$58&amp;'HIV-Equipment'!$D$14:$D$58,0)),0)</f>
        <v>0</v>
      </c>
      <c r="S229" s="652">
        <f t="shared" si="186"/>
        <v>0</v>
      </c>
      <c r="T229" s="652">
        <f t="shared" si="187"/>
        <v>0</v>
      </c>
      <c r="U229" s="652">
        <f t="shared" si="188"/>
        <v>0</v>
      </c>
      <c r="V229" s="651">
        <f t="array" ref="V229">IFERROR(INDEX('HIV-Equipment'!$K$14:$K$58,MATCH($E229&amp;$F229,'HIV-Equipment'!$C$14:$C$58&amp;'HIV-Equipment'!$D$14:$D$58,0)),0)</f>
        <v>0</v>
      </c>
      <c r="W229" s="652">
        <f t="shared" si="189"/>
        <v>0</v>
      </c>
      <c r="X229" s="652">
        <f t="shared" si="190"/>
        <v>0</v>
      </c>
      <c r="Y229" s="652">
        <f t="shared" si="191"/>
        <v>0</v>
      </c>
      <c r="Z229" s="661"/>
      <c r="AA229" s="651">
        <f t="array" ref="AA229">IFERROR(INDEX('HIV-Equipment'!$N$14:$N$58,MATCH($E229&amp;$F229,'HIV-Equipment'!$C$14:$C$58&amp;'HIV-Equipment'!$D$14:$D$58,0)),0)</f>
        <v>0</v>
      </c>
      <c r="AB229" s="651">
        <f t="array" ref="AB229">IFERROR(INDEX('HIV-Equipment'!$O$14:$O$58,MATCH($E229&amp;$F229,'HIV-Equipment'!$C$14:$C$58&amp;'HIV-Equipment'!$D$14:$D$58,0)),0)</f>
        <v>0</v>
      </c>
      <c r="AC229" s="651">
        <f t="shared" si="192"/>
        <v>0</v>
      </c>
      <c r="AD229" s="652">
        <f t="shared" si="193"/>
        <v>0</v>
      </c>
      <c r="AE229" s="652">
        <f t="shared" si="194"/>
        <v>0</v>
      </c>
      <c r="AF229" s="651">
        <f t="array" ref="AF229">IFERROR(INDEX('HIV-Equipment'!$P$14:$P$58,MATCH($E229&amp;$F229,'HIV-Equipment'!$C$14:$C$58&amp;'HIV-Equipment'!$D$14:$D$58,0)),0)</f>
        <v>0</v>
      </c>
      <c r="AG229" s="651">
        <f t="shared" si="195"/>
        <v>0</v>
      </c>
      <c r="AH229" s="652">
        <f t="shared" si="196"/>
        <v>0</v>
      </c>
      <c r="AI229" s="652">
        <f t="shared" si="197"/>
        <v>0</v>
      </c>
      <c r="AJ229" s="651">
        <f t="array" ref="AJ229">IFERROR(INDEX('HIV-Equipment'!$Q$14:$Q$58,MATCH($E229&amp;$F229,'HIV-Equipment'!$C$14:$C$58&amp;'HIV-Equipment'!$D$14:$D$58,0)),0)</f>
        <v>0</v>
      </c>
      <c r="AK229" s="651">
        <f t="shared" si="198"/>
        <v>0</v>
      </c>
      <c r="AL229" s="652">
        <f t="shared" si="199"/>
        <v>0</v>
      </c>
      <c r="AM229" s="652">
        <f t="shared" si="200"/>
        <v>0</v>
      </c>
      <c r="AN229" s="651">
        <f t="array" ref="AN229">IFERROR(INDEX('HIV-Equipment'!$R$14:$R$58,MATCH($E229&amp;$F229,'HIV-Equipment'!$C$14:$C$58&amp;'HIV-Equipment'!$D$14:$D$58,0)),0)</f>
        <v>0</v>
      </c>
      <c r="AO229" s="651">
        <f t="shared" si="201"/>
        <v>0</v>
      </c>
      <c r="AP229" s="652">
        <f t="shared" si="202"/>
        <v>0</v>
      </c>
      <c r="AQ229" s="652">
        <f t="shared" si="203"/>
        <v>0</v>
      </c>
      <c r="AR229" s="661"/>
      <c r="AS229" s="651">
        <f t="array" ref="AS229">IFERROR(INDEX('HIV-Equipment'!$U$14:$U$58,MATCH($E229&amp;$F229,'HIV-Equipment'!$C$14:$C$58&amp;'HIV-Equipment'!$D$14:$D$58,0)),0)</f>
        <v>0</v>
      </c>
      <c r="AT229" s="651">
        <f t="array" ref="AT229">IFERROR(INDEX('HIV-Equipment'!$V$14:$V$58,MATCH($E229&amp;$F229,'HIV-Equipment'!$C$14:$C$58&amp;'HIV-Equipment'!$D$14:$D$58,0)),0)</f>
        <v>0</v>
      </c>
      <c r="AU229" s="651">
        <f t="shared" si="204"/>
        <v>0</v>
      </c>
      <c r="AV229" s="652">
        <f t="shared" si="205"/>
        <v>0</v>
      </c>
      <c r="AW229" s="652">
        <f t="shared" si="206"/>
        <v>0</v>
      </c>
      <c r="AX229" s="651">
        <f t="array" ref="AX229">IFERROR(INDEX('HIV-Equipment'!$W$14:$W$58,MATCH($E229&amp;$F229,'HIV-Equipment'!$C$14:$C$58&amp;'HIV-Equipment'!$D$14:$D$58,0)),0)</f>
        <v>0</v>
      </c>
      <c r="AY229" s="651">
        <f t="shared" si="207"/>
        <v>0</v>
      </c>
      <c r="AZ229" s="652">
        <f t="shared" si="208"/>
        <v>0</v>
      </c>
      <c r="BA229" s="652">
        <f t="shared" si="209"/>
        <v>0</v>
      </c>
      <c r="BB229" s="651">
        <f t="array" ref="BB229">IFERROR(INDEX('HIV-Equipment'!$X$14:$X$58,MATCH($E229&amp;$F229,'HIV-Equipment'!$C$14:$C$58&amp;'HIV-Equipment'!$D$14:$D$58,0)),0)</f>
        <v>0</v>
      </c>
      <c r="BC229" s="651">
        <f t="shared" si="210"/>
        <v>0</v>
      </c>
      <c r="BD229" s="652">
        <f t="shared" si="211"/>
        <v>0</v>
      </c>
      <c r="BE229" s="652">
        <f t="shared" si="212"/>
        <v>0</v>
      </c>
      <c r="BF229" s="651">
        <f t="array" ref="BF229">IFERROR(INDEX('HIV-Equipment'!$Y$14:$Y$58,MATCH($E229&amp;$F229,'HIV-Equipment'!$C$14:$C$58&amp;'HIV-Equipment'!$D$14:$D$58,0)),0)</f>
        <v>0</v>
      </c>
      <c r="BG229" s="651">
        <f t="shared" si="213"/>
        <v>0</v>
      </c>
      <c r="BH229" s="652">
        <f t="shared" si="214"/>
        <v>0</v>
      </c>
      <c r="BI229" s="652">
        <f t="shared" si="215"/>
        <v>0</v>
      </c>
      <c r="BJ229" s="662"/>
      <c r="BK229" s="654"/>
      <c r="BL229" s="654"/>
      <c r="BM229" s="654"/>
      <c r="BN229" s="654"/>
      <c r="BO229" s="654"/>
      <c r="BP229" s="654"/>
      <c r="BQ229" s="654"/>
      <c r="BR229" s="654"/>
    </row>
    <row r="230" spans="1:70" s="426" customFormat="1">
      <c r="A230" s="655" t="s">
        <v>1855</v>
      </c>
      <c r="B230" s="655" t="s">
        <v>2283</v>
      </c>
      <c r="C230" s="648">
        <f>SETUP!$F$23</f>
        <v>0</v>
      </c>
      <c r="D230" s="654">
        <v>6.5</v>
      </c>
      <c r="E230" s="655" t="s">
        <v>217</v>
      </c>
      <c r="F230" s="655" t="s">
        <v>218</v>
      </c>
      <c r="G230" s="650" t="str">
        <f t="array" ref="G230">IFERROR(INDEX('HIV-Equipment'!$E$14:$E$58,MATCH($E230&amp;$F230,'HIV-Equipment'!$C$14:$C$58&amp;'HIV-Equipment'!$D$14:$D$58,0)),"")</f>
        <v/>
      </c>
      <c r="H230" s="650" t="str">
        <f t="array" ref="H230">IFERROR(INDEX('HIV-Equipment'!$F$14:$F$58,MATCH($E230&amp;$F230,'HIV-Equipment'!$C$14:$C$58&amp;'HIV-Equipment'!$D$14:$D$58,0)),"")</f>
        <v/>
      </c>
      <c r="I230" s="651">
        <f t="array" ref="I230">IFERROR(INDEX('HIV-Equipment'!$G$14:$G$58,MATCH($E230&amp;$F230,'HIV-Equipment'!$C$14:$C$58&amp;'HIV-Equipment'!$D$14:$D$58,0)),0)</f>
        <v>0</v>
      </c>
      <c r="J230" s="651">
        <f t="array" ref="J230">IFERROR(INDEX('HIV-Equipment'!$H$14:$H$58,MATCH($E230&amp;$F230,'HIV-Equipment'!$C$14:$C$58&amp;'HIV-Equipment'!$D$14:$D$58,0)),0)</f>
        <v>0</v>
      </c>
      <c r="K230" s="652">
        <f t="shared" si="180"/>
        <v>0</v>
      </c>
      <c r="L230" s="652">
        <f t="shared" si="181"/>
        <v>0</v>
      </c>
      <c r="M230" s="652">
        <f t="shared" si="182"/>
        <v>0</v>
      </c>
      <c r="N230" s="651">
        <f t="array" ref="N230">IFERROR(INDEX('HIV-Equipment'!$I$14:$I$58,MATCH($E230&amp;$F230,'HIV-Equipment'!$C$14:$C$58&amp;'HIV-Equipment'!$D$14:$D$58,0)),0)</f>
        <v>0</v>
      </c>
      <c r="O230" s="652">
        <f t="shared" si="183"/>
        <v>0</v>
      </c>
      <c r="P230" s="652">
        <f t="shared" si="184"/>
        <v>0</v>
      </c>
      <c r="Q230" s="652">
        <f t="shared" si="185"/>
        <v>0</v>
      </c>
      <c r="R230" s="651">
        <f t="array" ref="R230">IFERROR(INDEX('HIV-Equipment'!$J$14:$J$58,MATCH($E230&amp;$F230,'HIV-Equipment'!$C$14:$C$58&amp;'HIV-Equipment'!$D$14:$D$58,0)),0)</f>
        <v>0</v>
      </c>
      <c r="S230" s="652">
        <f t="shared" si="186"/>
        <v>0</v>
      </c>
      <c r="T230" s="652">
        <f t="shared" si="187"/>
        <v>0</v>
      </c>
      <c r="U230" s="652">
        <f t="shared" si="188"/>
        <v>0</v>
      </c>
      <c r="V230" s="651">
        <f t="array" ref="V230">IFERROR(INDEX('HIV-Equipment'!$K$14:$K$58,MATCH($E230&amp;$F230,'HIV-Equipment'!$C$14:$C$58&amp;'HIV-Equipment'!$D$14:$D$58,0)),0)</f>
        <v>0</v>
      </c>
      <c r="W230" s="652">
        <f t="shared" si="189"/>
        <v>0</v>
      </c>
      <c r="X230" s="652">
        <f t="shared" si="190"/>
        <v>0</v>
      </c>
      <c r="Y230" s="652">
        <f t="shared" si="191"/>
        <v>0</v>
      </c>
      <c r="Z230" s="661"/>
      <c r="AA230" s="651">
        <f t="array" ref="AA230">IFERROR(INDEX('HIV-Equipment'!$N$14:$N$58,MATCH($E230&amp;$F230,'HIV-Equipment'!$C$14:$C$58&amp;'HIV-Equipment'!$D$14:$D$58,0)),0)</f>
        <v>0</v>
      </c>
      <c r="AB230" s="651">
        <f t="array" ref="AB230">IFERROR(INDEX('HIV-Equipment'!$O$14:$O$58,MATCH($E230&amp;$F230,'HIV-Equipment'!$C$14:$C$58&amp;'HIV-Equipment'!$D$14:$D$58,0)),0)</f>
        <v>0</v>
      </c>
      <c r="AC230" s="651">
        <f t="shared" si="192"/>
        <v>0</v>
      </c>
      <c r="AD230" s="652">
        <f t="shared" si="193"/>
        <v>0</v>
      </c>
      <c r="AE230" s="652">
        <f t="shared" si="194"/>
        <v>0</v>
      </c>
      <c r="AF230" s="651">
        <f t="array" ref="AF230">IFERROR(INDEX('HIV-Equipment'!$P$14:$P$58,MATCH($E230&amp;$F230,'HIV-Equipment'!$C$14:$C$58&amp;'HIV-Equipment'!$D$14:$D$58,0)),0)</f>
        <v>0</v>
      </c>
      <c r="AG230" s="651">
        <f t="shared" si="195"/>
        <v>0</v>
      </c>
      <c r="AH230" s="652">
        <f t="shared" si="196"/>
        <v>0</v>
      </c>
      <c r="AI230" s="652">
        <f t="shared" si="197"/>
        <v>0</v>
      </c>
      <c r="AJ230" s="651">
        <f t="array" ref="AJ230">IFERROR(INDEX('HIV-Equipment'!$Q$14:$Q$58,MATCH($E230&amp;$F230,'HIV-Equipment'!$C$14:$C$58&amp;'HIV-Equipment'!$D$14:$D$58,0)),0)</f>
        <v>0</v>
      </c>
      <c r="AK230" s="651">
        <f t="shared" si="198"/>
        <v>0</v>
      </c>
      <c r="AL230" s="652">
        <f t="shared" si="199"/>
        <v>0</v>
      </c>
      <c r="AM230" s="652">
        <f t="shared" si="200"/>
        <v>0</v>
      </c>
      <c r="AN230" s="651">
        <f t="array" ref="AN230">IFERROR(INDEX('HIV-Equipment'!$R$14:$R$58,MATCH($E230&amp;$F230,'HIV-Equipment'!$C$14:$C$58&amp;'HIV-Equipment'!$D$14:$D$58,0)),0)</f>
        <v>0</v>
      </c>
      <c r="AO230" s="651">
        <f t="shared" si="201"/>
        <v>0</v>
      </c>
      <c r="AP230" s="652">
        <f t="shared" si="202"/>
        <v>0</v>
      </c>
      <c r="AQ230" s="652">
        <f t="shared" si="203"/>
        <v>0</v>
      </c>
      <c r="AR230" s="661"/>
      <c r="AS230" s="651">
        <f t="array" ref="AS230">IFERROR(INDEX('HIV-Equipment'!$U$14:$U$58,MATCH($E230&amp;$F230,'HIV-Equipment'!$C$14:$C$58&amp;'HIV-Equipment'!$D$14:$D$58,0)),0)</f>
        <v>0</v>
      </c>
      <c r="AT230" s="651">
        <f t="array" ref="AT230">IFERROR(INDEX('HIV-Equipment'!$V$14:$V$58,MATCH($E230&amp;$F230,'HIV-Equipment'!$C$14:$C$58&amp;'HIV-Equipment'!$D$14:$D$58,0)),0)</f>
        <v>0</v>
      </c>
      <c r="AU230" s="651">
        <f t="shared" si="204"/>
        <v>0</v>
      </c>
      <c r="AV230" s="652">
        <f t="shared" si="205"/>
        <v>0</v>
      </c>
      <c r="AW230" s="652">
        <f t="shared" si="206"/>
        <v>0</v>
      </c>
      <c r="AX230" s="651">
        <f t="array" ref="AX230">IFERROR(INDEX('HIV-Equipment'!$W$14:$W$58,MATCH($E230&amp;$F230,'HIV-Equipment'!$C$14:$C$58&amp;'HIV-Equipment'!$D$14:$D$58,0)),0)</f>
        <v>0</v>
      </c>
      <c r="AY230" s="651">
        <f t="shared" si="207"/>
        <v>0</v>
      </c>
      <c r="AZ230" s="652">
        <f t="shared" si="208"/>
        <v>0</v>
      </c>
      <c r="BA230" s="652">
        <f t="shared" si="209"/>
        <v>0</v>
      </c>
      <c r="BB230" s="651">
        <f t="array" ref="BB230">IFERROR(INDEX('HIV-Equipment'!$X$14:$X$58,MATCH($E230&amp;$F230,'HIV-Equipment'!$C$14:$C$58&amp;'HIV-Equipment'!$D$14:$D$58,0)),0)</f>
        <v>0</v>
      </c>
      <c r="BC230" s="651">
        <f t="shared" si="210"/>
        <v>0</v>
      </c>
      <c r="BD230" s="652">
        <f t="shared" si="211"/>
        <v>0</v>
      </c>
      <c r="BE230" s="652">
        <f t="shared" si="212"/>
        <v>0</v>
      </c>
      <c r="BF230" s="651">
        <f t="array" ref="BF230">IFERROR(INDEX('HIV-Equipment'!$Y$14:$Y$58,MATCH($E230&amp;$F230,'HIV-Equipment'!$C$14:$C$58&amp;'HIV-Equipment'!$D$14:$D$58,0)),0)</f>
        <v>0</v>
      </c>
      <c r="BG230" s="651">
        <f t="shared" si="213"/>
        <v>0</v>
      </c>
      <c r="BH230" s="652">
        <f t="shared" si="214"/>
        <v>0</v>
      </c>
      <c r="BI230" s="652">
        <f t="shared" si="215"/>
        <v>0</v>
      </c>
      <c r="BJ230" s="662"/>
      <c r="BK230" s="654"/>
      <c r="BL230" s="654"/>
      <c r="BM230" s="654"/>
      <c r="BN230" s="654"/>
      <c r="BO230" s="654"/>
      <c r="BP230" s="654"/>
      <c r="BQ230" s="654"/>
      <c r="BR230" s="654"/>
    </row>
    <row r="231" spans="1:70" s="426" customFormat="1">
      <c r="A231" s="655" t="s">
        <v>1855</v>
      </c>
      <c r="B231" s="655" t="s">
        <v>2283</v>
      </c>
      <c r="C231" s="648">
        <f>SETUP!$F$23</f>
        <v>0</v>
      </c>
      <c r="D231" s="654">
        <v>6.6</v>
      </c>
      <c r="E231" s="655" t="s">
        <v>217</v>
      </c>
      <c r="F231" s="655" t="s">
        <v>201</v>
      </c>
      <c r="G231" s="650" t="str">
        <f t="array" ref="G231">IFERROR(INDEX('HIV-Equipment'!$E$14:$E$58,MATCH($E231&amp;$F231,'HIV-Equipment'!$C$14:$C$58&amp;'HIV-Equipment'!$D$14:$D$58,0)),"")</f>
        <v/>
      </c>
      <c r="H231" s="650" t="str">
        <f t="array" ref="H231">IFERROR(INDEX('HIV-Equipment'!$F$14:$F$58,MATCH($E231&amp;$F231,'HIV-Equipment'!$C$14:$C$58&amp;'HIV-Equipment'!$D$14:$D$58,0)),"")</f>
        <v/>
      </c>
      <c r="I231" s="651">
        <f t="array" ref="I231">IFERROR(INDEX('HIV-Equipment'!$G$14:$G$58,MATCH($E231&amp;$F231,'HIV-Equipment'!$C$14:$C$58&amp;'HIV-Equipment'!$D$14:$D$58,0)),0)</f>
        <v>0</v>
      </c>
      <c r="J231" s="651">
        <f t="array" ref="J231">IFERROR(INDEX('HIV-Equipment'!$H$14:$H$58,MATCH($E231&amp;$F231,'HIV-Equipment'!$C$14:$C$58&amp;'HIV-Equipment'!$D$14:$D$58,0)),0)</f>
        <v>0</v>
      </c>
      <c r="K231" s="652">
        <f t="shared" si="180"/>
        <v>0</v>
      </c>
      <c r="L231" s="652">
        <f t="shared" si="181"/>
        <v>0</v>
      </c>
      <c r="M231" s="652">
        <f t="shared" si="182"/>
        <v>0</v>
      </c>
      <c r="N231" s="651">
        <f t="array" ref="N231">IFERROR(INDEX('HIV-Equipment'!$I$14:$I$58,MATCH($E231&amp;$F231,'HIV-Equipment'!$C$14:$C$58&amp;'HIV-Equipment'!$D$14:$D$58,0)),0)</f>
        <v>0</v>
      </c>
      <c r="O231" s="652">
        <f t="shared" si="183"/>
        <v>0</v>
      </c>
      <c r="P231" s="652">
        <f t="shared" si="184"/>
        <v>0</v>
      </c>
      <c r="Q231" s="652">
        <f t="shared" si="185"/>
        <v>0</v>
      </c>
      <c r="R231" s="651">
        <f t="array" ref="R231">IFERROR(INDEX('HIV-Equipment'!$J$14:$J$58,MATCH($E231&amp;$F231,'HIV-Equipment'!$C$14:$C$58&amp;'HIV-Equipment'!$D$14:$D$58,0)),0)</f>
        <v>0</v>
      </c>
      <c r="S231" s="652">
        <f t="shared" si="186"/>
        <v>0</v>
      </c>
      <c r="T231" s="652">
        <f t="shared" si="187"/>
        <v>0</v>
      </c>
      <c r="U231" s="652">
        <f t="shared" si="188"/>
        <v>0</v>
      </c>
      <c r="V231" s="651">
        <f t="array" ref="V231">IFERROR(INDEX('HIV-Equipment'!$K$14:$K$58,MATCH($E231&amp;$F231,'HIV-Equipment'!$C$14:$C$58&amp;'HIV-Equipment'!$D$14:$D$58,0)),0)</f>
        <v>0</v>
      </c>
      <c r="W231" s="652">
        <f t="shared" si="189"/>
        <v>0</v>
      </c>
      <c r="X231" s="652">
        <f t="shared" si="190"/>
        <v>0</v>
      </c>
      <c r="Y231" s="652">
        <f t="shared" si="191"/>
        <v>0</v>
      </c>
      <c r="Z231" s="661"/>
      <c r="AA231" s="651">
        <f t="array" ref="AA231">IFERROR(INDEX('HIV-Equipment'!$N$14:$N$58,MATCH($E231&amp;$F231,'HIV-Equipment'!$C$14:$C$58&amp;'HIV-Equipment'!$D$14:$D$58,0)),0)</f>
        <v>0</v>
      </c>
      <c r="AB231" s="651">
        <f t="array" ref="AB231">IFERROR(INDEX('HIV-Equipment'!$O$14:$O$58,MATCH($E231&amp;$F231,'HIV-Equipment'!$C$14:$C$58&amp;'HIV-Equipment'!$D$14:$D$58,0)),0)</f>
        <v>0</v>
      </c>
      <c r="AC231" s="651">
        <f t="shared" si="192"/>
        <v>0</v>
      </c>
      <c r="AD231" s="652">
        <f t="shared" si="193"/>
        <v>0</v>
      </c>
      <c r="AE231" s="652">
        <f t="shared" si="194"/>
        <v>0</v>
      </c>
      <c r="AF231" s="651">
        <f t="array" ref="AF231">IFERROR(INDEX('HIV-Equipment'!$P$14:$P$58,MATCH($E231&amp;$F231,'HIV-Equipment'!$C$14:$C$58&amp;'HIV-Equipment'!$D$14:$D$58,0)),0)</f>
        <v>0</v>
      </c>
      <c r="AG231" s="651">
        <f t="shared" si="195"/>
        <v>0</v>
      </c>
      <c r="AH231" s="652">
        <f t="shared" si="196"/>
        <v>0</v>
      </c>
      <c r="AI231" s="652">
        <f t="shared" si="197"/>
        <v>0</v>
      </c>
      <c r="AJ231" s="651">
        <f t="array" ref="AJ231">IFERROR(INDEX('HIV-Equipment'!$Q$14:$Q$58,MATCH($E231&amp;$F231,'HIV-Equipment'!$C$14:$C$58&amp;'HIV-Equipment'!$D$14:$D$58,0)),0)</f>
        <v>0</v>
      </c>
      <c r="AK231" s="651">
        <f t="shared" si="198"/>
        <v>0</v>
      </c>
      <c r="AL231" s="652">
        <f t="shared" si="199"/>
        <v>0</v>
      </c>
      <c r="AM231" s="652">
        <f t="shared" si="200"/>
        <v>0</v>
      </c>
      <c r="AN231" s="651">
        <f t="array" ref="AN231">IFERROR(INDEX('HIV-Equipment'!$R$14:$R$58,MATCH($E231&amp;$F231,'HIV-Equipment'!$C$14:$C$58&amp;'HIV-Equipment'!$D$14:$D$58,0)),0)</f>
        <v>0</v>
      </c>
      <c r="AO231" s="651">
        <f t="shared" si="201"/>
        <v>0</v>
      </c>
      <c r="AP231" s="652">
        <f t="shared" si="202"/>
        <v>0</v>
      </c>
      <c r="AQ231" s="652">
        <f t="shared" si="203"/>
        <v>0</v>
      </c>
      <c r="AR231" s="661"/>
      <c r="AS231" s="651">
        <f t="array" ref="AS231">IFERROR(INDEX('HIV-Equipment'!$U$14:$U$58,MATCH($E231&amp;$F231,'HIV-Equipment'!$C$14:$C$58&amp;'HIV-Equipment'!$D$14:$D$58,0)),0)</f>
        <v>0</v>
      </c>
      <c r="AT231" s="651">
        <f t="array" ref="AT231">IFERROR(INDEX('HIV-Equipment'!$V$14:$V$58,MATCH($E231&amp;$F231,'HIV-Equipment'!$C$14:$C$58&amp;'HIV-Equipment'!$D$14:$D$58,0)),0)</f>
        <v>0</v>
      </c>
      <c r="AU231" s="651">
        <f t="shared" si="204"/>
        <v>0</v>
      </c>
      <c r="AV231" s="652">
        <f t="shared" si="205"/>
        <v>0</v>
      </c>
      <c r="AW231" s="652">
        <f t="shared" si="206"/>
        <v>0</v>
      </c>
      <c r="AX231" s="651">
        <f t="array" ref="AX231">IFERROR(INDEX('HIV-Equipment'!$W$14:$W$58,MATCH($E231&amp;$F231,'HIV-Equipment'!$C$14:$C$58&amp;'HIV-Equipment'!$D$14:$D$58,0)),0)</f>
        <v>0</v>
      </c>
      <c r="AY231" s="651">
        <f t="shared" si="207"/>
        <v>0</v>
      </c>
      <c r="AZ231" s="652">
        <f t="shared" si="208"/>
        <v>0</v>
      </c>
      <c r="BA231" s="652">
        <f t="shared" si="209"/>
        <v>0</v>
      </c>
      <c r="BB231" s="651">
        <f t="array" ref="BB231">IFERROR(INDEX('HIV-Equipment'!$X$14:$X$58,MATCH($E231&amp;$F231,'HIV-Equipment'!$C$14:$C$58&amp;'HIV-Equipment'!$D$14:$D$58,0)),0)</f>
        <v>0</v>
      </c>
      <c r="BC231" s="651">
        <f t="shared" si="210"/>
        <v>0</v>
      </c>
      <c r="BD231" s="652">
        <f t="shared" si="211"/>
        <v>0</v>
      </c>
      <c r="BE231" s="652">
        <f t="shared" si="212"/>
        <v>0</v>
      </c>
      <c r="BF231" s="651">
        <f t="array" ref="BF231">IFERROR(INDEX('HIV-Equipment'!$Y$14:$Y$58,MATCH($E231&amp;$F231,'HIV-Equipment'!$C$14:$C$58&amp;'HIV-Equipment'!$D$14:$D$58,0)),0)</f>
        <v>0</v>
      </c>
      <c r="BG231" s="651">
        <f t="shared" si="213"/>
        <v>0</v>
      </c>
      <c r="BH231" s="652">
        <f t="shared" si="214"/>
        <v>0</v>
      </c>
      <c r="BI231" s="652">
        <f t="shared" si="215"/>
        <v>0</v>
      </c>
      <c r="BJ231" s="662"/>
      <c r="BK231" s="654"/>
      <c r="BL231" s="654"/>
      <c r="BM231" s="654"/>
      <c r="BN231" s="654"/>
      <c r="BO231" s="654"/>
      <c r="BP231" s="654"/>
      <c r="BQ231" s="654"/>
      <c r="BR231" s="654"/>
    </row>
    <row r="232" spans="1:70" s="426" customFormat="1">
      <c r="A232" s="655" t="s">
        <v>1855</v>
      </c>
      <c r="B232" s="655" t="s">
        <v>2283</v>
      </c>
      <c r="C232" s="648">
        <f>SETUP!$F$23</f>
        <v>0</v>
      </c>
      <c r="D232" s="654">
        <v>6.6</v>
      </c>
      <c r="E232" s="655" t="s">
        <v>217</v>
      </c>
      <c r="F232" s="655" t="s">
        <v>200</v>
      </c>
      <c r="G232" s="650" t="str">
        <f t="array" ref="G232">IFERROR(INDEX('HIV-Equipment'!$E$14:$E$58,MATCH($E232&amp;$F232,'HIV-Equipment'!$C$14:$C$58&amp;'HIV-Equipment'!$D$14:$D$58,0)),"")</f>
        <v/>
      </c>
      <c r="H232" s="650" t="str">
        <f t="array" ref="H232">IFERROR(INDEX('HIV-Equipment'!$F$14:$F$58,MATCH($E232&amp;$F232,'HIV-Equipment'!$C$14:$C$58&amp;'HIV-Equipment'!$D$14:$D$58,0)),"")</f>
        <v/>
      </c>
      <c r="I232" s="651">
        <f t="array" ref="I232">IFERROR(INDEX('HIV-Equipment'!$G$14:$G$58,MATCH($E232&amp;$F232,'HIV-Equipment'!$C$14:$C$58&amp;'HIV-Equipment'!$D$14:$D$58,0)),0)</f>
        <v>0</v>
      </c>
      <c r="J232" s="651">
        <f t="array" ref="J232">IFERROR(INDEX('HIV-Equipment'!$H$14:$H$58,MATCH($E232&amp;$F232,'HIV-Equipment'!$C$14:$C$58&amp;'HIV-Equipment'!$D$14:$D$58,0)),0)</f>
        <v>0</v>
      </c>
      <c r="K232" s="652">
        <f t="shared" si="180"/>
        <v>0</v>
      </c>
      <c r="L232" s="652">
        <f t="shared" si="181"/>
        <v>0</v>
      </c>
      <c r="M232" s="652">
        <f t="shared" si="182"/>
        <v>0</v>
      </c>
      <c r="N232" s="651">
        <f t="array" ref="N232">IFERROR(INDEX('HIV-Equipment'!$I$14:$I$58,MATCH($E232&amp;$F232,'HIV-Equipment'!$C$14:$C$58&amp;'HIV-Equipment'!$D$14:$D$58,0)),0)</f>
        <v>0</v>
      </c>
      <c r="O232" s="652">
        <f t="shared" si="183"/>
        <v>0</v>
      </c>
      <c r="P232" s="652">
        <f t="shared" si="184"/>
        <v>0</v>
      </c>
      <c r="Q232" s="652">
        <f t="shared" si="185"/>
        <v>0</v>
      </c>
      <c r="R232" s="651">
        <f t="array" ref="R232">IFERROR(INDEX('HIV-Equipment'!$J$14:$J$58,MATCH($E232&amp;$F232,'HIV-Equipment'!$C$14:$C$58&amp;'HIV-Equipment'!$D$14:$D$58,0)),0)</f>
        <v>0</v>
      </c>
      <c r="S232" s="652">
        <f t="shared" si="186"/>
        <v>0</v>
      </c>
      <c r="T232" s="652">
        <f t="shared" si="187"/>
        <v>0</v>
      </c>
      <c r="U232" s="652">
        <f t="shared" si="188"/>
        <v>0</v>
      </c>
      <c r="V232" s="651">
        <f t="array" ref="V232">IFERROR(INDEX('HIV-Equipment'!$K$14:$K$58,MATCH($E232&amp;$F232,'HIV-Equipment'!$C$14:$C$58&amp;'HIV-Equipment'!$D$14:$D$58,0)),0)</f>
        <v>0</v>
      </c>
      <c r="W232" s="652">
        <f t="shared" si="189"/>
        <v>0</v>
      </c>
      <c r="X232" s="652">
        <f t="shared" si="190"/>
        <v>0</v>
      </c>
      <c r="Y232" s="652">
        <f t="shared" si="191"/>
        <v>0</v>
      </c>
      <c r="Z232" s="661"/>
      <c r="AA232" s="651">
        <f t="array" ref="AA232">IFERROR(INDEX('HIV-Equipment'!$N$14:$N$58,MATCH($E232&amp;$F232,'HIV-Equipment'!$C$14:$C$58&amp;'HIV-Equipment'!$D$14:$D$58,0)),0)</f>
        <v>0</v>
      </c>
      <c r="AB232" s="651">
        <f t="array" ref="AB232">IFERROR(INDEX('HIV-Equipment'!$O$14:$O$58,MATCH($E232&amp;$F232,'HIV-Equipment'!$C$14:$C$58&amp;'HIV-Equipment'!$D$14:$D$58,0)),0)</f>
        <v>0</v>
      </c>
      <c r="AC232" s="651">
        <f t="shared" si="192"/>
        <v>0</v>
      </c>
      <c r="AD232" s="652">
        <f t="shared" si="193"/>
        <v>0</v>
      </c>
      <c r="AE232" s="652">
        <f t="shared" si="194"/>
        <v>0</v>
      </c>
      <c r="AF232" s="651">
        <f t="array" ref="AF232">IFERROR(INDEX('HIV-Equipment'!$P$14:$P$58,MATCH($E232&amp;$F232,'HIV-Equipment'!$C$14:$C$58&amp;'HIV-Equipment'!$D$14:$D$58,0)),0)</f>
        <v>0</v>
      </c>
      <c r="AG232" s="651">
        <f t="shared" si="195"/>
        <v>0</v>
      </c>
      <c r="AH232" s="652">
        <f t="shared" si="196"/>
        <v>0</v>
      </c>
      <c r="AI232" s="652">
        <f t="shared" si="197"/>
        <v>0</v>
      </c>
      <c r="AJ232" s="651">
        <f t="array" ref="AJ232">IFERROR(INDEX('HIV-Equipment'!$Q$14:$Q$58,MATCH($E232&amp;$F232,'HIV-Equipment'!$C$14:$C$58&amp;'HIV-Equipment'!$D$14:$D$58,0)),0)</f>
        <v>0</v>
      </c>
      <c r="AK232" s="651">
        <f t="shared" si="198"/>
        <v>0</v>
      </c>
      <c r="AL232" s="652">
        <f t="shared" si="199"/>
        <v>0</v>
      </c>
      <c r="AM232" s="652">
        <f t="shared" si="200"/>
        <v>0</v>
      </c>
      <c r="AN232" s="651">
        <f t="array" ref="AN232">IFERROR(INDEX('HIV-Equipment'!$R$14:$R$58,MATCH($E232&amp;$F232,'HIV-Equipment'!$C$14:$C$58&amp;'HIV-Equipment'!$D$14:$D$58,0)),0)</f>
        <v>0</v>
      </c>
      <c r="AO232" s="651">
        <f t="shared" si="201"/>
        <v>0</v>
      </c>
      <c r="AP232" s="652">
        <f t="shared" si="202"/>
        <v>0</v>
      </c>
      <c r="AQ232" s="652">
        <f t="shared" si="203"/>
        <v>0</v>
      </c>
      <c r="AR232" s="661"/>
      <c r="AS232" s="651">
        <f t="array" ref="AS232">IFERROR(INDEX('HIV-Equipment'!$U$14:$U$58,MATCH($E232&amp;$F232,'HIV-Equipment'!$C$14:$C$58&amp;'HIV-Equipment'!$D$14:$D$58,0)),0)</f>
        <v>0</v>
      </c>
      <c r="AT232" s="651">
        <f t="array" ref="AT232">IFERROR(INDEX('HIV-Equipment'!$V$14:$V$58,MATCH($E232&amp;$F232,'HIV-Equipment'!$C$14:$C$58&amp;'HIV-Equipment'!$D$14:$D$58,0)),0)</f>
        <v>0</v>
      </c>
      <c r="AU232" s="651">
        <f t="shared" si="204"/>
        <v>0</v>
      </c>
      <c r="AV232" s="652">
        <f t="shared" si="205"/>
        <v>0</v>
      </c>
      <c r="AW232" s="652">
        <f t="shared" si="206"/>
        <v>0</v>
      </c>
      <c r="AX232" s="651">
        <f t="array" ref="AX232">IFERROR(INDEX('HIV-Equipment'!$W$14:$W$58,MATCH($E232&amp;$F232,'HIV-Equipment'!$C$14:$C$58&amp;'HIV-Equipment'!$D$14:$D$58,0)),0)</f>
        <v>0</v>
      </c>
      <c r="AY232" s="651">
        <f t="shared" si="207"/>
        <v>0</v>
      </c>
      <c r="AZ232" s="652">
        <f t="shared" si="208"/>
        <v>0</v>
      </c>
      <c r="BA232" s="652">
        <f t="shared" si="209"/>
        <v>0</v>
      </c>
      <c r="BB232" s="651">
        <f t="array" ref="BB232">IFERROR(INDEX('HIV-Equipment'!$X$14:$X$58,MATCH($E232&amp;$F232,'HIV-Equipment'!$C$14:$C$58&amp;'HIV-Equipment'!$D$14:$D$58,0)),0)</f>
        <v>0</v>
      </c>
      <c r="BC232" s="651">
        <f t="shared" si="210"/>
        <v>0</v>
      </c>
      <c r="BD232" s="652">
        <f t="shared" si="211"/>
        <v>0</v>
      </c>
      <c r="BE232" s="652">
        <f t="shared" si="212"/>
        <v>0</v>
      </c>
      <c r="BF232" s="651">
        <f t="array" ref="BF232">IFERROR(INDEX('HIV-Equipment'!$Y$14:$Y$58,MATCH($E232&amp;$F232,'HIV-Equipment'!$C$14:$C$58&amp;'HIV-Equipment'!$D$14:$D$58,0)),0)</f>
        <v>0</v>
      </c>
      <c r="BG232" s="651">
        <f t="shared" si="213"/>
        <v>0</v>
      </c>
      <c r="BH232" s="652">
        <f t="shared" si="214"/>
        <v>0</v>
      </c>
      <c r="BI232" s="652">
        <f t="shared" si="215"/>
        <v>0</v>
      </c>
      <c r="BJ232" s="662"/>
      <c r="BK232" s="654"/>
      <c r="BL232" s="654"/>
      <c r="BM232" s="654"/>
      <c r="BN232" s="654"/>
      <c r="BO232" s="654"/>
      <c r="BP232" s="654"/>
      <c r="BQ232" s="654"/>
      <c r="BR232" s="654"/>
    </row>
    <row r="233" spans="1:70" s="426" customFormat="1">
      <c r="A233" s="655" t="s">
        <v>1855</v>
      </c>
      <c r="B233" s="655" t="s">
        <v>2283</v>
      </c>
      <c r="C233" s="648">
        <f>SETUP!$F$23</f>
        <v>0</v>
      </c>
      <c r="D233" s="654">
        <v>6.5</v>
      </c>
      <c r="E233" s="655" t="s">
        <v>219</v>
      </c>
      <c r="F233" s="655" t="s">
        <v>218</v>
      </c>
      <c r="G233" s="650" t="str">
        <f t="array" ref="G233">IFERROR(INDEX('HIV-Equipment'!$E$14:$E$58,MATCH($E233&amp;$F233,'HIV-Equipment'!$C$14:$C$58&amp;'HIV-Equipment'!$D$14:$D$58,0)),"")</f>
        <v/>
      </c>
      <c r="H233" s="650" t="str">
        <f t="array" ref="H233">IFERROR(INDEX('HIV-Equipment'!$F$14:$F$58,MATCH($E233&amp;$F233,'HIV-Equipment'!$C$14:$C$58&amp;'HIV-Equipment'!$D$14:$D$58,0)),"")</f>
        <v/>
      </c>
      <c r="I233" s="651">
        <f t="array" ref="I233">IFERROR(INDEX('HIV-Equipment'!$G$14:$G$58,MATCH($E233&amp;$F233,'HIV-Equipment'!$C$14:$C$58&amp;'HIV-Equipment'!$D$14:$D$58,0)),0)</f>
        <v>0</v>
      </c>
      <c r="J233" s="651">
        <f t="array" ref="J233">IFERROR(INDEX('HIV-Equipment'!$H$14:$H$58,MATCH($E233&amp;$F233,'HIV-Equipment'!$C$14:$C$58&amp;'HIV-Equipment'!$D$14:$D$58,0)),0)</f>
        <v>0</v>
      </c>
      <c r="K233" s="652">
        <f t="shared" si="180"/>
        <v>0</v>
      </c>
      <c r="L233" s="652">
        <f t="shared" si="181"/>
        <v>0</v>
      </c>
      <c r="M233" s="652">
        <f t="shared" si="182"/>
        <v>0</v>
      </c>
      <c r="N233" s="651">
        <f t="array" ref="N233">IFERROR(INDEX('HIV-Equipment'!$I$14:$I$58,MATCH($E233&amp;$F233,'HIV-Equipment'!$C$14:$C$58&amp;'HIV-Equipment'!$D$14:$D$58,0)),0)</f>
        <v>0</v>
      </c>
      <c r="O233" s="652">
        <f t="shared" si="183"/>
        <v>0</v>
      </c>
      <c r="P233" s="652">
        <f t="shared" si="184"/>
        <v>0</v>
      </c>
      <c r="Q233" s="652">
        <f t="shared" si="185"/>
        <v>0</v>
      </c>
      <c r="R233" s="651">
        <f t="array" ref="R233">IFERROR(INDEX('HIV-Equipment'!$J$14:$J$58,MATCH($E233&amp;$F233,'HIV-Equipment'!$C$14:$C$58&amp;'HIV-Equipment'!$D$14:$D$58,0)),0)</f>
        <v>0</v>
      </c>
      <c r="S233" s="652">
        <f t="shared" si="186"/>
        <v>0</v>
      </c>
      <c r="T233" s="652">
        <f t="shared" si="187"/>
        <v>0</v>
      </c>
      <c r="U233" s="652">
        <f t="shared" si="188"/>
        <v>0</v>
      </c>
      <c r="V233" s="651">
        <f t="array" ref="V233">IFERROR(INDEX('HIV-Equipment'!$K$14:$K$58,MATCH($E233&amp;$F233,'HIV-Equipment'!$C$14:$C$58&amp;'HIV-Equipment'!$D$14:$D$58,0)),0)</f>
        <v>0</v>
      </c>
      <c r="W233" s="652">
        <f t="shared" si="189"/>
        <v>0</v>
      </c>
      <c r="X233" s="652">
        <f t="shared" si="190"/>
        <v>0</v>
      </c>
      <c r="Y233" s="652">
        <f t="shared" si="191"/>
        <v>0</v>
      </c>
      <c r="Z233" s="661"/>
      <c r="AA233" s="651">
        <f t="array" ref="AA233">IFERROR(INDEX('HIV-Equipment'!$N$14:$N$58,MATCH($E233&amp;$F233,'HIV-Equipment'!$C$14:$C$58&amp;'HIV-Equipment'!$D$14:$D$58,0)),0)</f>
        <v>0</v>
      </c>
      <c r="AB233" s="651">
        <f t="array" ref="AB233">IFERROR(INDEX('HIV-Equipment'!$O$14:$O$58,MATCH($E233&amp;$F233,'HIV-Equipment'!$C$14:$C$58&amp;'HIV-Equipment'!$D$14:$D$58,0)),0)</f>
        <v>0</v>
      </c>
      <c r="AC233" s="651">
        <f t="shared" si="192"/>
        <v>0</v>
      </c>
      <c r="AD233" s="652">
        <f t="shared" si="193"/>
        <v>0</v>
      </c>
      <c r="AE233" s="652">
        <f t="shared" si="194"/>
        <v>0</v>
      </c>
      <c r="AF233" s="651">
        <f t="array" ref="AF233">IFERROR(INDEX('HIV-Equipment'!$P$14:$P$58,MATCH($E233&amp;$F233,'HIV-Equipment'!$C$14:$C$58&amp;'HIV-Equipment'!$D$14:$D$58,0)),0)</f>
        <v>0</v>
      </c>
      <c r="AG233" s="651">
        <f t="shared" si="195"/>
        <v>0</v>
      </c>
      <c r="AH233" s="652">
        <f t="shared" si="196"/>
        <v>0</v>
      </c>
      <c r="AI233" s="652">
        <f t="shared" si="197"/>
        <v>0</v>
      </c>
      <c r="AJ233" s="651">
        <f t="array" ref="AJ233">IFERROR(INDEX('HIV-Equipment'!$Q$14:$Q$58,MATCH($E233&amp;$F233,'HIV-Equipment'!$C$14:$C$58&amp;'HIV-Equipment'!$D$14:$D$58,0)),0)</f>
        <v>0</v>
      </c>
      <c r="AK233" s="651">
        <f t="shared" si="198"/>
        <v>0</v>
      </c>
      <c r="AL233" s="652">
        <f t="shared" si="199"/>
        <v>0</v>
      </c>
      <c r="AM233" s="652">
        <f t="shared" si="200"/>
        <v>0</v>
      </c>
      <c r="AN233" s="651">
        <f t="array" ref="AN233">IFERROR(INDEX('HIV-Equipment'!$R$14:$R$58,MATCH($E233&amp;$F233,'HIV-Equipment'!$C$14:$C$58&amp;'HIV-Equipment'!$D$14:$D$58,0)),0)</f>
        <v>0</v>
      </c>
      <c r="AO233" s="651">
        <f t="shared" si="201"/>
        <v>0</v>
      </c>
      <c r="AP233" s="652">
        <f t="shared" si="202"/>
        <v>0</v>
      </c>
      <c r="AQ233" s="652">
        <f t="shared" si="203"/>
        <v>0</v>
      </c>
      <c r="AR233" s="661"/>
      <c r="AS233" s="651">
        <f t="array" ref="AS233">IFERROR(INDEX('HIV-Equipment'!$U$14:$U$58,MATCH($E233&amp;$F233,'HIV-Equipment'!$C$14:$C$58&amp;'HIV-Equipment'!$D$14:$D$58,0)),0)</f>
        <v>0</v>
      </c>
      <c r="AT233" s="651">
        <f t="array" ref="AT233">IFERROR(INDEX('HIV-Equipment'!$V$14:$V$58,MATCH($E233&amp;$F233,'HIV-Equipment'!$C$14:$C$58&amp;'HIV-Equipment'!$D$14:$D$58,0)),0)</f>
        <v>0</v>
      </c>
      <c r="AU233" s="651">
        <f t="shared" si="204"/>
        <v>0</v>
      </c>
      <c r="AV233" s="652">
        <f t="shared" si="205"/>
        <v>0</v>
      </c>
      <c r="AW233" s="652">
        <f t="shared" si="206"/>
        <v>0</v>
      </c>
      <c r="AX233" s="651">
        <f t="array" ref="AX233">IFERROR(INDEX('HIV-Equipment'!$W$14:$W$58,MATCH($E233&amp;$F233,'HIV-Equipment'!$C$14:$C$58&amp;'HIV-Equipment'!$D$14:$D$58,0)),0)</f>
        <v>0</v>
      </c>
      <c r="AY233" s="651">
        <f t="shared" si="207"/>
        <v>0</v>
      </c>
      <c r="AZ233" s="652">
        <f t="shared" si="208"/>
        <v>0</v>
      </c>
      <c r="BA233" s="652">
        <f t="shared" si="209"/>
        <v>0</v>
      </c>
      <c r="BB233" s="651">
        <f t="array" ref="BB233">IFERROR(INDEX('HIV-Equipment'!$X$14:$X$58,MATCH($E233&amp;$F233,'HIV-Equipment'!$C$14:$C$58&amp;'HIV-Equipment'!$D$14:$D$58,0)),0)</f>
        <v>0</v>
      </c>
      <c r="BC233" s="651">
        <f t="shared" si="210"/>
        <v>0</v>
      </c>
      <c r="BD233" s="652">
        <f t="shared" si="211"/>
        <v>0</v>
      </c>
      <c r="BE233" s="652">
        <f t="shared" si="212"/>
        <v>0</v>
      </c>
      <c r="BF233" s="651">
        <f t="array" ref="BF233">IFERROR(INDEX('HIV-Equipment'!$Y$14:$Y$58,MATCH($E233&amp;$F233,'HIV-Equipment'!$C$14:$C$58&amp;'HIV-Equipment'!$D$14:$D$58,0)),0)</f>
        <v>0</v>
      </c>
      <c r="BG233" s="651">
        <f t="shared" si="213"/>
        <v>0</v>
      </c>
      <c r="BH233" s="652">
        <f t="shared" si="214"/>
        <v>0</v>
      </c>
      <c r="BI233" s="652">
        <f t="shared" si="215"/>
        <v>0</v>
      </c>
      <c r="BJ233" s="662"/>
      <c r="BK233" s="654"/>
      <c r="BL233" s="654"/>
      <c r="BM233" s="654"/>
      <c r="BN233" s="654"/>
      <c r="BO233" s="654"/>
      <c r="BP233" s="654"/>
      <c r="BQ233" s="654"/>
      <c r="BR233" s="654"/>
    </row>
    <row r="234" spans="1:70" s="426" customFormat="1">
      <c r="A234" s="655" t="s">
        <v>1855</v>
      </c>
      <c r="B234" s="655" t="s">
        <v>2283</v>
      </c>
      <c r="C234" s="648">
        <f>SETUP!$F$23</f>
        <v>0</v>
      </c>
      <c r="D234" s="654">
        <v>6.6</v>
      </c>
      <c r="E234" s="655" t="s">
        <v>219</v>
      </c>
      <c r="F234" s="655" t="s">
        <v>201</v>
      </c>
      <c r="G234" s="650" t="str">
        <f t="array" ref="G234">IFERROR(INDEX('HIV-Equipment'!$E$14:$E$58,MATCH($E234&amp;$F234,'HIV-Equipment'!$C$14:$C$58&amp;'HIV-Equipment'!$D$14:$D$58,0)),"")</f>
        <v/>
      </c>
      <c r="H234" s="650" t="str">
        <f t="array" ref="H234">IFERROR(INDEX('HIV-Equipment'!$F$14:$F$58,MATCH($E234&amp;$F234,'HIV-Equipment'!$C$14:$C$58&amp;'HIV-Equipment'!$D$14:$D$58,0)),"")</f>
        <v/>
      </c>
      <c r="I234" s="651">
        <f t="array" ref="I234">IFERROR(INDEX('HIV-Equipment'!$G$14:$G$58,MATCH($E234&amp;$F234,'HIV-Equipment'!$C$14:$C$58&amp;'HIV-Equipment'!$D$14:$D$58,0)),0)</f>
        <v>0</v>
      </c>
      <c r="J234" s="651">
        <f t="array" ref="J234">IFERROR(INDEX('HIV-Equipment'!$H$14:$H$58,MATCH($E234&amp;$F234,'HIV-Equipment'!$C$14:$C$58&amp;'HIV-Equipment'!$D$14:$D$58,0)),0)</f>
        <v>0</v>
      </c>
      <c r="K234" s="652">
        <f t="shared" si="180"/>
        <v>0</v>
      </c>
      <c r="L234" s="652">
        <f>IF(C234="Upfront",J234,0)</f>
        <v>0</v>
      </c>
      <c r="M234" s="652">
        <f>IF(C234="Upfront",K234,0)</f>
        <v>0</v>
      </c>
      <c r="N234" s="651">
        <f t="array" ref="N234">IFERROR(INDEX('HIV-Equipment'!$I$14:$I$58,MATCH($E234&amp;$F234,'HIV-Equipment'!$C$14:$C$58&amp;'HIV-Equipment'!$D$14:$D$58,0)),0)</f>
        <v>0</v>
      </c>
      <c r="O234" s="652">
        <f t="shared" si="183"/>
        <v>0</v>
      </c>
      <c r="P234" s="652">
        <f>IF(C234="Upfront",N234,0)</f>
        <v>0</v>
      </c>
      <c r="Q234" s="652">
        <f>IF(C234="Upfront",O234,0)</f>
        <v>0</v>
      </c>
      <c r="R234" s="651">
        <f t="array" ref="R234">IFERROR(INDEX('HIV-Equipment'!$J$14:$J$58,MATCH($E234&amp;$F234,'HIV-Equipment'!$C$14:$C$58&amp;'HIV-Equipment'!$D$14:$D$58,0)),0)</f>
        <v>0</v>
      </c>
      <c r="S234" s="652">
        <f t="shared" si="186"/>
        <v>0</v>
      </c>
      <c r="T234" s="652">
        <f>IF(C234="Upfront",R234,IF(C234="At delivery",J234,0))</f>
        <v>0</v>
      </c>
      <c r="U234" s="652">
        <f>IF(C234="Upfront",S234,IF(C234="At delivery",K234,0))</f>
        <v>0</v>
      </c>
      <c r="V234" s="651">
        <f t="array" ref="V234">IFERROR(INDEX('HIV-Equipment'!$K$14:$K$58,MATCH($E234&amp;$F234,'HIV-Equipment'!$C$14:$C$58&amp;'HIV-Equipment'!$D$14:$D$58,0)),0)</f>
        <v>0</v>
      </c>
      <c r="W234" s="652">
        <f t="shared" si="189"/>
        <v>0</v>
      </c>
      <c r="X234" s="652">
        <f>IF(C234="Upfront",V234,IF(C234="At delivery",N234,0))</f>
        <v>0</v>
      </c>
      <c r="Y234" s="652">
        <f>IF(C234="Upfront",W234,IF(C234="At delivery",O234,0))</f>
        <v>0</v>
      </c>
      <c r="Z234" s="661"/>
      <c r="AA234" s="651">
        <f t="array" ref="AA234">IFERROR(INDEX('HIV-Equipment'!$N$14:$N$58,MATCH($E234&amp;$F234,'HIV-Equipment'!$C$14:$C$58&amp;'HIV-Equipment'!$D$14:$D$58,0)),0)</f>
        <v>0</v>
      </c>
      <c r="AB234" s="651">
        <f t="array" ref="AB234">IFERROR(INDEX('HIV-Equipment'!$O$14:$O$58,MATCH($E234&amp;$F234,'HIV-Equipment'!$C$14:$C$58&amp;'HIV-Equipment'!$D$14:$D$58,0)),0)</f>
        <v>0</v>
      </c>
      <c r="AC234" s="651">
        <f t="shared" si="192"/>
        <v>0</v>
      </c>
      <c r="AD234" s="652">
        <f>IF(C234="Upfront",AB234,IF(C234="At delivery",R234,0))</f>
        <v>0</v>
      </c>
      <c r="AE234" s="652">
        <f>IF(C234="Upfront",AC234,IF(C234="At delivery",S234,0))</f>
        <v>0</v>
      </c>
      <c r="AF234" s="651">
        <f t="array" ref="AF234">IFERROR(INDEX('HIV-Equipment'!$P$14:$P$58,MATCH($E234&amp;$F234,'HIV-Equipment'!$C$14:$C$58&amp;'HIV-Equipment'!$D$14:$D$58,0)),0)</f>
        <v>0</v>
      </c>
      <c r="AG234" s="651">
        <f t="shared" si="195"/>
        <v>0</v>
      </c>
      <c r="AH234" s="652">
        <f>IF(C234="Upfront",AF234,IF(C234="At delivery",V234,0))</f>
        <v>0</v>
      </c>
      <c r="AI234" s="652">
        <f>IF(C234="Upfront",AG234,IF(C234="At delivery",W234,0))</f>
        <v>0</v>
      </c>
      <c r="AJ234" s="651">
        <f t="array" ref="AJ234">IFERROR(INDEX('HIV-Equipment'!$Q$14:$Q$58,MATCH($E234&amp;$F234,'HIV-Equipment'!$C$14:$C$58&amp;'HIV-Equipment'!$D$14:$D$58,0)),0)</f>
        <v>0</v>
      </c>
      <c r="AK234" s="651">
        <f t="shared" si="198"/>
        <v>0</v>
      </c>
      <c r="AL234" s="652">
        <f>IF(C234="Upfront",AJ234,IF(C234="At delivery",AB234,0))</f>
        <v>0</v>
      </c>
      <c r="AM234" s="652">
        <f>IF(C234="Upfront",AK234,IF(C234="At delivery",AC234,0))</f>
        <v>0</v>
      </c>
      <c r="AN234" s="651">
        <f t="array" ref="AN234">IFERROR(INDEX('HIV-Equipment'!$R$14:$R$58,MATCH($E234&amp;$F234,'HIV-Equipment'!$C$14:$C$58&amp;'HIV-Equipment'!$D$14:$D$58,0)),0)</f>
        <v>0</v>
      </c>
      <c r="AO234" s="651">
        <f t="shared" si="201"/>
        <v>0</v>
      </c>
      <c r="AP234" s="652">
        <f>IF(C234="Upfront",AN234,IF(C234="At delivery",AF234,0))</f>
        <v>0</v>
      </c>
      <c r="AQ234" s="652">
        <f>IF(C234="Upfront",AO234,IF(C234="At delivery",AG234,0))</f>
        <v>0</v>
      </c>
      <c r="AR234" s="661"/>
      <c r="AS234" s="651">
        <f t="array" ref="AS234">IFERROR(INDEX('HIV-Equipment'!$U$14:$U$58,MATCH($E234&amp;$F234,'HIV-Equipment'!$C$14:$C$58&amp;'HIV-Equipment'!$D$14:$D$58,0)),0)</f>
        <v>0</v>
      </c>
      <c r="AT234" s="651">
        <f t="array" ref="AT234">IFERROR(INDEX('HIV-Equipment'!$V$14:$V$58,MATCH($E234&amp;$F234,'HIV-Equipment'!$C$14:$C$58&amp;'HIV-Equipment'!$D$14:$D$58,0)),0)</f>
        <v>0</v>
      </c>
      <c r="AU234" s="651">
        <f t="shared" si="204"/>
        <v>0</v>
      </c>
      <c r="AV234" s="652">
        <f>IF(C234="Upfront",AT234,IF(C234="At delivery",AJ234,0))</f>
        <v>0</v>
      </c>
      <c r="AW234" s="652">
        <f>IF(C234="Upfront",AU234,IF(C234="At delivery",AK234,0))</f>
        <v>0</v>
      </c>
      <c r="AX234" s="651">
        <f t="array" ref="AX234">IFERROR(INDEX('HIV-Equipment'!$W$14:$W$58,MATCH($E234&amp;$F234,'HIV-Equipment'!$C$14:$C$58&amp;'HIV-Equipment'!$D$14:$D$58,0)),0)</f>
        <v>0</v>
      </c>
      <c r="AY234" s="651">
        <f t="shared" si="207"/>
        <v>0</v>
      </c>
      <c r="AZ234" s="652">
        <f>IF(C234="Upfront",AX234,IF(C234="At delivery",AN234,0))</f>
        <v>0</v>
      </c>
      <c r="BA234" s="652">
        <f>IF(C234="Upfront",AY234,IF(C234="At delivery",AO234,0))</f>
        <v>0</v>
      </c>
      <c r="BB234" s="651">
        <f t="array" ref="BB234">IFERROR(INDEX('HIV-Equipment'!$X$14:$X$58,MATCH($E234&amp;$F234,'HIV-Equipment'!$C$14:$C$58&amp;'HIV-Equipment'!$D$14:$D$58,0)),0)</f>
        <v>0</v>
      </c>
      <c r="BC234" s="651">
        <f t="shared" si="210"/>
        <v>0</v>
      </c>
      <c r="BD234" s="652">
        <f>IF(C234="Upfront",BB234,IF(C234="At delivery",AT234,0))</f>
        <v>0</v>
      </c>
      <c r="BE234" s="652">
        <f>IF(C234="Upfront",BC234,IF(C234="At delivery",AU234,0))</f>
        <v>0</v>
      </c>
      <c r="BF234" s="651">
        <f t="array" ref="BF234">IFERROR(INDEX('HIV-Equipment'!$Y$14:$Y$58,MATCH($E234&amp;$F234,'HIV-Equipment'!$C$14:$C$58&amp;'HIV-Equipment'!$D$14:$D$58,0)),0)</f>
        <v>0</v>
      </c>
      <c r="BG234" s="651">
        <f t="shared" si="213"/>
        <v>0</v>
      </c>
      <c r="BH234" s="652">
        <f>IF(C234="Upfront",BF234,IF(C234="At delivery",AX234,0))</f>
        <v>0</v>
      </c>
      <c r="BI234" s="652">
        <f>IF(C234="Upfront",BG234,IF(C234="At delivery",AY234,0))</f>
        <v>0</v>
      </c>
      <c r="BJ234" s="662"/>
      <c r="BK234" s="654"/>
      <c r="BL234" s="654"/>
      <c r="BM234" s="654"/>
      <c r="BN234" s="654"/>
      <c r="BO234" s="654"/>
      <c r="BP234" s="654"/>
      <c r="BQ234" s="654"/>
      <c r="BR234" s="654"/>
    </row>
    <row r="235" spans="1:70" s="426" customFormat="1">
      <c r="A235" s="655" t="s">
        <v>1855</v>
      </c>
      <c r="B235" s="655" t="s">
        <v>2283</v>
      </c>
      <c r="C235" s="648">
        <f>SETUP!$F$23</f>
        <v>0</v>
      </c>
      <c r="D235" s="654">
        <v>6.6</v>
      </c>
      <c r="E235" s="655" t="s">
        <v>219</v>
      </c>
      <c r="F235" s="655" t="s">
        <v>200</v>
      </c>
      <c r="G235" s="650" t="str">
        <f t="array" ref="G235">IFERROR(INDEX('HIV-Equipment'!$E$14:$E$58,MATCH($E235&amp;$F235,'HIV-Equipment'!$C$14:$C$58&amp;'HIV-Equipment'!$D$14:$D$58,0)),"")</f>
        <v/>
      </c>
      <c r="H235" s="650" t="str">
        <f t="array" ref="H235">IFERROR(INDEX('HIV-Equipment'!$F$14:$F$58,MATCH($E235&amp;$F235,'HIV-Equipment'!$C$14:$C$58&amp;'HIV-Equipment'!$D$14:$D$58,0)),"")</f>
        <v/>
      </c>
      <c r="I235" s="651">
        <f t="array" ref="I235">IFERROR(INDEX('HIV-Equipment'!$G$14:$G$58,MATCH($E235&amp;$F235,'HIV-Equipment'!$C$14:$C$58&amp;'HIV-Equipment'!$D$14:$D$58,0)),0)</f>
        <v>0</v>
      </c>
      <c r="J235" s="651">
        <f t="array" ref="J235">IFERROR(INDEX('HIV-Equipment'!$H$14:$H$58,MATCH($E235&amp;$F235,'HIV-Equipment'!$C$14:$C$58&amp;'HIV-Equipment'!$D$14:$D$58,0)),0)</f>
        <v>0</v>
      </c>
      <c r="K235" s="652">
        <f t="shared" si="180"/>
        <v>0</v>
      </c>
      <c r="L235" s="652">
        <f>IF(C235="Upfront",J235,0)</f>
        <v>0</v>
      </c>
      <c r="M235" s="652">
        <f>IF(C235="Upfront",K235,0)</f>
        <v>0</v>
      </c>
      <c r="N235" s="651">
        <f t="array" ref="N235">IFERROR(INDEX('HIV-Equipment'!$I$14:$I$58,MATCH($E235&amp;$F235,'HIV-Equipment'!$C$14:$C$58&amp;'HIV-Equipment'!$D$14:$D$58,0)),0)</f>
        <v>0</v>
      </c>
      <c r="O235" s="652">
        <f t="shared" si="183"/>
        <v>0</v>
      </c>
      <c r="P235" s="652">
        <f>IF(C235="Upfront",N235,0)</f>
        <v>0</v>
      </c>
      <c r="Q235" s="652">
        <f>IF(C235="Upfront",O235,0)</f>
        <v>0</v>
      </c>
      <c r="R235" s="651">
        <f t="array" ref="R235">IFERROR(INDEX('HIV-Equipment'!$J$14:$J$58,MATCH($E235&amp;$F235,'HIV-Equipment'!$C$14:$C$58&amp;'HIV-Equipment'!$D$14:$D$58,0)),0)</f>
        <v>0</v>
      </c>
      <c r="S235" s="652">
        <f t="shared" si="186"/>
        <v>0</v>
      </c>
      <c r="T235" s="652">
        <f>IF(C235="Upfront",R235,IF(C235="At delivery",J235,0))</f>
        <v>0</v>
      </c>
      <c r="U235" s="652">
        <f>IF(C235="Upfront",S235,IF(C235="At delivery",K235,0))</f>
        <v>0</v>
      </c>
      <c r="V235" s="651">
        <f t="array" ref="V235">IFERROR(INDEX('HIV-Equipment'!$K$14:$K$58,MATCH($E235&amp;$F235,'HIV-Equipment'!$C$14:$C$58&amp;'HIV-Equipment'!$D$14:$D$58,0)),0)</f>
        <v>0</v>
      </c>
      <c r="W235" s="652">
        <f t="shared" si="189"/>
        <v>0</v>
      </c>
      <c r="X235" s="652">
        <f>IF(C235="Upfront",V235,IF(C235="At delivery",N235,0))</f>
        <v>0</v>
      </c>
      <c r="Y235" s="652">
        <f>IF(C235="Upfront",W235,IF(C235="At delivery",O235,0))</f>
        <v>0</v>
      </c>
      <c r="Z235" s="661"/>
      <c r="AA235" s="651">
        <f t="array" ref="AA235">IFERROR(INDEX('HIV-Equipment'!$N$14:$N$58,MATCH($E235&amp;$F235,'HIV-Equipment'!$C$14:$C$58&amp;'HIV-Equipment'!$D$14:$D$58,0)),0)</f>
        <v>0</v>
      </c>
      <c r="AB235" s="651">
        <f t="array" ref="AB235">IFERROR(INDEX('HIV-Equipment'!$O$14:$O$58,MATCH($E235&amp;$F235,'HIV-Equipment'!$C$14:$C$58&amp;'HIV-Equipment'!$D$14:$D$58,0)),0)</f>
        <v>0</v>
      </c>
      <c r="AC235" s="651">
        <f t="shared" si="192"/>
        <v>0</v>
      </c>
      <c r="AD235" s="652">
        <f>IF(C235="Upfront",AB235,IF(C235="At delivery",R235,0))</f>
        <v>0</v>
      </c>
      <c r="AE235" s="652">
        <f>IF(C235="Upfront",AC235,IF(C235="At delivery",S235,0))</f>
        <v>0</v>
      </c>
      <c r="AF235" s="651">
        <f t="array" ref="AF235">IFERROR(INDEX('HIV-Equipment'!$P$14:$P$58,MATCH($E235&amp;$F235,'HIV-Equipment'!$C$14:$C$58&amp;'HIV-Equipment'!$D$14:$D$58,0)),0)</f>
        <v>0</v>
      </c>
      <c r="AG235" s="651">
        <f t="shared" si="195"/>
        <v>0</v>
      </c>
      <c r="AH235" s="652">
        <f>IF(C235="Upfront",AF235,IF(C235="At delivery",V235,0))</f>
        <v>0</v>
      </c>
      <c r="AI235" s="652">
        <f>IF(C235="Upfront",AG235,IF(C235="At delivery",W235,0))</f>
        <v>0</v>
      </c>
      <c r="AJ235" s="651">
        <f t="array" ref="AJ235">IFERROR(INDEX('HIV-Equipment'!$Q$14:$Q$58,MATCH($E235&amp;$F235,'HIV-Equipment'!$C$14:$C$58&amp;'HIV-Equipment'!$D$14:$D$58,0)),0)</f>
        <v>0</v>
      </c>
      <c r="AK235" s="651">
        <f t="shared" si="198"/>
        <v>0</v>
      </c>
      <c r="AL235" s="652">
        <f>IF(C235="Upfront",AJ235,IF(C235="At delivery",AB235,0))</f>
        <v>0</v>
      </c>
      <c r="AM235" s="652">
        <f>IF(C235="Upfront",AK235,IF(C235="At delivery",AC235,0))</f>
        <v>0</v>
      </c>
      <c r="AN235" s="651">
        <f t="array" ref="AN235">IFERROR(INDEX('HIV-Equipment'!$R$14:$R$58,MATCH($E235&amp;$F235,'HIV-Equipment'!$C$14:$C$58&amp;'HIV-Equipment'!$D$14:$D$58,0)),0)</f>
        <v>0</v>
      </c>
      <c r="AO235" s="651">
        <f t="shared" si="201"/>
        <v>0</v>
      </c>
      <c r="AP235" s="652">
        <f>IF(C235="Upfront",AN235,IF(C235="At delivery",AF235,0))</f>
        <v>0</v>
      </c>
      <c r="AQ235" s="652">
        <f>IF(C235="Upfront",AO235,IF(C235="At delivery",AG235,0))</f>
        <v>0</v>
      </c>
      <c r="AR235" s="661"/>
      <c r="AS235" s="651">
        <f t="array" ref="AS235">IFERROR(INDEX('HIV-Equipment'!$U$14:$U$58,MATCH($E235&amp;$F235,'HIV-Equipment'!$C$14:$C$58&amp;'HIV-Equipment'!$D$14:$D$58,0)),0)</f>
        <v>0</v>
      </c>
      <c r="AT235" s="651">
        <f t="array" ref="AT235">IFERROR(INDEX('HIV-Equipment'!$V$14:$V$58,MATCH($E235&amp;$F235,'HIV-Equipment'!$C$14:$C$58&amp;'HIV-Equipment'!$D$14:$D$58,0)),0)</f>
        <v>0</v>
      </c>
      <c r="AU235" s="651">
        <f t="shared" si="204"/>
        <v>0</v>
      </c>
      <c r="AV235" s="652">
        <f>IF(C235="Upfront",AT235,IF(C235="At delivery",AJ235,0))</f>
        <v>0</v>
      </c>
      <c r="AW235" s="652">
        <f>IF(C235="Upfront",AU235,IF(C235="At delivery",AK235,0))</f>
        <v>0</v>
      </c>
      <c r="AX235" s="651">
        <f t="array" ref="AX235">IFERROR(INDEX('HIV-Equipment'!$W$14:$W$58,MATCH($E235&amp;$F235,'HIV-Equipment'!$C$14:$C$58&amp;'HIV-Equipment'!$D$14:$D$58,0)),0)</f>
        <v>0</v>
      </c>
      <c r="AY235" s="651">
        <f t="shared" si="207"/>
        <v>0</v>
      </c>
      <c r="AZ235" s="652">
        <f>IF(C235="Upfront",AX235,IF(C235="At delivery",AN235,0))</f>
        <v>0</v>
      </c>
      <c r="BA235" s="652">
        <f>IF(C235="Upfront",AY235,IF(C235="At delivery",AO235,0))</f>
        <v>0</v>
      </c>
      <c r="BB235" s="651">
        <f t="array" ref="BB235">IFERROR(INDEX('HIV-Equipment'!$X$14:$X$58,MATCH($E235&amp;$F235,'HIV-Equipment'!$C$14:$C$58&amp;'HIV-Equipment'!$D$14:$D$58,0)),0)</f>
        <v>0</v>
      </c>
      <c r="BC235" s="651">
        <f t="shared" si="210"/>
        <v>0</v>
      </c>
      <c r="BD235" s="652">
        <f>IF(C235="Upfront",BB235,IF(C235="At delivery",AT235,0))</f>
        <v>0</v>
      </c>
      <c r="BE235" s="652">
        <f>IF(C235="Upfront",BC235,IF(C235="At delivery",AU235,0))</f>
        <v>0</v>
      </c>
      <c r="BF235" s="651">
        <f t="array" ref="BF235">IFERROR(INDEX('HIV-Equipment'!$Y$14:$Y$58,MATCH($E235&amp;$F235,'HIV-Equipment'!$C$14:$C$58&amp;'HIV-Equipment'!$D$14:$D$58,0)),0)</f>
        <v>0</v>
      </c>
      <c r="BG235" s="651">
        <f t="shared" si="213"/>
        <v>0</v>
      </c>
      <c r="BH235" s="652">
        <f>IF(C235="Upfront",BF235,IF(C235="At delivery",AX235,0))</f>
        <v>0</v>
      </c>
      <c r="BI235" s="652">
        <f>IF(C235="Upfront",BG235,IF(C235="At delivery",AY235,0))</f>
        <v>0</v>
      </c>
      <c r="BJ235" s="662"/>
      <c r="BK235" s="654"/>
      <c r="BL235" s="654"/>
      <c r="BM235" s="654"/>
      <c r="BN235" s="654"/>
      <c r="BO235" s="654"/>
      <c r="BP235" s="654"/>
      <c r="BQ235" s="654"/>
      <c r="BR235" s="654"/>
    </row>
    <row r="236" spans="1:70" s="426" customFormat="1">
      <c r="A236" s="655" t="s">
        <v>1855</v>
      </c>
      <c r="B236" s="655" t="s">
        <v>2283</v>
      </c>
      <c r="C236" s="648">
        <f>SETUP!$F$23</f>
        <v>0</v>
      </c>
      <c r="D236" s="654">
        <v>6.5</v>
      </c>
      <c r="E236" s="655" t="s">
        <v>220</v>
      </c>
      <c r="F236" s="655" t="s">
        <v>218</v>
      </c>
      <c r="G236" s="650" t="str">
        <f t="array" ref="G236">IFERROR(INDEX('HIV-Equipment'!$E$14:$E$58,MATCH($E236&amp;$F236,'HIV-Equipment'!$C$14:$C$58&amp;'HIV-Equipment'!$D$14:$D$58,0)),"")</f>
        <v/>
      </c>
      <c r="H236" s="650" t="str">
        <f t="array" ref="H236">IFERROR(INDEX('HIV-Equipment'!$F$14:$F$58,MATCH($E236&amp;$F236,'HIV-Equipment'!$C$14:$C$58&amp;'HIV-Equipment'!$D$14:$D$58,0)),"")</f>
        <v/>
      </c>
      <c r="I236" s="651">
        <f t="array" ref="I236">IFERROR(INDEX('HIV-Equipment'!$G$14:$G$58,MATCH($E236&amp;$F236,'HIV-Equipment'!$C$14:$C$58&amp;'HIV-Equipment'!$D$14:$D$58,0)),0)</f>
        <v>0</v>
      </c>
      <c r="J236" s="651">
        <f t="array" ref="J236">IFERROR(INDEX('HIV-Equipment'!$H$14:$H$58,MATCH($E236&amp;$F236,'HIV-Equipment'!$C$14:$C$58&amp;'HIV-Equipment'!$D$14:$D$58,0)),0)</f>
        <v>0</v>
      </c>
      <c r="K236" s="652">
        <f t="shared" si="180"/>
        <v>0</v>
      </c>
      <c r="L236" s="652">
        <f t="shared" si="181"/>
        <v>0</v>
      </c>
      <c r="M236" s="652">
        <f t="shared" si="182"/>
        <v>0</v>
      </c>
      <c r="N236" s="651">
        <f t="array" ref="N236">IFERROR(INDEX('HIV-Equipment'!$I$14:$I$58,MATCH($E236&amp;$F236,'HIV-Equipment'!$C$14:$C$58&amp;'HIV-Equipment'!$D$14:$D$58,0)),0)</f>
        <v>0</v>
      </c>
      <c r="O236" s="652">
        <f t="shared" si="183"/>
        <v>0</v>
      </c>
      <c r="P236" s="652">
        <f t="shared" si="184"/>
        <v>0</v>
      </c>
      <c r="Q236" s="652">
        <f t="shared" si="185"/>
        <v>0</v>
      </c>
      <c r="R236" s="651">
        <f t="array" ref="R236">IFERROR(INDEX('HIV-Equipment'!$J$14:$J$58,MATCH($E236&amp;$F236,'HIV-Equipment'!$C$14:$C$58&amp;'HIV-Equipment'!$D$14:$D$58,0)),0)</f>
        <v>0</v>
      </c>
      <c r="S236" s="652">
        <f t="shared" si="186"/>
        <v>0</v>
      </c>
      <c r="T236" s="652">
        <f t="shared" si="187"/>
        <v>0</v>
      </c>
      <c r="U236" s="652">
        <f t="shared" si="188"/>
        <v>0</v>
      </c>
      <c r="V236" s="651">
        <f t="array" ref="V236">IFERROR(INDEX('HIV-Equipment'!$K$14:$K$58,MATCH($E236&amp;$F236,'HIV-Equipment'!$C$14:$C$58&amp;'HIV-Equipment'!$D$14:$D$58,0)),0)</f>
        <v>0</v>
      </c>
      <c r="W236" s="652">
        <f t="shared" si="189"/>
        <v>0</v>
      </c>
      <c r="X236" s="652">
        <f t="shared" si="190"/>
        <v>0</v>
      </c>
      <c r="Y236" s="652">
        <f t="shared" si="191"/>
        <v>0</v>
      </c>
      <c r="Z236" s="661"/>
      <c r="AA236" s="651">
        <f t="array" ref="AA236">IFERROR(INDEX('HIV-Equipment'!$N$14:$N$58,MATCH($E236&amp;$F236,'HIV-Equipment'!$C$14:$C$58&amp;'HIV-Equipment'!$D$14:$D$58,0)),0)</f>
        <v>0</v>
      </c>
      <c r="AB236" s="651">
        <f t="array" ref="AB236">IFERROR(INDEX('HIV-Equipment'!$O$14:$O$58,MATCH($E236&amp;$F236,'HIV-Equipment'!$C$14:$C$58&amp;'HIV-Equipment'!$D$14:$D$58,0)),0)</f>
        <v>0</v>
      </c>
      <c r="AC236" s="651">
        <f t="shared" si="192"/>
        <v>0</v>
      </c>
      <c r="AD236" s="652">
        <f t="shared" si="193"/>
        <v>0</v>
      </c>
      <c r="AE236" s="652">
        <f t="shared" si="194"/>
        <v>0</v>
      </c>
      <c r="AF236" s="651">
        <f t="array" ref="AF236">IFERROR(INDEX('HIV-Equipment'!$P$14:$P$58,MATCH($E236&amp;$F236,'HIV-Equipment'!$C$14:$C$58&amp;'HIV-Equipment'!$D$14:$D$58,0)),0)</f>
        <v>0</v>
      </c>
      <c r="AG236" s="651">
        <f t="shared" si="195"/>
        <v>0</v>
      </c>
      <c r="AH236" s="652">
        <f t="shared" si="196"/>
        <v>0</v>
      </c>
      <c r="AI236" s="652">
        <f t="shared" si="197"/>
        <v>0</v>
      </c>
      <c r="AJ236" s="651">
        <f t="array" ref="AJ236">IFERROR(INDEX('HIV-Equipment'!$Q$14:$Q$58,MATCH($E236&amp;$F236,'HIV-Equipment'!$C$14:$C$58&amp;'HIV-Equipment'!$D$14:$D$58,0)),0)</f>
        <v>0</v>
      </c>
      <c r="AK236" s="651">
        <f t="shared" si="198"/>
        <v>0</v>
      </c>
      <c r="AL236" s="652">
        <f t="shared" si="199"/>
        <v>0</v>
      </c>
      <c r="AM236" s="652">
        <f t="shared" si="200"/>
        <v>0</v>
      </c>
      <c r="AN236" s="651">
        <f t="array" ref="AN236">IFERROR(INDEX('HIV-Equipment'!$R$14:$R$58,MATCH($E236&amp;$F236,'HIV-Equipment'!$C$14:$C$58&amp;'HIV-Equipment'!$D$14:$D$58,0)),0)</f>
        <v>0</v>
      </c>
      <c r="AO236" s="651">
        <f t="shared" si="201"/>
        <v>0</v>
      </c>
      <c r="AP236" s="652">
        <f t="shared" si="202"/>
        <v>0</v>
      </c>
      <c r="AQ236" s="652">
        <f t="shared" si="203"/>
        <v>0</v>
      </c>
      <c r="AR236" s="661"/>
      <c r="AS236" s="651">
        <f t="array" ref="AS236">IFERROR(INDEX('HIV-Equipment'!$U$14:$U$58,MATCH($E236&amp;$F236,'HIV-Equipment'!$C$14:$C$58&amp;'HIV-Equipment'!$D$14:$D$58,0)),0)</f>
        <v>0</v>
      </c>
      <c r="AT236" s="651">
        <f t="array" ref="AT236">IFERROR(INDEX('HIV-Equipment'!$V$14:$V$58,MATCH($E236&amp;$F236,'HIV-Equipment'!$C$14:$C$58&amp;'HIV-Equipment'!$D$14:$D$58,0)),0)</f>
        <v>0</v>
      </c>
      <c r="AU236" s="651">
        <f t="shared" si="204"/>
        <v>0</v>
      </c>
      <c r="AV236" s="652">
        <f t="shared" si="205"/>
        <v>0</v>
      </c>
      <c r="AW236" s="652">
        <f t="shared" si="206"/>
        <v>0</v>
      </c>
      <c r="AX236" s="651">
        <f t="array" ref="AX236">IFERROR(INDEX('HIV-Equipment'!$W$14:$W$58,MATCH($E236&amp;$F236,'HIV-Equipment'!$C$14:$C$58&amp;'HIV-Equipment'!$D$14:$D$58,0)),0)</f>
        <v>0</v>
      </c>
      <c r="AY236" s="651">
        <f t="shared" si="207"/>
        <v>0</v>
      </c>
      <c r="AZ236" s="652">
        <f t="shared" si="208"/>
        <v>0</v>
      </c>
      <c r="BA236" s="652">
        <f t="shared" si="209"/>
        <v>0</v>
      </c>
      <c r="BB236" s="651">
        <f t="array" ref="BB236">IFERROR(INDEX('HIV-Equipment'!$X$14:$X$58,MATCH($E236&amp;$F236,'HIV-Equipment'!$C$14:$C$58&amp;'HIV-Equipment'!$D$14:$D$58,0)),0)</f>
        <v>0</v>
      </c>
      <c r="BC236" s="651">
        <f t="shared" si="210"/>
        <v>0</v>
      </c>
      <c r="BD236" s="652">
        <f t="shared" si="211"/>
        <v>0</v>
      </c>
      <c r="BE236" s="652">
        <f t="shared" si="212"/>
        <v>0</v>
      </c>
      <c r="BF236" s="651">
        <f t="array" ref="BF236">IFERROR(INDEX('HIV-Equipment'!$Y$14:$Y$58,MATCH($E236&amp;$F236,'HIV-Equipment'!$C$14:$C$58&amp;'HIV-Equipment'!$D$14:$D$58,0)),0)</f>
        <v>0</v>
      </c>
      <c r="BG236" s="651">
        <f t="shared" si="213"/>
        <v>0</v>
      </c>
      <c r="BH236" s="652">
        <f t="shared" si="214"/>
        <v>0</v>
      </c>
      <c r="BI236" s="652">
        <f t="shared" si="215"/>
        <v>0</v>
      </c>
      <c r="BJ236" s="662"/>
      <c r="BK236" s="654"/>
      <c r="BL236" s="654"/>
      <c r="BM236" s="654"/>
      <c r="BN236" s="654"/>
      <c r="BO236" s="654"/>
      <c r="BP236" s="654"/>
      <c r="BQ236" s="654"/>
      <c r="BR236" s="654"/>
    </row>
    <row r="237" spans="1:70" s="426" customFormat="1">
      <c r="A237" s="655" t="s">
        <v>1855</v>
      </c>
      <c r="B237" s="655" t="s">
        <v>2283</v>
      </c>
      <c r="C237" s="648">
        <f>SETUP!$F$23</f>
        <v>0</v>
      </c>
      <c r="D237" s="654">
        <v>6.6</v>
      </c>
      <c r="E237" s="655" t="s">
        <v>220</v>
      </c>
      <c r="F237" s="655" t="s">
        <v>201</v>
      </c>
      <c r="G237" s="650" t="str">
        <f t="array" ref="G237">IFERROR(INDEX('HIV-Equipment'!$E$14:$E$58,MATCH($E237&amp;$F237,'HIV-Equipment'!$C$14:$C$58&amp;'HIV-Equipment'!$D$14:$D$58,0)),"")</f>
        <v/>
      </c>
      <c r="H237" s="650" t="str">
        <f t="array" ref="H237">IFERROR(INDEX('HIV-Equipment'!$F$14:$F$58,MATCH($E237&amp;$F237,'HIV-Equipment'!$C$14:$C$58&amp;'HIV-Equipment'!$D$14:$D$58,0)),"")</f>
        <v/>
      </c>
      <c r="I237" s="651">
        <f t="array" ref="I237">IFERROR(INDEX('HIV-Equipment'!$G$14:$G$58,MATCH($E237&amp;$F237,'HIV-Equipment'!$C$14:$C$58&amp;'HIV-Equipment'!$D$14:$D$58,0)),0)</f>
        <v>0</v>
      </c>
      <c r="J237" s="651">
        <f t="array" ref="J237">IFERROR(INDEX('HIV-Equipment'!$H$14:$H$58,MATCH($E237&amp;$F237,'HIV-Equipment'!$C$14:$C$58&amp;'HIV-Equipment'!$D$14:$D$58,0)),0)</f>
        <v>0</v>
      </c>
      <c r="K237" s="652">
        <f t="shared" si="180"/>
        <v>0</v>
      </c>
      <c r="L237" s="652">
        <f t="shared" si="181"/>
        <v>0</v>
      </c>
      <c r="M237" s="652">
        <f t="shared" si="182"/>
        <v>0</v>
      </c>
      <c r="N237" s="651">
        <f t="array" ref="N237">IFERROR(INDEX('HIV-Equipment'!$I$14:$I$58,MATCH($E237&amp;$F237,'HIV-Equipment'!$C$14:$C$58&amp;'HIV-Equipment'!$D$14:$D$58,0)),0)</f>
        <v>0</v>
      </c>
      <c r="O237" s="652">
        <f t="shared" si="183"/>
        <v>0</v>
      </c>
      <c r="P237" s="652">
        <f t="shared" si="184"/>
        <v>0</v>
      </c>
      <c r="Q237" s="652">
        <f t="shared" si="185"/>
        <v>0</v>
      </c>
      <c r="R237" s="651">
        <f t="array" ref="R237">IFERROR(INDEX('HIV-Equipment'!$J$14:$J$58,MATCH($E237&amp;$F237,'HIV-Equipment'!$C$14:$C$58&amp;'HIV-Equipment'!$D$14:$D$58,0)),0)</f>
        <v>0</v>
      </c>
      <c r="S237" s="652">
        <f t="shared" si="186"/>
        <v>0</v>
      </c>
      <c r="T237" s="652">
        <f t="shared" si="187"/>
        <v>0</v>
      </c>
      <c r="U237" s="652">
        <f t="shared" si="188"/>
        <v>0</v>
      </c>
      <c r="V237" s="651">
        <f t="array" ref="V237">IFERROR(INDEX('HIV-Equipment'!$K$14:$K$58,MATCH($E237&amp;$F237,'HIV-Equipment'!$C$14:$C$58&amp;'HIV-Equipment'!$D$14:$D$58,0)),0)</f>
        <v>0</v>
      </c>
      <c r="W237" s="652">
        <f t="shared" si="189"/>
        <v>0</v>
      </c>
      <c r="X237" s="652">
        <f t="shared" si="190"/>
        <v>0</v>
      </c>
      <c r="Y237" s="652">
        <f t="shared" si="191"/>
        <v>0</v>
      </c>
      <c r="Z237" s="661"/>
      <c r="AA237" s="651">
        <f t="array" ref="AA237">IFERROR(INDEX('HIV-Equipment'!$N$14:$N$58,MATCH($E237&amp;$F237,'HIV-Equipment'!$C$14:$C$58&amp;'HIV-Equipment'!$D$14:$D$58,0)),0)</f>
        <v>0</v>
      </c>
      <c r="AB237" s="651">
        <f t="array" ref="AB237">IFERROR(INDEX('HIV-Equipment'!$O$14:$O$58,MATCH($E237&amp;$F237,'HIV-Equipment'!$C$14:$C$58&amp;'HIV-Equipment'!$D$14:$D$58,0)),0)</f>
        <v>0</v>
      </c>
      <c r="AC237" s="651">
        <f t="shared" si="192"/>
        <v>0</v>
      </c>
      <c r="AD237" s="652">
        <f t="shared" si="193"/>
        <v>0</v>
      </c>
      <c r="AE237" s="652">
        <f t="shared" si="194"/>
        <v>0</v>
      </c>
      <c r="AF237" s="651">
        <f t="array" ref="AF237">IFERROR(INDEX('HIV-Equipment'!$P$14:$P$58,MATCH($E237&amp;$F237,'HIV-Equipment'!$C$14:$C$58&amp;'HIV-Equipment'!$D$14:$D$58,0)),0)</f>
        <v>0</v>
      </c>
      <c r="AG237" s="651">
        <f t="shared" si="195"/>
        <v>0</v>
      </c>
      <c r="AH237" s="652">
        <f t="shared" si="196"/>
        <v>0</v>
      </c>
      <c r="AI237" s="652">
        <f t="shared" si="197"/>
        <v>0</v>
      </c>
      <c r="AJ237" s="651">
        <f t="array" ref="AJ237">IFERROR(INDEX('HIV-Equipment'!$Q$14:$Q$58,MATCH($E237&amp;$F237,'HIV-Equipment'!$C$14:$C$58&amp;'HIV-Equipment'!$D$14:$D$58,0)),0)</f>
        <v>0</v>
      </c>
      <c r="AK237" s="651">
        <f t="shared" si="198"/>
        <v>0</v>
      </c>
      <c r="AL237" s="652">
        <f t="shared" si="199"/>
        <v>0</v>
      </c>
      <c r="AM237" s="652">
        <f t="shared" si="200"/>
        <v>0</v>
      </c>
      <c r="AN237" s="651">
        <f t="array" ref="AN237">IFERROR(INDEX('HIV-Equipment'!$R$14:$R$58,MATCH($E237&amp;$F237,'HIV-Equipment'!$C$14:$C$58&amp;'HIV-Equipment'!$D$14:$D$58,0)),0)</f>
        <v>0</v>
      </c>
      <c r="AO237" s="651">
        <f t="shared" si="201"/>
        <v>0</v>
      </c>
      <c r="AP237" s="652">
        <f t="shared" si="202"/>
        <v>0</v>
      </c>
      <c r="AQ237" s="652">
        <f t="shared" si="203"/>
        <v>0</v>
      </c>
      <c r="AR237" s="661"/>
      <c r="AS237" s="651">
        <f t="array" ref="AS237">IFERROR(INDEX('HIV-Equipment'!$U$14:$U$58,MATCH($E237&amp;$F237,'HIV-Equipment'!$C$14:$C$58&amp;'HIV-Equipment'!$D$14:$D$58,0)),0)</f>
        <v>0</v>
      </c>
      <c r="AT237" s="651">
        <f t="array" ref="AT237">IFERROR(INDEX('HIV-Equipment'!$V$14:$V$58,MATCH($E237&amp;$F237,'HIV-Equipment'!$C$14:$C$58&amp;'HIV-Equipment'!$D$14:$D$58,0)),0)</f>
        <v>0</v>
      </c>
      <c r="AU237" s="651">
        <f t="shared" si="204"/>
        <v>0</v>
      </c>
      <c r="AV237" s="652">
        <f t="shared" si="205"/>
        <v>0</v>
      </c>
      <c r="AW237" s="652">
        <f t="shared" si="206"/>
        <v>0</v>
      </c>
      <c r="AX237" s="651">
        <f t="array" ref="AX237">IFERROR(INDEX('HIV-Equipment'!$W$14:$W$58,MATCH($E237&amp;$F237,'HIV-Equipment'!$C$14:$C$58&amp;'HIV-Equipment'!$D$14:$D$58,0)),0)</f>
        <v>0</v>
      </c>
      <c r="AY237" s="651">
        <f t="shared" si="207"/>
        <v>0</v>
      </c>
      <c r="AZ237" s="652">
        <f t="shared" si="208"/>
        <v>0</v>
      </c>
      <c r="BA237" s="652">
        <f t="shared" si="209"/>
        <v>0</v>
      </c>
      <c r="BB237" s="651">
        <f t="array" ref="BB237">IFERROR(INDEX('HIV-Equipment'!$X$14:$X$58,MATCH($E237&amp;$F237,'HIV-Equipment'!$C$14:$C$58&amp;'HIV-Equipment'!$D$14:$D$58,0)),0)</f>
        <v>0</v>
      </c>
      <c r="BC237" s="651">
        <f t="shared" si="210"/>
        <v>0</v>
      </c>
      <c r="BD237" s="652">
        <f t="shared" si="211"/>
        <v>0</v>
      </c>
      <c r="BE237" s="652">
        <f t="shared" si="212"/>
        <v>0</v>
      </c>
      <c r="BF237" s="651">
        <f t="array" ref="BF237">IFERROR(INDEX('HIV-Equipment'!$Y$14:$Y$58,MATCH($E237&amp;$F237,'HIV-Equipment'!$C$14:$C$58&amp;'HIV-Equipment'!$D$14:$D$58,0)),0)</f>
        <v>0</v>
      </c>
      <c r="BG237" s="651">
        <f t="shared" si="213"/>
        <v>0</v>
      </c>
      <c r="BH237" s="652">
        <f t="shared" si="214"/>
        <v>0</v>
      </c>
      <c r="BI237" s="652">
        <f t="shared" si="215"/>
        <v>0</v>
      </c>
      <c r="BJ237" s="662"/>
      <c r="BK237" s="654"/>
      <c r="BL237" s="654"/>
      <c r="BM237" s="654"/>
      <c r="BN237" s="654"/>
      <c r="BO237" s="654"/>
      <c r="BP237" s="654"/>
      <c r="BQ237" s="654"/>
      <c r="BR237" s="654"/>
    </row>
    <row r="238" spans="1:70" s="426" customFormat="1">
      <c r="A238" s="655" t="s">
        <v>1855</v>
      </c>
      <c r="B238" s="655" t="s">
        <v>2283</v>
      </c>
      <c r="C238" s="648">
        <f>SETUP!$F$23</f>
        <v>0</v>
      </c>
      <c r="D238" s="654">
        <v>6.6</v>
      </c>
      <c r="E238" s="655" t="s">
        <v>220</v>
      </c>
      <c r="F238" s="655" t="s">
        <v>200</v>
      </c>
      <c r="G238" s="650" t="str">
        <f t="array" ref="G238">IFERROR(INDEX('HIV-Equipment'!$E$14:$E$58,MATCH($E238&amp;$F238,'HIV-Equipment'!$C$14:$C$58&amp;'HIV-Equipment'!$D$14:$D$58,0)),"")</f>
        <v/>
      </c>
      <c r="H238" s="650" t="str">
        <f t="array" ref="H238">IFERROR(INDEX('HIV-Equipment'!$F$14:$F$58,MATCH($E238&amp;$F238,'HIV-Equipment'!$C$14:$C$58&amp;'HIV-Equipment'!$D$14:$D$58,0)),"")</f>
        <v/>
      </c>
      <c r="I238" s="651">
        <f t="array" ref="I238">IFERROR(INDEX('HIV-Equipment'!$G$14:$G$58,MATCH($E238&amp;$F238,'HIV-Equipment'!$C$14:$C$58&amp;'HIV-Equipment'!$D$14:$D$58,0)),0)</f>
        <v>0</v>
      </c>
      <c r="J238" s="651">
        <f t="array" ref="J238">IFERROR(INDEX('HIV-Equipment'!$H$14:$H$58,MATCH($E238&amp;$F238,'HIV-Equipment'!$C$14:$C$58&amp;'HIV-Equipment'!$D$14:$D$58,0)),0)</f>
        <v>0</v>
      </c>
      <c r="K238" s="652">
        <f t="shared" si="180"/>
        <v>0</v>
      </c>
      <c r="L238" s="652">
        <f t="shared" si="181"/>
        <v>0</v>
      </c>
      <c r="M238" s="652">
        <f t="shared" si="182"/>
        <v>0</v>
      </c>
      <c r="N238" s="651">
        <f t="array" ref="N238">IFERROR(INDEX('HIV-Equipment'!$I$14:$I$58,MATCH($E238&amp;$F238,'HIV-Equipment'!$C$14:$C$58&amp;'HIV-Equipment'!$D$14:$D$58,0)),0)</f>
        <v>0</v>
      </c>
      <c r="O238" s="652">
        <f t="shared" si="183"/>
        <v>0</v>
      </c>
      <c r="P238" s="652">
        <f t="shared" si="184"/>
        <v>0</v>
      </c>
      <c r="Q238" s="652">
        <f t="shared" si="185"/>
        <v>0</v>
      </c>
      <c r="R238" s="651">
        <f t="array" ref="R238">IFERROR(INDEX('HIV-Equipment'!$J$14:$J$58,MATCH($E238&amp;$F238,'HIV-Equipment'!$C$14:$C$58&amp;'HIV-Equipment'!$D$14:$D$58,0)),0)</f>
        <v>0</v>
      </c>
      <c r="S238" s="652">
        <f t="shared" si="186"/>
        <v>0</v>
      </c>
      <c r="T238" s="652">
        <f t="shared" si="187"/>
        <v>0</v>
      </c>
      <c r="U238" s="652">
        <f t="shared" si="188"/>
        <v>0</v>
      </c>
      <c r="V238" s="651">
        <f t="array" ref="V238">IFERROR(INDEX('HIV-Equipment'!$K$14:$K$58,MATCH($E238&amp;$F238,'HIV-Equipment'!$C$14:$C$58&amp;'HIV-Equipment'!$D$14:$D$58,0)),0)</f>
        <v>0</v>
      </c>
      <c r="W238" s="652">
        <f t="shared" si="189"/>
        <v>0</v>
      </c>
      <c r="X238" s="652">
        <f t="shared" si="190"/>
        <v>0</v>
      </c>
      <c r="Y238" s="652">
        <f t="shared" si="191"/>
        <v>0</v>
      </c>
      <c r="Z238" s="661"/>
      <c r="AA238" s="651">
        <f t="array" ref="AA238">IFERROR(INDEX('HIV-Equipment'!$N$14:$N$58,MATCH($E238&amp;$F238,'HIV-Equipment'!$C$14:$C$58&amp;'HIV-Equipment'!$D$14:$D$58,0)),0)</f>
        <v>0</v>
      </c>
      <c r="AB238" s="651">
        <f t="array" ref="AB238">IFERROR(INDEX('HIV-Equipment'!$O$14:$O$58,MATCH($E238&amp;$F238,'HIV-Equipment'!$C$14:$C$58&amp;'HIV-Equipment'!$D$14:$D$58,0)),0)</f>
        <v>0</v>
      </c>
      <c r="AC238" s="651">
        <f t="shared" si="192"/>
        <v>0</v>
      </c>
      <c r="AD238" s="652">
        <f t="shared" si="193"/>
        <v>0</v>
      </c>
      <c r="AE238" s="652">
        <f t="shared" si="194"/>
        <v>0</v>
      </c>
      <c r="AF238" s="651">
        <f t="array" ref="AF238">IFERROR(INDEX('HIV-Equipment'!$P$14:$P$58,MATCH($E238&amp;$F238,'HIV-Equipment'!$C$14:$C$58&amp;'HIV-Equipment'!$D$14:$D$58,0)),0)</f>
        <v>0</v>
      </c>
      <c r="AG238" s="651">
        <f t="shared" si="195"/>
        <v>0</v>
      </c>
      <c r="AH238" s="652">
        <f t="shared" si="196"/>
        <v>0</v>
      </c>
      <c r="AI238" s="652">
        <f t="shared" si="197"/>
        <v>0</v>
      </c>
      <c r="AJ238" s="651">
        <f t="array" ref="AJ238">IFERROR(INDEX('HIV-Equipment'!$Q$14:$Q$58,MATCH($E238&amp;$F238,'HIV-Equipment'!$C$14:$C$58&amp;'HIV-Equipment'!$D$14:$D$58,0)),0)</f>
        <v>0</v>
      </c>
      <c r="AK238" s="651">
        <f t="shared" si="198"/>
        <v>0</v>
      </c>
      <c r="AL238" s="652">
        <f t="shared" si="199"/>
        <v>0</v>
      </c>
      <c r="AM238" s="652">
        <f t="shared" si="200"/>
        <v>0</v>
      </c>
      <c r="AN238" s="651">
        <f t="array" ref="AN238">IFERROR(INDEX('HIV-Equipment'!$R$14:$R$58,MATCH($E238&amp;$F238,'HIV-Equipment'!$C$14:$C$58&amp;'HIV-Equipment'!$D$14:$D$58,0)),0)</f>
        <v>0</v>
      </c>
      <c r="AO238" s="651">
        <f t="shared" si="201"/>
        <v>0</v>
      </c>
      <c r="AP238" s="652">
        <f t="shared" si="202"/>
        <v>0</v>
      </c>
      <c r="AQ238" s="652">
        <f t="shared" si="203"/>
        <v>0</v>
      </c>
      <c r="AR238" s="661"/>
      <c r="AS238" s="651">
        <f t="array" ref="AS238">IFERROR(INDEX('HIV-Equipment'!$U$14:$U$58,MATCH($E238&amp;$F238,'HIV-Equipment'!$C$14:$C$58&amp;'HIV-Equipment'!$D$14:$D$58,0)),0)</f>
        <v>0</v>
      </c>
      <c r="AT238" s="651">
        <f t="array" ref="AT238">IFERROR(INDEX('HIV-Equipment'!$V$14:$V$58,MATCH($E238&amp;$F238,'HIV-Equipment'!$C$14:$C$58&amp;'HIV-Equipment'!$D$14:$D$58,0)),0)</f>
        <v>0</v>
      </c>
      <c r="AU238" s="651">
        <f t="shared" si="204"/>
        <v>0</v>
      </c>
      <c r="AV238" s="652">
        <f t="shared" si="205"/>
        <v>0</v>
      </c>
      <c r="AW238" s="652">
        <f t="shared" si="206"/>
        <v>0</v>
      </c>
      <c r="AX238" s="651">
        <f t="array" ref="AX238">IFERROR(INDEX('HIV-Equipment'!$W$14:$W$58,MATCH($E238&amp;$F238,'HIV-Equipment'!$C$14:$C$58&amp;'HIV-Equipment'!$D$14:$D$58,0)),0)</f>
        <v>0</v>
      </c>
      <c r="AY238" s="651">
        <f t="shared" si="207"/>
        <v>0</v>
      </c>
      <c r="AZ238" s="652">
        <f t="shared" si="208"/>
        <v>0</v>
      </c>
      <c r="BA238" s="652">
        <f t="shared" si="209"/>
        <v>0</v>
      </c>
      <c r="BB238" s="651">
        <f t="array" ref="BB238">IFERROR(INDEX('HIV-Equipment'!$X$14:$X$58,MATCH($E238&amp;$F238,'HIV-Equipment'!$C$14:$C$58&amp;'HIV-Equipment'!$D$14:$D$58,0)),0)</f>
        <v>0</v>
      </c>
      <c r="BC238" s="651">
        <f t="shared" si="210"/>
        <v>0</v>
      </c>
      <c r="BD238" s="652">
        <f t="shared" si="211"/>
        <v>0</v>
      </c>
      <c r="BE238" s="652">
        <f t="shared" si="212"/>
        <v>0</v>
      </c>
      <c r="BF238" s="651">
        <f t="array" ref="BF238">IFERROR(INDEX('HIV-Equipment'!$Y$14:$Y$58,MATCH($E238&amp;$F238,'HIV-Equipment'!$C$14:$C$58&amp;'HIV-Equipment'!$D$14:$D$58,0)),0)</f>
        <v>0</v>
      </c>
      <c r="BG238" s="651">
        <f t="shared" si="213"/>
        <v>0</v>
      </c>
      <c r="BH238" s="652">
        <f t="shared" si="214"/>
        <v>0</v>
      </c>
      <c r="BI238" s="652">
        <f t="shared" si="215"/>
        <v>0</v>
      </c>
      <c r="BJ238" s="662"/>
      <c r="BK238" s="654"/>
      <c r="BL238" s="654"/>
      <c r="BM238" s="654"/>
      <c r="BN238" s="654"/>
      <c r="BO238" s="654"/>
      <c r="BP238" s="654"/>
      <c r="BQ238" s="654"/>
      <c r="BR238" s="654"/>
    </row>
    <row r="239" spans="1:70" s="426" customFormat="1">
      <c r="A239" s="1412" t="s">
        <v>1855</v>
      </c>
      <c r="B239" s="1412" t="s">
        <v>2283</v>
      </c>
      <c r="C239" s="1413">
        <f>SETUP!$F$23</f>
        <v>0</v>
      </c>
      <c r="D239" s="1414">
        <v>6.6</v>
      </c>
      <c r="E239" s="1412" t="s">
        <v>201</v>
      </c>
      <c r="F239" s="1412" t="s">
        <v>200</v>
      </c>
      <c r="G239" s="650" t="str">
        <f t="array" ref="G239">IFERROR(INDEX('HIV-Equipment'!$E$14:$E$58,MATCH($E239&amp;$F239,'HIV-Equipment'!$C$14:$C$58&amp;'HIV-Equipment'!$D$14:$D$58,0)),"")</f>
        <v/>
      </c>
      <c r="H239" s="650" t="str">
        <f t="array" ref="H239">IFERROR(INDEX('HIV-Equipment'!$F$14:$F$58,MATCH($E239&amp;$F239,'HIV-Equipment'!$C$14:$C$58&amp;'HIV-Equipment'!$D$14:$D$58,0)),"")</f>
        <v/>
      </c>
      <c r="I239" s="651">
        <f t="array" ref="I239">IFERROR(INDEX('HIV-Equipment'!$G$14:$G$58,MATCH($E239&amp;$F239,'HIV-Equipment'!$C$14:$C$58&amp;'HIV-Equipment'!$D$14:$D$58,0)),0)</f>
        <v>0</v>
      </c>
      <c r="J239" s="651">
        <f t="array" ref="J239">IFERROR(INDEX('HIV-Equipment'!$H$14:$H$58,MATCH($E239&amp;$F239,'HIV-Equipment'!$C$14:$C$58&amp;'HIV-Equipment'!$D$14:$D$58,0)),0)</f>
        <v>0</v>
      </c>
      <c r="K239" s="652">
        <f t="shared" si="180"/>
        <v>0</v>
      </c>
      <c r="L239" s="652">
        <f t="shared" si="181"/>
        <v>0</v>
      </c>
      <c r="M239" s="652">
        <f t="shared" si="182"/>
        <v>0</v>
      </c>
      <c r="N239" s="651">
        <f t="array" ref="N239">IFERROR(INDEX('HIV-Equipment'!$I$14:$I$58,MATCH($E239&amp;$F239,'HIV-Equipment'!$C$14:$C$58&amp;'HIV-Equipment'!$D$14:$D$58,0)),0)</f>
        <v>0</v>
      </c>
      <c r="O239" s="652">
        <f t="shared" si="183"/>
        <v>0</v>
      </c>
      <c r="P239" s="652">
        <f t="shared" si="184"/>
        <v>0</v>
      </c>
      <c r="Q239" s="652">
        <f t="shared" si="185"/>
        <v>0</v>
      </c>
      <c r="R239" s="651">
        <f t="array" ref="R239">IFERROR(INDEX('HIV-Equipment'!$J$14:$J$58,MATCH($E239&amp;$F239,'HIV-Equipment'!$C$14:$C$58&amp;'HIV-Equipment'!$D$14:$D$58,0)),0)</f>
        <v>0</v>
      </c>
      <c r="S239" s="652">
        <f t="shared" si="186"/>
        <v>0</v>
      </c>
      <c r="T239" s="652">
        <f t="shared" si="187"/>
        <v>0</v>
      </c>
      <c r="U239" s="652">
        <f t="shared" si="188"/>
        <v>0</v>
      </c>
      <c r="V239" s="651">
        <f t="array" ref="V239">IFERROR(INDEX('HIV-Equipment'!$K$14:$K$58,MATCH($E239&amp;$F239,'HIV-Equipment'!$C$14:$C$58&amp;'HIV-Equipment'!$D$14:$D$58,0)),0)</f>
        <v>0</v>
      </c>
      <c r="W239" s="652">
        <f t="shared" si="189"/>
        <v>0</v>
      </c>
      <c r="X239" s="652">
        <f t="shared" si="190"/>
        <v>0</v>
      </c>
      <c r="Y239" s="652">
        <f t="shared" si="191"/>
        <v>0</v>
      </c>
      <c r="Z239" s="661"/>
      <c r="AA239" s="651">
        <f t="array" ref="AA239">IFERROR(INDEX('HIV-Equipment'!$N$14:$N$58,MATCH($E239&amp;$F239,'HIV-Equipment'!$C$14:$C$58&amp;'HIV-Equipment'!$D$14:$D$58,0)),0)</f>
        <v>0</v>
      </c>
      <c r="AB239" s="651">
        <f t="array" ref="AB239">IFERROR(INDEX('HIV-Equipment'!$O$14:$O$58,MATCH($E239&amp;$F239,'HIV-Equipment'!$C$14:$C$58&amp;'HIV-Equipment'!$D$14:$D$58,0)),0)</f>
        <v>0</v>
      </c>
      <c r="AC239" s="651">
        <f t="shared" si="192"/>
        <v>0</v>
      </c>
      <c r="AD239" s="652">
        <f t="shared" si="193"/>
        <v>0</v>
      </c>
      <c r="AE239" s="652">
        <f t="shared" si="194"/>
        <v>0</v>
      </c>
      <c r="AF239" s="651">
        <f t="array" ref="AF239">IFERROR(INDEX('HIV-Equipment'!$P$14:$P$58,MATCH($E239&amp;$F239,'HIV-Equipment'!$C$14:$C$58&amp;'HIV-Equipment'!$D$14:$D$58,0)),0)</f>
        <v>0</v>
      </c>
      <c r="AG239" s="651">
        <f t="shared" si="195"/>
        <v>0</v>
      </c>
      <c r="AH239" s="652">
        <f t="shared" si="196"/>
        <v>0</v>
      </c>
      <c r="AI239" s="652">
        <f t="shared" si="197"/>
        <v>0</v>
      </c>
      <c r="AJ239" s="651">
        <f t="array" ref="AJ239">IFERROR(INDEX('HIV-Equipment'!$Q$14:$Q$58,MATCH($E239&amp;$F239,'HIV-Equipment'!$C$14:$C$58&amp;'HIV-Equipment'!$D$14:$D$58,0)),0)</f>
        <v>0</v>
      </c>
      <c r="AK239" s="651">
        <f t="shared" si="198"/>
        <v>0</v>
      </c>
      <c r="AL239" s="652">
        <f t="shared" si="199"/>
        <v>0</v>
      </c>
      <c r="AM239" s="652">
        <f t="shared" si="200"/>
        <v>0</v>
      </c>
      <c r="AN239" s="651">
        <f t="array" ref="AN239">IFERROR(INDEX('HIV-Equipment'!$R$14:$R$58,MATCH($E239&amp;$F239,'HIV-Equipment'!$C$14:$C$58&amp;'HIV-Equipment'!$D$14:$D$58,0)),0)</f>
        <v>0</v>
      </c>
      <c r="AO239" s="651">
        <f t="shared" si="201"/>
        <v>0</v>
      </c>
      <c r="AP239" s="652">
        <f t="shared" si="202"/>
        <v>0</v>
      </c>
      <c r="AQ239" s="652">
        <f t="shared" si="203"/>
        <v>0</v>
      </c>
      <c r="AR239" s="661"/>
      <c r="AS239" s="651">
        <f t="array" ref="AS239">IFERROR(INDEX('HIV-Equipment'!$U$14:$U$58,MATCH($E239&amp;$F239,'HIV-Equipment'!$C$14:$C$58&amp;'HIV-Equipment'!$D$14:$D$58,0)),0)</f>
        <v>0</v>
      </c>
      <c r="AT239" s="651">
        <f t="array" ref="AT239">IFERROR(INDEX('HIV-Equipment'!$V$14:$V$58,MATCH($E239&amp;$F239,'HIV-Equipment'!$C$14:$C$58&amp;'HIV-Equipment'!$D$14:$D$58,0)),0)</f>
        <v>0</v>
      </c>
      <c r="AU239" s="651">
        <f t="shared" si="204"/>
        <v>0</v>
      </c>
      <c r="AV239" s="652">
        <f t="shared" si="205"/>
        <v>0</v>
      </c>
      <c r="AW239" s="652">
        <f t="shared" si="206"/>
        <v>0</v>
      </c>
      <c r="AX239" s="651">
        <f t="array" ref="AX239">IFERROR(INDEX('HIV-Equipment'!$W$14:$W$58,MATCH($E239&amp;$F239,'HIV-Equipment'!$C$14:$C$58&amp;'HIV-Equipment'!$D$14:$D$58,0)),0)</f>
        <v>0</v>
      </c>
      <c r="AY239" s="651">
        <f t="shared" si="207"/>
        <v>0</v>
      </c>
      <c r="AZ239" s="652">
        <f t="shared" si="208"/>
        <v>0</v>
      </c>
      <c r="BA239" s="652">
        <f t="shared" si="209"/>
        <v>0</v>
      </c>
      <c r="BB239" s="651">
        <f t="array" ref="BB239">IFERROR(INDEX('HIV-Equipment'!$X$14:$X$58,MATCH($E239&amp;$F239,'HIV-Equipment'!$C$14:$C$58&amp;'HIV-Equipment'!$D$14:$D$58,0)),0)</f>
        <v>0</v>
      </c>
      <c r="BC239" s="651">
        <f t="shared" si="210"/>
        <v>0</v>
      </c>
      <c r="BD239" s="652">
        <f t="shared" si="211"/>
        <v>0</v>
      </c>
      <c r="BE239" s="652">
        <f t="shared" si="212"/>
        <v>0</v>
      </c>
      <c r="BF239" s="651">
        <f t="array" ref="BF239">IFERROR(INDEX('HIV-Equipment'!$Y$14:$Y$58,MATCH($E239&amp;$F239,'HIV-Equipment'!$C$14:$C$58&amp;'HIV-Equipment'!$D$14:$D$58,0)),0)</f>
        <v>0</v>
      </c>
      <c r="BG239" s="651">
        <f t="shared" si="213"/>
        <v>0</v>
      </c>
      <c r="BH239" s="652">
        <f t="shared" si="214"/>
        <v>0</v>
      </c>
      <c r="BI239" s="652">
        <f t="shared" si="215"/>
        <v>0</v>
      </c>
      <c r="BJ239" s="662"/>
      <c r="BK239" s="654"/>
      <c r="BL239" s="654"/>
      <c r="BM239" s="654"/>
      <c r="BN239" s="654"/>
      <c r="BO239" s="654"/>
      <c r="BP239" s="654"/>
      <c r="BQ239" s="654"/>
      <c r="BR239" s="654"/>
    </row>
    <row r="240" spans="1:70" s="426" customFormat="1">
      <c r="A240" s="1488" t="s">
        <v>1855</v>
      </c>
      <c r="B240" s="1488" t="s">
        <v>2283</v>
      </c>
      <c r="C240" s="1489">
        <f>SETUP!$F$23</f>
        <v>0</v>
      </c>
      <c r="D240" s="1490">
        <v>6.5</v>
      </c>
      <c r="E240" s="655" t="s">
        <v>1230</v>
      </c>
      <c r="F240" s="655" t="s">
        <v>218</v>
      </c>
      <c r="G240" s="650" t="str">
        <f t="array" ref="G240">IFERROR(INDEX('HIV-Equipment'!$E$14:$E$58,MATCH($E240&amp;$F240,'HIV-Equipment'!$C$14:$C$58&amp;'HIV-Equipment'!$D$14:$D$58,0)),"")</f>
        <v/>
      </c>
      <c r="H240" s="650" t="str">
        <f t="array" ref="H240">IFERROR(INDEX('HIV-Equipment'!$F$14:$F$58,MATCH($E240&amp;$F240,'HIV-Equipment'!$C$14:$C$58&amp;'HIV-Equipment'!$D$14:$D$58,0)),"")</f>
        <v/>
      </c>
      <c r="I240" s="651">
        <f t="array" ref="I240">IFERROR(INDEX('HIV-Equipment'!$G$14:$G$58,MATCH($E240&amp;$F240,'HIV-Equipment'!$C$14:$C$58&amp;'HIV-Equipment'!$D$14:$D$58,0)),0)</f>
        <v>0</v>
      </c>
      <c r="J240" s="651">
        <f t="array" ref="J240">IFERROR(INDEX('HIV-Equipment'!$H$14:$H$58,MATCH($E240&amp;$F240,'HIV-Equipment'!$C$14:$C$58&amp;'HIV-Equipment'!$D$14:$D$58,0)),0)</f>
        <v>0</v>
      </c>
      <c r="K240" s="652">
        <f t="shared" si="180"/>
        <v>0</v>
      </c>
      <c r="L240" s="652">
        <f t="shared" si="181"/>
        <v>0</v>
      </c>
      <c r="M240" s="652">
        <f t="shared" si="182"/>
        <v>0</v>
      </c>
      <c r="N240" s="651">
        <f t="array" ref="N240">IFERROR(INDEX('HIV-Equipment'!$I$14:$I$58,MATCH($E240&amp;$F240,'HIV-Equipment'!$C$14:$C$58&amp;'HIV-Equipment'!$D$14:$D$58,0)),0)</f>
        <v>0</v>
      </c>
      <c r="O240" s="652">
        <f t="shared" si="183"/>
        <v>0</v>
      </c>
      <c r="P240" s="652">
        <f t="shared" si="184"/>
        <v>0</v>
      </c>
      <c r="Q240" s="652">
        <f t="shared" si="185"/>
        <v>0</v>
      </c>
      <c r="R240" s="651">
        <f t="array" ref="R240">IFERROR(INDEX('HIV-Equipment'!$J$14:$J$58,MATCH($E240&amp;$F240,'HIV-Equipment'!$C$14:$C$58&amp;'HIV-Equipment'!$D$14:$D$58,0)),0)</f>
        <v>0</v>
      </c>
      <c r="S240" s="652">
        <f t="shared" si="186"/>
        <v>0</v>
      </c>
      <c r="T240" s="652">
        <f t="shared" si="187"/>
        <v>0</v>
      </c>
      <c r="U240" s="652">
        <f t="shared" si="188"/>
        <v>0</v>
      </c>
      <c r="V240" s="651">
        <f t="array" ref="V240">IFERROR(INDEX('HIV-Equipment'!$K$14:$K$58,MATCH($E240&amp;$F240,'HIV-Equipment'!$C$14:$C$58&amp;'HIV-Equipment'!$D$14:$D$58,0)),0)</f>
        <v>0</v>
      </c>
      <c r="W240" s="652">
        <f t="shared" si="189"/>
        <v>0</v>
      </c>
      <c r="X240" s="652">
        <f t="shared" si="190"/>
        <v>0</v>
      </c>
      <c r="Y240" s="652">
        <f t="shared" si="191"/>
        <v>0</v>
      </c>
      <c r="Z240" s="661"/>
      <c r="AA240" s="651">
        <f t="array" ref="AA240">IFERROR(INDEX('HIV-Equipment'!$N$14:$N$58,MATCH($E240&amp;$F240,'HIV-Equipment'!$C$14:$C$58&amp;'HIV-Equipment'!$D$14:$D$58,0)),0)</f>
        <v>0</v>
      </c>
      <c r="AB240" s="651">
        <f t="array" ref="AB240">IFERROR(INDEX('HIV-Equipment'!$O$14:$O$58,MATCH($E240&amp;$F240,'HIV-Equipment'!$C$14:$C$58&amp;'HIV-Equipment'!$D$14:$D$58,0)),0)</f>
        <v>0</v>
      </c>
      <c r="AC240" s="651">
        <f t="shared" si="192"/>
        <v>0</v>
      </c>
      <c r="AD240" s="652">
        <f t="shared" si="193"/>
        <v>0</v>
      </c>
      <c r="AE240" s="652">
        <f t="shared" si="194"/>
        <v>0</v>
      </c>
      <c r="AF240" s="651">
        <f t="array" ref="AF240">IFERROR(INDEX('HIV-Equipment'!$P$14:$P$58,MATCH($E240&amp;$F240,'HIV-Equipment'!$C$14:$C$58&amp;'HIV-Equipment'!$D$14:$D$58,0)),0)</f>
        <v>0</v>
      </c>
      <c r="AG240" s="651">
        <f t="shared" si="195"/>
        <v>0</v>
      </c>
      <c r="AH240" s="652">
        <f t="shared" si="196"/>
        <v>0</v>
      </c>
      <c r="AI240" s="652">
        <f t="shared" si="197"/>
        <v>0</v>
      </c>
      <c r="AJ240" s="651">
        <f t="array" ref="AJ240">IFERROR(INDEX('HIV-Equipment'!$Q$14:$Q$58,MATCH($E240&amp;$F240,'HIV-Equipment'!$C$14:$C$58&amp;'HIV-Equipment'!$D$14:$D$58,0)),0)</f>
        <v>0</v>
      </c>
      <c r="AK240" s="651">
        <f t="shared" si="198"/>
        <v>0</v>
      </c>
      <c r="AL240" s="652">
        <f t="shared" si="199"/>
        <v>0</v>
      </c>
      <c r="AM240" s="652">
        <f t="shared" si="200"/>
        <v>0</v>
      </c>
      <c r="AN240" s="651">
        <f t="array" ref="AN240">IFERROR(INDEX('HIV-Equipment'!$R$14:$R$58,MATCH($E240&amp;$F240,'HIV-Equipment'!$C$14:$C$58&amp;'HIV-Equipment'!$D$14:$D$58,0)),0)</f>
        <v>0</v>
      </c>
      <c r="AO240" s="651">
        <f t="shared" si="201"/>
        <v>0</v>
      </c>
      <c r="AP240" s="652">
        <f t="shared" si="202"/>
        <v>0</v>
      </c>
      <c r="AQ240" s="652">
        <f t="shared" si="203"/>
        <v>0</v>
      </c>
      <c r="AR240" s="661"/>
      <c r="AS240" s="651">
        <f t="array" ref="AS240">IFERROR(INDEX('HIV-Equipment'!$U$14:$U$58,MATCH($E240&amp;$F240,'HIV-Equipment'!$C$14:$C$58&amp;'HIV-Equipment'!$D$14:$D$58,0)),0)</f>
        <v>0</v>
      </c>
      <c r="AT240" s="651">
        <f t="array" ref="AT240">IFERROR(INDEX('HIV-Equipment'!$V$14:$V$58,MATCH($E240&amp;$F240,'HIV-Equipment'!$C$14:$C$58&amp;'HIV-Equipment'!$D$14:$D$58,0)),0)</f>
        <v>0</v>
      </c>
      <c r="AU240" s="651">
        <f t="shared" si="204"/>
        <v>0</v>
      </c>
      <c r="AV240" s="652">
        <f t="shared" si="205"/>
        <v>0</v>
      </c>
      <c r="AW240" s="652">
        <f t="shared" si="206"/>
        <v>0</v>
      </c>
      <c r="AX240" s="651">
        <f t="array" ref="AX240">IFERROR(INDEX('HIV-Equipment'!$W$14:$W$58,MATCH($E240&amp;$F240,'HIV-Equipment'!$C$14:$C$58&amp;'HIV-Equipment'!$D$14:$D$58,0)),0)</f>
        <v>0</v>
      </c>
      <c r="AY240" s="651">
        <f t="shared" si="207"/>
        <v>0</v>
      </c>
      <c r="AZ240" s="652">
        <f t="shared" si="208"/>
        <v>0</v>
      </c>
      <c r="BA240" s="652">
        <f t="shared" si="209"/>
        <v>0</v>
      </c>
      <c r="BB240" s="651">
        <f t="array" ref="BB240">IFERROR(INDEX('HIV-Equipment'!$X$14:$X$58,MATCH($E240&amp;$F240,'HIV-Equipment'!$C$14:$C$58&amp;'HIV-Equipment'!$D$14:$D$58,0)),0)</f>
        <v>0</v>
      </c>
      <c r="BC240" s="651">
        <f t="shared" si="210"/>
        <v>0</v>
      </c>
      <c r="BD240" s="652">
        <f t="shared" si="211"/>
        <v>0</v>
      </c>
      <c r="BE240" s="652">
        <f t="shared" si="212"/>
        <v>0</v>
      </c>
      <c r="BF240" s="651">
        <f t="array" ref="BF240">IFERROR(INDEX('HIV-Equipment'!$Y$14:$Y$58,MATCH($E240&amp;$F240,'HIV-Equipment'!$C$14:$C$58&amp;'HIV-Equipment'!$D$14:$D$58,0)),0)</f>
        <v>0</v>
      </c>
      <c r="BG240" s="651">
        <f t="shared" si="213"/>
        <v>0</v>
      </c>
      <c r="BH240" s="652">
        <f t="shared" si="214"/>
        <v>0</v>
      </c>
      <c r="BI240" s="652">
        <f t="shared" si="215"/>
        <v>0</v>
      </c>
      <c r="BJ240" s="662"/>
      <c r="BK240" s="654"/>
      <c r="BL240" s="654"/>
      <c r="BM240" s="654"/>
      <c r="BN240" s="654"/>
      <c r="BO240" s="654"/>
      <c r="BP240" s="654"/>
      <c r="BQ240" s="654"/>
      <c r="BR240" s="654"/>
    </row>
    <row r="241" spans="1:70" s="426" customFormat="1">
      <c r="A241" s="655" t="s">
        <v>1855</v>
      </c>
      <c r="B241" s="655" t="s">
        <v>2283</v>
      </c>
      <c r="C241" s="648">
        <f>SETUP!$F$23</f>
        <v>0</v>
      </c>
      <c r="D241" s="654">
        <v>6.5</v>
      </c>
      <c r="E241" s="655" t="s">
        <v>221</v>
      </c>
      <c r="F241" s="655" t="s">
        <v>218</v>
      </c>
      <c r="G241" s="650" t="str">
        <f t="array" ref="G241">IFERROR(INDEX('HIV-Equipment'!$E$14:$E$58,MATCH($E241&amp;$F241,'HIV-Equipment'!$C$14:$C$58&amp;'HIV-Equipment'!$D$14:$D$58,0)),"")</f>
        <v/>
      </c>
      <c r="H241" s="650" t="str">
        <f t="array" ref="H241">IFERROR(INDEX('HIV-Equipment'!$F$14:$F$58,MATCH($E241&amp;$F241,'HIV-Equipment'!$C$14:$C$58&amp;'HIV-Equipment'!$D$14:$D$58,0)),"")</f>
        <v/>
      </c>
      <c r="I241" s="651">
        <f t="array" ref="I241">IFERROR(INDEX('HIV-Equipment'!$G$14:$G$58,MATCH($E241&amp;$F241,'HIV-Equipment'!$C$14:$C$58&amp;'HIV-Equipment'!$D$14:$D$58,0)),0)</f>
        <v>0</v>
      </c>
      <c r="J241" s="651">
        <f t="array" ref="J241">IFERROR(INDEX('HIV-Equipment'!$H$14:$H$58,MATCH($E241&amp;$F241,'HIV-Equipment'!$C$14:$C$58&amp;'HIV-Equipment'!$D$14:$D$58,0)),0)</f>
        <v>0</v>
      </c>
      <c r="K241" s="652">
        <f t="shared" si="180"/>
        <v>0</v>
      </c>
      <c r="L241" s="652">
        <f t="shared" si="181"/>
        <v>0</v>
      </c>
      <c r="M241" s="652">
        <f t="shared" si="182"/>
        <v>0</v>
      </c>
      <c r="N241" s="651">
        <f t="array" ref="N241">IFERROR(INDEX('HIV-Equipment'!$I$14:$I$58,MATCH($E241&amp;$F241,'HIV-Equipment'!$C$14:$C$58&amp;'HIV-Equipment'!$D$14:$D$58,0)),0)</f>
        <v>0</v>
      </c>
      <c r="O241" s="652">
        <f t="shared" si="183"/>
        <v>0</v>
      </c>
      <c r="P241" s="652">
        <f t="shared" si="184"/>
        <v>0</v>
      </c>
      <c r="Q241" s="652">
        <f t="shared" si="185"/>
        <v>0</v>
      </c>
      <c r="R241" s="651">
        <f t="array" ref="R241">IFERROR(INDEX('HIV-Equipment'!$J$14:$J$58,MATCH($E241&amp;$F241,'HIV-Equipment'!$C$14:$C$58&amp;'HIV-Equipment'!$D$14:$D$58,0)),0)</f>
        <v>0</v>
      </c>
      <c r="S241" s="652">
        <f t="shared" si="186"/>
        <v>0</v>
      </c>
      <c r="T241" s="652">
        <f t="shared" si="187"/>
        <v>0</v>
      </c>
      <c r="U241" s="652">
        <f t="shared" si="188"/>
        <v>0</v>
      </c>
      <c r="V241" s="651">
        <f t="array" ref="V241">IFERROR(INDEX('HIV-Equipment'!$K$14:$K$58,MATCH($E241&amp;$F241,'HIV-Equipment'!$C$14:$C$58&amp;'HIV-Equipment'!$D$14:$D$58,0)),0)</f>
        <v>0</v>
      </c>
      <c r="W241" s="652">
        <f t="shared" si="189"/>
        <v>0</v>
      </c>
      <c r="X241" s="652">
        <f t="shared" si="190"/>
        <v>0</v>
      </c>
      <c r="Y241" s="652">
        <f t="shared" si="191"/>
        <v>0</v>
      </c>
      <c r="Z241" s="661"/>
      <c r="AA241" s="651">
        <f t="array" ref="AA241">IFERROR(INDEX('HIV-Equipment'!$N$14:$N$58,MATCH($E241&amp;$F241,'HIV-Equipment'!$C$14:$C$58&amp;'HIV-Equipment'!$D$14:$D$58,0)),0)</f>
        <v>0</v>
      </c>
      <c r="AB241" s="651">
        <f t="array" ref="AB241">IFERROR(INDEX('HIV-Equipment'!$O$14:$O$58,MATCH($E241&amp;$F241,'HIV-Equipment'!$C$14:$C$58&amp;'HIV-Equipment'!$D$14:$D$58,0)),0)</f>
        <v>0</v>
      </c>
      <c r="AC241" s="651">
        <f t="shared" si="192"/>
        <v>0</v>
      </c>
      <c r="AD241" s="652">
        <f t="shared" si="193"/>
        <v>0</v>
      </c>
      <c r="AE241" s="652">
        <f t="shared" si="194"/>
        <v>0</v>
      </c>
      <c r="AF241" s="651">
        <f t="array" ref="AF241">IFERROR(INDEX('HIV-Equipment'!$P$14:$P$58,MATCH($E241&amp;$F241,'HIV-Equipment'!$C$14:$C$58&amp;'HIV-Equipment'!$D$14:$D$58,0)),0)</f>
        <v>0</v>
      </c>
      <c r="AG241" s="651">
        <f t="shared" si="195"/>
        <v>0</v>
      </c>
      <c r="AH241" s="652">
        <f t="shared" si="196"/>
        <v>0</v>
      </c>
      <c r="AI241" s="652">
        <f t="shared" si="197"/>
        <v>0</v>
      </c>
      <c r="AJ241" s="651">
        <f t="array" ref="AJ241">IFERROR(INDEX('HIV-Equipment'!$Q$14:$Q$58,MATCH($E241&amp;$F241,'HIV-Equipment'!$C$14:$C$58&amp;'HIV-Equipment'!$D$14:$D$58,0)),0)</f>
        <v>0</v>
      </c>
      <c r="AK241" s="651">
        <f t="shared" si="198"/>
        <v>0</v>
      </c>
      <c r="AL241" s="652">
        <f t="shared" si="199"/>
        <v>0</v>
      </c>
      <c r="AM241" s="652">
        <f t="shared" si="200"/>
        <v>0</v>
      </c>
      <c r="AN241" s="651">
        <f t="array" ref="AN241">IFERROR(INDEX('HIV-Equipment'!$R$14:$R$58,MATCH($E241&amp;$F241,'HIV-Equipment'!$C$14:$C$58&amp;'HIV-Equipment'!$D$14:$D$58,0)),0)</f>
        <v>0</v>
      </c>
      <c r="AO241" s="651">
        <f t="shared" si="201"/>
        <v>0</v>
      </c>
      <c r="AP241" s="652">
        <f t="shared" si="202"/>
        <v>0</v>
      </c>
      <c r="AQ241" s="652">
        <f t="shared" si="203"/>
        <v>0</v>
      </c>
      <c r="AR241" s="661"/>
      <c r="AS241" s="651">
        <f t="array" ref="AS241">IFERROR(INDEX('HIV-Equipment'!$U$14:$U$58,MATCH($E241&amp;$F241,'HIV-Equipment'!$C$14:$C$58&amp;'HIV-Equipment'!$D$14:$D$58,0)),0)</f>
        <v>0</v>
      </c>
      <c r="AT241" s="651">
        <f t="array" ref="AT241">IFERROR(INDEX('HIV-Equipment'!$V$14:$V$58,MATCH($E241&amp;$F241,'HIV-Equipment'!$C$14:$C$58&amp;'HIV-Equipment'!$D$14:$D$58,0)),0)</f>
        <v>0</v>
      </c>
      <c r="AU241" s="651">
        <f t="shared" si="204"/>
        <v>0</v>
      </c>
      <c r="AV241" s="652">
        <f t="shared" si="205"/>
        <v>0</v>
      </c>
      <c r="AW241" s="652">
        <f t="shared" si="206"/>
        <v>0</v>
      </c>
      <c r="AX241" s="651">
        <f t="array" ref="AX241">IFERROR(INDEX('HIV-Equipment'!$W$14:$W$58,MATCH($E241&amp;$F241,'HIV-Equipment'!$C$14:$C$58&amp;'HIV-Equipment'!$D$14:$D$58,0)),0)</f>
        <v>0</v>
      </c>
      <c r="AY241" s="651">
        <f t="shared" si="207"/>
        <v>0</v>
      </c>
      <c r="AZ241" s="652">
        <f t="shared" si="208"/>
        <v>0</v>
      </c>
      <c r="BA241" s="652">
        <f t="shared" si="209"/>
        <v>0</v>
      </c>
      <c r="BB241" s="651">
        <f t="array" ref="BB241">IFERROR(INDEX('HIV-Equipment'!$X$14:$X$58,MATCH($E241&amp;$F241,'HIV-Equipment'!$C$14:$C$58&amp;'HIV-Equipment'!$D$14:$D$58,0)),0)</f>
        <v>0</v>
      </c>
      <c r="BC241" s="651">
        <f t="shared" si="210"/>
        <v>0</v>
      </c>
      <c r="BD241" s="652">
        <f t="shared" si="211"/>
        <v>0</v>
      </c>
      <c r="BE241" s="652">
        <f t="shared" si="212"/>
        <v>0</v>
      </c>
      <c r="BF241" s="651">
        <f t="array" ref="BF241">IFERROR(INDEX('HIV-Equipment'!$Y$14:$Y$58,MATCH($E241&amp;$F241,'HIV-Equipment'!$C$14:$C$58&amp;'HIV-Equipment'!$D$14:$D$58,0)),0)</f>
        <v>0</v>
      </c>
      <c r="BG241" s="651">
        <f t="shared" si="213"/>
        <v>0</v>
      </c>
      <c r="BH241" s="652">
        <f t="shared" si="214"/>
        <v>0</v>
      </c>
      <c r="BI241" s="652">
        <f t="shared" si="215"/>
        <v>0</v>
      </c>
      <c r="BJ241" s="662"/>
      <c r="BK241" s="654"/>
      <c r="BL241" s="654"/>
      <c r="BM241" s="654"/>
      <c r="BN241" s="654"/>
      <c r="BO241" s="654"/>
      <c r="BP241" s="654"/>
      <c r="BQ241" s="654"/>
      <c r="BR241" s="654"/>
    </row>
    <row r="242" spans="1:70" s="426" customFormat="1">
      <c r="A242" s="655" t="s">
        <v>1855</v>
      </c>
      <c r="B242" s="655" t="s">
        <v>2283</v>
      </c>
      <c r="C242" s="648">
        <f>SETUP!$F$23</f>
        <v>0</v>
      </c>
      <c r="D242" s="654">
        <v>6.1</v>
      </c>
      <c r="E242" s="655" t="s">
        <v>221</v>
      </c>
      <c r="F242" s="655" t="s">
        <v>201</v>
      </c>
      <c r="G242" s="650" t="str">
        <f t="array" ref="G242">IFERROR(INDEX('HIV-Equipment'!$E$14:$E$58,MATCH($E242&amp;$F242,'HIV-Equipment'!$C$14:$C$58&amp;'HIV-Equipment'!$D$14:$D$58,0)),"")</f>
        <v/>
      </c>
      <c r="H242" s="650" t="str">
        <f t="array" ref="H242">IFERROR(INDEX('HIV-Equipment'!$F$14:$F$58,MATCH($E242&amp;$F242,'HIV-Equipment'!$C$14:$C$58&amp;'HIV-Equipment'!$D$14:$D$58,0)),"")</f>
        <v/>
      </c>
      <c r="I242" s="651">
        <f t="array" ref="I242">IFERROR(INDEX('HIV-Equipment'!$G$14:$G$58,MATCH($E242&amp;$F242,'HIV-Equipment'!$C$14:$C$58&amp;'HIV-Equipment'!$D$14:$D$58,0)),0)</f>
        <v>0</v>
      </c>
      <c r="J242" s="651">
        <f t="array" ref="J242">IFERROR(INDEX('HIV-Equipment'!$H$14:$H$58,MATCH($E242&amp;$F242,'HIV-Equipment'!$C$14:$C$58&amp;'HIV-Equipment'!$D$14:$D$58,0)),0)</f>
        <v>0</v>
      </c>
      <c r="K242" s="652">
        <f t="shared" si="180"/>
        <v>0</v>
      </c>
      <c r="L242" s="652">
        <f t="shared" si="181"/>
        <v>0</v>
      </c>
      <c r="M242" s="652">
        <f t="shared" si="182"/>
        <v>0</v>
      </c>
      <c r="N242" s="651">
        <f t="array" ref="N242">IFERROR(INDEX('HIV-Equipment'!$I$14:$I$58,MATCH($E242&amp;$F242,'HIV-Equipment'!$C$14:$C$58&amp;'HIV-Equipment'!$D$14:$D$58,0)),0)</f>
        <v>0</v>
      </c>
      <c r="O242" s="652">
        <f t="shared" si="183"/>
        <v>0</v>
      </c>
      <c r="P242" s="652">
        <f t="shared" si="184"/>
        <v>0</v>
      </c>
      <c r="Q242" s="652">
        <f t="shared" si="185"/>
        <v>0</v>
      </c>
      <c r="R242" s="651">
        <f t="array" ref="R242">IFERROR(INDEX('HIV-Equipment'!$J$14:$J$58,MATCH($E242&amp;$F242,'HIV-Equipment'!$C$14:$C$58&amp;'HIV-Equipment'!$D$14:$D$58,0)),0)</f>
        <v>0</v>
      </c>
      <c r="S242" s="652">
        <f t="shared" si="186"/>
        <v>0</v>
      </c>
      <c r="T242" s="652">
        <f t="shared" si="187"/>
        <v>0</v>
      </c>
      <c r="U242" s="652">
        <f t="shared" si="188"/>
        <v>0</v>
      </c>
      <c r="V242" s="651">
        <f t="array" ref="V242">IFERROR(INDEX('HIV-Equipment'!$K$14:$K$58,MATCH($E242&amp;$F242,'HIV-Equipment'!$C$14:$C$58&amp;'HIV-Equipment'!$D$14:$D$58,0)),0)</f>
        <v>0</v>
      </c>
      <c r="W242" s="652">
        <f t="shared" si="189"/>
        <v>0</v>
      </c>
      <c r="X242" s="652">
        <f t="shared" si="190"/>
        <v>0</v>
      </c>
      <c r="Y242" s="652">
        <f t="shared" si="191"/>
        <v>0</v>
      </c>
      <c r="Z242" s="661"/>
      <c r="AA242" s="651">
        <f t="array" ref="AA242">IFERROR(INDEX('HIV-Equipment'!$N$14:$N$58,MATCH($E242&amp;$F242,'HIV-Equipment'!$C$14:$C$58&amp;'HIV-Equipment'!$D$14:$D$58,0)),0)</f>
        <v>0</v>
      </c>
      <c r="AB242" s="651">
        <f t="array" ref="AB242">IFERROR(INDEX('HIV-Equipment'!$O$14:$O$58,MATCH($E242&amp;$F242,'HIV-Equipment'!$C$14:$C$58&amp;'HIV-Equipment'!$D$14:$D$58,0)),0)</f>
        <v>0</v>
      </c>
      <c r="AC242" s="651">
        <f t="shared" si="192"/>
        <v>0</v>
      </c>
      <c r="AD242" s="652">
        <f t="shared" si="193"/>
        <v>0</v>
      </c>
      <c r="AE242" s="652">
        <f t="shared" si="194"/>
        <v>0</v>
      </c>
      <c r="AF242" s="651">
        <f t="array" ref="AF242">IFERROR(INDEX('HIV-Equipment'!$P$14:$P$58,MATCH($E242&amp;$F242,'HIV-Equipment'!$C$14:$C$58&amp;'HIV-Equipment'!$D$14:$D$58,0)),0)</f>
        <v>0</v>
      </c>
      <c r="AG242" s="651">
        <f t="shared" si="195"/>
        <v>0</v>
      </c>
      <c r="AH242" s="652">
        <f t="shared" si="196"/>
        <v>0</v>
      </c>
      <c r="AI242" s="652">
        <f t="shared" si="197"/>
        <v>0</v>
      </c>
      <c r="AJ242" s="651">
        <f t="array" ref="AJ242">IFERROR(INDEX('HIV-Equipment'!$Q$14:$Q$58,MATCH($E242&amp;$F242,'HIV-Equipment'!$C$14:$C$58&amp;'HIV-Equipment'!$D$14:$D$58,0)),0)</f>
        <v>0</v>
      </c>
      <c r="AK242" s="651">
        <f t="shared" si="198"/>
        <v>0</v>
      </c>
      <c r="AL242" s="652">
        <f t="shared" si="199"/>
        <v>0</v>
      </c>
      <c r="AM242" s="652">
        <f t="shared" si="200"/>
        <v>0</v>
      </c>
      <c r="AN242" s="651">
        <f t="array" ref="AN242">IFERROR(INDEX('HIV-Equipment'!$R$14:$R$58,MATCH($E242&amp;$F242,'HIV-Equipment'!$C$14:$C$58&amp;'HIV-Equipment'!$D$14:$D$58,0)),0)</f>
        <v>0</v>
      </c>
      <c r="AO242" s="651">
        <f t="shared" si="201"/>
        <v>0</v>
      </c>
      <c r="AP242" s="652">
        <f t="shared" si="202"/>
        <v>0</v>
      </c>
      <c r="AQ242" s="652">
        <f t="shared" si="203"/>
        <v>0</v>
      </c>
      <c r="AR242" s="661"/>
      <c r="AS242" s="651">
        <f t="array" ref="AS242">IFERROR(INDEX('HIV-Equipment'!$U$14:$U$58,MATCH($E242&amp;$F242,'HIV-Equipment'!$C$14:$C$58&amp;'HIV-Equipment'!$D$14:$D$58,0)),0)</f>
        <v>0</v>
      </c>
      <c r="AT242" s="651">
        <f t="array" ref="AT242">IFERROR(INDEX('HIV-Equipment'!$V$14:$V$58,MATCH($E242&amp;$F242,'HIV-Equipment'!$C$14:$C$58&amp;'HIV-Equipment'!$D$14:$D$58,0)),0)</f>
        <v>0</v>
      </c>
      <c r="AU242" s="651">
        <f t="shared" si="204"/>
        <v>0</v>
      </c>
      <c r="AV242" s="652">
        <f t="shared" si="205"/>
        <v>0</v>
      </c>
      <c r="AW242" s="652">
        <f t="shared" si="206"/>
        <v>0</v>
      </c>
      <c r="AX242" s="651">
        <f t="array" ref="AX242">IFERROR(INDEX('HIV-Equipment'!$W$14:$W$58,MATCH($E242&amp;$F242,'HIV-Equipment'!$C$14:$C$58&amp;'HIV-Equipment'!$D$14:$D$58,0)),0)</f>
        <v>0</v>
      </c>
      <c r="AY242" s="651">
        <f t="shared" si="207"/>
        <v>0</v>
      </c>
      <c r="AZ242" s="652">
        <f t="shared" si="208"/>
        <v>0</v>
      </c>
      <c r="BA242" s="652">
        <f t="shared" si="209"/>
        <v>0</v>
      </c>
      <c r="BB242" s="651">
        <f t="array" ref="BB242">IFERROR(INDEX('HIV-Equipment'!$X$14:$X$58,MATCH($E242&amp;$F242,'HIV-Equipment'!$C$14:$C$58&amp;'HIV-Equipment'!$D$14:$D$58,0)),0)</f>
        <v>0</v>
      </c>
      <c r="BC242" s="651">
        <f t="shared" si="210"/>
        <v>0</v>
      </c>
      <c r="BD242" s="652">
        <f t="shared" si="211"/>
        <v>0</v>
      </c>
      <c r="BE242" s="652">
        <f t="shared" si="212"/>
        <v>0</v>
      </c>
      <c r="BF242" s="651">
        <f t="array" ref="BF242">IFERROR(INDEX('HIV-Equipment'!$Y$14:$Y$58,MATCH($E242&amp;$F242,'HIV-Equipment'!$C$14:$C$58&amp;'HIV-Equipment'!$D$14:$D$58,0)),0)</f>
        <v>0</v>
      </c>
      <c r="BG242" s="651">
        <f t="shared" si="213"/>
        <v>0</v>
      </c>
      <c r="BH242" s="652">
        <f t="shared" si="214"/>
        <v>0</v>
      </c>
      <c r="BI242" s="652">
        <f t="shared" si="215"/>
        <v>0</v>
      </c>
      <c r="BJ242" s="662"/>
      <c r="BK242" s="654"/>
      <c r="BL242" s="654"/>
      <c r="BM242" s="654"/>
      <c r="BN242" s="654"/>
      <c r="BO242" s="654"/>
      <c r="BP242" s="654"/>
      <c r="BQ242" s="654"/>
      <c r="BR242" s="654"/>
    </row>
    <row r="243" spans="1:70" s="426" customFormat="1">
      <c r="A243" s="655" t="s">
        <v>1855</v>
      </c>
      <c r="B243" s="655" t="s">
        <v>2283</v>
      </c>
      <c r="C243" s="648">
        <f>SETUP!$F$23</f>
        <v>0</v>
      </c>
      <c r="D243" s="654">
        <v>6.1</v>
      </c>
      <c r="E243" s="655" t="s">
        <v>221</v>
      </c>
      <c r="F243" s="655" t="s">
        <v>200</v>
      </c>
      <c r="G243" s="650" t="str">
        <f t="array" ref="G243">IFERROR(INDEX('HIV-Equipment'!$E$14:$E$58,MATCH($E243&amp;$F243,'HIV-Equipment'!$C$14:$C$58&amp;'HIV-Equipment'!$D$14:$D$58,0)),"")</f>
        <v/>
      </c>
      <c r="H243" s="650" t="str">
        <f t="array" ref="H243">IFERROR(INDEX('HIV-Equipment'!$F$14:$F$58,MATCH($E243&amp;$F243,'HIV-Equipment'!$C$14:$C$58&amp;'HIV-Equipment'!$D$14:$D$58,0)),"")</f>
        <v/>
      </c>
      <c r="I243" s="651">
        <f t="array" ref="I243">IFERROR(INDEX('HIV-Equipment'!$G$14:$G$58,MATCH($E243&amp;$F243,'HIV-Equipment'!$C$14:$C$58&amp;'HIV-Equipment'!$D$14:$D$58,0)),0)</f>
        <v>0</v>
      </c>
      <c r="J243" s="651">
        <f t="array" ref="J243">IFERROR(INDEX('HIV-Equipment'!$H$14:$H$58,MATCH($E243&amp;$F243,'HIV-Equipment'!$C$14:$C$58&amp;'HIV-Equipment'!$D$14:$D$58,0)),0)</f>
        <v>0</v>
      </c>
      <c r="K243" s="652">
        <f t="shared" si="180"/>
        <v>0</v>
      </c>
      <c r="L243" s="652">
        <f t="shared" si="181"/>
        <v>0</v>
      </c>
      <c r="M243" s="652">
        <f t="shared" si="182"/>
        <v>0</v>
      </c>
      <c r="N243" s="651">
        <f t="array" ref="N243">IFERROR(INDEX('HIV-Equipment'!$I$14:$I$58,MATCH($E243&amp;$F243,'HIV-Equipment'!$C$14:$C$58&amp;'HIV-Equipment'!$D$14:$D$58,0)),0)</f>
        <v>0</v>
      </c>
      <c r="O243" s="652">
        <f t="shared" si="183"/>
        <v>0</v>
      </c>
      <c r="P243" s="652">
        <f t="shared" si="184"/>
        <v>0</v>
      </c>
      <c r="Q243" s="652">
        <f t="shared" si="185"/>
        <v>0</v>
      </c>
      <c r="R243" s="651">
        <f t="array" ref="R243">IFERROR(INDEX('HIV-Equipment'!$J$14:$J$58,MATCH($E243&amp;$F243,'HIV-Equipment'!$C$14:$C$58&amp;'HIV-Equipment'!$D$14:$D$58,0)),0)</f>
        <v>0</v>
      </c>
      <c r="S243" s="652">
        <f t="shared" si="186"/>
        <v>0</v>
      </c>
      <c r="T243" s="652">
        <f t="shared" si="187"/>
        <v>0</v>
      </c>
      <c r="U243" s="652">
        <f t="shared" si="188"/>
        <v>0</v>
      </c>
      <c r="V243" s="651">
        <f t="array" ref="V243">IFERROR(INDEX('HIV-Equipment'!$K$14:$K$58,MATCH($E243&amp;$F243,'HIV-Equipment'!$C$14:$C$58&amp;'HIV-Equipment'!$D$14:$D$58,0)),0)</f>
        <v>0</v>
      </c>
      <c r="W243" s="652">
        <f t="shared" si="189"/>
        <v>0</v>
      </c>
      <c r="X243" s="652">
        <f t="shared" si="190"/>
        <v>0</v>
      </c>
      <c r="Y243" s="652">
        <f t="shared" si="191"/>
        <v>0</v>
      </c>
      <c r="Z243" s="661"/>
      <c r="AA243" s="651">
        <f t="array" ref="AA243">IFERROR(INDEX('HIV-Equipment'!$N$14:$N$58,MATCH($E243&amp;$F243,'HIV-Equipment'!$C$14:$C$58&amp;'HIV-Equipment'!$D$14:$D$58,0)),0)</f>
        <v>0</v>
      </c>
      <c r="AB243" s="651">
        <f t="array" ref="AB243">IFERROR(INDEX('HIV-Equipment'!$O$14:$O$58,MATCH($E243&amp;$F243,'HIV-Equipment'!$C$14:$C$58&amp;'HIV-Equipment'!$D$14:$D$58,0)),0)</f>
        <v>0</v>
      </c>
      <c r="AC243" s="651">
        <f t="shared" si="192"/>
        <v>0</v>
      </c>
      <c r="AD243" s="652">
        <f t="shared" si="193"/>
        <v>0</v>
      </c>
      <c r="AE243" s="652">
        <f t="shared" si="194"/>
        <v>0</v>
      </c>
      <c r="AF243" s="651">
        <f t="array" ref="AF243">IFERROR(INDEX('HIV-Equipment'!$P$14:$P$58,MATCH($E243&amp;$F243,'HIV-Equipment'!$C$14:$C$58&amp;'HIV-Equipment'!$D$14:$D$58,0)),0)</f>
        <v>0</v>
      </c>
      <c r="AG243" s="651">
        <f t="shared" si="195"/>
        <v>0</v>
      </c>
      <c r="AH243" s="652">
        <f t="shared" si="196"/>
        <v>0</v>
      </c>
      <c r="AI243" s="652">
        <f t="shared" si="197"/>
        <v>0</v>
      </c>
      <c r="AJ243" s="651">
        <f t="array" ref="AJ243">IFERROR(INDEX('HIV-Equipment'!$Q$14:$Q$58,MATCH($E243&amp;$F243,'HIV-Equipment'!$C$14:$C$58&amp;'HIV-Equipment'!$D$14:$D$58,0)),0)</f>
        <v>0</v>
      </c>
      <c r="AK243" s="651">
        <f t="shared" si="198"/>
        <v>0</v>
      </c>
      <c r="AL243" s="652">
        <f t="shared" si="199"/>
        <v>0</v>
      </c>
      <c r="AM243" s="652">
        <f t="shared" si="200"/>
        <v>0</v>
      </c>
      <c r="AN243" s="651">
        <f t="array" ref="AN243">IFERROR(INDEX('HIV-Equipment'!$R$14:$R$58,MATCH($E243&amp;$F243,'HIV-Equipment'!$C$14:$C$58&amp;'HIV-Equipment'!$D$14:$D$58,0)),0)</f>
        <v>0</v>
      </c>
      <c r="AO243" s="651">
        <f t="shared" si="201"/>
        <v>0</v>
      </c>
      <c r="AP243" s="652">
        <f t="shared" si="202"/>
        <v>0</v>
      </c>
      <c r="AQ243" s="652">
        <f t="shared" si="203"/>
        <v>0</v>
      </c>
      <c r="AR243" s="661"/>
      <c r="AS243" s="651">
        <f t="array" ref="AS243">IFERROR(INDEX('HIV-Equipment'!$U$14:$U$58,MATCH($E243&amp;$F243,'HIV-Equipment'!$C$14:$C$58&amp;'HIV-Equipment'!$D$14:$D$58,0)),0)</f>
        <v>0</v>
      </c>
      <c r="AT243" s="651">
        <f t="array" ref="AT243">IFERROR(INDEX('HIV-Equipment'!$V$14:$V$58,MATCH($E243&amp;$F243,'HIV-Equipment'!$C$14:$C$58&amp;'HIV-Equipment'!$D$14:$D$58,0)),0)</f>
        <v>0</v>
      </c>
      <c r="AU243" s="651">
        <f t="shared" si="204"/>
        <v>0</v>
      </c>
      <c r="AV243" s="652">
        <f t="shared" si="205"/>
        <v>0</v>
      </c>
      <c r="AW243" s="652">
        <f t="shared" si="206"/>
        <v>0</v>
      </c>
      <c r="AX243" s="651">
        <f t="array" ref="AX243">IFERROR(INDEX('HIV-Equipment'!$W$14:$W$58,MATCH($E243&amp;$F243,'HIV-Equipment'!$C$14:$C$58&amp;'HIV-Equipment'!$D$14:$D$58,0)),0)</f>
        <v>0</v>
      </c>
      <c r="AY243" s="651">
        <f t="shared" si="207"/>
        <v>0</v>
      </c>
      <c r="AZ243" s="652">
        <f t="shared" si="208"/>
        <v>0</v>
      </c>
      <c r="BA243" s="652">
        <f t="shared" si="209"/>
        <v>0</v>
      </c>
      <c r="BB243" s="651">
        <f t="array" ref="BB243">IFERROR(INDEX('HIV-Equipment'!$X$14:$X$58,MATCH($E243&amp;$F243,'HIV-Equipment'!$C$14:$C$58&amp;'HIV-Equipment'!$D$14:$D$58,0)),0)</f>
        <v>0</v>
      </c>
      <c r="BC243" s="651">
        <f t="shared" si="210"/>
        <v>0</v>
      </c>
      <c r="BD243" s="652">
        <f t="shared" si="211"/>
        <v>0</v>
      </c>
      <c r="BE243" s="652">
        <f t="shared" si="212"/>
        <v>0</v>
      </c>
      <c r="BF243" s="651">
        <f t="array" ref="BF243">IFERROR(INDEX('HIV-Equipment'!$Y$14:$Y$58,MATCH($E243&amp;$F243,'HIV-Equipment'!$C$14:$C$58&amp;'HIV-Equipment'!$D$14:$D$58,0)),0)</f>
        <v>0</v>
      </c>
      <c r="BG243" s="651">
        <f t="shared" si="213"/>
        <v>0</v>
      </c>
      <c r="BH243" s="652">
        <f t="shared" si="214"/>
        <v>0</v>
      </c>
      <c r="BI243" s="652">
        <f t="shared" si="215"/>
        <v>0</v>
      </c>
      <c r="BJ243" s="662"/>
      <c r="BK243" s="654"/>
      <c r="BL243" s="654"/>
      <c r="BM243" s="654"/>
      <c r="BN243" s="654"/>
      <c r="BO243" s="654"/>
      <c r="BP243" s="654"/>
      <c r="BQ243" s="654"/>
      <c r="BR243" s="654"/>
    </row>
    <row r="244" spans="1:70" s="426" customFormat="1">
      <c r="A244" s="655" t="s">
        <v>1855</v>
      </c>
      <c r="B244" s="655" t="s">
        <v>2283</v>
      </c>
      <c r="C244" s="648">
        <f>SETUP!$F$23</f>
        <v>0</v>
      </c>
      <c r="D244" s="654">
        <v>6.5</v>
      </c>
      <c r="E244" s="655" t="s">
        <v>202</v>
      </c>
      <c r="F244" s="655" t="s">
        <v>218</v>
      </c>
      <c r="G244" s="650" t="str">
        <f t="array" ref="G244">IFERROR(INDEX('HIV-Equipment'!$E$14:$E$58,MATCH($E244&amp;$F244,'HIV-Equipment'!$C$14:$C$58&amp;'HIV-Equipment'!$D$14:$D$58,0)),"")</f>
        <v/>
      </c>
      <c r="H244" s="650" t="str">
        <f t="array" ref="H244">IFERROR(INDEX('HIV-Equipment'!$F$14:$F$58,MATCH($E244&amp;$F244,'HIV-Equipment'!$C$14:$C$58&amp;'HIV-Equipment'!$D$14:$D$58,0)),"")</f>
        <v/>
      </c>
      <c r="I244" s="651">
        <f t="array" ref="I244">IFERROR(INDEX('HIV-Equipment'!$G$14:$G$58,MATCH($E244&amp;$F244,'HIV-Equipment'!$C$14:$C$58&amp;'HIV-Equipment'!$D$14:$D$58,0)),0)</f>
        <v>0</v>
      </c>
      <c r="J244" s="651">
        <f t="array" ref="J244">IFERROR(INDEX('HIV-Equipment'!$H$14:$H$58,MATCH($E244&amp;$F244,'HIV-Equipment'!$C$14:$C$58&amp;'HIV-Equipment'!$D$14:$D$58,0)),0)</f>
        <v>0</v>
      </c>
      <c r="K244" s="652">
        <f t="shared" si="180"/>
        <v>0</v>
      </c>
      <c r="L244" s="652">
        <f t="shared" si="181"/>
        <v>0</v>
      </c>
      <c r="M244" s="652">
        <f t="shared" si="182"/>
        <v>0</v>
      </c>
      <c r="N244" s="651">
        <f t="array" ref="N244">IFERROR(INDEX('HIV-Equipment'!$I$14:$I$58,MATCH($E244&amp;$F244,'HIV-Equipment'!$C$14:$C$58&amp;'HIV-Equipment'!$D$14:$D$58,0)),0)</f>
        <v>0</v>
      </c>
      <c r="O244" s="652">
        <f t="shared" si="183"/>
        <v>0</v>
      </c>
      <c r="P244" s="652">
        <f t="shared" si="184"/>
        <v>0</v>
      </c>
      <c r="Q244" s="652">
        <f t="shared" si="185"/>
        <v>0</v>
      </c>
      <c r="R244" s="651">
        <f t="array" ref="R244">IFERROR(INDEX('HIV-Equipment'!$J$14:$J$58,MATCH($E244&amp;$F244,'HIV-Equipment'!$C$14:$C$58&amp;'HIV-Equipment'!$D$14:$D$58,0)),0)</f>
        <v>0</v>
      </c>
      <c r="S244" s="652">
        <f t="shared" si="186"/>
        <v>0</v>
      </c>
      <c r="T244" s="652">
        <f t="shared" si="187"/>
        <v>0</v>
      </c>
      <c r="U244" s="652">
        <f t="shared" si="188"/>
        <v>0</v>
      </c>
      <c r="V244" s="651">
        <f t="array" ref="V244">IFERROR(INDEX('HIV-Equipment'!$K$14:$K$58,MATCH($E244&amp;$F244,'HIV-Equipment'!$C$14:$C$58&amp;'HIV-Equipment'!$D$14:$D$58,0)),0)</f>
        <v>0</v>
      </c>
      <c r="W244" s="652">
        <f t="shared" si="189"/>
        <v>0</v>
      </c>
      <c r="X244" s="652">
        <f t="shared" si="190"/>
        <v>0</v>
      </c>
      <c r="Y244" s="652">
        <f t="shared" si="191"/>
        <v>0</v>
      </c>
      <c r="Z244" s="661"/>
      <c r="AA244" s="651">
        <f t="array" ref="AA244">IFERROR(INDEX('HIV-Equipment'!$N$14:$N$58,MATCH($E244&amp;$F244,'HIV-Equipment'!$C$14:$C$58&amp;'HIV-Equipment'!$D$14:$D$58,0)),0)</f>
        <v>0</v>
      </c>
      <c r="AB244" s="651">
        <f t="array" ref="AB244">IFERROR(INDEX('HIV-Equipment'!$O$14:$O$58,MATCH($E244&amp;$F244,'HIV-Equipment'!$C$14:$C$58&amp;'HIV-Equipment'!$D$14:$D$58,0)),0)</f>
        <v>0</v>
      </c>
      <c r="AC244" s="651">
        <f t="shared" si="192"/>
        <v>0</v>
      </c>
      <c r="AD244" s="652">
        <f t="shared" si="193"/>
        <v>0</v>
      </c>
      <c r="AE244" s="652">
        <f t="shared" si="194"/>
        <v>0</v>
      </c>
      <c r="AF244" s="651">
        <f t="array" ref="AF244">IFERROR(INDEX('HIV-Equipment'!$P$14:$P$58,MATCH($E244&amp;$F244,'HIV-Equipment'!$C$14:$C$58&amp;'HIV-Equipment'!$D$14:$D$58,0)),0)</f>
        <v>0</v>
      </c>
      <c r="AG244" s="651">
        <f t="shared" si="195"/>
        <v>0</v>
      </c>
      <c r="AH244" s="652">
        <f t="shared" si="196"/>
        <v>0</v>
      </c>
      <c r="AI244" s="652">
        <f t="shared" si="197"/>
        <v>0</v>
      </c>
      <c r="AJ244" s="651">
        <f t="array" ref="AJ244">IFERROR(INDEX('HIV-Equipment'!$Q$14:$Q$58,MATCH($E244&amp;$F244,'HIV-Equipment'!$C$14:$C$58&amp;'HIV-Equipment'!$D$14:$D$58,0)),0)</f>
        <v>0</v>
      </c>
      <c r="AK244" s="651">
        <f t="shared" si="198"/>
        <v>0</v>
      </c>
      <c r="AL244" s="652">
        <f t="shared" si="199"/>
        <v>0</v>
      </c>
      <c r="AM244" s="652">
        <f t="shared" si="200"/>
        <v>0</v>
      </c>
      <c r="AN244" s="651">
        <f t="array" ref="AN244">IFERROR(INDEX('HIV-Equipment'!$R$14:$R$58,MATCH($E244&amp;$F244,'HIV-Equipment'!$C$14:$C$58&amp;'HIV-Equipment'!$D$14:$D$58,0)),0)</f>
        <v>0</v>
      </c>
      <c r="AO244" s="651">
        <f t="shared" si="201"/>
        <v>0</v>
      </c>
      <c r="AP244" s="652">
        <f t="shared" si="202"/>
        <v>0</v>
      </c>
      <c r="AQ244" s="652">
        <f t="shared" si="203"/>
        <v>0</v>
      </c>
      <c r="AR244" s="661"/>
      <c r="AS244" s="651">
        <f t="array" ref="AS244">IFERROR(INDEX('HIV-Equipment'!$U$14:$U$58,MATCH($E244&amp;$F244,'HIV-Equipment'!$C$14:$C$58&amp;'HIV-Equipment'!$D$14:$D$58,0)),0)</f>
        <v>0</v>
      </c>
      <c r="AT244" s="651">
        <f t="array" ref="AT244">IFERROR(INDEX('HIV-Equipment'!$V$14:$V$58,MATCH($E244&amp;$F244,'HIV-Equipment'!$C$14:$C$58&amp;'HIV-Equipment'!$D$14:$D$58,0)),0)</f>
        <v>0</v>
      </c>
      <c r="AU244" s="651">
        <f t="shared" si="204"/>
        <v>0</v>
      </c>
      <c r="AV244" s="652">
        <f t="shared" si="205"/>
        <v>0</v>
      </c>
      <c r="AW244" s="652">
        <f t="shared" si="206"/>
        <v>0</v>
      </c>
      <c r="AX244" s="651">
        <f t="array" ref="AX244">IFERROR(INDEX('HIV-Equipment'!$W$14:$W$58,MATCH($E244&amp;$F244,'HIV-Equipment'!$C$14:$C$58&amp;'HIV-Equipment'!$D$14:$D$58,0)),0)</f>
        <v>0</v>
      </c>
      <c r="AY244" s="651">
        <f t="shared" si="207"/>
        <v>0</v>
      </c>
      <c r="AZ244" s="652">
        <f t="shared" si="208"/>
        <v>0</v>
      </c>
      <c r="BA244" s="652">
        <f t="shared" si="209"/>
        <v>0</v>
      </c>
      <c r="BB244" s="651">
        <f t="array" ref="BB244">IFERROR(INDEX('HIV-Equipment'!$X$14:$X$58,MATCH($E244&amp;$F244,'HIV-Equipment'!$C$14:$C$58&amp;'HIV-Equipment'!$D$14:$D$58,0)),0)</f>
        <v>0</v>
      </c>
      <c r="BC244" s="651">
        <f t="shared" si="210"/>
        <v>0</v>
      </c>
      <c r="BD244" s="652">
        <f t="shared" si="211"/>
        <v>0</v>
      </c>
      <c r="BE244" s="652">
        <f t="shared" si="212"/>
        <v>0</v>
      </c>
      <c r="BF244" s="651">
        <f t="array" ref="BF244">IFERROR(INDEX('HIV-Equipment'!$Y$14:$Y$58,MATCH($E244&amp;$F244,'HIV-Equipment'!$C$14:$C$58&amp;'HIV-Equipment'!$D$14:$D$58,0)),0)</f>
        <v>0</v>
      </c>
      <c r="BG244" s="651">
        <f t="shared" si="213"/>
        <v>0</v>
      </c>
      <c r="BH244" s="652">
        <f t="shared" si="214"/>
        <v>0</v>
      </c>
      <c r="BI244" s="652">
        <f t="shared" si="215"/>
        <v>0</v>
      </c>
      <c r="BJ244" s="662"/>
      <c r="BK244" s="654"/>
      <c r="BL244" s="654"/>
      <c r="BM244" s="654"/>
      <c r="BN244" s="654"/>
      <c r="BO244" s="654"/>
      <c r="BP244" s="654"/>
      <c r="BQ244" s="654"/>
      <c r="BR244" s="654"/>
    </row>
    <row r="245" spans="1:70" s="426" customFormat="1">
      <c r="A245" s="655" t="s">
        <v>1855</v>
      </c>
      <c r="B245" s="655" t="s">
        <v>2283</v>
      </c>
      <c r="C245" s="648">
        <f>SETUP!$F$23</f>
        <v>0</v>
      </c>
      <c r="D245" s="654">
        <v>6.6</v>
      </c>
      <c r="E245" s="655" t="s">
        <v>202</v>
      </c>
      <c r="F245" s="655" t="s">
        <v>201</v>
      </c>
      <c r="G245" s="650" t="str">
        <f t="array" ref="G245">IFERROR(INDEX('HIV-Equipment'!$E$14:$E$58,MATCH($E245&amp;$F245,'HIV-Equipment'!$C$14:$C$58&amp;'HIV-Equipment'!$D$14:$D$58,0)),"")</f>
        <v/>
      </c>
      <c r="H245" s="650" t="str">
        <f t="array" ref="H245">IFERROR(INDEX('HIV-Equipment'!$F$14:$F$58,MATCH($E245&amp;$F245,'HIV-Equipment'!$C$14:$C$58&amp;'HIV-Equipment'!$D$14:$D$58,0)),"")</f>
        <v/>
      </c>
      <c r="I245" s="651">
        <f t="array" ref="I245">IFERROR(INDEX('HIV-Equipment'!$G$14:$G$58,MATCH($E245&amp;$F245,'HIV-Equipment'!$C$14:$C$58&amp;'HIV-Equipment'!$D$14:$D$58,0)),0)</f>
        <v>0</v>
      </c>
      <c r="J245" s="651">
        <f t="array" ref="J245">IFERROR(INDEX('HIV-Equipment'!$H$14:$H$58,MATCH($E245&amp;$F245,'HIV-Equipment'!$C$14:$C$58&amp;'HIV-Equipment'!$D$14:$D$58,0)),0)</f>
        <v>0</v>
      </c>
      <c r="K245" s="652">
        <f t="shared" si="180"/>
        <v>0</v>
      </c>
      <c r="L245" s="652">
        <f t="shared" si="181"/>
        <v>0</v>
      </c>
      <c r="M245" s="652">
        <f t="shared" si="182"/>
        <v>0</v>
      </c>
      <c r="N245" s="651">
        <f t="array" ref="N245">IFERROR(INDEX('HIV-Equipment'!$I$14:$I$58,MATCH($E245&amp;$F245,'HIV-Equipment'!$C$14:$C$58&amp;'HIV-Equipment'!$D$14:$D$58,0)),0)</f>
        <v>0</v>
      </c>
      <c r="O245" s="652">
        <f t="shared" si="183"/>
        <v>0</v>
      </c>
      <c r="P245" s="652">
        <f t="shared" si="184"/>
        <v>0</v>
      </c>
      <c r="Q245" s="652">
        <f t="shared" si="185"/>
        <v>0</v>
      </c>
      <c r="R245" s="651">
        <f t="array" ref="R245">IFERROR(INDEX('HIV-Equipment'!$J$14:$J$58,MATCH($E245&amp;$F245,'HIV-Equipment'!$C$14:$C$58&amp;'HIV-Equipment'!$D$14:$D$58,0)),0)</f>
        <v>0</v>
      </c>
      <c r="S245" s="652">
        <f t="shared" si="186"/>
        <v>0</v>
      </c>
      <c r="T245" s="652">
        <f t="shared" si="187"/>
        <v>0</v>
      </c>
      <c r="U245" s="652">
        <f t="shared" si="188"/>
        <v>0</v>
      </c>
      <c r="V245" s="651">
        <f t="array" ref="V245">IFERROR(INDEX('HIV-Equipment'!$K$14:$K$58,MATCH($E245&amp;$F245,'HIV-Equipment'!$C$14:$C$58&amp;'HIV-Equipment'!$D$14:$D$58,0)),0)</f>
        <v>0</v>
      </c>
      <c r="W245" s="652">
        <f t="shared" si="189"/>
        <v>0</v>
      </c>
      <c r="X245" s="652">
        <f t="shared" si="190"/>
        <v>0</v>
      </c>
      <c r="Y245" s="652">
        <f t="shared" si="191"/>
        <v>0</v>
      </c>
      <c r="Z245" s="661"/>
      <c r="AA245" s="651">
        <f t="array" ref="AA245">IFERROR(INDEX('HIV-Equipment'!$N$14:$N$58,MATCH($E245&amp;$F245,'HIV-Equipment'!$C$14:$C$58&amp;'HIV-Equipment'!$D$14:$D$58,0)),0)</f>
        <v>0</v>
      </c>
      <c r="AB245" s="651">
        <f t="array" ref="AB245">IFERROR(INDEX('HIV-Equipment'!$O$14:$O$58,MATCH($E245&amp;$F245,'HIV-Equipment'!$C$14:$C$58&amp;'HIV-Equipment'!$D$14:$D$58,0)),0)</f>
        <v>0</v>
      </c>
      <c r="AC245" s="651">
        <f t="shared" si="192"/>
        <v>0</v>
      </c>
      <c r="AD245" s="652">
        <f t="shared" si="193"/>
        <v>0</v>
      </c>
      <c r="AE245" s="652">
        <f t="shared" si="194"/>
        <v>0</v>
      </c>
      <c r="AF245" s="651">
        <f t="array" ref="AF245">IFERROR(INDEX('HIV-Equipment'!$P$14:$P$58,MATCH($E245&amp;$F245,'HIV-Equipment'!$C$14:$C$58&amp;'HIV-Equipment'!$D$14:$D$58,0)),0)</f>
        <v>0</v>
      </c>
      <c r="AG245" s="651">
        <f t="shared" si="195"/>
        <v>0</v>
      </c>
      <c r="AH245" s="652">
        <f t="shared" si="196"/>
        <v>0</v>
      </c>
      <c r="AI245" s="652">
        <f t="shared" si="197"/>
        <v>0</v>
      </c>
      <c r="AJ245" s="651">
        <f t="array" ref="AJ245">IFERROR(INDEX('HIV-Equipment'!$Q$14:$Q$58,MATCH($E245&amp;$F245,'HIV-Equipment'!$C$14:$C$58&amp;'HIV-Equipment'!$D$14:$D$58,0)),0)</f>
        <v>0</v>
      </c>
      <c r="AK245" s="651">
        <f t="shared" si="198"/>
        <v>0</v>
      </c>
      <c r="AL245" s="652">
        <f t="shared" si="199"/>
        <v>0</v>
      </c>
      <c r="AM245" s="652">
        <f t="shared" si="200"/>
        <v>0</v>
      </c>
      <c r="AN245" s="651">
        <f t="array" ref="AN245">IFERROR(INDEX('HIV-Equipment'!$R$14:$R$58,MATCH($E245&amp;$F245,'HIV-Equipment'!$C$14:$C$58&amp;'HIV-Equipment'!$D$14:$D$58,0)),0)</f>
        <v>0</v>
      </c>
      <c r="AO245" s="651">
        <f t="shared" si="201"/>
        <v>0</v>
      </c>
      <c r="AP245" s="652">
        <f t="shared" si="202"/>
        <v>0</v>
      </c>
      <c r="AQ245" s="652">
        <f t="shared" si="203"/>
        <v>0</v>
      </c>
      <c r="AR245" s="661"/>
      <c r="AS245" s="651">
        <f t="array" ref="AS245">IFERROR(INDEX('HIV-Equipment'!$U$14:$U$58,MATCH($E245&amp;$F245,'HIV-Equipment'!$C$14:$C$58&amp;'HIV-Equipment'!$D$14:$D$58,0)),0)</f>
        <v>0</v>
      </c>
      <c r="AT245" s="651">
        <f t="array" ref="AT245">IFERROR(INDEX('HIV-Equipment'!$V$14:$V$58,MATCH($E245&amp;$F245,'HIV-Equipment'!$C$14:$C$58&amp;'HIV-Equipment'!$D$14:$D$58,0)),0)</f>
        <v>0</v>
      </c>
      <c r="AU245" s="651">
        <f t="shared" si="204"/>
        <v>0</v>
      </c>
      <c r="AV245" s="652">
        <f t="shared" si="205"/>
        <v>0</v>
      </c>
      <c r="AW245" s="652">
        <f t="shared" si="206"/>
        <v>0</v>
      </c>
      <c r="AX245" s="651">
        <f t="array" ref="AX245">IFERROR(INDEX('HIV-Equipment'!$W$14:$W$58,MATCH($E245&amp;$F245,'HIV-Equipment'!$C$14:$C$58&amp;'HIV-Equipment'!$D$14:$D$58,0)),0)</f>
        <v>0</v>
      </c>
      <c r="AY245" s="651">
        <f t="shared" si="207"/>
        <v>0</v>
      </c>
      <c r="AZ245" s="652">
        <f t="shared" si="208"/>
        <v>0</v>
      </c>
      <c r="BA245" s="652">
        <f t="shared" si="209"/>
        <v>0</v>
      </c>
      <c r="BB245" s="651">
        <f t="array" ref="BB245">IFERROR(INDEX('HIV-Equipment'!$X$14:$X$58,MATCH($E245&amp;$F245,'HIV-Equipment'!$C$14:$C$58&amp;'HIV-Equipment'!$D$14:$D$58,0)),0)</f>
        <v>0</v>
      </c>
      <c r="BC245" s="651">
        <f t="shared" si="210"/>
        <v>0</v>
      </c>
      <c r="BD245" s="652">
        <f t="shared" si="211"/>
        <v>0</v>
      </c>
      <c r="BE245" s="652">
        <f t="shared" si="212"/>
        <v>0</v>
      </c>
      <c r="BF245" s="651">
        <f t="array" ref="BF245">IFERROR(INDEX('HIV-Equipment'!$Y$14:$Y$58,MATCH($E245&amp;$F245,'HIV-Equipment'!$C$14:$C$58&amp;'HIV-Equipment'!$D$14:$D$58,0)),0)</f>
        <v>0</v>
      </c>
      <c r="BG245" s="651">
        <f t="shared" si="213"/>
        <v>0</v>
      </c>
      <c r="BH245" s="652">
        <f t="shared" si="214"/>
        <v>0</v>
      </c>
      <c r="BI245" s="652">
        <f t="shared" si="215"/>
        <v>0</v>
      </c>
      <c r="BJ245" s="662"/>
      <c r="BK245" s="654"/>
      <c r="BL245" s="654"/>
      <c r="BM245" s="654"/>
      <c r="BN245" s="654"/>
      <c r="BO245" s="654"/>
      <c r="BP245" s="654"/>
      <c r="BQ245" s="654"/>
      <c r="BR245" s="654"/>
    </row>
    <row r="246" spans="1:70" s="426" customFormat="1">
      <c r="A246" s="655" t="s">
        <v>1855</v>
      </c>
      <c r="B246" s="655" t="s">
        <v>2283</v>
      </c>
      <c r="C246" s="648">
        <f>SETUP!$F$23</f>
        <v>0</v>
      </c>
      <c r="D246" s="654">
        <v>6.6</v>
      </c>
      <c r="E246" s="655" t="s">
        <v>202</v>
      </c>
      <c r="F246" s="655" t="s">
        <v>200</v>
      </c>
      <c r="G246" s="650" t="str">
        <f t="array" ref="G246">IFERROR(INDEX('HIV-Equipment'!$E$14:$E$58,MATCH($E246&amp;$F246,'HIV-Equipment'!$C$14:$C$58&amp;'HIV-Equipment'!$D$14:$D$58,0)),"")</f>
        <v/>
      </c>
      <c r="H246" s="650" t="str">
        <f t="array" ref="H246">IFERROR(INDEX('HIV-Equipment'!$F$14:$F$58,MATCH($E246&amp;$F246,'HIV-Equipment'!$C$14:$C$58&amp;'HIV-Equipment'!$D$14:$D$58,0)),"")</f>
        <v/>
      </c>
      <c r="I246" s="651">
        <f t="array" ref="I246">IFERROR(INDEX('HIV-Equipment'!$G$14:$G$58,MATCH($E246&amp;$F246,'HIV-Equipment'!$C$14:$C$58&amp;'HIV-Equipment'!$D$14:$D$58,0)),0)</f>
        <v>0</v>
      </c>
      <c r="J246" s="651">
        <f t="array" ref="J246">IFERROR(INDEX('HIV-Equipment'!$H$14:$H$58,MATCH($E246&amp;$F246,'HIV-Equipment'!$C$14:$C$58&amp;'HIV-Equipment'!$D$14:$D$58,0)),0)</f>
        <v>0</v>
      </c>
      <c r="K246" s="652">
        <f t="shared" si="180"/>
        <v>0</v>
      </c>
      <c r="L246" s="652">
        <f t="shared" si="181"/>
        <v>0</v>
      </c>
      <c r="M246" s="652">
        <f t="shared" si="182"/>
        <v>0</v>
      </c>
      <c r="N246" s="651">
        <f t="array" ref="N246">IFERROR(INDEX('HIV-Equipment'!$I$14:$I$58,MATCH($E246&amp;$F246,'HIV-Equipment'!$C$14:$C$58&amp;'HIV-Equipment'!$D$14:$D$58,0)),0)</f>
        <v>0</v>
      </c>
      <c r="O246" s="652">
        <f t="shared" si="183"/>
        <v>0</v>
      </c>
      <c r="P246" s="652">
        <f t="shared" si="184"/>
        <v>0</v>
      </c>
      <c r="Q246" s="652">
        <f t="shared" si="185"/>
        <v>0</v>
      </c>
      <c r="R246" s="651">
        <f t="array" ref="R246">IFERROR(INDEX('HIV-Equipment'!$J$14:$J$58,MATCH($E246&amp;$F246,'HIV-Equipment'!$C$14:$C$58&amp;'HIV-Equipment'!$D$14:$D$58,0)),0)</f>
        <v>0</v>
      </c>
      <c r="S246" s="652">
        <f t="shared" si="186"/>
        <v>0</v>
      </c>
      <c r="T246" s="652">
        <f t="shared" si="187"/>
        <v>0</v>
      </c>
      <c r="U246" s="652">
        <f t="shared" si="188"/>
        <v>0</v>
      </c>
      <c r="V246" s="651">
        <f t="array" ref="V246">IFERROR(INDEX('HIV-Equipment'!$K$14:$K$58,MATCH($E246&amp;$F246,'HIV-Equipment'!$C$14:$C$58&amp;'HIV-Equipment'!$D$14:$D$58,0)),0)</f>
        <v>0</v>
      </c>
      <c r="W246" s="652">
        <f t="shared" si="189"/>
        <v>0</v>
      </c>
      <c r="X246" s="652">
        <f t="shared" si="190"/>
        <v>0</v>
      </c>
      <c r="Y246" s="652">
        <f t="shared" si="191"/>
        <v>0</v>
      </c>
      <c r="Z246" s="661"/>
      <c r="AA246" s="651">
        <f t="array" ref="AA246">IFERROR(INDEX('HIV-Equipment'!$N$14:$N$58,MATCH($E246&amp;$F246,'HIV-Equipment'!$C$14:$C$58&amp;'HIV-Equipment'!$D$14:$D$58,0)),0)</f>
        <v>0</v>
      </c>
      <c r="AB246" s="651">
        <f t="array" ref="AB246">IFERROR(INDEX('HIV-Equipment'!$O$14:$O$58,MATCH($E246&amp;$F246,'HIV-Equipment'!$C$14:$C$58&amp;'HIV-Equipment'!$D$14:$D$58,0)),0)</f>
        <v>0</v>
      </c>
      <c r="AC246" s="651">
        <f t="shared" si="192"/>
        <v>0</v>
      </c>
      <c r="AD246" s="652">
        <f t="shared" si="193"/>
        <v>0</v>
      </c>
      <c r="AE246" s="652">
        <f t="shared" si="194"/>
        <v>0</v>
      </c>
      <c r="AF246" s="651">
        <f t="array" ref="AF246">IFERROR(INDEX('HIV-Equipment'!$P$14:$P$58,MATCH($E246&amp;$F246,'HIV-Equipment'!$C$14:$C$58&amp;'HIV-Equipment'!$D$14:$D$58,0)),0)</f>
        <v>0</v>
      </c>
      <c r="AG246" s="651">
        <f t="shared" si="195"/>
        <v>0</v>
      </c>
      <c r="AH246" s="652">
        <f t="shared" si="196"/>
        <v>0</v>
      </c>
      <c r="AI246" s="652">
        <f t="shared" si="197"/>
        <v>0</v>
      </c>
      <c r="AJ246" s="651">
        <f t="array" ref="AJ246">IFERROR(INDEX('HIV-Equipment'!$Q$14:$Q$58,MATCH($E246&amp;$F246,'HIV-Equipment'!$C$14:$C$58&amp;'HIV-Equipment'!$D$14:$D$58,0)),0)</f>
        <v>0</v>
      </c>
      <c r="AK246" s="651">
        <f t="shared" si="198"/>
        <v>0</v>
      </c>
      <c r="AL246" s="652">
        <f t="shared" si="199"/>
        <v>0</v>
      </c>
      <c r="AM246" s="652">
        <f t="shared" si="200"/>
        <v>0</v>
      </c>
      <c r="AN246" s="651">
        <f t="array" ref="AN246">IFERROR(INDEX('HIV-Equipment'!$R$14:$R$58,MATCH($E246&amp;$F246,'HIV-Equipment'!$C$14:$C$58&amp;'HIV-Equipment'!$D$14:$D$58,0)),0)</f>
        <v>0</v>
      </c>
      <c r="AO246" s="651">
        <f t="shared" si="201"/>
        <v>0</v>
      </c>
      <c r="AP246" s="652">
        <f t="shared" si="202"/>
        <v>0</v>
      </c>
      <c r="AQ246" s="652">
        <f t="shared" si="203"/>
        <v>0</v>
      </c>
      <c r="AR246" s="661"/>
      <c r="AS246" s="651">
        <f t="array" ref="AS246">IFERROR(INDEX('HIV-Equipment'!$U$14:$U$58,MATCH($E246&amp;$F246,'HIV-Equipment'!$C$14:$C$58&amp;'HIV-Equipment'!$D$14:$D$58,0)),0)</f>
        <v>0</v>
      </c>
      <c r="AT246" s="651">
        <f t="array" ref="AT246">IFERROR(INDEX('HIV-Equipment'!$V$14:$V$58,MATCH($E246&amp;$F246,'HIV-Equipment'!$C$14:$C$58&amp;'HIV-Equipment'!$D$14:$D$58,0)),0)</f>
        <v>0</v>
      </c>
      <c r="AU246" s="651">
        <f t="shared" si="204"/>
        <v>0</v>
      </c>
      <c r="AV246" s="652">
        <f t="shared" si="205"/>
        <v>0</v>
      </c>
      <c r="AW246" s="652">
        <f t="shared" si="206"/>
        <v>0</v>
      </c>
      <c r="AX246" s="651">
        <f t="array" ref="AX246">IFERROR(INDEX('HIV-Equipment'!$W$14:$W$58,MATCH($E246&amp;$F246,'HIV-Equipment'!$C$14:$C$58&amp;'HIV-Equipment'!$D$14:$D$58,0)),0)</f>
        <v>0</v>
      </c>
      <c r="AY246" s="651">
        <f t="shared" si="207"/>
        <v>0</v>
      </c>
      <c r="AZ246" s="652">
        <f t="shared" si="208"/>
        <v>0</v>
      </c>
      <c r="BA246" s="652">
        <f t="shared" si="209"/>
        <v>0</v>
      </c>
      <c r="BB246" s="651">
        <f t="array" ref="BB246">IFERROR(INDEX('HIV-Equipment'!$X$14:$X$58,MATCH($E246&amp;$F246,'HIV-Equipment'!$C$14:$C$58&amp;'HIV-Equipment'!$D$14:$D$58,0)),0)</f>
        <v>0</v>
      </c>
      <c r="BC246" s="651">
        <f t="shared" si="210"/>
        <v>0</v>
      </c>
      <c r="BD246" s="652">
        <f t="shared" si="211"/>
        <v>0</v>
      </c>
      <c r="BE246" s="652">
        <f t="shared" si="212"/>
        <v>0</v>
      </c>
      <c r="BF246" s="651">
        <f t="array" ref="BF246">IFERROR(INDEX('HIV-Equipment'!$Y$14:$Y$58,MATCH($E246&amp;$F246,'HIV-Equipment'!$C$14:$C$58&amp;'HIV-Equipment'!$D$14:$D$58,0)),0)</f>
        <v>0</v>
      </c>
      <c r="BG246" s="651">
        <f t="shared" si="213"/>
        <v>0</v>
      </c>
      <c r="BH246" s="652">
        <f t="shared" si="214"/>
        <v>0</v>
      </c>
      <c r="BI246" s="652">
        <f t="shared" si="215"/>
        <v>0</v>
      </c>
      <c r="BJ246" s="662"/>
      <c r="BK246" s="654"/>
      <c r="BL246" s="654"/>
      <c r="BM246" s="654"/>
      <c r="BN246" s="654"/>
      <c r="BO246" s="654"/>
      <c r="BP246" s="654"/>
      <c r="BQ246" s="654"/>
      <c r="BR246" s="654"/>
    </row>
    <row r="247" spans="1:70" s="426" customFormat="1">
      <c r="A247" s="655" t="s">
        <v>1855</v>
      </c>
      <c r="B247" s="655" t="s">
        <v>2283</v>
      </c>
      <c r="C247" s="648">
        <f>SETUP!$F$23</f>
        <v>0</v>
      </c>
      <c r="D247" s="654">
        <v>6.5</v>
      </c>
      <c r="E247" s="655" t="s">
        <v>222</v>
      </c>
      <c r="F247" s="655" t="s">
        <v>218</v>
      </c>
      <c r="G247" s="650" t="str">
        <f t="array" ref="G247">IFERROR(INDEX('HIV-Equipment'!$E$14:$E$58,MATCH($E247&amp;$F247,'HIV-Equipment'!$C$14:$C$58&amp;'HIV-Equipment'!$D$14:$D$58,0)),"")</f>
        <v/>
      </c>
      <c r="H247" s="650" t="str">
        <f t="array" ref="H247">IFERROR(INDEX('HIV-Equipment'!$F$14:$F$58,MATCH($E247&amp;$F247,'HIV-Equipment'!$C$14:$C$58&amp;'HIV-Equipment'!$D$14:$D$58,0)),"")</f>
        <v/>
      </c>
      <c r="I247" s="651">
        <f t="array" ref="I247">IFERROR(INDEX('HIV-Equipment'!$G$14:$G$58,MATCH($E247&amp;$F247,'HIV-Equipment'!$C$14:$C$58&amp;'HIV-Equipment'!$D$14:$D$58,0)),0)</f>
        <v>0</v>
      </c>
      <c r="J247" s="651">
        <f t="array" ref="J247">IFERROR(INDEX('HIV-Equipment'!$H$14:$H$58,MATCH($E247&amp;$F247,'HIV-Equipment'!$C$14:$C$58&amp;'HIV-Equipment'!$D$14:$D$58,0)),0)</f>
        <v>0</v>
      </c>
      <c r="K247" s="652">
        <f t="shared" si="180"/>
        <v>0</v>
      </c>
      <c r="L247" s="652">
        <f t="shared" si="181"/>
        <v>0</v>
      </c>
      <c r="M247" s="652">
        <f t="shared" si="182"/>
        <v>0</v>
      </c>
      <c r="N247" s="651">
        <f t="array" ref="N247">IFERROR(INDEX('HIV-Equipment'!$I$14:$I$58,MATCH($E247&amp;$F247,'HIV-Equipment'!$C$14:$C$58&amp;'HIV-Equipment'!$D$14:$D$58,0)),0)</f>
        <v>0</v>
      </c>
      <c r="O247" s="652">
        <f t="shared" si="183"/>
        <v>0</v>
      </c>
      <c r="P247" s="652">
        <f t="shared" si="184"/>
        <v>0</v>
      </c>
      <c r="Q247" s="652">
        <f t="shared" si="185"/>
        <v>0</v>
      </c>
      <c r="R247" s="651">
        <f t="array" ref="R247">IFERROR(INDEX('HIV-Equipment'!$J$14:$J$58,MATCH($E247&amp;$F247,'HIV-Equipment'!$C$14:$C$58&amp;'HIV-Equipment'!$D$14:$D$58,0)),0)</f>
        <v>0</v>
      </c>
      <c r="S247" s="652">
        <f t="shared" si="186"/>
        <v>0</v>
      </c>
      <c r="T247" s="652">
        <f t="shared" si="187"/>
        <v>0</v>
      </c>
      <c r="U247" s="652">
        <f t="shared" si="188"/>
        <v>0</v>
      </c>
      <c r="V247" s="651">
        <f t="array" ref="V247">IFERROR(INDEX('HIV-Equipment'!$K$14:$K$58,MATCH($E247&amp;$F247,'HIV-Equipment'!$C$14:$C$58&amp;'HIV-Equipment'!$D$14:$D$58,0)),0)</f>
        <v>0</v>
      </c>
      <c r="W247" s="652">
        <f t="shared" si="189"/>
        <v>0</v>
      </c>
      <c r="X247" s="652">
        <f t="shared" si="190"/>
        <v>0</v>
      </c>
      <c r="Y247" s="652">
        <f t="shared" si="191"/>
        <v>0</v>
      </c>
      <c r="Z247" s="661"/>
      <c r="AA247" s="651">
        <f t="array" ref="AA247">IFERROR(INDEX('HIV-Equipment'!$N$14:$N$58,MATCH($E247&amp;$F247,'HIV-Equipment'!$C$14:$C$58&amp;'HIV-Equipment'!$D$14:$D$58,0)),0)</f>
        <v>0</v>
      </c>
      <c r="AB247" s="651">
        <f t="array" ref="AB247">IFERROR(INDEX('HIV-Equipment'!$O$14:$O$58,MATCH($E247&amp;$F247,'HIV-Equipment'!$C$14:$C$58&amp;'HIV-Equipment'!$D$14:$D$58,0)),0)</f>
        <v>0</v>
      </c>
      <c r="AC247" s="651">
        <f t="shared" si="192"/>
        <v>0</v>
      </c>
      <c r="AD247" s="652">
        <f t="shared" si="193"/>
        <v>0</v>
      </c>
      <c r="AE247" s="652">
        <f t="shared" si="194"/>
        <v>0</v>
      </c>
      <c r="AF247" s="651">
        <f t="array" ref="AF247">IFERROR(INDEX('HIV-Equipment'!$P$14:$P$58,MATCH($E247&amp;$F247,'HIV-Equipment'!$C$14:$C$58&amp;'HIV-Equipment'!$D$14:$D$58,0)),0)</f>
        <v>0</v>
      </c>
      <c r="AG247" s="651">
        <f t="shared" si="195"/>
        <v>0</v>
      </c>
      <c r="AH247" s="652">
        <f t="shared" si="196"/>
        <v>0</v>
      </c>
      <c r="AI247" s="652">
        <f t="shared" si="197"/>
        <v>0</v>
      </c>
      <c r="AJ247" s="651">
        <f t="array" ref="AJ247">IFERROR(INDEX('HIV-Equipment'!$Q$14:$Q$58,MATCH($E247&amp;$F247,'HIV-Equipment'!$C$14:$C$58&amp;'HIV-Equipment'!$D$14:$D$58,0)),0)</f>
        <v>0</v>
      </c>
      <c r="AK247" s="651">
        <f t="shared" si="198"/>
        <v>0</v>
      </c>
      <c r="AL247" s="652">
        <f t="shared" si="199"/>
        <v>0</v>
      </c>
      <c r="AM247" s="652">
        <f t="shared" si="200"/>
        <v>0</v>
      </c>
      <c r="AN247" s="651">
        <f t="array" ref="AN247">IFERROR(INDEX('HIV-Equipment'!$R$14:$R$58,MATCH($E247&amp;$F247,'HIV-Equipment'!$C$14:$C$58&amp;'HIV-Equipment'!$D$14:$D$58,0)),0)</f>
        <v>0</v>
      </c>
      <c r="AO247" s="651">
        <f t="shared" si="201"/>
        <v>0</v>
      </c>
      <c r="AP247" s="652">
        <f t="shared" si="202"/>
        <v>0</v>
      </c>
      <c r="AQ247" s="652">
        <f t="shared" si="203"/>
        <v>0</v>
      </c>
      <c r="AR247" s="661"/>
      <c r="AS247" s="651">
        <f t="array" ref="AS247">IFERROR(INDEX('HIV-Equipment'!$U$14:$U$58,MATCH($E247&amp;$F247,'HIV-Equipment'!$C$14:$C$58&amp;'HIV-Equipment'!$D$14:$D$58,0)),0)</f>
        <v>0</v>
      </c>
      <c r="AT247" s="651">
        <f t="array" ref="AT247">IFERROR(INDEX('HIV-Equipment'!$V$14:$V$58,MATCH($E247&amp;$F247,'HIV-Equipment'!$C$14:$C$58&amp;'HIV-Equipment'!$D$14:$D$58,0)),0)</f>
        <v>0</v>
      </c>
      <c r="AU247" s="651">
        <f t="shared" si="204"/>
        <v>0</v>
      </c>
      <c r="AV247" s="652">
        <f t="shared" si="205"/>
        <v>0</v>
      </c>
      <c r="AW247" s="652">
        <f t="shared" si="206"/>
        <v>0</v>
      </c>
      <c r="AX247" s="651">
        <f t="array" ref="AX247">IFERROR(INDEX('HIV-Equipment'!$W$14:$W$58,MATCH($E247&amp;$F247,'HIV-Equipment'!$C$14:$C$58&amp;'HIV-Equipment'!$D$14:$D$58,0)),0)</f>
        <v>0</v>
      </c>
      <c r="AY247" s="651">
        <f t="shared" si="207"/>
        <v>0</v>
      </c>
      <c r="AZ247" s="652">
        <f t="shared" si="208"/>
        <v>0</v>
      </c>
      <c r="BA247" s="652">
        <f t="shared" si="209"/>
        <v>0</v>
      </c>
      <c r="BB247" s="651">
        <f t="array" ref="BB247">IFERROR(INDEX('HIV-Equipment'!$X$14:$X$58,MATCH($E247&amp;$F247,'HIV-Equipment'!$C$14:$C$58&amp;'HIV-Equipment'!$D$14:$D$58,0)),0)</f>
        <v>0</v>
      </c>
      <c r="BC247" s="651">
        <f t="shared" si="210"/>
        <v>0</v>
      </c>
      <c r="BD247" s="652">
        <f t="shared" si="211"/>
        <v>0</v>
      </c>
      <c r="BE247" s="652">
        <f t="shared" si="212"/>
        <v>0</v>
      </c>
      <c r="BF247" s="651">
        <f t="array" ref="BF247">IFERROR(INDEX('HIV-Equipment'!$Y$14:$Y$58,MATCH($E247&amp;$F247,'HIV-Equipment'!$C$14:$C$58&amp;'HIV-Equipment'!$D$14:$D$58,0)),0)</f>
        <v>0</v>
      </c>
      <c r="BG247" s="651">
        <f t="shared" si="213"/>
        <v>0</v>
      </c>
      <c r="BH247" s="652">
        <f t="shared" si="214"/>
        <v>0</v>
      </c>
      <c r="BI247" s="652">
        <f t="shared" si="215"/>
        <v>0</v>
      </c>
      <c r="BJ247" s="662"/>
      <c r="BK247" s="654"/>
      <c r="BL247" s="654"/>
      <c r="BM247" s="654"/>
      <c r="BN247" s="654"/>
      <c r="BO247" s="654"/>
      <c r="BP247" s="654"/>
      <c r="BQ247" s="654"/>
      <c r="BR247" s="654"/>
    </row>
    <row r="248" spans="1:70" s="426" customFormat="1">
      <c r="A248" s="655" t="s">
        <v>1855</v>
      </c>
      <c r="B248" s="655" t="s">
        <v>2283</v>
      </c>
      <c r="C248" s="648">
        <f>SETUP!$F$23</f>
        <v>0</v>
      </c>
      <c r="D248" s="654">
        <v>6.6</v>
      </c>
      <c r="E248" s="655" t="s">
        <v>222</v>
      </c>
      <c r="F248" s="655" t="s">
        <v>201</v>
      </c>
      <c r="G248" s="650" t="str">
        <f t="array" ref="G248">IFERROR(INDEX('HIV-Equipment'!$E$14:$E$58,MATCH($E248&amp;$F248,'HIV-Equipment'!$C$14:$C$58&amp;'HIV-Equipment'!$D$14:$D$58,0)),"")</f>
        <v/>
      </c>
      <c r="H248" s="650" t="str">
        <f t="array" ref="H248">IFERROR(INDEX('HIV-Equipment'!$F$14:$F$58,MATCH($E248&amp;$F248,'HIV-Equipment'!$C$14:$C$58&amp;'HIV-Equipment'!$D$14:$D$58,0)),"")</f>
        <v/>
      </c>
      <c r="I248" s="651">
        <f t="array" ref="I248">IFERROR(INDEX('HIV-Equipment'!$G$14:$G$58,MATCH($E248&amp;$F248,'HIV-Equipment'!$C$14:$C$58&amp;'HIV-Equipment'!$D$14:$D$58,0)),0)</f>
        <v>0</v>
      </c>
      <c r="J248" s="651">
        <f t="array" ref="J248">IFERROR(INDEX('HIV-Equipment'!$H$14:$H$58,MATCH($E248&amp;$F248,'HIV-Equipment'!$C$14:$C$58&amp;'HIV-Equipment'!$D$14:$D$58,0)),0)</f>
        <v>0</v>
      </c>
      <c r="K248" s="652">
        <f t="shared" si="180"/>
        <v>0</v>
      </c>
      <c r="L248" s="652">
        <f>IF(C248="Upfront",J248,0)</f>
        <v>0</v>
      </c>
      <c r="M248" s="652">
        <f>IF(C248="Upfront",K248,0)</f>
        <v>0</v>
      </c>
      <c r="N248" s="651">
        <f t="array" ref="N248">IFERROR(INDEX('HIV-Equipment'!$I$14:$I$58,MATCH($E248&amp;$F248,'HIV-Equipment'!$C$14:$C$58&amp;'HIV-Equipment'!$D$14:$D$58,0)),0)</f>
        <v>0</v>
      </c>
      <c r="O248" s="652">
        <f t="shared" si="183"/>
        <v>0</v>
      </c>
      <c r="P248" s="652">
        <f>IF(C248="Upfront",N248,0)</f>
        <v>0</v>
      </c>
      <c r="Q248" s="652">
        <f>IF(C248="Upfront",O248,0)</f>
        <v>0</v>
      </c>
      <c r="R248" s="651">
        <f t="array" ref="R248">IFERROR(INDEX('HIV-Equipment'!$J$14:$J$58,MATCH($E248&amp;$F248,'HIV-Equipment'!$C$14:$C$58&amp;'HIV-Equipment'!$D$14:$D$58,0)),0)</f>
        <v>0</v>
      </c>
      <c r="S248" s="652">
        <f t="shared" si="186"/>
        <v>0</v>
      </c>
      <c r="T248" s="652">
        <f>IF(C248="Upfront",R248,IF(C248="At delivery",J248,0))</f>
        <v>0</v>
      </c>
      <c r="U248" s="652">
        <f>IF(C248="Upfront",S248,IF(C248="At delivery",K248,0))</f>
        <v>0</v>
      </c>
      <c r="V248" s="651">
        <f t="array" ref="V248">IFERROR(INDEX('HIV-Equipment'!$K$14:$K$58,MATCH($E248&amp;$F248,'HIV-Equipment'!$C$14:$C$58&amp;'HIV-Equipment'!$D$14:$D$58,0)),0)</f>
        <v>0</v>
      </c>
      <c r="W248" s="652">
        <f t="shared" si="189"/>
        <v>0</v>
      </c>
      <c r="X248" s="652">
        <f>IF(C248="Upfront",V248,IF(C248="At delivery",N248,0))</f>
        <v>0</v>
      </c>
      <c r="Y248" s="652">
        <f>IF(C248="Upfront",W248,IF(C248="At delivery",O248,0))</f>
        <v>0</v>
      </c>
      <c r="Z248" s="661"/>
      <c r="AA248" s="651">
        <f t="array" ref="AA248">IFERROR(INDEX('HIV-Equipment'!$N$14:$N$58,MATCH($E248&amp;$F248,'HIV-Equipment'!$C$14:$C$58&amp;'HIV-Equipment'!$D$14:$D$58,0)),0)</f>
        <v>0</v>
      </c>
      <c r="AB248" s="651">
        <f t="array" ref="AB248">IFERROR(INDEX('HIV-Equipment'!$O$14:$O$58,MATCH($E248&amp;$F248,'HIV-Equipment'!$C$14:$C$58&amp;'HIV-Equipment'!$D$14:$D$58,0)),0)</f>
        <v>0</v>
      </c>
      <c r="AC248" s="651">
        <f t="shared" si="192"/>
        <v>0</v>
      </c>
      <c r="AD248" s="652">
        <f>IF(C248="Upfront",AB248,IF(C248="At delivery",R248,0))</f>
        <v>0</v>
      </c>
      <c r="AE248" s="652">
        <f>IF(C248="Upfront",AC248,IF(C248="At delivery",S248,0))</f>
        <v>0</v>
      </c>
      <c r="AF248" s="651">
        <f t="array" ref="AF248">IFERROR(INDEX('HIV-Equipment'!$P$14:$P$58,MATCH($E248&amp;$F248,'HIV-Equipment'!$C$14:$C$58&amp;'HIV-Equipment'!$D$14:$D$58,0)),0)</f>
        <v>0</v>
      </c>
      <c r="AG248" s="651">
        <f t="shared" si="195"/>
        <v>0</v>
      </c>
      <c r="AH248" s="652">
        <f>IF(C248="Upfront",AF248,IF(C248="At delivery",V248,0))</f>
        <v>0</v>
      </c>
      <c r="AI248" s="652">
        <f>IF(C248="Upfront",AG248,IF(C248="At delivery",W248,0))</f>
        <v>0</v>
      </c>
      <c r="AJ248" s="651">
        <f t="array" ref="AJ248">IFERROR(INDEX('HIV-Equipment'!$Q$14:$Q$58,MATCH($E248&amp;$F248,'HIV-Equipment'!$C$14:$C$58&amp;'HIV-Equipment'!$D$14:$D$58,0)),0)</f>
        <v>0</v>
      </c>
      <c r="AK248" s="651">
        <f t="shared" si="198"/>
        <v>0</v>
      </c>
      <c r="AL248" s="652">
        <f>IF(C248="Upfront",AJ248,IF(C248="At delivery",AB248,0))</f>
        <v>0</v>
      </c>
      <c r="AM248" s="652">
        <f>IF(C248="Upfront",AK248,IF(C248="At delivery",AC248,0))</f>
        <v>0</v>
      </c>
      <c r="AN248" s="651">
        <f t="array" ref="AN248">IFERROR(INDEX('HIV-Equipment'!$R$14:$R$58,MATCH($E248&amp;$F248,'HIV-Equipment'!$C$14:$C$58&amp;'HIV-Equipment'!$D$14:$D$58,0)),0)</f>
        <v>0</v>
      </c>
      <c r="AO248" s="651">
        <f t="shared" si="201"/>
        <v>0</v>
      </c>
      <c r="AP248" s="652">
        <f>IF(C248="Upfront",AN248,IF(C248="At delivery",AF248,0))</f>
        <v>0</v>
      </c>
      <c r="AQ248" s="652">
        <f>IF(C248="Upfront",AO248,IF(C248="At delivery",AG248,0))</f>
        <v>0</v>
      </c>
      <c r="AR248" s="661"/>
      <c r="AS248" s="651">
        <f t="array" ref="AS248">IFERROR(INDEX('HIV-Equipment'!$U$14:$U$58,MATCH($E248&amp;$F248,'HIV-Equipment'!$C$14:$C$58&amp;'HIV-Equipment'!$D$14:$D$58,0)),0)</f>
        <v>0</v>
      </c>
      <c r="AT248" s="651">
        <f t="array" ref="AT248">IFERROR(INDEX('HIV-Equipment'!$V$14:$V$58,MATCH($E248&amp;$F248,'HIV-Equipment'!$C$14:$C$58&amp;'HIV-Equipment'!$D$14:$D$58,0)),0)</f>
        <v>0</v>
      </c>
      <c r="AU248" s="651">
        <f t="shared" si="204"/>
        <v>0</v>
      </c>
      <c r="AV248" s="652">
        <f>IF(C248="Upfront",AT248,IF(C248="At delivery",AJ248,0))</f>
        <v>0</v>
      </c>
      <c r="AW248" s="652">
        <f>IF(C248="Upfront",AU248,IF(C248="At delivery",AK248,0))</f>
        <v>0</v>
      </c>
      <c r="AX248" s="651">
        <f t="array" ref="AX248">IFERROR(INDEX('HIV-Equipment'!$W$14:$W$58,MATCH($E248&amp;$F248,'HIV-Equipment'!$C$14:$C$58&amp;'HIV-Equipment'!$D$14:$D$58,0)),0)</f>
        <v>0</v>
      </c>
      <c r="AY248" s="651">
        <f t="shared" si="207"/>
        <v>0</v>
      </c>
      <c r="AZ248" s="652">
        <f>IF(C248="Upfront",AX248,IF(C248="At delivery",AN248,0))</f>
        <v>0</v>
      </c>
      <c r="BA248" s="652">
        <f>IF(C248="Upfront",AY248,IF(C248="At delivery",AO248,0))</f>
        <v>0</v>
      </c>
      <c r="BB248" s="651">
        <f t="array" ref="BB248">IFERROR(INDEX('HIV-Equipment'!$X$14:$X$58,MATCH($E248&amp;$F248,'HIV-Equipment'!$C$14:$C$58&amp;'HIV-Equipment'!$D$14:$D$58,0)),0)</f>
        <v>0</v>
      </c>
      <c r="BC248" s="651">
        <f t="shared" si="210"/>
        <v>0</v>
      </c>
      <c r="BD248" s="652">
        <f>IF(C248="Upfront",BB248,IF(C248="At delivery",AT248,0))</f>
        <v>0</v>
      </c>
      <c r="BE248" s="652">
        <f>IF(C248="Upfront",BC248,IF(C248="At delivery",AU248,0))</f>
        <v>0</v>
      </c>
      <c r="BF248" s="651">
        <f t="array" ref="BF248">IFERROR(INDEX('HIV-Equipment'!$Y$14:$Y$58,MATCH($E248&amp;$F248,'HIV-Equipment'!$C$14:$C$58&amp;'HIV-Equipment'!$D$14:$D$58,0)),0)</f>
        <v>0</v>
      </c>
      <c r="BG248" s="651">
        <f t="shared" si="213"/>
        <v>0</v>
      </c>
      <c r="BH248" s="652">
        <f>IF(C248="Upfront",BF248,IF(C248="At delivery",AX248,0))</f>
        <v>0</v>
      </c>
      <c r="BI248" s="652">
        <f>IF(C248="Upfront",BG248,IF(C248="At delivery",AY248,0))</f>
        <v>0</v>
      </c>
      <c r="BJ248" s="662"/>
      <c r="BK248" s="654"/>
      <c r="BL248" s="654"/>
      <c r="BM248" s="654"/>
      <c r="BN248" s="654"/>
      <c r="BO248" s="654"/>
      <c r="BP248" s="654"/>
      <c r="BQ248" s="654"/>
      <c r="BR248" s="654"/>
    </row>
    <row r="249" spans="1:70" s="426" customFormat="1">
      <c r="A249" s="655" t="s">
        <v>1855</v>
      </c>
      <c r="B249" s="655" t="s">
        <v>2283</v>
      </c>
      <c r="C249" s="648">
        <f>SETUP!$F$23</f>
        <v>0</v>
      </c>
      <c r="D249" s="654">
        <v>6.6</v>
      </c>
      <c r="E249" s="655" t="s">
        <v>222</v>
      </c>
      <c r="F249" s="655" t="s">
        <v>200</v>
      </c>
      <c r="G249" s="650" t="str">
        <f t="array" ref="G249">IFERROR(INDEX('HIV-Equipment'!$E$14:$E$58,MATCH($E249&amp;$F249,'HIV-Equipment'!$C$14:$C$58&amp;'HIV-Equipment'!$D$14:$D$58,0)),"")</f>
        <v/>
      </c>
      <c r="H249" s="650" t="str">
        <f t="array" ref="H249">IFERROR(INDEX('HIV-Equipment'!$F$14:$F$58,MATCH($E249&amp;$F249,'HIV-Equipment'!$C$14:$C$58&amp;'HIV-Equipment'!$D$14:$D$58,0)),"")</f>
        <v/>
      </c>
      <c r="I249" s="651">
        <f t="array" ref="I249">IFERROR(INDEX('HIV-Equipment'!$G$14:$G$58,MATCH($E249&amp;$F249,'HIV-Equipment'!$C$14:$C$58&amp;'HIV-Equipment'!$D$14:$D$58,0)),0)</f>
        <v>0</v>
      </c>
      <c r="J249" s="651">
        <f t="array" ref="J249">IFERROR(INDEX('HIV-Equipment'!$H$14:$H$58,MATCH($E249&amp;$F249,'HIV-Equipment'!$C$14:$C$58&amp;'HIV-Equipment'!$D$14:$D$58,0)),0)</f>
        <v>0</v>
      </c>
      <c r="K249" s="652">
        <f t="shared" si="180"/>
        <v>0</v>
      </c>
      <c r="L249" s="652">
        <f>IF(C249="Upfront",J249,0)</f>
        <v>0</v>
      </c>
      <c r="M249" s="652">
        <f>IF(C249="Upfront",K249,0)</f>
        <v>0</v>
      </c>
      <c r="N249" s="651">
        <f t="array" ref="N249">IFERROR(INDEX('HIV-Equipment'!$I$14:$I$58,MATCH($E249&amp;$F249,'HIV-Equipment'!$C$14:$C$58&amp;'HIV-Equipment'!$D$14:$D$58,0)),0)</f>
        <v>0</v>
      </c>
      <c r="O249" s="652">
        <f t="shared" si="183"/>
        <v>0</v>
      </c>
      <c r="P249" s="652">
        <f>IF(C249="Upfront",N249,0)</f>
        <v>0</v>
      </c>
      <c r="Q249" s="652">
        <f>IF(C249="Upfront",O249,0)</f>
        <v>0</v>
      </c>
      <c r="R249" s="651">
        <f t="array" ref="R249">IFERROR(INDEX('HIV-Equipment'!$J$14:$J$58,MATCH($E249&amp;$F249,'HIV-Equipment'!$C$14:$C$58&amp;'HIV-Equipment'!$D$14:$D$58,0)),0)</f>
        <v>0</v>
      </c>
      <c r="S249" s="652">
        <f t="shared" si="186"/>
        <v>0</v>
      </c>
      <c r="T249" s="652">
        <f>IF(C249="Upfront",R249,IF(C249="At delivery",J249,0))</f>
        <v>0</v>
      </c>
      <c r="U249" s="652">
        <f>IF(C249="Upfront",S249,IF(C249="At delivery",K249,0))</f>
        <v>0</v>
      </c>
      <c r="V249" s="651">
        <f t="array" ref="V249">IFERROR(INDEX('HIV-Equipment'!$K$14:$K$58,MATCH($E249&amp;$F249,'HIV-Equipment'!$C$14:$C$58&amp;'HIV-Equipment'!$D$14:$D$58,0)),0)</f>
        <v>0</v>
      </c>
      <c r="W249" s="652">
        <f t="shared" si="189"/>
        <v>0</v>
      </c>
      <c r="X249" s="652">
        <f>IF(C249="Upfront",V249,IF(C249="At delivery",N249,0))</f>
        <v>0</v>
      </c>
      <c r="Y249" s="652">
        <f>IF(C249="Upfront",W249,IF(C249="At delivery",O249,0))</f>
        <v>0</v>
      </c>
      <c r="Z249" s="661"/>
      <c r="AA249" s="651">
        <f t="array" ref="AA249">IFERROR(INDEX('HIV-Equipment'!$N$14:$N$58,MATCH($E249&amp;$F249,'HIV-Equipment'!$C$14:$C$58&amp;'HIV-Equipment'!$D$14:$D$58,0)),0)</f>
        <v>0</v>
      </c>
      <c r="AB249" s="651">
        <f t="array" ref="AB249">IFERROR(INDEX('HIV-Equipment'!$O$14:$O$58,MATCH($E249&amp;$F249,'HIV-Equipment'!$C$14:$C$58&amp;'HIV-Equipment'!$D$14:$D$58,0)),0)</f>
        <v>0</v>
      </c>
      <c r="AC249" s="651">
        <f t="shared" si="192"/>
        <v>0</v>
      </c>
      <c r="AD249" s="652">
        <f>IF(C249="Upfront",AB249,IF(C249="At delivery",R249,0))</f>
        <v>0</v>
      </c>
      <c r="AE249" s="652">
        <f>IF(C249="Upfront",AC249,IF(C249="At delivery",S249,0))</f>
        <v>0</v>
      </c>
      <c r="AF249" s="651">
        <f t="array" ref="AF249">IFERROR(INDEX('HIV-Equipment'!$P$14:$P$58,MATCH($E249&amp;$F249,'HIV-Equipment'!$C$14:$C$58&amp;'HIV-Equipment'!$D$14:$D$58,0)),0)</f>
        <v>0</v>
      </c>
      <c r="AG249" s="651">
        <f t="shared" si="195"/>
        <v>0</v>
      </c>
      <c r="AH249" s="652">
        <f>IF(C249="Upfront",AF249,IF(C249="At delivery",V249,0))</f>
        <v>0</v>
      </c>
      <c r="AI249" s="652">
        <f>IF(C249="Upfront",AG249,IF(C249="At delivery",W249,0))</f>
        <v>0</v>
      </c>
      <c r="AJ249" s="651">
        <f t="array" ref="AJ249">IFERROR(INDEX('HIV-Equipment'!$Q$14:$Q$58,MATCH($E249&amp;$F249,'HIV-Equipment'!$C$14:$C$58&amp;'HIV-Equipment'!$D$14:$D$58,0)),0)</f>
        <v>0</v>
      </c>
      <c r="AK249" s="651">
        <f t="shared" si="198"/>
        <v>0</v>
      </c>
      <c r="AL249" s="652">
        <f>IF(C249="Upfront",AJ249,IF(C249="At delivery",AB249,0))</f>
        <v>0</v>
      </c>
      <c r="AM249" s="652">
        <f>IF(C249="Upfront",AK249,IF(C249="At delivery",AC249,0))</f>
        <v>0</v>
      </c>
      <c r="AN249" s="651">
        <f t="array" ref="AN249">IFERROR(INDEX('HIV-Equipment'!$R$14:$R$58,MATCH($E249&amp;$F249,'HIV-Equipment'!$C$14:$C$58&amp;'HIV-Equipment'!$D$14:$D$58,0)),0)</f>
        <v>0</v>
      </c>
      <c r="AO249" s="651">
        <f t="shared" si="201"/>
        <v>0</v>
      </c>
      <c r="AP249" s="652">
        <f>IF(C249="Upfront",AN249,IF(C249="At delivery",AF249,0))</f>
        <v>0</v>
      </c>
      <c r="AQ249" s="652">
        <f>IF(C249="Upfront",AO249,IF(C249="At delivery",AG249,0))</f>
        <v>0</v>
      </c>
      <c r="AR249" s="661"/>
      <c r="AS249" s="651">
        <f t="array" ref="AS249">IFERROR(INDEX('HIV-Equipment'!$U$14:$U$58,MATCH($E249&amp;$F249,'HIV-Equipment'!$C$14:$C$58&amp;'HIV-Equipment'!$D$14:$D$58,0)),0)</f>
        <v>0</v>
      </c>
      <c r="AT249" s="651">
        <f t="array" ref="AT249">IFERROR(INDEX('HIV-Equipment'!$V$14:$V$58,MATCH($E249&amp;$F249,'HIV-Equipment'!$C$14:$C$58&amp;'HIV-Equipment'!$D$14:$D$58,0)),0)</f>
        <v>0</v>
      </c>
      <c r="AU249" s="651">
        <f t="shared" si="204"/>
        <v>0</v>
      </c>
      <c r="AV249" s="652">
        <f>IF(C249="Upfront",AT249,IF(C249="At delivery",AJ249,0))</f>
        <v>0</v>
      </c>
      <c r="AW249" s="652">
        <f>IF(C249="Upfront",AU249,IF(C249="At delivery",AK249,0))</f>
        <v>0</v>
      </c>
      <c r="AX249" s="651">
        <f t="array" ref="AX249">IFERROR(INDEX('HIV-Equipment'!$W$14:$W$58,MATCH($E249&amp;$F249,'HIV-Equipment'!$C$14:$C$58&amp;'HIV-Equipment'!$D$14:$D$58,0)),0)</f>
        <v>0</v>
      </c>
      <c r="AY249" s="651">
        <f t="shared" si="207"/>
        <v>0</v>
      </c>
      <c r="AZ249" s="652">
        <f>IF(C249="Upfront",AX249,IF(C249="At delivery",AN249,0))</f>
        <v>0</v>
      </c>
      <c r="BA249" s="652">
        <f>IF(C249="Upfront",AY249,IF(C249="At delivery",AO249,0))</f>
        <v>0</v>
      </c>
      <c r="BB249" s="651">
        <f t="array" ref="BB249">IFERROR(INDEX('HIV-Equipment'!$X$14:$X$58,MATCH($E249&amp;$F249,'HIV-Equipment'!$C$14:$C$58&amp;'HIV-Equipment'!$D$14:$D$58,0)),0)</f>
        <v>0</v>
      </c>
      <c r="BC249" s="651">
        <f t="shared" si="210"/>
        <v>0</v>
      </c>
      <c r="BD249" s="652">
        <f>IF(C249="Upfront",BB249,IF(C249="At delivery",AT249,0))</f>
        <v>0</v>
      </c>
      <c r="BE249" s="652">
        <f>IF(C249="Upfront",BC249,IF(C249="At delivery",AU249,0))</f>
        <v>0</v>
      </c>
      <c r="BF249" s="651">
        <f t="array" ref="BF249">IFERROR(INDEX('HIV-Equipment'!$Y$14:$Y$58,MATCH($E249&amp;$F249,'HIV-Equipment'!$C$14:$C$58&amp;'HIV-Equipment'!$D$14:$D$58,0)),0)</f>
        <v>0</v>
      </c>
      <c r="BG249" s="651">
        <f t="shared" si="213"/>
        <v>0</v>
      </c>
      <c r="BH249" s="652">
        <f>IF(C249="Upfront",BF249,IF(C249="At delivery",AX249,0))</f>
        <v>0</v>
      </c>
      <c r="BI249" s="652">
        <f>IF(C249="Upfront",BG249,IF(C249="At delivery",AY249,0))</f>
        <v>0</v>
      </c>
      <c r="BJ249" s="662"/>
      <c r="BK249" s="654"/>
      <c r="BL249" s="654"/>
      <c r="BM249" s="654"/>
      <c r="BN249" s="654"/>
      <c r="BO249" s="654"/>
      <c r="BP249" s="654"/>
      <c r="BQ249" s="654"/>
      <c r="BR249" s="654"/>
    </row>
    <row r="250" spans="1:70" s="426" customFormat="1">
      <c r="A250" s="655" t="s">
        <v>1855</v>
      </c>
      <c r="B250" s="655" t="s">
        <v>2283</v>
      </c>
      <c r="C250" s="648">
        <f>SETUP!$F$23</f>
        <v>0</v>
      </c>
      <c r="D250" s="654">
        <v>6.6</v>
      </c>
      <c r="E250" s="655" t="s">
        <v>1230</v>
      </c>
      <c r="F250" s="655" t="s">
        <v>201</v>
      </c>
      <c r="G250" s="650" t="str">
        <f t="array" ref="G250">IFERROR(INDEX('HIV-Equipment'!$E$14:$E$58,MATCH($E250&amp;$F250,'HIV-Equipment'!$C$14:$C$58&amp;'HIV-Equipment'!$D$14:$D$58,0)),"")</f>
        <v/>
      </c>
      <c r="H250" s="650" t="str">
        <f t="array" ref="H250">IFERROR(INDEX('HIV-Equipment'!$F$14:$F$58,MATCH($E250&amp;$F250,'HIV-Equipment'!$C$14:$C$58&amp;'HIV-Equipment'!$D$14:$D$58,0)),"")</f>
        <v/>
      </c>
      <c r="I250" s="651">
        <f t="array" ref="I250">IFERROR(INDEX('HIV-Equipment'!$G$14:$G$58,MATCH($E250&amp;$F250,'HIV-Equipment'!$C$14:$C$58&amp;'HIV-Equipment'!$D$14:$D$58,0)),0)</f>
        <v>0</v>
      </c>
      <c r="J250" s="651">
        <f t="array" ref="J250">IFERROR(INDEX('HIV-Equipment'!$H$14:$H$58,MATCH($E250&amp;$F250,'HIV-Equipment'!$C$14:$C$58&amp;'HIV-Equipment'!$D$14:$D$58,0)),0)</f>
        <v>0</v>
      </c>
      <c r="K250" s="652">
        <f t="shared" si="180"/>
        <v>0</v>
      </c>
      <c r="L250" s="652">
        <f t="shared" si="181"/>
        <v>0</v>
      </c>
      <c r="M250" s="652">
        <f t="shared" si="182"/>
        <v>0</v>
      </c>
      <c r="N250" s="651">
        <f t="array" ref="N250">IFERROR(INDEX('HIV-Equipment'!$I$14:$I$58,MATCH($E250&amp;$F250,'HIV-Equipment'!$C$14:$C$58&amp;'HIV-Equipment'!$D$14:$D$58,0)),0)</f>
        <v>0</v>
      </c>
      <c r="O250" s="652">
        <f t="shared" si="183"/>
        <v>0</v>
      </c>
      <c r="P250" s="652">
        <f t="shared" si="184"/>
        <v>0</v>
      </c>
      <c r="Q250" s="652">
        <f t="shared" si="185"/>
        <v>0</v>
      </c>
      <c r="R250" s="651">
        <f t="array" ref="R250">IFERROR(INDEX('HIV-Equipment'!$J$14:$J$58,MATCH($E250&amp;$F250,'HIV-Equipment'!$C$14:$C$58&amp;'HIV-Equipment'!$D$14:$D$58,0)),0)</f>
        <v>0</v>
      </c>
      <c r="S250" s="652">
        <f t="shared" si="186"/>
        <v>0</v>
      </c>
      <c r="T250" s="652">
        <f t="shared" si="187"/>
        <v>0</v>
      </c>
      <c r="U250" s="652">
        <f t="shared" si="188"/>
        <v>0</v>
      </c>
      <c r="V250" s="651">
        <f t="array" ref="V250">IFERROR(INDEX('HIV-Equipment'!$K$14:$K$58,MATCH($E250&amp;$F250,'HIV-Equipment'!$C$14:$C$58&amp;'HIV-Equipment'!$D$14:$D$58,0)),0)</f>
        <v>0</v>
      </c>
      <c r="W250" s="652">
        <f t="shared" si="189"/>
        <v>0</v>
      </c>
      <c r="X250" s="652">
        <f t="shared" si="190"/>
        <v>0</v>
      </c>
      <c r="Y250" s="652">
        <f t="shared" si="191"/>
        <v>0</v>
      </c>
      <c r="Z250" s="661"/>
      <c r="AA250" s="651">
        <f t="array" ref="AA250">IFERROR(INDEX('HIV-Equipment'!$N$14:$N$58,MATCH($E250&amp;$F250,'HIV-Equipment'!$C$14:$C$58&amp;'HIV-Equipment'!$D$14:$D$58,0)),0)</f>
        <v>0</v>
      </c>
      <c r="AB250" s="651">
        <f t="array" ref="AB250">IFERROR(INDEX('HIV-Equipment'!$O$14:$O$58,MATCH($E250&amp;$F250,'HIV-Equipment'!$C$14:$C$58&amp;'HIV-Equipment'!$D$14:$D$58,0)),0)</f>
        <v>0</v>
      </c>
      <c r="AC250" s="651">
        <f t="shared" si="192"/>
        <v>0</v>
      </c>
      <c r="AD250" s="652">
        <f t="shared" si="193"/>
        <v>0</v>
      </c>
      <c r="AE250" s="652">
        <f t="shared" si="194"/>
        <v>0</v>
      </c>
      <c r="AF250" s="651">
        <f t="array" ref="AF250">IFERROR(INDEX('HIV-Equipment'!$P$14:$P$58,MATCH($E250&amp;$F250,'HIV-Equipment'!$C$14:$C$58&amp;'HIV-Equipment'!$D$14:$D$58,0)),0)</f>
        <v>0</v>
      </c>
      <c r="AG250" s="651">
        <f t="shared" si="195"/>
        <v>0</v>
      </c>
      <c r="AH250" s="652">
        <f t="shared" si="196"/>
        <v>0</v>
      </c>
      <c r="AI250" s="652">
        <f t="shared" si="197"/>
        <v>0</v>
      </c>
      <c r="AJ250" s="651">
        <f t="array" ref="AJ250">IFERROR(INDEX('HIV-Equipment'!$Q$14:$Q$58,MATCH($E250&amp;$F250,'HIV-Equipment'!$C$14:$C$58&amp;'HIV-Equipment'!$D$14:$D$58,0)),0)</f>
        <v>0</v>
      </c>
      <c r="AK250" s="651">
        <f t="shared" si="198"/>
        <v>0</v>
      </c>
      <c r="AL250" s="652">
        <f t="shared" si="199"/>
        <v>0</v>
      </c>
      <c r="AM250" s="652">
        <f t="shared" si="200"/>
        <v>0</v>
      </c>
      <c r="AN250" s="651">
        <f t="array" ref="AN250">IFERROR(INDEX('HIV-Equipment'!$R$14:$R$58,MATCH($E250&amp;$F250,'HIV-Equipment'!$C$14:$C$58&amp;'HIV-Equipment'!$D$14:$D$58,0)),0)</f>
        <v>0</v>
      </c>
      <c r="AO250" s="651">
        <f t="shared" si="201"/>
        <v>0</v>
      </c>
      <c r="AP250" s="652">
        <f t="shared" si="202"/>
        <v>0</v>
      </c>
      <c r="AQ250" s="652">
        <f t="shared" si="203"/>
        <v>0</v>
      </c>
      <c r="AR250" s="661"/>
      <c r="AS250" s="651">
        <f t="array" ref="AS250">IFERROR(INDEX('HIV-Equipment'!$U$14:$U$58,MATCH($E250&amp;$F250,'HIV-Equipment'!$C$14:$C$58&amp;'HIV-Equipment'!$D$14:$D$58,0)),0)</f>
        <v>0</v>
      </c>
      <c r="AT250" s="651">
        <f t="array" ref="AT250">IFERROR(INDEX('HIV-Equipment'!$V$14:$V$58,MATCH($E250&amp;$F250,'HIV-Equipment'!$C$14:$C$58&amp;'HIV-Equipment'!$D$14:$D$58,0)),0)</f>
        <v>0</v>
      </c>
      <c r="AU250" s="651">
        <f t="shared" si="204"/>
        <v>0</v>
      </c>
      <c r="AV250" s="652">
        <f t="shared" si="205"/>
        <v>0</v>
      </c>
      <c r="AW250" s="652">
        <f t="shared" si="206"/>
        <v>0</v>
      </c>
      <c r="AX250" s="651">
        <f t="array" ref="AX250">IFERROR(INDEX('HIV-Equipment'!$W$14:$W$58,MATCH($E250&amp;$F250,'HIV-Equipment'!$C$14:$C$58&amp;'HIV-Equipment'!$D$14:$D$58,0)),0)</f>
        <v>0</v>
      </c>
      <c r="AY250" s="651">
        <f t="shared" si="207"/>
        <v>0</v>
      </c>
      <c r="AZ250" s="652">
        <f t="shared" si="208"/>
        <v>0</v>
      </c>
      <c r="BA250" s="652">
        <f t="shared" si="209"/>
        <v>0</v>
      </c>
      <c r="BB250" s="651">
        <f t="array" ref="BB250">IFERROR(INDEX('HIV-Equipment'!$X$14:$X$58,MATCH($E250&amp;$F250,'HIV-Equipment'!$C$14:$C$58&amp;'HIV-Equipment'!$D$14:$D$58,0)),0)</f>
        <v>0</v>
      </c>
      <c r="BC250" s="651">
        <f t="shared" si="210"/>
        <v>0</v>
      </c>
      <c r="BD250" s="652">
        <f t="shared" si="211"/>
        <v>0</v>
      </c>
      <c r="BE250" s="652">
        <f t="shared" si="212"/>
        <v>0</v>
      </c>
      <c r="BF250" s="651">
        <f t="array" ref="BF250">IFERROR(INDEX('HIV-Equipment'!$Y$14:$Y$58,MATCH($E250&amp;$F250,'HIV-Equipment'!$C$14:$C$58&amp;'HIV-Equipment'!$D$14:$D$58,0)),0)</f>
        <v>0</v>
      </c>
      <c r="BG250" s="651">
        <f t="shared" si="213"/>
        <v>0</v>
      </c>
      <c r="BH250" s="652">
        <f t="shared" si="214"/>
        <v>0</v>
      </c>
      <c r="BI250" s="652">
        <f t="shared" si="215"/>
        <v>0</v>
      </c>
      <c r="BJ250" s="662"/>
      <c r="BK250" s="654"/>
      <c r="BL250" s="654"/>
      <c r="BM250" s="654"/>
      <c r="BN250" s="654"/>
      <c r="BO250" s="654"/>
      <c r="BP250" s="654"/>
      <c r="BQ250" s="654"/>
      <c r="BR250" s="654"/>
    </row>
    <row r="251" spans="1:70" s="426" customFormat="1">
      <c r="A251" s="655" t="s">
        <v>1855</v>
      </c>
      <c r="B251" s="655" t="s">
        <v>2283</v>
      </c>
      <c r="C251" s="648">
        <f>SETUP!$F$23</f>
        <v>0</v>
      </c>
      <c r="D251" s="654">
        <v>6.6</v>
      </c>
      <c r="E251" s="655" t="s">
        <v>1230</v>
      </c>
      <c r="F251" s="655" t="s">
        <v>200</v>
      </c>
      <c r="G251" s="650" t="str">
        <f t="array" ref="G251">IFERROR(INDEX('HIV-Equipment'!$E$14:$E$58,MATCH($E251&amp;$F251,'HIV-Equipment'!$C$14:$C$58&amp;'HIV-Equipment'!$D$14:$D$58,0)),"")</f>
        <v/>
      </c>
      <c r="H251" s="650" t="str">
        <f t="array" ref="H251">IFERROR(INDEX('HIV-Equipment'!$F$14:$F$58,MATCH($E251&amp;$F251,'HIV-Equipment'!$C$14:$C$58&amp;'HIV-Equipment'!$D$14:$D$58,0)),"")</f>
        <v/>
      </c>
      <c r="I251" s="651">
        <f t="array" ref="I251">IFERROR(INDEX('HIV-Equipment'!$G$14:$G$58,MATCH($E251&amp;$F251,'HIV-Equipment'!$C$14:$C$58&amp;'HIV-Equipment'!$D$14:$D$58,0)),0)</f>
        <v>0</v>
      </c>
      <c r="J251" s="651">
        <f t="array" ref="J251">IFERROR(INDEX('HIV-Equipment'!$H$14:$H$58,MATCH($E251&amp;$F251,'HIV-Equipment'!$C$14:$C$58&amp;'HIV-Equipment'!$D$14:$D$58,0)),0)</f>
        <v>0</v>
      </c>
      <c r="K251" s="652">
        <f t="shared" si="180"/>
        <v>0</v>
      </c>
      <c r="L251" s="652">
        <f t="shared" si="181"/>
        <v>0</v>
      </c>
      <c r="M251" s="652">
        <f t="shared" si="182"/>
        <v>0</v>
      </c>
      <c r="N251" s="651">
        <f t="array" ref="N251">IFERROR(INDEX('HIV-Equipment'!$I$14:$I$58,MATCH($E251&amp;$F251,'HIV-Equipment'!$C$14:$C$58&amp;'HIV-Equipment'!$D$14:$D$58,0)),0)</f>
        <v>0</v>
      </c>
      <c r="O251" s="652">
        <f t="shared" si="183"/>
        <v>0</v>
      </c>
      <c r="P251" s="652">
        <f t="shared" si="184"/>
        <v>0</v>
      </c>
      <c r="Q251" s="652">
        <f t="shared" si="185"/>
        <v>0</v>
      </c>
      <c r="R251" s="651">
        <f t="array" ref="R251">IFERROR(INDEX('HIV-Equipment'!$J$14:$J$58,MATCH($E251&amp;$F251,'HIV-Equipment'!$C$14:$C$58&amp;'HIV-Equipment'!$D$14:$D$58,0)),0)</f>
        <v>0</v>
      </c>
      <c r="S251" s="652">
        <f t="shared" si="186"/>
        <v>0</v>
      </c>
      <c r="T251" s="652">
        <f t="shared" si="187"/>
        <v>0</v>
      </c>
      <c r="U251" s="652">
        <f t="shared" si="188"/>
        <v>0</v>
      </c>
      <c r="V251" s="651">
        <f t="array" ref="V251">IFERROR(INDEX('HIV-Equipment'!$K$14:$K$58,MATCH($E251&amp;$F251,'HIV-Equipment'!$C$14:$C$58&amp;'HIV-Equipment'!$D$14:$D$58,0)),0)</f>
        <v>0</v>
      </c>
      <c r="W251" s="652">
        <f t="shared" si="189"/>
        <v>0</v>
      </c>
      <c r="X251" s="652">
        <f t="shared" si="190"/>
        <v>0</v>
      </c>
      <c r="Y251" s="652">
        <f t="shared" si="191"/>
        <v>0</v>
      </c>
      <c r="Z251" s="661"/>
      <c r="AA251" s="651">
        <f t="array" ref="AA251">IFERROR(INDEX('HIV-Equipment'!$N$14:$N$58,MATCH($E251&amp;$F251,'HIV-Equipment'!$C$14:$C$58&amp;'HIV-Equipment'!$D$14:$D$58,0)),0)</f>
        <v>0</v>
      </c>
      <c r="AB251" s="651">
        <f t="array" ref="AB251">IFERROR(INDEX('HIV-Equipment'!$O$14:$O$58,MATCH($E251&amp;$F251,'HIV-Equipment'!$C$14:$C$58&amp;'HIV-Equipment'!$D$14:$D$58,0)),0)</f>
        <v>0</v>
      </c>
      <c r="AC251" s="651">
        <f t="shared" si="192"/>
        <v>0</v>
      </c>
      <c r="AD251" s="652">
        <f t="shared" si="193"/>
        <v>0</v>
      </c>
      <c r="AE251" s="652">
        <f t="shared" si="194"/>
        <v>0</v>
      </c>
      <c r="AF251" s="651">
        <f t="array" ref="AF251">IFERROR(INDEX('HIV-Equipment'!$P$14:$P$58,MATCH($E251&amp;$F251,'HIV-Equipment'!$C$14:$C$58&amp;'HIV-Equipment'!$D$14:$D$58,0)),0)</f>
        <v>0</v>
      </c>
      <c r="AG251" s="651">
        <f t="shared" si="195"/>
        <v>0</v>
      </c>
      <c r="AH251" s="652">
        <f t="shared" si="196"/>
        <v>0</v>
      </c>
      <c r="AI251" s="652">
        <f t="shared" si="197"/>
        <v>0</v>
      </c>
      <c r="AJ251" s="651">
        <f t="array" ref="AJ251">IFERROR(INDEX('HIV-Equipment'!$Q$14:$Q$58,MATCH($E251&amp;$F251,'HIV-Equipment'!$C$14:$C$58&amp;'HIV-Equipment'!$D$14:$D$58,0)),0)</f>
        <v>0</v>
      </c>
      <c r="AK251" s="651">
        <f t="shared" si="198"/>
        <v>0</v>
      </c>
      <c r="AL251" s="652">
        <f t="shared" si="199"/>
        <v>0</v>
      </c>
      <c r="AM251" s="652">
        <f t="shared" si="200"/>
        <v>0</v>
      </c>
      <c r="AN251" s="651">
        <f t="array" ref="AN251">IFERROR(INDEX('HIV-Equipment'!$R$14:$R$58,MATCH($E251&amp;$F251,'HIV-Equipment'!$C$14:$C$58&amp;'HIV-Equipment'!$D$14:$D$58,0)),0)</f>
        <v>0</v>
      </c>
      <c r="AO251" s="651">
        <f t="shared" si="201"/>
        <v>0</v>
      </c>
      <c r="AP251" s="652">
        <f t="shared" si="202"/>
        <v>0</v>
      </c>
      <c r="AQ251" s="652">
        <f t="shared" si="203"/>
        <v>0</v>
      </c>
      <c r="AR251" s="661"/>
      <c r="AS251" s="651">
        <f t="array" ref="AS251">IFERROR(INDEX('HIV-Equipment'!$U$14:$U$58,MATCH($E251&amp;$F251,'HIV-Equipment'!$C$14:$C$58&amp;'HIV-Equipment'!$D$14:$D$58,0)),0)</f>
        <v>0</v>
      </c>
      <c r="AT251" s="651">
        <f t="array" ref="AT251">IFERROR(INDEX('HIV-Equipment'!$V$14:$V$58,MATCH($E251&amp;$F251,'HIV-Equipment'!$C$14:$C$58&amp;'HIV-Equipment'!$D$14:$D$58,0)),0)</f>
        <v>0</v>
      </c>
      <c r="AU251" s="651">
        <f t="shared" si="204"/>
        <v>0</v>
      </c>
      <c r="AV251" s="652">
        <f t="shared" si="205"/>
        <v>0</v>
      </c>
      <c r="AW251" s="652">
        <f t="shared" si="206"/>
        <v>0</v>
      </c>
      <c r="AX251" s="651">
        <f t="array" ref="AX251">IFERROR(INDEX('HIV-Equipment'!$W$14:$W$58,MATCH($E251&amp;$F251,'HIV-Equipment'!$C$14:$C$58&amp;'HIV-Equipment'!$D$14:$D$58,0)),0)</f>
        <v>0</v>
      </c>
      <c r="AY251" s="651">
        <f t="shared" si="207"/>
        <v>0</v>
      </c>
      <c r="AZ251" s="652">
        <f t="shared" si="208"/>
        <v>0</v>
      </c>
      <c r="BA251" s="652">
        <f t="shared" si="209"/>
        <v>0</v>
      </c>
      <c r="BB251" s="651">
        <f t="array" ref="BB251">IFERROR(INDEX('HIV-Equipment'!$X$14:$X$58,MATCH($E251&amp;$F251,'HIV-Equipment'!$C$14:$C$58&amp;'HIV-Equipment'!$D$14:$D$58,0)),0)</f>
        <v>0</v>
      </c>
      <c r="BC251" s="651">
        <f t="shared" si="210"/>
        <v>0</v>
      </c>
      <c r="BD251" s="652">
        <f t="shared" si="211"/>
        <v>0</v>
      </c>
      <c r="BE251" s="652">
        <f t="shared" si="212"/>
        <v>0</v>
      </c>
      <c r="BF251" s="651">
        <f t="array" ref="BF251">IFERROR(INDEX('HIV-Equipment'!$Y$14:$Y$58,MATCH($E251&amp;$F251,'HIV-Equipment'!$C$14:$C$58&amp;'HIV-Equipment'!$D$14:$D$58,0)),0)</f>
        <v>0</v>
      </c>
      <c r="BG251" s="651">
        <f t="shared" si="213"/>
        <v>0</v>
      </c>
      <c r="BH251" s="652">
        <f t="shared" si="214"/>
        <v>0</v>
      </c>
      <c r="BI251" s="652">
        <f t="shared" si="215"/>
        <v>0</v>
      </c>
      <c r="BJ251" s="662"/>
      <c r="BK251" s="654"/>
      <c r="BL251" s="654"/>
      <c r="BM251" s="654"/>
      <c r="BN251" s="654"/>
      <c r="BO251" s="654"/>
      <c r="BP251" s="654"/>
      <c r="BQ251" s="654"/>
      <c r="BR251" s="654"/>
    </row>
    <row r="252" spans="1:70" s="426" customFormat="1">
      <c r="A252" s="655" t="s">
        <v>1855</v>
      </c>
      <c r="B252" s="655" t="s">
        <v>2283</v>
      </c>
      <c r="C252" s="648">
        <f>SETUP!$F$23</f>
        <v>0</v>
      </c>
      <c r="D252" s="654">
        <v>6.5</v>
      </c>
      <c r="E252" s="655" t="s">
        <v>223</v>
      </c>
      <c r="F252" s="655" t="s">
        <v>218</v>
      </c>
      <c r="G252" s="650" t="str">
        <f t="array" ref="G252">IFERROR(INDEX('HIV-Equipment'!$E$14:$E$58,MATCH($E252&amp;$F252,'HIV-Equipment'!$C$14:$C$58&amp;'HIV-Equipment'!$D$14:$D$58,0)),"")</f>
        <v/>
      </c>
      <c r="H252" s="650" t="str">
        <f t="array" ref="H252">IFERROR(INDEX('HIV-Equipment'!$F$14:$F$58,MATCH($E252&amp;$F252,'HIV-Equipment'!$C$14:$C$58&amp;'HIV-Equipment'!$D$14:$D$58,0)),"")</f>
        <v/>
      </c>
      <c r="I252" s="651">
        <f t="array" ref="I252">IFERROR(INDEX('HIV-Equipment'!$G$14:$G$58,MATCH($E252&amp;$F252,'HIV-Equipment'!$C$14:$C$58&amp;'HIV-Equipment'!$D$14:$D$58,0)),0)</f>
        <v>0</v>
      </c>
      <c r="J252" s="651">
        <f t="array" ref="J252">IFERROR(INDEX('HIV-Equipment'!$H$14:$H$58,MATCH($E252&amp;$F252,'HIV-Equipment'!$C$14:$C$58&amp;'HIV-Equipment'!$D$14:$D$58,0)),0)</f>
        <v>0</v>
      </c>
      <c r="K252" s="652">
        <f t="shared" si="180"/>
        <v>0</v>
      </c>
      <c r="L252" s="652">
        <f t="shared" si="181"/>
        <v>0</v>
      </c>
      <c r="M252" s="652">
        <f t="shared" si="182"/>
        <v>0</v>
      </c>
      <c r="N252" s="651">
        <f t="array" ref="N252">IFERROR(INDEX('HIV-Equipment'!$I$14:$I$58,MATCH($E252&amp;$F252,'HIV-Equipment'!$C$14:$C$58&amp;'HIV-Equipment'!$D$14:$D$58,0)),0)</f>
        <v>0</v>
      </c>
      <c r="O252" s="652">
        <f t="shared" si="183"/>
        <v>0</v>
      </c>
      <c r="P252" s="652">
        <f t="shared" si="184"/>
        <v>0</v>
      </c>
      <c r="Q252" s="652">
        <f t="shared" si="185"/>
        <v>0</v>
      </c>
      <c r="R252" s="651">
        <f t="array" ref="R252">IFERROR(INDEX('HIV-Equipment'!$J$14:$J$58,MATCH($E252&amp;$F252,'HIV-Equipment'!$C$14:$C$58&amp;'HIV-Equipment'!$D$14:$D$58,0)),0)</f>
        <v>0</v>
      </c>
      <c r="S252" s="652">
        <f t="shared" si="186"/>
        <v>0</v>
      </c>
      <c r="T252" s="652">
        <f t="shared" si="187"/>
        <v>0</v>
      </c>
      <c r="U252" s="652">
        <f t="shared" si="188"/>
        <v>0</v>
      </c>
      <c r="V252" s="651">
        <f t="array" ref="V252">IFERROR(INDEX('HIV-Equipment'!$K$14:$K$58,MATCH($E252&amp;$F252,'HIV-Equipment'!$C$14:$C$58&amp;'HIV-Equipment'!$D$14:$D$58,0)),0)</f>
        <v>0</v>
      </c>
      <c r="W252" s="652">
        <f t="shared" si="189"/>
        <v>0</v>
      </c>
      <c r="X252" s="652">
        <f t="shared" si="190"/>
        <v>0</v>
      </c>
      <c r="Y252" s="652">
        <f t="shared" si="191"/>
        <v>0</v>
      </c>
      <c r="Z252" s="661"/>
      <c r="AA252" s="651">
        <f t="array" ref="AA252">IFERROR(INDEX('HIV-Equipment'!$N$14:$N$58,MATCH($E252&amp;$F252,'HIV-Equipment'!$C$14:$C$58&amp;'HIV-Equipment'!$D$14:$D$58,0)),0)</f>
        <v>0</v>
      </c>
      <c r="AB252" s="651">
        <f t="array" ref="AB252">IFERROR(INDEX('HIV-Equipment'!$O$14:$O$58,MATCH($E252&amp;$F252,'HIV-Equipment'!$C$14:$C$58&amp;'HIV-Equipment'!$D$14:$D$58,0)),0)</f>
        <v>0</v>
      </c>
      <c r="AC252" s="651">
        <f t="shared" si="192"/>
        <v>0</v>
      </c>
      <c r="AD252" s="652">
        <f t="shared" si="193"/>
        <v>0</v>
      </c>
      <c r="AE252" s="652">
        <f t="shared" si="194"/>
        <v>0</v>
      </c>
      <c r="AF252" s="651">
        <f t="array" ref="AF252">IFERROR(INDEX('HIV-Equipment'!$P$14:$P$58,MATCH($E252&amp;$F252,'HIV-Equipment'!$C$14:$C$58&amp;'HIV-Equipment'!$D$14:$D$58,0)),0)</f>
        <v>0</v>
      </c>
      <c r="AG252" s="651">
        <f t="shared" si="195"/>
        <v>0</v>
      </c>
      <c r="AH252" s="652">
        <f t="shared" si="196"/>
        <v>0</v>
      </c>
      <c r="AI252" s="652">
        <f t="shared" si="197"/>
        <v>0</v>
      </c>
      <c r="AJ252" s="651">
        <f t="array" ref="AJ252">IFERROR(INDEX('HIV-Equipment'!$Q$14:$Q$58,MATCH($E252&amp;$F252,'HIV-Equipment'!$C$14:$C$58&amp;'HIV-Equipment'!$D$14:$D$58,0)),0)</f>
        <v>0</v>
      </c>
      <c r="AK252" s="651">
        <f t="shared" si="198"/>
        <v>0</v>
      </c>
      <c r="AL252" s="652">
        <f t="shared" si="199"/>
        <v>0</v>
      </c>
      <c r="AM252" s="652">
        <f t="shared" si="200"/>
        <v>0</v>
      </c>
      <c r="AN252" s="651">
        <f t="array" ref="AN252">IFERROR(INDEX('HIV-Equipment'!$R$14:$R$58,MATCH($E252&amp;$F252,'HIV-Equipment'!$C$14:$C$58&amp;'HIV-Equipment'!$D$14:$D$58,0)),0)</f>
        <v>0</v>
      </c>
      <c r="AO252" s="651">
        <f t="shared" si="201"/>
        <v>0</v>
      </c>
      <c r="AP252" s="652">
        <f t="shared" si="202"/>
        <v>0</v>
      </c>
      <c r="AQ252" s="652">
        <f t="shared" si="203"/>
        <v>0</v>
      </c>
      <c r="AR252" s="661"/>
      <c r="AS252" s="651">
        <f t="array" ref="AS252">IFERROR(INDEX('HIV-Equipment'!$U$14:$U$58,MATCH($E252&amp;$F252,'HIV-Equipment'!$C$14:$C$58&amp;'HIV-Equipment'!$D$14:$D$58,0)),0)</f>
        <v>0</v>
      </c>
      <c r="AT252" s="651">
        <f t="array" ref="AT252">IFERROR(INDEX('HIV-Equipment'!$V$14:$V$58,MATCH($E252&amp;$F252,'HIV-Equipment'!$C$14:$C$58&amp;'HIV-Equipment'!$D$14:$D$58,0)),0)</f>
        <v>0</v>
      </c>
      <c r="AU252" s="651">
        <f t="shared" si="204"/>
        <v>0</v>
      </c>
      <c r="AV252" s="652">
        <f t="shared" si="205"/>
        <v>0</v>
      </c>
      <c r="AW252" s="652">
        <f t="shared" si="206"/>
        <v>0</v>
      </c>
      <c r="AX252" s="651">
        <f t="array" ref="AX252">IFERROR(INDEX('HIV-Equipment'!$W$14:$W$58,MATCH($E252&amp;$F252,'HIV-Equipment'!$C$14:$C$58&amp;'HIV-Equipment'!$D$14:$D$58,0)),0)</f>
        <v>0</v>
      </c>
      <c r="AY252" s="651">
        <f t="shared" si="207"/>
        <v>0</v>
      </c>
      <c r="AZ252" s="652">
        <f t="shared" si="208"/>
        <v>0</v>
      </c>
      <c r="BA252" s="652">
        <f t="shared" si="209"/>
        <v>0</v>
      </c>
      <c r="BB252" s="651">
        <f t="array" ref="BB252">IFERROR(INDEX('HIV-Equipment'!$X$14:$X$58,MATCH($E252&amp;$F252,'HIV-Equipment'!$C$14:$C$58&amp;'HIV-Equipment'!$D$14:$D$58,0)),0)</f>
        <v>0</v>
      </c>
      <c r="BC252" s="651">
        <f t="shared" si="210"/>
        <v>0</v>
      </c>
      <c r="BD252" s="652">
        <f t="shared" si="211"/>
        <v>0</v>
      </c>
      <c r="BE252" s="652">
        <f t="shared" si="212"/>
        <v>0</v>
      </c>
      <c r="BF252" s="651">
        <f t="array" ref="BF252">IFERROR(INDEX('HIV-Equipment'!$Y$14:$Y$58,MATCH($E252&amp;$F252,'HIV-Equipment'!$C$14:$C$58&amp;'HIV-Equipment'!$D$14:$D$58,0)),0)</f>
        <v>0</v>
      </c>
      <c r="BG252" s="651">
        <f t="shared" si="213"/>
        <v>0</v>
      </c>
      <c r="BH252" s="652">
        <f t="shared" si="214"/>
        <v>0</v>
      </c>
      <c r="BI252" s="652">
        <f t="shared" si="215"/>
        <v>0</v>
      </c>
      <c r="BJ252" s="662"/>
      <c r="BK252" s="654"/>
      <c r="BL252" s="654"/>
      <c r="BM252" s="654"/>
      <c r="BN252" s="654"/>
      <c r="BO252" s="654"/>
      <c r="BP252" s="654"/>
      <c r="BQ252" s="654"/>
      <c r="BR252" s="654"/>
    </row>
    <row r="253" spans="1:70" s="426" customFormat="1">
      <c r="A253" s="655" t="s">
        <v>1855</v>
      </c>
      <c r="B253" s="655" t="s">
        <v>2283</v>
      </c>
      <c r="C253" s="648">
        <f>SETUP!$F$23</f>
        <v>0</v>
      </c>
      <c r="D253" s="654">
        <v>6.6</v>
      </c>
      <c r="E253" s="655" t="s">
        <v>223</v>
      </c>
      <c r="F253" s="655" t="s">
        <v>201</v>
      </c>
      <c r="G253" s="650" t="str">
        <f t="array" ref="G253">IFERROR(INDEX('HIV-Equipment'!$E$14:$E$58,MATCH($E253&amp;$F253,'HIV-Equipment'!$C$14:$C$58&amp;'HIV-Equipment'!$D$14:$D$58,0)),"")</f>
        <v/>
      </c>
      <c r="H253" s="650" t="str">
        <f t="array" ref="H253">IFERROR(INDEX('HIV-Equipment'!$F$14:$F$58,MATCH($E253&amp;$F253,'HIV-Equipment'!$C$14:$C$58&amp;'HIV-Equipment'!$D$14:$D$58,0)),"")</f>
        <v/>
      </c>
      <c r="I253" s="651">
        <f t="array" ref="I253">IFERROR(INDEX('HIV-Equipment'!$G$14:$G$58,MATCH($E253&amp;$F253,'HIV-Equipment'!$C$14:$C$58&amp;'HIV-Equipment'!$D$14:$D$58,0)),0)</f>
        <v>0</v>
      </c>
      <c r="J253" s="651">
        <f t="array" ref="J253">IFERROR(INDEX('HIV-Equipment'!$H$14:$H$58,MATCH($E253&amp;$F253,'HIV-Equipment'!$C$14:$C$58&amp;'HIV-Equipment'!$D$14:$D$58,0)),0)</f>
        <v>0</v>
      </c>
      <c r="K253" s="652">
        <f t="shared" si="180"/>
        <v>0</v>
      </c>
      <c r="L253" s="652">
        <f t="shared" si="181"/>
        <v>0</v>
      </c>
      <c r="M253" s="652">
        <f t="shared" si="182"/>
        <v>0</v>
      </c>
      <c r="N253" s="651">
        <f t="array" ref="N253">IFERROR(INDEX('HIV-Equipment'!$I$14:$I$58,MATCH($E253&amp;$F253,'HIV-Equipment'!$C$14:$C$58&amp;'HIV-Equipment'!$D$14:$D$58,0)),0)</f>
        <v>0</v>
      </c>
      <c r="O253" s="652">
        <f t="shared" si="183"/>
        <v>0</v>
      </c>
      <c r="P253" s="652">
        <f t="shared" si="184"/>
        <v>0</v>
      </c>
      <c r="Q253" s="652">
        <f t="shared" si="185"/>
        <v>0</v>
      </c>
      <c r="R253" s="651">
        <f t="array" ref="R253">IFERROR(INDEX('HIV-Equipment'!$J$14:$J$58,MATCH($E253&amp;$F253,'HIV-Equipment'!$C$14:$C$58&amp;'HIV-Equipment'!$D$14:$D$58,0)),0)</f>
        <v>0</v>
      </c>
      <c r="S253" s="652">
        <f t="shared" si="186"/>
        <v>0</v>
      </c>
      <c r="T253" s="652">
        <f t="shared" si="187"/>
        <v>0</v>
      </c>
      <c r="U253" s="652">
        <f t="shared" si="188"/>
        <v>0</v>
      </c>
      <c r="V253" s="651">
        <f t="array" ref="V253">IFERROR(INDEX('HIV-Equipment'!$K$14:$K$58,MATCH($E253&amp;$F253,'HIV-Equipment'!$C$14:$C$58&amp;'HIV-Equipment'!$D$14:$D$58,0)),0)</f>
        <v>0</v>
      </c>
      <c r="W253" s="652">
        <f t="shared" si="189"/>
        <v>0</v>
      </c>
      <c r="X253" s="652">
        <f t="shared" si="190"/>
        <v>0</v>
      </c>
      <c r="Y253" s="652">
        <f t="shared" si="191"/>
        <v>0</v>
      </c>
      <c r="Z253" s="661"/>
      <c r="AA253" s="651">
        <f t="array" ref="AA253">IFERROR(INDEX('HIV-Equipment'!$N$14:$N$58,MATCH($E253&amp;$F253,'HIV-Equipment'!$C$14:$C$58&amp;'HIV-Equipment'!$D$14:$D$58,0)),0)</f>
        <v>0</v>
      </c>
      <c r="AB253" s="651">
        <f t="array" ref="AB253">IFERROR(INDEX('HIV-Equipment'!$O$14:$O$58,MATCH($E253&amp;$F253,'HIV-Equipment'!$C$14:$C$58&amp;'HIV-Equipment'!$D$14:$D$58,0)),0)</f>
        <v>0</v>
      </c>
      <c r="AC253" s="651">
        <f t="shared" si="192"/>
        <v>0</v>
      </c>
      <c r="AD253" s="652">
        <f t="shared" si="193"/>
        <v>0</v>
      </c>
      <c r="AE253" s="652">
        <f t="shared" si="194"/>
        <v>0</v>
      </c>
      <c r="AF253" s="651">
        <f t="array" ref="AF253">IFERROR(INDEX('HIV-Equipment'!$P$14:$P$58,MATCH($E253&amp;$F253,'HIV-Equipment'!$C$14:$C$58&amp;'HIV-Equipment'!$D$14:$D$58,0)),0)</f>
        <v>0</v>
      </c>
      <c r="AG253" s="651">
        <f t="shared" si="195"/>
        <v>0</v>
      </c>
      <c r="AH253" s="652">
        <f t="shared" si="196"/>
        <v>0</v>
      </c>
      <c r="AI253" s="652">
        <f t="shared" si="197"/>
        <v>0</v>
      </c>
      <c r="AJ253" s="651">
        <f t="array" ref="AJ253">IFERROR(INDEX('HIV-Equipment'!$Q$14:$Q$58,MATCH($E253&amp;$F253,'HIV-Equipment'!$C$14:$C$58&amp;'HIV-Equipment'!$D$14:$D$58,0)),0)</f>
        <v>0</v>
      </c>
      <c r="AK253" s="651">
        <f t="shared" si="198"/>
        <v>0</v>
      </c>
      <c r="AL253" s="652">
        <f t="shared" si="199"/>
        <v>0</v>
      </c>
      <c r="AM253" s="652">
        <f t="shared" si="200"/>
        <v>0</v>
      </c>
      <c r="AN253" s="651">
        <f t="array" ref="AN253">IFERROR(INDEX('HIV-Equipment'!$R$14:$R$58,MATCH($E253&amp;$F253,'HIV-Equipment'!$C$14:$C$58&amp;'HIV-Equipment'!$D$14:$D$58,0)),0)</f>
        <v>0</v>
      </c>
      <c r="AO253" s="651">
        <f t="shared" si="201"/>
        <v>0</v>
      </c>
      <c r="AP253" s="652">
        <f t="shared" si="202"/>
        <v>0</v>
      </c>
      <c r="AQ253" s="652">
        <f t="shared" si="203"/>
        <v>0</v>
      </c>
      <c r="AR253" s="661"/>
      <c r="AS253" s="651">
        <f t="array" ref="AS253">IFERROR(INDEX('HIV-Equipment'!$U$14:$U$58,MATCH($E253&amp;$F253,'HIV-Equipment'!$C$14:$C$58&amp;'HIV-Equipment'!$D$14:$D$58,0)),0)</f>
        <v>0</v>
      </c>
      <c r="AT253" s="651">
        <f t="array" ref="AT253">IFERROR(INDEX('HIV-Equipment'!$V$14:$V$58,MATCH($E253&amp;$F253,'HIV-Equipment'!$C$14:$C$58&amp;'HIV-Equipment'!$D$14:$D$58,0)),0)</f>
        <v>0</v>
      </c>
      <c r="AU253" s="651">
        <f t="shared" si="204"/>
        <v>0</v>
      </c>
      <c r="AV253" s="652">
        <f t="shared" si="205"/>
        <v>0</v>
      </c>
      <c r="AW253" s="652">
        <f t="shared" si="206"/>
        <v>0</v>
      </c>
      <c r="AX253" s="651">
        <f t="array" ref="AX253">IFERROR(INDEX('HIV-Equipment'!$W$14:$W$58,MATCH($E253&amp;$F253,'HIV-Equipment'!$C$14:$C$58&amp;'HIV-Equipment'!$D$14:$D$58,0)),0)</f>
        <v>0</v>
      </c>
      <c r="AY253" s="651">
        <f t="shared" si="207"/>
        <v>0</v>
      </c>
      <c r="AZ253" s="652">
        <f t="shared" si="208"/>
        <v>0</v>
      </c>
      <c r="BA253" s="652">
        <f t="shared" si="209"/>
        <v>0</v>
      </c>
      <c r="BB253" s="651">
        <f t="array" ref="BB253">IFERROR(INDEX('HIV-Equipment'!$X$14:$X$58,MATCH($E253&amp;$F253,'HIV-Equipment'!$C$14:$C$58&amp;'HIV-Equipment'!$D$14:$D$58,0)),0)</f>
        <v>0</v>
      </c>
      <c r="BC253" s="651">
        <f t="shared" si="210"/>
        <v>0</v>
      </c>
      <c r="BD253" s="652">
        <f t="shared" si="211"/>
        <v>0</v>
      </c>
      <c r="BE253" s="652">
        <f t="shared" si="212"/>
        <v>0</v>
      </c>
      <c r="BF253" s="651">
        <f t="array" ref="BF253">IFERROR(INDEX('HIV-Equipment'!$Y$14:$Y$58,MATCH($E253&amp;$F253,'HIV-Equipment'!$C$14:$C$58&amp;'HIV-Equipment'!$D$14:$D$58,0)),0)</f>
        <v>0</v>
      </c>
      <c r="BG253" s="651">
        <f t="shared" si="213"/>
        <v>0</v>
      </c>
      <c r="BH253" s="652">
        <f t="shared" si="214"/>
        <v>0</v>
      </c>
      <c r="BI253" s="652">
        <f t="shared" si="215"/>
        <v>0</v>
      </c>
      <c r="BJ253" s="662"/>
      <c r="BK253" s="654"/>
      <c r="BL253" s="654"/>
      <c r="BM253" s="654"/>
      <c r="BN253" s="654"/>
      <c r="BO253" s="654"/>
      <c r="BP253" s="654"/>
      <c r="BQ253" s="654"/>
      <c r="BR253" s="654"/>
    </row>
    <row r="254" spans="1:70" s="426" customFormat="1">
      <c r="A254" s="655" t="s">
        <v>1855</v>
      </c>
      <c r="B254" s="655" t="s">
        <v>2283</v>
      </c>
      <c r="C254" s="648">
        <f>SETUP!$F$23</f>
        <v>0</v>
      </c>
      <c r="D254" s="654">
        <v>6.6</v>
      </c>
      <c r="E254" s="655" t="s">
        <v>223</v>
      </c>
      <c r="F254" s="655" t="s">
        <v>200</v>
      </c>
      <c r="G254" s="650" t="str">
        <f t="array" ref="G254">IFERROR(INDEX('HIV-Equipment'!$E$14:$E$58,MATCH($E254&amp;$F254,'HIV-Equipment'!$C$14:$C$58&amp;'HIV-Equipment'!$D$14:$D$58,0)),"")</f>
        <v/>
      </c>
      <c r="H254" s="650" t="str">
        <f t="array" ref="H254">IFERROR(INDEX('HIV-Equipment'!$F$14:$F$58,MATCH($E254&amp;$F254,'HIV-Equipment'!$C$14:$C$58&amp;'HIV-Equipment'!$D$14:$D$58,0)),"")</f>
        <v/>
      </c>
      <c r="I254" s="651">
        <f t="array" ref="I254">IFERROR(INDEX('HIV-Equipment'!$G$14:$G$58,MATCH($E254&amp;$F254,'HIV-Equipment'!$C$14:$C$58&amp;'HIV-Equipment'!$D$14:$D$58,0)),0)</f>
        <v>0</v>
      </c>
      <c r="J254" s="651">
        <f t="array" ref="J254">IFERROR(INDEX('HIV-Equipment'!$H$14:$H$58,MATCH($E254&amp;$F254,'HIV-Equipment'!$C$14:$C$58&amp;'HIV-Equipment'!$D$14:$D$58,0)),0)</f>
        <v>0</v>
      </c>
      <c r="K254" s="652">
        <f t="shared" si="180"/>
        <v>0</v>
      </c>
      <c r="L254" s="652">
        <f t="shared" si="181"/>
        <v>0</v>
      </c>
      <c r="M254" s="652">
        <f t="shared" si="182"/>
        <v>0</v>
      </c>
      <c r="N254" s="651">
        <f t="array" ref="N254">IFERROR(INDEX('HIV-Equipment'!$I$14:$I$58,MATCH($E254&amp;$F254,'HIV-Equipment'!$C$14:$C$58&amp;'HIV-Equipment'!$D$14:$D$58,0)),0)</f>
        <v>0</v>
      </c>
      <c r="O254" s="652">
        <f t="shared" si="183"/>
        <v>0</v>
      </c>
      <c r="P254" s="652">
        <f t="shared" si="184"/>
        <v>0</v>
      </c>
      <c r="Q254" s="652">
        <f t="shared" si="185"/>
        <v>0</v>
      </c>
      <c r="R254" s="651">
        <f t="array" ref="R254">IFERROR(INDEX('HIV-Equipment'!$J$14:$J$58,MATCH($E254&amp;$F254,'HIV-Equipment'!$C$14:$C$58&amp;'HIV-Equipment'!$D$14:$D$58,0)),0)</f>
        <v>0</v>
      </c>
      <c r="S254" s="652">
        <f t="shared" si="186"/>
        <v>0</v>
      </c>
      <c r="T254" s="652">
        <f t="shared" si="187"/>
        <v>0</v>
      </c>
      <c r="U254" s="652">
        <f t="shared" si="188"/>
        <v>0</v>
      </c>
      <c r="V254" s="651">
        <f t="array" ref="V254">IFERROR(INDEX('HIV-Equipment'!$K$14:$K$58,MATCH($E254&amp;$F254,'HIV-Equipment'!$C$14:$C$58&amp;'HIV-Equipment'!$D$14:$D$58,0)),0)</f>
        <v>0</v>
      </c>
      <c r="W254" s="652">
        <f t="shared" si="189"/>
        <v>0</v>
      </c>
      <c r="X254" s="652">
        <f t="shared" si="190"/>
        <v>0</v>
      </c>
      <c r="Y254" s="652">
        <f t="shared" si="191"/>
        <v>0</v>
      </c>
      <c r="Z254" s="661"/>
      <c r="AA254" s="651">
        <f t="array" ref="AA254">IFERROR(INDEX('HIV-Equipment'!$N$14:$N$58,MATCH($E254&amp;$F254,'HIV-Equipment'!$C$14:$C$58&amp;'HIV-Equipment'!$D$14:$D$58,0)),0)</f>
        <v>0</v>
      </c>
      <c r="AB254" s="651">
        <f t="array" ref="AB254">IFERROR(INDEX('HIV-Equipment'!$O$14:$O$58,MATCH($E254&amp;$F254,'HIV-Equipment'!$C$14:$C$58&amp;'HIV-Equipment'!$D$14:$D$58,0)),0)</f>
        <v>0</v>
      </c>
      <c r="AC254" s="651">
        <f t="shared" si="192"/>
        <v>0</v>
      </c>
      <c r="AD254" s="652">
        <f t="shared" si="193"/>
        <v>0</v>
      </c>
      <c r="AE254" s="652">
        <f t="shared" si="194"/>
        <v>0</v>
      </c>
      <c r="AF254" s="651">
        <f t="array" ref="AF254">IFERROR(INDEX('HIV-Equipment'!$P$14:$P$58,MATCH($E254&amp;$F254,'HIV-Equipment'!$C$14:$C$58&amp;'HIV-Equipment'!$D$14:$D$58,0)),0)</f>
        <v>0</v>
      </c>
      <c r="AG254" s="651">
        <f t="shared" si="195"/>
        <v>0</v>
      </c>
      <c r="AH254" s="652">
        <f t="shared" si="196"/>
        <v>0</v>
      </c>
      <c r="AI254" s="652">
        <f t="shared" si="197"/>
        <v>0</v>
      </c>
      <c r="AJ254" s="651">
        <f t="array" ref="AJ254">IFERROR(INDEX('HIV-Equipment'!$Q$14:$Q$58,MATCH($E254&amp;$F254,'HIV-Equipment'!$C$14:$C$58&amp;'HIV-Equipment'!$D$14:$D$58,0)),0)</f>
        <v>0</v>
      </c>
      <c r="AK254" s="651">
        <f t="shared" si="198"/>
        <v>0</v>
      </c>
      <c r="AL254" s="652">
        <f t="shared" si="199"/>
        <v>0</v>
      </c>
      <c r="AM254" s="652">
        <f t="shared" si="200"/>
        <v>0</v>
      </c>
      <c r="AN254" s="651">
        <f t="array" ref="AN254">IFERROR(INDEX('HIV-Equipment'!$R$14:$R$58,MATCH($E254&amp;$F254,'HIV-Equipment'!$C$14:$C$58&amp;'HIV-Equipment'!$D$14:$D$58,0)),0)</f>
        <v>0</v>
      </c>
      <c r="AO254" s="651">
        <f t="shared" si="201"/>
        <v>0</v>
      </c>
      <c r="AP254" s="652">
        <f t="shared" si="202"/>
        <v>0</v>
      </c>
      <c r="AQ254" s="652">
        <f t="shared" si="203"/>
        <v>0</v>
      </c>
      <c r="AR254" s="661"/>
      <c r="AS254" s="651">
        <f t="array" ref="AS254">IFERROR(INDEX('HIV-Equipment'!$U$14:$U$58,MATCH($E254&amp;$F254,'HIV-Equipment'!$C$14:$C$58&amp;'HIV-Equipment'!$D$14:$D$58,0)),0)</f>
        <v>0</v>
      </c>
      <c r="AT254" s="651">
        <f t="array" ref="AT254">IFERROR(INDEX('HIV-Equipment'!$V$14:$V$58,MATCH($E254&amp;$F254,'HIV-Equipment'!$C$14:$C$58&amp;'HIV-Equipment'!$D$14:$D$58,0)),0)</f>
        <v>0</v>
      </c>
      <c r="AU254" s="651">
        <f t="shared" si="204"/>
        <v>0</v>
      </c>
      <c r="AV254" s="652">
        <f t="shared" si="205"/>
        <v>0</v>
      </c>
      <c r="AW254" s="652">
        <f t="shared" si="206"/>
        <v>0</v>
      </c>
      <c r="AX254" s="651">
        <f t="array" ref="AX254">IFERROR(INDEX('HIV-Equipment'!$W$14:$W$58,MATCH($E254&amp;$F254,'HIV-Equipment'!$C$14:$C$58&amp;'HIV-Equipment'!$D$14:$D$58,0)),0)</f>
        <v>0</v>
      </c>
      <c r="AY254" s="651">
        <f t="shared" si="207"/>
        <v>0</v>
      </c>
      <c r="AZ254" s="652">
        <f t="shared" si="208"/>
        <v>0</v>
      </c>
      <c r="BA254" s="652">
        <f t="shared" si="209"/>
        <v>0</v>
      </c>
      <c r="BB254" s="651">
        <f t="array" ref="BB254">IFERROR(INDEX('HIV-Equipment'!$X$14:$X$58,MATCH($E254&amp;$F254,'HIV-Equipment'!$C$14:$C$58&amp;'HIV-Equipment'!$D$14:$D$58,0)),0)</f>
        <v>0</v>
      </c>
      <c r="BC254" s="651">
        <f t="shared" si="210"/>
        <v>0</v>
      </c>
      <c r="BD254" s="652">
        <f t="shared" si="211"/>
        <v>0</v>
      </c>
      <c r="BE254" s="652">
        <f t="shared" si="212"/>
        <v>0</v>
      </c>
      <c r="BF254" s="651">
        <f t="array" ref="BF254">IFERROR(INDEX('HIV-Equipment'!$Y$14:$Y$58,MATCH($E254&amp;$F254,'HIV-Equipment'!$C$14:$C$58&amp;'HIV-Equipment'!$D$14:$D$58,0)),0)</f>
        <v>0</v>
      </c>
      <c r="BG254" s="651">
        <f t="shared" si="213"/>
        <v>0</v>
      </c>
      <c r="BH254" s="652">
        <f t="shared" si="214"/>
        <v>0</v>
      </c>
      <c r="BI254" s="652">
        <f t="shared" si="215"/>
        <v>0</v>
      </c>
      <c r="BJ254" s="662"/>
      <c r="BK254" s="654"/>
      <c r="BL254" s="654"/>
      <c r="BM254" s="654"/>
      <c r="BN254" s="654"/>
      <c r="BO254" s="654"/>
      <c r="BP254" s="654"/>
      <c r="BQ254" s="654"/>
      <c r="BR254" s="654"/>
    </row>
    <row r="255" spans="1:70" s="426" customFormat="1">
      <c r="A255" s="655" t="s">
        <v>1855</v>
      </c>
      <c r="B255" s="655" t="s">
        <v>2283</v>
      </c>
      <c r="C255" s="648">
        <f>SETUP!$F$23</f>
        <v>0</v>
      </c>
      <c r="D255" s="654">
        <v>6.5</v>
      </c>
      <c r="E255" s="655" t="s">
        <v>224</v>
      </c>
      <c r="F255" s="655" t="s">
        <v>218</v>
      </c>
      <c r="G255" s="650" t="str">
        <f t="array" ref="G255">IFERROR(INDEX('HIV-Equipment'!$E$14:$E$58,MATCH($E255&amp;$F255,'HIV-Equipment'!$C$14:$C$58&amp;'HIV-Equipment'!$D$14:$D$58,0)),"")</f>
        <v/>
      </c>
      <c r="H255" s="650" t="str">
        <f t="array" ref="H255">IFERROR(INDEX('HIV-Equipment'!$F$14:$F$58,MATCH($E255&amp;$F255,'HIV-Equipment'!$C$14:$C$58&amp;'HIV-Equipment'!$D$14:$D$58,0)),"")</f>
        <v/>
      </c>
      <c r="I255" s="651">
        <f t="array" ref="I255">IFERROR(INDEX('HIV-Equipment'!$G$14:$G$58,MATCH($E255&amp;$F255,'HIV-Equipment'!$C$14:$C$58&amp;'HIV-Equipment'!$D$14:$D$58,0)),0)</f>
        <v>0</v>
      </c>
      <c r="J255" s="651">
        <f t="array" ref="J255">IFERROR(INDEX('HIV-Equipment'!$H$14:$H$58,MATCH($E255&amp;$F255,'HIV-Equipment'!$C$14:$C$58&amp;'HIV-Equipment'!$D$14:$D$58,0)),0)</f>
        <v>0</v>
      </c>
      <c r="K255" s="652">
        <f t="shared" si="180"/>
        <v>0</v>
      </c>
      <c r="L255" s="652">
        <f t="shared" si="181"/>
        <v>0</v>
      </c>
      <c r="M255" s="652">
        <f t="shared" si="182"/>
        <v>0</v>
      </c>
      <c r="N255" s="651">
        <f t="array" ref="N255">IFERROR(INDEX('HIV-Equipment'!$I$14:$I$58,MATCH($E255&amp;$F255,'HIV-Equipment'!$C$14:$C$58&amp;'HIV-Equipment'!$D$14:$D$58,0)),0)</f>
        <v>0</v>
      </c>
      <c r="O255" s="652">
        <f t="shared" si="183"/>
        <v>0</v>
      </c>
      <c r="P255" s="652">
        <f t="shared" si="184"/>
        <v>0</v>
      </c>
      <c r="Q255" s="652">
        <f t="shared" si="185"/>
        <v>0</v>
      </c>
      <c r="R255" s="651">
        <f t="array" ref="R255">IFERROR(INDEX('HIV-Equipment'!$J$14:$J$58,MATCH($E255&amp;$F255,'HIV-Equipment'!$C$14:$C$58&amp;'HIV-Equipment'!$D$14:$D$58,0)),0)</f>
        <v>0</v>
      </c>
      <c r="S255" s="652">
        <f t="shared" si="186"/>
        <v>0</v>
      </c>
      <c r="T255" s="652">
        <f t="shared" si="187"/>
        <v>0</v>
      </c>
      <c r="U255" s="652">
        <f t="shared" si="188"/>
        <v>0</v>
      </c>
      <c r="V255" s="651">
        <f t="array" ref="V255">IFERROR(INDEX('HIV-Equipment'!$K$14:$K$58,MATCH($E255&amp;$F255,'HIV-Equipment'!$C$14:$C$58&amp;'HIV-Equipment'!$D$14:$D$58,0)),0)</f>
        <v>0</v>
      </c>
      <c r="W255" s="652">
        <f t="shared" si="189"/>
        <v>0</v>
      </c>
      <c r="X255" s="652">
        <f t="shared" si="190"/>
        <v>0</v>
      </c>
      <c r="Y255" s="652">
        <f t="shared" si="191"/>
        <v>0</v>
      </c>
      <c r="Z255" s="661"/>
      <c r="AA255" s="651">
        <f t="array" ref="AA255">IFERROR(INDEX('HIV-Equipment'!$N$14:$N$58,MATCH($E255&amp;$F255,'HIV-Equipment'!$C$14:$C$58&amp;'HIV-Equipment'!$D$14:$D$58,0)),0)</f>
        <v>0</v>
      </c>
      <c r="AB255" s="651">
        <f t="array" ref="AB255">IFERROR(INDEX('HIV-Equipment'!$O$14:$O$58,MATCH($E255&amp;$F255,'HIV-Equipment'!$C$14:$C$58&amp;'HIV-Equipment'!$D$14:$D$58,0)),0)</f>
        <v>0</v>
      </c>
      <c r="AC255" s="651">
        <f t="shared" si="192"/>
        <v>0</v>
      </c>
      <c r="AD255" s="652">
        <f t="shared" si="193"/>
        <v>0</v>
      </c>
      <c r="AE255" s="652">
        <f t="shared" si="194"/>
        <v>0</v>
      </c>
      <c r="AF255" s="651">
        <f t="array" ref="AF255">IFERROR(INDEX('HIV-Equipment'!$P$14:$P$58,MATCH($E255&amp;$F255,'HIV-Equipment'!$C$14:$C$58&amp;'HIV-Equipment'!$D$14:$D$58,0)),0)</f>
        <v>0</v>
      </c>
      <c r="AG255" s="651">
        <f t="shared" si="195"/>
        <v>0</v>
      </c>
      <c r="AH255" s="652">
        <f t="shared" si="196"/>
        <v>0</v>
      </c>
      <c r="AI255" s="652">
        <f t="shared" si="197"/>
        <v>0</v>
      </c>
      <c r="AJ255" s="651">
        <f t="array" ref="AJ255">IFERROR(INDEX('HIV-Equipment'!$Q$14:$Q$58,MATCH($E255&amp;$F255,'HIV-Equipment'!$C$14:$C$58&amp;'HIV-Equipment'!$D$14:$D$58,0)),0)</f>
        <v>0</v>
      </c>
      <c r="AK255" s="651">
        <f t="shared" si="198"/>
        <v>0</v>
      </c>
      <c r="AL255" s="652">
        <f t="shared" si="199"/>
        <v>0</v>
      </c>
      <c r="AM255" s="652">
        <f t="shared" si="200"/>
        <v>0</v>
      </c>
      <c r="AN255" s="651">
        <f t="array" ref="AN255">IFERROR(INDEX('HIV-Equipment'!$R$14:$R$58,MATCH($E255&amp;$F255,'HIV-Equipment'!$C$14:$C$58&amp;'HIV-Equipment'!$D$14:$D$58,0)),0)</f>
        <v>0</v>
      </c>
      <c r="AO255" s="651">
        <f t="shared" si="201"/>
        <v>0</v>
      </c>
      <c r="AP255" s="652">
        <f t="shared" si="202"/>
        <v>0</v>
      </c>
      <c r="AQ255" s="652">
        <f t="shared" si="203"/>
        <v>0</v>
      </c>
      <c r="AR255" s="661"/>
      <c r="AS255" s="651">
        <f t="array" ref="AS255">IFERROR(INDEX('HIV-Equipment'!$U$14:$U$58,MATCH($E255&amp;$F255,'HIV-Equipment'!$C$14:$C$58&amp;'HIV-Equipment'!$D$14:$D$58,0)),0)</f>
        <v>0</v>
      </c>
      <c r="AT255" s="651">
        <f t="array" ref="AT255">IFERROR(INDEX('HIV-Equipment'!$V$14:$V$58,MATCH($E255&amp;$F255,'HIV-Equipment'!$C$14:$C$58&amp;'HIV-Equipment'!$D$14:$D$58,0)),0)</f>
        <v>0</v>
      </c>
      <c r="AU255" s="651">
        <f t="shared" si="204"/>
        <v>0</v>
      </c>
      <c r="AV255" s="652">
        <f t="shared" si="205"/>
        <v>0</v>
      </c>
      <c r="AW255" s="652">
        <f t="shared" si="206"/>
        <v>0</v>
      </c>
      <c r="AX255" s="651">
        <f t="array" ref="AX255">IFERROR(INDEX('HIV-Equipment'!$W$14:$W$58,MATCH($E255&amp;$F255,'HIV-Equipment'!$C$14:$C$58&amp;'HIV-Equipment'!$D$14:$D$58,0)),0)</f>
        <v>0</v>
      </c>
      <c r="AY255" s="651">
        <f t="shared" si="207"/>
        <v>0</v>
      </c>
      <c r="AZ255" s="652">
        <f t="shared" si="208"/>
        <v>0</v>
      </c>
      <c r="BA255" s="652">
        <f t="shared" si="209"/>
        <v>0</v>
      </c>
      <c r="BB255" s="651">
        <f t="array" ref="BB255">IFERROR(INDEX('HIV-Equipment'!$X$14:$X$58,MATCH($E255&amp;$F255,'HIV-Equipment'!$C$14:$C$58&amp;'HIV-Equipment'!$D$14:$D$58,0)),0)</f>
        <v>0</v>
      </c>
      <c r="BC255" s="651">
        <f t="shared" si="210"/>
        <v>0</v>
      </c>
      <c r="BD255" s="652">
        <f t="shared" si="211"/>
        <v>0</v>
      </c>
      <c r="BE255" s="652">
        <f t="shared" si="212"/>
        <v>0</v>
      </c>
      <c r="BF255" s="651">
        <f t="array" ref="BF255">IFERROR(INDEX('HIV-Equipment'!$Y$14:$Y$58,MATCH($E255&amp;$F255,'HIV-Equipment'!$C$14:$C$58&amp;'HIV-Equipment'!$D$14:$D$58,0)),0)</f>
        <v>0</v>
      </c>
      <c r="BG255" s="651">
        <f t="shared" si="213"/>
        <v>0</v>
      </c>
      <c r="BH255" s="652">
        <f t="shared" si="214"/>
        <v>0</v>
      </c>
      <c r="BI255" s="652">
        <f t="shared" si="215"/>
        <v>0</v>
      </c>
      <c r="BJ255" s="662"/>
      <c r="BK255" s="654"/>
      <c r="BL255" s="654"/>
      <c r="BM255" s="654"/>
      <c r="BN255" s="654"/>
      <c r="BO255" s="654"/>
      <c r="BP255" s="654"/>
      <c r="BQ255" s="654"/>
      <c r="BR255" s="654"/>
    </row>
    <row r="256" spans="1:70" s="426" customFormat="1">
      <c r="A256" s="655" t="s">
        <v>1855</v>
      </c>
      <c r="B256" s="655" t="s">
        <v>2283</v>
      </c>
      <c r="C256" s="648">
        <f>SETUP!$F$23</f>
        <v>0</v>
      </c>
      <c r="D256" s="654">
        <v>6.6</v>
      </c>
      <c r="E256" s="655" t="s">
        <v>224</v>
      </c>
      <c r="F256" s="655" t="s">
        <v>201</v>
      </c>
      <c r="G256" s="650" t="str">
        <f t="array" ref="G256">IFERROR(INDEX('HIV-Equipment'!$E$14:$E$58,MATCH($E256&amp;$F256,'HIV-Equipment'!$C$14:$C$58&amp;'HIV-Equipment'!$D$14:$D$58,0)),"")</f>
        <v/>
      </c>
      <c r="H256" s="650" t="str">
        <f t="array" ref="H256">IFERROR(INDEX('HIV-Equipment'!$F$14:$F$58,MATCH($E256&amp;$F256,'HIV-Equipment'!$C$14:$C$58&amp;'HIV-Equipment'!$D$14:$D$58,0)),"")</f>
        <v/>
      </c>
      <c r="I256" s="651">
        <f t="array" ref="I256">IFERROR(INDEX('HIV-Equipment'!$G$14:$G$58,MATCH($E256&amp;$F256,'HIV-Equipment'!$C$14:$C$58&amp;'HIV-Equipment'!$D$14:$D$58,0)),0)</f>
        <v>0</v>
      </c>
      <c r="J256" s="651">
        <f t="array" ref="J256">IFERROR(INDEX('HIV-Equipment'!$H$14:$H$58,MATCH($E256&amp;$F256,'HIV-Equipment'!$C$14:$C$58&amp;'HIV-Equipment'!$D$14:$D$58,0)),0)</f>
        <v>0</v>
      </c>
      <c r="K256" s="652">
        <f t="shared" si="180"/>
        <v>0</v>
      </c>
      <c r="L256" s="652">
        <f t="shared" si="181"/>
        <v>0</v>
      </c>
      <c r="M256" s="652">
        <f t="shared" si="182"/>
        <v>0</v>
      </c>
      <c r="N256" s="651">
        <f t="array" ref="N256">IFERROR(INDEX('HIV-Equipment'!$I$14:$I$58,MATCH($E256&amp;$F256,'HIV-Equipment'!$C$14:$C$58&amp;'HIV-Equipment'!$D$14:$D$58,0)),0)</f>
        <v>0</v>
      </c>
      <c r="O256" s="652">
        <f t="shared" si="183"/>
        <v>0</v>
      </c>
      <c r="P256" s="652">
        <f t="shared" si="184"/>
        <v>0</v>
      </c>
      <c r="Q256" s="652">
        <f t="shared" si="185"/>
        <v>0</v>
      </c>
      <c r="R256" s="651">
        <f t="array" ref="R256">IFERROR(INDEX('HIV-Equipment'!$J$14:$J$58,MATCH($E256&amp;$F256,'HIV-Equipment'!$C$14:$C$58&amp;'HIV-Equipment'!$D$14:$D$58,0)),0)</f>
        <v>0</v>
      </c>
      <c r="S256" s="652">
        <f t="shared" si="186"/>
        <v>0</v>
      </c>
      <c r="T256" s="652">
        <f t="shared" si="187"/>
        <v>0</v>
      </c>
      <c r="U256" s="652">
        <f t="shared" si="188"/>
        <v>0</v>
      </c>
      <c r="V256" s="651">
        <f t="array" ref="V256">IFERROR(INDEX('HIV-Equipment'!$K$14:$K$58,MATCH($E256&amp;$F256,'HIV-Equipment'!$C$14:$C$58&amp;'HIV-Equipment'!$D$14:$D$58,0)),0)</f>
        <v>0</v>
      </c>
      <c r="W256" s="652">
        <f t="shared" si="189"/>
        <v>0</v>
      </c>
      <c r="X256" s="652">
        <f t="shared" si="190"/>
        <v>0</v>
      </c>
      <c r="Y256" s="652">
        <f t="shared" si="191"/>
        <v>0</v>
      </c>
      <c r="Z256" s="661"/>
      <c r="AA256" s="651">
        <f t="array" ref="AA256">IFERROR(INDEX('HIV-Equipment'!$N$14:$N$58,MATCH($E256&amp;$F256,'HIV-Equipment'!$C$14:$C$58&amp;'HIV-Equipment'!$D$14:$D$58,0)),0)</f>
        <v>0</v>
      </c>
      <c r="AB256" s="651">
        <f t="array" ref="AB256">IFERROR(INDEX('HIV-Equipment'!$O$14:$O$58,MATCH($E256&amp;$F256,'HIV-Equipment'!$C$14:$C$58&amp;'HIV-Equipment'!$D$14:$D$58,0)),0)</f>
        <v>0</v>
      </c>
      <c r="AC256" s="651">
        <f t="shared" si="192"/>
        <v>0</v>
      </c>
      <c r="AD256" s="652">
        <f t="shared" si="193"/>
        <v>0</v>
      </c>
      <c r="AE256" s="652">
        <f t="shared" si="194"/>
        <v>0</v>
      </c>
      <c r="AF256" s="651">
        <f t="array" ref="AF256">IFERROR(INDEX('HIV-Equipment'!$P$14:$P$58,MATCH($E256&amp;$F256,'HIV-Equipment'!$C$14:$C$58&amp;'HIV-Equipment'!$D$14:$D$58,0)),0)</f>
        <v>0</v>
      </c>
      <c r="AG256" s="651">
        <f t="shared" si="195"/>
        <v>0</v>
      </c>
      <c r="AH256" s="652">
        <f t="shared" si="196"/>
        <v>0</v>
      </c>
      <c r="AI256" s="652">
        <f t="shared" si="197"/>
        <v>0</v>
      </c>
      <c r="AJ256" s="651">
        <f t="array" ref="AJ256">IFERROR(INDEX('HIV-Equipment'!$Q$14:$Q$58,MATCH($E256&amp;$F256,'HIV-Equipment'!$C$14:$C$58&amp;'HIV-Equipment'!$D$14:$D$58,0)),0)</f>
        <v>0</v>
      </c>
      <c r="AK256" s="651">
        <f t="shared" si="198"/>
        <v>0</v>
      </c>
      <c r="AL256" s="652">
        <f t="shared" si="199"/>
        <v>0</v>
      </c>
      <c r="AM256" s="652">
        <f t="shared" si="200"/>
        <v>0</v>
      </c>
      <c r="AN256" s="651">
        <f t="array" ref="AN256">IFERROR(INDEX('HIV-Equipment'!$R$14:$R$58,MATCH($E256&amp;$F256,'HIV-Equipment'!$C$14:$C$58&amp;'HIV-Equipment'!$D$14:$D$58,0)),0)</f>
        <v>0</v>
      </c>
      <c r="AO256" s="651">
        <f t="shared" si="201"/>
        <v>0</v>
      </c>
      <c r="AP256" s="652">
        <f t="shared" si="202"/>
        <v>0</v>
      </c>
      <c r="AQ256" s="652">
        <f t="shared" si="203"/>
        <v>0</v>
      </c>
      <c r="AR256" s="661"/>
      <c r="AS256" s="651">
        <f t="array" ref="AS256">IFERROR(INDEX('HIV-Equipment'!$U$14:$U$58,MATCH($E256&amp;$F256,'HIV-Equipment'!$C$14:$C$58&amp;'HIV-Equipment'!$D$14:$D$58,0)),0)</f>
        <v>0</v>
      </c>
      <c r="AT256" s="651">
        <f t="array" ref="AT256">IFERROR(INDEX('HIV-Equipment'!$V$14:$V$58,MATCH($E256&amp;$F256,'HIV-Equipment'!$C$14:$C$58&amp;'HIV-Equipment'!$D$14:$D$58,0)),0)</f>
        <v>0</v>
      </c>
      <c r="AU256" s="651">
        <f t="shared" si="204"/>
        <v>0</v>
      </c>
      <c r="AV256" s="652">
        <f t="shared" si="205"/>
        <v>0</v>
      </c>
      <c r="AW256" s="652">
        <f t="shared" si="206"/>
        <v>0</v>
      </c>
      <c r="AX256" s="651">
        <f t="array" ref="AX256">IFERROR(INDEX('HIV-Equipment'!$W$14:$W$58,MATCH($E256&amp;$F256,'HIV-Equipment'!$C$14:$C$58&amp;'HIV-Equipment'!$D$14:$D$58,0)),0)</f>
        <v>0</v>
      </c>
      <c r="AY256" s="651">
        <f t="shared" si="207"/>
        <v>0</v>
      </c>
      <c r="AZ256" s="652">
        <f t="shared" si="208"/>
        <v>0</v>
      </c>
      <c r="BA256" s="652">
        <f t="shared" si="209"/>
        <v>0</v>
      </c>
      <c r="BB256" s="651">
        <f t="array" ref="BB256">IFERROR(INDEX('HIV-Equipment'!$X$14:$X$58,MATCH($E256&amp;$F256,'HIV-Equipment'!$C$14:$C$58&amp;'HIV-Equipment'!$D$14:$D$58,0)),0)</f>
        <v>0</v>
      </c>
      <c r="BC256" s="651">
        <f t="shared" si="210"/>
        <v>0</v>
      </c>
      <c r="BD256" s="652">
        <f t="shared" si="211"/>
        <v>0</v>
      </c>
      <c r="BE256" s="652">
        <f t="shared" si="212"/>
        <v>0</v>
      </c>
      <c r="BF256" s="651">
        <f t="array" ref="BF256">IFERROR(INDEX('HIV-Equipment'!$Y$14:$Y$58,MATCH($E256&amp;$F256,'HIV-Equipment'!$C$14:$C$58&amp;'HIV-Equipment'!$D$14:$D$58,0)),0)</f>
        <v>0</v>
      </c>
      <c r="BG256" s="651">
        <f t="shared" si="213"/>
        <v>0</v>
      </c>
      <c r="BH256" s="652">
        <f t="shared" si="214"/>
        <v>0</v>
      </c>
      <c r="BI256" s="652">
        <f t="shared" si="215"/>
        <v>0</v>
      </c>
      <c r="BJ256" s="662"/>
      <c r="BK256" s="654"/>
      <c r="BL256" s="654"/>
      <c r="BM256" s="654"/>
      <c r="BN256" s="654"/>
      <c r="BO256" s="654"/>
      <c r="BP256" s="654"/>
      <c r="BQ256" s="654"/>
      <c r="BR256" s="654"/>
    </row>
    <row r="257" spans="1:70" s="426" customFormat="1">
      <c r="A257" s="655" t="s">
        <v>1855</v>
      </c>
      <c r="B257" s="655" t="s">
        <v>2283</v>
      </c>
      <c r="C257" s="648">
        <f>SETUP!$F$23</f>
        <v>0</v>
      </c>
      <c r="D257" s="654">
        <v>6.6</v>
      </c>
      <c r="E257" s="655" t="s">
        <v>224</v>
      </c>
      <c r="F257" s="655" t="s">
        <v>200</v>
      </c>
      <c r="G257" s="650" t="str">
        <f t="array" ref="G257">IFERROR(INDEX('HIV-Equipment'!$E$14:$E$58,MATCH($E257&amp;$F257,'HIV-Equipment'!$C$14:$C$58&amp;'HIV-Equipment'!$D$14:$D$58,0)),"")</f>
        <v/>
      </c>
      <c r="H257" s="650" t="str">
        <f t="array" ref="H257">IFERROR(INDEX('HIV-Equipment'!$F$14:$F$58,MATCH($E257&amp;$F257,'HIV-Equipment'!$C$14:$C$58&amp;'HIV-Equipment'!$D$14:$D$58,0)),"")</f>
        <v/>
      </c>
      <c r="I257" s="651">
        <f t="array" ref="I257">IFERROR(INDEX('HIV-Equipment'!$G$14:$G$58,MATCH($E257&amp;$F257,'HIV-Equipment'!$C$14:$C$58&amp;'HIV-Equipment'!$D$14:$D$58,0)),0)</f>
        <v>0</v>
      </c>
      <c r="J257" s="651">
        <f t="array" ref="J257">IFERROR(INDEX('HIV-Equipment'!$H$14:$H$58,MATCH($E257&amp;$F257,'HIV-Equipment'!$C$14:$C$58&amp;'HIV-Equipment'!$D$14:$D$58,0)),0)</f>
        <v>0</v>
      </c>
      <c r="K257" s="652">
        <f t="shared" si="180"/>
        <v>0</v>
      </c>
      <c r="L257" s="652">
        <f t="shared" si="181"/>
        <v>0</v>
      </c>
      <c r="M257" s="652">
        <f t="shared" si="182"/>
        <v>0</v>
      </c>
      <c r="N257" s="651">
        <f t="array" ref="N257">IFERROR(INDEX('HIV-Equipment'!$I$14:$I$58,MATCH($E257&amp;$F257,'HIV-Equipment'!$C$14:$C$58&amp;'HIV-Equipment'!$D$14:$D$58,0)),0)</f>
        <v>0</v>
      </c>
      <c r="O257" s="652">
        <f t="shared" si="183"/>
        <v>0</v>
      </c>
      <c r="P257" s="652">
        <f t="shared" si="184"/>
        <v>0</v>
      </c>
      <c r="Q257" s="652">
        <f t="shared" si="185"/>
        <v>0</v>
      </c>
      <c r="R257" s="651">
        <f t="array" ref="R257">IFERROR(INDEX('HIV-Equipment'!$J$14:$J$58,MATCH($E257&amp;$F257,'HIV-Equipment'!$C$14:$C$58&amp;'HIV-Equipment'!$D$14:$D$58,0)),0)</f>
        <v>0</v>
      </c>
      <c r="S257" s="652">
        <f t="shared" si="186"/>
        <v>0</v>
      </c>
      <c r="T257" s="652">
        <f t="shared" si="187"/>
        <v>0</v>
      </c>
      <c r="U257" s="652">
        <f t="shared" si="188"/>
        <v>0</v>
      </c>
      <c r="V257" s="651">
        <f t="array" ref="V257">IFERROR(INDEX('HIV-Equipment'!$K$14:$K$58,MATCH($E257&amp;$F257,'HIV-Equipment'!$C$14:$C$58&amp;'HIV-Equipment'!$D$14:$D$58,0)),0)</f>
        <v>0</v>
      </c>
      <c r="W257" s="652">
        <f t="shared" si="189"/>
        <v>0</v>
      </c>
      <c r="X257" s="652">
        <f t="shared" si="190"/>
        <v>0</v>
      </c>
      <c r="Y257" s="652">
        <f t="shared" si="191"/>
        <v>0</v>
      </c>
      <c r="Z257" s="661"/>
      <c r="AA257" s="651">
        <f t="array" ref="AA257">IFERROR(INDEX('HIV-Equipment'!$N$14:$N$58,MATCH($E257&amp;$F257,'HIV-Equipment'!$C$14:$C$58&amp;'HIV-Equipment'!$D$14:$D$58,0)),0)</f>
        <v>0</v>
      </c>
      <c r="AB257" s="651">
        <f t="array" ref="AB257">IFERROR(INDEX('HIV-Equipment'!$O$14:$O$58,MATCH($E257&amp;$F257,'HIV-Equipment'!$C$14:$C$58&amp;'HIV-Equipment'!$D$14:$D$58,0)),0)</f>
        <v>0</v>
      </c>
      <c r="AC257" s="651">
        <f t="shared" si="192"/>
        <v>0</v>
      </c>
      <c r="AD257" s="652">
        <f t="shared" si="193"/>
        <v>0</v>
      </c>
      <c r="AE257" s="652">
        <f t="shared" si="194"/>
        <v>0</v>
      </c>
      <c r="AF257" s="651">
        <f t="array" ref="AF257">IFERROR(INDEX('HIV-Equipment'!$P$14:$P$58,MATCH($E257&amp;$F257,'HIV-Equipment'!$C$14:$C$58&amp;'HIV-Equipment'!$D$14:$D$58,0)),0)</f>
        <v>0</v>
      </c>
      <c r="AG257" s="651">
        <f t="shared" si="195"/>
        <v>0</v>
      </c>
      <c r="AH257" s="652">
        <f t="shared" si="196"/>
        <v>0</v>
      </c>
      <c r="AI257" s="652">
        <f t="shared" si="197"/>
        <v>0</v>
      </c>
      <c r="AJ257" s="651">
        <f t="array" ref="AJ257">IFERROR(INDEX('HIV-Equipment'!$Q$14:$Q$58,MATCH($E257&amp;$F257,'HIV-Equipment'!$C$14:$C$58&amp;'HIV-Equipment'!$D$14:$D$58,0)),0)</f>
        <v>0</v>
      </c>
      <c r="AK257" s="651">
        <f t="shared" si="198"/>
        <v>0</v>
      </c>
      <c r="AL257" s="652">
        <f t="shared" si="199"/>
        <v>0</v>
      </c>
      <c r="AM257" s="652">
        <f t="shared" si="200"/>
        <v>0</v>
      </c>
      <c r="AN257" s="651">
        <f t="array" ref="AN257">IFERROR(INDEX('HIV-Equipment'!$R$14:$R$58,MATCH($E257&amp;$F257,'HIV-Equipment'!$C$14:$C$58&amp;'HIV-Equipment'!$D$14:$D$58,0)),0)</f>
        <v>0</v>
      </c>
      <c r="AO257" s="651">
        <f t="shared" si="201"/>
        <v>0</v>
      </c>
      <c r="AP257" s="652">
        <f t="shared" si="202"/>
        <v>0</v>
      </c>
      <c r="AQ257" s="652">
        <f t="shared" si="203"/>
        <v>0</v>
      </c>
      <c r="AR257" s="661"/>
      <c r="AS257" s="651">
        <f t="array" ref="AS257">IFERROR(INDEX('HIV-Equipment'!$U$14:$U$58,MATCH($E257&amp;$F257,'HIV-Equipment'!$C$14:$C$58&amp;'HIV-Equipment'!$D$14:$D$58,0)),0)</f>
        <v>0</v>
      </c>
      <c r="AT257" s="651">
        <f t="array" ref="AT257">IFERROR(INDEX('HIV-Equipment'!$V$14:$V$58,MATCH($E257&amp;$F257,'HIV-Equipment'!$C$14:$C$58&amp;'HIV-Equipment'!$D$14:$D$58,0)),0)</f>
        <v>0</v>
      </c>
      <c r="AU257" s="651">
        <f t="shared" si="204"/>
        <v>0</v>
      </c>
      <c r="AV257" s="652">
        <f t="shared" si="205"/>
        <v>0</v>
      </c>
      <c r="AW257" s="652">
        <f t="shared" si="206"/>
        <v>0</v>
      </c>
      <c r="AX257" s="651">
        <f t="array" ref="AX257">IFERROR(INDEX('HIV-Equipment'!$W$14:$W$58,MATCH($E257&amp;$F257,'HIV-Equipment'!$C$14:$C$58&amp;'HIV-Equipment'!$D$14:$D$58,0)),0)</f>
        <v>0</v>
      </c>
      <c r="AY257" s="651">
        <f t="shared" si="207"/>
        <v>0</v>
      </c>
      <c r="AZ257" s="652">
        <f t="shared" si="208"/>
        <v>0</v>
      </c>
      <c r="BA257" s="652">
        <f t="shared" si="209"/>
        <v>0</v>
      </c>
      <c r="BB257" s="651">
        <f t="array" ref="BB257">IFERROR(INDEX('HIV-Equipment'!$X$14:$X$58,MATCH($E257&amp;$F257,'HIV-Equipment'!$C$14:$C$58&amp;'HIV-Equipment'!$D$14:$D$58,0)),0)</f>
        <v>0</v>
      </c>
      <c r="BC257" s="651">
        <f t="shared" si="210"/>
        <v>0</v>
      </c>
      <c r="BD257" s="652">
        <f t="shared" si="211"/>
        <v>0</v>
      </c>
      <c r="BE257" s="652">
        <f t="shared" si="212"/>
        <v>0</v>
      </c>
      <c r="BF257" s="651">
        <f t="array" ref="BF257">IFERROR(INDEX('HIV-Equipment'!$Y$14:$Y$58,MATCH($E257&amp;$F257,'HIV-Equipment'!$C$14:$C$58&amp;'HIV-Equipment'!$D$14:$D$58,0)),0)</f>
        <v>0</v>
      </c>
      <c r="BG257" s="651">
        <f t="shared" si="213"/>
        <v>0</v>
      </c>
      <c r="BH257" s="652">
        <f t="shared" si="214"/>
        <v>0</v>
      </c>
      <c r="BI257" s="652">
        <f t="shared" si="215"/>
        <v>0</v>
      </c>
      <c r="BJ257" s="662"/>
      <c r="BK257" s="654"/>
      <c r="BL257" s="654"/>
      <c r="BM257" s="654"/>
      <c r="BN257" s="654"/>
      <c r="BO257" s="654"/>
      <c r="BP257" s="654"/>
      <c r="BQ257" s="654"/>
      <c r="BR257" s="654"/>
    </row>
    <row r="258" spans="1:70" s="426" customFormat="1">
      <c r="A258" s="655" t="s">
        <v>1855</v>
      </c>
      <c r="B258" s="655" t="s">
        <v>2283</v>
      </c>
      <c r="C258" s="648">
        <f>SETUP!$F$23</f>
        <v>0</v>
      </c>
      <c r="D258" s="654">
        <v>6.5</v>
      </c>
      <c r="E258" s="655" t="s">
        <v>225</v>
      </c>
      <c r="F258" s="655" t="s">
        <v>218</v>
      </c>
      <c r="G258" s="650" t="str">
        <f t="array" ref="G258">IFERROR(INDEX('HIV-Equipment'!$E$14:$E$58,MATCH($E258&amp;$F258,'HIV-Equipment'!$C$14:$C$58&amp;'HIV-Equipment'!$D$14:$D$58,0)),"")</f>
        <v/>
      </c>
      <c r="H258" s="650" t="str">
        <f t="array" ref="H258">IFERROR(INDEX('HIV-Equipment'!$F$14:$F$58,MATCH($E258&amp;$F258,'HIV-Equipment'!$C$14:$C$58&amp;'HIV-Equipment'!$D$14:$D$58,0)),"")</f>
        <v/>
      </c>
      <c r="I258" s="651">
        <f t="array" ref="I258">IFERROR(INDEX('HIV-Equipment'!$G$14:$G$58,MATCH($E258&amp;$F258,'HIV-Equipment'!$C$14:$C$58&amp;'HIV-Equipment'!$D$14:$D$58,0)),0)</f>
        <v>0</v>
      </c>
      <c r="J258" s="651">
        <f t="array" ref="J258">IFERROR(INDEX('HIV-Equipment'!$H$14:$H$58,MATCH($E258&amp;$F258,'HIV-Equipment'!$C$14:$C$58&amp;'HIV-Equipment'!$D$14:$D$58,0)),0)</f>
        <v>0</v>
      </c>
      <c r="K258" s="652">
        <f t="shared" si="180"/>
        <v>0</v>
      </c>
      <c r="L258" s="652">
        <f t="shared" si="181"/>
        <v>0</v>
      </c>
      <c r="M258" s="652">
        <f t="shared" si="182"/>
        <v>0</v>
      </c>
      <c r="N258" s="651">
        <f t="array" ref="N258">IFERROR(INDEX('HIV-Equipment'!$I$14:$I$58,MATCH($E258&amp;$F258,'HIV-Equipment'!$C$14:$C$58&amp;'HIV-Equipment'!$D$14:$D$58,0)),0)</f>
        <v>0</v>
      </c>
      <c r="O258" s="652">
        <f t="shared" si="183"/>
        <v>0</v>
      </c>
      <c r="P258" s="652">
        <f t="shared" si="184"/>
        <v>0</v>
      </c>
      <c r="Q258" s="652">
        <f t="shared" si="185"/>
        <v>0</v>
      </c>
      <c r="R258" s="651">
        <f t="array" ref="R258">IFERROR(INDEX('HIV-Equipment'!$J$14:$J$58,MATCH($E258&amp;$F258,'HIV-Equipment'!$C$14:$C$58&amp;'HIV-Equipment'!$D$14:$D$58,0)),0)</f>
        <v>0</v>
      </c>
      <c r="S258" s="652">
        <f t="shared" si="186"/>
        <v>0</v>
      </c>
      <c r="T258" s="652">
        <f t="shared" si="187"/>
        <v>0</v>
      </c>
      <c r="U258" s="652">
        <f t="shared" si="188"/>
        <v>0</v>
      </c>
      <c r="V258" s="651">
        <f t="array" ref="V258">IFERROR(INDEX('HIV-Equipment'!$K$14:$K$58,MATCH($E258&amp;$F258,'HIV-Equipment'!$C$14:$C$58&amp;'HIV-Equipment'!$D$14:$D$58,0)),0)</f>
        <v>0</v>
      </c>
      <c r="W258" s="652">
        <f t="shared" si="189"/>
        <v>0</v>
      </c>
      <c r="X258" s="652">
        <f t="shared" si="190"/>
        <v>0</v>
      </c>
      <c r="Y258" s="652">
        <f t="shared" si="191"/>
        <v>0</v>
      </c>
      <c r="Z258" s="661"/>
      <c r="AA258" s="651">
        <f t="array" ref="AA258">IFERROR(INDEX('HIV-Equipment'!$N$14:$N$58,MATCH($E258&amp;$F258,'HIV-Equipment'!$C$14:$C$58&amp;'HIV-Equipment'!$D$14:$D$58,0)),0)</f>
        <v>0</v>
      </c>
      <c r="AB258" s="651">
        <f t="array" ref="AB258">IFERROR(INDEX('HIV-Equipment'!$O$14:$O$58,MATCH($E258&amp;$F258,'HIV-Equipment'!$C$14:$C$58&amp;'HIV-Equipment'!$D$14:$D$58,0)),0)</f>
        <v>0</v>
      </c>
      <c r="AC258" s="651">
        <f t="shared" si="192"/>
        <v>0</v>
      </c>
      <c r="AD258" s="652">
        <f t="shared" si="193"/>
        <v>0</v>
      </c>
      <c r="AE258" s="652">
        <f t="shared" si="194"/>
        <v>0</v>
      </c>
      <c r="AF258" s="651">
        <f t="array" ref="AF258">IFERROR(INDEX('HIV-Equipment'!$P$14:$P$58,MATCH($E258&amp;$F258,'HIV-Equipment'!$C$14:$C$58&amp;'HIV-Equipment'!$D$14:$D$58,0)),0)</f>
        <v>0</v>
      </c>
      <c r="AG258" s="651">
        <f t="shared" si="195"/>
        <v>0</v>
      </c>
      <c r="AH258" s="652">
        <f t="shared" si="196"/>
        <v>0</v>
      </c>
      <c r="AI258" s="652">
        <f t="shared" si="197"/>
        <v>0</v>
      </c>
      <c r="AJ258" s="651">
        <f t="array" ref="AJ258">IFERROR(INDEX('HIV-Equipment'!$Q$14:$Q$58,MATCH($E258&amp;$F258,'HIV-Equipment'!$C$14:$C$58&amp;'HIV-Equipment'!$D$14:$D$58,0)),0)</f>
        <v>0</v>
      </c>
      <c r="AK258" s="651">
        <f t="shared" si="198"/>
        <v>0</v>
      </c>
      <c r="AL258" s="652">
        <f t="shared" si="199"/>
        <v>0</v>
      </c>
      <c r="AM258" s="652">
        <f t="shared" si="200"/>
        <v>0</v>
      </c>
      <c r="AN258" s="651">
        <f t="array" ref="AN258">IFERROR(INDEX('HIV-Equipment'!$R$14:$R$58,MATCH($E258&amp;$F258,'HIV-Equipment'!$C$14:$C$58&amp;'HIV-Equipment'!$D$14:$D$58,0)),0)</f>
        <v>0</v>
      </c>
      <c r="AO258" s="651">
        <f t="shared" si="201"/>
        <v>0</v>
      </c>
      <c r="AP258" s="652">
        <f t="shared" si="202"/>
        <v>0</v>
      </c>
      <c r="AQ258" s="652">
        <f t="shared" si="203"/>
        <v>0</v>
      </c>
      <c r="AR258" s="661"/>
      <c r="AS258" s="651">
        <f t="array" ref="AS258">IFERROR(INDEX('HIV-Equipment'!$U$14:$U$58,MATCH($E258&amp;$F258,'HIV-Equipment'!$C$14:$C$58&amp;'HIV-Equipment'!$D$14:$D$58,0)),0)</f>
        <v>0</v>
      </c>
      <c r="AT258" s="651">
        <f t="array" ref="AT258">IFERROR(INDEX('HIV-Equipment'!$V$14:$V$58,MATCH($E258&amp;$F258,'HIV-Equipment'!$C$14:$C$58&amp;'HIV-Equipment'!$D$14:$D$58,0)),0)</f>
        <v>0</v>
      </c>
      <c r="AU258" s="651">
        <f t="shared" si="204"/>
        <v>0</v>
      </c>
      <c r="AV258" s="652">
        <f t="shared" si="205"/>
        <v>0</v>
      </c>
      <c r="AW258" s="652">
        <f t="shared" si="206"/>
        <v>0</v>
      </c>
      <c r="AX258" s="651">
        <f t="array" ref="AX258">IFERROR(INDEX('HIV-Equipment'!$W$14:$W$58,MATCH($E258&amp;$F258,'HIV-Equipment'!$C$14:$C$58&amp;'HIV-Equipment'!$D$14:$D$58,0)),0)</f>
        <v>0</v>
      </c>
      <c r="AY258" s="651">
        <f t="shared" si="207"/>
        <v>0</v>
      </c>
      <c r="AZ258" s="652">
        <f t="shared" si="208"/>
        <v>0</v>
      </c>
      <c r="BA258" s="652">
        <f t="shared" si="209"/>
        <v>0</v>
      </c>
      <c r="BB258" s="651">
        <f t="array" ref="BB258">IFERROR(INDEX('HIV-Equipment'!$X$14:$X$58,MATCH($E258&amp;$F258,'HIV-Equipment'!$C$14:$C$58&amp;'HIV-Equipment'!$D$14:$D$58,0)),0)</f>
        <v>0</v>
      </c>
      <c r="BC258" s="651">
        <f t="shared" si="210"/>
        <v>0</v>
      </c>
      <c r="BD258" s="652">
        <f t="shared" si="211"/>
        <v>0</v>
      </c>
      <c r="BE258" s="652">
        <f t="shared" si="212"/>
        <v>0</v>
      </c>
      <c r="BF258" s="651">
        <f t="array" ref="BF258">IFERROR(INDEX('HIV-Equipment'!$Y$14:$Y$58,MATCH($E258&amp;$F258,'HIV-Equipment'!$C$14:$C$58&amp;'HIV-Equipment'!$D$14:$D$58,0)),0)</f>
        <v>0</v>
      </c>
      <c r="BG258" s="651">
        <f t="shared" si="213"/>
        <v>0</v>
      </c>
      <c r="BH258" s="652">
        <f t="shared" si="214"/>
        <v>0</v>
      </c>
      <c r="BI258" s="652">
        <f t="shared" si="215"/>
        <v>0</v>
      </c>
      <c r="BJ258" s="662"/>
      <c r="BK258" s="654"/>
      <c r="BL258" s="654"/>
      <c r="BM258" s="654"/>
      <c r="BN258" s="654"/>
      <c r="BO258" s="654"/>
      <c r="BP258" s="654"/>
      <c r="BQ258" s="654"/>
      <c r="BR258" s="654"/>
    </row>
    <row r="259" spans="1:70" s="426" customFormat="1">
      <c r="A259" s="655" t="s">
        <v>1855</v>
      </c>
      <c r="B259" s="655" t="s">
        <v>2283</v>
      </c>
      <c r="C259" s="648">
        <f>SETUP!$F$23</f>
        <v>0</v>
      </c>
      <c r="D259" s="654">
        <v>6.6</v>
      </c>
      <c r="E259" s="655" t="s">
        <v>225</v>
      </c>
      <c r="F259" s="655" t="s">
        <v>201</v>
      </c>
      <c r="G259" s="650" t="str">
        <f t="array" ref="G259">IFERROR(INDEX('HIV-Equipment'!$E$14:$E$58,MATCH($E259&amp;$F259,'HIV-Equipment'!$C$14:$C$58&amp;'HIV-Equipment'!$D$14:$D$58,0)),"")</f>
        <v/>
      </c>
      <c r="H259" s="650" t="str">
        <f t="array" ref="H259">IFERROR(INDEX('HIV-Equipment'!$F$14:$F$58,MATCH($E259&amp;$F259,'HIV-Equipment'!$C$14:$C$58&amp;'HIV-Equipment'!$D$14:$D$58,0)),"")</f>
        <v/>
      </c>
      <c r="I259" s="651">
        <f t="array" ref="I259">IFERROR(INDEX('HIV-Equipment'!$G$14:$G$58,MATCH($E259&amp;$F259,'HIV-Equipment'!$C$14:$C$58&amp;'HIV-Equipment'!$D$14:$D$58,0)),0)</f>
        <v>0</v>
      </c>
      <c r="J259" s="651">
        <f t="array" ref="J259">IFERROR(INDEX('HIV-Equipment'!$H$14:$H$58,MATCH($E259&amp;$F259,'HIV-Equipment'!$C$14:$C$58&amp;'HIV-Equipment'!$D$14:$D$58,0)),0)</f>
        <v>0</v>
      </c>
      <c r="K259" s="652">
        <f t="shared" si="180"/>
        <v>0</v>
      </c>
      <c r="L259" s="652">
        <f t="shared" si="181"/>
        <v>0</v>
      </c>
      <c r="M259" s="652">
        <f t="shared" si="182"/>
        <v>0</v>
      </c>
      <c r="N259" s="651">
        <f t="array" ref="N259">IFERROR(INDEX('HIV-Equipment'!$I$14:$I$58,MATCH($E259&amp;$F259,'HIV-Equipment'!$C$14:$C$58&amp;'HIV-Equipment'!$D$14:$D$58,0)),0)</f>
        <v>0</v>
      </c>
      <c r="O259" s="652">
        <f t="shared" si="183"/>
        <v>0</v>
      </c>
      <c r="P259" s="652">
        <f t="shared" si="184"/>
        <v>0</v>
      </c>
      <c r="Q259" s="652">
        <f t="shared" si="185"/>
        <v>0</v>
      </c>
      <c r="R259" s="651">
        <f t="array" ref="R259">IFERROR(INDEX('HIV-Equipment'!$J$14:$J$58,MATCH($E259&amp;$F259,'HIV-Equipment'!$C$14:$C$58&amp;'HIV-Equipment'!$D$14:$D$58,0)),0)</f>
        <v>0</v>
      </c>
      <c r="S259" s="652">
        <f t="shared" si="186"/>
        <v>0</v>
      </c>
      <c r="T259" s="652">
        <f t="shared" si="187"/>
        <v>0</v>
      </c>
      <c r="U259" s="652">
        <f t="shared" si="188"/>
        <v>0</v>
      </c>
      <c r="V259" s="651">
        <f t="array" ref="V259">IFERROR(INDEX('HIV-Equipment'!$K$14:$K$58,MATCH($E259&amp;$F259,'HIV-Equipment'!$C$14:$C$58&amp;'HIV-Equipment'!$D$14:$D$58,0)),0)</f>
        <v>0</v>
      </c>
      <c r="W259" s="652">
        <f t="shared" si="189"/>
        <v>0</v>
      </c>
      <c r="X259" s="652">
        <f t="shared" si="190"/>
        <v>0</v>
      </c>
      <c r="Y259" s="652">
        <f t="shared" si="191"/>
        <v>0</v>
      </c>
      <c r="Z259" s="661"/>
      <c r="AA259" s="651">
        <f t="array" ref="AA259">IFERROR(INDEX('HIV-Equipment'!$N$14:$N$58,MATCH($E259&amp;$F259,'HIV-Equipment'!$C$14:$C$58&amp;'HIV-Equipment'!$D$14:$D$58,0)),0)</f>
        <v>0</v>
      </c>
      <c r="AB259" s="651">
        <f t="array" ref="AB259">IFERROR(INDEX('HIV-Equipment'!$O$14:$O$58,MATCH($E259&amp;$F259,'HIV-Equipment'!$C$14:$C$58&amp;'HIV-Equipment'!$D$14:$D$58,0)),0)</f>
        <v>0</v>
      </c>
      <c r="AC259" s="651">
        <f t="shared" si="192"/>
        <v>0</v>
      </c>
      <c r="AD259" s="652">
        <f t="shared" si="193"/>
        <v>0</v>
      </c>
      <c r="AE259" s="652">
        <f t="shared" si="194"/>
        <v>0</v>
      </c>
      <c r="AF259" s="651">
        <f t="array" ref="AF259">IFERROR(INDEX('HIV-Equipment'!$P$14:$P$58,MATCH($E259&amp;$F259,'HIV-Equipment'!$C$14:$C$58&amp;'HIV-Equipment'!$D$14:$D$58,0)),0)</f>
        <v>0</v>
      </c>
      <c r="AG259" s="651">
        <f t="shared" si="195"/>
        <v>0</v>
      </c>
      <c r="AH259" s="652">
        <f t="shared" si="196"/>
        <v>0</v>
      </c>
      <c r="AI259" s="652">
        <f t="shared" si="197"/>
        <v>0</v>
      </c>
      <c r="AJ259" s="651">
        <f t="array" ref="AJ259">IFERROR(INDEX('HIV-Equipment'!$Q$14:$Q$58,MATCH($E259&amp;$F259,'HIV-Equipment'!$C$14:$C$58&amp;'HIV-Equipment'!$D$14:$D$58,0)),0)</f>
        <v>0</v>
      </c>
      <c r="AK259" s="651">
        <f t="shared" si="198"/>
        <v>0</v>
      </c>
      <c r="AL259" s="652">
        <f t="shared" si="199"/>
        <v>0</v>
      </c>
      <c r="AM259" s="652">
        <f t="shared" si="200"/>
        <v>0</v>
      </c>
      <c r="AN259" s="651">
        <f t="array" ref="AN259">IFERROR(INDEX('HIV-Equipment'!$R$14:$R$58,MATCH($E259&amp;$F259,'HIV-Equipment'!$C$14:$C$58&amp;'HIV-Equipment'!$D$14:$D$58,0)),0)</f>
        <v>0</v>
      </c>
      <c r="AO259" s="651">
        <f t="shared" si="201"/>
        <v>0</v>
      </c>
      <c r="AP259" s="652">
        <f t="shared" si="202"/>
        <v>0</v>
      </c>
      <c r="AQ259" s="652">
        <f t="shared" si="203"/>
        <v>0</v>
      </c>
      <c r="AR259" s="661"/>
      <c r="AS259" s="651">
        <f t="array" ref="AS259">IFERROR(INDEX('HIV-Equipment'!$U$14:$U$58,MATCH($E259&amp;$F259,'HIV-Equipment'!$C$14:$C$58&amp;'HIV-Equipment'!$D$14:$D$58,0)),0)</f>
        <v>0</v>
      </c>
      <c r="AT259" s="651">
        <f t="array" ref="AT259">IFERROR(INDEX('HIV-Equipment'!$V$14:$V$58,MATCH($E259&amp;$F259,'HIV-Equipment'!$C$14:$C$58&amp;'HIV-Equipment'!$D$14:$D$58,0)),0)</f>
        <v>0</v>
      </c>
      <c r="AU259" s="651">
        <f t="shared" si="204"/>
        <v>0</v>
      </c>
      <c r="AV259" s="652">
        <f t="shared" si="205"/>
        <v>0</v>
      </c>
      <c r="AW259" s="652">
        <f t="shared" si="206"/>
        <v>0</v>
      </c>
      <c r="AX259" s="651">
        <f t="array" ref="AX259">IFERROR(INDEX('HIV-Equipment'!$W$14:$W$58,MATCH($E259&amp;$F259,'HIV-Equipment'!$C$14:$C$58&amp;'HIV-Equipment'!$D$14:$D$58,0)),0)</f>
        <v>0</v>
      </c>
      <c r="AY259" s="651">
        <f t="shared" si="207"/>
        <v>0</v>
      </c>
      <c r="AZ259" s="652">
        <f t="shared" si="208"/>
        <v>0</v>
      </c>
      <c r="BA259" s="652">
        <f t="shared" si="209"/>
        <v>0</v>
      </c>
      <c r="BB259" s="651">
        <f t="array" ref="BB259">IFERROR(INDEX('HIV-Equipment'!$X$14:$X$58,MATCH($E259&amp;$F259,'HIV-Equipment'!$C$14:$C$58&amp;'HIV-Equipment'!$D$14:$D$58,0)),0)</f>
        <v>0</v>
      </c>
      <c r="BC259" s="651">
        <f t="shared" si="210"/>
        <v>0</v>
      </c>
      <c r="BD259" s="652">
        <f t="shared" si="211"/>
        <v>0</v>
      </c>
      <c r="BE259" s="652">
        <f t="shared" si="212"/>
        <v>0</v>
      </c>
      <c r="BF259" s="651">
        <f t="array" ref="BF259">IFERROR(INDEX('HIV-Equipment'!$Y$14:$Y$58,MATCH($E259&amp;$F259,'HIV-Equipment'!$C$14:$C$58&amp;'HIV-Equipment'!$D$14:$D$58,0)),0)</f>
        <v>0</v>
      </c>
      <c r="BG259" s="651">
        <f t="shared" si="213"/>
        <v>0</v>
      </c>
      <c r="BH259" s="652">
        <f t="shared" si="214"/>
        <v>0</v>
      </c>
      <c r="BI259" s="652">
        <f t="shared" si="215"/>
        <v>0</v>
      </c>
      <c r="BJ259" s="662"/>
      <c r="BK259" s="654"/>
      <c r="BL259" s="654"/>
      <c r="BM259" s="654"/>
      <c r="BN259" s="654"/>
      <c r="BO259" s="654"/>
      <c r="BP259" s="654"/>
      <c r="BQ259" s="654"/>
      <c r="BR259" s="654"/>
    </row>
    <row r="260" spans="1:70" s="426" customFormat="1">
      <c r="A260" s="655" t="s">
        <v>1855</v>
      </c>
      <c r="B260" s="655" t="s">
        <v>2283</v>
      </c>
      <c r="C260" s="648">
        <f>SETUP!$F$23</f>
        <v>0</v>
      </c>
      <c r="D260" s="654">
        <v>6.6</v>
      </c>
      <c r="E260" s="655" t="s">
        <v>225</v>
      </c>
      <c r="F260" s="655" t="s">
        <v>200</v>
      </c>
      <c r="G260" s="650" t="str">
        <f t="array" ref="G260">IFERROR(INDEX('HIV-Equipment'!$E$14:$E$58,MATCH($E260&amp;$F260,'HIV-Equipment'!$C$14:$C$58&amp;'HIV-Equipment'!$D$14:$D$58,0)),"")</f>
        <v/>
      </c>
      <c r="H260" s="650" t="str">
        <f t="array" ref="H260">IFERROR(INDEX('HIV-Equipment'!$F$14:$F$58,MATCH($E260&amp;$F260,'HIV-Equipment'!$C$14:$C$58&amp;'HIV-Equipment'!$D$14:$D$58,0)),"")</f>
        <v/>
      </c>
      <c r="I260" s="651">
        <f t="array" ref="I260">IFERROR(INDEX('HIV-Equipment'!$G$14:$G$58,MATCH($E260&amp;$F260,'HIV-Equipment'!$C$14:$C$58&amp;'HIV-Equipment'!$D$14:$D$58,0)),0)</f>
        <v>0</v>
      </c>
      <c r="J260" s="651">
        <f t="array" ref="J260">IFERROR(INDEX('HIV-Equipment'!$H$14:$H$58,MATCH($E260&amp;$F260,'HIV-Equipment'!$C$14:$C$58&amp;'HIV-Equipment'!$D$14:$D$58,0)),0)</f>
        <v>0</v>
      </c>
      <c r="K260" s="652">
        <f t="shared" si="180"/>
        <v>0</v>
      </c>
      <c r="L260" s="652">
        <f t="shared" si="181"/>
        <v>0</v>
      </c>
      <c r="M260" s="652">
        <f t="shared" si="182"/>
        <v>0</v>
      </c>
      <c r="N260" s="651">
        <f t="array" ref="N260">IFERROR(INDEX('HIV-Equipment'!$I$14:$I$58,MATCH($E260&amp;$F260,'HIV-Equipment'!$C$14:$C$58&amp;'HIV-Equipment'!$D$14:$D$58,0)),0)</f>
        <v>0</v>
      </c>
      <c r="O260" s="652">
        <f t="shared" si="183"/>
        <v>0</v>
      </c>
      <c r="P260" s="652">
        <f t="shared" si="184"/>
        <v>0</v>
      </c>
      <c r="Q260" s="652">
        <f t="shared" si="185"/>
        <v>0</v>
      </c>
      <c r="R260" s="651">
        <f t="array" ref="R260">IFERROR(INDEX('HIV-Equipment'!$J$14:$J$58,MATCH($E260&amp;$F260,'HIV-Equipment'!$C$14:$C$58&amp;'HIV-Equipment'!$D$14:$D$58,0)),0)</f>
        <v>0</v>
      </c>
      <c r="S260" s="652">
        <f t="shared" si="186"/>
        <v>0</v>
      </c>
      <c r="T260" s="652">
        <f t="shared" si="187"/>
        <v>0</v>
      </c>
      <c r="U260" s="652">
        <f t="shared" si="188"/>
        <v>0</v>
      </c>
      <c r="V260" s="651">
        <f t="array" ref="V260">IFERROR(INDEX('HIV-Equipment'!$K$14:$K$58,MATCH($E260&amp;$F260,'HIV-Equipment'!$C$14:$C$58&amp;'HIV-Equipment'!$D$14:$D$58,0)),0)</f>
        <v>0</v>
      </c>
      <c r="W260" s="652">
        <f t="shared" si="189"/>
        <v>0</v>
      </c>
      <c r="X260" s="652">
        <f t="shared" si="190"/>
        <v>0</v>
      </c>
      <c r="Y260" s="652">
        <f t="shared" si="191"/>
        <v>0</v>
      </c>
      <c r="Z260" s="661"/>
      <c r="AA260" s="651">
        <f t="array" ref="AA260">IFERROR(INDEX('HIV-Equipment'!$N$14:$N$58,MATCH($E260&amp;$F260,'HIV-Equipment'!$C$14:$C$58&amp;'HIV-Equipment'!$D$14:$D$58,0)),0)</f>
        <v>0</v>
      </c>
      <c r="AB260" s="651">
        <f t="array" ref="AB260">IFERROR(INDEX('HIV-Equipment'!$O$14:$O$58,MATCH($E260&amp;$F260,'HIV-Equipment'!$C$14:$C$58&amp;'HIV-Equipment'!$D$14:$D$58,0)),0)</f>
        <v>0</v>
      </c>
      <c r="AC260" s="651">
        <f t="shared" si="192"/>
        <v>0</v>
      </c>
      <c r="AD260" s="652">
        <f t="shared" si="193"/>
        <v>0</v>
      </c>
      <c r="AE260" s="652">
        <f t="shared" si="194"/>
        <v>0</v>
      </c>
      <c r="AF260" s="651">
        <f t="array" ref="AF260">IFERROR(INDEX('HIV-Equipment'!$P$14:$P$58,MATCH($E260&amp;$F260,'HIV-Equipment'!$C$14:$C$58&amp;'HIV-Equipment'!$D$14:$D$58,0)),0)</f>
        <v>0</v>
      </c>
      <c r="AG260" s="651">
        <f t="shared" si="195"/>
        <v>0</v>
      </c>
      <c r="AH260" s="652">
        <f t="shared" si="196"/>
        <v>0</v>
      </c>
      <c r="AI260" s="652">
        <f t="shared" si="197"/>
        <v>0</v>
      </c>
      <c r="AJ260" s="651">
        <f t="array" ref="AJ260">IFERROR(INDEX('HIV-Equipment'!$Q$14:$Q$58,MATCH($E260&amp;$F260,'HIV-Equipment'!$C$14:$C$58&amp;'HIV-Equipment'!$D$14:$D$58,0)),0)</f>
        <v>0</v>
      </c>
      <c r="AK260" s="651">
        <f t="shared" si="198"/>
        <v>0</v>
      </c>
      <c r="AL260" s="652">
        <f t="shared" si="199"/>
        <v>0</v>
      </c>
      <c r="AM260" s="652">
        <f t="shared" si="200"/>
        <v>0</v>
      </c>
      <c r="AN260" s="651">
        <f t="array" ref="AN260">IFERROR(INDEX('HIV-Equipment'!$R$14:$R$58,MATCH($E260&amp;$F260,'HIV-Equipment'!$C$14:$C$58&amp;'HIV-Equipment'!$D$14:$D$58,0)),0)</f>
        <v>0</v>
      </c>
      <c r="AO260" s="651">
        <f t="shared" si="201"/>
        <v>0</v>
      </c>
      <c r="AP260" s="652">
        <f t="shared" si="202"/>
        <v>0</v>
      </c>
      <c r="AQ260" s="652">
        <f t="shared" si="203"/>
        <v>0</v>
      </c>
      <c r="AR260" s="661"/>
      <c r="AS260" s="651">
        <f t="array" ref="AS260">IFERROR(INDEX('HIV-Equipment'!$U$14:$U$58,MATCH($E260&amp;$F260,'HIV-Equipment'!$C$14:$C$58&amp;'HIV-Equipment'!$D$14:$D$58,0)),0)</f>
        <v>0</v>
      </c>
      <c r="AT260" s="651">
        <f t="array" ref="AT260">IFERROR(INDEX('HIV-Equipment'!$V$14:$V$58,MATCH($E260&amp;$F260,'HIV-Equipment'!$C$14:$C$58&amp;'HIV-Equipment'!$D$14:$D$58,0)),0)</f>
        <v>0</v>
      </c>
      <c r="AU260" s="651">
        <f t="shared" si="204"/>
        <v>0</v>
      </c>
      <c r="AV260" s="652">
        <f t="shared" si="205"/>
        <v>0</v>
      </c>
      <c r="AW260" s="652">
        <f t="shared" si="206"/>
        <v>0</v>
      </c>
      <c r="AX260" s="651">
        <f t="array" ref="AX260">IFERROR(INDEX('HIV-Equipment'!$W$14:$W$58,MATCH($E260&amp;$F260,'HIV-Equipment'!$C$14:$C$58&amp;'HIV-Equipment'!$D$14:$D$58,0)),0)</f>
        <v>0</v>
      </c>
      <c r="AY260" s="651">
        <f t="shared" si="207"/>
        <v>0</v>
      </c>
      <c r="AZ260" s="652">
        <f t="shared" si="208"/>
        <v>0</v>
      </c>
      <c r="BA260" s="652">
        <f t="shared" si="209"/>
        <v>0</v>
      </c>
      <c r="BB260" s="651">
        <f t="array" ref="BB260">IFERROR(INDEX('HIV-Equipment'!$X$14:$X$58,MATCH($E260&amp;$F260,'HIV-Equipment'!$C$14:$C$58&amp;'HIV-Equipment'!$D$14:$D$58,0)),0)</f>
        <v>0</v>
      </c>
      <c r="BC260" s="651">
        <f t="shared" si="210"/>
        <v>0</v>
      </c>
      <c r="BD260" s="652">
        <f t="shared" si="211"/>
        <v>0</v>
      </c>
      <c r="BE260" s="652">
        <f t="shared" si="212"/>
        <v>0</v>
      </c>
      <c r="BF260" s="651">
        <f t="array" ref="BF260">IFERROR(INDEX('HIV-Equipment'!$Y$14:$Y$58,MATCH($E260&amp;$F260,'HIV-Equipment'!$C$14:$C$58&amp;'HIV-Equipment'!$D$14:$D$58,0)),0)</f>
        <v>0</v>
      </c>
      <c r="BG260" s="651">
        <f t="shared" si="213"/>
        <v>0</v>
      </c>
      <c r="BH260" s="652">
        <f t="shared" si="214"/>
        <v>0</v>
      </c>
      <c r="BI260" s="652">
        <f t="shared" si="215"/>
        <v>0</v>
      </c>
      <c r="BJ260" s="662"/>
      <c r="BK260" s="654"/>
      <c r="BL260" s="654"/>
      <c r="BM260" s="654"/>
      <c r="BN260" s="654"/>
      <c r="BO260" s="654"/>
      <c r="BP260" s="654"/>
      <c r="BQ260" s="654"/>
      <c r="BR260" s="654"/>
    </row>
    <row r="261" spans="1:70" s="426" customFormat="1">
      <c r="A261" s="655" t="s">
        <v>1855</v>
      </c>
      <c r="B261" s="655" t="s">
        <v>2283</v>
      </c>
      <c r="C261" s="648">
        <f>SETUP!$F$23</f>
        <v>0</v>
      </c>
      <c r="D261" s="654">
        <v>6.5</v>
      </c>
      <c r="E261" s="655" t="s">
        <v>199</v>
      </c>
      <c r="F261" s="655" t="s">
        <v>218</v>
      </c>
      <c r="G261" s="650" t="str">
        <f t="array" ref="G261">IFERROR(INDEX('HIV-Equipment'!$E$14:$E$58,MATCH($E261&amp;$F261,'HIV-Equipment'!$C$14:$C$58&amp;'HIV-Equipment'!$D$14:$D$58,0)),"")</f>
        <v/>
      </c>
      <c r="H261" s="650" t="str">
        <f t="array" ref="H261">IFERROR(INDEX('HIV-Equipment'!$F$14:$F$58,MATCH($E261&amp;$F261,'HIV-Equipment'!$C$14:$C$58&amp;'HIV-Equipment'!$D$14:$D$58,0)),"")</f>
        <v/>
      </c>
      <c r="I261" s="651">
        <f t="array" ref="I261">IFERROR(INDEX('HIV-Equipment'!$G$14:$G$58,MATCH($E261&amp;$F261,'HIV-Equipment'!$C$14:$C$58&amp;'HIV-Equipment'!$D$14:$D$58,0)),0)</f>
        <v>0</v>
      </c>
      <c r="J261" s="651">
        <f t="array" ref="J261">IFERROR(INDEX('HIV-Equipment'!$H$14:$H$58,MATCH($E261&amp;$F261,'HIV-Equipment'!$C$14:$C$58&amp;'HIV-Equipment'!$D$14:$D$58,0)),0)</f>
        <v>0</v>
      </c>
      <c r="K261" s="652">
        <f t="shared" si="180"/>
        <v>0</v>
      </c>
      <c r="L261" s="652">
        <f t="shared" si="181"/>
        <v>0</v>
      </c>
      <c r="M261" s="652">
        <f t="shared" si="182"/>
        <v>0</v>
      </c>
      <c r="N261" s="651">
        <f t="array" ref="N261">IFERROR(INDEX('HIV-Equipment'!$I$14:$I$58,MATCH($E261&amp;$F261,'HIV-Equipment'!$C$14:$C$58&amp;'HIV-Equipment'!$D$14:$D$58,0)),0)</f>
        <v>0</v>
      </c>
      <c r="O261" s="652">
        <f t="shared" si="183"/>
        <v>0</v>
      </c>
      <c r="P261" s="652">
        <f t="shared" si="184"/>
        <v>0</v>
      </c>
      <c r="Q261" s="652">
        <f t="shared" si="185"/>
        <v>0</v>
      </c>
      <c r="R261" s="651">
        <f t="array" ref="R261">IFERROR(INDEX('HIV-Equipment'!$J$14:$J$58,MATCH($E261&amp;$F261,'HIV-Equipment'!$C$14:$C$58&amp;'HIV-Equipment'!$D$14:$D$58,0)),0)</f>
        <v>0</v>
      </c>
      <c r="S261" s="652">
        <f t="shared" si="186"/>
        <v>0</v>
      </c>
      <c r="T261" s="652">
        <f t="shared" si="187"/>
        <v>0</v>
      </c>
      <c r="U261" s="652">
        <f t="shared" si="188"/>
        <v>0</v>
      </c>
      <c r="V261" s="651">
        <f t="array" ref="V261">IFERROR(INDEX('HIV-Equipment'!$K$14:$K$58,MATCH($E261&amp;$F261,'HIV-Equipment'!$C$14:$C$58&amp;'HIV-Equipment'!$D$14:$D$58,0)),0)</f>
        <v>0</v>
      </c>
      <c r="W261" s="652">
        <f t="shared" si="189"/>
        <v>0</v>
      </c>
      <c r="X261" s="652">
        <f t="shared" si="190"/>
        <v>0</v>
      </c>
      <c r="Y261" s="652">
        <f t="shared" si="191"/>
        <v>0</v>
      </c>
      <c r="Z261" s="661"/>
      <c r="AA261" s="651">
        <f t="array" ref="AA261">IFERROR(INDEX('HIV-Equipment'!$N$14:$N$58,MATCH($E261&amp;$F261,'HIV-Equipment'!$C$14:$C$58&amp;'HIV-Equipment'!$D$14:$D$58,0)),0)</f>
        <v>0</v>
      </c>
      <c r="AB261" s="651">
        <f t="array" ref="AB261">IFERROR(INDEX('HIV-Equipment'!$O$14:$O$58,MATCH($E261&amp;$F261,'HIV-Equipment'!$C$14:$C$58&amp;'HIV-Equipment'!$D$14:$D$58,0)),0)</f>
        <v>0</v>
      </c>
      <c r="AC261" s="651">
        <f t="shared" si="192"/>
        <v>0</v>
      </c>
      <c r="AD261" s="652">
        <f t="shared" si="193"/>
        <v>0</v>
      </c>
      <c r="AE261" s="652">
        <f t="shared" si="194"/>
        <v>0</v>
      </c>
      <c r="AF261" s="651">
        <f t="array" ref="AF261">IFERROR(INDEX('HIV-Equipment'!$P$14:$P$58,MATCH($E261&amp;$F261,'HIV-Equipment'!$C$14:$C$58&amp;'HIV-Equipment'!$D$14:$D$58,0)),0)</f>
        <v>0</v>
      </c>
      <c r="AG261" s="651">
        <f t="shared" si="195"/>
        <v>0</v>
      </c>
      <c r="AH261" s="652">
        <f t="shared" si="196"/>
        <v>0</v>
      </c>
      <c r="AI261" s="652">
        <f t="shared" si="197"/>
        <v>0</v>
      </c>
      <c r="AJ261" s="651">
        <f t="array" ref="AJ261">IFERROR(INDEX('HIV-Equipment'!$Q$14:$Q$58,MATCH($E261&amp;$F261,'HIV-Equipment'!$C$14:$C$58&amp;'HIV-Equipment'!$D$14:$D$58,0)),0)</f>
        <v>0</v>
      </c>
      <c r="AK261" s="651">
        <f t="shared" si="198"/>
        <v>0</v>
      </c>
      <c r="AL261" s="652">
        <f t="shared" si="199"/>
        <v>0</v>
      </c>
      <c r="AM261" s="652">
        <f t="shared" si="200"/>
        <v>0</v>
      </c>
      <c r="AN261" s="651">
        <f t="array" ref="AN261">IFERROR(INDEX('HIV-Equipment'!$R$14:$R$58,MATCH($E261&amp;$F261,'HIV-Equipment'!$C$14:$C$58&amp;'HIV-Equipment'!$D$14:$D$58,0)),0)</f>
        <v>0</v>
      </c>
      <c r="AO261" s="651">
        <f t="shared" si="201"/>
        <v>0</v>
      </c>
      <c r="AP261" s="652">
        <f t="shared" si="202"/>
        <v>0</v>
      </c>
      <c r="AQ261" s="652">
        <f t="shared" si="203"/>
        <v>0</v>
      </c>
      <c r="AR261" s="661"/>
      <c r="AS261" s="651">
        <f t="array" ref="AS261">IFERROR(INDEX('HIV-Equipment'!$U$14:$U$58,MATCH($E261&amp;$F261,'HIV-Equipment'!$C$14:$C$58&amp;'HIV-Equipment'!$D$14:$D$58,0)),0)</f>
        <v>0</v>
      </c>
      <c r="AT261" s="651">
        <f t="array" ref="AT261">IFERROR(INDEX('HIV-Equipment'!$V$14:$V$58,MATCH($E261&amp;$F261,'HIV-Equipment'!$C$14:$C$58&amp;'HIV-Equipment'!$D$14:$D$58,0)),0)</f>
        <v>0</v>
      </c>
      <c r="AU261" s="651">
        <f t="shared" si="204"/>
        <v>0</v>
      </c>
      <c r="AV261" s="652">
        <f t="shared" si="205"/>
        <v>0</v>
      </c>
      <c r="AW261" s="652">
        <f t="shared" si="206"/>
        <v>0</v>
      </c>
      <c r="AX261" s="651">
        <f t="array" ref="AX261">IFERROR(INDEX('HIV-Equipment'!$W$14:$W$58,MATCH($E261&amp;$F261,'HIV-Equipment'!$C$14:$C$58&amp;'HIV-Equipment'!$D$14:$D$58,0)),0)</f>
        <v>0</v>
      </c>
      <c r="AY261" s="651">
        <f t="shared" si="207"/>
        <v>0</v>
      </c>
      <c r="AZ261" s="652">
        <f t="shared" si="208"/>
        <v>0</v>
      </c>
      <c r="BA261" s="652">
        <f t="shared" si="209"/>
        <v>0</v>
      </c>
      <c r="BB261" s="651">
        <f t="array" ref="BB261">IFERROR(INDEX('HIV-Equipment'!$X$14:$X$58,MATCH($E261&amp;$F261,'HIV-Equipment'!$C$14:$C$58&amp;'HIV-Equipment'!$D$14:$D$58,0)),0)</f>
        <v>0</v>
      </c>
      <c r="BC261" s="651">
        <f t="shared" si="210"/>
        <v>0</v>
      </c>
      <c r="BD261" s="652">
        <f t="shared" si="211"/>
        <v>0</v>
      </c>
      <c r="BE261" s="652">
        <f t="shared" si="212"/>
        <v>0</v>
      </c>
      <c r="BF261" s="651">
        <f t="array" ref="BF261">IFERROR(INDEX('HIV-Equipment'!$Y$14:$Y$58,MATCH($E261&amp;$F261,'HIV-Equipment'!$C$14:$C$58&amp;'HIV-Equipment'!$D$14:$D$58,0)),0)</f>
        <v>0</v>
      </c>
      <c r="BG261" s="651">
        <f t="shared" si="213"/>
        <v>0</v>
      </c>
      <c r="BH261" s="652">
        <f t="shared" si="214"/>
        <v>0</v>
      </c>
      <c r="BI261" s="652">
        <f t="shared" si="215"/>
        <v>0</v>
      </c>
      <c r="BJ261" s="662"/>
      <c r="BK261" s="654"/>
      <c r="BL261" s="654"/>
      <c r="BM261" s="654"/>
      <c r="BN261" s="654"/>
      <c r="BO261" s="654"/>
      <c r="BP261" s="654"/>
      <c r="BQ261" s="654"/>
      <c r="BR261" s="654"/>
    </row>
    <row r="262" spans="1:70" s="426" customFormat="1">
      <c r="A262" s="655" t="s">
        <v>1855</v>
      </c>
      <c r="B262" s="655" t="s">
        <v>2283</v>
      </c>
      <c r="C262" s="648">
        <f>SETUP!$F$23</f>
        <v>0</v>
      </c>
      <c r="D262" s="654">
        <v>6.2</v>
      </c>
      <c r="E262" s="655" t="s">
        <v>199</v>
      </c>
      <c r="F262" s="655" t="s">
        <v>201</v>
      </c>
      <c r="G262" s="650" t="str">
        <f t="array" ref="G262">IFERROR(INDEX('HIV-Equipment'!$E$14:$E$58,MATCH($E262&amp;$F262,'HIV-Equipment'!$C$14:$C$58&amp;'HIV-Equipment'!$D$14:$D$58,0)),"")</f>
        <v/>
      </c>
      <c r="H262" s="650" t="str">
        <f t="array" ref="H262">IFERROR(INDEX('HIV-Equipment'!$F$14:$F$58,MATCH($E262&amp;$F262,'HIV-Equipment'!$C$14:$C$58&amp;'HIV-Equipment'!$D$14:$D$58,0)),"")</f>
        <v/>
      </c>
      <c r="I262" s="651">
        <f t="array" ref="I262">IFERROR(INDEX('HIV-Equipment'!$G$14:$G$58,MATCH($E262&amp;$F262,'HIV-Equipment'!$C$14:$C$58&amp;'HIV-Equipment'!$D$14:$D$58,0)),0)</f>
        <v>0</v>
      </c>
      <c r="J262" s="651">
        <f t="array" ref="J262">IFERROR(INDEX('HIV-Equipment'!$H$14:$H$58,MATCH($E262&amp;$F262,'HIV-Equipment'!$C$14:$C$58&amp;'HIV-Equipment'!$D$14:$D$58,0)),0)</f>
        <v>0</v>
      </c>
      <c r="K262" s="652">
        <f t="shared" si="180"/>
        <v>0</v>
      </c>
      <c r="L262" s="652">
        <f t="shared" si="181"/>
        <v>0</v>
      </c>
      <c r="M262" s="652">
        <f t="shared" si="182"/>
        <v>0</v>
      </c>
      <c r="N262" s="651">
        <f t="array" ref="N262">IFERROR(INDEX('HIV-Equipment'!$I$14:$I$58,MATCH($E262&amp;$F262,'HIV-Equipment'!$C$14:$C$58&amp;'HIV-Equipment'!$D$14:$D$58,0)),0)</f>
        <v>0</v>
      </c>
      <c r="O262" s="652">
        <f t="shared" si="183"/>
        <v>0</v>
      </c>
      <c r="P262" s="652">
        <f t="shared" si="184"/>
        <v>0</v>
      </c>
      <c r="Q262" s="652">
        <f t="shared" si="185"/>
        <v>0</v>
      </c>
      <c r="R262" s="651">
        <f t="array" ref="R262">IFERROR(INDEX('HIV-Equipment'!$J$14:$J$58,MATCH($E262&amp;$F262,'HIV-Equipment'!$C$14:$C$58&amp;'HIV-Equipment'!$D$14:$D$58,0)),0)</f>
        <v>0</v>
      </c>
      <c r="S262" s="652">
        <f t="shared" si="186"/>
        <v>0</v>
      </c>
      <c r="T262" s="652">
        <f t="shared" si="187"/>
        <v>0</v>
      </c>
      <c r="U262" s="652">
        <f t="shared" si="188"/>
        <v>0</v>
      </c>
      <c r="V262" s="651">
        <f t="array" ref="V262">IFERROR(INDEX('HIV-Equipment'!$K$14:$K$58,MATCH($E262&amp;$F262,'HIV-Equipment'!$C$14:$C$58&amp;'HIV-Equipment'!$D$14:$D$58,0)),0)</f>
        <v>0</v>
      </c>
      <c r="W262" s="652">
        <f t="shared" si="189"/>
        <v>0</v>
      </c>
      <c r="X262" s="652">
        <f t="shared" si="190"/>
        <v>0</v>
      </c>
      <c r="Y262" s="652">
        <f t="shared" si="191"/>
        <v>0</v>
      </c>
      <c r="Z262" s="661"/>
      <c r="AA262" s="651">
        <f t="array" ref="AA262">IFERROR(INDEX('HIV-Equipment'!$N$14:$N$58,MATCH($E262&amp;$F262,'HIV-Equipment'!$C$14:$C$58&amp;'HIV-Equipment'!$D$14:$D$58,0)),0)</f>
        <v>0</v>
      </c>
      <c r="AB262" s="651">
        <f t="array" ref="AB262">IFERROR(INDEX('HIV-Equipment'!$O$14:$O$58,MATCH($E262&amp;$F262,'HIV-Equipment'!$C$14:$C$58&amp;'HIV-Equipment'!$D$14:$D$58,0)),0)</f>
        <v>0</v>
      </c>
      <c r="AC262" s="651">
        <f t="shared" si="192"/>
        <v>0</v>
      </c>
      <c r="AD262" s="652">
        <f t="shared" si="193"/>
        <v>0</v>
      </c>
      <c r="AE262" s="652">
        <f t="shared" si="194"/>
        <v>0</v>
      </c>
      <c r="AF262" s="651">
        <f t="array" ref="AF262">IFERROR(INDEX('HIV-Equipment'!$P$14:$P$58,MATCH($E262&amp;$F262,'HIV-Equipment'!$C$14:$C$58&amp;'HIV-Equipment'!$D$14:$D$58,0)),0)</f>
        <v>0</v>
      </c>
      <c r="AG262" s="651">
        <f t="shared" si="195"/>
        <v>0</v>
      </c>
      <c r="AH262" s="652">
        <f t="shared" si="196"/>
        <v>0</v>
      </c>
      <c r="AI262" s="652">
        <f t="shared" si="197"/>
        <v>0</v>
      </c>
      <c r="AJ262" s="651">
        <f t="array" ref="AJ262">IFERROR(INDEX('HIV-Equipment'!$Q$14:$Q$58,MATCH($E262&amp;$F262,'HIV-Equipment'!$C$14:$C$58&amp;'HIV-Equipment'!$D$14:$D$58,0)),0)</f>
        <v>0</v>
      </c>
      <c r="AK262" s="651">
        <f t="shared" si="198"/>
        <v>0</v>
      </c>
      <c r="AL262" s="652">
        <f t="shared" si="199"/>
        <v>0</v>
      </c>
      <c r="AM262" s="652">
        <f t="shared" si="200"/>
        <v>0</v>
      </c>
      <c r="AN262" s="651">
        <f t="array" ref="AN262">IFERROR(INDEX('HIV-Equipment'!$R$14:$R$58,MATCH($E262&amp;$F262,'HIV-Equipment'!$C$14:$C$58&amp;'HIV-Equipment'!$D$14:$D$58,0)),0)</f>
        <v>0</v>
      </c>
      <c r="AO262" s="651">
        <f t="shared" si="201"/>
        <v>0</v>
      </c>
      <c r="AP262" s="652">
        <f t="shared" si="202"/>
        <v>0</v>
      </c>
      <c r="AQ262" s="652">
        <f t="shared" si="203"/>
        <v>0</v>
      </c>
      <c r="AR262" s="661"/>
      <c r="AS262" s="651">
        <f t="array" ref="AS262">IFERROR(INDEX('HIV-Equipment'!$U$14:$U$58,MATCH($E262&amp;$F262,'HIV-Equipment'!$C$14:$C$58&amp;'HIV-Equipment'!$D$14:$D$58,0)),0)</f>
        <v>0</v>
      </c>
      <c r="AT262" s="651">
        <f t="array" ref="AT262">IFERROR(INDEX('HIV-Equipment'!$V$14:$V$58,MATCH($E262&amp;$F262,'HIV-Equipment'!$C$14:$C$58&amp;'HIV-Equipment'!$D$14:$D$58,0)),0)</f>
        <v>0</v>
      </c>
      <c r="AU262" s="651">
        <f t="shared" si="204"/>
        <v>0</v>
      </c>
      <c r="AV262" s="652">
        <f t="shared" si="205"/>
        <v>0</v>
      </c>
      <c r="AW262" s="652">
        <f t="shared" si="206"/>
        <v>0</v>
      </c>
      <c r="AX262" s="651">
        <f t="array" ref="AX262">IFERROR(INDEX('HIV-Equipment'!$W$14:$W$58,MATCH($E262&amp;$F262,'HIV-Equipment'!$C$14:$C$58&amp;'HIV-Equipment'!$D$14:$D$58,0)),0)</f>
        <v>0</v>
      </c>
      <c r="AY262" s="651">
        <f t="shared" si="207"/>
        <v>0</v>
      </c>
      <c r="AZ262" s="652">
        <f t="shared" si="208"/>
        <v>0</v>
      </c>
      <c r="BA262" s="652">
        <f t="shared" si="209"/>
        <v>0</v>
      </c>
      <c r="BB262" s="651">
        <f t="array" ref="BB262">IFERROR(INDEX('HIV-Equipment'!$X$14:$X$58,MATCH($E262&amp;$F262,'HIV-Equipment'!$C$14:$C$58&amp;'HIV-Equipment'!$D$14:$D$58,0)),0)</f>
        <v>0</v>
      </c>
      <c r="BC262" s="651">
        <f t="shared" si="210"/>
        <v>0</v>
      </c>
      <c r="BD262" s="652">
        <f t="shared" si="211"/>
        <v>0</v>
      </c>
      <c r="BE262" s="652">
        <f t="shared" si="212"/>
        <v>0</v>
      </c>
      <c r="BF262" s="651">
        <f t="array" ref="BF262">IFERROR(INDEX('HIV-Equipment'!$Y$14:$Y$58,MATCH($E262&amp;$F262,'HIV-Equipment'!$C$14:$C$58&amp;'HIV-Equipment'!$D$14:$D$58,0)),0)</f>
        <v>0</v>
      </c>
      <c r="BG262" s="651">
        <f t="shared" si="213"/>
        <v>0</v>
      </c>
      <c r="BH262" s="652">
        <f t="shared" si="214"/>
        <v>0</v>
      </c>
      <c r="BI262" s="652">
        <f t="shared" si="215"/>
        <v>0</v>
      </c>
      <c r="BJ262" s="662"/>
      <c r="BK262" s="654"/>
      <c r="BL262" s="654"/>
      <c r="BM262" s="654"/>
      <c r="BN262" s="654"/>
      <c r="BO262" s="654"/>
      <c r="BP262" s="654"/>
      <c r="BQ262" s="654"/>
      <c r="BR262" s="654"/>
    </row>
    <row r="263" spans="1:70" s="426" customFormat="1">
      <c r="A263" s="655" t="s">
        <v>1855</v>
      </c>
      <c r="B263" s="655" t="s">
        <v>2283</v>
      </c>
      <c r="C263" s="648">
        <f>SETUP!$F$23</f>
        <v>0</v>
      </c>
      <c r="D263" s="654">
        <v>6.2</v>
      </c>
      <c r="E263" s="655" t="s">
        <v>199</v>
      </c>
      <c r="F263" s="655" t="s">
        <v>200</v>
      </c>
      <c r="G263" s="650" t="str">
        <f t="array" ref="G263">IFERROR(INDEX('HIV-Equipment'!$E$14:$E$58,MATCH($E263&amp;$F263,'HIV-Equipment'!$C$14:$C$58&amp;'HIV-Equipment'!$D$14:$D$58,0)),"")</f>
        <v/>
      </c>
      <c r="H263" s="650" t="str">
        <f t="array" ref="H263">IFERROR(INDEX('HIV-Equipment'!$F$14:$F$58,MATCH($E263&amp;$F263,'HIV-Equipment'!$C$14:$C$58&amp;'HIV-Equipment'!$D$14:$D$58,0)),"")</f>
        <v/>
      </c>
      <c r="I263" s="651">
        <f t="array" ref="I263">IFERROR(INDEX('HIV-Equipment'!$G$14:$G$58,MATCH($E263&amp;$F263,'HIV-Equipment'!$C$14:$C$58&amp;'HIV-Equipment'!$D$14:$D$58,0)),0)</f>
        <v>0</v>
      </c>
      <c r="J263" s="651">
        <f t="array" ref="J263">IFERROR(INDEX('HIV-Equipment'!$H$14:$H$58,MATCH($E263&amp;$F263,'HIV-Equipment'!$C$14:$C$58&amp;'HIV-Equipment'!$D$14:$D$58,0)),0)</f>
        <v>0</v>
      </c>
      <c r="K263" s="652">
        <f t="shared" si="180"/>
        <v>0</v>
      </c>
      <c r="L263" s="652">
        <f t="shared" si="181"/>
        <v>0</v>
      </c>
      <c r="M263" s="652">
        <f t="shared" si="182"/>
        <v>0</v>
      </c>
      <c r="N263" s="651">
        <f t="array" ref="N263">IFERROR(INDEX('HIV-Equipment'!$I$14:$I$58,MATCH($E263&amp;$F263,'HIV-Equipment'!$C$14:$C$58&amp;'HIV-Equipment'!$D$14:$D$58,0)),0)</f>
        <v>0</v>
      </c>
      <c r="O263" s="652">
        <f t="shared" si="183"/>
        <v>0</v>
      </c>
      <c r="P263" s="652">
        <f t="shared" si="184"/>
        <v>0</v>
      </c>
      <c r="Q263" s="652">
        <f t="shared" si="185"/>
        <v>0</v>
      </c>
      <c r="R263" s="651">
        <f t="array" ref="R263">IFERROR(INDEX('HIV-Equipment'!$J$14:$J$58,MATCH($E263&amp;$F263,'HIV-Equipment'!$C$14:$C$58&amp;'HIV-Equipment'!$D$14:$D$58,0)),0)</f>
        <v>0</v>
      </c>
      <c r="S263" s="652">
        <f t="shared" si="186"/>
        <v>0</v>
      </c>
      <c r="T263" s="652">
        <f t="shared" si="187"/>
        <v>0</v>
      </c>
      <c r="U263" s="652">
        <f t="shared" si="188"/>
        <v>0</v>
      </c>
      <c r="V263" s="651">
        <f t="array" ref="V263">IFERROR(INDEX('HIV-Equipment'!$K$14:$K$58,MATCH($E263&amp;$F263,'HIV-Equipment'!$C$14:$C$58&amp;'HIV-Equipment'!$D$14:$D$58,0)),0)</f>
        <v>0</v>
      </c>
      <c r="W263" s="652">
        <f t="shared" si="189"/>
        <v>0</v>
      </c>
      <c r="X263" s="652">
        <f t="shared" si="190"/>
        <v>0</v>
      </c>
      <c r="Y263" s="652">
        <f t="shared" si="191"/>
        <v>0</v>
      </c>
      <c r="Z263" s="661"/>
      <c r="AA263" s="651">
        <f t="array" ref="AA263">IFERROR(INDEX('HIV-Equipment'!$N$14:$N$58,MATCH($E263&amp;$F263,'HIV-Equipment'!$C$14:$C$58&amp;'HIV-Equipment'!$D$14:$D$58,0)),0)</f>
        <v>0</v>
      </c>
      <c r="AB263" s="651">
        <f t="array" ref="AB263">IFERROR(INDEX('HIV-Equipment'!$O$14:$O$58,MATCH($E263&amp;$F263,'HIV-Equipment'!$C$14:$C$58&amp;'HIV-Equipment'!$D$14:$D$58,0)),0)</f>
        <v>0</v>
      </c>
      <c r="AC263" s="651">
        <f t="shared" si="192"/>
        <v>0</v>
      </c>
      <c r="AD263" s="652">
        <f t="shared" si="193"/>
        <v>0</v>
      </c>
      <c r="AE263" s="652">
        <f t="shared" si="194"/>
        <v>0</v>
      </c>
      <c r="AF263" s="651">
        <f t="array" ref="AF263">IFERROR(INDEX('HIV-Equipment'!$P$14:$P$58,MATCH($E263&amp;$F263,'HIV-Equipment'!$C$14:$C$58&amp;'HIV-Equipment'!$D$14:$D$58,0)),0)</f>
        <v>0</v>
      </c>
      <c r="AG263" s="651">
        <f t="shared" si="195"/>
        <v>0</v>
      </c>
      <c r="AH263" s="652">
        <f t="shared" si="196"/>
        <v>0</v>
      </c>
      <c r="AI263" s="652">
        <f t="shared" si="197"/>
        <v>0</v>
      </c>
      <c r="AJ263" s="651">
        <f t="array" ref="AJ263">IFERROR(INDEX('HIV-Equipment'!$Q$14:$Q$58,MATCH($E263&amp;$F263,'HIV-Equipment'!$C$14:$C$58&amp;'HIV-Equipment'!$D$14:$D$58,0)),0)</f>
        <v>0</v>
      </c>
      <c r="AK263" s="651">
        <f t="shared" si="198"/>
        <v>0</v>
      </c>
      <c r="AL263" s="652">
        <f t="shared" si="199"/>
        <v>0</v>
      </c>
      <c r="AM263" s="652">
        <f t="shared" si="200"/>
        <v>0</v>
      </c>
      <c r="AN263" s="651">
        <f t="array" ref="AN263">IFERROR(INDEX('HIV-Equipment'!$R$14:$R$58,MATCH($E263&amp;$F263,'HIV-Equipment'!$C$14:$C$58&amp;'HIV-Equipment'!$D$14:$D$58,0)),0)</f>
        <v>0</v>
      </c>
      <c r="AO263" s="651">
        <f t="shared" si="201"/>
        <v>0</v>
      </c>
      <c r="AP263" s="652">
        <f t="shared" si="202"/>
        <v>0</v>
      </c>
      <c r="AQ263" s="652">
        <f t="shared" si="203"/>
        <v>0</v>
      </c>
      <c r="AR263" s="661"/>
      <c r="AS263" s="651">
        <f t="array" ref="AS263">IFERROR(INDEX('HIV-Equipment'!$U$14:$U$58,MATCH($E263&amp;$F263,'HIV-Equipment'!$C$14:$C$58&amp;'HIV-Equipment'!$D$14:$D$58,0)),0)</f>
        <v>0</v>
      </c>
      <c r="AT263" s="651">
        <f t="array" ref="AT263">IFERROR(INDEX('HIV-Equipment'!$V$14:$V$58,MATCH($E263&amp;$F263,'HIV-Equipment'!$C$14:$C$58&amp;'HIV-Equipment'!$D$14:$D$58,0)),0)</f>
        <v>0</v>
      </c>
      <c r="AU263" s="651">
        <f t="shared" si="204"/>
        <v>0</v>
      </c>
      <c r="AV263" s="652">
        <f t="shared" si="205"/>
        <v>0</v>
      </c>
      <c r="AW263" s="652">
        <f t="shared" si="206"/>
        <v>0</v>
      </c>
      <c r="AX263" s="651">
        <f t="array" ref="AX263">IFERROR(INDEX('HIV-Equipment'!$W$14:$W$58,MATCH($E263&amp;$F263,'HIV-Equipment'!$C$14:$C$58&amp;'HIV-Equipment'!$D$14:$D$58,0)),0)</f>
        <v>0</v>
      </c>
      <c r="AY263" s="651">
        <f t="shared" si="207"/>
        <v>0</v>
      </c>
      <c r="AZ263" s="652">
        <f t="shared" si="208"/>
        <v>0</v>
      </c>
      <c r="BA263" s="652">
        <f t="shared" si="209"/>
        <v>0</v>
      </c>
      <c r="BB263" s="651">
        <f t="array" ref="BB263">IFERROR(INDEX('HIV-Equipment'!$X$14:$X$58,MATCH($E263&amp;$F263,'HIV-Equipment'!$C$14:$C$58&amp;'HIV-Equipment'!$D$14:$D$58,0)),0)</f>
        <v>0</v>
      </c>
      <c r="BC263" s="651">
        <f t="shared" si="210"/>
        <v>0</v>
      </c>
      <c r="BD263" s="652">
        <f t="shared" si="211"/>
        <v>0</v>
      </c>
      <c r="BE263" s="652">
        <f t="shared" si="212"/>
        <v>0</v>
      </c>
      <c r="BF263" s="651">
        <f t="array" ref="BF263">IFERROR(INDEX('HIV-Equipment'!$Y$14:$Y$58,MATCH($E263&amp;$F263,'HIV-Equipment'!$C$14:$C$58&amp;'HIV-Equipment'!$D$14:$D$58,0)),0)</f>
        <v>0</v>
      </c>
      <c r="BG263" s="651">
        <f t="shared" si="213"/>
        <v>0</v>
      </c>
      <c r="BH263" s="652">
        <f t="shared" si="214"/>
        <v>0</v>
      </c>
      <c r="BI263" s="652">
        <f t="shared" si="215"/>
        <v>0</v>
      </c>
      <c r="BJ263" s="662"/>
      <c r="BK263" s="654"/>
      <c r="BL263" s="654"/>
      <c r="BM263" s="654"/>
      <c r="BN263" s="654"/>
      <c r="BO263" s="654"/>
      <c r="BP263" s="654"/>
      <c r="BQ263" s="654"/>
      <c r="BR263" s="654"/>
    </row>
    <row r="264" spans="1:70" s="426" customFormat="1" ht="13.5" customHeight="1">
      <c r="A264" s="655" t="s">
        <v>1855</v>
      </c>
      <c r="B264" s="655" t="s">
        <v>2283</v>
      </c>
      <c r="C264" s="648">
        <f>SETUP!$F$23</f>
        <v>0</v>
      </c>
      <c r="D264" s="654">
        <v>6.5</v>
      </c>
      <c r="E264" s="655" t="s">
        <v>1210</v>
      </c>
      <c r="F264" s="655" t="s">
        <v>218</v>
      </c>
      <c r="G264" s="650" t="str">
        <f t="array" ref="G264">IFERROR(INDEX('HIV-Equipment'!$E$14:$E$58,MATCH($E264&amp;$F264,'HIV-Equipment'!$C$14:$C$58&amp;'HIV-Equipment'!$D$14:$D$58,0)),"")</f>
        <v/>
      </c>
      <c r="H264" s="650" t="str">
        <f t="array" ref="H264">IFERROR(INDEX('HIV-Equipment'!$F$14:$F$58,MATCH($E264&amp;$F264,'HIV-Equipment'!$C$14:$C$58&amp;'HIV-Equipment'!$D$14:$D$58,0)),"")</f>
        <v/>
      </c>
      <c r="I264" s="651">
        <f t="array" ref="I264">IFERROR(INDEX('HIV-Equipment'!$G$14:$G$58,MATCH($E264&amp;$F264,'HIV-Equipment'!$C$14:$C$58&amp;'HIV-Equipment'!$D$14:$D$58,0)),0)</f>
        <v>0</v>
      </c>
      <c r="J264" s="651">
        <f t="array" ref="J264">IFERROR(INDEX('HIV-Equipment'!$H$14:$H$58,MATCH($E264&amp;$F264,'HIV-Equipment'!$C$14:$C$58&amp;'HIV-Equipment'!$D$14:$D$58,0)),0)</f>
        <v>0</v>
      </c>
      <c r="K264" s="652">
        <f t="shared" si="180"/>
        <v>0</v>
      </c>
      <c r="L264" s="652">
        <f t="shared" si="181"/>
        <v>0</v>
      </c>
      <c r="M264" s="652">
        <f t="shared" si="182"/>
        <v>0</v>
      </c>
      <c r="N264" s="651">
        <f t="array" ref="N264">IFERROR(INDEX('HIV-Equipment'!$I$14:$I$58,MATCH($E264&amp;$F264,'HIV-Equipment'!$C$14:$C$58&amp;'HIV-Equipment'!$D$14:$D$58,0)),0)</f>
        <v>0</v>
      </c>
      <c r="O264" s="652">
        <f t="shared" si="183"/>
        <v>0</v>
      </c>
      <c r="P264" s="652">
        <f t="shared" si="184"/>
        <v>0</v>
      </c>
      <c r="Q264" s="652">
        <f t="shared" si="185"/>
        <v>0</v>
      </c>
      <c r="R264" s="651">
        <f t="array" ref="R264">IFERROR(INDEX('HIV-Equipment'!$J$14:$J$58,MATCH($E264&amp;$F264,'HIV-Equipment'!$C$14:$C$58&amp;'HIV-Equipment'!$D$14:$D$58,0)),0)</f>
        <v>0</v>
      </c>
      <c r="S264" s="652">
        <f t="shared" si="186"/>
        <v>0</v>
      </c>
      <c r="T264" s="652">
        <f t="shared" si="187"/>
        <v>0</v>
      </c>
      <c r="U264" s="652">
        <f t="shared" si="188"/>
        <v>0</v>
      </c>
      <c r="V264" s="651">
        <f t="array" ref="V264">IFERROR(INDEX('HIV-Equipment'!$K$14:$K$58,MATCH($E264&amp;$F264,'HIV-Equipment'!$C$14:$C$58&amp;'HIV-Equipment'!$D$14:$D$58,0)),0)</f>
        <v>0</v>
      </c>
      <c r="W264" s="652">
        <f t="shared" si="189"/>
        <v>0</v>
      </c>
      <c r="X264" s="652">
        <f t="shared" si="190"/>
        <v>0</v>
      </c>
      <c r="Y264" s="652">
        <f t="shared" si="191"/>
        <v>0</v>
      </c>
      <c r="Z264" s="661"/>
      <c r="AA264" s="651">
        <f t="array" ref="AA264">IFERROR(INDEX('HIV-Equipment'!$N$14:$N$58,MATCH($E264&amp;$F264,'HIV-Equipment'!$C$14:$C$58&amp;'HIV-Equipment'!$D$14:$D$58,0)),0)</f>
        <v>0</v>
      </c>
      <c r="AB264" s="651">
        <f t="array" ref="AB264">IFERROR(INDEX('HIV-Equipment'!$O$14:$O$58,MATCH($E264&amp;$F264,'HIV-Equipment'!$C$14:$C$58&amp;'HIV-Equipment'!$D$14:$D$58,0)),0)</f>
        <v>0</v>
      </c>
      <c r="AC264" s="651">
        <f t="shared" si="192"/>
        <v>0</v>
      </c>
      <c r="AD264" s="652">
        <f t="shared" si="193"/>
        <v>0</v>
      </c>
      <c r="AE264" s="652">
        <f t="shared" si="194"/>
        <v>0</v>
      </c>
      <c r="AF264" s="651">
        <f t="array" ref="AF264">IFERROR(INDEX('HIV-Equipment'!$P$14:$P$58,MATCH($E264&amp;$F264,'HIV-Equipment'!$C$14:$C$58&amp;'HIV-Equipment'!$D$14:$D$58,0)),0)</f>
        <v>0</v>
      </c>
      <c r="AG264" s="651">
        <f t="shared" si="195"/>
        <v>0</v>
      </c>
      <c r="AH264" s="652">
        <f t="shared" si="196"/>
        <v>0</v>
      </c>
      <c r="AI264" s="652">
        <f t="shared" si="197"/>
        <v>0</v>
      </c>
      <c r="AJ264" s="651">
        <f t="array" ref="AJ264">IFERROR(INDEX('HIV-Equipment'!$Q$14:$Q$58,MATCH($E264&amp;$F264,'HIV-Equipment'!$C$14:$C$58&amp;'HIV-Equipment'!$D$14:$D$58,0)),0)</f>
        <v>0</v>
      </c>
      <c r="AK264" s="651">
        <f t="shared" si="198"/>
        <v>0</v>
      </c>
      <c r="AL264" s="652">
        <f t="shared" si="199"/>
        <v>0</v>
      </c>
      <c r="AM264" s="652">
        <f t="shared" si="200"/>
        <v>0</v>
      </c>
      <c r="AN264" s="651">
        <f t="array" ref="AN264">IFERROR(INDEX('HIV-Equipment'!$R$14:$R$58,MATCH($E264&amp;$F264,'HIV-Equipment'!$C$14:$C$58&amp;'HIV-Equipment'!$D$14:$D$58,0)),0)</f>
        <v>0</v>
      </c>
      <c r="AO264" s="651">
        <f t="shared" si="201"/>
        <v>0</v>
      </c>
      <c r="AP264" s="652">
        <f t="shared" si="202"/>
        <v>0</v>
      </c>
      <c r="AQ264" s="652">
        <f t="shared" si="203"/>
        <v>0</v>
      </c>
      <c r="AR264" s="661"/>
      <c r="AS264" s="651">
        <f t="array" ref="AS264">IFERROR(INDEX('HIV-Equipment'!$U$14:$U$58,MATCH($E264&amp;$F264,'HIV-Equipment'!$C$14:$C$58&amp;'HIV-Equipment'!$D$14:$D$58,0)),0)</f>
        <v>0</v>
      </c>
      <c r="AT264" s="651">
        <f t="array" ref="AT264">IFERROR(INDEX('HIV-Equipment'!$V$14:$V$58,MATCH($E264&amp;$F264,'HIV-Equipment'!$C$14:$C$58&amp;'HIV-Equipment'!$D$14:$D$58,0)),0)</f>
        <v>0</v>
      </c>
      <c r="AU264" s="651">
        <f t="shared" si="204"/>
        <v>0</v>
      </c>
      <c r="AV264" s="652">
        <f t="shared" si="205"/>
        <v>0</v>
      </c>
      <c r="AW264" s="652">
        <f t="shared" si="206"/>
        <v>0</v>
      </c>
      <c r="AX264" s="651">
        <f t="array" ref="AX264">IFERROR(INDEX('HIV-Equipment'!$W$14:$W$58,MATCH($E264&amp;$F264,'HIV-Equipment'!$C$14:$C$58&amp;'HIV-Equipment'!$D$14:$D$58,0)),0)</f>
        <v>0</v>
      </c>
      <c r="AY264" s="651">
        <f t="shared" si="207"/>
        <v>0</v>
      </c>
      <c r="AZ264" s="652">
        <f t="shared" si="208"/>
        <v>0</v>
      </c>
      <c r="BA264" s="652">
        <f t="shared" si="209"/>
        <v>0</v>
      </c>
      <c r="BB264" s="651">
        <f t="array" ref="BB264">IFERROR(INDEX('HIV-Equipment'!$X$14:$X$58,MATCH($E264&amp;$F264,'HIV-Equipment'!$C$14:$C$58&amp;'HIV-Equipment'!$D$14:$D$58,0)),0)</f>
        <v>0</v>
      </c>
      <c r="BC264" s="651">
        <f t="shared" si="210"/>
        <v>0</v>
      </c>
      <c r="BD264" s="652">
        <f t="shared" si="211"/>
        <v>0</v>
      </c>
      <c r="BE264" s="652">
        <f t="shared" si="212"/>
        <v>0</v>
      </c>
      <c r="BF264" s="651">
        <f t="array" ref="BF264">IFERROR(INDEX('HIV-Equipment'!$Y$14:$Y$58,MATCH($E264&amp;$F264,'HIV-Equipment'!$C$14:$C$58&amp;'HIV-Equipment'!$D$14:$D$58,0)),0)</f>
        <v>0</v>
      </c>
      <c r="BG264" s="651">
        <f t="shared" si="213"/>
        <v>0</v>
      </c>
      <c r="BH264" s="652">
        <f t="shared" si="214"/>
        <v>0</v>
      </c>
      <c r="BI264" s="652">
        <f t="shared" si="215"/>
        <v>0</v>
      </c>
      <c r="BJ264" s="662"/>
      <c r="BK264" s="654"/>
      <c r="BL264" s="654"/>
      <c r="BM264" s="654"/>
      <c r="BN264" s="654"/>
      <c r="BO264" s="654"/>
      <c r="BP264" s="654"/>
      <c r="BQ264" s="654"/>
      <c r="BR264" s="654"/>
    </row>
    <row r="265" spans="1:70" s="426" customFormat="1">
      <c r="A265" s="655" t="s">
        <v>1855</v>
      </c>
      <c r="B265" s="655" t="s">
        <v>2283</v>
      </c>
      <c r="C265" s="648">
        <f>SETUP!$F$23</f>
        <v>0</v>
      </c>
      <c r="D265" s="654">
        <v>6.6</v>
      </c>
      <c r="E265" s="655" t="s">
        <v>1210</v>
      </c>
      <c r="F265" s="655" t="s">
        <v>201</v>
      </c>
      <c r="G265" s="650" t="str">
        <f t="array" ref="G265">IFERROR(INDEX('HIV-Equipment'!$E$14:$E$58,MATCH($E265&amp;$F265,'HIV-Equipment'!$C$14:$C$58&amp;'HIV-Equipment'!$D$14:$D$58,0)),"")</f>
        <v/>
      </c>
      <c r="H265" s="650" t="str">
        <f t="array" ref="H265">IFERROR(INDEX('HIV-Equipment'!$F$14:$F$58,MATCH($E265&amp;$F265,'HIV-Equipment'!$C$14:$C$58&amp;'HIV-Equipment'!$D$14:$D$58,0)),"")</f>
        <v/>
      </c>
      <c r="I265" s="651">
        <f t="array" ref="I265">IFERROR(INDEX('HIV-Equipment'!$G$14:$G$58,MATCH($E265&amp;$F265,'HIV-Equipment'!$C$14:$C$58&amp;'HIV-Equipment'!$D$14:$D$58,0)),0)</f>
        <v>0</v>
      </c>
      <c r="J265" s="651">
        <f t="array" ref="J265">IFERROR(INDEX('HIV-Equipment'!$H$14:$H$58,MATCH($E265&amp;$F265,'HIV-Equipment'!$C$14:$C$58&amp;'HIV-Equipment'!$D$14:$D$58,0)),0)</f>
        <v>0</v>
      </c>
      <c r="K265" s="652">
        <f t="shared" si="180"/>
        <v>0</v>
      </c>
      <c r="L265" s="652">
        <f>IF(C265="Upfront",J265,0)</f>
        <v>0</v>
      </c>
      <c r="M265" s="652">
        <f>IF(C265="Upfront",K265,0)</f>
        <v>0</v>
      </c>
      <c r="N265" s="651">
        <f t="array" ref="N265">IFERROR(INDEX('HIV-Equipment'!$I$14:$I$58,MATCH($E265&amp;$F265,'HIV-Equipment'!$C$14:$C$58&amp;'HIV-Equipment'!$D$14:$D$58,0)),0)</f>
        <v>0</v>
      </c>
      <c r="O265" s="652">
        <f t="shared" si="183"/>
        <v>0</v>
      </c>
      <c r="P265" s="652">
        <f>IF(C265="Upfront",N265,0)</f>
        <v>0</v>
      </c>
      <c r="Q265" s="652">
        <f>IF(C265="Upfront",O265,0)</f>
        <v>0</v>
      </c>
      <c r="R265" s="651">
        <f t="array" ref="R265">IFERROR(INDEX('HIV-Equipment'!$J$14:$J$58,MATCH($E265&amp;$F265,'HIV-Equipment'!$C$14:$C$58&amp;'HIV-Equipment'!$D$14:$D$58,0)),0)</f>
        <v>0</v>
      </c>
      <c r="S265" s="652">
        <f t="shared" si="186"/>
        <v>0</v>
      </c>
      <c r="T265" s="652">
        <f>IF(C265="Upfront",R265,IF(C265="At delivery",J265,0))</f>
        <v>0</v>
      </c>
      <c r="U265" s="652">
        <f>IF(C265="Upfront",S265,IF(C265="At delivery",K265,0))</f>
        <v>0</v>
      </c>
      <c r="V265" s="651">
        <f t="array" ref="V265">IFERROR(INDEX('HIV-Equipment'!$K$14:$K$58,MATCH($E265&amp;$F265,'HIV-Equipment'!$C$14:$C$58&amp;'HIV-Equipment'!$D$14:$D$58,0)),0)</f>
        <v>0</v>
      </c>
      <c r="W265" s="652">
        <f t="shared" si="189"/>
        <v>0</v>
      </c>
      <c r="X265" s="652">
        <f>IF(C265="Upfront",V265,IF(C265="At delivery",N265,0))</f>
        <v>0</v>
      </c>
      <c r="Y265" s="652">
        <f>IF(C265="Upfront",W265,IF(C265="At delivery",O265,0))</f>
        <v>0</v>
      </c>
      <c r="Z265" s="661"/>
      <c r="AA265" s="651">
        <f t="array" ref="AA265">IFERROR(INDEX('HIV-Equipment'!$N$14:$N$58,MATCH($E265&amp;$F265,'HIV-Equipment'!$C$14:$C$58&amp;'HIV-Equipment'!$D$14:$D$58,0)),0)</f>
        <v>0</v>
      </c>
      <c r="AB265" s="651">
        <f t="array" ref="AB265">IFERROR(INDEX('HIV-Equipment'!$O$14:$O$58,MATCH($E265&amp;$F265,'HIV-Equipment'!$C$14:$C$58&amp;'HIV-Equipment'!$D$14:$D$58,0)),0)</f>
        <v>0</v>
      </c>
      <c r="AC265" s="651">
        <f t="shared" si="192"/>
        <v>0</v>
      </c>
      <c r="AD265" s="652">
        <f>IF(C265="Upfront",AB265,IF(C265="At delivery",R265,0))</f>
        <v>0</v>
      </c>
      <c r="AE265" s="652">
        <f>IF(C265="Upfront",AC265,IF(C265="At delivery",S265,0))</f>
        <v>0</v>
      </c>
      <c r="AF265" s="651">
        <f t="array" ref="AF265">IFERROR(INDEX('HIV-Equipment'!$P$14:$P$58,MATCH($E265&amp;$F265,'HIV-Equipment'!$C$14:$C$58&amp;'HIV-Equipment'!$D$14:$D$58,0)),0)</f>
        <v>0</v>
      </c>
      <c r="AG265" s="651">
        <f t="shared" si="195"/>
        <v>0</v>
      </c>
      <c r="AH265" s="652">
        <f>IF(C265="Upfront",AF265,IF(C265="At delivery",V265,0))</f>
        <v>0</v>
      </c>
      <c r="AI265" s="652">
        <f>IF(C265="Upfront",AG265,IF(C265="At delivery",W265,0))</f>
        <v>0</v>
      </c>
      <c r="AJ265" s="651">
        <f t="array" ref="AJ265">IFERROR(INDEX('HIV-Equipment'!$Q$14:$Q$58,MATCH($E265&amp;$F265,'HIV-Equipment'!$C$14:$C$58&amp;'HIV-Equipment'!$D$14:$D$58,0)),0)</f>
        <v>0</v>
      </c>
      <c r="AK265" s="651">
        <f t="shared" si="198"/>
        <v>0</v>
      </c>
      <c r="AL265" s="652">
        <f>IF(C265="Upfront",AJ265,IF(C265="At delivery",AB265,0))</f>
        <v>0</v>
      </c>
      <c r="AM265" s="652">
        <f>IF(C265="Upfront",AK265,IF(C265="At delivery",AC265,0))</f>
        <v>0</v>
      </c>
      <c r="AN265" s="651">
        <f t="array" ref="AN265">IFERROR(INDEX('HIV-Equipment'!$R$14:$R$58,MATCH($E265&amp;$F265,'HIV-Equipment'!$C$14:$C$58&amp;'HIV-Equipment'!$D$14:$D$58,0)),0)</f>
        <v>0</v>
      </c>
      <c r="AO265" s="651">
        <f t="shared" si="201"/>
        <v>0</v>
      </c>
      <c r="AP265" s="652">
        <f>IF(C265="Upfront",AN265,IF(C265="At delivery",AF265,0))</f>
        <v>0</v>
      </c>
      <c r="AQ265" s="652">
        <f>IF(C265="Upfront",AO265,IF(C265="At delivery",AG265,0))</f>
        <v>0</v>
      </c>
      <c r="AR265" s="661"/>
      <c r="AS265" s="651">
        <f t="array" ref="AS265">IFERROR(INDEX('HIV-Equipment'!$U$14:$U$58,MATCH($E265&amp;$F265,'HIV-Equipment'!$C$14:$C$58&amp;'HIV-Equipment'!$D$14:$D$58,0)),0)</f>
        <v>0</v>
      </c>
      <c r="AT265" s="651">
        <f t="array" ref="AT265">IFERROR(INDEX('HIV-Equipment'!$V$14:$V$58,MATCH($E265&amp;$F265,'HIV-Equipment'!$C$14:$C$58&amp;'HIV-Equipment'!$D$14:$D$58,0)),0)</f>
        <v>0</v>
      </c>
      <c r="AU265" s="651">
        <f t="shared" si="204"/>
        <v>0</v>
      </c>
      <c r="AV265" s="652">
        <f>IF(C265="Upfront",AT265,IF(C265="At delivery",AJ265,0))</f>
        <v>0</v>
      </c>
      <c r="AW265" s="652">
        <f>IF(C265="Upfront",AU265,IF(C265="At delivery",AK265,0))</f>
        <v>0</v>
      </c>
      <c r="AX265" s="651">
        <f t="array" ref="AX265">IFERROR(INDEX('HIV-Equipment'!$W$14:$W$58,MATCH($E265&amp;$F265,'HIV-Equipment'!$C$14:$C$58&amp;'HIV-Equipment'!$D$14:$D$58,0)),0)</f>
        <v>0</v>
      </c>
      <c r="AY265" s="651">
        <f t="shared" si="207"/>
        <v>0</v>
      </c>
      <c r="AZ265" s="652">
        <f>IF(C265="Upfront",AX265,IF(C265="At delivery",AN265,0))</f>
        <v>0</v>
      </c>
      <c r="BA265" s="652">
        <f>IF(C265="Upfront",AY265,IF(C265="At delivery",AO265,0))</f>
        <v>0</v>
      </c>
      <c r="BB265" s="651">
        <f t="array" ref="BB265">IFERROR(INDEX('HIV-Equipment'!$X$14:$X$58,MATCH($E265&amp;$F265,'HIV-Equipment'!$C$14:$C$58&amp;'HIV-Equipment'!$D$14:$D$58,0)),0)</f>
        <v>0</v>
      </c>
      <c r="BC265" s="651">
        <f t="shared" si="210"/>
        <v>0</v>
      </c>
      <c r="BD265" s="652">
        <f>IF(C265="Upfront",BB265,IF(C265="At delivery",AT265,0))</f>
        <v>0</v>
      </c>
      <c r="BE265" s="652">
        <f>IF(C265="Upfront",BC265,IF(C265="At delivery",AU265,0))</f>
        <v>0</v>
      </c>
      <c r="BF265" s="651">
        <f t="array" ref="BF265">IFERROR(INDEX('HIV-Equipment'!$Y$14:$Y$58,MATCH($E265&amp;$F265,'HIV-Equipment'!$C$14:$C$58&amp;'HIV-Equipment'!$D$14:$D$58,0)),0)</f>
        <v>0</v>
      </c>
      <c r="BG265" s="651">
        <f t="shared" si="213"/>
        <v>0</v>
      </c>
      <c r="BH265" s="652">
        <f>IF(C265="Upfront",BF265,IF(C265="At delivery",AX265,0))</f>
        <v>0</v>
      </c>
      <c r="BI265" s="652">
        <f>IF(C265="Upfront",BG265,IF(C265="At delivery",AY265,0))</f>
        <v>0</v>
      </c>
      <c r="BJ265" s="662"/>
      <c r="BK265" s="654"/>
      <c r="BL265" s="654"/>
      <c r="BM265" s="654"/>
      <c r="BN265" s="654"/>
      <c r="BO265" s="654"/>
      <c r="BP265" s="654"/>
      <c r="BQ265" s="654"/>
      <c r="BR265" s="654"/>
    </row>
    <row r="266" spans="1:70" s="426" customFormat="1">
      <c r="A266" s="655" t="s">
        <v>1855</v>
      </c>
      <c r="B266" s="655" t="s">
        <v>2283</v>
      </c>
      <c r="C266" s="648">
        <f>SETUP!$F$23</f>
        <v>0</v>
      </c>
      <c r="D266" s="654">
        <v>6.6</v>
      </c>
      <c r="E266" s="655" t="s">
        <v>1210</v>
      </c>
      <c r="F266" s="655" t="s">
        <v>200</v>
      </c>
      <c r="G266" s="650" t="str">
        <f t="array" ref="G266">IFERROR(INDEX('HIV-Equipment'!$E$14:$E$58,MATCH($E266&amp;$F266,'HIV-Equipment'!$C$14:$C$58&amp;'HIV-Equipment'!$D$14:$D$58,0)),"")</f>
        <v/>
      </c>
      <c r="H266" s="650" t="str">
        <f t="array" ref="H266">IFERROR(INDEX('HIV-Equipment'!$F$14:$F$58,MATCH($E266&amp;$F266,'HIV-Equipment'!$C$14:$C$58&amp;'HIV-Equipment'!$D$14:$D$58,0)),"")</f>
        <v/>
      </c>
      <c r="I266" s="651">
        <f t="array" ref="I266">IFERROR(INDEX('HIV-Equipment'!$G$14:$G$58,MATCH($E266&amp;$F266,'HIV-Equipment'!$C$14:$C$58&amp;'HIV-Equipment'!$D$14:$D$58,0)),0)</f>
        <v>0</v>
      </c>
      <c r="J266" s="651">
        <f t="array" ref="J266">IFERROR(INDEX('HIV-Equipment'!$H$14:$H$58,MATCH($E266&amp;$F266,'HIV-Equipment'!$C$14:$C$58&amp;'HIV-Equipment'!$D$14:$D$58,0)),0)</f>
        <v>0</v>
      </c>
      <c r="K266" s="652">
        <f t="shared" si="180"/>
        <v>0</v>
      </c>
      <c r="L266" s="652">
        <f>IF(C266="Upfront",J266,0)</f>
        <v>0</v>
      </c>
      <c r="M266" s="652">
        <f>IF(C266="Upfront",K266,0)</f>
        <v>0</v>
      </c>
      <c r="N266" s="651">
        <f t="array" ref="N266">IFERROR(INDEX('HIV-Equipment'!$I$14:$I$58,MATCH($E266&amp;$F266,'HIV-Equipment'!$C$14:$C$58&amp;'HIV-Equipment'!$D$14:$D$58,0)),0)</f>
        <v>0</v>
      </c>
      <c r="O266" s="652">
        <f t="shared" si="183"/>
        <v>0</v>
      </c>
      <c r="P266" s="652">
        <f>IF(C266="Upfront",N266,0)</f>
        <v>0</v>
      </c>
      <c r="Q266" s="652">
        <f>IF(C266="Upfront",O266,0)</f>
        <v>0</v>
      </c>
      <c r="R266" s="651">
        <f t="array" ref="R266">IFERROR(INDEX('HIV-Equipment'!$J$14:$J$58,MATCH($E266&amp;$F266,'HIV-Equipment'!$C$14:$C$58&amp;'HIV-Equipment'!$D$14:$D$58,0)),0)</f>
        <v>0</v>
      </c>
      <c r="S266" s="652">
        <f t="shared" si="186"/>
        <v>0</v>
      </c>
      <c r="T266" s="652">
        <f>IF(C266="Upfront",R266,IF(C266="At delivery",J266,0))</f>
        <v>0</v>
      </c>
      <c r="U266" s="652">
        <f>IF(C266="Upfront",S266,IF(C266="At delivery",K266,0))</f>
        <v>0</v>
      </c>
      <c r="V266" s="651">
        <f t="array" ref="V266">IFERROR(INDEX('HIV-Equipment'!$K$14:$K$58,MATCH($E266&amp;$F266,'HIV-Equipment'!$C$14:$C$58&amp;'HIV-Equipment'!$D$14:$D$58,0)),0)</f>
        <v>0</v>
      </c>
      <c r="W266" s="652">
        <f t="shared" si="189"/>
        <v>0</v>
      </c>
      <c r="X266" s="652">
        <f>IF(C266="Upfront",V266,IF(C266="At delivery",N266,0))</f>
        <v>0</v>
      </c>
      <c r="Y266" s="652">
        <f>IF(C266="Upfront",W266,IF(C266="At delivery",O266,0))</f>
        <v>0</v>
      </c>
      <c r="Z266" s="661"/>
      <c r="AA266" s="651">
        <f t="array" ref="AA266">IFERROR(INDEX('HIV-Equipment'!$N$14:$N$58,MATCH($E266&amp;$F266,'HIV-Equipment'!$C$14:$C$58&amp;'HIV-Equipment'!$D$14:$D$58,0)),0)</f>
        <v>0</v>
      </c>
      <c r="AB266" s="651">
        <f t="array" ref="AB266">IFERROR(INDEX('HIV-Equipment'!$O$14:$O$58,MATCH($E266&amp;$F266,'HIV-Equipment'!$C$14:$C$58&amp;'HIV-Equipment'!$D$14:$D$58,0)),0)</f>
        <v>0</v>
      </c>
      <c r="AC266" s="651">
        <f t="shared" si="192"/>
        <v>0</v>
      </c>
      <c r="AD266" s="652">
        <f>IF(C266="Upfront",AB266,IF(C266="At delivery",R266,0))</f>
        <v>0</v>
      </c>
      <c r="AE266" s="652">
        <f>IF(C266="Upfront",AC266,IF(C266="At delivery",S266,0))</f>
        <v>0</v>
      </c>
      <c r="AF266" s="651">
        <f t="array" ref="AF266">IFERROR(INDEX('HIV-Equipment'!$P$14:$P$58,MATCH($E266&amp;$F266,'HIV-Equipment'!$C$14:$C$58&amp;'HIV-Equipment'!$D$14:$D$58,0)),0)</f>
        <v>0</v>
      </c>
      <c r="AG266" s="651">
        <f t="shared" si="195"/>
        <v>0</v>
      </c>
      <c r="AH266" s="652">
        <f>IF(C266="Upfront",AF266,IF(C266="At delivery",V266,0))</f>
        <v>0</v>
      </c>
      <c r="AI266" s="652">
        <f>IF(C266="Upfront",AG266,IF(C266="At delivery",W266,0))</f>
        <v>0</v>
      </c>
      <c r="AJ266" s="651">
        <f t="array" ref="AJ266">IFERROR(INDEX('HIV-Equipment'!$Q$14:$Q$58,MATCH($E266&amp;$F266,'HIV-Equipment'!$C$14:$C$58&amp;'HIV-Equipment'!$D$14:$D$58,0)),0)</f>
        <v>0</v>
      </c>
      <c r="AK266" s="651">
        <f t="shared" si="198"/>
        <v>0</v>
      </c>
      <c r="AL266" s="652">
        <f>IF(C266="Upfront",AJ266,IF(C266="At delivery",AB266,0))</f>
        <v>0</v>
      </c>
      <c r="AM266" s="652">
        <f>IF(C266="Upfront",AK266,IF(C266="At delivery",AC266,0))</f>
        <v>0</v>
      </c>
      <c r="AN266" s="651">
        <f t="array" ref="AN266">IFERROR(INDEX('HIV-Equipment'!$R$14:$R$58,MATCH($E266&amp;$F266,'HIV-Equipment'!$C$14:$C$58&amp;'HIV-Equipment'!$D$14:$D$58,0)),0)</f>
        <v>0</v>
      </c>
      <c r="AO266" s="651">
        <f t="shared" si="201"/>
        <v>0</v>
      </c>
      <c r="AP266" s="652">
        <f>IF(C266="Upfront",AN266,IF(C266="At delivery",AF266,0))</f>
        <v>0</v>
      </c>
      <c r="AQ266" s="652">
        <f>IF(C266="Upfront",AO266,IF(C266="At delivery",AG266,0))</f>
        <v>0</v>
      </c>
      <c r="AR266" s="661"/>
      <c r="AS266" s="651">
        <f t="array" ref="AS266">IFERROR(INDEX('HIV-Equipment'!$U$14:$U$58,MATCH($E266&amp;$F266,'HIV-Equipment'!$C$14:$C$58&amp;'HIV-Equipment'!$D$14:$D$58,0)),0)</f>
        <v>0</v>
      </c>
      <c r="AT266" s="651">
        <f t="array" ref="AT266">IFERROR(INDEX('HIV-Equipment'!$V$14:$V$58,MATCH($E266&amp;$F266,'HIV-Equipment'!$C$14:$C$58&amp;'HIV-Equipment'!$D$14:$D$58,0)),0)</f>
        <v>0</v>
      </c>
      <c r="AU266" s="651">
        <f t="shared" si="204"/>
        <v>0</v>
      </c>
      <c r="AV266" s="652">
        <f>IF(C266="Upfront",AT266,IF(C266="At delivery",AJ266,0))</f>
        <v>0</v>
      </c>
      <c r="AW266" s="652">
        <f>IF(C266="Upfront",AU266,IF(C266="At delivery",AK266,0))</f>
        <v>0</v>
      </c>
      <c r="AX266" s="651">
        <f t="array" ref="AX266">IFERROR(INDEX('HIV-Equipment'!$W$14:$W$58,MATCH($E266&amp;$F266,'HIV-Equipment'!$C$14:$C$58&amp;'HIV-Equipment'!$D$14:$D$58,0)),0)</f>
        <v>0</v>
      </c>
      <c r="AY266" s="651">
        <f t="shared" si="207"/>
        <v>0</v>
      </c>
      <c r="AZ266" s="652">
        <f>IF(C266="Upfront",AX266,IF(C266="At delivery",AN266,0))</f>
        <v>0</v>
      </c>
      <c r="BA266" s="652">
        <f>IF(C266="Upfront",AY266,IF(C266="At delivery",AO266,0))</f>
        <v>0</v>
      </c>
      <c r="BB266" s="651">
        <f t="array" ref="BB266">IFERROR(INDEX('HIV-Equipment'!$X$14:$X$58,MATCH($E266&amp;$F266,'HIV-Equipment'!$C$14:$C$58&amp;'HIV-Equipment'!$D$14:$D$58,0)),0)</f>
        <v>0</v>
      </c>
      <c r="BC266" s="651">
        <f t="shared" si="210"/>
        <v>0</v>
      </c>
      <c r="BD266" s="652">
        <f>IF(C266="Upfront",BB266,IF(C266="At delivery",AT266,0))</f>
        <v>0</v>
      </c>
      <c r="BE266" s="652">
        <f>IF(C266="Upfront",BC266,IF(C266="At delivery",AU266,0))</f>
        <v>0</v>
      </c>
      <c r="BF266" s="651">
        <f t="array" ref="BF266">IFERROR(INDEX('HIV-Equipment'!$Y$14:$Y$58,MATCH($E266&amp;$F266,'HIV-Equipment'!$C$14:$C$58&amp;'HIV-Equipment'!$D$14:$D$58,0)),0)</f>
        <v>0</v>
      </c>
      <c r="BG266" s="651">
        <f t="shared" si="213"/>
        <v>0</v>
      </c>
      <c r="BH266" s="652">
        <f>IF(C266="Upfront",BF266,IF(C266="At delivery",AX266,0))</f>
        <v>0</v>
      </c>
      <c r="BI266" s="652">
        <f>IF(C266="Upfront",BG266,IF(C266="At delivery",AY266,0))</f>
        <v>0</v>
      </c>
      <c r="BJ266" s="662"/>
      <c r="BK266" s="654"/>
      <c r="BL266" s="654"/>
      <c r="BM266" s="654"/>
      <c r="BN266" s="654"/>
      <c r="BO266" s="654"/>
      <c r="BP266" s="654"/>
      <c r="BQ266" s="654"/>
      <c r="BR266" s="654"/>
    </row>
    <row r="267" spans="1:70" s="426" customFormat="1">
      <c r="A267" s="655" t="s">
        <v>1855</v>
      </c>
      <c r="B267" s="655" t="s">
        <v>2283</v>
      </c>
      <c r="C267" s="648">
        <f>SETUP!$F$23</f>
        <v>0</v>
      </c>
      <c r="D267" s="654">
        <v>6.5</v>
      </c>
      <c r="E267" s="655" t="s">
        <v>324</v>
      </c>
      <c r="F267" s="655" t="s">
        <v>218</v>
      </c>
      <c r="G267" s="650" t="str">
        <f t="array" ref="G267">IFERROR(INDEX('HIV-Equipment'!$E$14:$E$58,MATCH($E267&amp;$F267,'HIV-Equipment'!$C$14:$C$58&amp;'HIV-Equipment'!$D$14:$D$58,0)),"")</f>
        <v/>
      </c>
      <c r="H267" s="650" t="str">
        <f t="array" ref="H267">IFERROR(INDEX('HIV-Equipment'!$F$14:$F$58,MATCH($E267&amp;$F267,'HIV-Equipment'!$C$14:$C$58&amp;'HIV-Equipment'!$D$14:$D$58,0)),"")</f>
        <v/>
      </c>
      <c r="I267" s="651">
        <f t="array" ref="I267">IFERROR(INDEX('HIV-Equipment'!$G$14:$G$58,MATCH($E267&amp;$F267,'HIV-Equipment'!$C$14:$C$58&amp;'HIV-Equipment'!$D$14:$D$58,0)),0)</f>
        <v>0</v>
      </c>
      <c r="J267" s="651">
        <f t="array" ref="J267">IFERROR(INDEX('HIV-Equipment'!$H$14:$H$58,MATCH($E267&amp;$F267,'HIV-Equipment'!$C$14:$C$58&amp;'HIV-Equipment'!$D$14:$D$58,0)),0)</f>
        <v>0</v>
      </c>
      <c r="K267" s="652">
        <f t="shared" si="180"/>
        <v>0</v>
      </c>
      <c r="L267" s="652">
        <f t="shared" si="181"/>
        <v>0</v>
      </c>
      <c r="M267" s="652">
        <f t="shared" si="182"/>
        <v>0</v>
      </c>
      <c r="N267" s="651">
        <f t="array" ref="N267">IFERROR(INDEX('HIV-Equipment'!$I$14:$I$58,MATCH($E267&amp;$F267,'HIV-Equipment'!$C$14:$C$58&amp;'HIV-Equipment'!$D$14:$D$58,0)),0)</f>
        <v>0</v>
      </c>
      <c r="O267" s="652">
        <f t="shared" si="183"/>
        <v>0</v>
      </c>
      <c r="P267" s="652">
        <f t="shared" si="184"/>
        <v>0</v>
      </c>
      <c r="Q267" s="652">
        <f t="shared" si="185"/>
        <v>0</v>
      </c>
      <c r="R267" s="651">
        <f t="array" ref="R267">IFERROR(INDEX('HIV-Equipment'!$J$14:$J$58,MATCH($E267&amp;$F267,'HIV-Equipment'!$C$14:$C$58&amp;'HIV-Equipment'!$D$14:$D$58,0)),0)</f>
        <v>0</v>
      </c>
      <c r="S267" s="652">
        <f t="shared" si="186"/>
        <v>0</v>
      </c>
      <c r="T267" s="652">
        <f t="shared" si="187"/>
        <v>0</v>
      </c>
      <c r="U267" s="652">
        <f t="shared" si="188"/>
        <v>0</v>
      </c>
      <c r="V267" s="651">
        <f t="array" ref="V267">IFERROR(INDEX('HIV-Equipment'!$K$14:$K$58,MATCH($E267&amp;$F267,'HIV-Equipment'!$C$14:$C$58&amp;'HIV-Equipment'!$D$14:$D$58,0)),0)</f>
        <v>0</v>
      </c>
      <c r="W267" s="652">
        <f t="shared" si="189"/>
        <v>0</v>
      </c>
      <c r="X267" s="652">
        <f t="shared" si="190"/>
        <v>0</v>
      </c>
      <c r="Y267" s="652">
        <f t="shared" si="191"/>
        <v>0</v>
      </c>
      <c r="Z267" s="661"/>
      <c r="AA267" s="651">
        <f t="array" ref="AA267">IFERROR(INDEX('HIV-Equipment'!$N$14:$N$58,MATCH($E267&amp;$F267,'HIV-Equipment'!$C$14:$C$58&amp;'HIV-Equipment'!$D$14:$D$58,0)),0)</f>
        <v>0</v>
      </c>
      <c r="AB267" s="651">
        <f t="array" ref="AB267">IFERROR(INDEX('HIV-Equipment'!$O$14:$O$58,MATCH($E267&amp;$F267,'HIV-Equipment'!$C$14:$C$58&amp;'HIV-Equipment'!$D$14:$D$58,0)),0)</f>
        <v>0</v>
      </c>
      <c r="AC267" s="651">
        <f t="shared" si="192"/>
        <v>0</v>
      </c>
      <c r="AD267" s="652">
        <f t="shared" si="193"/>
        <v>0</v>
      </c>
      <c r="AE267" s="652">
        <f t="shared" si="194"/>
        <v>0</v>
      </c>
      <c r="AF267" s="651">
        <f t="array" ref="AF267">IFERROR(INDEX('HIV-Equipment'!$P$14:$P$58,MATCH($E267&amp;$F267,'HIV-Equipment'!$C$14:$C$58&amp;'HIV-Equipment'!$D$14:$D$58,0)),0)</f>
        <v>0</v>
      </c>
      <c r="AG267" s="651">
        <f t="shared" si="195"/>
        <v>0</v>
      </c>
      <c r="AH267" s="652">
        <f t="shared" si="196"/>
        <v>0</v>
      </c>
      <c r="AI267" s="652">
        <f t="shared" si="197"/>
        <v>0</v>
      </c>
      <c r="AJ267" s="651">
        <f t="array" ref="AJ267">IFERROR(INDEX('HIV-Equipment'!$Q$14:$Q$58,MATCH($E267&amp;$F267,'HIV-Equipment'!$C$14:$C$58&amp;'HIV-Equipment'!$D$14:$D$58,0)),0)</f>
        <v>0</v>
      </c>
      <c r="AK267" s="651">
        <f t="shared" si="198"/>
        <v>0</v>
      </c>
      <c r="AL267" s="652">
        <f t="shared" si="199"/>
        <v>0</v>
      </c>
      <c r="AM267" s="652">
        <f t="shared" si="200"/>
        <v>0</v>
      </c>
      <c r="AN267" s="651">
        <f t="array" ref="AN267">IFERROR(INDEX('HIV-Equipment'!$R$14:$R$58,MATCH($E267&amp;$F267,'HIV-Equipment'!$C$14:$C$58&amp;'HIV-Equipment'!$D$14:$D$58,0)),0)</f>
        <v>0</v>
      </c>
      <c r="AO267" s="651">
        <f t="shared" si="201"/>
        <v>0</v>
      </c>
      <c r="AP267" s="652">
        <f t="shared" si="202"/>
        <v>0</v>
      </c>
      <c r="AQ267" s="652">
        <f t="shared" si="203"/>
        <v>0</v>
      </c>
      <c r="AR267" s="661"/>
      <c r="AS267" s="651">
        <f t="array" ref="AS267">IFERROR(INDEX('HIV-Equipment'!$U$14:$U$58,MATCH($E267&amp;$F267,'HIV-Equipment'!$C$14:$C$58&amp;'HIV-Equipment'!$D$14:$D$58,0)),0)</f>
        <v>0</v>
      </c>
      <c r="AT267" s="651">
        <f t="array" ref="AT267">IFERROR(INDEX('HIV-Equipment'!$V$14:$V$58,MATCH($E267&amp;$F267,'HIV-Equipment'!$C$14:$C$58&amp;'HIV-Equipment'!$D$14:$D$58,0)),0)</f>
        <v>0</v>
      </c>
      <c r="AU267" s="651">
        <f t="shared" si="204"/>
        <v>0</v>
      </c>
      <c r="AV267" s="652">
        <f t="shared" si="205"/>
        <v>0</v>
      </c>
      <c r="AW267" s="652">
        <f t="shared" si="206"/>
        <v>0</v>
      </c>
      <c r="AX267" s="651">
        <f t="array" ref="AX267">IFERROR(INDEX('HIV-Equipment'!$W$14:$W$58,MATCH($E267&amp;$F267,'HIV-Equipment'!$C$14:$C$58&amp;'HIV-Equipment'!$D$14:$D$58,0)),0)</f>
        <v>0</v>
      </c>
      <c r="AY267" s="651">
        <f t="shared" si="207"/>
        <v>0</v>
      </c>
      <c r="AZ267" s="652">
        <f t="shared" si="208"/>
        <v>0</v>
      </c>
      <c r="BA267" s="652">
        <f t="shared" si="209"/>
        <v>0</v>
      </c>
      <c r="BB267" s="651">
        <f t="array" ref="BB267">IFERROR(INDEX('HIV-Equipment'!$X$14:$X$58,MATCH($E267&amp;$F267,'HIV-Equipment'!$C$14:$C$58&amp;'HIV-Equipment'!$D$14:$D$58,0)),0)</f>
        <v>0</v>
      </c>
      <c r="BC267" s="651">
        <f t="shared" si="210"/>
        <v>0</v>
      </c>
      <c r="BD267" s="652">
        <f t="shared" si="211"/>
        <v>0</v>
      </c>
      <c r="BE267" s="652">
        <f t="shared" si="212"/>
        <v>0</v>
      </c>
      <c r="BF267" s="651">
        <f t="array" ref="BF267">IFERROR(INDEX('HIV-Equipment'!$Y$14:$Y$58,MATCH($E267&amp;$F267,'HIV-Equipment'!$C$14:$C$58&amp;'HIV-Equipment'!$D$14:$D$58,0)),0)</f>
        <v>0</v>
      </c>
      <c r="BG267" s="651">
        <f t="shared" si="213"/>
        <v>0</v>
      </c>
      <c r="BH267" s="652">
        <f t="shared" si="214"/>
        <v>0</v>
      </c>
      <c r="BI267" s="652">
        <f t="shared" si="215"/>
        <v>0</v>
      </c>
      <c r="BJ267" s="662"/>
      <c r="BK267" s="654"/>
      <c r="BL267" s="654"/>
      <c r="BM267" s="654"/>
      <c r="BN267" s="654"/>
      <c r="BO267" s="654"/>
      <c r="BP267" s="654"/>
      <c r="BQ267" s="654"/>
      <c r="BR267" s="654"/>
    </row>
    <row r="268" spans="1:70" s="426" customFormat="1">
      <c r="A268" s="655" t="s">
        <v>1855</v>
      </c>
      <c r="B268" s="655" t="s">
        <v>2283</v>
      </c>
      <c r="C268" s="648">
        <f>SETUP!$F$23</f>
        <v>0</v>
      </c>
      <c r="D268" s="654">
        <v>6.6</v>
      </c>
      <c r="E268" s="655" t="s">
        <v>324</v>
      </c>
      <c r="F268" s="655" t="s">
        <v>201</v>
      </c>
      <c r="G268" s="650" t="str">
        <f t="array" ref="G268">IFERROR(INDEX('HIV-Equipment'!$E$14:$E$58,MATCH($E268&amp;$F268,'HIV-Equipment'!$C$14:$C$58&amp;'HIV-Equipment'!$D$14:$D$58,0)),"")</f>
        <v/>
      </c>
      <c r="H268" s="650" t="str">
        <f t="array" ref="H268">IFERROR(INDEX('HIV-Equipment'!$F$14:$F$58,MATCH($E268&amp;$F268,'HIV-Equipment'!$C$14:$C$58&amp;'HIV-Equipment'!$D$14:$D$58,0)),"")</f>
        <v/>
      </c>
      <c r="I268" s="651">
        <f t="array" ref="I268">IFERROR(INDEX('HIV-Equipment'!$G$14:$G$58,MATCH($E268&amp;$F268,'HIV-Equipment'!$C$14:$C$58&amp;'HIV-Equipment'!$D$14:$D$58,0)),0)</f>
        <v>0</v>
      </c>
      <c r="J268" s="651">
        <f t="array" ref="J268">IFERROR(INDEX('HIV-Equipment'!$H$14:$H$58,MATCH($E268&amp;$F268,'HIV-Equipment'!$C$14:$C$58&amp;'HIV-Equipment'!$D$14:$D$58,0)),0)</f>
        <v>0</v>
      </c>
      <c r="K268" s="652">
        <f t="shared" si="180"/>
        <v>0</v>
      </c>
      <c r="L268" s="652">
        <f>IF(C268="Upfront",J268,0)</f>
        <v>0</v>
      </c>
      <c r="M268" s="652">
        <f>IF(C268="Upfront",K268,0)</f>
        <v>0</v>
      </c>
      <c r="N268" s="651">
        <f t="array" ref="N268">IFERROR(INDEX('HIV-Equipment'!$I$14:$I$58,MATCH($E268&amp;$F268,'HIV-Equipment'!$C$14:$C$58&amp;'HIV-Equipment'!$D$14:$D$58,0)),0)</f>
        <v>0</v>
      </c>
      <c r="O268" s="652">
        <f t="shared" si="183"/>
        <v>0</v>
      </c>
      <c r="P268" s="652">
        <f>IF(C268="Upfront",N268,0)</f>
        <v>0</v>
      </c>
      <c r="Q268" s="652">
        <f>IF(C268="Upfront",O268,0)</f>
        <v>0</v>
      </c>
      <c r="R268" s="651">
        <f t="array" ref="R268">IFERROR(INDEX('HIV-Equipment'!$J$14:$J$58,MATCH($E268&amp;$F268,'HIV-Equipment'!$C$14:$C$58&amp;'HIV-Equipment'!$D$14:$D$58,0)),0)</f>
        <v>0</v>
      </c>
      <c r="S268" s="652">
        <f t="shared" si="186"/>
        <v>0</v>
      </c>
      <c r="T268" s="652">
        <f>IF(C268="Upfront",R268,IF(C268="At delivery",J268,0))</f>
        <v>0</v>
      </c>
      <c r="U268" s="652">
        <f>IF(C268="Upfront",S268,IF(C268="At delivery",K268,0))</f>
        <v>0</v>
      </c>
      <c r="V268" s="651">
        <f t="array" ref="V268">IFERROR(INDEX('HIV-Equipment'!$K$14:$K$58,MATCH($E268&amp;$F268,'HIV-Equipment'!$C$14:$C$58&amp;'HIV-Equipment'!$D$14:$D$58,0)),0)</f>
        <v>0</v>
      </c>
      <c r="W268" s="652">
        <f t="shared" si="189"/>
        <v>0</v>
      </c>
      <c r="X268" s="652">
        <f>IF(C268="Upfront",V268,IF(C268="At delivery",N268,0))</f>
        <v>0</v>
      </c>
      <c r="Y268" s="652">
        <f>IF(C268="Upfront",W268,IF(C268="At delivery",O268,0))</f>
        <v>0</v>
      </c>
      <c r="Z268" s="661"/>
      <c r="AA268" s="651">
        <f t="array" ref="AA268">IFERROR(INDEX('HIV-Equipment'!$N$14:$N$58,MATCH($E268&amp;$F268,'HIV-Equipment'!$C$14:$C$58&amp;'HIV-Equipment'!$D$14:$D$58,0)),0)</f>
        <v>0</v>
      </c>
      <c r="AB268" s="651">
        <f t="array" ref="AB268">IFERROR(INDEX('HIV-Equipment'!$O$14:$O$58,MATCH($E268&amp;$F268,'HIV-Equipment'!$C$14:$C$58&amp;'HIV-Equipment'!$D$14:$D$58,0)),0)</f>
        <v>0</v>
      </c>
      <c r="AC268" s="651">
        <f t="shared" si="192"/>
        <v>0</v>
      </c>
      <c r="AD268" s="652">
        <f>IF(C268="Upfront",AB268,IF(C268="At delivery",R268,0))</f>
        <v>0</v>
      </c>
      <c r="AE268" s="652">
        <f>IF(C268="Upfront",AC268,IF(C268="At delivery",S268,0))</f>
        <v>0</v>
      </c>
      <c r="AF268" s="651">
        <f t="array" ref="AF268">IFERROR(INDEX('HIV-Equipment'!$P$14:$P$58,MATCH($E268&amp;$F268,'HIV-Equipment'!$C$14:$C$58&amp;'HIV-Equipment'!$D$14:$D$58,0)),0)</f>
        <v>0</v>
      </c>
      <c r="AG268" s="651">
        <f t="shared" si="195"/>
        <v>0</v>
      </c>
      <c r="AH268" s="652">
        <f>IF(C268="Upfront",AF268,IF(C268="At delivery",V268,0))</f>
        <v>0</v>
      </c>
      <c r="AI268" s="652">
        <f>IF(C268="Upfront",AG268,IF(C268="At delivery",W268,0))</f>
        <v>0</v>
      </c>
      <c r="AJ268" s="651">
        <f t="array" ref="AJ268">IFERROR(INDEX('HIV-Equipment'!$Q$14:$Q$58,MATCH($E268&amp;$F268,'HIV-Equipment'!$C$14:$C$58&amp;'HIV-Equipment'!$D$14:$D$58,0)),0)</f>
        <v>0</v>
      </c>
      <c r="AK268" s="651">
        <f t="shared" si="198"/>
        <v>0</v>
      </c>
      <c r="AL268" s="652">
        <f>IF(C268="Upfront",AJ268,IF(C268="At delivery",AB268,0))</f>
        <v>0</v>
      </c>
      <c r="AM268" s="652">
        <f>IF(C268="Upfront",AK268,IF(C268="At delivery",AC268,0))</f>
        <v>0</v>
      </c>
      <c r="AN268" s="651">
        <f t="array" ref="AN268">IFERROR(INDEX('HIV-Equipment'!$R$14:$R$58,MATCH($E268&amp;$F268,'HIV-Equipment'!$C$14:$C$58&amp;'HIV-Equipment'!$D$14:$D$58,0)),0)</f>
        <v>0</v>
      </c>
      <c r="AO268" s="651">
        <f t="shared" si="201"/>
        <v>0</v>
      </c>
      <c r="AP268" s="652">
        <f>IF(C268="Upfront",AN268,IF(C268="At delivery",AF268,0))</f>
        <v>0</v>
      </c>
      <c r="AQ268" s="652">
        <f>IF(C268="Upfront",AO268,IF(C268="At delivery",AG268,0))</f>
        <v>0</v>
      </c>
      <c r="AR268" s="661"/>
      <c r="AS268" s="651">
        <f t="array" ref="AS268">IFERROR(INDEX('HIV-Equipment'!$U$14:$U$58,MATCH($E268&amp;$F268,'HIV-Equipment'!$C$14:$C$58&amp;'HIV-Equipment'!$D$14:$D$58,0)),0)</f>
        <v>0</v>
      </c>
      <c r="AT268" s="651">
        <f t="array" ref="AT268">IFERROR(INDEX('HIV-Equipment'!$V$14:$V$58,MATCH($E268&amp;$F268,'HIV-Equipment'!$C$14:$C$58&amp;'HIV-Equipment'!$D$14:$D$58,0)),0)</f>
        <v>0</v>
      </c>
      <c r="AU268" s="651">
        <f t="shared" si="204"/>
        <v>0</v>
      </c>
      <c r="AV268" s="652">
        <f>IF(C268="Upfront",AT268,IF(C268="At delivery",AJ268,0))</f>
        <v>0</v>
      </c>
      <c r="AW268" s="652">
        <f>IF(C268="Upfront",AU268,IF(C268="At delivery",AK268,0))</f>
        <v>0</v>
      </c>
      <c r="AX268" s="651">
        <f t="array" ref="AX268">IFERROR(INDEX('HIV-Equipment'!$W$14:$W$58,MATCH($E268&amp;$F268,'HIV-Equipment'!$C$14:$C$58&amp;'HIV-Equipment'!$D$14:$D$58,0)),0)</f>
        <v>0</v>
      </c>
      <c r="AY268" s="651">
        <f t="shared" si="207"/>
        <v>0</v>
      </c>
      <c r="AZ268" s="652">
        <f>IF(C268="Upfront",AX268,IF(C268="At delivery",AN268,0))</f>
        <v>0</v>
      </c>
      <c r="BA268" s="652">
        <f>IF(C268="Upfront",AY268,IF(C268="At delivery",AO268,0))</f>
        <v>0</v>
      </c>
      <c r="BB268" s="651">
        <f t="array" ref="BB268">IFERROR(INDEX('HIV-Equipment'!$X$14:$X$58,MATCH($E268&amp;$F268,'HIV-Equipment'!$C$14:$C$58&amp;'HIV-Equipment'!$D$14:$D$58,0)),0)</f>
        <v>0</v>
      </c>
      <c r="BC268" s="651">
        <f t="shared" si="210"/>
        <v>0</v>
      </c>
      <c r="BD268" s="652">
        <f>IF(C268="Upfront",BB268,IF(C268="At delivery",AT268,0))</f>
        <v>0</v>
      </c>
      <c r="BE268" s="652">
        <f>IF(C268="Upfront",BC268,IF(C268="At delivery",AU268,0))</f>
        <v>0</v>
      </c>
      <c r="BF268" s="651">
        <f t="array" ref="BF268">IFERROR(INDEX('HIV-Equipment'!$Y$14:$Y$58,MATCH($E268&amp;$F268,'HIV-Equipment'!$C$14:$C$58&amp;'HIV-Equipment'!$D$14:$D$58,0)),0)</f>
        <v>0</v>
      </c>
      <c r="BG268" s="651">
        <f t="shared" si="213"/>
        <v>0</v>
      </c>
      <c r="BH268" s="652">
        <f>IF(C268="Upfront",BF268,IF(C268="At delivery",AX268,0))</f>
        <v>0</v>
      </c>
      <c r="BI268" s="652">
        <f>IF(C268="Upfront",BG268,IF(C268="At delivery",AY268,0))</f>
        <v>0</v>
      </c>
      <c r="BJ268" s="662"/>
      <c r="BK268" s="654"/>
      <c r="BL268" s="654"/>
      <c r="BM268" s="654"/>
      <c r="BN268" s="654"/>
      <c r="BO268" s="654"/>
      <c r="BP268" s="654"/>
      <c r="BQ268" s="654"/>
      <c r="BR268" s="654"/>
    </row>
    <row r="269" spans="1:70" s="426" customFormat="1">
      <c r="A269" s="655" t="s">
        <v>1855</v>
      </c>
      <c r="B269" s="655" t="s">
        <v>2283</v>
      </c>
      <c r="C269" s="648">
        <f>SETUP!$F$23</f>
        <v>0</v>
      </c>
      <c r="D269" s="654">
        <v>6.6</v>
      </c>
      <c r="E269" s="655" t="s">
        <v>324</v>
      </c>
      <c r="F269" s="655" t="s">
        <v>200</v>
      </c>
      <c r="G269" s="650" t="str">
        <f t="array" ref="G269">IFERROR(INDEX('HIV-Equipment'!$E$14:$E$58,MATCH($E269&amp;$F269,'HIV-Equipment'!$C$14:$C$58&amp;'HIV-Equipment'!$D$14:$D$58,0)),"")</f>
        <v/>
      </c>
      <c r="H269" s="650" t="str">
        <f t="array" ref="H269">IFERROR(INDEX('HIV-Equipment'!$F$14:$F$58,MATCH($E269&amp;$F269,'HIV-Equipment'!$C$14:$C$58&amp;'HIV-Equipment'!$D$14:$D$58,0)),"")</f>
        <v/>
      </c>
      <c r="I269" s="651">
        <f t="array" ref="I269">IFERROR(INDEX('HIV-Equipment'!$G$14:$G$58,MATCH($E269&amp;$F269,'HIV-Equipment'!$C$14:$C$58&amp;'HIV-Equipment'!$D$14:$D$58,0)),0)</f>
        <v>0</v>
      </c>
      <c r="J269" s="651">
        <f t="array" ref="J269">IFERROR(INDEX('HIV-Equipment'!$H$14:$H$58,MATCH($E269&amp;$F269,'HIV-Equipment'!$C$14:$C$58&amp;'HIV-Equipment'!$D$14:$D$58,0)),0)</f>
        <v>0</v>
      </c>
      <c r="K269" s="652">
        <f t="shared" si="180"/>
        <v>0</v>
      </c>
      <c r="L269" s="652">
        <f>IF(C269="Upfront",J269,0)</f>
        <v>0</v>
      </c>
      <c r="M269" s="652">
        <f>IF(C269="Upfront",K269,0)</f>
        <v>0</v>
      </c>
      <c r="N269" s="651">
        <f t="array" ref="N269">IFERROR(INDEX('HIV-Equipment'!$I$14:$I$58,MATCH($E269&amp;$F269,'HIV-Equipment'!$C$14:$C$58&amp;'HIV-Equipment'!$D$14:$D$58,0)),0)</f>
        <v>0</v>
      </c>
      <c r="O269" s="652">
        <f t="shared" si="183"/>
        <v>0</v>
      </c>
      <c r="P269" s="652">
        <f>IF(C269="Upfront",N269,0)</f>
        <v>0</v>
      </c>
      <c r="Q269" s="652">
        <f>IF(C269="Upfront",O269,0)</f>
        <v>0</v>
      </c>
      <c r="R269" s="651">
        <f t="array" ref="R269">IFERROR(INDEX('HIV-Equipment'!$J$14:$J$58,MATCH($E269&amp;$F269,'HIV-Equipment'!$C$14:$C$58&amp;'HIV-Equipment'!$D$14:$D$58,0)),0)</f>
        <v>0</v>
      </c>
      <c r="S269" s="652">
        <f t="shared" si="186"/>
        <v>0</v>
      </c>
      <c r="T269" s="652">
        <f>IF(C269="Upfront",R269,IF(C269="At delivery",J269,0))</f>
        <v>0</v>
      </c>
      <c r="U269" s="652">
        <f>IF(C269="Upfront",S269,IF(C269="At delivery",K269,0))</f>
        <v>0</v>
      </c>
      <c r="V269" s="651">
        <f t="array" ref="V269">IFERROR(INDEX('HIV-Equipment'!$K$14:$K$58,MATCH($E269&amp;$F269,'HIV-Equipment'!$C$14:$C$58&amp;'HIV-Equipment'!$D$14:$D$58,0)),0)</f>
        <v>0</v>
      </c>
      <c r="W269" s="652">
        <f t="shared" si="189"/>
        <v>0</v>
      </c>
      <c r="X269" s="652">
        <f>IF(C269="Upfront",V269,IF(C269="At delivery",N269,0))</f>
        <v>0</v>
      </c>
      <c r="Y269" s="652">
        <f>IF(C269="Upfront",W269,IF(C269="At delivery",O269,0))</f>
        <v>0</v>
      </c>
      <c r="Z269" s="661"/>
      <c r="AA269" s="651">
        <f t="array" ref="AA269">IFERROR(INDEX('HIV-Equipment'!$N$14:$N$58,MATCH($E269&amp;$F269,'HIV-Equipment'!$C$14:$C$58&amp;'HIV-Equipment'!$D$14:$D$58,0)),0)</f>
        <v>0</v>
      </c>
      <c r="AB269" s="651">
        <f t="array" ref="AB269">IFERROR(INDEX('HIV-Equipment'!$O$14:$O$58,MATCH($E269&amp;$F269,'HIV-Equipment'!$C$14:$C$58&amp;'HIV-Equipment'!$D$14:$D$58,0)),0)</f>
        <v>0</v>
      </c>
      <c r="AC269" s="651">
        <f t="shared" si="192"/>
        <v>0</v>
      </c>
      <c r="AD269" s="652">
        <f>IF(C269="Upfront",AB269,IF(C269="At delivery",R269,0))</f>
        <v>0</v>
      </c>
      <c r="AE269" s="652">
        <f>IF(C269="Upfront",AC269,IF(C269="At delivery",S269,0))</f>
        <v>0</v>
      </c>
      <c r="AF269" s="651">
        <f t="array" ref="AF269">IFERROR(INDEX('HIV-Equipment'!$P$14:$P$58,MATCH($E269&amp;$F269,'HIV-Equipment'!$C$14:$C$58&amp;'HIV-Equipment'!$D$14:$D$58,0)),0)</f>
        <v>0</v>
      </c>
      <c r="AG269" s="651">
        <f t="shared" si="195"/>
        <v>0</v>
      </c>
      <c r="AH269" s="652">
        <f>IF(C269="Upfront",AF269,IF(C269="At delivery",V269,0))</f>
        <v>0</v>
      </c>
      <c r="AI269" s="652">
        <f>IF(C269="Upfront",AG269,IF(C269="At delivery",W269,0))</f>
        <v>0</v>
      </c>
      <c r="AJ269" s="651">
        <f t="array" ref="AJ269">IFERROR(INDEX('HIV-Equipment'!$Q$14:$Q$58,MATCH($E269&amp;$F269,'HIV-Equipment'!$C$14:$C$58&amp;'HIV-Equipment'!$D$14:$D$58,0)),0)</f>
        <v>0</v>
      </c>
      <c r="AK269" s="651">
        <f t="shared" si="198"/>
        <v>0</v>
      </c>
      <c r="AL269" s="652">
        <f>IF(C269="Upfront",AJ269,IF(C269="At delivery",AB269,0))</f>
        <v>0</v>
      </c>
      <c r="AM269" s="652">
        <f>IF(C269="Upfront",AK269,IF(C269="At delivery",AC269,0))</f>
        <v>0</v>
      </c>
      <c r="AN269" s="651">
        <f t="array" ref="AN269">IFERROR(INDEX('HIV-Equipment'!$R$14:$R$58,MATCH($E269&amp;$F269,'HIV-Equipment'!$C$14:$C$58&amp;'HIV-Equipment'!$D$14:$D$58,0)),0)</f>
        <v>0</v>
      </c>
      <c r="AO269" s="651">
        <f t="shared" si="201"/>
        <v>0</v>
      </c>
      <c r="AP269" s="652">
        <f>IF(C269="Upfront",AN269,IF(C269="At delivery",AF269,0))</f>
        <v>0</v>
      </c>
      <c r="AQ269" s="652">
        <f>IF(C269="Upfront",AO269,IF(C269="At delivery",AG269,0))</f>
        <v>0</v>
      </c>
      <c r="AR269" s="661"/>
      <c r="AS269" s="651">
        <f t="array" ref="AS269">IFERROR(INDEX('HIV-Equipment'!$U$14:$U$58,MATCH($E269&amp;$F269,'HIV-Equipment'!$C$14:$C$58&amp;'HIV-Equipment'!$D$14:$D$58,0)),0)</f>
        <v>0</v>
      </c>
      <c r="AT269" s="651">
        <f t="array" ref="AT269">IFERROR(INDEX('HIV-Equipment'!$V$14:$V$58,MATCH($E269&amp;$F269,'HIV-Equipment'!$C$14:$C$58&amp;'HIV-Equipment'!$D$14:$D$58,0)),0)</f>
        <v>0</v>
      </c>
      <c r="AU269" s="651">
        <f t="shared" si="204"/>
        <v>0</v>
      </c>
      <c r="AV269" s="652">
        <f>IF(C269="Upfront",AT269,IF(C269="At delivery",AJ269,0))</f>
        <v>0</v>
      </c>
      <c r="AW269" s="652">
        <f>IF(C269="Upfront",AU269,IF(C269="At delivery",AK269,0))</f>
        <v>0</v>
      </c>
      <c r="AX269" s="651">
        <f t="array" ref="AX269">IFERROR(INDEX('HIV-Equipment'!$W$14:$W$58,MATCH($E269&amp;$F269,'HIV-Equipment'!$C$14:$C$58&amp;'HIV-Equipment'!$D$14:$D$58,0)),0)</f>
        <v>0</v>
      </c>
      <c r="AY269" s="651">
        <f t="shared" si="207"/>
        <v>0</v>
      </c>
      <c r="AZ269" s="652">
        <f>IF(C269="Upfront",AX269,IF(C269="At delivery",AN269,0))</f>
        <v>0</v>
      </c>
      <c r="BA269" s="652">
        <f>IF(C269="Upfront",AY269,IF(C269="At delivery",AO269,0))</f>
        <v>0</v>
      </c>
      <c r="BB269" s="651">
        <f t="array" ref="BB269">IFERROR(INDEX('HIV-Equipment'!$X$14:$X$58,MATCH($E269&amp;$F269,'HIV-Equipment'!$C$14:$C$58&amp;'HIV-Equipment'!$D$14:$D$58,0)),0)</f>
        <v>0</v>
      </c>
      <c r="BC269" s="651">
        <f t="shared" si="210"/>
        <v>0</v>
      </c>
      <c r="BD269" s="652">
        <f>IF(C269="Upfront",BB269,IF(C269="At delivery",AT269,0))</f>
        <v>0</v>
      </c>
      <c r="BE269" s="652">
        <f>IF(C269="Upfront",BC269,IF(C269="At delivery",AU269,0))</f>
        <v>0</v>
      </c>
      <c r="BF269" s="651">
        <f t="array" ref="BF269">IFERROR(INDEX('HIV-Equipment'!$Y$14:$Y$58,MATCH($E269&amp;$F269,'HIV-Equipment'!$C$14:$C$58&amp;'HIV-Equipment'!$D$14:$D$58,0)),0)</f>
        <v>0</v>
      </c>
      <c r="BG269" s="651">
        <f t="shared" si="213"/>
        <v>0</v>
      </c>
      <c r="BH269" s="652">
        <f>IF(C269="Upfront",BF269,IF(C269="At delivery",AX269,0))</f>
        <v>0</v>
      </c>
      <c r="BI269" s="652">
        <f>IF(C269="Upfront",BG269,IF(C269="At delivery",AY269,0))</f>
        <v>0</v>
      </c>
      <c r="BJ269" s="662"/>
      <c r="BK269" s="654"/>
      <c r="BL269" s="654"/>
      <c r="BM269" s="654"/>
      <c r="BN269" s="654"/>
      <c r="BO269" s="654"/>
      <c r="BP269" s="654"/>
      <c r="BQ269" s="654"/>
      <c r="BR269" s="654"/>
    </row>
    <row r="270" spans="1:70" s="426" customFormat="1">
      <c r="A270" s="655" t="s">
        <v>1855</v>
      </c>
      <c r="B270" s="655" t="s">
        <v>2283</v>
      </c>
      <c r="C270" s="648">
        <f>SETUP!$F$23</f>
        <v>0</v>
      </c>
      <c r="D270" s="654">
        <v>6.5</v>
      </c>
      <c r="E270" s="655" t="s">
        <v>1226</v>
      </c>
      <c r="F270" s="655" t="s">
        <v>218</v>
      </c>
      <c r="G270" s="650" t="str">
        <f t="array" ref="G270">IFERROR(INDEX('HIV-Equipment'!$E$14:$E$58,MATCH($E270&amp;$F270,'HIV-Equipment'!$C$14:$C$58&amp;'HIV-Equipment'!$D$14:$D$58,0)),"")</f>
        <v/>
      </c>
      <c r="H270" s="650" t="str">
        <f t="array" ref="H270">IFERROR(INDEX('HIV-Equipment'!$F$14:$F$58,MATCH($E270&amp;$F270,'HIV-Equipment'!$C$14:$C$58&amp;'HIV-Equipment'!$D$14:$D$58,0)),"")</f>
        <v/>
      </c>
      <c r="I270" s="651">
        <f t="array" ref="I270">IFERROR(INDEX('HIV-Equipment'!$G$14:$G$58,MATCH($E270&amp;$F270,'HIV-Equipment'!$C$14:$C$58&amp;'HIV-Equipment'!$D$14:$D$58,0)),0)</f>
        <v>0</v>
      </c>
      <c r="J270" s="651">
        <f t="array" ref="J270">IFERROR(INDEX('HIV-Equipment'!$H$14:$H$58,MATCH($E270&amp;$F270,'HIV-Equipment'!$C$14:$C$58&amp;'HIV-Equipment'!$D$14:$D$58,0)),0)</f>
        <v>0</v>
      </c>
      <c r="K270" s="652">
        <f t="shared" si="180"/>
        <v>0</v>
      </c>
      <c r="L270" s="652">
        <f t="shared" si="181"/>
        <v>0</v>
      </c>
      <c r="M270" s="652">
        <f t="shared" si="182"/>
        <v>0</v>
      </c>
      <c r="N270" s="651">
        <f t="array" ref="N270">IFERROR(INDEX('HIV-Equipment'!$I$14:$I$58,MATCH($E270&amp;$F270,'HIV-Equipment'!$C$14:$C$58&amp;'HIV-Equipment'!$D$14:$D$58,0)),0)</f>
        <v>0</v>
      </c>
      <c r="O270" s="652">
        <f t="shared" si="183"/>
        <v>0</v>
      </c>
      <c r="P270" s="652">
        <f t="shared" si="184"/>
        <v>0</v>
      </c>
      <c r="Q270" s="652">
        <f t="shared" si="185"/>
        <v>0</v>
      </c>
      <c r="R270" s="651">
        <f t="array" ref="R270">IFERROR(INDEX('HIV-Equipment'!$J$14:$J$58,MATCH($E270&amp;$F270,'HIV-Equipment'!$C$14:$C$58&amp;'HIV-Equipment'!$D$14:$D$58,0)),0)</f>
        <v>0</v>
      </c>
      <c r="S270" s="652">
        <f t="shared" si="186"/>
        <v>0</v>
      </c>
      <c r="T270" s="652">
        <f t="shared" si="187"/>
        <v>0</v>
      </c>
      <c r="U270" s="652">
        <f t="shared" si="188"/>
        <v>0</v>
      </c>
      <c r="V270" s="651">
        <f t="array" ref="V270">IFERROR(INDEX('HIV-Equipment'!$K$14:$K$58,MATCH($E270&amp;$F270,'HIV-Equipment'!$C$14:$C$58&amp;'HIV-Equipment'!$D$14:$D$58,0)),0)</f>
        <v>0</v>
      </c>
      <c r="W270" s="652">
        <f t="shared" si="189"/>
        <v>0</v>
      </c>
      <c r="X270" s="652">
        <f t="shared" si="190"/>
        <v>0</v>
      </c>
      <c r="Y270" s="652">
        <f t="shared" si="191"/>
        <v>0</v>
      </c>
      <c r="Z270" s="661"/>
      <c r="AA270" s="651">
        <f t="array" ref="AA270">IFERROR(INDEX('HIV-Equipment'!$N$14:$N$58,MATCH($E270&amp;$F270,'HIV-Equipment'!$C$14:$C$58&amp;'HIV-Equipment'!$D$14:$D$58,0)),0)</f>
        <v>0</v>
      </c>
      <c r="AB270" s="651">
        <f t="array" ref="AB270">IFERROR(INDEX('HIV-Equipment'!$O$14:$O$58,MATCH($E270&amp;$F270,'HIV-Equipment'!$C$14:$C$58&amp;'HIV-Equipment'!$D$14:$D$58,0)),0)</f>
        <v>0</v>
      </c>
      <c r="AC270" s="651">
        <f t="shared" si="192"/>
        <v>0</v>
      </c>
      <c r="AD270" s="652">
        <f t="shared" si="193"/>
        <v>0</v>
      </c>
      <c r="AE270" s="652">
        <f t="shared" si="194"/>
        <v>0</v>
      </c>
      <c r="AF270" s="651">
        <f t="array" ref="AF270">IFERROR(INDEX('HIV-Equipment'!$P$14:$P$58,MATCH($E270&amp;$F270,'HIV-Equipment'!$C$14:$C$58&amp;'HIV-Equipment'!$D$14:$D$58,0)),0)</f>
        <v>0</v>
      </c>
      <c r="AG270" s="651">
        <f t="shared" si="195"/>
        <v>0</v>
      </c>
      <c r="AH270" s="652">
        <f t="shared" si="196"/>
        <v>0</v>
      </c>
      <c r="AI270" s="652">
        <f t="shared" si="197"/>
        <v>0</v>
      </c>
      <c r="AJ270" s="651">
        <f t="array" ref="AJ270">IFERROR(INDEX('HIV-Equipment'!$Q$14:$Q$58,MATCH($E270&amp;$F270,'HIV-Equipment'!$C$14:$C$58&amp;'HIV-Equipment'!$D$14:$D$58,0)),0)</f>
        <v>0</v>
      </c>
      <c r="AK270" s="651">
        <f t="shared" si="198"/>
        <v>0</v>
      </c>
      <c r="AL270" s="652">
        <f t="shared" si="199"/>
        <v>0</v>
      </c>
      <c r="AM270" s="652">
        <f t="shared" si="200"/>
        <v>0</v>
      </c>
      <c r="AN270" s="651">
        <f t="array" ref="AN270">IFERROR(INDEX('HIV-Equipment'!$R$14:$R$58,MATCH($E270&amp;$F270,'HIV-Equipment'!$C$14:$C$58&amp;'HIV-Equipment'!$D$14:$D$58,0)),0)</f>
        <v>0</v>
      </c>
      <c r="AO270" s="651">
        <f t="shared" si="201"/>
        <v>0</v>
      </c>
      <c r="AP270" s="652">
        <f t="shared" si="202"/>
        <v>0</v>
      </c>
      <c r="AQ270" s="652">
        <f t="shared" si="203"/>
        <v>0</v>
      </c>
      <c r="AR270" s="661"/>
      <c r="AS270" s="651">
        <f t="array" ref="AS270">IFERROR(INDEX('HIV-Equipment'!$U$14:$U$58,MATCH($E270&amp;$F270,'HIV-Equipment'!$C$14:$C$58&amp;'HIV-Equipment'!$D$14:$D$58,0)),0)</f>
        <v>0</v>
      </c>
      <c r="AT270" s="651">
        <f t="array" ref="AT270">IFERROR(INDEX('HIV-Equipment'!$V$14:$V$58,MATCH($E270&amp;$F270,'HIV-Equipment'!$C$14:$C$58&amp;'HIV-Equipment'!$D$14:$D$58,0)),0)</f>
        <v>0</v>
      </c>
      <c r="AU270" s="651">
        <f t="shared" si="204"/>
        <v>0</v>
      </c>
      <c r="AV270" s="652">
        <f t="shared" si="205"/>
        <v>0</v>
      </c>
      <c r="AW270" s="652">
        <f t="shared" si="206"/>
        <v>0</v>
      </c>
      <c r="AX270" s="651">
        <f t="array" ref="AX270">IFERROR(INDEX('HIV-Equipment'!$W$14:$W$58,MATCH($E270&amp;$F270,'HIV-Equipment'!$C$14:$C$58&amp;'HIV-Equipment'!$D$14:$D$58,0)),0)</f>
        <v>0</v>
      </c>
      <c r="AY270" s="651">
        <f t="shared" si="207"/>
        <v>0</v>
      </c>
      <c r="AZ270" s="652">
        <f t="shared" si="208"/>
        <v>0</v>
      </c>
      <c r="BA270" s="652">
        <f t="shared" si="209"/>
        <v>0</v>
      </c>
      <c r="BB270" s="651">
        <f t="array" ref="BB270">IFERROR(INDEX('HIV-Equipment'!$X$14:$X$58,MATCH($E270&amp;$F270,'HIV-Equipment'!$C$14:$C$58&amp;'HIV-Equipment'!$D$14:$D$58,0)),0)</f>
        <v>0</v>
      </c>
      <c r="BC270" s="651">
        <f t="shared" si="210"/>
        <v>0</v>
      </c>
      <c r="BD270" s="652">
        <f t="shared" si="211"/>
        <v>0</v>
      </c>
      <c r="BE270" s="652">
        <f t="shared" si="212"/>
        <v>0</v>
      </c>
      <c r="BF270" s="651">
        <f t="array" ref="BF270">IFERROR(INDEX('HIV-Equipment'!$Y$14:$Y$58,MATCH($E270&amp;$F270,'HIV-Equipment'!$C$14:$C$58&amp;'HIV-Equipment'!$D$14:$D$58,0)),0)</f>
        <v>0</v>
      </c>
      <c r="BG270" s="651">
        <f t="shared" si="213"/>
        <v>0</v>
      </c>
      <c r="BH270" s="652">
        <f t="shared" si="214"/>
        <v>0</v>
      </c>
      <c r="BI270" s="652">
        <f t="shared" si="215"/>
        <v>0</v>
      </c>
      <c r="BJ270" s="662"/>
      <c r="BK270" s="654"/>
      <c r="BL270" s="654"/>
      <c r="BM270" s="654"/>
      <c r="BN270" s="654"/>
      <c r="BO270" s="654"/>
      <c r="BP270" s="654"/>
      <c r="BQ270" s="654"/>
      <c r="BR270" s="654"/>
    </row>
    <row r="271" spans="1:70" s="426" customFormat="1">
      <c r="A271" s="655" t="s">
        <v>1855</v>
      </c>
      <c r="B271" s="655" t="s">
        <v>2283</v>
      </c>
      <c r="C271" s="648">
        <f>SETUP!$F$23</f>
        <v>0</v>
      </c>
      <c r="D271" s="654">
        <v>6.6</v>
      </c>
      <c r="E271" s="655" t="s">
        <v>1226</v>
      </c>
      <c r="F271" s="655" t="s">
        <v>201</v>
      </c>
      <c r="G271" s="650" t="str">
        <f t="array" ref="G271">IFERROR(INDEX('HIV-Equipment'!$E$14:$E$58,MATCH($E271&amp;$F271,'HIV-Equipment'!$C$14:$C$58&amp;'HIV-Equipment'!$D$14:$D$58,0)),"")</f>
        <v/>
      </c>
      <c r="H271" s="650" t="str">
        <f t="array" ref="H271">IFERROR(INDEX('HIV-Equipment'!$F$14:$F$58,MATCH($E271&amp;$F271,'HIV-Equipment'!$C$14:$C$58&amp;'HIV-Equipment'!$D$14:$D$58,0)),"")</f>
        <v/>
      </c>
      <c r="I271" s="651">
        <f t="array" ref="I271">IFERROR(INDEX('HIV-Equipment'!$G$14:$G$58,MATCH($E271&amp;$F271,'HIV-Equipment'!$C$14:$C$58&amp;'HIV-Equipment'!$D$14:$D$58,0)),0)</f>
        <v>0</v>
      </c>
      <c r="J271" s="651">
        <f t="array" ref="J271">IFERROR(INDEX('HIV-Equipment'!$H$14:$H$58,MATCH($E271&amp;$F271,'HIV-Equipment'!$C$14:$C$58&amp;'HIV-Equipment'!$D$14:$D$58,0)),0)</f>
        <v>0</v>
      </c>
      <c r="K271" s="652">
        <f t="shared" si="180"/>
        <v>0</v>
      </c>
      <c r="L271" s="652">
        <f>IF(C271="Upfront",J271,0)</f>
        <v>0</v>
      </c>
      <c r="M271" s="652">
        <f>IF(C271="Upfront",K271,0)</f>
        <v>0</v>
      </c>
      <c r="N271" s="651">
        <f t="array" ref="N271">IFERROR(INDEX('HIV-Equipment'!$I$14:$I$58,MATCH($E271&amp;$F271,'HIV-Equipment'!$C$14:$C$58&amp;'HIV-Equipment'!$D$14:$D$58,0)),0)</f>
        <v>0</v>
      </c>
      <c r="O271" s="652">
        <f t="shared" si="183"/>
        <v>0</v>
      </c>
      <c r="P271" s="652">
        <f>IF(C271="Upfront",N271,0)</f>
        <v>0</v>
      </c>
      <c r="Q271" s="652">
        <f>IF(C271="Upfront",O271,0)</f>
        <v>0</v>
      </c>
      <c r="R271" s="651">
        <f t="array" ref="R271">IFERROR(INDEX('HIV-Equipment'!$J$14:$J$58,MATCH($E271&amp;$F271,'HIV-Equipment'!$C$14:$C$58&amp;'HIV-Equipment'!$D$14:$D$58,0)),0)</f>
        <v>0</v>
      </c>
      <c r="S271" s="652">
        <f t="shared" si="186"/>
        <v>0</v>
      </c>
      <c r="T271" s="652">
        <f>IF(C271="Upfront",R271,IF(C271="At delivery",J271,0))</f>
        <v>0</v>
      </c>
      <c r="U271" s="652">
        <f>IF(C271="Upfront",S271,IF(C271="At delivery",K271,0))</f>
        <v>0</v>
      </c>
      <c r="V271" s="651">
        <f t="array" ref="V271">IFERROR(INDEX('HIV-Equipment'!$K$14:$K$58,MATCH($E271&amp;$F271,'HIV-Equipment'!$C$14:$C$58&amp;'HIV-Equipment'!$D$14:$D$58,0)),0)</f>
        <v>0</v>
      </c>
      <c r="W271" s="652">
        <f t="shared" si="189"/>
        <v>0</v>
      </c>
      <c r="X271" s="652">
        <f>IF(C271="Upfront",V271,IF(C271="At delivery",N271,0))</f>
        <v>0</v>
      </c>
      <c r="Y271" s="652">
        <f>IF(C271="Upfront",W271,IF(C271="At delivery",O271,0))</f>
        <v>0</v>
      </c>
      <c r="Z271" s="661"/>
      <c r="AA271" s="651">
        <f t="array" ref="AA271">IFERROR(INDEX('HIV-Equipment'!$N$14:$N$58,MATCH($E271&amp;$F271,'HIV-Equipment'!$C$14:$C$58&amp;'HIV-Equipment'!$D$14:$D$58,0)),0)</f>
        <v>0</v>
      </c>
      <c r="AB271" s="651">
        <f t="array" ref="AB271">IFERROR(INDEX('HIV-Equipment'!$O$14:$O$58,MATCH($E271&amp;$F271,'HIV-Equipment'!$C$14:$C$58&amp;'HIV-Equipment'!$D$14:$D$58,0)),0)</f>
        <v>0</v>
      </c>
      <c r="AC271" s="651">
        <f t="shared" si="192"/>
        <v>0</v>
      </c>
      <c r="AD271" s="652">
        <f>IF(C271="Upfront",AB271,IF(C271="At delivery",R271,0))</f>
        <v>0</v>
      </c>
      <c r="AE271" s="652">
        <f>IF(C271="Upfront",AC271,IF(C271="At delivery",S271,0))</f>
        <v>0</v>
      </c>
      <c r="AF271" s="651">
        <f t="array" ref="AF271">IFERROR(INDEX('HIV-Equipment'!$P$14:$P$58,MATCH($E271&amp;$F271,'HIV-Equipment'!$C$14:$C$58&amp;'HIV-Equipment'!$D$14:$D$58,0)),0)</f>
        <v>0</v>
      </c>
      <c r="AG271" s="651">
        <f t="shared" si="195"/>
        <v>0</v>
      </c>
      <c r="AH271" s="652">
        <f>IF(C271="Upfront",AF271,IF(C271="At delivery",V271,0))</f>
        <v>0</v>
      </c>
      <c r="AI271" s="652">
        <f>IF(C271="Upfront",AG271,IF(C271="At delivery",W271,0))</f>
        <v>0</v>
      </c>
      <c r="AJ271" s="651">
        <f t="array" ref="AJ271">IFERROR(INDEX('HIV-Equipment'!$Q$14:$Q$58,MATCH($E271&amp;$F271,'HIV-Equipment'!$C$14:$C$58&amp;'HIV-Equipment'!$D$14:$D$58,0)),0)</f>
        <v>0</v>
      </c>
      <c r="AK271" s="651">
        <f t="shared" si="198"/>
        <v>0</v>
      </c>
      <c r="AL271" s="652">
        <f>IF(C271="Upfront",AJ271,IF(C271="At delivery",AB271,0))</f>
        <v>0</v>
      </c>
      <c r="AM271" s="652">
        <f>IF(C271="Upfront",AK271,IF(C271="At delivery",AC271,0))</f>
        <v>0</v>
      </c>
      <c r="AN271" s="651">
        <f t="array" ref="AN271">IFERROR(INDEX('HIV-Equipment'!$R$14:$R$58,MATCH($E271&amp;$F271,'HIV-Equipment'!$C$14:$C$58&amp;'HIV-Equipment'!$D$14:$D$58,0)),0)</f>
        <v>0</v>
      </c>
      <c r="AO271" s="651">
        <f t="shared" si="201"/>
        <v>0</v>
      </c>
      <c r="AP271" s="652">
        <f>IF(C271="Upfront",AN271,IF(C271="At delivery",AF271,0))</f>
        <v>0</v>
      </c>
      <c r="AQ271" s="652">
        <f>IF(C271="Upfront",AO271,IF(C271="At delivery",AG271,0))</f>
        <v>0</v>
      </c>
      <c r="AR271" s="661"/>
      <c r="AS271" s="651">
        <f t="array" ref="AS271">IFERROR(INDEX('HIV-Equipment'!$U$14:$U$58,MATCH($E271&amp;$F271,'HIV-Equipment'!$C$14:$C$58&amp;'HIV-Equipment'!$D$14:$D$58,0)),0)</f>
        <v>0</v>
      </c>
      <c r="AT271" s="651">
        <f t="array" ref="AT271">IFERROR(INDEX('HIV-Equipment'!$V$14:$V$58,MATCH($E271&amp;$F271,'HIV-Equipment'!$C$14:$C$58&amp;'HIV-Equipment'!$D$14:$D$58,0)),0)</f>
        <v>0</v>
      </c>
      <c r="AU271" s="651">
        <f t="shared" si="204"/>
        <v>0</v>
      </c>
      <c r="AV271" s="652">
        <f>IF(C271="Upfront",AT271,IF(C271="At delivery",AJ271,0))</f>
        <v>0</v>
      </c>
      <c r="AW271" s="652">
        <f>IF(C271="Upfront",AU271,IF(C271="At delivery",AK271,0))</f>
        <v>0</v>
      </c>
      <c r="AX271" s="651">
        <f t="array" ref="AX271">IFERROR(INDEX('HIV-Equipment'!$W$14:$W$58,MATCH($E271&amp;$F271,'HIV-Equipment'!$C$14:$C$58&amp;'HIV-Equipment'!$D$14:$D$58,0)),0)</f>
        <v>0</v>
      </c>
      <c r="AY271" s="651">
        <f t="shared" si="207"/>
        <v>0</v>
      </c>
      <c r="AZ271" s="652">
        <f>IF(C271="Upfront",AX271,IF(C271="At delivery",AN271,0))</f>
        <v>0</v>
      </c>
      <c r="BA271" s="652">
        <f>IF(C271="Upfront",AY271,IF(C271="At delivery",AO271,0))</f>
        <v>0</v>
      </c>
      <c r="BB271" s="651">
        <f t="array" ref="BB271">IFERROR(INDEX('HIV-Equipment'!$X$14:$X$58,MATCH($E271&amp;$F271,'HIV-Equipment'!$C$14:$C$58&amp;'HIV-Equipment'!$D$14:$D$58,0)),0)</f>
        <v>0</v>
      </c>
      <c r="BC271" s="651">
        <f t="shared" si="210"/>
        <v>0</v>
      </c>
      <c r="BD271" s="652">
        <f>IF(C271="Upfront",BB271,IF(C271="At delivery",AT271,0))</f>
        <v>0</v>
      </c>
      <c r="BE271" s="652">
        <f>IF(C271="Upfront",BC271,IF(C271="At delivery",AU271,0))</f>
        <v>0</v>
      </c>
      <c r="BF271" s="651">
        <f t="array" ref="BF271">IFERROR(INDEX('HIV-Equipment'!$Y$14:$Y$58,MATCH($E271&amp;$F271,'HIV-Equipment'!$C$14:$C$58&amp;'HIV-Equipment'!$D$14:$D$58,0)),0)</f>
        <v>0</v>
      </c>
      <c r="BG271" s="651">
        <f t="shared" si="213"/>
        <v>0</v>
      </c>
      <c r="BH271" s="652">
        <f>IF(C271="Upfront",BF271,IF(C271="At delivery",AX271,0))</f>
        <v>0</v>
      </c>
      <c r="BI271" s="652">
        <f>IF(C271="Upfront",BG271,IF(C271="At delivery",AY271,0))</f>
        <v>0</v>
      </c>
      <c r="BJ271" s="662"/>
      <c r="BK271" s="654"/>
      <c r="BL271" s="654"/>
      <c r="BM271" s="654"/>
      <c r="BN271" s="654"/>
      <c r="BO271" s="654"/>
      <c r="BP271" s="654"/>
      <c r="BQ271" s="654"/>
      <c r="BR271" s="654"/>
    </row>
    <row r="272" spans="1:70" s="426" customFormat="1">
      <c r="A272" s="655" t="s">
        <v>1855</v>
      </c>
      <c r="B272" s="655" t="s">
        <v>2283</v>
      </c>
      <c r="C272" s="648">
        <f>SETUP!$F$23</f>
        <v>0</v>
      </c>
      <c r="D272" s="654">
        <v>6.6</v>
      </c>
      <c r="E272" s="655" t="s">
        <v>1226</v>
      </c>
      <c r="F272" s="655" t="s">
        <v>200</v>
      </c>
      <c r="G272" s="650" t="str">
        <f t="array" ref="G272">IFERROR(INDEX('HIV-Equipment'!$E$14:$E$58,MATCH($E272&amp;$F272,'HIV-Equipment'!$C$14:$C$58&amp;'HIV-Equipment'!$D$14:$D$58,0)),"")</f>
        <v/>
      </c>
      <c r="H272" s="650" t="str">
        <f t="array" ref="H272">IFERROR(INDEX('HIV-Equipment'!$F$14:$F$58,MATCH($E272&amp;$F272,'HIV-Equipment'!$C$14:$C$58&amp;'HIV-Equipment'!$D$14:$D$58,0)),"")</f>
        <v/>
      </c>
      <c r="I272" s="651">
        <f t="array" ref="I272">IFERROR(INDEX('HIV-Equipment'!$G$14:$G$58,MATCH($E272&amp;$F272,'HIV-Equipment'!$C$14:$C$58&amp;'HIV-Equipment'!$D$14:$D$58,0)),0)</f>
        <v>0</v>
      </c>
      <c r="J272" s="651">
        <f t="array" ref="J272">IFERROR(INDEX('HIV-Equipment'!$H$14:$H$58,MATCH($E272&amp;$F272,'HIV-Equipment'!$C$14:$C$58&amp;'HIV-Equipment'!$D$14:$D$58,0)),0)</f>
        <v>0</v>
      </c>
      <c r="K272" s="652">
        <f t="shared" si="180"/>
        <v>0</v>
      </c>
      <c r="L272" s="652">
        <f>IF(C272="Upfront",J272,0)</f>
        <v>0</v>
      </c>
      <c r="M272" s="652">
        <f>IF(C272="Upfront",K272,0)</f>
        <v>0</v>
      </c>
      <c r="N272" s="651">
        <f t="array" ref="N272">IFERROR(INDEX('HIV-Equipment'!$I$14:$I$58,MATCH($E272&amp;$F272,'HIV-Equipment'!$C$14:$C$58&amp;'HIV-Equipment'!$D$14:$D$58,0)),0)</f>
        <v>0</v>
      </c>
      <c r="O272" s="652">
        <f t="shared" si="183"/>
        <v>0</v>
      </c>
      <c r="P272" s="652">
        <f>IF(C272="Upfront",N272,0)</f>
        <v>0</v>
      </c>
      <c r="Q272" s="652">
        <f>IF(C272="Upfront",O272,0)</f>
        <v>0</v>
      </c>
      <c r="R272" s="651">
        <f t="array" ref="R272">IFERROR(INDEX('HIV-Equipment'!$J$14:$J$58,MATCH($E272&amp;$F272,'HIV-Equipment'!$C$14:$C$58&amp;'HIV-Equipment'!$D$14:$D$58,0)),0)</f>
        <v>0</v>
      </c>
      <c r="S272" s="652">
        <f t="shared" si="186"/>
        <v>0</v>
      </c>
      <c r="T272" s="652">
        <f>IF(C272="Upfront",R272,IF(C272="At delivery",J272,0))</f>
        <v>0</v>
      </c>
      <c r="U272" s="652">
        <f>IF(C272="Upfront",S272,IF(C272="At delivery",K272,0))</f>
        <v>0</v>
      </c>
      <c r="V272" s="651">
        <f t="array" ref="V272">IFERROR(INDEX('HIV-Equipment'!$K$14:$K$58,MATCH($E272&amp;$F272,'HIV-Equipment'!$C$14:$C$58&amp;'HIV-Equipment'!$D$14:$D$58,0)),0)</f>
        <v>0</v>
      </c>
      <c r="W272" s="652">
        <f t="shared" si="189"/>
        <v>0</v>
      </c>
      <c r="X272" s="652">
        <f>IF(C272="Upfront",V272,IF(C272="At delivery",N272,0))</f>
        <v>0</v>
      </c>
      <c r="Y272" s="652">
        <f>IF(C272="Upfront",W272,IF(C272="At delivery",O272,0))</f>
        <v>0</v>
      </c>
      <c r="Z272" s="661"/>
      <c r="AA272" s="651">
        <f t="array" ref="AA272">IFERROR(INDEX('HIV-Equipment'!$N$14:$N$58,MATCH($E272&amp;$F272,'HIV-Equipment'!$C$14:$C$58&amp;'HIV-Equipment'!$D$14:$D$58,0)),0)</f>
        <v>0</v>
      </c>
      <c r="AB272" s="651">
        <f t="array" ref="AB272">IFERROR(INDEX('HIV-Equipment'!$O$14:$O$58,MATCH($E272&amp;$F272,'HIV-Equipment'!$C$14:$C$58&amp;'HIV-Equipment'!$D$14:$D$58,0)),0)</f>
        <v>0</v>
      </c>
      <c r="AC272" s="651">
        <f t="shared" si="192"/>
        <v>0</v>
      </c>
      <c r="AD272" s="652">
        <f>IF(C272="Upfront",AB272,IF(C272="At delivery",R272,0))</f>
        <v>0</v>
      </c>
      <c r="AE272" s="652">
        <f>IF(C272="Upfront",AC272,IF(C272="At delivery",S272,0))</f>
        <v>0</v>
      </c>
      <c r="AF272" s="651">
        <f t="array" ref="AF272">IFERROR(INDEX('HIV-Equipment'!$P$14:$P$58,MATCH($E272&amp;$F272,'HIV-Equipment'!$C$14:$C$58&amp;'HIV-Equipment'!$D$14:$D$58,0)),0)</f>
        <v>0</v>
      </c>
      <c r="AG272" s="651">
        <f t="shared" si="195"/>
        <v>0</v>
      </c>
      <c r="AH272" s="652">
        <f>IF(C272="Upfront",AF272,IF(C272="At delivery",V272,0))</f>
        <v>0</v>
      </c>
      <c r="AI272" s="652">
        <f>IF(C272="Upfront",AG272,IF(C272="At delivery",W272,0))</f>
        <v>0</v>
      </c>
      <c r="AJ272" s="651">
        <f t="array" ref="AJ272">IFERROR(INDEX('HIV-Equipment'!$Q$14:$Q$58,MATCH($E272&amp;$F272,'HIV-Equipment'!$C$14:$C$58&amp;'HIV-Equipment'!$D$14:$D$58,0)),0)</f>
        <v>0</v>
      </c>
      <c r="AK272" s="651">
        <f t="shared" si="198"/>
        <v>0</v>
      </c>
      <c r="AL272" s="652">
        <f>IF(C272="Upfront",AJ272,IF(C272="At delivery",AB272,0))</f>
        <v>0</v>
      </c>
      <c r="AM272" s="652">
        <f>IF(C272="Upfront",AK272,IF(C272="At delivery",AC272,0))</f>
        <v>0</v>
      </c>
      <c r="AN272" s="651">
        <f t="array" ref="AN272">IFERROR(INDEX('HIV-Equipment'!$R$14:$R$58,MATCH($E272&amp;$F272,'HIV-Equipment'!$C$14:$C$58&amp;'HIV-Equipment'!$D$14:$D$58,0)),0)</f>
        <v>0</v>
      </c>
      <c r="AO272" s="651">
        <f t="shared" si="201"/>
        <v>0</v>
      </c>
      <c r="AP272" s="652">
        <f>IF(C272="Upfront",AN272,IF(C272="At delivery",AF272,0))</f>
        <v>0</v>
      </c>
      <c r="AQ272" s="652">
        <f>IF(C272="Upfront",AO272,IF(C272="At delivery",AG272,0))</f>
        <v>0</v>
      </c>
      <c r="AR272" s="661"/>
      <c r="AS272" s="651">
        <f t="array" ref="AS272">IFERROR(INDEX('HIV-Equipment'!$U$14:$U$58,MATCH($E272&amp;$F272,'HIV-Equipment'!$C$14:$C$58&amp;'HIV-Equipment'!$D$14:$D$58,0)),0)</f>
        <v>0</v>
      </c>
      <c r="AT272" s="651">
        <f t="array" ref="AT272">IFERROR(INDEX('HIV-Equipment'!$V$14:$V$58,MATCH($E272&amp;$F272,'HIV-Equipment'!$C$14:$C$58&amp;'HIV-Equipment'!$D$14:$D$58,0)),0)</f>
        <v>0</v>
      </c>
      <c r="AU272" s="651">
        <f t="shared" si="204"/>
        <v>0</v>
      </c>
      <c r="AV272" s="652">
        <f>IF(C272="Upfront",AT272,IF(C272="At delivery",AJ272,0))</f>
        <v>0</v>
      </c>
      <c r="AW272" s="652">
        <f>IF(C272="Upfront",AU272,IF(C272="At delivery",AK272,0))</f>
        <v>0</v>
      </c>
      <c r="AX272" s="651">
        <f t="array" ref="AX272">IFERROR(INDEX('HIV-Equipment'!$W$14:$W$58,MATCH($E272&amp;$F272,'HIV-Equipment'!$C$14:$C$58&amp;'HIV-Equipment'!$D$14:$D$58,0)),0)</f>
        <v>0</v>
      </c>
      <c r="AY272" s="651">
        <f t="shared" si="207"/>
        <v>0</v>
      </c>
      <c r="AZ272" s="652">
        <f>IF(C272="Upfront",AX272,IF(C272="At delivery",AN272,0))</f>
        <v>0</v>
      </c>
      <c r="BA272" s="652">
        <f>IF(C272="Upfront",AY272,IF(C272="At delivery",AO272,0))</f>
        <v>0</v>
      </c>
      <c r="BB272" s="651">
        <f t="array" ref="BB272">IFERROR(INDEX('HIV-Equipment'!$X$14:$X$58,MATCH($E272&amp;$F272,'HIV-Equipment'!$C$14:$C$58&amp;'HIV-Equipment'!$D$14:$D$58,0)),0)</f>
        <v>0</v>
      </c>
      <c r="BC272" s="651">
        <f t="shared" si="210"/>
        <v>0</v>
      </c>
      <c r="BD272" s="652">
        <f>IF(C272="Upfront",BB272,IF(C272="At delivery",AT272,0))</f>
        <v>0</v>
      </c>
      <c r="BE272" s="652">
        <f>IF(C272="Upfront",BC272,IF(C272="At delivery",AU272,0))</f>
        <v>0</v>
      </c>
      <c r="BF272" s="651">
        <f t="array" ref="BF272">IFERROR(INDEX('HIV-Equipment'!$Y$14:$Y$58,MATCH($E272&amp;$F272,'HIV-Equipment'!$C$14:$C$58&amp;'HIV-Equipment'!$D$14:$D$58,0)),0)</f>
        <v>0</v>
      </c>
      <c r="BG272" s="651">
        <f t="shared" si="213"/>
        <v>0</v>
      </c>
      <c r="BH272" s="652">
        <f>IF(C272="Upfront",BF272,IF(C272="At delivery",AX272,0))</f>
        <v>0</v>
      </c>
      <c r="BI272" s="652">
        <f>IF(C272="Upfront",BG272,IF(C272="At delivery",AY272,0))</f>
        <v>0</v>
      </c>
      <c r="BJ272" s="662"/>
      <c r="BK272" s="654"/>
      <c r="BL272" s="654"/>
      <c r="BM272" s="654"/>
      <c r="BN272" s="654"/>
      <c r="BO272" s="654"/>
      <c r="BP272" s="654"/>
      <c r="BQ272" s="654"/>
      <c r="BR272" s="654"/>
    </row>
    <row r="273" spans="1:70" s="426" customFormat="1">
      <c r="A273" s="655" t="s">
        <v>1855</v>
      </c>
      <c r="B273" s="655" t="s">
        <v>2283</v>
      </c>
      <c r="C273" s="648">
        <f>SETUP!$F$23</f>
        <v>0</v>
      </c>
      <c r="D273" s="654">
        <v>6.5</v>
      </c>
      <c r="E273" s="655" t="s">
        <v>328</v>
      </c>
      <c r="F273" s="655" t="s">
        <v>218</v>
      </c>
      <c r="G273" s="650" t="str">
        <f t="array" ref="G273">IFERROR(INDEX('HIV-Equipment'!$E$14:$E$58,MATCH($E273&amp;$F273,'HIV-Equipment'!$C$14:$C$58&amp;'HIV-Equipment'!$D$14:$D$58,0)),"")</f>
        <v/>
      </c>
      <c r="H273" s="650" t="str">
        <f t="array" ref="H273">IFERROR(INDEX('HIV-Equipment'!$F$14:$F$58,MATCH($E273&amp;$F273,'HIV-Equipment'!$C$14:$C$58&amp;'HIV-Equipment'!$D$14:$D$58,0)),"")</f>
        <v/>
      </c>
      <c r="I273" s="651">
        <f t="array" ref="I273">IFERROR(INDEX('HIV-Equipment'!$G$14:$G$58,MATCH($E273&amp;$F273,'HIV-Equipment'!$C$14:$C$58&amp;'HIV-Equipment'!$D$14:$D$58,0)),0)</f>
        <v>0</v>
      </c>
      <c r="J273" s="651">
        <f t="array" ref="J273">IFERROR(INDEX('HIV-Equipment'!$H$14:$H$58,MATCH($E273&amp;$F273,'HIV-Equipment'!$C$14:$C$58&amp;'HIV-Equipment'!$D$14:$D$58,0)),0)</f>
        <v>0</v>
      </c>
      <c r="K273" s="652">
        <f t="shared" si="180"/>
        <v>0</v>
      </c>
      <c r="L273" s="652">
        <f t="shared" si="181"/>
        <v>0</v>
      </c>
      <c r="M273" s="652">
        <f t="shared" si="182"/>
        <v>0</v>
      </c>
      <c r="N273" s="651">
        <f t="array" ref="N273">IFERROR(INDEX('HIV-Equipment'!$I$14:$I$58,MATCH($E273&amp;$F273,'HIV-Equipment'!$C$14:$C$58&amp;'HIV-Equipment'!$D$14:$D$58,0)),0)</f>
        <v>0</v>
      </c>
      <c r="O273" s="652">
        <f t="shared" si="183"/>
        <v>0</v>
      </c>
      <c r="P273" s="652">
        <f t="shared" si="184"/>
        <v>0</v>
      </c>
      <c r="Q273" s="652">
        <f t="shared" si="185"/>
        <v>0</v>
      </c>
      <c r="R273" s="651">
        <f t="array" ref="R273">IFERROR(INDEX('HIV-Equipment'!$J$14:$J$58,MATCH($E273&amp;$F273,'HIV-Equipment'!$C$14:$C$58&amp;'HIV-Equipment'!$D$14:$D$58,0)),0)</f>
        <v>0</v>
      </c>
      <c r="S273" s="652">
        <f t="shared" si="186"/>
        <v>0</v>
      </c>
      <c r="T273" s="652">
        <f t="shared" si="187"/>
        <v>0</v>
      </c>
      <c r="U273" s="652">
        <f t="shared" si="188"/>
        <v>0</v>
      </c>
      <c r="V273" s="651">
        <f t="array" ref="V273">IFERROR(INDEX('HIV-Equipment'!$K$14:$K$58,MATCH($E273&amp;$F273,'HIV-Equipment'!$C$14:$C$58&amp;'HIV-Equipment'!$D$14:$D$58,0)),0)</f>
        <v>0</v>
      </c>
      <c r="W273" s="652">
        <f t="shared" si="189"/>
        <v>0</v>
      </c>
      <c r="X273" s="652">
        <f t="shared" si="190"/>
        <v>0</v>
      </c>
      <c r="Y273" s="652">
        <f t="shared" si="191"/>
        <v>0</v>
      </c>
      <c r="Z273" s="661"/>
      <c r="AA273" s="651">
        <f t="array" ref="AA273">IFERROR(INDEX('HIV-Equipment'!$N$14:$N$58,MATCH($E273&amp;$F273,'HIV-Equipment'!$C$14:$C$58&amp;'HIV-Equipment'!$D$14:$D$58,0)),0)</f>
        <v>0</v>
      </c>
      <c r="AB273" s="651">
        <f t="array" ref="AB273">IFERROR(INDEX('HIV-Equipment'!$O$14:$O$58,MATCH($E273&amp;$F273,'HIV-Equipment'!$C$14:$C$58&amp;'HIV-Equipment'!$D$14:$D$58,0)),0)</f>
        <v>0</v>
      </c>
      <c r="AC273" s="651">
        <f t="shared" si="192"/>
        <v>0</v>
      </c>
      <c r="AD273" s="652">
        <f t="shared" si="193"/>
        <v>0</v>
      </c>
      <c r="AE273" s="652">
        <f t="shared" si="194"/>
        <v>0</v>
      </c>
      <c r="AF273" s="651">
        <f t="array" ref="AF273">IFERROR(INDEX('HIV-Equipment'!$P$14:$P$58,MATCH($E273&amp;$F273,'HIV-Equipment'!$C$14:$C$58&amp;'HIV-Equipment'!$D$14:$D$58,0)),0)</f>
        <v>0</v>
      </c>
      <c r="AG273" s="651">
        <f t="shared" si="195"/>
        <v>0</v>
      </c>
      <c r="AH273" s="652">
        <f t="shared" si="196"/>
        <v>0</v>
      </c>
      <c r="AI273" s="652">
        <f t="shared" si="197"/>
        <v>0</v>
      </c>
      <c r="AJ273" s="651">
        <f t="array" ref="AJ273">IFERROR(INDEX('HIV-Equipment'!$Q$14:$Q$58,MATCH($E273&amp;$F273,'HIV-Equipment'!$C$14:$C$58&amp;'HIV-Equipment'!$D$14:$D$58,0)),0)</f>
        <v>0</v>
      </c>
      <c r="AK273" s="651">
        <f t="shared" si="198"/>
        <v>0</v>
      </c>
      <c r="AL273" s="652">
        <f t="shared" si="199"/>
        <v>0</v>
      </c>
      <c r="AM273" s="652">
        <f t="shared" si="200"/>
        <v>0</v>
      </c>
      <c r="AN273" s="651">
        <f t="array" ref="AN273">IFERROR(INDEX('HIV-Equipment'!$R$14:$R$58,MATCH($E273&amp;$F273,'HIV-Equipment'!$C$14:$C$58&amp;'HIV-Equipment'!$D$14:$D$58,0)),0)</f>
        <v>0</v>
      </c>
      <c r="AO273" s="651">
        <f t="shared" si="201"/>
        <v>0</v>
      </c>
      <c r="AP273" s="652">
        <f t="shared" si="202"/>
        <v>0</v>
      </c>
      <c r="AQ273" s="652">
        <f t="shared" si="203"/>
        <v>0</v>
      </c>
      <c r="AR273" s="661"/>
      <c r="AS273" s="651">
        <f t="array" ref="AS273">IFERROR(INDEX('HIV-Equipment'!$U$14:$U$58,MATCH($E273&amp;$F273,'HIV-Equipment'!$C$14:$C$58&amp;'HIV-Equipment'!$D$14:$D$58,0)),0)</f>
        <v>0</v>
      </c>
      <c r="AT273" s="651">
        <f t="array" ref="AT273">IFERROR(INDEX('HIV-Equipment'!$V$14:$V$58,MATCH($E273&amp;$F273,'HIV-Equipment'!$C$14:$C$58&amp;'HIV-Equipment'!$D$14:$D$58,0)),0)</f>
        <v>0</v>
      </c>
      <c r="AU273" s="651">
        <f t="shared" si="204"/>
        <v>0</v>
      </c>
      <c r="AV273" s="652">
        <f t="shared" si="205"/>
        <v>0</v>
      </c>
      <c r="AW273" s="652">
        <f t="shared" si="206"/>
        <v>0</v>
      </c>
      <c r="AX273" s="651">
        <f t="array" ref="AX273">IFERROR(INDEX('HIV-Equipment'!$W$14:$W$58,MATCH($E273&amp;$F273,'HIV-Equipment'!$C$14:$C$58&amp;'HIV-Equipment'!$D$14:$D$58,0)),0)</f>
        <v>0</v>
      </c>
      <c r="AY273" s="651">
        <f t="shared" si="207"/>
        <v>0</v>
      </c>
      <c r="AZ273" s="652">
        <f t="shared" si="208"/>
        <v>0</v>
      </c>
      <c r="BA273" s="652">
        <f t="shared" si="209"/>
        <v>0</v>
      </c>
      <c r="BB273" s="651">
        <f t="array" ref="BB273">IFERROR(INDEX('HIV-Equipment'!$X$14:$X$58,MATCH($E273&amp;$F273,'HIV-Equipment'!$C$14:$C$58&amp;'HIV-Equipment'!$D$14:$D$58,0)),0)</f>
        <v>0</v>
      </c>
      <c r="BC273" s="651">
        <f t="shared" si="210"/>
        <v>0</v>
      </c>
      <c r="BD273" s="652">
        <f t="shared" si="211"/>
        <v>0</v>
      </c>
      <c r="BE273" s="652">
        <f t="shared" si="212"/>
        <v>0</v>
      </c>
      <c r="BF273" s="651">
        <f t="array" ref="BF273">IFERROR(INDEX('HIV-Equipment'!$Y$14:$Y$58,MATCH($E273&amp;$F273,'HIV-Equipment'!$C$14:$C$58&amp;'HIV-Equipment'!$D$14:$D$58,0)),0)</f>
        <v>0</v>
      </c>
      <c r="BG273" s="651">
        <f t="shared" si="213"/>
        <v>0</v>
      </c>
      <c r="BH273" s="652">
        <f t="shared" si="214"/>
        <v>0</v>
      </c>
      <c r="BI273" s="652">
        <f t="shared" si="215"/>
        <v>0</v>
      </c>
      <c r="BJ273" s="662"/>
      <c r="BK273" s="654"/>
      <c r="BL273" s="654"/>
      <c r="BM273" s="654"/>
      <c r="BN273" s="654"/>
      <c r="BO273" s="654"/>
      <c r="BP273" s="654"/>
      <c r="BQ273" s="654"/>
      <c r="BR273" s="654"/>
    </row>
    <row r="274" spans="1:70" s="426" customFormat="1">
      <c r="A274" s="655" t="s">
        <v>1855</v>
      </c>
      <c r="B274" s="655" t="s">
        <v>2283</v>
      </c>
      <c r="C274" s="648">
        <f>SETUP!$F$23</f>
        <v>0</v>
      </c>
      <c r="D274" s="654">
        <v>6.6</v>
      </c>
      <c r="E274" s="655" t="s">
        <v>328</v>
      </c>
      <c r="F274" s="655" t="s">
        <v>201</v>
      </c>
      <c r="G274" s="650" t="str">
        <f t="array" ref="G274">IFERROR(INDEX('HIV-Equipment'!$E$14:$E$58,MATCH($E274&amp;$F274,'HIV-Equipment'!$C$14:$C$58&amp;'HIV-Equipment'!$D$14:$D$58,0)),"")</f>
        <v/>
      </c>
      <c r="H274" s="650" t="str">
        <f t="array" ref="H274">IFERROR(INDEX('HIV-Equipment'!$F$14:$F$58,MATCH($E274&amp;$F274,'HIV-Equipment'!$C$14:$C$58&amp;'HIV-Equipment'!$D$14:$D$58,0)),"")</f>
        <v/>
      </c>
      <c r="I274" s="651">
        <f t="array" ref="I274">IFERROR(INDEX('HIV-Equipment'!$G$14:$G$58,MATCH($E274&amp;$F274,'HIV-Equipment'!$C$14:$C$58&amp;'HIV-Equipment'!$D$14:$D$58,0)),0)</f>
        <v>0</v>
      </c>
      <c r="J274" s="651">
        <f t="array" ref="J274">IFERROR(INDEX('HIV-Equipment'!$H$14:$H$58,MATCH($E274&amp;$F274,'HIV-Equipment'!$C$14:$C$58&amp;'HIV-Equipment'!$D$14:$D$58,0)),0)</f>
        <v>0</v>
      </c>
      <c r="K274" s="652">
        <f t="shared" si="180"/>
        <v>0</v>
      </c>
      <c r="L274" s="652">
        <f>IF(C274="Upfront",J274,0)</f>
        <v>0</v>
      </c>
      <c r="M274" s="652">
        <f>IF(C274="Upfront",K274,0)</f>
        <v>0</v>
      </c>
      <c r="N274" s="651">
        <f t="array" ref="N274">IFERROR(INDEX('HIV-Equipment'!$I$14:$I$58,MATCH($E274&amp;$F274,'HIV-Equipment'!$C$14:$C$58&amp;'HIV-Equipment'!$D$14:$D$58,0)),0)</f>
        <v>0</v>
      </c>
      <c r="O274" s="652">
        <f t="shared" si="183"/>
        <v>0</v>
      </c>
      <c r="P274" s="652">
        <f>IF(C274="Upfront",N274,0)</f>
        <v>0</v>
      </c>
      <c r="Q274" s="652">
        <f>IF(C274="Upfront",O274,0)</f>
        <v>0</v>
      </c>
      <c r="R274" s="651">
        <f t="array" ref="R274">IFERROR(INDEX('HIV-Equipment'!$J$14:$J$58,MATCH($E274&amp;$F274,'HIV-Equipment'!$C$14:$C$58&amp;'HIV-Equipment'!$D$14:$D$58,0)),0)</f>
        <v>0</v>
      </c>
      <c r="S274" s="652">
        <f t="shared" si="186"/>
        <v>0</v>
      </c>
      <c r="T274" s="652">
        <f>IF(C274="Upfront",R274,IF(C274="At delivery",J274,0))</f>
        <v>0</v>
      </c>
      <c r="U274" s="652">
        <f>IF(C274="Upfront",S274,IF(C274="At delivery",K274,0))</f>
        <v>0</v>
      </c>
      <c r="V274" s="651">
        <f t="array" ref="V274">IFERROR(INDEX('HIV-Equipment'!$K$14:$K$58,MATCH($E274&amp;$F274,'HIV-Equipment'!$C$14:$C$58&amp;'HIV-Equipment'!$D$14:$D$58,0)),0)</f>
        <v>0</v>
      </c>
      <c r="W274" s="652">
        <f t="shared" si="189"/>
        <v>0</v>
      </c>
      <c r="X274" s="652">
        <f>IF(C274="Upfront",V274,IF(C274="At delivery",N274,0))</f>
        <v>0</v>
      </c>
      <c r="Y274" s="652">
        <f>IF(C274="Upfront",W274,IF(C274="At delivery",O274,0))</f>
        <v>0</v>
      </c>
      <c r="Z274" s="661"/>
      <c r="AA274" s="651">
        <f t="array" ref="AA274">IFERROR(INDEX('HIV-Equipment'!$N$14:$N$58,MATCH($E274&amp;$F274,'HIV-Equipment'!$C$14:$C$58&amp;'HIV-Equipment'!$D$14:$D$58,0)),0)</f>
        <v>0</v>
      </c>
      <c r="AB274" s="651">
        <f t="array" ref="AB274">IFERROR(INDEX('HIV-Equipment'!$O$14:$O$58,MATCH($E274&amp;$F274,'HIV-Equipment'!$C$14:$C$58&amp;'HIV-Equipment'!$D$14:$D$58,0)),0)</f>
        <v>0</v>
      </c>
      <c r="AC274" s="651">
        <f t="shared" si="192"/>
        <v>0</v>
      </c>
      <c r="AD274" s="652">
        <f>IF(C274="Upfront",AB274,IF(C274="At delivery",R274,0))</f>
        <v>0</v>
      </c>
      <c r="AE274" s="652">
        <f>IF(C274="Upfront",AC274,IF(C274="At delivery",S274,0))</f>
        <v>0</v>
      </c>
      <c r="AF274" s="651">
        <f t="array" ref="AF274">IFERROR(INDEX('HIV-Equipment'!$P$14:$P$58,MATCH($E274&amp;$F274,'HIV-Equipment'!$C$14:$C$58&amp;'HIV-Equipment'!$D$14:$D$58,0)),0)</f>
        <v>0</v>
      </c>
      <c r="AG274" s="651">
        <f t="shared" si="195"/>
        <v>0</v>
      </c>
      <c r="AH274" s="652">
        <f>IF(C274="Upfront",AF274,IF(C274="At delivery",V274,0))</f>
        <v>0</v>
      </c>
      <c r="AI274" s="652">
        <f>IF(C274="Upfront",AG274,IF(C274="At delivery",W274,0))</f>
        <v>0</v>
      </c>
      <c r="AJ274" s="651">
        <f t="array" ref="AJ274">IFERROR(INDEX('HIV-Equipment'!$Q$14:$Q$58,MATCH($E274&amp;$F274,'HIV-Equipment'!$C$14:$C$58&amp;'HIV-Equipment'!$D$14:$D$58,0)),0)</f>
        <v>0</v>
      </c>
      <c r="AK274" s="651">
        <f t="shared" si="198"/>
        <v>0</v>
      </c>
      <c r="AL274" s="652">
        <f>IF(C274="Upfront",AJ274,IF(C274="At delivery",AB274,0))</f>
        <v>0</v>
      </c>
      <c r="AM274" s="652">
        <f>IF(C274="Upfront",AK274,IF(C274="At delivery",AC274,0))</f>
        <v>0</v>
      </c>
      <c r="AN274" s="651">
        <f t="array" ref="AN274">IFERROR(INDEX('HIV-Equipment'!$R$14:$R$58,MATCH($E274&amp;$F274,'HIV-Equipment'!$C$14:$C$58&amp;'HIV-Equipment'!$D$14:$D$58,0)),0)</f>
        <v>0</v>
      </c>
      <c r="AO274" s="651">
        <f t="shared" si="201"/>
        <v>0</v>
      </c>
      <c r="AP274" s="652">
        <f>IF(C274="Upfront",AN274,IF(C274="At delivery",AF274,0))</f>
        <v>0</v>
      </c>
      <c r="AQ274" s="652">
        <f>IF(C274="Upfront",AO274,IF(C274="At delivery",AG274,0))</f>
        <v>0</v>
      </c>
      <c r="AR274" s="661"/>
      <c r="AS274" s="651">
        <f t="array" ref="AS274">IFERROR(INDEX('HIV-Equipment'!$U$14:$U$58,MATCH($E274&amp;$F274,'HIV-Equipment'!$C$14:$C$58&amp;'HIV-Equipment'!$D$14:$D$58,0)),0)</f>
        <v>0</v>
      </c>
      <c r="AT274" s="651">
        <f t="array" ref="AT274">IFERROR(INDEX('HIV-Equipment'!$V$14:$V$58,MATCH($E274&amp;$F274,'HIV-Equipment'!$C$14:$C$58&amp;'HIV-Equipment'!$D$14:$D$58,0)),0)</f>
        <v>0</v>
      </c>
      <c r="AU274" s="651">
        <f t="shared" si="204"/>
        <v>0</v>
      </c>
      <c r="AV274" s="652">
        <f>IF(C274="Upfront",AT274,IF(C274="At delivery",AJ274,0))</f>
        <v>0</v>
      </c>
      <c r="AW274" s="652">
        <f>IF(C274="Upfront",AU274,IF(C274="At delivery",AK274,0))</f>
        <v>0</v>
      </c>
      <c r="AX274" s="651">
        <f t="array" ref="AX274">IFERROR(INDEX('HIV-Equipment'!$W$14:$W$58,MATCH($E274&amp;$F274,'HIV-Equipment'!$C$14:$C$58&amp;'HIV-Equipment'!$D$14:$D$58,0)),0)</f>
        <v>0</v>
      </c>
      <c r="AY274" s="651">
        <f t="shared" si="207"/>
        <v>0</v>
      </c>
      <c r="AZ274" s="652">
        <f>IF(C274="Upfront",AX274,IF(C274="At delivery",AN274,0))</f>
        <v>0</v>
      </c>
      <c r="BA274" s="652">
        <f>IF(C274="Upfront",AY274,IF(C274="At delivery",AO274,0))</f>
        <v>0</v>
      </c>
      <c r="BB274" s="651">
        <f t="array" ref="BB274">IFERROR(INDEX('HIV-Equipment'!$X$14:$X$58,MATCH($E274&amp;$F274,'HIV-Equipment'!$C$14:$C$58&amp;'HIV-Equipment'!$D$14:$D$58,0)),0)</f>
        <v>0</v>
      </c>
      <c r="BC274" s="651">
        <f t="shared" si="210"/>
        <v>0</v>
      </c>
      <c r="BD274" s="652">
        <f>IF(C274="Upfront",BB274,IF(C274="At delivery",AT274,0))</f>
        <v>0</v>
      </c>
      <c r="BE274" s="652">
        <f>IF(C274="Upfront",BC274,IF(C274="At delivery",AU274,0))</f>
        <v>0</v>
      </c>
      <c r="BF274" s="651">
        <f t="array" ref="BF274">IFERROR(INDEX('HIV-Equipment'!$Y$14:$Y$58,MATCH($E274&amp;$F274,'HIV-Equipment'!$C$14:$C$58&amp;'HIV-Equipment'!$D$14:$D$58,0)),0)</f>
        <v>0</v>
      </c>
      <c r="BG274" s="651">
        <f t="shared" si="213"/>
        <v>0</v>
      </c>
      <c r="BH274" s="652">
        <f>IF(C274="Upfront",BF274,IF(C274="At delivery",AX274,0))</f>
        <v>0</v>
      </c>
      <c r="BI274" s="652">
        <f>IF(C274="Upfront",BG274,IF(C274="At delivery",AY274,0))</f>
        <v>0</v>
      </c>
      <c r="BJ274" s="662"/>
      <c r="BK274" s="654"/>
      <c r="BL274" s="654"/>
      <c r="BM274" s="654"/>
      <c r="BN274" s="654"/>
      <c r="BO274" s="654"/>
      <c r="BP274" s="654"/>
      <c r="BQ274" s="654"/>
      <c r="BR274" s="654"/>
    </row>
    <row r="275" spans="1:70" s="426" customFormat="1">
      <c r="A275" s="655" t="s">
        <v>1855</v>
      </c>
      <c r="B275" s="655" t="s">
        <v>2283</v>
      </c>
      <c r="C275" s="648">
        <f>SETUP!$F$23</f>
        <v>0</v>
      </c>
      <c r="D275" s="654">
        <v>6.6</v>
      </c>
      <c r="E275" s="655" t="s">
        <v>328</v>
      </c>
      <c r="F275" s="655" t="s">
        <v>200</v>
      </c>
      <c r="G275" s="650" t="str">
        <f t="array" ref="G275">IFERROR(INDEX('HIV-Equipment'!$E$14:$E$58,MATCH($E275&amp;$F275,'HIV-Equipment'!$C$14:$C$58&amp;'HIV-Equipment'!$D$14:$D$58,0)),"")</f>
        <v/>
      </c>
      <c r="H275" s="650" t="str">
        <f t="array" ref="H275">IFERROR(INDEX('HIV-Equipment'!$F$14:$F$58,MATCH($E275&amp;$F275,'HIV-Equipment'!$C$14:$C$58&amp;'HIV-Equipment'!$D$14:$D$58,0)),"")</f>
        <v/>
      </c>
      <c r="I275" s="651">
        <f t="array" ref="I275">IFERROR(INDEX('HIV-Equipment'!$G$14:$G$58,MATCH($E275&amp;$F275,'HIV-Equipment'!$C$14:$C$58&amp;'HIV-Equipment'!$D$14:$D$58,0)),0)</f>
        <v>0</v>
      </c>
      <c r="J275" s="651">
        <f t="array" ref="J275">IFERROR(INDEX('HIV-Equipment'!$H$14:$H$58,MATCH($E275&amp;$F275,'HIV-Equipment'!$C$14:$C$58&amp;'HIV-Equipment'!$D$14:$D$58,0)),0)</f>
        <v>0</v>
      </c>
      <c r="K275" s="652">
        <f t="shared" si="180"/>
        <v>0</v>
      </c>
      <c r="L275" s="652">
        <f>IF(C275="Upfront",J275,0)</f>
        <v>0</v>
      </c>
      <c r="M275" s="652">
        <f>IF(C275="Upfront",K275,0)</f>
        <v>0</v>
      </c>
      <c r="N275" s="651">
        <f t="array" ref="N275">IFERROR(INDEX('HIV-Equipment'!$I$14:$I$58,MATCH($E275&amp;$F275,'HIV-Equipment'!$C$14:$C$58&amp;'HIV-Equipment'!$D$14:$D$58,0)),0)</f>
        <v>0</v>
      </c>
      <c r="O275" s="652">
        <f t="shared" si="183"/>
        <v>0</v>
      </c>
      <c r="P275" s="652">
        <f>IF(C275="Upfront",N275,0)</f>
        <v>0</v>
      </c>
      <c r="Q275" s="652">
        <f>IF(C275="Upfront",O275,0)</f>
        <v>0</v>
      </c>
      <c r="R275" s="651">
        <f t="array" ref="R275">IFERROR(INDEX('HIV-Equipment'!$J$14:$J$58,MATCH($E275&amp;$F275,'HIV-Equipment'!$C$14:$C$58&amp;'HIV-Equipment'!$D$14:$D$58,0)),0)</f>
        <v>0</v>
      </c>
      <c r="S275" s="652">
        <f t="shared" si="186"/>
        <v>0</v>
      </c>
      <c r="T275" s="652">
        <f>IF(C275="Upfront",R275,IF(C275="At delivery",J275,0))</f>
        <v>0</v>
      </c>
      <c r="U275" s="652">
        <f>IF(C275="Upfront",S275,IF(C275="At delivery",K275,0))</f>
        <v>0</v>
      </c>
      <c r="V275" s="651">
        <f t="array" ref="V275">IFERROR(INDEX('HIV-Equipment'!$K$14:$K$58,MATCH($E275&amp;$F275,'HIV-Equipment'!$C$14:$C$58&amp;'HIV-Equipment'!$D$14:$D$58,0)),0)</f>
        <v>0</v>
      </c>
      <c r="W275" s="652">
        <f t="shared" si="189"/>
        <v>0</v>
      </c>
      <c r="X275" s="652">
        <f>IF(C275="Upfront",V275,IF(C275="At delivery",N275,0))</f>
        <v>0</v>
      </c>
      <c r="Y275" s="652">
        <f>IF(C275="Upfront",W275,IF(C275="At delivery",O275,0))</f>
        <v>0</v>
      </c>
      <c r="Z275" s="661"/>
      <c r="AA275" s="651">
        <f t="array" ref="AA275">IFERROR(INDEX('HIV-Equipment'!$N$14:$N$58,MATCH($E275&amp;$F275,'HIV-Equipment'!$C$14:$C$58&amp;'HIV-Equipment'!$D$14:$D$58,0)),0)</f>
        <v>0</v>
      </c>
      <c r="AB275" s="651">
        <f t="array" ref="AB275">IFERROR(INDEX('HIV-Equipment'!$O$14:$O$58,MATCH($E275&amp;$F275,'HIV-Equipment'!$C$14:$C$58&amp;'HIV-Equipment'!$D$14:$D$58,0)),0)</f>
        <v>0</v>
      </c>
      <c r="AC275" s="651">
        <f t="shared" si="192"/>
        <v>0</v>
      </c>
      <c r="AD275" s="652">
        <f>IF(C275="Upfront",AB275,IF(C275="At delivery",R275,0))</f>
        <v>0</v>
      </c>
      <c r="AE275" s="652">
        <f>IF(C275="Upfront",AC275,IF(C275="At delivery",S275,0))</f>
        <v>0</v>
      </c>
      <c r="AF275" s="651">
        <f t="array" ref="AF275">IFERROR(INDEX('HIV-Equipment'!$P$14:$P$58,MATCH($E275&amp;$F275,'HIV-Equipment'!$C$14:$C$58&amp;'HIV-Equipment'!$D$14:$D$58,0)),0)</f>
        <v>0</v>
      </c>
      <c r="AG275" s="651">
        <f t="shared" si="195"/>
        <v>0</v>
      </c>
      <c r="AH275" s="652">
        <f>IF(C275="Upfront",AF275,IF(C275="At delivery",V275,0))</f>
        <v>0</v>
      </c>
      <c r="AI275" s="652">
        <f>IF(C275="Upfront",AG275,IF(C275="At delivery",W275,0))</f>
        <v>0</v>
      </c>
      <c r="AJ275" s="651">
        <f t="array" ref="AJ275">IFERROR(INDEX('HIV-Equipment'!$Q$14:$Q$58,MATCH($E275&amp;$F275,'HIV-Equipment'!$C$14:$C$58&amp;'HIV-Equipment'!$D$14:$D$58,0)),0)</f>
        <v>0</v>
      </c>
      <c r="AK275" s="651">
        <f t="shared" si="198"/>
        <v>0</v>
      </c>
      <c r="AL275" s="652">
        <f>IF(C275="Upfront",AJ275,IF(C275="At delivery",AB275,0))</f>
        <v>0</v>
      </c>
      <c r="AM275" s="652">
        <f>IF(C275="Upfront",AK275,IF(C275="At delivery",AC275,0))</f>
        <v>0</v>
      </c>
      <c r="AN275" s="651">
        <f t="array" ref="AN275">IFERROR(INDEX('HIV-Equipment'!$R$14:$R$58,MATCH($E275&amp;$F275,'HIV-Equipment'!$C$14:$C$58&amp;'HIV-Equipment'!$D$14:$D$58,0)),0)</f>
        <v>0</v>
      </c>
      <c r="AO275" s="651">
        <f t="shared" si="201"/>
        <v>0</v>
      </c>
      <c r="AP275" s="652">
        <f>IF(C275="Upfront",AN275,IF(C275="At delivery",AF275,0))</f>
        <v>0</v>
      </c>
      <c r="AQ275" s="652">
        <f>IF(C275="Upfront",AO275,IF(C275="At delivery",AG275,0))</f>
        <v>0</v>
      </c>
      <c r="AR275" s="661"/>
      <c r="AS275" s="651">
        <f t="array" ref="AS275">IFERROR(INDEX('HIV-Equipment'!$U$14:$U$58,MATCH($E275&amp;$F275,'HIV-Equipment'!$C$14:$C$58&amp;'HIV-Equipment'!$D$14:$D$58,0)),0)</f>
        <v>0</v>
      </c>
      <c r="AT275" s="651">
        <f t="array" ref="AT275">IFERROR(INDEX('HIV-Equipment'!$V$14:$V$58,MATCH($E275&amp;$F275,'HIV-Equipment'!$C$14:$C$58&amp;'HIV-Equipment'!$D$14:$D$58,0)),0)</f>
        <v>0</v>
      </c>
      <c r="AU275" s="651">
        <f t="shared" si="204"/>
        <v>0</v>
      </c>
      <c r="AV275" s="652">
        <f>IF(C275="Upfront",AT275,IF(C275="At delivery",AJ275,0))</f>
        <v>0</v>
      </c>
      <c r="AW275" s="652">
        <f>IF(C275="Upfront",AU275,IF(C275="At delivery",AK275,0))</f>
        <v>0</v>
      </c>
      <c r="AX275" s="651">
        <f t="array" ref="AX275">IFERROR(INDEX('HIV-Equipment'!$W$14:$W$58,MATCH($E275&amp;$F275,'HIV-Equipment'!$C$14:$C$58&amp;'HIV-Equipment'!$D$14:$D$58,0)),0)</f>
        <v>0</v>
      </c>
      <c r="AY275" s="651">
        <f t="shared" si="207"/>
        <v>0</v>
      </c>
      <c r="AZ275" s="652">
        <f>IF(C275="Upfront",AX275,IF(C275="At delivery",AN275,0))</f>
        <v>0</v>
      </c>
      <c r="BA275" s="652">
        <f>IF(C275="Upfront",AY275,IF(C275="At delivery",AO275,0))</f>
        <v>0</v>
      </c>
      <c r="BB275" s="651">
        <f t="array" ref="BB275">IFERROR(INDEX('HIV-Equipment'!$X$14:$X$58,MATCH($E275&amp;$F275,'HIV-Equipment'!$C$14:$C$58&amp;'HIV-Equipment'!$D$14:$D$58,0)),0)</f>
        <v>0</v>
      </c>
      <c r="BC275" s="651">
        <f t="shared" si="210"/>
        <v>0</v>
      </c>
      <c r="BD275" s="652">
        <f>IF(C275="Upfront",BB275,IF(C275="At delivery",AT275,0))</f>
        <v>0</v>
      </c>
      <c r="BE275" s="652">
        <f>IF(C275="Upfront",BC275,IF(C275="At delivery",AU275,0))</f>
        <v>0</v>
      </c>
      <c r="BF275" s="651">
        <f t="array" ref="BF275">IFERROR(INDEX('HIV-Equipment'!$Y$14:$Y$58,MATCH($E275&amp;$F275,'HIV-Equipment'!$C$14:$C$58&amp;'HIV-Equipment'!$D$14:$D$58,0)),0)</f>
        <v>0</v>
      </c>
      <c r="BG275" s="651">
        <f t="shared" si="213"/>
        <v>0</v>
      </c>
      <c r="BH275" s="652">
        <f>IF(C275="Upfront",BF275,IF(C275="At delivery",AX275,0))</f>
        <v>0</v>
      </c>
      <c r="BI275" s="652">
        <f>IF(C275="Upfront",BG275,IF(C275="At delivery",AY275,0))</f>
        <v>0</v>
      </c>
      <c r="BJ275" s="662"/>
      <c r="BK275" s="654"/>
      <c r="BL275" s="654"/>
      <c r="BM275" s="654"/>
      <c r="BN275" s="654"/>
      <c r="BO275" s="654"/>
      <c r="BP275" s="654"/>
      <c r="BQ275" s="654"/>
      <c r="BR275" s="654"/>
    </row>
    <row r="276" spans="1:70" s="426" customFormat="1">
      <c r="A276" s="655" t="s">
        <v>1855</v>
      </c>
      <c r="B276" s="655" t="s">
        <v>2283</v>
      </c>
      <c r="C276" s="648">
        <f>SETUP!$F$23</f>
        <v>0</v>
      </c>
      <c r="D276" s="654">
        <v>6.6</v>
      </c>
      <c r="E276" s="655" t="s">
        <v>327</v>
      </c>
      <c r="F276" s="655" t="s">
        <v>1140</v>
      </c>
      <c r="G276" s="650" t="str">
        <f t="array" ref="G276">IFERROR(INDEX('HIV-Equipment'!$E$14:$E$58,MATCH($E276&amp;$F276,'HIV-Equipment'!$C$14:$C$58&amp;'HIV-Equipment'!$D$14:$D$58,0)),"")</f>
        <v/>
      </c>
      <c r="H276" s="650" t="str">
        <f t="array" ref="H276">IFERROR(INDEX('HIV-Equipment'!$F$14:$F$58,MATCH($E276&amp;$F276,'HIV-Equipment'!$C$14:$C$58&amp;'HIV-Equipment'!$D$14:$D$58,0)),"")</f>
        <v/>
      </c>
      <c r="I276" s="651">
        <f t="array" ref="I276">IFERROR(INDEX('HIV-Equipment'!$G$14:$G$58,MATCH($E276&amp;$F276,'HIV-Equipment'!$C$14:$C$58&amp;'HIV-Equipment'!$D$14:$D$58,0)),0)</f>
        <v>0</v>
      </c>
      <c r="J276" s="651">
        <f t="array" ref="J276">IFERROR(INDEX('HIV-Equipment'!$H$14:$H$58,MATCH($E276&amp;$F276,'HIV-Equipment'!$C$14:$C$58&amp;'HIV-Equipment'!$D$14:$D$58,0)),0)</f>
        <v>0</v>
      </c>
      <c r="K276" s="652">
        <f t="shared" si="180"/>
        <v>0</v>
      </c>
      <c r="L276" s="652">
        <f t="shared" si="181"/>
        <v>0</v>
      </c>
      <c r="M276" s="652">
        <f t="shared" si="182"/>
        <v>0</v>
      </c>
      <c r="N276" s="651">
        <f t="array" ref="N276">IFERROR(INDEX('HIV-Equipment'!$I$14:$I$58,MATCH($E276&amp;$F276,'HIV-Equipment'!$C$14:$C$58&amp;'HIV-Equipment'!$D$14:$D$58,0)),0)</f>
        <v>0</v>
      </c>
      <c r="O276" s="652">
        <f t="shared" si="183"/>
        <v>0</v>
      </c>
      <c r="P276" s="652">
        <f t="shared" si="184"/>
        <v>0</v>
      </c>
      <c r="Q276" s="652">
        <f t="shared" si="185"/>
        <v>0</v>
      </c>
      <c r="R276" s="651">
        <f t="array" ref="R276">IFERROR(INDEX('HIV-Equipment'!$J$14:$J$58,MATCH($E276&amp;$F276,'HIV-Equipment'!$C$14:$C$58&amp;'HIV-Equipment'!$D$14:$D$58,0)),0)</f>
        <v>0</v>
      </c>
      <c r="S276" s="652">
        <f t="shared" si="186"/>
        <v>0</v>
      </c>
      <c r="T276" s="652">
        <f t="shared" si="187"/>
        <v>0</v>
      </c>
      <c r="U276" s="652">
        <f t="shared" si="188"/>
        <v>0</v>
      </c>
      <c r="V276" s="651">
        <f t="array" ref="V276">IFERROR(INDEX('HIV-Equipment'!$K$14:$K$58,MATCH($E276&amp;$F276,'HIV-Equipment'!$C$14:$C$58&amp;'HIV-Equipment'!$D$14:$D$58,0)),0)</f>
        <v>0</v>
      </c>
      <c r="W276" s="652">
        <f t="shared" si="189"/>
        <v>0</v>
      </c>
      <c r="X276" s="652">
        <f t="shared" si="190"/>
        <v>0</v>
      </c>
      <c r="Y276" s="652">
        <f t="shared" si="191"/>
        <v>0</v>
      </c>
      <c r="Z276" s="661"/>
      <c r="AA276" s="651">
        <f t="array" ref="AA276">IFERROR(INDEX('HIV-Equipment'!$N$14:$N$58,MATCH($E276&amp;$F276,'HIV-Equipment'!$C$14:$C$58&amp;'HIV-Equipment'!$D$14:$D$58,0)),0)</f>
        <v>0</v>
      </c>
      <c r="AB276" s="651">
        <f t="array" ref="AB276">IFERROR(INDEX('HIV-Equipment'!$O$14:$O$58,MATCH($E276&amp;$F276,'HIV-Equipment'!$C$14:$C$58&amp;'HIV-Equipment'!$D$14:$D$58,0)),0)</f>
        <v>0</v>
      </c>
      <c r="AC276" s="651">
        <f t="shared" si="192"/>
        <v>0</v>
      </c>
      <c r="AD276" s="652">
        <f t="shared" si="193"/>
        <v>0</v>
      </c>
      <c r="AE276" s="652">
        <f t="shared" si="194"/>
        <v>0</v>
      </c>
      <c r="AF276" s="651">
        <f t="array" ref="AF276">IFERROR(INDEX('HIV-Equipment'!$P$14:$P$58,MATCH($E276&amp;$F276,'HIV-Equipment'!$C$14:$C$58&amp;'HIV-Equipment'!$D$14:$D$58,0)),0)</f>
        <v>0</v>
      </c>
      <c r="AG276" s="651">
        <f t="shared" si="195"/>
        <v>0</v>
      </c>
      <c r="AH276" s="652">
        <f t="shared" si="196"/>
        <v>0</v>
      </c>
      <c r="AI276" s="652">
        <f t="shared" si="197"/>
        <v>0</v>
      </c>
      <c r="AJ276" s="651">
        <f t="array" ref="AJ276">IFERROR(INDEX('HIV-Equipment'!$Q$14:$Q$58,MATCH($E276&amp;$F276,'HIV-Equipment'!$C$14:$C$58&amp;'HIV-Equipment'!$D$14:$D$58,0)),0)</f>
        <v>0</v>
      </c>
      <c r="AK276" s="651">
        <f t="shared" si="198"/>
        <v>0</v>
      </c>
      <c r="AL276" s="652">
        <f t="shared" si="199"/>
        <v>0</v>
      </c>
      <c r="AM276" s="652">
        <f t="shared" si="200"/>
        <v>0</v>
      </c>
      <c r="AN276" s="651">
        <f t="array" ref="AN276">IFERROR(INDEX('HIV-Equipment'!$R$14:$R$58,MATCH($E276&amp;$F276,'HIV-Equipment'!$C$14:$C$58&amp;'HIV-Equipment'!$D$14:$D$58,0)),0)</f>
        <v>0</v>
      </c>
      <c r="AO276" s="651">
        <f t="shared" si="201"/>
        <v>0</v>
      </c>
      <c r="AP276" s="652">
        <f t="shared" si="202"/>
        <v>0</v>
      </c>
      <c r="AQ276" s="652">
        <f t="shared" si="203"/>
        <v>0</v>
      </c>
      <c r="AR276" s="661"/>
      <c r="AS276" s="651">
        <f t="array" ref="AS276">IFERROR(INDEX('HIV-Equipment'!$U$14:$U$58,MATCH($E276&amp;$F276,'HIV-Equipment'!$C$14:$C$58&amp;'HIV-Equipment'!$D$14:$D$58,0)),0)</f>
        <v>0</v>
      </c>
      <c r="AT276" s="651">
        <f t="array" ref="AT276">IFERROR(INDEX('HIV-Equipment'!$V$14:$V$58,MATCH($E276&amp;$F276,'HIV-Equipment'!$C$14:$C$58&amp;'HIV-Equipment'!$D$14:$D$58,0)),0)</f>
        <v>0</v>
      </c>
      <c r="AU276" s="651">
        <f t="shared" si="204"/>
        <v>0</v>
      </c>
      <c r="AV276" s="652">
        <f t="shared" si="205"/>
        <v>0</v>
      </c>
      <c r="AW276" s="652">
        <f t="shared" si="206"/>
        <v>0</v>
      </c>
      <c r="AX276" s="651">
        <f t="array" ref="AX276">IFERROR(INDEX('HIV-Equipment'!$W$14:$W$58,MATCH($E276&amp;$F276,'HIV-Equipment'!$C$14:$C$58&amp;'HIV-Equipment'!$D$14:$D$58,0)),0)</f>
        <v>0</v>
      </c>
      <c r="AY276" s="651">
        <f t="shared" si="207"/>
        <v>0</v>
      </c>
      <c r="AZ276" s="652">
        <f t="shared" si="208"/>
        <v>0</v>
      </c>
      <c r="BA276" s="652">
        <f t="shared" si="209"/>
        <v>0</v>
      </c>
      <c r="BB276" s="651">
        <f t="array" ref="BB276">IFERROR(INDEX('HIV-Equipment'!$X$14:$X$58,MATCH($E276&amp;$F276,'HIV-Equipment'!$C$14:$C$58&amp;'HIV-Equipment'!$D$14:$D$58,0)),0)</f>
        <v>0</v>
      </c>
      <c r="BC276" s="651">
        <f t="shared" si="210"/>
        <v>0</v>
      </c>
      <c r="BD276" s="652">
        <f t="shared" si="211"/>
        <v>0</v>
      </c>
      <c r="BE276" s="652">
        <f t="shared" si="212"/>
        <v>0</v>
      </c>
      <c r="BF276" s="651">
        <f t="array" ref="BF276">IFERROR(INDEX('HIV-Equipment'!$Y$14:$Y$58,MATCH($E276&amp;$F276,'HIV-Equipment'!$C$14:$C$58&amp;'HIV-Equipment'!$D$14:$D$58,0)),0)</f>
        <v>0</v>
      </c>
      <c r="BG276" s="651">
        <f t="shared" si="213"/>
        <v>0</v>
      </c>
      <c r="BH276" s="652">
        <f t="shared" si="214"/>
        <v>0</v>
      </c>
      <c r="BI276" s="652">
        <f t="shared" si="215"/>
        <v>0</v>
      </c>
      <c r="BJ276" s="662"/>
      <c r="BK276" s="654"/>
      <c r="BL276" s="654"/>
      <c r="BM276" s="654"/>
      <c r="BN276" s="654"/>
      <c r="BO276" s="654"/>
      <c r="BP276" s="654"/>
      <c r="BQ276" s="654"/>
      <c r="BR276" s="654"/>
    </row>
    <row r="277" spans="1:70" s="426" customFormat="1">
      <c r="A277" s="655" t="s">
        <v>1857</v>
      </c>
      <c r="B277" s="655" t="s">
        <v>2283</v>
      </c>
      <c r="C277" s="648">
        <f>SETUP!$F$23</f>
        <v>0</v>
      </c>
      <c r="D277" s="654">
        <v>6.5</v>
      </c>
      <c r="E277" s="655" t="s">
        <v>1456</v>
      </c>
      <c r="F277" s="655" t="s">
        <v>326</v>
      </c>
      <c r="G277" s="650" t="str">
        <f t="array" ref="G277">IFERROR(INDEX('HIV-Equipment'!$E$14:$E$58,MATCH($E277&amp;$F277,'HIV-Equipment'!$C$14:$C$58&amp;'HIV-Equipment'!$D$14:$D$58,0)),"")</f>
        <v/>
      </c>
      <c r="H277" s="650" t="str">
        <f t="array" ref="H277">IFERROR(INDEX('HIV-Equipment'!$F$14:$F$58,MATCH($E277&amp;$F277,'HIV-Equipment'!$C$14:$C$58&amp;'HIV-Equipment'!$D$14:$D$58,0)),"")</f>
        <v/>
      </c>
      <c r="I277" s="651">
        <f t="array" ref="I277">IFERROR(INDEX('HIV-Equipment'!$G$14:$G$58,MATCH($E277&amp;$F277,'HIV-Equipment'!$C$14:$C$58&amp;'HIV-Equipment'!$D$14:$D$58,0)),0)</f>
        <v>0</v>
      </c>
      <c r="J277" s="651">
        <f t="array" ref="J277">IFERROR(INDEX('HIV-Equipment'!$H$14:$H$58,MATCH($E277&amp;$F277,'HIV-Equipment'!$C$14:$C$58&amp;'HIV-Equipment'!$D$14:$D$58,0)),0)</f>
        <v>0</v>
      </c>
      <c r="K277" s="652">
        <f t="shared" si="180"/>
        <v>0</v>
      </c>
      <c r="L277" s="652">
        <f t="shared" si="181"/>
        <v>0</v>
      </c>
      <c r="M277" s="652">
        <f t="shared" si="182"/>
        <v>0</v>
      </c>
      <c r="N277" s="651">
        <f t="array" ref="N277">IFERROR(INDEX('HIV-Equipment'!$I$14:$I$58,MATCH($E277&amp;$F277,'HIV-Equipment'!$C$14:$C$58&amp;'HIV-Equipment'!$D$14:$D$58,0)),0)</f>
        <v>0</v>
      </c>
      <c r="O277" s="652">
        <f t="shared" si="183"/>
        <v>0</v>
      </c>
      <c r="P277" s="652">
        <f t="shared" si="184"/>
        <v>0</v>
      </c>
      <c r="Q277" s="652">
        <f t="shared" si="185"/>
        <v>0</v>
      </c>
      <c r="R277" s="651">
        <f t="array" ref="R277">IFERROR(INDEX('HIV-Equipment'!$J$14:$J$58,MATCH($E277&amp;$F277,'HIV-Equipment'!$C$14:$C$58&amp;'HIV-Equipment'!$D$14:$D$58,0)),0)</f>
        <v>0</v>
      </c>
      <c r="S277" s="652">
        <f t="shared" si="186"/>
        <v>0</v>
      </c>
      <c r="T277" s="652">
        <f t="shared" si="187"/>
        <v>0</v>
      </c>
      <c r="U277" s="652">
        <f t="shared" si="188"/>
        <v>0</v>
      </c>
      <c r="V277" s="651">
        <f t="array" ref="V277">IFERROR(INDEX('HIV-Equipment'!$K$14:$K$58,MATCH($E277&amp;$F277,'HIV-Equipment'!$C$14:$C$58&amp;'HIV-Equipment'!$D$14:$D$58,0)),0)</f>
        <v>0</v>
      </c>
      <c r="W277" s="652">
        <f t="shared" si="189"/>
        <v>0</v>
      </c>
      <c r="X277" s="652">
        <f t="shared" si="190"/>
        <v>0</v>
      </c>
      <c r="Y277" s="652">
        <f t="shared" si="191"/>
        <v>0</v>
      </c>
      <c r="Z277" s="661"/>
      <c r="AA277" s="651">
        <f t="array" ref="AA277">IFERROR(INDEX('HIV-Equipment'!$N$14:$N$58,MATCH($E277&amp;$F277,'HIV-Equipment'!$C$14:$C$58&amp;'HIV-Equipment'!$D$14:$D$58,0)),0)</f>
        <v>0</v>
      </c>
      <c r="AB277" s="651">
        <f t="array" ref="AB277">IFERROR(INDEX('HIV-Equipment'!$O$14:$O$58,MATCH($E277&amp;$F277,'HIV-Equipment'!$C$14:$C$58&amp;'HIV-Equipment'!$D$14:$D$58,0)),0)</f>
        <v>0</v>
      </c>
      <c r="AC277" s="651">
        <f t="shared" si="192"/>
        <v>0</v>
      </c>
      <c r="AD277" s="652">
        <f t="shared" si="193"/>
        <v>0</v>
      </c>
      <c r="AE277" s="652">
        <f t="shared" si="194"/>
        <v>0</v>
      </c>
      <c r="AF277" s="651">
        <f t="array" ref="AF277">IFERROR(INDEX('HIV-Equipment'!$P$14:$P$58,MATCH($E277&amp;$F277,'HIV-Equipment'!$C$14:$C$58&amp;'HIV-Equipment'!$D$14:$D$58,0)),0)</f>
        <v>0</v>
      </c>
      <c r="AG277" s="651">
        <f t="shared" si="195"/>
        <v>0</v>
      </c>
      <c r="AH277" s="652">
        <f t="shared" si="196"/>
        <v>0</v>
      </c>
      <c r="AI277" s="652">
        <f t="shared" si="197"/>
        <v>0</v>
      </c>
      <c r="AJ277" s="651">
        <f t="array" ref="AJ277">IFERROR(INDEX('HIV-Equipment'!$Q$14:$Q$58,MATCH($E277&amp;$F277,'HIV-Equipment'!$C$14:$C$58&amp;'HIV-Equipment'!$D$14:$D$58,0)),0)</f>
        <v>0</v>
      </c>
      <c r="AK277" s="651">
        <f t="shared" si="198"/>
        <v>0</v>
      </c>
      <c r="AL277" s="652">
        <f t="shared" si="199"/>
        <v>0</v>
      </c>
      <c r="AM277" s="652">
        <f t="shared" si="200"/>
        <v>0</v>
      </c>
      <c r="AN277" s="651">
        <f t="array" ref="AN277">IFERROR(INDEX('HIV-Equipment'!$R$14:$R$58,MATCH($E277&amp;$F277,'HIV-Equipment'!$C$14:$C$58&amp;'HIV-Equipment'!$D$14:$D$58,0)),0)</f>
        <v>0</v>
      </c>
      <c r="AO277" s="651">
        <f t="shared" si="201"/>
        <v>0</v>
      </c>
      <c r="AP277" s="652">
        <f t="shared" si="202"/>
        <v>0</v>
      </c>
      <c r="AQ277" s="652">
        <f t="shared" si="203"/>
        <v>0</v>
      </c>
      <c r="AR277" s="661"/>
      <c r="AS277" s="651">
        <f t="array" ref="AS277">IFERROR(INDEX('HIV-Equipment'!$U$14:$U$58,MATCH($E277&amp;$F277,'HIV-Equipment'!$C$14:$C$58&amp;'HIV-Equipment'!$D$14:$D$58,0)),0)</f>
        <v>0</v>
      </c>
      <c r="AT277" s="651">
        <f t="array" ref="AT277">IFERROR(INDEX('HIV-Equipment'!$V$14:$V$58,MATCH($E277&amp;$F277,'HIV-Equipment'!$C$14:$C$58&amp;'HIV-Equipment'!$D$14:$D$58,0)),0)</f>
        <v>0</v>
      </c>
      <c r="AU277" s="651">
        <f t="shared" si="204"/>
        <v>0</v>
      </c>
      <c r="AV277" s="652">
        <f t="shared" si="205"/>
        <v>0</v>
      </c>
      <c r="AW277" s="652">
        <f t="shared" si="206"/>
        <v>0</v>
      </c>
      <c r="AX277" s="651">
        <f t="array" ref="AX277">IFERROR(INDEX('HIV-Equipment'!$W$14:$W$58,MATCH($E277&amp;$F277,'HIV-Equipment'!$C$14:$C$58&amp;'HIV-Equipment'!$D$14:$D$58,0)),0)</f>
        <v>0</v>
      </c>
      <c r="AY277" s="651">
        <f t="shared" si="207"/>
        <v>0</v>
      </c>
      <c r="AZ277" s="652">
        <f t="shared" si="208"/>
        <v>0</v>
      </c>
      <c r="BA277" s="652">
        <f t="shared" si="209"/>
        <v>0</v>
      </c>
      <c r="BB277" s="651">
        <f t="array" ref="BB277">IFERROR(INDEX('HIV-Equipment'!$X$14:$X$58,MATCH($E277&amp;$F277,'HIV-Equipment'!$C$14:$C$58&amp;'HIV-Equipment'!$D$14:$D$58,0)),0)</f>
        <v>0</v>
      </c>
      <c r="BC277" s="651">
        <f t="shared" si="210"/>
        <v>0</v>
      </c>
      <c r="BD277" s="652">
        <f t="shared" si="211"/>
        <v>0</v>
      </c>
      <c r="BE277" s="652">
        <f t="shared" si="212"/>
        <v>0</v>
      </c>
      <c r="BF277" s="651">
        <f t="array" ref="BF277">IFERROR(INDEX('HIV-Equipment'!$Y$14:$Y$58,MATCH($E277&amp;$F277,'HIV-Equipment'!$C$14:$C$58&amp;'HIV-Equipment'!$D$14:$D$58,0)),0)</f>
        <v>0</v>
      </c>
      <c r="BG277" s="651">
        <f t="shared" si="213"/>
        <v>0</v>
      </c>
      <c r="BH277" s="652">
        <f t="shared" si="214"/>
        <v>0</v>
      </c>
      <c r="BI277" s="652">
        <f t="shared" si="215"/>
        <v>0</v>
      </c>
      <c r="BJ277" s="662"/>
      <c r="BK277" s="654"/>
      <c r="BL277" s="654"/>
      <c r="BM277" s="654"/>
      <c r="BN277" s="654"/>
      <c r="BO277" s="654"/>
      <c r="BP277" s="654"/>
      <c r="BQ277" s="654"/>
      <c r="BR277" s="654"/>
    </row>
    <row r="278" spans="1:70" s="426" customFormat="1">
      <c r="A278" s="655" t="s">
        <v>1857</v>
      </c>
      <c r="B278" s="655" t="s">
        <v>2283</v>
      </c>
      <c r="C278" s="648">
        <f>SETUP!$F$23</f>
        <v>0</v>
      </c>
      <c r="D278" s="654">
        <v>6.5</v>
      </c>
      <c r="E278" s="655" t="s">
        <v>1456</v>
      </c>
      <c r="F278" s="655" t="s">
        <v>218</v>
      </c>
      <c r="G278" s="650" t="str">
        <f t="array" ref="G278">IFERROR(INDEX('HIV-Equipment'!$E$14:$E$58,MATCH($E278&amp;$F278,'HIV-Equipment'!$C$14:$C$58&amp;'HIV-Equipment'!$D$14:$D$58,0)),"")</f>
        <v/>
      </c>
      <c r="H278" s="650" t="str">
        <f t="array" ref="H278">IFERROR(INDEX('HIV-Equipment'!$F$14:$F$58,MATCH($E278&amp;$F278,'HIV-Equipment'!$C$14:$C$58&amp;'HIV-Equipment'!$D$14:$D$58,0)),"")</f>
        <v/>
      </c>
      <c r="I278" s="651">
        <f t="array" ref="I278">IFERROR(INDEX('HIV-Equipment'!$G$14:$G$58,MATCH($E278&amp;$F278,'HIV-Equipment'!$C$14:$C$58&amp;'HIV-Equipment'!$D$14:$D$58,0)),0)</f>
        <v>0</v>
      </c>
      <c r="J278" s="651">
        <f t="array" ref="J278">IFERROR(INDEX('HIV-Equipment'!$H$14:$H$58,MATCH($E278&amp;$F278,'HIV-Equipment'!$C$14:$C$58&amp;'HIV-Equipment'!$D$14:$D$58,0)),0)</f>
        <v>0</v>
      </c>
      <c r="K278" s="652">
        <f t="shared" si="180"/>
        <v>0</v>
      </c>
      <c r="L278" s="652">
        <f t="shared" si="181"/>
        <v>0</v>
      </c>
      <c r="M278" s="652">
        <f t="shared" si="182"/>
        <v>0</v>
      </c>
      <c r="N278" s="651">
        <f t="array" ref="N278">IFERROR(INDEX('HIV-Equipment'!$I$14:$I$58,MATCH($E278&amp;$F278,'HIV-Equipment'!$C$14:$C$58&amp;'HIV-Equipment'!$D$14:$D$58,0)),0)</f>
        <v>0</v>
      </c>
      <c r="O278" s="652">
        <f t="shared" si="183"/>
        <v>0</v>
      </c>
      <c r="P278" s="652">
        <f t="shared" si="184"/>
        <v>0</v>
      </c>
      <c r="Q278" s="652">
        <f t="shared" si="185"/>
        <v>0</v>
      </c>
      <c r="R278" s="651">
        <f t="array" ref="R278">IFERROR(INDEX('HIV-Equipment'!$J$14:$J$58,MATCH($E278&amp;$F278,'HIV-Equipment'!$C$14:$C$58&amp;'HIV-Equipment'!$D$14:$D$58,0)),0)</f>
        <v>0</v>
      </c>
      <c r="S278" s="652">
        <f t="shared" si="186"/>
        <v>0</v>
      </c>
      <c r="T278" s="652">
        <f t="shared" si="187"/>
        <v>0</v>
      </c>
      <c r="U278" s="652">
        <f t="shared" si="188"/>
        <v>0</v>
      </c>
      <c r="V278" s="651">
        <f t="array" ref="V278">IFERROR(INDEX('HIV-Equipment'!$K$14:$K$58,MATCH($E278&amp;$F278,'HIV-Equipment'!$C$14:$C$58&amp;'HIV-Equipment'!$D$14:$D$58,0)),0)</f>
        <v>0</v>
      </c>
      <c r="W278" s="652">
        <f t="shared" si="189"/>
        <v>0</v>
      </c>
      <c r="X278" s="652">
        <f t="shared" si="190"/>
        <v>0</v>
      </c>
      <c r="Y278" s="652">
        <f t="shared" si="191"/>
        <v>0</v>
      </c>
      <c r="Z278" s="661"/>
      <c r="AA278" s="651">
        <f t="array" ref="AA278">IFERROR(INDEX('HIV-Equipment'!$N$14:$N$58,MATCH($E278&amp;$F278,'HIV-Equipment'!$C$14:$C$58&amp;'HIV-Equipment'!$D$14:$D$58,0)),0)</f>
        <v>0</v>
      </c>
      <c r="AB278" s="651">
        <f t="array" ref="AB278">IFERROR(INDEX('HIV-Equipment'!$O$14:$O$58,MATCH($E278&amp;$F278,'HIV-Equipment'!$C$14:$C$58&amp;'HIV-Equipment'!$D$14:$D$58,0)),0)</f>
        <v>0</v>
      </c>
      <c r="AC278" s="651">
        <f t="shared" si="192"/>
        <v>0</v>
      </c>
      <c r="AD278" s="652">
        <f t="shared" si="193"/>
        <v>0</v>
      </c>
      <c r="AE278" s="652">
        <f t="shared" si="194"/>
        <v>0</v>
      </c>
      <c r="AF278" s="651">
        <f t="array" ref="AF278">IFERROR(INDEX('HIV-Equipment'!$P$14:$P$58,MATCH($E278&amp;$F278,'HIV-Equipment'!$C$14:$C$58&amp;'HIV-Equipment'!$D$14:$D$58,0)),0)</f>
        <v>0</v>
      </c>
      <c r="AG278" s="651">
        <f t="shared" si="195"/>
        <v>0</v>
      </c>
      <c r="AH278" s="652">
        <f t="shared" si="196"/>
        <v>0</v>
      </c>
      <c r="AI278" s="652">
        <f t="shared" si="197"/>
        <v>0</v>
      </c>
      <c r="AJ278" s="651">
        <f t="array" ref="AJ278">IFERROR(INDEX('HIV-Equipment'!$Q$14:$Q$58,MATCH($E278&amp;$F278,'HIV-Equipment'!$C$14:$C$58&amp;'HIV-Equipment'!$D$14:$D$58,0)),0)</f>
        <v>0</v>
      </c>
      <c r="AK278" s="651">
        <f t="shared" si="198"/>
        <v>0</v>
      </c>
      <c r="AL278" s="652">
        <f t="shared" si="199"/>
        <v>0</v>
      </c>
      <c r="AM278" s="652">
        <f t="shared" si="200"/>
        <v>0</v>
      </c>
      <c r="AN278" s="651">
        <f t="array" ref="AN278">IFERROR(INDEX('HIV-Equipment'!$R$14:$R$58,MATCH($E278&amp;$F278,'HIV-Equipment'!$C$14:$C$58&amp;'HIV-Equipment'!$D$14:$D$58,0)),0)</f>
        <v>0</v>
      </c>
      <c r="AO278" s="651">
        <f t="shared" si="201"/>
        <v>0</v>
      </c>
      <c r="AP278" s="652">
        <f t="shared" si="202"/>
        <v>0</v>
      </c>
      <c r="AQ278" s="652">
        <f t="shared" si="203"/>
        <v>0</v>
      </c>
      <c r="AR278" s="661"/>
      <c r="AS278" s="651">
        <f t="array" ref="AS278">IFERROR(INDEX('HIV-Equipment'!$U$14:$U$58,MATCH($E278&amp;$F278,'HIV-Equipment'!$C$14:$C$58&amp;'HIV-Equipment'!$D$14:$D$58,0)),0)</f>
        <v>0</v>
      </c>
      <c r="AT278" s="651">
        <f t="array" ref="AT278">IFERROR(INDEX('HIV-Equipment'!$V$14:$V$58,MATCH($E278&amp;$F278,'HIV-Equipment'!$C$14:$C$58&amp;'HIV-Equipment'!$D$14:$D$58,0)),0)</f>
        <v>0</v>
      </c>
      <c r="AU278" s="651">
        <f t="shared" si="204"/>
        <v>0</v>
      </c>
      <c r="AV278" s="652">
        <f t="shared" si="205"/>
        <v>0</v>
      </c>
      <c r="AW278" s="652">
        <f t="shared" si="206"/>
        <v>0</v>
      </c>
      <c r="AX278" s="651">
        <f t="array" ref="AX278">IFERROR(INDEX('HIV-Equipment'!$W$14:$W$58,MATCH($E278&amp;$F278,'HIV-Equipment'!$C$14:$C$58&amp;'HIV-Equipment'!$D$14:$D$58,0)),0)</f>
        <v>0</v>
      </c>
      <c r="AY278" s="651">
        <f t="shared" si="207"/>
        <v>0</v>
      </c>
      <c r="AZ278" s="652">
        <f t="shared" si="208"/>
        <v>0</v>
      </c>
      <c r="BA278" s="652">
        <f t="shared" si="209"/>
        <v>0</v>
      </c>
      <c r="BB278" s="651">
        <f t="array" ref="BB278">IFERROR(INDEX('HIV-Equipment'!$X$14:$X$58,MATCH($E278&amp;$F278,'HIV-Equipment'!$C$14:$C$58&amp;'HIV-Equipment'!$D$14:$D$58,0)),0)</f>
        <v>0</v>
      </c>
      <c r="BC278" s="651">
        <f t="shared" si="210"/>
        <v>0</v>
      </c>
      <c r="BD278" s="652">
        <f t="shared" si="211"/>
        <v>0</v>
      </c>
      <c r="BE278" s="652">
        <f t="shared" si="212"/>
        <v>0</v>
      </c>
      <c r="BF278" s="651">
        <f t="array" ref="BF278">IFERROR(INDEX('HIV-Equipment'!$Y$14:$Y$58,MATCH($E278&amp;$F278,'HIV-Equipment'!$C$14:$C$58&amp;'HIV-Equipment'!$D$14:$D$58,0)),0)</f>
        <v>0</v>
      </c>
      <c r="BG278" s="651">
        <f t="shared" si="213"/>
        <v>0</v>
      </c>
      <c r="BH278" s="652">
        <f t="shared" si="214"/>
        <v>0</v>
      </c>
      <c r="BI278" s="652">
        <f t="shared" si="215"/>
        <v>0</v>
      </c>
      <c r="BJ278" s="662"/>
      <c r="BK278" s="654"/>
      <c r="BL278" s="654"/>
      <c r="BM278" s="654"/>
      <c r="BN278" s="654"/>
      <c r="BO278" s="654"/>
      <c r="BP278" s="654"/>
      <c r="BQ278" s="654"/>
      <c r="BR278" s="654"/>
    </row>
    <row r="279" spans="1:70" s="426" customFormat="1">
      <c r="A279" s="655" t="s">
        <v>1857</v>
      </c>
      <c r="B279" s="655" t="s">
        <v>2283</v>
      </c>
      <c r="C279" s="648">
        <f>SETUP!$F$23</f>
        <v>0</v>
      </c>
      <c r="D279" s="654">
        <v>6.6</v>
      </c>
      <c r="E279" s="655" t="s">
        <v>1456</v>
      </c>
      <c r="F279" s="655" t="s">
        <v>201</v>
      </c>
      <c r="G279" s="650" t="str">
        <f t="array" ref="G279">IFERROR(INDEX('HIV-Equipment'!$E$14:$E$58,MATCH($E279&amp;$F279,'HIV-Equipment'!$C$14:$C$58&amp;'HIV-Equipment'!$D$14:$D$58,0)),"")</f>
        <v/>
      </c>
      <c r="H279" s="650" t="str">
        <f t="array" ref="H279">IFERROR(INDEX('HIV-Equipment'!$F$14:$F$58,MATCH($E279&amp;$F279,'HIV-Equipment'!$C$14:$C$58&amp;'HIV-Equipment'!$D$14:$D$58,0)),"")</f>
        <v/>
      </c>
      <c r="I279" s="651">
        <f t="array" ref="I279">IFERROR(INDEX('HIV-Equipment'!$G$14:$G$58,MATCH($E279&amp;$F279,'HIV-Equipment'!$C$14:$C$58&amp;'HIV-Equipment'!$D$14:$D$58,0)),0)</f>
        <v>0</v>
      </c>
      <c r="J279" s="651">
        <f t="array" ref="J279">IFERROR(INDEX('HIV-Equipment'!$H$14:$H$58,MATCH($E279&amp;$F279,'HIV-Equipment'!$C$14:$C$58&amp;'HIV-Equipment'!$D$14:$D$58,0)),0)</f>
        <v>0</v>
      </c>
      <c r="K279" s="652">
        <f t="shared" si="180"/>
        <v>0</v>
      </c>
      <c r="L279" s="652">
        <f t="shared" si="181"/>
        <v>0</v>
      </c>
      <c r="M279" s="652">
        <f t="shared" si="182"/>
        <v>0</v>
      </c>
      <c r="N279" s="651">
        <f t="array" ref="N279">IFERROR(INDEX('HIV-Equipment'!$I$14:$I$58,MATCH($E279&amp;$F279,'HIV-Equipment'!$C$14:$C$58&amp;'HIV-Equipment'!$D$14:$D$58,0)),0)</f>
        <v>0</v>
      </c>
      <c r="O279" s="652">
        <f t="shared" si="183"/>
        <v>0</v>
      </c>
      <c r="P279" s="652">
        <f t="shared" si="184"/>
        <v>0</v>
      </c>
      <c r="Q279" s="652">
        <f t="shared" si="185"/>
        <v>0</v>
      </c>
      <c r="R279" s="651">
        <f t="array" ref="R279">IFERROR(INDEX('HIV-Equipment'!$J$14:$J$58,MATCH($E279&amp;$F279,'HIV-Equipment'!$C$14:$C$58&amp;'HIV-Equipment'!$D$14:$D$58,0)),0)</f>
        <v>0</v>
      </c>
      <c r="S279" s="652">
        <f t="shared" si="186"/>
        <v>0</v>
      </c>
      <c r="T279" s="652">
        <f t="shared" si="187"/>
        <v>0</v>
      </c>
      <c r="U279" s="652">
        <f t="shared" si="188"/>
        <v>0</v>
      </c>
      <c r="V279" s="651">
        <f t="array" ref="V279">IFERROR(INDEX('HIV-Equipment'!$K$14:$K$58,MATCH($E279&amp;$F279,'HIV-Equipment'!$C$14:$C$58&amp;'HIV-Equipment'!$D$14:$D$58,0)),0)</f>
        <v>0</v>
      </c>
      <c r="W279" s="652">
        <f t="shared" si="189"/>
        <v>0</v>
      </c>
      <c r="X279" s="652">
        <f t="shared" si="190"/>
        <v>0</v>
      </c>
      <c r="Y279" s="652">
        <f t="shared" si="191"/>
        <v>0</v>
      </c>
      <c r="Z279" s="661"/>
      <c r="AA279" s="651">
        <f t="array" ref="AA279">IFERROR(INDEX('HIV-Equipment'!$N$14:$N$58,MATCH($E279&amp;$F279,'HIV-Equipment'!$C$14:$C$58&amp;'HIV-Equipment'!$D$14:$D$58,0)),0)</f>
        <v>0</v>
      </c>
      <c r="AB279" s="651">
        <f t="array" ref="AB279">IFERROR(INDEX('HIV-Equipment'!$O$14:$O$58,MATCH($E279&amp;$F279,'HIV-Equipment'!$C$14:$C$58&amp;'HIV-Equipment'!$D$14:$D$58,0)),0)</f>
        <v>0</v>
      </c>
      <c r="AC279" s="651">
        <f t="shared" si="192"/>
        <v>0</v>
      </c>
      <c r="AD279" s="652">
        <f t="shared" si="193"/>
        <v>0</v>
      </c>
      <c r="AE279" s="652">
        <f t="shared" si="194"/>
        <v>0</v>
      </c>
      <c r="AF279" s="651">
        <f t="array" ref="AF279">IFERROR(INDEX('HIV-Equipment'!$P$14:$P$58,MATCH($E279&amp;$F279,'HIV-Equipment'!$C$14:$C$58&amp;'HIV-Equipment'!$D$14:$D$58,0)),0)</f>
        <v>0</v>
      </c>
      <c r="AG279" s="651">
        <f t="shared" si="195"/>
        <v>0</v>
      </c>
      <c r="AH279" s="652">
        <f t="shared" si="196"/>
        <v>0</v>
      </c>
      <c r="AI279" s="652">
        <f t="shared" si="197"/>
        <v>0</v>
      </c>
      <c r="AJ279" s="651">
        <f t="array" ref="AJ279">IFERROR(INDEX('HIV-Equipment'!$Q$14:$Q$58,MATCH($E279&amp;$F279,'HIV-Equipment'!$C$14:$C$58&amp;'HIV-Equipment'!$D$14:$D$58,0)),0)</f>
        <v>0</v>
      </c>
      <c r="AK279" s="651">
        <f t="shared" si="198"/>
        <v>0</v>
      </c>
      <c r="AL279" s="652">
        <f t="shared" si="199"/>
        <v>0</v>
      </c>
      <c r="AM279" s="652">
        <f t="shared" si="200"/>
        <v>0</v>
      </c>
      <c r="AN279" s="651">
        <f t="array" ref="AN279">IFERROR(INDEX('HIV-Equipment'!$R$14:$R$58,MATCH($E279&amp;$F279,'HIV-Equipment'!$C$14:$C$58&amp;'HIV-Equipment'!$D$14:$D$58,0)),0)</f>
        <v>0</v>
      </c>
      <c r="AO279" s="651">
        <f t="shared" si="201"/>
        <v>0</v>
      </c>
      <c r="AP279" s="652">
        <f t="shared" si="202"/>
        <v>0</v>
      </c>
      <c r="AQ279" s="652">
        <f t="shared" si="203"/>
        <v>0</v>
      </c>
      <c r="AR279" s="661"/>
      <c r="AS279" s="651">
        <f t="array" ref="AS279">IFERROR(INDEX('HIV-Equipment'!$U$14:$U$58,MATCH($E279&amp;$F279,'HIV-Equipment'!$C$14:$C$58&amp;'HIV-Equipment'!$D$14:$D$58,0)),0)</f>
        <v>0</v>
      </c>
      <c r="AT279" s="651">
        <f t="array" ref="AT279">IFERROR(INDEX('HIV-Equipment'!$V$14:$V$58,MATCH($E279&amp;$F279,'HIV-Equipment'!$C$14:$C$58&amp;'HIV-Equipment'!$D$14:$D$58,0)),0)</f>
        <v>0</v>
      </c>
      <c r="AU279" s="651">
        <f t="shared" si="204"/>
        <v>0</v>
      </c>
      <c r="AV279" s="652">
        <f t="shared" si="205"/>
        <v>0</v>
      </c>
      <c r="AW279" s="652">
        <f t="shared" si="206"/>
        <v>0</v>
      </c>
      <c r="AX279" s="651">
        <f t="array" ref="AX279">IFERROR(INDEX('HIV-Equipment'!$W$14:$W$58,MATCH($E279&amp;$F279,'HIV-Equipment'!$C$14:$C$58&amp;'HIV-Equipment'!$D$14:$D$58,0)),0)</f>
        <v>0</v>
      </c>
      <c r="AY279" s="651">
        <f t="shared" si="207"/>
        <v>0</v>
      </c>
      <c r="AZ279" s="652">
        <f t="shared" si="208"/>
        <v>0</v>
      </c>
      <c r="BA279" s="652">
        <f t="shared" si="209"/>
        <v>0</v>
      </c>
      <c r="BB279" s="651">
        <f t="array" ref="BB279">IFERROR(INDEX('HIV-Equipment'!$X$14:$X$58,MATCH($E279&amp;$F279,'HIV-Equipment'!$C$14:$C$58&amp;'HIV-Equipment'!$D$14:$D$58,0)),0)</f>
        <v>0</v>
      </c>
      <c r="BC279" s="651">
        <f t="shared" si="210"/>
        <v>0</v>
      </c>
      <c r="BD279" s="652">
        <f t="shared" si="211"/>
        <v>0</v>
      </c>
      <c r="BE279" s="652">
        <f t="shared" si="212"/>
        <v>0</v>
      </c>
      <c r="BF279" s="651">
        <f t="array" ref="BF279">IFERROR(INDEX('HIV-Equipment'!$Y$14:$Y$58,MATCH($E279&amp;$F279,'HIV-Equipment'!$C$14:$C$58&amp;'HIV-Equipment'!$D$14:$D$58,0)),0)</f>
        <v>0</v>
      </c>
      <c r="BG279" s="651">
        <f t="shared" si="213"/>
        <v>0</v>
      </c>
      <c r="BH279" s="652">
        <f t="shared" si="214"/>
        <v>0</v>
      </c>
      <c r="BI279" s="652">
        <f t="shared" si="215"/>
        <v>0</v>
      </c>
      <c r="BJ279" s="662"/>
      <c r="BK279" s="654"/>
      <c r="BL279" s="654"/>
      <c r="BM279" s="654"/>
      <c r="BN279" s="654"/>
      <c r="BO279" s="654"/>
      <c r="BP279" s="654"/>
      <c r="BQ279" s="654"/>
      <c r="BR279" s="654"/>
    </row>
    <row r="280" spans="1:70" s="426" customFormat="1">
      <c r="A280" s="655" t="s">
        <v>1857</v>
      </c>
      <c r="B280" s="655" t="s">
        <v>2283</v>
      </c>
      <c r="C280" s="648">
        <f>SETUP!$F$23</f>
        <v>0</v>
      </c>
      <c r="D280" s="654">
        <v>6.6</v>
      </c>
      <c r="E280" s="655" t="s">
        <v>1456</v>
      </c>
      <c r="F280" s="655" t="s">
        <v>200</v>
      </c>
      <c r="G280" s="650" t="str">
        <f t="array" ref="G280">IFERROR(INDEX('HIV-Equipment'!$E$14:$E$58,MATCH($E280&amp;$F280,'HIV-Equipment'!$C$14:$C$58&amp;'HIV-Equipment'!$D$14:$D$58,0)),"")</f>
        <v/>
      </c>
      <c r="H280" s="650" t="str">
        <f t="array" ref="H280">IFERROR(INDEX('HIV-Equipment'!$F$14:$F$58,MATCH($E280&amp;$F280,'HIV-Equipment'!$C$14:$C$58&amp;'HIV-Equipment'!$D$14:$D$58,0)),"")</f>
        <v/>
      </c>
      <c r="I280" s="651">
        <f t="array" ref="I280">IFERROR(INDEX('HIV-Equipment'!$G$14:$G$58,MATCH($E280&amp;$F280,'HIV-Equipment'!$C$14:$C$58&amp;'HIV-Equipment'!$D$14:$D$58,0)),0)</f>
        <v>0</v>
      </c>
      <c r="J280" s="651">
        <f t="array" ref="J280">IFERROR(INDEX('HIV-Equipment'!$H$14:$H$58,MATCH($E280&amp;$F280,'HIV-Equipment'!$C$14:$C$58&amp;'HIV-Equipment'!$D$14:$D$58,0)),0)</f>
        <v>0</v>
      </c>
      <c r="K280" s="652">
        <f t="shared" si="180"/>
        <v>0</v>
      </c>
      <c r="L280" s="652">
        <f t="shared" si="181"/>
        <v>0</v>
      </c>
      <c r="M280" s="652">
        <f t="shared" si="182"/>
        <v>0</v>
      </c>
      <c r="N280" s="651">
        <f t="array" ref="N280">IFERROR(INDEX('HIV-Equipment'!$I$14:$I$58,MATCH($E280&amp;$F280,'HIV-Equipment'!$C$14:$C$58&amp;'HIV-Equipment'!$D$14:$D$58,0)),0)</f>
        <v>0</v>
      </c>
      <c r="O280" s="652">
        <f t="shared" si="183"/>
        <v>0</v>
      </c>
      <c r="P280" s="652">
        <f t="shared" si="184"/>
        <v>0</v>
      </c>
      <c r="Q280" s="652">
        <f t="shared" si="185"/>
        <v>0</v>
      </c>
      <c r="R280" s="651">
        <f t="array" ref="R280">IFERROR(INDEX('HIV-Equipment'!$J$14:$J$58,MATCH($E280&amp;$F280,'HIV-Equipment'!$C$14:$C$58&amp;'HIV-Equipment'!$D$14:$D$58,0)),0)</f>
        <v>0</v>
      </c>
      <c r="S280" s="652">
        <f t="shared" si="186"/>
        <v>0</v>
      </c>
      <c r="T280" s="652">
        <f t="shared" si="187"/>
        <v>0</v>
      </c>
      <c r="U280" s="652">
        <f t="shared" si="188"/>
        <v>0</v>
      </c>
      <c r="V280" s="651">
        <f t="array" ref="V280">IFERROR(INDEX('HIV-Equipment'!$K$14:$K$58,MATCH($E280&amp;$F280,'HIV-Equipment'!$C$14:$C$58&amp;'HIV-Equipment'!$D$14:$D$58,0)),0)</f>
        <v>0</v>
      </c>
      <c r="W280" s="652">
        <f t="shared" si="189"/>
        <v>0</v>
      </c>
      <c r="X280" s="652">
        <f t="shared" si="190"/>
        <v>0</v>
      </c>
      <c r="Y280" s="652">
        <f t="shared" si="191"/>
        <v>0</v>
      </c>
      <c r="Z280" s="661"/>
      <c r="AA280" s="651">
        <f t="array" ref="AA280">IFERROR(INDEX('HIV-Equipment'!$N$14:$N$58,MATCH($E280&amp;$F280,'HIV-Equipment'!$C$14:$C$58&amp;'HIV-Equipment'!$D$14:$D$58,0)),0)</f>
        <v>0</v>
      </c>
      <c r="AB280" s="651">
        <f t="array" ref="AB280">IFERROR(INDEX('HIV-Equipment'!$O$14:$O$58,MATCH($E280&amp;$F280,'HIV-Equipment'!$C$14:$C$58&amp;'HIV-Equipment'!$D$14:$D$58,0)),0)</f>
        <v>0</v>
      </c>
      <c r="AC280" s="651">
        <f t="shared" si="192"/>
        <v>0</v>
      </c>
      <c r="AD280" s="652">
        <f t="shared" si="193"/>
        <v>0</v>
      </c>
      <c r="AE280" s="652">
        <f t="shared" si="194"/>
        <v>0</v>
      </c>
      <c r="AF280" s="651">
        <f t="array" ref="AF280">IFERROR(INDEX('HIV-Equipment'!$P$14:$P$58,MATCH($E280&amp;$F280,'HIV-Equipment'!$C$14:$C$58&amp;'HIV-Equipment'!$D$14:$D$58,0)),0)</f>
        <v>0</v>
      </c>
      <c r="AG280" s="651">
        <f t="shared" si="195"/>
        <v>0</v>
      </c>
      <c r="AH280" s="652">
        <f t="shared" si="196"/>
        <v>0</v>
      </c>
      <c r="AI280" s="652">
        <f t="shared" si="197"/>
        <v>0</v>
      </c>
      <c r="AJ280" s="651">
        <f t="array" ref="AJ280">IFERROR(INDEX('HIV-Equipment'!$Q$14:$Q$58,MATCH($E280&amp;$F280,'HIV-Equipment'!$C$14:$C$58&amp;'HIV-Equipment'!$D$14:$D$58,0)),0)</f>
        <v>0</v>
      </c>
      <c r="AK280" s="651">
        <f t="shared" si="198"/>
        <v>0</v>
      </c>
      <c r="AL280" s="652">
        <f t="shared" si="199"/>
        <v>0</v>
      </c>
      <c r="AM280" s="652">
        <f t="shared" si="200"/>
        <v>0</v>
      </c>
      <c r="AN280" s="651">
        <f t="array" ref="AN280">IFERROR(INDEX('HIV-Equipment'!$R$14:$R$58,MATCH($E280&amp;$F280,'HIV-Equipment'!$C$14:$C$58&amp;'HIV-Equipment'!$D$14:$D$58,0)),0)</f>
        <v>0</v>
      </c>
      <c r="AO280" s="651">
        <f t="shared" si="201"/>
        <v>0</v>
      </c>
      <c r="AP280" s="652">
        <f t="shared" si="202"/>
        <v>0</v>
      </c>
      <c r="AQ280" s="652">
        <f t="shared" si="203"/>
        <v>0</v>
      </c>
      <c r="AR280" s="661"/>
      <c r="AS280" s="651">
        <f t="array" ref="AS280">IFERROR(INDEX('HIV-Equipment'!$U$14:$U$58,MATCH($E280&amp;$F280,'HIV-Equipment'!$C$14:$C$58&amp;'HIV-Equipment'!$D$14:$D$58,0)),0)</f>
        <v>0</v>
      </c>
      <c r="AT280" s="651">
        <f t="array" ref="AT280">IFERROR(INDEX('HIV-Equipment'!$V$14:$V$58,MATCH($E280&amp;$F280,'HIV-Equipment'!$C$14:$C$58&amp;'HIV-Equipment'!$D$14:$D$58,0)),0)</f>
        <v>0</v>
      </c>
      <c r="AU280" s="651">
        <f t="shared" si="204"/>
        <v>0</v>
      </c>
      <c r="AV280" s="652">
        <f t="shared" si="205"/>
        <v>0</v>
      </c>
      <c r="AW280" s="652">
        <f t="shared" si="206"/>
        <v>0</v>
      </c>
      <c r="AX280" s="651">
        <f t="array" ref="AX280">IFERROR(INDEX('HIV-Equipment'!$W$14:$W$58,MATCH($E280&amp;$F280,'HIV-Equipment'!$C$14:$C$58&amp;'HIV-Equipment'!$D$14:$D$58,0)),0)</f>
        <v>0</v>
      </c>
      <c r="AY280" s="651">
        <f t="shared" si="207"/>
        <v>0</v>
      </c>
      <c r="AZ280" s="652">
        <f t="shared" si="208"/>
        <v>0</v>
      </c>
      <c r="BA280" s="652">
        <f t="shared" si="209"/>
        <v>0</v>
      </c>
      <c r="BB280" s="651">
        <f t="array" ref="BB280">IFERROR(INDEX('HIV-Equipment'!$X$14:$X$58,MATCH($E280&amp;$F280,'HIV-Equipment'!$C$14:$C$58&amp;'HIV-Equipment'!$D$14:$D$58,0)),0)</f>
        <v>0</v>
      </c>
      <c r="BC280" s="651">
        <f t="shared" si="210"/>
        <v>0</v>
      </c>
      <c r="BD280" s="652">
        <f t="shared" si="211"/>
        <v>0</v>
      </c>
      <c r="BE280" s="652">
        <f t="shared" si="212"/>
        <v>0</v>
      </c>
      <c r="BF280" s="651">
        <f t="array" ref="BF280">IFERROR(INDEX('HIV-Equipment'!$Y$14:$Y$58,MATCH($E280&amp;$F280,'HIV-Equipment'!$C$14:$C$58&amp;'HIV-Equipment'!$D$14:$D$58,0)),0)</f>
        <v>0</v>
      </c>
      <c r="BG280" s="651">
        <f t="shared" si="213"/>
        <v>0</v>
      </c>
      <c r="BH280" s="652">
        <f t="shared" si="214"/>
        <v>0</v>
      </c>
      <c r="BI280" s="652">
        <f t="shared" si="215"/>
        <v>0</v>
      </c>
      <c r="BJ280" s="662"/>
      <c r="BK280" s="654"/>
      <c r="BL280" s="654"/>
      <c r="BM280" s="654"/>
      <c r="BN280" s="654"/>
      <c r="BO280" s="654"/>
      <c r="BP280" s="654"/>
      <c r="BQ280" s="654"/>
      <c r="BR280" s="654"/>
    </row>
    <row r="281" spans="1:70" s="426" customFormat="1">
      <c r="A281" s="655" t="s">
        <v>1858</v>
      </c>
      <c r="B281" s="655" t="s">
        <v>2283</v>
      </c>
      <c r="C281" s="648">
        <f>SETUP!$F$23</f>
        <v>0</v>
      </c>
      <c r="D281" s="654">
        <v>6.5</v>
      </c>
      <c r="E281" s="655" t="s">
        <v>1211</v>
      </c>
      <c r="F281" s="655" t="s">
        <v>218</v>
      </c>
      <c r="G281" s="650" t="str">
        <f t="array" ref="G281">IFERROR(INDEX('HIV-Equipment'!$E$14:$E$58,MATCH($E281&amp;$F281,'HIV-Equipment'!$C$14:$C$58&amp;'HIV-Equipment'!$D$14:$D$58,0)),"")</f>
        <v/>
      </c>
      <c r="H281" s="650" t="str">
        <f t="array" ref="H281">IFERROR(INDEX('HIV-Equipment'!$F$14:$F$58,MATCH($E281&amp;$F281,'HIV-Equipment'!$C$14:$C$58&amp;'HIV-Equipment'!$D$14:$D$58,0)),"")</f>
        <v/>
      </c>
      <c r="I281" s="651">
        <f t="array" ref="I281">IFERROR(INDEX('HIV-Equipment'!$G$14:$G$58,MATCH($E281&amp;$F281,'HIV-Equipment'!$C$14:$C$58&amp;'HIV-Equipment'!$D$14:$D$58,0)),0)</f>
        <v>0</v>
      </c>
      <c r="J281" s="651">
        <f t="array" ref="J281">IFERROR(INDEX('HIV-Equipment'!$H$14:$H$58,MATCH($E281&amp;$F281,'HIV-Equipment'!$C$14:$C$58&amp;'HIV-Equipment'!$D$14:$D$58,0)),0)</f>
        <v>0</v>
      </c>
      <c r="K281" s="652">
        <f t="shared" si="180"/>
        <v>0</v>
      </c>
      <c r="L281" s="652">
        <f t="shared" si="181"/>
        <v>0</v>
      </c>
      <c r="M281" s="652">
        <f t="shared" si="182"/>
        <v>0</v>
      </c>
      <c r="N281" s="651">
        <f t="array" ref="N281">IFERROR(INDEX('HIV-Equipment'!$I$14:$I$58,MATCH($E281&amp;$F281,'HIV-Equipment'!$C$14:$C$58&amp;'HIV-Equipment'!$D$14:$D$58,0)),0)</f>
        <v>0</v>
      </c>
      <c r="O281" s="652">
        <f t="shared" si="183"/>
        <v>0</v>
      </c>
      <c r="P281" s="652">
        <f t="shared" si="184"/>
        <v>0</v>
      </c>
      <c r="Q281" s="652">
        <f t="shared" si="185"/>
        <v>0</v>
      </c>
      <c r="R281" s="651">
        <f t="array" ref="R281">IFERROR(INDEX('HIV-Equipment'!$J$14:$J$58,MATCH($E281&amp;$F281,'HIV-Equipment'!$C$14:$C$58&amp;'HIV-Equipment'!$D$14:$D$58,0)),0)</f>
        <v>0</v>
      </c>
      <c r="S281" s="652">
        <f t="shared" si="186"/>
        <v>0</v>
      </c>
      <c r="T281" s="652">
        <f t="shared" si="187"/>
        <v>0</v>
      </c>
      <c r="U281" s="652">
        <f t="shared" si="188"/>
        <v>0</v>
      </c>
      <c r="V281" s="651">
        <f t="array" ref="V281">IFERROR(INDEX('HIV-Equipment'!$K$14:$K$58,MATCH($E281&amp;$F281,'HIV-Equipment'!$C$14:$C$58&amp;'HIV-Equipment'!$D$14:$D$58,0)),0)</f>
        <v>0</v>
      </c>
      <c r="W281" s="652">
        <f t="shared" si="189"/>
        <v>0</v>
      </c>
      <c r="X281" s="652">
        <f t="shared" si="190"/>
        <v>0</v>
      </c>
      <c r="Y281" s="652">
        <f t="shared" si="191"/>
        <v>0</v>
      </c>
      <c r="Z281" s="661"/>
      <c r="AA281" s="651">
        <f t="array" ref="AA281">IFERROR(INDEX('HIV-Equipment'!$N$14:$N$58,MATCH($E281&amp;$F281,'HIV-Equipment'!$C$14:$C$58&amp;'HIV-Equipment'!$D$14:$D$58,0)),0)</f>
        <v>0</v>
      </c>
      <c r="AB281" s="651">
        <f t="array" ref="AB281">IFERROR(INDEX('HIV-Equipment'!$O$14:$O$58,MATCH($E281&amp;$F281,'HIV-Equipment'!$C$14:$C$58&amp;'HIV-Equipment'!$D$14:$D$58,0)),0)</f>
        <v>0</v>
      </c>
      <c r="AC281" s="651">
        <f t="shared" si="192"/>
        <v>0</v>
      </c>
      <c r="AD281" s="652">
        <f t="shared" si="193"/>
        <v>0</v>
      </c>
      <c r="AE281" s="652">
        <f t="shared" si="194"/>
        <v>0</v>
      </c>
      <c r="AF281" s="651">
        <f t="array" ref="AF281">IFERROR(INDEX('HIV-Equipment'!$P$14:$P$58,MATCH($E281&amp;$F281,'HIV-Equipment'!$C$14:$C$58&amp;'HIV-Equipment'!$D$14:$D$58,0)),0)</f>
        <v>0</v>
      </c>
      <c r="AG281" s="651">
        <f t="shared" si="195"/>
        <v>0</v>
      </c>
      <c r="AH281" s="652">
        <f t="shared" si="196"/>
        <v>0</v>
      </c>
      <c r="AI281" s="652">
        <f t="shared" si="197"/>
        <v>0</v>
      </c>
      <c r="AJ281" s="651">
        <f t="array" ref="AJ281">IFERROR(INDEX('HIV-Equipment'!$Q$14:$Q$58,MATCH($E281&amp;$F281,'HIV-Equipment'!$C$14:$C$58&amp;'HIV-Equipment'!$D$14:$D$58,0)),0)</f>
        <v>0</v>
      </c>
      <c r="AK281" s="651">
        <f t="shared" si="198"/>
        <v>0</v>
      </c>
      <c r="AL281" s="652">
        <f t="shared" si="199"/>
        <v>0</v>
      </c>
      <c r="AM281" s="652">
        <f t="shared" si="200"/>
        <v>0</v>
      </c>
      <c r="AN281" s="651">
        <f t="array" ref="AN281">IFERROR(INDEX('HIV-Equipment'!$R$14:$R$58,MATCH($E281&amp;$F281,'HIV-Equipment'!$C$14:$C$58&amp;'HIV-Equipment'!$D$14:$D$58,0)),0)</f>
        <v>0</v>
      </c>
      <c r="AO281" s="651">
        <f t="shared" si="201"/>
        <v>0</v>
      </c>
      <c r="AP281" s="652">
        <f t="shared" si="202"/>
        <v>0</v>
      </c>
      <c r="AQ281" s="652">
        <f t="shared" si="203"/>
        <v>0</v>
      </c>
      <c r="AR281" s="661"/>
      <c r="AS281" s="651">
        <f t="array" ref="AS281">IFERROR(INDEX('HIV-Equipment'!$U$14:$U$58,MATCH($E281&amp;$F281,'HIV-Equipment'!$C$14:$C$58&amp;'HIV-Equipment'!$D$14:$D$58,0)),0)</f>
        <v>0</v>
      </c>
      <c r="AT281" s="651">
        <f t="array" ref="AT281">IFERROR(INDEX('HIV-Equipment'!$V$14:$V$58,MATCH($E281&amp;$F281,'HIV-Equipment'!$C$14:$C$58&amp;'HIV-Equipment'!$D$14:$D$58,0)),0)</f>
        <v>0</v>
      </c>
      <c r="AU281" s="651">
        <f t="shared" si="204"/>
        <v>0</v>
      </c>
      <c r="AV281" s="652">
        <f t="shared" si="205"/>
        <v>0</v>
      </c>
      <c r="AW281" s="652">
        <f t="shared" si="206"/>
        <v>0</v>
      </c>
      <c r="AX281" s="651">
        <f t="array" ref="AX281">IFERROR(INDEX('HIV-Equipment'!$W$14:$W$58,MATCH($E281&amp;$F281,'HIV-Equipment'!$C$14:$C$58&amp;'HIV-Equipment'!$D$14:$D$58,0)),0)</f>
        <v>0</v>
      </c>
      <c r="AY281" s="651">
        <f t="shared" si="207"/>
        <v>0</v>
      </c>
      <c r="AZ281" s="652">
        <f t="shared" si="208"/>
        <v>0</v>
      </c>
      <c r="BA281" s="652">
        <f t="shared" si="209"/>
        <v>0</v>
      </c>
      <c r="BB281" s="651">
        <f t="array" ref="BB281">IFERROR(INDEX('HIV-Equipment'!$X$14:$X$58,MATCH($E281&amp;$F281,'HIV-Equipment'!$C$14:$C$58&amp;'HIV-Equipment'!$D$14:$D$58,0)),0)</f>
        <v>0</v>
      </c>
      <c r="BC281" s="651">
        <f t="shared" si="210"/>
        <v>0</v>
      </c>
      <c r="BD281" s="652">
        <f t="shared" si="211"/>
        <v>0</v>
      </c>
      <c r="BE281" s="652">
        <f t="shared" si="212"/>
        <v>0</v>
      </c>
      <c r="BF281" s="651">
        <f t="array" ref="BF281">IFERROR(INDEX('HIV-Equipment'!$Y$14:$Y$58,MATCH($E281&amp;$F281,'HIV-Equipment'!$C$14:$C$58&amp;'HIV-Equipment'!$D$14:$D$58,0)),0)</f>
        <v>0</v>
      </c>
      <c r="BG281" s="651">
        <f t="shared" si="213"/>
        <v>0</v>
      </c>
      <c r="BH281" s="652">
        <f t="shared" si="214"/>
        <v>0</v>
      </c>
      <c r="BI281" s="652">
        <f t="shared" si="215"/>
        <v>0</v>
      </c>
      <c r="BJ281" s="662"/>
      <c r="BK281" s="654"/>
      <c r="BL281" s="654"/>
      <c r="BM281" s="654"/>
      <c r="BN281" s="654"/>
      <c r="BO281" s="654"/>
      <c r="BP281" s="654"/>
      <c r="BQ281" s="654"/>
      <c r="BR281" s="654"/>
    </row>
    <row r="282" spans="1:70" s="426" customFormat="1">
      <c r="A282" s="655" t="s">
        <v>1858</v>
      </c>
      <c r="B282" s="655" t="s">
        <v>2283</v>
      </c>
      <c r="C282" s="648">
        <f>SETUP!$F$23</f>
        <v>0</v>
      </c>
      <c r="D282" s="654">
        <v>6.6</v>
      </c>
      <c r="E282" s="655" t="s">
        <v>1211</v>
      </c>
      <c r="F282" s="655" t="s">
        <v>201</v>
      </c>
      <c r="G282" s="650" t="str">
        <f t="array" ref="G282">IFERROR(INDEX('HIV-Equipment'!$E$14:$E$58,MATCH($E282&amp;$F282,'HIV-Equipment'!$C$14:$C$58&amp;'HIV-Equipment'!$D$14:$D$58,0)),"")</f>
        <v/>
      </c>
      <c r="H282" s="650" t="str">
        <f t="array" ref="H282">IFERROR(INDEX('HIV-Equipment'!$F$14:$F$58,MATCH($E282&amp;$F282,'HIV-Equipment'!$C$14:$C$58&amp;'HIV-Equipment'!$D$14:$D$58,0)),"")</f>
        <v/>
      </c>
      <c r="I282" s="651">
        <f t="array" ref="I282">IFERROR(INDEX('HIV-Equipment'!$G$14:$G$58,MATCH($E282&amp;$F282,'HIV-Equipment'!$C$14:$C$58&amp;'HIV-Equipment'!$D$14:$D$58,0)),0)</f>
        <v>0</v>
      </c>
      <c r="J282" s="651">
        <f t="array" ref="J282">IFERROR(INDEX('HIV-Equipment'!$H$14:$H$58,MATCH($E282&amp;$F282,'HIV-Equipment'!$C$14:$C$58&amp;'HIV-Equipment'!$D$14:$D$58,0)),0)</f>
        <v>0</v>
      </c>
      <c r="K282" s="652">
        <f t="shared" si="180"/>
        <v>0</v>
      </c>
      <c r="L282" s="652">
        <f t="shared" si="181"/>
        <v>0</v>
      </c>
      <c r="M282" s="652">
        <f t="shared" si="182"/>
        <v>0</v>
      </c>
      <c r="N282" s="651">
        <f t="array" ref="N282">IFERROR(INDEX('HIV-Equipment'!$I$14:$I$58,MATCH($E282&amp;$F282,'HIV-Equipment'!$C$14:$C$58&amp;'HIV-Equipment'!$D$14:$D$58,0)),0)</f>
        <v>0</v>
      </c>
      <c r="O282" s="652">
        <f t="shared" si="183"/>
        <v>0</v>
      </c>
      <c r="P282" s="652">
        <f t="shared" si="184"/>
        <v>0</v>
      </c>
      <c r="Q282" s="652">
        <f t="shared" si="185"/>
        <v>0</v>
      </c>
      <c r="R282" s="651">
        <f t="array" ref="R282">IFERROR(INDEX('HIV-Equipment'!$J$14:$J$58,MATCH($E282&amp;$F282,'HIV-Equipment'!$C$14:$C$58&amp;'HIV-Equipment'!$D$14:$D$58,0)),0)</f>
        <v>0</v>
      </c>
      <c r="S282" s="652">
        <f t="shared" si="186"/>
        <v>0</v>
      </c>
      <c r="T282" s="652">
        <f t="shared" si="187"/>
        <v>0</v>
      </c>
      <c r="U282" s="652">
        <f t="shared" si="188"/>
        <v>0</v>
      </c>
      <c r="V282" s="651">
        <f t="array" ref="V282">IFERROR(INDEX('HIV-Equipment'!$K$14:$K$58,MATCH($E282&amp;$F282,'HIV-Equipment'!$C$14:$C$58&amp;'HIV-Equipment'!$D$14:$D$58,0)),0)</f>
        <v>0</v>
      </c>
      <c r="W282" s="652">
        <f t="shared" si="189"/>
        <v>0</v>
      </c>
      <c r="X282" s="652">
        <f t="shared" si="190"/>
        <v>0</v>
      </c>
      <c r="Y282" s="652">
        <f t="shared" si="191"/>
        <v>0</v>
      </c>
      <c r="Z282" s="661"/>
      <c r="AA282" s="651">
        <f t="array" ref="AA282">IFERROR(INDEX('HIV-Equipment'!$N$14:$N$58,MATCH($E282&amp;$F282,'HIV-Equipment'!$C$14:$C$58&amp;'HIV-Equipment'!$D$14:$D$58,0)),0)</f>
        <v>0</v>
      </c>
      <c r="AB282" s="651">
        <f t="array" ref="AB282">IFERROR(INDEX('HIV-Equipment'!$O$14:$O$58,MATCH($E282&amp;$F282,'HIV-Equipment'!$C$14:$C$58&amp;'HIV-Equipment'!$D$14:$D$58,0)),0)</f>
        <v>0</v>
      </c>
      <c r="AC282" s="651">
        <f t="shared" si="192"/>
        <v>0</v>
      </c>
      <c r="AD282" s="652">
        <f t="shared" si="193"/>
        <v>0</v>
      </c>
      <c r="AE282" s="652">
        <f t="shared" si="194"/>
        <v>0</v>
      </c>
      <c r="AF282" s="651">
        <f t="array" ref="AF282">IFERROR(INDEX('HIV-Equipment'!$P$14:$P$58,MATCH($E282&amp;$F282,'HIV-Equipment'!$C$14:$C$58&amp;'HIV-Equipment'!$D$14:$D$58,0)),0)</f>
        <v>0</v>
      </c>
      <c r="AG282" s="651">
        <f t="shared" si="195"/>
        <v>0</v>
      </c>
      <c r="AH282" s="652">
        <f t="shared" si="196"/>
        <v>0</v>
      </c>
      <c r="AI282" s="652">
        <f t="shared" si="197"/>
        <v>0</v>
      </c>
      <c r="AJ282" s="651">
        <f t="array" ref="AJ282">IFERROR(INDEX('HIV-Equipment'!$Q$14:$Q$58,MATCH($E282&amp;$F282,'HIV-Equipment'!$C$14:$C$58&amp;'HIV-Equipment'!$D$14:$D$58,0)),0)</f>
        <v>0</v>
      </c>
      <c r="AK282" s="651">
        <f t="shared" si="198"/>
        <v>0</v>
      </c>
      <c r="AL282" s="652">
        <f t="shared" si="199"/>
        <v>0</v>
      </c>
      <c r="AM282" s="652">
        <f t="shared" si="200"/>
        <v>0</v>
      </c>
      <c r="AN282" s="651">
        <f t="array" ref="AN282">IFERROR(INDEX('HIV-Equipment'!$R$14:$R$58,MATCH($E282&amp;$F282,'HIV-Equipment'!$C$14:$C$58&amp;'HIV-Equipment'!$D$14:$D$58,0)),0)</f>
        <v>0</v>
      </c>
      <c r="AO282" s="651">
        <f t="shared" si="201"/>
        <v>0</v>
      </c>
      <c r="AP282" s="652">
        <f t="shared" si="202"/>
        <v>0</v>
      </c>
      <c r="AQ282" s="652">
        <f t="shared" si="203"/>
        <v>0</v>
      </c>
      <c r="AR282" s="661"/>
      <c r="AS282" s="651">
        <f t="array" ref="AS282">IFERROR(INDEX('HIV-Equipment'!$U$14:$U$58,MATCH($E282&amp;$F282,'HIV-Equipment'!$C$14:$C$58&amp;'HIV-Equipment'!$D$14:$D$58,0)),0)</f>
        <v>0</v>
      </c>
      <c r="AT282" s="651">
        <f t="array" ref="AT282">IFERROR(INDEX('HIV-Equipment'!$V$14:$V$58,MATCH($E282&amp;$F282,'HIV-Equipment'!$C$14:$C$58&amp;'HIV-Equipment'!$D$14:$D$58,0)),0)</f>
        <v>0</v>
      </c>
      <c r="AU282" s="651">
        <f t="shared" si="204"/>
        <v>0</v>
      </c>
      <c r="AV282" s="652">
        <f t="shared" si="205"/>
        <v>0</v>
      </c>
      <c r="AW282" s="652">
        <f t="shared" si="206"/>
        <v>0</v>
      </c>
      <c r="AX282" s="651">
        <f t="array" ref="AX282">IFERROR(INDEX('HIV-Equipment'!$W$14:$W$58,MATCH($E282&amp;$F282,'HIV-Equipment'!$C$14:$C$58&amp;'HIV-Equipment'!$D$14:$D$58,0)),0)</f>
        <v>0</v>
      </c>
      <c r="AY282" s="651">
        <f t="shared" si="207"/>
        <v>0</v>
      </c>
      <c r="AZ282" s="652">
        <f t="shared" si="208"/>
        <v>0</v>
      </c>
      <c r="BA282" s="652">
        <f t="shared" si="209"/>
        <v>0</v>
      </c>
      <c r="BB282" s="651">
        <f t="array" ref="BB282">IFERROR(INDEX('HIV-Equipment'!$X$14:$X$58,MATCH($E282&amp;$F282,'HIV-Equipment'!$C$14:$C$58&amp;'HIV-Equipment'!$D$14:$D$58,0)),0)</f>
        <v>0</v>
      </c>
      <c r="BC282" s="651">
        <f t="shared" si="210"/>
        <v>0</v>
      </c>
      <c r="BD282" s="652">
        <f t="shared" si="211"/>
        <v>0</v>
      </c>
      <c r="BE282" s="652">
        <f t="shared" si="212"/>
        <v>0</v>
      </c>
      <c r="BF282" s="651">
        <f t="array" ref="BF282">IFERROR(INDEX('HIV-Equipment'!$Y$14:$Y$58,MATCH($E282&amp;$F282,'HIV-Equipment'!$C$14:$C$58&amp;'HIV-Equipment'!$D$14:$D$58,0)),0)</f>
        <v>0</v>
      </c>
      <c r="BG282" s="651">
        <f t="shared" si="213"/>
        <v>0</v>
      </c>
      <c r="BH282" s="652">
        <f t="shared" si="214"/>
        <v>0</v>
      </c>
      <c r="BI282" s="652">
        <f t="shared" si="215"/>
        <v>0</v>
      </c>
      <c r="BJ282" s="662"/>
      <c r="BK282" s="654"/>
      <c r="BL282" s="654"/>
      <c r="BM282" s="654"/>
      <c r="BN282" s="654"/>
      <c r="BO282" s="654"/>
      <c r="BP282" s="654"/>
      <c r="BQ282" s="654"/>
      <c r="BR282" s="654"/>
    </row>
    <row r="283" spans="1:70" s="426" customFormat="1">
      <c r="A283" s="655" t="s">
        <v>1858</v>
      </c>
      <c r="B283" s="655" t="s">
        <v>2283</v>
      </c>
      <c r="C283" s="648">
        <f>SETUP!$F$23</f>
        <v>0</v>
      </c>
      <c r="D283" s="654">
        <v>6.6</v>
      </c>
      <c r="E283" s="655" t="s">
        <v>1211</v>
      </c>
      <c r="F283" s="655" t="s">
        <v>200</v>
      </c>
      <c r="G283" s="650" t="str">
        <f t="array" ref="G283">IFERROR(INDEX('HIV-Equipment'!$E$14:$E$58,MATCH($E283&amp;$F283,'HIV-Equipment'!$C$14:$C$58&amp;'HIV-Equipment'!$D$14:$D$58,0)),"")</f>
        <v/>
      </c>
      <c r="H283" s="650" t="str">
        <f t="array" ref="H283">IFERROR(INDEX('HIV-Equipment'!$F$14:$F$58,MATCH($E283&amp;$F283,'HIV-Equipment'!$C$14:$C$58&amp;'HIV-Equipment'!$D$14:$D$58,0)),"")</f>
        <v/>
      </c>
      <c r="I283" s="651">
        <f t="array" ref="I283">IFERROR(INDEX('HIV-Equipment'!$G$14:$G$58,MATCH($E283&amp;$F283,'HIV-Equipment'!$C$14:$C$58&amp;'HIV-Equipment'!$D$14:$D$58,0)),0)</f>
        <v>0</v>
      </c>
      <c r="J283" s="651">
        <f t="array" ref="J283">IFERROR(INDEX('HIV-Equipment'!$H$14:$H$58,MATCH($E283&amp;$F283,'HIV-Equipment'!$C$14:$C$58&amp;'HIV-Equipment'!$D$14:$D$58,0)),0)</f>
        <v>0</v>
      </c>
      <c r="K283" s="652">
        <f t="shared" si="180"/>
        <v>0</v>
      </c>
      <c r="L283" s="652">
        <f t="shared" si="181"/>
        <v>0</v>
      </c>
      <c r="M283" s="652">
        <f t="shared" si="182"/>
        <v>0</v>
      </c>
      <c r="N283" s="651">
        <f t="array" ref="N283">IFERROR(INDEX('HIV-Equipment'!$I$14:$I$58,MATCH($E283&amp;$F283,'HIV-Equipment'!$C$14:$C$58&amp;'HIV-Equipment'!$D$14:$D$58,0)),0)</f>
        <v>0</v>
      </c>
      <c r="O283" s="652">
        <f t="shared" si="183"/>
        <v>0</v>
      </c>
      <c r="P283" s="652">
        <f t="shared" si="184"/>
        <v>0</v>
      </c>
      <c r="Q283" s="652">
        <f t="shared" si="185"/>
        <v>0</v>
      </c>
      <c r="R283" s="651">
        <f t="array" ref="R283">IFERROR(INDEX('HIV-Equipment'!$J$14:$J$58,MATCH($E283&amp;$F283,'HIV-Equipment'!$C$14:$C$58&amp;'HIV-Equipment'!$D$14:$D$58,0)),0)</f>
        <v>0</v>
      </c>
      <c r="S283" s="652">
        <f t="shared" si="186"/>
        <v>0</v>
      </c>
      <c r="T283" s="652">
        <f t="shared" si="187"/>
        <v>0</v>
      </c>
      <c r="U283" s="652">
        <f t="shared" si="188"/>
        <v>0</v>
      </c>
      <c r="V283" s="651">
        <f t="array" ref="V283">IFERROR(INDEX('HIV-Equipment'!$K$14:$K$58,MATCH($E283&amp;$F283,'HIV-Equipment'!$C$14:$C$58&amp;'HIV-Equipment'!$D$14:$D$58,0)),0)</f>
        <v>0</v>
      </c>
      <c r="W283" s="652">
        <f t="shared" si="189"/>
        <v>0</v>
      </c>
      <c r="X283" s="652">
        <f t="shared" si="190"/>
        <v>0</v>
      </c>
      <c r="Y283" s="652">
        <f t="shared" si="191"/>
        <v>0</v>
      </c>
      <c r="Z283" s="661"/>
      <c r="AA283" s="651">
        <f t="array" ref="AA283">IFERROR(INDEX('HIV-Equipment'!$N$14:$N$58,MATCH($E283&amp;$F283,'HIV-Equipment'!$C$14:$C$58&amp;'HIV-Equipment'!$D$14:$D$58,0)),0)</f>
        <v>0</v>
      </c>
      <c r="AB283" s="651">
        <f t="array" ref="AB283">IFERROR(INDEX('HIV-Equipment'!$O$14:$O$58,MATCH($E283&amp;$F283,'HIV-Equipment'!$C$14:$C$58&amp;'HIV-Equipment'!$D$14:$D$58,0)),0)</f>
        <v>0</v>
      </c>
      <c r="AC283" s="651">
        <f t="shared" si="192"/>
        <v>0</v>
      </c>
      <c r="AD283" s="652">
        <f t="shared" si="193"/>
        <v>0</v>
      </c>
      <c r="AE283" s="652">
        <f t="shared" si="194"/>
        <v>0</v>
      </c>
      <c r="AF283" s="651">
        <f t="array" ref="AF283">IFERROR(INDEX('HIV-Equipment'!$P$14:$P$58,MATCH($E283&amp;$F283,'HIV-Equipment'!$C$14:$C$58&amp;'HIV-Equipment'!$D$14:$D$58,0)),0)</f>
        <v>0</v>
      </c>
      <c r="AG283" s="651">
        <f t="shared" si="195"/>
        <v>0</v>
      </c>
      <c r="AH283" s="652">
        <f t="shared" si="196"/>
        <v>0</v>
      </c>
      <c r="AI283" s="652">
        <f t="shared" si="197"/>
        <v>0</v>
      </c>
      <c r="AJ283" s="651">
        <f t="array" ref="AJ283">IFERROR(INDEX('HIV-Equipment'!$Q$14:$Q$58,MATCH($E283&amp;$F283,'HIV-Equipment'!$C$14:$C$58&amp;'HIV-Equipment'!$D$14:$D$58,0)),0)</f>
        <v>0</v>
      </c>
      <c r="AK283" s="651">
        <f t="shared" si="198"/>
        <v>0</v>
      </c>
      <c r="AL283" s="652">
        <f t="shared" si="199"/>
        <v>0</v>
      </c>
      <c r="AM283" s="652">
        <f t="shared" si="200"/>
        <v>0</v>
      </c>
      <c r="AN283" s="651">
        <f t="array" ref="AN283">IFERROR(INDEX('HIV-Equipment'!$R$14:$R$58,MATCH($E283&amp;$F283,'HIV-Equipment'!$C$14:$C$58&amp;'HIV-Equipment'!$D$14:$D$58,0)),0)</f>
        <v>0</v>
      </c>
      <c r="AO283" s="651">
        <f t="shared" si="201"/>
        <v>0</v>
      </c>
      <c r="AP283" s="652">
        <f t="shared" si="202"/>
        <v>0</v>
      </c>
      <c r="AQ283" s="652">
        <f t="shared" si="203"/>
        <v>0</v>
      </c>
      <c r="AR283" s="661"/>
      <c r="AS283" s="651">
        <f t="array" ref="AS283">IFERROR(INDEX('HIV-Equipment'!$U$14:$U$58,MATCH($E283&amp;$F283,'HIV-Equipment'!$C$14:$C$58&amp;'HIV-Equipment'!$D$14:$D$58,0)),0)</f>
        <v>0</v>
      </c>
      <c r="AT283" s="651">
        <f t="array" ref="AT283">IFERROR(INDEX('HIV-Equipment'!$V$14:$V$58,MATCH($E283&amp;$F283,'HIV-Equipment'!$C$14:$C$58&amp;'HIV-Equipment'!$D$14:$D$58,0)),0)</f>
        <v>0</v>
      </c>
      <c r="AU283" s="651">
        <f t="shared" si="204"/>
        <v>0</v>
      </c>
      <c r="AV283" s="652">
        <f t="shared" si="205"/>
        <v>0</v>
      </c>
      <c r="AW283" s="652">
        <f t="shared" si="206"/>
        <v>0</v>
      </c>
      <c r="AX283" s="651">
        <f t="array" ref="AX283">IFERROR(INDEX('HIV-Equipment'!$W$14:$W$58,MATCH($E283&amp;$F283,'HIV-Equipment'!$C$14:$C$58&amp;'HIV-Equipment'!$D$14:$D$58,0)),0)</f>
        <v>0</v>
      </c>
      <c r="AY283" s="651">
        <f t="shared" si="207"/>
        <v>0</v>
      </c>
      <c r="AZ283" s="652">
        <f t="shared" si="208"/>
        <v>0</v>
      </c>
      <c r="BA283" s="652">
        <f t="shared" si="209"/>
        <v>0</v>
      </c>
      <c r="BB283" s="651">
        <f t="array" ref="BB283">IFERROR(INDEX('HIV-Equipment'!$X$14:$X$58,MATCH($E283&amp;$F283,'HIV-Equipment'!$C$14:$C$58&amp;'HIV-Equipment'!$D$14:$D$58,0)),0)</f>
        <v>0</v>
      </c>
      <c r="BC283" s="651">
        <f t="shared" si="210"/>
        <v>0</v>
      </c>
      <c r="BD283" s="652">
        <f t="shared" si="211"/>
        <v>0</v>
      </c>
      <c r="BE283" s="652">
        <f t="shared" si="212"/>
        <v>0</v>
      </c>
      <c r="BF283" s="651">
        <f t="array" ref="BF283">IFERROR(INDEX('HIV-Equipment'!$Y$14:$Y$58,MATCH($E283&amp;$F283,'HIV-Equipment'!$C$14:$C$58&amp;'HIV-Equipment'!$D$14:$D$58,0)),0)</f>
        <v>0</v>
      </c>
      <c r="BG283" s="651">
        <f t="shared" si="213"/>
        <v>0</v>
      </c>
      <c r="BH283" s="652">
        <f t="shared" si="214"/>
        <v>0</v>
      </c>
      <c r="BI283" s="652">
        <f t="shared" si="215"/>
        <v>0</v>
      </c>
      <c r="BJ283" s="662"/>
      <c r="BK283" s="654"/>
      <c r="BL283" s="654"/>
      <c r="BM283" s="654"/>
      <c r="BN283" s="654"/>
      <c r="BO283" s="654"/>
      <c r="BP283" s="654"/>
      <c r="BQ283" s="654"/>
      <c r="BR283" s="654"/>
    </row>
    <row r="284" spans="1:70" s="426" customFormat="1">
      <c r="A284" s="655" t="s">
        <v>1858</v>
      </c>
      <c r="B284" s="655" t="s">
        <v>2284</v>
      </c>
      <c r="C284" s="648">
        <f>SETUP!$F$23</f>
        <v>0</v>
      </c>
      <c r="D284" s="654">
        <v>6.5</v>
      </c>
      <c r="E284" s="655" t="s">
        <v>1212</v>
      </c>
      <c r="F284" s="655" t="s">
        <v>218</v>
      </c>
      <c r="G284" s="650" t="str">
        <f t="array" ref="G284">IFERROR(INDEX('HIV-Other HPs'!$K$123:$K$223,MATCH($E284&amp;$F284,'HIV-Other HPs'!$D$123:$D$223&amp;'HIV-Other HPs'!$G$123:$G$223,0)),"")</f>
        <v/>
      </c>
      <c r="H284" s="650" t="str">
        <f t="array" ref="H284">IFERROR(INDEX('HIV-Other HPs'!$L$123:$L$223,MATCH($E284&amp;$F284,'HIV-Other HPs'!$D$123:$D$223&amp;'HIV-Other HPs'!$G$123:$G$223,0)),"")</f>
        <v/>
      </c>
      <c r="I284" s="651">
        <f t="array" ref="I284">IFERROR(INDEX('HIV-Other HPs'!$M$123:$M$223,MATCH($E284&amp;$F284,'HIV-Other HPs'!$D$123:$D$223&amp;'HIV-Other HPs'!$G$123:$G$223,0)),0)</f>
        <v>0</v>
      </c>
      <c r="J284" s="651">
        <f t="array" ref="J284">IFERROR(INDEX('HIV-Other HPs'!$N$123:$N$223,MATCH($E284&amp;$F284,'HIV-Other HPs'!$D$123:$D$223&amp;'HIV-Other HPs'!$G$123:$G$223,0)),0)</f>
        <v>0</v>
      </c>
      <c r="K284" s="652">
        <f t="shared" si="180"/>
        <v>0</v>
      </c>
      <c r="L284" s="652">
        <f t="shared" si="181"/>
        <v>0</v>
      </c>
      <c r="M284" s="652">
        <f t="shared" si="182"/>
        <v>0</v>
      </c>
      <c r="N284" s="651">
        <f t="array" ref="N284">IFERROR(INDEX('HIV-Other HPs'!$O$123:$O$223,MATCH($E284&amp;$F284,'HIV-Other HPs'!$D$123:$D$223&amp;'HIV-Other HPs'!$G$123:$G$223,0)),0)</f>
        <v>0</v>
      </c>
      <c r="O284" s="652">
        <f t="shared" si="183"/>
        <v>0</v>
      </c>
      <c r="P284" s="652">
        <f t="shared" si="184"/>
        <v>0</v>
      </c>
      <c r="Q284" s="652">
        <f t="shared" si="185"/>
        <v>0</v>
      </c>
      <c r="R284" s="651">
        <f t="array" ref="R284">IFERROR(INDEX('HIV-Other HPs'!$P$123:$P$223,MATCH($E284&amp;$F284,'HIV-Other HPs'!$D$123:$D$223&amp;'HIV-Other HPs'!$G$123:$G$223,0)),0)</f>
        <v>0</v>
      </c>
      <c r="S284" s="652">
        <f t="shared" si="186"/>
        <v>0</v>
      </c>
      <c r="T284" s="652">
        <f t="shared" si="187"/>
        <v>0</v>
      </c>
      <c r="U284" s="652">
        <f t="shared" si="188"/>
        <v>0</v>
      </c>
      <c r="V284" s="651">
        <f t="array" ref="V284">IFERROR(INDEX('HIV-Other HPs'!$Q$123:$Q$223,MATCH($E284&amp;$F284,'HIV-Other HPs'!$D$123:$D$223&amp;'HIV-Other HPs'!$G$123:$G$223,0)),0)</f>
        <v>0</v>
      </c>
      <c r="W284" s="652">
        <f t="shared" si="189"/>
        <v>0</v>
      </c>
      <c r="X284" s="652">
        <f t="shared" si="190"/>
        <v>0</v>
      </c>
      <c r="Y284" s="652">
        <f t="shared" si="191"/>
        <v>0</v>
      </c>
      <c r="Z284" s="661"/>
      <c r="AA284" s="651">
        <f t="array" ref="AA284">IFERROR(INDEX('HIV-Other HPs'!$T$123:$T$223,MATCH($E284&amp;$F284,'HIV-Other HPs'!$D$123:$D$223&amp;'HIV-Other HPs'!$G$123:$G$223,0)),0)</f>
        <v>0</v>
      </c>
      <c r="AB284" s="651">
        <f t="array" ref="AB284">IFERROR(INDEX('HIV-Other HPs'!$U$123:$U$223,MATCH($E284&amp;$F284,'HIV-Other HPs'!$D$123:$D$223&amp;'HIV-Other HPs'!$G$123:$G$223,0)),0)</f>
        <v>0</v>
      </c>
      <c r="AC284" s="651">
        <f t="shared" si="192"/>
        <v>0</v>
      </c>
      <c r="AD284" s="652">
        <f t="shared" si="193"/>
        <v>0</v>
      </c>
      <c r="AE284" s="652">
        <f t="shared" si="194"/>
        <v>0</v>
      </c>
      <c r="AF284" s="651">
        <f t="array" ref="AF284">IFERROR(INDEX('HIV-Other HPs'!$V$123:$V$223,MATCH($E284&amp;$F284,'HIV-Other HPs'!$D$123:$D$223&amp;'HIV-Other HPs'!$G$123:$G$223,0)),0)</f>
        <v>0</v>
      </c>
      <c r="AG284" s="651">
        <f t="shared" si="195"/>
        <v>0</v>
      </c>
      <c r="AH284" s="652">
        <f t="shared" si="196"/>
        <v>0</v>
      </c>
      <c r="AI284" s="652">
        <f t="shared" si="197"/>
        <v>0</v>
      </c>
      <c r="AJ284" s="651">
        <f t="array" ref="AJ284">IFERROR(INDEX('HIV-Other HPs'!$W$123:$W$223,MATCH($E284&amp;$F284,'HIV-Other HPs'!$D$123:$D$223&amp;'HIV-Other HPs'!$G$123:$G$223,0)),0)</f>
        <v>0</v>
      </c>
      <c r="AK284" s="651">
        <f t="shared" si="198"/>
        <v>0</v>
      </c>
      <c r="AL284" s="652">
        <f t="shared" si="199"/>
        <v>0</v>
      </c>
      <c r="AM284" s="652">
        <f t="shared" si="200"/>
        <v>0</v>
      </c>
      <c r="AN284" s="651">
        <f t="array" ref="AN284">IFERROR(INDEX('HIV-Other HPs'!$X$123:$X$223,MATCH($E284&amp;$F284,'HIV-Other HPs'!$D$123:$D$223&amp;'HIV-Other HPs'!$G$123:$G$223,0)),0)</f>
        <v>0</v>
      </c>
      <c r="AO284" s="651">
        <f t="shared" si="201"/>
        <v>0</v>
      </c>
      <c r="AP284" s="652">
        <f t="shared" si="202"/>
        <v>0</v>
      </c>
      <c r="AQ284" s="652">
        <f t="shared" si="203"/>
        <v>0</v>
      </c>
      <c r="AR284" s="661"/>
      <c r="AS284" s="651">
        <f t="array" ref="AS284">IFERROR(INDEX('HIV-Other HPs'!$AA$123:$AA$223,MATCH($E284&amp;$F284,'HIV-Other HPs'!$D$123:$D$223&amp;'HIV-Other HPs'!$G$123:$G$223,0)),0)</f>
        <v>0</v>
      </c>
      <c r="AT284" s="651">
        <f t="array" ref="AT284">IFERROR(INDEX('HIV-Other HPs'!$AB$123:$AB$223,MATCH($E284&amp;$F284,'HIV-Other HPs'!$D$123:$D$223&amp;'HIV-Other HPs'!$G$123:$G$223,0)),0)</f>
        <v>0</v>
      </c>
      <c r="AU284" s="651">
        <f t="shared" si="204"/>
        <v>0</v>
      </c>
      <c r="AV284" s="652">
        <f t="shared" si="205"/>
        <v>0</v>
      </c>
      <c r="AW284" s="652">
        <f t="shared" si="206"/>
        <v>0</v>
      </c>
      <c r="AX284" s="651">
        <f t="array" ref="AX284">IFERROR(INDEX('HIV-Other HPs'!$AC$123:$AC$223,MATCH($E284&amp;$F284,'HIV-Other HPs'!$D$123:$D$223&amp;'HIV-Other HPs'!$G$123:$G$223,0)),0)</f>
        <v>0</v>
      </c>
      <c r="AY284" s="651">
        <f t="shared" si="207"/>
        <v>0</v>
      </c>
      <c r="AZ284" s="652">
        <f t="shared" si="208"/>
        <v>0</v>
      </c>
      <c r="BA284" s="652">
        <f t="shared" si="209"/>
        <v>0</v>
      </c>
      <c r="BB284" s="651">
        <f t="array" ref="BB284">IFERROR(INDEX('HIV-Other HPs'!$AD$123:$AD$223,MATCH($E284&amp;$F284,'HIV-Other HPs'!$D$123:$D$223&amp;'HIV-Other HPs'!$G$123:$G$223,0)),0)</f>
        <v>0</v>
      </c>
      <c r="BC284" s="651">
        <f t="shared" si="210"/>
        <v>0</v>
      </c>
      <c r="BD284" s="652">
        <f t="shared" si="211"/>
        <v>0</v>
      </c>
      <c r="BE284" s="652">
        <f t="shared" si="212"/>
        <v>0</v>
      </c>
      <c r="BF284" s="651">
        <f t="array" ref="BF284">IFERROR(INDEX('HIV-Other HPs'!$AE$123:$AE$223,MATCH($E284&amp;$F284,'HIV-Other HPs'!$D$123:$D$223&amp;'HIV-Other HPs'!$G$123:$G$223,0)),0)</f>
        <v>0</v>
      </c>
      <c r="BG284" s="651">
        <f t="shared" si="213"/>
        <v>0</v>
      </c>
      <c r="BH284" s="652">
        <f t="shared" si="214"/>
        <v>0</v>
      </c>
      <c r="BI284" s="652">
        <f t="shared" si="215"/>
        <v>0</v>
      </c>
      <c r="BJ284" s="662"/>
      <c r="BK284" s="654"/>
      <c r="BL284" s="654"/>
      <c r="BM284" s="654"/>
      <c r="BN284" s="654"/>
      <c r="BO284" s="654"/>
      <c r="BP284" s="654"/>
      <c r="BQ284" s="654"/>
      <c r="BR284" s="654"/>
    </row>
    <row r="285" spans="1:70" s="426" customFormat="1">
      <c r="A285" s="655" t="s">
        <v>1858</v>
      </c>
      <c r="B285" s="655" t="s">
        <v>2284</v>
      </c>
      <c r="C285" s="648">
        <f>SETUP!$F$23</f>
        <v>0</v>
      </c>
      <c r="D285" s="654">
        <v>6.6</v>
      </c>
      <c r="E285" s="655" t="s">
        <v>1212</v>
      </c>
      <c r="F285" s="655" t="s">
        <v>201</v>
      </c>
      <c r="G285" s="650" t="str">
        <f t="array" ref="G285">IFERROR(INDEX('HIV-Other HPs'!$K$123:$K$223,MATCH($E285&amp;$F285,'HIV-Other HPs'!$D$123:$D$223&amp;'HIV-Other HPs'!$G$123:$G$223,0)),"")</f>
        <v/>
      </c>
      <c r="H285" s="650" t="str">
        <f t="array" ref="H285">IFERROR(INDEX('HIV-Other HPs'!$L$123:$L$223,MATCH($E285&amp;$F285,'HIV-Other HPs'!$D$123:$D$223&amp;'HIV-Other HPs'!$G$123:$G$223,0)),"")</f>
        <v/>
      </c>
      <c r="I285" s="651">
        <f t="array" ref="I285">IFERROR(INDEX('HIV-Other HPs'!$M$123:$M$223,MATCH($E285&amp;$F285,'HIV-Other HPs'!$D$123:$D$223&amp;'HIV-Other HPs'!$G$123:$G$223,0)),0)</f>
        <v>0</v>
      </c>
      <c r="J285" s="651">
        <f t="array" ref="J285">IFERROR(INDEX('HIV-Other HPs'!$N$123:$N$223,MATCH($E285&amp;$F285,'HIV-Other HPs'!$D$123:$D$223&amp;'HIV-Other HPs'!$G$123:$G$223,0)),0)</f>
        <v>0</v>
      </c>
      <c r="K285" s="652">
        <f t="shared" si="180"/>
        <v>0</v>
      </c>
      <c r="L285" s="652">
        <f t="shared" si="181"/>
        <v>0</v>
      </c>
      <c r="M285" s="652">
        <f t="shared" si="182"/>
        <v>0</v>
      </c>
      <c r="N285" s="651">
        <f t="array" ref="N285">IFERROR(INDEX('HIV-Other HPs'!$O$123:$O$223,MATCH($E285&amp;$F285,'HIV-Other HPs'!$D$123:$D$223&amp;'HIV-Other HPs'!$G$123:$G$223,0)),0)</f>
        <v>0</v>
      </c>
      <c r="O285" s="652">
        <f t="shared" si="183"/>
        <v>0</v>
      </c>
      <c r="P285" s="652">
        <f t="shared" si="184"/>
        <v>0</v>
      </c>
      <c r="Q285" s="652">
        <f t="shared" si="185"/>
        <v>0</v>
      </c>
      <c r="R285" s="651">
        <f t="array" ref="R285">IFERROR(INDEX('HIV-Other HPs'!$P$123:$P$223,MATCH($E285&amp;$F285,'HIV-Other HPs'!$D$123:$D$223&amp;'HIV-Other HPs'!$G$123:$G$223,0)),0)</f>
        <v>0</v>
      </c>
      <c r="S285" s="652">
        <f t="shared" si="186"/>
        <v>0</v>
      </c>
      <c r="T285" s="652">
        <f t="shared" si="187"/>
        <v>0</v>
      </c>
      <c r="U285" s="652">
        <f t="shared" si="188"/>
        <v>0</v>
      </c>
      <c r="V285" s="651">
        <f t="array" ref="V285">IFERROR(INDEX('HIV-Other HPs'!$Q$123:$Q$223,MATCH($E285&amp;$F285,'HIV-Other HPs'!$D$123:$D$223&amp;'HIV-Other HPs'!$G$123:$G$223,0)),0)</f>
        <v>0</v>
      </c>
      <c r="W285" s="652">
        <f t="shared" si="189"/>
        <v>0</v>
      </c>
      <c r="X285" s="652">
        <f t="shared" si="190"/>
        <v>0</v>
      </c>
      <c r="Y285" s="652">
        <f t="shared" si="191"/>
        <v>0</v>
      </c>
      <c r="Z285" s="661"/>
      <c r="AA285" s="651">
        <f t="array" ref="AA285">IFERROR(INDEX('HIV-Other HPs'!$T$123:$T$223,MATCH($E285&amp;$F285,'HIV-Other HPs'!$D$123:$D$223&amp;'HIV-Other HPs'!$G$123:$G$223,0)),0)</f>
        <v>0</v>
      </c>
      <c r="AB285" s="651">
        <f t="array" ref="AB285">IFERROR(INDEX('HIV-Other HPs'!$U$123:$U$223,MATCH($E285&amp;$F285,'HIV-Other HPs'!$D$123:$D$223&amp;'HIV-Other HPs'!$G$123:$G$223,0)),0)</f>
        <v>0</v>
      </c>
      <c r="AC285" s="651">
        <f t="shared" si="192"/>
        <v>0</v>
      </c>
      <c r="AD285" s="652">
        <f t="shared" si="193"/>
        <v>0</v>
      </c>
      <c r="AE285" s="652">
        <f t="shared" si="194"/>
        <v>0</v>
      </c>
      <c r="AF285" s="651">
        <f t="array" ref="AF285">IFERROR(INDEX('HIV-Other HPs'!$V$123:$V$223,MATCH($E285&amp;$F285,'HIV-Other HPs'!$D$123:$D$223&amp;'HIV-Other HPs'!$G$123:$G$223,0)),0)</f>
        <v>0</v>
      </c>
      <c r="AG285" s="651">
        <f t="shared" si="195"/>
        <v>0</v>
      </c>
      <c r="AH285" s="652">
        <f t="shared" si="196"/>
        <v>0</v>
      </c>
      <c r="AI285" s="652">
        <f t="shared" si="197"/>
        <v>0</v>
      </c>
      <c r="AJ285" s="651">
        <f t="array" ref="AJ285">IFERROR(INDEX('HIV-Other HPs'!$W$123:$W$223,MATCH($E285&amp;$F285,'HIV-Other HPs'!$D$123:$D$223&amp;'HIV-Other HPs'!$G$123:$G$223,0)),0)</f>
        <v>0</v>
      </c>
      <c r="AK285" s="651">
        <f t="shared" si="198"/>
        <v>0</v>
      </c>
      <c r="AL285" s="652">
        <f t="shared" si="199"/>
        <v>0</v>
      </c>
      <c r="AM285" s="652">
        <f t="shared" si="200"/>
        <v>0</v>
      </c>
      <c r="AN285" s="651">
        <f t="array" ref="AN285">IFERROR(INDEX('HIV-Other HPs'!$X$123:$X$223,MATCH($E285&amp;$F285,'HIV-Other HPs'!$D$123:$D$223&amp;'HIV-Other HPs'!$G$123:$G$223,0)),0)</f>
        <v>0</v>
      </c>
      <c r="AO285" s="651">
        <f t="shared" si="201"/>
        <v>0</v>
      </c>
      <c r="AP285" s="652">
        <f t="shared" si="202"/>
        <v>0</v>
      </c>
      <c r="AQ285" s="652">
        <f t="shared" si="203"/>
        <v>0</v>
      </c>
      <c r="AR285" s="661"/>
      <c r="AS285" s="651">
        <f t="array" ref="AS285">IFERROR(INDEX('HIV-Other HPs'!$AA$123:$AA$223,MATCH($E285&amp;$F285,'HIV-Other HPs'!$D$123:$D$223&amp;'HIV-Other HPs'!$G$123:$G$223,0)),0)</f>
        <v>0</v>
      </c>
      <c r="AT285" s="651">
        <f t="array" ref="AT285">IFERROR(INDEX('HIV-Other HPs'!$AB$123:$AB$223,MATCH($E285&amp;$F285,'HIV-Other HPs'!$D$123:$D$223&amp;'HIV-Other HPs'!$G$123:$G$223,0)),0)</f>
        <v>0</v>
      </c>
      <c r="AU285" s="651">
        <f t="shared" si="204"/>
        <v>0</v>
      </c>
      <c r="AV285" s="652">
        <f t="shared" si="205"/>
        <v>0</v>
      </c>
      <c r="AW285" s="652">
        <f t="shared" si="206"/>
        <v>0</v>
      </c>
      <c r="AX285" s="651">
        <f t="array" ref="AX285">IFERROR(INDEX('HIV-Other HPs'!$AC$123:$AC$223,MATCH($E285&amp;$F285,'HIV-Other HPs'!$D$123:$D$223&amp;'HIV-Other HPs'!$G$123:$G$223,0)),0)</f>
        <v>0</v>
      </c>
      <c r="AY285" s="651">
        <f t="shared" si="207"/>
        <v>0</v>
      </c>
      <c r="AZ285" s="652">
        <f t="shared" si="208"/>
        <v>0</v>
      </c>
      <c r="BA285" s="652">
        <f t="shared" si="209"/>
        <v>0</v>
      </c>
      <c r="BB285" s="651">
        <f t="array" ref="BB285">IFERROR(INDEX('HIV-Other HPs'!$AD$123:$AD$223,MATCH($E285&amp;$F285,'HIV-Other HPs'!$D$123:$D$223&amp;'HIV-Other HPs'!$G$123:$G$223,0)),0)</f>
        <v>0</v>
      </c>
      <c r="BC285" s="651">
        <f t="shared" si="210"/>
        <v>0</v>
      </c>
      <c r="BD285" s="652">
        <f t="shared" si="211"/>
        <v>0</v>
      </c>
      <c r="BE285" s="652">
        <f t="shared" si="212"/>
        <v>0</v>
      </c>
      <c r="BF285" s="651">
        <f t="array" ref="BF285">IFERROR(INDEX('HIV-Other HPs'!$AE$123:$AE$223,MATCH($E285&amp;$F285,'HIV-Other HPs'!$D$123:$D$223&amp;'HIV-Other HPs'!$G$123:$G$223,0)),0)</f>
        <v>0</v>
      </c>
      <c r="BG285" s="651">
        <f t="shared" si="213"/>
        <v>0</v>
      </c>
      <c r="BH285" s="652">
        <f t="shared" si="214"/>
        <v>0</v>
      </c>
      <c r="BI285" s="652">
        <f t="shared" si="215"/>
        <v>0</v>
      </c>
      <c r="BJ285" s="662"/>
      <c r="BK285" s="654"/>
      <c r="BL285" s="654"/>
      <c r="BM285" s="654"/>
      <c r="BN285" s="654"/>
      <c r="BO285" s="654"/>
      <c r="BP285" s="654"/>
      <c r="BQ285" s="654"/>
      <c r="BR285" s="654"/>
    </row>
    <row r="286" spans="1:70" s="426" customFormat="1">
      <c r="A286" s="655" t="s">
        <v>1858</v>
      </c>
      <c r="B286" s="655" t="s">
        <v>2284</v>
      </c>
      <c r="C286" s="648">
        <f>SETUP!$F$23</f>
        <v>0</v>
      </c>
      <c r="D286" s="654">
        <v>6.6</v>
      </c>
      <c r="E286" s="655" t="s">
        <v>1212</v>
      </c>
      <c r="F286" s="655" t="s">
        <v>200</v>
      </c>
      <c r="G286" s="650" t="str">
        <f t="array" ref="G286">IFERROR(INDEX('HIV-Other HPs'!$K$123:$K$223,MATCH($E286&amp;$F286,'HIV-Other HPs'!$D$123:$D$223&amp;'HIV-Other HPs'!$G$123:$G$223,0)),"")</f>
        <v/>
      </c>
      <c r="H286" s="650" t="str">
        <f t="array" ref="H286">IFERROR(INDEX('HIV-Other HPs'!$L$123:$L$223,MATCH($E286&amp;$F286,'HIV-Other HPs'!$D$123:$D$223&amp;'HIV-Other HPs'!$G$123:$G$223,0)),"")</f>
        <v/>
      </c>
      <c r="I286" s="651">
        <f t="array" ref="I286">IFERROR(INDEX('HIV-Other HPs'!$M$123:$M$223,MATCH($E286&amp;$F286,'HIV-Other HPs'!$D$123:$D$223&amp;'HIV-Other HPs'!$G$123:$G$223,0)),0)</f>
        <v>0</v>
      </c>
      <c r="J286" s="651">
        <f t="array" ref="J286">IFERROR(INDEX('HIV-Other HPs'!$N$123:$N$223,MATCH($E286&amp;$F286,'HIV-Other HPs'!$D$123:$D$223&amp;'HIV-Other HPs'!$G$123:$G$223,0)),0)</f>
        <v>0</v>
      </c>
      <c r="K286" s="652">
        <f t="shared" si="180"/>
        <v>0</v>
      </c>
      <c r="L286" s="652">
        <f t="shared" si="181"/>
        <v>0</v>
      </c>
      <c r="M286" s="652">
        <f t="shared" si="182"/>
        <v>0</v>
      </c>
      <c r="N286" s="651">
        <f t="array" ref="N286">IFERROR(INDEX('HIV-Other HPs'!$O$123:$O$223,MATCH($E286&amp;$F286,'HIV-Other HPs'!$D$123:$D$223&amp;'HIV-Other HPs'!$G$123:$G$223,0)),0)</f>
        <v>0</v>
      </c>
      <c r="O286" s="652">
        <f t="shared" si="183"/>
        <v>0</v>
      </c>
      <c r="P286" s="652">
        <f t="shared" si="184"/>
        <v>0</v>
      </c>
      <c r="Q286" s="652">
        <f t="shared" si="185"/>
        <v>0</v>
      </c>
      <c r="R286" s="651">
        <f t="array" ref="R286">IFERROR(INDEX('HIV-Other HPs'!$P$123:$P$223,MATCH($E286&amp;$F286,'HIV-Other HPs'!$D$123:$D$223&amp;'HIV-Other HPs'!$G$123:$G$223,0)),0)</f>
        <v>0</v>
      </c>
      <c r="S286" s="652">
        <f t="shared" si="186"/>
        <v>0</v>
      </c>
      <c r="T286" s="652">
        <f t="shared" si="187"/>
        <v>0</v>
      </c>
      <c r="U286" s="652">
        <f t="shared" si="188"/>
        <v>0</v>
      </c>
      <c r="V286" s="651">
        <f t="array" ref="V286">IFERROR(INDEX('HIV-Other HPs'!$Q$123:$Q$223,MATCH($E286&amp;$F286,'HIV-Other HPs'!$D$123:$D$223&amp;'HIV-Other HPs'!$G$123:$G$223,0)),0)</f>
        <v>0</v>
      </c>
      <c r="W286" s="652">
        <f t="shared" si="189"/>
        <v>0</v>
      </c>
      <c r="X286" s="652">
        <f t="shared" si="190"/>
        <v>0</v>
      </c>
      <c r="Y286" s="652">
        <f t="shared" si="191"/>
        <v>0</v>
      </c>
      <c r="Z286" s="661"/>
      <c r="AA286" s="651">
        <f t="array" ref="AA286">IFERROR(INDEX('HIV-Other HPs'!$T$123:$T$223,MATCH($E286&amp;$F286,'HIV-Other HPs'!$D$123:$D$223&amp;'HIV-Other HPs'!$G$123:$G$223,0)),0)</f>
        <v>0</v>
      </c>
      <c r="AB286" s="651">
        <f t="array" ref="AB286">IFERROR(INDEX('HIV-Other HPs'!$U$123:$U$223,MATCH($E286&amp;$F286,'HIV-Other HPs'!$D$123:$D$223&amp;'HIV-Other HPs'!$G$123:$G$223,0)),0)</f>
        <v>0</v>
      </c>
      <c r="AC286" s="651">
        <f t="shared" si="192"/>
        <v>0</v>
      </c>
      <c r="AD286" s="652">
        <f t="shared" si="193"/>
        <v>0</v>
      </c>
      <c r="AE286" s="652">
        <f t="shared" si="194"/>
        <v>0</v>
      </c>
      <c r="AF286" s="651">
        <f t="array" ref="AF286">IFERROR(INDEX('HIV-Other HPs'!$V$123:$V$223,MATCH($E286&amp;$F286,'HIV-Other HPs'!$D$123:$D$223&amp;'HIV-Other HPs'!$G$123:$G$223,0)),0)</f>
        <v>0</v>
      </c>
      <c r="AG286" s="651">
        <f t="shared" si="195"/>
        <v>0</v>
      </c>
      <c r="AH286" s="652">
        <f t="shared" si="196"/>
        <v>0</v>
      </c>
      <c r="AI286" s="652">
        <f t="shared" si="197"/>
        <v>0</v>
      </c>
      <c r="AJ286" s="651">
        <f t="array" ref="AJ286">IFERROR(INDEX('HIV-Other HPs'!$W$123:$W$223,MATCH($E286&amp;$F286,'HIV-Other HPs'!$D$123:$D$223&amp;'HIV-Other HPs'!$G$123:$G$223,0)),0)</f>
        <v>0</v>
      </c>
      <c r="AK286" s="651">
        <f t="shared" si="198"/>
        <v>0</v>
      </c>
      <c r="AL286" s="652">
        <f t="shared" si="199"/>
        <v>0</v>
      </c>
      <c r="AM286" s="652">
        <f t="shared" si="200"/>
        <v>0</v>
      </c>
      <c r="AN286" s="651">
        <f t="array" ref="AN286">IFERROR(INDEX('HIV-Other HPs'!$X$123:$X$223,MATCH($E286&amp;$F286,'HIV-Other HPs'!$D$123:$D$223&amp;'HIV-Other HPs'!$G$123:$G$223,0)),0)</f>
        <v>0</v>
      </c>
      <c r="AO286" s="651">
        <f t="shared" si="201"/>
        <v>0</v>
      </c>
      <c r="AP286" s="652">
        <f t="shared" si="202"/>
        <v>0</v>
      </c>
      <c r="AQ286" s="652">
        <f t="shared" si="203"/>
        <v>0</v>
      </c>
      <c r="AR286" s="661"/>
      <c r="AS286" s="651">
        <f t="array" ref="AS286">IFERROR(INDEX('HIV-Other HPs'!$AA$123:$AA$223,MATCH($E286&amp;$F286,'HIV-Other HPs'!$D$123:$D$223&amp;'HIV-Other HPs'!$G$123:$G$223,0)),0)</f>
        <v>0</v>
      </c>
      <c r="AT286" s="651">
        <f t="array" ref="AT286">IFERROR(INDEX('HIV-Other HPs'!$AB$123:$AB$223,MATCH($E286&amp;$F286,'HIV-Other HPs'!$D$123:$D$223&amp;'HIV-Other HPs'!$G$123:$G$223,0)),0)</f>
        <v>0</v>
      </c>
      <c r="AU286" s="651">
        <f t="shared" si="204"/>
        <v>0</v>
      </c>
      <c r="AV286" s="652">
        <f t="shared" si="205"/>
        <v>0</v>
      </c>
      <c r="AW286" s="652">
        <f t="shared" si="206"/>
        <v>0</v>
      </c>
      <c r="AX286" s="651">
        <f t="array" ref="AX286">IFERROR(INDEX('HIV-Other HPs'!$AC$123:$AC$223,MATCH($E286&amp;$F286,'HIV-Other HPs'!$D$123:$D$223&amp;'HIV-Other HPs'!$G$123:$G$223,0)),0)</f>
        <v>0</v>
      </c>
      <c r="AY286" s="651">
        <f t="shared" si="207"/>
        <v>0</v>
      </c>
      <c r="AZ286" s="652">
        <f t="shared" si="208"/>
        <v>0</v>
      </c>
      <c r="BA286" s="652">
        <f t="shared" si="209"/>
        <v>0</v>
      </c>
      <c r="BB286" s="651">
        <f t="array" ref="BB286">IFERROR(INDEX('HIV-Other HPs'!$AD$123:$AD$223,MATCH($E286&amp;$F286,'HIV-Other HPs'!$D$123:$D$223&amp;'HIV-Other HPs'!$G$123:$G$223,0)),0)</f>
        <v>0</v>
      </c>
      <c r="BC286" s="651">
        <f t="shared" si="210"/>
        <v>0</v>
      </c>
      <c r="BD286" s="652">
        <f t="shared" si="211"/>
        <v>0</v>
      </c>
      <c r="BE286" s="652">
        <f t="shared" si="212"/>
        <v>0</v>
      </c>
      <c r="BF286" s="651">
        <f t="array" ref="BF286">IFERROR(INDEX('HIV-Other HPs'!$AE$123:$AE$223,MATCH($E286&amp;$F286,'HIV-Other HPs'!$D$123:$D$223&amp;'HIV-Other HPs'!$G$123:$G$223,0)),0)</f>
        <v>0</v>
      </c>
      <c r="BG286" s="651">
        <f t="shared" si="213"/>
        <v>0</v>
      </c>
      <c r="BH286" s="652">
        <f t="shared" si="214"/>
        <v>0</v>
      </c>
      <c r="BI286" s="652">
        <f t="shared" si="215"/>
        <v>0</v>
      </c>
      <c r="BJ286" s="662"/>
      <c r="BK286" s="654"/>
      <c r="BL286" s="654"/>
      <c r="BM286" s="654"/>
      <c r="BN286" s="654"/>
      <c r="BO286" s="654"/>
      <c r="BP286" s="654"/>
      <c r="BQ286" s="654"/>
      <c r="BR286" s="654"/>
    </row>
    <row r="287" spans="1:70" s="426" customFormat="1">
      <c r="A287" s="655" t="s">
        <v>1858</v>
      </c>
      <c r="B287" s="655" t="s">
        <v>2283</v>
      </c>
      <c r="C287" s="648">
        <f>SETUP!$F$23</f>
        <v>0</v>
      </c>
      <c r="D287" s="654">
        <v>6.5</v>
      </c>
      <c r="E287" s="655" t="s">
        <v>1213</v>
      </c>
      <c r="F287" s="655" t="s">
        <v>218</v>
      </c>
      <c r="G287" s="650" t="str">
        <f t="array" ref="G287">IFERROR(INDEX('HIV-Equipment'!$E$14:$E$58,MATCH($E287&amp;$F287,'HIV-Equipment'!$C$14:$C$58&amp;'HIV-Equipment'!$D$14:$D$58,0)),"")</f>
        <v/>
      </c>
      <c r="H287" s="650" t="str">
        <f t="array" ref="H287">IFERROR(INDEX('HIV-Equipment'!$F$14:$F$58,MATCH($E287&amp;$F287,'HIV-Equipment'!$C$14:$C$58&amp;'HIV-Equipment'!$D$14:$D$58,0)),"")</f>
        <v/>
      </c>
      <c r="I287" s="651">
        <f t="array" ref="I287">IFERROR(INDEX('HIV-Equipment'!$G$14:$G$58,MATCH($E287&amp;$F287,'HIV-Equipment'!$C$14:$C$58&amp;'HIV-Equipment'!$D$14:$D$58,0)),0)</f>
        <v>0</v>
      </c>
      <c r="J287" s="651">
        <f t="array" ref="J287">IFERROR(INDEX('HIV-Equipment'!$H$14:$H$58,MATCH($E287&amp;$F287,'HIV-Equipment'!$C$14:$C$58&amp;'HIV-Equipment'!$D$14:$D$58,0)),0)</f>
        <v>0</v>
      </c>
      <c r="K287" s="652">
        <f t="shared" si="180"/>
        <v>0</v>
      </c>
      <c r="L287" s="652">
        <f t="shared" si="181"/>
        <v>0</v>
      </c>
      <c r="M287" s="652">
        <f t="shared" si="182"/>
        <v>0</v>
      </c>
      <c r="N287" s="651">
        <f t="array" ref="N287">IFERROR(INDEX('HIV-Equipment'!$I$14:$I$58,MATCH($E287&amp;$F287,'HIV-Equipment'!$C$14:$C$58&amp;'HIV-Equipment'!$D$14:$D$58,0)),0)</f>
        <v>0</v>
      </c>
      <c r="O287" s="652">
        <f t="shared" si="183"/>
        <v>0</v>
      </c>
      <c r="P287" s="652">
        <f t="shared" si="184"/>
        <v>0</v>
      </c>
      <c r="Q287" s="652">
        <f t="shared" si="185"/>
        <v>0</v>
      </c>
      <c r="R287" s="651">
        <f t="array" ref="R287">IFERROR(INDEX('HIV-Equipment'!$J$14:$J$58,MATCH($E287&amp;$F287,'HIV-Equipment'!$C$14:$C$58&amp;'HIV-Equipment'!$D$14:$D$58,0)),0)</f>
        <v>0</v>
      </c>
      <c r="S287" s="652">
        <f t="shared" si="186"/>
        <v>0</v>
      </c>
      <c r="T287" s="652">
        <f t="shared" si="187"/>
        <v>0</v>
      </c>
      <c r="U287" s="652">
        <f t="shared" si="188"/>
        <v>0</v>
      </c>
      <c r="V287" s="651">
        <f t="array" ref="V287">IFERROR(INDEX('HIV-Equipment'!$K$14:$K$58,MATCH($E287&amp;$F287,'HIV-Equipment'!$C$14:$C$58&amp;'HIV-Equipment'!$D$14:$D$58,0)),0)</f>
        <v>0</v>
      </c>
      <c r="W287" s="652">
        <f t="shared" si="189"/>
        <v>0</v>
      </c>
      <c r="X287" s="652">
        <f t="shared" si="190"/>
        <v>0</v>
      </c>
      <c r="Y287" s="652">
        <f t="shared" si="191"/>
        <v>0</v>
      </c>
      <c r="Z287" s="661"/>
      <c r="AA287" s="651">
        <f t="array" ref="AA287">IFERROR(INDEX('HIV-Equipment'!$N$14:$N$58,MATCH($E287&amp;$F287,'HIV-Equipment'!$C$14:$C$58&amp;'HIV-Equipment'!$D$14:$D$58,0)),0)</f>
        <v>0</v>
      </c>
      <c r="AB287" s="651">
        <f t="array" ref="AB287">IFERROR(INDEX('HIV-Equipment'!$O$14:$O$58,MATCH($E287&amp;$F287,'HIV-Equipment'!$C$14:$C$58&amp;'HIV-Equipment'!$D$14:$D$58,0)),0)</f>
        <v>0</v>
      </c>
      <c r="AC287" s="651">
        <f t="shared" si="192"/>
        <v>0</v>
      </c>
      <c r="AD287" s="652">
        <f t="shared" si="193"/>
        <v>0</v>
      </c>
      <c r="AE287" s="652">
        <f t="shared" si="194"/>
        <v>0</v>
      </c>
      <c r="AF287" s="651">
        <f t="array" ref="AF287">IFERROR(INDEX('HIV-Equipment'!$P$14:$P$58,MATCH($E287&amp;$F287,'HIV-Equipment'!$C$14:$C$58&amp;'HIV-Equipment'!$D$14:$D$58,0)),0)</f>
        <v>0</v>
      </c>
      <c r="AG287" s="651">
        <f t="shared" si="195"/>
        <v>0</v>
      </c>
      <c r="AH287" s="652">
        <f t="shared" si="196"/>
        <v>0</v>
      </c>
      <c r="AI287" s="652">
        <f t="shared" si="197"/>
        <v>0</v>
      </c>
      <c r="AJ287" s="651">
        <f t="array" ref="AJ287">IFERROR(INDEX('HIV-Equipment'!$Q$14:$Q$58,MATCH($E287&amp;$F287,'HIV-Equipment'!$C$14:$C$58&amp;'HIV-Equipment'!$D$14:$D$58,0)),0)</f>
        <v>0</v>
      </c>
      <c r="AK287" s="651">
        <f t="shared" si="198"/>
        <v>0</v>
      </c>
      <c r="AL287" s="652">
        <f t="shared" si="199"/>
        <v>0</v>
      </c>
      <c r="AM287" s="652">
        <f t="shared" si="200"/>
        <v>0</v>
      </c>
      <c r="AN287" s="651">
        <f t="array" ref="AN287">IFERROR(INDEX('HIV-Equipment'!$R$14:$R$58,MATCH($E287&amp;$F287,'HIV-Equipment'!$C$14:$C$58&amp;'HIV-Equipment'!$D$14:$D$58,0)),0)</f>
        <v>0</v>
      </c>
      <c r="AO287" s="651">
        <f t="shared" si="201"/>
        <v>0</v>
      </c>
      <c r="AP287" s="652">
        <f t="shared" si="202"/>
        <v>0</v>
      </c>
      <c r="AQ287" s="652">
        <f t="shared" si="203"/>
        <v>0</v>
      </c>
      <c r="AR287" s="661"/>
      <c r="AS287" s="651">
        <f t="array" ref="AS287">IFERROR(INDEX('HIV-Equipment'!$U$14:$U$58,MATCH($E287&amp;$F287,'HIV-Equipment'!$C$14:$C$58&amp;'HIV-Equipment'!$D$14:$D$58,0)),0)</f>
        <v>0</v>
      </c>
      <c r="AT287" s="651">
        <f t="array" ref="AT287">IFERROR(INDEX('HIV-Equipment'!$V$14:$V$58,MATCH($E287&amp;$F287,'HIV-Equipment'!$C$14:$C$58&amp;'HIV-Equipment'!$D$14:$D$58,0)),0)</f>
        <v>0</v>
      </c>
      <c r="AU287" s="651">
        <f t="shared" si="204"/>
        <v>0</v>
      </c>
      <c r="AV287" s="652">
        <f t="shared" si="205"/>
        <v>0</v>
      </c>
      <c r="AW287" s="652">
        <f t="shared" si="206"/>
        <v>0</v>
      </c>
      <c r="AX287" s="651">
        <f t="array" ref="AX287">IFERROR(INDEX('HIV-Equipment'!$W$14:$W$58,MATCH($E287&amp;$F287,'HIV-Equipment'!$C$14:$C$58&amp;'HIV-Equipment'!$D$14:$D$58,0)),0)</f>
        <v>0</v>
      </c>
      <c r="AY287" s="651">
        <f t="shared" si="207"/>
        <v>0</v>
      </c>
      <c r="AZ287" s="652">
        <f t="shared" si="208"/>
        <v>0</v>
      </c>
      <c r="BA287" s="652">
        <f t="shared" si="209"/>
        <v>0</v>
      </c>
      <c r="BB287" s="651">
        <f t="array" ref="BB287">IFERROR(INDEX('HIV-Equipment'!$X$14:$X$58,MATCH($E287&amp;$F287,'HIV-Equipment'!$C$14:$C$58&amp;'HIV-Equipment'!$D$14:$D$58,0)),0)</f>
        <v>0</v>
      </c>
      <c r="BC287" s="651">
        <f t="shared" si="210"/>
        <v>0</v>
      </c>
      <c r="BD287" s="652">
        <f t="shared" si="211"/>
        <v>0</v>
      </c>
      <c r="BE287" s="652">
        <f t="shared" si="212"/>
        <v>0</v>
      </c>
      <c r="BF287" s="651">
        <f t="array" ref="BF287">IFERROR(INDEX('HIV-Equipment'!$Y$14:$Y$58,MATCH($E287&amp;$F287,'HIV-Equipment'!$C$14:$C$58&amp;'HIV-Equipment'!$D$14:$D$58,0)),0)</f>
        <v>0</v>
      </c>
      <c r="BG287" s="651">
        <f t="shared" si="213"/>
        <v>0</v>
      </c>
      <c r="BH287" s="652">
        <f t="shared" si="214"/>
        <v>0</v>
      </c>
      <c r="BI287" s="652">
        <f t="shared" si="215"/>
        <v>0</v>
      </c>
      <c r="BJ287" s="662"/>
      <c r="BK287" s="654"/>
      <c r="BL287" s="654"/>
      <c r="BM287" s="654"/>
      <c r="BN287" s="654"/>
      <c r="BO287" s="654"/>
      <c r="BP287" s="654"/>
      <c r="BQ287" s="654"/>
      <c r="BR287" s="654"/>
    </row>
    <row r="288" spans="1:70" s="426" customFormat="1">
      <c r="A288" s="655" t="s">
        <v>1858</v>
      </c>
      <c r="B288" s="655" t="s">
        <v>2283</v>
      </c>
      <c r="C288" s="648">
        <f>SETUP!$F$23</f>
        <v>0</v>
      </c>
      <c r="D288" s="654">
        <v>6.6</v>
      </c>
      <c r="E288" s="655" t="s">
        <v>1213</v>
      </c>
      <c r="F288" s="655" t="s">
        <v>201</v>
      </c>
      <c r="G288" s="650" t="str">
        <f t="array" ref="G288">IFERROR(INDEX('HIV-Equipment'!$E$14:$E$58,MATCH($E288&amp;$F288,'HIV-Equipment'!$C$14:$C$58&amp;'HIV-Equipment'!$D$14:$D$58,0)),"")</f>
        <v/>
      </c>
      <c r="H288" s="650" t="str">
        <f t="array" ref="H288">IFERROR(INDEX('HIV-Equipment'!$F$14:$F$58,MATCH($E288&amp;$F288,'HIV-Equipment'!$C$14:$C$58&amp;'HIV-Equipment'!$D$14:$D$58,0)),"")</f>
        <v/>
      </c>
      <c r="I288" s="651">
        <f t="array" ref="I288">IFERROR(INDEX('HIV-Equipment'!$G$14:$G$58,MATCH($E288&amp;$F288,'HIV-Equipment'!$C$14:$C$58&amp;'HIV-Equipment'!$D$14:$D$58,0)),0)</f>
        <v>0</v>
      </c>
      <c r="J288" s="651">
        <f t="array" ref="J288">IFERROR(INDEX('HIV-Equipment'!$H$14:$H$58,MATCH($E288&amp;$F288,'HIV-Equipment'!$C$14:$C$58&amp;'HIV-Equipment'!$D$14:$D$58,0)),0)</f>
        <v>0</v>
      </c>
      <c r="K288" s="652">
        <f>IF(ISERROR($I288*J288),0,$I288*J288)</f>
        <v>0</v>
      </c>
      <c r="L288" s="652">
        <f>IF(C288="Upfront",J288,0)</f>
        <v>0</v>
      </c>
      <c r="M288" s="652">
        <f>IF(C288="Upfront",K288,0)</f>
        <v>0</v>
      </c>
      <c r="N288" s="651">
        <f t="array" ref="N288">IFERROR(INDEX('HIV-Equipment'!$I$14:$I$58,MATCH($E288&amp;$F288,'HIV-Equipment'!$C$14:$C$58&amp;'HIV-Equipment'!$D$14:$D$58,0)),0)</f>
        <v>0</v>
      </c>
      <c r="O288" s="652">
        <f>IF(ISERROR($I288*N288),0,$I288*N288)</f>
        <v>0</v>
      </c>
      <c r="P288" s="652">
        <f>IF(C288="Upfront",N288,0)</f>
        <v>0</v>
      </c>
      <c r="Q288" s="652">
        <f>IF(C288="Upfront",O288,0)</f>
        <v>0</v>
      </c>
      <c r="R288" s="651">
        <f t="array" ref="R288">IFERROR(INDEX('HIV-Equipment'!$J$14:$J$58,MATCH($E288&amp;$F288,'HIV-Equipment'!$C$14:$C$58&amp;'HIV-Equipment'!$D$14:$D$58,0)),0)</f>
        <v>0</v>
      </c>
      <c r="S288" s="652">
        <f>IF(ISERROR($I288*R288),0,$I288*R288)</f>
        <v>0</v>
      </c>
      <c r="T288" s="652">
        <f>IF(C288="Upfront",R288,IF(C288="At delivery",J288,0))</f>
        <v>0</v>
      </c>
      <c r="U288" s="652">
        <f>IF(C288="Upfront",S288,IF(C288="At delivery",K288,0))</f>
        <v>0</v>
      </c>
      <c r="V288" s="651">
        <f t="array" ref="V288">IFERROR(INDEX('HIV-Equipment'!$K$14:$K$58,MATCH($E288&amp;$F288,'HIV-Equipment'!$C$14:$C$58&amp;'HIV-Equipment'!$D$14:$D$58,0)),0)</f>
        <v>0</v>
      </c>
      <c r="W288" s="652">
        <f>IF(ISERROR($I288*V288),0,$I288*V288)</f>
        <v>0</v>
      </c>
      <c r="X288" s="652">
        <f>IF(C288="Upfront",V288,IF(C288="At delivery",N288,0))</f>
        <v>0</v>
      </c>
      <c r="Y288" s="652">
        <f>IF(C288="Upfront",W288,IF(C288="At delivery",O288,0))</f>
        <v>0</v>
      </c>
      <c r="Z288" s="661"/>
      <c r="AA288" s="651">
        <f t="array" ref="AA288">IFERROR(INDEX('HIV-Equipment'!$N$14:$N$58,MATCH($E288&amp;$F288,'HIV-Equipment'!$C$14:$C$58&amp;'HIV-Equipment'!$D$14:$D$58,0)),0)</f>
        <v>0</v>
      </c>
      <c r="AB288" s="651">
        <f t="array" ref="AB288">IFERROR(INDEX('HIV-Equipment'!$O$14:$O$58,MATCH($E288&amp;$F288,'HIV-Equipment'!$C$14:$C$58&amp;'HIV-Equipment'!$D$14:$D$58,0)),0)</f>
        <v>0</v>
      </c>
      <c r="AC288" s="651">
        <f>IF(ISERROR($AA288*AB288),0,$AA288*AB288)</f>
        <v>0</v>
      </c>
      <c r="AD288" s="652">
        <f>IF(C288="Upfront",AB288,IF(C288="At delivery",R288,0))</f>
        <v>0</v>
      </c>
      <c r="AE288" s="652">
        <f>IF(C288="Upfront",AC288,IF(C288="At delivery",S288,0))</f>
        <v>0</v>
      </c>
      <c r="AF288" s="651">
        <f t="array" ref="AF288">IFERROR(INDEX('HIV-Equipment'!$P$14:$P$58,MATCH($E288&amp;$F288,'HIV-Equipment'!$C$14:$C$58&amp;'HIV-Equipment'!$D$14:$D$58,0)),0)</f>
        <v>0</v>
      </c>
      <c r="AG288" s="651">
        <f>IF(ISERROR($AA288*AF288),0,$AA288*AF288)</f>
        <v>0</v>
      </c>
      <c r="AH288" s="652">
        <f>IF(C288="Upfront",AF288,IF(C288="At delivery",V288,0))</f>
        <v>0</v>
      </c>
      <c r="AI288" s="652">
        <f>IF(C288="Upfront",AG288,IF(C288="At delivery",W288,0))</f>
        <v>0</v>
      </c>
      <c r="AJ288" s="651">
        <f t="array" ref="AJ288">IFERROR(INDEX('HIV-Equipment'!$Q$14:$Q$58,MATCH($E288&amp;$F288,'HIV-Equipment'!$C$14:$C$58&amp;'HIV-Equipment'!$D$14:$D$58,0)),0)</f>
        <v>0</v>
      </c>
      <c r="AK288" s="651">
        <f>IF(ISERROR($AA288*AJ288),0,$AA288*AJ288)</f>
        <v>0</v>
      </c>
      <c r="AL288" s="652">
        <f>IF(C288="Upfront",AJ288,IF(C288="At delivery",AB288,0))</f>
        <v>0</v>
      </c>
      <c r="AM288" s="652">
        <f>IF(C288="Upfront",AK288,IF(C288="At delivery",AC288,0))</f>
        <v>0</v>
      </c>
      <c r="AN288" s="651">
        <f t="array" ref="AN288">IFERROR(INDEX('HIV-Equipment'!$R$14:$R$58,MATCH($E288&amp;$F288,'HIV-Equipment'!$C$14:$C$58&amp;'HIV-Equipment'!$D$14:$D$58,0)),0)</f>
        <v>0</v>
      </c>
      <c r="AO288" s="651">
        <f>IF(ISERROR($AA288*AN288),0,$AA288*AN288)</f>
        <v>0</v>
      </c>
      <c r="AP288" s="652">
        <f>IF(C288="Upfront",AN288,IF(C288="At delivery",AF288,0))</f>
        <v>0</v>
      </c>
      <c r="AQ288" s="652">
        <f>IF(C288="Upfront",AO288,IF(C288="At delivery",AG288,0))</f>
        <v>0</v>
      </c>
      <c r="AR288" s="661"/>
      <c r="AS288" s="651">
        <f t="array" ref="AS288">IFERROR(INDEX('HIV-Equipment'!$U$14:$U$58,MATCH($E288&amp;$F288,'HIV-Equipment'!$C$14:$C$58&amp;'HIV-Equipment'!$D$14:$D$58,0)),0)</f>
        <v>0</v>
      </c>
      <c r="AT288" s="651">
        <f t="array" ref="AT288">IFERROR(INDEX('HIV-Equipment'!$V$14:$V$58,MATCH($E288&amp;$F288,'HIV-Equipment'!$C$14:$C$58&amp;'HIV-Equipment'!$D$14:$D$58,0)),0)</f>
        <v>0</v>
      </c>
      <c r="AU288" s="651">
        <f>IF(ISERROR($AS288*AT288),0,$AS288*AT288)</f>
        <v>0</v>
      </c>
      <c r="AV288" s="652">
        <f>IF(C288="Upfront",AT288,IF(C288="At delivery",AJ288,0))</f>
        <v>0</v>
      </c>
      <c r="AW288" s="652">
        <f>IF(C288="Upfront",AU288,IF(C288="At delivery",AK288,0))</f>
        <v>0</v>
      </c>
      <c r="AX288" s="651">
        <f t="array" ref="AX288">IFERROR(INDEX('HIV-Equipment'!$W$14:$W$58,MATCH($E288&amp;$F288,'HIV-Equipment'!$C$14:$C$58&amp;'HIV-Equipment'!$D$14:$D$58,0)),0)</f>
        <v>0</v>
      </c>
      <c r="AY288" s="651">
        <f>IF(ISERROR($AS288*AX288),0,$AS288*AX288)</f>
        <v>0</v>
      </c>
      <c r="AZ288" s="652">
        <f>IF(C288="Upfront",AX288,IF(C288="At delivery",AN288,0))</f>
        <v>0</v>
      </c>
      <c r="BA288" s="652">
        <f>IF(C288="Upfront",AY288,IF(C288="At delivery",AO288,0))</f>
        <v>0</v>
      </c>
      <c r="BB288" s="651">
        <f t="array" ref="BB288">IFERROR(INDEX('HIV-Equipment'!$X$14:$X$58,MATCH($E288&amp;$F288,'HIV-Equipment'!$C$14:$C$58&amp;'HIV-Equipment'!$D$14:$D$58,0)),0)</f>
        <v>0</v>
      </c>
      <c r="BC288" s="651">
        <f>IF(ISERROR($AS288*BB288),0,$AS288*BB288)</f>
        <v>0</v>
      </c>
      <c r="BD288" s="652">
        <f>IF(C288="Upfront",BB288,IF(C288="At delivery",AT288,0))</f>
        <v>0</v>
      </c>
      <c r="BE288" s="652">
        <f>IF(C288="Upfront",BC288,IF(C288="At delivery",AU288,0))</f>
        <v>0</v>
      </c>
      <c r="BF288" s="651">
        <f t="array" ref="BF288">IFERROR(INDEX('HIV-Equipment'!$Y$14:$Y$58,MATCH($E288&amp;$F288,'HIV-Equipment'!$C$14:$C$58&amp;'HIV-Equipment'!$D$14:$D$58,0)),0)</f>
        <v>0</v>
      </c>
      <c r="BG288" s="651">
        <f>IF(ISERROR($AS288*BF288),0,$AS288*BF288)</f>
        <v>0</v>
      </c>
      <c r="BH288" s="652">
        <f>IF(C288="Upfront",BF288,IF(C288="At delivery",AX288,0))</f>
        <v>0</v>
      </c>
      <c r="BI288" s="652">
        <f>IF(C288="Upfront",BG288,IF(C288="At delivery",AY288,0))</f>
        <v>0</v>
      </c>
      <c r="BJ288" s="662"/>
      <c r="BK288" s="654"/>
      <c r="BL288" s="654"/>
      <c r="BM288" s="654"/>
      <c r="BN288" s="654"/>
      <c r="BO288" s="654"/>
      <c r="BP288" s="654"/>
      <c r="BQ288" s="654"/>
      <c r="BR288" s="654"/>
    </row>
    <row r="289" spans="1:70" s="426" customFormat="1">
      <c r="A289" s="655" t="s">
        <v>1858</v>
      </c>
      <c r="B289" s="655" t="s">
        <v>2283</v>
      </c>
      <c r="C289" s="648">
        <f>SETUP!$F$23</f>
        <v>0</v>
      </c>
      <c r="D289" s="654">
        <v>6.6</v>
      </c>
      <c r="E289" s="655" t="s">
        <v>1213</v>
      </c>
      <c r="F289" s="655" t="s">
        <v>200</v>
      </c>
      <c r="G289" s="650" t="str">
        <f t="array" ref="G289">IFERROR(INDEX('HIV-Equipment'!$E$14:$E$58,MATCH($E289&amp;$F289,'HIV-Equipment'!$C$14:$C$58&amp;'HIV-Equipment'!$D$14:$D$58,0)),"")</f>
        <v/>
      </c>
      <c r="H289" s="650" t="str">
        <f t="array" ref="H289">IFERROR(INDEX('HIV-Equipment'!$F$14:$F$58,MATCH($E289&amp;$F289,'HIV-Equipment'!$C$14:$C$58&amp;'HIV-Equipment'!$D$14:$D$58,0)),"")</f>
        <v/>
      </c>
      <c r="I289" s="651">
        <f t="array" ref="I289">IFERROR(INDEX('HIV-Equipment'!$G$14:$G$58,MATCH($E289&amp;$F289,'HIV-Equipment'!$C$14:$C$58&amp;'HIV-Equipment'!$D$14:$D$58,0)),0)</f>
        <v>0</v>
      </c>
      <c r="J289" s="651">
        <f t="array" ref="J289">IFERROR(INDEX('HIV-Equipment'!$H$14:$H$58,MATCH($E289&amp;$F289,'HIV-Equipment'!$C$14:$C$58&amp;'HIV-Equipment'!$D$14:$D$58,0)),0)</f>
        <v>0</v>
      </c>
      <c r="K289" s="652">
        <f>IF(ISERROR($I289*J289),0,$I289*J289)</f>
        <v>0</v>
      </c>
      <c r="L289" s="652">
        <f>IF(C289="Upfront",J289,0)</f>
        <v>0</v>
      </c>
      <c r="M289" s="652">
        <f>IF(C289="Upfront",K289,0)</f>
        <v>0</v>
      </c>
      <c r="N289" s="651">
        <f t="array" ref="N289">IFERROR(INDEX('HIV-Equipment'!$I$14:$I$58,MATCH($E289&amp;$F289,'HIV-Equipment'!$C$14:$C$58&amp;'HIV-Equipment'!$D$14:$D$58,0)),0)</f>
        <v>0</v>
      </c>
      <c r="O289" s="652">
        <f>IF(ISERROR($I289*N289),0,$I289*N289)</f>
        <v>0</v>
      </c>
      <c r="P289" s="652">
        <f>IF(C289="Upfront",N289,0)</f>
        <v>0</v>
      </c>
      <c r="Q289" s="652">
        <f>IF(C289="Upfront",O289,0)</f>
        <v>0</v>
      </c>
      <c r="R289" s="651">
        <f t="array" ref="R289">IFERROR(INDEX('HIV-Equipment'!$J$14:$J$58,MATCH($E289&amp;$F289,'HIV-Equipment'!$C$14:$C$58&amp;'HIV-Equipment'!$D$14:$D$58,0)),0)</f>
        <v>0</v>
      </c>
      <c r="S289" s="652">
        <f>IF(ISERROR($I289*R289),0,$I289*R289)</f>
        <v>0</v>
      </c>
      <c r="T289" s="652">
        <f>IF(C289="Upfront",R289,IF(C289="At delivery",J289,0))</f>
        <v>0</v>
      </c>
      <c r="U289" s="652">
        <f>IF(C289="Upfront",S289,IF(C289="At delivery",K289,0))</f>
        <v>0</v>
      </c>
      <c r="V289" s="651">
        <f t="array" ref="V289">IFERROR(INDEX('HIV-Equipment'!$K$14:$K$58,MATCH($E289&amp;$F289,'HIV-Equipment'!$C$14:$C$58&amp;'HIV-Equipment'!$D$14:$D$58,0)),0)</f>
        <v>0</v>
      </c>
      <c r="W289" s="652">
        <f>IF(ISERROR($I289*V289),0,$I289*V289)</f>
        <v>0</v>
      </c>
      <c r="X289" s="652">
        <f>IF(C289="Upfront",V289,IF(C289="At delivery",N289,0))</f>
        <v>0</v>
      </c>
      <c r="Y289" s="652">
        <f>IF(C289="Upfront",W289,IF(C289="At delivery",O289,0))</f>
        <v>0</v>
      </c>
      <c r="Z289" s="661"/>
      <c r="AA289" s="651">
        <f t="array" ref="AA289">IFERROR(INDEX('HIV-Equipment'!$N$14:$N$58,MATCH($E289&amp;$F289,'HIV-Equipment'!$C$14:$C$58&amp;'HIV-Equipment'!$D$14:$D$58,0)),0)</f>
        <v>0</v>
      </c>
      <c r="AB289" s="651">
        <f t="array" ref="AB289">IFERROR(INDEX('HIV-Equipment'!$O$14:$O$58,MATCH($E289&amp;$F289,'HIV-Equipment'!$C$14:$C$58&amp;'HIV-Equipment'!$D$14:$D$58,0)),0)</f>
        <v>0</v>
      </c>
      <c r="AC289" s="651">
        <f>IF(ISERROR($AA289*AB289),0,$AA289*AB289)</f>
        <v>0</v>
      </c>
      <c r="AD289" s="652">
        <f>IF(C289="Upfront",AB289,IF(C289="At delivery",R289,0))</f>
        <v>0</v>
      </c>
      <c r="AE289" s="652">
        <f>IF(C289="Upfront",AC289,IF(C289="At delivery",S289,0))</f>
        <v>0</v>
      </c>
      <c r="AF289" s="651">
        <f t="array" ref="AF289">IFERROR(INDEX('HIV-Equipment'!$P$14:$P$58,MATCH($E289&amp;$F289,'HIV-Equipment'!$C$14:$C$58&amp;'HIV-Equipment'!$D$14:$D$58,0)),0)</f>
        <v>0</v>
      </c>
      <c r="AG289" s="651">
        <f>IF(ISERROR($AA289*AF289),0,$AA289*AF289)</f>
        <v>0</v>
      </c>
      <c r="AH289" s="652">
        <f>IF(C289="Upfront",AF289,IF(C289="At delivery",V289,0))</f>
        <v>0</v>
      </c>
      <c r="AI289" s="652">
        <f>IF(C289="Upfront",AG289,IF(C289="At delivery",W289,0))</f>
        <v>0</v>
      </c>
      <c r="AJ289" s="651">
        <f t="array" ref="AJ289">IFERROR(INDEX('HIV-Equipment'!$Q$14:$Q$58,MATCH($E289&amp;$F289,'HIV-Equipment'!$C$14:$C$58&amp;'HIV-Equipment'!$D$14:$D$58,0)),0)</f>
        <v>0</v>
      </c>
      <c r="AK289" s="651">
        <f>IF(ISERROR($AA289*AJ289),0,$AA289*AJ289)</f>
        <v>0</v>
      </c>
      <c r="AL289" s="652">
        <f>IF(C289="Upfront",AJ289,IF(C289="At delivery",AB289,0))</f>
        <v>0</v>
      </c>
      <c r="AM289" s="652">
        <f>IF(C289="Upfront",AK289,IF(C289="At delivery",AC289,0))</f>
        <v>0</v>
      </c>
      <c r="AN289" s="651">
        <f t="array" ref="AN289">IFERROR(INDEX('HIV-Equipment'!$R$14:$R$58,MATCH($E289&amp;$F289,'HIV-Equipment'!$C$14:$C$58&amp;'HIV-Equipment'!$D$14:$D$58,0)),0)</f>
        <v>0</v>
      </c>
      <c r="AO289" s="651">
        <f>IF(ISERROR($AA289*AN289),0,$AA289*AN289)</f>
        <v>0</v>
      </c>
      <c r="AP289" s="652">
        <f>IF(C289="Upfront",AN289,IF(C289="At delivery",AF289,0))</f>
        <v>0</v>
      </c>
      <c r="AQ289" s="652">
        <f>IF(C289="Upfront",AO289,IF(C289="At delivery",AG289,0))</f>
        <v>0</v>
      </c>
      <c r="AR289" s="661"/>
      <c r="AS289" s="651">
        <f t="array" ref="AS289">IFERROR(INDEX('HIV-Equipment'!$U$14:$U$58,MATCH($E289&amp;$F289,'HIV-Equipment'!$C$14:$C$58&amp;'HIV-Equipment'!$D$14:$D$58,0)),0)</f>
        <v>0</v>
      </c>
      <c r="AT289" s="651">
        <f t="array" ref="AT289">IFERROR(INDEX('HIV-Equipment'!$V$14:$V$58,MATCH($E289&amp;$F289,'HIV-Equipment'!$C$14:$C$58&amp;'HIV-Equipment'!$D$14:$D$58,0)),0)</f>
        <v>0</v>
      </c>
      <c r="AU289" s="651">
        <f>IF(ISERROR($AS289*AT289),0,$AS289*AT289)</f>
        <v>0</v>
      </c>
      <c r="AV289" s="652">
        <f>IF(C289="Upfront",AT289,IF(C289="At delivery",AJ289,0))</f>
        <v>0</v>
      </c>
      <c r="AW289" s="652">
        <f>IF(C289="Upfront",AU289,IF(C289="At delivery",AK289,0))</f>
        <v>0</v>
      </c>
      <c r="AX289" s="651">
        <f t="array" ref="AX289">IFERROR(INDEX('HIV-Equipment'!$W$14:$W$58,MATCH($E289&amp;$F289,'HIV-Equipment'!$C$14:$C$58&amp;'HIV-Equipment'!$D$14:$D$58,0)),0)</f>
        <v>0</v>
      </c>
      <c r="AY289" s="651">
        <f>IF(ISERROR($AS289*AX289),0,$AS289*AX289)</f>
        <v>0</v>
      </c>
      <c r="AZ289" s="652">
        <f>IF(C289="Upfront",AX289,IF(C289="At delivery",AN289,0))</f>
        <v>0</v>
      </c>
      <c r="BA289" s="652">
        <f>IF(C289="Upfront",AY289,IF(C289="At delivery",AO289,0))</f>
        <v>0</v>
      </c>
      <c r="BB289" s="651">
        <f t="array" ref="BB289">IFERROR(INDEX('HIV-Equipment'!$X$14:$X$58,MATCH($E289&amp;$F289,'HIV-Equipment'!$C$14:$C$58&amp;'HIV-Equipment'!$D$14:$D$58,0)),0)</f>
        <v>0</v>
      </c>
      <c r="BC289" s="651">
        <f>IF(ISERROR($AS289*BB289),0,$AS289*BB289)</f>
        <v>0</v>
      </c>
      <c r="BD289" s="652">
        <f>IF(C289="Upfront",BB289,IF(C289="At delivery",AT289,0))</f>
        <v>0</v>
      </c>
      <c r="BE289" s="652">
        <f>IF(C289="Upfront",BC289,IF(C289="At delivery",AU289,0))</f>
        <v>0</v>
      </c>
      <c r="BF289" s="651">
        <f t="array" ref="BF289">IFERROR(INDEX('HIV-Equipment'!$Y$14:$Y$58,MATCH($E289&amp;$F289,'HIV-Equipment'!$C$14:$C$58&amp;'HIV-Equipment'!$D$14:$D$58,0)),0)</f>
        <v>0</v>
      </c>
      <c r="BG289" s="651">
        <f>IF(ISERROR($AS289*BF289),0,$AS289*BF289)</f>
        <v>0</v>
      </c>
      <c r="BH289" s="652">
        <f>IF(C289="Upfront",BF289,IF(C289="At delivery",AX289,0))</f>
        <v>0</v>
      </c>
      <c r="BI289" s="652">
        <f>IF(C289="Upfront",BG289,IF(C289="At delivery",AY289,0))</f>
        <v>0</v>
      </c>
      <c r="BJ289" s="662"/>
      <c r="BK289" s="654"/>
      <c r="BL289" s="654"/>
      <c r="BM289" s="654"/>
      <c r="BN289" s="654"/>
      <c r="BO289" s="654"/>
      <c r="BP289" s="654"/>
      <c r="BQ289" s="654"/>
      <c r="BR289" s="654"/>
    </row>
    <row r="290" spans="1:70" s="426" customFormat="1">
      <c r="A290" s="655" t="s">
        <v>1858</v>
      </c>
      <c r="B290" s="655" t="s">
        <v>2283</v>
      </c>
      <c r="C290" s="648">
        <f>SETUP!$F$23</f>
        <v>0</v>
      </c>
      <c r="D290" s="654">
        <v>6.5</v>
      </c>
      <c r="E290" s="655" t="s">
        <v>1245</v>
      </c>
      <c r="F290" s="655" t="s">
        <v>218</v>
      </c>
      <c r="G290" s="650" t="str">
        <f t="array" ref="G290">IFERROR(INDEX('HIV-Equipment'!$E$14:$E$58,MATCH($E290&amp;$F290,'HIV-Equipment'!$C$14:$C$58&amp;'HIV-Equipment'!$D$14:$D$58,0)),"")</f>
        <v/>
      </c>
      <c r="H290" s="650" t="str">
        <f t="array" ref="H290">IFERROR(INDEX('HIV-Equipment'!$F$14:$F$58,MATCH($E290&amp;$F290,'HIV-Equipment'!$C$14:$C$58&amp;'HIV-Equipment'!$D$14:$D$58,0)),"")</f>
        <v/>
      </c>
      <c r="I290" s="651">
        <f t="array" ref="I290">IFERROR(INDEX('HIV-Equipment'!$G$14:$G$58,MATCH($E290&amp;$F290,'HIV-Equipment'!$C$14:$C$58&amp;'HIV-Equipment'!$D$14:$D$58,0)),0)</f>
        <v>0</v>
      </c>
      <c r="J290" s="651">
        <f t="array" ref="J290">IFERROR(INDEX('HIV-Equipment'!$H$14:$H$58,MATCH($E290&amp;$F290,'HIV-Equipment'!$C$14:$C$58&amp;'HIV-Equipment'!$D$14:$D$58,0)),0)</f>
        <v>0</v>
      </c>
      <c r="K290" s="652">
        <f>IF(ISERROR($I290*J290),0,$I290*J290)</f>
        <v>0</v>
      </c>
      <c r="L290" s="652">
        <f>IF(C290="Upfront",J290,0)</f>
        <v>0</v>
      </c>
      <c r="M290" s="652">
        <f>IF(C290="Upfront",K290,0)</f>
        <v>0</v>
      </c>
      <c r="N290" s="651">
        <f t="array" ref="N290">IFERROR(INDEX('HIV-Equipment'!$I$14:$I$58,MATCH($E290&amp;$F290,'HIV-Equipment'!$C$14:$C$58&amp;'HIV-Equipment'!$D$14:$D$58,0)),0)</f>
        <v>0</v>
      </c>
      <c r="O290" s="652">
        <f>IF(ISERROR($I290*N290),0,$I290*N290)</f>
        <v>0</v>
      </c>
      <c r="P290" s="652">
        <f>IF(C290="Upfront",N290,0)</f>
        <v>0</v>
      </c>
      <c r="Q290" s="652">
        <f>IF(C290="Upfront",O290,0)</f>
        <v>0</v>
      </c>
      <c r="R290" s="651">
        <f t="array" ref="R290">IFERROR(INDEX('HIV-Equipment'!$J$14:$J$58,MATCH($E290&amp;$F290,'HIV-Equipment'!$C$14:$C$58&amp;'HIV-Equipment'!$D$14:$D$58,0)),0)</f>
        <v>0</v>
      </c>
      <c r="S290" s="652">
        <f>IF(ISERROR($I290*R290),0,$I290*R290)</f>
        <v>0</v>
      </c>
      <c r="T290" s="652">
        <f>IF(C290="Upfront",R290,IF(C290="At delivery",J290,0))</f>
        <v>0</v>
      </c>
      <c r="U290" s="652">
        <f>IF(C290="Upfront",S290,IF(C290="At delivery",K290,0))</f>
        <v>0</v>
      </c>
      <c r="V290" s="651">
        <f t="array" ref="V290">IFERROR(INDEX('HIV-Equipment'!$K$14:$K$58,MATCH($E290&amp;$F290,'HIV-Equipment'!$C$14:$C$58&amp;'HIV-Equipment'!$D$14:$D$58,0)),0)</f>
        <v>0</v>
      </c>
      <c r="W290" s="652">
        <f>IF(ISERROR($I290*V290),0,$I290*V290)</f>
        <v>0</v>
      </c>
      <c r="X290" s="652">
        <f>IF(C290="Upfront",V290,IF(C290="At delivery",N290,0))</f>
        <v>0</v>
      </c>
      <c r="Y290" s="652">
        <f>IF(C290="Upfront",W290,IF(C290="At delivery",O290,0))</f>
        <v>0</v>
      </c>
      <c r="Z290" s="661"/>
      <c r="AA290" s="651">
        <f t="array" ref="AA290">IFERROR(INDEX('HIV-Equipment'!$N$14:$N$58,MATCH($E290&amp;$F290,'HIV-Equipment'!$C$14:$C$58&amp;'HIV-Equipment'!$D$14:$D$58,0)),0)</f>
        <v>0</v>
      </c>
      <c r="AB290" s="651">
        <f t="array" ref="AB290">IFERROR(INDEX('HIV-Equipment'!$O$14:$O$58,MATCH($E290&amp;$F290,'HIV-Equipment'!$C$14:$C$58&amp;'HIV-Equipment'!$D$14:$D$58,0)),0)</f>
        <v>0</v>
      </c>
      <c r="AC290" s="651">
        <f>IF(ISERROR($AA290*AB290),0,$AA290*AB290)</f>
        <v>0</v>
      </c>
      <c r="AD290" s="652">
        <f>IF(C290="Upfront",AB290,IF(C290="At delivery",R290,0))</f>
        <v>0</v>
      </c>
      <c r="AE290" s="652">
        <f>IF(C290="Upfront",AC290,IF(C290="At delivery",S290,0))</f>
        <v>0</v>
      </c>
      <c r="AF290" s="651">
        <f t="array" ref="AF290">IFERROR(INDEX('HIV-Equipment'!$P$14:$P$58,MATCH($E290&amp;$F290,'HIV-Equipment'!$C$14:$C$58&amp;'HIV-Equipment'!$D$14:$D$58,0)),0)</f>
        <v>0</v>
      </c>
      <c r="AG290" s="651">
        <f>IF(ISERROR($AA290*AF290),0,$AA290*AF290)</f>
        <v>0</v>
      </c>
      <c r="AH290" s="652">
        <f>IF(C290="Upfront",AF290,IF(C290="At delivery",V290,0))</f>
        <v>0</v>
      </c>
      <c r="AI290" s="652">
        <f>IF(C290="Upfront",AG290,IF(C290="At delivery",W290,0))</f>
        <v>0</v>
      </c>
      <c r="AJ290" s="651">
        <f t="array" ref="AJ290">IFERROR(INDEX('HIV-Equipment'!$Q$14:$Q$58,MATCH($E290&amp;$F290,'HIV-Equipment'!$C$14:$C$58&amp;'HIV-Equipment'!$D$14:$D$58,0)),0)</f>
        <v>0</v>
      </c>
      <c r="AK290" s="651">
        <f>IF(ISERROR($AA290*AJ290),0,$AA290*AJ290)</f>
        <v>0</v>
      </c>
      <c r="AL290" s="652">
        <f>IF(C290="Upfront",AJ290,IF(C290="At delivery",AB290,0))</f>
        <v>0</v>
      </c>
      <c r="AM290" s="652">
        <f>IF(C290="Upfront",AK290,IF(C290="At delivery",AC290,0))</f>
        <v>0</v>
      </c>
      <c r="AN290" s="651">
        <f t="array" ref="AN290">IFERROR(INDEX('HIV-Equipment'!$R$14:$R$58,MATCH($E290&amp;$F290,'HIV-Equipment'!$C$14:$C$58&amp;'HIV-Equipment'!$D$14:$D$58,0)),0)</f>
        <v>0</v>
      </c>
      <c r="AO290" s="651">
        <f>IF(ISERROR($AA290*AN290),0,$AA290*AN290)</f>
        <v>0</v>
      </c>
      <c r="AP290" s="652">
        <f>IF(C290="Upfront",AN290,IF(C290="At delivery",AF290,0))</f>
        <v>0</v>
      </c>
      <c r="AQ290" s="652">
        <f>IF(C290="Upfront",AO290,IF(C290="At delivery",AG290,0))</f>
        <v>0</v>
      </c>
      <c r="AR290" s="661"/>
      <c r="AS290" s="651">
        <f t="array" ref="AS290">IFERROR(INDEX('HIV-Equipment'!$U$14:$U$58,MATCH($E290&amp;$F290,'HIV-Equipment'!$C$14:$C$58&amp;'HIV-Equipment'!$D$14:$D$58,0)),0)</f>
        <v>0</v>
      </c>
      <c r="AT290" s="651">
        <f t="array" ref="AT290">IFERROR(INDEX('HIV-Equipment'!$V$14:$V$58,MATCH($E290&amp;$F290,'HIV-Equipment'!$C$14:$C$58&amp;'HIV-Equipment'!$D$14:$D$58,0)),0)</f>
        <v>0</v>
      </c>
      <c r="AU290" s="651">
        <f>IF(ISERROR($AS290*AT290),0,$AS290*AT290)</f>
        <v>0</v>
      </c>
      <c r="AV290" s="652">
        <f>IF(C290="Upfront",AT290,IF(C290="At delivery",AJ290,0))</f>
        <v>0</v>
      </c>
      <c r="AW290" s="652">
        <f>IF(C290="Upfront",AU290,IF(C290="At delivery",AK290,0))</f>
        <v>0</v>
      </c>
      <c r="AX290" s="651">
        <f t="array" ref="AX290">IFERROR(INDEX('HIV-Equipment'!$W$14:$W$58,MATCH($E290&amp;$F290,'HIV-Equipment'!$C$14:$C$58&amp;'HIV-Equipment'!$D$14:$D$58,0)),0)</f>
        <v>0</v>
      </c>
      <c r="AY290" s="651">
        <f>IF(ISERROR($AS290*AX290),0,$AS290*AX290)</f>
        <v>0</v>
      </c>
      <c r="AZ290" s="652">
        <f>IF(C290="Upfront",AX290,IF(C290="At delivery",AN290,0))</f>
        <v>0</v>
      </c>
      <c r="BA290" s="652">
        <f>IF(C290="Upfront",AY290,IF(C290="At delivery",AO290,0))</f>
        <v>0</v>
      </c>
      <c r="BB290" s="651">
        <f t="array" ref="BB290">IFERROR(INDEX('HIV-Equipment'!$X$14:$X$58,MATCH($E290&amp;$F290,'HIV-Equipment'!$C$14:$C$58&amp;'HIV-Equipment'!$D$14:$D$58,0)),0)</f>
        <v>0</v>
      </c>
      <c r="BC290" s="651">
        <f>IF(ISERROR($AS290*BB290),0,$AS290*BB290)</f>
        <v>0</v>
      </c>
      <c r="BD290" s="652">
        <f>IF(C290="Upfront",BB290,IF(C290="At delivery",AT290,0))</f>
        <v>0</v>
      </c>
      <c r="BE290" s="652">
        <f>IF(C290="Upfront",BC290,IF(C290="At delivery",AU290,0))</f>
        <v>0</v>
      </c>
      <c r="BF290" s="651">
        <f t="array" ref="BF290">IFERROR(INDEX('HIV-Equipment'!$Y$14:$Y$58,MATCH($E290&amp;$F290,'HIV-Equipment'!$C$14:$C$58&amp;'HIV-Equipment'!$D$14:$D$58,0)),0)</f>
        <v>0</v>
      </c>
      <c r="BG290" s="651">
        <f>IF(ISERROR($AS290*BF290),0,$AS290*BF290)</f>
        <v>0</v>
      </c>
      <c r="BH290" s="652">
        <f>IF(C290="Upfront",BF290,IF(C290="At delivery",AX290,0))</f>
        <v>0</v>
      </c>
      <c r="BI290" s="652">
        <f>IF(C290="Upfront",BG290,IF(C290="At delivery",AY290,0))</f>
        <v>0</v>
      </c>
      <c r="BJ290" s="662"/>
      <c r="BK290" s="654"/>
      <c r="BL290" s="654"/>
      <c r="BM290" s="654"/>
      <c r="BN290" s="654"/>
      <c r="BO290" s="654"/>
      <c r="BP290" s="654"/>
      <c r="BQ290" s="654"/>
      <c r="BR290" s="654"/>
    </row>
    <row r="291" spans="1:70" s="426" customFormat="1">
      <c r="A291" s="655" t="s">
        <v>1858</v>
      </c>
      <c r="B291" s="655" t="s">
        <v>2283</v>
      </c>
      <c r="C291" s="648">
        <f>SETUP!$F$23</f>
        <v>0</v>
      </c>
      <c r="D291" s="654">
        <v>6.6</v>
      </c>
      <c r="E291" s="655" t="s">
        <v>1245</v>
      </c>
      <c r="F291" s="655" t="s">
        <v>201</v>
      </c>
      <c r="G291" s="650" t="str">
        <f t="array" ref="G291">IFERROR(INDEX('HIV-Equipment'!$E$14:$E$58,MATCH($E291&amp;$F291,'HIV-Equipment'!$C$14:$C$58&amp;'HIV-Equipment'!$D$14:$D$58,0)),"")</f>
        <v/>
      </c>
      <c r="H291" s="650" t="str">
        <f t="array" ref="H291">IFERROR(INDEX('HIV-Equipment'!$F$14:$F$58,MATCH($E291&amp;$F291,'HIV-Equipment'!$C$14:$C$58&amp;'HIV-Equipment'!$D$14:$D$58,0)),"")</f>
        <v/>
      </c>
      <c r="I291" s="651">
        <f t="array" ref="I291">IFERROR(INDEX('HIV-Equipment'!$G$14:$G$58,MATCH($E291&amp;$F291,'HIV-Equipment'!$C$14:$C$58&amp;'HIV-Equipment'!$D$14:$D$58,0)),0)</f>
        <v>0</v>
      </c>
      <c r="J291" s="651">
        <f t="array" ref="J291">IFERROR(INDEX('HIV-Equipment'!$H$14:$H$58,MATCH($E291&amp;$F291,'HIV-Equipment'!$C$14:$C$58&amp;'HIV-Equipment'!$D$14:$D$58,0)),0)</f>
        <v>0</v>
      </c>
      <c r="K291" s="652">
        <f>IF(ISERROR($I291*J291),0,$I291*J291)</f>
        <v>0</v>
      </c>
      <c r="L291" s="652">
        <f>IF(C291="Upfront",J291,0)</f>
        <v>0</v>
      </c>
      <c r="M291" s="652">
        <f>IF(C291="Upfront",K291,0)</f>
        <v>0</v>
      </c>
      <c r="N291" s="651">
        <f t="array" ref="N291">IFERROR(INDEX('HIV-Equipment'!$I$14:$I$58,MATCH($E291&amp;$F291,'HIV-Equipment'!$C$14:$C$58&amp;'HIV-Equipment'!$D$14:$D$58,0)),0)</f>
        <v>0</v>
      </c>
      <c r="O291" s="652">
        <f>IF(ISERROR($I291*N291),0,$I291*N291)</f>
        <v>0</v>
      </c>
      <c r="P291" s="652">
        <f>IF(C291="Upfront",N291,0)</f>
        <v>0</v>
      </c>
      <c r="Q291" s="652">
        <f>IF(C291="Upfront",O291,0)</f>
        <v>0</v>
      </c>
      <c r="R291" s="651">
        <f t="array" ref="R291">IFERROR(INDEX('HIV-Equipment'!$J$14:$J$58,MATCH($E291&amp;$F291,'HIV-Equipment'!$C$14:$C$58&amp;'HIV-Equipment'!$D$14:$D$58,0)),0)</f>
        <v>0</v>
      </c>
      <c r="S291" s="652">
        <f>IF(ISERROR($I291*R291),0,$I291*R291)</f>
        <v>0</v>
      </c>
      <c r="T291" s="652">
        <f>IF(C291="Upfront",R291,IF(C291="At delivery",J291,0))</f>
        <v>0</v>
      </c>
      <c r="U291" s="652">
        <f>IF(C291="Upfront",S291,IF(C291="At delivery",K291,0))</f>
        <v>0</v>
      </c>
      <c r="V291" s="651">
        <f t="array" ref="V291">IFERROR(INDEX('HIV-Equipment'!$K$14:$K$58,MATCH($E291&amp;$F291,'HIV-Equipment'!$C$14:$C$58&amp;'HIV-Equipment'!$D$14:$D$58,0)),0)</f>
        <v>0</v>
      </c>
      <c r="W291" s="652">
        <f>IF(ISERROR($I291*V291),0,$I291*V291)</f>
        <v>0</v>
      </c>
      <c r="X291" s="652">
        <f>IF(C291="Upfront",V291,IF(C291="At delivery",N291,0))</f>
        <v>0</v>
      </c>
      <c r="Y291" s="652">
        <f>IF(C291="Upfront",W291,IF(C291="At delivery",O291,0))</f>
        <v>0</v>
      </c>
      <c r="Z291" s="661"/>
      <c r="AA291" s="651">
        <f t="array" ref="AA291">IFERROR(INDEX('HIV-Equipment'!$N$14:$N$58,MATCH($E291&amp;$F291,'HIV-Equipment'!$C$14:$C$58&amp;'HIV-Equipment'!$D$14:$D$58,0)),0)</f>
        <v>0</v>
      </c>
      <c r="AB291" s="651">
        <f t="array" ref="AB291">IFERROR(INDEX('HIV-Equipment'!$O$14:$O$58,MATCH($E291&amp;$F291,'HIV-Equipment'!$C$14:$C$58&amp;'HIV-Equipment'!$D$14:$D$58,0)),0)</f>
        <v>0</v>
      </c>
      <c r="AC291" s="651">
        <f>IF(ISERROR($AA291*AB291),0,$AA291*AB291)</f>
        <v>0</v>
      </c>
      <c r="AD291" s="652">
        <f>IF(C291="Upfront",AB291,IF(C291="At delivery",R291,0))</f>
        <v>0</v>
      </c>
      <c r="AE291" s="652">
        <f>IF(C291="Upfront",AC291,IF(C291="At delivery",S291,0))</f>
        <v>0</v>
      </c>
      <c r="AF291" s="651">
        <f t="array" ref="AF291">IFERROR(INDEX('HIV-Equipment'!$P$14:$P$58,MATCH($E291&amp;$F291,'HIV-Equipment'!$C$14:$C$58&amp;'HIV-Equipment'!$D$14:$D$58,0)),0)</f>
        <v>0</v>
      </c>
      <c r="AG291" s="651">
        <f>IF(ISERROR($AA291*AF291),0,$AA291*AF291)</f>
        <v>0</v>
      </c>
      <c r="AH291" s="652">
        <f>IF(C291="Upfront",AF291,IF(C291="At delivery",V291,0))</f>
        <v>0</v>
      </c>
      <c r="AI291" s="652">
        <f>IF(C291="Upfront",AG291,IF(C291="At delivery",W291,0))</f>
        <v>0</v>
      </c>
      <c r="AJ291" s="651">
        <f t="array" ref="AJ291">IFERROR(INDEX('HIV-Equipment'!$Q$14:$Q$58,MATCH($E291&amp;$F291,'HIV-Equipment'!$C$14:$C$58&amp;'HIV-Equipment'!$D$14:$D$58,0)),0)</f>
        <v>0</v>
      </c>
      <c r="AK291" s="651">
        <f>IF(ISERROR($AA291*AJ291),0,$AA291*AJ291)</f>
        <v>0</v>
      </c>
      <c r="AL291" s="652">
        <f>IF(C291="Upfront",AJ291,IF(C291="At delivery",AB291,0))</f>
        <v>0</v>
      </c>
      <c r="AM291" s="652">
        <f>IF(C291="Upfront",AK291,IF(C291="At delivery",AC291,0))</f>
        <v>0</v>
      </c>
      <c r="AN291" s="651">
        <f t="array" ref="AN291">IFERROR(INDEX('HIV-Equipment'!$R$14:$R$58,MATCH($E291&amp;$F291,'HIV-Equipment'!$C$14:$C$58&amp;'HIV-Equipment'!$D$14:$D$58,0)),0)</f>
        <v>0</v>
      </c>
      <c r="AO291" s="651">
        <f>IF(ISERROR($AA291*AN291),0,$AA291*AN291)</f>
        <v>0</v>
      </c>
      <c r="AP291" s="652">
        <f>IF(C291="Upfront",AN291,IF(C291="At delivery",AF291,0))</f>
        <v>0</v>
      </c>
      <c r="AQ291" s="652">
        <f>IF(C291="Upfront",AO291,IF(C291="At delivery",AG291,0))</f>
        <v>0</v>
      </c>
      <c r="AR291" s="661"/>
      <c r="AS291" s="651">
        <f t="array" ref="AS291">IFERROR(INDEX('HIV-Equipment'!$U$14:$U$58,MATCH($E291&amp;$F291,'HIV-Equipment'!$C$14:$C$58&amp;'HIV-Equipment'!$D$14:$D$58,0)),0)</f>
        <v>0</v>
      </c>
      <c r="AT291" s="651">
        <f t="array" ref="AT291">IFERROR(INDEX('HIV-Equipment'!$V$14:$V$58,MATCH($E291&amp;$F291,'HIV-Equipment'!$C$14:$C$58&amp;'HIV-Equipment'!$D$14:$D$58,0)),0)</f>
        <v>0</v>
      </c>
      <c r="AU291" s="651">
        <f>IF(ISERROR($AS291*AT291),0,$AS291*AT291)</f>
        <v>0</v>
      </c>
      <c r="AV291" s="652">
        <f>IF(C291="Upfront",AT291,IF(C291="At delivery",AJ291,0))</f>
        <v>0</v>
      </c>
      <c r="AW291" s="652">
        <f>IF(C291="Upfront",AU291,IF(C291="At delivery",AK291,0))</f>
        <v>0</v>
      </c>
      <c r="AX291" s="651">
        <f t="array" ref="AX291">IFERROR(INDEX('HIV-Equipment'!$W$14:$W$58,MATCH($E291&amp;$F291,'HIV-Equipment'!$C$14:$C$58&amp;'HIV-Equipment'!$D$14:$D$58,0)),0)</f>
        <v>0</v>
      </c>
      <c r="AY291" s="651">
        <f>IF(ISERROR($AS291*AX291),0,$AS291*AX291)</f>
        <v>0</v>
      </c>
      <c r="AZ291" s="652">
        <f>IF(C291="Upfront",AX291,IF(C291="At delivery",AN291,0))</f>
        <v>0</v>
      </c>
      <c r="BA291" s="652">
        <f>IF(C291="Upfront",AY291,IF(C291="At delivery",AO291,0))</f>
        <v>0</v>
      </c>
      <c r="BB291" s="651">
        <f t="array" ref="BB291">IFERROR(INDEX('HIV-Equipment'!$X$14:$X$58,MATCH($E291&amp;$F291,'HIV-Equipment'!$C$14:$C$58&amp;'HIV-Equipment'!$D$14:$D$58,0)),0)</f>
        <v>0</v>
      </c>
      <c r="BC291" s="651">
        <f>IF(ISERROR($AS291*BB291),0,$AS291*BB291)</f>
        <v>0</v>
      </c>
      <c r="BD291" s="652">
        <f>IF(C291="Upfront",BB291,IF(C291="At delivery",AT291,0))</f>
        <v>0</v>
      </c>
      <c r="BE291" s="652">
        <f>IF(C291="Upfront",BC291,IF(C291="At delivery",AU291,0))</f>
        <v>0</v>
      </c>
      <c r="BF291" s="651">
        <f t="array" ref="BF291">IFERROR(INDEX('HIV-Equipment'!$Y$14:$Y$58,MATCH($E291&amp;$F291,'HIV-Equipment'!$C$14:$C$58&amp;'HIV-Equipment'!$D$14:$D$58,0)),0)</f>
        <v>0</v>
      </c>
      <c r="BG291" s="651">
        <f>IF(ISERROR($AS291*BF291),0,$AS291*BF291)</f>
        <v>0</v>
      </c>
      <c r="BH291" s="652">
        <f>IF(C291="Upfront",BF291,IF(C291="At delivery",AX291,0))</f>
        <v>0</v>
      </c>
      <c r="BI291" s="652">
        <f>IF(C291="Upfront",BG291,IF(C291="At delivery",AY291,0))</f>
        <v>0</v>
      </c>
      <c r="BJ291" s="662"/>
      <c r="BK291" s="654"/>
      <c r="BL291" s="654"/>
      <c r="BM291" s="654"/>
      <c r="BN291" s="654"/>
      <c r="BO291" s="654"/>
      <c r="BP291" s="654"/>
      <c r="BQ291" s="654"/>
      <c r="BR291" s="654"/>
    </row>
    <row r="292" spans="1:70" s="426" customFormat="1">
      <c r="A292" s="655" t="s">
        <v>1858</v>
      </c>
      <c r="B292" s="655" t="s">
        <v>2283</v>
      </c>
      <c r="C292" s="648">
        <f>SETUP!$F$23</f>
        <v>0</v>
      </c>
      <c r="D292" s="654">
        <v>6.6</v>
      </c>
      <c r="E292" s="655" t="s">
        <v>1245</v>
      </c>
      <c r="F292" s="655" t="s">
        <v>200</v>
      </c>
      <c r="G292" s="650" t="str">
        <f t="array" ref="G292">IFERROR(INDEX('HIV-Equipment'!$E$14:$E$58,MATCH($E292&amp;$F292,'HIV-Equipment'!$C$14:$C$58&amp;'HIV-Equipment'!$D$14:$D$58,0)),"")</f>
        <v/>
      </c>
      <c r="H292" s="650" t="str">
        <f t="array" ref="H292">IFERROR(INDEX('HIV-Equipment'!$F$14:$F$58,MATCH($E292&amp;$F292,'HIV-Equipment'!$C$14:$C$58&amp;'HIV-Equipment'!$D$14:$D$58,0)),"")</f>
        <v/>
      </c>
      <c r="I292" s="651">
        <f t="array" ref="I292">IFERROR(INDEX('HIV-Equipment'!$G$14:$G$58,MATCH($E292&amp;$F292,'HIV-Equipment'!$C$14:$C$58&amp;'HIV-Equipment'!$D$14:$D$58,0)),0)</f>
        <v>0</v>
      </c>
      <c r="J292" s="651">
        <f t="array" ref="J292">IFERROR(INDEX('HIV-Equipment'!$H$14:$H$58,MATCH($E292&amp;$F292,'HIV-Equipment'!$C$14:$C$58&amp;'HIV-Equipment'!$D$14:$D$58,0)),0)</f>
        <v>0</v>
      </c>
      <c r="K292" s="652">
        <f>IF(ISERROR($I292*J292),0,$I292*J292)</f>
        <v>0</v>
      </c>
      <c r="L292" s="652">
        <f>IF(C292="Upfront",J292,0)</f>
        <v>0</v>
      </c>
      <c r="M292" s="652">
        <f>IF(C292="Upfront",K292,0)</f>
        <v>0</v>
      </c>
      <c r="N292" s="651">
        <f t="array" ref="N292">IFERROR(INDEX('HIV-Equipment'!$I$14:$I$58,MATCH($E292&amp;$F292,'HIV-Equipment'!$C$14:$C$58&amp;'HIV-Equipment'!$D$14:$D$58,0)),0)</f>
        <v>0</v>
      </c>
      <c r="O292" s="652">
        <f>IF(ISERROR($I292*N292),0,$I292*N292)</f>
        <v>0</v>
      </c>
      <c r="P292" s="652">
        <f>IF(C292="Upfront",N292,0)</f>
        <v>0</v>
      </c>
      <c r="Q292" s="652">
        <f>IF(C292="Upfront",O292,0)</f>
        <v>0</v>
      </c>
      <c r="R292" s="651">
        <f t="array" ref="R292">IFERROR(INDEX('HIV-Equipment'!$J$14:$J$58,MATCH($E292&amp;$F292,'HIV-Equipment'!$C$14:$C$58&amp;'HIV-Equipment'!$D$14:$D$58,0)),0)</f>
        <v>0</v>
      </c>
      <c r="S292" s="652">
        <f>IF(ISERROR($I292*R292),0,$I292*R292)</f>
        <v>0</v>
      </c>
      <c r="T292" s="652">
        <f>IF(C292="Upfront",R292,IF(C292="At delivery",J292,0))</f>
        <v>0</v>
      </c>
      <c r="U292" s="652">
        <f>IF(C292="Upfront",S292,IF(C292="At delivery",K292,0))</f>
        <v>0</v>
      </c>
      <c r="V292" s="651">
        <f t="array" ref="V292">IFERROR(INDEX('HIV-Equipment'!$K$14:$K$58,MATCH($E292&amp;$F292,'HIV-Equipment'!$C$14:$C$58&amp;'HIV-Equipment'!$D$14:$D$58,0)),0)</f>
        <v>0</v>
      </c>
      <c r="W292" s="652">
        <f>IF(ISERROR($I292*V292),0,$I292*V292)</f>
        <v>0</v>
      </c>
      <c r="X292" s="652">
        <f>IF(C292="Upfront",V292,IF(C292="At delivery",N292,0))</f>
        <v>0</v>
      </c>
      <c r="Y292" s="652">
        <f>IF(C292="Upfront",W292,IF(C292="At delivery",O292,0))</f>
        <v>0</v>
      </c>
      <c r="Z292" s="661"/>
      <c r="AA292" s="651">
        <f t="array" ref="AA292">IFERROR(INDEX('HIV-Equipment'!$N$14:$N$58,MATCH($E292&amp;$F292,'HIV-Equipment'!$C$14:$C$58&amp;'HIV-Equipment'!$D$14:$D$58,0)),0)</f>
        <v>0</v>
      </c>
      <c r="AB292" s="651">
        <f t="array" ref="AB292">IFERROR(INDEX('HIV-Equipment'!$O$14:$O$58,MATCH($E292&amp;$F292,'HIV-Equipment'!$C$14:$C$58&amp;'HIV-Equipment'!$D$14:$D$58,0)),0)</f>
        <v>0</v>
      </c>
      <c r="AC292" s="651">
        <f>IF(ISERROR($AA292*AB292),0,$AA292*AB292)</f>
        <v>0</v>
      </c>
      <c r="AD292" s="652">
        <f>IF(C292="Upfront",AB292,IF(C292="At delivery",R292,0))</f>
        <v>0</v>
      </c>
      <c r="AE292" s="652">
        <f>IF(C292="Upfront",AC292,IF(C292="At delivery",S292,0))</f>
        <v>0</v>
      </c>
      <c r="AF292" s="651">
        <f t="array" ref="AF292">IFERROR(INDEX('HIV-Equipment'!$P$14:$P$58,MATCH($E292&amp;$F292,'HIV-Equipment'!$C$14:$C$58&amp;'HIV-Equipment'!$D$14:$D$58,0)),0)</f>
        <v>0</v>
      </c>
      <c r="AG292" s="651">
        <f>IF(ISERROR($AA292*AF292),0,$AA292*AF292)</f>
        <v>0</v>
      </c>
      <c r="AH292" s="652">
        <f>IF(C292="Upfront",AF292,IF(C292="At delivery",V292,0))</f>
        <v>0</v>
      </c>
      <c r="AI292" s="652">
        <f>IF(C292="Upfront",AG292,IF(C292="At delivery",W292,0))</f>
        <v>0</v>
      </c>
      <c r="AJ292" s="651">
        <f t="array" ref="AJ292">IFERROR(INDEX('HIV-Equipment'!$Q$14:$Q$58,MATCH($E292&amp;$F292,'HIV-Equipment'!$C$14:$C$58&amp;'HIV-Equipment'!$D$14:$D$58,0)),0)</f>
        <v>0</v>
      </c>
      <c r="AK292" s="651">
        <f>IF(ISERROR($AA292*AJ292),0,$AA292*AJ292)</f>
        <v>0</v>
      </c>
      <c r="AL292" s="652">
        <f>IF(C292="Upfront",AJ292,IF(C292="At delivery",AB292,0))</f>
        <v>0</v>
      </c>
      <c r="AM292" s="652">
        <f>IF(C292="Upfront",AK292,IF(C292="At delivery",AC292,0))</f>
        <v>0</v>
      </c>
      <c r="AN292" s="651">
        <f t="array" ref="AN292">IFERROR(INDEX('HIV-Equipment'!$R$14:$R$58,MATCH($E292&amp;$F292,'HIV-Equipment'!$C$14:$C$58&amp;'HIV-Equipment'!$D$14:$D$58,0)),0)</f>
        <v>0</v>
      </c>
      <c r="AO292" s="651">
        <f>IF(ISERROR($AA292*AN292),0,$AA292*AN292)</f>
        <v>0</v>
      </c>
      <c r="AP292" s="652">
        <f>IF(C292="Upfront",AN292,IF(C292="At delivery",AF292,0))</f>
        <v>0</v>
      </c>
      <c r="AQ292" s="652">
        <f>IF(C292="Upfront",AO292,IF(C292="At delivery",AG292,0))</f>
        <v>0</v>
      </c>
      <c r="AR292" s="661"/>
      <c r="AS292" s="651">
        <f t="array" ref="AS292">IFERROR(INDEX('HIV-Equipment'!$U$14:$U$58,MATCH($E292&amp;$F292,'HIV-Equipment'!$C$14:$C$58&amp;'HIV-Equipment'!$D$14:$D$58,0)),0)</f>
        <v>0</v>
      </c>
      <c r="AT292" s="651">
        <f t="array" ref="AT292">IFERROR(INDEX('HIV-Equipment'!$V$14:$V$58,MATCH($E292&amp;$F292,'HIV-Equipment'!$C$14:$C$58&amp;'HIV-Equipment'!$D$14:$D$58,0)),0)</f>
        <v>0</v>
      </c>
      <c r="AU292" s="651">
        <f>IF(ISERROR($AS292*AT292),0,$AS292*AT292)</f>
        <v>0</v>
      </c>
      <c r="AV292" s="652">
        <f>IF(C292="Upfront",AT292,IF(C292="At delivery",AJ292,0))</f>
        <v>0</v>
      </c>
      <c r="AW292" s="652">
        <f>IF(C292="Upfront",AU292,IF(C292="At delivery",AK292,0))</f>
        <v>0</v>
      </c>
      <c r="AX292" s="651">
        <f t="array" ref="AX292">IFERROR(INDEX('HIV-Equipment'!$W$14:$W$58,MATCH($E292&amp;$F292,'HIV-Equipment'!$C$14:$C$58&amp;'HIV-Equipment'!$D$14:$D$58,0)),0)</f>
        <v>0</v>
      </c>
      <c r="AY292" s="651">
        <f>IF(ISERROR($AS292*AX292),0,$AS292*AX292)</f>
        <v>0</v>
      </c>
      <c r="AZ292" s="652">
        <f>IF(C292="Upfront",AX292,IF(C292="At delivery",AN292,0))</f>
        <v>0</v>
      </c>
      <c r="BA292" s="652">
        <f>IF(C292="Upfront",AY292,IF(C292="At delivery",AO292,0))</f>
        <v>0</v>
      </c>
      <c r="BB292" s="651">
        <f t="array" ref="BB292">IFERROR(INDEX('HIV-Equipment'!$X$14:$X$58,MATCH($E292&amp;$F292,'HIV-Equipment'!$C$14:$C$58&amp;'HIV-Equipment'!$D$14:$D$58,0)),0)</f>
        <v>0</v>
      </c>
      <c r="BC292" s="651">
        <f>IF(ISERROR($AS292*BB292),0,$AS292*BB292)</f>
        <v>0</v>
      </c>
      <c r="BD292" s="652">
        <f>IF(C292="Upfront",BB292,IF(C292="At delivery",AT292,0))</f>
        <v>0</v>
      </c>
      <c r="BE292" s="652">
        <f>IF(C292="Upfront",BC292,IF(C292="At delivery",AU292,0))</f>
        <v>0</v>
      </c>
      <c r="BF292" s="651">
        <f t="array" ref="BF292">IFERROR(INDEX('HIV-Equipment'!$Y$14:$Y$58,MATCH($E292&amp;$F292,'HIV-Equipment'!$C$14:$C$58&amp;'HIV-Equipment'!$D$14:$D$58,0)),0)</f>
        <v>0</v>
      </c>
      <c r="BG292" s="651">
        <f>IF(ISERROR($AS292*BF292),0,$AS292*BF292)</f>
        <v>0</v>
      </c>
      <c r="BH292" s="652">
        <f>IF(C292="Upfront",BF292,IF(C292="At delivery",AX292,0))</f>
        <v>0</v>
      </c>
      <c r="BI292" s="652">
        <f>IF(C292="Upfront",BG292,IF(C292="At delivery",AY292,0))</f>
        <v>0</v>
      </c>
      <c r="BJ292" s="662"/>
      <c r="BK292" s="654"/>
      <c r="BL292" s="654"/>
      <c r="BM292" s="654"/>
      <c r="BN292" s="654"/>
      <c r="BO292" s="654"/>
      <c r="BP292" s="654"/>
      <c r="BQ292" s="654"/>
      <c r="BR292" s="654"/>
    </row>
    <row r="294" spans="1:70">
      <c r="A294" s="2315" t="s">
        <v>2284</v>
      </c>
      <c r="B294" s="2315"/>
      <c r="C294" s="2315"/>
      <c r="D294" s="2315"/>
      <c r="E294" s="2315"/>
      <c r="F294" s="2315"/>
      <c r="G294" s="656"/>
      <c r="H294" s="656"/>
      <c r="I294" s="657"/>
      <c r="J294" s="657"/>
      <c r="K294" s="657"/>
      <c r="L294" s="657"/>
      <c r="M294" s="657"/>
      <c r="N294" s="657"/>
      <c r="O294" s="657"/>
      <c r="P294" s="657"/>
      <c r="Q294" s="657"/>
      <c r="R294" s="657"/>
      <c r="S294" s="657"/>
      <c r="T294" s="657"/>
      <c r="U294" s="657"/>
      <c r="V294" s="657"/>
      <c r="W294" s="657"/>
      <c r="X294" s="657"/>
      <c r="Y294" s="657"/>
      <c r="Z294" s="657"/>
      <c r="AA294" s="657"/>
      <c r="AB294" s="657"/>
      <c r="AC294" s="657"/>
      <c r="AD294" s="657"/>
      <c r="AE294" s="657"/>
      <c r="AF294" s="657"/>
      <c r="AG294" s="657"/>
      <c r="AH294" s="657"/>
      <c r="AI294" s="657"/>
      <c r="AJ294" s="657"/>
      <c r="AK294" s="657"/>
      <c r="AL294" s="657"/>
      <c r="AM294" s="657"/>
      <c r="AN294" s="657"/>
      <c r="AO294" s="657"/>
      <c r="AP294" s="657"/>
      <c r="AQ294" s="657"/>
      <c r="AR294" s="657"/>
      <c r="AS294" s="657"/>
      <c r="AT294" s="657"/>
      <c r="AU294" s="657"/>
      <c r="AV294" s="657"/>
      <c r="AW294" s="657"/>
      <c r="AX294" s="657"/>
      <c r="AY294" s="657"/>
      <c r="AZ294" s="657"/>
      <c r="BA294" s="657"/>
      <c r="BB294" s="657"/>
      <c r="BC294" s="657"/>
      <c r="BD294" s="657"/>
      <c r="BE294" s="657"/>
      <c r="BF294" s="657"/>
      <c r="BG294" s="657"/>
      <c r="BH294" s="657"/>
      <c r="BI294" s="657"/>
      <c r="BJ294" s="669"/>
      <c r="BK294" s="669"/>
      <c r="BL294" s="669"/>
      <c r="BM294" s="669"/>
      <c r="BN294" s="669"/>
      <c r="BO294" s="669"/>
      <c r="BP294" s="669"/>
      <c r="BQ294" s="669"/>
      <c r="BR294" s="669"/>
    </row>
    <row r="295" spans="1:70">
      <c r="A295" s="659" t="s">
        <v>1545</v>
      </c>
      <c r="B295" s="659" t="s">
        <v>203</v>
      </c>
      <c r="C295" s="660" t="s">
        <v>459</v>
      </c>
      <c r="D295" s="659" t="s">
        <v>460</v>
      </c>
      <c r="E295" s="659" t="s">
        <v>461</v>
      </c>
      <c r="F295" s="659" t="s">
        <v>214</v>
      </c>
      <c r="G295" s="660" t="s">
        <v>462</v>
      </c>
      <c r="H295" s="660" t="s">
        <v>49</v>
      </c>
      <c r="I295" s="670" t="s">
        <v>463</v>
      </c>
      <c r="J295" s="670" t="s">
        <v>464</v>
      </c>
      <c r="K295" s="670" t="s">
        <v>465</v>
      </c>
      <c r="L295" s="729" t="s">
        <v>466</v>
      </c>
      <c r="M295" s="729" t="s">
        <v>467</v>
      </c>
      <c r="N295" s="670" t="s">
        <v>468</v>
      </c>
      <c r="O295" s="670" t="s">
        <v>469</v>
      </c>
      <c r="P295" s="729" t="s">
        <v>470</v>
      </c>
      <c r="Q295" s="729" t="s">
        <v>471</v>
      </c>
      <c r="R295" s="670" t="s">
        <v>472</v>
      </c>
      <c r="S295" s="670" t="s">
        <v>473</v>
      </c>
      <c r="T295" s="729" t="s">
        <v>474</v>
      </c>
      <c r="U295" s="729" t="s">
        <v>475</v>
      </c>
      <c r="V295" s="670" t="s">
        <v>476</v>
      </c>
      <c r="W295" s="670" t="s">
        <v>477</v>
      </c>
      <c r="X295" s="729" t="s">
        <v>478</v>
      </c>
      <c r="Y295" s="729" t="s">
        <v>479</v>
      </c>
      <c r="Z295" s="643"/>
      <c r="AA295" s="670" t="s">
        <v>480</v>
      </c>
      <c r="AB295" s="670" t="s">
        <v>481</v>
      </c>
      <c r="AC295" s="670" t="s">
        <v>482</v>
      </c>
      <c r="AD295" s="729" t="s">
        <v>483</v>
      </c>
      <c r="AE295" s="729" t="s">
        <v>484</v>
      </c>
      <c r="AF295" s="670" t="s">
        <v>485</v>
      </c>
      <c r="AG295" s="670" t="s">
        <v>486</v>
      </c>
      <c r="AH295" s="729" t="s">
        <v>487</v>
      </c>
      <c r="AI295" s="729" t="s">
        <v>488</v>
      </c>
      <c r="AJ295" s="670" t="s">
        <v>489</v>
      </c>
      <c r="AK295" s="670" t="s">
        <v>490</v>
      </c>
      <c r="AL295" s="729" t="s">
        <v>491</v>
      </c>
      <c r="AM295" s="729" t="s">
        <v>492</v>
      </c>
      <c r="AN295" s="670" t="s">
        <v>493</v>
      </c>
      <c r="AO295" s="670" t="s">
        <v>494</v>
      </c>
      <c r="AP295" s="729" t="s">
        <v>495</v>
      </c>
      <c r="AQ295" s="729" t="s">
        <v>496</v>
      </c>
      <c r="AR295" s="643"/>
      <c r="AS295" s="670" t="s">
        <v>497</v>
      </c>
      <c r="AT295" s="670" t="s">
        <v>498</v>
      </c>
      <c r="AU295" s="670" t="s">
        <v>499</v>
      </c>
      <c r="AV295" s="729" t="s">
        <v>500</v>
      </c>
      <c r="AW295" s="729" t="s">
        <v>501</v>
      </c>
      <c r="AX295" s="670" t="s">
        <v>502</v>
      </c>
      <c r="AY295" s="670" t="s">
        <v>503</v>
      </c>
      <c r="AZ295" s="729" t="s">
        <v>504</v>
      </c>
      <c r="BA295" s="729" t="s">
        <v>505</v>
      </c>
      <c r="BB295" s="670" t="s">
        <v>506</v>
      </c>
      <c r="BC295" s="670" t="s">
        <v>507</v>
      </c>
      <c r="BD295" s="729" t="s">
        <v>508</v>
      </c>
      <c r="BE295" s="729" t="s">
        <v>509</v>
      </c>
      <c r="BF295" s="670" t="s">
        <v>510</v>
      </c>
      <c r="BG295" s="670" t="s">
        <v>511</v>
      </c>
      <c r="BH295" s="729" t="s">
        <v>512</v>
      </c>
      <c r="BI295" s="729" t="s">
        <v>513</v>
      </c>
      <c r="BJ295" s="644"/>
      <c r="BK295" s="730" t="s">
        <v>514</v>
      </c>
      <c r="BL295" s="730" t="s">
        <v>515</v>
      </c>
      <c r="BM295" s="730" t="s">
        <v>516</v>
      </c>
      <c r="BN295" s="730" t="s">
        <v>517</v>
      </c>
      <c r="BO295" s="730" t="s">
        <v>518</v>
      </c>
      <c r="BP295" s="730" t="s">
        <v>519</v>
      </c>
      <c r="BQ295" s="730" t="s">
        <v>520</v>
      </c>
      <c r="BR295" s="730" t="s">
        <v>521</v>
      </c>
    </row>
    <row r="296" spans="1:70">
      <c r="A296" s="655" t="s">
        <v>822</v>
      </c>
      <c r="B296" s="655" t="s">
        <v>2284</v>
      </c>
      <c r="C296" s="648">
        <f>SETUP!$F$27</f>
        <v>0</v>
      </c>
      <c r="D296" s="654">
        <v>5.2</v>
      </c>
      <c r="E296" s="663" t="s">
        <v>208</v>
      </c>
      <c r="F296" s="663" t="s">
        <v>1691</v>
      </c>
      <c r="G296" s="650" t="str">
        <f t="array" ref="G296">IFERROR(INDEX('HIV-Other HPs'!$L$14:$L$40,MATCH($E296&amp;$F296,'HIV-Other HPs'!$E$14:$E$40&amp;'HIV-Other HPs'!$I$14:$I$40,0)),"")</f>
        <v/>
      </c>
      <c r="H296" s="650" t="str">
        <f t="array" ref="H296">IFERROR(INDEX('HIV-Other HPs'!$M$14:$M$40,MATCH($E296&amp;$F296,'HIV-Other HPs'!$E$14:$E$40&amp;'HIV-Other HPs'!$I$14:$I$40,0)),"")</f>
        <v/>
      </c>
      <c r="I296" s="651">
        <f t="array" ref="I296">IFERROR(INDEX('HIV-Other HPs'!$N$14:$N$40,MATCH($E296&amp;$F296,'HIV-Other HPs'!$E$14:$E$40&amp;'HIV-Other HPs'!$I$14:$I$40,0)),0)</f>
        <v>0</v>
      </c>
      <c r="J296" s="651">
        <f t="array" ref="J296">IFERROR(INDEX('HIV-Other HPs'!$O$14:$O$40,MATCH($E296&amp;$F296,'HIV-Other HPs'!$E$14:$E$40&amp;'HIV-Other HPs'!$I$14:$I$40,0)),0)</f>
        <v>0</v>
      </c>
      <c r="K296" s="652">
        <f>IF(ISERROR($I296*J296),0,$I296*J296)</f>
        <v>0</v>
      </c>
      <c r="L296" s="652">
        <f>IF(C296="Upfront",J296,0)</f>
        <v>0</v>
      </c>
      <c r="M296" s="652">
        <f>IF(C296="Upfront",K296,0)</f>
        <v>0</v>
      </c>
      <c r="N296" s="651">
        <f t="array" ref="N296">IFERROR(INDEX('HIV-Other HPs'!$P$14:$P$40,MATCH($E296&amp;$F296,'HIV-Other HPs'!$E$14:$E$40&amp;'HIV-Other HPs'!$I$14:$I$40,0)),0)</f>
        <v>0</v>
      </c>
      <c r="O296" s="652">
        <f>IF(ISERROR($I296*N296),0,$I296*N296)</f>
        <v>0</v>
      </c>
      <c r="P296" s="652">
        <f>IF(C296="Upfront",N296,0)</f>
        <v>0</v>
      </c>
      <c r="Q296" s="652">
        <f>IF(C296="Upfront",O296,0)</f>
        <v>0</v>
      </c>
      <c r="R296" s="651">
        <f t="array" ref="R296">IFERROR(INDEX('HIV-Other HPs'!$Q$14:$Q$40,MATCH($E296&amp;$F296,'HIV-Other HPs'!$E$14:$E$40&amp;'HIV-Other HPs'!$I$14:$I$40,0)),0)</f>
        <v>0</v>
      </c>
      <c r="S296" s="652">
        <f>IF(ISERROR($I296*R296),0,$I296*R296)</f>
        <v>0</v>
      </c>
      <c r="T296" s="652">
        <f>IF(C296="Upfront",R296,IF(C296="At delivery",J296,0))</f>
        <v>0</v>
      </c>
      <c r="U296" s="652">
        <f>IF(C296="Upfront",S296,IF(C296="At delivery",K296,0))</f>
        <v>0</v>
      </c>
      <c r="V296" s="651">
        <f t="array" ref="V296">IFERROR(INDEX('HIV-Other HPs'!$R$14:$R$40,MATCH($E296&amp;$F296,'HIV-Other HPs'!$E$14:$E$40&amp;'HIV-Other HPs'!$I$14:$I$40,0)),0)</f>
        <v>0</v>
      </c>
      <c r="W296" s="652">
        <f>IF(ISERROR($I296*V296),0,$I296*V296)</f>
        <v>0</v>
      </c>
      <c r="X296" s="652">
        <f>IF(C296="Upfront",V296,IF(C296="At delivery",N296,0))</f>
        <v>0</v>
      </c>
      <c r="Y296" s="652">
        <f>IF(C296="Upfront",W296,IF(C296="At delivery",O296,0))</f>
        <v>0</v>
      </c>
      <c r="Z296" s="664"/>
      <c r="AA296" s="651">
        <f t="array" ref="AA296">IFERROR(INDEX('HIV-Other HPs'!$U$14:$U$40,MATCH($E296&amp;$F296,'HIV-Other HPs'!$E$14:$E$40&amp;'HIV-Other HPs'!$I$14:$I$40,0)),0)</f>
        <v>0</v>
      </c>
      <c r="AB296" s="651">
        <f t="array" ref="AB296">IFERROR(INDEX('HIV-Other HPs'!$V$14:$V$40,MATCH($E296&amp;$F296,'HIV-Other HPs'!$E$14:$E$40&amp;'HIV-Other HPs'!$I$14:$I$40,0)),0)</f>
        <v>0</v>
      </c>
      <c r="AC296" s="651">
        <f>IF(ISERROR($AA296*AB296),0,$AA296*AB296)</f>
        <v>0</v>
      </c>
      <c r="AD296" s="652">
        <f>IF(C296="Upfront",AB296,IF(C296="At delivery",R296,0))</f>
        <v>0</v>
      </c>
      <c r="AE296" s="652">
        <f>IF(C296="Upfront",AC296,IF(C296="At delivery",S296,0))</f>
        <v>0</v>
      </c>
      <c r="AF296" s="651">
        <f t="array" ref="AF296">IFERROR(INDEX('HIV-Other HPs'!$W$14:$W$40,MATCH($E296&amp;$F296,'HIV-Other HPs'!$E$14:$E$40&amp;'HIV-Other HPs'!$I$14:$I$40,0)),0)</f>
        <v>0</v>
      </c>
      <c r="AG296" s="651">
        <f>IF(ISERROR($AA296*AF296),0,$AA296*AF296)</f>
        <v>0</v>
      </c>
      <c r="AH296" s="652">
        <f>IF(C296="Upfront",AF296,IF(C296="At delivery",V296,0))</f>
        <v>0</v>
      </c>
      <c r="AI296" s="652">
        <f>IF(C296="Upfront",AG296,IF(C296="At delivery",W296,0))</f>
        <v>0</v>
      </c>
      <c r="AJ296" s="651">
        <f t="array" ref="AJ296">IFERROR(INDEX('HIV-Other HPs'!$X$14:$X$40,MATCH($E296&amp;$F296,'HIV-Other HPs'!$E$14:$E$40&amp;'HIV-Other HPs'!$I$14:$I$40,0)),0)</f>
        <v>0</v>
      </c>
      <c r="AK296" s="651">
        <f>IF(ISERROR($AA296*AJ296),0,$AA296*AJ296)</f>
        <v>0</v>
      </c>
      <c r="AL296" s="652">
        <f>IF(C296="Upfront",AJ296,IF(C296="At delivery",AB296,0))</f>
        <v>0</v>
      </c>
      <c r="AM296" s="652">
        <f>IF(C296="Upfront",AK296,IF(C296="At delivery",AC296,0))</f>
        <v>0</v>
      </c>
      <c r="AN296" s="651">
        <f t="array" ref="AN296">IFERROR(INDEX('HIV-Other HPs'!$Y$14:$Y$40,MATCH($E296&amp;$F296,'HIV-Other HPs'!$E$14:$E$40&amp;'HIV-Other HPs'!$I$14:$I$40,0)),0)</f>
        <v>0</v>
      </c>
      <c r="AO296" s="651">
        <f>IF(ISERROR($AA296*AN296),0,$AA296*AN296)</f>
        <v>0</v>
      </c>
      <c r="AP296" s="652">
        <f>IF(C296="Upfront",AN296,IF(C296="At delivery",AF296,0))</f>
        <v>0</v>
      </c>
      <c r="AQ296" s="652">
        <f>IF(C296="Upfront",AO296,IF(C296="At delivery",AG296,0))</f>
        <v>0</v>
      </c>
      <c r="AR296" s="664"/>
      <c r="AS296" s="651">
        <f t="array" ref="AS296">IFERROR(INDEX('HIV-Other HPs'!$AB$14:$AB$40,MATCH($E296&amp;$F296,'HIV-Other HPs'!$E$14:$E$40&amp;'HIV-Other HPs'!$I$14:$I$40,0)),0)</f>
        <v>0</v>
      </c>
      <c r="AT296" s="651">
        <f t="array" ref="AT296">IFERROR(INDEX('HIV-Other HPs'!$AC$14:$AC$40,MATCH($E296&amp;$F296,'HIV-Other HPs'!$E$14:$E$40&amp;'HIV-Other HPs'!$I$14:$I$40,0)),0)</f>
        <v>0</v>
      </c>
      <c r="AU296" s="651">
        <f>IF(ISERROR($AS296*AT296),0,$AS296*AT296)</f>
        <v>0</v>
      </c>
      <c r="AV296" s="652">
        <f>IF(C296="Upfront",AT296,IF(C296="At delivery",AJ296,0))</f>
        <v>0</v>
      </c>
      <c r="AW296" s="652">
        <f>IF(C296="Upfront",AU296,IF(C296="At delivery",AK296,0))</f>
        <v>0</v>
      </c>
      <c r="AX296" s="651">
        <f t="array" ref="AX296">IFERROR(INDEX('HIV-Other HPs'!$AD$14:$AD$40,MATCH($E296&amp;$F296,'HIV-Other HPs'!$E$14:$E$40&amp;'HIV-Other HPs'!$I$14:$I$40,0)),0)</f>
        <v>0</v>
      </c>
      <c r="AY296" s="651">
        <f>IF(ISERROR($AS296*AX296),0,$AS296*AX296)</f>
        <v>0</v>
      </c>
      <c r="AZ296" s="652">
        <f>IF(C296="Upfront",AX296,IF(C296="At delivery",AN296,0))</f>
        <v>0</v>
      </c>
      <c r="BA296" s="652">
        <f>IF(C296="Upfront",AY296,IF(C296="At delivery",AO296,0))</f>
        <v>0</v>
      </c>
      <c r="BB296" s="651">
        <f t="array" ref="BB296">IFERROR(INDEX('HIV-Other HPs'!$AE$14:$AE$40,MATCH($E296&amp;$F296,'HIV-Other HPs'!$E$14:$E$40&amp;'HIV-Other HPs'!$I$14:$I$40,0)),0)</f>
        <v>0</v>
      </c>
      <c r="BC296" s="651">
        <f>IF(ISERROR($AS296*BB296),0,$AS296*BB296)</f>
        <v>0</v>
      </c>
      <c r="BD296" s="652">
        <f>IF(C296="Upfront",BB296,IF(C296="At delivery",AT296,0))</f>
        <v>0</v>
      </c>
      <c r="BE296" s="652">
        <f>IF(C296="Upfront",BC296,IF(C296="At delivery",AU296,0))</f>
        <v>0</v>
      </c>
      <c r="BF296" s="651">
        <f t="array" ref="BF296">IFERROR(INDEX('HIV-Other HPs'!$AF$14:$AF$40,MATCH($E296&amp;$F296,'HIV-Other HPs'!$E$14:$E$40&amp;'HIV-Other HPs'!$I$14:$I$40,0)),0)</f>
        <v>0</v>
      </c>
      <c r="BG296" s="651">
        <f>IF(ISERROR($AS296*BF296),0,$AS296*BF296)</f>
        <v>0</v>
      </c>
      <c r="BH296" s="652">
        <f>IF(C296="Upfront",BF296,IF(C296="At delivery",AX296,0))</f>
        <v>0</v>
      </c>
      <c r="BI296" s="652">
        <f>IF(C296="Upfront",BG296,IF(C296="At delivery",AY296,0))</f>
        <v>0</v>
      </c>
      <c r="BJ296" s="662"/>
      <c r="BK296" s="663"/>
      <c r="BL296" s="663"/>
      <c r="BM296" s="663"/>
      <c r="BN296" s="663"/>
      <c r="BO296" s="663"/>
      <c r="BP296" s="663"/>
      <c r="BQ296" s="663"/>
      <c r="BR296" s="663"/>
    </row>
    <row r="297" spans="1:70">
      <c r="A297" s="655" t="s">
        <v>822</v>
      </c>
      <c r="B297" s="655" t="s">
        <v>2284</v>
      </c>
      <c r="C297" s="648">
        <f>SETUP!$F$27</f>
        <v>0</v>
      </c>
      <c r="D297" s="654">
        <v>5.2</v>
      </c>
      <c r="E297" s="663" t="s">
        <v>208</v>
      </c>
      <c r="F297" s="663" t="s">
        <v>1692</v>
      </c>
      <c r="G297" s="650" t="str">
        <f t="array" ref="G297">IFERROR(INDEX('HIV-Other HPs'!$L$14:$L$40,MATCH($E297&amp;$F297,'HIV-Other HPs'!$E$14:$E$40&amp;'HIV-Other HPs'!$I$14:$I$40,0)),"")</f>
        <v/>
      </c>
      <c r="H297" s="650" t="str">
        <f t="array" ref="H297">IFERROR(INDEX('HIV-Other HPs'!$M$14:$M$40,MATCH($E297&amp;$F297,'HIV-Other HPs'!$E$14:$E$40&amp;'HIV-Other HPs'!$I$14:$I$40,0)),"")</f>
        <v/>
      </c>
      <c r="I297" s="651">
        <f t="array" ref="I297">IFERROR(INDEX('HIV-Other HPs'!$N$14:$N$40,MATCH($E297&amp;$F297,'HIV-Other HPs'!$E$14:$E$40&amp;'HIV-Other HPs'!$I$14:$I$40,0)),0)</f>
        <v>0</v>
      </c>
      <c r="J297" s="651">
        <f t="array" ref="J297">IFERROR(INDEX('HIV-Other HPs'!$O$14:$O$40,MATCH($E297&amp;$F297,'HIV-Other HPs'!$E$14:$E$40&amp;'HIV-Other HPs'!$I$14:$I$40,0)),0)</f>
        <v>0</v>
      </c>
      <c r="K297" s="652">
        <f t="shared" ref="K297:K322" si="216">IF(ISERROR($I297*J297),0,$I297*J297)</f>
        <v>0</v>
      </c>
      <c r="L297" s="652">
        <f t="shared" ref="L297:L322" si="217">IF(C297="Upfront",J297,0)</f>
        <v>0</v>
      </c>
      <c r="M297" s="652">
        <f t="shared" ref="M297:M322" si="218">IF(C297="Upfront",K297,0)</f>
        <v>0</v>
      </c>
      <c r="N297" s="651">
        <f t="array" ref="N297">IFERROR(INDEX('HIV-Other HPs'!$P$14:$P$40,MATCH($E297&amp;$F297,'HIV-Other HPs'!$E$14:$E$40&amp;'HIV-Other HPs'!$I$14:$I$40,0)),0)</f>
        <v>0</v>
      </c>
      <c r="O297" s="652">
        <f t="shared" ref="O297:O322" si="219">IF(ISERROR($I297*N297),0,$I297*N297)</f>
        <v>0</v>
      </c>
      <c r="P297" s="652">
        <f t="shared" ref="P297:P322" si="220">IF(C297="Upfront",N297,0)</f>
        <v>0</v>
      </c>
      <c r="Q297" s="652">
        <f t="shared" ref="Q297:Q322" si="221">IF(C297="Upfront",O297,0)</f>
        <v>0</v>
      </c>
      <c r="R297" s="651">
        <f t="array" ref="R297">IFERROR(INDEX('HIV-Other HPs'!$Q$14:$Q$40,MATCH($E297&amp;$F297,'HIV-Other HPs'!$E$14:$E$40&amp;'HIV-Other HPs'!$I$14:$I$40,0)),0)</f>
        <v>0</v>
      </c>
      <c r="S297" s="652">
        <f t="shared" ref="S297:S322" si="222">IF(ISERROR($I297*R297),0,$I297*R297)</f>
        <v>0</v>
      </c>
      <c r="T297" s="652">
        <f t="shared" ref="T297:T322" si="223">IF(C297="Upfront",R297,IF(C297="At delivery",J297,0))</f>
        <v>0</v>
      </c>
      <c r="U297" s="652">
        <f t="shared" ref="U297:U322" si="224">IF(C297="Upfront",S297,IF(C297="At delivery",K297,0))</f>
        <v>0</v>
      </c>
      <c r="V297" s="651">
        <f t="array" ref="V297">IFERROR(INDEX('HIV-Other HPs'!$R$14:$R$40,MATCH($E297&amp;$F297,'HIV-Other HPs'!$E$14:$E$40&amp;'HIV-Other HPs'!$I$14:$I$40,0)),0)</f>
        <v>0</v>
      </c>
      <c r="W297" s="652">
        <f t="shared" ref="W297:W322" si="225">IF(ISERROR($I297*V297),0,$I297*V297)</f>
        <v>0</v>
      </c>
      <c r="X297" s="652">
        <f t="shared" ref="X297:X322" si="226">IF(C297="Upfront",V297,IF(C297="At delivery",N297,0))</f>
        <v>0</v>
      </c>
      <c r="Y297" s="652">
        <f t="shared" ref="Y297:Y322" si="227">IF(C297="Upfront",W297,IF(C297="At delivery",O297,0))</f>
        <v>0</v>
      </c>
      <c r="Z297" s="664"/>
      <c r="AA297" s="651">
        <f t="array" ref="AA297">IFERROR(INDEX('HIV-Other HPs'!$U$14:$U$40,MATCH($E297&amp;$F297,'HIV-Other HPs'!$E$14:$E$40&amp;'HIV-Other HPs'!$I$14:$I$40,0)),0)</f>
        <v>0</v>
      </c>
      <c r="AB297" s="651">
        <f t="array" ref="AB297">IFERROR(INDEX('HIV-Other HPs'!$V$14:$V$40,MATCH($E297&amp;$F297,'HIV-Other HPs'!$E$14:$E$40&amp;'HIV-Other HPs'!$I$14:$I$40,0)),0)</f>
        <v>0</v>
      </c>
      <c r="AC297" s="651">
        <f t="shared" ref="AC297:AC322" si="228">IF(ISERROR($AA297*AB297),0,$AA297*AB297)</f>
        <v>0</v>
      </c>
      <c r="AD297" s="652">
        <f t="shared" ref="AD297:AD322" si="229">IF(C297="Upfront",AB297,IF(C297="At delivery",R297,0))</f>
        <v>0</v>
      </c>
      <c r="AE297" s="652">
        <f t="shared" ref="AE297:AE322" si="230">IF(C297="Upfront",AC297,IF(C297="At delivery",S297,0))</f>
        <v>0</v>
      </c>
      <c r="AF297" s="651">
        <f t="array" ref="AF297">IFERROR(INDEX('HIV-Other HPs'!$W$14:$W$40,MATCH($E297&amp;$F297,'HIV-Other HPs'!$E$14:$E$40&amp;'HIV-Other HPs'!$I$14:$I$40,0)),0)</f>
        <v>0</v>
      </c>
      <c r="AG297" s="651">
        <f t="shared" ref="AG297:AG322" si="231">IF(ISERROR($AA297*AF297),0,$AA297*AF297)</f>
        <v>0</v>
      </c>
      <c r="AH297" s="652">
        <f t="shared" ref="AH297:AH322" si="232">IF(C297="Upfront",AF297,IF(C297="At delivery",V297,0))</f>
        <v>0</v>
      </c>
      <c r="AI297" s="652">
        <f t="shared" ref="AI297:AI322" si="233">IF(C297="Upfront",AG297,IF(C297="At delivery",W297,0))</f>
        <v>0</v>
      </c>
      <c r="AJ297" s="651">
        <f t="array" ref="AJ297">IFERROR(INDEX('HIV-Other HPs'!$X$14:$X$40,MATCH($E297&amp;$F297,'HIV-Other HPs'!$E$14:$E$40&amp;'HIV-Other HPs'!$I$14:$I$40,0)),0)</f>
        <v>0</v>
      </c>
      <c r="AK297" s="651">
        <f t="shared" ref="AK297:AK322" si="234">IF(ISERROR($AA297*AJ297),0,$AA297*AJ297)</f>
        <v>0</v>
      </c>
      <c r="AL297" s="652">
        <f t="shared" ref="AL297:AL322" si="235">IF(C297="Upfront",AJ297,IF(C297="At delivery",AB297,0))</f>
        <v>0</v>
      </c>
      <c r="AM297" s="652">
        <f t="shared" ref="AM297:AM322" si="236">IF(C297="Upfront",AK297,IF(C297="At delivery",AC297,0))</f>
        <v>0</v>
      </c>
      <c r="AN297" s="651">
        <f t="array" ref="AN297">IFERROR(INDEX('HIV-Other HPs'!$Y$14:$Y$40,MATCH($E297&amp;$F297,'HIV-Other HPs'!$E$14:$E$40&amp;'HIV-Other HPs'!$I$14:$I$40,0)),0)</f>
        <v>0</v>
      </c>
      <c r="AO297" s="651">
        <f t="shared" ref="AO297:AO322" si="237">IF(ISERROR($AA297*AN297),0,$AA297*AN297)</f>
        <v>0</v>
      </c>
      <c r="AP297" s="652">
        <f t="shared" ref="AP297:AP322" si="238">IF(C297="Upfront",AN297,IF(C297="At delivery",AF297,0))</f>
        <v>0</v>
      </c>
      <c r="AQ297" s="652">
        <f t="shared" ref="AQ297:AQ322" si="239">IF(C297="Upfront",AO297,IF(C297="At delivery",AG297,0))</f>
        <v>0</v>
      </c>
      <c r="AR297" s="664"/>
      <c r="AS297" s="651">
        <f t="array" ref="AS297">IFERROR(INDEX('HIV-Other HPs'!$AB$14:$AB$40,MATCH($E297&amp;$F297,'HIV-Other HPs'!$E$14:$E$40&amp;'HIV-Other HPs'!$I$14:$I$40,0)),0)</f>
        <v>0</v>
      </c>
      <c r="AT297" s="651">
        <f t="array" ref="AT297">IFERROR(INDEX('HIV-Other HPs'!$AC$14:$AC$40,MATCH($E297&amp;$F297,'HIV-Other HPs'!$E$14:$E$40&amp;'HIV-Other HPs'!$I$14:$I$40,0)),0)</f>
        <v>0</v>
      </c>
      <c r="AU297" s="651">
        <f t="shared" ref="AU297:AU322" si="240">IF(ISERROR($AS297*AT297),0,$AS297*AT297)</f>
        <v>0</v>
      </c>
      <c r="AV297" s="652">
        <f t="shared" ref="AV297:AV322" si="241">IF(C297="Upfront",AT297,IF(C297="At delivery",AJ297,0))</f>
        <v>0</v>
      </c>
      <c r="AW297" s="652">
        <f t="shared" ref="AW297:AW322" si="242">IF(C297="Upfront",AU297,IF(C297="At delivery",AK297,0))</f>
        <v>0</v>
      </c>
      <c r="AX297" s="651">
        <f t="array" ref="AX297">IFERROR(INDEX('HIV-Other HPs'!$AD$14:$AD$40,MATCH($E297&amp;$F297,'HIV-Other HPs'!$E$14:$E$40&amp;'HIV-Other HPs'!$I$14:$I$40,0)),0)</f>
        <v>0</v>
      </c>
      <c r="AY297" s="651">
        <f t="shared" ref="AY297:AY322" si="243">IF(ISERROR($AS297*AX297),0,$AS297*AX297)</f>
        <v>0</v>
      </c>
      <c r="AZ297" s="652">
        <f t="shared" ref="AZ297:AZ322" si="244">IF(C297="Upfront",AX297,IF(C297="At delivery",AN297,0))</f>
        <v>0</v>
      </c>
      <c r="BA297" s="652">
        <f t="shared" ref="BA297:BA322" si="245">IF(C297="Upfront",AY297,IF(C297="At delivery",AO297,0))</f>
        <v>0</v>
      </c>
      <c r="BB297" s="651">
        <f t="array" ref="BB297">IFERROR(INDEX('HIV-Other HPs'!$AE$14:$AE$40,MATCH($E297&amp;$F297,'HIV-Other HPs'!$E$14:$E$40&amp;'HIV-Other HPs'!$I$14:$I$40,0)),0)</f>
        <v>0</v>
      </c>
      <c r="BC297" s="651">
        <f t="shared" ref="BC297:BC322" si="246">IF(ISERROR($AS297*BB297),0,$AS297*BB297)</f>
        <v>0</v>
      </c>
      <c r="BD297" s="652">
        <f t="shared" ref="BD297:BD322" si="247">IF(C297="Upfront",BB297,IF(C297="At delivery",AT297,0))</f>
        <v>0</v>
      </c>
      <c r="BE297" s="652">
        <f t="shared" ref="BE297:BE322" si="248">IF(C297="Upfront",BC297,IF(C297="At delivery",AU297,0))</f>
        <v>0</v>
      </c>
      <c r="BF297" s="651">
        <f t="array" ref="BF297">IFERROR(INDEX('HIV-Other HPs'!$AF$14:$AF$40,MATCH($E297&amp;$F297,'HIV-Other HPs'!$E$14:$E$40&amp;'HIV-Other HPs'!$I$14:$I$40,0)),0)</f>
        <v>0</v>
      </c>
      <c r="BG297" s="651">
        <f t="shared" ref="BG297:BG322" si="249">IF(ISERROR($AS297*BF297),0,$AS297*BF297)</f>
        <v>0</v>
      </c>
      <c r="BH297" s="652">
        <f t="shared" ref="BH297:BH322" si="250">IF(C297="Upfront",BF297,IF(C297="At delivery",AX297,0))</f>
        <v>0</v>
      </c>
      <c r="BI297" s="652">
        <f t="shared" ref="BI297:BI322" si="251">IF(C297="Upfront",BG297,IF(C297="At delivery",AY297,0))</f>
        <v>0</v>
      </c>
      <c r="BJ297" s="662"/>
      <c r="BK297" s="663"/>
      <c r="BL297" s="663"/>
      <c r="BM297" s="663"/>
      <c r="BN297" s="663"/>
      <c r="BO297" s="663"/>
      <c r="BP297" s="663"/>
      <c r="BQ297" s="663"/>
      <c r="BR297" s="663"/>
    </row>
    <row r="298" spans="1:70">
      <c r="A298" s="655" t="s">
        <v>822</v>
      </c>
      <c r="B298" s="655" t="s">
        <v>2284</v>
      </c>
      <c r="C298" s="648">
        <f>SETUP!$F$27</f>
        <v>0</v>
      </c>
      <c r="D298" s="654">
        <v>5.2</v>
      </c>
      <c r="E298" s="663" t="s">
        <v>208</v>
      </c>
      <c r="F298" s="663" t="s">
        <v>1693</v>
      </c>
      <c r="G298" s="650" t="str">
        <f t="array" ref="G298">IFERROR(INDEX('HIV-Other HPs'!$L$14:$L$40,MATCH($E298&amp;$F298,'HIV-Other HPs'!$E$14:$E$40&amp;'HIV-Other HPs'!$I$14:$I$40,0)),"")</f>
        <v/>
      </c>
      <c r="H298" s="650" t="str">
        <f t="array" ref="H298">IFERROR(INDEX('HIV-Other HPs'!$M$14:$M$40,MATCH($E298&amp;$F298,'HIV-Other HPs'!$E$14:$E$40&amp;'HIV-Other HPs'!$I$14:$I$40,0)),"")</f>
        <v/>
      </c>
      <c r="I298" s="651">
        <f t="array" ref="I298">IFERROR(INDEX('HIV-Other HPs'!$N$14:$N$40,MATCH($E298&amp;$F298,'HIV-Other HPs'!$E$14:$E$40&amp;'HIV-Other HPs'!$I$14:$I$40,0)),0)</f>
        <v>0</v>
      </c>
      <c r="J298" s="651">
        <f t="array" ref="J298">IFERROR(INDEX('HIV-Other HPs'!$O$14:$O$40,MATCH($E298&amp;$F298,'HIV-Other HPs'!$E$14:$E$40&amp;'HIV-Other HPs'!$I$14:$I$40,0)),0)</f>
        <v>0</v>
      </c>
      <c r="K298" s="652">
        <f t="shared" si="216"/>
        <v>0</v>
      </c>
      <c r="L298" s="652">
        <f t="shared" si="217"/>
        <v>0</v>
      </c>
      <c r="M298" s="652">
        <f t="shared" si="218"/>
        <v>0</v>
      </c>
      <c r="N298" s="651">
        <f t="array" ref="N298">IFERROR(INDEX('HIV-Other HPs'!$P$14:$P$40,MATCH($E298&amp;$F298,'HIV-Other HPs'!$E$14:$E$40&amp;'HIV-Other HPs'!$I$14:$I$40,0)),0)</f>
        <v>0</v>
      </c>
      <c r="O298" s="652">
        <f t="shared" si="219"/>
        <v>0</v>
      </c>
      <c r="P298" s="652">
        <f t="shared" si="220"/>
        <v>0</v>
      </c>
      <c r="Q298" s="652">
        <f t="shared" si="221"/>
        <v>0</v>
      </c>
      <c r="R298" s="651">
        <f t="array" ref="R298">IFERROR(INDEX('HIV-Other HPs'!$Q$14:$Q$40,MATCH($E298&amp;$F298,'HIV-Other HPs'!$E$14:$E$40&amp;'HIV-Other HPs'!$I$14:$I$40,0)),0)</f>
        <v>0</v>
      </c>
      <c r="S298" s="652">
        <f t="shared" si="222"/>
        <v>0</v>
      </c>
      <c r="T298" s="652">
        <f t="shared" si="223"/>
        <v>0</v>
      </c>
      <c r="U298" s="652">
        <f t="shared" si="224"/>
        <v>0</v>
      </c>
      <c r="V298" s="651">
        <f t="array" ref="V298">IFERROR(INDEX('HIV-Other HPs'!$R$14:$R$40,MATCH($E298&amp;$F298,'HIV-Other HPs'!$E$14:$E$40&amp;'HIV-Other HPs'!$I$14:$I$40,0)),0)</f>
        <v>0</v>
      </c>
      <c r="W298" s="652">
        <f t="shared" si="225"/>
        <v>0</v>
      </c>
      <c r="X298" s="652">
        <f t="shared" si="226"/>
        <v>0</v>
      </c>
      <c r="Y298" s="652">
        <f t="shared" si="227"/>
        <v>0</v>
      </c>
      <c r="Z298" s="664"/>
      <c r="AA298" s="651">
        <f t="array" ref="AA298">IFERROR(INDEX('HIV-Other HPs'!$U$14:$U$40,MATCH($E298&amp;$F298,'HIV-Other HPs'!$E$14:$E$40&amp;'HIV-Other HPs'!$I$14:$I$40,0)),0)</f>
        <v>0</v>
      </c>
      <c r="AB298" s="651">
        <f t="array" ref="AB298">IFERROR(INDEX('HIV-Other HPs'!$V$14:$V$40,MATCH($E298&amp;$F298,'HIV-Other HPs'!$E$14:$E$40&amp;'HIV-Other HPs'!$I$14:$I$40,0)),0)</f>
        <v>0</v>
      </c>
      <c r="AC298" s="651">
        <f t="shared" si="228"/>
        <v>0</v>
      </c>
      <c r="AD298" s="652">
        <f t="shared" si="229"/>
        <v>0</v>
      </c>
      <c r="AE298" s="652">
        <f t="shared" si="230"/>
        <v>0</v>
      </c>
      <c r="AF298" s="651">
        <f t="array" ref="AF298">IFERROR(INDEX('HIV-Other HPs'!$W$14:$W$40,MATCH($E298&amp;$F298,'HIV-Other HPs'!$E$14:$E$40&amp;'HIV-Other HPs'!$I$14:$I$40,0)),0)</f>
        <v>0</v>
      </c>
      <c r="AG298" s="651">
        <f t="shared" si="231"/>
        <v>0</v>
      </c>
      <c r="AH298" s="652">
        <f t="shared" si="232"/>
        <v>0</v>
      </c>
      <c r="AI298" s="652">
        <f t="shared" si="233"/>
        <v>0</v>
      </c>
      <c r="AJ298" s="651">
        <f t="array" ref="AJ298">IFERROR(INDEX('HIV-Other HPs'!$X$14:$X$40,MATCH($E298&amp;$F298,'HIV-Other HPs'!$E$14:$E$40&amp;'HIV-Other HPs'!$I$14:$I$40,0)),0)</f>
        <v>0</v>
      </c>
      <c r="AK298" s="651">
        <f t="shared" si="234"/>
        <v>0</v>
      </c>
      <c r="AL298" s="652">
        <f t="shared" si="235"/>
        <v>0</v>
      </c>
      <c r="AM298" s="652">
        <f t="shared" si="236"/>
        <v>0</v>
      </c>
      <c r="AN298" s="651">
        <f t="array" ref="AN298">IFERROR(INDEX('HIV-Other HPs'!$Y$14:$Y$40,MATCH($E298&amp;$F298,'HIV-Other HPs'!$E$14:$E$40&amp;'HIV-Other HPs'!$I$14:$I$40,0)),0)</f>
        <v>0</v>
      </c>
      <c r="AO298" s="651">
        <f t="shared" si="237"/>
        <v>0</v>
      </c>
      <c r="AP298" s="652">
        <f t="shared" si="238"/>
        <v>0</v>
      </c>
      <c r="AQ298" s="652">
        <f t="shared" si="239"/>
        <v>0</v>
      </c>
      <c r="AR298" s="664"/>
      <c r="AS298" s="651">
        <f t="array" ref="AS298">IFERROR(INDEX('HIV-Other HPs'!$AB$14:$AB$40,MATCH($E298&amp;$F298,'HIV-Other HPs'!$E$14:$E$40&amp;'HIV-Other HPs'!$I$14:$I$40,0)),0)</f>
        <v>0</v>
      </c>
      <c r="AT298" s="651">
        <f t="array" ref="AT298">IFERROR(INDEX('HIV-Other HPs'!$AC$14:$AC$40,MATCH($E298&amp;$F298,'HIV-Other HPs'!$E$14:$E$40&amp;'HIV-Other HPs'!$I$14:$I$40,0)),0)</f>
        <v>0</v>
      </c>
      <c r="AU298" s="651">
        <f t="shared" si="240"/>
        <v>0</v>
      </c>
      <c r="AV298" s="652">
        <f t="shared" si="241"/>
        <v>0</v>
      </c>
      <c r="AW298" s="652">
        <f t="shared" si="242"/>
        <v>0</v>
      </c>
      <c r="AX298" s="651">
        <f t="array" ref="AX298">IFERROR(INDEX('HIV-Other HPs'!$AD$14:$AD$40,MATCH($E298&amp;$F298,'HIV-Other HPs'!$E$14:$E$40&amp;'HIV-Other HPs'!$I$14:$I$40,0)),0)</f>
        <v>0</v>
      </c>
      <c r="AY298" s="651">
        <f t="shared" si="243"/>
        <v>0</v>
      </c>
      <c r="AZ298" s="652">
        <f t="shared" si="244"/>
        <v>0</v>
      </c>
      <c r="BA298" s="652">
        <f t="shared" si="245"/>
        <v>0</v>
      </c>
      <c r="BB298" s="651">
        <f t="array" ref="BB298">IFERROR(INDEX('HIV-Other HPs'!$AE$14:$AE$40,MATCH($E298&amp;$F298,'HIV-Other HPs'!$E$14:$E$40&amp;'HIV-Other HPs'!$I$14:$I$40,0)),0)</f>
        <v>0</v>
      </c>
      <c r="BC298" s="651">
        <f t="shared" si="246"/>
        <v>0</v>
      </c>
      <c r="BD298" s="652">
        <f t="shared" si="247"/>
        <v>0</v>
      </c>
      <c r="BE298" s="652">
        <f t="shared" si="248"/>
        <v>0</v>
      </c>
      <c r="BF298" s="651">
        <f t="array" ref="BF298">IFERROR(INDEX('HIV-Other HPs'!$AF$14:$AF$40,MATCH($E298&amp;$F298,'HIV-Other HPs'!$E$14:$E$40&amp;'HIV-Other HPs'!$I$14:$I$40,0)),0)</f>
        <v>0</v>
      </c>
      <c r="BG298" s="651">
        <f t="shared" si="249"/>
        <v>0</v>
      </c>
      <c r="BH298" s="652">
        <f t="shared" si="250"/>
        <v>0</v>
      </c>
      <c r="BI298" s="652">
        <f t="shared" si="251"/>
        <v>0</v>
      </c>
      <c r="BJ298" s="662"/>
      <c r="BK298" s="663"/>
      <c r="BL298" s="663"/>
      <c r="BM298" s="663"/>
      <c r="BN298" s="663"/>
      <c r="BO298" s="663"/>
      <c r="BP298" s="663"/>
      <c r="BQ298" s="663"/>
      <c r="BR298" s="663"/>
    </row>
    <row r="299" spans="1:70">
      <c r="A299" s="655" t="s">
        <v>822</v>
      </c>
      <c r="B299" s="655" t="s">
        <v>2284</v>
      </c>
      <c r="C299" s="648">
        <f>SETUP!$F$27</f>
        <v>0</v>
      </c>
      <c r="D299" s="654">
        <v>5.2</v>
      </c>
      <c r="E299" s="663" t="s">
        <v>208</v>
      </c>
      <c r="F299" s="663" t="s">
        <v>1694</v>
      </c>
      <c r="G299" s="650" t="str">
        <f t="array" ref="G299">IFERROR(INDEX('HIV-Other HPs'!$L$14:$L$40,MATCH($E299&amp;$F299,'HIV-Other HPs'!$E$14:$E$40&amp;'HIV-Other HPs'!$I$14:$I$40,0)),"")</f>
        <v/>
      </c>
      <c r="H299" s="650" t="str">
        <f t="array" ref="H299">IFERROR(INDEX('HIV-Other HPs'!$M$14:$M$40,MATCH($E299&amp;$F299,'HIV-Other HPs'!$E$14:$E$40&amp;'HIV-Other HPs'!$I$14:$I$40,0)),"")</f>
        <v/>
      </c>
      <c r="I299" s="651">
        <f t="array" ref="I299">IFERROR(INDEX('HIV-Other HPs'!$N$14:$N$40,MATCH($E299&amp;$F299,'HIV-Other HPs'!$E$14:$E$40&amp;'HIV-Other HPs'!$I$14:$I$40,0)),0)</f>
        <v>0</v>
      </c>
      <c r="J299" s="651">
        <f t="array" ref="J299">IFERROR(INDEX('HIV-Other HPs'!$O$14:$O$40,MATCH($E299&amp;$F299,'HIV-Other HPs'!$E$14:$E$40&amp;'HIV-Other HPs'!$I$14:$I$40,0)),0)</f>
        <v>0</v>
      </c>
      <c r="K299" s="652">
        <f t="shared" si="216"/>
        <v>0</v>
      </c>
      <c r="L299" s="652">
        <f t="shared" si="217"/>
        <v>0</v>
      </c>
      <c r="M299" s="652">
        <f t="shared" si="218"/>
        <v>0</v>
      </c>
      <c r="N299" s="651">
        <f t="array" ref="N299">IFERROR(INDEX('HIV-Other HPs'!$P$14:$P$40,MATCH($E299&amp;$F299,'HIV-Other HPs'!$E$14:$E$40&amp;'HIV-Other HPs'!$I$14:$I$40,0)),0)</f>
        <v>0</v>
      </c>
      <c r="O299" s="652">
        <f t="shared" si="219"/>
        <v>0</v>
      </c>
      <c r="P299" s="652">
        <f t="shared" si="220"/>
        <v>0</v>
      </c>
      <c r="Q299" s="652">
        <f t="shared" si="221"/>
        <v>0</v>
      </c>
      <c r="R299" s="651">
        <f t="array" ref="R299">IFERROR(INDEX('HIV-Other HPs'!$Q$14:$Q$40,MATCH($E299&amp;$F299,'HIV-Other HPs'!$E$14:$E$40&amp;'HIV-Other HPs'!$I$14:$I$40,0)),0)</f>
        <v>0</v>
      </c>
      <c r="S299" s="652">
        <f t="shared" si="222"/>
        <v>0</v>
      </c>
      <c r="T299" s="652">
        <f t="shared" si="223"/>
        <v>0</v>
      </c>
      <c r="U299" s="652">
        <f t="shared" si="224"/>
        <v>0</v>
      </c>
      <c r="V299" s="651">
        <f t="array" ref="V299">IFERROR(INDEX('HIV-Other HPs'!$R$14:$R$40,MATCH($E299&amp;$F299,'HIV-Other HPs'!$E$14:$E$40&amp;'HIV-Other HPs'!$I$14:$I$40,0)),0)</f>
        <v>0</v>
      </c>
      <c r="W299" s="652">
        <f t="shared" si="225"/>
        <v>0</v>
      </c>
      <c r="X299" s="652">
        <f t="shared" si="226"/>
        <v>0</v>
      </c>
      <c r="Y299" s="652">
        <f t="shared" si="227"/>
        <v>0</v>
      </c>
      <c r="Z299" s="664"/>
      <c r="AA299" s="651">
        <f t="array" ref="AA299">IFERROR(INDEX('HIV-Other HPs'!$U$14:$U$40,MATCH($E299&amp;$F299,'HIV-Other HPs'!$E$14:$E$40&amp;'HIV-Other HPs'!$I$14:$I$40,0)),0)</f>
        <v>0</v>
      </c>
      <c r="AB299" s="651">
        <f t="array" ref="AB299">IFERROR(INDEX('HIV-Other HPs'!$V$14:$V$40,MATCH($E299&amp;$F299,'HIV-Other HPs'!$E$14:$E$40&amp;'HIV-Other HPs'!$I$14:$I$40,0)),0)</f>
        <v>0</v>
      </c>
      <c r="AC299" s="651">
        <f t="shared" si="228"/>
        <v>0</v>
      </c>
      <c r="AD299" s="652">
        <f t="shared" si="229"/>
        <v>0</v>
      </c>
      <c r="AE299" s="652">
        <f t="shared" si="230"/>
        <v>0</v>
      </c>
      <c r="AF299" s="651">
        <f t="array" ref="AF299">IFERROR(INDEX('HIV-Other HPs'!$W$14:$W$40,MATCH($E299&amp;$F299,'HIV-Other HPs'!$E$14:$E$40&amp;'HIV-Other HPs'!$I$14:$I$40,0)),0)</f>
        <v>0</v>
      </c>
      <c r="AG299" s="651">
        <f t="shared" si="231"/>
        <v>0</v>
      </c>
      <c r="AH299" s="652">
        <f t="shared" si="232"/>
        <v>0</v>
      </c>
      <c r="AI299" s="652">
        <f t="shared" si="233"/>
        <v>0</v>
      </c>
      <c r="AJ299" s="651">
        <f t="array" ref="AJ299">IFERROR(INDEX('HIV-Other HPs'!$X$14:$X$40,MATCH($E299&amp;$F299,'HIV-Other HPs'!$E$14:$E$40&amp;'HIV-Other HPs'!$I$14:$I$40,0)),0)</f>
        <v>0</v>
      </c>
      <c r="AK299" s="651">
        <f t="shared" si="234"/>
        <v>0</v>
      </c>
      <c r="AL299" s="652">
        <f t="shared" si="235"/>
        <v>0</v>
      </c>
      <c r="AM299" s="652">
        <f t="shared" si="236"/>
        <v>0</v>
      </c>
      <c r="AN299" s="651">
        <f t="array" ref="AN299">IFERROR(INDEX('HIV-Other HPs'!$Y$14:$Y$40,MATCH($E299&amp;$F299,'HIV-Other HPs'!$E$14:$E$40&amp;'HIV-Other HPs'!$I$14:$I$40,0)),0)</f>
        <v>0</v>
      </c>
      <c r="AO299" s="651">
        <f t="shared" si="237"/>
        <v>0</v>
      </c>
      <c r="AP299" s="652">
        <f t="shared" si="238"/>
        <v>0</v>
      </c>
      <c r="AQ299" s="652">
        <f t="shared" si="239"/>
        <v>0</v>
      </c>
      <c r="AR299" s="664"/>
      <c r="AS299" s="651">
        <f t="array" ref="AS299">IFERROR(INDEX('HIV-Other HPs'!$AB$14:$AB$40,MATCH($E299&amp;$F299,'HIV-Other HPs'!$E$14:$E$40&amp;'HIV-Other HPs'!$I$14:$I$40,0)),0)</f>
        <v>0</v>
      </c>
      <c r="AT299" s="651">
        <f t="array" ref="AT299">IFERROR(INDEX('HIV-Other HPs'!$AC$14:$AC$40,MATCH($E299&amp;$F299,'HIV-Other HPs'!$E$14:$E$40&amp;'HIV-Other HPs'!$I$14:$I$40,0)),0)</f>
        <v>0</v>
      </c>
      <c r="AU299" s="651">
        <f t="shared" si="240"/>
        <v>0</v>
      </c>
      <c r="AV299" s="652">
        <f t="shared" si="241"/>
        <v>0</v>
      </c>
      <c r="AW299" s="652">
        <f t="shared" si="242"/>
        <v>0</v>
      </c>
      <c r="AX299" s="651">
        <f t="array" ref="AX299">IFERROR(INDEX('HIV-Other HPs'!$AD$14:$AD$40,MATCH($E299&amp;$F299,'HIV-Other HPs'!$E$14:$E$40&amp;'HIV-Other HPs'!$I$14:$I$40,0)),0)</f>
        <v>0</v>
      </c>
      <c r="AY299" s="651">
        <f t="shared" si="243"/>
        <v>0</v>
      </c>
      <c r="AZ299" s="652">
        <f t="shared" si="244"/>
        <v>0</v>
      </c>
      <c r="BA299" s="652">
        <f t="shared" si="245"/>
        <v>0</v>
      </c>
      <c r="BB299" s="651">
        <f t="array" ref="BB299">IFERROR(INDEX('HIV-Other HPs'!$AE$14:$AE$40,MATCH($E299&amp;$F299,'HIV-Other HPs'!$E$14:$E$40&amp;'HIV-Other HPs'!$I$14:$I$40,0)),0)</f>
        <v>0</v>
      </c>
      <c r="BC299" s="651">
        <f t="shared" si="246"/>
        <v>0</v>
      </c>
      <c r="BD299" s="652">
        <f t="shared" si="247"/>
        <v>0</v>
      </c>
      <c r="BE299" s="652">
        <f t="shared" si="248"/>
        <v>0</v>
      </c>
      <c r="BF299" s="651">
        <f t="array" ref="BF299">IFERROR(INDEX('HIV-Other HPs'!$AF$14:$AF$40,MATCH($E299&amp;$F299,'HIV-Other HPs'!$E$14:$E$40&amp;'HIV-Other HPs'!$I$14:$I$40,0)),0)</f>
        <v>0</v>
      </c>
      <c r="BG299" s="651">
        <f t="shared" si="249"/>
        <v>0</v>
      </c>
      <c r="BH299" s="652">
        <f t="shared" si="250"/>
        <v>0</v>
      </c>
      <c r="BI299" s="652">
        <f t="shared" si="251"/>
        <v>0</v>
      </c>
      <c r="BJ299" s="662"/>
      <c r="BK299" s="663"/>
      <c r="BL299" s="663"/>
      <c r="BM299" s="663"/>
      <c r="BN299" s="663"/>
      <c r="BO299" s="663"/>
      <c r="BP299" s="663"/>
      <c r="BQ299" s="663"/>
      <c r="BR299" s="663"/>
    </row>
    <row r="300" spans="1:70">
      <c r="A300" s="655" t="s">
        <v>822</v>
      </c>
      <c r="B300" s="655" t="s">
        <v>2284</v>
      </c>
      <c r="C300" s="648">
        <f>SETUP!$F$27</f>
        <v>0</v>
      </c>
      <c r="D300" s="654">
        <v>5.2</v>
      </c>
      <c r="E300" s="663" t="s">
        <v>208</v>
      </c>
      <c r="F300" s="663" t="s">
        <v>1695</v>
      </c>
      <c r="G300" s="650" t="str">
        <f t="array" ref="G300">IFERROR(INDEX('HIV-Other HPs'!$L$14:$L$40,MATCH($E300&amp;$F300,'HIV-Other HPs'!$E$14:$E$40&amp;'HIV-Other HPs'!$I$14:$I$40,0)),"")</f>
        <v/>
      </c>
      <c r="H300" s="650" t="str">
        <f t="array" ref="H300">IFERROR(INDEX('HIV-Other HPs'!$M$14:$M$40,MATCH($E300&amp;$F300,'HIV-Other HPs'!$E$14:$E$40&amp;'HIV-Other HPs'!$I$14:$I$40,0)),"")</f>
        <v/>
      </c>
      <c r="I300" s="651">
        <f t="array" ref="I300">IFERROR(INDEX('HIV-Other HPs'!$N$14:$N$40,MATCH($E300&amp;$F300,'HIV-Other HPs'!$E$14:$E$40&amp;'HIV-Other HPs'!$I$14:$I$40,0)),0)</f>
        <v>0</v>
      </c>
      <c r="J300" s="651">
        <f t="array" ref="J300">IFERROR(INDEX('HIV-Other HPs'!$O$14:$O$40,MATCH($E300&amp;$F300,'HIV-Other HPs'!$E$14:$E$40&amp;'HIV-Other HPs'!$I$14:$I$40,0)),0)</f>
        <v>0</v>
      </c>
      <c r="K300" s="652">
        <f t="shared" si="216"/>
        <v>0</v>
      </c>
      <c r="L300" s="652">
        <f t="shared" si="217"/>
        <v>0</v>
      </c>
      <c r="M300" s="652">
        <f t="shared" si="218"/>
        <v>0</v>
      </c>
      <c r="N300" s="651">
        <f t="array" ref="N300">IFERROR(INDEX('HIV-Other HPs'!$P$14:$P$40,MATCH($E300&amp;$F300,'HIV-Other HPs'!$E$14:$E$40&amp;'HIV-Other HPs'!$I$14:$I$40,0)),0)</f>
        <v>0</v>
      </c>
      <c r="O300" s="652">
        <f t="shared" si="219"/>
        <v>0</v>
      </c>
      <c r="P300" s="652">
        <f t="shared" si="220"/>
        <v>0</v>
      </c>
      <c r="Q300" s="652">
        <f t="shared" si="221"/>
        <v>0</v>
      </c>
      <c r="R300" s="651">
        <f t="array" ref="R300">IFERROR(INDEX('HIV-Other HPs'!$Q$14:$Q$40,MATCH($E300&amp;$F300,'HIV-Other HPs'!$E$14:$E$40&amp;'HIV-Other HPs'!$I$14:$I$40,0)),0)</f>
        <v>0</v>
      </c>
      <c r="S300" s="652">
        <f t="shared" si="222"/>
        <v>0</v>
      </c>
      <c r="T300" s="652">
        <f t="shared" si="223"/>
        <v>0</v>
      </c>
      <c r="U300" s="652">
        <f t="shared" si="224"/>
        <v>0</v>
      </c>
      <c r="V300" s="651">
        <f t="array" ref="V300">IFERROR(INDEX('HIV-Other HPs'!$R$14:$R$40,MATCH($E300&amp;$F300,'HIV-Other HPs'!$E$14:$E$40&amp;'HIV-Other HPs'!$I$14:$I$40,0)),0)</f>
        <v>0</v>
      </c>
      <c r="W300" s="652">
        <f t="shared" si="225"/>
        <v>0</v>
      </c>
      <c r="X300" s="652">
        <f t="shared" si="226"/>
        <v>0</v>
      </c>
      <c r="Y300" s="652">
        <f t="shared" si="227"/>
        <v>0</v>
      </c>
      <c r="Z300" s="664"/>
      <c r="AA300" s="651">
        <f t="array" ref="AA300">IFERROR(INDEX('HIV-Other HPs'!$U$14:$U$40,MATCH($E300&amp;$F300,'HIV-Other HPs'!$E$14:$E$40&amp;'HIV-Other HPs'!$I$14:$I$40,0)),0)</f>
        <v>0</v>
      </c>
      <c r="AB300" s="651">
        <f t="array" ref="AB300">IFERROR(INDEX('HIV-Other HPs'!$V$14:$V$40,MATCH($E300&amp;$F300,'HIV-Other HPs'!$E$14:$E$40&amp;'HIV-Other HPs'!$I$14:$I$40,0)),0)</f>
        <v>0</v>
      </c>
      <c r="AC300" s="651">
        <f t="shared" si="228"/>
        <v>0</v>
      </c>
      <c r="AD300" s="652">
        <f t="shared" si="229"/>
        <v>0</v>
      </c>
      <c r="AE300" s="652">
        <f t="shared" si="230"/>
        <v>0</v>
      </c>
      <c r="AF300" s="651">
        <f t="array" ref="AF300">IFERROR(INDEX('HIV-Other HPs'!$W$14:$W$40,MATCH($E300&amp;$F300,'HIV-Other HPs'!$E$14:$E$40&amp;'HIV-Other HPs'!$I$14:$I$40,0)),0)</f>
        <v>0</v>
      </c>
      <c r="AG300" s="651">
        <f t="shared" si="231"/>
        <v>0</v>
      </c>
      <c r="AH300" s="652">
        <f t="shared" si="232"/>
        <v>0</v>
      </c>
      <c r="AI300" s="652">
        <f t="shared" si="233"/>
        <v>0</v>
      </c>
      <c r="AJ300" s="651">
        <f t="array" ref="AJ300">IFERROR(INDEX('HIV-Other HPs'!$X$14:$X$40,MATCH($E300&amp;$F300,'HIV-Other HPs'!$E$14:$E$40&amp;'HIV-Other HPs'!$I$14:$I$40,0)),0)</f>
        <v>0</v>
      </c>
      <c r="AK300" s="651">
        <f t="shared" si="234"/>
        <v>0</v>
      </c>
      <c r="AL300" s="652">
        <f t="shared" si="235"/>
        <v>0</v>
      </c>
      <c r="AM300" s="652">
        <f t="shared" si="236"/>
        <v>0</v>
      </c>
      <c r="AN300" s="651">
        <f t="array" ref="AN300">IFERROR(INDEX('HIV-Other HPs'!$Y$14:$Y$40,MATCH($E300&amp;$F300,'HIV-Other HPs'!$E$14:$E$40&amp;'HIV-Other HPs'!$I$14:$I$40,0)),0)</f>
        <v>0</v>
      </c>
      <c r="AO300" s="651">
        <f t="shared" si="237"/>
        <v>0</v>
      </c>
      <c r="AP300" s="652">
        <f t="shared" si="238"/>
        <v>0</v>
      </c>
      <c r="AQ300" s="652">
        <f t="shared" si="239"/>
        <v>0</v>
      </c>
      <c r="AR300" s="664"/>
      <c r="AS300" s="651">
        <f t="array" ref="AS300">IFERROR(INDEX('HIV-Other HPs'!$AB$14:$AB$40,MATCH($E300&amp;$F300,'HIV-Other HPs'!$E$14:$E$40&amp;'HIV-Other HPs'!$I$14:$I$40,0)),0)</f>
        <v>0</v>
      </c>
      <c r="AT300" s="651">
        <f t="array" ref="AT300">IFERROR(INDEX('HIV-Other HPs'!$AC$14:$AC$40,MATCH($E300&amp;$F300,'HIV-Other HPs'!$E$14:$E$40&amp;'HIV-Other HPs'!$I$14:$I$40,0)),0)</f>
        <v>0</v>
      </c>
      <c r="AU300" s="651">
        <f t="shared" si="240"/>
        <v>0</v>
      </c>
      <c r="AV300" s="652">
        <f t="shared" si="241"/>
        <v>0</v>
      </c>
      <c r="AW300" s="652">
        <f t="shared" si="242"/>
        <v>0</v>
      </c>
      <c r="AX300" s="651">
        <f t="array" ref="AX300">IFERROR(INDEX('HIV-Other HPs'!$AD$14:$AD$40,MATCH($E300&amp;$F300,'HIV-Other HPs'!$E$14:$E$40&amp;'HIV-Other HPs'!$I$14:$I$40,0)),0)</f>
        <v>0</v>
      </c>
      <c r="AY300" s="651">
        <f t="shared" si="243"/>
        <v>0</v>
      </c>
      <c r="AZ300" s="652">
        <f t="shared" si="244"/>
        <v>0</v>
      </c>
      <c r="BA300" s="652">
        <f t="shared" si="245"/>
        <v>0</v>
      </c>
      <c r="BB300" s="651">
        <f t="array" ref="BB300">IFERROR(INDEX('HIV-Other HPs'!$AE$14:$AE$40,MATCH($E300&amp;$F300,'HIV-Other HPs'!$E$14:$E$40&amp;'HIV-Other HPs'!$I$14:$I$40,0)),0)</f>
        <v>0</v>
      </c>
      <c r="BC300" s="651">
        <f t="shared" si="246"/>
        <v>0</v>
      </c>
      <c r="BD300" s="652">
        <f t="shared" si="247"/>
        <v>0</v>
      </c>
      <c r="BE300" s="652">
        <f t="shared" si="248"/>
        <v>0</v>
      </c>
      <c r="BF300" s="651">
        <f t="array" ref="BF300">IFERROR(INDEX('HIV-Other HPs'!$AF$14:$AF$40,MATCH($E300&amp;$F300,'HIV-Other HPs'!$E$14:$E$40&amp;'HIV-Other HPs'!$I$14:$I$40,0)),0)</f>
        <v>0</v>
      </c>
      <c r="BG300" s="651">
        <f t="shared" si="249"/>
        <v>0</v>
      </c>
      <c r="BH300" s="652">
        <f t="shared" si="250"/>
        <v>0</v>
      </c>
      <c r="BI300" s="652">
        <f t="shared" si="251"/>
        <v>0</v>
      </c>
      <c r="BJ300" s="662"/>
      <c r="BK300" s="663"/>
      <c r="BL300" s="663"/>
      <c r="BM300" s="663"/>
      <c r="BN300" s="663"/>
      <c r="BO300" s="663"/>
      <c r="BP300" s="663"/>
      <c r="BQ300" s="663"/>
      <c r="BR300" s="663"/>
    </row>
    <row r="301" spans="1:70">
      <c r="A301" s="655" t="s">
        <v>822</v>
      </c>
      <c r="B301" s="655" t="s">
        <v>2284</v>
      </c>
      <c r="C301" s="648">
        <f>SETUP!$F$27</f>
        <v>0</v>
      </c>
      <c r="D301" s="654">
        <v>5.2</v>
      </c>
      <c r="E301" s="663" t="s">
        <v>208</v>
      </c>
      <c r="F301" s="663" t="s">
        <v>1696</v>
      </c>
      <c r="G301" s="650" t="str">
        <f t="array" ref="G301">IFERROR(INDEX('HIV-Other HPs'!$L$14:$L$40,MATCH($E301&amp;$F301,'HIV-Other HPs'!$E$14:$E$40&amp;'HIV-Other HPs'!$I$14:$I$40,0)),"")</f>
        <v/>
      </c>
      <c r="H301" s="650" t="str">
        <f t="array" ref="H301">IFERROR(INDEX('HIV-Other HPs'!$M$14:$M$40,MATCH($E301&amp;$F301,'HIV-Other HPs'!$E$14:$E$40&amp;'HIV-Other HPs'!$I$14:$I$40,0)),"")</f>
        <v/>
      </c>
      <c r="I301" s="651">
        <f t="array" ref="I301">IFERROR(INDEX('HIV-Other HPs'!$N$14:$N$40,MATCH($E301&amp;$F301,'HIV-Other HPs'!$E$14:$E$40&amp;'HIV-Other HPs'!$I$14:$I$40,0)),0)</f>
        <v>0</v>
      </c>
      <c r="J301" s="651">
        <f t="array" ref="J301">IFERROR(INDEX('HIV-Other HPs'!$O$14:$O$40,MATCH($E301&amp;$F301,'HIV-Other HPs'!$E$14:$E$40&amp;'HIV-Other HPs'!$I$14:$I$40,0)),0)</f>
        <v>0</v>
      </c>
      <c r="K301" s="652">
        <f t="shared" si="216"/>
        <v>0</v>
      </c>
      <c r="L301" s="652">
        <f t="shared" si="217"/>
        <v>0</v>
      </c>
      <c r="M301" s="652">
        <f t="shared" si="218"/>
        <v>0</v>
      </c>
      <c r="N301" s="651">
        <f t="array" ref="N301">IFERROR(INDEX('HIV-Other HPs'!$P$14:$P$40,MATCH($E301&amp;$F301,'HIV-Other HPs'!$E$14:$E$40&amp;'HIV-Other HPs'!$I$14:$I$40,0)),0)</f>
        <v>0</v>
      </c>
      <c r="O301" s="652">
        <f t="shared" si="219"/>
        <v>0</v>
      </c>
      <c r="P301" s="652">
        <f t="shared" si="220"/>
        <v>0</v>
      </c>
      <c r="Q301" s="652">
        <f t="shared" si="221"/>
        <v>0</v>
      </c>
      <c r="R301" s="651">
        <f t="array" ref="R301">IFERROR(INDEX('HIV-Other HPs'!$Q$14:$Q$40,MATCH($E301&amp;$F301,'HIV-Other HPs'!$E$14:$E$40&amp;'HIV-Other HPs'!$I$14:$I$40,0)),0)</f>
        <v>0</v>
      </c>
      <c r="S301" s="652">
        <f t="shared" si="222"/>
        <v>0</v>
      </c>
      <c r="T301" s="652">
        <f t="shared" si="223"/>
        <v>0</v>
      </c>
      <c r="U301" s="652">
        <f t="shared" si="224"/>
        <v>0</v>
      </c>
      <c r="V301" s="651">
        <f t="array" ref="V301">IFERROR(INDEX('HIV-Other HPs'!$R$14:$R$40,MATCH($E301&amp;$F301,'HIV-Other HPs'!$E$14:$E$40&amp;'HIV-Other HPs'!$I$14:$I$40,0)),0)</f>
        <v>0</v>
      </c>
      <c r="W301" s="652">
        <f t="shared" si="225"/>
        <v>0</v>
      </c>
      <c r="X301" s="652">
        <f t="shared" si="226"/>
        <v>0</v>
      </c>
      <c r="Y301" s="652">
        <f t="shared" si="227"/>
        <v>0</v>
      </c>
      <c r="Z301" s="664"/>
      <c r="AA301" s="651">
        <f t="array" ref="AA301">IFERROR(INDEX('HIV-Other HPs'!$U$14:$U$40,MATCH($E301&amp;$F301,'HIV-Other HPs'!$E$14:$E$40&amp;'HIV-Other HPs'!$I$14:$I$40,0)),0)</f>
        <v>0</v>
      </c>
      <c r="AB301" s="651">
        <f t="array" ref="AB301">IFERROR(INDEX('HIV-Other HPs'!$V$14:$V$40,MATCH($E301&amp;$F301,'HIV-Other HPs'!$E$14:$E$40&amp;'HIV-Other HPs'!$I$14:$I$40,0)),0)</f>
        <v>0</v>
      </c>
      <c r="AC301" s="651">
        <f t="shared" si="228"/>
        <v>0</v>
      </c>
      <c r="AD301" s="652">
        <f t="shared" si="229"/>
        <v>0</v>
      </c>
      <c r="AE301" s="652">
        <f t="shared" si="230"/>
        <v>0</v>
      </c>
      <c r="AF301" s="651">
        <f t="array" ref="AF301">IFERROR(INDEX('HIV-Other HPs'!$W$14:$W$40,MATCH($E301&amp;$F301,'HIV-Other HPs'!$E$14:$E$40&amp;'HIV-Other HPs'!$I$14:$I$40,0)),0)</f>
        <v>0</v>
      </c>
      <c r="AG301" s="651">
        <f t="shared" si="231"/>
        <v>0</v>
      </c>
      <c r="AH301" s="652">
        <f t="shared" si="232"/>
        <v>0</v>
      </c>
      <c r="AI301" s="652">
        <f t="shared" si="233"/>
        <v>0</v>
      </c>
      <c r="AJ301" s="651">
        <f t="array" ref="AJ301">IFERROR(INDEX('HIV-Other HPs'!$X$14:$X$40,MATCH($E301&amp;$F301,'HIV-Other HPs'!$E$14:$E$40&amp;'HIV-Other HPs'!$I$14:$I$40,0)),0)</f>
        <v>0</v>
      </c>
      <c r="AK301" s="651">
        <f t="shared" si="234"/>
        <v>0</v>
      </c>
      <c r="AL301" s="652">
        <f t="shared" si="235"/>
        <v>0</v>
      </c>
      <c r="AM301" s="652">
        <f t="shared" si="236"/>
        <v>0</v>
      </c>
      <c r="AN301" s="651">
        <f t="array" ref="AN301">IFERROR(INDEX('HIV-Other HPs'!$Y$14:$Y$40,MATCH($E301&amp;$F301,'HIV-Other HPs'!$E$14:$E$40&amp;'HIV-Other HPs'!$I$14:$I$40,0)),0)</f>
        <v>0</v>
      </c>
      <c r="AO301" s="651">
        <f t="shared" si="237"/>
        <v>0</v>
      </c>
      <c r="AP301" s="652">
        <f t="shared" si="238"/>
        <v>0</v>
      </c>
      <c r="AQ301" s="652">
        <f t="shared" si="239"/>
        <v>0</v>
      </c>
      <c r="AR301" s="664"/>
      <c r="AS301" s="651">
        <f t="array" ref="AS301">IFERROR(INDEX('HIV-Other HPs'!$AB$14:$AB$40,MATCH($E301&amp;$F301,'HIV-Other HPs'!$E$14:$E$40&amp;'HIV-Other HPs'!$I$14:$I$40,0)),0)</f>
        <v>0</v>
      </c>
      <c r="AT301" s="651">
        <f t="array" ref="AT301">IFERROR(INDEX('HIV-Other HPs'!$AC$14:$AC$40,MATCH($E301&amp;$F301,'HIV-Other HPs'!$E$14:$E$40&amp;'HIV-Other HPs'!$I$14:$I$40,0)),0)</f>
        <v>0</v>
      </c>
      <c r="AU301" s="651">
        <f t="shared" si="240"/>
        <v>0</v>
      </c>
      <c r="AV301" s="652">
        <f t="shared" si="241"/>
        <v>0</v>
      </c>
      <c r="AW301" s="652">
        <f t="shared" si="242"/>
        <v>0</v>
      </c>
      <c r="AX301" s="651">
        <f t="array" ref="AX301">IFERROR(INDEX('HIV-Other HPs'!$AD$14:$AD$40,MATCH($E301&amp;$F301,'HIV-Other HPs'!$E$14:$E$40&amp;'HIV-Other HPs'!$I$14:$I$40,0)),0)</f>
        <v>0</v>
      </c>
      <c r="AY301" s="651">
        <f t="shared" si="243"/>
        <v>0</v>
      </c>
      <c r="AZ301" s="652">
        <f t="shared" si="244"/>
        <v>0</v>
      </c>
      <c r="BA301" s="652">
        <f t="shared" si="245"/>
        <v>0</v>
      </c>
      <c r="BB301" s="651">
        <f t="array" ref="BB301">IFERROR(INDEX('HIV-Other HPs'!$AE$14:$AE$40,MATCH($E301&amp;$F301,'HIV-Other HPs'!$E$14:$E$40&amp;'HIV-Other HPs'!$I$14:$I$40,0)),0)</f>
        <v>0</v>
      </c>
      <c r="BC301" s="651">
        <f t="shared" si="246"/>
        <v>0</v>
      </c>
      <c r="BD301" s="652">
        <f t="shared" si="247"/>
        <v>0</v>
      </c>
      <c r="BE301" s="652">
        <f t="shared" si="248"/>
        <v>0</v>
      </c>
      <c r="BF301" s="651">
        <f t="array" ref="BF301">IFERROR(INDEX('HIV-Other HPs'!$AF$14:$AF$40,MATCH($E301&amp;$F301,'HIV-Other HPs'!$E$14:$E$40&amp;'HIV-Other HPs'!$I$14:$I$40,0)),0)</f>
        <v>0</v>
      </c>
      <c r="BG301" s="651">
        <f t="shared" si="249"/>
        <v>0</v>
      </c>
      <c r="BH301" s="652">
        <f t="shared" si="250"/>
        <v>0</v>
      </c>
      <c r="BI301" s="652">
        <f t="shared" si="251"/>
        <v>0</v>
      </c>
      <c r="BJ301" s="662"/>
      <c r="BK301" s="663"/>
      <c r="BL301" s="663"/>
      <c r="BM301" s="663"/>
      <c r="BN301" s="663"/>
      <c r="BO301" s="663"/>
      <c r="BP301" s="663"/>
      <c r="BQ301" s="663"/>
      <c r="BR301" s="663"/>
    </row>
    <row r="302" spans="1:70">
      <c r="A302" s="655" t="s">
        <v>822</v>
      </c>
      <c r="B302" s="655" t="s">
        <v>2284</v>
      </c>
      <c r="C302" s="648">
        <f>SETUP!$F$27</f>
        <v>0</v>
      </c>
      <c r="D302" s="654">
        <v>5.2</v>
      </c>
      <c r="E302" s="663" t="s">
        <v>208</v>
      </c>
      <c r="F302" s="663" t="s">
        <v>1697</v>
      </c>
      <c r="G302" s="650" t="str">
        <f t="array" ref="G302">IFERROR(INDEX('HIV-Other HPs'!$L$14:$L$40,MATCH($E302&amp;$F302,'HIV-Other HPs'!$E$14:$E$40&amp;'HIV-Other HPs'!$I$14:$I$40,0)),"")</f>
        <v/>
      </c>
      <c r="H302" s="650" t="str">
        <f t="array" ref="H302">IFERROR(INDEX('HIV-Other HPs'!$M$14:$M$40,MATCH($E302&amp;$F302,'HIV-Other HPs'!$E$14:$E$40&amp;'HIV-Other HPs'!$I$14:$I$40,0)),"")</f>
        <v/>
      </c>
      <c r="I302" s="651">
        <f t="array" ref="I302">IFERROR(INDEX('HIV-Other HPs'!$N$14:$N$40,MATCH($E302&amp;$F302,'HIV-Other HPs'!$E$14:$E$40&amp;'HIV-Other HPs'!$I$14:$I$40,0)),0)</f>
        <v>0</v>
      </c>
      <c r="J302" s="651">
        <f t="array" ref="J302">IFERROR(INDEX('HIV-Other HPs'!$O$14:$O$40,MATCH($E302&amp;$F302,'HIV-Other HPs'!$E$14:$E$40&amp;'HIV-Other HPs'!$I$14:$I$40,0)),0)</f>
        <v>0</v>
      </c>
      <c r="K302" s="652">
        <f t="shared" si="216"/>
        <v>0</v>
      </c>
      <c r="L302" s="652">
        <f t="shared" si="217"/>
        <v>0</v>
      </c>
      <c r="M302" s="652">
        <f t="shared" si="218"/>
        <v>0</v>
      </c>
      <c r="N302" s="651">
        <f t="array" ref="N302">IFERROR(INDEX('HIV-Other HPs'!$P$14:$P$40,MATCH($E302&amp;$F302,'HIV-Other HPs'!$E$14:$E$40&amp;'HIV-Other HPs'!$I$14:$I$40,0)),0)</f>
        <v>0</v>
      </c>
      <c r="O302" s="652">
        <f t="shared" si="219"/>
        <v>0</v>
      </c>
      <c r="P302" s="652">
        <f t="shared" si="220"/>
        <v>0</v>
      </c>
      <c r="Q302" s="652">
        <f t="shared" si="221"/>
        <v>0</v>
      </c>
      <c r="R302" s="651">
        <f t="array" ref="R302">IFERROR(INDEX('HIV-Other HPs'!$Q$14:$Q$40,MATCH($E302&amp;$F302,'HIV-Other HPs'!$E$14:$E$40&amp;'HIV-Other HPs'!$I$14:$I$40,0)),0)</f>
        <v>0</v>
      </c>
      <c r="S302" s="652">
        <f t="shared" si="222"/>
        <v>0</v>
      </c>
      <c r="T302" s="652">
        <f t="shared" si="223"/>
        <v>0</v>
      </c>
      <c r="U302" s="652">
        <f t="shared" si="224"/>
        <v>0</v>
      </c>
      <c r="V302" s="651">
        <f t="array" ref="V302">IFERROR(INDEX('HIV-Other HPs'!$R$14:$R$40,MATCH($E302&amp;$F302,'HIV-Other HPs'!$E$14:$E$40&amp;'HIV-Other HPs'!$I$14:$I$40,0)),0)</f>
        <v>0</v>
      </c>
      <c r="W302" s="652">
        <f t="shared" si="225"/>
        <v>0</v>
      </c>
      <c r="X302" s="652">
        <f t="shared" si="226"/>
        <v>0</v>
      </c>
      <c r="Y302" s="652">
        <f t="shared" si="227"/>
        <v>0</v>
      </c>
      <c r="Z302" s="664"/>
      <c r="AA302" s="651">
        <f t="array" ref="AA302">IFERROR(INDEX('HIV-Other HPs'!$U$14:$U$40,MATCH($E302&amp;$F302,'HIV-Other HPs'!$E$14:$E$40&amp;'HIV-Other HPs'!$I$14:$I$40,0)),0)</f>
        <v>0</v>
      </c>
      <c r="AB302" s="651">
        <f t="array" ref="AB302">IFERROR(INDEX('HIV-Other HPs'!$V$14:$V$40,MATCH($E302&amp;$F302,'HIV-Other HPs'!$E$14:$E$40&amp;'HIV-Other HPs'!$I$14:$I$40,0)),0)</f>
        <v>0</v>
      </c>
      <c r="AC302" s="651">
        <f t="shared" si="228"/>
        <v>0</v>
      </c>
      <c r="AD302" s="652">
        <f t="shared" si="229"/>
        <v>0</v>
      </c>
      <c r="AE302" s="652">
        <f t="shared" si="230"/>
        <v>0</v>
      </c>
      <c r="AF302" s="651">
        <f t="array" ref="AF302">IFERROR(INDEX('HIV-Other HPs'!$W$14:$W$40,MATCH($E302&amp;$F302,'HIV-Other HPs'!$E$14:$E$40&amp;'HIV-Other HPs'!$I$14:$I$40,0)),0)</f>
        <v>0</v>
      </c>
      <c r="AG302" s="651">
        <f t="shared" si="231"/>
        <v>0</v>
      </c>
      <c r="AH302" s="652">
        <f t="shared" si="232"/>
        <v>0</v>
      </c>
      <c r="AI302" s="652">
        <f t="shared" si="233"/>
        <v>0</v>
      </c>
      <c r="AJ302" s="651">
        <f t="array" ref="AJ302">IFERROR(INDEX('HIV-Other HPs'!$X$14:$X$40,MATCH($E302&amp;$F302,'HIV-Other HPs'!$E$14:$E$40&amp;'HIV-Other HPs'!$I$14:$I$40,0)),0)</f>
        <v>0</v>
      </c>
      <c r="AK302" s="651">
        <f t="shared" si="234"/>
        <v>0</v>
      </c>
      <c r="AL302" s="652">
        <f t="shared" si="235"/>
        <v>0</v>
      </c>
      <c r="AM302" s="652">
        <f t="shared" si="236"/>
        <v>0</v>
      </c>
      <c r="AN302" s="651">
        <f t="array" ref="AN302">IFERROR(INDEX('HIV-Other HPs'!$Y$14:$Y$40,MATCH($E302&amp;$F302,'HIV-Other HPs'!$E$14:$E$40&amp;'HIV-Other HPs'!$I$14:$I$40,0)),0)</f>
        <v>0</v>
      </c>
      <c r="AO302" s="651">
        <f t="shared" si="237"/>
        <v>0</v>
      </c>
      <c r="AP302" s="652">
        <f t="shared" si="238"/>
        <v>0</v>
      </c>
      <c r="AQ302" s="652">
        <f t="shared" si="239"/>
        <v>0</v>
      </c>
      <c r="AR302" s="664"/>
      <c r="AS302" s="651">
        <f t="array" ref="AS302">IFERROR(INDEX('HIV-Other HPs'!$AB$14:$AB$40,MATCH($E302&amp;$F302,'HIV-Other HPs'!$E$14:$E$40&amp;'HIV-Other HPs'!$I$14:$I$40,0)),0)</f>
        <v>0</v>
      </c>
      <c r="AT302" s="651">
        <f t="array" ref="AT302">IFERROR(INDEX('HIV-Other HPs'!$AC$14:$AC$40,MATCH($E302&amp;$F302,'HIV-Other HPs'!$E$14:$E$40&amp;'HIV-Other HPs'!$I$14:$I$40,0)),0)</f>
        <v>0</v>
      </c>
      <c r="AU302" s="651">
        <f t="shared" si="240"/>
        <v>0</v>
      </c>
      <c r="AV302" s="652">
        <f t="shared" si="241"/>
        <v>0</v>
      </c>
      <c r="AW302" s="652">
        <f t="shared" si="242"/>
        <v>0</v>
      </c>
      <c r="AX302" s="651">
        <f t="array" ref="AX302">IFERROR(INDEX('HIV-Other HPs'!$AD$14:$AD$40,MATCH($E302&amp;$F302,'HIV-Other HPs'!$E$14:$E$40&amp;'HIV-Other HPs'!$I$14:$I$40,0)),0)</f>
        <v>0</v>
      </c>
      <c r="AY302" s="651">
        <f t="shared" si="243"/>
        <v>0</v>
      </c>
      <c r="AZ302" s="652">
        <f t="shared" si="244"/>
        <v>0</v>
      </c>
      <c r="BA302" s="652">
        <f t="shared" si="245"/>
        <v>0</v>
      </c>
      <c r="BB302" s="651">
        <f t="array" ref="BB302">IFERROR(INDEX('HIV-Other HPs'!$AE$14:$AE$40,MATCH($E302&amp;$F302,'HIV-Other HPs'!$E$14:$E$40&amp;'HIV-Other HPs'!$I$14:$I$40,0)),0)</f>
        <v>0</v>
      </c>
      <c r="BC302" s="651">
        <f t="shared" si="246"/>
        <v>0</v>
      </c>
      <c r="BD302" s="652">
        <f t="shared" si="247"/>
        <v>0</v>
      </c>
      <c r="BE302" s="652">
        <f t="shared" si="248"/>
        <v>0</v>
      </c>
      <c r="BF302" s="651">
        <f t="array" ref="BF302">IFERROR(INDEX('HIV-Other HPs'!$AF$14:$AF$40,MATCH($E302&amp;$F302,'HIV-Other HPs'!$E$14:$E$40&amp;'HIV-Other HPs'!$I$14:$I$40,0)),0)</f>
        <v>0</v>
      </c>
      <c r="BG302" s="651">
        <f t="shared" si="249"/>
        <v>0</v>
      </c>
      <c r="BH302" s="652">
        <f t="shared" si="250"/>
        <v>0</v>
      </c>
      <c r="BI302" s="652">
        <f t="shared" si="251"/>
        <v>0</v>
      </c>
      <c r="BJ302" s="662"/>
      <c r="BK302" s="663"/>
      <c r="BL302" s="663"/>
      <c r="BM302" s="663"/>
      <c r="BN302" s="663"/>
      <c r="BO302" s="663"/>
      <c r="BP302" s="663"/>
      <c r="BQ302" s="663"/>
      <c r="BR302" s="663"/>
    </row>
    <row r="303" spans="1:70">
      <c r="A303" s="655" t="s">
        <v>822</v>
      </c>
      <c r="B303" s="655" t="s">
        <v>2284</v>
      </c>
      <c r="C303" s="648">
        <f>SETUP!$F$27</f>
        <v>0</v>
      </c>
      <c r="D303" s="654">
        <v>5.2</v>
      </c>
      <c r="E303" s="663" t="s">
        <v>208</v>
      </c>
      <c r="F303" s="663" t="s">
        <v>1698</v>
      </c>
      <c r="G303" s="650" t="str">
        <f t="array" ref="G303">IFERROR(INDEX('HIV-Other HPs'!$L$14:$L$40,MATCH($E303&amp;$F303,'HIV-Other HPs'!$E$14:$E$40&amp;'HIV-Other HPs'!$I$14:$I$40,0)),"")</f>
        <v/>
      </c>
      <c r="H303" s="650" t="str">
        <f t="array" ref="H303">IFERROR(INDEX('HIV-Other HPs'!$M$14:$M$40,MATCH($E303&amp;$F303,'HIV-Other HPs'!$E$14:$E$40&amp;'HIV-Other HPs'!$I$14:$I$40,0)),"")</f>
        <v/>
      </c>
      <c r="I303" s="651">
        <f t="array" ref="I303">IFERROR(INDEX('HIV-Other HPs'!$N$14:$N$40,MATCH($E303&amp;$F303,'HIV-Other HPs'!$E$14:$E$40&amp;'HIV-Other HPs'!$I$14:$I$40,0)),0)</f>
        <v>0</v>
      </c>
      <c r="J303" s="651">
        <f t="array" ref="J303">IFERROR(INDEX('HIV-Other HPs'!$O$14:$O$40,MATCH($E303&amp;$F303,'HIV-Other HPs'!$E$14:$E$40&amp;'HIV-Other HPs'!$I$14:$I$40,0)),0)</f>
        <v>0</v>
      </c>
      <c r="K303" s="652">
        <f t="shared" si="216"/>
        <v>0</v>
      </c>
      <c r="L303" s="652">
        <f t="shared" si="217"/>
        <v>0</v>
      </c>
      <c r="M303" s="652">
        <f t="shared" si="218"/>
        <v>0</v>
      </c>
      <c r="N303" s="651">
        <f t="array" ref="N303">IFERROR(INDEX('HIV-Other HPs'!$P$14:$P$40,MATCH($E303&amp;$F303,'HIV-Other HPs'!$E$14:$E$40&amp;'HIV-Other HPs'!$I$14:$I$40,0)),0)</f>
        <v>0</v>
      </c>
      <c r="O303" s="652">
        <f t="shared" si="219"/>
        <v>0</v>
      </c>
      <c r="P303" s="652">
        <f t="shared" si="220"/>
        <v>0</v>
      </c>
      <c r="Q303" s="652">
        <f t="shared" si="221"/>
        <v>0</v>
      </c>
      <c r="R303" s="651">
        <f t="array" ref="R303">IFERROR(INDEX('HIV-Other HPs'!$Q$14:$Q$40,MATCH($E303&amp;$F303,'HIV-Other HPs'!$E$14:$E$40&amp;'HIV-Other HPs'!$I$14:$I$40,0)),0)</f>
        <v>0</v>
      </c>
      <c r="S303" s="652">
        <f t="shared" si="222"/>
        <v>0</v>
      </c>
      <c r="T303" s="652">
        <f t="shared" si="223"/>
        <v>0</v>
      </c>
      <c r="U303" s="652">
        <f t="shared" si="224"/>
        <v>0</v>
      </c>
      <c r="V303" s="651">
        <f t="array" ref="V303">IFERROR(INDEX('HIV-Other HPs'!$R$14:$R$40,MATCH($E303&amp;$F303,'HIV-Other HPs'!$E$14:$E$40&amp;'HIV-Other HPs'!$I$14:$I$40,0)),0)</f>
        <v>0</v>
      </c>
      <c r="W303" s="652">
        <f t="shared" si="225"/>
        <v>0</v>
      </c>
      <c r="X303" s="652">
        <f t="shared" si="226"/>
        <v>0</v>
      </c>
      <c r="Y303" s="652">
        <f t="shared" si="227"/>
        <v>0</v>
      </c>
      <c r="Z303" s="664"/>
      <c r="AA303" s="651">
        <f t="array" ref="AA303">IFERROR(INDEX('HIV-Other HPs'!$U$14:$U$40,MATCH($E303&amp;$F303,'HIV-Other HPs'!$E$14:$E$40&amp;'HIV-Other HPs'!$I$14:$I$40,0)),0)</f>
        <v>0</v>
      </c>
      <c r="AB303" s="651">
        <f t="array" ref="AB303">IFERROR(INDEX('HIV-Other HPs'!$V$14:$V$40,MATCH($E303&amp;$F303,'HIV-Other HPs'!$E$14:$E$40&amp;'HIV-Other HPs'!$I$14:$I$40,0)),0)</f>
        <v>0</v>
      </c>
      <c r="AC303" s="651">
        <f t="shared" si="228"/>
        <v>0</v>
      </c>
      <c r="AD303" s="652">
        <f t="shared" si="229"/>
        <v>0</v>
      </c>
      <c r="AE303" s="652">
        <f t="shared" si="230"/>
        <v>0</v>
      </c>
      <c r="AF303" s="651">
        <f t="array" ref="AF303">IFERROR(INDEX('HIV-Other HPs'!$W$14:$W$40,MATCH($E303&amp;$F303,'HIV-Other HPs'!$E$14:$E$40&amp;'HIV-Other HPs'!$I$14:$I$40,0)),0)</f>
        <v>0</v>
      </c>
      <c r="AG303" s="651">
        <f t="shared" si="231"/>
        <v>0</v>
      </c>
      <c r="AH303" s="652">
        <f t="shared" si="232"/>
        <v>0</v>
      </c>
      <c r="AI303" s="652">
        <f t="shared" si="233"/>
        <v>0</v>
      </c>
      <c r="AJ303" s="651">
        <f t="array" ref="AJ303">IFERROR(INDEX('HIV-Other HPs'!$X$14:$X$40,MATCH($E303&amp;$F303,'HIV-Other HPs'!$E$14:$E$40&amp;'HIV-Other HPs'!$I$14:$I$40,0)),0)</f>
        <v>0</v>
      </c>
      <c r="AK303" s="651">
        <f t="shared" si="234"/>
        <v>0</v>
      </c>
      <c r="AL303" s="652">
        <f t="shared" si="235"/>
        <v>0</v>
      </c>
      <c r="AM303" s="652">
        <f t="shared" si="236"/>
        <v>0</v>
      </c>
      <c r="AN303" s="651">
        <f t="array" ref="AN303">IFERROR(INDEX('HIV-Other HPs'!$Y$14:$Y$40,MATCH($E303&amp;$F303,'HIV-Other HPs'!$E$14:$E$40&amp;'HIV-Other HPs'!$I$14:$I$40,0)),0)</f>
        <v>0</v>
      </c>
      <c r="AO303" s="651">
        <f t="shared" si="237"/>
        <v>0</v>
      </c>
      <c r="AP303" s="652">
        <f t="shared" si="238"/>
        <v>0</v>
      </c>
      <c r="AQ303" s="652">
        <f t="shared" si="239"/>
        <v>0</v>
      </c>
      <c r="AR303" s="664"/>
      <c r="AS303" s="651">
        <f t="array" ref="AS303">IFERROR(INDEX('HIV-Other HPs'!$AB$14:$AB$40,MATCH($E303&amp;$F303,'HIV-Other HPs'!$E$14:$E$40&amp;'HIV-Other HPs'!$I$14:$I$40,0)),0)</f>
        <v>0</v>
      </c>
      <c r="AT303" s="651">
        <f t="array" ref="AT303">IFERROR(INDEX('HIV-Other HPs'!$AC$14:$AC$40,MATCH($E303&amp;$F303,'HIV-Other HPs'!$E$14:$E$40&amp;'HIV-Other HPs'!$I$14:$I$40,0)),0)</f>
        <v>0</v>
      </c>
      <c r="AU303" s="651">
        <f t="shared" si="240"/>
        <v>0</v>
      </c>
      <c r="AV303" s="652">
        <f t="shared" si="241"/>
        <v>0</v>
      </c>
      <c r="AW303" s="652">
        <f t="shared" si="242"/>
        <v>0</v>
      </c>
      <c r="AX303" s="651">
        <f t="array" ref="AX303">IFERROR(INDEX('HIV-Other HPs'!$AD$14:$AD$40,MATCH($E303&amp;$F303,'HIV-Other HPs'!$E$14:$E$40&amp;'HIV-Other HPs'!$I$14:$I$40,0)),0)</f>
        <v>0</v>
      </c>
      <c r="AY303" s="651">
        <f t="shared" si="243"/>
        <v>0</v>
      </c>
      <c r="AZ303" s="652">
        <f t="shared" si="244"/>
        <v>0</v>
      </c>
      <c r="BA303" s="652">
        <f t="shared" si="245"/>
        <v>0</v>
      </c>
      <c r="BB303" s="651">
        <f t="array" ref="BB303">IFERROR(INDEX('HIV-Other HPs'!$AE$14:$AE$40,MATCH($E303&amp;$F303,'HIV-Other HPs'!$E$14:$E$40&amp;'HIV-Other HPs'!$I$14:$I$40,0)),0)</f>
        <v>0</v>
      </c>
      <c r="BC303" s="651">
        <f t="shared" si="246"/>
        <v>0</v>
      </c>
      <c r="BD303" s="652">
        <f t="shared" si="247"/>
        <v>0</v>
      </c>
      <c r="BE303" s="652">
        <f t="shared" si="248"/>
        <v>0</v>
      </c>
      <c r="BF303" s="651">
        <f t="array" ref="BF303">IFERROR(INDEX('HIV-Other HPs'!$AF$14:$AF$40,MATCH($E303&amp;$F303,'HIV-Other HPs'!$E$14:$E$40&amp;'HIV-Other HPs'!$I$14:$I$40,0)),0)</f>
        <v>0</v>
      </c>
      <c r="BG303" s="651">
        <f t="shared" si="249"/>
        <v>0</v>
      </c>
      <c r="BH303" s="652">
        <f t="shared" si="250"/>
        <v>0</v>
      </c>
      <c r="BI303" s="652">
        <f t="shared" si="251"/>
        <v>0</v>
      </c>
      <c r="BJ303" s="662"/>
      <c r="BK303" s="663"/>
      <c r="BL303" s="663"/>
      <c r="BM303" s="663"/>
      <c r="BN303" s="663"/>
      <c r="BO303" s="663"/>
      <c r="BP303" s="663"/>
      <c r="BQ303" s="663"/>
      <c r="BR303" s="663"/>
    </row>
    <row r="304" spans="1:70">
      <c r="A304" s="655" t="s">
        <v>822</v>
      </c>
      <c r="B304" s="655" t="s">
        <v>2284</v>
      </c>
      <c r="C304" s="648">
        <f>SETUP!$F$27</f>
        <v>0</v>
      </c>
      <c r="D304" s="654">
        <v>5.2</v>
      </c>
      <c r="E304" s="663" t="s">
        <v>208</v>
      </c>
      <c r="F304" s="663" t="s">
        <v>1699</v>
      </c>
      <c r="G304" s="650" t="str">
        <f t="array" ref="G304">IFERROR(INDEX('HIV-Other HPs'!$L$14:$L$40,MATCH($E304&amp;$F304,'HIV-Other HPs'!$E$14:$E$40&amp;'HIV-Other HPs'!$I$14:$I$40,0)),"")</f>
        <v/>
      </c>
      <c r="H304" s="650" t="str">
        <f t="array" ref="H304">IFERROR(INDEX('HIV-Other HPs'!$M$14:$M$40,MATCH($E304&amp;$F304,'HIV-Other HPs'!$E$14:$E$40&amp;'HIV-Other HPs'!$I$14:$I$40,0)),"")</f>
        <v/>
      </c>
      <c r="I304" s="651">
        <f t="array" ref="I304">IFERROR(INDEX('HIV-Other HPs'!$N$14:$N$40,MATCH($E304&amp;$F304,'HIV-Other HPs'!$E$14:$E$40&amp;'HIV-Other HPs'!$I$14:$I$40,0)),0)</f>
        <v>0</v>
      </c>
      <c r="J304" s="651">
        <f t="array" ref="J304">IFERROR(INDEX('HIV-Other HPs'!$O$14:$O$40,MATCH($E304&amp;$F304,'HIV-Other HPs'!$E$14:$E$40&amp;'HIV-Other HPs'!$I$14:$I$40,0)),0)</f>
        <v>0</v>
      </c>
      <c r="K304" s="652">
        <f t="shared" si="216"/>
        <v>0</v>
      </c>
      <c r="L304" s="652">
        <f t="shared" si="217"/>
        <v>0</v>
      </c>
      <c r="M304" s="652">
        <f t="shared" si="218"/>
        <v>0</v>
      </c>
      <c r="N304" s="651">
        <f t="array" ref="N304">IFERROR(INDEX('HIV-Other HPs'!$P$14:$P$40,MATCH($E304&amp;$F304,'HIV-Other HPs'!$E$14:$E$40&amp;'HIV-Other HPs'!$I$14:$I$40,0)),0)</f>
        <v>0</v>
      </c>
      <c r="O304" s="652">
        <f t="shared" si="219"/>
        <v>0</v>
      </c>
      <c r="P304" s="652">
        <f t="shared" si="220"/>
        <v>0</v>
      </c>
      <c r="Q304" s="652">
        <f t="shared" si="221"/>
        <v>0</v>
      </c>
      <c r="R304" s="651">
        <f t="array" ref="R304">IFERROR(INDEX('HIV-Other HPs'!$Q$14:$Q$40,MATCH($E304&amp;$F304,'HIV-Other HPs'!$E$14:$E$40&amp;'HIV-Other HPs'!$I$14:$I$40,0)),0)</f>
        <v>0</v>
      </c>
      <c r="S304" s="652">
        <f t="shared" si="222"/>
        <v>0</v>
      </c>
      <c r="T304" s="652">
        <f t="shared" si="223"/>
        <v>0</v>
      </c>
      <c r="U304" s="652">
        <f t="shared" si="224"/>
        <v>0</v>
      </c>
      <c r="V304" s="651">
        <f t="array" ref="V304">IFERROR(INDEX('HIV-Other HPs'!$R$14:$R$40,MATCH($E304&amp;$F304,'HIV-Other HPs'!$E$14:$E$40&amp;'HIV-Other HPs'!$I$14:$I$40,0)),0)</f>
        <v>0</v>
      </c>
      <c r="W304" s="652">
        <f t="shared" si="225"/>
        <v>0</v>
      </c>
      <c r="X304" s="652">
        <f t="shared" si="226"/>
        <v>0</v>
      </c>
      <c r="Y304" s="652">
        <f t="shared" si="227"/>
        <v>0</v>
      </c>
      <c r="Z304" s="664"/>
      <c r="AA304" s="651">
        <f t="array" ref="AA304">IFERROR(INDEX('HIV-Other HPs'!$U$14:$U$40,MATCH($E304&amp;$F304,'HIV-Other HPs'!$E$14:$E$40&amp;'HIV-Other HPs'!$I$14:$I$40,0)),0)</f>
        <v>0</v>
      </c>
      <c r="AB304" s="651">
        <f t="array" ref="AB304">IFERROR(INDEX('HIV-Other HPs'!$V$14:$V$40,MATCH($E304&amp;$F304,'HIV-Other HPs'!$E$14:$E$40&amp;'HIV-Other HPs'!$I$14:$I$40,0)),0)</f>
        <v>0</v>
      </c>
      <c r="AC304" s="651">
        <f t="shared" si="228"/>
        <v>0</v>
      </c>
      <c r="AD304" s="652">
        <f t="shared" si="229"/>
        <v>0</v>
      </c>
      <c r="AE304" s="652">
        <f t="shared" si="230"/>
        <v>0</v>
      </c>
      <c r="AF304" s="651">
        <f t="array" ref="AF304">IFERROR(INDEX('HIV-Other HPs'!$W$14:$W$40,MATCH($E304&amp;$F304,'HIV-Other HPs'!$E$14:$E$40&amp;'HIV-Other HPs'!$I$14:$I$40,0)),0)</f>
        <v>0</v>
      </c>
      <c r="AG304" s="651">
        <f t="shared" si="231"/>
        <v>0</v>
      </c>
      <c r="AH304" s="652">
        <f t="shared" si="232"/>
        <v>0</v>
      </c>
      <c r="AI304" s="652">
        <f t="shared" si="233"/>
        <v>0</v>
      </c>
      <c r="AJ304" s="651">
        <f t="array" ref="AJ304">IFERROR(INDEX('HIV-Other HPs'!$X$14:$X$40,MATCH($E304&amp;$F304,'HIV-Other HPs'!$E$14:$E$40&amp;'HIV-Other HPs'!$I$14:$I$40,0)),0)</f>
        <v>0</v>
      </c>
      <c r="AK304" s="651">
        <f t="shared" si="234"/>
        <v>0</v>
      </c>
      <c r="AL304" s="652">
        <f t="shared" si="235"/>
        <v>0</v>
      </c>
      <c r="AM304" s="652">
        <f t="shared" si="236"/>
        <v>0</v>
      </c>
      <c r="AN304" s="651">
        <f t="array" ref="AN304">IFERROR(INDEX('HIV-Other HPs'!$Y$14:$Y$40,MATCH($E304&amp;$F304,'HIV-Other HPs'!$E$14:$E$40&amp;'HIV-Other HPs'!$I$14:$I$40,0)),0)</f>
        <v>0</v>
      </c>
      <c r="AO304" s="651">
        <f t="shared" si="237"/>
        <v>0</v>
      </c>
      <c r="AP304" s="652">
        <f t="shared" si="238"/>
        <v>0</v>
      </c>
      <c r="AQ304" s="652">
        <f t="shared" si="239"/>
        <v>0</v>
      </c>
      <c r="AR304" s="664"/>
      <c r="AS304" s="651">
        <f t="array" ref="AS304">IFERROR(INDEX('HIV-Other HPs'!$AB$14:$AB$40,MATCH($E304&amp;$F304,'HIV-Other HPs'!$E$14:$E$40&amp;'HIV-Other HPs'!$I$14:$I$40,0)),0)</f>
        <v>0</v>
      </c>
      <c r="AT304" s="651">
        <f t="array" ref="AT304">IFERROR(INDEX('HIV-Other HPs'!$AC$14:$AC$40,MATCH($E304&amp;$F304,'HIV-Other HPs'!$E$14:$E$40&amp;'HIV-Other HPs'!$I$14:$I$40,0)),0)</f>
        <v>0</v>
      </c>
      <c r="AU304" s="651">
        <f t="shared" si="240"/>
        <v>0</v>
      </c>
      <c r="AV304" s="652">
        <f t="shared" si="241"/>
        <v>0</v>
      </c>
      <c r="AW304" s="652">
        <f t="shared" si="242"/>
        <v>0</v>
      </c>
      <c r="AX304" s="651">
        <f t="array" ref="AX304">IFERROR(INDEX('HIV-Other HPs'!$AD$14:$AD$40,MATCH($E304&amp;$F304,'HIV-Other HPs'!$E$14:$E$40&amp;'HIV-Other HPs'!$I$14:$I$40,0)),0)</f>
        <v>0</v>
      </c>
      <c r="AY304" s="651">
        <f t="shared" si="243"/>
        <v>0</v>
      </c>
      <c r="AZ304" s="652">
        <f t="shared" si="244"/>
        <v>0</v>
      </c>
      <c r="BA304" s="652">
        <f t="shared" si="245"/>
        <v>0</v>
      </c>
      <c r="BB304" s="651">
        <f t="array" ref="BB304">IFERROR(INDEX('HIV-Other HPs'!$AE$14:$AE$40,MATCH($E304&amp;$F304,'HIV-Other HPs'!$E$14:$E$40&amp;'HIV-Other HPs'!$I$14:$I$40,0)),0)</f>
        <v>0</v>
      </c>
      <c r="BC304" s="651">
        <f t="shared" si="246"/>
        <v>0</v>
      </c>
      <c r="BD304" s="652">
        <f t="shared" si="247"/>
        <v>0</v>
      </c>
      <c r="BE304" s="652">
        <f t="shared" si="248"/>
        <v>0</v>
      </c>
      <c r="BF304" s="651">
        <f t="array" ref="BF304">IFERROR(INDEX('HIV-Other HPs'!$AF$14:$AF$40,MATCH($E304&amp;$F304,'HIV-Other HPs'!$E$14:$E$40&amp;'HIV-Other HPs'!$I$14:$I$40,0)),0)</f>
        <v>0</v>
      </c>
      <c r="BG304" s="651">
        <f t="shared" si="249"/>
        <v>0</v>
      </c>
      <c r="BH304" s="652">
        <f t="shared" si="250"/>
        <v>0</v>
      </c>
      <c r="BI304" s="652">
        <f t="shared" si="251"/>
        <v>0</v>
      </c>
      <c r="BJ304" s="662"/>
      <c r="BK304" s="663"/>
      <c r="BL304" s="663"/>
      <c r="BM304" s="663"/>
      <c r="BN304" s="663"/>
      <c r="BO304" s="663"/>
      <c r="BP304" s="663"/>
      <c r="BQ304" s="663"/>
      <c r="BR304" s="663"/>
    </row>
    <row r="305" spans="1:70">
      <c r="A305" s="655" t="s">
        <v>822</v>
      </c>
      <c r="B305" s="655" t="s">
        <v>2284</v>
      </c>
      <c r="C305" s="648">
        <f>SETUP!$F$27</f>
        <v>0</v>
      </c>
      <c r="D305" s="654">
        <v>5.2</v>
      </c>
      <c r="E305" s="663" t="s">
        <v>208</v>
      </c>
      <c r="F305" s="663" t="s">
        <v>1700</v>
      </c>
      <c r="G305" s="650" t="str">
        <f t="array" ref="G305">IFERROR(INDEX('HIV-Other HPs'!$L$14:$L$40,MATCH($E305&amp;$F305,'HIV-Other HPs'!$E$14:$E$40&amp;'HIV-Other HPs'!$I$14:$I$40,0)),"")</f>
        <v/>
      </c>
      <c r="H305" s="650" t="str">
        <f t="array" ref="H305">IFERROR(INDEX('HIV-Other HPs'!$M$14:$M$40,MATCH($E305&amp;$F305,'HIV-Other HPs'!$E$14:$E$40&amp;'HIV-Other HPs'!$I$14:$I$40,0)),"")</f>
        <v/>
      </c>
      <c r="I305" s="651">
        <f t="array" ref="I305">IFERROR(INDEX('HIV-Other HPs'!$N$14:$N$40,MATCH($E305&amp;$F305,'HIV-Other HPs'!$E$14:$E$40&amp;'HIV-Other HPs'!$I$14:$I$40,0)),0)</f>
        <v>0</v>
      </c>
      <c r="J305" s="651">
        <f t="array" ref="J305">IFERROR(INDEX('HIV-Other HPs'!$O$14:$O$40,MATCH($E305&amp;$F305,'HIV-Other HPs'!$E$14:$E$40&amp;'HIV-Other HPs'!$I$14:$I$40,0)),0)</f>
        <v>0</v>
      </c>
      <c r="K305" s="652">
        <f t="shared" si="216"/>
        <v>0</v>
      </c>
      <c r="L305" s="652">
        <f t="shared" si="217"/>
        <v>0</v>
      </c>
      <c r="M305" s="652">
        <f t="shared" si="218"/>
        <v>0</v>
      </c>
      <c r="N305" s="651">
        <f t="array" ref="N305">IFERROR(INDEX('HIV-Other HPs'!$P$14:$P$40,MATCH($E305&amp;$F305,'HIV-Other HPs'!$E$14:$E$40&amp;'HIV-Other HPs'!$I$14:$I$40,0)),0)</f>
        <v>0</v>
      </c>
      <c r="O305" s="652">
        <f t="shared" si="219"/>
        <v>0</v>
      </c>
      <c r="P305" s="652">
        <f t="shared" si="220"/>
        <v>0</v>
      </c>
      <c r="Q305" s="652">
        <f t="shared" si="221"/>
        <v>0</v>
      </c>
      <c r="R305" s="651">
        <f t="array" ref="R305">IFERROR(INDEX('HIV-Other HPs'!$Q$14:$Q$40,MATCH($E305&amp;$F305,'HIV-Other HPs'!$E$14:$E$40&amp;'HIV-Other HPs'!$I$14:$I$40,0)),0)</f>
        <v>0</v>
      </c>
      <c r="S305" s="652">
        <f t="shared" si="222"/>
        <v>0</v>
      </c>
      <c r="T305" s="652">
        <f t="shared" si="223"/>
        <v>0</v>
      </c>
      <c r="U305" s="652">
        <f t="shared" si="224"/>
        <v>0</v>
      </c>
      <c r="V305" s="651">
        <f t="array" ref="V305">IFERROR(INDEX('HIV-Other HPs'!$R$14:$R$40,MATCH($E305&amp;$F305,'HIV-Other HPs'!$E$14:$E$40&amp;'HIV-Other HPs'!$I$14:$I$40,0)),0)</f>
        <v>0</v>
      </c>
      <c r="W305" s="652">
        <f t="shared" si="225"/>
        <v>0</v>
      </c>
      <c r="X305" s="652">
        <f t="shared" si="226"/>
        <v>0</v>
      </c>
      <c r="Y305" s="652">
        <f t="shared" si="227"/>
        <v>0</v>
      </c>
      <c r="Z305" s="664"/>
      <c r="AA305" s="651">
        <f t="array" ref="AA305">IFERROR(INDEX('HIV-Other HPs'!$U$14:$U$40,MATCH($E305&amp;$F305,'HIV-Other HPs'!$E$14:$E$40&amp;'HIV-Other HPs'!$I$14:$I$40,0)),0)</f>
        <v>0</v>
      </c>
      <c r="AB305" s="651">
        <f t="array" ref="AB305">IFERROR(INDEX('HIV-Other HPs'!$V$14:$V$40,MATCH($E305&amp;$F305,'HIV-Other HPs'!$E$14:$E$40&amp;'HIV-Other HPs'!$I$14:$I$40,0)),0)</f>
        <v>0</v>
      </c>
      <c r="AC305" s="651">
        <f t="shared" si="228"/>
        <v>0</v>
      </c>
      <c r="AD305" s="652">
        <f t="shared" si="229"/>
        <v>0</v>
      </c>
      <c r="AE305" s="652">
        <f t="shared" si="230"/>
        <v>0</v>
      </c>
      <c r="AF305" s="651">
        <f t="array" ref="AF305">IFERROR(INDEX('HIV-Other HPs'!$W$14:$W$40,MATCH($E305&amp;$F305,'HIV-Other HPs'!$E$14:$E$40&amp;'HIV-Other HPs'!$I$14:$I$40,0)),0)</f>
        <v>0</v>
      </c>
      <c r="AG305" s="651">
        <f t="shared" si="231"/>
        <v>0</v>
      </c>
      <c r="AH305" s="652">
        <f t="shared" si="232"/>
        <v>0</v>
      </c>
      <c r="AI305" s="652">
        <f t="shared" si="233"/>
        <v>0</v>
      </c>
      <c r="AJ305" s="651">
        <f t="array" ref="AJ305">IFERROR(INDEX('HIV-Other HPs'!$X$14:$X$40,MATCH($E305&amp;$F305,'HIV-Other HPs'!$E$14:$E$40&amp;'HIV-Other HPs'!$I$14:$I$40,0)),0)</f>
        <v>0</v>
      </c>
      <c r="AK305" s="651">
        <f t="shared" si="234"/>
        <v>0</v>
      </c>
      <c r="AL305" s="652">
        <f t="shared" si="235"/>
        <v>0</v>
      </c>
      <c r="AM305" s="652">
        <f t="shared" si="236"/>
        <v>0</v>
      </c>
      <c r="AN305" s="651">
        <f t="array" ref="AN305">IFERROR(INDEX('HIV-Other HPs'!$Y$14:$Y$40,MATCH($E305&amp;$F305,'HIV-Other HPs'!$E$14:$E$40&amp;'HIV-Other HPs'!$I$14:$I$40,0)),0)</f>
        <v>0</v>
      </c>
      <c r="AO305" s="651">
        <f t="shared" si="237"/>
        <v>0</v>
      </c>
      <c r="AP305" s="652">
        <f t="shared" si="238"/>
        <v>0</v>
      </c>
      <c r="AQ305" s="652">
        <f t="shared" si="239"/>
        <v>0</v>
      </c>
      <c r="AR305" s="664"/>
      <c r="AS305" s="651">
        <f t="array" ref="AS305">IFERROR(INDEX('HIV-Other HPs'!$AB$14:$AB$40,MATCH($E305&amp;$F305,'HIV-Other HPs'!$E$14:$E$40&amp;'HIV-Other HPs'!$I$14:$I$40,0)),0)</f>
        <v>0</v>
      </c>
      <c r="AT305" s="651">
        <f t="array" ref="AT305">IFERROR(INDEX('HIV-Other HPs'!$AC$14:$AC$40,MATCH($E305&amp;$F305,'HIV-Other HPs'!$E$14:$E$40&amp;'HIV-Other HPs'!$I$14:$I$40,0)),0)</f>
        <v>0</v>
      </c>
      <c r="AU305" s="651">
        <f t="shared" si="240"/>
        <v>0</v>
      </c>
      <c r="AV305" s="652">
        <f t="shared" si="241"/>
        <v>0</v>
      </c>
      <c r="AW305" s="652">
        <f t="shared" si="242"/>
        <v>0</v>
      </c>
      <c r="AX305" s="651">
        <f t="array" ref="AX305">IFERROR(INDEX('HIV-Other HPs'!$AD$14:$AD$40,MATCH($E305&amp;$F305,'HIV-Other HPs'!$E$14:$E$40&amp;'HIV-Other HPs'!$I$14:$I$40,0)),0)</f>
        <v>0</v>
      </c>
      <c r="AY305" s="651">
        <f t="shared" si="243"/>
        <v>0</v>
      </c>
      <c r="AZ305" s="652">
        <f t="shared" si="244"/>
        <v>0</v>
      </c>
      <c r="BA305" s="652">
        <f t="shared" si="245"/>
        <v>0</v>
      </c>
      <c r="BB305" s="651">
        <f t="array" ref="BB305">IFERROR(INDEX('HIV-Other HPs'!$AE$14:$AE$40,MATCH($E305&amp;$F305,'HIV-Other HPs'!$E$14:$E$40&amp;'HIV-Other HPs'!$I$14:$I$40,0)),0)</f>
        <v>0</v>
      </c>
      <c r="BC305" s="651">
        <f t="shared" si="246"/>
        <v>0</v>
      </c>
      <c r="BD305" s="652">
        <f t="shared" si="247"/>
        <v>0</v>
      </c>
      <c r="BE305" s="652">
        <f t="shared" si="248"/>
        <v>0</v>
      </c>
      <c r="BF305" s="651">
        <f t="array" ref="BF305">IFERROR(INDEX('HIV-Other HPs'!$AF$14:$AF$40,MATCH($E305&amp;$F305,'HIV-Other HPs'!$E$14:$E$40&amp;'HIV-Other HPs'!$I$14:$I$40,0)),0)</f>
        <v>0</v>
      </c>
      <c r="BG305" s="651">
        <f t="shared" si="249"/>
        <v>0</v>
      </c>
      <c r="BH305" s="652">
        <f t="shared" si="250"/>
        <v>0</v>
      </c>
      <c r="BI305" s="652">
        <f t="shared" si="251"/>
        <v>0</v>
      </c>
      <c r="BJ305" s="662"/>
      <c r="BK305" s="663"/>
      <c r="BL305" s="663"/>
      <c r="BM305" s="663"/>
      <c r="BN305" s="663"/>
      <c r="BO305" s="663"/>
      <c r="BP305" s="663"/>
      <c r="BQ305" s="663"/>
      <c r="BR305" s="663"/>
    </row>
    <row r="306" spans="1:70">
      <c r="A306" s="655" t="s">
        <v>822</v>
      </c>
      <c r="B306" s="655" t="s">
        <v>2284</v>
      </c>
      <c r="C306" s="648">
        <f>SETUP!$F$27</f>
        <v>0</v>
      </c>
      <c r="D306" s="654">
        <v>5.2</v>
      </c>
      <c r="E306" s="663" t="s">
        <v>208</v>
      </c>
      <c r="F306" s="663" t="s">
        <v>1701</v>
      </c>
      <c r="G306" s="650" t="str">
        <f t="array" ref="G306">IFERROR(INDEX('HIV-Other HPs'!$L$14:$L$40,MATCH($E306&amp;$F306,'HIV-Other HPs'!$E$14:$E$40&amp;'HIV-Other HPs'!$I$14:$I$40,0)),"")</f>
        <v/>
      </c>
      <c r="H306" s="650" t="str">
        <f t="array" ref="H306">IFERROR(INDEX('HIV-Other HPs'!$M$14:$M$40,MATCH($E306&amp;$F306,'HIV-Other HPs'!$E$14:$E$40&amp;'HIV-Other HPs'!$I$14:$I$40,0)),"")</f>
        <v/>
      </c>
      <c r="I306" s="651">
        <f t="array" ref="I306">IFERROR(INDEX('HIV-Other HPs'!$N$14:$N$40,MATCH($E306&amp;$F306,'HIV-Other HPs'!$E$14:$E$40&amp;'HIV-Other HPs'!$I$14:$I$40,0)),0)</f>
        <v>0</v>
      </c>
      <c r="J306" s="651">
        <f t="array" ref="J306">IFERROR(INDEX('HIV-Other HPs'!$O$14:$O$40,MATCH($E306&amp;$F306,'HIV-Other HPs'!$E$14:$E$40&amp;'HIV-Other HPs'!$I$14:$I$40,0)),0)</f>
        <v>0</v>
      </c>
      <c r="K306" s="652">
        <f t="shared" si="216"/>
        <v>0</v>
      </c>
      <c r="L306" s="652">
        <f t="shared" si="217"/>
        <v>0</v>
      </c>
      <c r="M306" s="652">
        <f t="shared" si="218"/>
        <v>0</v>
      </c>
      <c r="N306" s="651">
        <f t="array" ref="N306">IFERROR(INDEX('HIV-Other HPs'!$P$14:$P$40,MATCH($E306&amp;$F306,'HIV-Other HPs'!$E$14:$E$40&amp;'HIV-Other HPs'!$I$14:$I$40,0)),0)</f>
        <v>0</v>
      </c>
      <c r="O306" s="652">
        <f t="shared" si="219"/>
        <v>0</v>
      </c>
      <c r="P306" s="652">
        <f t="shared" si="220"/>
        <v>0</v>
      </c>
      <c r="Q306" s="652">
        <f t="shared" si="221"/>
        <v>0</v>
      </c>
      <c r="R306" s="651">
        <f t="array" ref="R306">IFERROR(INDEX('HIV-Other HPs'!$Q$14:$Q$40,MATCH($E306&amp;$F306,'HIV-Other HPs'!$E$14:$E$40&amp;'HIV-Other HPs'!$I$14:$I$40,0)),0)</f>
        <v>0</v>
      </c>
      <c r="S306" s="652">
        <f t="shared" si="222"/>
        <v>0</v>
      </c>
      <c r="T306" s="652">
        <f t="shared" si="223"/>
        <v>0</v>
      </c>
      <c r="U306" s="652">
        <f t="shared" si="224"/>
        <v>0</v>
      </c>
      <c r="V306" s="651">
        <f t="array" ref="V306">IFERROR(INDEX('HIV-Other HPs'!$R$14:$R$40,MATCH($E306&amp;$F306,'HIV-Other HPs'!$E$14:$E$40&amp;'HIV-Other HPs'!$I$14:$I$40,0)),0)</f>
        <v>0</v>
      </c>
      <c r="W306" s="652">
        <f t="shared" si="225"/>
        <v>0</v>
      </c>
      <c r="X306" s="652">
        <f t="shared" si="226"/>
        <v>0</v>
      </c>
      <c r="Y306" s="652">
        <f t="shared" si="227"/>
        <v>0</v>
      </c>
      <c r="Z306" s="664"/>
      <c r="AA306" s="651">
        <f t="array" ref="AA306">IFERROR(INDEX('HIV-Other HPs'!$U$14:$U$40,MATCH($E306&amp;$F306,'HIV-Other HPs'!$E$14:$E$40&amp;'HIV-Other HPs'!$I$14:$I$40,0)),0)</f>
        <v>0</v>
      </c>
      <c r="AB306" s="651">
        <f t="array" ref="AB306">IFERROR(INDEX('HIV-Other HPs'!$V$14:$V$40,MATCH($E306&amp;$F306,'HIV-Other HPs'!$E$14:$E$40&amp;'HIV-Other HPs'!$I$14:$I$40,0)),0)</f>
        <v>0</v>
      </c>
      <c r="AC306" s="651">
        <f t="shared" si="228"/>
        <v>0</v>
      </c>
      <c r="AD306" s="652">
        <f t="shared" si="229"/>
        <v>0</v>
      </c>
      <c r="AE306" s="652">
        <f t="shared" si="230"/>
        <v>0</v>
      </c>
      <c r="AF306" s="651">
        <f t="array" ref="AF306">IFERROR(INDEX('HIV-Other HPs'!$W$14:$W$40,MATCH($E306&amp;$F306,'HIV-Other HPs'!$E$14:$E$40&amp;'HIV-Other HPs'!$I$14:$I$40,0)),0)</f>
        <v>0</v>
      </c>
      <c r="AG306" s="651">
        <f t="shared" si="231"/>
        <v>0</v>
      </c>
      <c r="AH306" s="652">
        <f t="shared" si="232"/>
        <v>0</v>
      </c>
      <c r="AI306" s="652">
        <f t="shared" si="233"/>
        <v>0</v>
      </c>
      <c r="AJ306" s="651">
        <f t="array" ref="AJ306">IFERROR(INDEX('HIV-Other HPs'!$X$14:$X$40,MATCH($E306&amp;$F306,'HIV-Other HPs'!$E$14:$E$40&amp;'HIV-Other HPs'!$I$14:$I$40,0)),0)</f>
        <v>0</v>
      </c>
      <c r="AK306" s="651">
        <f t="shared" si="234"/>
        <v>0</v>
      </c>
      <c r="AL306" s="652">
        <f t="shared" si="235"/>
        <v>0</v>
      </c>
      <c r="AM306" s="652">
        <f t="shared" si="236"/>
        <v>0</v>
      </c>
      <c r="AN306" s="651">
        <f t="array" ref="AN306">IFERROR(INDEX('HIV-Other HPs'!$Y$14:$Y$40,MATCH($E306&amp;$F306,'HIV-Other HPs'!$E$14:$E$40&amp;'HIV-Other HPs'!$I$14:$I$40,0)),0)</f>
        <v>0</v>
      </c>
      <c r="AO306" s="651">
        <f t="shared" si="237"/>
        <v>0</v>
      </c>
      <c r="AP306" s="652">
        <f t="shared" si="238"/>
        <v>0</v>
      </c>
      <c r="AQ306" s="652">
        <f t="shared" si="239"/>
        <v>0</v>
      </c>
      <c r="AR306" s="664"/>
      <c r="AS306" s="651">
        <f t="array" ref="AS306">IFERROR(INDEX('HIV-Other HPs'!$AB$14:$AB$40,MATCH($E306&amp;$F306,'HIV-Other HPs'!$E$14:$E$40&amp;'HIV-Other HPs'!$I$14:$I$40,0)),0)</f>
        <v>0</v>
      </c>
      <c r="AT306" s="651">
        <f t="array" ref="AT306">IFERROR(INDEX('HIV-Other HPs'!$AC$14:$AC$40,MATCH($E306&amp;$F306,'HIV-Other HPs'!$E$14:$E$40&amp;'HIV-Other HPs'!$I$14:$I$40,0)),0)</f>
        <v>0</v>
      </c>
      <c r="AU306" s="651">
        <f t="shared" si="240"/>
        <v>0</v>
      </c>
      <c r="AV306" s="652">
        <f t="shared" si="241"/>
        <v>0</v>
      </c>
      <c r="AW306" s="652">
        <f t="shared" si="242"/>
        <v>0</v>
      </c>
      <c r="AX306" s="651">
        <f t="array" ref="AX306">IFERROR(INDEX('HIV-Other HPs'!$AD$14:$AD$40,MATCH($E306&amp;$F306,'HIV-Other HPs'!$E$14:$E$40&amp;'HIV-Other HPs'!$I$14:$I$40,0)),0)</f>
        <v>0</v>
      </c>
      <c r="AY306" s="651">
        <f t="shared" si="243"/>
        <v>0</v>
      </c>
      <c r="AZ306" s="652">
        <f t="shared" si="244"/>
        <v>0</v>
      </c>
      <c r="BA306" s="652">
        <f t="shared" si="245"/>
        <v>0</v>
      </c>
      <c r="BB306" s="651">
        <f t="array" ref="BB306">IFERROR(INDEX('HIV-Other HPs'!$AE$14:$AE$40,MATCH($E306&amp;$F306,'HIV-Other HPs'!$E$14:$E$40&amp;'HIV-Other HPs'!$I$14:$I$40,0)),0)</f>
        <v>0</v>
      </c>
      <c r="BC306" s="651">
        <f t="shared" si="246"/>
        <v>0</v>
      </c>
      <c r="BD306" s="652">
        <f t="shared" si="247"/>
        <v>0</v>
      </c>
      <c r="BE306" s="652">
        <f t="shared" si="248"/>
        <v>0</v>
      </c>
      <c r="BF306" s="651">
        <f t="array" ref="BF306">IFERROR(INDEX('HIV-Other HPs'!$AF$14:$AF$40,MATCH($E306&amp;$F306,'HIV-Other HPs'!$E$14:$E$40&amp;'HIV-Other HPs'!$I$14:$I$40,0)),0)</f>
        <v>0</v>
      </c>
      <c r="BG306" s="651">
        <f t="shared" si="249"/>
        <v>0</v>
      </c>
      <c r="BH306" s="652">
        <f t="shared" si="250"/>
        <v>0</v>
      </c>
      <c r="BI306" s="652">
        <f t="shared" si="251"/>
        <v>0</v>
      </c>
      <c r="BJ306" s="662"/>
      <c r="BK306" s="663"/>
      <c r="BL306" s="663"/>
      <c r="BM306" s="663"/>
      <c r="BN306" s="663"/>
      <c r="BO306" s="663"/>
      <c r="BP306" s="663"/>
      <c r="BQ306" s="663"/>
      <c r="BR306" s="663"/>
    </row>
    <row r="307" spans="1:70">
      <c r="A307" s="655" t="s">
        <v>822</v>
      </c>
      <c r="B307" s="655" t="s">
        <v>2284</v>
      </c>
      <c r="C307" s="648">
        <f>SETUP!$F$27</f>
        <v>0</v>
      </c>
      <c r="D307" s="654">
        <v>5.2</v>
      </c>
      <c r="E307" s="663" t="s">
        <v>208</v>
      </c>
      <c r="F307" s="663" t="s">
        <v>1702</v>
      </c>
      <c r="G307" s="650" t="str">
        <f t="array" ref="G307">IFERROR(INDEX('HIV-Other HPs'!$L$14:$L$40,MATCH($E307&amp;$F307,'HIV-Other HPs'!$E$14:$E$40&amp;'HIV-Other HPs'!$I$14:$I$40,0)),"")</f>
        <v/>
      </c>
      <c r="H307" s="650" t="str">
        <f t="array" ref="H307">IFERROR(INDEX('HIV-Other HPs'!$M$14:$M$40,MATCH($E307&amp;$F307,'HIV-Other HPs'!$E$14:$E$40&amp;'HIV-Other HPs'!$I$14:$I$40,0)),"")</f>
        <v/>
      </c>
      <c r="I307" s="651">
        <f t="array" ref="I307">IFERROR(INDEX('HIV-Other HPs'!$N$14:$N$40,MATCH($E307&amp;$F307,'HIV-Other HPs'!$E$14:$E$40&amp;'HIV-Other HPs'!$I$14:$I$40,0)),0)</f>
        <v>0</v>
      </c>
      <c r="J307" s="651">
        <f t="array" ref="J307">IFERROR(INDEX('HIV-Other HPs'!$O$14:$O$40,MATCH($E307&amp;$F307,'HIV-Other HPs'!$E$14:$E$40&amp;'HIV-Other HPs'!$I$14:$I$40,0)),0)</f>
        <v>0</v>
      </c>
      <c r="K307" s="652">
        <f t="shared" si="216"/>
        <v>0</v>
      </c>
      <c r="L307" s="652">
        <f t="shared" si="217"/>
        <v>0</v>
      </c>
      <c r="M307" s="652">
        <f t="shared" si="218"/>
        <v>0</v>
      </c>
      <c r="N307" s="651">
        <f t="array" ref="N307">IFERROR(INDEX('HIV-Other HPs'!$P$14:$P$40,MATCH($E307&amp;$F307,'HIV-Other HPs'!$E$14:$E$40&amp;'HIV-Other HPs'!$I$14:$I$40,0)),0)</f>
        <v>0</v>
      </c>
      <c r="O307" s="652">
        <f t="shared" si="219"/>
        <v>0</v>
      </c>
      <c r="P307" s="652">
        <f t="shared" si="220"/>
        <v>0</v>
      </c>
      <c r="Q307" s="652">
        <f t="shared" si="221"/>
        <v>0</v>
      </c>
      <c r="R307" s="651">
        <f t="array" ref="R307">IFERROR(INDEX('HIV-Other HPs'!$Q$14:$Q$40,MATCH($E307&amp;$F307,'HIV-Other HPs'!$E$14:$E$40&amp;'HIV-Other HPs'!$I$14:$I$40,0)),0)</f>
        <v>0</v>
      </c>
      <c r="S307" s="652">
        <f t="shared" si="222"/>
        <v>0</v>
      </c>
      <c r="T307" s="652">
        <f t="shared" si="223"/>
        <v>0</v>
      </c>
      <c r="U307" s="652">
        <f t="shared" si="224"/>
        <v>0</v>
      </c>
      <c r="V307" s="651">
        <f t="array" ref="V307">IFERROR(INDEX('HIV-Other HPs'!$R$14:$R$40,MATCH($E307&amp;$F307,'HIV-Other HPs'!$E$14:$E$40&amp;'HIV-Other HPs'!$I$14:$I$40,0)),0)</f>
        <v>0</v>
      </c>
      <c r="W307" s="652">
        <f t="shared" si="225"/>
        <v>0</v>
      </c>
      <c r="X307" s="652">
        <f t="shared" si="226"/>
        <v>0</v>
      </c>
      <c r="Y307" s="652">
        <f t="shared" si="227"/>
        <v>0</v>
      </c>
      <c r="Z307" s="664"/>
      <c r="AA307" s="651">
        <f t="array" ref="AA307">IFERROR(INDEX('HIV-Other HPs'!$U$14:$U$40,MATCH($E307&amp;$F307,'HIV-Other HPs'!$E$14:$E$40&amp;'HIV-Other HPs'!$I$14:$I$40,0)),0)</f>
        <v>0</v>
      </c>
      <c r="AB307" s="651">
        <f t="array" ref="AB307">IFERROR(INDEX('HIV-Other HPs'!$V$14:$V$40,MATCH($E307&amp;$F307,'HIV-Other HPs'!$E$14:$E$40&amp;'HIV-Other HPs'!$I$14:$I$40,0)),0)</f>
        <v>0</v>
      </c>
      <c r="AC307" s="651">
        <f t="shared" si="228"/>
        <v>0</v>
      </c>
      <c r="AD307" s="652">
        <f t="shared" si="229"/>
        <v>0</v>
      </c>
      <c r="AE307" s="652">
        <f t="shared" si="230"/>
        <v>0</v>
      </c>
      <c r="AF307" s="651">
        <f t="array" ref="AF307">IFERROR(INDEX('HIV-Other HPs'!$W$14:$W$40,MATCH($E307&amp;$F307,'HIV-Other HPs'!$E$14:$E$40&amp;'HIV-Other HPs'!$I$14:$I$40,0)),0)</f>
        <v>0</v>
      </c>
      <c r="AG307" s="651">
        <f t="shared" si="231"/>
        <v>0</v>
      </c>
      <c r="AH307" s="652">
        <f t="shared" si="232"/>
        <v>0</v>
      </c>
      <c r="AI307" s="652">
        <f t="shared" si="233"/>
        <v>0</v>
      </c>
      <c r="AJ307" s="651">
        <f t="array" ref="AJ307">IFERROR(INDEX('HIV-Other HPs'!$X$14:$X$40,MATCH($E307&amp;$F307,'HIV-Other HPs'!$E$14:$E$40&amp;'HIV-Other HPs'!$I$14:$I$40,0)),0)</f>
        <v>0</v>
      </c>
      <c r="AK307" s="651">
        <f t="shared" si="234"/>
        <v>0</v>
      </c>
      <c r="AL307" s="652">
        <f t="shared" si="235"/>
        <v>0</v>
      </c>
      <c r="AM307" s="652">
        <f t="shared" si="236"/>
        <v>0</v>
      </c>
      <c r="AN307" s="651">
        <f t="array" ref="AN307">IFERROR(INDEX('HIV-Other HPs'!$Y$14:$Y$40,MATCH($E307&amp;$F307,'HIV-Other HPs'!$E$14:$E$40&amp;'HIV-Other HPs'!$I$14:$I$40,0)),0)</f>
        <v>0</v>
      </c>
      <c r="AO307" s="651">
        <f t="shared" si="237"/>
        <v>0</v>
      </c>
      <c r="AP307" s="652">
        <f t="shared" si="238"/>
        <v>0</v>
      </c>
      <c r="AQ307" s="652">
        <f t="shared" si="239"/>
        <v>0</v>
      </c>
      <c r="AR307" s="664"/>
      <c r="AS307" s="651">
        <f t="array" ref="AS307">IFERROR(INDEX('HIV-Other HPs'!$AB$14:$AB$40,MATCH($E307&amp;$F307,'HIV-Other HPs'!$E$14:$E$40&amp;'HIV-Other HPs'!$I$14:$I$40,0)),0)</f>
        <v>0</v>
      </c>
      <c r="AT307" s="651">
        <f t="array" ref="AT307">IFERROR(INDEX('HIV-Other HPs'!$AC$14:$AC$40,MATCH($E307&amp;$F307,'HIV-Other HPs'!$E$14:$E$40&amp;'HIV-Other HPs'!$I$14:$I$40,0)),0)</f>
        <v>0</v>
      </c>
      <c r="AU307" s="651">
        <f t="shared" si="240"/>
        <v>0</v>
      </c>
      <c r="AV307" s="652">
        <f t="shared" si="241"/>
        <v>0</v>
      </c>
      <c r="AW307" s="652">
        <f t="shared" si="242"/>
        <v>0</v>
      </c>
      <c r="AX307" s="651">
        <f t="array" ref="AX307">IFERROR(INDEX('HIV-Other HPs'!$AD$14:$AD$40,MATCH($E307&amp;$F307,'HIV-Other HPs'!$E$14:$E$40&amp;'HIV-Other HPs'!$I$14:$I$40,0)),0)</f>
        <v>0</v>
      </c>
      <c r="AY307" s="651">
        <f t="shared" si="243"/>
        <v>0</v>
      </c>
      <c r="AZ307" s="652">
        <f t="shared" si="244"/>
        <v>0</v>
      </c>
      <c r="BA307" s="652">
        <f t="shared" si="245"/>
        <v>0</v>
      </c>
      <c r="BB307" s="651">
        <f t="array" ref="BB307">IFERROR(INDEX('HIV-Other HPs'!$AE$14:$AE$40,MATCH($E307&amp;$F307,'HIV-Other HPs'!$E$14:$E$40&amp;'HIV-Other HPs'!$I$14:$I$40,0)),0)</f>
        <v>0</v>
      </c>
      <c r="BC307" s="651">
        <f t="shared" si="246"/>
        <v>0</v>
      </c>
      <c r="BD307" s="652">
        <f t="shared" si="247"/>
        <v>0</v>
      </c>
      <c r="BE307" s="652">
        <f t="shared" si="248"/>
        <v>0</v>
      </c>
      <c r="BF307" s="651">
        <f t="array" ref="BF307">IFERROR(INDEX('HIV-Other HPs'!$AF$14:$AF$40,MATCH($E307&amp;$F307,'HIV-Other HPs'!$E$14:$E$40&amp;'HIV-Other HPs'!$I$14:$I$40,0)),0)</f>
        <v>0</v>
      </c>
      <c r="BG307" s="651">
        <f t="shared" si="249"/>
        <v>0</v>
      </c>
      <c r="BH307" s="652">
        <f t="shared" si="250"/>
        <v>0</v>
      </c>
      <c r="BI307" s="652">
        <f t="shared" si="251"/>
        <v>0</v>
      </c>
      <c r="BJ307" s="662"/>
      <c r="BK307" s="663"/>
      <c r="BL307" s="663"/>
      <c r="BM307" s="663"/>
      <c r="BN307" s="663"/>
      <c r="BO307" s="663"/>
      <c r="BP307" s="663"/>
      <c r="BQ307" s="663"/>
      <c r="BR307" s="663"/>
    </row>
    <row r="308" spans="1:70">
      <c r="A308" s="655" t="s">
        <v>822</v>
      </c>
      <c r="B308" s="655" t="s">
        <v>2284</v>
      </c>
      <c r="C308" s="648">
        <f>SETUP!$F$27</f>
        <v>0</v>
      </c>
      <c r="D308" s="654">
        <v>5.2</v>
      </c>
      <c r="E308" s="663" t="s">
        <v>208</v>
      </c>
      <c r="F308" s="663" t="s">
        <v>1703</v>
      </c>
      <c r="G308" s="650" t="str">
        <f t="array" ref="G308">IFERROR(INDEX('HIV-Other HPs'!$L$14:$L$40,MATCH($E308&amp;$F308,'HIV-Other HPs'!$E$14:$E$40&amp;'HIV-Other HPs'!$I$14:$I$40,0)),"")</f>
        <v/>
      </c>
      <c r="H308" s="650" t="str">
        <f t="array" ref="H308">IFERROR(INDEX('HIV-Other HPs'!$M$14:$M$40,MATCH($E308&amp;$F308,'HIV-Other HPs'!$E$14:$E$40&amp;'HIV-Other HPs'!$I$14:$I$40,0)),"")</f>
        <v/>
      </c>
      <c r="I308" s="651">
        <f t="array" ref="I308">IFERROR(INDEX('HIV-Other HPs'!$N$14:$N$40,MATCH($E308&amp;$F308,'HIV-Other HPs'!$E$14:$E$40&amp;'HIV-Other HPs'!$I$14:$I$40,0)),0)</f>
        <v>0</v>
      </c>
      <c r="J308" s="651">
        <f t="array" ref="J308">IFERROR(INDEX('HIV-Other HPs'!$O$14:$O$40,MATCH($E308&amp;$F308,'HIV-Other HPs'!$E$14:$E$40&amp;'HIV-Other HPs'!$I$14:$I$40,0)),0)</f>
        <v>0</v>
      </c>
      <c r="K308" s="652">
        <f t="shared" si="216"/>
        <v>0</v>
      </c>
      <c r="L308" s="652">
        <f t="shared" si="217"/>
        <v>0</v>
      </c>
      <c r="M308" s="652">
        <f t="shared" si="218"/>
        <v>0</v>
      </c>
      <c r="N308" s="651">
        <f t="array" ref="N308">IFERROR(INDEX('HIV-Other HPs'!$P$14:$P$40,MATCH($E308&amp;$F308,'HIV-Other HPs'!$E$14:$E$40&amp;'HIV-Other HPs'!$I$14:$I$40,0)),0)</f>
        <v>0</v>
      </c>
      <c r="O308" s="652">
        <f t="shared" si="219"/>
        <v>0</v>
      </c>
      <c r="P308" s="652">
        <f t="shared" si="220"/>
        <v>0</v>
      </c>
      <c r="Q308" s="652">
        <f t="shared" si="221"/>
        <v>0</v>
      </c>
      <c r="R308" s="651">
        <f t="array" ref="R308">IFERROR(INDEX('HIV-Other HPs'!$Q$14:$Q$40,MATCH($E308&amp;$F308,'HIV-Other HPs'!$E$14:$E$40&amp;'HIV-Other HPs'!$I$14:$I$40,0)),0)</f>
        <v>0</v>
      </c>
      <c r="S308" s="652">
        <f t="shared" si="222"/>
        <v>0</v>
      </c>
      <c r="T308" s="652">
        <f t="shared" si="223"/>
        <v>0</v>
      </c>
      <c r="U308" s="652">
        <f t="shared" si="224"/>
        <v>0</v>
      </c>
      <c r="V308" s="651">
        <f t="array" ref="V308">IFERROR(INDEX('HIV-Other HPs'!$R$14:$R$40,MATCH($E308&amp;$F308,'HIV-Other HPs'!$E$14:$E$40&amp;'HIV-Other HPs'!$I$14:$I$40,0)),0)</f>
        <v>0</v>
      </c>
      <c r="W308" s="652">
        <f t="shared" si="225"/>
        <v>0</v>
      </c>
      <c r="X308" s="652">
        <f t="shared" si="226"/>
        <v>0</v>
      </c>
      <c r="Y308" s="652">
        <f t="shared" si="227"/>
        <v>0</v>
      </c>
      <c r="Z308" s="664"/>
      <c r="AA308" s="651">
        <f t="array" ref="AA308">IFERROR(INDEX('HIV-Other HPs'!$U$14:$U$40,MATCH($E308&amp;$F308,'HIV-Other HPs'!$E$14:$E$40&amp;'HIV-Other HPs'!$I$14:$I$40,0)),0)</f>
        <v>0</v>
      </c>
      <c r="AB308" s="651">
        <f t="array" ref="AB308">IFERROR(INDEX('HIV-Other HPs'!$V$14:$V$40,MATCH($E308&amp;$F308,'HIV-Other HPs'!$E$14:$E$40&amp;'HIV-Other HPs'!$I$14:$I$40,0)),0)</f>
        <v>0</v>
      </c>
      <c r="AC308" s="651">
        <f t="shared" si="228"/>
        <v>0</v>
      </c>
      <c r="AD308" s="652">
        <f t="shared" si="229"/>
        <v>0</v>
      </c>
      <c r="AE308" s="652">
        <f t="shared" si="230"/>
        <v>0</v>
      </c>
      <c r="AF308" s="651">
        <f t="array" ref="AF308">IFERROR(INDEX('HIV-Other HPs'!$W$14:$W$40,MATCH($E308&amp;$F308,'HIV-Other HPs'!$E$14:$E$40&amp;'HIV-Other HPs'!$I$14:$I$40,0)),0)</f>
        <v>0</v>
      </c>
      <c r="AG308" s="651">
        <f t="shared" si="231"/>
        <v>0</v>
      </c>
      <c r="AH308" s="652">
        <f t="shared" si="232"/>
        <v>0</v>
      </c>
      <c r="AI308" s="652">
        <f t="shared" si="233"/>
        <v>0</v>
      </c>
      <c r="AJ308" s="651">
        <f t="array" ref="AJ308">IFERROR(INDEX('HIV-Other HPs'!$X$14:$X$40,MATCH($E308&amp;$F308,'HIV-Other HPs'!$E$14:$E$40&amp;'HIV-Other HPs'!$I$14:$I$40,0)),0)</f>
        <v>0</v>
      </c>
      <c r="AK308" s="651">
        <f t="shared" si="234"/>
        <v>0</v>
      </c>
      <c r="AL308" s="652">
        <f t="shared" si="235"/>
        <v>0</v>
      </c>
      <c r="AM308" s="652">
        <f t="shared" si="236"/>
        <v>0</v>
      </c>
      <c r="AN308" s="651">
        <f t="array" ref="AN308">IFERROR(INDEX('HIV-Other HPs'!$Y$14:$Y$40,MATCH($E308&amp;$F308,'HIV-Other HPs'!$E$14:$E$40&amp;'HIV-Other HPs'!$I$14:$I$40,0)),0)</f>
        <v>0</v>
      </c>
      <c r="AO308" s="651">
        <f t="shared" si="237"/>
        <v>0</v>
      </c>
      <c r="AP308" s="652">
        <f t="shared" si="238"/>
        <v>0</v>
      </c>
      <c r="AQ308" s="652">
        <f t="shared" si="239"/>
        <v>0</v>
      </c>
      <c r="AR308" s="664"/>
      <c r="AS308" s="651">
        <f t="array" ref="AS308">IFERROR(INDEX('HIV-Other HPs'!$AB$14:$AB$40,MATCH($E308&amp;$F308,'HIV-Other HPs'!$E$14:$E$40&amp;'HIV-Other HPs'!$I$14:$I$40,0)),0)</f>
        <v>0</v>
      </c>
      <c r="AT308" s="651">
        <f t="array" ref="AT308">IFERROR(INDEX('HIV-Other HPs'!$AC$14:$AC$40,MATCH($E308&amp;$F308,'HIV-Other HPs'!$E$14:$E$40&amp;'HIV-Other HPs'!$I$14:$I$40,0)),0)</f>
        <v>0</v>
      </c>
      <c r="AU308" s="651">
        <f t="shared" si="240"/>
        <v>0</v>
      </c>
      <c r="AV308" s="652">
        <f t="shared" si="241"/>
        <v>0</v>
      </c>
      <c r="AW308" s="652">
        <f t="shared" si="242"/>
        <v>0</v>
      </c>
      <c r="AX308" s="651">
        <f t="array" ref="AX308">IFERROR(INDEX('HIV-Other HPs'!$AD$14:$AD$40,MATCH($E308&amp;$F308,'HIV-Other HPs'!$E$14:$E$40&amp;'HIV-Other HPs'!$I$14:$I$40,0)),0)</f>
        <v>0</v>
      </c>
      <c r="AY308" s="651">
        <f t="shared" si="243"/>
        <v>0</v>
      </c>
      <c r="AZ308" s="652">
        <f t="shared" si="244"/>
        <v>0</v>
      </c>
      <c r="BA308" s="652">
        <f t="shared" si="245"/>
        <v>0</v>
      </c>
      <c r="BB308" s="651">
        <f t="array" ref="BB308">IFERROR(INDEX('HIV-Other HPs'!$AE$14:$AE$40,MATCH($E308&amp;$F308,'HIV-Other HPs'!$E$14:$E$40&amp;'HIV-Other HPs'!$I$14:$I$40,0)),0)</f>
        <v>0</v>
      </c>
      <c r="BC308" s="651">
        <f t="shared" si="246"/>
        <v>0</v>
      </c>
      <c r="BD308" s="652">
        <f t="shared" si="247"/>
        <v>0</v>
      </c>
      <c r="BE308" s="652">
        <f t="shared" si="248"/>
        <v>0</v>
      </c>
      <c r="BF308" s="651">
        <f t="array" ref="BF308">IFERROR(INDEX('HIV-Other HPs'!$AF$14:$AF$40,MATCH($E308&amp;$F308,'HIV-Other HPs'!$E$14:$E$40&amp;'HIV-Other HPs'!$I$14:$I$40,0)),0)</f>
        <v>0</v>
      </c>
      <c r="BG308" s="651">
        <f t="shared" si="249"/>
        <v>0</v>
      </c>
      <c r="BH308" s="652">
        <f t="shared" si="250"/>
        <v>0</v>
      </c>
      <c r="BI308" s="652">
        <f t="shared" si="251"/>
        <v>0</v>
      </c>
      <c r="BJ308" s="662"/>
      <c r="BK308" s="663"/>
      <c r="BL308" s="663"/>
      <c r="BM308" s="663"/>
      <c r="BN308" s="663"/>
      <c r="BO308" s="663"/>
      <c r="BP308" s="663"/>
      <c r="BQ308" s="663"/>
      <c r="BR308" s="663"/>
    </row>
    <row r="309" spans="1:70">
      <c r="A309" s="655" t="s">
        <v>822</v>
      </c>
      <c r="B309" s="655" t="s">
        <v>2284</v>
      </c>
      <c r="C309" s="648">
        <f>SETUP!$F$27</f>
        <v>0</v>
      </c>
      <c r="D309" s="654">
        <v>5.2</v>
      </c>
      <c r="E309" s="663" t="s">
        <v>208</v>
      </c>
      <c r="F309" s="663" t="s">
        <v>1704</v>
      </c>
      <c r="G309" s="650" t="str">
        <f t="array" ref="G309">IFERROR(INDEX('HIV-Other HPs'!$L$14:$L$40,MATCH($E309&amp;$F309,'HIV-Other HPs'!$E$14:$E$40&amp;'HIV-Other HPs'!$I$14:$I$40,0)),"")</f>
        <v/>
      </c>
      <c r="H309" s="650" t="str">
        <f t="array" ref="H309">IFERROR(INDEX('HIV-Other HPs'!$M$14:$M$40,MATCH($E309&amp;$F309,'HIV-Other HPs'!$E$14:$E$40&amp;'HIV-Other HPs'!$I$14:$I$40,0)),"")</f>
        <v/>
      </c>
      <c r="I309" s="651">
        <f t="array" ref="I309">IFERROR(INDEX('HIV-Other HPs'!$N$14:$N$40,MATCH($E309&amp;$F309,'HIV-Other HPs'!$E$14:$E$40&amp;'HIV-Other HPs'!$I$14:$I$40,0)),0)</f>
        <v>0</v>
      </c>
      <c r="J309" s="651">
        <f t="array" ref="J309">IFERROR(INDEX('HIV-Other HPs'!$O$14:$O$40,MATCH($E309&amp;$F309,'HIV-Other HPs'!$E$14:$E$40&amp;'HIV-Other HPs'!$I$14:$I$40,0)),0)</f>
        <v>0</v>
      </c>
      <c r="K309" s="652">
        <f t="shared" si="216"/>
        <v>0</v>
      </c>
      <c r="L309" s="652">
        <f t="shared" si="217"/>
        <v>0</v>
      </c>
      <c r="M309" s="652">
        <f t="shared" si="218"/>
        <v>0</v>
      </c>
      <c r="N309" s="651">
        <f t="array" ref="N309">IFERROR(INDEX('HIV-Other HPs'!$P$14:$P$40,MATCH($E309&amp;$F309,'HIV-Other HPs'!$E$14:$E$40&amp;'HIV-Other HPs'!$I$14:$I$40,0)),0)</f>
        <v>0</v>
      </c>
      <c r="O309" s="652">
        <f t="shared" si="219"/>
        <v>0</v>
      </c>
      <c r="P309" s="652">
        <f t="shared" si="220"/>
        <v>0</v>
      </c>
      <c r="Q309" s="652">
        <f t="shared" si="221"/>
        <v>0</v>
      </c>
      <c r="R309" s="651">
        <f t="array" ref="R309">IFERROR(INDEX('HIV-Other HPs'!$Q$14:$Q$40,MATCH($E309&amp;$F309,'HIV-Other HPs'!$E$14:$E$40&amp;'HIV-Other HPs'!$I$14:$I$40,0)),0)</f>
        <v>0</v>
      </c>
      <c r="S309" s="652">
        <f t="shared" si="222"/>
        <v>0</v>
      </c>
      <c r="T309" s="652">
        <f t="shared" si="223"/>
        <v>0</v>
      </c>
      <c r="U309" s="652">
        <f t="shared" si="224"/>
        <v>0</v>
      </c>
      <c r="V309" s="651">
        <f t="array" ref="V309">IFERROR(INDEX('HIV-Other HPs'!$R$14:$R$40,MATCH($E309&amp;$F309,'HIV-Other HPs'!$E$14:$E$40&amp;'HIV-Other HPs'!$I$14:$I$40,0)),0)</f>
        <v>0</v>
      </c>
      <c r="W309" s="652">
        <f t="shared" si="225"/>
        <v>0</v>
      </c>
      <c r="X309" s="652">
        <f t="shared" si="226"/>
        <v>0</v>
      </c>
      <c r="Y309" s="652">
        <f t="shared" si="227"/>
        <v>0</v>
      </c>
      <c r="Z309" s="664"/>
      <c r="AA309" s="651">
        <f t="array" ref="AA309">IFERROR(INDEX('HIV-Other HPs'!$U$14:$U$40,MATCH($E309&amp;$F309,'HIV-Other HPs'!$E$14:$E$40&amp;'HIV-Other HPs'!$I$14:$I$40,0)),0)</f>
        <v>0</v>
      </c>
      <c r="AB309" s="651">
        <f t="array" ref="AB309">IFERROR(INDEX('HIV-Other HPs'!$V$14:$V$40,MATCH($E309&amp;$F309,'HIV-Other HPs'!$E$14:$E$40&amp;'HIV-Other HPs'!$I$14:$I$40,0)),0)</f>
        <v>0</v>
      </c>
      <c r="AC309" s="651">
        <f t="shared" si="228"/>
        <v>0</v>
      </c>
      <c r="AD309" s="652">
        <f t="shared" si="229"/>
        <v>0</v>
      </c>
      <c r="AE309" s="652">
        <f t="shared" si="230"/>
        <v>0</v>
      </c>
      <c r="AF309" s="651">
        <f t="array" ref="AF309">IFERROR(INDEX('HIV-Other HPs'!$W$14:$W$40,MATCH($E309&amp;$F309,'HIV-Other HPs'!$E$14:$E$40&amp;'HIV-Other HPs'!$I$14:$I$40,0)),0)</f>
        <v>0</v>
      </c>
      <c r="AG309" s="651">
        <f t="shared" si="231"/>
        <v>0</v>
      </c>
      <c r="AH309" s="652">
        <f t="shared" si="232"/>
        <v>0</v>
      </c>
      <c r="AI309" s="652">
        <f t="shared" si="233"/>
        <v>0</v>
      </c>
      <c r="AJ309" s="651">
        <f t="array" ref="AJ309">IFERROR(INDEX('HIV-Other HPs'!$X$14:$X$40,MATCH($E309&amp;$F309,'HIV-Other HPs'!$E$14:$E$40&amp;'HIV-Other HPs'!$I$14:$I$40,0)),0)</f>
        <v>0</v>
      </c>
      <c r="AK309" s="651">
        <f t="shared" si="234"/>
        <v>0</v>
      </c>
      <c r="AL309" s="652">
        <f t="shared" si="235"/>
        <v>0</v>
      </c>
      <c r="AM309" s="652">
        <f t="shared" si="236"/>
        <v>0</v>
      </c>
      <c r="AN309" s="651">
        <f t="array" ref="AN309">IFERROR(INDEX('HIV-Other HPs'!$Y$14:$Y$40,MATCH($E309&amp;$F309,'HIV-Other HPs'!$E$14:$E$40&amp;'HIV-Other HPs'!$I$14:$I$40,0)),0)</f>
        <v>0</v>
      </c>
      <c r="AO309" s="651">
        <f t="shared" si="237"/>
        <v>0</v>
      </c>
      <c r="AP309" s="652">
        <f t="shared" si="238"/>
        <v>0</v>
      </c>
      <c r="AQ309" s="652">
        <f t="shared" si="239"/>
        <v>0</v>
      </c>
      <c r="AR309" s="664"/>
      <c r="AS309" s="651">
        <f t="array" ref="AS309">IFERROR(INDEX('HIV-Other HPs'!$AB$14:$AB$40,MATCH($E309&amp;$F309,'HIV-Other HPs'!$E$14:$E$40&amp;'HIV-Other HPs'!$I$14:$I$40,0)),0)</f>
        <v>0</v>
      </c>
      <c r="AT309" s="651">
        <f t="array" ref="AT309">IFERROR(INDEX('HIV-Other HPs'!$AC$14:$AC$40,MATCH($E309&amp;$F309,'HIV-Other HPs'!$E$14:$E$40&amp;'HIV-Other HPs'!$I$14:$I$40,0)),0)</f>
        <v>0</v>
      </c>
      <c r="AU309" s="651">
        <f t="shared" si="240"/>
        <v>0</v>
      </c>
      <c r="AV309" s="652">
        <f t="shared" si="241"/>
        <v>0</v>
      </c>
      <c r="AW309" s="652">
        <f t="shared" si="242"/>
        <v>0</v>
      </c>
      <c r="AX309" s="651">
        <f t="array" ref="AX309">IFERROR(INDEX('HIV-Other HPs'!$AD$14:$AD$40,MATCH($E309&amp;$F309,'HIV-Other HPs'!$E$14:$E$40&amp;'HIV-Other HPs'!$I$14:$I$40,0)),0)</f>
        <v>0</v>
      </c>
      <c r="AY309" s="651">
        <f t="shared" si="243"/>
        <v>0</v>
      </c>
      <c r="AZ309" s="652">
        <f t="shared" si="244"/>
        <v>0</v>
      </c>
      <c r="BA309" s="652">
        <f t="shared" si="245"/>
        <v>0</v>
      </c>
      <c r="BB309" s="651">
        <f t="array" ref="BB309">IFERROR(INDEX('HIV-Other HPs'!$AE$14:$AE$40,MATCH($E309&amp;$F309,'HIV-Other HPs'!$E$14:$E$40&amp;'HIV-Other HPs'!$I$14:$I$40,0)),0)</f>
        <v>0</v>
      </c>
      <c r="BC309" s="651">
        <f t="shared" si="246"/>
        <v>0</v>
      </c>
      <c r="BD309" s="652">
        <f t="shared" si="247"/>
        <v>0</v>
      </c>
      <c r="BE309" s="652">
        <f t="shared" si="248"/>
        <v>0</v>
      </c>
      <c r="BF309" s="651">
        <f t="array" ref="BF309">IFERROR(INDEX('HIV-Other HPs'!$AF$14:$AF$40,MATCH($E309&amp;$F309,'HIV-Other HPs'!$E$14:$E$40&amp;'HIV-Other HPs'!$I$14:$I$40,0)),0)</f>
        <v>0</v>
      </c>
      <c r="BG309" s="651">
        <f t="shared" si="249"/>
        <v>0</v>
      </c>
      <c r="BH309" s="652">
        <f t="shared" si="250"/>
        <v>0</v>
      </c>
      <c r="BI309" s="652">
        <f t="shared" si="251"/>
        <v>0</v>
      </c>
      <c r="BJ309" s="662"/>
      <c r="BK309" s="663"/>
      <c r="BL309" s="663"/>
      <c r="BM309" s="663"/>
      <c r="BN309" s="663"/>
      <c r="BO309" s="663"/>
      <c r="BP309" s="663"/>
      <c r="BQ309" s="663"/>
      <c r="BR309" s="663"/>
    </row>
    <row r="310" spans="1:70">
      <c r="A310" s="655" t="s">
        <v>822</v>
      </c>
      <c r="B310" s="655" t="s">
        <v>2284</v>
      </c>
      <c r="C310" s="648">
        <f>SETUP!$F$27</f>
        <v>0</v>
      </c>
      <c r="D310" s="654">
        <v>5.2</v>
      </c>
      <c r="E310" s="663" t="s">
        <v>208</v>
      </c>
      <c r="F310" s="663" t="s">
        <v>1705</v>
      </c>
      <c r="G310" s="650" t="str">
        <f t="array" ref="G310">IFERROR(INDEX('HIV-Other HPs'!$L$14:$L$40,MATCH($E310&amp;$F310,'HIV-Other HPs'!$E$14:$E$40&amp;'HIV-Other HPs'!$I$14:$I$40,0)),"")</f>
        <v/>
      </c>
      <c r="H310" s="650" t="str">
        <f t="array" ref="H310">IFERROR(INDEX('HIV-Other HPs'!$M$14:$M$40,MATCH($E310&amp;$F310,'HIV-Other HPs'!$E$14:$E$40&amp;'HIV-Other HPs'!$I$14:$I$40,0)),"")</f>
        <v/>
      </c>
      <c r="I310" s="651">
        <f t="array" ref="I310">IFERROR(INDEX('HIV-Other HPs'!$N$14:$N$40,MATCH($E310&amp;$F310,'HIV-Other HPs'!$E$14:$E$40&amp;'HIV-Other HPs'!$I$14:$I$40,0)),0)</f>
        <v>0</v>
      </c>
      <c r="J310" s="651">
        <f t="array" ref="J310">IFERROR(INDEX('HIV-Other HPs'!$O$14:$O$40,MATCH($E310&amp;$F310,'HIV-Other HPs'!$E$14:$E$40&amp;'HIV-Other HPs'!$I$14:$I$40,0)),0)</f>
        <v>0</v>
      </c>
      <c r="K310" s="652">
        <f t="shared" si="216"/>
        <v>0</v>
      </c>
      <c r="L310" s="652">
        <f t="shared" si="217"/>
        <v>0</v>
      </c>
      <c r="M310" s="652">
        <f t="shared" si="218"/>
        <v>0</v>
      </c>
      <c r="N310" s="651">
        <f t="array" ref="N310">IFERROR(INDEX('HIV-Other HPs'!$P$14:$P$40,MATCH($E310&amp;$F310,'HIV-Other HPs'!$E$14:$E$40&amp;'HIV-Other HPs'!$I$14:$I$40,0)),0)</f>
        <v>0</v>
      </c>
      <c r="O310" s="652">
        <f t="shared" si="219"/>
        <v>0</v>
      </c>
      <c r="P310" s="652">
        <f t="shared" si="220"/>
        <v>0</v>
      </c>
      <c r="Q310" s="652">
        <f t="shared" si="221"/>
        <v>0</v>
      </c>
      <c r="R310" s="651">
        <f t="array" ref="R310">IFERROR(INDEX('HIV-Other HPs'!$Q$14:$Q$40,MATCH($E310&amp;$F310,'HIV-Other HPs'!$E$14:$E$40&amp;'HIV-Other HPs'!$I$14:$I$40,0)),0)</f>
        <v>0</v>
      </c>
      <c r="S310" s="652">
        <f t="shared" si="222"/>
        <v>0</v>
      </c>
      <c r="T310" s="652">
        <f t="shared" si="223"/>
        <v>0</v>
      </c>
      <c r="U310" s="652">
        <f t="shared" si="224"/>
        <v>0</v>
      </c>
      <c r="V310" s="651">
        <f t="array" ref="V310">IFERROR(INDEX('HIV-Other HPs'!$R$14:$R$40,MATCH($E310&amp;$F310,'HIV-Other HPs'!$E$14:$E$40&amp;'HIV-Other HPs'!$I$14:$I$40,0)),0)</f>
        <v>0</v>
      </c>
      <c r="W310" s="652">
        <f t="shared" si="225"/>
        <v>0</v>
      </c>
      <c r="X310" s="652">
        <f t="shared" si="226"/>
        <v>0</v>
      </c>
      <c r="Y310" s="652">
        <f t="shared" si="227"/>
        <v>0</v>
      </c>
      <c r="Z310" s="664"/>
      <c r="AA310" s="651">
        <f t="array" ref="AA310">IFERROR(INDEX('HIV-Other HPs'!$U$14:$U$40,MATCH($E310&amp;$F310,'HIV-Other HPs'!$E$14:$E$40&amp;'HIV-Other HPs'!$I$14:$I$40,0)),0)</f>
        <v>0</v>
      </c>
      <c r="AB310" s="651">
        <f t="array" ref="AB310">IFERROR(INDEX('HIV-Other HPs'!$V$14:$V$40,MATCH($E310&amp;$F310,'HIV-Other HPs'!$E$14:$E$40&amp;'HIV-Other HPs'!$I$14:$I$40,0)),0)</f>
        <v>0</v>
      </c>
      <c r="AC310" s="651">
        <f t="shared" si="228"/>
        <v>0</v>
      </c>
      <c r="AD310" s="652">
        <f t="shared" si="229"/>
        <v>0</v>
      </c>
      <c r="AE310" s="652">
        <f t="shared" si="230"/>
        <v>0</v>
      </c>
      <c r="AF310" s="651">
        <f t="array" ref="AF310">IFERROR(INDEX('HIV-Other HPs'!$W$14:$W$40,MATCH($E310&amp;$F310,'HIV-Other HPs'!$E$14:$E$40&amp;'HIV-Other HPs'!$I$14:$I$40,0)),0)</f>
        <v>0</v>
      </c>
      <c r="AG310" s="651">
        <f t="shared" si="231"/>
        <v>0</v>
      </c>
      <c r="AH310" s="652">
        <f t="shared" si="232"/>
        <v>0</v>
      </c>
      <c r="AI310" s="652">
        <f t="shared" si="233"/>
        <v>0</v>
      </c>
      <c r="AJ310" s="651">
        <f t="array" ref="AJ310">IFERROR(INDEX('HIV-Other HPs'!$X$14:$X$40,MATCH($E310&amp;$F310,'HIV-Other HPs'!$E$14:$E$40&amp;'HIV-Other HPs'!$I$14:$I$40,0)),0)</f>
        <v>0</v>
      </c>
      <c r="AK310" s="651">
        <f t="shared" si="234"/>
        <v>0</v>
      </c>
      <c r="AL310" s="652">
        <f t="shared" si="235"/>
        <v>0</v>
      </c>
      <c r="AM310" s="652">
        <f t="shared" si="236"/>
        <v>0</v>
      </c>
      <c r="AN310" s="651">
        <f t="array" ref="AN310">IFERROR(INDEX('HIV-Other HPs'!$Y$14:$Y$40,MATCH($E310&amp;$F310,'HIV-Other HPs'!$E$14:$E$40&amp;'HIV-Other HPs'!$I$14:$I$40,0)),0)</f>
        <v>0</v>
      </c>
      <c r="AO310" s="651">
        <f t="shared" si="237"/>
        <v>0</v>
      </c>
      <c r="AP310" s="652">
        <f t="shared" si="238"/>
        <v>0</v>
      </c>
      <c r="AQ310" s="652">
        <f t="shared" si="239"/>
        <v>0</v>
      </c>
      <c r="AR310" s="664"/>
      <c r="AS310" s="651">
        <f t="array" ref="AS310">IFERROR(INDEX('HIV-Other HPs'!$AB$14:$AB$40,MATCH($E310&amp;$F310,'HIV-Other HPs'!$E$14:$E$40&amp;'HIV-Other HPs'!$I$14:$I$40,0)),0)</f>
        <v>0</v>
      </c>
      <c r="AT310" s="651">
        <f t="array" ref="AT310">IFERROR(INDEX('HIV-Other HPs'!$AC$14:$AC$40,MATCH($E310&amp;$F310,'HIV-Other HPs'!$E$14:$E$40&amp;'HIV-Other HPs'!$I$14:$I$40,0)),0)</f>
        <v>0</v>
      </c>
      <c r="AU310" s="651">
        <f t="shared" si="240"/>
        <v>0</v>
      </c>
      <c r="AV310" s="652">
        <f t="shared" si="241"/>
        <v>0</v>
      </c>
      <c r="AW310" s="652">
        <f t="shared" si="242"/>
        <v>0</v>
      </c>
      <c r="AX310" s="651">
        <f t="array" ref="AX310">IFERROR(INDEX('HIV-Other HPs'!$AD$14:$AD$40,MATCH($E310&amp;$F310,'HIV-Other HPs'!$E$14:$E$40&amp;'HIV-Other HPs'!$I$14:$I$40,0)),0)</f>
        <v>0</v>
      </c>
      <c r="AY310" s="651">
        <f t="shared" si="243"/>
        <v>0</v>
      </c>
      <c r="AZ310" s="652">
        <f t="shared" si="244"/>
        <v>0</v>
      </c>
      <c r="BA310" s="652">
        <f t="shared" si="245"/>
        <v>0</v>
      </c>
      <c r="BB310" s="651">
        <f t="array" ref="BB310">IFERROR(INDEX('HIV-Other HPs'!$AE$14:$AE$40,MATCH($E310&amp;$F310,'HIV-Other HPs'!$E$14:$E$40&amp;'HIV-Other HPs'!$I$14:$I$40,0)),0)</f>
        <v>0</v>
      </c>
      <c r="BC310" s="651">
        <f t="shared" si="246"/>
        <v>0</v>
      </c>
      <c r="BD310" s="652">
        <f t="shared" si="247"/>
        <v>0</v>
      </c>
      <c r="BE310" s="652">
        <f t="shared" si="248"/>
        <v>0</v>
      </c>
      <c r="BF310" s="651">
        <f t="array" ref="BF310">IFERROR(INDEX('HIV-Other HPs'!$AF$14:$AF$40,MATCH($E310&amp;$F310,'HIV-Other HPs'!$E$14:$E$40&amp;'HIV-Other HPs'!$I$14:$I$40,0)),0)</f>
        <v>0</v>
      </c>
      <c r="BG310" s="651">
        <f t="shared" si="249"/>
        <v>0</v>
      </c>
      <c r="BH310" s="652">
        <f t="shared" si="250"/>
        <v>0</v>
      </c>
      <c r="BI310" s="652">
        <f t="shared" si="251"/>
        <v>0</v>
      </c>
      <c r="BJ310" s="662"/>
      <c r="BK310" s="663"/>
      <c r="BL310" s="663"/>
      <c r="BM310" s="663"/>
      <c r="BN310" s="663"/>
      <c r="BO310" s="663"/>
      <c r="BP310" s="663"/>
      <c r="BQ310" s="663"/>
      <c r="BR310" s="663"/>
    </row>
    <row r="311" spans="1:70">
      <c r="A311" s="655" t="s">
        <v>822</v>
      </c>
      <c r="B311" s="655" t="s">
        <v>2284</v>
      </c>
      <c r="C311" s="648">
        <f>SETUP!$F$27</f>
        <v>0</v>
      </c>
      <c r="D311" s="654">
        <v>5.2</v>
      </c>
      <c r="E311" s="663" t="s">
        <v>208</v>
      </c>
      <c r="F311" s="663" t="s">
        <v>1706</v>
      </c>
      <c r="G311" s="650" t="str">
        <f t="array" ref="G311">IFERROR(INDEX('HIV-Other HPs'!$L$14:$L$40,MATCH($E311&amp;$F311,'HIV-Other HPs'!$E$14:$E$40&amp;'HIV-Other HPs'!$I$14:$I$40,0)),"")</f>
        <v/>
      </c>
      <c r="H311" s="650" t="str">
        <f t="array" ref="H311">IFERROR(INDEX('HIV-Other HPs'!$M$14:$M$40,MATCH($E311&amp;$F311,'HIV-Other HPs'!$E$14:$E$40&amp;'HIV-Other HPs'!$I$14:$I$40,0)),"")</f>
        <v/>
      </c>
      <c r="I311" s="651">
        <f t="array" ref="I311">IFERROR(INDEX('HIV-Other HPs'!$N$14:$N$40,MATCH($E311&amp;$F311,'HIV-Other HPs'!$E$14:$E$40&amp;'HIV-Other HPs'!$I$14:$I$40,0)),0)</f>
        <v>0</v>
      </c>
      <c r="J311" s="651">
        <f t="array" ref="J311">IFERROR(INDEX('HIV-Other HPs'!$O$14:$O$40,MATCH($E311&amp;$F311,'HIV-Other HPs'!$E$14:$E$40&amp;'HIV-Other HPs'!$I$14:$I$40,0)),0)</f>
        <v>0</v>
      </c>
      <c r="K311" s="652">
        <f t="shared" si="216"/>
        <v>0</v>
      </c>
      <c r="L311" s="652">
        <f t="shared" si="217"/>
        <v>0</v>
      </c>
      <c r="M311" s="652">
        <f t="shared" si="218"/>
        <v>0</v>
      </c>
      <c r="N311" s="651">
        <f t="array" ref="N311">IFERROR(INDEX('HIV-Other HPs'!$P$14:$P$40,MATCH($E311&amp;$F311,'HIV-Other HPs'!$E$14:$E$40&amp;'HIV-Other HPs'!$I$14:$I$40,0)),0)</f>
        <v>0</v>
      </c>
      <c r="O311" s="652">
        <f t="shared" si="219"/>
        <v>0</v>
      </c>
      <c r="P311" s="652">
        <f t="shared" si="220"/>
        <v>0</v>
      </c>
      <c r="Q311" s="652">
        <f t="shared" si="221"/>
        <v>0</v>
      </c>
      <c r="R311" s="651">
        <f t="array" ref="R311">IFERROR(INDEX('HIV-Other HPs'!$Q$14:$Q$40,MATCH($E311&amp;$F311,'HIV-Other HPs'!$E$14:$E$40&amp;'HIV-Other HPs'!$I$14:$I$40,0)),0)</f>
        <v>0</v>
      </c>
      <c r="S311" s="652">
        <f t="shared" si="222"/>
        <v>0</v>
      </c>
      <c r="T311" s="652">
        <f t="shared" si="223"/>
        <v>0</v>
      </c>
      <c r="U311" s="652">
        <f t="shared" si="224"/>
        <v>0</v>
      </c>
      <c r="V311" s="651">
        <f t="array" ref="V311">IFERROR(INDEX('HIV-Other HPs'!$R$14:$R$40,MATCH($E311&amp;$F311,'HIV-Other HPs'!$E$14:$E$40&amp;'HIV-Other HPs'!$I$14:$I$40,0)),0)</f>
        <v>0</v>
      </c>
      <c r="W311" s="652">
        <f t="shared" si="225"/>
        <v>0</v>
      </c>
      <c r="X311" s="652">
        <f t="shared" si="226"/>
        <v>0</v>
      </c>
      <c r="Y311" s="652">
        <f t="shared" si="227"/>
        <v>0</v>
      </c>
      <c r="Z311" s="664"/>
      <c r="AA311" s="651">
        <f t="array" ref="AA311">IFERROR(INDEX('HIV-Other HPs'!$U$14:$U$40,MATCH($E311&amp;$F311,'HIV-Other HPs'!$E$14:$E$40&amp;'HIV-Other HPs'!$I$14:$I$40,0)),0)</f>
        <v>0</v>
      </c>
      <c r="AB311" s="651">
        <f t="array" ref="AB311">IFERROR(INDEX('HIV-Other HPs'!$V$14:$V$40,MATCH($E311&amp;$F311,'HIV-Other HPs'!$E$14:$E$40&amp;'HIV-Other HPs'!$I$14:$I$40,0)),0)</f>
        <v>0</v>
      </c>
      <c r="AC311" s="651">
        <f t="shared" si="228"/>
        <v>0</v>
      </c>
      <c r="AD311" s="652">
        <f t="shared" si="229"/>
        <v>0</v>
      </c>
      <c r="AE311" s="652">
        <f t="shared" si="230"/>
        <v>0</v>
      </c>
      <c r="AF311" s="651">
        <f t="array" ref="AF311">IFERROR(INDEX('HIV-Other HPs'!$W$14:$W$40,MATCH($E311&amp;$F311,'HIV-Other HPs'!$E$14:$E$40&amp;'HIV-Other HPs'!$I$14:$I$40,0)),0)</f>
        <v>0</v>
      </c>
      <c r="AG311" s="651">
        <f t="shared" si="231"/>
        <v>0</v>
      </c>
      <c r="AH311" s="652">
        <f t="shared" si="232"/>
        <v>0</v>
      </c>
      <c r="AI311" s="652">
        <f t="shared" si="233"/>
        <v>0</v>
      </c>
      <c r="AJ311" s="651">
        <f t="array" ref="AJ311">IFERROR(INDEX('HIV-Other HPs'!$X$14:$X$40,MATCH($E311&amp;$F311,'HIV-Other HPs'!$E$14:$E$40&amp;'HIV-Other HPs'!$I$14:$I$40,0)),0)</f>
        <v>0</v>
      </c>
      <c r="AK311" s="651">
        <f t="shared" si="234"/>
        <v>0</v>
      </c>
      <c r="AL311" s="652">
        <f t="shared" si="235"/>
        <v>0</v>
      </c>
      <c r="AM311" s="652">
        <f t="shared" si="236"/>
        <v>0</v>
      </c>
      <c r="AN311" s="651">
        <f t="array" ref="AN311">IFERROR(INDEX('HIV-Other HPs'!$Y$14:$Y$40,MATCH($E311&amp;$F311,'HIV-Other HPs'!$E$14:$E$40&amp;'HIV-Other HPs'!$I$14:$I$40,0)),0)</f>
        <v>0</v>
      </c>
      <c r="AO311" s="651">
        <f t="shared" si="237"/>
        <v>0</v>
      </c>
      <c r="AP311" s="652">
        <f t="shared" si="238"/>
        <v>0</v>
      </c>
      <c r="AQ311" s="652">
        <f t="shared" si="239"/>
        <v>0</v>
      </c>
      <c r="AR311" s="664"/>
      <c r="AS311" s="651">
        <f t="array" ref="AS311">IFERROR(INDEX('HIV-Other HPs'!$AB$14:$AB$40,MATCH($E311&amp;$F311,'HIV-Other HPs'!$E$14:$E$40&amp;'HIV-Other HPs'!$I$14:$I$40,0)),0)</f>
        <v>0</v>
      </c>
      <c r="AT311" s="651">
        <f t="array" ref="AT311">IFERROR(INDEX('HIV-Other HPs'!$AC$14:$AC$40,MATCH($E311&amp;$F311,'HIV-Other HPs'!$E$14:$E$40&amp;'HIV-Other HPs'!$I$14:$I$40,0)),0)</f>
        <v>0</v>
      </c>
      <c r="AU311" s="651">
        <f t="shared" si="240"/>
        <v>0</v>
      </c>
      <c r="AV311" s="652">
        <f t="shared" si="241"/>
        <v>0</v>
      </c>
      <c r="AW311" s="652">
        <f t="shared" si="242"/>
        <v>0</v>
      </c>
      <c r="AX311" s="651">
        <f t="array" ref="AX311">IFERROR(INDEX('HIV-Other HPs'!$AD$14:$AD$40,MATCH($E311&amp;$F311,'HIV-Other HPs'!$E$14:$E$40&amp;'HIV-Other HPs'!$I$14:$I$40,0)),0)</f>
        <v>0</v>
      </c>
      <c r="AY311" s="651">
        <f t="shared" si="243"/>
        <v>0</v>
      </c>
      <c r="AZ311" s="652">
        <f t="shared" si="244"/>
        <v>0</v>
      </c>
      <c r="BA311" s="652">
        <f t="shared" si="245"/>
        <v>0</v>
      </c>
      <c r="BB311" s="651">
        <f t="array" ref="BB311">IFERROR(INDEX('HIV-Other HPs'!$AE$14:$AE$40,MATCH($E311&amp;$F311,'HIV-Other HPs'!$E$14:$E$40&amp;'HIV-Other HPs'!$I$14:$I$40,0)),0)</f>
        <v>0</v>
      </c>
      <c r="BC311" s="651">
        <f t="shared" si="246"/>
        <v>0</v>
      </c>
      <c r="BD311" s="652">
        <f t="shared" si="247"/>
        <v>0</v>
      </c>
      <c r="BE311" s="652">
        <f t="shared" si="248"/>
        <v>0</v>
      </c>
      <c r="BF311" s="651">
        <f t="array" ref="BF311">IFERROR(INDEX('HIV-Other HPs'!$AF$14:$AF$40,MATCH($E311&amp;$F311,'HIV-Other HPs'!$E$14:$E$40&amp;'HIV-Other HPs'!$I$14:$I$40,0)),0)</f>
        <v>0</v>
      </c>
      <c r="BG311" s="651">
        <f t="shared" si="249"/>
        <v>0</v>
      </c>
      <c r="BH311" s="652">
        <f t="shared" si="250"/>
        <v>0</v>
      </c>
      <c r="BI311" s="652">
        <f t="shared" si="251"/>
        <v>0</v>
      </c>
      <c r="BJ311" s="662"/>
      <c r="BK311" s="663"/>
      <c r="BL311" s="663"/>
      <c r="BM311" s="663"/>
      <c r="BN311" s="663"/>
      <c r="BO311" s="663"/>
      <c r="BP311" s="663"/>
      <c r="BQ311" s="663"/>
      <c r="BR311" s="663"/>
    </row>
    <row r="312" spans="1:70">
      <c r="A312" s="655" t="s">
        <v>822</v>
      </c>
      <c r="B312" s="655" t="s">
        <v>2284</v>
      </c>
      <c r="C312" s="648">
        <f>SETUP!$F$27</f>
        <v>0</v>
      </c>
      <c r="D312" s="654">
        <v>5.2</v>
      </c>
      <c r="E312" s="663" t="s">
        <v>208</v>
      </c>
      <c r="F312" s="663" t="s">
        <v>1140</v>
      </c>
      <c r="G312" s="650" t="str">
        <f t="array" ref="G312">IFERROR(INDEX('HIV-Other HPs'!$L$14:$L$40,MATCH($E312&amp;$F312,'HIV-Other HPs'!$E$14:$E$40&amp;'HIV-Other HPs'!$I$14:$I$40,0)),"")</f>
        <v/>
      </c>
      <c r="H312" s="650" t="str">
        <f t="array" ref="H312">IFERROR(INDEX('HIV-Other HPs'!$M$14:$M$40,MATCH($E312&amp;$F312,'HIV-Other HPs'!$E$14:$E$40&amp;'HIV-Other HPs'!$I$14:$I$40,0)),"")</f>
        <v/>
      </c>
      <c r="I312" s="651">
        <f t="array" ref="I312">IFERROR(INDEX('HIV-Other HPs'!$N$14:$N$40,MATCH($E312&amp;$F312,'HIV-Other HPs'!$E$14:$E$40&amp;'HIV-Other HPs'!$I$14:$I$40,0)),0)</f>
        <v>0</v>
      </c>
      <c r="J312" s="651">
        <f t="array" ref="J312">IFERROR(INDEX('HIV-Other HPs'!$O$14:$O$40,MATCH($E312&amp;$F312,'HIV-Other HPs'!$E$14:$E$40&amp;'HIV-Other HPs'!$I$14:$I$40,0)),0)</f>
        <v>0</v>
      </c>
      <c r="K312" s="652">
        <f t="shared" si="216"/>
        <v>0</v>
      </c>
      <c r="L312" s="652">
        <f t="shared" si="217"/>
        <v>0</v>
      </c>
      <c r="M312" s="652">
        <f t="shared" si="218"/>
        <v>0</v>
      </c>
      <c r="N312" s="651">
        <f t="array" ref="N312">IFERROR(INDEX('HIV-Other HPs'!$P$14:$P$40,MATCH($E312&amp;$F312,'HIV-Other HPs'!$E$14:$E$40&amp;'HIV-Other HPs'!$I$14:$I$40,0)),0)</f>
        <v>0</v>
      </c>
      <c r="O312" s="652">
        <f t="shared" si="219"/>
        <v>0</v>
      </c>
      <c r="P312" s="652">
        <f t="shared" si="220"/>
        <v>0</v>
      </c>
      <c r="Q312" s="652">
        <f t="shared" si="221"/>
        <v>0</v>
      </c>
      <c r="R312" s="651">
        <f t="array" ref="R312">IFERROR(INDEX('HIV-Other HPs'!$Q$14:$Q$40,MATCH($E312&amp;$F312,'HIV-Other HPs'!$E$14:$E$40&amp;'HIV-Other HPs'!$I$14:$I$40,0)),0)</f>
        <v>0</v>
      </c>
      <c r="S312" s="652">
        <f t="shared" si="222"/>
        <v>0</v>
      </c>
      <c r="T312" s="652">
        <f t="shared" si="223"/>
        <v>0</v>
      </c>
      <c r="U312" s="652">
        <f t="shared" si="224"/>
        <v>0</v>
      </c>
      <c r="V312" s="651">
        <f t="array" ref="V312">IFERROR(INDEX('HIV-Other HPs'!$R$14:$R$40,MATCH($E312&amp;$F312,'HIV-Other HPs'!$E$14:$E$40&amp;'HIV-Other HPs'!$I$14:$I$40,0)),0)</f>
        <v>0</v>
      </c>
      <c r="W312" s="652">
        <f t="shared" si="225"/>
        <v>0</v>
      </c>
      <c r="X312" s="652">
        <f t="shared" si="226"/>
        <v>0</v>
      </c>
      <c r="Y312" s="652">
        <f t="shared" si="227"/>
        <v>0</v>
      </c>
      <c r="Z312" s="664"/>
      <c r="AA312" s="651">
        <f t="array" ref="AA312">IFERROR(INDEX('HIV-Other HPs'!$U$14:$U$40,MATCH($E312&amp;$F312,'HIV-Other HPs'!$E$14:$E$40&amp;'HIV-Other HPs'!$I$14:$I$40,0)),0)</f>
        <v>0</v>
      </c>
      <c r="AB312" s="651">
        <f t="array" ref="AB312">IFERROR(INDEX('HIV-Other HPs'!$V$14:$V$40,MATCH($E312&amp;$F312,'HIV-Other HPs'!$E$14:$E$40&amp;'HIV-Other HPs'!$I$14:$I$40,0)),0)</f>
        <v>0</v>
      </c>
      <c r="AC312" s="651">
        <f t="shared" si="228"/>
        <v>0</v>
      </c>
      <c r="AD312" s="652">
        <f t="shared" si="229"/>
        <v>0</v>
      </c>
      <c r="AE312" s="652">
        <f t="shared" si="230"/>
        <v>0</v>
      </c>
      <c r="AF312" s="651">
        <f t="array" ref="AF312">IFERROR(INDEX('HIV-Other HPs'!$W$14:$W$40,MATCH($E312&amp;$F312,'HIV-Other HPs'!$E$14:$E$40&amp;'HIV-Other HPs'!$I$14:$I$40,0)),0)</f>
        <v>0</v>
      </c>
      <c r="AG312" s="651">
        <f t="shared" si="231"/>
        <v>0</v>
      </c>
      <c r="AH312" s="652">
        <f t="shared" si="232"/>
        <v>0</v>
      </c>
      <c r="AI312" s="652">
        <f t="shared" si="233"/>
        <v>0</v>
      </c>
      <c r="AJ312" s="651">
        <f t="array" ref="AJ312">IFERROR(INDEX('HIV-Other HPs'!$X$14:$X$40,MATCH($E312&amp;$F312,'HIV-Other HPs'!$E$14:$E$40&amp;'HIV-Other HPs'!$I$14:$I$40,0)),0)</f>
        <v>0</v>
      </c>
      <c r="AK312" s="651">
        <f t="shared" si="234"/>
        <v>0</v>
      </c>
      <c r="AL312" s="652">
        <f t="shared" si="235"/>
        <v>0</v>
      </c>
      <c r="AM312" s="652">
        <f t="shared" si="236"/>
        <v>0</v>
      </c>
      <c r="AN312" s="651">
        <f t="array" ref="AN312">IFERROR(INDEX('HIV-Other HPs'!$Y$14:$Y$40,MATCH($E312&amp;$F312,'HIV-Other HPs'!$E$14:$E$40&amp;'HIV-Other HPs'!$I$14:$I$40,0)),0)</f>
        <v>0</v>
      </c>
      <c r="AO312" s="651">
        <f t="shared" si="237"/>
        <v>0</v>
      </c>
      <c r="AP312" s="652">
        <f t="shared" si="238"/>
        <v>0</v>
      </c>
      <c r="AQ312" s="652">
        <f t="shared" si="239"/>
        <v>0</v>
      </c>
      <c r="AR312" s="664"/>
      <c r="AS312" s="651">
        <f t="array" ref="AS312">IFERROR(INDEX('HIV-Other HPs'!$AB$14:$AB$40,MATCH($E312&amp;$F312,'HIV-Other HPs'!$E$14:$E$40&amp;'HIV-Other HPs'!$I$14:$I$40,0)),0)</f>
        <v>0</v>
      </c>
      <c r="AT312" s="651">
        <f t="array" ref="AT312">IFERROR(INDEX('HIV-Other HPs'!$AC$14:$AC$40,MATCH($E312&amp;$F312,'HIV-Other HPs'!$E$14:$E$40&amp;'HIV-Other HPs'!$I$14:$I$40,0)),0)</f>
        <v>0</v>
      </c>
      <c r="AU312" s="651">
        <f t="shared" si="240"/>
        <v>0</v>
      </c>
      <c r="AV312" s="652">
        <f t="shared" si="241"/>
        <v>0</v>
      </c>
      <c r="AW312" s="652">
        <f t="shared" si="242"/>
        <v>0</v>
      </c>
      <c r="AX312" s="651">
        <f t="array" ref="AX312">IFERROR(INDEX('HIV-Other HPs'!$AD$14:$AD$40,MATCH($E312&amp;$F312,'HIV-Other HPs'!$E$14:$E$40&amp;'HIV-Other HPs'!$I$14:$I$40,0)),0)</f>
        <v>0</v>
      </c>
      <c r="AY312" s="651">
        <f t="shared" si="243"/>
        <v>0</v>
      </c>
      <c r="AZ312" s="652">
        <f t="shared" si="244"/>
        <v>0</v>
      </c>
      <c r="BA312" s="652">
        <f t="shared" si="245"/>
        <v>0</v>
      </c>
      <c r="BB312" s="651">
        <f t="array" ref="BB312">IFERROR(INDEX('HIV-Other HPs'!$AE$14:$AE$40,MATCH($E312&amp;$F312,'HIV-Other HPs'!$E$14:$E$40&amp;'HIV-Other HPs'!$I$14:$I$40,0)),0)</f>
        <v>0</v>
      </c>
      <c r="BC312" s="651">
        <f t="shared" si="246"/>
        <v>0</v>
      </c>
      <c r="BD312" s="652">
        <f t="shared" si="247"/>
        <v>0</v>
      </c>
      <c r="BE312" s="652">
        <f t="shared" si="248"/>
        <v>0</v>
      </c>
      <c r="BF312" s="651">
        <f t="array" ref="BF312">IFERROR(INDEX('HIV-Other HPs'!$AF$14:$AF$40,MATCH($E312&amp;$F312,'HIV-Other HPs'!$E$14:$E$40&amp;'HIV-Other HPs'!$I$14:$I$40,0)),0)</f>
        <v>0</v>
      </c>
      <c r="BG312" s="651">
        <f t="shared" si="249"/>
        <v>0</v>
      </c>
      <c r="BH312" s="652">
        <f t="shared" si="250"/>
        <v>0</v>
      </c>
      <c r="BI312" s="652">
        <f t="shared" si="251"/>
        <v>0</v>
      </c>
      <c r="BJ312" s="662"/>
      <c r="BK312" s="663"/>
      <c r="BL312" s="663"/>
      <c r="BM312" s="663"/>
      <c r="BN312" s="663"/>
      <c r="BO312" s="663"/>
      <c r="BP312" s="663"/>
      <c r="BQ312" s="663"/>
      <c r="BR312" s="663"/>
    </row>
    <row r="313" spans="1:70">
      <c r="A313" s="655" t="s">
        <v>822</v>
      </c>
      <c r="B313" s="655" t="s">
        <v>2284</v>
      </c>
      <c r="C313" s="648">
        <f>SETUP!$F$27</f>
        <v>0</v>
      </c>
      <c r="D313" s="654">
        <v>5.3</v>
      </c>
      <c r="E313" s="663" t="s">
        <v>204</v>
      </c>
      <c r="F313" s="663" t="s">
        <v>1707</v>
      </c>
      <c r="G313" s="650" t="str">
        <f t="array" ref="G313">IFERROR(INDEX('HIV-Other HPs'!$L$14:$L$40,MATCH($E313&amp;$F313,'HIV-Other HPs'!$E$14:$E$40&amp;'HIV-Other HPs'!$I$14:$I$40,0)),"")</f>
        <v/>
      </c>
      <c r="H313" s="650" t="str">
        <f t="array" ref="H313">IFERROR(INDEX('HIV-Other HPs'!$M$14:$M$40,MATCH($E313&amp;$F313,'HIV-Other HPs'!$E$14:$E$40&amp;'HIV-Other HPs'!$I$14:$I$40,0)),"")</f>
        <v/>
      </c>
      <c r="I313" s="651">
        <f t="array" ref="I313">IFERROR(INDEX('HIV-Other HPs'!$N$14:$N$40,MATCH($E313&amp;$F313,'HIV-Other HPs'!$E$14:$E$40&amp;'HIV-Other HPs'!$I$14:$I$40,0)),0)</f>
        <v>0</v>
      </c>
      <c r="J313" s="651">
        <f t="array" ref="J313">IFERROR(INDEX('HIV-Other HPs'!$O$14:$O$40,MATCH($E313&amp;$F313,'HIV-Other HPs'!$E$14:$E$40&amp;'HIV-Other HPs'!$I$14:$I$40,0)),0)</f>
        <v>0</v>
      </c>
      <c r="K313" s="652">
        <f t="shared" si="216"/>
        <v>0</v>
      </c>
      <c r="L313" s="652">
        <f t="shared" si="217"/>
        <v>0</v>
      </c>
      <c r="M313" s="652">
        <f t="shared" si="218"/>
        <v>0</v>
      </c>
      <c r="N313" s="651">
        <f t="array" ref="N313">IFERROR(INDEX('HIV-Other HPs'!$P$14:$P$40,MATCH($E313&amp;$F313,'HIV-Other HPs'!$E$14:$E$40&amp;'HIV-Other HPs'!$I$14:$I$40,0)),0)</f>
        <v>0</v>
      </c>
      <c r="O313" s="652">
        <f t="shared" si="219"/>
        <v>0</v>
      </c>
      <c r="P313" s="652">
        <f t="shared" si="220"/>
        <v>0</v>
      </c>
      <c r="Q313" s="652">
        <f t="shared" si="221"/>
        <v>0</v>
      </c>
      <c r="R313" s="651">
        <f t="array" ref="R313">IFERROR(INDEX('HIV-Other HPs'!$Q$14:$Q$40,MATCH($E313&amp;$F313,'HIV-Other HPs'!$E$14:$E$40&amp;'HIV-Other HPs'!$I$14:$I$40,0)),0)</f>
        <v>0</v>
      </c>
      <c r="S313" s="652">
        <f t="shared" si="222"/>
        <v>0</v>
      </c>
      <c r="T313" s="652">
        <f t="shared" si="223"/>
        <v>0</v>
      </c>
      <c r="U313" s="652">
        <f t="shared" si="224"/>
        <v>0</v>
      </c>
      <c r="V313" s="651">
        <f t="array" ref="V313">IFERROR(INDEX('HIV-Other HPs'!$R$14:$R$40,MATCH($E313&amp;$F313,'HIV-Other HPs'!$E$14:$E$40&amp;'HIV-Other HPs'!$I$14:$I$40,0)),0)</f>
        <v>0</v>
      </c>
      <c r="W313" s="652">
        <f t="shared" si="225"/>
        <v>0</v>
      </c>
      <c r="X313" s="652">
        <f t="shared" si="226"/>
        <v>0</v>
      </c>
      <c r="Y313" s="652">
        <f t="shared" si="227"/>
        <v>0</v>
      </c>
      <c r="Z313" s="664"/>
      <c r="AA313" s="651">
        <f t="array" ref="AA313">IFERROR(INDEX('HIV-Other HPs'!$U$14:$U$40,MATCH($E313&amp;$F313,'HIV-Other HPs'!$E$14:$E$40&amp;'HIV-Other HPs'!$I$14:$I$40,0)),0)</f>
        <v>0</v>
      </c>
      <c r="AB313" s="651">
        <f t="array" ref="AB313">IFERROR(INDEX('HIV-Other HPs'!$V$14:$V$40,MATCH($E313&amp;$F313,'HIV-Other HPs'!$E$14:$E$40&amp;'HIV-Other HPs'!$I$14:$I$40,0)),0)</f>
        <v>0</v>
      </c>
      <c r="AC313" s="651">
        <f t="shared" si="228"/>
        <v>0</v>
      </c>
      <c r="AD313" s="652">
        <f t="shared" si="229"/>
        <v>0</v>
      </c>
      <c r="AE313" s="652">
        <f t="shared" si="230"/>
        <v>0</v>
      </c>
      <c r="AF313" s="651">
        <f t="array" ref="AF313">IFERROR(INDEX('HIV-Other HPs'!$W$14:$W$40,MATCH($E313&amp;$F313,'HIV-Other HPs'!$E$14:$E$40&amp;'HIV-Other HPs'!$I$14:$I$40,0)),0)</f>
        <v>0</v>
      </c>
      <c r="AG313" s="651">
        <f t="shared" si="231"/>
        <v>0</v>
      </c>
      <c r="AH313" s="652">
        <f t="shared" si="232"/>
        <v>0</v>
      </c>
      <c r="AI313" s="652">
        <f t="shared" si="233"/>
        <v>0</v>
      </c>
      <c r="AJ313" s="651">
        <f t="array" ref="AJ313">IFERROR(INDEX('HIV-Other HPs'!$X$14:$X$40,MATCH($E313&amp;$F313,'HIV-Other HPs'!$E$14:$E$40&amp;'HIV-Other HPs'!$I$14:$I$40,0)),0)</f>
        <v>0</v>
      </c>
      <c r="AK313" s="651">
        <f t="shared" si="234"/>
        <v>0</v>
      </c>
      <c r="AL313" s="652">
        <f t="shared" si="235"/>
        <v>0</v>
      </c>
      <c r="AM313" s="652">
        <f t="shared" si="236"/>
        <v>0</v>
      </c>
      <c r="AN313" s="651">
        <f t="array" ref="AN313">IFERROR(INDEX('HIV-Other HPs'!$Y$14:$Y$40,MATCH($E313&amp;$F313,'HIV-Other HPs'!$E$14:$E$40&amp;'HIV-Other HPs'!$I$14:$I$40,0)),0)</f>
        <v>0</v>
      </c>
      <c r="AO313" s="651">
        <f t="shared" si="237"/>
        <v>0</v>
      </c>
      <c r="AP313" s="652">
        <f t="shared" si="238"/>
        <v>0</v>
      </c>
      <c r="AQ313" s="652">
        <f t="shared" si="239"/>
        <v>0</v>
      </c>
      <c r="AR313" s="664"/>
      <c r="AS313" s="651">
        <f t="array" ref="AS313">IFERROR(INDEX('HIV-Other HPs'!$AB$14:$AB$40,MATCH($E313&amp;$F313,'HIV-Other HPs'!$E$14:$E$40&amp;'HIV-Other HPs'!$I$14:$I$40,0)),0)</f>
        <v>0</v>
      </c>
      <c r="AT313" s="651">
        <f t="array" ref="AT313">IFERROR(INDEX('HIV-Other HPs'!$AC$14:$AC$40,MATCH($E313&amp;$F313,'HIV-Other HPs'!$E$14:$E$40&amp;'HIV-Other HPs'!$I$14:$I$40,0)),0)</f>
        <v>0</v>
      </c>
      <c r="AU313" s="651">
        <f t="shared" si="240"/>
        <v>0</v>
      </c>
      <c r="AV313" s="652">
        <f t="shared" si="241"/>
        <v>0</v>
      </c>
      <c r="AW313" s="652">
        <f t="shared" si="242"/>
        <v>0</v>
      </c>
      <c r="AX313" s="651">
        <f t="array" ref="AX313">IFERROR(INDEX('HIV-Other HPs'!$AD$14:$AD$40,MATCH($E313&amp;$F313,'HIV-Other HPs'!$E$14:$E$40&amp;'HIV-Other HPs'!$I$14:$I$40,0)),0)</f>
        <v>0</v>
      </c>
      <c r="AY313" s="651">
        <f t="shared" si="243"/>
        <v>0</v>
      </c>
      <c r="AZ313" s="652">
        <f t="shared" si="244"/>
        <v>0</v>
      </c>
      <c r="BA313" s="652">
        <f t="shared" si="245"/>
        <v>0</v>
      </c>
      <c r="BB313" s="651">
        <f t="array" ref="BB313">IFERROR(INDEX('HIV-Other HPs'!$AE$14:$AE$40,MATCH($E313&amp;$F313,'HIV-Other HPs'!$E$14:$E$40&amp;'HIV-Other HPs'!$I$14:$I$40,0)),0)</f>
        <v>0</v>
      </c>
      <c r="BC313" s="651">
        <f t="shared" si="246"/>
        <v>0</v>
      </c>
      <c r="BD313" s="652">
        <f t="shared" si="247"/>
        <v>0</v>
      </c>
      <c r="BE313" s="652">
        <f t="shared" si="248"/>
        <v>0</v>
      </c>
      <c r="BF313" s="651">
        <f t="array" ref="BF313">IFERROR(INDEX('HIV-Other HPs'!$AF$14:$AF$40,MATCH($E313&amp;$F313,'HIV-Other HPs'!$E$14:$E$40&amp;'HIV-Other HPs'!$I$14:$I$40,0)),0)</f>
        <v>0</v>
      </c>
      <c r="BG313" s="651">
        <f t="shared" si="249"/>
        <v>0</v>
      </c>
      <c r="BH313" s="652">
        <f t="shared" si="250"/>
        <v>0</v>
      </c>
      <c r="BI313" s="652">
        <f t="shared" si="251"/>
        <v>0</v>
      </c>
      <c r="BJ313" s="662"/>
      <c r="BK313" s="663"/>
      <c r="BL313" s="663"/>
      <c r="BM313" s="663"/>
      <c r="BN313" s="663"/>
      <c r="BO313" s="663"/>
      <c r="BP313" s="663"/>
      <c r="BQ313" s="663"/>
      <c r="BR313" s="663"/>
    </row>
    <row r="314" spans="1:70">
      <c r="A314" s="655" t="s">
        <v>822</v>
      </c>
      <c r="B314" s="655" t="s">
        <v>2284</v>
      </c>
      <c r="C314" s="648">
        <f>SETUP!$F$27</f>
        <v>0</v>
      </c>
      <c r="D314" s="654">
        <v>5.3</v>
      </c>
      <c r="E314" s="663" t="s">
        <v>204</v>
      </c>
      <c r="F314" s="663" t="s">
        <v>1708</v>
      </c>
      <c r="G314" s="650" t="str">
        <f t="array" ref="G314">IFERROR(INDEX('HIV-Other HPs'!$L$14:$L$40,MATCH($E314&amp;$F314,'HIV-Other HPs'!$E$14:$E$40&amp;'HIV-Other HPs'!$I$14:$I$40,0)),"")</f>
        <v/>
      </c>
      <c r="H314" s="650" t="str">
        <f t="array" ref="H314">IFERROR(INDEX('HIV-Other HPs'!$M$14:$M$40,MATCH($E314&amp;$F314,'HIV-Other HPs'!$E$14:$E$40&amp;'HIV-Other HPs'!$I$14:$I$40,0)),"")</f>
        <v/>
      </c>
      <c r="I314" s="651">
        <f t="array" ref="I314">IFERROR(INDEX('HIV-Other HPs'!$N$14:$N$40,MATCH($E314&amp;$F314,'HIV-Other HPs'!$E$14:$E$40&amp;'HIV-Other HPs'!$I$14:$I$40,0)),0)</f>
        <v>0</v>
      </c>
      <c r="J314" s="651">
        <f t="array" ref="J314">IFERROR(INDEX('HIV-Other HPs'!$O$14:$O$40,MATCH($E314&amp;$F314,'HIV-Other HPs'!$E$14:$E$40&amp;'HIV-Other HPs'!$I$14:$I$40,0)),0)</f>
        <v>0</v>
      </c>
      <c r="K314" s="652">
        <f t="shared" si="216"/>
        <v>0</v>
      </c>
      <c r="L314" s="652">
        <f t="shared" si="217"/>
        <v>0</v>
      </c>
      <c r="M314" s="652">
        <f t="shared" si="218"/>
        <v>0</v>
      </c>
      <c r="N314" s="651">
        <f t="array" ref="N314">IFERROR(INDEX('HIV-Other HPs'!$P$14:$P$40,MATCH($E314&amp;$F314,'HIV-Other HPs'!$E$14:$E$40&amp;'HIV-Other HPs'!$I$14:$I$40,0)),0)</f>
        <v>0</v>
      </c>
      <c r="O314" s="652">
        <f t="shared" si="219"/>
        <v>0</v>
      </c>
      <c r="P314" s="652">
        <f t="shared" si="220"/>
        <v>0</v>
      </c>
      <c r="Q314" s="652">
        <f t="shared" si="221"/>
        <v>0</v>
      </c>
      <c r="R314" s="651">
        <f t="array" ref="R314">IFERROR(INDEX('HIV-Other HPs'!$Q$14:$Q$40,MATCH($E314&amp;$F314,'HIV-Other HPs'!$E$14:$E$40&amp;'HIV-Other HPs'!$I$14:$I$40,0)),0)</f>
        <v>0</v>
      </c>
      <c r="S314" s="652">
        <f t="shared" si="222"/>
        <v>0</v>
      </c>
      <c r="T314" s="652">
        <f t="shared" si="223"/>
        <v>0</v>
      </c>
      <c r="U314" s="652">
        <f t="shared" si="224"/>
        <v>0</v>
      </c>
      <c r="V314" s="651">
        <f t="array" ref="V314">IFERROR(INDEX('HIV-Other HPs'!$R$14:$R$40,MATCH($E314&amp;$F314,'HIV-Other HPs'!$E$14:$E$40&amp;'HIV-Other HPs'!$I$14:$I$40,0)),0)</f>
        <v>0</v>
      </c>
      <c r="W314" s="652">
        <f t="shared" si="225"/>
        <v>0</v>
      </c>
      <c r="X314" s="652">
        <f t="shared" si="226"/>
        <v>0</v>
      </c>
      <c r="Y314" s="652">
        <f t="shared" si="227"/>
        <v>0</v>
      </c>
      <c r="Z314" s="664"/>
      <c r="AA314" s="651">
        <f t="array" ref="AA314">IFERROR(INDEX('HIV-Other HPs'!$U$14:$U$40,MATCH($E314&amp;$F314,'HIV-Other HPs'!$E$14:$E$40&amp;'HIV-Other HPs'!$I$14:$I$40,0)),0)</f>
        <v>0</v>
      </c>
      <c r="AB314" s="651">
        <f t="array" ref="AB314">IFERROR(INDEX('HIV-Other HPs'!$V$14:$V$40,MATCH($E314&amp;$F314,'HIV-Other HPs'!$E$14:$E$40&amp;'HIV-Other HPs'!$I$14:$I$40,0)),0)</f>
        <v>0</v>
      </c>
      <c r="AC314" s="651">
        <f t="shared" si="228"/>
        <v>0</v>
      </c>
      <c r="AD314" s="652">
        <f t="shared" si="229"/>
        <v>0</v>
      </c>
      <c r="AE314" s="652">
        <f t="shared" si="230"/>
        <v>0</v>
      </c>
      <c r="AF314" s="651">
        <f t="array" ref="AF314">IFERROR(INDEX('HIV-Other HPs'!$W$14:$W$40,MATCH($E314&amp;$F314,'HIV-Other HPs'!$E$14:$E$40&amp;'HIV-Other HPs'!$I$14:$I$40,0)),0)</f>
        <v>0</v>
      </c>
      <c r="AG314" s="651">
        <f t="shared" si="231"/>
        <v>0</v>
      </c>
      <c r="AH314" s="652">
        <f t="shared" si="232"/>
        <v>0</v>
      </c>
      <c r="AI314" s="652">
        <f t="shared" si="233"/>
        <v>0</v>
      </c>
      <c r="AJ314" s="651">
        <f t="array" ref="AJ314">IFERROR(INDEX('HIV-Other HPs'!$X$14:$X$40,MATCH($E314&amp;$F314,'HIV-Other HPs'!$E$14:$E$40&amp;'HIV-Other HPs'!$I$14:$I$40,0)),0)</f>
        <v>0</v>
      </c>
      <c r="AK314" s="651">
        <f t="shared" si="234"/>
        <v>0</v>
      </c>
      <c r="AL314" s="652">
        <f t="shared" si="235"/>
        <v>0</v>
      </c>
      <c r="AM314" s="652">
        <f t="shared" si="236"/>
        <v>0</v>
      </c>
      <c r="AN314" s="651">
        <f t="array" ref="AN314">IFERROR(INDEX('HIV-Other HPs'!$Y$14:$Y$40,MATCH($E314&amp;$F314,'HIV-Other HPs'!$E$14:$E$40&amp;'HIV-Other HPs'!$I$14:$I$40,0)),0)</f>
        <v>0</v>
      </c>
      <c r="AO314" s="651">
        <f t="shared" si="237"/>
        <v>0</v>
      </c>
      <c r="AP314" s="652">
        <f t="shared" si="238"/>
        <v>0</v>
      </c>
      <c r="AQ314" s="652">
        <f t="shared" si="239"/>
        <v>0</v>
      </c>
      <c r="AR314" s="664"/>
      <c r="AS314" s="651">
        <f t="array" ref="AS314">IFERROR(INDEX('HIV-Other HPs'!$AB$14:$AB$40,MATCH($E314&amp;$F314,'HIV-Other HPs'!$E$14:$E$40&amp;'HIV-Other HPs'!$I$14:$I$40,0)),0)</f>
        <v>0</v>
      </c>
      <c r="AT314" s="651">
        <f t="array" ref="AT314">IFERROR(INDEX('HIV-Other HPs'!$AC$14:$AC$40,MATCH($E314&amp;$F314,'HIV-Other HPs'!$E$14:$E$40&amp;'HIV-Other HPs'!$I$14:$I$40,0)),0)</f>
        <v>0</v>
      </c>
      <c r="AU314" s="651">
        <f t="shared" si="240"/>
        <v>0</v>
      </c>
      <c r="AV314" s="652">
        <f t="shared" si="241"/>
        <v>0</v>
      </c>
      <c r="AW314" s="652">
        <f t="shared" si="242"/>
        <v>0</v>
      </c>
      <c r="AX314" s="651">
        <f t="array" ref="AX314">IFERROR(INDEX('HIV-Other HPs'!$AD$14:$AD$40,MATCH($E314&amp;$F314,'HIV-Other HPs'!$E$14:$E$40&amp;'HIV-Other HPs'!$I$14:$I$40,0)),0)</f>
        <v>0</v>
      </c>
      <c r="AY314" s="651">
        <f t="shared" si="243"/>
        <v>0</v>
      </c>
      <c r="AZ314" s="652">
        <f t="shared" si="244"/>
        <v>0</v>
      </c>
      <c r="BA314" s="652">
        <f t="shared" si="245"/>
        <v>0</v>
      </c>
      <c r="BB314" s="651">
        <f t="array" ref="BB314">IFERROR(INDEX('HIV-Other HPs'!$AE$14:$AE$40,MATCH($E314&amp;$F314,'HIV-Other HPs'!$E$14:$E$40&amp;'HIV-Other HPs'!$I$14:$I$40,0)),0)</f>
        <v>0</v>
      </c>
      <c r="BC314" s="651">
        <f t="shared" si="246"/>
        <v>0</v>
      </c>
      <c r="BD314" s="652">
        <f t="shared" si="247"/>
        <v>0</v>
      </c>
      <c r="BE314" s="652">
        <f t="shared" si="248"/>
        <v>0</v>
      </c>
      <c r="BF314" s="651">
        <f t="array" ref="BF314">IFERROR(INDEX('HIV-Other HPs'!$AF$14:$AF$40,MATCH($E314&amp;$F314,'HIV-Other HPs'!$E$14:$E$40&amp;'HIV-Other HPs'!$I$14:$I$40,0)),0)</f>
        <v>0</v>
      </c>
      <c r="BG314" s="651">
        <f t="shared" si="249"/>
        <v>0</v>
      </c>
      <c r="BH314" s="652">
        <f t="shared" si="250"/>
        <v>0</v>
      </c>
      <c r="BI314" s="652">
        <f t="shared" si="251"/>
        <v>0</v>
      </c>
      <c r="BJ314" s="662"/>
      <c r="BK314" s="663"/>
      <c r="BL314" s="663"/>
      <c r="BM314" s="663"/>
      <c r="BN314" s="663"/>
      <c r="BO314" s="663"/>
      <c r="BP314" s="663"/>
      <c r="BQ314" s="663"/>
      <c r="BR314" s="663"/>
    </row>
    <row r="315" spans="1:70">
      <c r="A315" s="655" t="s">
        <v>822</v>
      </c>
      <c r="B315" s="655" t="s">
        <v>2284</v>
      </c>
      <c r="C315" s="648">
        <f>SETUP!$F$27</f>
        <v>0</v>
      </c>
      <c r="D315" s="654">
        <v>5.3</v>
      </c>
      <c r="E315" s="663" t="s">
        <v>204</v>
      </c>
      <c r="F315" s="663" t="s">
        <v>1709</v>
      </c>
      <c r="G315" s="650" t="str">
        <f t="array" ref="G315">IFERROR(INDEX('HIV-Other HPs'!$L$14:$L$40,MATCH($E315&amp;$F315,'HIV-Other HPs'!$E$14:$E$40&amp;'HIV-Other HPs'!$I$14:$I$40,0)),"")</f>
        <v/>
      </c>
      <c r="H315" s="650" t="str">
        <f t="array" ref="H315">IFERROR(INDEX('HIV-Other HPs'!$M$14:$M$40,MATCH($E315&amp;$F315,'HIV-Other HPs'!$E$14:$E$40&amp;'HIV-Other HPs'!$I$14:$I$40,0)),"")</f>
        <v/>
      </c>
      <c r="I315" s="651">
        <f t="array" ref="I315">IFERROR(INDEX('HIV-Other HPs'!$N$14:$N$40,MATCH($E315&amp;$F315,'HIV-Other HPs'!$E$14:$E$40&amp;'HIV-Other HPs'!$I$14:$I$40,0)),0)</f>
        <v>0</v>
      </c>
      <c r="J315" s="651">
        <f t="array" ref="J315">IFERROR(INDEX('HIV-Other HPs'!$O$14:$O$40,MATCH($E315&amp;$F315,'HIV-Other HPs'!$E$14:$E$40&amp;'HIV-Other HPs'!$I$14:$I$40,0)),0)</f>
        <v>0</v>
      </c>
      <c r="K315" s="652">
        <f t="shared" si="216"/>
        <v>0</v>
      </c>
      <c r="L315" s="652">
        <f t="shared" si="217"/>
        <v>0</v>
      </c>
      <c r="M315" s="652">
        <f t="shared" si="218"/>
        <v>0</v>
      </c>
      <c r="N315" s="651">
        <f t="array" ref="N315">IFERROR(INDEX('HIV-Other HPs'!$P$14:$P$40,MATCH($E315&amp;$F315,'HIV-Other HPs'!$E$14:$E$40&amp;'HIV-Other HPs'!$I$14:$I$40,0)),0)</f>
        <v>0</v>
      </c>
      <c r="O315" s="652">
        <f t="shared" si="219"/>
        <v>0</v>
      </c>
      <c r="P315" s="652">
        <f t="shared" si="220"/>
        <v>0</v>
      </c>
      <c r="Q315" s="652">
        <f t="shared" si="221"/>
        <v>0</v>
      </c>
      <c r="R315" s="651">
        <f t="array" ref="R315">IFERROR(INDEX('HIV-Other HPs'!$Q$14:$Q$40,MATCH($E315&amp;$F315,'HIV-Other HPs'!$E$14:$E$40&amp;'HIV-Other HPs'!$I$14:$I$40,0)),0)</f>
        <v>0</v>
      </c>
      <c r="S315" s="652">
        <f t="shared" si="222"/>
        <v>0</v>
      </c>
      <c r="T315" s="652">
        <f t="shared" si="223"/>
        <v>0</v>
      </c>
      <c r="U315" s="652">
        <f t="shared" si="224"/>
        <v>0</v>
      </c>
      <c r="V315" s="651">
        <f t="array" ref="V315">IFERROR(INDEX('HIV-Other HPs'!$R$14:$R$40,MATCH($E315&amp;$F315,'HIV-Other HPs'!$E$14:$E$40&amp;'HIV-Other HPs'!$I$14:$I$40,0)),0)</f>
        <v>0</v>
      </c>
      <c r="W315" s="652">
        <f t="shared" si="225"/>
        <v>0</v>
      </c>
      <c r="X315" s="652">
        <f t="shared" si="226"/>
        <v>0</v>
      </c>
      <c r="Y315" s="652">
        <f t="shared" si="227"/>
        <v>0</v>
      </c>
      <c r="Z315" s="664"/>
      <c r="AA315" s="651">
        <f t="array" ref="AA315">IFERROR(INDEX('HIV-Other HPs'!$U$14:$U$40,MATCH($E315&amp;$F315,'HIV-Other HPs'!$E$14:$E$40&amp;'HIV-Other HPs'!$I$14:$I$40,0)),0)</f>
        <v>0</v>
      </c>
      <c r="AB315" s="651">
        <f t="array" ref="AB315">IFERROR(INDEX('HIV-Other HPs'!$V$14:$V$40,MATCH($E315&amp;$F315,'HIV-Other HPs'!$E$14:$E$40&amp;'HIV-Other HPs'!$I$14:$I$40,0)),0)</f>
        <v>0</v>
      </c>
      <c r="AC315" s="651">
        <f t="shared" si="228"/>
        <v>0</v>
      </c>
      <c r="AD315" s="652">
        <f t="shared" si="229"/>
        <v>0</v>
      </c>
      <c r="AE315" s="652">
        <f t="shared" si="230"/>
        <v>0</v>
      </c>
      <c r="AF315" s="651">
        <f t="array" ref="AF315">IFERROR(INDEX('HIV-Other HPs'!$W$14:$W$40,MATCH($E315&amp;$F315,'HIV-Other HPs'!$E$14:$E$40&amp;'HIV-Other HPs'!$I$14:$I$40,0)),0)</f>
        <v>0</v>
      </c>
      <c r="AG315" s="651">
        <f t="shared" si="231"/>
        <v>0</v>
      </c>
      <c r="AH315" s="652">
        <f t="shared" si="232"/>
        <v>0</v>
      </c>
      <c r="AI315" s="652">
        <f t="shared" si="233"/>
        <v>0</v>
      </c>
      <c r="AJ315" s="651">
        <f t="array" ref="AJ315">IFERROR(INDEX('HIV-Other HPs'!$X$14:$X$40,MATCH($E315&amp;$F315,'HIV-Other HPs'!$E$14:$E$40&amp;'HIV-Other HPs'!$I$14:$I$40,0)),0)</f>
        <v>0</v>
      </c>
      <c r="AK315" s="651">
        <f t="shared" si="234"/>
        <v>0</v>
      </c>
      <c r="AL315" s="652">
        <f t="shared" si="235"/>
        <v>0</v>
      </c>
      <c r="AM315" s="652">
        <f t="shared" si="236"/>
        <v>0</v>
      </c>
      <c r="AN315" s="651">
        <f t="array" ref="AN315">IFERROR(INDEX('HIV-Other HPs'!$Y$14:$Y$40,MATCH($E315&amp;$F315,'HIV-Other HPs'!$E$14:$E$40&amp;'HIV-Other HPs'!$I$14:$I$40,0)),0)</f>
        <v>0</v>
      </c>
      <c r="AO315" s="651">
        <f t="shared" si="237"/>
        <v>0</v>
      </c>
      <c r="AP315" s="652">
        <f t="shared" si="238"/>
        <v>0</v>
      </c>
      <c r="AQ315" s="652">
        <f t="shared" si="239"/>
        <v>0</v>
      </c>
      <c r="AR315" s="664"/>
      <c r="AS315" s="651">
        <f t="array" ref="AS315">IFERROR(INDEX('HIV-Other HPs'!$AB$14:$AB$40,MATCH($E315&amp;$F315,'HIV-Other HPs'!$E$14:$E$40&amp;'HIV-Other HPs'!$I$14:$I$40,0)),0)</f>
        <v>0</v>
      </c>
      <c r="AT315" s="651">
        <f t="array" ref="AT315">IFERROR(INDEX('HIV-Other HPs'!$AC$14:$AC$40,MATCH($E315&amp;$F315,'HIV-Other HPs'!$E$14:$E$40&amp;'HIV-Other HPs'!$I$14:$I$40,0)),0)</f>
        <v>0</v>
      </c>
      <c r="AU315" s="651">
        <f t="shared" si="240"/>
        <v>0</v>
      </c>
      <c r="AV315" s="652">
        <f t="shared" si="241"/>
        <v>0</v>
      </c>
      <c r="AW315" s="652">
        <f t="shared" si="242"/>
        <v>0</v>
      </c>
      <c r="AX315" s="651">
        <f t="array" ref="AX315">IFERROR(INDEX('HIV-Other HPs'!$AD$14:$AD$40,MATCH($E315&amp;$F315,'HIV-Other HPs'!$E$14:$E$40&amp;'HIV-Other HPs'!$I$14:$I$40,0)),0)</f>
        <v>0</v>
      </c>
      <c r="AY315" s="651">
        <f t="shared" si="243"/>
        <v>0</v>
      </c>
      <c r="AZ315" s="652">
        <f t="shared" si="244"/>
        <v>0</v>
      </c>
      <c r="BA315" s="652">
        <f t="shared" si="245"/>
        <v>0</v>
      </c>
      <c r="BB315" s="651">
        <f t="array" ref="BB315">IFERROR(INDEX('HIV-Other HPs'!$AE$14:$AE$40,MATCH($E315&amp;$F315,'HIV-Other HPs'!$E$14:$E$40&amp;'HIV-Other HPs'!$I$14:$I$40,0)),0)</f>
        <v>0</v>
      </c>
      <c r="BC315" s="651">
        <f t="shared" si="246"/>
        <v>0</v>
      </c>
      <c r="BD315" s="652">
        <f t="shared" si="247"/>
        <v>0</v>
      </c>
      <c r="BE315" s="652">
        <f t="shared" si="248"/>
        <v>0</v>
      </c>
      <c r="BF315" s="651">
        <f t="array" ref="BF315">IFERROR(INDEX('HIV-Other HPs'!$AF$14:$AF$40,MATCH($E315&amp;$F315,'HIV-Other HPs'!$E$14:$E$40&amp;'HIV-Other HPs'!$I$14:$I$40,0)),0)</f>
        <v>0</v>
      </c>
      <c r="BG315" s="651">
        <f t="shared" si="249"/>
        <v>0</v>
      </c>
      <c r="BH315" s="652">
        <f t="shared" si="250"/>
        <v>0</v>
      </c>
      <c r="BI315" s="652">
        <f t="shared" si="251"/>
        <v>0</v>
      </c>
      <c r="BJ315" s="662"/>
      <c r="BK315" s="663"/>
      <c r="BL315" s="663"/>
      <c r="BM315" s="663"/>
      <c r="BN315" s="663"/>
      <c r="BO315" s="663"/>
      <c r="BP315" s="663"/>
      <c r="BQ315" s="663"/>
      <c r="BR315" s="663"/>
    </row>
    <row r="316" spans="1:70">
      <c r="A316" s="655" t="s">
        <v>822</v>
      </c>
      <c r="B316" s="655" t="s">
        <v>2284</v>
      </c>
      <c r="C316" s="648">
        <f>SETUP!$F$27</f>
        <v>0</v>
      </c>
      <c r="D316" s="654">
        <v>5.3</v>
      </c>
      <c r="E316" s="663" t="s">
        <v>204</v>
      </c>
      <c r="F316" s="663" t="s">
        <v>1710</v>
      </c>
      <c r="G316" s="650" t="str">
        <f t="array" ref="G316">IFERROR(INDEX('HIV-Other HPs'!$L$14:$L$40,MATCH($E316&amp;$F316,'HIV-Other HPs'!$E$14:$E$40&amp;'HIV-Other HPs'!$I$14:$I$40,0)),"")</f>
        <v/>
      </c>
      <c r="H316" s="650" t="str">
        <f t="array" ref="H316">IFERROR(INDEX('HIV-Other HPs'!$M$14:$M$40,MATCH($E316&amp;$F316,'HIV-Other HPs'!$E$14:$E$40&amp;'HIV-Other HPs'!$I$14:$I$40,0)),"")</f>
        <v/>
      </c>
      <c r="I316" s="651">
        <f t="array" ref="I316">IFERROR(INDEX('HIV-Other HPs'!$N$14:$N$40,MATCH($E316&amp;$F316,'HIV-Other HPs'!$E$14:$E$40&amp;'HIV-Other HPs'!$I$14:$I$40,0)),0)</f>
        <v>0</v>
      </c>
      <c r="J316" s="651">
        <f t="array" ref="J316">IFERROR(INDEX('HIV-Other HPs'!$O$14:$O$40,MATCH($E316&amp;$F316,'HIV-Other HPs'!$E$14:$E$40&amp;'HIV-Other HPs'!$I$14:$I$40,0)),0)</f>
        <v>0</v>
      </c>
      <c r="K316" s="652">
        <f t="shared" si="216"/>
        <v>0</v>
      </c>
      <c r="L316" s="652">
        <f t="shared" si="217"/>
        <v>0</v>
      </c>
      <c r="M316" s="652">
        <f t="shared" si="218"/>
        <v>0</v>
      </c>
      <c r="N316" s="651">
        <f t="array" ref="N316">IFERROR(INDEX('HIV-Other HPs'!$P$14:$P$40,MATCH($E316&amp;$F316,'HIV-Other HPs'!$E$14:$E$40&amp;'HIV-Other HPs'!$I$14:$I$40,0)),0)</f>
        <v>0</v>
      </c>
      <c r="O316" s="652">
        <f t="shared" si="219"/>
        <v>0</v>
      </c>
      <c r="P316" s="652">
        <f t="shared" si="220"/>
        <v>0</v>
      </c>
      <c r="Q316" s="652">
        <f t="shared" si="221"/>
        <v>0</v>
      </c>
      <c r="R316" s="651">
        <f t="array" ref="R316">IFERROR(INDEX('HIV-Other HPs'!$Q$14:$Q$40,MATCH($E316&amp;$F316,'HIV-Other HPs'!$E$14:$E$40&amp;'HIV-Other HPs'!$I$14:$I$40,0)),0)</f>
        <v>0</v>
      </c>
      <c r="S316" s="652">
        <f t="shared" si="222"/>
        <v>0</v>
      </c>
      <c r="T316" s="652">
        <f t="shared" si="223"/>
        <v>0</v>
      </c>
      <c r="U316" s="652">
        <f t="shared" si="224"/>
        <v>0</v>
      </c>
      <c r="V316" s="651">
        <f t="array" ref="V316">IFERROR(INDEX('HIV-Other HPs'!$R$14:$R$40,MATCH($E316&amp;$F316,'HIV-Other HPs'!$E$14:$E$40&amp;'HIV-Other HPs'!$I$14:$I$40,0)),0)</f>
        <v>0</v>
      </c>
      <c r="W316" s="652">
        <f t="shared" si="225"/>
        <v>0</v>
      </c>
      <c r="X316" s="652">
        <f t="shared" si="226"/>
        <v>0</v>
      </c>
      <c r="Y316" s="652">
        <f t="shared" si="227"/>
        <v>0</v>
      </c>
      <c r="Z316" s="664"/>
      <c r="AA316" s="651">
        <f t="array" ref="AA316">IFERROR(INDEX('HIV-Other HPs'!$U$14:$U$40,MATCH($E316&amp;$F316,'HIV-Other HPs'!$E$14:$E$40&amp;'HIV-Other HPs'!$I$14:$I$40,0)),0)</f>
        <v>0</v>
      </c>
      <c r="AB316" s="651">
        <f t="array" ref="AB316">IFERROR(INDEX('HIV-Other HPs'!$V$14:$V$40,MATCH($E316&amp;$F316,'HIV-Other HPs'!$E$14:$E$40&amp;'HIV-Other HPs'!$I$14:$I$40,0)),0)</f>
        <v>0</v>
      </c>
      <c r="AC316" s="651">
        <f t="shared" si="228"/>
        <v>0</v>
      </c>
      <c r="AD316" s="652">
        <f t="shared" si="229"/>
        <v>0</v>
      </c>
      <c r="AE316" s="652">
        <f t="shared" si="230"/>
        <v>0</v>
      </c>
      <c r="AF316" s="651">
        <f t="array" ref="AF316">IFERROR(INDEX('HIV-Other HPs'!$W$14:$W$40,MATCH($E316&amp;$F316,'HIV-Other HPs'!$E$14:$E$40&amp;'HIV-Other HPs'!$I$14:$I$40,0)),0)</f>
        <v>0</v>
      </c>
      <c r="AG316" s="651">
        <f t="shared" si="231"/>
        <v>0</v>
      </c>
      <c r="AH316" s="652">
        <f t="shared" si="232"/>
        <v>0</v>
      </c>
      <c r="AI316" s="652">
        <f t="shared" si="233"/>
        <v>0</v>
      </c>
      <c r="AJ316" s="651">
        <f t="array" ref="AJ316">IFERROR(INDEX('HIV-Other HPs'!$X$14:$X$40,MATCH($E316&amp;$F316,'HIV-Other HPs'!$E$14:$E$40&amp;'HIV-Other HPs'!$I$14:$I$40,0)),0)</f>
        <v>0</v>
      </c>
      <c r="AK316" s="651">
        <f t="shared" si="234"/>
        <v>0</v>
      </c>
      <c r="AL316" s="652">
        <f t="shared" si="235"/>
        <v>0</v>
      </c>
      <c r="AM316" s="652">
        <f t="shared" si="236"/>
        <v>0</v>
      </c>
      <c r="AN316" s="651">
        <f t="array" ref="AN316">IFERROR(INDEX('HIV-Other HPs'!$Y$14:$Y$40,MATCH($E316&amp;$F316,'HIV-Other HPs'!$E$14:$E$40&amp;'HIV-Other HPs'!$I$14:$I$40,0)),0)</f>
        <v>0</v>
      </c>
      <c r="AO316" s="651">
        <f t="shared" si="237"/>
        <v>0</v>
      </c>
      <c r="AP316" s="652">
        <f t="shared" si="238"/>
        <v>0</v>
      </c>
      <c r="AQ316" s="652">
        <f t="shared" si="239"/>
        <v>0</v>
      </c>
      <c r="AR316" s="664"/>
      <c r="AS316" s="651">
        <f t="array" ref="AS316">IFERROR(INDEX('HIV-Other HPs'!$AB$14:$AB$40,MATCH($E316&amp;$F316,'HIV-Other HPs'!$E$14:$E$40&amp;'HIV-Other HPs'!$I$14:$I$40,0)),0)</f>
        <v>0</v>
      </c>
      <c r="AT316" s="651">
        <f t="array" ref="AT316">IFERROR(INDEX('HIV-Other HPs'!$AC$14:$AC$40,MATCH($E316&amp;$F316,'HIV-Other HPs'!$E$14:$E$40&amp;'HIV-Other HPs'!$I$14:$I$40,0)),0)</f>
        <v>0</v>
      </c>
      <c r="AU316" s="651">
        <f t="shared" si="240"/>
        <v>0</v>
      </c>
      <c r="AV316" s="652">
        <f t="shared" si="241"/>
        <v>0</v>
      </c>
      <c r="AW316" s="652">
        <f t="shared" si="242"/>
        <v>0</v>
      </c>
      <c r="AX316" s="651">
        <f t="array" ref="AX316">IFERROR(INDEX('HIV-Other HPs'!$AD$14:$AD$40,MATCH($E316&amp;$F316,'HIV-Other HPs'!$E$14:$E$40&amp;'HIV-Other HPs'!$I$14:$I$40,0)),0)</f>
        <v>0</v>
      </c>
      <c r="AY316" s="651">
        <f t="shared" si="243"/>
        <v>0</v>
      </c>
      <c r="AZ316" s="652">
        <f t="shared" si="244"/>
        <v>0</v>
      </c>
      <c r="BA316" s="652">
        <f t="shared" si="245"/>
        <v>0</v>
      </c>
      <c r="BB316" s="651">
        <f t="array" ref="BB316">IFERROR(INDEX('HIV-Other HPs'!$AE$14:$AE$40,MATCH($E316&amp;$F316,'HIV-Other HPs'!$E$14:$E$40&amp;'HIV-Other HPs'!$I$14:$I$40,0)),0)</f>
        <v>0</v>
      </c>
      <c r="BC316" s="651">
        <f t="shared" si="246"/>
        <v>0</v>
      </c>
      <c r="BD316" s="652">
        <f t="shared" si="247"/>
        <v>0</v>
      </c>
      <c r="BE316" s="652">
        <f t="shared" si="248"/>
        <v>0</v>
      </c>
      <c r="BF316" s="651">
        <f t="array" ref="BF316">IFERROR(INDEX('HIV-Other HPs'!$AF$14:$AF$40,MATCH($E316&amp;$F316,'HIV-Other HPs'!$E$14:$E$40&amp;'HIV-Other HPs'!$I$14:$I$40,0)),0)</f>
        <v>0</v>
      </c>
      <c r="BG316" s="651">
        <f t="shared" si="249"/>
        <v>0</v>
      </c>
      <c r="BH316" s="652">
        <f t="shared" si="250"/>
        <v>0</v>
      </c>
      <c r="BI316" s="652">
        <f t="shared" si="251"/>
        <v>0</v>
      </c>
      <c r="BJ316" s="662"/>
      <c r="BK316" s="663"/>
      <c r="BL316" s="663"/>
      <c r="BM316" s="663"/>
      <c r="BN316" s="663"/>
      <c r="BO316" s="663"/>
      <c r="BP316" s="663"/>
      <c r="BQ316" s="663"/>
      <c r="BR316" s="663"/>
    </row>
    <row r="317" spans="1:70">
      <c r="A317" s="655" t="s">
        <v>822</v>
      </c>
      <c r="B317" s="655" t="s">
        <v>2284</v>
      </c>
      <c r="C317" s="648">
        <f>SETUP!$F$27</f>
        <v>0</v>
      </c>
      <c r="D317" s="654">
        <v>5.3</v>
      </c>
      <c r="E317" s="663" t="s">
        <v>204</v>
      </c>
      <c r="F317" s="663" t="s">
        <v>1140</v>
      </c>
      <c r="G317" s="650" t="str">
        <f t="array" ref="G317">IFERROR(INDEX('HIV-Other HPs'!$L$14:$L$40,MATCH($E317&amp;$F317,'HIV-Other HPs'!$E$14:$E$40&amp;'HIV-Other HPs'!$I$14:$I$40,0)),"")</f>
        <v/>
      </c>
      <c r="H317" s="650" t="str">
        <f t="array" ref="H317">IFERROR(INDEX('HIV-Other HPs'!$M$14:$M$40,MATCH($E317&amp;$F317,'HIV-Other HPs'!$E$14:$E$40&amp;'HIV-Other HPs'!$I$14:$I$40,0)),"")</f>
        <v/>
      </c>
      <c r="I317" s="651">
        <f t="array" ref="I317">IFERROR(INDEX('HIV-Other HPs'!$N$14:$N$40,MATCH($E317&amp;$F317,'HIV-Other HPs'!$E$14:$E$40&amp;'HIV-Other HPs'!$I$14:$I$40,0)),0)</f>
        <v>0</v>
      </c>
      <c r="J317" s="651">
        <f t="array" ref="J317">IFERROR(INDEX('HIV-Other HPs'!$O$14:$O$40,MATCH($E317&amp;$F317,'HIV-Other HPs'!$E$14:$E$40&amp;'HIV-Other HPs'!$I$14:$I$40,0)),0)</f>
        <v>0</v>
      </c>
      <c r="K317" s="652">
        <f t="shared" si="216"/>
        <v>0</v>
      </c>
      <c r="L317" s="652">
        <f t="shared" si="217"/>
        <v>0</v>
      </c>
      <c r="M317" s="652">
        <f t="shared" si="218"/>
        <v>0</v>
      </c>
      <c r="N317" s="651">
        <f t="array" ref="N317">IFERROR(INDEX('HIV-Other HPs'!$P$14:$P$40,MATCH($E317&amp;$F317,'HIV-Other HPs'!$E$14:$E$40&amp;'HIV-Other HPs'!$I$14:$I$40,0)),0)</f>
        <v>0</v>
      </c>
      <c r="O317" s="652">
        <f t="shared" si="219"/>
        <v>0</v>
      </c>
      <c r="P317" s="652">
        <f t="shared" si="220"/>
        <v>0</v>
      </c>
      <c r="Q317" s="652">
        <f t="shared" si="221"/>
        <v>0</v>
      </c>
      <c r="R317" s="651">
        <f t="array" ref="R317">IFERROR(INDEX('HIV-Other HPs'!$Q$14:$Q$40,MATCH($E317&amp;$F317,'HIV-Other HPs'!$E$14:$E$40&amp;'HIV-Other HPs'!$I$14:$I$40,0)),0)</f>
        <v>0</v>
      </c>
      <c r="S317" s="652">
        <f t="shared" si="222"/>
        <v>0</v>
      </c>
      <c r="T317" s="652">
        <f t="shared" si="223"/>
        <v>0</v>
      </c>
      <c r="U317" s="652">
        <f t="shared" si="224"/>
        <v>0</v>
      </c>
      <c r="V317" s="651">
        <f t="array" ref="V317">IFERROR(INDEX('HIV-Other HPs'!$R$14:$R$40,MATCH($E317&amp;$F317,'HIV-Other HPs'!$E$14:$E$40&amp;'HIV-Other HPs'!$I$14:$I$40,0)),0)</f>
        <v>0</v>
      </c>
      <c r="W317" s="652">
        <f t="shared" si="225"/>
        <v>0</v>
      </c>
      <c r="X317" s="652">
        <f t="shared" si="226"/>
        <v>0</v>
      </c>
      <c r="Y317" s="652">
        <f t="shared" si="227"/>
        <v>0</v>
      </c>
      <c r="Z317" s="664"/>
      <c r="AA317" s="651">
        <f t="array" ref="AA317">IFERROR(INDEX('HIV-Other HPs'!$U$14:$U$40,MATCH($E317&amp;$F317,'HIV-Other HPs'!$E$14:$E$40&amp;'HIV-Other HPs'!$I$14:$I$40,0)),0)</f>
        <v>0</v>
      </c>
      <c r="AB317" s="651">
        <f t="array" ref="AB317">IFERROR(INDEX('HIV-Other HPs'!$V$14:$V$40,MATCH($E317&amp;$F317,'HIV-Other HPs'!$E$14:$E$40&amp;'HIV-Other HPs'!$I$14:$I$40,0)),0)</f>
        <v>0</v>
      </c>
      <c r="AC317" s="651">
        <f t="shared" si="228"/>
        <v>0</v>
      </c>
      <c r="AD317" s="652">
        <f t="shared" si="229"/>
        <v>0</v>
      </c>
      <c r="AE317" s="652">
        <f t="shared" si="230"/>
        <v>0</v>
      </c>
      <c r="AF317" s="651">
        <f t="array" ref="AF317">IFERROR(INDEX('HIV-Other HPs'!$W$14:$W$40,MATCH($E317&amp;$F317,'HIV-Other HPs'!$E$14:$E$40&amp;'HIV-Other HPs'!$I$14:$I$40,0)),0)</f>
        <v>0</v>
      </c>
      <c r="AG317" s="651">
        <f t="shared" si="231"/>
        <v>0</v>
      </c>
      <c r="AH317" s="652">
        <f t="shared" si="232"/>
        <v>0</v>
      </c>
      <c r="AI317" s="652">
        <f t="shared" si="233"/>
        <v>0</v>
      </c>
      <c r="AJ317" s="651">
        <f t="array" ref="AJ317">IFERROR(INDEX('HIV-Other HPs'!$X$14:$X$40,MATCH($E317&amp;$F317,'HIV-Other HPs'!$E$14:$E$40&amp;'HIV-Other HPs'!$I$14:$I$40,0)),0)</f>
        <v>0</v>
      </c>
      <c r="AK317" s="651">
        <f t="shared" si="234"/>
        <v>0</v>
      </c>
      <c r="AL317" s="652">
        <f t="shared" si="235"/>
        <v>0</v>
      </c>
      <c r="AM317" s="652">
        <f t="shared" si="236"/>
        <v>0</v>
      </c>
      <c r="AN317" s="651">
        <f t="array" ref="AN317">IFERROR(INDEX('HIV-Other HPs'!$Y$14:$Y$40,MATCH($E317&amp;$F317,'HIV-Other HPs'!$E$14:$E$40&amp;'HIV-Other HPs'!$I$14:$I$40,0)),0)</f>
        <v>0</v>
      </c>
      <c r="AO317" s="651">
        <f t="shared" si="237"/>
        <v>0</v>
      </c>
      <c r="AP317" s="652">
        <f t="shared" si="238"/>
        <v>0</v>
      </c>
      <c r="AQ317" s="652">
        <f t="shared" si="239"/>
        <v>0</v>
      </c>
      <c r="AR317" s="664"/>
      <c r="AS317" s="651">
        <f t="array" ref="AS317">IFERROR(INDEX('HIV-Other HPs'!$AB$14:$AB$40,MATCH($E317&amp;$F317,'HIV-Other HPs'!$E$14:$E$40&amp;'HIV-Other HPs'!$I$14:$I$40,0)),0)</f>
        <v>0</v>
      </c>
      <c r="AT317" s="651">
        <f t="array" ref="AT317">IFERROR(INDEX('HIV-Other HPs'!$AC$14:$AC$40,MATCH($E317&amp;$F317,'HIV-Other HPs'!$E$14:$E$40&amp;'HIV-Other HPs'!$I$14:$I$40,0)),0)</f>
        <v>0</v>
      </c>
      <c r="AU317" s="651">
        <f t="shared" si="240"/>
        <v>0</v>
      </c>
      <c r="AV317" s="652">
        <f t="shared" si="241"/>
        <v>0</v>
      </c>
      <c r="AW317" s="652">
        <f t="shared" si="242"/>
        <v>0</v>
      </c>
      <c r="AX317" s="651">
        <f t="array" ref="AX317">IFERROR(INDEX('HIV-Other HPs'!$AD$14:$AD$40,MATCH($E317&amp;$F317,'HIV-Other HPs'!$E$14:$E$40&amp;'HIV-Other HPs'!$I$14:$I$40,0)),0)</f>
        <v>0</v>
      </c>
      <c r="AY317" s="651">
        <f t="shared" si="243"/>
        <v>0</v>
      </c>
      <c r="AZ317" s="652">
        <f t="shared" si="244"/>
        <v>0</v>
      </c>
      <c r="BA317" s="652">
        <f t="shared" si="245"/>
        <v>0</v>
      </c>
      <c r="BB317" s="651">
        <f t="array" ref="BB317">IFERROR(INDEX('HIV-Other HPs'!$AE$14:$AE$40,MATCH($E317&amp;$F317,'HIV-Other HPs'!$E$14:$E$40&amp;'HIV-Other HPs'!$I$14:$I$40,0)),0)</f>
        <v>0</v>
      </c>
      <c r="BC317" s="651">
        <f t="shared" si="246"/>
        <v>0</v>
      </c>
      <c r="BD317" s="652">
        <f t="shared" si="247"/>
        <v>0</v>
      </c>
      <c r="BE317" s="652">
        <f t="shared" si="248"/>
        <v>0</v>
      </c>
      <c r="BF317" s="651">
        <f t="array" ref="BF317">IFERROR(INDEX('HIV-Other HPs'!$AF$14:$AF$40,MATCH($E317&amp;$F317,'HIV-Other HPs'!$E$14:$E$40&amp;'HIV-Other HPs'!$I$14:$I$40,0)),0)</f>
        <v>0</v>
      </c>
      <c r="BG317" s="651">
        <f t="shared" si="249"/>
        <v>0</v>
      </c>
      <c r="BH317" s="652">
        <f t="shared" si="250"/>
        <v>0</v>
      </c>
      <c r="BI317" s="652">
        <f t="shared" si="251"/>
        <v>0</v>
      </c>
      <c r="BJ317" s="662"/>
      <c r="BK317" s="663"/>
      <c r="BL317" s="663"/>
      <c r="BM317" s="663"/>
      <c r="BN317" s="663"/>
      <c r="BO317" s="663"/>
      <c r="BP317" s="663"/>
      <c r="BQ317" s="663"/>
      <c r="BR317" s="663"/>
    </row>
    <row r="318" spans="1:70">
      <c r="A318" s="655" t="s">
        <v>207</v>
      </c>
      <c r="B318" s="655" t="s">
        <v>2284</v>
      </c>
      <c r="C318" s="648">
        <f>SETUP!$F$28</f>
        <v>0</v>
      </c>
      <c r="D318" s="654">
        <v>5.8</v>
      </c>
      <c r="E318" s="663" t="s">
        <v>207</v>
      </c>
      <c r="F318" s="663" t="s">
        <v>1686</v>
      </c>
      <c r="G318" s="650" t="str">
        <f t="array" ref="G318">IFERROR(INDEX('HIV-Other HPs'!$L$14:$L$40,MATCH($E318&amp;$F318,'HIV-Other HPs'!$E$14:$E$40&amp;'HIV-Other HPs'!$I$14:$I$40,0)),"")</f>
        <v/>
      </c>
      <c r="H318" s="650" t="str">
        <f t="array" ref="H318">IFERROR(INDEX('HIV-Other HPs'!$M$14:$M$40,MATCH($E318&amp;$F318,'HIV-Other HPs'!$E$14:$E$40&amp;'HIV-Other HPs'!$I$14:$I$40,0)),"")</f>
        <v/>
      </c>
      <c r="I318" s="651">
        <f t="array" ref="I318">IFERROR(INDEX('HIV-Other HPs'!$N$14:$N$40,MATCH($E318&amp;$F318,'HIV-Other HPs'!$E$14:$E$40&amp;'HIV-Other HPs'!$I$14:$I$40,0)),0)</f>
        <v>0</v>
      </c>
      <c r="J318" s="651">
        <f t="array" ref="J318">IFERROR(INDEX('HIV-Other HPs'!$O$14:$O$40,MATCH($E318&amp;$F318,'HIV-Other HPs'!$E$14:$E$40&amp;'HIV-Other HPs'!$I$14:$I$40,0)),0)</f>
        <v>0</v>
      </c>
      <c r="K318" s="652">
        <f t="shared" si="216"/>
        <v>0</v>
      </c>
      <c r="L318" s="652">
        <f t="shared" si="217"/>
        <v>0</v>
      </c>
      <c r="M318" s="652">
        <f t="shared" si="218"/>
        <v>0</v>
      </c>
      <c r="N318" s="651">
        <f t="array" ref="N318">IFERROR(INDEX('HIV-Other HPs'!$P$14:$P$40,MATCH($E318&amp;$F318,'HIV-Other HPs'!$E$14:$E$40&amp;'HIV-Other HPs'!$I$14:$I$40,0)),0)</f>
        <v>0</v>
      </c>
      <c r="O318" s="652">
        <f t="shared" si="219"/>
        <v>0</v>
      </c>
      <c r="P318" s="652">
        <f t="shared" si="220"/>
        <v>0</v>
      </c>
      <c r="Q318" s="652">
        <f t="shared" si="221"/>
        <v>0</v>
      </c>
      <c r="R318" s="651">
        <f t="array" ref="R318">IFERROR(INDEX('HIV-Other HPs'!$Q$14:$Q$40,MATCH($E318&amp;$F318,'HIV-Other HPs'!$E$14:$E$40&amp;'HIV-Other HPs'!$I$14:$I$40,0)),0)</f>
        <v>0</v>
      </c>
      <c r="S318" s="652">
        <f t="shared" si="222"/>
        <v>0</v>
      </c>
      <c r="T318" s="652">
        <f t="shared" si="223"/>
        <v>0</v>
      </c>
      <c r="U318" s="652">
        <f t="shared" si="224"/>
        <v>0</v>
      </c>
      <c r="V318" s="651">
        <f t="array" ref="V318">IFERROR(INDEX('HIV-Other HPs'!$R$14:$R$40,MATCH($E318&amp;$F318,'HIV-Other HPs'!$E$14:$E$40&amp;'HIV-Other HPs'!$I$14:$I$40,0)),0)</f>
        <v>0</v>
      </c>
      <c r="W318" s="652">
        <f t="shared" si="225"/>
        <v>0</v>
      </c>
      <c r="X318" s="652">
        <f t="shared" si="226"/>
        <v>0</v>
      </c>
      <c r="Y318" s="652">
        <f t="shared" si="227"/>
        <v>0</v>
      </c>
      <c r="Z318" s="664"/>
      <c r="AA318" s="651">
        <f t="array" ref="AA318">IFERROR(INDEX('HIV-Other HPs'!$U$14:$U$40,MATCH($E318&amp;$F318,'HIV-Other HPs'!$E$14:$E$40&amp;'HIV-Other HPs'!$I$14:$I$40,0)),0)</f>
        <v>0</v>
      </c>
      <c r="AB318" s="651">
        <f t="array" ref="AB318">IFERROR(INDEX('HIV-Other HPs'!$V$14:$V$40,MATCH($E318&amp;$F318,'HIV-Other HPs'!$E$14:$E$40&amp;'HIV-Other HPs'!$I$14:$I$40,0)),0)</f>
        <v>0</v>
      </c>
      <c r="AC318" s="651">
        <f t="shared" si="228"/>
        <v>0</v>
      </c>
      <c r="AD318" s="652">
        <f t="shared" si="229"/>
        <v>0</v>
      </c>
      <c r="AE318" s="652">
        <f t="shared" si="230"/>
        <v>0</v>
      </c>
      <c r="AF318" s="651">
        <f t="array" ref="AF318">IFERROR(INDEX('HIV-Other HPs'!$W$14:$W$40,MATCH($E318&amp;$F318,'HIV-Other HPs'!$E$14:$E$40&amp;'HIV-Other HPs'!$I$14:$I$40,0)),0)</f>
        <v>0</v>
      </c>
      <c r="AG318" s="651">
        <f t="shared" si="231"/>
        <v>0</v>
      </c>
      <c r="AH318" s="652">
        <f t="shared" si="232"/>
        <v>0</v>
      </c>
      <c r="AI318" s="652">
        <f t="shared" si="233"/>
        <v>0</v>
      </c>
      <c r="AJ318" s="651">
        <f t="array" ref="AJ318">IFERROR(INDEX('HIV-Other HPs'!$X$14:$X$40,MATCH($E318&amp;$F318,'HIV-Other HPs'!$E$14:$E$40&amp;'HIV-Other HPs'!$I$14:$I$40,0)),0)</f>
        <v>0</v>
      </c>
      <c r="AK318" s="651">
        <f t="shared" si="234"/>
        <v>0</v>
      </c>
      <c r="AL318" s="652">
        <f t="shared" si="235"/>
        <v>0</v>
      </c>
      <c r="AM318" s="652">
        <f t="shared" si="236"/>
        <v>0</v>
      </c>
      <c r="AN318" s="651">
        <f t="array" ref="AN318">IFERROR(INDEX('HIV-Other HPs'!$Y$14:$Y$40,MATCH($E318&amp;$F318,'HIV-Other HPs'!$E$14:$E$40&amp;'HIV-Other HPs'!$I$14:$I$40,0)),0)</f>
        <v>0</v>
      </c>
      <c r="AO318" s="651">
        <f t="shared" si="237"/>
        <v>0</v>
      </c>
      <c r="AP318" s="652">
        <f t="shared" si="238"/>
        <v>0</v>
      </c>
      <c r="AQ318" s="652">
        <f t="shared" si="239"/>
        <v>0</v>
      </c>
      <c r="AR318" s="664"/>
      <c r="AS318" s="651">
        <f t="array" ref="AS318">IFERROR(INDEX('HIV-Other HPs'!$AB$14:$AB$40,MATCH($E318&amp;$F318,'HIV-Other HPs'!$E$14:$E$40&amp;'HIV-Other HPs'!$I$14:$I$40,0)),0)</f>
        <v>0</v>
      </c>
      <c r="AT318" s="651">
        <f t="array" ref="AT318">IFERROR(INDEX('HIV-Other HPs'!$AC$14:$AC$40,MATCH($E318&amp;$F318,'HIV-Other HPs'!$E$14:$E$40&amp;'HIV-Other HPs'!$I$14:$I$40,0)),0)</f>
        <v>0</v>
      </c>
      <c r="AU318" s="651">
        <f t="shared" si="240"/>
        <v>0</v>
      </c>
      <c r="AV318" s="652">
        <f t="shared" si="241"/>
        <v>0</v>
      </c>
      <c r="AW318" s="652">
        <f t="shared" si="242"/>
        <v>0</v>
      </c>
      <c r="AX318" s="651">
        <f t="array" ref="AX318">IFERROR(INDEX('HIV-Other HPs'!$AD$14:$AD$40,MATCH($E318&amp;$F318,'HIV-Other HPs'!$E$14:$E$40&amp;'HIV-Other HPs'!$I$14:$I$40,0)),0)</f>
        <v>0</v>
      </c>
      <c r="AY318" s="651">
        <f t="shared" si="243"/>
        <v>0</v>
      </c>
      <c r="AZ318" s="652">
        <f t="shared" si="244"/>
        <v>0</v>
      </c>
      <c r="BA318" s="652">
        <f t="shared" si="245"/>
        <v>0</v>
      </c>
      <c r="BB318" s="651">
        <f t="array" ref="BB318">IFERROR(INDEX('HIV-Other HPs'!$AE$14:$AE$40,MATCH($E318&amp;$F318,'HIV-Other HPs'!$E$14:$E$40&amp;'HIV-Other HPs'!$I$14:$I$40,0)),0)</f>
        <v>0</v>
      </c>
      <c r="BC318" s="651">
        <f t="shared" si="246"/>
        <v>0</v>
      </c>
      <c r="BD318" s="652">
        <f t="shared" si="247"/>
        <v>0</v>
      </c>
      <c r="BE318" s="652">
        <f t="shared" si="248"/>
        <v>0</v>
      </c>
      <c r="BF318" s="651">
        <f t="array" ref="BF318">IFERROR(INDEX('HIV-Other HPs'!$AF$14:$AF$40,MATCH($E318&amp;$F318,'HIV-Other HPs'!$E$14:$E$40&amp;'HIV-Other HPs'!$I$14:$I$40,0)),0)</f>
        <v>0</v>
      </c>
      <c r="BG318" s="651">
        <f t="shared" si="249"/>
        <v>0</v>
      </c>
      <c r="BH318" s="652">
        <f t="shared" si="250"/>
        <v>0</v>
      </c>
      <c r="BI318" s="652">
        <f t="shared" si="251"/>
        <v>0</v>
      </c>
      <c r="BJ318" s="662"/>
      <c r="BK318" s="663"/>
      <c r="BL318" s="663"/>
      <c r="BM318" s="663"/>
      <c r="BN318" s="663"/>
      <c r="BO318" s="663"/>
      <c r="BP318" s="663"/>
      <c r="BQ318" s="663"/>
      <c r="BR318" s="663"/>
    </row>
    <row r="319" spans="1:70">
      <c r="A319" s="655" t="s">
        <v>207</v>
      </c>
      <c r="B319" s="655" t="s">
        <v>2284</v>
      </c>
      <c r="C319" s="648">
        <f>SETUP!$F$28</f>
        <v>0</v>
      </c>
      <c r="D319" s="654">
        <v>5.8</v>
      </c>
      <c r="E319" s="663" t="s">
        <v>207</v>
      </c>
      <c r="F319" s="663" t="s">
        <v>1687</v>
      </c>
      <c r="G319" s="650" t="str">
        <f t="array" ref="G319">IFERROR(INDEX('HIV-Other HPs'!$L$14:$L$40,MATCH($E319&amp;$F319,'HIV-Other HPs'!$E$14:$E$40&amp;'HIV-Other HPs'!$I$14:$I$40,0)),"")</f>
        <v/>
      </c>
      <c r="H319" s="650" t="str">
        <f t="array" ref="H319">IFERROR(INDEX('HIV-Other HPs'!$M$14:$M$40,MATCH($E319&amp;$F319,'HIV-Other HPs'!$E$14:$E$40&amp;'HIV-Other HPs'!$I$14:$I$40,0)),"")</f>
        <v/>
      </c>
      <c r="I319" s="651">
        <f t="array" ref="I319">IFERROR(INDEX('HIV-Other HPs'!$N$14:$N$40,MATCH($E319&amp;$F319,'HIV-Other HPs'!$E$14:$E$40&amp;'HIV-Other HPs'!$I$14:$I$40,0)),0)</f>
        <v>0</v>
      </c>
      <c r="J319" s="651">
        <f t="array" ref="J319">IFERROR(INDEX('HIV-Other HPs'!$O$14:$O$40,MATCH($E319&amp;$F319,'HIV-Other HPs'!$E$14:$E$40&amp;'HIV-Other HPs'!$I$14:$I$40,0)),0)</f>
        <v>0</v>
      </c>
      <c r="K319" s="652">
        <f t="shared" si="216"/>
        <v>0</v>
      </c>
      <c r="L319" s="652">
        <f t="shared" si="217"/>
        <v>0</v>
      </c>
      <c r="M319" s="652">
        <f t="shared" si="218"/>
        <v>0</v>
      </c>
      <c r="N319" s="651">
        <f t="array" ref="N319">IFERROR(INDEX('HIV-Other HPs'!$P$14:$P$40,MATCH($E319&amp;$F319,'HIV-Other HPs'!$E$14:$E$40&amp;'HIV-Other HPs'!$I$14:$I$40,0)),0)</f>
        <v>0</v>
      </c>
      <c r="O319" s="652">
        <f t="shared" si="219"/>
        <v>0</v>
      </c>
      <c r="P319" s="652">
        <f t="shared" si="220"/>
        <v>0</v>
      </c>
      <c r="Q319" s="652">
        <f t="shared" si="221"/>
        <v>0</v>
      </c>
      <c r="R319" s="651">
        <f t="array" ref="R319">IFERROR(INDEX('HIV-Other HPs'!$Q$14:$Q$40,MATCH($E319&amp;$F319,'HIV-Other HPs'!$E$14:$E$40&amp;'HIV-Other HPs'!$I$14:$I$40,0)),0)</f>
        <v>0</v>
      </c>
      <c r="S319" s="652">
        <f t="shared" si="222"/>
        <v>0</v>
      </c>
      <c r="T319" s="652">
        <f t="shared" si="223"/>
        <v>0</v>
      </c>
      <c r="U319" s="652">
        <f t="shared" si="224"/>
        <v>0</v>
      </c>
      <c r="V319" s="651">
        <f t="array" ref="V319">IFERROR(INDEX('HIV-Other HPs'!$R$14:$R$40,MATCH($E319&amp;$F319,'HIV-Other HPs'!$E$14:$E$40&amp;'HIV-Other HPs'!$I$14:$I$40,0)),0)</f>
        <v>0</v>
      </c>
      <c r="W319" s="652">
        <f t="shared" si="225"/>
        <v>0</v>
      </c>
      <c r="X319" s="652">
        <f t="shared" si="226"/>
        <v>0</v>
      </c>
      <c r="Y319" s="652">
        <f t="shared" si="227"/>
        <v>0</v>
      </c>
      <c r="Z319" s="664"/>
      <c r="AA319" s="651">
        <f t="array" ref="AA319">IFERROR(INDEX('HIV-Other HPs'!$U$14:$U$40,MATCH($E319&amp;$F319,'HIV-Other HPs'!$E$14:$E$40&amp;'HIV-Other HPs'!$I$14:$I$40,0)),0)</f>
        <v>0</v>
      </c>
      <c r="AB319" s="651">
        <f t="array" ref="AB319">IFERROR(INDEX('HIV-Other HPs'!$V$14:$V$40,MATCH($E319&amp;$F319,'HIV-Other HPs'!$E$14:$E$40&amp;'HIV-Other HPs'!$I$14:$I$40,0)),0)</f>
        <v>0</v>
      </c>
      <c r="AC319" s="651">
        <f t="shared" si="228"/>
        <v>0</v>
      </c>
      <c r="AD319" s="652">
        <f t="shared" si="229"/>
        <v>0</v>
      </c>
      <c r="AE319" s="652">
        <f t="shared" si="230"/>
        <v>0</v>
      </c>
      <c r="AF319" s="651">
        <f t="array" ref="AF319">IFERROR(INDEX('HIV-Other HPs'!$W$14:$W$40,MATCH($E319&amp;$F319,'HIV-Other HPs'!$E$14:$E$40&amp;'HIV-Other HPs'!$I$14:$I$40,0)),0)</f>
        <v>0</v>
      </c>
      <c r="AG319" s="651">
        <f t="shared" si="231"/>
        <v>0</v>
      </c>
      <c r="AH319" s="652">
        <f t="shared" si="232"/>
        <v>0</v>
      </c>
      <c r="AI319" s="652">
        <f t="shared" si="233"/>
        <v>0</v>
      </c>
      <c r="AJ319" s="651">
        <f t="array" ref="AJ319">IFERROR(INDEX('HIV-Other HPs'!$X$14:$X$40,MATCH($E319&amp;$F319,'HIV-Other HPs'!$E$14:$E$40&amp;'HIV-Other HPs'!$I$14:$I$40,0)),0)</f>
        <v>0</v>
      </c>
      <c r="AK319" s="651">
        <f t="shared" si="234"/>
        <v>0</v>
      </c>
      <c r="AL319" s="652">
        <f t="shared" si="235"/>
        <v>0</v>
      </c>
      <c r="AM319" s="652">
        <f t="shared" si="236"/>
        <v>0</v>
      </c>
      <c r="AN319" s="651">
        <f t="array" ref="AN319">IFERROR(INDEX('HIV-Other HPs'!$Y$14:$Y$40,MATCH($E319&amp;$F319,'HIV-Other HPs'!$E$14:$E$40&amp;'HIV-Other HPs'!$I$14:$I$40,0)),0)</f>
        <v>0</v>
      </c>
      <c r="AO319" s="651">
        <f t="shared" si="237"/>
        <v>0</v>
      </c>
      <c r="AP319" s="652">
        <f t="shared" si="238"/>
        <v>0</v>
      </c>
      <c r="AQ319" s="652">
        <f t="shared" si="239"/>
        <v>0</v>
      </c>
      <c r="AR319" s="664"/>
      <c r="AS319" s="651">
        <f t="array" ref="AS319">IFERROR(INDEX('HIV-Other HPs'!$AB$14:$AB$40,MATCH($E319&amp;$F319,'HIV-Other HPs'!$E$14:$E$40&amp;'HIV-Other HPs'!$I$14:$I$40,0)),0)</f>
        <v>0</v>
      </c>
      <c r="AT319" s="651">
        <f t="array" ref="AT319">IFERROR(INDEX('HIV-Other HPs'!$AC$14:$AC$40,MATCH($E319&amp;$F319,'HIV-Other HPs'!$E$14:$E$40&amp;'HIV-Other HPs'!$I$14:$I$40,0)),0)</f>
        <v>0</v>
      </c>
      <c r="AU319" s="651">
        <f t="shared" si="240"/>
        <v>0</v>
      </c>
      <c r="AV319" s="652">
        <f t="shared" si="241"/>
        <v>0</v>
      </c>
      <c r="AW319" s="652">
        <f t="shared" si="242"/>
        <v>0</v>
      </c>
      <c r="AX319" s="651">
        <f t="array" ref="AX319">IFERROR(INDEX('HIV-Other HPs'!$AD$14:$AD$40,MATCH($E319&amp;$F319,'HIV-Other HPs'!$E$14:$E$40&amp;'HIV-Other HPs'!$I$14:$I$40,0)),0)</f>
        <v>0</v>
      </c>
      <c r="AY319" s="651">
        <f t="shared" si="243"/>
        <v>0</v>
      </c>
      <c r="AZ319" s="652">
        <f t="shared" si="244"/>
        <v>0</v>
      </c>
      <c r="BA319" s="652">
        <f t="shared" si="245"/>
        <v>0</v>
      </c>
      <c r="BB319" s="651">
        <f t="array" ref="BB319">IFERROR(INDEX('HIV-Other HPs'!$AE$14:$AE$40,MATCH($E319&amp;$F319,'HIV-Other HPs'!$E$14:$E$40&amp;'HIV-Other HPs'!$I$14:$I$40,0)),0)</f>
        <v>0</v>
      </c>
      <c r="BC319" s="651">
        <f t="shared" si="246"/>
        <v>0</v>
      </c>
      <c r="BD319" s="652">
        <f t="shared" si="247"/>
        <v>0</v>
      </c>
      <c r="BE319" s="652">
        <f t="shared" si="248"/>
        <v>0</v>
      </c>
      <c r="BF319" s="651">
        <f t="array" ref="BF319">IFERROR(INDEX('HIV-Other HPs'!$AF$14:$AF$40,MATCH($E319&amp;$F319,'HIV-Other HPs'!$E$14:$E$40&amp;'HIV-Other HPs'!$I$14:$I$40,0)),0)</f>
        <v>0</v>
      </c>
      <c r="BG319" s="651">
        <f t="shared" si="249"/>
        <v>0</v>
      </c>
      <c r="BH319" s="652">
        <f t="shared" si="250"/>
        <v>0</v>
      </c>
      <c r="BI319" s="652">
        <f t="shared" si="251"/>
        <v>0</v>
      </c>
      <c r="BJ319" s="662"/>
      <c r="BK319" s="663"/>
      <c r="BL319" s="663"/>
      <c r="BM319" s="663"/>
      <c r="BN319" s="663"/>
      <c r="BO319" s="663"/>
      <c r="BP319" s="663"/>
      <c r="BQ319" s="663"/>
      <c r="BR319" s="663"/>
    </row>
    <row r="320" spans="1:70">
      <c r="A320" s="655" t="s">
        <v>207</v>
      </c>
      <c r="B320" s="655" t="s">
        <v>2284</v>
      </c>
      <c r="C320" s="648">
        <f>SETUP!$F$28</f>
        <v>0</v>
      </c>
      <c r="D320" s="654">
        <v>5.8</v>
      </c>
      <c r="E320" s="663" t="s">
        <v>207</v>
      </c>
      <c r="F320" s="663" t="s">
        <v>1688</v>
      </c>
      <c r="G320" s="650" t="str">
        <f t="array" ref="G320">IFERROR(INDEX('HIV-Other HPs'!$L$14:$L$40,MATCH($E320&amp;$F320,'HIV-Other HPs'!$E$14:$E$40&amp;'HIV-Other HPs'!$I$14:$I$40,0)),"")</f>
        <v/>
      </c>
      <c r="H320" s="650" t="str">
        <f t="array" ref="H320">IFERROR(INDEX('HIV-Other HPs'!$M$14:$M$40,MATCH($E320&amp;$F320,'HIV-Other HPs'!$E$14:$E$40&amp;'HIV-Other HPs'!$I$14:$I$40,0)),"")</f>
        <v/>
      </c>
      <c r="I320" s="651">
        <f t="array" ref="I320">IFERROR(INDEX('HIV-Other HPs'!$N$14:$N$40,MATCH($E320&amp;$F320,'HIV-Other HPs'!$E$14:$E$40&amp;'HIV-Other HPs'!$I$14:$I$40,0)),0)</f>
        <v>0</v>
      </c>
      <c r="J320" s="651">
        <f t="array" ref="J320">IFERROR(INDEX('HIV-Other HPs'!$O$14:$O$40,MATCH($E320&amp;$F320,'HIV-Other HPs'!$E$14:$E$40&amp;'HIV-Other HPs'!$I$14:$I$40,0)),0)</f>
        <v>0</v>
      </c>
      <c r="K320" s="652">
        <f t="shared" si="216"/>
        <v>0</v>
      </c>
      <c r="L320" s="652">
        <f t="shared" si="217"/>
        <v>0</v>
      </c>
      <c r="M320" s="652">
        <f t="shared" si="218"/>
        <v>0</v>
      </c>
      <c r="N320" s="651">
        <f t="array" ref="N320">IFERROR(INDEX('HIV-Other HPs'!$P$14:$P$40,MATCH($E320&amp;$F320,'HIV-Other HPs'!$E$14:$E$40&amp;'HIV-Other HPs'!$I$14:$I$40,0)),0)</f>
        <v>0</v>
      </c>
      <c r="O320" s="652">
        <f t="shared" si="219"/>
        <v>0</v>
      </c>
      <c r="P320" s="652">
        <f t="shared" si="220"/>
        <v>0</v>
      </c>
      <c r="Q320" s="652">
        <f t="shared" si="221"/>
        <v>0</v>
      </c>
      <c r="R320" s="651">
        <f t="array" ref="R320">IFERROR(INDEX('HIV-Other HPs'!$Q$14:$Q$40,MATCH($E320&amp;$F320,'HIV-Other HPs'!$E$14:$E$40&amp;'HIV-Other HPs'!$I$14:$I$40,0)),0)</f>
        <v>0</v>
      </c>
      <c r="S320" s="652">
        <f t="shared" si="222"/>
        <v>0</v>
      </c>
      <c r="T320" s="652">
        <f t="shared" si="223"/>
        <v>0</v>
      </c>
      <c r="U320" s="652">
        <f t="shared" si="224"/>
        <v>0</v>
      </c>
      <c r="V320" s="651">
        <f t="array" ref="V320">IFERROR(INDEX('HIV-Other HPs'!$R$14:$R$40,MATCH($E320&amp;$F320,'HIV-Other HPs'!$E$14:$E$40&amp;'HIV-Other HPs'!$I$14:$I$40,0)),0)</f>
        <v>0</v>
      </c>
      <c r="W320" s="652">
        <f t="shared" si="225"/>
        <v>0</v>
      </c>
      <c r="X320" s="652">
        <f t="shared" si="226"/>
        <v>0</v>
      </c>
      <c r="Y320" s="652">
        <f t="shared" si="227"/>
        <v>0</v>
      </c>
      <c r="Z320" s="664"/>
      <c r="AA320" s="651">
        <f t="array" ref="AA320">IFERROR(INDEX('HIV-Other HPs'!$U$14:$U$40,MATCH($E320&amp;$F320,'HIV-Other HPs'!$E$14:$E$40&amp;'HIV-Other HPs'!$I$14:$I$40,0)),0)</f>
        <v>0</v>
      </c>
      <c r="AB320" s="651">
        <f t="array" ref="AB320">IFERROR(INDEX('HIV-Other HPs'!$V$14:$V$40,MATCH($E320&amp;$F320,'HIV-Other HPs'!$E$14:$E$40&amp;'HIV-Other HPs'!$I$14:$I$40,0)),0)</f>
        <v>0</v>
      </c>
      <c r="AC320" s="651">
        <f t="shared" si="228"/>
        <v>0</v>
      </c>
      <c r="AD320" s="652">
        <f t="shared" si="229"/>
        <v>0</v>
      </c>
      <c r="AE320" s="652">
        <f t="shared" si="230"/>
        <v>0</v>
      </c>
      <c r="AF320" s="651">
        <f t="array" ref="AF320">IFERROR(INDEX('HIV-Other HPs'!$W$14:$W$40,MATCH($E320&amp;$F320,'HIV-Other HPs'!$E$14:$E$40&amp;'HIV-Other HPs'!$I$14:$I$40,0)),0)</f>
        <v>0</v>
      </c>
      <c r="AG320" s="651">
        <f t="shared" si="231"/>
        <v>0</v>
      </c>
      <c r="AH320" s="652">
        <f t="shared" si="232"/>
        <v>0</v>
      </c>
      <c r="AI320" s="652">
        <f t="shared" si="233"/>
        <v>0</v>
      </c>
      <c r="AJ320" s="651">
        <f t="array" ref="AJ320">IFERROR(INDEX('HIV-Other HPs'!$X$14:$X$40,MATCH($E320&amp;$F320,'HIV-Other HPs'!$E$14:$E$40&amp;'HIV-Other HPs'!$I$14:$I$40,0)),0)</f>
        <v>0</v>
      </c>
      <c r="AK320" s="651">
        <f t="shared" si="234"/>
        <v>0</v>
      </c>
      <c r="AL320" s="652">
        <f t="shared" si="235"/>
        <v>0</v>
      </c>
      <c r="AM320" s="652">
        <f t="shared" si="236"/>
        <v>0</v>
      </c>
      <c r="AN320" s="651">
        <f t="array" ref="AN320">IFERROR(INDEX('HIV-Other HPs'!$Y$14:$Y$40,MATCH($E320&amp;$F320,'HIV-Other HPs'!$E$14:$E$40&amp;'HIV-Other HPs'!$I$14:$I$40,0)),0)</f>
        <v>0</v>
      </c>
      <c r="AO320" s="651">
        <f t="shared" si="237"/>
        <v>0</v>
      </c>
      <c r="AP320" s="652">
        <f t="shared" si="238"/>
        <v>0</v>
      </c>
      <c r="AQ320" s="652">
        <f t="shared" si="239"/>
        <v>0</v>
      </c>
      <c r="AR320" s="664"/>
      <c r="AS320" s="651">
        <f t="array" ref="AS320">IFERROR(INDEX('HIV-Other HPs'!$AB$14:$AB$40,MATCH($E320&amp;$F320,'HIV-Other HPs'!$E$14:$E$40&amp;'HIV-Other HPs'!$I$14:$I$40,0)),0)</f>
        <v>0</v>
      </c>
      <c r="AT320" s="651">
        <f t="array" ref="AT320">IFERROR(INDEX('HIV-Other HPs'!$AC$14:$AC$40,MATCH($E320&amp;$F320,'HIV-Other HPs'!$E$14:$E$40&amp;'HIV-Other HPs'!$I$14:$I$40,0)),0)</f>
        <v>0</v>
      </c>
      <c r="AU320" s="651">
        <f t="shared" si="240"/>
        <v>0</v>
      </c>
      <c r="AV320" s="652">
        <f t="shared" si="241"/>
        <v>0</v>
      </c>
      <c r="AW320" s="652">
        <f t="shared" si="242"/>
        <v>0</v>
      </c>
      <c r="AX320" s="651">
        <f t="array" ref="AX320">IFERROR(INDEX('HIV-Other HPs'!$AD$14:$AD$40,MATCH($E320&amp;$F320,'HIV-Other HPs'!$E$14:$E$40&amp;'HIV-Other HPs'!$I$14:$I$40,0)),0)</f>
        <v>0</v>
      </c>
      <c r="AY320" s="651">
        <f t="shared" si="243"/>
        <v>0</v>
      </c>
      <c r="AZ320" s="652">
        <f t="shared" si="244"/>
        <v>0</v>
      </c>
      <c r="BA320" s="652">
        <f t="shared" si="245"/>
        <v>0</v>
      </c>
      <c r="BB320" s="651">
        <f t="array" ref="BB320">IFERROR(INDEX('HIV-Other HPs'!$AE$14:$AE$40,MATCH($E320&amp;$F320,'HIV-Other HPs'!$E$14:$E$40&amp;'HIV-Other HPs'!$I$14:$I$40,0)),0)</f>
        <v>0</v>
      </c>
      <c r="BC320" s="651">
        <f t="shared" si="246"/>
        <v>0</v>
      </c>
      <c r="BD320" s="652">
        <f t="shared" si="247"/>
        <v>0</v>
      </c>
      <c r="BE320" s="652">
        <f t="shared" si="248"/>
        <v>0</v>
      </c>
      <c r="BF320" s="651">
        <f t="array" ref="BF320">IFERROR(INDEX('HIV-Other HPs'!$AF$14:$AF$40,MATCH($E320&amp;$F320,'HIV-Other HPs'!$E$14:$E$40&amp;'HIV-Other HPs'!$I$14:$I$40,0)),0)</f>
        <v>0</v>
      </c>
      <c r="BG320" s="651">
        <f t="shared" si="249"/>
        <v>0</v>
      </c>
      <c r="BH320" s="652">
        <f t="shared" si="250"/>
        <v>0</v>
      </c>
      <c r="BI320" s="652">
        <f t="shared" si="251"/>
        <v>0</v>
      </c>
      <c r="BJ320" s="662"/>
      <c r="BK320" s="663"/>
      <c r="BL320" s="663"/>
      <c r="BM320" s="663"/>
      <c r="BN320" s="663"/>
      <c r="BO320" s="663"/>
      <c r="BP320" s="663"/>
      <c r="BQ320" s="663"/>
      <c r="BR320" s="663"/>
    </row>
    <row r="321" spans="1:70">
      <c r="A321" s="655" t="s">
        <v>207</v>
      </c>
      <c r="B321" s="655" t="s">
        <v>2284</v>
      </c>
      <c r="C321" s="648">
        <f>SETUP!$F$28</f>
        <v>0</v>
      </c>
      <c r="D321" s="654">
        <v>5.8</v>
      </c>
      <c r="E321" s="663" t="s">
        <v>207</v>
      </c>
      <c r="F321" s="663" t="s">
        <v>1689</v>
      </c>
      <c r="G321" s="650" t="str">
        <f t="array" ref="G321">IFERROR(INDEX('HIV-Other HPs'!$L$14:$L$40,MATCH($E321&amp;$F321,'HIV-Other HPs'!$E$14:$E$40&amp;'HIV-Other HPs'!$I$14:$I$40,0)),"")</f>
        <v/>
      </c>
      <c r="H321" s="650" t="str">
        <f t="array" ref="H321">IFERROR(INDEX('HIV-Other HPs'!$M$14:$M$40,MATCH($E321&amp;$F321,'HIV-Other HPs'!$E$14:$E$40&amp;'HIV-Other HPs'!$I$14:$I$40,0)),"")</f>
        <v/>
      </c>
      <c r="I321" s="651">
        <f t="array" ref="I321">IFERROR(INDEX('HIV-Other HPs'!$N$14:$N$40,MATCH($E321&amp;$F321,'HIV-Other HPs'!$E$14:$E$40&amp;'HIV-Other HPs'!$I$14:$I$40,0)),0)</f>
        <v>0</v>
      </c>
      <c r="J321" s="651">
        <f t="array" ref="J321">IFERROR(INDEX('HIV-Other HPs'!$O$14:$O$40,MATCH($E321&amp;$F321,'HIV-Other HPs'!$E$14:$E$40&amp;'HIV-Other HPs'!$I$14:$I$40,0)),0)</f>
        <v>0</v>
      </c>
      <c r="K321" s="652">
        <f t="shared" si="216"/>
        <v>0</v>
      </c>
      <c r="L321" s="652">
        <f t="shared" si="217"/>
        <v>0</v>
      </c>
      <c r="M321" s="652">
        <f t="shared" si="218"/>
        <v>0</v>
      </c>
      <c r="N321" s="651">
        <f t="array" ref="N321">IFERROR(INDEX('HIV-Other HPs'!$P$14:$P$40,MATCH($E321&amp;$F321,'HIV-Other HPs'!$E$14:$E$40&amp;'HIV-Other HPs'!$I$14:$I$40,0)),0)</f>
        <v>0</v>
      </c>
      <c r="O321" s="652">
        <f t="shared" si="219"/>
        <v>0</v>
      </c>
      <c r="P321" s="652">
        <f t="shared" si="220"/>
        <v>0</v>
      </c>
      <c r="Q321" s="652">
        <f t="shared" si="221"/>
        <v>0</v>
      </c>
      <c r="R321" s="651">
        <f t="array" ref="R321">IFERROR(INDEX('HIV-Other HPs'!$Q$14:$Q$40,MATCH($E321&amp;$F321,'HIV-Other HPs'!$E$14:$E$40&amp;'HIV-Other HPs'!$I$14:$I$40,0)),0)</f>
        <v>0</v>
      </c>
      <c r="S321" s="652">
        <f t="shared" si="222"/>
        <v>0</v>
      </c>
      <c r="T321" s="652">
        <f t="shared" si="223"/>
        <v>0</v>
      </c>
      <c r="U321" s="652">
        <f t="shared" si="224"/>
        <v>0</v>
      </c>
      <c r="V321" s="651">
        <f t="array" ref="V321">IFERROR(INDEX('HIV-Other HPs'!$R$14:$R$40,MATCH($E321&amp;$F321,'HIV-Other HPs'!$E$14:$E$40&amp;'HIV-Other HPs'!$I$14:$I$40,0)),0)</f>
        <v>0</v>
      </c>
      <c r="W321" s="652">
        <f t="shared" si="225"/>
        <v>0</v>
      </c>
      <c r="X321" s="652">
        <f t="shared" si="226"/>
        <v>0</v>
      </c>
      <c r="Y321" s="652">
        <f t="shared" si="227"/>
        <v>0</v>
      </c>
      <c r="Z321" s="664"/>
      <c r="AA321" s="651">
        <f t="array" ref="AA321">IFERROR(INDEX('HIV-Other HPs'!$U$14:$U$40,MATCH($E321&amp;$F321,'HIV-Other HPs'!$E$14:$E$40&amp;'HIV-Other HPs'!$I$14:$I$40,0)),0)</f>
        <v>0</v>
      </c>
      <c r="AB321" s="651">
        <f t="array" ref="AB321">IFERROR(INDEX('HIV-Other HPs'!$V$14:$V$40,MATCH($E321&amp;$F321,'HIV-Other HPs'!$E$14:$E$40&amp;'HIV-Other HPs'!$I$14:$I$40,0)),0)</f>
        <v>0</v>
      </c>
      <c r="AC321" s="651">
        <f t="shared" si="228"/>
        <v>0</v>
      </c>
      <c r="AD321" s="652">
        <f t="shared" si="229"/>
        <v>0</v>
      </c>
      <c r="AE321" s="652">
        <f t="shared" si="230"/>
        <v>0</v>
      </c>
      <c r="AF321" s="651">
        <f t="array" ref="AF321">IFERROR(INDEX('HIV-Other HPs'!$W$14:$W$40,MATCH($E321&amp;$F321,'HIV-Other HPs'!$E$14:$E$40&amp;'HIV-Other HPs'!$I$14:$I$40,0)),0)</f>
        <v>0</v>
      </c>
      <c r="AG321" s="651">
        <f t="shared" si="231"/>
        <v>0</v>
      </c>
      <c r="AH321" s="652">
        <f t="shared" si="232"/>
        <v>0</v>
      </c>
      <c r="AI321" s="652">
        <f t="shared" si="233"/>
        <v>0</v>
      </c>
      <c r="AJ321" s="651">
        <f t="array" ref="AJ321">IFERROR(INDEX('HIV-Other HPs'!$X$14:$X$40,MATCH($E321&amp;$F321,'HIV-Other HPs'!$E$14:$E$40&amp;'HIV-Other HPs'!$I$14:$I$40,0)),0)</f>
        <v>0</v>
      </c>
      <c r="AK321" s="651">
        <f t="shared" si="234"/>
        <v>0</v>
      </c>
      <c r="AL321" s="652">
        <f t="shared" si="235"/>
        <v>0</v>
      </c>
      <c r="AM321" s="652">
        <f t="shared" si="236"/>
        <v>0</v>
      </c>
      <c r="AN321" s="651">
        <f t="array" ref="AN321">IFERROR(INDEX('HIV-Other HPs'!$Y$14:$Y$40,MATCH($E321&amp;$F321,'HIV-Other HPs'!$E$14:$E$40&amp;'HIV-Other HPs'!$I$14:$I$40,0)),0)</f>
        <v>0</v>
      </c>
      <c r="AO321" s="651">
        <f t="shared" si="237"/>
        <v>0</v>
      </c>
      <c r="AP321" s="652">
        <f t="shared" si="238"/>
        <v>0</v>
      </c>
      <c r="AQ321" s="652">
        <f t="shared" si="239"/>
        <v>0</v>
      </c>
      <c r="AR321" s="664"/>
      <c r="AS321" s="651">
        <f t="array" ref="AS321">IFERROR(INDEX('HIV-Other HPs'!$AB$14:$AB$40,MATCH($E321&amp;$F321,'HIV-Other HPs'!$E$14:$E$40&amp;'HIV-Other HPs'!$I$14:$I$40,0)),0)</f>
        <v>0</v>
      </c>
      <c r="AT321" s="651">
        <f t="array" ref="AT321">IFERROR(INDEX('HIV-Other HPs'!$AC$14:$AC$40,MATCH($E321&amp;$F321,'HIV-Other HPs'!$E$14:$E$40&amp;'HIV-Other HPs'!$I$14:$I$40,0)),0)</f>
        <v>0</v>
      </c>
      <c r="AU321" s="651">
        <f t="shared" si="240"/>
        <v>0</v>
      </c>
      <c r="AV321" s="652">
        <f t="shared" si="241"/>
        <v>0</v>
      </c>
      <c r="AW321" s="652">
        <f t="shared" si="242"/>
        <v>0</v>
      </c>
      <c r="AX321" s="651">
        <f t="array" ref="AX321">IFERROR(INDEX('HIV-Other HPs'!$AD$14:$AD$40,MATCH($E321&amp;$F321,'HIV-Other HPs'!$E$14:$E$40&amp;'HIV-Other HPs'!$I$14:$I$40,0)),0)</f>
        <v>0</v>
      </c>
      <c r="AY321" s="651">
        <f t="shared" si="243"/>
        <v>0</v>
      </c>
      <c r="AZ321" s="652">
        <f t="shared" si="244"/>
        <v>0</v>
      </c>
      <c r="BA321" s="652">
        <f t="shared" si="245"/>
        <v>0</v>
      </c>
      <c r="BB321" s="651">
        <f t="array" ref="BB321">IFERROR(INDEX('HIV-Other HPs'!$AE$14:$AE$40,MATCH($E321&amp;$F321,'HIV-Other HPs'!$E$14:$E$40&amp;'HIV-Other HPs'!$I$14:$I$40,0)),0)</f>
        <v>0</v>
      </c>
      <c r="BC321" s="651">
        <f t="shared" si="246"/>
        <v>0</v>
      </c>
      <c r="BD321" s="652">
        <f t="shared" si="247"/>
        <v>0</v>
      </c>
      <c r="BE321" s="652">
        <f t="shared" si="248"/>
        <v>0</v>
      </c>
      <c r="BF321" s="651">
        <f t="array" ref="BF321">IFERROR(INDEX('HIV-Other HPs'!$AF$14:$AF$40,MATCH($E321&amp;$F321,'HIV-Other HPs'!$E$14:$E$40&amp;'HIV-Other HPs'!$I$14:$I$40,0)),0)</f>
        <v>0</v>
      </c>
      <c r="BG321" s="651">
        <f t="shared" si="249"/>
        <v>0</v>
      </c>
      <c r="BH321" s="652">
        <f t="shared" si="250"/>
        <v>0</v>
      </c>
      <c r="BI321" s="652">
        <f t="shared" si="251"/>
        <v>0</v>
      </c>
      <c r="BJ321" s="662"/>
      <c r="BK321" s="663"/>
      <c r="BL321" s="663"/>
      <c r="BM321" s="663"/>
      <c r="BN321" s="663"/>
      <c r="BO321" s="663"/>
      <c r="BP321" s="663"/>
      <c r="BQ321" s="663"/>
      <c r="BR321" s="663"/>
    </row>
    <row r="322" spans="1:70">
      <c r="A322" s="655" t="s">
        <v>207</v>
      </c>
      <c r="B322" s="655" t="s">
        <v>2284</v>
      </c>
      <c r="C322" s="648">
        <f>SETUP!$F$28</f>
        <v>0</v>
      </c>
      <c r="D322" s="654">
        <v>5.8</v>
      </c>
      <c r="E322" s="663" t="s">
        <v>207</v>
      </c>
      <c r="F322" s="663" t="s">
        <v>1690</v>
      </c>
      <c r="G322" s="650" t="str">
        <f t="array" ref="G322">IFERROR(INDEX('HIV-Other HPs'!$L$14:$L$40,MATCH($E322&amp;$F322,'HIV-Other HPs'!$E$14:$E$40&amp;'HIV-Other HPs'!$I$14:$I$40,0)),"")</f>
        <v/>
      </c>
      <c r="H322" s="650" t="str">
        <f t="array" ref="H322">IFERROR(INDEX('HIV-Other HPs'!$M$14:$M$40,MATCH($E322&amp;$F322,'HIV-Other HPs'!$E$14:$E$40&amp;'HIV-Other HPs'!$I$14:$I$40,0)),"")</f>
        <v/>
      </c>
      <c r="I322" s="651">
        <f t="array" ref="I322">IFERROR(INDEX('HIV-Other HPs'!$N$14:$N$40,MATCH($E322&amp;$F322,'HIV-Other HPs'!$E$14:$E$40&amp;'HIV-Other HPs'!$I$14:$I$40,0)),0)</f>
        <v>0</v>
      </c>
      <c r="J322" s="651">
        <f t="array" ref="J322">IFERROR(INDEX('HIV-Other HPs'!$O$14:$O$40,MATCH($E322&amp;$F322,'HIV-Other HPs'!$E$14:$E$40&amp;'HIV-Other HPs'!$I$14:$I$40,0)),0)</f>
        <v>0</v>
      </c>
      <c r="K322" s="652">
        <f t="shared" si="216"/>
        <v>0</v>
      </c>
      <c r="L322" s="652">
        <f t="shared" si="217"/>
        <v>0</v>
      </c>
      <c r="M322" s="652">
        <f t="shared" si="218"/>
        <v>0</v>
      </c>
      <c r="N322" s="651">
        <f t="array" ref="N322">IFERROR(INDEX('HIV-Other HPs'!$P$14:$P$40,MATCH($E322&amp;$F322,'HIV-Other HPs'!$E$14:$E$40&amp;'HIV-Other HPs'!$I$14:$I$40,0)),0)</f>
        <v>0</v>
      </c>
      <c r="O322" s="652">
        <f t="shared" si="219"/>
        <v>0</v>
      </c>
      <c r="P322" s="652">
        <f t="shared" si="220"/>
        <v>0</v>
      </c>
      <c r="Q322" s="652">
        <f t="shared" si="221"/>
        <v>0</v>
      </c>
      <c r="R322" s="651">
        <f t="array" ref="R322">IFERROR(INDEX('HIV-Other HPs'!$Q$14:$Q$40,MATCH($E322&amp;$F322,'HIV-Other HPs'!$E$14:$E$40&amp;'HIV-Other HPs'!$I$14:$I$40,0)),0)</f>
        <v>0</v>
      </c>
      <c r="S322" s="652">
        <f t="shared" si="222"/>
        <v>0</v>
      </c>
      <c r="T322" s="652">
        <f t="shared" si="223"/>
        <v>0</v>
      </c>
      <c r="U322" s="652">
        <f t="shared" si="224"/>
        <v>0</v>
      </c>
      <c r="V322" s="651">
        <f t="array" ref="V322">IFERROR(INDEX('HIV-Other HPs'!$R$14:$R$40,MATCH($E322&amp;$F322,'HIV-Other HPs'!$E$14:$E$40&amp;'HIV-Other HPs'!$I$14:$I$40,0)),0)</f>
        <v>0</v>
      </c>
      <c r="W322" s="652">
        <f t="shared" si="225"/>
        <v>0</v>
      </c>
      <c r="X322" s="652">
        <f t="shared" si="226"/>
        <v>0</v>
      </c>
      <c r="Y322" s="652">
        <f t="shared" si="227"/>
        <v>0</v>
      </c>
      <c r="Z322" s="664"/>
      <c r="AA322" s="651">
        <f t="array" ref="AA322">IFERROR(INDEX('HIV-Other HPs'!$U$14:$U$40,MATCH($E322&amp;$F322,'HIV-Other HPs'!$E$14:$E$40&amp;'HIV-Other HPs'!$I$14:$I$40,0)),0)</f>
        <v>0</v>
      </c>
      <c r="AB322" s="651">
        <f t="array" ref="AB322">IFERROR(INDEX('HIV-Other HPs'!$V$14:$V$40,MATCH($E322&amp;$F322,'HIV-Other HPs'!$E$14:$E$40&amp;'HIV-Other HPs'!$I$14:$I$40,0)),0)</f>
        <v>0</v>
      </c>
      <c r="AC322" s="651">
        <f t="shared" si="228"/>
        <v>0</v>
      </c>
      <c r="AD322" s="652">
        <f t="shared" si="229"/>
        <v>0</v>
      </c>
      <c r="AE322" s="652">
        <f t="shared" si="230"/>
        <v>0</v>
      </c>
      <c r="AF322" s="651">
        <f t="array" ref="AF322">IFERROR(INDEX('HIV-Other HPs'!$W$14:$W$40,MATCH($E322&amp;$F322,'HIV-Other HPs'!$E$14:$E$40&amp;'HIV-Other HPs'!$I$14:$I$40,0)),0)</f>
        <v>0</v>
      </c>
      <c r="AG322" s="651">
        <f t="shared" si="231"/>
        <v>0</v>
      </c>
      <c r="AH322" s="652">
        <f t="shared" si="232"/>
        <v>0</v>
      </c>
      <c r="AI322" s="652">
        <f t="shared" si="233"/>
        <v>0</v>
      </c>
      <c r="AJ322" s="651">
        <f t="array" ref="AJ322">IFERROR(INDEX('HIV-Other HPs'!$X$14:$X$40,MATCH($E322&amp;$F322,'HIV-Other HPs'!$E$14:$E$40&amp;'HIV-Other HPs'!$I$14:$I$40,0)),0)</f>
        <v>0</v>
      </c>
      <c r="AK322" s="651">
        <f t="shared" si="234"/>
        <v>0</v>
      </c>
      <c r="AL322" s="652">
        <f t="shared" si="235"/>
        <v>0</v>
      </c>
      <c r="AM322" s="652">
        <f t="shared" si="236"/>
        <v>0</v>
      </c>
      <c r="AN322" s="651">
        <f t="array" ref="AN322">IFERROR(INDEX('HIV-Other HPs'!$Y$14:$Y$40,MATCH($E322&amp;$F322,'HIV-Other HPs'!$E$14:$E$40&amp;'HIV-Other HPs'!$I$14:$I$40,0)),0)</f>
        <v>0</v>
      </c>
      <c r="AO322" s="651">
        <f t="shared" si="237"/>
        <v>0</v>
      </c>
      <c r="AP322" s="652">
        <f t="shared" si="238"/>
        <v>0</v>
      </c>
      <c r="AQ322" s="652">
        <f t="shared" si="239"/>
        <v>0</v>
      </c>
      <c r="AR322" s="664"/>
      <c r="AS322" s="651">
        <f t="array" ref="AS322">IFERROR(INDEX('HIV-Other HPs'!$AB$14:$AB$40,MATCH($E322&amp;$F322,'HIV-Other HPs'!$E$14:$E$40&amp;'HIV-Other HPs'!$I$14:$I$40,0)),0)</f>
        <v>0</v>
      </c>
      <c r="AT322" s="651">
        <f t="array" ref="AT322">IFERROR(INDEX('HIV-Other HPs'!$AC$14:$AC$40,MATCH($E322&amp;$F322,'HIV-Other HPs'!$E$14:$E$40&amp;'HIV-Other HPs'!$I$14:$I$40,0)),0)</f>
        <v>0</v>
      </c>
      <c r="AU322" s="651">
        <f t="shared" si="240"/>
        <v>0</v>
      </c>
      <c r="AV322" s="652">
        <f t="shared" si="241"/>
        <v>0</v>
      </c>
      <c r="AW322" s="652">
        <f t="shared" si="242"/>
        <v>0</v>
      </c>
      <c r="AX322" s="651">
        <f t="array" ref="AX322">IFERROR(INDEX('HIV-Other HPs'!$AD$14:$AD$40,MATCH($E322&amp;$F322,'HIV-Other HPs'!$E$14:$E$40&amp;'HIV-Other HPs'!$I$14:$I$40,0)),0)</f>
        <v>0</v>
      </c>
      <c r="AY322" s="651">
        <f t="shared" si="243"/>
        <v>0</v>
      </c>
      <c r="AZ322" s="652">
        <f t="shared" si="244"/>
        <v>0</v>
      </c>
      <c r="BA322" s="652">
        <f t="shared" si="245"/>
        <v>0</v>
      </c>
      <c r="BB322" s="651">
        <f t="array" ref="BB322">IFERROR(INDEX('HIV-Other HPs'!$AE$14:$AE$40,MATCH($E322&amp;$F322,'HIV-Other HPs'!$E$14:$E$40&amp;'HIV-Other HPs'!$I$14:$I$40,0)),0)</f>
        <v>0</v>
      </c>
      <c r="BC322" s="651">
        <f t="shared" si="246"/>
        <v>0</v>
      </c>
      <c r="BD322" s="652">
        <f t="shared" si="247"/>
        <v>0</v>
      </c>
      <c r="BE322" s="652">
        <f t="shared" si="248"/>
        <v>0</v>
      </c>
      <c r="BF322" s="651">
        <f t="array" ref="BF322">IFERROR(INDEX('HIV-Other HPs'!$AF$14:$AF$40,MATCH($E322&amp;$F322,'HIV-Other HPs'!$E$14:$E$40&amp;'HIV-Other HPs'!$I$14:$I$40,0)),0)</f>
        <v>0</v>
      </c>
      <c r="BG322" s="651">
        <f t="shared" si="249"/>
        <v>0</v>
      </c>
      <c r="BH322" s="652">
        <f t="shared" si="250"/>
        <v>0</v>
      </c>
      <c r="BI322" s="652">
        <f t="shared" si="251"/>
        <v>0</v>
      </c>
      <c r="BJ322" s="662"/>
      <c r="BK322" s="663"/>
      <c r="BL322" s="663"/>
      <c r="BM322" s="663"/>
      <c r="BN322" s="663"/>
      <c r="BO322" s="663"/>
      <c r="BP322" s="663"/>
      <c r="BQ322" s="663"/>
      <c r="BR322" s="663"/>
    </row>
    <row r="323" spans="1:70">
      <c r="G323" s="667"/>
      <c r="H323" s="667"/>
    </row>
    <row r="324" spans="1:70">
      <c r="A324" s="2315" t="s">
        <v>2285</v>
      </c>
      <c r="B324" s="2315"/>
      <c r="C324" s="2315"/>
      <c r="D324" s="2315"/>
      <c r="E324" s="2315"/>
      <c r="F324" s="2315"/>
      <c r="G324" s="656"/>
      <c r="H324" s="656"/>
      <c r="I324" s="657"/>
      <c r="J324" s="657"/>
      <c r="K324" s="657"/>
      <c r="L324" s="657"/>
      <c r="M324" s="657"/>
      <c r="N324" s="657"/>
      <c r="O324" s="657"/>
      <c r="P324" s="657"/>
      <c r="Q324" s="657"/>
      <c r="R324" s="657"/>
      <c r="S324" s="657"/>
      <c r="T324" s="657"/>
      <c r="U324" s="657"/>
      <c r="V324" s="657"/>
      <c r="W324" s="657"/>
      <c r="X324" s="657"/>
      <c r="Y324" s="657"/>
      <c r="Z324" s="657"/>
      <c r="AA324" s="657"/>
      <c r="AB324" s="657"/>
      <c r="AC324" s="657"/>
      <c r="AD324" s="657"/>
      <c r="AE324" s="657"/>
      <c r="AF324" s="657"/>
      <c r="AG324" s="657"/>
      <c r="AH324" s="657"/>
      <c r="AI324" s="657"/>
      <c r="AJ324" s="657"/>
      <c r="AK324" s="657"/>
      <c r="AL324" s="657"/>
      <c r="AM324" s="657"/>
      <c r="AN324" s="657"/>
      <c r="AO324" s="657"/>
      <c r="AP324" s="657"/>
      <c r="AQ324" s="657"/>
      <c r="AR324" s="657"/>
      <c r="AS324" s="657"/>
      <c r="AT324" s="657"/>
      <c r="AU324" s="657"/>
      <c r="AV324" s="657"/>
      <c r="AW324" s="657"/>
      <c r="AX324" s="657"/>
      <c r="AY324" s="657"/>
      <c r="AZ324" s="657"/>
      <c r="BA324" s="657"/>
      <c r="BB324" s="657"/>
      <c r="BC324" s="657"/>
      <c r="BD324" s="657"/>
      <c r="BE324" s="657"/>
      <c r="BF324" s="657"/>
      <c r="BG324" s="657"/>
      <c r="BH324" s="657"/>
      <c r="BI324" s="657"/>
      <c r="BJ324" s="669"/>
      <c r="BK324" s="669"/>
      <c r="BL324" s="669"/>
      <c r="BM324" s="669"/>
      <c r="BN324" s="669"/>
      <c r="BO324" s="669"/>
      <c r="BP324" s="669"/>
      <c r="BQ324" s="669"/>
      <c r="BR324" s="669"/>
    </row>
    <row r="325" spans="1:70">
      <c r="A325" s="639" t="s">
        <v>1545</v>
      </c>
      <c r="B325" s="639" t="s">
        <v>203</v>
      </c>
      <c r="C325" s="640" t="s">
        <v>459</v>
      </c>
      <c r="D325" s="639" t="s">
        <v>460</v>
      </c>
      <c r="E325" s="639" t="s">
        <v>461</v>
      </c>
      <c r="F325" s="639" t="s">
        <v>214</v>
      </c>
      <c r="G325" s="660" t="s">
        <v>462</v>
      </c>
      <c r="H325" s="660" t="s">
        <v>49</v>
      </c>
      <c r="I325" s="670" t="s">
        <v>463</v>
      </c>
      <c r="J325" s="670" t="s">
        <v>464</v>
      </c>
      <c r="K325" s="670" t="s">
        <v>465</v>
      </c>
      <c r="L325" s="729" t="s">
        <v>466</v>
      </c>
      <c r="M325" s="729" t="s">
        <v>467</v>
      </c>
      <c r="N325" s="670" t="s">
        <v>468</v>
      </c>
      <c r="O325" s="670" t="s">
        <v>469</v>
      </c>
      <c r="P325" s="729" t="s">
        <v>470</v>
      </c>
      <c r="Q325" s="729" t="s">
        <v>471</v>
      </c>
      <c r="R325" s="670" t="s">
        <v>472</v>
      </c>
      <c r="S325" s="670" t="s">
        <v>473</v>
      </c>
      <c r="T325" s="729" t="s">
        <v>474</v>
      </c>
      <c r="U325" s="729" t="s">
        <v>475</v>
      </c>
      <c r="V325" s="670" t="s">
        <v>476</v>
      </c>
      <c r="W325" s="670" t="s">
        <v>477</v>
      </c>
      <c r="X325" s="729" t="s">
        <v>478</v>
      </c>
      <c r="Y325" s="729" t="s">
        <v>479</v>
      </c>
      <c r="Z325" s="643"/>
      <c r="AA325" s="670" t="s">
        <v>480</v>
      </c>
      <c r="AB325" s="670" t="s">
        <v>481</v>
      </c>
      <c r="AC325" s="670" t="s">
        <v>482</v>
      </c>
      <c r="AD325" s="729" t="s">
        <v>483</v>
      </c>
      <c r="AE325" s="729" t="s">
        <v>484</v>
      </c>
      <c r="AF325" s="670" t="s">
        <v>485</v>
      </c>
      <c r="AG325" s="670" t="s">
        <v>486</v>
      </c>
      <c r="AH325" s="729" t="s">
        <v>487</v>
      </c>
      <c r="AI325" s="729" t="s">
        <v>488</v>
      </c>
      <c r="AJ325" s="670" t="s">
        <v>489</v>
      </c>
      <c r="AK325" s="670" t="s">
        <v>490</v>
      </c>
      <c r="AL325" s="729" t="s">
        <v>491</v>
      </c>
      <c r="AM325" s="729" t="s">
        <v>492</v>
      </c>
      <c r="AN325" s="670" t="s">
        <v>493</v>
      </c>
      <c r="AO325" s="670" t="s">
        <v>494</v>
      </c>
      <c r="AP325" s="729" t="s">
        <v>495</v>
      </c>
      <c r="AQ325" s="729" t="s">
        <v>496</v>
      </c>
      <c r="AR325" s="643"/>
      <c r="AS325" s="670" t="s">
        <v>497</v>
      </c>
      <c r="AT325" s="670" t="s">
        <v>498</v>
      </c>
      <c r="AU325" s="670" t="s">
        <v>499</v>
      </c>
      <c r="AV325" s="729" t="s">
        <v>500</v>
      </c>
      <c r="AW325" s="729" t="s">
        <v>501</v>
      </c>
      <c r="AX325" s="670" t="s">
        <v>502</v>
      </c>
      <c r="AY325" s="670" t="s">
        <v>503</v>
      </c>
      <c r="AZ325" s="729" t="s">
        <v>504</v>
      </c>
      <c r="BA325" s="729" t="s">
        <v>505</v>
      </c>
      <c r="BB325" s="670" t="s">
        <v>506</v>
      </c>
      <c r="BC325" s="670" t="s">
        <v>507</v>
      </c>
      <c r="BD325" s="729" t="s">
        <v>508</v>
      </c>
      <c r="BE325" s="729" t="s">
        <v>509</v>
      </c>
      <c r="BF325" s="670" t="s">
        <v>510</v>
      </c>
      <c r="BG325" s="670" t="s">
        <v>511</v>
      </c>
      <c r="BH325" s="729" t="s">
        <v>512</v>
      </c>
      <c r="BI325" s="729" t="s">
        <v>513</v>
      </c>
      <c r="BJ325" s="644"/>
      <c r="BK325" s="730" t="s">
        <v>514</v>
      </c>
      <c r="BL325" s="730" t="s">
        <v>515</v>
      </c>
      <c r="BM325" s="730" t="s">
        <v>516</v>
      </c>
      <c r="BN325" s="730" t="s">
        <v>517</v>
      </c>
      <c r="BO325" s="730" t="s">
        <v>518</v>
      </c>
      <c r="BP325" s="730" t="s">
        <v>519</v>
      </c>
      <c r="BQ325" s="730" t="s">
        <v>520</v>
      </c>
      <c r="BR325" s="730" t="s">
        <v>521</v>
      </c>
    </row>
    <row r="326" spans="1:70">
      <c r="A326" s="655" t="s">
        <v>566</v>
      </c>
      <c r="B326" s="655" t="s">
        <v>2285</v>
      </c>
      <c r="C326" s="648">
        <f>SETUP!$F$29</f>
        <v>0</v>
      </c>
      <c r="D326" s="654">
        <v>5.4</v>
      </c>
      <c r="E326" s="663" t="s">
        <v>205</v>
      </c>
      <c r="F326" s="663" t="s">
        <v>825</v>
      </c>
      <c r="G326" s="650" t="str">
        <f t="array" ref="G326">IFERROR(INDEX('HIV-Other HPs'!$L$49:$L$74,MATCH($E326&amp;$F326,'HIV-Other HPs'!$E$49:$E$74&amp;'HIV-Other HPs'!$I$49:$I$74,0)),"")</f>
        <v/>
      </c>
      <c r="H326" s="650" t="str">
        <f t="array" ref="H326">IFERROR(INDEX('HIV-Other HPs'!$M$49:$M$74,MATCH($E326&amp;$F326,'HIV-Other HPs'!$E$49:$E$74&amp;'HIV-Other HPs'!$I$49:$I$74,0)),"")</f>
        <v/>
      </c>
      <c r="I326" s="651">
        <f t="array" ref="I326">IFERROR(INDEX('HIV-Other HPs'!$N$49:$N$74,MATCH($E326&amp;$F326,'HIV-Other HPs'!$E$49:$E$74&amp;'HIV-Other HPs'!$I$49:$I$74,0)),0)</f>
        <v>0</v>
      </c>
      <c r="J326" s="651">
        <f t="array" ref="J326">IFERROR(INDEX('HIV-Other HPs'!$O$49:$O$74,MATCH($E326&amp;$F326,'HIV-Other HPs'!$E$49:$E$74&amp;'HIV-Other HPs'!$I$49:$I$74,0)),0)</f>
        <v>0</v>
      </c>
      <c r="K326" s="652">
        <f>IF(ISERROR($I326*J326),0,$I326*J326)</f>
        <v>0</v>
      </c>
      <c r="L326" s="652">
        <f>IF(C326="Upfront",J326,0)</f>
        <v>0</v>
      </c>
      <c r="M326" s="652">
        <f>IF(C326="Upfront",K326,0)</f>
        <v>0</v>
      </c>
      <c r="N326" s="651">
        <f t="array" ref="N326">IFERROR(INDEX('HIV-Other HPs'!$P$49:$P$74,MATCH($E326&amp;$F326,'HIV-Other HPs'!$E$49:$E$74&amp;'HIV-Other HPs'!$I$49:$I$74,0)),0)</f>
        <v>0</v>
      </c>
      <c r="O326" s="652">
        <f>IF(ISERROR($I326*N326),0,$I326*N326)</f>
        <v>0</v>
      </c>
      <c r="P326" s="652">
        <f>IF(C326="Upfront",N326,0)</f>
        <v>0</v>
      </c>
      <c r="Q326" s="652">
        <f>IF(C326="Upfront",O326,0)</f>
        <v>0</v>
      </c>
      <c r="R326" s="651">
        <f t="array" ref="R326">IFERROR(INDEX('HIV-Other HPs'!$Q$49:$Q$74,MATCH($E326&amp;$F326,'HIV-Other HPs'!$E$49:$E$74&amp;'HIV-Other HPs'!$I$49:$I$74,0)),0)</f>
        <v>0</v>
      </c>
      <c r="S326" s="652">
        <f>IF(ISERROR($I326*R326),0,$I326*R326)</f>
        <v>0</v>
      </c>
      <c r="T326" s="652">
        <f>IF(C326="Upfront",R326,IF(C326="At delivery",J326,0))</f>
        <v>0</v>
      </c>
      <c r="U326" s="652">
        <f>IF(C326="Upfront",S326,IF(C326="At delivery",K326,0))</f>
        <v>0</v>
      </c>
      <c r="V326" s="651">
        <f t="array" ref="V326">IFERROR(INDEX('HIV-Other HPs'!$R$49:$R$74,MATCH($E326&amp;$F326,'HIV-Other HPs'!$E$49:$E$74&amp;'HIV-Other HPs'!$I$49:$I$74,0)),0)</f>
        <v>0</v>
      </c>
      <c r="W326" s="652">
        <f>IF(ISERROR($I326*V326),0,$I326*V326)</f>
        <v>0</v>
      </c>
      <c r="X326" s="652">
        <f>IF(C326="Upfront",V326,IF(C326="At delivery",N326,0))</f>
        <v>0</v>
      </c>
      <c r="Y326" s="652">
        <f>IF(C326="Upfront",W326,IF(C326="At delivery",O326,0))</f>
        <v>0</v>
      </c>
      <c r="Z326" s="664"/>
      <c r="AA326" s="651">
        <f t="array" ref="AA326">IFERROR(INDEX('HIV-Other HPs'!$U$49:$U$74,MATCH($E326&amp;$F326,'HIV-Other HPs'!$E$49:$E$74&amp;'HIV-Other HPs'!$I$49:$I$74,0)),0)</f>
        <v>0</v>
      </c>
      <c r="AB326" s="651">
        <f t="array" ref="AB326">IFERROR(INDEX('HIV-Other HPs'!$V$49:$V$74,MATCH($E326&amp;$F326,'HIV-Other HPs'!$E$49:$E$74&amp;'HIV-Other HPs'!$I$49:$I$74,0)),0)</f>
        <v>0</v>
      </c>
      <c r="AC326" s="652">
        <f>IF(ISERROR($AA326*AB326),0,$AA326*AB326)</f>
        <v>0</v>
      </c>
      <c r="AD326" s="652">
        <f>IF(C326="Upfront",AB326,IF(C326="At delivery",R326,0))</f>
        <v>0</v>
      </c>
      <c r="AE326" s="652">
        <f>IF(C326="Upfront",AC326,IF(C326="At delivery",S326,0))</f>
        <v>0</v>
      </c>
      <c r="AF326" s="651">
        <f t="array" ref="AF326">IFERROR(INDEX('HIV-Other HPs'!$W$49:$W$74,MATCH($E326&amp;$F326,'HIV-Other HPs'!$E$49:$E$74&amp;'HIV-Other HPs'!$I$49:$I$74,0)),0)</f>
        <v>0</v>
      </c>
      <c r="AG326" s="652">
        <f>IF(ISERROR($AA326*AF326),0,$AA326*AF326)</f>
        <v>0</v>
      </c>
      <c r="AH326" s="652">
        <f>IF(C326="Upfront",AF326,IF(C326="At delivery",V326,0))</f>
        <v>0</v>
      </c>
      <c r="AI326" s="652">
        <f>IF(C326="Upfront",AG326,IF(C326="At delivery",W326,0))</f>
        <v>0</v>
      </c>
      <c r="AJ326" s="651">
        <f t="array" ref="AJ326">IFERROR(INDEX('HIV-Other HPs'!$X$49:$X$74,MATCH($E326&amp;$F326,'HIV-Other HPs'!$E$49:$E$74&amp;'HIV-Other HPs'!$I$49:$I$74,0)),0)</f>
        <v>0</v>
      </c>
      <c r="AK326" s="652">
        <f>IF(ISERROR($AA326*AJ326),0,$AA326*AJ326)</f>
        <v>0</v>
      </c>
      <c r="AL326" s="652">
        <f>IF(C326="Upfront",AJ326,IF(C326="At delivery",AB326,0))</f>
        <v>0</v>
      </c>
      <c r="AM326" s="652">
        <f>IF(C326="Upfront",AK326,IF(C326="At delivery",AC326,0))</f>
        <v>0</v>
      </c>
      <c r="AN326" s="651">
        <f t="array" ref="AN326">IFERROR(INDEX('HIV-Other HPs'!$Y$49:$Y$74,MATCH($E326&amp;$F326,'HIV-Other HPs'!$E$49:$E$74&amp;'HIV-Other HPs'!$I$49:$I$74,0)),0)</f>
        <v>0</v>
      </c>
      <c r="AO326" s="652">
        <f>IF(ISERROR($AA326*AN326),0,$AA326*AN326)</f>
        <v>0</v>
      </c>
      <c r="AP326" s="652">
        <f>IF(C326="Upfront",AN326,IF(C326="At delivery",AF326,0))</f>
        <v>0</v>
      </c>
      <c r="AQ326" s="652">
        <f>IF(C326="Upfront",AO326,IF(C326="At delivery",AG326,0))</f>
        <v>0</v>
      </c>
      <c r="AR326" s="664"/>
      <c r="AS326" s="651">
        <f t="array" ref="AS326">IFERROR(INDEX('HIV-Other HPs'!$AB$49:$AB$74,MATCH($E326&amp;$F326,'HIV-Other HPs'!$E$49:$E$74&amp;'HIV-Other HPs'!$I$49:$I$74,0)),0)</f>
        <v>0</v>
      </c>
      <c r="AT326" s="651">
        <f t="array" ref="AT326">IFERROR(INDEX('HIV-Other HPs'!$AC$49:$AC$74,MATCH($E326&amp;$F326,'HIV-Other HPs'!$E$49:$E$74&amp;'HIV-Other HPs'!$I$49:$I$74,0)),0)</f>
        <v>0</v>
      </c>
      <c r="AU326" s="652">
        <f>IF(ISERROR($AS326*AT326),0,$AS326*AT326)</f>
        <v>0</v>
      </c>
      <c r="AV326" s="652">
        <f>IF(C326="Upfront",AT326,IF(C326="At delivery",AJ326,0))</f>
        <v>0</v>
      </c>
      <c r="AW326" s="652">
        <f>IF(C326="Upfront",AU326,IF(C326="At delivery",AK326,0))</f>
        <v>0</v>
      </c>
      <c r="AX326" s="651">
        <f t="array" ref="AX326">IFERROR(INDEX('HIV-Other HPs'!$AD$49:$AD$74,MATCH($E326&amp;$F326,'HIV-Other HPs'!$E$49:$E$74&amp;'HIV-Other HPs'!$I$49:$I$74,0)),0)</f>
        <v>0</v>
      </c>
      <c r="AY326" s="652">
        <f>IF(ISERROR($AS326*AX326),0,$AS326*AX326)</f>
        <v>0</v>
      </c>
      <c r="AZ326" s="652">
        <f>IF(C326="Upfront",AX326,IF(C326="At delivery",AN326,0))</f>
        <v>0</v>
      </c>
      <c r="BA326" s="652">
        <f>IF(C326="Upfront",AY326,IF(C326="At delivery",AO326,0))</f>
        <v>0</v>
      </c>
      <c r="BB326" s="651">
        <f t="array" ref="BB326">IFERROR(INDEX('HIV-Other HPs'!$AE$49:$AE$74,MATCH($E326&amp;$F326,'HIV-Other HPs'!$E$49:$E$74&amp;'HIV-Other HPs'!$I$49:$I$74,0)),0)</f>
        <v>0</v>
      </c>
      <c r="BC326" s="652">
        <f>IF(ISERROR($AS326*BB326),0,$AS326*BB326)</f>
        <v>0</v>
      </c>
      <c r="BD326" s="652">
        <f>IF(C326="Upfront",BB326,IF(C326="At delivery",AT326,0))</f>
        <v>0</v>
      </c>
      <c r="BE326" s="652">
        <f>IF(C326="Upfront",BC326,IF(C326="At delivery",AU326,0))</f>
        <v>0</v>
      </c>
      <c r="BF326" s="651">
        <f t="array" ref="BF326">IFERROR(INDEX('HIV-Other HPs'!$AF$49:$AF$74,MATCH($E326&amp;$F326,'HIV-Other HPs'!$E$49:$E$74&amp;'HIV-Other HPs'!$I$49:$I$74,0)),0)</f>
        <v>0</v>
      </c>
      <c r="BG326" s="652">
        <f>IF(ISERROR($AS326*BF326),0,$AS326*BF326)</f>
        <v>0</v>
      </c>
      <c r="BH326" s="652">
        <f>IF(C326="Upfront",BF326,IF(C326="At delivery",AX326,0))</f>
        <v>0</v>
      </c>
      <c r="BI326" s="652">
        <f>IF(C326="Upfront",BG326,IF(C326="At delivery",AY326,0))</f>
        <v>0</v>
      </c>
      <c r="BJ326" s="662"/>
      <c r="BK326" s="663"/>
      <c r="BL326" s="663"/>
      <c r="BM326" s="663"/>
      <c r="BN326" s="663"/>
      <c r="BO326" s="663"/>
      <c r="BP326" s="663"/>
      <c r="BQ326" s="663"/>
      <c r="BR326" s="663"/>
    </row>
    <row r="327" spans="1:70">
      <c r="A327" s="655" t="s">
        <v>566</v>
      </c>
      <c r="B327" s="655" t="s">
        <v>2285</v>
      </c>
      <c r="C327" s="648">
        <f>SETUP!$F$29</f>
        <v>0</v>
      </c>
      <c r="D327" s="654">
        <v>5.4</v>
      </c>
      <c r="E327" s="663" t="s">
        <v>205</v>
      </c>
      <c r="F327" s="663" t="s">
        <v>1506</v>
      </c>
      <c r="G327" s="650" t="str">
        <f t="array" ref="G327">IFERROR(INDEX('HIV-Other HPs'!$L$49:$L$74,MATCH($E327&amp;$F327,'HIV-Other HPs'!$E$49:$E$74&amp;'HIV-Other HPs'!$I$49:$I$74,0)),"")</f>
        <v/>
      </c>
      <c r="H327" s="650" t="str">
        <f t="array" ref="H327">IFERROR(INDEX('HIV-Other HPs'!$M$49:$M$74,MATCH($E327&amp;$F327,'HIV-Other HPs'!$E$49:$E$74&amp;'HIV-Other HPs'!$I$49:$I$74,0)),"")</f>
        <v/>
      </c>
      <c r="I327" s="651">
        <f t="array" ref="I327">IFERROR(INDEX('HIV-Other HPs'!$N$49:$N$74,MATCH($E327&amp;$F327,'HIV-Other HPs'!$E$49:$E$74&amp;'HIV-Other HPs'!$I$49:$I$74,0)),0)</f>
        <v>0</v>
      </c>
      <c r="J327" s="651">
        <f t="array" ref="J327">IFERROR(INDEX('HIV-Other HPs'!$O$49:$O$74,MATCH($E327&amp;$F327,'HIV-Other HPs'!$E$49:$E$74&amp;'HIV-Other HPs'!$I$49:$I$74,0)),0)</f>
        <v>0</v>
      </c>
      <c r="K327" s="652">
        <f t="shared" ref="K327:K369" si="252">IF(ISERROR($I327*J327),0,$I327*J327)</f>
        <v>0</v>
      </c>
      <c r="L327" s="652">
        <f t="shared" ref="L327:L369" si="253">IF(C327="Upfront",J327,0)</f>
        <v>0</v>
      </c>
      <c r="M327" s="652">
        <f t="shared" ref="M327:M369" si="254">IF(C327="Upfront",K327,0)</f>
        <v>0</v>
      </c>
      <c r="N327" s="651">
        <f t="array" ref="N327">IFERROR(INDEX('HIV-Other HPs'!$P$49:$P$74,MATCH($E327&amp;$F327,'HIV-Other HPs'!$E$49:$E$74&amp;'HIV-Other HPs'!$I$49:$I$74,0)),0)</f>
        <v>0</v>
      </c>
      <c r="O327" s="652">
        <f t="shared" ref="O327:O369" si="255">IF(ISERROR($I327*N327),0,$I327*N327)</f>
        <v>0</v>
      </c>
      <c r="P327" s="652">
        <f t="shared" ref="P327:P369" si="256">IF(C327="Upfront",N327,0)</f>
        <v>0</v>
      </c>
      <c r="Q327" s="652">
        <f t="shared" ref="Q327:Q369" si="257">IF(C327="Upfront",O327,0)</f>
        <v>0</v>
      </c>
      <c r="R327" s="651">
        <f t="array" ref="R327">IFERROR(INDEX('HIV-Other HPs'!$Q$49:$Q$74,MATCH($E327&amp;$F327,'HIV-Other HPs'!$E$49:$E$74&amp;'HIV-Other HPs'!$I$49:$I$74,0)),0)</f>
        <v>0</v>
      </c>
      <c r="S327" s="652">
        <f t="shared" ref="S327:S369" si="258">IF(ISERROR($I327*R327),0,$I327*R327)</f>
        <v>0</v>
      </c>
      <c r="T327" s="652">
        <f t="shared" ref="T327:T369" si="259">IF(C327="Upfront",R327,IF(C327="At delivery",J327,0))</f>
        <v>0</v>
      </c>
      <c r="U327" s="652">
        <f t="shared" ref="U327:U369" si="260">IF(C327="Upfront",S327,IF(C327="At delivery",K327,0))</f>
        <v>0</v>
      </c>
      <c r="V327" s="651">
        <f t="array" ref="V327">IFERROR(INDEX('HIV-Other HPs'!$R$49:$R$74,MATCH($E327&amp;$F327,'HIV-Other HPs'!$E$49:$E$74&amp;'HIV-Other HPs'!$I$49:$I$74,0)),0)</f>
        <v>0</v>
      </c>
      <c r="W327" s="652">
        <f t="shared" ref="W327:W369" si="261">IF(ISERROR($I327*V327),0,$I327*V327)</f>
        <v>0</v>
      </c>
      <c r="X327" s="652">
        <f t="shared" ref="X327:X369" si="262">IF(C327="Upfront",V327,IF(C327="At delivery",N327,0))</f>
        <v>0</v>
      </c>
      <c r="Y327" s="652">
        <f t="shared" ref="Y327:Y369" si="263">IF(C327="Upfront",W327,IF(C327="At delivery",O327,0))</f>
        <v>0</v>
      </c>
      <c r="Z327" s="664"/>
      <c r="AA327" s="651">
        <f t="array" ref="AA327">IFERROR(INDEX('HIV-Other HPs'!$U$49:$U$74,MATCH($E327&amp;$F327,'HIV-Other HPs'!$E$49:$E$74&amp;'HIV-Other HPs'!$I$49:$I$74,0)),0)</f>
        <v>0</v>
      </c>
      <c r="AB327" s="651">
        <f t="array" ref="AB327">IFERROR(INDEX('HIV-Other HPs'!$V$49:$V$74,MATCH($E327&amp;$F327,'HIV-Other HPs'!$E$49:$E$74&amp;'HIV-Other HPs'!$I$49:$I$74,0)),0)</f>
        <v>0</v>
      </c>
      <c r="AC327" s="652">
        <f t="shared" ref="AC327:AC369" si="264">IF(ISERROR($AA327*AB327),0,$AA327*AB327)</f>
        <v>0</v>
      </c>
      <c r="AD327" s="652">
        <f t="shared" ref="AD327:AD369" si="265">IF(C327="Upfront",AB327,IF(C327="At delivery",R327,0))</f>
        <v>0</v>
      </c>
      <c r="AE327" s="652">
        <f t="shared" ref="AE327:AE369" si="266">IF(C327="Upfront",AC327,IF(C327="At delivery",S327,0))</f>
        <v>0</v>
      </c>
      <c r="AF327" s="651">
        <f t="array" ref="AF327">IFERROR(INDEX('HIV-Other HPs'!$W$49:$W$74,MATCH($E327&amp;$F327,'HIV-Other HPs'!$E$49:$E$74&amp;'HIV-Other HPs'!$I$49:$I$74,0)),0)</f>
        <v>0</v>
      </c>
      <c r="AG327" s="652">
        <f t="shared" ref="AG327:AG369" si="267">IF(ISERROR($AA327*AF327),0,$AA327*AF327)</f>
        <v>0</v>
      </c>
      <c r="AH327" s="652">
        <f t="shared" ref="AH327:AH369" si="268">IF(C327="Upfront",AF327,IF(C327="At delivery",V327,0))</f>
        <v>0</v>
      </c>
      <c r="AI327" s="652">
        <f t="shared" ref="AI327:AI369" si="269">IF(C327="Upfront",AG327,IF(C327="At delivery",W327,0))</f>
        <v>0</v>
      </c>
      <c r="AJ327" s="651">
        <f t="array" ref="AJ327">IFERROR(INDEX('HIV-Other HPs'!$X$49:$X$74,MATCH($E327&amp;$F327,'HIV-Other HPs'!$E$49:$E$74&amp;'HIV-Other HPs'!$I$49:$I$74,0)),0)</f>
        <v>0</v>
      </c>
      <c r="AK327" s="652">
        <f t="shared" ref="AK327:AK369" si="270">IF(ISERROR($AA327*AJ327),0,$AA327*AJ327)</f>
        <v>0</v>
      </c>
      <c r="AL327" s="652">
        <f t="shared" ref="AL327:AL369" si="271">IF(C327="Upfront",AJ327,IF(C327="At delivery",AB327,0))</f>
        <v>0</v>
      </c>
      <c r="AM327" s="652">
        <f t="shared" ref="AM327:AM369" si="272">IF(C327="Upfront",AK327,IF(C327="At delivery",AC327,0))</f>
        <v>0</v>
      </c>
      <c r="AN327" s="651">
        <f t="array" ref="AN327">IFERROR(INDEX('HIV-Other HPs'!$Y$49:$Y$74,MATCH($E327&amp;$F327,'HIV-Other HPs'!$E$49:$E$74&amp;'HIV-Other HPs'!$I$49:$I$74,0)),0)</f>
        <v>0</v>
      </c>
      <c r="AO327" s="652">
        <f t="shared" ref="AO327:AO369" si="273">IF(ISERROR($AA327*AN327),0,$AA327*AN327)</f>
        <v>0</v>
      </c>
      <c r="AP327" s="652">
        <f t="shared" ref="AP327:AP369" si="274">IF(C327="Upfront",AN327,IF(C327="At delivery",AF327,0))</f>
        <v>0</v>
      </c>
      <c r="AQ327" s="652">
        <f t="shared" ref="AQ327:AQ369" si="275">IF(C327="Upfront",AO327,IF(C327="At delivery",AG327,0))</f>
        <v>0</v>
      </c>
      <c r="AR327" s="664"/>
      <c r="AS327" s="651">
        <f t="array" ref="AS327">IFERROR(INDEX('HIV-Other HPs'!$AB$49:$AB$74,MATCH($E327&amp;$F327,'HIV-Other HPs'!$E$49:$E$74&amp;'HIV-Other HPs'!$I$49:$I$74,0)),0)</f>
        <v>0</v>
      </c>
      <c r="AT327" s="651">
        <f t="array" ref="AT327">IFERROR(INDEX('HIV-Other HPs'!$AC$49:$AC$74,MATCH($E327&amp;$F327,'HIV-Other HPs'!$E$49:$E$74&amp;'HIV-Other HPs'!$I$49:$I$74,0)),0)</f>
        <v>0</v>
      </c>
      <c r="AU327" s="652">
        <f t="shared" ref="AU327:AU369" si="276">IF(ISERROR($AS327*AT327),0,$AS327*AT327)</f>
        <v>0</v>
      </c>
      <c r="AV327" s="652">
        <f t="shared" ref="AV327:AV369" si="277">IF(C327="Upfront",AT327,IF(C327="At delivery",AJ327,0))</f>
        <v>0</v>
      </c>
      <c r="AW327" s="652">
        <f t="shared" ref="AW327:AW369" si="278">IF(C327="Upfront",AU327,IF(C327="At delivery",AK327,0))</f>
        <v>0</v>
      </c>
      <c r="AX327" s="651">
        <f t="array" ref="AX327">IFERROR(INDEX('HIV-Other HPs'!$AD$49:$AD$74,MATCH($E327&amp;$F327,'HIV-Other HPs'!$E$49:$E$74&amp;'HIV-Other HPs'!$I$49:$I$74,0)),0)</f>
        <v>0</v>
      </c>
      <c r="AY327" s="652">
        <f t="shared" ref="AY327:AY369" si="279">IF(ISERROR($AS327*AX327),0,$AS327*AX327)</f>
        <v>0</v>
      </c>
      <c r="AZ327" s="652">
        <f t="shared" ref="AZ327:AZ369" si="280">IF(C327="Upfront",AX327,IF(C327="At delivery",AN327,0))</f>
        <v>0</v>
      </c>
      <c r="BA327" s="652">
        <f t="shared" ref="BA327:BA369" si="281">IF(C327="Upfront",AY327,IF(C327="At delivery",AO327,0))</f>
        <v>0</v>
      </c>
      <c r="BB327" s="651">
        <f t="array" ref="BB327">IFERROR(INDEX('HIV-Other HPs'!$AE$49:$AE$74,MATCH($E327&amp;$F327,'HIV-Other HPs'!$E$49:$E$74&amp;'HIV-Other HPs'!$I$49:$I$74,0)),0)</f>
        <v>0</v>
      </c>
      <c r="BC327" s="652">
        <f t="shared" ref="BC327:BC369" si="282">IF(ISERROR($AS327*BB327),0,$AS327*BB327)</f>
        <v>0</v>
      </c>
      <c r="BD327" s="652">
        <f t="shared" ref="BD327:BD369" si="283">IF(C327="Upfront",BB327,IF(C327="At delivery",AT327,0))</f>
        <v>0</v>
      </c>
      <c r="BE327" s="652">
        <f t="shared" ref="BE327:BE369" si="284">IF(C327="Upfront",BC327,IF(C327="At delivery",AU327,0))</f>
        <v>0</v>
      </c>
      <c r="BF327" s="651">
        <f t="array" ref="BF327">IFERROR(INDEX('HIV-Other HPs'!$AF$49:$AF$74,MATCH($E327&amp;$F327,'HIV-Other HPs'!$E$49:$E$74&amp;'HIV-Other HPs'!$I$49:$I$74,0)),0)</f>
        <v>0</v>
      </c>
      <c r="BG327" s="652">
        <f t="shared" ref="BG327:BG369" si="285">IF(ISERROR($AS327*BF327),0,$AS327*BF327)</f>
        <v>0</v>
      </c>
      <c r="BH327" s="652">
        <f t="shared" ref="BH327:BH369" si="286">IF(C327="Upfront",BF327,IF(C327="At delivery",AX327,0))</f>
        <v>0</v>
      </c>
      <c r="BI327" s="652">
        <f t="shared" ref="BI327:BI369" si="287">IF(C327="Upfront",BG327,IF(C327="At delivery",AY327,0))</f>
        <v>0</v>
      </c>
      <c r="BJ327" s="662"/>
      <c r="BK327" s="663"/>
      <c r="BL327" s="663"/>
      <c r="BM327" s="663"/>
      <c r="BN327" s="663"/>
      <c r="BO327" s="663"/>
      <c r="BP327" s="663"/>
      <c r="BQ327" s="663"/>
      <c r="BR327" s="663"/>
    </row>
    <row r="328" spans="1:70">
      <c r="A328" s="655" t="s">
        <v>566</v>
      </c>
      <c r="B328" s="655" t="s">
        <v>2285</v>
      </c>
      <c r="C328" s="648">
        <f>SETUP!$F$29</f>
        <v>0</v>
      </c>
      <c r="D328" s="654">
        <v>5.4</v>
      </c>
      <c r="E328" s="663" t="s">
        <v>205</v>
      </c>
      <c r="F328" s="663" t="s">
        <v>1507</v>
      </c>
      <c r="G328" s="650" t="str">
        <f t="array" ref="G328">IFERROR(INDEX('HIV-Other HPs'!$L$49:$L$74,MATCH($E328&amp;$F328,'HIV-Other HPs'!$E$49:$E$74&amp;'HIV-Other HPs'!$I$49:$I$74,0)),"")</f>
        <v/>
      </c>
      <c r="H328" s="650" t="str">
        <f t="array" ref="H328">IFERROR(INDEX('HIV-Other HPs'!$M$49:$M$74,MATCH($E328&amp;$F328,'HIV-Other HPs'!$E$49:$E$74&amp;'HIV-Other HPs'!$I$49:$I$74,0)),"")</f>
        <v/>
      </c>
      <c r="I328" s="651">
        <f t="array" ref="I328">IFERROR(INDEX('HIV-Other HPs'!$N$49:$N$74,MATCH($E328&amp;$F328,'HIV-Other HPs'!$E$49:$E$74&amp;'HIV-Other HPs'!$I$49:$I$74,0)),0)</f>
        <v>0</v>
      </c>
      <c r="J328" s="651">
        <f t="array" ref="J328">IFERROR(INDEX('HIV-Other HPs'!$O$49:$O$74,MATCH($E328&amp;$F328,'HIV-Other HPs'!$E$49:$E$74&amp;'HIV-Other HPs'!$I$49:$I$74,0)),0)</f>
        <v>0</v>
      </c>
      <c r="K328" s="652">
        <f t="shared" si="252"/>
        <v>0</v>
      </c>
      <c r="L328" s="652">
        <f t="shared" si="253"/>
        <v>0</v>
      </c>
      <c r="M328" s="652">
        <f t="shared" si="254"/>
        <v>0</v>
      </c>
      <c r="N328" s="651">
        <f t="array" ref="N328">IFERROR(INDEX('HIV-Other HPs'!$P$49:$P$74,MATCH($E328&amp;$F328,'HIV-Other HPs'!$E$49:$E$74&amp;'HIV-Other HPs'!$I$49:$I$74,0)),0)</f>
        <v>0</v>
      </c>
      <c r="O328" s="652">
        <f t="shared" si="255"/>
        <v>0</v>
      </c>
      <c r="P328" s="652">
        <f t="shared" si="256"/>
        <v>0</v>
      </c>
      <c r="Q328" s="652">
        <f t="shared" si="257"/>
        <v>0</v>
      </c>
      <c r="R328" s="651">
        <f t="array" ref="R328">IFERROR(INDEX('HIV-Other HPs'!$Q$49:$Q$74,MATCH($E328&amp;$F328,'HIV-Other HPs'!$E$49:$E$74&amp;'HIV-Other HPs'!$I$49:$I$74,0)),0)</f>
        <v>0</v>
      </c>
      <c r="S328" s="652">
        <f t="shared" si="258"/>
        <v>0</v>
      </c>
      <c r="T328" s="652">
        <f t="shared" si="259"/>
        <v>0</v>
      </c>
      <c r="U328" s="652">
        <f t="shared" si="260"/>
        <v>0</v>
      </c>
      <c r="V328" s="651">
        <f t="array" ref="V328">IFERROR(INDEX('HIV-Other HPs'!$R$49:$R$74,MATCH($E328&amp;$F328,'HIV-Other HPs'!$E$49:$E$74&amp;'HIV-Other HPs'!$I$49:$I$74,0)),0)</f>
        <v>0</v>
      </c>
      <c r="W328" s="652">
        <f t="shared" si="261"/>
        <v>0</v>
      </c>
      <c r="X328" s="652">
        <f t="shared" si="262"/>
        <v>0</v>
      </c>
      <c r="Y328" s="652">
        <f t="shared" si="263"/>
        <v>0</v>
      </c>
      <c r="Z328" s="664"/>
      <c r="AA328" s="651">
        <f t="array" ref="AA328">IFERROR(INDEX('HIV-Other HPs'!$U$49:$U$74,MATCH($E328&amp;$F328,'HIV-Other HPs'!$E$49:$E$74&amp;'HIV-Other HPs'!$I$49:$I$74,0)),0)</f>
        <v>0</v>
      </c>
      <c r="AB328" s="651">
        <f t="array" ref="AB328">IFERROR(INDEX('HIV-Other HPs'!$V$49:$V$74,MATCH($E328&amp;$F328,'HIV-Other HPs'!$E$49:$E$74&amp;'HIV-Other HPs'!$I$49:$I$74,0)),0)</f>
        <v>0</v>
      </c>
      <c r="AC328" s="652">
        <f t="shared" si="264"/>
        <v>0</v>
      </c>
      <c r="AD328" s="652">
        <f t="shared" si="265"/>
        <v>0</v>
      </c>
      <c r="AE328" s="652">
        <f t="shared" si="266"/>
        <v>0</v>
      </c>
      <c r="AF328" s="651">
        <f t="array" ref="AF328">IFERROR(INDEX('HIV-Other HPs'!$W$49:$W$74,MATCH($E328&amp;$F328,'HIV-Other HPs'!$E$49:$E$74&amp;'HIV-Other HPs'!$I$49:$I$74,0)),0)</f>
        <v>0</v>
      </c>
      <c r="AG328" s="652">
        <f t="shared" si="267"/>
        <v>0</v>
      </c>
      <c r="AH328" s="652">
        <f t="shared" si="268"/>
        <v>0</v>
      </c>
      <c r="AI328" s="652">
        <f t="shared" si="269"/>
        <v>0</v>
      </c>
      <c r="AJ328" s="651">
        <f t="array" ref="AJ328">IFERROR(INDEX('HIV-Other HPs'!$X$49:$X$74,MATCH($E328&amp;$F328,'HIV-Other HPs'!$E$49:$E$74&amp;'HIV-Other HPs'!$I$49:$I$74,0)),0)</f>
        <v>0</v>
      </c>
      <c r="AK328" s="652">
        <f t="shared" si="270"/>
        <v>0</v>
      </c>
      <c r="AL328" s="652">
        <f t="shared" si="271"/>
        <v>0</v>
      </c>
      <c r="AM328" s="652">
        <f t="shared" si="272"/>
        <v>0</v>
      </c>
      <c r="AN328" s="651">
        <f t="array" ref="AN328">IFERROR(INDEX('HIV-Other HPs'!$Y$49:$Y$74,MATCH($E328&amp;$F328,'HIV-Other HPs'!$E$49:$E$74&amp;'HIV-Other HPs'!$I$49:$I$74,0)),0)</f>
        <v>0</v>
      </c>
      <c r="AO328" s="652">
        <f t="shared" si="273"/>
        <v>0</v>
      </c>
      <c r="AP328" s="652">
        <f t="shared" si="274"/>
        <v>0</v>
      </c>
      <c r="AQ328" s="652">
        <f t="shared" si="275"/>
        <v>0</v>
      </c>
      <c r="AR328" s="664"/>
      <c r="AS328" s="651">
        <f t="array" ref="AS328">IFERROR(INDEX('HIV-Other HPs'!$AB$49:$AB$74,MATCH($E328&amp;$F328,'HIV-Other HPs'!$E$49:$E$74&amp;'HIV-Other HPs'!$I$49:$I$74,0)),0)</f>
        <v>0</v>
      </c>
      <c r="AT328" s="651">
        <f t="array" ref="AT328">IFERROR(INDEX('HIV-Other HPs'!$AC$49:$AC$74,MATCH($E328&amp;$F328,'HIV-Other HPs'!$E$49:$E$74&amp;'HIV-Other HPs'!$I$49:$I$74,0)),0)</f>
        <v>0</v>
      </c>
      <c r="AU328" s="652">
        <f t="shared" si="276"/>
        <v>0</v>
      </c>
      <c r="AV328" s="652">
        <f t="shared" si="277"/>
        <v>0</v>
      </c>
      <c r="AW328" s="652">
        <f t="shared" si="278"/>
        <v>0</v>
      </c>
      <c r="AX328" s="651">
        <f t="array" ref="AX328">IFERROR(INDEX('HIV-Other HPs'!$AD$49:$AD$74,MATCH($E328&amp;$F328,'HIV-Other HPs'!$E$49:$E$74&amp;'HIV-Other HPs'!$I$49:$I$74,0)),0)</f>
        <v>0</v>
      </c>
      <c r="AY328" s="652">
        <f t="shared" si="279"/>
        <v>0</v>
      </c>
      <c r="AZ328" s="652">
        <f t="shared" si="280"/>
        <v>0</v>
      </c>
      <c r="BA328" s="652">
        <f t="shared" si="281"/>
        <v>0</v>
      </c>
      <c r="BB328" s="651">
        <f t="array" ref="BB328">IFERROR(INDEX('HIV-Other HPs'!$AE$49:$AE$74,MATCH($E328&amp;$F328,'HIV-Other HPs'!$E$49:$E$74&amp;'HIV-Other HPs'!$I$49:$I$74,0)),0)</f>
        <v>0</v>
      </c>
      <c r="BC328" s="652">
        <f t="shared" si="282"/>
        <v>0</v>
      </c>
      <c r="BD328" s="652">
        <f t="shared" si="283"/>
        <v>0</v>
      </c>
      <c r="BE328" s="652">
        <f t="shared" si="284"/>
        <v>0</v>
      </c>
      <c r="BF328" s="651">
        <f t="array" ref="BF328">IFERROR(INDEX('HIV-Other HPs'!$AF$49:$AF$74,MATCH($E328&amp;$F328,'HIV-Other HPs'!$E$49:$E$74&amp;'HIV-Other HPs'!$I$49:$I$74,0)),0)</f>
        <v>0</v>
      </c>
      <c r="BG328" s="652">
        <f t="shared" si="285"/>
        <v>0</v>
      </c>
      <c r="BH328" s="652">
        <f t="shared" si="286"/>
        <v>0</v>
      </c>
      <c r="BI328" s="652">
        <f t="shared" si="287"/>
        <v>0</v>
      </c>
      <c r="BJ328" s="662"/>
      <c r="BK328" s="663"/>
      <c r="BL328" s="663"/>
      <c r="BM328" s="663"/>
      <c r="BN328" s="663"/>
      <c r="BO328" s="663"/>
      <c r="BP328" s="663"/>
      <c r="BQ328" s="663"/>
      <c r="BR328" s="663"/>
    </row>
    <row r="329" spans="1:70">
      <c r="A329" s="655" t="s">
        <v>566</v>
      </c>
      <c r="B329" s="655" t="s">
        <v>2285</v>
      </c>
      <c r="C329" s="648">
        <f>SETUP!$F$29</f>
        <v>0</v>
      </c>
      <c r="D329" s="654">
        <v>5.4</v>
      </c>
      <c r="E329" s="663" t="s">
        <v>205</v>
      </c>
      <c r="F329" s="663" t="s">
        <v>826</v>
      </c>
      <c r="G329" s="650" t="str">
        <f t="array" ref="G329">IFERROR(INDEX('HIV-Other HPs'!$L$49:$L$74,MATCH($E329&amp;$F329,'HIV-Other HPs'!$E$49:$E$74&amp;'HIV-Other HPs'!$I$49:$I$74,0)),"")</f>
        <v/>
      </c>
      <c r="H329" s="650" t="str">
        <f t="array" ref="H329">IFERROR(INDEX('HIV-Other HPs'!$M$49:$M$74,MATCH($E329&amp;$F329,'HIV-Other HPs'!$E$49:$E$74&amp;'HIV-Other HPs'!$I$49:$I$74,0)),"")</f>
        <v/>
      </c>
      <c r="I329" s="651">
        <f t="array" ref="I329">IFERROR(INDEX('HIV-Other HPs'!$N$49:$N$74,MATCH($E329&amp;$F329,'HIV-Other HPs'!$E$49:$E$74&amp;'HIV-Other HPs'!$I$49:$I$74,0)),0)</f>
        <v>0</v>
      </c>
      <c r="J329" s="651">
        <f t="array" ref="J329">IFERROR(INDEX('HIV-Other HPs'!$O$49:$O$74,MATCH($E329&amp;$F329,'HIV-Other HPs'!$E$49:$E$74&amp;'HIV-Other HPs'!$I$49:$I$74,0)),0)</f>
        <v>0</v>
      </c>
      <c r="K329" s="652">
        <f t="shared" si="252"/>
        <v>0</v>
      </c>
      <c r="L329" s="652">
        <f t="shared" si="253"/>
        <v>0</v>
      </c>
      <c r="M329" s="652">
        <f t="shared" si="254"/>
        <v>0</v>
      </c>
      <c r="N329" s="651">
        <f t="array" ref="N329">IFERROR(INDEX('HIV-Other HPs'!$P$49:$P$74,MATCH($E329&amp;$F329,'HIV-Other HPs'!$E$49:$E$74&amp;'HIV-Other HPs'!$I$49:$I$74,0)),0)</f>
        <v>0</v>
      </c>
      <c r="O329" s="652">
        <f t="shared" si="255"/>
        <v>0</v>
      </c>
      <c r="P329" s="652">
        <f t="shared" si="256"/>
        <v>0</v>
      </c>
      <c r="Q329" s="652">
        <f t="shared" si="257"/>
        <v>0</v>
      </c>
      <c r="R329" s="651">
        <f t="array" ref="R329">IFERROR(INDEX('HIV-Other HPs'!$Q$49:$Q$74,MATCH($E329&amp;$F329,'HIV-Other HPs'!$E$49:$E$74&amp;'HIV-Other HPs'!$I$49:$I$74,0)),0)</f>
        <v>0</v>
      </c>
      <c r="S329" s="652">
        <f t="shared" si="258"/>
        <v>0</v>
      </c>
      <c r="T329" s="652">
        <f t="shared" si="259"/>
        <v>0</v>
      </c>
      <c r="U329" s="652">
        <f t="shared" si="260"/>
        <v>0</v>
      </c>
      <c r="V329" s="651">
        <f t="array" ref="V329">IFERROR(INDEX('HIV-Other HPs'!$R$49:$R$74,MATCH($E329&amp;$F329,'HIV-Other HPs'!$E$49:$E$74&amp;'HIV-Other HPs'!$I$49:$I$74,0)),0)</f>
        <v>0</v>
      </c>
      <c r="W329" s="652">
        <f t="shared" si="261"/>
        <v>0</v>
      </c>
      <c r="X329" s="652">
        <f t="shared" si="262"/>
        <v>0</v>
      </c>
      <c r="Y329" s="652">
        <f t="shared" si="263"/>
        <v>0</v>
      </c>
      <c r="Z329" s="664"/>
      <c r="AA329" s="651">
        <f t="array" ref="AA329">IFERROR(INDEX('HIV-Other HPs'!$U$49:$U$74,MATCH($E329&amp;$F329,'HIV-Other HPs'!$E$49:$E$74&amp;'HIV-Other HPs'!$I$49:$I$74,0)),0)</f>
        <v>0</v>
      </c>
      <c r="AB329" s="651">
        <f t="array" ref="AB329">IFERROR(INDEX('HIV-Other HPs'!$V$49:$V$74,MATCH($E329&amp;$F329,'HIV-Other HPs'!$E$49:$E$74&amp;'HIV-Other HPs'!$I$49:$I$74,0)),0)</f>
        <v>0</v>
      </c>
      <c r="AC329" s="652">
        <f t="shared" si="264"/>
        <v>0</v>
      </c>
      <c r="AD329" s="652">
        <f t="shared" si="265"/>
        <v>0</v>
      </c>
      <c r="AE329" s="652">
        <f t="shared" si="266"/>
        <v>0</v>
      </c>
      <c r="AF329" s="651">
        <f t="array" ref="AF329">IFERROR(INDEX('HIV-Other HPs'!$W$49:$W$74,MATCH($E329&amp;$F329,'HIV-Other HPs'!$E$49:$E$74&amp;'HIV-Other HPs'!$I$49:$I$74,0)),0)</f>
        <v>0</v>
      </c>
      <c r="AG329" s="652">
        <f t="shared" si="267"/>
        <v>0</v>
      </c>
      <c r="AH329" s="652">
        <f t="shared" si="268"/>
        <v>0</v>
      </c>
      <c r="AI329" s="652">
        <f t="shared" si="269"/>
        <v>0</v>
      </c>
      <c r="AJ329" s="651">
        <f t="array" ref="AJ329">IFERROR(INDEX('HIV-Other HPs'!$X$49:$X$74,MATCH($E329&amp;$F329,'HIV-Other HPs'!$E$49:$E$74&amp;'HIV-Other HPs'!$I$49:$I$74,0)),0)</f>
        <v>0</v>
      </c>
      <c r="AK329" s="652">
        <f t="shared" si="270"/>
        <v>0</v>
      </c>
      <c r="AL329" s="652">
        <f t="shared" si="271"/>
        <v>0</v>
      </c>
      <c r="AM329" s="652">
        <f t="shared" si="272"/>
        <v>0</v>
      </c>
      <c r="AN329" s="651">
        <f t="array" ref="AN329">IFERROR(INDEX('HIV-Other HPs'!$Y$49:$Y$74,MATCH($E329&amp;$F329,'HIV-Other HPs'!$E$49:$E$74&amp;'HIV-Other HPs'!$I$49:$I$74,0)),0)</f>
        <v>0</v>
      </c>
      <c r="AO329" s="652">
        <f t="shared" si="273"/>
        <v>0</v>
      </c>
      <c r="AP329" s="652">
        <f t="shared" si="274"/>
        <v>0</v>
      </c>
      <c r="AQ329" s="652">
        <f t="shared" si="275"/>
        <v>0</v>
      </c>
      <c r="AR329" s="664"/>
      <c r="AS329" s="651">
        <f t="array" ref="AS329">IFERROR(INDEX('HIV-Other HPs'!$AB$49:$AB$74,MATCH($E329&amp;$F329,'HIV-Other HPs'!$E$49:$E$74&amp;'HIV-Other HPs'!$I$49:$I$74,0)),0)</f>
        <v>0</v>
      </c>
      <c r="AT329" s="651">
        <f t="array" ref="AT329">IFERROR(INDEX('HIV-Other HPs'!$AC$49:$AC$74,MATCH($E329&amp;$F329,'HIV-Other HPs'!$E$49:$E$74&amp;'HIV-Other HPs'!$I$49:$I$74,0)),0)</f>
        <v>0</v>
      </c>
      <c r="AU329" s="652">
        <f t="shared" si="276"/>
        <v>0</v>
      </c>
      <c r="AV329" s="652">
        <f t="shared" si="277"/>
        <v>0</v>
      </c>
      <c r="AW329" s="652">
        <f t="shared" si="278"/>
        <v>0</v>
      </c>
      <c r="AX329" s="651">
        <f t="array" ref="AX329">IFERROR(INDEX('HIV-Other HPs'!$AD$49:$AD$74,MATCH($E329&amp;$F329,'HIV-Other HPs'!$E$49:$E$74&amp;'HIV-Other HPs'!$I$49:$I$74,0)),0)</f>
        <v>0</v>
      </c>
      <c r="AY329" s="652">
        <f t="shared" si="279"/>
        <v>0</v>
      </c>
      <c r="AZ329" s="652">
        <f t="shared" si="280"/>
        <v>0</v>
      </c>
      <c r="BA329" s="652">
        <f t="shared" si="281"/>
        <v>0</v>
      </c>
      <c r="BB329" s="651">
        <f t="array" ref="BB329">IFERROR(INDEX('HIV-Other HPs'!$AE$49:$AE$74,MATCH($E329&amp;$F329,'HIV-Other HPs'!$E$49:$E$74&amp;'HIV-Other HPs'!$I$49:$I$74,0)),0)</f>
        <v>0</v>
      </c>
      <c r="BC329" s="652">
        <f t="shared" si="282"/>
        <v>0</v>
      </c>
      <c r="BD329" s="652">
        <f t="shared" si="283"/>
        <v>0</v>
      </c>
      <c r="BE329" s="652">
        <f t="shared" si="284"/>
        <v>0</v>
      </c>
      <c r="BF329" s="651">
        <f t="array" ref="BF329">IFERROR(INDEX('HIV-Other HPs'!$AF$49:$AF$74,MATCH($E329&amp;$F329,'HIV-Other HPs'!$E$49:$E$74&amp;'HIV-Other HPs'!$I$49:$I$74,0)),0)</f>
        <v>0</v>
      </c>
      <c r="BG329" s="652">
        <f t="shared" si="285"/>
        <v>0</v>
      </c>
      <c r="BH329" s="652">
        <f t="shared" si="286"/>
        <v>0</v>
      </c>
      <c r="BI329" s="652">
        <f t="shared" si="287"/>
        <v>0</v>
      </c>
      <c r="BJ329" s="662"/>
      <c r="BK329" s="663"/>
      <c r="BL329" s="663"/>
      <c r="BM329" s="663"/>
      <c r="BN329" s="663"/>
      <c r="BO329" s="663"/>
      <c r="BP329" s="663"/>
      <c r="BQ329" s="663"/>
      <c r="BR329" s="663"/>
    </row>
    <row r="330" spans="1:70">
      <c r="A330" s="655" t="s">
        <v>566</v>
      </c>
      <c r="B330" s="655" t="s">
        <v>2285</v>
      </c>
      <c r="C330" s="648">
        <f>SETUP!$F$29</f>
        <v>0</v>
      </c>
      <c r="D330" s="654">
        <v>5.4</v>
      </c>
      <c r="E330" s="663" t="s">
        <v>205</v>
      </c>
      <c r="F330" s="663" t="s">
        <v>1508</v>
      </c>
      <c r="G330" s="650" t="str">
        <f t="array" ref="G330">IFERROR(INDEX('HIV-Other HPs'!$L$49:$L$74,MATCH($E330&amp;$F330,'HIV-Other HPs'!$E$49:$E$74&amp;'HIV-Other HPs'!$I$49:$I$74,0)),"")</f>
        <v/>
      </c>
      <c r="H330" s="650" t="str">
        <f t="array" ref="H330">IFERROR(INDEX('HIV-Other HPs'!$M$49:$M$74,MATCH($E330&amp;$F330,'HIV-Other HPs'!$E$49:$E$74&amp;'HIV-Other HPs'!$I$49:$I$74,0)),"")</f>
        <v/>
      </c>
      <c r="I330" s="651">
        <f t="array" ref="I330">IFERROR(INDEX('HIV-Other HPs'!$N$49:$N$74,MATCH($E330&amp;$F330,'HIV-Other HPs'!$E$49:$E$74&amp;'HIV-Other HPs'!$I$49:$I$74,0)),0)</f>
        <v>0</v>
      </c>
      <c r="J330" s="651">
        <f t="array" ref="J330">IFERROR(INDEX('HIV-Other HPs'!$O$49:$O$74,MATCH($E330&amp;$F330,'HIV-Other HPs'!$E$49:$E$74&amp;'HIV-Other HPs'!$I$49:$I$74,0)),0)</f>
        <v>0</v>
      </c>
      <c r="K330" s="652">
        <f t="shared" si="252"/>
        <v>0</v>
      </c>
      <c r="L330" s="652">
        <f t="shared" si="253"/>
        <v>0</v>
      </c>
      <c r="M330" s="652">
        <f t="shared" si="254"/>
        <v>0</v>
      </c>
      <c r="N330" s="651">
        <f t="array" ref="N330">IFERROR(INDEX('HIV-Other HPs'!$P$49:$P$74,MATCH($E330&amp;$F330,'HIV-Other HPs'!$E$49:$E$74&amp;'HIV-Other HPs'!$I$49:$I$74,0)),0)</f>
        <v>0</v>
      </c>
      <c r="O330" s="652">
        <f t="shared" si="255"/>
        <v>0</v>
      </c>
      <c r="P330" s="652">
        <f t="shared" si="256"/>
        <v>0</v>
      </c>
      <c r="Q330" s="652">
        <f t="shared" si="257"/>
        <v>0</v>
      </c>
      <c r="R330" s="651">
        <f t="array" ref="R330">IFERROR(INDEX('HIV-Other HPs'!$Q$49:$Q$74,MATCH($E330&amp;$F330,'HIV-Other HPs'!$E$49:$E$74&amp;'HIV-Other HPs'!$I$49:$I$74,0)),0)</f>
        <v>0</v>
      </c>
      <c r="S330" s="652">
        <f t="shared" si="258"/>
        <v>0</v>
      </c>
      <c r="T330" s="652">
        <f t="shared" si="259"/>
        <v>0</v>
      </c>
      <c r="U330" s="652">
        <f t="shared" si="260"/>
        <v>0</v>
      </c>
      <c r="V330" s="651">
        <f t="array" ref="V330">IFERROR(INDEX('HIV-Other HPs'!$R$49:$R$74,MATCH($E330&amp;$F330,'HIV-Other HPs'!$E$49:$E$74&amp;'HIV-Other HPs'!$I$49:$I$74,0)),0)</f>
        <v>0</v>
      </c>
      <c r="W330" s="652">
        <f t="shared" si="261"/>
        <v>0</v>
      </c>
      <c r="X330" s="652">
        <f t="shared" si="262"/>
        <v>0</v>
      </c>
      <c r="Y330" s="652">
        <f t="shared" si="263"/>
        <v>0</v>
      </c>
      <c r="Z330" s="664"/>
      <c r="AA330" s="651">
        <f t="array" ref="AA330">IFERROR(INDEX('HIV-Other HPs'!$U$49:$U$74,MATCH($E330&amp;$F330,'HIV-Other HPs'!$E$49:$E$74&amp;'HIV-Other HPs'!$I$49:$I$74,0)),0)</f>
        <v>0</v>
      </c>
      <c r="AB330" s="651">
        <f t="array" ref="AB330">IFERROR(INDEX('HIV-Other HPs'!$V$49:$V$74,MATCH($E330&amp;$F330,'HIV-Other HPs'!$E$49:$E$74&amp;'HIV-Other HPs'!$I$49:$I$74,0)),0)</f>
        <v>0</v>
      </c>
      <c r="AC330" s="652">
        <f t="shared" si="264"/>
        <v>0</v>
      </c>
      <c r="AD330" s="652">
        <f t="shared" si="265"/>
        <v>0</v>
      </c>
      <c r="AE330" s="652">
        <f t="shared" si="266"/>
        <v>0</v>
      </c>
      <c r="AF330" s="651">
        <f t="array" ref="AF330">IFERROR(INDEX('HIV-Other HPs'!$W$49:$W$74,MATCH($E330&amp;$F330,'HIV-Other HPs'!$E$49:$E$74&amp;'HIV-Other HPs'!$I$49:$I$74,0)),0)</f>
        <v>0</v>
      </c>
      <c r="AG330" s="652">
        <f t="shared" si="267"/>
        <v>0</v>
      </c>
      <c r="AH330" s="652">
        <f t="shared" si="268"/>
        <v>0</v>
      </c>
      <c r="AI330" s="652">
        <f t="shared" si="269"/>
        <v>0</v>
      </c>
      <c r="AJ330" s="651">
        <f t="array" ref="AJ330">IFERROR(INDEX('HIV-Other HPs'!$X$49:$X$74,MATCH($E330&amp;$F330,'HIV-Other HPs'!$E$49:$E$74&amp;'HIV-Other HPs'!$I$49:$I$74,0)),0)</f>
        <v>0</v>
      </c>
      <c r="AK330" s="652">
        <f t="shared" si="270"/>
        <v>0</v>
      </c>
      <c r="AL330" s="652">
        <f t="shared" si="271"/>
        <v>0</v>
      </c>
      <c r="AM330" s="652">
        <f t="shared" si="272"/>
        <v>0</v>
      </c>
      <c r="AN330" s="651">
        <f t="array" ref="AN330">IFERROR(INDEX('HIV-Other HPs'!$Y$49:$Y$74,MATCH($E330&amp;$F330,'HIV-Other HPs'!$E$49:$E$74&amp;'HIV-Other HPs'!$I$49:$I$74,0)),0)</f>
        <v>0</v>
      </c>
      <c r="AO330" s="652">
        <f t="shared" si="273"/>
        <v>0</v>
      </c>
      <c r="AP330" s="652">
        <f t="shared" si="274"/>
        <v>0</v>
      </c>
      <c r="AQ330" s="652">
        <f t="shared" si="275"/>
        <v>0</v>
      </c>
      <c r="AR330" s="664"/>
      <c r="AS330" s="651">
        <f t="array" ref="AS330">IFERROR(INDEX('HIV-Other HPs'!$AB$49:$AB$74,MATCH($E330&amp;$F330,'HIV-Other HPs'!$E$49:$E$74&amp;'HIV-Other HPs'!$I$49:$I$74,0)),0)</f>
        <v>0</v>
      </c>
      <c r="AT330" s="651">
        <f t="array" ref="AT330">IFERROR(INDEX('HIV-Other HPs'!$AC$49:$AC$74,MATCH($E330&amp;$F330,'HIV-Other HPs'!$E$49:$E$74&amp;'HIV-Other HPs'!$I$49:$I$74,0)),0)</f>
        <v>0</v>
      </c>
      <c r="AU330" s="652">
        <f t="shared" si="276"/>
        <v>0</v>
      </c>
      <c r="AV330" s="652">
        <f t="shared" si="277"/>
        <v>0</v>
      </c>
      <c r="AW330" s="652">
        <f t="shared" si="278"/>
        <v>0</v>
      </c>
      <c r="AX330" s="651">
        <f t="array" ref="AX330">IFERROR(INDEX('HIV-Other HPs'!$AD$49:$AD$74,MATCH($E330&amp;$F330,'HIV-Other HPs'!$E$49:$E$74&amp;'HIV-Other HPs'!$I$49:$I$74,0)),0)</f>
        <v>0</v>
      </c>
      <c r="AY330" s="652">
        <f t="shared" si="279"/>
        <v>0</v>
      </c>
      <c r="AZ330" s="652">
        <f t="shared" si="280"/>
        <v>0</v>
      </c>
      <c r="BA330" s="652">
        <f t="shared" si="281"/>
        <v>0</v>
      </c>
      <c r="BB330" s="651">
        <f t="array" ref="BB330">IFERROR(INDEX('HIV-Other HPs'!$AE$49:$AE$74,MATCH($E330&amp;$F330,'HIV-Other HPs'!$E$49:$E$74&amp;'HIV-Other HPs'!$I$49:$I$74,0)),0)</f>
        <v>0</v>
      </c>
      <c r="BC330" s="652">
        <f t="shared" si="282"/>
        <v>0</v>
      </c>
      <c r="BD330" s="652">
        <f t="shared" si="283"/>
        <v>0</v>
      </c>
      <c r="BE330" s="652">
        <f t="shared" si="284"/>
        <v>0</v>
      </c>
      <c r="BF330" s="651">
        <f t="array" ref="BF330">IFERROR(INDEX('HIV-Other HPs'!$AF$49:$AF$74,MATCH($E330&amp;$F330,'HIV-Other HPs'!$E$49:$E$74&amp;'HIV-Other HPs'!$I$49:$I$74,0)),0)</f>
        <v>0</v>
      </c>
      <c r="BG330" s="652">
        <f t="shared" si="285"/>
        <v>0</v>
      </c>
      <c r="BH330" s="652">
        <f t="shared" si="286"/>
        <v>0</v>
      </c>
      <c r="BI330" s="652">
        <f t="shared" si="287"/>
        <v>0</v>
      </c>
      <c r="BJ330" s="662"/>
      <c r="BK330" s="663"/>
      <c r="BL330" s="663"/>
      <c r="BM330" s="663"/>
      <c r="BN330" s="663"/>
      <c r="BO330" s="663"/>
      <c r="BP330" s="663"/>
      <c r="BQ330" s="663"/>
      <c r="BR330" s="663"/>
    </row>
    <row r="331" spans="1:70">
      <c r="A331" s="655" t="s">
        <v>566</v>
      </c>
      <c r="B331" s="655" t="s">
        <v>2285</v>
      </c>
      <c r="C331" s="648">
        <f>SETUP!$F$29</f>
        <v>0</v>
      </c>
      <c r="D331" s="654">
        <v>5.4</v>
      </c>
      <c r="E331" s="663" t="s">
        <v>205</v>
      </c>
      <c r="F331" s="663" t="s">
        <v>1509</v>
      </c>
      <c r="G331" s="650" t="str">
        <f t="array" ref="G331">IFERROR(INDEX('HIV-Other HPs'!$L$49:$L$74,MATCH($E331&amp;$F331,'HIV-Other HPs'!$E$49:$E$74&amp;'HIV-Other HPs'!$I$49:$I$74,0)),"")</f>
        <v/>
      </c>
      <c r="H331" s="650" t="str">
        <f t="array" ref="H331">IFERROR(INDEX('HIV-Other HPs'!$M$49:$M$74,MATCH($E331&amp;$F331,'HIV-Other HPs'!$E$49:$E$74&amp;'HIV-Other HPs'!$I$49:$I$74,0)),"")</f>
        <v/>
      </c>
      <c r="I331" s="651">
        <f t="array" ref="I331">IFERROR(INDEX('HIV-Other HPs'!$N$49:$N$74,MATCH($E331&amp;$F331,'HIV-Other HPs'!$E$49:$E$74&amp;'HIV-Other HPs'!$I$49:$I$74,0)),0)</f>
        <v>0</v>
      </c>
      <c r="J331" s="651">
        <f t="array" ref="J331">IFERROR(INDEX('HIV-Other HPs'!$O$49:$O$74,MATCH($E331&amp;$F331,'HIV-Other HPs'!$E$49:$E$74&amp;'HIV-Other HPs'!$I$49:$I$74,0)),0)</f>
        <v>0</v>
      </c>
      <c r="K331" s="652">
        <f t="shared" si="252"/>
        <v>0</v>
      </c>
      <c r="L331" s="652">
        <f t="shared" si="253"/>
        <v>0</v>
      </c>
      <c r="M331" s="652">
        <f t="shared" si="254"/>
        <v>0</v>
      </c>
      <c r="N331" s="651">
        <f t="array" ref="N331">IFERROR(INDEX('HIV-Other HPs'!$P$49:$P$74,MATCH($E331&amp;$F331,'HIV-Other HPs'!$E$49:$E$74&amp;'HIV-Other HPs'!$I$49:$I$74,0)),0)</f>
        <v>0</v>
      </c>
      <c r="O331" s="652">
        <f t="shared" si="255"/>
        <v>0</v>
      </c>
      <c r="P331" s="652">
        <f t="shared" si="256"/>
        <v>0</v>
      </c>
      <c r="Q331" s="652">
        <f t="shared" si="257"/>
        <v>0</v>
      </c>
      <c r="R331" s="651">
        <f t="array" ref="R331">IFERROR(INDEX('HIV-Other HPs'!$Q$49:$Q$74,MATCH($E331&amp;$F331,'HIV-Other HPs'!$E$49:$E$74&amp;'HIV-Other HPs'!$I$49:$I$74,0)),0)</f>
        <v>0</v>
      </c>
      <c r="S331" s="652">
        <f t="shared" si="258"/>
        <v>0</v>
      </c>
      <c r="T331" s="652">
        <f t="shared" si="259"/>
        <v>0</v>
      </c>
      <c r="U331" s="652">
        <f t="shared" si="260"/>
        <v>0</v>
      </c>
      <c r="V331" s="651">
        <f t="array" ref="V331">IFERROR(INDEX('HIV-Other HPs'!$R$49:$R$74,MATCH($E331&amp;$F331,'HIV-Other HPs'!$E$49:$E$74&amp;'HIV-Other HPs'!$I$49:$I$74,0)),0)</f>
        <v>0</v>
      </c>
      <c r="W331" s="652">
        <f t="shared" si="261"/>
        <v>0</v>
      </c>
      <c r="X331" s="652">
        <f t="shared" si="262"/>
        <v>0</v>
      </c>
      <c r="Y331" s="652">
        <f t="shared" si="263"/>
        <v>0</v>
      </c>
      <c r="Z331" s="664"/>
      <c r="AA331" s="651">
        <f t="array" ref="AA331">IFERROR(INDEX('HIV-Other HPs'!$U$49:$U$74,MATCH($E331&amp;$F331,'HIV-Other HPs'!$E$49:$E$74&amp;'HIV-Other HPs'!$I$49:$I$74,0)),0)</f>
        <v>0</v>
      </c>
      <c r="AB331" s="651">
        <f t="array" ref="AB331">IFERROR(INDEX('HIV-Other HPs'!$V$49:$V$74,MATCH($E331&amp;$F331,'HIV-Other HPs'!$E$49:$E$74&amp;'HIV-Other HPs'!$I$49:$I$74,0)),0)</f>
        <v>0</v>
      </c>
      <c r="AC331" s="652">
        <f t="shared" si="264"/>
        <v>0</v>
      </c>
      <c r="AD331" s="652">
        <f t="shared" si="265"/>
        <v>0</v>
      </c>
      <c r="AE331" s="652">
        <f t="shared" si="266"/>
        <v>0</v>
      </c>
      <c r="AF331" s="651">
        <f t="array" ref="AF331">IFERROR(INDEX('HIV-Other HPs'!$W$49:$W$74,MATCH($E331&amp;$F331,'HIV-Other HPs'!$E$49:$E$74&amp;'HIV-Other HPs'!$I$49:$I$74,0)),0)</f>
        <v>0</v>
      </c>
      <c r="AG331" s="652">
        <f t="shared" si="267"/>
        <v>0</v>
      </c>
      <c r="AH331" s="652">
        <f t="shared" si="268"/>
        <v>0</v>
      </c>
      <c r="AI331" s="652">
        <f t="shared" si="269"/>
        <v>0</v>
      </c>
      <c r="AJ331" s="651">
        <f t="array" ref="AJ331">IFERROR(INDEX('HIV-Other HPs'!$X$49:$X$74,MATCH($E331&amp;$F331,'HIV-Other HPs'!$E$49:$E$74&amp;'HIV-Other HPs'!$I$49:$I$74,0)),0)</f>
        <v>0</v>
      </c>
      <c r="AK331" s="652">
        <f t="shared" si="270"/>
        <v>0</v>
      </c>
      <c r="AL331" s="652">
        <f t="shared" si="271"/>
        <v>0</v>
      </c>
      <c r="AM331" s="652">
        <f t="shared" si="272"/>
        <v>0</v>
      </c>
      <c r="AN331" s="651">
        <f t="array" ref="AN331">IFERROR(INDEX('HIV-Other HPs'!$Y$49:$Y$74,MATCH($E331&amp;$F331,'HIV-Other HPs'!$E$49:$E$74&amp;'HIV-Other HPs'!$I$49:$I$74,0)),0)</f>
        <v>0</v>
      </c>
      <c r="AO331" s="652">
        <f t="shared" si="273"/>
        <v>0</v>
      </c>
      <c r="AP331" s="652">
        <f t="shared" si="274"/>
        <v>0</v>
      </c>
      <c r="AQ331" s="652">
        <f t="shared" si="275"/>
        <v>0</v>
      </c>
      <c r="AR331" s="664"/>
      <c r="AS331" s="651">
        <f t="array" ref="AS331">IFERROR(INDEX('HIV-Other HPs'!$AB$49:$AB$74,MATCH($E331&amp;$F331,'HIV-Other HPs'!$E$49:$E$74&amp;'HIV-Other HPs'!$I$49:$I$74,0)),0)</f>
        <v>0</v>
      </c>
      <c r="AT331" s="651">
        <f t="array" ref="AT331">IFERROR(INDEX('HIV-Other HPs'!$AC$49:$AC$74,MATCH($E331&amp;$F331,'HIV-Other HPs'!$E$49:$E$74&amp;'HIV-Other HPs'!$I$49:$I$74,0)),0)</f>
        <v>0</v>
      </c>
      <c r="AU331" s="652">
        <f t="shared" si="276"/>
        <v>0</v>
      </c>
      <c r="AV331" s="652">
        <f t="shared" si="277"/>
        <v>0</v>
      </c>
      <c r="AW331" s="652">
        <f t="shared" si="278"/>
        <v>0</v>
      </c>
      <c r="AX331" s="651">
        <f t="array" ref="AX331">IFERROR(INDEX('HIV-Other HPs'!$AD$49:$AD$74,MATCH($E331&amp;$F331,'HIV-Other HPs'!$E$49:$E$74&amp;'HIV-Other HPs'!$I$49:$I$74,0)),0)</f>
        <v>0</v>
      </c>
      <c r="AY331" s="652">
        <f t="shared" si="279"/>
        <v>0</v>
      </c>
      <c r="AZ331" s="652">
        <f t="shared" si="280"/>
        <v>0</v>
      </c>
      <c r="BA331" s="652">
        <f t="shared" si="281"/>
        <v>0</v>
      </c>
      <c r="BB331" s="651">
        <f t="array" ref="BB331">IFERROR(INDEX('HIV-Other HPs'!$AE$49:$AE$74,MATCH($E331&amp;$F331,'HIV-Other HPs'!$E$49:$E$74&amp;'HIV-Other HPs'!$I$49:$I$74,0)),0)</f>
        <v>0</v>
      </c>
      <c r="BC331" s="652">
        <f t="shared" si="282"/>
        <v>0</v>
      </c>
      <c r="BD331" s="652">
        <f t="shared" si="283"/>
        <v>0</v>
      </c>
      <c r="BE331" s="652">
        <f t="shared" si="284"/>
        <v>0</v>
      </c>
      <c r="BF331" s="651">
        <f t="array" ref="BF331">IFERROR(INDEX('HIV-Other HPs'!$AF$49:$AF$74,MATCH($E331&amp;$F331,'HIV-Other HPs'!$E$49:$E$74&amp;'HIV-Other HPs'!$I$49:$I$74,0)),0)</f>
        <v>0</v>
      </c>
      <c r="BG331" s="652">
        <f t="shared" si="285"/>
        <v>0</v>
      </c>
      <c r="BH331" s="652">
        <f t="shared" si="286"/>
        <v>0</v>
      </c>
      <c r="BI331" s="652">
        <f t="shared" si="287"/>
        <v>0</v>
      </c>
      <c r="BJ331" s="662"/>
      <c r="BK331" s="663"/>
      <c r="BL331" s="663"/>
      <c r="BM331" s="663"/>
      <c r="BN331" s="663"/>
      <c r="BO331" s="663"/>
      <c r="BP331" s="663"/>
      <c r="BQ331" s="663"/>
      <c r="BR331" s="663"/>
    </row>
    <row r="332" spans="1:70">
      <c r="A332" s="655" t="s">
        <v>566</v>
      </c>
      <c r="B332" s="655" t="s">
        <v>2285</v>
      </c>
      <c r="C332" s="648">
        <f>SETUP!$F$29</f>
        <v>0</v>
      </c>
      <c r="D332" s="654">
        <v>5.4</v>
      </c>
      <c r="E332" s="663" t="s">
        <v>205</v>
      </c>
      <c r="F332" s="663" t="s">
        <v>1510</v>
      </c>
      <c r="G332" s="650" t="str">
        <f t="array" ref="G332">IFERROR(INDEX('HIV-Other HPs'!$L$49:$L$74,MATCH($E332&amp;$F332,'HIV-Other HPs'!$E$49:$E$74&amp;'HIV-Other HPs'!$I$49:$I$74,0)),"")</f>
        <v/>
      </c>
      <c r="H332" s="650" t="str">
        <f t="array" ref="H332">IFERROR(INDEX('HIV-Other HPs'!$M$49:$M$74,MATCH($E332&amp;$F332,'HIV-Other HPs'!$E$49:$E$74&amp;'HIV-Other HPs'!$I$49:$I$74,0)),"")</f>
        <v/>
      </c>
      <c r="I332" s="651">
        <f t="array" ref="I332">IFERROR(INDEX('HIV-Other HPs'!$N$49:$N$74,MATCH($E332&amp;$F332,'HIV-Other HPs'!$E$49:$E$74&amp;'HIV-Other HPs'!$I$49:$I$74,0)),0)</f>
        <v>0</v>
      </c>
      <c r="J332" s="651">
        <f t="array" ref="J332">IFERROR(INDEX('HIV-Other HPs'!$O$49:$O$74,MATCH($E332&amp;$F332,'HIV-Other HPs'!$E$49:$E$74&amp;'HIV-Other HPs'!$I$49:$I$74,0)),0)</f>
        <v>0</v>
      </c>
      <c r="K332" s="652">
        <f t="shared" si="252"/>
        <v>0</v>
      </c>
      <c r="L332" s="652">
        <f t="shared" si="253"/>
        <v>0</v>
      </c>
      <c r="M332" s="652">
        <f t="shared" si="254"/>
        <v>0</v>
      </c>
      <c r="N332" s="651">
        <f t="array" ref="N332">IFERROR(INDEX('HIV-Other HPs'!$P$49:$P$74,MATCH($E332&amp;$F332,'HIV-Other HPs'!$E$49:$E$74&amp;'HIV-Other HPs'!$I$49:$I$74,0)),0)</f>
        <v>0</v>
      </c>
      <c r="O332" s="652">
        <f t="shared" si="255"/>
        <v>0</v>
      </c>
      <c r="P332" s="652">
        <f t="shared" si="256"/>
        <v>0</v>
      </c>
      <c r="Q332" s="652">
        <f t="shared" si="257"/>
        <v>0</v>
      </c>
      <c r="R332" s="651">
        <f t="array" ref="R332">IFERROR(INDEX('HIV-Other HPs'!$Q$49:$Q$74,MATCH($E332&amp;$F332,'HIV-Other HPs'!$E$49:$E$74&amp;'HIV-Other HPs'!$I$49:$I$74,0)),0)</f>
        <v>0</v>
      </c>
      <c r="S332" s="652">
        <f t="shared" si="258"/>
        <v>0</v>
      </c>
      <c r="T332" s="652">
        <f t="shared" si="259"/>
        <v>0</v>
      </c>
      <c r="U332" s="652">
        <f t="shared" si="260"/>
        <v>0</v>
      </c>
      <c r="V332" s="651">
        <f t="array" ref="V332">IFERROR(INDEX('HIV-Other HPs'!$R$49:$R$74,MATCH($E332&amp;$F332,'HIV-Other HPs'!$E$49:$E$74&amp;'HIV-Other HPs'!$I$49:$I$74,0)),0)</f>
        <v>0</v>
      </c>
      <c r="W332" s="652">
        <f t="shared" si="261"/>
        <v>0</v>
      </c>
      <c r="X332" s="652">
        <f t="shared" si="262"/>
        <v>0</v>
      </c>
      <c r="Y332" s="652">
        <f t="shared" si="263"/>
        <v>0</v>
      </c>
      <c r="Z332" s="664"/>
      <c r="AA332" s="651">
        <f t="array" ref="AA332">IFERROR(INDEX('HIV-Other HPs'!$U$49:$U$74,MATCH($E332&amp;$F332,'HIV-Other HPs'!$E$49:$E$74&amp;'HIV-Other HPs'!$I$49:$I$74,0)),0)</f>
        <v>0</v>
      </c>
      <c r="AB332" s="651">
        <f t="array" ref="AB332">IFERROR(INDEX('HIV-Other HPs'!$V$49:$V$74,MATCH($E332&amp;$F332,'HIV-Other HPs'!$E$49:$E$74&amp;'HIV-Other HPs'!$I$49:$I$74,0)),0)</f>
        <v>0</v>
      </c>
      <c r="AC332" s="652">
        <f t="shared" si="264"/>
        <v>0</v>
      </c>
      <c r="AD332" s="652">
        <f t="shared" si="265"/>
        <v>0</v>
      </c>
      <c r="AE332" s="652">
        <f t="shared" si="266"/>
        <v>0</v>
      </c>
      <c r="AF332" s="651">
        <f t="array" ref="AF332">IFERROR(INDEX('HIV-Other HPs'!$W$49:$W$74,MATCH($E332&amp;$F332,'HIV-Other HPs'!$E$49:$E$74&amp;'HIV-Other HPs'!$I$49:$I$74,0)),0)</f>
        <v>0</v>
      </c>
      <c r="AG332" s="652">
        <f t="shared" si="267"/>
        <v>0</v>
      </c>
      <c r="AH332" s="652">
        <f t="shared" si="268"/>
        <v>0</v>
      </c>
      <c r="AI332" s="652">
        <f t="shared" si="269"/>
        <v>0</v>
      </c>
      <c r="AJ332" s="651">
        <f t="array" ref="AJ332">IFERROR(INDEX('HIV-Other HPs'!$X$49:$X$74,MATCH($E332&amp;$F332,'HIV-Other HPs'!$E$49:$E$74&amp;'HIV-Other HPs'!$I$49:$I$74,0)),0)</f>
        <v>0</v>
      </c>
      <c r="AK332" s="652">
        <f t="shared" si="270"/>
        <v>0</v>
      </c>
      <c r="AL332" s="652">
        <f t="shared" si="271"/>
        <v>0</v>
      </c>
      <c r="AM332" s="652">
        <f t="shared" si="272"/>
        <v>0</v>
      </c>
      <c r="AN332" s="651">
        <f t="array" ref="AN332">IFERROR(INDEX('HIV-Other HPs'!$Y$49:$Y$74,MATCH($E332&amp;$F332,'HIV-Other HPs'!$E$49:$E$74&amp;'HIV-Other HPs'!$I$49:$I$74,0)),0)</f>
        <v>0</v>
      </c>
      <c r="AO332" s="652">
        <f t="shared" si="273"/>
        <v>0</v>
      </c>
      <c r="AP332" s="652">
        <f t="shared" si="274"/>
        <v>0</v>
      </c>
      <c r="AQ332" s="652">
        <f t="shared" si="275"/>
        <v>0</v>
      </c>
      <c r="AR332" s="664"/>
      <c r="AS332" s="651">
        <f t="array" ref="AS332">IFERROR(INDEX('HIV-Other HPs'!$AB$49:$AB$74,MATCH($E332&amp;$F332,'HIV-Other HPs'!$E$49:$E$74&amp;'HIV-Other HPs'!$I$49:$I$74,0)),0)</f>
        <v>0</v>
      </c>
      <c r="AT332" s="651">
        <f t="array" ref="AT332">IFERROR(INDEX('HIV-Other HPs'!$AC$49:$AC$74,MATCH($E332&amp;$F332,'HIV-Other HPs'!$E$49:$E$74&amp;'HIV-Other HPs'!$I$49:$I$74,0)),0)</f>
        <v>0</v>
      </c>
      <c r="AU332" s="652">
        <f t="shared" si="276"/>
        <v>0</v>
      </c>
      <c r="AV332" s="652">
        <f t="shared" si="277"/>
        <v>0</v>
      </c>
      <c r="AW332" s="652">
        <f t="shared" si="278"/>
        <v>0</v>
      </c>
      <c r="AX332" s="651">
        <f t="array" ref="AX332">IFERROR(INDEX('HIV-Other HPs'!$AD$49:$AD$74,MATCH($E332&amp;$F332,'HIV-Other HPs'!$E$49:$E$74&amp;'HIV-Other HPs'!$I$49:$I$74,0)),0)</f>
        <v>0</v>
      </c>
      <c r="AY332" s="652">
        <f t="shared" si="279"/>
        <v>0</v>
      </c>
      <c r="AZ332" s="652">
        <f t="shared" si="280"/>
        <v>0</v>
      </c>
      <c r="BA332" s="652">
        <f t="shared" si="281"/>
        <v>0</v>
      </c>
      <c r="BB332" s="651">
        <f t="array" ref="BB332">IFERROR(INDEX('HIV-Other HPs'!$AE$49:$AE$74,MATCH($E332&amp;$F332,'HIV-Other HPs'!$E$49:$E$74&amp;'HIV-Other HPs'!$I$49:$I$74,0)),0)</f>
        <v>0</v>
      </c>
      <c r="BC332" s="652">
        <f t="shared" si="282"/>
        <v>0</v>
      </c>
      <c r="BD332" s="652">
        <f t="shared" si="283"/>
        <v>0</v>
      </c>
      <c r="BE332" s="652">
        <f t="shared" si="284"/>
        <v>0</v>
      </c>
      <c r="BF332" s="651">
        <f t="array" ref="BF332">IFERROR(INDEX('HIV-Other HPs'!$AF$49:$AF$74,MATCH($E332&amp;$F332,'HIV-Other HPs'!$E$49:$E$74&amp;'HIV-Other HPs'!$I$49:$I$74,0)),0)</f>
        <v>0</v>
      </c>
      <c r="BG332" s="652">
        <f t="shared" si="285"/>
        <v>0</v>
      </c>
      <c r="BH332" s="652">
        <f t="shared" si="286"/>
        <v>0</v>
      </c>
      <c r="BI332" s="652">
        <f t="shared" si="287"/>
        <v>0</v>
      </c>
      <c r="BJ332" s="662"/>
      <c r="BK332" s="663"/>
      <c r="BL332" s="663"/>
      <c r="BM332" s="663"/>
      <c r="BN332" s="663"/>
      <c r="BO332" s="663"/>
      <c r="BP332" s="663"/>
      <c r="BQ332" s="663"/>
      <c r="BR332" s="663"/>
    </row>
    <row r="333" spans="1:70">
      <c r="A333" s="655" t="s">
        <v>566</v>
      </c>
      <c r="B333" s="655" t="s">
        <v>2285</v>
      </c>
      <c r="C333" s="648">
        <f>SETUP!$F$29</f>
        <v>0</v>
      </c>
      <c r="D333" s="654">
        <v>5.4</v>
      </c>
      <c r="E333" s="663" t="s">
        <v>205</v>
      </c>
      <c r="F333" s="663" t="s">
        <v>1511</v>
      </c>
      <c r="G333" s="650" t="str">
        <f t="array" ref="G333">IFERROR(INDEX('HIV-Other HPs'!$L$49:$L$74,MATCH($E333&amp;$F333,'HIV-Other HPs'!$E$49:$E$74&amp;'HIV-Other HPs'!$I$49:$I$74,0)),"")</f>
        <v/>
      </c>
      <c r="H333" s="650" t="str">
        <f t="array" ref="H333">IFERROR(INDEX('HIV-Other HPs'!$M$49:$M$74,MATCH($E333&amp;$F333,'HIV-Other HPs'!$E$49:$E$74&amp;'HIV-Other HPs'!$I$49:$I$74,0)),"")</f>
        <v/>
      </c>
      <c r="I333" s="651">
        <f t="array" ref="I333">IFERROR(INDEX('HIV-Other HPs'!$N$49:$N$74,MATCH($E333&amp;$F333,'HIV-Other HPs'!$E$49:$E$74&amp;'HIV-Other HPs'!$I$49:$I$74,0)),0)</f>
        <v>0</v>
      </c>
      <c r="J333" s="651">
        <f t="array" ref="J333">IFERROR(INDEX('HIV-Other HPs'!$O$49:$O$74,MATCH($E333&amp;$F333,'HIV-Other HPs'!$E$49:$E$74&amp;'HIV-Other HPs'!$I$49:$I$74,0)),0)</f>
        <v>0</v>
      </c>
      <c r="K333" s="652">
        <f t="shared" si="252"/>
        <v>0</v>
      </c>
      <c r="L333" s="652">
        <f t="shared" si="253"/>
        <v>0</v>
      </c>
      <c r="M333" s="652">
        <f t="shared" si="254"/>
        <v>0</v>
      </c>
      <c r="N333" s="651">
        <f t="array" ref="N333">IFERROR(INDEX('HIV-Other HPs'!$P$49:$P$74,MATCH($E333&amp;$F333,'HIV-Other HPs'!$E$49:$E$74&amp;'HIV-Other HPs'!$I$49:$I$74,0)),0)</f>
        <v>0</v>
      </c>
      <c r="O333" s="652">
        <f t="shared" si="255"/>
        <v>0</v>
      </c>
      <c r="P333" s="652">
        <f t="shared" si="256"/>
        <v>0</v>
      </c>
      <c r="Q333" s="652">
        <f t="shared" si="257"/>
        <v>0</v>
      </c>
      <c r="R333" s="651">
        <f t="array" ref="R333">IFERROR(INDEX('HIV-Other HPs'!$Q$49:$Q$74,MATCH($E333&amp;$F333,'HIV-Other HPs'!$E$49:$E$74&amp;'HIV-Other HPs'!$I$49:$I$74,0)),0)</f>
        <v>0</v>
      </c>
      <c r="S333" s="652">
        <f t="shared" si="258"/>
        <v>0</v>
      </c>
      <c r="T333" s="652">
        <f t="shared" si="259"/>
        <v>0</v>
      </c>
      <c r="U333" s="652">
        <f t="shared" si="260"/>
        <v>0</v>
      </c>
      <c r="V333" s="651">
        <f t="array" ref="V333">IFERROR(INDEX('HIV-Other HPs'!$R$49:$R$74,MATCH($E333&amp;$F333,'HIV-Other HPs'!$E$49:$E$74&amp;'HIV-Other HPs'!$I$49:$I$74,0)),0)</f>
        <v>0</v>
      </c>
      <c r="W333" s="652">
        <f t="shared" si="261"/>
        <v>0</v>
      </c>
      <c r="X333" s="652">
        <f t="shared" si="262"/>
        <v>0</v>
      </c>
      <c r="Y333" s="652">
        <f t="shared" si="263"/>
        <v>0</v>
      </c>
      <c r="Z333" s="664"/>
      <c r="AA333" s="651">
        <f t="array" ref="AA333">IFERROR(INDEX('HIV-Other HPs'!$U$49:$U$74,MATCH($E333&amp;$F333,'HIV-Other HPs'!$E$49:$E$74&amp;'HIV-Other HPs'!$I$49:$I$74,0)),0)</f>
        <v>0</v>
      </c>
      <c r="AB333" s="651">
        <f t="array" ref="AB333">IFERROR(INDEX('HIV-Other HPs'!$V$49:$V$74,MATCH($E333&amp;$F333,'HIV-Other HPs'!$E$49:$E$74&amp;'HIV-Other HPs'!$I$49:$I$74,0)),0)</f>
        <v>0</v>
      </c>
      <c r="AC333" s="652">
        <f t="shared" si="264"/>
        <v>0</v>
      </c>
      <c r="AD333" s="652">
        <f t="shared" si="265"/>
        <v>0</v>
      </c>
      <c r="AE333" s="652">
        <f t="shared" si="266"/>
        <v>0</v>
      </c>
      <c r="AF333" s="651">
        <f t="array" ref="AF333">IFERROR(INDEX('HIV-Other HPs'!$W$49:$W$74,MATCH($E333&amp;$F333,'HIV-Other HPs'!$E$49:$E$74&amp;'HIV-Other HPs'!$I$49:$I$74,0)),0)</f>
        <v>0</v>
      </c>
      <c r="AG333" s="652">
        <f t="shared" si="267"/>
        <v>0</v>
      </c>
      <c r="AH333" s="652">
        <f t="shared" si="268"/>
        <v>0</v>
      </c>
      <c r="AI333" s="652">
        <f t="shared" si="269"/>
        <v>0</v>
      </c>
      <c r="AJ333" s="651">
        <f t="array" ref="AJ333">IFERROR(INDEX('HIV-Other HPs'!$X$49:$X$74,MATCH($E333&amp;$F333,'HIV-Other HPs'!$E$49:$E$74&amp;'HIV-Other HPs'!$I$49:$I$74,0)),0)</f>
        <v>0</v>
      </c>
      <c r="AK333" s="652">
        <f t="shared" si="270"/>
        <v>0</v>
      </c>
      <c r="AL333" s="652">
        <f t="shared" si="271"/>
        <v>0</v>
      </c>
      <c r="AM333" s="652">
        <f t="shared" si="272"/>
        <v>0</v>
      </c>
      <c r="AN333" s="651">
        <f t="array" ref="AN333">IFERROR(INDEX('HIV-Other HPs'!$Y$49:$Y$74,MATCH($E333&amp;$F333,'HIV-Other HPs'!$E$49:$E$74&amp;'HIV-Other HPs'!$I$49:$I$74,0)),0)</f>
        <v>0</v>
      </c>
      <c r="AO333" s="652">
        <f t="shared" si="273"/>
        <v>0</v>
      </c>
      <c r="AP333" s="652">
        <f t="shared" si="274"/>
        <v>0</v>
      </c>
      <c r="AQ333" s="652">
        <f t="shared" si="275"/>
        <v>0</v>
      </c>
      <c r="AR333" s="664"/>
      <c r="AS333" s="651">
        <f t="array" ref="AS333">IFERROR(INDEX('HIV-Other HPs'!$AB$49:$AB$74,MATCH($E333&amp;$F333,'HIV-Other HPs'!$E$49:$E$74&amp;'HIV-Other HPs'!$I$49:$I$74,0)),0)</f>
        <v>0</v>
      </c>
      <c r="AT333" s="651">
        <f t="array" ref="AT333">IFERROR(INDEX('HIV-Other HPs'!$AC$49:$AC$74,MATCH($E333&amp;$F333,'HIV-Other HPs'!$E$49:$E$74&amp;'HIV-Other HPs'!$I$49:$I$74,0)),0)</f>
        <v>0</v>
      </c>
      <c r="AU333" s="652">
        <f t="shared" si="276"/>
        <v>0</v>
      </c>
      <c r="AV333" s="652">
        <f t="shared" si="277"/>
        <v>0</v>
      </c>
      <c r="AW333" s="652">
        <f t="shared" si="278"/>
        <v>0</v>
      </c>
      <c r="AX333" s="651">
        <f t="array" ref="AX333">IFERROR(INDEX('HIV-Other HPs'!$AD$49:$AD$74,MATCH($E333&amp;$F333,'HIV-Other HPs'!$E$49:$E$74&amp;'HIV-Other HPs'!$I$49:$I$74,0)),0)</f>
        <v>0</v>
      </c>
      <c r="AY333" s="652">
        <f t="shared" si="279"/>
        <v>0</v>
      </c>
      <c r="AZ333" s="652">
        <f t="shared" si="280"/>
        <v>0</v>
      </c>
      <c r="BA333" s="652">
        <f t="shared" si="281"/>
        <v>0</v>
      </c>
      <c r="BB333" s="651">
        <f t="array" ref="BB333">IFERROR(INDEX('HIV-Other HPs'!$AE$49:$AE$74,MATCH($E333&amp;$F333,'HIV-Other HPs'!$E$49:$E$74&amp;'HIV-Other HPs'!$I$49:$I$74,0)),0)</f>
        <v>0</v>
      </c>
      <c r="BC333" s="652">
        <f t="shared" si="282"/>
        <v>0</v>
      </c>
      <c r="BD333" s="652">
        <f t="shared" si="283"/>
        <v>0</v>
      </c>
      <c r="BE333" s="652">
        <f t="shared" si="284"/>
        <v>0</v>
      </c>
      <c r="BF333" s="651">
        <f t="array" ref="BF333">IFERROR(INDEX('HIV-Other HPs'!$AF$49:$AF$74,MATCH($E333&amp;$F333,'HIV-Other HPs'!$E$49:$E$74&amp;'HIV-Other HPs'!$I$49:$I$74,0)),0)</f>
        <v>0</v>
      </c>
      <c r="BG333" s="652">
        <f t="shared" si="285"/>
        <v>0</v>
      </c>
      <c r="BH333" s="652">
        <f t="shared" si="286"/>
        <v>0</v>
      </c>
      <c r="BI333" s="652">
        <f t="shared" si="287"/>
        <v>0</v>
      </c>
      <c r="BJ333" s="662"/>
      <c r="BK333" s="663"/>
      <c r="BL333" s="663"/>
      <c r="BM333" s="663"/>
      <c r="BN333" s="663"/>
      <c r="BO333" s="663"/>
      <c r="BP333" s="663"/>
      <c r="BQ333" s="663"/>
      <c r="BR333" s="663"/>
    </row>
    <row r="334" spans="1:70">
      <c r="A334" s="655" t="s">
        <v>566</v>
      </c>
      <c r="B334" s="655" t="s">
        <v>2285</v>
      </c>
      <c r="C334" s="648">
        <f>SETUP!$F$29</f>
        <v>0</v>
      </c>
      <c r="D334" s="654">
        <v>5.4</v>
      </c>
      <c r="E334" s="663" t="s">
        <v>205</v>
      </c>
      <c r="F334" s="663" t="s">
        <v>1512</v>
      </c>
      <c r="G334" s="650" t="str">
        <f t="array" ref="G334">IFERROR(INDEX('HIV-Other HPs'!$L$49:$L$74,MATCH($E334&amp;$F334,'HIV-Other HPs'!$E$49:$E$74&amp;'HIV-Other HPs'!$I$49:$I$74,0)),"")</f>
        <v/>
      </c>
      <c r="H334" s="650" t="str">
        <f t="array" ref="H334">IFERROR(INDEX('HIV-Other HPs'!$M$49:$M$74,MATCH($E334&amp;$F334,'HIV-Other HPs'!$E$49:$E$74&amp;'HIV-Other HPs'!$I$49:$I$74,0)),"")</f>
        <v/>
      </c>
      <c r="I334" s="651">
        <f t="array" ref="I334">IFERROR(INDEX('HIV-Other HPs'!$N$49:$N$74,MATCH($E334&amp;$F334,'HIV-Other HPs'!$E$49:$E$74&amp;'HIV-Other HPs'!$I$49:$I$74,0)),0)</f>
        <v>0</v>
      </c>
      <c r="J334" s="651">
        <f t="array" ref="J334">IFERROR(INDEX('HIV-Other HPs'!$O$49:$O$74,MATCH($E334&amp;$F334,'HIV-Other HPs'!$E$49:$E$74&amp;'HIV-Other HPs'!$I$49:$I$74,0)),0)</f>
        <v>0</v>
      </c>
      <c r="K334" s="652">
        <f t="shared" si="252"/>
        <v>0</v>
      </c>
      <c r="L334" s="652">
        <f t="shared" si="253"/>
        <v>0</v>
      </c>
      <c r="M334" s="652">
        <f t="shared" si="254"/>
        <v>0</v>
      </c>
      <c r="N334" s="651">
        <f t="array" ref="N334">IFERROR(INDEX('HIV-Other HPs'!$P$49:$P$74,MATCH($E334&amp;$F334,'HIV-Other HPs'!$E$49:$E$74&amp;'HIV-Other HPs'!$I$49:$I$74,0)),0)</f>
        <v>0</v>
      </c>
      <c r="O334" s="652">
        <f t="shared" si="255"/>
        <v>0</v>
      </c>
      <c r="P334" s="652">
        <f t="shared" si="256"/>
        <v>0</v>
      </c>
      <c r="Q334" s="652">
        <f t="shared" si="257"/>
        <v>0</v>
      </c>
      <c r="R334" s="651">
        <f t="array" ref="R334">IFERROR(INDEX('HIV-Other HPs'!$Q$49:$Q$74,MATCH($E334&amp;$F334,'HIV-Other HPs'!$E$49:$E$74&amp;'HIV-Other HPs'!$I$49:$I$74,0)),0)</f>
        <v>0</v>
      </c>
      <c r="S334" s="652">
        <f t="shared" si="258"/>
        <v>0</v>
      </c>
      <c r="T334" s="652">
        <f t="shared" si="259"/>
        <v>0</v>
      </c>
      <c r="U334" s="652">
        <f t="shared" si="260"/>
        <v>0</v>
      </c>
      <c r="V334" s="651">
        <f t="array" ref="V334">IFERROR(INDEX('HIV-Other HPs'!$R$49:$R$74,MATCH($E334&amp;$F334,'HIV-Other HPs'!$E$49:$E$74&amp;'HIV-Other HPs'!$I$49:$I$74,0)),0)</f>
        <v>0</v>
      </c>
      <c r="W334" s="652">
        <f t="shared" si="261"/>
        <v>0</v>
      </c>
      <c r="X334" s="652">
        <f t="shared" si="262"/>
        <v>0</v>
      </c>
      <c r="Y334" s="652">
        <f t="shared" si="263"/>
        <v>0</v>
      </c>
      <c r="Z334" s="664"/>
      <c r="AA334" s="651">
        <f t="array" ref="AA334">IFERROR(INDEX('HIV-Other HPs'!$U$49:$U$74,MATCH($E334&amp;$F334,'HIV-Other HPs'!$E$49:$E$74&amp;'HIV-Other HPs'!$I$49:$I$74,0)),0)</f>
        <v>0</v>
      </c>
      <c r="AB334" s="651">
        <f t="array" ref="AB334">IFERROR(INDEX('HIV-Other HPs'!$V$49:$V$74,MATCH($E334&amp;$F334,'HIV-Other HPs'!$E$49:$E$74&amp;'HIV-Other HPs'!$I$49:$I$74,0)),0)</f>
        <v>0</v>
      </c>
      <c r="AC334" s="652">
        <f t="shared" si="264"/>
        <v>0</v>
      </c>
      <c r="AD334" s="652">
        <f t="shared" si="265"/>
        <v>0</v>
      </c>
      <c r="AE334" s="652">
        <f t="shared" si="266"/>
        <v>0</v>
      </c>
      <c r="AF334" s="651">
        <f t="array" ref="AF334">IFERROR(INDEX('HIV-Other HPs'!$W$49:$W$74,MATCH($E334&amp;$F334,'HIV-Other HPs'!$E$49:$E$74&amp;'HIV-Other HPs'!$I$49:$I$74,0)),0)</f>
        <v>0</v>
      </c>
      <c r="AG334" s="652">
        <f t="shared" si="267"/>
        <v>0</v>
      </c>
      <c r="AH334" s="652">
        <f t="shared" si="268"/>
        <v>0</v>
      </c>
      <c r="AI334" s="652">
        <f t="shared" si="269"/>
        <v>0</v>
      </c>
      <c r="AJ334" s="651">
        <f t="array" ref="AJ334">IFERROR(INDEX('HIV-Other HPs'!$X$49:$X$74,MATCH($E334&amp;$F334,'HIV-Other HPs'!$E$49:$E$74&amp;'HIV-Other HPs'!$I$49:$I$74,0)),0)</f>
        <v>0</v>
      </c>
      <c r="AK334" s="652">
        <f t="shared" si="270"/>
        <v>0</v>
      </c>
      <c r="AL334" s="652">
        <f t="shared" si="271"/>
        <v>0</v>
      </c>
      <c r="AM334" s="652">
        <f t="shared" si="272"/>
        <v>0</v>
      </c>
      <c r="AN334" s="651">
        <f t="array" ref="AN334">IFERROR(INDEX('HIV-Other HPs'!$Y$49:$Y$74,MATCH($E334&amp;$F334,'HIV-Other HPs'!$E$49:$E$74&amp;'HIV-Other HPs'!$I$49:$I$74,0)),0)</f>
        <v>0</v>
      </c>
      <c r="AO334" s="652">
        <f t="shared" si="273"/>
        <v>0</v>
      </c>
      <c r="AP334" s="652">
        <f t="shared" si="274"/>
        <v>0</v>
      </c>
      <c r="AQ334" s="652">
        <f t="shared" si="275"/>
        <v>0</v>
      </c>
      <c r="AR334" s="664"/>
      <c r="AS334" s="651">
        <f t="array" ref="AS334">IFERROR(INDEX('HIV-Other HPs'!$AB$49:$AB$74,MATCH($E334&amp;$F334,'HIV-Other HPs'!$E$49:$E$74&amp;'HIV-Other HPs'!$I$49:$I$74,0)),0)</f>
        <v>0</v>
      </c>
      <c r="AT334" s="651">
        <f t="array" ref="AT334">IFERROR(INDEX('HIV-Other HPs'!$AC$49:$AC$74,MATCH($E334&amp;$F334,'HIV-Other HPs'!$E$49:$E$74&amp;'HIV-Other HPs'!$I$49:$I$74,0)),0)</f>
        <v>0</v>
      </c>
      <c r="AU334" s="652">
        <f t="shared" si="276"/>
        <v>0</v>
      </c>
      <c r="AV334" s="652">
        <f t="shared" si="277"/>
        <v>0</v>
      </c>
      <c r="AW334" s="652">
        <f t="shared" si="278"/>
        <v>0</v>
      </c>
      <c r="AX334" s="651">
        <f t="array" ref="AX334">IFERROR(INDEX('HIV-Other HPs'!$AD$49:$AD$74,MATCH($E334&amp;$F334,'HIV-Other HPs'!$E$49:$E$74&amp;'HIV-Other HPs'!$I$49:$I$74,0)),0)</f>
        <v>0</v>
      </c>
      <c r="AY334" s="652">
        <f t="shared" si="279"/>
        <v>0</v>
      </c>
      <c r="AZ334" s="652">
        <f t="shared" si="280"/>
        <v>0</v>
      </c>
      <c r="BA334" s="652">
        <f t="shared" si="281"/>
        <v>0</v>
      </c>
      <c r="BB334" s="651">
        <f t="array" ref="BB334">IFERROR(INDEX('HIV-Other HPs'!$AE$49:$AE$74,MATCH($E334&amp;$F334,'HIV-Other HPs'!$E$49:$E$74&amp;'HIV-Other HPs'!$I$49:$I$74,0)),0)</f>
        <v>0</v>
      </c>
      <c r="BC334" s="652">
        <f t="shared" si="282"/>
        <v>0</v>
      </c>
      <c r="BD334" s="652">
        <f t="shared" si="283"/>
        <v>0</v>
      </c>
      <c r="BE334" s="652">
        <f t="shared" si="284"/>
        <v>0</v>
      </c>
      <c r="BF334" s="651">
        <f t="array" ref="BF334">IFERROR(INDEX('HIV-Other HPs'!$AF$49:$AF$74,MATCH($E334&amp;$F334,'HIV-Other HPs'!$E$49:$E$74&amp;'HIV-Other HPs'!$I$49:$I$74,0)),0)</f>
        <v>0</v>
      </c>
      <c r="BG334" s="652">
        <f t="shared" si="285"/>
        <v>0</v>
      </c>
      <c r="BH334" s="652">
        <f t="shared" si="286"/>
        <v>0</v>
      </c>
      <c r="BI334" s="652">
        <f t="shared" si="287"/>
        <v>0</v>
      </c>
      <c r="BJ334" s="662"/>
      <c r="BK334" s="663"/>
      <c r="BL334" s="663"/>
      <c r="BM334" s="663"/>
      <c r="BN334" s="663"/>
      <c r="BO334" s="663"/>
      <c r="BP334" s="663"/>
      <c r="BQ334" s="663"/>
      <c r="BR334" s="663"/>
    </row>
    <row r="335" spans="1:70">
      <c r="A335" s="655" t="s">
        <v>566</v>
      </c>
      <c r="B335" s="655" t="s">
        <v>2285</v>
      </c>
      <c r="C335" s="648">
        <f>SETUP!$F$29</f>
        <v>0</v>
      </c>
      <c r="D335" s="654">
        <v>5.4</v>
      </c>
      <c r="E335" s="663" t="s">
        <v>205</v>
      </c>
      <c r="F335" s="663" t="s">
        <v>1513</v>
      </c>
      <c r="G335" s="650" t="str">
        <f t="array" ref="G335">IFERROR(INDEX('HIV-Other HPs'!$L$49:$L$74,MATCH($E335&amp;$F335,'HIV-Other HPs'!$E$49:$E$74&amp;'HIV-Other HPs'!$I$49:$I$74,0)),"")</f>
        <v/>
      </c>
      <c r="H335" s="650" t="str">
        <f t="array" ref="H335">IFERROR(INDEX('HIV-Other HPs'!$M$49:$M$74,MATCH($E335&amp;$F335,'HIV-Other HPs'!$E$49:$E$74&amp;'HIV-Other HPs'!$I$49:$I$74,0)),"")</f>
        <v/>
      </c>
      <c r="I335" s="651">
        <f t="array" ref="I335">IFERROR(INDEX('HIV-Other HPs'!$N$49:$N$74,MATCH($E335&amp;$F335,'HIV-Other HPs'!$E$49:$E$74&amp;'HIV-Other HPs'!$I$49:$I$74,0)),0)</f>
        <v>0</v>
      </c>
      <c r="J335" s="651">
        <f t="array" ref="J335">IFERROR(INDEX('HIV-Other HPs'!$O$49:$O$74,MATCH($E335&amp;$F335,'HIV-Other HPs'!$E$49:$E$74&amp;'HIV-Other HPs'!$I$49:$I$74,0)),0)</f>
        <v>0</v>
      </c>
      <c r="K335" s="652">
        <f t="shared" si="252"/>
        <v>0</v>
      </c>
      <c r="L335" s="652">
        <f t="shared" si="253"/>
        <v>0</v>
      </c>
      <c r="M335" s="652">
        <f t="shared" si="254"/>
        <v>0</v>
      </c>
      <c r="N335" s="651">
        <f t="array" ref="N335">IFERROR(INDEX('HIV-Other HPs'!$P$49:$P$74,MATCH($E335&amp;$F335,'HIV-Other HPs'!$E$49:$E$74&amp;'HIV-Other HPs'!$I$49:$I$74,0)),0)</f>
        <v>0</v>
      </c>
      <c r="O335" s="652">
        <f t="shared" si="255"/>
        <v>0</v>
      </c>
      <c r="P335" s="652">
        <f t="shared" si="256"/>
        <v>0</v>
      </c>
      <c r="Q335" s="652">
        <f t="shared" si="257"/>
        <v>0</v>
      </c>
      <c r="R335" s="651">
        <f t="array" ref="R335">IFERROR(INDEX('HIV-Other HPs'!$Q$49:$Q$74,MATCH($E335&amp;$F335,'HIV-Other HPs'!$E$49:$E$74&amp;'HIV-Other HPs'!$I$49:$I$74,0)),0)</f>
        <v>0</v>
      </c>
      <c r="S335" s="652">
        <f t="shared" si="258"/>
        <v>0</v>
      </c>
      <c r="T335" s="652">
        <f t="shared" si="259"/>
        <v>0</v>
      </c>
      <c r="U335" s="652">
        <f t="shared" si="260"/>
        <v>0</v>
      </c>
      <c r="V335" s="651">
        <f t="array" ref="V335">IFERROR(INDEX('HIV-Other HPs'!$R$49:$R$74,MATCH($E335&amp;$F335,'HIV-Other HPs'!$E$49:$E$74&amp;'HIV-Other HPs'!$I$49:$I$74,0)),0)</f>
        <v>0</v>
      </c>
      <c r="W335" s="652">
        <f t="shared" si="261"/>
        <v>0</v>
      </c>
      <c r="X335" s="652">
        <f t="shared" si="262"/>
        <v>0</v>
      </c>
      <c r="Y335" s="652">
        <f t="shared" si="263"/>
        <v>0</v>
      </c>
      <c r="Z335" s="664"/>
      <c r="AA335" s="651">
        <f t="array" ref="AA335">IFERROR(INDEX('HIV-Other HPs'!$U$49:$U$74,MATCH($E335&amp;$F335,'HIV-Other HPs'!$E$49:$E$74&amp;'HIV-Other HPs'!$I$49:$I$74,0)),0)</f>
        <v>0</v>
      </c>
      <c r="AB335" s="651">
        <f t="array" ref="AB335">IFERROR(INDEX('HIV-Other HPs'!$V$49:$V$74,MATCH($E335&amp;$F335,'HIV-Other HPs'!$E$49:$E$74&amp;'HIV-Other HPs'!$I$49:$I$74,0)),0)</f>
        <v>0</v>
      </c>
      <c r="AC335" s="652">
        <f t="shared" si="264"/>
        <v>0</v>
      </c>
      <c r="AD335" s="652">
        <f t="shared" si="265"/>
        <v>0</v>
      </c>
      <c r="AE335" s="652">
        <f t="shared" si="266"/>
        <v>0</v>
      </c>
      <c r="AF335" s="651">
        <f t="array" ref="AF335">IFERROR(INDEX('HIV-Other HPs'!$W$49:$W$74,MATCH($E335&amp;$F335,'HIV-Other HPs'!$E$49:$E$74&amp;'HIV-Other HPs'!$I$49:$I$74,0)),0)</f>
        <v>0</v>
      </c>
      <c r="AG335" s="652">
        <f t="shared" si="267"/>
        <v>0</v>
      </c>
      <c r="AH335" s="652">
        <f t="shared" si="268"/>
        <v>0</v>
      </c>
      <c r="AI335" s="652">
        <f t="shared" si="269"/>
        <v>0</v>
      </c>
      <c r="AJ335" s="651">
        <f t="array" ref="AJ335">IFERROR(INDEX('HIV-Other HPs'!$X$49:$X$74,MATCH($E335&amp;$F335,'HIV-Other HPs'!$E$49:$E$74&amp;'HIV-Other HPs'!$I$49:$I$74,0)),0)</f>
        <v>0</v>
      </c>
      <c r="AK335" s="652">
        <f t="shared" si="270"/>
        <v>0</v>
      </c>
      <c r="AL335" s="652">
        <f t="shared" si="271"/>
        <v>0</v>
      </c>
      <c r="AM335" s="652">
        <f t="shared" si="272"/>
        <v>0</v>
      </c>
      <c r="AN335" s="651">
        <f t="array" ref="AN335">IFERROR(INDEX('HIV-Other HPs'!$Y$49:$Y$74,MATCH($E335&amp;$F335,'HIV-Other HPs'!$E$49:$E$74&amp;'HIV-Other HPs'!$I$49:$I$74,0)),0)</f>
        <v>0</v>
      </c>
      <c r="AO335" s="652">
        <f t="shared" si="273"/>
        <v>0</v>
      </c>
      <c r="AP335" s="652">
        <f t="shared" si="274"/>
        <v>0</v>
      </c>
      <c r="AQ335" s="652">
        <f t="shared" si="275"/>
        <v>0</v>
      </c>
      <c r="AR335" s="664"/>
      <c r="AS335" s="651">
        <f t="array" ref="AS335">IFERROR(INDEX('HIV-Other HPs'!$AB$49:$AB$74,MATCH($E335&amp;$F335,'HIV-Other HPs'!$E$49:$E$74&amp;'HIV-Other HPs'!$I$49:$I$74,0)),0)</f>
        <v>0</v>
      </c>
      <c r="AT335" s="651">
        <f t="array" ref="AT335">IFERROR(INDEX('HIV-Other HPs'!$AC$49:$AC$74,MATCH($E335&amp;$F335,'HIV-Other HPs'!$E$49:$E$74&amp;'HIV-Other HPs'!$I$49:$I$74,0)),0)</f>
        <v>0</v>
      </c>
      <c r="AU335" s="652">
        <f t="shared" si="276"/>
        <v>0</v>
      </c>
      <c r="AV335" s="652">
        <f t="shared" si="277"/>
        <v>0</v>
      </c>
      <c r="AW335" s="652">
        <f t="shared" si="278"/>
        <v>0</v>
      </c>
      <c r="AX335" s="651">
        <f t="array" ref="AX335">IFERROR(INDEX('HIV-Other HPs'!$AD$49:$AD$74,MATCH($E335&amp;$F335,'HIV-Other HPs'!$E$49:$E$74&amp;'HIV-Other HPs'!$I$49:$I$74,0)),0)</f>
        <v>0</v>
      </c>
      <c r="AY335" s="652">
        <f t="shared" si="279"/>
        <v>0</v>
      </c>
      <c r="AZ335" s="652">
        <f t="shared" si="280"/>
        <v>0</v>
      </c>
      <c r="BA335" s="652">
        <f t="shared" si="281"/>
        <v>0</v>
      </c>
      <c r="BB335" s="651">
        <f t="array" ref="BB335">IFERROR(INDEX('HIV-Other HPs'!$AE$49:$AE$74,MATCH($E335&amp;$F335,'HIV-Other HPs'!$E$49:$E$74&amp;'HIV-Other HPs'!$I$49:$I$74,0)),0)</f>
        <v>0</v>
      </c>
      <c r="BC335" s="652">
        <f t="shared" si="282"/>
        <v>0</v>
      </c>
      <c r="BD335" s="652">
        <f t="shared" si="283"/>
        <v>0</v>
      </c>
      <c r="BE335" s="652">
        <f t="shared" si="284"/>
        <v>0</v>
      </c>
      <c r="BF335" s="651">
        <f t="array" ref="BF335">IFERROR(INDEX('HIV-Other HPs'!$AF$49:$AF$74,MATCH($E335&amp;$F335,'HIV-Other HPs'!$E$49:$E$74&amp;'HIV-Other HPs'!$I$49:$I$74,0)),0)</f>
        <v>0</v>
      </c>
      <c r="BG335" s="652">
        <f t="shared" si="285"/>
        <v>0</v>
      </c>
      <c r="BH335" s="652">
        <f t="shared" si="286"/>
        <v>0</v>
      </c>
      <c r="BI335" s="652">
        <f t="shared" si="287"/>
        <v>0</v>
      </c>
      <c r="BJ335" s="662"/>
      <c r="BK335" s="663"/>
      <c r="BL335" s="663"/>
      <c r="BM335" s="663"/>
      <c r="BN335" s="663"/>
      <c r="BO335" s="663"/>
      <c r="BP335" s="663"/>
      <c r="BQ335" s="663"/>
      <c r="BR335" s="663"/>
    </row>
    <row r="336" spans="1:70">
      <c r="A336" s="655" t="s">
        <v>566</v>
      </c>
      <c r="B336" s="655" t="s">
        <v>2285</v>
      </c>
      <c r="C336" s="648">
        <f>SETUP!$F$29</f>
        <v>0</v>
      </c>
      <c r="D336" s="654">
        <v>5.4</v>
      </c>
      <c r="E336" s="663" t="s">
        <v>205</v>
      </c>
      <c r="F336" s="663" t="s">
        <v>1514</v>
      </c>
      <c r="G336" s="650" t="str">
        <f t="array" ref="G336">IFERROR(INDEX('HIV-Other HPs'!$L$49:$L$74,MATCH($E336&amp;$F336,'HIV-Other HPs'!$E$49:$E$74&amp;'HIV-Other HPs'!$I$49:$I$74,0)),"")</f>
        <v/>
      </c>
      <c r="H336" s="650" t="str">
        <f t="array" ref="H336">IFERROR(INDEX('HIV-Other HPs'!$M$49:$M$74,MATCH($E336&amp;$F336,'HIV-Other HPs'!$E$49:$E$74&amp;'HIV-Other HPs'!$I$49:$I$74,0)),"")</f>
        <v/>
      </c>
      <c r="I336" s="651">
        <f t="array" ref="I336">IFERROR(INDEX('HIV-Other HPs'!$N$49:$N$74,MATCH($E336&amp;$F336,'HIV-Other HPs'!$E$49:$E$74&amp;'HIV-Other HPs'!$I$49:$I$74,0)),0)</f>
        <v>0</v>
      </c>
      <c r="J336" s="651">
        <f t="array" ref="J336">IFERROR(INDEX('HIV-Other HPs'!$O$49:$O$74,MATCH($E336&amp;$F336,'HIV-Other HPs'!$E$49:$E$74&amp;'HIV-Other HPs'!$I$49:$I$74,0)),0)</f>
        <v>0</v>
      </c>
      <c r="K336" s="652">
        <f t="shared" si="252"/>
        <v>0</v>
      </c>
      <c r="L336" s="652">
        <f t="shared" si="253"/>
        <v>0</v>
      </c>
      <c r="M336" s="652">
        <f t="shared" si="254"/>
        <v>0</v>
      </c>
      <c r="N336" s="651">
        <f t="array" ref="N336">IFERROR(INDEX('HIV-Other HPs'!$P$49:$P$74,MATCH($E336&amp;$F336,'HIV-Other HPs'!$E$49:$E$74&amp;'HIV-Other HPs'!$I$49:$I$74,0)),0)</f>
        <v>0</v>
      </c>
      <c r="O336" s="652">
        <f t="shared" si="255"/>
        <v>0</v>
      </c>
      <c r="P336" s="652">
        <f t="shared" si="256"/>
        <v>0</v>
      </c>
      <c r="Q336" s="652">
        <f t="shared" si="257"/>
        <v>0</v>
      </c>
      <c r="R336" s="651">
        <f t="array" ref="R336">IFERROR(INDEX('HIV-Other HPs'!$Q$49:$Q$74,MATCH($E336&amp;$F336,'HIV-Other HPs'!$E$49:$E$74&amp;'HIV-Other HPs'!$I$49:$I$74,0)),0)</f>
        <v>0</v>
      </c>
      <c r="S336" s="652">
        <f t="shared" si="258"/>
        <v>0</v>
      </c>
      <c r="T336" s="652">
        <f t="shared" si="259"/>
        <v>0</v>
      </c>
      <c r="U336" s="652">
        <f t="shared" si="260"/>
        <v>0</v>
      </c>
      <c r="V336" s="651">
        <f t="array" ref="V336">IFERROR(INDEX('HIV-Other HPs'!$R$49:$R$74,MATCH($E336&amp;$F336,'HIV-Other HPs'!$E$49:$E$74&amp;'HIV-Other HPs'!$I$49:$I$74,0)),0)</f>
        <v>0</v>
      </c>
      <c r="W336" s="652">
        <f t="shared" si="261"/>
        <v>0</v>
      </c>
      <c r="X336" s="652">
        <f t="shared" si="262"/>
        <v>0</v>
      </c>
      <c r="Y336" s="652">
        <f t="shared" si="263"/>
        <v>0</v>
      </c>
      <c r="Z336" s="664"/>
      <c r="AA336" s="651">
        <f t="array" ref="AA336">IFERROR(INDEX('HIV-Other HPs'!$U$49:$U$74,MATCH($E336&amp;$F336,'HIV-Other HPs'!$E$49:$E$74&amp;'HIV-Other HPs'!$I$49:$I$74,0)),0)</f>
        <v>0</v>
      </c>
      <c r="AB336" s="651">
        <f t="array" ref="AB336">IFERROR(INDEX('HIV-Other HPs'!$V$49:$V$74,MATCH($E336&amp;$F336,'HIV-Other HPs'!$E$49:$E$74&amp;'HIV-Other HPs'!$I$49:$I$74,0)),0)</f>
        <v>0</v>
      </c>
      <c r="AC336" s="652">
        <f t="shared" si="264"/>
        <v>0</v>
      </c>
      <c r="AD336" s="652">
        <f t="shared" si="265"/>
        <v>0</v>
      </c>
      <c r="AE336" s="652">
        <f t="shared" si="266"/>
        <v>0</v>
      </c>
      <c r="AF336" s="651">
        <f t="array" ref="AF336">IFERROR(INDEX('HIV-Other HPs'!$W$49:$W$74,MATCH($E336&amp;$F336,'HIV-Other HPs'!$E$49:$E$74&amp;'HIV-Other HPs'!$I$49:$I$74,0)),0)</f>
        <v>0</v>
      </c>
      <c r="AG336" s="652">
        <f t="shared" si="267"/>
        <v>0</v>
      </c>
      <c r="AH336" s="652">
        <f t="shared" si="268"/>
        <v>0</v>
      </c>
      <c r="AI336" s="652">
        <f t="shared" si="269"/>
        <v>0</v>
      </c>
      <c r="AJ336" s="651">
        <f t="array" ref="AJ336">IFERROR(INDEX('HIV-Other HPs'!$X$49:$X$74,MATCH($E336&amp;$F336,'HIV-Other HPs'!$E$49:$E$74&amp;'HIV-Other HPs'!$I$49:$I$74,0)),0)</f>
        <v>0</v>
      </c>
      <c r="AK336" s="652">
        <f t="shared" si="270"/>
        <v>0</v>
      </c>
      <c r="AL336" s="652">
        <f t="shared" si="271"/>
        <v>0</v>
      </c>
      <c r="AM336" s="652">
        <f t="shared" si="272"/>
        <v>0</v>
      </c>
      <c r="AN336" s="651">
        <f t="array" ref="AN336">IFERROR(INDEX('HIV-Other HPs'!$Y$49:$Y$74,MATCH($E336&amp;$F336,'HIV-Other HPs'!$E$49:$E$74&amp;'HIV-Other HPs'!$I$49:$I$74,0)),0)</f>
        <v>0</v>
      </c>
      <c r="AO336" s="652">
        <f t="shared" si="273"/>
        <v>0</v>
      </c>
      <c r="AP336" s="652">
        <f t="shared" si="274"/>
        <v>0</v>
      </c>
      <c r="AQ336" s="652">
        <f t="shared" si="275"/>
        <v>0</v>
      </c>
      <c r="AR336" s="664"/>
      <c r="AS336" s="651">
        <f t="array" ref="AS336">IFERROR(INDEX('HIV-Other HPs'!$AB$49:$AB$74,MATCH($E336&amp;$F336,'HIV-Other HPs'!$E$49:$E$74&amp;'HIV-Other HPs'!$I$49:$I$74,0)),0)</f>
        <v>0</v>
      </c>
      <c r="AT336" s="651">
        <f t="array" ref="AT336">IFERROR(INDEX('HIV-Other HPs'!$AC$49:$AC$74,MATCH($E336&amp;$F336,'HIV-Other HPs'!$E$49:$E$74&amp;'HIV-Other HPs'!$I$49:$I$74,0)),0)</f>
        <v>0</v>
      </c>
      <c r="AU336" s="652">
        <f t="shared" si="276"/>
        <v>0</v>
      </c>
      <c r="AV336" s="652">
        <f t="shared" si="277"/>
        <v>0</v>
      </c>
      <c r="AW336" s="652">
        <f t="shared" si="278"/>
        <v>0</v>
      </c>
      <c r="AX336" s="651">
        <f t="array" ref="AX336">IFERROR(INDEX('HIV-Other HPs'!$AD$49:$AD$74,MATCH($E336&amp;$F336,'HIV-Other HPs'!$E$49:$E$74&amp;'HIV-Other HPs'!$I$49:$I$74,0)),0)</f>
        <v>0</v>
      </c>
      <c r="AY336" s="652">
        <f t="shared" si="279"/>
        <v>0</v>
      </c>
      <c r="AZ336" s="652">
        <f t="shared" si="280"/>
        <v>0</v>
      </c>
      <c r="BA336" s="652">
        <f t="shared" si="281"/>
        <v>0</v>
      </c>
      <c r="BB336" s="651">
        <f t="array" ref="BB336">IFERROR(INDEX('HIV-Other HPs'!$AE$49:$AE$74,MATCH($E336&amp;$F336,'HIV-Other HPs'!$E$49:$E$74&amp;'HIV-Other HPs'!$I$49:$I$74,0)),0)</f>
        <v>0</v>
      </c>
      <c r="BC336" s="652">
        <f t="shared" si="282"/>
        <v>0</v>
      </c>
      <c r="BD336" s="652">
        <f t="shared" si="283"/>
        <v>0</v>
      </c>
      <c r="BE336" s="652">
        <f t="shared" si="284"/>
        <v>0</v>
      </c>
      <c r="BF336" s="651">
        <f t="array" ref="BF336">IFERROR(INDEX('HIV-Other HPs'!$AF$49:$AF$74,MATCH($E336&amp;$F336,'HIV-Other HPs'!$E$49:$E$74&amp;'HIV-Other HPs'!$I$49:$I$74,0)),0)</f>
        <v>0</v>
      </c>
      <c r="BG336" s="652">
        <f t="shared" si="285"/>
        <v>0</v>
      </c>
      <c r="BH336" s="652">
        <f t="shared" si="286"/>
        <v>0</v>
      </c>
      <c r="BI336" s="652">
        <f t="shared" si="287"/>
        <v>0</v>
      </c>
      <c r="BJ336" s="662"/>
      <c r="BK336" s="663"/>
      <c r="BL336" s="663"/>
      <c r="BM336" s="663"/>
      <c r="BN336" s="663"/>
      <c r="BO336" s="663"/>
      <c r="BP336" s="663"/>
      <c r="BQ336" s="663"/>
      <c r="BR336" s="663"/>
    </row>
    <row r="337" spans="1:70">
      <c r="A337" s="655" t="s">
        <v>566</v>
      </c>
      <c r="B337" s="655" t="s">
        <v>2285</v>
      </c>
      <c r="C337" s="648">
        <f>SETUP!$F$29</f>
        <v>0</v>
      </c>
      <c r="D337" s="654">
        <v>5.4</v>
      </c>
      <c r="E337" s="663" t="s">
        <v>205</v>
      </c>
      <c r="F337" s="663" t="s">
        <v>1515</v>
      </c>
      <c r="G337" s="650" t="str">
        <f t="array" ref="G337">IFERROR(INDEX('HIV-Other HPs'!$L$49:$L$74,MATCH($E337&amp;$F337,'HIV-Other HPs'!$E$49:$E$74&amp;'HIV-Other HPs'!$I$49:$I$74,0)),"")</f>
        <v/>
      </c>
      <c r="H337" s="650" t="str">
        <f t="array" ref="H337">IFERROR(INDEX('HIV-Other HPs'!$M$49:$M$74,MATCH($E337&amp;$F337,'HIV-Other HPs'!$E$49:$E$74&amp;'HIV-Other HPs'!$I$49:$I$74,0)),"")</f>
        <v/>
      </c>
      <c r="I337" s="651">
        <f t="array" ref="I337">IFERROR(INDEX('HIV-Other HPs'!$N$49:$N$74,MATCH($E337&amp;$F337,'HIV-Other HPs'!$E$49:$E$74&amp;'HIV-Other HPs'!$I$49:$I$74,0)),0)</f>
        <v>0</v>
      </c>
      <c r="J337" s="651">
        <f t="array" ref="J337">IFERROR(INDEX('HIV-Other HPs'!$O$49:$O$74,MATCH($E337&amp;$F337,'HIV-Other HPs'!$E$49:$E$74&amp;'HIV-Other HPs'!$I$49:$I$74,0)),0)</f>
        <v>0</v>
      </c>
      <c r="K337" s="652">
        <f t="shared" si="252"/>
        <v>0</v>
      </c>
      <c r="L337" s="652">
        <f t="shared" si="253"/>
        <v>0</v>
      </c>
      <c r="M337" s="652">
        <f t="shared" si="254"/>
        <v>0</v>
      </c>
      <c r="N337" s="651">
        <f t="array" ref="N337">IFERROR(INDEX('HIV-Other HPs'!$P$49:$P$74,MATCH($E337&amp;$F337,'HIV-Other HPs'!$E$49:$E$74&amp;'HIV-Other HPs'!$I$49:$I$74,0)),0)</f>
        <v>0</v>
      </c>
      <c r="O337" s="652">
        <f t="shared" si="255"/>
        <v>0</v>
      </c>
      <c r="P337" s="652">
        <f t="shared" si="256"/>
        <v>0</v>
      </c>
      <c r="Q337" s="652">
        <f t="shared" si="257"/>
        <v>0</v>
      </c>
      <c r="R337" s="651">
        <f t="array" ref="R337">IFERROR(INDEX('HIV-Other HPs'!$Q$49:$Q$74,MATCH($E337&amp;$F337,'HIV-Other HPs'!$E$49:$E$74&amp;'HIV-Other HPs'!$I$49:$I$74,0)),0)</f>
        <v>0</v>
      </c>
      <c r="S337" s="652">
        <f t="shared" si="258"/>
        <v>0</v>
      </c>
      <c r="T337" s="652">
        <f t="shared" si="259"/>
        <v>0</v>
      </c>
      <c r="U337" s="652">
        <f t="shared" si="260"/>
        <v>0</v>
      </c>
      <c r="V337" s="651">
        <f t="array" ref="V337">IFERROR(INDEX('HIV-Other HPs'!$R$49:$R$74,MATCH($E337&amp;$F337,'HIV-Other HPs'!$E$49:$E$74&amp;'HIV-Other HPs'!$I$49:$I$74,0)),0)</f>
        <v>0</v>
      </c>
      <c r="W337" s="652">
        <f t="shared" si="261"/>
        <v>0</v>
      </c>
      <c r="X337" s="652">
        <f t="shared" si="262"/>
        <v>0</v>
      </c>
      <c r="Y337" s="652">
        <f t="shared" si="263"/>
        <v>0</v>
      </c>
      <c r="Z337" s="664"/>
      <c r="AA337" s="651">
        <f t="array" ref="AA337">IFERROR(INDEX('HIV-Other HPs'!$U$49:$U$74,MATCH($E337&amp;$F337,'HIV-Other HPs'!$E$49:$E$74&amp;'HIV-Other HPs'!$I$49:$I$74,0)),0)</f>
        <v>0</v>
      </c>
      <c r="AB337" s="651">
        <f t="array" ref="AB337">IFERROR(INDEX('HIV-Other HPs'!$V$49:$V$74,MATCH($E337&amp;$F337,'HIV-Other HPs'!$E$49:$E$74&amp;'HIV-Other HPs'!$I$49:$I$74,0)),0)</f>
        <v>0</v>
      </c>
      <c r="AC337" s="652">
        <f t="shared" si="264"/>
        <v>0</v>
      </c>
      <c r="AD337" s="652">
        <f t="shared" si="265"/>
        <v>0</v>
      </c>
      <c r="AE337" s="652">
        <f t="shared" si="266"/>
        <v>0</v>
      </c>
      <c r="AF337" s="651">
        <f t="array" ref="AF337">IFERROR(INDEX('HIV-Other HPs'!$W$49:$W$74,MATCH($E337&amp;$F337,'HIV-Other HPs'!$E$49:$E$74&amp;'HIV-Other HPs'!$I$49:$I$74,0)),0)</f>
        <v>0</v>
      </c>
      <c r="AG337" s="652">
        <f t="shared" si="267"/>
        <v>0</v>
      </c>
      <c r="AH337" s="652">
        <f t="shared" si="268"/>
        <v>0</v>
      </c>
      <c r="AI337" s="652">
        <f t="shared" si="269"/>
        <v>0</v>
      </c>
      <c r="AJ337" s="651">
        <f t="array" ref="AJ337">IFERROR(INDEX('HIV-Other HPs'!$X$49:$X$74,MATCH($E337&amp;$F337,'HIV-Other HPs'!$E$49:$E$74&amp;'HIV-Other HPs'!$I$49:$I$74,0)),0)</f>
        <v>0</v>
      </c>
      <c r="AK337" s="652">
        <f t="shared" si="270"/>
        <v>0</v>
      </c>
      <c r="AL337" s="652">
        <f t="shared" si="271"/>
        <v>0</v>
      </c>
      <c r="AM337" s="652">
        <f t="shared" si="272"/>
        <v>0</v>
      </c>
      <c r="AN337" s="651">
        <f t="array" ref="AN337">IFERROR(INDEX('HIV-Other HPs'!$Y$49:$Y$74,MATCH($E337&amp;$F337,'HIV-Other HPs'!$E$49:$E$74&amp;'HIV-Other HPs'!$I$49:$I$74,0)),0)</f>
        <v>0</v>
      </c>
      <c r="AO337" s="652">
        <f t="shared" si="273"/>
        <v>0</v>
      </c>
      <c r="AP337" s="652">
        <f t="shared" si="274"/>
        <v>0</v>
      </c>
      <c r="AQ337" s="652">
        <f t="shared" si="275"/>
        <v>0</v>
      </c>
      <c r="AR337" s="664"/>
      <c r="AS337" s="651">
        <f t="array" ref="AS337">IFERROR(INDEX('HIV-Other HPs'!$AB$49:$AB$74,MATCH($E337&amp;$F337,'HIV-Other HPs'!$E$49:$E$74&amp;'HIV-Other HPs'!$I$49:$I$74,0)),0)</f>
        <v>0</v>
      </c>
      <c r="AT337" s="651">
        <f t="array" ref="AT337">IFERROR(INDEX('HIV-Other HPs'!$AC$49:$AC$74,MATCH($E337&amp;$F337,'HIV-Other HPs'!$E$49:$E$74&amp;'HIV-Other HPs'!$I$49:$I$74,0)),0)</f>
        <v>0</v>
      </c>
      <c r="AU337" s="652">
        <f t="shared" si="276"/>
        <v>0</v>
      </c>
      <c r="AV337" s="652">
        <f t="shared" si="277"/>
        <v>0</v>
      </c>
      <c r="AW337" s="652">
        <f t="shared" si="278"/>
        <v>0</v>
      </c>
      <c r="AX337" s="651">
        <f t="array" ref="AX337">IFERROR(INDEX('HIV-Other HPs'!$AD$49:$AD$74,MATCH($E337&amp;$F337,'HIV-Other HPs'!$E$49:$E$74&amp;'HIV-Other HPs'!$I$49:$I$74,0)),0)</f>
        <v>0</v>
      </c>
      <c r="AY337" s="652">
        <f t="shared" si="279"/>
        <v>0</v>
      </c>
      <c r="AZ337" s="652">
        <f t="shared" si="280"/>
        <v>0</v>
      </c>
      <c r="BA337" s="652">
        <f t="shared" si="281"/>
        <v>0</v>
      </c>
      <c r="BB337" s="651">
        <f t="array" ref="BB337">IFERROR(INDEX('HIV-Other HPs'!$AE$49:$AE$74,MATCH($E337&amp;$F337,'HIV-Other HPs'!$E$49:$E$74&amp;'HIV-Other HPs'!$I$49:$I$74,0)),0)</f>
        <v>0</v>
      </c>
      <c r="BC337" s="652">
        <f t="shared" si="282"/>
        <v>0</v>
      </c>
      <c r="BD337" s="652">
        <f t="shared" si="283"/>
        <v>0</v>
      </c>
      <c r="BE337" s="652">
        <f t="shared" si="284"/>
        <v>0</v>
      </c>
      <c r="BF337" s="651">
        <f t="array" ref="BF337">IFERROR(INDEX('HIV-Other HPs'!$AF$49:$AF$74,MATCH($E337&amp;$F337,'HIV-Other HPs'!$E$49:$E$74&amp;'HIV-Other HPs'!$I$49:$I$74,0)),0)</f>
        <v>0</v>
      </c>
      <c r="BG337" s="652">
        <f t="shared" si="285"/>
        <v>0</v>
      </c>
      <c r="BH337" s="652">
        <f t="shared" si="286"/>
        <v>0</v>
      </c>
      <c r="BI337" s="652">
        <f t="shared" si="287"/>
        <v>0</v>
      </c>
      <c r="BJ337" s="662"/>
      <c r="BK337" s="663"/>
      <c r="BL337" s="663"/>
      <c r="BM337" s="663"/>
      <c r="BN337" s="663"/>
      <c r="BO337" s="663"/>
      <c r="BP337" s="663"/>
      <c r="BQ337" s="663"/>
      <c r="BR337" s="663"/>
    </row>
    <row r="338" spans="1:70">
      <c r="A338" s="655" t="s">
        <v>566</v>
      </c>
      <c r="B338" s="655" t="s">
        <v>2285</v>
      </c>
      <c r="C338" s="648">
        <f>SETUP!$F$29</f>
        <v>0</v>
      </c>
      <c r="D338" s="654">
        <v>5.4</v>
      </c>
      <c r="E338" s="663" t="s">
        <v>205</v>
      </c>
      <c r="F338" s="663" t="s">
        <v>827</v>
      </c>
      <c r="G338" s="650" t="str">
        <f t="array" ref="G338">IFERROR(INDEX('HIV-Other HPs'!$L$49:$L$74,MATCH($E338&amp;$F338,'HIV-Other HPs'!$E$49:$E$74&amp;'HIV-Other HPs'!$I$49:$I$74,0)),"")</f>
        <v/>
      </c>
      <c r="H338" s="650" t="str">
        <f t="array" ref="H338">IFERROR(INDEX('HIV-Other HPs'!$M$49:$M$74,MATCH($E338&amp;$F338,'HIV-Other HPs'!$E$49:$E$74&amp;'HIV-Other HPs'!$I$49:$I$74,0)),"")</f>
        <v/>
      </c>
      <c r="I338" s="651">
        <f t="array" ref="I338">IFERROR(INDEX('HIV-Other HPs'!$N$49:$N$74,MATCH($E338&amp;$F338,'HIV-Other HPs'!$E$49:$E$74&amp;'HIV-Other HPs'!$I$49:$I$74,0)),0)</f>
        <v>0</v>
      </c>
      <c r="J338" s="651">
        <f t="array" ref="J338">IFERROR(INDEX('HIV-Other HPs'!$O$49:$O$74,MATCH($E338&amp;$F338,'HIV-Other HPs'!$E$49:$E$74&amp;'HIV-Other HPs'!$I$49:$I$74,0)),0)</f>
        <v>0</v>
      </c>
      <c r="K338" s="652">
        <f t="shared" si="252"/>
        <v>0</v>
      </c>
      <c r="L338" s="652">
        <f t="shared" si="253"/>
        <v>0</v>
      </c>
      <c r="M338" s="652">
        <f t="shared" si="254"/>
        <v>0</v>
      </c>
      <c r="N338" s="651">
        <f t="array" ref="N338">IFERROR(INDEX('HIV-Other HPs'!$P$49:$P$74,MATCH($E338&amp;$F338,'HIV-Other HPs'!$E$49:$E$74&amp;'HIV-Other HPs'!$I$49:$I$74,0)),0)</f>
        <v>0</v>
      </c>
      <c r="O338" s="652">
        <f t="shared" si="255"/>
        <v>0</v>
      </c>
      <c r="P338" s="652">
        <f t="shared" si="256"/>
        <v>0</v>
      </c>
      <c r="Q338" s="652">
        <f t="shared" si="257"/>
        <v>0</v>
      </c>
      <c r="R338" s="651">
        <f t="array" ref="R338">IFERROR(INDEX('HIV-Other HPs'!$Q$49:$Q$74,MATCH($E338&amp;$F338,'HIV-Other HPs'!$E$49:$E$74&amp;'HIV-Other HPs'!$I$49:$I$74,0)),0)</f>
        <v>0</v>
      </c>
      <c r="S338" s="652">
        <f t="shared" si="258"/>
        <v>0</v>
      </c>
      <c r="T338" s="652">
        <f t="shared" si="259"/>
        <v>0</v>
      </c>
      <c r="U338" s="652">
        <f t="shared" si="260"/>
        <v>0</v>
      </c>
      <c r="V338" s="651">
        <f t="array" ref="V338">IFERROR(INDEX('HIV-Other HPs'!$R$49:$R$74,MATCH($E338&amp;$F338,'HIV-Other HPs'!$E$49:$E$74&amp;'HIV-Other HPs'!$I$49:$I$74,0)),0)</f>
        <v>0</v>
      </c>
      <c r="W338" s="652">
        <f t="shared" si="261"/>
        <v>0</v>
      </c>
      <c r="X338" s="652">
        <f t="shared" si="262"/>
        <v>0</v>
      </c>
      <c r="Y338" s="652">
        <f t="shared" si="263"/>
        <v>0</v>
      </c>
      <c r="Z338" s="664"/>
      <c r="AA338" s="651">
        <f t="array" ref="AA338">IFERROR(INDEX('HIV-Other HPs'!$U$49:$U$74,MATCH($E338&amp;$F338,'HIV-Other HPs'!$E$49:$E$74&amp;'HIV-Other HPs'!$I$49:$I$74,0)),0)</f>
        <v>0</v>
      </c>
      <c r="AB338" s="651">
        <f t="array" ref="AB338">IFERROR(INDEX('HIV-Other HPs'!$V$49:$V$74,MATCH($E338&amp;$F338,'HIV-Other HPs'!$E$49:$E$74&amp;'HIV-Other HPs'!$I$49:$I$74,0)),0)</f>
        <v>0</v>
      </c>
      <c r="AC338" s="652">
        <f t="shared" si="264"/>
        <v>0</v>
      </c>
      <c r="AD338" s="652">
        <f t="shared" si="265"/>
        <v>0</v>
      </c>
      <c r="AE338" s="652">
        <f t="shared" si="266"/>
        <v>0</v>
      </c>
      <c r="AF338" s="651">
        <f t="array" ref="AF338">IFERROR(INDEX('HIV-Other HPs'!$W$49:$W$74,MATCH($E338&amp;$F338,'HIV-Other HPs'!$E$49:$E$74&amp;'HIV-Other HPs'!$I$49:$I$74,0)),0)</f>
        <v>0</v>
      </c>
      <c r="AG338" s="652">
        <f t="shared" si="267"/>
        <v>0</v>
      </c>
      <c r="AH338" s="652">
        <f t="shared" si="268"/>
        <v>0</v>
      </c>
      <c r="AI338" s="652">
        <f t="shared" si="269"/>
        <v>0</v>
      </c>
      <c r="AJ338" s="651">
        <f t="array" ref="AJ338">IFERROR(INDEX('HIV-Other HPs'!$X$49:$X$74,MATCH($E338&amp;$F338,'HIV-Other HPs'!$E$49:$E$74&amp;'HIV-Other HPs'!$I$49:$I$74,0)),0)</f>
        <v>0</v>
      </c>
      <c r="AK338" s="652">
        <f t="shared" si="270"/>
        <v>0</v>
      </c>
      <c r="AL338" s="652">
        <f t="shared" si="271"/>
        <v>0</v>
      </c>
      <c r="AM338" s="652">
        <f t="shared" si="272"/>
        <v>0</v>
      </c>
      <c r="AN338" s="651">
        <f t="array" ref="AN338">IFERROR(INDEX('HIV-Other HPs'!$Y$49:$Y$74,MATCH($E338&amp;$F338,'HIV-Other HPs'!$E$49:$E$74&amp;'HIV-Other HPs'!$I$49:$I$74,0)),0)</f>
        <v>0</v>
      </c>
      <c r="AO338" s="652">
        <f t="shared" si="273"/>
        <v>0</v>
      </c>
      <c r="AP338" s="652">
        <f t="shared" si="274"/>
        <v>0</v>
      </c>
      <c r="AQ338" s="652">
        <f t="shared" si="275"/>
        <v>0</v>
      </c>
      <c r="AR338" s="664"/>
      <c r="AS338" s="651">
        <f t="array" ref="AS338">IFERROR(INDEX('HIV-Other HPs'!$AB$49:$AB$74,MATCH($E338&amp;$F338,'HIV-Other HPs'!$E$49:$E$74&amp;'HIV-Other HPs'!$I$49:$I$74,0)),0)</f>
        <v>0</v>
      </c>
      <c r="AT338" s="651">
        <f t="array" ref="AT338">IFERROR(INDEX('HIV-Other HPs'!$AC$49:$AC$74,MATCH($E338&amp;$F338,'HIV-Other HPs'!$E$49:$E$74&amp;'HIV-Other HPs'!$I$49:$I$74,0)),0)</f>
        <v>0</v>
      </c>
      <c r="AU338" s="652">
        <f t="shared" si="276"/>
        <v>0</v>
      </c>
      <c r="AV338" s="652">
        <f t="shared" si="277"/>
        <v>0</v>
      </c>
      <c r="AW338" s="652">
        <f t="shared" si="278"/>
        <v>0</v>
      </c>
      <c r="AX338" s="651">
        <f t="array" ref="AX338">IFERROR(INDEX('HIV-Other HPs'!$AD$49:$AD$74,MATCH($E338&amp;$F338,'HIV-Other HPs'!$E$49:$E$74&amp;'HIV-Other HPs'!$I$49:$I$74,0)),0)</f>
        <v>0</v>
      </c>
      <c r="AY338" s="652">
        <f t="shared" si="279"/>
        <v>0</v>
      </c>
      <c r="AZ338" s="652">
        <f t="shared" si="280"/>
        <v>0</v>
      </c>
      <c r="BA338" s="652">
        <f t="shared" si="281"/>
        <v>0</v>
      </c>
      <c r="BB338" s="651">
        <f t="array" ref="BB338">IFERROR(INDEX('HIV-Other HPs'!$AE$49:$AE$74,MATCH($E338&amp;$F338,'HIV-Other HPs'!$E$49:$E$74&amp;'HIV-Other HPs'!$I$49:$I$74,0)),0)</f>
        <v>0</v>
      </c>
      <c r="BC338" s="652">
        <f t="shared" si="282"/>
        <v>0</v>
      </c>
      <c r="BD338" s="652">
        <f t="shared" si="283"/>
        <v>0</v>
      </c>
      <c r="BE338" s="652">
        <f t="shared" si="284"/>
        <v>0</v>
      </c>
      <c r="BF338" s="651">
        <f t="array" ref="BF338">IFERROR(INDEX('HIV-Other HPs'!$AF$49:$AF$74,MATCH($E338&amp;$F338,'HIV-Other HPs'!$E$49:$E$74&amp;'HIV-Other HPs'!$I$49:$I$74,0)),0)</f>
        <v>0</v>
      </c>
      <c r="BG338" s="652">
        <f t="shared" si="285"/>
        <v>0</v>
      </c>
      <c r="BH338" s="652">
        <f t="shared" si="286"/>
        <v>0</v>
      </c>
      <c r="BI338" s="652">
        <f t="shared" si="287"/>
        <v>0</v>
      </c>
      <c r="BJ338" s="662"/>
      <c r="BK338" s="663"/>
      <c r="BL338" s="663"/>
      <c r="BM338" s="663"/>
      <c r="BN338" s="663"/>
      <c r="BO338" s="663"/>
      <c r="BP338" s="663"/>
      <c r="BQ338" s="663"/>
      <c r="BR338" s="663"/>
    </row>
    <row r="339" spans="1:70">
      <c r="A339" s="655" t="s">
        <v>566</v>
      </c>
      <c r="B339" s="655" t="s">
        <v>2285</v>
      </c>
      <c r="C339" s="648">
        <f>SETUP!$F$29</f>
        <v>0</v>
      </c>
      <c r="D339" s="654">
        <v>5.4</v>
      </c>
      <c r="E339" s="663" t="s">
        <v>205</v>
      </c>
      <c r="F339" s="663" t="s">
        <v>1516</v>
      </c>
      <c r="G339" s="650" t="str">
        <f t="array" ref="G339">IFERROR(INDEX('HIV-Other HPs'!$L$49:$L$74,MATCH($E339&amp;$F339,'HIV-Other HPs'!$E$49:$E$74&amp;'HIV-Other HPs'!$I$49:$I$74,0)),"")</f>
        <v/>
      </c>
      <c r="H339" s="650" t="str">
        <f t="array" ref="H339">IFERROR(INDEX('HIV-Other HPs'!$M$49:$M$74,MATCH($E339&amp;$F339,'HIV-Other HPs'!$E$49:$E$74&amp;'HIV-Other HPs'!$I$49:$I$74,0)),"")</f>
        <v/>
      </c>
      <c r="I339" s="651">
        <f t="array" ref="I339">IFERROR(INDEX('HIV-Other HPs'!$N$49:$N$74,MATCH($E339&amp;$F339,'HIV-Other HPs'!$E$49:$E$74&amp;'HIV-Other HPs'!$I$49:$I$74,0)),0)</f>
        <v>0</v>
      </c>
      <c r="J339" s="651">
        <f t="array" ref="J339">IFERROR(INDEX('HIV-Other HPs'!$O$49:$O$74,MATCH($E339&amp;$F339,'HIV-Other HPs'!$E$49:$E$74&amp;'HIV-Other HPs'!$I$49:$I$74,0)),0)</f>
        <v>0</v>
      </c>
      <c r="K339" s="652">
        <f t="shared" si="252"/>
        <v>0</v>
      </c>
      <c r="L339" s="652">
        <f t="shared" si="253"/>
        <v>0</v>
      </c>
      <c r="M339" s="652">
        <f t="shared" si="254"/>
        <v>0</v>
      </c>
      <c r="N339" s="651">
        <f t="array" ref="N339">IFERROR(INDEX('HIV-Other HPs'!$P$49:$P$74,MATCH($E339&amp;$F339,'HIV-Other HPs'!$E$49:$E$74&amp;'HIV-Other HPs'!$I$49:$I$74,0)),0)</f>
        <v>0</v>
      </c>
      <c r="O339" s="652">
        <f t="shared" si="255"/>
        <v>0</v>
      </c>
      <c r="P339" s="652">
        <f t="shared" si="256"/>
        <v>0</v>
      </c>
      <c r="Q339" s="652">
        <f t="shared" si="257"/>
        <v>0</v>
      </c>
      <c r="R339" s="651">
        <f t="array" ref="R339">IFERROR(INDEX('HIV-Other HPs'!$Q$49:$Q$74,MATCH($E339&amp;$F339,'HIV-Other HPs'!$E$49:$E$74&amp;'HIV-Other HPs'!$I$49:$I$74,0)),0)</f>
        <v>0</v>
      </c>
      <c r="S339" s="652">
        <f t="shared" si="258"/>
        <v>0</v>
      </c>
      <c r="T339" s="652">
        <f t="shared" si="259"/>
        <v>0</v>
      </c>
      <c r="U339" s="652">
        <f t="shared" si="260"/>
        <v>0</v>
      </c>
      <c r="V339" s="651">
        <f t="array" ref="V339">IFERROR(INDEX('HIV-Other HPs'!$R$49:$R$74,MATCH($E339&amp;$F339,'HIV-Other HPs'!$E$49:$E$74&amp;'HIV-Other HPs'!$I$49:$I$74,0)),0)</f>
        <v>0</v>
      </c>
      <c r="W339" s="652">
        <f t="shared" si="261"/>
        <v>0</v>
      </c>
      <c r="X339" s="652">
        <f t="shared" si="262"/>
        <v>0</v>
      </c>
      <c r="Y339" s="652">
        <f t="shared" si="263"/>
        <v>0</v>
      </c>
      <c r="Z339" s="664"/>
      <c r="AA339" s="651">
        <f t="array" ref="AA339">IFERROR(INDEX('HIV-Other HPs'!$U$49:$U$74,MATCH($E339&amp;$F339,'HIV-Other HPs'!$E$49:$E$74&amp;'HIV-Other HPs'!$I$49:$I$74,0)),0)</f>
        <v>0</v>
      </c>
      <c r="AB339" s="651">
        <f t="array" ref="AB339">IFERROR(INDEX('HIV-Other HPs'!$V$49:$V$74,MATCH($E339&amp;$F339,'HIV-Other HPs'!$E$49:$E$74&amp;'HIV-Other HPs'!$I$49:$I$74,0)),0)</f>
        <v>0</v>
      </c>
      <c r="AC339" s="652">
        <f t="shared" si="264"/>
        <v>0</v>
      </c>
      <c r="AD339" s="652">
        <f t="shared" si="265"/>
        <v>0</v>
      </c>
      <c r="AE339" s="652">
        <f t="shared" si="266"/>
        <v>0</v>
      </c>
      <c r="AF339" s="651">
        <f t="array" ref="AF339">IFERROR(INDEX('HIV-Other HPs'!$W$49:$W$74,MATCH($E339&amp;$F339,'HIV-Other HPs'!$E$49:$E$74&amp;'HIV-Other HPs'!$I$49:$I$74,0)),0)</f>
        <v>0</v>
      </c>
      <c r="AG339" s="652">
        <f t="shared" si="267"/>
        <v>0</v>
      </c>
      <c r="AH339" s="652">
        <f t="shared" si="268"/>
        <v>0</v>
      </c>
      <c r="AI339" s="652">
        <f t="shared" si="269"/>
        <v>0</v>
      </c>
      <c r="AJ339" s="651">
        <f t="array" ref="AJ339">IFERROR(INDEX('HIV-Other HPs'!$X$49:$X$74,MATCH($E339&amp;$F339,'HIV-Other HPs'!$E$49:$E$74&amp;'HIV-Other HPs'!$I$49:$I$74,0)),0)</f>
        <v>0</v>
      </c>
      <c r="AK339" s="652">
        <f t="shared" si="270"/>
        <v>0</v>
      </c>
      <c r="AL339" s="652">
        <f t="shared" si="271"/>
        <v>0</v>
      </c>
      <c r="AM339" s="652">
        <f t="shared" si="272"/>
        <v>0</v>
      </c>
      <c r="AN339" s="651">
        <f t="array" ref="AN339">IFERROR(INDEX('HIV-Other HPs'!$Y$49:$Y$74,MATCH($E339&amp;$F339,'HIV-Other HPs'!$E$49:$E$74&amp;'HIV-Other HPs'!$I$49:$I$74,0)),0)</f>
        <v>0</v>
      </c>
      <c r="AO339" s="652">
        <f t="shared" si="273"/>
        <v>0</v>
      </c>
      <c r="AP339" s="652">
        <f t="shared" si="274"/>
        <v>0</v>
      </c>
      <c r="AQ339" s="652">
        <f t="shared" si="275"/>
        <v>0</v>
      </c>
      <c r="AR339" s="664"/>
      <c r="AS339" s="651">
        <f t="array" ref="AS339">IFERROR(INDEX('HIV-Other HPs'!$AB$49:$AB$74,MATCH($E339&amp;$F339,'HIV-Other HPs'!$E$49:$E$74&amp;'HIV-Other HPs'!$I$49:$I$74,0)),0)</f>
        <v>0</v>
      </c>
      <c r="AT339" s="651">
        <f t="array" ref="AT339">IFERROR(INDEX('HIV-Other HPs'!$AC$49:$AC$74,MATCH($E339&amp;$F339,'HIV-Other HPs'!$E$49:$E$74&amp;'HIV-Other HPs'!$I$49:$I$74,0)),0)</f>
        <v>0</v>
      </c>
      <c r="AU339" s="652">
        <f t="shared" si="276"/>
        <v>0</v>
      </c>
      <c r="AV339" s="652">
        <f t="shared" si="277"/>
        <v>0</v>
      </c>
      <c r="AW339" s="652">
        <f t="shared" si="278"/>
        <v>0</v>
      </c>
      <c r="AX339" s="651">
        <f t="array" ref="AX339">IFERROR(INDEX('HIV-Other HPs'!$AD$49:$AD$74,MATCH($E339&amp;$F339,'HIV-Other HPs'!$E$49:$E$74&amp;'HIV-Other HPs'!$I$49:$I$74,0)),0)</f>
        <v>0</v>
      </c>
      <c r="AY339" s="652">
        <f t="shared" si="279"/>
        <v>0</v>
      </c>
      <c r="AZ339" s="652">
        <f t="shared" si="280"/>
        <v>0</v>
      </c>
      <c r="BA339" s="652">
        <f t="shared" si="281"/>
        <v>0</v>
      </c>
      <c r="BB339" s="651">
        <f t="array" ref="BB339">IFERROR(INDEX('HIV-Other HPs'!$AE$49:$AE$74,MATCH($E339&amp;$F339,'HIV-Other HPs'!$E$49:$E$74&amp;'HIV-Other HPs'!$I$49:$I$74,0)),0)</f>
        <v>0</v>
      </c>
      <c r="BC339" s="652">
        <f t="shared" si="282"/>
        <v>0</v>
      </c>
      <c r="BD339" s="652">
        <f t="shared" si="283"/>
        <v>0</v>
      </c>
      <c r="BE339" s="652">
        <f t="shared" si="284"/>
        <v>0</v>
      </c>
      <c r="BF339" s="651">
        <f t="array" ref="BF339">IFERROR(INDEX('HIV-Other HPs'!$AF$49:$AF$74,MATCH($E339&amp;$F339,'HIV-Other HPs'!$E$49:$E$74&amp;'HIV-Other HPs'!$I$49:$I$74,0)),0)</f>
        <v>0</v>
      </c>
      <c r="BG339" s="652">
        <f t="shared" si="285"/>
        <v>0</v>
      </c>
      <c r="BH339" s="652">
        <f t="shared" si="286"/>
        <v>0</v>
      </c>
      <c r="BI339" s="652">
        <f t="shared" si="287"/>
        <v>0</v>
      </c>
      <c r="BJ339" s="662"/>
      <c r="BK339" s="663"/>
      <c r="BL339" s="663"/>
      <c r="BM339" s="663"/>
      <c r="BN339" s="663"/>
      <c r="BO339" s="663"/>
      <c r="BP339" s="663"/>
      <c r="BQ339" s="663"/>
      <c r="BR339" s="663"/>
    </row>
    <row r="340" spans="1:70">
      <c r="A340" s="655" t="s">
        <v>566</v>
      </c>
      <c r="B340" s="655" t="s">
        <v>2285</v>
      </c>
      <c r="C340" s="648">
        <f>SETUP!$F$29</f>
        <v>0</v>
      </c>
      <c r="D340" s="654">
        <v>5.4</v>
      </c>
      <c r="E340" s="663" t="s">
        <v>205</v>
      </c>
      <c r="F340" s="663" t="s">
        <v>1517</v>
      </c>
      <c r="G340" s="650" t="str">
        <f t="array" ref="G340">IFERROR(INDEX('HIV-Other HPs'!$L$49:$L$74,MATCH($E340&amp;$F340,'HIV-Other HPs'!$E$49:$E$74&amp;'HIV-Other HPs'!$I$49:$I$74,0)),"")</f>
        <v/>
      </c>
      <c r="H340" s="650" t="str">
        <f t="array" ref="H340">IFERROR(INDEX('HIV-Other HPs'!$M$49:$M$74,MATCH($E340&amp;$F340,'HIV-Other HPs'!$E$49:$E$74&amp;'HIV-Other HPs'!$I$49:$I$74,0)),"")</f>
        <v/>
      </c>
      <c r="I340" s="651">
        <f t="array" ref="I340">IFERROR(INDEX('HIV-Other HPs'!$N$49:$N$74,MATCH($E340&amp;$F340,'HIV-Other HPs'!$E$49:$E$74&amp;'HIV-Other HPs'!$I$49:$I$74,0)),0)</f>
        <v>0</v>
      </c>
      <c r="J340" s="651">
        <f t="array" ref="J340">IFERROR(INDEX('HIV-Other HPs'!$O$49:$O$74,MATCH($E340&amp;$F340,'HIV-Other HPs'!$E$49:$E$74&amp;'HIV-Other HPs'!$I$49:$I$74,0)),0)</f>
        <v>0</v>
      </c>
      <c r="K340" s="652">
        <f t="shared" si="252"/>
        <v>0</v>
      </c>
      <c r="L340" s="652">
        <f t="shared" si="253"/>
        <v>0</v>
      </c>
      <c r="M340" s="652">
        <f t="shared" si="254"/>
        <v>0</v>
      </c>
      <c r="N340" s="651">
        <f t="array" ref="N340">IFERROR(INDEX('HIV-Other HPs'!$P$49:$P$74,MATCH($E340&amp;$F340,'HIV-Other HPs'!$E$49:$E$74&amp;'HIV-Other HPs'!$I$49:$I$74,0)),0)</f>
        <v>0</v>
      </c>
      <c r="O340" s="652">
        <f t="shared" si="255"/>
        <v>0</v>
      </c>
      <c r="P340" s="652">
        <f t="shared" si="256"/>
        <v>0</v>
      </c>
      <c r="Q340" s="652">
        <f t="shared" si="257"/>
        <v>0</v>
      </c>
      <c r="R340" s="651">
        <f t="array" ref="R340">IFERROR(INDEX('HIV-Other HPs'!$Q$49:$Q$74,MATCH($E340&amp;$F340,'HIV-Other HPs'!$E$49:$E$74&amp;'HIV-Other HPs'!$I$49:$I$74,0)),0)</f>
        <v>0</v>
      </c>
      <c r="S340" s="652">
        <f t="shared" si="258"/>
        <v>0</v>
      </c>
      <c r="T340" s="652">
        <f t="shared" si="259"/>
        <v>0</v>
      </c>
      <c r="U340" s="652">
        <f t="shared" si="260"/>
        <v>0</v>
      </c>
      <c r="V340" s="651">
        <f t="array" ref="V340">IFERROR(INDEX('HIV-Other HPs'!$R$49:$R$74,MATCH($E340&amp;$F340,'HIV-Other HPs'!$E$49:$E$74&amp;'HIV-Other HPs'!$I$49:$I$74,0)),0)</f>
        <v>0</v>
      </c>
      <c r="W340" s="652">
        <f t="shared" si="261"/>
        <v>0</v>
      </c>
      <c r="X340" s="652">
        <f t="shared" si="262"/>
        <v>0</v>
      </c>
      <c r="Y340" s="652">
        <f t="shared" si="263"/>
        <v>0</v>
      </c>
      <c r="Z340" s="664"/>
      <c r="AA340" s="651">
        <f t="array" ref="AA340">IFERROR(INDEX('HIV-Other HPs'!$U$49:$U$74,MATCH($E340&amp;$F340,'HIV-Other HPs'!$E$49:$E$74&amp;'HIV-Other HPs'!$I$49:$I$74,0)),0)</f>
        <v>0</v>
      </c>
      <c r="AB340" s="651">
        <f t="array" ref="AB340">IFERROR(INDEX('HIV-Other HPs'!$V$49:$V$74,MATCH($E340&amp;$F340,'HIV-Other HPs'!$E$49:$E$74&amp;'HIV-Other HPs'!$I$49:$I$74,0)),0)</f>
        <v>0</v>
      </c>
      <c r="AC340" s="652">
        <f t="shared" si="264"/>
        <v>0</v>
      </c>
      <c r="AD340" s="652">
        <f t="shared" si="265"/>
        <v>0</v>
      </c>
      <c r="AE340" s="652">
        <f t="shared" si="266"/>
        <v>0</v>
      </c>
      <c r="AF340" s="651">
        <f t="array" ref="AF340">IFERROR(INDEX('HIV-Other HPs'!$W$49:$W$74,MATCH($E340&amp;$F340,'HIV-Other HPs'!$E$49:$E$74&amp;'HIV-Other HPs'!$I$49:$I$74,0)),0)</f>
        <v>0</v>
      </c>
      <c r="AG340" s="652">
        <f t="shared" si="267"/>
        <v>0</v>
      </c>
      <c r="AH340" s="652">
        <f t="shared" si="268"/>
        <v>0</v>
      </c>
      <c r="AI340" s="652">
        <f t="shared" si="269"/>
        <v>0</v>
      </c>
      <c r="AJ340" s="651">
        <f t="array" ref="AJ340">IFERROR(INDEX('HIV-Other HPs'!$X$49:$X$74,MATCH($E340&amp;$F340,'HIV-Other HPs'!$E$49:$E$74&amp;'HIV-Other HPs'!$I$49:$I$74,0)),0)</f>
        <v>0</v>
      </c>
      <c r="AK340" s="652">
        <f t="shared" si="270"/>
        <v>0</v>
      </c>
      <c r="AL340" s="652">
        <f t="shared" si="271"/>
        <v>0</v>
      </c>
      <c r="AM340" s="652">
        <f t="shared" si="272"/>
        <v>0</v>
      </c>
      <c r="AN340" s="651">
        <f t="array" ref="AN340">IFERROR(INDEX('HIV-Other HPs'!$Y$49:$Y$74,MATCH($E340&amp;$F340,'HIV-Other HPs'!$E$49:$E$74&amp;'HIV-Other HPs'!$I$49:$I$74,0)),0)</f>
        <v>0</v>
      </c>
      <c r="AO340" s="652">
        <f t="shared" si="273"/>
        <v>0</v>
      </c>
      <c r="AP340" s="652">
        <f t="shared" si="274"/>
        <v>0</v>
      </c>
      <c r="AQ340" s="652">
        <f t="shared" si="275"/>
        <v>0</v>
      </c>
      <c r="AR340" s="664"/>
      <c r="AS340" s="651">
        <f t="array" ref="AS340">IFERROR(INDEX('HIV-Other HPs'!$AB$49:$AB$74,MATCH($E340&amp;$F340,'HIV-Other HPs'!$E$49:$E$74&amp;'HIV-Other HPs'!$I$49:$I$74,0)),0)</f>
        <v>0</v>
      </c>
      <c r="AT340" s="651">
        <f t="array" ref="AT340">IFERROR(INDEX('HIV-Other HPs'!$AC$49:$AC$74,MATCH($E340&amp;$F340,'HIV-Other HPs'!$E$49:$E$74&amp;'HIV-Other HPs'!$I$49:$I$74,0)),0)</f>
        <v>0</v>
      </c>
      <c r="AU340" s="652">
        <f t="shared" si="276"/>
        <v>0</v>
      </c>
      <c r="AV340" s="652">
        <f t="shared" si="277"/>
        <v>0</v>
      </c>
      <c r="AW340" s="652">
        <f t="shared" si="278"/>
        <v>0</v>
      </c>
      <c r="AX340" s="651">
        <f t="array" ref="AX340">IFERROR(INDEX('HIV-Other HPs'!$AD$49:$AD$74,MATCH($E340&amp;$F340,'HIV-Other HPs'!$E$49:$E$74&amp;'HIV-Other HPs'!$I$49:$I$74,0)),0)</f>
        <v>0</v>
      </c>
      <c r="AY340" s="652">
        <f t="shared" si="279"/>
        <v>0</v>
      </c>
      <c r="AZ340" s="652">
        <f t="shared" si="280"/>
        <v>0</v>
      </c>
      <c r="BA340" s="652">
        <f t="shared" si="281"/>
        <v>0</v>
      </c>
      <c r="BB340" s="651">
        <f t="array" ref="BB340">IFERROR(INDEX('HIV-Other HPs'!$AE$49:$AE$74,MATCH($E340&amp;$F340,'HIV-Other HPs'!$E$49:$E$74&amp;'HIV-Other HPs'!$I$49:$I$74,0)),0)</f>
        <v>0</v>
      </c>
      <c r="BC340" s="652">
        <f t="shared" si="282"/>
        <v>0</v>
      </c>
      <c r="BD340" s="652">
        <f t="shared" si="283"/>
        <v>0</v>
      </c>
      <c r="BE340" s="652">
        <f t="shared" si="284"/>
        <v>0</v>
      </c>
      <c r="BF340" s="651">
        <f t="array" ref="BF340">IFERROR(INDEX('HIV-Other HPs'!$AF$49:$AF$74,MATCH($E340&amp;$F340,'HIV-Other HPs'!$E$49:$E$74&amp;'HIV-Other HPs'!$I$49:$I$74,0)),0)</f>
        <v>0</v>
      </c>
      <c r="BG340" s="652">
        <f t="shared" si="285"/>
        <v>0</v>
      </c>
      <c r="BH340" s="652">
        <f t="shared" si="286"/>
        <v>0</v>
      </c>
      <c r="BI340" s="652">
        <f t="shared" si="287"/>
        <v>0</v>
      </c>
      <c r="BJ340" s="662"/>
      <c r="BK340" s="663"/>
      <c r="BL340" s="663"/>
      <c r="BM340" s="663"/>
      <c r="BN340" s="663"/>
      <c r="BO340" s="663"/>
      <c r="BP340" s="663"/>
      <c r="BQ340" s="663"/>
      <c r="BR340" s="663"/>
    </row>
    <row r="341" spans="1:70">
      <c r="A341" s="655" t="s">
        <v>566</v>
      </c>
      <c r="B341" s="655" t="s">
        <v>2285</v>
      </c>
      <c r="C341" s="648">
        <f>SETUP!$F$29</f>
        <v>0</v>
      </c>
      <c r="D341" s="654">
        <v>5.4</v>
      </c>
      <c r="E341" s="663" t="s">
        <v>205</v>
      </c>
      <c r="F341" s="663" t="s">
        <v>1518</v>
      </c>
      <c r="G341" s="650" t="str">
        <f t="array" ref="G341">IFERROR(INDEX('HIV-Other HPs'!$L$49:$L$74,MATCH($E341&amp;$F341,'HIV-Other HPs'!$E$49:$E$74&amp;'HIV-Other HPs'!$I$49:$I$74,0)),"")</f>
        <v/>
      </c>
      <c r="H341" s="650" t="str">
        <f t="array" ref="H341">IFERROR(INDEX('HIV-Other HPs'!$M$49:$M$74,MATCH($E341&amp;$F341,'HIV-Other HPs'!$E$49:$E$74&amp;'HIV-Other HPs'!$I$49:$I$74,0)),"")</f>
        <v/>
      </c>
      <c r="I341" s="651">
        <f t="array" ref="I341">IFERROR(INDEX('HIV-Other HPs'!$N$49:$N$74,MATCH($E341&amp;$F341,'HIV-Other HPs'!$E$49:$E$74&amp;'HIV-Other HPs'!$I$49:$I$74,0)),0)</f>
        <v>0</v>
      </c>
      <c r="J341" s="651">
        <f t="array" ref="J341">IFERROR(INDEX('HIV-Other HPs'!$O$49:$O$74,MATCH($E341&amp;$F341,'HIV-Other HPs'!$E$49:$E$74&amp;'HIV-Other HPs'!$I$49:$I$74,0)),0)</f>
        <v>0</v>
      </c>
      <c r="K341" s="652">
        <f t="shared" si="252"/>
        <v>0</v>
      </c>
      <c r="L341" s="652">
        <f t="shared" si="253"/>
        <v>0</v>
      </c>
      <c r="M341" s="652">
        <f t="shared" si="254"/>
        <v>0</v>
      </c>
      <c r="N341" s="651">
        <f t="array" ref="N341">IFERROR(INDEX('HIV-Other HPs'!$P$49:$P$74,MATCH($E341&amp;$F341,'HIV-Other HPs'!$E$49:$E$74&amp;'HIV-Other HPs'!$I$49:$I$74,0)),0)</f>
        <v>0</v>
      </c>
      <c r="O341" s="652">
        <f t="shared" si="255"/>
        <v>0</v>
      </c>
      <c r="P341" s="652">
        <f t="shared" si="256"/>
        <v>0</v>
      </c>
      <c r="Q341" s="652">
        <f t="shared" si="257"/>
        <v>0</v>
      </c>
      <c r="R341" s="651">
        <f t="array" ref="R341">IFERROR(INDEX('HIV-Other HPs'!$Q$49:$Q$74,MATCH($E341&amp;$F341,'HIV-Other HPs'!$E$49:$E$74&amp;'HIV-Other HPs'!$I$49:$I$74,0)),0)</f>
        <v>0</v>
      </c>
      <c r="S341" s="652">
        <f t="shared" si="258"/>
        <v>0</v>
      </c>
      <c r="T341" s="652">
        <f t="shared" si="259"/>
        <v>0</v>
      </c>
      <c r="U341" s="652">
        <f t="shared" si="260"/>
        <v>0</v>
      </c>
      <c r="V341" s="651">
        <f t="array" ref="V341">IFERROR(INDEX('HIV-Other HPs'!$R$49:$R$74,MATCH($E341&amp;$F341,'HIV-Other HPs'!$E$49:$E$74&amp;'HIV-Other HPs'!$I$49:$I$74,0)),0)</f>
        <v>0</v>
      </c>
      <c r="W341" s="652">
        <f t="shared" si="261"/>
        <v>0</v>
      </c>
      <c r="X341" s="652">
        <f t="shared" si="262"/>
        <v>0</v>
      </c>
      <c r="Y341" s="652">
        <f t="shared" si="263"/>
        <v>0</v>
      </c>
      <c r="Z341" s="664"/>
      <c r="AA341" s="651">
        <f t="array" ref="AA341">IFERROR(INDEX('HIV-Other HPs'!$U$49:$U$74,MATCH($E341&amp;$F341,'HIV-Other HPs'!$E$49:$E$74&amp;'HIV-Other HPs'!$I$49:$I$74,0)),0)</f>
        <v>0</v>
      </c>
      <c r="AB341" s="651">
        <f t="array" ref="AB341">IFERROR(INDEX('HIV-Other HPs'!$V$49:$V$74,MATCH($E341&amp;$F341,'HIV-Other HPs'!$E$49:$E$74&amp;'HIV-Other HPs'!$I$49:$I$74,0)),0)</f>
        <v>0</v>
      </c>
      <c r="AC341" s="652">
        <f t="shared" si="264"/>
        <v>0</v>
      </c>
      <c r="AD341" s="652">
        <f t="shared" si="265"/>
        <v>0</v>
      </c>
      <c r="AE341" s="652">
        <f t="shared" si="266"/>
        <v>0</v>
      </c>
      <c r="AF341" s="651">
        <f t="array" ref="AF341">IFERROR(INDEX('HIV-Other HPs'!$W$49:$W$74,MATCH($E341&amp;$F341,'HIV-Other HPs'!$E$49:$E$74&amp;'HIV-Other HPs'!$I$49:$I$74,0)),0)</f>
        <v>0</v>
      </c>
      <c r="AG341" s="652">
        <f t="shared" si="267"/>
        <v>0</v>
      </c>
      <c r="AH341" s="652">
        <f t="shared" si="268"/>
        <v>0</v>
      </c>
      <c r="AI341" s="652">
        <f t="shared" si="269"/>
        <v>0</v>
      </c>
      <c r="AJ341" s="651">
        <f t="array" ref="AJ341">IFERROR(INDEX('HIV-Other HPs'!$X$49:$X$74,MATCH($E341&amp;$F341,'HIV-Other HPs'!$E$49:$E$74&amp;'HIV-Other HPs'!$I$49:$I$74,0)),0)</f>
        <v>0</v>
      </c>
      <c r="AK341" s="652">
        <f t="shared" si="270"/>
        <v>0</v>
      </c>
      <c r="AL341" s="652">
        <f t="shared" si="271"/>
        <v>0</v>
      </c>
      <c r="AM341" s="652">
        <f t="shared" si="272"/>
        <v>0</v>
      </c>
      <c r="AN341" s="651">
        <f t="array" ref="AN341">IFERROR(INDEX('HIV-Other HPs'!$Y$49:$Y$74,MATCH($E341&amp;$F341,'HIV-Other HPs'!$E$49:$E$74&amp;'HIV-Other HPs'!$I$49:$I$74,0)),0)</f>
        <v>0</v>
      </c>
      <c r="AO341" s="652">
        <f t="shared" si="273"/>
        <v>0</v>
      </c>
      <c r="AP341" s="652">
        <f t="shared" si="274"/>
        <v>0</v>
      </c>
      <c r="AQ341" s="652">
        <f t="shared" si="275"/>
        <v>0</v>
      </c>
      <c r="AR341" s="664"/>
      <c r="AS341" s="651">
        <f t="array" ref="AS341">IFERROR(INDEX('HIV-Other HPs'!$AB$49:$AB$74,MATCH($E341&amp;$F341,'HIV-Other HPs'!$E$49:$E$74&amp;'HIV-Other HPs'!$I$49:$I$74,0)),0)</f>
        <v>0</v>
      </c>
      <c r="AT341" s="651">
        <f t="array" ref="AT341">IFERROR(INDEX('HIV-Other HPs'!$AC$49:$AC$74,MATCH($E341&amp;$F341,'HIV-Other HPs'!$E$49:$E$74&amp;'HIV-Other HPs'!$I$49:$I$74,0)),0)</f>
        <v>0</v>
      </c>
      <c r="AU341" s="652">
        <f t="shared" si="276"/>
        <v>0</v>
      </c>
      <c r="AV341" s="652">
        <f t="shared" si="277"/>
        <v>0</v>
      </c>
      <c r="AW341" s="652">
        <f t="shared" si="278"/>
        <v>0</v>
      </c>
      <c r="AX341" s="651">
        <f t="array" ref="AX341">IFERROR(INDEX('HIV-Other HPs'!$AD$49:$AD$74,MATCH($E341&amp;$F341,'HIV-Other HPs'!$E$49:$E$74&amp;'HIV-Other HPs'!$I$49:$I$74,0)),0)</f>
        <v>0</v>
      </c>
      <c r="AY341" s="652">
        <f t="shared" si="279"/>
        <v>0</v>
      </c>
      <c r="AZ341" s="652">
        <f t="shared" si="280"/>
        <v>0</v>
      </c>
      <c r="BA341" s="652">
        <f t="shared" si="281"/>
        <v>0</v>
      </c>
      <c r="BB341" s="651">
        <f t="array" ref="BB341">IFERROR(INDEX('HIV-Other HPs'!$AE$49:$AE$74,MATCH($E341&amp;$F341,'HIV-Other HPs'!$E$49:$E$74&amp;'HIV-Other HPs'!$I$49:$I$74,0)),0)</f>
        <v>0</v>
      </c>
      <c r="BC341" s="652">
        <f t="shared" si="282"/>
        <v>0</v>
      </c>
      <c r="BD341" s="652">
        <f t="shared" si="283"/>
        <v>0</v>
      </c>
      <c r="BE341" s="652">
        <f t="shared" si="284"/>
        <v>0</v>
      </c>
      <c r="BF341" s="651">
        <f t="array" ref="BF341">IFERROR(INDEX('HIV-Other HPs'!$AF$49:$AF$74,MATCH($E341&amp;$F341,'HIV-Other HPs'!$E$49:$E$74&amp;'HIV-Other HPs'!$I$49:$I$74,0)),0)</f>
        <v>0</v>
      </c>
      <c r="BG341" s="652">
        <f t="shared" si="285"/>
        <v>0</v>
      </c>
      <c r="BH341" s="652">
        <f t="shared" si="286"/>
        <v>0</v>
      </c>
      <c r="BI341" s="652">
        <f t="shared" si="287"/>
        <v>0</v>
      </c>
      <c r="BJ341" s="662"/>
      <c r="BK341" s="663"/>
      <c r="BL341" s="663"/>
      <c r="BM341" s="663"/>
      <c r="BN341" s="663"/>
      <c r="BO341" s="663"/>
      <c r="BP341" s="663"/>
      <c r="BQ341" s="663"/>
      <c r="BR341" s="663"/>
    </row>
    <row r="342" spans="1:70">
      <c r="A342" s="655" t="s">
        <v>566</v>
      </c>
      <c r="B342" s="655" t="s">
        <v>2285</v>
      </c>
      <c r="C342" s="648">
        <f>SETUP!$F$29</f>
        <v>0</v>
      </c>
      <c r="D342" s="654">
        <v>5.4</v>
      </c>
      <c r="E342" s="663" t="s">
        <v>205</v>
      </c>
      <c r="F342" s="663" t="s">
        <v>828</v>
      </c>
      <c r="G342" s="650" t="str">
        <f t="array" ref="G342">IFERROR(INDEX('HIV-Other HPs'!$L$49:$L$74,MATCH($E342&amp;$F342,'HIV-Other HPs'!$E$49:$E$74&amp;'HIV-Other HPs'!$I$49:$I$74,0)),"")</f>
        <v/>
      </c>
      <c r="H342" s="650" t="str">
        <f t="array" ref="H342">IFERROR(INDEX('HIV-Other HPs'!$M$49:$M$74,MATCH($E342&amp;$F342,'HIV-Other HPs'!$E$49:$E$74&amp;'HIV-Other HPs'!$I$49:$I$74,0)),"")</f>
        <v/>
      </c>
      <c r="I342" s="651">
        <f t="array" ref="I342">IFERROR(INDEX('HIV-Other HPs'!$N$49:$N$74,MATCH($E342&amp;$F342,'HIV-Other HPs'!$E$49:$E$74&amp;'HIV-Other HPs'!$I$49:$I$74,0)),0)</f>
        <v>0</v>
      </c>
      <c r="J342" s="651">
        <f t="array" ref="J342">IFERROR(INDEX('HIV-Other HPs'!$O$49:$O$74,MATCH($E342&amp;$F342,'HIV-Other HPs'!$E$49:$E$74&amp;'HIV-Other HPs'!$I$49:$I$74,0)),0)</f>
        <v>0</v>
      </c>
      <c r="K342" s="652">
        <f t="shared" si="252"/>
        <v>0</v>
      </c>
      <c r="L342" s="652">
        <f t="shared" si="253"/>
        <v>0</v>
      </c>
      <c r="M342" s="652">
        <f t="shared" si="254"/>
        <v>0</v>
      </c>
      <c r="N342" s="651">
        <f t="array" ref="N342">IFERROR(INDEX('HIV-Other HPs'!$P$49:$P$74,MATCH($E342&amp;$F342,'HIV-Other HPs'!$E$49:$E$74&amp;'HIV-Other HPs'!$I$49:$I$74,0)),0)</f>
        <v>0</v>
      </c>
      <c r="O342" s="652">
        <f t="shared" si="255"/>
        <v>0</v>
      </c>
      <c r="P342" s="652">
        <f t="shared" si="256"/>
        <v>0</v>
      </c>
      <c r="Q342" s="652">
        <f t="shared" si="257"/>
        <v>0</v>
      </c>
      <c r="R342" s="651">
        <f t="array" ref="R342">IFERROR(INDEX('HIV-Other HPs'!$Q$49:$Q$74,MATCH($E342&amp;$F342,'HIV-Other HPs'!$E$49:$E$74&amp;'HIV-Other HPs'!$I$49:$I$74,0)),0)</f>
        <v>0</v>
      </c>
      <c r="S342" s="652">
        <f t="shared" si="258"/>
        <v>0</v>
      </c>
      <c r="T342" s="652">
        <f t="shared" si="259"/>
        <v>0</v>
      </c>
      <c r="U342" s="652">
        <f t="shared" si="260"/>
        <v>0</v>
      </c>
      <c r="V342" s="651">
        <f t="array" ref="V342">IFERROR(INDEX('HIV-Other HPs'!$R$49:$R$74,MATCH($E342&amp;$F342,'HIV-Other HPs'!$E$49:$E$74&amp;'HIV-Other HPs'!$I$49:$I$74,0)),0)</f>
        <v>0</v>
      </c>
      <c r="W342" s="652">
        <f t="shared" si="261"/>
        <v>0</v>
      </c>
      <c r="X342" s="652">
        <f t="shared" si="262"/>
        <v>0</v>
      </c>
      <c r="Y342" s="652">
        <f t="shared" si="263"/>
        <v>0</v>
      </c>
      <c r="Z342" s="664"/>
      <c r="AA342" s="651">
        <f t="array" ref="AA342">IFERROR(INDEX('HIV-Other HPs'!$U$49:$U$74,MATCH($E342&amp;$F342,'HIV-Other HPs'!$E$49:$E$74&amp;'HIV-Other HPs'!$I$49:$I$74,0)),0)</f>
        <v>0</v>
      </c>
      <c r="AB342" s="651">
        <f t="array" ref="AB342">IFERROR(INDEX('HIV-Other HPs'!$V$49:$V$74,MATCH($E342&amp;$F342,'HIV-Other HPs'!$E$49:$E$74&amp;'HIV-Other HPs'!$I$49:$I$74,0)),0)</f>
        <v>0</v>
      </c>
      <c r="AC342" s="652">
        <f t="shared" si="264"/>
        <v>0</v>
      </c>
      <c r="AD342" s="652">
        <f t="shared" si="265"/>
        <v>0</v>
      </c>
      <c r="AE342" s="652">
        <f t="shared" si="266"/>
        <v>0</v>
      </c>
      <c r="AF342" s="651">
        <f t="array" ref="AF342">IFERROR(INDEX('HIV-Other HPs'!$W$49:$W$74,MATCH($E342&amp;$F342,'HIV-Other HPs'!$E$49:$E$74&amp;'HIV-Other HPs'!$I$49:$I$74,0)),0)</f>
        <v>0</v>
      </c>
      <c r="AG342" s="652">
        <f t="shared" si="267"/>
        <v>0</v>
      </c>
      <c r="AH342" s="652">
        <f t="shared" si="268"/>
        <v>0</v>
      </c>
      <c r="AI342" s="652">
        <f t="shared" si="269"/>
        <v>0</v>
      </c>
      <c r="AJ342" s="651">
        <f t="array" ref="AJ342">IFERROR(INDEX('HIV-Other HPs'!$X$49:$X$74,MATCH($E342&amp;$F342,'HIV-Other HPs'!$E$49:$E$74&amp;'HIV-Other HPs'!$I$49:$I$74,0)),0)</f>
        <v>0</v>
      </c>
      <c r="AK342" s="652">
        <f t="shared" si="270"/>
        <v>0</v>
      </c>
      <c r="AL342" s="652">
        <f t="shared" si="271"/>
        <v>0</v>
      </c>
      <c r="AM342" s="652">
        <f t="shared" si="272"/>
        <v>0</v>
      </c>
      <c r="AN342" s="651">
        <f t="array" ref="AN342">IFERROR(INDEX('HIV-Other HPs'!$Y$49:$Y$74,MATCH($E342&amp;$F342,'HIV-Other HPs'!$E$49:$E$74&amp;'HIV-Other HPs'!$I$49:$I$74,0)),0)</f>
        <v>0</v>
      </c>
      <c r="AO342" s="652">
        <f t="shared" si="273"/>
        <v>0</v>
      </c>
      <c r="AP342" s="652">
        <f t="shared" si="274"/>
        <v>0</v>
      </c>
      <c r="AQ342" s="652">
        <f t="shared" si="275"/>
        <v>0</v>
      </c>
      <c r="AR342" s="664"/>
      <c r="AS342" s="651">
        <f t="array" ref="AS342">IFERROR(INDEX('HIV-Other HPs'!$AB$49:$AB$74,MATCH($E342&amp;$F342,'HIV-Other HPs'!$E$49:$E$74&amp;'HIV-Other HPs'!$I$49:$I$74,0)),0)</f>
        <v>0</v>
      </c>
      <c r="AT342" s="651">
        <f t="array" ref="AT342">IFERROR(INDEX('HIV-Other HPs'!$AC$49:$AC$74,MATCH($E342&amp;$F342,'HIV-Other HPs'!$E$49:$E$74&amp;'HIV-Other HPs'!$I$49:$I$74,0)),0)</f>
        <v>0</v>
      </c>
      <c r="AU342" s="652">
        <f t="shared" si="276"/>
        <v>0</v>
      </c>
      <c r="AV342" s="652">
        <f t="shared" si="277"/>
        <v>0</v>
      </c>
      <c r="AW342" s="652">
        <f t="shared" si="278"/>
        <v>0</v>
      </c>
      <c r="AX342" s="651">
        <f t="array" ref="AX342">IFERROR(INDEX('HIV-Other HPs'!$AD$49:$AD$74,MATCH($E342&amp;$F342,'HIV-Other HPs'!$E$49:$E$74&amp;'HIV-Other HPs'!$I$49:$I$74,0)),0)</f>
        <v>0</v>
      </c>
      <c r="AY342" s="652">
        <f t="shared" si="279"/>
        <v>0</v>
      </c>
      <c r="AZ342" s="652">
        <f t="shared" si="280"/>
        <v>0</v>
      </c>
      <c r="BA342" s="652">
        <f t="shared" si="281"/>
        <v>0</v>
      </c>
      <c r="BB342" s="651">
        <f t="array" ref="BB342">IFERROR(INDEX('HIV-Other HPs'!$AE$49:$AE$74,MATCH($E342&amp;$F342,'HIV-Other HPs'!$E$49:$E$74&amp;'HIV-Other HPs'!$I$49:$I$74,0)),0)</f>
        <v>0</v>
      </c>
      <c r="BC342" s="652">
        <f t="shared" si="282"/>
        <v>0</v>
      </c>
      <c r="BD342" s="652">
        <f t="shared" si="283"/>
        <v>0</v>
      </c>
      <c r="BE342" s="652">
        <f t="shared" si="284"/>
        <v>0</v>
      </c>
      <c r="BF342" s="651">
        <f t="array" ref="BF342">IFERROR(INDEX('HIV-Other HPs'!$AF$49:$AF$74,MATCH($E342&amp;$F342,'HIV-Other HPs'!$E$49:$E$74&amp;'HIV-Other HPs'!$I$49:$I$74,0)),0)</f>
        <v>0</v>
      </c>
      <c r="BG342" s="652">
        <f t="shared" si="285"/>
        <v>0</v>
      </c>
      <c r="BH342" s="652">
        <f t="shared" si="286"/>
        <v>0</v>
      </c>
      <c r="BI342" s="652">
        <f t="shared" si="287"/>
        <v>0</v>
      </c>
      <c r="BJ342" s="662"/>
      <c r="BK342" s="663"/>
      <c r="BL342" s="663"/>
      <c r="BM342" s="663"/>
      <c r="BN342" s="663"/>
      <c r="BO342" s="663"/>
      <c r="BP342" s="663"/>
      <c r="BQ342" s="663"/>
      <c r="BR342" s="663"/>
    </row>
    <row r="343" spans="1:70">
      <c r="A343" s="655" t="s">
        <v>566</v>
      </c>
      <c r="B343" s="655" t="s">
        <v>2285</v>
      </c>
      <c r="C343" s="648">
        <f>SETUP!$F$29</f>
        <v>0</v>
      </c>
      <c r="D343" s="654">
        <v>5.4</v>
      </c>
      <c r="E343" s="663" t="s">
        <v>205</v>
      </c>
      <c r="F343" s="663" t="s">
        <v>829</v>
      </c>
      <c r="G343" s="650" t="str">
        <f t="array" ref="G343">IFERROR(INDEX('HIV-Other HPs'!$L$49:$L$74,MATCH($E343&amp;$F343,'HIV-Other HPs'!$E$49:$E$74&amp;'HIV-Other HPs'!$I$49:$I$74,0)),"")</f>
        <v/>
      </c>
      <c r="H343" s="650" t="str">
        <f t="array" ref="H343">IFERROR(INDEX('HIV-Other HPs'!$M$49:$M$74,MATCH($E343&amp;$F343,'HIV-Other HPs'!$E$49:$E$74&amp;'HIV-Other HPs'!$I$49:$I$74,0)),"")</f>
        <v/>
      </c>
      <c r="I343" s="651">
        <f t="array" ref="I343">IFERROR(INDEX('HIV-Other HPs'!$N$49:$N$74,MATCH($E343&amp;$F343,'HIV-Other HPs'!$E$49:$E$74&amp;'HIV-Other HPs'!$I$49:$I$74,0)),0)</f>
        <v>0</v>
      </c>
      <c r="J343" s="651">
        <f t="array" ref="J343">IFERROR(INDEX('HIV-Other HPs'!$O$49:$O$74,MATCH($E343&amp;$F343,'HIV-Other HPs'!$E$49:$E$74&amp;'HIV-Other HPs'!$I$49:$I$74,0)),0)</f>
        <v>0</v>
      </c>
      <c r="K343" s="652">
        <f t="shared" si="252"/>
        <v>0</v>
      </c>
      <c r="L343" s="652">
        <f t="shared" si="253"/>
        <v>0</v>
      </c>
      <c r="M343" s="652">
        <f t="shared" si="254"/>
        <v>0</v>
      </c>
      <c r="N343" s="651">
        <f t="array" ref="N343">IFERROR(INDEX('HIV-Other HPs'!$P$49:$P$74,MATCH($E343&amp;$F343,'HIV-Other HPs'!$E$49:$E$74&amp;'HIV-Other HPs'!$I$49:$I$74,0)),0)</f>
        <v>0</v>
      </c>
      <c r="O343" s="652">
        <f t="shared" si="255"/>
        <v>0</v>
      </c>
      <c r="P343" s="652">
        <f t="shared" si="256"/>
        <v>0</v>
      </c>
      <c r="Q343" s="652">
        <f t="shared" si="257"/>
        <v>0</v>
      </c>
      <c r="R343" s="651">
        <f t="array" ref="R343">IFERROR(INDEX('HIV-Other HPs'!$Q$49:$Q$74,MATCH($E343&amp;$F343,'HIV-Other HPs'!$E$49:$E$74&amp;'HIV-Other HPs'!$I$49:$I$74,0)),0)</f>
        <v>0</v>
      </c>
      <c r="S343" s="652">
        <f t="shared" si="258"/>
        <v>0</v>
      </c>
      <c r="T343" s="652">
        <f t="shared" si="259"/>
        <v>0</v>
      </c>
      <c r="U343" s="652">
        <f t="shared" si="260"/>
        <v>0</v>
      </c>
      <c r="V343" s="651">
        <f t="array" ref="V343">IFERROR(INDEX('HIV-Other HPs'!$R$49:$R$74,MATCH($E343&amp;$F343,'HIV-Other HPs'!$E$49:$E$74&amp;'HIV-Other HPs'!$I$49:$I$74,0)),0)</f>
        <v>0</v>
      </c>
      <c r="W343" s="652">
        <f t="shared" si="261"/>
        <v>0</v>
      </c>
      <c r="X343" s="652">
        <f t="shared" si="262"/>
        <v>0</v>
      </c>
      <c r="Y343" s="652">
        <f t="shared" si="263"/>
        <v>0</v>
      </c>
      <c r="Z343" s="664"/>
      <c r="AA343" s="651">
        <f t="array" ref="AA343">IFERROR(INDEX('HIV-Other HPs'!$U$49:$U$74,MATCH($E343&amp;$F343,'HIV-Other HPs'!$E$49:$E$74&amp;'HIV-Other HPs'!$I$49:$I$74,0)),0)</f>
        <v>0</v>
      </c>
      <c r="AB343" s="651">
        <f t="array" ref="AB343">IFERROR(INDEX('HIV-Other HPs'!$V$49:$V$74,MATCH($E343&amp;$F343,'HIV-Other HPs'!$E$49:$E$74&amp;'HIV-Other HPs'!$I$49:$I$74,0)),0)</f>
        <v>0</v>
      </c>
      <c r="AC343" s="652">
        <f t="shared" si="264"/>
        <v>0</v>
      </c>
      <c r="AD343" s="652">
        <f t="shared" si="265"/>
        <v>0</v>
      </c>
      <c r="AE343" s="652">
        <f t="shared" si="266"/>
        <v>0</v>
      </c>
      <c r="AF343" s="651">
        <f t="array" ref="AF343">IFERROR(INDEX('HIV-Other HPs'!$W$49:$W$74,MATCH($E343&amp;$F343,'HIV-Other HPs'!$E$49:$E$74&amp;'HIV-Other HPs'!$I$49:$I$74,0)),0)</f>
        <v>0</v>
      </c>
      <c r="AG343" s="652">
        <f t="shared" si="267"/>
        <v>0</v>
      </c>
      <c r="AH343" s="652">
        <f t="shared" si="268"/>
        <v>0</v>
      </c>
      <c r="AI343" s="652">
        <f t="shared" si="269"/>
        <v>0</v>
      </c>
      <c r="AJ343" s="651">
        <f t="array" ref="AJ343">IFERROR(INDEX('HIV-Other HPs'!$X$49:$X$74,MATCH($E343&amp;$F343,'HIV-Other HPs'!$E$49:$E$74&amp;'HIV-Other HPs'!$I$49:$I$74,0)),0)</f>
        <v>0</v>
      </c>
      <c r="AK343" s="652">
        <f t="shared" si="270"/>
        <v>0</v>
      </c>
      <c r="AL343" s="652">
        <f t="shared" si="271"/>
        <v>0</v>
      </c>
      <c r="AM343" s="652">
        <f t="shared" si="272"/>
        <v>0</v>
      </c>
      <c r="AN343" s="651">
        <f t="array" ref="AN343">IFERROR(INDEX('HIV-Other HPs'!$Y$49:$Y$74,MATCH($E343&amp;$F343,'HIV-Other HPs'!$E$49:$E$74&amp;'HIV-Other HPs'!$I$49:$I$74,0)),0)</f>
        <v>0</v>
      </c>
      <c r="AO343" s="652">
        <f t="shared" si="273"/>
        <v>0</v>
      </c>
      <c r="AP343" s="652">
        <f t="shared" si="274"/>
        <v>0</v>
      </c>
      <c r="AQ343" s="652">
        <f t="shared" si="275"/>
        <v>0</v>
      </c>
      <c r="AR343" s="664"/>
      <c r="AS343" s="651">
        <f t="array" ref="AS343">IFERROR(INDEX('HIV-Other HPs'!$AB$49:$AB$74,MATCH($E343&amp;$F343,'HIV-Other HPs'!$E$49:$E$74&amp;'HIV-Other HPs'!$I$49:$I$74,0)),0)</f>
        <v>0</v>
      </c>
      <c r="AT343" s="651">
        <f t="array" ref="AT343">IFERROR(INDEX('HIV-Other HPs'!$AC$49:$AC$74,MATCH($E343&amp;$F343,'HIV-Other HPs'!$E$49:$E$74&amp;'HIV-Other HPs'!$I$49:$I$74,0)),0)</f>
        <v>0</v>
      </c>
      <c r="AU343" s="652">
        <f t="shared" si="276"/>
        <v>0</v>
      </c>
      <c r="AV343" s="652">
        <f t="shared" si="277"/>
        <v>0</v>
      </c>
      <c r="AW343" s="652">
        <f t="shared" si="278"/>
        <v>0</v>
      </c>
      <c r="AX343" s="651">
        <f t="array" ref="AX343">IFERROR(INDEX('HIV-Other HPs'!$AD$49:$AD$74,MATCH($E343&amp;$F343,'HIV-Other HPs'!$E$49:$E$74&amp;'HIV-Other HPs'!$I$49:$I$74,0)),0)</f>
        <v>0</v>
      </c>
      <c r="AY343" s="652">
        <f t="shared" si="279"/>
        <v>0</v>
      </c>
      <c r="AZ343" s="652">
        <f t="shared" si="280"/>
        <v>0</v>
      </c>
      <c r="BA343" s="652">
        <f t="shared" si="281"/>
        <v>0</v>
      </c>
      <c r="BB343" s="651">
        <f t="array" ref="BB343">IFERROR(INDEX('HIV-Other HPs'!$AE$49:$AE$74,MATCH($E343&amp;$F343,'HIV-Other HPs'!$E$49:$E$74&amp;'HIV-Other HPs'!$I$49:$I$74,0)),0)</f>
        <v>0</v>
      </c>
      <c r="BC343" s="652">
        <f t="shared" si="282"/>
        <v>0</v>
      </c>
      <c r="BD343" s="652">
        <f t="shared" si="283"/>
        <v>0</v>
      </c>
      <c r="BE343" s="652">
        <f t="shared" si="284"/>
        <v>0</v>
      </c>
      <c r="BF343" s="651">
        <f t="array" ref="BF343">IFERROR(INDEX('HIV-Other HPs'!$AF$49:$AF$74,MATCH($E343&amp;$F343,'HIV-Other HPs'!$E$49:$E$74&amp;'HIV-Other HPs'!$I$49:$I$74,0)),0)</f>
        <v>0</v>
      </c>
      <c r="BG343" s="652">
        <f t="shared" si="285"/>
        <v>0</v>
      </c>
      <c r="BH343" s="652">
        <f t="shared" si="286"/>
        <v>0</v>
      </c>
      <c r="BI343" s="652">
        <f t="shared" si="287"/>
        <v>0</v>
      </c>
      <c r="BJ343" s="662"/>
      <c r="BK343" s="663"/>
      <c r="BL343" s="663"/>
      <c r="BM343" s="663"/>
      <c r="BN343" s="663"/>
      <c r="BO343" s="663"/>
      <c r="BP343" s="663"/>
      <c r="BQ343" s="663"/>
      <c r="BR343" s="663"/>
    </row>
    <row r="344" spans="1:70">
      <c r="A344" s="655" t="s">
        <v>566</v>
      </c>
      <c r="B344" s="655" t="s">
        <v>2285</v>
      </c>
      <c r="C344" s="648">
        <f>SETUP!$F$29</f>
        <v>0</v>
      </c>
      <c r="D344" s="654">
        <v>5.4</v>
      </c>
      <c r="E344" s="663" t="s">
        <v>205</v>
      </c>
      <c r="F344" s="663" t="s">
        <v>1504</v>
      </c>
      <c r="G344" s="650" t="str">
        <f t="array" ref="G344">IFERROR(INDEX('HIV-Other HPs'!$L$49:$L$74,MATCH($E344&amp;$F344,'HIV-Other HPs'!$E$49:$E$74&amp;'HIV-Other HPs'!$I$49:$I$74,0)),"")</f>
        <v/>
      </c>
      <c r="H344" s="650" t="str">
        <f t="array" ref="H344">IFERROR(INDEX('HIV-Other HPs'!$M$49:$M$74,MATCH($E344&amp;$F344,'HIV-Other HPs'!$E$49:$E$74&amp;'HIV-Other HPs'!$I$49:$I$74,0)),"")</f>
        <v/>
      </c>
      <c r="I344" s="651">
        <f t="array" ref="I344">IFERROR(INDEX('HIV-Other HPs'!$N$49:$N$74,MATCH($E344&amp;$F344,'HIV-Other HPs'!$E$49:$E$74&amp;'HIV-Other HPs'!$I$49:$I$74,0)),0)</f>
        <v>0</v>
      </c>
      <c r="J344" s="651">
        <f t="array" ref="J344">IFERROR(INDEX('HIV-Other HPs'!$O$49:$O$74,MATCH($E344&amp;$F344,'HIV-Other HPs'!$E$49:$E$74&amp;'HIV-Other HPs'!$I$49:$I$74,0)),0)</f>
        <v>0</v>
      </c>
      <c r="K344" s="652">
        <f t="shared" si="252"/>
        <v>0</v>
      </c>
      <c r="L344" s="652">
        <f t="shared" si="253"/>
        <v>0</v>
      </c>
      <c r="M344" s="652">
        <f t="shared" si="254"/>
        <v>0</v>
      </c>
      <c r="N344" s="651">
        <f t="array" ref="N344">IFERROR(INDEX('HIV-Other HPs'!$P$49:$P$74,MATCH($E344&amp;$F344,'HIV-Other HPs'!$E$49:$E$74&amp;'HIV-Other HPs'!$I$49:$I$74,0)),0)</f>
        <v>0</v>
      </c>
      <c r="O344" s="652">
        <f t="shared" si="255"/>
        <v>0</v>
      </c>
      <c r="P344" s="652">
        <f t="shared" si="256"/>
        <v>0</v>
      </c>
      <c r="Q344" s="652">
        <f t="shared" si="257"/>
        <v>0</v>
      </c>
      <c r="R344" s="651">
        <f t="array" ref="R344">IFERROR(INDEX('HIV-Other HPs'!$Q$49:$Q$74,MATCH($E344&amp;$F344,'HIV-Other HPs'!$E$49:$E$74&amp;'HIV-Other HPs'!$I$49:$I$74,0)),0)</f>
        <v>0</v>
      </c>
      <c r="S344" s="652">
        <f t="shared" si="258"/>
        <v>0</v>
      </c>
      <c r="T344" s="652">
        <f t="shared" si="259"/>
        <v>0</v>
      </c>
      <c r="U344" s="652">
        <f t="shared" si="260"/>
        <v>0</v>
      </c>
      <c r="V344" s="651">
        <f t="array" ref="V344">IFERROR(INDEX('HIV-Other HPs'!$R$49:$R$74,MATCH($E344&amp;$F344,'HIV-Other HPs'!$E$49:$E$74&amp;'HIV-Other HPs'!$I$49:$I$74,0)),0)</f>
        <v>0</v>
      </c>
      <c r="W344" s="652">
        <f t="shared" si="261"/>
        <v>0</v>
      </c>
      <c r="X344" s="652">
        <f t="shared" si="262"/>
        <v>0</v>
      </c>
      <c r="Y344" s="652">
        <f t="shared" si="263"/>
        <v>0</v>
      </c>
      <c r="Z344" s="664"/>
      <c r="AA344" s="651">
        <f t="array" ref="AA344">IFERROR(INDEX('HIV-Other HPs'!$U$49:$U$74,MATCH($E344&amp;$F344,'HIV-Other HPs'!$E$49:$E$74&amp;'HIV-Other HPs'!$I$49:$I$74,0)),0)</f>
        <v>0</v>
      </c>
      <c r="AB344" s="651">
        <f t="array" ref="AB344">IFERROR(INDEX('HIV-Other HPs'!$V$49:$V$74,MATCH($E344&amp;$F344,'HIV-Other HPs'!$E$49:$E$74&amp;'HIV-Other HPs'!$I$49:$I$74,0)),0)</f>
        <v>0</v>
      </c>
      <c r="AC344" s="652">
        <f t="shared" si="264"/>
        <v>0</v>
      </c>
      <c r="AD344" s="652">
        <f t="shared" si="265"/>
        <v>0</v>
      </c>
      <c r="AE344" s="652">
        <f t="shared" si="266"/>
        <v>0</v>
      </c>
      <c r="AF344" s="651">
        <f t="array" ref="AF344">IFERROR(INDEX('HIV-Other HPs'!$W$49:$W$74,MATCH($E344&amp;$F344,'HIV-Other HPs'!$E$49:$E$74&amp;'HIV-Other HPs'!$I$49:$I$74,0)),0)</f>
        <v>0</v>
      </c>
      <c r="AG344" s="652">
        <f t="shared" si="267"/>
        <v>0</v>
      </c>
      <c r="AH344" s="652">
        <f t="shared" si="268"/>
        <v>0</v>
      </c>
      <c r="AI344" s="652">
        <f t="shared" si="269"/>
        <v>0</v>
      </c>
      <c r="AJ344" s="651">
        <f t="array" ref="AJ344">IFERROR(INDEX('HIV-Other HPs'!$X$49:$X$74,MATCH($E344&amp;$F344,'HIV-Other HPs'!$E$49:$E$74&amp;'HIV-Other HPs'!$I$49:$I$74,0)),0)</f>
        <v>0</v>
      </c>
      <c r="AK344" s="652">
        <f t="shared" si="270"/>
        <v>0</v>
      </c>
      <c r="AL344" s="652">
        <f t="shared" si="271"/>
        <v>0</v>
      </c>
      <c r="AM344" s="652">
        <f t="shared" si="272"/>
        <v>0</v>
      </c>
      <c r="AN344" s="651">
        <f t="array" ref="AN344">IFERROR(INDEX('HIV-Other HPs'!$Y$49:$Y$74,MATCH($E344&amp;$F344,'HIV-Other HPs'!$E$49:$E$74&amp;'HIV-Other HPs'!$I$49:$I$74,0)),0)</f>
        <v>0</v>
      </c>
      <c r="AO344" s="652">
        <f t="shared" si="273"/>
        <v>0</v>
      </c>
      <c r="AP344" s="652">
        <f t="shared" si="274"/>
        <v>0</v>
      </c>
      <c r="AQ344" s="652">
        <f t="shared" si="275"/>
        <v>0</v>
      </c>
      <c r="AR344" s="664"/>
      <c r="AS344" s="651">
        <f t="array" ref="AS344">IFERROR(INDEX('HIV-Other HPs'!$AB$49:$AB$74,MATCH($E344&amp;$F344,'HIV-Other HPs'!$E$49:$E$74&amp;'HIV-Other HPs'!$I$49:$I$74,0)),0)</f>
        <v>0</v>
      </c>
      <c r="AT344" s="651">
        <f t="array" ref="AT344">IFERROR(INDEX('HIV-Other HPs'!$AC$49:$AC$74,MATCH($E344&amp;$F344,'HIV-Other HPs'!$E$49:$E$74&amp;'HIV-Other HPs'!$I$49:$I$74,0)),0)</f>
        <v>0</v>
      </c>
      <c r="AU344" s="652">
        <f t="shared" si="276"/>
        <v>0</v>
      </c>
      <c r="AV344" s="652">
        <f t="shared" si="277"/>
        <v>0</v>
      </c>
      <c r="AW344" s="652">
        <f t="shared" si="278"/>
        <v>0</v>
      </c>
      <c r="AX344" s="651">
        <f t="array" ref="AX344">IFERROR(INDEX('HIV-Other HPs'!$AD$49:$AD$74,MATCH($E344&amp;$F344,'HIV-Other HPs'!$E$49:$E$74&amp;'HIV-Other HPs'!$I$49:$I$74,0)),0)</f>
        <v>0</v>
      </c>
      <c r="AY344" s="652">
        <f t="shared" si="279"/>
        <v>0</v>
      </c>
      <c r="AZ344" s="652">
        <f t="shared" si="280"/>
        <v>0</v>
      </c>
      <c r="BA344" s="652">
        <f t="shared" si="281"/>
        <v>0</v>
      </c>
      <c r="BB344" s="651">
        <f t="array" ref="BB344">IFERROR(INDEX('HIV-Other HPs'!$AE$49:$AE$74,MATCH($E344&amp;$F344,'HIV-Other HPs'!$E$49:$E$74&amp;'HIV-Other HPs'!$I$49:$I$74,0)),0)</f>
        <v>0</v>
      </c>
      <c r="BC344" s="652">
        <f t="shared" si="282"/>
        <v>0</v>
      </c>
      <c r="BD344" s="652">
        <f t="shared" si="283"/>
        <v>0</v>
      </c>
      <c r="BE344" s="652">
        <f t="shared" si="284"/>
        <v>0</v>
      </c>
      <c r="BF344" s="651">
        <f t="array" ref="BF344">IFERROR(INDEX('HIV-Other HPs'!$AF$49:$AF$74,MATCH($E344&amp;$F344,'HIV-Other HPs'!$E$49:$E$74&amp;'HIV-Other HPs'!$I$49:$I$74,0)),0)</f>
        <v>0</v>
      </c>
      <c r="BG344" s="652">
        <f t="shared" si="285"/>
        <v>0</v>
      </c>
      <c r="BH344" s="652">
        <f t="shared" si="286"/>
        <v>0</v>
      </c>
      <c r="BI344" s="652">
        <f t="shared" si="287"/>
        <v>0</v>
      </c>
      <c r="BJ344" s="662"/>
      <c r="BK344" s="663"/>
      <c r="BL344" s="663"/>
      <c r="BM344" s="663"/>
      <c r="BN344" s="663"/>
      <c r="BO344" s="663"/>
      <c r="BP344" s="663"/>
      <c r="BQ344" s="663"/>
      <c r="BR344" s="663"/>
    </row>
    <row r="345" spans="1:70">
      <c r="A345" s="655" t="s">
        <v>566</v>
      </c>
      <c r="B345" s="655" t="s">
        <v>2285</v>
      </c>
      <c r="C345" s="648">
        <f>SETUP!$F$29</f>
        <v>0</v>
      </c>
      <c r="D345" s="654">
        <v>5.4</v>
      </c>
      <c r="E345" s="663" t="s">
        <v>205</v>
      </c>
      <c r="F345" s="663" t="s">
        <v>1519</v>
      </c>
      <c r="G345" s="650" t="str">
        <f t="array" ref="G345">IFERROR(INDEX('HIV-Other HPs'!$L$49:$L$74,MATCH($E345&amp;$F345,'HIV-Other HPs'!$E$49:$E$74&amp;'HIV-Other HPs'!$I$49:$I$74,0)),"")</f>
        <v/>
      </c>
      <c r="H345" s="650" t="str">
        <f t="array" ref="H345">IFERROR(INDEX('HIV-Other HPs'!$M$49:$M$74,MATCH($E345&amp;$F345,'HIV-Other HPs'!$E$49:$E$74&amp;'HIV-Other HPs'!$I$49:$I$74,0)),"")</f>
        <v/>
      </c>
      <c r="I345" s="651">
        <f t="array" ref="I345">IFERROR(INDEX('HIV-Other HPs'!$N$49:$N$74,MATCH($E345&amp;$F345,'HIV-Other HPs'!$E$49:$E$74&amp;'HIV-Other HPs'!$I$49:$I$74,0)),0)</f>
        <v>0</v>
      </c>
      <c r="J345" s="651">
        <f t="array" ref="J345">IFERROR(INDEX('HIV-Other HPs'!$O$49:$O$74,MATCH($E345&amp;$F345,'HIV-Other HPs'!$E$49:$E$74&amp;'HIV-Other HPs'!$I$49:$I$74,0)),0)</f>
        <v>0</v>
      </c>
      <c r="K345" s="652">
        <f t="shared" si="252"/>
        <v>0</v>
      </c>
      <c r="L345" s="652">
        <f t="shared" si="253"/>
        <v>0</v>
      </c>
      <c r="M345" s="652">
        <f t="shared" si="254"/>
        <v>0</v>
      </c>
      <c r="N345" s="651">
        <f t="array" ref="N345">IFERROR(INDEX('HIV-Other HPs'!$P$49:$P$74,MATCH($E345&amp;$F345,'HIV-Other HPs'!$E$49:$E$74&amp;'HIV-Other HPs'!$I$49:$I$74,0)),0)</f>
        <v>0</v>
      </c>
      <c r="O345" s="652">
        <f t="shared" si="255"/>
        <v>0</v>
      </c>
      <c r="P345" s="652">
        <f t="shared" si="256"/>
        <v>0</v>
      </c>
      <c r="Q345" s="652">
        <f t="shared" si="257"/>
        <v>0</v>
      </c>
      <c r="R345" s="651">
        <f t="array" ref="R345">IFERROR(INDEX('HIV-Other HPs'!$Q$49:$Q$74,MATCH($E345&amp;$F345,'HIV-Other HPs'!$E$49:$E$74&amp;'HIV-Other HPs'!$I$49:$I$74,0)),0)</f>
        <v>0</v>
      </c>
      <c r="S345" s="652">
        <f t="shared" si="258"/>
        <v>0</v>
      </c>
      <c r="T345" s="652">
        <f t="shared" si="259"/>
        <v>0</v>
      </c>
      <c r="U345" s="652">
        <f t="shared" si="260"/>
        <v>0</v>
      </c>
      <c r="V345" s="651">
        <f t="array" ref="V345">IFERROR(INDEX('HIV-Other HPs'!$R$49:$R$74,MATCH($E345&amp;$F345,'HIV-Other HPs'!$E$49:$E$74&amp;'HIV-Other HPs'!$I$49:$I$74,0)),0)</f>
        <v>0</v>
      </c>
      <c r="W345" s="652">
        <f t="shared" si="261"/>
        <v>0</v>
      </c>
      <c r="X345" s="652">
        <f t="shared" si="262"/>
        <v>0</v>
      </c>
      <c r="Y345" s="652">
        <f t="shared" si="263"/>
        <v>0</v>
      </c>
      <c r="Z345" s="664"/>
      <c r="AA345" s="651">
        <f t="array" ref="AA345">IFERROR(INDEX('HIV-Other HPs'!$U$49:$U$74,MATCH($E345&amp;$F345,'HIV-Other HPs'!$E$49:$E$74&amp;'HIV-Other HPs'!$I$49:$I$74,0)),0)</f>
        <v>0</v>
      </c>
      <c r="AB345" s="651">
        <f t="array" ref="AB345">IFERROR(INDEX('HIV-Other HPs'!$V$49:$V$74,MATCH($E345&amp;$F345,'HIV-Other HPs'!$E$49:$E$74&amp;'HIV-Other HPs'!$I$49:$I$74,0)),0)</f>
        <v>0</v>
      </c>
      <c r="AC345" s="652">
        <f t="shared" si="264"/>
        <v>0</v>
      </c>
      <c r="AD345" s="652">
        <f t="shared" si="265"/>
        <v>0</v>
      </c>
      <c r="AE345" s="652">
        <f t="shared" si="266"/>
        <v>0</v>
      </c>
      <c r="AF345" s="651">
        <f t="array" ref="AF345">IFERROR(INDEX('HIV-Other HPs'!$W$49:$W$74,MATCH($E345&amp;$F345,'HIV-Other HPs'!$E$49:$E$74&amp;'HIV-Other HPs'!$I$49:$I$74,0)),0)</f>
        <v>0</v>
      </c>
      <c r="AG345" s="652">
        <f t="shared" si="267"/>
        <v>0</v>
      </c>
      <c r="AH345" s="652">
        <f t="shared" si="268"/>
        <v>0</v>
      </c>
      <c r="AI345" s="652">
        <f t="shared" si="269"/>
        <v>0</v>
      </c>
      <c r="AJ345" s="651">
        <f t="array" ref="AJ345">IFERROR(INDEX('HIV-Other HPs'!$X$49:$X$74,MATCH($E345&amp;$F345,'HIV-Other HPs'!$E$49:$E$74&amp;'HIV-Other HPs'!$I$49:$I$74,0)),0)</f>
        <v>0</v>
      </c>
      <c r="AK345" s="652">
        <f t="shared" si="270"/>
        <v>0</v>
      </c>
      <c r="AL345" s="652">
        <f t="shared" si="271"/>
        <v>0</v>
      </c>
      <c r="AM345" s="652">
        <f t="shared" si="272"/>
        <v>0</v>
      </c>
      <c r="AN345" s="651">
        <f t="array" ref="AN345">IFERROR(INDEX('HIV-Other HPs'!$Y$49:$Y$74,MATCH($E345&amp;$F345,'HIV-Other HPs'!$E$49:$E$74&amp;'HIV-Other HPs'!$I$49:$I$74,0)),0)</f>
        <v>0</v>
      </c>
      <c r="AO345" s="652">
        <f t="shared" si="273"/>
        <v>0</v>
      </c>
      <c r="AP345" s="652">
        <f t="shared" si="274"/>
        <v>0</v>
      </c>
      <c r="AQ345" s="652">
        <f t="shared" si="275"/>
        <v>0</v>
      </c>
      <c r="AR345" s="664"/>
      <c r="AS345" s="651">
        <f t="array" ref="AS345">IFERROR(INDEX('HIV-Other HPs'!$AB$49:$AB$74,MATCH($E345&amp;$F345,'HIV-Other HPs'!$E$49:$E$74&amp;'HIV-Other HPs'!$I$49:$I$74,0)),0)</f>
        <v>0</v>
      </c>
      <c r="AT345" s="651">
        <f t="array" ref="AT345">IFERROR(INDEX('HIV-Other HPs'!$AC$49:$AC$74,MATCH($E345&amp;$F345,'HIV-Other HPs'!$E$49:$E$74&amp;'HIV-Other HPs'!$I$49:$I$74,0)),0)</f>
        <v>0</v>
      </c>
      <c r="AU345" s="652">
        <f t="shared" si="276"/>
        <v>0</v>
      </c>
      <c r="AV345" s="652">
        <f t="shared" si="277"/>
        <v>0</v>
      </c>
      <c r="AW345" s="652">
        <f t="shared" si="278"/>
        <v>0</v>
      </c>
      <c r="AX345" s="651">
        <f t="array" ref="AX345">IFERROR(INDEX('HIV-Other HPs'!$AD$49:$AD$74,MATCH($E345&amp;$F345,'HIV-Other HPs'!$E$49:$E$74&amp;'HIV-Other HPs'!$I$49:$I$74,0)),0)</f>
        <v>0</v>
      </c>
      <c r="AY345" s="652">
        <f t="shared" si="279"/>
        <v>0</v>
      </c>
      <c r="AZ345" s="652">
        <f t="shared" si="280"/>
        <v>0</v>
      </c>
      <c r="BA345" s="652">
        <f t="shared" si="281"/>
        <v>0</v>
      </c>
      <c r="BB345" s="651">
        <f t="array" ref="BB345">IFERROR(INDEX('HIV-Other HPs'!$AE$49:$AE$74,MATCH($E345&amp;$F345,'HIV-Other HPs'!$E$49:$E$74&amp;'HIV-Other HPs'!$I$49:$I$74,0)),0)</f>
        <v>0</v>
      </c>
      <c r="BC345" s="652">
        <f t="shared" si="282"/>
        <v>0</v>
      </c>
      <c r="BD345" s="652">
        <f t="shared" si="283"/>
        <v>0</v>
      </c>
      <c r="BE345" s="652">
        <f t="shared" si="284"/>
        <v>0</v>
      </c>
      <c r="BF345" s="651">
        <f t="array" ref="BF345">IFERROR(INDEX('HIV-Other HPs'!$AF$49:$AF$74,MATCH($E345&amp;$F345,'HIV-Other HPs'!$E$49:$E$74&amp;'HIV-Other HPs'!$I$49:$I$74,0)),0)</f>
        <v>0</v>
      </c>
      <c r="BG345" s="652">
        <f t="shared" si="285"/>
        <v>0</v>
      </c>
      <c r="BH345" s="652">
        <f t="shared" si="286"/>
        <v>0</v>
      </c>
      <c r="BI345" s="652">
        <f t="shared" si="287"/>
        <v>0</v>
      </c>
      <c r="BJ345" s="662"/>
      <c r="BK345" s="663"/>
      <c r="BL345" s="663"/>
      <c r="BM345" s="663"/>
      <c r="BN345" s="663"/>
      <c r="BO345" s="663"/>
      <c r="BP345" s="663"/>
      <c r="BQ345" s="663"/>
      <c r="BR345" s="663"/>
    </row>
    <row r="346" spans="1:70">
      <c r="A346" s="655" t="s">
        <v>566</v>
      </c>
      <c r="B346" s="655" t="s">
        <v>2285</v>
      </c>
      <c r="C346" s="648">
        <f>SETUP!$F$29</f>
        <v>0</v>
      </c>
      <c r="D346" s="654">
        <v>5.4</v>
      </c>
      <c r="E346" s="663" t="s">
        <v>205</v>
      </c>
      <c r="F346" s="663" t="s">
        <v>1520</v>
      </c>
      <c r="G346" s="650" t="str">
        <f t="array" ref="G346">IFERROR(INDEX('HIV-Other HPs'!$L$49:$L$74,MATCH($E346&amp;$F346,'HIV-Other HPs'!$E$49:$E$74&amp;'HIV-Other HPs'!$I$49:$I$74,0)),"")</f>
        <v/>
      </c>
      <c r="H346" s="650" t="str">
        <f t="array" ref="H346">IFERROR(INDEX('HIV-Other HPs'!$M$49:$M$74,MATCH($E346&amp;$F346,'HIV-Other HPs'!$E$49:$E$74&amp;'HIV-Other HPs'!$I$49:$I$74,0)),"")</f>
        <v/>
      </c>
      <c r="I346" s="651">
        <f t="array" ref="I346">IFERROR(INDEX('HIV-Other HPs'!$N$49:$N$74,MATCH($E346&amp;$F346,'HIV-Other HPs'!$E$49:$E$74&amp;'HIV-Other HPs'!$I$49:$I$74,0)),0)</f>
        <v>0</v>
      </c>
      <c r="J346" s="651">
        <f t="array" ref="J346">IFERROR(INDEX('HIV-Other HPs'!$O$49:$O$74,MATCH($E346&amp;$F346,'HIV-Other HPs'!$E$49:$E$74&amp;'HIV-Other HPs'!$I$49:$I$74,0)),0)</f>
        <v>0</v>
      </c>
      <c r="K346" s="652">
        <f t="shared" si="252"/>
        <v>0</v>
      </c>
      <c r="L346" s="652">
        <f t="shared" si="253"/>
        <v>0</v>
      </c>
      <c r="M346" s="652">
        <f t="shared" si="254"/>
        <v>0</v>
      </c>
      <c r="N346" s="651">
        <f t="array" ref="N346">IFERROR(INDEX('HIV-Other HPs'!$P$49:$P$74,MATCH($E346&amp;$F346,'HIV-Other HPs'!$E$49:$E$74&amp;'HIV-Other HPs'!$I$49:$I$74,0)),0)</f>
        <v>0</v>
      </c>
      <c r="O346" s="652">
        <f t="shared" si="255"/>
        <v>0</v>
      </c>
      <c r="P346" s="652">
        <f t="shared" si="256"/>
        <v>0</v>
      </c>
      <c r="Q346" s="652">
        <f t="shared" si="257"/>
        <v>0</v>
      </c>
      <c r="R346" s="651">
        <f t="array" ref="R346">IFERROR(INDEX('HIV-Other HPs'!$Q$49:$Q$74,MATCH($E346&amp;$F346,'HIV-Other HPs'!$E$49:$E$74&amp;'HIV-Other HPs'!$I$49:$I$74,0)),0)</f>
        <v>0</v>
      </c>
      <c r="S346" s="652">
        <f t="shared" si="258"/>
        <v>0</v>
      </c>
      <c r="T346" s="652">
        <f t="shared" si="259"/>
        <v>0</v>
      </c>
      <c r="U346" s="652">
        <f t="shared" si="260"/>
        <v>0</v>
      </c>
      <c r="V346" s="651">
        <f t="array" ref="V346">IFERROR(INDEX('HIV-Other HPs'!$R$49:$R$74,MATCH($E346&amp;$F346,'HIV-Other HPs'!$E$49:$E$74&amp;'HIV-Other HPs'!$I$49:$I$74,0)),0)</f>
        <v>0</v>
      </c>
      <c r="W346" s="652">
        <f t="shared" si="261"/>
        <v>0</v>
      </c>
      <c r="X346" s="652">
        <f t="shared" si="262"/>
        <v>0</v>
      </c>
      <c r="Y346" s="652">
        <f t="shared" si="263"/>
        <v>0</v>
      </c>
      <c r="Z346" s="664"/>
      <c r="AA346" s="651">
        <f t="array" ref="AA346">IFERROR(INDEX('HIV-Other HPs'!$U$49:$U$74,MATCH($E346&amp;$F346,'HIV-Other HPs'!$E$49:$E$74&amp;'HIV-Other HPs'!$I$49:$I$74,0)),0)</f>
        <v>0</v>
      </c>
      <c r="AB346" s="651">
        <f t="array" ref="AB346">IFERROR(INDEX('HIV-Other HPs'!$V$49:$V$74,MATCH($E346&amp;$F346,'HIV-Other HPs'!$E$49:$E$74&amp;'HIV-Other HPs'!$I$49:$I$74,0)),0)</f>
        <v>0</v>
      </c>
      <c r="AC346" s="652">
        <f t="shared" si="264"/>
        <v>0</v>
      </c>
      <c r="AD346" s="652">
        <f t="shared" si="265"/>
        <v>0</v>
      </c>
      <c r="AE346" s="652">
        <f t="shared" si="266"/>
        <v>0</v>
      </c>
      <c r="AF346" s="651">
        <f t="array" ref="AF346">IFERROR(INDEX('HIV-Other HPs'!$W$49:$W$74,MATCH($E346&amp;$F346,'HIV-Other HPs'!$E$49:$E$74&amp;'HIV-Other HPs'!$I$49:$I$74,0)),0)</f>
        <v>0</v>
      </c>
      <c r="AG346" s="652">
        <f t="shared" si="267"/>
        <v>0</v>
      </c>
      <c r="AH346" s="652">
        <f t="shared" si="268"/>
        <v>0</v>
      </c>
      <c r="AI346" s="652">
        <f t="shared" si="269"/>
        <v>0</v>
      </c>
      <c r="AJ346" s="651">
        <f t="array" ref="AJ346">IFERROR(INDEX('HIV-Other HPs'!$X$49:$X$74,MATCH($E346&amp;$F346,'HIV-Other HPs'!$E$49:$E$74&amp;'HIV-Other HPs'!$I$49:$I$74,0)),0)</f>
        <v>0</v>
      </c>
      <c r="AK346" s="652">
        <f t="shared" si="270"/>
        <v>0</v>
      </c>
      <c r="AL346" s="652">
        <f t="shared" si="271"/>
        <v>0</v>
      </c>
      <c r="AM346" s="652">
        <f t="shared" si="272"/>
        <v>0</v>
      </c>
      <c r="AN346" s="651">
        <f t="array" ref="AN346">IFERROR(INDEX('HIV-Other HPs'!$Y$49:$Y$74,MATCH($E346&amp;$F346,'HIV-Other HPs'!$E$49:$E$74&amp;'HIV-Other HPs'!$I$49:$I$74,0)),0)</f>
        <v>0</v>
      </c>
      <c r="AO346" s="652">
        <f t="shared" si="273"/>
        <v>0</v>
      </c>
      <c r="AP346" s="652">
        <f t="shared" si="274"/>
        <v>0</v>
      </c>
      <c r="AQ346" s="652">
        <f t="shared" si="275"/>
        <v>0</v>
      </c>
      <c r="AR346" s="664"/>
      <c r="AS346" s="651">
        <f t="array" ref="AS346">IFERROR(INDEX('HIV-Other HPs'!$AB$49:$AB$74,MATCH($E346&amp;$F346,'HIV-Other HPs'!$E$49:$E$74&amp;'HIV-Other HPs'!$I$49:$I$74,0)),0)</f>
        <v>0</v>
      </c>
      <c r="AT346" s="651">
        <f t="array" ref="AT346">IFERROR(INDEX('HIV-Other HPs'!$AC$49:$AC$74,MATCH($E346&amp;$F346,'HIV-Other HPs'!$E$49:$E$74&amp;'HIV-Other HPs'!$I$49:$I$74,0)),0)</f>
        <v>0</v>
      </c>
      <c r="AU346" s="652">
        <f t="shared" si="276"/>
        <v>0</v>
      </c>
      <c r="AV346" s="652">
        <f t="shared" si="277"/>
        <v>0</v>
      </c>
      <c r="AW346" s="652">
        <f t="shared" si="278"/>
        <v>0</v>
      </c>
      <c r="AX346" s="651">
        <f t="array" ref="AX346">IFERROR(INDEX('HIV-Other HPs'!$AD$49:$AD$74,MATCH($E346&amp;$F346,'HIV-Other HPs'!$E$49:$E$74&amp;'HIV-Other HPs'!$I$49:$I$74,0)),0)</f>
        <v>0</v>
      </c>
      <c r="AY346" s="652">
        <f t="shared" si="279"/>
        <v>0</v>
      </c>
      <c r="AZ346" s="652">
        <f t="shared" si="280"/>
        <v>0</v>
      </c>
      <c r="BA346" s="652">
        <f t="shared" si="281"/>
        <v>0</v>
      </c>
      <c r="BB346" s="651">
        <f t="array" ref="BB346">IFERROR(INDEX('HIV-Other HPs'!$AE$49:$AE$74,MATCH($E346&amp;$F346,'HIV-Other HPs'!$E$49:$E$74&amp;'HIV-Other HPs'!$I$49:$I$74,0)),0)</f>
        <v>0</v>
      </c>
      <c r="BC346" s="652">
        <f t="shared" si="282"/>
        <v>0</v>
      </c>
      <c r="BD346" s="652">
        <f t="shared" si="283"/>
        <v>0</v>
      </c>
      <c r="BE346" s="652">
        <f t="shared" si="284"/>
        <v>0</v>
      </c>
      <c r="BF346" s="651">
        <f t="array" ref="BF346">IFERROR(INDEX('HIV-Other HPs'!$AF$49:$AF$74,MATCH($E346&amp;$F346,'HIV-Other HPs'!$E$49:$E$74&amp;'HIV-Other HPs'!$I$49:$I$74,0)),0)</f>
        <v>0</v>
      </c>
      <c r="BG346" s="652">
        <f t="shared" si="285"/>
        <v>0</v>
      </c>
      <c r="BH346" s="652">
        <f t="shared" si="286"/>
        <v>0</v>
      </c>
      <c r="BI346" s="652">
        <f t="shared" si="287"/>
        <v>0</v>
      </c>
      <c r="BJ346" s="662"/>
      <c r="BK346" s="663"/>
      <c r="BL346" s="663"/>
      <c r="BM346" s="663"/>
      <c r="BN346" s="663"/>
      <c r="BO346" s="663"/>
      <c r="BP346" s="663"/>
      <c r="BQ346" s="663"/>
      <c r="BR346" s="663"/>
    </row>
    <row r="347" spans="1:70">
      <c r="A347" s="655" t="s">
        <v>566</v>
      </c>
      <c r="B347" s="655" t="s">
        <v>2285</v>
      </c>
      <c r="C347" s="648">
        <f>SETUP!$F$29</f>
        <v>0</v>
      </c>
      <c r="D347" s="654">
        <v>5.4</v>
      </c>
      <c r="E347" s="663" t="s">
        <v>205</v>
      </c>
      <c r="F347" s="663" t="s">
        <v>1505</v>
      </c>
      <c r="G347" s="650" t="str">
        <f t="array" ref="G347">IFERROR(INDEX('HIV-Other HPs'!$L$49:$L$74,MATCH($E347&amp;$F347,'HIV-Other HPs'!$E$49:$E$74&amp;'HIV-Other HPs'!$I$49:$I$74,0)),"")</f>
        <v/>
      </c>
      <c r="H347" s="650" t="str">
        <f t="array" ref="H347">IFERROR(INDEX('HIV-Other HPs'!$M$49:$M$74,MATCH($E347&amp;$F347,'HIV-Other HPs'!$E$49:$E$74&amp;'HIV-Other HPs'!$I$49:$I$74,0)),"")</f>
        <v/>
      </c>
      <c r="I347" s="651">
        <f t="array" ref="I347">IFERROR(INDEX('HIV-Other HPs'!$N$49:$N$74,MATCH($E347&amp;$F347,'HIV-Other HPs'!$E$49:$E$74&amp;'HIV-Other HPs'!$I$49:$I$74,0)),0)</f>
        <v>0</v>
      </c>
      <c r="J347" s="651">
        <f t="array" ref="J347">IFERROR(INDEX('HIV-Other HPs'!$O$49:$O$74,MATCH($E347&amp;$F347,'HIV-Other HPs'!$E$49:$E$74&amp;'HIV-Other HPs'!$I$49:$I$74,0)),0)</f>
        <v>0</v>
      </c>
      <c r="K347" s="652">
        <f t="shared" si="252"/>
        <v>0</v>
      </c>
      <c r="L347" s="652">
        <f t="shared" si="253"/>
        <v>0</v>
      </c>
      <c r="M347" s="652">
        <f t="shared" si="254"/>
        <v>0</v>
      </c>
      <c r="N347" s="651">
        <f t="array" ref="N347">IFERROR(INDEX('HIV-Other HPs'!$P$49:$P$74,MATCH($E347&amp;$F347,'HIV-Other HPs'!$E$49:$E$74&amp;'HIV-Other HPs'!$I$49:$I$74,0)),0)</f>
        <v>0</v>
      </c>
      <c r="O347" s="652">
        <f t="shared" si="255"/>
        <v>0</v>
      </c>
      <c r="P347" s="652">
        <f t="shared" si="256"/>
        <v>0</v>
      </c>
      <c r="Q347" s="652">
        <f t="shared" si="257"/>
        <v>0</v>
      </c>
      <c r="R347" s="651">
        <f t="array" ref="R347">IFERROR(INDEX('HIV-Other HPs'!$Q$49:$Q$74,MATCH($E347&amp;$F347,'HIV-Other HPs'!$E$49:$E$74&amp;'HIV-Other HPs'!$I$49:$I$74,0)),0)</f>
        <v>0</v>
      </c>
      <c r="S347" s="652">
        <f t="shared" si="258"/>
        <v>0</v>
      </c>
      <c r="T347" s="652">
        <f t="shared" si="259"/>
        <v>0</v>
      </c>
      <c r="U347" s="652">
        <f t="shared" si="260"/>
        <v>0</v>
      </c>
      <c r="V347" s="651">
        <f t="array" ref="V347">IFERROR(INDEX('HIV-Other HPs'!$R$49:$R$74,MATCH($E347&amp;$F347,'HIV-Other HPs'!$E$49:$E$74&amp;'HIV-Other HPs'!$I$49:$I$74,0)),0)</f>
        <v>0</v>
      </c>
      <c r="W347" s="652">
        <f t="shared" si="261"/>
        <v>0</v>
      </c>
      <c r="X347" s="652">
        <f t="shared" si="262"/>
        <v>0</v>
      </c>
      <c r="Y347" s="652">
        <f t="shared" si="263"/>
        <v>0</v>
      </c>
      <c r="Z347" s="664"/>
      <c r="AA347" s="651">
        <f t="array" ref="AA347">IFERROR(INDEX('HIV-Other HPs'!$U$49:$U$74,MATCH($E347&amp;$F347,'HIV-Other HPs'!$E$49:$E$74&amp;'HIV-Other HPs'!$I$49:$I$74,0)),0)</f>
        <v>0</v>
      </c>
      <c r="AB347" s="651">
        <f t="array" ref="AB347">IFERROR(INDEX('HIV-Other HPs'!$V$49:$V$74,MATCH($E347&amp;$F347,'HIV-Other HPs'!$E$49:$E$74&amp;'HIV-Other HPs'!$I$49:$I$74,0)),0)</f>
        <v>0</v>
      </c>
      <c r="AC347" s="652">
        <f t="shared" si="264"/>
        <v>0</v>
      </c>
      <c r="AD347" s="652">
        <f t="shared" si="265"/>
        <v>0</v>
      </c>
      <c r="AE347" s="652">
        <f t="shared" si="266"/>
        <v>0</v>
      </c>
      <c r="AF347" s="651">
        <f t="array" ref="AF347">IFERROR(INDEX('HIV-Other HPs'!$W$49:$W$74,MATCH($E347&amp;$F347,'HIV-Other HPs'!$E$49:$E$74&amp;'HIV-Other HPs'!$I$49:$I$74,0)),0)</f>
        <v>0</v>
      </c>
      <c r="AG347" s="652">
        <f t="shared" si="267"/>
        <v>0</v>
      </c>
      <c r="AH347" s="652">
        <f t="shared" si="268"/>
        <v>0</v>
      </c>
      <c r="AI347" s="652">
        <f t="shared" si="269"/>
        <v>0</v>
      </c>
      <c r="AJ347" s="651">
        <f t="array" ref="AJ347">IFERROR(INDEX('HIV-Other HPs'!$X$49:$X$74,MATCH($E347&amp;$F347,'HIV-Other HPs'!$E$49:$E$74&amp;'HIV-Other HPs'!$I$49:$I$74,0)),0)</f>
        <v>0</v>
      </c>
      <c r="AK347" s="652">
        <f t="shared" si="270"/>
        <v>0</v>
      </c>
      <c r="AL347" s="652">
        <f t="shared" si="271"/>
        <v>0</v>
      </c>
      <c r="AM347" s="652">
        <f t="shared" si="272"/>
        <v>0</v>
      </c>
      <c r="AN347" s="651">
        <f t="array" ref="AN347">IFERROR(INDEX('HIV-Other HPs'!$Y$49:$Y$74,MATCH($E347&amp;$F347,'HIV-Other HPs'!$E$49:$E$74&amp;'HIV-Other HPs'!$I$49:$I$74,0)),0)</f>
        <v>0</v>
      </c>
      <c r="AO347" s="652">
        <f t="shared" si="273"/>
        <v>0</v>
      </c>
      <c r="AP347" s="652">
        <f t="shared" si="274"/>
        <v>0</v>
      </c>
      <c r="AQ347" s="652">
        <f t="shared" si="275"/>
        <v>0</v>
      </c>
      <c r="AR347" s="664"/>
      <c r="AS347" s="651">
        <f t="array" ref="AS347">IFERROR(INDEX('HIV-Other HPs'!$AB$49:$AB$74,MATCH($E347&amp;$F347,'HIV-Other HPs'!$E$49:$E$74&amp;'HIV-Other HPs'!$I$49:$I$74,0)),0)</f>
        <v>0</v>
      </c>
      <c r="AT347" s="651">
        <f t="array" ref="AT347">IFERROR(INDEX('HIV-Other HPs'!$AC$49:$AC$74,MATCH($E347&amp;$F347,'HIV-Other HPs'!$E$49:$E$74&amp;'HIV-Other HPs'!$I$49:$I$74,0)),0)</f>
        <v>0</v>
      </c>
      <c r="AU347" s="652">
        <f t="shared" si="276"/>
        <v>0</v>
      </c>
      <c r="AV347" s="652">
        <f t="shared" si="277"/>
        <v>0</v>
      </c>
      <c r="AW347" s="652">
        <f t="shared" si="278"/>
        <v>0</v>
      </c>
      <c r="AX347" s="651">
        <f t="array" ref="AX347">IFERROR(INDEX('HIV-Other HPs'!$AD$49:$AD$74,MATCH($E347&amp;$F347,'HIV-Other HPs'!$E$49:$E$74&amp;'HIV-Other HPs'!$I$49:$I$74,0)),0)</f>
        <v>0</v>
      </c>
      <c r="AY347" s="652">
        <f t="shared" si="279"/>
        <v>0</v>
      </c>
      <c r="AZ347" s="652">
        <f t="shared" si="280"/>
        <v>0</v>
      </c>
      <c r="BA347" s="652">
        <f t="shared" si="281"/>
        <v>0</v>
      </c>
      <c r="BB347" s="651">
        <f t="array" ref="BB347">IFERROR(INDEX('HIV-Other HPs'!$AE$49:$AE$74,MATCH($E347&amp;$F347,'HIV-Other HPs'!$E$49:$E$74&amp;'HIV-Other HPs'!$I$49:$I$74,0)),0)</f>
        <v>0</v>
      </c>
      <c r="BC347" s="652">
        <f t="shared" si="282"/>
        <v>0</v>
      </c>
      <c r="BD347" s="652">
        <f t="shared" si="283"/>
        <v>0</v>
      </c>
      <c r="BE347" s="652">
        <f t="shared" si="284"/>
        <v>0</v>
      </c>
      <c r="BF347" s="651">
        <f t="array" ref="BF347">IFERROR(INDEX('HIV-Other HPs'!$AF$49:$AF$74,MATCH($E347&amp;$F347,'HIV-Other HPs'!$E$49:$E$74&amp;'HIV-Other HPs'!$I$49:$I$74,0)),0)</f>
        <v>0</v>
      </c>
      <c r="BG347" s="652">
        <f t="shared" si="285"/>
        <v>0</v>
      </c>
      <c r="BH347" s="652">
        <f t="shared" si="286"/>
        <v>0</v>
      </c>
      <c r="BI347" s="652">
        <f t="shared" si="287"/>
        <v>0</v>
      </c>
      <c r="BJ347" s="662"/>
      <c r="BK347" s="663"/>
      <c r="BL347" s="663"/>
      <c r="BM347" s="663"/>
      <c r="BN347" s="663"/>
      <c r="BO347" s="663"/>
      <c r="BP347" s="663"/>
      <c r="BQ347" s="663"/>
      <c r="BR347" s="663"/>
    </row>
    <row r="348" spans="1:70">
      <c r="A348" s="655" t="s">
        <v>566</v>
      </c>
      <c r="B348" s="655" t="s">
        <v>2285</v>
      </c>
      <c r="C348" s="648">
        <f>SETUP!$F$29</f>
        <v>0</v>
      </c>
      <c r="D348" s="654">
        <v>5.4</v>
      </c>
      <c r="E348" s="663" t="s">
        <v>205</v>
      </c>
      <c r="F348" s="663" t="s">
        <v>1521</v>
      </c>
      <c r="G348" s="650" t="str">
        <f t="array" ref="G348">IFERROR(INDEX('HIV-Other HPs'!$L$49:$L$74,MATCH($E348&amp;$F348,'HIV-Other HPs'!$E$49:$E$74&amp;'HIV-Other HPs'!$I$49:$I$74,0)),"")</f>
        <v/>
      </c>
      <c r="H348" s="650" t="str">
        <f t="array" ref="H348">IFERROR(INDEX('HIV-Other HPs'!$M$49:$M$74,MATCH($E348&amp;$F348,'HIV-Other HPs'!$E$49:$E$74&amp;'HIV-Other HPs'!$I$49:$I$74,0)),"")</f>
        <v/>
      </c>
      <c r="I348" s="651">
        <f t="array" ref="I348">IFERROR(INDEX('HIV-Other HPs'!$N$49:$N$74,MATCH($E348&amp;$F348,'HIV-Other HPs'!$E$49:$E$74&amp;'HIV-Other HPs'!$I$49:$I$74,0)),0)</f>
        <v>0</v>
      </c>
      <c r="J348" s="651">
        <f t="array" ref="J348">IFERROR(INDEX('HIV-Other HPs'!$O$49:$O$74,MATCH($E348&amp;$F348,'HIV-Other HPs'!$E$49:$E$74&amp;'HIV-Other HPs'!$I$49:$I$74,0)),0)</f>
        <v>0</v>
      </c>
      <c r="K348" s="652">
        <f t="shared" si="252"/>
        <v>0</v>
      </c>
      <c r="L348" s="652">
        <f t="shared" si="253"/>
        <v>0</v>
      </c>
      <c r="M348" s="652">
        <f t="shared" si="254"/>
        <v>0</v>
      </c>
      <c r="N348" s="651">
        <f t="array" ref="N348">IFERROR(INDEX('HIV-Other HPs'!$P$49:$P$74,MATCH($E348&amp;$F348,'HIV-Other HPs'!$E$49:$E$74&amp;'HIV-Other HPs'!$I$49:$I$74,0)),0)</f>
        <v>0</v>
      </c>
      <c r="O348" s="652">
        <f t="shared" si="255"/>
        <v>0</v>
      </c>
      <c r="P348" s="652">
        <f t="shared" si="256"/>
        <v>0</v>
      </c>
      <c r="Q348" s="652">
        <f t="shared" si="257"/>
        <v>0</v>
      </c>
      <c r="R348" s="651">
        <f t="array" ref="R348">IFERROR(INDEX('HIV-Other HPs'!$Q$49:$Q$74,MATCH($E348&amp;$F348,'HIV-Other HPs'!$E$49:$E$74&amp;'HIV-Other HPs'!$I$49:$I$74,0)),0)</f>
        <v>0</v>
      </c>
      <c r="S348" s="652">
        <f t="shared" si="258"/>
        <v>0</v>
      </c>
      <c r="T348" s="652">
        <f t="shared" si="259"/>
        <v>0</v>
      </c>
      <c r="U348" s="652">
        <f t="shared" si="260"/>
        <v>0</v>
      </c>
      <c r="V348" s="651">
        <f t="array" ref="V348">IFERROR(INDEX('HIV-Other HPs'!$R$49:$R$74,MATCH($E348&amp;$F348,'HIV-Other HPs'!$E$49:$E$74&amp;'HIV-Other HPs'!$I$49:$I$74,0)),0)</f>
        <v>0</v>
      </c>
      <c r="W348" s="652">
        <f t="shared" si="261"/>
        <v>0</v>
      </c>
      <c r="X348" s="652">
        <f t="shared" si="262"/>
        <v>0</v>
      </c>
      <c r="Y348" s="652">
        <f t="shared" si="263"/>
        <v>0</v>
      </c>
      <c r="Z348" s="664"/>
      <c r="AA348" s="651">
        <f t="array" ref="AA348">IFERROR(INDEX('HIV-Other HPs'!$U$49:$U$74,MATCH($E348&amp;$F348,'HIV-Other HPs'!$E$49:$E$74&amp;'HIV-Other HPs'!$I$49:$I$74,0)),0)</f>
        <v>0</v>
      </c>
      <c r="AB348" s="651">
        <f t="array" ref="AB348">IFERROR(INDEX('HIV-Other HPs'!$V$49:$V$74,MATCH($E348&amp;$F348,'HIV-Other HPs'!$E$49:$E$74&amp;'HIV-Other HPs'!$I$49:$I$74,0)),0)</f>
        <v>0</v>
      </c>
      <c r="AC348" s="652">
        <f t="shared" si="264"/>
        <v>0</v>
      </c>
      <c r="AD348" s="652">
        <f t="shared" si="265"/>
        <v>0</v>
      </c>
      <c r="AE348" s="652">
        <f t="shared" si="266"/>
        <v>0</v>
      </c>
      <c r="AF348" s="651">
        <f t="array" ref="AF348">IFERROR(INDEX('HIV-Other HPs'!$W$49:$W$74,MATCH($E348&amp;$F348,'HIV-Other HPs'!$E$49:$E$74&amp;'HIV-Other HPs'!$I$49:$I$74,0)),0)</f>
        <v>0</v>
      </c>
      <c r="AG348" s="652">
        <f t="shared" si="267"/>
        <v>0</v>
      </c>
      <c r="AH348" s="652">
        <f t="shared" si="268"/>
        <v>0</v>
      </c>
      <c r="AI348" s="652">
        <f t="shared" si="269"/>
        <v>0</v>
      </c>
      <c r="AJ348" s="651">
        <f t="array" ref="AJ348">IFERROR(INDEX('HIV-Other HPs'!$X$49:$X$74,MATCH($E348&amp;$F348,'HIV-Other HPs'!$E$49:$E$74&amp;'HIV-Other HPs'!$I$49:$I$74,0)),0)</f>
        <v>0</v>
      </c>
      <c r="AK348" s="652">
        <f t="shared" si="270"/>
        <v>0</v>
      </c>
      <c r="AL348" s="652">
        <f t="shared" si="271"/>
        <v>0</v>
      </c>
      <c r="AM348" s="652">
        <f t="shared" si="272"/>
        <v>0</v>
      </c>
      <c r="AN348" s="651">
        <f t="array" ref="AN348">IFERROR(INDEX('HIV-Other HPs'!$Y$49:$Y$74,MATCH($E348&amp;$F348,'HIV-Other HPs'!$E$49:$E$74&amp;'HIV-Other HPs'!$I$49:$I$74,0)),0)</f>
        <v>0</v>
      </c>
      <c r="AO348" s="652">
        <f t="shared" si="273"/>
        <v>0</v>
      </c>
      <c r="AP348" s="652">
        <f t="shared" si="274"/>
        <v>0</v>
      </c>
      <c r="AQ348" s="652">
        <f t="shared" si="275"/>
        <v>0</v>
      </c>
      <c r="AR348" s="664"/>
      <c r="AS348" s="651">
        <f t="array" ref="AS348">IFERROR(INDEX('HIV-Other HPs'!$AB$49:$AB$74,MATCH($E348&amp;$F348,'HIV-Other HPs'!$E$49:$E$74&amp;'HIV-Other HPs'!$I$49:$I$74,0)),0)</f>
        <v>0</v>
      </c>
      <c r="AT348" s="651">
        <f t="array" ref="AT348">IFERROR(INDEX('HIV-Other HPs'!$AC$49:$AC$74,MATCH($E348&amp;$F348,'HIV-Other HPs'!$E$49:$E$74&amp;'HIV-Other HPs'!$I$49:$I$74,0)),0)</f>
        <v>0</v>
      </c>
      <c r="AU348" s="652">
        <f t="shared" si="276"/>
        <v>0</v>
      </c>
      <c r="AV348" s="652">
        <f t="shared" si="277"/>
        <v>0</v>
      </c>
      <c r="AW348" s="652">
        <f t="shared" si="278"/>
        <v>0</v>
      </c>
      <c r="AX348" s="651">
        <f t="array" ref="AX348">IFERROR(INDEX('HIV-Other HPs'!$AD$49:$AD$74,MATCH($E348&amp;$F348,'HIV-Other HPs'!$E$49:$E$74&amp;'HIV-Other HPs'!$I$49:$I$74,0)),0)</f>
        <v>0</v>
      </c>
      <c r="AY348" s="652">
        <f t="shared" si="279"/>
        <v>0</v>
      </c>
      <c r="AZ348" s="652">
        <f t="shared" si="280"/>
        <v>0</v>
      </c>
      <c r="BA348" s="652">
        <f t="shared" si="281"/>
        <v>0</v>
      </c>
      <c r="BB348" s="651">
        <f t="array" ref="BB348">IFERROR(INDEX('HIV-Other HPs'!$AE$49:$AE$74,MATCH($E348&amp;$F348,'HIV-Other HPs'!$E$49:$E$74&amp;'HIV-Other HPs'!$I$49:$I$74,0)),0)</f>
        <v>0</v>
      </c>
      <c r="BC348" s="652">
        <f t="shared" si="282"/>
        <v>0</v>
      </c>
      <c r="BD348" s="652">
        <f t="shared" si="283"/>
        <v>0</v>
      </c>
      <c r="BE348" s="652">
        <f t="shared" si="284"/>
        <v>0</v>
      </c>
      <c r="BF348" s="651">
        <f t="array" ref="BF348">IFERROR(INDEX('HIV-Other HPs'!$AF$49:$AF$74,MATCH($E348&amp;$F348,'HIV-Other HPs'!$E$49:$E$74&amp;'HIV-Other HPs'!$I$49:$I$74,0)),0)</f>
        <v>0</v>
      </c>
      <c r="BG348" s="652">
        <f t="shared" si="285"/>
        <v>0</v>
      </c>
      <c r="BH348" s="652">
        <f t="shared" si="286"/>
        <v>0</v>
      </c>
      <c r="BI348" s="652">
        <f t="shared" si="287"/>
        <v>0</v>
      </c>
      <c r="BJ348" s="662"/>
      <c r="BK348" s="663"/>
      <c r="BL348" s="663"/>
      <c r="BM348" s="663"/>
      <c r="BN348" s="663"/>
      <c r="BO348" s="663"/>
      <c r="BP348" s="663"/>
      <c r="BQ348" s="663"/>
      <c r="BR348" s="663"/>
    </row>
    <row r="349" spans="1:70">
      <c r="A349" s="655" t="s">
        <v>566</v>
      </c>
      <c r="B349" s="655" t="s">
        <v>2285</v>
      </c>
      <c r="C349" s="648">
        <f>SETUP!$F$29</f>
        <v>0</v>
      </c>
      <c r="D349" s="654">
        <v>5.4</v>
      </c>
      <c r="E349" s="663" t="s">
        <v>205</v>
      </c>
      <c r="F349" s="663" t="s">
        <v>1522</v>
      </c>
      <c r="G349" s="650" t="str">
        <f t="array" ref="G349">IFERROR(INDEX('HIV-Other HPs'!$L$49:$L$74,MATCH($E349&amp;$F349,'HIV-Other HPs'!$E$49:$E$74&amp;'HIV-Other HPs'!$I$49:$I$74,0)),"")</f>
        <v/>
      </c>
      <c r="H349" s="650" t="str">
        <f t="array" ref="H349">IFERROR(INDEX('HIV-Other HPs'!$M$49:$M$74,MATCH($E349&amp;$F349,'HIV-Other HPs'!$E$49:$E$74&amp;'HIV-Other HPs'!$I$49:$I$74,0)),"")</f>
        <v/>
      </c>
      <c r="I349" s="651">
        <f t="array" ref="I349">IFERROR(INDEX('HIV-Other HPs'!$N$49:$N$74,MATCH($E349&amp;$F349,'HIV-Other HPs'!$E$49:$E$74&amp;'HIV-Other HPs'!$I$49:$I$74,0)),0)</f>
        <v>0</v>
      </c>
      <c r="J349" s="651">
        <f t="array" ref="J349">IFERROR(INDEX('HIV-Other HPs'!$O$49:$O$74,MATCH($E349&amp;$F349,'HIV-Other HPs'!$E$49:$E$74&amp;'HIV-Other HPs'!$I$49:$I$74,0)),0)</f>
        <v>0</v>
      </c>
      <c r="K349" s="652">
        <f t="shared" si="252"/>
        <v>0</v>
      </c>
      <c r="L349" s="652">
        <f t="shared" si="253"/>
        <v>0</v>
      </c>
      <c r="M349" s="652">
        <f t="shared" si="254"/>
        <v>0</v>
      </c>
      <c r="N349" s="651">
        <f t="array" ref="N349">IFERROR(INDEX('HIV-Other HPs'!$P$49:$P$74,MATCH($E349&amp;$F349,'HIV-Other HPs'!$E$49:$E$74&amp;'HIV-Other HPs'!$I$49:$I$74,0)),0)</f>
        <v>0</v>
      </c>
      <c r="O349" s="652">
        <f t="shared" si="255"/>
        <v>0</v>
      </c>
      <c r="P349" s="652">
        <f t="shared" si="256"/>
        <v>0</v>
      </c>
      <c r="Q349" s="652">
        <f t="shared" si="257"/>
        <v>0</v>
      </c>
      <c r="R349" s="651">
        <f t="array" ref="R349">IFERROR(INDEX('HIV-Other HPs'!$Q$49:$Q$74,MATCH($E349&amp;$F349,'HIV-Other HPs'!$E$49:$E$74&amp;'HIV-Other HPs'!$I$49:$I$74,0)),0)</f>
        <v>0</v>
      </c>
      <c r="S349" s="652">
        <f t="shared" si="258"/>
        <v>0</v>
      </c>
      <c r="T349" s="652">
        <f t="shared" si="259"/>
        <v>0</v>
      </c>
      <c r="U349" s="652">
        <f t="shared" si="260"/>
        <v>0</v>
      </c>
      <c r="V349" s="651">
        <f t="array" ref="V349">IFERROR(INDEX('HIV-Other HPs'!$R$49:$R$74,MATCH($E349&amp;$F349,'HIV-Other HPs'!$E$49:$E$74&amp;'HIV-Other HPs'!$I$49:$I$74,0)),0)</f>
        <v>0</v>
      </c>
      <c r="W349" s="652">
        <f t="shared" si="261"/>
        <v>0</v>
      </c>
      <c r="X349" s="652">
        <f t="shared" si="262"/>
        <v>0</v>
      </c>
      <c r="Y349" s="652">
        <f t="shared" si="263"/>
        <v>0</v>
      </c>
      <c r="Z349" s="664"/>
      <c r="AA349" s="651">
        <f t="array" ref="AA349">IFERROR(INDEX('HIV-Other HPs'!$U$49:$U$74,MATCH($E349&amp;$F349,'HIV-Other HPs'!$E$49:$E$74&amp;'HIV-Other HPs'!$I$49:$I$74,0)),0)</f>
        <v>0</v>
      </c>
      <c r="AB349" s="651">
        <f t="array" ref="AB349">IFERROR(INDEX('HIV-Other HPs'!$V$49:$V$74,MATCH($E349&amp;$F349,'HIV-Other HPs'!$E$49:$E$74&amp;'HIV-Other HPs'!$I$49:$I$74,0)),0)</f>
        <v>0</v>
      </c>
      <c r="AC349" s="652">
        <f t="shared" si="264"/>
        <v>0</v>
      </c>
      <c r="AD349" s="652">
        <f t="shared" si="265"/>
        <v>0</v>
      </c>
      <c r="AE349" s="652">
        <f t="shared" si="266"/>
        <v>0</v>
      </c>
      <c r="AF349" s="651">
        <f t="array" ref="AF349">IFERROR(INDEX('HIV-Other HPs'!$W$49:$W$74,MATCH($E349&amp;$F349,'HIV-Other HPs'!$E$49:$E$74&amp;'HIV-Other HPs'!$I$49:$I$74,0)),0)</f>
        <v>0</v>
      </c>
      <c r="AG349" s="652">
        <f t="shared" si="267"/>
        <v>0</v>
      </c>
      <c r="AH349" s="652">
        <f t="shared" si="268"/>
        <v>0</v>
      </c>
      <c r="AI349" s="652">
        <f t="shared" si="269"/>
        <v>0</v>
      </c>
      <c r="AJ349" s="651">
        <f t="array" ref="AJ349">IFERROR(INDEX('HIV-Other HPs'!$X$49:$X$74,MATCH($E349&amp;$F349,'HIV-Other HPs'!$E$49:$E$74&amp;'HIV-Other HPs'!$I$49:$I$74,0)),0)</f>
        <v>0</v>
      </c>
      <c r="AK349" s="652">
        <f t="shared" si="270"/>
        <v>0</v>
      </c>
      <c r="AL349" s="652">
        <f t="shared" si="271"/>
        <v>0</v>
      </c>
      <c r="AM349" s="652">
        <f t="shared" si="272"/>
        <v>0</v>
      </c>
      <c r="AN349" s="651">
        <f t="array" ref="AN349">IFERROR(INDEX('HIV-Other HPs'!$Y$49:$Y$74,MATCH($E349&amp;$F349,'HIV-Other HPs'!$E$49:$E$74&amp;'HIV-Other HPs'!$I$49:$I$74,0)),0)</f>
        <v>0</v>
      </c>
      <c r="AO349" s="652">
        <f t="shared" si="273"/>
        <v>0</v>
      </c>
      <c r="AP349" s="652">
        <f t="shared" si="274"/>
        <v>0</v>
      </c>
      <c r="AQ349" s="652">
        <f t="shared" si="275"/>
        <v>0</v>
      </c>
      <c r="AR349" s="664"/>
      <c r="AS349" s="651">
        <f t="array" ref="AS349">IFERROR(INDEX('HIV-Other HPs'!$AB$49:$AB$74,MATCH($E349&amp;$F349,'HIV-Other HPs'!$E$49:$E$74&amp;'HIV-Other HPs'!$I$49:$I$74,0)),0)</f>
        <v>0</v>
      </c>
      <c r="AT349" s="651">
        <f t="array" ref="AT349">IFERROR(INDEX('HIV-Other HPs'!$AC$49:$AC$74,MATCH($E349&amp;$F349,'HIV-Other HPs'!$E$49:$E$74&amp;'HIV-Other HPs'!$I$49:$I$74,0)),0)</f>
        <v>0</v>
      </c>
      <c r="AU349" s="652">
        <f t="shared" si="276"/>
        <v>0</v>
      </c>
      <c r="AV349" s="652">
        <f t="shared" si="277"/>
        <v>0</v>
      </c>
      <c r="AW349" s="652">
        <f t="shared" si="278"/>
        <v>0</v>
      </c>
      <c r="AX349" s="651">
        <f t="array" ref="AX349">IFERROR(INDEX('HIV-Other HPs'!$AD$49:$AD$74,MATCH($E349&amp;$F349,'HIV-Other HPs'!$E$49:$E$74&amp;'HIV-Other HPs'!$I$49:$I$74,0)),0)</f>
        <v>0</v>
      </c>
      <c r="AY349" s="652">
        <f t="shared" si="279"/>
        <v>0</v>
      </c>
      <c r="AZ349" s="652">
        <f t="shared" si="280"/>
        <v>0</v>
      </c>
      <c r="BA349" s="652">
        <f t="shared" si="281"/>
        <v>0</v>
      </c>
      <c r="BB349" s="651">
        <f t="array" ref="BB349">IFERROR(INDEX('HIV-Other HPs'!$AE$49:$AE$74,MATCH($E349&amp;$F349,'HIV-Other HPs'!$E$49:$E$74&amp;'HIV-Other HPs'!$I$49:$I$74,0)),0)</f>
        <v>0</v>
      </c>
      <c r="BC349" s="652">
        <f t="shared" si="282"/>
        <v>0</v>
      </c>
      <c r="BD349" s="652">
        <f t="shared" si="283"/>
        <v>0</v>
      </c>
      <c r="BE349" s="652">
        <f t="shared" si="284"/>
        <v>0</v>
      </c>
      <c r="BF349" s="651">
        <f t="array" ref="BF349">IFERROR(INDEX('HIV-Other HPs'!$AF$49:$AF$74,MATCH($E349&amp;$F349,'HIV-Other HPs'!$E$49:$E$74&amp;'HIV-Other HPs'!$I$49:$I$74,0)),0)</f>
        <v>0</v>
      </c>
      <c r="BG349" s="652">
        <f t="shared" si="285"/>
        <v>0</v>
      </c>
      <c r="BH349" s="652">
        <f t="shared" si="286"/>
        <v>0</v>
      </c>
      <c r="BI349" s="652">
        <f t="shared" si="287"/>
        <v>0</v>
      </c>
      <c r="BJ349" s="662"/>
      <c r="BK349" s="663"/>
      <c r="BL349" s="663"/>
      <c r="BM349" s="663"/>
      <c r="BN349" s="663"/>
      <c r="BO349" s="663"/>
      <c r="BP349" s="663"/>
      <c r="BQ349" s="663"/>
      <c r="BR349" s="663"/>
    </row>
    <row r="350" spans="1:70">
      <c r="A350" s="655" t="s">
        <v>566</v>
      </c>
      <c r="B350" s="655" t="s">
        <v>2285</v>
      </c>
      <c r="C350" s="648">
        <f>SETUP!$F$29</f>
        <v>0</v>
      </c>
      <c r="D350" s="654">
        <v>5.4</v>
      </c>
      <c r="E350" s="663" t="s">
        <v>205</v>
      </c>
      <c r="F350" s="663" t="s">
        <v>1523</v>
      </c>
      <c r="G350" s="650" t="str">
        <f t="array" ref="G350">IFERROR(INDEX('HIV-Other HPs'!$L$49:$L$74,MATCH($E350&amp;$F350,'HIV-Other HPs'!$E$49:$E$74&amp;'HIV-Other HPs'!$I$49:$I$74,0)),"")</f>
        <v/>
      </c>
      <c r="H350" s="650" t="str">
        <f t="array" ref="H350">IFERROR(INDEX('HIV-Other HPs'!$M$49:$M$74,MATCH($E350&amp;$F350,'HIV-Other HPs'!$E$49:$E$74&amp;'HIV-Other HPs'!$I$49:$I$74,0)),"")</f>
        <v/>
      </c>
      <c r="I350" s="651">
        <f t="array" ref="I350">IFERROR(INDEX('HIV-Other HPs'!$N$49:$N$74,MATCH($E350&amp;$F350,'HIV-Other HPs'!$E$49:$E$74&amp;'HIV-Other HPs'!$I$49:$I$74,0)),0)</f>
        <v>0</v>
      </c>
      <c r="J350" s="651">
        <f t="array" ref="J350">IFERROR(INDEX('HIV-Other HPs'!$O$49:$O$74,MATCH($E350&amp;$F350,'HIV-Other HPs'!$E$49:$E$74&amp;'HIV-Other HPs'!$I$49:$I$74,0)),0)</f>
        <v>0</v>
      </c>
      <c r="K350" s="652">
        <f t="shared" si="252"/>
        <v>0</v>
      </c>
      <c r="L350" s="652">
        <f t="shared" si="253"/>
        <v>0</v>
      </c>
      <c r="M350" s="652">
        <f t="shared" si="254"/>
        <v>0</v>
      </c>
      <c r="N350" s="651">
        <f t="array" ref="N350">IFERROR(INDEX('HIV-Other HPs'!$P$49:$P$74,MATCH($E350&amp;$F350,'HIV-Other HPs'!$E$49:$E$74&amp;'HIV-Other HPs'!$I$49:$I$74,0)),0)</f>
        <v>0</v>
      </c>
      <c r="O350" s="652">
        <f t="shared" si="255"/>
        <v>0</v>
      </c>
      <c r="P350" s="652">
        <f t="shared" si="256"/>
        <v>0</v>
      </c>
      <c r="Q350" s="652">
        <f t="shared" si="257"/>
        <v>0</v>
      </c>
      <c r="R350" s="651">
        <f t="array" ref="R350">IFERROR(INDEX('HIV-Other HPs'!$Q$49:$Q$74,MATCH($E350&amp;$F350,'HIV-Other HPs'!$E$49:$E$74&amp;'HIV-Other HPs'!$I$49:$I$74,0)),0)</f>
        <v>0</v>
      </c>
      <c r="S350" s="652">
        <f t="shared" si="258"/>
        <v>0</v>
      </c>
      <c r="T350" s="652">
        <f t="shared" si="259"/>
        <v>0</v>
      </c>
      <c r="U350" s="652">
        <f t="shared" si="260"/>
        <v>0</v>
      </c>
      <c r="V350" s="651">
        <f t="array" ref="V350">IFERROR(INDEX('HIV-Other HPs'!$R$49:$R$74,MATCH($E350&amp;$F350,'HIV-Other HPs'!$E$49:$E$74&amp;'HIV-Other HPs'!$I$49:$I$74,0)),0)</f>
        <v>0</v>
      </c>
      <c r="W350" s="652">
        <f t="shared" si="261"/>
        <v>0</v>
      </c>
      <c r="X350" s="652">
        <f t="shared" si="262"/>
        <v>0</v>
      </c>
      <c r="Y350" s="652">
        <f t="shared" si="263"/>
        <v>0</v>
      </c>
      <c r="Z350" s="664"/>
      <c r="AA350" s="651">
        <f t="array" ref="AA350">IFERROR(INDEX('HIV-Other HPs'!$U$49:$U$74,MATCH($E350&amp;$F350,'HIV-Other HPs'!$E$49:$E$74&amp;'HIV-Other HPs'!$I$49:$I$74,0)),0)</f>
        <v>0</v>
      </c>
      <c r="AB350" s="651">
        <f t="array" ref="AB350">IFERROR(INDEX('HIV-Other HPs'!$V$49:$V$74,MATCH($E350&amp;$F350,'HIV-Other HPs'!$E$49:$E$74&amp;'HIV-Other HPs'!$I$49:$I$74,0)),0)</f>
        <v>0</v>
      </c>
      <c r="AC350" s="652">
        <f t="shared" si="264"/>
        <v>0</v>
      </c>
      <c r="AD350" s="652">
        <f t="shared" si="265"/>
        <v>0</v>
      </c>
      <c r="AE350" s="652">
        <f t="shared" si="266"/>
        <v>0</v>
      </c>
      <c r="AF350" s="651">
        <f t="array" ref="AF350">IFERROR(INDEX('HIV-Other HPs'!$W$49:$W$74,MATCH($E350&amp;$F350,'HIV-Other HPs'!$E$49:$E$74&amp;'HIV-Other HPs'!$I$49:$I$74,0)),0)</f>
        <v>0</v>
      </c>
      <c r="AG350" s="652">
        <f t="shared" si="267"/>
        <v>0</v>
      </c>
      <c r="AH350" s="652">
        <f t="shared" si="268"/>
        <v>0</v>
      </c>
      <c r="AI350" s="652">
        <f t="shared" si="269"/>
        <v>0</v>
      </c>
      <c r="AJ350" s="651">
        <f t="array" ref="AJ350">IFERROR(INDEX('HIV-Other HPs'!$X$49:$X$74,MATCH($E350&amp;$F350,'HIV-Other HPs'!$E$49:$E$74&amp;'HIV-Other HPs'!$I$49:$I$74,0)),0)</f>
        <v>0</v>
      </c>
      <c r="AK350" s="652">
        <f t="shared" si="270"/>
        <v>0</v>
      </c>
      <c r="AL350" s="652">
        <f t="shared" si="271"/>
        <v>0</v>
      </c>
      <c r="AM350" s="652">
        <f t="shared" si="272"/>
        <v>0</v>
      </c>
      <c r="AN350" s="651">
        <f t="array" ref="AN350">IFERROR(INDEX('HIV-Other HPs'!$Y$49:$Y$74,MATCH($E350&amp;$F350,'HIV-Other HPs'!$E$49:$E$74&amp;'HIV-Other HPs'!$I$49:$I$74,0)),0)</f>
        <v>0</v>
      </c>
      <c r="AO350" s="652">
        <f t="shared" si="273"/>
        <v>0</v>
      </c>
      <c r="AP350" s="652">
        <f t="shared" si="274"/>
        <v>0</v>
      </c>
      <c r="AQ350" s="652">
        <f t="shared" si="275"/>
        <v>0</v>
      </c>
      <c r="AR350" s="664"/>
      <c r="AS350" s="651">
        <f t="array" ref="AS350">IFERROR(INDEX('HIV-Other HPs'!$AB$49:$AB$74,MATCH($E350&amp;$F350,'HIV-Other HPs'!$E$49:$E$74&amp;'HIV-Other HPs'!$I$49:$I$74,0)),0)</f>
        <v>0</v>
      </c>
      <c r="AT350" s="651">
        <f t="array" ref="AT350">IFERROR(INDEX('HIV-Other HPs'!$AC$49:$AC$74,MATCH($E350&amp;$F350,'HIV-Other HPs'!$E$49:$E$74&amp;'HIV-Other HPs'!$I$49:$I$74,0)),0)</f>
        <v>0</v>
      </c>
      <c r="AU350" s="652">
        <f t="shared" si="276"/>
        <v>0</v>
      </c>
      <c r="AV350" s="652">
        <f t="shared" si="277"/>
        <v>0</v>
      </c>
      <c r="AW350" s="652">
        <f t="shared" si="278"/>
        <v>0</v>
      </c>
      <c r="AX350" s="651">
        <f t="array" ref="AX350">IFERROR(INDEX('HIV-Other HPs'!$AD$49:$AD$74,MATCH($E350&amp;$F350,'HIV-Other HPs'!$E$49:$E$74&amp;'HIV-Other HPs'!$I$49:$I$74,0)),0)</f>
        <v>0</v>
      </c>
      <c r="AY350" s="652">
        <f t="shared" si="279"/>
        <v>0</v>
      </c>
      <c r="AZ350" s="652">
        <f t="shared" si="280"/>
        <v>0</v>
      </c>
      <c r="BA350" s="652">
        <f t="shared" si="281"/>
        <v>0</v>
      </c>
      <c r="BB350" s="651">
        <f t="array" ref="BB350">IFERROR(INDEX('HIV-Other HPs'!$AE$49:$AE$74,MATCH($E350&amp;$F350,'HIV-Other HPs'!$E$49:$E$74&amp;'HIV-Other HPs'!$I$49:$I$74,0)),0)</f>
        <v>0</v>
      </c>
      <c r="BC350" s="652">
        <f t="shared" si="282"/>
        <v>0</v>
      </c>
      <c r="BD350" s="652">
        <f t="shared" si="283"/>
        <v>0</v>
      </c>
      <c r="BE350" s="652">
        <f t="shared" si="284"/>
        <v>0</v>
      </c>
      <c r="BF350" s="651">
        <f t="array" ref="BF350">IFERROR(INDEX('HIV-Other HPs'!$AF$49:$AF$74,MATCH($E350&amp;$F350,'HIV-Other HPs'!$E$49:$E$74&amp;'HIV-Other HPs'!$I$49:$I$74,0)),0)</f>
        <v>0</v>
      </c>
      <c r="BG350" s="652">
        <f t="shared" si="285"/>
        <v>0</v>
      </c>
      <c r="BH350" s="652">
        <f t="shared" si="286"/>
        <v>0</v>
      </c>
      <c r="BI350" s="652">
        <f t="shared" si="287"/>
        <v>0</v>
      </c>
      <c r="BJ350" s="662"/>
      <c r="BK350" s="663"/>
      <c r="BL350" s="663"/>
      <c r="BM350" s="663"/>
      <c r="BN350" s="663"/>
      <c r="BO350" s="663"/>
      <c r="BP350" s="663"/>
      <c r="BQ350" s="663"/>
      <c r="BR350" s="663"/>
    </row>
    <row r="351" spans="1:70">
      <c r="A351" s="655" t="s">
        <v>566</v>
      </c>
      <c r="B351" s="655" t="s">
        <v>2285</v>
      </c>
      <c r="C351" s="648">
        <f>SETUP!$F$29</f>
        <v>0</v>
      </c>
      <c r="D351" s="654">
        <v>5.4</v>
      </c>
      <c r="E351" s="663" t="s">
        <v>205</v>
      </c>
      <c r="F351" s="663" t="s">
        <v>1524</v>
      </c>
      <c r="G351" s="650" t="str">
        <f t="array" ref="G351">IFERROR(INDEX('HIV-Other HPs'!$L$49:$L$74,MATCH($E351&amp;$F351,'HIV-Other HPs'!$E$49:$E$74&amp;'HIV-Other HPs'!$I$49:$I$74,0)),"")</f>
        <v/>
      </c>
      <c r="H351" s="650" t="str">
        <f t="array" ref="H351">IFERROR(INDEX('HIV-Other HPs'!$M$49:$M$74,MATCH($E351&amp;$F351,'HIV-Other HPs'!$E$49:$E$74&amp;'HIV-Other HPs'!$I$49:$I$74,0)),"")</f>
        <v/>
      </c>
      <c r="I351" s="651">
        <f t="array" ref="I351">IFERROR(INDEX('HIV-Other HPs'!$N$49:$N$74,MATCH($E351&amp;$F351,'HIV-Other HPs'!$E$49:$E$74&amp;'HIV-Other HPs'!$I$49:$I$74,0)),0)</f>
        <v>0</v>
      </c>
      <c r="J351" s="651">
        <f t="array" ref="J351">IFERROR(INDEX('HIV-Other HPs'!$O$49:$O$74,MATCH($E351&amp;$F351,'HIV-Other HPs'!$E$49:$E$74&amp;'HIV-Other HPs'!$I$49:$I$74,0)),0)</f>
        <v>0</v>
      </c>
      <c r="K351" s="652">
        <f t="shared" si="252"/>
        <v>0</v>
      </c>
      <c r="L351" s="652">
        <f t="shared" si="253"/>
        <v>0</v>
      </c>
      <c r="M351" s="652">
        <f t="shared" si="254"/>
        <v>0</v>
      </c>
      <c r="N351" s="651">
        <f t="array" ref="N351">IFERROR(INDEX('HIV-Other HPs'!$P$49:$P$74,MATCH($E351&amp;$F351,'HIV-Other HPs'!$E$49:$E$74&amp;'HIV-Other HPs'!$I$49:$I$74,0)),0)</f>
        <v>0</v>
      </c>
      <c r="O351" s="652">
        <f t="shared" si="255"/>
        <v>0</v>
      </c>
      <c r="P351" s="652">
        <f t="shared" si="256"/>
        <v>0</v>
      </c>
      <c r="Q351" s="652">
        <f t="shared" si="257"/>
        <v>0</v>
      </c>
      <c r="R351" s="651">
        <f t="array" ref="R351">IFERROR(INDEX('HIV-Other HPs'!$Q$49:$Q$74,MATCH($E351&amp;$F351,'HIV-Other HPs'!$E$49:$E$74&amp;'HIV-Other HPs'!$I$49:$I$74,0)),0)</f>
        <v>0</v>
      </c>
      <c r="S351" s="652">
        <f t="shared" si="258"/>
        <v>0</v>
      </c>
      <c r="T351" s="652">
        <f t="shared" si="259"/>
        <v>0</v>
      </c>
      <c r="U351" s="652">
        <f t="shared" si="260"/>
        <v>0</v>
      </c>
      <c r="V351" s="651">
        <f t="array" ref="V351">IFERROR(INDEX('HIV-Other HPs'!$R$49:$R$74,MATCH($E351&amp;$F351,'HIV-Other HPs'!$E$49:$E$74&amp;'HIV-Other HPs'!$I$49:$I$74,0)),0)</f>
        <v>0</v>
      </c>
      <c r="W351" s="652">
        <f t="shared" si="261"/>
        <v>0</v>
      </c>
      <c r="X351" s="652">
        <f t="shared" si="262"/>
        <v>0</v>
      </c>
      <c r="Y351" s="652">
        <f t="shared" si="263"/>
        <v>0</v>
      </c>
      <c r="Z351" s="664"/>
      <c r="AA351" s="651">
        <f t="array" ref="AA351">IFERROR(INDEX('HIV-Other HPs'!$U$49:$U$74,MATCH($E351&amp;$F351,'HIV-Other HPs'!$E$49:$E$74&amp;'HIV-Other HPs'!$I$49:$I$74,0)),0)</f>
        <v>0</v>
      </c>
      <c r="AB351" s="651">
        <f t="array" ref="AB351">IFERROR(INDEX('HIV-Other HPs'!$V$49:$V$74,MATCH($E351&amp;$F351,'HIV-Other HPs'!$E$49:$E$74&amp;'HIV-Other HPs'!$I$49:$I$74,0)),0)</f>
        <v>0</v>
      </c>
      <c r="AC351" s="652">
        <f t="shared" si="264"/>
        <v>0</v>
      </c>
      <c r="AD351" s="652">
        <f t="shared" si="265"/>
        <v>0</v>
      </c>
      <c r="AE351" s="652">
        <f t="shared" si="266"/>
        <v>0</v>
      </c>
      <c r="AF351" s="651">
        <f t="array" ref="AF351">IFERROR(INDEX('HIV-Other HPs'!$W$49:$W$74,MATCH($E351&amp;$F351,'HIV-Other HPs'!$E$49:$E$74&amp;'HIV-Other HPs'!$I$49:$I$74,0)),0)</f>
        <v>0</v>
      </c>
      <c r="AG351" s="652">
        <f t="shared" si="267"/>
        <v>0</v>
      </c>
      <c r="AH351" s="652">
        <f t="shared" si="268"/>
        <v>0</v>
      </c>
      <c r="AI351" s="652">
        <f t="shared" si="269"/>
        <v>0</v>
      </c>
      <c r="AJ351" s="651">
        <f t="array" ref="AJ351">IFERROR(INDEX('HIV-Other HPs'!$X$49:$X$74,MATCH($E351&amp;$F351,'HIV-Other HPs'!$E$49:$E$74&amp;'HIV-Other HPs'!$I$49:$I$74,0)),0)</f>
        <v>0</v>
      </c>
      <c r="AK351" s="652">
        <f t="shared" si="270"/>
        <v>0</v>
      </c>
      <c r="AL351" s="652">
        <f t="shared" si="271"/>
        <v>0</v>
      </c>
      <c r="AM351" s="652">
        <f t="shared" si="272"/>
        <v>0</v>
      </c>
      <c r="AN351" s="651">
        <f t="array" ref="AN351">IFERROR(INDEX('HIV-Other HPs'!$Y$49:$Y$74,MATCH($E351&amp;$F351,'HIV-Other HPs'!$E$49:$E$74&amp;'HIV-Other HPs'!$I$49:$I$74,0)),0)</f>
        <v>0</v>
      </c>
      <c r="AO351" s="652">
        <f t="shared" si="273"/>
        <v>0</v>
      </c>
      <c r="AP351" s="652">
        <f t="shared" si="274"/>
        <v>0</v>
      </c>
      <c r="AQ351" s="652">
        <f t="shared" si="275"/>
        <v>0</v>
      </c>
      <c r="AR351" s="664"/>
      <c r="AS351" s="651">
        <f t="array" ref="AS351">IFERROR(INDEX('HIV-Other HPs'!$AB$49:$AB$74,MATCH($E351&amp;$F351,'HIV-Other HPs'!$E$49:$E$74&amp;'HIV-Other HPs'!$I$49:$I$74,0)),0)</f>
        <v>0</v>
      </c>
      <c r="AT351" s="651">
        <f t="array" ref="AT351">IFERROR(INDEX('HIV-Other HPs'!$AC$49:$AC$74,MATCH($E351&amp;$F351,'HIV-Other HPs'!$E$49:$E$74&amp;'HIV-Other HPs'!$I$49:$I$74,0)),0)</f>
        <v>0</v>
      </c>
      <c r="AU351" s="652">
        <f t="shared" si="276"/>
        <v>0</v>
      </c>
      <c r="AV351" s="652">
        <f t="shared" si="277"/>
        <v>0</v>
      </c>
      <c r="AW351" s="652">
        <f t="shared" si="278"/>
        <v>0</v>
      </c>
      <c r="AX351" s="651">
        <f t="array" ref="AX351">IFERROR(INDEX('HIV-Other HPs'!$AD$49:$AD$74,MATCH($E351&amp;$F351,'HIV-Other HPs'!$E$49:$E$74&amp;'HIV-Other HPs'!$I$49:$I$74,0)),0)</f>
        <v>0</v>
      </c>
      <c r="AY351" s="652">
        <f t="shared" si="279"/>
        <v>0</v>
      </c>
      <c r="AZ351" s="652">
        <f t="shared" si="280"/>
        <v>0</v>
      </c>
      <c r="BA351" s="652">
        <f t="shared" si="281"/>
        <v>0</v>
      </c>
      <c r="BB351" s="651">
        <f t="array" ref="BB351">IFERROR(INDEX('HIV-Other HPs'!$AE$49:$AE$74,MATCH($E351&amp;$F351,'HIV-Other HPs'!$E$49:$E$74&amp;'HIV-Other HPs'!$I$49:$I$74,0)),0)</f>
        <v>0</v>
      </c>
      <c r="BC351" s="652">
        <f t="shared" si="282"/>
        <v>0</v>
      </c>
      <c r="BD351" s="652">
        <f t="shared" si="283"/>
        <v>0</v>
      </c>
      <c r="BE351" s="652">
        <f t="shared" si="284"/>
        <v>0</v>
      </c>
      <c r="BF351" s="651">
        <f t="array" ref="BF351">IFERROR(INDEX('HIV-Other HPs'!$AF$49:$AF$74,MATCH($E351&amp;$F351,'HIV-Other HPs'!$E$49:$E$74&amp;'HIV-Other HPs'!$I$49:$I$74,0)),0)</f>
        <v>0</v>
      </c>
      <c r="BG351" s="652">
        <f t="shared" si="285"/>
        <v>0</v>
      </c>
      <c r="BH351" s="652">
        <f t="shared" si="286"/>
        <v>0</v>
      </c>
      <c r="BI351" s="652">
        <f t="shared" si="287"/>
        <v>0</v>
      </c>
      <c r="BJ351" s="662"/>
      <c r="BK351" s="663"/>
      <c r="BL351" s="663"/>
      <c r="BM351" s="663"/>
      <c r="BN351" s="663"/>
      <c r="BO351" s="663"/>
      <c r="BP351" s="663"/>
      <c r="BQ351" s="663"/>
      <c r="BR351" s="663"/>
    </row>
    <row r="352" spans="1:70">
      <c r="A352" s="655" t="s">
        <v>566</v>
      </c>
      <c r="B352" s="655" t="s">
        <v>2285</v>
      </c>
      <c r="C352" s="648">
        <f>SETUP!$F$29</f>
        <v>0</v>
      </c>
      <c r="D352" s="654">
        <v>5.4</v>
      </c>
      <c r="E352" s="663" t="s">
        <v>205</v>
      </c>
      <c r="F352" s="663" t="s">
        <v>1525</v>
      </c>
      <c r="G352" s="650" t="str">
        <f t="array" ref="G352">IFERROR(INDEX('HIV-Other HPs'!$L$49:$L$74,MATCH($E352&amp;$F352,'HIV-Other HPs'!$E$49:$E$74&amp;'HIV-Other HPs'!$I$49:$I$74,0)),"")</f>
        <v/>
      </c>
      <c r="H352" s="650" t="str">
        <f t="array" ref="H352">IFERROR(INDEX('HIV-Other HPs'!$M$49:$M$74,MATCH($E352&amp;$F352,'HIV-Other HPs'!$E$49:$E$74&amp;'HIV-Other HPs'!$I$49:$I$74,0)),"")</f>
        <v/>
      </c>
      <c r="I352" s="651">
        <f t="array" ref="I352">IFERROR(INDEX('HIV-Other HPs'!$N$49:$N$74,MATCH($E352&amp;$F352,'HIV-Other HPs'!$E$49:$E$74&amp;'HIV-Other HPs'!$I$49:$I$74,0)),0)</f>
        <v>0</v>
      </c>
      <c r="J352" s="651">
        <f t="array" ref="J352">IFERROR(INDEX('HIV-Other HPs'!$O$49:$O$74,MATCH($E352&amp;$F352,'HIV-Other HPs'!$E$49:$E$74&amp;'HIV-Other HPs'!$I$49:$I$74,0)),0)</f>
        <v>0</v>
      </c>
      <c r="K352" s="652">
        <f t="shared" si="252"/>
        <v>0</v>
      </c>
      <c r="L352" s="652">
        <f t="shared" si="253"/>
        <v>0</v>
      </c>
      <c r="M352" s="652">
        <f t="shared" si="254"/>
        <v>0</v>
      </c>
      <c r="N352" s="651">
        <f t="array" ref="N352">IFERROR(INDEX('HIV-Other HPs'!$P$49:$P$74,MATCH($E352&amp;$F352,'HIV-Other HPs'!$E$49:$E$74&amp;'HIV-Other HPs'!$I$49:$I$74,0)),0)</f>
        <v>0</v>
      </c>
      <c r="O352" s="652">
        <f t="shared" si="255"/>
        <v>0</v>
      </c>
      <c r="P352" s="652">
        <f t="shared" si="256"/>
        <v>0</v>
      </c>
      <c r="Q352" s="652">
        <f t="shared" si="257"/>
        <v>0</v>
      </c>
      <c r="R352" s="651">
        <f t="array" ref="R352">IFERROR(INDEX('HIV-Other HPs'!$Q$49:$Q$74,MATCH($E352&amp;$F352,'HIV-Other HPs'!$E$49:$E$74&amp;'HIV-Other HPs'!$I$49:$I$74,0)),0)</f>
        <v>0</v>
      </c>
      <c r="S352" s="652">
        <f t="shared" si="258"/>
        <v>0</v>
      </c>
      <c r="T352" s="652">
        <f t="shared" si="259"/>
        <v>0</v>
      </c>
      <c r="U352" s="652">
        <f t="shared" si="260"/>
        <v>0</v>
      </c>
      <c r="V352" s="651">
        <f t="array" ref="V352">IFERROR(INDEX('HIV-Other HPs'!$R$49:$R$74,MATCH($E352&amp;$F352,'HIV-Other HPs'!$E$49:$E$74&amp;'HIV-Other HPs'!$I$49:$I$74,0)),0)</f>
        <v>0</v>
      </c>
      <c r="W352" s="652">
        <f t="shared" si="261"/>
        <v>0</v>
      </c>
      <c r="X352" s="652">
        <f t="shared" si="262"/>
        <v>0</v>
      </c>
      <c r="Y352" s="652">
        <f t="shared" si="263"/>
        <v>0</v>
      </c>
      <c r="Z352" s="664"/>
      <c r="AA352" s="651">
        <f t="array" ref="AA352">IFERROR(INDEX('HIV-Other HPs'!$U$49:$U$74,MATCH($E352&amp;$F352,'HIV-Other HPs'!$E$49:$E$74&amp;'HIV-Other HPs'!$I$49:$I$74,0)),0)</f>
        <v>0</v>
      </c>
      <c r="AB352" s="651">
        <f t="array" ref="AB352">IFERROR(INDEX('HIV-Other HPs'!$V$49:$V$74,MATCH($E352&amp;$F352,'HIV-Other HPs'!$E$49:$E$74&amp;'HIV-Other HPs'!$I$49:$I$74,0)),0)</f>
        <v>0</v>
      </c>
      <c r="AC352" s="652">
        <f t="shared" si="264"/>
        <v>0</v>
      </c>
      <c r="AD352" s="652">
        <f t="shared" si="265"/>
        <v>0</v>
      </c>
      <c r="AE352" s="652">
        <f t="shared" si="266"/>
        <v>0</v>
      </c>
      <c r="AF352" s="651">
        <f t="array" ref="AF352">IFERROR(INDEX('HIV-Other HPs'!$W$49:$W$74,MATCH($E352&amp;$F352,'HIV-Other HPs'!$E$49:$E$74&amp;'HIV-Other HPs'!$I$49:$I$74,0)),0)</f>
        <v>0</v>
      </c>
      <c r="AG352" s="652">
        <f t="shared" si="267"/>
        <v>0</v>
      </c>
      <c r="AH352" s="652">
        <f t="shared" si="268"/>
        <v>0</v>
      </c>
      <c r="AI352" s="652">
        <f t="shared" si="269"/>
        <v>0</v>
      </c>
      <c r="AJ352" s="651">
        <f t="array" ref="AJ352">IFERROR(INDEX('HIV-Other HPs'!$X$49:$X$74,MATCH($E352&amp;$F352,'HIV-Other HPs'!$E$49:$E$74&amp;'HIV-Other HPs'!$I$49:$I$74,0)),0)</f>
        <v>0</v>
      </c>
      <c r="AK352" s="652">
        <f t="shared" si="270"/>
        <v>0</v>
      </c>
      <c r="AL352" s="652">
        <f t="shared" si="271"/>
        <v>0</v>
      </c>
      <c r="AM352" s="652">
        <f t="shared" si="272"/>
        <v>0</v>
      </c>
      <c r="AN352" s="651">
        <f t="array" ref="AN352">IFERROR(INDEX('HIV-Other HPs'!$Y$49:$Y$74,MATCH($E352&amp;$F352,'HIV-Other HPs'!$E$49:$E$74&amp;'HIV-Other HPs'!$I$49:$I$74,0)),0)</f>
        <v>0</v>
      </c>
      <c r="AO352" s="652">
        <f t="shared" si="273"/>
        <v>0</v>
      </c>
      <c r="AP352" s="652">
        <f t="shared" si="274"/>
        <v>0</v>
      </c>
      <c r="AQ352" s="652">
        <f t="shared" si="275"/>
        <v>0</v>
      </c>
      <c r="AR352" s="664"/>
      <c r="AS352" s="651">
        <f t="array" ref="AS352">IFERROR(INDEX('HIV-Other HPs'!$AB$49:$AB$74,MATCH($E352&amp;$F352,'HIV-Other HPs'!$E$49:$E$74&amp;'HIV-Other HPs'!$I$49:$I$74,0)),0)</f>
        <v>0</v>
      </c>
      <c r="AT352" s="651">
        <f t="array" ref="AT352">IFERROR(INDEX('HIV-Other HPs'!$AC$49:$AC$74,MATCH($E352&amp;$F352,'HIV-Other HPs'!$E$49:$E$74&amp;'HIV-Other HPs'!$I$49:$I$74,0)),0)</f>
        <v>0</v>
      </c>
      <c r="AU352" s="652">
        <f t="shared" si="276"/>
        <v>0</v>
      </c>
      <c r="AV352" s="652">
        <f t="shared" si="277"/>
        <v>0</v>
      </c>
      <c r="AW352" s="652">
        <f t="shared" si="278"/>
        <v>0</v>
      </c>
      <c r="AX352" s="651">
        <f t="array" ref="AX352">IFERROR(INDEX('HIV-Other HPs'!$AD$49:$AD$74,MATCH($E352&amp;$F352,'HIV-Other HPs'!$E$49:$E$74&amp;'HIV-Other HPs'!$I$49:$I$74,0)),0)</f>
        <v>0</v>
      </c>
      <c r="AY352" s="652">
        <f t="shared" si="279"/>
        <v>0</v>
      </c>
      <c r="AZ352" s="652">
        <f t="shared" si="280"/>
        <v>0</v>
      </c>
      <c r="BA352" s="652">
        <f t="shared" si="281"/>
        <v>0</v>
      </c>
      <c r="BB352" s="651">
        <f t="array" ref="BB352">IFERROR(INDEX('HIV-Other HPs'!$AE$49:$AE$74,MATCH($E352&amp;$F352,'HIV-Other HPs'!$E$49:$E$74&amp;'HIV-Other HPs'!$I$49:$I$74,0)),0)</f>
        <v>0</v>
      </c>
      <c r="BC352" s="652">
        <f t="shared" si="282"/>
        <v>0</v>
      </c>
      <c r="BD352" s="652">
        <f t="shared" si="283"/>
        <v>0</v>
      </c>
      <c r="BE352" s="652">
        <f t="shared" si="284"/>
        <v>0</v>
      </c>
      <c r="BF352" s="651">
        <f t="array" ref="BF352">IFERROR(INDEX('HIV-Other HPs'!$AF$49:$AF$74,MATCH($E352&amp;$F352,'HIV-Other HPs'!$E$49:$E$74&amp;'HIV-Other HPs'!$I$49:$I$74,0)),0)</f>
        <v>0</v>
      </c>
      <c r="BG352" s="652">
        <f t="shared" si="285"/>
        <v>0</v>
      </c>
      <c r="BH352" s="652">
        <f t="shared" si="286"/>
        <v>0</v>
      </c>
      <c r="BI352" s="652">
        <f t="shared" si="287"/>
        <v>0</v>
      </c>
      <c r="BJ352" s="662"/>
      <c r="BK352" s="663"/>
      <c r="BL352" s="663"/>
      <c r="BM352" s="663"/>
      <c r="BN352" s="663"/>
      <c r="BO352" s="663"/>
      <c r="BP352" s="663"/>
      <c r="BQ352" s="663"/>
      <c r="BR352" s="663"/>
    </row>
    <row r="353" spans="1:70">
      <c r="A353" s="655" t="s">
        <v>566</v>
      </c>
      <c r="B353" s="655" t="s">
        <v>2285</v>
      </c>
      <c r="C353" s="648">
        <f>SETUP!$F$29</f>
        <v>0</v>
      </c>
      <c r="D353" s="654">
        <v>5.4</v>
      </c>
      <c r="E353" s="663" t="s">
        <v>205</v>
      </c>
      <c r="F353" s="663" t="s">
        <v>1526</v>
      </c>
      <c r="G353" s="650" t="str">
        <f t="array" ref="G353">IFERROR(INDEX('HIV-Other HPs'!$L$49:$L$74,MATCH($E353&amp;$F353,'HIV-Other HPs'!$E$49:$E$74&amp;'HIV-Other HPs'!$I$49:$I$74,0)),"")</f>
        <v/>
      </c>
      <c r="H353" s="650" t="str">
        <f t="array" ref="H353">IFERROR(INDEX('HIV-Other HPs'!$M$49:$M$74,MATCH($E353&amp;$F353,'HIV-Other HPs'!$E$49:$E$74&amp;'HIV-Other HPs'!$I$49:$I$74,0)),"")</f>
        <v/>
      </c>
      <c r="I353" s="651">
        <f t="array" ref="I353">IFERROR(INDEX('HIV-Other HPs'!$N$49:$N$74,MATCH($E353&amp;$F353,'HIV-Other HPs'!$E$49:$E$74&amp;'HIV-Other HPs'!$I$49:$I$74,0)),0)</f>
        <v>0</v>
      </c>
      <c r="J353" s="651">
        <f t="array" ref="J353">IFERROR(INDEX('HIV-Other HPs'!$O$49:$O$74,MATCH($E353&amp;$F353,'HIV-Other HPs'!$E$49:$E$74&amp;'HIV-Other HPs'!$I$49:$I$74,0)),0)</f>
        <v>0</v>
      </c>
      <c r="K353" s="652">
        <f t="shared" si="252"/>
        <v>0</v>
      </c>
      <c r="L353" s="652">
        <f t="shared" si="253"/>
        <v>0</v>
      </c>
      <c r="M353" s="652">
        <f t="shared" si="254"/>
        <v>0</v>
      </c>
      <c r="N353" s="651">
        <f t="array" ref="N353">IFERROR(INDEX('HIV-Other HPs'!$P$49:$P$74,MATCH($E353&amp;$F353,'HIV-Other HPs'!$E$49:$E$74&amp;'HIV-Other HPs'!$I$49:$I$74,0)),0)</f>
        <v>0</v>
      </c>
      <c r="O353" s="652">
        <f t="shared" si="255"/>
        <v>0</v>
      </c>
      <c r="P353" s="652">
        <f t="shared" si="256"/>
        <v>0</v>
      </c>
      <c r="Q353" s="652">
        <f t="shared" si="257"/>
        <v>0</v>
      </c>
      <c r="R353" s="651">
        <f t="array" ref="R353">IFERROR(INDEX('HIV-Other HPs'!$Q$49:$Q$74,MATCH($E353&amp;$F353,'HIV-Other HPs'!$E$49:$E$74&amp;'HIV-Other HPs'!$I$49:$I$74,0)),0)</f>
        <v>0</v>
      </c>
      <c r="S353" s="652">
        <f t="shared" si="258"/>
        <v>0</v>
      </c>
      <c r="T353" s="652">
        <f t="shared" si="259"/>
        <v>0</v>
      </c>
      <c r="U353" s="652">
        <f t="shared" si="260"/>
        <v>0</v>
      </c>
      <c r="V353" s="651">
        <f t="array" ref="V353">IFERROR(INDEX('HIV-Other HPs'!$R$49:$R$74,MATCH($E353&amp;$F353,'HIV-Other HPs'!$E$49:$E$74&amp;'HIV-Other HPs'!$I$49:$I$74,0)),0)</f>
        <v>0</v>
      </c>
      <c r="W353" s="652">
        <f t="shared" si="261"/>
        <v>0</v>
      </c>
      <c r="X353" s="652">
        <f t="shared" si="262"/>
        <v>0</v>
      </c>
      <c r="Y353" s="652">
        <f t="shared" si="263"/>
        <v>0</v>
      </c>
      <c r="Z353" s="664"/>
      <c r="AA353" s="651">
        <f t="array" ref="AA353">IFERROR(INDEX('HIV-Other HPs'!$U$49:$U$74,MATCH($E353&amp;$F353,'HIV-Other HPs'!$E$49:$E$74&amp;'HIV-Other HPs'!$I$49:$I$74,0)),0)</f>
        <v>0</v>
      </c>
      <c r="AB353" s="651">
        <f t="array" ref="AB353">IFERROR(INDEX('HIV-Other HPs'!$V$49:$V$74,MATCH($E353&amp;$F353,'HIV-Other HPs'!$E$49:$E$74&amp;'HIV-Other HPs'!$I$49:$I$74,0)),0)</f>
        <v>0</v>
      </c>
      <c r="AC353" s="652">
        <f t="shared" si="264"/>
        <v>0</v>
      </c>
      <c r="AD353" s="652">
        <f t="shared" si="265"/>
        <v>0</v>
      </c>
      <c r="AE353" s="652">
        <f t="shared" si="266"/>
        <v>0</v>
      </c>
      <c r="AF353" s="651">
        <f t="array" ref="AF353">IFERROR(INDEX('HIV-Other HPs'!$W$49:$W$74,MATCH($E353&amp;$F353,'HIV-Other HPs'!$E$49:$E$74&amp;'HIV-Other HPs'!$I$49:$I$74,0)),0)</f>
        <v>0</v>
      </c>
      <c r="AG353" s="652">
        <f t="shared" si="267"/>
        <v>0</v>
      </c>
      <c r="AH353" s="652">
        <f t="shared" si="268"/>
        <v>0</v>
      </c>
      <c r="AI353" s="652">
        <f t="shared" si="269"/>
        <v>0</v>
      </c>
      <c r="AJ353" s="651">
        <f t="array" ref="AJ353">IFERROR(INDEX('HIV-Other HPs'!$X$49:$X$74,MATCH($E353&amp;$F353,'HIV-Other HPs'!$E$49:$E$74&amp;'HIV-Other HPs'!$I$49:$I$74,0)),0)</f>
        <v>0</v>
      </c>
      <c r="AK353" s="652">
        <f t="shared" si="270"/>
        <v>0</v>
      </c>
      <c r="AL353" s="652">
        <f t="shared" si="271"/>
        <v>0</v>
      </c>
      <c r="AM353" s="652">
        <f t="shared" si="272"/>
        <v>0</v>
      </c>
      <c r="AN353" s="651">
        <f t="array" ref="AN353">IFERROR(INDEX('HIV-Other HPs'!$Y$49:$Y$74,MATCH($E353&amp;$F353,'HIV-Other HPs'!$E$49:$E$74&amp;'HIV-Other HPs'!$I$49:$I$74,0)),0)</f>
        <v>0</v>
      </c>
      <c r="AO353" s="652">
        <f t="shared" si="273"/>
        <v>0</v>
      </c>
      <c r="AP353" s="652">
        <f t="shared" si="274"/>
        <v>0</v>
      </c>
      <c r="AQ353" s="652">
        <f t="shared" si="275"/>
        <v>0</v>
      </c>
      <c r="AR353" s="664"/>
      <c r="AS353" s="651">
        <f t="array" ref="AS353">IFERROR(INDEX('HIV-Other HPs'!$AB$49:$AB$74,MATCH($E353&amp;$F353,'HIV-Other HPs'!$E$49:$E$74&amp;'HIV-Other HPs'!$I$49:$I$74,0)),0)</f>
        <v>0</v>
      </c>
      <c r="AT353" s="651">
        <f t="array" ref="AT353">IFERROR(INDEX('HIV-Other HPs'!$AC$49:$AC$74,MATCH($E353&amp;$F353,'HIV-Other HPs'!$E$49:$E$74&amp;'HIV-Other HPs'!$I$49:$I$74,0)),0)</f>
        <v>0</v>
      </c>
      <c r="AU353" s="652">
        <f t="shared" si="276"/>
        <v>0</v>
      </c>
      <c r="AV353" s="652">
        <f t="shared" si="277"/>
        <v>0</v>
      </c>
      <c r="AW353" s="652">
        <f t="shared" si="278"/>
        <v>0</v>
      </c>
      <c r="AX353" s="651">
        <f t="array" ref="AX353">IFERROR(INDEX('HIV-Other HPs'!$AD$49:$AD$74,MATCH($E353&amp;$F353,'HIV-Other HPs'!$E$49:$E$74&amp;'HIV-Other HPs'!$I$49:$I$74,0)),0)</f>
        <v>0</v>
      </c>
      <c r="AY353" s="652">
        <f t="shared" si="279"/>
        <v>0</v>
      </c>
      <c r="AZ353" s="652">
        <f t="shared" si="280"/>
        <v>0</v>
      </c>
      <c r="BA353" s="652">
        <f t="shared" si="281"/>
        <v>0</v>
      </c>
      <c r="BB353" s="651">
        <f t="array" ref="BB353">IFERROR(INDEX('HIV-Other HPs'!$AE$49:$AE$74,MATCH($E353&amp;$F353,'HIV-Other HPs'!$E$49:$E$74&amp;'HIV-Other HPs'!$I$49:$I$74,0)),0)</f>
        <v>0</v>
      </c>
      <c r="BC353" s="652">
        <f t="shared" si="282"/>
        <v>0</v>
      </c>
      <c r="BD353" s="652">
        <f t="shared" si="283"/>
        <v>0</v>
      </c>
      <c r="BE353" s="652">
        <f t="shared" si="284"/>
        <v>0</v>
      </c>
      <c r="BF353" s="651">
        <f t="array" ref="BF353">IFERROR(INDEX('HIV-Other HPs'!$AF$49:$AF$74,MATCH($E353&amp;$F353,'HIV-Other HPs'!$E$49:$E$74&amp;'HIV-Other HPs'!$I$49:$I$74,0)),0)</f>
        <v>0</v>
      </c>
      <c r="BG353" s="652">
        <f t="shared" si="285"/>
        <v>0</v>
      </c>
      <c r="BH353" s="652">
        <f t="shared" si="286"/>
        <v>0</v>
      </c>
      <c r="BI353" s="652">
        <f t="shared" si="287"/>
        <v>0</v>
      </c>
      <c r="BJ353" s="662"/>
      <c r="BK353" s="663"/>
      <c r="BL353" s="663"/>
      <c r="BM353" s="663"/>
      <c r="BN353" s="663"/>
      <c r="BO353" s="663"/>
      <c r="BP353" s="663"/>
      <c r="BQ353" s="663"/>
      <c r="BR353" s="663"/>
    </row>
    <row r="354" spans="1:70">
      <c r="A354" s="655" t="s">
        <v>566</v>
      </c>
      <c r="B354" s="655" t="s">
        <v>2285</v>
      </c>
      <c r="C354" s="648">
        <f>SETUP!$F$29</f>
        <v>0</v>
      </c>
      <c r="D354" s="654">
        <v>5.4</v>
      </c>
      <c r="E354" s="663" t="s">
        <v>205</v>
      </c>
      <c r="F354" s="663" t="s">
        <v>831</v>
      </c>
      <c r="G354" s="650" t="str">
        <f t="array" ref="G354">IFERROR(INDEX('HIV-Other HPs'!$L$49:$L$74,MATCH($E354&amp;$F354,'HIV-Other HPs'!$E$49:$E$74&amp;'HIV-Other HPs'!$I$49:$I$74,0)),"")</f>
        <v/>
      </c>
      <c r="H354" s="650" t="str">
        <f t="array" ref="H354">IFERROR(INDEX('HIV-Other HPs'!$M$49:$M$74,MATCH($E354&amp;$F354,'HIV-Other HPs'!$E$49:$E$74&amp;'HIV-Other HPs'!$I$49:$I$74,0)),"")</f>
        <v/>
      </c>
      <c r="I354" s="651">
        <f t="array" ref="I354">IFERROR(INDEX('HIV-Other HPs'!$N$49:$N$74,MATCH($E354&amp;$F354,'HIV-Other HPs'!$E$49:$E$74&amp;'HIV-Other HPs'!$I$49:$I$74,0)),0)</f>
        <v>0</v>
      </c>
      <c r="J354" s="651">
        <f t="array" ref="J354">IFERROR(INDEX('HIV-Other HPs'!$O$49:$O$74,MATCH($E354&amp;$F354,'HIV-Other HPs'!$E$49:$E$74&amp;'HIV-Other HPs'!$I$49:$I$74,0)),0)</f>
        <v>0</v>
      </c>
      <c r="K354" s="652">
        <f t="shared" si="252"/>
        <v>0</v>
      </c>
      <c r="L354" s="652">
        <f t="shared" si="253"/>
        <v>0</v>
      </c>
      <c r="M354" s="652">
        <f t="shared" si="254"/>
        <v>0</v>
      </c>
      <c r="N354" s="651">
        <f t="array" ref="N354">IFERROR(INDEX('HIV-Other HPs'!$P$49:$P$74,MATCH($E354&amp;$F354,'HIV-Other HPs'!$E$49:$E$74&amp;'HIV-Other HPs'!$I$49:$I$74,0)),0)</f>
        <v>0</v>
      </c>
      <c r="O354" s="652">
        <f t="shared" si="255"/>
        <v>0</v>
      </c>
      <c r="P354" s="652">
        <f t="shared" si="256"/>
        <v>0</v>
      </c>
      <c r="Q354" s="652">
        <f t="shared" si="257"/>
        <v>0</v>
      </c>
      <c r="R354" s="651">
        <f t="array" ref="R354">IFERROR(INDEX('HIV-Other HPs'!$Q$49:$Q$74,MATCH($E354&amp;$F354,'HIV-Other HPs'!$E$49:$E$74&amp;'HIV-Other HPs'!$I$49:$I$74,0)),0)</f>
        <v>0</v>
      </c>
      <c r="S354" s="652">
        <f t="shared" si="258"/>
        <v>0</v>
      </c>
      <c r="T354" s="652">
        <f t="shared" si="259"/>
        <v>0</v>
      </c>
      <c r="U354" s="652">
        <f t="shared" si="260"/>
        <v>0</v>
      </c>
      <c r="V354" s="651">
        <f t="array" ref="V354">IFERROR(INDEX('HIV-Other HPs'!$R$49:$R$74,MATCH($E354&amp;$F354,'HIV-Other HPs'!$E$49:$E$74&amp;'HIV-Other HPs'!$I$49:$I$74,0)),0)</f>
        <v>0</v>
      </c>
      <c r="W354" s="652">
        <f t="shared" si="261"/>
        <v>0</v>
      </c>
      <c r="X354" s="652">
        <f t="shared" si="262"/>
        <v>0</v>
      </c>
      <c r="Y354" s="652">
        <f t="shared" si="263"/>
        <v>0</v>
      </c>
      <c r="Z354" s="664"/>
      <c r="AA354" s="651">
        <f t="array" ref="AA354">IFERROR(INDEX('HIV-Other HPs'!$U$49:$U$74,MATCH($E354&amp;$F354,'HIV-Other HPs'!$E$49:$E$74&amp;'HIV-Other HPs'!$I$49:$I$74,0)),0)</f>
        <v>0</v>
      </c>
      <c r="AB354" s="651">
        <f t="array" ref="AB354">IFERROR(INDEX('HIV-Other HPs'!$V$49:$V$74,MATCH($E354&amp;$F354,'HIV-Other HPs'!$E$49:$E$74&amp;'HIV-Other HPs'!$I$49:$I$74,0)),0)</f>
        <v>0</v>
      </c>
      <c r="AC354" s="652">
        <f t="shared" si="264"/>
        <v>0</v>
      </c>
      <c r="AD354" s="652">
        <f t="shared" si="265"/>
        <v>0</v>
      </c>
      <c r="AE354" s="652">
        <f t="shared" si="266"/>
        <v>0</v>
      </c>
      <c r="AF354" s="651">
        <f t="array" ref="AF354">IFERROR(INDEX('HIV-Other HPs'!$W$49:$W$74,MATCH($E354&amp;$F354,'HIV-Other HPs'!$E$49:$E$74&amp;'HIV-Other HPs'!$I$49:$I$74,0)),0)</f>
        <v>0</v>
      </c>
      <c r="AG354" s="652">
        <f t="shared" si="267"/>
        <v>0</v>
      </c>
      <c r="AH354" s="652">
        <f t="shared" si="268"/>
        <v>0</v>
      </c>
      <c r="AI354" s="652">
        <f t="shared" si="269"/>
        <v>0</v>
      </c>
      <c r="AJ354" s="651">
        <f t="array" ref="AJ354">IFERROR(INDEX('HIV-Other HPs'!$X$49:$X$74,MATCH($E354&amp;$F354,'HIV-Other HPs'!$E$49:$E$74&amp;'HIV-Other HPs'!$I$49:$I$74,0)),0)</f>
        <v>0</v>
      </c>
      <c r="AK354" s="652">
        <f t="shared" si="270"/>
        <v>0</v>
      </c>
      <c r="AL354" s="652">
        <f t="shared" si="271"/>
        <v>0</v>
      </c>
      <c r="AM354" s="652">
        <f t="shared" si="272"/>
        <v>0</v>
      </c>
      <c r="AN354" s="651">
        <f t="array" ref="AN354">IFERROR(INDEX('HIV-Other HPs'!$Y$49:$Y$74,MATCH($E354&amp;$F354,'HIV-Other HPs'!$E$49:$E$74&amp;'HIV-Other HPs'!$I$49:$I$74,0)),0)</f>
        <v>0</v>
      </c>
      <c r="AO354" s="652">
        <f t="shared" si="273"/>
        <v>0</v>
      </c>
      <c r="AP354" s="652">
        <f t="shared" si="274"/>
        <v>0</v>
      </c>
      <c r="AQ354" s="652">
        <f t="shared" si="275"/>
        <v>0</v>
      </c>
      <c r="AR354" s="664"/>
      <c r="AS354" s="651">
        <f t="array" ref="AS354">IFERROR(INDEX('HIV-Other HPs'!$AB$49:$AB$74,MATCH($E354&amp;$F354,'HIV-Other HPs'!$E$49:$E$74&amp;'HIV-Other HPs'!$I$49:$I$74,0)),0)</f>
        <v>0</v>
      </c>
      <c r="AT354" s="651">
        <f t="array" ref="AT354">IFERROR(INDEX('HIV-Other HPs'!$AC$49:$AC$74,MATCH($E354&amp;$F354,'HIV-Other HPs'!$E$49:$E$74&amp;'HIV-Other HPs'!$I$49:$I$74,0)),0)</f>
        <v>0</v>
      </c>
      <c r="AU354" s="652">
        <f t="shared" si="276"/>
        <v>0</v>
      </c>
      <c r="AV354" s="652">
        <f t="shared" si="277"/>
        <v>0</v>
      </c>
      <c r="AW354" s="652">
        <f t="shared" si="278"/>
        <v>0</v>
      </c>
      <c r="AX354" s="651">
        <f t="array" ref="AX354">IFERROR(INDEX('HIV-Other HPs'!$AD$49:$AD$74,MATCH($E354&amp;$F354,'HIV-Other HPs'!$E$49:$E$74&amp;'HIV-Other HPs'!$I$49:$I$74,0)),0)</f>
        <v>0</v>
      </c>
      <c r="AY354" s="652">
        <f t="shared" si="279"/>
        <v>0</v>
      </c>
      <c r="AZ354" s="652">
        <f t="shared" si="280"/>
        <v>0</v>
      </c>
      <c r="BA354" s="652">
        <f t="shared" si="281"/>
        <v>0</v>
      </c>
      <c r="BB354" s="651">
        <f t="array" ref="BB354">IFERROR(INDEX('HIV-Other HPs'!$AE$49:$AE$74,MATCH($E354&amp;$F354,'HIV-Other HPs'!$E$49:$E$74&amp;'HIV-Other HPs'!$I$49:$I$74,0)),0)</f>
        <v>0</v>
      </c>
      <c r="BC354" s="652">
        <f t="shared" si="282"/>
        <v>0</v>
      </c>
      <c r="BD354" s="652">
        <f t="shared" si="283"/>
        <v>0</v>
      </c>
      <c r="BE354" s="652">
        <f t="shared" si="284"/>
        <v>0</v>
      </c>
      <c r="BF354" s="651">
        <f t="array" ref="BF354">IFERROR(INDEX('HIV-Other HPs'!$AF$49:$AF$74,MATCH($E354&amp;$F354,'HIV-Other HPs'!$E$49:$E$74&amp;'HIV-Other HPs'!$I$49:$I$74,0)),0)</f>
        <v>0</v>
      </c>
      <c r="BG354" s="652">
        <f t="shared" si="285"/>
        <v>0</v>
      </c>
      <c r="BH354" s="652">
        <f t="shared" si="286"/>
        <v>0</v>
      </c>
      <c r="BI354" s="652">
        <f t="shared" si="287"/>
        <v>0</v>
      </c>
      <c r="BJ354" s="662"/>
      <c r="BK354" s="663"/>
      <c r="BL354" s="663"/>
      <c r="BM354" s="663"/>
      <c r="BN354" s="663"/>
      <c r="BO354" s="663"/>
      <c r="BP354" s="663"/>
      <c r="BQ354" s="663"/>
      <c r="BR354" s="663"/>
    </row>
    <row r="355" spans="1:70">
      <c r="A355" s="655" t="s">
        <v>566</v>
      </c>
      <c r="B355" s="655" t="s">
        <v>2285</v>
      </c>
      <c r="C355" s="648">
        <f>SETUP!$F$29</f>
        <v>0</v>
      </c>
      <c r="D355" s="654">
        <v>5.4</v>
      </c>
      <c r="E355" s="663" t="s">
        <v>205</v>
      </c>
      <c r="F355" s="663" t="s">
        <v>830</v>
      </c>
      <c r="G355" s="650" t="str">
        <f t="array" ref="G355">IFERROR(INDEX('HIV-Other HPs'!$L$49:$L$74,MATCH($E355&amp;$F355,'HIV-Other HPs'!$E$49:$E$74&amp;'HIV-Other HPs'!$I$49:$I$74,0)),"")</f>
        <v/>
      </c>
      <c r="H355" s="650" t="str">
        <f t="array" ref="H355">IFERROR(INDEX('HIV-Other HPs'!$M$49:$M$74,MATCH($E355&amp;$F355,'HIV-Other HPs'!$E$49:$E$74&amp;'HIV-Other HPs'!$I$49:$I$74,0)),"")</f>
        <v/>
      </c>
      <c r="I355" s="651">
        <f t="array" ref="I355">IFERROR(INDEX('HIV-Other HPs'!$N$49:$N$74,MATCH($E355&amp;$F355,'HIV-Other HPs'!$E$49:$E$74&amp;'HIV-Other HPs'!$I$49:$I$74,0)),0)</f>
        <v>0</v>
      </c>
      <c r="J355" s="651">
        <f t="array" ref="J355">IFERROR(INDEX('HIV-Other HPs'!$O$49:$O$74,MATCH($E355&amp;$F355,'HIV-Other HPs'!$E$49:$E$74&amp;'HIV-Other HPs'!$I$49:$I$74,0)),0)</f>
        <v>0</v>
      </c>
      <c r="K355" s="652">
        <f t="shared" si="252"/>
        <v>0</v>
      </c>
      <c r="L355" s="652">
        <f t="shared" si="253"/>
        <v>0</v>
      </c>
      <c r="M355" s="652">
        <f t="shared" si="254"/>
        <v>0</v>
      </c>
      <c r="N355" s="651">
        <f t="array" ref="N355">IFERROR(INDEX('HIV-Other HPs'!$P$49:$P$74,MATCH($E355&amp;$F355,'HIV-Other HPs'!$E$49:$E$74&amp;'HIV-Other HPs'!$I$49:$I$74,0)),0)</f>
        <v>0</v>
      </c>
      <c r="O355" s="652">
        <f t="shared" si="255"/>
        <v>0</v>
      </c>
      <c r="P355" s="652">
        <f t="shared" si="256"/>
        <v>0</v>
      </c>
      <c r="Q355" s="652">
        <f t="shared" si="257"/>
        <v>0</v>
      </c>
      <c r="R355" s="651">
        <f t="array" ref="R355">IFERROR(INDEX('HIV-Other HPs'!$Q$49:$Q$74,MATCH($E355&amp;$F355,'HIV-Other HPs'!$E$49:$E$74&amp;'HIV-Other HPs'!$I$49:$I$74,0)),0)</f>
        <v>0</v>
      </c>
      <c r="S355" s="652">
        <f t="shared" si="258"/>
        <v>0</v>
      </c>
      <c r="T355" s="652">
        <f t="shared" si="259"/>
        <v>0</v>
      </c>
      <c r="U355" s="652">
        <f t="shared" si="260"/>
        <v>0</v>
      </c>
      <c r="V355" s="651">
        <f t="array" ref="V355">IFERROR(INDEX('HIV-Other HPs'!$R$49:$R$74,MATCH($E355&amp;$F355,'HIV-Other HPs'!$E$49:$E$74&amp;'HIV-Other HPs'!$I$49:$I$74,0)),0)</f>
        <v>0</v>
      </c>
      <c r="W355" s="652">
        <f t="shared" si="261"/>
        <v>0</v>
      </c>
      <c r="X355" s="652">
        <f t="shared" si="262"/>
        <v>0</v>
      </c>
      <c r="Y355" s="652">
        <f t="shared" si="263"/>
        <v>0</v>
      </c>
      <c r="Z355" s="664"/>
      <c r="AA355" s="651">
        <f t="array" ref="AA355">IFERROR(INDEX('HIV-Other HPs'!$U$49:$U$74,MATCH($E355&amp;$F355,'HIV-Other HPs'!$E$49:$E$74&amp;'HIV-Other HPs'!$I$49:$I$74,0)),0)</f>
        <v>0</v>
      </c>
      <c r="AB355" s="651">
        <f t="array" ref="AB355">IFERROR(INDEX('HIV-Other HPs'!$V$49:$V$74,MATCH($E355&amp;$F355,'HIV-Other HPs'!$E$49:$E$74&amp;'HIV-Other HPs'!$I$49:$I$74,0)),0)</f>
        <v>0</v>
      </c>
      <c r="AC355" s="652">
        <f t="shared" si="264"/>
        <v>0</v>
      </c>
      <c r="AD355" s="652">
        <f t="shared" si="265"/>
        <v>0</v>
      </c>
      <c r="AE355" s="652">
        <f t="shared" si="266"/>
        <v>0</v>
      </c>
      <c r="AF355" s="651">
        <f t="array" ref="AF355">IFERROR(INDEX('HIV-Other HPs'!$W$49:$W$74,MATCH($E355&amp;$F355,'HIV-Other HPs'!$E$49:$E$74&amp;'HIV-Other HPs'!$I$49:$I$74,0)),0)</f>
        <v>0</v>
      </c>
      <c r="AG355" s="652">
        <f t="shared" si="267"/>
        <v>0</v>
      </c>
      <c r="AH355" s="652">
        <f t="shared" si="268"/>
        <v>0</v>
      </c>
      <c r="AI355" s="652">
        <f t="shared" si="269"/>
        <v>0</v>
      </c>
      <c r="AJ355" s="651">
        <f t="array" ref="AJ355">IFERROR(INDEX('HIV-Other HPs'!$X$49:$X$74,MATCH($E355&amp;$F355,'HIV-Other HPs'!$E$49:$E$74&amp;'HIV-Other HPs'!$I$49:$I$74,0)),0)</f>
        <v>0</v>
      </c>
      <c r="AK355" s="652">
        <f t="shared" si="270"/>
        <v>0</v>
      </c>
      <c r="AL355" s="652">
        <f t="shared" si="271"/>
        <v>0</v>
      </c>
      <c r="AM355" s="652">
        <f t="shared" si="272"/>
        <v>0</v>
      </c>
      <c r="AN355" s="651">
        <f t="array" ref="AN355">IFERROR(INDEX('HIV-Other HPs'!$Y$49:$Y$74,MATCH($E355&amp;$F355,'HIV-Other HPs'!$E$49:$E$74&amp;'HIV-Other HPs'!$I$49:$I$74,0)),0)</f>
        <v>0</v>
      </c>
      <c r="AO355" s="652">
        <f t="shared" si="273"/>
        <v>0</v>
      </c>
      <c r="AP355" s="652">
        <f t="shared" si="274"/>
        <v>0</v>
      </c>
      <c r="AQ355" s="652">
        <f t="shared" si="275"/>
        <v>0</v>
      </c>
      <c r="AR355" s="664"/>
      <c r="AS355" s="651">
        <f t="array" ref="AS355">IFERROR(INDEX('HIV-Other HPs'!$AB$49:$AB$74,MATCH($E355&amp;$F355,'HIV-Other HPs'!$E$49:$E$74&amp;'HIV-Other HPs'!$I$49:$I$74,0)),0)</f>
        <v>0</v>
      </c>
      <c r="AT355" s="651">
        <f t="array" ref="AT355">IFERROR(INDEX('HIV-Other HPs'!$AC$49:$AC$74,MATCH($E355&amp;$F355,'HIV-Other HPs'!$E$49:$E$74&amp;'HIV-Other HPs'!$I$49:$I$74,0)),0)</f>
        <v>0</v>
      </c>
      <c r="AU355" s="652">
        <f t="shared" si="276"/>
        <v>0</v>
      </c>
      <c r="AV355" s="652">
        <f t="shared" si="277"/>
        <v>0</v>
      </c>
      <c r="AW355" s="652">
        <f t="shared" si="278"/>
        <v>0</v>
      </c>
      <c r="AX355" s="651">
        <f t="array" ref="AX355">IFERROR(INDEX('HIV-Other HPs'!$AD$49:$AD$74,MATCH($E355&amp;$F355,'HIV-Other HPs'!$E$49:$E$74&amp;'HIV-Other HPs'!$I$49:$I$74,0)),0)</f>
        <v>0</v>
      </c>
      <c r="AY355" s="652">
        <f t="shared" si="279"/>
        <v>0</v>
      </c>
      <c r="AZ355" s="652">
        <f t="shared" si="280"/>
        <v>0</v>
      </c>
      <c r="BA355" s="652">
        <f t="shared" si="281"/>
        <v>0</v>
      </c>
      <c r="BB355" s="651">
        <f t="array" ref="BB355">IFERROR(INDEX('HIV-Other HPs'!$AE$49:$AE$74,MATCH($E355&amp;$F355,'HIV-Other HPs'!$E$49:$E$74&amp;'HIV-Other HPs'!$I$49:$I$74,0)),0)</f>
        <v>0</v>
      </c>
      <c r="BC355" s="652">
        <f t="shared" si="282"/>
        <v>0</v>
      </c>
      <c r="BD355" s="652">
        <f t="shared" si="283"/>
        <v>0</v>
      </c>
      <c r="BE355" s="652">
        <f t="shared" si="284"/>
        <v>0</v>
      </c>
      <c r="BF355" s="651">
        <f t="array" ref="BF355">IFERROR(INDEX('HIV-Other HPs'!$AF$49:$AF$74,MATCH($E355&amp;$F355,'HIV-Other HPs'!$E$49:$E$74&amp;'HIV-Other HPs'!$I$49:$I$74,0)),0)</f>
        <v>0</v>
      </c>
      <c r="BG355" s="652">
        <f t="shared" si="285"/>
        <v>0</v>
      </c>
      <c r="BH355" s="652">
        <f t="shared" si="286"/>
        <v>0</v>
      </c>
      <c r="BI355" s="652">
        <f t="shared" si="287"/>
        <v>0</v>
      </c>
      <c r="BJ355" s="662"/>
      <c r="BK355" s="663"/>
      <c r="BL355" s="663"/>
      <c r="BM355" s="663"/>
      <c r="BN355" s="663"/>
      <c r="BO355" s="663"/>
      <c r="BP355" s="663"/>
      <c r="BQ355" s="663"/>
      <c r="BR355" s="663"/>
    </row>
    <row r="356" spans="1:70">
      <c r="A356" s="655" t="s">
        <v>566</v>
      </c>
      <c r="B356" s="655" t="s">
        <v>2285</v>
      </c>
      <c r="C356" s="648">
        <f>SETUP!$F$29</f>
        <v>0</v>
      </c>
      <c r="D356" s="654">
        <v>5.4</v>
      </c>
      <c r="E356" s="663" t="s">
        <v>205</v>
      </c>
      <c r="F356" s="663" t="s">
        <v>1527</v>
      </c>
      <c r="G356" s="650" t="str">
        <f t="array" ref="G356">IFERROR(INDEX('HIV-Other HPs'!$L$49:$L$74,MATCH($E356&amp;$F356,'HIV-Other HPs'!$E$49:$E$74&amp;'HIV-Other HPs'!$I$49:$I$74,0)),"")</f>
        <v/>
      </c>
      <c r="H356" s="650" t="str">
        <f t="array" ref="H356">IFERROR(INDEX('HIV-Other HPs'!$M$49:$M$74,MATCH($E356&amp;$F356,'HIV-Other HPs'!$E$49:$E$74&amp;'HIV-Other HPs'!$I$49:$I$74,0)),"")</f>
        <v/>
      </c>
      <c r="I356" s="651">
        <f t="array" ref="I356">IFERROR(INDEX('HIV-Other HPs'!$N$49:$N$74,MATCH($E356&amp;$F356,'HIV-Other HPs'!$E$49:$E$74&amp;'HIV-Other HPs'!$I$49:$I$74,0)),0)</f>
        <v>0</v>
      </c>
      <c r="J356" s="651">
        <f t="array" ref="J356">IFERROR(INDEX('HIV-Other HPs'!$O$49:$O$74,MATCH($E356&amp;$F356,'HIV-Other HPs'!$E$49:$E$74&amp;'HIV-Other HPs'!$I$49:$I$74,0)),0)</f>
        <v>0</v>
      </c>
      <c r="K356" s="652">
        <f t="shared" si="252"/>
        <v>0</v>
      </c>
      <c r="L356" s="652">
        <f t="shared" si="253"/>
        <v>0</v>
      </c>
      <c r="M356" s="652">
        <f t="shared" si="254"/>
        <v>0</v>
      </c>
      <c r="N356" s="651">
        <f t="array" ref="N356">IFERROR(INDEX('HIV-Other HPs'!$P$49:$P$74,MATCH($E356&amp;$F356,'HIV-Other HPs'!$E$49:$E$74&amp;'HIV-Other HPs'!$I$49:$I$74,0)),0)</f>
        <v>0</v>
      </c>
      <c r="O356" s="652">
        <f t="shared" si="255"/>
        <v>0</v>
      </c>
      <c r="P356" s="652">
        <f t="shared" si="256"/>
        <v>0</v>
      </c>
      <c r="Q356" s="652">
        <f t="shared" si="257"/>
        <v>0</v>
      </c>
      <c r="R356" s="651">
        <f t="array" ref="R356">IFERROR(INDEX('HIV-Other HPs'!$Q$49:$Q$74,MATCH($E356&amp;$F356,'HIV-Other HPs'!$E$49:$E$74&amp;'HIV-Other HPs'!$I$49:$I$74,0)),0)</f>
        <v>0</v>
      </c>
      <c r="S356" s="652">
        <f t="shared" si="258"/>
        <v>0</v>
      </c>
      <c r="T356" s="652">
        <f t="shared" si="259"/>
        <v>0</v>
      </c>
      <c r="U356" s="652">
        <f t="shared" si="260"/>
        <v>0</v>
      </c>
      <c r="V356" s="651">
        <f t="array" ref="V356">IFERROR(INDEX('HIV-Other HPs'!$R$49:$R$74,MATCH($E356&amp;$F356,'HIV-Other HPs'!$E$49:$E$74&amp;'HIV-Other HPs'!$I$49:$I$74,0)),0)</f>
        <v>0</v>
      </c>
      <c r="W356" s="652">
        <f t="shared" si="261"/>
        <v>0</v>
      </c>
      <c r="X356" s="652">
        <f t="shared" si="262"/>
        <v>0</v>
      </c>
      <c r="Y356" s="652">
        <f t="shared" si="263"/>
        <v>0</v>
      </c>
      <c r="Z356" s="664"/>
      <c r="AA356" s="651">
        <f t="array" ref="AA356">IFERROR(INDEX('HIV-Other HPs'!$U$49:$U$74,MATCH($E356&amp;$F356,'HIV-Other HPs'!$E$49:$E$74&amp;'HIV-Other HPs'!$I$49:$I$74,0)),0)</f>
        <v>0</v>
      </c>
      <c r="AB356" s="651">
        <f t="array" ref="AB356">IFERROR(INDEX('HIV-Other HPs'!$V$49:$V$74,MATCH($E356&amp;$F356,'HIV-Other HPs'!$E$49:$E$74&amp;'HIV-Other HPs'!$I$49:$I$74,0)),0)</f>
        <v>0</v>
      </c>
      <c r="AC356" s="652">
        <f t="shared" si="264"/>
        <v>0</v>
      </c>
      <c r="AD356" s="652">
        <f t="shared" si="265"/>
        <v>0</v>
      </c>
      <c r="AE356" s="652">
        <f t="shared" si="266"/>
        <v>0</v>
      </c>
      <c r="AF356" s="651">
        <f t="array" ref="AF356">IFERROR(INDEX('HIV-Other HPs'!$W$49:$W$74,MATCH($E356&amp;$F356,'HIV-Other HPs'!$E$49:$E$74&amp;'HIV-Other HPs'!$I$49:$I$74,0)),0)</f>
        <v>0</v>
      </c>
      <c r="AG356" s="652">
        <f t="shared" si="267"/>
        <v>0</v>
      </c>
      <c r="AH356" s="652">
        <f t="shared" si="268"/>
        <v>0</v>
      </c>
      <c r="AI356" s="652">
        <f t="shared" si="269"/>
        <v>0</v>
      </c>
      <c r="AJ356" s="651">
        <f t="array" ref="AJ356">IFERROR(INDEX('HIV-Other HPs'!$X$49:$X$74,MATCH($E356&amp;$F356,'HIV-Other HPs'!$E$49:$E$74&amp;'HIV-Other HPs'!$I$49:$I$74,0)),0)</f>
        <v>0</v>
      </c>
      <c r="AK356" s="652">
        <f t="shared" si="270"/>
        <v>0</v>
      </c>
      <c r="AL356" s="652">
        <f t="shared" si="271"/>
        <v>0</v>
      </c>
      <c r="AM356" s="652">
        <f t="shared" si="272"/>
        <v>0</v>
      </c>
      <c r="AN356" s="651">
        <f t="array" ref="AN356">IFERROR(INDEX('HIV-Other HPs'!$Y$49:$Y$74,MATCH($E356&amp;$F356,'HIV-Other HPs'!$E$49:$E$74&amp;'HIV-Other HPs'!$I$49:$I$74,0)),0)</f>
        <v>0</v>
      </c>
      <c r="AO356" s="652">
        <f t="shared" si="273"/>
        <v>0</v>
      </c>
      <c r="AP356" s="652">
        <f t="shared" si="274"/>
        <v>0</v>
      </c>
      <c r="AQ356" s="652">
        <f t="shared" si="275"/>
        <v>0</v>
      </c>
      <c r="AR356" s="664"/>
      <c r="AS356" s="651">
        <f t="array" ref="AS356">IFERROR(INDEX('HIV-Other HPs'!$AB$49:$AB$74,MATCH($E356&amp;$F356,'HIV-Other HPs'!$E$49:$E$74&amp;'HIV-Other HPs'!$I$49:$I$74,0)),0)</f>
        <v>0</v>
      </c>
      <c r="AT356" s="651">
        <f t="array" ref="AT356">IFERROR(INDEX('HIV-Other HPs'!$AC$49:$AC$74,MATCH($E356&amp;$F356,'HIV-Other HPs'!$E$49:$E$74&amp;'HIV-Other HPs'!$I$49:$I$74,0)),0)</f>
        <v>0</v>
      </c>
      <c r="AU356" s="652">
        <f t="shared" si="276"/>
        <v>0</v>
      </c>
      <c r="AV356" s="652">
        <f t="shared" si="277"/>
        <v>0</v>
      </c>
      <c r="AW356" s="652">
        <f t="shared" si="278"/>
        <v>0</v>
      </c>
      <c r="AX356" s="651">
        <f t="array" ref="AX356">IFERROR(INDEX('HIV-Other HPs'!$AD$49:$AD$74,MATCH($E356&amp;$F356,'HIV-Other HPs'!$E$49:$E$74&amp;'HIV-Other HPs'!$I$49:$I$74,0)),0)</f>
        <v>0</v>
      </c>
      <c r="AY356" s="652">
        <f t="shared" si="279"/>
        <v>0</v>
      </c>
      <c r="AZ356" s="652">
        <f t="shared" si="280"/>
        <v>0</v>
      </c>
      <c r="BA356" s="652">
        <f t="shared" si="281"/>
        <v>0</v>
      </c>
      <c r="BB356" s="651">
        <f t="array" ref="BB356">IFERROR(INDEX('HIV-Other HPs'!$AE$49:$AE$74,MATCH($E356&amp;$F356,'HIV-Other HPs'!$E$49:$E$74&amp;'HIV-Other HPs'!$I$49:$I$74,0)),0)</f>
        <v>0</v>
      </c>
      <c r="BC356" s="652">
        <f t="shared" si="282"/>
        <v>0</v>
      </c>
      <c r="BD356" s="652">
        <f t="shared" si="283"/>
        <v>0</v>
      </c>
      <c r="BE356" s="652">
        <f t="shared" si="284"/>
        <v>0</v>
      </c>
      <c r="BF356" s="651">
        <f t="array" ref="BF356">IFERROR(INDEX('HIV-Other HPs'!$AF$49:$AF$74,MATCH($E356&amp;$F356,'HIV-Other HPs'!$E$49:$E$74&amp;'HIV-Other HPs'!$I$49:$I$74,0)),0)</f>
        <v>0</v>
      </c>
      <c r="BG356" s="652">
        <f t="shared" si="285"/>
        <v>0</v>
      </c>
      <c r="BH356" s="652">
        <f t="shared" si="286"/>
        <v>0</v>
      </c>
      <c r="BI356" s="652">
        <f t="shared" si="287"/>
        <v>0</v>
      </c>
      <c r="BJ356" s="662"/>
      <c r="BK356" s="663"/>
      <c r="BL356" s="663"/>
      <c r="BM356" s="663"/>
      <c r="BN356" s="663"/>
      <c r="BO356" s="663"/>
      <c r="BP356" s="663"/>
      <c r="BQ356" s="663"/>
      <c r="BR356" s="663"/>
    </row>
    <row r="357" spans="1:70">
      <c r="A357" s="655" t="s">
        <v>566</v>
      </c>
      <c r="B357" s="655" t="s">
        <v>2285</v>
      </c>
      <c r="C357" s="648">
        <f>SETUP!$F$29</f>
        <v>0</v>
      </c>
      <c r="D357" s="654">
        <v>5.4</v>
      </c>
      <c r="E357" s="663" t="s">
        <v>205</v>
      </c>
      <c r="F357" s="663" t="s">
        <v>1140</v>
      </c>
      <c r="G357" s="650" t="str">
        <f t="array" ref="G357">IFERROR(INDEX('HIV-Other HPs'!$L$49:$L$74,MATCH($E357&amp;$F357,'HIV-Other HPs'!$E$49:$E$74&amp;'HIV-Other HPs'!$I$49:$I$74,0)),"")</f>
        <v/>
      </c>
      <c r="H357" s="650" t="str">
        <f t="array" ref="H357">IFERROR(INDEX('HIV-Other HPs'!$M$49:$M$74,MATCH($E357&amp;$F357,'HIV-Other HPs'!$E$49:$E$74&amp;'HIV-Other HPs'!$I$49:$I$74,0)),"")</f>
        <v/>
      </c>
      <c r="I357" s="651">
        <f t="array" ref="I357">IFERROR(INDEX('HIV-Other HPs'!$N$49:$N$74,MATCH($E357&amp;$F357,'HIV-Other HPs'!$E$49:$E$74&amp;'HIV-Other HPs'!$I$49:$I$74,0)),0)</f>
        <v>0</v>
      </c>
      <c r="J357" s="651">
        <f t="array" ref="J357">IFERROR(INDEX('HIV-Other HPs'!$O$49:$O$74,MATCH($E357&amp;$F357,'HIV-Other HPs'!$E$49:$E$74&amp;'HIV-Other HPs'!$I$49:$I$74,0)),0)</f>
        <v>0</v>
      </c>
      <c r="K357" s="652">
        <f t="shared" si="252"/>
        <v>0</v>
      </c>
      <c r="L357" s="652">
        <f t="shared" si="253"/>
        <v>0</v>
      </c>
      <c r="M357" s="652">
        <f t="shared" si="254"/>
        <v>0</v>
      </c>
      <c r="N357" s="651">
        <f t="array" ref="N357">IFERROR(INDEX('HIV-Other HPs'!$P$49:$P$74,MATCH($E357&amp;$F357,'HIV-Other HPs'!$E$49:$E$74&amp;'HIV-Other HPs'!$I$49:$I$74,0)),0)</f>
        <v>0</v>
      </c>
      <c r="O357" s="652">
        <f t="shared" si="255"/>
        <v>0</v>
      </c>
      <c r="P357" s="652">
        <f t="shared" si="256"/>
        <v>0</v>
      </c>
      <c r="Q357" s="652">
        <f t="shared" si="257"/>
        <v>0</v>
      </c>
      <c r="R357" s="651">
        <f t="array" ref="R357">IFERROR(INDEX('HIV-Other HPs'!$Q$49:$Q$74,MATCH($E357&amp;$F357,'HIV-Other HPs'!$E$49:$E$74&amp;'HIV-Other HPs'!$I$49:$I$74,0)),0)</f>
        <v>0</v>
      </c>
      <c r="S357" s="652">
        <f t="shared" si="258"/>
        <v>0</v>
      </c>
      <c r="T357" s="652">
        <f t="shared" si="259"/>
        <v>0</v>
      </c>
      <c r="U357" s="652">
        <f t="shared" si="260"/>
        <v>0</v>
      </c>
      <c r="V357" s="651">
        <f t="array" ref="V357">IFERROR(INDEX('HIV-Other HPs'!$R$49:$R$74,MATCH($E357&amp;$F357,'HIV-Other HPs'!$E$49:$E$74&amp;'HIV-Other HPs'!$I$49:$I$74,0)),0)</f>
        <v>0</v>
      </c>
      <c r="W357" s="652">
        <f t="shared" si="261"/>
        <v>0</v>
      </c>
      <c r="X357" s="652">
        <f t="shared" si="262"/>
        <v>0</v>
      </c>
      <c r="Y357" s="652">
        <f t="shared" si="263"/>
        <v>0</v>
      </c>
      <c r="Z357" s="664"/>
      <c r="AA357" s="651">
        <f t="array" ref="AA357">IFERROR(INDEX('HIV-Other HPs'!$U$49:$U$74,MATCH($E357&amp;$F357,'HIV-Other HPs'!$E$49:$E$74&amp;'HIV-Other HPs'!$I$49:$I$74,0)),0)</f>
        <v>0</v>
      </c>
      <c r="AB357" s="651">
        <f t="array" ref="AB357">IFERROR(INDEX('HIV-Other HPs'!$V$49:$V$74,MATCH($E357&amp;$F357,'HIV-Other HPs'!$E$49:$E$74&amp;'HIV-Other HPs'!$I$49:$I$74,0)),0)</f>
        <v>0</v>
      </c>
      <c r="AC357" s="652">
        <f t="shared" si="264"/>
        <v>0</v>
      </c>
      <c r="AD357" s="652">
        <f t="shared" si="265"/>
        <v>0</v>
      </c>
      <c r="AE357" s="652">
        <f t="shared" si="266"/>
        <v>0</v>
      </c>
      <c r="AF357" s="651">
        <f t="array" ref="AF357">IFERROR(INDEX('HIV-Other HPs'!$W$49:$W$74,MATCH($E357&amp;$F357,'HIV-Other HPs'!$E$49:$E$74&amp;'HIV-Other HPs'!$I$49:$I$74,0)),0)</f>
        <v>0</v>
      </c>
      <c r="AG357" s="652">
        <f t="shared" si="267"/>
        <v>0</v>
      </c>
      <c r="AH357" s="652">
        <f t="shared" si="268"/>
        <v>0</v>
      </c>
      <c r="AI357" s="652">
        <f t="shared" si="269"/>
        <v>0</v>
      </c>
      <c r="AJ357" s="651">
        <f t="array" ref="AJ357">IFERROR(INDEX('HIV-Other HPs'!$X$49:$X$74,MATCH($E357&amp;$F357,'HIV-Other HPs'!$E$49:$E$74&amp;'HIV-Other HPs'!$I$49:$I$74,0)),0)</f>
        <v>0</v>
      </c>
      <c r="AK357" s="652">
        <f t="shared" si="270"/>
        <v>0</v>
      </c>
      <c r="AL357" s="652">
        <f t="shared" si="271"/>
        <v>0</v>
      </c>
      <c r="AM357" s="652">
        <f t="shared" si="272"/>
        <v>0</v>
      </c>
      <c r="AN357" s="651">
        <f t="array" ref="AN357">IFERROR(INDEX('HIV-Other HPs'!$Y$49:$Y$74,MATCH($E357&amp;$F357,'HIV-Other HPs'!$E$49:$E$74&amp;'HIV-Other HPs'!$I$49:$I$74,0)),0)</f>
        <v>0</v>
      </c>
      <c r="AO357" s="652">
        <f t="shared" si="273"/>
        <v>0</v>
      </c>
      <c r="AP357" s="652">
        <f t="shared" si="274"/>
        <v>0</v>
      </c>
      <c r="AQ357" s="652">
        <f t="shared" si="275"/>
        <v>0</v>
      </c>
      <c r="AR357" s="664"/>
      <c r="AS357" s="651">
        <f t="array" ref="AS357">IFERROR(INDEX('HIV-Other HPs'!$AB$49:$AB$74,MATCH($E357&amp;$F357,'HIV-Other HPs'!$E$49:$E$74&amp;'HIV-Other HPs'!$I$49:$I$74,0)),0)</f>
        <v>0</v>
      </c>
      <c r="AT357" s="651">
        <f t="array" ref="AT357">IFERROR(INDEX('HIV-Other HPs'!$AC$49:$AC$74,MATCH($E357&amp;$F357,'HIV-Other HPs'!$E$49:$E$74&amp;'HIV-Other HPs'!$I$49:$I$74,0)),0)</f>
        <v>0</v>
      </c>
      <c r="AU357" s="652">
        <f t="shared" si="276"/>
        <v>0</v>
      </c>
      <c r="AV357" s="652">
        <f t="shared" si="277"/>
        <v>0</v>
      </c>
      <c r="AW357" s="652">
        <f t="shared" si="278"/>
        <v>0</v>
      </c>
      <c r="AX357" s="651">
        <f t="array" ref="AX357">IFERROR(INDEX('HIV-Other HPs'!$AD$49:$AD$74,MATCH($E357&amp;$F357,'HIV-Other HPs'!$E$49:$E$74&amp;'HIV-Other HPs'!$I$49:$I$74,0)),0)</f>
        <v>0</v>
      </c>
      <c r="AY357" s="652">
        <f t="shared" si="279"/>
        <v>0</v>
      </c>
      <c r="AZ357" s="652">
        <f t="shared" si="280"/>
        <v>0</v>
      </c>
      <c r="BA357" s="652">
        <f t="shared" si="281"/>
        <v>0</v>
      </c>
      <c r="BB357" s="651">
        <f t="array" ref="BB357">IFERROR(INDEX('HIV-Other HPs'!$AE$49:$AE$74,MATCH($E357&amp;$F357,'HIV-Other HPs'!$E$49:$E$74&amp;'HIV-Other HPs'!$I$49:$I$74,0)),0)</f>
        <v>0</v>
      </c>
      <c r="BC357" s="652">
        <f t="shared" si="282"/>
        <v>0</v>
      </c>
      <c r="BD357" s="652">
        <f t="shared" si="283"/>
        <v>0</v>
      </c>
      <c r="BE357" s="652">
        <f t="shared" si="284"/>
        <v>0</v>
      </c>
      <c r="BF357" s="651">
        <f t="array" ref="BF357">IFERROR(INDEX('HIV-Other HPs'!$AF$49:$AF$74,MATCH($E357&amp;$F357,'HIV-Other HPs'!$E$49:$E$74&amp;'HIV-Other HPs'!$I$49:$I$74,0)),0)</f>
        <v>0</v>
      </c>
      <c r="BG357" s="652">
        <f t="shared" si="285"/>
        <v>0</v>
      </c>
      <c r="BH357" s="652">
        <f t="shared" si="286"/>
        <v>0</v>
      </c>
      <c r="BI357" s="652">
        <f t="shared" si="287"/>
        <v>0</v>
      </c>
      <c r="BJ357" s="662"/>
      <c r="BK357" s="663"/>
      <c r="BL357" s="663"/>
      <c r="BM357" s="663"/>
      <c r="BN357" s="663"/>
      <c r="BO357" s="663"/>
      <c r="BP357" s="663"/>
      <c r="BQ357" s="663"/>
      <c r="BR357" s="663"/>
    </row>
    <row r="358" spans="1:70">
      <c r="A358" s="655" t="s">
        <v>567</v>
      </c>
      <c r="B358" s="655" t="s">
        <v>2285</v>
      </c>
      <c r="C358" s="648">
        <f>SETUP!$F$31</f>
        <v>0</v>
      </c>
      <c r="D358" s="654">
        <v>5.4</v>
      </c>
      <c r="E358" s="663" t="s">
        <v>210</v>
      </c>
      <c r="F358" s="663" t="s">
        <v>1716</v>
      </c>
      <c r="G358" s="650" t="str">
        <f t="array" ref="G358">IFERROR(INDEX('HIV-Other HPs'!$L$49:$L$74,MATCH($E358&amp;$F358,'HIV-Other HPs'!$E$49:$E$74&amp;'HIV-Other HPs'!$I$49:$I$74,0)),"")</f>
        <v/>
      </c>
      <c r="H358" s="650" t="str">
        <f t="array" ref="H358">IFERROR(INDEX('HIV-Other HPs'!$M$49:$M$74,MATCH($E358&amp;$F358,'HIV-Other HPs'!$E$49:$E$74&amp;'HIV-Other HPs'!$I$49:$I$74,0)),"")</f>
        <v/>
      </c>
      <c r="I358" s="651">
        <f t="array" ref="I358">IFERROR(INDEX('HIV-Other HPs'!$N$49:$N$74,MATCH($E358&amp;$F358,'HIV-Other HPs'!$E$49:$E$74&amp;'HIV-Other HPs'!$I$49:$I$74,0)),0)</f>
        <v>0</v>
      </c>
      <c r="J358" s="651">
        <f t="array" ref="J358">IFERROR(INDEX('HIV-Other HPs'!$O$49:$O$74,MATCH($E358&amp;$F358,'HIV-Other HPs'!$E$49:$E$74&amp;'HIV-Other HPs'!$I$49:$I$74,0)),0)</f>
        <v>0</v>
      </c>
      <c r="K358" s="652">
        <f t="shared" si="252"/>
        <v>0</v>
      </c>
      <c r="L358" s="652">
        <f t="shared" si="253"/>
        <v>0</v>
      </c>
      <c r="M358" s="652">
        <f t="shared" si="254"/>
        <v>0</v>
      </c>
      <c r="N358" s="651">
        <f t="array" ref="N358">IFERROR(INDEX('HIV-Other HPs'!$P$49:$P$74,MATCH($E358&amp;$F358,'HIV-Other HPs'!$E$49:$E$74&amp;'HIV-Other HPs'!$I$49:$I$74,0)),0)</f>
        <v>0</v>
      </c>
      <c r="O358" s="652">
        <f t="shared" si="255"/>
        <v>0</v>
      </c>
      <c r="P358" s="652">
        <f t="shared" si="256"/>
        <v>0</v>
      </c>
      <c r="Q358" s="652">
        <f t="shared" si="257"/>
        <v>0</v>
      </c>
      <c r="R358" s="651">
        <f t="array" ref="R358">IFERROR(INDEX('HIV-Other HPs'!$Q$49:$Q$74,MATCH($E358&amp;$F358,'HIV-Other HPs'!$E$49:$E$74&amp;'HIV-Other HPs'!$I$49:$I$74,0)),0)</f>
        <v>0</v>
      </c>
      <c r="S358" s="652">
        <f t="shared" si="258"/>
        <v>0</v>
      </c>
      <c r="T358" s="652">
        <f t="shared" si="259"/>
        <v>0</v>
      </c>
      <c r="U358" s="652">
        <f t="shared" si="260"/>
        <v>0</v>
      </c>
      <c r="V358" s="651">
        <f t="array" ref="V358">IFERROR(INDEX('HIV-Other HPs'!$R$49:$R$74,MATCH($E358&amp;$F358,'HIV-Other HPs'!$E$49:$E$74&amp;'HIV-Other HPs'!$I$49:$I$74,0)),0)</f>
        <v>0</v>
      </c>
      <c r="W358" s="652">
        <f t="shared" si="261"/>
        <v>0</v>
      </c>
      <c r="X358" s="652">
        <f t="shared" si="262"/>
        <v>0</v>
      </c>
      <c r="Y358" s="652">
        <f t="shared" si="263"/>
        <v>0</v>
      </c>
      <c r="Z358" s="664"/>
      <c r="AA358" s="651">
        <f t="array" ref="AA358">IFERROR(INDEX('HIV-Other HPs'!$U$49:$U$74,MATCH($E358&amp;$F358,'HIV-Other HPs'!$E$49:$E$74&amp;'HIV-Other HPs'!$I$49:$I$74,0)),0)</f>
        <v>0</v>
      </c>
      <c r="AB358" s="651">
        <f t="array" ref="AB358">IFERROR(INDEX('HIV-Other HPs'!$V$49:$V$74,MATCH($E358&amp;$F358,'HIV-Other HPs'!$E$49:$E$74&amp;'HIV-Other HPs'!$I$49:$I$74,0)),0)</f>
        <v>0</v>
      </c>
      <c r="AC358" s="652">
        <f t="shared" si="264"/>
        <v>0</v>
      </c>
      <c r="AD358" s="652">
        <f t="shared" si="265"/>
        <v>0</v>
      </c>
      <c r="AE358" s="652">
        <f t="shared" si="266"/>
        <v>0</v>
      </c>
      <c r="AF358" s="651">
        <f t="array" ref="AF358">IFERROR(INDEX('HIV-Other HPs'!$W$49:$W$74,MATCH($E358&amp;$F358,'HIV-Other HPs'!$E$49:$E$74&amp;'HIV-Other HPs'!$I$49:$I$74,0)),0)</f>
        <v>0</v>
      </c>
      <c r="AG358" s="652">
        <f t="shared" si="267"/>
        <v>0</v>
      </c>
      <c r="AH358" s="652">
        <f t="shared" si="268"/>
        <v>0</v>
      </c>
      <c r="AI358" s="652">
        <f t="shared" si="269"/>
        <v>0</v>
      </c>
      <c r="AJ358" s="651">
        <f t="array" ref="AJ358">IFERROR(INDEX('HIV-Other HPs'!$X$49:$X$74,MATCH($E358&amp;$F358,'HIV-Other HPs'!$E$49:$E$74&amp;'HIV-Other HPs'!$I$49:$I$74,0)),0)</f>
        <v>0</v>
      </c>
      <c r="AK358" s="652">
        <f t="shared" si="270"/>
        <v>0</v>
      </c>
      <c r="AL358" s="652">
        <f t="shared" si="271"/>
        <v>0</v>
      </c>
      <c r="AM358" s="652">
        <f t="shared" si="272"/>
        <v>0</v>
      </c>
      <c r="AN358" s="651">
        <f t="array" ref="AN358">IFERROR(INDEX('HIV-Other HPs'!$Y$49:$Y$74,MATCH($E358&amp;$F358,'HIV-Other HPs'!$E$49:$E$74&amp;'HIV-Other HPs'!$I$49:$I$74,0)),0)</f>
        <v>0</v>
      </c>
      <c r="AO358" s="652">
        <f t="shared" si="273"/>
        <v>0</v>
      </c>
      <c r="AP358" s="652">
        <f t="shared" si="274"/>
        <v>0</v>
      </c>
      <c r="AQ358" s="652">
        <f t="shared" si="275"/>
        <v>0</v>
      </c>
      <c r="AR358" s="664"/>
      <c r="AS358" s="651">
        <f t="array" ref="AS358">IFERROR(INDEX('HIV-Other HPs'!$AB$49:$AB$74,MATCH($E358&amp;$F358,'HIV-Other HPs'!$E$49:$E$74&amp;'HIV-Other HPs'!$I$49:$I$74,0)),0)</f>
        <v>0</v>
      </c>
      <c r="AT358" s="651">
        <f t="array" ref="AT358">IFERROR(INDEX('HIV-Other HPs'!$AC$49:$AC$74,MATCH($E358&amp;$F358,'HIV-Other HPs'!$E$49:$E$74&amp;'HIV-Other HPs'!$I$49:$I$74,0)),0)</f>
        <v>0</v>
      </c>
      <c r="AU358" s="652">
        <f t="shared" si="276"/>
        <v>0</v>
      </c>
      <c r="AV358" s="652">
        <f t="shared" si="277"/>
        <v>0</v>
      </c>
      <c r="AW358" s="652">
        <f t="shared" si="278"/>
        <v>0</v>
      </c>
      <c r="AX358" s="651">
        <f t="array" ref="AX358">IFERROR(INDEX('HIV-Other HPs'!$AD$49:$AD$74,MATCH($E358&amp;$F358,'HIV-Other HPs'!$E$49:$E$74&amp;'HIV-Other HPs'!$I$49:$I$74,0)),0)</f>
        <v>0</v>
      </c>
      <c r="AY358" s="652">
        <f t="shared" si="279"/>
        <v>0</v>
      </c>
      <c r="AZ358" s="652">
        <f t="shared" si="280"/>
        <v>0</v>
      </c>
      <c r="BA358" s="652">
        <f t="shared" si="281"/>
        <v>0</v>
      </c>
      <c r="BB358" s="651">
        <f t="array" ref="BB358">IFERROR(INDEX('HIV-Other HPs'!$AE$49:$AE$74,MATCH($E358&amp;$F358,'HIV-Other HPs'!$E$49:$E$74&amp;'HIV-Other HPs'!$I$49:$I$74,0)),0)</f>
        <v>0</v>
      </c>
      <c r="BC358" s="652">
        <f t="shared" si="282"/>
        <v>0</v>
      </c>
      <c r="BD358" s="652">
        <f t="shared" si="283"/>
        <v>0</v>
      </c>
      <c r="BE358" s="652">
        <f t="shared" si="284"/>
        <v>0</v>
      </c>
      <c r="BF358" s="651">
        <f t="array" ref="BF358">IFERROR(INDEX('HIV-Other HPs'!$AF$49:$AF$74,MATCH($E358&amp;$F358,'HIV-Other HPs'!$E$49:$E$74&amp;'HIV-Other HPs'!$I$49:$I$74,0)),0)</f>
        <v>0</v>
      </c>
      <c r="BG358" s="652">
        <f t="shared" si="285"/>
        <v>0</v>
      </c>
      <c r="BH358" s="652">
        <f t="shared" si="286"/>
        <v>0</v>
      </c>
      <c r="BI358" s="652">
        <f t="shared" si="287"/>
        <v>0</v>
      </c>
      <c r="BJ358" s="662"/>
      <c r="BK358" s="663"/>
      <c r="BL358" s="663"/>
      <c r="BM358" s="663"/>
      <c r="BN358" s="663"/>
      <c r="BO358" s="663"/>
      <c r="BP358" s="663"/>
      <c r="BQ358" s="663"/>
      <c r="BR358" s="663"/>
    </row>
    <row r="359" spans="1:70">
      <c r="A359" s="655" t="s">
        <v>567</v>
      </c>
      <c r="B359" s="655" t="s">
        <v>2285</v>
      </c>
      <c r="C359" s="648">
        <f>SETUP!$F$31</f>
        <v>0</v>
      </c>
      <c r="D359" s="654">
        <v>5.4</v>
      </c>
      <c r="E359" s="663" t="s">
        <v>210</v>
      </c>
      <c r="F359" s="663" t="s">
        <v>1715</v>
      </c>
      <c r="G359" s="650" t="str">
        <f t="array" ref="G359">IFERROR(INDEX('HIV-Other HPs'!$L$49:$L$74,MATCH($E359&amp;$F359,'HIV-Other HPs'!$E$49:$E$74&amp;'HIV-Other HPs'!$I$49:$I$74,0)),"")</f>
        <v/>
      </c>
      <c r="H359" s="650" t="str">
        <f t="array" ref="H359">IFERROR(INDEX('HIV-Other HPs'!$M$49:$M$74,MATCH($E359&amp;$F359,'HIV-Other HPs'!$E$49:$E$74&amp;'HIV-Other HPs'!$I$49:$I$74,0)),"")</f>
        <v/>
      </c>
      <c r="I359" s="651">
        <f t="array" ref="I359">IFERROR(INDEX('HIV-Other HPs'!$N$49:$N$74,MATCH($E359&amp;$F359,'HIV-Other HPs'!$E$49:$E$74&amp;'HIV-Other HPs'!$I$49:$I$74,0)),0)</f>
        <v>0</v>
      </c>
      <c r="J359" s="651">
        <f t="array" ref="J359">IFERROR(INDEX('HIV-Other HPs'!$O$49:$O$74,MATCH($E359&amp;$F359,'HIV-Other HPs'!$E$49:$E$74&amp;'HIV-Other HPs'!$I$49:$I$74,0)),0)</f>
        <v>0</v>
      </c>
      <c r="K359" s="652">
        <f t="shared" si="252"/>
        <v>0</v>
      </c>
      <c r="L359" s="652">
        <f t="shared" si="253"/>
        <v>0</v>
      </c>
      <c r="M359" s="652">
        <f t="shared" si="254"/>
        <v>0</v>
      </c>
      <c r="N359" s="651">
        <f t="array" ref="N359">IFERROR(INDEX('HIV-Other HPs'!$P$49:$P$74,MATCH($E359&amp;$F359,'HIV-Other HPs'!$E$49:$E$74&amp;'HIV-Other HPs'!$I$49:$I$74,0)),0)</f>
        <v>0</v>
      </c>
      <c r="O359" s="652">
        <f t="shared" si="255"/>
        <v>0</v>
      </c>
      <c r="P359" s="652">
        <f t="shared" si="256"/>
        <v>0</v>
      </c>
      <c r="Q359" s="652">
        <f t="shared" si="257"/>
        <v>0</v>
      </c>
      <c r="R359" s="651">
        <f t="array" ref="R359">IFERROR(INDEX('HIV-Other HPs'!$Q$49:$Q$74,MATCH($E359&amp;$F359,'HIV-Other HPs'!$E$49:$E$74&amp;'HIV-Other HPs'!$I$49:$I$74,0)),0)</f>
        <v>0</v>
      </c>
      <c r="S359" s="652">
        <f t="shared" si="258"/>
        <v>0</v>
      </c>
      <c r="T359" s="652">
        <f t="shared" si="259"/>
        <v>0</v>
      </c>
      <c r="U359" s="652">
        <f t="shared" si="260"/>
        <v>0</v>
      </c>
      <c r="V359" s="651">
        <f t="array" ref="V359">IFERROR(INDEX('HIV-Other HPs'!$R$49:$R$74,MATCH($E359&amp;$F359,'HIV-Other HPs'!$E$49:$E$74&amp;'HIV-Other HPs'!$I$49:$I$74,0)),0)</f>
        <v>0</v>
      </c>
      <c r="W359" s="652">
        <f t="shared" si="261"/>
        <v>0</v>
      </c>
      <c r="X359" s="652">
        <f t="shared" si="262"/>
        <v>0</v>
      </c>
      <c r="Y359" s="652">
        <f t="shared" si="263"/>
        <v>0</v>
      </c>
      <c r="Z359" s="664"/>
      <c r="AA359" s="651">
        <f t="array" ref="AA359">IFERROR(INDEX('HIV-Other HPs'!$U$49:$U$74,MATCH($E359&amp;$F359,'HIV-Other HPs'!$E$49:$E$74&amp;'HIV-Other HPs'!$I$49:$I$74,0)),0)</f>
        <v>0</v>
      </c>
      <c r="AB359" s="651">
        <f t="array" ref="AB359">IFERROR(INDEX('HIV-Other HPs'!$V$49:$V$74,MATCH($E359&amp;$F359,'HIV-Other HPs'!$E$49:$E$74&amp;'HIV-Other HPs'!$I$49:$I$74,0)),0)</f>
        <v>0</v>
      </c>
      <c r="AC359" s="652">
        <f t="shared" si="264"/>
        <v>0</v>
      </c>
      <c r="AD359" s="652">
        <f t="shared" si="265"/>
        <v>0</v>
      </c>
      <c r="AE359" s="652">
        <f t="shared" si="266"/>
        <v>0</v>
      </c>
      <c r="AF359" s="651">
        <f t="array" ref="AF359">IFERROR(INDEX('HIV-Other HPs'!$W$49:$W$74,MATCH($E359&amp;$F359,'HIV-Other HPs'!$E$49:$E$74&amp;'HIV-Other HPs'!$I$49:$I$74,0)),0)</f>
        <v>0</v>
      </c>
      <c r="AG359" s="652">
        <f t="shared" si="267"/>
        <v>0</v>
      </c>
      <c r="AH359" s="652">
        <f t="shared" si="268"/>
        <v>0</v>
      </c>
      <c r="AI359" s="652">
        <f t="shared" si="269"/>
        <v>0</v>
      </c>
      <c r="AJ359" s="651">
        <f t="array" ref="AJ359">IFERROR(INDEX('HIV-Other HPs'!$X$49:$X$74,MATCH($E359&amp;$F359,'HIV-Other HPs'!$E$49:$E$74&amp;'HIV-Other HPs'!$I$49:$I$74,0)),0)</f>
        <v>0</v>
      </c>
      <c r="AK359" s="652">
        <f t="shared" si="270"/>
        <v>0</v>
      </c>
      <c r="AL359" s="652">
        <f t="shared" si="271"/>
        <v>0</v>
      </c>
      <c r="AM359" s="652">
        <f t="shared" si="272"/>
        <v>0</v>
      </c>
      <c r="AN359" s="651">
        <f t="array" ref="AN359">IFERROR(INDEX('HIV-Other HPs'!$Y$49:$Y$74,MATCH($E359&amp;$F359,'HIV-Other HPs'!$E$49:$E$74&amp;'HIV-Other HPs'!$I$49:$I$74,0)),0)</f>
        <v>0</v>
      </c>
      <c r="AO359" s="652">
        <f t="shared" si="273"/>
        <v>0</v>
      </c>
      <c r="AP359" s="652">
        <f t="shared" si="274"/>
        <v>0</v>
      </c>
      <c r="AQ359" s="652">
        <f t="shared" si="275"/>
        <v>0</v>
      </c>
      <c r="AR359" s="664"/>
      <c r="AS359" s="651">
        <f t="array" ref="AS359">IFERROR(INDEX('HIV-Other HPs'!$AB$49:$AB$74,MATCH($E359&amp;$F359,'HIV-Other HPs'!$E$49:$E$74&amp;'HIV-Other HPs'!$I$49:$I$74,0)),0)</f>
        <v>0</v>
      </c>
      <c r="AT359" s="651">
        <f t="array" ref="AT359">IFERROR(INDEX('HIV-Other HPs'!$AC$49:$AC$74,MATCH($E359&amp;$F359,'HIV-Other HPs'!$E$49:$E$74&amp;'HIV-Other HPs'!$I$49:$I$74,0)),0)</f>
        <v>0</v>
      </c>
      <c r="AU359" s="652">
        <f t="shared" si="276"/>
        <v>0</v>
      </c>
      <c r="AV359" s="652">
        <f t="shared" si="277"/>
        <v>0</v>
      </c>
      <c r="AW359" s="652">
        <f t="shared" si="278"/>
        <v>0</v>
      </c>
      <c r="AX359" s="651">
        <f t="array" ref="AX359">IFERROR(INDEX('HIV-Other HPs'!$AD$49:$AD$74,MATCH($E359&amp;$F359,'HIV-Other HPs'!$E$49:$E$74&amp;'HIV-Other HPs'!$I$49:$I$74,0)),0)</f>
        <v>0</v>
      </c>
      <c r="AY359" s="652">
        <f t="shared" si="279"/>
        <v>0</v>
      </c>
      <c r="AZ359" s="652">
        <f t="shared" si="280"/>
        <v>0</v>
      </c>
      <c r="BA359" s="652">
        <f t="shared" si="281"/>
        <v>0</v>
      </c>
      <c r="BB359" s="651">
        <f t="array" ref="BB359">IFERROR(INDEX('HIV-Other HPs'!$AE$49:$AE$74,MATCH($E359&amp;$F359,'HIV-Other HPs'!$E$49:$E$74&amp;'HIV-Other HPs'!$I$49:$I$74,0)),0)</f>
        <v>0</v>
      </c>
      <c r="BC359" s="652">
        <f t="shared" si="282"/>
        <v>0</v>
      </c>
      <c r="BD359" s="652">
        <f t="shared" si="283"/>
        <v>0</v>
      </c>
      <c r="BE359" s="652">
        <f t="shared" si="284"/>
        <v>0</v>
      </c>
      <c r="BF359" s="651">
        <f t="array" ref="BF359">IFERROR(INDEX('HIV-Other HPs'!$AF$49:$AF$74,MATCH($E359&amp;$F359,'HIV-Other HPs'!$E$49:$E$74&amp;'HIV-Other HPs'!$I$49:$I$74,0)),0)</f>
        <v>0</v>
      </c>
      <c r="BG359" s="652">
        <f t="shared" si="285"/>
        <v>0</v>
      </c>
      <c r="BH359" s="652">
        <f t="shared" si="286"/>
        <v>0</v>
      </c>
      <c r="BI359" s="652">
        <f t="shared" si="287"/>
        <v>0</v>
      </c>
      <c r="BJ359" s="662"/>
      <c r="BK359" s="663"/>
      <c r="BL359" s="663"/>
      <c r="BM359" s="663"/>
      <c r="BN359" s="663"/>
      <c r="BO359" s="663"/>
      <c r="BP359" s="663"/>
      <c r="BQ359" s="663"/>
      <c r="BR359" s="663"/>
    </row>
    <row r="360" spans="1:70">
      <c r="A360" s="655" t="s">
        <v>567</v>
      </c>
      <c r="B360" s="655" t="s">
        <v>2285</v>
      </c>
      <c r="C360" s="648">
        <f>SETUP!$F$31</f>
        <v>0</v>
      </c>
      <c r="D360" s="654">
        <v>5.4</v>
      </c>
      <c r="E360" s="663" t="s">
        <v>211</v>
      </c>
      <c r="F360" s="663" t="s">
        <v>823</v>
      </c>
      <c r="G360" s="650" t="str">
        <f t="array" ref="G360">IFERROR(INDEX('HIV-Other HPs'!$L$49:$L$74,MATCH($E360&amp;$F360,'HIV-Other HPs'!$E$49:$E$74&amp;'HIV-Other HPs'!$I$49:$I$74,0)),"")</f>
        <v/>
      </c>
      <c r="H360" s="650" t="str">
        <f t="array" ref="H360">IFERROR(INDEX('HIV-Other HPs'!$M$49:$M$74,MATCH($E360&amp;$F360,'HIV-Other HPs'!$E$49:$E$74&amp;'HIV-Other HPs'!$I$49:$I$74,0)),"")</f>
        <v/>
      </c>
      <c r="I360" s="651">
        <f t="array" ref="I360">IFERROR(INDEX('HIV-Other HPs'!$N$49:$N$74,MATCH($E360&amp;$F360,'HIV-Other HPs'!$E$49:$E$74&amp;'HIV-Other HPs'!$I$49:$I$74,0)),0)</f>
        <v>0</v>
      </c>
      <c r="J360" s="651">
        <f t="array" ref="J360">IFERROR(INDEX('HIV-Other HPs'!$O$49:$O$74,MATCH($E360&amp;$F360,'HIV-Other HPs'!$E$49:$E$74&amp;'HIV-Other HPs'!$I$49:$I$74,0)),0)</f>
        <v>0</v>
      </c>
      <c r="K360" s="652">
        <f t="shared" si="252"/>
        <v>0</v>
      </c>
      <c r="L360" s="652">
        <f t="shared" si="253"/>
        <v>0</v>
      </c>
      <c r="M360" s="652">
        <f t="shared" si="254"/>
        <v>0</v>
      </c>
      <c r="N360" s="651">
        <f t="array" ref="N360">IFERROR(INDEX('HIV-Other HPs'!$P$49:$P$74,MATCH($E360&amp;$F360,'HIV-Other HPs'!$E$49:$E$74&amp;'HIV-Other HPs'!$I$49:$I$74,0)),0)</f>
        <v>0</v>
      </c>
      <c r="O360" s="652">
        <f t="shared" si="255"/>
        <v>0</v>
      </c>
      <c r="P360" s="652">
        <f t="shared" si="256"/>
        <v>0</v>
      </c>
      <c r="Q360" s="652">
        <f t="shared" si="257"/>
        <v>0</v>
      </c>
      <c r="R360" s="651">
        <f t="array" ref="R360">IFERROR(INDEX('HIV-Other HPs'!$Q$49:$Q$74,MATCH($E360&amp;$F360,'HIV-Other HPs'!$E$49:$E$74&amp;'HIV-Other HPs'!$I$49:$I$74,0)),0)</f>
        <v>0</v>
      </c>
      <c r="S360" s="652">
        <f t="shared" si="258"/>
        <v>0</v>
      </c>
      <c r="T360" s="652">
        <f t="shared" si="259"/>
        <v>0</v>
      </c>
      <c r="U360" s="652">
        <f t="shared" si="260"/>
        <v>0</v>
      </c>
      <c r="V360" s="651">
        <f t="array" ref="V360">IFERROR(INDEX('HIV-Other HPs'!$R$49:$R$74,MATCH($E360&amp;$F360,'HIV-Other HPs'!$E$49:$E$74&amp;'HIV-Other HPs'!$I$49:$I$74,0)),0)</f>
        <v>0</v>
      </c>
      <c r="W360" s="652">
        <f t="shared" si="261"/>
        <v>0</v>
      </c>
      <c r="X360" s="652">
        <f t="shared" si="262"/>
        <v>0</v>
      </c>
      <c r="Y360" s="652">
        <f t="shared" si="263"/>
        <v>0</v>
      </c>
      <c r="Z360" s="664"/>
      <c r="AA360" s="651">
        <f t="array" ref="AA360">IFERROR(INDEX('HIV-Other HPs'!$U$49:$U$74,MATCH($E360&amp;$F360,'HIV-Other HPs'!$E$49:$E$74&amp;'HIV-Other HPs'!$I$49:$I$74,0)),0)</f>
        <v>0</v>
      </c>
      <c r="AB360" s="651">
        <f t="array" ref="AB360">IFERROR(INDEX('HIV-Other HPs'!$V$49:$V$74,MATCH($E360&amp;$F360,'HIV-Other HPs'!$E$49:$E$74&amp;'HIV-Other HPs'!$I$49:$I$74,0)),0)</f>
        <v>0</v>
      </c>
      <c r="AC360" s="652">
        <f t="shared" si="264"/>
        <v>0</v>
      </c>
      <c r="AD360" s="652">
        <f t="shared" si="265"/>
        <v>0</v>
      </c>
      <c r="AE360" s="652">
        <f t="shared" si="266"/>
        <v>0</v>
      </c>
      <c r="AF360" s="651">
        <f t="array" ref="AF360">IFERROR(INDEX('HIV-Other HPs'!$W$49:$W$74,MATCH($E360&amp;$F360,'HIV-Other HPs'!$E$49:$E$74&amp;'HIV-Other HPs'!$I$49:$I$74,0)),0)</f>
        <v>0</v>
      </c>
      <c r="AG360" s="652">
        <f t="shared" si="267"/>
        <v>0</v>
      </c>
      <c r="AH360" s="652">
        <f t="shared" si="268"/>
        <v>0</v>
      </c>
      <c r="AI360" s="652">
        <f t="shared" si="269"/>
        <v>0</v>
      </c>
      <c r="AJ360" s="651">
        <f t="array" ref="AJ360">IFERROR(INDEX('HIV-Other HPs'!$X$49:$X$74,MATCH($E360&amp;$F360,'HIV-Other HPs'!$E$49:$E$74&amp;'HIV-Other HPs'!$I$49:$I$74,0)),0)</f>
        <v>0</v>
      </c>
      <c r="AK360" s="652">
        <f t="shared" si="270"/>
        <v>0</v>
      </c>
      <c r="AL360" s="652">
        <f t="shared" si="271"/>
        <v>0</v>
      </c>
      <c r="AM360" s="652">
        <f t="shared" si="272"/>
        <v>0</v>
      </c>
      <c r="AN360" s="651">
        <f t="array" ref="AN360">IFERROR(INDEX('HIV-Other HPs'!$Y$49:$Y$74,MATCH($E360&amp;$F360,'HIV-Other HPs'!$E$49:$E$74&amp;'HIV-Other HPs'!$I$49:$I$74,0)),0)</f>
        <v>0</v>
      </c>
      <c r="AO360" s="652">
        <f t="shared" si="273"/>
        <v>0</v>
      </c>
      <c r="AP360" s="652">
        <f t="shared" si="274"/>
        <v>0</v>
      </c>
      <c r="AQ360" s="652">
        <f t="shared" si="275"/>
        <v>0</v>
      </c>
      <c r="AR360" s="664"/>
      <c r="AS360" s="651">
        <f t="array" ref="AS360">IFERROR(INDEX('HIV-Other HPs'!$AB$49:$AB$74,MATCH($E360&amp;$F360,'HIV-Other HPs'!$E$49:$E$74&amp;'HIV-Other HPs'!$I$49:$I$74,0)),0)</f>
        <v>0</v>
      </c>
      <c r="AT360" s="651">
        <f t="array" ref="AT360">IFERROR(INDEX('HIV-Other HPs'!$AC$49:$AC$74,MATCH($E360&amp;$F360,'HIV-Other HPs'!$E$49:$E$74&amp;'HIV-Other HPs'!$I$49:$I$74,0)),0)</f>
        <v>0</v>
      </c>
      <c r="AU360" s="652">
        <f t="shared" si="276"/>
        <v>0</v>
      </c>
      <c r="AV360" s="652">
        <f t="shared" si="277"/>
        <v>0</v>
      </c>
      <c r="AW360" s="652">
        <f t="shared" si="278"/>
        <v>0</v>
      </c>
      <c r="AX360" s="651">
        <f t="array" ref="AX360">IFERROR(INDEX('HIV-Other HPs'!$AD$49:$AD$74,MATCH($E360&amp;$F360,'HIV-Other HPs'!$E$49:$E$74&amp;'HIV-Other HPs'!$I$49:$I$74,0)),0)</f>
        <v>0</v>
      </c>
      <c r="AY360" s="652">
        <f t="shared" si="279"/>
        <v>0</v>
      </c>
      <c r="AZ360" s="652">
        <f t="shared" si="280"/>
        <v>0</v>
      </c>
      <c r="BA360" s="652">
        <f t="shared" si="281"/>
        <v>0</v>
      </c>
      <c r="BB360" s="651">
        <f t="array" ref="BB360">IFERROR(INDEX('HIV-Other HPs'!$AE$49:$AE$74,MATCH($E360&amp;$F360,'HIV-Other HPs'!$E$49:$E$74&amp;'HIV-Other HPs'!$I$49:$I$74,0)),0)</f>
        <v>0</v>
      </c>
      <c r="BC360" s="652">
        <f t="shared" si="282"/>
        <v>0</v>
      </c>
      <c r="BD360" s="652">
        <f t="shared" si="283"/>
        <v>0</v>
      </c>
      <c r="BE360" s="652">
        <f t="shared" si="284"/>
        <v>0</v>
      </c>
      <c r="BF360" s="651">
        <f t="array" ref="BF360">IFERROR(INDEX('HIV-Other HPs'!$AF$49:$AF$74,MATCH($E360&amp;$F360,'HIV-Other HPs'!$E$49:$E$74&amp;'HIV-Other HPs'!$I$49:$I$74,0)),0)</f>
        <v>0</v>
      </c>
      <c r="BG360" s="652">
        <f t="shared" si="285"/>
        <v>0</v>
      </c>
      <c r="BH360" s="652">
        <f t="shared" si="286"/>
        <v>0</v>
      </c>
      <c r="BI360" s="652">
        <f t="shared" si="287"/>
        <v>0</v>
      </c>
      <c r="BJ360" s="662"/>
      <c r="BK360" s="663"/>
      <c r="BL360" s="663"/>
      <c r="BM360" s="663"/>
      <c r="BN360" s="663"/>
      <c r="BO360" s="663"/>
      <c r="BP360" s="663"/>
      <c r="BQ360" s="663"/>
      <c r="BR360" s="663"/>
    </row>
    <row r="361" spans="1:70">
      <c r="A361" s="655" t="s">
        <v>567</v>
      </c>
      <c r="B361" s="655" t="s">
        <v>2285</v>
      </c>
      <c r="C361" s="648">
        <f>SETUP!$F$31</f>
        <v>0</v>
      </c>
      <c r="D361" s="654">
        <v>5.4</v>
      </c>
      <c r="E361" s="663" t="s">
        <v>211</v>
      </c>
      <c r="F361" s="663" t="s">
        <v>1714</v>
      </c>
      <c r="G361" s="650" t="str">
        <f t="array" ref="G361">IFERROR(INDEX('HIV-Other HPs'!$L$49:$L$74,MATCH($E361&amp;$F361,'HIV-Other HPs'!$E$49:$E$74&amp;'HIV-Other HPs'!$I$49:$I$74,0)),"")</f>
        <v/>
      </c>
      <c r="H361" s="650" t="str">
        <f t="array" ref="H361">IFERROR(INDEX('HIV-Other HPs'!$M$49:$M$74,MATCH($E361&amp;$F361,'HIV-Other HPs'!$E$49:$E$74&amp;'HIV-Other HPs'!$I$49:$I$74,0)),"")</f>
        <v/>
      </c>
      <c r="I361" s="651">
        <f t="array" ref="I361">IFERROR(INDEX('HIV-Other HPs'!$N$49:$N$74,MATCH($E361&amp;$F361,'HIV-Other HPs'!$E$49:$E$74&amp;'HIV-Other HPs'!$I$49:$I$74,0)),0)</f>
        <v>0</v>
      </c>
      <c r="J361" s="651">
        <f t="array" ref="J361">IFERROR(INDEX('HIV-Other HPs'!$O$49:$O$74,MATCH($E361&amp;$F361,'HIV-Other HPs'!$E$49:$E$74&amp;'HIV-Other HPs'!$I$49:$I$74,0)),0)</f>
        <v>0</v>
      </c>
      <c r="K361" s="652">
        <f t="shared" si="252"/>
        <v>0</v>
      </c>
      <c r="L361" s="652">
        <f t="shared" si="253"/>
        <v>0</v>
      </c>
      <c r="M361" s="652">
        <f t="shared" si="254"/>
        <v>0</v>
      </c>
      <c r="N361" s="651">
        <f t="array" ref="N361">IFERROR(INDEX('HIV-Other HPs'!$P$49:$P$74,MATCH($E361&amp;$F361,'HIV-Other HPs'!$E$49:$E$74&amp;'HIV-Other HPs'!$I$49:$I$74,0)),0)</f>
        <v>0</v>
      </c>
      <c r="O361" s="652">
        <f t="shared" si="255"/>
        <v>0</v>
      </c>
      <c r="P361" s="652">
        <f t="shared" si="256"/>
        <v>0</v>
      </c>
      <c r="Q361" s="652">
        <f t="shared" si="257"/>
        <v>0</v>
      </c>
      <c r="R361" s="651">
        <f t="array" ref="R361">IFERROR(INDEX('HIV-Other HPs'!$Q$49:$Q$74,MATCH($E361&amp;$F361,'HIV-Other HPs'!$E$49:$E$74&amp;'HIV-Other HPs'!$I$49:$I$74,0)),0)</f>
        <v>0</v>
      </c>
      <c r="S361" s="652">
        <f t="shared" si="258"/>
        <v>0</v>
      </c>
      <c r="T361" s="652">
        <f t="shared" si="259"/>
        <v>0</v>
      </c>
      <c r="U361" s="652">
        <f t="shared" si="260"/>
        <v>0</v>
      </c>
      <c r="V361" s="651">
        <f t="array" ref="V361">IFERROR(INDEX('HIV-Other HPs'!$R$49:$R$74,MATCH($E361&amp;$F361,'HIV-Other HPs'!$E$49:$E$74&amp;'HIV-Other HPs'!$I$49:$I$74,0)),0)</f>
        <v>0</v>
      </c>
      <c r="W361" s="652">
        <f t="shared" si="261"/>
        <v>0</v>
      </c>
      <c r="X361" s="652">
        <f t="shared" si="262"/>
        <v>0</v>
      </c>
      <c r="Y361" s="652">
        <f t="shared" si="263"/>
        <v>0</v>
      </c>
      <c r="Z361" s="664"/>
      <c r="AA361" s="651">
        <f t="array" ref="AA361">IFERROR(INDEX('HIV-Other HPs'!$U$49:$U$74,MATCH($E361&amp;$F361,'HIV-Other HPs'!$E$49:$E$74&amp;'HIV-Other HPs'!$I$49:$I$74,0)),0)</f>
        <v>0</v>
      </c>
      <c r="AB361" s="651">
        <f t="array" ref="AB361">IFERROR(INDEX('HIV-Other HPs'!$V$49:$V$74,MATCH($E361&amp;$F361,'HIV-Other HPs'!$E$49:$E$74&amp;'HIV-Other HPs'!$I$49:$I$74,0)),0)</f>
        <v>0</v>
      </c>
      <c r="AC361" s="652">
        <f t="shared" si="264"/>
        <v>0</v>
      </c>
      <c r="AD361" s="652">
        <f t="shared" si="265"/>
        <v>0</v>
      </c>
      <c r="AE361" s="652">
        <f t="shared" si="266"/>
        <v>0</v>
      </c>
      <c r="AF361" s="651">
        <f t="array" ref="AF361">IFERROR(INDEX('HIV-Other HPs'!$W$49:$W$74,MATCH($E361&amp;$F361,'HIV-Other HPs'!$E$49:$E$74&amp;'HIV-Other HPs'!$I$49:$I$74,0)),0)</f>
        <v>0</v>
      </c>
      <c r="AG361" s="652">
        <f t="shared" si="267"/>
        <v>0</v>
      </c>
      <c r="AH361" s="652">
        <f t="shared" si="268"/>
        <v>0</v>
      </c>
      <c r="AI361" s="652">
        <f t="shared" si="269"/>
        <v>0</v>
      </c>
      <c r="AJ361" s="651">
        <f t="array" ref="AJ361">IFERROR(INDEX('HIV-Other HPs'!$X$49:$X$74,MATCH($E361&amp;$F361,'HIV-Other HPs'!$E$49:$E$74&amp;'HIV-Other HPs'!$I$49:$I$74,0)),0)</f>
        <v>0</v>
      </c>
      <c r="AK361" s="652">
        <f t="shared" si="270"/>
        <v>0</v>
      </c>
      <c r="AL361" s="652">
        <f t="shared" si="271"/>
        <v>0</v>
      </c>
      <c r="AM361" s="652">
        <f t="shared" si="272"/>
        <v>0</v>
      </c>
      <c r="AN361" s="651">
        <f t="array" ref="AN361">IFERROR(INDEX('HIV-Other HPs'!$Y$49:$Y$74,MATCH($E361&amp;$F361,'HIV-Other HPs'!$E$49:$E$74&amp;'HIV-Other HPs'!$I$49:$I$74,0)),0)</f>
        <v>0</v>
      </c>
      <c r="AO361" s="652">
        <f t="shared" si="273"/>
        <v>0</v>
      </c>
      <c r="AP361" s="652">
        <f t="shared" si="274"/>
        <v>0</v>
      </c>
      <c r="AQ361" s="652">
        <f t="shared" si="275"/>
        <v>0</v>
      </c>
      <c r="AR361" s="664"/>
      <c r="AS361" s="651">
        <f t="array" ref="AS361">IFERROR(INDEX('HIV-Other HPs'!$AB$49:$AB$74,MATCH($E361&amp;$F361,'HIV-Other HPs'!$E$49:$E$74&amp;'HIV-Other HPs'!$I$49:$I$74,0)),0)</f>
        <v>0</v>
      </c>
      <c r="AT361" s="651">
        <f t="array" ref="AT361">IFERROR(INDEX('HIV-Other HPs'!$AC$49:$AC$74,MATCH($E361&amp;$F361,'HIV-Other HPs'!$E$49:$E$74&amp;'HIV-Other HPs'!$I$49:$I$74,0)),0)</f>
        <v>0</v>
      </c>
      <c r="AU361" s="652">
        <f t="shared" si="276"/>
        <v>0</v>
      </c>
      <c r="AV361" s="652">
        <f t="shared" si="277"/>
        <v>0</v>
      </c>
      <c r="AW361" s="652">
        <f t="shared" si="278"/>
        <v>0</v>
      </c>
      <c r="AX361" s="651">
        <f t="array" ref="AX361">IFERROR(INDEX('HIV-Other HPs'!$AD$49:$AD$74,MATCH($E361&amp;$F361,'HIV-Other HPs'!$E$49:$E$74&amp;'HIV-Other HPs'!$I$49:$I$74,0)),0)</f>
        <v>0</v>
      </c>
      <c r="AY361" s="652">
        <f t="shared" si="279"/>
        <v>0</v>
      </c>
      <c r="AZ361" s="652">
        <f t="shared" si="280"/>
        <v>0</v>
      </c>
      <c r="BA361" s="652">
        <f t="shared" si="281"/>
        <v>0</v>
      </c>
      <c r="BB361" s="651">
        <f t="array" ref="BB361">IFERROR(INDEX('HIV-Other HPs'!$AE$49:$AE$74,MATCH($E361&amp;$F361,'HIV-Other HPs'!$E$49:$E$74&amp;'HIV-Other HPs'!$I$49:$I$74,0)),0)</f>
        <v>0</v>
      </c>
      <c r="BC361" s="652">
        <f t="shared" si="282"/>
        <v>0</v>
      </c>
      <c r="BD361" s="652">
        <f t="shared" si="283"/>
        <v>0</v>
      </c>
      <c r="BE361" s="652">
        <f t="shared" si="284"/>
        <v>0</v>
      </c>
      <c r="BF361" s="651">
        <f t="array" ref="BF361">IFERROR(INDEX('HIV-Other HPs'!$AF$49:$AF$74,MATCH($E361&amp;$F361,'HIV-Other HPs'!$E$49:$E$74&amp;'HIV-Other HPs'!$I$49:$I$74,0)),0)</f>
        <v>0</v>
      </c>
      <c r="BG361" s="652">
        <f t="shared" si="285"/>
        <v>0</v>
      </c>
      <c r="BH361" s="652">
        <f t="shared" si="286"/>
        <v>0</v>
      </c>
      <c r="BI361" s="652">
        <f t="shared" si="287"/>
        <v>0</v>
      </c>
      <c r="BJ361" s="662"/>
      <c r="BK361" s="663"/>
      <c r="BL361" s="663"/>
      <c r="BM361" s="663"/>
      <c r="BN361" s="663"/>
      <c r="BO361" s="663"/>
      <c r="BP361" s="663"/>
      <c r="BQ361" s="663"/>
      <c r="BR361" s="663"/>
    </row>
    <row r="362" spans="1:70">
      <c r="A362" s="655" t="s">
        <v>567</v>
      </c>
      <c r="B362" s="655" t="s">
        <v>2285</v>
      </c>
      <c r="C362" s="648">
        <f>SETUP!$F$31</f>
        <v>0</v>
      </c>
      <c r="D362" s="654">
        <v>5.4</v>
      </c>
      <c r="E362" s="663" t="s">
        <v>212</v>
      </c>
      <c r="F362" s="663" t="s">
        <v>824</v>
      </c>
      <c r="G362" s="650" t="str">
        <f t="array" ref="G362">IFERROR(INDEX('HIV-Other HPs'!$L$49:$L$74,MATCH($E362&amp;$F362,'HIV-Other HPs'!$E$49:$E$74&amp;'HIV-Other HPs'!$I$49:$I$74,0)),"")</f>
        <v/>
      </c>
      <c r="H362" s="650" t="str">
        <f t="array" ref="H362">IFERROR(INDEX('HIV-Other HPs'!$M$49:$M$74,MATCH($E362&amp;$F362,'HIV-Other HPs'!$E$49:$E$74&amp;'HIV-Other HPs'!$I$49:$I$74,0)),"")</f>
        <v/>
      </c>
      <c r="I362" s="651">
        <f t="array" ref="I362">IFERROR(INDEX('HIV-Other HPs'!$N$49:$N$74,MATCH($E362&amp;$F362,'HIV-Other HPs'!$E$49:$E$74&amp;'HIV-Other HPs'!$I$49:$I$74,0)),0)</f>
        <v>0</v>
      </c>
      <c r="J362" s="651">
        <f t="array" ref="J362">IFERROR(INDEX('HIV-Other HPs'!$O$49:$O$74,MATCH($E362&amp;$F362,'HIV-Other HPs'!$E$49:$E$74&amp;'HIV-Other HPs'!$I$49:$I$74,0)),0)</f>
        <v>0</v>
      </c>
      <c r="K362" s="652">
        <f t="shared" si="252"/>
        <v>0</v>
      </c>
      <c r="L362" s="652">
        <f t="shared" si="253"/>
        <v>0</v>
      </c>
      <c r="M362" s="652">
        <f t="shared" si="254"/>
        <v>0</v>
      </c>
      <c r="N362" s="651">
        <f t="array" ref="N362">IFERROR(INDEX('HIV-Other HPs'!$P$49:$P$74,MATCH($E362&amp;$F362,'HIV-Other HPs'!$E$49:$E$74&amp;'HIV-Other HPs'!$I$49:$I$74,0)),0)</f>
        <v>0</v>
      </c>
      <c r="O362" s="652">
        <f t="shared" si="255"/>
        <v>0</v>
      </c>
      <c r="P362" s="652">
        <f t="shared" si="256"/>
        <v>0</v>
      </c>
      <c r="Q362" s="652">
        <f t="shared" si="257"/>
        <v>0</v>
      </c>
      <c r="R362" s="651">
        <f t="array" ref="R362">IFERROR(INDEX('HIV-Other HPs'!$Q$49:$Q$74,MATCH($E362&amp;$F362,'HIV-Other HPs'!$E$49:$E$74&amp;'HIV-Other HPs'!$I$49:$I$74,0)),0)</f>
        <v>0</v>
      </c>
      <c r="S362" s="652">
        <f t="shared" si="258"/>
        <v>0</v>
      </c>
      <c r="T362" s="652">
        <f t="shared" si="259"/>
        <v>0</v>
      </c>
      <c r="U362" s="652">
        <f t="shared" si="260"/>
        <v>0</v>
      </c>
      <c r="V362" s="651">
        <f t="array" ref="V362">IFERROR(INDEX('HIV-Other HPs'!$R$49:$R$74,MATCH($E362&amp;$F362,'HIV-Other HPs'!$E$49:$E$74&amp;'HIV-Other HPs'!$I$49:$I$74,0)),0)</f>
        <v>0</v>
      </c>
      <c r="W362" s="652">
        <f t="shared" si="261"/>
        <v>0</v>
      </c>
      <c r="X362" s="652">
        <f t="shared" si="262"/>
        <v>0</v>
      </c>
      <c r="Y362" s="652">
        <f t="shared" si="263"/>
        <v>0</v>
      </c>
      <c r="Z362" s="664"/>
      <c r="AA362" s="651">
        <f t="array" ref="AA362">IFERROR(INDEX('HIV-Other HPs'!$U$49:$U$74,MATCH($E362&amp;$F362,'HIV-Other HPs'!$E$49:$E$74&amp;'HIV-Other HPs'!$I$49:$I$74,0)),0)</f>
        <v>0</v>
      </c>
      <c r="AB362" s="651">
        <f t="array" ref="AB362">IFERROR(INDEX('HIV-Other HPs'!$V$49:$V$74,MATCH($E362&amp;$F362,'HIV-Other HPs'!$E$49:$E$74&amp;'HIV-Other HPs'!$I$49:$I$74,0)),0)</f>
        <v>0</v>
      </c>
      <c r="AC362" s="652">
        <f t="shared" si="264"/>
        <v>0</v>
      </c>
      <c r="AD362" s="652">
        <f t="shared" si="265"/>
        <v>0</v>
      </c>
      <c r="AE362" s="652">
        <f t="shared" si="266"/>
        <v>0</v>
      </c>
      <c r="AF362" s="651">
        <f t="array" ref="AF362">IFERROR(INDEX('HIV-Other HPs'!$W$49:$W$74,MATCH($E362&amp;$F362,'HIV-Other HPs'!$E$49:$E$74&amp;'HIV-Other HPs'!$I$49:$I$74,0)),0)</f>
        <v>0</v>
      </c>
      <c r="AG362" s="652">
        <f t="shared" si="267"/>
        <v>0</v>
      </c>
      <c r="AH362" s="652">
        <f t="shared" si="268"/>
        <v>0</v>
      </c>
      <c r="AI362" s="652">
        <f t="shared" si="269"/>
        <v>0</v>
      </c>
      <c r="AJ362" s="651">
        <f t="array" ref="AJ362">IFERROR(INDEX('HIV-Other HPs'!$X$49:$X$74,MATCH($E362&amp;$F362,'HIV-Other HPs'!$E$49:$E$74&amp;'HIV-Other HPs'!$I$49:$I$74,0)),0)</f>
        <v>0</v>
      </c>
      <c r="AK362" s="652">
        <f t="shared" si="270"/>
        <v>0</v>
      </c>
      <c r="AL362" s="652">
        <f t="shared" si="271"/>
        <v>0</v>
      </c>
      <c r="AM362" s="652">
        <f t="shared" si="272"/>
        <v>0</v>
      </c>
      <c r="AN362" s="651">
        <f t="array" ref="AN362">IFERROR(INDEX('HIV-Other HPs'!$Y$49:$Y$74,MATCH($E362&amp;$F362,'HIV-Other HPs'!$E$49:$E$74&amp;'HIV-Other HPs'!$I$49:$I$74,0)),0)</f>
        <v>0</v>
      </c>
      <c r="AO362" s="652">
        <f t="shared" si="273"/>
        <v>0</v>
      </c>
      <c r="AP362" s="652">
        <f t="shared" si="274"/>
        <v>0</v>
      </c>
      <c r="AQ362" s="652">
        <f t="shared" si="275"/>
        <v>0</v>
      </c>
      <c r="AR362" s="664"/>
      <c r="AS362" s="651">
        <f t="array" ref="AS362">IFERROR(INDEX('HIV-Other HPs'!$AB$49:$AB$74,MATCH($E362&amp;$F362,'HIV-Other HPs'!$E$49:$E$74&amp;'HIV-Other HPs'!$I$49:$I$74,0)),0)</f>
        <v>0</v>
      </c>
      <c r="AT362" s="651">
        <f t="array" ref="AT362">IFERROR(INDEX('HIV-Other HPs'!$AC$49:$AC$74,MATCH($E362&amp;$F362,'HIV-Other HPs'!$E$49:$E$74&amp;'HIV-Other HPs'!$I$49:$I$74,0)),0)</f>
        <v>0</v>
      </c>
      <c r="AU362" s="652">
        <f t="shared" si="276"/>
        <v>0</v>
      </c>
      <c r="AV362" s="652">
        <f t="shared" si="277"/>
        <v>0</v>
      </c>
      <c r="AW362" s="652">
        <f t="shared" si="278"/>
        <v>0</v>
      </c>
      <c r="AX362" s="651">
        <f t="array" ref="AX362">IFERROR(INDEX('HIV-Other HPs'!$AD$49:$AD$74,MATCH($E362&amp;$F362,'HIV-Other HPs'!$E$49:$E$74&amp;'HIV-Other HPs'!$I$49:$I$74,0)),0)</f>
        <v>0</v>
      </c>
      <c r="AY362" s="652">
        <f t="shared" si="279"/>
        <v>0</v>
      </c>
      <c r="AZ362" s="652">
        <f t="shared" si="280"/>
        <v>0</v>
      </c>
      <c r="BA362" s="652">
        <f t="shared" si="281"/>
        <v>0</v>
      </c>
      <c r="BB362" s="651">
        <f t="array" ref="BB362">IFERROR(INDEX('HIV-Other HPs'!$AE$49:$AE$74,MATCH($E362&amp;$F362,'HIV-Other HPs'!$E$49:$E$74&amp;'HIV-Other HPs'!$I$49:$I$74,0)),0)</f>
        <v>0</v>
      </c>
      <c r="BC362" s="652">
        <f t="shared" si="282"/>
        <v>0</v>
      </c>
      <c r="BD362" s="652">
        <f t="shared" si="283"/>
        <v>0</v>
      </c>
      <c r="BE362" s="652">
        <f t="shared" si="284"/>
        <v>0</v>
      </c>
      <c r="BF362" s="651">
        <f t="array" ref="BF362">IFERROR(INDEX('HIV-Other HPs'!$AF$49:$AF$74,MATCH($E362&amp;$F362,'HIV-Other HPs'!$E$49:$E$74&amp;'HIV-Other HPs'!$I$49:$I$74,0)),0)</f>
        <v>0</v>
      </c>
      <c r="BG362" s="652">
        <f t="shared" si="285"/>
        <v>0</v>
      </c>
      <c r="BH362" s="652">
        <f t="shared" si="286"/>
        <v>0</v>
      </c>
      <c r="BI362" s="652">
        <f t="shared" si="287"/>
        <v>0</v>
      </c>
      <c r="BJ362" s="662"/>
      <c r="BK362" s="663"/>
      <c r="BL362" s="663"/>
      <c r="BM362" s="663"/>
      <c r="BN362" s="663"/>
      <c r="BO362" s="663"/>
      <c r="BP362" s="663"/>
      <c r="BQ362" s="663"/>
      <c r="BR362" s="663"/>
    </row>
    <row r="363" spans="1:70">
      <c r="A363" s="655" t="s">
        <v>567</v>
      </c>
      <c r="B363" s="655" t="s">
        <v>2285</v>
      </c>
      <c r="C363" s="648">
        <f>SETUP!$F$31</f>
        <v>0</v>
      </c>
      <c r="D363" s="654">
        <v>5.4</v>
      </c>
      <c r="E363" s="663" t="s">
        <v>212</v>
      </c>
      <c r="F363" s="663" t="s">
        <v>1713</v>
      </c>
      <c r="G363" s="650" t="str">
        <f t="array" ref="G363">IFERROR(INDEX('HIV-Other HPs'!$L$49:$L$74,MATCH($E363&amp;$F363,'HIV-Other HPs'!$E$49:$E$74&amp;'HIV-Other HPs'!$I$49:$I$74,0)),"")</f>
        <v/>
      </c>
      <c r="H363" s="650" t="str">
        <f t="array" ref="H363">IFERROR(INDEX('HIV-Other HPs'!$M$49:$M$74,MATCH($E363&amp;$F363,'HIV-Other HPs'!$E$49:$E$74&amp;'HIV-Other HPs'!$I$49:$I$74,0)),"")</f>
        <v/>
      </c>
      <c r="I363" s="651">
        <f t="array" ref="I363">IFERROR(INDEX('HIV-Other HPs'!$N$49:$N$74,MATCH($E363&amp;$F363,'HIV-Other HPs'!$E$49:$E$74&amp;'HIV-Other HPs'!$I$49:$I$74,0)),0)</f>
        <v>0</v>
      </c>
      <c r="J363" s="651">
        <f t="array" ref="J363">IFERROR(INDEX('HIV-Other HPs'!$O$49:$O$74,MATCH($E363&amp;$F363,'HIV-Other HPs'!$E$49:$E$74&amp;'HIV-Other HPs'!$I$49:$I$74,0)),0)</f>
        <v>0</v>
      </c>
      <c r="K363" s="652">
        <f t="shared" si="252"/>
        <v>0</v>
      </c>
      <c r="L363" s="652">
        <f t="shared" si="253"/>
        <v>0</v>
      </c>
      <c r="M363" s="652">
        <f t="shared" si="254"/>
        <v>0</v>
      </c>
      <c r="N363" s="651">
        <f t="array" ref="N363">IFERROR(INDEX('HIV-Other HPs'!$P$49:$P$74,MATCH($E363&amp;$F363,'HIV-Other HPs'!$E$49:$E$74&amp;'HIV-Other HPs'!$I$49:$I$74,0)),0)</f>
        <v>0</v>
      </c>
      <c r="O363" s="652">
        <f t="shared" si="255"/>
        <v>0</v>
      </c>
      <c r="P363" s="652">
        <f t="shared" si="256"/>
        <v>0</v>
      </c>
      <c r="Q363" s="652">
        <f t="shared" si="257"/>
        <v>0</v>
      </c>
      <c r="R363" s="651">
        <f t="array" ref="R363">IFERROR(INDEX('HIV-Other HPs'!$Q$49:$Q$74,MATCH($E363&amp;$F363,'HIV-Other HPs'!$E$49:$E$74&amp;'HIV-Other HPs'!$I$49:$I$74,0)),0)</f>
        <v>0</v>
      </c>
      <c r="S363" s="652">
        <f t="shared" si="258"/>
        <v>0</v>
      </c>
      <c r="T363" s="652">
        <f t="shared" si="259"/>
        <v>0</v>
      </c>
      <c r="U363" s="652">
        <f t="shared" si="260"/>
        <v>0</v>
      </c>
      <c r="V363" s="651">
        <f t="array" ref="V363">IFERROR(INDEX('HIV-Other HPs'!$R$49:$R$74,MATCH($E363&amp;$F363,'HIV-Other HPs'!$E$49:$E$74&amp;'HIV-Other HPs'!$I$49:$I$74,0)),0)</f>
        <v>0</v>
      </c>
      <c r="W363" s="652">
        <f t="shared" si="261"/>
        <v>0</v>
      </c>
      <c r="X363" s="652">
        <f t="shared" si="262"/>
        <v>0</v>
      </c>
      <c r="Y363" s="652">
        <f t="shared" si="263"/>
        <v>0</v>
      </c>
      <c r="Z363" s="664"/>
      <c r="AA363" s="651">
        <f t="array" ref="AA363">IFERROR(INDEX('HIV-Other HPs'!$U$49:$U$74,MATCH($E363&amp;$F363,'HIV-Other HPs'!$E$49:$E$74&amp;'HIV-Other HPs'!$I$49:$I$74,0)),0)</f>
        <v>0</v>
      </c>
      <c r="AB363" s="651">
        <f t="array" ref="AB363">IFERROR(INDEX('HIV-Other HPs'!$V$49:$V$74,MATCH($E363&amp;$F363,'HIV-Other HPs'!$E$49:$E$74&amp;'HIV-Other HPs'!$I$49:$I$74,0)),0)</f>
        <v>0</v>
      </c>
      <c r="AC363" s="652">
        <f t="shared" si="264"/>
        <v>0</v>
      </c>
      <c r="AD363" s="652">
        <f t="shared" si="265"/>
        <v>0</v>
      </c>
      <c r="AE363" s="652">
        <f t="shared" si="266"/>
        <v>0</v>
      </c>
      <c r="AF363" s="651">
        <f t="array" ref="AF363">IFERROR(INDEX('HIV-Other HPs'!$W$49:$W$74,MATCH($E363&amp;$F363,'HIV-Other HPs'!$E$49:$E$74&amp;'HIV-Other HPs'!$I$49:$I$74,0)),0)</f>
        <v>0</v>
      </c>
      <c r="AG363" s="652">
        <f t="shared" si="267"/>
        <v>0</v>
      </c>
      <c r="AH363" s="652">
        <f t="shared" si="268"/>
        <v>0</v>
      </c>
      <c r="AI363" s="652">
        <f t="shared" si="269"/>
        <v>0</v>
      </c>
      <c r="AJ363" s="651">
        <f t="array" ref="AJ363">IFERROR(INDEX('HIV-Other HPs'!$X$49:$X$74,MATCH($E363&amp;$F363,'HIV-Other HPs'!$E$49:$E$74&amp;'HIV-Other HPs'!$I$49:$I$74,0)),0)</f>
        <v>0</v>
      </c>
      <c r="AK363" s="652">
        <f t="shared" si="270"/>
        <v>0</v>
      </c>
      <c r="AL363" s="652">
        <f t="shared" si="271"/>
        <v>0</v>
      </c>
      <c r="AM363" s="652">
        <f t="shared" si="272"/>
        <v>0</v>
      </c>
      <c r="AN363" s="651">
        <f t="array" ref="AN363">IFERROR(INDEX('HIV-Other HPs'!$Y$49:$Y$74,MATCH($E363&amp;$F363,'HIV-Other HPs'!$E$49:$E$74&amp;'HIV-Other HPs'!$I$49:$I$74,0)),0)</f>
        <v>0</v>
      </c>
      <c r="AO363" s="652">
        <f t="shared" si="273"/>
        <v>0</v>
      </c>
      <c r="AP363" s="652">
        <f t="shared" si="274"/>
        <v>0</v>
      </c>
      <c r="AQ363" s="652">
        <f t="shared" si="275"/>
        <v>0</v>
      </c>
      <c r="AR363" s="664"/>
      <c r="AS363" s="651">
        <f t="array" ref="AS363">IFERROR(INDEX('HIV-Other HPs'!$AB$49:$AB$74,MATCH($E363&amp;$F363,'HIV-Other HPs'!$E$49:$E$74&amp;'HIV-Other HPs'!$I$49:$I$74,0)),0)</f>
        <v>0</v>
      </c>
      <c r="AT363" s="651">
        <f t="array" ref="AT363">IFERROR(INDEX('HIV-Other HPs'!$AC$49:$AC$74,MATCH($E363&amp;$F363,'HIV-Other HPs'!$E$49:$E$74&amp;'HIV-Other HPs'!$I$49:$I$74,0)),0)</f>
        <v>0</v>
      </c>
      <c r="AU363" s="652">
        <f t="shared" si="276"/>
        <v>0</v>
      </c>
      <c r="AV363" s="652">
        <f t="shared" si="277"/>
        <v>0</v>
      </c>
      <c r="AW363" s="652">
        <f t="shared" si="278"/>
        <v>0</v>
      </c>
      <c r="AX363" s="651">
        <f t="array" ref="AX363">IFERROR(INDEX('HIV-Other HPs'!$AD$49:$AD$74,MATCH($E363&amp;$F363,'HIV-Other HPs'!$E$49:$E$74&amp;'HIV-Other HPs'!$I$49:$I$74,0)),0)</f>
        <v>0</v>
      </c>
      <c r="AY363" s="652">
        <f t="shared" si="279"/>
        <v>0</v>
      </c>
      <c r="AZ363" s="652">
        <f t="shared" si="280"/>
        <v>0</v>
      </c>
      <c r="BA363" s="652">
        <f t="shared" si="281"/>
        <v>0</v>
      </c>
      <c r="BB363" s="651">
        <f t="array" ref="BB363">IFERROR(INDEX('HIV-Other HPs'!$AE$49:$AE$74,MATCH($E363&amp;$F363,'HIV-Other HPs'!$E$49:$E$74&amp;'HIV-Other HPs'!$I$49:$I$74,0)),0)</f>
        <v>0</v>
      </c>
      <c r="BC363" s="652">
        <f t="shared" si="282"/>
        <v>0</v>
      </c>
      <c r="BD363" s="652">
        <f t="shared" si="283"/>
        <v>0</v>
      </c>
      <c r="BE363" s="652">
        <f t="shared" si="284"/>
        <v>0</v>
      </c>
      <c r="BF363" s="651">
        <f t="array" ref="BF363">IFERROR(INDEX('HIV-Other HPs'!$AF$49:$AF$74,MATCH($E363&amp;$F363,'HIV-Other HPs'!$E$49:$E$74&amp;'HIV-Other HPs'!$I$49:$I$74,0)),0)</f>
        <v>0</v>
      </c>
      <c r="BG363" s="652">
        <f t="shared" si="285"/>
        <v>0</v>
      </c>
      <c r="BH363" s="652">
        <f t="shared" si="286"/>
        <v>0</v>
      </c>
      <c r="BI363" s="652">
        <f t="shared" si="287"/>
        <v>0</v>
      </c>
      <c r="BJ363" s="662"/>
      <c r="BK363" s="663"/>
      <c r="BL363" s="663"/>
      <c r="BM363" s="663"/>
      <c r="BN363" s="663"/>
      <c r="BO363" s="663"/>
      <c r="BP363" s="663"/>
      <c r="BQ363" s="663"/>
      <c r="BR363" s="663"/>
    </row>
    <row r="364" spans="1:70">
      <c r="A364" s="655" t="s">
        <v>567</v>
      </c>
      <c r="B364" s="655" t="s">
        <v>2285</v>
      </c>
      <c r="C364" s="648">
        <f>SETUP!$F$31</f>
        <v>0</v>
      </c>
      <c r="D364" s="654">
        <v>5.4</v>
      </c>
      <c r="E364" s="663" t="s">
        <v>209</v>
      </c>
      <c r="F364" s="663" t="s">
        <v>832</v>
      </c>
      <c r="G364" s="650" t="str">
        <f t="array" ref="G364">IFERROR(INDEX('HIV-Other HPs'!$L$49:$L$74,MATCH($E364&amp;$F364,'HIV-Other HPs'!$E$49:$E$74&amp;'HIV-Other HPs'!$I$49:$I$74,0)),"")</f>
        <v/>
      </c>
      <c r="H364" s="650" t="str">
        <f t="array" ref="H364">IFERROR(INDEX('HIV-Other HPs'!$M$49:$M$74,MATCH($E364&amp;$F364,'HIV-Other HPs'!$E$49:$E$74&amp;'HIV-Other HPs'!$I$49:$I$74,0)),"")</f>
        <v/>
      </c>
      <c r="I364" s="651">
        <f t="array" ref="I364">IFERROR(INDEX('HIV-Other HPs'!$N$49:$N$74,MATCH($E364&amp;$F364,'HIV-Other HPs'!$E$49:$E$74&amp;'HIV-Other HPs'!$I$49:$I$74,0)),0)</f>
        <v>0</v>
      </c>
      <c r="J364" s="651">
        <f t="array" ref="J364">IFERROR(INDEX('HIV-Other HPs'!$O$49:$O$74,MATCH($E364&amp;$F364,'HIV-Other HPs'!$E$49:$E$74&amp;'HIV-Other HPs'!$I$49:$I$74,0)),0)</f>
        <v>0</v>
      </c>
      <c r="K364" s="652">
        <f t="shared" si="252"/>
        <v>0</v>
      </c>
      <c r="L364" s="652">
        <f t="shared" si="253"/>
        <v>0</v>
      </c>
      <c r="M364" s="652">
        <f t="shared" si="254"/>
        <v>0</v>
      </c>
      <c r="N364" s="651">
        <f t="array" ref="N364">IFERROR(INDEX('HIV-Other HPs'!$P$49:$P$74,MATCH($E364&amp;$F364,'HIV-Other HPs'!$E$49:$E$74&amp;'HIV-Other HPs'!$I$49:$I$74,0)),0)</f>
        <v>0</v>
      </c>
      <c r="O364" s="652">
        <f t="shared" si="255"/>
        <v>0</v>
      </c>
      <c r="P364" s="652">
        <f t="shared" si="256"/>
        <v>0</v>
      </c>
      <c r="Q364" s="652">
        <f t="shared" si="257"/>
        <v>0</v>
      </c>
      <c r="R364" s="651">
        <f t="array" ref="R364">IFERROR(INDEX('HIV-Other HPs'!$Q$49:$Q$74,MATCH($E364&amp;$F364,'HIV-Other HPs'!$E$49:$E$74&amp;'HIV-Other HPs'!$I$49:$I$74,0)),0)</f>
        <v>0</v>
      </c>
      <c r="S364" s="652">
        <f t="shared" si="258"/>
        <v>0</v>
      </c>
      <c r="T364" s="652">
        <f t="shared" si="259"/>
        <v>0</v>
      </c>
      <c r="U364" s="652">
        <f t="shared" si="260"/>
        <v>0</v>
      </c>
      <c r="V364" s="651">
        <f t="array" ref="V364">IFERROR(INDEX('HIV-Other HPs'!$R$49:$R$74,MATCH($E364&amp;$F364,'HIV-Other HPs'!$E$49:$E$74&amp;'HIV-Other HPs'!$I$49:$I$74,0)),0)</f>
        <v>0</v>
      </c>
      <c r="W364" s="652">
        <f t="shared" si="261"/>
        <v>0</v>
      </c>
      <c r="X364" s="652">
        <f t="shared" si="262"/>
        <v>0</v>
      </c>
      <c r="Y364" s="652">
        <f t="shared" si="263"/>
        <v>0</v>
      </c>
      <c r="Z364" s="664"/>
      <c r="AA364" s="651">
        <f t="array" ref="AA364">IFERROR(INDEX('HIV-Other HPs'!$U$49:$U$74,MATCH($E364&amp;$F364,'HIV-Other HPs'!$E$49:$E$74&amp;'HIV-Other HPs'!$I$49:$I$74,0)),0)</f>
        <v>0</v>
      </c>
      <c r="AB364" s="651">
        <f t="array" ref="AB364">IFERROR(INDEX('HIV-Other HPs'!$V$49:$V$74,MATCH($E364&amp;$F364,'HIV-Other HPs'!$E$49:$E$74&amp;'HIV-Other HPs'!$I$49:$I$74,0)),0)</f>
        <v>0</v>
      </c>
      <c r="AC364" s="652">
        <f t="shared" si="264"/>
        <v>0</v>
      </c>
      <c r="AD364" s="652">
        <f t="shared" si="265"/>
        <v>0</v>
      </c>
      <c r="AE364" s="652">
        <f t="shared" si="266"/>
        <v>0</v>
      </c>
      <c r="AF364" s="651">
        <f t="array" ref="AF364">IFERROR(INDEX('HIV-Other HPs'!$W$49:$W$74,MATCH($E364&amp;$F364,'HIV-Other HPs'!$E$49:$E$74&amp;'HIV-Other HPs'!$I$49:$I$74,0)),0)</f>
        <v>0</v>
      </c>
      <c r="AG364" s="652">
        <f t="shared" si="267"/>
        <v>0</v>
      </c>
      <c r="AH364" s="652">
        <f t="shared" si="268"/>
        <v>0</v>
      </c>
      <c r="AI364" s="652">
        <f t="shared" si="269"/>
        <v>0</v>
      </c>
      <c r="AJ364" s="651">
        <f t="array" ref="AJ364">IFERROR(INDEX('HIV-Other HPs'!$X$49:$X$74,MATCH($E364&amp;$F364,'HIV-Other HPs'!$E$49:$E$74&amp;'HIV-Other HPs'!$I$49:$I$74,0)),0)</f>
        <v>0</v>
      </c>
      <c r="AK364" s="652">
        <f t="shared" si="270"/>
        <v>0</v>
      </c>
      <c r="AL364" s="652">
        <f t="shared" si="271"/>
        <v>0</v>
      </c>
      <c r="AM364" s="652">
        <f t="shared" si="272"/>
        <v>0</v>
      </c>
      <c r="AN364" s="651">
        <f t="array" ref="AN364">IFERROR(INDEX('HIV-Other HPs'!$Y$49:$Y$74,MATCH($E364&amp;$F364,'HIV-Other HPs'!$E$49:$E$74&amp;'HIV-Other HPs'!$I$49:$I$74,0)),0)</f>
        <v>0</v>
      </c>
      <c r="AO364" s="652">
        <f t="shared" si="273"/>
        <v>0</v>
      </c>
      <c r="AP364" s="652">
        <f t="shared" si="274"/>
        <v>0</v>
      </c>
      <c r="AQ364" s="652">
        <f t="shared" si="275"/>
        <v>0</v>
      </c>
      <c r="AR364" s="664"/>
      <c r="AS364" s="651">
        <f t="array" ref="AS364">IFERROR(INDEX('HIV-Other HPs'!$AB$49:$AB$74,MATCH($E364&amp;$F364,'HIV-Other HPs'!$E$49:$E$74&amp;'HIV-Other HPs'!$I$49:$I$74,0)),0)</f>
        <v>0</v>
      </c>
      <c r="AT364" s="651">
        <f t="array" ref="AT364">IFERROR(INDEX('HIV-Other HPs'!$AC$49:$AC$74,MATCH($E364&amp;$F364,'HIV-Other HPs'!$E$49:$E$74&amp;'HIV-Other HPs'!$I$49:$I$74,0)),0)</f>
        <v>0</v>
      </c>
      <c r="AU364" s="652">
        <f t="shared" si="276"/>
        <v>0</v>
      </c>
      <c r="AV364" s="652">
        <f t="shared" si="277"/>
        <v>0</v>
      </c>
      <c r="AW364" s="652">
        <f t="shared" si="278"/>
        <v>0</v>
      </c>
      <c r="AX364" s="651">
        <f t="array" ref="AX364">IFERROR(INDEX('HIV-Other HPs'!$AD$49:$AD$74,MATCH($E364&amp;$F364,'HIV-Other HPs'!$E$49:$E$74&amp;'HIV-Other HPs'!$I$49:$I$74,0)),0)</f>
        <v>0</v>
      </c>
      <c r="AY364" s="652">
        <f t="shared" si="279"/>
        <v>0</v>
      </c>
      <c r="AZ364" s="652">
        <f t="shared" si="280"/>
        <v>0</v>
      </c>
      <c r="BA364" s="652">
        <f t="shared" si="281"/>
        <v>0</v>
      </c>
      <c r="BB364" s="651">
        <f t="array" ref="BB364">IFERROR(INDEX('HIV-Other HPs'!$AE$49:$AE$74,MATCH($E364&amp;$F364,'HIV-Other HPs'!$E$49:$E$74&amp;'HIV-Other HPs'!$I$49:$I$74,0)),0)</f>
        <v>0</v>
      </c>
      <c r="BC364" s="652">
        <f t="shared" si="282"/>
        <v>0</v>
      </c>
      <c r="BD364" s="652">
        <f t="shared" si="283"/>
        <v>0</v>
      </c>
      <c r="BE364" s="652">
        <f t="shared" si="284"/>
        <v>0</v>
      </c>
      <c r="BF364" s="651">
        <f t="array" ref="BF364">IFERROR(INDEX('HIV-Other HPs'!$AF$49:$AF$74,MATCH($E364&amp;$F364,'HIV-Other HPs'!$E$49:$E$74&amp;'HIV-Other HPs'!$I$49:$I$74,0)),0)</f>
        <v>0</v>
      </c>
      <c r="BG364" s="652">
        <f t="shared" si="285"/>
        <v>0</v>
      </c>
      <c r="BH364" s="652">
        <f t="shared" si="286"/>
        <v>0</v>
      </c>
      <c r="BI364" s="652">
        <f t="shared" si="287"/>
        <v>0</v>
      </c>
      <c r="BJ364" s="662"/>
      <c r="BK364" s="663"/>
      <c r="BL364" s="663"/>
      <c r="BM364" s="663"/>
      <c r="BN364" s="663"/>
      <c r="BO364" s="663"/>
      <c r="BP364" s="663"/>
      <c r="BQ364" s="663"/>
      <c r="BR364" s="663"/>
    </row>
    <row r="365" spans="1:70">
      <c r="A365" s="655" t="s">
        <v>1863</v>
      </c>
      <c r="B365" s="655" t="s">
        <v>2285</v>
      </c>
      <c r="C365" s="648">
        <f>SETUP!$F$31</f>
        <v>0</v>
      </c>
      <c r="D365" s="654">
        <v>5.4</v>
      </c>
      <c r="E365" s="663" t="s">
        <v>1750</v>
      </c>
      <c r="F365" s="663" t="s">
        <v>1503</v>
      </c>
      <c r="G365" s="650" t="str">
        <f t="array" ref="G365">IFERROR(INDEX('HIV-Other HPs'!$L$49:$L$74,MATCH($E365&amp;$F365,'HIV-Other HPs'!$E$49:$E$74&amp;'HIV-Other HPs'!$I$49:$I$74,0)),"")</f>
        <v/>
      </c>
      <c r="H365" s="650" t="str">
        <f t="array" ref="H365">IFERROR(INDEX('HIV-Other HPs'!$M$49:$M$74,MATCH($E365&amp;$F365,'HIV-Other HPs'!$E$49:$E$74&amp;'HIV-Other HPs'!$I$49:$I$74,0)),"")</f>
        <v/>
      </c>
      <c r="I365" s="651">
        <f t="array" ref="I365">IFERROR(INDEX('HIV-Other HPs'!$N$49:$N$74,MATCH($E365&amp;$F365,'HIV-Other HPs'!$E$49:$E$74&amp;'HIV-Other HPs'!$I$49:$I$74,0)),0)</f>
        <v>0</v>
      </c>
      <c r="J365" s="651">
        <f t="array" ref="J365">IFERROR(INDEX('HIV-Other HPs'!$O$49:$O$74,MATCH($E365&amp;$F365,'HIV-Other HPs'!$E$49:$E$74&amp;'HIV-Other HPs'!$I$49:$I$74,0)),0)</f>
        <v>0</v>
      </c>
      <c r="K365" s="652">
        <f t="shared" si="252"/>
        <v>0</v>
      </c>
      <c r="L365" s="652">
        <f t="shared" si="253"/>
        <v>0</v>
      </c>
      <c r="M365" s="652">
        <f t="shared" si="254"/>
        <v>0</v>
      </c>
      <c r="N365" s="651">
        <f t="array" ref="N365">IFERROR(INDEX('HIV-Other HPs'!$P$49:$P$74,MATCH($E365&amp;$F365,'HIV-Other HPs'!$E$49:$E$74&amp;'HIV-Other HPs'!$I$49:$I$74,0)),0)</f>
        <v>0</v>
      </c>
      <c r="O365" s="652">
        <f t="shared" si="255"/>
        <v>0</v>
      </c>
      <c r="P365" s="652">
        <f t="shared" si="256"/>
        <v>0</v>
      </c>
      <c r="Q365" s="652">
        <f t="shared" si="257"/>
        <v>0</v>
      </c>
      <c r="R365" s="651">
        <f t="array" ref="R365">IFERROR(INDEX('HIV-Other HPs'!$Q$49:$Q$74,MATCH($E365&amp;$F365,'HIV-Other HPs'!$E$49:$E$74&amp;'HIV-Other HPs'!$I$49:$I$74,0)),0)</f>
        <v>0</v>
      </c>
      <c r="S365" s="652">
        <f t="shared" si="258"/>
        <v>0</v>
      </c>
      <c r="T365" s="652">
        <f t="shared" si="259"/>
        <v>0</v>
      </c>
      <c r="U365" s="652">
        <f t="shared" si="260"/>
        <v>0</v>
      </c>
      <c r="V365" s="651">
        <f t="array" ref="V365">IFERROR(INDEX('HIV-Other HPs'!$R$49:$R$74,MATCH($E365&amp;$F365,'HIV-Other HPs'!$E$49:$E$74&amp;'HIV-Other HPs'!$I$49:$I$74,0)),0)</f>
        <v>0</v>
      </c>
      <c r="W365" s="652">
        <f t="shared" si="261"/>
        <v>0</v>
      </c>
      <c r="X365" s="652">
        <f t="shared" si="262"/>
        <v>0</v>
      </c>
      <c r="Y365" s="652">
        <f t="shared" si="263"/>
        <v>0</v>
      </c>
      <c r="Z365" s="664"/>
      <c r="AA365" s="651">
        <f t="array" ref="AA365">IFERROR(INDEX('HIV-Other HPs'!$U$49:$U$74,MATCH($E365&amp;$F365,'HIV-Other HPs'!$E$49:$E$74&amp;'HIV-Other HPs'!$I$49:$I$74,0)),0)</f>
        <v>0</v>
      </c>
      <c r="AB365" s="651">
        <f t="array" ref="AB365">IFERROR(INDEX('HIV-Other HPs'!$V$49:$V$74,MATCH($E365&amp;$F365,'HIV-Other HPs'!$E$49:$E$74&amp;'HIV-Other HPs'!$I$49:$I$74,0)),0)</f>
        <v>0</v>
      </c>
      <c r="AC365" s="652">
        <f t="shared" si="264"/>
        <v>0</v>
      </c>
      <c r="AD365" s="652">
        <f t="shared" si="265"/>
        <v>0</v>
      </c>
      <c r="AE365" s="652">
        <f t="shared" si="266"/>
        <v>0</v>
      </c>
      <c r="AF365" s="651">
        <f t="array" ref="AF365">IFERROR(INDEX('HIV-Other HPs'!$W$49:$W$74,MATCH($E365&amp;$F365,'HIV-Other HPs'!$E$49:$E$74&amp;'HIV-Other HPs'!$I$49:$I$74,0)),0)</f>
        <v>0</v>
      </c>
      <c r="AG365" s="652">
        <f t="shared" si="267"/>
        <v>0</v>
      </c>
      <c r="AH365" s="652">
        <f t="shared" si="268"/>
        <v>0</v>
      </c>
      <c r="AI365" s="652">
        <f t="shared" si="269"/>
        <v>0</v>
      </c>
      <c r="AJ365" s="651">
        <f t="array" ref="AJ365">IFERROR(INDEX('HIV-Other HPs'!$X$49:$X$74,MATCH($E365&amp;$F365,'HIV-Other HPs'!$E$49:$E$74&amp;'HIV-Other HPs'!$I$49:$I$74,0)),0)</f>
        <v>0</v>
      </c>
      <c r="AK365" s="652">
        <f t="shared" si="270"/>
        <v>0</v>
      </c>
      <c r="AL365" s="652">
        <f t="shared" si="271"/>
        <v>0</v>
      </c>
      <c r="AM365" s="652">
        <f t="shared" si="272"/>
        <v>0</v>
      </c>
      <c r="AN365" s="651">
        <f t="array" ref="AN365">IFERROR(INDEX('HIV-Other HPs'!$Y$49:$Y$74,MATCH($E365&amp;$F365,'HIV-Other HPs'!$E$49:$E$74&amp;'HIV-Other HPs'!$I$49:$I$74,0)),0)</f>
        <v>0</v>
      </c>
      <c r="AO365" s="652">
        <f t="shared" si="273"/>
        <v>0</v>
      </c>
      <c r="AP365" s="652">
        <f t="shared" si="274"/>
        <v>0</v>
      </c>
      <c r="AQ365" s="652">
        <f t="shared" si="275"/>
        <v>0</v>
      </c>
      <c r="AR365" s="664"/>
      <c r="AS365" s="651">
        <f t="array" ref="AS365">IFERROR(INDEX('HIV-Other HPs'!$AB$49:$AB$74,MATCH($E365&amp;$F365,'HIV-Other HPs'!$E$49:$E$74&amp;'HIV-Other HPs'!$I$49:$I$74,0)),0)</f>
        <v>0</v>
      </c>
      <c r="AT365" s="651">
        <f t="array" ref="AT365">IFERROR(INDEX('HIV-Other HPs'!$AC$49:$AC$74,MATCH($E365&amp;$F365,'HIV-Other HPs'!$E$49:$E$74&amp;'HIV-Other HPs'!$I$49:$I$74,0)),0)</f>
        <v>0</v>
      </c>
      <c r="AU365" s="652">
        <f t="shared" si="276"/>
        <v>0</v>
      </c>
      <c r="AV365" s="652">
        <f t="shared" si="277"/>
        <v>0</v>
      </c>
      <c r="AW365" s="652">
        <f t="shared" si="278"/>
        <v>0</v>
      </c>
      <c r="AX365" s="651">
        <f t="array" ref="AX365">IFERROR(INDEX('HIV-Other HPs'!$AD$49:$AD$74,MATCH($E365&amp;$F365,'HIV-Other HPs'!$E$49:$E$74&amp;'HIV-Other HPs'!$I$49:$I$74,0)),0)</f>
        <v>0</v>
      </c>
      <c r="AY365" s="652">
        <f t="shared" si="279"/>
        <v>0</v>
      </c>
      <c r="AZ365" s="652">
        <f t="shared" si="280"/>
        <v>0</v>
      </c>
      <c r="BA365" s="652">
        <f t="shared" si="281"/>
        <v>0</v>
      </c>
      <c r="BB365" s="651">
        <f t="array" ref="BB365">IFERROR(INDEX('HIV-Other HPs'!$AE$49:$AE$74,MATCH($E365&amp;$F365,'HIV-Other HPs'!$E$49:$E$74&amp;'HIV-Other HPs'!$I$49:$I$74,0)),0)</f>
        <v>0</v>
      </c>
      <c r="BC365" s="652">
        <f t="shared" si="282"/>
        <v>0</v>
      </c>
      <c r="BD365" s="652">
        <f t="shared" si="283"/>
        <v>0</v>
      </c>
      <c r="BE365" s="652">
        <f t="shared" si="284"/>
        <v>0</v>
      </c>
      <c r="BF365" s="651">
        <f t="array" ref="BF365">IFERROR(INDEX('HIV-Other HPs'!$AF$49:$AF$74,MATCH($E365&amp;$F365,'HIV-Other HPs'!$E$49:$E$74&amp;'HIV-Other HPs'!$I$49:$I$74,0)),0)</f>
        <v>0</v>
      </c>
      <c r="BG365" s="652">
        <f t="shared" si="285"/>
        <v>0</v>
      </c>
      <c r="BH365" s="652">
        <f t="shared" si="286"/>
        <v>0</v>
      </c>
      <c r="BI365" s="652">
        <f t="shared" si="287"/>
        <v>0</v>
      </c>
      <c r="BJ365" s="662"/>
      <c r="BK365" s="663"/>
      <c r="BL365" s="663"/>
      <c r="BM365" s="663"/>
      <c r="BN365" s="663"/>
      <c r="BO365" s="663"/>
      <c r="BP365" s="663"/>
      <c r="BQ365" s="663"/>
      <c r="BR365" s="663"/>
    </row>
    <row r="366" spans="1:70">
      <c r="A366" s="655" t="s">
        <v>1863</v>
      </c>
      <c r="B366" s="655" t="s">
        <v>2285</v>
      </c>
      <c r="C366" s="648">
        <f>SETUP!$F$31</f>
        <v>0</v>
      </c>
      <c r="D366" s="654">
        <v>5.4</v>
      </c>
      <c r="E366" s="663" t="s">
        <v>573</v>
      </c>
      <c r="F366" s="663" t="s">
        <v>1713</v>
      </c>
      <c r="G366" s="650" t="str">
        <f t="array" ref="G366">IFERROR(INDEX('HIV-Other HPs'!$L$49:$L$74,MATCH($E366&amp;$F366,'HIV-Other HPs'!$E$49:$E$74&amp;'HIV-Other HPs'!$I$49:$I$74,0)),"")</f>
        <v/>
      </c>
      <c r="H366" s="650" t="str">
        <f t="array" ref="H366">IFERROR(INDEX('HIV-Other HPs'!$M$49:$M$74,MATCH($E366&amp;$F366,'HIV-Other HPs'!$E$49:$E$74&amp;'HIV-Other HPs'!$I$49:$I$74,0)),"")</f>
        <v/>
      </c>
      <c r="I366" s="651">
        <f t="array" ref="I366">IFERROR(INDEX('HIV-Other HPs'!$N$49:$N$74,MATCH($E366&amp;$F366,'HIV-Other HPs'!$E$49:$E$74&amp;'HIV-Other HPs'!$I$49:$I$74,0)),0)</f>
        <v>0</v>
      </c>
      <c r="J366" s="651">
        <f t="array" ref="J366">IFERROR(INDEX('HIV-Other HPs'!$O$49:$O$74,MATCH($E366&amp;$F366,'HIV-Other HPs'!$E$49:$E$74&amp;'HIV-Other HPs'!$I$49:$I$74,0)),0)</f>
        <v>0</v>
      </c>
      <c r="K366" s="652">
        <f t="shared" si="252"/>
        <v>0</v>
      </c>
      <c r="L366" s="652">
        <f t="shared" si="253"/>
        <v>0</v>
      </c>
      <c r="M366" s="652">
        <f t="shared" si="254"/>
        <v>0</v>
      </c>
      <c r="N366" s="651">
        <f t="array" ref="N366">IFERROR(INDEX('HIV-Other HPs'!$P$49:$P$74,MATCH($E366&amp;$F366,'HIV-Other HPs'!$E$49:$E$74&amp;'HIV-Other HPs'!$I$49:$I$74,0)),0)</f>
        <v>0</v>
      </c>
      <c r="O366" s="652">
        <f t="shared" si="255"/>
        <v>0</v>
      </c>
      <c r="P366" s="652">
        <f t="shared" si="256"/>
        <v>0</v>
      </c>
      <c r="Q366" s="652">
        <f t="shared" si="257"/>
        <v>0</v>
      </c>
      <c r="R366" s="651">
        <f t="array" ref="R366">IFERROR(INDEX('HIV-Other HPs'!$Q$49:$Q$74,MATCH($E366&amp;$F366,'HIV-Other HPs'!$E$49:$E$74&amp;'HIV-Other HPs'!$I$49:$I$74,0)),0)</f>
        <v>0</v>
      </c>
      <c r="S366" s="652">
        <f t="shared" si="258"/>
        <v>0</v>
      </c>
      <c r="T366" s="652">
        <f t="shared" si="259"/>
        <v>0</v>
      </c>
      <c r="U366" s="652">
        <f t="shared" si="260"/>
        <v>0</v>
      </c>
      <c r="V366" s="651">
        <f t="array" ref="V366">IFERROR(INDEX('HIV-Other HPs'!$R$49:$R$74,MATCH($E366&amp;$F366,'HIV-Other HPs'!$E$49:$E$74&amp;'HIV-Other HPs'!$I$49:$I$74,0)),0)</f>
        <v>0</v>
      </c>
      <c r="W366" s="652">
        <f t="shared" si="261"/>
        <v>0</v>
      </c>
      <c r="X366" s="652">
        <f t="shared" si="262"/>
        <v>0</v>
      </c>
      <c r="Y366" s="652">
        <f t="shared" si="263"/>
        <v>0</v>
      </c>
      <c r="Z366" s="664"/>
      <c r="AA366" s="651">
        <f t="array" ref="AA366">IFERROR(INDEX('HIV-Other HPs'!$U$49:$U$74,MATCH($E366&amp;$F366,'HIV-Other HPs'!$E$49:$E$74&amp;'HIV-Other HPs'!$I$49:$I$74,0)),0)</f>
        <v>0</v>
      </c>
      <c r="AB366" s="651">
        <f t="array" ref="AB366">IFERROR(INDEX('HIV-Other HPs'!$V$49:$V$74,MATCH($E366&amp;$F366,'HIV-Other HPs'!$E$49:$E$74&amp;'HIV-Other HPs'!$I$49:$I$74,0)),0)</f>
        <v>0</v>
      </c>
      <c r="AC366" s="652">
        <f t="shared" si="264"/>
        <v>0</v>
      </c>
      <c r="AD366" s="652">
        <f t="shared" si="265"/>
        <v>0</v>
      </c>
      <c r="AE366" s="652">
        <f t="shared" si="266"/>
        <v>0</v>
      </c>
      <c r="AF366" s="651">
        <f t="array" ref="AF366">IFERROR(INDEX('HIV-Other HPs'!$W$49:$W$74,MATCH($E366&amp;$F366,'HIV-Other HPs'!$E$49:$E$74&amp;'HIV-Other HPs'!$I$49:$I$74,0)),0)</f>
        <v>0</v>
      </c>
      <c r="AG366" s="652">
        <f t="shared" si="267"/>
        <v>0</v>
      </c>
      <c r="AH366" s="652">
        <f t="shared" si="268"/>
        <v>0</v>
      </c>
      <c r="AI366" s="652">
        <f t="shared" si="269"/>
        <v>0</v>
      </c>
      <c r="AJ366" s="651">
        <f t="array" ref="AJ366">IFERROR(INDEX('HIV-Other HPs'!$X$49:$X$74,MATCH($E366&amp;$F366,'HIV-Other HPs'!$E$49:$E$74&amp;'HIV-Other HPs'!$I$49:$I$74,0)),0)</f>
        <v>0</v>
      </c>
      <c r="AK366" s="652">
        <f t="shared" si="270"/>
        <v>0</v>
      </c>
      <c r="AL366" s="652">
        <f t="shared" si="271"/>
        <v>0</v>
      </c>
      <c r="AM366" s="652">
        <f t="shared" si="272"/>
        <v>0</v>
      </c>
      <c r="AN366" s="651">
        <f t="array" ref="AN366">IFERROR(INDEX('HIV-Other HPs'!$Y$49:$Y$74,MATCH($E366&amp;$F366,'HIV-Other HPs'!$E$49:$E$74&amp;'HIV-Other HPs'!$I$49:$I$74,0)),0)</f>
        <v>0</v>
      </c>
      <c r="AO366" s="652">
        <f t="shared" si="273"/>
        <v>0</v>
      </c>
      <c r="AP366" s="652">
        <f t="shared" si="274"/>
        <v>0</v>
      </c>
      <c r="AQ366" s="652">
        <f t="shared" si="275"/>
        <v>0</v>
      </c>
      <c r="AR366" s="664"/>
      <c r="AS366" s="651">
        <f t="array" ref="AS366">IFERROR(INDEX('HIV-Other HPs'!$AB$49:$AB$74,MATCH($E366&amp;$F366,'HIV-Other HPs'!$E$49:$E$74&amp;'HIV-Other HPs'!$I$49:$I$74,0)),0)</f>
        <v>0</v>
      </c>
      <c r="AT366" s="651">
        <f t="array" ref="AT366">IFERROR(INDEX('HIV-Other HPs'!$AC$49:$AC$74,MATCH($E366&amp;$F366,'HIV-Other HPs'!$E$49:$E$74&amp;'HIV-Other HPs'!$I$49:$I$74,0)),0)</f>
        <v>0</v>
      </c>
      <c r="AU366" s="652">
        <f t="shared" si="276"/>
        <v>0</v>
      </c>
      <c r="AV366" s="652">
        <f t="shared" si="277"/>
        <v>0</v>
      </c>
      <c r="AW366" s="652">
        <f t="shared" si="278"/>
        <v>0</v>
      </c>
      <c r="AX366" s="651">
        <f t="array" ref="AX366">IFERROR(INDEX('HIV-Other HPs'!$AD$49:$AD$74,MATCH($E366&amp;$F366,'HIV-Other HPs'!$E$49:$E$74&amp;'HIV-Other HPs'!$I$49:$I$74,0)),0)</f>
        <v>0</v>
      </c>
      <c r="AY366" s="652">
        <f t="shared" si="279"/>
        <v>0</v>
      </c>
      <c r="AZ366" s="652">
        <f t="shared" si="280"/>
        <v>0</v>
      </c>
      <c r="BA366" s="652">
        <f t="shared" si="281"/>
        <v>0</v>
      </c>
      <c r="BB366" s="651">
        <f t="array" ref="BB366">IFERROR(INDEX('HIV-Other HPs'!$AE$49:$AE$74,MATCH($E366&amp;$F366,'HIV-Other HPs'!$E$49:$E$74&amp;'HIV-Other HPs'!$I$49:$I$74,0)),0)</f>
        <v>0</v>
      </c>
      <c r="BC366" s="652">
        <f t="shared" si="282"/>
        <v>0</v>
      </c>
      <c r="BD366" s="652">
        <f t="shared" si="283"/>
        <v>0</v>
      </c>
      <c r="BE366" s="652">
        <f t="shared" si="284"/>
        <v>0</v>
      </c>
      <c r="BF366" s="651">
        <f t="array" ref="BF366">IFERROR(INDEX('HIV-Other HPs'!$AF$49:$AF$74,MATCH($E366&amp;$F366,'HIV-Other HPs'!$E$49:$E$74&amp;'HIV-Other HPs'!$I$49:$I$74,0)),0)</f>
        <v>0</v>
      </c>
      <c r="BG366" s="652">
        <f t="shared" si="285"/>
        <v>0</v>
      </c>
      <c r="BH366" s="652">
        <f t="shared" si="286"/>
        <v>0</v>
      </c>
      <c r="BI366" s="652">
        <f t="shared" si="287"/>
        <v>0</v>
      </c>
      <c r="BJ366" s="662"/>
      <c r="BK366" s="663"/>
      <c r="BL366" s="663"/>
      <c r="BM366" s="663"/>
      <c r="BN366" s="663"/>
      <c r="BO366" s="663"/>
      <c r="BP366" s="663"/>
      <c r="BQ366" s="663"/>
      <c r="BR366" s="663"/>
    </row>
    <row r="367" spans="1:70">
      <c r="A367" s="655" t="s">
        <v>1863</v>
      </c>
      <c r="B367" s="655" t="s">
        <v>2285</v>
      </c>
      <c r="C367" s="648">
        <f>SETUP!$F$31</f>
        <v>0</v>
      </c>
      <c r="D367" s="654">
        <v>5.4</v>
      </c>
      <c r="E367" s="663" t="s">
        <v>573</v>
      </c>
      <c r="F367" s="663" t="s">
        <v>1751</v>
      </c>
      <c r="G367" s="650" t="str">
        <f t="array" ref="G367">IFERROR(INDEX('HIV-Other HPs'!$L$49:$L$74,MATCH($E367&amp;$F367,'HIV-Other HPs'!$E$49:$E$74&amp;'HIV-Other HPs'!$I$49:$I$74,0)),"")</f>
        <v/>
      </c>
      <c r="H367" s="650" t="str">
        <f t="array" ref="H367">IFERROR(INDEX('HIV-Other HPs'!$M$49:$M$74,MATCH($E367&amp;$F367,'HIV-Other HPs'!$E$49:$E$74&amp;'HIV-Other HPs'!$I$49:$I$74,0)),"")</f>
        <v/>
      </c>
      <c r="I367" s="651">
        <f t="array" ref="I367">IFERROR(INDEX('HIV-Other HPs'!$N$49:$N$74,MATCH($E367&amp;$F367,'HIV-Other HPs'!$E$49:$E$74&amp;'HIV-Other HPs'!$I$49:$I$74,0)),0)</f>
        <v>0</v>
      </c>
      <c r="J367" s="651">
        <f t="array" ref="J367">IFERROR(INDEX('HIV-Other HPs'!$O$49:$O$74,MATCH($E367&amp;$F367,'HIV-Other HPs'!$E$49:$E$74&amp;'HIV-Other HPs'!$I$49:$I$74,0)),0)</f>
        <v>0</v>
      </c>
      <c r="K367" s="652">
        <f t="shared" si="252"/>
        <v>0</v>
      </c>
      <c r="L367" s="652">
        <f t="shared" si="253"/>
        <v>0</v>
      </c>
      <c r="M367" s="652">
        <f t="shared" si="254"/>
        <v>0</v>
      </c>
      <c r="N367" s="651">
        <f t="array" ref="N367">IFERROR(INDEX('HIV-Other HPs'!$P$49:$P$74,MATCH($E367&amp;$F367,'HIV-Other HPs'!$E$49:$E$74&amp;'HIV-Other HPs'!$I$49:$I$74,0)),0)</f>
        <v>0</v>
      </c>
      <c r="O367" s="652">
        <f t="shared" si="255"/>
        <v>0</v>
      </c>
      <c r="P367" s="652">
        <f t="shared" si="256"/>
        <v>0</v>
      </c>
      <c r="Q367" s="652">
        <f t="shared" si="257"/>
        <v>0</v>
      </c>
      <c r="R367" s="651">
        <f t="array" ref="R367">IFERROR(INDEX('HIV-Other HPs'!$Q$49:$Q$74,MATCH($E367&amp;$F367,'HIV-Other HPs'!$E$49:$E$74&amp;'HIV-Other HPs'!$I$49:$I$74,0)),0)</f>
        <v>0</v>
      </c>
      <c r="S367" s="652">
        <f t="shared" si="258"/>
        <v>0</v>
      </c>
      <c r="T367" s="652">
        <f t="shared" si="259"/>
        <v>0</v>
      </c>
      <c r="U367" s="652">
        <f t="shared" si="260"/>
        <v>0</v>
      </c>
      <c r="V367" s="651">
        <f t="array" ref="V367">IFERROR(INDEX('HIV-Other HPs'!$R$49:$R$74,MATCH($E367&amp;$F367,'HIV-Other HPs'!$E$49:$E$74&amp;'HIV-Other HPs'!$I$49:$I$74,0)),0)</f>
        <v>0</v>
      </c>
      <c r="W367" s="652">
        <f t="shared" si="261"/>
        <v>0</v>
      </c>
      <c r="X367" s="652">
        <f t="shared" si="262"/>
        <v>0</v>
      </c>
      <c r="Y367" s="652">
        <f t="shared" si="263"/>
        <v>0</v>
      </c>
      <c r="Z367" s="664"/>
      <c r="AA367" s="651">
        <f t="array" ref="AA367">IFERROR(INDEX('HIV-Other HPs'!$U$49:$U$74,MATCH($E367&amp;$F367,'HIV-Other HPs'!$E$49:$E$74&amp;'HIV-Other HPs'!$I$49:$I$74,0)),0)</f>
        <v>0</v>
      </c>
      <c r="AB367" s="651">
        <f t="array" ref="AB367">IFERROR(INDEX('HIV-Other HPs'!$V$49:$V$74,MATCH($E367&amp;$F367,'HIV-Other HPs'!$E$49:$E$74&amp;'HIV-Other HPs'!$I$49:$I$74,0)),0)</f>
        <v>0</v>
      </c>
      <c r="AC367" s="652">
        <f t="shared" si="264"/>
        <v>0</v>
      </c>
      <c r="AD367" s="652">
        <f t="shared" si="265"/>
        <v>0</v>
      </c>
      <c r="AE367" s="652">
        <f t="shared" si="266"/>
        <v>0</v>
      </c>
      <c r="AF367" s="651">
        <f t="array" ref="AF367">IFERROR(INDEX('HIV-Other HPs'!$W$49:$W$74,MATCH($E367&amp;$F367,'HIV-Other HPs'!$E$49:$E$74&amp;'HIV-Other HPs'!$I$49:$I$74,0)),0)</f>
        <v>0</v>
      </c>
      <c r="AG367" s="652">
        <f t="shared" si="267"/>
        <v>0</v>
      </c>
      <c r="AH367" s="652">
        <f t="shared" si="268"/>
        <v>0</v>
      </c>
      <c r="AI367" s="652">
        <f t="shared" si="269"/>
        <v>0</v>
      </c>
      <c r="AJ367" s="651">
        <f t="array" ref="AJ367">IFERROR(INDEX('HIV-Other HPs'!$X$49:$X$74,MATCH($E367&amp;$F367,'HIV-Other HPs'!$E$49:$E$74&amp;'HIV-Other HPs'!$I$49:$I$74,0)),0)</f>
        <v>0</v>
      </c>
      <c r="AK367" s="652">
        <f t="shared" si="270"/>
        <v>0</v>
      </c>
      <c r="AL367" s="652">
        <f t="shared" si="271"/>
        <v>0</v>
      </c>
      <c r="AM367" s="652">
        <f t="shared" si="272"/>
        <v>0</v>
      </c>
      <c r="AN367" s="651">
        <f t="array" ref="AN367">IFERROR(INDEX('HIV-Other HPs'!$Y$49:$Y$74,MATCH($E367&amp;$F367,'HIV-Other HPs'!$E$49:$E$74&amp;'HIV-Other HPs'!$I$49:$I$74,0)),0)</f>
        <v>0</v>
      </c>
      <c r="AO367" s="652">
        <f t="shared" si="273"/>
        <v>0</v>
      </c>
      <c r="AP367" s="652">
        <f t="shared" si="274"/>
        <v>0</v>
      </c>
      <c r="AQ367" s="652">
        <f t="shared" si="275"/>
        <v>0</v>
      </c>
      <c r="AR367" s="664"/>
      <c r="AS367" s="651">
        <f t="array" ref="AS367">IFERROR(INDEX('HIV-Other HPs'!$AB$49:$AB$74,MATCH($E367&amp;$F367,'HIV-Other HPs'!$E$49:$E$74&amp;'HIV-Other HPs'!$I$49:$I$74,0)),0)</f>
        <v>0</v>
      </c>
      <c r="AT367" s="651">
        <f t="array" ref="AT367">IFERROR(INDEX('HIV-Other HPs'!$AC$49:$AC$74,MATCH($E367&amp;$F367,'HIV-Other HPs'!$E$49:$E$74&amp;'HIV-Other HPs'!$I$49:$I$74,0)),0)</f>
        <v>0</v>
      </c>
      <c r="AU367" s="652">
        <f t="shared" si="276"/>
        <v>0</v>
      </c>
      <c r="AV367" s="652">
        <f t="shared" si="277"/>
        <v>0</v>
      </c>
      <c r="AW367" s="652">
        <f t="shared" si="278"/>
        <v>0</v>
      </c>
      <c r="AX367" s="651">
        <f t="array" ref="AX367">IFERROR(INDEX('HIV-Other HPs'!$AD$49:$AD$74,MATCH($E367&amp;$F367,'HIV-Other HPs'!$E$49:$E$74&amp;'HIV-Other HPs'!$I$49:$I$74,0)),0)</f>
        <v>0</v>
      </c>
      <c r="AY367" s="652">
        <f t="shared" si="279"/>
        <v>0</v>
      </c>
      <c r="AZ367" s="652">
        <f t="shared" si="280"/>
        <v>0</v>
      </c>
      <c r="BA367" s="652">
        <f t="shared" si="281"/>
        <v>0</v>
      </c>
      <c r="BB367" s="651">
        <f t="array" ref="BB367">IFERROR(INDEX('HIV-Other HPs'!$AE$49:$AE$74,MATCH($E367&amp;$F367,'HIV-Other HPs'!$E$49:$E$74&amp;'HIV-Other HPs'!$I$49:$I$74,0)),0)</f>
        <v>0</v>
      </c>
      <c r="BC367" s="652">
        <f t="shared" si="282"/>
        <v>0</v>
      </c>
      <c r="BD367" s="652">
        <f t="shared" si="283"/>
        <v>0</v>
      </c>
      <c r="BE367" s="652">
        <f t="shared" si="284"/>
        <v>0</v>
      </c>
      <c r="BF367" s="651">
        <f t="array" ref="BF367">IFERROR(INDEX('HIV-Other HPs'!$AF$49:$AF$74,MATCH($E367&amp;$F367,'HIV-Other HPs'!$E$49:$E$74&amp;'HIV-Other HPs'!$I$49:$I$74,0)),0)</f>
        <v>0</v>
      </c>
      <c r="BG367" s="652">
        <f t="shared" si="285"/>
        <v>0</v>
      </c>
      <c r="BH367" s="652">
        <f t="shared" si="286"/>
        <v>0</v>
      </c>
      <c r="BI367" s="652">
        <f t="shared" si="287"/>
        <v>0</v>
      </c>
      <c r="BJ367" s="662"/>
      <c r="BK367" s="663"/>
      <c r="BL367" s="663"/>
      <c r="BM367" s="663"/>
      <c r="BN367" s="663"/>
      <c r="BO367" s="663"/>
      <c r="BP367" s="663"/>
      <c r="BQ367" s="663"/>
      <c r="BR367" s="663"/>
    </row>
    <row r="368" spans="1:70">
      <c r="A368" s="655" t="s">
        <v>1863</v>
      </c>
      <c r="B368" s="655" t="s">
        <v>2285</v>
      </c>
      <c r="C368" s="648">
        <f>SETUP!$F$31</f>
        <v>0</v>
      </c>
      <c r="D368" s="654">
        <v>5.4</v>
      </c>
      <c r="E368" s="663" t="s">
        <v>573</v>
      </c>
      <c r="F368" s="663" t="s">
        <v>1752</v>
      </c>
      <c r="G368" s="650" t="str">
        <f t="array" ref="G368">IFERROR(INDEX('HIV-Other HPs'!$L$49:$L$74,MATCH($E368&amp;$F368,'HIV-Other HPs'!$E$49:$E$74&amp;'HIV-Other HPs'!$I$49:$I$74,0)),"")</f>
        <v/>
      </c>
      <c r="H368" s="650" t="str">
        <f t="array" ref="H368">IFERROR(INDEX('HIV-Other HPs'!$M$49:$M$74,MATCH($E368&amp;$F368,'HIV-Other HPs'!$E$49:$E$74&amp;'HIV-Other HPs'!$I$49:$I$74,0)),"")</f>
        <v/>
      </c>
      <c r="I368" s="651">
        <f t="array" ref="I368">IFERROR(INDEX('HIV-Other HPs'!$N$49:$N$74,MATCH($E368&amp;$F368,'HIV-Other HPs'!$E$49:$E$74&amp;'HIV-Other HPs'!$I$49:$I$74,0)),0)</f>
        <v>0</v>
      </c>
      <c r="J368" s="651">
        <f t="array" ref="J368">IFERROR(INDEX('HIV-Other HPs'!$O$49:$O$74,MATCH($E368&amp;$F368,'HIV-Other HPs'!$E$49:$E$74&amp;'HIV-Other HPs'!$I$49:$I$74,0)),0)</f>
        <v>0</v>
      </c>
      <c r="K368" s="652">
        <f t="shared" si="252"/>
        <v>0</v>
      </c>
      <c r="L368" s="652">
        <f t="shared" si="253"/>
        <v>0</v>
      </c>
      <c r="M368" s="652">
        <f t="shared" si="254"/>
        <v>0</v>
      </c>
      <c r="N368" s="651">
        <f t="array" ref="N368">IFERROR(INDEX('HIV-Other HPs'!$P$49:$P$74,MATCH($E368&amp;$F368,'HIV-Other HPs'!$E$49:$E$74&amp;'HIV-Other HPs'!$I$49:$I$74,0)),0)</f>
        <v>0</v>
      </c>
      <c r="O368" s="652">
        <f t="shared" si="255"/>
        <v>0</v>
      </c>
      <c r="P368" s="652">
        <f t="shared" si="256"/>
        <v>0</v>
      </c>
      <c r="Q368" s="652">
        <f t="shared" si="257"/>
        <v>0</v>
      </c>
      <c r="R368" s="651">
        <f t="array" ref="R368">IFERROR(INDEX('HIV-Other HPs'!$Q$49:$Q$74,MATCH($E368&amp;$F368,'HIV-Other HPs'!$E$49:$E$74&amp;'HIV-Other HPs'!$I$49:$I$74,0)),0)</f>
        <v>0</v>
      </c>
      <c r="S368" s="652">
        <f t="shared" si="258"/>
        <v>0</v>
      </c>
      <c r="T368" s="652">
        <f t="shared" si="259"/>
        <v>0</v>
      </c>
      <c r="U368" s="652">
        <f t="shared" si="260"/>
        <v>0</v>
      </c>
      <c r="V368" s="651">
        <f t="array" ref="V368">IFERROR(INDEX('HIV-Other HPs'!$R$49:$R$74,MATCH($E368&amp;$F368,'HIV-Other HPs'!$E$49:$E$74&amp;'HIV-Other HPs'!$I$49:$I$74,0)),0)</f>
        <v>0</v>
      </c>
      <c r="W368" s="652">
        <f t="shared" si="261"/>
        <v>0</v>
      </c>
      <c r="X368" s="652">
        <f t="shared" si="262"/>
        <v>0</v>
      </c>
      <c r="Y368" s="652">
        <f t="shared" si="263"/>
        <v>0</v>
      </c>
      <c r="Z368" s="664"/>
      <c r="AA368" s="651">
        <f t="array" ref="AA368">IFERROR(INDEX('HIV-Other HPs'!$U$49:$U$74,MATCH($E368&amp;$F368,'HIV-Other HPs'!$E$49:$E$74&amp;'HIV-Other HPs'!$I$49:$I$74,0)),0)</f>
        <v>0</v>
      </c>
      <c r="AB368" s="651">
        <f t="array" ref="AB368">IFERROR(INDEX('HIV-Other HPs'!$V$49:$V$74,MATCH($E368&amp;$F368,'HIV-Other HPs'!$E$49:$E$74&amp;'HIV-Other HPs'!$I$49:$I$74,0)),0)</f>
        <v>0</v>
      </c>
      <c r="AC368" s="652">
        <f t="shared" si="264"/>
        <v>0</v>
      </c>
      <c r="AD368" s="652">
        <f t="shared" si="265"/>
        <v>0</v>
      </c>
      <c r="AE368" s="652">
        <f t="shared" si="266"/>
        <v>0</v>
      </c>
      <c r="AF368" s="651">
        <f t="array" ref="AF368">IFERROR(INDEX('HIV-Other HPs'!$W$49:$W$74,MATCH($E368&amp;$F368,'HIV-Other HPs'!$E$49:$E$74&amp;'HIV-Other HPs'!$I$49:$I$74,0)),0)</f>
        <v>0</v>
      </c>
      <c r="AG368" s="652">
        <f t="shared" si="267"/>
        <v>0</v>
      </c>
      <c r="AH368" s="652">
        <f t="shared" si="268"/>
        <v>0</v>
      </c>
      <c r="AI368" s="652">
        <f t="shared" si="269"/>
        <v>0</v>
      </c>
      <c r="AJ368" s="651">
        <f t="array" ref="AJ368">IFERROR(INDEX('HIV-Other HPs'!$X$49:$X$74,MATCH($E368&amp;$F368,'HIV-Other HPs'!$E$49:$E$74&amp;'HIV-Other HPs'!$I$49:$I$74,0)),0)</f>
        <v>0</v>
      </c>
      <c r="AK368" s="652">
        <f t="shared" si="270"/>
        <v>0</v>
      </c>
      <c r="AL368" s="652">
        <f t="shared" si="271"/>
        <v>0</v>
      </c>
      <c r="AM368" s="652">
        <f t="shared" si="272"/>
        <v>0</v>
      </c>
      <c r="AN368" s="651">
        <f t="array" ref="AN368">IFERROR(INDEX('HIV-Other HPs'!$Y$49:$Y$74,MATCH($E368&amp;$F368,'HIV-Other HPs'!$E$49:$E$74&amp;'HIV-Other HPs'!$I$49:$I$74,0)),0)</f>
        <v>0</v>
      </c>
      <c r="AO368" s="652">
        <f t="shared" si="273"/>
        <v>0</v>
      </c>
      <c r="AP368" s="652">
        <f t="shared" si="274"/>
        <v>0</v>
      </c>
      <c r="AQ368" s="652">
        <f t="shared" si="275"/>
        <v>0</v>
      </c>
      <c r="AR368" s="664"/>
      <c r="AS368" s="651">
        <f t="array" ref="AS368">IFERROR(INDEX('HIV-Other HPs'!$AB$49:$AB$74,MATCH($E368&amp;$F368,'HIV-Other HPs'!$E$49:$E$74&amp;'HIV-Other HPs'!$I$49:$I$74,0)),0)</f>
        <v>0</v>
      </c>
      <c r="AT368" s="651">
        <f t="array" ref="AT368">IFERROR(INDEX('HIV-Other HPs'!$AC$49:$AC$74,MATCH($E368&amp;$F368,'HIV-Other HPs'!$E$49:$E$74&amp;'HIV-Other HPs'!$I$49:$I$74,0)),0)</f>
        <v>0</v>
      </c>
      <c r="AU368" s="652">
        <f t="shared" si="276"/>
        <v>0</v>
      </c>
      <c r="AV368" s="652">
        <f t="shared" si="277"/>
        <v>0</v>
      </c>
      <c r="AW368" s="652">
        <f t="shared" si="278"/>
        <v>0</v>
      </c>
      <c r="AX368" s="651">
        <f t="array" ref="AX368">IFERROR(INDEX('HIV-Other HPs'!$AD$49:$AD$74,MATCH($E368&amp;$F368,'HIV-Other HPs'!$E$49:$E$74&amp;'HIV-Other HPs'!$I$49:$I$74,0)),0)</f>
        <v>0</v>
      </c>
      <c r="AY368" s="652">
        <f t="shared" si="279"/>
        <v>0</v>
      </c>
      <c r="AZ368" s="652">
        <f t="shared" si="280"/>
        <v>0</v>
      </c>
      <c r="BA368" s="652">
        <f t="shared" si="281"/>
        <v>0</v>
      </c>
      <c r="BB368" s="651">
        <f t="array" ref="BB368">IFERROR(INDEX('HIV-Other HPs'!$AE$49:$AE$74,MATCH($E368&amp;$F368,'HIV-Other HPs'!$E$49:$E$74&amp;'HIV-Other HPs'!$I$49:$I$74,0)),0)</f>
        <v>0</v>
      </c>
      <c r="BC368" s="652">
        <f t="shared" si="282"/>
        <v>0</v>
      </c>
      <c r="BD368" s="652">
        <f t="shared" si="283"/>
        <v>0</v>
      </c>
      <c r="BE368" s="652">
        <f t="shared" si="284"/>
        <v>0</v>
      </c>
      <c r="BF368" s="651">
        <f t="array" ref="BF368">IFERROR(INDEX('HIV-Other HPs'!$AF$49:$AF$74,MATCH($E368&amp;$F368,'HIV-Other HPs'!$E$49:$E$74&amp;'HIV-Other HPs'!$I$49:$I$74,0)),0)</f>
        <v>0</v>
      </c>
      <c r="BG368" s="652">
        <f t="shared" si="285"/>
        <v>0</v>
      </c>
      <c r="BH368" s="652">
        <f t="shared" si="286"/>
        <v>0</v>
      </c>
      <c r="BI368" s="652">
        <f t="shared" si="287"/>
        <v>0</v>
      </c>
      <c r="BJ368" s="662"/>
      <c r="BK368" s="663"/>
      <c r="BL368" s="663"/>
      <c r="BM368" s="663"/>
      <c r="BN368" s="663"/>
      <c r="BO368" s="663"/>
      <c r="BP368" s="663"/>
      <c r="BQ368" s="663"/>
      <c r="BR368" s="663"/>
    </row>
    <row r="369" spans="1:70">
      <c r="A369" s="655" t="s">
        <v>1863</v>
      </c>
      <c r="B369" s="655" t="s">
        <v>2285</v>
      </c>
      <c r="C369" s="648">
        <f>SETUP!$F$31</f>
        <v>0</v>
      </c>
      <c r="D369" s="654">
        <v>5.4</v>
      </c>
      <c r="E369" s="663" t="s">
        <v>573</v>
      </c>
      <c r="F369" s="663" t="s">
        <v>1753</v>
      </c>
      <c r="G369" s="650" t="str">
        <f t="array" ref="G369">IFERROR(INDEX('HIV-Other HPs'!$L$49:$L$74,MATCH($E369&amp;$F369,'HIV-Other HPs'!$E$49:$E$74&amp;'HIV-Other HPs'!$I$49:$I$74,0)),"")</f>
        <v/>
      </c>
      <c r="H369" s="650" t="str">
        <f t="array" ref="H369">IFERROR(INDEX('HIV-Other HPs'!$M$49:$M$74,MATCH($E369&amp;$F369,'HIV-Other HPs'!$E$49:$E$74&amp;'HIV-Other HPs'!$I$49:$I$74,0)),"")</f>
        <v/>
      </c>
      <c r="I369" s="651">
        <f t="array" ref="I369">IFERROR(INDEX('HIV-Other HPs'!$N$49:$N$74,MATCH($E369&amp;$F369,'HIV-Other HPs'!$E$49:$E$74&amp;'HIV-Other HPs'!$I$49:$I$74,0)),0)</f>
        <v>0</v>
      </c>
      <c r="J369" s="651">
        <f t="array" ref="J369">IFERROR(INDEX('HIV-Other HPs'!$O$49:$O$74,MATCH($E369&amp;$F369,'HIV-Other HPs'!$E$49:$E$74&amp;'HIV-Other HPs'!$I$49:$I$74,0)),0)</f>
        <v>0</v>
      </c>
      <c r="K369" s="652">
        <f t="shared" si="252"/>
        <v>0</v>
      </c>
      <c r="L369" s="652">
        <f t="shared" si="253"/>
        <v>0</v>
      </c>
      <c r="M369" s="652">
        <f t="shared" si="254"/>
        <v>0</v>
      </c>
      <c r="N369" s="651">
        <f t="array" ref="N369">IFERROR(INDEX('HIV-Other HPs'!$P$49:$P$74,MATCH($E369&amp;$F369,'HIV-Other HPs'!$E$49:$E$74&amp;'HIV-Other HPs'!$I$49:$I$74,0)),0)</f>
        <v>0</v>
      </c>
      <c r="O369" s="652">
        <f t="shared" si="255"/>
        <v>0</v>
      </c>
      <c r="P369" s="652">
        <f t="shared" si="256"/>
        <v>0</v>
      </c>
      <c r="Q369" s="652">
        <f t="shared" si="257"/>
        <v>0</v>
      </c>
      <c r="R369" s="651">
        <f t="array" ref="R369">IFERROR(INDEX('HIV-Other HPs'!$Q$49:$Q$74,MATCH($E369&amp;$F369,'HIV-Other HPs'!$E$49:$E$74&amp;'HIV-Other HPs'!$I$49:$I$74,0)),0)</f>
        <v>0</v>
      </c>
      <c r="S369" s="652">
        <f t="shared" si="258"/>
        <v>0</v>
      </c>
      <c r="T369" s="652">
        <f t="shared" si="259"/>
        <v>0</v>
      </c>
      <c r="U369" s="652">
        <f t="shared" si="260"/>
        <v>0</v>
      </c>
      <c r="V369" s="651">
        <f t="array" ref="V369">IFERROR(INDEX('HIV-Other HPs'!$R$49:$R$74,MATCH($E369&amp;$F369,'HIV-Other HPs'!$E$49:$E$74&amp;'HIV-Other HPs'!$I$49:$I$74,0)),0)</f>
        <v>0</v>
      </c>
      <c r="W369" s="652">
        <f t="shared" si="261"/>
        <v>0</v>
      </c>
      <c r="X369" s="652">
        <f t="shared" si="262"/>
        <v>0</v>
      </c>
      <c r="Y369" s="652">
        <f t="shared" si="263"/>
        <v>0</v>
      </c>
      <c r="Z369" s="664"/>
      <c r="AA369" s="651">
        <f t="array" ref="AA369">IFERROR(INDEX('HIV-Other HPs'!$U$49:$U$74,MATCH($E369&amp;$F369,'HIV-Other HPs'!$E$49:$E$74&amp;'HIV-Other HPs'!$I$49:$I$74,0)),0)</f>
        <v>0</v>
      </c>
      <c r="AB369" s="651">
        <f t="array" ref="AB369">IFERROR(INDEX('HIV-Other HPs'!$V$49:$V$74,MATCH($E369&amp;$F369,'HIV-Other HPs'!$E$49:$E$74&amp;'HIV-Other HPs'!$I$49:$I$74,0)),0)</f>
        <v>0</v>
      </c>
      <c r="AC369" s="652">
        <f t="shared" si="264"/>
        <v>0</v>
      </c>
      <c r="AD369" s="652">
        <f t="shared" si="265"/>
        <v>0</v>
      </c>
      <c r="AE369" s="652">
        <f t="shared" si="266"/>
        <v>0</v>
      </c>
      <c r="AF369" s="651">
        <f t="array" ref="AF369">IFERROR(INDEX('HIV-Other HPs'!$W$49:$W$74,MATCH($E369&amp;$F369,'HIV-Other HPs'!$E$49:$E$74&amp;'HIV-Other HPs'!$I$49:$I$74,0)),0)</f>
        <v>0</v>
      </c>
      <c r="AG369" s="652">
        <f t="shared" si="267"/>
        <v>0</v>
      </c>
      <c r="AH369" s="652">
        <f t="shared" si="268"/>
        <v>0</v>
      </c>
      <c r="AI369" s="652">
        <f t="shared" si="269"/>
        <v>0</v>
      </c>
      <c r="AJ369" s="651">
        <f t="array" ref="AJ369">IFERROR(INDEX('HIV-Other HPs'!$X$49:$X$74,MATCH($E369&amp;$F369,'HIV-Other HPs'!$E$49:$E$74&amp;'HIV-Other HPs'!$I$49:$I$74,0)),0)</f>
        <v>0</v>
      </c>
      <c r="AK369" s="652">
        <f t="shared" si="270"/>
        <v>0</v>
      </c>
      <c r="AL369" s="652">
        <f t="shared" si="271"/>
        <v>0</v>
      </c>
      <c r="AM369" s="652">
        <f t="shared" si="272"/>
        <v>0</v>
      </c>
      <c r="AN369" s="651">
        <f t="array" ref="AN369">IFERROR(INDEX('HIV-Other HPs'!$Y$49:$Y$74,MATCH($E369&amp;$F369,'HIV-Other HPs'!$E$49:$E$74&amp;'HIV-Other HPs'!$I$49:$I$74,0)),0)</f>
        <v>0</v>
      </c>
      <c r="AO369" s="652">
        <f t="shared" si="273"/>
        <v>0</v>
      </c>
      <c r="AP369" s="652">
        <f t="shared" si="274"/>
        <v>0</v>
      </c>
      <c r="AQ369" s="652">
        <f t="shared" si="275"/>
        <v>0</v>
      </c>
      <c r="AR369" s="664"/>
      <c r="AS369" s="651">
        <f t="array" ref="AS369">IFERROR(INDEX('HIV-Other HPs'!$AB$49:$AB$74,MATCH($E369&amp;$F369,'HIV-Other HPs'!$E$49:$E$74&amp;'HIV-Other HPs'!$I$49:$I$74,0)),0)</f>
        <v>0</v>
      </c>
      <c r="AT369" s="651">
        <f t="array" ref="AT369">IFERROR(INDEX('HIV-Other HPs'!$AC$49:$AC$74,MATCH($E369&amp;$F369,'HIV-Other HPs'!$E$49:$E$74&amp;'HIV-Other HPs'!$I$49:$I$74,0)),0)</f>
        <v>0</v>
      </c>
      <c r="AU369" s="652">
        <f t="shared" si="276"/>
        <v>0</v>
      </c>
      <c r="AV369" s="652">
        <f t="shared" si="277"/>
        <v>0</v>
      </c>
      <c r="AW369" s="652">
        <f t="shared" si="278"/>
        <v>0</v>
      </c>
      <c r="AX369" s="651">
        <f t="array" ref="AX369">IFERROR(INDEX('HIV-Other HPs'!$AD$49:$AD$74,MATCH($E369&amp;$F369,'HIV-Other HPs'!$E$49:$E$74&amp;'HIV-Other HPs'!$I$49:$I$74,0)),0)</f>
        <v>0</v>
      </c>
      <c r="AY369" s="652">
        <f t="shared" si="279"/>
        <v>0</v>
      </c>
      <c r="AZ369" s="652">
        <f t="shared" si="280"/>
        <v>0</v>
      </c>
      <c r="BA369" s="652">
        <f t="shared" si="281"/>
        <v>0</v>
      </c>
      <c r="BB369" s="651">
        <f t="array" ref="BB369">IFERROR(INDEX('HIV-Other HPs'!$AE$49:$AE$74,MATCH($E369&amp;$F369,'HIV-Other HPs'!$E$49:$E$74&amp;'HIV-Other HPs'!$I$49:$I$74,0)),0)</f>
        <v>0</v>
      </c>
      <c r="BC369" s="652">
        <f t="shared" si="282"/>
        <v>0</v>
      </c>
      <c r="BD369" s="652">
        <f t="shared" si="283"/>
        <v>0</v>
      </c>
      <c r="BE369" s="652">
        <f t="shared" si="284"/>
        <v>0</v>
      </c>
      <c r="BF369" s="651">
        <f t="array" ref="BF369">IFERROR(INDEX('HIV-Other HPs'!$AF$49:$AF$74,MATCH($E369&amp;$F369,'HIV-Other HPs'!$E$49:$E$74&amp;'HIV-Other HPs'!$I$49:$I$74,0)),0)</f>
        <v>0</v>
      </c>
      <c r="BG369" s="652">
        <f t="shared" si="285"/>
        <v>0</v>
      </c>
      <c r="BH369" s="652">
        <f t="shared" si="286"/>
        <v>0</v>
      </c>
      <c r="BI369" s="652">
        <f t="shared" si="287"/>
        <v>0</v>
      </c>
      <c r="BJ369" s="662"/>
      <c r="BK369" s="663"/>
      <c r="BL369" s="663"/>
      <c r="BM369" s="663"/>
      <c r="BN369" s="663"/>
      <c r="BO369" s="663"/>
      <c r="BP369" s="663"/>
      <c r="BQ369" s="663"/>
      <c r="BR369" s="663"/>
    </row>
    <row r="371" spans="1:70">
      <c r="A371" s="2314" t="s">
        <v>2286</v>
      </c>
      <c r="B371" s="2314"/>
      <c r="C371" s="2314"/>
      <c r="D371" s="2314"/>
      <c r="E371" s="2314"/>
      <c r="F371" s="2314"/>
      <c r="G371" s="656"/>
      <c r="H371" s="656"/>
      <c r="I371" s="657"/>
      <c r="J371" s="657"/>
      <c r="K371" s="657"/>
      <c r="L371" s="657"/>
      <c r="M371" s="657"/>
      <c r="N371" s="657"/>
      <c r="O371" s="657"/>
      <c r="P371" s="657"/>
      <c r="Q371" s="657"/>
      <c r="R371" s="657"/>
      <c r="S371" s="657"/>
      <c r="T371" s="657"/>
      <c r="U371" s="657"/>
      <c r="V371" s="657"/>
      <c r="W371" s="657"/>
      <c r="X371" s="657"/>
      <c r="Y371" s="657"/>
      <c r="Z371" s="657"/>
      <c r="AA371" s="657"/>
      <c r="AB371" s="657"/>
      <c r="AC371" s="657"/>
      <c r="AD371" s="657"/>
      <c r="AE371" s="657"/>
      <c r="AF371" s="657"/>
      <c r="AG371" s="657"/>
      <c r="AH371" s="657"/>
      <c r="AI371" s="657"/>
      <c r="AJ371" s="657"/>
      <c r="AK371" s="657"/>
      <c r="AL371" s="657"/>
      <c r="AM371" s="657"/>
      <c r="AN371" s="657"/>
      <c r="AO371" s="657"/>
      <c r="AP371" s="657"/>
      <c r="AQ371" s="657"/>
      <c r="AR371" s="657"/>
      <c r="AS371" s="657"/>
      <c r="AT371" s="657"/>
      <c r="AU371" s="657"/>
      <c r="AV371" s="657"/>
      <c r="AW371" s="657"/>
      <c r="AX371" s="657"/>
      <c r="AY371" s="657"/>
      <c r="AZ371" s="657"/>
      <c r="BA371" s="657"/>
      <c r="BB371" s="657"/>
      <c r="BC371" s="657"/>
      <c r="BD371" s="657"/>
      <c r="BE371" s="657"/>
      <c r="BF371" s="657"/>
      <c r="BG371" s="657"/>
      <c r="BH371" s="657"/>
      <c r="BI371" s="657"/>
      <c r="BJ371" s="669"/>
      <c r="BK371" s="669"/>
      <c r="BL371" s="669"/>
      <c r="BM371" s="669"/>
      <c r="BN371" s="669"/>
      <c r="BO371" s="669"/>
      <c r="BP371" s="669"/>
      <c r="BQ371" s="669"/>
      <c r="BR371" s="669"/>
    </row>
    <row r="372" spans="1:70">
      <c r="A372" s="639" t="s">
        <v>1545</v>
      </c>
      <c r="B372" s="639" t="s">
        <v>203</v>
      </c>
      <c r="C372" s="640" t="s">
        <v>459</v>
      </c>
      <c r="D372" s="639" t="s">
        <v>460</v>
      </c>
      <c r="E372" s="639" t="s">
        <v>461</v>
      </c>
      <c r="F372" s="639" t="s">
        <v>214</v>
      </c>
      <c r="G372" s="640" t="s">
        <v>462</v>
      </c>
      <c r="H372" s="640" t="s">
        <v>49</v>
      </c>
      <c r="I372" s="726" t="s">
        <v>463</v>
      </c>
      <c r="J372" s="726" t="s">
        <v>464</v>
      </c>
      <c r="K372" s="726" t="s">
        <v>465</v>
      </c>
      <c r="L372" s="727" t="s">
        <v>466</v>
      </c>
      <c r="M372" s="727" t="s">
        <v>467</v>
      </c>
      <c r="N372" s="726" t="s">
        <v>468</v>
      </c>
      <c r="O372" s="726" t="s">
        <v>469</v>
      </c>
      <c r="P372" s="727" t="s">
        <v>470</v>
      </c>
      <c r="Q372" s="727" t="s">
        <v>471</v>
      </c>
      <c r="R372" s="726" t="s">
        <v>472</v>
      </c>
      <c r="S372" s="726" t="s">
        <v>473</v>
      </c>
      <c r="T372" s="727" t="s">
        <v>474</v>
      </c>
      <c r="U372" s="727" t="s">
        <v>475</v>
      </c>
      <c r="V372" s="726" t="s">
        <v>476</v>
      </c>
      <c r="W372" s="726" t="s">
        <v>477</v>
      </c>
      <c r="X372" s="727" t="s">
        <v>478</v>
      </c>
      <c r="Y372" s="727" t="s">
        <v>479</v>
      </c>
      <c r="Z372" s="670"/>
      <c r="AA372" s="726" t="s">
        <v>480</v>
      </c>
      <c r="AB372" s="726" t="s">
        <v>481</v>
      </c>
      <c r="AC372" s="726" t="s">
        <v>482</v>
      </c>
      <c r="AD372" s="727" t="s">
        <v>483</v>
      </c>
      <c r="AE372" s="727" t="s">
        <v>484</v>
      </c>
      <c r="AF372" s="726" t="s">
        <v>485</v>
      </c>
      <c r="AG372" s="726" t="s">
        <v>486</v>
      </c>
      <c r="AH372" s="727" t="s">
        <v>487</v>
      </c>
      <c r="AI372" s="727" t="s">
        <v>488</v>
      </c>
      <c r="AJ372" s="726" t="s">
        <v>489</v>
      </c>
      <c r="AK372" s="726" t="s">
        <v>490</v>
      </c>
      <c r="AL372" s="727" t="s">
        <v>491</v>
      </c>
      <c r="AM372" s="727" t="s">
        <v>492</v>
      </c>
      <c r="AN372" s="726" t="s">
        <v>493</v>
      </c>
      <c r="AO372" s="726" t="s">
        <v>494</v>
      </c>
      <c r="AP372" s="727" t="s">
        <v>495</v>
      </c>
      <c r="AQ372" s="727" t="s">
        <v>496</v>
      </c>
      <c r="AR372" s="670"/>
      <c r="AS372" s="726" t="s">
        <v>497</v>
      </c>
      <c r="AT372" s="726" t="s">
        <v>498</v>
      </c>
      <c r="AU372" s="726" t="s">
        <v>499</v>
      </c>
      <c r="AV372" s="727" t="s">
        <v>500</v>
      </c>
      <c r="AW372" s="727" t="s">
        <v>501</v>
      </c>
      <c r="AX372" s="726" t="s">
        <v>502</v>
      </c>
      <c r="AY372" s="726" t="s">
        <v>503</v>
      </c>
      <c r="AZ372" s="727" t="s">
        <v>504</v>
      </c>
      <c r="BA372" s="727" t="s">
        <v>505</v>
      </c>
      <c r="BB372" s="726" t="s">
        <v>506</v>
      </c>
      <c r="BC372" s="726" t="s">
        <v>507</v>
      </c>
      <c r="BD372" s="727" t="s">
        <v>508</v>
      </c>
      <c r="BE372" s="727" t="s">
        <v>509</v>
      </c>
      <c r="BF372" s="726" t="s">
        <v>510</v>
      </c>
      <c r="BG372" s="726" t="s">
        <v>511</v>
      </c>
      <c r="BH372" s="727" t="s">
        <v>512</v>
      </c>
      <c r="BI372" s="727" t="s">
        <v>513</v>
      </c>
      <c r="BJ372" s="659"/>
      <c r="BK372" s="728" t="s">
        <v>514</v>
      </c>
      <c r="BL372" s="728" t="s">
        <v>515</v>
      </c>
      <c r="BM372" s="728" t="s">
        <v>516</v>
      </c>
      <c r="BN372" s="728" t="s">
        <v>517</v>
      </c>
      <c r="BO372" s="728" t="s">
        <v>518</v>
      </c>
      <c r="BP372" s="728" t="s">
        <v>519</v>
      </c>
      <c r="BQ372" s="728" t="s">
        <v>520</v>
      </c>
      <c r="BR372" s="728" t="s">
        <v>521</v>
      </c>
    </row>
    <row r="373" spans="1:70">
      <c r="A373" s="655" t="s">
        <v>1735</v>
      </c>
      <c r="B373" s="655" t="s">
        <v>2286</v>
      </c>
      <c r="C373" s="648">
        <f>SETUP!$F$32</f>
        <v>0</v>
      </c>
      <c r="D373" s="654">
        <v>5.6</v>
      </c>
      <c r="E373" s="663" t="s">
        <v>213</v>
      </c>
      <c r="F373" s="663" t="s">
        <v>1718</v>
      </c>
      <c r="G373" s="650" t="str">
        <f t="array" ref="G373">IFERROR(INDEX('HIV-Other HPs'!$K$83:$K$114,MATCH($E373&amp;$F373,'HIV-Other HPs'!$D$83:$D$114&amp;'HIV-Other HPs'!$G$83:$G$114,0)),"")</f>
        <v/>
      </c>
      <c r="H373" s="650" t="str">
        <f t="array" ref="H373">IFERROR(INDEX('HIV-Other HPs'!$L$83:$L$114,MATCH($E373&amp;$F373,'HIV-Other HPs'!$D$83:$D$114&amp;'HIV-Other HPs'!$G$83:$G$114,0)),"")</f>
        <v/>
      </c>
      <c r="I373" s="651">
        <f t="array" ref="I373">IFERROR(INDEX('HIV-Other HPs'!$M$83:$M$114,MATCH($E373&amp;$F373,'HIV-Other HPs'!$D$83:$D$114&amp;'HIV-Other HPs'!$G$83:$G$114,0)),0)</f>
        <v>0</v>
      </c>
      <c r="J373" s="651">
        <f t="array" ref="J373">IFERROR(INDEX('HIV-Other HPs'!$N$83:$N$114,MATCH($E373&amp;$F373,'HIV-Other HPs'!$D$83:$D$114&amp;'HIV-Other HPs'!$G$83:$G$114,0)),0)</f>
        <v>0</v>
      </c>
      <c r="K373" s="652">
        <f>IF(ISERROR($I373*J373),0,$I373*J373)</f>
        <v>0</v>
      </c>
      <c r="L373" s="652">
        <f>IF(C373="Upfront",J373,0)</f>
        <v>0</v>
      </c>
      <c r="M373" s="652">
        <f>IF(C373="Upfront",K373,0)</f>
        <v>0</v>
      </c>
      <c r="N373" s="651">
        <f t="array" ref="N373">IFERROR(INDEX('HIV-Other HPs'!$O$83:$O$114,MATCH($E373&amp;$F373,'HIV-Other HPs'!$D$83:$D$114&amp;'HIV-Other HPs'!$G$83:$G$114,0)),0)</f>
        <v>0</v>
      </c>
      <c r="O373" s="652">
        <f>IF(ISERROR($I373*N373),0,$I373*N373)</f>
        <v>0</v>
      </c>
      <c r="P373" s="652">
        <f>IF(C373="Upfront",N373,0)</f>
        <v>0</v>
      </c>
      <c r="Q373" s="652">
        <f>IF(C373="Upfront",O373,0)</f>
        <v>0</v>
      </c>
      <c r="R373" s="651">
        <f t="array" ref="R373">IFERROR(INDEX('HIV-Other HPs'!$P$83:$P$114,MATCH($E373&amp;$F373,'HIV-Other HPs'!$D$83:$D$114&amp;'HIV-Other HPs'!$G$83:$G$114,0)),0)</f>
        <v>0</v>
      </c>
      <c r="S373" s="652">
        <f>IF(ISERROR($I373*R373),0,$I373*R373)</f>
        <v>0</v>
      </c>
      <c r="T373" s="652">
        <f>IF(C373="Upfront",R373,IF(C373="At delivery",J373,0))</f>
        <v>0</v>
      </c>
      <c r="U373" s="652">
        <f>IF(C373="Upfront",S373,IF(C373="At delivery",K373,0))</f>
        <v>0</v>
      </c>
      <c r="V373" s="651">
        <f t="array" ref="V373">IFERROR(INDEX('HIV-Other HPs'!$Q$83:$Q$114,MATCH($E373&amp;$F373,'HIV-Other HPs'!$D$83:$D$114&amp;'HIV-Other HPs'!$G$83:$G$114,0)),0)</f>
        <v>0</v>
      </c>
      <c r="W373" s="652">
        <f>IF(ISERROR($I373*V373),0,$I373*V373)</f>
        <v>0</v>
      </c>
      <c r="X373" s="652">
        <f>IF(C373="Upfront",V373,IF(C373="At delivery",N373,0))</f>
        <v>0</v>
      </c>
      <c r="Y373" s="652">
        <f>IF(C373="Upfront",W373,IF(C373="At delivery",O373,0))</f>
        <v>0</v>
      </c>
      <c r="Z373" s="664"/>
      <c r="AA373" s="651">
        <f t="array" ref="AA373">IFERROR(INDEX('HIV-Other HPs'!$T$83:$T$114,MATCH($E373&amp;$F373,'HIV-Other HPs'!$D$83:$D$114&amp;'HIV-Other HPs'!$G$83:$G$114,0)),0)</f>
        <v>0</v>
      </c>
      <c r="AB373" s="651">
        <f t="array" ref="AB373">IFERROR(INDEX('HIV-Other HPs'!$U$83:$U$114,MATCH($E373&amp;$F373,'HIV-Other HPs'!$D$83:$D$114&amp;'HIV-Other HPs'!$G$83:$G$114,0)),0)</f>
        <v>0</v>
      </c>
      <c r="AC373" s="652">
        <f>IF(ISERROR($AA373*AB373),0,$AA373*AB373)</f>
        <v>0</v>
      </c>
      <c r="AD373" s="652">
        <f>IF(C373="Upfront",AB373,IF(C373="At delivery",R373,0))</f>
        <v>0</v>
      </c>
      <c r="AE373" s="652">
        <f>IF(C373="Upfront",AC373,IF(C373="At delivery",S373,0))</f>
        <v>0</v>
      </c>
      <c r="AF373" s="651">
        <f t="array" ref="AF373">IFERROR(INDEX('HIV-Other HPs'!$V$83:$V$114,MATCH($E373&amp;$F373,'HIV-Other HPs'!$D$83:$D$114&amp;'HIV-Other HPs'!$G$83:$G$114,0)),0)</f>
        <v>0</v>
      </c>
      <c r="AG373" s="652">
        <f>IF(ISERROR($AA373*AF373),0,$AA373*AF373)</f>
        <v>0</v>
      </c>
      <c r="AH373" s="652">
        <f>IF(C373="Upfront",AF373,IF(C373="At delivery",V373,0))</f>
        <v>0</v>
      </c>
      <c r="AI373" s="652">
        <f>IF(C373="Upfront",AG373,IF(C373="At delivery",W373,0))</f>
        <v>0</v>
      </c>
      <c r="AJ373" s="651">
        <f t="array" ref="AJ373">IFERROR(INDEX('HIV-Other HPs'!$W$83:$W$114,MATCH($E373&amp;$F373,'HIV-Other HPs'!$D$83:$D$114&amp;'HIV-Other HPs'!$G$83:$G$114,0)),0)</f>
        <v>0</v>
      </c>
      <c r="AK373" s="652">
        <f>IF(ISERROR($AA373*AJ373),0,$AA373*AJ373)</f>
        <v>0</v>
      </c>
      <c r="AL373" s="652">
        <f>IF(C373="Upfront",AJ373,IF(C373="At delivery",AB373,0))</f>
        <v>0</v>
      </c>
      <c r="AM373" s="652">
        <f>IF(C373="Upfront",AK373,IF(C373="At delivery",AC373,0))</f>
        <v>0</v>
      </c>
      <c r="AN373" s="651">
        <f t="array" ref="AN373">IFERROR(INDEX('HIV-Other HPs'!$X$83:$X$114,MATCH($E373&amp;$F373,'HIV-Other HPs'!$D$83:$D$114&amp;'HIV-Other HPs'!$G$83:$G$114,0)),0)</f>
        <v>0</v>
      </c>
      <c r="AO373" s="652">
        <f>IF(ISERROR($AA373*AN373),0,$AA373*AN373)</f>
        <v>0</v>
      </c>
      <c r="AP373" s="652">
        <f>IF(C373="Upfront",AN373,IF(C373="At delivery",AF373,0))</f>
        <v>0</v>
      </c>
      <c r="AQ373" s="652">
        <f>IF(C373="Upfront",AO373,IF(C373="At delivery",AG373,0))</f>
        <v>0</v>
      </c>
      <c r="AR373" s="664"/>
      <c r="AS373" s="651">
        <f t="array" ref="AS373">IFERROR(INDEX('HIV-Other HPs'!$AA$83:$AA$114,MATCH($E373&amp;$F373,'HIV-Other HPs'!$D$83:$D$114&amp;'HIV-Other HPs'!$G$83:$G$114,0)),0)</f>
        <v>0</v>
      </c>
      <c r="AT373" s="651">
        <f t="array" ref="AT373">IFERROR(INDEX('HIV-Other HPs'!$AB$83:$AB$114,MATCH($E373&amp;$F373,'HIV-Other HPs'!$D$83:$D$114&amp;'HIV-Other HPs'!$G$83:$G$114,0)),0)</f>
        <v>0</v>
      </c>
      <c r="AU373" s="652">
        <f>IF(ISERROR($AS373*AT373),0,$AS373*AT373)</f>
        <v>0</v>
      </c>
      <c r="AV373" s="652">
        <f>IF(C373="Upfront",AT373,IF(C373="At delivery",AJ373,0))</f>
        <v>0</v>
      </c>
      <c r="AW373" s="652">
        <f>IF(C373="Upfront",AU373,IF(C373="At delivery",AK373,0))</f>
        <v>0</v>
      </c>
      <c r="AX373" s="651">
        <f t="array" ref="AX373">IFERROR(INDEX('HIV-Other HPs'!$AC$83:$AC$114,MATCH($E373&amp;$F373,'HIV-Other HPs'!$D$83:$D$114&amp;'HIV-Other HPs'!$G$83:$G$114,0)),0)</f>
        <v>0</v>
      </c>
      <c r="AY373" s="652">
        <f>IF(ISERROR($AS373*AX373),0,$AS373*AX373)</f>
        <v>0</v>
      </c>
      <c r="AZ373" s="652">
        <f>IF(C373="Upfront",AX373,IF(C373="At delivery",AN373,0))</f>
        <v>0</v>
      </c>
      <c r="BA373" s="652">
        <f>IF(C373="Upfront",AY373,IF(C373="At delivery",AO373,0))</f>
        <v>0</v>
      </c>
      <c r="BB373" s="651">
        <f t="array" ref="BB373">IFERROR(INDEX('HIV-Other HPs'!$AD$83:$AD$114,MATCH($E373&amp;$F373,'HIV-Other HPs'!$D$83:$D$114&amp;'HIV-Other HPs'!$G$83:$G$114,0)),0)</f>
        <v>0</v>
      </c>
      <c r="BC373" s="652">
        <f>IF(ISERROR($AS373*BB373),0,$AS373*BB373)</f>
        <v>0</v>
      </c>
      <c r="BD373" s="652">
        <f>IF(C373="Upfront",BB373,IF(C373="At delivery",AT373,0))</f>
        <v>0</v>
      </c>
      <c r="BE373" s="652">
        <f>IF(C373="Upfront",BC373,IF(C373="At delivery",AU373,0))</f>
        <v>0</v>
      </c>
      <c r="BF373" s="651">
        <f t="array" ref="BF373">IFERROR(INDEX('HIV-Other HPs'!$AE$83:$AE$114,MATCH($E373&amp;$F373,'HIV-Other HPs'!$D$83:$D$114&amp;'HIV-Other HPs'!$G$83:$G$114,0)),0)</f>
        <v>0</v>
      </c>
      <c r="BG373" s="652">
        <f>IF(ISERROR($AS373*BF373),0,$AS373*BF373)</f>
        <v>0</v>
      </c>
      <c r="BH373" s="652">
        <f>IF(C373="Upfront",BF373,IF(C373="At delivery",AX373,0))</f>
        <v>0</v>
      </c>
      <c r="BI373" s="652">
        <f>IF(C373="Upfront",BG373,IF(C373="At delivery",AY373,0))</f>
        <v>0</v>
      </c>
      <c r="BJ373" s="662"/>
      <c r="BK373" s="663"/>
      <c r="BL373" s="663"/>
      <c r="BM373" s="663"/>
      <c r="BN373" s="663"/>
      <c r="BO373" s="663"/>
      <c r="BP373" s="663"/>
      <c r="BQ373" s="663"/>
      <c r="BR373" s="663"/>
    </row>
    <row r="374" spans="1:70">
      <c r="A374" s="655" t="s">
        <v>1735</v>
      </c>
      <c r="B374" s="655" t="s">
        <v>2286</v>
      </c>
      <c r="C374" s="648">
        <f>SETUP!$F$32</f>
        <v>0</v>
      </c>
      <c r="D374" s="654">
        <v>5.6</v>
      </c>
      <c r="E374" s="663" t="s">
        <v>213</v>
      </c>
      <c r="F374" s="663" t="s">
        <v>1719</v>
      </c>
      <c r="G374" s="650" t="str">
        <f t="array" ref="G374">IFERROR(INDEX('HIV-Other HPs'!$K$83:$K$114,MATCH($E374&amp;$F374,'HIV-Other HPs'!$D$83:$D$114&amp;'HIV-Other HPs'!$G$83:$G$114,0)),"")</f>
        <v/>
      </c>
      <c r="H374" s="650" t="str">
        <f t="array" ref="H374">IFERROR(INDEX('HIV-Other HPs'!$L$83:$L$114,MATCH($E374&amp;$F374,'HIV-Other HPs'!$D$83:$D$114&amp;'HIV-Other HPs'!$G$83:$G$114,0)),"")</f>
        <v/>
      </c>
      <c r="I374" s="651">
        <f t="array" ref="I374">IFERROR(INDEX('HIV-Other HPs'!$M$83:$M$114,MATCH($E374&amp;$F374,'HIV-Other HPs'!$D$83:$D$114&amp;'HIV-Other HPs'!$G$83:$G$114,0)),0)</f>
        <v>0</v>
      </c>
      <c r="J374" s="651">
        <f t="array" ref="J374">IFERROR(INDEX('HIV-Other HPs'!$N$83:$N$114,MATCH($E374&amp;$F374,'HIV-Other HPs'!$D$83:$D$114&amp;'HIV-Other HPs'!$G$83:$G$114,0)),0)</f>
        <v>0</v>
      </c>
      <c r="K374" s="652">
        <f t="shared" ref="K374:K391" si="288">IF(ISERROR($I374*J374),0,$I374*J374)</f>
        <v>0</v>
      </c>
      <c r="L374" s="652">
        <f t="shared" ref="L374:L391" si="289">IF(C374="Upfront",J374,0)</f>
        <v>0</v>
      </c>
      <c r="M374" s="652">
        <f t="shared" ref="M374:M391" si="290">IF(C374="Upfront",K374,0)</f>
        <v>0</v>
      </c>
      <c r="N374" s="651">
        <f t="array" ref="N374">IFERROR(INDEX('HIV-Other HPs'!$O$83:$O$114,MATCH($E374&amp;$F374,'HIV-Other HPs'!$D$83:$D$114&amp;'HIV-Other HPs'!$G$83:$G$114,0)),0)</f>
        <v>0</v>
      </c>
      <c r="O374" s="652">
        <f t="shared" ref="O374:O391" si="291">IF(ISERROR($I374*N374),0,$I374*N374)</f>
        <v>0</v>
      </c>
      <c r="P374" s="652">
        <f t="shared" ref="P374:P391" si="292">IF(C374="Upfront",N374,0)</f>
        <v>0</v>
      </c>
      <c r="Q374" s="652">
        <f t="shared" ref="Q374:Q391" si="293">IF(C374="Upfront",O374,0)</f>
        <v>0</v>
      </c>
      <c r="R374" s="651">
        <f t="array" ref="R374">IFERROR(INDEX('HIV-Other HPs'!$P$83:$P$114,MATCH($E374&amp;$F374,'HIV-Other HPs'!$D$83:$D$114&amp;'HIV-Other HPs'!$G$83:$G$114,0)),0)</f>
        <v>0</v>
      </c>
      <c r="S374" s="652">
        <f t="shared" ref="S374:S391" si="294">IF(ISERROR($I374*R374),0,$I374*R374)</f>
        <v>0</v>
      </c>
      <c r="T374" s="652">
        <f t="shared" ref="T374:T391" si="295">IF(C374="Upfront",R374,IF(C374="At delivery",J374,0))</f>
        <v>0</v>
      </c>
      <c r="U374" s="652">
        <f t="shared" ref="U374:U391" si="296">IF(C374="Upfront",S374,IF(C374="At delivery",K374,0))</f>
        <v>0</v>
      </c>
      <c r="V374" s="651">
        <f t="array" ref="V374">IFERROR(INDEX('HIV-Other HPs'!$Q$83:$Q$114,MATCH($E374&amp;$F374,'HIV-Other HPs'!$D$83:$D$114&amp;'HIV-Other HPs'!$G$83:$G$114,0)),0)</f>
        <v>0</v>
      </c>
      <c r="W374" s="652">
        <f t="shared" ref="W374:W391" si="297">IF(ISERROR($I374*V374),0,$I374*V374)</f>
        <v>0</v>
      </c>
      <c r="X374" s="652">
        <f t="shared" ref="X374:X391" si="298">IF(C374="Upfront",V374,IF(C374="At delivery",N374,0))</f>
        <v>0</v>
      </c>
      <c r="Y374" s="652">
        <f t="shared" ref="Y374:Y391" si="299">IF(C374="Upfront",W374,IF(C374="At delivery",O374,0))</f>
        <v>0</v>
      </c>
      <c r="Z374" s="664"/>
      <c r="AA374" s="651">
        <f t="array" ref="AA374">IFERROR(INDEX('HIV-Other HPs'!$T$83:$T$114,MATCH($E374&amp;$F374,'HIV-Other HPs'!$D$83:$D$114&amp;'HIV-Other HPs'!$G$83:$G$114,0)),0)</f>
        <v>0</v>
      </c>
      <c r="AB374" s="651">
        <f t="array" ref="AB374">IFERROR(INDEX('HIV-Other HPs'!$U$83:$U$114,MATCH($E374&amp;$F374,'HIV-Other HPs'!$D$83:$D$114&amp;'HIV-Other HPs'!$G$83:$G$114,0)),0)</f>
        <v>0</v>
      </c>
      <c r="AC374" s="652">
        <f t="shared" ref="AC374:AC391" si="300">IF(ISERROR($AA374*AB374),0,$AA374*AB374)</f>
        <v>0</v>
      </c>
      <c r="AD374" s="652">
        <f t="shared" ref="AD374:AD391" si="301">IF(C374="Upfront",AB374,IF(C374="At delivery",R374,0))</f>
        <v>0</v>
      </c>
      <c r="AE374" s="652">
        <f t="shared" ref="AE374:AE391" si="302">IF(C374="Upfront",AC374,IF(C374="At delivery",S374,0))</f>
        <v>0</v>
      </c>
      <c r="AF374" s="651">
        <f t="array" ref="AF374">IFERROR(INDEX('HIV-Other HPs'!$V$83:$V$114,MATCH($E374&amp;$F374,'HIV-Other HPs'!$D$83:$D$114&amp;'HIV-Other HPs'!$G$83:$G$114,0)),0)</f>
        <v>0</v>
      </c>
      <c r="AG374" s="652">
        <f t="shared" ref="AG374:AG391" si="303">IF(ISERROR($AA374*AF374),0,$AA374*AF374)</f>
        <v>0</v>
      </c>
      <c r="AH374" s="652">
        <f t="shared" ref="AH374:AH391" si="304">IF(C374="Upfront",AF374,IF(C374="At delivery",V374,0))</f>
        <v>0</v>
      </c>
      <c r="AI374" s="652">
        <f t="shared" ref="AI374:AI391" si="305">IF(C374="Upfront",AG374,IF(C374="At delivery",W374,0))</f>
        <v>0</v>
      </c>
      <c r="AJ374" s="651">
        <f t="array" ref="AJ374">IFERROR(INDEX('HIV-Other HPs'!$W$83:$W$114,MATCH($E374&amp;$F374,'HIV-Other HPs'!$D$83:$D$114&amp;'HIV-Other HPs'!$G$83:$G$114,0)),0)</f>
        <v>0</v>
      </c>
      <c r="AK374" s="652">
        <f t="shared" ref="AK374:AK391" si="306">IF(ISERROR($AA374*AJ374),0,$AA374*AJ374)</f>
        <v>0</v>
      </c>
      <c r="AL374" s="652">
        <f t="shared" ref="AL374:AL391" si="307">IF(C374="Upfront",AJ374,IF(C374="At delivery",AB374,0))</f>
        <v>0</v>
      </c>
      <c r="AM374" s="652">
        <f t="shared" ref="AM374:AM391" si="308">IF(C374="Upfront",AK374,IF(C374="At delivery",AC374,0))</f>
        <v>0</v>
      </c>
      <c r="AN374" s="651">
        <f t="array" ref="AN374">IFERROR(INDEX('HIV-Other HPs'!$X$83:$X$114,MATCH($E374&amp;$F374,'HIV-Other HPs'!$D$83:$D$114&amp;'HIV-Other HPs'!$G$83:$G$114,0)),0)</f>
        <v>0</v>
      </c>
      <c r="AO374" s="652">
        <f t="shared" ref="AO374:AO391" si="309">IF(ISERROR($AA374*AN374),0,$AA374*AN374)</f>
        <v>0</v>
      </c>
      <c r="AP374" s="652">
        <f t="shared" ref="AP374:AP391" si="310">IF(C374="Upfront",AN374,IF(C374="At delivery",AF374,0))</f>
        <v>0</v>
      </c>
      <c r="AQ374" s="652">
        <f t="shared" ref="AQ374:AQ391" si="311">IF(C374="Upfront",AO374,IF(C374="At delivery",AG374,0))</f>
        <v>0</v>
      </c>
      <c r="AR374" s="664"/>
      <c r="AS374" s="651">
        <f t="array" ref="AS374">IFERROR(INDEX('HIV-Other HPs'!$AA$83:$AA$114,MATCH($E374&amp;$F374,'HIV-Other HPs'!$D$83:$D$114&amp;'HIV-Other HPs'!$G$83:$G$114,0)),0)</f>
        <v>0</v>
      </c>
      <c r="AT374" s="651">
        <f t="array" ref="AT374">IFERROR(INDEX('HIV-Other HPs'!$AB$83:$AB$114,MATCH($E374&amp;$F374,'HIV-Other HPs'!$D$83:$D$114&amp;'HIV-Other HPs'!$G$83:$G$114,0)),0)</f>
        <v>0</v>
      </c>
      <c r="AU374" s="652">
        <f t="shared" ref="AU374:AU391" si="312">IF(ISERROR($AS374*AT374),0,$AS374*AT374)</f>
        <v>0</v>
      </c>
      <c r="AV374" s="652">
        <f t="shared" ref="AV374:AV391" si="313">IF(C374="Upfront",AT374,IF(C374="At delivery",AJ374,0))</f>
        <v>0</v>
      </c>
      <c r="AW374" s="652">
        <f t="shared" ref="AW374:AW391" si="314">IF(C374="Upfront",AU374,IF(C374="At delivery",AK374,0))</f>
        <v>0</v>
      </c>
      <c r="AX374" s="651">
        <f t="array" ref="AX374">IFERROR(INDEX('HIV-Other HPs'!$AC$83:$AC$114,MATCH($E374&amp;$F374,'HIV-Other HPs'!$D$83:$D$114&amp;'HIV-Other HPs'!$G$83:$G$114,0)),0)</f>
        <v>0</v>
      </c>
      <c r="AY374" s="652">
        <f t="shared" ref="AY374:AY391" si="315">IF(ISERROR($AS374*AX374),0,$AS374*AX374)</f>
        <v>0</v>
      </c>
      <c r="AZ374" s="652">
        <f t="shared" ref="AZ374:AZ391" si="316">IF(C374="Upfront",AX374,IF(C374="At delivery",AN374,0))</f>
        <v>0</v>
      </c>
      <c r="BA374" s="652">
        <f t="shared" ref="BA374:BA391" si="317">IF(C374="Upfront",AY374,IF(C374="At delivery",AO374,0))</f>
        <v>0</v>
      </c>
      <c r="BB374" s="651">
        <f t="array" ref="BB374">IFERROR(INDEX('HIV-Other HPs'!$AD$83:$AD$114,MATCH($E374&amp;$F374,'HIV-Other HPs'!$D$83:$D$114&amp;'HIV-Other HPs'!$G$83:$G$114,0)),0)</f>
        <v>0</v>
      </c>
      <c r="BC374" s="652">
        <f t="shared" ref="BC374:BC391" si="318">IF(ISERROR($AS374*BB374),0,$AS374*BB374)</f>
        <v>0</v>
      </c>
      <c r="BD374" s="652">
        <f t="shared" ref="BD374:BD391" si="319">IF(C374="Upfront",BB374,IF(C374="At delivery",AT374,0))</f>
        <v>0</v>
      </c>
      <c r="BE374" s="652">
        <f t="shared" ref="BE374:BE391" si="320">IF(C374="Upfront",BC374,IF(C374="At delivery",AU374,0))</f>
        <v>0</v>
      </c>
      <c r="BF374" s="651">
        <f t="array" ref="BF374">IFERROR(INDEX('HIV-Other HPs'!$AE$83:$AE$114,MATCH($E374&amp;$F374,'HIV-Other HPs'!$D$83:$D$114&amp;'HIV-Other HPs'!$G$83:$G$114,0)),0)</f>
        <v>0</v>
      </c>
      <c r="BG374" s="652">
        <f t="shared" ref="BG374:BG391" si="321">IF(ISERROR($AS374*BF374),0,$AS374*BF374)</f>
        <v>0</v>
      </c>
      <c r="BH374" s="652">
        <f t="shared" ref="BH374:BH391" si="322">IF(C374="Upfront",BF374,IF(C374="At delivery",AX374,0))</f>
        <v>0</v>
      </c>
      <c r="BI374" s="652">
        <f t="shared" ref="BI374:BI391" si="323">IF(C374="Upfront",BG374,IF(C374="At delivery",AY374,0))</f>
        <v>0</v>
      </c>
      <c r="BJ374" s="662"/>
      <c r="BK374" s="663"/>
      <c r="BL374" s="663"/>
      <c r="BM374" s="663"/>
      <c r="BN374" s="663"/>
      <c r="BO374" s="663"/>
      <c r="BP374" s="663"/>
      <c r="BQ374" s="663"/>
      <c r="BR374" s="663"/>
    </row>
    <row r="375" spans="1:70">
      <c r="A375" s="655" t="s">
        <v>1735</v>
      </c>
      <c r="B375" s="655" t="s">
        <v>2286</v>
      </c>
      <c r="C375" s="648">
        <f>SETUP!$F$32</f>
        <v>0</v>
      </c>
      <c r="D375" s="654">
        <v>5.6</v>
      </c>
      <c r="E375" s="663" t="s">
        <v>213</v>
      </c>
      <c r="F375" s="663" t="s">
        <v>1720</v>
      </c>
      <c r="G375" s="650" t="str">
        <f t="array" ref="G375">IFERROR(INDEX('HIV-Other HPs'!$K$83:$K$114,MATCH($E375&amp;$F375,'HIV-Other HPs'!$D$83:$D$114&amp;'HIV-Other HPs'!$G$83:$G$114,0)),"")</f>
        <v/>
      </c>
      <c r="H375" s="650" t="str">
        <f t="array" ref="H375">IFERROR(INDEX('HIV-Other HPs'!$L$83:$L$114,MATCH($E375&amp;$F375,'HIV-Other HPs'!$D$83:$D$114&amp;'HIV-Other HPs'!$G$83:$G$114,0)),"")</f>
        <v/>
      </c>
      <c r="I375" s="651">
        <f t="array" ref="I375">IFERROR(INDEX('HIV-Other HPs'!$M$83:$M$114,MATCH($E375&amp;$F375,'HIV-Other HPs'!$D$83:$D$114&amp;'HIV-Other HPs'!$G$83:$G$114,0)),0)</f>
        <v>0</v>
      </c>
      <c r="J375" s="651">
        <f t="array" ref="J375">IFERROR(INDEX('HIV-Other HPs'!$N$83:$N$114,MATCH($E375&amp;$F375,'HIV-Other HPs'!$D$83:$D$114&amp;'HIV-Other HPs'!$G$83:$G$114,0)),0)</f>
        <v>0</v>
      </c>
      <c r="K375" s="652">
        <f t="shared" si="288"/>
        <v>0</v>
      </c>
      <c r="L375" s="652">
        <f t="shared" si="289"/>
        <v>0</v>
      </c>
      <c r="M375" s="652">
        <f t="shared" si="290"/>
        <v>0</v>
      </c>
      <c r="N375" s="651">
        <f t="array" ref="N375">IFERROR(INDEX('HIV-Other HPs'!$O$83:$O$114,MATCH($E375&amp;$F375,'HIV-Other HPs'!$D$83:$D$114&amp;'HIV-Other HPs'!$G$83:$G$114,0)),0)</f>
        <v>0</v>
      </c>
      <c r="O375" s="652">
        <f t="shared" si="291"/>
        <v>0</v>
      </c>
      <c r="P375" s="652">
        <f t="shared" si="292"/>
        <v>0</v>
      </c>
      <c r="Q375" s="652">
        <f t="shared" si="293"/>
        <v>0</v>
      </c>
      <c r="R375" s="651">
        <f t="array" ref="R375">IFERROR(INDEX('HIV-Other HPs'!$P$83:$P$114,MATCH($E375&amp;$F375,'HIV-Other HPs'!$D$83:$D$114&amp;'HIV-Other HPs'!$G$83:$G$114,0)),0)</f>
        <v>0</v>
      </c>
      <c r="S375" s="652">
        <f t="shared" si="294"/>
        <v>0</v>
      </c>
      <c r="T375" s="652">
        <f t="shared" si="295"/>
        <v>0</v>
      </c>
      <c r="U375" s="652">
        <f t="shared" si="296"/>
        <v>0</v>
      </c>
      <c r="V375" s="651">
        <f t="array" ref="V375">IFERROR(INDEX('HIV-Other HPs'!$Q$83:$Q$114,MATCH($E375&amp;$F375,'HIV-Other HPs'!$D$83:$D$114&amp;'HIV-Other HPs'!$G$83:$G$114,0)),0)</f>
        <v>0</v>
      </c>
      <c r="W375" s="652">
        <f t="shared" si="297"/>
        <v>0</v>
      </c>
      <c r="X375" s="652">
        <f t="shared" si="298"/>
        <v>0</v>
      </c>
      <c r="Y375" s="652">
        <f t="shared" si="299"/>
        <v>0</v>
      </c>
      <c r="Z375" s="664"/>
      <c r="AA375" s="651">
        <f t="array" ref="AA375">IFERROR(INDEX('HIV-Other HPs'!$T$83:$T$114,MATCH($E375&amp;$F375,'HIV-Other HPs'!$D$83:$D$114&amp;'HIV-Other HPs'!$G$83:$G$114,0)),0)</f>
        <v>0</v>
      </c>
      <c r="AB375" s="651">
        <f t="array" ref="AB375">IFERROR(INDEX('HIV-Other HPs'!$U$83:$U$114,MATCH($E375&amp;$F375,'HIV-Other HPs'!$D$83:$D$114&amp;'HIV-Other HPs'!$G$83:$G$114,0)),0)</f>
        <v>0</v>
      </c>
      <c r="AC375" s="652">
        <f t="shared" si="300"/>
        <v>0</v>
      </c>
      <c r="AD375" s="652">
        <f t="shared" si="301"/>
        <v>0</v>
      </c>
      <c r="AE375" s="652">
        <f t="shared" si="302"/>
        <v>0</v>
      </c>
      <c r="AF375" s="651">
        <f t="array" ref="AF375">IFERROR(INDEX('HIV-Other HPs'!$V$83:$V$114,MATCH($E375&amp;$F375,'HIV-Other HPs'!$D$83:$D$114&amp;'HIV-Other HPs'!$G$83:$G$114,0)),0)</f>
        <v>0</v>
      </c>
      <c r="AG375" s="652">
        <f t="shared" si="303"/>
        <v>0</v>
      </c>
      <c r="AH375" s="652">
        <f t="shared" si="304"/>
        <v>0</v>
      </c>
      <c r="AI375" s="652">
        <f t="shared" si="305"/>
        <v>0</v>
      </c>
      <c r="AJ375" s="651">
        <f t="array" ref="AJ375">IFERROR(INDEX('HIV-Other HPs'!$W$83:$W$114,MATCH($E375&amp;$F375,'HIV-Other HPs'!$D$83:$D$114&amp;'HIV-Other HPs'!$G$83:$G$114,0)),0)</f>
        <v>0</v>
      </c>
      <c r="AK375" s="652">
        <f t="shared" si="306"/>
        <v>0</v>
      </c>
      <c r="AL375" s="652">
        <f t="shared" si="307"/>
        <v>0</v>
      </c>
      <c r="AM375" s="652">
        <f t="shared" si="308"/>
        <v>0</v>
      </c>
      <c r="AN375" s="651">
        <f t="array" ref="AN375">IFERROR(INDEX('HIV-Other HPs'!$X$83:$X$114,MATCH($E375&amp;$F375,'HIV-Other HPs'!$D$83:$D$114&amp;'HIV-Other HPs'!$G$83:$G$114,0)),0)</f>
        <v>0</v>
      </c>
      <c r="AO375" s="652">
        <f t="shared" si="309"/>
        <v>0</v>
      </c>
      <c r="AP375" s="652">
        <f t="shared" si="310"/>
        <v>0</v>
      </c>
      <c r="AQ375" s="652">
        <f t="shared" si="311"/>
        <v>0</v>
      </c>
      <c r="AR375" s="664"/>
      <c r="AS375" s="651">
        <f t="array" ref="AS375">IFERROR(INDEX('HIV-Other HPs'!$AA$83:$AA$114,MATCH($E375&amp;$F375,'HIV-Other HPs'!$D$83:$D$114&amp;'HIV-Other HPs'!$G$83:$G$114,0)),0)</f>
        <v>0</v>
      </c>
      <c r="AT375" s="651">
        <f t="array" ref="AT375">IFERROR(INDEX('HIV-Other HPs'!$AB$83:$AB$114,MATCH($E375&amp;$F375,'HIV-Other HPs'!$D$83:$D$114&amp;'HIV-Other HPs'!$G$83:$G$114,0)),0)</f>
        <v>0</v>
      </c>
      <c r="AU375" s="652">
        <f t="shared" si="312"/>
        <v>0</v>
      </c>
      <c r="AV375" s="652">
        <f t="shared" si="313"/>
        <v>0</v>
      </c>
      <c r="AW375" s="652">
        <f t="shared" si="314"/>
        <v>0</v>
      </c>
      <c r="AX375" s="651">
        <f t="array" ref="AX375">IFERROR(INDEX('HIV-Other HPs'!$AC$83:$AC$114,MATCH($E375&amp;$F375,'HIV-Other HPs'!$D$83:$D$114&amp;'HIV-Other HPs'!$G$83:$G$114,0)),0)</f>
        <v>0</v>
      </c>
      <c r="AY375" s="652">
        <f t="shared" si="315"/>
        <v>0</v>
      </c>
      <c r="AZ375" s="652">
        <f t="shared" si="316"/>
        <v>0</v>
      </c>
      <c r="BA375" s="652">
        <f t="shared" si="317"/>
        <v>0</v>
      </c>
      <c r="BB375" s="651">
        <f t="array" ref="BB375">IFERROR(INDEX('HIV-Other HPs'!$AD$83:$AD$114,MATCH($E375&amp;$F375,'HIV-Other HPs'!$D$83:$D$114&amp;'HIV-Other HPs'!$G$83:$G$114,0)),0)</f>
        <v>0</v>
      </c>
      <c r="BC375" s="652">
        <f t="shared" si="318"/>
        <v>0</v>
      </c>
      <c r="BD375" s="652">
        <f t="shared" si="319"/>
        <v>0</v>
      </c>
      <c r="BE375" s="652">
        <f t="shared" si="320"/>
        <v>0</v>
      </c>
      <c r="BF375" s="651">
        <f t="array" ref="BF375">IFERROR(INDEX('HIV-Other HPs'!$AE$83:$AE$114,MATCH($E375&amp;$F375,'HIV-Other HPs'!$D$83:$D$114&amp;'HIV-Other HPs'!$G$83:$G$114,0)),0)</f>
        <v>0</v>
      </c>
      <c r="BG375" s="652">
        <f t="shared" si="321"/>
        <v>0</v>
      </c>
      <c r="BH375" s="652">
        <f t="shared" si="322"/>
        <v>0</v>
      </c>
      <c r="BI375" s="652">
        <f t="shared" si="323"/>
        <v>0</v>
      </c>
      <c r="BJ375" s="662"/>
      <c r="BK375" s="663"/>
      <c r="BL375" s="663"/>
      <c r="BM375" s="663"/>
      <c r="BN375" s="663"/>
      <c r="BO375" s="663"/>
      <c r="BP375" s="663"/>
      <c r="BQ375" s="663"/>
      <c r="BR375" s="663"/>
    </row>
    <row r="376" spans="1:70">
      <c r="A376" s="655" t="s">
        <v>1735</v>
      </c>
      <c r="B376" s="655" t="s">
        <v>2286</v>
      </c>
      <c r="C376" s="648">
        <f>SETUP!$F$32</f>
        <v>0</v>
      </c>
      <c r="D376" s="654">
        <v>5.6</v>
      </c>
      <c r="E376" s="663" t="s">
        <v>213</v>
      </c>
      <c r="F376" s="663" t="s">
        <v>1721</v>
      </c>
      <c r="G376" s="650" t="str">
        <f t="array" ref="G376">IFERROR(INDEX('HIV-Other HPs'!$K$83:$K$114,MATCH($E376&amp;$F376,'HIV-Other HPs'!$D$83:$D$114&amp;'HIV-Other HPs'!$G$83:$G$114,0)),"")</f>
        <v/>
      </c>
      <c r="H376" s="650" t="str">
        <f t="array" ref="H376">IFERROR(INDEX('HIV-Other HPs'!$L$83:$L$114,MATCH($E376&amp;$F376,'HIV-Other HPs'!$D$83:$D$114&amp;'HIV-Other HPs'!$G$83:$G$114,0)),"")</f>
        <v/>
      </c>
      <c r="I376" s="651">
        <f t="array" ref="I376">IFERROR(INDEX('HIV-Other HPs'!$M$83:$M$114,MATCH($E376&amp;$F376,'HIV-Other HPs'!$D$83:$D$114&amp;'HIV-Other HPs'!$G$83:$G$114,0)),0)</f>
        <v>0</v>
      </c>
      <c r="J376" s="651">
        <f t="array" ref="J376">IFERROR(INDEX('HIV-Other HPs'!$N$83:$N$114,MATCH($E376&amp;$F376,'HIV-Other HPs'!$D$83:$D$114&amp;'HIV-Other HPs'!$G$83:$G$114,0)),0)</f>
        <v>0</v>
      </c>
      <c r="K376" s="652">
        <f t="shared" si="288"/>
        <v>0</v>
      </c>
      <c r="L376" s="652">
        <f t="shared" si="289"/>
        <v>0</v>
      </c>
      <c r="M376" s="652">
        <f t="shared" si="290"/>
        <v>0</v>
      </c>
      <c r="N376" s="651">
        <f t="array" ref="N376">IFERROR(INDEX('HIV-Other HPs'!$O$83:$O$114,MATCH($E376&amp;$F376,'HIV-Other HPs'!$D$83:$D$114&amp;'HIV-Other HPs'!$G$83:$G$114,0)),0)</f>
        <v>0</v>
      </c>
      <c r="O376" s="652">
        <f t="shared" si="291"/>
        <v>0</v>
      </c>
      <c r="P376" s="652">
        <f t="shared" si="292"/>
        <v>0</v>
      </c>
      <c r="Q376" s="652">
        <f t="shared" si="293"/>
        <v>0</v>
      </c>
      <c r="R376" s="651">
        <f t="array" ref="R376">IFERROR(INDEX('HIV-Other HPs'!$P$83:$P$114,MATCH($E376&amp;$F376,'HIV-Other HPs'!$D$83:$D$114&amp;'HIV-Other HPs'!$G$83:$G$114,0)),0)</f>
        <v>0</v>
      </c>
      <c r="S376" s="652">
        <f t="shared" si="294"/>
        <v>0</v>
      </c>
      <c r="T376" s="652">
        <f t="shared" si="295"/>
        <v>0</v>
      </c>
      <c r="U376" s="652">
        <f t="shared" si="296"/>
        <v>0</v>
      </c>
      <c r="V376" s="651">
        <f t="array" ref="V376">IFERROR(INDEX('HIV-Other HPs'!$Q$83:$Q$114,MATCH($E376&amp;$F376,'HIV-Other HPs'!$D$83:$D$114&amp;'HIV-Other HPs'!$G$83:$G$114,0)),0)</f>
        <v>0</v>
      </c>
      <c r="W376" s="652">
        <f t="shared" si="297"/>
        <v>0</v>
      </c>
      <c r="X376" s="652">
        <f t="shared" si="298"/>
        <v>0</v>
      </c>
      <c r="Y376" s="652">
        <f t="shared" si="299"/>
        <v>0</v>
      </c>
      <c r="Z376" s="664"/>
      <c r="AA376" s="651">
        <f t="array" ref="AA376">IFERROR(INDEX('HIV-Other HPs'!$T$83:$T$114,MATCH($E376&amp;$F376,'HIV-Other HPs'!$D$83:$D$114&amp;'HIV-Other HPs'!$G$83:$G$114,0)),0)</f>
        <v>0</v>
      </c>
      <c r="AB376" s="651">
        <f t="array" ref="AB376">IFERROR(INDEX('HIV-Other HPs'!$U$83:$U$114,MATCH($E376&amp;$F376,'HIV-Other HPs'!$D$83:$D$114&amp;'HIV-Other HPs'!$G$83:$G$114,0)),0)</f>
        <v>0</v>
      </c>
      <c r="AC376" s="652">
        <f t="shared" si="300"/>
        <v>0</v>
      </c>
      <c r="AD376" s="652">
        <f t="shared" si="301"/>
        <v>0</v>
      </c>
      <c r="AE376" s="652">
        <f t="shared" si="302"/>
        <v>0</v>
      </c>
      <c r="AF376" s="651">
        <f t="array" ref="AF376">IFERROR(INDEX('HIV-Other HPs'!$V$83:$V$114,MATCH($E376&amp;$F376,'HIV-Other HPs'!$D$83:$D$114&amp;'HIV-Other HPs'!$G$83:$G$114,0)),0)</f>
        <v>0</v>
      </c>
      <c r="AG376" s="652">
        <f t="shared" si="303"/>
        <v>0</v>
      </c>
      <c r="AH376" s="652">
        <f t="shared" si="304"/>
        <v>0</v>
      </c>
      <c r="AI376" s="652">
        <f t="shared" si="305"/>
        <v>0</v>
      </c>
      <c r="AJ376" s="651">
        <f t="array" ref="AJ376">IFERROR(INDEX('HIV-Other HPs'!$W$83:$W$114,MATCH($E376&amp;$F376,'HIV-Other HPs'!$D$83:$D$114&amp;'HIV-Other HPs'!$G$83:$G$114,0)),0)</f>
        <v>0</v>
      </c>
      <c r="AK376" s="652">
        <f t="shared" si="306"/>
        <v>0</v>
      </c>
      <c r="AL376" s="652">
        <f t="shared" si="307"/>
        <v>0</v>
      </c>
      <c r="AM376" s="652">
        <f t="shared" si="308"/>
        <v>0</v>
      </c>
      <c r="AN376" s="651">
        <f t="array" ref="AN376">IFERROR(INDEX('HIV-Other HPs'!$X$83:$X$114,MATCH($E376&amp;$F376,'HIV-Other HPs'!$D$83:$D$114&amp;'HIV-Other HPs'!$G$83:$G$114,0)),0)</f>
        <v>0</v>
      </c>
      <c r="AO376" s="652">
        <f t="shared" si="309"/>
        <v>0</v>
      </c>
      <c r="AP376" s="652">
        <f t="shared" si="310"/>
        <v>0</v>
      </c>
      <c r="AQ376" s="652">
        <f t="shared" si="311"/>
        <v>0</v>
      </c>
      <c r="AR376" s="664"/>
      <c r="AS376" s="651">
        <f t="array" ref="AS376">IFERROR(INDEX('HIV-Other HPs'!$AA$83:$AA$114,MATCH($E376&amp;$F376,'HIV-Other HPs'!$D$83:$D$114&amp;'HIV-Other HPs'!$G$83:$G$114,0)),0)</f>
        <v>0</v>
      </c>
      <c r="AT376" s="651">
        <f t="array" ref="AT376">IFERROR(INDEX('HIV-Other HPs'!$AB$83:$AB$114,MATCH($E376&amp;$F376,'HIV-Other HPs'!$D$83:$D$114&amp;'HIV-Other HPs'!$G$83:$G$114,0)),0)</f>
        <v>0</v>
      </c>
      <c r="AU376" s="652">
        <f t="shared" si="312"/>
        <v>0</v>
      </c>
      <c r="AV376" s="652">
        <f t="shared" si="313"/>
        <v>0</v>
      </c>
      <c r="AW376" s="652">
        <f t="shared" si="314"/>
        <v>0</v>
      </c>
      <c r="AX376" s="651">
        <f t="array" ref="AX376">IFERROR(INDEX('HIV-Other HPs'!$AC$83:$AC$114,MATCH($E376&amp;$F376,'HIV-Other HPs'!$D$83:$D$114&amp;'HIV-Other HPs'!$G$83:$G$114,0)),0)</f>
        <v>0</v>
      </c>
      <c r="AY376" s="652">
        <f t="shared" si="315"/>
        <v>0</v>
      </c>
      <c r="AZ376" s="652">
        <f t="shared" si="316"/>
        <v>0</v>
      </c>
      <c r="BA376" s="652">
        <f t="shared" si="317"/>
        <v>0</v>
      </c>
      <c r="BB376" s="651">
        <f t="array" ref="BB376">IFERROR(INDEX('HIV-Other HPs'!$AD$83:$AD$114,MATCH($E376&amp;$F376,'HIV-Other HPs'!$D$83:$D$114&amp;'HIV-Other HPs'!$G$83:$G$114,0)),0)</f>
        <v>0</v>
      </c>
      <c r="BC376" s="652">
        <f t="shared" si="318"/>
        <v>0</v>
      </c>
      <c r="BD376" s="652">
        <f t="shared" si="319"/>
        <v>0</v>
      </c>
      <c r="BE376" s="652">
        <f t="shared" si="320"/>
        <v>0</v>
      </c>
      <c r="BF376" s="651">
        <f t="array" ref="BF376">IFERROR(INDEX('HIV-Other HPs'!$AE$83:$AE$114,MATCH($E376&amp;$F376,'HIV-Other HPs'!$D$83:$D$114&amp;'HIV-Other HPs'!$G$83:$G$114,0)),0)</f>
        <v>0</v>
      </c>
      <c r="BG376" s="652">
        <f t="shared" si="321"/>
        <v>0</v>
      </c>
      <c r="BH376" s="652">
        <f t="shared" si="322"/>
        <v>0</v>
      </c>
      <c r="BI376" s="652">
        <f t="shared" si="323"/>
        <v>0</v>
      </c>
      <c r="BJ376" s="662"/>
      <c r="BK376" s="663"/>
      <c r="BL376" s="663"/>
      <c r="BM376" s="663"/>
      <c r="BN376" s="663"/>
      <c r="BO376" s="663"/>
      <c r="BP376" s="663"/>
      <c r="BQ376" s="663"/>
      <c r="BR376" s="663"/>
    </row>
    <row r="377" spans="1:70">
      <c r="A377" s="655" t="s">
        <v>1735</v>
      </c>
      <c r="B377" s="655" t="s">
        <v>2286</v>
      </c>
      <c r="C377" s="648">
        <f>SETUP!$F$32</f>
        <v>0</v>
      </c>
      <c r="D377" s="654">
        <v>5.6</v>
      </c>
      <c r="E377" s="663" t="s">
        <v>213</v>
      </c>
      <c r="F377" s="663" t="s">
        <v>1722</v>
      </c>
      <c r="G377" s="650" t="str">
        <f t="array" ref="G377">IFERROR(INDEX('HIV-Other HPs'!$K$83:$K$114,MATCH($E377&amp;$F377,'HIV-Other HPs'!$D$83:$D$114&amp;'HIV-Other HPs'!$G$83:$G$114,0)),"")</f>
        <v/>
      </c>
      <c r="H377" s="650" t="str">
        <f t="array" ref="H377">IFERROR(INDEX('HIV-Other HPs'!$L$83:$L$114,MATCH($E377&amp;$F377,'HIV-Other HPs'!$D$83:$D$114&amp;'HIV-Other HPs'!$G$83:$G$114,0)),"")</f>
        <v/>
      </c>
      <c r="I377" s="651">
        <f t="array" ref="I377">IFERROR(INDEX('HIV-Other HPs'!$M$83:$M$114,MATCH($E377&amp;$F377,'HIV-Other HPs'!$D$83:$D$114&amp;'HIV-Other HPs'!$G$83:$G$114,0)),0)</f>
        <v>0</v>
      </c>
      <c r="J377" s="651">
        <f t="array" ref="J377">IFERROR(INDEX('HIV-Other HPs'!$N$83:$N$114,MATCH($E377&amp;$F377,'HIV-Other HPs'!$D$83:$D$114&amp;'HIV-Other HPs'!$G$83:$G$114,0)),0)</f>
        <v>0</v>
      </c>
      <c r="K377" s="652">
        <f t="shared" si="288"/>
        <v>0</v>
      </c>
      <c r="L377" s="652">
        <f t="shared" si="289"/>
        <v>0</v>
      </c>
      <c r="M377" s="652">
        <f t="shared" si="290"/>
        <v>0</v>
      </c>
      <c r="N377" s="651">
        <f t="array" ref="N377">IFERROR(INDEX('HIV-Other HPs'!$O$83:$O$114,MATCH($E377&amp;$F377,'HIV-Other HPs'!$D$83:$D$114&amp;'HIV-Other HPs'!$G$83:$G$114,0)),0)</f>
        <v>0</v>
      </c>
      <c r="O377" s="652">
        <f t="shared" si="291"/>
        <v>0</v>
      </c>
      <c r="P377" s="652">
        <f t="shared" si="292"/>
        <v>0</v>
      </c>
      <c r="Q377" s="652">
        <f t="shared" si="293"/>
        <v>0</v>
      </c>
      <c r="R377" s="651">
        <f t="array" ref="R377">IFERROR(INDEX('HIV-Other HPs'!$P$83:$P$114,MATCH($E377&amp;$F377,'HIV-Other HPs'!$D$83:$D$114&amp;'HIV-Other HPs'!$G$83:$G$114,0)),0)</f>
        <v>0</v>
      </c>
      <c r="S377" s="652">
        <f t="shared" si="294"/>
        <v>0</v>
      </c>
      <c r="T377" s="652">
        <f t="shared" si="295"/>
        <v>0</v>
      </c>
      <c r="U377" s="652">
        <f t="shared" si="296"/>
        <v>0</v>
      </c>
      <c r="V377" s="651">
        <f t="array" ref="V377">IFERROR(INDEX('HIV-Other HPs'!$Q$83:$Q$114,MATCH($E377&amp;$F377,'HIV-Other HPs'!$D$83:$D$114&amp;'HIV-Other HPs'!$G$83:$G$114,0)),0)</f>
        <v>0</v>
      </c>
      <c r="W377" s="652">
        <f t="shared" si="297"/>
        <v>0</v>
      </c>
      <c r="X377" s="652">
        <f t="shared" si="298"/>
        <v>0</v>
      </c>
      <c r="Y377" s="652">
        <f t="shared" si="299"/>
        <v>0</v>
      </c>
      <c r="Z377" s="664"/>
      <c r="AA377" s="651">
        <f t="array" ref="AA377">IFERROR(INDEX('HIV-Other HPs'!$T$83:$T$114,MATCH($E377&amp;$F377,'HIV-Other HPs'!$D$83:$D$114&amp;'HIV-Other HPs'!$G$83:$G$114,0)),0)</f>
        <v>0</v>
      </c>
      <c r="AB377" s="651">
        <f t="array" ref="AB377">IFERROR(INDEX('HIV-Other HPs'!$U$83:$U$114,MATCH($E377&amp;$F377,'HIV-Other HPs'!$D$83:$D$114&amp;'HIV-Other HPs'!$G$83:$G$114,0)),0)</f>
        <v>0</v>
      </c>
      <c r="AC377" s="652">
        <f t="shared" si="300"/>
        <v>0</v>
      </c>
      <c r="AD377" s="652">
        <f t="shared" si="301"/>
        <v>0</v>
      </c>
      <c r="AE377" s="652">
        <f t="shared" si="302"/>
        <v>0</v>
      </c>
      <c r="AF377" s="651">
        <f t="array" ref="AF377">IFERROR(INDEX('HIV-Other HPs'!$V$83:$V$114,MATCH($E377&amp;$F377,'HIV-Other HPs'!$D$83:$D$114&amp;'HIV-Other HPs'!$G$83:$G$114,0)),0)</f>
        <v>0</v>
      </c>
      <c r="AG377" s="652">
        <f t="shared" si="303"/>
        <v>0</v>
      </c>
      <c r="AH377" s="652">
        <f t="shared" si="304"/>
        <v>0</v>
      </c>
      <c r="AI377" s="652">
        <f t="shared" si="305"/>
        <v>0</v>
      </c>
      <c r="AJ377" s="651">
        <f t="array" ref="AJ377">IFERROR(INDEX('HIV-Other HPs'!$W$83:$W$114,MATCH($E377&amp;$F377,'HIV-Other HPs'!$D$83:$D$114&amp;'HIV-Other HPs'!$G$83:$G$114,0)),0)</f>
        <v>0</v>
      </c>
      <c r="AK377" s="652">
        <f t="shared" si="306"/>
        <v>0</v>
      </c>
      <c r="AL377" s="652">
        <f t="shared" si="307"/>
        <v>0</v>
      </c>
      <c r="AM377" s="652">
        <f t="shared" si="308"/>
        <v>0</v>
      </c>
      <c r="AN377" s="651">
        <f t="array" ref="AN377">IFERROR(INDEX('HIV-Other HPs'!$X$83:$X$114,MATCH($E377&amp;$F377,'HIV-Other HPs'!$D$83:$D$114&amp;'HIV-Other HPs'!$G$83:$G$114,0)),0)</f>
        <v>0</v>
      </c>
      <c r="AO377" s="652">
        <f t="shared" si="309"/>
        <v>0</v>
      </c>
      <c r="AP377" s="652">
        <f t="shared" si="310"/>
        <v>0</v>
      </c>
      <c r="AQ377" s="652">
        <f t="shared" si="311"/>
        <v>0</v>
      </c>
      <c r="AR377" s="664"/>
      <c r="AS377" s="651">
        <f t="array" ref="AS377">IFERROR(INDEX('HIV-Other HPs'!$AA$83:$AA$114,MATCH($E377&amp;$F377,'HIV-Other HPs'!$D$83:$D$114&amp;'HIV-Other HPs'!$G$83:$G$114,0)),0)</f>
        <v>0</v>
      </c>
      <c r="AT377" s="651">
        <f t="array" ref="AT377">IFERROR(INDEX('HIV-Other HPs'!$AB$83:$AB$114,MATCH($E377&amp;$F377,'HIV-Other HPs'!$D$83:$D$114&amp;'HIV-Other HPs'!$G$83:$G$114,0)),0)</f>
        <v>0</v>
      </c>
      <c r="AU377" s="652">
        <f t="shared" si="312"/>
        <v>0</v>
      </c>
      <c r="AV377" s="652">
        <f t="shared" si="313"/>
        <v>0</v>
      </c>
      <c r="AW377" s="652">
        <f t="shared" si="314"/>
        <v>0</v>
      </c>
      <c r="AX377" s="651">
        <f t="array" ref="AX377">IFERROR(INDEX('HIV-Other HPs'!$AC$83:$AC$114,MATCH($E377&amp;$F377,'HIV-Other HPs'!$D$83:$D$114&amp;'HIV-Other HPs'!$G$83:$G$114,0)),0)</f>
        <v>0</v>
      </c>
      <c r="AY377" s="652">
        <f t="shared" si="315"/>
        <v>0</v>
      </c>
      <c r="AZ377" s="652">
        <f t="shared" si="316"/>
        <v>0</v>
      </c>
      <c r="BA377" s="652">
        <f t="shared" si="317"/>
        <v>0</v>
      </c>
      <c r="BB377" s="651">
        <f t="array" ref="BB377">IFERROR(INDEX('HIV-Other HPs'!$AD$83:$AD$114,MATCH($E377&amp;$F377,'HIV-Other HPs'!$D$83:$D$114&amp;'HIV-Other HPs'!$G$83:$G$114,0)),0)</f>
        <v>0</v>
      </c>
      <c r="BC377" s="652">
        <f t="shared" si="318"/>
        <v>0</v>
      </c>
      <c r="BD377" s="652">
        <f t="shared" si="319"/>
        <v>0</v>
      </c>
      <c r="BE377" s="652">
        <f t="shared" si="320"/>
        <v>0</v>
      </c>
      <c r="BF377" s="651">
        <f t="array" ref="BF377">IFERROR(INDEX('HIV-Other HPs'!$AE$83:$AE$114,MATCH($E377&amp;$F377,'HIV-Other HPs'!$D$83:$D$114&amp;'HIV-Other HPs'!$G$83:$G$114,0)),0)</f>
        <v>0</v>
      </c>
      <c r="BG377" s="652">
        <f t="shared" si="321"/>
        <v>0</v>
      </c>
      <c r="BH377" s="652">
        <f t="shared" si="322"/>
        <v>0</v>
      </c>
      <c r="BI377" s="652">
        <f t="shared" si="323"/>
        <v>0</v>
      </c>
      <c r="BJ377" s="662"/>
      <c r="BK377" s="663"/>
      <c r="BL377" s="663"/>
      <c r="BM377" s="663"/>
      <c r="BN377" s="663"/>
      <c r="BO377" s="663"/>
      <c r="BP377" s="663"/>
      <c r="BQ377" s="663"/>
      <c r="BR377" s="663"/>
    </row>
    <row r="378" spans="1:70">
      <c r="A378" s="655" t="s">
        <v>1735</v>
      </c>
      <c r="B378" s="655" t="s">
        <v>2286</v>
      </c>
      <c r="C378" s="648">
        <f>SETUP!$F$32</f>
        <v>0</v>
      </c>
      <c r="D378" s="654">
        <v>5.6</v>
      </c>
      <c r="E378" s="663" t="s">
        <v>213</v>
      </c>
      <c r="F378" s="663" t="s">
        <v>1723</v>
      </c>
      <c r="G378" s="650" t="str">
        <f t="array" ref="G378">IFERROR(INDEX('HIV-Other HPs'!$K$83:$K$114,MATCH($E378&amp;$F378,'HIV-Other HPs'!$D$83:$D$114&amp;'HIV-Other HPs'!$G$83:$G$114,0)),"")</f>
        <v/>
      </c>
      <c r="H378" s="650" t="str">
        <f t="array" ref="H378">IFERROR(INDEX('HIV-Other HPs'!$L$83:$L$114,MATCH($E378&amp;$F378,'HIV-Other HPs'!$D$83:$D$114&amp;'HIV-Other HPs'!$G$83:$G$114,0)),"")</f>
        <v/>
      </c>
      <c r="I378" s="651">
        <f t="array" ref="I378">IFERROR(INDEX('HIV-Other HPs'!$M$83:$M$114,MATCH($E378&amp;$F378,'HIV-Other HPs'!$D$83:$D$114&amp;'HIV-Other HPs'!$G$83:$G$114,0)),0)</f>
        <v>0</v>
      </c>
      <c r="J378" s="651">
        <f t="array" ref="J378">IFERROR(INDEX('HIV-Other HPs'!$N$83:$N$114,MATCH($E378&amp;$F378,'HIV-Other HPs'!$D$83:$D$114&amp;'HIV-Other HPs'!$G$83:$G$114,0)),0)</f>
        <v>0</v>
      </c>
      <c r="K378" s="652">
        <f t="shared" si="288"/>
        <v>0</v>
      </c>
      <c r="L378" s="652">
        <f t="shared" si="289"/>
        <v>0</v>
      </c>
      <c r="M378" s="652">
        <f t="shared" si="290"/>
        <v>0</v>
      </c>
      <c r="N378" s="651">
        <f t="array" ref="N378">IFERROR(INDEX('HIV-Other HPs'!$O$83:$O$114,MATCH($E378&amp;$F378,'HIV-Other HPs'!$D$83:$D$114&amp;'HIV-Other HPs'!$G$83:$G$114,0)),0)</f>
        <v>0</v>
      </c>
      <c r="O378" s="652">
        <f t="shared" si="291"/>
        <v>0</v>
      </c>
      <c r="P378" s="652">
        <f t="shared" si="292"/>
        <v>0</v>
      </c>
      <c r="Q378" s="652">
        <f t="shared" si="293"/>
        <v>0</v>
      </c>
      <c r="R378" s="651">
        <f t="array" ref="R378">IFERROR(INDEX('HIV-Other HPs'!$P$83:$P$114,MATCH($E378&amp;$F378,'HIV-Other HPs'!$D$83:$D$114&amp;'HIV-Other HPs'!$G$83:$G$114,0)),0)</f>
        <v>0</v>
      </c>
      <c r="S378" s="652">
        <f t="shared" si="294"/>
        <v>0</v>
      </c>
      <c r="T378" s="652">
        <f t="shared" si="295"/>
        <v>0</v>
      </c>
      <c r="U378" s="652">
        <f t="shared" si="296"/>
        <v>0</v>
      </c>
      <c r="V378" s="651">
        <f t="array" ref="V378">IFERROR(INDEX('HIV-Other HPs'!$Q$83:$Q$114,MATCH($E378&amp;$F378,'HIV-Other HPs'!$D$83:$D$114&amp;'HIV-Other HPs'!$G$83:$G$114,0)),0)</f>
        <v>0</v>
      </c>
      <c r="W378" s="652">
        <f t="shared" si="297"/>
        <v>0</v>
      </c>
      <c r="X378" s="652">
        <f t="shared" si="298"/>
        <v>0</v>
      </c>
      <c r="Y378" s="652">
        <f t="shared" si="299"/>
        <v>0</v>
      </c>
      <c r="Z378" s="664"/>
      <c r="AA378" s="651">
        <f t="array" ref="AA378">IFERROR(INDEX('HIV-Other HPs'!$T$83:$T$114,MATCH($E378&amp;$F378,'HIV-Other HPs'!$D$83:$D$114&amp;'HIV-Other HPs'!$G$83:$G$114,0)),0)</f>
        <v>0</v>
      </c>
      <c r="AB378" s="651">
        <f t="array" ref="AB378">IFERROR(INDEX('HIV-Other HPs'!$U$83:$U$114,MATCH($E378&amp;$F378,'HIV-Other HPs'!$D$83:$D$114&amp;'HIV-Other HPs'!$G$83:$G$114,0)),0)</f>
        <v>0</v>
      </c>
      <c r="AC378" s="652">
        <f t="shared" si="300"/>
        <v>0</v>
      </c>
      <c r="AD378" s="652">
        <f t="shared" si="301"/>
        <v>0</v>
      </c>
      <c r="AE378" s="652">
        <f t="shared" si="302"/>
        <v>0</v>
      </c>
      <c r="AF378" s="651">
        <f t="array" ref="AF378">IFERROR(INDEX('HIV-Other HPs'!$V$83:$V$114,MATCH($E378&amp;$F378,'HIV-Other HPs'!$D$83:$D$114&amp;'HIV-Other HPs'!$G$83:$G$114,0)),0)</f>
        <v>0</v>
      </c>
      <c r="AG378" s="652">
        <f t="shared" si="303"/>
        <v>0</v>
      </c>
      <c r="AH378" s="652">
        <f t="shared" si="304"/>
        <v>0</v>
      </c>
      <c r="AI378" s="652">
        <f t="shared" si="305"/>
        <v>0</v>
      </c>
      <c r="AJ378" s="651">
        <f t="array" ref="AJ378">IFERROR(INDEX('HIV-Other HPs'!$W$83:$W$114,MATCH($E378&amp;$F378,'HIV-Other HPs'!$D$83:$D$114&amp;'HIV-Other HPs'!$G$83:$G$114,0)),0)</f>
        <v>0</v>
      </c>
      <c r="AK378" s="652">
        <f t="shared" si="306"/>
        <v>0</v>
      </c>
      <c r="AL378" s="652">
        <f t="shared" si="307"/>
        <v>0</v>
      </c>
      <c r="AM378" s="652">
        <f t="shared" si="308"/>
        <v>0</v>
      </c>
      <c r="AN378" s="651">
        <f t="array" ref="AN378">IFERROR(INDEX('HIV-Other HPs'!$X$83:$X$114,MATCH($E378&amp;$F378,'HIV-Other HPs'!$D$83:$D$114&amp;'HIV-Other HPs'!$G$83:$G$114,0)),0)</f>
        <v>0</v>
      </c>
      <c r="AO378" s="652">
        <f t="shared" si="309"/>
        <v>0</v>
      </c>
      <c r="AP378" s="652">
        <f t="shared" si="310"/>
        <v>0</v>
      </c>
      <c r="AQ378" s="652">
        <f t="shared" si="311"/>
        <v>0</v>
      </c>
      <c r="AR378" s="664"/>
      <c r="AS378" s="651">
        <f t="array" ref="AS378">IFERROR(INDEX('HIV-Other HPs'!$AA$83:$AA$114,MATCH($E378&amp;$F378,'HIV-Other HPs'!$D$83:$D$114&amp;'HIV-Other HPs'!$G$83:$G$114,0)),0)</f>
        <v>0</v>
      </c>
      <c r="AT378" s="651">
        <f t="array" ref="AT378">IFERROR(INDEX('HIV-Other HPs'!$AB$83:$AB$114,MATCH($E378&amp;$F378,'HIV-Other HPs'!$D$83:$D$114&amp;'HIV-Other HPs'!$G$83:$G$114,0)),0)</f>
        <v>0</v>
      </c>
      <c r="AU378" s="652">
        <f t="shared" si="312"/>
        <v>0</v>
      </c>
      <c r="AV378" s="652">
        <f t="shared" si="313"/>
        <v>0</v>
      </c>
      <c r="AW378" s="652">
        <f t="shared" si="314"/>
        <v>0</v>
      </c>
      <c r="AX378" s="651">
        <f t="array" ref="AX378">IFERROR(INDEX('HIV-Other HPs'!$AC$83:$AC$114,MATCH($E378&amp;$F378,'HIV-Other HPs'!$D$83:$D$114&amp;'HIV-Other HPs'!$G$83:$G$114,0)),0)</f>
        <v>0</v>
      </c>
      <c r="AY378" s="652">
        <f t="shared" si="315"/>
        <v>0</v>
      </c>
      <c r="AZ378" s="652">
        <f t="shared" si="316"/>
        <v>0</v>
      </c>
      <c r="BA378" s="652">
        <f t="shared" si="317"/>
        <v>0</v>
      </c>
      <c r="BB378" s="651">
        <f t="array" ref="BB378">IFERROR(INDEX('HIV-Other HPs'!$AD$83:$AD$114,MATCH($E378&amp;$F378,'HIV-Other HPs'!$D$83:$D$114&amp;'HIV-Other HPs'!$G$83:$G$114,0)),0)</f>
        <v>0</v>
      </c>
      <c r="BC378" s="652">
        <f t="shared" si="318"/>
        <v>0</v>
      </c>
      <c r="BD378" s="652">
        <f t="shared" si="319"/>
        <v>0</v>
      </c>
      <c r="BE378" s="652">
        <f t="shared" si="320"/>
        <v>0</v>
      </c>
      <c r="BF378" s="651">
        <f t="array" ref="BF378">IFERROR(INDEX('HIV-Other HPs'!$AE$83:$AE$114,MATCH($E378&amp;$F378,'HIV-Other HPs'!$D$83:$D$114&amp;'HIV-Other HPs'!$G$83:$G$114,0)),0)</f>
        <v>0</v>
      </c>
      <c r="BG378" s="652">
        <f t="shared" si="321"/>
        <v>0</v>
      </c>
      <c r="BH378" s="652">
        <f t="shared" si="322"/>
        <v>0</v>
      </c>
      <c r="BI378" s="652">
        <f t="shared" si="323"/>
        <v>0</v>
      </c>
      <c r="BJ378" s="662"/>
      <c r="BK378" s="663"/>
      <c r="BL378" s="663"/>
      <c r="BM378" s="663"/>
      <c r="BN378" s="663"/>
      <c r="BO378" s="663"/>
      <c r="BP378" s="663"/>
      <c r="BQ378" s="663"/>
      <c r="BR378" s="663"/>
    </row>
    <row r="379" spans="1:70">
      <c r="A379" s="655" t="s">
        <v>1735</v>
      </c>
      <c r="B379" s="655" t="s">
        <v>2286</v>
      </c>
      <c r="C379" s="648">
        <f>SETUP!$F$32</f>
        <v>0</v>
      </c>
      <c r="D379" s="654">
        <v>5.6</v>
      </c>
      <c r="E379" s="663" t="s">
        <v>213</v>
      </c>
      <c r="F379" s="663" t="s">
        <v>1140</v>
      </c>
      <c r="G379" s="650" t="str">
        <f t="array" ref="G379">IFERROR(INDEX('HIV-Other HPs'!$K$83:$K$114,MATCH($E379&amp;$F379,'HIV-Other HPs'!$D$83:$D$114&amp;'HIV-Other HPs'!$G$83:$G$114,0)),"")</f>
        <v/>
      </c>
      <c r="H379" s="650" t="str">
        <f t="array" ref="H379">IFERROR(INDEX('HIV-Other HPs'!$L$83:$L$114,MATCH($E379&amp;$F379,'HIV-Other HPs'!$D$83:$D$114&amp;'HIV-Other HPs'!$G$83:$G$114,0)),"")</f>
        <v/>
      </c>
      <c r="I379" s="651">
        <f t="array" ref="I379">IFERROR(INDEX('HIV-Other HPs'!$M$83:$M$114,MATCH($E379&amp;$F379,'HIV-Other HPs'!$D$83:$D$114&amp;'HIV-Other HPs'!$G$83:$G$114,0)),0)</f>
        <v>0</v>
      </c>
      <c r="J379" s="651">
        <f t="array" ref="J379">IFERROR(INDEX('HIV-Other HPs'!$N$83:$N$114,MATCH($E379&amp;$F379,'HIV-Other HPs'!$D$83:$D$114&amp;'HIV-Other HPs'!$G$83:$G$114,0)),0)</f>
        <v>0</v>
      </c>
      <c r="K379" s="652">
        <f t="shared" si="288"/>
        <v>0</v>
      </c>
      <c r="L379" s="652">
        <f t="shared" si="289"/>
        <v>0</v>
      </c>
      <c r="M379" s="652">
        <f t="shared" si="290"/>
        <v>0</v>
      </c>
      <c r="N379" s="651">
        <f t="array" ref="N379">IFERROR(INDEX('HIV-Other HPs'!$O$83:$O$114,MATCH($E379&amp;$F379,'HIV-Other HPs'!$D$83:$D$114&amp;'HIV-Other HPs'!$G$83:$G$114,0)),0)</f>
        <v>0</v>
      </c>
      <c r="O379" s="652">
        <f t="shared" si="291"/>
        <v>0</v>
      </c>
      <c r="P379" s="652">
        <f t="shared" si="292"/>
        <v>0</v>
      </c>
      <c r="Q379" s="652">
        <f t="shared" si="293"/>
        <v>0</v>
      </c>
      <c r="R379" s="651">
        <f t="array" ref="R379">IFERROR(INDEX('HIV-Other HPs'!$P$83:$P$114,MATCH($E379&amp;$F379,'HIV-Other HPs'!$D$83:$D$114&amp;'HIV-Other HPs'!$G$83:$G$114,0)),0)</f>
        <v>0</v>
      </c>
      <c r="S379" s="652">
        <f t="shared" si="294"/>
        <v>0</v>
      </c>
      <c r="T379" s="652">
        <f t="shared" si="295"/>
        <v>0</v>
      </c>
      <c r="U379" s="652">
        <f t="shared" si="296"/>
        <v>0</v>
      </c>
      <c r="V379" s="651">
        <f t="array" ref="V379">IFERROR(INDEX('HIV-Other HPs'!$Q$83:$Q$114,MATCH($E379&amp;$F379,'HIV-Other HPs'!$D$83:$D$114&amp;'HIV-Other HPs'!$G$83:$G$114,0)),0)</f>
        <v>0</v>
      </c>
      <c r="W379" s="652">
        <f t="shared" si="297"/>
        <v>0</v>
      </c>
      <c r="X379" s="652">
        <f t="shared" si="298"/>
        <v>0</v>
      </c>
      <c r="Y379" s="652">
        <f t="shared" si="299"/>
        <v>0</v>
      </c>
      <c r="Z379" s="664"/>
      <c r="AA379" s="651">
        <f t="array" ref="AA379">IFERROR(INDEX('HIV-Other HPs'!$T$83:$T$114,MATCH($E379&amp;$F379,'HIV-Other HPs'!$D$83:$D$114&amp;'HIV-Other HPs'!$G$83:$G$114,0)),0)</f>
        <v>0</v>
      </c>
      <c r="AB379" s="651">
        <f t="array" ref="AB379">IFERROR(INDEX('HIV-Other HPs'!$U$83:$U$114,MATCH($E379&amp;$F379,'HIV-Other HPs'!$D$83:$D$114&amp;'HIV-Other HPs'!$G$83:$G$114,0)),0)</f>
        <v>0</v>
      </c>
      <c r="AC379" s="652">
        <f t="shared" si="300"/>
        <v>0</v>
      </c>
      <c r="AD379" s="652">
        <f t="shared" si="301"/>
        <v>0</v>
      </c>
      <c r="AE379" s="652">
        <f t="shared" si="302"/>
        <v>0</v>
      </c>
      <c r="AF379" s="651">
        <f t="array" ref="AF379">IFERROR(INDEX('HIV-Other HPs'!$V$83:$V$114,MATCH($E379&amp;$F379,'HIV-Other HPs'!$D$83:$D$114&amp;'HIV-Other HPs'!$G$83:$G$114,0)),0)</f>
        <v>0</v>
      </c>
      <c r="AG379" s="652">
        <f t="shared" si="303"/>
        <v>0</v>
      </c>
      <c r="AH379" s="652">
        <f t="shared" si="304"/>
        <v>0</v>
      </c>
      <c r="AI379" s="652">
        <f t="shared" si="305"/>
        <v>0</v>
      </c>
      <c r="AJ379" s="651">
        <f t="array" ref="AJ379">IFERROR(INDEX('HIV-Other HPs'!$W$83:$W$114,MATCH($E379&amp;$F379,'HIV-Other HPs'!$D$83:$D$114&amp;'HIV-Other HPs'!$G$83:$G$114,0)),0)</f>
        <v>0</v>
      </c>
      <c r="AK379" s="652">
        <f t="shared" si="306"/>
        <v>0</v>
      </c>
      <c r="AL379" s="652">
        <f t="shared" si="307"/>
        <v>0</v>
      </c>
      <c r="AM379" s="652">
        <f t="shared" si="308"/>
        <v>0</v>
      </c>
      <c r="AN379" s="651">
        <f t="array" ref="AN379">IFERROR(INDEX('HIV-Other HPs'!$X$83:$X$114,MATCH($E379&amp;$F379,'HIV-Other HPs'!$D$83:$D$114&amp;'HIV-Other HPs'!$G$83:$G$114,0)),0)</f>
        <v>0</v>
      </c>
      <c r="AO379" s="652">
        <f t="shared" si="309"/>
        <v>0</v>
      </c>
      <c r="AP379" s="652">
        <f t="shared" si="310"/>
        <v>0</v>
      </c>
      <c r="AQ379" s="652">
        <f t="shared" si="311"/>
        <v>0</v>
      </c>
      <c r="AR379" s="664"/>
      <c r="AS379" s="651">
        <f t="array" ref="AS379">IFERROR(INDEX('HIV-Other HPs'!$AA$83:$AA$114,MATCH($E379&amp;$F379,'HIV-Other HPs'!$D$83:$D$114&amp;'HIV-Other HPs'!$G$83:$G$114,0)),0)</f>
        <v>0</v>
      </c>
      <c r="AT379" s="651">
        <f t="array" ref="AT379">IFERROR(INDEX('HIV-Other HPs'!$AB$83:$AB$114,MATCH($E379&amp;$F379,'HIV-Other HPs'!$D$83:$D$114&amp;'HIV-Other HPs'!$G$83:$G$114,0)),0)</f>
        <v>0</v>
      </c>
      <c r="AU379" s="652">
        <f t="shared" si="312"/>
        <v>0</v>
      </c>
      <c r="AV379" s="652">
        <f t="shared" si="313"/>
        <v>0</v>
      </c>
      <c r="AW379" s="652">
        <f t="shared" si="314"/>
        <v>0</v>
      </c>
      <c r="AX379" s="651">
        <f t="array" ref="AX379">IFERROR(INDEX('HIV-Other HPs'!$AC$83:$AC$114,MATCH($E379&amp;$F379,'HIV-Other HPs'!$D$83:$D$114&amp;'HIV-Other HPs'!$G$83:$G$114,0)),0)</f>
        <v>0</v>
      </c>
      <c r="AY379" s="652">
        <f t="shared" si="315"/>
        <v>0</v>
      </c>
      <c r="AZ379" s="652">
        <f t="shared" si="316"/>
        <v>0</v>
      </c>
      <c r="BA379" s="652">
        <f t="shared" si="317"/>
        <v>0</v>
      </c>
      <c r="BB379" s="651">
        <f t="array" ref="BB379">IFERROR(INDEX('HIV-Other HPs'!$AD$83:$AD$114,MATCH($E379&amp;$F379,'HIV-Other HPs'!$D$83:$D$114&amp;'HIV-Other HPs'!$G$83:$G$114,0)),0)</f>
        <v>0</v>
      </c>
      <c r="BC379" s="652">
        <f t="shared" si="318"/>
        <v>0</v>
      </c>
      <c r="BD379" s="652">
        <f t="shared" si="319"/>
        <v>0</v>
      </c>
      <c r="BE379" s="652">
        <f t="shared" si="320"/>
        <v>0</v>
      </c>
      <c r="BF379" s="651">
        <f t="array" ref="BF379">IFERROR(INDEX('HIV-Other HPs'!$AE$83:$AE$114,MATCH($E379&amp;$F379,'HIV-Other HPs'!$D$83:$D$114&amp;'HIV-Other HPs'!$G$83:$G$114,0)),0)</f>
        <v>0</v>
      </c>
      <c r="BG379" s="652">
        <f t="shared" si="321"/>
        <v>0</v>
      </c>
      <c r="BH379" s="652">
        <f t="shared" si="322"/>
        <v>0</v>
      </c>
      <c r="BI379" s="652">
        <f t="shared" si="323"/>
        <v>0</v>
      </c>
      <c r="BJ379" s="662"/>
      <c r="BK379" s="663"/>
      <c r="BL379" s="663"/>
      <c r="BM379" s="663"/>
      <c r="BN379" s="663"/>
      <c r="BO379" s="663"/>
      <c r="BP379" s="663"/>
      <c r="BQ379" s="663"/>
      <c r="BR379" s="663"/>
    </row>
    <row r="380" spans="1:70">
      <c r="A380" s="655" t="s">
        <v>1735</v>
      </c>
      <c r="B380" s="655" t="s">
        <v>2286</v>
      </c>
      <c r="C380" s="648">
        <f>SETUP!$F$32</f>
        <v>0</v>
      </c>
      <c r="D380" s="654">
        <v>5.6</v>
      </c>
      <c r="E380" s="663" t="s">
        <v>213</v>
      </c>
      <c r="F380" s="663" t="s">
        <v>1724</v>
      </c>
      <c r="G380" s="650" t="str">
        <f t="array" ref="G380">IFERROR(INDEX('HIV-Other HPs'!$K$83:$K$114,MATCH($E380&amp;$F380,'HIV-Other HPs'!$D$83:$D$114&amp;'HIV-Other HPs'!$G$83:$G$114,0)),"")</f>
        <v/>
      </c>
      <c r="H380" s="650" t="str">
        <f t="array" ref="H380">IFERROR(INDEX('HIV-Other HPs'!$L$83:$L$114,MATCH($E380&amp;$F380,'HIV-Other HPs'!$D$83:$D$114&amp;'HIV-Other HPs'!$G$83:$G$114,0)),"")</f>
        <v/>
      </c>
      <c r="I380" s="651">
        <f t="array" ref="I380">IFERROR(INDEX('HIV-Other HPs'!$M$83:$M$114,MATCH($E380&amp;$F380,'HIV-Other HPs'!$D$83:$D$114&amp;'HIV-Other HPs'!$G$83:$G$114,0)),0)</f>
        <v>0</v>
      </c>
      <c r="J380" s="651">
        <f t="array" ref="J380">IFERROR(INDEX('HIV-Other HPs'!$N$83:$N$114,MATCH($E380&amp;$F380,'HIV-Other HPs'!$D$83:$D$114&amp;'HIV-Other HPs'!$G$83:$G$114,0)),0)</f>
        <v>0</v>
      </c>
      <c r="K380" s="652">
        <f t="shared" si="288"/>
        <v>0</v>
      </c>
      <c r="L380" s="652">
        <f t="shared" si="289"/>
        <v>0</v>
      </c>
      <c r="M380" s="652">
        <f t="shared" si="290"/>
        <v>0</v>
      </c>
      <c r="N380" s="651">
        <f t="array" ref="N380">IFERROR(INDEX('HIV-Other HPs'!$O$83:$O$114,MATCH($E380&amp;$F380,'HIV-Other HPs'!$D$83:$D$114&amp;'HIV-Other HPs'!$G$83:$G$114,0)),0)</f>
        <v>0</v>
      </c>
      <c r="O380" s="652">
        <f t="shared" si="291"/>
        <v>0</v>
      </c>
      <c r="P380" s="652">
        <f t="shared" si="292"/>
        <v>0</v>
      </c>
      <c r="Q380" s="652">
        <f t="shared" si="293"/>
        <v>0</v>
      </c>
      <c r="R380" s="651">
        <f t="array" ref="R380">IFERROR(INDEX('HIV-Other HPs'!$P$83:$P$114,MATCH($E380&amp;$F380,'HIV-Other HPs'!$D$83:$D$114&amp;'HIV-Other HPs'!$G$83:$G$114,0)),0)</f>
        <v>0</v>
      </c>
      <c r="S380" s="652">
        <f t="shared" si="294"/>
        <v>0</v>
      </c>
      <c r="T380" s="652">
        <f t="shared" si="295"/>
        <v>0</v>
      </c>
      <c r="U380" s="652">
        <f t="shared" si="296"/>
        <v>0</v>
      </c>
      <c r="V380" s="651">
        <f t="array" ref="V380">IFERROR(INDEX('HIV-Other HPs'!$Q$83:$Q$114,MATCH($E380&amp;$F380,'HIV-Other HPs'!$D$83:$D$114&amp;'HIV-Other HPs'!$G$83:$G$114,0)),0)</f>
        <v>0</v>
      </c>
      <c r="W380" s="652">
        <f t="shared" si="297"/>
        <v>0</v>
      </c>
      <c r="X380" s="652">
        <f t="shared" si="298"/>
        <v>0</v>
      </c>
      <c r="Y380" s="652">
        <f t="shared" si="299"/>
        <v>0</v>
      </c>
      <c r="Z380" s="664"/>
      <c r="AA380" s="651">
        <f t="array" ref="AA380">IFERROR(INDEX('HIV-Other HPs'!$T$83:$T$114,MATCH($E380&amp;$F380,'HIV-Other HPs'!$D$83:$D$114&amp;'HIV-Other HPs'!$G$83:$G$114,0)),0)</f>
        <v>0</v>
      </c>
      <c r="AB380" s="651">
        <f t="array" ref="AB380">IFERROR(INDEX('HIV-Other HPs'!$U$83:$U$114,MATCH($E380&amp;$F380,'HIV-Other HPs'!$D$83:$D$114&amp;'HIV-Other HPs'!$G$83:$G$114,0)),0)</f>
        <v>0</v>
      </c>
      <c r="AC380" s="652">
        <f t="shared" si="300"/>
        <v>0</v>
      </c>
      <c r="AD380" s="652">
        <f t="shared" si="301"/>
        <v>0</v>
      </c>
      <c r="AE380" s="652">
        <f t="shared" si="302"/>
        <v>0</v>
      </c>
      <c r="AF380" s="651">
        <f t="array" ref="AF380">IFERROR(INDEX('HIV-Other HPs'!$V$83:$V$114,MATCH($E380&amp;$F380,'HIV-Other HPs'!$D$83:$D$114&amp;'HIV-Other HPs'!$G$83:$G$114,0)),0)</f>
        <v>0</v>
      </c>
      <c r="AG380" s="652">
        <f t="shared" si="303"/>
        <v>0</v>
      </c>
      <c r="AH380" s="652">
        <f t="shared" si="304"/>
        <v>0</v>
      </c>
      <c r="AI380" s="652">
        <f t="shared" si="305"/>
        <v>0</v>
      </c>
      <c r="AJ380" s="651">
        <f t="array" ref="AJ380">IFERROR(INDEX('HIV-Other HPs'!$W$83:$W$114,MATCH($E380&amp;$F380,'HIV-Other HPs'!$D$83:$D$114&amp;'HIV-Other HPs'!$G$83:$G$114,0)),0)</f>
        <v>0</v>
      </c>
      <c r="AK380" s="652">
        <f t="shared" si="306"/>
        <v>0</v>
      </c>
      <c r="AL380" s="652">
        <f t="shared" si="307"/>
        <v>0</v>
      </c>
      <c r="AM380" s="652">
        <f t="shared" si="308"/>
        <v>0</v>
      </c>
      <c r="AN380" s="651">
        <f t="array" ref="AN380">IFERROR(INDEX('HIV-Other HPs'!$X$83:$X$114,MATCH($E380&amp;$F380,'HIV-Other HPs'!$D$83:$D$114&amp;'HIV-Other HPs'!$G$83:$G$114,0)),0)</f>
        <v>0</v>
      </c>
      <c r="AO380" s="652">
        <f t="shared" si="309"/>
        <v>0</v>
      </c>
      <c r="AP380" s="652">
        <f t="shared" si="310"/>
        <v>0</v>
      </c>
      <c r="AQ380" s="652">
        <f t="shared" si="311"/>
        <v>0</v>
      </c>
      <c r="AR380" s="664"/>
      <c r="AS380" s="651">
        <f t="array" ref="AS380">IFERROR(INDEX('HIV-Other HPs'!$AA$83:$AA$114,MATCH($E380&amp;$F380,'HIV-Other HPs'!$D$83:$D$114&amp;'HIV-Other HPs'!$G$83:$G$114,0)),0)</f>
        <v>0</v>
      </c>
      <c r="AT380" s="651">
        <f t="array" ref="AT380">IFERROR(INDEX('HIV-Other HPs'!$AB$83:$AB$114,MATCH($E380&amp;$F380,'HIV-Other HPs'!$D$83:$D$114&amp;'HIV-Other HPs'!$G$83:$G$114,0)),0)</f>
        <v>0</v>
      </c>
      <c r="AU380" s="652">
        <f t="shared" si="312"/>
        <v>0</v>
      </c>
      <c r="AV380" s="652">
        <f t="shared" si="313"/>
        <v>0</v>
      </c>
      <c r="AW380" s="652">
        <f t="shared" si="314"/>
        <v>0</v>
      </c>
      <c r="AX380" s="651">
        <f t="array" ref="AX380">IFERROR(INDEX('HIV-Other HPs'!$AC$83:$AC$114,MATCH($E380&amp;$F380,'HIV-Other HPs'!$D$83:$D$114&amp;'HIV-Other HPs'!$G$83:$G$114,0)),0)</f>
        <v>0</v>
      </c>
      <c r="AY380" s="652">
        <f t="shared" si="315"/>
        <v>0</v>
      </c>
      <c r="AZ380" s="652">
        <f t="shared" si="316"/>
        <v>0</v>
      </c>
      <c r="BA380" s="652">
        <f t="shared" si="317"/>
        <v>0</v>
      </c>
      <c r="BB380" s="651">
        <f t="array" ref="BB380">IFERROR(INDEX('HIV-Other HPs'!$AD$83:$AD$114,MATCH($E380&amp;$F380,'HIV-Other HPs'!$D$83:$D$114&amp;'HIV-Other HPs'!$G$83:$G$114,0)),0)</f>
        <v>0</v>
      </c>
      <c r="BC380" s="652">
        <f t="shared" si="318"/>
        <v>0</v>
      </c>
      <c r="BD380" s="652">
        <f t="shared" si="319"/>
        <v>0</v>
      </c>
      <c r="BE380" s="652">
        <f t="shared" si="320"/>
        <v>0</v>
      </c>
      <c r="BF380" s="651">
        <f t="array" ref="BF380">IFERROR(INDEX('HIV-Other HPs'!$AE$83:$AE$114,MATCH($E380&amp;$F380,'HIV-Other HPs'!$D$83:$D$114&amp;'HIV-Other HPs'!$G$83:$G$114,0)),0)</f>
        <v>0</v>
      </c>
      <c r="BG380" s="652">
        <f t="shared" si="321"/>
        <v>0</v>
      </c>
      <c r="BH380" s="652">
        <f t="shared" si="322"/>
        <v>0</v>
      </c>
      <c r="BI380" s="652">
        <f t="shared" si="323"/>
        <v>0</v>
      </c>
      <c r="BJ380" s="662"/>
      <c r="BK380" s="663"/>
      <c r="BL380" s="663"/>
      <c r="BM380" s="663"/>
      <c r="BN380" s="663"/>
      <c r="BO380" s="663"/>
      <c r="BP380" s="663"/>
      <c r="BQ380" s="663"/>
      <c r="BR380" s="663"/>
    </row>
    <row r="381" spans="1:70">
      <c r="A381" s="655" t="s">
        <v>1735</v>
      </c>
      <c r="B381" s="655" t="s">
        <v>2286</v>
      </c>
      <c r="C381" s="648">
        <f>SETUP!$F$32</f>
        <v>0</v>
      </c>
      <c r="D381" s="654">
        <v>5.6</v>
      </c>
      <c r="E381" s="663" t="s">
        <v>206</v>
      </c>
      <c r="F381" s="663" t="s">
        <v>1725</v>
      </c>
      <c r="G381" s="650" t="str">
        <f t="array" ref="G381">IFERROR(INDEX('HIV-Other HPs'!$K$83:$K$114,MATCH($E381&amp;$F381,'HIV-Other HPs'!$D$83:$D$114&amp;'HIV-Other HPs'!$G$83:$G$114,0)),"")</f>
        <v/>
      </c>
      <c r="H381" s="650" t="str">
        <f t="array" ref="H381">IFERROR(INDEX('HIV-Other HPs'!$L$83:$L$114,MATCH($E381&amp;$F381,'HIV-Other HPs'!$D$83:$D$114&amp;'HIV-Other HPs'!$G$83:$G$114,0)),"")</f>
        <v/>
      </c>
      <c r="I381" s="651">
        <f t="array" ref="I381">IFERROR(INDEX('HIV-Other HPs'!$M$83:$M$114,MATCH($E381&amp;$F381,'HIV-Other HPs'!$D$83:$D$114&amp;'HIV-Other HPs'!$G$83:$G$114,0)),0)</f>
        <v>0</v>
      </c>
      <c r="J381" s="651">
        <f t="array" ref="J381">IFERROR(INDEX('HIV-Other HPs'!$N$83:$N$114,MATCH($E381&amp;$F381,'HIV-Other HPs'!$D$83:$D$114&amp;'HIV-Other HPs'!$G$83:$G$114,0)),0)</f>
        <v>0</v>
      </c>
      <c r="K381" s="652">
        <f t="shared" si="288"/>
        <v>0</v>
      </c>
      <c r="L381" s="652">
        <f t="shared" si="289"/>
        <v>0</v>
      </c>
      <c r="M381" s="652">
        <f t="shared" si="290"/>
        <v>0</v>
      </c>
      <c r="N381" s="651">
        <f t="array" ref="N381">IFERROR(INDEX('HIV-Other HPs'!$O$83:$O$114,MATCH($E381&amp;$F381,'HIV-Other HPs'!$D$83:$D$114&amp;'HIV-Other HPs'!$G$83:$G$114,0)),0)</f>
        <v>0</v>
      </c>
      <c r="O381" s="652">
        <f t="shared" si="291"/>
        <v>0</v>
      </c>
      <c r="P381" s="652">
        <f t="shared" si="292"/>
        <v>0</v>
      </c>
      <c r="Q381" s="652">
        <f t="shared" si="293"/>
        <v>0</v>
      </c>
      <c r="R381" s="651">
        <f t="array" ref="R381">IFERROR(INDEX('HIV-Other HPs'!$P$83:$P$114,MATCH($E381&amp;$F381,'HIV-Other HPs'!$D$83:$D$114&amp;'HIV-Other HPs'!$G$83:$G$114,0)),0)</f>
        <v>0</v>
      </c>
      <c r="S381" s="652">
        <f t="shared" si="294"/>
        <v>0</v>
      </c>
      <c r="T381" s="652">
        <f t="shared" si="295"/>
        <v>0</v>
      </c>
      <c r="U381" s="652">
        <f t="shared" si="296"/>
        <v>0</v>
      </c>
      <c r="V381" s="651">
        <f t="array" ref="V381">IFERROR(INDEX('HIV-Other HPs'!$Q$83:$Q$114,MATCH($E381&amp;$F381,'HIV-Other HPs'!$D$83:$D$114&amp;'HIV-Other HPs'!$G$83:$G$114,0)),0)</f>
        <v>0</v>
      </c>
      <c r="W381" s="652">
        <f t="shared" si="297"/>
        <v>0</v>
      </c>
      <c r="X381" s="652">
        <f t="shared" si="298"/>
        <v>0</v>
      </c>
      <c r="Y381" s="652">
        <f t="shared" si="299"/>
        <v>0</v>
      </c>
      <c r="Z381" s="664"/>
      <c r="AA381" s="651">
        <f t="array" ref="AA381">IFERROR(INDEX('HIV-Other HPs'!$T$83:$T$114,MATCH($E381&amp;$F381,'HIV-Other HPs'!$D$83:$D$114&amp;'HIV-Other HPs'!$G$83:$G$114,0)),0)</f>
        <v>0</v>
      </c>
      <c r="AB381" s="651">
        <f t="array" ref="AB381">IFERROR(INDEX('HIV-Other HPs'!$U$83:$U$114,MATCH($E381&amp;$F381,'HIV-Other HPs'!$D$83:$D$114&amp;'HIV-Other HPs'!$G$83:$G$114,0)),0)</f>
        <v>0</v>
      </c>
      <c r="AC381" s="652">
        <f t="shared" si="300"/>
        <v>0</v>
      </c>
      <c r="AD381" s="652">
        <f t="shared" si="301"/>
        <v>0</v>
      </c>
      <c r="AE381" s="652">
        <f t="shared" si="302"/>
        <v>0</v>
      </c>
      <c r="AF381" s="651">
        <f t="array" ref="AF381">IFERROR(INDEX('HIV-Other HPs'!$V$83:$V$114,MATCH($E381&amp;$F381,'HIV-Other HPs'!$D$83:$D$114&amp;'HIV-Other HPs'!$G$83:$G$114,0)),0)</f>
        <v>0</v>
      </c>
      <c r="AG381" s="652">
        <f t="shared" si="303"/>
        <v>0</v>
      </c>
      <c r="AH381" s="652">
        <f t="shared" si="304"/>
        <v>0</v>
      </c>
      <c r="AI381" s="652">
        <f t="shared" si="305"/>
        <v>0</v>
      </c>
      <c r="AJ381" s="651">
        <f t="array" ref="AJ381">IFERROR(INDEX('HIV-Other HPs'!$W$83:$W$114,MATCH($E381&amp;$F381,'HIV-Other HPs'!$D$83:$D$114&amp;'HIV-Other HPs'!$G$83:$G$114,0)),0)</f>
        <v>0</v>
      </c>
      <c r="AK381" s="652">
        <f t="shared" si="306"/>
        <v>0</v>
      </c>
      <c r="AL381" s="652">
        <f t="shared" si="307"/>
        <v>0</v>
      </c>
      <c r="AM381" s="652">
        <f t="shared" si="308"/>
        <v>0</v>
      </c>
      <c r="AN381" s="651">
        <f t="array" ref="AN381">IFERROR(INDEX('HIV-Other HPs'!$X$83:$X$114,MATCH($E381&amp;$F381,'HIV-Other HPs'!$D$83:$D$114&amp;'HIV-Other HPs'!$G$83:$G$114,0)),0)</f>
        <v>0</v>
      </c>
      <c r="AO381" s="652">
        <f t="shared" si="309"/>
        <v>0</v>
      </c>
      <c r="AP381" s="652">
        <f t="shared" si="310"/>
        <v>0</v>
      </c>
      <c r="AQ381" s="652">
        <f t="shared" si="311"/>
        <v>0</v>
      </c>
      <c r="AR381" s="664"/>
      <c r="AS381" s="651">
        <f t="array" ref="AS381">IFERROR(INDEX('HIV-Other HPs'!$AA$83:$AA$114,MATCH($E381&amp;$F381,'HIV-Other HPs'!$D$83:$D$114&amp;'HIV-Other HPs'!$G$83:$G$114,0)),0)</f>
        <v>0</v>
      </c>
      <c r="AT381" s="651">
        <f t="array" ref="AT381">IFERROR(INDEX('HIV-Other HPs'!$AB$83:$AB$114,MATCH($E381&amp;$F381,'HIV-Other HPs'!$D$83:$D$114&amp;'HIV-Other HPs'!$G$83:$G$114,0)),0)</f>
        <v>0</v>
      </c>
      <c r="AU381" s="652">
        <f t="shared" si="312"/>
        <v>0</v>
      </c>
      <c r="AV381" s="652">
        <f t="shared" si="313"/>
        <v>0</v>
      </c>
      <c r="AW381" s="652">
        <f t="shared" si="314"/>
        <v>0</v>
      </c>
      <c r="AX381" s="651">
        <f t="array" ref="AX381">IFERROR(INDEX('HIV-Other HPs'!$AC$83:$AC$114,MATCH($E381&amp;$F381,'HIV-Other HPs'!$D$83:$D$114&amp;'HIV-Other HPs'!$G$83:$G$114,0)),0)</f>
        <v>0</v>
      </c>
      <c r="AY381" s="652">
        <f t="shared" si="315"/>
        <v>0</v>
      </c>
      <c r="AZ381" s="652">
        <f t="shared" si="316"/>
        <v>0</v>
      </c>
      <c r="BA381" s="652">
        <f t="shared" si="317"/>
        <v>0</v>
      </c>
      <c r="BB381" s="651">
        <f t="array" ref="BB381">IFERROR(INDEX('HIV-Other HPs'!$AD$83:$AD$114,MATCH($E381&amp;$F381,'HIV-Other HPs'!$D$83:$D$114&amp;'HIV-Other HPs'!$G$83:$G$114,0)),0)</f>
        <v>0</v>
      </c>
      <c r="BC381" s="652">
        <f t="shared" si="318"/>
        <v>0</v>
      </c>
      <c r="BD381" s="652">
        <f t="shared" si="319"/>
        <v>0</v>
      </c>
      <c r="BE381" s="652">
        <f t="shared" si="320"/>
        <v>0</v>
      </c>
      <c r="BF381" s="651">
        <f t="array" ref="BF381">IFERROR(INDEX('HIV-Other HPs'!$AE$83:$AE$114,MATCH($E381&amp;$F381,'HIV-Other HPs'!$D$83:$D$114&amp;'HIV-Other HPs'!$G$83:$G$114,0)),0)</f>
        <v>0</v>
      </c>
      <c r="BG381" s="652">
        <f t="shared" si="321"/>
        <v>0</v>
      </c>
      <c r="BH381" s="652">
        <f t="shared" si="322"/>
        <v>0</v>
      </c>
      <c r="BI381" s="652">
        <f t="shared" si="323"/>
        <v>0</v>
      </c>
      <c r="BJ381" s="662"/>
      <c r="BK381" s="663"/>
      <c r="BL381" s="663"/>
      <c r="BM381" s="663"/>
      <c r="BN381" s="663"/>
      <c r="BO381" s="663"/>
      <c r="BP381" s="663"/>
      <c r="BQ381" s="663"/>
      <c r="BR381" s="663"/>
    </row>
    <row r="382" spans="1:70">
      <c r="A382" s="655" t="s">
        <v>1735</v>
      </c>
      <c r="B382" s="655" t="s">
        <v>2286</v>
      </c>
      <c r="C382" s="648">
        <f>SETUP!$F$32</f>
        <v>0</v>
      </c>
      <c r="D382" s="654">
        <v>5.6</v>
      </c>
      <c r="E382" s="663" t="s">
        <v>206</v>
      </c>
      <c r="F382" s="663" t="s">
        <v>1726</v>
      </c>
      <c r="G382" s="650" t="str">
        <f t="array" ref="G382">IFERROR(INDEX('HIV-Other HPs'!$K$83:$K$114,MATCH($E382&amp;$F382,'HIV-Other HPs'!$D$83:$D$114&amp;'HIV-Other HPs'!$G$83:$G$114,0)),"")</f>
        <v/>
      </c>
      <c r="H382" s="650" t="str">
        <f t="array" ref="H382">IFERROR(INDEX('HIV-Other HPs'!$L$83:$L$114,MATCH($E382&amp;$F382,'HIV-Other HPs'!$D$83:$D$114&amp;'HIV-Other HPs'!$G$83:$G$114,0)),"")</f>
        <v/>
      </c>
      <c r="I382" s="651">
        <f t="array" ref="I382">IFERROR(INDEX('HIV-Other HPs'!$M$83:$M$114,MATCH($E382&amp;$F382,'HIV-Other HPs'!$D$83:$D$114&amp;'HIV-Other HPs'!$G$83:$G$114,0)),0)</f>
        <v>0</v>
      </c>
      <c r="J382" s="651">
        <f t="array" ref="J382">IFERROR(INDEX('HIV-Other HPs'!$N$83:$N$114,MATCH($E382&amp;$F382,'HIV-Other HPs'!$D$83:$D$114&amp;'HIV-Other HPs'!$G$83:$G$114,0)),0)</f>
        <v>0</v>
      </c>
      <c r="K382" s="652">
        <f t="shared" si="288"/>
        <v>0</v>
      </c>
      <c r="L382" s="652">
        <f t="shared" si="289"/>
        <v>0</v>
      </c>
      <c r="M382" s="652">
        <f t="shared" si="290"/>
        <v>0</v>
      </c>
      <c r="N382" s="651">
        <f t="array" ref="N382">IFERROR(INDEX('HIV-Other HPs'!$O$83:$O$114,MATCH($E382&amp;$F382,'HIV-Other HPs'!$D$83:$D$114&amp;'HIV-Other HPs'!$G$83:$G$114,0)),0)</f>
        <v>0</v>
      </c>
      <c r="O382" s="652">
        <f t="shared" si="291"/>
        <v>0</v>
      </c>
      <c r="P382" s="652">
        <f t="shared" si="292"/>
        <v>0</v>
      </c>
      <c r="Q382" s="652">
        <f t="shared" si="293"/>
        <v>0</v>
      </c>
      <c r="R382" s="651">
        <f t="array" ref="R382">IFERROR(INDEX('HIV-Other HPs'!$P$83:$P$114,MATCH($E382&amp;$F382,'HIV-Other HPs'!$D$83:$D$114&amp;'HIV-Other HPs'!$G$83:$G$114,0)),0)</f>
        <v>0</v>
      </c>
      <c r="S382" s="652">
        <f t="shared" si="294"/>
        <v>0</v>
      </c>
      <c r="T382" s="652">
        <f t="shared" si="295"/>
        <v>0</v>
      </c>
      <c r="U382" s="652">
        <f t="shared" si="296"/>
        <v>0</v>
      </c>
      <c r="V382" s="651">
        <f t="array" ref="V382">IFERROR(INDEX('HIV-Other HPs'!$Q$83:$Q$114,MATCH($E382&amp;$F382,'HIV-Other HPs'!$D$83:$D$114&amp;'HIV-Other HPs'!$G$83:$G$114,0)),0)</f>
        <v>0</v>
      </c>
      <c r="W382" s="652">
        <f t="shared" si="297"/>
        <v>0</v>
      </c>
      <c r="X382" s="652">
        <f t="shared" si="298"/>
        <v>0</v>
      </c>
      <c r="Y382" s="652">
        <f t="shared" si="299"/>
        <v>0</v>
      </c>
      <c r="Z382" s="664"/>
      <c r="AA382" s="651">
        <f t="array" ref="AA382">IFERROR(INDEX('HIV-Other HPs'!$T$83:$T$114,MATCH($E382&amp;$F382,'HIV-Other HPs'!$D$83:$D$114&amp;'HIV-Other HPs'!$G$83:$G$114,0)),0)</f>
        <v>0</v>
      </c>
      <c r="AB382" s="651">
        <f t="array" ref="AB382">IFERROR(INDEX('HIV-Other HPs'!$U$83:$U$114,MATCH($E382&amp;$F382,'HIV-Other HPs'!$D$83:$D$114&amp;'HIV-Other HPs'!$G$83:$G$114,0)),0)</f>
        <v>0</v>
      </c>
      <c r="AC382" s="652">
        <f t="shared" si="300"/>
        <v>0</v>
      </c>
      <c r="AD382" s="652">
        <f t="shared" si="301"/>
        <v>0</v>
      </c>
      <c r="AE382" s="652">
        <f t="shared" si="302"/>
        <v>0</v>
      </c>
      <c r="AF382" s="651">
        <f t="array" ref="AF382">IFERROR(INDEX('HIV-Other HPs'!$V$83:$V$114,MATCH($E382&amp;$F382,'HIV-Other HPs'!$D$83:$D$114&amp;'HIV-Other HPs'!$G$83:$G$114,0)),0)</f>
        <v>0</v>
      </c>
      <c r="AG382" s="652">
        <f t="shared" si="303"/>
        <v>0</v>
      </c>
      <c r="AH382" s="652">
        <f t="shared" si="304"/>
        <v>0</v>
      </c>
      <c r="AI382" s="652">
        <f t="shared" si="305"/>
        <v>0</v>
      </c>
      <c r="AJ382" s="651">
        <f t="array" ref="AJ382">IFERROR(INDEX('HIV-Other HPs'!$W$83:$W$114,MATCH($E382&amp;$F382,'HIV-Other HPs'!$D$83:$D$114&amp;'HIV-Other HPs'!$G$83:$G$114,0)),0)</f>
        <v>0</v>
      </c>
      <c r="AK382" s="652">
        <f t="shared" si="306"/>
        <v>0</v>
      </c>
      <c r="AL382" s="652">
        <f t="shared" si="307"/>
        <v>0</v>
      </c>
      <c r="AM382" s="652">
        <f t="shared" si="308"/>
        <v>0</v>
      </c>
      <c r="AN382" s="651">
        <f t="array" ref="AN382">IFERROR(INDEX('HIV-Other HPs'!$X$83:$X$114,MATCH($E382&amp;$F382,'HIV-Other HPs'!$D$83:$D$114&amp;'HIV-Other HPs'!$G$83:$G$114,0)),0)</f>
        <v>0</v>
      </c>
      <c r="AO382" s="652">
        <f t="shared" si="309"/>
        <v>0</v>
      </c>
      <c r="AP382" s="652">
        <f t="shared" si="310"/>
        <v>0</v>
      </c>
      <c r="AQ382" s="652">
        <f t="shared" si="311"/>
        <v>0</v>
      </c>
      <c r="AR382" s="664"/>
      <c r="AS382" s="651">
        <f t="array" ref="AS382">IFERROR(INDEX('HIV-Other HPs'!$AA$83:$AA$114,MATCH($E382&amp;$F382,'HIV-Other HPs'!$D$83:$D$114&amp;'HIV-Other HPs'!$G$83:$G$114,0)),0)</f>
        <v>0</v>
      </c>
      <c r="AT382" s="651">
        <f t="array" ref="AT382">IFERROR(INDEX('HIV-Other HPs'!$AB$83:$AB$114,MATCH($E382&amp;$F382,'HIV-Other HPs'!$D$83:$D$114&amp;'HIV-Other HPs'!$G$83:$G$114,0)),0)</f>
        <v>0</v>
      </c>
      <c r="AU382" s="652">
        <f t="shared" si="312"/>
        <v>0</v>
      </c>
      <c r="AV382" s="652">
        <f t="shared" si="313"/>
        <v>0</v>
      </c>
      <c r="AW382" s="652">
        <f t="shared" si="314"/>
        <v>0</v>
      </c>
      <c r="AX382" s="651">
        <f t="array" ref="AX382">IFERROR(INDEX('HIV-Other HPs'!$AC$83:$AC$114,MATCH($E382&amp;$F382,'HIV-Other HPs'!$D$83:$D$114&amp;'HIV-Other HPs'!$G$83:$G$114,0)),0)</f>
        <v>0</v>
      </c>
      <c r="AY382" s="652">
        <f t="shared" si="315"/>
        <v>0</v>
      </c>
      <c r="AZ382" s="652">
        <f t="shared" si="316"/>
        <v>0</v>
      </c>
      <c r="BA382" s="652">
        <f t="shared" si="317"/>
        <v>0</v>
      </c>
      <c r="BB382" s="651">
        <f t="array" ref="BB382">IFERROR(INDEX('HIV-Other HPs'!$AD$83:$AD$114,MATCH($E382&amp;$F382,'HIV-Other HPs'!$D$83:$D$114&amp;'HIV-Other HPs'!$G$83:$G$114,0)),0)</f>
        <v>0</v>
      </c>
      <c r="BC382" s="652">
        <f t="shared" si="318"/>
        <v>0</v>
      </c>
      <c r="BD382" s="652">
        <f t="shared" si="319"/>
        <v>0</v>
      </c>
      <c r="BE382" s="652">
        <f t="shared" si="320"/>
        <v>0</v>
      </c>
      <c r="BF382" s="651">
        <f t="array" ref="BF382">IFERROR(INDEX('HIV-Other HPs'!$AE$83:$AE$114,MATCH($E382&amp;$F382,'HIV-Other HPs'!$D$83:$D$114&amp;'HIV-Other HPs'!$G$83:$G$114,0)),0)</f>
        <v>0</v>
      </c>
      <c r="BG382" s="652">
        <f t="shared" si="321"/>
        <v>0</v>
      </c>
      <c r="BH382" s="652">
        <f t="shared" si="322"/>
        <v>0</v>
      </c>
      <c r="BI382" s="652">
        <f t="shared" si="323"/>
        <v>0</v>
      </c>
      <c r="BJ382" s="662"/>
      <c r="BK382" s="663"/>
      <c r="BL382" s="663"/>
      <c r="BM382" s="663"/>
      <c r="BN382" s="663"/>
      <c r="BO382" s="663"/>
      <c r="BP382" s="663"/>
      <c r="BQ382" s="663"/>
      <c r="BR382" s="663"/>
    </row>
    <row r="383" spans="1:70">
      <c r="A383" s="655" t="s">
        <v>1735</v>
      </c>
      <c r="B383" s="655" t="s">
        <v>2286</v>
      </c>
      <c r="C383" s="648">
        <f>SETUP!$F$32</f>
        <v>0</v>
      </c>
      <c r="D383" s="654">
        <v>5.6</v>
      </c>
      <c r="E383" s="663" t="s">
        <v>206</v>
      </c>
      <c r="F383" s="663" t="s">
        <v>1727</v>
      </c>
      <c r="G383" s="650" t="str">
        <f t="array" ref="G383">IFERROR(INDEX('HIV-Other HPs'!$K$83:$K$114,MATCH($E383&amp;$F383,'HIV-Other HPs'!$D$83:$D$114&amp;'HIV-Other HPs'!$G$83:$G$114,0)),"")</f>
        <v/>
      </c>
      <c r="H383" s="650" t="str">
        <f t="array" ref="H383">IFERROR(INDEX('HIV-Other HPs'!$L$83:$L$114,MATCH($E383&amp;$F383,'HIV-Other HPs'!$D$83:$D$114&amp;'HIV-Other HPs'!$G$83:$G$114,0)),"")</f>
        <v/>
      </c>
      <c r="I383" s="651">
        <f t="array" ref="I383">IFERROR(INDEX('HIV-Other HPs'!$M$83:$M$114,MATCH($E383&amp;$F383,'HIV-Other HPs'!$D$83:$D$114&amp;'HIV-Other HPs'!$G$83:$G$114,0)),0)</f>
        <v>0</v>
      </c>
      <c r="J383" s="651">
        <f t="array" ref="J383">IFERROR(INDEX('HIV-Other HPs'!$N$83:$N$114,MATCH($E383&amp;$F383,'HIV-Other HPs'!$D$83:$D$114&amp;'HIV-Other HPs'!$G$83:$G$114,0)),0)</f>
        <v>0</v>
      </c>
      <c r="K383" s="652">
        <f t="shared" si="288"/>
        <v>0</v>
      </c>
      <c r="L383" s="652">
        <f t="shared" si="289"/>
        <v>0</v>
      </c>
      <c r="M383" s="652">
        <f t="shared" si="290"/>
        <v>0</v>
      </c>
      <c r="N383" s="651">
        <f t="array" ref="N383">IFERROR(INDEX('HIV-Other HPs'!$O$83:$O$114,MATCH($E383&amp;$F383,'HIV-Other HPs'!$D$83:$D$114&amp;'HIV-Other HPs'!$G$83:$G$114,0)),0)</f>
        <v>0</v>
      </c>
      <c r="O383" s="652">
        <f t="shared" si="291"/>
        <v>0</v>
      </c>
      <c r="P383" s="652">
        <f t="shared" si="292"/>
        <v>0</v>
      </c>
      <c r="Q383" s="652">
        <f t="shared" si="293"/>
        <v>0</v>
      </c>
      <c r="R383" s="651">
        <f t="array" ref="R383">IFERROR(INDEX('HIV-Other HPs'!$P$83:$P$114,MATCH($E383&amp;$F383,'HIV-Other HPs'!$D$83:$D$114&amp;'HIV-Other HPs'!$G$83:$G$114,0)),0)</f>
        <v>0</v>
      </c>
      <c r="S383" s="652">
        <f t="shared" si="294"/>
        <v>0</v>
      </c>
      <c r="T383" s="652">
        <f t="shared" si="295"/>
        <v>0</v>
      </c>
      <c r="U383" s="652">
        <f t="shared" si="296"/>
        <v>0</v>
      </c>
      <c r="V383" s="651">
        <f t="array" ref="V383">IFERROR(INDEX('HIV-Other HPs'!$Q$83:$Q$114,MATCH($E383&amp;$F383,'HIV-Other HPs'!$D$83:$D$114&amp;'HIV-Other HPs'!$G$83:$G$114,0)),0)</f>
        <v>0</v>
      </c>
      <c r="W383" s="652">
        <f t="shared" si="297"/>
        <v>0</v>
      </c>
      <c r="X383" s="652">
        <f t="shared" si="298"/>
        <v>0</v>
      </c>
      <c r="Y383" s="652">
        <f t="shared" si="299"/>
        <v>0</v>
      </c>
      <c r="Z383" s="664"/>
      <c r="AA383" s="651">
        <f t="array" ref="AA383">IFERROR(INDEX('HIV-Other HPs'!$T$83:$T$114,MATCH($E383&amp;$F383,'HIV-Other HPs'!$D$83:$D$114&amp;'HIV-Other HPs'!$G$83:$G$114,0)),0)</f>
        <v>0</v>
      </c>
      <c r="AB383" s="651">
        <f t="array" ref="AB383">IFERROR(INDEX('HIV-Other HPs'!$U$83:$U$114,MATCH($E383&amp;$F383,'HIV-Other HPs'!$D$83:$D$114&amp;'HIV-Other HPs'!$G$83:$G$114,0)),0)</f>
        <v>0</v>
      </c>
      <c r="AC383" s="652">
        <f t="shared" si="300"/>
        <v>0</v>
      </c>
      <c r="AD383" s="652">
        <f t="shared" si="301"/>
        <v>0</v>
      </c>
      <c r="AE383" s="652">
        <f t="shared" si="302"/>
        <v>0</v>
      </c>
      <c r="AF383" s="651">
        <f t="array" ref="AF383">IFERROR(INDEX('HIV-Other HPs'!$V$83:$V$114,MATCH($E383&amp;$F383,'HIV-Other HPs'!$D$83:$D$114&amp;'HIV-Other HPs'!$G$83:$G$114,0)),0)</f>
        <v>0</v>
      </c>
      <c r="AG383" s="652">
        <f t="shared" si="303"/>
        <v>0</v>
      </c>
      <c r="AH383" s="652">
        <f t="shared" si="304"/>
        <v>0</v>
      </c>
      <c r="AI383" s="652">
        <f t="shared" si="305"/>
        <v>0</v>
      </c>
      <c r="AJ383" s="651">
        <f t="array" ref="AJ383">IFERROR(INDEX('HIV-Other HPs'!$W$83:$W$114,MATCH($E383&amp;$F383,'HIV-Other HPs'!$D$83:$D$114&amp;'HIV-Other HPs'!$G$83:$G$114,0)),0)</f>
        <v>0</v>
      </c>
      <c r="AK383" s="652">
        <f t="shared" si="306"/>
        <v>0</v>
      </c>
      <c r="AL383" s="652">
        <f t="shared" si="307"/>
        <v>0</v>
      </c>
      <c r="AM383" s="652">
        <f t="shared" si="308"/>
        <v>0</v>
      </c>
      <c r="AN383" s="651">
        <f t="array" ref="AN383">IFERROR(INDEX('HIV-Other HPs'!$X$83:$X$114,MATCH($E383&amp;$F383,'HIV-Other HPs'!$D$83:$D$114&amp;'HIV-Other HPs'!$G$83:$G$114,0)),0)</f>
        <v>0</v>
      </c>
      <c r="AO383" s="652">
        <f t="shared" si="309"/>
        <v>0</v>
      </c>
      <c r="AP383" s="652">
        <f t="shared" si="310"/>
        <v>0</v>
      </c>
      <c r="AQ383" s="652">
        <f t="shared" si="311"/>
        <v>0</v>
      </c>
      <c r="AR383" s="664"/>
      <c r="AS383" s="651">
        <f t="array" ref="AS383">IFERROR(INDEX('HIV-Other HPs'!$AA$83:$AA$114,MATCH($E383&amp;$F383,'HIV-Other HPs'!$D$83:$D$114&amp;'HIV-Other HPs'!$G$83:$G$114,0)),0)</f>
        <v>0</v>
      </c>
      <c r="AT383" s="651">
        <f t="array" ref="AT383">IFERROR(INDEX('HIV-Other HPs'!$AB$83:$AB$114,MATCH($E383&amp;$F383,'HIV-Other HPs'!$D$83:$D$114&amp;'HIV-Other HPs'!$G$83:$G$114,0)),0)</f>
        <v>0</v>
      </c>
      <c r="AU383" s="652">
        <f t="shared" si="312"/>
        <v>0</v>
      </c>
      <c r="AV383" s="652">
        <f t="shared" si="313"/>
        <v>0</v>
      </c>
      <c r="AW383" s="652">
        <f t="shared" si="314"/>
        <v>0</v>
      </c>
      <c r="AX383" s="651">
        <f t="array" ref="AX383">IFERROR(INDEX('HIV-Other HPs'!$AC$83:$AC$114,MATCH($E383&amp;$F383,'HIV-Other HPs'!$D$83:$D$114&amp;'HIV-Other HPs'!$G$83:$G$114,0)),0)</f>
        <v>0</v>
      </c>
      <c r="AY383" s="652">
        <f t="shared" si="315"/>
        <v>0</v>
      </c>
      <c r="AZ383" s="652">
        <f t="shared" si="316"/>
        <v>0</v>
      </c>
      <c r="BA383" s="652">
        <f t="shared" si="317"/>
        <v>0</v>
      </c>
      <c r="BB383" s="651">
        <f t="array" ref="BB383">IFERROR(INDEX('HIV-Other HPs'!$AD$83:$AD$114,MATCH($E383&amp;$F383,'HIV-Other HPs'!$D$83:$D$114&amp;'HIV-Other HPs'!$G$83:$G$114,0)),0)</f>
        <v>0</v>
      </c>
      <c r="BC383" s="652">
        <f t="shared" si="318"/>
        <v>0</v>
      </c>
      <c r="BD383" s="652">
        <f t="shared" si="319"/>
        <v>0</v>
      </c>
      <c r="BE383" s="652">
        <f t="shared" si="320"/>
        <v>0</v>
      </c>
      <c r="BF383" s="651">
        <f t="array" ref="BF383">IFERROR(INDEX('HIV-Other HPs'!$AE$83:$AE$114,MATCH($E383&amp;$F383,'HIV-Other HPs'!$D$83:$D$114&amp;'HIV-Other HPs'!$G$83:$G$114,0)),0)</f>
        <v>0</v>
      </c>
      <c r="BG383" s="652">
        <f t="shared" si="321"/>
        <v>0</v>
      </c>
      <c r="BH383" s="652">
        <f t="shared" si="322"/>
        <v>0</v>
      </c>
      <c r="BI383" s="652">
        <f t="shared" si="323"/>
        <v>0</v>
      </c>
      <c r="BJ383" s="662"/>
      <c r="BK383" s="663"/>
      <c r="BL383" s="663"/>
      <c r="BM383" s="663"/>
      <c r="BN383" s="663"/>
      <c r="BO383" s="663"/>
      <c r="BP383" s="663"/>
      <c r="BQ383" s="663"/>
      <c r="BR383" s="663"/>
    </row>
    <row r="384" spans="1:70">
      <c r="A384" s="655" t="s">
        <v>1735</v>
      </c>
      <c r="B384" s="655" t="s">
        <v>2286</v>
      </c>
      <c r="C384" s="648">
        <f>SETUP!$F$32</f>
        <v>0</v>
      </c>
      <c r="D384" s="654">
        <v>5.6</v>
      </c>
      <c r="E384" s="663" t="s">
        <v>206</v>
      </c>
      <c r="F384" s="663" t="s">
        <v>1728</v>
      </c>
      <c r="G384" s="650" t="str">
        <f t="array" ref="G384">IFERROR(INDEX('HIV-Other HPs'!$K$83:$K$114,MATCH($E384&amp;$F384,'HIV-Other HPs'!$D$83:$D$114&amp;'HIV-Other HPs'!$G$83:$G$114,0)),"")</f>
        <v/>
      </c>
      <c r="H384" s="650" t="str">
        <f t="array" ref="H384">IFERROR(INDEX('HIV-Other HPs'!$L$83:$L$114,MATCH($E384&amp;$F384,'HIV-Other HPs'!$D$83:$D$114&amp;'HIV-Other HPs'!$G$83:$G$114,0)),"")</f>
        <v/>
      </c>
      <c r="I384" s="651">
        <f t="array" ref="I384">IFERROR(INDEX('HIV-Other HPs'!$M$83:$M$114,MATCH($E384&amp;$F384,'HIV-Other HPs'!$D$83:$D$114&amp;'HIV-Other HPs'!$G$83:$G$114,0)),0)</f>
        <v>0</v>
      </c>
      <c r="J384" s="651">
        <f t="array" ref="J384">IFERROR(INDEX('HIV-Other HPs'!$N$83:$N$114,MATCH($E384&amp;$F384,'HIV-Other HPs'!$D$83:$D$114&amp;'HIV-Other HPs'!$G$83:$G$114,0)),0)</f>
        <v>0</v>
      </c>
      <c r="K384" s="652">
        <f t="shared" si="288"/>
        <v>0</v>
      </c>
      <c r="L384" s="652">
        <f t="shared" si="289"/>
        <v>0</v>
      </c>
      <c r="M384" s="652">
        <f t="shared" si="290"/>
        <v>0</v>
      </c>
      <c r="N384" s="651">
        <f t="array" ref="N384">IFERROR(INDEX('HIV-Other HPs'!$O$83:$O$114,MATCH($E384&amp;$F384,'HIV-Other HPs'!$D$83:$D$114&amp;'HIV-Other HPs'!$G$83:$G$114,0)),0)</f>
        <v>0</v>
      </c>
      <c r="O384" s="652">
        <f t="shared" si="291"/>
        <v>0</v>
      </c>
      <c r="P384" s="652">
        <f t="shared" si="292"/>
        <v>0</v>
      </c>
      <c r="Q384" s="652">
        <f t="shared" si="293"/>
        <v>0</v>
      </c>
      <c r="R384" s="651">
        <f t="array" ref="R384">IFERROR(INDEX('HIV-Other HPs'!$P$83:$P$114,MATCH($E384&amp;$F384,'HIV-Other HPs'!$D$83:$D$114&amp;'HIV-Other HPs'!$G$83:$G$114,0)),0)</f>
        <v>0</v>
      </c>
      <c r="S384" s="652">
        <f t="shared" si="294"/>
        <v>0</v>
      </c>
      <c r="T384" s="652">
        <f t="shared" si="295"/>
        <v>0</v>
      </c>
      <c r="U384" s="652">
        <f t="shared" si="296"/>
        <v>0</v>
      </c>
      <c r="V384" s="651">
        <f t="array" ref="V384">IFERROR(INDEX('HIV-Other HPs'!$Q$83:$Q$114,MATCH($E384&amp;$F384,'HIV-Other HPs'!$D$83:$D$114&amp;'HIV-Other HPs'!$G$83:$G$114,0)),0)</f>
        <v>0</v>
      </c>
      <c r="W384" s="652">
        <f t="shared" si="297"/>
        <v>0</v>
      </c>
      <c r="X384" s="652">
        <f t="shared" si="298"/>
        <v>0</v>
      </c>
      <c r="Y384" s="652">
        <f t="shared" si="299"/>
        <v>0</v>
      </c>
      <c r="Z384" s="664"/>
      <c r="AA384" s="651">
        <f t="array" ref="AA384">IFERROR(INDEX('HIV-Other HPs'!$T$83:$T$114,MATCH($E384&amp;$F384,'HIV-Other HPs'!$D$83:$D$114&amp;'HIV-Other HPs'!$G$83:$G$114,0)),0)</f>
        <v>0</v>
      </c>
      <c r="AB384" s="651">
        <f t="array" ref="AB384">IFERROR(INDEX('HIV-Other HPs'!$U$83:$U$114,MATCH($E384&amp;$F384,'HIV-Other HPs'!$D$83:$D$114&amp;'HIV-Other HPs'!$G$83:$G$114,0)),0)</f>
        <v>0</v>
      </c>
      <c r="AC384" s="652">
        <f t="shared" si="300"/>
        <v>0</v>
      </c>
      <c r="AD384" s="652">
        <f t="shared" si="301"/>
        <v>0</v>
      </c>
      <c r="AE384" s="652">
        <f t="shared" si="302"/>
        <v>0</v>
      </c>
      <c r="AF384" s="651">
        <f t="array" ref="AF384">IFERROR(INDEX('HIV-Other HPs'!$V$83:$V$114,MATCH($E384&amp;$F384,'HIV-Other HPs'!$D$83:$D$114&amp;'HIV-Other HPs'!$G$83:$G$114,0)),0)</f>
        <v>0</v>
      </c>
      <c r="AG384" s="652">
        <f t="shared" si="303"/>
        <v>0</v>
      </c>
      <c r="AH384" s="652">
        <f t="shared" si="304"/>
        <v>0</v>
      </c>
      <c r="AI384" s="652">
        <f t="shared" si="305"/>
        <v>0</v>
      </c>
      <c r="AJ384" s="651">
        <f t="array" ref="AJ384">IFERROR(INDEX('HIV-Other HPs'!$W$83:$W$114,MATCH($E384&amp;$F384,'HIV-Other HPs'!$D$83:$D$114&amp;'HIV-Other HPs'!$G$83:$G$114,0)),0)</f>
        <v>0</v>
      </c>
      <c r="AK384" s="652">
        <f t="shared" si="306"/>
        <v>0</v>
      </c>
      <c r="AL384" s="652">
        <f t="shared" si="307"/>
        <v>0</v>
      </c>
      <c r="AM384" s="652">
        <f t="shared" si="308"/>
        <v>0</v>
      </c>
      <c r="AN384" s="651">
        <f t="array" ref="AN384">IFERROR(INDEX('HIV-Other HPs'!$X$83:$X$114,MATCH($E384&amp;$F384,'HIV-Other HPs'!$D$83:$D$114&amp;'HIV-Other HPs'!$G$83:$G$114,0)),0)</f>
        <v>0</v>
      </c>
      <c r="AO384" s="652">
        <f t="shared" si="309"/>
        <v>0</v>
      </c>
      <c r="AP384" s="652">
        <f t="shared" si="310"/>
        <v>0</v>
      </c>
      <c r="AQ384" s="652">
        <f t="shared" si="311"/>
        <v>0</v>
      </c>
      <c r="AR384" s="664"/>
      <c r="AS384" s="651">
        <f t="array" ref="AS384">IFERROR(INDEX('HIV-Other HPs'!$AA$83:$AA$114,MATCH($E384&amp;$F384,'HIV-Other HPs'!$D$83:$D$114&amp;'HIV-Other HPs'!$G$83:$G$114,0)),0)</f>
        <v>0</v>
      </c>
      <c r="AT384" s="651">
        <f t="array" ref="AT384">IFERROR(INDEX('HIV-Other HPs'!$AB$83:$AB$114,MATCH($E384&amp;$F384,'HIV-Other HPs'!$D$83:$D$114&amp;'HIV-Other HPs'!$G$83:$G$114,0)),0)</f>
        <v>0</v>
      </c>
      <c r="AU384" s="652">
        <f t="shared" si="312"/>
        <v>0</v>
      </c>
      <c r="AV384" s="652">
        <f t="shared" si="313"/>
        <v>0</v>
      </c>
      <c r="AW384" s="652">
        <f t="shared" si="314"/>
        <v>0</v>
      </c>
      <c r="AX384" s="651">
        <f t="array" ref="AX384">IFERROR(INDEX('HIV-Other HPs'!$AC$83:$AC$114,MATCH($E384&amp;$F384,'HIV-Other HPs'!$D$83:$D$114&amp;'HIV-Other HPs'!$G$83:$G$114,0)),0)</f>
        <v>0</v>
      </c>
      <c r="AY384" s="652">
        <f t="shared" si="315"/>
        <v>0</v>
      </c>
      <c r="AZ384" s="652">
        <f t="shared" si="316"/>
        <v>0</v>
      </c>
      <c r="BA384" s="652">
        <f t="shared" si="317"/>
        <v>0</v>
      </c>
      <c r="BB384" s="651">
        <f t="array" ref="BB384">IFERROR(INDEX('HIV-Other HPs'!$AD$83:$AD$114,MATCH($E384&amp;$F384,'HIV-Other HPs'!$D$83:$D$114&amp;'HIV-Other HPs'!$G$83:$G$114,0)),0)</f>
        <v>0</v>
      </c>
      <c r="BC384" s="652">
        <f t="shared" si="318"/>
        <v>0</v>
      </c>
      <c r="BD384" s="652">
        <f t="shared" si="319"/>
        <v>0</v>
      </c>
      <c r="BE384" s="652">
        <f t="shared" si="320"/>
        <v>0</v>
      </c>
      <c r="BF384" s="651">
        <f t="array" ref="BF384">IFERROR(INDEX('HIV-Other HPs'!$AE$83:$AE$114,MATCH($E384&amp;$F384,'HIV-Other HPs'!$D$83:$D$114&amp;'HIV-Other HPs'!$G$83:$G$114,0)),0)</f>
        <v>0</v>
      </c>
      <c r="BG384" s="652">
        <f t="shared" si="321"/>
        <v>0</v>
      </c>
      <c r="BH384" s="652">
        <f t="shared" si="322"/>
        <v>0</v>
      </c>
      <c r="BI384" s="652">
        <f t="shared" si="323"/>
        <v>0</v>
      </c>
      <c r="BJ384" s="662"/>
      <c r="BK384" s="663"/>
      <c r="BL384" s="663"/>
      <c r="BM384" s="663"/>
      <c r="BN384" s="663"/>
      <c r="BO384" s="663"/>
      <c r="BP384" s="663"/>
      <c r="BQ384" s="663"/>
      <c r="BR384" s="663"/>
    </row>
    <row r="385" spans="1:70">
      <c r="A385" s="655" t="s">
        <v>1735</v>
      </c>
      <c r="B385" s="655" t="s">
        <v>2286</v>
      </c>
      <c r="C385" s="648">
        <f>SETUP!$F$32</f>
        <v>0</v>
      </c>
      <c r="D385" s="654">
        <v>5.6</v>
      </c>
      <c r="E385" s="663" t="s">
        <v>206</v>
      </c>
      <c r="F385" s="663" t="s">
        <v>1729</v>
      </c>
      <c r="G385" s="650" t="str">
        <f t="array" ref="G385">IFERROR(INDEX('HIV-Other HPs'!$K$83:$K$114,MATCH($E385&amp;$F385,'HIV-Other HPs'!$D$83:$D$114&amp;'HIV-Other HPs'!$G$83:$G$114,0)),"")</f>
        <v/>
      </c>
      <c r="H385" s="650" t="str">
        <f t="array" ref="H385">IFERROR(INDEX('HIV-Other HPs'!$L$83:$L$114,MATCH($E385&amp;$F385,'HIV-Other HPs'!$D$83:$D$114&amp;'HIV-Other HPs'!$G$83:$G$114,0)),"")</f>
        <v/>
      </c>
      <c r="I385" s="651">
        <f t="array" ref="I385">IFERROR(INDEX('HIV-Other HPs'!$M$83:$M$114,MATCH($E385&amp;$F385,'HIV-Other HPs'!$D$83:$D$114&amp;'HIV-Other HPs'!$G$83:$G$114,0)),0)</f>
        <v>0</v>
      </c>
      <c r="J385" s="651">
        <f t="array" ref="J385">IFERROR(INDEX('HIV-Other HPs'!$N$83:$N$114,MATCH($E385&amp;$F385,'HIV-Other HPs'!$D$83:$D$114&amp;'HIV-Other HPs'!$G$83:$G$114,0)),0)</f>
        <v>0</v>
      </c>
      <c r="K385" s="652">
        <f t="shared" si="288"/>
        <v>0</v>
      </c>
      <c r="L385" s="652">
        <f t="shared" si="289"/>
        <v>0</v>
      </c>
      <c r="M385" s="652">
        <f t="shared" si="290"/>
        <v>0</v>
      </c>
      <c r="N385" s="651">
        <f t="array" ref="N385">IFERROR(INDEX('HIV-Other HPs'!$O$83:$O$114,MATCH($E385&amp;$F385,'HIV-Other HPs'!$D$83:$D$114&amp;'HIV-Other HPs'!$G$83:$G$114,0)),0)</f>
        <v>0</v>
      </c>
      <c r="O385" s="652">
        <f t="shared" si="291"/>
        <v>0</v>
      </c>
      <c r="P385" s="652">
        <f t="shared" si="292"/>
        <v>0</v>
      </c>
      <c r="Q385" s="652">
        <f t="shared" si="293"/>
        <v>0</v>
      </c>
      <c r="R385" s="651">
        <f t="array" ref="R385">IFERROR(INDEX('HIV-Other HPs'!$P$83:$P$114,MATCH($E385&amp;$F385,'HIV-Other HPs'!$D$83:$D$114&amp;'HIV-Other HPs'!$G$83:$G$114,0)),0)</f>
        <v>0</v>
      </c>
      <c r="S385" s="652">
        <f t="shared" si="294"/>
        <v>0</v>
      </c>
      <c r="T385" s="652">
        <f t="shared" si="295"/>
        <v>0</v>
      </c>
      <c r="U385" s="652">
        <f t="shared" si="296"/>
        <v>0</v>
      </c>
      <c r="V385" s="651">
        <f t="array" ref="V385">IFERROR(INDEX('HIV-Other HPs'!$Q$83:$Q$114,MATCH($E385&amp;$F385,'HIV-Other HPs'!$D$83:$D$114&amp;'HIV-Other HPs'!$G$83:$G$114,0)),0)</f>
        <v>0</v>
      </c>
      <c r="W385" s="652">
        <f t="shared" si="297"/>
        <v>0</v>
      </c>
      <c r="X385" s="652">
        <f t="shared" si="298"/>
        <v>0</v>
      </c>
      <c r="Y385" s="652">
        <f t="shared" si="299"/>
        <v>0</v>
      </c>
      <c r="Z385" s="664"/>
      <c r="AA385" s="651">
        <f t="array" ref="AA385">IFERROR(INDEX('HIV-Other HPs'!$T$83:$T$114,MATCH($E385&amp;$F385,'HIV-Other HPs'!$D$83:$D$114&amp;'HIV-Other HPs'!$G$83:$G$114,0)),0)</f>
        <v>0</v>
      </c>
      <c r="AB385" s="651">
        <f t="array" ref="AB385">IFERROR(INDEX('HIV-Other HPs'!$U$83:$U$114,MATCH($E385&amp;$F385,'HIV-Other HPs'!$D$83:$D$114&amp;'HIV-Other HPs'!$G$83:$G$114,0)),0)</f>
        <v>0</v>
      </c>
      <c r="AC385" s="652">
        <f t="shared" si="300"/>
        <v>0</v>
      </c>
      <c r="AD385" s="652">
        <f t="shared" si="301"/>
        <v>0</v>
      </c>
      <c r="AE385" s="652">
        <f t="shared" si="302"/>
        <v>0</v>
      </c>
      <c r="AF385" s="651">
        <f t="array" ref="AF385">IFERROR(INDEX('HIV-Other HPs'!$V$83:$V$114,MATCH($E385&amp;$F385,'HIV-Other HPs'!$D$83:$D$114&amp;'HIV-Other HPs'!$G$83:$G$114,0)),0)</f>
        <v>0</v>
      </c>
      <c r="AG385" s="652">
        <f t="shared" si="303"/>
        <v>0</v>
      </c>
      <c r="AH385" s="652">
        <f t="shared" si="304"/>
        <v>0</v>
      </c>
      <c r="AI385" s="652">
        <f t="shared" si="305"/>
        <v>0</v>
      </c>
      <c r="AJ385" s="651">
        <f t="array" ref="AJ385">IFERROR(INDEX('HIV-Other HPs'!$W$83:$W$114,MATCH($E385&amp;$F385,'HIV-Other HPs'!$D$83:$D$114&amp;'HIV-Other HPs'!$G$83:$G$114,0)),0)</f>
        <v>0</v>
      </c>
      <c r="AK385" s="652">
        <f t="shared" si="306"/>
        <v>0</v>
      </c>
      <c r="AL385" s="652">
        <f t="shared" si="307"/>
        <v>0</v>
      </c>
      <c r="AM385" s="652">
        <f t="shared" si="308"/>
        <v>0</v>
      </c>
      <c r="AN385" s="651">
        <f t="array" ref="AN385">IFERROR(INDEX('HIV-Other HPs'!$X$83:$X$114,MATCH($E385&amp;$F385,'HIV-Other HPs'!$D$83:$D$114&amp;'HIV-Other HPs'!$G$83:$G$114,0)),0)</f>
        <v>0</v>
      </c>
      <c r="AO385" s="652">
        <f t="shared" si="309"/>
        <v>0</v>
      </c>
      <c r="AP385" s="652">
        <f t="shared" si="310"/>
        <v>0</v>
      </c>
      <c r="AQ385" s="652">
        <f t="shared" si="311"/>
        <v>0</v>
      </c>
      <c r="AR385" s="664"/>
      <c r="AS385" s="651">
        <f t="array" ref="AS385">IFERROR(INDEX('HIV-Other HPs'!$AA$83:$AA$114,MATCH($E385&amp;$F385,'HIV-Other HPs'!$D$83:$D$114&amp;'HIV-Other HPs'!$G$83:$G$114,0)),0)</f>
        <v>0</v>
      </c>
      <c r="AT385" s="651">
        <f t="array" ref="AT385">IFERROR(INDEX('HIV-Other HPs'!$AB$83:$AB$114,MATCH($E385&amp;$F385,'HIV-Other HPs'!$D$83:$D$114&amp;'HIV-Other HPs'!$G$83:$G$114,0)),0)</f>
        <v>0</v>
      </c>
      <c r="AU385" s="652">
        <f t="shared" si="312"/>
        <v>0</v>
      </c>
      <c r="AV385" s="652">
        <f t="shared" si="313"/>
        <v>0</v>
      </c>
      <c r="AW385" s="652">
        <f t="shared" si="314"/>
        <v>0</v>
      </c>
      <c r="AX385" s="651">
        <f t="array" ref="AX385">IFERROR(INDEX('HIV-Other HPs'!$AC$83:$AC$114,MATCH($E385&amp;$F385,'HIV-Other HPs'!$D$83:$D$114&amp;'HIV-Other HPs'!$G$83:$G$114,0)),0)</f>
        <v>0</v>
      </c>
      <c r="AY385" s="652">
        <f t="shared" si="315"/>
        <v>0</v>
      </c>
      <c r="AZ385" s="652">
        <f t="shared" si="316"/>
        <v>0</v>
      </c>
      <c r="BA385" s="652">
        <f t="shared" si="317"/>
        <v>0</v>
      </c>
      <c r="BB385" s="651">
        <f t="array" ref="BB385">IFERROR(INDEX('HIV-Other HPs'!$AD$83:$AD$114,MATCH($E385&amp;$F385,'HIV-Other HPs'!$D$83:$D$114&amp;'HIV-Other HPs'!$G$83:$G$114,0)),0)</f>
        <v>0</v>
      </c>
      <c r="BC385" s="652">
        <f t="shared" si="318"/>
        <v>0</v>
      </c>
      <c r="BD385" s="652">
        <f t="shared" si="319"/>
        <v>0</v>
      </c>
      <c r="BE385" s="652">
        <f t="shared" si="320"/>
        <v>0</v>
      </c>
      <c r="BF385" s="651">
        <f t="array" ref="BF385">IFERROR(INDEX('HIV-Other HPs'!$AE$83:$AE$114,MATCH($E385&amp;$F385,'HIV-Other HPs'!$D$83:$D$114&amp;'HIV-Other HPs'!$G$83:$G$114,0)),0)</f>
        <v>0</v>
      </c>
      <c r="BG385" s="652">
        <f t="shared" si="321"/>
        <v>0</v>
      </c>
      <c r="BH385" s="652">
        <f t="shared" si="322"/>
        <v>0</v>
      </c>
      <c r="BI385" s="652">
        <f t="shared" si="323"/>
        <v>0</v>
      </c>
      <c r="BJ385" s="662"/>
      <c r="BK385" s="663"/>
      <c r="BL385" s="663"/>
      <c r="BM385" s="663"/>
      <c r="BN385" s="663"/>
      <c r="BO385" s="663"/>
      <c r="BP385" s="663"/>
      <c r="BQ385" s="663"/>
      <c r="BR385" s="663"/>
    </row>
    <row r="386" spans="1:70">
      <c r="A386" s="655" t="s">
        <v>1735</v>
      </c>
      <c r="B386" s="655" t="s">
        <v>2286</v>
      </c>
      <c r="C386" s="648">
        <f>SETUP!$F$32</f>
        <v>0</v>
      </c>
      <c r="D386" s="654">
        <v>5.6</v>
      </c>
      <c r="E386" s="663" t="s">
        <v>206</v>
      </c>
      <c r="F386" s="663" t="s">
        <v>1730</v>
      </c>
      <c r="G386" s="650" t="str">
        <f t="array" ref="G386">IFERROR(INDEX('HIV-Other HPs'!$K$83:$K$114,MATCH($E386&amp;$F386,'HIV-Other HPs'!$D$83:$D$114&amp;'HIV-Other HPs'!$G$83:$G$114,0)),"")</f>
        <v/>
      </c>
      <c r="H386" s="650" t="str">
        <f t="array" ref="H386">IFERROR(INDEX('HIV-Other HPs'!$L$83:$L$114,MATCH($E386&amp;$F386,'HIV-Other HPs'!$D$83:$D$114&amp;'HIV-Other HPs'!$G$83:$G$114,0)),"")</f>
        <v/>
      </c>
      <c r="I386" s="651">
        <f t="array" ref="I386">IFERROR(INDEX('HIV-Other HPs'!$M$83:$M$114,MATCH($E386&amp;$F386,'HIV-Other HPs'!$D$83:$D$114&amp;'HIV-Other HPs'!$G$83:$G$114,0)),0)</f>
        <v>0</v>
      </c>
      <c r="J386" s="651">
        <f t="array" ref="J386">IFERROR(INDEX('HIV-Other HPs'!$N$83:$N$114,MATCH($E386&amp;$F386,'HIV-Other HPs'!$D$83:$D$114&amp;'HIV-Other HPs'!$G$83:$G$114,0)),0)</f>
        <v>0</v>
      </c>
      <c r="K386" s="652">
        <f t="shared" si="288"/>
        <v>0</v>
      </c>
      <c r="L386" s="652">
        <f t="shared" si="289"/>
        <v>0</v>
      </c>
      <c r="M386" s="652">
        <f t="shared" si="290"/>
        <v>0</v>
      </c>
      <c r="N386" s="651">
        <f t="array" ref="N386">IFERROR(INDEX('HIV-Other HPs'!$O$83:$O$114,MATCH($E386&amp;$F386,'HIV-Other HPs'!$D$83:$D$114&amp;'HIV-Other HPs'!$G$83:$G$114,0)),0)</f>
        <v>0</v>
      </c>
      <c r="O386" s="652">
        <f t="shared" si="291"/>
        <v>0</v>
      </c>
      <c r="P386" s="652">
        <f t="shared" si="292"/>
        <v>0</v>
      </c>
      <c r="Q386" s="652">
        <f t="shared" si="293"/>
        <v>0</v>
      </c>
      <c r="R386" s="651">
        <f t="array" ref="R386">IFERROR(INDEX('HIV-Other HPs'!$P$83:$P$114,MATCH($E386&amp;$F386,'HIV-Other HPs'!$D$83:$D$114&amp;'HIV-Other HPs'!$G$83:$G$114,0)),0)</f>
        <v>0</v>
      </c>
      <c r="S386" s="652">
        <f t="shared" si="294"/>
        <v>0</v>
      </c>
      <c r="T386" s="652">
        <f t="shared" si="295"/>
        <v>0</v>
      </c>
      <c r="U386" s="652">
        <f t="shared" si="296"/>
        <v>0</v>
      </c>
      <c r="V386" s="651">
        <f t="array" ref="V386">IFERROR(INDEX('HIV-Other HPs'!$Q$83:$Q$114,MATCH($E386&amp;$F386,'HIV-Other HPs'!$D$83:$D$114&amp;'HIV-Other HPs'!$G$83:$G$114,0)),0)</f>
        <v>0</v>
      </c>
      <c r="W386" s="652">
        <f t="shared" si="297"/>
        <v>0</v>
      </c>
      <c r="X386" s="652">
        <f t="shared" si="298"/>
        <v>0</v>
      </c>
      <c r="Y386" s="652">
        <f t="shared" si="299"/>
        <v>0</v>
      </c>
      <c r="Z386" s="664"/>
      <c r="AA386" s="651">
        <f t="array" ref="AA386">IFERROR(INDEX('HIV-Other HPs'!$T$83:$T$114,MATCH($E386&amp;$F386,'HIV-Other HPs'!$D$83:$D$114&amp;'HIV-Other HPs'!$G$83:$G$114,0)),0)</f>
        <v>0</v>
      </c>
      <c r="AB386" s="651">
        <f t="array" ref="AB386">IFERROR(INDEX('HIV-Other HPs'!$U$83:$U$114,MATCH($E386&amp;$F386,'HIV-Other HPs'!$D$83:$D$114&amp;'HIV-Other HPs'!$G$83:$G$114,0)),0)</f>
        <v>0</v>
      </c>
      <c r="AC386" s="652">
        <f t="shared" si="300"/>
        <v>0</v>
      </c>
      <c r="AD386" s="652">
        <f t="shared" si="301"/>
        <v>0</v>
      </c>
      <c r="AE386" s="652">
        <f t="shared" si="302"/>
        <v>0</v>
      </c>
      <c r="AF386" s="651">
        <f t="array" ref="AF386">IFERROR(INDEX('HIV-Other HPs'!$V$83:$V$114,MATCH($E386&amp;$F386,'HIV-Other HPs'!$D$83:$D$114&amp;'HIV-Other HPs'!$G$83:$G$114,0)),0)</f>
        <v>0</v>
      </c>
      <c r="AG386" s="652">
        <f t="shared" si="303"/>
        <v>0</v>
      </c>
      <c r="AH386" s="652">
        <f t="shared" si="304"/>
        <v>0</v>
      </c>
      <c r="AI386" s="652">
        <f t="shared" si="305"/>
        <v>0</v>
      </c>
      <c r="AJ386" s="651">
        <f t="array" ref="AJ386">IFERROR(INDEX('HIV-Other HPs'!$W$83:$W$114,MATCH($E386&amp;$F386,'HIV-Other HPs'!$D$83:$D$114&amp;'HIV-Other HPs'!$G$83:$G$114,0)),0)</f>
        <v>0</v>
      </c>
      <c r="AK386" s="652">
        <f t="shared" si="306"/>
        <v>0</v>
      </c>
      <c r="AL386" s="652">
        <f t="shared" si="307"/>
        <v>0</v>
      </c>
      <c r="AM386" s="652">
        <f t="shared" si="308"/>
        <v>0</v>
      </c>
      <c r="AN386" s="651">
        <f t="array" ref="AN386">IFERROR(INDEX('HIV-Other HPs'!$X$83:$X$114,MATCH($E386&amp;$F386,'HIV-Other HPs'!$D$83:$D$114&amp;'HIV-Other HPs'!$G$83:$G$114,0)),0)</f>
        <v>0</v>
      </c>
      <c r="AO386" s="652">
        <f t="shared" si="309"/>
        <v>0</v>
      </c>
      <c r="AP386" s="652">
        <f t="shared" si="310"/>
        <v>0</v>
      </c>
      <c r="AQ386" s="652">
        <f t="shared" si="311"/>
        <v>0</v>
      </c>
      <c r="AR386" s="664"/>
      <c r="AS386" s="651">
        <f t="array" ref="AS386">IFERROR(INDEX('HIV-Other HPs'!$AA$83:$AA$114,MATCH($E386&amp;$F386,'HIV-Other HPs'!$D$83:$D$114&amp;'HIV-Other HPs'!$G$83:$G$114,0)),0)</f>
        <v>0</v>
      </c>
      <c r="AT386" s="651">
        <f t="array" ref="AT386">IFERROR(INDEX('HIV-Other HPs'!$AB$83:$AB$114,MATCH($E386&amp;$F386,'HIV-Other HPs'!$D$83:$D$114&amp;'HIV-Other HPs'!$G$83:$G$114,0)),0)</f>
        <v>0</v>
      </c>
      <c r="AU386" s="652">
        <f t="shared" si="312"/>
        <v>0</v>
      </c>
      <c r="AV386" s="652">
        <f t="shared" si="313"/>
        <v>0</v>
      </c>
      <c r="AW386" s="652">
        <f t="shared" si="314"/>
        <v>0</v>
      </c>
      <c r="AX386" s="651">
        <f t="array" ref="AX386">IFERROR(INDEX('HIV-Other HPs'!$AC$83:$AC$114,MATCH($E386&amp;$F386,'HIV-Other HPs'!$D$83:$D$114&amp;'HIV-Other HPs'!$G$83:$G$114,0)),0)</f>
        <v>0</v>
      </c>
      <c r="AY386" s="652">
        <f t="shared" si="315"/>
        <v>0</v>
      </c>
      <c r="AZ386" s="652">
        <f t="shared" si="316"/>
        <v>0</v>
      </c>
      <c r="BA386" s="652">
        <f t="shared" si="317"/>
        <v>0</v>
      </c>
      <c r="BB386" s="651">
        <f t="array" ref="BB386">IFERROR(INDEX('HIV-Other HPs'!$AD$83:$AD$114,MATCH($E386&amp;$F386,'HIV-Other HPs'!$D$83:$D$114&amp;'HIV-Other HPs'!$G$83:$G$114,0)),0)</f>
        <v>0</v>
      </c>
      <c r="BC386" s="652">
        <f t="shared" si="318"/>
        <v>0</v>
      </c>
      <c r="BD386" s="652">
        <f t="shared" si="319"/>
        <v>0</v>
      </c>
      <c r="BE386" s="652">
        <f t="shared" si="320"/>
        <v>0</v>
      </c>
      <c r="BF386" s="651">
        <f t="array" ref="BF386">IFERROR(INDEX('HIV-Other HPs'!$AE$83:$AE$114,MATCH($E386&amp;$F386,'HIV-Other HPs'!$D$83:$D$114&amp;'HIV-Other HPs'!$G$83:$G$114,0)),0)</f>
        <v>0</v>
      </c>
      <c r="BG386" s="652">
        <f t="shared" si="321"/>
        <v>0</v>
      </c>
      <c r="BH386" s="652">
        <f t="shared" si="322"/>
        <v>0</v>
      </c>
      <c r="BI386" s="652">
        <f t="shared" si="323"/>
        <v>0</v>
      </c>
      <c r="BJ386" s="662"/>
      <c r="BK386" s="663"/>
      <c r="BL386" s="663"/>
      <c r="BM386" s="663"/>
      <c r="BN386" s="663"/>
      <c r="BO386" s="663"/>
      <c r="BP386" s="663"/>
      <c r="BQ386" s="663"/>
      <c r="BR386" s="663"/>
    </row>
    <row r="387" spans="1:70">
      <c r="A387" s="655" t="s">
        <v>1735</v>
      </c>
      <c r="B387" s="655" t="s">
        <v>2286</v>
      </c>
      <c r="C387" s="648">
        <f>SETUP!$F$32</f>
        <v>0</v>
      </c>
      <c r="D387" s="654">
        <v>5.6</v>
      </c>
      <c r="E387" s="663" t="s">
        <v>206</v>
      </c>
      <c r="F387" s="663" t="s">
        <v>1731</v>
      </c>
      <c r="G387" s="650" t="str">
        <f t="array" ref="G387">IFERROR(INDEX('HIV-Other HPs'!$K$83:$K$114,MATCH($E387&amp;$F387,'HIV-Other HPs'!$D$83:$D$114&amp;'HIV-Other HPs'!$G$83:$G$114,0)),"")</f>
        <v/>
      </c>
      <c r="H387" s="650" t="str">
        <f t="array" ref="H387">IFERROR(INDEX('HIV-Other HPs'!$L$83:$L$114,MATCH($E387&amp;$F387,'HIV-Other HPs'!$D$83:$D$114&amp;'HIV-Other HPs'!$G$83:$G$114,0)),"")</f>
        <v/>
      </c>
      <c r="I387" s="651">
        <f t="array" ref="I387">IFERROR(INDEX('HIV-Other HPs'!$M$83:$M$114,MATCH($E387&amp;$F387,'HIV-Other HPs'!$D$83:$D$114&amp;'HIV-Other HPs'!$G$83:$G$114,0)),0)</f>
        <v>0</v>
      </c>
      <c r="J387" s="651">
        <f t="array" ref="J387">IFERROR(INDEX('HIV-Other HPs'!$N$83:$N$114,MATCH($E387&amp;$F387,'HIV-Other HPs'!$D$83:$D$114&amp;'HIV-Other HPs'!$G$83:$G$114,0)),0)</f>
        <v>0</v>
      </c>
      <c r="K387" s="652">
        <f t="shared" si="288"/>
        <v>0</v>
      </c>
      <c r="L387" s="652">
        <f t="shared" si="289"/>
        <v>0</v>
      </c>
      <c r="M387" s="652">
        <f t="shared" si="290"/>
        <v>0</v>
      </c>
      <c r="N387" s="651">
        <f t="array" ref="N387">IFERROR(INDEX('HIV-Other HPs'!$O$83:$O$114,MATCH($E387&amp;$F387,'HIV-Other HPs'!$D$83:$D$114&amp;'HIV-Other HPs'!$G$83:$G$114,0)),0)</f>
        <v>0</v>
      </c>
      <c r="O387" s="652">
        <f t="shared" si="291"/>
        <v>0</v>
      </c>
      <c r="P387" s="652">
        <f t="shared" si="292"/>
        <v>0</v>
      </c>
      <c r="Q387" s="652">
        <f t="shared" si="293"/>
        <v>0</v>
      </c>
      <c r="R387" s="651">
        <f t="array" ref="R387">IFERROR(INDEX('HIV-Other HPs'!$P$83:$P$114,MATCH($E387&amp;$F387,'HIV-Other HPs'!$D$83:$D$114&amp;'HIV-Other HPs'!$G$83:$G$114,0)),0)</f>
        <v>0</v>
      </c>
      <c r="S387" s="652">
        <f t="shared" si="294"/>
        <v>0</v>
      </c>
      <c r="T387" s="652">
        <f t="shared" si="295"/>
        <v>0</v>
      </c>
      <c r="U387" s="652">
        <f t="shared" si="296"/>
        <v>0</v>
      </c>
      <c r="V387" s="651">
        <f t="array" ref="V387">IFERROR(INDEX('HIV-Other HPs'!$Q$83:$Q$114,MATCH($E387&amp;$F387,'HIV-Other HPs'!$D$83:$D$114&amp;'HIV-Other HPs'!$G$83:$G$114,0)),0)</f>
        <v>0</v>
      </c>
      <c r="W387" s="652">
        <f t="shared" si="297"/>
        <v>0</v>
      </c>
      <c r="X387" s="652">
        <f t="shared" si="298"/>
        <v>0</v>
      </c>
      <c r="Y387" s="652">
        <f t="shared" si="299"/>
        <v>0</v>
      </c>
      <c r="Z387" s="664"/>
      <c r="AA387" s="651">
        <f t="array" ref="AA387">IFERROR(INDEX('HIV-Other HPs'!$T$83:$T$114,MATCH($E387&amp;$F387,'HIV-Other HPs'!$D$83:$D$114&amp;'HIV-Other HPs'!$G$83:$G$114,0)),0)</f>
        <v>0</v>
      </c>
      <c r="AB387" s="651">
        <f t="array" ref="AB387">IFERROR(INDEX('HIV-Other HPs'!$U$83:$U$114,MATCH($E387&amp;$F387,'HIV-Other HPs'!$D$83:$D$114&amp;'HIV-Other HPs'!$G$83:$G$114,0)),0)</f>
        <v>0</v>
      </c>
      <c r="AC387" s="652">
        <f t="shared" si="300"/>
        <v>0</v>
      </c>
      <c r="AD387" s="652">
        <f t="shared" si="301"/>
        <v>0</v>
      </c>
      <c r="AE387" s="652">
        <f t="shared" si="302"/>
        <v>0</v>
      </c>
      <c r="AF387" s="651">
        <f t="array" ref="AF387">IFERROR(INDEX('HIV-Other HPs'!$V$83:$V$114,MATCH($E387&amp;$F387,'HIV-Other HPs'!$D$83:$D$114&amp;'HIV-Other HPs'!$G$83:$G$114,0)),0)</f>
        <v>0</v>
      </c>
      <c r="AG387" s="652">
        <f t="shared" si="303"/>
        <v>0</v>
      </c>
      <c r="AH387" s="652">
        <f t="shared" si="304"/>
        <v>0</v>
      </c>
      <c r="AI387" s="652">
        <f t="shared" si="305"/>
        <v>0</v>
      </c>
      <c r="AJ387" s="651">
        <f t="array" ref="AJ387">IFERROR(INDEX('HIV-Other HPs'!$W$83:$W$114,MATCH($E387&amp;$F387,'HIV-Other HPs'!$D$83:$D$114&amp;'HIV-Other HPs'!$G$83:$G$114,0)),0)</f>
        <v>0</v>
      </c>
      <c r="AK387" s="652">
        <f t="shared" si="306"/>
        <v>0</v>
      </c>
      <c r="AL387" s="652">
        <f t="shared" si="307"/>
        <v>0</v>
      </c>
      <c r="AM387" s="652">
        <f t="shared" si="308"/>
        <v>0</v>
      </c>
      <c r="AN387" s="651">
        <f t="array" ref="AN387">IFERROR(INDEX('HIV-Other HPs'!$X$83:$X$114,MATCH($E387&amp;$F387,'HIV-Other HPs'!$D$83:$D$114&amp;'HIV-Other HPs'!$G$83:$G$114,0)),0)</f>
        <v>0</v>
      </c>
      <c r="AO387" s="652">
        <f t="shared" si="309"/>
        <v>0</v>
      </c>
      <c r="AP387" s="652">
        <f t="shared" si="310"/>
        <v>0</v>
      </c>
      <c r="AQ387" s="652">
        <f t="shared" si="311"/>
        <v>0</v>
      </c>
      <c r="AR387" s="664"/>
      <c r="AS387" s="651">
        <f t="array" ref="AS387">IFERROR(INDEX('HIV-Other HPs'!$AA$83:$AA$114,MATCH($E387&amp;$F387,'HIV-Other HPs'!$D$83:$D$114&amp;'HIV-Other HPs'!$G$83:$G$114,0)),0)</f>
        <v>0</v>
      </c>
      <c r="AT387" s="651">
        <f t="array" ref="AT387">IFERROR(INDEX('HIV-Other HPs'!$AB$83:$AB$114,MATCH($E387&amp;$F387,'HIV-Other HPs'!$D$83:$D$114&amp;'HIV-Other HPs'!$G$83:$G$114,0)),0)</f>
        <v>0</v>
      </c>
      <c r="AU387" s="652">
        <f t="shared" si="312"/>
        <v>0</v>
      </c>
      <c r="AV387" s="652">
        <f t="shared" si="313"/>
        <v>0</v>
      </c>
      <c r="AW387" s="652">
        <f t="shared" si="314"/>
        <v>0</v>
      </c>
      <c r="AX387" s="651">
        <f t="array" ref="AX387">IFERROR(INDEX('HIV-Other HPs'!$AC$83:$AC$114,MATCH($E387&amp;$F387,'HIV-Other HPs'!$D$83:$D$114&amp;'HIV-Other HPs'!$G$83:$G$114,0)),0)</f>
        <v>0</v>
      </c>
      <c r="AY387" s="652">
        <f t="shared" si="315"/>
        <v>0</v>
      </c>
      <c r="AZ387" s="652">
        <f t="shared" si="316"/>
        <v>0</v>
      </c>
      <c r="BA387" s="652">
        <f t="shared" si="317"/>
        <v>0</v>
      </c>
      <c r="BB387" s="651">
        <f t="array" ref="BB387">IFERROR(INDEX('HIV-Other HPs'!$AD$83:$AD$114,MATCH($E387&amp;$F387,'HIV-Other HPs'!$D$83:$D$114&amp;'HIV-Other HPs'!$G$83:$G$114,0)),0)</f>
        <v>0</v>
      </c>
      <c r="BC387" s="652">
        <f t="shared" si="318"/>
        <v>0</v>
      </c>
      <c r="BD387" s="652">
        <f t="shared" si="319"/>
        <v>0</v>
      </c>
      <c r="BE387" s="652">
        <f t="shared" si="320"/>
        <v>0</v>
      </c>
      <c r="BF387" s="651">
        <f t="array" ref="BF387">IFERROR(INDEX('HIV-Other HPs'!$AE$83:$AE$114,MATCH($E387&amp;$F387,'HIV-Other HPs'!$D$83:$D$114&amp;'HIV-Other HPs'!$G$83:$G$114,0)),0)</f>
        <v>0</v>
      </c>
      <c r="BG387" s="652">
        <f t="shared" si="321"/>
        <v>0</v>
      </c>
      <c r="BH387" s="652">
        <f t="shared" si="322"/>
        <v>0</v>
      </c>
      <c r="BI387" s="652">
        <f t="shared" si="323"/>
        <v>0</v>
      </c>
      <c r="BJ387" s="662"/>
      <c r="BK387" s="663"/>
      <c r="BL387" s="663"/>
      <c r="BM387" s="663"/>
      <c r="BN387" s="663"/>
      <c r="BO387" s="663"/>
      <c r="BP387" s="663"/>
      <c r="BQ387" s="663"/>
      <c r="BR387" s="663"/>
    </row>
    <row r="388" spans="1:70">
      <c r="A388" s="655" t="s">
        <v>1735</v>
      </c>
      <c r="B388" s="655" t="s">
        <v>2286</v>
      </c>
      <c r="C388" s="648">
        <f>SETUP!$F$32</f>
        <v>0</v>
      </c>
      <c r="D388" s="654">
        <v>5.6</v>
      </c>
      <c r="E388" s="663" t="s">
        <v>206</v>
      </c>
      <c r="F388" s="663" t="s">
        <v>1140</v>
      </c>
      <c r="G388" s="650" t="str">
        <f t="array" ref="G388">IFERROR(INDEX('HIV-Other HPs'!$K$83:$K$114,MATCH($E388&amp;$F388,'HIV-Other HPs'!$D$83:$D$114&amp;'HIV-Other HPs'!$G$83:$G$114,0)),"")</f>
        <v/>
      </c>
      <c r="H388" s="650" t="str">
        <f t="array" ref="H388">IFERROR(INDEX('HIV-Other HPs'!$L$83:$L$114,MATCH($E388&amp;$F388,'HIV-Other HPs'!$D$83:$D$114&amp;'HIV-Other HPs'!$G$83:$G$114,0)),"")</f>
        <v/>
      </c>
      <c r="I388" s="651">
        <f t="array" ref="I388">IFERROR(INDEX('HIV-Other HPs'!$M$83:$M$114,MATCH($E388&amp;$F388,'HIV-Other HPs'!$D$83:$D$114&amp;'HIV-Other HPs'!$G$83:$G$114,0)),0)</f>
        <v>0</v>
      </c>
      <c r="J388" s="651">
        <f t="array" ref="J388">IFERROR(INDEX('HIV-Other HPs'!$N$83:$N$114,MATCH($E388&amp;$F388,'HIV-Other HPs'!$D$83:$D$114&amp;'HIV-Other HPs'!$G$83:$G$114,0)),0)</f>
        <v>0</v>
      </c>
      <c r="K388" s="652">
        <f t="shared" si="288"/>
        <v>0</v>
      </c>
      <c r="L388" s="652">
        <f t="shared" si="289"/>
        <v>0</v>
      </c>
      <c r="M388" s="652">
        <f t="shared" si="290"/>
        <v>0</v>
      </c>
      <c r="N388" s="651">
        <f t="array" ref="N388">IFERROR(INDEX('HIV-Other HPs'!$O$83:$O$114,MATCH($E388&amp;$F388,'HIV-Other HPs'!$D$83:$D$114&amp;'HIV-Other HPs'!$G$83:$G$114,0)),0)</f>
        <v>0</v>
      </c>
      <c r="O388" s="652">
        <f t="shared" si="291"/>
        <v>0</v>
      </c>
      <c r="P388" s="652">
        <f t="shared" si="292"/>
        <v>0</v>
      </c>
      <c r="Q388" s="652">
        <f t="shared" si="293"/>
        <v>0</v>
      </c>
      <c r="R388" s="651">
        <f t="array" ref="R388">IFERROR(INDEX('HIV-Other HPs'!$P$83:$P$114,MATCH($E388&amp;$F388,'HIV-Other HPs'!$D$83:$D$114&amp;'HIV-Other HPs'!$G$83:$G$114,0)),0)</f>
        <v>0</v>
      </c>
      <c r="S388" s="652">
        <f t="shared" si="294"/>
        <v>0</v>
      </c>
      <c r="T388" s="652">
        <f t="shared" si="295"/>
        <v>0</v>
      </c>
      <c r="U388" s="652">
        <f t="shared" si="296"/>
        <v>0</v>
      </c>
      <c r="V388" s="651">
        <f t="array" ref="V388">IFERROR(INDEX('HIV-Other HPs'!$Q$83:$Q$114,MATCH($E388&amp;$F388,'HIV-Other HPs'!$D$83:$D$114&amp;'HIV-Other HPs'!$G$83:$G$114,0)),0)</f>
        <v>0</v>
      </c>
      <c r="W388" s="652">
        <f t="shared" si="297"/>
        <v>0</v>
      </c>
      <c r="X388" s="652">
        <f t="shared" si="298"/>
        <v>0</v>
      </c>
      <c r="Y388" s="652">
        <f t="shared" si="299"/>
        <v>0</v>
      </c>
      <c r="Z388" s="664"/>
      <c r="AA388" s="651">
        <f t="array" ref="AA388">IFERROR(INDEX('HIV-Other HPs'!$T$83:$T$114,MATCH($E388&amp;$F388,'HIV-Other HPs'!$D$83:$D$114&amp;'HIV-Other HPs'!$G$83:$G$114,0)),0)</f>
        <v>0</v>
      </c>
      <c r="AB388" s="651">
        <f t="array" ref="AB388">IFERROR(INDEX('HIV-Other HPs'!$U$83:$U$114,MATCH($E388&amp;$F388,'HIV-Other HPs'!$D$83:$D$114&amp;'HIV-Other HPs'!$G$83:$G$114,0)),0)</f>
        <v>0</v>
      </c>
      <c r="AC388" s="652">
        <f t="shared" si="300"/>
        <v>0</v>
      </c>
      <c r="AD388" s="652">
        <f t="shared" si="301"/>
        <v>0</v>
      </c>
      <c r="AE388" s="652">
        <f t="shared" si="302"/>
        <v>0</v>
      </c>
      <c r="AF388" s="651">
        <f t="array" ref="AF388">IFERROR(INDEX('HIV-Other HPs'!$V$83:$V$114,MATCH($E388&amp;$F388,'HIV-Other HPs'!$D$83:$D$114&amp;'HIV-Other HPs'!$G$83:$G$114,0)),0)</f>
        <v>0</v>
      </c>
      <c r="AG388" s="652">
        <f t="shared" si="303"/>
        <v>0</v>
      </c>
      <c r="AH388" s="652">
        <f t="shared" si="304"/>
        <v>0</v>
      </c>
      <c r="AI388" s="652">
        <f t="shared" si="305"/>
        <v>0</v>
      </c>
      <c r="AJ388" s="651">
        <f t="array" ref="AJ388">IFERROR(INDEX('HIV-Other HPs'!$W$83:$W$114,MATCH($E388&amp;$F388,'HIV-Other HPs'!$D$83:$D$114&amp;'HIV-Other HPs'!$G$83:$G$114,0)),0)</f>
        <v>0</v>
      </c>
      <c r="AK388" s="652">
        <f t="shared" si="306"/>
        <v>0</v>
      </c>
      <c r="AL388" s="652">
        <f t="shared" si="307"/>
        <v>0</v>
      </c>
      <c r="AM388" s="652">
        <f t="shared" si="308"/>
        <v>0</v>
      </c>
      <c r="AN388" s="651">
        <f t="array" ref="AN388">IFERROR(INDEX('HIV-Other HPs'!$X$83:$X$114,MATCH($E388&amp;$F388,'HIV-Other HPs'!$D$83:$D$114&amp;'HIV-Other HPs'!$G$83:$G$114,0)),0)</f>
        <v>0</v>
      </c>
      <c r="AO388" s="652">
        <f t="shared" si="309"/>
        <v>0</v>
      </c>
      <c r="AP388" s="652">
        <f t="shared" si="310"/>
        <v>0</v>
      </c>
      <c r="AQ388" s="652">
        <f t="shared" si="311"/>
        <v>0</v>
      </c>
      <c r="AR388" s="664"/>
      <c r="AS388" s="651">
        <f t="array" ref="AS388">IFERROR(INDEX('HIV-Other HPs'!$AA$83:$AA$114,MATCH($E388&amp;$F388,'HIV-Other HPs'!$D$83:$D$114&amp;'HIV-Other HPs'!$G$83:$G$114,0)),0)</f>
        <v>0</v>
      </c>
      <c r="AT388" s="651">
        <f t="array" ref="AT388">IFERROR(INDEX('HIV-Other HPs'!$AB$83:$AB$114,MATCH($E388&amp;$F388,'HIV-Other HPs'!$D$83:$D$114&amp;'HIV-Other HPs'!$G$83:$G$114,0)),0)</f>
        <v>0</v>
      </c>
      <c r="AU388" s="652">
        <f t="shared" si="312"/>
        <v>0</v>
      </c>
      <c r="AV388" s="652">
        <f t="shared" si="313"/>
        <v>0</v>
      </c>
      <c r="AW388" s="652">
        <f t="shared" si="314"/>
        <v>0</v>
      </c>
      <c r="AX388" s="651">
        <f t="array" ref="AX388">IFERROR(INDEX('HIV-Other HPs'!$AC$83:$AC$114,MATCH($E388&amp;$F388,'HIV-Other HPs'!$D$83:$D$114&amp;'HIV-Other HPs'!$G$83:$G$114,0)),0)</f>
        <v>0</v>
      </c>
      <c r="AY388" s="652">
        <f t="shared" si="315"/>
        <v>0</v>
      </c>
      <c r="AZ388" s="652">
        <f t="shared" si="316"/>
        <v>0</v>
      </c>
      <c r="BA388" s="652">
        <f t="shared" si="317"/>
        <v>0</v>
      </c>
      <c r="BB388" s="651">
        <f t="array" ref="BB388">IFERROR(INDEX('HIV-Other HPs'!$AD$83:$AD$114,MATCH($E388&amp;$F388,'HIV-Other HPs'!$D$83:$D$114&amp;'HIV-Other HPs'!$G$83:$G$114,0)),0)</f>
        <v>0</v>
      </c>
      <c r="BC388" s="652">
        <f t="shared" si="318"/>
        <v>0</v>
      </c>
      <c r="BD388" s="652">
        <f t="shared" si="319"/>
        <v>0</v>
      </c>
      <c r="BE388" s="652">
        <f t="shared" si="320"/>
        <v>0</v>
      </c>
      <c r="BF388" s="651">
        <f t="array" ref="BF388">IFERROR(INDEX('HIV-Other HPs'!$AE$83:$AE$114,MATCH($E388&amp;$F388,'HIV-Other HPs'!$D$83:$D$114&amp;'HIV-Other HPs'!$G$83:$G$114,0)),0)</f>
        <v>0</v>
      </c>
      <c r="BG388" s="652">
        <f t="shared" si="321"/>
        <v>0</v>
      </c>
      <c r="BH388" s="652">
        <f t="shared" si="322"/>
        <v>0</v>
      </c>
      <c r="BI388" s="652">
        <f t="shared" si="323"/>
        <v>0</v>
      </c>
      <c r="BJ388" s="662"/>
      <c r="BK388" s="663"/>
      <c r="BL388" s="663"/>
      <c r="BM388" s="663"/>
      <c r="BN388" s="663"/>
      <c r="BO388" s="663"/>
      <c r="BP388" s="663"/>
      <c r="BQ388" s="663"/>
      <c r="BR388" s="663"/>
    </row>
    <row r="389" spans="1:70">
      <c r="A389" s="655" t="s">
        <v>1735</v>
      </c>
      <c r="B389" s="655" t="s">
        <v>2286</v>
      </c>
      <c r="C389" s="648">
        <f>SETUP!$F$32</f>
        <v>0</v>
      </c>
      <c r="D389" s="654">
        <v>5.6</v>
      </c>
      <c r="E389" s="663" t="s">
        <v>206</v>
      </c>
      <c r="F389" s="663" t="s">
        <v>1732</v>
      </c>
      <c r="G389" s="650" t="str">
        <f t="array" ref="G389">IFERROR(INDEX('HIV-Other HPs'!$K$83:$K$114,MATCH($E389&amp;$F389,'HIV-Other HPs'!$D$83:$D$114&amp;'HIV-Other HPs'!$G$83:$G$114,0)),"")</f>
        <v/>
      </c>
      <c r="H389" s="650" t="str">
        <f t="array" ref="H389">IFERROR(INDEX('HIV-Other HPs'!$L$83:$L$114,MATCH($E389&amp;$F389,'HIV-Other HPs'!$D$83:$D$114&amp;'HIV-Other HPs'!$G$83:$G$114,0)),"")</f>
        <v/>
      </c>
      <c r="I389" s="651">
        <f t="array" ref="I389">IFERROR(INDEX('HIV-Other HPs'!$M$83:$M$114,MATCH($E389&amp;$F389,'HIV-Other HPs'!$D$83:$D$114&amp;'HIV-Other HPs'!$G$83:$G$114,0)),0)</f>
        <v>0</v>
      </c>
      <c r="J389" s="651">
        <f t="array" ref="J389">IFERROR(INDEX('HIV-Other HPs'!$N$83:$N$114,MATCH($E389&amp;$F389,'HIV-Other HPs'!$D$83:$D$114&amp;'HIV-Other HPs'!$G$83:$G$114,0)),0)</f>
        <v>0</v>
      </c>
      <c r="K389" s="652">
        <f t="shared" si="288"/>
        <v>0</v>
      </c>
      <c r="L389" s="652">
        <f t="shared" si="289"/>
        <v>0</v>
      </c>
      <c r="M389" s="652">
        <f t="shared" si="290"/>
        <v>0</v>
      </c>
      <c r="N389" s="651">
        <f t="array" ref="N389">IFERROR(INDEX('HIV-Other HPs'!$O$83:$O$114,MATCH($E389&amp;$F389,'HIV-Other HPs'!$D$83:$D$114&amp;'HIV-Other HPs'!$G$83:$G$114,0)),0)</f>
        <v>0</v>
      </c>
      <c r="O389" s="652">
        <f t="shared" si="291"/>
        <v>0</v>
      </c>
      <c r="P389" s="652">
        <f t="shared" si="292"/>
        <v>0</v>
      </c>
      <c r="Q389" s="652">
        <f t="shared" si="293"/>
        <v>0</v>
      </c>
      <c r="R389" s="651">
        <f t="array" ref="R389">IFERROR(INDEX('HIV-Other HPs'!$P$83:$P$114,MATCH($E389&amp;$F389,'HIV-Other HPs'!$D$83:$D$114&amp;'HIV-Other HPs'!$G$83:$G$114,0)),0)</f>
        <v>0</v>
      </c>
      <c r="S389" s="652">
        <f t="shared" si="294"/>
        <v>0</v>
      </c>
      <c r="T389" s="652">
        <f t="shared" si="295"/>
        <v>0</v>
      </c>
      <c r="U389" s="652">
        <f t="shared" si="296"/>
        <v>0</v>
      </c>
      <c r="V389" s="651">
        <f t="array" ref="V389">IFERROR(INDEX('HIV-Other HPs'!$Q$83:$Q$114,MATCH($E389&amp;$F389,'HIV-Other HPs'!$D$83:$D$114&amp;'HIV-Other HPs'!$G$83:$G$114,0)),0)</f>
        <v>0</v>
      </c>
      <c r="W389" s="652">
        <f t="shared" si="297"/>
        <v>0</v>
      </c>
      <c r="X389" s="652">
        <f t="shared" si="298"/>
        <v>0</v>
      </c>
      <c r="Y389" s="652">
        <f t="shared" si="299"/>
        <v>0</v>
      </c>
      <c r="Z389" s="664"/>
      <c r="AA389" s="651">
        <f t="array" ref="AA389">IFERROR(INDEX('HIV-Other HPs'!$T$83:$T$114,MATCH($E389&amp;$F389,'HIV-Other HPs'!$D$83:$D$114&amp;'HIV-Other HPs'!$G$83:$G$114,0)),0)</f>
        <v>0</v>
      </c>
      <c r="AB389" s="651">
        <f t="array" ref="AB389">IFERROR(INDEX('HIV-Other HPs'!$U$83:$U$114,MATCH($E389&amp;$F389,'HIV-Other HPs'!$D$83:$D$114&amp;'HIV-Other HPs'!$G$83:$G$114,0)),0)</f>
        <v>0</v>
      </c>
      <c r="AC389" s="652">
        <f t="shared" si="300"/>
        <v>0</v>
      </c>
      <c r="AD389" s="652">
        <f t="shared" si="301"/>
        <v>0</v>
      </c>
      <c r="AE389" s="652">
        <f t="shared" si="302"/>
        <v>0</v>
      </c>
      <c r="AF389" s="651">
        <f t="array" ref="AF389">IFERROR(INDEX('HIV-Other HPs'!$V$83:$V$114,MATCH($E389&amp;$F389,'HIV-Other HPs'!$D$83:$D$114&amp;'HIV-Other HPs'!$G$83:$G$114,0)),0)</f>
        <v>0</v>
      </c>
      <c r="AG389" s="652">
        <f t="shared" si="303"/>
        <v>0</v>
      </c>
      <c r="AH389" s="652">
        <f t="shared" si="304"/>
        <v>0</v>
      </c>
      <c r="AI389" s="652">
        <f t="shared" si="305"/>
        <v>0</v>
      </c>
      <c r="AJ389" s="651">
        <f t="array" ref="AJ389">IFERROR(INDEX('HIV-Other HPs'!$W$83:$W$114,MATCH($E389&amp;$F389,'HIV-Other HPs'!$D$83:$D$114&amp;'HIV-Other HPs'!$G$83:$G$114,0)),0)</f>
        <v>0</v>
      </c>
      <c r="AK389" s="652">
        <f t="shared" si="306"/>
        <v>0</v>
      </c>
      <c r="AL389" s="652">
        <f t="shared" si="307"/>
        <v>0</v>
      </c>
      <c r="AM389" s="652">
        <f t="shared" si="308"/>
        <v>0</v>
      </c>
      <c r="AN389" s="651">
        <f t="array" ref="AN389">IFERROR(INDEX('HIV-Other HPs'!$X$83:$X$114,MATCH($E389&amp;$F389,'HIV-Other HPs'!$D$83:$D$114&amp;'HIV-Other HPs'!$G$83:$G$114,0)),0)</f>
        <v>0</v>
      </c>
      <c r="AO389" s="652">
        <f t="shared" si="309"/>
        <v>0</v>
      </c>
      <c r="AP389" s="652">
        <f t="shared" si="310"/>
        <v>0</v>
      </c>
      <c r="AQ389" s="652">
        <f t="shared" si="311"/>
        <v>0</v>
      </c>
      <c r="AR389" s="664"/>
      <c r="AS389" s="651">
        <f t="array" ref="AS389">IFERROR(INDEX('HIV-Other HPs'!$AA$83:$AA$114,MATCH($E389&amp;$F389,'HIV-Other HPs'!$D$83:$D$114&amp;'HIV-Other HPs'!$G$83:$G$114,0)),0)</f>
        <v>0</v>
      </c>
      <c r="AT389" s="651">
        <f t="array" ref="AT389">IFERROR(INDEX('HIV-Other HPs'!$AB$83:$AB$114,MATCH($E389&amp;$F389,'HIV-Other HPs'!$D$83:$D$114&amp;'HIV-Other HPs'!$G$83:$G$114,0)),0)</f>
        <v>0</v>
      </c>
      <c r="AU389" s="652">
        <f t="shared" si="312"/>
        <v>0</v>
      </c>
      <c r="AV389" s="652">
        <f t="shared" si="313"/>
        <v>0</v>
      </c>
      <c r="AW389" s="652">
        <f t="shared" si="314"/>
        <v>0</v>
      </c>
      <c r="AX389" s="651">
        <f t="array" ref="AX389">IFERROR(INDEX('HIV-Other HPs'!$AC$83:$AC$114,MATCH($E389&amp;$F389,'HIV-Other HPs'!$D$83:$D$114&amp;'HIV-Other HPs'!$G$83:$G$114,0)),0)</f>
        <v>0</v>
      </c>
      <c r="AY389" s="652">
        <f t="shared" si="315"/>
        <v>0</v>
      </c>
      <c r="AZ389" s="652">
        <f t="shared" si="316"/>
        <v>0</v>
      </c>
      <c r="BA389" s="652">
        <f t="shared" si="317"/>
        <v>0</v>
      </c>
      <c r="BB389" s="651">
        <f t="array" ref="BB389">IFERROR(INDEX('HIV-Other HPs'!$AD$83:$AD$114,MATCH($E389&amp;$F389,'HIV-Other HPs'!$D$83:$D$114&amp;'HIV-Other HPs'!$G$83:$G$114,0)),0)</f>
        <v>0</v>
      </c>
      <c r="BC389" s="652">
        <f t="shared" si="318"/>
        <v>0</v>
      </c>
      <c r="BD389" s="652">
        <f t="shared" si="319"/>
        <v>0</v>
      </c>
      <c r="BE389" s="652">
        <f t="shared" si="320"/>
        <v>0</v>
      </c>
      <c r="BF389" s="651">
        <f t="array" ref="BF389">IFERROR(INDEX('HIV-Other HPs'!$AE$83:$AE$114,MATCH($E389&amp;$F389,'HIV-Other HPs'!$D$83:$D$114&amp;'HIV-Other HPs'!$G$83:$G$114,0)),0)</f>
        <v>0</v>
      </c>
      <c r="BG389" s="652">
        <f t="shared" si="321"/>
        <v>0</v>
      </c>
      <c r="BH389" s="652">
        <f t="shared" si="322"/>
        <v>0</v>
      </c>
      <c r="BI389" s="652">
        <f t="shared" si="323"/>
        <v>0</v>
      </c>
      <c r="BJ389" s="662"/>
      <c r="BK389" s="663"/>
      <c r="BL389" s="663"/>
      <c r="BM389" s="663"/>
      <c r="BN389" s="663"/>
      <c r="BO389" s="663"/>
      <c r="BP389" s="663"/>
      <c r="BQ389" s="663"/>
      <c r="BR389" s="663"/>
    </row>
    <row r="390" spans="1:70">
      <c r="A390" s="655" t="s">
        <v>1735</v>
      </c>
      <c r="B390" s="655" t="s">
        <v>2286</v>
      </c>
      <c r="C390" s="648">
        <f>SETUP!$F$32</f>
        <v>0</v>
      </c>
      <c r="D390" s="654">
        <v>5.6</v>
      </c>
      <c r="E390" s="663" t="s">
        <v>206</v>
      </c>
      <c r="F390" s="663" t="s">
        <v>1733</v>
      </c>
      <c r="G390" s="650" t="str">
        <f t="array" ref="G390">IFERROR(INDEX('HIV-Other HPs'!$K$83:$K$114,MATCH($E390&amp;$F390,'HIV-Other HPs'!$D$83:$D$114&amp;'HIV-Other HPs'!$G$83:$G$114,0)),"")</f>
        <v/>
      </c>
      <c r="H390" s="650" t="str">
        <f t="array" ref="H390">IFERROR(INDEX('HIV-Other HPs'!$L$83:$L$114,MATCH($E390&amp;$F390,'HIV-Other HPs'!$D$83:$D$114&amp;'HIV-Other HPs'!$G$83:$G$114,0)),"")</f>
        <v/>
      </c>
      <c r="I390" s="651">
        <f t="array" ref="I390">IFERROR(INDEX('HIV-Other HPs'!$M$83:$M$114,MATCH($E390&amp;$F390,'HIV-Other HPs'!$D$83:$D$114&amp;'HIV-Other HPs'!$G$83:$G$114,0)),0)</f>
        <v>0</v>
      </c>
      <c r="J390" s="651">
        <f t="array" ref="J390">IFERROR(INDEX('HIV-Other HPs'!$N$83:$N$114,MATCH($E390&amp;$F390,'HIV-Other HPs'!$D$83:$D$114&amp;'HIV-Other HPs'!$G$83:$G$114,0)),0)</f>
        <v>0</v>
      </c>
      <c r="K390" s="652">
        <f t="shared" si="288"/>
        <v>0</v>
      </c>
      <c r="L390" s="652">
        <f t="shared" si="289"/>
        <v>0</v>
      </c>
      <c r="M390" s="652">
        <f t="shared" si="290"/>
        <v>0</v>
      </c>
      <c r="N390" s="651">
        <f t="array" ref="N390">IFERROR(INDEX('HIV-Other HPs'!$O$83:$O$114,MATCH($E390&amp;$F390,'HIV-Other HPs'!$D$83:$D$114&amp;'HIV-Other HPs'!$G$83:$G$114,0)),0)</f>
        <v>0</v>
      </c>
      <c r="O390" s="652">
        <f t="shared" si="291"/>
        <v>0</v>
      </c>
      <c r="P390" s="652">
        <f t="shared" si="292"/>
        <v>0</v>
      </c>
      <c r="Q390" s="652">
        <f t="shared" si="293"/>
        <v>0</v>
      </c>
      <c r="R390" s="651">
        <f t="array" ref="R390">IFERROR(INDEX('HIV-Other HPs'!$P$83:$P$114,MATCH($E390&amp;$F390,'HIV-Other HPs'!$D$83:$D$114&amp;'HIV-Other HPs'!$G$83:$G$114,0)),0)</f>
        <v>0</v>
      </c>
      <c r="S390" s="652">
        <f t="shared" si="294"/>
        <v>0</v>
      </c>
      <c r="T390" s="652">
        <f t="shared" si="295"/>
        <v>0</v>
      </c>
      <c r="U390" s="652">
        <f t="shared" si="296"/>
        <v>0</v>
      </c>
      <c r="V390" s="651">
        <f t="array" ref="V390">IFERROR(INDEX('HIV-Other HPs'!$Q$83:$Q$114,MATCH($E390&amp;$F390,'HIV-Other HPs'!$D$83:$D$114&amp;'HIV-Other HPs'!$G$83:$G$114,0)),0)</f>
        <v>0</v>
      </c>
      <c r="W390" s="652">
        <f t="shared" si="297"/>
        <v>0</v>
      </c>
      <c r="X390" s="652">
        <f t="shared" si="298"/>
        <v>0</v>
      </c>
      <c r="Y390" s="652">
        <f t="shared" si="299"/>
        <v>0</v>
      </c>
      <c r="Z390" s="664"/>
      <c r="AA390" s="651">
        <f t="array" ref="AA390">IFERROR(INDEX('HIV-Other HPs'!$T$83:$T$114,MATCH($E390&amp;$F390,'HIV-Other HPs'!$D$83:$D$114&amp;'HIV-Other HPs'!$G$83:$G$114,0)),0)</f>
        <v>0</v>
      </c>
      <c r="AB390" s="651">
        <f t="array" ref="AB390">IFERROR(INDEX('HIV-Other HPs'!$U$83:$U$114,MATCH($E390&amp;$F390,'HIV-Other HPs'!$D$83:$D$114&amp;'HIV-Other HPs'!$G$83:$G$114,0)),0)</f>
        <v>0</v>
      </c>
      <c r="AC390" s="652">
        <f t="shared" si="300"/>
        <v>0</v>
      </c>
      <c r="AD390" s="652">
        <f t="shared" si="301"/>
        <v>0</v>
      </c>
      <c r="AE390" s="652">
        <f t="shared" si="302"/>
        <v>0</v>
      </c>
      <c r="AF390" s="651">
        <f t="array" ref="AF390">IFERROR(INDEX('HIV-Other HPs'!$V$83:$V$114,MATCH($E390&amp;$F390,'HIV-Other HPs'!$D$83:$D$114&amp;'HIV-Other HPs'!$G$83:$G$114,0)),0)</f>
        <v>0</v>
      </c>
      <c r="AG390" s="652">
        <f t="shared" si="303"/>
        <v>0</v>
      </c>
      <c r="AH390" s="652">
        <f t="shared" si="304"/>
        <v>0</v>
      </c>
      <c r="AI390" s="652">
        <f t="shared" si="305"/>
        <v>0</v>
      </c>
      <c r="AJ390" s="651">
        <f t="array" ref="AJ390">IFERROR(INDEX('HIV-Other HPs'!$W$83:$W$114,MATCH($E390&amp;$F390,'HIV-Other HPs'!$D$83:$D$114&amp;'HIV-Other HPs'!$G$83:$G$114,0)),0)</f>
        <v>0</v>
      </c>
      <c r="AK390" s="652">
        <f t="shared" si="306"/>
        <v>0</v>
      </c>
      <c r="AL390" s="652">
        <f t="shared" si="307"/>
        <v>0</v>
      </c>
      <c r="AM390" s="652">
        <f t="shared" si="308"/>
        <v>0</v>
      </c>
      <c r="AN390" s="651">
        <f t="array" ref="AN390">IFERROR(INDEX('HIV-Other HPs'!$X$83:$X$114,MATCH($E390&amp;$F390,'HIV-Other HPs'!$D$83:$D$114&amp;'HIV-Other HPs'!$G$83:$G$114,0)),0)</f>
        <v>0</v>
      </c>
      <c r="AO390" s="652">
        <f t="shared" si="309"/>
        <v>0</v>
      </c>
      <c r="AP390" s="652">
        <f t="shared" si="310"/>
        <v>0</v>
      </c>
      <c r="AQ390" s="652">
        <f t="shared" si="311"/>
        <v>0</v>
      </c>
      <c r="AR390" s="664"/>
      <c r="AS390" s="651">
        <f t="array" ref="AS390">IFERROR(INDEX('HIV-Other HPs'!$AA$83:$AA$114,MATCH($E390&amp;$F390,'HIV-Other HPs'!$D$83:$D$114&amp;'HIV-Other HPs'!$G$83:$G$114,0)),0)</f>
        <v>0</v>
      </c>
      <c r="AT390" s="651">
        <f t="array" ref="AT390">IFERROR(INDEX('HIV-Other HPs'!$AB$83:$AB$114,MATCH($E390&amp;$F390,'HIV-Other HPs'!$D$83:$D$114&amp;'HIV-Other HPs'!$G$83:$G$114,0)),0)</f>
        <v>0</v>
      </c>
      <c r="AU390" s="652">
        <f t="shared" si="312"/>
        <v>0</v>
      </c>
      <c r="AV390" s="652">
        <f t="shared" si="313"/>
        <v>0</v>
      </c>
      <c r="AW390" s="652">
        <f t="shared" si="314"/>
        <v>0</v>
      </c>
      <c r="AX390" s="651">
        <f t="array" ref="AX390">IFERROR(INDEX('HIV-Other HPs'!$AC$83:$AC$114,MATCH($E390&amp;$F390,'HIV-Other HPs'!$D$83:$D$114&amp;'HIV-Other HPs'!$G$83:$G$114,0)),0)</f>
        <v>0</v>
      </c>
      <c r="AY390" s="652">
        <f t="shared" si="315"/>
        <v>0</v>
      </c>
      <c r="AZ390" s="652">
        <f t="shared" si="316"/>
        <v>0</v>
      </c>
      <c r="BA390" s="652">
        <f t="shared" si="317"/>
        <v>0</v>
      </c>
      <c r="BB390" s="651">
        <f t="array" ref="BB390">IFERROR(INDEX('HIV-Other HPs'!$AD$83:$AD$114,MATCH($E390&amp;$F390,'HIV-Other HPs'!$D$83:$D$114&amp;'HIV-Other HPs'!$G$83:$G$114,0)),0)</f>
        <v>0</v>
      </c>
      <c r="BC390" s="652">
        <f t="shared" si="318"/>
        <v>0</v>
      </c>
      <c r="BD390" s="652">
        <f t="shared" si="319"/>
        <v>0</v>
      </c>
      <c r="BE390" s="652">
        <f t="shared" si="320"/>
        <v>0</v>
      </c>
      <c r="BF390" s="651">
        <f t="array" ref="BF390">IFERROR(INDEX('HIV-Other HPs'!$AE$83:$AE$114,MATCH($E390&amp;$F390,'HIV-Other HPs'!$D$83:$D$114&amp;'HIV-Other HPs'!$G$83:$G$114,0)),0)</f>
        <v>0</v>
      </c>
      <c r="BG390" s="652">
        <f t="shared" si="321"/>
        <v>0</v>
      </c>
      <c r="BH390" s="652">
        <f t="shared" si="322"/>
        <v>0</v>
      </c>
      <c r="BI390" s="652">
        <f t="shared" si="323"/>
        <v>0</v>
      </c>
      <c r="BJ390" s="662"/>
      <c r="BK390" s="663"/>
      <c r="BL390" s="663"/>
      <c r="BM390" s="663"/>
      <c r="BN390" s="663"/>
      <c r="BO390" s="663"/>
      <c r="BP390" s="663"/>
      <c r="BQ390" s="663"/>
      <c r="BR390" s="663"/>
    </row>
    <row r="391" spans="1:70">
      <c r="A391" s="655" t="s">
        <v>1735</v>
      </c>
      <c r="B391" s="655" t="s">
        <v>2286</v>
      </c>
      <c r="C391" s="648">
        <f>SETUP!$F$32</f>
        <v>0</v>
      </c>
      <c r="D391" s="654">
        <v>5.6</v>
      </c>
      <c r="E391" s="663" t="s">
        <v>206</v>
      </c>
      <c r="F391" s="663" t="s">
        <v>1734</v>
      </c>
      <c r="G391" s="650" t="str">
        <f t="array" ref="G391">IFERROR(INDEX('HIV-Other HPs'!$K$83:$K$114,MATCH($E391&amp;$F391,'HIV-Other HPs'!$D$83:$D$114&amp;'HIV-Other HPs'!$G$83:$G$114,0)),"")</f>
        <v/>
      </c>
      <c r="H391" s="650" t="str">
        <f t="array" ref="H391">IFERROR(INDEX('HIV-Other HPs'!$L$83:$L$114,MATCH($E391&amp;$F391,'HIV-Other HPs'!$D$83:$D$114&amp;'HIV-Other HPs'!$G$83:$G$114,0)),"")</f>
        <v/>
      </c>
      <c r="I391" s="651">
        <f t="array" ref="I391">IFERROR(INDEX('HIV-Other HPs'!$M$83:$M$114,MATCH($E391&amp;$F391,'HIV-Other HPs'!$D$83:$D$114&amp;'HIV-Other HPs'!$G$83:$G$114,0)),0)</f>
        <v>0</v>
      </c>
      <c r="J391" s="651">
        <f t="array" ref="J391">IFERROR(INDEX('HIV-Other HPs'!$N$83:$N$114,MATCH($E391&amp;$F391,'HIV-Other HPs'!$D$83:$D$114&amp;'HIV-Other HPs'!$G$83:$G$114,0)),0)</f>
        <v>0</v>
      </c>
      <c r="K391" s="652">
        <f t="shared" si="288"/>
        <v>0</v>
      </c>
      <c r="L391" s="652">
        <f t="shared" si="289"/>
        <v>0</v>
      </c>
      <c r="M391" s="652">
        <f t="shared" si="290"/>
        <v>0</v>
      </c>
      <c r="N391" s="651">
        <f t="array" ref="N391">IFERROR(INDEX('HIV-Other HPs'!$O$83:$O$114,MATCH($E391&amp;$F391,'HIV-Other HPs'!$D$83:$D$114&amp;'HIV-Other HPs'!$G$83:$G$114,0)),0)</f>
        <v>0</v>
      </c>
      <c r="O391" s="652">
        <f t="shared" si="291"/>
        <v>0</v>
      </c>
      <c r="P391" s="652">
        <f t="shared" si="292"/>
        <v>0</v>
      </c>
      <c r="Q391" s="652">
        <f t="shared" si="293"/>
        <v>0</v>
      </c>
      <c r="R391" s="651">
        <f t="array" ref="R391">IFERROR(INDEX('HIV-Other HPs'!$P$83:$P$114,MATCH($E391&amp;$F391,'HIV-Other HPs'!$D$83:$D$114&amp;'HIV-Other HPs'!$G$83:$G$114,0)),0)</f>
        <v>0</v>
      </c>
      <c r="S391" s="652">
        <f t="shared" si="294"/>
        <v>0</v>
      </c>
      <c r="T391" s="652">
        <f t="shared" si="295"/>
        <v>0</v>
      </c>
      <c r="U391" s="652">
        <f t="shared" si="296"/>
        <v>0</v>
      </c>
      <c r="V391" s="651">
        <f t="array" ref="V391">IFERROR(INDEX('HIV-Other HPs'!$Q$83:$Q$114,MATCH($E391&amp;$F391,'HIV-Other HPs'!$D$83:$D$114&amp;'HIV-Other HPs'!$G$83:$G$114,0)),0)</f>
        <v>0</v>
      </c>
      <c r="W391" s="652">
        <f t="shared" si="297"/>
        <v>0</v>
      </c>
      <c r="X391" s="652">
        <f t="shared" si="298"/>
        <v>0</v>
      </c>
      <c r="Y391" s="652">
        <f t="shared" si="299"/>
        <v>0</v>
      </c>
      <c r="Z391" s="664"/>
      <c r="AA391" s="651">
        <f t="array" ref="AA391">IFERROR(INDEX('HIV-Other HPs'!$T$83:$T$114,MATCH($E391&amp;$F391,'HIV-Other HPs'!$D$83:$D$114&amp;'HIV-Other HPs'!$G$83:$G$114,0)),0)</f>
        <v>0</v>
      </c>
      <c r="AB391" s="651">
        <f t="array" ref="AB391">IFERROR(INDEX('HIV-Other HPs'!$U$83:$U$114,MATCH($E391&amp;$F391,'HIV-Other HPs'!$D$83:$D$114&amp;'HIV-Other HPs'!$G$83:$G$114,0)),0)</f>
        <v>0</v>
      </c>
      <c r="AC391" s="652">
        <f t="shared" si="300"/>
        <v>0</v>
      </c>
      <c r="AD391" s="652">
        <f t="shared" si="301"/>
        <v>0</v>
      </c>
      <c r="AE391" s="652">
        <f t="shared" si="302"/>
        <v>0</v>
      </c>
      <c r="AF391" s="651">
        <f t="array" ref="AF391">IFERROR(INDEX('HIV-Other HPs'!$V$83:$V$114,MATCH($E391&amp;$F391,'HIV-Other HPs'!$D$83:$D$114&amp;'HIV-Other HPs'!$G$83:$G$114,0)),0)</f>
        <v>0</v>
      </c>
      <c r="AG391" s="652">
        <f t="shared" si="303"/>
        <v>0</v>
      </c>
      <c r="AH391" s="652">
        <f t="shared" si="304"/>
        <v>0</v>
      </c>
      <c r="AI391" s="652">
        <f t="shared" si="305"/>
        <v>0</v>
      </c>
      <c r="AJ391" s="651">
        <f t="array" ref="AJ391">IFERROR(INDEX('HIV-Other HPs'!$W$83:$W$114,MATCH($E391&amp;$F391,'HIV-Other HPs'!$D$83:$D$114&amp;'HIV-Other HPs'!$G$83:$G$114,0)),0)</f>
        <v>0</v>
      </c>
      <c r="AK391" s="652">
        <f t="shared" si="306"/>
        <v>0</v>
      </c>
      <c r="AL391" s="652">
        <f t="shared" si="307"/>
        <v>0</v>
      </c>
      <c r="AM391" s="652">
        <f t="shared" si="308"/>
        <v>0</v>
      </c>
      <c r="AN391" s="651">
        <f t="array" ref="AN391">IFERROR(INDEX('HIV-Other HPs'!$X$83:$X$114,MATCH($E391&amp;$F391,'HIV-Other HPs'!$D$83:$D$114&amp;'HIV-Other HPs'!$G$83:$G$114,0)),0)</f>
        <v>0</v>
      </c>
      <c r="AO391" s="652">
        <f t="shared" si="309"/>
        <v>0</v>
      </c>
      <c r="AP391" s="652">
        <f t="shared" si="310"/>
        <v>0</v>
      </c>
      <c r="AQ391" s="652">
        <f t="shared" si="311"/>
        <v>0</v>
      </c>
      <c r="AR391" s="664"/>
      <c r="AS391" s="651">
        <f t="array" ref="AS391">IFERROR(INDEX('HIV-Other HPs'!$AA$83:$AA$114,MATCH($E391&amp;$F391,'HIV-Other HPs'!$D$83:$D$114&amp;'HIV-Other HPs'!$G$83:$G$114,0)),0)</f>
        <v>0</v>
      </c>
      <c r="AT391" s="651">
        <f t="array" ref="AT391">IFERROR(INDEX('HIV-Other HPs'!$AB$83:$AB$114,MATCH($E391&amp;$F391,'HIV-Other HPs'!$D$83:$D$114&amp;'HIV-Other HPs'!$G$83:$G$114,0)),0)</f>
        <v>0</v>
      </c>
      <c r="AU391" s="652">
        <f t="shared" si="312"/>
        <v>0</v>
      </c>
      <c r="AV391" s="652">
        <f t="shared" si="313"/>
        <v>0</v>
      </c>
      <c r="AW391" s="652">
        <f t="shared" si="314"/>
        <v>0</v>
      </c>
      <c r="AX391" s="651">
        <f t="array" ref="AX391">IFERROR(INDEX('HIV-Other HPs'!$AC$83:$AC$114,MATCH($E391&amp;$F391,'HIV-Other HPs'!$D$83:$D$114&amp;'HIV-Other HPs'!$G$83:$G$114,0)),0)</f>
        <v>0</v>
      </c>
      <c r="AY391" s="652">
        <f t="shared" si="315"/>
        <v>0</v>
      </c>
      <c r="AZ391" s="652">
        <f t="shared" si="316"/>
        <v>0</v>
      </c>
      <c r="BA391" s="652">
        <f t="shared" si="317"/>
        <v>0</v>
      </c>
      <c r="BB391" s="651">
        <f t="array" ref="BB391">IFERROR(INDEX('HIV-Other HPs'!$AD$83:$AD$114,MATCH($E391&amp;$F391,'HIV-Other HPs'!$D$83:$D$114&amp;'HIV-Other HPs'!$G$83:$G$114,0)),0)</f>
        <v>0</v>
      </c>
      <c r="BC391" s="652">
        <f t="shared" si="318"/>
        <v>0</v>
      </c>
      <c r="BD391" s="652">
        <f t="shared" si="319"/>
        <v>0</v>
      </c>
      <c r="BE391" s="652">
        <f t="shared" si="320"/>
        <v>0</v>
      </c>
      <c r="BF391" s="651">
        <f t="array" ref="BF391">IFERROR(INDEX('HIV-Other HPs'!$AE$83:$AE$114,MATCH($E391&amp;$F391,'HIV-Other HPs'!$D$83:$D$114&amp;'HIV-Other HPs'!$G$83:$G$114,0)),0)</f>
        <v>0</v>
      </c>
      <c r="BG391" s="652">
        <f t="shared" si="321"/>
        <v>0</v>
      </c>
      <c r="BH391" s="652">
        <f t="shared" si="322"/>
        <v>0</v>
      </c>
      <c r="BI391" s="652">
        <f t="shared" si="323"/>
        <v>0</v>
      </c>
      <c r="BJ391" s="662"/>
      <c r="BK391" s="663"/>
      <c r="BL391" s="663"/>
      <c r="BM391" s="663"/>
      <c r="BN391" s="663"/>
      <c r="BO391" s="663"/>
      <c r="BP391" s="663"/>
      <c r="BQ391" s="663"/>
      <c r="BR391" s="663"/>
    </row>
    <row r="393" spans="1:70">
      <c r="A393" s="2314" t="s">
        <v>2287</v>
      </c>
      <c r="B393" s="2314"/>
      <c r="C393" s="2314"/>
      <c r="D393" s="2314"/>
      <c r="E393" s="2314"/>
      <c r="F393" s="2314"/>
      <c r="G393" s="656"/>
      <c r="H393" s="656"/>
      <c r="I393" s="657"/>
      <c r="J393" s="657"/>
      <c r="K393" s="657"/>
      <c r="L393" s="657"/>
      <c r="M393" s="657"/>
      <c r="N393" s="657"/>
      <c r="O393" s="657"/>
      <c r="P393" s="657"/>
      <c r="Q393" s="657"/>
      <c r="R393" s="657"/>
      <c r="S393" s="657"/>
      <c r="T393" s="657"/>
      <c r="U393" s="657"/>
      <c r="V393" s="657"/>
      <c r="W393" s="657"/>
      <c r="X393" s="657"/>
      <c r="Y393" s="657"/>
      <c r="Z393" s="657"/>
      <c r="AA393" s="657"/>
      <c r="AB393" s="657"/>
      <c r="AC393" s="657"/>
      <c r="AD393" s="657"/>
      <c r="AE393" s="657"/>
      <c r="AF393" s="657"/>
      <c r="AG393" s="657"/>
      <c r="AH393" s="657"/>
      <c r="AI393" s="657"/>
      <c r="AJ393" s="657"/>
      <c r="AK393" s="657"/>
      <c r="AL393" s="657"/>
      <c r="AM393" s="657"/>
      <c r="AN393" s="657"/>
      <c r="AO393" s="657"/>
      <c r="AP393" s="657"/>
      <c r="AQ393" s="657"/>
      <c r="AR393" s="657"/>
      <c r="AS393" s="657"/>
      <c r="AT393" s="657"/>
      <c r="AU393" s="657"/>
      <c r="AV393" s="657"/>
      <c r="AW393" s="657"/>
      <c r="AX393" s="657"/>
      <c r="AY393" s="657"/>
      <c r="AZ393" s="657"/>
      <c r="BA393" s="657"/>
      <c r="BB393" s="657"/>
      <c r="BC393" s="657"/>
      <c r="BD393" s="657"/>
      <c r="BE393" s="657"/>
      <c r="BF393" s="657"/>
      <c r="BG393" s="657"/>
      <c r="BH393" s="657"/>
      <c r="BI393" s="657"/>
      <c r="BJ393" s="669"/>
      <c r="BK393" s="669"/>
      <c r="BL393" s="669"/>
      <c r="BM393" s="669"/>
      <c r="BN393" s="669"/>
      <c r="BO393" s="669"/>
      <c r="BP393" s="669"/>
      <c r="BQ393" s="669"/>
      <c r="BR393" s="669"/>
    </row>
    <row r="394" spans="1:70">
      <c r="A394" s="639" t="s">
        <v>1545</v>
      </c>
      <c r="B394" s="639" t="s">
        <v>203</v>
      </c>
      <c r="C394" s="640" t="s">
        <v>459</v>
      </c>
      <c r="D394" s="639" t="s">
        <v>460</v>
      </c>
      <c r="E394" s="639" t="s">
        <v>461</v>
      </c>
      <c r="F394" s="639" t="s">
        <v>214</v>
      </c>
      <c r="G394" s="640" t="s">
        <v>462</v>
      </c>
      <c r="H394" s="640" t="s">
        <v>49</v>
      </c>
      <c r="I394" s="726" t="s">
        <v>463</v>
      </c>
      <c r="J394" s="726" t="s">
        <v>464</v>
      </c>
      <c r="K394" s="726" t="s">
        <v>465</v>
      </c>
      <c r="L394" s="727" t="s">
        <v>466</v>
      </c>
      <c r="M394" s="727" t="s">
        <v>467</v>
      </c>
      <c r="N394" s="726" t="s">
        <v>468</v>
      </c>
      <c r="O394" s="726" t="s">
        <v>469</v>
      </c>
      <c r="P394" s="727" t="s">
        <v>470</v>
      </c>
      <c r="Q394" s="727" t="s">
        <v>471</v>
      </c>
      <c r="R394" s="726" t="s">
        <v>472</v>
      </c>
      <c r="S394" s="726" t="s">
        <v>473</v>
      </c>
      <c r="T394" s="727" t="s">
        <v>474</v>
      </c>
      <c r="U394" s="727" t="s">
        <v>475</v>
      </c>
      <c r="V394" s="726" t="s">
        <v>476</v>
      </c>
      <c r="W394" s="726" t="s">
        <v>477</v>
      </c>
      <c r="X394" s="727" t="s">
        <v>478</v>
      </c>
      <c r="Y394" s="727" t="s">
        <v>479</v>
      </c>
      <c r="Z394" s="670"/>
      <c r="AA394" s="726" t="s">
        <v>480</v>
      </c>
      <c r="AB394" s="726" t="s">
        <v>481</v>
      </c>
      <c r="AC394" s="726" t="s">
        <v>482</v>
      </c>
      <c r="AD394" s="727" t="s">
        <v>483</v>
      </c>
      <c r="AE394" s="727" t="s">
        <v>484</v>
      </c>
      <c r="AF394" s="726" t="s">
        <v>485</v>
      </c>
      <c r="AG394" s="726" t="s">
        <v>486</v>
      </c>
      <c r="AH394" s="727" t="s">
        <v>487</v>
      </c>
      <c r="AI394" s="727" t="s">
        <v>488</v>
      </c>
      <c r="AJ394" s="726" t="s">
        <v>489</v>
      </c>
      <c r="AK394" s="726" t="s">
        <v>490</v>
      </c>
      <c r="AL394" s="727" t="s">
        <v>491</v>
      </c>
      <c r="AM394" s="727" t="s">
        <v>492</v>
      </c>
      <c r="AN394" s="726" t="s">
        <v>493</v>
      </c>
      <c r="AO394" s="726" t="s">
        <v>494</v>
      </c>
      <c r="AP394" s="727" t="s">
        <v>495</v>
      </c>
      <c r="AQ394" s="727" t="s">
        <v>496</v>
      </c>
      <c r="AR394" s="670"/>
      <c r="AS394" s="726" t="s">
        <v>497</v>
      </c>
      <c r="AT394" s="726" t="s">
        <v>498</v>
      </c>
      <c r="AU394" s="726" t="s">
        <v>499</v>
      </c>
      <c r="AV394" s="727" t="s">
        <v>500</v>
      </c>
      <c r="AW394" s="727" t="s">
        <v>501</v>
      </c>
      <c r="AX394" s="726" t="s">
        <v>502</v>
      </c>
      <c r="AY394" s="726" t="s">
        <v>503</v>
      </c>
      <c r="AZ394" s="727" t="s">
        <v>504</v>
      </c>
      <c r="BA394" s="727" t="s">
        <v>505</v>
      </c>
      <c r="BB394" s="726" t="s">
        <v>506</v>
      </c>
      <c r="BC394" s="726" t="s">
        <v>507</v>
      </c>
      <c r="BD394" s="727" t="s">
        <v>508</v>
      </c>
      <c r="BE394" s="727" t="s">
        <v>509</v>
      </c>
      <c r="BF394" s="726" t="s">
        <v>510</v>
      </c>
      <c r="BG394" s="726" t="s">
        <v>511</v>
      </c>
      <c r="BH394" s="727" t="s">
        <v>512</v>
      </c>
      <c r="BI394" s="727" t="s">
        <v>513</v>
      </c>
      <c r="BJ394" s="659"/>
      <c r="BK394" s="728" t="s">
        <v>514</v>
      </c>
      <c r="BL394" s="728" t="s">
        <v>515</v>
      </c>
      <c r="BM394" s="728" t="s">
        <v>516</v>
      </c>
      <c r="BN394" s="728" t="s">
        <v>517</v>
      </c>
      <c r="BO394" s="728" t="s">
        <v>518</v>
      </c>
      <c r="BP394" s="728" t="s">
        <v>519</v>
      </c>
      <c r="BQ394" s="728" t="s">
        <v>520</v>
      </c>
      <c r="BR394" s="728" t="s">
        <v>521</v>
      </c>
    </row>
    <row r="395" spans="1:70">
      <c r="A395" s="655" t="s">
        <v>1865</v>
      </c>
      <c r="B395" s="655" t="s">
        <v>2287</v>
      </c>
      <c r="C395" s="648">
        <f>SETUP!$F$33</f>
        <v>0</v>
      </c>
      <c r="D395" s="654">
        <v>5.8</v>
      </c>
      <c r="E395" s="663" t="s">
        <v>1220</v>
      </c>
      <c r="F395" s="663" t="s">
        <v>1140</v>
      </c>
      <c r="G395" s="650" t="str">
        <f t="array" ref="G395">IFERROR(INDEX('HIV-Other HPs'!$K$123:$K$223,MATCH($E395&amp;$F395,'HIV-Other HPs'!$D$123:$D$223&amp;'HIV-Other HPs'!$G$123:$G$223,0)),"")</f>
        <v/>
      </c>
      <c r="H395" s="650" t="str">
        <f t="array" ref="H395">IFERROR(INDEX('HIV-Other HPs'!$L$123:$L$223,MATCH($E395&amp;$F395,'HIV-Other HPs'!$D$123:$D$223&amp;'HIV-Other HPs'!$G$123:$G$223,0)),"")</f>
        <v/>
      </c>
      <c r="I395" s="651">
        <f t="array" ref="I395">IFERROR(INDEX('HIV-Other HPs'!$M$123:$M$223,MATCH($E395&amp;$F395,'HIV-Other HPs'!$D$123:$D$223&amp;'HIV-Other HPs'!$G$123:$G$223,0)),0)</f>
        <v>0</v>
      </c>
      <c r="J395" s="651">
        <f t="array" ref="J395">IFERROR(INDEX('HIV-Other HPs'!$N$123:$N$223,MATCH($E395&amp;$F395,'HIV-Other HPs'!$D$123:$D$223&amp;'HIV-Other HPs'!$G$123:$G$223,0)),0)</f>
        <v>0</v>
      </c>
      <c r="K395" s="652">
        <f>IF(ISERROR($I395*J395),0,$I395*J395)</f>
        <v>0</v>
      </c>
      <c r="L395" s="652">
        <f>IF(C395="Upfront",J395,0)</f>
        <v>0</v>
      </c>
      <c r="M395" s="652">
        <f>IF(C395="Upfront",K395,0)</f>
        <v>0</v>
      </c>
      <c r="N395" s="651">
        <f t="array" ref="N395">IFERROR(INDEX('HIV-Other HPs'!$O$123:$O$223,MATCH($E395&amp;$F395,'HIV-Other HPs'!$D$123:$D$223&amp;'HIV-Other HPs'!$G$123:$G$223,0)),0)</f>
        <v>0</v>
      </c>
      <c r="O395" s="652">
        <f>IF(ISERROR($I395*N395),0,$I395*N395)</f>
        <v>0</v>
      </c>
      <c r="P395" s="652">
        <f>IF(C395="Upfront",N395,0)</f>
        <v>0</v>
      </c>
      <c r="Q395" s="652">
        <f>IF(C395="Upfront",O395,0)</f>
        <v>0</v>
      </c>
      <c r="R395" s="651">
        <f t="array" ref="R395">IFERROR(INDEX('HIV-Other HPs'!$P$123:$P$223,MATCH($E395&amp;$F395,'HIV-Other HPs'!$D$123:$D$223&amp;'HIV-Other HPs'!$G$123:$G$223,0)),0)</f>
        <v>0</v>
      </c>
      <c r="S395" s="652">
        <f>IF(ISERROR($I395*R395),0,$I395*R395)</f>
        <v>0</v>
      </c>
      <c r="T395" s="652">
        <f>IF(C395="Upfront",R395,IF(C395="At delivery",J395,0))</f>
        <v>0</v>
      </c>
      <c r="U395" s="652">
        <f>IF(C395="Upfront",S395,IF(C395="At delivery",K395,0))</f>
        <v>0</v>
      </c>
      <c r="V395" s="651">
        <f t="array" ref="V395">IFERROR(INDEX('HIV-Other HPs'!$Q$123:$Q$223,MATCH($E395&amp;$F395,'HIV-Other HPs'!$D$123:$D$223&amp;'HIV-Other HPs'!$G$123:$G$223,0)),0)</f>
        <v>0</v>
      </c>
      <c r="W395" s="652">
        <f>IF(ISERROR($I395*V395),0,$I395*V395)</f>
        <v>0</v>
      </c>
      <c r="X395" s="652">
        <f>IF(C395="Upfront",V395,IF(C395="At delivery",N395,0))</f>
        <v>0</v>
      </c>
      <c r="Y395" s="652">
        <f>IF(C395="Upfront",W395,IF(C395="At delivery",O395,0))</f>
        <v>0</v>
      </c>
      <c r="Z395" s="664"/>
      <c r="AA395" s="651">
        <f t="array" ref="AA395">IFERROR(INDEX('HIV-Other HPs'!$T$123:$T$223,MATCH($E395&amp;$F395,'HIV-Other HPs'!$D$123:$D$223&amp;'HIV-Other HPs'!$G$123:$G$223,0)),0)</f>
        <v>0</v>
      </c>
      <c r="AB395" s="651">
        <f t="array" ref="AB395">IFERROR(INDEX('HIV-Other HPs'!$U$123:$U$223,MATCH($E395&amp;$F395,'HIV-Other HPs'!$D$123:$D$223&amp;'HIV-Other HPs'!$G$123:$G$223,0)),0)</f>
        <v>0</v>
      </c>
      <c r="AC395" s="652">
        <f>IF(ISERROR($AA395*AB395),0,$AA395*AB395)</f>
        <v>0</v>
      </c>
      <c r="AD395" s="652">
        <f>IF(C395="Upfront",AB395,IF(C395="At delivery",R395,0))</f>
        <v>0</v>
      </c>
      <c r="AE395" s="652">
        <f>IF(C395="Upfront",AC395,IF(C395="At delivery",S395,0))</f>
        <v>0</v>
      </c>
      <c r="AF395" s="651">
        <f t="array" ref="AF395">IFERROR(INDEX('HIV-Other HPs'!$V$123:$V$223,MATCH($E395&amp;$F395,'HIV-Other HPs'!$D$123:$D$223&amp;'HIV-Other HPs'!$G$123:$G$223,0)),0)</f>
        <v>0</v>
      </c>
      <c r="AG395" s="652">
        <f>IF(ISERROR($AA395*AF395),0,$AA395*AF395)</f>
        <v>0</v>
      </c>
      <c r="AH395" s="652">
        <f>IF(C395="Upfront",AF395,IF(C395="At delivery",V395,0))</f>
        <v>0</v>
      </c>
      <c r="AI395" s="652">
        <f>IF(C395="Upfront",AG395,IF(C395="At delivery",W395,0))</f>
        <v>0</v>
      </c>
      <c r="AJ395" s="651">
        <f t="array" ref="AJ395">IFERROR(INDEX('HIV-Other HPs'!$W$123:$W$223,MATCH($E395&amp;$F395,'HIV-Other HPs'!$D$123:$D$223&amp;'HIV-Other HPs'!$G$123:$G$223,0)),0)</f>
        <v>0</v>
      </c>
      <c r="AK395" s="652">
        <f>IF(ISERROR($AA395*AJ395),0,$AA395*AJ395)</f>
        <v>0</v>
      </c>
      <c r="AL395" s="652">
        <f>IF(C395="Upfront",AJ395,IF(C395="At delivery",AB395,0))</f>
        <v>0</v>
      </c>
      <c r="AM395" s="652">
        <f>IF(C395="Upfront",AK395,IF(C395="At delivery",AC395,0))</f>
        <v>0</v>
      </c>
      <c r="AN395" s="651">
        <f t="array" ref="AN395">IFERROR(INDEX('HIV-Other HPs'!$X$123:$X$223,MATCH($E395&amp;$F395,'HIV-Other HPs'!$D$123:$D$223&amp;'HIV-Other HPs'!$G$123:$G$223,0)),0)</f>
        <v>0</v>
      </c>
      <c r="AO395" s="652">
        <f>IF(ISERROR($AA395*AN395),0,$AA395*AN395)</f>
        <v>0</v>
      </c>
      <c r="AP395" s="652">
        <f>IF(C395="Upfront",AN395,IF(C395="At delivery",AF395,0))</f>
        <v>0</v>
      </c>
      <c r="AQ395" s="652">
        <f>IF(C395="Upfront",AO395,IF(C395="At delivery",AG395,0))</f>
        <v>0</v>
      </c>
      <c r="AR395" s="664"/>
      <c r="AS395" s="651">
        <f t="array" ref="AS395">IFERROR(INDEX('HIV-Other HPs'!$AA$123:$AA$223,MATCH($E395&amp;$F395,'HIV-Other HPs'!$D$123:$D$223&amp;'HIV-Other HPs'!$G$123:$G$223,0)),0)</f>
        <v>0</v>
      </c>
      <c r="AT395" s="651">
        <f t="array" ref="AT395">IFERROR(INDEX('HIV-Other HPs'!$AB$123:$AB$223,MATCH($E395&amp;$F395,'HIV-Other HPs'!$D$123:$D$223&amp;'HIV-Other HPs'!$G$123:$G$223,0)),0)</f>
        <v>0</v>
      </c>
      <c r="AU395" s="652">
        <f>IF(ISERROR($AS395*AT395),0,$AS395*AT395)</f>
        <v>0</v>
      </c>
      <c r="AV395" s="652">
        <f>IF(C395="Upfront",AT395,IF(C395="At delivery",AJ395,0))</f>
        <v>0</v>
      </c>
      <c r="AW395" s="652">
        <f>IF(C395="Upfront",AU395,IF(C395="At delivery",AK395,0))</f>
        <v>0</v>
      </c>
      <c r="AX395" s="651">
        <f t="array" ref="AX395">IFERROR(INDEX('HIV-Other HPs'!$AC$123:$AC$223,MATCH($E395&amp;$F395,'HIV-Other HPs'!$D$123:$D$223&amp;'HIV-Other HPs'!$G$123:$G$223,0)),0)</f>
        <v>0</v>
      </c>
      <c r="AY395" s="652">
        <f>IF(ISERROR($AS395*AX395),0,$AS395*AX395)</f>
        <v>0</v>
      </c>
      <c r="AZ395" s="652">
        <f>IF(C395="Upfront",AX395,IF(C395="At delivery",AN395,0))</f>
        <v>0</v>
      </c>
      <c r="BA395" s="652">
        <f>IF(C395="Upfront",AY395,IF(C395="At delivery",AO395,0))</f>
        <v>0</v>
      </c>
      <c r="BB395" s="651">
        <f t="array" ref="BB395">IFERROR(INDEX('HIV-Other HPs'!$AD$123:$AD$223,MATCH($E395&amp;$F395,'HIV-Other HPs'!$D$123:$D$223&amp;'HIV-Other HPs'!$G$123:$G$223,0)),0)</f>
        <v>0</v>
      </c>
      <c r="BC395" s="652">
        <f>IF(ISERROR($AS395*BB395),0,$AS395*BB395)</f>
        <v>0</v>
      </c>
      <c r="BD395" s="652">
        <f>IF(C395="Upfront",BB395,IF(C395="At delivery",AT395,0))</f>
        <v>0</v>
      </c>
      <c r="BE395" s="652">
        <f>IF(C395="Upfront",BC395,IF(C395="At delivery",AU395,0))</f>
        <v>0</v>
      </c>
      <c r="BF395" s="651">
        <f t="array" ref="BF395">IFERROR(INDEX('HIV-Other HPs'!$AE$123:$AE$223,MATCH($E395&amp;$F395,'HIV-Other HPs'!$D$123:$D$223&amp;'HIV-Other HPs'!$G$123:$G$223,0)),0)</f>
        <v>0</v>
      </c>
      <c r="BG395" s="652">
        <f>IF(ISERROR($AS395*BF395),0,$AS395*BF395)</f>
        <v>0</v>
      </c>
      <c r="BH395" s="652">
        <f>IF(C395="Upfront",BF395,IF(C395="At delivery",AX395,0))</f>
        <v>0</v>
      </c>
      <c r="BI395" s="652">
        <f>IF(C395="Upfront",BG395,IF(C395="At delivery",AY395,0))</f>
        <v>0</v>
      </c>
      <c r="BJ395" s="662"/>
      <c r="BK395" s="663"/>
      <c r="BL395" s="663"/>
      <c r="BM395" s="663"/>
      <c r="BN395" s="663"/>
      <c r="BO395" s="663"/>
      <c r="BP395" s="663"/>
      <c r="BQ395" s="663"/>
      <c r="BR395" s="663"/>
    </row>
    <row r="396" spans="1:70">
      <c r="A396" s="655" t="s">
        <v>1865</v>
      </c>
      <c r="B396" s="655" t="s">
        <v>2287</v>
      </c>
      <c r="C396" s="648">
        <f>SETUP!$F$33</f>
        <v>0</v>
      </c>
      <c r="D396" s="654">
        <v>5.8</v>
      </c>
      <c r="E396" s="663" t="s">
        <v>1488</v>
      </c>
      <c r="F396" s="663" t="s">
        <v>1140</v>
      </c>
      <c r="G396" s="650" t="str">
        <f t="array" ref="G396">IFERROR(INDEX('HIV-Other HPs'!$K$123:$K$223,MATCH($E396&amp;$F396,'HIV-Other HPs'!$D$123:$D$223&amp;'HIV-Other HPs'!$G$123:$G$223,0)),"")</f>
        <v/>
      </c>
      <c r="H396" s="650" t="str">
        <f t="array" ref="H396">IFERROR(INDEX('HIV-Other HPs'!$L$123:$L$223,MATCH($E396&amp;$F396,'HIV-Other HPs'!$D$123:$D$223&amp;'HIV-Other HPs'!$G$123:$G$223,0)),"")</f>
        <v/>
      </c>
      <c r="I396" s="651">
        <f t="array" ref="I396">IFERROR(INDEX('HIV-Other HPs'!$M$123:$M$223,MATCH($E396&amp;$F396,'HIV-Other HPs'!$D$123:$D$223&amp;'HIV-Other HPs'!$G$123:$G$223,0)),0)</f>
        <v>0</v>
      </c>
      <c r="J396" s="651">
        <f t="array" ref="J396">IFERROR(INDEX('HIV-Other HPs'!$N$123:$N$223,MATCH($E396&amp;$F396,'HIV-Other HPs'!$D$123:$D$223&amp;'HIV-Other HPs'!$G$123:$G$223,0)),0)</f>
        <v>0</v>
      </c>
      <c r="K396" s="652">
        <f t="shared" ref="K396:K422" si="324">IF(ISERROR($I396*J396),0,$I396*J396)</f>
        <v>0</v>
      </c>
      <c r="L396" s="652">
        <f t="shared" ref="L396:L422" si="325">IF(C396="Upfront",J396,0)</f>
        <v>0</v>
      </c>
      <c r="M396" s="652">
        <f t="shared" ref="M396:M422" si="326">IF(C396="Upfront",K396,0)</f>
        <v>0</v>
      </c>
      <c r="N396" s="651">
        <f t="array" ref="N396">IFERROR(INDEX('HIV-Other HPs'!$O$123:$O$223,MATCH($E396&amp;$F396,'HIV-Other HPs'!$D$123:$D$223&amp;'HIV-Other HPs'!$G$123:$G$223,0)),0)</f>
        <v>0</v>
      </c>
      <c r="O396" s="652">
        <f t="shared" ref="O396:O422" si="327">IF(ISERROR($I396*N396),0,$I396*N396)</f>
        <v>0</v>
      </c>
      <c r="P396" s="652">
        <f t="shared" ref="P396:P422" si="328">IF(C396="Upfront",N396,0)</f>
        <v>0</v>
      </c>
      <c r="Q396" s="652">
        <f t="shared" ref="Q396:Q422" si="329">IF(C396="Upfront",O396,0)</f>
        <v>0</v>
      </c>
      <c r="R396" s="651">
        <f t="array" ref="R396">IFERROR(INDEX('HIV-Other HPs'!$P$123:$P$223,MATCH($E396&amp;$F396,'HIV-Other HPs'!$D$123:$D$223&amp;'HIV-Other HPs'!$G$123:$G$223,0)),0)</f>
        <v>0</v>
      </c>
      <c r="S396" s="652">
        <f t="shared" ref="S396:S422" si="330">IF(ISERROR($I396*R396),0,$I396*R396)</f>
        <v>0</v>
      </c>
      <c r="T396" s="652">
        <f t="shared" ref="T396:T422" si="331">IF(C396="Upfront",R396,IF(C396="At delivery",J396,0))</f>
        <v>0</v>
      </c>
      <c r="U396" s="652">
        <f t="shared" ref="U396:U422" si="332">IF(C396="Upfront",S396,IF(C396="At delivery",K396,0))</f>
        <v>0</v>
      </c>
      <c r="V396" s="651">
        <f t="array" ref="V396">IFERROR(INDEX('HIV-Other HPs'!$Q$123:$Q$223,MATCH($E396&amp;$F396,'HIV-Other HPs'!$D$123:$D$223&amp;'HIV-Other HPs'!$G$123:$G$223,0)),0)</f>
        <v>0</v>
      </c>
      <c r="W396" s="652">
        <f t="shared" ref="W396:W422" si="333">IF(ISERROR($I396*V396),0,$I396*V396)</f>
        <v>0</v>
      </c>
      <c r="X396" s="652">
        <f t="shared" ref="X396:X422" si="334">IF(C396="Upfront",V396,IF(C396="At delivery",N396,0))</f>
        <v>0</v>
      </c>
      <c r="Y396" s="652">
        <f t="shared" ref="Y396:Y422" si="335">IF(C396="Upfront",W396,IF(C396="At delivery",O396,0))</f>
        <v>0</v>
      </c>
      <c r="Z396" s="664"/>
      <c r="AA396" s="651">
        <f t="array" ref="AA396">IFERROR(INDEX('HIV-Other HPs'!$T$123:$T$223,MATCH($E396&amp;$F396,'HIV-Other HPs'!$D$123:$D$223&amp;'HIV-Other HPs'!$G$123:$G$223,0)),0)</f>
        <v>0</v>
      </c>
      <c r="AB396" s="651">
        <f t="array" ref="AB396">IFERROR(INDEX('HIV-Other HPs'!$U$123:$U$223,MATCH($E396&amp;$F396,'HIV-Other HPs'!$D$123:$D$223&amp;'HIV-Other HPs'!$G$123:$G$223,0)),0)</f>
        <v>0</v>
      </c>
      <c r="AC396" s="652">
        <f t="shared" ref="AC396:AC422" si="336">IF(ISERROR($AA396*AB396),0,$AA396*AB396)</f>
        <v>0</v>
      </c>
      <c r="AD396" s="652">
        <f t="shared" ref="AD396:AD422" si="337">IF(C396="Upfront",AB396,IF(C396="At delivery",R396,0))</f>
        <v>0</v>
      </c>
      <c r="AE396" s="652">
        <f t="shared" ref="AE396:AE422" si="338">IF(C396="Upfront",AC396,IF(C396="At delivery",S396,0))</f>
        <v>0</v>
      </c>
      <c r="AF396" s="651">
        <f t="array" ref="AF396">IFERROR(INDEX('HIV-Other HPs'!$V$123:$V$223,MATCH($E396&amp;$F396,'HIV-Other HPs'!$D$123:$D$223&amp;'HIV-Other HPs'!$G$123:$G$223,0)),0)</f>
        <v>0</v>
      </c>
      <c r="AG396" s="652">
        <f t="shared" ref="AG396:AG422" si="339">IF(ISERROR($AA396*AF396),0,$AA396*AF396)</f>
        <v>0</v>
      </c>
      <c r="AH396" s="652">
        <f t="shared" ref="AH396:AH422" si="340">IF(C396="Upfront",AF396,IF(C396="At delivery",V396,0))</f>
        <v>0</v>
      </c>
      <c r="AI396" s="652">
        <f t="shared" ref="AI396:AI422" si="341">IF(C396="Upfront",AG396,IF(C396="At delivery",W396,0))</f>
        <v>0</v>
      </c>
      <c r="AJ396" s="651">
        <f t="array" ref="AJ396">IFERROR(INDEX('HIV-Other HPs'!$W$123:$W$223,MATCH($E396&amp;$F396,'HIV-Other HPs'!$D$123:$D$223&amp;'HIV-Other HPs'!$G$123:$G$223,0)),0)</f>
        <v>0</v>
      </c>
      <c r="AK396" s="652">
        <f t="shared" ref="AK396:AK422" si="342">IF(ISERROR($AA396*AJ396),0,$AA396*AJ396)</f>
        <v>0</v>
      </c>
      <c r="AL396" s="652">
        <f t="shared" ref="AL396:AL422" si="343">IF(C396="Upfront",AJ396,IF(C396="At delivery",AB396,0))</f>
        <v>0</v>
      </c>
      <c r="AM396" s="652">
        <f t="shared" ref="AM396:AM422" si="344">IF(C396="Upfront",AK396,IF(C396="At delivery",AC396,0))</f>
        <v>0</v>
      </c>
      <c r="AN396" s="651">
        <f t="array" ref="AN396">IFERROR(INDEX('HIV-Other HPs'!$X$123:$X$223,MATCH($E396&amp;$F396,'HIV-Other HPs'!$D$123:$D$223&amp;'HIV-Other HPs'!$G$123:$G$223,0)),0)</f>
        <v>0</v>
      </c>
      <c r="AO396" s="652">
        <f t="shared" ref="AO396:AO422" si="345">IF(ISERROR($AA396*AN396),0,$AA396*AN396)</f>
        <v>0</v>
      </c>
      <c r="AP396" s="652">
        <f t="shared" ref="AP396:AP422" si="346">IF(C396="Upfront",AN396,IF(C396="At delivery",AF396,0))</f>
        <v>0</v>
      </c>
      <c r="AQ396" s="652">
        <f t="shared" ref="AQ396:AQ422" si="347">IF(C396="Upfront",AO396,IF(C396="At delivery",AG396,0))</f>
        <v>0</v>
      </c>
      <c r="AR396" s="664"/>
      <c r="AS396" s="651">
        <f t="array" ref="AS396">IFERROR(INDEX('HIV-Other HPs'!$AA$123:$AA$223,MATCH($E396&amp;$F396,'HIV-Other HPs'!$D$123:$D$223&amp;'HIV-Other HPs'!$G$123:$G$223,0)),0)</f>
        <v>0</v>
      </c>
      <c r="AT396" s="651">
        <f t="array" ref="AT396">IFERROR(INDEX('HIV-Other HPs'!$AB$123:$AB$223,MATCH($E396&amp;$F396,'HIV-Other HPs'!$D$123:$D$223&amp;'HIV-Other HPs'!$G$123:$G$223,0)),0)</f>
        <v>0</v>
      </c>
      <c r="AU396" s="652">
        <f t="shared" ref="AU396:AU422" si="348">IF(ISERROR($AS396*AT396),0,$AS396*AT396)</f>
        <v>0</v>
      </c>
      <c r="AV396" s="652">
        <f t="shared" ref="AV396:AV422" si="349">IF(C396="Upfront",AT396,IF(C396="At delivery",AJ396,0))</f>
        <v>0</v>
      </c>
      <c r="AW396" s="652">
        <f t="shared" ref="AW396:AW422" si="350">IF(C396="Upfront",AU396,IF(C396="At delivery",AK396,0))</f>
        <v>0</v>
      </c>
      <c r="AX396" s="651">
        <f t="array" ref="AX396">IFERROR(INDEX('HIV-Other HPs'!$AC$123:$AC$223,MATCH($E396&amp;$F396,'HIV-Other HPs'!$D$123:$D$223&amp;'HIV-Other HPs'!$G$123:$G$223,0)),0)</f>
        <v>0</v>
      </c>
      <c r="AY396" s="652">
        <f t="shared" ref="AY396:AY422" si="351">IF(ISERROR($AS396*AX396),0,$AS396*AX396)</f>
        <v>0</v>
      </c>
      <c r="AZ396" s="652">
        <f t="shared" ref="AZ396:AZ422" si="352">IF(C396="Upfront",AX396,IF(C396="At delivery",AN396,0))</f>
        <v>0</v>
      </c>
      <c r="BA396" s="652">
        <f t="shared" ref="BA396:BA422" si="353">IF(C396="Upfront",AY396,IF(C396="At delivery",AO396,0))</f>
        <v>0</v>
      </c>
      <c r="BB396" s="651">
        <f t="array" ref="BB396">IFERROR(INDEX('HIV-Other HPs'!$AD$123:$AD$223,MATCH($E396&amp;$F396,'HIV-Other HPs'!$D$123:$D$223&amp;'HIV-Other HPs'!$G$123:$G$223,0)),0)</f>
        <v>0</v>
      </c>
      <c r="BC396" s="652">
        <f t="shared" ref="BC396:BC422" si="354">IF(ISERROR($AS396*BB396),0,$AS396*BB396)</f>
        <v>0</v>
      </c>
      <c r="BD396" s="652">
        <f t="shared" ref="BD396:BD422" si="355">IF(C396="Upfront",BB396,IF(C396="At delivery",AT396,0))</f>
        <v>0</v>
      </c>
      <c r="BE396" s="652">
        <f t="shared" ref="BE396:BE422" si="356">IF(C396="Upfront",BC396,IF(C396="At delivery",AU396,0))</f>
        <v>0</v>
      </c>
      <c r="BF396" s="651">
        <f t="array" ref="BF396">IFERROR(INDEX('HIV-Other HPs'!$AE$123:$AE$223,MATCH($E396&amp;$F396,'HIV-Other HPs'!$D$123:$D$223&amp;'HIV-Other HPs'!$G$123:$G$223,0)),0)</f>
        <v>0</v>
      </c>
      <c r="BG396" s="652">
        <f t="shared" ref="BG396:BG422" si="357">IF(ISERROR($AS396*BF396),0,$AS396*BF396)</f>
        <v>0</v>
      </c>
      <c r="BH396" s="652">
        <f t="shared" ref="BH396:BH422" si="358">IF(C396="Upfront",BF396,IF(C396="At delivery",AX396,0))</f>
        <v>0</v>
      </c>
      <c r="BI396" s="652">
        <f t="shared" ref="BI396:BI422" si="359">IF(C396="Upfront",BG396,IF(C396="At delivery",AY396,0))</f>
        <v>0</v>
      </c>
      <c r="BJ396" s="662"/>
      <c r="BK396" s="663"/>
      <c r="BL396" s="663"/>
      <c r="BM396" s="663"/>
      <c r="BN396" s="663"/>
      <c r="BO396" s="663"/>
      <c r="BP396" s="663"/>
      <c r="BQ396" s="663"/>
      <c r="BR396" s="663"/>
    </row>
    <row r="397" spans="1:70">
      <c r="A397" s="655" t="s">
        <v>1865</v>
      </c>
      <c r="B397" s="655" t="s">
        <v>2287</v>
      </c>
      <c r="C397" s="648">
        <f>SETUP!$F$33</f>
        <v>0</v>
      </c>
      <c r="D397" s="654">
        <v>5.8</v>
      </c>
      <c r="E397" s="663" t="s">
        <v>1214</v>
      </c>
      <c r="F397" s="663" t="s">
        <v>1140</v>
      </c>
      <c r="G397" s="650" t="str">
        <f t="array" ref="G397">IFERROR(INDEX('HIV-Other HPs'!$K$123:$K$223,MATCH($E397&amp;$F397,'HIV-Other HPs'!$D$123:$D$223&amp;'HIV-Other HPs'!$G$123:$G$223,0)),"")</f>
        <v/>
      </c>
      <c r="H397" s="650" t="str">
        <f t="array" ref="H397">IFERROR(INDEX('HIV-Other HPs'!$L$123:$L$223,MATCH($E397&amp;$F397,'HIV-Other HPs'!$D$123:$D$223&amp;'HIV-Other HPs'!$G$123:$G$223,0)),"")</f>
        <v/>
      </c>
      <c r="I397" s="651">
        <f t="array" ref="I397">IFERROR(INDEX('HIV-Other HPs'!$M$123:$M$223,MATCH($E397&amp;$F397,'HIV-Other HPs'!$D$123:$D$223&amp;'HIV-Other HPs'!$G$123:$G$223,0)),0)</f>
        <v>0</v>
      </c>
      <c r="J397" s="651">
        <f t="array" ref="J397">IFERROR(INDEX('HIV-Other HPs'!$N$123:$N$223,MATCH($E397&amp;$F397,'HIV-Other HPs'!$D$123:$D$223&amp;'HIV-Other HPs'!$G$123:$G$223,0)),0)</f>
        <v>0</v>
      </c>
      <c r="K397" s="652">
        <f t="shared" si="324"/>
        <v>0</v>
      </c>
      <c r="L397" s="652">
        <f t="shared" si="325"/>
        <v>0</v>
      </c>
      <c r="M397" s="652">
        <f t="shared" si="326"/>
        <v>0</v>
      </c>
      <c r="N397" s="651">
        <f t="array" ref="N397">IFERROR(INDEX('HIV-Other HPs'!$O$123:$O$223,MATCH($E397&amp;$F397,'HIV-Other HPs'!$D$123:$D$223&amp;'HIV-Other HPs'!$G$123:$G$223,0)),0)</f>
        <v>0</v>
      </c>
      <c r="O397" s="652">
        <f t="shared" si="327"/>
        <v>0</v>
      </c>
      <c r="P397" s="652">
        <f t="shared" si="328"/>
        <v>0</v>
      </c>
      <c r="Q397" s="652">
        <f t="shared" si="329"/>
        <v>0</v>
      </c>
      <c r="R397" s="651">
        <f t="array" ref="R397">IFERROR(INDEX('HIV-Other HPs'!$P$123:$P$223,MATCH($E397&amp;$F397,'HIV-Other HPs'!$D$123:$D$223&amp;'HIV-Other HPs'!$G$123:$G$223,0)),0)</f>
        <v>0</v>
      </c>
      <c r="S397" s="652">
        <f t="shared" si="330"/>
        <v>0</v>
      </c>
      <c r="T397" s="652">
        <f t="shared" si="331"/>
        <v>0</v>
      </c>
      <c r="U397" s="652">
        <f t="shared" si="332"/>
        <v>0</v>
      </c>
      <c r="V397" s="651">
        <f t="array" ref="V397">IFERROR(INDEX('HIV-Other HPs'!$Q$123:$Q$223,MATCH($E397&amp;$F397,'HIV-Other HPs'!$D$123:$D$223&amp;'HIV-Other HPs'!$G$123:$G$223,0)),0)</f>
        <v>0</v>
      </c>
      <c r="W397" s="652">
        <f t="shared" si="333"/>
        <v>0</v>
      </c>
      <c r="X397" s="652">
        <f t="shared" si="334"/>
        <v>0</v>
      </c>
      <c r="Y397" s="652">
        <f t="shared" si="335"/>
        <v>0</v>
      </c>
      <c r="Z397" s="664"/>
      <c r="AA397" s="651">
        <f t="array" ref="AA397">IFERROR(INDEX('HIV-Other HPs'!$T$123:$T$223,MATCH($E397&amp;$F397,'HIV-Other HPs'!$D$123:$D$223&amp;'HIV-Other HPs'!$G$123:$G$223,0)),0)</f>
        <v>0</v>
      </c>
      <c r="AB397" s="651">
        <f t="array" ref="AB397">IFERROR(INDEX('HIV-Other HPs'!$U$123:$U$223,MATCH($E397&amp;$F397,'HIV-Other HPs'!$D$123:$D$223&amp;'HIV-Other HPs'!$G$123:$G$223,0)),0)</f>
        <v>0</v>
      </c>
      <c r="AC397" s="652">
        <f t="shared" si="336"/>
        <v>0</v>
      </c>
      <c r="AD397" s="652">
        <f t="shared" si="337"/>
        <v>0</v>
      </c>
      <c r="AE397" s="652">
        <f t="shared" si="338"/>
        <v>0</v>
      </c>
      <c r="AF397" s="651">
        <f t="array" ref="AF397">IFERROR(INDEX('HIV-Other HPs'!$V$123:$V$223,MATCH($E397&amp;$F397,'HIV-Other HPs'!$D$123:$D$223&amp;'HIV-Other HPs'!$G$123:$G$223,0)),0)</f>
        <v>0</v>
      </c>
      <c r="AG397" s="652">
        <f t="shared" si="339"/>
        <v>0</v>
      </c>
      <c r="AH397" s="652">
        <f t="shared" si="340"/>
        <v>0</v>
      </c>
      <c r="AI397" s="652">
        <f t="shared" si="341"/>
        <v>0</v>
      </c>
      <c r="AJ397" s="651">
        <f t="array" ref="AJ397">IFERROR(INDEX('HIV-Other HPs'!$W$123:$W$223,MATCH($E397&amp;$F397,'HIV-Other HPs'!$D$123:$D$223&amp;'HIV-Other HPs'!$G$123:$G$223,0)),0)</f>
        <v>0</v>
      </c>
      <c r="AK397" s="652">
        <f t="shared" si="342"/>
        <v>0</v>
      </c>
      <c r="AL397" s="652">
        <f t="shared" si="343"/>
        <v>0</v>
      </c>
      <c r="AM397" s="652">
        <f t="shared" si="344"/>
        <v>0</v>
      </c>
      <c r="AN397" s="651">
        <f t="array" ref="AN397">IFERROR(INDEX('HIV-Other HPs'!$X$123:$X$223,MATCH($E397&amp;$F397,'HIV-Other HPs'!$D$123:$D$223&amp;'HIV-Other HPs'!$G$123:$G$223,0)),0)</f>
        <v>0</v>
      </c>
      <c r="AO397" s="652">
        <f t="shared" si="345"/>
        <v>0</v>
      </c>
      <c r="AP397" s="652">
        <f t="shared" si="346"/>
        <v>0</v>
      </c>
      <c r="AQ397" s="652">
        <f t="shared" si="347"/>
        <v>0</v>
      </c>
      <c r="AR397" s="664"/>
      <c r="AS397" s="651">
        <f t="array" ref="AS397">IFERROR(INDEX('HIV-Other HPs'!$AA$123:$AA$223,MATCH($E397&amp;$F397,'HIV-Other HPs'!$D$123:$D$223&amp;'HIV-Other HPs'!$G$123:$G$223,0)),0)</f>
        <v>0</v>
      </c>
      <c r="AT397" s="651">
        <f t="array" ref="AT397">IFERROR(INDEX('HIV-Other HPs'!$AB$123:$AB$223,MATCH($E397&amp;$F397,'HIV-Other HPs'!$D$123:$D$223&amp;'HIV-Other HPs'!$G$123:$G$223,0)),0)</f>
        <v>0</v>
      </c>
      <c r="AU397" s="652">
        <f t="shared" si="348"/>
        <v>0</v>
      </c>
      <c r="AV397" s="652">
        <f t="shared" si="349"/>
        <v>0</v>
      </c>
      <c r="AW397" s="652">
        <f t="shared" si="350"/>
        <v>0</v>
      </c>
      <c r="AX397" s="651">
        <f t="array" ref="AX397">IFERROR(INDEX('HIV-Other HPs'!$AC$123:$AC$223,MATCH($E397&amp;$F397,'HIV-Other HPs'!$D$123:$D$223&amp;'HIV-Other HPs'!$G$123:$G$223,0)),0)</f>
        <v>0</v>
      </c>
      <c r="AY397" s="652">
        <f t="shared" si="351"/>
        <v>0</v>
      </c>
      <c r="AZ397" s="652">
        <f t="shared" si="352"/>
        <v>0</v>
      </c>
      <c r="BA397" s="652">
        <f t="shared" si="353"/>
        <v>0</v>
      </c>
      <c r="BB397" s="651">
        <f t="array" ref="BB397">IFERROR(INDEX('HIV-Other HPs'!$AD$123:$AD$223,MATCH($E397&amp;$F397,'HIV-Other HPs'!$D$123:$D$223&amp;'HIV-Other HPs'!$G$123:$G$223,0)),0)</f>
        <v>0</v>
      </c>
      <c r="BC397" s="652">
        <f t="shared" si="354"/>
        <v>0</v>
      </c>
      <c r="BD397" s="652">
        <f t="shared" si="355"/>
        <v>0</v>
      </c>
      <c r="BE397" s="652">
        <f t="shared" si="356"/>
        <v>0</v>
      </c>
      <c r="BF397" s="651">
        <f t="array" ref="BF397">IFERROR(INDEX('HIV-Other HPs'!$AE$123:$AE$223,MATCH($E397&amp;$F397,'HIV-Other HPs'!$D$123:$D$223&amp;'HIV-Other HPs'!$G$123:$G$223,0)),0)</f>
        <v>0</v>
      </c>
      <c r="BG397" s="652">
        <f t="shared" si="357"/>
        <v>0</v>
      </c>
      <c r="BH397" s="652">
        <f t="shared" si="358"/>
        <v>0</v>
      </c>
      <c r="BI397" s="652">
        <f t="shared" si="359"/>
        <v>0</v>
      </c>
      <c r="BJ397" s="662"/>
      <c r="BK397" s="663"/>
      <c r="BL397" s="663"/>
      <c r="BM397" s="663"/>
      <c r="BN397" s="663"/>
      <c r="BO397" s="663"/>
      <c r="BP397" s="663"/>
      <c r="BQ397" s="663"/>
      <c r="BR397" s="663"/>
    </row>
    <row r="398" spans="1:70">
      <c r="A398" s="655" t="s">
        <v>1865</v>
      </c>
      <c r="B398" s="655" t="s">
        <v>2287</v>
      </c>
      <c r="C398" s="648">
        <f>SETUP!$F$33</f>
        <v>0</v>
      </c>
      <c r="D398" s="654">
        <v>5.8</v>
      </c>
      <c r="E398" s="663" t="s">
        <v>1215</v>
      </c>
      <c r="F398" s="663" t="s">
        <v>1140</v>
      </c>
      <c r="G398" s="650" t="str">
        <f t="array" ref="G398">IFERROR(INDEX('HIV-Other HPs'!$K$123:$K$223,MATCH($E398&amp;$F398,'HIV-Other HPs'!$D$123:$D$223&amp;'HIV-Other HPs'!$G$123:$G$223,0)),"")</f>
        <v/>
      </c>
      <c r="H398" s="650" t="str">
        <f t="array" ref="H398">IFERROR(INDEX('HIV-Other HPs'!$L$123:$L$223,MATCH($E398&amp;$F398,'HIV-Other HPs'!$D$123:$D$223&amp;'HIV-Other HPs'!$G$123:$G$223,0)),"")</f>
        <v/>
      </c>
      <c r="I398" s="651">
        <f t="array" ref="I398">IFERROR(INDEX('HIV-Other HPs'!$M$123:$M$223,MATCH($E398&amp;$F398,'HIV-Other HPs'!$D$123:$D$223&amp;'HIV-Other HPs'!$G$123:$G$223,0)),0)</f>
        <v>0</v>
      </c>
      <c r="J398" s="651">
        <f t="array" ref="J398">IFERROR(INDEX('HIV-Other HPs'!$N$123:$N$223,MATCH($E398&amp;$F398,'HIV-Other HPs'!$D$123:$D$223&amp;'HIV-Other HPs'!$G$123:$G$223,0)),0)</f>
        <v>0</v>
      </c>
      <c r="K398" s="652">
        <f t="shared" si="324"/>
        <v>0</v>
      </c>
      <c r="L398" s="652">
        <f t="shared" si="325"/>
        <v>0</v>
      </c>
      <c r="M398" s="652">
        <f t="shared" si="326"/>
        <v>0</v>
      </c>
      <c r="N398" s="651">
        <f t="array" ref="N398">IFERROR(INDEX('HIV-Other HPs'!$O$123:$O$223,MATCH($E398&amp;$F398,'HIV-Other HPs'!$D$123:$D$223&amp;'HIV-Other HPs'!$G$123:$G$223,0)),0)</f>
        <v>0</v>
      </c>
      <c r="O398" s="652">
        <f t="shared" si="327"/>
        <v>0</v>
      </c>
      <c r="P398" s="652">
        <f t="shared" si="328"/>
        <v>0</v>
      </c>
      <c r="Q398" s="652">
        <f t="shared" si="329"/>
        <v>0</v>
      </c>
      <c r="R398" s="651">
        <f t="array" ref="R398">IFERROR(INDEX('HIV-Other HPs'!$P$123:$P$223,MATCH($E398&amp;$F398,'HIV-Other HPs'!$D$123:$D$223&amp;'HIV-Other HPs'!$G$123:$G$223,0)),0)</f>
        <v>0</v>
      </c>
      <c r="S398" s="652">
        <f t="shared" si="330"/>
        <v>0</v>
      </c>
      <c r="T398" s="652">
        <f t="shared" si="331"/>
        <v>0</v>
      </c>
      <c r="U398" s="652">
        <f t="shared" si="332"/>
        <v>0</v>
      </c>
      <c r="V398" s="651">
        <f t="array" ref="V398">IFERROR(INDEX('HIV-Other HPs'!$Q$123:$Q$223,MATCH($E398&amp;$F398,'HIV-Other HPs'!$D$123:$D$223&amp;'HIV-Other HPs'!$G$123:$G$223,0)),0)</f>
        <v>0</v>
      </c>
      <c r="W398" s="652">
        <f t="shared" si="333"/>
        <v>0</v>
      </c>
      <c r="X398" s="652">
        <f t="shared" si="334"/>
        <v>0</v>
      </c>
      <c r="Y398" s="652">
        <f t="shared" si="335"/>
        <v>0</v>
      </c>
      <c r="Z398" s="664"/>
      <c r="AA398" s="651">
        <f t="array" ref="AA398">IFERROR(INDEX('HIV-Other HPs'!$T$123:$T$223,MATCH($E398&amp;$F398,'HIV-Other HPs'!$D$123:$D$223&amp;'HIV-Other HPs'!$G$123:$G$223,0)),0)</f>
        <v>0</v>
      </c>
      <c r="AB398" s="651">
        <f t="array" ref="AB398">IFERROR(INDEX('HIV-Other HPs'!$U$123:$U$223,MATCH($E398&amp;$F398,'HIV-Other HPs'!$D$123:$D$223&amp;'HIV-Other HPs'!$G$123:$G$223,0)),0)</f>
        <v>0</v>
      </c>
      <c r="AC398" s="652">
        <f t="shared" si="336"/>
        <v>0</v>
      </c>
      <c r="AD398" s="652">
        <f t="shared" si="337"/>
        <v>0</v>
      </c>
      <c r="AE398" s="652">
        <f t="shared" si="338"/>
        <v>0</v>
      </c>
      <c r="AF398" s="651">
        <f t="array" ref="AF398">IFERROR(INDEX('HIV-Other HPs'!$V$123:$V$223,MATCH($E398&amp;$F398,'HIV-Other HPs'!$D$123:$D$223&amp;'HIV-Other HPs'!$G$123:$G$223,0)),0)</f>
        <v>0</v>
      </c>
      <c r="AG398" s="652">
        <f t="shared" si="339"/>
        <v>0</v>
      </c>
      <c r="AH398" s="652">
        <f t="shared" si="340"/>
        <v>0</v>
      </c>
      <c r="AI398" s="652">
        <f t="shared" si="341"/>
        <v>0</v>
      </c>
      <c r="AJ398" s="651">
        <f t="array" ref="AJ398">IFERROR(INDEX('HIV-Other HPs'!$W$123:$W$223,MATCH($E398&amp;$F398,'HIV-Other HPs'!$D$123:$D$223&amp;'HIV-Other HPs'!$G$123:$G$223,0)),0)</f>
        <v>0</v>
      </c>
      <c r="AK398" s="652">
        <f t="shared" si="342"/>
        <v>0</v>
      </c>
      <c r="AL398" s="652">
        <f t="shared" si="343"/>
        <v>0</v>
      </c>
      <c r="AM398" s="652">
        <f t="shared" si="344"/>
        <v>0</v>
      </c>
      <c r="AN398" s="651">
        <f t="array" ref="AN398">IFERROR(INDEX('HIV-Other HPs'!$X$123:$X$223,MATCH($E398&amp;$F398,'HIV-Other HPs'!$D$123:$D$223&amp;'HIV-Other HPs'!$G$123:$G$223,0)),0)</f>
        <v>0</v>
      </c>
      <c r="AO398" s="652">
        <f t="shared" si="345"/>
        <v>0</v>
      </c>
      <c r="AP398" s="652">
        <f t="shared" si="346"/>
        <v>0</v>
      </c>
      <c r="AQ398" s="652">
        <f t="shared" si="347"/>
        <v>0</v>
      </c>
      <c r="AR398" s="664"/>
      <c r="AS398" s="651">
        <f t="array" ref="AS398">IFERROR(INDEX('HIV-Other HPs'!$AA$123:$AA$223,MATCH($E398&amp;$F398,'HIV-Other HPs'!$D$123:$D$223&amp;'HIV-Other HPs'!$G$123:$G$223,0)),0)</f>
        <v>0</v>
      </c>
      <c r="AT398" s="651">
        <f t="array" ref="AT398">IFERROR(INDEX('HIV-Other HPs'!$AB$123:$AB$223,MATCH($E398&amp;$F398,'HIV-Other HPs'!$D$123:$D$223&amp;'HIV-Other HPs'!$G$123:$G$223,0)),0)</f>
        <v>0</v>
      </c>
      <c r="AU398" s="652">
        <f t="shared" si="348"/>
        <v>0</v>
      </c>
      <c r="AV398" s="652">
        <f t="shared" si="349"/>
        <v>0</v>
      </c>
      <c r="AW398" s="652">
        <f t="shared" si="350"/>
        <v>0</v>
      </c>
      <c r="AX398" s="651">
        <f t="array" ref="AX398">IFERROR(INDEX('HIV-Other HPs'!$AC$123:$AC$223,MATCH($E398&amp;$F398,'HIV-Other HPs'!$D$123:$D$223&amp;'HIV-Other HPs'!$G$123:$G$223,0)),0)</f>
        <v>0</v>
      </c>
      <c r="AY398" s="652">
        <f t="shared" si="351"/>
        <v>0</v>
      </c>
      <c r="AZ398" s="652">
        <f t="shared" si="352"/>
        <v>0</v>
      </c>
      <c r="BA398" s="652">
        <f t="shared" si="353"/>
        <v>0</v>
      </c>
      <c r="BB398" s="651">
        <f t="array" ref="BB398">IFERROR(INDEX('HIV-Other HPs'!$AD$123:$AD$223,MATCH($E398&amp;$F398,'HIV-Other HPs'!$D$123:$D$223&amp;'HIV-Other HPs'!$G$123:$G$223,0)),0)</f>
        <v>0</v>
      </c>
      <c r="BC398" s="652">
        <f t="shared" si="354"/>
        <v>0</v>
      </c>
      <c r="BD398" s="652">
        <f t="shared" si="355"/>
        <v>0</v>
      </c>
      <c r="BE398" s="652">
        <f t="shared" si="356"/>
        <v>0</v>
      </c>
      <c r="BF398" s="651">
        <f t="array" ref="BF398">IFERROR(INDEX('HIV-Other HPs'!$AE$123:$AE$223,MATCH($E398&amp;$F398,'HIV-Other HPs'!$D$123:$D$223&amp;'HIV-Other HPs'!$G$123:$G$223,0)),0)</f>
        <v>0</v>
      </c>
      <c r="BG398" s="652">
        <f t="shared" si="357"/>
        <v>0</v>
      </c>
      <c r="BH398" s="652">
        <f t="shared" si="358"/>
        <v>0</v>
      </c>
      <c r="BI398" s="652">
        <f t="shared" si="359"/>
        <v>0</v>
      </c>
      <c r="BJ398" s="662"/>
      <c r="BK398" s="663"/>
      <c r="BL398" s="663"/>
      <c r="BM398" s="663"/>
      <c r="BN398" s="663"/>
      <c r="BO398" s="663"/>
      <c r="BP398" s="663"/>
      <c r="BQ398" s="663"/>
      <c r="BR398" s="663"/>
    </row>
    <row r="399" spans="1:70">
      <c r="A399" s="655" t="s">
        <v>1865</v>
      </c>
      <c r="B399" s="655" t="s">
        <v>2287</v>
      </c>
      <c r="C399" s="648">
        <f>SETUP!$F$33</f>
        <v>0</v>
      </c>
      <c r="D399" s="654">
        <v>5.8</v>
      </c>
      <c r="E399" s="663" t="s">
        <v>1216</v>
      </c>
      <c r="F399" s="663" t="s">
        <v>1140</v>
      </c>
      <c r="G399" s="650" t="str">
        <f t="array" ref="G399">IFERROR(INDEX('HIV-Other HPs'!$K$123:$K$223,MATCH($E399&amp;$F399,'HIV-Other HPs'!$D$123:$D$223&amp;'HIV-Other HPs'!$G$123:$G$223,0)),"")</f>
        <v/>
      </c>
      <c r="H399" s="650" t="str">
        <f t="array" ref="H399">IFERROR(INDEX('HIV-Other HPs'!$L$123:$L$223,MATCH($E399&amp;$F399,'HIV-Other HPs'!$D$123:$D$223&amp;'HIV-Other HPs'!$G$123:$G$223,0)),"")</f>
        <v/>
      </c>
      <c r="I399" s="651">
        <f t="array" ref="I399">IFERROR(INDEX('HIV-Other HPs'!$M$123:$M$223,MATCH($E399&amp;$F399,'HIV-Other HPs'!$D$123:$D$223&amp;'HIV-Other HPs'!$G$123:$G$223,0)),0)</f>
        <v>0</v>
      </c>
      <c r="J399" s="651">
        <f t="array" ref="J399">IFERROR(INDEX('HIV-Other HPs'!$N$123:$N$223,MATCH($E399&amp;$F399,'HIV-Other HPs'!$D$123:$D$223&amp;'HIV-Other HPs'!$G$123:$G$223,0)),0)</f>
        <v>0</v>
      </c>
      <c r="K399" s="652">
        <f t="shared" si="324"/>
        <v>0</v>
      </c>
      <c r="L399" s="652">
        <f t="shared" si="325"/>
        <v>0</v>
      </c>
      <c r="M399" s="652">
        <f t="shared" si="326"/>
        <v>0</v>
      </c>
      <c r="N399" s="651">
        <f t="array" ref="N399">IFERROR(INDEX('HIV-Other HPs'!$O$123:$O$223,MATCH($E399&amp;$F399,'HIV-Other HPs'!$D$123:$D$223&amp;'HIV-Other HPs'!$G$123:$G$223,0)),0)</f>
        <v>0</v>
      </c>
      <c r="O399" s="652">
        <f t="shared" si="327"/>
        <v>0</v>
      </c>
      <c r="P399" s="652">
        <f t="shared" si="328"/>
        <v>0</v>
      </c>
      <c r="Q399" s="652">
        <f t="shared" si="329"/>
        <v>0</v>
      </c>
      <c r="R399" s="651">
        <f t="array" ref="R399">IFERROR(INDEX('HIV-Other HPs'!$P$123:$P$223,MATCH($E399&amp;$F399,'HIV-Other HPs'!$D$123:$D$223&amp;'HIV-Other HPs'!$G$123:$G$223,0)),0)</f>
        <v>0</v>
      </c>
      <c r="S399" s="652">
        <f t="shared" si="330"/>
        <v>0</v>
      </c>
      <c r="T399" s="652">
        <f t="shared" si="331"/>
        <v>0</v>
      </c>
      <c r="U399" s="652">
        <f t="shared" si="332"/>
        <v>0</v>
      </c>
      <c r="V399" s="651">
        <f t="array" ref="V399">IFERROR(INDEX('HIV-Other HPs'!$Q$123:$Q$223,MATCH($E399&amp;$F399,'HIV-Other HPs'!$D$123:$D$223&amp;'HIV-Other HPs'!$G$123:$G$223,0)),0)</f>
        <v>0</v>
      </c>
      <c r="W399" s="652">
        <f t="shared" si="333"/>
        <v>0</v>
      </c>
      <c r="X399" s="652">
        <f t="shared" si="334"/>
        <v>0</v>
      </c>
      <c r="Y399" s="652">
        <f t="shared" si="335"/>
        <v>0</v>
      </c>
      <c r="Z399" s="664"/>
      <c r="AA399" s="651">
        <f t="array" ref="AA399">IFERROR(INDEX('HIV-Other HPs'!$T$123:$T$223,MATCH($E399&amp;$F399,'HIV-Other HPs'!$D$123:$D$223&amp;'HIV-Other HPs'!$G$123:$G$223,0)),0)</f>
        <v>0</v>
      </c>
      <c r="AB399" s="651">
        <f t="array" ref="AB399">IFERROR(INDEX('HIV-Other HPs'!$U$123:$U$223,MATCH($E399&amp;$F399,'HIV-Other HPs'!$D$123:$D$223&amp;'HIV-Other HPs'!$G$123:$G$223,0)),0)</f>
        <v>0</v>
      </c>
      <c r="AC399" s="652">
        <f t="shared" si="336"/>
        <v>0</v>
      </c>
      <c r="AD399" s="652">
        <f t="shared" si="337"/>
        <v>0</v>
      </c>
      <c r="AE399" s="652">
        <f t="shared" si="338"/>
        <v>0</v>
      </c>
      <c r="AF399" s="651">
        <f t="array" ref="AF399">IFERROR(INDEX('HIV-Other HPs'!$V$123:$V$223,MATCH($E399&amp;$F399,'HIV-Other HPs'!$D$123:$D$223&amp;'HIV-Other HPs'!$G$123:$G$223,0)),0)</f>
        <v>0</v>
      </c>
      <c r="AG399" s="652">
        <f t="shared" si="339"/>
        <v>0</v>
      </c>
      <c r="AH399" s="652">
        <f t="shared" si="340"/>
        <v>0</v>
      </c>
      <c r="AI399" s="652">
        <f t="shared" si="341"/>
        <v>0</v>
      </c>
      <c r="AJ399" s="651">
        <f t="array" ref="AJ399">IFERROR(INDEX('HIV-Other HPs'!$W$123:$W$223,MATCH($E399&amp;$F399,'HIV-Other HPs'!$D$123:$D$223&amp;'HIV-Other HPs'!$G$123:$G$223,0)),0)</f>
        <v>0</v>
      </c>
      <c r="AK399" s="652">
        <f t="shared" si="342"/>
        <v>0</v>
      </c>
      <c r="AL399" s="652">
        <f t="shared" si="343"/>
        <v>0</v>
      </c>
      <c r="AM399" s="652">
        <f t="shared" si="344"/>
        <v>0</v>
      </c>
      <c r="AN399" s="651">
        <f t="array" ref="AN399">IFERROR(INDEX('HIV-Other HPs'!$X$123:$X$223,MATCH($E399&amp;$F399,'HIV-Other HPs'!$D$123:$D$223&amp;'HIV-Other HPs'!$G$123:$G$223,0)),0)</f>
        <v>0</v>
      </c>
      <c r="AO399" s="652">
        <f t="shared" si="345"/>
        <v>0</v>
      </c>
      <c r="AP399" s="652">
        <f t="shared" si="346"/>
        <v>0</v>
      </c>
      <c r="AQ399" s="652">
        <f t="shared" si="347"/>
        <v>0</v>
      </c>
      <c r="AR399" s="664"/>
      <c r="AS399" s="651">
        <f t="array" ref="AS399">IFERROR(INDEX('HIV-Other HPs'!$AA$123:$AA$223,MATCH($E399&amp;$F399,'HIV-Other HPs'!$D$123:$D$223&amp;'HIV-Other HPs'!$G$123:$G$223,0)),0)</f>
        <v>0</v>
      </c>
      <c r="AT399" s="651">
        <f t="array" ref="AT399">IFERROR(INDEX('HIV-Other HPs'!$AB$123:$AB$223,MATCH($E399&amp;$F399,'HIV-Other HPs'!$D$123:$D$223&amp;'HIV-Other HPs'!$G$123:$G$223,0)),0)</f>
        <v>0</v>
      </c>
      <c r="AU399" s="652">
        <f t="shared" si="348"/>
        <v>0</v>
      </c>
      <c r="AV399" s="652">
        <f t="shared" si="349"/>
        <v>0</v>
      </c>
      <c r="AW399" s="652">
        <f t="shared" si="350"/>
        <v>0</v>
      </c>
      <c r="AX399" s="651">
        <f t="array" ref="AX399">IFERROR(INDEX('HIV-Other HPs'!$AC$123:$AC$223,MATCH($E399&amp;$F399,'HIV-Other HPs'!$D$123:$D$223&amp;'HIV-Other HPs'!$G$123:$G$223,0)),0)</f>
        <v>0</v>
      </c>
      <c r="AY399" s="652">
        <f t="shared" si="351"/>
        <v>0</v>
      </c>
      <c r="AZ399" s="652">
        <f t="shared" si="352"/>
        <v>0</v>
      </c>
      <c r="BA399" s="652">
        <f t="shared" si="353"/>
        <v>0</v>
      </c>
      <c r="BB399" s="651">
        <f t="array" ref="BB399">IFERROR(INDEX('HIV-Other HPs'!$AD$123:$AD$223,MATCH($E399&amp;$F399,'HIV-Other HPs'!$D$123:$D$223&amp;'HIV-Other HPs'!$G$123:$G$223,0)),0)</f>
        <v>0</v>
      </c>
      <c r="BC399" s="652">
        <f t="shared" si="354"/>
        <v>0</v>
      </c>
      <c r="BD399" s="652">
        <f t="shared" si="355"/>
        <v>0</v>
      </c>
      <c r="BE399" s="652">
        <f t="shared" si="356"/>
        <v>0</v>
      </c>
      <c r="BF399" s="651">
        <f t="array" ref="BF399">IFERROR(INDEX('HIV-Other HPs'!$AE$123:$AE$223,MATCH($E399&amp;$F399,'HIV-Other HPs'!$D$123:$D$223&amp;'HIV-Other HPs'!$G$123:$G$223,0)),0)</f>
        <v>0</v>
      </c>
      <c r="BG399" s="652">
        <f t="shared" si="357"/>
        <v>0</v>
      </c>
      <c r="BH399" s="652">
        <f t="shared" si="358"/>
        <v>0</v>
      </c>
      <c r="BI399" s="652">
        <f t="shared" si="359"/>
        <v>0</v>
      </c>
      <c r="BJ399" s="662"/>
      <c r="BK399" s="663"/>
      <c r="BL399" s="663"/>
      <c r="BM399" s="663"/>
      <c r="BN399" s="663"/>
      <c r="BO399" s="663"/>
      <c r="BP399" s="663"/>
      <c r="BQ399" s="663"/>
      <c r="BR399" s="663"/>
    </row>
    <row r="400" spans="1:70">
      <c r="A400" s="655" t="s">
        <v>1865</v>
      </c>
      <c r="B400" s="655" t="s">
        <v>2287</v>
      </c>
      <c r="C400" s="648">
        <f>SETUP!$F$33</f>
        <v>0</v>
      </c>
      <c r="D400" s="654">
        <v>5.8</v>
      </c>
      <c r="E400" s="663" t="s">
        <v>1217</v>
      </c>
      <c r="F400" s="663" t="s">
        <v>1140</v>
      </c>
      <c r="G400" s="650" t="str">
        <f t="array" ref="G400">IFERROR(INDEX('HIV-Other HPs'!$K$123:$K$223,MATCH($E400&amp;$F400,'HIV-Other HPs'!$D$123:$D$223&amp;'HIV-Other HPs'!$G$123:$G$223,0)),"")</f>
        <v/>
      </c>
      <c r="H400" s="650" t="str">
        <f t="array" ref="H400">IFERROR(INDEX('HIV-Other HPs'!$L$123:$L$223,MATCH($E400&amp;$F400,'HIV-Other HPs'!$D$123:$D$223&amp;'HIV-Other HPs'!$G$123:$G$223,0)),"")</f>
        <v/>
      </c>
      <c r="I400" s="651">
        <f t="array" ref="I400">IFERROR(INDEX('HIV-Other HPs'!$M$123:$M$223,MATCH($E400&amp;$F400,'HIV-Other HPs'!$D$123:$D$223&amp;'HIV-Other HPs'!$G$123:$G$223,0)),0)</f>
        <v>0</v>
      </c>
      <c r="J400" s="651">
        <f t="array" ref="J400">IFERROR(INDEX('HIV-Other HPs'!$N$123:$N$223,MATCH($E400&amp;$F400,'HIV-Other HPs'!$D$123:$D$223&amp;'HIV-Other HPs'!$G$123:$G$223,0)),0)</f>
        <v>0</v>
      </c>
      <c r="K400" s="652">
        <f t="shared" si="324"/>
        <v>0</v>
      </c>
      <c r="L400" s="652">
        <f t="shared" si="325"/>
        <v>0</v>
      </c>
      <c r="M400" s="652">
        <f t="shared" si="326"/>
        <v>0</v>
      </c>
      <c r="N400" s="651">
        <f t="array" ref="N400">IFERROR(INDEX('HIV-Other HPs'!$O$123:$O$223,MATCH($E400&amp;$F400,'HIV-Other HPs'!$D$123:$D$223&amp;'HIV-Other HPs'!$G$123:$G$223,0)),0)</f>
        <v>0</v>
      </c>
      <c r="O400" s="652">
        <f t="shared" si="327"/>
        <v>0</v>
      </c>
      <c r="P400" s="652">
        <f t="shared" si="328"/>
        <v>0</v>
      </c>
      <c r="Q400" s="652">
        <f t="shared" si="329"/>
        <v>0</v>
      </c>
      <c r="R400" s="651">
        <f t="array" ref="R400">IFERROR(INDEX('HIV-Other HPs'!$P$123:$P$223,MATCH($E400&amp;$F400,'HIV-Other HPs'!$D$123:$D$223&amp;'HIV-Other HPs'!$G$123:$G$223,0)),0)</f>
        <v>0</v>
      </c>
      <c r="S400" s="652">
        <f t="shared" si="330"/>
        <v>0</v>
      </c>
      <c r="T400" s="652">
        <f t="shared" si="331"/>
        <v>0</v>
      </c>
      <c r="U400" s="652">
        <f t="shared" si="332"/>
        <v>0</v>
      </c>
      <c r="V400" s="651">
        <f t="array" ref="V400">IFERROR(INDEX('HIV-Other HPs'!$Q$123:$Q$223,MATCH($E400&amp;$F400,'HIV-Other HPs'!$D$123:$D$223&amp;'HIV-Other HPs'!$G$123:$G$223,0)),0)</f>
        <v>0</v>
      </c>
      <c r="W400" s="652">
        <f t="shared" si="333"/>
        <v>0</v>
      </c>
      <c r="X400" s="652">
        <f t="shared" si="334"/>
        <v>0</v>
      </c>
      <c r="Y400" s="652">
        <f t="shared" si="335"/>
        <v>0</v>
      </c>
      <c r="Z400" s="664"/>
      <c r="AA400" s="651">
        <f t="array" ref="AA400">IFERROR(INDEX('HIV-Other HPs'!$T$123:$T$223,MATCH($E400&amp;$F400,'HIV-Other HPs'!$D$123:$D$223&amp;'HIV-Other HPs'!$G$123:$G$223,0)),0)</f>
        <v>0</v>
      </c>
      <c r="AB400" s="651">
        <f t="array" ref="AB400">IFERROR(INDEX('HIV-Other HPs'!$U$123:$U$223,MATCH($E400&amp;$F400,'HIV-Other HPs'!$D$123:$D$223&amp;'HIV-Other HPs'!$G$123:$G$223,0)),0)</f>
        <v>0</v>
      </c>
      <c r="AC400" s="652">
        <f t="shared" si="336"/>
        <v>0</v>
      </c>
      <c r="AD400" s="652">
        <f t="shared" si="337"/>
        <v>0</v>
      </c>
      <c r="AE400" s="652">
        <f t="shared" si="338"/>
        <v>0</v>
      </c>
      <c r="AF400" s="651">
        <f t="array" ref="AF400">IFERROR(INDEX('HIV-Other HPs'!$V$123:$V$223,MATCH($E400&amp;$F400,'HIV-Other HPs'!$D$123:$D$223&amp;'HIV-Other HPs'!$G$123:$G$223,0)),0)</f>
        <v>0</v>
      </c>
      <c r="AG400" s="652">
        <f t="shared" si="339"/>
        <v>0</v>
      </c>
      <c r="AH400" s="652">
        <f t="shared" si="340"/>
        <v>0</v>
      </c>
      <c r="AI400" s="652">
        <f t="shared" si="341"/>
        <v>0</v>
      </c>
      <c r="AJ400" s="651">
        <f t="array" ref="AJ400">IFERROR(INDEX('HIV-Other HPs'!$W$123:$W$223,MATCH($E400&amp;$F400,'HIV-Other HPs'!$D$123:$D$223&amp;'HIV-Other HPs'!$G$123:$G$223,0)),0)</f>
        <v>0</v>
      </c>
      <c r="AK400" s="652">
        <f t="shared" si="342"/>
        <v>0</v>
      </c>
      <c r="AL400" s="652">
        <f t="shared" si="343"/>
        <v>0</v>
      </c>
      <c r="AM400" s="652">
        <f t="shared" si="344"/>
        <v>0</v>
      </c>
      <c r="AN400" s="651">
        <f t="array" ref="AN400">IFERROR(INDEX('HIV-Other HPs'!$X$123:$X$223,MATCH($E400&amp;$F400,'HIV-Other HPs'!$D$123:$D$223&amp;'HIV-Other HPs'!$G$123:$G$223,0)),0)</f>
        <v>0</v>
      </c>
      <c r="AO400" s="652">
        <f t="shared" si="345"/>
        <v>0</v>
      </c>
      <c r="AP400" s="652">
        <f t="shared" si="346"/>
        <v>0</v>
      </c>
      <c r="AQ400" s="652">
        <f t="shared" si="347"/>
        <v>0</v>
      </c>
      <c r="AR400" s="664"/>
      <c r="AS400" s="651">
        <f t="array" ref="AS400">IFERROR(INDEX('HIV-Other HPs'!$AA$123:$AA$223,MATCH($E400&amp;$F400,'HIV-Other HPs'!$D$123:$D$223&amp;'HIV-Other HPs'!$G$123:$G$223,0)),0)</f>
        <v>0</v>
      </c>
      <c r="AT400" s="651">
        <f t="array" ref="AT400">IFERROR(INDEX('HIV-Other HPs'!$AB$123:$AB$223,MATCH($E400&amp;$F400,'HIV-Other HPs'!$D$123:$D$223&amp;'HIV-Other HPs'!$G$123:$G$223,0)),0)</f>
        <v>0</v>
      </c>
      <c r="AU400" s="652">
        <f t="shared" si="348"/>
        <v>0</v>
      </c>
      <c r="AV400" s="652">
        <f t="shared" si="349"/>
        <v>0</v>
      </c>
      <c r="AW400" s="652">
        <f t="shared" si="350"/>
        <v>0</v>
      </c>
      <c r="AX400" s="651">
        <f t="array" ref="AX400">IFERROR(INDEX('HIV-Other HPs'!$AC$123:$AC$223,MATCH($E400&amp;$F400,'HIV-Other HPs'!$D$123:$D$223&amp;'HIV-Other HPs'!$G$123:$G$223,0)),0)</f>
        <v>0</v>
      </c>
      <c r="AY400" s="652">
        <f t="shared" si="351"/>
        <v>0</v>
      </c>
      <c r="AZ400" s="652">
        <f t="shared" si="352"/>
        <v>0</v>
      </c>
      <c r="BA400" s="652">
        <f t="shared" si="353"/>
        <v>0</v>
      </c>
      <c r="BB400" s="651">
        <f t="array" ref="BB400">IFERROR(INDEX('HIV-Other HPs'!$AD$123:$AD$223,MATCH($E400&amp;$F400,'HIV-Other HPs'!$D$123:$D$223&amp;'HIV-Other HPs'!$G$123:$G$223,0)),0)</f>
        <v>0</v>
      </c>
      <c r="BC400" s="652">
        <f t="shared" si="354"/>
        <v>0</v>
      </c>
      <c r="BD400" s="652">
        <f t="shared" si="355"/>
        <v>0</v>
      </c>
      <c r="BE400" s="652">
        <f t="shared" si="356"/>
        <v>0</v>
      </c>
      <c r="BF400" s="651">
        <f t="array" ref="BF400">IFERROR(INDEX('HIV-Other HPs'!$AE$123:$AE$223,MATCH($E400&amp;$F400,'HIV-Other HPs'!$D$123:$D$223&amp;'HIV-Other HPs'!$G$123:$G$223,0)),0)</f>
        <v>0</v>
      </c>
      <c r="BG400" s="652">
        <f t="shared" si="357"/>
        <v>0</v>
      </c>
      <c r="BH400" s="652">
        <f t="shared" si="358"/>
        <v>0</v>
      </c>
      <c r="BI400" s="652">
        <f t="shared" si="359"/>
        <v>0</v>
      </c>
      <c r="BJ400" s="662"/>
      <c r="BK400" s="663"/>
      <c r="BL400" s="663"/>
      <c r="BM400" s="663"/>
      <c r="BN400" s="663"/>
      <c r="BO400" s="663"/>
      <c r="BP400" s="663"/>
      <c r="BQ400" s="663"/>
      <c r="BR400" s="663"/>
    </row>
    <row r="401" spans="1:70">
      <c r="A401" s="655" t="s">
        <v>1865</v>
      </c>
      <c r="B401" s="655" t="s">
        <v>2287</v>
      </c>
      <c r="C401" s="648">
        <f>SETUP!$F$33</f>
        <v>0</v>
      </c>
      <c r="D401" s="654">
        <v>5.8</v>
      </c>
      <c r="E401" s="663" t="s">
        <v>1218</v>
      </c>
      <c r="F401" s="663" t="s">
        <v>1140</v>
      </c>
      <c r="G401" s="650" t="str">
        <f t="array" ref="G401">IFERROR(INDEX('HIV-Other HPs'!$K$123:$K$223,MATCH($E401&amp;$F401,'HIV-Other HPs'!$D$123:$D$223&amp;'HIV-Other HPs'!$G$123:$G$223,0)),"")</f>
        <v/>
      </c>
      <c r="H401" s="650" t="str">
        <f t="array" ref="H401">IFERROR(INDEX('HIV-Other HPs'!$L$123:$L$223,MATCH($E401&amp;$F401,'HIV-Other HPs'!$D$123:$D$223&amp;'HIV-Other HPs'!$G$123:$G$223,0)),"")</f>
        <v/>
      </c>
      <c r="I401" s="651">
        <f t="array" ref="I401">IFERROR(INDEX('HIV-Other HPs'!$M$123:$M$223,MATCH($E401&amp;$F401,'HIV-Other HPs'!$D$123:$D$223&amp;'HIV-Other HPs'!$G$123:$G$223,0)),0)</f>
        <v>0</v>
      </c>
      <c r="J401" s="651">
        <f t="array" ref="J401">IFERROR(INDEX('HIV-Other HPs'!$N$123:$N$223,MATCH($E401&amp;$F401,'HIV-Other HPs'!$D$123:$D$223&amp;'HIV-Other HPs'!$G$123:$G$223,0)),0)</f>
        <v>0</v>
      </c>
      <c r="K401" s="652">
        <f t="shared" si="324"/>
        <v>0</v>
      </c>
      <c r="L401" s="652">
        <f t="shared" si="325"/>
        <v>0</v>
      </c>
      <c r="M401" s="652">
        <f t="shared" si="326"/>
        <v>0</v>
      </c>
      <c r="N401" s="651">
        <f t="array" ref="N401">IFERROR(INDEX('HIV-Other HPs'!$O$123:$O$223,MATCH($E401&amp;$F401,'HIV-Other HPs'!$D$123:$D$223&amp;'HIV-Other HPs'!$G$123:$G$223,0)),0)</f>
        <v>0</v>
      </c>
      <c r="O401" s="652">
        <f t="shared" si="327"/>
        <v>0</v>
      </c>
      <c r="P401" s="652">
        <f t="shared" si="328"/>
        <v>0</v>
      </c>
      <c r="Q401" s="652">
        <f t="shared" si="329"/>
        <v>0</v>
      </c>
      <c r="R401" s="651">
        <f t="array" ref="R401">IFERROR(INDEX('HIV-Other HPs'!$P$123:$P$223,MATCH($E401&amp;$F401,'HIV-Other HPs'!$D$123:$D$223&amp;'HIV-Other HPs'!$G$123:$G$223,0)),0)</f>
        <v>0</v>
      </c>
      <c r="S401" s="652">
        <f t="shared" si="330"/>
        <v>0</v>
      </c>
      <c r="T401" s="652">
        <f t="shared" si="331"/>
        <v>0</v>
      </c>
      <c r="U401" s="652">
        <f t="shared" si="332"/>
        <v>0</v>
      </c>
      <c r="V401" s="651">
        <f t="array" ref="V401">IFERROR(INDEX('HIV-Other HPs'!$Q$123:$Q$223,MATCH($E401&amp;$F401,'HIV-Other HPs'!$D$123:$D$223&amp;'HIV-Other HPs'!$G$123:$G$223,0)),0)</f>
        <v>0</v>
      </c>
      <c r="W401" s="652">
        <f t="shared" si="333"/>
        <v>0</v>
      </c>
      <c r="X401" s="652">
        <f t="shared" si="334"/>
        <v>0</v>
      </c>
      <c r="Y401" s="652">
        <f t="shared" si="335"/>
        <v>0</v>
      </c>
      <c r="Z401" s="664"/>
      <c r="AA401" s="651">
        <f t="array" ref="AA401">IFERROR(INDEX('HIV-Other HPs'!$T$123:$T$223,MATCH($E401&amp;$F401,'HIV-Other HPs'!$D$123:$D$223&amp;'HIV-Other HPs'!$G$123:$G$223,0)),0)</f>
        <v>0</v>
      </c>
      <c r="AB401" s="651">
        <f t="array" ref="AB401">IFERROR(INDEX('HIV-Other HPs'!$U$123:$U$223,MATCH($E401&amp;$F401,'HIV-Other HPs'!$D$123:$D$223&amp;'HIV-Other HPs'!$G$123:$G$223,0)),0)</f>
        <v>0</v>
      </c>
      <c r="AC401" s="652">
        <f t="shared" si="336"/>
        <v>0</v>
      </c>
      <c r="AD401" s="652">
        <f t="shared" si="337"/>
        <v>0</v>
      </c>
      <c r="AE401" s="652">
        <f t="shared" si="338"/>
        <v>0</v>
      </c>
      <c r="AF401" s="651">
        <f t="array" ref="AF401">IFERROR(INDEX('HIV-Other HPs'!$V$123:$V$223,MATCH($E401&amp;$F401,'HIV-Other HPs'!$D$123:$D$223&amp;'HIV-Other HPs'!$G$123:$G$223,0)),0)</f>
        <v>0</v>
      </c>
      <c r="AG401" s="652">
        <f t="shared" si="339"/>
        <v>0</v>
      </c>
      <c r="AH401" s="652">
        <f t="shared" si="340"/>
        <v>0</v>
      </c>
      <c r="AI401" s="652">
        <f t="shared" si="341"/>
        <v>0</v>
      </c>
      <c r="AJ401" s="651">
        <f t="array" ref="AJ401">IFERROR(INDEX('HIV-Other HPs'!$W$123:$W$223,MATCH($E401&amp;$F401,'HIV-Other HPs'!$D$123:$D$223&amp;'HIV-Other HPs'!$G$123:$G$223,0)),0)</f>
        <v>0</v>
      </c>
      <c r="AK401" s="652">
        <f t="shared" si="342"/>
        <v>0</v>
      </c>
      <c r="AL401" s="652">
        <f t="shared" si="343"/>
        <v>0</v>
      </c>
      <c r="AM401" s="652">
        <f t="shared" si="344"/>
        <v>0</v>
      </c>
      <c r="AN401" s="651">
        <f t="array" ref="AN401">IFERROR(INDEX('HIV-Other HPs'!$X$123:$X$223,MATCH($E401&amp;$F401,'HIV-Other HPs'!$D$123:$D$223&amp;'HIV-Other HPs'!$G$123:$G$223,0)),0)</f>
        <v>0</v>
      </c>
      <c r="AO401" s="652">
        <f t="shared" si="345"/>
        <v>0</v>
      </c>
      <c r="AP401" s="652">
        <f t="shared" si="346"/>
        <v>0</v>
      </c>
      <c r="AQ401" s="652">
        <f t="shared" si="347"/>
        <v>0</v>
      </c>
      <c r="AR401" s="664"/>
      <c r="AS401" s="651">
        <f t="array" ref="AS401">IFERROR(INDEX('HIV-Other HPs'!$AA$123:$AA$223,MATCH($E401&amp;$F401,'HIV-Other HPs'!$D$123:$D$223&amp;'HIV-Other HPs'!$G$123:$G$223,0)),0)</f>
        <v>0</v>
      </c>
      <c r="AT401" s="651">
        <f t="array" ref="AT401">IFERROR(INDEX('HIV-Other HPs'!$AB$123:$AB$223,MATCH($E401&amp;$F401,'HIV-Other HPs'!$D$123:$D$223&amp;'HIV-Other HPs'!$G$123:$G$223,0)),0)</f>
        <v>0</v>
      </c>
      <c r="AU401" s="652">
        <f t="shared" si="348"/>
        <v>0</v>
      </c>
      <c r="AV401" s="652">
        <f t="shared" si="349"/>
        <v>0</v>
      </c>
      <c r="AW401" s="652">
        <f t="shared" si="350"/>
        <v>0</v>
      </c>
      <c r="AX401" s="651">
        <f t="array" ref="AX401">IFERROR(INDEX('HIV-Other HPs'!$AC$123:$AC$223,MATCH($E401&amp;$F401,'HIV-Other HPs'!$D$123:$D$223&amp;'HIV-Other HPs'!$G$123:$G$223,0)),0)</f>
        <v>0</v>
      </c>
      <c r="AY401" s="652">
        <f t="shared" si="351"/>
        <v>0</v>
      </c>
      <c r="AZ401" s="652">
        <f t="shared" si="352"/>
        <v>0</v>
      </c>
      <c r="BA401" s="652">
        <f t="shared" si="353"/>
        <v>0</v>
      </c>
      <c r="BB401" s="651">
        <f t="array" ref="BB401">IFERROR(INDEX('HIV-Other HPs'!$AD$123:$AD$223,MATCH($E401&amp;$F401,'HIV-Other HPs'!$D$123:$D$223&amp;'HIV-Other HPs'!$G$123:$G$223,0)),0)</f>
        <v>0</v>
      </c>
      <c r="BC401" s="652">
        <f t="shared" si="354"/>
        <v>0</v>
      </c>
      <c r="BD401" s="652">
        <f t="shared" si="355"/>
        <v>0</v>
      </c>
      <c r="BE401" s="652">
        <f t="shared" si="356"/>
        <v>0</v>
      </c>
      <c r="BF401" s="651">
        <f t="array" ref="BF401">IFERROR(INDEX('HIV-Other HPs'!$AE$123:$AE$223,MATCH($E401&amp;$F401,'HIV-Other HPs'!$D$123:$D$223&amp;'HIV-Other HPs'!$G$123:$G$223,0)),0)</f>
        <v>0</v>
      </c>
      <c r="BG401" s="652">
        <f t="shared" si="357"/>
        <v>0</v>
      </c>
      <c r="BH401" s="652">
        <f t="shared" si="358"/>
        <v>0</v>
      </c>
      <c r="BI401" s="652">
        <f t="shared" si="359"/>
        <v>0</v>
      </c>
      <c r="BJ401" s="662"/>
      <c r="BK401" s="663"/>
      <c r="BL401" s="663"/>
      <c r="BM401" s="663"/>
      <c r="BN401" s="663"/>
      <c r="BO401" s="663"/>
      <c r="BP401" s="663"/>
      <c r="BQ401" s="663"/>
      <c r="BR401" s="663"/>
    </row>
    <row r="402" spans="1:70">
      <c r="A402" s="655" t="s">
        <v>1865</v>
      </c>
      <c r="B402" s="655" t="s">
        <v>2287</v>
      </c>
      <c r="C402" s="648">
        <f>SETUP!$F$33</f>
        <v>0</v>
      </c>
      <c r="D402" s="654">
        <v>5.8</v>
      </c>
      <c r="E402" s="663" t="s">
        <v>1219</v>
      </c>
      <c r="F402" s="663" t="s">
        <v>1140</v>
      </c>
      <c r="G402" s="650" t="str">
        <f t="array" ref="G402">IFERROR(INDEX('HIV-Other HPs'!$K$123:$K$223,MATCH($E402&amp;$F402,'HIV-Other HPs'!$D$123:$D$223&amp;'HIV-Other HPs'!$G$123:$G$223,0)),"")</f>
        <v/>
      </c>
      <c r="H402" s="650" t="str">
        <f t="array" ref="H402">IFERROR(INDEX('HIV-Other HPs'!$L$123:$L$223,MATCH($E402&amp;$F402,'HIV-Other HPs'!$D$123:$D$223&amp;'HIV-Other HPs'!$G$123:$G$223,0)),"")</f>
        <v/>
      </c>
      <c r="I402" s="651">
        <f t="array" ref="I402">IFERROR(INDEX('HIV-Other HPs'!$M$123:$M$223,MATCH($E402&amp;$F402,'HIV-Other HPs'!$D$123:$D$223&amp;'HIV-Other HPs'!$G$123:$G$223,0)),0)</f>
        <v>0</v>
      </c>
      <c r="J402" s="651">
        <f t="array" ref="J402">IFERROR(INDEX('HIV-Other HPs'!$N$123:$N$223,MATCH($E402&amp;$F402,'HIV-Other HPs'!$D$123:$D$223&amp;'HIV-Other HPs'!$G$123:$G$223,0)),0)</f>
        <v>0</v>
      </c>
      <c r="K402" s="652">
        <f t="shared" si="324"/>
        <v>0</v>
      </c>
      <c r="L402" s="652">
        <f t="shared" si="325"/>
        <v>0</v>
      </c>
      <c r="M402" s="652">
        <f t="shared" si="326"/>
        <v>0</v>
      </c>
      <c r="N402" s="651">
        <f t="array" ref="N402">IFERROR(INDEX('HIV-Other HPs'!$O$123:$O$223,MATCH($E402&amp;$F402,'HIV-Other HPs'!$D$123:$D$223&amp;'HIV-Other HPs'!$G$123:$G$223,0)),0)</f>
        <v>0</v>
      </c>
      <c r="O402" s="652">
        <f t="shared" si="327"/>
        <v>0</v>
      </c>
      <c r="P402" s="652">
        <f t="shared" si="328"/>
        <v>0</v>
      </c>
      <c r="Q402" s="652">
        <f t="shared" si="329"/>
        <v>0</v>
      </c>
      <c r="R402" s="651">
        <f t="array" ref="R402">IFERROR(INDEX('HIV-Other HPs'!$P$123:$P$223,MATCH($E402&amp;$F402,'HIV-Other HPs'!$D$123:$D$223&amp;'HIV-Other HPs'!$G$123:$G$223,0)),0)</f>
        <v>0</v>
      </c>
      <c r="S402" s="652">
        <f t="shared" si="330"/>
        <v>0</v>
      </c>
      <c r="T402" s="652">
        <f t="shared" si="331"/>
        <v>0</v>
      </c>
      <c r="U402" s="652">
        <f t="shared" si="332"/>
        <v>0</v>
      </c>
      <c r="V402" s="651">
        <f t="array" ref="V402">IFERROR(INDEX('HIV-Other HPs'!$Q$123:$Q$223,MATCH($E402&amp;$F402,'HIV-Other HPs'!$D$123:$D$223&amp;'HIV-Other HPs'!$G$123:$G$223,0)),0)</f>
        <v>0</v>
      </c>
      <c r="W402" s="652">
        <f t="shared" si="333"/>
        <v>0</v>
      </c>
      <c r="X402" s="652">
        <f t="shared" si="334"/>
        <v>0</v>
      </c>
      <c r="Y402" s="652">
        <f t="shared" si="335"/>
        <v>0</v>
      </c>
      <c r="Z402" s="664"/>
      <c r="AA402" s="651">
        <f t="array" ref="AA402">IFERROR(INDEX('HIV-Other HPs'!$T$123:$T$223,MATCH($E402&amp;$F402,'HIV-Other HPs'!$D$123:$D$223&amp;'HIV-Other HPs'!$G$123:$G$223,0)),0)</f>
        <v>0</v>
      </c>
      <c r="AB402" s="651">
        <f t="array" ref="AB402">IFERROR(INDEX('HIV-Other HPs'!$U$123:$U$223,MATCH($E402&amp;$F402,'HIV-Other HPs'!$D$123:$D$223&amp;'HIV-Other HPs'!$G$123:$G$223,0)),0)</f>
        <v>0</v>
      </c>
      <c r="AC402" s="652">
        <f t="shared" si="336"/>
        <v>0</v>
      </c>
      <c r="AD402" s="652">
        <f t="shared" si="337"/>
        <v>0</v>
      </c>
      <c r="AE402" s="652">
        <f t="shared" si="338"/>
        <v>0</v>
      </c>
      <c r="AF402" s="651">
        <f t="array" ref="AF402">IFERROR(INDEX('HIV-Other HPs'!$V$123:$V$223,MATCH($E402&amp;$F402,'HIV-Other HPs'!$D$123:$D$223&amp;'HIV-Other HPs'!$G$123:$G$223,0)),0)</f>
        <v>0</v>
      </c>
      <c r="AG402" s="652">
        <f t="shared" si="339"/>
        <v>0</v>
      </c>
      <c r="AH402" s="652">
        <f t="shared" si="340"/>
        <v>0</v>
      </c>
      <c r="AI402" s="652">
        <f t="shared" si="341"/>
        <v>0</v>
      </c>
      <c r="AJ402" s="651">
        <f t="array" ref="AJ402">IFERROR(INDEX('HIV-Other HPs'!$W$123:$W$223,MATCH($E402&amp;$F402,'HIV-Other HPs'!$D$123:$D$223&amp;'HIV-Other HPs'!$G$123:$G$223,0)),0)</f>
        <v>0</v>
      </c>
      <c r="AK402" s="652">
        <f t="shared" si="342"/>
        <v>0</v>
      </c>
      <c r="AL402" s="652">
        <f t="shared" si="343"/>
        <v>0</v>
      </c>
      <c r="AM402" s="652">
        <f t="shared" si="344"/>
        <v>0</v>
      </c>
      <c r="AN402" s="651">
        <f t="array" ref="AN402">IFERROR(INDEX('HIV-Other HPs'!$X$123:$X$223,MATCH($E402&amp;$F402,'HIV-Other HPs'!$D$123:$D$223&amp;'HIV-Other HPs'!$G$123:$G$223,0)),0)</f>
        <v>0</v>
      </c>
      <c r="AO402" s="652">
        <f t="shared" si="345"/>
        <v>0</v>
      </c>
      <c r="AP402" s="652">
        <f t="shared" si="346"/>
        <v>0</v>
      </c>
      <c r="AQ402" s="652">
        <f t="shared" si="347"/>
        <v>0</v>
      </c>
      <c r="AR402" s="664"/>
      <c r="AS402" s="651">
        <f t="array" ref="AS402">IFERROR(INDEX('HIV-Other HPs'!$AA$123:$AA$223,MATCH($E402&amp;$F402,'HIV-Other HPs'!$D$123:$D$223&amp;'HIV-Other HPs'!$G$123:$G$223,0)),0)</f>
        <v>0</v>
      </c>
      <c r="AT402" s="651">
        <f t="array" ref="AT402">IFERROR(INDEX('HIV-Other HPs'!$AB$123:$AB$223,MATCH($E402&amp;$F402,'HIV-Other HPs'!$D$123:$D$223&amp;'HIV-Other HPs'!$G$123:$G$223,0)),0)</f>
        <v>0</v>
      </c>
      <c r="AU402" s="652">
        <f t="shared" si="348"/>
        <v>0</v>
      </c>
      <c r="AV402" s="652">
        <f t="shared" si="349"/>
        <v>0</v>
      </c>
      <c r="AW402" s="652">
        <f t="shared" si="350"/>
        <v>0</v>
      </c>
      <c r="AX402" s="651">
        <f t="array" ref="AX402">IFERROR(INDEX('HIV-Other HPs'!$AC$123:$AC$223,MATCH($E402&amp;$F402,'HIV-Other HPs'!$D$123:$D$223&amp;'HIV-Other HPs'!$G$123:$G$223,0)),0)</f>
        <v>0</v>
      </c>
      <c r="AY402" s="652">
        <f t="shared" si="351"/>
        <v>0</v>
      </c>
      <c r="AZ402" s="652">
        <f t="shared" si="352"/>
        <v>0</v>
      </c>
      <c r="BA402" s="652">
        <f t="shared" si="353"/>
        <v>0</v>
      </c>
      <c r="BB402" s="651">
        <f t="array" ref="BB402">IFERROR(INDEX('HIV-Other HPs'!$AD$123:$AD$223,MATCH($E402&amp;$F402,'HIV-Other HPs'!$D$123:$D$223&amp;'HIV-Other HPs'!$G$123:$G$223,0)),0)</f>
        <v>0</v>
      </c>
      <c r="BC402" s="652">
        <f t="shared" si="354"/>
        <v>0</v>
      </c>
      <c r="BD402" s="652">
        <f t="shared" si="355"/>
        <v>0</v>
      </c>
      <c r="BE402" s="652">
        <f t="shared" si="356"/>
        <v>0</v>
      </c>
      <c r="BF402" s="651">
        <f t="array" ref="BF402">IFERROR(INDEX('HIV-Other HPs'!$AE$123:$AE$223,MATCH($E402&amp;$F402,'HIV-Other HPs'!$D$123:$D$223&amp;'HIV-Other HPs'!$G$123:$G$223,0)),0)</f>
        <v>0</v>
      </c>
      <c r="BG402" s="652">
        <f t="shared" si="357"/>
        <v>0</v>
      </c>
      <c r="BH402" s="652">
        <f t="shared" si="358"/>
        <v>0</v>
      </c>
      <c r="BI402" s="652">
        <f t="shared" si="359"/>
        <v>0</v>
      </c>
      <c r="BJ402" s="662"/>
      <c r="BK402" s="663"/>
      <c r="BL402" s="663"/>
      <c r="BM402" s="663"/>
      <c r="BN402" s="663"/>
      <c r="BO402" s="663"/>
      <c r="BP402" s="663"/>
      <c r="BQ402" s="663"/>
      <c r="BR402" s="663"/>
    </row>
    <row r="403" spans="1:70">
      <c r="A403" s="655" t="s">
        <v>1865</v>
      </c>
      <c r="B403" s="655" t="s">
        <v>2287</v>
      </c>
      <c r="C403" s="648">
        <f>SETUP!$F$33</f>
        <v>0</v>
      </c>
      <c r="D403" s="654">
        <v>5.7</v>
      </c>
      <c r="E403" s="663" t="s">
        <v>1868</v>
      </c>
      <c r="F403" s="663" t="s">
        <v>1140</v>
      </c>
      <c r="G403" s="650" t="str">
        <f t="array" ref="G403">IFERROR(INDEX('HIV-Other HPs'!$K$123:$K$223,MATCH($E403&amp;$F403,'HIV-Other HPs'!$D$123:$D$223&amp;'HIV-Other HPs'!$G$123:$G$223,0)),"")</f>
        <v/>
      </c>
      <c r="H403" s="650" t="str">
        <f t="array" ref="H403">IFERROR(INDEX('HIV-Other HPs'!$L$123:$L$223,MATCH($E403&amp;$F403,'HIV-Other HPs'!$D$123:$D$223&amp;'HIV-Other HPs'!$G$123:$G$223,0)),"")</f>
        <v/>
      </c>
      <c r="I403" s="651">
        <f t="array" ref="I403">IFERROR(INDEX('HIV-Other HPs'!$M$123:$M$223,MATCH($E403&amp;$F403,'HIV-Other HPs'!$D$123:$D$223&amp;'HIV-Other HPs'!$G$123:$G$223,0)),0)</f>
        <v>0</v>
      </c>
      <c r="J403" s="651">
        <f t="array" ref="J403">IFERROR(INDEX('HIV-Other HPs'!$N$123:$N$223,MATCH($E403&amp;$F403,'HIV-Other HPs'!$D$123:$D$223&amp;'HIV-Other HPs'!$G$123:$G$223,0)),0)</f>
        <v>0</v>
      </c>
      <c r="K403" s="652">
        <f t="shared" si="324"/>
        <v>0</v>
      </c>
      <c r="L403" s="652">
        <f t="shared" si="325"/>
        <v>0</v>
      </c>
      <c r="M403" s="652">
        <f t="shared" si="326"/>
        <v>0</v>
      </c>
      <c r="N403" s="651">
        <f t="array" ref="N403">IFERROR(INDEX('HIV-Other HPs'!$O$123:$O$223,MATCH($E403&amp;$F403,'HIV-Other HPs'!$D$123:$D$223&amp;'HIV-Other HPs'!$G$123:$G$223,0)),0)</f>
        <v>0</v>
      </c>
      <c r="O403" s="652">
        <f t="shared" si="327"/>
        <v>0</v>
      </c>
      <c r="P403" s="652">
        <f t="shared" si="328"/>
        <v>0</v>
      </c>
      <c r="Q403" s="652">
        <f t="shared" si="329"/>
        <v>0</v>
      </c>
      <c r="R403" s="651">
        <f t="array" ref="R403">IFERROR(INDEX('HIV-Other HPs'!$P$123:$P$223,MATCH($E403&amp;$F403,'HIV-Other HPs'!$D$123:$D$223&amp;'HIV-Other HPs'!$G$123:$G$223,0)),0)</f>
        <v>0</v>
      </c>
      <c r="S403" s="652">
        <f t="shared" si="330"/>
        <v>0</v>
      </c>
      <c r="T403" s="652">
        <f t="shared" si="331"/>
        <v>0</v>
      </c>
      <c r="U403" s="652">
        <f t="shared" si="332"/>
        <v>0</v>
      </c>
      <c r="V403" s="651">
        <f t="array" ref="V403">IFERROR(INDEX('HIV-Other HPs'!$Q$123:$Q$223,MATCH($E403&amp;$F403,'HIV-Other HPs'!$D$123:$D$223&amp;'HIV-Other HPs'!$G$123:$G$223,0)),0)</f>
        <v>0</v>
      </c>
      <c r="W403" s="652">
        <f t="shared" si="333"/>
        <v>0</v>
      </c>
      <c r="X403" s="652">
        <f t="shared" si="334"/>
        <v>0</v>
      </c>
      <c r="Y403" s="652">
        <f t="shared" si="335"/>
        <v>0</v>
      </c>
      <c r="Z403" s="664"/>
      <c r="AA403" s="651">
        <f t="array" ref="AA403">IFERROR(INDEX('HIV-Other HPs'!$T$123:$T$223,MATCH($E403&amp;$F403,'HIV-Other HPs'!$D$123:$D$223&amp;'HIV-Other HPs'!$G$123:$G$223,0)),0)</f>
        <v>0</v>
      </c>
      <c r="AB403" s="651">
        <f t="array" ref="AB403">IFERROR(INDEX('HIV-Other HPs'!$U$123:$U$223,MATCH($E403&amp;$F403,'HIV-Other HPs'!$D$123:$D$223&amp;'HIV-Other HPs'!$G$123:$G$223,0)),0)</f>
        <v>0</v>
      </c>
      <c r="AC403" s="652">
        <f t="shared" si="336"/>
        <v>0</v>
      </c>
      <c r="AD403" s="652">
        <f t="shared" si="337"/>
        <v>0</v>
      </c>
      <c r="AE403" s="652">
        <f t="shared" si="338"/>
        <v>0</v>
      </c>
      <c r="AF403" s="651">
        <f t="array" ref="AF403">IFERROR(INDEX('HIV-Other HPs'!$V$123:$V$223,MATCH($E403&amp;$F403,'HIV-Other HPs'!$D$123:$D$223&amp;'HIV-Other HPs'!$G$123:$G$223,0)),0)</f>
        <v>0</v>
      </c>
      <c r="AG403" s="652">
        <f t="shared" si="339"/>
        <v>0</v>
      </c>
      <c r="AH403" s="652">
        <f t="shared" si="340"/>
        <v>0</v>
      </c>
      <c r="AI403" s="652">
        <f t="shared" si="341"/>
        <v>0</v>
      </c>
      <c r="AJ403" s="651">
        <f t="array" ref="AJ403">IFERROR(INDEX('HIV-Other HPs'!$W$123:$W$223,MATCH($E403&amp;$F403,'HIV-Other HPs'!$D$123:$D$223&amp;'HIV-Other HPs'!$G$123:$G$223,0)),0)</f>
        <v>0</v>
      </c>
      <c r="AK403" s="652">
        <f t="shared" si="342"/>
        <v>0</v>
      </c>
      <c r="AL403" s="652">
        <f t="shared" si="343"/>
        <v>0</v>
      </c>
      <c r="AM403" s="652">
        <f t="shared" si="344"/>
        <v>0</v>
      </c>
      <c r="AN403" s="651">
        <f t="array" ref="AN403">IFERROR(INDEX('HIV-Other HPs'!$X$123:$X$223,MATCH($E403&amp;$F403,'HIV-Other HPs'!$D$123:$D$223&amp;'HIV-Other HPs'!$G$123:$G$223,0)),0)</f>
        <v>0</v>
      </c>
      <c r="AO403" s="652">
        <f t="shared" si="345"/>
        <v>0</v>
      </c>
      <c r="AP403" s="652">
        <f t="shared" si="346"/>
        <v>0</v>
      </c>
      <c r="AQ403" s="652">
        <f t="shared" si="347"/>
        <v>0</v>
      </c>
      <c r="AR403" s="664"/>
      <c r="AS403" s="651">
        <f t="array" ref="AS403">IFERROR(INDEX('HIV-Other HPs'!$AA$123:$AA$223,MATCH($E403&amp;$F403,'HIV-Other HPs'!$D$123:$D$223&amp;'HIV-Other HPs'!$G$123:$G$223,0)),0)</f>
        <v>0</v>
      </c>
      <c r="AT403" s="651">
        <f t="array" ref="AT403">IFERROR(INDEX('HIV-Other HPs'!$AB$123:$AB$223,MATCH($E403&amp;$F403,'HIV-Other HPs'!$D$123:$D$223&amp;'HIV-Other HPs'!$G$123:$G$223,0)),0)</f>
        <v>0</v>
      </c>
      <c r="AU403" s="652">
        <f t="shared" si="348"/>
        <v>0</v>
      </c>
      <c r="AV403" s="652">
        <f t="shared" si="349"/>
        <v>0</v>
      </c>
      <c r="AW403" s="652">
        <f t="shared" si="350"/>
        <v>0</v>
      </c>
      <c r="AX403" s="651">
        <f t="array" ref="AX403">IFERROR(INDEX('HIV-Other HPs'!$AC$123:$AC$223,MATCH($E403&amp;$F403,'HIV-Other HPs'!$D$123:$D$223&amp;'HIV-Other HPs'!$G$123:$G$223,0)),0)</f>
        <v>0</v>
      </c>
      <c r="AY403" s="652">
        <f t="shared" si="351"/>
        <v>0</v>
      </c>
      <c r="AZ403" s="652">
        <f t="shared" si="352"/>
        <v>0</v>
      </c>
      <c r="BA403" s="652">
        <f t="shared" si="353"/>
        <v>0</v>
      </c>
      <c r="BB403" s="651">
        <f t="array" ref="BB403">IFERROR(INDEX('HIV-Other HPs'!$AD$123:$AD$223,MATCH($E403&amp;$F403,'HIV-Other HPs'!$D$123:$D$223&amp;'HIV-Other HPs'!$G$123:$G$223,0)),0)</f>
        <v>0</v>
      </c>
      <c r="BC403" s="652">
        <f t="shared" si="354"/>
        <v>0</v>
      </c>
      <c r="BD403" s="652">
        <f t="shared" si="355"/>
        <v>0</v>
      </c>
      <c r="BE403" s="652">
        <f t="shared" si="356"/>
        <v>0</v>
      </c>
      <c r="BF403" s="651">
        <f t="array" ref="BF403">IFERROR(INDEX('HIV-Other HPs'!$AE$123:$AE$223,MATCH($E403&amp;$F403,'HIV-Other HPs'!$D$123:$D$223&amp;'HIV-Other HPs'!$G$123:$G$223,0)),0)</f>
        <v>0</v>
      </c>
      <c r="BG403" s="652">
        <f t="shared" si="357"/>
        <v>0</v>
      </c>
      <c r="BH403" s="652">
        <f t="shared" si="358"/>
        <v>0</v>
      </c>
      <c r="BI403" s="652">
        <f t="shared" si="359"/>
        <v>0</v>
      </c>
      <c r="BJ403" s="662"/>
      <c r="BK403" s="663"/>
      <c r="BL403" s="663"/>
      <c r="BM403" s="663"/>
      <c r="BN403" s="663"/>
      <c r="BO403" s="663"/>
      <c r="BP403" s="663"/>
      <c r="BQ403" s="663"/>
      <c r="BR403" s="663"/>
    </row>
    <row r="404" spans="1:70">
      <c r="A404" s="655" t="s">
        <v>1865</v>
      </c>
      <c r="B404" s="655" t="s">
        <v>2287</v>
      </c>
      <c r="C404" s="648">
        <f>SETUP!$F$33</f>
        <v>0</v>
      </c>
      <c r="D404" s="654">
        <v>5.8</v>
      </c>
      <c r="E404" s="663" t="s">
        <v>55</v>
      </c>
      <c r="F404" s="663" t="s">
        <v>1140</v>
      </c>
      <c r="G404" s="650" t="str">
        <f t="array" ref="G404">IFERROR(INDEX('HIV-Other HPs'!$K$123:$K$223,MATCH($E404&amp;$F404,'HIV-Other HPs'!$D$123:$D$223&amp;'HIV-Other HPs'!$G$123:$G$223,0)),"")</f>
        <v/>
      </c>
      <c r="H404" s="650" t="str">
        <f t="array" ref="H404">IFERROR(INDEX('HIV-Other HPs'!$L$123:$L$223,MATCH($E404&amp;$F404,'HIV-Other HPs'!$D$123:$D$223&amp;'HIV-Other HPs'!$G$123:$G$223,0)),"")</f>
        <v/>
      </c>
      <c r="I404" s="651">
        <f t="array" ref="I404">IFERROR(INDEX('HIV-Other HPs'!$M$123:$M$223,MATCH($E404&amp;$F404,'HIV-Other HPs'!$D$123:$D$223&amp;'HIV-Other HPs'!$G$123:$G$223,0)),0)</f>
        <v>0</v>
      </c>
      <c r="J404" s="651">
        <f t="array" ref="J404">IFERROR(INDEX('HIV-Other HPs'!$N$123:$N$223,MATCH($E404&amp;$F404,'HIV-Other HPs'!$D$123:$D$223&amp;'HIV-Other HPs'!$G$123:$G$223,0)),0)</f>
        <v>0</v>
      </c>
      <c r="K404" s="652">
        <f t="shared" si="324"/>
        <v>0</v>
      </c>
      <c r="L404" s="652">
        <f t="shared" si="325"/>
        <v>0</v>
      </c>
      <c r="M404" s="652">
        <f t="shared" si="326"/>
        <v>0</v>
      </c>
      <c r="N404" s="651">
        <f t="array" ref="N404">IFERROR(INDEX('HIV-Other HPs'!$O$123:$O$223,MATCH($E404&amp;$F404,'HIV-Other HPs'!$D$123:$D$223&amp;'HIV-Other HPs'!$G$123:$G$223,0)),0)</f>
        <v>0</v>
      </c>
      <c r="O404" s="652">
        <f t="shared" si="327"/>
        <v>0</v>
      </c>
      <c r="P404" s="652">
        <f t="shared" si="328"/>
        <v>0</v>
      </c>
      <c r="Q404" s="652">
        <f t="shared" si="329"/>
        <v>0</v>
      </c>
      <c r="R404" s="651">
        <f t="array" ref="R404">IFERROR(INDEX('HIV-Other HPs'!$P$123:$P$223,MATCH($E404&amp;$F404,'HIV-Other HPs'!$D$123:$D$223&amp;'HIV-Other HPs'!$G$123:$G$223,0)),0)</f>
        <v>0</v>
      </c>
      <c r="S404" s="652">
        <f t="shared" si="330"/>
        <v>0</v>
      </c>
      <c r="T404" s="652">
        <f t="shared" si="331"/>
        <v>0</v>
      </c>
      <c r="U404" s="652">
        <f t="shared" si="332"/>
        <v>0</v>
      </c>
      <c r="V404" s="651">
        <f t="array" ref="V404">IFERROR(INDEX('HIV-Other HPs'!$Q$123:$Q$223,MATCH($E404&amp;$F404,'HIV-Other HPs'!$D$123:$D$223&amp;'HIV-Other HPs'!$G$123:$G$223,0)),0)</f>
        <v>0</v>
      </c>
      <c r="W404" s="652">
        <f t="shared" si="333"/>
        <v>0</v>
      </c>
      <c r="X404" s="652">
        <f t="shared" si="334"/>
        <v>0</v>
      </c>
      <c r="Y404" s="652">
        <f t="shared" si="335"/>
        <v>0</v>
      </c>
      <c r="Z404" s="664"/>
      <c r="AA404" s="651">
        <f t="array" ref="AA404">IFERROR(INDEX('HIV-Other HPs'!$T$123:$T$223,MATCH($E404&amp;$F404,'HIV-Other HPs'!$D$123:$D$223&amp;'HIV-Other HPs'!$G$123:$G$223,0)),0)</f>
        <v>0</v>
      </c>
      <c r="AB404" s="651">
        <f t="array" ref="AB404">IFERROR(INDEX('HIV-Other HPs'!$U$123:$U$223,MATCH($E404&amp;$F404,'HIV-Other HPs'!$D$123:$D$223&amp;'HIV-Other HPs'!$G$123:$G$223,0)),0)</f>
        <v>0</v>
      </c>
      <c r="AC404" s="652">
        <f t="shared" si="336"/>
        <v>0</v>
      </c>
      <c r="AD404" s="652">
        <f t="shared" si="337"/>
        <v>0</v>
      </c>
      <c r="AE404" s="652">
        <f t="shared" si="338"/>
        <v>0</v>
      </c>
      <c r="AF404" s="651">
        <f t="array" ref="AF404">IFERROR(INDEX('HIV-Other HPs'!$V$123:$V$223,MATCH($E404&amp;$F404,'HIV-Other HPs'!$D$123:$D$223&amp;'HIV-Other HPs'!$G$123:$G$223,0)),0)</f>
        <v>0</v>
      </c>
      <c r="AG404" s="652">
        <f t="shared" si="339"/>
        <v>0</v>
      </c>
      <c r="AH404" s="652">
        <f t="shared" si="340"/>
        <v>0</v>
      </c>
      <c r="AI404" s="652">
        <f t="shared" si="341"/>
        <v>0</v>
      </c>
      <c r="AJ404" s="651">
        <f t="array" ref="AJ404">IFERROR(INDEX('HIV-Other HPs'!$W$123:$W$223,MATCH($E404&amp;$F404,'HIV-Other HPs'!$D$123:$D$223&amp;'HIV-Other HPs'!$G$123:$G$223,0)),0)</f>
        <v>0</v>
      </c>
      <c r="AK404" s="652">
        <f t="shared" si="342"/>
        <v>0</v>
      </c>
      <c r="AL404" s="652">
        <f t="shared" si="343"/>
        <v>0</v>
      </c>
      <c r="AM404" s="652">
        <f t="shared" si="344"/>
        <v>0</v>
      </c>
      <c r="AN404" s="651">
        <f t="array" ref="AN404">IFERROR(INDEX('HIV-Other HPs'!$X$123:$X$223,MATCH($E404&amp;$F404,'HIV-Other HPs'!$D$123:$D$223&amp;'HIV-Other HPs'!$G$123:$G$223,0)),0)</f>
        <v>0</v>
      </c>
      <c r="AO404" s="652">
        <f t="shared" si="345"/>
        <v>0</v>
      </c>
      <c r="AP404" s="652">
        <f t="shared" si="346"/>
        <v>0</v>
      </c>
      <c r="AQ404" s="652">
        <f t="shared" si="347"/>
        <v>0</v>
      </c>
      <c r="AR404" s="664"/>
      <c r="AS404" s="651">
        <f t="array" ref="AS404">IFERROR(INDEX('HIV-Other HPs'!$AA$123:$AA$223,MATCH($E404&amp;$F404,'HIV-Other HPs'!$D$123:$D$223&amp;'HIV-Other HPs'!$G$123:$G$223,0)),0)</f>
        <v>0</v>
      </c>
      <c r="AT404" s="651">
        <f t="array" ref="AT404">IFERROR(INDEX('HIV-Other HPs'!$AB$123:$AB$223,MATCH($E404&amp;$F404,'HIV-Other HPs'!$D$123:$D$223&amp;'HIV-Other HPs'!$G$123:$G$223,0)),0)</f>
        <v>0</v>
      </c>
      <c r="AU404" s="652">
        <f t="shared" si="348"/>
        <v>0</v>
      </c>
      <c r="AV404" s="652">
        <f t="shared" si="349"/>
        <v>0</v>
      </c>
      <c r="AW404" s="652">
        <f t="shared" si="350"/>
        <v>0</v>
      </c>
      <c r="AX404" s="651">
        <f t="array" ref="AX404">IFERROR(INDEX('HIV-Other HPs'!$AC$123:$AC$223,MATCH($E404&amp;$F404,'HIV-Other HPs'!$D$123:$D$223&amp;'HIV-Other HPs'!$G$123:$G$223,0)),0)</f>
        <v>0</v>
      </c>
      <c r="AY404" s="652">
        <f t="shared" si="351"/>
        <v>0</v>
      </c>
      <c r="AZ404" s="652">
        <f t="shared" si="352"/>
        <v>0</v>
      </c>
      <c r="BA404" s="652">
        <f t="shared" si="353"/>
        <v>0</v>
      </c>
      <c r="BB404" s="651">
        <f t="array" ref="BB404">IFERROR(INDEX('HIV-Other HPs'!$AD$123:$AD$223,MATCH($E404&amp;$F404,'HIV-Other HPs'!$D$123:$D$223&amp;'HIV-Other HPs'!$G$123:$G$223,0)),0)</f>
        <v>0</v>
      </c>
      <c r="BC404" s="652">
        <f t="shared" si="354"/>
        <v>0</v>
      </c>
      <c r="BD404" s="652">
        <f t="shared" si="355"/>
        <v>0</v>
      </c>
      <c r="BE404" s="652">
        <f t="shared" si="356"/>
        <v>0</v>
      </c>
      <c r="BF404" s="651">
        <f t="array" ref="BF404">IFERROR(INDEX('HIV-Other HPs'!$AE$123:$AE$223,MATCH($E404&amp;$F404,'HIV-Other HPs'!$D$123:$D$223&amp;'HIV-Other HPs'!$G$123:$G$223,0)),0)</f>
        <v>0</v>
      </c>
      <c r="BG404" s="652">
        <f t="shared" si="357"/>
        <v>0</v>
      </c>
      <c r="BH404" s="652">
        <f t="shared" si="358"/>
        <v>0</v>
      </c>
      <c r="BI404" s="652">
        <f t="shared" si="359"/>
        <v>0</v>
      </c>
      <c r="BJ404" s="662"/>
      <c r="BK404" s="663"/>
      <c r="BL404" s="663"/>
      <c r="BM404" s="663"/>
      <c r="BN404" s="663"/>
      <c r="BO404" s="663"/>
      <c r="BP404" s="663"/>
      <c r="BQ404" s="663"/>
      <c r="BR404" s="663"/>
    </row>
    <row r="405" spans="1:70">
      <c r="A405" s="655" t="s">
        <v>1865</v>
      </c>
      <c r="B405" s="655" t="s">
        <v>2287</v>
      </c>
      <c r="C405" s="648">
        <f>SETUP!$F$33</f>
        <v>0</v>
      </c>
      <c r="D405" s="654">
        <v>5.8</v>
      </c>
      <c r="E405" s="663" t="s">
        <v>1873</v>
      </c>
      <c r="F405" s="663" t="s">
        <v>1140</v>
      </c>
      <c r="G405" s="650" t="str">
        <f t="array" ref="G405">IFERROR(INDEX('HIV-Other HPs'!$K$123:$K$223,MATCH($E405&amp;$F405,'HIV-Other HPs'!$D$123:$D$223&amp;'HIV-Other HPs'!$G$123:$G$223,0)),"")</f>
        <v/>
      </c>
      <c r="H405" s="650" t="str">
        <f t="array" ref="H405">IFERROR(INDEX('HIV-Other HPs'!$L$123:$L$223,MATCH($E405&amp;$F405,'HIV-Other HPs'!$D$123:$D$223&amp;'HIV-Other HPs'!$G$123:$G$223,0)),"")</f>
        <v/>
      </c>
      <c r="I405" s="651">
        <f t="array" ref="I405">IFERROR(INDEX('HIV-Other HPs'!$M$123:$M$223,MATCH($E405&amp;$F405,'HIV-Other HPs'!$D$123:$D$223&amp;'HIV-Other HPs'!$G$123:$G$223,0)),0)</f>
        <v>0</v>
      </c>
      <c r="J405" s="651">
        <f t="array" ref="J405">IFERROR(INDEX('HIV-Other HPs'!$N$123:$N$223,MATCH($E405&amp;$F405,'HIV-Other HPs'!$D$123:$D$223&amp;'HIV-Other HPs'!$G$123:$G$223,0)),0)</f>
        <v>0</v>
      </c>
      <c r="K405" s="652">
        <f t="shared" si="324"/>
        <v>0</v>
      </c>
      <c r="L405" s="652">
        <f t="shared" si="325"/>
        <v>0</v>
      </c>
      <c r="M405" s="652">
        <f t="shared" si="326"/>
        <v>0</v>
      </c>
      <c r="N405" s="651">
        <f t="array" ref="N405">IFERROR(INDEX('HIV-Other HPs'!$O$123:$O$223,MATCH($E405&amp;$F405,'HIV-Other HPs'!$D$123:$D$223&amp;'HIV-Other HPs'!$G$123:$G$223,0)),0)</f>
        <v>0</v>
      </c>
      <c r="O405" s="652">
        <f t="shared" si="327"/>
        <v>0</v>
      </c>
      <c r="P405" s="652">
        <f t="shared" si="328"/>
        <v>0</v>
      </c>
      <c r="Q405" s="652">
        <f t="shared" si="329"/>
        <v>0</v>
      </c>
      <c r="R405" s="651">
        <f t="array" ref="R405">IFERROR(INDEX('HIV-Other HPs'!$P$123:$P$223,MATCH($E405&amp;$F405,'HIV-Other HPs'!$D$123:$D$223&amp;'HIV-Other HPs'!$G$123:$G$223,0)),0)</f>
        <v>0</v>
      </c>
      <c r="S405" s="652">
        <f t="shared" si="330"/>
        <v>0</v>
      </c>
      <c r="T405" s="652">
        <f t="shared" si="331"/>
        <v>0</v>
      </c>
      <c r="U405" s="652">
        <f t="shared" si="332"/>
        <v>0</v>
      </c>
      <c r="V405" s="651">
        <f t="array" ref="V405">IFERROR(INDEX('HIV-Other HPs'!$Q$123:$Q$223,MATCH($E405&amp;$F405,'HIV-Other HPs'!$D$123:$D$223&amp;'HIV-Other HPs'!$G$123:$G$223,0)),0)</f>
        <v>0</v>
      </c>
      <c r="W405" s="652">
        <f t="shared" si="333"/>
        <v>0</v>
      </c>
      <c r="X405" s="652">
        <f t="shared" si="334"/>
        <v>0</v>
      </c>
      <c r="Y405" s="652">
        <f t="shared" si="335"/>
        <v>0</v>
      </c>
      <c r="Z405" s="664"/>
      <c r="AA405" s="651">
        <f t="array" ref="AA405">IFERROR(INDEX('HIV-Other HPs'!$T$123:$T$223,MATCH($E405&amp;$F405,'HIV-Other HPs'!$D$123:$D$223&amp;'HIV-Other HPs'!$G$123:$G$223,0)),0)</f>
        <v>0</v>
      </c>
      <c r="AB405" s="651">
        <f t="array" ref="AB405">IFERROR(INDEX('HIV-Other HPs'!$U$123:$U$223,MATCH($E405&amp;$F405,'HIV-Other HPs'!$D$123:$D$223&amp;'HIV-Other HPs'!$G$123:$G$223,0)),0)</f>
        <v>0</v>
      </c>
      <c r="AC405" s="652">
        <f t="shared" si="336"/>
        <v>0</v>
      </c>
      <c r="AD405" s="652">
        <f t="shared" si="337"/>
        <v>0</v>
      </c>
      <c r="AE405" s="652">
        <f t="shared" si="338"/>
        <v>0</v>
      </c>
      <c r="AF405" s="651">
        <f t="array" ref="AF405">IFERROR(INDEX('HIV-Other HPs'!$V$123:$V$223,MATCH($E405&amp;$F405,'HIV-Other HPs'!$D$123:$D$223&amp;'HIV-Other HPs'!$G$123:$G$223,0)),0)</f>
        <v>0</v>
      </c>
      <c r="AG405" s="652">
        <f t="shared" si="339"/>
        <v>0</v>
      </c>
      <c r="AH405" s="652">
        <f t="shared" si="340"/>
        <v>0</v>
      </c>
      <c r="AI405" s="652">
        <f t="shared" si="341"/>
        <v>0</v>
      </c>
      <c r="AJ405" s="651">
        <f t="array" ref="AJ405">IFERROR(INDEX('HIV-Other HPs'!$W$123:$W$223,MATCH($E405&amp;$F405,'HIV-Other HPs'!$D$123:$D$223&amp;'HIV-Other HPs'!$G$123:$G$223,0)),0)</f>
        <v>0</v>
      </c>
      <c r="AK405" s="652">
        <f t="shared" si="342"/>
        <v>0</v>
      </c>
      <c r="AL405" s="652">
        <f t="shared" si="343"/>
        <v>0</v>
      </c>
      <c r="AM405" s="652">
        <f t="shared" si="344"/>
        <v>0</v>
      </c>
      <c r="AN405" s="651">
        <f t="array" ref="AN405">IFERROR(INDEX('HIV-Other HPs'!$X$123:$X$223,MATCH($E405&amp;$F405,'HIV-Other HPs'!$D$123:$D$223&amp;'HIV-Other HPs'!$G$123:$G$223,0)),0)</f>
        <v>0</v>
      </c>
      <c r="AO405" s="652">
        <f t="shared" si="345"/>
        <v>0</v>
      </c>
      <c r="AP405" s="652">
        <f t="shared" si="346"/>
        <v>0</v>
      </c>
      <c r="AQ405" s="652">
        <f t="shared" si="347"/>
        <v>0</v>
      </c>
      <c r="AR405" s="664"/>
      <c r="AS405" s="651">
        <f t="array" ref="AS405">IFERROR(INDEX('HIV-Other HPs'!$AA$123:$AA$223,MATCH($E405&amp;$F405,'HIV-Other HPs'!$D$123:$D$223&amp;'HIV-Other HPs'!$G$123:$G$223,0)),0)</f>
        <v>0</v>
      </c>
      <c r="AT405" s="651">
        <f t="array" ref="AT405">IFERROR(INDEX('HIV-Other HPs'!$AB$123:$AB$223,MATCH($E405&amp;$F405,'HIV-Other HPs'!$D$123:$D$223&amp;'HIV-Other HPs'!$G$123:$G$223,0)),0)</f>
        <v>0</v>
      </c>
      <c r="AU405" s="652">
        <f t="shared" si="348"/>
        <v>0</v>
      </c>
      <c r="AV405" s="652">
        <f t="shared" si="349"/>
        <v>0</v>
      </c>
      <c r="AW405" s="652">
        <f t="shared" si="350"/>
        <v>0</v>
      </c>
      <c r="AX405" s="651">
        <f t="array" ref="AX405">IFERROR(INDEX('HIV-Other HPs'!$AC$123:$AC$223,MATCH($E405&amp;$F405,'HIV-Other HPs'!$D$123:$D$223&amp;'HIV-Other HPs'!$G$123:$G$223,0)),0)</f>
        <v>0</v>
      </c>
      <c r="AY405" s="652">
        <f t="shared" si="351"/>
        <v>0</v>
      </c>
      <c r="AZ405" s="652">
        <f t="shared" si="352"/>
        <v>0</v>
      </c>
      <c r="BA405" s="652">
        <f t="shared" si="353"/>
        <v>0</v>
      </c>
      <c r="BB405" s="651">
        <f t="array" ref="BB405">IFERROR(INDEX('HIV-Other HPs'!$AD$123:$AD$223,MATCH($E405&amp;$F405,'HIV-Other HPs'!$D$123:$D$223&amp;'HIV-Other HPs'!$G$123:$G$223,0)),0)</f>
        <v>0</v>
      </c>
      <c r="BC405" s="652">
        <f t="shared" si="354"/>
        <v>0</v>
      </c>
      <c r="BD405" s="652">
        <f t="shared" si="355"/>
        <v>0</v>
      </c>
      <c r="BE405" s="652">
        <f t="shared" si="356"/>
        <v>0</v>
      </c>
      <c r="BF405" s="651">
        <f t="array" ref="BF405">IFERROR(INDEX('HIV-Other HPs'!$AE$123:$AE$223,MATCH($E405&amp;$F405,'HIV-Other HPs'!$D$123:$D$223&amp;'HIV-Other HPs'!$G$123:$G$223,0)),0)</f>
        <v>0</v>
      </c>
      <c r="BG405" s="652">
        <f t="shared" si="357"/>
        <v>0</v>
      </c>
      <c r="BH405" s="652">
        <f t="shared" si="358"/>
        <v>0</v>
      </c>
      <c r="BI405" s="652">
        <f t="shared" si="359"/>
        <v>0</v>
      </c>
      <c r="BJ405" s="662"/>
      <c r="BK405" s="663"/>
      <c r="BL405" s="663"/>
      <c r="BM405" s="663"/>
      <c r="BN405" s="663"/>
      <c r="BO405" s="663"/>
      <c r="BP405" s="663"/>
      <c r="BQ405" s="663"/>
      <c r="BR405" s="663"/>
    </row>
    <row r="406" spans="1:70">
      <c r="A406" s="655" t="s">
        <v>1865</v>
      </c>
      <c r="B406" s="655" t="s">
        <v>2287</v>
      </c>
      <c r="C406" s="648">
        <f>SETUP!$F$33</f>
        <v>0</v>
      </c>
      <c r="D406" s="654">
        <v>5.8</v>
      </c>
      <c r="E406" s="663" t="s">
        <v>1874</v>
      </c>
      <c r="F406" s="663" t="s">
        <v>1140</v>
      </c>
      <c r="G406" s="650" t="str">
        <f t="array" ref="G406">IFERROR(INDEX('HIV-Other HPs'!$K$123:$K$223,MATCH($E406&amp;$F406,'HIV-Other HPs'!$D$123:$D$223&amp;'HIV-Other HPs'!$G$123:$G$223,0)),"")</f>
        <v/>
      </c>
      <c r="H406" s="650" t="str">
        <f t="array" ref="H406">IFERROR(INDEX('HIV-Other HPs'!$L$123:$L$223,MATCH($E406&amp;$F406,'HIV-Other HPs'!$D$123:$D$223&amp;'HIV-Other HPs'!$G$123:$G$223,0)),"")</f>
        <v/>
      </c>
      <c r="I406" s="651">
        <f t="array" ref="I406">IFERROR(INDEX('HIV-Other HPs'!$M$123:$M$223,MATCH($E406&amp;$F406,'HIV-Other HPs'!$D$123:$D$223&amp;'HIV-Other HPs'!$G$123:$G$223,0)),0)</f>
        <v>0</v>
      </c>
      <c r="J406" s="651">
        <f t="array" ref="J406">IFERROR(INDEX('HIV-Other HPs'!$N$123:$N$223,MATCH($E406&amp;$F406,'HIV-Other HPs'!$D$123:$D$223&amp;'HIV-Other HPs'!$G$123:$G$223,0)),0)</f>
        <v>0</v>
      </c>
      <c r="K406" s="652">
        <f t="shared" si="324"/>
        <v>0</v>
      </c>
      <c r="L406" s="652">
        <f t="shared" si="325"/>
        <v>0</v>
      </c>
      <c r="M406" s="652">
        <f t="shared" si="326"/>
        <v>0</v>
      </c>
      <c r="N406" s="651">
        <f t="array" ref="N406">IFERROR(INDEX('HIV-Other HPs'!$O$123:$O$223,MATCH($E406&amp;$F406,'HIV-Other HPs'!$D$123:$D$223&amp;'HIV-Other HPs'!$G$123:$G$223,0)),0)</f>
        <v>0</v>
      </c>
      <c r="O406" s="652">
        <f t="shared" si="327"/>
        <v>0</v>
      </c>
      <c r="P406" s="652">
        <f t="shared" si="328"/>
        <v>0</v>
      </c>
      <c r="Q406" s="652">
        <f t="shared" si="329"/>
        <v>0</v>
      </c>
      <c r="R406" s="651">
        <f t="array" ref="R406">IFERROR(INDEX('HIV-Other HPs'!$P$123:$P$223,MATCH($E406&amp;$F406,'HIV-Other HPs'!$D$123:$D$223&amp;'HIV-Other HPs'!$G$123:$G$223,0)),0)</f>
        <v>0</v>
      </c>
      <c r="S406" s="652">
        <f t="shared" si="330"/>
        <v>0</v>
      </c>
      <c r="T406" s="652">
        <f t="shared" si="331"/>
        <v>0</v>
      </c>
      <c r="U406" s="652">
        <f t="shared" si="332"/>
        <v>0</v>
      </c>
      <c r="V406" s="651">
        <f t="array" ref="V406">IFERROR(INDEX('HIV-Other HPs'!$Q$123:$Q$223,MATCH($E406&amp;$F406,'HIV-Other HPs'!$D$123:$D$223&amp;'HIV-Other HPs'!$G$123:$G$223,0)),0)</f>
        <v>0</v>
      </c>
      <c r="W406" s="652">
        <f t="shared" si="333"/>
        <v>0</v>
      </c>
      <c r="X406" s="652">
        <f t="shared" si="334"/>
        <v>0</v>
      </c>
      <c r="Y406" s="652">
        <f t="shared" si="335"/>
        <v>0</v>
      </c>
      <c r="Z406" s="664"/>
      <c r="AA406" s="651">
        <f t="array" ref="AA406">IFERROR(INDEX('HIV-Other HPs'!$T$123:$T$223,MATCH($E406&amp;$F406,'HIV-Other HPs'!$D$123:$D$223&amp;'HIV-Other HPs'!$G$123:$G$223,0)),0)</f>
        <v>0</v>
      </c>
      <c r="AB406" s="651">
        <f t="array" ref="AB406">IFERROR(INDEX('HIV-Other HPs'!$U$123:$U$223,MATCH($E406&amp;$F406,'HIV-Other HPs'!$D$123:$D$223&amp;'HIV-Other HPs'!$G$123:$G$223,0)),0)</f>
        <v>0</v>
      </c>
      <c r="AC406" s="652">
        <f t="shared" si="336"/>
        <v>0</v>
      </c>
      <c r="AD406" s="652">
        <f t="shared" si="337"/>
        <v>0</v>
      </c>
      <c r="AE406" s="652">
        <f t="shared" si="338"/>
        <v>0</v>
      </c>
      <c r="AF406" s="651">
        <f t="array" ref="AF406">IFERROR(INDEX('HIV-Other HPs'!$V$123:$V$223,MATCH($E406&amp;$F406,'HIV-Other HPs'!$D$123:$D$223&amp;'HIV-Other HPs'!$G$123:$G$223,0)),0)</f>
        <v>0</v>
      </c>
      <c r="AG406" s="652">
        <f t="shared" si="339"/>
        <v>0</v>
      </c>
      <c r="AH406" s="652">
        <f t="shared" si="340"/>
        <v>0</v>
      </c>
      <c r="AI406" s="652">
        <f t="shared" si="341"/>
        <v>0</v>
      </c>
      <c r="AJ406" s="651">
        <f t="array" ref="AJ406">IFERROR(INDEX('HIV-Other HPs'!$W$123:$W$223,MATCH($E406&amp;$F406,'HIV-Other HPs'!$D$123:$D$223&amp;'HIV-Other HPs'!$G$123:$G$223,0)),0)</f>
        <v>0</v>
      </c>
      <c r="AK406" s="652">
        <f t="shared" si="342"/>
        <v>0</v>
      </c>
      <c r="AL406" s="652">
        <f t="shared" si="343"/>
        <v>0</v>
      </c>
      <c r="AM406" s="652">
        <f t="shared" si="344"/>
        <v>0</v>
      </c>
      <c r="AN406" s="651">
        <f t="array" ref="AN406">IFERROR(INDEX('HIV-Other HPs'!$X$123:$X$223,MATCH($E406&amp;$F406,'HIV-Other HPs'!$D$123:$D$223&amp;'HIV-Other HPs'!$G$123:$G$223,0)),0)</f>
        <v>0</v>
      </c>
      <c r="AO406" s="652">
        <f t="shared" si="345"/>
        <v>0</v>
      </c>
      <c r="AP406" s="652">
        <f t="shared" si="346"/>
        <v>0</v>
      </c>
      <c r="AQ406" s="652">
        <f t="shared" si="347"/>
        <v>0</v>
      </c>
      <c r="AR406" s="664"/>
      <c r="AS406" s="651">
        <f t="array" ref="AS406">IFERROR(INDEX('HIV-Other HPs'!$AA$123:$AA$223,MATCH($E406&amp;$F406,'HIV-Other HPs'!$D$123:$D$223&amp;'HIV-Other HPs'!$G$123:$G$223,0)),0)</f>
        <v>0</v>
      </c>
      <c r="AT406" s="651">
        <f t="array" ref="AT406">IFERROR(INDEX('HIV-Other HPs'!$AB$123:$AB$223,MATCH($E406&amp;$F406,'HIV-Other HPs'!$D$123:$D$223&amp;'HIV-Other HPs'!$G$123:$G$223,0)),0)</f>
        <v>0</v>
      </c>
      <c r="AU406" s="652">
        <f t="shared" si="348"/>
        <v>0</v>
      </c>
      <c r="AV406" s="652">
        <f t="shared" si="349"/>
        <v>0</v>
      </c>
      <c r="AW406" s="652">
        <f t="shared" si="350"/>
        <v>0</v>
      </c>
      <c r="AX406" s="651">
        <f t="array" ref="AX406">IFERROR(INDEX('HIV-Other HPs'!$AC$123:$AC$223,MATCH($E406&amp;$F406,'HIV-Other HPs'!$D$123:$D$223&amp;'HIV-Other HPs'!$G$123:$G$223,0)),0)</f>
        <v>0</v>
      </c>
      <c r="AY406" s="652">
        <f t="shared" si="351"/>
        <v>0</v>
      </c>
      <c r="AZ406" s="652">
        <f t="shared" si="352"/>
        <v>0</v>
      </c>
      <c r="BA406" s="652">
        <f t="shared" si="353"/>
        <v>0</v>
      </c>
      <c r="BB406" s="651">
        <f t="array" ref="BB406">IFERROR(INDEX('HIV-Other HPs'!$AD$123:$AD$223,MATCH($E406&amp;$F406,'HIV-Other HPs'!$D$123:$D$223&amp;'HIV-Other HPs'!$G$123:$G$223,0)),0)</f>
        <v>0</v>
      </c>
      <c r="BC406" s="652">
        <f t="shared" si="354"/>
        <v>0</v>
      </c>
      <c r="BD406" s="652">
        <f t="shared" si="355"/>
        <v>0</v>
      </c>
      <c r="BE406" s="652">
        <f t="shared" si="356"/>
        <v>0</v>
      </c>
      <c r="BF406" s="651">
        <f t="array" ref="BF406">IFERROR(INDEX('HIV-Other HPs'!$AE$123:$AE$223,MATCH($E406&amp;$F406,'HIV-Other HPs'!$D$123:$D$223&amp;'HIV-Other HPs'!$G$123:$G$223,0)),0)</f>
        <v>0</v>
      </c>
      <c r="BG406" s="652">
        <f t="shared" si="357"/>
        <v>0</v>
      </c>
      <c r="BH406" s="652">
        <f t="shared" si="358"/>
        <v>0</v>
      </c>
      <c r="BI406" s="652">
        <f t="shared" si="359"/>
        <v>0</v>
      </c>
      <c r="BJ406" s="662"/>
      <c r="BK406" s="663"/>
      <c r="BL406" s="663"/>
      <c r="BM406" s="663"/>
      <c r="BN406" s="663"/>
      <c r="BO406" s="663"/>
      <c r="BP406" s="663"/>
      <c r="BQ406" s="663"/>
      <c r="BR406" s="663"/>
    </row>
    <row r="407" spans="1:70">
      <c r="A407" s="655" t="s">
        <v>1865</v>
      </c>
      <c r="B407" s="655" t="s">
        <v>2287</v>
      </c>
      <c r="C407" s="648">
        <f>SETUP!$F$33</f>
        <v>0</v>
      </c>
      <c r="D407" s="654">
        <v>5.8</v>
      </c>
      <c r="E407" s="663" t="s">
        <v>1875</v>
      </c>
      <c r="F407" s="663" t="s">
        <v>1140</v>
      </c>
      <c r="G407" s="650" t="str">
        <f t="array" ref="G407">IFERROR(INDEX('HIV-Other HPs'!$K$123:$K$223,MATCH($E407&amp;$F407,'HIV-Other HPs'!$D$123:$D$223&amp;'HIV-Other HPs'!$G$123:$G$223,0)),"")</f>
        <v/>
      </c>
      <c r="H407" s="650" t="str">
        <f t="array" ref="H407">IFERROR(INDEX('HIV-Other HPs'!$L$123:$L$223,MATCH($E407&amp;$F407,'HIV-Other HPs'!$D$123:$D$223&amp;'HIV-Other HPs'!$G$123:$G$223,0)),"")</f>
        <v/>
      </c>
      <c r="I407" s="651">
        <f t="array" ref="I407">IFERROR(INDEX('HIV-Other HPs'!$M$123:$M$223,MATCH($E407&amp;$F407,'HIV-Other HPs'!$D$123:$D$223&amp;'HIV-Other HPs'!$G$123:$G$223,0)),0)</f>
        <v>0</v>
      </c>
      <c r="J407" s="651">
        <f t="array" ref="J407">IFERROR(INDEX('HIV-Other HPs'!$N$123:$N$223,MATCH($E407&amp;$F407,'HIV-Other HPs'!$D$123:$D$223&amp;'HIV-Other HPs'!$G$123:$G$223,0)),0)</f>
        <v>0</v>
      </c>
      <c r="K407" s="652">
        <f t="shared" si="324"/>
        <v>0</v>
      </c>
      <c r="L407" s="652">
        <f t="shared" si="325"/>
        <v>0</v>
      </c>
      <c r="M407" s="652">
        <f t="shared" si="326"/>
        <v>0</v>
      </c>
      <c r="N407" s="651">
        <f t="array" ref="N407">IFERROR(INDEX('HIV-Other HPs'!$O$123:$O$223,MATCH($E407&amp;$F407,'HIV-Other HPs'!$D$123:$D$223&amp;'HIV-Other HPs'!$G$123:$G$223,0)),0)</f>
        <v>0</v>
      </c>
      <c r="O407" s="652">
        <f t="shared" si="327"/>
        <v>0</v>
      </c>
      <c r="P407" s="652">
        <f t="shared" si="328"/>
        <v>0</v>
      </c>
      <c r="Q407" s="652">
        <f t="shared" si="329"/>
        <v>0</v>
      </c>
      <c r="R407" s="651">
        <f t="array" ref="R407">IFERROR(INDEX('HIV-Other HPs'!$P$123:$P$223,MATCH($E407&amp;$F407,'HIV-Other HPs'!$D$123:$D$223&amp;'HIV-Other HPs'!$G$123:$G$223,0)),0)</f>
        <v>0</v>
      </c>
      <c r="S407" s="652">
        <f t="shared" si="330"/>
        <v>0</v>
      </c>
      <c r="T407" s="652">
        <f t="shared" si="331"/>
        <v>0</v>
      </c>
      <c r="U407" s="652">
        <f t="shared" si="332"/>
        <v>0</v>
      </c>
      <c r="V407" s="651">
        <f t="array" ref="V407">IFERROR(INDEX('HIV-Other HPs'!$Q$123:$Q$223,MATCH($E407&amp;$F407,'HIV-Other HPs'!$D$123:$D$223&amp;'HIV-Other HPs'!$G$123:$G$223,0)),0)</f>
        <v>0</v>
      </c>
      <c r="W407" s="652">
        <f t="shared" si="333"/>
        <v>0</v>
      </c>
      <c r="X407" s="652">
        <f t="shared" si="334"/>
        <v>0</v>
      </c>
      <c r="Y407" s="652">
        <f t="shared" si="335"/>
        <v>0</v>
      </c>
      <c r="Z407" s="664"/>
      <c r="AA407" s="651">
        <f t="array" ref="AA407">IFERROR(INDEX('HIV-Other HPs'!$T$123:$T$223,MATCH($E407&amp;$F407,'HIV-Other HPs'!$D$123:$D$223&amp;'HIV-Other HPs'!$G$123:$G$223,0)),0)</f>
        <v>0</v>
      </c>
      <c r="AB407" s="651">
        <f t="array" ref="AB407">IFERROR(INDEX('HIV-Other HPs'!$U$123:$U$223,MATCH($E407&amp;$F407,'HIV-Other HPs'!$D$123:$D$223&amp;'HIV-Other HPs'!$G$123:$G$223,0)),0)</f>
        <v>0</v>
      </c>
      <c r="AC407" s="652">
        <f t="shared" si="336"/>
        <v>0</v>
      </c>
      <c r="AD407" s="652">
        <f t="shared" si="337"/>
        <v>0</v>
      </c>
      <c r="AE407" s="652">
        <f t="shared" si="338"/>
        <v>0</v>
      </c>
      <c r="AF407" s="651">
        <f t="array" ref="AF407">IFERROR(INDEX('HIV-Other HPs'!$V$123:$V$223,MATCH($E407&amp;$F407,'HIV-Other HPs'!$D$123:$D$223&amp;'HIV-Other HPs'!$G$123:$G$223,0)),0)</f>
        <v>0</v>
      </c>
      <c r="AG407" s="652">
        <f t="shared" si="339"/>
        <v>0</v>
      </c>
      <c r="AH407" s="652">
        <f t="shared" si="340"/>
        <v>0</v>
      </c>
      <c r="AI407" s="652">
        <f t="shared" si="341"/>
        <v>0</v>
      </c>
      <c r="AJ407" s="651">
        <f t="array" ref="AJ407">IFERROR(INDEX('HIV-Other HPs'!$W$123:$W$223,MATCH($E407&amp;$F407,'HIV-Other HPs'!$D$123:$D$223&amp;'HIV-Other HPs'!$G$123:$G$223,0)),0)</f>
        <v>0</v>
      </c>
      <c r="AK407" s="652">
        <f t="shared" si="342"/>
        <v>0</v>
      </c>
      <c r="AL407" s="652">
        <f t="shared" si="343"/>
        <v>0</v>
      </c>
      <c r="AM407" s="652">
        <f t="shared" si="344"/>
        <v>0</v>
      </c>
      <c r="AN407" s="651">
        <f t="array" ref="AN407">IFERROR(INDEX('HIV-Other HPs'!$X$123:$X$223,MATCH($E407&amp;$F407,'HIV-Other HPs'!$D$123:$D$223&amp;'HIV-Other HPs'!$G$123:$G$223,0)),0)</f>
        <v>0</v>
      </c>
      <c r="AO407" s="652">
        <f t="shared" si="345"/>
        <v>0</v>
      </c>
      <c r="AP407" s="652">
        <f t="shared" si="346"/>
        <v>0</v>
      </c>
      <c r="AQ407" s="652">
        <f t="shared" si="347"/>
        <v>0</v>
      </c>
      <c r="AR407" s="664"/>
      <c r="AS407" s="651">
        <f t="array" ref="AS407">IFERROR(INDEX('HIV-Other HPs'!$AA$123:$AA$223,MATCH($E407&amp;$F407,'HIV-Other HPs'!$D$123:$D$223&amp;'HIV-Other HPs'!$G$123:$G$223,0)),0)</f>
        <v>0</v>
      </c>
      <c r="AT407" s="651">
        <f t="array" ref="AT407">IFERROR(INDEX('HIV-Other HPs'!$AB$123:$AB$223,MATCH($E407&amp;$F407,'HIV-Other HPs'!$D$123:$D$223&amp;'HIV-Other HPs'!$G$123:$G$223,0)),0)</f>
        <v>0</v>
      </c>
      <c r="AU407" s="652">
        <f t="shared" si="348"/>
        <v>0</v>
      </c>
      <c r="AV407" s="652">
        <f t="shared" si="349"/>
        <v>0</v>
      </c>
      <c r="AW407" s="652">
        <f t="shared" si="350"/>
        <v>0</v>
      </c>
      <c r="AX407" s="651">
        <f t="array" ref="AX407">IFERROR(INDEX('HIV-Other HPs'!$AC$123:$AC$223,MATCH($E407&amp;$F407,'HIV-Other HPs'!$D$123:$D$223&amp;'HIV-Other HPs'!$G$123:$G$223,0)),0)</f>
        <v>0</v>
      </c>
      <c r="AY407" s="652">
        <f t="shared" si="351"/>
        <v>0</v>
      </c>
      <c r="AZ407" s="652">
        <f t="shared" si="352"/>
        <v>0</v>
      </c>
      <c r="BA407" s="652">
        <f t="shared" si="353"/>
        <v>0</v>
      </c>
      <c r="BB407" s="651">
        <f t="array" ref="BB407">IFERROR(INDEX('HIV-Other HPs'!$AD$123:$AD$223,MATCH($E407&amp;$F407,'HIV-Other HPs'!$D$123:$D$223&amp;'HIV-Other HPs'!$G$123:$G$223,0)),0)</f>
        <v>0</v>
      </c>
      <c r="BC407" s="652">
        <f t="shared" si="354"/>
        <v>0</v>
      </c>
      <c r="BD407" s="652">
        <f t="shared" si="355"/>
        <v>0</v>
      </c>
      <c r="BE407" s="652">
        <f t="shared" si="356"/>
        <v>0</v>
      </c>
      <c r="BF407" s="651">
        <f t="array" ref="BF407">IFERROR(INDEX('HIV-Other HPs'!$AE$123:$AE$223,MATCH($E407&amp;$F407,'HIV-Other HPs'!$D$123:$D$223&amp;'HIV-Other HPs'!$G$123:$G$223,0)),0)</f>
        <v>0</v>
      </c>
      <c r="BG407" s="652">
        <f t="shared" si="357"/>
        <v>0</v>
      </c>
      <c r="BH407" s="652">
        <f t="shared" si="358"/>
        <v>0</v>
      </c>
      <c r="BI407" s="652">
        <f t="shared" si="359"/>
        <v>0</v>
      </c>
      <c r="BJ407" s="662"/>
      <c r="BK407" s="663"/>
      <c r="BL407" s="663"/>
      <c r="BM407" s="663"/>
      <c r="BN407" s="663"/>
      <c r="BO407" s="663"/>
      <c r="BP407" s="663"/>
      <c r="BQ407" s="663"/>
      <c r="BR407" s="663"/>
    </row>
    <row r="408" spans="1:70">
      <c r="A408" s="655" t="s">
        <v>1866</v>
      </c>
      <c r="B408" s="655" t="s">
        <v>2287</v>
      </c>
      <c r="C408" s="648">
        <f>SETUP!$F$33</f>
        <v>0</v>
      </c>
      <c r="D408" s="654">
        <v>5.6</v>
      </c>
      <c r="E408" s="663" t="s">
        <v>1229</v>
      </c>
      <c r="F408" s="663"/>
      <c r="G408" s="650" t="str">
        <f t="array" ref="G408">IFERROR(INDEX('HIV-Other HPs'!$K$123:$K$223,MATCH($E408&amp;$F408,'HIV-Other HPs'!$D$123:$D$223&amp;'HIV-Other HPs'!$G$123:$G$223,0)),"")</f>
        <v/>
      </c>
      <c r="H408" s="650" t="str">
        <f t="array" ref="H408">IFERROR(INDEX('HIV-Other HPs'!$L$123:$L$223,MATCH($E408&amp;$F408,'HIV-Other HPs'!$D$123:$D$223&amp;'HIV-Other HPs'!$G$123:$G$223,0)),"")</f>
        <v/>
      </c>
      <c r="I408" s="651">
        <f t="array" ref="I408">IFERROR(INDEX('HIV-Other HPs'!$M$123:$M$223,MATCH($E408&amp;$F408,'HIV-Other HPs'!$D$123:$D$223&amp;'HIV-Other HPs'!$G$123:$G$223,0)),0)</f>
        <v>0</v>
      </c>
      <c r="J408" s="651">
        <f t="array" ref="J408">IFERROR(INDEX('HIV-Other HPs'!$N$123:$N$223,MATCH($E408&amp;$F408,'HIV-Other HPs'!$D$123:$D$223&amp;'HIV-Other HPs'!$G$123:$G$223,0)),0)</f>
        <v>0</v>
      </c>
      <c r="K408" s="652">
        <f t="shared" si="324"/>
        <v>0</v>
      </c>
      <c r="L408" s="652">
        <f t="shared" si="325"/>
        <v>0</v>
      </c>
      <c r="M408" s="652">
        <f t="shared" si="326"/>
        <v>0</v>
      </c>
      <c r="N408" s="651">
        <f t="array" ref="N408">IFERROR(INDEX('HIV-Other HPs'!$O$123:$O$223,MATCH($E408&amp;$F408,'HIV-Other HPs'!$D$123:$D$223&amp;'HIV-Other HPs'!$G$123:$G$223,0)),0)</f>
        <v>0</v>
      </c>
      <c r="O408" s="652">
        <f t="shared" si="327"/>
        <v>0</v>
      </c>
      <c r="P408" s="652">
        <f t="shared" si="328"/>
        <v>0</v>
      </c>
      <c r="Q408" s="652">
        <f t="shared" si="329"/>
        <v>0</v>
      </c>
      <c r="R408" s="651">
        <f t="array" ref="R408">IFERROR(INDEX('HIV-Other HPs'!$P$123:$P$223,MATCH($E408&amp;$F408,'HIV-Other HPs'!$D$123:$D$223&amp;'HIV-Other HPs'!$G$123:$G$223,0)),0)</f>
        <v>0</v>
      </c>
      <c r="S408" s="652">
        <f t="shared" si="330"/>
        <v>0</v>
      </c>
      <c r="T408" s="652">
        <f t="shared" si="331"/>
        <v>0</v>
      </c>
      <c r="U408" s="652">
        <f t="shared" si="332"/>
        <v>0</v>
      </c>
      <c r="V408" s="651">
        <f t="array" ref="V408">IFERROR(INDEX('HIV-Other HPs'!$Q$123:$Q$223,MATCH($E408&amp;$F408,'HIV-Other HPs'!$D$123:$D$223&amp;'HIV-Other HPs'!$G$123:$G$223,0)),0)</f>
        <v>0</v>
      </c>
      <c r="W408" s="652">
        <f t="shared" si="333"/>
        <v>0</v>
      </c>
      <c r="X408" s="652">
        <f t="shared" si="334"/>
        <v>0</v>
      </c>
      <c r="Y408" s="652">
        <f t="shared" si="335"/>
        <v>0</v>
      </c>
      <c r="Z408" s="664"/>
      <c r="AA408" s="651">
        <f t="array" ref="AA408">IFERROR(INDEX('HIV-Other HPs'!$T$123:$T$223,MATCH($E408&amp;$F408,'HIV-Other HPs'!$D$123:$D$223&amp;'HIV-Other HPs'!$G$123:$G$223,0)),0)</f>
        <v>0</v>
      </c>
      <c r="AB408" s="651">
        <f t="array" ref="AB408">IFERROR(INDEX('HIV-Other HPs'!$U$123:$U$223,MATCH($E408&amp;$F408,'HIV-Other HPs'!$D$123:$D$223&amp;'HIV-Other HPs'!$G$123:$G$223,0)),0)</f>
        <v>0</v>
      </c>
      <c r="AC408" s="652">
        <f t="shared" si="336"/>
        <v>0</v>
      </c>
      <c r="AD408" s="652">
        <f t="shared" si="337"/>
        <v>0</v>
      </c>
      <c r="AE408" s="652">
        <f t="shared" si="338"/>
        <v>0</v>
      </c>
      <c r="AF408" s="651">
        <f t="array" ref="AF408">IFERROR(INDEX('HIV-Other HPs'!$V$123:$V$223,MATCH($E408&amp;$F408,'HIV-Other HPs'!$D$123:$D$223&amp;'HIV-Other HPs'!$G$123:$G$223,0)),0)</f>
        <v>0</v>
      </c>
      <c r="AG408" s="652">
        <f t="shared" si="339"/>
        <v>0</v>
      </c>
      <c r="AH408" s="652">
        <f t="shared" si="340"/>
        <v>0</v>
      </c>
      <c r="AI408" s="652">
        <f t="shared" si="341"/>
        <v>0</v>
      </c>
      <c r="AJ408" s="651">
        <f t="array" ref="AJ408">IFERROR(INDEX('HIV-Other HPs'!$W$123:$W$223,MATCH($E408&amp;$F408,'HIV-Other HPs'!$D$123:$D$223&amp;'HIV-Other HPs'!$G$123:$G$223,0)),0)</f>
        <v>0</v>
      </c>
      <c r="AK408" s="652">
        <f t="shared" si="342"/>
        <v>0</v>
      </c>
      <c r="AL408" s="652">
        <f t="shared" si="343"/>
        <v>0</v>
      </c>
      <c r="AM408" s="652">
        <f t="shared" si="344"/>
        <v>0</v>
      </c>
      <c r="AN408" s="651">
        <f t="array" ref="AN408">IFERROR(INDEX('HIV-Other HPs'!$X$123:$X$223,MATCH($E408&amp;$F408,'HIV-Other HPs'!$D$123:$D$223&amp;'HIV-Other HPs'!$G$123:$G$223,0)),0)</f>
        <v>0</v>
      </c>
      <c r="AO408" s="652">
        <f t="shared" si="345"/>
        <v>0</v>
      </c>
      <c r="AP408" s="652">
        <f t="shared" si="346"/>
        <v>0</v>
      </c>
      <c r="AQ408" s="652">
        <f t="shared" si="347"/>
        <v>0</v>
      </c>
      <c r="AR408" s="664"/>
      <c r="AS408" s="651">
        <f t="array" ref="AS408">IFERROR(INDEX('HIV-Other HPs'!$AA$123:$AA$223,MATCH($E408&amp;$F408,'HIV-Other HPs'!$D$123:$D$223&amp;'HIV-Other HPs'!$G$123:$G$223,0)),0)</f>
        <v>0</v>
      </c>
      <c r="AT408" s="651">
        <f t="array" ref="AT408">IFERROR(INDEX('HIV-Other HPs'!$AB$123:$AB$223,MATCH($E408&amp;$F408,'HIV-Other HPs'!$D$123:$D$223&amp;'HIV-Other HPs'!$G$123:$G$223,0)),0)</f>
        <v>0</v>
      </c>
      <c r="AU408" s="652">
        <f t="shared" si="348"/>
        <v>0</v>
      </c>
      <c r="AV408" s="652">
        <f t="shared" si="349"/>
        <v>0</v>
      </c>
      <c r="AW408" s="652">
        <f t="shared" si="350"/>
        <v>0</v>
      </c>
      <c r="AX408" s="651">
        <f t="array" ref="AX408">IFERROR(INDEX('HIV-Other HPs'!$AC$123:$AC$223,MATCH($E408&amp;$F408,'HIV-Other HPs'!$D$123:$D$223&amp;'HIV-Other HPs'!$G$123:$G$223,0)),0)</f>
        <v>0</v>
      </c>
      <c r="AY408" s="652">
        <f t="shared" si="351"/>
        <v>0</v>
      </c>
      <c r="AZ408" s="652">
        <f t="shared" si="352"/>
        <v>0</v>
      </c>
      <c r="BA408" s="652">
        <f t="shared" si="353"/>
        <v>0</v>
      </c>
      <c r="BB408" s="651">
        <f t="array" ref="BB408">IFERROR(INDEX('HIV-Other HPs'!$AD$123:$AD$223,MATCH($E408&amp;$F408,'HIV-Other HPs'!$D$123:$D$223&amp;'HIV-Other HPs'!$G$123:$G$223,0)),0)</f>
        <v>0</v>
      </c>
      <c r="BC408" s="652">
        <f t="shared" si="354"/>
        <v>0</v>
      </c>
      <c r="BD408" s="652">
        <f t="shared" si="355"/>
        <v>0</v>
      </c>
      <c r="BE408" s="652">
        <f t="shared" si="356"/>
        <v>0</v>
      </c>
      <c r="BF408" s="651">
        <f t="array" ref="BF408">IFERROR(INDEX('HIV-Other HPs'!$AE$123:$AE$223,MATCH($E408&amp;$F408,'HIV-Other HPs'!$D$123:$D$223&amp;'HIV-Other HPs'!$G$123:$G$223,0)),0)</f>
        <v>0</v>
      </c>
      <c r="BG408" s="652">
        <f t="shared" si="357"/>
        <v>0</v>
      </c>
      <c r="BH408" s="652">
        <f t="shared" si="358"/>
        <v>0</v>
      </c>
      <c r="BI408" s="652">
        <f t="shared" si="359"/>
        <v>0</v>
      </c>
      <c r="BJ408" s="662"/>
      <c r="BK408" s="663"/>
      <c r="BL408" s="663"/>
      <c r="BM408" s="663"/>
      <c r="BN408" s="663"/>
      <c r="BO408" s="663"/>
      <c r="BP408" s="663"/>
      <c r="BQ408" s="663"/>
      <c r="BR408" s="663"/>
    </row>
    <row r="409" spans="1:70">
      <c r="A409" s="655" t="s">
        <v>1867</v>
      </c>
      <c r="B409" s="655" t="s">
        <v>2287</v>
      </c>
      <c r="C409" s="648">
        <f>SETUP!$F$33</f>
        <v>0</v>
      </c>
      <c r="D409" s="654">
        <v>5.6</v>
      </c>
      <c r="E409" s="663" t="s">
        <v>1243</v>
      </c>
      <c r="F409" s="663" t="s">
        <v>1140</v>
      </c>
      <c r="G409" s="650" t="str">
        <f t="array" ref="G409">IFERROR(INDEX('HIV-Other HPs'!$K$123:$K$223,MATCH($E409&amp;$F409,'HIV-Other HPs'!$D$123:$D$223&amp;'HIV-Other HPs'!$G$123:$G$223,0)),"")</f>
        <v/>
      </c>
      <c r="H409" s="650" t="str">
        <f t="array" ref="H409">IFERROR(INDEX('HIV-Other HPs'!$L$123:$L$223,MATCH($E409&amp;$F409,'HIV-Other HPs'!$D$123:$D$223&amp;'HIV-Other HPs'!$G$123:$G$223,0)),"")</f>
        <v/>
      </c>
      <c r="I409" s="651">
        <f t="array" ref="I409">IFERROR(INDEX('HIV-Other HPs'!$M$123:$M$223,MATCH($E409&amp;$F409,'HIV-Other HPs'!$D$123:$D$223&amp;'HIV-Other HPs'!$G$123:$G$223,0)),0)</f>
        <v>0</v>
      </c>
      <c r="J409" s="651">
        <f t="array" ref="J409">IFERROR(INDEX('HIV-Other HPs'!$N$123:$N$223,MATCH($E409&amp;$F409,'HIV-Other HPs'!$D$123:$D$223&amp;'HIV-Other HPs'!$G$123:$G$223,0)),0)</f>
        <v>0</v>
      </c>
      <c r="K409" s="652">
        <f t="shared" si="324"/>
        <v>0</v>
      </c>
      <c r="L409" s="652">
        <f t="shared" si="325"/>
        <v>0</v>
      </c>
      <c r="M409" s="652">
        <f t="shared" si="326"/>
        <v>0</v>
      </c>
      <c r="N409" s="651">
        <f t="array" ref="N409">IFERROR(INDEX('HIV-Other HPs'!$O$123:$O$223,MATCH($E409&amp;$F409,'HIV-Other HPs'!$D$123:$D$223&amp;'HIV-Other HPs'!$G$123:$G$223,0)),0)</f>
        <v>0</v>
      </c>
      <c r="O409" s="652">
        <f t="shared" si="327"/>
        <v>0</v>
      </c>
      <c r="P409" s="652">
        <f t="shared" si="328"/>
        <v>0</v>
      </c>
      <c r="Q409" s="652">
        <f t="shared" si="329"/>
        <v>0</v>
      </c>
      <c r="R409" s="651">
        <f t="array" ref="R409">IFERROR(INDEX('HIV-Other HPs'!$P$123:$P$223,MATCH($E409&amp;$F409,'HIV-Other HPs'!$D$123:$D$223&amp;'HIV-Other HPs'!$G$123:$G$223,0)),0)</f>
        <v>0</v>
      </c>
      <c r="S409" s="652">
        <f t="shared" si="330"/>
        <v>0</v>
      </c>
      <c r="T409" s="652">
        <f t="shared" si="331"/>
        <v>0</v>
      </c>
      <c r="U409" s="652">
        <f t="shared" si="332"/>
        <v>0</v>
      </c>
      <c r="V409" s="651">
        <f t="array" ref="V409">IFERROR(INDEX('HIV-Other HPs'!$Q$123:$Q$223,MATCH($E409&amp;$F409,'HIV-Other HPs'!$D$123:$D$223&amp;'HIV-Other HPs'!$G$123:$G$223,0)),0)</f>
        <v>0</v>
      </c>
      <c r="W409" s="652">
        <f t="shared" si="333"/>
        <v>0</v>
      </c>
      <c r="X409" s="652">
        <f t="shared" si="334"/>
        <v>0</v>
      </c>
      <c r="Y409" s="652">
        <f t="shared" si="335"/>
        <v>0</v>
      </c>
      <c r="Z409" s="664"/>
      <c r="AA409" s="651">
        <f t="array" ref="AA409">IFERROR(INDEX('HIV-Other HPs'!$T$123:$T$223,MATCH($E409&amp;$F409,'HIV-Other HPs'!$D$123:$D$223&amp;'HIV-Other HPs'!$G$123:$G$223,0)),0)</f>
        <v>0</v>
      </c>
      <c r="AB409" s="651">
        <f t="array" ref="AB409">IFERROR(INDEX('HIV-Other HPs'!$U$123:$U$223,MATCH($E409&amp;$F409,'HIV-Other HPs'!$D$123:$D$223&amp;'HIV-Other HPs'!$G$123:$G$223,0)),0)</f>
        <v>0</v>
      </c>
      <c r="AC409" s="652">
        <f t="shared" si="336"/>
        <v>0</v>
      </c>
      <c r="AD409" s="652">
        <f t="shared" si="337"/>
        <v>0</v>
      </c>
      <c r="AE409" s="652">
        <f t="shared" si="338"/>
        <v>0</v>
      </c>
      <c r="AF409" s="651">
        <f t="array" ref="AF409">IFERROR(INDEX('HIV-Other HPs'!$V$123:$V$223,MATCH($E409&amp;$F409,'HIV-Other HPs'!$D$123:$D$223&amp;'HIV-Other HPs'!$G$123:$G$223,0)),0)</f>
        <v>0</v>
      </c>
      <c r="AG409" s="652">
        <f t="shared" si="339"/>
        <v>0</v>
      </c>
      <c r="AH409" s="652">
        <f t="shared" si="340"/>
        <v>0</v>
      </c>
      <c r="AI409" s="652">
        <f t="shared" si="341"/>
        <v>0</v>
      </c>
      <c r="AJ409" s="651">
        <f t="array" ref="AJ409">IFERROR(INDEX('HIV-Other HPs'!$W$123:$W$223,MATCH($E409&amp;$F409,'HIV-Other HPs'!$D$123:$D$223&amp;'HIV-Other HPs'!$G$123:$G$223,0)),0)</f>
        <v>0</v>
      </c>
      <c r="AK409" s="652">
        <f t="shared" si="342"/>
        <v>0</v>
      </c>
      <c r="AL409" s="652">
        <f t="shared" si="343"/>
        <v>0</v>
      </c>
      <c r="AM409" s="652">
        <f t="shared" si="344"/>
        <v>0</v>
      </c>
      <c r="AN409" s="651">
        <f t="array" ref="AN409">IFERROR(INDEX('HIV-Other HPs'!$X$123:$X$223,MATCH($E409&amp;$F409,'HIV-Other HPs'!$D$123:$D$223&amp;'HIV-Other HPs'!$G$123:$G$223,0)),0)</f>
        <v>0</v>
      </c>
      <c r="AO409" s="652">
        <f t="shared" si="345"/>
        <v>0</v>
      </c>
      <c r="AP409" s="652">
        <f t="shared" si="346"/>
        <v>0</v>
      </c>
      <c r="AQ409" s="652">
        <f t="shared" si="347"/>
        <v>0</v>
      </c>
      <c r="AR409" s="664"/>
      <c r="AS409" s="651">
        <f t="array" ref="AS409">IFERROR(INDEX('HIV-Other HPs'!$AA$123:$AA$223,MATCH($E409&amp;$F409,'HIV-Other HPs'!$D$123:$D$223&amp;'HIV-Other HPs'!$G$123:$G$223,0)),0)</f>
        <v>0</v>
      </c>
      <c r="AT409" s="651">
        <f t="array" ref="AT409">IFERROR(INDEX('HIV-Other HPs'!$AB$123:$AB$223,MATCH($E409&amp;$F409,'HIV-Other HPs'!$D$123:$D$223&amp;'HIV-Other HPs'!$G$123:$G$223,0)),0)</f>
        <v>0</v>
      </c>
      <c r="AU409" s="652">
        <f t="shared" si="348"/>
        <v>0</v>
      </c>
      <c r="AV409" s="652">
        <f t="shared" si="349"/>
        <v>0</v>
      </c>
      <c r="AW409" s="652">
        <f t="shared" si="350"/>
        <v>0</v>
      </c>
      <c r="AX409" s="651">
        <f t="array" ref="AX409">IFERROR(INDEX('HIV-Other HPs'!$AC$123:$AC$223,MATCH($E409&amp;$F409,'HIV-Other HPs'!$D$123:$D$223&amp;'HIV-Other HPs'!$G$123:$G$223,0)),0)</f>
        <v>0</v>
      </c>
      <c r="AY409" s="652">
        <f t="shared" si="351"/>
        <v>0</v>
      </c>
      <c r="AZ409" s="652">
        <f t="shared" si="352"/>
        <v>0</v>
      </c>
      <c r="BA409" s="652">
        <f t="shared" si="353"/>
        <v>0</v>
      </c>
      <c r="BB409" s="651">
        <f t="array" ref="BB409">IFERROR(INDEX('HIV-Other HPs'!$AD$123:$AD$223,MATCH($E409&amp;$F409,'HIV-Other HPs'!$D$123:$D$223&amp;'HIV-Other HPs'!$G$123:$G$223,0)),0)</f>
        <v>0</v>
      </c>
      <c r="BC409" s="652">
        <f t="shared" si="354"/>
        <v>0</v>
      </c>
      <c r="BD409" s="652">
        <f t="shared" si="355"/>
        <v>0</v>
      </c>
      <c r="BE409" s="652">
        <f t="shared" si="356"/>
        <v>0</v>
      </c>
      <c r="BF409" s="651">
        <f t="array" ref="BF409">IFERROR(INDEX('HIV-Other HPs'!$AE$123:$AE$223,MATCH($E409&amp;$F409,'HIV-Other HPs'!$D$123:$D$223&amp;'HIV-Other HPs'!$G$123:$G$223,0)),0)</f>
        <v>0</v>
      </c>
      <c r="BG409" s="652">
        <f t="shared" si="357"/>
        <v>0</v>
      </c>
      <c r="BH409" s="652">
        <f t="shared" si="358"/>
        <v>0</v>
      </c>
      <c r="BI409" s="652">
        <f t="shared" si="359"/>
        <v>0</v>
      </c>
      <c r="BJ409" s="662"/>
      <c r="BK409" s="663"/>
      <c r="BL409" s="663"/>
      <c r="BM409" s="663"/>
      <c r="BN409" s="663"/>
      <c r="BO409" s="663"/>
      <c r="BP409" s="663"/>
      <c r="BQ409" s="663"/>
      <c r="BR409" s="663"/>
    </row>
    <row r="410" spans="1:70">
      <c r="A410" s="655" t="s">
        <v>1867</v>
      </c>
      <c r="B410" s="655" t="s">
        <v>2287</v>
      </c>
      <c r="C410" s="648">
        <f>SETUP!$F$33</f>
        <v>0</v>
      </c>
      <c r="D410" s="654">
        <v>5.6</v>
      </c>
      <c r="E410" s="663" t="s">
        <v>1222</v>
      </c>
      <c r="F410" s="663" t="s">
        <v>1140</v>
      </c>
      <c r="G410" s="650" t="str">
        <f t="array" ref="G410">IFERROR(INDEX('HIV-Other HPs'!$K$123:$K$223,MATCH($E410&amp;$F410,'HIV-Other HPs'!$D$123:$D$223&amp;'HIV-Other HPs'!$G$123:$G$223,0)),"")</f>
        <v/>
      </c>
      <c r="H410" s="650" t="str">
        <f t="array" ref="H410">IFERROR(INDEX('HIV-Other HPs'!$L$123:$L$223,MATCH($E410&amp;$F410,'HIV-Other HPs'!$D$123:$D$223&amp;'HIV-Other HPs'!$G$123:$G$223,0)),"")</f>
        <v/>
      </c>
      <c r="I410" s="651">
        <f t="array" ref="I410">IFERROR(INDEX('HIV-Other HPs'!$M$123:$M$223,MATCH($E410&amp;$F410,'HIV-Other HPs'!$D$123:$D$223&amp;'HIV-Other HPs'!$G$123:$G$223,0)),0)</f>
        <v>0</v>
      </c>
      <c r="J410" s="651">
        <f t="array" ref="J410">IFERROR(INDEX('HIV-Other HPs'!$N$123:$N$223,MATCH($E410&amp;$F410,'HIV-Other HPs'!$D$123:$D$223&amp;'HIV-Other HPs'!$G$123:$G$223,0)),0)</f>
        <v>0</v>
      </c>
      <c r="K410" s="652">
        <f t="shared" si="324"/>
        <v>0</v>
      </c>
      <c r="L410" s="652">
        <f t="shared" si="325"/>
        <v>0</v>
      </c>
      <c r="M410" s="652">
        <f t="shared" si="326"/>
        <v>0</v>
      </c>
      <c r="N410" s="651">
        <f t="array" ref="N410">IFERROR(INDEX('HIV-Other HPs'!$O$123:$O$223,MATCH($E410&amp;$F410,'HIV-Other HPs'!$D$123:$D$223&amp;'HIV-Other HPs'!$G$123:$G$223,0)),0)</f>
        <v>0</v>
      </c>
      <c r="O410" s="652">
        <f t="shared" si="327"/>
        <v>0</v>
      </c>
      <c r="P410" s="652">
        <f t="shared" si="328"/>
        <v>0</v>
      </c>
      <c r="Q410" s="652">
        <f t="shared" si="329"/>
        <v>0</v>
      </c>
      <c r="R410" s="651">
        <f t="array" ref="R410">IFERROR(INDEX('HIV-Other HPs'!$P$123:$P$223,MATCH($E410&amp;$F410,'HIV-Other HPs'!$D$123:$D$223&amp;'HIV-Other HPs'!$G$123:$G$223,0)),0)</f>
        <v>0</v>
      </c>
      <c r="S410" s="652">
        <f t="shared" si="330"/>
        <v>0</v>
      </c>
      <c r="T410" s="652">
        <f t="shared" si="331"/>
        <v>0</v>
      </c>
      <c r="U410" s="652">
        <f t="shared" si="332"/>
        <v>0</v>
      </c>
      <c r="V410" s="651">
        <f t="array" ref="V410">IFERROR(INDEX('HIV-Other HPs'!$Q$123:$Q$223,MATCH($E410&amp;$F410,'HIV-Other HPs'!$D$123:$D$223&amp;'HIV-Other HPs'!$G$123:$G$223,0)),0)</f>
        <v>0</v>
      </c>
      <c r="W410" s="652">
        <f t="shared" si="333"/>
        <v>0</v>
      </c>
      <c r="X410" s="652">
        <f t="shared" si="334"/>
        <v>0</v>
      </c>
      <c r="Y410" s="652">
        <f t="shared" si="335"/>
        <v>0</v>
      </c>
      <c r="Z410" s="664"/>
      <c r="AA410" s="651">
        <f t="array" ref="AA410">IFERROR(INDEX('HIV-Other HPs'!$T$123:$T$223,MATCH($E410&amp;$F410,'HIV-Other HPs'!$D$123:$D$223&amp;'HIV-Other HPs'!$G$123:$G$223,0)),0)</f>
        <v>0</v>
      </c>
      <c r="AB410" s="651">
        <f t="array" ref="AB410">IFERROR(INDEX('HIV-Other HPs'!$U$123:$U$223,MATCH($E410&amp;$F410,'HIV-Other HPs'!$D$123:$D$223&amp;'HIV-Other HPs'!$G$123:$G$223,0)),0)</f>
        <v>0</v>
      </c>
      <c r="AC410" s="652">
        <f t="shared" si="336"/>
        <v>0</v>
      </c>
      <c r="AD410" s="652">
        <f t="shared" si="337"/>
        <v>0</v>
      </c>
      <c r="AE410" s="652">
        <f t="shared" si="338"/>
        <v>0</v>
      </c>
      <c r="AF410" s="651">
        <f t="array" ref="AF410">IFERROR(INDEX('HIV-Other HPs'!$V$123:$V$223,MATCH($E410&amp;$F410,'HIV-Other HPs'!$D$123:$D$223&amp;'HIV-Other HPs'!$G$123:$G$223,0)),0)</f>
        <v>0</v>
      </c>
      <c r="AG410" s="652">
        <f t="shared" si="339"/>
        <v>0</v>
      </c>
      <c r="AH410" s="652">
        <f t="shared" si="340"/>
        <v>0</v>
      </c>
      <c r="AI410" s="652">
        <f t="shared" si="341"/>
        <v>0</v>
      </c>
      <c r="AJ410" s="651">
        <f t="array" ref="AJ410">IFERROR(INDEX('HIV-Other HPs'!$W$123:$W$223,MATCH($E410&amp;$F410,'HIV-Other HPs'!$D$123:$D$223&amp;'HIV-Other HPs'!$G$123:$G$223,0)),0)</f>
        <v>0</v>
      </c>
      <c r="AK410" s="652">
        <f t="shared" si="342"/>
        <v>0</v>
      </c>
      <c r="AL410" s="652">
        <f t="shared" si="343"/>
        <v>0</v>
      </c>
      <c r="AM410" s="652">
        <f t="shared" si="344"/>
        <v>0</v>
      </c>
      <c r="AN410" s="651">
        <f t="array" ref="AN410">IFERROR(INDEX('HIV-Other HPs'!$X$123:$X$223,MATCH($E410&amp;$F410,'HIV-Other HPs'!$D$123:$D$223&amp;'HIV-Other HPs'!$G$123:$G$223,0)),0)</f>
        <v>0</v>
      </c>
      <c r="AO410" s="652">
        <f t="shared" si="345"/>
        <v>0</v>
      </c>
      <c r="AP410" s="652">
        <f t="shared" si="346"/>
        <v>0</v>
      </c>
      <c r="AQ410" s="652">
        <f t="shared" si="347"/>
        <v>0</v>
      </c>
      <c r="AR410" s="664"/>
      <c r="AS410" s="651">
        <f t="array" ref="AS410">IFERROR(INDEX('HIV-Other HPs'!$AA$123:$AA$223,MATCH($E410&amp;$F410,'HIV-Other HPs'!$D$123:$D$223&amp;'HIV-Other HPs'!$G$123:$G$223,0)),0)</f>
        <v>0</v>
      </c>
      <c r="AT410" s="651">
        <f t="array" ref="AT410">IFERROR(INDEX('HIV-Other HPs'!$AB$123:$AB$223,MATCH($E410&amp;$F410,'HIV-Other HPs'!$D$123:$D$223&amp;'HIV-Other HPs'!$G$123:$G$223,0)),0)</f>
        <v>0</v>
      </c>
      <c r="AU410" s="652">
        <f t="shared" si="348"/>
        <v>0</v>
      </c>
      <c r="AV410" s="652">
        <f t="shared" si="349"/>
        <v>0</v>
      </c>
      <c r="AW410" s="652">
        <f t="shared" si="350"/>
        <v>0</v>
      </c>
      <c r="AX410" s="651">
        <f t="array" ref="AX410">IFERROR(INDEX('HIV-Other HPs'!$AC$123:$AC$223,MATCH($E410&amp;$F410,'HIV-Other HPs'!$D$123:$D$223&amp;'HIV-Other HPs'!$G$123:$G$223,0)),0)</f>
        <v>0</v>
      </c>
      <c r="AY410" s="652">
        <f t="shared" si="351"/>
        <v>0</v>
      </c>
      <c r="AZ410" s="652">
        <f t="shared" si="352"/>
        <v>0</v>
      </c>
      <c r="BA410" s="652">
        <f t="shared" si="353"/>
        <v>0</v>
      </c>
      <c r="BB410" s="651">
        <f t="array" ref="BB410">IFERROR(INDEX('HIV-Other HPs'!$AD$123:$AD$223,MATCH($E410&amp;$F410,'HIV-Other HPs'!$D$123:$D$223&amp;'HIV-Other HPs'!$G$123:$G$223,0)),0)</f>
        <v>0</v>
      </c>
      <c r="BC410" s="652">
        <f t="shared" si="354"/>
        <v>0</v>
      </c>
      <c r="BD410" s="652">
        <f t="shared" si="355"/>
        <v>0</v>
      </c>
      <c r="BE410" s="652">
        <f t="shared" si="356"/>
        <v>0</v>
      </c>
      <c r="BF410" s="651">
        <f t="array" ref="BF410">IFERROR(INDEX('HIV-Other HPs'!$AE$123:$AE$223,MATCH($E410&amp;$F410,'HIV-Other HPs'!$D$123:$D$223&amp;'HIV-Other HPs'!$G$123:$G$223,0)),0)</f>
        <v>0</v>
      </c>
      <c r="BG410" s="652">
        <f t="shared" si="357"/>
        <v>0</v>
      </c>
      <c r="BH410" s="652">
        <f t="shared" si="358"/>
        <v>0</v>
      </c>
      <c r="BI410" s="652">
        <f t="shared" si="359"/>
        <v>0</v>
      </c>
      <c r="BJ410" s="662"/>
      <c r="BK410" s="663"/>
      <c r="BL410" s="663"/>
      <c r="BM410" s="663"/>
      <c r="BN410" s="663"/>
      <c r="BO410" s="663"/>
      <c r="BP410" s="663"/>
      <c r="BQ410" s="663"/>
      <c r="BR410" s="663"/>
    </row>
    <row r="411" spans="1:70">
      <c r="A411" s="655" t="s">
        <v>1867</v>
      </c>
      <c r="B411" s="655" t="s">
        <v>2287</v>
      </c>
      <c r="C411" s="648">
        <f>SETUP!$F$33</f>
        <v>0</v>
      </c>
      <c r="D411" s="654">
        <v>5.6</v>
      </c>
      <c r="E411" s="663" t="s">
        <v>1223</v>
      </c>
      <c r="F411" s="663" t="s">
        <v>1140</v>
      </c>
      <c r="G411" s="650" t="str">
        <f t="array" ref="G411">IFERROR(INDEX('HIV-Other HPs'!$K$123:$K$223,MATCH($E411&amp;$F411,'HIV-Other HPs'!$D$123:$D$223&amp;'HIV-Other HPs'!$G$123:$G$223,0)),"")</f>
        <v/>
      </c>
      <c r="H411" s="650" t="str">
        <f t="array" ref="H411">IFERROR(INDEX('HIV-Other HPs'!$L$123:$L$223,MATCH($E411&amp;$F411,'HIV-Other HPs'!$D$123:$D$223&amp;'HIV-Other HPs'!$G$123:$G$223,0)),"")</f>
        <v/>
      </c>
      <c r="I411" s="651">
        <f t="array" ref="I411">IFERROR(INDEX('HIV-Other HPs'!$M$123:$M$223,MATCH($E411&amp;$F411,'HIV-Other HPs'!$D$123:$D$223&amp;'HIV-Other HPs'!$G$123:$G$223,0)),0)</f>
        <v>0</v>
      </c>
      <c r="J411" s="651">
        <f t="array" ref="J411">IFERROR(INDEX('HIV-Other HPs'!$N$123:$N$223,MATCH($E411&amp;$F411,'HIV-Other HPs'!$D$123:$D$223&amp;'HIV-Other HPs'!$G$123:$G$223,0)),0)</f>
        <v>0</v>
      </c>
      <c r="K411" s="652">
        <f t="shared" si="324"/>
        <v>0</v>
      </c>
      <c r="L411" s="652">
        <f t="shared" si="325"/>
        <v>0</v>
      </c>
      <c r="M411" s="652">
        <f t="shared" si="326"/>
        <v>0</v>
      </c>
      <c r="N411" s="651">
        <f t="array" ref="N411">IFERROR(INDEX('HIV-Other HPs'!$O$123:$O$223,MATCH($E411&amp;$F411,'HIV-Other HPs'!$D$123:$D$223&amp;'HIV-Other HPs'!$G$123:$G$223,0)),0)</f>
        <v>0</v>
      </c>
      <c r="O411" s="652">
        <f t="shared" si="327"/>
        <v>0</v>
      </c>
      <c r="P411" s="652">
        <f t="shared" si="328"/>
        <v>0</v>
      </c>
      <c r="Q411" s="652">
        <f t="shared" si="329"/>
        <v>0</v>
      </c>
      <c r="R411" s="651">
        <f t="array" ref="R411">IFERROR(INDEX('HIV-Other HPs'!$P$123:$P$223,MATCH($E411&amp;$F411,'HIV-Other HPs'!$D$123:$D$223&amp;'HIV-Other HPs'!$G$123:$G$223,0)),0)</f>
        <v>0</v>
      </c>
      <c r="S411" s="652">
        <f t="shared" si="330"/>
        <v>0</v>
      </c>
      <c r="T411" s="652">
        <f t="shared" si="331"/>
        <v>0</v>
      </c>
      <c r="U411" s="652">
        <f t="shared" si="332"/>
        <v>0</v>
      </c>
      <c r="V411" s="651">
        <f t="array" ref="V411">IFERROR(INDEX('HIV-Other HPs'!$Q$123:$Q$223,MATCH($E411&amp;$F411,'HIV-Other HPs'!$D$123:$D$223&amp;'HIV-Other HPs'!$G$123:$G$223,0)),0)</f>
        <v>0</v>
      </c>
      <c r="W411" s="652">
        <f t="shared" si="333"/>
        <v>0</v>
      </c>
      <c r="X411" s="652">
        <f t="shared" si="334"/>
        <v>0</v>
      </c>
      <c r="Y411" s="652">
        <f t="shared" si="335"/>
        <v>0</v>
      </c>
      <c r="Z411" s="664"/>
      <c r="AA411" s="651">
        <f t="array" ref="AA411">IFERROR(INDEX('HIV-Other HPs'!$T$123:$T$223,MATCH($E411&amp;$F411,'HIV-Other HPs'!$D$123:$D$223&amp;'HIV-Other HPs'!$G$123:$G$223,0)),0)</f>
        <v>0</v>
      </c>
      <c r="AB411" s="651">
        <f t="array" ref="AB411">IFERROR(INDEX('HIV-Other HPs'!$U$123:$U$223,MATCH($E411&amp;$F411,'HIV-Other HPs'!$D$123:$D$223&amp;'HIV-Other HPs'!$G$123:$G$223,0)),0)</f>
        <v>0</v>
      </c>
      <c r="AC411" s="652">
        <f t="shared" si="336"/>
        <v>0</v>
      </c>
      <c r="AD411" s="652">
        <f t="shared" si="337"/>
        <v>0</v>
      </c>
      <c r="AE411" s="652">
        <f t="shared" si="338"/>
        <v>0</v>
      </c>
      <c r="AF411" s="651">
        <f t="array" ref="AF411">IFERROR(INDEX('HIV-Other HPs'!$V$123:$V$223,MATCH($E411&amp;$F411,'HIV-Other HPs'!$D$123:$D$223&amp;'HIV-Other HPs'!$G$123:$G$223,0)),0)</f>
        <v>0</v>
      </c>
      <c r="AG411" s="652">
        <f t="shared" si="339"/>
        <v>0</v>
      </c>
      <c r="AH411" s="652">
        <f t="shared" si="340"/>
        <v>0</v>
      </c>
      <c r="AI411" s="652">
        <f t="shared" si="341"/>
        <v>0</v>
      </c>
      <c r="AJ411" s="651">
        <f t="array" ref="AJ411">IFERROR(INDEX('HIV-Other HPs'!$W$123:$W$223,MATCH($E411&amp;$F411,'HIV-Other HPs'!$D$123:$D$223&amp;'HIV-Other HPs'!$G$123:$G$223,0)),0)</f>
        <v>0</v>
      </c>
      <c r="AK411" s="652">
        <f t="shared" si="342"/>
        <v>0</v>
      </c>
      <c r="AL411" s="652">
        <f t="shared" si="343"/>
        <v>0</v>
      </c>
      <c r="AM411" s="652">
        <f t="shared" si="344"/>
        <v>0</v>
      </c>
      <c r="AN411" s="651">
        <f t="array" ref="AN411">IFERROR(INDEX('HIV-Other HPs'!$X$123:$X$223,MATCH($E411&amp;$F411,'HIV-Other HPs'!$D$123:$D$223&amp;'HIV-Other HPs'!$G$123:$G$223,0)),0)</f>
        <v>0</v>
      </c>
      <c r="AO411" s="652">
        <f t="shared" si="345"/>
        <v>0</v>
      </c>
      <c r="AP411" s="652">
        <f t="shared" si="346"/>
        <v>0</v>
      </c>
      <c r="AQ411" s="652">
        <f t="shared" si="347"/>
        <v>0</v>
      </c>
      <c r="AR411" s="664"/>
      <c r="AS411" s="651">
        <f t="array" ref="AS411">IFERROR(INDEX('HIV-Other HPs'!$AA$123:$AA$223,MATCH($E411&amp;$F411,'HIV-Other HPs'!$D$123:$D$223&amp;'HIV-Other HPs'!$G$123:$G$223,0)),0)</f>
        <v>0</v>
      </c>
      <c r="AT411" s="651">
        <f t="array" ref="AT411">IFERROR(INDEX('HIV-Other HPs'!$AB$123:$AB$223,MATCH($E411&amp;$F411,'HIV-Other HPs'!$D$123:$D$223&amp;'HIV-Other HPs'!$G$123:$G$223,0)),0)</f>
        <v>0</v>
      </c>
      <c r="AU411" s="652">
        <f t="shared" si="348"/>
        <v>0</v>
      </c>
      <c r="AV411" s="652">
        <f t="shared" si="349"/>
        <v>0</v>
      </c>
      <c r="AW411" s="652">
        <f t="shared" si="350"/>
        <v>0</v>
      </c>
      <c r="AX411" s="651">
        <f t="array" ref="AX411">IFERROR(INDEX('HIV-Other HPs'!$AC$123:$AC$223,MATCH($E411&amp;$F411,'HIV-Other HPs'!$D$123:$D$223&amp;'HIV-Other HPs'!$G$123:$G$223,0)),0)</f>
        <v>0</v>
      </c>
      <c r="AY411" s="652">
        <f t="shared" si="351"/>
        <v>0</v>
      </c>
      <c r="AZ411" s="652">
        <f t="shared" si="352"/>
        <v>0</v>
      </c>
      <c r="BA411" s="652">
        <f t="shared" si="353"/>
        <v>0</v>
      </c>
      <c r="BB411" s="651">
        <f t="array" ref="BB411">IFERROR(INDEX('HIV-Other HPs'!$AD$123:$AD$223,MATCH($E411&amp;$F411,'HIV-Other HPs'!$D$123:$D$223&amp;'HIV-Other HPs'!$G$123:$G$223,0)),0)</f>
        <v>0</v>
      </c>
      <c r="BC411" s="652">
        <f t="shared" si="354"/>
        <v>0</v>
      </c>
      <c r="BD411" s="652">
        <f t="shared" si="355"/>
        <v>0</v>
      </c>
      <c r="BE411" s="652">
        <f t="shared" si="356"/>
        <v>0</v>
      </c>
      <c r="BF411" s="651">
        <f t="array" ref="BF411">IFERROR(INDEX('HIV-Other HPs'!$AE$123:$AE$223,MATCH($E411&amp;$F411,'HIV-Other HPs'!$D$123:$D$223&amp;'HIV-Other HPs'!$G$123:$G$223,0)),0)</f>
        <v>0</v>
      </c>
      <c r="BG411" s="652">
        <f t="shared" si="357"/>
        <v>0</v>
      </c>
      <c r="BH411" s="652">
        <f t="shared" si="358"/>
        <v>0</v>
      </c>
      <c r="BI411" s="652">
        <f t="shared" si="359"/>
        <v>0</v>
      </c>
      <c r="BJ411" s="662"/>
      <c r="BK411" s="663"/>
      <c r="BL411" s="663"/>
      <c r="BM411" s="663"/>
      <c r="BN411" s="663"/>
      <c r="BO411" s="663"/>
      <c r="BP411" s="663"/>
      <c r="BQ411" s="663"/>
      <c r="BR411" s="663"/>
    </row>
    <row r="412" spans="1:70">
      <c r="A412" s="655" t="s">
        <v>1867</v>
      </c>
      <c r="B412" s="655" t="s">
        <v>2287</v>
      </c>
      <c r="C412" s="648">
        <f>SETUP!$F$33</f>
        <v>0</v>
      </c>
      <c r="D412" s="654">
        <v>5.6</v>
      </c>
      <c r="E412" s="663" t="s">
        <v>1224</v>
      </c>
      <c r="F412" s="663" t="s">
        <v>1140</v>
      </c>
      <c r="G412" s="650" t="str">
        <f t="array" ref="G412">IFERROR(INDEX('HIV-Other HPs'!$K$123:$K$223,MATCH($E412&amp;$F412,'HIV-Other HPs'!$D$123:$D$223&amp;'HIV-Other HPs'!$G$123:$G$223,0)),"")</f>
        <v/>
      </c>
      <c r="H412" s="650" t="str">
        <f t="array" ref="H412">IFERROR(INDEX('HIV-Other HPs'!$L$123:$L$223,MATCH($E412&amp;$F412,'HIV-Other HPs'!$D$123:$D$223&amp;'HIV-Other HPs'!$G$123:$G$223,0)),"")</f>
        <v/>
      </c>
      <c r="I412" s="651">
        <f t="array" ref="I412">IFERROR(INDEX('HIV-Other HPs'!$M$123:$M$223,MATCH($E412&amp;$F412,'HIV-Other HPs'!$D$123:$D$223&amp;'HIV-Other HPs'!$G$123:$G$223,0)),0)</f>
        <v>0</v>
      </c>
      <c r="J412" s="651">
        <f t="array" ref="J412">IFERROR(INDEX('HIV-Other HPs'!$N$123:$N$223,MATCH($E412&amp;$F412,'HIV-Other HPs'!$D$123:$D$223&amp;'HIV-Other HPs'!$G$123:$G$223,0)),0)</f>
        <v>0</v>
      </c>
      <c r="K412" s="652">
        <f t="shared" si="324"/>
        <v>0</v>
      </c>
      <c r="L412" s="652">
        <f t="shared" si="325"/>
        <v>0</v>
      </c>
      <c r="M412" s="652">
        <f t="shared" si="326"/>
        <v>0</v>
      </c>
      <c r="N412" s="651">
        <f t="array" ref="N412">IFERROR(INDEX('HIV-Other HPs'!$O$123:$O$223,MATCH($E412&amp;$F412,'HIV-Other HPs'!$D$123:$D$223&amp;'HIV-Other HPs'!$G$123:$G$223,0)),0)</f>
        <v>0</v>
      </c>
      <c r="O412" s="652">
        <f t="shared" si="327"/>
        <v>0</v>
      </c>
      <c r="P412" s="652">
        <f t="shared" si="328"/>
        <v>0</v>
      </c>
      <c r="Q412" s="652">
        <f t="shared" si="329"/>
        <v>0</v>
      </c>
      <c r="R412" s="651">
        <f t="array" ref="R412">IFERROR(INDEX('HIV-Other HPs'!$P$123:$P$223,MATCH($E412&amp;$F412,'HIV-Other HPs'!$D$123:$D$223&amp;'HIV-Other HPs'!$G$123:$G$223,0)),0)</f>
        <v>0</v>
      </c>
      <c r="S412" s="652">
        <f t="shared" si="330"/>
        <v>0</v>
      </c>
      <c r="T412" s="652">
        <f t="shared" si="331"/>
        <v>0</v>
      </c>
      <c r="U412" s="652">
        <f t="shared" si="332"/>
        <v>0</v>
      </c>
      <c r="V412" s="651">
        <f t="array" ref="V412">IFERROR(INDEX('HIV-Other HPs'!$Q$123:$Q$223,MATCH($E412&amp;$F412,'HIV-Other HPs'!$D$123:$D$223&amp;'HIV-Other HPs'!$G$123:$G$223,0)),0)</f>
        <v>0</v>
      </c>
      <c r="W412" s="652">
        <f t="shared" si="333"/>
        <v>0</v>
      </c>
      <c r="X412" s="652">
        <f t="shared" si="334"/>
        <v>0</v>
      </c>
      <c r="Y412" s="652">
        <f t="shared" si="335"/>
        <v>0</v>
      </c>
      <c r="Z412" s="664"/>
      <c r="AA412" s="651">
        <f t="array" ref="AA412">IFERROR(INDEX('HIV-Other HPs'!$T$123:$T$223,MATCH($E412&amp;$F412,'HIV-Other HPs'!$D$123:$D$223&amp;'HIV-Other HPs'!$G$123:$G$223,0)),0)</f>
        <v>0</v>
      </c>
      <c r="AB412" s="651">
        <f t="array" ref="AB412">IFERROR(INDEX('HIV-Other HPs'!$U$123:$U$223,MATCH($E412&amp;$F412,'HIV-Other HPs'!$D$123:$D$223&amp;'HIV-Other HPs'!$G$123:$G$223,0)),0)</f>
        <v>0</v>
      </c>
      <c r="AC412" s="652">
        <f t="shared" si="336"/>
        <v>0</v>
      </c>
      <c r="AD412" s="652">
        <f t="shared" si="337"/>
        <v>0</v>
      </c>
      <c r="AE412" s="652">
        <f t="shared" si="338"/>
        <v>0</v>
      </c>
      <c r="AF412" s="651">
        <f t="array" ref="AF412">IFERROR(INDEX('HIV-Other HPs'!$V$123:$V$223,MATCH($E412&amp;$F412,'HIV-Other HPs'!$D$123:$D$223&amp;'HIV-Other HPs'!$G$123:$G$223,0)),0)</f>
        <v>0</v>
      </c>
      <c r="AG412" s="652">
        <f t="shared" si="339"/>
        <v>0</v>
      </c>
      <c r="AH412" s="652">
        <f t="shared" si="340"/>
        <v>0</v>
      </c>
      <c r="AI412" s="652">
        <f t="shared" si="341"/>
        <v>0</v>
      </c>
      <c r="AJ412" s="651">
        <f t="array" ref="AJ412">IFERROR(INDEX('HIV-Other HPs'!$W$123:$W$223,MATCH($E412&amp;$F412,'HIV-Other HPs'!$D$123:$D$223&amp;'HIV-Other HPs'!$G$123:$G$223,0)),0)</f>
        <v>0</v>
      </c>
      <c r="AK412" s="652">
        <f t="shared" si="342"/>
        <v>0</v>
      </c>
      <c r="AL412" s="652">
        <f t="shared" si="343"/>
        <v>0</v>
      </c>
      <c r="AM412" s="652">
        <f t="shared" si="344"/>
        <v>0</v>
      </c>
      <c r="AN412" s="651">
        <f t="array" ref="AN412">IFERROR(INDEX('HIV-Other HPs'!$X$123:$X$223,MATCH($E412&amp;$F412,'HIV-Other HPs'!$D$123:$D$223&amp;'HIV-Other HPs'!$G$123:$G$223,0)),0)</f>
        <v>0</v>
      </c>
      <c r="AO412" s="652">
        <f t="shared" si="345"/>
        <v>0</v>
      </c>
      <c r="AP412" s="652">
        <f t="shared" si="346"/>
        <v>0</v>
      </c>
      <c r="AQ412" s="652">
        <f t="shared" si="347"/>
        <v>0</v>
      </c>
      <c r="AR412" s="664"/>
      <c r="AS412" s="651">
        <f t="array" ref="AS412">IFERROR(INDEX('HIV-Other HPs'!$AA$123:$AA$223,MATCH($E412&amp;$F412,'HIV-Other HPs'!$D$123:$D$223&amp;'HIV-Other HPs'!$G$123:$G$223,0)),0)</f>
        <v>0</v>
      </c>
      <c r="AT412" s="651">
        <f t="array" ref="AT412">IFERROR(INDEX('HIV-Other HPs'!$AB$123:$AB$223,MATCH($E412&amp;$F412,'HIV-Other HPs'!$D$123:$D$223&amp;'HIV-Other HPs'!$G$123:$G$223,0)),0)</f>
        <v>0</v>
      </c>
      <c r="AU412" s="652">
        <f t="shared" si="348"/>
        <v>0</v>
      </c>
      <c r="AV412" s="652">
        <f t="shared" si="349"/>
        <v>0</v>
      </c>
      <c r="AW412" s="652">
        <f t="shared" si="350"/>
        <v>0</v>
      </c>
      <c r="AX412" s="651">
        <f t="array" ref="AX412">IFERROR(INDEX('HIV-Other HPs'!$AC$123:$AC$223,MATCH($E412&amp;$F412,'HIV-Other HPs'!$D$123:$D$223&amp;'HIV-Other HPs'!$G$123:$G$223,0)),0)</f>
        <v>0</v>
      </c>
      <c r="AY412" s="652">
        <f t="shared" si="351"/>
        <v>0</v>
      </c>
      <c r="AZ412" s="652">
        <f t="shared" si="352"/>
        <v>0</v>
      </c>
      <c r="BA412" s="652">
        <f t="shared" si="353"/>
        <v>0</v>
      </c>
      <c r="BB412" s="651">
        <f t="array" ref="BB412">IFERROR(INDEX('HIV-Other HPs'!$AD$123:$AD$223,MATCH($E412&amp;$F412,'HIV-Other HPs'!$D$123:$D$223&amp;'HIV-Other HPs'!$G$123:$G$223,0)),0)</f>
        <v>0</v>
      </c>
      <c r="BC412" s="652">
        <f t="shared" si="354"/>
        <v>0</v>
      </c>
      <c r="BD412" s="652">
        <f t="shared" si="355"/>
        <v>0</v>
      </c>
      <c r="BE412" s="652">
        <f t="shared" si="356"/>
        <v>0</v>
      </c>
      <c r="BF412" s="651">
        <f t="array" ref="BF412">IFERROR(INDEX('HIV-Other HPs'!$AE$123:$AE$223,MATCH($E412&amp;$F412,'HIV-Other HPs'!$D$123:$D$223&amp;'HIV-Other HPs'!$G$123:$G$223,0)),0)</f>
        <v>0</v>
      </c>
      <c r="BG412" s="652">
        <f t="shared" si="357"/>
        <v>0</v>
      </c>
      <c r="BH412" s="652">
        <f t="shared" si="358"/>
        <v>0</v>
      </c>
      <c r="BI412" s="652">
        <f t="shared" si="359"/>
        <v>0</v>
      </c>
      <c r="BJ412" s="662"/>
      <c r="BK412" s="663"/>
      <c r="BL412" s="663"/>
      <c r="BM412" s="663"/>
      <c r="BN412" s="663"/>
      <c r="BO412" s="663"/>
      <c r="BP412" s="663"/>
      <c r="BQ412" s="663"/>
      <c r="BR412" s="663"/>
    </row>
    <row r="413" spans="1:70">
      <c r="A413" s="655" t="s">
        <v>1867</v>
      </c>
      <c r="B413" s="655" t="s">
        <v>2287</v>
      </c>
      <c r="C413" s="648">
        <f>SETUP!$F$33</f>
        <v>0</v>
      </c>
      <c r="D413" s="654">
        <v>5.6</v>
      </c>
      <c r="E413" s="663" t="s">
        <v>1225</v>
      </c>
      <c r="F413" s="663" t="s">
        <v>1140</v>
      </c>
      <c r="G413" s="650" t="str">
        <f t="array" ref="G413">IFERROR(INDEX('HIV-Other HPs'!$K$123:$K$223,MATCH($E413&amp;$F413,'HIV-Other HPs'!$D$123:$D$223&amp;'HIV-Other HPs'!$G$123:$G$223,0)),"")</f>
        <v/>
      </c>
      <c r="H413" s="650" t="str">
        <f t="array" ref="H413">IFERROR(INDEX('HIV-Other HPs'!$L$123:$L$223,MATCH($E413&amp;$F413,'HIV-Other HPs'!$D$123:$D$223&amp;'HIV-Other HPs'!$G$123:$G$223,0)),"")</f>
        <v/>
      </c>
      <c r="I413" s="651">
        <f t="array" ref="I413">IFERROR(INDEX('HIV-Other HPs'!$M$123:$M$223,MATCH($E413&amp;$F413,'HIV-Other HPs'!$D$123:$D$223&amp;'HIV-Other HPs'!$G$123:$G$223,0)),0)</f>
        <v>0</v>
      </c>
      <c r="J413" s="651">
        <f t="array" ref="J413">IFERROR(INDEX('HIV-Other HPs'!$N$123:$N$223,MATCH($E413&amp;$F413,'HIV-Other HPs'!$D$123:$D$223&amp;'HIV-Other HPs'!$G$123:$G$223,0)),0)</f>
        <v>0</v>
      </c>
      <c r="K413" s="652">
        <f t="shared" si="324"/>
        <v>0</v>
      </c>
      <c r="L413" s="652">
        <f t="shared" si="325"/>
        <v>0</v>
      </c>
      <c r="M413" s="652">
        <f t="shared" si="326"/>
        <v>0</v>
      </c>
      <c r="N413" s="651">
        <f t="array" ref="N413">IFERROR(INDEX('HIV-Other HPs'!$O$123:$O$223,MATCH($E413&amp;$F413,'HIV-Other HPs'!$D$123:$D$223&amp;'HIV-Other HPs'!$G$123:$G$223,0)),0)</f>
        <v>0</v>
      </c>
      <c r="O413" s="652">
        <f t="shared" si="327"/>
        <v>0</v>
      </c>
      <c r="P413" s="652">
        <f t="shared" si="328"/>
        <v>0</v>
      </c>
      <c r="Q413" s="652">
        <f t="shared" si="329"/>
        <v>0</v>
      </c>
      <c r="R413" s="651">
        <f t="array" ref="R413">IFERROR(INDEX('HIV-Other HPs'!$P$123:$P$223,MATCH($E413&amp;$F413,'HIV-Other HPs'!$D$123:$D$223&amp;'HIV-Other HPs'!$G$123:$G$223,0)),0)</f>
        <v>0</v>
      </c>
      <c r="S413" s="652">
        <f t="shared" si="330"/>
        <v>0</v>
      </c>
      <c r="T413" s="652">
        <f t="shared" si="331"/>
        <v>0</v>
      </c>
      <c r="U413" s="652">
        <f t="shared" si="332"/>
        <v>0</v>
      </c>
      <c r="V413" s="651">
        <f t="array" ref="V413">IFERROR(INDEX('HIV-Other HPs'!$Q$123:$Q$223,MATCH($E413&amp;$F413,'HIV-Other HPs'!$D$123:$D$223&amp;'HIV-Other HPs'!$G$123:$G$223,0)),0)</f>
        <v>0</v>
      </c>
      <c r="W413" s="652">
        <f t="shared" si="333"/>
        <v>0</v>
      </c>
      <c r="X413" s="652">
        <f t="shared" si="334"/>
        <v>0</v>
      </c>
      <c r="Y413" s="652">
        <f t="shared" si="335"/>
        <v>0</v>
      </c>
      <c r="Z413" s="664"/>
      <c r="AA413" s="651">
        <f t="array" ref="AA413">IFERROR(INDEX('HIV-Other HPs'!$T$123:$T$223,MATCH($E413&amp;$F413,'HIV-Other HPs'!$D$123:$D$223&amp;'HIV-Other HPs'!$G$123:$G$223,0)),0)</f>
        <v>0</v>
      </c>
      <c r="AB413" s="651">
        <f t="array" ref="AB413">IFERROR(INDEX('HIV-Other HPs'!$U$123:$U$223,MATCH($E413&amp;$F413,'HIV-Other HPs'!$D$123:$D$223&amp;'HIV-Other HPs'!$G$123:$G$223,0)),0)</f>
        <v>0</v>
      </c>
      <c r="AC413" s="652">
        <f t="shared" si="336"/>
        <v>0</v>
      </c>
      <c r="AD413" s="652">
        <f t="shared" si="337"/>
        <v>0</v>
      </c>
      <c r="AE413" s="652">
        <f t="shared" si="338"/>
        <v>0</v>
      </c>
      <c r="AF413" s="651">
        <f t="array" ref="AF413">IFERROR(INDEX('HIV-Other HPs'!$V$123:$V$223,MATCH($E413&amp;$F413,'HIV-Other HPs'!$D$123:$D$223&amp;'HIV-Other HPs'!$G$123:$G$223,0)),0)</f>
        <v>0</v>
      </c>
      <c r="AG413" s="652">
        <f t="shared" si="339"/>
        <v>0</v>
      </c>
      <c r="AH413" s="652">
        <f t="shared" si="340"/>
        <v>0</v>
      </c>
      <c r="AI413" s="652">
        <f t="shared" si="341"/>
        <v>0</v>
      </c>
      <c r="AJ413" s="651">
        <f t="array" ref="AJ413">IFERROR(INDEX('HIV-Other HPs'!$W$123:$W$223,MATCH($E413&amp;$F413,'HIV-Other HPs'!$D$123:$D$223&amp;'HIV-Other HPs'!$G$123:$G$223,0)),0)</f>
        <v>0</v>
      </c>
      <c r="AK413" s="652">
        <f t="shared" si="342"/>
        <v>0</v>
      </c>
      <c r="AL413" s="652">
        <f t="shared" si="343"/>
        <v>0</v>
      </c>
      <c r="AM413" s="652">
        <f t="shared" si="344"/>
        <v>0</v>
      </c>
      <c r="AN413" s="651">
        <f t="array" ref="AN413">IFERROR(INDEX('HIV-Other HPs'!$X$123:$X$223,MATCH($E413&amp;$F413,'HIV-Other HPs'!$D$123:$D$223&amp;'HIV-Other HPs'!$G$123:$G$223,0)),0)</f>
        <v>0</v>
      </c>
      <c r="AO413" s="652">
        <f t="shared" si="345"/>
        <v>0</v>
      </c>
      <c r="AP413" s="652">
        <f t="shared" si="346"/>
        <v>0</v>
      </c>
      <c r="AQ413" s="652">
        <f t="shared" si="347"/>
        <v>0</v>
      </c>
      <c r="AR413" s="664"/>
      <c r="AS413" s="651">
        <f t="array" ref="AS413">IFERROR(INDEX('HIV-Other HPs'!$AA$123:$AA$223,MATCH($E413&amp;$F413,'HIV-Other HPs'!$D$123:$D$223&amp;'HIV-Other HPs'!$G$123:$G$223,0)),0)</f>
        <v>0</v>
      </c>
      <c r="AT413" s="651">
        <f t="array" ref="AT413">IFERROR(INDEX('HIV-Other HPs'!$AB$123:$AB$223,MATCH($E413&amp;$F413,'HIV-Other HPs'!$D$123:$D$223&amp;'HIV-Other HPs'!$G$123:$G$223,0)),0)</f>
        <v>0</v>
      </c>
      <c r="AU413" s="652">
        <f t="shared" si="348"/>
        <v>0</v>
      </c>
      <c r="AV413" s="652">
        <f t="shared" si="349"/>
        <v>0</v>
      </c>
      <c r="AW413" s="652">
        <f t="shared" si="350"/>
        <v>0</v>
      </c>
      <c r="AX413" s="651">
        <f t="array" ref="AX413">IFERROR(INDEX('HIV-Other HPs'!$AC$123:$AC$223,MATCH($E413&amp;$F413,'HIV-Other HPs'!$D$123:$D$223&amp;'HIV-Other HPs'!$G$123:$G$223,0)),0)</f>
        <v>0</v>
      </c>
      <c r="AY413" s="652">
        <f t="shared" si="351"/>
        <v>0</v>
      </c>
      <c r="AZ413" s="652">
        <f t="shared" si="352"/>
        <v>0</v>
      </c>
      <c r="BA413" s="652">
        <f t="shared" si="353"/>
        <v>0</v>
      </c>
      <c r="BB413" s="651">
        <f t="array" ref="BB413">IFERROR(INDEX('HIV-Other HPs'!$AD$123:$AD$223,MATCH($E413&amp;$F413,'HIV-Other HPs'!$D$123:$D$223&amp;'HIV-Other HPs'!$G$123:$G$223,0)),0)</f>
        <v>0</v>
      </c>
      <c r="BC413" s="652">
        <f t="shared" si="354"/>
        <v>0</v>
      </c>
      <c r="BD413" s="652">
        <f t="shared" si="355"/>
        <v>0</v>
      </c>
      <c r="BE413" s="652">
        <f t="shared" si="356"/>
        <v>0</v>
      </c>
      <c r="BF413" s="651">
        <f t="array" ref="BF413">IFERROR(INDEX('HIV-Other HPs'!$AE$123:$AE$223,MATCH($E413&amp;$F413,'HIV-Other HPs'!$D$123:$D$223&amp;'HIV-Other HPs'!$G$123:$G$223,0)),0)</f>
        <v>0</v>
      </c>
      <c r="BG413" s="652">
        <f t="shared" si="357"/>
        <v>0</v>
      </c>
      <c r="BH413" s="652">
        <f t="shared" si="358"/>
        <v>0</v>
      </c>
      <c r="BI413" s="652">
        <f t="shared" si="359"/>
        <v>0</v>
      </c>
      <c r="BJ413" s="662"/>
      <c r="BK413" s="663"/>
      <c r="BL413" s="663"/>
      <c r="BM413" s="663"/>
      <c r="BN413" s="663"/>
      <c r="BO413" s="663"/>
      <c r="BP413" s="663"/>
      <c r="BQ413" s="663"/>
      <c r="BR413" s="663"/>
    </row>
    <row r="414" spans="1:70">
      <c r="A414" s="655" t="s">
        <v>1867</v>
      </c>
      <c r="B414" s="655" t="s">
        <v>2287</v>
      </c>
      <c r="C414" s="648">
        <f>SETUP!$F$33</f>
        <v>0</v>
      </c>
      <c r="D414" s="654">
        <v>5.6</v>
      </c>
      <c r="E414" s="663" t="s">
        <v>1227</v>
      </c>
      <c r="F414" s="663" t="s">
        <v>1140</v>
      </c>
      <c r="G414" s="650" t="str">
        <f t="array" ref="G414">IFERROR(INDEX('HIV-Other HPs'!$K$123:$K$223,MATCH($E414&amp;$F414,'HIV-Other HPs'!$D$123:$D$223&amp;'HIV-Other HPs'!$G$123:$G$223,0)),"")</f>
        <v/>
      </c>
      <c r="H414" s="650" t="str">
        <f t="array" ref="H414">IFERROR(INDEX('HIV-Other HPs'!$L$123:$L$223,MATCH($E414&amp;$F414,'HIV-Other HPs'!$D$123:$D$223&amp;'HIV-Other HPs'!$G$123:$G$223,0)),"")</f>
        <v/>
      </c>
      <c r="I414" s="651">
        <f t="array" ref="I414">IFERROR(INDEX('HIV-Other HPs'!$M$123:$M$223,MATCH($E414&amp;$F414,'HIV-Other HPs'!$D$123:$D$223&amp;'HIV-Other HPs'!$G$123:$G$223,0)),0)</f>
        <v>0</v>
      </c>
      <c r="J414" s="651">
        <f t="array" ref="J414">IFERROR(INDEX('HIV-Other HPs'!$N$123:$N$223,MATCH($E414&amp;$F414,'HIV-Other HPs'!$D$123:$D$223&amp;'HIV-Other HPs'!$G$123:$G$223,0)),0)</f>
        <v>0</v>
      </c>
      <c r="K414" s="652">
        <f t="shared" si="324"/>
        <v>0</v>
      </c>
      <c r="L414" s="652">
        <f t="shared" si="325"/>
        <v>0</v>
      </c>
      <c r="M414" s="652">
        <f t="shared" si="326"/>
        <v>0</v>
      </c>
      <c r="N414" s="651">
        <f t="array" ref="N414">IFERROR(INDEX('HIV-Other HPs'!$O$123:$O$223,MATCH($E414&amp;$F414,'HIV-Other HPs'!$D$123:$D$223&amp;'HIV-Other HPs'!$G$123:$G$223,0)),0)</f>
        <v>0</v>
      </c>
      <c r="O414" s="652">
        <f t="shared" si="327"/>
        <v>0</v>
      </c>
      <c r="P414" s="652">
        <f t="shared" si="328"/>
        <v>0</v>
      </c>
      <c r="Q414" s="652">
        <f t="shared" si="329"/>
        <v>0</v>
      </c>
      <c r="R414" s="651">
        <f t="array" ref="R414">IFERROR(INDEX('HIV-Other HPs'!$P$123:$P$223,MATCH($E414&amp;$F414,'HIV-Other HPs'!$D$123:$D$223&amp;'HIV-Other HPs'!$G$123:$G$223,0)),0)</f>
        <v>0</v>
      </c>
      <c r="S414" s="652">
        <f t="shared" si="330"/>
        <v>0</v>
      </c>
      <c r="T414" s="652">
        <f t="shared" si="331"/>
        <v>0</v>
      </c>
      <c r="U414" s="652">
        <f t="shared" si="332"/>
        <v>0</v>
      </c>
      <c r="V414" s="651">
        <f t="array" ref="V414">IFERROR(INDEX('HIV-Other HPs'!$Q$123:$Q$223,MATCH($E414&amp;$F414,'HIV-Other HPs'!$D$123:$D$223&amp;'HIV-Other HPs'!$G$123:$G$223,0)),0)</f>
        <v>0</v>
      </c>
      <c r="W414" s="652">
        <f t="shared" si="333"/>
        <v>0</v>
      </c>
      <c r="X414" s="652">
        <f t="shared" si="334"/>
        <v>0</v>
      </c>
      <c r="Y414" s="652">
        <f t="shared" si="335"/>
        <v>0</v>
      </c>
      <c r="Z414" s="664"/>
      <c r="AA414" s="651">
        <f t="array" ref="AA414">IFERROR(INDEX('HIV-Other HPs'!$T$123:$T$223,MATCH($E414&amp;$F414,'HIV-Other HPs'!$D$123:$D$223&amp;'HIV-Other HPs'!$G$123:$G$223,0)),0)</f>
        <v>0</v>
      </c>
      <c r="AB414" s="651">
        <f t="array" ref="AB414">IFERROR(INDEX('HIV-Other HPs'!$U$123:$U$223,MATCH($E414&amp;$F414,'HIV-Other HPs'!$D$123:$D$223&amp;'HIV-Other HPs'!$G$123:$G$223,0)),0)</f>
        <v>0</v>
      </c>
      <c r="AC414" s="652">
        <f t="shared" si="336"/>
        <v>0</v>
      </c>
      <c r="AD414" s="652">
        <f t="shared" si="337"/>
        <v>0</v>
      </c>
      <c r="AE414" s="652">
        <f t="shared" si="338"/>
        <v>0</v>
      </c>
      <c r="AF414" s="651">
        <f t="array" ref="AF414">IFERROR(INDEX('HIV-Other HPs'!$V$123:$V$223,MATCH($E414&amp;$F414,'HIV-Other HPs'!$D$123:$D$223&amp;'HIV-Other HPs'!$G$123:$G$223,0)),0)</f>
        <v>0</v>
      </c>
      <c r="AG414" s="652">
        <f t="shared" si="339"/>
        <v>0</v>
      </c>
      <c r="AH414" s="652">
        <f t="shared" si="340"/>
        <v>0</v>
      </c>
      <c r="AI414" s="652">
        <f t="shared" si="341"/>
        <v>0</v>
      </c>
      <c r="AJ414" s="651">
        <f t="array" ref="AJ414">IFERROR(INDEX('HIV-Other HPs'!$W$123:$W$223,MATCH($E414&amp;$F414,'HIV-Other HPs'!$D$123:$D$223&amp;'HIV-Other HPs'!$G$123:$G$223,0)),0)</f>
        <v>0</v>
      </c>
      <c r="AK414" s="652">
        <f t="shared" si="342"/>
        <v>0</v>
      </c>
      <c r="AL414" s="652">
        <f t="shared" si="343"/>
        <v>0</v>
      </c>
      <c r="AM414" s="652">
        <f t="shared" si="344"/>
        <v>0</v>
      </c>
      <c r="AN414" s="651">
        <f t="array" ref="AN414">IFERROR(INDEX('HIV-Other HPs'!$X$123:$X$223,MATCH($E414&amp;$F414,'HIV-Other HPs'!$D$123:$D$223&amp;'HIV-Other HPs'!$G$123:$G$223,0)),0)</f>
        <v>0</v>
      </c>
      <c r="AO414" s="652">
        <f t="shared" si="345"/>
        <v>0</v>
      </c>
      <c r="AP414" s="652">
        <f t="shared" si="346"/>
        <v>0</v>
      </c>
      <c r="AQ414" s="652">
        <f t="shared" si="347"/>
        <v>0</v>
      </c>
      <c r="AR414" s="664"/>
      <c r="AS414" s="651">
        <f t="array" ref="AS414">IFERROR(INDEX('HIV-Other HPs'!$AA$123:$AA$223,MATCH($E414&amp;$F414,'HIV-Other HPs'!$D$123:$D$223&amp;'HIV-Other HPs'!$G$123:$G$223,0)),0)</f>
        <v>0</v>
      </c>
      <c r="AT414" s="651">
        <f t="array" ref="AT414">IFERROR(INDEX('HIV-Other HPs'!$AB$123:$AB$223,MATCH($E414&amp;$F414,'HIV-Other HPs'!$D$123:$D$223&amp;'HIV-Other HPs'!$G$123:$G$223,0)),0)</f>
        <v>0</v>
      </c>
      <c r="AU414" s="652">
        <f t="shared" si="348"/>
        <v>0</v>
      </c>
      <c r="AV414" s="652">
        <f t="shared" si="349"/>
        <v>0</v>
      </c>
      <c r="AW414" s="652">
        <f t="shared" si="350"/>
        <v>0</v>
      </c>
      <c r="AX414" s="651">
        <f t="array" ref="AX414">IFERROR(INDEX('HIV-Other HPs'!$AC$123:$AC$223,MATCH($E414&amp;$F414,'HIV-Other HPs'!$D$123:$D$223&amp;'HIV-Other HPs'!$G$123:$G$223,0)),0)</f>
        <v>0</v>
      </c>
      <c r="AY414" s="652">
        <f t="shared" si="351"/>
        <v>0</v>
      </c>
      <c r="AZ414" s="652">
        <f t="shared" si="352"/>
        <v>0</v>
      </c>
      <c r="BA414" s="652">
        <f t="shared" si="353"/>
        <v>0</v>
      </c>
      <c r="BB414" s="651">
        <f t="array" ref="BB414">IFERROR(INDEX('HIV-Other HPs'!$AD$123:$AD$223,MATCH($E414&amp;$F414,'HIV-Other HPs'!$D$123:$D$223&amp;'HIV-Other HPs'!$G$123:$G$223,0)),0)</f>
        <v>0</v>
      </c>
      <c r="BC414" s="652">
        <f t="shared" si="354"/>
        <v>0</v>
      </c>
      <c r="BD414" s="652">
        <f t="shared" si="355"/>
        <v>0</v>
      </c>
      <c r="BE414" s="652">
        <f t="shared" si="356"/>
        <v>0</v>
      </c>
      <c r="BF414" s="651">
        <f t="array" ref="BF414">IFERROR(INDEX('HIV-Other HPs'!$AE$123:$AE$223,MATCH($E414&amp;$F414,'HIV-Other HPs'!$D$123:$D$223&amp;'HIV-Other HPs'!$G$123:$G$223,0)),0)</f>
        <v>0</v>
      </c>
      <c r="BG414" s="652">
        <f t="shared" si="357"/>
        <v>0</v>
      </c>
      <c r="BH414" s="652">
        <f t="shared" si="358"/>
        <v>0</v>
      </c>
      <c r="BI414" s="652">
        <f t="shared" si="359"/>
        <v>0</v>
      </c>
      <c r="BJ414" s="662"/>
      <c r="BK414" s="663"/>
      <c r="BL414" s="663"/>
      <c r="BM414" s="663"/>
      <c r="BN414" s="663"/>
      <c r="BO414" s="663"/>
      <c r="BP414" s="663"/>
      <c r="BQ414" s="663"/>
      <c r="BR414" s="663"/>
    </row>
    <row r="415" spans="1:70">
      <c r="A415" s="655" t="s">
        <v>1867</v>
      </c>
      <c r="B415" s="655" t="s">
        <v>2287</v>
      </c>
      <c r="C415" s="648">
        <f>SETUP!$F$33</f>
        <v>0</v>
      </c>
      <c r="D415" s="654">
        <v>5.6</v>
      </c>
      <c r="E415" s="663" t="s">
        <v>1876</v>
      </c>
      <c r="F415" s="663"/>
      <c r="G415" s="650" t="str">
        <f t="array" ref="G415">IFERROR(INDEX('HIV-Other HPs'!$K$123:$K$223,MATCH($E415&amp;$F415,'HIV-Other HPs'!$D$123:$D$223&amp;'HIV-Other HPs'!$G$123:$G$223,0)),"")</f>
        <v/>
      </c>
      <c r="H415" s="650" t="str">
        <f t="array" ref="H415">IFERROR(INDEX('HIV-Other HPs'!$L$123:$L$223,MATCH($E415&amp;$F415,'HIV-Other HPs'!$D$123:$D$223&amp;'HIV-Other HPs'!$G$123:$G$223,0)),"")</f>
        <v/>
      </c>
      <c r="I415" s="651">
        <f t="array" ref="I415">IFERROR(INDEX('HIV-Other HPs'!$M$123:$M$223,MATCH($E415&amp;$F415,'HIV-Other HPs'!$D$123:$D$223&amp;'HIV-Other HPs'!$G$123:$G$223,0)),0)</f>
        <v>0</v>
      </c>
      <c r="J415" s="651">
        <f t="array" ref="J415">IFERROR(INDEX('HIV-Other HPs'!$N$123:$N$223,MATCH($E415&amp;$F415,'HIV-Other HPs'!$D$123:$D$223&amp;'HIV-Other HPs'!$G$123:$G$223,0)),0)</f>
        <v>0</v>
      </c>
      <c r="K415" s="652">
        <f t="shared" si="324"/>
        <v>0</v>
      </c>
      <c r="L415" s="652">
        <f t="shared" si="325"/>
        <v>0</v>
      </c>
      <c r="M415" s="652">
        <f t="shared" si="326"/>
        <v>0</v>
      </c>
      <c r="N415" s="651">
        <f t="array" ref="N415">IFERROR(INDEX('HIV-Other HPs'!$O$123:$O$223,MATCH($E415&amp;$F415,'HIV-Other HPs'!$D$123:$D$223&amp;'HIV-Other HPs'!$G$123:$G$223,0)),0)</f>
        <v>0</v>
      </c>
      <c r="O415" s="652">
        <f t="shared" si="327"/>
        <v>0</v>
      </c>
      <c r="P415" s="652">
        <f t="shared" si="328"/>
        <v>0</v>
      </c>
      <c r="Q415" s="652">
        <f t="shared" si="329"/>
        <v>0</v>
      </c>
      <c r="R415" s="651">
        <f t="array" ref="R415">IFERROR(INDEX('HIV-Other HPs'!$P$123:$P$223,MATCH($E415&amp;$F415,'HIV-Other HPs'!$D$123:$D$223&amp;'HIV-Other HPs'!$G$123:$G$223,0)),0)</f>
        <v>0</v>
      </c>
      <c r="S415" s="652">
        <f t="shared" si="330"/>
        <v>0</v>
      </c>
      <c r="T415" s="652">
        <f t="shared" si="331"/>
        <v>0</v>
      </c>
      <c r="U415" s="652">
        <f t="shared" si="332"/>
        <v>0</v>
      </c>
      <c r="V415" s="651">
        <f t="array" ref="V415">IFERROR(INDEX('HIV-Other HPs'!$Q$123:$Q$223,MATCH($E415&amp;$F415,'HIV-Other HPs'!$D$123:$D$223&amp;'HIV-Other HPs'!$G$123:$G$223,0)),0)</f>
        <v>0</v>
      </c>
      <c r="W415" s="652">
        <f t="shared" si="333"/>
        <v>0</v>
      </c>
      <c r="X415" s="652">
        <f t="shared" si="334"/>
        <v>0</v>
      </c>
      <c r="Y415" s="652">
        <f t="shared" si="335"/>
        <v>0</v>
      </c>
      <c r="Z415" s="664"/>
      <c r="AA415" s="651">
        <f t="array" ref="AA415">IFERROR(INDEX('HIV-Other HPs'!$T$123:$T$223,MATCH($E415&amp;$F415,'HIV-Other HPs'!$D$123:$D$223&amp;'HIV-Other HPs'!$G$123:$G$223,0)),0)</f>
        <v>0</v>
      </c>
      <c r="AB415" s="651">
        <f t="array" ref="AB415">IFERROR(INDEX('HIV-Other HPs'!$U$123:$U$223,MATCH($E415&amp;$F415,'HIV-Other HPs'!$D$123:$D$223&amp;'HIV-Other HPs'!$G$123:$G$223,0)),0)</f>
        <v>0</v>
      </c>
      <c r="AC415" s="652">
        <f t="shared" si="336"/>
        <v>0</v>
      </c>
      <c r="AD415" s="652">
        <f t="shared" si="337"/>
        <v>0</v>
      </c>
      <c r="AE415" s="652">
        <f t="shared" si="338"/>
        <v>0</v>
      </c>
      <c r="AF415" s="651">
        <f t="array" ref="AF415">IFERROR(INDEX('HIV-Other HPs'!$V$123:$V$223,MATCH($E415&amp;$F415,'HIV-Other HPs'!$D$123:$D$223&amp;'HIV-Other HPs'!$G$123:$G$223,0)),0)</f>
        <v>0</v>
      </c>
      <c r="AG415" s="652">
        <f t="shared" si="339"/>
        <v>0</v>
      </c>
      <c r="AH415" s="652">
        <f t="shared" si="340"/>
        <v>0</v>
      </c>
      <c r="AI415" s="652">
        <f t="shared" si="341"/>
        <v>0</v>
      </c>
      <c r="AJ415" s="651">
        <f t="array" ref="AJ415">IFERROR(INDEX('HIV-Other HPs'!$W$123:$W$223,MATCH($E415&amp;$F415,'HIV-Other HPs'!$D$123:$D$223&amp;'HIV-Other HPs'!$G$123:$G$223,0)),0)</f>
        <v>0</v>
      </c>
      <c r="AK415" s="652">
        <f t="shared" si="342"/>
        <v>0</v>
      </c>
      <c r="AL415" s="652">
        <f t="shared" si="343"/>
        <v>0</v>
      </c>
      <c r="AM415" s="652">
        <f t="shared" si="344"/>
        <v>0</v>
      </c>
      <c r="AN415" s="651">
        <f t="array" ref="AN415">IFERROR(INDEX('HIV-Other HPs'!$X$123:$X$223,MATCH($E415&amp;$F415,'HIV-Other HPs'!$D$123:$D$223&amp;'HIV-Other HPs'!$G$123:$G$223,0)),0)</f>
        <v>0</v>
      </c>
      <c r="AO415" s="652">
        <f t="shared" si="345"/>
        <v>0</v>
      </c>
      <c r="AP415" s="652">
        <f t="shared" si="346"/>
        <v>0</v>
      </c>
      <c r="AQ415" s="652">
        <f t="shared" si="347"/>
        <v>0</v>
      </c>
      <c r="AR415" s="664"/>
      <c r="AS415" s="651">
        <f t="array" ref="AS415">IFERROR(INDEX('HIV-Other HPs'!$AA$123:$AA$223,MATCH($E415&amp;$F415,'HIV-Other HPs'!$D$123:$D$223&amp;'HIV-Other HPs'!$G$123:$G$223,0)),0)</f>
        <v>0</v>
      </c>
      <c r="AT415" s="651">
        <f t="array" ref="AT415">IFERROR(INDEX('HIV-Other HPs'!$AB$123:$AB$223,MATCH($E415&amp;$F415,'HIV-Other HPs'!$D$123:$D$223&amp;'HIV-Other HPs'!$G$123:$G$223,0)),0)</f>
        <v>0</v>
      </c>
      <c r="AU415" s="652">
        <f t="shared" si="348"/>
        <v>0</v>
      </c>
      <c r="AV415" s="652">
        <f t="shared" si="349"/>
        <v>0</v>
      </c>
      <c r="AW415" s="652">
        <f t="shared" si="350"/>
        <v>0</v>
      </c>
      <c r="AX415" s="651">
        <f t="array" ref="AX415">IFERROR(INDEX('HIV-Other HPs'!$AC$123:$AC$223,MATCH($E415&amp;$F415,'HIV-Other HPs'!$D$123:$D$223&amp;'HIV-Other HPs'!$G$123:$G$223,0)),0)</f>
        <v>0</v>
      </c>
      <c r="AY415" s="652">
        <f t="shared" si="351"/>
        <v>0</v>
      </c>
      <c r="AZ415" s="652">
        <f t="shared" si="352"/>
        <v>0</v>
      </c>
      <c r="BA415" s="652">
        <f t="shared" si="353"/>
        <v>0</v>
      </c>
      <c r="BB415" s="651">
        <f t="array" ref="BB415">IFERROR(INDEX('HIV-Other HPs'!$AD$123:$AD$223,MATCH($E415&amp;$F415,'HIV-Other HPs'!$D$123:$D$223&amp;'HIV-Other HPs'!$G$123:$G$223,0)),0)</f>
        <v>0</v>
      </c>
      <c r="BC415" s="652">
        <f t="shared" si="354"/>
        <v>0</v>
      </c>
      <c r="BD415" s="652">
        <f t="shared" si="355"/>
        <v>0</v>
      </c>
      <c r="BE415" s="652">
        <f t="shared" si="356"/>
        <v>0</v>
      </c>
      <c r="BF415" s="651">
        <f t="array" ref="BF415">IFERROR(INDEX('HIV-Other HPs'!$AE$123:$AE$223,MATCH($E415&amp;$F415,'HIV-Other HPs'!$D$123:$D$223&amp;'HIV-Other HPs'!$G$123:$G$223,0)),0)</f>
        <v>0</v>
      </c>
      <c r="BG415" s="652">
        <f t="shared" si="357"/>
        <v>0</v>
      </c>
      <c r="BH415" s="652">
        <f t="shared" si="358"/>
        <v>0</v>
      </c>
      <c r="BI415" s="652">
        <f t="shared" si="359"/>
        <v>0</v>
      </c>
      <c r="BJ415" s="662"/>
      <c r="BK415" s="663"/>
      <c r="BL415" s="663"/>
      <c r="BM415" s="663"/>
      <c r="BN415" s="663"/>
      <c r="BO415" s="663"/>
      <c r="BP415" s="663"/>
      <c r="BQ415" s="663"/>
      <c r="BR415" s="663"/>
    </row>
    <row r="416" spans="1:70">
      <c r="A416" s="655" t="s">
        <v>1867</v>
      </c>
      <c r="B416" s="655" t="s">
        <v>2287</v>
      </c>
      <c r="C416" s="648">
        <f>SETUP!$F$33</f>
        <v>0</v>
      </c>
      <c r="D416" s="654">
        <v>5.6</v>
      </c>
      <c r="E416" s="663" t="s">
        <v>1881</v>
      </c>
      <c r="F416" s="663" t="s">
        <v>1882</v>
      </c>
      <c r="G416" s="650" t="str">
        <f t="array" ref="G416">IFERROR(INDEX('HIV-Other HPs'!$K$123:$K$223,MATCH($E416&amp;$F416,'HIV-Other HPs'!$D$123:$D$223&amp;'HIV-Other HPs'!$G$123:$G$223,0)),"")</f>
        <v/>
      </c>
      <c r="H416" s="650" t="str">
        <f t="array" ref="H416">IFERROR(INDEX('HIV-Other HPs'!$L$123:$L$223,MATCH($E416&amp;$F416,'HIV-Other HPs'!$D$123:$D$223&amp;'HIV-Other HPs'!$G$123:$G$223,0)),"")</f>
        <v/>
      </c>
      <c r="I416" s="651">
        <f t="array" ref="I416">IFERROR(INDEX('HIV-Other HPs'!$M$123:$M$223,MATCH($E416&amp;$F416,'HIV-Other HPs'!$D$123:$D$223&amp;'HIV-Other HPs'!$G$123:$G$223,0)),0)</f>
        <v>0</v>
      </c>
      <c r="J416" s="651">
        <f t="array" ref="J416">IFERROR(INDEX('HIV-Other HPs'!$N$123:$N$223,MATCH($E416&amp;$F416,'HIV-Other HPs'!$D$123:$D$223&amp;'HIV-Other HPs'!$G$123:$G$223,0)),0)</f>
        <v>0</v>
      </c>
      <c r="K416" s="652">
        <f t="shared" si="324"/>
        <v>0</v>
      </c>
      <c r="L416" s="652">
        <f t="shared" si="325"/>
        <v>0</v>
      </c>
      <c r="M416" s="652">
        <f t="shared" si="326"/>
        <v>0</v>
      </c>
      <c r="N416" s="651">
        <f t="array" ref="N416">IFERROR(INDEX('HIV-Other HPs'!$O$123:$O$223,MATCH($E416&amp;$F416,'HIV-Other HPs'!$D$123:$D$223&amp;'HIV-Other HPs'!$G$123:$G$223,0)),0)</f>
        <v>0</v>
      </c>
      <c r="O416" s="652">
        <f t="shared" si="327"/>
        <v>0</v>
      </c>
      <c r="P416" s="652">
        <f t="shared" si="328"/>
        <v>0</v>
      </c>
      <c r="Q416" s="652">
        <f t="shared" si="329"/>
        <v>0</v>
      </c>
      <c r="R416" s="651">
        <f t="array" ref="R416">IFERROR(INDEX('HIV-Other HPs'!$P$123:$P$223,MATCH($E416&amp;$F416,'HIV-Other HPs'!$D$123:$D$223&amp;'HIV-Other HPs'!$G$123:$G$223,0)),0)</f>
        <v>0</v>
      </c>
      <c r="S416" s="652">
        <f t="shared" si="330"/>
        <v>0</v>
      </c>
      <c r="T416" s="652">
        <f t="shared" si="331"/>
        <v>0</v>
      </c>
      <c r="U416" s="652">
        <f t="shared" si="332"/>
        <v>0</v>
      </c>
      <c r="V416" s="651">
        <f t="array" ref="V416">IFERROR(INDEX('HIV-Other HPs'!$Q$123:$Q$223,MATCH($E416&amp;$F416,'HIV-Other HPs'!$D$123:$D$223&amp;'HIV-Other HPs'!$G$123:$G$223,0)),0)</f>
        <v>0</v>
      </c>
      <c r="W416" s="652">
        <f t="shared" si="333"/>
        <v>0</v>
      </c>
      <c r="X416" s="652">
        <f t="shared" si="334"/>
        <v>0</v>
      </c>
      <c r="Y416" s="652">
        <f t="shared" si="335"/>
        <v>0</v>
      </c>
      <c r="Z416" s="664"/>
      <c r="AA416" s="651">
        <f t="array" ref="AA416">IFERROR(INDEX('HIV-Other HPs'!$T$123:$T$223,MATCH($E416&amp;$F416,'HIV-Other HPs'!$D$123:$D$223&amp;'HIV-Other HPs'!$G$123:$G$223,0)),0)</f>
        <v>0</v>
      </c>
      <c r="AB416" s="651">
        <f t="array" ref="AB416">IFERROR(INDEX('HIV-Other HPs'!$U$123:$U$223,MATCH($E416&amp;$F416,'HIV-Other HPs'!$D$123:$D$223&amp;'HIV-Other HPs'!$G$123:$G$223,0)),0)</f>
        <v>0</v>
      </c>
      <c r="AC416" s="652">
        <f t="shared" si="336"/>
        <v>0</v>
      </c>
      <c r="AD416" s="652">
        <f t="shared" si="337"/>
        <v>0</v>
      </c>
      <c r="AE416" s="652">
        <f t="shared" si="338"/>
        <v>0</v>
      </c>
      <c r="AF416" s="651">
        <f t="array" ref="AF416">IFERROR(INDEX('HIV-Other HPs'!$V$123:$V$223,MATCH($E416&amp;$F416,'HIV-Other HPs'!$D$123:$D$223&amp;'HIV-Other HPs'!$G$123:$G$223,0)),0)</f>
        <v>0</v>
      </c>
      <c r="AG416" s="652">
        <f t="shared" si="339"/>
        <v>0</v>
      </c>
      <c r="AH416" s="652">
        <f t="shared" si="340"/>
        <v>0</v>
      </c>
      <c r="AI416" s="652">
        <f t="shared" si="341"/>
        <v>0</v>
      </c>
      <c r="AJ416" s="651">
        <f t="array" ref="AJ416">IFERROR(INDEX('HIV-Other HPs'!$W$123:$W$223,MATCH($E416&amp;$F416,'HIV-Other HPs'!$D$123:$D$223&amp;'HIV-Other HPs'!$G$123:$G$223,0)),0)</f>
        <v>0</v>
      </c>
      <c r="AK416" s="652">
        <f t="shared" si="342"/>
        <v>0</v>
      </c>
      <c r="AL416" s="652">
        <f t="shared" si="343"/>
        <v>0</v>
      </c>
      <c r="AM416" s="652">
        <f t="shared" si="344"/>
        <v>0</v>
      </c>
      <c r="AN416" s="651">
        <f t="array" ref="AN416">IFERROR(INDEX('HIV-Other HPs'!$X$123:$X$223,MATCH($E416&amp;$F416,'HIV-Other HPs'!$D$123:$D$223&amp;'HIV-Other HPs'!$G$123:$G$223,0)),0)</f>
        <v>0</v>
      </c>
      <c r="AO416" s="652">
        <f t="shared" si="345"/>
        <v>0</v>
      </c>
      <c r="AP416" s="652">
        <f t="shared" si="346"/>
        <v>0</v>
      </c>
      <c r="AQ416" s="652">
        <f t="shared" si="347"/>
        <v>0</v>
      </c>
      <c r="AR416" s="664"/>
      <c r="AS416" s="651">
        <f t="array" ref="AS416">IFERROR(INDEX('HIV-Other HPs'!$AA$123:$AA$223,MATCH($E416&amp;$F416,'HIV-Other HPs'!$D$123:$D$223&amp;'HIV-Other HPs'!$G$123:$G$223,0)),0)</f>
        <v>0</v>
      </c>
      <c r="AT416" s="651">
        <f t="array" ref="AT416">IFERROR(INDEX('HIV-Other HPs'!$AB$123:$AB$223,MATCH($E416&amp;$F416,'HIV-Other HPs'!$D$123:$D$223&amp;'HIV-Other HPs'!$G$123:$G$223,0)),0)</f>
        <v>0</v>
      </c>
      <c r="AU416" s="652">
        <f t="shared" si="348"/>
        <v>0</v>
      </c>
      <c r="AV416" s="652">
        <f t="shared" si="349"/>
        <v>0</v>
      </c>
      <c r="AW416" s="652">
        <f t="shared" si="350"/>
        <v>0</v>
      </c>
      <c r="AX416" s="651">
        <f t="array" ref="AX416">IFERROR(INDEX('HIV-Other HPs'!$AC$123:$AC$223,MATCH($E416&amp;$F416,'HIV-Other HPs'!$D$123:$D$223&amp;'HIV-Other HPs'!$G$123:$G$223,0)),0)</f>
        <v>0</v>
      </c>
      <c r="AY416" s="652">
        <f t="shared" si="351"/>
        <v>0</v>
      </c>
      <c r="AZ416" s="652">
        <f t="shared" si="352"/>
        <v>0</v>
      </c>
      <c r="BA416" s="652">
        <f t="shared" si="353"/>
        <v>0</v>
      </c>
      <c r="BB416" s="651">
        <f t="array" ref="BB416">IFERROR(INDEX('HIV-Other HPs'!$AD$123:$AD$223,MATCH($E416&amp;$F416,'HIV-Other HPs'!$D$123:$D$223&amp;'HIV-Other HPs'!$G$123:$G$223,0)),0)</f>
        <v>0</v>
      </c>
      <c r="BC416" s="652">
        <f t="shared" si="354"/>
        <v>0</v>
      </c>
      <c r="BD416" s="652">
        <f t="shared" si="355"/>
        <v>0</v>
      </c>
      <c r="BE416" s="652">
        <f t="shared" si="356"/>
        <v>0</v>
      </c>
      <c r="BF416" s="651">
        <f t="array" ref="BF416">IFERROR(INDEX('HIV-Other HPs'!$AE$123:$AE$223,MATCH($E416&amp;$F416,'HIV-Other HPs'!$D$123:$D$223&amp;'HIV-Other HPs'!$G$123:$G$223,0)),0)</f>
        <v>0</v>
      </c>
      <c r="BG416" s="652">
        <f t="shared" si="357"/>
        <v>0</v>
      </c>
      <c r="BH416" s="652">
        <f t="shared" si="358"/>
        <v>0</v>
      </c>
      <c r="BI416" s="652">
        <f t="shared" si="359"/>
        <v>0</v>
      </c>
      <c r="BJ416" s="662"/>
      <c r="BK416" s="663"/>
      <c r="BL416" s="663"/>
      <c r="BM416" s="663"/>
      <c r="BN416" s="663"/>
      <c r="BO416" s="663"/>
      <c r="BP416" s="663"/>
      <c r="BQ416" s="663"/>
      <c r="BR416" s="663"/>
    </row>
    <row r="417" spans="1:70">
      <c r="A417" s="655" t="s">
        <v>1867</v>
      </c>
      <c r="B417" s="655" t="s">
        <v>2287</v>
      </c>
      <c r="C417" s="648">
        <f>SETUP!$F$33</f>
        <v>0</v>
      </c>
      <c r="D417" s="654">
        <v>5.6</v>
      </c>
      <c r="E417" s="663" t="s">
        <v>1883</v>
      </c>
      <c r="F417" s="663"/>
      <c r="G417" s="650" t="str">
        <f t="array" ref="G417">IFERROR(INDEX('HIV-Other HPs'!$K$123:$K$223,MATCH($E417&amp;$F417,'HIV-Other HPs'!$D$123:$D$223&amp;'HIV-Other HPs'!$G$123:$G$223,0)),"")</f>
        <v/>
      </c>
      <c r="H417" s="650" t="str">
        <f t="array" ref="H417">IFERROR(INDEX('HIV-Other HPs'!$L$123:$L$223,MATCH($E417&amp;$F417,'HIV-Other HPs'!$D$123:$D$223&amp;'HIV-Other HPs'!$G$123:$G$223,0)),"")</f>
        <v/>
      </c>
      <c r="I417" s="651">
        <f t="array" ref="I417">IFERROR(INDEX('HIV-Other HPs'!$M$123:$M$223,MATCH($E417&amp;$F417,'HIV-Other HPs'!$D$123:$D$223&amp;'HIV-Other HPs'!$G$123:$G$223,0)),0)</f>
        <v>0</v>
      </c>
      <c r="J417" s="651">
        <f t="array" ref="J417">IFERROR(INDEX('HIV-Other HPs'!$N$123:$N$223,MATCH($E417&amp;$F417,'HIV-Other HPs'!$D$123:$D$223&amp;'HIV-Other HPs'!$G$123:$G$223,0)),0)</f>
        <v>0</v>
      </c>
      <c r="K417" s="652">
        <f t="shared" si="324"/>
        <v>0</v>
      </c>
      <c r="L417" s="652">
        <f t="shared" si="325"/>
        <v>0</v>
      </c>
      <c r="M417" s="652">
        <f t="shared" si="326"/>
        <v>0</v>
      </c>
      <c r="N417" s="651">
        <f t="array" ref="N417">IFERROR(INDEX('HIV-Other HPs'!$O$123:$O$223,MATCH($E417&amp;$F417,'HIV-Other HPs'!$D$123:$D$223&amp;'HIV-Other HPs'!$G$123:$G$223,0)),0)</f>
        <v>0</v>
      </c>
      <c r="O417" s="652">
        <f t="shared" si="327"/>
        <v>0</v>
      </c>
      <c r="P417" s="652">
        <f t="shared" si="328"/>
        <v>0</v>
      </c>
      <c r="Q417" s="652">
        <f t="shared" si="329"/>
        <v>0</v>
      </c>
      <c r="R417" s="651">
        <f t="array" ref="R417">IFERROR(INDEX('HIV-Other HPs'!$P$123:$P$223,MATCH($E417&amp;$F417,'HIV-Other HPs'!$D$123:$D$223&amp;'HIV-Other HPs'!$G$123:$G$223,0)),0)</f>
        <v>0</v>
      </c>
      <c r="S417" s="652">
        <f t="shared" si="330"/>
        <v>0</v>
      </c>
      <c r="T417" s="652">
        <f t="shared" si="331"/>
        <v>0</v>
      </c>
      <c r="U417" s="652">
        <f t="shared" si="332"/>
        <v>0</v>
      </c>
      <c r="V417" s="651">
        <f t="array" ref="V417">IFERROR(INDEX('HIV-Other HPs'!$Q$123:$Q$223,MATCH($E417&amp;$F417,'HIV-Other HPs'!$D$123:$D$223&amp;'HIV-Other HPs'!$G$123:$G$223,0)),0)</f>
        <v>0</v>
      </c>
      <c r="W417" s="652">
        <f t="shared" si="333"/>
        <v>0</v>
      </c>
      <c r="X417" s="652">
        <f t="shared" si="334"/>
        <v>0</v>
      </c>
      <c r="Y417" s="652">
        <f t="shared" si="335"/>
        <v>0</v>
      </c>
      <c r="Z417" s="664"/>
      <c r="AA417" s="651">
        <f t="array" ref="AA417">IFERROR(INDEX('HIV-Other HPs'!$T$123:$T$223,MATCH($E417&amp;$F417,'HIV-Other HPs'!$D$123:$D$223&amp;'HIV-Other HPs'!$G$123:$G$223,0)),0)</f>
        <v>0</v>
      </c>
      <c r="AB417" s="651">
        <f t="array" ref="AB417">IFERROR(INDEX('HIV-Other HPs'!$U$123:$U$223,MATCH($E417&amp;$F417,'HIV-Other HPs'!$D$123:$D$223&amp;'HIV-Other HPs'!$G$123:$G$223,0)),0)</f>
        <v>0</v>
      </c>
      <c r="AC417" s="652">
        <f t="shared" si="336"/>
        <v>0</v>
      </c>
      <c r="AD417" s="652">
        <f t="shared" si="337"/>
        <v>0</v>
      </c>
      <c r="AE417" s="652">
        <f t="shared" si="338"/>
        <v>0</v>
      </c>
      <c r="AF417" s="651">
        <f t="array" ref="AF417">IFERROR(INDEX('HIV-Other HPs'!$V$123:$V$223,MATCH($E417&amp;$F417,'HIV-Other HPs'!$D$123:$D$223&amp;'HIV-Other HPs'!$G$123:$G$223,0)),0)</f>
        <v>0</v>
      </c>
      <c r="AG417" s="652">
        <f t="shared" si="339"/>
        <v>0</v>
      </c>
      <c r="AH417" s="652">
        <f t="shared" si="340"/>
        <v>0</v>
      </c>
      <c r="AI417" s="652">
        <f t="shared" si="341"/>
        <v>0</v>
      </c>
      <c r="AJ417" s="651">
        <f t="array" ref="AJ417">IFERROR(INDEX('HIV-Other HPs'!$W$123:$W$223,MATCH($E417&amp;$F417,'HIV-Other HPs'!$D$123:$D$223&amp;'HIV-Other HPs'!$G$123:$G$223,0)),0)</f>
        <v>0</v>
      </c>
      <c r="AK417" s="652">
        <f t="shared" si="342"/>
        <v>0</v>
      </c>
      <c r="AL417" s="652">
        <f t="shared" si="343"/>
        <v>0</v>
      </c>
      <c r="AM417" s="652">
        <f t="shared" si="344"/>
        <v>0</v>
      </c>
      <c r="AN417" s="651">
        <f t="array" ref="AN417">IFERROR(INDEX('HIV-Other HPs'!$X$123:$X$223,MATCH($E417&amp;$F417,'HIV-Other HPs'!$D$123:$D$223&amp;'HIV-Other HPs'!$G$123:$G$223,0)),0)</f>
        <v>0</v>
      </c>
      <c r="AO417" s="652">
        <f t="shared" si="345"/>
        <v>0</v>
      </c>
      <c r="AP417" s="652">
        <f t="shared" si="346"/>
        <v>0</v>
      </c>
      <c r="AQ417" s="652">
        <f t="shared" si="347"/>
        <v>0</v>
      </c>
      <c r="AR417" s="664"/>
      <c r="AS417" s="651">
        <f t="array" ref="AS417">IFERROR(INDEX('HIV-Other HPs'!$AA$123:$AA$223,MATCH($E417&amp;$F417,'HIV-Other HPs'!$D$123:$D$223&amp;'HIV-Other HPs'!$G$123:$G$223,0)),0)</f>
        <v>0</v>
      </c>
      <c r="AT417" s="651">
        <f t="array" ref="AT417">IFERROR(INDEX('HIV-Other HPs'!$AB$123:$AB$223,MATCH($E417&amp;$F417,'HIV-Other HPs'!$D$123:$D$223&amp;'HIV-Other HPs'!$G$123:$G$223,0)),0)</f>
        <v>0</v>
      </c>
      <c r="AU417" s="652">
        <f t="shared" si="348"/>
        <v>0</v>
      </c>
      <c r="AV417" s="652">
        <f t="shared" si="349"/>
        <v>0</v>
      </c>
      <c r="AW417" s="652">
        <f t="shared" si="350"/>
        <v>0</v>
      </c>
      <c r="AX417" s="651">
        <f t="array" ref="AX417">IFERROR(INDEX('HIV-Other HPs'!$AC$123:$AC$223,MATCH($E417&amp;$F417,'HIV-Other HPs'!$D$123:$D$223&amp;'HIV-Other HPs'!$G$123:$G$223,0)),0)</f>
        <v>0</v>
      </c>
      <c r="AY417" s="652">
        <f t="shared" si="351"/>
        <v>0</v>
      </c>
      <c r="AZ417" s="652">
        <f t="shared" si="352"/>
        <v>0</v>
      </c>
      <c r="BA417" s="652">
        <f t="shared" si="353"/>
        <v>0</v>
      </c>
      <c r="BB417" s="651">
        <f t="array" ref="BB417">IFERROR(INDEX('HIV-Other HPs'!$AD$123:$AD$223,MATCH($E417&amp;$F417,'HIV-Other HPs'!$D$123:$D$223&amp;'HIV-Other HPs'!$G$123:$G$223,0)),0)</f>
        <v>0</v>
      </c>
      <c r="BC417" s="652">
        <f t="shared" si="354"/>
        <v>0</v>
      </c>
      <c r="BD417" s="652">
        <f t="shared" si="355"/>
        <v>0</v>
      </c>
      <c r="BE417" s="652">
        <f t="shared" si="356"/>
        <v>0</v>
      </c>
      <c r="BF417" s="651">
        <f t="array" ref="BF417">IFERROR(INDEX('HIV-Other HPs'!$AE$123:$AE$223,MATCH($E417&amp;$F417,'HIV-Other HPs'!$D$123:$D$223&amp;'HIV-Other HPs'!$G$123:$G$223,0)),0)</f>
        <v>0</v>
      </c>
      <c r="BG417" s="652">
        <f t="shared" si="357"/>
        <v>0</v>
      </c>
      <c r="BH417" s="652">
        <f t="shared" si="358"/>
        <v>0</v>
      </c>
      <c r="BI417" s="652">
        <f t="shared" si="359"/>
        <v>0</v>
      </c>
      <c r="BJ417" s="662"/>
      <c r="BK417" s="663"/>
      <c r="BL417" s="663"/>
      <c r="BM417" s="663"/>
      <c r="BN417" s="663"/>
      <c r="BO417" s="663"/>
      <c r="BP417" s="663"/>
      <c r="BQ417" s="663"/>
      <c r="BR417" s="663"/>
    </row>
    <row r="418" spans="1:70">
      <c r="A418" s="655" t="s">
        <v>1867</v>
      </c>
      <c r="B418" s="655" t="s">
        <v>2287</v>
      </c>
      <c r="C418" s="648">
        <f>SETUP!$F$33</f>
        <v>0</v>
      </c>
      <c r="D418" s="654">
        <v>5.6</v>
      </c>
      <c r="E418" s="663" t="s">
        <v>1886</v>
      </c>
      <c r="F418" s="663" t="s">
        <v>1887</v>
      </c>
      <c r="G418" s="650" t="str">
        <f t="array" ref="G418">IFERROR(INDEX('HIV-Other HPs'!$K$123:$K$223,MATCH($E418&amp;$F418,'HIV-Other HPs'!$D$123:$D$223&amp;'HIV-Other HPs'!$G$123:$G$223,0)),"")</f>
        <v/>
      </c>
      <c r="H418" s="650" t="str">
        <f t="array" ref="H418">IFERROR(INDEX('HIV-Other HPs'!$L$123:$L$223,MATCH($E418&amp;$F418,'HIV-Other HPs'!$D$123:$D$223&amp;'HIV-Other HPs'!$G$123:$G$223,0)),"")</f>
        <v/>
      </c>
      <c r="I418" s="651">
        <f t="array" ref="I418">IFERROR(INDEX('HIV-Other HPs'!$M$123:$M$223,MATCH($E418&amp;$F418,'HIV-Other HPs'!$D$123:$D$223&amp;'HIV-Other HPs'!$G$123:$G$223,0)),0)</f>
        <v>0</v>
      </c>
      <c r="J418" s="651">
        <f t="array" ref="J418">IFERROR(INDEX('HIV-Other HPs'!$N$123:$N$223,MATCH($E418&amp;$F418,'HIV-Other HPs'!$D$123:$D$223&amp;'HIV-Other HPs'!$G$123:$G$223,0)),0)</f>
        <v>0</v>
      </c>
      <c r="K418" s="652">
        <f t="shared" si="324"/>
        <v>0</v>
      </c>
      <c r="L418" s="652">
        <f t="shared" si="325"/>
        <v>0</v>
      </c>
      <c r="M418" s="652">
        <f t="shared" si="326"/>
        <v>0</v>
      </c>
      <c r="N418" s="651">
        <f t="array" ref="N418">IFERROR(INDEX('HIV-Other HPs'!$O$123:$O$223,MATCH($E418&amp;$F418,'HIV-Other HPs'!$D$123:$D$223&amp;'HIV-Other HPs'!$G$123:$G$223,0)),0)</f>
        <v>0</v>
      </c>
      <c r="O418" s="652">
        <f t="shared" si="327"/>
        <v>0</v>
      </c>
      <c r="P418" s="652">
        <f t="shared" si="328"/>
        <v>0</v>
      </c>
      <c r="Q418" s="652">
        <f t="shared" si="329"/>
        <v>0</v>
      </c>
      <c r="R418" s="651">
        <f t="array" ref="R418">IFERROR(INDEX('HIV-Other HPs'!$P$123:$P$223,MATCH($E418&amp;$F418,'HIV-Other HPs'!$D$123:$D$223&amp;'HIV-Other HPs'!$G$123:$G$223,0)),0)</f>
        <v>0</v>
      </c>
      <c r="S418" s="652">
        <f t="shared" si="330"/>
        <v>0</v>
      </c>
      <c r="T418" s="652">
        <f t="shared" si="331"/>
        <v>0</v>
      </c>
      <c r="U418" s="652">
        <f t="shared" si="332"/>
        <v>0</v>
      </c>
      <c r="V418" s="651">
        <f t="array" ref="V418">IFERROR(INDEX('HIV-Other HPs'!$Q$123:$Q$223,MATCH($E418&amp;$F418,'HIV-Other HPs'!$D$123:$D$223&amp;'HIV-Other HPs'!$G$123:$G$223,0)),0)</f>
        <v>0</v>
      </c>
      <c r="W418" s="652">
        <f t="shared" si="333"/>
        <v>0</v>
      </c>
      <c r="X418" s="652">
        <f t="shared" si="334"/>
        <v>0</v>
      </c>
      <c r="Y418" s="652">
        <f t="shared" si="335"/>
        <v>0</v>
      </c>
      <c r="Z418" s="664"/>
      <c r="AA418" s="651">
        <f t="array" ref="AA418">IFERROR(INDEX('HIV-Other HPs'!$T$123:$T$223,MATCH($E418&amp;$F418,'HIV-Other HPs'!$D$123:$D$223&amp;'HIV-Other HPs'!$G$123:$G$223,0)),0)</f>
        <v>0</v>
      </c>
      <c r="AB418" s="651">
        <f t="array" ref="AB418">IFERROR(INDEX('HIV-Other HPs'!$U$123:$U$223,MATCH($E418&amp;$F418,'HIV-Other HPs'!$D$123:$D$223&amp;'HIV-Other HPs'!$G$123:$G$223,0)),0)</f>
        <v>0</v>
      </c>
      <c r="AC418" s="652">
        <f t="shared" si="336"/>
        <v>0</v>
      </c>
      <c r="AD418" s="652">
        <f t="shared" si="337"/>
        <v>0</v>
      </c>
      <c r="AE418" s="652">
        <f t="shared" si="338"/>
        <v>0</v>
      </c>
      <c r="AF418" s="651">
        <f t="array" ref="AF418">IFERROR(INDEX('HIV-Other HPs'!$V$123:$V$223,MATCH($E418&amp;$F418,'HIV-Other HPs'!$D$123:$D$223&amp;'HIV-Other HPs'!$G$123:$G$223,0)),0)</f>
        <v>0</v>
      </c>
      <c r="AG418" s="652">
        <f t="shared" si="339"/>
        <v>0</v>
      </c>
      <c r="AH418" s="652">
        <f t="shared" si="340"/>
        <v>0</v>
      </c>
      <c r="AI418" s="652">
        <f t="shared" si="341"/>
        <v>0</v>
      </c>
      <c r="AJ418" s="651">
        <f t="array" ref="AJ418">IFERROR(INDEX('HIV-Other HPs'!$W$123:$W$223,MATCH($E418&amp;$F418,'HIV-Other HPs'!$D$123:$D$223&amp;'HIV-Other HPs'!$G$123:$G$223,0)),0)</f>
        <v>0</v>
      </c>
      <c r="AK418" s="652">
        <f t="shared" si="342"/>
        <v>0</v>
      </c>
      <c r="AL418" s="652">
        <f t="shared" si="343"/>
        <v>0</v>
      </c>
      <c r="AM418" s="652">
        <f t="shared" si="344"/>
        <v>0</v>
      </c>
      <c r="AN418" s="651">
        <f t="array" ref="AN418">IFERROR(INDEX('HIV-Other HPs'!$X$123:$X$223,MATCH($E418&amp;$F418,'HIV-Other HPs'!$D$123:$D$223&amp;'HIV-Other HPs'!$G$123:$G$223,0)),0)</f>
        <v>0</v>
      </c>
      <c r="AO418" s="652">
        <f t="shared" si="345"/>
        <v>0</v>
      </c>
      <c r="AP418" s="652">
        <f t="shared" si="346"/>
        <v>0</v>
      </c>
      <c r="AQ418" s="652">
        <f t="shared" si="347"/>
        <v>0</v>
      </c>
      <c r="AR418" s="664"/>
      <c r="AS418" s="651">
        <f t="array" ref="AS418">IFERROR(INDEX('HIV-Other HPs'!$AA$123:$AA$223,MATCH($E418&amp;$F418,'HIV-Other HPs'!$D$123:$D$223&amp;'HIV-Other HPs'!$G$123:$G$223,0)),0)</f>
        <v>0</v>
      </c>
      <c r="AT418" s="651">
        <f t="array" ref="AT418">IFERROR(INDEX('HIV-Other HPs'!$AB$123:$AB$223,MATCH($E418&amp;$F418,'HIV-Other HPs'!$D$123:$D$223&amp;'HIV-Other HPs'!$G$123:$G$223,0)),0)</f>
        <v>0</v>
      </c>
      <c r="AU418" s="652">
        <f t="shared" si="348"/>
        <v>0</v>
      </c>
      <c r="AV418" s="652">
        <f t="shared" si="349"/>
        <v>0</v>
      </c>
      <c r="AW418" s="652">
        <f t="shared" si="350"/>
        <v>0</v>
      </c>
      <c r="AX418" s="651">
        <f t="array" ref="AX418">IFERROR(INDEX('HIV-Other HPs'!$AC$123:$AC$223,MATCH($E418&amp;$F418,'HIV-Other HPs'!$D$123:$D$223&amp;'HIV-Other HPs'!$G$123:$G$223,0)),0)</f>
        <v>0</v>
      </c>
      <c r="AY418" s="652">
        <f t="shared" si="351"/>
        <v>0</v>
      </c>
      <c r="AZ418" s="652">
        <f t="shared" si="352"/>
        <v>0</v>
      </c>
      <c r="BA418" s="652">
        <f t="shared" si="353"/>
        <v>0</v>
      </c>
      <c r="BB418" s="651">
        <f t="array" ref="BB418">IFERROR(INDEX('HIV-Other HPs'!$AD$123:$AD$223,MATCH($E418&amp;$F418,'HIV-Other HPs'!$D$123:$D$223&amp;'HIV-Other HPs'!$G$123:$G$223,0)),0)</f>
        <v>0</v>
      </c>
      <c r="BC418" s="652">
        <f t="shared" si="354"/>
        <v>0</v>
      </c>
      <c r="BD418" s="652">
        <f t="shared" si="355"/>
        <v>0</v>
      </c>
      <c r="BE418" s="652">
        <f t="shared" si="356"/>
        <v>0</v>
      </c>
      <c r="BF418" s="651">
        <f t="array" ref="BF418">IFERROR(INDEX('HIV-Other HPs'!$AE$123:$AE$223,MATCH($E418&amp;$F418,'HIV-Other HPs'!$D$123:$D$223&amp;'HIV-Other HPs'!$G$123:$G$223,0)),0)</f>
        <v>0</v>
      </c>
      <c r="BG418" s="652">
        <f t="shared" si="357"/>
        <v>0</v>
      </c>
      <c r="BH418" s="652">
        <f t="shared" si="358"/>
        <v>0</v>
      </c>
      <c r="BI418" s="652">
        <f t="shared" si="359"/>
        <v>0</v>
      </c>
      <c r="BJ418" s="662"/>
      <c r="BK418" s="663"/>
      <c r="BL418" s="663"/>
      <c r="BM418" s="663"/>
      <c r="BN418" s="663"/>
      <c r="BO418" s="663"/>
      <c r="BP418" s="663"/>
      <c r="BQ418" s="663"/>
      <c r="BR418" s="663"/>
    </row>
    <row r="419" spans="1:70">
      <c r="A419" s="655" t="s">
        <v>1867</v>
      </c>
      <c r="B419" s="655" t="s">
        <v>2287</v>
      </c>
      <c r="C419" s="648">
        <f>SETUP!$F$33</f>
        <v>0</v>
      </c>
      <c r="D419" s="654">
        <v>5.6</v>
      </c>
      <c r="E419" s="663" t="s">
        <v>1888</v>
      </c>
      <c r="F419" s="663" t="s">
        <v>1889</v>
      </c>
      <c r="G419" s="650" t="str">
        <f t="array" ref="G419">IFERROR(INDEX('HIV-Other HPs'!$K$123:$K$223,MATCH($E419&amp;$F419,'HIV-Other HPs'!$D$123:$D$223&amp;'HIV-Other HPs'!$G$123:$G$223,0)),"")</f>
        <v/>
      </c>
      <c r="H419" s="650" t="str">
        <f t="array" ref="H419">IFERROR(INDEX('HIV-Other HPs'!$L$123:$L$223,MATCH($E419&amp;$F419,'HIV-Other HPs'!$D$123:$D$223&amp;'HIV-Other HPs'!$G$123:$G$223,0)),"")</f>
        <v/>
      </c>
      <c r="I419" s="651">
        <f t="array" ref="I419">IFERROR(INDEX('HIV-Other HPs'!$M$123:$M$223,MATCH($E419&amp;$F419,'HIV-Other HPs'!$D$123:$D$223&amp;'HIV-Other HPs'!$G$123:$G$223,0)),0)</f>
        <v>0</v>
      </c>
      <c r="J419" s="651">
        <f t="array" ref="J419">IFERROR(INDEX('HIV-Other HPs'!$N$123:$N$223,MATCH($E419&amp;$F419,'HIV-Other HPs'!$D$123:$D$223&amp;'HIV-Other HPs'!$G$123:$G$223,0)),0)</f>
        <v>0</v>
      </c>
      <c r="K419" s="652">
        <f t="shared" si="324"/>
        <v>0</v>
      </c>
      <c r="L419" s="652">
        <f t="shared" si="325"/>
        <v>0</v>
      </c>
      <c r="M419" s="652">
        <f t="shared" si="326"/>
        <v>0</v>
      </c>
      <c r="N419" s="651">
        <f t="array" ref="N419">IFERROR(INDEX('HIV-Other HPs'!$O$123:$O$223,MATCH($E419&amp;$F419,'HIV-Other HPs'!$D$123:$D$223&amp;'HIV-Other HPs'!$G$123:$G$223,0)),0)</f>
        <v>0</v>
      </c>
      <c r="O419" s="652">
        <f t="shared" si="327"/>
        <v>0</v>
      </c>
      <c r="P419" s="652">
        <f t="shared" si="328"/>
        <v>0</v>
      </c>
      <c r="Q419" s="652">
        <f t="shared" si="329"/>
        <v>0</v>
      </c>
      <c r="R419" s="651">
        <f t="array" ref="R419">IFERROR(INDEX('HIV-Other HPs'!$P$123:$P$223,MATCH($E419&amp;$F419,'HIV-Other HPs'!$D$123:$D$223&amp;'HIV-Other HPs'!$G$123:$G$223,0)),0)</f>
        <v>0</v>
      </c>
      <c r="S419" s="652">
        <f t="shared" si="330"/>
        <v>0</v>
      </c>
      <c r="T419" s="652">
        <f t="shared" si="331"/>
        <v>0</v>
      </c>
      <c r="U419" s="652">
        <f t="shared" si="332"/>
        <v>0</v>
      </c>
      <c r="V419" s="651">
        <f t="array" ref="V419">IFERROR(INDEX('HIV-Other HPs'!$Q$123:$Q$223,MATCH($E419&amp;$F419,'HIV-Other HPs'!$D$123:$D$223&amp;'HIV-Other HPs'!$G$123:$G$223,0)),0)</f>
        <v>0</v>
      </c>
      <c r="W419" s="652">
        <f t="shared" si="333"/>
        <v>0</v>
      </c>
      <c r="X419" s="652">
        <f t="shared" si="334"/>
        <v>0</v>
      </c>
      <c r="Y419" s="652">
        <f t="shared" si="335"/>
        <v>0</v>
      </c>
      <c r="Z419" s="664"/>
      <c r="AA419" s="651">
        <f t="array" ref="AA419">IFERROR(INDEX('HIV-Other HPs'!$T$123:$T$223,MATCH($E419&amp;$F419,'HIV-Other HPs'!$D$123:$D$223&amp;'HIV-Other HPs'!$G$123:$G$223,0)),0)</f>
        <v>0</v>
      </c>
      <c r="AB419" s="651">
        <f t="array" ref="AB419">IFERROR(INDEX('HIV-Other HPs'!$U$123:$U$223,MATCH($E419&amp;$F419,'HIV-Other HPs'!$D$123:$D$223&amp;'HIV-Other HPs'!$G$123:$G$223,0)),0)</f>
        <v>0</v>
      </c>
      <c r="AC419" s="652">
        <f t="shared" si="336"/>
        <v>0</v>
      </c>
      <c r="AD419" s="652">
        <f t="shared" si="337"/>
        <v>0</v>
      </c>
      <c r="AE419" s="652">
        <f t="shared" si="338"/>
        <v>0</v>
      </c>
      <c r="AF419" s="651">
        <f t="array" ref="AF419">IFERROR(INDEX('HIV-Other HPs'!$V$123:$V$223,MATCH($E419&amp;$F419,'HIV-Other HPs'!$D$123:$D$223&amp;'HIV-Other HPs'!$G$123:$G$223,0)),0)</f>
        <v>0</v>
      </c>
      <c r="AG419" s="652">
        <f t="shared" si="339"/>
        <v>0</v>
      </c>
      <c r="AH419" s="652">
        <f t="shared" si="340"/>
        <v>0</v>
      </c>
      <c r="AI419" s="652">
        <f t="shared" si="341"/>
        <v>0</v>
      </c>
      <c r="AJ419" s="651">
        <f t="array" ref="AJ419">IFERROR(INDEX('HIV-Other HPs'!$W$123:$W$223,MATCH($E419&amp;$F419,'HIV-Other HPs'!$D$123:$D$223&amp;'HIV-Other HPs'!$G$123:$G$223,0)),0)</f>
        <v>0</v>
      </c>
      <c r="AK419" s="652">
        <f t="shared" si="342"/>
        <v>0</v>
      </c>
      <c r="AL419" s="652">
        <f t="shared" si="343"/>
        <v>0</v>
      </c>
      <c r="AM419" s="652">
        <f t="shared" si="344"/>
        <v>0</v>
      </c>
      <c r="AN419" s="651">
        <f t="array" ref="AN419">IFERROR(INDEX('HIV-Other HPs'!$X$123:$X$223,MATCH($E419&amp;$F419,'HIV-Other HPs'!$D$123:$D$223&amp;'HIV-Other HPs'!$G$123:$G$223,0)),0)</f>
        <v>0</v>
      </c>
      <c r="AO419" s="652">
        <f t="shared" si="345"/>
        <v>0</v>
      </c>
      <c r="AP419" s="652">
        <f t="shared" si="346"/>
        <v>0</v>
      </c>
      <c r="AQ419" s="652">
        <f t="shared" si="347"/>
        <v>0</v>
      </c>
      <c r="AR419" s="664"/>
      <c r="AS419" s="651">
        <f t="array" ref="AS419">IFERROR(INDEX('HIV-Other HPs'!$AA$123:$AA$223,MATCH($E419&amp;$F419,'HIV-Other HPs'!$D$123:$D$223&amp;'HIV-Other HPs'!$G$123:$G$223,0)),0)</f>
        <v>0</v>
      </c>
      <c r="AT419" s="651">
        <f t="array" ref="AT419">IFERROR(INDEX('HIV-Other HPs'!$AB$123:$AB$223,MATCH($E419&amp;$F419,'HIV-Other HPs'!$D$123:$D$223&amp;'HIV-Other HPs'!$G$123:$G$223,0)),0)</f>
        <v>0</v>
      </c>
      <c r="AU419" s="652">
        <f t="shared" si="348"/>
        <v>0</v>
      </c>
      <c r="AV419" s="652">
        <f t="shared" si="349"/>
        <v>0</v>
      </c>
      <c r="AW419" s="652">
        <f t="shared" si="350"/>
        <v>0</v>
      </c>
      <c r="AX419" s="651">
        <f t="array" ref="AX419">IFERROR(INDEX('HIV-Other HPs'!$AC$123:$AC$223,MATCH($E419&amp;$F419,'HIV-Other HPs'!$D$123:$D$223&amp;'HIV-Other HPs'!$G$123:$G$223,0)),0)</f>
        <v>0</v>
      </c>
      <c r="AY419" s="652">
        <f t="shared" si="351"/>
        <v>0</v>
      </c>
      <c r="AZ419" s="652">
        <f t="shared" si="352"/>
        <v>0</v>
      </c>
      <c r="BA419" s="652">
        <f t="shared" si="353"/>
        <v>0</v>
      </c>
      <c r="BB419" s="651">
        <f t="array" ref="BB419">IFERROR(INDEX('HIV-Other HPs'!$AD$123:$AD$223,MATCH($E419&amp;$F419,'HIV-Other HPs'!$D$123:$D$223&amp;'HIV-Other HPs'!$G$123:$G$223,0)),0)</f>
        <v>0</v>
      </c>
      <c r="BC419" s="652">
        <f t="shared" si="354"/>
        <v>0</v>
      </c>
      <c r="BD419" s="652">
        <f t="shared" si="355"/>
        <v>0</v>
      </c>
      <c r="BE419" s="652">
        <f t="shared" si="356"/>
        <v>0</v>
      </c>
      <c r="BF419" s="651">
        <f t="array" ref="BF419">IFERROR(INDEX('HIV-Other HPs'!$AE$123:$AE$223,MATCH($E419&amp;$F419,'HIV-Other HPs'!$D$123:$D$223&amp;'HIV-Other HPs'!$G$123:$G$223,0)),0)</f>
        <v>0</v>
      </c>
      <c r="BG419" s="652">
        <f t="shared" si="357"/>
        <v>0</v>
      </c>
      <c r="BH419" s="652">
        <f t="shared" si="358"/>
        <v>0</v>
      </c>
      <c r="BI419" s="652">
        <f t="shared" si="359"/>
        <v>0</v>
      </c>
      <c r="BJ419" s="662"/>
      <c r="BK419" s="663"/>
      <c r="BL419" s="663"/>
      <c r="BM419" s="663"/>
      <c r="BN419" s="663"/>
      <c r="BO419" s="663"/>
      <c r="BP419" s="663"/>
      <c r="BQ419" s="663"/>
      <c r="BR419" s="663"/>
    </row>
    <row r="420" spans="1:70">
      <c r="A420" s="655" t="s">
        <v>1867</v>
      </c>
      <c r="B420" s="655" t="s">
        <v>2287</v>
      </c>
      <c r="C420" s="648">
        <f>SETUP!$F$33</f>
        <v>0</v>
      </c>
      <c r="D420" s="654">
        <v>5.6</v>
      </c>
      <c r="E420" s="663" t="s">
        <v>1890</v>
      </c>
      <c r="F420" s="663" t="s">
        <v>1891</v>
      </c>
      <c r="G420" s="650" t="str">
        <f t="array" ref="G420">IFERROR(INDEX('HIV-Other HPs'!$K$123:$K$223,MATCH($E420&amp;$F420,'HIV-Other HPs'!$D$123:$D$223&amp;'HIV-Other HPs'!$G$123:$G$223,0)),"")</f>
        <v/>
      </c>
      <c r="H420" s="650" t="str">
        <f t="array" ref="H420">IFERROR(INDEX('HIV-Other HPs'!$L$123:$L$223,MATCH($E420&amp;$F420,'HIV-Other HPs'!$D$123:$D$223&amp;'HIV-Other HPs'!$G$123:$G$223,0)),"")</f>
        <v/>
      </c>
      <c r="I420" s="651">
        <f t="array" ref="I420">IFERROR(INDEX('HIV-Other HPs'!$M$123:$M$223,MATCH($E420&amp;$F420,'HIV-Other HPs'!$D$123:$D$223&amp;'HIV-Other HPs'!$G$123:$G$223,0)),0)</f>
        <v>0</v>
      </c>
      <c r="J420" s="651">
        <f t="array" ref="J420">IFERROR(INDEX('HIV-Other HPs'!$N$123:$N$223,MATCH($E420&amp;$F420,'HIV-Other HPs'!$D$123:$D$223&amp;'HIV-Other HPs'!$G$123:$G$223,0)),0)</f>
        <v>0</v>
      </c>
      <c r="K420" s="652">
        <f t="shared" si="324"/>
        <v>0</v>
      </c>
      <c r="L420" s="652">
        <f t="shared" si="325"/>
        <v>0</v>
      </c>
      <c r="M420" s="652">
        <f t="shared" si="326"/>
        <v>0</v>
      </c>
      <c r="N420" s="651">
        <f t="array" ref="N420">IFERROR(INDEX('HIV-Other HPs'!$O$123:$O$223,MATCH($E420&amp;$F420,'HIV-Other HPs'!$D$123:$D$223&amp;'HIV-Other HPs'!$G$123:$G$223,0)),0)</f>
        <v>0</v>
      </c>
      <c r="O420" s="652">
        <f t="shared" si="327"/>
        <v>0</v>
      </c>
      <c r="P420" s="652">
        <f t="shared" si="328"/>
        <v>0</v>
      </c>
      <c r="Q420" s="652">
        <f t="shared" si="329"/>
        <v>0</v>
      </c>
      <c r="R420" s="651">
        <f t="array" ref="R420">IFERROR(INDEX('HIV-Other HPs'!$P$123:$P$223,MATCH($E420&amp;$F420,'HIV-Other HPs'!$D$123:$D$223&amp;'HIV-Other HPs'!$G$123:$G$223,0)),0)</f>
        <v>0</v>
      </c>
      <c r="S420" s="652">
        <f t="shared" si="330"/>
        <v>0</v>
      </c>
      <c r="T420" s="652">
        <f t="shared" si="331"/>
        <v>0</v>
      </c>
      <c r="U420" s="652">
        <f t="shared" si="332"/>
        <v>0</v>
      </c>
      <c r="V420" s="651">
        <f t="array" ref="V420">IFERROR(INDEX('HIV-Other HPs'!$Q$123:$Q$223,MATCH($E420&amp;$F420,'HIV-Other HPs'!$D$123:$D$223&amp;'HIV-Other HPs'!$G$123:$G$223,0)),0)</f>
        <v>0</v>
      </c>
      <c r="W420" s="652">
        <f t="shared" si="333"/>
        <v>0</v>
      </c>
      <c r="X420" s="652">
        <f t="shared" si="334"/>
        <v>0</v>
      </c>
      <c r="Y420" s="652">
        <f t="shared" si="335"/>
        <v>0</v>
      </c>
      <c r="Z420" s="664"/>
      <c r="AA420" s="651">
        <f t="array" ref="AA420">IFERROR(INDEX('HIV-Other HPs'!$T$123:$T$223,MATCH($E420&amp;$F420,'HIV-Other HPs'!$D$123:$D$223&amp;'HIV-Other HPs'!$G$123:$G$223,0)),0)</f>
        <v>0</v>
      </c>
      <c r="AB420" s="651">
        <f t="array" ref="AB420">IFERROR(INDEX('HIV-Other HPs'!$U$123:$U$223,MATCH($E420&amp;$F420,'HIV-Other HPs'!$D$123:$D$223&amp;'HIV-Other HPs'!$G$123:$G$223,0)),0)</f>
        <v>0</v>
      </c>
      <c r="AC420" s="652">
        <f t="shared" si="336"/>
        <v>0</v>
      </c>
      <c r="AD420" s="652">
        <f t="shared" si="337"/>
        <v>0</v>
      </c>
      <c r="AE420" s="652">
        <f t="shared" si="338"/>
        <v>0</v>
      </c>
      <c r="AF420" s="651">
        <f t="array" ref="AF420">IFERROR(INDEX('HIV-Other HPs'!$V$123:$V$223,MATCH($E420&amp;$F420,'HIV-Other HPs'!$D$123:$D$223&amp;'HIV-Other HPs'!$G$123:$G$223,0)),0)</f>
        <v>0</v>
      </c>
      <c r="AG420" s="652">
        <f t="shared" si="339"/>
        <v>0</v>
      </c>
      <c r="AH420" s="652">
        <f t="shared" si="340"/>
        <v>0</v>
      </c>
      <c r="AI420" s="652">
        <f t="shared" si="341"/>
        <v>0</v>
      </c>
      <c r="AJ420" s="651">
        <f t="array" ref="AJ420">IFERROR(INDEX('HIV-Other HPs'!$W$123:$W$223,MATCH($E420&amp;$F420,'HIV-Other HPs'!$D$123:$D$223&amp;'HIV-Other HPs'!$G$123:$G$223,0)),0)</f>
        <v>0</v>
      </c>
      <c r="AK420" s="652">
        <f t="shared" si="342"/>
        <v>0</v>
      </c>
      <c r="AL420" s="652">
        <f t="shared" si="343"/>
        <v>0</v>
      </c>
      <c r="AM420" s="652">
        <f t="shared" si="344"/>
        <v>0</v>
      </c>
      <c r="AN420" s="651">
        <f t="array" ref="AN420">IFERROR(INDEX('HIV-Other HPs'!$X$123:$X$223,MATCH($E420&amp;$F420,'HIV-Other HPs'!$D$123:$D$223&amp;'HIV-Other HPs'!$G$123:$G$223,0)),0)</f>
        <v>0</v>
      </c>
      <c r="AO420" s="652">
        <f t="shared" si="345"/>
        <v>0</v>
      </c>
      <c r="AP420" s="652">
        <f t="shared" si="346"/>
        <v>0</v>
      </c>
      <c r="AQ420" s="652">
        <f t="shared" si="347"/>
        <v>0</v>
      </c>
      <c r="AR420" s="664"/>
      <c r="AS420" s="651">
        <f t="array" ref="AS420">IFERROR(INDEX('HIV-Other HPs'!$AA$123:$AA$223,MATCH($E420&amp;$F420,'HIV-Other HPs'!$D$123:$D$223&amp;'HIV-Other HPs'!$G$123:$G$223,0)),0)</f>
        <v>0</v>
      </c>
      <c r="AT420" s="651">
        <f t="array" ref="AT420">IFERROR(INDEX('HIV-Other HPs'!$AB$123:$AB$223,MATCH($E420&amp;$F420,'HIV-Other HPs'!$D$123:$D$223&amp;'HIV-Other HPs'!$G$123:$G$223,0)),0)</f>
        <v>0</v>
      </c>
      <c r="AU420" s="652">
        <f t="shared" si="348"/>
        <v>0</v>
      </c>
      <c r="AV420" s="652">
        <f t="shared" si="349"/>
        <v>0</v>
      </c>
      <c r="AW420" s="652">
        <f t="shared" si="350"/>
        <v>0</v>
      </c>
      <c r="AX420" s="651">
        <f t="array" ref="AX420">IFERROR(INDEX('HIV-Other HPs'!$AC$123:$AC$223,MATCH($E420&amp;$F420,'HIV-Other HPs'!$D$123:$D$223&amp;'HIV-Other HPs'!$G$123:$G$223,0)),0)</f>
        <v>0</v>
      </c>
      <c r="AY420" s="652">
        <f t="shared" si="351"/>
        <v>0</v>
      </c>
      <c r="AZ420" s="652">
        <f t="shared" si="352"/>
        <v>0</v>
      </c>
      <c r="BA420" s="652">
        <f t="shared" si="353"/>
        <v>0</v>
      </c>
      <c r="BB420" s="651">
        <f t="array" ref="BB420">IFERROR(INDEX('HIV-Other HPs'!$AD$123:$AD$223,MATCH($E420&amp;$F420,'HIV-Other HPs'!$D$123:$D$223&amp;'HIV-Other HPs'!$G$123:$G$223,0)),0)</f>
        <v>0</v>
      </c>
      <c r="BC420" s="652">
        <f t="shared" si="354"/>
        <v>0</v>
      </c>
      <c r="BD420" s="652">
        <f t="shared" si="355"/>
        <v>0</v>
      </c>
      <c r="BE420" s="652">
        <f t="shared" si="356"/>
        <v>0</v>
      </c>
      <c r="BF420" s="651">
        <f t="array" ref="BF420">IFERROR(INDEX('HIV-Other HPs'!$AE$123:$AE$223,MATCH($E420&amp;$F420,'HIV-Other HPs'!$D$123:$D$223&amp;'HIV-Other HPs'!$G$123:$G$223,0)),0)</f>
        <v>0</v>
      </c>
      <c r="BG420" s="652">
        <f t="shared" si="357"/>
        <v>0</v>
      </c>
      <c r="BH420" s="652">
        <f t="shared" si="358"/>
        <v>0</v>
      </c>
      <c r="BI420" s="652">
        <f t="shared" si="359"/>
        <v>0</v>
      </c>
      <c r="BJ420" s="662"/>
      <c r="BK420" s="663"/>
      <c r="BL420" s="663"/>
      <c r="BM420" s="663"/>
      <c r="BN420" s="663"/>
      <c r="BO420" s="663"/>
      <c r="BP420" s="663"/>
      <c r="BQ420" s="663"/>
      <c r="BR420" s="663"/>
    </row>
    <row r="421" spans="1:70">
      <c r="A421" s="655" t="s">
        <v>1867</v>
      </c>
      <c r="B421" s="655" t="s">
        <v>2287</v>
      </c>
      <c r="C421" s="648">
        <f>SETUP!$F$33</f>
        <v>0</v>
      </c>
      <c r="D421" s="654">
        <v>5.6</v>
      </c>
      <c r="E421" s="663" t="s">
        <v>1892</v>
      </c>
      <c r="F421" s="663" t="s">
        <v>1140</v>
      </c>
      <c r="G421" s="650" t="str">
        <f t="array" ref="G421">IFERROR(INDEX('HIV-Other HPs'!$K$123:$K$223,MATCH($E421&amp;$F421,'HIV-Other HPs'!$D$123:$D$223&amp;'HIV-Other HPs'!$G$123:$G$223,0)),"")</f>
        <v/>
      </c>
      <c r="H421" s="650" t="str">
        <f t="array" ref="H421">IFERROR(INDEX('HIV-Other HPs'!$L$123:$L$223,MATCH($E421&amp;$F421,'HIV-Other HPs'!$D$123:$D$223&amp;'HIV-Other HPs'!$G$123:$G$223,0)),"")</f>
        <v/>
      </c>
      <c r="I421" s="651">
        <f t="array" ref="I421">IFERROR(INDEX('HIV-Other HPs'!$M$123:$M$223,MATCH($E421&amp;$F421,'HIV-Other HPs'!$D$123:$D$223&amp;'HIV-Other HPs'!$G$123:$G$223,0)),0)</f>
        <v>0</v>
      </c>
      <c r="J421" s="651">
        <f t="array" ref="J421">IFERROR(INDEX('HIV-Other HPs'!$N$123:$N$223,MATCH($E421&amp;$F421,'HIV-Other HPs'!$D$123:$D$223&amp;'HIV-Other HPs'!$G$123:$G$223,0)),0)</f>
        <v>0</v>
      </c>
      <c r="K421" s="652">
        <f t="shared" si="324"/>
        <v>0</v>
      </c>
      <c r="L421" s="652">
        <f t="shared" si="325"/>
        <v>0</v>
      </c>
      <c r="M421" s="652">
        <f t="shared" si="326"/>
        <v>0</v>
      </c>
      <c r="N421" s="651">
        <f t="array" ref="N421">IFERROR(INDEX('HIV-Other HPs'!$O$123:$O$223,MATCH($E421&amp;$F421,'HIV-Other HPs'!$D$123:$D$223&amp;'HIV-Other HPs'!$G$123:$G$223,0)),0)</f>
        <v>0</v>
      </c>
      <c r="O421" s="652">
        <f t="shared" si="327"/>
        <v>0</v>
      </c>
      <c r="P421" s="652">
        <f t="shared" si="328"/>
        <v>0</v>
      </c>
      <c r="Q421" s="652">
        <f t="shared" si="329"/>
        <v>0</v>
      </c>
      <c r="R421" s="651">
        <f t="array" ref="R421">IFERROR(INDEX('HIV-Other HPs'!$P$123:$P$223,MATCH($E421&amp;$F421,'HIV-Other HPs'!$D$123:$D$223&amp;'HIV-Other HPs'!$G$123:$G$223,0)),0)</f>
        <v>0</v>
      </c>
      <c r="S421" s="652">
        <f t="shared" si="330"/>
        <v>0</v>
      </c>
      <c r="T421" s="652">
        <f t="shared" si="331"/>
        <v>0</v>
      </c>
      <c r="U421" s="652">
        <f t="shared" si="332"/>
        <v>0</v>
      </c>
      <c r="V421" s="651">
        <f t="array" ref="V421">IFERROR(INDEX('HIV-Other HPs'!$Q$123:$Q$223,MATCH($E421&amp;$F421,'HIV-Other HPs'!$D$123:$D$223&amp;'HIV-Other HPs'!$G$123:$G$223,0)),0)</f>
        <v>0</v>
      </c>
      <c r="W421" s="652">
        <f t="shared" si="333"/>
        <v>0</v>
      </c>
      <c r="X421" s="652">
        <f t="shared" si="334"/>
        <v>0</v>
      </c>
      <c r="Y421" s="652">
        <f t="shared" si="335"/>
        <v>0</v>
      </c>
      <c r="Z421" s="664"/>
      <c r="AA421" s="651">
        <f t="array" ref="AA421">IFERROR(INDEX('HIV-Other HPs'!$T$123:$T$223,MATCH($E421&amp;$F421,'HIV-Other HPs'!$D$123:$D$223&amp;'HIV-Other HPs'!$G$123:$G$223,0)),0)</f>
        <v>0</v>
      </c>
      <c r="AB421" s="651">
        <f t="array" ref="AB421">IFERROR(INDEX('HIV-Other HPs'!$U$123:$U$223,MATCH($E421&amp;$F421,'HIV-Other HPs'!$D$123:$D$223&amp;'HIV-Other HPs'!$G$123:$G$223,0)),0)</f>
        <v>0</v>
      </c>
      <c r="AC421" s="652">
        <f t="shared" si="336"/>
        <v>0</v>
      </c>
      <c r="AD421" s="652">
        <f t="shared" si="337"/>
        <v>0</v>
      </c>
      <c r="AE421" s="652">
        <f t="shared" si="338"/>
        <v>0</v>
      </c>
      <c r="AF421" s="651">
        <f t="array" ref="AF421">IFERROR(INDEX('HIV-Other HPs'!$V$123:$V$223,MATCH($E421&amp;$F421,'HIV-Other HPs'!$D$123:$D$223&amp;'HIV-Other HPs'!$G$123:$G$223,0)),0)</f>
        <v>0</v>
      </c>
      <c r="AG421" s="652">
        <f t="shared" si="339"/>
        <v>0</v>
      </c>
      <c r="AH421" s="652">
        <f t="shared" si="340"/>
        <v>0</v>
      </c>
      <c r="AI421" s="652">
        <f t="shared" si="341"/>
        <v>0</v>
      </c>
      <c r="AJ421" s="651">
        <f t="array" ref="AJ421">IFERROR(INDEX('HIV-Other HPs'!$W$123:$W$223,MATCH($E421&amp;$F421,'HIV-Other HPs'!$D$123:$D$223&amp;'HIV-Other HPs'!$G$123:$G$223,0)),0)</f>
        <v>0</v>
      </c>
      <c r="AK421" s="652">
        <f t="shared" si="342"/>
        <v>0</v>
      </c>
      <c r="AL421" s="652">
        <f t="shared" si="343"/>
        <v>0</v>
      </c>
      <c r="AM421" s="652">
        <f t="shared" si="344"/>
        <v>0</v>
      </c>
      <c r="AN421" s="651">
        <f t="array" ref="AN421">IFERROR(INDEX('HIV-Other HPs'!$X$123:$X$223,MATCH($E421&amp;$F421,'HIV-Other HPs'!$D$123:$D$223&amp;'HIV-Other HPs'!$G$123:$G$223,0)),0)</f>
        <v>0</v>
      </c>
      <c r="AO421" s="652">
        <f t="shared" si="345"/>
        <v>0</v>
      </c>
      <c r="AP421" s="652">
        <f t="shared" si="346"/>
        <v>0</v>
      </c>
      <c r="AQ421" s="652">
        <f t="shared" si="347"/>
        <v>0</v>
      </c>
      <c r="AR421" s="664"/>
      <c r="AS421" s="651">
        <f t="array" ref="AS421">IFERROR(INDEX('HIV-Other HPs'!$AA$123:$AA$223,MATCH($E421&amp;$F421,'HIV-Other HPs'!$D$123:$D$223&amp;'HIV-Other HPs'!$G$123:$G$223,0)),0)</f>
        <v>0</v>
      </c>
      <c r="AT421" s="651">
        <f t="array" ref="AT421">IFERROR(INDEX('HIV-Other HPs'!$AB$123:$AB$223,MATCH($E421&amp;$F421,'HIV-Other HPs'!$D$123:$D$223&amp;'HIV-Other HPs'!$G$123:$G$223,0)),0)</f>
        <v>0</v>
      </c>
      <c r="AU421" s="652">
        <f t="shared" si="348"/>
        <v>0</v>
      </c>
      <c r="AV421" s="652">
        <f t="shared" si="349"/>
        <v>0</v>
      </c>
      <c r="AW421" s="652">
        <f t="shared" si="350"/>
        <v>0</v>
      </c>
      <c r="AX421" s="651">
        <f t="array" ref="AX421">IFERROR(INDEX('HIV-Other HPs'!$AC$123:$AC$223,MATCH($E421&amp;$F421,'HIV-Other HPs'!$D$123:$D$223&amp;'HIV-Other HPs'!$G$123:$G$223,0)),0)</f>
        <v>0</v>
      </c>
      <c r="AY421" s="652">
        <f t="shared" si="351"/>
        <v>0</v>
      </c>
      <c r="AZ421" s="652">
        <f t="shared" si="352"/>
        <v>0</v>
      </c>
      <c r="BA421" s="652">
        <f t="shared" si="353"/>
        <v>0</v>
      </c>
      <c r="BB421" s="651">
        <f t="array" ref="BB421">IFERROR(INDEX('HIV-Other HPs'!$AD$123:$AD$223,MATCH($E421&amp;$F421,'HIV-Other HPs'!$D$123:$D$223&amp;'HIV-Other HPs'!$G$123:$G$223,0)),0)</f>
        <v>0</v>
      </c>
      <c r="BC421" s="652">
        <f t="shared" si="354"/>
        <v>0</v>
      </c>
      <c r="BD421" s="652">
        <f t="shared" si="355"/>
        <v>0</v>
      </c>
      <c r="BE421" s="652">
        <f t="shared" si="356"/>
        <v>0</v>
      </c>
      <c r="BF421" s="651">
        <f t="array" ref="BF421">IFERROR(INDEX('HIV-Other HPs'!$AE$123:$AE$223,MATCH($E421&amp;$F421,'HIV-Other HPs'!$D$123:$D$223&amp;'HIV-Other HPs'!$G$123:$G$223,0)),0)</f>
        <v>0</v>
      </c>
      <c r="BG421" s="652">
        <f t="shared" si="357"/>
        <v>0</v>
      </c>
      <c r="BH421" s="652">
        <f t="shared" si="358"/>
        <v>0</v>
      </c>
      <c r="BI421" s="652">
        <f t="shared" si="359"/>
        <v>0</v>
      </c>
      <c r="BJ421" s="662"/>
      <c r="BK421" s="663"/>
      <c r="BL421" s="663"/>
      <c r="BM421" s="663"/>
      <c r="BN421" s="663"/>
      <c r="BO421" s="663"/>
      <c r="BP421" s="663"/>
      <c r="BQ421" s="663"/>
      <c r="BR421" s="663"/>
    </row>
    <row r="422" spans="1:70">
      <c r="A422" s="655" t="s">
        <v>1867</v>
      </c>
      <c r="B422" s="655" t="s">
        <v>2287</v>
      </c>
      <c r="C422" s="648">
        <f>SETUP!$F$33</f>
        <v>0</v>
      </c>
      <c r="D422" s="654">
        <v>5.6</v>
      </c>
      <c r="E422" s="663" t="s">
        <v>1893</v>
      </c>
      <c r="F422" s="663" t="s">
        <v>1140</v>
      </c>
      <c r="G422" s="650" t="str">
        <f t="array" ref="G422">IFERROR(INDEX('HIV-Other HPs'!$K$123:$K$223,MATCH($E422&amp;$F422,'HIV-Other HPs'!$D$123:$D$223&amp;'HIV-Other HPs'!$G$123:$G$223,0)),"")</f>
        <v/>
      </c>
      <c r="H422" s="650" t="str">
        <f t="array" ref="H422">IFERROR(INDEX('HIV-Other HPs'!$L$123:$L$223,MATCH($E422&amp;$F422,'HIV-Other HPs'!$D$123:$D$223&amp;'HIV-Other HPs'!$G$123:$G$223,0)),"")</f>
        <v/>
      </c>
      <c r="I422" s="651">
        <f t="array" ref="I422">IFERROR(INDEX('HIV-Other HPs'!$M$123:$M$223,MATCH($E422&amp;$F422,'HIV-Other HPs'!$D$123:$D$223&amp;'HIV-Other HPs'!$G$123:$G$223,0)),0)</f>
        <v>0</v>
      </c>
      <c r="J422" s="651">
        <f t="array" ref="J422">IFERROR(INDEX('HIV-Other HPs'!$N$123:$N$223,MATCH($E422&amp;$F422,'HIV-Other HPs'!$D$123:$D$223&amp;'HIV-Other HPs'!$G$123:$G$223,0)),0)</f>
        <v>0</v>
      </c>
      <c r="K422" s="652">
        <f t="shared" si="324"/>
        <v>0</v>
      </c>
      <c r="L422" s="652">
        <f t="shared" si="325"/>
        <v>0</v>
      </c>
      <c r="M422" s="652">
        <f t="shared" si="326"/>
        <v>0</v>
      </c>
      <c r="N422" s="651">
        <f t="array" ref="N422">IFERROR(INDEX('HIV-Other HPs'!$O$123:$O$223,MATCH($E422&amp;$F422,'HIV-Other HPs'!$D$123:$D$223&amp;'HIV-Other HPs'!$G$123:$G$223,0)),0)</f>
        <v>0</v>
      </c>
      <c r="O422" s="652">
        <f t="shared" si="327"/>
        <v>0</v>
      </c>
      <c r="P422" s="652">
        <f t="shared" si="328"/>
        <v>0</v>
      </c>
      <c r="Q422" s="652">
        <f t="shared" si="329"/>
        <v>0</v>
      </c>
      <c r="R422" s="651">
        <f t="array" ref="R422">IFERROR(INDEX('HIV-Other HPs'!$P$123:$P$223,MATCH($E422&amp;$F422,'HIV-Other HPs'!$D$123:$D$223&amp;'HIV-Other HPs'!$G$123:$G$223,0)),0)</f>
        <v>0</v>
      </c>
      <c r="S422" s="652">
        <f t="shared" si="330"/>
        <v>0</v>
      </c>
      <c r="T422" s="652">
        <f t="shared" si="331"/>
        <v>0</v>
      </c>
      <c r="U422" s="652">
        <f t="shared" si="332"/>
        <v>0</v>
      </c>
      <c r="V422" s="651">
        <f t="array" ref="V422">IFERROR(INDEX('HIV-Other HPs'!$Q$123:$Q$223,MATCH($E422&amp;$F422,'HIV-Other HPs'!$D$123:$D$223&amp;'HIV-Other HPs'!$G$123:$G$223,0)),0)</f>
        <v>0</v>
      </c>
      <c r="W422" s="652">
        <f t="shared" si="333"/>
        <v>0</v>
      </c>
      <c r="X422" s="652">
        <f t="shared" si="334"/>
        <v>0</v>
      </c>
      <c r="Y422" s="652">
        <f t="shared" si="335"/>
        <v>0</v>
      </c>
      <c r="Z422" s="664"/>
      <c r="AA422" s="651">
        <f t="array" ref="AA422">IFERROR(INDEX('HIV-Other HPs'!$T$123:$T$223,MATCH($E422&amp;$F422,'HIV-Other HPs'!$D$123:$D$223&amp;'HIV-Other HPs'!$G$123:$G$223,0)),0)</f>
        <v>0</v>
      </c>
      <c r="AB422" s="651">
        <f t="array" ref="AB422">IFERROR(INDEX('HIV-Other HPs'!$U$123:$U$223,MATCH($E422&amp;$F422,'HIV-Other HPs'!$D$123:$D$223&amp;'HIV-Other HPs'!$G$123:$G$223,0)),0)</f>
        <v>0</v>
      </c>
      <c r="AC422" s="652">
        <f t="shared" si="336"/>
        <v>0</v>
      </c>
      <c r="AD422" s="652">
        <f t="shared" si="337"/>
        <v>0</v>
      </c>
      <c r="AE422" s="652">
        <f t="shared" si="338"/>
        <v>0</v>
      </c>
      <c r="AF422" s="651">
        <f t="array" ref="AF422">IFERROR(INDEX('HIV-Other HPs'!$V$123:$V$223,MATCH($E422&amp;$F422,'HIV-Other HPs'!$D$123:$D$223&amp;'HIV-Other HPs'!$G$123:$G$223,0)),0)</f>
        <v>0</v>
      </c>
      <c r="AG422" s="652">
        <f t="shared" si="339"/>
        <v>0</v>
      </c>
      <c r="AH422" s="652">
        <f t="shared" si="340"/>
        <v>0</v>
      </c>
      <c r="AI422" s="652">
        <f t="shared" si="341"/>
        <v>0</v>
      </c>
      <c r="AJ422" s="651">
        <f t="array" ref="AJ422">IFERROR(INDEX('HIV-Other HPs'!$W$123:$W$223,MATCH($E422&amp;$F422,'HIV-Other HPs'!$D$123:$D$223&amp;'HIV-Other HPs'!$G$123:$G$223,0)),0)</f>
        <v>0</v>
      </c>
      <c r="AK422" s="652">
        <f t="shared" si="342"/>
        <v>0</v>
      </c>
      <c r="AL422" s="652">
        <f t="shared" si="343"/>
        <v>0</v>
      </c>
      <c r="AM422" s="652">
        <f t="shared" si="344"/>
        <v>0</v>
      </c>
      <c r="AN422" s="651">
        <f t="array" ref="AN422">IFERROR(INDEX('HIV-Other HPs'!$X$123:$X$223,MATCH($E422&amp;$F422,'HIV-Other HPs'!$D$123:$D$223&amp;'HIV-Other HPs'!$G$123:$G$223,0)),0)</f>
        <v>0</v>
      </c>
      <c r="AO422" s="652">
        <f t="shared" si="345"/>
        <v>0</v>
      </c>
      <c r="AP422" s="652">
        <f t="shared" si="346"/>
        <v>0</v>
      </c>
      <c r="AQ422" s="652">
        <f t="shared" si="347"/>
        <v>0</v>
      </c>
      <c r="AR422" s="664"/>
      <c r="AS422" s="651">
        <f t="array" ref="AS422">IFERROR(INDEX('HIV-Other HPs'!$AA$123:$AA$223,MATCH($E422&amp;$F422,'HIV-Other HPs'!$D$123:$D$223&amp;'HIV-Other HPs'!$G$123:$G$223,0)),0)</f>
        <v>0</v>
      </c>
      <c r="AT422" s="651">
        <f t="array" ref="AT422">IFERROR(INDEX('HIV-Other HPs'!$AB$123:$AB$223,MATCH($E422&amp;$F422,'HIV-Other HPs'!$D$123:$D$223&amp;'HIV-Other HPs'!$G$123:$G$223,0)),0)</f>
        <v>0</v>
      </c>
      <c r="AU422" s="652">
        <f t="shared" si="348"/>
        <v>0</v>
      </c>
      <c r="AV422" s="652">
        <f t="shared" si="349"/>
        <v>0</v>
      </c>
      <c r="AW422" s="652">
        <f t="shared" si="350"/>
        <v>0</v>
      </c>
      <c r="AX422" s="651">
        <f t="array" ref="AX422">IFERROR(INDEX('HIV-Other HPs'!$AC$123:$AC$223,MATCH($E422&amp;$F422,'HIV-Other HPs'!$D$123:$D$223&amp;'HIV-Other HPs'!$G$123:$G$223,0)),0)</f>
        <v>0</v>
      </c>
      <c r="AY422" s="652">
        <f t="shared" si="351"/>
        <v>0</v>
      </c>
      <c r="AZ422" s="652">
        <f t="shared" si="352"/>
        <v>0</v>
      </c>
      <c r="BA422" s="652">
        <f t="shared" si="353"/>
        <v>0</v>
      </c>
      <c r="BB422" s="651">
        <f t="array" ref="BB422">IFERROR(INDEX('HIV-Other HPs'!$AD$123:$AD$223,MATCH($E422&amp;$F422,'HIV-Other HPs'!$D$123:$D$223&amp;'HIV-Other HPs'!$G$123:$G$223,0)),0)</f>
        <v>0</v>
      </c>
      <c r="BC422" s="652">
        <f t="shared" si="354"/>
        <v>0</v>
      </c>
      <c r="BD422" s="652">
        <f t="shared" si="355"/>
        <v>0</v>
      </c>
      <c r="BE422" s="652">
        <f t="shared" si="356"/>
        <v>0</v>
      </c>
      <c r="BF422" s="651">
        <f t="array" ref="BF422">IFERROR(INDEX('HIV-Other HPs'!$AE$123:$AE$223,MATCH($E422&amp;$F422,'HIV-Other HPs'!$D$123:$D$223&amp;'HIV-Other HPs'!$G$123:$G$223,0)),0)</f>
        <v>0</v>
      </c>
      <c r="BG422" s="652">
        <f t="shared" si="357"/>
        <v>0</v>
      </c>
      <c r="BH422" s="652">
        <f t="shared" si="358"/>
        <v>0</v>
      </c>
      <c r="BI422" s="652">
        <f t="shared" si="359"/>
        <v>0</v>
      </c>
      <c r="BJ422" s="662"/>
      <c r="BK422" s="663"/>
      <c r="BL422" s="663"/>
      <c r="BM422" s="663"/>
      <c r="BN422" s="663"/>
      <c r="BO422" s="663"/>
      <c r="BP422" s="663"/>
      <c r="BQ422" s="663"/>
      <c r="BR422" s="663"/>
    </row>
    <row r="423" spans="1:70">
      <c r="A423" s="655" t="s">
        <v>1867</v>
      </c>
      <c r="B423" s="655" t="s">
        <v>2287</v>
      </c>
      <c r="C423" s="648">
        <f>SETUP!$F$33</f>
        <v>0</v>
      </c>
      <c r="D423" s="654">
        <v>5.6</v>
      </c>
      <c r="E423" s="663" t="s">
        <v>1894</v>
      </c>
      <c r="F423" s="663" t="s">
        <v>1140</v>
      </c>
      <c r="G423" s="650" t="str">
        <f t="array" ref="G423">IFERROR(INDEX('HIV-Other HPs'!$K$123:$K$223,MATCH($E423&amp;$F423,'HIV-Other HPs'!$D$123:$D$223&amp;'HIV-Other HPs'!$G$123:$G$223,0)),"")</f>
        <v/>
      </c>
      <c r="H423" s="650" t="str">
        <f t="array" ref="H423">IFERROR(INDEX('HIV-Other HPs'!$L$123:$L$223,MATCH($E423&amp;$F423,'HIV-Other HPs'!$D$123:$D$223&amp;'HIV-Other HPs'!$G$123:$G$223,0)),"")</f>
        <v/>
      </c>
      <c r="I423" s="651">
        <f t="array" ref="I423">IFERROR(INDEX('HIV-Other HPs'!$M$123:$M$223,MATCH($E423&amp;$F423,'HIV-Other HPs'!$D$123:$D$223&amp;'HIV-Other HPs'!$G$123:$G$223,0)),0)</f>
        <v>0</v>
      </c>
      <c r="J423" s="651">
        <f t="array" ref="J423">IFERROR(INDEX('HIV-Other HPs'!$N$123:$N$223,MATCH($E423&amp;$F423,'HIV-Other HPs'!$D$123:$D$223&amp;'HIV-Other HPs'!$G$123:$G$223,0)),0)</f>
        <v>0</v>
      </c>
      <c r="K423" s="652">
        <f>IF(ISERROR($I423*J423),0,$I423*J423)</f>
        <v>0</v>
      </c>
      <c r="L423" s="652">
        <f>IF(C423="Upfront",J423,0)</f>
        <v>0</v>
      </c>
      <c r="M423" s="652">
        <f>IF(C423="Upfront",K423,0)</f>
        <v>0</v>
      </c>
      <c r="N423" s="651">
        <f t="array" ref="N423">IFERROR(INDEX('HIV-Other HPs'!$O$123:$O$223,MATCH($E423&amp;$F423,'HIV-Other HPs'!$D$123:$D$223&amp;'HIV-Other HPs'!$G$123:$G$223,0)),0)</f>
        <v>0</v>
      </c>
      <c r="O423" s="652">
        <f>IF(ISERROR($I423*N423),0,$I423*N423)</f>
        <v>0</v>
      </c>
      <c r="P423" s="652">
        <f>IF(C423="Upfront",N423,0)</f>
        <v>0</v>
      </c>
      <c r="Q423" s="652">
        <f>IF(C423="Upfront",O423,0)</f>
        <v>0</v>
      </c>
      <c r="R423" s="651">
        <f t="array" ref="R423">IFERROR(INDEX('HIV-Other HPs'!$P$123:$P$223,MATCH($E423&amp;$F423,'HIV-Other HPs'!$D$123:$D$223&amp;'HIV-Other HPs'!$G$123:$G$223,0)),0)</f>
        <v>0</v>
      </c>
      <c r="S423" s="652">
        <f>IF(ISERROR($I423*R423),0,$I423*R423)</f>
        <v>0</v>
      </c>
      <c r="T423" s="652">
        <f>IF(C423="Upfront",R423,IF(C423="At delivery",J423,0))</f>
        <v>0</v>
      </c>
      <c r="U423" s="652">
        <f>IF(C423="Upfront",S423,IF(C423="At delivery",K423,0))</f>
        <v>0</v>
      </c>
      <c r="V423" s="651">
        <f t="array" ref="V423">IFERROR(INDEX('HIV-Other HPs'!$Q$123:$Q$223,MATCH($E423&amp;$F423,'HIV-Other HPs'!$D$123:$D$223&amp;'HIV-Other HPs'!$G$123:$G$223,0)),0)</f>
        <v>0</v>
      </c>
      <c r="W423" s="652">
        <f>IF(ISERROR($I423*V423),0,$I423*V423)</f>
        <v>0</v>
      </c>
      <c r="X423" s="652">
        <f>IF(C423="Upfront",V423,IF(C423="At delivery",N423,0))</f>
        <v>0</v>
      </c>
      <c r="Y423" s="652">
        <f>IF(C423="Upfront",W423,IF(C423="At delivery",O423,0))</f>
        <v>0</v>
      </c>
      <c r="Z423" s="664"/>
      <c r="AA423" s="651">
        <f t="array" ref="AA423">IFERROR(INDEX('HIV-Other HPs'!$T$123:$T$223,MATCH($E423&amp;$F423,'HIV-Other HPs'!$D$123:$D$223&amp;'HIV-Other HPs'!$G$123:$G$223,0)),0)</f>
        <v>0</v>
      </c>
      <c r="AB423" s="651">
        <f t="array" ref="AB423">IFERROR(INDEX('HIV-Other HPs'!$U$123:$U$223,MATCH($E423&amp;$F423,'HIV-Other HPs'!$D$123:$D$223&amp;'HIV-Other HPs'!$G$123:$G$223,0)),0)</f>
        <v>0</v>
      </c>
      <c r="AC423" s="652">
        <f>IF(ISERROR($AA423*AB423),0,$AA423*AB423)</f>
        <v>0</v>
      </c>
      <c r="AD423" s="652">
        <f>IF(C423="Upfront",AB423,IF(C423="At delivery",R423,0))</f>
        <v>0</v>
      </c>
      <c r="AE423" s="652">
        <f>IF(C423="Upfront",AC423,IF(C423="At delivery",S423,0))</f>
        <v>0</v>
      </c>
      <c r="AF423" s="651">
        <f t="array" ref="AF423">IFERROR(INDEX('HIV-Other HPs'!$V$123:$V$223,MATCH($E423&amp;$F423,'HIV-Other HPs'!$D$123:$D$223&amp;'HIV-Other HPs'!$G$123:$G$223,0)),0)</f>
        <v>0</v>
      </c>
      <c r="AG423" s="652">
        <f>IF(ISERROR($AA423*AF423),0,$AA423*AF423)</f>
        <v>0</v>
      </c>
      <c r="AH423" s="652">
        <f>IF(C423="Upfront",AF423,IF(C423="At delivery",V423,0))</f>
        <v>0</v>
      </c>
      <c r="AI423" s="652">
        <f>IF(C423="Upfront",AG423,IF(C423="At delivery",W423,0))</f>
        <v>0</v>
      </c>
      <c r="AJ423" s="651">
        <f t="array" ref="AJ423">IFERROR(INDEX('HIV-Other HPs'!$W$123:$W$223,MATCH($E423&amp;$F423,'HIV-Other HPs'!$D$123:$D$223&amp;'HIV-Other HPs'!$G$123:$G$223,0)),0)</f>
        <v>0</v>
      </c>
      <c r="AK423" s="652">
        <f>IF(ISERROR($AA423*AJ423),0,$AA423*AJ423)</f>
        <v>0</v>
      </c>
      <c r="AL423" s="652">
        <f>IF(C423="Upfront",AJ423,IF(C423="At delivery",AB423,0))</f>
        <v>0</v>
      </c>
      <c r="AM423" s="652">
        <f>IF(C423="Upfront",AK423,IF(C423="At delivery",AC423,0))</f>
        <v>0</v>
      </c>
      <c r="AN423" s="651">
        <f t="array" ref="AN423">IFERROR(INDEX('HIV-Other HPs'!$X$123:$X$223,MATCH($E423&amp;$F423,'HIV-Other HPs'!$D$123:$D$223&amp;'HIV-Other HPs'!$G$123:$G$223,0)),0)</f>
        <v>0</v>
      </c>
      <c r="AO423" s="652">
        <f>IF(ISERROR($AA423*AN423),0,$AA423*AN423)</f>
        <v>0</v>
      </c>
      <c r="AP423" s="652">
        <f>IF(C423="Upfront",AN423,IF(C423="At delivery",AF423,0))</f>
        <v>0</v>
      </c>
      <c r="AQ423" s="652">
        <f>IF(C423="Upfront",AO423,IF(C423="At delivery",AG423,0))</f>
        <v>0</v>
      </c>
      <c r="AR423" s="664"/>
      <c r="AS423" s="651">
        <f t="array" ref="AS423">IFERROR(INDEX('HIV-Other HPs'!$AA$123:$AA$223,MATCH($E423&amp;$F423,'HIV-Other HPs'!$D$123:$D$223&amp;'HIV-Other HPs'!$G$123:$G$223,0)),0)</f>
        <v>0</v>
      </c>
      <c r="AT423" s="651">
        <f t="array" ref="AT423">IFERROR(INDEX('HIV-Other HPs'!$AB$123:$AB$223,MATCH($E423&amp;$F423,'HIV-Other HPs'!$D$123:$D$223&amp;'HIV-Other HPs'!$G$123:$G$223,0)),0)</f>
        <v>0</v>
      </c>
      <c r="AU423" s="652">
        <f>IF(ISERROR($AS423*AT423),0,$AS423*AT423)</f>
        <v>0</v>
      </c>
      <c r="AV423" s="652">
        <f>IF(C423="Upfront",AT423,IF(C423="At delivery",AJ423,0))</f>
        <v>0</v>
      </c>
      <c r="AW423" s="652">
        <f>IF(C423="Upfront",AU423,IF(C423="At delivery",AK423,0))</f>
        <v>0</v>
      </c>
      <c r="AX423" s="651">
        <f t="array" ref="AX423">IFERROR(INDEX('HIV-Other HPs'!$AC$123:$AC$223,MATCH($E423&amp;$F423,'HIV-Other HPs'!$D$123:$D$223&amp;'HIV-Other HPs'!$G$123:$G$223,0)),0)</f>
        <v>0</v>
      </c>
      <c r="AY423" s="652">
        <f>IF(ISERROR($AS423*AX423),0,$AS423*AX423)</f>
        <v>0</v>
      </c>
      <c r="AZ423" s="652">
        <f>IF(C423="Upfront",AX423,IF(C423="At delivery",AN423,0))</f>
        <v>0</v>
      </c>
      <c r="BA423" s="652">
        <f>IF(C423="Upfront",AY423,IF(C423="At delivery",AO423,0))</f>
        <v>0</v>
      </c>
      <c r="BB423" s="651">
        <f t="array" ref="BB423">IFERROR(INDEX('HIV-Other HPs'!$AD$123:$AD$223,MATCH($E423&amp;$F423,'HIV-Other HPs'!$D$123:$D$223&amp;'HIV-Other HPs'!$G$123:$G$223,0)),0)</f>
        <v>0</v>
      </c>
      <c r="BC423" s="652">
        <f>IF(ISERROR($AS423*BB423),0,$AS423*BB423)</f>
        <v>0</v>
      </c>
      <c r="BD423" s="652">
        <f>IF(C423="Upfront",BB423,IF(C423="At delivery",AT423,0))</f>
        <v>0</v>
      </c>
      <c r="BE423" s="652">
        <f>IF(C423="Upfront",BC423,IF(C423="At delivery",AU423,0))</f>
        <v>0</v>
      </c>
      <c r="BF423" s="651">
        <f t="array" ref="BF423">IFERROR(INDEX('HIV-Other HPs'!$AE$123:$AE$223,MATCH($E423&amp;$F423,'HIV-Other HPs'!$D$123:$D$223&amp;'HIV-Other HPs'!$G$123:$G$223,0)),0)</f>
        <v>0</v>
      </c>
      <c r="BG423" s="652">
        <f>IF(ISERROR($AS423*BF423),0,$AS423*BF423)</f>
        <v>0</v>
      </c>
      <c r="BH423" s="652">
        <f>IF(C423="Upfront",BF423,IF(C423="At delivery",AX423,0))</f>
        <v>0</v>
      </c>
      <c r="BI423" s="652">
        <f>IF(C423="Upfront",BG423,IF(C423="At delivery",AY423,0))</f>
        <v>0</v>
      </c>
      <c r="BJ423" s="662"/>
      <c r="BK423" s="663"/>
      <c r="BL423" s="663"/>
      <c r="BM423" s="663"/>
      <c r="BN423" s="663"/>
      <c r="BO423" s="663"/>
      <c r="BP423" s="663"/>
      <c r="BQ423" s="663"/>
      <c r="BR423" s="663"/>
    </row>
    <row r="424" spans="1:70">
      <c r="A424" s="655" t="s">
        <v>2361</v>
      </c>
      <c r="B424" s="655" t="s">
        <v>2287</v>
      </c>
      <c r="C424" s="648">
        <f>SETUP!$F$33</f>
        <v>0</v>
      </c>
      <c r="D424" s="654">
        <v>5.6</v>
      </c>
      <c r="E424" s="663" t="s">
        <v>1212</v>
      </c>
      <c r="F424" s="663"/>
      <c r="G424" s="650" t="str">
        <f t="array" ref="G424">IFERROR(INDEX('HIV-Other HPs'!$K$123:$K$223,MATCH($E424&amp;$F424,'HIV-Other HPs'!$D$123:$D$223&amp;'HIV-Other HPs'!$G$123:$G$223,0)),"")</f>
        <v/>
      </c>
      <c r="H424" s="650" t="str">
        <f t="array" ref="H424">IFERROR(INDEX('HIV-Other HPs'!$L$123:$L$223,MATCH($E424&amp;$F424,'HIV-Other HPs'!$D$123:$D$223&amp;'HIV-Other HPs'!$G$123:$G$223,0)),"")</f>
        <v/>
      </c>
      <c r="I424" s="651">
        <f t="array" ref="I424">IFERROR(INDEX('HIV-Other HPs'!$M$123:$M$223,MATCH($E424&amp;$F424,'HIV-Other HPs'!$D$123:$D$223&amp;'HIV-Other HPs'!$G$123:$G$223,0)),0)</f>
        <v>0</v>
      </c>
      <c r="J424" s="651">
        <f t="array" ref="J424">IFERROR(INDEX('HIV-Other HPs'!$N$123:$N$223,MATCH($E424&amp;$F424,'HIV-Other HPs'!$D$123:$D$223&amp;'HIV-Other HPs'!$G$123:$G$223,0)),0)</f>
        <v>0</v>
      </c>
      <c r="K424" s="652">
        <f>IF(ISERROR($I424*J424),0,$I424*J424)</f>
        <v>0</v>
      </c>
      <c r="L424" s="652">
        <f>IF(C424="Upfront",J424,0)</f>
        <v>0</v>
      </c>
      <c r="M424" s="652">
        <f>IF(C424="Upfront",K424,0)</f>
        <v>0</v>
      </c>
      <c r="N424" s="651">
        <f t="array" ref="N424">IFERROR(INDEX('HIV-Other HPs'!$O$123:$O$223,MATCH($E424&amp;$F424,'HIV-Other HPs'!$D$123:$D$223&amp;'HIV-Other HPs'!$G$123:$G$223,0)),0)</f>
        <v>0</v>
      </c>
      <c r="O424" s="652">
        <f>IF(ISERROR($I424*N424),0,$I424*N424)</f>
        <v>0</v>
      </c>
      <c r="P424" s="652">
        <f>IF(C424="Upfront",N424,0)</f>
        <v>0</v>
      </c>
      <c r="Q424" s="652">
        <f>IF(C424="Upfront",O424,0)</f>
        <v>0</v>
      </c>
      <c r="R424" s="651">
        <f t="array" ref="R424">IFERROR(INDEX('HIV-Other HPs'!$P$123:$P$223,MATCH($E424&amp;$F424,'HIV-Other HPs'!$D$123:$D$223&amp;'HIV-Other HPs'!$G$123:$G$223,0)),0)</f>
        <v>0</v>
      </c>
      <c r="S424" s="652">
        <f>IF(ISERROR($I424*R424),0,$I424*R424)</f>
        <v>0</v>
      </c>
      <c r="T424" s="652">
        <f>IF(C424="Upfront",R424,IF(C424="At delivery",J424,0))</f>
        <v>0</v>
      </c>
      <c r="U424" s="652">
        <f>IF(C424="Upfront",S424,IF(C424="At delivery",K424,0))</f>
        <v>0</v>
      </c>
      <c r="V424" s="651">
        <f t="array" ref="V424">IFERROR(INDEX('HIV-Other HPs'!$Q$123:$Q$223,MATCH($E424&amp;$F424,'HIV-Other HPs'!$D$123:$D$223&amp;'HIV-Other HPs'!$G$123:$G$223,0)),0)</f>
        <v>0</v>
      </c>
      <c r="W424" s="652">
        <f>IF(ISERROR($I424*V424),0,$I424*V424)</f>
        <v>0</v>
      </c>
      <c r="X424" s="652">
        <f>IF(C424="Upfront",V424,IF(C424="At delivery",N424,0))</f>
        <v>0</v>
      </c>
      <c r="Y424" s="652">
        <f>IF(C424="Upfront",W424,IF(C424="At delivery",O424,0))</f>
        <v>0</v>
      </c>
      <c r="Z424" s="664"/>
      <c r="AA424" s="651">
        <f t="array" ref="AA424">IFERROR(INDEX('HIV-Other HPs'!$T$123:$T$223,MATCH($E424&amp;$F424,'HIV-Other HPs'!$D$123:$D$223&amp;'HIV-Other HPs'!$G$123:$G$223,0)),0)</f>
        <v>0</v>
      </c>
      <c r="AB424" s="651">
        <f t="array" ref="AB424">IFERROR(INDEX('HIV-Other HPs'!$U$123:$U$223,MATCH($E424&amp;$F424,'HIV-Other HPs'!$D$123:$D$223&amp;'HIV-Other HPs'!$G$123:$G$223,0)),0)</f>
        <v>0</v>
      </c>
      <c r="AC424" s="652">
        <f>IF(ISERROR($AA424*AB424),0,$AA424*AB424)</f>
        <v>0</v>
      </c>
      <c r="AD424" s="652">
        <f>IF(C424="Upfront",AB424,IF(C424="At delivery",R424,0))</f>
        <v>0</v>
      </c>
      <c r="AE424" s="652">
        <f>IF(C424="Upfront",AC424,IF(C424="At delivery",S424,0))</f>
        <v>0</v>
      </c>
      <c r="AF424" s="651">
        <f t="array" ref="AF424">IFERROR(INDEX('HIV-Other HPs'!$V$123:$V$223,MATCH($E424&amp;$F424,'HIV-Other HPs'!$D$123:$D$223&amp;'HIV-Other HPs'!$G$123:$G$223,0)),0)</f>
        <v>0</v>
      </c>
      <c r="AG424" s="652">
        <f>IF(ISERROR($AA424*AF424),0,$AA424*AF424)</f>
        <v>0</v>
      </c>
      <c r="AH424" s="652">
        <f>IF(C424="Upfront",AF424,IF(C424="At delivery",V424,0))</f>
        <v>0</v>
      </c>
      <c r="AI424" s="652">
        <f>IF(C424="Upfront",AG424,IF(C424="At delivery",W424,0))</f>
        <v>0</v>
      </c>
      <c r="AJ424" s="651">
        <f t="array" ref="AJ424">IFERROR(INDEX('HIV-Other HPs'!$W$123:$W$223,MATCH($E424&amp;$F424,'HIV-Other HPs'!$D$123:$D$223&amp;'HIV-Other HPs'!$G$123:$G$223,0)),0)</f>
        <v>0</v>
      </c>
      <c r="AK424" s="652">
        <f>IF(ISERROR($AA424*AJ424),0,$AA424*AJ424)</f>
        <v>0</v>
      </c>
      <c r="AL424" s="652">
        <f>IF(C424="Upfront",AJ424,IF(C424="At delivery",AB424,0))</f>
        <v>0</v>
      </c>
      <c r="AM424" s="652">
        <f>IF(C424="Upfront",AK424,IF(C424="At delivery",AC424,0))</f>
        <v>0</v>
      </c>
      <c r="AN424" s="651">
        <f t="array" ref="AN424">IFERROR(INDEX('HIV-Other HPs'!$X$123:$X$223,MATCH($E424&amp;$F424,'HIV-Other HPs'!$D$123:$D$223&amp;'HIV-Other HPs'!$G$123:$G$223,0)),0)</f>
        <v>0</v>
      </c>
      <c r="AO424" s="652">
        <f>IF(ISERROR($AA424*AN424),0,$AA424*AN424)</f>
        <v>0</v>
      </c>
      <c r="AP424" s="652">
        <f>IF(C424="Upfront",AN424,IF(C424="At delivery",AF424,0))</f>
        <v>0</v>
      </c>
      <c r="AQ424" s="652">
        <f>IF(C424="Upfront",AO424,IF(C424="At delivery",AG424,0))</f>
        <v>0</v>
      </c>
      <c r="AR424" s="664"/>
      <c r="AS424" s="651">
        <f t="array" ref="AS424">IFERROR(INDEX('HIV-Other HPs'!$AA$123:$AA$223,MATCH($E424&amp;$F424,'HIV-Other HPs'!$D$123:$D$223&amp;'HIV-Other HPs'!$G$123:$G$223,0)),0)</f>
        <v>0</v>
      </c>
      <c r="AT424" s="651">
        <f t="array" ref="AT424">IFERROR(INDEX('HIV-Other HPs'!$AB$123:$AB$223,MATCH($E424&amp;$F424,'HIV-Other HPs'!$D$123:$D$223&amp;'HIV-Other HPs'!$G$123:$G$223,0)),0)</f>
        <v>0</v>
      </c>
      <c r="AU424" s="652">
        <f>IF(ISERROR($AS424*AT424),0,$AS424*AT424)</f>
        <v>0</v>
      </c>
      <c r="AV424" s="652">
        <f>IF(C424="Upfront",AT424,IF(C424="At delivery",AJ424,0))</f>
        <v>0</v>
      </c>
      <c r="AW424" s="652">
        <f>IF(C424="Upfront",AU424,IF(C424="At delivery",AK424,0))</f>
        <v>0</v>
      </c>
      <c r="AX424" s="651">
        <f t="array" ref="AX424">IFERROR(INDEX('HIV-Other HPs'!$AC$123:$AC$223,MATCH($E424&amp;$F424,'HIV-Other HPs'!$D$123:$D$223&amp;'HIV-Other HPs'!$G$123:$G$223,0)),0)</f>
        <v>0</v>
      </c>
      <c r="AY424" s="652">
        <f>IF(ISERROR($AS424*AX424),0,$AS424*AX424)</f>
        <v>0</v>
      </c>
      <c r="AZ424" s="652">
        <f>IF(C424="Upfront",AX424,IF(C424="At delivery",AN424,0))</f>
        <v>0</v>
      </c>
      <c r="BA424" s="652">
        <f>IF(C424="Upfront",AY424,IF(C424="At delivery",AO424,0))</f>
        <v>0</v>
      </c>
      <c r="BB424" s="651">
        <f t="array" ref="BB424">IFERROR(INDEX('HIV-Other HPs'!$AD$123:$AD$223,MATCH($E424&amp;$F424,'HIV-Other HPs'!$D$123:$D$223&amp;'HIV-Other HPs'!$G$123:$G$223,0)),0)</f>
        <v>0</v>
      </c>
      <c r="BC424" s="652">
        <f>IF(ISERROR($AS424*BB424),0,$AS424*BB424)</f>
        <v>0</v>
      </c>
      <c r="BD424" s="652">
        <f>IF(C424="Upfront",BB424,IF(C424="At delivery",AT424,0))</f>
        <v>0</v>
      </c>
      <c r="BE424" s="652">
        <f>IF(C424="Upfront",BC424,IF(C424="At delivery",AU424,0))</f>
        <v>0</v>
      </c>
      <c r="BF424" s="651">
        <f t="array" ref="BF424">IFERROR(INDEX('HIV-Other HPs'!$AE$123:$AE$223,MATCH($E424&amp;$F424,'HIV-Other HPs'!$D$123:$D$223&amp;'HIV-Other HPs'!$G$123:$G$223,0)),0)</f>
        <v>0</v>
      </c>
      <c r="BG424" s="652">
        <f>IF(ISERROR($AS424*BF424),0,$AS424*BF424)</f>
        <v>0</v>
      </c>
      <c r="BH424" s="652">
        <f>IF(C424="Upfront",BF424,IF(C424="At delivery",AX424,0))</f>
        <v>0</v>
      </c>
      <c r="BI424" s="652">
        <f>IF(C424="Upfront",BG424,IF(C424="At delivery",AY424,0))</f>
        <v>0</v>
      </c>
      <c r="BJ424" s="662"/>
      <c r="BK424" s="663"/>
      <c r="BL424" s="663"/>
      <c r="BM424" s="663"/>
      <c r="BN424" s="663"/>
      <c r="BO424" s="663"/>
      <c r="BP424" s="663"/>
      <c r="BQ424" s="663"/>
      <c r="BR424" s="663"/>
    </row>
    <row r="425" spans="1:70">
      <c r="A425" s="655" t="s">
        <v>2361</v>
      </c>
      <c r="B425" s="655" t="s">
        <v>2287</v>
      </c>
      <c r="C425" s="648">
        <f>SETUP!$F$33</f>
        <v>0</v>
      </c>
      <c r="D425" s="654">
        <v>5.6</v>
      </c>
      <c r="E425" s="663" t="s">
        <v>537</v>
      </c>
      <c r="F425" s="663" t="s">
        <v>1140</v>
      </c>
      <c r="G425" s="650" t="str">
        <f t="array" ref="G425">IFERROR(INDEX('HIV-Other HPs'!$K$123:$K$223,MATCH($E425&amp;$F425,'HIV-Other HPs'!$D$123:$D$223&amp;'HIV-Other HPs'!$G$123:$G$223,0)),"")</f>
        <v/>
      </c>
      <c r="H425" s="650" t="str">
        <f t="array" ref="H425">IFERROR(INDEX('HIV-Other HPs'!$L$123:$L$223,MATCH($E425&amp;$F425,'HIV-Other HPs'!$D$123:$D$223&amp;'HIV-Other HPs'!$G$123:$G$223,0)),"")</f>
        <v/>
      </c>
      <c r="I425" s="651">
        <f t="array" ref="I425">IFERROR(INDEX('HIV-Other HPs'!$M$123:$M$223,MATCH($E425&amp;$F425,'HIV-Other HPs'!$D$123:$D$223&amp;'HIV-Other HPs'!$G$123:$G$223,0)),0)</f>
        <v>0</v>
      </c>
      <c r="J425" s="651">
        <f t="array" ref="J425">IFERROR(INDEX('HIV-Other HPs'!$N$123:$N$223,MATCH($E425&amp;$F425,'HIV-Other HPs'!$D$123:$D$223&amp;'HIV-Other HPs'!$G$123:$G$223,0)),0)</f>
        <v>0</v>
      </c>
      <c r="K425" s="652">
        <f>IF(ISERROR($I425*J425),0,$I425*J425)</f>
        <v>0</v>
      </c>
      <c r="L425" s="652">
        <f>IF(C425="Upfront",J425,0)</f>
        <v>0</v>
      </c>
      <c r="M425" s="652">
        <f>IF(C425="Upfront",K425,0)</f>
        <v>0</v>
      </c>
      <c r="N425" s="651">
        <f t="array" ref="N425">IFERROR(INDEX('HIV-Other HPs'!$O$123:$O$223,MATCH($E425&amp;$F425,'HIV-Other HPs'!$D$123:$D$223&amp;'HIV-Other HPs'!$G$123:$G$223,0)),0)</f>
        <v>0</v>
      </c>
      <c r="O425" s="652">
        <f>IF(ISERROR($I425*N425),0,$I425*N425)</f>
        <v>0</v>
      </c>
      <c r="P425" s="652">
        <f>IF(C425="Upfront",N425,0)</f>
        <v>0</v>
      </c>
      <c r="Q425" s="652">
        <f>IF(C425="Upfront",O425,0)</f>
        <v>0</v>
      </c>
      <c r="R425" s="651">
        <f t="array" ref="R425">IFERROR(INDEX('HIV-Other HPs'!$P$123:$P$223,MATCH($E425&amp;$F425,'HIV-Other HPs'!$D$123:$D$223&amp;'HIV-Other HPs'!$G$123:$G$223,0)),0)</f>
        <v>0</v>
      </c>
      <c r="S425" s="652">
        <f>IF(ISERROR($I425*R425),0,$I425*R425)</f>
        <v>0</v>
      </c>
      <c r="T425" s="652">
        <f>IF(C425="Upfront",R425,IF(C425="At delivery",J425,0))</f>
        <v>0</v>
      </c>
      <c r="U425" s="652">
        <f>IF(C425="Upfront",S425,IF(C425="At delivery",K425,0))</f>
        <v>0</v>
      </c>
      <c r="V425" s="651">
        <f t="array" ref="V425">IFERROR(INDEX('HIV-Other HPs'!$Q$123:$Q$223,MATCH($E425&amp;$F425,'HIV-Other HPs'!$D$123:$D$223&amp;'HIV-Other HPs'!$G$123:$G$223,0)),0)</f>
        <v>0</v>
      </c>
      <c r="W425" s="652">
        <f>IF(ISERROR($I425*V425),0,$I425*V425)</f>
        <v>0</v>
      </c>
      <c r="X425" s="652">
        <f>IF(C425="Upfront",V425,IF(C425="At delivery",N425,0))</f>
        <v>0</v>
      </c>
      <c r="Y425" s="652">
        <f>IF(C425="Upfront",W425,IF(C425="At delivery",O425,0))</f>
        <v>0</v>
      </c>
      <c r="Z425" s="664"/>
      <c r="AA425" s="651">
        <f t="array" ref="AA425">IFERROR(INDEX('HIV-Other HPs'!$T$123:$T$223,MATCH($E425&amp;$F425,'HIV-Other HPs'!$D$123:$D$223&amp;'HIV-Other HPs'!$G$123:$G$223,0)),0)</f>
        <v>0</v>
      </c>
      <c r="AB425" s="651">
        <f t="array" ref="AB425">IFERROR(INDEX('HIV-Other HPs'!$U$123:$U$223,MATCH($E425&amp;$F425,'HIV-Other HPs'!$D$123:$D$223&amp;'HIV-Other HPs'!$G$123:$G$223,0)),0)</f>
        <v>0</v>
      </c>
      <c r="AC425" s="652">
        <f>IF(ISERROR($AA425*AB425),0,$AA425*AB425)</f>
        <v>0</v>
      </c>
      <c r="AD425" s="652">
        <f>IF(C425="Upfront",AB425,IF(C425="At delivery",R425,0))</f>
        <v>0</v>
      </c>
      <c r="AE425" s="652">
        <f>IF(C425="Upfront",AC425,IF(C425="At delivery",S425,0))</f>
        <v>0</v>
      </c>
      <c r="AF425" s="651">
        <f t="array" ref="AF425">IFERROR(INDEX('HIV-Other HPs'!$V$123:$V$223,MATCH($E425&amp;$F425,'HIV-Other HPs'!$D$123:$D$223&amp;'HIV-Other HPs'!$G$123:$G$223,0)),0)</f>
        <v>0</v>
      </c>
      <c r="AG425" s="652">
        <f>IF(ISERROR($AA425*AF425),0,$AA425*AF425)</f>
        <v>0</v>
      </c>
      <c r="AH425" s="652">
        <f>IF(C425="Upfront",AF425,IF(C425="At delivery",V425,0))</f>
        <v>0</v>
      </c>
      <c r="AI425" s="652">
        <f>IF(C425="Upfront",AG425,IF(C425="At delivery",W425,0))</f>
        <v>0</v>
      </c>
      <c r="AJ425" s="651">
        <f t="array" ref="AJ425">IFERROR(INDEX('HIV-Other HPs'!$W$123:$W$223,MATCH($E425&amp;$F425,'HIV-Other HPs'!$D$123:$D$223&amp;'HIV-Other HPs'!$G$123:$G$223,0)),0)</f>
        <v>0</v>
      </c>
      <c r="AK425" s="652">
        <f>IF(ISERROR($AA425*AJ425),0,$AA425*AJ425)</f>
        <v>0</v>
      </c>
      <c r="AL425" s="652">
        <f>IF(C425="Upfront",AJ425,IF(C425="At delivery",AB425,0))</f>
        <v>0</v>
      </c>
      <c r="AM425" s="652">
        <f>IF(C425="Upfront",AK425,IF(C425="At delivery",AC425,0))</f>
        <v>0</v>
      </c>
      <c r="AN425" s="651">
        <f t="array" ref="AN425">IFERROR(INDEX('HIV-Other HPs'!$X$123:$X$223,MATCH($E425&amp;$F425,'HIV-Other HPs'!$D$123:$D$223&amp;'HIV-Other HPs'!$G$123:$G$223,0)),0)</f>
        <v>0</v>
      </c>
      <c r="AO425" s="652">
        <f>IF(ISERROR($AA425*AN425),0,$AA425*AN425)</f>
        <v>0</v>
      </c>
      <c r="AP425" s="652">
        <f>IF(C425="Upfront",AN425,IF(C425="At delivery",AF425,0))</f>
        <v>0</v>
      </c>
      <c r="AQ425" s="652">
        <f>IF(C425="Upfront",AO425,IF(C425="At delivery",AG425,0))</f>
        <v>0</v>
      </c>
      <c r="AR425" s="664"/>
      <c r="AS425" s="651">
        <f t="array" ref="AS425">IFERROR(INDEX('HIV-Other HPs'!$AA$123:$AA$223,MATCH($E425&amp;$F425,'HIV-Other HPs'!$D$123:$D$223&amp;'HIV-Other HPs'!$G$123:$G$223,0)),0)</f>
        <v>0</v>
      </c>
      <c r="AT425" s="651">
        <f t="array" ref="AT425">IFERROR(INDEX('HIV-Other HPs'!$AB$123:$AB$223,MATCH($E425&amp;$F425,'HIV-Other HPs'!$D$123:$D$223&amp;'HIV-Other HPs'!$G$123:$G$223,0)),0)</f>
        <v>0</v>
      </c>
      <c r="AU425" s="652">
        <f>IF(ISERROR($AS425*AT425),0,$AS425*AT425)</f>
        <v>0</v>
      </c>
      <c r="AV425" s="652">
        <f>IF(C425="Upfront",AT425,IF(C425="At delivery",AJ425,0))</f>
        <v>0</v>
      </c>
      <c r="AW425" s="652">
        <f>IF(C425="Upfront",AU425,IF(C425="At delivery",AK425,0))</f>
        <v>0</v>
      </c>
      <c r="AX425" s="651">
        <f t="array" ref="AX425">IFERROR(INDEX('HIV-Other HPs'!$AC$123:$AC$223,MATCH($E425&amp;$F425,'HIV-Other HPs'!$D$123:$D$223&amp;'HIV-Other HPs'!$G$123:$G$223,0)),0)</f>
        <v>0</v>
      </c>
      <c r="AY425" s="652">
        <f>IF(ISERROR($AS425*AX425),0,$AS425*AX425)</f>
        <v>0</v>
      </c>
      <c r="AZ425" s="652">
        <f>IF(C425="Upfront",AX425,IF(C425="At delivery",AN425,0))</f>
        <v>0</v>
      </c>
      <c r="BA425" s="652">
        <f>IF(C425="Upfront",AY425,IF(C425="At delivery",AO425,0))</f>
        <v>0</v>
      </c>
      <c r="BB425" s="651">
        <f t="array" ref="BB425">IFERROR(INDEX('HIV-Other HPs'!$AD$123:$AD$223,MATCH($E425&amp;$F425,'HIV-Other HPs'!$D$123:$D$223&amp;'HIV-Other HPs'!$G$123:$G$223,0)),0)</f>
        <v>0</v>
      </c>
      <c r="BC425" s="652">
        <f>IF(ISERROR($AS425*BB425),0,$AS425*BB425)</f>
        <v>0</v>
      </c>
      <c r="BD425" s="652">
        <f>IF(C425="Upfront",BB425,IF(C425="At delivery",AT425,0))</f>
        <v>0</v>
      </c>
      <c r="BE425" s="652">
        <f>IF(C425="Upfront",BC425,IF(C425="At delivery",AU425,0))</f>
        <v>0</v>
      </c>
      <c r="BF425" s="651">
        <f t="array" ref="BF425">IFERROR(INDEX('HIV-Other HPs'!$AE$123:$AE$223,MATCH($E425&amp;$F425,'HIV-Other HPs'!$D$123:$D$223&amp;'HIV-Other HPs'!$G$123:$G$223,0)),0)</f>
        <v>0</v>
      </c>
      <c r="BG425" s="652">
        <f>IF(ISERROR($AS425*BF425),0,$AS425*BF425)</f>
        <v>0</v>
      </c>
      <c r="BH425" s="652">
        <f>IF(C425="Upfront",BF425,IF(C425="At delivery",AX425,0))</f>
        <v>0</v>
      </c>
      <c r="BI425" s="652">
        <f>IF(C425="Upfront",BG425,IF(C425="At delivery",AY425,0))</f>
        <v>0</v>
      </c>
      <c r="BJ425" s="662"/>
      <c r="BK425" s="663"/>
      <c r="BL425" s="663"/>
      <c r="BM425" s="663"/>
      <c r="BN425" s="663"/>
      <c r="BO425" s="663"/>
      <c r="BP425" s="663"/>
      <c r="BQ425" s="663"/>
      <c r="BR425" s="663"/>
    </row>
    <row r="426" spans="1:70">
      <c r="A426" s="655" t="s">
        <v>2361</v>
      </c>
      <c r="B426" s="655" t="s">
        <v>2287</v>
      </c>
      <c r="C426" s="648">
        <f>SETUP!$F$33</f>
        <v>0</v>
      </c>
      <c r="D426" s="654">
        <v>5.6</v>
      </c>
      <c r="E426" s="663" t="s">
        <v>2354</v>
      </c>
      <c r="F426" s="663" t="s">
        <v>1140</v>
      </c>
      <c r="G426" s="650" t="str">
        <f t="array" ref="G426">IFERROR(INDEX('HIV-Other HPs'!$K$123:$K$223,MATCH($E426&amp;$F426,'HIV-Other HPs'!$D$123:$D$223&amp;'HIV-Other HPs'!$G$123:$G$223,0)),"")</f>
        <v/>
      </c>
      <c r="H426" s="650" t="str">
        <f t="array" ref="H426">IFERROR(INDEX('HIV-Other HPs'!$L$123:$L$223,MATCH($E426&amp;$F426,'HIV-Other HPs'!$D$123:$D$223&amp;'HIV-Other HPs'!$G$123:$G$223,0)),"")</f>
        <v/>
      </c>
      <c r="I426" s="651">
        <f t="array" ref="I426">IFERROR(INDEX('HIV-Other HPs'!$M$123:$M$223,MATCH($E426&amp;$F426,'HIV-Other HPs'!$D$123:$D$223&amp;'HIV-Other HPs'!$G$123:$G$223,0)),0)</f>
        <v>0</v>
      </c>
      <c r="J426" s="651">
        <f t="array" ref="J426">IFERROR(INDEX('HIV-Other HPs'!$N$123:$N$223,MATCH($E426&amp;$F426,'HIV-Other HPs'!$D$123:$D$223&amp;'HIV-Other HPs'!$G$123:$G$223,0)),0)</f>
        <v>0</v>
      </c>
      <c r="K426" s="652">
        <f>IF(ISERROR($I426*J426),0,$I426*J426)</f>
        <v>0</v>
      </c>
      <c r="L426" s="652">
        <f>IF(C426="Upfront",J426,0)</f>
        <v>0</v>
      </c>
      <c r="M426" s="652">
        <f>IF(C426="Upfront",K426,0)</f>
        <v>0</v>
      </c>
      <c r="N426" s="651">
        <f t="array" ref="N426">IFERROR(INDEX('HIV-Other HPs'!$O$123:$O$223,MATCH($E426&amp;$F426,'HIV-Other HPs'!$D$123:$D$223&amp;'HIV-Other HPs'!$G$123:$G$223,0)),0)</f>
        <v>0</v>
      </c>
      <c r="O426" s="652">
        <f>IF(ISERROR($I426*N426),0,$I426*N426)</f>
        <v>0</v>
      </c>
      <c r="P426" s="652">
        <f>IF(C426="Upfront",N426,0)</f>
        <v>0</v>
      </c>
      <c r="Q426" s="652">
        <f>IF(C426="Upfront",O426,0)</f>
        <v>0</v>
      </c>
      <c r="R426" s="651">
        <f t="array" ref="R426">IFERROR(INDEX('HIV-Other HPs'!$P$123:$P$223,MATCH($E426&amp;$F426,'HIV-Other HPs'!$D$123:$D$223&amp;'HIV-Other HPs'!$G$123:$G$223,0)),0)</f>
        <v>0</v>
      </c>
      <c r="S426" s="652">
        <f>IF(ISERROR($I426*R426),0,$I426*R426)</f>
        <v>0</v>
      </c>
      <c r="T426" s="652">
        <f>IF(C426="Upfront",R426,IF(C426="At delivery",J426,0))</f>
        <v>0</v>
      </c>
      <c r="U426" s="652">
        <f>IF(C426="Upfront",S426,IF(C426="At delivery",K426,0))</f>
        <v>0</v>
      </c>
      <c r="V426" s="651">
        <f t="array" ref="V426">IFERROR(INDEX('HIV-Other HPs'!$Q$123:$Q$223,MATCH($E426&amp;$F426,'HIV-Other HPs'!$D$123:$D$223&amp;'HIV-Other HPs'!$G$123:$G$223,0)),0)</f>
        <v>0</v>
      </c>
      <c r="W426" s="652">
        <f>IF(ISERROR($I426*V426),0,$I426*V426)</f>
        <v>0</v>
      </c>
      <c r="X426" s="652">
        <f>IF(C426="Upfront",V426,IF(C426="At delivery",N426,0))</f>
        <v>0</v>
      </c>
      <c r="Y426" s="652">
        <f>IF(C426="Upfront",W426,IF(C426="At delivery",O426,0))</f>
        <v>0</v>
      </c>
      <c r="Z426" s="664"/>
      <c r="AA426" s="651">
        <f t="array" ref="AA426">IFERROR(INDEX('HIV-Other HPs'!$T$123:$T$223,MATCH($E426&amp;$F426,'HIV-Other HPs'!$D$123:$D$223&amp;'HIV-Other HPs'!$G$123:$G$223,0)),0)</f>
        <v>0</v>
      </c>
      <c r="AB426" s="651">
        <f t="array" ref="AB426">IFERROR(INDEX('HIV-Other HPs'!$U$123:$U$223,MATCH($E426&amp;$F426,'HIV-Other HPs'!$D$123:$D$223&amp;'HIV-Other HPs'!$G$123:$G$223,0)),0)</f>
        <v>0</v>
      </c>
      <c r="AC426" s="652">
        <f>IF(ISERROR($AA426*AB426),0,$AA426*AB426)</f>
        <v>0</v>
      </c>
      <c r="AD426" s="652">
        <f>IF(C426="Upfront",AB426,IF(C426="At delivery",R426,0))</f>
        <v>0</v>
      </c>
      <c r="AE426" s="652">
        <f>IF(C426="Upfront",AC426,IF(C426="At delivery",S426,0))</f>
        <v>0</v>
      </c>
      <c r="AF426" s="651">
        <f t="array" ref="AF426">IFERROR(INDEX('HIV-Other HPs'!$V$123:$V$223,MATCH($E426&amp;$F426,'HIV-Other HPs'!$D$123:$D$223&amp;'HIV-Other HPs'!$G$123:$G$223,0)),0)</f>
        <v>0</v>
      </c>
      <c r="AG426" s="652">
        <f>IF(ISERROR($AA426*AF426),0,$AA426*AF426)</f>
        <v>0</v>
      </c>
      <c r="AH426" s="652">
        <f>IF(C426="Upfront",AF426,IF(C426="At delivery",V426,0))</f>
        <v>0</v>
      </c>
      <c r="AI426" s="652">
        <f>IF(C426="Upfront",AG426,IF(C426="At delivery",W426,0))</f>
        <v>0</v>
      </c>
      <c r="AJ426" s="651">
        <f t="array" ref="AJ426">IFERROR(INDEX('HIV-Other HPs'!$W$123:$W$223,MATCH($E426&amp;$F426,'HIV-Other HPs'!$D$123:$D$223&amp;'HIV-Other HPs'!$G$123:$G$223,0)),0)</f>
        <v>0</v>
      </c>
      <c r="AK426" s="652">
        <f>IF(ISERROR($AA426*AJ426),0,$AA426*AJ426)</f>
        <v>0</v>
      </c>
      <c r="AL426" s="652">
        <f>IF(C426="Upfront",AJ426,IF(C426="At delivery",AB426,0))</f>
        <v>0</v>
      </c>
      <c r="AM426" s="652">
        <f>IF(C426="Upfront",AK426,IF(C426="At delivery",AC426,0))</f>
        <v>0</v>
      </c>
      <c r="AN426" s="651">
        <f t="array" ref="AN426">IFERROR(INDEX('HIV-Other HPs'!$X$123:$X$223,MATCH($E426&amp;$F426,'HIV-Other HPs'!$D$123:$D$223&amp;'HIV-Other HPs'!$G$123:$G$223,0)),0)</f>
        <v>0</v>
      </c>
      <c r="AO426" s="652">
        <f>IF(ISERROR($AA426*AN426),0,$AA426*AN426)</f>
        <v>0</v>
      </c>
      <c r="AP426" s="652">
        <f>IF(C426="Upfront",AN426,IF(C426="At delivery",AF426,0))</f>
        <v>0</v>
      </c>
      <c r="AQ426" s="652">
        <f>IF(C426="Upfront",AO426,IF(C426="At delivery",AG426,0))</f>
        <v>0</v>
      </c>
      <c r="AR426" s="664"/>
      <c r="AS426" s="651">
        <f t="array" ref="AS426">IFERROR(INDEX('HIV-Other HPs'!$AA$123:$AA$223,MATCH($E426&amp;$F426,'HIV-Other HPs'!$D$123:$D$223&amp;'HIV-Other HPs'!$G$123:$G$223,0)),0)</f>
        <v>0</v>
      </c>
      <c r="AT426" s="651">
        <f t="array" ref="AT426">IFERROR(INDEX('HIV-Other HPs'!$AB$123:$AB$223,MATCH($E426&amp;$F426,'HIV-Other HPs'!$D$123:$D$223&amp;'HIV-Other HPs'!$G$123:$G$223,0)),0)</f>
        <v>0</v>
      </c>
      <c r="AU426" s="652">
        <f>IF(ISERROR($AS426*AT426),0,$AS426*AT426)</f>
        <v>0</v>
      </c>
      <c r="AV426" s="652">
        <f>IF(C426="Upfront",AT426,IF(C426="At delivery",AJ426,0))</f>
        <v>0</v>
      </c>
      <c r="AW426" s="652">
        <f>IF(C426="Upfront",AU426,IF(C426="At delivery",AK426,0))</f>
        <v>0</v>
      </c>
      <c r="AX426" s="651">
        <f t="array" ref="AX426">IFERROR(INDEX('HIV-Other HPs'!$AC$123:$AC$223,MATCH($E426&amp;$F426,'HIV-Other HPs'!$D$123:$D$223&amp;'HIV-Other HPs'!$G$123:$G$223,0)),0)</f>
        <v>0</v>
      </c>
      <c r="AY426" s="652">
        <f>IF(ISERROR($AS426*AX426),0,$AS426*AX426)</f>
        <v>0</v>
      </c>
      <c r="AZ426" s="652">
        <f>IF(C426="Upfront",AX426,IF(C426="At delivery",AN426,0))</f>
        <v>0</v>
      </c>
      <c r="BA426" s="652">
        <f>IF(C426="Upfront",AY426,IF(C426="At delivery",AO426,0))</f>
        <v>0</v>
      </c>
      <c r="BB426" s="651">
        <f t="array" ref="BB426">IFERROR(INDEX('HIV-Other HPs'!$AD$123:$AD$223,MATCH($E426&amp;$F426,'HIV-Other HPs'!$D$123:$D$223&amp;'HIV-Other HPs'!$G$123:$G$223,0)),0)</f>
        <v>0</v>
      </c>
      <c r="BC426" s="652">
        <f>IF(ISERROR($AS426*BB426),0,$AS426*BB426)</f>
        <v>0</v>
      </c>
      <c r="BD426" s="652">
        <f>IF(C426="Upfront",BB426,IF(C426="At delivery",AT426,0))</f>
        <v>0</v>
      </c>
      <c r="BE426" s="652">
        <f>IF(C426="Upfront",BC426,IF(C426="At delivery",AU426,0))</f>
        <v>0</v>
      </c>
      <c r="BF426" s="651">
        <f t="array" ref="BF426">IFERROR(INDEX('HIV-Other HPs'!$AE$123:$AE$223,MATCH($E426&amp;$F426,'HIV-Other HPs'!$D$123:$D$223&amp;'HIV-Other HPs'!$G$123:$G$223,0)),0)</f>
        <v>0</v>
      </c>
      <c r="BG426" s="652">
        <f>IF(ISERROR($AS426*BF426),0,$AS426*BF426)</f>
        <v>0</v>
      </c>
      <c r="BH426" s="652">
        <f>IF(C426="Upfront",BF426,IF(C426="At delivery",AX426,0))</f>
        <v>0</v>
      </c>
      <c r="BI426" s="652">
        <f>IF(C426="Upfront",BG426,IF(C426="At delivery",AY426,0))</f>
        <v>0</v>
      </c>
      <c r="BJ426" s="662"/>
      <c r="BK426" s="663"/>
      <c r="BL426" s="663"/>
      <c r="BM426" s="663"/>
      <c r="BN426" s="663"/>
      <c r="BO426" s="663"/>
      <c r="BP426" s="663"/>
      <c r="BQ426" s="663"/>
      <c r="BR426" s="663"/>
    </row>
  </sheetData>
  <sheetProtection algorithmName="SHA-512" hashValue="tozAYxGAhj/j5htjvj53Juun/ns7K9f3ntCNz0k8TwJ2vZZ66ELFodCdtegqR0+xa2ooqxZoKfDFczmd8f/N6g==" saltValue="06tW85H95EUbHP6NZmDveA==" spinCount="100000" sheet="1" objects="1" scenarios="1" formatColumns="0" formatRows="0" autoFilter="0"/>
  <mergeCells count="7">
    <mergeCell ref="A393:F393"/>
    <mergeCell ref="A371:F371"/>
    <mergeCell ref="A1:F1"/>
    <mergeCell ref="A111:F111"/>
    <mergeCell ref="A213:F213"/>
    <mergeCell ref="A294:F294"/>
    <mergeCell ref="A324:F32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pageSetUpPr fitToPage="1"/>
  </sheetPr>
  <dimension ref="A1:L108"/>
  <sheetViews>
    <sheetView showGridLines="0" zoomScale="85" zoomScaleNormal="85" workbookViewId="0">
      <selection activeCell="Z11" sqref="Z11"/>
    </sheetView>
  </sheetViews>
  <sheetFormatPr defaultColWidth="9.36328125" defaultRowHeight="13"/>
  <cols>
    <col min="1" max="1" width="41.36328125" style="7" customWidth="1"/>
    <col min="2" max="2" width="51.36328125" style="7" customWidth="1"/>
    <col min="3" max="3" width="52.36328125" style="7" bestFit="1" customWidth="1"/>
    <col min="4" max="4" width="23" style="7" bestFit="1" customWidth="1"/>
    <col min="5" max="7" width="9.36328125" style="7"/>
    <col min="8" max="8" width="21" style="7" bestFit="1" customWidth="1"/>
    <col min="9" max="10" width="43.36328125" style="7" bestFit="1" customWidth="1"/>
    <col min="11" max="11" width="23" style="7" bestFit="1" customWidth="1"/>
    <col min="12" max="12" width="7.36328125" style="7" bestFit="1" customWidth="1"/>
    <col min="13" max="16384" width="9.36328125" style="7"/>
  </cols>
  <sheetData>
    <row r="1" spans="1:12" s="6" customFormat="1">
      <c r="A1" s="16" t="s">
        <v>1236</v>
      </c>
      <c r="B1" s="16" t="s">
        <v>1257</v>
      </c>
      <c r="C1" s="15" t="s">
        <v>1152</v>
      </c>
      <c r="D1" s="15" t="s">
        <v>1277</v>
      </c>
      <c r="E1" s="15" t="s">
        <v>177</v>
      </c>
      <c r="H1" s="16" t="s">
        <v>1237</v>
      </c>
      <c r="I1" s="16" t="s">
        <v>1278</v>
      </c>
      <c r="J1" s="15" t="s">
        <v>1155</v>
      </c>
      <c r="K1" s="15" t="s">
        <v>1279</v>
      </c>
      <c r="L1" s="15" t="s">
        <v>177</v>
      </c>
    </row>
    <row r="2" spans="1:12">
      <c r="A2" s="7" t="s">
        <v>561</v>
      </c>
      <c r="B2" s="7" t="s">
        <v>107</v>
      </c>
      <c r="C2" s="7" t="s">
        <v>107</v>
      </c>
      <c r="D2" s="7" t="s">
        <v>1589</v>
      </c>
      <c r="E2" s="396">
        <v>4.0999999999999996</v>
      </c>
      <c r="H2" s="7" t="s">
        <v>1317</v>
      </c>
      <c r="I2" s="404" t="s">
        <v>1321</v>
      </c>
      <c r="J2" s="7" t="s">
        <v>1321</v>
      </c>
      <c r="K2" s="7" t="s">
        <v>1322</v>
      </c>
      <c r="L2" s="397">
        <v>4.5</v>
      </c>
    </row>
    <row r="3" spans="1:12">
      <c r="A3" s="7" t="s">
        <v>44</v>
      </c>
      <c r="B3" s="7" t="s">
        <v>110</v>
      </c>
      <c r="C3" s="7" t="s">
        <v>107</v>
      </c>
      <c r="D3" s="7" t="s">
        <v>1590</v>
      </c>
      <c r="E3" s="396">
        <v>4.0999999999999996</v>
      </c>
      <c r="H3" s="7" t="s">
        <v>2261</v>
      </c>
      <c r="I3" s="404" t="s">
        <v>1329</v>
      </c>
      <c r="J3" s="7" t="s">
        <v>1329</v>
      </c>
      <c r="K3" s="7" t="s">
        <v>1330</v>
      </c>
      <c r="L3" s="397">
        <v>4.5</v>
      </c>
    </row>
    <row r="4" spans="1:12">
      <c r="B4" s="7" t="s">
        <v>111</v>
      </c>
      <c r="C4" s="7" t="s">
        <v>107</v>
      </c>
      <c r="D4" s="7" t="s">
        <v>1591</v>
      </c>
      <c r="E4" s="396">
        <v>4.0999999999999996</v>
      </c>
      <c r="I4" s="404" t="s">
        <v>1358</v>
      </c>
      <c r="J4" s="7" t="s">
        <v>1329</v>
      </c>
      <c r="K4" s="7" t="s">
        <v>1331</v>
      </c>
      <c r="L4" s="397">
        <v>4.5</v>
      </c>
    </row>
    <row r="5" spans="1:12">
      <c r="B5" s="7" t="s">
        <v>112</v>
      </c>
      <c r="C5" s="7" t="s">
        <v>110</v>
      </c>
      <c r="D5" s="7" t="s">
        <v>1592</v>
      </c>
      <c r="E5" s="396">
        <v>4.0999999999999996</v>
      </c>
      <c r="I5" s="404" t="s">
        <v>1363</v>
      </c>
      <c r="J5" s="7" t="s">
        <v>1329</v>
      </c>
      <c r="K5" s="7" t="s">
        <v>1332</v>
      </c>
      <c r="L5" s="397">
        <v>4.5</v>
      </c>
    </row>
    <row r="6" spans="1:12">
      <c r="B6" s="7" t="s">
        <v>113</v>
      </c>
      <c r="C6" s="7" t="s">
        <v>110</v>
      </c>
      <c r="D6" s="7" t="s">
        <v>1593</v>
      </c>
      <c r="E6" s="396">
        <v>4.0999999999999996</v>
      </c>
      <c r="I6" s="404" t="s">
        <v>1365</v>
      </c>
      <c r="J6" s="7" t="s">
        <v>1329</v>
      </c>
      <c r="K6" s="7" t="s">
        <v>1333</v>
      </c>
      <c r="L6" s="397">
        <v>4.5</v>
      </c>
    </row>
    <row r="7" spans="1:12">
      <c r="B7" s="7" t="s">
        <v>106</v>
      </c>
      <c r="C7" s="7" t="s">
        <v>110</v>
      </c>
      <c r="D7" s="7" t="s">
        <v>1594</v>
      </c>
      <c r="E7" s="396">
        <v>4.0999999999999996</v>
      </c>
      <c r="I7" s="404" t="s">
        <v>181</v>
      </c>
      <c r="J7" s="7" t="s">
        <v>1329</v>
      </c>
      <c r="K7" s="7" t="s">
        <v>1334</v>
      </c>
      <c r="L7" s="397">
        <v>4.5</v>
      </c>
    </row>
    <row r="8" spans="1:12">
      <c r="B8" s="7" t="s">
        <v>114</v>
      </c>
      <c r="C8" s="7" t="s">
        <v>110</v>
      </c>
      <c r="D8" s="7" t="s">
        <v>1595</v>
      </c>
      <c r="E8" s="396">
        <v>4.0999999999999996</v>
      </c>
      <c r="I8" s="404" t="s">
        <v>1373</v>
      </c>
      <c r="J8" s="7" t="s">
        <v>1329</v>
      </c>
      <c r="K8" s="7" t="s">
        <v>1335</v>
      </c>
      <c r="L8" s="397">
        <v>4.5</v>
      </c>
    </row>
    <row r="9" spans="1:12">
      <c r="B9" s="7" t="s">
        <v>1610</v>
      </c>
      <c r="C9" s="7" t="s">
        <v>111</v>
      </c>
      <c r="D9" s="7" t="s">
        <v>1596</v>
      </c>
      <c r="E9" s="396">
        <v>4.0999999999999996</v>
      </c>
      <c r="I9" s="404" t="s">
        <v>1396</v>
      </c>
      <c r="J9" s="7" t="s">
        <v>1358</v>
      </c>
      <c r="K9" s="7" t="s">
        <v>1359</v>
      </c>
      <c r="L9" s="397">
        <v>4.5</v>
      </c>
    </row>
    <row r="10" spans="1:12">
      <c r="B10" s="7" t="s">
        <v>115</v>
      </c>
      <c r="C10" s="7" t="s">
        <v>111</v>
      </c>
      <c r="D10" s="7" t="s">
        <v>1597</v>
      </c>
      <c r="E10" s="396">
        <v>4.0999999999999996</v>
      </c>
      <c r="I10" s="404" t="s">
        <v>1318</v>
      </c>
      <c r="J10" s="7" t="s">
        <v>1358</v>
      </c>
      <c r="K10" s="7" t="s">
        <v>1360</v>
      </c>
      <c r="L10" s="397">
        <v>4.5</v>
      </c>
    </row>
    <row r="11" spans="1:12">
      <c r="B11" s="7" t="s">
        <v>1614</v>
      </c>
      <c r="C11" s="7" t="s">
        <v>112</v>
      </c>
      <c r="D11" s="7" t="s">
        <v>1598</v>
      </c>
      <c r="E11" s="396">
        <v>4.0999999999999996</v>
      </c>
      <c r="I11" s="404" t="s">
        <v>1849</v>
      </c>
      <c r="J11" s="7" t="s">
        <v>1358</v>
      </c>
      <c r="K11" s="7" t="s">
        <v>1361</v>
      </c>
      <c r="L11" s="397">
        <v>4.5</v>
      </c>
    </row>
    <row r="12" spans="1:12">
      <c r="B12" s="7" t="s">
        <v>116</v>
      </c>
      <c r="C12" s="7" t="s">
        <v>112</v>
      </c>
      <c r="D12" s="7" t="s">
        <v>1599</v>
      </c>
      <c r="E12" s="396">
        <v>4.0999999999999996</v>
      </c>
      <c r="I12" s="404" t="s">
        <v>1320</v>
      </c>
      <c r="J12" s="7" t="s">
        <v>1358</v>
      </c>
      <c r="K12" s="7" t="s">
        <v>1362</v>
      </c>
      <c r="L12" s="397">
        <v>4.5</v>
      </c>
    </row>
    <row r="13" spans="1:12">
      <c r="B13" s="7" t="s">
        <v>118</v>
      </c>
      <c r="C13" s="7" t="s">
        <v>112</v>
      </c>
      <c r="D13" s="7" t="s">
        <v>1600</v>
      </c>
      <c r="E13" s="396">
        <v>4.0999999999999996</v>
      </c>
      <c r="I13" s="404" t="s">
        <v>1407</v>
      </c>
      <c r="J13" s="7" t="s">
        <v>1363</v>
      </c>
      <c r="K13" s="7" t="s">
        <v>1364</v>
      </c>
      <c r="L13" s="397">
        <v>4.5</v>
      </c>
    </row>
    <row r="14" spans="1:12">
      <c r="B14" s="7" t="s">
        <v>119</v>
      </c>
      <c r="C14" s="7" t="s">
        <v>112</v>
      </c>
      <c r="D14" s="7" t="s">
        <v>1601</v>
      </c>
      <c r="E14" s="396">
        <v>4.0999999999999996</v>
      </c>
      <c r="I14" s="404" t="s">
        <v>1323</v>
      </c>
      <c r="J14" s="7" t="s">
        <v>1365</v>
      </c>
      <c r="K14" s="7" t="s">
        <v>1366</v>
      </c>
      <c r="L14" s="397">
        <v>4.5</v>
      </c>
    </row>
    <row r="15" spans="1:12">
      <c r="B15" s="7" t="s">
        <v>120</v>
      </c>
      <c r="C15" s="7" t="s">
        <v>112</v>
      </c>
      <c r="D15" s="7" t="s">
        <v>1602</v>
      </c>
      <c r="E15" s="396">
        <v>4.0999999999999996</v>
      </c>
      <c r="I15" s="404" t="s">
        <v>1412</v>
      </c>
      <c r="J15" s="7" t="s">
        <v>1373</v>
      </c>
      <c r="K15" s="7" t="s">
        <v>1446</v>
      </c>
      <c r="L15" s="397">
        <v>4.5</v>
      </c>
    </row>
    <row r="16" spans="1:12">
      <c r="B16" s="7" t="s">
        <v>121</v>
      </c>
      <c r="C16" s="7" t="s">
        <v>113</v>
      </c>
      <c r="D16" s="7" t="s">
        <v>1603</v>
      </c>
      <c r="E16" s="396">
        <v>4.0999999999999996</v>
      </c>
      <c r="I16" s="404" t="s">
        <v>1324</v>
      </c>
      <c r="J16" s="7" t="s">
        <v>1373</v>
      </c>
      <c r="K16" s="7" t="s">
        <v>1745</v>
      </c>
      <c r="L16" s="397">
        <v>4.5</v>
      </c>
    </row>
    <row r="17" spans="2:12">
      <c r="B17" s="7" t="s">
        <v>108</v>
      </c>
      <c r="C17" s="7" t="s">
        <v>106</v>
      </c>
      <c r="D17" s="7" t="s">
        <v>1604</v>
      </c>
      <c r="E17" s="396">
        <v>4.0999999999999996</v>
      </c>
      <c r="I17" s="404" t="s">
        <v>1414</v>
      </c>
      <c r="J17" s="7" t="s">
        <v>1396</v>
      </c>
      <c r="K17" s="7" t="s">
        <v>1397</v>
      </c>
      <c r="L17" s="397">
        <v>4.5</v>
      </c>
    </row>
    <row r="18" spans="2:12">
      <c r="B18" s="7" t="s">
        <v>122</v>
      </c>
      <c r="C18" s="7" t="s">
        <v>114</v>
      </c>
      <c r="D18" s="7" t="s">
        <v>1605</v>
      </c>
      <c r="E18" s="396">
        <v>4.0999999999999996</v>
      </c>
      <c r="I18" s="404" t="s">
        <v>1416</v>
      </c>
      <c r="J18" s="7" t="s">
        <v>1318</v>
      </c>
      <c r="K18" s="7" t="s">
        <v>1403</v>
      </c>
      <c r="L18" s="397">
        <v>4.7</v>
      </c>
    </row>
    <row r="19" spans="2:12">
      <c r="B19" s="7" t="s">
        <v>123</v>
      </c>
      <c r="C19" s="7" t="s">
        <v>114</v>
      </c>
      <c r="D19" s="7" t="s">
        <v>1606</v>
      </c>
      <c r="E19" s="396">
        <v>4.0999999999999996</v>
      </c>
      <c r="I19" s="404" t="s">
        <v>1326</v>
      </c>
      <c r="J19" s="7" t="s">
        <v>1849</v>
      </c>
      <c r="K19" s="7" t="s">
        <v>1746</v>
      </c>
      <c r="L19" s="397">
        <v>4.7</v>
      </c>
    </row>
    <row r="20" spans="2:12">
      <c r="B20" s="7" t="s">
        <v>124</v>
      </c>
      <c r="C20" s="7" t="s">
        <v>114</v>
      </c>
      <c r="D20" s="7" t="s">
        <v>1607</v>
      </c>
      <c r="E20" s="396">
        <v>4.0999999999999996</v>
      </c>
      <c r="I20" s="404" t="s">
        <v>1419</v>
      </c>
      <c r="J20" s="7" t="s">
        <v>1320</v>
      </c>
      <c r="K20" s="7" t="s">
        <v>1404</v>
      </c>
      <c r="L20" s="397">
        <v>4.7</v>
      </c>
    </row>
    <row r="21" spans="2:12">
      <c r="B21" s="7" t="s">
        <v>125</v>
      </c>
      <c r="C21" s="7" t="s">
        <v>114</v>
      </c>
      <c r="D21" s="7" t="s">
        <v>1608</v>
      </c>
      <c r="E21" s="396">
        <v>4.0999999999999996</v>
      </c>
      <c r="I21" s="404" t="s">
        <v>1327</v>
      </c>
      <c r="J21" s="7" t="s">
        <v>1320</v>
      </c>
      <c r="K21" s="7" t="s">
        <v>1405</v>
      </c>
      <c r="L21" s="397">
        <v>4.7</v>
      </c>
    </row>
    <row r="22" spans="2:12">
      <c r="B22" s="7" t="s">
        <v>109</v>
      </c>
      <c r="C22" s="7" t="s">
        <v>114</v>
      </c>
      <c r="D22" s="7" t="s">
        <v>1609</v>
      </c>
      <c r="E22" s="396">
        <v>4.0999999999999996</v>
      </c>
      <c r="I22" s="404" t="s">
        <v>1328</v>
      </c>
      <c r="J22" s="7" t="s">
        <v>1320</v>
      </c>
      <c r="K22" s="7" t="s">
        <v>1406</v>
      </c>
      <c r="L22" s="397">
        <v>4.7</v>
      </c>
    </row>
    <row r="23" spans="2:12">
      <c r="B23" s="7" t="s">
        <v>126</v>
      </c>
      <c r="C23" s="7" t="s">
        <v>1610</v>
      </c>
      <c r="D23" s="7" t="s">
        <v>1611</v>
      </c>
      <c r="E23" s="396">
        <v>4.0999999999999996</v>
      </c>
      <c r="I23" s="404" t="s">
        <v>1336</v>
      </c>
      <c r="J23" s="7" t="s">
        <v>1407</v>
      </c>
      <c r="K23" s="7" t="s">
        <v>1408</v>
      </c>
      <c r="L23" s="397">
        <v>4.7</v>
      </c>
    </row>
    <row r="24" spans="2:12">
      <c r="B24" s="7" t="s">
        <v>117</v>
      </c>
      <c r="C24" s="7" t="s">
        <v>1610</v>
      </c>
      <c r="D24" s="7" t="s">
        <v>1612</v>
      </c>
      <c r="E24" s="396">
        <v>4.0999999999999996</v>
      </c>
      <c r="I24" s="404" t="s">
        <v>1337</v>
      </c>
      <c r="J24" s="7" t="s">
        <v>1323</v>
      </c>
      <c r="K24" s="7" t="s">
        <v>1409</v>
      </c>
      <c r="L24" s="397">
        <v>4.7</v>
      </c>
    </row>
    <row r="25" spans="2:12">
      <c r="B25" s="7" t="s">
        <v>127</v>
      </c>
      <c r="C25" s="7" t="s">
        <v>115</v>
      </c>
      <c r="D25" s="7" t="s">
        <v>1613</v>
      </c>
      <c r="E25" s="396">
        <v>4.0999999999999996</v>
      </c>
      <c r="I25" s="404" t="s">
        <v>1338</v>
      </c>
      <c r="J25" s="7" t="s">
        <v>1323</v>
      </c>
      <c r="K25" s="7" t="s">
        <v>1410</v>
      </c>
      <c r="L25" s="397">
        <v>4.7</v>
      </c>
    </row>
    <row r="26" spans="2:12">
      <c r="B26" s="7" t="s">
        <v>128</v>
      </c>
      <c r="C26" s="7" t="s">
        <v>1614</v>
      </c>
      <c r="D26" s="7" t="s">
        <v>1615</v>
      </c>
      <c r="E26" s="396">
        <v>4.0999999999999996</v>
      </c>
      <c r="I26" s="404" t="s">
        <v>1850</v>
      </c>
      <c r="J26" s="7" t="s">
        <v>1323</v>
      </c>
      <c r="K26" s="7" t="s">
        <v>1411</v>
      </c>
      <c r="L26" s="397">
        <v>4.7</v>
      </c>
    </row>
    <row r="27" spans="2:12">
      <c r="B27" s="7" t="s">
        <v>1666</v>
      </c>
      <c r="C27" s="7" t="s">
        <v>1614</v>
      </c>
      <c r="D27" s="7" t="s">
        <v>1616</v>
      </c>
      <c r="E27" s="396">
        <v>4.0999999999999996</v>
      </c>
      <c r="I27" s="404" t="s">
        <v>1851</v>
      </c>
      <c r="J27" s="7" t="s">
        <v>1412</v>
      </c>
      <c r="K27" s="7" t="s">
        <v>1413</v>
      </c>
      <c r="L27" s="397">
        <v>4.7</v>
      </c>
    </row>
    <row r="28" spans="2:12">
      <c r="B28" s="7" t="s">
        <v>135</v>
      </c>
      <c r="C28" s="7" t="s">
        <v>1614</v>
      </c>
      <c r="D28" s="7" t="s">
        <v>1617</v>
      </c>
      <c r="E28" s="396">
        <v>4.0999999999999996</v>
      </c>
      <c r="I28" s="404" t="s">
        <v>1852</v>
      </c>
      <c r="J28" s="7" t="s">
        <v>1324</v>
      </c>
      <c r="K28" s="7" t="s">
        <v>1325</v>
      </c>
      <c r="L28" s="397">
        <v>4.7</v>
      </c>
    </row>
    <row r="29" spans="2:12">
      <c r="B29" s="7" t="s">
        <v>129</v>
      </c>
      <c r="C29" s="7" t="s">
        <v>1614</v>
      </c>
      <c r="D29" s="7" t="s">
        <v>1618</v>
      </c>
      <c r="E29" s="396">
        <v>4.0999999999999996</v>
      </c>
      <c r="I29" s="404" t="s">
        <v>2353</v>
      </c>
      <c r="J29" s="7" t="s">
        <v>1414</v>
      </c>
      <c r="K29" s="7" t="s">
        <v>1415</v>
      </c>
      <c r="L29" s="397">
        <v>4.7</v>
      </c>
    </row>
    <row r="30" spans="2:12">
      <c r="B30" s="7" t="s">
        <v>130</v>
      </c>
      <c r="C30" s="7" t="s">
        <v>116</v>
      </c>
      <c r="D30" s="7" t="s">
        <v>1619</v>
      </c>
      <c r="E30" s="396">
        <v>4.0999999999999996</v>
      </c>
      <c r="I30" s="404" t="s">
        <v>1352</v>
      </c>
      <c r="J30" s="7" t="s">
        <v>1416</v>
      </c>
      <c r="K30" s="7" t="s">
        <v>1417</v>
      </c>
      <c r="L30" s="397">
        <v>4.7</v>
      </c>
    </row>
    <row r="31" spans="2:12">
      <c r="B31" s="7" t="s">
        <v>131</v>
      </c>
      <c r="C31" s="7" t="s">
        <v>116</v>
      </c>
      <c r="D31" s="7" t="s">
        <v>1620</v>
      </c>
      <c r="E31" s="396">
        <v>4.0999999999999996</v>
      </c>
      <c r="I31" s="404" t="s">
        <v>1853</v>
      </c>
      <c r="J31" s="7" t="s">
        <v>1326</v>
      </c>
      <c r="K31" s="7" t="s">
        <v>1418</v>
      </c>
      <c r="L31" s="397">
        <v>4.7</v>
      </c>
    </row>
    <row r="32" spans="2:12">
      <c r="B32" s="7" t="s">
        <v>132</v>
      </c>
      <c r="C32" s="7" t="s">
        <v>116</v>
      </c>
      <c r="D32" s="7" t="s">
        <v>1621</v>
      </c>
      <c r="E32" s="396">
        <v>4.0999999999999996</v>
      </c>
      <c r="I32" s="404" t="s">
        <v>1367</v>
      </c>
      <c r="J32" s="7" t="s">
        <v>1419</v>
      </c>
      <c r="K32" s="7" t="s">
        <v>1420</v>
      </c>
      <c r="L32" s="397">
        <v>4.7</v>
      </c>
    </row>
    <row r="33" spans="2:12">
      <c r="B33" s="7" t="s">
        <v>133</v>
      </c>
      <c r="C33" s="7" t="s">
        <v>116</v>
      </c>
      <c r="D33" s="7" t="s">
        <v>1622</v>
      </c>
      <c r="E33" s="396">
        <v>4.0999999999999996</v>
      </c>
      <c r="I33" s="404" t="s">
        <v>1428</v>
      </c>
      <c r="J33" s="7" t="s">
        <v>1327</v>
      </c>
      <c r="K33" s="7" t="s">
        <v>1271</v>
      </c>
      <c r="L33" s="397">
        <v>4.7</v>
      </c>
    </row>
    <row r="34" spans="2:12">
      <c r="B34" s="7" t="s">
        <v>134</v>
      </c>
      <c r="C34" s="7" t="s">
        <v>116</v>
      </c>
      <c r="D34" s="7" t="s">
        <v>1623</v>
      </c>
      <c r="E34" s="396">
        <v>4.0999999999999996</v>
      </c>
      <c r="I34" s="404" t="s">
        <v>1369</v>
      </c>
      <c r="J34" s="7" t="s">
        <v>1327</v>
      </c>
      <c r="K34" s="7" t="s">
        <v>1421</v>
      </c>
      <c r="L34" s="397">
        <v>4.7</v>
      </c>
    </row>
    <row r="35" spans="2:12">
      <c r="B35" s="7" t="s">
        <v>1684</v>
      </c>
      <c r="C35" s="7" t="s">
        <v>116</v>
      </c>
      <c r="D35" s="7" t="s">
        <v>1624</v>
      </c>
      <c r="E35" s="396">
        <v>4.0999999999999996</v>
      </c>
      <c r="I35" s="404" t="s">
        <v>1432</v>
      </c>
      <c r="J35" s="7" t="s">
        <v>1328</v>
      </c>
      <c r="K35" s="7" t="s">
        <v>1422</v>
      </c>
      <c r="L35" s="397">
        <v>4.7</v>
      </c>
    </row>
    <row r="36" spans="2:12">
      <c r="C36" s="7" t="s">
        <v>116</v>
      </c>
      <c r="D36" s="7" t="s">
        <v>1625</v>
      </c>
      <c r="E36" s="396">
        <v>4.0999999999999996</v>
      </c>
      <c r="I36" s="404" t="s">
        <v>1370</v>
      </c>
      <c r="J36" s="7" t="s">
        <v>1328</v>
      </c>
      <c r="K36" s="7" t="s">
        <v>1423</v>
      </c>
      <c r="L36" s="397">
        <v>4.7</v>
      </c>
    </row>
    <row r="37" spans="2:12">
      <c r="C37" s="7" t="s">
        <v>116</v>
      </c>
      <c r="D37" s="7" t="s">
        <v>1626</v>
      </c>
      <c r="E37" s="396">
        <v>4.0999999999999996</v>
      </c>
      <c r="I37" s="404" t="s">
        <v>1435</v>
      </c>
      <c r="J37" s="7" t="s">
        <v>1336</v>
      </c>
      <c r="K37" s="7" t="s">
        <v>1424</v>
      </c>
      <c r="L37" s="397">
        <v>4.7</v>
      </c>
    </row>
    <row r="38" spans="2:12">
      <c r="C38" s="7" t="s">
        <v>116</v>
      </c>
      <c r="D38" s="7" t="s">
        <v>1627</v>
      </c>
      <c r="E38" s="396">
        <v>4.0999999999999996</v>
      </c>
      <c r="I38" s="404" t="s">
        <v>1371</v>
      </c>
      <c r="J38" s="7" t="s">
        <v>1337</v>
      </c>
      <c r="K38" s="7" t="s">
        <v>1425</v>
      </c>
      <c r="L38" s="397">
        <v>4.7</v>
      </c>
    </row>
    <row r="39" spans="2:12">
      <c r="C39" s="7" t="s">
        <v>116</v>
      </c>
      <c r="D39" s="7" t="s">
        <v>1613</v>
      </c>
      <c r="E39" s="396">
        <v>4.0999999999999996</v>
      </c>
      <c r="I39" s="404" t="s">
        <v>1441</v>
      </c>
      <c r="J39" s="7" t="s">
        <v>1337</v>
      </c>
      <c r="K39" s="7" t="s">
        <v>1426</v>
      </c>
      <c r="L39" s="397">
        <v>4.7</v>
      </c>
    </row>
    <row r="40" spans="2:12">
      <c r="C40" s="7" t="s">
        <v>116</v>
      </c>
      <c r="D40" s="7" t="s">
        <v>1628</v>
      </c>
      <c r="E40" s="396">
        <v>4.0999999999999996</v>
      </c>
      <c r="I40" s="404" t="s">
        <v>1372</v>
      </c>
      <c r="J40" s="7" t="s">
        <v>1338</v>
      </c>
      <c r="K40" s="7" t="s">
        <v>1427</v>
      </c>
      <c r="L40" s="397">
        <v>4.7</v>
      </c>
    </row>
    <row r="41" spans="2:12">
      <c r="C41" s="7" t="s">
        <v>118</v>
      </c>
      <c r="D41" s="7" t="s">
        <v>1629</v>
      </c>
      <c r="E41" s="396">
        <v>4.0999999999999996</v>
      </c>
      <c r="I41" s="404" t="s">
        <v>1444</v>
      </c>
      <c r="J41" s="7" t="s">
        <v>1850</v>
      </c>
      <c r="K41" s="7" t="s">
        <v>1340</v>
      </c>
      <c r="L41" s="397">
        <v>4.7</v>
      </c>
    </row>
    <row r="42" spans="2:12">
      <c r="C42" s="7" t="s">
        <v>118</v>
      </c>
      <c r="D42" s="7" t="s">
        <v>1630</v>
      </c>
      <c r="E42" s="396">
        <v>4.0999999999999996</v>
      </c>
      <c r="I42" s="404" t="s">
        <v>1447</v>
      </c>
      <c r="J42" s="7" t="s">
        <v>1850</v>
      </c>
      <c r="K42" s="7" t="s">
        <v>1341</v>
      </c>
      <c r="L42" s="397">
        <v>4.7</v>
      </c>
    </row>
    <row r="43" spans="2:12">
      <c r="C43" s="7" t="s">
        <v>118</v>
      </c>
      <c r="D43" s="7" t="s">
        <v>1631</v>
      </c>
      <c r="E43" s="396">
        <v>4.0999999999999996</v>
      </c>
      <c r="I43" s="404" t="s">
        <v>1374</v>
      </c>
      <c r="J43" s="7" t="s">
        <v>1851</v>
      </c>
      <c r="K43" s="7" t="s">
        <v>1343</v>
      </c>
      <c r="L43" s="397">
        <v>4.7</v>
      </c>
    </row>
    <row r="44" spans="2:12">
      <c r="C44" s="7" t="s">
        <v>118</v>
      </c>
      <c r="D44" s="7" t="s">
        <v>1632</v>
      </c>
      <c r="E44" s="396">
        <v>4.0999999999999996</v>
      </c>
      <c r="I44" s="404" t="s">
        <v>1376</v>
      </c>
      <c r="J44" s="7" t="s">
        <v>1851</v>
      </c>
      <c r="K44" s="7" t="s">
        <v>1344</v>
      </c>
      <c r="L44" s="397">
        <v>4.7</v>
      </c>
    </row>
    <row r="45" spans="2:12">
      <c r="C45" s="7" t="s">
        <v>119</v>
      </c>
      <c r="D45" s="7" t="s">
        <v>1633</v>
      </c>
      <c r="E45" s="396">
        <v>4.0999999999999996</v>
      </c>
      <c r="I45" s="404" t="s">
        <v>1379</v>
      </c>
      <c r="J45" s="7" t="s">
        <v>1852</v>
      </c>
      <c r="K45" s="7" t="s">
        <v>1346</v>
      </c>
      <c r="L45" s="397">
        <v>4.7</v>
      </c>
    </row>
    <row r="46" spans="2:12">
      <c r="C46" s="7" t="s">
        <v>119</v>
      </c>
      <c r="D46" s="7" t="s">
        <v>1634</v>
      </c>
      <c r="E46" s="396">
        <v>4.0999999999999996</v>
      </c>
      <c r="I46" s="404" t="s">
        <v>1448</v>
      </c>
      <c r="J46" s="7" t="s">
        <v>1347</v>
      </c>
      <c r="K46" s="7" t="s">
        <v>1348</v>
      </c>
      <c r="L46" s="397">
        <v>4.7</v>
      </c>
    </row>
    <row r="47" spans="2:12">
      <c r="C47" s="7" t="s">
        <v>119</v>
      </c>
      <c r="D47" s="7" t="s">
        <v>1635</v>
      </c>
      <c r="E47" s="396">
        <v>4.0999999999999996</v>
      </c>
      <c r="I47" s="404" t="s">
        <v>1449</v>
      </c>
      <c r="J47" s="7" t="s">
        <v>1347</v>
      </c>
      <c r="K47" s="7" t="s">
        <v>1349</v>
      </c>
      <c r="L47" s="397">
        <v>4.7</v>
      </c>
    </row>
    <row r="48" spans="2:12">
      <c r="C48" s="7" t="s">
        <v>119</v>
      </c>
      <c r="D48" s="7" t="s">
        <v>1636</v>
      </c>
      <c r="E48" s="396">
        <v>4.0999999999999996</v>
      </c>
      <c r="I48" s="404" t="s">
        <v>1384</v>
      </c>
      <c r="J48" s="7" t="s">
        <v>1347</v>
      </c>
      <c r="K48" s="7" t="s">
        <v>1350</v>
      </c>
      <c r="L48" s="397">
        <v>4.7</v>
      </c>
    </row>
    <row r="49" spans="3:12">
      <c r="C49" s="7" t="s">
        <v>119</v>
      </c>
      <c r="D49" s="7" t="s">
        <v>1637</v>
      </c>
      <c r="E49" s="396">
        <v>4.0999999999999996</v>
      </c>
      <c r="I49" s="404" t="s">
        <v>1450</v>
      </c>
      <c r="J49" s="7" t="s">
        <v>1347</v>
      </c>
      <c r="K49" s="7" t="s">
        <v>1351</v>
      </c>
      <c r="L49" s="397">
        <v>4.7</v>
      </c>
    </row>
    <row r="50" spans="3:12">
      <c r="C50" s="7" t="s">
        <v>119</v>
      </c>
      <c r="D50" s="7" t="s">
        <v>1638</v>
      </c>
      <c r="E50" s="396">
        <v>4.0999999999999996</v>
      </c>
      <c r="I50" s="404" t="s">
        <v>1586</v>
      </c>
      <c r="J50" s="7" t="s">
        <v>1352</v>
      </c>
      <c r="K50" s="7" t="s">
        <v>1353</v>
      </c>
      <c r="L50" s="397">
        <v>4.7</v>
      </c>
    </row>
    <row r="51" spans="3:12">
      <c r="C51" s="7" t="s">
        <v>119</v>
      </c>
      <c r="D51" s="7" t="s">
        <v>1639</v>
      </c>
      <c r="E51" s="396">
        <v>4.0999999999999996</v>
      </c>
      <c r="I51" s="404" t="s">
        <v>1854</v>
      </c>
      <c r="J51" s="7" t="s">
        <v>1853</v>
      </c>
      <c r="K51" s="7" t="s">
        <v>1355</v>
      </c>
      <c r="L51" s="397">
        <v>4.7</v>
      </c>
    </row>
    <row r="52" spans="3:12">
      <c r="C52" s="7" t="s">
        <v>119</v>
      </c>
      <c r="D52" s="7" t="s">
        <v>1640</v>
      </c>
      <c r="E52" s="396">
        <v>4.0999999999999996</v>
      </c>
      <c r="I52" s="404" t="s">
        <v>1390</v>
      </c>
      <c r="J52" s="7" t="s">
        <v>1853</v>
      </c>
      <c r="K52" s="7" t="s">
        <v>1356</v>
      </c>
      <c r="L52" s="397">
        <v>4.7</v>
      </c>
    </row>
    <row r="53" spans="3:12">
      <c r="C53" s="7" t="s">
        <v>119</v>
      </c>
      <c r="D53" s="7" t="s">
        <v>1641</v>
      </c>
      <c r="E53" s="396">
        <v>4.0999999999999996</v>
      </c>
      <c r="I53" s="404" t="s">
        <v>1451</v>
      </c>
      <c r="J53" s="7" t="s">
        <v>1853</v>
      </c>
      <c r="K53" s="7" t="s">
        <v>1357</v>
      </c>
      <c r="L53" s="397">
        <v>4.7</v>
      </c>
    </row>
    <row r="54" spans="3:12">
      <c r="C54" s="7" t="s">
        <v>119</v>
      </c>
      <c r="D54" s="7" t="s">
        <v>1642</v>
      </c>
      <c r="E54" s="396">
        <v>4.0999999999999996</v>
      </c>
      <c r="I54" s="404" t="s">
        <v>837</v>
      </c>
      <c r="J54" s="7" t="s">
        <v>1367</v>
      </c>
      <c r="K54" s="7" t="s">
        <v>1368</v>
      </c>
      <c r="L54" s="397">
        <v>4.7</v>
      </c>
    </row>
    <row r="55" spans="3:12">
      <c r="C55" s="7" t="s">
        <v>119</v>
      </c>
      <c r="D55" s="7" t="s">
        <v>1643</v>
      </c>
      <c r="E55" s="396">
        <v>4.0999999999999996</v>
      </c>
      <c r="I55" s="404" t="s">
        <v>1393</v>
      </c>
      <c r="J55" s="7" t="s">
        <v>1428</v>
      </c>
      <c r="K55" s="7" t="s">
        <v>1429</v>
      </c>
      <c r="L55" s="397">
        <v>4.7</v>
      </c>
    </row>
    <row r="56" spans="3:12">
      <c r="C56" s="7" t="s">
        <v>120</v>
      </c>
      <c r="D56" s="7" t="s">
        <v>136</v>
      </c>
      <c r="E56" s="396">
        <v>4.0999999999999996</v>
      </c>
      <c r="I56" s="404" t="s">
        <v>1398</v>
      </c>
      <c r="J56" s="7" t="s">
        <v>1369</v>
      </c>
      <c r="K56" s="7" t="s">
        <v>1430</v>
      </c>
      <c r="L56" s="397">
        <v>4.7</v>
      </c>
    </row>
    <row r="57" spans="3:12">
      <c r="C57" s="7" t="s">
        <v>120</v>
      </c>
      <c r="D57" s="7" t="s">
        <v>137</v>
      </c>
      <c r="E57" s="396">
        <v>4.0999999999999996</v>
      </c>
      <c r="I57" s="404" t="s">
        <v>1400</v>
      </c>
      <c r="J57" s="7" t="s">
        <v>1369</v>
      </c>
      <c r="K57" s="7" t="s">
        <v>1431</v>
      </c>
      <c r="L57" s="397">
        <v>4.7</v>
      </c>
    </row>
    <row r="58" spans="3:12">
      <c r="C58" s="7" t="s">
        <v>121</v>
      </c>
      <c r="D58" s="7" t="s">
        <v>1644</v>
      </c>
      <c r="E58" s="396">
        <v>4.0999999999999996</v>
      </c>
      <c r="I58" s="404" t="s">
        <v>442</v>
      </c>
      <c r="J58" s="7" t="s">
        <v>1432</v>
      </c>
      <c r="K58" s="7" t="s">
        <v>1433</v>
      </c>
      <c r="L58" s="397">
        <v>4.7</v>
      </c>
    </row>
    <row r="59" spans="3:12">
      <c r="C59" s="7" t="s">
        <v>108</v>
      </c>
      <c r="D59" s="7" t="s">
        <v>1645</v>
      </c>
      <c r="E59" s="396">
        <v>4.0999999999999996</v>
      </c>
      <c r="I59" s="404" t="s">
        <v>181</v>
      </c>
      <c r="J59" s="7" t="s">
        <v>1370</v>
      </c>
      <c r="K59" s="7" t="s">
        <v>1434</v>
      </c>
      <c r="L59" s="397">
        <v>4.7</v>
      </c>
    </row>
    <row r="60" spans="3:12">
      <c r="C60" s="7" t="s">
        <v>122</v>
      </c>
      <c r="D60" s="7" t="s">
        <v>1646</v>
      </c>
      <c r="E60" s="396">
        <v>4.0999999999999996</v>
      </c>
      <c r="I60" s="7" t="s">
        <v>1312</v>
      </c>
      <c r="J60" s="7" t="s">
        <v>1435</v>
      </c>
      <c r="K60" s="7" t="s">
        <v>1436</v>
      </c>
      <c r="L60" s="397">
        <v>4.7</v>
      </c>
    </row>
    <row r="61" spans="3:12">
      <c r="C61" s="7" t="s">
        <v>122</v>
      </c>
      <c r="D61" s="7" t="s">
        <v>1647</v>
      </c>
      <c r="E61" s="396">
        <v>4.0999999999999996</v>
      </c>
      <c r="I61" s="7" t="s">
        <v>297</v>
      </c>
      <c r="J61" s="7" t="s">
        <v>1435</v>
      </c>
      <c r="K61" s="7" t="s">
        <v>1437</v>
      </c>
      <c r="L61" s="397">
        <v>4.7</v>
      </c>
    </row>
    <row r="62" spans="3:12">
      <c r="C62" s="7" t="s">
        <v>122</v>
      </c>
      <c r="D62" s="7" t="s">
        <v>1648</v>
      </c>
      <c r="E62" s="396">
        <v>4.0999999999999996</v>
      </c>
      <c r="I62" s="7" t="s">
        <v>1281</v>
      </c>
      <c r="J62" s="7" t="s">
        <v>1435</v>
      </c>
      <c r="K62" s="7" t="s">
        <v>1438</v>
      </c>
      <c r="L62" s="397">
        <v>4.7</v>
      </c>
    </row>
    <row r="63" spans="3:12">
      <c r="C63" s="7" t="s">
        <v>123</v>
      </c>
      <c r="D63" s="7" t="s">
        <v>138</v>
      </c>
      <c r="E63" s="396">
        <v>4.0999999999999996</v>
      </c>
      <c r="J63" s="7" t="s">
        <v>1371</v>
      </c>
      <c r="K63" s="7" t="s">
        <v>1439</v>
      </c>
      <c r="L63" s="397">
        <v>4.7</v>
      </c>
    </row>
    <row r="64" spans="3:12">
      <c r="C64" s="7" t="s">
        <v>123</v>
      </c>
      <c r="D64" s="7" t="s">
        <v>139</v>
      </c>
      <c r="E64" s="396">
        <v>4.0999999999999996</v>
      </c>
      <c r="J64" s="7" t="s">
        <v>1371</v>
      </c>
      <c r="K64" s="7" t="s">
        <v>1440</v>
      </c>
      <c r="L64" s="397">
        <v>4.7</v>
      </c>
    </row>
    <row r="65" spans="3:12">
      <c r="C65" s="7" t="s">
        <v>124</v>
      </c>
      <c r="D65" s="7" t="s">
        <v>1649</v>
      </c>
      <c r="E65" s="396">
        <v>4.0999999999999996</v>
      </c>
      <c r="J65" s="7" t="s">
        <v>1441</v>
      </c>
      <c r="K65" s="7" t="s">
        <v>1442</v>
      </c>
      <c r="L65" s="397">
        <v>4.7</v>
      </c>
    </row>
    <row r="66" spans="3:12">
      <c r="C66" s="7" t="s">
        <v>124</v>
      </c>
      <c r="D66" s="7" t="s">
        <v>1650</v>
      </c>
      <c r="E66" s="396">
        <v>4.0999999999999996</v>
      </c>
      <c r="J66" s="7" t="s">
        <v>181</v>
      </c>
      <c r="K66" s="7" t="s">
        <v>1140</v>
      </c>
      <c r="L66" s="397">
        <v>4.5</v>
      </c>
    </row>
    <row r="67" spans="3:12">
      <c r="C67" s="7" t="s">
        <v>124</v>
      </c>
      <c r="D67" s="7" t="s">
        <v>1651</v>
      </c>
      <c r="E67" s="396">
        <v>4.0999999999999996</v>
      </c>
      <c r="J67" s="7" t="s">
        <v>1372</v>
      </c>
      <c r="K67" s="7" t="s">
        <v>1443</v>
      </c>
      <c r="L67" s="397">
        <v>4.7</v>
      </c>
    </row>
    <row r="68" spans="3:12">
      <c r="C68" s="7" t="s">
        <v>125</v>
      </c>
      <c r="D68" s="7" t="s">
        <v>1652</v>
      </c>
      <c r="E68" s="396">
        <v>4.0999999999999996</v>
      </c>
      <c r="J68" s="7" t="s">
        <v>1444</v>
      </c>
      <c r="K68" s="7" t="s">
        <v>1445</v>
      </c>
      <c r="L68" s="397">
        <v>4.7</v>
      </c>
    </row>
    <row r="69" spans="3:12">
      <c r="C69" s="7" t="s">
        <v>125</v>
      </c>
      <c r="D69" s="7" t="s">
        <v>1653</v>
      </c>
      <c r="E69" s="396">
        <v>4.0999999999999996</v>
      </c>
      <c r="J69" s="7" t="s">
        <v>1444</v>
      </c>
      <c r="K69" s="7" t="s">
        <v>1406</v>
      </c>
      <c r="L69" s="397">
        <v>4.7</v>
      </c>
    </row>
    <row r="70" spans="3:12">
      <c r="C70" s="7" t="s">
        <v>109</v>
      </c>
      <c r="D70" s="7" t="s">
        <v>1654</v>
      </c>
      <c r="E70" s="396">
        <v>4.0999999999999996</v>
      </c>
      <c r="J70" s="7" t="s">
        <v>1447</v>
      </c>
      <c r="K70" s="7" t="s">
        <v>1357</v>
      </c>
      <c r="L70" s="397">
        <v>4.7</v>
      </c>
    </row>
    <row r="71" spans="3:12">
      <c r="C71" s="7" t="s">
        <v>126</v>
      </c>
      <c r="D71" s="7" t="s">
        <v>1655</v>
      </c>
      <c r="E71" s="396">
        <v>4.0999999999999996</v>
      </c>
      <c r="J71" s="7" t="s">
        <v>1374</v>
      </c>
      <c r="K71" s="7" t="s">
        <v>1375</v>
      </c>
      <c r="L71" s="397">
        <v>4.7</v>
      </c>
    </row>
    <row r="72" spans="3:12">
      <c r="C72" s="7" t="s">
        <v>126</v>
      </c>
      <c r="D72" s="7" t="s">
        <v>1656</v>
      </c>
      <c r="E72" s="396">
        <v>4.0999999999999996</v>
      </c>
      <c r="J72" s="7" t="s">
        <v>1376</v>
      </c>
      <c r="K72" s="7" t="s">
        <v>1377</v>
      </c>
      <c r="L72" s="397">
        <v>4.7</v>
      </c>
    </row>
    <row r="73" spans="3:12">
      <c r="C73" s="7" t="s">
        <v>117</v>
      </c>
      <c r="D73" s="7" t="s">
        <v>1657</v>
      </c>
      <c r="E73" s="396">
        <v>4.0999999999999996</v>
      </c>
      <c r="J73" s="7" t="s">
        <v>1376</v>
      </c>
      <c r="K73" s="7" t="s">
        <v>1378</v>
      </c>
      <c r="L73" s="397">
        <v>4.7</v>
      </c>
    </row>
    <row r="74" spans="3:12">
      <c r="C74" s="7" t="s">
        <v>127</v>
      </c>
      <c r="D74" s="7" t="s">
        <v>1658</v>
      </c>
      <c r="E74" s="396">
        <v>4.0999999999999996</v>
      </c>
      <c r="J74" s="7" t="s">
        <v>1379</v>
      </c>
      <c r="K74" s="7" t="s">
        <v>1380</v>
      </c>
      <c r="L74" s="397">
        <v>4.7</v>
      </c>
    </row>
    <row r="75" spans="3:12">
      <c r="C75" s="7" t="s">
        <v>127</v>
      </c>
      <c r="D75" s="7" t="s">
        <v>1659</v>
      </c>
      <c r="E75" s="396">
        <v>4.0999999999999996</v>
      </c>
      <c r="J75" s="7" t="s">
        <v>1379</v>
      </c>
      <c r="K75" s="7" t="s">
        <v>1381</v>
      </c>
      <c r="L75" s="397">
        <v>4.7</v>
      </c>
    </row>
    <row r="76" spans="3:12">
      <c r="C76" s="7" t="s">
        <v>127</v>
      </c>
      <c r="D76" s="7" t="s">
        <v>1660</v>
      </c>
      <c r="E76" s="396">
        <v>4.0999999999999996</v>
      </c>
      <c r="J76" s="7" t="s">
        <v>1448</v>
      </c>
      <c r="K76" s="7" t="s">
        <v>1382</v>
      </c>
      <c r="L76" s="397">
        <v>4.7</v>
      </c>
    </row>
    <row r="77" spans="3:12">
      <c r="C77" s="7" t="s">
        <v>127</v>
      </c>
      <c r="D77" s="7" t="s">
        <v>1661</v>
      </c>
      <c r="E77" s="396">
        <v>4.0999999999999996</v>
      </c>
      <c r="J77" s="7" t="s">
        <v>1449</v>
      </c>
      <c r="K77" s="7" t="s">
        <v>1383</v>
      </c>
      <c r="L77" s="397">
        <v>4.7</v>
      </c>
    </row>
    <row r="78" spans="3:12">
      <c r="C78" s="7" t="s">
        <v>127</v>
      </c>
      <c r="D78" s="7" t="s">
        <v>1662</v>
      </c>
      <c r="E78" s="396">
        <v>4.0999999999999996</v>
      </c>
      <c r="J78" s="7" t="s">
        <v>1384</v>
      </c>
      <c r="K78" s="7" t="s">
        <v>1385</v>
      </c>
      <c r="L78" s="397">
        <v>4.7</v>
      </c>
    </row>
    <row r="79" spans="3:12">
      <c r="C79" s="7" t="s">
        <v>127</v>
      </c>
      <c r="D79" s="7" t="s">
        <v>1663</v>
      </c>
      <c r="E79" s="396">
        <v>4.0999999999999996</v>
      </c>
      <c r="J79" s="7" t="s">
        <v>1450</v>
      </c>
      <c r="K79" s="7" t="s">
        <v>1386</v>
      </c>
      <c r="L79" s="397">
        <v>4.7</v>
      </c>
    </row>
    <row r="80" spans="3:12">
      <c r="C80" s="7" t="s">
        <v>127</v>
      </c>
      <c r="D80" s="7" t="s">
        <v>1664</v>
      </c>
      <c r="E80" s="396">
        <v>4.0999999999999996</v>
      </c>
      <c r="J80" s="7" t="s">
        <v>1586</v>
      </c>
      <c r="K80" s="7" t="s">
        <v>1387</v>
      </c>
      <c r="L80" s="397">
        <v>4.7</v>
      </c>
    </row>
    <row r="81" spans="3:12">
      <c r="C81" s="7" t="s">
        <v>128</v>
      </c>
      <c r="D81" s="7" t="s">
        <v>1665</v>
      </c>
      <c r="E81" s="396">
        <v>4.0999999999999996</v>
      </c>
      <c r="J81" s="7" t="s">
        <v>1854</v>
      </c>
      <c r="K81" s="7" t="s">
        <v>1389</v>
      </c>
      <c r="L81" s="397">
        <v>4.7</v>
      </c>
    </row>
    <row r="82" spans="3:12">
      <c r="C82" s="7" t="s">
        <v>1666</v>
      </c>
      <c r="D82" s="7" t="s">
        <v>1666</v>
      </c>
      <c r="E82" s="396">
        <v>4.0999999999999996</v>
      </c>
      <c r="J82" s="7" t="s">
        <v>1390</v>
      </c>
      <c r="K82" s="7" t="s">
        <v>1391</v>
      </c>
      <c r="L82" s="397">
        <v>4.7</v>
      </c>
    </row>
    <row r="83" spans="3:12">
      <c r="C83" s="7" t="s">
        <v>135</v>
      </c>
      <c r="D83" s="7" t="s">
        <v>1140</v>
      </c>
      <c r="E83" s="396">
        <v>4.0999999999999996</v>
      </c>
      <c r="J83" s="7" t="s">
        <v>1451</v>
      </c>
      <c r="K83" s="7" t="s">
        <v>1392</v>
      </c>
      <c r="L83" s="397">
        <v>4.7</v>
      </c>
    </row>
    <row r="84" spans="3:12">
      <c r="C84" s="7" t="s">
        <v>129</v>
      </c>
      <c r="D84" s="7" t="s">
        <v>1667</v>
      </c>
      <c r="E84" s="396">
        <v>4.0999999999999996</v>
      </c>
      <c r="J84" s="7" t="s">
        <v>837</v>
      </c>
      <c r="K84" s="7" t="s">
        <v>1140</v>
      </c>
      <c r="L84" s="397">
        <v>4.7</v>
      </c>
    </row>
    <row r="85" spans="3:12">
      <c r="C85" s="7" t="s">
        <v>129</v>
      </c>
      <c r="D85" s="7" t="s">
        <v>1668</v>
      </c>
      <c r="E85" s="396">
        <v>4.0999999999999996</v>
      </c>
      <c r="J85" s="7" t="s">
        <v>1393</v>
      </c>
      <c r="K85" s="7" t="s">
        <v>1394</v>
      </c>
      <c r="L85" s="397">
        <v>4.7</v>
      </c>
    </row>
    <row r="86" spans="3:12">
      <c r="C86" s="7" t="s">
        <v>129</v>
      </c>
      <c r="D86" s="7" t="s">
        <v>1606</v>
      </c>
      <c r="E86" s="396">
        <v>4.0999999999999996</v>
      </c>
      <c r="J86" s="7" t="s">
        <v>1393</v>
      </c>
      <c r="K86" s="7" t="s">
        <v>1395</v>
      </c>
      <c r="L86" s="397">
        <v>4.7</v>
      </c>
    </row>
    <row r="87" spans="3:12">
      <c r="C87" s="7" t="s">
        <v>130</v>
      </c>
      <c r="D87" s="7" t="s">
        <v>1669</v>
      </c>
      <c r="E87" s="396">
        <v>4.0999999999999996</v>
      </c>
      <c r="J87" s="7" t="s">
        <v>1398</v>
      </c>
      <c r="K87" s="7" t="s">
        <v>1399</v>
      </c>
      <c r="L87" s="397">
        <v>4.7</v>
      </c>
    </row>
    <row r="88" spans="3:12">
      <c r="C88" s="7" t="s">
        <v>130</v>
      </c>
      <c r="D88" s="7" t="s">
        <v>1670</v>
      </c>
      <c r="E88" s="396">
        <v>4.0999999999999996</v>
      </c>
      <c r="J88" s="7" t="s">
        <v>1400</v>
      </c>
      <c r="K88" s="7" t="s">
        <v>1401</v>
      </c>
      <c r="L88" s="397">
        <v>4.7</v>
      </c>
    </row>
    <row r="89" spans="3:12">
      <c r="C89" s="7" t="s">
        <v>130</v>
      </c>
      <c r="D89" s="7" t="s">
        <v>1671</v>
      </c>
      <c r="E89" s="396">
        <v>4.0999999999999996</v>
      </c>
      <c r="J89" s="7" t="s">
        <v>442</v>
      </c>
      <c r="K89" s="7" t="s">
        <v>1402</v>
      </c>
      <c r="L89" s="397">
        <v>4.7</v>
      </c>
    </row>
    <row r="90" spans="3:12">
      <c r="C90" s="7" t="s">
        <v>130</v>
      </c>
      <c r="D90" s="7" t="s">
        <v>1672</v>
      </c>
      <c r="E90" s="396">
        <v>4.0999999999999996</v>
      </c>
      <c r="J90" s="7" t="s">
        <v>442</v>
      </c>
      <c r="K90" s="7" t="s">
        <v>456</v>
      </c>
      <c r="L90" s="397">
        <v>4.7</v>
      </c>
    </row>
    <row r="91" spans="3:12">
      <c r="C91" s="7" t="s">
        <v>130</v>
      </c>
      <c r="D91" s="7" t="s">
        <v>1673</v>
      </c>
      <c r="E91" s="396">
        <v>4.0999999999999996</v>
      </c>
      <c r="J91" s="7" t="s">
        <v>442</v>
      </c>
      <c r="K91" s="7" t="s">
        <v>457</v>
      </c>
      <c r="L91" s="397">
        <v>4.7</v>
      </c>
    </row>
    <row r="92" spans="3:12">
      <c r="C92" s="7" t="s">
        <v>130</v>
      </c>
      <c r="D92" s="7" t="s">
        <v>1674</v>
      </c>
      <c r="E92" s="396">
        <v>4.0999999999999996</v>
      </c>
      <c r="J92" s="7" t="s">
        <v>442</v>
      </c>
      <c r="K92" s="7" t="s">
        <v>458</v>
      </c>
      <c r="L92" s="397">
        <v>4.7</v>
      </c>
    </row>
    <row r="93" spans="3:12">
      <c r="C93" s="7" t="s">
        <v>130</v>
      </c>
      <c r="D93" s="7" t="s">
        <v>1675</v>
      </c>
      <c r="E93" s="396">
        <v>4.0999999999999996</v>
      </c>
      <c r="J93" s="7" t="s">
        <v>442</v>
      </c>
      <c r="K93" s="7" t="s">
        <v>455</v>
      </c>
      <c r="L93" s="397">
        <v>4.7</v>
      </c>
    </row>
    <row r="94" spans="3:12">
      <c r="C94" s="7" t="s">
        <v>131</v>
      </c>
      <c r="D94" s="7" t="s">
        <v>1676</v>
      </c>
      <c r="E94" s="396">
        <v>4.0999999999999996</v>
      </c>
      <c r="J94" s="614" t="s">
        <v>181</v>
      </c>
      <c r="K94" s="614" t="s">
        <v>1140</v>
      </c>
      <c r="L94" s="615">
        <v>4.7</v>
      </c>
    </row>
    <row r="95" spans="3:12">
      <c r="C95" s="7" t="s">
        <v>131</v>
      </c>
      <c r="D95" s="7" t="s">
        <v>1677</v>
      </c>
      <c r="E95" s="396">
        <v>4.0999999999999996</v>
      </c>
      <c r="J95" s="7" t="s">
        <v>1312</v>
      </c>
      <c r="K95" s="7" t="s">
        <v>1311</v>
      </c>
      <c r="L95" s="396">
        <v>4.2</v>
      </c>
    </row>
    <row r="96" spans="3:12">
      <c r="C96" s="7" t="s">
        <v>132</v>
      </c>
      <c r="D96" s="7" t="s">
        <v>1678</v>
      </c>
      <c r="E96" s="396">
        <v>4.0999999999999996</v>
      </c>
      <c r="J96" s="7" t="s">
        <v>297</v>
      </c>
      <c r="K96" s="7" t="s">
        <v>1260</v>
      </c>
      <c r="L96" s="396">
        <v>4.2</v>
      </c>
    </row>
    <row r="97" spans="3:12">
      <c r="C97" s="7" t="s">
        <v>132</v>
      </c>
      <c r="D97" s="7" t="s">
        <v>1679</v>
      </c>
      <c r="E97" s="396">
        <v>4.0999999999999996</v>
      </c>
      <c r="J97" s="7" t="s">
        <v>297</v>
      </c>
      <c r="K97" s="7" t="s">
        <v>1261</v>
      </c>
      <c r="L97" s="396">
        <v>4.2</v>
      </c>
    </row>
    <row r="98" spans="3:12">
      <c r="C98" s="7" t="s">
        <v>132</v>
      </c>
      <c r="D98" s="7" t="s">
        <v>1590</v>
      </c>
      <c r="E98" s="396">
        <v>4.0999999999999996</v>
      </c>
      <c r="J98" s="7" t="s">
        <v>297</v>
      </c>
      <c r="K98" s="7" t="s">
        <v>1306</v>
      </c>
      <c r="L98" s="396">
        <v>4.2</v>
      </c>
    </row>
    <row r="99" spans="3:12">
      <c r="C99" s="7" t="s">
        <v>132</v>
      </c>
      <c r="D99" s="7" t="s">
        <v>1680</v>
      </c>
      <c r="E99" s="396">
        <v>4.0999999999999996</v>
      </c>
      <c r="J99" s="7" t="s">
        <v>297</v>
      </c>
      <c r="K99" s="7" t="s">
        <v>1307</v>
      </c>
      <c r="L99" s="396">
        <v>4.2</v>
      </c>
    </row>
    <row r="100" spans="3:12">
      <c r="C100" s="7" t="s">
        <v>132</v>
      </c>
      <c r="D100" s="7" t="s">
        <v>1681</v>
      </c>
      <c r="E100" s="396">
        <v>4.0999999999999996</v>
      </c>
      <c r="J100" s="7" t="s">
        <v>297</v>
      </c>
      <c r="K100" s="7" t="s">
        <v>1308</v>
      </c>
      <c r="L100" s="396">
        <v>4.2</v>
      </c>
    </row>
    <row r="101" spans="3:12">
      <c r="C101" s="7" t="s">
        <v>133</v>
      </c>
      <c r="D101" s="7" t="s">
        <v>140</v>
      </c>
      <c r="E101" s="396">
        <v>4.4000000000000004</v>
      </c>
      <c r="J101" s="7" t="s">
        <v>1281</v>
      </c>
      <c r="K101" s="7" t="s">
        <v>1284</v>
      </c>
      <c r="L101" s="396">
        <v>4.2</v>
      </c>
    </row>
    <row r="102" spans="3:12">
      <c r="C102" s="7" t="s">
        <v>133</v>
      </c>
      <c r="D102" s="7" t="s">
        <v>141</v>
      </c>
      <c r="E102" s="396">
        <v>4.4000000000000004</v>
      </c>
    </row>
    <row r="103" spans="3:12">
      <c r="C103" s="7" t="s">
        <v>134</v>
      </c>
      <c r="D103" s="7" t="s">
        <v>142</v>
      </c>
      <c r="E103" s="396">
        <v>4.4000000000000004</v>
      </c>
    </row>
    <row r="104" spans="3:12">
      <c r="C104" s="7" t="s">
        <v>134</v>
      </c>
      <c r="D104" s="7" t="s">
        <v>143</v>
      </c>
      <c r="E104" s="396">
        <v>4.4000000000000004</v>
      </c>
    </row>
    <row r="105" spans="3:12">
      <c r="C105" s="7" t="s">
        <v>134</v>
      </c>
      <c r="D105" s="7" t="s">
        <v>144</v>
      </c>
      <c r="E105" s="396">
        <v>4.4000000000000004</v>
      </c>
    </row>
    <row r="106" spans="3:12">
      <c r="C106" s="7" t="s">
        <v>134</v>
      </c>
      <c r="D106" s="7" t="s">
        <v>1682</v>
      </c>
      <c r="E106" s="396">
        <v>4.4000000000000004</v>
      </c>
    </row>
    <row r="107" spans="3:12">
      <c r="C107" s="7" t="s">
        <v>134</v>
      </c>
      <c r="D107" s="7" t="s">
        <v>1683</v>
      </c>
      <c r="E107" s="396">
        <v>4.4000000000000004</v>
      </c>
    </row>
    <row r="108" spans="3:12">
      <c r="C108" s="7" t="s">
        <v>1684</v>
      </c>
      <c r="D108" s="7" t="s">
        <v>1140</v>
      </c>
      <c r="E108" s="396">
        <v>4.4000000000000004</v>
      </c>
    </row>
  </sheetData>
  <sheetProtection password="9C4D" sheet="1" objects="1" scenarios="1" formatColumns="0" formatRows="0" autoFilter="0"/>
  <pageMargins left="0.25" right="0.25" top="0.75" bottom="0.75" header="0.3" footer="0.3"/>
  <pageSetup paperSize="9" scale="42"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256E2247245C34892272380726E6B93" ma:contentTypeVersion="13" ma:contentTypeDescription="Create a new document." ma:contentTypeScope="" ma:versionID="484ab24fc3c7e9641b8d2f97509f251f">
  <xsd:schema xmlns:xsd="http://www.w3.org/2001/XMLSchema" xmlns:xs="http://www.w3.org/2001/XMLSchema" xmlns:p="http://schemas.microsoft.com/office/2006/metadata/properties" xmlns:ns3="d0a831a0-6696-4432-bbc8-e6cd0c277a0d" xmlns:ns4="63fc5b73-a046-4d67-9c4a-ffc4ec2035a6" targetNamespace="http://schemas.microsoft.com/office/2006/metadata/properties" ma:root="true" ma:fieldsID="692ba9735ba20961ef0235588ccb4495" ns3:_="" ns4:_="">
    <xsd:import namespace="d0a831a0-6696-4432-bbc8-e6cd0c277a0d"/>
    <xsd:import namespace="63fc5b73-a046-4d67-9c4a-ffc4ec2035a6"/>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a831a0-6696-4432-bbc8-e6cd0c277a0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fc5b73-a046-4d67-9c4a-ffc4ec2035a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57D63AF-2CF5-4DBE-A465-F00F42842A60}">
  <ds:schemaRefs>
    <ds:schemaRef ds:uri="http://schemas.openxmlformats.org/package/2006/metadata/core-properties"/>
    <ds:schemaRef ds:uri="http://www.w3.org/XML/1998/namespace"/>
    <ds:schemaRef ds:uri="http://purl.org/dc/dcmitype/"/>
    <ds:schemaRef ds:uri="http://purl.org/dc/elements/1.1/"/>
    <ds:schemaRef ds:uri="http://schemas.microsoft.com/office/2006/documentManagement/types"/>
    <ds:schemaRef ds:uri="d0a831a0-6696-4432-bbc8-e6cd0c277a0d"/>
    <ds:schemaRef ds:uri="http://schemas.microsoft.com/office/infopath/2007/PartnerControls"/>
    <ds:schemaRef ds:uri="63fc5b73-a046-4d67-9c4a-ffc4ec2035a6"/>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F3A7C496-2038-4E93-8FDE-8E9876956DAE}">
  <ds:schemaRefs>
    <ds:schemaRef ds:uri="http://schemas.microsoft.com/sharepoint/v3/contenttype/forms"/>
  </ds:schemaRefs>
</ds:datastoreItem>
</file>

<file path=customXml/itemProps3.xml><?xml version="1.0" encoding="utf-8"?>
<ds:datastoreItem xmlns:ds="http://schemas.openxmlformats.org/officeDocument/2006/customXml" ds:itemID="{73922B47-E836-4F07-A2CA-0C24F25210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a831a0-6696-4432-bbc8-e6cd0c277a0d"/>
    <ds:schemaRef ds:uri="63fc5b73-a046-4d67-9c4a-ffc4ec2035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35</vt:i4>
      </vt:variant>
      <vt:variant>
        <vt:lpstr>Named Ranges</vt:lpstr>
      </vt:variant>
      <vt:variant>
        <vt:i4>2409</vt:i4>
      </vt:variant>
    </vt:vector>
  </HeadingPairs>
  <TitlesOfParts>
    <vt:vector size="2444" baseType="lpstr">
      <vt:lpstr>DOCUMENTS</vt:lpstr>
      <vt:lpstr>SETUP</vt:lpstr>
      <vt:lpstr>Search Product</vt:lpstr>
      <vt:lpstr>HIV-Key Info</vt:lpstr>
      <vt:lpstr>HIV-Pharmaceuticals</vt:lpstr>
      <vt:lpstr>HIV-Equipment</vt:lpstr>
      <vt:lpstr>HIV-Other HPs</vt:lpstr>
      <vt:lpstr>EBS-H</vt:lpstr>
      <vt:lpstr>HIV-Pharma</vt:lpstr>
      <vt:lpstr>HIV-Equip</vt:lpstr>
      <vt:lpstr>HIV-Other HP</vt:lpstr>
      <vt:lpstr>TB-Key Info</vt:lpstr>
      <vt:lpstr>TB-Pharmaceuticals</vt:lpstr>
      <vt:lpstr>TB-EQUIPMENT &amp; OTHER HPs</vt:lpstr>
      <vt:lpstr>TB-Pharma</vt:lpstr>
      <vt:lpstr>Extended Budget Sheet - TB</vt:lpstr>
      <vt:lpstr>TB-Other HPs</vt:lpstr>
      <vt:lpstr>Malaria-Key Info</vt:lpstr>
      <vt:lpstr>Malaria-Pharmaceuticals</vt:lpstr>
      <vt:lpstr>Malaria-Equipment &amp; Other HPs</vt:lpstr>
      <vt:lpstr>Extended Budget Sheet - Malaria</vt:lpstr>
      <vt:lpstr>Malaria-Pharma</vt:lpstr>
      <vt:lpstr>Malaria-Other HPs</vt:lpstr>
      <vt:lpstr>HPM costs</vt:lpstr>
      <vt:lpstr>RSSH- HPM &amp;Lab System</vt:lpstr>
      <vt:lpstr>Detailed Budget</vt:lpstr>
      <vt:lpstr>Cost Input SB</vt:lpstr>
      <vt:lpstr>Mod Int SB</vt:lpstr>
      <vt:lpstr>Mod Int with HIV KP SB</vt:lpstr>
      <vt:lpstr>HIV Aggregation SB</vt:lpstr>
      <vt:lpstr>Population SB</vt:lpstr>
      <vt:lpstr>Blank Pivot</vt:lpstr>
      <vt:lpstr>HPM LIST</vt:lpstr>
      <vt:lpstr>LISTS</vt:lpstr>
      <vt:lpstr>PR_Countries</vt:lpstr>
      <vt:lpstr>___</vt:lpstr>
      <vt:lpstr>__Caribbean_Vulnerable_Communities_Coalition__</vt:lpstr>
      <vt:lpstr>__International_HIV_AIDS_Alliance__</vt:lpstr>
      <vt:lpstr>__Partners_in_Health__</vt:lpstr>
      <vt:lpstr>_HIV__</vt:lpstr>
      <vt:lpstr>_HIV_Australian_Federation_Of_Aids_Organisations__Inc___</vt:lpstr>
      <vt:lpstr>_HIV_Caribbean_Community_Secretariat__</vt:lpstr>
      <vt:lpstr>_HIV_Humanist_Institute_for_Co_operation_with_Developing_Countries__</vt:lpstr>
      <vt:lpstr>_HIV_International_Charitable_Foundation__Alliance_for_Public_Health___</vt:lpstr>
      <vt:lpstr>_Malaria__</vt:lpstr>
      <vt:lpstr>_Malaria____</vt:lpstr>
      <vt:lpstr>_Malaria_Inter_American_Development_Bank__</vt:lpstr>
      <vt:lpstr>_Malaria_Lubombo_Spatial_Development_Initiative___NPC__</vt:lpstr>
      <vt:lpstr>_Malaria_Non_Profit_Association__Southern_Africa_Malaria_Elimination_Eight_Initiative_Sectretariat___</vt:lpstr>
      <vt:lpstr>_Malaria_United_Nations_Office_for_Project_Services__</vt:lpstr>
      <vt:lpstr>_Multi__</vt:lpstr>
      <vt:lpstr>_Multi____</vt:lpstr>
      <vt:lpstr>_Multi_International_Organization_for_Migration__</vt:lpstr>
      <vt:lpstr>_Multi_Organisation_of_Eastern_Caribbean_States__</vt:lpstr>
      <vt:lpstr>_TB__</vt:lpstr>
      <vt:lpstr>_TB_Center_for_Health_Policies_and_Studies__</vt:lpstr>
      <vt:lpstr>_TB_East__Central_and_Southern_Africa_Health_Community__</vt:lpstr>
      <vt:lpstr>_TB_Intergovernmental_Authority_on_Development__</vt:lpstr>
      <vt:lpstr>_TB_Programme_National_contre_la_Tuberculose_de_la_R_publique_du_B_nin__</vt:lpstr>
      <vt:lpstr>_TB_United_Nations_Development_Programme__</vt:lpstr>
      <vt:lpstr>_TB_United_Nations_Office_for_Project_Services__</vt:lpstr>
      <vt:lpstr>_TB_Wits_Health_Consortium__Pty__Ltd__</vt:lpstr>
      <vt:lpstr>Abacavir</vt:lpstr>
      <vt:lpstr>Abacavir_Lamivudine</vt:lpstr>
      <vt:lpstr>Abacavir_Lamivudine_Zidovudine</vt:lpstr>
      <vt:lpstr>Abbott</vt:lpstr>
      <vt:lpstr>AbbottEquip</vt:lpstr>
      <vt:lpstr>Aciclovir</vt:lpstr>
      <vt:lpstr>Afghanistan_HIV__</vt:lpstr>
      <vt:lpstr>Afghanistan_HIV__USD</vt:lpstr>
      <vt:lpstr>Afghanistan_HIV_Ministry_of_Public_Health_of_the_Islamic_Republic_of_Afghanistan_USD</vt:lpstr>
      <vt:lpstr>Afghanistan_HIV_United_Nations_Development_Programme_USD</vt:lpstr>
      <vt:lpstr>Afghanistan_HIV_USD</vt:lpstr>
      <vt:lpstr>Afghanistan_Malaria__</vt:lpstr>
      <vt:lpstr>Afghanistan_Malaria__EUR</vt:lpstr>
      <vt:lpstr>Afghanistan_Malaria__USD</vt:lpstr>
      <vt:lpstr>Afghanistan_Malaria_United_Nations_Development_Programme_USD</vt:lpstr>
      <vt:lpstr>Afghanistan_Malaria_USD</vt:lpstr>
      <vt:lpstr>Afghanistan_Multi_</vt:lpstr>
      <vt:lpstr>Afghanistan_Multi__</vt:lpstr>
      <vt:lpstr>Afghanistan_Multi_United_Nations_Development_Programme_</vt:lpstr>
      <vt:lpstr>Afghanistan_RSSH__USD</vt:lpstr>
      <vt:lpstr>Afghanistan_RSSH_Ministry_of_Public_Health_of_the_Islamic_Republic_of_Afghanistan_USD</vt:lpstr>
      <vt:lpstr>Afghanistan_RSSH_United_Nations_Development_Programme_USD</vt:lpstr>
      <vt:lpstr>Afghanistan_RSSH_USD</vt:lpstr>
      <vt:lpstr>Afghanistan_TB__</vt:lpstr>
      <vt:lpstr>Afghanistan_TB__EUR</vt:lpstr>
      <vt:lpstr>Afghanistan_TB__USD</vt:lpstr>
      <vt:lpstr>Afghanistan_TB_Ministry_of_Public_Health_of_the_Islamic_Republic_of_Afghanistan_USD</vt:lpstr>
      <vt:lpstr>Afghanistan_TB_United_Nations_Development_Programme_USD</vt:lpstr>
      <vt:lpstr>Afghanistan_TB_USD</vt:lpstr>
      <vt:lpstr>Africa_HIV_African_Network_for_the_Care_of_Children_Affected_by_HIV_AIDS_USD</vt:lpstr>
      <vt:lpstr>Africa_HIV_Humanist_Institute_for_Co_operation_with_Developing_Countries_USD</vt:lpstr>
      <vt:lpstr>Africa_HIV_Southern_African_Development_Community_Secretariat_USD</vt:lpstr>
      <vt:lpstr>Africa_HIV_United_Nations_Development_Programme_USD</vt:lpstr>
      <vt:lpstr>Africa_HIV_USD</vt:lpstr>
      <vt:lpstr>Africa_Malaria__USD</vt:lpstr>
      <vt:lpstr>Africa_Malaria_Lubombo_Spatial_Development_Initiative___NPC_USD</vt:lpstr>
      <vt:lpstr>Africa_Malaria_Non_Profit_Association__Southern_Africa_Malaria_Elimination_Eight_Initiative_Sectretariat__USD</vt:lpstr>
      <vt:lpstr>Africa_Malaria_USD</vt:lpstr>
      <vt:lpstr>Africa_Multi_Intergovernmental_Authority_on_Development_USD</vt:lpstr>
      <vt:lpstr>Africa_Multi_USD</vt:lpstr>
      <vt:lpstr>Africa_TB_East__Central_and_Southern_Africa_Health_Community_USD</vt:lpstr>
      <vt:lpstr>Africa_TB_EUR</vt:lpstr>
      <vt:lpstr>Africa_TB_Programme_National_contre_la_Tuberculose_de_la_R_publique_du_B_nin_EUR</vt:lpstr>
      <vt:lpstr>Africa_TB_USD</vt:lpstr>
      <vt:lpstr>Africa_TB_Wits_Health_Consortium__Pty__Ltd_USD</vt:lpstr>
      <vt:lpstr>Albania_HIV__USD</vt:lpstr>
      <vt:lpstr>Albania_Multi_</vt:lpstr>
      <vt:lpstr>Albania_Multi_Ministry_of_Health_of_the_Republic_of_Albania_</vt:lpstr>
      <vt:lpstr>Albania_Multi_Ministry_of_Health_of_the_Republic_of_Albania_USD</vt:lpstr>
      <vt:lpstr>Albania_Multi_USD</vt:lpstr>
      <vt:lpstr>Albania_TB__USD</vt:lpstr>
      <vt:lpstr>Alere_PIMA</vt:lpstr>
      <vt:lpstr>Alere_PIMA_Consumables</vt:lpstr>
      <vt:lpstr>Alere_PIMA_Other_reagents</vt:lpstr>
      <vt:lpstr>Algeria_HIV_</vt:lpstr>
      <vt:lpstr>Algeria_HIV__USD</vt:lpstr>
      <vt:lpstr>Algeria_HIV_Ministry_of_Health__Population_and_Hospital_Reform_of_the_People_s_Democratic_Republic_of_Algeria_</vt:lpstr>
      <vt:lpstr>Algeria_HIV_Ministry_of_Health__Population_and_Hospital_Reform_of_the_People_s_Democratic_Republic_of_Algeria_USD</vt:lpstr>
      <vt:lpstr>Algeria_HIV_USD</vt:lpstr>
      <vt:lpstr>Americas_HIV__USD</vt:lpstr>
      <vt:lpstr>Americas_HIV_Caribbean_Community_Secretariat_USD</vt:lpstr>
      <vt:lpstr>Americas_HIV_Caribbean_Vulnerable_Communities_Coalition_USD</vt:lpstr>
      <vt:lpstr>Americas_HIV_Humanist_Institute_for_Co_operation_with_Developing_Countries_USD</vt:lpstr>
      <vt:lpstr>Americas_HIV_International_Organization_for_Migration_USD</vt:lpstr>
      <vt:lpstr>Americas_HIV_United_Nations_Development_Programme_USD</vt:lpstr>
      <vt:lpstr>Americas_HIV_USD</vt:lpstr>
      <vt:lpstr>Americas_Malaria_Inter_American_Bank_USD</vt:lpstr>
      <vt:lpstr>Americas_Malaria_Population_Services_International_USD</vt:lpstr>
      <vt:lpstr>Americas_Malaria_USD</vt:lpstr>
      <vt:lpstr>Americas_TB_Organismo_Andino_de_Salud___Convenio_Hip_lito_Unanue_USD</vt:lpstr>
      <vt:lpstr>Americas_TB_Partners_In_Health_USD</vt:lpstr>
      <vt:lpstr>Americas_TB_USD</vt:lpstr>
      <vt:lpstr>Amikacin</vt:lpstr>
      <vt:lpstr>Amitriptyline_as_hydrochloride</vt:lpstr>
      <vt:lpstr>Amodiaquine_Sulfadoxine_Pyrimethamine</vt:lpstr>
      <vt:lpstr>Amoxicillin</vt:lpstr>
      <vt:lpstr>Amoxicillin_Clavulanic_acid</vt:lpstr>
      <vt:lpstr>Amphotericin_b_liposome</vt:lpstr>
      <vt:lpstr>Ampicillin</vt:lpstr>
      <vt:lpstr>Angola_HIV__</vt:lpstr>
      <vt:lpstr>Angola_HIV_United_Nations_Development_Programme_USD</vt:lpstr>
      <vt:lpstr>Angola_HIV_USD</vt:lpstr>
      <vt:lpstr>Angola_Malaria_</vt:lpstr>
      <vt:lpstr>Angola_Malaria__USD</vt:lpstr>
      <vt:lpstr>Angola_Malaria_Ministry_of_Health_of_the_Republic_of_Angola_USD</vt:lpstr>
      <vt:lpstr>Angola_Malaria_USD</vt:lpstr>
      <vt:lpstr>Angola_Malaria_World_Vision_International_</vt:lpstr>
      <vt:lpstr>Angola_Malaria_World_Vision_International_USD</vt:lpstr>
      <vt:lpstr>Angola_Multi_</vt:lpstr>
      <vt:lpstr>Angola_Multi__</vt:lpstr>
      <vt:lpstr>Angola_Multi_United_Nations_Development_Programme_</vt:lpstr>
      <vt:lpstr>Angola_RSSH_</vt:lpstr>
      <vt:lpstr>Angola_RSSH__</vt:lpstr>
      <vt:lpstr>Angola_RSSH_United_Nations_Development_Programme_</vt:lpstr>
      <vt:lpstr>Angola_TB__USD</vt:lpstr>
      <vt:lpstr>Angola_TB_Ministry_of_Health_of_the_Republic_of_Angola_USD</vt:lpstr>
      <vt:lpstr>Angola_TB_USD</vt:lpstr>
      <vt:lpstr>Antimalaria_medicines_prevention</vt:lpstr>
      <vt:lpstr>Antimalaria_medicines_treatment</vt:lpstr>
      <vt:lpstr>Argentina_HIV__USD</vt:lpstr>
      <vt:lpstr>Armenia_HIV_</vt:lpstr>
      <vt:lpstr>Armenia_HIV__EUR</vt:lpstr>
      <vt:lpstr>Armenia_HIV__USD</vt:lpstr>
      <vt:lpstr>Armenia_HIV_EUR</vt:lpstr>
      <vt:lpstr>Armenia_HIV_Ministry_of_Health_of_the_Republic_of_Armenia_</vt:lpstr>
      <vt:lpstr>Armenia_HIV_Ministry_of_Health_of_the_Republic_of_Armenia_EUR</vt:lpstr>
      <vt:lpstr>Armenia_HIV_Ministry_of_Health_of_the_Republic_of_Armenia_USD</vt:lpstr>
      <vt:lpstr>Armenia_HIV_Mission_East_USD</vt:lpstr>
      <vt:lpstr>Armenia_HIV_USD</vt:lpstr>
      <vt:lpstr>Armenia_Multi_</vt:lpstr>
      <vt:lpstr>Armenia_Multi_Ministry_of_Health_of_the_Republic_of_Armenia_</vt:lpstr>
      <vt:lpstr>Armenia_Multi_Ministry_of_Health_of_the_Republic_of_Armenia_USD</vt:lpstr>
      <vt:lpstr>Armenia_Multi_USD</vt:lpstr>
      <vt:lpstr>Armenia_RSSH__EUR</vt:lpstr>
      <vt:lpstr>Armenia_TB_</vt:lpstr>
      <vt:lpstr>Armenia_TB__</vt:lpstr>
      <vt:lpstr>Armenia_TB__EUR</vt:lpstr>
      <vt:lpstr>Armenia_TB__USD</vt:lpstr>
      <vt:lpstr>Armenia_TB_Ministry_of_Health_of_the_Republic_of_Armenia_</vt:lpstr>
      <vt:lpstr>Armenia_TB_Ministry_of_Health_of_the_Republic_of_Armenia_USD</vt:lpstr>
      <vt:lpstr>Armenia_TB_USD</vt:lpstr>
      <vt:lpstr>Artemether</vt:lpstr>
      <vt:lpstr>Artemether_Lumefantrine</vt:lpstr>
      <vt:lpstr>Artesunate</vt:lpstr>
      <vt:lpstr>Artesunate_amodiaquine</vt:lpstr>
      <vt:lpstr>Artesunate_Mefloquine</vt:lpstr>
      <vt:lpstr>Artesunate_Pyronaridine</vt:lpstr>
      <vt:lpstr>Artesunate_Sulfadoxine_Pyrimethamine</vt:lpstr>
      <vt:lpstr>ARVs</vt:lpstr>
      <vt:lpstr>Asia_HIV_India_HIV_AIDS_Alliance_USD</vt:lpstr>
      <vt:lpstr>Asia_HIV_USD</vt:lpstr>
      <vt:lpstr>At_delivery</vt:lpstr>
      <vt:lpstr>Atazanavir</vt:lpstr>
      <vt:lpstr>Atazanavir_Ritonavir</vt:lpstr>
      <vt:lpstr>Atazanavir_Ritonavir_Lamivudine_Zidovudine</vt:lpstr>
      <vt:lpstr>Autoclave_for_laboratory</vt:lpstr>
      <vt:lpstr>Autoclave_for_laboratory_Spare_parts_and_accessories</vt:lpstr>
      <vt:lpstr>Autoclave_for_waste_management</vt:lpstr>
      <vt:lpstr>Autoclave_for_waste_management_Spare_parts_and_accessories</vt:lpstr>
      <vt:lpstr>Automated_blood_culture_system_system_for_incubating_and_processing_blood_cultures</vt:lpstr>
      <vt:lpstr>Azerbaijan_HIV_</vt:lpstr>
      <vt:lpstr>Azerbaijan_HIV__</vt:lpstr>
      <vt:lpstr>Azerbaijan_HIV__USD</vt:lpstr>
      <vt:lpstr>Azerbaijan_HIV_EUR</vt:lpstr>
      <vt:lpstr>Azerbaijan_HIV_Ministry_of_Health_of_the_Republic_of_Azerbaijan_</vt:lpstr>
      <vt:lpstr>Azerbaijan_HIV_Ministry_of_Health_of_the_Republic_of_Azerbaijan_EUR</vt:lpstr>
      <vt:lpstr>Azerbaijan_HIV_Ministry_of_Health_of_the_Republic_of_Azerbaijan_USD</vt:lpstr>
      <vt:lpstr>Azerbaijan_HIV_USD</vt:lpstr>
      <vt:lpstr>Azerbaijan_Malaria__EUR</vt:lpstr>
      <vt:lpstr>Azerbaijan_Multi__</vt:lpstr>
      <vt:lpstr>Azerbaijan_TB_</vt:lpstr>
      <vt:lpstr>Azerbaijan_TB__</vt:lpstr>
      <vt:lpstr>Azerbaijan_TB__EUR</vt:lpstr>
      <vt:lpstr>Azerbaijan_TB_EUR</vt:lpstr>
      <vt:lpstr>Azerbaijan_TB_Main_Medical_Department_of_the_Ministry_of_Justice_of_the_Republic_of_Azerbaijan_EUR</vt:lpstr>
      <vt:lpstr>Azerbaijan_TB_Ministry_of_Health_of_the_Republic_of_Azerbaijan_</vt:lpstr>
      <vt:lpstr>Azerbaijan_TB_Ministry_of_Health_of_the_Republic_of_Azerbaijan_EUR</vt:lpstr>
      <vt:lpstr>Azerbaijan_TB_Ministry_of_Health_of_the_Republic_of_Azerbaijan_USD</vt:lpstr>
      <vt:lpstr>Azerbaijan_TB_USD</vt:lpstr>
      <vt:lpstr>Azithromycin</vt:lpstr>
      <vt:lpstr>Bangladesh_HIV_</vt:lpstr>
      <vt:lpstr>Bangladesh_HIV__</vt:lpstr>
      <vt:lpstr>Bangladesh_HIV__USD</vt:lpstr>
      <vt:lpstr>Bangladesh_HIV_Economic_Relations_Division__Ministry_of_Finance_of_the_People_s_Republic_of_Bangladesh_</vt:lpstr>
      <vt:lpstr>Bangladesh_HIV_Economic_Relations_Division__Ministry_of_Finance_of_the_People_s_Republic_of_Bangladesh_USD</vt:lpstr>
      <vt:lpstr>Bangladesh_HIV_International_Centre_for_Diarrhoeal_Disease_Research_of_the_People_s_Republic_of_Bangladesh_USD</vt:lpstr>
      <vt:lpstr>Bangladesh_HIV_Save_the_Children_Federation__Inc__USD</vt:lpstr>
      <vt:lpstr>Bangladesh_HIV_USD</vt:lpstr>
      <vt:lpstr>Bangladesh_Malaria_</vt:lpstr>
      <vt:lpstr>Bangladesh_Malaria__</vt:lpstr>
      <vt:lpstr>Bangladesh_Malaria__USD</vt:lpstr>
      <vt:lpstr>Bangladesh_Malaria_BRAC_USD</vt:lpstr>
      <vt:lpstr>Bangladesh_Malaria_Economic_Relations_Division__Ministry_of_Finance_of_the_People_s_Republic_of_Bangladesh_</vt:lpstr>
      <vt:lpstr>Bangladesh_Malaria_Economic_Relations_Division__Ministry_of_Finance_of_the_People_s_Republic_of_Bangladesh_USD</vt:lpstr>
      <vt:lpstr>Bangladesh_Malaria_USD</vt:lpstr>
      <vt:lpstr>Bangladesh_TB_</vt:lpstr>
      <vt:lpstr>Bangladesh_TB__</vt:lpstr>
      <vt:lpstr>Bangladesh_TB__USD</vt:lpstr>
      <vt:lpstr>Bangladesh_TB_BRAC_USD</vt:lpstr>
      <vt:lpstr>Bangladesh_TB_Economic_Relations_Division__Ministry_of_Finance_of_the_People_s_Republic_of_Bangladesh_</vt:lpstr>
      <vt:lpstr>Bangladesh_TB_Economic_Relations_Division__Ministry_of_Finance_of_the_People_s_Republic_of_Bangladesh_USD</vt:lpstr>
      <vt:lpstr>Bangladesh_TB_USD</vt:lpstr>
      <vt:lpstr>BD_FACS</vt:lpstr>
      <vt:lpstr>BD_FACS_Consumables</vt:lpstr>
      <vt:lpstr>BD_FACS_Other_reagents</vt:lpstr>
      <vt:lpstr>BD_FACSCount</vt:lpstr>
      <vt:lpstr>BD_Multicheck</vt:lpstr>
      <vt:lpstr>BD_Multitest</vt:lpstr>
      <vt:lpstr>Bedaquiline</vt:lpstr>
      <vt:lpstr>Belarus_HIV_</vt:lpstr>
      <vt:lpstr>Belarus_HIV__</vt:lpstr>
      <vt:lpstr>Belarus_HIV__EUR</vt:lpstr>
      <vt:lpstr>Belarus_HIV__USD</vt:lpstr>
      <vt:lpstr>Belarus_HIV_Republican_Scientific_and_Practical_Center_for_Medical_Technologies__Informatization__Administration_and_Management_of_Health_</vt:lpstr>
      <vt:lpstr>Belarus_HIV_Republican_Scientific_and_Practical_Center_for_Medical_Technologies__Informatization__Administration_and_Management_of_Health_USD</vt:lpstr>
      <vt:lpstr>Belarus_HIV_United_Nations_Development_Programme_USD</vt:lpstr>
      <vt:lpstr>Belarus_HIV_USD</vt:lpstr>
      <vt:lpstr>Belarus_Multi_</vt:lpstr>
      <vt:lpstr>Belarus_Multi__</vt:lpstr>
      <vt:lpstr>Belarus_Multi_Republican_Scientific_and_Practical_Center_for_Medical_Technologies__Informatization__Administration_and_Management_of_Health_</vt:lpstr>
      <vt:lpstr>Belarus_Multi_Republican_Scientific_and_Practical_Center_for_Medical_Technologies__Informatization__Administration_and_Management_of_Health_USD</vt:lpstr>
      <vt:lpstr>Belarus_Multi_USD</vt:lpstr>
      <vt:lpstr>Belarus_TB_</vt:lpstr>
      <vt:lpstr>Belarus_TB__</vt:lpstr>
      <vt:lpstr>Belarus_TB__USD</vt:lpstr>
      <vt:lpstr>Belarus_TB_Republican_Scientific_and_Practical_Center_for_Medical_Technologies__Informatization__Administration_and_Management_of_Health_</vt:lpstr>
      <vt:lpstr>Belarus_TB_Republican_Scientific_and_Practical_Center_for_Medical_Technologies__Informatization__Administration_and_Management_of_Health_USD</vt:lpstr>
      <vt:lpstr>Belarus_TB_United_Nations_Development_Programme_USD</vt:lpstr>
      <vt:lpstr>Belarus_TB_USD</vt:lpstr>
      <vt:lpstr>Belize_HIV__USD</vt:lpstr>
      <vt:lpstr>Belize_HIV_United_Nations_Development_Programme_USD</vt:lpstr>
      <vt:lpstr>Belize_HIV_USD</vt:lpstr>
      <vt:lpstr>Belize_Multi_</vt:lpstr>
      <vt:lpstr>Belize_Multi_United_Nations_Development_Programme_</vt:lpstr>
      <vt:lpstr>Belize_Multi_United_Nations_Development_Programme_USD</vt:lpstr>
      <vt:lpstr>Belize_Multi_USD</vt:lpstr>
      <vt:lpstr>Benin_HIV_</vt:lpstr>
      <vt:lpstr>Benin_HIV__EUR</vt:lpstr>
      <vt:lpstr>Benin_HIV__USD</vt:lpstr>
      <vt:lpstr>Benin_HIV_EUR</vt:lpstr>
      <vt:lpstr>Benin_HIV_Plan_International__Inc__EUR</vt:lpstr>
      <vt:lpstr>Benin_HIV_Programme_National_de_Lutte_contre_le_SIDA_de_la_R_publique_du_B_nin_</vt:lpstr>
      <vt:lpstr>Benin_HIV_Programme_National_de_Lutte_contre_le_SIDA_de_la_R_publique_du_B_nin_EUR</vt:lpstr>
      <vt:lpstr>Benin_Malaria_</vt:lpstr>
      <vt:lpstr>Benin_Malaria__</vt:lpstr>
      <vt:lpstr>Benin_Malaria__USD</vt:lpstr>
      <vt:lpstr>Benin_Malaria_Africare_USD</vt:lpstr>
      <vt:lpstr>Benin_Malaria_Catholic_Relief_Services___United_States_Conference_of_Catholic_Bishops_EUR</vt:lpstr>
      <vt:lpstr>Benin_Malaria_EUR</vt:lpstr>
      <vt:lpstr>Benin_Malaria_Programme_National_de_Lutte_contre_le_Paludisme_de_la_R_publique_du_B_nin_</vt:lpstr>
      <vt:lpstr>Benin_Malaria_Programme_National_de_Lutte_contre_le_Paludisme_de_la_R_publique_du_B_nin_EUR</vt:lpstr>
      <vt:lpstr>Benin_Malaria_USD</vt:lpstr>
      <vt:lpstr>Benin_RSSH_</vt:lpstr>
      <vt:lpstr>Benin_RSSH__</vt:lpstr>
      <vt:lpstr>Benin_RSSH_Conseil_National_de_Lutte_contre_le_VIH_SIDA__la_Tuberculose__le_Paludisme__les_H_patites__les_Infections_sexuellement_transmissibles_et_les_Epid_mies_</vt:lpstr>
      <vt:lpstr>Benin_RSSH_Conseil_National_de_Lutte_contre_le_VIH_SIDA__la_Tuberculose__le_Paludisme__les_H_patites__les_Infections_sexuellement_transmissibles_et_les_Epid_mies_EUR</vt:lpstr>
      <vt:lpstr>Benin_RSSH_EUR</vt:lpstr>
      <vt:lpstr>Benin_RSSH_Health_System_Performance_Program_EUR</vt:lpstr>
      <vt:lpstr>Benin_TB_</vt:lpstr>
      <vt:lpstr>Benin_TB__EUR</vt:lpstr>
      <vt:lpstr>Benin_TB__USD</vt:lpstr>
      <vt:lpstr>Benin_TB_EUR</vt:lpstr>
      <vt:lpstr>Benin_TB_Programme_National_contre_la_Tuberculose_de_la_R_publique_du_B_nin_</vt:lpstr>
      <vt:lpstr>Benin_TB_Programme_National_contre_la_Tuberculose_de_la_R_publique_du_B_nin_EUR</vt:lpstr>
      <vt:lpstr>Benzathine_penicillin</vt:lpstr>
      <vt:lpstr>Bhutan_HIV_</vt:lpstr>
      <vt:lpstr>Bhutan_HIV__USD</vt:lpstr>
      <vt:lpstr>Bhutan_HIV_Ministry_of_Health_of_the_Royal_Government_of_Bhutan_</vt:lpstr>
      <vt:lpstr>Bhutan_HIV_Ministry_of_Health_of_the_Royal_Government_of_Bhutan_USD</vt:lpstr>
      <vt:lpstr>Bhutan_HIV_USD</vt:lpstr>
      <vt:lpstr>Bhutan_Malaria_</vt:lpstr>
      <vt:lpstr>Bhutan_Malaria__USD</vt:lpstr>
      <vt:lpstr>Bhutan_Malaria_Ministry_of_Health_of_the_Royal_Government_of_Bhutan_</vt:lpstr>
      <vt:lpstr>Bhutan_Malaria_Ministry_of_Health_of_the_Royal_Government_of_Bhutan_USD</vt:lpstr>
      <vt:lpstr>Bhutan_Malaria_USD</vt:lpstr>
      <vt:lpstr>Bhutan_Multi__</vt:lpstr>
      <vt:lpstr>Bhutan_TB_</vt:lpstr>
      <vt:lpstr>Bhutan_TB__USD</vt:lpstr>
      <vt:lpstr>Bhutan_TB_Ministry_of_Health_of_the_Royal_Government_of_Bhutan_</vt:lpstr>
      <vt:lpstr>Bhutan_TB_Ministry_of_Health_of_the_Royal_Government_of_Bhutan_USD</vt:lpstr>
      <vt:lpstr>Bhutan_TB_USD</vt:lpstr>
      <vt:lpstr>Biological_Safety_Cabinet</vt:lpstr>
      <vt:lpstr>bioMerieux</vt:lpstr>
      <vt:lpstr>Bleomycin</vt:lpstr>
      <vt:lpstr>Bolivia__Plurinational_State__HIV_</vt:lpstr>
      <vt:lpstr>Bolivia__Plurinational_State__HIV__USD</vt:lpstr>
      <vt:lpstr>Bolivia__Plurinational_State__HIV_Humanist_Institute_for_Co_operation_with_Developing_Countries_</vt:lpstr>
      <vt:lpstr>Bolivia__Plurinational_State__HIV_Humanist_Institute_for_Co_operation_with_Developing_Countries_USD</vt:lpstr>
      <vt:lpstr>Bolivia__Plurinational_State__HIV_USD</vt:lpstr>
      <vt:lpstr>Bolivia__Plurinational_State__Malaria_</vt:lpstr>
      <vt:lpstr>Bolivia__Plurinational_State__Malaria__USD</vt:lpstr>
      <vt:lpstr>Bolivia__Plurinational_State__Malaria_United_Nations_Development_Programme_</vt:lpstr>
      <vt:lpstr>Bolivia__Plurinational_State__Malaria_United_Nations_Development_Programme_USD</vt:lpstr>
      <vt:lpstr>Bolivia__Plurinational_State__Malaria_USD</vt:lpstr>
      <vt:lpstr>Bolivia__Plurinational_State__TB_</vt:lpstr>
      <vt:lpstr>Bolivia__Plurinational_State__TB__USD</vt:lpstr>
      <vt:lpstr>Bolivia__Plurinational_State__TB_Asociaci_n_Protecci_n_a_la_Salud_USD</vt:lpstr>
      <vt:lpstr>Bolivia__Plurinational_State__TB_United_Nations_Development_Programme_</vt:lpstr>
      <vt:lpstr>Bolivia__Plurinational_State__TB_United_Nations_Development_Programme_USD</vt:lpstr>
      <vt:lpstr>Bolivia__Plurinational_State__TB_USD</vt:lpstr>
      <vt:lpstr>Bosnia_and_Herzegovina_HIV__USD</vt:lpstr>
      <vt:lpstr>Bosnia_and_Herzegovina_HIV_EUR</vt:lpstr>
      <vt:lpstr>Bosnia_and_Herzegovina_HIV_United_Nations_Development_Programme_EUR</vt:lpstr>
      <vt:lpstr>Bosnia_and_Herzegovina_TB__USD</vt:lpstr>
      <vt:lpstr>Bosnia_and_Herzegovina_TB_United_Nations_Development_Programme_USD</vt:lpstr>
      <vt:lpstr>Bosnia_and_Herzegovina_TB_USD</vt:lpstr>
      <vt:lpstr>Botswana_HIV__USD</vt:lpstr>
      <vt:lpstr>Botswana_Malaria_</vt:lpstr>
      <vt:lpstr>Botswana_Malaria_Ministry_of_Health_of_the_Republic_of_Botswana_</vt:lpstr>
      <vt:lpstr>Botswana_Malaria_Ministry_of_Health_of_the_Republic_of_Botswana_USD</vt:lpstr>
      <vt:lpstr>Botswana_Malaria_USD</vt:lpstr>
      <vt:lpstr>Botswana_Multi_</vt:lpstr>
      <vt:lpstr>Botswana_Multi_African_Comprehensive_HIV_AIDS_Partnerships_</vt:lpstr>
      <vt:lpstr>Botswana_Multi_African_Comprehensive_HIV_AIDS_Partnerships_USD</vt:lpstr>
      <vt:lpstr>Botswana_Multi_Ministry_of_Health_of_the_Republic_of_Botswana_USD</vt:lpstr>
      <vt:lpstr>Botswana_Multi_USD</vt:lpstr>
      <vt:lpstr>Botswana_TB__USD</vt:lpstr>
      <vt:lpstr>Brazil_Malaria__EUR</vt:lpstr>
      <vt:lpstr>Brazil_TB__USD</vt:lpstr>
      <vt:lpstr>Bulgaria_HIV_Ministry_of_Health_of_the_Republic_of_Bulgaria_USD</vt:lpstr>
      <vt:lpstr>Bulgaria_HIV_USD</vt:lpstr>
      <vt:lpstr>Bulgaria_TB__EUR</vt:lpstr>
      <vt:lpstr>Bulgaria_TB_EUR</vt:lpstr>
      <vt:lpstr>Bulgaria_TB_Ministry_of_Health_of_the_Republic_of_Bulgaria_EUR</vt:lpstr>
      <vt:lpstr>Buprenorphine_opioid_substitute</vt:lpstr>
      <vt:lpstr>Burkina_Faso_HIV_</vt:lpstr>
      <vt:lpstr>Burkina_Faso_HIV__EUR</vt:lpstr>
      <vt:lpstr>Burkina_Faso_HIV__USD</vt:lpstr>
      <vt:lpstr>Burkina_Faso_HIV_EUR</vt:lpstr>
      <vt:lpstr>Burkina_Faso_HIV_Initiative_Priv_e_et_Communautaire_contre_le_VIH_SIDA_au_Burkina_Faso_EUR</vt:lpstr>
      <vt:lpstr>Burkina_Faso_HIV_Secr_tariat_Permanent_du_Conseil_National_de_Lutte_contre_le_Sida_et_les_IST_du_Burkina_Faso_</vt:lpstr>
      <vt:lpstr>Burkina_Faso_HIV_Secr_tariat_Permanent_du_Conseil_National_de_Lutte_contre_le_Sida_et_les_IST_du_Burkina_Faso_EUR</vt:lpstr>
      <vt:lpstr>Burkina_Faso_Malaria_</vt:lpstr>
      <vt:lpstr>Burkina_Faso_Malaria__</vt:lpstr>
      <vt:lpstr>Burkina_Faso_Malaria__EUR</vt:lpstr>
      <vt:lpstr>Burkina_Faso_Malaria__USD</vt:lpstr>
      <vt:lpstr>Burkina_Faso_Malaria_EUR</vt:lpstr>
      <vt:lpstr>Burkina_Faso_Malaria_Plan_International__Inc__EUR</vt:lpstr>
      <vt:lpstr>Burkina_Faso_Malaria_Programme_d_Appui_au_D_veloppment_Sanitaire_du_Burkina_Faso_</vt:lpstr>
      <vt:lpstr>Burkina_Faso_Malaria_Programme_d_Appui_au_D_veloppment_Sanitaire_du_Burkina_Faso_EUR</vt:lpstr>
      <vt:lpstr>Burkina_Faso_Multi_EUR</vt:lpstr>
      <vt:lpstr>Burkina_Faso_Multi_Initiative_Priv_e_et_Communautaire_contre_le_VIH_SIDA_au_Burkina_Faso_EUR</vt:lpstr>
      <vt:lpstr>Burkina_Faso_RSSH_EUR</vt:lpstr>
      <vt:lpstr>Burkina_Faso_RSSH_Programme_d_Appui_au_D_veloppment_Sanitaire_du_Burkina_Faso_EUR</vt:lpstr>
      <vt:lpstr>Burkina_Faso_TB_</vt:lpstr>
      <vt:lpstr>Burkina_Faso_TB__EUR</vt:lpstr>
      <vt:lpstr>Burkina_Faso_TB__USD</vt:lpstr>
      <vt:lpstr>Burkina_Faso_TB_EUR</vt:lpstr>
      <vt:lpstr>Burkina_Faso_TB_Programme_d_Appui_au_D_veloppment_Sanitaire_du_Burkina_Faso_</vt:lpstr>
      <vt:lpstr>Burkina_Faso_TB_Programme_d_Appui_au_D_veloppment_Sanitaire_du_Burkina_Faso_EUR</vt:lpstr>
      <vt:lpstr>Burkina_Faso_TB_Secr_tariat_Permanent_du_Conseil_National_de_Lutte_contre_le_Sida_et_les_IST_du_Burkina_Faso_EUR</vt:lpstr>
      <vt:lpstr>Burundi___</vt:lpstr>
      <vt:lpstr>Burundi___United_Nations_Development_Programme_</vt:lpstr>
      <vt:lpstr>Burundi_HIV_</vt:lpstr>
      <vt:lpstr>Burundi_HIV__USD</vt:lpstr>
      <vt:lpstr>Burundi_HIV_Ministry_of_Public_Health_and_Fight_against_AIDS_of_the_Republic_of_Burundi_USD</vt:lpstr>
      <vt:lpstr>Burundi_HIV_R_seau_Burundais_des_Personnes_Vivant_avec_le_VIH_SIDA_USD</vt:lpstr>
      <vt:lpstr>Burundi_HIV_Secr_tariat_Ex_cutif_Permanent_du_Conseil_National_de_Lutte_contre_le_SIDA_USD</vt:lpstr>
      <vt:lpstr>Burundi_HIV_United_Nations_Development_Programme_</vt:lpstr>
      <vt:lpstr>Burundi_HIV_USD</vt:lpstr>
      <vt:lpstr>Burundi_Malaria__</vt:lpstr>
      <vt:lpstr>Burundi_Malaria__USD</vt:lpstr>
      <vt:lpstr>Burundi_Malaria_CED_Caritas_USD</vt:lpstr>
      <vt:lpstr>Burundi_Malaria_Ministry_of_Public_Health_and_Fight_against_AIDS_of_the_Republic_of_Burundi_USD</vt:lpstr>
      <vt:lpstr>Burundi_Malaria_Secr_tariat_Ex_cutif_Permanent_du_Conseil_National_de_Lutte_contre_le_SIDA_USD</vt:lpstr>
      <vt:lpstr>Burundi_Malaria_United_Nations_Development_Programme_USD</vt:lpstr>
      <vt:lpstr>Burundi_Malaria_USD</vt:lpstr>
      <vt:lpstr>Burundi_Multi_</vt:lpstr>
      <vt:lpstr>Burundi_Multi__</vt:lpstr>
      <vt:lpstr>Burundi_Multi_Ministry_of_Public_Health_and_Fight_against_AIDS_of_the_Republic_of_Burundi_</vt:lpstr>
      <vt:lpstr>Burundi_Multi_Red_Cross_Burundi_</vt:lpstr>
      <vt:lpstr>Burundi_Multi_Red_Cross_Burundi_USD</vt:lpstr>
      <vt:lpstr>Burundi_Multi_United_Nations_Development_Programme_USD</vt:lpstr>
      <vt:lpstr>Burundi_Multi_USD</vt:lpstr>
      <vt:lpstr>Burundi_TB__USD</vt:lpstr>
      <vt:lpstr>Burundi_TB_Ministry_of_Public_Health_and_Fight_against_AIDS_of_the_Republic_of_Burundi_USD</vt:lpstr>
      <vt:lpstr>Burundi_TB_National_Integrated_Programme_Against_Leprosy_and_Tuberculosis_USD</vt:lpstr>
      <vt:lpstr>Burundi_TB_USD</vt:lpstr>
      <vt:lpstr>C_te_d_Ivoire_HIV_</vt:lpstr>
      <vt:lpstr>C_te_d_Ivoire_HIV__</vt:lpstr>
      <vt:lpstr>C_te_d_Ivoire_HIV__EUR</vt:lpstr>
      <vt:lpstr>C_te_d_Ivoire_HIV__USD</vt:lpstr>
      <vt:lpstr>C_te_d_Ivoire_HIV_Alliance_Nationale_Contre_Le_Sida_en_Cote_D_Ivoire_EUR</vt:lpstr>
      <vt:lpstr>C_te_d_Ivoire_HIV_EUR</vt:lpstr>
      <vt:lpstr>C_te_d_Ivoire_HIV_Ministry_of_Health_and_Public_Hygiene_of_the_Republic_of_C_te_d_Ivoire_</vt:lpstr>
      <vt:lpstr>C_te_d_Ivoire_HIV_Programme_National_de_Lutte_contre_le_SIDA_de_la_R_publique_de_C_te_d_Ivoire_EUR</vt:lpstr>
      <vt:lpstr>C_te_d_Ivoire_Malaria_</vt:lpstr>
      <vt:lpstr>C_te_d_Ivoire_Malaria__</vt:lpstr>
      <vt:lpstr>C_te_d_Ivoire_Malaria__EUR</vt:lpstr>
      <vt:lpstr>C_te_d_Ivoire_Malaria_CARE_International_EUR</vt:lpstr>
      <vt:lpstr>C_te_d_Ivoire_Malaria_EUR</vt:lpstr>
      <vt:lpstr>C_te_d_Ivoire_Malaria_Ministry_of_Health_and_Public_Hygiene_of_the_Republic_of_C_te_d_Ivoire_</vt:lpstr>
      <vt:lpstr>C_te_d_Ivoire_Malaria_Ministry_of_Health_and_Public_Hygiene_of_the_Republic_of_C_te_d_Ivoire_EUR</vt:lpstr>
      <vt:lpstr>C_te_d_Ivoire_Malaria_Programme_National_de_Lutte_contre_le_Paludisme_EUR</vt:lpstr>
      <vt:lpstr>C_te_d_Ivoire_Malaria_Save_the_Children_Federation__Inc__EUR</vt:lpstr>
      <vt:lpstr>C_te_d_Ivoire_TB_</vt:lpstr>
      <vt:lpstr>C_te_d_Ivoire_TB__</vt:lpstr>
      <vt:lpstr>C_te_d_Ivoire_TB__EUR</vt:lpstr>
      <vt:lpstr>C_te_d_Ivoire_TB__USD</vt:lpstr>
      <vt:lpstr>C_te_d_Ivoire_TB_Alliance_Nationale_Contre_Le_Sida_en_Cote_D_Ivoire_EUR</vt:lpstr>
      <vt:lpstr>C_te_d_Ivoire_TB_Caritas_C_te_d_Ivoire_EUR</vt:lpstr>
      <vt:lpstr>C_te_d_Ivoire_TB_EUR</vt:lpstr>
      <vt:lpstr>C_te_d_Ivoire_TB_Ministry_of_Health_and_Public_Hygiene_of_the_Republic_of_C_te_d_Ivoire_</vt:lpstr>
      <vt:lpstr>C_te_d_Ivoire_TB_Ministry_of_Health_and_Public_Hygiene_of_the_Republic_of_C_te_d_Ivoire_EUR</vt:lpstr>
      <vt:lpstr>Cabo_Verde_HIV_Cape_Verde_Non_Governmental_Organisations_Platform_USD</vt:lpstr>
      <vt:lpstr>Cabo_Verde_HIV_Coordination_Committee_of_the_Fight_against_AIDS_of_Cabo_Verde_USD</vt:lpstr>
      <vt:lpstr>Cabo_Verde_HIV_USD</vt:lpstr>
      <vt:lpstr>Cabo_Verde_Malaria_Coordination_Committee_of_the_Fight_against_AIDS_of_Cabo_Verde_EUR</vt:lpstr>
      <vt:lpstr>Cabo_Verde_Malaria_EUR</vt:lpstr>
      <vt:lpstr>Cabo_Verde_Multi_</vt:lpstr>
      <vt:lpstr>Cabo_Verde_Multi_Coordination_Committee_of_the_Fight_against_AIDS_of_Cabo_Verde_</vt:lpstr>
      <vt:lpstr>Cabo_Verde_Multi_Coordination_Committee_of_the_Fight_against_AIDS_of_Cabo_Verde_EUR</vt:lpstr>
      <vt:lpstr>Cabo_Verde_Multi_EUR</vt:lpstr>
      <vt:lpstr>Cambodia_HIV_</vt:lpstr>
      <vt:lpstr>Cambodia_HIV__USD</vt:lpstr>
      <vt:lpstr>Cambodia_HIV_Federal_Ministry_of_Health_of_the_Republic_of_Sudan_</vt:lpstr>
      <vt:lpstr>Cambodia_HIV_National_Center_for_HIV_AIDS__Dermatology_and_STI_USD</vt:lpstr>
      <vt:lpstr>Cambodia_HIV_USD</vt:lpstr>
      <vt:lpstr>Cambodia_Malaria__USD</vt:lpstr>
      <vt:lpstr>Cambodia_Malaria_United_Nations_Office_for_Project_Services_USD</vt:lpstr>
      <vt:lpstr>Cambodia_Malaria_USD</vt:lpstr>
      <vt:lpstr>Cambodia_Multi_</vt:lpstr>
      <vt:lpstr>Cambodia_Multi__</vt:lpstr>
      <vt:lpstr>Cambodia_Multi_Cambodia_Ministry_of_Economy_and_Finance_</vt:lpstr>
      <vt:lpstr>Cambodia_RSSH__USD</vt:lpstr>
      <vt:lpstr>Cambodia_RSSH_Ministry_of_Health_of_the_Kingdom_of_Cambodia_USD</vt:lpstr>
      <vt:lpstr>Cambodia_RSSH_USD</vt:lpstr>
      <vt:lpstr>Cambodia_TB__</vt:lpstr>
      <vt:lpstr>Cambodia_TB__USD</vt:lpstr>
      <vt:lpstr>Cambodia_TB_National_Center_for_Tuberculosis_and_Leprosy_Control_USD</vt:lpstr>
      <vt:lpstr>Cambodia_TB_USD</vt:lpstr>
      <vt:lpstr>Cameroon_HIV__</vt:lpstr>
      <vt:lpstr>Cameroon_HIV__EUR</vt:lpstr>
      <vt:lpstr>Cameroon_HIV__USD</vt:lpstr>
      <vt:lpstr>Cameroon_HIV_Cameroon_National_Association_for_Family_Welfare_EUR</vt:lpstr>
      <vt:lpstr>Cameroon_HIV_EUR</vt:lpstr>
      <vt:lpstr>Cameroon_HIV_Ministry_of_Public_Health_of_the_Republic_of_Cameroon_EUR</vt:lpstr>
      <vt:lpstr>Cameroon_Malaria_</vt:lpstr>
      <vt:lpstr>Cameroon_Malaria__</vt:lpstr>
      <vt:lpstr>Cameroon_Malaria__EUR</vt:lpstr>
      <vt:lpstr>Cameroon_Malaria__USD</vt:lpstr>
      <vt:lpstr>Cameroon_Malaria_EUR</vt:lpstr>
      <vt:lpstr>Cameroon_Malaria_Ministry_of_Public_Health_of_the_Republic_of_Cameroon_</vt:lpstr>
      <vt:lpstr>Cameroon_Malaria_Ministry_of_Public_Health_of_the_Republic_of_Cameroon_EUR</vt:lpstr>
      <vt:lpstr>Cameroon_Malaria_Plan_International__Inc__EUR</vt:lpstr>
      <vt:lpstr>Cameroon_Multi_</vt:lpstr>
      <vt:lpstr>Cameroon_Multi__</vt:lpstr>
      <vt:lpstr>Cameroon_Multi_Cameroon_National_Association_for_Family_Welfare_</vt:lpstr>
      <vt:lpstr>Cameroon_TB__</vt:lpstr>
      <vt:lpstr>Cameroon_TB__USD</vt:lpstr>
      <vt:lpstr>Cameroon_TB_EUR</vt:lpstr>
      <vt:lpstr>Cameroon_TB_Ministry_of_Public_Health_of_the_Republic_of_Cameroon_EUR</vt:lpstr>
      <vt:lpstr>Capreomycin</vt:lpstr>
      <vt:lpstr>Caribbean_HIV__USD</vt:lpstr>
      <vt:lpstr>Caribbean_Multi_Organisation_of_Eastern_Caribbean_States_USD</vt:lpstr>
      <vt:lpstr>Caribbean_Multi_USD</vt:lpstr>
      <vt:lpstr>Ceftriaxone</vt:lpstr>
      <vt:lpstr>Central_African_Republic_HIV__USD</vt:lpstr>
      <vt:lpstr>Central_African_Republic_Malaria_</vt:lpstr>
      <vt:lpstr>Central_African_Republic_Malaria__</vt:lpstr>
      <vt:lpstr>Central_African_Republic_Malaria__EUR</vt:lpstr>
      <vt:lpstr>Central_African_Republic_Malaria__USD</vt:lpstr>
      <vt:lpstr>Central_African_Republic_Malaria_EUR</vt:lpstr>
      <vt:lpstr>Central_African_Republic_Malaria_The_International_Federation_of_Red_Cross_and_Red_Crescent_Societies_EUR</vt:lpstr>
      <vt:lpstr>Central_African_Republic_Malaria_World_Vision_International__CAR_Branch_office__</vt:lpstr>
      <vt:lpstr>Central_African_Republic_Malaria_World_Vision_International__CAR_Branch_office__EUR</vt:lpstr>
      <vt:lpstr>Central_African_Republic_Multi_</vt:lpstr>
      <vt:lpstr>Central_African_Republic_Multi__</vt:lpstr>
      <vt:lpstr>Central_African_Republic_Multi_EUR</vt:lpstr>
      <vt:lpstr>Central_African_Republic_Multi_La_Croix_Rouge_fran_aise_</vt:lpstr>
      <vt:lpstr>Central_African_Republic_Multi_The_International_Federation_of_Red_Cross_and_Red_Crescent_Societies_EUR</vt:lpstr>
      <vt:lpstr>Central_African_Republic_TB__USD</vt:lpstr>
      <vt:lpstr>Central_African_Republic_TB_EUR</vt:lpstr>
      <vt:lpstr>Central_African_Republic_TB_The_Ministry_of_Public_Heath__Population_and_the_Fight_Against_HIV_AIDS_of_the_Central_African_Republic_EUR</vt:lpstr>
      <vt:lpstr>Central_America_HIV__USD</vt:lpstr>
      <vt:lpstr>Central_America_HIV_Secretar_a_de_la_Integraci_n_Social_Centroamericana_USD</vt:lpstr>
      <vt:lpstr>Central_America_HIV_USD</vt:lpstr>
      <vt:lpstr>Centrifuges</vt:lpstr>
      <vt:lpstr>Cepheid</vt:lpstr>
      <vt:lpstr>Chad_HIV__</vt:lpstr>
      <vt:lpstr>Chad_HIV__EUR</vt:lpstr>
      <vt:lpstr>Chad_HIV__USD</vt:lpstr>
      <vt:lpstr>Chad_HIV_EUR</vt:lpstr>
      <vt:lpstr>Chad_HIV_Fonds_de_soutien_aux_activit_s_en_mati_re_de_population_et_de_lutte_contre_le_Sida_de_la_R_publique_du_Tchad_EUR</vt:lpstr>
      <vt:lpstr>Chad_HIV_Ministry_of_Public_Health_Chad_EUR</vt:lpstr>
      <vt:lpstr>Chad_Malaria_</vt:lpstr>
      <vt:lpstr>Chad_Malaria__</vt:lpstr>
      <vt:lpstr>Chad_Malaria__EUR</vt:lpstr>
      <vt:lpstr>Chad_Malaria__USD</vt:lpstr>
      <vt:lpstr>Chad_Malaria_EUR</vt:lpstr>
      <vt:lpstr>Chad_Malaria_Fonds_de_soutien_aux_activit_s_en_mati_re_de_population_et_de_lutte_contre_le_Sida_de_la_R_publique_du_Tchad_EUR</vt:lpstr>
      <vt:lpstr>Chad_Malaria_United_Nations_Development_Programme_</vt:lpstr>
      <vt:lpstr>Chad_Malaria_United_Nations_Development_Programme_EUR</vt:lpstr>
      <vt:lpstr>Chad_Multi_</vt:lpstr>
      <vt:lpstr>Chad_Multi__</vt:lpstr>
      <vt:lpstr>Chad_Multi_Ministry_of_Public_Health_Chad_</vt:lpstr>
      <vt:lpstr>Chad_Multi_Swiss_Tropical_and_Public_Health_Institute_</vt:lpstr>
      <vt:lpstr>Chad_RSSH__</vt:lpstr>
      <vt:lpstr>Chad_TB__USD</vt:lpstr>
      <vt:lpstr>Chad_TB_EUR</vt:lpstr>
      <vt:lpstr>Chad_TB_Fonds_de_soutien_aux_activit_s_en_mati_re_de_population_et_de_lutte_contre_le_Sida_de_la_R_publique_du_Tchad_EUR</vt:lpstr>
      <vt:lpstr>Chad_TB_Ministry_of_Public_Health_Chad_EUR</vt:lpstr>
      <vt:lpstr>Chemistry_analyzer</vt:lpstr>
      <vt:lpstr>Chile_HIV__USD</vt:lpstr>
      <vt:lpstr>China_HIV__USD</vt:lpstr>
      <vt:lpstr>China_Malaria__USD</vt:lpstr>
      <vt:lpstr>China_TB__EUR</vt:lpstr>
      <vt:lpstr>China_TB__USD</vt:lpstr>
      <vt:lpstr>Chloramphenicol</vt:lpstr>
      <vt:lpstr>Chloroquine</vt:lpstr>
      <vt:lpstr>Chlorphenamine_maleate</vt:lpstr>
      <vt:lpstr>Ciprofloxacin</vt:lpstr>
      <vt:lpstr>Clarithromycin</vt:lpstr>
      <vt:lpstr>Clindamycin</vt:lpstr>
      <vt:lpstr>Clofazimine</vt:lpstr>
      <vt:lpstr>Clotrimzole</vt:lpstr>
      <vt:lpstr>Co_trimoxazole</vt:lpstr>
      <vt:lpstr>Codeine_as_phosphate</vt:lpstr>
      <vt:lpstr>Colombia___</vt:lpstr>
      <vt:lpstr>Colombia___Fondo_Financiero_de_Proyectos_de_Desarrollo_</vt:lpstr>
      <vt:lpstr>Colombia_HIV__USD</vt:lpstr>
      <vt:lpstr>Colombia_HIV_Cooperative_Housing_Foundation_EUR</vt:lpstr>
      <vt:lpstr>Colombia_HIV_EUR</vt:lpstr>
      <vt:lpstr>Colombia_HIV_Fondo_Financiero_de_Proyectos_de_Desarrollo_USD</vt:lpstr>
      <vt:lpstr>Colombia_HIV_Sociedad_Nacional_de_la_Cruz_Roja_Colombiana_USD</vt:lpstr>
      <vt:lpstr>Colombia_HIV_USD</vt:lpstr>
      <vt:lpstr>Colombia_Malaria__EUR</vt:lpstr>
      <vt:lpstr>Colombia_TB_Fondo_Financiero_de_Proyectos_de_Desarrollo_USD</vt:lpstr>
      <vt:lpstr>Colombia_TB_International_Organization_for_Migration_USD</vt:lpstr>
      <vt:lpstr>Colombia_TB_USD</vt:lpstr>
      <vt:lpstr>Comoros_HIV_</vt:lpstr>
      <vt:lpstr>Comoros_HIV__USD</vt:lpstr>
      <vt:lpstr>Comoros_HIV_EUR</vt:lpstr>
      <vt:lpstr>Comoros_HIV_Ministry_of_Health__Solidarity_and_Gender_Promotion_of_the_Union_of_the_Comoros_</vt:lpstr>
      <vt:lpstr>Comoros_HIV_Ministry_of_Health__Solidarity_and_Gender_Promotion_of_the_Union_of_the_Comoros_EUR</vt:lpstr>
      <vt:lpstr>Comoros_Malaria_</vt:lpstr>
      <vt:lpstr>Comoros_Malaria__</vt:lpstr>
      <vt:lpstr>Comoros_Malaria__USD</vt:lpstr>
      <vt:lpstr>Comoros_Malaria_Association_Comorienne_pour_le_Bien_Être_de_la_Famille_EUR</vt:lpstr>
      <vt:lpstr>Comoros_Malaria_EUR</vt:lpstr>
      <vt:lpstr>Comoros_Malaria_Ministry_of_Health__Solidarity_and_Gender_Promotion_of_the_Union_of_the_Comoros_</vt:lpstr>
      <vt:lpstr>Comoros_Malaria_Ministry_of_Health__Solidarity_and_Gender_Promotion_of_the_Union_of_the_Comoros_EUR</vt:lpstr>
      <vt:lpstr>Comoros_TB_</vt:lpstr>
      <vt:lpstr>Comoros_TB_Association_Comorienne_pour_le_Bien_Être_de_la_Famille_EUR</vt:lpstr>
      <vt:lpstr>Comoros_TB_EUR</vt:lpstr>
      <vt:lpstr>Comoros_TB_Programme_National_de_Lutte_contre_la_Tuberculose_et_la_Lepre_</vt:lpstr>
      <vt:lpstr>Comoros_TB_Programme_National_de_Lutte_contre_la_Tuberculose_et_la_Lepre_EUR</vt:lpstr>
      <vt:lpstr>COMPONENT</vt:lpstr>
      <vt:lpstr>Condoms</vt:lpstr>
      <vt:lpstr>Condoms_Lubricants</vt:lpstr>
      <vt:lpstr>Congo__Democratic_Republic__HIV__USD</vt:lpstr>
      <vt:lpstr>Congo__Democratic_Republic__HIV_Ministry_of_Health_and_Population_of_the_Democratic_Republic_of_Congo_USD</vt:lpstr>
      <vt:lpstr>Congo__Democratic_Republic__HIV_SANRU_Asbl_USD</vt:lpstr>
      <vt:lpstr>Congo__Democratic_Republic__HIV_Stichting_Cordaid_USD</vt:lpstr>
      <vt:lpstr>Congo__Democratic_Republic__HIV_USD</vt:lpstr>
      <vt:lpstr>Congo__Democratic_Republic__Malaria_</vt:lpstr>
      <vt:lpstr>Congo__Democratic_Republic__Malaria__USD</vt:lpstr>
      <vt:lpstr>Congo__Democratic_Republic__Malaria_Ministry_of_Health_and_Population_of_the_Democratic_Republic_of_Congo_</vt:lpstr>
      <vt:lpstr>Congo__Democratic_Republic__Malaria_Ministry_of_Health_and_Population_of_the_Democratic_Republic_of_Congo_USD</vt:lpstr>
      <vt:lpstr>Congo__Democratic_Republic__Malaria_Population_Services_International_USD</vt:lpstr>
      <vt:lpstr>Congo__Democratic_Republic__Malaria_SANRU_Asbl_USD</vt:lpstr>
      <vt:lpstr>Congo__Democratic_Republic__Malaria_USD</vt:lpstr>
      <vt:lpstr>Congo__Democratic_Republic__Multi_</vt:lpstr>
      <vt:lpstr>Congo__Democratic_Republic__Multi__</vt:lpstr>
      <vt:lpstr>Congo__Democratic_Republic__Multi_Ministry_of_Health_and_Population_of_the_Democratic_Republic_of_Congo_</vt:lpstr>
      <vt:lpstr>Congo__Democratic_Republic__Multi_Stichting_Cordaid_</vt:lpstr>
      <vt:lpstr>Congo__Democratic_Republic__RSSH_Ministry_of_Health_and_Population_of_the_Democratic_Republic_of_Congo_USD</vt:lpstr>
      <vt:lpstr>Congo__Democratic_Republic__RSSH_USD</vt:lpstr>
      <vt:lpstr>Congo__Democratic_Republic__TB__USD</vt:lpstr>
      <vt:lpstr>Congo__Democratic_Republic__TB_Caritas__Congo_ASBL_USD</vt:lpstr>
      <vt:lpstr>Congo__Democratic_Republic__TB_Ministry_of_Health_and_Population_of_the_Democratic_Republic_of_Congo_USD</vt:lpstr>
      <vt:lpstr>Congo__Democratic_Republic__TB_USD</vt:lpstr>
      <vt:lpstr>Congo_HIV__</vt:lpstr>
      <vt:lpstr>Congo_HIV__USD</vt:lpstr>
      <vt:lpstr>Congo_HIV_EUR</vt:lpstr>
      <vt:lpstr>Congo_HIV_La_Croix_Rouge_fran_aise_EUR</vt:lpstr>
      <vt:lpstr>Congo_HIV_Secr_tariat_Ex_cutif_Permanent_du_Conseil_National_de_Lutte_contre_le_SIDA_de_la_R_publique_du_Congo_EUR</vt:lpstr>
      <vt:lpstr>Congo_Malaria_</vt:lpstr>
      <vt:lpstr>Congo_Malaria__</vt:lpstr>
      <vt:lpstr>Congo_Malaria__EUR</vt:lpstr>
      <vt:lpstr>Congo_Malaria_Catholic_Relief_Services__United_States_Conference_of_Catholic_Bishops_</vt:lpstr>
      <vt:lpstr>Congo_Multi_</vt:lpstr>
      <vt:lpstr>Congo_Multi__</vt:lpstr>
      <vt:lpstr>Congo_Multi_EUR</vt:lpstr>
      <vt:lpstr>Congo_Multi_La_Croix_Rouge_fran_aise_</vt:lpstr>
      <vt:lpstr>Congo_Multi_La_Croix_Rouge_fran_aise_EUR</vt:lpstr>
      <vt:lpstr>Congo_TB__</vt:lpstr>
      <vt:lpstr>Congo_TB_EUR</vt:lpstr>
      <vt:lpstr>Congo_TB_Ministry_of_Health_and_Population_of_the_Government_of_the_Republic_of_Congo_EUR</vt:lpstr>
      <vt:lpstr>Consumables</vt:lpstr>
      <vt:lpstr>Consumables_Blood_collection</vt:lpstr>
      <vt:lpstr>Consumables_DBS_collection</vt:lpstr>
      <vt:lpstr>Consumables_for_HIV_program</vt:lpstr>
      <vt:lpstr>Consumables_for_TB_program</vt:lpstr>
      <vt:lpstr>Consumables_Infection_prevention_and_control</vt:lpstr>
      <vt:lpstr>Consumables_Laboratory_Other</vt:lpstr>
      <vt:lpstr>Consumables_Other</vt:lpstr>
      <vt:lpstr>Consumables_Other_non_laboratory</vt:lpstr>
      <vt:lpstr>Consumables_Sample_collection_and_media_transport</vt:lpstr>
      <vt:lpstr>Consumables_TB_specimen_processing</vt:lpstr>
      <vt:lpstr>Consumables_Waste_management_supplies</vt:lpstr>
      <vt:lpstr>Costa_Rica_HIV_</vt:lpstr>
      <vt:lpstr>Costa_Rica_HIV__</vt:lpstr>
      <vt:lpstr>Costa_Rica_HIV__USD</vt:lpstr>
      <vt:lpstr>Costa_Rica_HIV_Humanist_Institute_for_Co_operation_with_Developing_Countries_</vt:lpstr>
      <vt:lpstr>Costa_Rica_HIV_Humanist_Institute_for_Co_operation_with_Developing_Countries_USD</vt:lpstr>
      <vt:lpstr>Costa_Rica_HIV_USD</vt:lpstr>
      <vt:lpstr>COUNTRY_</vt:lpstr>
      <vt:lpstr>COUNTRYLIST</vt:lpstr>
      <vt:lpstr>COUTRYLIST</vt:lpstr>
      <vt:lpstr>Croatia_HIV__USD</vt:lpstr>
      <vt:lpstr>Cuba_HIV_</vt:lpstr>
      <vt:lpstr>Cuba_HIV__</vt:lpstr>
      <vt:lpstr>Cuba_HIV__USD</vt:lpstr>
      <vt:lpstr>Cuba_HIV_United_Nations_Development_Programme_</vt:lpstr>
      <vt:lpstr>Cuba_HIV_United_Nations_Development_Programme_USD</vt:lpstr>
      <vt:lpstr>Cuba_HIV_USD</vt:lpstr>
      <vt:lpstr>Cuba_TB__USD</vt:lpstr>
      <vt:lpstr>Culture_DST_LPA_Equipment_reagents</vt:lpstr>
      <vt:lpstr>CURRENCY</vt:lpstr>
      <vt:lpstr>Cycloserine</vt:lpstr>
      <vt:lpstr>Daclatasvir</vt:lpstr>
      <vt:lpstr>Dapsone</vt:lpstr>
      <vt:lpstr>Darunavir</vt:lpstr>
      <vt:lpstr>Darunavir_Ritonavir</vt:lpstr>
      <vt:lpstr>Delamanid</vt:lpstr>
      <vt:lpstr>Diclofenac_as_sodium</vt:lpstr>
      <vt:lpstr>Djibouti_HIV__USD</vt:lpstr>
      <vt:lpstr>Djibouti_HIV_United_Nations_Development_Programme_USD</vt:lpstr>
      <vt:lpstr>Djibouti_HIV_USD</vt:lpstr>
      <vt:lpstr>Djibouti_Malaria_</vt:lpstr>
      <vt:lpstr>Djibouti_Malaria__</vt:lpstr>
      <vt:lpstr>Djibouti_Malaria__USD</vt:lpstr>
      <vt:lpstr>Djibouti_Malaria_United_Nations_Development_Programme_</vt:lpstr>
      <vt:lpstr>Djibouti_Malaria_United_Nations_Development_Programme_USD</vt:lpstr>
      <vt:lpstr>Djibouti_Malaria_USD</vt:lpstr>
      <vt:lpstr>Djibouti_Multi_</vt:lpstr>
      <vt:lpstr>Djibouti_Multi__</vt:lpstr>
      <vt:lpstr>Djibouti_Multi_United_Nations_Development_Programme_</vt:lpstr>
      <vt:lpstr>Djibouti_Multi_United_Nations_Development_Programme_USD</vt:lpstr>
      <vt:lpstr>Djibouti_Multi_USD</vt:lpstr>
      <vt:lpstr>Djibouti_TB__USD</vt:lpstr>
      <vt:lpstr>Djibouti_TB_EUR</vt:lpstr>
      <vt:lpstr>Djibouti_TB_United_Nations_Development_Programme_EUR</vt:lpstr>
      <vt:lpstr>DNA_extraction_amplification_isolation_purification_detection_and_sequencing_analyzers</vt:lpstr>
      <vt:lpstr>Dolutegravir</vt:lpstr>
      <vt:lpstr>Dolutegravir_Lamivudine_Tenofovir</vt:lpstr>
      <vt:lpstr>Dominican_Republic_HIV_</vt:lpstr>
      <vt:lpstr>Dominican_Republic_HIV__USD</vt:lpstr>
      <vt:lpstr>Dominican_Republic_HIV_Consejo_Nacional_para_el_VIH_y_el_SIDA_USD</vt:lpstr>
      <vt:lpstr>Dominican_Republic_HIV_Instituto_Dermatol_gico_y_Cirug_a_de_Piel_‘Dr__Huberto_Bogaert_D_az’_</vt:lpstr>
      <vt:lpstr>Dominican_Republic_HIV_Instituto_Dermatol_gico_y_Cirug_a_de_Piel_‘Dr__Huberto_Bogaert_D_az’_USD</vt:lpstr>
      <vt:lpstr>Dominican_Republic_HIV_USD</vt:lpstr>
      <vt:lpstr>Dominican_Republic_Malaria__USD</vt:lpstr>
      <vt:lpstr>Dominican_Republic_TB_</vt:lpstr>
      <vt:lpstr>Dominican_Republic_TB__USD</vt:lpstr>
      <vt:lpstr>Dominican_Republic_TB_Ministry_of_Public_Health_and_Social_Assistance_of_the_Dominican_Republic_</vt:lpstr>
      <vt:lpstr>Dominican_Republic_TB_Ministry_of_Public_Health_and_Social_Assistance_of_the_Dominican_Republic_USD</vt:lpstr>
      <vt:lpstr>Dominican_Republic_TB_USD</vt:lpstr>
      <vt:lpstr>Doxorubicin_as_hydrochloride</vt:lpstr>
      <vt:lpstr>Doxycycline_as_hyclate</vt:lpstr>
      <vt:lpstr>DRW</vt:lpstr>
      <vt:lpstr>Eastern_Africa_HIV_Kenya_AIDS_NGOs_Consortium_USD</vt:lpstr>
      <vt:lpstr>Eastern_Africa_HIV_USD</vt:lpstr>
      <vt:lpstr>Eastern_Africa_TB_Intergovernmental_Authority_on_Development_USD</vt:lpstr>
      <vt:lpstr>Eastern_Africa_TB_USD</vt:lpstr>
      <vt:lpstr>ECG</vt:lpstr>
      <vt:lpstr>Ecuador_HIV_</vt:lpstr>
      <vt:lpstr>Ecuador_HIV__USD</vt:lpstr>
      <vt:lpstr>Ecuador_HIV_CARE_International_USD</vt:lpstr>
      <vt:lpstr>Ecuador_HIV_Corporaci_n_Kimirina_USD</vt:lpstr>
      <vt:lpstr>Ecuador_HIV_Ministry_of_Public_Health_of_the_Republic_of_Ecuador_</vt:lpstr>
      <vt:lpstr>Ecuador_HIV_Ministry_of_Public_Health_of_the_Republic_of_Ecuador_USD</vt:lpstr>
      <vt:lpstr>Ecuador_HIV_USD</vt:lpstr>
      <vt:lpstr>Ecuador_Malaria_Corporaci_n_Kimirina_USD</vt:lpstr>
      <vt:lpstr>Ecuador_Malaria_Technical_Management_Unit_of_the_Ministry_of_Public_Health_of_the_Republic_of_Ecuador_USD</vt:lpstr>
      <vt:lpstr>Ecuador_Malaria_USD</vt:lpstr>
      <vt:lpstr>Ecuador_TB__USD</vt:lpstr>
      <vt:lpstr>Ecuador_TB_CARE_International_USD</vt:lpstr>
      <vt:lpstr>Ecuador_TB_Ministry_of_Public_Health_of_the_Republic_of_Ecuador_USD</vt:lpstr>
      <vt:lpstr>Ecuador_TB_USD</vt:lpstr>
      <vt:lpstr>Efavirenz</vt:lpstr>
      <vt:lpstr>Efavirenz_Emtricitabine_Tenofovir</vt:lpstr>
      <vt:lpstr>Efavirenz_Lamivudine_Tenofovir</vt:lpstr>
      <vt:lpstr>Egypt_HIV_The_Ministry_of_Health_and_Population_of_Egypt_USD</vt:lpstr>
      <vt:lpstr>Egypt_HIV_USD</vt:lpstr>
      <vt:lpstr>Egypt_Multi_</vt:lpstr>
      <vt:lpstr>Egypt_Multi_United_Nations_Development_Programme_</vt:lpstr>
      <vt:lpstr>Egypt_Multi_United_Nations_Development_Programme_USD</vt:lpstr>
      <vt:lpstr>Egypt_Multi_USD</vt:lpstr>
      <vt:lpstr>Egypt_TB__USD</vt:lpstr>
      <vt:lpstr>Egypt_TB_The_Ministry_of_Health_and_Population_of_Egypt_USD</vt:lpstr>
      <vt:lpstr>Egypt_TB_USD</vt:lpstr>
      <vt:lpstr>El_Salvador_HIV_</vt:lpstr>
      <vt:lpstr>El_Salvador_HIV__USD</vt:lpstr>
      <vt:lpstr>El_Salvador_HIV_Ministry_of_Health_of_the_Republic_of_El_Salvador_</vt:lpstr>
      <vt:lpstr>El_Salvador_HIV_Ministry_of_Health_of_the_Republic_of_El_Salvador_USD</vt:lpstr>
      <vt:lpstr>El_Salvador_HIV_Plan_International__Inc__USD</vt:lpstr>
      <vt:lpstr>El_Salvador_HIV_USD</vt:lpstr>
      <vt:lpstr>El_Salvador_Malaria_Ministry_of_Health_of_the_Republic_of_El_Salvador_USD</vt:lpstr>
      <vt:lpstr>El_Salvador_Malaria_USD</vt:lpstr>
      <vt:lpstr>El_Salvador_TB_</vt:lpstr>
      <vt:lpstr>El_Salvador_TB__USD</vt:lpstr>
      <vt:lpstr>El_Salvador_TB_Ministry_of_Health_of_the_Republic_of_El_Salvador_</vt:lpstr>
      <vt:lpstr>El_Salvador_TB_Ministry_of_Health_of_the_Republic_of_El_Salvador_USD</vt:lpstr>
      <vt:lpstr>El_Salvador_TB_USD</vt:lpstr>
      <vt:lpstr>Emtricitabine</vt:lpstr>
      <vt:lpstr>Emtricitabine_Tenofovir</vt:lpstr>
      <vt:lpstr>Emtricitabine_Tenofovir_Nevirapine</vt:lpstr>
      <vt:lpstr>Entecavir</vt:lpstr>
      <vt:lpstr>Equatorial_Guinea_HIV__USD</vt:lpstr>
      <vt:lpstr>Equatorial_Guinea_Malaria__USD</vt:lpstr>
      <vt:lpstr>Equipment_BACTEC_MGIT_system_maintenance_and_services</vt:lpstr>
      <vt:lpstr>Equipment_IRS</vt:lpstr>
      <vt:lpstr>Equipment_Other</vt:lpstr>
      <vt:lpstr>Eritrea_HIV_</vt:lpstr>
      <vt:lpstr>Eritrea_HIV__</vt:lpstr>
      <vt:lpstr>Eritrea_HIV__USD</vt:lpstr>
      <vt:lpstr>Eritrea_HIV_Ministry_of_Health_of_the_State_of_Eritrea_</vt:lpstr>
      <vt:lpstr>Eritrea_HIV_Ministry_of_Health_of_the_State_of_Eritrea_USD</vt:lpstr>
      <vt:lpstr>Eritrea_HIV_USD</vt:lpstr>
      <vt:lpstr>Eritrea_Malaria_</vt:lpstr>
      <vt:lpstr>Eritrea_Malaria__</vt:lpstr>
      <vt:lpstr>Eritrea_Malaria__USD</vt:lpstr>
      <vt:lpstr>Eritrea_Malaria_Ministry_of_Health_of_the_State_of_Eritrea_</vt:lpstr>
      <vt:lpstr>Eritrea_Malaria_Ministry_of_Health_of_the_State_of_Eritrea_USD</vt:lpstr>
      <vt:lpstr>Eritrea_Malaria_USD</vt:lpstr>
      <vt:lpstr>Eritrea_TB_</vt:lpstr>
      <vt:lpstr>Eritrea_TB__</vt:lpstr>
      <vt:lpstr>Eritrea_TB__USD</vt:lpstr>
      <vt:lpstr>Eritrea_TB_Ministry_of_Health_of_the_State_of_Eritrea_</vt:lpstr>
      <vt:lpstr>Eritrea_TB_Ministry_of_Health_of_the_State_of_Eritrea_USD</vt:lpstr>
      <vt:lpstr>Eritrea_TB_USD</vt:lpstr>
      <vt:lpstr>Erythromycin</vt:lpstr>
      <vt:lpstr>Erythromycin_as_stearate</vt:lpstr>
      <vt:lpstr>Estonia_HIV__USD</vt:lpstr>
      <vt:lpstr>Eswatini_HIV__USD</vt:lpstr>
      <vt:lpstr>Eswatini_HIV_Coordinating_Assembly_of_Non_Governmental_Organisation_USD</vt:lpstr>
      <vt:lpstr>Eswatini_HIV_National_Emergency_Response_Council_on_HIV_and_AIDS_USD</vt:lpstr>
      <vt:lpstr>Eswatini_HIV_USD</vt:lpstr>
      <vt:lpstr>Eswatini_Malaria_</vt:lpstr>
      <vt:lpstr>Eswatini_Malaria__</vt:lpstr>
      <vt:lpstr>Eswatini_Malaria__USD</vt:lpstr>
      <vt:lpstr>Eswatini_Malaria_National_Emergency_Response_Council_on_HIV_and_AIDS_</vt:lpstr>
      <vt:lpstr>Eswatini_Malaria_National_Emergency_Response_Council_on_HIV_and_AIDS_USD</vt:lpstr>
      <vt:lpstr>Eswatini_Malaria_USD</vt:lpstr>
      <vt:lpstr>Eswatini_Multi_</vt:lpstr>
      <vt:lpstr>Eswatini_Multi__</vt:lpstr>
      <vt:lpstr>Eswatini_Multi_Coordinating_Assembly_of_Non_Governmental_Organisation_</vt:lpstr>
      <vt:lpstr>Eswatini_Multi_National_Emergency_Response_Council_on_HIV_and_AIDS_</vt:lpstr>
      <vt:lpstr>Eswatini_RSSH__USD</vt:lpstr>
      <vt:lpstr>Eswatini_TB__USD</vt:lpstr>
      <vt:lpstr>Eswatini_TB_National_Emergency_Response_Council_on_HIV_and_AIDS_USD</vt:lpstr>
      <vt:lpstr>Eswatini_TB_USD</vt:lpstr>
      <vt:lpstr>Ethambutol</vt:lpstr>
      <vt:lpstr>Ethambutol_Isoniazid</vt:lpstr>
      <vt:lpstr>Ethambutol_Isoniazid_Pyrazinamide_Rifampicin</vt:lpstr>
      <vt:lpstr>Ethambutol_Isoniazid_Rifampicin</vt:lpstr>
      <vt:lpstr>Ethionamide</vt:lpstr>
      <vt:lpstr>Ethiopia___</vt:lpstr>
      <vt:lpstr>Ethiopia___UNICEF_Ethiopia_</vt:lpstr>
      <vt:lpstr>Ethiopia_HIV__</vt:lpstr>
      <vt:lpstr>Ethiopia_HIV__USD</vt:lpstr>
      <vt:lpstr>Ethiopia_HIV_HIV_AIDS_Prevention_and_Control_Office_USD</vt:lpstr>
      <vt:lpstr>Ethiopia_HIV_USD</vt:lpstr>
      <vt:lpstr>Ethiopia_Malaria_</vt:lpstr>
      <vt:lpstr>Ethiopia_Malaria__USD</vt:lpstr>
      <vt:lpstr>Ethiopia_Malaria_Federal_Ministry_of_Health_of_the_Federal_Democratic_Republic_of_Ethiopia_</vt:lpstr>
      <vt:lpstr>Ethiopia_Malaria_Federal_Ministry_of_Health_of_the_Federal_Democratic_Republic_of_Ethiopia_USD</vt:lpstr>
      <vt:lpstr>Ethiopia_Malaria_UNICEF_Ethiopia_USD</vt:lpstr>
      <vt:lpstr>Ethiopia_Malaria_USD</vt:lpstr>
      <vt:lpstr>Ethiopia_Multi_</vt:lpstr>
      <vt:lpstr>Ethiopia_Multi_HIV_AIDS_Prevention_and_Control_Office_</vt:lpstr>
      <vt:lpstr>Ethiopia_RSSH_</vt:lpstr>
      <vt:lpstr>Ethiopia_RSSH_Federal_Ministry_of_Health_of_the_Federal_Democratic_Republic_of_Ethiopia_</vt:lpstr>
      <vt:lpstr>Ethiopia_RSSH_Federal_Ministry_of_Health_of_the_Federal_Democratic_Republic_of_Ethiopia_USD</vt:lpstr>
      <vt:lpstr>Ethiopia_RSSH_USD</vt:lpstr>
      <vt:lpstr>Ethiopia_TB__</vt:lpstr>
      <vt:lpstr>Ethiopia_TB__USD</vt:lpstr>
      <vt:lpstr>Ethiopia_TB_Federal_Ministry_of_Health_of_the_Federal_Democratic_Republic_of_Ethiopia_USD</vt:lpstr>
      <vt:lpstr>Ethiopia_TB_USD</vt:lpstr>
      <vt:lpstr>Etravirine</vt:lpstr>
      <vt:lpstr>Female_condom</vt:lpstr>
      <vt:lpstr>Fiji_TB_Ministry_of_Health_and_Medical_Services_of_the_Republic_of_Fiji_USD</vt:lpstr>
      <vt:lpstr>Fiji_TB_USD</vt:lpstr>
      <vt:lpstr>Flow_cytometry_analyzer_CD4</vt:lpstr>
      <vt:lpstr>Flow_cytometry_analyzer_CD4_</vt:lpstr>
      <vt:lpstr>Flow_cytometry_analyzer_CD4_for_Malaria</vt:lpstr>
      <vt:lpstr>Flow_cytometry_analyzer_CD4_for_TB</vt:lpstr>
      <vt:lpstr>Fluconazole</vt:lpstr>
      <vt:lpstr>Flucytosine</vt:lpstr>
      <vt:lpstr>Flucytosine_injection</vt:lpstr>
      <vt:lpstr>Fosamprenavir</vt:lpstr>
      <vt:lpstr>Freezer</vt:lpstr>
      <vt:lpstr>Gabon___</vt:lpstr>
      <vt:lpstr>Gabon___Centre_de_Recherches_M_dicales_de_Lambar_n__</vt:lpstr>
      <vt:lpstr>Gabon_HIV__EUR</vt:lpstr>
      <vt:lpstr>Gabon_HIV__USD</vt:lpstr>
      <vt:lpstr>Gabon_Malaria__EUR</vt:lpstr>
      <vt:lpstr>Gabon_Malaria__USD</vt:lpstr>
      <vt:lpstr>Gabon_TB_</vt:lpstr>
      <vt:lpstr>Gabon_TB_Centre_de_Recherches_M_dicales_de_Lambar_n__</vt:lpstr>
      <vt:lpstr>Gabon_TB_Centre_de_Recherches_M_dicales_de_Lambar_n__EUR</vt:lpstr>
      <vt:lpstr>Gabon_TB_EUR</vt:lpstr>
      <vt:lpstr>Gabon_TB_Ministry_of_Health__Social_Welfare_and_National_Solidarity_of_the_Gabonese_Republic_EUR</vt:lpstr>
      <vt:lpstr>Gambia_HIV__USD</vt:lpstr>
      <vt:lpstr>Gambia_HIV_ActionAid_International_The_Gambia_EUR</vt:lpstr>
      <vt:lpstr>Gambia_HIV_ActionAid_International_The_Gambia_USD</vt:lpstr>
      <vt:lpstr>Gambia_HIV_EUR</vt:lpstr>
      <vt:lpstr>Gambia_HIV_The_National_AIDS_Secretariat_of_the_Republic_of_The_Gambia_EUR</vt:lpstr>
      <vt:lpstr>Gambia_HIV_The_National_AIDS_Secretariat_of_the_Republic_of_The_Gambia_USD</vt:lpstr>
      <vt:lpstr>Gambia_HIV_USD</vt:lpstr>
      <vt:lpstr>Gambia_Malaria_</vt:lpstr>
      <vt:lpstr>Gambia_Malaria__USD</vt:lpstr>
      <vt:lpstr>Gambia_Malaria_Catholic_Relief_Services___United_States_Conference_of_Catholic_Bishops_USD</vt:lpstr>
      <vt:lpstr>Gambia_Malaria_Ministry_of_Health_and_Social_Welfare_of_the_Republic_of_Gambia_</vt:lpstr>
      <vt:lpstr>Gambia_Malaria_Ministry_of_Health_and_Social_Welfare_of_the_Republic_of_Gambia_USD</vt:lpstr>
      <vt:lpstr>Gambia_Malaria_USD</vt:lpstr>
      <vt:lpstr>Gambia_Multi_</vt:lpstr>
      <vt:lpstr>Gambia_Multi_ActionAid_International_The_Gambia_</vt:lpstr>
      <vt:lpstr>Gambia_Multi_ActionAid_International_The_Gambia_USD</vt:lpstr>
      <vt:lpstr>Gambia_Multi_The_National_AIDS_Secretariat_of_the_Republic_of_The_Gambia_USD</vt:lpstr>
      <vt:lpstr>Gambia_Multi_USD</vt:lpstr>
      <vt:lpstr>Gambia_TB__USD</vt:lpstr>
      <vt:lpstr>Gambia_TB_Medical_Research_Council__UK__USD</vt:lpstr>
      <vt:lpstr>Gambia_TB_Ministry_of_Health_and_Social_Welfare_of_the_Republic_of_Gambia_USD</vt:lpstr>
      <vt:lpstr>Gambia_TB_USD</vt:lpstr>
      <vt:lpstr>Ganciclovir</vt:lpstr>
      <vt:lpstr>GeneXpert</vt:lpstr>
      <vt:lpstr>GeneXpert_Consumables</vt:lpstr>
      <vt:lpstr>GeneXpert_Equipment</vt:lpstr>
      <vt:lpstr>GeneXpert_Equipment_cartridges</vt:lpstr>
      <vt:lpstr>GeneXpert_Equipment_cartridges_for_HIV_program</vt:lpstr>
      <vt:lpstr>GeneXpert_Equipment_cartridges_for_TB_program</vt:lpstr>
      <vt:lpstr>Gentamicin</vt:lpstr>
      <vt:lpstr>Georgia_HIV_</vt:lpstr>
      <vt:lpstr>Georgia_HIV__EUR</vt:lpstr>
      <vt:lpstr>Georgia_HIV__USD</vt:lpstr>
      <vt:lpstr>Georgia_HIV_National_Center_For_Disease_Control_and_Public_Health_</vt:lpstr>
      <vt:lpstr>Georgia_HIV_National_Center_For_Disease_Control_and_Public_Health_USD</vt:lpstr>
      <vt:lpstr>Georgia_HIV_USD</vt:lpstr>
      <vt:lpstr>Georgia_Malaria__USD</vt:lpstr>
      <vt:lpstr>Georgia_TB_</vt:lpstr>
      <vt:lpstr>Georgia_TB__EUR</vt:lpstr>
      <vt:lpstr>Georgia_TB__USD</vt:lpstr>
      <vt:lpstr>Georgia_TB_National_Center_For_Disease_Control_and_Public_Health_</vt:lpstr>
      <vt:lpstr>Georgia_TB_National_Center_For_Disease_Control_and_Public_Health_USD</vt:lpstr>
      <vt:lpstr>Georgia_TB_USD</vt:lpstr>
      <vt:lpstr>Ghana_HIV_</vt:lpstr>
      <vt:lpstr>Ghana_HIV__USD</vt:lpstr>
      <vt:lpstr>Ghana_HIV_Adventist_Development_and_Relief_Agency_of_Ghana_USD</vt:lpstr>
      <vt:lpstr>Ghana_HIV_Ghana_AIDS_Commission_USD</vt:lpstr>
      <vt:lpstr>Ghana_HIV_Ministry_of_Health_of_the_Republic_of_Ghana_USD</vt:lpstr>
      <vt:lpstr>Ghana_HIV_Planned_Parenthood_Association_of_Ghana_USD</vt:lpstr>
      <vt:lpstr>Ghana_HIV_USD</vt:lpstr>
      <vt:lpstr>Ghana_HIV_West_African_Program_to_Combat_AIDS_and_STI_</vt:lpstr>
      <vt:lpstr>Ghana_Malaria_</vt:lpstr>
      <vt:lpstr>Ghana_Malaria__</vt:lpstr>
      <vt:lpstr>Ghana_Malaria__USD</vt:lpstr>
      <vt:lpstr>Ghana_Malaria_AngloGold_Ashanti__Ghana__Malaria_Control_Limited_</vt:lpstr>
      <vt:lpstr>Ghana_Malaria_AngloGold_Ashanti__Ghana__Malaria_Control_Limited_USD</vt:lpstr>
      <vt:lpstr>Ghana_Malaria_Ministry_of_Health_of_the_Republic_of_Ghana_USD</vt:lpstr>
      <vt:lpstr>Ghana_Malaria_USD</vt:lpstr>
      <vt:lpstr>Ghana_Multi_</vt:lpstr>
      <vt:lpstr>Ghana_Multi__</vt:lpstr>
      <vt:lpstr>Ghana_Multi_Ministry_of_Health_of_the_Republic_of_Ghana_</vt:lpstr>
      <vt:lpstr>Ghana_Multi_West_African_Program_to_Combat_AIDS_and_STI_</vt:lpstr>
      <vt:lpstr>Ghana_RSSH__</vt:lpstr>
      <vt:lpstr>Ghana_TB__USD</vt:lpstr>
      <vt:lpstr>Ghana_TB_Ministry_of_Health_of_the_Republic_of_Ghana_USD</vt:lpstr>
      <vt:lpstr>Ghana_TB_USD</vt:lpstr>
      <vt:lpstr>GRAN_NO</vt:lpstr>
      <vt:lpstr>Guatemala_HIV_</vt:lpstr>
      <vt:lpstr>Guatemala_HIV__</vt:lpstr>
      <vt:lpstr>Guatemala_HIV__USD</vt:lpstr>
      <vt:lpstr>Guatemala_HIV_Humanist_Institute_for_Co_operation_with_Developing_Countries_USD</vt:lpstr>
      <vt:lpstr>Guatemala_HIV_Instituto_de_Nutrici_n_de_Centro_Am_rica_y_Panam___INCAP__</vt:lpstr>
      <vt:lpstr>Guatemala_HIV_Ministry_of_Health_and_Social_Assistance_of_the_Republic_of_Guatemala_USD</vt:lpstr>
      <vt:lpstr>Guatemala_HIV_USD</vt:lpstr>
      <vt:lpstr>Guatemala_Malaria_</vt:lpstr>
      <vt:lpstr>Guatemala_Malaria__</vt:lpstr>
      <vt:lpstr>Guatemala_Malaria__USD</vt:lpstr>
      <vt:lpstr>Guatemala_Malaria_Ministry_of_Health_and_Social_Assistance_of_the_Republic_of_Guatemala_</vt:lpstr>
      <vt:lpstr>Guatemala_Malaria_Ministry_of_Health_and_Social_Assistance_of_the_Republic_of_Guatemala_USD</vt:lpstr>
      <vt:lpstr>Guatemala_Malaria_USD</vt:lpstr>
      <vt:lpstr>Guatemala_TB_</vt:lpstr>
      <vt:lpstr>Guatemala_TB__USD</vt:lpstr>
      <vt:lpstr>Guatemala_TB_Ministry_of_Health_and_Social_Assistance_of_the_Republic_of_Guatemala_</vt:lpstr>
      <vt:lpstr>Guatemala_TB_Ministry_of_Health_and_Social_Assistance_of_the_Republic_of_Guatemala_USD</vt:lpstr>
      <vt:lpstr>Guatemala_TB_USD</vt:lpstr>
      <vt:lpstr>Guinea_Bissau_HIV__USD</vt:lpstr>
      <vt:lpstr>Guinea_Bissau_HIV_EUR</vt:lpstr>
      <vt:lpstr>Guinea_Bissau_HIV_National_Secretariat_to_Fight_AIDS_of_Guinea_Bissau_EUR</vt:lpstr>
      <vt:lpstr>Guinea_Bissau_HIV_National_Secretariat_to_Fight_AIDS_of_Guinea_Bissau_USD</vt:lpstr>
      <vt:lpstr>Guinea_Bissau_HIV_USD</vt:lpstr>
      <vt:lpstr>Guinea_Bissau_Malaria_</vt:lpstr>
      <vt:lpstr>Guinea_Bissau_Malaria__</vt:lpstr>
      <vt:lpstr>Guinea_Bissau_Malaria__EUR</vt:lpstr>
      <vt:lpstr>Guinea_Bissau_Malaria__USD</vt:lpstr>
      <vt:lpstr>Guinea_Bissau_Malaria_EUR</vt:lpstr>
      <vt:lpstr>Guinea_Bissau_Malaria_United_Nations_Development_Programme_</vt:lpstr>
      <vt:lpstr>Guinea_Bissau_Malaria_United_Nations_Development_Programme_EUR</vt:lpstr>
      <vt:lpstr>Guinea_Bissau_Multi_</vt:lpstr>
      <vt:lpstr>Guinea_Bissau_Multi__</vt:lpstr>
      <vt:lpstr>Guinea_Bissau_Multi_EUR</vt:lpstr>
      <vt:lpstr>Guinea_Bissau_Multi_Ministry_of_Health_of_the_Republic_of_Guinea_Bissau_</vt:lpstr>
      <vt:lpstr>Guinea_Bissau_Multi_Ministry_of_Health_of_the_Republic_of_Guinea_Bissau_EUR</vt:lpstr>
      <vt:lpstr>Guinea_Bissau_RSSH__EUR</vt:lpstr>
      <vt:lpstr>Guinea_Bissau_TB__EUR</vt:lpstr>
      <vt:lpstr>Guinea_Bissau_TB__USD</vt:lpstr>
      <vt:lpstr>Guinea_Bissau_TB_EUR</vt:lpstr>
      <vt:lpstr>Guinea_Bissau_TB_Ministry_of_Health_of_the_Republic_of_Guinea_Bissau_EUR</vt:lpstr>
      <vt:lpstr>Guinea_Bissau_TB_United_Nations_Development_Programme_EUR</vt:lpstr>
      <vt:lpstr>Guinea_HIV_</vt:lpstr>
      <vt:lpstr>Guinea_HIV__USD</vt:lpstr>
      <vt:lpstr>Guinea_HIV_German_Corporation_for_International_Cooperation__GIZ__GmbH_USD</vt:lpstr>
      <vt:lpstr>Guinea_HIV_Population_Services_International_USD</vt:lpstr>
      <vt:lpstr>Guinea_HIV_Secr_tariat_Ex_cutif_du_Comit__National_de_Lutte_contre_le_Sida_de_la_R_publique_de_Guin_e_USD</vt:lpstr>
      <vt:lpstr>Guinea_HIV_The_Ministry_of_Public_Health_of_the_Republic_of_Guinea_</vt:lpstr>
      <vt:lpstr>Guinea_HIV_The_Ministry_of_Public_Health_of_the_Republic_of_Guinea_USD</vt:lpstr>
      <vt:lpstr>Guinea_HIV_USD</vt:lpstr>
      <vt:lpstr>Guinea_Malaria_</vt:lpstr>
      <vt:lpstr>Guinea_Malaria__</vt:lpstr>
      <vt:lpstr>Guinea_Malaria__USD</vt:lpstr>
      <vt:lpstr>Guinea_Malaria_Catholic_Relief_Services___United_States_Conference_of_Catholic_Bishops_</vt:lpstr>
      <vt:lpstr>Guinea_Malaria_Catholic_Relief_Services___United_States_Conference_of_Catholic_Bishops_USD</vt:lpstr>
      <vt:lpstr>Guinea_Malaria_USD</vt:lpstr>
      <vt:lpstr>Guinea_Multi__</vt:lpstr>
      <vt:lpstr>Guinea_Multi_Plan_International__Inc__USD</vt:lpstr>
      <vt:lpstr>Guinea_Multi_USD</vt:lpstr>
      <vt:lpstr>Guinea_RSSH__USD</vt:lpstr>
      <vt:lpstr>Guinea_TB_</vt:lpstr>
      <vt:lpstr>Guinea_TB__EUR</vt:lpstr>
      <vt:lpstr>Guinea_TB_Plan_International__Inc__</vt:lpstr>
      <vt:lpstr>Guinea_TB_Plan_International__Inc__USD</vt:lpstr>
      <vt:lpstr>Guinea_TB_Population_Services_International_USD</vt:lpstr>
      <vt:lpstr>Guinea_TB_The_Ministry_of_Public_Health_of_the_Republic_of_Guinea_USD</vt:lpstr>
      <vt:lpstr>Guinea_TB_USD</vt:lpstr>
      <vt:lpstr>Guyana_HIV_</vt:lpstr>
      <vt:lpstr>Guyana_HIV_Ministry_of_Health_of_the_Republic_of_Guyana_</vt:lpstr>
      <vt:lpstr>Guyana_HIV_Ministry_of_Health_of_the_Republic_of_Guyana_USD</vt:lpstr>
      <vt:lpstr>Guyana_HIV_USD</vt:lpstr>
      <vt:lpstr>Guyana_Malaria_</vt:lpstr>
      <vt:lpstr>Guyana_Malaria__USD</vt:lpstr>
      <vt:lpstr>Guyana_Malaria_Ministry_of_Health_of_the_Republic_of_Guyana_</vt:lpstr>
      <vt:lpstr>Guyana_Malaria_Ministry_of_Health_of_the_Republic_of_Guyana_USD</vt:lpstr>
      <vt:lpstr>Guyana_Malaria_USD</vt:lpstr>
      <vt:lpstr>Guyana_Multi__</vt:lpstr>
      <vt:lpstr>Guyana_RSSH__USD</vt:lpstr>
      <vt:lpstr>Guyana_TB_</vt:lpstr>
      <vt:lpstr>Guyana_TB__USD</vt:lpstr>
      <vt:lpstr>Guyana_TB_Ministry_of_Health_of_the_Republic_of_Guyana_</vt:lpstr>
      <vt:lpstr>Guyana_TB_Ministry_of_Health_of_the_Republic_of_Guyana_USD</vt:lpstr>
      <vt:lpstr>Guyana_TB_USD</vt:lpstr>
      <vt:lpstr>Haiti_HIV__USD</vt:lpstr>
      <vt:lpstr>Haiti_HIV_United_Nations_Development_Programme_USD</vt:lpstr>
      <vt:lpstr>Haiti_HIV_USD</vt:lpstr>
      <vt:lpstr>Haiti_Malaria_</vt:lpstr>
      <vt:lpstr>Haiti_Malaria__USD</vt:lpstr>
      <vt:lpstr>Haiti_Malaria_Population_Services_International_</vt:lpstr>
      <vt:lpstr>Haiti_Malaria_Population_Services_International_USD</vt:lpstr>
      <vt:lpstr>Haiti_Malaria_USD</vt:lpstr>
      <vt:lpstr>Haiti_Multi_</vt:lpstr>
      <vt:lpstr>Haiti_Multi__</vt:lpstr>
      <vt:lpstr>Haiti_Multi_Population_Services_International_</vt:lpstr>
      <vt:lpstr>Haiti_Multi_Population_Services_International_USD</vt:lpstr>
      <vt:lpstr>Haiti_Multi_USD</vt:lpstr>
      <vt:lpstr>Haiti_TB__USD</vt:lpstr>
      <vt:lpstr>Haiti_TB_United_Nations_Development_Programme_USD</vt:lpstr>
      <vt:lpstr>Haiti_TB_USD</vt:lpstr>
      <vt:lpstr>Hematology_analyzer</vt:lpstr>
      <vt:lpstr>Hematology_or_biochemistry_analyzers</vt:lpstr>
      <vt:lpstr>Hematology_or_biochemistry_reagents_Coulter</vt:lpstr>
      <vt:lpstr>Hematology_or_biochemistry_reagents_ELITechGroup</vt:lpstr>
      <vt:lpstr>Hematology_or_biochemistry_reagents_Roche_Cobas_c_Integra</vt:lpstr>
      <vt:lpstr>Hematology_or_biochemistry_reagents_Roche_Cobas_c111</vt:lpstr>
      <vt:lpstr>Hematology_or_biochemistry_reagents_Sysmex</vt:lpstr>
      <vt:lpstr>HIV_Automated_blood_culture_system_system_for_incubating_and_processing_blood_cultures1</vt:lpstr>
      <vt:lpstr>HIV_Automated_blood_culture_system_system_for_incubating_and_processing_blood_cultures2</vt:lpstr>
      <vt:lpstr>HIV_Biological_Safety_Cabinet1</vt:lpstr>
      <vt:lpstr>HIV_Biological_Safety_Cabinet2</vt:lpstr>
      <vt:lpstr>HIV_Centrifuges1</vt:lpstr>
      <vt:lpstr>HIV_Centrifuges2</vt:lpstr>
      <vt:lpstr>HIV_DNA_extraction_amplification_isolation_purification_detection_and_sequencing_analyzers1</vt:lpstr>
      <vt:lpstr>HIV_DNA_extraction_amplification_isolation_purification_detection_and_sequencing_analyzers2</vt:lpstr>
      <vt:lpstr>HIV_Early_Infant_Diagnosis</vt:lpstr>
      <vt:lpstr>HIV_Equipment_Other1</vt:lpstr>
      <vt:lpstr>HIV_Flow_cytometry_analyzer_CD41</vt:lpstr>
      <vt:lpstr>HIV_Flow_cytometry_analyzer_CD42</vt:lpstr>
      <vt:lpstr>HIV_Freezer1</vt:lpstr>
      <vt:lpstr>HIV_Freezer2</vt:lpstr>
      <vt:lpstr>HIV_Laboratory_equipment</vt:lpstr>
      <vt:lpstr>HIV_Laboratory_reagents</vt:lpstr>
      <vt:lpstr>HIV_Maintenance_and_service_costs_for_health_equipment</vt:lpstr>
      <vt:lpstr>HIV_Microbiology_analyzers1</vt:lpstr>
      <vt:lpstr>HIV_Microbiology_analyzers2</vt:lpstr>
      <vt:lpstr>HIV_Other_health_equipment</vt:lpstr>
      <vt:lpstr>HIV_Refrigerator1</vt:lpstr>
      <vt:lpstr>HIV_Refrigerator2</vt:lpstr>
      <vt:lpstr>HIV_Spectrofluorimeters_or_fluorimeters1</vt:lpstr>
      <vt:lpstr>HIV_Spectrofluorimeters_or_fluorimeters2</vt:lpstr>
      <vt:lpstr>HIV_Viral_load_and_or_EID_analyzer1</vt:lpstr>
      <vt:lpstr>HIV_Viral_load_and_or_EID_analyzer2</vt:lpstr>
      <vt:lpstr>HIV_Viral_Load_test</vt:lpstr>
      <vt:lpstr>Hologic</vt:lpstr>
      <vt:lpstr>Honduras_HIV_</vt:lpstr>
      <vt:lpstr>Honduras_HIV__USD</vt:lpstr>
      <vt:lpstr>Honduras_HIV_Cooperative_Housing_Foundation_</vt:lpstr>
      <vt:lpstr>Honduras_HIV_Cooperative_Housing_Foundation_USD</vt:lpstr>
      <vt:lpstr>Honduras_HIV_USD</vt:lpstr>
      <vt:lpstr>Honduras_Malaria_</vt:lpstr>
      <vt:lpstr>Honduras_Malaria__</vt:lpstr>
      <vt:lpstr>Honduras_Malaria__USD</vt:lpstr>
      <vt:lpstr>Honduras_Malaria_Cooperative_Housing_Foundation_</vt:lpstr>
      <vt:lpstr>Honduras_Malaria_Cooperative_Housing_Foundation_USD</vt:lpstr>
      <vt:lpstr>Honduras_Malaria_USD</vt:lpstr>
      <vt:lpstr>Honduras_Multi_Cooperative_Housing_Foundation_USD</vt:lpstr>
      <vt:lpstr>Honduras_Multi_USD</vt:lpstr>
      <vt:lpstr>Honduras_TB_</vt:lpstr>
      <vt:lpstr>Honduras_TB__USD</vt:lpstr>
      <vt:lpstr>Honduras_TB_Cooperative_Housing_Foundation_USD</vt:lpstr>
      <vt:lpstr>Honduras_TB_Ministry_of_Health_of_the_Republic_of_Honduras_</vt:lpstr>
      <vt:lpstr>Honduras_TB_Ministry_of_Health_of_the_Republic_of_Honduras_USD</vt:lpstr>
      <vt:lpstr>Honduras_TB_USD</vt:lpstr>
      <vt:lpstr>HPMInvestAutho</vt:lpstr>
      <vt:lpstr>HPMTypeOfInvest</vt:lpstr>
      <vt:lpstr>HPMTypeOfLab</vt:lpstr>
      <vt:lpstr>HPMTypeOfProd</vt:lpstr>
      <vt:lpstr>Ibuprofen</vt:lpstr>
      <vt:lpstr>Imipenem_Cilastatin</vt:lpstr>
      <vt:lpstr>IMP_ST_DATE</vt:lpstr>
      <vt:lpstr>India_HIV_</vt:lpstr>
      <vt:lpstr>India_HIV__USD</vt:lpstr>
      <vt:lpstr>India_HIV_Department_of_Economic_Affairs__Ministry_of_Finance_of_India_USD</vt:lpstr>
      <vt:lpstr>India_HIV_Emmanuel_Hospital_Association_USD</vt:lpstr>
      <vt:lpstr>India_HIV_IL_FS_Education___Technology_Services_Ltd__USD</vt:lpstr>
      <vt:lpstr>India_HIV_India_HIV_AIDS_Alliance_USD</vt:lpstr>
      <vt:lpstr>India_HIV_Indian_Nursing_Council_USD</vt:lpstr>
      <vt:lpstr>India_HIV_Plan_International__India_Chapter__</vt:lpstr>
      <vt:lpstr>India_HIV_Plan_International__India_Chapter__USD</vt:lpstr>
      <vt:lpstr>India_HIV_Solidarity_and_Action_Against_The_HIV_Infection_in_India_USD</vt:lpstr>
      <vt:lpstr>India_HIV_Tata_Institute_of_Social_Sciences_USD</vt:lpstr>
      <vt:lpstr>India_HIV_USD</vt:lpstr>
      <vt:lpstr>India_Malaria_</vt:lpstr>
      <vt:lpstr>India_Malaria__USD</vt:lpstr>
      <vt:lpstr>India_Malaria_Caritas_India_USD</vt:lpstr>
      <vt:lpstr>India_Malaria_Department_of_Economic_Affairs__Ministry_of_Finance_of_India_</vt:lpstr>
      <vt:lpstr>India_Malaria_Department_of_Economic_Affairs__Ministry_of_Finance_of_India_USD</vt:lpstr>
      <vt:lpstr>India_Malaria_USD</vt:lpstr>
      <vt:lpstr>India_Multi_</vt:lpstr>
      <vt:lpstr>India_Multi__USD</vt:lpstr>
      <vt:lpstr>India_Multi_William_J_Clinton_Foundation_</vt:lpstr>
      <vt:lpstr>India_TB_</vt:lpstr>
      <vt:lpstr>India_TB__USD</vt:lpstr>
      <vt:lpstr>India_TB_Centre_for_Health_Research_and_Innovation_</vt:lpstr>
      <vt:lpstr>India_TB_Department_of_Economic_Affairs__Ministry_of_Finance_of_India_</vt:lpstr>
      <vt:lpstr>India_TB_Department_of_Economic_Affairs__Ministry_of_Finance_of_India_USD</vt:lpstr>
      <vt:lpstr>India_TB_FOUNDATION_FOR_INNOVATIVE_NEW_DIAGNOSTICS_INDIA_</vt:lpstr>
      <vt:lpstr>India_TB_International_Bank_for_Reconstruction_and_Development_</vt:lpstr>
      <vt:lpstr>India_TB_International_Union_Against_Tuberculosis_and_Lung_Disease_USD</vt:lpstr>
      <vt:lpstr>India_TB_USD</vt:lpstr>
      <vt:lpstr>India_TB_World_Vision_India_USD</vt:lpstr>
      <vt:lpstr>Indonesia_HIV_</vt:lpstr>
      <vt:lpstr>Indonesia_HIV__</vt:lpstr>
      <vt:lpstr>Indonesia_HIV__USD</vt:lpstr>
      <vt:lpstr>Indonesia_HIV_Directorate_General_of_Disease_Prevention_and_Control__Ministry_of_Health_of_The_Republic_of_Indonesia_USD</vt:lpstr>
      <vt:lpstr>Indonesia_HIV_Indonesia_AIDS_Coalition_</vt:lpstr>
      <vt:lpstr>Indonesia_HIV_Indonesia_Planned_Parenthood_Association_USD</vt:lpstr>
      <vt:lpstr>Indonesia_HIV_Nahdlatul_Ulama_USD</vt:lpstr>
      <vt:lpstr>Indonesia_HIV_National_AIDS_Commission_of_Indonesia_USD</vt:lpstr>
      <vt:lpstr>Indonesia_HIV_USD</vt:lpstr>
      <vt:lpstr>Indonesia_HIV_Yayasan_Spiritia_USD</vt:lpstr>
      <vt:lpstr>Indonesia_Malaria_</vt:lpstr>
      <vt:lpstr>Indonesia_Malaria__</vt:lpstr>
      <vt:lpstr>Indonesia_Malaria__USD</vt:lpstr>
      <vt:lpstr>Indonesia_Malaria_Directorate_General_of_Disease_Prevention_and_Control__Ministry_of_Health_of_The_Republic_of_Indonesia_</vt:lpstr>
      <vt:lpstr>Indonesia_Malaria_Directorate_General_of_Disease_Prevention_and_Control__Ministry_of_Health_of_The_Republic_of_Indonesia_USD</vt:lpstr>
      <vt:lpstr>Indonesia_Malaria_Persatuan_Karya_Dharma_Kesehatan_Indonesia__also_known_as__PERDHAKI___Association_of_Voluntary_Health_Services_of_Indonesia__USD</vt:lpstr>
      <vt:lpstr>Indonesia_Malaria_USD</vt:lpstr>
      <vt:lpstr>Indonesia_Multi_</vt:lpstr>
      <vt:lpstr>Indonesia_Multi_Nahdlatul_Ulama_</vt:lpstr>
      <vt:lpstr>Indonesia_RSSH_Directorate_General_of_Disease_Prevention_and_Control__Ministry_of_Health_of_The_Republic_of_Indonesia_USD</vt:lpstr>
      <vt:lpstr>Indonesia_RSSH_USD</vt:lpstr>
      <vt:lpstr>Indonesia_TB_</vt:lpstr>
      <vt:lpstr>Indonesia_TB__</vt:lpstr>
      <vt:lpstr>Indonesia_TB__USD</vt:lpstr>
      <vt:lpstr>Indonesia_TB_Central_Board_of_‘Aisyiyah_USD</vt:lpstr>
      <vt:lpstr>Indonesia_TB_Directorate_General_of_Disease_Prevention_and_Control__Ministry_of_Health_of_The_Republic_of_Indonesia_USD</vt:lpstr>
      <vt:lpstr>Indonesia_TB_Faculty_of_Public_Health__University_of_Indonesia_USD</vt:lpstr>
      <vt:lpstr>Indonesia_TB_Nahdlatul_Ulama_</vt:lpstr>
      <vt:lpstr>Indonesia_TB_USD</vt:lpstr>
      <vt:lpstr>Insecticides_for_purposes_other_than_IRS</vt:lpstr>
      <vt:lpstr>Iran__Islamic_Republic__HIV_</vt:lpstr>
      <vt:lpstr>Iran__Islamic_Republic__HIV__USD</vt:lpstr>
      <vt:lpstr>Iran__Islamic_Republic__HIV_United_Nations_Development_Programme_</vt:lpstr>
      <vt:lpstr>Iran__Islamic_Republic__HIV_United_Nations_Development_Programme_USD</vt:lpstr>
      <vt:lpstr>Iran__Islamic_Republic__HIV_USD</vt:lpstr>
      <vt:lpstr>Iran__Islamic_Republic__Malaria__USD</vt:lpstr>
      <vt:lpstr>Iran__Islamic_Republic__Malaria_United_Nations_Development_Programme_USD</vt:lpstr>
      <vt:lpstr>Iran__Islamic_Republic__Malaria_USD</vt:lpstr>
      <vt:lpstr>Iran__Islamic_Republic__TB__USD</vt:lpstr>
      <vt:lpstr>Iraq_TB__USD</vt:lpstr>
      <vt:lpstr>Iraq_TB_Swiss_Tropical_and_Public_Health_Institute_USD</vt:lpstr>
      <vt:lpstr>Iraq_TB_United_Nations_Development_Programme_USD</vt:lpstr>
      <vt:lpstr>Iraq_TB_USD</vt:lpstr>
      <vt:lpstr>IRS_equipment_insecticides</vt:lpstr>
      <vt:lpstr>IRS_Insecticides</vt:lpstr>
      <vt:lpstr>Isoniazid</vt:lpstr>
      <vt:lpstr>Isoniazid_Pyrazinamide_Rifampicin</vt:lpstr>
      <vt:lpstr>Isoniazid_Pyridoxine_hydrochl_Sulfamethoxazole_Trimethoprim</vt:lpstr>
      <vt:lpstr>Isoniazid_Rifampicin</vt:lpstr>
      <vt:lpstr>Itraconazole</vt:lpstr>
      <vt:lpstr>Jamaica_HIV_</vt:lpstr>
      <vt:lpstr>Jamaica_HIV__</vt:lpstr>
      <vt:lpstr>Jamaica_HIV__USD</vt:lpstr>
      <vt:lpstr>Jamaica_HIV_Ministry_of_Health_of_Jamaica_</vt:lpstr>
      <vt:lpstr>Jamaica_HIV_Ministry_of_Health_of_Jamaica_USD</vt:lpstr>
      <vt:lpstr>Jamaica_HIV_USD</vt:lpstr>
      <vt:lpstr>Jordan_HIV__USD</vt:lpstr>
      <vt:lpstr>Jordan_TB__USD</vt:lpstr>
      <vt:lpstr>Kanamycin</vt:lpstr>
      <vt:lpstr>Kazakhstan_HIV_</vt:lpstr>
      <vt:lpstr>Kazakhstan_HIV__</vt:lpstr>
      <vt:lpstr>Kazakhstan_HIV__USD</vt:lpstr>
      <vt:lpstr>Kazakhstan_HIV_Kazakh_scientific_center_of_dermatology_and_infectious_diseases_of_the_Ministry_of_Health_of_the_Republic_of_Kazakhstan_</vt:lpstr>
      <vt:lpstr>Kazakhstan_HIV_Kazakh_scientific_center_of_dermatology_and_infectious_diseases_of_the_Ministry_of_Health_of_the_Republic_of_Kazakhstan_USD</vt:lpstr>
      <vt:lpstr>Kazakhstan_HIV_USD</vt:lpstr>
      <vt:lpstr>Kazakhstan_TB_</vt:lpstr>
      <vt:lpstr>Kazakhstan_TB__USD</vt:lpstr>
      <vt:lpstr>Kazakhstan_TB_National_Center_of_Tuberculosis_Problems_of_the_Ministry_of_Healthcare_and_Social_Development_of_the_Republic_of_Kazakhstan_</vt:lpstr>
      <vt:lpstr>Kazakhstan_TB_National_Center_of_Tuberculosis_Problems_of_the_Ministry_of_Healthcare_and_Social_Development_of_the_Republic_of_Kazakhstan_USD</vt:lpstr>
      <vt:lpstr>Kazakhstan_TB_Project_HOPE____the_People_to_People_Health_Foundation_USD</vt:lpstr>
      <vt:lpstr>Kazakhstan_TB_USD</vt:lpstr>
      <vt:lpstr>Kenya_HIV__</vt:lpstr>
      <vt:lpstr>Kenya_HIV__USD</vt:lpstr>
      <vt:lpstr>Kenya_HIV_Kenya_Red_Cross_Society_USD</vt:lpstr>
      <vt:lpstr>Kenya_HIV_National_Treasury_of_the_Republic_of_Kenya_USD</vt:lpstr>
      <vt:lpstr>Kenya_HIV_USD</vt:lpstr>
      <vt:lpstr>Kenya_Malaria_</vt:lpstr>
      <vt:lpstr>Kenya_Malaria__USD</vt:lpstr>
      <vt:lpstr>Kenya_Malaria_Amref_Health_Africa_in_Kenya_</vt:lpstr>
      <vt:lpstr>Kenya_Malaria_Amref_Health_Africa_in_Kenya_USD</vt:lpstr>
      <vt:lpstr>Kenya_Malaria_National_Treasury_of_the_Republic_of_Kenya_USD</vt:lpstr>
      <vt:lpstr>Kenya_Malaria_USD</vt:lpstr>
      <vt:lpstr>Kenya_Multi_</vt:lpstr>
      <vt:lpstr>Kenya_Multi_Amref_Health_Africa_in_Kenya_</vt:lpstr>
      <vt:lpstr>Kenya_TB__</vt:lpstr>
      <vt:lpstr>Kenya_TB__USD</vt:lpstr>
      <vt:lpstr>Kenya_TB_Amref_Health_Africa_in_Kenya_USD</vt:lpstr>
      <vt:lpstr>Kenya_TB_National_Treasury_of_the_Republic_of_Kenya_USD</vt:lpstr>
      <vt:lpstr>Kenya_TB_USD</vt:lpstr>
      <vt:lpstr>KEY</vt:lpstr>
      <vt:lpstr>KEY_1</vt:lpstr>
      <vt:lpstr>Korea__Democratic_Peoples_Republic__Malaria_</vt:lpstr>
      <vt:lpstr>Korea__Democratic_Peoples_Republic__Malaria__USD</vt:lpstr>
      <vt:lpstr>Korea__Democratic_Peoples_Republic__Malaria_United_Nations_Children_s_Fund_</vt:lpstr>
      <vt:lpstr>Korea__Democratic_Peoples_Republic__Malaria_United_Nations_Children_s_Fund_USD</vt:lpstr>
      <vt:lpstr>Korea__Democratic_Peoples_Republic__Malaria_USD</vt:lpstr>
      <vt:lpstr>Korea__Democratic_Peoples_Republic__Multi_</vt:lpstr>
      <vt:lpstr>Korea__Democratic_Peoples_Republic__Multi_United_Nations_Children_s_Fund_</vt:lpstr>
      <vt:lpstr>Korea__Democratic_Peoples_Republic__Multi_United_Nations_Children_s_Fund_USD</vt:lpstr>
      <vt:lpstr>Korea__Democratic_Peoples_Republic__Multi_USD</vt:lpstr>
      <vt:lpstr>Korea__Democratic_Peoples_Republic__TB_</vt:lpstr>
      <vt:lpstr>Korea__Democratic_Peoples_Republic__TB__USD</vt:lpstr>
      <vt:lpstr>Korea__Democratic_Peoples_Republic__TB_United_Nations_Children_s_Fund_</vt:lpstr>
      <vt:lpstr>Korea__Democratic_Peoples_Republic__TB_United_Nations_Children_s_Fund_USD</vt:lpstr>
      <vt:lpstr>Korea__Democratic_Peoples_Republic__TB_USD</vt:lpstr>
      <vt:lpstr>Kosovo_HIV_</vt:lpstr>
      <vt:lpstr>Kosovo_HIV__EUR</vt:lpstr>
      <vt:lpstr>Kosovo_HIV_Community_Development_Fund_</vt:lpstr>
      <vt:lpstr>Kosovo_HIV_Community_Development_Fund_EUR</vt:lpstr>
      <vt:lpstr>Kosovo_HIV_EUR</vt:lpstr>
      <vt:lpstr>Kosovo_TB_</vt:lpstr>
      <vt:lpstr>Kosovo_TB__EUR</vt:lpstr>
      <vt:lpstr>Kosovo_TB__USD</vt:lpstr>
      <vt:lpstr>Kosovo_TB_Community_Development_Fund_</vt:lpstr>
      <vt:lpstr>Kosovo_TB_Community_Development_Fund_EUR</vt:lpstr>
      <vt:lpstr>Kosovo_TB_EUR</vt:lpstr>
      <vt:lpstr>Kyrgyzstan_HIV__USD</vt:lpstr>
      <vt:lpstr>Kyrgyzstan_HIV_United_Nations_Development_Programme_USD</vt:lpstr>
      <vt:lpstr>Kyrgyzstan_HIV_USD</vt:lpstr>
      <vt:lpstr>Kyrgyzstan_Malaria__USD</vt:lpstr>
      <vt:lpstr>Kyrgyzstan_Malaria_United_Nations_Development_Programme_USD</vt:lpstr>
      <vt:lpstr>Kyrgyzstan_Malaria_USD</vt:lpstr>
      <vt:lpstr>Kyrgyzstan_Multi_</vt:lpstr>
      <vt:lpstr>Kyrgyzstan_Multi__</vt:lpstr>
      <vt:lpstr>Kyrgyzstan_Multi_United_Nations_Development_Programme_</vt:lpstr>
      <vt:lpstr>Kyrgyzstan_Multi_United_Nations_Development_Programme_USD</vt:lpstr>
      <vt:lpstr>Kyrgyzstan_Multi_USD</vt:lpstr>
      <vt:lpstr>Kyrgyzstan_TB__</vt:lpstr>
      <vt:lpstr>Kyrgyzstan_TB__USD</vt:lpstr>
      <vt:lpstr>Kyrgyzstan_TB_Project_HOPE____the_People_to_People_Health_Foundation_USD</vt:lpstr>
      <vt:lpstr>Kyrgyzstan_TB_United_Nations_Development_Programme_USD</vt:lpstr>
      <vt:lpstr>Kyrgyzstan_TB_USD</vt:lpstr>
      <vt:lpstr>Laboratory_Equipment_BACTEC_MGIT_960_system</vt:lpstr>
      <vt:lpstr>Laboratory_Equipment_BACTEC_MGIT_other_system</vt:lpstr>
      <vt:lpstr>Laboratory_equipment_for_HIV_program</vt:lpstr>
      <vt:lpstr>Laboratory_equipment_for_TB_program</vt:lpstr>
      <vt:lpstr>Laboratory_Equipment_Incubator</vt:lpstr>
      <vt:lpstr>Laboratory_equipment_Other_equipment</vt:lpstr>
      <vt:lpstr>Laboratory_equipment_Other_maintenance_and_services</vt:lpstr>
      <vt:lpstr>Laboratory_equipment_Spare_parts_and_accessories</vt:lpstr>
      <vt:lpstr>Laboratory_reagents_Other</vt:lpstr>
      <vt:lpstr>Lactulose_as_liquid</vt:lpstr>
      <vt:lpstr>Lamivudine</vt:lpstr>
      <vt:lpstr>Lamivudine_Tenofovir</vt:lpstr>
      <vt:lpstr>Lamivudine_Tenofovir_Atazanavir_Ritonavir</vt:lpstr>
      <vt:lpstr>Lamivudine_Zidovudine</vt:lpstr>
      <vt:lpstr>Lamivudine_Zidovudine_Efavirenz</vt:lpstr>
      <vt:lpstr>LANGUAGELIST</vt:lpstr>
      <vt:lpstr>Lao__Peoples_Democratic_Republic__HIV_</vt:lpstr>
      <vt:lpstr>Lao__Peoples_Democratic_Republic__HIV__USD</vt:lpstr>
      <vt:lpstr>Lao__Peoples_Democratic_Republic__HIV_Ministry_of_Health_of_the_Lao_People_s_Democratic_Republic_</vt:lpstr>
      <vt:lpstr>Lao__Peoples_Democratic_Republic__HIV_Ministry_of_Health_of_the_Lao_People_s_Democratic_Republic_USD</vt:lpstr>
      <vt:lpstr>Lao__Peoples_Democratic_Republic__HIV_USD</vt:lpstr>
      <vt:lpstr>Lao__Peoples_Democratic_Republic__Malaria__USD</vt:lpstr>
      <vt:lpstr>Lao__Peoples_Democratic_Republic__Malaria_Ministry_of_Health_of_the_Lao_People_s_Democratic_Republic_USD</vt:lpstr>
      <vt:lpstr>Lao__Peoples_Democratic_Republic__Malaria_USD</vt:lpstr>
      <vt:lpstr>Lao__Peoples_Democratic_Republic__Multi__</vt:lpstr>
      <vt:lpstr>Lao__Peoples_Democratic_Republic__RSSH_Ministry_of_Health_of_the_Lao_People_s_Democratic_Republic_USD</vt:lpstr>
      <vt:lpstr>Lao__Peoples_Democratic_Republic__RSSH_USD</vt:lpstr>
      <vt:lpstr>Lao__Peoples_Democratic_Republic__TB_</vt:lpstr>
      <vt:lpstr>Lao__Peoples_Democratic_Republic__TB__USD</vt:lpstr>
      <vt:lpstr>Lao__Peoples_Democratic_Republic__TB_Ministry_of_Health_of_the_Lao_People_s_Democratic_Republic_</vt:lpstr>
      <vt:lpstr>Lao__Peoples_Democratic_Republic__TB_Ministry_of_Health_of_the_Lao_People_s_Democratic_Republic_USD</vt:lpstr>
      <vt:lpstr>Lao__Peoples_Democratic_Republic__TB_USD</vt:lpstr>
      <vt:lpstr>Lesotho_HIV__</vt:lpstr>
      <vt:lpstr>Lesotho_HIV__USD</vt:lpstr>
      <vt:lpstr>Lesotho_HIV_Ministry_of_Finance_of_the_Kingdom_of_Lesotho_USD</vt:lpstr>
      <vt:lpstr>Lesotho_HIV_Pact_Lesotho_USD</vt:lpstr>
      <vt:lpstr>Lesotho_HIV_USD</vt:lpstr>
      <vt:lpstr>Lesotho_Multi_</vt:lpstr>
      <vt:lpstr>Lesotho_Multi_Ministry_of_Finance_of_the_Kingdom_of_Lesotho_USD</vt:lpstr>
      <vt:lpstr>Lesotho_Multi_Pact_Lesotho_</vt:lpstr>
      <vt:lpstr>Lesotho_Multi_Pact_Lesotho_USD</vt:lpstr>
      <vt:lpstr>Lesotho_Multi_USD</vt:lpstr>
      <vt:lpstr>Lesotho_TB__USD</vt:lpstr>
      <vt:lpstr>Lesotho_TB_Ministry_of_Finance_of_the_Kingdom_of_Lesotho_USD</vt:lpstr>
      <vt:lpstr>Lesotho_TB_USD</vt:lpstr>
      <vt:lpstr>Levofloxacin</vt:lpstr>
      <vt:lpstr>Liberia_HIV____</vt:lpstr>
      <vt:lpstr>Liberia_HIV___USD</vt:lpstr>
      <vt:lpstr>Liberia_HIV_Ministry_of_Health_and_Social_Welfare_of_the_Republic_of_Liberia_USD</vt:lpstr>
      <vt:lpstr>Liberia_HIV_Population_Services_International_USD</vt:lpstr>
      <vt:lpstr>Liberia_HIV_USD</vt:lpstr>
      <vt:lpstr>Liberia_Malaria__</vt:lpstr>
      <vt:lpstr>Liberia_Malaria___USD</vt:lpstr>
      <vt:lpstr>Liberia_Malaria_Ministry_of_Health_and_Social_Welfare_of_the_Republic_of_Liberia_USD</vt:lpstr>
      <vt:lpstr>Liberia_Malaria_Plan_International__Inc___</vt:lpstr>
      <vt:lpstr>Liberia_Malaria_Plan_International__Inc__USD</vt:lpstr>
      <vt:lpstr>Liberia_Malaria_USD</vt:lpstr>
      <vt:lpstr>Liberia_Multi__</vt:lpstr>
      <vt:lpstr>Liberia_Multi____</vt:lpstr>
      <vt:lpstr>Liberia_Multi_Ministry_of_Health_and_Social_Welfare_of_the_Republic_of_Liberia_USD</vt:lpstr>
      <vt:lpstr>Liberia_Multi_Population_Services_International__</vt:lpstr>
      <vt:lpstr>Liberia_Multi_USD</vt:lpstr>
      <vt:lpstr>Liberia_TB___USD</vt:lpstr>
      <vt:lpstr>Liberia_TB_Ministry_of_Health_and_Social_Welfare_of_the_Republic_of_Liberia_USD</vt:lpstr>
      <vt:lpstr>Liberia_TB_USD</vt:lpstr>
      <vt:lpstr>Linezolide</vt:lpstr>
      <vt:lpstr>Liquid_culture_and_DST_Media_Reagents_Antibiotics</vt:lpstr>
      <vt:lpstr>Liquid_culture_and_DST_Other_reagents_not_consumables</vt:lpstr>
      <vt:lpstr>Liquid_culture_and_DST_Reagents_kits</vt:lpstr>
      <vt:lpstr>ListMalariaMed</vt:lpstr>
      <vt:lpstr>ListTBMed</vt:lpstr>
      <vt:lpstr>LLINs_mass_campaign</vt:lpstr>
      <vt:lpstr>LLINs_mass_campaigns</vt:lpstr>
      <vt:lpstr>LLINs_routine_distribution</vt:lpstr>
      <vt:lpstr>LLINs_routine_distributions</vt:lpstr>
      <vt:lpstr>Lopinavir_Ritonavir</vt:lpstr>
      <vt:lpstr>LPA_Equipment_reagents</vt:lpstr>
      <vt:lpstr>Lubricant</vt:lpstr>
      <vt:lpstr>Lubricants</vt:lpstr>
      <vt:lpstr>Lumpsumpharma</vt:lpstr>
      <vt:lpstr>Madagascar_HIV__</vt:lpstr>
      <vt:lpstr>Madagascar_HIV____</vt:lpstr>
      <vt:lpstr>Madagascar_HIV___USD</vt:lpstr>
      <vt:lpstr>Madagascar_HIV_Population_Services_International_USD</vt:lpstr>
      <vt:lpstr>Madagascar_HIV_S_cr_tariat_Ex_cutif_du_Comit__National_de_Lutte_Contre_le_VIH_SIDA_de_la_R_publique_de_Madagascar__</vt:lpstr>
      <vt:lpstr>Madagascar_HIV_S_cr_tariat_Ex_cutif_du_Comit__National_de_Lutte_Contre_le_VIH_SIDA_de_la_R_publique_de_Madagascar_USD</vt:lpstr>
      <vt:lpstr>Madagascar_HIV_USD</vt:lpstr>
      <vt:lpstr>Madagascar_Malaria__</vt:lpstr>
      <vt:lpstr>Madagascar_Malaria____</vt:lpstr>
      <vt:lpstr>Madagascar_Malaria___USD</vt:lpstr>
      <vt:lpstr>Madagascar_Malaria_Ministry_of_Public_Health_of_the_Republic_of_Madagascar_USD</vt:lpstr>
      <vt:lpstr>Madagascar_Malaria_Pact_Madagascar_USD</vt:lpstr>
      <vt:lpstr>Madagascar_Malaria_Population_Services_International__</vt:lpstr>
      <vt:lpstr>Madagascar_Malaria_Population_Services_International_USD</vt:lpstr>
      <vt:lpstr>Madagascar_Malaria_Unit__de_Gestion_des_Projets_d_Appui_au_Secteur_Sant__de_la_R_publique_de_Madagascar_USD</vt:lpstr>
      <vt:lpstr>Madagascar_Malaria_USD</vt:lpstr>
      <vt:lpstr>Madagascar_TB__</vt:lpstr>
      <vt:lpstr>Madagascar_TB____</vt:lpstr>
      <vt:lpstr>Madagascar_TB___USD</vt:lpstr>
      <vt:lpstr>Madagascar_TB_Office_National_de_Nutrition__</vt:lpstr>
      <vt:lpstr>Madagascar_TB_Office_National_de_Nutrition_USD</vt:lpstr>
      <vt:lpstr>Madagascar_TB_Pact_Madagascar_USD</vt:lpstr>
      <vt:lpstr>Madagascar_TB_USD</vt:lpstr>
      <vt:lpstr>Maintenance_and_service_costs_for_health_equipment</vt:lpstr>
      <vt:lpstr>Maintenance_and_service_costs_for_health_equipment_HIV_program</vt:lpstr>
      <vt:lpstr>Malaria_Consumables</vt:lpstr>
      <vt:lpstr>Malaria_Laboratory_equipment</vt:lpstr>
      <vt:lpstr>Malaria_Laboratory_reagents</vt:lpstr>
      <vt:lpstr>Malaria_Microscopy_Equipment_reagents</vt:lpstr>
      <vt:lpstr>MalariaRDTs</vt:lpstr>
      <vt:lpstr>MalariaVectorC</vt:lpstr>
      <vt:lpstr>Malawi_HIV___USD</vt:lpstr>
      <vt:lpstr>Malawi_HIV_The_Registered_Trustees_of_the_National_AIDS_Commission_Trust_of_the_Republic_of_Malawi_USD</vt:lpstr>
      <vt:lpstr>Malawi_HIV_USD</vt:lpstr>
      <vt:lpstr>Malawi_Malaria__</vt:lpstr>
      <vt:lpstr>Malawi_Malaria____</vt:lpstr>
      <vt:lpstr>Malawi_Malaria___USD</vt:lpstr>
      <vt:lpstr>Malawi_Malaria_Ministry_of_Health_of_the_Republic_of_Malawi_USD</vt:lpstr>
      <vt:lpstr>Malawi_Malaria_USD</vt:lpstr>
      <vt:lpstr>Malawi_Malaria_World_Vision_Malawi__</vt:lpstr>
      <vt:lpstr>Malawi_Malaria_World_Vision_Malawi_USD</vt:lpstr>
      <vt:lpstr>Malawi_Multi__</vt:lpstr>
      <vt:lpstr>Malawi_Multi____</vt:lpstr>
      <vt:lpstr>Malawi_Multi_ActionAid_International_Malawi__</vt:lpstr>
      <vt:lpstr>Malawi_Multi_ActionAid_International_Malawi_USD</vt:lpstr>
      <vt:lpstr>Malawi_Multi_Ministry_of_Health_of_the_Republic_of_Malawi_USD</vt:lpstr>
      <vt:lpstr>Malawi_Multi_USD</vt:lpstr>
      <vt:lpstr>Malawi_RSSH___USD</vt:lpstr>
      <vt:lpstr>Malawi_TB_Ministry_of_Health_of_the_Republic_of_Malawi_USD</vt:lpstr>
      <vt:lpstr>Malawi_TB_USD</vt:lpstr>
      <vt:lpstr>Malaysia_HIV__</vt:lpstr>
      <vt:lpstr>Malaysia_HIV____</vt:lpstr>
      <vt:lpstr>Malaysia_HIV_Malaysian_AIDS_Council__</vt:lpstr>
      <vt:lpstr>Malaysia_HIV_Malaysian_AIDS_Council_USD</vt:lpstr>
      <vt:lpstr>Malaysia_HIV_USD</vt:lpstr>
      <vt:lpstr>Maldives_HIV___USD</vt:lpstr>
      <vt:lpstr>Male_condom</vt:lpstr>
      <vt:lpstr>Mali_HIV___EUR</vt:lpstr>
      <vt:lpstr>Mali_HIV_EUR</vt:lpstr>
      <vt:lpstr>Mali_HIV_National_High_Council_for_the_Fight_against_AIDS_in_the_Republic_of_Mali_EUR</vt:lpstr>
      <vt:lpstr>Mali_HIV_National_High_Council_for_the_Fight_against_AIDS_in_the_Republic_of_Mali_USD</vt:lpstr>
      <vt:lpstr>Mali_HIV_Plan_International__Inc__EUR</vt:lpstr>
      <vt:lpstr>Mali_HIV_United_Nations_Development_Programme_EUR</vt:lpstr>
      <vt:lpstr>Mali_HIV_USD</vt:lpstr>
      <vt:lpstr>Mali_Malaria__</vt:lpstr>
      <vt:lpstr>Mali_Malaria___USD</vt:lpstr>
      <vt:lpstr>Mali_Malaria_EUR</vt:lpstr>
      <vt:lpstr>Mali_Malaria_Groupe_Pivot_Sant__Population_USD</vt:lpstr>
      <vt:lpstr>Mali_Malaria_Population_Services_International__</vt:lpstr>
      <vt:lpstr>Mali_Malaria_Population_Services_International_EUR</vt:lpstr>
      <vt:lpstr>Mali_Malaria_USD</vt:lpstr>
      <vt:lpstr>Mali_Multi__</vt:lpstr>
      <vt:lpstr>Mali_Multi____</vt:lpstr>
      <vt:lpstr>Mali_Multi_Plan_International__Inc___</vt:lpstr>
      <vt:lpstr>Mali_TB___USD</vt:lpstr>
      <vt:lpstr>Mali_TB_Catholic_Relief_Services___United_States_Conference_of_Catholic_Bishops_EUR</vt:lpstr>
      <vt:lpstr>Mali_TB_EUR</vt:lpstr>
      <vt:lpstr>Mali_TB_The_Ministry_of_Health_of_the_Republic_of_Mali_EUR</vt:lpstr>
      <vt:lpstr>Mauritania_HIV__</vt:lpstr>
      <vt:lpstr>Mauritania_HIV_Secr_tariat_Ex_cutif_National_de_Lutte_contre_le_SIDA_de_la_R_publique_Islamique_de_Mauritanie__</vt:lpstr>
      <vt:lpstr>Mauritania_HIV_Secr_tariat_Ex_cutif_National_de_Lutte_contre_le_SIDA_de_la_R_publique_Islamique_de_Mauritanie_USD</vt:lpstr>
      <vt:lpstr>Mauritania_HIV_USD</vt:lpstr>
      <vt:lpstr>Mauritania_Malaria__</vt:lpstr>
      <vt:lpstr>Mauritania_Malaria_Secr_tariat_Ex_cutif_National_de_Lutte_contre_le_SIDA_de_la_R_publique_Islamique_de_Mauritanie__</vt:lpstr>
      <vt:lpstr>Mauritania_Malaria_Secr_tariat_Ex_cutif_National_de_Lutte_contre_le_SIDA_de_la_R_publique_Islamique_de_Mauritanie_USD</vt:lpstr>
      <vt:lpstr>Mauritania_Malaria_United_Nations_Development_Programme_USD</vt:lpstr>
      <vt:lpstr>Mauritania_Malaria_USD</vt:lpstr>
      <vt:lpstr>Mauritania_Multi__</vt:lpstr>
      <vt:lpstr>Mauritania_Multi_Secr_tariat_Ex_cutif_National_de_Lutte_contre_le_SIDA_de_la_R_publique_Islamique_de_Mauritanie__</vt:lpstr>
      <vt:lpstr>Mauritania_Multi_Secr_tariat_Ex_cutif_National_de_Lutte_contre_le_SIDA_de_la_R_publique_Islamique_de_Mauritanie_USD</vt:lpstr>
      <vt:lpstr>Mauritania_Multi_USD</vt:lpstr>
      <vt:lpstr>Mauritania_RSSH____</vt:lpstr>
      <vt:lpstr>Mauritania_TB__</vt:lpstr>
      <vt:lpstr>Mauritania_TB_Secr_tariat_Ex_cutif_National_de_Lutte_contre_le_SIDA_de_la_R_publique_Islamique_de_Mauritanie__</vt:lpstr>
      <vt:lpstr>Mauritania_TB_Secr_tariat_Ex_cutif_National_de_Lutte_contre_le_SIDA_de_la_R_publique_Islamique_de_Mauritanie_USD</vt:lpstr>
      <vt:lpstr>Mauritania_TB_United_Nations_Development_Programme_USD</vt:lpstr>
      <vt:lpstr>Mauritania_TB_USD</vt:lpstr>
      <vt:lpstr>Mauritius_HIV__</vt:lpstr>
      <vt:lpstr>Mauritius_HIV___EUR</vt:lpstr>
      <vt:lpstr>Mauritius_HIV_EUR</vt:lpstr>
      <vt:lpstr>Mauritius_HIV_Ministry_of_Health_and_Quality_of_Life__implementing_through_the_National_AIDS_Secretariat__of_the_Republic_of_Mauritius_EUR</vt:lpstr>
      <vt:lpstr>Mauritius_HIV_Ministry_of_Health_and_Quality_of_Life__implementing_through_the_National_AIDS_Secretariat__of_the_Republic_of_Mauritius_USD</vt:lpstr>
      <vt:lpstr>Mauritius_HIV_Pr_vention_Information_Lutte_contre_le_Sida__</vt:lpstr>
      <vt:lpstr>Mauritius_HIV_Pr_vention_Information_Lutte_contre_le_Sida_EUR</vt:lpstr>
      <vt:lpstr>Mauritius_HIV_Pr_vention_Information_Lutte_contre_le_Sida_USD</vt:lpstr>
      <vt:lpstr>Mauritius_HIV_USD</vt:lpstr>
      <vt:lpstr>MDR_XDR_TB_medicines</vt:lpstr>
      <vt:lpstr>MDR_XDR_TB_medicines_for_Section2</vt:lpstr>
      <vt:lpstr>MDR_XDR_TB_medicines_for_Section3</vt:lpstr>
      <vt:lpstr>Mefloquine</vt:lpstr>
      <vt:lpstr>Meropenem</vt:lpstr>
      <vt:lpstr>Methadone_opioid_substitute</vt:lpstr>
      <vt:lpstr>Metronidazole</vt:lpstr>
      <vt:lpstr>Mexico_HIV___USD</vt:lpstr>
      <vt:lpstr>Microbiology_analyzers</vt:lpstr>
      <vt:lpstr>Microscope_Equipment</vt:lpstr>
      <vt:lpstr>Microscope_Maintenance_and_services</vt:lpstr>
      <vt:lpstr>Microscope_other</vt:lpstr>
      <vt:lpstr>Microscope_Spare_parts_and_accessories</vt:lpstr>
      <vt:lpstr>Microscopy__Malaria_consumables</vt:lpstr>
      <vt:lpstr>Microscopy_Malaria_consumables</vt:lpstr>
      <vt:lpstr>Microscopy_Malaria_smear_microscopy_reagents</vt:lpstr>
      <vt:lpstr>Microscopy_TB_consumables</vt:lpstr>
      <vt:lpstr>Microscopy_TB_smear_microscopy_reagent_kits</vt:lpstr>
      <vt:lpstr>Microscopy_TB_smear_microscopy_reagents</vt:lpstr>
      <vt:lpstr>MO_CHECK</vt:lpstr>
      <vt:lpstr>Moldova_HIV__</vt:lpstr>
      <vt:lpstr>Moldova_HIV___EUR</vt:lpstr>
      <vt:lpstr>Moldova_HIV___USD</vt:lpstr>
      <vt:lpstr>Moldova_HIV_Center_for_Health_Policies_and_Studies__</vt:lpstr>
      <vt:lpstr>Moldova_HIV_Center_for_Health_Policies_and_Studies_EUR</vt:lpstr>
      <vt:lpstr>Moldova_HIV_EUR</vt:lpstr>
      <vt:lpstr>Moldova_HIV_Public_Institution___Coordination__Implementation_and_Monitoring_Unit_of_the_Health__System_Projects_USD</vt:lpstr>
      <vt:lpstr>Moldova_HIV_USD</vt:lpstr>
      <vt:lpstr>Moldova_Multi____</vt:lpstr>
      <vt:lpstr>Moldova_Multi___USD</vt:lpstr>
      <vt:lpstr>Moldova_Multi_EUR</vt:lpstr>
      <vt:lpstr>Moldova_Multi_Public_Institution___Coordination__Implementation_and_Monitoring_Unit_of_the_Health__System_Projects_EUR</vt:lpstr>
      <vt:lpstr>Moldova_TB__</vt:lpstr>
      <vt:lpstr>Moldova_TB____</vt:lpstr>
      <vt:lpstr>Moldova_TB___EUR</vt:lpstr>
      <vt:lpstr>Moldova_TB___USD</vt:lpstr>
      <vt:lpstr>Moldova_TB_Center_for_Health_Policies_and_Studies__</vt:lpstr>
      <vt:lpstr>Moldova_TB_Center_for_Health_Policies_and_Studies_EUR</vt:lpstr>
      <vt:lpstr>Moldova_TB_EUR</vt:lpstr>
      <vt:lpstr>Moldova_TB_Public_Institution___Coordination__Implementation_and_Monitoring_Unit_of_the_Health__System_Projects_EUR</vt:lpstr>
      <vt:lpstr>Molecular_diagnosis_LPA_Chemicals</vt:lpstr>
      <vt:lpstr>Molecular_diagnosis_LPA_Equipment</vt:lpstr>
      <vt:lpstr>Molecular_diagnosis_LPA_Equipment_maintenance_and_services</vt:lpstr>
      <vt:lpstr>Molecular_diagnosis_LPA_Equipment_spare_parts_and_accessories</vt:lpstr>
      <vt:lpstr>Molecular_diagnosis_LPA_Other_reagents_no_consumables</vt:lpstr>
      <vt:lpstr>Molecular_diagnosis_LPA_Reagents_kits</vt:lpstr>
      <vt:lpstr>Mongolia_HIV__</vt:lpstr>
      <vt:lpstr>Mongolia_HIV___USD</vt:lpstr>
      <vt:lpstr>Mongolia_HIV_Ministry_of_Health_of_Mongolia__</vt:lpstr>
      <vt:lpstr>Mongolia_HIV_Ministry_of_Health_of_Mongolia_USD</vt:lpstr>
      <vt:lpstr>Mongolia_HIV_USD</vt:lpstr>
      <vt:lpstr>Mongolia_Multi____</vt:lpstr>
      <vt:lpstr>Mongolia_RSSH___USD</vt:lpstr>
      <vt:lpstr>Mongolia_TB__</vt:lpstr>
      <vt:lpstr>Mongolia_TB____</vt:lpstr>
      <vt:lpstr>Mongolia_TB___USD</vt:lpstr>
      <vt:lpstr>Mongolia_TB_Ministry_of_Health_of_Mongolia__</vt:lpstr>
      <vt:lpstr>Mongolia_TB_Ministry_of_Health_of_Mongolia_USD</vt:lpstr>
      <vt:lpstr>Mongolia_TB_USD</vt:lpstr>
      <vt:lpstr>Montenegro_HIV__</vt:lpstr>
      <vt:lpstr>Montenegro_HIV___EUR</vt:lpstr>
      <vt:lpstr>Montenegro_HIV_EUR</vt:lpstr>
      <vt:lpstr>Montenegro_HIV_Ministry_of_Health_of_Montenegro__</vt:lpstr>
      <vt:lpstr>Montenegro_HIV_Ministry_of_Health_of_Montenegro_EUR</vt:lpstr>
      <vt:lpstr>Montenegro_HIV_United_Nations_Development_Programme_EUR</vt:lpstr>
      <vt:lpstr>Montenegro_TB___EUR</vt:lpstr>
      <vt:lpstr>Morocco_HIV__</vt:lpstr>
      <vt:lpstr>Morocco_HIV___USD</vt:lpstr>
      <vt:lpstr>Morocco_HIV_Ministry_of_Health_of_the_Kingdom_of_Morocco__</vt:lpstr>
      <vt:lpstr>Morocco_HIV_Ministry_of_Health_of_the_Kingdom_of_Morocco_USD</vt:lpstr>
      <vt:lpstr>Morocco_HIV_USD</vt:lpstr>
      <vt:lpstr>Morocco_Multi____</vt:lpstr>
      <vt:lpstr>Morocco_RSSH_EUR</vt:lpstr>
      <vt:lpstr>Morocco_RSSH_Ministry_of_Health_of_the_Kingdom_of_Morocco_EUR</vt:lpstr>
      <vt:lpstr>Morocco_TB__</vt:lpstr>
      <vt:lpstr>Morocco_TB___USD</vt:lpstr>
      <vt:lpstr>Morocco_TB_Ministry_of_Health_of_the_Kingdom_of_Morocco__</vt:lpstr>
      <vt:lpstr>Morocco_TB_Ministry_of_Health_of_the_Kingdom_of_Morocco_USD</vt:lpstr>
      <vt:lpstr>Morocco_TB_USD</vt:lpstr>
      <vt:lpstr>Moxifloxacin</vt:lpstr>
      <vt:lpstr>Mozambique_HIV____</vt:lpstr>
      <vt:lpstr>Mozambique_HIV___USD</vt:lpstr>
      <vt:lpstr>Mozambique_HIV_Funda__o_para_o_Desenvolvimento_da_Comunidade_USD</vt:lpstr>
      <vt:lpstr>Mozambique_HIV_Ministry_of_Health_of_Mozambique_USD</vt:lpstr>
      <vt:lpstr>Mozambique_HIV_USD</vt:lpstr>
      <vt:lpstr>Mozambique_Malaria__</vt:lpstr>
      <vt:lpstr>Mozambique_Malaria____</vt:lpstr>
      <vt:lpstr>Mozambique_Malaria___USD</vt:lpstr>
      <vt:lpstr>Mozambique_Malaria_Ministry_of_Health_of_Mozambique__</vt:lpstr>
      <vt:lpstr>Mozambique_Malaria_Ministry_of_Health_of_Mozambique_USD</vt:lpstr>
      <vt:lpstr>Mozambique_Malaria_USD</vt:lpstr>
      <vt:lpstr>Mozambique_Malaria_World_Vision_Mozambique_USD</vt:lpstr>
      <vt:lpstr>Mozambique_Multi__</vt:lpstr>
      <vt:lpstr>Mozambique_Multi_Centro_de_Colabora__o_em_Sa_de__</vt:lpstr>
      <vt:lpstr>Mozambique_Multi_Funda__o_para_o_Desenvolvimento_da_Comunidade__</vt:lpstr>
      <vt:lpstr>Mozambique_Multi_Funda__o_para_o_Desenvolvimento_da_Comunidade_USD</vt:lpstr>
      <vt:lpstr>Mozambique_Multi_Ministry_of_Health_of_Mozambique__</vt:lpstr>
      <vt:lpstr>Mozambique_Multi_USD</vt:lpstr>
      <vt:lpstr>Mozambique_RSSH_Ministry_of_Health_of_Mozambique_USD</vt:lpstr>
      <vt:lpstr>Mozambique_RSSH_USD</vt:lpstr>
      <vt:lpstr>Mozambique_TB___USD</vt:lpstr>
      <vt:lpstr>Mozambique_TB_Ministry_of_Health_of_Mozambique_USD</vt:lpstr>
      <vt:lpstr>Mozambique_TB_USD</vt:lpstr>
      <vt:lpstr>MTB_MPT64_identification_Other_reagents</vt:lpstr>
      <vt:lpstr>MTB_MPT64_identification_Rapid_test</vt:lpstr>
      <vt:lpstr>Myanmar_HIV___USD</vt:lpstr>
      <vt:lpstr>Myanmar_HIV_Save_the_Children_Federation__Inc__USD</vt:lpstr>
      <vt:lpstr>Myanmar_HIV_United_Nations_Office_for_Project_Services_USD</vt:lpstr>
      <vt:lpstr>Myanmar_HIV_USD</vt:lpstr>
      <vt:lpstr>Myanmar_Malaria___USD</vt:lpstr>
      <vt:lpstr>Myanmar_Malaria_Save_the_Children_Federation__Inc__USD</vt:lpstr>
      <vt:lpstr>Myanmar_Malaria_United_Nations_Office_for_Project_Services_USD</vt:lpstr>
      <vt:lpstr>Myanmar_Malaria_USD</vt:lpstr>
      <vt:lpstr>Myanmar_Multi__</vt:lpstr>
      <vt:lpstr>Myanmar_Multi____</vt:lpstr>
      <vt:lpstr>Myanmar_Multi_United_Nations_Office_for_Project_Services__</vt:lpstr>
      <vt:lpstr>Myanmar_TB___USD</vt:lpstr>
      <vt:lpstr>Myanmar_TB_Save_the_Children_Federation__Inc__USD</vt:lpstr>
      <vt:lpstr>Myanmar_TB_United_Nations_Office_for_Project_Services_USD</vt:lpstr>
      <vt:lpstr>Myanmar_TB_USD</vt:lpstr>
      <vt:lpstr>Namibia_HIV_Ministry_of_Health_and_Social_Services_of_Namibia_USD</vt:lpstr>
      <vt:lpstr>Namibia_HIV_Namibia_Network_of_AIDS_Service_Organizations_USD</vt:lpstr>
      <vt:lpstr>Namibia_HIV_USD</vt:lpstr>
      <vt:lpstr>Namibia_Malaria__</vt:lpstr>
      <vt:lpstr>Namibia_Malaria____</vt:lpstr>
      <vt:lpstr>Namibia_Malaria___USD</vt:lpstr>
      <vt:lpstr>Namibia_Malaria_Ministry_of_Health_and_Social_Services_of_Namibia__</vt:lpstr>
      <vt:lpstr>Namibia_Malaria_Ministry_of_Health_and_Social_Services_of_Namibia_USD</vt:lpstr>
      <vt:lpstr>Namibia_Malaria_USD</vt:lpstr>
      <vt:lpstr>Namibia_Multi__</vt:lpstr>
      <vt:lpstr>Namibia_Multi_Ministry_of_Health_and_Social_Services_of_Namibia__</vt:lpstr>
      <vt:lpstr>Namibia_Multi_Namibia_Network_of_AIDS_Service_Organizations__</vt:lpstr>
      <vt:lpstr>Namibia_Multi_Namibia_Network_of_AIDS_Service_Organizations_USD</vt:lpstr>
      <vt:lpstr>Namibia_Multi_USD</vt:lpstr>
      <vt:lpstr>Namibia_TB____</vt:lpstr>
      <vt:lpstr>Namibia_TB___USD</vt:lpstr>
      <vt:lpstr>Namibia_TB_Ministry_of_Health_and_Social_Services_of_Namibia_USD</vt:lpstr>
      <vt:lpstr>Namibia_TB_USD</vt:lpstr>
      <vt:lpstr>NbMachin</vt:lpstr>
      <vt:lpstr>Nepal_HIV__</vt:lpstr>
      <vt:lpstr>Nepal_HIV____</vt:lpstr>
      <vt:lpstr>Nepal_HIV___USD</vt:lpstr>
      <vt:lpstr>Nepal_HIV_Save_the_Children_Federation__Inc___</vt:lpstr>
      <vt:lpstr>Nepal_HIV_Save_the_Children_Federation__Inc__USD</vt:lpstr>
      <vt:lpstr>Nepal_HIV_The_Ministry_of_Health_and_Population_of_Nepal_USD</vt:lpstr>
      <vt:lpstr>Nepal_HIV_USD</vt:lpstr>
      <vt:lpstr>Nepal_Malaria__</vt:lpstr>
      <vt:lpstr>Nepal_Malaria____</vt:lpstr>
      <vt:lpstr>Nepal_Malaria___USD</vt:lpstr>
      <vt:lpstr>Nepal_Malaria_Population_Services_International_USD</vt:lpstr>
      <vt:lpstr>Nepal_Malaria_Save_the_Children_Federation__Inc___</vt:lpstr>
      <vt:lpstr>Nepal_Malaria_Save_the_Children_Federation__Inc__USD</vt:lpstr>
      <vt:lpstr>Nepal_Malaria_The_Ministry_of_Health_and_Population_of_Nepal_USD</vt:lpstr>
      <vt:lpstr>Nepal_Malaria_USD</vt:lpstr>
      <vt:lpstr>Nepal_Multi____</vt:lpstr>
      <vt:lpstr>Nepal_TB__</vt:lpstr>
      <vt:lpstr>Nepal_TB____</vt:lpstr>
      <vt:lpstr>Nepal_TB___USD</vt:lpstr>
      <vt:lpstr>Nepal_TB_Save_the_Children_Federation__Inc___</vt:lpstr>
      <vt:lpstr>Nepal_TB_Save_the_Children_Federation__Inc__USD</vt:lpstr>
      <vt:lpstr>Nepal_TB_The_Ministry_of_Health_and_Population_of_Nepal_USD</vt:lpstr>
      <vt:lpstr>Nepal_TB_USD</vt:lpstr>
      <vt:lpstr>Nevirapine</vt:lpstr>
      <vt:lpstr>Nevirapine_10mg_ml_oral_suspension_240ml</vt:lpstr>
      <vt:lpstr>Nicaragua_HIV__</vt:lpstr>
      <vt:lpstr>Nicaragua_HIV___USD</vt:lpstr>
      <vt:lpstr>Nicaragua_HIV_Instituto_Nicarag_ense_de_Seguridad_Social_USD</vt:lpstr>
      <vt:lpstr>Nicaragua_HIV_USD</vt:lpstr>
      <vt:lpstr>Nicaragua_HIV_World_Vision_International_para_Nicaragua__</vt:lpstr>
      <vt:lpstr>Nicaragua_HIV_World_Vision_International_para_Nicaragua_USD</vt:lpstr>
      <vt:lpstr>Nicaragua_Malaria__</vt:lpstr>
      <vt:lpstr>Nicaragua_Malaria___USD</vt:lpstr>
      <vt:lpstr>Nicaragua_Malaria_Federaci_n_Red_NICASALUD__</vt:lpstr>
      <vt:lpstr>Nicaragua_Malaria_Federaci_n_Red_NICASALUD_USD</vt:lpstr>
      <vt:lpstr>Nicaragua_Malaria_USD</vt:lpstr>
      <vt:lpstr>Nicaragua_TB__</vt:lpstr>
      <vt:lpstr>Nicaragua_TB___USD</vt:lpstr>
      <vt:lpstr>Nicaragua_TB_Instituto_Nicarag_ense_de_Seguridad_Social__</vt:lpstr>
      <vt:lpstr>Nicaragua_TB_Instituto_Nicarag_ense_de_Seguridad_Social_USD</vt:lpstr>
      <vt:lpstr>Nicaragua_TB_USD</vt:lpstr>
      <vt:lpstr>Nicaragua_TB_World_Vision_International_para_Nicaragua_USD</vt:lpstr>
      <vt:lpstr>Niger_HIV__</vt:lpstr>
      <vt:lpstr>Niger_HIV____</vt:lpstr>
      <vt:lpstr>Niger_HIV___USD</vt:lpstr>
      <vt:lpstr>Niger_HIV_Coordination_Intersectorielle_de_Lutte_contre_les_IST_VIH_SIDA_de_la_R_publique_du_Niger__</vt:lpstr>
      <vt:lpstr>Niger_HIV_Coordination_Intersectorielle_de_Lutte_contre_les_IST_VIH_SIDA_de_la_R_publique_du_Niger_EUR</vt:lpstr>
      <vt:lpstr>Niger_HIV_EUR</vt:lpstr>
      <vt:lpstr>Niger_Malaria__</vt:lpstr>
      <vt:lpstr>Niger_Malaria____</vt:lpstr>
      <vt:lpstr>Niger_Malaria___USD</vt:lpstr>
      <vt:lpstr>Niger_Malaria_Catholic_Relief_Services___United_States_Conference_of_Catholic_Bishops__</vt:lpstr>
      <vt:lpstr>Niger_Malaria_Catholic_Relief_Services___United_States_Conference_of_Catholic_Bishops_EUR</vt:lpstr>
      <vt:lpstr>Niger_Malaria_EUR</vt:lpstr>
      <vt:lpstr>Niger_Malaria_United_Nations_Development_Programme_USD</vt:lpstr>
      <vt:lpstr>Niger_Malaria_USD</vt:lpstr>
      <vt:lpstr>Niger_Multi__</vt:lpstr>
      <vt:lpstr>Niger_Multi_Ministry_of_Public_Health_of_Niger__</vt:lpstr>
      <vt:lpstr>Niger_RSSH___EUR</vt:lpstr>
      <vt:lpstr>Niger_TB____</vt:lpstr>
      <vt:lpstr>Niger_TB_EUR</vt:lpstr>
      <vt:lpstr>Niger_TB_Ministry_of_Public_Health_Of_Niger_EUR</vt:lpstr>
      <vt:lpstr>Niger_TB_Save_the_Children_Federation__Inc__EUR</vt:lpstr>
      <vt:lpstr>Niger_TB_The_International_Federation_of_Red_Cross_and_Red_Crescent_Societies_EUR</vt:lpstr>
      <vt:lpstr>Niger_TB_United_Nations_Development_Programme_EUR</vt:lpstr>
      <vt:lpstr>Nigeria_HIV__</vt:lpstr>
      <vt:lpstr>Nigeria_HIV___USD</vt:lpstr>
      <vt:lpstr>Nigeria_HIV_Association_For_Reproductive_And_Family_Health_USD</vt:lpstr>
      <vt:lpstr>Nigeria_HIV_Family_Health_International__FHI_____USD</vt:lpstr>
      <vt:lpstr>Nigeria_HIV_Lagos_State_Ministry_of_Health__</vt:lpstr>
      <vt:lpstr>Nigeria_HIV_Lagos_State_Ministry_of_Health_USD</vt:lpstr>
      <vt:lpstr>Nigeria_HIV_National_Agency_for_the_Control_of_AIDS_USD</vt:lpstr>
      <vt:lpstr>Nigeria_HIV_Society_For_Family_Health_USD</vt:lpstr>
      <vt:lpstr>Nigeria_HIV_USD</vt:lpstr>
      <vt:lpstr>Nigeria_Malaria__</vt:lpstr>
      <vt:lpstr>Nigeria_Malaria____</vt:lpstr>
      <vt:lpstr>Nigeria_Malaria___USD</vt:lpstr>
      <vt:lpstr>Nigeria_Malaria_Catholic_Relief_Services___United_States_Conference_of_Catholic_Bishops_USD</vt:lpstr>
      <vt:lpstr>Nigeria_Malaria_National_Malaria_Elimination_Programme_of_the_Federal_Ministry_of_Health_of_the_Federal_Republic_of_Nigeria__</vt:lpstr>
      <vt:lpstr>Nigeria_Malaria_National_Malaria_Elimination_Programme_of_the_Federal_Ministry_of_Health_of_the_Federal_Republic_of_Nigeria_USD</vt:lpstr>
      <vt:lpstr>Nigeria_Malaria_Society_For_Family_Health_USD</vt:lpstr>
      <vt:lpstr>Nigeria_Malaria_USD</vt:lpstr>
      <vt:lpstr>Nigeria_Multi__</vt:lpstr>
      <vt:lpstr>Nigeria_Multi____</vt:lpstr>
      <vt:lpstr>Nigeria_Multi_Family_Health_International__FHI______</vt:lpstr>
      <vt:lpstr>Nigeria_Multi_Lagos_State_Ministry_of_Health__</vt:lpstr>
      <vt:lpstr>Nigeria_Multi_Lagos_State_Ministry_of_Health_USD</vt:lpstr>
      <vt:lpstr>Nigeria_Multi_USD</vt:lpstr>
      <vt:lpstr>Nigeria_RSSH___USD</vt:lpstr>
      <vt:lpstr>Nigeria_RSSH_Management_Sciences_for_Health_USD</vt:lpstr>
      <vt:lpstr>Nigeria_RSSH_USD</vt:lpstr>
      <vt:lpstr>Nigeria_TB__</vt:lpstr>
      <vt:lpstr>Nigeria_TB____</vt:lpstr>
      <vt:lpstr>Nigeria_TB___USD</vt:lpstr>
      <vt:lpstr>Nigeria_TB_Association_For_Reproductive_And_Family_Health_USD</vt:lpstr>
      <vt:lpstr>Nigeria_TB_Institute_of_Human_Virology_Nigeria_USD</vt:lpstr>
      <vt:lpstr>Nigeria_TB_Management_Sciences_for_Health__</vt:lpstr>
      <vt:lpstr>Nigeria_TB_National_Tuberculosis___Leprosy_Control_Programme_USD</vt:lpstr>
      <vt:lpstr>Nigeria_TB_USD</vt:lpstr>
      <vt:lpstr>North_Macedonia_HIV___EUR</vt:lpstr>
      <vt:lpstr>North_Macedonia_HIV___USD</vt:lpstr>
      <vt:lpstr>North_Macedonia_HIV_EUR</vt:lpstr>
      <vt:lpstr>North_Macedonia_HIV_The_Ministry_of_Health_of_the_Former_Yugoslav_Republic_of_Macedonia_EUR</vt:lpstr>
      <vt:lpstr>North_Macedonia_TB___USD</vt:lpstr>
      <vt:lpstr>North_Macedonia_TB_EUR</vt:lpstr>
      <vt:lpstr>North_Macedonia_TB_The_Ministry_of_Health_of_the_Former_Yugoslav_Republic_of_Macedonia_EUR</vt:lpstr>
      <vt:lpstr>Nystatin</vt:lpstr>
      <vt:lpstr>Oceania_HIV___USD</vt:lpstr>
      <vt:lpstr>Oceania_Malaria__</vt:lpstr>
      <vt:lpstr>Oceania_Malaria___USD</vt:lpstr>
      <vt:lpstr>Oceania_Malaria_United_Nations_Development_Programme__</vt:lpstr>
      <vt:lpstr>Oceania_Malaria_United_Nations_Development_Programme_USD</vt:lpstr>
      <vt:lpstr>Oceania_Malaria_USD</vt:lpstr>
      <vt:lpstr>Oceania_Multi__</vt:lpstr>
      <vt:lpstr>Oceania_Multi_United_Nations_Development_Programme__</vt:lpstr>
      <vt:lpstr>Oceania_Multi_United_Nations_Development_Programme_USD</vt:lpstr>
      <vt:lpstr>Oceania_Multi_USD</vt:lpstr>
      <vt:lpstr>Oceania_TB___USD</vt:lpstr>
      <vt:lpstr>Ofloxacin</vt:lpstr>
      <vt:lpstr>OIs_STIs_other_medicines</vt:lpstr>
      <vt:lpstr>Opioid_substitute_medecines</vt:lpstr>
      <vt:lpstr>Opioid_substitute_medicines</vt:lpstr>
      <vt:lpstr>Oral_rehydration_salt</vt:lpstr>
      <vt:lpstr>Other</vt:lpstr>
      <vt:lpstr>Other_anti_TB_medicine</vt:lpstr>
      <vt:lpstr>Other_antimalaria_medicine</vt:lpstr>
      <vt:lpstr>Other_ARV</vt:lpstr>
      <vt:lpstr>Other_chemicals_reagents_HIV_program</vt:lpstr>
      <vt:lpstr>Other_chemicals_reagents_TB_program</vt:lpstr>
      <vt:lpstr>Other_health_equipment_for_HIV_program</vt:lpstr>
      <vt:lpstr>Other_health_equipment_for_Section5</vt:lpstr>
      <vt:lpstr>Other_health_equipment_for_TB_program</vt:lpstr>
      <vt:lpstr>Other_Laboratory_reagents_HIV_program</vt:lpstr>
      <vt:lpstr>Other_Laboratory_reagents_TB_program</vt:lpstr>
      <vt:lpstr>Other_MDR_XDR_TB_medicine</vt:lpstr>
      <vt:lpstr>Other_medicines</vt:lpstr>
      <vt:lpstr>Other_opioid_substitute</vt:lpstr>
      <vt:lpstr>Pakistan_HIV__</vt:lpstr>
      <vt:lpstr>Pakistan_HIV____</vt:lpstr>
      <vt:lpstr>Pakistan_HIV___USD</vt:lpstr>
      <vt:lpstr>Pakistan_HIV_Ministry_of_National_Health_Services__Regulations_and_Coordination_of_Pakistan_USD</vt:lpstr>
      <vt:lpstr>Pakistan_HIV_Nai_Zindagi__</vt:lpstr>
      <vt:lpstr>Pakistan_HIV_Nai_Zindagi_USD</vt:lpstr>
      <vt:lpstr>Pakistan_HIV_USD</vt:lpstr>
      <vt:lpstr>Pakistan_Malaria__</vt:lpstr>
      <vt:lpstr>Pakistan_Malaria____</vt:lpstr>
      <vt:lpstr>Pakistan_Malaria___USD</vt:lpstr>
      <vt:lpstr>Pakistan_Malaria_Ministry_of_National_Health_Services__Regulations_and_Coordination_of_Pakistan__</vt:lpstr>
      <vt:lpstr>Pakistan_Malaria_Ministry_of_National_Health_Services__Regulations_and_Coordination_of_Pakistan_USD</vt:lpstr>
      <vt:lpstr>Pakistan_Malaria_The_Indus_Hospital_USD</vt:lpstr>
      <vt:lpstr>Pakistan_Malaria_USD</vt:lpstr>
      <vt:lpstr>Pakistan_RSSH_Ministry_of_National_Health_Services__Regulations_and_Coordination_of_Pakistan_USD</vt:lpstr>
      <vt:lpstr>Pakistan_RSSH_USD</vt:lpstr>
      <vt:lpstr>Pakistan_TB__</vt:lpstr>
      <vt:lpstr>Pakistan_TB___USD</vt:lpstr>
      <vt:lpstr>Pakistan_TB_Mercy_Corps__</vt:lpstr>
      <vt:lpstr>Pakistan_TB_Mercy_Corps_USD</vt:lpstr>
      <vt:lpstr>Pakistan_TB_National_TB_Control_Programme_Pakistan_USD</vt:lpstr>
      <vt:lpstr>Pakistan_TB_The_Indus_Hospital_USD</vt:lpstr>
      <vt:lpstr>Pakistan_TB_USD</vt:lpstr>
      <vt:lpstr>Palestine_HIV_United_Nations_Development_Programme_USD</vt:lpstr>
      <vt:lpstr>Palestine_HIV_USD</vt:lpstr>
      <vt:lpstr>Palestine_TB_United_Nations_Development_Programme_USD</vt:lpstr>
      <vt:lpstr>Palestine_TB_USD</vt:lpstr>
      <vt:lpstr>Panama_HIV_Cicatelli_Associates_Inc__USD</vt:lpstr>
      <vt:lpstr>Panama_HIV_USD</vt:lpstr>
      <vt:lpstr>Panama_Multi__</vt:lpstr>
      <vt:lpstr>Panama_Multi_United_Nations_Development_Programme__</vt:lpstr>
      <vt:lpstr>Panama_Multi_United_Nations_Development_Programme_USD</vt:lpstr>
      <vt:lpstr>Panama_Multi_USD</vt:lpstr>
      <vt:lpstr>Panama_TB___USD</vt:lpstr>
      <vt:lpstr>Pantoprazole</vt:lpstr>
      <vt:lpstr>Papua_New_Guinea_HIV____</vt:lpstr>
      <vt:lpstr>Papua_New_Guinea_HIV___USD</vt:lpstr>
      <vt:lpstr>Papua_New_Guinea_HIV_Oil_Search_Foundation_USD</vt:lpstr>
      <vt:lpstr>Papua_New_Guinea_HIV_USD</vt:lpstr>
      <vt:lpstr>Papua_New_Guinea_Malaria__</vt:lpstr>
      <vt:lpstr>Papua_New_Guinea_Malaria____</vt:lpstr>
      <vt:lpstr>Papua_New_Guinea_Malaria___USD</vt:lpstr>
      <vt:lpstr>Papua_New_Guinea_Malaria_Population_Services_International_USD</vt:lpstr>
      <vt:lpstr>Papua_New_Guinea_Malaria_The_Rotary_Club_of_Port_Moresby_Inc___</vt:lpstr>
      <vt:lpstr>Papua_New_Guinea_Malaria_The_Rotary_Club_of_Port_Moresby_Inc__USD</vt:lpstr>
      <vt:lpstr>Papua_New_Guinea_Malaria_USD</vt:lpstr>
      <vt:lpstr>Papua_New_Guinea_Multi__</vt:lpstr>
      <vt:lpstr>Papua_New_Guinea_Multi____</vt:lpstr>
      <vt:lpstr>Papua_New_Guinea_Multi_Oil_Search_Foundation__</vt:lpstr>
      <vt:lpstr>Papua_New_Guinea_Multi_World_Vision__PNG__Trust__</vt:lpstr>
      <vt:lpstr>Papua_New_Guinea_TB___USD</vt:lpstr>
      <vt:lpstr>Papua_New_Guinea_TB_USD</vt:lpstr>
      <vt:lpstr>Papua_New_Guinea_TB_World_Vision__PNG__Trust_USD</vt:lpstr>
      <vt:lpstr>Para_AminoSalicylate_Sodium</vt:lpstr>
      <vt:lpstr>Paracetamol</vt:lpstr>
      <vt:lpstr>Paraguay_HIV__</vt:lpstr>
      <vt:lpstr>Paraguay_HIV____</vt:lpstr>
      <vt:lpstr>Paraguay_HIV___USD</vt:lpstr>
      <vt:lpstr>Paraguay_HIV_Centro_de_Informaci_n_y_Recursos_para_el_Desarrollo__</vt:lpstr>
      <vt:lpstr>Paraguay_HIV_Centro_de_Informaci_n_y_Recursos_para_el_Desarrollo_EUR</vt:lpstr>
      <vt:lpstr>Paraguay_HIV_Centro_de_Informaci_n_y_Recursos_para_el_Desarrollo_USD</vt:lpstr>
      <vt:lpstr>Paraguay_HIV_EUR</vt:lpstr>
      <vt:lpstr>Paraguay_HIV_USD</vt:lpstr>
      <vt:lpstr>Paraguay_Malaria_International_Organization_for_Migration_USD</vt:lpstr>
      <vt:lpstr>Paraguay_Malaria_USD</vt:lpstr>
      <vt:lpstr>Paraguay_RSSH_Centro_de_Informaci_n_y_Recursos_para_el_Desarrollo_USD</vt:lpstr>
      <vt:lpstr>Paraguay_RSSH_USD</vt:lpstr>
      <vt:lpstr>Paraguay_TB__</vt:lpstr>
      <vt:lpstr>Paraguay_TB___USD</vt:lpstr>
      <vt:lpstr>Paraguay_TB_Alter_Vida___Centro_de_Estudios_y_Formaci_n_para_el_Ecodesarrollo__</vt:lpstr>
      <vt:lpstr>Paraguay_TB_Alter_Vida___Centro_de_Estudios_y_Formaci_n_para_el_Ecodesarrollo_USD</vt:lpstr>
      <vt:lpstr>Paraguay_TB_USD</vt:lpstr>
      <vt:lpstr>Pegylated_liposomal_doxorubicin</vt:lpstr>
      <vt:lpstr>Peru_HIV__</vt:lpstr>
      <vt:lpstr>Peru_HIV___USD</vt:lpstr>
      <vt:lpstr>Peru_HIV_Care_Peru__</vt:lpstr>
      <vt:lpstr>Peru_HIV_Care_Peru_USD</vt:lpstr>
      <vt:lpstr>Peru_HIV_Ministry_of_Health__PARSALUD_II__Unidad_Ejecutora______of_the_Republic_of_Peru_USD</vt:lpstr>
      <vt:lpstr>Peru_HIV_Pathfinder_International_USD</vt:lpstr>
      <vt:lpstr>Peru_HIV_USD</vt:lpstr>
      <vt:lpstr>Peru_TB__</vt:lpstr>
      <vt:lpstr>Peru_TB___EUR</vt:lpstr>
      <vt:lpstr>Peru_TB___USD</vt:lpstr>
      <vt:lpstr>Peru_TB_EUR</vt:lpstr>
      <vt:lpstr>Peru_TB_Ministry_of_Health__PARSALUD_II__Unidad_Ejecutora______of_the_Republic_of_Peru_EUR</vt:lpstr>
      <vt:lpstr>Peru_TB_Socios_en_Salud_sucursal_Peru__</vt:lpstr>
      <vt:lpstr>Peru_TB_Socios_en_Salud_sucursal_Peru_USD</vt:lpstr>
      <vt:lpstr>Peru_TB_USD</vt:lpstr>
      <vt:lpstr>Phenoxymethylpenicillin</vt:lpstr>
      <vt:lpstr>Philippines_HIV__</vt:lpstr>
      <vt:lpstr>Philippines_HIV____</vt:lpstr>
      <vt:lpstr>Philippines_HIV___USD</vt:lpstr>
      <vt:lpstr>Philippines_HIV_Department_of_Health__Republic_of_the_Philippines_USD</vt:lpstr>
      <vt:lpstr>Philippines_HIV_Save_the_Children_Federation__Inc___</vt:lpstr>
      <vt:lpstr>Philippines_HIV_Save_the_Children_Federation__Inc__USD</vt:lpstr>
      <vt:lpstr>Philippines_HIV_USD</vt:lpstr>
      <vt:lpstr>Philippines_Malaria__</vt:lpstr>
      <vt:lpstr>Philippines_Malaria____</vt:lpstr>
      <vt:lpstr>Philippines_Malaria___USD</vt:lpstr>
      <vt:lpstr>Philippines_Malaria_Pilipinas_Shell_Foundation__Inc___</vt:lpstr>
      <vt:lpstr>Philippines_Malaria_Pilipinas_Shell_Foundation__Inc__USD</vt:lpstr>
      <vt:lpstr>Philippines_Malaria_USD</vt:lpstr>
      <vt:lpstr>Philippines_TB__</vt:lpstr>
      <vt:lpstr>Philippines_TB____</vt:lpstr>
      <vt:lpstr>Philippines_TB___EUR</vt:lpstr>
      <vt:lpstr>Philippines_TB___USD</vt:lpstr>
      <vt:lpstr>Philippines_TB_Philippine_Business_for_Social_Progress__Inc___</vt:lpstr>
      <vt:lpstr>Philippines_TB_Philippine_Business_for_Social_Progress_USD</vt:lpstr>
      <vt:lpstr>Philippines_TB_USD</vt:lpstr>
      <vt:lpstr>Piperaquine_Dihydroartemisinin</vt:lpstr>
      <vt:lpstr>Podophyllotoxin</vt:lpstr>
      <vt:lpstr>Pretomanid</vt:lpstr>
      <vt:lpstr>Primaquine</vt:lpstr>
      <vt:lpstr>'Detailed Budget'!Print_Area</vt:lpstr>
      <vt:lpstr>SETUP!Print_Area</vt:lpstr>
      <vt:lpstr>PROCUREMENTENTITY</vt:lpstr>
      <vt:lpstr>Proguanil</vt:lpstr>
      <vt:lpstr>Prothionamide</vt:lpstr>
      <vt:lpstr>Pvp_iodine</vt:lpstr>
      <vt:lpstr>Pyrazinamide</vt:lpstr>
      <vt:lpstr>Pyrimethamine</vt:lpstr>
      <vt:lpstr>Qiagen</vt:lpstr>
      <vt:lpstr>Quinine</vt:lpstr>
      <vt:lpstr>Raltegravir</vt:lpstr>
      <vt:lpstr>Rapid_Diagnostic_Test_Cryptococcus</vt:lpstr>
      <vt:lpstr>Rapid_Diagnostic_Test_HBV</vt:lpstr>
      <vt:lpstr>Rapid_Diagnostic_Test_HCV</vt:lpstr>
      <vt:lpstr>Rapid_Diagnostic_Test_HIV</vt:lpstr>
      <vt:lpstr>Rapid_Diagnostic_Test_Malaria</vt:lpstr>
      <vt:lpstr>Rapid_Diagnostic_Test_Syphilis</vt:lpstr>
      <vt:lpstr>Rapid_Diagnostic_Test_TB</vt:lpstr>
      <vt:lpstr>RDTs_for_HIV</vt:lpstr>
      <vt:lpstr>RDTS_for_HIV_testing_in_TB_program</vt:lpstr>
      <vt:lpstr>RDTs_for_Malaria</vt:lpstr>
      <vt:lpstr>RDTs_for_STIs_OIs_hepatitis</vt:lpstr>
      <vt:lpstr>RDTs_for_TB</vt:lpstr>
      <vt:lpstr>RDTs_for_TB_for_HIV_program</vt:lpstr>
      <vt:lpstr>Reagents</vt:lpstr>
      <vt:lpstr>Refrigerator</vt:lpstr>
      <vt:lpstr>Ribavirin</vt:lpstr>
      <vt:lpstr>Rifabutin</vt:lpstr>
      <vt:lpstr>Rifampicin</vt:lpstr>
      <vt:lpstr>Rifapentine</vt:lpstr>
      <vt:lpstr>Ritonavir</vt:lpstr>
      <vt:lpstr>Roche</vt:lpstr>
      <vt:lpstr>Romania_HIV___EUR</vt:lpstr>
      <vt:lpstr>Romania_HIV___USD</vt:lpstr>
      <vt:lpstr>Romania_TB__</vt:lpstr>
      <vt:lpstr>Romania_TB____</vt:lpstr>
      <vt:lpstr>Romania_TB___USD</vt:lpstr>
      <vt:lpstr>Romania_TB_EUR</vt:lpstr>
      <vt:lpstr>Romania_TB_Ministry_of_Health_of_Romania_EUR</vt:lpstr>
      <vt:lpstr>Romania_TB_Romanian_Angel_Appeal_Foundation__</vt:lpstr>
      <vt:lpstr>Romania_TB_Romanian_Angel_Appeal_Foundation_EUR</vt:lpstr>
      <vt:lpstr>RSHHHPMSystems</vt:lpstr>
      <vt:lpstr>Russian_Federation_HIV___EUR</vt:lpstr>
      <vt:lpstr>Russian_Federation_HIV___USD</vt:lpstr>
      <vt:lpstr>Russian_Federation_HIV_Open_Health_Institute_USD</vt:lpstr>
      <vt:lpstr>Russian_Federation_HIV_USD</vt:lpstr>
      <vt:lpstr>Russian_Federation_TB___USD</vt:lpstr>
      <vt:lpstr>Rwanda_HIV___USD</vt:lpstr>
      <vt:lpstr>Rwanda_HIV_Ministry_of_Health_of_the_Republic_of_Rwanda_USD</vt:lpstr>
      <vt:lpstr>Rwanda_HIV_USD</vt:lpstr>
      <vt:lpstr>Rwanda_Malaria__</vt:lpstr>
      <vt:lpstr>Rwanda_Malaria____</vt:lpstr>
      <vt:lpstr>Rwanda_Malaria___USD</vt:lpstr>
      <vt:lpstr>Rwanda_Malaria_Ministry_of_Health_of_the_Republic_of_Rwanda__</vt:lpstr>
      <vt:lpstr>Rwanda_Malaria_Ministry_of_Health_of_the_Republic_of_Rwanda_USD</vt:lpstr>
      <vt:lpstr>Rwanda_Malaria_USD</vt:lpstr>
      <vt:lpstr>Rwanda_Multi____</vt:lpstr>
      <vt:lpstr>Rwanda_Multi___USD</vt:lpstr>
      <vt:lpstr>Rwanda_Multi_United_Nations_High_Commisioner_for_Refugees_USD</vt:lpstr>
      <vt:lpstr>Rwanda_Multi_USD</vt:lpstr>
      <vt:lpstr>Rwanda_RSSH___USD</vt:lpstr>
      <vt:lpstr>Rwanda_TB____</vt:lpstr>
      <vt:lpstr>Rwanda_TB___USD</vt:lpstr>
      <vt:lpstr>Rwanda_TB_Ministry_of_Health_of_the_Republic_of_Rwanda_USD</vt:lpstr>
      <vt:lpstr>Rwanda_TB_USD</vt:lpstr>
      <vt:lpstr>Salbutamol</vt:lpstr>
      <vt:lpstr>SampleTypeVLEID</vt:lpstr>
      <vt:lpstr>Sao_Tome_and_Principe_HIV___USD</vt:lpstr>
      <vt:lpstr>Sao_Tome_and_Principe_HIV_United_Nations_Development_Programme_USD</vt:lpstr>
      <vt:lpstr>Sao_Tome_and_Principe_HIV_USD</vt:lpstr>
      <vt:lpstr>Sao_Tome_and_Principe_Malaria___USD</vt:lpstr>
      <vt:lpstr>Sao_Tome_and_Principe_Malaria_United_Nations_Development_Programme_USD</vt:lpstr>
      <vt:lpstr>Sao_Tome_and_Principe_Malaria_USD</vt:lpstr>
      <vt:lpstr>Sao_Tome_and_Principe_Multi__</vt:lpstr>
      <vt:lpstr>Sao_Tome_and_Principe_Multi_United_Nations_Development_Programme__</vt:lpstr>
      <vt:lpstr>Sao_Tome_and_Principe_TB_United_Nations_Development_Programme_USD</vt:lpstr>
      <vt:lpstr>Sao_Tome_and_Principe_TB_USD</vt:lpstr>
      <vt:lpstr>Section_3_Malaria_Other_chemicals_reagents</vt:lpstr>
      <vt:lpstr>Section_3_Malaria_Other_health_equipment</vt:lpstr>
      <vt:lpstr>Section_4_Equipment_Other</vt:lpstr>
      <vt:lpstr>Section_4_Malaria_Other_chemicals_reagents</vt:lpstr>
      <vt:lpstr>Senegal_HIV__</vt:lpstr>
      <vt:lpstr>Senegal_HIV___EUR</vt:lpstr>
      <vt:lpstr>Senegal_HIV___USD</vt:lpstr>
      <vt:lpstr>Senegal_HIV_Alliance_Nationale_Contre_le_Sida___S_n_gal_EUR</vt:lpstr>
      <vt:lpstr>Senegal_HIV_Alliance_Nationale_des_Communaut_s_pour_la_Sant____S_n_gal__</vt:lpstr>
      <vt:lpstr>Senegal_HIV_Conseil_National_de_Lutte_contre_le_SIDA_de_la_R_publique_du_S_n_gal_EUR</vt:lpstr>
      <vt:lpstr>Senegal_HIV_EUR</vt:lpstr>
      <vt:lpstr>Senegal_HIV_Ministry_of_Health__Prevention_and_Public_Hygiene_of_the_Republic_of_Senegal___AIDS_Division_EUR</vt:lpstr>
      <vt:lpstr>Senegal_Malaria__</vt:lpstr>
      <vt:lpstr>Senegal_Malaria___EUR</vt:lpstr>
      <vt:lpstr>Senegal_Malaria___USD</vt:lpstr>
      <vt:lpstr>Senegal_Malaria_EUR</vt:lpstr>
      <vt:lpstr>Senegal_Malaria_IntraHealth_International__Inc__EUR</vt:lpstr>
      <vt:lpstr>Senegal_Malaria_Ministry_of_Health_and_Social_Action_of_the_Republic_of_Senegal__</vt:lpstr>
      <vt:lpstr>Senegal_Malaria_Ministry_of_Health_and_Social_Action_of_the_Republic_of_Senegal_EUR</vt:lpstr>
      <vt:lpstr>Senegal_Multi__</vt:lpstr>
      <vt:lpstr>Senegal_Multi____</vt:lpstr>
      <vt:lpstr>Senegal_Multi_EUR</vt:lpstr>
      <vt:lpstr>Senegal_Multi_Ministry_of_Health_and_Social_Action_of_the_Republic_of_Senegal__</vt:lpstr>
      <vt:lpstr>Senegal_Multi_Ministry_of_Health_and_Social_Action_of_the_Republic_of_Senegal_EUR</vt:lpstr>
      <vt:lpstr>Senegal_RSSH_EUR</vt:lpstr>
      <vt:lpstr>Senegal_RSSH_Ministry_of_Health_and_Social_Action_of_the_Republic_of_Senegal_EUR</vt:lpstr>
      <vt:lpstr>Senegal_TB___EUR</vt:lpstr>
      <vt:lpstr>Senegal_TB_EUR</vt:lpstr>
      <vt:lpstr>Senegal_TB_Ministry_of_Health_and_Social_Action_of_the_Republic_of_Senegal_EUR</vt:lpstr>
      <vt:lpstr>Senegal_TB_Plan_International__Inc__EUR</vt:lpstr>
      <vt:lpstr>Sensitive_TB_medicines</vt:lpstr>
      <vt:lpstr>Sensitive_TB_medicines_for_Section2</vt:lpstr>
      <vt:lpstr>Sensitive_TB_medicines_for_Section3</vt:lpstr>
      <vt:lpstr>Serbia_HIV__</vt:lpstr>
      <vt:lpstr>Serbia_HIV___EUR</vt:lpstr>
      <vt:lpstr>Serbia_HIV___USD</vt:lpstr>
      <vt:lpstr>Serbia_HIV_EUR</vt:lpstr>
      <vt:lpstr>Serbia_HIV_Ministry_of_Health_of_Republic_of_Serbia__</vt:lpstr>
      <vt:lpstr>Serbia_HIV_Ministry_of_Health_of_Republic_of_Serbia_EUR</vt:lpstr>
      <vt:lpstr>Serbia_TB___USD</vt:lpstr>
      <vt:lpstr>Sierra_Leone_HIV__</vt:lpstr>
      <vt:lpstr>Sierra_Leone_HIV___USD</vt:lpstr>
      <vt:lpstr>Sierra_Leone_HIV_National_HIV_AIDS_Secretariat__</vt:lpstr>
      <vt:lpstr>Sierra_Leone_HIV_National_HIV_AIDS_Secretariat_USD</vt:lpstr>
      <vt:lpstr>Sierra_Leone_HIV_USD</vt:lpstr>
      <vt:lpstr>Sierra_Leone_Malaria__</vt:lpstr>
      <vt:lpstr>Sierra_Leone_Malaria___USD</vt:lpstr>
      <vt:lpstr>Sierra_Leone_Malaria_Catholic_Relief_Services___United_States_Conference_of_Catholic_Bishops__</vt:lpstr>
      <vt:lpstr>Sierra_Leone_Malaria_Catholic_Relief_Services___United_States_Conference_of_Catholic_Bishops_USD</vt:lpstr>
      <vt:lpstr>Sierra_Leone_Malaria_Ministry_of_Health_and_Sanitation_of_Sierra_Leone_USD</vt:lpstr>
      <vt:lpstr>Sierra_Leone_Malaria_USD</vt:lpstr>
      <vt:lpstr>Sierra_Leone_Multi____</vt:lpstr>
      <vt:lpstr>Sierra_Leone_Multi_Ministry_of_Health_and_Sanitation_of_Sierra_Leone_USD</vt:lpstr>
      <vt:lpstr>Sierra_Leone_Multi_USD</vt:lpstr>
      <vt:lpstr>Sierra_Leone_TB___USD</vt:lpstr>
      <vt:lpstr>Sierra_Leone_TB_Ministry_of_Health_and_Sanitation_of_Sierra_Leone_USD</vt:lpstr>
      <vt:lpstr>Sierra_Leone_TB_USD</vt:lpstr>
      <vt:lpstr>Sodium_dichloroisocyanurate</vt:lpstr>
      <vt:lpstr>Sofosbuvir</vt:lpstr>
      <vt:lpstr>Sofosbuvir_Daclatasvir</vt:lpstr>
      <vt:lpstr>Sofosbuvir_Ledipasvir</vt:lpstr>
      <vt:lpstr>Sofosbuvir_Velpatasvir</vt:lpstr>
      <vt:lpstr>Solid_culture_and_DST_Media_Reagents_Antibiotics</vt:lpstr>
      <vt:lpstr>Solid_culture_and_DST_Other_reagents_no_consumables</vt:lpstr>
      <vt:lpstr>Solomon_Islands_HIV____</vt:lpstr>
      <vt:lpstr>Solomon_Islands_Malaria__</vt:lpstr>
      <vt:lpstr>Solomon_Islands_Malaria____</vt:lpstr>
      <vt:lpstr>Solomon_Islands_Malaria_Solomon_Islands_Ministry_of_Health_and_Medical_Services__</vt:lpstr>
      <vt:lpstr>Solomon_Islands_Malaria_Solomon_Islands_Ministry_of_Health_and_Medical_Services_USD</vt:lpstr>
      <vt:lpstr>Solomon_Islands_Malaria_USD</vt:lpstr>
      <vt:lpstr>Solomon_Islands_Multi__</vt:lpstr>
      <vt:lpstr>Solomon_Islands_Multi_Solomon_Islands_Ministry_of_Health_and_Medical_Services__</vt:lpstr>
      <vt:lpstr>Solomon_Islands_Multi_Solomon_Islands_Ministry_of_Health_and_Medical_Services_USD</vt:lpstr>
      <vt:lpstr>Solomon_Islands_Multi_USD</vt:lpstr>
      <vt:lpstr>Solomon_Islands_TB___USD</vt:lpstr>
      <vt:lpstr>Solomon_Islands_TB_Solomon_Islands_Ministry_of_Health_and_Medical_Services_USD</vt:lpstr>
      <vt:lpstr>Solomon_Islands_TB_USD</vt:lpstr>
      <vt:lpstr>Somalia_HIV__</vt:lpstr>
      <vt:lpstr>Somalia_HIV____</vt:lpstr>
      <vt:lpstr>Somalia_HIV___USD</vt:lpstr>
      <vt:lpstr>Somalia_HIV_United_Nations_Children_s_Fund__</vt:lpstr>
      <vt:lpstr>Somalia_HIV_United_Nations_Children_s_Fund_USD</vt:lpstr>
      <vt:lpstr>Somalia_HIV_USD</vt:lpstr>
      <vt:lpstr>Somalia_Malaria__</vt:lpstr>
      <vt:lpstr>Somalia_Malaria____</vt:lpstr>
      <vt:lpstr>Somalia_Malaria___USD</vt:lpstr>
      <vt:lpstr>Somalia_Malaria_United_Nations_Children_s_Fund__</vt:lpstr>
      <vt:lpstr>Somalia_Malaria_United_Nations_Children_s_Fund_USD</vt:lpstr>
      <vt:lpstr>Somalia_Malaria_USD</vt:lpstr>
      <vt:lpstr>Somalia_Multi____</vt:lpstr>
      <vt:lpstr>Somalia_TB__</vt:lpstr>
      <vt:lpstr>Somalia_TB____</vt:lpstr>
      <vt:lpstr>Somalia_TB___USD</vt:lpstr>
      <vt:lpstr>Somalia_TB_USD</vt:lpstr>
      <vt:lpstr>Somalia_TB_World_Vision_International_USD</vt:lpstr>
      <vt:lpstr>Somalia_TB_World_Vision_Somalia__</vt:lpstr>
      <vt:lpstr>South_Africa_HIV___USD</vt:lpstr>
      <vt:lpstr>South_Africa_HIV_National_Department_of_Health_of_the_Republic_of_South_Africa_USD</vt:lpstr>
      <vt:lpstr>South_Africa_HIV_National_Religious_Association_for_Social_Development_USD</vt:lpstr>
      <vt:lpstr>South_Africa_HIV_Networking_HIV__AIDS_Community_of_South_Africa_NPC_USD</vt:lpstr>
      <vt:lpstr>South_Africa_HIV_Right_to_Care_USD</vt:lpstr>
      <vt:lpstr>South_Africa_HIV_Soul_City_Institute_for_Health_and_Development_Communication_USD</vt:lpstr>
      <vt:lpstr>South_Africa_HIV_USD</vt:lpstr>
      <vt:lpstr>South_Africa_HIV_Western_Cape_Government__Health_USD</vt:lpstr>
      <vt:lpstr>South_Africa_Multi__</vt:lpstr>
      <vt:lpstr>South_Africa_Multi___USD</vt:lpstr>
      <vt:lpstr>South_Africa_Multi_AIDS_Foundation_South_Africa__</vt:lpstr>
      <vt:lpstr>South_Africa_Multi_AIDS_Foundation_South_Africa_USD</vt:lpstr>
      <vt:lpstr>South_Africa_Multi_Beyond_Zero_NPC_USD</vt:lpstr>
      <vt:lpstr>South_Africa_Multi_Kheth_Impilo_AIDS_Free_Living_USD</vt:lpstr>
      <vt:lpstr>South_Africa_Multi_KwaZulu_Natal_Provincial_Treasury_USD</vt:lpstr>
      <vt:lpstr>South_Africa_Multi_National_Department_of_Health_of_the_Republic_of_South_Africa_USD</vt:lpstr>
      <vt:lpstr>South_Africa_Multi_Networking_HIV__AIDS_Community_of_South_Africa_NPC_USD</vt:lpstr>
      <vt:lpstr>South_Africa_Multi_Right_to_Care_USD</vt:lpstr>
      <vt:lpstr>South_Africa_Multi_Soul_City_Institute_for_Health_and_Development_Communication_USD</vt:lpstr>
      <vt:lpstr>South_Africa_Multi_USD</vt:lpstr>
      <vt:lpstr>South_Africa_Multi_Western_Cape_Government__Health_USD</vt:lpstr>
      <vt:lpstr>South_America_Malaria___USD</vt:lpstr>
      <vt:lpstr>South_Eastern_Asia_HIV_Australian_Federation_Of_Aids_Organisations__Inc__USD</vt:lpstr>
      <vt:lpstr>South_Eastern_Asia_HIV_Humanist_Institute_for_Co_operation_with_Developing_Countries_USD</vt:lpstr>
      <vt:lpstr>South_Eastern_Asia_HIV_USD</vt:lpstr>
      <vt:lpstr>South_Eastern_Asia_Malaria__</vt:lpstr>
      <vt:lpstr>South_Eastern_Asia_Malaria_United_Nations_Office_for_Project_Services__</vt:lpstr>
      <vt:lpstr>South_Eastern_Asia_Malaria_United_Nations_Office_for_Project_Services_USD</vt:lpstr>
      <vt:lpstr>South_Eastern_Asia_Malaria_USD</vt:lpstr>
      <vt:lpstr>South_Eastern_Asia_TB_United_Nations_Office_for_Project_Services_USD</vt:lpstr>
      <vt:lpstr>South_Eastern_Asia_TB_USD</vt:lpstr>
      <vt:lpstr>South_Sudan_HIV__</vt:lpstr>
      <vt:lpstr>South_Sudan_HIV____</vt:lpstr>
      <vt:lpstr>South_Sudan_HIV_United_Nations_Development_Programme__</vt:lpstr>
      <vt:lpstr>South_Sudan_HIV_United_Nations_Development_Programme_USD</vt:lpstr>
      <vt:lpstr>South_Sudan_HIV_USD</vt:lpstr>
      <vt:lpstr>South_Sudan_Malaria__</vt:lpstr>
      <vt:lpstr>South_Sudan_Malaria____</vt:lpstr>
      <vt:lpstr>South_Sudan_Malaria___USD</vt:lpstr>
      <vt:lpstr>South_Sudan_Malaria_Population_Services_International__</vt:lpstr>
      <vt:lpstr>South_Sudan_Malaria_Population_Services_International_USD</vt:lpstr>
      <vt:lpstr>South_Sudan_Malaria_USD</vt:lpstr>
      <vt:lpstr>South_Sudan_RSSH_United_Nations_Development_Programme_USD</vt:lpstr>
      <vt:lpstr>South_Sudan_RSSH_USD</vt:lpstr>
      <vt:lpstr>South_Sudan_TB__</vt:lpstr>
      <vt:lpstr>South_Sudan_TB____</vt:lpstr>
      <vt:lpstr>South_Sudan_TB___USD</vt:lpstr>
      <vt:lpstr>South_Sudan_TB_United_Nations_Development_Programme__</vt:lpstr>
      <vt:lpstr>South_Sudan_TB_United_Nations_Development_Programme_USD</vt:lpstr>
      <vt:lpstr>South_Sudan_TB_USD</vt:lpstr>
      <vt:lpstr>Southern_Asia_HIV___USD</vt:lpstr>
      <vt:lpstr>Southern_Asia_HIV_Save_the_Children_Federation__Inc__USD</vt:lpstr>
      <vt:lpstr>Southern_Asia_HIV_United_Nations_Development_Programme_USD</vt:lpstr>
      <vt:lpstr>Southern_Asia_HIV_USD</vt:lpstr>
      <vt:lpstr>Southern_Asia_TB_United_Nations_Development_Programme_USD</vt:lpstr>
      <vt:lpstr>Southern_Asia_TB_USD</vt:lpstr>
      <vt:lpstr>Southern_Europe_HIV___USD</vt:lpstr>
      <vt:lpstr>Spectrofluorimeters_or_fluorimeters</vt:lpstr>
      <vt:lpstr>Sri_Lanka_HIV__</vt:lpstr>
      <vt:lpstr>Sri_Lanka_HIV____</vt:lpstr>
      <vt:lpstr>Sri_Lanka_HIV___USD</vt:lpstr>
      <vt:lpstr>Sri_Lanka_HIV_Ministry_of_Health__Nutrition___Indigenous_Medicine_of_the_Democratic_Socialist_Republic_of_Sri_Lanka_USD</vt:lpstr>
      <vt:lpstr>Sri_Lanka_HIV_The_Family_Planning_Association_of_Sri_Lanka__</vt:lpstr>
      <vt:lpstr>Sri_Lanka_HIV_The_Family_Planning_Association_of_Sri_Lanka_USD</vt:lpstr>
      <vt:lpstr>Sri_Lanka_HIV_USD</vt:lpstr>
      <vt:lpstr>Sri_Lanka_Malaria__</vt:lpstr>
      <vt:lpstr>Sri_Lanka_Malaria____</vt:lpstr>
      <vt:lpstr>Sri_Lanka_Malaria___USD</vt:lpstr>
      <vt:lpstr>Sri_Lanka_Malaria_Ministry_of_Health__Nutrition___Indigenous_Medicine_of_the_Democratic_Socialist_Republic_of_Sri_Lanka__</vt:lpstr>
      <vt:lpstr>Sri_Lanka_Malaria_Ministry_of_Health__Nutrition___Indigenous_Medicine_of_the_Democratic_Socialist_Republic_of_Sri_Lanka_USD</vt:lpstr>
      <vt:lpstr>Sri_Lanka_Malaria_USD</vt:lpstr>
      <vt:lpstr>Sri_Lanka_RSSH____</vt:lpstr>
      <vt:lpstr>Sri_Lanka_RSSH_Ministry_of_Health__Nutrition___Indigenous_Medicine_of_the_Democratic_Socialist_Republic_of_Sri_Lanka_USD</vt:lpstr>
      <vt:lpstr>Sri_Lanka_RSSH_USD</vt:lpstr>
      <vt:lpstr>Sri_Lanka_TB__</vt:lpstr>
      <vt:lpstr>Sri_Lanka_TB___USD</vt:lpstr>
      <vt:lpstr>Sri_Lanka_TB_Ministry_of_Health__Nutrition___Indigenous_Medicine_of_the_Democratic_Socialist_Republic_of_Sri_Lanka__</vt:lpstr>
      <vt:lpstr>Sri_Lanka_TB_Ministry_of_Health__Nutrition___Indigenous_Medicine_of_the_Democratic_Socialist_Republic_of_Sri_Lanka_USD</vt:lpstr>
      <vt:lpstr>Sri_Lanka_TB_USD</vt:lpstr>
      <vt:lpstr>Streptomycin</vt:lpstr>
      <vt:lpstr>Sudan_HIV____</vt:lpstr>
      <vt:lpstr>Sudan_HIV___USD</vt:lpstr>
      <vt:lpstr>Sudan_HIV_United_Nations_Development_Programme_USD</vt:lpstr>
      <vt:lpstr>Sudan_HIV_USD</vt:lpstr>
      <vt:lpstr>Sudan_Malaria____</vt:lpstr>
      <vt:lpstr>Sudan_Malaria___USD</vt:lpstr>
      <vt:lpstr>Sudan_Malaria_Federal_Ministry_of_Health_of_the_Republic_of_Sudan_USD</vt:lpstr>
      <vt:lpstr>Sudan_Malaria_United_Nations_Development_Programme_USD</vt:lpstr>
      <vt:lpstr>Sudan_Malaria_USD</vt:lpstr>
      <vt:lpstr>Sudan_Multi__</vt:lpstr>
      <vt:lpstr>Sudan_Multi_Federal_Ministry_of_Health_of_the_Republic_of_Sudan__</vt:lpstr>
      <vt:lpstr>Sudan_RSSH_Federal_Ministry_of_Health_of_the_Republic_of_Sudan_USD</vt:lpstr>
      <vt:lpstr>Sudan_RSSH_USD</vt:lpstr>
      <vt:lpstr>Sudan_TB____</vt:lpstr>
      <vt:lpstr>Sudan_TB___USD</vt:lpstr>
      <vt:lpstr>Sudan_TB_United_Nations_Development_Programme_USD</vt:lpstr>
      <vt:lpstr>Sudan_TB_USD</vt:lpstr>
      <vt:lpstr>Sulfadiazine</vt:lpstr>
      <vt:lpstr>Sulfadoxine_Pyrimethamine</vt:lpstr>
      <vt:lpstr>Suriname_HIV___USD</vt:lpstr>
      <vt:lpstr>Suriname_Malaria__</vt:lpstr>
      <vt:lpstr>Suriname_Malaria___USD</vt:lpstr>
      <vt:lpstr>Suriname_Malaria_Ministry_of_Health_of_the_Republic_of_Suriname__</vt:lpstr>
      <vt:lpstr>Suriname_Malaria_Ministry_of_Health_of_the_Republic_of_Suriname_USD</vt:lpstr>
      <vt:lpstr>Suriname_Malaria_USD</vt:lpstr>
      <vt:lpstr>Suriname_Multi__</vt:lpstr>
      <vt:lpstr>Suriname_Multi_Ministry_of_Health_of_the_Republic_of_Suriname__</vt:lpstr>
      <vt:lpstr>Suriname_Multi_Ministry_of_Health_of_the_Republic_of_Suriname_USD</vt:lpstr>
      <vt:lpstr>Suriname_Multi_USD</vt:lpstr>
      <vt:lpstr>Suriname_TB___USD</vt:lpstr>
      <vt:lpstr>Syrian_Arab_Republic_HIV_United_Nations_Development_Programme_USD</vt:lpstr>
      <vt:lpstr>Syrian_Arab_Republic_HIV_USD</vt:lpstr>
      <vt:lpstr>Syrian_Arab_Republic_TB_United_Nations_Development_Programme_USD</vt:lpstr>
      <vt:lpstr>Syrian_Arab_Republic_TB_USD</vt:lpstr>
      <vt:lpstr>Syringes_and_needles</vt:lpstr>
      <vt:lpstr>Syringes_and_needles_for_HARM_REDUCTION</vt:lpstr>
      <vt:lpstr>Sysmex_Partec_Cyflow</vt:lpstr>
      <vt:lpstr>Sysmex_Partec_Cyflow_Consumables</vt:lpstr>
      <vt:lpstr>Sysmex_Partec_Cyflow_Other_reagents</vt:lpstr>
      <vt:lpstr>Tajikistan_HIV__</vt:lpstr>
      <vt:lpstr>Tajikistan_HIV___USD</vt:lpstr>
      <vt:lpstr>Tajikistan_HIV_United_Nations_Development_Programme__</vt:lpstr>
      <vt:lpstr>Tajikistan_HIV_United_Nations_Development_Programme_USD</vt:lpstr>
      <vt:lpstr>Tajikistan_HIV_USD</vt:lpstr>
      <vt:lpstr>Tajikistan_Malaria___USD</vt:lpstr>
      <vt:lpstr>Tajikistan_Malaria_United_Nations_Development_Programme_USD</vt:lpstr>
      <vt:lpstr>Tajikistan_Malaria_USD</vt:lpstr>
      <vt:lpstr>Tajikistan_Multi____</vt:lpstr>
      <vt:lpstr>Tajikistan_TB__</vt:lpstr>
      <vt:lpstr>Tajikistan_TB____</vt:lpstr>
      <vt:lpstr>Tajikistan_TB___USD</vt:lpstr>
      <vt:lpstr>Tajikistan_TB_Project_HOPE____the_People_to_People_Health_Foundation_USD</vt:lpstr>
      <vt:lpstr>Tajikistan_TB_Republican_Center_of_Tuberculosis_Control___Tajikistan__</vt:lpstr>
      <vt:lpstr>Tajikistan_TB_Republican_Center_of_Tuberculosis_Control___Tajikistan_USD</vt:lpstr>
      <vt:lpstr>Tajikistan_TB_United_Nations_Development_Programme_USD</vt:lpstr>
      <vt:lpstr>Tajikistan_TB_USD</vt:lpstr>
      <vt:lpstr>Tanzania__United_Republic__HIV___USD</vt:lpstr>
      <vt:lpstr>Tanzania__United_Republic__HIV_Ministry_of_Finance_and_Planning_of_the_United_Republic_of_Tanzania_USD</vt:lpstr>
      <vt:lpstr>Tanzania__United_Republic__HIV_Population_Services_International_USD</vt:lpstr>
      <vt:lpstr>Tanzania__United_Republic__HIV_USD</vt:lpstr>
      <vt:lpstr>Tanzania__United_Republic__Malaria____</vt:lpstr>
      <vt:lpstr>Tanzania__United_Republic__Malaria___USD</vt:lpstr>
      <vt:lpstr>Tanzania__United_Republic__Malaria_Ministry_of_Finance_and_Planning_of_the_United_Republic_of_Tanzania_USD</vt:lpstr>
      <vt:lpstr>Tanzania__United_Republic__Malaria_USD</vt:lpstr>
      <vt:lpstr>Tanzania__United_Republic__Multi__</vt:lpstr>
      <vt:lpstr>Tanzania__United_Republic__Multi____</vt:lpstr>
      <vt:lpstr>Tanzania__United_Republic__Multi___USD</vt:lpstr>
      <vt:lpstr>Tanzania__United_Republic__Multi_Amref_Health_Africa__Tanzania__</vt:lpstr>
      <vt:lpstr>Tanzania__United_Republic__Multi_Ministry_of_Finance_and_Planning_of_the_United_Republic_of_Tanzania__</vt:lpstr>
      <vt:lpstr>Tanzania__United_Republic__Multi_Save_the_Children_Federation__Inc__USD</vt:lpstr>
      <vt:lpstr>Tanzania__United_Republic__Multi_USD</vt:lpstr>
      <vt:lpstr>Tanzania__United_Republic__RSSH__</vt:lpstr>
      <vt:lpstr>Tanzania__United_Republic__RSSH_Ministry_of_Finance_and_Planning_of_the_United_Republic_of_Tanzania__</vt:lpstr>
      <vt:lpstr>Tanzania__United_Republic__RSSH_Ministry_of_Finance_and_Planning_of_the_United_Republic_of_Tanzania_USD</vt:lpstr>
      <vt:lpstr>Tanzania__United_Republic__RSSH_USD</vt:lpstr>
      <vt:lpstr>Tanzania__United_Republic__TB_Ministry_of_Finance_and_Planning_of_the_United_Republic_of_Tanzania_USD</vt:lpstr>
      <vt:lpstr>Tanzania__United_Republic__TB_USD</vt:lpstr>
      <vt:lpstr>Tanzania_HIV</vt:lpstr>
      <vt:lpstr>Tanzania_HIV_USD</vt:lpstr>
      <vt:lpstr>TB_Cat_I_III_Patient_Kit_A</vt:lpstr>
      <vt:lpstr>TB_Cat_I_III_Patient_Kit_B</vt:lpstr>
      <vt:lpstr>TB_Cat_I_III_Patient_Kit_C</vt:lpstr>
      <vt:lpstr>TB_Cat_I_III_Patient_Kit_C_UNICEF__DPRK_</vt:lpstr>
      <vt:lpstr>TB_Cat_II_Patient_Kit_A1</vt:lpstr>
      <vt:lpstr>TB_Cat_II_Patient_Kit_A1_or_A2_Without_Streptomycin_Sy_H2O</vt:lpstr>
      <vt:lpstr>TB_Cat_II_Patient_Kit_A2</vt:lpstr>
      <vt:lpstr>TB_Cat_II_Patient_Kit_B1</vt:lpstr>
      <vt:lpstr>TB_Cat_II_Patient_Kit_B1_or_B2_Without_Streptomycin_Sy_H2O</vt:lpstr>
      <vt:lpstr>TB_Cat_II_Patient_Kit_B1_UNICEF__DPRK_</vt:lpstr>
      <vt:lpstr>TB_Cat_II_Patient_Kit_B1_UNICEF__DPRK__w_Streptomycin</vt:lpstr>
      <vt:lpstr>TB_Cat_II_Patient_Kit_B2</vt:lpstr>
      <vt:lpstr>TB_India_PC1</vt:lpstr>
      <vt:lpstr>TB_India_PC10</vt:lpstr>
      <vt:lpstr>TB_India_PC11</vt:lpstr>
      <vt:lpstr>TB_India_PC12</vt:lpstr>
      <vt:lpstr>TB_India_PC13_Ped_PWBs_6_10kg</vt:lpstr>
      <vt:lpstr>TB_India_PC14_Ped_PWBs_11_17_kg</vt:lpstr>
      <vt:lpstr>TB_India_PC15_Ped_PPs_18_25_kg</vt:lpstr>
      <vt:lpstr>TB_India_PC16_Ped_PPs_18_25kg_and_26_30kg</vt:lpstr>
      <vt:lpstr>TB_India_PC2</vt:lpstr>
      <vt:lpstr>TB_India_PC21</vt:lpstr>
      <vt:lpstr>TB_India_PC23</vt:lpstr>
      <vt:lpstr>TB_India_PC26</vt:lpstr>
      <vt:lpstr>TB_India_PC3</vt:lpstr>
      <vt:lpstr>TB_India_PC31</vt:lpstr>
      <vt:lpstr>TB_India_PC4</vt:lpstr>
      <vt:lpstr>TB_India_PC5</vt:lpstr>
      <vt:lpstr>TB_India_PC6</vt:lpstr>
      <vt:lpstr>TB_India_PC7</vt:lpstr>
      <vt:lpstr>TB_India_PC8</vt:lpstr>
      <vt:lpstr>TB_India_PC9</vt:lpstr>
      <vt:lpstr>TB_medicines</vt:lpstr>
      <vt:lpstr>TB_medicines_for_HIV_program</vt:lpstr>
      <vt:lpstr>TB_medicines_for_IPT</vt:lpstr>
      <vt:lpstr>TB_Microscopy_Equipment_reagents</vt:lpstr>
      <vt:lpstr>TB_specimen_processing_Reagents</vt:lpstr>
      <vt:lpstr>Tenofovir</vt:lpstr>
      <vt:lpstr>Terizidone</vt:lpstr>
      <vt:lpstr>Thailand_HIV___USD</vt:lpstr>
      <vt:lpstr>Thailand_HIV_Department_of_Disease_Control__Ministry_of_Public_Health_of_the_Royal_Government_of_Thailand_USD</vt:lpstr>
      <vt:lpstr>Thailand_HIV_USD</vt:lpstr>
      <vt:lpstr>Thailand_Malaria___USD</vt:lpstr>
      <vt:lpstr>Thailand_Malaria_Department_of_Disease_Control__Ministry_of_Public_Health_of_the_Royal_Government_of_Thailand_USD</vt:lpstr>
      <vt:lpstr>Thailand_Malaria_USD</vt:lpstr>
      <vt:lpstr>Thailand_Multi__</vt:lpstr>
      <vt:lpstr>Thailand_Multi____</vt:lpstr>
      <vt:lpstr>Thailand_Multi_Department_of_Disease_Control__Ministry_of_Public_Health_of_the_Royal_Government_of_Thailand__</vt:lpstr>
      <vt:lpstr>Thailand_Multi_Department_of_Disease_Control__Ministry_of_Public_Health_of_the_Royal_Government_of_Thailand_USD</vt:lpstr>
      <vt:lpstr>Thailand_Multi_Raks_Thai_Foundation_USD</vt:lpstr>
      <vt:lpstr>Thailand_Multi_USD</vt:lpstr>
      <vt:lpstr>Thailand_TB____</vt:lpstr>
      <vt:lpstr>Thailand_TB___USD</vt:lpstr>
      <vt:lpstr>Therapeutic_food_products</vt:lpstr>
      <vt:lpstr>Therapeutic_milk_F100_powder</vt:lpstr>
      <vt:lpstr>Timor_Leste_HIV__</vt:lpstr>
      <vt:lpstr>Timor_Leste_HIV____</vt:lpstr>
      <vt:lpstr>Timor_Leste_HIV___USD</vt:lpstr>
      <vt:lpstr>Timor_Leste_HIV_Ministry_of_Health_of_the_Democratic_Republic_of_Timor_Leste__</vt:lpstr>
      <vt:lpstr>Timor_Leste_HIV_Ministry_of_Health_of_the_Democratic_Republic_of_Timor_Leste_USD</vt:lpstr>
      <vt:lpstr>Timor_Leste_HIV_USD</vt:lpstr>
      <vt:lpstr>Timor_Leste_Malaria__</vt:lpstr>
      <vt:lpstr>Timor_Leste_Malaria____</vt:lpstr>
      <vt:lpstr>Timor_Leste_Malaria___USD</vt:lpstr>
      <vt:lpstr>Timor_Leste_Malaria_Ministry_of_Health_of_the_Democratic_Republic_of_Timor_Leste__</vt:lpstr>
      <vt:lpstr>Timor_Leste_Malaria_Ministry_of_Health_of_the_Democratic_Republic_of_Timor_Leste_USD</vt:lpstr>
      <vt:lpstr>Timor_Leste_Malaria_USD</vt:lpstr>
      <vt:lpstr>Timor_Leste_TB____</vt:lpstr>
      <vt:lpstr>Timor_Leste_TB___USD</vt:lpstr>
      <vt:lpstr>Timor_Leste_TB_Ministry_of_Health_of_the_Democratic_Republic_of_Timor_Leste_USD</vt:lpstr>
      <vt:lpstr>Timor_Leste_TB_USD</vt:lpstr>
      <vt:lpstr>Togo_HIV___EUR</vt:lpstr>
      <vt:lpstr>Togo_HIV___USD</vt:lpstr>
      <vt:lpstr>Togo_HIV_EUR</vt:lpstr>
      <vt:lpstr>Togo_HIV_Population_Services_International_EUR</vt:lpstr>
      <vt:lpstr>Togo_HIV_Primature_de_la_R_publique_Togolaise_EUR</vt:lpstr>
      <vt:lpstr>Togo_Malaria__</vt:lpstr>
      <vt:lpstr>Togo_Malaria____</vt:lpstr>
      <vt:lpstr>Togo_Malaria___EUR</vt:lpstr>
      <vt:lpstr>Togo_Malaria___USD</vt:lpstr>
      <vt:lpstr>Togo_Malaria_EUR</vt:lpstr>
      <vt:lpstr>Togo_Malaria_Plan_International__Inc__EUR</vt:lpstr>
      <vt:lpstr>Togo_Malaria_Primature_de_la_R_publique_Togolaise__</vt:lpstr>
      <vt:lpstr>Togo_Malaria_Primature_de_la_R_publique_Togolaise_EUR</vt:lpstr>
      <vt:lpstr>Togo_Malaria_The_Ministry_of_Health_of_the_Togolese_Republic_EUR</vt:lpstr>
      <vt:lpstr>Togo_Multi__</vt:lpstr>
      <vt:lpstr>Togo_Multi_Primature_de_la_R_publique_Togolaise__</vt:lpstr>
      <vt:lpstr>Togo_TB___EUR</vt:lpstr>
      <vt:lpstr>Togo_TB___USD</vt:lpstr>
      <vt:lpstr>Togo_TB_EUR</vt:lpstr>
      <vt:lpstr>Togo_TB_Primature_de_la_R_publique_Togolaise_EUR</vt:lpstr>
      <vt:lpstr>Togo_TB_The_Ministry_of_Health_of_the_Togolese_Republic_EUR</vt:lpstr>
      <vt:lpstr>Tunisia_HIV__</vt:lpstr>
      <vt:lpstr>Tunisia_HIV_Office_National_de_la_Famille_et_de_la_Population_de_la_R_publique_de_Tunisie__</vt:lpstr>
      <vt:lpstr>Tunisia_HIV_Office_National_de_la_Famille_et_de_la_Population_de_la_R_publique_de_Tunisie_USD</vt:lpstr>
      <vt:lpstr>Tunisia_HIV_USD</vt:lpstr>
      <vt:lpstr>Tunisia_TB_Basic_Health_Care_Directorate_USD</vt:lpstr>
      <vt:lpstr>Tunisia_TB_Soci_t__Tunisienne_des_Maladies_Respiratoires_et_d’Allergologie_USD</vt:lpstr>
      <vt:lpstr>Tunisia_TB_USD</vt:lpstr>
      <vt:lpstr>Turkey_HIV___USD</vt:lpstr>
      <vt:lpstr>Turkmenistan_TB__</vt:lpstr>
      <vt:lpstr>Turkmenistan_TB____</vt:lpstr>
      <vt:lpstr>Turkmenistan_TB_United_Nations_Development_Programme__</vt:lpstr>
      <vt:lpstr>Turkmenistan_TB_United_Nations_Development_Programme_USD</vt:lpstr>
      <vt:lpstr>Turkmenistan_TB_USD</vt:lpstr>
      <vt:lpstr>TypeOfPay</vt:lpstr>
      <vt:lpstr>Uganda_HIV___USD</vt:lpstr>
      <vt:lpstr>Uganda_HIV_Ministry_of_Finance__Planning_and_Economic_Development_of_the_Republic_of_Uganda_USD</vt:lpstr>
      <vt:lpstr>Uganda_HIV_USD</vt:lpstr>
      <vt:lpstr>Uganda_Malaria__</vt:lpstr>
      <vt:lpstr>Uganda_Malaria____</vt:lpstr>
      <vt:lpstr>Uganda_Malaria___USD</vt:lpstr>
      <vt:lpstr>Uganda_Malaria_Ministry_of_Finance__Planning_and_Economic_Development_of_the_Republic_of_Uganda_USD</vt:lpstr>
      <vt:lpstr>Uganda_Malaria_The_AIDS_Support_Organisation__Uganda__Limited__</vt:lpstr>
      <vt:lpstr>Uganda_Malaria_The_AIDS_Support_Organisation__Uganda__Limited_USD</vt:lpstr>
      <vt:lpstr>Uganda_Malaria_USD</vt:lpstr>
      <vt:lpstr>Uganda_Multi__</vt:lpstr>
      <vt:lpstr>Uganda_Multi____</vt:lpstr>
      <vt:lpstr>Uganda_Multi_The_AIDS_Support_Organisation__Uganda__Limited__</vt:lpstr>
      <vt:lpstr>Uganda_Multi_The_AIDS_Support_Organisation__Uganda__Limited_USD</vt:lpstr>
      <vt:lpstr>Uganda_Multi_USD</vt:lpstr>
      <vt:lpstr>Uganda_RSSH____</vt:lpstr>
      <vt:lpstr>Uganda_RSSH___USD</vt:lpstr>
      <vt:lpstr>Uganda_RSSH_Ministry_of_Finance__Planning_and_Economic_Development_of_the_Republic_of_Uganda_USD</vt:lpstr>
      <vt:lpstr>Uganda_RSSH_The_AIDS_Support_Organisation__Uganda__Limited_USD</vt:lpstr>
      <vt:lpstr>Uganda_RSSH_USD</vt:lpstr>
      <vt:lpstr>Uganda_TB____</vt:lpstr>
      <vt:lpstr>Uganda_TB___USD</vt:lpstr>
      <vt:lpstr>Uganda_TB_Ministry_of_Finance__Planning_and_Economic_Development_of_the_Republic_of_Uganda_USD</vt:lpstr>
      <vt:lpstr>Uganda_TB_USD</vt:lpstr>
      <vt:lpstr>Ukraine_HIV___USD</vt:lpstr>
      <vt:lpstr>Ukraine_HIV_Charitable_Organization__All_Ukrainian_Network_of_People_Living_with_HIV_AIDS__USD</vt:lpstr>
      <vt:lpstr>Ukraine_HIV_International_Charitable_Foundation__Alliance_for_Public_Health__USD</vt:lpstr>
      <vt:lpstr>Ukraine_HIV_State_Institution__Public_Health_Center_of_the_Ministry_of_Health_of_Ukraine__USD</vt:lpstr>
      <vt:lpstr>Ukraine_HIV_United_Nations_Children_s_Fund_USD</vt:lpstr>
      <vt:lpstr>Ukraine_HIV_USD</vt:lpstr>
      <vt:lpstr>Ukraine_Multi__</vt:lpstr>
      <vt:lpstr>Ukraine_Multi____</vt:lpstr>
      <vt:lpstr>Ukraine_Multi_Charitable_Organization__All_Ukrainian_Network_of_People_Living_with_HIV_AIDS___</vt:lpstr>
      <vt:lpstr>Ukraine_Multi_Charitable_Organization__All_Ukrainian_Network_of_People_Living_with_HIV_AIDS__USD</vt:lpstr>
      <vt:lpstr>Ukraine_Multi_International_Charitable_Foundation__Alliance_for_Public_Health__USD</vt:lpstr>
      <vt:lpstr>Ukraine_Multi_State_Institution__Public_Health_Center_of_the_Ministry_of_Health_of_Ukraine__USD</vt:lpstr>
      <vt:lpstr>Ukraine_Multi_USD</vt:lpstr>
      <vt:lpstr>Ukraine_TB____</vt:lpstr>
      <vt:lpstr>Ukraine_TB___USD</vt:lpstr>
      <vt:lpstr>Ukraine_TB_State_Institution__Public_Health_Center_of_the_Ministry_of_Health_of_Ukraine__USD</vt:lpstr>
      <vt:lpstr>Ukraine_TB_USD</vt:lpstr>
      <vt:lpstr>UnitMeasure</vt:lpstr>
      <vt:lpstr>UnitMeasure2</vt:lpstr>
      <vt:lpstr>UnitMeasure3</vt:lpstr>
      <vt:lpstr>Upfront</vt:lpstr>
      <vt:lpstr>Uruguay_HIV___USD</vt:lpstr>
      <vt:lpstr>Uzbekistan_HIV__</vt:lpstr>
      <vt:lpstr>Uzbekistan_HIV___USD</vt:lpstr>
      <vt:lpstr>Uzbekistan_HIV_Republican_Center_to_Fight_AIDS__</vt:lpstr>
      <vt:lpstr>Uzbekistan_HIV_Republican_Center_to_Fight_AIDS_USD</vt:lpstr>
      <vt:lpstr>Uzbekistan_HIV_United_Nations_Development_Programme_USD</vt:lpstr>
      <vt:lpstr>Uzbekistan_HIV_USD</vt:lpstr>
      <vt:lpstr>Uzbekistan_Malaria___USD</vt:lpstr>
      <vt:lpstr>Uzbekistan_Malaria_Republican_Center_of_State_Sanitary_Epidemiological_Surveillance_of_the_Republic_of_Uzbekistan_USD</vt:lpstr>
      <vt:lpstr>Uzbekistan_Malaria_USD</vt:lpstr>
      <vt:lpstr>Uzbekistan_TB__</vt:lpstr>
      <vt:lpstr>Uzbekistan_TB____</vt:lpstr>
      <vt:lpstr>Uzbekistan_TB___USD</vt:lpstr>
      <vt:lpstr>Uzbekistan_TB_Republican_DOTS_Center_of_the_Republic_of_Uzbekistan_USD</vt:lpstr>
      <vt:lpstr>Uzbekistan_TB_Republican_Specialized_Scientific_Practical_Medical_Center_of_Phthisiology_and_Pulmonology__</vt:lpstr>
      <vt:lpstr>Uzbekistan_TB_Republican_Specialized_Scientific_Practical_Medical_Center_of_Phthisiology_and_Pulmonology_USD</vt:lpstr>
      <vt:lpstr>Uzbekistan_TB_USD</vt:lpstr>
      <vt:lpstr>Valganciclovir</vt:lpstr>
      <vt:lpstr>Vector_control_equipment_for_purposes_other_than_IRS</vt:lpstr>
      <vt:lpstr>Venezuela_Malaria____</vt:lpstr>
      <vt:lpstr>VERSION</vt:lpstr>
      <vt:lpstr>Viet_Nam_HIV__</vt:lpstr>
      <vt:lpstr>Viet_Nam_HIV____</vt:lpstr>
      <vt:lpstr>Viet_Nam_HIV___USD</vt:lpstr>
      <vt:lpstr>Viet_Nam_HIV_USD</vt:lpstr>
      <vt:lpstr>Viet_Nam_HIV_Viet_Nam_Authority_of_HIV_AIDS_Control_USD</vt:lpstr>
      <vt:lpstr>Viet_Nam_HIV_Viet_Nam_Union_of_Science_and_Technology_Associations__</vt:lpstr>
      <vt:lpstr>Viet_Nam_HIV_Viet_Nam_Union_of_Science_and_Technology_Associations_USD</vt:lpstr>
      <vt:lpstr>Viet_Nam_Malaria____</vt:lpstr>
      <vt:lpstr>Viet_Nam_Malaria___USD</vt:lpstr>
      <vt:lpstr>Viet_Nam_Malaria_National_Institute_of_Malariology__Parasitology_and_Entomology_of_the_Ministry_of_Health_of_the_Socialist_Republic_of_Viet_Nam_USD</vt:lpstr>
      <vt:lpstr>Viet_Nam_Malaria_USD</vt:lpstr>
      <vt:lpstr>Viet_Nam_RSSH_Department_of_Planning_and_Finance__Ministry_of_Health__Socialist_Republic_of_Vietnam_USD</vt:lpstr>
      <vt:lpstr>Viet_Nam_RSSH_USD</vt:lpstr>
      <vt:lpstr>Viet_Nam_TB__</vt:lpstr>
      <vt:lpstr>Viet_Nam_TB____</vt:lpstr>
      <vt:lpstr>Viet_Nam_TB___USD</vt:lpstr>
      <vt:lpstr>Viet_Nam_TB_Ministry_of_Health_National_Lung_Hospital_of_the_Socialist_Republic_of_Viet_Nam_USD</vt:lpstr>
      <vt:lpstr>Viet_Nam_TB_USD</vt:lpstr>
      <vt:lpstr>Viet_Nam_TB_Viet_Nam_National_Lung_Hospital__</vt:lpstr>
      <vt:lpstr>Viet_Nam_TB_Viet_Nam_National_Lung_Hospital_USD</vt:lpstr>
      <vt:lpstr>Vincristine_as_sulfate</vt:lpstr>
      <vt:lpstr>Viral_load_and_or_EID_analyzer</vt:lpstr>
      <vt:lpstr>Viral_load_and_or_EID_analyzer_for_Malaria</vt:lpstr>
      <vt:lpstr>Viral_load_and_or_EID_analyzer_for_TB</vt:lpstr>
      <vt:lpstr>ViralLoadBrand</vt:lpstr>
      <vt:lpstr>Vitamin_B_6_pyridoxine_as_hydrochloride</vt:lpstr>
      <vt:lpstr>VL</vt:lpstr>
      <vt:lpstr>VLBrand</vt:lpstr>
      <vt:lpstr>VLEIDBrand</vt:lpstr>
      <vt:lpstr>VMMC_kits</vt:lpstr>
      <vt:lpstr>Waste_management_for_HIV</vt:lpstr>
      <vt:lpstr>Waste_management_for_Malaria</vt:lpstr>
      <vt:lpstr>Waste_management_for_TB</vt:lpstr>
      <vt:lpstr>Waste_management_supplies_Reagents</vt:lpstr>
      <vt:lpstr>Water_for_injection</vt:lpstr>
      <vt:lpstr>Western_Africa_HIV___USD</vt:lpstr>
      <vt:lpstr>Western_Africa_HIV_Abidjan_Lagos_Corridor_Organization_EUR</vt:lpstr>
      <vt:lpstr>Western_Africa_HIV_EUR</vt:lpstr>
      <vt:lpstr>Western_Africa_HIV_Handicap_International_Federation_EUR</vt:lpstr>
      <vt:lpstr>Western_Africa_HIV_International_Treatment_Preparedness_Coalition_EUR</vt:lpstr>
      <vt:lpstr>Western_Africa_Multi_Alliance_Nationale_Contre_le_Sida___S_n_gal_EUR</vt:lpstr>
      <vt:lpstr>Western_Africa_Multi_EUR</vt:lpstr>
      <vt:lpstr>Western_Asia_Multi_International_Organization_for_Migration_USD</vt:lpstr>
      <vt:lpstr>Western_Asia_Multi_USD</vt:lpstr>
      <vt:lpstr>Western_Asia_TB_International_Organization_for_Migration_USD</vt:lpstr>
      <vt:lpstr>Western_Asia_TB_USD</vt:lpstr>
      <vt:lpstr>World_HIV___USD</vt:lpstr>
      <vt:lpstr>World_HIV_Asia_Pacific_Network_of_People_Living_with_HIV_AIDS_USD</vt:lpstr>
      <vt:lpstr>World_HIV_Australian_Federation_Of_Aids_Organisations__Inc__USD</vt:lpstr>
      <vt:lpstr>World_HIV_EUR</vt:lpstr>
      <vt:lpstr>World_HIV_Eurasian_Coalition_on_Male_Health_EUR</vt:lpstr>
      <vt:lpstr>World_HIV_Eurasian_Harm_Reduction_Network_EUR</vt:lpstr>
      <vt:lpstr>World_HIV_Frontline_AIDS_USD</vt:lpstr>
      <vt:lpstr>World_HIV_ICO_East_Europe_and_Central_Asia_Union_of_People_Living_with_HIV_EUR</vt:lpstr>
      <vt:lpstr>World_HIV_International_Charitable_Foundation__Alliance_for_Public_Health__USD</vt:lpstr>
      <vt:lpstr>World_HIV_Middle_East_and_North_Africa_Harm_Reduction_Association_USD</vt:lpstr>
      <vt:lpstr>World_HIV_Save_the_Children_Federation__Inc__USD</vt:lpstr>
      <vt:lpstr>World_HIV_USD</vt:lpstr>
      <vt:lpstr>World_Multi_International_Charitable_Foundation__Alliance_for_Public_Health__USD</vt:lpstr>
      <vt:lpstr>World_Multi_USD</vt:lpstr>
      <vt:lpstr>World_TB_Center_for_Health_Policies_and_Studies_USD</vt:lpstr>
      <vt:lpstr>World_TB_USD</vt:lpstr>
      <vt:lpstr>X_ray_Equipment</vt:lpstr>
      <vt:lpstr>X_ray_Equipment_Other</vt:lpstr>
      <vt:lpstr>Yemen_HIV___USD</vt:lpstr>
      <vt:lpstr>Yemen_HIV_National_AIDS_Program_USD</vt:lpstr>
      <vt:lpstr>Yemen_HIV_USD</vt:lpstr>
      <vt:lpstr>Yemen_Malaria___USD</vt:lpstr>
      <vt:lpstr>Yemen_Malaria_National_Malaria_Control_Programme_of_the_Ministry_of_Health_and_Population_of_the_Republic_of_Yemen_USD</vt:lpstr>
      <vt:lpstr>Yemen_Malaria_USD</vt:lpstr>
      <vt:lpstr>Yemen_TB___USD</vt:lpstr>
      <vt:lpstr>Yemen_TB_The_National_Tuberculosis_Control_Program_USD</vt:lpstr>
      <vt:lpstr>Yemen_TB_USD</vt:lpstr>
      <vt:lpstr>YesNo</vt:lpstr>
      <vt:lpstr>Zambia_HIV____</vt:lpstr>
      <vt:lpstr>Zambia_HIV___USD</vt:lpstr>
      <vt:lpstr>Zambia_HIV_United_Nations_Development_Programme_USD</vt:lpstr>
      <vt:lpstr>Zambia_HIV_USD</vt:lpstr>
      <vt:lpstr>Zambia_Malaria___USD</vt:lpstr>
      <vt:lpstr>Zambia_Malaria_Churches_Health_Association_of_Zambia_USD</vt:lpstr>
      <vt:lpstr>Zambia_Malaria_Ministry_of_Health_of_the_Republic_of_Zambia_USD</vt:lpstr>
      <vt:lpstr>Zambia_Malaria_United_Nations_Development_Programme_USD</vt:lpstr>
      <vt:lpstr>Zambia_Malaria_USD</vt:lpstr>
      <vt:lpstr>Zambia_Multi__</vt:lpstr>
      <vt:lpstr>Zambia_Multi____</vt:lpstr>
      <vt:lpstr>Zambia_Multi_Churches_Health_Association_of_Zambia__</vt:lpstr>
      <vt:lpstr>Zambia_Multi_Churches_Health_Association_of_Zambia_USD</vt:lpstr>
      <vt:lpstr>Zambia_Multi_Ministry_of_Health_of_the_Republic_of_Zambia_USD</vt:lpstr>
      <vt:lpstr>Zambia_Multi_USD</vt:lpstr>
      <vt:lpstr>Zambia_TB____</vt:lpstr>
      <vt:lpstr>Zambia_TB___USD</vt:lpstr>
      <vt:lpstr>Zambia_TB_United_Nations_Development_Programme_USD</vt:lpstr>
      <vt:lpstr>Zambia_TB_USD</vt:lpstr>
      <vt:lpstr>Zanzibar_HIV___USD</vt:lpstr>
      <vt:lpstr>Zanzibar_Malaria__</vt:lpstr>
      <vt:lpstr>Zanzibar_Malaria___EUR</vt:lpstr>
      <vt:lpstr>Zanzibar_Malaria___USD</vt:lpstr>
      <vt:lpstr>Zanzibar_Malaria_Ministry_of_Health_of_the_Revolutionary_Government_of_Zanzibar__</vt:lpstr>
      <vt:lpstr>Zanzibar_Malaria_Ministry_of_Health_of_the_Revolutionary_Government_of_Zanzibar_USD</vt:lpstr>
      <vt:lpstr>Zanzibar_Malaria_USD</vt:lpstr>
      <vt:lpstr>Zanzibar_Multi__</vt:lpstr>
      <vt:lpstr>Zanzibar_Multi_Ministry_of_Health_of_the_Revolutionary_Government_of_Zanzibar__</vt:lpstr>
      <vt:lpstr>Zanzibar_Multi_Ministry_of_Health_of_the_Revolutionary_Government_of_Zanzibar_USD</vt:lpstr>
      <vt:lpstr>Zanzibar_Multi_USD</vt:lpstr>
      <vt:lpstr>Zanzibar_TB___USD</vt:lpstr>
      <vt:lpstr>Zidovudine</vt:lpstr>
      <vt:lpstr>Zimbabwe_HIV__</vt:lpstr>
      <vt:lpstr>Zimbabwe_HIV____</vt:lpstr>
      <vt:lpstr>Zimbabwe_HIV___USD</vt:lpstr>
      <vt:lpstr>Zimbabwe_HIV_The_Ministry_of_Health_and_Child_Care_of_the_Republic_of_Zimbabwe__</vt:lpstr>
      <vt:lpstr>Zimbabwe_HIV_United_Nations_Development_Programme_USD</vt:lpstr>
      <vt:lpstr>Zimbabwe_HIV_USD</vt:lpstr>
      <vt:lpstr>Zimbabwe_Malaria__</vt:lpstr>
      <vt:lpstr>Zimbabwe_Malaria____</vt:lpstr>
      <vt:lpstr>Zimbabwe_Malaria___USD</vt:lpstr>
      <vt:lpstr>Zimbabwe_Malaria_The_Ministry_of_Health_and_Child_Care_of_the_Republic_of_Zimbabwe__</vt:lpstr>
      <vt:lpstr>Zimbabwe_Malaria_The_Ministry_of_Health_and_Child_Care_of_the_Republic_of_Zimbabwe_USD</vt:lpstr>
      <vt:lpstr>Zimbabwe_Malaria_United_Nations_Development_Programme_USD</vt:lpstr>
      <vt:lpstr>Zimbabwe_Malaria_USD</vt:lpstr>
      <vt:lpstr>Zimbabwe_Multi__</vt:lpstr>
      <vt:lpstr>Zimbabwe_Multi____</vt:lpstr>
      <vt:lpstr>Zimbabwe_Multi_The_Ministry_of_Health_and_Child_Care_of_the_Republic_of_Zimbabwe__</vt:lpstr>
      <vt:lpstr>Zimbabwe_RSSH_United_Nations_Development_Programme_USD</vt:lpstr>
      <vt:lpstr>Zimbabwe_RSSH_USD</vt:lpstr>
      <vt:lpstr>Zimbabwe_TB____</vt:lpstr>
      <vt:lpstr>Zimbabwe_TB___USD</vt:lpstr>
      <vt:lpstr>Zimbabwe_TB_The_Ministry_of_Health_and_Child_Care_of_the_Republic_of_Zimbabwe_USD</vt:lpstr>
      <vt:lpstr>Zimbabwe_TB_United_Nations_Development_Programme_USD</vt:lpstr>
      <vt:lpstr>Zimbabwe_TB_USD</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revision/>
  <cp:lastPrinted>2020-04-05T09:44:29Z</cp:lastPrinted>
  <dcterms:created xsi:type="dcterms:W3CDTF">2017-02-22T09:29:42Z</dcterms:created>
  <dcterms:modified xsi:type="dcterms:W3CDTF">2020-05-27T07:24:48Z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0x0101007256E2247245C34892272380726E6B93</vt:lpwstr>
  </property>
</Properties>
</file>